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8_{47E1C532-D009-4E9A-9332-8BBC58AD2908}" xr6:coauthVersionLast="47" xr6:coauthVersionMax="47" xr10:uidLastSave="{00000000-0000-0000-0000-000000000000}"/>
  <bookViews>
    <workbookView xWindow="9195" yWindow="690" windowWidth="18705" windowHeight="14745" tabRatio="601" xr2:uid="{00000000-000D-0000-FFFF-FFFF00000000}"/>
  </bookViews>
  <sheets>
    <sheet name="Main Page" sheetId="1" r:id="rId1"/>
    <sheet name="Planting Advice" sheetId="5" r:id="rId2"/>
    <sheet name="Watering Advice" sheetId="4" r:id="rId3"/>
    <sheet name="Warranty" sheetId="6" r:id="rId4"/>
    <sheet name="Discount Lookup" sheetId="2" state="hidden" r:id="rId5"/>
  </sheets>
  <definedNames>
    <definedName name="AccruedDiscount">'Main Page'!$K$4443</definedName>
    <definedName name="AfterDiscountBeforeTax">'Main Page'!$I$4421</definedName>
    <definedName name="AfterDiscountTax">'Main Page'!$J$4421</definedName>
    <definedName name="AfterDiscountWithTax">'Main Page'!$K$4421</definedName>
    <definedName name="AzaleaTopLeft">'Main Page'!$A$7</definedName>
    <definedName name="BeforeDiscountBeforeTax">'Main Page'!$I$4419</definedName>
    <definedName name="BeforeDiscountTax">'Main Page'!$J$4419</definedName>
    <definedName name="BeforeDiscountWithTax">'Main Page'!$K$4419</definedName>
    <definedName name="BonusDiscount">'Main Page'!$H$4418</definedName>
    <definedName name="BonusDiscountMsg">'Main Page'!$G$4418</definedName>
    <definedName name="ConsultFeeCredit">'Main Page'!$K$4425</definedName>
    <definedName name="ConsultFeeInsert">'Main Page'!$F$4425</definedName>
    <definedName name="Deciduous">'Main Page'!$AQ$6</definedName>
    <definedName name="Deciduous__foliage_drops_off_every_fall">'Main Page'!$AQ$6</definedName>
    <definedName name="DeciduousDescription">'Main Page'!$H$8</definedName>
    <definedName name="DepositCredit">'Main Page'!$K$4426</definedName>
    <definedName name="DepositInsert">'Main Page'!$F$4426</definedName>
    <definedName name="DifficultyFeeNoConcatenate">'Main Page'!$AG$4424</definedName>
    <definedName name="Eastern_Triangle_Area">'Main Page'!$B$4455</definedName>
    <definedName name="Eastern_Triangle_Area_of_North_Carolina">'Main Page'!$B$4455</definedName>
    <definedName name="EasternTriangleAreaNC">'Main Page'!$B$4455</definedName>
    <definedName name="Edison_General_Notes">'Main Page'!$Z$4445</definedName>
    <definedName name="Edison_Landscaping_Price_Details">'Main Page'!$Z$4418</definedName>
    <definedName name="Edison_Landscaping_Price_Summary">'Main Page'!$Z$4418</definedName>
    <definedName name="EdisonTop">'Main Page'!$Z$7</definedName>
    <definedName name="EnterMiles">'Main Page'!$D$4423</definedName>
    <definedName name="Evergreen">'Main Page'!$AL$6</definedName>
    <definedName name="Evergreen__keeps_foliage_year_round">'Main Page'!$AL$6</definedName>
    <definedName name="EvergreenDescription">'Main Page'!$D$8</definedName>
    <definedName name="GUARANTEE">'Main Page'!$AD$2</definedName>
    <definedName name="Guaranteed">'Main Page'!$AU$2</definedName>
    <definedName name="MileageFee">'Main Page'!$K$4423</definedName>
    <definedName name="MileageFeeMessage">'Main Page'!$AC$4417</definedName>
    <definedName name="MileageFeeNoConcatenate">'Main Page'!$M$4423</definedName>
    <definedName name="more">'Main Page'!$AU$2</definedName>
    <definedName name="MORE_NOTES">'Main Page'!$AW$2</definedName>
    <definedName name="MSTryEO">'Main Page'!$A$2</definedName>
    <definedName name="none">'Main Page'!$AD$2</definedName>
    <definedName name="NoWarrantyDiscount">'Main Page'!$H$4417</definedName>
    <definedName name="or_use_Ctrl_F_to_search">'Main Page'!$N$7</definedName>
    <definedName name="PiaFormulas">'Main Page'!#REF!</definedName>
    <definedName name="Picture15">'Main Page'!$AF$2</definedName>
    <definedName name="PLANT_NOTES">'Main Page'!$AL$2</definedName>
    <definedName name="PlanterBalanceCCV">'Main Page'!$AF$4430</definedName>
    <definedName name="PlanterBalanceCredit">'Main Page'!$AF$4428</definedName>
    <definedName name="PlanterBeforeDiscount">'Main Page'!$AF$4421</definedName>
    <definedName name="PlanterDepositAmount">'Main Page'!$AF$4427</definedName>
    <definedName name="PlanterDepositPercentage">'Main Page'!$AE$4427</definedName>
    <definedName name="PlanterDifficultyAmount">'Main Page'!$AF$4424</definedName>
    <definedName name="PlanterDifficultyPercentage">'Main Page'!$AE$4424</definedName>
    <definedName name="PlanterDiscount">'Main Page'!$AE$4422</definedName>
    <definedName name="PlanterDiscountAmount">'Main Page'!$AF$4422</definedName>
    <definedName name="PlanterDiscountHeader">'Main Page'!$AB$3</definedName>
    <definedName name="PlanterMileageNoConcatenate">'Main Page'!$AG$4425</definedName>
    <definedName name="PlanterPreviousAmountsPaid">'Main Page'!$AF$4435</definedName>
    <definedName name="PlanterTotalAfterDiscount">'Main Page'!$AF$4423</definedName>
    <definedName name="PlanterYesMe">'Main Page'!$AE$9</definedName>
    <definedName name="PlantingIndicatorMsg">'Main Page'!$AB$4417</definedName>
    <definedName name="PlantingTotal">'Main Page'!$AF$4426</definedName>
    <definedName name="PlantingTotalHeader">'Main Page'!$AB$4</definedName>
    <definedName name="PlantNotes">'Main Page'!$AL$2</definedName>
    <definedName name="PlantsPricedHere">'Main Page'!$A$4419</definedName>
    <definedName name="Pot">'Main Page'!$AH$4418</definedName>
    <definedName name="PriceitQODC">'Main Page'!$D$2</definedName>
    <definedName name="_xlnm.Print_Area" localSheetId="4">'Discount Lookup'!$I$2:$N$55</definedName>
    <definedName name="_xlnm.Print_Area" localSheetId="0">'Main Page'!$A$2:$AI$4491</definedName>
    <definedName name="_xlnm.Print_Area" localSheetId="1">'Planting Advice'!$B$1:$G$39</definedName>
    <definedName name="_xlnm.Print_Area" localSheetId="3">Warranty!$A$1:$I$32</definedName>
    <definedName name="_xlnm.Print_Area" localSheetId="2">'Watering Advice'!$B$1:$D$51</definedName>
    <definedName name="QualityGuarantee">'Main Page'!$B$4474</definedName>
    <definedName name="SalesTaxPercentage">'Main Page'!$J$4418</definedName>
    <definedName name="ShowSelections">'Main Page'!$A$9</definedName>
    <definedName name="SumMulch">'Main Page'!$V$4434</definedName>
    <definedName name="SumPlantingFees">'Main Page'!$AK$4416</definedName>
    <definedName name="SumPlantingFeesPlusDiscounts">'Main Page'!$AJ$4416</definedName>
    <definedName name="SumPlants">'Main Page'!$W$4434</definedName>
    <definedName name="SumPlantsYPlanting">'Main Page'!$Y$4434</definedName>
    <definedName name="SumSoil">'Main Page'!$U$4434</definedName>
    <definedName name="T2G_Delivery_Total">'Main Page'!$K$4424</definedName>
    <definedName name="T2GAccruedDiscount">'Main Page'!$K$4443</definedName>
    <definedName name="T2GAccruedDollars">'Main Page'!$I$4443</definedName>
    <definedName name="T2GBalanceCCV">'Main Page'!$K$4428</definedName>
    <definedName name="T2GBalanceCredit">'Main Page'!$K$4427</definedName>
    <definedName name="T2GDeliveryTotal">'Main Page'!$K$4424</definedName>
    <definedName name="T2GDiscount">'Main Page'!$H$4420</definedName>
    <definedName name="T2GDiscountBeforeTax">'Main Page'!$I$4420</definedName>
    <definedName name="T2GDiscountTax">'Main Page'!$J$4420</definedName>
    <definedName name="T2GDiscountWithTax">'Main Page'!$K$4420</definedName>
    <definedName name="T2GPreviousAmountsPaid">'Main Page'!$D$4427</definedName>
    <definedName name="T2GRetailSumNoTax">'Main Page'!$X$4434</definedName>
    <definedName name="T2GTaxSum">'Main Page'!$J$4434</definedName>
    <definedName name="TOP">'Main Page'!$N$7</definedName>
    <definedName name="TotalPlantsG">'Main Page'!$G$4417</definedName>
    <definedName name="Trees2Go_Delivery_Total">'Main Page'!$K$4424</definedName>
    <definedName name="Trees2Go_Discount_Table">'Main Page'!$B$4440</definedName>
    <definedName name="Trees2Go_Price_Details">'Main Page'!$A$4417</definedName>
    <definedName name="Trees2Go_Price_Summary">'Main Page'!$A$4417</definedName>
    <definedName name="Trees2Go_Total">'Main Page'!$K$4424</definedName>
    <definedName name="TryImageFacts">'Main Page'!$K$13</definedName>
    <definedName name="Utilities">'Main Page'!$L$9</definedName>
    <definedName name="Warranty">'Main Page'!$B$4480</definedName>
  </definedNames>
  <calcPr calcId="191029" concurrentCalc="0" forceFullCalc="1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4411" i="1" l="1"/>
  <c r="N4411" i="1"/>
  <c r="BF4407" i="1"/>
  <c r="N4407" i="1"/>
  <c r="BF4404" i="1"/>
  <c r="N4404" i="1"/>
  <c r="BF860" i="1"/>
  <c r="N860" i="1"/>
  <c r="BF4399" i="1"/>
  <c r="N4399" i="1"/>
  <c r="BF4396" i="1"/>
  <c r="N4396" i="1"/>
  <c r="BF4392" i="1"/>
  <c r="N4392" i="1"/>
  <c r="BF4387" i="1"/>
  <c r="N4387" i="1"/>
  <c r="BF4382" i="1"/>
  <c r="N4382" i="1"/>
  <c r="BF4379" i="1"/>
  <c r="N4379" i="1"/>
  <c r="BF4376" i="1"/>
  <c r="N4376" i="1"/>
  <c r="BF4373" i="1"/>
  <c r="N4373" i="1"/>
  <c r="BF4370" i="1"/>
  <c r="N4370" i="1"/>
  <c r="BF4367" i="1"/>
  <c r="N4367" i="1"/>
  <c r="BF4362" i="1"/>
  <c r="N4362" i="1"/>
  <c r="BF4356" i="1"/>
  <c r="N4356" i="1"/>
  <c r="BF4352" i="1"/>
  <c r="N4352" i="1"/>
  <c r="BF4346" i="1"/>
  <c r="N4346" i="1"/>
  <c r="BF4343" i="1"/>
  <c r="N4343" i="1"/>
  <c r="BF4336" i="1"/>
  <c r="N4336" i="1"/>
  <c r="BF4333" i="1"/>
  <c r="N4333" i="1"/>
  <c r="BF4330" i="1"/>
  <c r="N4330" i="1"/>
  <c r="BF4326" i="1"/>
  <c r="N4326" i="1"/>
  <c r="BF4323" i="1"/>
  <c r="N4323" i="1"/>
  <c r="BF4318" i="1"/>
  <c r="N4318" i="1"/>
  <c r="BF4315" i="1"/>
  <c r="N4315" i="1"/>
  <c r="BF4304" i="1"/>
  <c r="N4304" i="1"/>
  <c r="BF4301" i="1"/>
  <c r="N4301" i="1"/>
  <c r="BF4298" i="1"/>
  <c r="N4298" i="1"/>
  <c r="BF4284" i="1"/>
  <c r="N4284" i="1"/>
  <c r="BF4281" i="1"/>
  <c r="N4281" i="1"/>
  <c r="BF4277" i="1"/>
  <c r="N4277" i="1"/>
  <c r="BF4273" i="1"/>
  <c r="N4273" i="1"/>
  <c r="BF4270" i="1"/>
  <c r="N4270" i="1"/>
  <c r="BF4267" i="1"/>
  <c r="N4267" i="1"/>
  <c r="BF4263" i="1"/>
  <c r="N4263" i="1"/>
  <c r="BF4259" i="1"/>
  <c r="N4259" i="1"/>
  <c r="BF4254" i="1"/>
  <c r="N4254" i="1"/>
  <c r="BF4251" i="1"/>
  <c r="N4251" i="1"/>
  <c r="BF4248" i="1"/>
  <c r="N4248" i="1"/>
  <c r="BF4245" i="1"/>
  <c r="N4245" i="1"/>
  <c r="BF4242" i="1"/>
  <c r="N4242" i="1"/>
  <c r="BF4239" i="1"/>
  <c r="N4239" i="1"/>
  <c r="BF4235" i="1"/>
  <c r="N4235" i="1"/>
  <c r="BF4231" i="1"/>
  <c r="N4231" i="1"/>
  <c r="BF4226" i="1"/>
  <c r="N4226" i="1"/>
  <c r="BF4220" i="1"/>
  <c r="N4220" i="1"/>
  <c r="BF4217" i="1"/>
  <c r="N4217" i="1"/>
  <c r="BF4212" i="1"/>
  <c r="N4212" i="1"/>
  <c r="BF4209" i="1"/>
  <c r="N4209" i="1"/>
  <c r="BF4205" i="1"/>
  <c r="N4205" i="1"/>
  <c r="BF4201" i="1"/>
  <c r="N4201" i="1"/>
  <c r="BF4195" i="1"/>
  <c r="N4195" i="1"/>
  <c r="BF4192" i="1"/>
  <c r="N4192" i="1"/>
  <c r="BF4188" i="1"/>
  <c r="N4188" i="1"/>
  <c r="BF4184" i="1"/>
  <c r="N4184" i="1"/>
  <c r="BF4180" i="1"/>
  <c r="N4180" i="1"/>
  <c r="BF4174" i="1"/>
  <c r="N4174" i="1"/>
  <c r="BF4171" i="1"/>
  <c r="N4171" i="1"/>
  <c r="BF4154" i="1"/>
  <c r="N4154" i="1"/>
  <c r="BF4150" i="1"/>
  <c r="N4150" i="1"/>
  <c r="BF4143" i="1"/>
  <c r="N4143" i="1"/>
  <c r="BF4138" i="1"/>
  <c r="N4138" i="1"/>
  <c r="BF4132" i="1"/>
  <c r="N4132" i="1"/>
  <c r="BF4127" i="1"/>
  <c r="N4127" i="1"/>
  <c r="BF4124" i="1"/>
  <c r="N4124" i="1"/>
  <c r="BF4121" i="1"/>
  <c r="N4121" i="1"/>
  <c r="BF4117" i="1"/>
  <c r="N4117" i="1"/>
  <c r="BF4091" i="1"/>
  <c r="N4091" i="1"/>
  <c r="BF4088" i="1"/>
  <c r="N4088" i="1"/>
  <c r="BF4085" i="1"/>
  <c r="N4085" i="1"/>
  <c r="BF4081" i="1"/>
  <c r="N4081" i="1"/>
  <c r="BF4078" i="1"/>
  <c r="N4078" i="1"/>
  <c r="BF4074" i="1"/>
  <c r="N4074" i="1"/>
  <c r="BF4071" i="1"/>
  <c r="N4071" i="1"/>
  <c r="BF4068" i="1"/>
  <c r="N4068" i="1"/>
  <c r="BF4062" i="1"/>
  <c r="N4062" i="1"/>
  <c r="BF4059" i="1"/>
  <c r="N4059" i="1"/>
  <c r="BF4049" i="1"/>
  <c r="N4049" i="1"/>
  <c r="BF4043" i="1"/>
  <c r="N4043" i="1"/>
  <c r="BF4040" i="1"/>
  <c r="N4040" i="1"/>
  <c r="BF4034" i="1"/>
  <c r="N4034" i="1"/>
  <c r="BF4029" i="1"/>
  <c r="N4029" i="1"/>
  <c r="BF4026" i="1"/>
  <c r="N4026" i="1"/>
  <c r="BF4021" i="1"/>
  <c r="N4021" i="1"/>
  <c r="BF4017" i="1"/>
  <c r="N4017" i="1"/>
  <c r="BF4014" i="1"/>
  <c r="N4014" i="1"/>
  <c r="BF4010" i="1"/>
  <c r="N4010" i="1"/>
  <c r="BF4006" i="1"/>
  <c r="N4006" i="1"/>
  <c r="BF4002" i="1"/>
  <c r="N4002" i="1"/>
  <c r="BF3998" i="1"/>
  <c r="N3998" i="1"/>
  <c r="BF3995" i="1"/>
  <c r="N3995" i="1"/>
  <c r="BF3991" i="1"/>
  <c r="N3991" i="1"/>
  <c r="BF3986" i="1"/>
  <c r="N3986" i="1"/>
  <c r="BF3981" i="1"/>
  <c r="N3981" i="1"/>
  <c r="BF3977" i="1"/>
  <c r="N3977" i="1"/>
  <c r="BF3972" i="1"/>
  <c r="N3972" i="1"/>
  <c r="BF3967" i="1"/>
  <c r="N3967" i="1"/>
  <c r="BF3964" i="1"/>
  <c r="N3964" i="1"/>
  <c r="BF3961" i="1"/>
  <c r="N3961" i="1"/>
  <c r="BF3957" i="1"/>
  <c r="N3957" i="1"/>
  <c r="BF3954" i="1"/>
  <c r="N3954" i="1"/>
  <c r="BF3950" i="1"/>
  <c r="N3950" i="1"/>
  <c r="BF3947" i="1"/>
  <c r="N3947" i="1"/>
  <c r="BF3940" i="1"/>
  <c r="N3940" i="1"/>
  <c r="BF3937" i="1"/>
  <c r="N3937" i="1"/>
  <c r="BF3933" i="1"/>
  <c r="N3933" i="1"/>
  <c r="BF3927" i="1"/>
  <c r="N3927" i="1"/>
  <c r="BF3921" i="1"/>
  <c r="N3921" i="1"/>
  <c r="BF3918" i="1"/>
  <c r="N3918" i="1"/>
  <c r="BF3914" i="1"/>
  <c r="N3914" i="1"/>
  <c r="BF3910" i="1"/>
  <c r="N3910" i="1"/>
  <c r="BF3907" i="1"/>
  <c r="N3907" i="1"/>
  <c r="BF3904" i="1"/>
  <c r="N3904" i="1"/>
  <c r="BF3901" i="1"/>
  <c r="N3901" i="1"/>
  <c r="BF3896" i="1"/>
  <c r="N3896" i="1"/>
  <c r="BF3893" i="1"/>
  <c r="N3893" i="1"/>
  <c r="BF3889" i="1"/>
  <c r="N3889" i="1"/>
  <c r="BF3884" i="1"/>
  <c r="N3884" i="1"/>
  <c r="BF3881" i="1"/>
  <c r="N3881" i="1"/>
  <c r="BF3878" i="1"/>
  <c r="N3878" i="1"/>
  <c r="BF3875" i="1"/>
  <c r="N3875" i="1"/>
  <c r="BF3871" i="1"/>
  <c r="N3871" i="1"/>
  <c r="BF3866" i="1"/>
  <c r="N3866" i="1"/>
  <c r="BF3862" i="1"/>
  <c r="N3862" i="1"/>
  <c r="BF3858" i="1"/>
  <c r="N3858" i="1"/>
  <c r="BF3855" i="1"/>
  <c r="N3855" i="1"/>
  <c r="BF3852" i="1"/>
  <c r="N3852" i="1"/>
  <c r="BF3848" i="1"/>
  <c r="N3848" i="1"/>
  <c r="BF3845" i="1"/>
  <c r="N3845" i="1"/>
  <c r="BF3841" i="1"/>
  <c r="N3841" i="1"/>
  <c r="BF3838" i="1"/>
  <c r="N3838" i="1"/>
  <c r="BF3835" i="1"/>
  <c r="N3835" i="1"/>
  <c r="BF3831" i="1"/>
  <c r="N3831" i="1"/>
  <c r="BF3827" i="1"/>
  <c r="N3827" i="1"/>
  <c r="BF3824" i="1"/>
  <c r="N3824" i="1"/>
  <c r="BF3818" i="1"/>
  <c r="N3818" i="1"/>
  <c r="BF3814" i="1"/>
  <c r="N3814" i="1"/>
  <c r="BF3809" i="1"/>
  <c r="N3809" i="1"/>
  <c r="BF3805" i="1"/>
  <c r="N3805" i="1"/>
  <c r="BF3802" i="1"/>
  <c r="N3802" i="1"/>
  <c r="BF3797" i="1"/>
  <c r="N3797" i="1"/>
  <c r="BF3794" i="1"/>
  <c r="N3794" i="1"/>
  <c r="BF3788" i="1"/>
  <c r="N3788" i="1"/>
  <c r="BF3782" i="1"/>
  <c r="N3782" i="1"/>
  <c r="BF3778" i="1"/>
  <c r="N3778" i="1"/>
  <c r="BF3775" i="1"/>
  <c r="N3775" i="1"/>
  <c r="BF3770" i="1"/>
  <c r="N3770" i="1"/>
  <c r="BF3767" i="1"/>
  <c r="N3767" i="1"/>
  <c r="BF3764" i="1"/>
  <c r="N3764" i="1"/>
  <c r="BF3760" i="1"/>
  <c r="N3760" i="1"/>
  <c r="BF3757" i="1"/>
  <c r="N3757" i="1"/>
  <c r="BF3753" i="1"/>
  <c r="N3753" i="1"/>
  <c r="BF3749" i="1"/>
  <c r="N3749" i="1"/>
  <c r="BF3745" i="1"/>
  <c r="N3745" i="1"/>
  <c r="BF3741" i="1"/>
  <c r="N3741" i="1"/>
  <c r="BF3735" i="1"/>
  <c r="N3735" i="1"/>
  <c r="BF3732" i="1"/>
  <c r="N3732" i="1"/>
  <c r="BF3728" i="1"/>
  <c r="N3728" i="1"/>
  <c r="BF3723" i="1"/>
  <c r="N3723" i="1"/>
  <c r="BF3719" i="1"/>
  <c r="N3719" i="1"/>
  <c r="BF3716" i="1"/>
  <c r="N3716" i="1"/>
  <c r="BF3713" i="1"/>
  <c r="N3713" i="1"/>
  <c r="BF3710" i="1"/>
  <c r="N3710" i="1"/>
  <c r="BF3707" i="1"/>
  <c r="N3707" i="1"/>
  <c r="BF3704" i="1"/>
  <c r="N3704" i="1"/>
  <c r="BF3699" i="1"/>
  <c r="N3699" i="1"/>
  <c r="BF3694" i="1"/>
  <c r="N3694" i="1"/>
  <c r="BF3689" i="1"/>
  <c r="N3689" i="1"/>
  <c r="BF3685" i="1"/>
  <c r="N3685" i="1"/>
  <c r="BF3682" i="1"/>
  <c r="N3682" i="1"/>
  <c r="BF3679" i="1"/>
  <c r="N3679" i="1"/>
  <c r="BF3676" i="1"/>
  <c r="N3676" i="1"/>
  <c r="BF3673" i="1"/>
  <c r="N3673" i="1"/>
  <c r="BF3670" i="1"/>
  <c r="N3670" i="1"/>
  <c r="BF3667" i="1"/>
  <c r="N3667" i="1"/>
  <c r="BF3663" i="1"/>
  <c r="N3663" i="1"/>
  <c r="BF3659" i="1"/>
  <c r="N3659" i="1"/>
  <c r="BF3654" i="1"/>
  <c r="N3654" i="1"/>
  <c r="BF3647" i="1"/>
  <c r="N3647" i="1"/>
  <c r="BF3643" i="1"/>
  <c r="N3643" i="1"/>
  <c r="BF3640" i="1"/>
  <c r="N3640" i="1"/>
  <c r="BF3636" i="1"/>
  <c r="N3636" i="1"/>
  <c r="BF3633" i="1"/>
  <c r="N3633" i="1"/>
  <c r="BF3630" i="1"/>
  <c r="N3630" i="1"/>
  <c r="BF3627" i="1"/>
  <c r="N3627" i="1"/>
  <c r="BF3623" i="1"/>
  <c r="N3623" i="1"/>
  <c r="BF3620" i="1"/>
  <c r="N3620" i="1"/>
  <c r="BF3615" i="1"/>
  <c r="N3615" i="1"/>
  <c r="BF3612" i="1"/>
  <c r="N3612" i="1"/>
  <c r="BF3607" i="1"/>
  <c r="N3607" i="1"/>
  <c r="BF3604" i="1"/>
  <c r="N3604" i="1"/>
  <c r="BF3601" i="1"/>
  <c r="N3601" i="1"/>
  <c r="BF3597" i="1"/>
  <c r="N3597" i="1"/>
  <c r="BF3594" i="1"/>
  <c r="N3594" i="1"/>
  <c r="BF3590" i="1"/>
  <c r="N3590" i="1"/>
  <c r="BF3587" i="1"/>
  <c r="N3587" i="1"/>
  <c r="BF3584" i="1"/>
  <c r="N3584" i="1"/>
  <c r="BF3581" i="1"/>
  <c r="N3581" i="1"/>
  <c r="BF3578" i="1"/>
  <c r="N3578" i="1"/>
  <c r="BF3575" i="1"/>
  <c r="N3575" i="1"/>
  <c r="BF3572" i="1"/>
  <c r="N3572" i="1"/>
  <c r="BF3569" i="1"/>
  <c r="N3569" i="1"/>
  <c r="BF3566" i="1"/>
  <c r="N3566" i="1"/>
  <c r="BF3563" i="1"/>
  <c r="N3563" i="1"/>
  <c r="BF3560" i="1"/>
  <c r="N3560" i="1"/>
  <c r="BF3557" i="1"/>
  <c r="N3557" i="1"/>
  <c r="BF3554" i="1"/>
  <c r="N3554" i="1"/>
  <c r="BF3551" i="1"/>
  <c r="N3551" i="1"/>
  <c r="BF3548" i="1"/>
  <c r="N3548" i="1"/>
  <c r="BF3545" i="1"/>
  <c r="N3545" i="1"/>
  <c r="BF3542" i="1"/>
  <c r="N3542" i="1"/>
  <c r="BF3539" i="1"/>
  <c r="N3539" i="1"/>
  <c r="BF3536" i="1"/>
  <c r="N3536" i="1"/>
  <c r="BF3533" i="1"/>
  <c r="N3533" i="1"/>
  <c r="BF3530" i="1"/>
  <c r="N3530" i="1"/>
  <c r="BF3527" i="1"/>
  <c r="N3527" i="1"/>
  <c r="BF3524" i="1"/>
  <c r="N3524" i="1"/>
  <c r="BF3521" i="1"/>
  <c r="N3521" i="1"/>
  <c r="BF3518" i="1"/>
  <c r="N3518" i="1"/>
  <c r="BF3512" i="1"/>
  <c r="N3512" i="1"/>
  <c r="BF3509" i="1"/>
  <c r="N3509" i="1"/>
  <c r="BF3506" i="1"/>
  <c r="N3506" i="1"/>
  <c r="BF3503" i="1"/>
  <c r="N3503" i="1"/>
  <c r="BF3497" i="1"/>
  <c r="N3497" i="1"/>
  <c r="BF3494" i="1"/>
  <c r="N3494" i="1"/>
  <c r="BF3490" i="1"/>
  <c r="N3490" i="1"/>
  <c r="BF3486" i="1"/>
  <c r="N3486" i="1"/>
  <c r="BF3483" i="1"/>
  <c r="N3483" i="1"/>
  <c r="BF3479" i="1"/>
  <c r="N3479" i="1"/>
  <c r="BF3474" i="1"/>
  <c r="N3474" i="1"/>
  <c r="BF3469" i="1"/>
  <c r="N3469" i="1"/>
  <c r="BF3463" i="1"/>
  <c r="N3463" i="1"/>
  <c r="BF3459" i="1"/>
  <c r="N3459" i="1"/>
  <c r="BF3453" i="1"/>
  <c r="N3453" i="1"/>
  <c r="BF3446" i="1"/>
  <c r="N3446" i="1"/>
  <c r="BF3442" i="1"/>
  <c r="N3442" i="1"/>
  <c r="BF3435" i="1"/>
  <c r="N3435" i="1"/>
  <c r="BF3432" i="1"/>
  <c r="N3432" i="1"/>
  <c r="BF3427" i="1"/>
  <c r="N3427" i="1"/>
  <c r="BF3424" i="1"/>
  <c r="N3424" i="1"/>
  <c r="BF3421" i="1"/>
  <c r="N3421" i="1"/>
  <c r="BF3418" i="1"/>
  <c r="N3418" i="1"/>
  <c r="BF3413" i="1"/>
  <c r="N3413" i="1"/>
  <c r="BF3409" i="1"/>
  <c r="N3409" i="1"/>
  <c r="BF3403" i="1"/>
  <c r="N3403" i="1"/>
  <c r="BF3399" i="1"/>
  <c r="N3399" i="1"/>
  <c r="BF3396" i="1"/>
  <c r="N3396" i="1"/>
  <c r="BF3390" i="1"/>
  <c r="N3390" i="1"/>
  <c r="BF3387" i="1"/>
  <c r="N3387" i="1"/>
  <c r="BF3383" i="1"/>
  <c r="N3383" i="1"/>
  <c r="BF3376" i="1"/>
  <c r="N3376" i="1"/>
  <c r="BF3372" i="1"/>
  <c r="N3372" i="1"/>
  <c r="BF3367" i="1"/>
  <c r="N3367" i="1"/>
  <c r="BF3363" i="1"/>
  <c r="N3363" i="1"/>
  <c r="BF3358" i="1"/>
  <c r="N3358" i="1"/>
  <c r="BF3354" i="1"/>
  <c r="N3354" i="1"/>
  <c r="BF3350" i="1"/>
  <c r="N3350" i="1"/>
  <c r="BF3345" i="1"/>
  <c r="N3345" i="1"/>
  <c r="BF3340" i="1"/>
  <c r="N3340" i="1"/>
  <c r="BF3336" i="1"/>
  <c r="N3336" i="1"/>
  <c r="BF3332" i="1"/>
  <c r="N3332" i="1"/>
  <c r="BF3328" i="1"/>
  <c r="N3328" i="1"/>
  <c r="BF3325" i="1"/>
  <c r="N3325" i="1"/>
  <c r="BF3322" i="1"/>
  <c r="N3322" i="1"/>
  <c r="BF3319" i="1"/>
  <c r="N3319" i="1"/>
  <c r="BF3315" i="1"/>
  <c r="N3315" i="1"/>
  <c r="BF3311" i="1"/>
  <c r="N3311" i="1"/>
  <c r="BF3308" i="1"/>
  <c r="N3308" i="1"/>
  <c r="BF3303" i="1"/>
  <c r="N3303" i="1"/>
  <c r="BF3299" i="1"/>
  <c r="N3299" i="1"/>
  <c r="BF3296" i="1"/>
  <c r="N3296" i="1"/>
  <c r="BF3292" i="1"/>
  <c r="N3292" i="1"/>
  <c r="BF3289" i="1"/>
  <c r="N3289" i="1"/>
  <c r="BF3286" i="1"/>
  <c r="N3286" i="1"/>
  <c r="BF3282" i="1"/>
  <c r="N3282" i="1"/>
  <c r="BF3278" i="1"/>
  <c r="N3278" i="1"/>
  <c r="BF3272" i="1"/>
  <c r="N3272" i="1"/>
  <c r="BF3269" i="1"/>
  <c r="N3269" i="1"/>
  <c r="BF3265" i="1"/>
  <c r="N3265" i="1"/>
  <c r="BF3262" i="1"/>
  <c r="N3262" i="1"/>
  <c r="BF3254" i="1"/>
  <c r="N3254" i="1"/>
  <c r="BF3249" i="1"/>
  <c r="N3249" i="1"/>
  <c r="BF3246" i="1"/>
  <c r="N3246" i="1"/>
  <c r="BF3241" i="1"/>
  <c r="N3241" i="1"/>
  <c r="BF3238" i="1"/>
  <c r="N3238" i="1"/>
  <c r="BF3235" i="1"/>
  <c r="N3235" i="1"/>
  <c r="BF3229" i="1"/>
  <c r="N3229" i="1"/>
  <c r="BF3226" i="1"/>
  <c r="N3226" i="1"/>
  <c r="BF3222" i="1"/>
  <c r="N3222" i="1"/>
  <c r="BF3219" i="1"/>
  <c r="N3219" i="1"/>
  <c r="BF3215" i="1"/>
  <c r="N3215" i="1"/>
  <c r="BF3212" i="1"/>
  <c r="N3212" i="1"/>
  <c r="BF3207" i="1"/>
  <c r="N3207" i="1"/>
  <c r="BF3203" i="1"/>
  <c r="N3203" i="1"/>
  <c r="BF3199" i="1"/>
  <c r="N3199" i="1"/>
  <c r="BF3189" i="1"/>
  <c r="N3189" i="1"/>
  <c r="BF3186" i="1"/>
  <c r="N3186" i="1"/>
  <c r="BF3177" i="1"/>
  <c r="N3177" i="1"/>
  <c r="BF3173" i="1"/>
  <c r="N3173" i="1"/>
  <c r="BF3162" i="1"/>
  <c r="N3162" i="1"/>
  <c r="BF3159" i="1"/>
  <c r="N3159" i="1"/>
  <c r="BF3148" i="1"/>
  <c r="N3148" i="1"/>
  <c r="BF3142" i="1"/>
  <c r="N3142" i="1"/>
  <c r="BF3136" i="1"/>
  <c r="N3136" i="1"/>
  <c r="BF3132" i="1"/>
  <c r="N3132" i="1"/>
  <c r="BF3127" i="1"/>
  <c r="N3127" i="1"/>
  <c r="BF3122" i="1"/>
  <c r="N3122" i="1"/>
  <c r="BF3119" i="1"/>
  <c r="N3119" i="1"/>
  <c r="BF3114" i="1"/>
  <c r="N3114" i="1"/>
  <c r="BF3110" i="1"/>
  <c r="N3110" i="1"/>
  <c r="BF3106" i="1"/>
  <c r="N3106" i="1"/>
  <c r="BF3102" i="1"/>
  <c r="N3102" i="1"/>
  <c r="BF3099" i="1"/>
  <c r="N3099" i="1"/>
  <c r="BF3094" i="1"/>
  <c r="N3094" i="1"/>
  <c r="BF3089" i="1"/>
  <c r="N3089" i="1"/>
  <c r="BF3083" i="1"/>
  <c r="N3083" i="1"/>
  <c r="BF3076" i="1"/>
  <c r="N3076" i="1"/>
  <c r="BF3073" i="1"/>
  <c r="N3073" i="1"/>
  <c r="BF3070" i="1"/>
  <c r="N3070" i="1"/>
  <c r="BF3066" i="1"/>
  <c r="N3066" i="1"/>
  <c r="BF3060" i="1"/>
  <c r="N3060" i="1"/>
  <c r="BF3057" i="1"/>
  <c r="N3057" i="1"/>
  <c r="BF3047" i="1"/>
  <c r="N3047" i="1"/>
  <c r="BF3043" i="1"/>
  <c r="N3043" i="1"/>
  <c r="BF3036" i="1"/>
  <c r="N3036" i="1"/>
  <c r="BF3032" i="1"/>
  <c r="N3032" i="1"/>
  <c r="BF3028" i="1"/>
  <c r="N3028" i="1"/>
  <c r="BF3025" i="1"/>
  <c r="N3025" i="1"/>
  <c r="BF3022" i="1"/>
  <c r="N3022" i="1"/>
  <c r="BF3018" i="1"/>
  <c r="N3018" i="1"/>
  <c r="BF3014" i="1"/>
  <c r="N3014" i="1"/>
  <c r="BF3007" i="1"/>
  <c r="N3007" i="1"/>
  <c r="BF3003" i="1"/>
  <c r="N3003" i="1"/>
  <c r="BF2995" i="1"/>
  <c r="N2995" i="1"/>
  <c r="BF2992" i="1"/>
  <c r="N2992" i="1"/>
  <c r="BF2987" i="1"/>
  <c r="N2987" i="1"/>
  <c r="BF2983" i="1"/>
  <c r="N2983" i="1"/>
  <c r="BF2979" i="1"/>
  <c r="N2979" i="1"/>
  <c r="BF2975" i="1"/>
  <c r="N2975" i="1"/>
  <c r="BF2969" i="1"/>
  <c r="N2969" i="1"/>
  <c r="BF2963" i="1"/>
  <c r="N2963" i="1"/>
  <c r="BF2960" i="1"/>
  <c r="N2960" i="1"/>
  <c r="BF2956" i="1"/>
  <c r="N2956" i="1"/>
  <c r="BF2952" i="1"/>
  <c r="N2952" i="1"/>
  <c r="BF2949" i="1"/>
  <c r="N2949" i="1"/>
  <c r="BF2941" i="1"/>
  <c r="N2941" i="1"/>
  <c r="BF2923" i="1"/>
  <c r="N2923" i="1"/>
  <c r="BF2920" i="1"/>
  <c r="N2920" i="1"/>
  <c r="BF2916" i="1"/>
  <c r="N2916" i="1"/>
  <c r="BF2911" i="1"/>
  <c r="N2911" i="1"/>
  <c r="BF2908" i="1"/>
  <c r="N2908" i="1"/>
  <c r="BF2901" i="1"/>
  <c r="N2901" i="1"/>
  <c r="BF2898" i="1"/>
  <c r="N2898" i="1"/>
  <c r="BF2895" i="1"/>
  <c r="N2895" i="1"/>
  <c r="BF2892" i="1"/>
  <c r="N2892" i="1"/>
  <c r="BF2888" i="1"/>
  <c r="N2888" i="1"/>
  <c r="BF2884" i="1"/>
  <c r="N2884" i="1"/>
  <c r="BF2881" i="1"/>
  <c r="N2881" i="1"/>
  <c r="BF2878" i="1"/>
  <c r="N2878" i="1"/>
  <c r="BF2875" i="1"/>
  <c r="N2875" i="1"/>
  <c r="BF2871" i="1"/>
  <c r="N2871" i="1"/>
  <c r="BF2867" i="1"/>
  <c r="N2867" i="1"/>
  <c r="BF2858" i="1"/>
  <c r="N2858" i="1"/>
  <c r="BF2851" i="1"/>
  <c r="N2851" i="1"/>
  <c r="BF2842" i="1"/>
  <c r="N2842" i="1"/>
  <c r="BF2829" i="1"/>
  <c r="N2829" i="1"/>
  <c r="BF2823" i="1"/>
  <c r="N2823" i="1"/>
  <c r="BF2819" i="1"/>
  <c r="N2819" i="1"/>
  <c r="BF2816" i="1"/>
  <c r="N2816" i="1"/>
  <c r="BF2813" i="1"/>
  <c r="N2813" i="1"/>
  <c r="BF2808" i="1"/>
  <c r="N2808" i="1"/>
  <c r="BF2805" i="1"/>
  <c r="N2805" i="1"/>
  <c r="BF2802" i="1"/>
  <c r="N2802" i="1"/>
  <c r="BF2796" i="1"/>
  <c r="N2796" i="1"/>
  <c r="BF2793" i="1"/>
  <c r="N2793" i="1"/>
  <c r="BF2788" i="1"/>
  <c r="N2788" i="1"/>
  <c r="BF2782" i="1"/>
  <c r="N2782" i="1"/>
  <c r="BF2779" i="1"/>
  <c r="N2779" i="1"/>
  <c r="BF2775" i="1"/>
  <c r="N2775" i="1"/>
  <c r="BF2770" i="1"/>
  <c r="N2770" i="1"/>
  <c r="BF2766" i="1"/>
  <c r="N2766" i="1"/>
  <c r="BF2763" i="1"/>
  <c r="N2763" i="1"/>
  <c r="BF2758" i="1"/>
  <c r="N2758" i="1"/>
  <c r="BF2754" i="1"/>
  <c r="N2754" i="1"/>
  <c r="BF2751" i="1"/>
  <c r="N2751" i="1"/>
  <c r="BF2747" i="1"/>
  <c r="N2747" i="1"/>
  <c r="BF2742" i="1"/>
  <c r="N2742" i="1"/>
  <c r="BF2732" i="1"/>
  <c r="N2732" i="1"/>
  <c r="BF2729" i="1"/>
  <c r="N2729" i="1"/>
  <c r="BF2724" i="1"/>
  <c r="N2724" i="1"/>
  <c r="BF2720" i="1"/>
  <c r="N2720" i="1"/>
  <c r="BF2711" i="1"/>
  <c r="N2711" i="1"/>
  <c r="BF2706" i="1"/>
  <c r="N2706" i="1"/>
  <c r="BF2701" i="1"/>
  <c r="N2701" i="1"/>
  <c r="BF2697" i="1"/>
  <c r="N2697" i="1"/>
  <c r="BF2692" i="1"/>
  <c r="N2692" i="1"/>
  <c r="BF2683" i="1"/>
  <c r="N2683" i="1"/>
  <c r="BF2677" i="1"/>
  <c r="N2677" i="1"/>
  <c r="BF2661" i="1"/>
  <c r="N2661" i="1"/>
  <c r="BF2658" i="1"/>
  <c r="N2658" i="1"/>
  <c r="BF2654" i="1"/>
  <c r="N2654" i="1"/>
  <c r="BF2651" i="1"/>
  <c r="N2651" i="1"/>
  <c r="BF2646" i="1"/>
  <c r="N2646" i="1"/>
  <c r="BF2641" i="1"/>
  <c r="N2641" i="1"/>
  <c r="BF2637" i="1"/>
  <c r="N2637" i="1"/>
  <c r="BF2633" i="1"/>
  <c r="N2633" i="1"/>
  <c r="BF2629" i="1"/>
  <c r="N2629" i="1"/>
  <c r="BF2625" i="1"/>
  <c r="N2625" i="1"/>
  <c r="BF2620" i="1"/>
  <c r="N2620" i="1"/>
  <c r="BF2617" i="1"/>
  <c r="N2617" i="1"/>
  <c r="BF2613" i="1"/>
  <c r="N2613" i="1"/>
  <c r="BF2610" i="1"/>
  <c r="N2610" i="1"/>
  <c r="BF2606" i="1"/>
  <c r="N2606" i="1"/>
  <c r="BF2602" i="1"/>
  <c r="N2602" i="1"/>
  <c r="BF2592" i="1"/>
  <c r="N2592" i="1"/>
  <c r="BF2581" i="1"/>
  <c r="N2581" i="1"/>
  <c r="BF2575" i="1"/>
  <c r="N2575" i="1"/>
  <c r="BF2568" i="1"/>
  <c r="N2568" i="1"/>
  <c r="BF2563" i="1"/>
  <c r="N2563" i="1"/>
  <c r="BF2553" i="1"/>
  <c r="N2553" i="1"/>
  <c r="BF2548" i="1"/>
  <c r="N2548" i="1"/>
  <c r="BF2543" i="1"/>
  <c r="N2543" i="1"/>
  <c r="BF2540" i="1"/>
  <c r="N2540" i="1"/>
  <c r="BF2536" i="1"/>
  <c r="N2536" i="1"/>
  <c r="BF2533" i="1"/>
  <c r="N2533" i="1"/>
  <c r="BF2528" i="1"/>
  <c r="N2528" i="1"/>
  <c r="BF2522" i="1"/>
  <c r="N2522" i="1"/>
  <c r="BF2518" i="1"/>
  <c r="N2518" i="1"/>
  <c r="BF2515" i="1"/>
  <c r="N2515" i="1"/>
  <c r="BF2511" i="1"/>
  <c r="N2511" i="1"/>
  <c r="BF2506" i="1"/>
  <c r="N2506" i="1"/>
  <c r="BF2497" i="1"/>
  <c r="N2497" i="1"/>
  <c r="BF2493" i="1"/>
  <c r="N2493" i="1"/>
  <c r="BF2486" i="1"/>
  <c r="N2486" i="1"/>
  <c r="BF2481" i="1"/>
  <c r="N2481" i="1"/>
  <c r="BF2477" i="1"/>
  <c r="N2477" i="1"/>
  <c r="BF2473" i="1"/>
  <c r="N2473" i="1"/>
  <c r="BF2467" i="1"/>
  <c r="N2467" i="1"/>
  <c r="BF2462" i="1"/>
  <c r="N2462" i="1"/>
  <c r="BF2459" i="1"/>
  <c r="N2459" i="1"/>
  <c r="BF2455" i="1"/>
  <c r="N2455" i="1"/>
  <c r="BF2452" i="1"/>
  <c r="N2452" i="1"/>
  <c r="BF2444" i="1"/>
  <c r="N2444" i="1"/>
  <c r="BF2440" i="1"/>
  <c r="N2440" i="1"/>
  <c r="BF2437" i="1"/>
  <c r="N2437" i="1"/>
  <c r="BF2434" i="1"/>
  <c r="N2434" i="1"/>
  <c r="BF2428" i="1"/>
  <c r="N2428" i="1"/>
  <c r="BF2421" i="1"/>
  <c r="N2421" i="1"/>
  <c r="BF2418" i="1"/>
  <c r="N2418" i="1"/>
  <c r="BF2415" i="1"/>
  <c r="N2415" i="1"/>
  <c r="BF2412" i="1"/>
  <c r="N2412" i="1"/>
  <c r="BF2405" i="1"/>
  <c r="N2405" i="1"/>
  <c r="BF2402" i="1"/>
  <c r="N2402" i="1"/>
  <c r="BF2399" i="1"/>
  <c r="N2399" i="1"/>
  <c r="BF2395" i="1"/>
  <c r="N2395" i="1"/>
  <c r="BF2391" i="1"/>
  <c r="N2391" i="1"/>
  <c r="BF2385" i="1"/>
  <c r="N2385" i="1"/>
  <c r="BF2379" i="1"/>
  <c r="N2379" i="1"/>
  <c r="BF2375" i="1"/>
  <c r="N2375" i="1"/>
  <c r="BF2372" i="1"/>
  <c r="N2372" i="1"/>
  <c r="BF2366" i="1"/>
  <c r="N2366" i="1"/>
  <c r="BF2357" i="1"/>
  <c r="N2357" i="1"/>
  <c r="BF2352" i="1"/>
  <c r="N2352" i="1"/>
  <c r="BF2348" i="1"/>
  <c r="N2348" i="1"/>
  <c r="BF2344" i="1"/>
  <c r="N2344" i="1"/>
  <c r="BF2341" i="1"/>
  <c r="N2341" i="1"/>
  <c r="BF2338" i="1"/>
  <c r="N2338" i="1"/>
  <c r="BF2327" i="1"/>
  <c r="N2327" i="1"/>
  <c r="BF2323" i="1"/>
  <c r="N2323" i="1"/>
  <c r="BF2320" i="1"/>
  <c r="N2320" i="1"/>
  <c r="BF2315" i="1"/>
  <c r="N2315" i="1"/>
  <c r="BF2310" i="1"/>
  <c r="N2310" i="1"/>
  <c r="BF2306" i="1"/>
  <c r="N2306" i="1"/>
  <c r="BF2302" i="1"/>
  <c r="N2302" i="1"/>
  <c r="BF2299" i="1"/>
  <c r="N2299" i="1"/>
  <c r="BF2295" i="1"/>
  <c r="N2295" i="1"/>
  <c r="BF2292" i="1"/>
  <c r="N2292" i="1"/>
  <c r="BF2289" i="1"/>
  <c r="N2289" i="1"/>
  <c r="BF2279" i="1"/>
  <c r="N2279" i="1"/>
  <c r="BF2268" i="1"/>
  <c r="N2268" i="1"/>
  <c r="BF2265" i="1"/>
  <c r="N2265" i="1"/>
  <c r="BF2258" i="1"/>
  <c r="N2258" i="1"/>
  <c r="BF2255" i="1"/>
  <c r="N2255" i="1"/>
  <c r="BF2251" i="1"/>
  <c r="N2251" i="1"/>
  <c r="BF2248" i="1"/>
  <c r="N2248" i="1"/>
  <c r="BF2240" i="1"/>
  <c r="N2240" i="1"/>
  <c r="BF2237" i="1"/>
  <c r="N2237" i="1"/>
  <c r="BF2233" i="1"/>
  <c r="N2233" i="1"/>
  <c r="BF2230" i="1"/>
  <c r="N2230" i="1"/>
  <c r="BF2227" i="1"/>
  <c r="N2227" i="1"/>
  <c r="BF2224" i="1"/>
  <c r="N2224" i="1"/>
  <c r="BF2211" i="1"/>
  <c r="N2211" i="1"/>
  <c r="BF2203" i="1"/>
  <c r="N2203" i="1"/>
  <c r="BF2191" i="1"/>
  <c r="N2191" i="1"/>
  <c r="BF2188" i="1"/>
  <c r="N2188" i="1"/>
  <c r="BF2181" i="1"/>
  <c r="N2181" i="1"/>
  <c r="BF2176" i="1"/>
  <c r="N2176" i="1"/>
  <c r="BF2172" i="1"/>
  <c r="N2172" i="1"/>
  <c r="BF2169" i="1"/>
  <c r="N2169" i="1"/>
  <c r="BF2166" i="1"/>
  <c r="N2166" i="1"/>
  <c r="BF2155" i="1"/>
  <c r="N2155" i="1"/>
  <c r="BF2142" i="1"/>
  <c r="N2142" i="1"/>
  <c r="BF2134" i="1"/>
  <c r="N2134" i="1"/>
  <c r="BF2125" i="1"/>
  <c r="N2125" i="1"/>
  <c r="BF2120" i="1"/>
  <c r="N2120" i="1"/>
  <c r="BF2115" i="1"/>
  <c r="N2115" i="1"/>
  <c r="BF2111" i="1"/>
  <c r="N2111" i="1"/>
  <c r="BF2106" i="1"/>
  <c r="N2106" i="1"/>
  <c r="BF2101" i="1"/>
  <c r="N2101" i="1"/>
  <c r="BF2098" i="1"/>
  <c r="N2098" i="1"/>
  <c r="BF2094" i="1"/>
  <c r="N2094" i="1"/>
  <c r="BF2090" i="1"/>
  <c r="N2090" i="1"/>
  <c r="BF2087" i="1"/>
  <c r="N2087" i="1"/>
  <c r="BF2084" i="1"/>
  <c r="N2084" i="1"/>
  <c r="BF2081" i="1"/>
  <c r="N2081" i="1"/>
  <c r="BF2078" i="1"/>
  <c r="N2078" i="1"/>
  <c r="BF2073" i="1"/>
  <c r="N2073" i="1"/>
  <c r="BF2065" i="1"/>
  <c r="N2065" i="1"/>
  <c r="BF2062" i="1"/>
  <c r="N2062" i="1"/>
  <c r="BF2058" i="1"/>
  <c r="N2058" i="1"/>
  <c r="BF2054" i="1"/>
  <c r="N2054" i="1"/>
  <c r="BF2051" i="1"/>
  <c r="N2051" i="1"/>
  <c r="BF2047" i="1"/>
  <c r="N2047" i="1"/>
  <c r="BF2041" i="1"/>
  <c r="N2041" i="1"/>
  <c r="BF2034" i="1"/>
  <c r="N2034" i="1"/>
  <c r="BF2025" i="1"/>
  <c r="N2025" i="1"/>
  <c r="BF2022" i="1"/>
  <c r="N2022" i="1"/>
  <c r="BF2019" i="1"/>
  <c r="N2019" i="1"/>
  <c r="BF2010" i="1"/>
  <c r="N2010" i="1"/>
  <c r="BF2007" i="1"/>
  <c r="N2007" i="1"/>
  <c r="BF2004" i="1"/>
  <c r="N2004" i="1"/>
  <c r="BF2001" i="1"/>
  <c r="N2001" i="1"/>
  <c r="BF1995" i="1"/>
  <c r="N1995" i="1"/>
  <c r="BF1992" i="1"/>
  <c r="N1992" i="1"/>
  <c r="BF1989" i="1"/>
  <c r="N1989" i="1"/>
  <c r="BF1985" i="1"/>
  <c r="N1985" i="1"/>
  <c r="BF1982" i="1"/>
  <c r="N1982" i="1"/>
  <c r="BF1979" i="1"/>
  <c r="N1979" i="1"/>
  <c r="BF1976" i="1"/>
  <c r="N1976" i="1"/>
  <c r="BF1969" i="1"/>
  <c r="N1969" i="1"/>
  <c r="BF1964" i="1"/>
  <c r="N1964" i="1"/>
  <c r="BF1959" i="1"/>
  <c r="N1959" i="1"/>
  <c r="BF1955" i="1"/>
  <c r="N1955" i="1"/>
  <c r="BF1950" i="1"/>
  <c r="N1950" i="1"/>
  <c r="BF1947" i="1"/>
  <c r="N1947" i="1"/>
  <c r="BF1944" i="1"/>
  <c r="N1944" i="1"/>
  <c r="BF1941" i="1"/>
  <c r="N1941" i="1"/>
  <c r="BF1938" i="1"/>
  <c r="N1938" i="1"/>
  <c r="BF1934" i="1"/>
  <c r="N1934" i="1"/>
  <c r="BF1931" i="1"/>
  <c r="N1931" i="1"/>
  <c r="BF1928" i="1"/>
  <c r="N1928" i="1"/>
  <c r="BF1925" i="1"/>
  <c r="N1925" i="1"/>
  <c r="BF1922" i="1"/>
  <c r="N1922" i="1"/>
  <c r="BF1919" i="1"/>
  <c r="N1919" i="1"/>
  <c r="BF1913" i="1"/>
  <c r="N1913" i="1"/>
  <c r="BF1905" i="1"/>
  <c r="N1905" i="1"/>
  <c r="BF1902" i="1"/>
  <c r="N1902" i="1"/>
  <c r="BF1899" i="1"/>
  <c r="N1899" i="1"/>
  <c r="BF1895" i="1"/>
  <c r="N1895" i="1"/>
  <c r="BF1892" i="1"/>
  <c r="N1892" i="1"/>
  <c r="BF1888" i="1"/>
  <c r="N1888" i="1"/>
  <c r="BF1885" i="1"/>
  <c r="N1885" i="1"/>
  <c r="BF1882" i="1"/>
  <c r="N1882" i="1"/>
  <c r="BF1879" i="1"/>
  <c r="N1879" i="1"/>
  <c r="BF1875" i="1"/>
  <c r="N1875" i="1"/>
  <c r="BF1872" i="1"/>
  <c r="N1872" i="1"/>
  <c r="BF1869" i="1"/>
  <c r="N1869" i="1"/>
  <c r="BF1865" i="1"/>
  <c r="N1865" i="1"/>
  <c r="BF1862" i="1"/>
  <c r="N1862" i="1"/>
  <c r="BF1859" i="1"/>
  <c r="N1859" i="1"/>
  <c r="BF1856" i="1"/>
  <c r="N1856" i="1"/>
  <c r="BF1852" i="1"/>
  <c r="N1852" i="1"/>
  <c r="BF1849" i="1"/>
  <c r="N1849" i="1"/>
  <c r="BF1845" i="1"/>
  <c r="N1845" i="1"/>
  <c r="BF1841" i="1"/>
  <c r="N1841" i="1"/>
  <c r="BF1838" i="1"/>
  <c r="N1838" i="1"/>
  <c r="BF1834" i="1"/>
  <c r="N1834" i="1"/>
  <c r="BF1830" i="1"/>
  <c r="N1830" i="1"/>
  <c r="BF1827" i="1"/>
  <c r="N1827" i="1"/>
  <c r="BF1822" i="1"/>
  <c r="N1822" i="1"/>
  <c r="BF1819" i="1"/>
  <c r="N1819" i="1"/>
  <c r="BF1816" i="1"/>
  <c r="N1816" i="1"/>
  <c r="BF1810" i="1"/>
  <c r="N1810" i="1"/>
  <c r="BF1806" i="1"/>
  <c r="N1806" i="1"/>
  <c r="BF1801" i="1"/>
  <c r="N1801" i="1"/>
  <c r="BF1796" i="1"/>
  <c r="N1796" i="1"/>
  <c r="BF1792" i="1"/>
  <c r="N1792" i="1"/>
  <c r="BF1789" i="1"/>
  <c r="N1789" i="1"/>
  <c r="BF1786" i="1"/>
  <c r="N1786" i="1"/>
  <c r="BF1780" i="1"/>
  <c r="N1780" i="1"/>
  <c r="BF1776" i="1"/>
  <c r="N1776" i="1"/>
  <c r="BF1773" i="1"/>
  <c r="N1773" i="1"/>
  <c r="BF1770" i="1"/>
  <c r="N1770" i="1"/>
  <c r="BF1767" i="1"/>
  <c r="N1767" i="1"/>
  <c r="BF1764" i="1"/>
  <c r="N1764" i="1"/>
  <c r="BF1761" i="1"/>
  <c r="N1761" i="1"/>
  <c r="BF1758" i="1"/>
  <c r="N1758" i="1"/>
  <c r="BF1755" i="1"/>
  <c r="N1755" i="1"/>
  <c r="BF1752" i="1"/>
  <c r="N1752" i="1"/>
  <c r="BF1749" i="1"/>
  <c r="N1749" i="1"/>
  <c r="BF1746" i="1"/>
  <c r="N1746" i="1"/>
  <c r="BF1743" i="1"/>
  <c r="N1743" i="1"/>
  <c r="BF1740" i="1"/>
  <c r="N1740" i="1"/>
  <c r="BF1737" i="1"/>
  <c r="N1737" i="1"/>
  <c r="BF1733" i="1"/>
  <c r="N1733" i="1"/>
  <c r="BF1730" i="1"/>
  <c r="N1730" i="1"/>
  <c r="BF1724" i="1"/>
  <c r="N1724" i="1"/>
  <c r="BF1721" i="1"/>
  <c r="N1721" i="1"/>
  <c r="BF1718" i="1"/>
  <c r="N1718" i="1"/>
  <c r="BF1713" i="1"/>
  <c r="N1713" i="1"/>
  <c r="BF1709" i="1"/>
  <c r="N1709" i="1"/>
  <c r="BF1706" i="1"/>
  <c r="N1706" i="1"/>
  <c r="BF1703" i="1"/>
  <c r="N1703" i="1"/>
  <c r="BF1697" i="1"/>
  <c r="N1697" i="1"/>
  <c r="BF1694" i="1"/>
  <c r="N1694" i="1"/>
  <c r="BF1691" i="1"/>
  <c r="N1691" i="1"/>
  <c r="BF1687" i="1"/>
  <c r="N1687" i="1"/>
  <c r="BF1679" i="1"/>
  <c r="N1679" i="1"/>
  <c r="BF1674" i="1"/>
  <c r="N1674" i="1"/>
  <c r="BF1671" i="1"/>
  <c r="N1671" i="1"/>
  <c r="BF1666" i="1"/>
  <c r="N1666" i="1"/>
  <c r="BF1659" i="1"/>
  <c r="N1659" i="1"/>
  <c r="BF1656" i="1"/>
  <c r="N1656" i="1"/>
  <c r="BF1652" i="1"/>
  <c r="N1652" i="1"/>
  <c r="BF1647" i="1"/>
  <c r="N1647" i="1"/>
  <c r="BF1644" i="1"/>
  <c r="N1644" i="1"/>
  <c r="BF1639" i="1"/>
  <c r="N1639" i="1"/>
  <c r="BF1634" i="1"/>
  <c r="N1634" i="1"/>
  <c r="BF1631" i="1"/>
  <c r="N1631" i="1"/>
  <c r="BF1625" i="1"/>
  <c r="N1625" i="1"/>
  <c r="BF1621" i="1"/>
  <c r="N1621" i="1"/>
  <c r="BF1618" i="1"/>
  <c r="N1618" i="1"/>
  <c r="BF1613" i="1"/>
  <c r="N1613" i="1"/>
  <c r="BF1608" i="1"/>
  <c r="N1608" i="1"/>
  <c r="BF1604" i="1"/>
  <c r="N1604" i="1"/>
  <c r="BF1600" i="1"/>
  <c r="N1600" i="1"/>
  <c r="BF1596" i="1"/>
  <c r="N1596" i="1"/>
  <c r="BF1589" i="1"/>
  <c r="N1589" i="1"/>
  <c r="BF1584" i="1"/>
  <c r="N1584" i="1"/>
  <c r="BF1580" i="1"/>
  <c r="N1580" i="1"/>
  <c r="BF1577" i="1"/>
  <c r="N1577" i="1"/>
  <c r="BF1573" i="1"/>
  <c r="N1573" i="1"/>
  <c r="BF1569" i="1"/>
  <c r="N1569" i="1"/>
  <c r="BF1566" i="1"/>
  <c r="N1566" i="1"/>
  <c r="BF1562" i="1"/>
  <c r="N1562" i="1"/>
  <c r="BF1558" i="1"/>
  <c r="N1558" i="1"/>
  <c r="BF1555" i="1"/>
  <c r="N1555" i="1"/>
  <c r="BF1552" i="1"/>
  <c r="N1552" i="1"/>
  <c r="BF1549" i="1"/>
  <c r="N1549" i="1"/>
  <c r="BF1546" i="1"/>
  <c r="N1546" i="1"/>
  <c r="BF1543" i="1"/>
  <c r="N1543" i="1"/>
  <c r="BF1540" i="1"/>
  <c r="N1540" i="1"/>
  <c r="BF1535" i="1"/>
  <c r="N1535" i="1"/>
  <c r="BF1531" i="1"/>
  <c r="N1531" i="1"/>
  <c r="BF1524" i="1"/>
  <c r="N1524" i="1"/>
  <c r="BF1519" i="1"/>
  <c r="N1519" i="1"/>
  <c r="BF1512" i="1"/>
  <c r="N1512" i="1"/>
  <c r="BF1505" i="1"/>
  <c r="N1505" i="1"/>
  <c r="BF1501" i="1"/>
  <c r="N1501" i="1"/>
  <c r="BF1496" i="1"/>
  <c r="N1496" i="1"/>
  <c r="BF1490" i="1"/>
  <c r="N1490" i="1"/>
  <c r="BF1487" i="1"/>
  <c r="N1487" i="1"/>
  <c r="BF1484" i="1"/>
  <c r="N1484" i="1"/>
  <c r="BF1480" i="1"/>
  <c r="N1480" i="1"/>
  <c r="BF1476" i="1"/>
  <c r="N1476" i="1"/>
  <c r="BF1473" i="1"/>
  <c r="N1473" i="1"/>
  <c r="BF1469" i="1"/>
  <c r="N1469" i="1"/>
  <c r="BF1466" i="1"/>
  <c r="N1466" i="1"/>
  <c r="BF1463" i="1"/>
  <c r="N1463" i="1"/>
  <c r="BF1460" i="1"/>
  <c r="N1460" i="1"/>
  <c r="BF1457" i="1"/>
  <c r="N1457" i="1"/>
  <c r="BF1453" i="1"/>
  <c r="N1453" i="1"/>
  <c r="BF1448" i="1"/>
  <c r="N1448" i="1"/>
  <c r="BF1443" i="1"/>
  <c r="N1443" i="1"/>
  <c r="BF1438" i="1"/>
  <c r="N1438" i="1"/>
  <c r="BF1435" i="1"/>
  <c r="N1435" i="1"/>
  <c r="BF1431" i="1"/>
  <c r="N1431" i="1"/>
  <c r="BF1427" i="1"/>
  <c r="N1427" i="1"/>
  <c r="BF1423" i="1"/>
  <c r="N1423" i="1"/>
  <c r="BF1416" i="1"/>
  <c r="N1416" i="1"/>
  <c r="BF1412" i="1"/>
  <c r="N1412" i="1"/>
  <c r="BF1406" i="1"/>
  <c r="N1406" i="1"/>
  <c r="BF1402" i="1"/>
  <c r="N1402" i="1"/>
  <c r="BF1399" i="1"/>
  <c r="N1399" i="1"/>
  <c r="BF1395" i="1"/>
  <c r="N1395" i="1"/>
  <c r="BF1392" i="1"/>
  <c r="N1392" i="1"/>
  <c r="BF1388" i="1"/>
  <c r="N1388" i="1"/>
  <c r="BF1383" i="1"/>
  <c r="N1383" i="1"/>
  <c r="BF1380" i="1"/>
  <c r="N1380" i="1"/>
  <c r="BF1377" i="1"/>
  <c r="N1377" i="1"/>
  <c r="BF1373" i="1"/>
  <c r="N1373" i="1"/>
  <c r="BF1370" i="1"/>
  <c r="N1370" i="1"/>
  <c r="BF1366" i="1"/>
  <c r="N1366" i="1"/>
  <c r="BF1363" i="1"/>
  <c r="N1363" i="1"/>
  <c r="BF1358" i="1"/>
  <c r="N1358" i="1"/>
  <c r="BF1352" i="1"/>
  <c r="N1352" i="1"/>
  <c r="BF1347" i="1"/>
  <c r="N1347" i="1"/>
  <c r="BF1344" i="1"/>
  <c r="N1344" i="1"/>
  <c r="BF1340" i="1"/>
  <c r="N1340" i="1"/>
  <c r="BF1336" i="1"/>
  <c r="N1336" i="1"/>
  <c r="BF1333" i="1"/>
  <c r="N1333" i="1"/>
  <c r="BF1328" i="1"/>
  <c r="N1328" i="1"/>
  <c r="BF1322" i="1"/>
  <c r="N1322" i="1"/>
  <c r="BF1319" i="1"/>
  <c r="N1319" i="1"/>
  <c r="BF1315" i="1"/>
  <c r="N1315" i="1"/>
  <c r="BF1310" i="1"/>
  <c r="N1310" i="1"/>
  <c r="BF1307" i="1"/>
  <c r="N1307" i="1"/>
  <c r="BF1300" i="1"/>
  <c r="N1300" i="1"/>
  <c r="BF1297" i="1"/>
  <c r="N1297" i="1"/>
  <c r="BF1294" i="1"/>
  <c r="N1294" i="1"/>
  <c r="BF1289" i="1"/>
  <c r="N1289" i="1"/>
  <c r="BF1286" i="1"/>
  <c r="N1286" i="1"/>
  <c r="BF1283" i="1"/>
  <c r="N1283" i="1"/>
  <c r="BF1280" i="1"/>
  <c r="N1280" i="1"/>
  <c r="BF1277" i="1"/>
  <c r="N1277" i="1"/>
  <c r="BF1274" i="1"/>
  <c r="N1274" i="1"/>
  <c r="BF1270" i="1"/>
  <c r="N1270" i="1"/>
  <c r="BF1266" i="1"/>
  <c r="N1266" i="1"/>
  <c r="BF1262" i="1"/>
  <c r="N1262" i="1"/>
  <c r="BF1259" i="1"/>
  <c r="N1259" i="1"/>
  <c r="BF1255" i="1"/>
  <c r="N1255" i="1"/>
  <c r="BF1251" i="1"/>
  <c r="N1251" i="1"/>
  <c r="BF1248" i="1"/>
  <c r="N1248" i="1"/>
  <c r="BF1244" i="1"/>
  <c r="N1244" i="1"/>
  <c r="BF1238" i="1"/>
  <c r="N1238" i="1"/>
  <c r="BF1234" i="1"/>
  <c r="N1234" i="1"/>
  <c r="BF1228" i="1"/>
  <c r="N1228" i="1"/>
  <c r="BF1221" i="1"/>
  <c r="N1221" i="1"/>
  <c r="BF1213" i="1"/>
  <c r="N1213" i="1"/>
  <c r="BF1208" i="1"/>
  <c r="N1208" i="1"/>
  <c r="BF1205" i="1"/>
  <c r="N1205" i="1"/>
  <c r="BF1197" i="1"/>
  <c r="N1197" i="1"/>
  <c r="BF1191" i="1"/>
  <c r="N1191" i="1"/>
  <c r="BF1186" i="1"/>
  <c r="N1186" i="1"/>
  <c r="BF1182" i="1"/>
  <c r="N1182" i="1"/>
  <c r="BF1171" i="1"/>
  <c r="N1171" i="1"/>
  <c r="BF1167" i="1"/>
  <c r="N1167" i="1"/>
  <c r="BF1162" i="1"/>
  <c r="N1162" i="1"/>
  <c r="BF1159" i="1"/>
  <c r="N1159" i="1"/>
  <c r="BF1147" i="1"/>
  <c r="N1147" i="1"/>
  <c r="BF1144" i="1"/>
  <c r="N1144" i="1"/>
  <c r="BF1141" i="1"/>
  <c r="N1141" i="1"/>
  <c r="BF1137" i="1"/>
  <c r="N1137" i="1"/>
  <c r="BF1134" i="1"/>
  <c r="N1134" i="1"/>
  <c r="BF1130" i="1"/>
  <c r="N1130" i="1"/>
  <c r="BF1125" i="1"/>
  <c r="N1125" i="1"/>
  <c r="BF1122" i="1"/>
  <c r="N1122" i="1"/>
  <c r="BF1118" i="1"/>
  <c r="N1118" i="1"/>
  <c r="BF1113" i="1"/>
  <c r="N1113" i="1"/>
  <c r="BF1109" i="1"/>
  <c r="N1109" i="1"/>
  <c r="BF1105" i="1"/>
  <c r="N1105" i="1"/>
  <c r="BF1096" i="1"/>
  <c r="N1096" i="1"/>
  <c r="BF1092" i="1"/>
  <c r="N1092" i="1"/>
  <c r="BF1089" i="1"/>
  <c r="N1089" i="1"/>
  <c r="BF1086" i="1"/>
  <c r="N1086" i="1"/>
  <c r="BF1082" i="1"/>
  <c r="N1082" i="1"/>
  <c r="BF1076" i="1"/>
  <c r="N1076" i="1"/>
  <c r="BF1070" i="1"/>
  <c r="N1070" i="1"/>
  <c r="BF1066" i="1"/>
  <c r="N1066" i="1"/>
  <c r="BF1062" i="1"/>
  <c r="N1062" i="1"/>
  <c r="BF1058" i="1"/>
  <c r="N1058" i="1"/>
  <c r="BF1054" i="1"/>
  <c r="N1054" i="1"/>
  <c r="BF1050" i="1"/>
  <c r="N1050" i="1"/>
  <c r="BF1045" i="1"/>
  <c r="N1045" i="1"/>
  <c r="BF1042" i="1"/>
  <c r="N1042" i="1"/>
  <c r="BF1038" i="1"/>
  <c r="N1038" i="1"/>
  <c r="BF1035" i="1"/>
  <c r="N1035" i="1"/>
  <c r="BF1030" i="1"/>
  <c r="N1030" i="1"/>
  <c r="BF1023" i="1"/>
  <c r="N1023" i="1"/>
  <c r="BF1018" i="1"/>
  <c r="N1018" i="1"/>
  <c r="BF1015" i="1"/>
  <c r="N1015" i="1"/>
  <c r="BF1009" i="1"/>
  <c r="N1009" i="1"/>
  <c r="BF1006" i="1"/>
  <c r="N1006" i="1"/>
  <c r="BF1001" i="1"/>
  <c r="N1001" i="1"/>
  <c r="BF997" i="1"/>
  <c r="N997" i="1"/>
  <c r="BF994" i="1"/>
  <c r="N994" i="1"/>
  <c r="BF990" i="1"/>
  <c r="N990" i="1"/>
  <c r="BF986" i="1"/>
  <c r="N986" i="1"/>
  <c r="BF982" i="1"/>
  <c r="N982" i="1"/>
  <c r="BF977" i="1"/>
  <c r="N977" i="1"/>
  <c r="BF974" i="1"/>
  <c r="N974" i="1"/>
  <c r="BF969" i="1"/>
  <c r="N969" i="1"/>
  <c r="BF964" i="1"/>
  <c r="N964" i="1"/>
  <c r="BF960" i="1"/>
  <c r="N960" i="1"/>
  <c r="BF952" i="1"/>
  <c r="N952" i="1"/>
  <c r="BF948" i="1"/>
  <c r="N948" i="1"/>
  <c r="BF945" i="1"/>
  <c r="N945" i="1"/>
  <c r="BF940" i="1"/>
  <c r="N940" i="1"/>
  <c r="BF937" i="1"/>
  <c r="N937" i="1"/>
  <c r="BF934" i="1"/>
  <c r="N934" i="1"/>
  <c r="BF928" i="1"/>
  <c r="N928" i="1"/>
  <c r="BF925" i="1"/>
  <c r="N925" i="1"/>
  <c r="BF922" i="1"/>
  <c r="N922" i="1"/>
  <c r="BF916" i="1"/>
  <c r="N916" i="1"/>
  <c r="BF909" i="1"/>
  <c r="N909" i="1"/>
  <c r="BF906" i="1"/>
  <c r="N906" i="1"/>
  <c r="BF902" i="1"/>
  <c r="N902" i="1"/>
  <c r="BF899" i="1"/>
  <c r="N899" i="1"/>
  <c r="BF895" i="1"/>
  <c r="N895" i="1"/>
  <c r="BF890" i="1"/>
  <c r="N890" i="1"/>
  <c r="BF883" i="1"/>
  <c r="N883" i="1"/>
  <c r="BF878" i="1"/>
  <c r="N878" i="1"/>
  <c r="BF873" i="1"/>
  <c r="N873" i="1"/>
  <c r="BF868" i="1"/>
  <c r="N868" i="1"/>
  <c r="BF863" i="1"/>
  <c r="N863" i="1"/>
  <c r="BF856" i="1"/>
  <c r="N856" i="1"/>
  <c r="BF852" i="1"/>
  <c r="N852" i="1"/>
  <c r="BF849" i="1"/>
  <c r="N849" i="1"/>
  <c r="BF842" i="1"/>
  <c r="N842" i="1"/>
  <c r="BF837" i="1"/>
  <c r="N837" i="1"/>
  <c r="BF833" i="1"/>
  <c r="N833" i="1"/>
  <c r="BF830" i="1"/>
  <c r="N830" i="1"/>
  <c r="BF827" i="1"/>
  <c r="N827" i="1"/>
  <c r="BF824" i="1"/>
  <c r="N824" i="1"/>
  <c r="BF821" i="1"/>
  <c r="N821" i="1"/>
  <c r="BF817" i="1"/>
  <c r="N817" i="1"/>
  <c r="BF814" i="1"/>
  <c r="N814" i="1"/>
  <c r="BF811" i="1"/>
  <c r="N811" i="1"/>
  <c r="BF808" i="1"/>
  <c r="N808" i="1"/>
  <c r="BF805" i="1"/>
  <c r="N805" i="1"/>
  <c r="BF801" i="1"/>
  <c r="N801" i="1"/>
  <c r="BF798" i="1"/>
  <c r="N798" i="1"/>
  <c r="BF794" i="1"/>
  <c r="N794" i="1"/>
  <c r="BF791" i="1"/>
  <c r="N791" i="1"/>
  <c r="BF788" i="1"/>
  <c r="N788" i="1"/>
  <c r="BF782" i="1"/>
  <c r="N782" i="1"/>
  <c r="BF779" i="1"/>
  <c r="N779" i="1"/>
  <c r="BF775" i="1"/>
  <c r="N775" i="1"/>
  <c r="BF772" i="1"/>
  <c r="N772" i="1"/>
  <c r="BF762" i="1"/>
  <c r="N762" i="1"/>
  <c r="BF759" i="1"/>
  <c r="N759" i="1"/>
  <c r="BF756" i="1"/>
  <c r="N756" i="1"/>
  <c r="BF752" i="1"/>
  <c r="N752" i="1"/>
  <c r="BF749" i="1"/>
  <c r="N749" i="1"/>
  <c r="BF744" i="1"/>
  <c r="N744" i="1"/>
  <c r="BF741" i="1"/>
  <c r="N741" i="1"/>
  <c r="BF731" i="1"/>
  <c r="N731" i="1"/>
  <c r="BF728" i="1"/>
  <c r="N728" i="1"/>
  <c r="BF725" i="1"/>
  <c r="N725" i="1"/>
  <c r="BF720" i="1"/>
  <c r="N720" i="1"/>
  <c r="BF717" i="1"/>
  <c r="N717" i="1"/>
  <c r="BF712" i="1"/>
  <c r="N712" i="1"/>
  <c r="BF707" i="1"/>
  <c r="N707" i="1"/>
  <c r="BF704" i="1"/>
  <c r="N704" i="1"/>
  <c r="BF699" i="1"/>
  <c r="N699" i="1"/>
  <c r="BF696" i="1"/>
  <c r="N696" i="1"/>
  <c r="BF692" i="1"/>
  <c r="N692" i="1"/>
  <c r="BF689" i="1"/>
  <c r="N689" i="1"/>
  <c r="BF684" i="1"/>
  <c r="N684" i="1"/>
  <c r="BF681" i="1"/>
  <c r="N681" i="1"/>
  <c r="BF678" i="1"/>
  <c r="N678" i="1"/>
  <c r="BF672" i="1"/>
  <c r="N672" i="1"/>
  <c r="BF669" i="1"/>
  <c r="N669" i="1"/>
  <c r="BF666" i="1"/>
  <c r="N666" i="1"/>
  <c r="BF660" i="1"/>
  <c r="N660" i="1"/>
  <c r="BF657" i="1"/>
  <c r="N657" i="1"/>
  <c r="BF654" i="1"/>
  <c r="N654" i="1"/>
  <c r="BF651" i="1"/>
  <c r="N651" i="1"/>
  <c r="BF647" i="1"/>
  <c r="N647" i="1"/>
  <c r="BF638" i="1"/>
  <c r="N638" i="1"/>
  <c r="BF634" i="1"/>
  <c r="N634" i="1"/>
  <c r="BF628" i="1"/>
  <c r="N628" i="1"/>
  <c r="BF624" i="1"/>
  <c r="N624" i="1"/>
  <c r="BF619" i="1"/>
  <c r="N619" i="1"/>
  <c r="BF615" i="1"/>
  <c r="N615" i="1"/>
  <c r="BF612" i="1"/>
  <c r="N612" i="1"/>
  <c r="BF609" i="1"/>
  <c r="N609" i="1"/>
  <c r="BF603" i="1"/>
  <c r="N603" i="1"/>
  <c r="BF600" i="1"/>
  <c r="N600" i="1"/>
  <c r="BF596" i="1"/>
  <c r="N596" i="1"/>
  <c r="BF593" i="1"/>
  <c r="N593" i="1"/>
  <c r="BF586" i="1"/>
  <c r="N586" i="1"/>
  <c r="BF580" i="1"/>
  <c r="N580" i="1"/>
  <c r="BF577" i="1"/>
  <c r="N577" i="1"/>
  <c r="BF574" i="1"/>
  <c r="N574" i="1"/>
  <c r="BF571" i="1"/>
  <c r="N571" i="1"/>
  <c r="BF568" i="1"/>
  <c r="N568" i="1"/>
  <c r="BF560" i="1"/>
  <c r="N560" i="1"/>
  <c r="BF556" i="1"/>
  <c r="N556" i="1"/>
  <c r="BF552" i="1"/>
  <c r="N552" i="1"/>
  <c r="BF547" i="1"/>
  <c r="N547" i="1"/>
  <c r="BF543" i="1"/>
  <c r="N543" i="1"/>
  <c r="BF540" i="1"/>
  <c r="N540" i="1"/>
  <c r="BF536" i="1"/>
  <c r="N536" i="1"/>
  <c r="BF533" i="1"/>
  <c r="N533" i="1"/>
  <c r="BF530" i="1"/>
  <c r="N530" i="1"/>
  <c r="BF527" i="1"/>
  <c r="N527" i="1"/>
  <c r="BF524" i="1"/>
  <c r="N524" i="1"/>
  <c r="BF521" i="1"/>
  <c r="N521" i="1"/>
  <c r="BF518" i="1"/>
  <c r="N518" i="1"/>
  <c r="BF515" i="1"/>
  <c r="N515" i="1"/>
  <c r="BF511" i="1"/>
  <c r="N511" i="1"/>
  <c r="BF507" i="1"/>
  <c r="N507" i="1"/>
  <c r="BF503" i="1"/>
  <c r="N503" i="1"/>
  <c r="BF498" i="1"/>
  <c r="N498" i="1"/>
  <c r="BF495" i="1"/>
  <c r="N495" i="1"/>
  <c r="BF492" i="1"/>
  <c r="N492" i="1"/>
  <c r="BF488" i="1"/>
  <c r="N488" i="1"/>
  <c r="BF485" i="1"/>
  <c r="N485" i="1"/>
  <c r="BF480" i="1"/>
  <c r="N480" i="1"/>
  <c r="BF473" i="1"/>
  <c r="N473" i="1"/>
  <c r="BF469" i="1"/>
  <c r="N469" i="1"/>
  <c r="BF464" i="1"/>
  <c r="N464" i="1"/>
  <c r="BF460" i="1"/>
  <c r="N460" i="1"/>
  <c r="BF456" i="1"/>
  <c r="N456" i="1"/>
  <c r="BF453" i="1"/>
  <c r="N453" i="1"/>
  <c r="BF450" i="1"/>
  <c r="N450" i="1"/>
  <c r="BF441" i="1"/>
  <c r="N441" i="1"/>
  <c r="BF438" i="1"/>
  <c r="N438" i="1"/>
  <c r="BF433" i="1"/>
  <c r="N433" i="1"/>
  <c r="BF430" i="1"/>
  <c r="N430" i="1"/>
  <c r="BF426" i="1"/>
  <c r="N426" i="1"/>
  <c r="BF423" i="1"/>
  <c r="N423" i="1"/>
  <c r="BF420" i="1"/>
  <c r="N420" i="1"/>
  <c r="BF416" i="1"/>
  <c r="N416" i="1"/>
  <c r="BF412" i="1"/>
  <c r="N412" i="1"/>
  <c r="BF405" i="1"/>
  <c r="N405" i="1"/>
  <c r="BF399" i="1"/>
  <c r="N399" i="1"/>
  <c r="BF396" i="1"/>
  <c r="N396" i="1"/>
  <c r="BF393" i="1"/>
  <c r="N393" i="1"/>
  <c r="BF390" i="1"/>
  <c r="N390" i="1"/>
  <c r="BF386" i="1"/>
  <c r="N386" i="1"/>
  <c r="BF382" i="1"/>
  <c r="N382" i="1"/>
  <c r="BF378" i="1"/>
  <c r="N378" i="1"/>
  <c r="BF374" i="1"/>
  <c r="N374" i="1"/>
  <c r="BF363" i="1"/>
  <c r="N363" i="1"/>
  <c r="BF359" i="1"/>
  <c r="N359" i="1"/>
  <c r="BF355" i="1"/>
  <c r="N355" i="1"/>
  <c r="BF352" i="1"/>
  <c r="N352" i="1"/>
  <c r="BF349" i="1"/>
  <c r="N349" i="1"/>
  <c r="BF345" i="1"/>
  <c r="N345" i="1"/>
  <c r="BF340" i="1"/>
  <c r="N340" i="1"/>
  <c r="BF336" i="1"/>
  <c r="N336" i="1"/>
  <c r="BF332" i="1"/>
  <c r="N332" i="1"/>
  <c r="BF329" i="1"/>
  <c r="N329" i="1"/>
  <c r="BF326" i="1"/>
  <c r="N326" i="1"/>
  <c r="BF323" i="1"/>
  <c r="N323" i="1"/>
  <c r="BF320" i="1"/>
  <c r="N320" i="1"/>
  <c r="BF316" i="1"/>
  <c r="N316" i="1"/>
  <c r="BF313" i="1"/>
  <c r="N313" i="1"/>
  <c r="BF309" i="1"/>
  <c r="N309" i="1"/>
  <c r="BF303" i="1"/>
  <c r="N303" i="1"/>
  <c r="BF299" i="1"/>
  <c r="N299" i="1"/>
  <c r="BF294" i="1"/>
  <c r="N294" i="1"/>
  <c r="BF291" i="1"/>
  <c r="N291" i="1"/>
  <c r="BF287" i="1"/>
  <c r="N287" i="1"/>
  <c r="BF283" i="1"/>
  <c r="N283" i="1"/>
  <c r="BF279" i="1"/>
  <c r="N279" i="1"/>
  <c r="BF274" i="1"/>
  <c r="N274" i="1"/>
  <c r="BF268" i="1"/>
  <c r="N268" i="1"/>
  <c r="BF263" i="1"/>
  <c r="N263" i="1"/>
  <c r="BF260" i="1"/>
  <c r="N260" i="1"/>
  <c r="BF257" i="1"/>
  <c r="N257" i="1"/>
  <c r="BF250" i="1"/>
  <c r="N250" i="1"/>
  <c r="BF247" i="1"/>
  <c r="N247" i="1"/>
  <c r="BF243" i="1"/>
  <c r="N243" i="1"/>
  <c r="BF236" i="1"/>
  <c r="N236" i="1"/>
  <c r="BF226" i="1"/>
  <c r="N226" i="1"/>
  <c r="BF221" i="1"/>
  <c r="N221" i="1"/>
  <c r="BF218" i="1"/>
  <c r="N218" i="1"/>
  <c r="BF215" i="1"/>
  <c r="N215" i="1"/>
  <c r="BF212" i="1"/>
  <c r="N212" i="1"/>
  <c r="BF207" i="1"/>
  <c r="N207" i="1"/>
  <c r="BF203" i="1"/>
  <c r="N203" i="1"/>
  <c r="BF199" i="1"/>
  <c r="N199" i="1"/>
  <c r="BF196" i="1"/>
  <c r="N196" i="1"/>
  <c r="BF193" i="1"/>
  <c r="N193" i="1"/>
  <c r="BF187" i="1"/>
  <c r="N187" i="1"/>
  <c r="BF184" i="1"/>
  <c r="N184" i="1"/>
  <c r="BF181" i="1"/>
  <c r="N181" i="1"/>
  <c r="BF177" i="1"/>
  <c r="N177" i="1"/>
  <c r="BF174" i="1"/>
  <c r="N174" i="1"/>
  <c r="BF171" i="1"/>
  <c r="N171" i="1"/>
  <c r="BF163" i="1"/>
  <c r="N163" i="1"/>
  <c r="BF159" i="1"/>
  <c r="N159" i="1"/>
  <c r="BF155" i="1"/>
  <c r="N155" i="1"/>
  <c r="BF149" i="1"/>
  <c r="N149" i="1"/>
  <c r="BF146" i="1"/>
  <c r="N146" i="1"/>
  <c r="BF143" i="1"/>
  <c r="N143" i="1"/>
  <c r="BF140" i="1"/>
  <c r="N140" i="1"/>
  <c r="BF137" i="1"/>
  <c r="N137" i="1"/>
  <c r="BF134" i="1"/>
  <c r="N134" i="1"/>
  <c r="BF128" i="1"/>
  <c r="N128" i="1"/>
  <c r="BF117" i="1"/>
  <c r="N117" i="1"/>
  <c r="BF113" i="1"/>
  <c r="N113" i="1"/>
  <c r="BF102" i="1"/>
  <c r="N102" i="1"/>
  <c r="BF92" i="1"/>
  <c r="N92" i="1"/>
  <c r="BF89" i="1"/>
  <c r="N89" i="1"/>
  <c r="BF86" i="1"/>
  <c r="N86" i="1"/>
  <c r="BF80" i="1"/>
  <c r="N80" i="1"/>
  <c r="BF72" i="1"/>
  <c r="N72" i="1"/>
  <c r="BF68" i="1"/>
  <c r="N68" i="1"/>
  <c r="BF64" i="1"/>
  <c r="N64" i="1"/>
  <c r="BF60" i="1"/>
  <c r="N60" i="1"/>
  <c r="BF54" i="1"/>
  <c r="N54" i="1"/>
  <c r="BF51" i="1"/>
  <c r="N51" i="1"/>
  <c r="BF46" i="1"/>
  <c r="N46" i="1"/>
  <c r="BF41" i="1"/>
  <c r="N41" i="1"/>
  <c r="BF36" i="1"/>
  <c r="N36" i="1"/>
  <c r="BF32" i="1"/>
  <c r="N32" i="1"/>
  <c r="BF29" i="1"/>
  <c r="N29" i="1"/>
  <c r="BF25" i="1"/>
  <c r="N25" i="1"/>
  <c r="BF21" i="1"/>
  <c r="N21" i="1"/>
  <c r="BF18" i="1"/>
  <c r="N18" i="1"/>
  <c r="T17" i="1"/>
  <c r="U17" i="1"/>
  <c r="V17" i="1"/>
  <c r="W17" i="1"/>
  <c r="X17" i="1"/>
  <c r="AE17" i="1"/>
  <c r="Y17" i="1"/>
  <c r="Z17" i="1"/>
  <c r="AB17" i="1"/>
  <c r="AC17" i="1"/>
  <c r="AF17" i="1"/>
  <c r="AI17" i="1"/>
  <c r="AE18" i="1"/>
  <c r="AC18" i="1"/>
  <c r="AJ17" i="1"/>
  <c r="AK17" i="1"/>
  <c r="AM17" i="1"/>
  <c r="BF17" i="1"/>
  <c r="BG17" i="1"/>
  <c r="T18" i="1"/>
  <c r="U18" i="1"/>
  <c r="V18" i="1"/>
  <c r="W18" i="1"/>
  <c r="X18" i="1"/>
  <c r="Y18" i="1"/>
  <c r="Z18" i="1"/>
  <c r="AB18" i="1"/>
  <c r="AF18" i="1"/>
  <c r="AI18" i="1"/>
  <c r="H19" i="1"/>
  <c r="AE19" i="1"/>
  <c r="I19" i="1"/>
  <c r="J19" i="1"/>
  <c r="K19" i="1"/>
  <c r="AC19" i="1"/>
  <c r="AJ18" i="1"/>
  <c r="AK18" i="1"/>
  <c r="AM18" i="1"/>
  <c r="BG18" i="1"/>
  <c r="T19" i="1"/>
  <c r="U19" i="1"/>
  <c r="V19" i="1"/>
  <c r="W19" i="1"/>
  <c r="X19" i="1"/>
  <c r="Y19" i="1"/>
  <c r="Z19" i="1"/>
  <c r="AB19" i="1"/>
  <c r="AF19" i="1"/>
  <c r="AI19" i="1"/>
  <c r="AE20" i="1"/>
  <c r="AC20" i="1"/>
  <c r="AJ19" i="1"/>
  <c r="AK19" i="1"/>
  <c r="AM19" i="1"/>
  <c r="BF19" i="1"/>
  <c r="BG19" i="1"/>
  <c r="T20" i="1"/>
  <c r="U20" i="1"/>
  <c r="V20" i="1"/>
  <c r="W20" i="1"/>
  <c r="X20" i="1"/>
  <c r="Y20" i="1"/>
  <c r="Z20" i="1"/>
  <c r="AB20" i="1"/>
  <c r="AF20" i="1"/>
  <c r="AI20" i="1"/>
  <c r="AE21" i="1"/>
  <c r="AC21" i="1"/>
  <c r="AJ20" i="1"/>
  <c r="AK20" i="1"/>
  <c r="AM20" i="1"/>
  <c r="BF20" i="1"/>
  <c r="BG20" i="1"/>
  <c r="T21" i="1"/>
  <c r="U21" i="1"/>
  <c r="V21" i="1"/>
  <c r="W21" i="1"/>
  <c r="X21" i="1"/>
  <c r="Y21" i="1"/>
  <c r="Z21" i="1"/>
  <c r="AB21" i="1"/>
  <c r="AF21" i="1"/>
  <c r="AI21" i="1"/>
  <c r="H22" i="1"/>
  <c r="AE22" i="1"/>
  <c r="I22" i="1"/>
  <c r="J22" i="1"/>
  <c r="K22" i="1"/>
  <c r="AC22" i="1"/>
  <c r="AJ21" i="1"/>
  <c r="AK21" i="1"/>
  <c r="AM21" i="1"/>
  <c r="BG21" i="1"/>
  <c r="T22" i="1"/>
  <c r="U22" i="1"/>
  <c r="V22" i="1"/>
  <c r="W22" i="1"/>
  <c r="X22" i="1"/>
  <c r="Y22" i="1"/>
  <c r="Z22" i="1"/>
  <c r="AB22" i="1"/>
  <c r="AF22" i="1"/>
  <c r="AI22" i="1"/>
  <c r="H23" i="1"/>
  <c r="AE23" i="1"/>
  <c r="I23" i="1"/>
  <c r="J23" i="1"/>
  <c r="K23" i="1"/>
  <c r="AC23" i="1"/>
  <c r="AJ22" i="1"/>
  <c r="AK22" i="1"/>
  <c r="AM22" i="1"/>
  <c r="BF22" i="1"/>
  <c r="BG22" i="1"/>
  <c r="T23" i="1"/>
  <c r="U23" i="1"/>
  <c r="V23" i="1"/>
  <c r="W23" i="1"/>
  <c r="X23" i="1"/>
  <c r="Y23" i="1"/>
  <c r="Z23" i="1"/>
  <c r="AB23" i="1"/>
  <c r="AF23" i="1"/>
  <c r="AI23" i="1"/>
  <c r="AE24" i="1"/>
  <c r="AC24" i="1"/>
  <c r="AJ23" i="1"/>
  <c r="AK23" i="1"/>
  <c r="AM23" i="1"/>
  <c r="BF23" i="1"/>
  <c r="BG23" i="1"/>
  <c r="T24" i="1"/>
  <c r="U24" i="1"/>
  <c r="V24" i="1"/>
  <c r="W24" i="1"/>
  <c r="X24" i="1"/>
  <c r="Y24" i="1"/>
  <c r="Z24" i="1"/>
  <c r="AB24" i="1"/>
  <c r="AF24" i="1"/>
  <c r="AI24" i="1"/>
  <c r="AE25" i="1"/>
  <c r="AC25" i="1"/>
  <c r="AJ24" i="1"/>
  <c r="AK24" i="1"/>
  <c r="AM24" i="1"/>
  <c r="BF24" i="1"/>
  <c r="BG24" i="1"/>
  <c r="T25" i="1"/>
  <c r="U25" i="1"/>
  <c r="V25" i="1"/>
  <c r="W25" i="1"/>
  <c r="X25" i="1"/>
  <c r="Y25" i="1"/>
  <c r="Z25" i="1"/>
  <c r="AB25" i="1"/>
  <c r="AF25" i="1"/>
  <c r="AI25" i="1"/>
  <c r="H26" i="1"/>
  <c r="AE26" i="1"/>
  <c r="I26" i="1"/>
  <c r="J26" i="1"/>
  <c r="K26" i="1"/>
  <c r="AC26" i="1"/>
  <c r="AJ25" i="1"/>
  <c r="AK25" i="1"/>
  <c r="AM25" i="1"/>
  <c r="BG25" i="1"/>
  <c r="T26" i="1"/>
  <c r="U26" i="1"/>
  <c r="V26" i="1"/>
  <c r="W26" i="1"/>
  <c r="X26" i="1"/>
  <c r="Y26" i="1"/>
  <c r="Z26" i="1"/>
  <c r="AB26" i="1"/>
  <c r="AF26" i="1"/>
  <c r="AI26" i="1"/>
  <c r="H27" i="1"/>
  <c r="AE27" i="1"/>
  <c r="I27" i="1"/>
  <c r="J27" i="1"/>
  <c r="K27" i="1"/>
  <c r="AC27" i="1"/>
  <c r="AJ26" i="1"/>
  <c r="AK26" i="1"/>
  <c r="AM26" i="1"/>
  <c r="BF26" i="1"/>
  <c r="BG26" i="1"/>
  <c r="T27" i="1"/>
  <c r="U27" i="1"/>
  <c r="V27" i="1"/>
  <c r="W27" i="1"/>
  <c r="X27" i="1"/>
  <c r="Y27" i="1"/>
  <c r="Z27" i="1"/>
  <c r="AB27" i="1"/>
  <c r="AF27" i="1"/>
  <c r="AI27" i="1"/>
  <c r="AE28" i="1"/>
  <c r="AC28" i="1"/>
  <c r="AJ27" i="1"/>
  <c r="AK27" i="1"/>
  <c r="AM27" i="1"/>
  <c r="BF27" i="1"/>
  <c r="BG27" i="1"/>
  <c r="T28" i="1"/>
  <c r="U28" i="1"/>
  <c r="V28" i="1"/>
  <c r="W28" i="1"/>
  <c r="X28" i="1"/>
  <c r="Y28" i="1"/>
  <c r="Z28" i="1"/>
  <c r="AB28" i="1"/>
  <c r="AF28" i="1"/>
  <c r="AI28" i="1"/>
  <c r="AE29" i="1"/>
  <c r="AC29" i="1"/>
  <c r="AJ28" i="1"/>
  <c r="AK28" i="1"/>
  <c r="AM28" i="1"/>
  <c r="BF28" i="1"/>
  <c r="BG28" i="1"/>
  <c r="T29" i="1"/>
  <c r="U29" i="1"/>
  <c r="V29" i="1"/>
  <c r="W29" i="1"/>
  <c r="X29" i="1"/>
  <c r="Y29" i="1"/>
  <c r="Z29" i="1"/>
  <c r="AB29" i="1"/>
  <c r="AF29" i="1"/>
  <c r="AI29" i="1"/>
  <c r="H30" i="1"/>
  <c r="AE30" i="1"/>
  <c r="I30" i="1"/>
  <c r="J30" i="1"/>
  <c r="K30" i="1"/>
  <c r="AC30" i="1"/>
  <c r="AJ29" i="1"/>
  <c r="AK29" i="1"/>
  <c r="AM29" i="1"/>
  <c r="BG29" i="1"/>
  <c r="T30" i="1"/>
  <c r="U30" i="1"/>
  <c r="V30" i="1"/>
  <c r="W30" i="1"/>
  <c r="X30" i="1"/>
  <c r="Y30" i="1"/>
  <c r="Z30" i="1"/>
  <c r="AB30" i="1"/>
  <c r="AF30" i="1"/>
  <c r="AI30" i="1"/>
  <c r="AE31" i="1"/>
  <c r="AC31" i="1"/>
  <c r="AJ30" i="1"/>
  <c r="AK30" i="1"/>
  <c r="AM30" i="1"/>
  <c r="BF30" i="1"/>
  <c r="BG30" i="1"/>
  <c r="T31" i="1"/>
  <c r="U31" i="1"/>
  <c r="V31" i="1"/>
  <c r="W31" i="1"/>
  <c r="X31" i="1"/>
  <c r="Y31" i="1"/>
  <c r="Z31" i="1"/>
  <c r="AB31" i="1"/>
  <c r="AF31" i="1"/>
  <c r="AI31" i="1"/>
  <c r="AE32" i="1"/>
  <c r="AC32" i="1"/>
  <c r="AJ31" i="1"/>
  <c r="AK31" i="1"/>
  <c r="AM31" i="1"/>
  <c r="BF31" i="1"/>
  <c r="BG31" i="1"/>
  <c r="T32" i="1"/>
  <c r="U32" i="1"/>
  <c r="V32" i="1"/>
  <c r="W32" i="1"/>
  <c r="X32" i="1"/>
  <c r="Y32" i="1"/>
  <c r="Z32" i="1"/>
  <c r="AB32" i="1"/>
  <c r="AF32" i="1"/>
  <c r="AI32" i="1"/>
  <c r="H33" i="1"/>
  <c r="AE33" i="1"/>
  <c r="I33" i="1"/>
  <c r="J33" i="1"/>
  <c r="K33" i="1"/>
  <c r="AC33" i="1"/>
  <c r="AJ32" i="1"/>
  <c r="AK32" i="1"/>
  <c r="AM32" i="1"/>
  <c r="BG32" i="1"/>
  <c r="T33" i="1"/>
  <c r="U33" i="1"/>
  <c r="V33" i="1"/>
  <c r="W33" i="1"/>
  <c r="X33" i="1"/>
  <c r="Y33" i="1"/>
  <c r="Z33" i="1"/>
  <c r="AB33" i="1"/>
  <c r="AF33" i="1"/>
  <c r="AI33" i="1"/>
  <c r="H34" i="1"/>
  <c r="AE34" i="1"/>
  <c r="I34" i="1"/>
  <c r="J34" i="1"/>
  <c r="K34" i="1"/>
  <c r="AC34" i="1"/>
  <c r="AJ33" i="1"/>
  <c r="AK33" i="1"/>
  <c r="AM33" i="1"/>
  <c r="BF33" i="1"/>
  <c r="BG33" i="1"/>
  <c r="T34" i="1"/>
  <c r="U34" i="1"/>
  <c r="V34" i="1"/>
  <c r="W34" i="1"/>
  <c r="X34" i="1"/>
  <c r="Y34" i="1"/>
  <c r="Z34" i="1"/>
  <c r="AB34" i="1"/>
  <c r="AF34" i="1"/>
  <c r="AI34" i="1"/>
  <c r="AE35" i="1"/>
  <c r="AC35" i="1"/>
  <c r="AJ34" i="1"/>
  <c r="AK34" i="1"/>
  <c r="AM34" i="1"/>
  <c r="BF34" i="1"/>
  <c r="BG34" i="1"/>
  <c r="T35" i="1"/>
  <c r="U35" i="1"/>
  <c r="V35" i="1"/>
  <c r="W35" i="1"/>
  <c r="X35" i="1"/>
  <c r="Y35" i="1"/>
  <c r="Z35" i="1"/>
  <c r="AB35" i="1"/>
  <c r="AF35" i="1"/>
  <c r="AI35" i="1"/>
  <c r="AE36" i="1"/>
  <c r="AC36" i="1"/>
  <c r="AJ35" i="1"/>
  <c r="AK35" i="1"/>
  <c r="AM35" i="1"/>
  <c r="BF35" i="1"/>
  <c r="BG35" i="1"/>
  <c r="T36" i="1"/>
  <c r="U36" i="1"/>
  <c r="V36" i="1"/>
  <c r="W36" i="1"/>
  <c r="X36" i="1"/>
  <c r="Y36" i="1"/>
  <c r="Z36" i="1"/>
  <c r="AB36" i="1"/>
  <c r="AF36" i="1"/>
  <c r="AI36" i="1"/>
  <c r="H37" i="1"/>
  <c r="AE37" i="1"/>
  <c r="I37" i="1"/>
  <c r="J37" i="1"/>
  <c r="K37" i="1"/>
  <c r="AC37" i="1"/>
  <c r="AJ36" i="1"/>
  <c r="AK36" i="1"/>
  <c r="AM36" i="1"/>
  <c r="BG36" i="1"/>
  <c r="T37" i="1"/>
  <c r="U37" i="1"/>
  <c r="V37" i="1"/>
  <c r="W37" i="1"/>
  <c r="X37" i="1"/>
  <c r="Y37" i="1"/>
  <c r="Z37" i="1"/>
  <c r="AB37" i="1"/>
  <c r="AF37" i="1"/>
  <c r="AI37" i="1"/>
  <c r="H38" i="1"/>
  <c r="AE38" i="1"/>
  <c r="I38" i="1"/>
  <c r="J38" i="1"/>
  <c r="K38" i="1"/>
  <c r="AC38" i="1"/>
  <c r="AJ37" i="1"/>
  <c r="AK37" i="1"/>
  <c r="AM37" i="1"/>
  <c r="BF37" i="1"/>
  <c r="BG37" i="1"/>
  <c r="T38" i="1"/>
  <c r="U38" i="1"/>
  <c r="V38" i="1"/>
  <c r="W38" i="1"/>
  <c r="X38" i="1"/>
  <c r="Y38" i="1"/>
  <c r="Z38" i="1"/>
  <c r="AB38" i="1"/>
  <c r="AF38" i="1"/>
  <c r="AI38" i="1"/>
  <c r="H39" i="1"/>
  <c r="AE39" i="1"/>
  <c r="I39" i="1"/>
  <c r="J39" i="1"/>
  <c r="K39" i="1"/>
  <c r="AC39" i="1"/>
  <c r="AJ38" i="1"/>
  <c r="AK38" i="1"/>
  <c r="AM38" i="1"/>
  <c r="BF38" i="1"/>
  <c r="BG38" i="1"/>
  <c r="T39" i="1"/>
  <c r="U39" i="1"/>
  <c r="V39" i="1"/>
  <c r="W39" i="1"/>
  <c r="X39" i="1"/>
  <c r="Y39" i="1"/>
  <c r="Z39" i="1"/>
  <c r="AB39" i="1"/>
  <c r="AF39" i="1"/>
  <c r="AI39" i="1"/>
  <c r="AE40" i="1"/>
  <c r="AC40" i="1"/>
  <c r="AJ39" i="1"/>
  <c r="AK39" i="1"/>
  <c r="AM39" i="1"/>
  <c r="BF39" i="1"/>
  <c r="BG39" i="1"/>
  <c r="T40" i="1"/>
  <c r="U40" i="1"/>
  <c r="V40" i="1"/>
  <c r="W40" i="1"/>
  <c r="X40" i="1"/>
  <c r="Y40" i="1"/>
  <c r="Z40" i="1"/>
  <c r="AB40" i="1"/>
  <c r="AF40" i="1"/>
  <c r="AI40" i="1"/>
  <c r="AE41" i="1"/>
  <c r="AC41" i="1"/>
  <c r="AJ40" i="1"/>
  <c r="AK40" i="1"/>
  <c r="AM40" i="1"/>
  <c r="BF40" i="1"/>
  <c r="BG40" i="1"/>
  <c r="T41" i="1"/>
  <c r="U41" i="1"/>
  <c r="V41" i="1"/>
  <c r="W41" i="1"/>
  <c r="X41" i="1"/>
  <c r="Y41" i="1"/>
  <c r="Z41" i="1"/>
  <c r="AB41" i="1"/>
  <c r="AF41" i="1"/>
  <c r="AI41" i="1"/>
  <c r="H42" i="1"/>
  <c r="AE42" i="1"/>
  <c r="I42" i="1"/>
  <c r="J42" i="1"/>
  <c r="K42" i="1"/>
  <c r="AC42" i="1"/>
  <c r="AJ41" i="1"/>
  <c r="AK41" i="1"/>
  <c r="AM41" i="1"/>
  <c r="BG41" i="1"/>
  <c r="T42" i="1"/>
  <c r="U42" i="1"/>
  <c r="V42" i="1"/>
  <c r="W42" i="1"/>
  <c r="X42" i="1"/>
  <c r="Y42" i="1"/>
  <c r="Z42" i="1"/>
  <c r="AB42" i="1"/>
  <c r="AF42" i="1"/>
  <c r="AI42" i="1"/>
  <c r="H43" i="1"/>
  <c r="AE43" i="1"/>
  <c r="I43" i="1"/>
  <c r="J43" i="1"/>
  <c r="K43" i="1"/>
  <c r="AC43" i="1"/>
  <c r="AJ42" i="1"/>
  <c r="AK42" i="1"/>
  <c r="AM42" i="1"/>
  <c r="BF42" i="1"/>
  <c r="BG42" i="1"/>
  <c r="T43" i="1"/>
  <c r="U43" i="1"/>
  <c r="V43" i="1"/>
  <c r="W43" i="1"/>
  <c r="X43" i="1"/>
  <c r="Y43" i="1"/>
  <c r="Z43" i="1"/>
  <c r="AB43" i="1"/>
  <c r="AF43" i="1"/>
  <c r="AI43" i="1"/>
  <c r="H44" i="1"/>
  <c r="AE44" i="1"/>
  <c r="I44" i="1"/>
  <c r="J44" i="1"/>
  <c r="K44" i="1"/>
  <c r="AC44" i="1"/>
  <c r="AJ43" i="1"/>
  <c r="AK43" i="1"/>
  <c r="AM43" i="1"/>
  <c r="BF43" i="1"/>
  <c r="BG43" i="1"/>
  <c r="T44" i="1"/>
  <c r="U44" i="1"/>
  <c r="V44" i="1"/>
  <c r="W44" i="1"/>
  <c r="X44" i="1"/>
  <c r="Y44" i="1"/>
  <c r="Z44" i="1"/>
  <c r="AB44" i="1"/>
  <c r="AF44" i="1"/>
  <c r="AI44" i="1"/>
  <c r="AE45" i="1"/>
  <c r="AC45" i="1"/>
  <c r="AJ44" i="1"/>
  <c r="AK44" i="1"/>
  <c r="AM44" i="1"/>
  <c r="BF44" i="1"/>
  <c r="BG44" i="1"/>
  <c r="T45" i="1"/>
  <c r="U45" i="1"/>
  <c r="V45" i="1"/>
  <c r="W45" i="1"/>
  <c r="X45" i="1"/>
  <c r="Y45" i="1"/>
  <c r="Z45" i="1"/>
  <c r="AB45" i="1"/>
  <c r="AF45" i="1"/>
  <c r="AI45" i="1"/>
  <c r="AE46" i="1"/>
  <c r="AC46" i="1"/>
  <c r="AJ45" i="1"/>
  <c r="AK45" i="1"/>
  <c r="AM45" i="1"/>
  <c r="BF45" i="1"/>
  <c r="BG45" i="1"/>
  <c r="T46" i="1"/>
  <c r="U46" i="1"/>
  <c r="V46" i="1"/>
  <c r="W46" i="1"/>
  <c r="X46" i="1"/>
  <c r="Y46" i="1"/>
  <c r="Z46" i="1"/>
  <c r="AB46" i="1"/>
  <c r="AF46" i="1"/>
  <c r="AI46" i="1"/>
  <c r="H47" i="1"/>
  <c r="AE47" i="1"/>
  <c r="I47" i="1"/>
  <c r="J47" i="1"/>
  <c r="K47" i="1"/>
  <c r="AC47" i="1"/>
  <c r="AJ46" i="1"/>
  <c r="AK46" i="1"/>
  <c r="AM46" i="1"/>
  <c r="BG46" i="1"/>
  <c r="T47" i="1"/>
  <c r="U47" i="1"/>
  <c r="V47" i="1"/>
  <c r="W47" i="1"/>
  <c r="X47" i="1"/>
  <c r="Y47" i="1"/>
  <c r="Z47" i="1"/>
  <c r="AB47" i="1"/>
  <c r="AF47" i="1"/>
  <c r="AI47" i="1"/>
  <c r="H48" i="1"/>
  <c r="AE48" i="1"/>
  <c r="I48" i="1"/>
  <c r="J48" i="1"/>
  <c r="K48" i="1"/>
  <c r="AC48" i="1"/>
  <c r="AJ47" i="1"/>
  <c r="AK47" i="1"/>
  <c r="AM47" i="1"/>
  <c r="BF47" i="1"/>
  <c r="BG47" i="1"/>
  <c r="T48" i="1"/>
  <c r="U48" i="1"/>
  <c r="V48" i="1"/>
  <c r="W48" i="1"/>
  <c r="X48" i="1"/>
  <c r="Y48" i="1"/>
  <c r="Z48" i="1"/>
  <c r="AB48" i="1"/>
  <c r="AF48" i="1"/>
  <c r="AI48" i="1"/>
  <c r="H49" i="1"/>
  <c r="AE49" i="1"/>
  <c r="I49" i="1"/>
  <c r="J49" i="1"/>
  <c r="K49" i="1"/>
  <c r="AC49" i="1"/>
  <c r="AJ48" i="1"/>
  <c r="AK48" i="1"/>
  <c r="AM48" i="1"/>
  <c r="BF48" i="1"/>
  <c r="BG48" i="1"/>
  <c r="T49" i="1"/>
  <c r="U49" i="1"/>
  <c r="V49" i="1"/>
  <c r="W49" i="1"/>
  <c r="X49" i="1"/>
  <c r="Y49" i="1"/>
  <c r="Z49" i="1"/>
  <c r="AB49" i="1"/>
  <c r="AF49" i="1"/>
  <c r="AI49" i="1"/>
  <c r="AE50" i="1"/>
  <c r="AC50" i="1"/>
  <c r="AJ49" i="1"/>
  <c r="AK49" i="1"/>
  <c r="AM49" i="1"/>
  <c r="BF49" i="1"/>
  <c r="BG49" i="1"/>
  <c r="T50" i="1"/>
  <c r="U50" i="1"/>
  <c r="V50" i="1"/>
  <c r="W50" i="1"/>
  <c r="X50" i="1"/>
  <c r="Y50" i="1"/>
  <c r="Z50" i="1"/>
  <c r="AB50" i="1"/>
  <c r="AF50" i="1"/>
  <c r="AI50" i="1"/>
  <c r="AE51" i="1"/>
  <c r="AC51" i="1"/>
  <c r="AJ50" i="1"/>
  <c r="AK50" i="1"/>
  <c r="AM50" i="1"/>
  <c r="BF50" i="1"/>
  <c r="BG50" i="1"/>
  <c r="T51" i="1"/>
  <c r="U51" i="1"/>
  <c r="V51" i="1"/>
  <c r="W51" i="1"/>
  <c r="X51" i="1"/>
  <c r="Y51" i="1"/>
  <c r="Z51" i="1"/>
  <c r="AB51" i="1"/>
  <c r="AF51" i="1"/>
  <c r="AI51" i="1"/>
  <c r="H52" i="1"/>
  <c r="AE52" i="1"/>
  <c r="I52" i="1"/>
  <c r="J52" i="1"/>
  <c r="K52" i="1"/>
  <c r="AC52" i="1"/>
  <c r="AJ51" i="1"/>
  <c r="AK51" i="1"/>
  <c r="AM51" i="1"/>
  <c r="BG51" i="1"/>
  <c r="T52" i="1"/>
  <c r="U52" i="1"/>
  <c r="V52" i="1"/>
  <c r="W52" i="1"/>
  <c r="X52" i="1"/>
  <c r="Y52" i="1"/>
  <c r="Z52" i="1"/>
  <c r="AB52" i="1"/>
  <c r="AF52" i="1"/>
  <c r="AI52" i="1"/>
  <c r="AE53" i="1"/>
  <c r="AC53" i="1"/>
  <c r="AJ52" i="1"/>
  <c r="AK52" i="1"/>
  <c r="AM52" i="1"/>
  <c r="BF52" i="1"/>
  <c r="BG52" i="1"/>
  <c r="T53" i="1"/>
  <c r="U53" i="1"/>
  <c r="V53" i="1"/>
  <c r="W53" i="1"/>
  <c r="X53" i="1"/>
  <c r="Y53" i="1"/>
  <c r="Z53" i="1"/>
  <c r="AB53" i="1"/>
  <c r="AF53" i="1"/>
  <c r="AI53" i="1"/>
  <c r="AE54" i="1"/>
  <c r="AC54" i="1"/>
  <c r="AJ53" i="1"/>
  <c r="AK53" i="1"/>
  <c r="AM53" i="1"/>
  <c r="BF53" i="1"/>
  <c r="BG53" i="1"/>
  <c r="T54" i="1"/>
  <c r="U54" i="1"/>
  <c r="V54" i="1"/>
  <c r="W54" i="1"/>
  <c r="X54" i="1"/>
  <c r="Y54" i="1"/>
  <c r="Z54" i="1"/>
  <c r="AB54" i="1"/>
  <c r="AF54" i="1"/>
  <c r="AI54" i="1"/>
  <c r="H55" i="1"/>
  <c r="AE55" i="1"/>
  <c r="I55" i="1"/>
  <c r="J55" i="1"/>
  <c r="K55" i="1"/>
  <c r="AC55" i="1"/>
  <c r="AJ54" i="1"/>
  <c r="AK54" i="1"/>
  <c r="AM54" i="1"/>
  <c r="BG54" i="1"/>
  <c r="T55" i="1"/>
  <c r="U55" i="1"/>
  <c r="V55" i="1"/>
  <c r="W55" i="1"/>
  <c r="X55" i="1"/>
  <c r="Y55" i="1"/>
  <c r="Z55" i="1"/>
  <c r="AB55" i="1"/>
  <c r="AF55" i="1"/>
  <c r="AI55" i="1"/>
  <c r="H56" i="1"/>
  <c r="AE56" i="1"/>
  <c r="I56" i="1"/>
  <c r="J56" i="1"/>
  <c r="K56" i="1"/>
  <c r="AC56" i="1"/>
  <c r="AJ55" i="1"/>
  <c r="AK55" i="1"/>
  <c r="AM55" i="1"/>
  <c r="BF55" i="1"/>
  <c r="BG55" i="1"/>
  <c r="T56" i="1"/>
  <c r="U56" i="1"/>
  <c r="V56" i="1"/>
  <c r="W56" i="1"/>
  <c r="X56" i="1"/>
  <c r="Y56" i="1"/>
  <c r="Z56" i="1"/>
  <c r="AB56" i="1"/>
  <c r="AF56" i="1"/>
  <c r="AI56" i="1"/>
  <c r="H57" i="1"/>
  <c r="AE57" i="1"/>
  <c r="I57" i="1"/>
  <c r="J57" i="1"/>
  <c r="K57" i="1"/>
  <c r="AC57" i="1"/>
  <c r="AJ56" i="1"/>
  <c r="AK56" i="1"/>
  <c r="AM56" i="1"/>
  <c r="BF56" i="1"/>
  <c r="BG56" i="1"/>
  <c r="T57" i="1"/>
  <c r="U57" i="1"/>
  <c r="V57" i="1"/>
  <c r="W57" i="1"/>
  <c r="X57" i="1"/>
  <c r="Y57" i="1"/>
  <c r="Z57" i="1"/>
  <c r="AB57" i="1"/>
  <c r="AF57" i="1"/>
  <c r="AI57" i="1"/>
  <c r="H58" i="1"/>
  <c r="AE58" i="1"/>
  <c r="I58" i="1"/>
  <c r="J58" i="1"/>
  <c r="K58" i="1"/>
  <c r="AC58" i="1"/>
  <c r="AJ57" i="1"/>
  <c r="AK57" i="1"/>
  <c r="AM57" i="1"/>
  <c r="BF57" i="1"/>
  <c r="BG57" i="1"/>
  <c r="T58" i="1"/>
  <c r="U58" i="1"/>
  <c r="V58" i="1"/>
  <c r="W58" i="1"/>
  <c r="X58" i="1"/>
  <c r="Y58" i="1"/>
  <c r="Z58" i="1"/>
  <c r="AB58" i="1"/>
  <c r="AF58" i="1"/>
  <c r="AI58" i="1"/>
  <c r="AE59" i="1"/>
  <c r="AC59" i="1"/>
  <c r="AJ58" i="1"/>
  <c r="AK58" i="1"/>
  <c r="AM58" i="1"/>
  <c r="BF58" i="1"/>
  <c r="BG58" i="1"/>
  <c r="T59" i="1"/>
  <c r="U59" i="1"/>
  <c r="V59" i="1"/>
  <c r="W59" i="1"/>
  <c r="X59" i="1"/>
  <c r="Y59" i="1"/>
  <c r="Z59" i="1"/>
  <c r="AB59" i="1"/>
  <c r="AF59" i="1"/>
  <c r="AI59" i="1"/>
  <c r="AE60" i="1"/>
  <c r="AC60" i="1"/>
  <c r="AJ59" i="1"/>
  <c r="AK59" i="1"/>
  <c r="AM59" i="1"/>
  <c r="BF59" i="1"/>
  <c r="BG59" i="1"/>
  <c r="T60" i="1"/>
  <c r="U60" i="1"/>
  <c r="V60" i="1"/>
  <c r="W60" i="1"/>
  <c r="X60" i="1"/>
  <c r="Y60" i="1"/>
  <c r="Z60" i="1"/>
  <c r="AB60" i="1"/>
  <c r="AF60" i="1"/>
  <c r="AI60" i="1"/>
  <c r="H61" i="1"/>
  <c r="AE61" i="1"/>
  <c r="I61" i="1"/>
  <c r="J61" i="1"/>
  <c r="K61" i="1"/>
  <c r="AC61" i="1"/>
  <c r="AJ60" i="1"/>
  <c r="AK60" i="1"/>
  <c r="AM60" i="1"/>
  <c r="BG60" i="1"/>
  <c r="T61" i="1"/>
  <c r="U61" i="1"/>
  <c r="V61" i="1"/>
  <c r="W61" i="1"/>
  <c r="X61" i="1"/>
  <c r="Y61" i="1"/>
  <c r="Z61" i="1"/>
  <c r="AB61" i="1"/>
  <c r="AF61" i="1"/>
  <c r="AI61" i="1"/>
  <c r="AE62" i="1"/>
  <c r="AC62" i="1"/>
  <c r="AJ61" i="1"/>
  <c r="AK61" i="1"/>
  <c r="AM61" i="1"/>
  <c r="BF61" i="1"/>
  <c r="BG61" i="1"/>
  <c r="T62" i="1"/>
  <c r="U62" i="1"/>
  <c r="V62" i="1"/>
  <c r="W62" i="1"/>
  <c r="X62" i="1"/>
  <c r="Y62" i="1"/>
  <c r="Z62" i="1"/>
  <c r="AB62" i="1"/>
  <c r="AF62" i="1"/>
  <c r="AI62" i="1"/>
  <c r="AE63" i="1"/>
  <c r="AC63" i="1"/>
  <c r="AJ62" i="1"/>
  <c r="AK62" i="1"/>
  <c r="AM62" i="1"/>
  <c r="BF62" i="1"/>
  <c r="BG62" i="1"/>
  <c r="T63" i="1"/>
  <c r="U63" i="1"/>
  <c r="V63" i="1"/>
  <c r="W63" i="1"/>
  <c r="X63" i="1"/>
  <c r="Y63" i="1"/>
  <c r="Z63" i="1"/>
  <c r="AB63" i="1"/>
  <c r="AF63" i="1"/>
  <c r="AI63" i="1"/>
  <c r="AE64" i="1"/>
  <c r="AC64" i="1"/>
  <c r="AJ63" i="1"/>
  <c r="AK63" i="1"/>
  <c r="AM63" i="1"/>
  <c r="BF63" i="1"/>
  <c r="BG63" i="1"/>
  <c r="T64" i="1"/>
  <c r="U64" i="1"/>
  <c r="V64" i="1"/>
  <c r="W64" i="1"/>
  <c r="X64" i="1"/>
  <c r="Y64" i="1"/>
  <c r="Z64" i="1"/>
  <c r="AB64" i="1"/>
  <c r="AF64" i="1"/>
  <c r="AI64" i="1"/>
  <c r="H65" i="1"/>
  <c r="AE65" i="1"/>
  <c r="I65" i="1"/>
  <c r="J65" i="1"/>
  <c r="K65" i="1"/>
  <c r="AC65" i="1"/>
  <c r="AJ64" i="1"/>
  <c r="AK64" i="1"/>
  <c r="AM64" i="1"/>
  <c r="BG64" i="1"/>
  <c r="T65" i="1"/>
  <c r="U65" i="1"/>
  <c r="V65" i="1"/>
  <c r="W65" i="1"/>
  <c r="X65" i="1"/>
  <c r="Y65" i="1"/>
  <c r="Z65" i="1"/>
  <c r="AB65" i="1"/>
  <c r="AF65" i="1"/>
  <c r="AI65" i="1"/>
  <c r="AE66" i="1"/>
  <c r="AC66" i="1"/>
  <c r="AJ65" i="1"/>
  <c r="AK65" i="1"/>
  <c r="AM65" i="1"/>
  <c r="BF65" i="1"/>
  <c r="BG65" i="1"/>
  <c r="T66" i="1"/>
  <c r="U66" i="1"/>
  <c r="V66" i="1"/>
  <c r="W66" i="1"/>
  <c r="X66" i="1"/>
  <c r="Y66" i="1"/>
  <c r="Z66" i="1"/>
  <c r="AB66" i="1"/>
  <c r="AF66" i="1"/>
  <c r="AI66" i="1"/>
  <c r="AE67" i="1"/>
  <c r="AC67" i="1"/>
  <c r="AJ66" i="1"/>
  <c r="AK66" i="1"/>
  <c r="AM66" i="1"/>
  <c r="BF66" i="1"/>
  <c r="BG66" i="1"/>
  <c r="T67" i="1"/>
  <c r="U67" i="1"/>
  <c r="V67" i="1"/>
  <c r="W67" i="1"/>
  <c r="X67" i="1"/>
  <c r="Y67" i="1"/>
  <c r="Z67" i="1"/>
  <c r="AB67" i="1"/>
  <c r="AF67" i="1"/>
  <c r="AI67" i="1"/>
  <c r="AE68" i="1"/>
  <c r="AC68" i="1"/>
  <c r="AJ67" i="1"/>
  <c r="AK67" i="1"/>
  <c r="AM67" i="1"/>
  <c r="BF67" i="1"/>
  <c r="BG67" i="1"/>
  <c r="T68" i="1"/>
  <c r="U68" i="1"/>
  <c r="V68" i="1"/>
  <c r="W68" i="1"/>
  <c r="X68" i="1"/>
  <c r="Y68" i="1"/>
  <c r="Z68" i="1"/>
  <c r="AB68" i="1"/>
  <c r="AF68" i="1"/>
  <c r="AI68" i="1"/>
  <c r="H69" i="1"/>
  <c r="AE69" i="1"/>
  <c r="I69" i="1"/>
  <c r="J69" i="1"/>
  <c r="K69" i="1"/>
  <c r="AC69" i="1"/>
  <c r="AJ68" i="1"/>
  <c r="AK68" i="1"/>
  <c r="AM68" i="1"/>
  <c r="BG68" i="1"/>
  <c r="T69" i="1"/>
  <c r="U69" i="1"/>
  <c r="V69" i="1"/>
  <c r="W69" i="1"/>
  <c r="X69" i="1"/>
  <c r="Y69" i="1"/>
  <c r="Z69" i="1"/>
  <c r="AB69" i="1"/>
  <c r="AF69" i="1"/>
  <c r="AI69" i="1"/>
  <c r="H70" i="1"/>
  <c r="AE70" i="1"/>
  <c r="I70" i="1"/>
  <c r="J70" i="1"/>
  <c r="K70" i="1"/>
  <c r="AC70" i="1"/>
  <c r="AJ69" i="1"/>
  <c r="AK69" i="1"/>
  <c r="AM69" i="1"/>
  <c r="BF69" i="1"/>
  <c r="BG69" i="1"/>
  <c r="T70" i="1"/>
  <c r="U70" i="1"/>
  <c r="V70" i="1"/>
  <c r="W70" i="1"/>
  <c r="X70" i="1"/>
  <c r="Y70" i="1"/>
  <c r="Z70" i="1"/>
  <c r="AB70" i="1"/>
  <c r="AF70" i="1"/>
  <c r="AI70" i="1"/>
  <c r="AE71" i="1"/>
  <c r="AC71" i="1"/>
  <c r="AJ70" i="1"/>
  <c r="AK70" i="1"/>
  <c r="AM70" i="1"/>
  <c r="BF70" i="1"/>
  <c r="BG70" i="1"/>
  <c r="T71" i="1"/>
  <c r="U71" i="1"/>
  <c r="V71" i="1"/>
  <c r="W71" i="1"/>
  <c r="X71" i="1"/>
  <c r="Y71" i="1"/>
  <c r="Z71" i="1"/>
  <c r="AB71" i="1"/>
  <c r="AF71" i="1"/>
  <c r="AI71" i="1"/>
  <c r="AE72" i="1"/>
  <c r="AC72" i="1"/>
  <c r="AJ71" i="1"/>
  <c r="AK71" i="1"/>
  <c r="AM71" i="1"/>
  <c r="BF71" i="1"/>
  <c r="BG71" i="1"/>
  <c r="T72" i="1"/>
  <c r="U72" i="1"/>
  <c r="V72" i="1"/>
  <c r="W72" i="1"/>
  <c r="X72" i="1"/>
  <c r="Y72" i="1"/>
  <c r="Z72" i="1"/>
  <c r="AB72" i="1"/>
  <c r="AF72" i="1"/>
  <c r="AI72" i="1"/>
  <c r="H73" i="1"/>
  <c r="AE73" i="1"/>
  <c r="I73" i="1"/>
  <c r="J73" i="1"/>
  <c r="K73" i="1"/>
  <c r="AC73" i="1"/>
  <c r="AJ72" i="1"/>
  <c r="AK72" i="1"/>
  <c r="AM72" i="1"/>
  <c r="BG72" i="1"/>
  <c r="T73" i="1"/>
  <c r="U73" i="1"/>
  <c r="V73" i="1"/>
  <c r="W73" i="1"/>
  <c r="X73" i="1"/>
  <c r="Y73" i="1"/>
  <c r="Z73" i="1"/>
  <c r="AB73" i="1"/>
  <c r="AF73" i="1"/>
  <c r="AI73" i="1"/>
  <c r="H74" i="1"/>
  <c r="AE74" i="1"/>
  <c r="I74" i="1"/>
  <c r="J74" i="1"/>
  <c r="K74" i="1"/>
  <c r="AC74" i="1"/>
  <c r="AJ73" i="1"/>
  <c r="AK73" i="1"/>
  <c r="AM73" i="1"/>
  <c r="BF73" i="1"/>
  <c r="BG73" i="1"/>
  <c r="T74" i="1"/>
  <c r="U74" i="1"/>
  <c r="V74" i="1"/>
  <c r="W74" i="1"/>
  <c r="X74" i="1"/>
  <c r="Y74" i="1"/>
  <c r="Z74" i="1"/>
  <c r="AB74" i="1"/>
  <c r="AF74" i="1"/>
  <c r="AI74" i="1"/>
  <c r="H75" i="1"/>
  <c r="AE75" i="1"/>
  <c r="I75" i="1"/>
  <c r="J75" i="1"/>
  <c r="K75" i="1"/>
  <c r="AC75" i="1"/>
  <c r="AJ74" i="1"/>
  <c r="AK74" i="1"/>
  <c r="AM74" i="1"/>
  <c r="BF74" i="1"/>
  <c r="BG74" i="1"/>
  <c r="T75" i="1"/>
  <c r="U75" i="1"/>
  <c r="V75" i="1"/>
  <c r="W75" i="1"/>
  <c r="X75" i="1"/>
  <c r="Y75" i="1"/>
  <c r="Z75" i="1"/>
  <c r="AB75" i="1"/>
  <c r="AF75" i="1"/>
  <c r="AI75" i="1"/>
  <c r="H76" i="1"/>
  <c r="AE76" i="1"/>
  <c r="I76" i="1"/>
  <c r="J76" i="1"/>
  <c r="K76" i="1"/>
  <c r="AC76" i="1"/>
  <c r="AJ75" i="1"/>
  <c r="AK75" i="1"/>
  <c r="AM75" i="1"/>
  <c r="BF75" i="1"/>
  <c r="BG75" i="1"/>
  <c r="T76" i="1"/>
  <c r="U76" i="1"/>
  <c r="V76" i="1"/>
  <c r="W76" i="1"/>
  <c r="X76" i="1"/>
  <c r="Y76" i="1"/>
  <c r="Z76" i="1"/>
  <c r="AB76" i="1"/>
  <c r="AF76" i="1"/>
  <c r="AI76" i="1"/>
  <c r="H77" i="1"/>
  <c r="AE77" i="1"/>
  <c r="I77" i="1"/>
  <c r="J77" i="1"/>
  <c r="K77" i="1"/>
  <c r="AC77" i="1"/>
  <c r="AJ76" i="1"/>
  <c r="AK76" i="1"/>
  <c r="AM76" i="1"/>
  <c r="BF76" i="1"/>
  <c r="BG76" i="1"/>
  <c r="T77" i="1"/>
  <c r="U77" i="1"/>
  <c r="V77" i="1"/>
  <c r="W77" i="1"/>
  <c r="X77" i="1"/>
  <c r="Y77" i="1"/>
  <c r="Z77" i="1"/>
  <c r="AB77" i="1"/>
  <c r="AF77" i="1"/>
  <c r="AI77" i="1"/>
  <c r="H78" i="1"/>
  <c r="AE78" i="1"/>
  <c r="I78" i="1"/>
  <c r="J78" i="1"/>
  <c r="K78" i="1"/>
  <c r="AC78" i="1"/>
  <c r="AJ77" i="1"/>
  <c r="AK77" i="1"/>
  <c r="AM77" i="1"/>
  <c r="BF77" i="1"/>
  <c r="BG77" i="1"/>
  <c r="T78" i="1"/>
  <c r="U78" i="1"/>
  <c r="V78" i="1"/>
  <c r="W78" i="1"/>
  <c r="X78" i="1"/>
  <c r="Y78" i="1"/>
  <c r="Z78" i="1"/>
  <c r="AB78" i="1"/>
  <c r="AF78" i="1"/>
  <c r="AI78" i="1"/>
  <c r="AE79" i="1"/>
  <c r="AC79" i="1"/>
  <c r="AJ78" i="1"/>
  <c r="AK78" i="1"/>
  <c r="AM78" i="1"/>
  <c r="BF78" i="1"/>
  <c r="BG78" i="1"/>
  <c r="T79" i="1"/>
  <c r="U79" i="1"/>
  <c r="V79" i="1"/>
  <c r="W79" i="1"/>
  <c r="X79" i="1"/>
  <c r="Y79" i="1"/>
  <c r="Z79" i="1"/>
  <c r="AB79" i="1"/>
  <c r="AF79" i="1"/>
  <c r="AI79" i="1"/>
  <c r="AE80" i="1"/>
  <c r="AC80" i="1"/>
  <c r="AJ79" i="1"/>
  <c r="AK79" i="1"/>
  <c r="AM79" i="1"/>
  <c r="BF79" i="1"/>
  <c r="BG79" i="1"/>
  <c r="T80" i="1"/>
  <c r="U80" i="1"/>
  <c r="V80" i="1"/>
  <c r="W80" i="1"/>
  <c r="X80" i="1"/>
  <c r="Y80" i="1"/>
  <c r="Z80" i="1"/>
  <c r="AB80" i="1"/>
  <c r="AF80" i="1"/>
  <c r="AI80" i="1"/>
  <c r="H81" i="1"/>
  <c r="AE81" i="1"/>
  <c r="I81" i="1"/>
  <c r="J81" i="1"/>
  <c r="K81" i="1"/>
  <c r="AC81" i="1"/>
  <c r="AJ80" i="1"/>
  <c r="AK80" i="1"/>
  <c r="AM80" i="1"/>
  <c r="BG80" i="1"/>
  <c r="T81" i="1"/>
  <c r="U81" i="1"/>
  <c r="V81" i="1"/>
  <c r="W81" i="1"/>
  <c r="X81" i="1"/>
  <c r="Y81" i="1"/>
  <c r="Z81" i="1"/>
  <c r="AB81" i="1"/>
  <c r="AF81" i="1"/>
  <c r="AI81" i="1"/>
  <c r="H82" i="1"/>
  <c r="AE82" i="1"/>
  <c r="I82" i="1"/>
  <c r="J82" i="1"/>
  <c r="K82" i="1"/>
  <c r="AC82" i="1"/>
  <c r="AJ81" i="1"/>
  <c r="AK81" i="1"/>
  <c r="AM81" i="1"/>
  <c r="BF81" i="1"/>
  <c r="BG81" i="1"/>
  <c r="T82" i="1"/>
  <c r="U82" i="1"/>
  <c r="V82" i="1"/>
  <c r="W82" i="1"/>
  <c r="X82" i="1"/>
  <c r="Y82" i="1"/>
  <c r="Z82" i="1"/>
  <c r="AB82" i="1"/>
  <c r="AF82" i="1"/>
  <c r="AI82" i="1"/>
  <c r="H83" i="1"/>
  <c r="AE83" i="1"/>
  <c r="I83" i="1"/>
  <c r="J83" i="1"/>
  <c r="K83" i="1"/>
  <c r="AC83" i="1"/>
  <c r="AJ82" i="1"/>
  <c r="AK82" i="1"/>
  <c r="AM82" i="1"/>
  <c r="BF82" i="1"/>
  <c r="BG82" i="1"/>
  <c r="T83" i="1"/>
  <c r="U83" i="1"/>
  <c r="V83" i="1"/>
  <c r="W83" i="1"/>
  <c r="X83" i="1"/>
  <c r="Y83" i="1"/>
  <c r="Z83" i="1"/>
  <c r="AB83" i="1"/>
  <c r="AF83" i="1"/>
  <c r="AI83" i="1"/>
  <c r="H84" i="1"/>
  <c r="AE84" i="1"/>
  <c r="I84" i="1"/>
  <c r="J84" i="1"/>
  <c r="K84" i="1"/>
  <c r="AC84" i="1"/>
  <c r="AJ83" i="1"/>
  <c r="AK83" i="1"/>
  <c r="AM83" i="1"/>
  <c r="BF83" i="1"/>
  <c r="BG83" i="1"/>
  <c r="T84" i="1"/>
  <c r="U84" i="1"/>
  <c r="V84" i="1"/>
  <c r="W84" i="1"/>
  <c r="X84" i="1"/>
  <c r="Y84" i="1"/>
  <c r="Z84" i="1"/>
  <c r="AB84" i="1"/>
  <c r="AF84" i="1"/>
  <c r="AI84" i="1"/>
  <c r="AE85" i="1"/>
  <c r="AC85" i="1"/>
  <c r="AJ84" i="1"/>
  <c r="AK84" i="1"/>
  <c r="AM84" i="1"/>
  <c r="BF84" i="1"/>
  <c r="BG84" i="1"/>
  <c r="T85" i="1"/>
  <c r="U85" i="1"/>
  <c r="V85" i="1"/>
  <c r="W85" i="1"/>
  <c r="X85" i="1"/>
  <c r="Y85" i="1"/>
  <c r="Z85" i="1"/>
  <c r="AB85" i="1"/>
  <c r="AF85" i="1"/>
  <c r="AI85" i="1"/>
  <c r="AE86" i="1"/>
  <c r="AC86" i="1"/>
  <c r="AJ85" i="1"/>
  <c r="AK85" i="1"/>
  <c r="AM85" i="1"/>
  <c r="BF85" i="1"/>
  <c r="BG85" i="1"/>
  <c r="T86" i="1"/>
  <c r="U86" i="1"/>
  <c r="V86" i="1"/>
  <c r="W86" i="1"/>
  <c r="X86" i="1"/>
  <c r="Y86" i="1"/>
  <c r="Z86" i="1"/>
  <c r="AB86" i="1"/>
  <c r="AF86" i="1"/>
  <c r="AI86" i="1"/>
  <c r="H87" i="1"/>
  <c r="AE87" i="1"/>
  <c r="I87" i="1"/>
  <c r="J87" i="1"/>
  <c r="K87" i="1"/>
  <c r="AC87" i="1"/>
  <c r="AJ86" i="1"/>
  <c r="AK86" i="1"/>
  <c r="AM86" i="1"/>
  <c r="BG86" i="1"/>
  <c r="T87" i="1"/>
  <c r="U87" i="1"/>
  <c r="V87" i="1"/>
  <c r="W87" i="1"/>
  <c r="X87" i="1"/>
  <c r="Y87" i="1"/>
  <c r="Z87" i="1"/>
  <c r="AB87" i="1"/>
  <c r="AF87" i="1"/>
  <c r="AI87" i="1"/>
  <c r="AE88" i="1"/>
  <c r="AC88" i="1"/>
  <c r="AJ87" i="1"/>
  <c r="AK87" i="1"/>
  <c r="AM87" i="1"/>
  <c r="BF87" i="1"/>
  <c r="BG87" i="1"/>
  <c r="T88" i="1"/>
  <c r="U88" i="1"/>
  <c r="V88" i="1"/>
  <c r="W88" i="1"/>
  <c r="X88" i="1"/>
  <c r="Y88" i="1"/>
  <c r="Z88" i="1"/>
  <c r="AB88" i="1"/>
  <c r="AF88" i="1"/>
  <c r="AI88" i="1"/>
  <c r="AE89" i="1"/>
  <c r="AC89" i="1"/>
  <c r="AJ88" i="1"/>
  <c r="AK88" i="1"/>
  <c r="AM88" i="1"/>
  <c r="BF88" i="1"/>
  <c r="BG88" i="1"/>
  <c r="T89" i="1"/>
  <c r="U89" i="1"/>
  <c r="V89" i="1"/>
  <c r="W89" i="1"/>
  <c r="X89" i="1"/>
  <c r="Y89" i="1"/>
  <c r="Z89" i="1"/>
  <c r="AB89" i="1"/>
  <c r="AF89" i="1"/>
  <c r="AI89" i="1"/>
  <c r="H90" i="1"/>
  <c r="AE90" i="1"/>
  <c r="I90" i="1"/>
  <c r="J90" i="1"/>
  <c r="K90" i="1"/>
  <c r="AC90" i="1"/>
  <c r="AJ89" i="1"/>
  <c r="AK89" i="1"/>
  <c r="AM89" i="1"/>
  <c r="BG89" i="1"/>
  <c r="T90" i="1"/>
  <c r="U90" i="1"/>
  <c r="V90" i="1"/>
  <c r="W90" i="1"/>
  <c r="X90" i="1"/>
  <c r="Y90" i="1"/>
  <c r="Z90" i="1"/>
  <c r="AB90" i="1"/>
  <c r="AF90" i="1"/>
  <c r="AI90" i="1"/>
  <c r="AE91" i="1"/>
  <c r="AC91" i="1"/>
  <c r="AJ90" i="1"/>
  <c r="AK90" i="1"/>
  <c r="AM90" i="1"/>
  <c r="BF90" i="1"/>
  <c r="BG90" i="1"/>
  <c r="T91" i="1"/>
  <c r="U91" i="1"/>
  <c r="V91" i="1"/>
  <c r="W91" i="1"/>
  <c r="X91" i="1"/>
  <c r="Y91" i="1"/>
  <c r="Z91" i="1"/>
  <c r="AB91" i="1"/>
  <c r="AF91" i="1"/>
  <c r="AI91" i="1"/>
  <c r="AE92" i="1"/>
  <c r="AC92" i="1"/>
  <c r="AJ91" i="1"/>
  <c r="AK91" i="1"/>
  <c r="AM91" i="1"/>
  <c r="BF91" i="1"/>
  <c r="BG91" i="1"/>
  <c r="T92" i="1"/>
  <c r="U92" i="1"/>
  <c r="V92" i="1"/>
  <c r="W92" i="1"/>
  <c r="X92" i="1"/>
  <c r="Y92" i="1"/>
  <c r="Z92" i="1"/>
  <c r="AB92" i="1"/>
  <c r="AF92" i="1"/>
  <c r="AI92" i="1"/>
  <c r="H93" i="1"/>
  <c r="AE93" i="1"/>
  <c r="I93" i="1"/>
  <c r="J93" i="1"/>
  <c r="K93" i="1"/>
  <c r="AC93" i="1"/>
  <c r="AJ92" i="1"/>
  <c r="AK92" i="1"/>
  <c r="AM92" i="1"/>
  <c r="BG92" i="1"/>
  <c r="T93" i="1"/>
  <c r="U93" i="1"/>
  <c r="V93" i="1"/>
  <c r="W93" i="1"/>
  <c r="X93" i="1"/>
  <c r="Y93" i="1"/>
  <c r="Z93" i="1"/>
  <c r="AB93" i="1"/>
  <c r="AF93" i="1"/>
  <c r="AI93" i="1"/>
  <c r="H94" i="1"/>
  <c r="AE94" i="1"/>
  <c r="I94" i="1"/>
  <c r="J94" i="1"/>
  <c r="K94" i="1"/>
  <c r="AC94" i="1"/>
  <c r="AJ93" i="1"/>
  <c r="AK93" i="1"/>
  <c r="AM93" i="1"/>
  <c r="BF93" i="1"/>
  <c r="BG93" i="1"/>
  <c r="T94" i="1"/>
  <c r="U94" i="1"/>
  <c r="V94" i="1"/>
  <c r="W94" i="1"/>
  <c r="X94" i="1"/>
  <c r="Y94" i="1"/>
  <c r="Z94" i="1"/>
  <c r="AB94" i="1"/>
  <c r="AF94" i="1"/>
  <c r="AI94" i="1"/>
  <c r="H95" i="1"/>
  <c r="AE95" i="1"/>
  <c r="I95" i="1"/>
  <c r="J95" i="1"/>
  <c r="K95" i="1"/>
  <c r="AC95" i="1"/>
  <c r="AJ94" i="1"/>
  <c r="AK94" i="1"/>
  <c r="AM94" i="1"/>
  <c r="BF94" i="1"/>
  <c r="BG94" i="1"/>
  <c r="T95" i="1"/>
  <c r="U95" i="1"/>
  <c r="V95" i="1"/>
  <c r="W95" i="1"/>
  <c r="X95" i="1"/>
  <c r="Y95" i="1"/>
  <c r="Z95" i="1"/>
  <c r="AB95" i="1"/>
  <c r="AF95" i="1"/>
  <c r="AI95" i="1"/>
  <c r="H96" i="1"/>
  <c r="AE96" i="1"/>
  <c r="I96" i="1"/>
  <c r="J96" i="1"/>
  <c r="K96" i="1"/>
  <c r="AC96" i="1"/>
  <c r="AJ95" i="1"/>
  <c r="AK95" i="1"/>
  <c r="AM95" i="1"/>
  <c r="BF95" i="1"/>
  <c r="BG95" i="1"/>
  <c r="T96" i="1"/>
  <c r="U96" i="1"/>
  <c r="V96" i="1"/>
  <c r="W96" i="1"/>
  <c r="X96" i="1"/>
  <c r="Y96" i="1"/>
  <c r="Z96" i="1"/>
  <c r="AB96" i="1"/>
  <c r="AF96" i="1"/>
  <c r="AI96" i="1"/>
  <c r="H97" i="1"/>
  <c r="AE97" i="1"/>
  <c r="I97" i="1"/>
  <c r="J97" i="1"/>
  <c r="K97" i="1"/>
  <c r="AC97" i="1"/>
  <c r="AJ96" i="1"/>
  <c r="AK96" i="1"/>
  <c r="AM96" i="1"/>
  <c r="BF96" i="1"/>
  <c r="BG96" i="1"/>
  <c r="T97" i="1"/>
  <c r="U97" i="1"/>
  <c r="V97" i="1"/>
  <c r="W97" i="1"/>
  <c r="X97" i="1"/>
  <c r="Y97" i="1"/>
  <c r="Z97" i="1"/>
  <c r="AB97" i="1"/>
  <c r="AF97" i="1"/>
  <c r="AI97" i="1"/>
  <c r="H98" i="1"/>
  <c r="AE98" i="1"/>
  <c r="I98" i="1"/>
  <c r="J98" i="1"/>
  <c r="K98" i="1"/>
  <c r="AC98" i="1"/>
  <c r="AJ97" i="1"/>
  <c r="AK97" i="1"/>
  <c r="AM97" i="1"/>
  <c r="BF97" i="1"/>
  <c r="BG97" i="1"/>
  <c r="T98" i="1"/>
  <c r="U98" i="1"/>
  <c r="V98" i="1"/>
  <c r="W98" i="1"/>
  <c r="X98" i="1"/>
  <c r="Y98" i="1"/>
  <c r="Z98" i="1"/>
  <c r="AB98" i="1"/>
  <c r="AF98" i="1"/>
  <c r="AI98" i="1"/>
  <c r="H99" i="1"/>
  <c r="AE99" i="1"/>
  <c r="I99" i="1"/>
  <c r="J99" i="1"/>
  <c r="K99" i="1"/>
  <c r="AC99" i="1"/>
  <c r="AJ98" i="1"/>
  <c r="AK98" i="1"/>
  <c r="AM98" i="1"/>
  <c r="BF98" i="1"/>
  <c r="BG98" i="1"/>
  <c r="T99" i="1"/>
  <c r="U99" i="1"/>
  <c r="V99" i="1"/>
  <c r="W99" i="1"/>
  <c r="X99" i="1"/>
  <c r="Y99" i="1"/>
  <c r="Z99" i="1"/>
  <c r="AB99" i="1"/>
  <c r="AF99" i="1"/>
  <c r="AI99" i="1"/>
  <c r="AE100" i="1"/>
  <c r="AC100" i="1"/>
  <c r="AJ99" i="1"/>
  <c r="AK99" i="1"/>
  <c r="AM99" i="1"/>
  <c r="BF99" i="1"/>
  <c r="BG99" i="1"/>
  <c r="T100" i="1"/>
  <c r="U100" i="1"/>
  <c r="V100" i="1"/>
  <c r="W100" i="1"/>
  <c r="X100" i="1"/>
  <c r="Y100" i="1"/>
  <c r="Z100" i="1"/>
  <c r="AB100" i="1"/>
  <c r="AF100" i="1"/>
  <c r="AI100" i="1"/>
  <c r="AE101" i="1"/>
  <c r="AC101" i="1"/>
  <c r="AJ100" i="1"/>
  <c r="AK100" i="1"/>
  <c r="AM100" i="1"/>
  <c r="BF100" i="1"/>
  <c r="BG100" i="1"/>
  <c r="T101" i="1"/>
  <c r="U101" i="1"/>
  <c r="V101" i="1"/>
  <c r="W101" i="1"/>
  <c r="X101" i="1"/>
  <c r="Y101" i="1"/>
  <c r="Z101" i="1"/>
  <c r="AB101" i="1"/>
  <c r="AF101" i="1"/>
  <c r="AI101" i="1"/>
  <c r="AE102" i="1"/>
  <c r="AC102" i="1"/>
  <c r="AJ101" i="1"/>
  <c r="AK101" i="1"/>
  <c r="AM101" i="1"/>
  <c r="BF101" i="1"/>
  <c r="BG101" i="1"/>
  <c r="T102" i="1"/>
  <c r="U102" i="1"/>
  <c r="V102" i="1"/>
  <c r="W102" i="1"/>
  <c r="X102" i="1"/>
  <c r="Y102" i="1"/>
  <c r="Z102" i="1"/>
  <c r="AB102" i="1"/>
  <c r="AF102" i="1"/>
  <c r="AI102" i="1"/>
  <c r="H103" i="1"/>
  <c r="AE103" i="1"/>
  <c r="I103" i="1"/>
  <c r="J103" i="1"/>
  <c r="K103" i="1"/>
  <c r="AC103" i="1"/>
  <c r="AJ102" i="1"/>
  <c r="AK102" i="1"/>
  <c r="AM102" i="1"/>
  <c r="BG102" i="1"/>
  <c r="T103" i="1"/>
  <c r="U103" i="1"/>
  <c r="V103" i="1"/>
  <c r="W103" i="1"/>
  <c r="X103" i="1"/>
  <c r="Y103" i="1"/>
  <c r="Z103" i="1"/>
  <c r="AB103" i="1"/>
  <c r="AF103" i="1"/>
  <c r="AI103" i="1"/>
  <c r="H104" i="1"/>
  <c r="AE104" i="1"/>
  <c r="I104" i="1"/>
  <c r="J104" i="1"/>
  <c r="K104" i="1"/>
  <c r="AC104" i="1"/>
  <c r="AJ103" i="1"/>
  <c r="AK103" i="1"/>
  <c r="AM103" i="1"/>
  <c r="BF103" i="1"/>
  <c r="BG103" i="1"/>
  <c r="T104" i="1"/>
  <c r="U104" i="1"/>
  <c r="V104" i="1"/>
  <c r="W104" i="1"/>
  <c r="X104" i="1"/>
  <c r="Y104" i="1"/>
  <c r="Z104" i="1"/>
  <c r="AB104" i="1"/>
  <c r="AF104" i="1"/>
  <c r="AI104" i="1"/>
  <c r="H105" i="1"/>
  <c r="AE105" i="1"/>
  <c r="I105" i="1"/>
  <c r="J105" i="1"/>
  <c r="K105" i="1"/>
  <c r="AC105" i="1"/>
  <c r="AJ104" i="1"/>
  <c r="AK104" i="1"/>
  <c r="AM104" i="1"/>
  <c r="BF104" i="1"/>
  <c r="BG104" i="1"/>
  <c r="T105" i="1"/>
  <c r="U105" i="1"/>
  <c r="V105" i="1"/>
  <c r="W105" i="1"/>
  <c r="X105" i="1"/>
  <c r="Y105" i="1"/>
  <c r="Z105" i="1"/>
  <c r="AB105" i="1"/>
  <c r="AF105" i="1"/>
  <c r="AI105" i="1"/>
  <c r="H106" i="1"/>
  <c r="AE106" i="1"/>
  <c r="I106" i="1"/>
  <c r="J106" i="1"/>
  <c r="K106" i="1"/>
  <c r="AC106" i="1"/>
  <c r="AJ105" i="1"/>
  <c r="AK105" i="1"/>
  <c r="AM105" i="1"/>
  <c r="BF105" i="1"/>
  <c r="BG105" i="1"/>
  <c r="T106" i="1"/>
  <c r="U106" i="1"/>
  <c r="V106" i="1"/>
  <c r="W106" i="1"/>
  <c r="X106" i="1"/>
  <c r="Y106" i="1"/>
  <c r="Z106" i="1"/>
  <c r="AB106" i="1"/>
  <c r="AF106" i="1"/>
  <c r="AI106" i="1"/>
  <c r="H107" i="1"/>
  <c r="AE107" i="1"/>
  <c r="I107" i="1"/>
  <c r="J107" i="1"/>
  <c r="K107" i="1"/>
  <c r="AC107" i="1"/>
  <c r="AJ106" i="1"/>
  <c r="AK106" i="1"/>
  <c r="AM106" i="1"/>
  <c r="BF106" i="1"/>
  <c r="BG106" i="1"/>
  <c r="T107" i="1"/>
  <c r="U107" i="1"/>
  <c r="V107" i="1"/>
  <c r="W107" i="1"/>
  <c r="X107" i="1"/>
  <c r="Y107" i="1"/>
  <c r="Z107" i="1"/>
  <c r="AB107" i="1"/>
  <c r="AF107" i="1"/>
  <c r="AI107" i="1"/>
  <c r="H108" i="1"/>
  <c r="AE108" i="1"/>
  <c r="I108" i="1"/>
  <c r="J108" i="1"/>
  <c r="K108" i="1"/>
  <c r="AC108" i="1"/>
  <c r="AJ107" i="1"/>
  <c r="AK107" i="1"/>
  <c r="AM107" i="1"/>
  <c r="BF107" i="1"/>
  <c r="BG107" i="1"/>
  <c r="T108" i="1"/>
  <c r="U108" i="1"/>
  <c r="V108" i="1"/>
  <c r="W108" i="1"/>
  <c r="X108" i="1"/>
  <c r="Y108" i="1"/>
  <c r="Z108" i="1"/>
  <c r="AB108" i="1"/>
  <c r="AF108" i="1"/>
  <c r="AI108" i="1"/>
  <c r="H109" i="1"/>
  <c r="AE109" i="1"/>
  <c r="I109" i="1"/>
  <c r="J109" i="1"/>
  <c r="K109" i="1"/>
  <c r="AC109" i="1"/>
  <c r="AJ108" i="1"/>
  <c r="AK108" i="1"/>
  <c r="AM108" i="1"/>
  <c r="BF108" i="1"/>
  <c r="BG108" i="1"/>
  <c r="T109" i="1"/>
  <c r="U109" i="1"/>
  <c r="V109" i="1"/>
  <c r="W109" i="1"/>
  <c r="X109" i="1"/>
  <c r="Y109" i="1"/>
  <c r="Z109" i="1"/>
  <c r="AB109" i="1"/>
  <c r="AF109" i="1"/>
  <c r="AI109" i="1"/>
  <c r="H110" i="1"/>
  <c r="AE110" i="1"/>
  <c r="I110" i="1"/>
  <c r="J110" i="1"/>
  <c r="K110" i="1"/>
  <c r="AC110" i="1"/>
  <c r="AJ109" i="1"/>
  <c r="AK109" i="1"/>
  <c r="AM109" i="1"/>
  <c r="BF109" i="1"/>
  <c r="BG109" i="1"/>
  <c r="T110" i="1"/>
  <c r="U110" i="1"/>
  <c r="V110" i="1"/>
  <c r="W110" i="1"/>
  <c r="X110" i="1"/>
  <c r="Y110" i="1"/>
  <c r="Z110" i="1"/>
  <c r="AB110" i="1"/>
  <c r="AF110" i="1"/>
  <c r="AI110" i="1"/>
  <c r="H111" i="1"/>
  <c r="AE111" i="1"/>
  <c r="I111" i="1"/>
  <c r="J111" i="1"/>
  <c r="K111" i="1"/>
  <c r="AC111" i="1"/>
  <c r="AJ110" i="1"/>
  <c r="AK110" i="1"/>
  <c r="AM110" i="1"/>
  <c r="BF110" i="1"/>
  <c r="BG110" i="1"/>
  <c r="T111" i="1"/>
  <c r="U111" i="1"/>
  <c r="V111" i="1"/>
  <c r="W111" i="1"/>
  <c r="X111" i="1"/>
  <c r="Y111" i="1"/>
  <c r="Z111" i="1"/>
  <c r="AB111" i="1"/>
  <c r="AF111" i="1"/>
  <c r="AI111" i="1"/>
  <c r="AE112" i="1"/>
  <c r="AC112" i="1"/>
  <c r="AJ111" i="1"/>
  <c r="AK111" i="1"/>
  <c r="AM111" i="1"/>
  <c r="BF111" i="1"/>
  <c r="BG111" i="1"/>
  <c r="T112" i="1"/>
  <c r="U112" i="1"/>
  <c r="V112" i="1"/>
  <c r="W112" i="1"/>
  <c r="X112" i="1"/>
  <c r="Y112" i="1"/>
  <c r="Z112" i="1"/>
  <c r="AB112" i="1"/>
  <c r="AF112" i="1"/>
  <c r="AI112" i="1"/>
  <c r="AE113" i="1"/>
  <c r="AC113" i="1"/>
  <c r="AJ112" i="1"/>
  <c r="AK112" i="1"/>
  <c r="AM112" i="1"/>
  <c r="BF112" i="1"/>
  <c r="BG112" i="1"/>
  <c r="T113" i="1"/>
  <c r="U113" i="1"/>
  <c r="V113" i="1"/>
  <c r="W113" i="1"/>
  <c r="X113" i="1"/>
  <c r="Y113" i="1"/>
  <c r="Z113" i="1"/>
  <c r="AB113" i="1"/>
  <c r="AF113" i="1"/>
  <c r="AI113" i="1"/>
  <c r="H114" i="1"/>
  <c r="AE114" i="1"/>
  <c r="I114" i="1"/>
  <c r="J114" i="1"/>
  <c r="K114" i="1"/>
  <c r="AC114" i="1"/>
  <c r="AJ113" i="1"/>
  <c r="AK113" i="1"/>
  <c r="AM113" i="1"/>
  <c r="BG113" i="1"/>
  <c r="T114" i="1"/>
  <c r="U114" i="1"/>
  <c r="V114" i="1"/>
  <c r="W114" i="1"/>
  <c r="X114" i="1"/>
  <c r="Y114" i="1"/>
  <c r="Z114" i="1"/>
  <c r="AB114" i="1"/>
  <c r="AF114" i="1"/>
  <c r="AI114" i="1"/>
  <c r="H115" i="1"/>
  <c r="AE115" i="1"/>
  <c r="I115" i="1"/>
  <c r="J115" i="1"/>
  <c r="K115" i="1"/>
  <c r="AC115" i="1"/>
  <c r="AJ114" i="1"/>
  <c r="AK114" i="1"/>
  <c r="AM114" i="1"/>
  <c r="BF114" i="1"/>
  <c r="BG114" i="1"/>
  <c r="T115" i="1"/>
  <c r="U115" i="1"/>
  <c r="V115" i="1"/>
  <c r="W115" i="1"/>
  <c r="X115" i="1"/>
  <c r="Y115" i="1"/>
  <c r="Z115" i="1"/>
  <c r="AB115" i="1"/>
  <c r="AF115" i="1"/>
  <c r="AI115" i="1"/>
  <c r="AE116" i="1"/>
  <c r="AC116" i="1"/>
  <c r="AJ115" i="1"/>
  <c r="AK115" i="1"/>
  <c r="AM115" i="1"/>
  <c r="BF115" i="1"/>
  <c r="BG115" i="1"/>
  <c r="T116" i="1"/>
  <c r="U116" i="1"/>
  <c r="V116" i="1"/>
  <c r="W116" i="1"/>
  <c r="X116" i="1"/>
  <c r="Y116" i="1"/>
  <c r="Z116" i="1"/>
  <c r="AB116" i="1"/>
  <c r="AF116" i="1"/>
  <c r="AI116" i="1"/>
  <c r="AE117" i="1"/>
  <c r="AC117" i="1"/>
  <c r="AJ116" i="1"/>
  <c r="AK116" i="1"/>
  <c r="AM116" i="1"/>
  <c r="BF116" i="1"/>
  <c r="BG116" i="1"/>
  <c r="T117" i="1"/>
  <c r="U117" i="1"/>
  <c r="V117" i="1"/>
  <c r="W117" i="1"/>
  <c r="X117" i="1"/>
  <c r="Y117" i="1"/>
  <c r="Z117" i="1"/>
  <c r="AB117" i="1"/>
  <c r="AF117" i="1"/>
  <c r="AI117" i="1"/>
  <c r="H118" i="1"/>
  <c r="AE118" i="1"/>
  <c r="I118" i="1"/>
  <c r="J118" i="1"/>
  <c r="K118" i="1"/>
  <c r="AC118" i="1"/>
  <c r="AJ117" i="1"/>
  <c r="AK117" i="1"/>
  <c r="AM117" i="1"/>
  <c r="BG117" i="1"/>
  <c r="T118" i="1"/>
  <c r="U118" i="1"/>
  <c r="V118" i="1"/>
  <c r="W118" i="1"/>
  <c r="X118" i="1"/>
  <c r="Y118" i="1"/>
  <c r="Z118" i="1"/>
  <c r="AB118" i="1"/>
  <c r="AF118" i="1"/>
  <c r="AI118" i="1"/>
  <c r="H119" i="1"/>
  <c r="AE119" i="1"/>
  <c r="I119" i="1"/>
  <c r="J119" i="1"/>
  <c r="K119" i="1"/>
  <c r="AC119" i="1"/>
  <c r="AJ118" i="1"/>
  <c r="AK118" i="1"/>
  <c r="AM118" i="1"/>
  <c r="BF118" i="1"/>
  <c r="BG118" i="1"/>
  <c r="T119" i="1"/>
  <c r="U119" i="1"/>
  <c r="V119" i="1"/>
  <c r="W119" i="1"/>
  <c r="X119" i="1"/>
  <c r="Y119" i="1"/>
  <c r="Z119" i="1"/>
  <c r="AB119" i="1"/>
  <c r="AF119" i="1"/>
  <c r="AI119" i="1"/>
  <c r="H120" i="1"/>
  <c r="AE120" i="1"/>
  <c r="I120" i="1"/>
  <c r="J120" i="1"/>
  <c r="K120" i="1"/>
  <c r="AC120" i="1"/>
  <c r="AJ119" i="1"/>
  <c r="AK119" i="1"/>
  <c r="AM119" i="1"/>
  <c r="BF119" i="1"/>
  <c r="BG119" i="1"/>
  <c r="T120" i="1"/>
  <c r="U120" i="1"/>
  <c r="V120" i="1"/>
  <c r="W120" i="1"/>
  <c r="X120" i="1"/>
  <c r="Y120" i="1"/>
  <c r="Z120" i="1"/>
  <c r="AB120" i="1"/>
  <c r="AF120" i="1"/>
  <c r="AI120" i="1"/>
  <c r="H121" i="1"/>
  <c r="AE121" i="1"/>
  <c r="I121" i="1"/>
  <c r="J121" i="1"/>
  <c r="K121" i="1"/>
  <c r="AC121" i="1"/>
  <c r="AJ120" i="1"/>
  <c r="AK120" i="1"/>
  <c r="AM120" i="1"/>
  <c r="BF120" i="1"/>
  <c r="BG120" i="1"/>
  <c r="T121" i="1"/>
  <c r="U121" i="1"/>
  <c r="V121" i="1"/>
  <c r="W121" i="1"/>
  <c r="X121" i="1"/>
  <c r="Y121" i="1"/>
  <c r="Z121" i="1"/>
  <c r="AB121" i="1"/>
  <c r="AF121" i="1"/>
  <c r="AI121" i="1"/>
  <c r="H122" i="1"/>
  <c r="AE122" i="1"/>
  <c r="I122" i="1"/>
  <c r="J122" i="1"/>
  <c r="K122" i="1"/>
  <c r="AC122" i="1"/>
  <c r="AJ121" i="1"/>
  <c r="AK121" i="1"/>
  <c r="AM121" i="1"/>
  <c r="BF121" i="1"/>
  <c r="BG121" i="1"/>
  <c r="T122" i="1"/>
  <c r="U122" i="1"/>
  <c r="V122" i="1"/>
  <c r="W122" i="1"/>
  <c r="X122" i="1"/>
  <c r="Y122" i="1"/>
  <c r="Z122" i="1"/>
  <c r="AB122" i="1"/>
  <c r="AF122" i="1"/>
  <c r="AI122" i="1"/>
  <c r="H123" i="1"/>
  <c r="AE123" i="1"/>
  <c r="I123" i="1"/>
  <c r="J123" i="1"/>
  <c r="K123" i="1"/>
  <c r="AC123" i="1"/>
  <c r="AJ122" i="1"/>
  <c r="AK122" i="1"/>
  <c r="AM122" i="1"/>
  <c r="BF122" i="1"/>
  <c r="BG122" i="1"/>
  <c r="T123" i="1"/>
  <c r="U123" i="1"/>
  <c r="V123" i="1"/>
  <c r="W123" i="1"/>
  <c r="X123" i="1"/>
  <c r="Y123" i="1"/>
  <c r="Z123" i="1"/>
  <c r="AB123" i="1"/>
  <c r="AF123" i="1"/>
  <c r="AI123" i="1"/>
  <c r="H124" i="1"/>
  <c r="AE124" i="1"/>
  <c r="I124" i="1"/>
  <c r="J124" i="1"/>
  <c r="K124" i="1"/>
  <c r="AC124" i="1"/>
  <c r="AJ123" i="1"/>
  <c r="AK123" i="1"/>
  <c r="AM123" i="1"/>
  <c r="BF123" i="1"/>
  <c r="BG123" i="1"/>
  <c r="T124" i="1"/>
  <c r="U124" i="1"/>
  <c r="V124" i="1"/>
  <c r="W124" i="1"/>
  <c r="X124" i="1"/>
  <c r="Y124" i="1"/>
  <c r="Z124" i="1"/>
  <c r="AB124" i="1"/>
  <c r="AF124" i="1"/>
  <c r="AI124" i="1"/>
  <c r="H125" i="1"/>
  <c r="AE125" i="1"/>
  <c r="I125" i="1"/>
  <c r="J125" i="1"/>
  <c r="K125" i="1"/>
  <c r="AC125" i="1"/>
  <c r="AJ124" i="1"/>
  <c r="AK124" i="1"/>
  <c r="AM124" i="1"/>
  <c r="BF124" i="1"/>
  <c r="BG124" i="1"/>
  <c r="T125" i="1"/>
  <c r="U125" i="1"/>
  <c r="V125" i="1"/>
  <c r="W125" i="1"/>
  <c r="X125" i="1"/>
  <c r="Y125" i="1"/>
  <c r="Z125" i="1"/>
  <c r="AB125" i="1"/>
  <c r="AF125" i="1"/>
  <c r="AI125" i="1"/>
  <c r="H126" i="1"/>
  <c r="AE126" i="1"/>
  <c r="I126" i="1"/>
  <c r="J126" i="1"/>
  <c r="K126" i="1"/>
  <c r="AC126" i="1"/>
  <c r="AJ125" i="1"/>
  <c r="AK125" i="1"/>
  <c r="AM125" i="1"/>
  <c r="BF125" i="1"/>
  <c r="BG125" i="1"/>
  <c r="T126" i="1"/>
  <c r="U126" i="1"/>
  <c r="V126" i="1"/>
  <c r="W126" i="1"/>
  <c r="X126" i="1"/>
  <c r="Y126" i="1"/>
  <c r="Z126" i="1"/>
  <c r="AB126" i="1"/>
  <c r="AF126" i="1"/>
  <c r="AI126" i="1"/>
  <c r="AE127" i="1"/>
  <c r="AC127" i="1"/>
  <c r="AJ126" i="1"/>
  <c r="AK126" i="1"/>
  <c r="AM126" i="1"/>
  <c r="BF126" i="1"/>
  <c r="BG126" i="1"/>
  <c r="T127" i="1"/>
  <c r="U127" i="1"/>
  <c r="V127" i="1"/>
  <c r="W127" i="1"/>
  <c r="X127" i="1"/>
  <c r="Y127" i="1"/>
  <c r="Z127" i="1"/>
  <c r="AB127" i="1"/>
  <c r="AF127" i="1"/>
  <c r="AI127" i="1"/>
  <c r="AE128" i="1"/>
  <c r="AC128" i="1"/>
  <c r="AJ127" i="1"/>
  <c r="AK127" i="1"/>
  <c r="AM127" i="1"/>
  <c r="BF127" i="1"/>
  <c r="BG127" i="1"/>
  <c r="T128" i="1"/>
  <c r="U128" i="1"/>
  <c r="V128" i="1"/>
  <c r="W128" i="1"/>
  <c r="X128" i="1"/>
  <c r="Y128" i="1"/>
  <c r="Z128" i="1"/>
  <c r="AB128" i="1"/>
  <c r="AF128" i="1"/>
  <c r="AI128" i="1"/>
  <c r="H129" i="1"/>
  <c r="AE129" i="1"/>
  <c r="I129" i="1"/>
  <c r="J129" i="1"/>
  <c r="K129" i="1"/>
  <c r="AC129" i="1"/>
  <c r="AJ128" i="1"/>
  <c r="AK128" i="1"/>
  <c r="AM128" i="1"/>
  <c r="BG128" i="1"/>
  <c r="T129" i="1"/>
  <c r="U129" i="1"/>
  <c r="V129" i="1"/>
  <c r="W129" i="1"/>
  <c r="X129" i="1"/>
  <c r="Y129" i="1"/>
  <c r="Z129" i="1"/>
  <c r="AB129" i="1"/>
  <c r="AF129" i="1"/>
  <c r="AI129" i="1"/>
  <c r="H130" i="1"/>
  <c r="AE130" i="1"/>
  <c r="I130" i="1"/>
  <c r="J130" i="1"/>
  <c r="K130" i="1"/>
  <c r="AC130" i="1"/>
  <c r="AJ129" i="1"/>
  <c r="AK129" i="1"/>
  <c r="AM129" i="1"/>
  <c r="BF129" i="1"/>
  <c r="BG129" i="1"/>
  <c r="T130" i="1"/>
  <c r="U130" i="1"/>
  <c r="V130" i="1"/>
  <c r="W130" i="1"/>
  <c r="X130" i="1"/>
  <c r="Y130" i="1"/>
  <c r="Z130" i="1"/>
  <c r="AB130" i="1"/>
  <c r="AF130" i="1"/>
  <c r="AI130" i="1"/>
  <c r="H131" i="1"/>
  <c r="AE131" i="1"/>
  <c r="I131" i="1"/>
  <c r="J131" i="1"/>
  <c r="K131" i="1"/>
  <c r="AC131" i="1"/>
  <c r="AJ130" i="1"/>
  <c r="AK130" i="1"/>
  <c r="AM130" i="1"/>
  <c r="BF130" i="1"/>
  <c r="BG130" i="1"/>
  <c r="T131" i="1"/>
  <c r="U131" i="1"/>
  <c r="V131" i="1"/>
  <c r="W131" i="1"/>
  <c r="X131" i="1"/>
  <c r="Y131" i="1"/>
  <c r="Z131" i="1"/>
  <c r="AB131" i="1"/>
  <c r="AF131" i="1"/>
  <c r="AI131" i="1"/>
  <c r="H132" i="1"/>
  <c r="AE132" i="1"/>
  <c r="I132" i="1"/>
  <c r="J132" i="1"/>
  <c r="K132" i="1"/>
  <c r="AC132" i="1"/>
  <c r="AJ131" i="1"/>
  <c r="AK131" i="1"/>
  <c r="AM131" i="1"/>
  <c r="BF131" i="1"/>
  <c r="BG131" i="1"/>
  <c r="T132" i="1"/>
  <c r="U132" i="1"/>
  <c r="V132" i="1"/>
  <c r="W132" i="1"/>
  <c r="X132" i="1"/>
  <c r="Y132" i="1"/>
  <c r="Z132" i="1"/>
  <c r="AB132" i="1"/>
  <c r="AF132" i="1"/>
  <c r="AI132" i="1"/>
  <c r="AE133" i="1"/>
  <c r="AC133" i="1"/>
  <c r="AJ132" i="1"/>
  <c r="AK132" i="1"/>
  <c r="AM132" i="1"/>
  <c r="BF132" i="1"/>
  <c r="BG132" i="1"/>
  <c r="T133" i="1"/>
  <c r="U133" i="1"/>
  <c r="V133" i="1"/>
  <c r="W133" i="1"/>
  <c r="X133" i="1"/>
  <c r="Y133" i="1"/>
  <c r="Z133" i="1"/>
  <c r="AB133" i="1"/>
  <c r="AF133" i="1"/>
  <c r="AI133" i="1"/>
  <c r="AE134" i="1"/>
  <c r="AC134" i="1"/>
  <c r="AJ133" i="1"/>
  <c r="AK133" i="1"/>
  <c r="AM133" i="1"/>
  <c r="BF133" i="1"/>
  <c r="BG133" i="1"/>
  <c r="T134" i="1"/>
  <c r="U134" i="1"/>
  <c r="V134" i="1"/>
  <c r="W134" i="1"/>
  <c r="X134" i="1"/>
  <c r="Y134" i="1"/>
  <c r="Z134" i="1"/>
  <c r="AB134" i="1"/>
  <c r="AF134" i="1"/>
  <c r="AI134" i="1"/>
  <c r="H135" i="1"/>
  <c r="AE135" i="1"/>
  <c r="I135" i="1"/>
  <c r="J135" i="1"/>
  <c r="K135" i="1"/>
  <c r="AC135" i="1"/>
  <c r="AJ134" i="1"/>
  <c r="AK134" i="1"/>
  <c r="AM134" i="1"/>
  <c r="BG134" i="1"/>
  <c r="T135" i="1"/>
  <c r="U135" i="1"/>
  <c r="V135" i="1"/>
  <c r="W135" i="1"/>
  <c r="X135" i="1"/>
  <c r="Y135" i="1"/>
  <c r="Z135" i="1"/>
  <c r="AB135" i="1"/>
  <c r="AF135" i="1"/>
  <c r="AI135" i="1"/>
  <c r="AE136" i="1"/>
  <c r="AC136" i="1"/>
  <c r="AJ135" i="1"/>
  <c r="AK135" i="1"/>
  <c r="AM135" i="1"/>
  <c r="BF135" i="1"/>
  <c r="BG135" i="1"/>
  <c r="T136" i="1"/>
  <c r="U136" i="1"/>
  <c r="V136" i="1"/>
  <c r="W136" i="1"/>
  <c r="X136" i="1"/>
  <c r="Y136" i="1"/>
  <c r="Z136" i="1"/>
  <c r="AB136" i="1"/>
  <c r="AF136" i="1"/>
  <c r="AI136" i="1"/>
  <c r="AE137" i="1"/>
  <c r="AC137" i="1"/>
  <c r="AJ136" i="1"/>
  <c r="AK136" i="1"/>
  <c r="AM136" i="1"/>
  <c r="BF136" i="1"/>
  <c r="BG136" i="1"/>
  <c r="T137" i="1"/>
  <c r="U137" i="1"/>
  <c r="V137" i="1"/>
  <c r="W137" i="1"/>
  <c r="X137" i="1"/>
  <c r="Y137" i="1"/>
  <c r="Z137" i="1"/>
  <c r="AB137" i="1"/>
  <c r="AF137" i="1"/>
  <c r="AI137" i="1"/>
  <c r="H138" i="1"/>
  <c r="AE138" i="1"/>
  <c r="I138" i="1"/>
  <c r="J138" i="1"/>
  <c r="K138" i="1"/>
  <c r="AC138" i="1"/>
  <c r="AJ137" i="1"/>
  <c r="AK137" i="1"/>
  <c r="AM137" i="1"/>
  <c r="BG137" i="1"/>
  <c r="T138" i="1"/>
  <c r="U138" i="1"/>
  <c r="V138" i="1"/>
  <c r="W138" i="1"/>
  <c r="X138" i="1"/>
  <c r="Y138" i="1"/>
  <c r="Z138" i="1"/>
  <c r="AB138" i="1"/>
  <c r="AF138" i="1"/>
  <c r="AI138" i="1"/>
  <c r="AE139" i="1"/>
  <c r="AC139" i="1"/>
  <c r="AJ138" i="1"/>
  <c r="AK138" i="1"/>
  <c r="AM138" i="1"/>
  <c r="BF138" i="1"/>
  <c r="BG138" i="1"/>
  <c r="T139" i="1"/>
  <c r="U139" i="1"/>
  <c r="V139" i="1"/>
  <c r="W139" i="1"/>
  <c r="X139" i="1"/>
  <c r="Y139" i="1"/>
  <c r="Z139" i="1"/>
  <c r="AB139" i="1"/>
  <c r="AF139" i="1"/>
  <c r="AI139" i="1"/>
  <c r="AE140" i="1"/>
  <c r="AC140" i="1"/>
  <c r="AJ139" i="1"/>
  <c r="AK139" i="1"/>
  <c r="AM139" i="1"/>
  <c r="BF139" i="1"/>
  <c r="BG139" i="1"/>
  <c r="T140" i="1"/>
  <c r="U140" i="1"/>
  <c r="V140" i="1"/>
  <c r="W140" i="1"/>
  <c r="X140" i="1"/>
  <c r="Y140" i="1"/>
  <c r="Z140" i="1"/>
  <c r="AB140" i="1"/>
  <c r="AF140" i="1"/>
  <c r="AI140" i="1"/>
  <c r="H141" i="1"/>
  <c r="AE141" i="1"/>
  <c r="I141" i="1"/>
  <c r="J141" i="1"/>
  <c r="K141" i="1"/>
  <c r="AC141" i="1"/>
  <c r="AJ140" i="1"/>
  <c r="AK140" i="1"/>
  <c r="AM140" i="1"/>
  <c r="BG140" i="1"/>
  <c r="T141" i="1"/>
  <c r="U141" i="1"/>
  <c r="V141" i="1"/>
  <c r="W141" i="1"/>
  <c r="X141" i="1"/>
  <c r="Y141" i="1"/>
  <c r="Z141" i="1"/>
  <c r="AB141" i="1"/>
  <c r="AF141" i="1"/>
  <c r="AI141" i="1"/>
  <c r="AE142" i="1"/>
  <c r="AC142" i="1"/>
  <c r="AJ141" i="1"/>
  <c r="AK141" i="1"/>
  <c r="AM141" i="1"/>
  <c r="BF141" i="1"/>
  <c r="BG141" i="1"/>
  <c r="T142" i="1"/>
  <c r="U142" i="1"/>
  <c r="V142" i="1"/>
  <c r="W142" i="1"/>
  <c r="X142" i="1"/>
  <c r="Y142" i="1"/>
  <c r="Z142" i="1"/>
  <c r="AB142" i="1"/>
  <c r="AF142" i="1"/>
  <c r="AI142" i="1"/>
  <c r="AE143" i="1"/>
  <c r="AC143" i="1"/>
  <c r="AJ142" i="1"/>
  <c r="AK142" i="1"/>
  <c r="AM142" i="1"/>
  <c r="BF142" i="1"/>
  <c r="BG142" i="1"/>
  <c r="T143" i="1"/>
  <c r="U143" i="1"/>
  <c r="V143" i="1"/>
  <c r="W143" i="1"/>
  <c r="X143" i="1"/>
  <c r="Y143" i="1"/>
  <c r="Z143" i="1"/>
  <c r="AB143" i="1"/>
  <c r="AF143" i="1"/>
  <c r="AI143" i="1"/>
  <c r="H144" i="1"/>
  <c r="AE144" i="1"/>
  <c r="I144" i="1"/>
  <c r="J144" i="1"/>
  <c r="K144" i="1"/>
  <c r="AC144" i="1"/>
  <c r="AJ143" i="1"/>
  <c r="AK143" i="1"/>
  <c r="AM143" i="1"/>
  <c r="BG143" i="1"/>
  <c r="T144" i="1"/>
  <c r="U144" i="1"/>
  <c r="V144" i="1"/>
  <c r="W144" i="1"/>
  <c r="X144" i="1"/>
  <c r="Y144" i="1"/>
  <c r="Z144" i="1"/>
  <c r="AB144" i="1"/>
  <c r="AF144" i="1"/>
  <c r="AI144" i="1"/>
  <c r="AE145" i="1"/>
  <c r="AC145" i="1"/>
  <c r="AJ144" i="1"/>
  <c r="AK144" i="1"/>
  <c r="AM144" i="1"/>
  <c r="BF144" i="1"/>
  <c r="BG144" i="1"/>
  <c r="T145" i="1"/>
  <c r="U145" i="1"/>
  <c r="V145" i="1"/>
  <c r="W145" i="1"/>
  <c r="X145" i="1"/>
  <c r="Y145" i="1"/>
  <c r="Z145" i="1"/>
  <c r="AB145" i="1"/>
  <c r="AF145" i="1"/>
  <c r="AI145" i="1"/>
  <c r="AE146" i="1"/>
  <c r="AC146" i="1"/>
  <c r="AJ145" i="1"/>
  <c r="AK145" i="1"/>
  <c r="AM145" i="1"/>
  <c r="BF145" i="1"/>
  <c r="BG145" i="1"/>
  <c r="T146" i="1"/>
  <c r="U146" i="1"/>
  <c r="V146" i="1"/>
  <c r="W146" i="1"/>
  <c r="X146" i="1"/>
  <c r="Y146" i="1"/>
  <c r="Z146" i="1"/>
  <c r="AB146" i="1"/>
  <c r="AF146" i="1"/>
  <c r="AI146" i="1"/>
  <c r="H147" i="1"/>
  <c r="AE147" i="1"/>
  <c r="I147" i="1"/>
  <c r="J147" i="1"/>
  <c r="K147" i="1"/>
  <c r="AC147" i="1"/>
  <c r="AJ146" i="1"/>
  <c r="AK146" i="1"/>
  <c r="AM146" i="1"/>
  <c r="BG146" i="1"/>
  <c r="T147" i="1"/>
  <c r="U147" i="1"/>
  <c r="V147" i="1"/>
  <c r="W147" i="1"/>
  <c r="X147" i="1"/>
  <c r="Y147" i="1"/>
  <c r="Z147" i="1"/>
  <c r="AB147" i="1"/>
  <c r="AF147" i="1"/>
  <c r="AI147" i="1"/>
  <c r="AE148" i="1"/>
  <c r="AC148" i="1"/>
  <c r="AJ147" i="1"/>
  <c r="AK147" i="1"/>
  <c r="AM147" i="1"/>
  <c r="BF147" i="1"/>
  <c r="BG147" i="1"/>
  <c r="T148" i="1"/>
  <c r="U148" i="1"/>
  <c r="V148" i="1"/>
  <c r="W148" i="1"/>
  <c r="X148" i="1"/>
  <c r="Y148" i="1"/>
  <c r="Z148" i="1"/>
  <c r="AB148" i="1"/>
  <c r="AF148" i="1"/>
  <c r="AI148" i="1"/>
  <c r="AE149" i="1"/>
  <c r="AC149" i="1"/>
  <c r="AJ148" i="1"/>
  <c r="AK148" i="1"/>
  <c r="AM148" i="1"/>
  <c r="BF148" i="1"/>
  <c r="BG148" i="1"/>
  <c r="T149" i="1"/>
  <c r="U149" i="1"/>
  <c r="V149" i="1"/>
  <c r="W149" i="1"/>
  <c r="X149" i="1"/>
  <c r="Y149" i="1"/>
  <c r="Z149" i="1"/>
  <c r="AB149" i="1"/>
  <c r="AF149" i="1"/>
  <c r="AI149" i="1"/>
  <c r="H150" i="1"/>
  <c r="AE150" i="1"/>
  <c r="I150" i="1"/>
  <c r="J150" i="1"/>
  <c r="K150" i="1"/>
  <c r="AC150" i="1"/>
  <c r="AJ149" i="1"/>
  <c r="AK149" i="1"/>
  <c r="AM149" i="1"/>
  <c r="BG149" i="1"/>
  <c r="T150" i="1"/>
  <c r="U150" i="1"/>
  <c r="V150" i="1"/>
  <c r="W150" i="1"/>
  <c r="X150" i="1"/>
  <c r="Y150" i="1"/>
  <c r="Z150" i="1"/>
  <c r="AB150" i="1"/>
  <c r="AF150" i="1"/>
  <c r="AI150" i="1"/>
  <c r="H151" i="1"/>
  <c r="AE151" i="1"/>
  <c r="I151" i="1"/>
  <c r="J151" i="1"/>
  <c r="K151" i="1"/>
  <c r="AC151" i="1"/>
  <c r="AJ150" i="1"/>
  <c r="AK150" i="1"/>
  <c r="AM150" i="1"/>
  <c r="BF150" i="1"/>
  <c r="BG150" i="1"/>
  <c r="T151" i="1"/>
  <c r="U151" i="1"/>
  <c r="V151" i="1"/>
  <c r="W151" i="1"/>
  <c r="X151" i="1"/>
  <c r="Y151" i="1"/>
  <c r="Z151" i="1"/>
  <c r="AB151" i="1"/>
  <c r="AF151" i="1"/>
  <c r="AI151" i="1"/>
  <c r="H152" i="1"/>
  <c r="AE152" i="1"/>
  <c r="I152" i="1"/>
  <c r="J152" i="1"/>
  <c r="K152" i="1"/>
  <c r="AC152" i="1"/>
  <c r="AJ151" i="1"/>
  <c r="AK151" i="1"/>
  <c r="AM151" i="1"/>
  <c r="BF151" i="1"/>
  <c r="BG151" i="1"/>
  <c r="T152" i="1"/>
  <c r="U152" i="1"/>
  <c r="V152" i="1"/>
  <c r="W152" i="1"/>
  <c r="X152" i="1"/>
  <c r="Y152" i="1"/>
  <c r="Z152" i="1"/>
  <c r="AB152" i="1"/>
  <c r="AF152" i="1"/>
  <c r="AI152" i="1"/>
  <c r="H153" i="1"/>
  <c r="AE153" i="1"/>
  <c r="I153" i="1"/>
  <c r="J153" i="1"/>
  <c r="K153" i="1"/>
  <c r="AC153" i="1"/>
  <c r="AJ152" i="1"/>
  <c r="AK152" i="1"/>
  <c r="AM152" i="1"/>
  <c r="BF152" i="1"/>
  <c r="BG152" i="1"/>
  <c r="T153" i="1"/>
  <c r="U153" i="1"/>
  <c r="V153" i="1"/>
  <c r="W153" i="1"/>
  <c r="X153" i="1"/>
  <c r="Y153" i="1"/>
  <c r="Z153" i="1"/>
  <c r="AB153" i="1"/>
  <c r="AF153" i="1"/>
  <c r="AI153" i="1"/>
  <c r="AE154" i="1"/>
  <c r="AC154" i="1"/>
  <c r="AJ153" i="1"/>
  <c r="AK153" i="1"/>
  <c r="AM153" i="1"/>
  <c r="BF153" i="1"/>
  <c r="BG153" i="1"/>
  <c r="T154" i="1"/>
  <c r="U154" i="1"/>
  <c r="V154" i="1"/>
  <c r="W154" i="1"/>
  <c r="X154" i="1"/>
  <c r="Y154" i="1"/>
  <c r="Z154" i="1"/>
  <c r="AB154" i="1"/>
  <c r="AF154" i="1"/>
  <c r="AI154" i="1"/>
  <c r="AE155" i="1"/>
  <c r="AC155" i="1"/>
  <c r="AJ154" i="1"/>
  <c r="AK154" i="1"/>
  <c r="AM154" i="1"/>
  <c r="BF154" i="1"/>
  <c r="BG154" i="1"/>
  <c r="T155" i="1"/>
  <c r="U155" i="1"/>
  <c r="V155" i="1"/>
  <c r="W155" i="1"/>
  <c r="X155" i="1"/>
  <c r="Y155" i="1"/>
  <c r="Z155" i="1"/>
  <c r="AB155" i="1"/>
  <c r="AF155" i="1"/>
  <c r="AI155" i="1"/>
  <c r="H156" i="1"/>
  <c r="AE156" i="1"/>
  <c r="I156" i="1"/>
  <c r="J156" i="1"/>
  <c r="K156" i="1"/>
  <c r="AC156" i="1"/>
  <c r="AJ155" i="1"/>
  <c r="AK155" i="1"/>
  <c r="AM155" i="1"/>
  <c r="BG155" i="1"/>
  <c r="T156" i="1"/>
  <c r="U156" i="1"/>
  <c r="V156" i="1"/>
  <c r="W156" i="1"/>
  <c r="X156" i="1"/>
  <c r="Y156" i="1"/>
  <c r="Z156" i="1"/>
  <c r="AB156" i="1"/>
  <c r="AF156" i="1"/>
  <c r="AI156" i="1"/>
  <c r="H157" i="1"/>
  <c r="AE157" i="1"/>
  <c r="I157" i="1"/>
  <c r="J157" i="1"/>
  <c r="K157" i="1"/>
  <c r="AC157" i="1"/>
  <c r="AJ156" i="1"/>
  <c r="AK156" i="1"/>
  <c r="AM156" i="1"/>
  <c r="BF156" i="1"/>
  <c r="BG156" i="1"/>
  <c r="T157" i="1"/>
  <c r="U157" i="1"/>
  <c r="V157" i="1"/>
  <c r="W157" i="1"/>
  <c r="X157" i="1"/>
  <c r="Y157" i="1"/>
  <c r="Z157" i="1"/>
  <c r="AB157" i="1"/>
  <c r="AF157" i="1"/>
  <c r="AI157" i="1"/>
  <c r="AE158" i="1"/>
  <c r="AC158" i="1"/>
  <c r="AJ157" i="1"/>
  <c r="AK157" i="1"/>
  <c r="AM157" i="1"/>
  <c r="BF157" i="1"/>
  <c r="BG157" i="1"/>
  <c r="T158" i="1"/>
  <c r="U158" i="1"/>
  <c r="V158" i="1"/>
  <c r="W158" i="1"/>
  <c r="X158" i="1"/>
  <c r="Y158" i="1"/>
  <c r="Z158" i="1"/>
  <c r="AB158" i="1"/>
  <c r="AF158" i="1"/>
  <c r="AI158" i="1"/>
  <c r="AE159" i="1"/>
  <c r="AC159" i="1"/>
  <c r="AJ158" i="1"/>
  <c r="AK158" i="1"/>
  <c r="AM158" i="1"/>
  <c r="BF158" i="1"/>
  <c r="BG158" i="1"/>
  <c r="T159" i="1"/>
  <c r="U159" i="1"/>
  <c r="V159" i="1"/>
  <c r="W159" i="1"/>
  <c r="X159" i="1"/>
  <c r="Y159" i="1"/>
  <c r="Z159" i="1"/>
  <c r="AB159" i="1"/>
  <c r="AF159" i="1"/>
  <c r="AI159" i="1"/>
  <c r="H160" i="1"/>
  <c r="AE160" i="1"/>
  <c r="I160" i="1"/>
  <c r="J160" i="1"/>
  <c r="K160" i="1"/>
  <c r="AC160" i="1"/>
  <c r="AJ159" i="1"/>
  <c r="AK159" i="1"/>
  <c r="AM159" i="1"/>
  <c r="BG159" i="1"/>
  <c r="T160" i="1"/>
  <c r="U160" i="1"/>
  <c r="V160" i="1"/>
  <c r="W160" i="1"/>
  <c r="X160" i="1"/>
  <c r="Y160" i="1"/>
  <c r="Z160" i="1"/>
  <c r="AB160" i="1"/>
  <c r="AF160" i="1"/>
  <c r="AI160" i="1"/>
  <c r="H161" i="1"/>
  <c r="AE161" i="1"/>
  <c r="I161" i="1"/>
  <c r="J161" i="1"/>
  <c r="K161" i="1"/>
  <c r="AC161" i="1"/>
  <c r="AJ160" i="1"/>
  <c r="AK160" i="1"/>
  <c r="AM160" i="1"/>
  <c r="BF160" i="1"/>
  <c r="BG160" i="1"/>
  <c r="T161" i="1"/>
  <c r="U161" i="1"/>
  <c r="V161" i="1"/>
  <c r="W161" i="1"/>
  <c r="X161" i="1"/>
  <c r="Y161" i="1"/>
  <c r="Z161" i="1"/>
  <c r="AB161" i="1"/>
  <c r="AF161" i="1"/>
  <c r="AI161" i="1"/>
  <c r="AE162" i="1"/>
  <c r="AC162" i="1"/>
  <c r="AJ161" i="1"/>
  <c r="AK161" i="1"/>
  <c r="AM161" i="1"/>
  <c r="BF161" i="1"/>
  <c r="BG161" i="1"/>
  <c r="T162" i="1"/>
  <c r="U162" i="1"/>
  <c r="V162" i="1"/>
  <c r="W162" i="1"/>
  <c r="X162" i="1"/>
  <c r="Y162" i="1"/>
  <c r="Z162" i="1"/>
  <c r="AB162" i="1"/>
  <c r="AF162" i="1"/>
  <c r="AI162" i="1"/>
  <c r="AE163" i="1"/>
  <c r="AC163" i="1"/>
  <c r="AJ162" i="1"/>
  <c r="AK162" i="1"/>
  <c r="AM162" i="1"/>
  <c r="BF162" i="1"/>
  <c r="BG162" i="1"/>
  <c r="T163" i="1"/>
  <c r="U163" i="1"/>
  <c r="V163" i="1"/>
  <c r="W163" i="1"/>
  <c r="X163" i="1"/>
  <c r="Y163" i="1"/>
  <c r="Z163" i="1"/>
  <c r="AB163" i="1"/>
  <c r="AF163" i="1"/>
  <c r="AI163" i="1"/>
  <c r="H164" i="1"/>
  <c r="AE164" i="1"/>
  <c r="I164" i="1"/>
  <c r="J164" i="1"/>
  <c r="K164" i="1"/>
  <c r="AC164" i="1"/>
  <c r="AJ163" i="1"/>
  <c r="AK163" i="1"/>
  <c r="AM163" i="1"/>
  <c r="BG163" i="1"/>
  <c r="T164" i="1"/>
  <c r="U164" i="1"/>
  <c r="V164" i="1"/>
  <c r="W164" i="1"/>
  <c r="X164" i="1"/>
  <c r="Y164" i="1"/>
  <c r="Z164" i="1"/>
  <c r="AB164" i="1"/>
  <c r="AF164" i="1"/>
  <c r="AI164" i="1"/>
  <c r="H165" i="1"/>
  <c r="AE165" i="1"/>
  <c r="I165" i="1"/>
  <c r="J165" i="1"/>
  <c r="K165" i="1"/>
  <c r="AC165" i="1"/>
  <c r="AJ164" i="1"/>
  <c r="AK164" i="1"/>
  <c r="AM164" i="1"/>
  <c r="BF164" i="1"/>
  <c r="BG164" i="1"/>
  <c r="T165" i="1"/>
  <c r="U165" i="1"/>
  <c r="V165" i="1"/>
  <c r="W165" i="1"/>
  <c r="X165" i="1"/>
  <c r="Y165" i="1"/>
  <c r="Z165" i="1"/>
  <c r="AB165" i="1"/>
  <c r="AF165" i="1"/>
  <c r="AI165" i="1"/>
  <c r="H166" i="1"/>
  <c r="AE166" i="1"/>
  <c r="I166" i="1"/>
  <c r="J166" i="1"/>
  <c r="K166" i="1"/>
  <c r="AC166" i="1"/>
  <c r="AJ165" i="1"/>
  <c r="AK165" i="1"/>
  <c r="AM165" i="1"/>
  <c r="BF165" i="1"/>
  <c r="BG165" i="1"/>
  <c r="T166" i="1"/>
  <c r="U166" i="1"/>
  <c r="V166" i="1"/>
  <c r="W166" i="1"/>
  <c r="X166" i="1"/>
  <c r="Y166" i="1"/>
  <c r="Z166" i="1"/>
  <c r="AB166" i="1"/>
  <c r="AF166" i="1"/>
  <c r="AI166" i="1"/>
  <c r="H167" i="1"/>
  <c r="AE167" i="1"/>
  <c r="I167" i="1"/>
  <c r="J167" i="1"/>
  <c r="K167" i="1"/>
  <c r="AC167" i="1"/>
  <c r="AJ166" i="1"/>
  <c r="AK166" i="1"/>
  <c r="AM166" i="1"/>
  <c r="BF166" i="1"/>
  <c r="BG166" i="1"/>
  <c r="T167" i="1"/>
  <c r="U167" i="1"/>
  <c r="V167" i="1"/>
  <c r="W167" i="1"/>
  <c r="X167" i="1"/>
  <c r="Y167" i="1"/>
  <c r="Z167" i="1"/>
  <c r="AB167" i="1"/>
  <c r="AF167" i="1"/>
  <c r="AI167" i="1"/>
  <c r="H168" i="1"/>
  <c r="AE168" i="1"/>
  <c r="I168" i="1"/>
  <c r="J168" i="1"/>
  <c r="K168" i="1"/>
  <c r="AC168" i="1"/>
  <c r="AJ167" i="1"/>
  <c r="AK167" i="1"/>
  <c r="AM167" i="1"/>
  <c r="BF167" i="1"/>
  <c r="BG167" i="1"/>
  <c r="T168" i="1"/>
  <c r="U168" i="1"/>
  <c r="V168" i="1"/>
  <c r="W168" i="1"/>
  <c r="X168" i="1"/>
  <c r="Y168" i="1"/>
  <c r="Z168" i="1"/>
  <c r="AB168" i="1"/>
  <c r="AF168" i="1"/>
  <c r="AI168" i="1"/>
  <c r="H169" i="1"/>
  <c r="AE169" i="1"/>
  <c r="I169" i="1"/>
  <c r="J169" i="1"/>
  <c r="K169" i="1"/>
  <c r="AC169" i="1"/>
  <c r="AJ168" i="1"/>
  <c r="AK168" i="1"/>
  <c r="AM168" i="1"/>
  <c r="BF168" i="1"/>
  <c r="BG168" i="1"/>
  <c r="T169" i="1"/>
  <c r="U169" i="1"/>
  <c r="V169" i="1"/>
  <c r="W169" i="1"/>
  <c r="X169" i="1"/>
  <c r="Y169" i="1"/>
  <c r="Z169" i="1"/>
  <c r="AB169" i="1"/>
  <c r="AF169" i="1"/>
  <c r="AI169" i="1"/>
  <c r="AE170" i="1"/>
  <c r="AC170" i="1"/>
  <c r="AJ169" i="1"/>
  <c r="AK169" i="1"/>
  <c r="AM169" i="1"/>
  <c r="BF169" i="1"/>
  <c r="BG169" i="1"/>
  <c r="T170" i="1"/>
  <c r="U170" i="1"/>
  <c r="V170" i="1"/>
  <c r="W170" i="1"/>
  <c r="X170" i="1"/>
  <c r="Y170" i="1"/>
  <c r="Z170" i="1"/>
  <c r="AB170" i="1"/>
  <c r="AF170" i="1"/>
  <c r="AI170" i="1"/>
  <c r="AE171" i="1"/>
  <c r="AC171" i="1"/>
  <c r="AJ170" i="1"/>
  <c r="AK170" i="1"/>
  <c r="AM170" i="1"/>
  <c r="BF170" i="1"/>
  <c r="BG170" i="1"/>
  <c r="T171" i="1"/>
  <c r="U171" i="1"/>
  <c r="V171" i="1"/>
  <c r="W171" i="1"/>
  <c r="X171" i="1"/>
  <c r="Y171" i="1"/>
  <c r="Z171" i="1"/>
  <c r="AB171" i="1"/>
  <c r="AF171" i="1"/>
  <c r="AI171" i="1"/>
  <c r="H172" i="1"/>
  <c r="AE172" i="1"/>
  <c r="I172" i="1"/>
  <c r="J172" i="1"/>
  <c r="K172" i="1"/>
  <c r="AC172" i="1"/>
  <c r="AJ171" i="1"/>
  <c r="AK171" i="1"/>
  <c r="AM171" i="1"/>
  <c r="BG171" i="1"/>
  <c r="T172" i="1"/>
  <c r="U172" i="1"/>
  <c r="V172" i="1"/>
  <c r="W172" i="1"/>
  <c r="X172" i="1"/>
  <c r="Y172" i="1"/>
  <c r="Z172" i="1"/>
  <c r="AB172" i="1"/>
  <c r="AF172" i="1"/>
  <c r="AI172" i="1"/>
  <c r="AE173" i="1"/>
  <c r="AC173" i="1"/>
  <c r="AJ172" i="1"/>
  <c r="AK172" i="1"/>
  <c r="AM172" i="1"/>
  <c r="BF172" i="1"/>
  <c r="BG172" i="1"/>
  <c r="T173" i="1"/>
  <c r="U173" i="1"/>
  <c r="V173" i="1"/>
  <c r="W173" i="1"/>
  <c r="X173" i="1"/>
  <c r="Y173" i="1"/>
  <c r="Z173" i="1"/>
  <c r="AB173" i="1"/>
  <c r="AF173" i="1"/>
  <c r="AI173" i="1"/>
  <c r="AE174" i="1"/>
  <c r="AC174" i="1"/>
  <c r="AJ173" i="1"/>
  <c r="AK173" i="1"/>
  <c r="AM173" i="1"/>
  <c r="BF173" i="1"/>
  <c r="BG173" i="1"/>
  <c r="T174" i="1"/>
  <c r="U174" i="1"/>
  <c r="V174" i="1"/>
  <c r="W174" i="1"/>
  <c r="X174" i="1"/>
  <c r="Y174" i="1"/>
  <c r="Z174" i="1"/>
  <c r="AB174" i="1"/>
  <c r="AF174" i="1"/>
  <c r="AI174" i="1"/>
  <c r="H175" i="1"/>
  <c r="AE175" i="1"/>
  <c r="I175" i="1"/>
  <c r="J175" i="1"/>
  <c r="K175" i="1"/>
  <c r="AC175" i="1"/>
  <c r="AJ174" i="1"/>
  <c r="AK174" i="1"/>
  <c r="AM174" i="1"/>
  <c r="BG174" i="1"/>
  <c r="T175" i="1"/>
  <c r="U175" i="1"/>
  <c r="V175" i="1"/>
  <c r="W175" i="1"/>
  <c r="X175" i="1"/>
  <c r="Y175" i="1"/>
  <c r="Z175" i="1"/>
  <c r="AB175" i="1"/>
  <c r="AF175" i="1"/>
  <c r="AI175" i="1"/>
  <c r="AE176" i="1"/>
  <c r="AC176" i="1"/>
  <c r="AJ175" i="1"/>
  <c r="AK175" i="1"/>
  <c r="AM175" i="1"/>
  <c r="BF175" i="1"/>
  <c r="BG175" i="1"/>
  <c r="T176" i="1"/>
  <c r="U176" i="1"/>
  <c r="V176" i="1"/>
  <c r="W176" i="1"/>
  <c r="X176" i="1"/>
  <c r="Y176" i="1"/>
  <c r="Z176" i="1"/>
  <c r="AB176" i="1"/>
  <c r="AF176" i="1"/>
  <c r="AI176" i="1"/>
  <c r="AE177" i="1"/>
  <c r="AC177" i="1"/>
  <c r="AJ176" i="1"/>
  <c r="AK176" i="1"/>
  <c r="AM176" i="1"/>
  <c r="BF176" i="1"/>
  <c r="BG176" i="1"/>
  <c r="T177" i="1"/>
  <c r="U177" i="1"/>
  <c r="V177" i="1"/>
  <c r="W177" i="1"/>
  <c r="X177" i="1"/>
  <c r="Y177" i="1"/>
  <c r="Z177" i="1"/>
  <c r="AB177" i="1"/>
  <c r="AF177" i="1"/>
  <c r="AI177" i="1"/>
  <c r="H178" i="1"/>
  <c r="AE178" i="1"/>
  <c r="I178" i="1"/>
  <c r="J178" i="1"/>
  <c r="K178" i="1"/>
  <c r="AC178" i="1"/>
  <c r="AJ177" i="1"/>
  <c r="AK177" i="1"/>
  <c r="AM177" i="1"/>
  <c r="BG177" i="1"/>
  <c r="T178" i="1"/>
  <c r="U178" i="1"/>
  <c r="V178" i="1"/>
  <c r="W178" i="1"/>
  <c r="X178" i="1"/>
  <c r="Y178" i="1"/>
  <c r="Z178" i="1"/>
  <c r="AB178" i="1"/>
  <c r="AF178" i="1"/>
  <c r="AI178" i="1"/>
  <c r="H179" i="1"/>
  <c r="AE179" i="1"/>
  <c r="I179" i="1"/>
  <c r="J179" i="1"/>
  <c r="K179" i="1"/>
  <c r="AC179" i="1"/>
  <c r="AJ178" i="1"/>
  <c r="AK178" i="1"/>
  <c r="AM178" i="1"/>
  <c r="BF178" i="1"/>
  <c r="BG178" i="1"/>
  <c r="T179" i="1"/>
  <c r="U179" i="1"/>
  <c r="V179" i="1"/>
  <c r="W179" i="1"/>
  <c r="X179" i="1"/>
  <c r="Y179" i="1"/>
  <c r="Z179" i="1"/>
  <c r="AB179" i="1"/>
  <c r="AF179" i="1"/>
  <c r="AI179" i="1"/>
  <c r="AE180" i="1"/>
  <c r="AC180" i="1"/>
  <c r="AJ179" i="1"/>
  <c r="AK179" i="1"/>
  <c r="AM179" i="1"/>
  <c r="BF179" i="1"/>
  <c r="BG179" i="1"/>
  <c r="T180" i="1"/>
  <c r="U180" i="1"/>
  <c r="V180" i="1"/>
  <c r="W180" i="1"/>
  <c r="X180" i="1"/>
  <c r="Y180" i="1"/>
  <c r="Z180" i="1"/>
  <c r="AB180" i="1"/>
  <c r="AF180" i="1"/>
  <c r="AI180" i="1"/>
  <c r="AE181" i="1"/>
  <c r="AC181" i="1"/>
  <c r="AJ180" i="1"/>
  <c r="AK180" i="1"/>
  <c r="AM180" i="1"/>
  <c r="BF180" i="1"/>
  <c r="BG180" i="1"/>
  <c r="T181" i="1"/>
  <c r="U181" i="1"/>
  <c r="V181" i="1"/>
  <c r="W181" i="1"/>
  <c r="X181" i="1"/>
  <c r="Y181" i="1"/>
  <c r="Z181" i="1"/>
  <c r="AB181" i="1"/>
  <c r="AF181" i="1"/>
  <c r="AI181" i="1"/>
  <c r="H182" i="1"/>
  <c r="AE182" i="1"/>
  <c r="I182" i="1"/>
  <c r="J182" i="1"/>
  <c r="K182" i="1"/>
  <c r="AC182" i="1"/>
  <c r="AJ181" i="1"/>
  <c r="AK181" i="1"/>
  <c r="AM181" i="1"/>
  <c r="BG181" i="1"/>
  <c r="T182" i="1"/>
  <c r="U182" i="1"/>
  <c r="V182" i="1"/>
  <c r="W182" i="1"/>
  <c r="X182" i="1"/>
  <c r="Y182" i="1"/>
  <c r="Z182" i="1"/>
  <c r="AB182" i="1"/>
  <c r="AF182" i="1"/>
  <c r="AI182" i="1"/>
  <c r="AE183" i="1"/>
  <c r="AC183" i="1"/>
  <c r="AJ182" i="1"/>
  <c r="AK182" i="1"/>
  <c r="AM182" i="1"/>
  <c r="BF182" i="1"/>
  <c r="BG182" i="1"/>
  <c r="T183" i="1"/>
  <c r="U183" i="1"/>
  <c r="V183" i="1"/>
  <c r="W183" i="1"/>
  <c r="X183" i="1"/>
  <c r="Y183" i="1"/>
  <c r="Z183" i="1"/>
  <c r="AB183" i="1"/>
  <c r="AF183" i="1"/>
  <c r="AI183" i="1"/>
  <c r="AE184" i="1"/>
  <c r="AC184" i="1"/>
  <c r="AJ183" i="1"/>
  <c r="AK183" i="1"/>
  <c r="AM183" i="1"/>
  <c r="BF183" i="1"/>
  <c r="BG183" i="1"/>
  <c r="T184" i="1"/>
  <c r="U184" i="1"/>
  <c r="V184" i="1"/>
  <c r="W184" i="1"/>
  <c r="X184" i="1"/>
  <c r="Y184" i="1"/>
  <c r="Z184" i="1"/>
  <c r="AB184" i="1"/>
  <c r="AF184" i="1"/>
  <c r="AI184" i="1"/>
  <c r="H185" i="1"/>
  <c r="AE185" i="1"/>
  <c r="I185" i="1"/>
  <c r="J185" i="1"/>
  <c r="K185" i="1"/>
  <c r="AC185" i="1"/>
  <c r="AJ184" i="1"/>
  <c r="AK184" i="1"/>
  <c r="AM184" i="1"/>
  <c r="BG184" i="1"/>
  <c r="T185" i="1"/>
  <c r="U185" i="1"/>
  <c r="V185" i="1"/>
  <c r="W185" i="1"/>
  <c r="X185" i="1"/>
  <c r="Y185" i="1"/>
  <c r="Z185" i="1"/>
  <c r="AB185" i="1"/>
  <c r="AF185" i="1"/>
  <c r="AI185" i="1"/>
  <c r="AE186" i="1"/>
  <c r="AC186" i="1"/>
  <c r="AJ185" i="1"/>
  <c r="AK185" i="1"/>
  <c r="AM185" i="1"/>
  <c r="BF185" i="1"/>
  <c r="BG185" i="1"/>
  <c r="T186" i="1"/>
  <c r="U186" i="1"/>
  <c r="V186" i="1"/>
  <c r="W186" i="1"/>
  <c r="X186" i="1"/>
  <c r="Y186" i="1"/>
  <c r="Z186" i="1"/>
  <c r="AB186" i="1"/>
  <c r="AF186" i="1"/>
  <c r="AI186" i="1"/>
  <c r="AE187" i="1"/>
  <c r="AC187" i="1"/>
  <c r="AJ186" i="1"/>
  <c r="AK186" i="1"/>
  <c r="AM186" i="1"/>
  <c r="BF186" i="1"/>
  <c r="BG186" i="1"/>
  <c r="T187" i="1"/>
  <c r="U187" i="1"/>
  <c r="V187" i="1"/>
  <c r="W187" i="1"/>
  <c r="X187" i="1"/>
  <c r="Y187" i="1"/>
  <c r="Z187" i="1"/>
  <c r="AB187" i="1"/>
  <c r="AF187" i="1"/>
  <c r="AI187" i="1"/>
  <c r="H188" i="1"/>
  <c r="AE188" i="1"/>
  <c r="I188" i="1"/>
  <c r="J188" i="1"/>
  <c r="K188" i="1"/>
  <c r="AC188" i="1"/>
  <c r="AJ187" i="1"/>
  <c r="AK187" i="1"/>
  <c r="AM187" i="1"/>
  <c r="BG187" i="1"/>
  <c r="T188" i="1"/>
  <c r="U188" i="1"/>
  <c r="V188" i="1"/>
  <c r="W188" i="1"/>
  <c r="X188" i="1"/>
  <c r="Y188" i="1"/>
  <c r="Z188" i="1"/>
  <c r="AB188" i="1"/>
  <c r="AF188" i="1"/>
  <c r="AI188" i="1"/>
  <c r="H189" i="1"/>
  <c r="AE189" i="1"/>
  <c r="I189" i="1"/>
  <c r="J189" i="1"/>
  <c r="K189" i="1"/>
  <c r="AC189" i="1"/>
  <c r="AJ188" i="1"/>
  <c r="AK188" i="1"/>
  <c r="AM188" i="1"/>
  <c r="BF188" i="1"/>
  <c r="BG188" i="1"/>
  <c r="T189" i="1"/>
  <c r="U189" i="1"/>
  <c r="V189" i="1"/>
  <c r="W189" i="1"/>
  <c r="X189" i="1"/>
  <c r="Y189" i="1"/>
  <c r="Z189" i="1"/>
  <c r="AB189" i="1"/>
  <c r="AF189" i="1"/>
  <c r="AI189" i="1"/>
  <c r="H190" i="1"/>
  <c r="AE190" i="1"/>
  <c r="I190" i="1"/>
  <c r="J190" i="1"/>
  <c r="K190" i="1"/>
  <c r="AC190" i="1"/>
  <c r="AJ189" i="1"/>
  <c r="AK189" i="1"/>
  <c r="AM189" i="1"/>
  <c r="BF189" i="1"/>
  <c r="BG189" i="1"/>
  <c r="T190" i="1"/>
  <c r="U190" i="1"/>
  <c r="V190" i="1"/>
  <c r="W190" i="1"/>
  <c r="X190" i="1"/>
  <c r="Y190" i="1"/>
  <c r="Z190" i="1"/>
  <c r="AB190" i="1"/>
  <c r="AF190" i="1"/>
  <c r="AI190" i="1"/>
  <c r="H191" i="1"/>
  <c r="AE191" i="1"/>
  <c r="I191" i="1"/>
  <c r="J191" i="1"/>
  <c r="K191" i="1"/>
  <c r="AC191" i="1"/>
  <c r="AJ190" i="1"/>
  <c r="AK190" i="1"/>
  <c r="AM190" i="1"/>
  <c r="BF190" i="1"/>
  <c r="BG190" i="1"/>
  <c r="T191" i="1"/>
  <c r="U191" i="1"/>
  <c r="V191" i="1"/>
  <c r="W191" i="1"/>
  <c r="X191" i="1"/>
  <c r="Y191" i="1"/>
  <c r="Z191" i="1"/>
  <c r="AB191" i="1"/>
  <c r="AF191" i="1"/>
  <c r="AI191" i="1"/>
  <c r="AE192" i="1"/>
  <c r="AC192" i="1"/>
  <c r="AJ191" i="1"/>
  <c r="AK191" i="1"/>
  <c r="AM191" i="1"/>
  <c r="BF191" i="1"/>
  <c r="BG191" i="1"/>
  <c r="T192" i="1"/>
  <c r="U192" i="1"/>
  <c r="V192" i="1"/>
  <c r="W192" i="1"/>
  <c r="X192" i="1"/>
  <c r="Y192" i="1"/>
  <c r="Z192" i="1"/>
  <c r="AB192" i="1"/>
  <c r="AF192" i="1"/>
  <c r="AI192" i="1"/>
  <c r="AE193" i="1"/>
  <c r="AC193" i="1"/>
  <c r="AJ192" i="1"/>
  <c r="AK192" i="1"/>
  <c r="AM192" i="1"/>
  <c r="BF192" i="1"/>
  <c r="BG192" i="1"/>
  <c r="T193" i="1"/>
  <c r="U193" i="1"/>
  <c r="V193" i="1"/>
  <c r="W193" i="1"/>
  <c r="X193" i="1"/>
  <c r="Y193" i="1"/>
  <c r="Z193" i="1"/>
  <c r="AB193" i="1"/>
  <c r="AF193" i="1"/>
  <c r="AI193" i="1"/>
  <c r="H194" i="1"/>
  <c r="AE194" i="1"/>
  <c r="I194" i="1"/>
  <c r="J194" i="1"/>
  <c r="K194" i="1"/>
  <c r="AC194" i="1"/>
  <c r="AJ193" i="1"/>
  <c r="AK193" i="1"/>
  <c r="AM193" i="1"/>
  <c r="BG193" i="1"/>
  <c r="T194" i="1"/>
  <c r="U194" i="1"/>
  <c r="V194" i="1"/>
  <c r="W194" i="1"/>
  <c r="X194" i="1"/>
  <c r="Y194" i="1"/>
  <c r="Z194" i="1"/>
  <c r="AB194" i="1"/>
  <c r="AF194" i="1"/>
  <c r="AI194" i="1"/>
  <c r="AE195" i="1"/>
  <c r="AC195" i="1"/>
  <c r="AJ194" i="1"/>
  <c r="AK194" i="1"/>
  <c r="AM194" i="1"/>
  <c r="BF194" i="1"/>
  <c r="BG194" i="1"/>
  <c r="T195" i="1"/>
  <c r="U195" i="1"/>
  <c r="V195" i="1"/>
  <c r="W195" i="1"/>
  <c r="X195" i="1"/>
  <c r="Y195" i="1"/>
  <c r="Z195" i="1"/>
  <c r="AB195" i="1"/>
  <c r="AF195" i="1"/>
  <c r="AI195" i="1"/>
  <c r="AE196" i="1"/>
  <c r="AC196" i="1"/>
  <c r="AJ195" i="1"/>
  <c r="AK195" i="1"/>
  <c r="AM195" i="1"/>
  <c r="BF195" i="1"/>
  <c r="BG195" i="1"/>
  <c r="T196" i="1"/>
  <c r="U196" i="1"/>
  <c r="V196" i="1"/>
  <c r="W196" i="1"/>
  <c r="X196" i="1"/>
  <c r="Y196" i="1"/>
  <c r="Z196" i="1"/>
  <c r="AB196" i="1"/>
  <c r="AF196" i="1"/>
  <c r="AI196" i="1"/>
  <c r="H197" i="1"/>
  <c r="AE197" i="1"/>
  <c r="I197" i="1"/>
  <c r="J197" i="1"/>
  <c r="K197" i="1"/>
  <c r="AC197" i="1"/>
  <c r="AJ196" i="1"/>
  <c r="AK196" i="1"/>
  <c r="AM196" i="1"/>
  <c r="BG196" i="1"/>
  <c r="T197" i="1"/>
  <c r="U197" i="1"/>
  <c r="V197" i="1"/>
  <c r="W197" i="1"/>
  <c r="X197" i="1"/>
  <c r="Y197" i="1"/>
  <c r="Z197" i="1"/>
  <c r="AB197" i="1"/>
  <c r="AF197" i="1"/>
  <c r="AI197" i="1"/>
  <c r="AE198" i="1"/>
  <c r="AC198" i="1"/>
  <c r="AJ197" i="1"/>
  <c r="AK197" i="1"/>
  <c r="AM197" i="1"/>
  <c r="BF197" i="1"/>
  <c r="BG197" i="1"/>
  <c r="T198" i="1"/>
  <c r="U198" i="1"/>
  <c r="V198" i="1"/>
  <c r="W198" i="1"/>
  <c r="X198" i="1"/>
  <c r="Y198" i="1"/>
  <c r="Z198" i="1"/>
  <c r="AB198" i="1"/>
  <c r="AF198" i="1"/>
  <c r="AI198" i="1"/>
  <c r="AE199" i="1"/>
  <c r="AC199" i="1"/>
  <c r="AJ198" i="1"/>
  <c r="AK198" i="1"/>
  <c r="AM198" i="1"/>
  <c r="BF198" i="1"/>
  <c r="BG198" i="1"/>
  <c r="T199" i="1"/>
  <c r="U199" i="1"/>
  <c r="V199" i="1"/>
  <c r="W199" i="1"/>
  <c r="X199" i="1"/>
  <c r="Y199" i="1"/>
  <c r="Z199" i="1"/>
  <c r="AB199" i="1"/>
  <c r="AF199" i="1"/>
  <c r="AI199" i="1"/>
  <c r="H200" i="1"/>
  <c r="AE200" i="1"/>
  <c r="I200" i="1"/>
  <c r="J200" i="1"/>
  <c r="K200" i="1"/>
  <c r="AC200" i="1"/>
  <c r="AJ199" i="1"/>
  <c r="AK199" i="1"/>
  <c r="AM199" i="1"/>
  <c r="BG199" i="1"/>
  <c r="T200" i="1"/>
  <c r="U200" i="1"/>
  <c r="V200" i="1"/>
  <c r="W200" i="1"/>
  <c r="X200" i="1"/>
  <c r="Y200" i="1"/>
  <c r="Z200" i="1"/>
  <c r="AB200" i="1"/>
  <c r="AF200" i="1"/>
  <c r="AI200" i="1"/>
  <c r="H201" i="1"/>
  <c r="AE201" i="1"/>
  <c r="I201" i="1"/>
  <c r="J201" i="1"/>
  <c r="K201" i="1"/>
  <c r="AC201" i="1"/>
  <c r="AJ200" i="1"/>
  <c r="AK200" i="1"/>
  <c r="AM200" i="1"/>
  <c r="BF200" i="1"/>
  <c r="BG200" i="1"/>
  <c r="T201" i="1"/>
  <c r="U201" i="1"/>
  <c r="V201" i="1"/>
  <c r="W201" i="1"/>
  <c r="X201" i="1"/>
  <c r="Y201" i="1"/>
  <c r="Z201" i="1"/>
  <c r="AB201" i="1"/>
  <c r="AF201" i="1"/>
  <c r="AI201" i="1"/>
  <c r="AE202" i="1"/>
  <c r="AC202" i="1"/>
  <c r="AJ201" i="1"/>
  <c r="AK201" i="1"/>
  <c r="AM201" i="1"/>
  <c r="BF201" i="1"/>
  <c r="BG201" i="1"/>
  <c r="T202" i="1"/>
  <c r="U202" i="1"/>
  <c r="V202" i="1"/>
  <c r="W202" i="1"/>
  <c r="X202" i="1"/>
  <c r="Y202" i="1"/>
  <c r="Z202" i="1"/>
  <c r="AB202" i="1"/>
  <c r="AF202" i="1"/>
  <c r="AI202" i="1"/>
  <c r="AE203" i="1"/>
  <c r="AC203" i="1"/>
  <c r="AJ202" i="1"/>
  <c r="AK202" i="1"/>
  <c r="AM202" i="1"/>
  <c r="BF202" i="1"/>
  <c r="BG202" i="1"/>
  <c r="T203" i="1"/>
  <c r="U203" i="1"/>
  <c r="V203" i="1"/>
  <c r="W203" i="1"/>
  <c r="X203" i="1"/>
  <c r="Y203" i="1"/>
  <c r="Z203" i="1"/>
  <c r="AB203" i="1"/>
  <c r="AF203" i="1"/>
  <c r="AI203" i="1"/>
  <c r="H204" i="1"/>
  <c r="AE204" i="1"/>
  <c r="I204" i="1"/>
  <c r="J204" i="1"/>
  <c r="K204" i="1"/>
  <c r="AC204" i="1"/>
  <c r="AJ203" i="1"/>
  <c r="AK203" i="1"/>
  <c r="AM203" i="1"/>
  <c r="BG203" i="1"/>
  <c r="T204" i="1"/>
  <c r="U204" i="1"/>
  <c r="V204" i="1"/>
  <c r="W204" i="1"/>
  <c r="X204" i="1"/>
  <c r="Y204" i="1"/>
  <c r="Z204" i="1"/>
  <c r="AB204" i="1"/>
  <c r="AF204" i="1"/>
  <c r="AI204" i="1"/>
  <c r="H205" i="1"/>
  <c r="AE205" i="1"/>
  <c r="I205" i="1"/>
  <c r="J205" i="1"/>
  <c r="K205" i="1"/>
  <c r="AC205" i="1"/>
  <c r="AJ204" i="1"/>
  <c r="AK204" i="1"/>
  <c r="AM204" i="1"/>
  <c r="BF204" i="1"/>
  <c r="BG204" i="1"/>
  <c r="T205" i="1"/>
  <c r="U205" i="1"/>
  <c r="V205" i="1"/>
  <c r="W205" i="1"/>
  <c r="X205" i="1"/>
  <c r="Y205" i="1"/>
  <c r="Z205" i="1"/>
  <c r="AB205" i="1"/>
  <c r="AF205" i="1"/>
  <c r="AI205" i="1"/>
  <c r="AE206" i="1"/>
  <c r="AC206" i="1"/>
  <c r="AJ205" i="1"/>
  <c r="AK205" i="1"/>
  <c r="AM205" i="1"/>
  <c r="BF205" i="1"/>
  <c r="BG205" i="1"/>
  <c r="T206" i="1"/>
  <c r="U206" i="1"/>
  <c r="V206" i="1"/>
  <c r="W206" i="1"/>
  <c r="X206" i="1"/>
  <c r="Y206" i="1"/>
  <c r="Z206" i="1"/>
  <c r="AB206" i="1"/>
  <c r="AF206" i="1"/>
  <c r="AI206" i="1"/>
  <c r="AE207" i="1"/>
  <c r="AC207" i="1"/>
  <c r="AJ206" i="1"/>
  <c r="AK206" i="1"/>
  <c r="AM206" i="1"/>
  <c r="BF206" i="1"/>
  <c r="BG206" i="1"/>
  <c r="T207" i="1"/>
  <c r="U207" i="1"/>
  <c r="V207" i="1"/>
  <c r="W207" i="1"/>
  <c r="X207" i="1"/>
  <c r="Y207" i="1"/>
  <c r="Z207" i="1"/>
  <c r="AB207" i="1"/>
  <c r="AF207" i="1"/>
  <c r="AI207" i="1"/>
  <c r="H208" i="1"/>
  <c r="AE208" i="1"/>
  <c r="I208" i="1"/>
  <c r="J208" i="1"/>
  <c r="K208" i="1"/>
  <c r="AC208" i="1"/>
  <c r="AJ207" i="1"/>
  <c r="AK207" i="1"/>
  <c r="AM207" i="1"/>
  <c r="BG207" i="1"/>
  <c r="T208" i="1"/>
  <c r="U208" i="1"/>
  <c r="V208" i="1"/>
  <c r="W208" i="1"/>
  <c r="X208" i="1"/>
  <c r="Y208" i="1"/>
  <c r="Z208" i="1"/>
  <c r="AB208" i="1"/>
  <c r="AF208" i="1"/>
  <c r="AI208" i="1"/>
  <c r="H209" i="1"/>
  <c r="AE209" i="1"/>
  <c r="I209" i="1"/>
  <c r="J209" i="1"/>
  <c r="K209" i="1"/>
  <c r="AC209" i="1"/>
  <c r="AJ208" i="1"/>
  <c r="AK208" i="1"/>
  <c r="AM208" i="1"/>
  <c r="BF208" i="1"/>
  <c r="BG208" i="1"/>
  <c r="T209" i="1"/>
  <c r="U209" i="1"/>
  <c r="V209" i="1"/>
  <c r="W209" i="1"/>
  <c r="X209" i="1"/>
  <c r="Y209" i="1"/>
  <c r="Z209" i="1"/>
  <c r="AB209" i="1"/>
  <c r="AF209" i="1"/>
  <c r="AI209" i="1"/>
  <c r="H210" i="1"/>
  <c r="AE210" i="1"/>
  <c r="I210" i="1"/>
  <c r="J210" i="1"/>
  <c r="K210" i="1"/>
  <c r="AC210" i="1"/>
  <c r="AJ209" i="1"/>
  <c r="AK209" i="1"/>
  <c r="AM209" i="1"/>
  <c r="BF209" i="1"/>
  <c r="BG209" i="1"/>
  <c r="T210" i="1"/>
  <c r="U210" i="1"/>
  <c r="V210" i="1"/>
  <c r="W210" i="1"/>
  <c r="X210" i="1"/>
  <c r="Y210" i="1"/>
  <c r="Z210" i="1"/>
  <c r="AB210" i="1"/>
  <c r="AF210" i="1"/>
  <c r="AI210" i="1"/>
  <c r="AE211" i="1"/>
  <c r="AC211" i="1"/>
  <c r="AJ210" i="1"/>
  <c r="AK210" i="1"/>
  <c r="AM210" i="1"/>
  <c r="BF210" i="1"/>
  <c r="BG210" i="1"/>
  <c r="T211" i="1"/>
  <c r="U211" i="1"/>
  <c r="V211" i="1"/>
  <c r="W211" i="1"/>
  <c r="X211" i="1"/>
  <c r="Y211" i="1"/>
  <c r="Z211" i="1"/>
  <c r="AB211" i="1"/>
  <c r="AF211" i="1"/>
  <c r="AI211" i="1"/>
  <c r="AE212" i="1"/>
  <c r="AC212" i="1"/>
  <c r="AJ211" i="1"/>
  <c r="AK211" i="1"/>
  <c r="AM211" i="1"/>
  <c r="BF211" i="1"/>
  <c r="BG211" i="1"/>
  <c r="T212" i="1"/>
  <c r="U212" i="1"/>
  <c r="V212" i="1"/>
  <c r="W212" i="1"/>
  <c r="X212" i="1"/>
  <c r="Y212" i="1"/>
  <c r="Z212" i="1"/>
  <c r="AB212" i="1"/>
  <c r="AF212" i="1"/>
  <c r="AI212" i="1"/>
  <c r="H213" i="1"/>
  <c r="AE213" i="1"/>
  <c r="I213" i="1"/>
  <c r="J213" i="1"/>
  <c r="K213" i="1"/>
  <c r="AC213" i="1"/>
  <c r="AJ212" i="1"/>
  <c r="AK212" i="1"/>
  <c r="AM212" i="1"/>
  <c r="BG212" i="1"/>
  <c r="T213" i="1"/>
  <c r="U213" i="1"/>
  <c r="V213" i="1"/>
  <c r="W213" i="1"/>
  <c r="X213" i="1"/>
  <c r="Y213" i="1"/>
  <c r="Z213" i="1"/>
  <c r="AB213" i="1"/>
  <c r="AF213" i="1"/>
  <c r="AI213" i="1"/>
  <c r="AE214" i="1"/>
  <c r="AC214" i="1"/>
  <c r="AJ213" i="1"/>
  <c r="AK213" i="1"/>
  <c r="AM213" i="1"/>
  <c r="BF213" i="1"/>
  <c r="BG213" i="1"/>
  <c r="T214" i="1"/>
  <c r="U214" i="1"/>
  <c r="V214" i="1"/>
  <c r="W214" i="1"/>
  <c r="X214" i="1"/>
  <c r="Y214" i="1"/>
  <c r="Z214" i="1"/>
  <c r="AB214" i="1"/>
  <c r="AF214" i="1"/>
  <c r="AI214" i="1"/>
  <c r="AE215" i="1"/>
  <c r="AC215" i="1"/>
  <c r="AJ214" i="1"/>
  <c r="AK214" i="1"/>
  <c r="AM214" i="1"/>
  <c r="BF214" i="1"/>
  <c r="BG214" i="1"/>
  <c r="T215" i="1"/>
  <c r="U215" i="1"/>
  <c r="V215" i="1"/>
  <c r="W215" i="1"/>
  <c r="X215" i="1"/>
  <c r="Y215" i="1"/>
  <c r="Z215" i="1"/>
  <c r="AB215" i="1"/>
  <c r="AF215" i="1"/>
  <c r="AI215" i="1"/>
  <c r="H216" i="1"/>
  <c r="AE216" i="1"/>
  <c r="I216" i="1"/>
  <c r="J216" i="1"/>
  <c r="K216" i="1"/>
  <c r="AC216" i="1"/>
  <c r="AJ215" i="1"/>
  <c r="AK215" i="1"/>
  <c r="AM215" i="1"/>
  <c r="BG215" i="1"/>
  <c r="T216" i="1"/>
  <c r="U216" i="1"/>
  <c r="V216" i="1"/>
  <c r="W216" i="1"/>
  <c r="X216" i="1"/>
  <c r="Y216" i="1"/>
  <c r="Z216" i="1"/>
  <c r="AB216" i="1"/>
  <c r="AF216" i="1"/>
  <c r="AI216" i="1"/>
  <c r="AE217" i="1"/>
  <c r="AC217" i="1"/>
  <c r="AJ216" i="1"/>
  <c r="AK216" i="1"/>
  <c r="AM216" i="1"/>
  <c r="BF216" i="1"/>
  <c r="BG216" i="1"/>
  <c r="T217" i="1"/>
  <c r="U217" i="1"/>
  <c r="V217" i="1"/>
  <c r="W217" i="1"/>
  <c r="X217" i="1"/>
  <c r="Y217" i="1"/>
  <c r="Z217" i="1"/>
  <c r="AB217" i="1"/>
  <c r="AF217" i="1"/>
  <c r="AI217" i="1"/>
  <c r="AE218" i="1"/>
  <c r="AC218" i="1"/>
  <c r="AJ217" i="1"/>
  <c r="AK217" i="1"/>
  <c r="AM217" i="1"/>
  <c r="BF217" i="1"/>
  <c r="BG217" i="1"/>
  <c r="T218" i="1"/>
  <c r="U218" i="1"/>
  <c r="V218" i="1"/>
  <c r="W218" i="1"/>
  <c r="X218" i="1"/>
  <c r="Y218" i="1"/>
  <c r="Z218" i="1"/>
  <c r="AB218" i="1"/>
  <c r="AF218" i="1"/>
  <c r="AI218" i="1"/>
  <c r="H219" i="1"/>
  <c r="AE219" i="1"/>
  <c r="I219" i="1"/>
  <c r="J219" i="1"/>
  <c r="K219" i="1"/>
  <c r="AC219" i="1"/>
  <c r="AJ218" i="1"/>
  <c r="AK218" i="1"/>
  <c r="AM218" i="1"/>
  <c r="BG218" i="1"/>
  <c r="T219" i="1"/>
  <c r="U219" i="1"/>
  <c r="V219" i="1"/>
  <c r="W219" i="1"/>
  <c r="X219" i="1"/>
  <c r="Y219" i="1"/>
  <c r="Z219" i="1"/>
  <c r="AB219" i="1"/>
  <c r="AF219" i="1"/>
  <c r="AI219" i="1"/>
  <c r="AE220" i="1"/>
  <c r="AC220" i="1"/>
  <c r="AJ219" i="1"/>
  <c r="AK219" i="1"/>
  <c r="AM219" i="1"/>
  <c r="BF219" i="1"/>
  <c r="BG219" i="1"/>
  <c r="T220" i="1"/>
  <c r="U220" i="1"/>
  <c r="V220" i="1"/>
  <c r="W220" i="1"/>
  <c r="X220" i="1"/>
  <c r="Y220" i="1"/>
  <c r="Z220" i="1"/>
  <c r="AB220" i="1"/>
  <c r="AF220" i="1"/>
  <c r="AI220" i="1"/>
  <c r="AE221" i="1"/>
  <c r="AC221" i="1"/>
  <c r="AJ220" i="1"/>
  <c r="AK220" i="1"/>
  <c r="AM220" i="1"/>
  <c r="BF220" i="1"/>
  <c r="BG220" i="1"/>
  <c r="T221" i="1"/>
  <c r="U221" i="1"/>
  <c r="V221" i="1"/>
  <c r="W221" i="1"/>
  <c r="X221" i="1"/>
  <c r="Y221" i="1"/>
  <c r="Z221" i="1"/>
  <c r="AB221" i="1"/>
  <c r="AF221" i="1"/>
  <c r="AI221" i="1"/>
  <c r="H222" i="1"/>
  <c r="AE222" i="1"/>
  <c r="I222" i="1"/>
  <c r="J222" i="1"/>
  <c r="K222" i="1"/>
  <c r="AC222" i="1"/>
  <c r="AJ221" i="1"/>
  <c r="AK221" i="1"/>
  <c r="AM221" i="1"/>
  <c r="BG221" i="1"/>
  <c r="T222" i="1"/>
  <c r="U222" i="1"/>
  <c r="V222" i="1"/>
  <c r="W222" i="1"/>
  <c r="X222" i="1"/>
  <c r="Y222" i="1"/>
  <c r="Z222" i="1"/>
  <c r="AB222" i="1"/>
  <c r="AF222" i="1"/>
  <c r="AI222" i="1"/>
  <c r="H223" i="1"/>
  <c r="AE223" i="1"/>
  <c r="I223" i="1"/>
  <c r="J223" i="1"/>
  <c r="K223" i="1"/>
  <c r="AC223" i="1"/>
  <c r="AJ222" i="1"/>
  <c r="AK222" i="1"/>
  <c r="AM222" i="1"/>
  <c r="BF222" i="1"/>
  <c r="BG222" i="1"/>
  <c r="T223" i="1"/>
  <c r="U223" i="1"/>
  <c r="V223" i="1"/>
  <c r="W223" i="1"/>
  <c r="X223" i="1"/>
  <c r="Y223" i="1"/>
  <c r="Z223" i="1"/>
  <c r="AB223" i="1"/>
  <c r="AF223" i="1"/>
  <c r="AI223" i="1"/>
  <c r="H224" i="1"/>
  <c r="AE224" i="1"/>
  <c r="I224" i="1"/>
  <c r="J224" i="1"/>
  <c r="K224" i="1"/>
  <c r="AC224" i="1"/>
  <c r="AJ223" i="1"/>
  <c r="AK223" i="1"/>
  <c r="AM223" i="1"/>
  <c r="BF223" i="1"/>
  <c r="BG223" i="1"/>
  <c r="T224" i="1"/>
  <c r="U224" i="1"/>
  <c r="V224" i="1"/>
  <c r="W224" i="1"/>
  <c r="X224" i="1"/>
  <c r="Y224" i="1"/>
  <c r="Z224" i="1"/>
  <c r="AB224" i="1"/>
  <c r="AF224" i="1"/>
  <c r="AI224" i="1"/>
  <c r="AE225" i="1"/>
  <c r="AC225" i="1"/>
  <c r="AJ224" i="1"/>
  <c r="AK224" i="1"/>
  <c r="AM224" i="1"/>
  <c r="BF224" i="1"/>
  <c r="BG224" i="1"/>
  <c r="T225" i="1"/>
  <c r="U225" i="1"/>
  <c r="V225" i="1"/>
  <c r="W225" i="1"/>
  <c r="X225" i="1"/>
  <c r="Y225" i="1"/>
  <c r="Z225" i="1"/>
  <c r="AB225" i="1"/>
  <c r="AF225" i="1"/>
  <c r="AI225" i="1"/>
  <c r="AE226" i="1"/>
  <c r="AC226" i="1"/>
  <c r="AJ225" i="1"/>
  <c r="AK225" i="1"/>
  <c r="AM225" i="1"/>
  <c r="BF225" i="1"/>
  <c r="BG225" i="1"/>
  <c r="T226" i="1"/>
  <c r="U226" i="1"/>
  <c r="V226" i="1"/>
  <c r="W226" i="1"/>
  <c r="X226" i="1"/>
  <c r="Y226" i="1"/>
  <c r="Z226" i="1"/>
  <c r="AB226" i="1"/>
  <c r="AF226" i="1"/>
  <c r="AI226" i="1"/>
  <c r="H227" i="1"/>
  <c r="AE227" i="1"/>
  <c r="I227" i="1"/>
  <c r="J227" i="1"/>
  <c r="K227" i="1"/>
  <c r="AC227" i="1"/>
  <c r="AJ226" i="1"/>
  <c r="AK226" i="1"/>
  <c r="AM226" i="1"/>
  <c r="BG226" i="1"/>
  <c r="T227" i="1"/>
  <c r="U227" i="1"/>
  <c r="V227" i="1"/>
  <c r="W227" i="1"/>
  <c r="X227" i="1"/>
  <c r="Y227" i="1"/>
  <c r="Z227" i="1"/>
  <c r="AB227" i="1"/>
  <c r="AF227" i="1"/>
  <c r="AI227" i="1"/>
  <c r="H228" i="1"/>
  <c r="AE228" i="1"/>
  <c r="I228" i="1"/>
  <c r="J228" i="1"/>
  <c r="K228" i="1"/>
  <c r="AC228" i="1"/>
  <c r="AJ227" i="1"/>
  <c r="AK227" i="1"/>
  <c r="AM227" i="1"/>
  <c r="BF227" i="1"/>
  <c r="BG227" i="1"/>
  <c r="T228" i="1"/>
  <c r="U228" i="1"/>
  <c r="V228" i="1"/>
  <c r="W228" i="1"/>
  <c r="X228" i="1"/>
  <c r="Y228" i="1"/>
  <c r="Z228" i="1"/>
  <c r="AB228" i="1"/>
  <c r="AF228" i="1"/>
  <c r="AI228" i="1"/>
  <c r="H229" i="1"/>
  <c r="AE229" i="1"/>
  <c r="I229" i="1"/>
  <c r="J229" i="1"/>
  <c r="K229" i="1"/>
  <c r="AC229" i="1"/>
  <c r="AJ228" i="1"/>
  <c r="AK228" i="1"/>
  <c r="AM228" i="1"/>
  <c r="BF228" i="1"/>
  <c r="BG228" i="1"/>
  <c r="T229" i="1"/>
  <c r="U229" i="1"/>
  <c r="V229" i="1"/>
  <c r="W229" i="1"/>
  <c r="X229" i="1"/>
  <c r="Y229" i="1"/>
  <c r="Z229" i="1"/>
  <c r="AB229" i="1"/>
  <c r="AF229" i="1"/>
  <c r="AI229" i="1"/>
  <c r="H230" i="1"/>
  <c r="AE230" i="1"/>
  <c r="I230" i="1"/>
  <c r="J230" i="1"/>
  <c r="K230" i="1"/>
  <c r="AC230" i="1"/>
  <c r="AJ229" i="1"/>
  <c r="AK229" i="1"/>
  <c r="AM229" i="1"/>
  <c r="BF229" i="1"/>
  <c r="BG229" i="1"/>
  <c r="T230" i="1"/>
  <c r="U230" i="1"/>
  <c r="V230" i="1"/>
  <c r="W230" i="1"/>
  <c r="X230" i="1"/>
  <c r="Y230" i="1"/>
  <c r="Z230" i="1"/>
  <c r="AB230" i="1"/>
  <c r="AF230" i="1"/>
  <c r="AI230" i="1"/>
  <c r="H231" i="1"/>
  <c r="AE231" i="1"/>
  <c r="I231" i="1"/>
  <c r="J231" i="1"/>
  <c r="K231" i="1"/>
  <c r="AC231" i="1"/>
  <c r="AJ230" i="1"/>
  <c r="AK230" i="1"/>
  <c r="AM230" i="1"/>
  <c r="BF230" i="1"/>
  <c r="BG230" i="1"/>
  <c r="T231" i="1"/>
  <c r="U231" i="1"/>
  <c r="V231" i="1"/>
  <c r="W231" i="1"/>
  <c r="X231" i="1"/>
  <c r="Y231" i="1"/>
  <c r="Z231" i="1"/>
  <c r="AB231" i="1"/>
  <c r="AF231" i="1"/>
  <c r="AI231" i="1"/>
  <c r="H232" i="1"/>
  <c r="AE232" i="1"/>
  <c r="I232" i="1"/>
  <c r="J232" i="1"/>
  <c r="K232" i="1"/>
  <c r="AC232" i="1"/>
  <c r="AJ231" i="1"/>
  <c r="AK231" i="1"/>
  <c r="AM231" i="1"/>
  <c r="BF231" i="1"/>
  <c r="BG231" i="1"/>
  <c r="T232" i="1"/>
  <c r="U232" i="1"/>
  <c r="V232" i="1"/>
  <c r="W232" i="1"/>
  <c r="X232" i="1"/>
  <c r="Y232" i="1"/>
  <c r="Z232" i="1"/>
  <c r="AB232" i="1"/>
  <c r="AF232" i="1"/>
  <c r="AI232" i="1"/>
  <c r="H233" i="1"/>
  <c r="AE233" i="1"/>
  <c r="I233" i="1"/>
  <c r="J233" i="1"/>
  <c r="K233" i="1"/>
  <c r="AC233" i="1"/>
  <c r="AJ232" i="1"/>
  <c r="AK232" i="1"/>
  <c r="AM232" i="1"/>
  <c r="BF232" i="1"/>
  <c r="BG232" i="1"/>
  <c r="T233" i="1"/>
  <c r="U233" i="1"/>
  <c r="V233" i="1"/>
  <c r="W233" i="1"/>
  <c r="X233" i="1"/>
  <c r="Y233" i="1"/>
  <c r="Z233" i="1"/>
  <c r="AB233" i="1"/>
  <c r="AF233" i="1"/>
  <c r="AI233" i="1"/>
  <c r="H234" i="1"/>
  <c r="AE234" i="1"/>
  <c r="I234" i="1"/>
  <c r="J234" i="1"/>
  <c r="K234" i="1"/>
  <c r="AC234" i="1"/>
  <c r="AJ233" i="1"/>
  <c r="AK233" i="1"/>
  <c r="AM233" i="1"/>
  <c r="BF233" i="1"/>
  <c r="BG233" i="1"/>
  <c r="T234" i="1"/>
  <c r="U234" i="1"/>
  <c r="V234" i="1"/>
  <c r="W234" i="1"/>
  <c r="X234" i="1"/>
  <c r="Y234" i="1"/>
  <c r="Z234" i="1"/>
  <c r="AB234" i="1"/>
  <c r="AF234" i="1"/>
  <c r="AI234" i="1"/>
  <c r="AE235" i="1"/>
  <c r="AC235" i="1"/>
  <c r="AJ234" i="1"/>
  <c r="AK234" i="1"/>
  <c r="AM234" i="1"/>
  <c r="BF234" i="1"/>
  <c r="BG234" i="1"/>
  <c r="T235" i="1"/>
  <c r="U235" i="1"/>
  <c r="V235" i="1"/>
  <c r="W235" i="1"/>
  <c r="X235" i="1"/>
  <c r="Y235" i="1"/>
  <c r="Z235" i="1"/>
  <c r="AB235" i="1"/>
  <c r="AF235" i="1"/>
  <c r="AI235" i="1"/>
  <c r="AE236" i="1"/>
  <c r="AC236" i="1"/>
  <c r="AJ235" i="1"/>
  <c r="AK235" i="1"/>
  <c r="AM235" i="1"/>
  <c r="BF235" i="1"/>
  <c r="BG235" i="1"/>
  <c r="T236" i="1"/>
  <c r="U236" i="1"/>
  <c r="V236" i="1"/>
  <c r="W236" i="1"/>
  <c r="X236" i="1"/>
  <c r="Y236" i="1"/>
  <c r="Z236" i="1"/>
  <c r="AB236" i="1"/>
  <c r="AF236" i="1"/>
  <c r="AI236" i="1"/>
  <c r="H237" i="1"/>
  <c r="AE237" i="1"/>
  <c r="I237" i="1"/>
  <c r="J237" i="1"/>
  <c r="K237" i="1"/>
  <c r="AC237" i="1"/>
  <c r="AJ236" i="1"/>
  <c r="AK236" i="1"/>
  <c r="AM236" i="1"/>
  <c r="BG236" i="1"/>
  <c r="T237" i="1"/>
  <c r="U237" i="1"/>
  <c r="V237" i="1"/>
  <c r="W237" i="1"/>
  <c r="X237" i="1"/>
  <c r="Y237" i="1"/>
  <c r="Z237" i="1"/>
  <c r="AB237" i="1"/>
  <c r="AF237" i="1"/>
  <c r="AI237" i="1"/>
  <c r="H238" i="1"/>
  <c r="AE238" i="1"/>
  <c r="I238" i="1"/>
  <c r="J238" i="1"/>
  <c r="K238" i="1"/>
  <c r="AC238" i="1"/>
  <c r="AJ237" i="1"/>
  <c r="AK237" i="1"/>
  <c r="AM237" i="1"/>
  <c r="BF237" i="1"/>
  <c r="BG237" i="1"/>
  <c r="T238" i="1"/>
  <c r="U238" i="1"/>
  <c r="V238" i="1"/>
  <c r="W238" i="1"/>
  <c r="X238" i="1"/>
  <c r="Y238" i="1"/>
  <c r="Z238" i="1"/>
  <c r="AB238" i="1"/>
  <c r="AF238" i="1"/>
  <c r="AI238" i="1"/>
  <c r="H239" i="1"/>
  <c r="AE239" i="1"/>
  <c r="I239" i="1"/>
  <c r="J239" i="1"/>
  <c r="K239" i="1"/>
  <c r="AC239" i="1"/>
  <c r="AJ238" i="1"/>
  <c r="AK238" i="1"/>
  <c r="AM238" i="1"/>
  <c r="BF238" i="1"/>
  <c r="BG238" i="1"/>
  <c r="T239" i="1"/>
  <c r="U239" i="1"/>
  <c r="V239" i="1"/>
  <c r="W239" i="1"/>
  <c r="X239" i="1"/>
  <c r="Y239" i="1"/>
  <c r="Z239" i="1"/>
  <c r="AB239" i="1"/>
  <c r="AF239" i="1"/>
  <c r="AI239" i="1"/>
  <c r="H240" i="1"/>
  <c r="AE240" i="1"/>
  <c r="I240" i="1"/>
  <c r="J240" i="1"/>
  <c r="K240" i="1"/>
  <c r="AC240" i="1"/>
  <c r="AJ239" i="1"/>
  <c r="AK239" i="1"/>
  <c r="AM239" i="1"/>
  <c r="BF239" i="1"/>
  <c r="BG239" i="1"/>
  <c r="T240" i="1"/>
  <c r="U240" i="1"/>
  <c r="V240" i="1"/>
  <c r="W240" i="1"/>
  <c r="X240" i="1"/>
  <c r="Y240" i="1"/>
  <c r="Z240" i="1"/>
  <c r="AB240" i="1"/>
  <c r="AF240" i="1"/>
  <c r="AI240" i="1"/>
  <c r="H241" i="1"/>
  <c r="AE241" i="1"/>
  <c r="I241" i="1"/>
  <c r="J241" i="1"/>
  <c r="K241" i="1"/>
  <c r="AC241" i="1"/>
  <c r="AJ240" i="1"/>
  <c r="AK240" i="1"/>
  <c r="AM240" i="1"/>
  <c r="BF240" i="1"/>
  <c r="BG240" i="1"/>
  <c r="T241" i="1"/>
  <c r="U241" i="1"/>
  <c r="V241" i="1"/>
  <c r="W241" i="1"/>
  <c r="X241" i="1"/>
  <c r="Y241" i="1"/>
  <c r="Z241" i="1"/>
  <c r="AB241" i="1"/>
  <c r="AF241" i="1"/>
  <c r="AI241" i="1"/>
  <c r="AE242" i="1"/>
  <c r="AC242" i="1"/>
  <c r="AJ241" i="1"/>
  <c r="AK241" i="1"/>
  <c r="AM241" i="1"/>
  <c r="BF241" i="1"/>
  <c r="BG241" i="1"/>
  <c r="T242" i="1"/>
  <c r="U242" i="1"/>
  <c r="V242" i="1"/>
  <c r="W242" i="1"/>
  <c r="X242" i="1"/>
  <c r="Y242" i="1"/>
  <c r="Z242" i="1"/>
  <c r="AB242" i="1"/>
  <c r="AF242" i="1"/>
  <c r="AI242" i="1"/>
  <c r="AE243" i="1"/>
  <c r="AC243" i="1"/>
  <c r="AJ242" i="1"/>
  <c r="AK242" i="1"/>
  <c r="AM242" i="1"/>
  <c r="BF242" i="1"/>
  <c r="BG242" i="1"/>
  <c r="T243" i="1"/>
  <c r="U243" i="1"/>
  <c r="V243" i="1"/>
  <c r="W243" i="1"/>
  <c r="X243" i="1"/>
  <c r="Y243" i="1"/>
  <c r="Z243" i="1"/>
  <c r="AB243" i="1"/>
  <c r="AF243" i="1"/>
  <c r="AI243" i="1"/>
  <c r="H244" i="1"/>
  <c r="AE244" i="1"/>
  <c r="I244" i="1"/>
  <c r="J244" i="1"/>
  <c r="K244" i="1"/>
  <c r="AC244" i="1"/>
  <c r="AJ243" i="1"/>
  <c r="AK243" i="1"/>
  <c r="AM243" i="1"/>
  <c r="BG243" i="1"/>
  <c r="T244" i="1"/>
  <c r="U244" i="1"/>
  <c r="V244" i="1"/>
  <c r="W244" i="1"/>
  <c r="X244" i="1"/>
  <c r="Y244" i="1"/>
  <c r="Z244" i="1"/>
  <c r="AB244" i="1"/>
  <c r="AF244" i="1"/>
  <c r="AI244" i="1"/>
  <c r="H245" i="1"/>
  <c r="AE245" i="1"/>
  <c r="I245" i="1"/>
  <c r="J245" i="1"/>
  <c r="K245" i="1"/>
  <c r="AC245" i="1"/>
  <c r="AJ244" i="1"/>
  <c r="AK244" i="1"/>
  <c r="AM244" i="1"/>
  <c r="BF244" i="1"/>
  <c r="BG244" i="1"/>
  <c r="T245" i="1"/>
  <c r="U245" i="1"/>
  <c r="V245" i="1"/>
  <c r="W245" i="1"/>
  <c r="X245" i="1"/>
  <c r="Y245" i="1"/>
  <c r="Z245" i="1"/>
  <c r="AB245" i="1"/>
  <c r="AF245" i="1"/>
  <c r="AI245" i="1"/>
  <c r="AE246" i="1"/>
  <c r="AC246" i="1"/>
  <c r="AJ245" i="1"/>
  <c r="AK245" i="1"/>
  <c r="AM245" i="1"/>
  <c r="BF245" i="1"/>
  <c r="BG245" i="1"/>
  <c r="T246" i="1"/>
  <c r="U246" i="1"/>
  <c r="V246" i="1"/>
  <c r="W246" i="1"/>
  <c r="X246" i="1"/>
  <c r="Y246" i="1"/>
  <c r="Z246" i="1"/>
  <c r="AB246" i="1"/>
  <c r="AF246" i="1"/>
  <c r="AI246" i="1"/>
  <c r="AE247" i="1"/>
  <c r="AC247" i="1"/>
  <c r="AJ246" i="1"/>
  <c r="AK246" i="1"/>
  <c r="AM246" i="1"/>
  <c r="BF246" i="1"/>
  <c r="BG246" i="1"/>
  <c r="T247" i="1"/>
  <c r="U247" i="1"/>
  <c r="V247" i="1"/>
  <c r="W247" i="1"/>
  <c r="X247" i="1"/>
  <c r="Y247" i="1"/>
  <c r="Z247" i="1"/>
  <c r="AB247" i="1"/>
  <c r="AF247" i="1"/>
  <c r="AI247" i="1"/>
  <c r="H248" i="1"/>
  <c r="AE248" i="1"/>
  <c r="I248" i="1"/>
  <c r="J248" i="1"/>
  <c r="K248" i="1"/>
  <c r="AC248" i="1"/>
  <c r="AJ247" i="1"/>
  <c r="AK247" i="1"/>
  <c r="AM247" i="1"/>
  <c r="BG247" i="1"/>
  <c r="T248" i="1"/>
  <c r="U248" i="1"/>
  <c r="V248" i="1"/>
  <c r="W248" i="1"/>
  <c r="X248" i="1"/>
  <c r="Y248" i="1"/>
  <c r="Z248" i="1"/>
  <c r="AB248" i="1"/>
  <c r="AF248" i="1"/>
  <c r="AI248" i="1"/>
  <c r="AE249" i="1"/>
  <c r="AC249" i="1"/>
  <c r="AJ248" i="1"/>
  <c r="AK248" i="1"/>
  <c r="AM248" i="1"/>
  <c r="BF248" i="1"/>
  <c r="BG248" i="1"/>
  <c r="T249" i="1"/>
  <c r="U249" i="1"/>
  <c r="V249" i="1"/>
  <c r="W249" i="1"/>
  <c r="X249" i="1"/>
  <c r="Y249" i="1"/>
  <c r="Z249" i="1"/>
  <c r="AB249" i="1"/>
  <c r="AF249" i="1"/>
  <c r="AI249" i="1"/>
  <c r="AE250" i="1"/>
  <c r="AC250" i="1"/>
  <c r="AJ249" i="1"/>
  <c r="AK249" i="1"/>
  <c r="AM249" i="1"/>
  <c r="BF249" i="1"/>
  <c r="BG249" i="1"/>
  <c r="T250" i="1"/>
  <c r="U250" i="1"/>
  <c r="V250" i="1"/>
  <c r="W250" i="1"/>
  <c r="X250" i="1"/>
  <c r="Y250" i="1"/>
  <c r="Z250" i="1"/>
  <c r="AB250" i="1"/>
  <c r="AF250" i="1"/>
  <c r="AI250" i="1"/>
  <c r="H251" i="1"/>
  <c r="AE251" i="1"/>
  <c r="I251" i="1"/>
  <c r="J251" i="1"/>
  <c r="K251" i="1"/>
  <c r="AC251" i="1"/>
  <c r="AJ250" i="1"/>
  <c r="AK250" i="1"/>
  <c r="AM250" i="1"/>
  <c r="BG250" i="1"/>
  <c r="T251" i="1"/>
  <c r="U251" i="1"/>
  <c r="V251" i="1"/>
  <c r="W251" i="1"/>
  <c r="X251" i="1"/>
  <c r="Y251" i="1"/>
  <c r="Z251" i="1"/>
  <c r="AB251" i="1"/>
  <c r="AF251" i="1"/>
  <c r="AI251" i="1"/>
  <c r="H252" i="1"/>
  <c r="AE252" i="1"/>
  <c r="I252" i="1"/>
  <c r="J252" i="1"/>
  <c r="K252" i="1"/>
  <c r="AC252" i="1"/>
  <c r="AJ251" i="1"/>
  <c r="AK251" i="1"/>
  <c r="AM251" i="1"/>
  <c r="BF251" i="1"/>
  <c r="BG251" i="1"/>
  <c r="T252" i="1"/>
  <c r="U252" i="1"/>
  <c r="V252" i="1"/>
  <c r="W252" i="1"/>
  <c r="X252" i="1"/>
  <c r="Y252" i="1"/>
  <c r="Z252" i="1"/>
  <c r="AB252" i="1"/>
  <c r="AF252" i="1"/>
  <c r="AI252" i="1"/>
  <c r="H253" i="1"/>
  <c r="AE253" i="1"/>
  <c r="I253" i="1"/>
  <c r="J253" i="1"/>
  <c r="K253" i="1"/>
  <c r="AC253" i="1"/>
  <c r="AJ252" i="1"/>
  <c r="AK252" i="1"/>
  <c r="AM252" i="1"/>
  <c r="BF252" i="1"/>
  <c r="BG252" i="1"/>
  <c r="T253" i="1"/>
  <c r="U253" i="1"/>
  <c r="V253" i="1"/>
  <c r="W253" i="1"/>
  <c r="X253" i="1"/>
  <c r="Y253" i="1"/>
  <c r="Z253" i="1"/>
  <c r="AB253" i="1"/>
  <c r="AF253" i="1"/>
  <c r="AI253" i="1"/>
  <c r="H254" i="1"/>
  <c r="AE254" i="1"/>
  <c r="I254" i="1"/>
  <c r="J254" i="1"/>
  <c r="K254" i="1"/>
  <c r="AC254" i="1"/>
  <c r="AJ253" i="1"/>
  <c r="AK253" i="1"/>
  <c r="AM253" i="1"/>
  <c r="BF253" i="1"/>
  <c r="BG253" i="1"/>
  <c r="T254" i="1"/>
  <c r="U254" i="1"/>
  <c r="V254" i="1"/>
  <c r="W254" i="1"/>
  <c r="X254" i="1"/>
  <c r="Y254" i="1"/>
  <c r="Z254" i="1"/>
  <c r="AB254" i="1"/>
  <c r="AF254" i="1"/>
  <c r="AI254" i="1"/>
  <c r="H255" i="1"/>
  <c r="AE255" i="1"/>
  <c r="I255" i="1"/>
  <c r="J255" i="1"/>
  <c r="K255" i="1"/>
  <c r="AC255" i="1"/>
  <c r="AJ254" i="1"/>
  <c r="AK254" i="1"/>
  <c r="AM254" i="1"/>
  <c r="BF254" i="1"/>
  <c r="BG254" i="1"/>
  <c r="T255" i="1"/>
  <c r="U255" i="1"/>
  <c r="V255" i="1"/>
  <c r="W255" i="1"/>
  <c r="X255" i="1"/>
  <c r="Y255" i="1"/>
  <c r="Z255" i="1"/>
  <c r="AB255" i="1"/>
  <c r="AF255" i="1"/>
  <c r="AI255" i="1"/>
  <c r="AE256" i="1"/>
  <c r="AC256" i="1"/>
  <c r="AJ255" i="1"/>
  <c r="AK255" i="1"/>
  <c r="AM255" i="1"/>
  <c r="BF255" i="1"/>
  <c r="BG255" i="1"/>
  <c r="T256" i="1"/>
  <c r="U256" i="1"/>
  <c r="V256" i="1"/>
  <c r="W256" i="1"/>
  <c r="X256" i="1"/>
  <c r="Y256" i="1"/>
  <c r="Z256" i="1"/>
  <c r="AB256" i="1"/>
  <c r="AF256" i="1"/>
  <c r="AI256" i="1"/>
  <c r="AE257" i="1"/>
  <c r="AC257" i="1"/>
  <c r="AJ256" i="1"/>
  <c r="AK256" i="1"/>
  <c r="AM256" i="1"/>
  <c r="BF256" i="1"/>
  <c r="BG256" i="1"/>
  <c r="T257" i="1"/>
  <c r="U257" i="1"/>
  <c r="V257" i="1"/>
  <c r="W257" i="1"/>
  <c r="X257" i="1"/>
  <c r="Y257" i="1"/>
  <c r="Z257" i="1"/>
  <c r="AB257" i="1"/>
  <c r="AF257" i="1"/>
  <c r="AI257" i="1"/>
  <c r="H258" i="1"/>
  <c r="AE258" i="1"/>
  <c r="I258" i="1"/>
  <c r="J258" i="1"/>
  <c r="K258" i="1"/>
  <c r="AC258" i="1"/>
  <c r="AJ257" i="1"/>
  <c r="AK257" i="1"/>
  <c r="AM257" i="1"/>
  <c r="BG257" i="1"/>
  <c r="T258" i="1"/>
  <c r="U258" i="1"/>
  <c r="V258" i="1"/>
  <c r="W258" i="1"/>
  <c r="X258" i="1"/>
  <c r="Y258" i="1"/>
  <c r="Z258" i="1"/>
  <c r="AB258" i="1"/>
  <c r="AF258" i="1"/>
  <c r="AI258" i="1"/>
  <c r="AE259" i="1"/>
  <c r="AC259" i="1"/>
  <c r="AJ258" i="1"/>
  <c r="AK258" i="1"/>
  <c r="AM258" i="1"/>
  <c r="BF258" i="1"/>
  <c r="BG258" i="1"/>
  <c r="T259" i="1"/>
  <c r="U259" i="1"/>
  <c r="V259" i="1"/>
  <c r="W259" i="1"/>
  <c r="X259" i="1"/>
  <c r="Y259" i="1"/>
  <c r="Z259" i="1"/>
  <c r="AB259" i="1"/>
  <c r="AF259" i="1"/>
  <c r="AI259" i="1"/>
  <c r="AE260" i="1"/>
  <c r="AC260" i="1"/>
  <c r="AJ259" i="1"/>
  <c r="AK259" i="1"/>
  <c r="AM259" i="1"/>
  <c r="BF259" i="1"/>
  <c r="BG259" i="1"/>
  <c r="T260" i="1"/>
  <c r="U260" i="1"/>
  <c r="V260" i="1"/>
  <c r="W260" i="1"/>
  <c r="X260" i="1"/>
  <c r="Y260" i="1"/>
  <c r="Z260" i="1"/>
  <c r="AB260" i="1"/>
  <c r="AF260" i="1"/>
  <c r="AI260" i="1"/>
  <c r="H261" i="1"/>
  <c r="AE261" i="1"/>
  <c r="I261" i="1"/>
  <c r="J261" i="1"/>
  <c r="K261" i="1"/>
  <c r="AC261" i="1"/>
  <c r="AJ260" i="1"/>
  <c r="AK260" i="1"/>
  <c r="AM260" i="1"/>
  <c r="BG260" i="1"/>
  <c r="T261" i="1"/>
  <c r="U261" i="1"/>
  <c r="V261" i="1"/>
  <c r="W261" i="1"/>
  <c r="X261" i="1"/>
  <c r="Y261" i="1"/>
  <c r="Z261" i="1"/>
  <c r="AB261" i="1"/>
  <c r="AF261" i="1"/>
  <c r="AI261" i="1"/>
  <c r="AE262" i="1"/>
  <c r="AC262" i="1"/>
  <c r="AJ261" i="1"/>
  <c r="AK261" i="1"/>
  <c r="AM261" i="1"/>
  <c r="BF261" i="1"/>
  <c r="BG261" i="1"/>
  <c r="T262" i="1"/>
  <c r="U262" i="1"/>
  <c r="V262" i="1"/>
  <c r="W262" i="1"/>
  <c r="X262" i="1"/>
  <c r="Y262" i="1"/>
  <c r="Z262" i="1"/>
  <c r="AB262" i="1"/>
  <c r="AF262" i="1"/>
  <c r="AI262" i="1"/>
  <c r="AE263" i="1"/>
  <c r="AC263" i="1"/>
  <c r="AJ262" i="1"/>
  <c r="AK262" i="1"/>
  <c r="AM262" i="1"/>
  <c r="BF262" i="1"/>
  <c r="BG262" i="1"/>
  <c r="T263" i="1"/>
  <c r="U263" i="1"/>
  <c r="V263" i="1"/>
  <c r="W263" i="1"/>
  <c r="X263" i="1"/>
  <c r="Y263" i="1"/>
  <c r="Z263" i="1"/>
  <c r="AB263" i="1"/>
  <c r="AF263" i="1"/>
  <c r="AI263" i="1"/>
  <c r="H264" i="1"/>
  <c r="AE264" i="1"/>
  <c r="I264" i="1"/>
  <c r="J264" i="1"/>
  <c r="K264" i="1"/>
  <c r="AC264" i="1"/>
  <c r="AJ263" i="1"/>
  <c r="AK263" i="1"/>
  <c r="AM263" i="1"/>
  <c r="BG263" i="1"/>
  <c r="T264" i="1"/>
  <c r="U264" i="1"/>
  <c r="V264" i="1"/>
  <c r="W264" i="1"/>
  <c r="X264" i="1"/>
  <c r="Y264" i="1"/>
  <c r="Z264" i="1"/>
  <c r="AB264" i="1"/>
  <c r="AF264" i="1"/>
  <c r="AI264" i="1"/>
  <c r="H265" i="1"/>
  <c r="AE265" i="1"/>
  <c r="I265" i="1"/>
  <c r="J265" i="1"/>
  <c r="K265" i="1"/>
  <c r="AC265" i="1"/>
  <c r="AJ264" i="1"/>
  <c r="AK264" i="1"/>
  <c r="AM264" i="1"/>
  <c r="BF264" i="1"/>
  <c r="BG264" i="1"/>
  <c r="T265" i="1"/>
  <c r="U265" i="1"/>
  <c r="V265" i="1"/>
  <c r="W265" i="1"/>
  <c r="X265" i="1"/>
  <c r="Y265" i="1"/>
  <c r="Z265" i="1"/>
  <c r="AB265" i="1"/>
  <c r="AF265" i="1"/>
  <c r="AI265" i="1"/>
  <c r="H266" i="1"/>
  <c r="AE266" i="1"/>
  <c r="I266" i="1"/>
  <c r="J266" i="1"/>
  <c r="K266" i="1"/>
  <c r="AC266" i="1"/>
  <c r="AJ265" i="1"/>
  <c r="AK265" i="1"/>
  <c r="AM265" i="1"/>
  <c r="BF265" i="1"/>
  <c r="BG265" i="1"/>
  <c r="T266" i="1"/>
  <c r="U266" i="1"/>
  <c r="V266" i="1"/>
  <c r="W266" i="1"/>
  <c r="X266" i="1"/>
  <c r="Y266" i="1"/>
  <c r="Z266" i="1"/>
  <c r="AB266" i="1"/>
  <c r="AF266" i="1"/>
  <c r="AI266" i="1"/>
  <c r="AE267" i="1"/>
  <c r="AC267" i="1"/>
  <c r="AJ266" i="1"/>
  <c r="AK266" i="1"/>
  <c r="AM266" i="1"/>
  <c r="BF266" i="1"/>
  <c r="BG266" i="1"/>
  <c r="T267" i="1"/>
  <c r="U267" i="1"/>
  <c r="V267" i="1"/>
  <c r="W267" i="1"/>
  <c r="X267" i="1"/>
  <c r="Y267" i="1"/>
  <c r="Z267" i="1"/>
  <c r="AB267" i="1"/>
  <c r="AF267" i="1"/>
  <c r="AI267" i="1"/>
  <c r="AE268" i="1"/>
  <c r="AC268" i="1"/>
  <c r="AJ267" i="1"/>
  <c r="AK267" i="1"/>
  <c r="AM267" i="1"/>
  <c r="BF267" i="1"/>
  <c r="BG267" i="1"/>
  <c r="T268" i="1"/>
  <c r="U268" i="1"/>
  <c r="V268" i="1"/>
  <c r="W268" i="1"/>
  <c r="X268" i="1"/>
  <c r="Y268" i="1"/>
  <c r="Z268" i="1"/>
  <c r="AB268" i="1"/>
  <c r="AF268" i="1"/>
  <c r="AI268" i="1"/>
  <c r="H269" i="1"/>
  <c r="AE269" i="1"/>
  <c r="I269" i="1"/>
  <c r="J269" i="1"/>
  <c r="K269" i="1"/>
  <c r="AC269" i="1"/>
  <c r="AJ268" i="1"/>
  <c r="AK268" i="1"/>
  <c r="AM268" i="1"/>
  <c r="BG268" i="1"/>
  <c r="T269" i="1"/>
  <c r="U269" i="1"/>
  <c r="V269" i="1"/>
  <c r="W269" i="1"/>
  <c r="X269" i="1"/>
  <c r="Y269" i="1"/>
  <c r="Z269" i="1"/>
  <c r="AB269" i="1"/>
  <c r="AF269" i="1"/>
  <c r="AI269" i="1"/>
  <c r="H270" i="1"/>
  <c r="AE270" i="1"/>
  <c r="I270" i="1"/>
  <c r="J270" i="1"/>
  <c r="K270" i="1"/>
  <c r="AC270" i="1"/>
  <c r="AJ269" i="1"/>
  <c r="AK269" i="1"/>
  <c r="AM269" i="1"/>
  <c r="BF269" i="1"/>
  <c r="BG269" i="1"/>
  <c r="T270" i="1"/>
  <c r="U270" i="1"/>
  <c r="V270" i="1"/>
  <c r="W270" i="1"/>
  <c r="X270" i="1"/>
  <c r="Y270" i="1"/>
  <c r="Z270" i="1"/>
  <c r="AB270" i="1"/>
  <c r="AF270" i="1"/>
  <c r="AI270" i="1"/>
  <c r="H271" i="1"/>
  <c r="AE271" i="1"/>
  <c r="I271" i="1"/>
  <c r="J271" i="1"/>
  <c r="K271" i="1"/>
  <c r="AC271" i="1"/>
  <c r="AJ270" i="1"/>
  <c r="AK270" i="1"/>
  <c r="AM270" i="1"/>
  <c r="BF270" i="1"/>
  <c r="BG270" i="1"/>
  <c r="T271" i="1"/>
  <c r="U271" i="1"/>
  <c r="V271" i="1"/>
  <c r="W271" i="1"/>
  <c r="X271" i="1"/>
  <c r="Y271" i="1"/>
  <c r="Z271" i="1"/>
  <c r="AB271" i="1"/>
  <c r="AF271" i="1"/>
  <c r="AI271" i="1"/>
  <c r="H272" i="1"/>
  <c r="AE272" i="1"/>
  <c r="I272" i="1"/>
  <c r="J272" i="1"/>
  <c r="K272" i="1"/>
  <c r="AC272" i="1"/>
  <c r="AJ271" i="1"/>
  <c r="AK271" i="1"/>
  <c r="AM271" i="1"/>
  <c r="BF271" i="1"/>
  <c r="BG271" i="1"/>
  <c r="T272" i="1"/>
  <c r="U272" i="1"/>
  <c r="V272" i="1"/>
  <c r="W272" i="1"/>
  <c r="X272" i="1"/>
  <c r="Y272" i="1"/>
  <c r="Z272" i="1"/>
  <c r="AB272" i="1"/>
  <c r="AF272" i="1"/>
  <c r="AI272" i="1"/>
  <c r="AE273" i="1"/>
  <c r="AC273" i="1"/>
  <c r="AJ272" i="1"/>
  <c r="AK272" i="1"/>
  <c r="AM272" i="1"/>
  <c r="BF272" i="1"/>
  <c r="BG272" i="1"/>
  <c r="T273" i="1"/>
  <c r="U273" i="1"/>
  <c r="V273" i="1"/>
  <c r="W273" i="1"/>
  <c r="X273" i="1"/>
  <c r="Y273" i="1"/>
  <c r="Z273" i="1"/>
  <c r="AB273" i="1"/>
  <c r="AF273" i="1"/>
  <c r="AI273" i="1"/>
  <c r="AE274" i="1"/>
  <c r="AC274" i="1"/>
  <c r="AJ273" i="1"/>
  <c r="AK273" i="1"/>
  <c r="AM273" i="1"/>
  <c r="BF273" i="1"/>
  <c r="BG273" i="1"/>
  <c r="T274" i="1"/>
  <c r="U274" i="1"/>
  <c r="V274" i="1"/>
  <c r="W274" i="1"/>
  <c r="X274" i="1"/>
  <c r="Y274" i="1"/>
  <c r="Z274" i="1"/>
  <c r="AB274" i="1"/>
  <c r="AF274" i="1"/>
  <c r="AI274" i="1"/>
  <c r="H275" i="1"/>
  <c r="AE275" i="1"/>
  <c r="I275" i="1"/>
  <c r="J275" i="1"/>
  <c r="K275" i="1"/>
  <c r="AC275" i="1"/>
  <c r="AJ274" i="1"/>
  <c r="AK274" i="1"/>
  <c r="AM274" i="1"/>
  <c r="BG274" i="1"/>
  <c r="T275" i="1"/>
  <c r="U275" i="1"/>
  <c r="V275" i="1"/>
  <c r="W275" i="1"/>
  <c r="X275" i="1"/>
  <c r="Y275" i="1"/>
  <c r="Z275" i="1"/>
  <c r="AB275" i="1"/>
  <c r="AF275" i="1"/>
  <c r="AI275" i="1"/>
  <c r="H276" i="1"/>
  <c r="AE276" i="1"/>
  <c r="I276" i="1"/>
  <c r="J276" i="1"/>
  <c r="K276" i="1"/>
  <c r="AC276" i="1"/>
  <c r="AJ275" i="1"/>
  <c r="AK275" i="1"/>
  <c r="AM275" i="1"/>
  <c r="BF275" i="1"/>
  <c r="BG275" i="1"/>
  <c r="T276" i="1"/>
  <c r="U276" i="1"/>
  <c r="V276" i="1"/>
  <c r="W276" i="1"/>
  <c r="X276" i="1"/>
  <c r="Y276" i="1"/>
  <c r="Z276" i="1"/>
  <c r="AB276" i="1"/>
  <c r="AF276" i="1"/>
  <c r="AI276" i="1"/>
  <c r="H277" i="1"/>
  <c r="AE277" i="1"/>
  <c r="I277" i="1"/>
  <c r="J277" i="1"/>
  <c r="K277" i="1"/>
  <c r="AC277" i="1"/>
  <c r="AJ276" i="1"/>
  <c r="AK276" i="1"/>
  <c r="AM276" i="1"/>
  <c r="BF276" i="1"/>
  <c r="BG276" i="1"/>
  <c r="T277" i="1"/>
  <c r="U277" i="1"/>
  <c r="V277" i="1"/>
  <c r="W277" i="1"/>
  <c r="X277" i="1"/>
  <c r="Y277" i="1"/>
  <c r="Z277" i="1"/>
  <c r="AB277" i="1"/>
  <c r="AF277" i="1"/>
  <c r="AI277" i="1"/>
  <c r="AE278" i="1"/>
  <c r="AC278" i="1"/>
  <c r="AJ277" i="1"/>
  <c r="AK277" i="1"/>
  <c r="AM277" i="1"/>
  <c r="BF277" i="1"/>
  <c r="BG277" i="1"/>
  <c r="T278" i="1"/>
  <c r="U278" i="1"/>
  <c r="V278" i="1"/>
  <c r="W278" i="1"/>
  <c r="X278" i="1"/>
  <c r="Y278" i="1"/>
  <c r="Z278" i="1"/>
  <c r="AB278" i="1"/>
  <c r="AF278" i="1"/>
  <c r="AI278" i="1"/>
  <c r="AE279" i="1"/>
  <c r="AC279" i="1"/>
  <c r="AJ278" i="1"/>
  <c r="AK278" i="1"/>
  <c r="AM278" i="1"/>
  <c r="BF278" i="1"/>
  <c r="BG278" i="1"/>
  <c r="T279" i="1"/>
  <c r="U279" i="1"/>
  <c r="V279" i="1"/>
  <c r="W279" i="1"/>
  <c r="X279" i="1"/>
  <c r="Y279" i="1"/>
  <c r="Z279" i="1"/>
  <c r="AB279" i="1"/>
  <c r="AF279" i="1"/>
  <c r="AI279" i="1"/>
  <c r="H280" i="1"/>
  <c r="AE280" i="1"/>
  <c r="I280" i="1"/>
  <c r="J280" i="1"/>
  <c r="K280" i="1"/>
  <c r="AC280" i="1"/>
  <c r="AJ279" i="1"/>
  <c r="AK279" i="1"/>
  <c r="AM279" i="1"/>
  <c r="BG279" i="1"/>
  <c r="T280" i="1"/>
  <c r="U280" i="1"/>
  <c r="V280" i="1"/>
  <c r="W280" i="1"/>
  <c r="X280" i="1"/>
  <c r="Y280" i="1"/>
  <c r="Z280" i="1"/>
  <c r="AB280" i="1"/>
  <c r="AF280" i="1"/>
  <c r="AI280" i="1"/>
  <c r="AE281" i="1"/>
  <c r="AC281" i="1"/>
  <c r="AJ280" i="1"/>
  <c r="AK280" i="1"/>
  <c r="AM280" i="1"/>
  <c r="BF280" i="1"/>
  <c r="BG280" i="1"/>
  <c r="T281" i="1"/>
  <c r="U281" i="1"/>
  <c r="V281" i="1"/>
  <c r="W281" i="1"/>
  <c r="X281" i="1"/>
  <c r="Y281" i="1"/>
  <c r="Z281" i="1"/>
  <c r="AB281" i="1"/>
  <c r="AF281" i="1"/>
  <c r="AI281" i="1"/>
  <c r="AE282" i="1"/>
  <c r="AC282" i="1"/>
  <c r="AJ281" i="1"/>
  <c r="AK281" i="1"/>
  <c r="AM281" i="1"/>
  <c r="BF281" i="1"/>
  <c r="BG281" i="1"/>
  <c r="T282" i="1"/>
  <c r="U282" i="1"/>
  <c r="V282" i="1"/>
  <c r="W282" i="1"/>
  <c r="X282" i="1"/>
  <c r="Y282" i="1"/>
  <c r="Z282" i="1"/>
  <c r="AB282" i="1"/>
  <c r="AF282" i="1"/>
  <c r="AI282" i="1"/>
  <c r="AE283" i="1"/>
  <c r="AC283" i="1"/>
  <c r="AJ282" i="1"/>
  <c r="AK282" i="1"/>
  <c r="AM282" i="1"/>
  <c r="BF282" i="1"/>
  <c r="BG282" i="1"/>
  <c r="T283" i="1"/>
  <c r="U283" i="1"/>
  <c r="V283" i="1"/>
  <c r="W283" i="1"/>
  <c r="X283" i="1"/>
  <c r="Y283" i="1"/>
  <c r="Z283" i="1"/>
  <c r="AB283" i="1"/>
  <c r="AF283" i="1"/>
  <c r="AI283" i="1"/>
  <c r="H284" i="1"/>
  <c r="AE284" i="1"/>
  <c r="I284" i="1"/>
  <c r="J284" i="1"/>
  <c r="K284" i="1"/>
  <c r="AC284" i="1"/>
  <c r="AJ283" i="1"/>
  <c r="AK283" i="1"/>
  <c r="AM283" i="1"/>
  <c r="BG283" i="1"/>
  <c r="T284" i="1"/>
  <c r="U284" i="1"/>
  <c r="V284" i="1"/>
  <c r="W284" i="1"/>
  <c r="X284" i="1"/>
  <c r="Y284" i="1"/>
  <c r="Z284" i="1"/>
  <c r="AB284" i="1"/>
  <c r="AF284" i="1"/>
  <c r="AI284" i="1"/>
  <c r="AE285" i="1"/>
  <c r="AC285" i="1"/>
  <c r="AJ284" i="1"/>
  <c r="AK284" i="1"/>
  <c r="AM284" i="1"/>
  <c r="BF284" i="1"/>
  <c r="BG284" i="1"/>
  <c r="T285" i="1"/>
  <c r="U285" i="1"/>
  <c r="V285" i="1"/>
  <c r="W285" i="1"/>
  <c r="X285" i="1"/>
  <c r="Y285" i="1"/>
  <c r="Z285" i="1"/>
  <c r="AB285" i="1"/>
  <c r="AF285" i="1"/>
  <c r="AI285" i="1"/>
  <c r="AE286" i="1"/>
  <c r="AC286" i="1"/>
  <c r="AJ285" i="1"/>
  <c r="AK285" i="1"/>
  <c r="AM285" i="1"/>
  <c r="BF285" i="1"/>
  <c r="BG285" i="1"/>
  <c r="T286" i="1"/>
  <c r="U286" i="1"/>
  <c r="V286" i="1"/>
  <c r="W286" i="1"/>
  <c r="X286" i="1"/>
  <c r="Y286" i="1"/>
  <c r="Z286" i="1"/>
  <c r="AB286" i="1"/>
  <c r="AF286" i="1"/>
  <c r="AI286" i="1"/>
  <c r="AE287" i="1"/>
  <c r="AC287" i="1"/>
  <c r="AJ286" i="1"/>
  <c r="AK286" i="1"/>
  <c r="AM286" i="1"/>
  <c r="BF286" i="1"/>
  <c r="BG286" i="1"/>
  <c r="T287" i="1"/>
  <c r="U287" i="1"/>
  <c r="V287" i="1"/>
  <c r="W287" i="1"/>
  <c r="X287" i="1"/>
  <c r="Y287" i="1"/>
  <c r="Z287" i="1"/>
  <c r="AB287" i="1"/>
  <c r="AF287" i="1"/>
  <c r="AI287" i="1"/>
  <c r="H288" i="1"/>
  <c r="AE288" i="1"/>
  <c r="I288" i="1"/>
  <c r="J288" i="1"/>
  <c r="K288" i="1"/>
  <c r="AC288" i="1"/>
  <c r="AJ287" i="1"/>
  <c r="AK287" i="1"/>
  <c r="AM287" i="1"/>
  <c r="BG287" i="1"/>
  <c r="T288" i="1"/>
  <c r="U288" i="1"/>
  <c r="V288" i="1"/>
  <c r="W288" i="1"/>
  <c r="X288" i="1"/>
  <c r="Y288" i="1"/>
  <c r="Z288" i="1"/>
  <c r="AB288" i="1"/>
  <c r="AF288" i="1"/>
  <c r="AI288" i="1"/>
  <c r="H289" i="1"/>
  <c r="AE289" i="1"/>
  <c r="I289" i="1"/>
  <c r="J289" i="1"/>
  <c r="K289" i="1"/>
  <c r="AC289" i="1"/>
  <c r="AJ288" i="1"/>
  <c r="AK288" i="1"/>
  <c r="AM288" i="1"/>
  <c r="BF288" i="1"/>
  <c r="BG288" i="1"/>
  <c r="T289" i="1"/>
  <c r="U289" i="1"/>
  <c r="V289" i="1"/>
  <c r="W289" i="1"/>
  <c r="X289" i="1"/>
  <c r="Y289" i="1"/>
  <c r="Z289" i="1"/>
  <c r="AB289" i="1"/>
  <c r="AF289" i="1"/>
  <c r="AI289" i="1"/>
  <c r="AE290" i="1"/>
  <c r="AC290" i="1"/>
  <c r="AJ289" i="1"/>
  <c r="AK289" i="1"/>
  <c r="AM289" i="1"/>
  <c r="BF289" i="1"/>
  <c r="BG289" i="1"/>
  <c r="T290" i="1"/>
  <c r="U290" i="1"/>
  <c r="V290" i="1"/>
  <c r="W290" i="1"/>
  <c r="X290" i="1"/>
  <c r="Y290" i="1"/>
  <c r="Z290" i="1"/>
  <c r="AB290" i="1"/>
  <c r="AF290" i="1"/>
  <c r="AI290" i="1"/>
  <c r="AE291" i="1"/>
  <c r="AC291" i="1"/>
  <c r="AJ290" i="1"/>
  <c r="AK290" i="1"/>
  <c r="AM290" i="1"/>
  <c r="BF290" i="1"/>
  <c r="BG290" i="1"/>
  <c r="T291" i="1"/>
  <c r="U291" i="1"/>
  <c r="V291" i="1"/>
  <c r="W291" i="1"/>
  <c r="X291" i="1"/>
  <c r="Y291" i="1"/>
  <c r="Z291" i="1"/>
  <c r="AB291" i="1"/>
  <c r="AF291" i="1"/>
  <c r="AI291" i="1"/>
  <c r="H292" i="1"/>
  <c r="AE292" i="1"/>
  <c r="I292" i="1"/>
  <c r="J292" i="1"/>
  <c r="K292" i="1"/>
  <c r="AC292" i="1"/>
  <c r="AJ291" i="1"/>
  <c r="AK291" i="1"/>
  <c r="AM291" i="1"/>
  <c r="BG291" i="1"/>
  <c r="T292" i="1"/>
  <c r="U292" i="1"/>
  <c r="V292" i="1"/>
  <c r="W292" i="1"/>
  <c r="X292" i="1"/>
  <c r="Y292" i="1"/>
  <c r="Z292" i="1"/>
  <c r="AB292" i="1"/>
  <c r="AF292" i="1"/>
  <c r="AI292" i="1"/>
  <c r="AE293" i="1"/>
  <c r="AC293" i="1"/>
  <c r="AJ292" i="1"/>
  <c r="AK292" i="1"/>
  <c r="AM292" i="1"/>
  <c r="BF292" i="1"/>
  <c r="BG292" i="1"/>
  <c r="T293" i="1"/>
  <c r="U293" i="1"/>
  <c r="V293" i="1"/>
  <c r="W293" i="1"/>
  <c r="X293" i="1"/>
  <c r="Y293" i="1"/>
  <c r="Z293" i="1"/>
  <c r="AB293" i="1"/>
  <c r="AF293" i="1"/>
  <c r="AI293" i="1"/>
  <c r="AE294" i="1"/>
  <c r="AC294" i="1"/>
  <c r="AJ293" i="1"/>
  <c r="AK293" i="1"/>
  <c r="AM293" i="1"/>
  <c r="BF293" i="1"/>
  <c r="BG293" i="1"/>
  <c r="T294" i="1"/>
  <c r="U294" i="1"/>
  <c r="V294" i="1"/>
  <c r="W294" i="1"/>
  <c r="X294" i="1"/>
  <c r="Y294" i="1"/>
  <c r="Z294" i="1"/>
  <c r="AB294" i="1"/>
  <c r="AF294" i="1"/>
  <c r="AI294" i="1"/>
  <c r="H295" i="1"/>
  <c r="AE295" i="1"/>
  <c r="I295" i="1"/>
  <c r="J295" i="1"/>
  <c r="K295" i="1"/>
  <c r="AC295" i="1"/>
  <c r="AJ294" i="1"/>
  <c r="AK294" i="1"/>
  <c r="AM294" i="1"/>
  <c r="BG294" i="1"/>
  <c r="T295" i="1"/>
  <c r="U295" i="1"/>
  <c r="V295" i="1"/>
  <c r="W295" i="1"/>
  <c r="X295" i="1"/>
  <c r="Y295" i="1"/>
  <c r="Z295" i="1"/>
  <c r="AB295" i="1"/>
  <c r="AF295" i="1"/>
  <c r="AI295" i="1"/>
  <c r="H296" i="1"/>
  <c r="AE296" i="1"/>
  <c r="I296" i="1"/>
  <c r="J296" i="1"/>
  <c r="K296" i="1"/>
  <c r="AC296" i="1"/>
  <c r="AJ295" i="1"/>
  <c r="AK295" i="1"/>
  <c r="AM295" i="1"/>
  <c r="BF295" i="1"/>
  <c r="BG295" i="1"/>
  <c r="T296" i="1"/>
  <c r="U296" i="1"/>
  <c r="V296" i="1"/>
  <c r="W296" i="1"/>
  <c r="X296" i="1"/>
  <c r="Y296" i="1"/>
  <c r="Z296" i="1"/>
  <c r="AB296" i="1"/>
  <c r="AF296" i="1"/>
  <c r="AI296" i="1"/>
  <c r="AE297" i="1"/>
  <c r="AC297" i="1"/>
  <c r="AJ296" i="1"/>
  <c r="AK296" i="1"/>
  <c r="AM296" i="1"/>
  <c r="BF296" i="1"/>
  <c r="BG296" i="1"/>
  <c r="T297" i="1"/>
  <c r="U297" i="1"/>
  <c r="V297" i="1"/>
  <c r="W297" i="1"/>
  <c r="X297" i="1"/>
  <c r="Y297" i="1"/>
  <c r="Z297" i="1"/>
  <c r="AB297" i="1"/>
  <c r="AF297" i="1"/>
  <c r="AI297" i="1"/>
  <c r="AE298" i="1"/>
  <c r="AC298" i="1"/>
  <c r="AJ297" i="1"/>
  <c r="AK297" i="1"/>
  <c r="AM297" i="1"/>
  <c r="BF297" i="1"/>
  <c r="BG297" i="1"/>
  <c r="T298" i="1"/>
  <c r="U298" i="1"/>
  <c r="V298" i="1"/>
  <c r="W298" i="1"/>
  <c r="X298" i="1"/>
  <c r="Y298" i="1"/>
  <c r="Z298" i="1"/>
  <c r="AB298" i="1"/>
  <c r="AF298" i="1"/>
  <c r="AI298" i="1"/>
  <c r="AE299" i="1"/>
  <c r="AC299" i="1"/>
  <c r="AJ298" i="1"/>
  <c r="AK298" i="1"/>
  <c r="AM298" i="1"/>
  <c r="BF298" i="1"/>
  <c r="BG298" i="1"/>
  <c r="T299" i="1"/>
  <c r="U299" i="1"/>
  <c r="V299" i="1"/>
  <c r="W299" i="1"/>
  <c r="X299" i="1"/>
  <c r="Y299" i="1"/>
  <c r="Z299" i="1"/>
  <c r="AB299" i="1"/>
  <c r="AF299" i="1"/>
  <c r="AI299" i="1"/>
  <c r="H300" i="1"/>
  <c r="AE300" i="1"/>
  <c r="I300" i="1"/>
  <c r="J300" i="1"/>
  <c r="K300" i="1"/>
  <c r="AC300" i="1"/>
  <c r="AJ299" i="1"/>
  <c r="AK299" i="1"/>
  <c r="AM299" i="1"/>
  <c r="BG299" i="1"/>
  <c r="T300" i="1"/>
  <c r="U300" i="1"/>
  <c r="V300" i="1"/>
  <c r="W300" i="1"/>
  <c r="X300" i="1"/>
  <c r="Y300" i="1"/>
  <c r="Z300" i="1"/>
  <c r="AB300" i="1"/>
  <c r="AF300" i="1"/>
  <c r="AI300" i="1"/>
  <c r="H301" i="1"/>
  <c r="AE301" i="1"/>
  <c r="I301" i="1"/>
  <c r="J301" i="1"/>
  <c r="K301" i="1"/>
  <c r="AC301" i="1"/>
  <c r="AJ300" i="1"/>
  <c r="AK300" i="1"/>
  <c r="AM300" i="1"/>
  <c r="BF300" i="1"/>
  <c r="BG300" i="1"/>
  <c r="T301" i="1"/>
  <c r="U301" i="1"/>
  <c r="V301" i="1"/>
  <c r="W301" i="1"/>
  <c r="X301" i="1"/>
  <c r="Y301" i="1"/>
  <c r="Z301" i="1"/>
  <c r="AB301" i="1"/>
  <c r="AF301" i="1"/>
  <c r="AI301" i="1"/>
  <c r="AE302" i="1"/>
  <c r="AC302" i="1"/>
  <c r="AJ301" i="1"/>
  <c r="AK301" i="1"/>
  <c r="AM301" i="1"/>
  <c r="BF301" i="1"/>
  <c r="BG301" i="1"/>
  <c r="T302" i="1"/>
  <c r="U302" i="1"/>
  <c r="V302" i="1"/>
  <c r="W302" i="1"/>
  <c r="X302" i="1"/>
  <c r="Y302" i="1"/>
  <c r="Z302" i="1"/>
  <c r="AB302" i="1"/>
  <c r="AF302" i="1"/>
  <c r="AI302" i="1"/>
  <c r="AE303" i="1"/>
  <c r="AC303" i="1"/>
  <c r="AJ302" i="1"/>
  <c r="AK302" i="1"/>
  <c r="AM302" i="1"/>
  <c r="BF302" i="1"/>
  <c r="BG302" i="1"/>
  <c r="T303" i="1"/>
  <c r="U303" i="1"/>
  <c r="V303" i="1"/>
  <c r="W303" i="1"/>
  <c r="X303" i="1"/>
  <c r="Y303" i="1"/>
  <c r="Z303" i="1"/>
  <c r="AB303" i="1"/>
  <c r="AF303" i="1"/>
  <c r="AI303" i="1"/>
  <c r="H304" i="1"/>
  <c r="AE304" i="1"/>
  <c r="I304" i="1"/>
  <c r="J304" i="1"/>
  <c r="K304" i="1"/>
  <c r="AC304" i="1"/>
  <c r="AJ303" i="1"/>
  <c r="AK303" i="1"/>
  <c r="AM303" i="1"/>
  <c r="BG303" i="1"/>
  <c r="T304" i="1"/>
  <c r="U304" i="1"/>
  <c r="V304" i="1"/>
  <c r="W304" i="1"/>
  <c r="X304" i="1"/>
  <c r="Y304" i="1"/>
  <c r="Z304" i="1"/>
  <c r="AB304" i="1"/>
  <c r="AF304" i="1"/>
  <c r="AI304" i="1"/>
  <c r="H305" i="1"/>
  <c r="AE305" i="1"/>
  <c r="I305" i="1"/>
  <c r="J305" i="1"/>
  <c r="K305" i="1"/>
  <c r="AC305" i="1"/>
  <c r="AJ304" i="1"/>
  <c r="AK304" i="1"/>
  <c r="AM304" i="1"/>
  <c r="BF304" i="1"/>
  <c r="BG304" i="1"/>
  <c r="T305" i="1"/>
  <c r="U305" i="1"/>
  <c r="V305" i="1"/>
  <c r="W305" i="1"/>
  <c r="X305" i="1"/>
  <c r="Y305" i="1"/>
  <c r="Z305" i="1"/>
  <c r="AB305" i="1"/>
  <c r="AF305" i="1"/>
  <c r="AI305" i="1"/>
  <c r="H306" i="1"/>
  <c r="AE306" i="1"/>
  <c r="I306" i="1"/>
  <c r="J306" i="1"/>
  <c r="K306" i="1"/>
  <c r="AC306" i="1"/>
  <c r="AJ305" i="1"/>
  <c r="AK305" i="1"/>
  <c r="AM305" i="1"/>
  <c r="BF305" i="1"/>
  <c r="BG305" i="1"/>
  <c r="T306" i="1"/>
  <c r="U306" i="1"/>
  <c r="V306" i="1"/>
  <c r="W306" i="1"/>
  <c r="X306" i="1"/>
  <c r="Y306" i="1"/>
  <c r="Z306" i="1"/>
  <c r="AB306" i="1"/>
  <c r="AF306" i="1"/>
  <c r="AI306" i="1"/>
  <c r="H307" i="1"/>
  <c r="AE307" i="1"/>
  <c r="I307" i="1"/>
  <c r="J307" i="1"/>
  <c r="K307" i="1"/>
  <c r="AC307" i="1"/>
  <c r="AJ306" i="1"/>
  <c r="AK306" i="1"/>
  <c r="AM306" i="1"/>
  <c r="BF306" i="1"/>
  <c r="BG306" i="1"/>
  <c r="T307" i="1"/>
  <c r="U307" i="1"/>
  <c r="V307" i="1"/>
  <c r="W307" i="1"/>
  <c r="X307" i="1"/>
  <c r="Y307" i="1"/>
  <c r="Z307" i="1"/>
  <c r="AB307" i="1"/>
  <c r="AF307" i="1"/>
  <c r="AI307" i="1"/>
  <c r="AE308" i="1"/>
  <c r="AC308" i="1"/>
  <c r="AJ307" i="1"/>
  <c r="AK307" i="1"/>
  <c r="AM307" i="1"/>
  <c r="BF307" i="1"/>
  <c r="BG307" i="1"/>
  <c r="T308" i="1"/>
  <c r="U308" i="1"/>
  <c r="V308" i="1"/>
  <c r="W308" i="1"/>
  <c r="X308" i="1"/>
  <c r="Y308" i="1"/>
  <c r="Z308" i="1"/>
  <c r="AB308" i="1"/>
  <c r="AF308" i="1"/>
  <c r="AI308" i="1"/>
  <c r="AE309" i="1"/>
  <c r="AC309" i="1"/>
  <c r="AJ308" i="1"/>
  <c r="AK308" i="1"/>
  <c r="AM308" i="1"/>
  <c r="BF308" i="1"/>
  <c r="BG308" i="1"/>
  <c r="T309" i="1"/>
  <c r="U309" i="1"/>
  <c r="V309" i="1"/>
  <c r="W309" i="1"/>
  <c r="X309" i="1"/>
  <c r="Y309" i="1"/>
  <c r="Z309" i="1"/>
  <c r="AB309" i="1"/>
  <c r="AF309" i="1"/>
  <c r="AI309" i="1"/>
  <c r="H310" i="1"/>
  <c r="AE310" i="1"/>
  <c r="I310" i="1"/>
  <c r="J310" i="1"/>
  <c r="K310" i="1"/>
  <c r="AC310" i="1"/>
  <c r="AJ309" i="1"/>
  <c r="AK309" i="1"/>
  <c r="AM309" i="1"/>
  <c r="BG309" i="1"/>
  <c r="T310" i="1"/>
  <c r="U310" i="1"/>
  <c r="V310" i="1"/>
  <c r="W310" i="1"/>
  <c r="X310" i="1"/>
  <c r="Y310" i="1"/>
  <c r="Z310" i="1"/>
  <c r="AB310" i="1"/>
  <c r="AF310" i="1"/>
  <c r="AI310" i="1"/>
  <c r="AE311" i="1"/>
  <c r="AC311" i="1"/>
  <c r="AJ310" i="1"/>
  <c r="AK310" i="1"/>
  <c r="AM310" i="1"/>
  <c r="BF310" i="1"/>
  <c r="BG310" i="1"/>
  <c r="T311" i="1"/>
  <c r="U311" i="1"/>
  <c r="V311" i="1"/>
  <c r="W311" i="1"/>
  <c r="X311" i="1"/>
  <c r="Y311" i="1"/>
  <c r="Z311" i="1"/>
  <c r="AB311" i="1"/>
  <c r="AF311" i="1"/>
  <c r="AI311" i="1"/>
  <c r="AE312" i="1"/>
  <c r="AC312" i="1"/>
  <c r="AJ311" i="1"/>
  <c r="AK311" i="1"/>
  <c r="AM311" i="1"/>
  <c r="BF311" i="1"/>
  <c r="BG311" i="1"/>
  <c r="T312" i="1"/>
  <c r="U312" i="1"/>
  <c r="V312" i="1"/>
  <c r="W312" i="1"/>
  <c r="X312" i="1"/>
  <c r="Y312" i="1"/>
  <c r="Z312" i="1"/>
  <c r="AB312" i="1"/>
  <c r="AF312" i="1"/>
  <c r="AI312" i="1"/>
  <c r="AE313" i="1"/>
  <c r="AC313" i="1"/>
  <c r="AJ312" i="1"/>
  <c r="AK312" i="1"/>
  <c r="AM312" i="1"/>
  <c r="BF312" i="1"/>
  <c r="BG312" i="1"/>
  <c r="T313" i="1"/>
  <c r="U313" i="1"/>
  <c r="V313" i="1"/>
  <c r="W313" i="1"/>
  <c r="X313" i="1"/>
  <c r="Y313" i="1"/>
  <c r="Z313" i="1"/>
  <c r="AB313" i="1"/>
  <c r="AF313" i="1"/>
  <c r="AI313" i="1"/>
  <c r="H314" i="1"/>
  <c r="AE314" i="1"/>
  <c r="I314" i="1"/>
  <c r="J314" i="1"/>
  <c r="K314" i="1"/>
  <c r="AC314" i="1"/>
  <c r="AJ313" i="1"/>
  <c r="AK313" i="1"/>
  <c r="AM313" i="1"/>
  <c r="BG313" i="1"/>
  <c r="T314" i="1"/>
  <c r="U314" i="1"/>
  <c r="V314" i="1"/>
  <c r="W314" i="1"/>
  <c r="X314" i="1"/>
  <c r="Y314" i="1"/>
  <c r="Z314" i="1"/>
  <c r="AB314" i="1"/>
  <c r="AF314" i="1"/>
  <c r="AI314" i="1"/>
  <c r="AE315" i="1"/>
  <c r="AC315" i="1"/>
  <c r="AJ314" i="1"/>
  <c r="AK314" i="1"/>
  <c r="AM314" i="1"/>
  <c r="BF314" i="1"/>
  <c r="BG314" i="1"/>
  <c r="T315" i="1"/>
  <c r="U315" i="1"/>
  <c r="V315" i="1"/>
  <c r="W315" i="1"/>
  <c r="X315" i="1"/>
  <c r="Y315" i="1"/>
  <c r="Z315" i="1"/>
  <c r="AB315" i="1"/>
  <c r="AF315" i="1"/>
  <c r="AI315" i="1"/>
  <c r="AE316" i="1"/>
  <c r="AC316" i="1"/>
  <c r="AJ315" i="1"/>
  <c r="AK315" i="1"/>
  <c r="AM315" i="1"/>
  <c r="BF315" i="1"/>
  <c r="BG315" i="1"/>
  <c r="T316" i="1"/>
  <c r="U316" i="1"/>
  <c r="V316" i="1"/>
  <c r="W316" i="1"/>
  <c r="X316" i="1"/>
  <c r="Y316" i="1"/>
  <c r="Z316" i="1"/>
  <c r="AB316" i="1"/>
  <c r="AF316" i="1"/>
  <c r="AI316" i="1"/>
  <c r="H317" i="1"/>
  <c r="AE317" i="1"/>
  <c r="I317" i="1"/>
  <c r="J317" i="1"/>
  <c r="K317" i="1"/>
  <c r="AC317" i="1"/>
  <c r="AJ316" i="1"/>
  <c r="AK316" i="1"/>
  <c r="AM316" i="1"/>
  <c r="BG316" i="1"/>
  <c r="T317" i="1"/>
  <c r="U317" i="1"/>
  <c r="V317" i="1"/>
  <c r="W317" i="1"/>
  <c r="X317" i="1"/>
  <c r="Y317" i="1"/>
  <c r="Z317" i="1"/>
  <c r="AB317" i="1"/>
  <c r="AF317" i="1"/>
  <c r="AI317" i="1"/>
  <c r="AE318" i="1"/>
  <c r="AC318" i="1"/>
  <c r="AJ317" i="1"/>
  <c r="AK317" i="1"/>
  <c r="AM317" i="1"/>
  <c r="BF317" i="1"/>
  <c r="BG317" i="1"/>
  <c r="T318" i="1"/>
  <c r="U318" i="1"/>
  <c r="V318" i="1"/>
  <c r="W318" i="1"/>
  <c r="X318" i="1"/>
  <c r="Y318" i="1"/>
  <c r="Z318" i="1"/>
  <c r="AB318" i="1"/>
  <c r="AF318" i="1"/>
  <c r="AI318" i="1"/>
  <c r="AE319" i="1"/>
  <c r="AC319" i="1"/>
  <c r="AJ318" i="1"/>
  <c r="AK318" i="1"/>
  <c r="AM318" i="1"/>
  <c r="BF318" i="1"/>
  <c r="BG318" i="1"/>
  <c r="T319" i="1"/>
  <c r="U319" i="1"/>
  <c r="V319" i="1"/>
  <c r="W319" i="1"/>
  <c r="X319" i="1"/>
  <c r="Y319" i="1"/>
  <c r="Z319" i="1"/>
  <c r="AB319" i="1"/>
  <c r="AF319" i="1"/>
  <c r="AI319" i="1"/>
  <c r="AE320" i="1"/>
  <c r="AC320" i="1"/>
  <c r="AJ319" i="1"/>
  <c r="AK319" i="1"/>
  <c r="AM319" i="1"/>
  <c r="BF319" i="1"/>
  <c r="BG319" i="1"/>
  <c r="T320" i="1"/>
  <c r="U320" i="1"/>
  <c r="V320" i="1"/>
  <c r="W320" i="1"/>
  <c r="X320" i="1"/>
  <c r="Y320" i="1"/>
  <c r="Z320" i="1"/>
  <c r="AB320" i="1"/>
  <c r="AF320" i="1"/>
  <c r="AI320" i="1"/>
  <c r="H321" i="1"/>
  <c r="AE321" i="1"/>
  <c r="I321" i="1"/>
  <c r="J321" i="1"/>
  <c r="K321" i="1"/>
  <c r="AC321" i="1"/>
  <c r="AJ320" i="1"/>
  <c r="AK320" i="1"/>
  <c r="AM320" i="1"/>
  <c r="BG320" i="1"/>
  <c r="T321" i="1"/>
  <c r="U321" i="1"/>
  <c r="V321" i="1"/>
  <c r="W321" i="1"/>
  <c r="X321" i="1"/>
  <c r="Y321" i="1"/>
  <c r="Z321" i="1"/>
  <c r="AB321" i="1"/>
  <c r="AF321" i="1"/>
  <c r="AI321" i="1"/>
  <c r="AE322" i="1"/>
  <c r="AC322" i="1"/>
  <c r="AJ321" i="1"/>
  <c r="AK321" i="1"/>
  <c r="AM321" i="1"/>
  <c r="BF321" i="1"/>
  <c r="BG321" i="1"/>
  <c r="T322" i="1"/>
  <c r="U322" i="1"/>
  <c r="V322" i="1"/>
  <c r="W322" i="1"/>
  <c r="X322" i="1"/>
  <c r="Y322" i="1"/>
  <c r="Z322" i="1"/>
  <c r="AB322" i="1"/>
  <c r="AF322" i="1"/>
  <c r="AI322" i="1"/>
  <c r="AE323" i="1"/>
  <c r="AC323" i="1"/>
  <c r="AJ322" i="1"/>
  <c r="AK322" i="1"/>
  <c r="AM322" i="1"/>
  <c r="BF322" i="1"/>
  <c r="BG322" i="1"/>
  <c r="T323" i="1"/>
  <c r="U323" i="1"/>
  <c r="V323" i="1"/>
  <c r="W323" i="1"/>
  <c r="X323" i="1"/>
  <c r="Y323" i="1"/>
  <c r="Z323" i="1"/>
  <c r="AB323" i="1"/>
  <c r="AF323" i="1"/>
  <c r="AI323" i="1"/>
  <c r="H324" i="1"/>
  <c r="AE324" i="1"/>
  <c r="I324" i="1"/>
  <c r="J324" i="1"/>
  <c r="K324" i="1"/>
  <c r="AC324" i="1"/>
  <c r="AJ323" i="1"/>
  <c r="AK323" i="1"/>
  <c r="AM323" i="1"/>
  <c r="BG323" i="1"/>
  <c r="T324" i="1"/>
  <c r="U324" i="1"/>
  <c r="V324" i="1"/>
  <c r="W324" i="1"/>
  <c r="X324" i="1"/>
  <c r="Y324" i="1"/>
  <c r="Z324" i="1"/>
  <c r="AB324" i="1"/>
  <c r="AF324" i="1"/>
  <c r="AI324" i="1"/>
  <c r="AE325" i="1"/>
  <c r="AC325" i="1"/>
  <c r="AJ324" i="1"/>
  <c r="AK324" i="1"/>
  <c r="AM324" i="1"/>
  <c r="BF324" i="1"/>
  <c r="BG324" i="1"/>
  <c r="T325" i="1"/>
  <c r="U325" i="1"/>
  <c r="V325" i="1"/>
  <c r="W325" i="1"/>
  <c r="X325" i="1"/>
  <c r="Y325" i="1"/>
  <c r="Z325" i="1"/>
  <c r="AB325" i="1"/>
  <c r="AF325" i="1"/>
  <c r="AI325" i="1"/>
  <c r="AE326" i="1"/>
  <c r="AC326" i="1"/>
  <c r="AJ325" i="1"/>
  <c r="AK325" i="1"/>
  <c r="AM325" i="1"/>
  <c r="BF325" i="1"/>
  <c r="BG325" i="1"/>
  <c r="T326" i="1"/>
  <c r="U326" i="1"/>
  <c r="V326" i="1"/>
  <c r="W326" i="1"/>
  <c r="X326" i="1"/>
  <c r="Y326" i="1"/>
  <c r="Z326" i="1"/>
  <c r="AB326" i="1"/>
  <c r="AF326" i="1"/>
  <c r="AI326" i="1"/>
  <c r="H327" i="1"/>
  <c r="AE327" i="1"/>
  <c r="I327" i="1"/>
  <c r="J327" i="1"/>
  <c r="K327" i="1"/>
  <c r="AC327" i="1"/>
  <c r="AJ326" i="1"/>
  <c r="AK326" i="1"/>
  <c r="AM326" i="1"/>
  <c r="BG326" i="1"/>
  <c r="T327" i="1"/>
  <c r="U327" i="1"/>
  <c r="V327" i="1"/>
  <c r="W327" i="1"/>
  <c r="X327" i="1"/>
  <c r="Y327" i="1"/>
  <c r="Z327" i="1"/>
  <c r="AB327" i="1"/>
  <c r="AF327" i="1"/>
  <c r="AI327" i="1"/>
  <c r="AE328" i="1"/>
  <c r="AC328" i="1"/>
  <c r="AJ327" i="1"/>
  <c r="AK327" i="1"/>
  <c r="AM327" i="1"/>
  <c r="BF327" i="1"/>
  <c r="BG327" i="1"/>
  <c r="T328" i="1"/>
  <c r="U328" i="1"/>
  <c r="V328" i="1"/>
  <c r="W328" i="1"/>
  <c r="X328" i="1"/>
  <c r="Y328" i="1"/>
  <c r="Z328" i="1"/>
  <c r="AB328" i="1"/>
  <c r="AF328" i="1"/>
  <c r="AI328" i="1"/>
  <c r="AE329" i="1"/>
  <c r="AC329" i="1"/>
  <c r="AJ328" i="1"/>
  <c r="AK328" i="1"/>
  <c r="AM328" i="1"/>
  <c r="BF328" i="1"/>
  <c r="BG328" i="1"/>
  <c r="T329" i="1"/>
  <c r="U329" i="1"/>
  <c r="V329" i="1"/>
  <c r="W329" i="1"/>
  <c r="X329" i="1"/>
  <c r="Y329" i="1"/>
  <c r="Z329" i="1"/>
  <c r="AB329" i="1"/>
  <c r="AF329" i="1"/>
  <c r="AI329" i="1"/>
  <c r="H330" i="1"/>
  <c r="AE330" i="1"/>
  <c r="I330" i="1"/>
  <c r="J330" i="1"/>
  <c r="K330" i="1"/>
  <c r="AC330" i="1"/>
  <c r="AJ329" i="1"/>
  <c r="AK329" i="1"/>
  <c r="AM329" i="1"/>
  <c r="BG329" i="1"/>
  <c r="T330" i="1"/>
  <c r="U330" i="1"/>
  <c r="V330" i="1"/>
  <c r="W330" i="1"/>
  <c r="X330" i="1"/>
  <c r="Y330" i="1"/>
  <c r="Z330" i="1"/>
  <c r="AB330" i="1"/>
  <c r="AF330" i="1"/>
  <c r="AI330" i="1"/>
  <c r="AE331" i="1"/>
  <c r="AC331" i="1"/>
  <c r="AJ330" i="1"/>
  <c r="AK330" i="1"/>
  <c r="AM330" i="1"/>
  <c r="BF330" i="1"/>
  <c r="BG330" i="1"/>
  <c r="T331" i="1"/>
  <c r="U331" i="1"/>
  <c r="V331" i="1"/>
  <c r="W331" i="1"/>
  <c r="X331" i="1"/>
  <c r="Y331" i="1"/>
  <c r="Z331" i="1"/>
  <c r="AB331" i="1"/>
  <c r="AF331" i="1"/>
  <c r="AI331" i="1"/>
  <c r="AE332" i="1"/>
  <c r="AC332" i="1"/>
  <c r="AJ331" i="1"/>
  <c r="AK331" i="1"/>
  <c r="AM331" i="1"/>
  <c r="BF331" i="1"/>
  <c r="BG331" i="1"/>
  <c r="T332" i="1"/>
  <c r="U332" i="1"/>
  <c r="V332" i="1"/>
  <c r="W332" i="1"/>
  <c r="X332" i="1"/>
  <c r="Y332" i="1"/>
  <c r="Z332" i="1"/>
  <c r="AB332" i="1"/>
  <c r="AF332" i="1"/>
  <c r="AI332" i="1"/>
  <c r="H333" i="1"/>
  <c r="AE333" i="1"/>
  <c r="I333" i="1"/>
  <c r="J333" i="1"/>
  <c r="K333" i="1"/>
  <c r="AC333" i="1"/>
  <c r="AJ332" i="1"/>
  <c r="AK332" i="1"/>
  <c r="AM332" i="1"/>
  <c r="BG332" i="1"/>
  <c r="T333" i="1"/>
  <c r="U333" i="1"/>
  <c r="V333" i="1"/>
  <c r="W333" i="1"/>
  <c r="X333" i="1"/>
  <c r="Y333" i="1"/>
  <c r="Z333" i="1"/>
  <c r="AB333" i="1"/>
  <c r="AF333" i="1"/>
  <c r="AI333" i="1"/>
  <c r="AE334" i="1"/>
  <c r="AC334" i="1"/>
  <c r="AJ333" i="1"/>
  <c r="AK333" i="1"/>
  <c r="AM333" i="1"/>
  <c r="BF333" i="1"/>
  <c r="BG333" i="1"/>
  <c r="T334" i="1"/>
  <c r="U334" i="1"/>
  <c r="V334" i="1"/>
  <c r="W334" i="1"/>
  <c r="X334" i="1"/>
  <c r="Y334" i="1"/>
  <c r="Z334" i="1"/>
  <c r="AB334" i="1"/>
  <c r="AF334" i="1"/>
  <c r="AI334" i="1"/>
  <c r="AE335" i="1"/>
  <c r="AC335" i="1"/>
  <c r="AJ334" i="1"/>
  <c r="AK334" i="1"/>
  <c r="AM334" i="1"/>
  <c r="BF334" i="1"/>
  <c r="BG334" i="1"/>
  <c r="T335" i="1"/>
  <c r="U335" i="1"/>
  <c r="V335" i="1"/>
  <c r="W335" i="1"/>
  <c r="X335" i="1"/>
  <c r="Y335" i="1"/>
  <c r="Z335" i="1"/>
  <c r="AB335" i="1"/>
  <c r="AF335" i="1"/>
  <c r="AI335" i="1"/>
  <c r="AE336" i="1"/>
  <c r="AC336" i="1"/>
  <c r="AJ335" i="1"/>
  <c r="AK335" i="1"/>
  <c r="AM335" i="1"/>
  <c r="BF335" i="1"/>
  <c r="BG335" i="1"/>
  <c r="T336" i="1"/>
  <c r="U336" i="1"/>
  <c r="V336" i="1"/>
  <c r="W336" i="1"/>
  <c r="X336" i="1"/>
  <c r="Y336" i="1"/>
  <c r="Z336" i="1"/>
  <c r="AB336" i="1"/>
  <c r="AF336" i="1"/>
  <c r="AI336" i="1"/>
  <c r="H337" i="1"/>
  <c r="AE337" i="1"/>
  <c r="I337" i="1"/>
  <c r="J337" i="1"/>
  <c r="K337" i="1"/>
  <c r="AC337" i="1"/>
  <c r="AJ336" i="1"/>
  <c r="AK336" i="1"/>
  <c r="AM336" i="1"/>
  <c r="BG336" i="1"/>
  <c r="T337" i="1"/>
  <c r="U337" i="1"/>
  <c r="V337" i="1"/>
  <c r="W337" i="1"/>
  <c r="X337" i="1"/>
  <c r="Y337" i="1"/>
  <c r="Z337" i="1"/>
  <c r="AB337" i="1"/>
  <c r="AF337" i="1"/>
  <c r="AI337" i="1"/>
  <c r="H338" i="1"/>
  <c r="AE338" i="1"/>
  <c r="I338" i="1"/>
  <c r="J338" i="1"/>
  <c r="K338" i="1"/>
  <c r="AC338" i="1"/>
  <c r="AJ337" i="1"/>
  <c r="AK337" i="1"/>
  <c r="AM337" i="1"/>
  <c r="BF337" i="1"/>
  <c r="BG337" i="1"/>
  <c r="T338" i="1"/>
  <c r="U338" i="1"/>
  <c r="V338" i="1"/>
  <c r="W338" i="1"/>
  <c r="X338" i="1"/>
  <c r="Y338" i="1"/>
  <c r="Z338" i="1"/>
  <c r="AB338" i="1"/>
  <c r="AF338" i="1"/>
  <c r="AI338" i="1"/>
  <c r="AE339" i="1"/>
  <c r="AC339" i="1"/>
  <c r="AJ338" i="1"/>
  <c r="AK338" i="1"/>
  <c r="AM338" i="1"/>
  <c r="BF338" i="1"/>
  <c r="BG338" i="1"/>
  <c r="T339" i="1"/>
  <c r="U339" i="1"/>
  <c r="V339" i="1"/>
  <c r="W339" i="1"/>
  <c r="X339" i="1"/>
  <c r="Y339" i="1"/>
  <c r="Z339" i="1"/>
  <c r="AB339" i="1"/>
  <c r="AF339" i="1"/>
  <c r="AI339" i="1"/>
  <c r="AE340" i="1"/>
  <c r="AC340" i="1"/>
  <c r="AJ339" i="1"/>
  <c r="AK339" i="1"/>
  <c r="AM339" i="1"/>
  <c r="BF339" i="1"/>
  <c r="BG339" i="1"/>
  <c r="T340" i="1"/>
  <c r="U340" i="1"/>
  <c r="V340" i="1"/>
  <c r="W340" i="1"/>
  <c r="X340" i="1"/>
  <c r="Y340" i="1"/>
  <c r="Z340" i="1"/>
  <c r="AB340" i="1"/>
  <c r="AF340" i="1"/>
  <c r="AI340" i="1"/>
  <c r="H341" i="1"/>
  <c r="AE341" i="1"/>
  <c r="I341" i="1"/>
  <c r="J341" i="1"/>
  <c r="K341" i="1"/>
  <c r="AC341" i="1"/>
  <c r="AJ340" i="1"/>
  <c r="AK340" i="1"/>
  <c r="AM340" i="1"/>
  <c r="BG340" i="1"/>
  <c r="T341" i="1"/>
  <c r="U341" i="1"/>
  <c r="V341" i="1"/>
  <c r="W341" i="1"/>
  <c r="X341" i="1"/>
  <c r="Y341" i="1"/>
  <c r="Z341" i="1"/>
  <c r="AB341" i="1"/>
  <c r="AF341" i="1"/>
  <c r="AI341" i="1"/>
  <c r="H342" i="1"/>
  <c r="AE342" i="1"/>
  <c r="I342" i="1"/>
  <c r="J342" i="1"/>
  <c r="K342" i="1"/>
  <c r="AC342" i="1"/>
  <c r="AJ341" i="1"/>
  <c r="AK341" i="1"/>
  <c r="AM341" i="1"/>
  <c r="BF341" i="1"/>
  <c r="BG341" i="1"/>
  <c r="T342" i="1"/>
  <c r="U342" i="1"/>
  <c r="V342" i="1"/>
  <c r="W342" i="1"/>
  <c r="X342" i="1"/>
  <c r="Y342" i="1"/>
  <c r="Z342" i="1"/>
  <c r="AB342" i="1"/>
  <c r="AF342" i="1"/>
  <c r="AI342" i="1"/>
  <c r="AE343" i="1"/>
  <c r="AC343" i="1"/>
  <c r="AJ342" i="1"/>
  <c r="AK342" i="1"/>
  <c r="AM342" i="1"/>
  <c r="BF342" i="1"/>
  <c r="BG342" i="1"/>
  <c r="T343" i="1"/>
  <c r="U343" i="1"/>
  <c r="V343" i="1"/>
  <c r="W343" i="1"/>
  <c r="X343" i="1"/>
  <c r="Y343" i="1"/>
  <c r="Z343" i="1"/>
  <c r="AB343" i="1"/>
  <c r="AF343" i="1"/>
  <c r="AI343" i="1"/>
  <c r="AE344" i="1"/>
  <c r="AC344" i="1"/>
  <c r="AJ343" i="1"/>
  <c r="AK343" i="1"/>
  <c r="AM343" i="1"/>
  <c r="BF343" i="1"/>
  <c r="BG343" i="1"/>
  <c r="T344" i="1"/>
  <c r="U344" i="1"/>
  <c r="V344" i="1"/>
  <c r="W344" i="1"/>
  <c r="X344" i="1"/>
  <c r="Y344" i="1"/>
  <c r="Z344" i="1"/>
  <c r="AB344" i="1"/>
  <c r="AF344" i="1"/>
  <c r="AI344" i="1"/>
  <c r="AE345" i="1"/>
  <c r="AC345" i="1"/>
  <c r="AJ344" i="1"/>
  <c r="AK344" i="1"/>
  <c r="AM344" i="1"/>
  <c r="BF344" i="1"/>
  <c r="BG344" i="1"/>
  <c r="T345" i="1"/>
  <c r="U345" i="1"/>
  <c r="V345" i="1"/>
  <c r="W345" i="1"/>
  <c r="X345" i="1"/>
  <c r="Y345" i="1"/>
  <c r="Z345" i="1"/>
  <c r="AB345" i="1"/>
  <c r="AF345" i="1"/>
  <c r="AI345" i="1"/>
  <c r="H346" i="1"/>
  <c r="AE346" i="1"/>
  <c r="I346" i="1"/>
  <c r="J346" i="1"/>
  <c r="K346" i="1"/>
  <c r="AC346" i="1"/>
  <c r="AJ345" i="1"/>
  <c r="AK345" i="1"/>
  <c r="AM345" i="1"/>
  <c r="BG345" i="1"/>
  <c r="T346" i="1"/>
  <c r="U346" i="1"/>
  <c r="V346" i="1"/>
  <c r="W346" i="1"/>
  <c r="X346" i="1"/>
  <c r="Y346" i="1"/>
  <c r="Z346" i="1"/>
  <c r="AB346" i="1"/>
  <c r="AF346" i="1"/>
  <c r="AI346" i="1"/>
  <c r="H347" i="1"/>
  <c r="AE347" i="1"/>
  <c r="I347" i="1"/>
  <c r="J347" i="1"/>
  <c r="K347" i="1"/>
  <c r="AC347" i="1"/>
  <c r="AJ346" i="1"/>
  <c r="AK346" i="1"/>
  <c r="AM346" i="1"/>
  <c r="BF346" i="1"/>
  <c r="BG346" i="1"/>
  <c r="T347" i="1"/>
  <c r="U347" i="1"/>
  <c r="V347" i="1"/>
  <c r="W347" i="1"/>
  <c r="X347" i="1"/>
  <c r="Y347" i="1"/>
  <c r="Z347" i="1"/>
  <c r="AB347" i="1"/>
  <c r="AF347" i="1"/>
  <c r="AI347" i="1"/>
  <c r="AE348" i="1"/>
  <c r="AC348" i="1"/>
  <c r="AJ347" i="1"/>
  <c r="AK347" i="1"/>
  <c r="AM347" i="1"/>
  <c r="BF347" i="1"/>
  <c r="BG347" i="1"/>
  <c r="T348" i="1"/>
  <c r="U348" i="1"/>
  <c r="V348" i="1"/>
  <c r="W348" i="1"/>
  <c r="X348" i="1"/>
  <c r="Y348" i="1"/>
  <c r="Z348" i="1"/>
  <c r="AB348" i="1"/>
  <c r="AF348" i="1"/>
  <c r="AI348" i="1"/>
  <c r="AE349" i="1"/>
  <c r="AC349" i="1"/>
  <c r="AJ348" i="1"/>
  <c r="AK348" i="1"/>
  <c r="AM348" i="1"/>
  <c r="BF348" i="1"/>
  <c r="BG348" i="1"/>
  <c r="T349" i="1"/>
  <c r="U349" i="1"/>
  <c r="V349" i="1"/>
  <c r="W349" i="1"/>
  <c r="X349" i="1"/>
  <c r="Y349" i="1"/>
  <c r="Z349" i="1"/>
  <c r="AB349" i="1"/>
  <c r="AF349" i="1"/>
  <c r="AI349" i="1"/>
  <c r="H350" i="1"/>
  <c r="AE350" i="1"/>
  <c r="I350" i="1"/>
  <c r="J350" i="1"/>
  <c r="K350" i="1"/>
  <c r="AC350" i="1"/>
  <c r="AJ349" i="1"/>
  <c r="AK349" i="1"/>
  <c r="AM349" i="1"/>
  <c r="BG349" i="1"/>
  <c r="T350" i="1"/>
  <c r="U350" i="1"/>
  <c r="V350" i="1"/>
  <c r="W350" i="1"/>
  <c r="X350" i="1"/>
  <c r="Y350" i="1"/>
  <c r="Z350" i="1"/>
  <c r="AB350" i="1"/>
  <c r="AF350" i="1"/>
  <c r="AI350" i="1"/>
  <c r="AE351" i="1"/>
  <c r="AC351" i="1"/>
  <c r="AJ350" i="1"/>
  <c r="AK350" i="1"/>
  <c r="AM350" i="1"/>
  <c r="BF350" i="1"/>
  <c r="BG350" i="1"/>
  <c r="T351" i="1"/>
  <c r="U351" i="1"/>
  <c r="V351" i="1"/>
  <c r="W351" i="1"/>
  <c r="X351" i="1"/>
  <c r="Y351" i="1"/>
  <c r="Z351" i="1"/>
  <c r="AB351" i="1"/>
  <c r="AF351" i="1"/>
  <c r="AI351" i="1"/>
  <c r="AE352" i="1"/>
  <c r="AC352" i="1"/>
  <c r="AJ351" i="1"/>
  <c r="AK351" i="1"/>
  <c r="AM351" i="1"/>
  <c r="BF351" i="1"/>
  <c r="BG351" i="1"/>
  <c r="T352" i="1"/>
  <c r="U352" i="1"/>
  <c r="V352" i="1"/>
  <c r="W352" i="1"/>
  <c r="X352" i="1"/>
  <c r="Y352" i="1"/>
  <c r="Z352" i="1"/>
  <c r="AB352" i="1"/>
  <c r="AF352" i="1"/>
  <c r="AI352" i="1"/>
  <c r="H353" i="1"/>
  <c r="AE353" i="1"/>
  <c r="I353" i="1"/>
  <c r="J353" i="1"/>
  <c r="K353" i="1"/>
  <c r="AC353" i="1"/>
  <c r="AJ352" i="1"/>
  <c r="AK352" i="1"/>
  <c r="AM352" i="1"/>
  <c r="BG352" i="1"/>
  <c r="T353" i="1"/>
  <c r="U353" i="1"/>
  <c r="V353" i="1"/>
  <c r="W353" i="1"/>
  <c r="X353" i="1"/>
  <c r="Y353" i="1"/>
  <c r="Z353" i="1"/>
  <c r="AB353" i="1"/>
  <c r="AF353" i="1"/>
  <c r="AI353" i="1"/>
  <c r="AE354" i="1"/>
  <c r="AC354" i="1"/>
  <c r="AJ353" i="1"/>
  <c r="AK353" i="1"/>
  <c r="AM353" i="1"/>
  <c r="BF353" i="1"/>
  <c r="BG353" i="1"/>
  <c r="T354" i="1"/>
  <c r="U354" i="1"/>
  <c r="V354" i="1"/>
  <c r="W354" i="1"/>
  <c r="X354" i="1"/>
  <c r="Y354" i="1"/>
  <c r="Z354" i="1"/>
  <c r="AB354" i="1"/>
  <c r="AF354" i="1"/>
  <c r="AI354" i="1"/>
  <c r="AE355" i="1"/>
  <c r="AC355" i="1"/>
  <c r="AJ354" i="1"/>
  <c r="AK354" i="1"/>
  <c r="AM354" i="1"/>
  <c r="BF354" i="1"/>
  <c r="BG354" i="1"/>
  <c r="T355" i="1"/>
  <c r="U355" i="1"/>
  <c r="V355" i="1"/>
  <c r="W355" i="1"/>
  <c r="X355" i="1"/>
  <c r="Y355" i="1"/>
  <c r="Z355" i="1"/>
  <c r="AB355" i="1"/>
  <c r="AF355" i="1"/>
  <c r="AI355" i="1"/>
  <c r="H356" i="1"/>
  <c r="AE356" i="1"/>
  <c r="I356" i="1"/>
  <c r="J356" i="1"/>
  <c r="K356" i="1"/>
  <c r="AC356" i="1"/>
  <c r="AJ355" i="1"/>
  <c r="AK355" i="1"/>
  <c r="AM355" i="1"/>
  <c r="BG355" i="1"/>
  <c r="T356" i="1"/>
  <c r="U356" i="1"/>
  <c r="V356" i="1"/>
  <c r="W356" i="1"/>
  <c r="X356" i="1"/>
  <c r="Y356" i="1"/>
  <c r="Z356" i="1"/>
  <c r="AB356" i="1"/>
  <c r="AF356" i="1"/>
  <c r="AI356" i="1"/>
  <c r="AE357" i="1"/>
  <c r="AC357" i="1"/>
  <c r="AJ356" i="1"/>
  <c r="AK356" i="1"/>
  <c r="AM356" i="1"/>
  <c r="BF356" i="1"/>
  <c r="BG356" i="1"/>
  <c r="T357" i="1"/>
  <c r="U357" i="1"/>
  <c r="V357" i="1"/>
  <c r="W357" i="1"/>
  <c r="X357" i="1"/>
  <c r="Y357" i="1"/>
  <c r="Z357" i="1"/>
  <c r="AB357" i="1"/>
  <c r="AF357" i="1"/>
  <c r="AI357" i="1"/>
  <c r="AE358" i="1"/>
  <c r="AC358" i="1"/>
  <c r="AJ357" i="1"/>
  <c r="AK357" i="1"/>
  <c r="AM357" i="1"/>
  <c r="BF357" i="1"/>
  <c r="BG357" i="1"/>
  <c r="T358" i="1"/>
  <c r="U358" i="1"/>
  <c r="V358" i="1"/>
  <c r="W358" i="1"/>
  <c r="X358" i="1"/>
  <c r="Y358" i="1"/>
  <c r="Z358" i="1"/>
  <c r="AB358" i="1"/>
  <c r="AF358" i="1"/>
  <c r="AI358" i="1"/>
  <c r="AE359" i="1"/>
  <c r="AC359" i="1"/>
  <c r="AJ358" i="1"/>
  <c r="AK358" i="1"/>
  <c r="AM358" i="1"/>
  <c r="BF358" i="1"/>
  <c r="BG358" i="1"/>
  <c r="T359" i="1"/>
  <c r="U359" i="1"/>
  <c r="V359" i="1"/>
  <c r="W359" i="1"/>
  <c r="X359" i="1"/>
  <c r="Y359" i="1"/>
  <c r="Z359" i="1"/>
  <c r="AB359" i="1"/>
  <c r="AF359" i="1"/>
  <c r="AI359" i="1"/>
  <c r="H360" i="1"/>
  <c r="AE360" i="1"/>
  <c r="I360" i="1"/>
  <c r="J360" i="1"/>
  <c r="K360" i="1"/>
  <c r="AC360" i="1"/>
  <c r="AJ359" i="1"/>
  <c r="AK359" i="1"/>
  <c r="AM359" i="1"/>
  <c r="BG359" i="1"/>
  <c r="T360" i="1"/>
  <c r="U360" i="1"/>
  <c r="V360" i="1"/>
  <c r="W360" i="1"/>
  <c r="X360" i="1"/>
  <c r="Y360" i="1"/>
  <c r="Z360" i="1"/>
  <c r="AB360" i="1"/>
  <c r="AF360" i="1"/>
  <c r="AI360" i="1"/>
  <c r="AE361" i="1"/>
  <c r="AC361" i="1"/>
  <c r="AJ360" i="1"/>
  <c r="AK360" i="1"/>
  <c r="AM360" i="1"/>
  <c r="BF360" i="1"/>
  <c r="BG360" i="1"/>
  <c r="T361" i="1"/>
  <c r="U361" i="1"/>
  <c r="V361" i="1"/>
  <c r="W361" i="1"/>
  <c r="X361" i="1"/>
  <c r="Y361" i="1"/>
  <c r="Z361" i="1"/>
  <c r="AB361" i="1"/>
  <c r="AF361" i="1"/>
  <c r="AI361" i="1"/>
  <c r="AE362" i="1"/>
  <c r="AC362" i="1"/>
  <c r="AJ361" i="1"/>
  <c r="AK361" i="1"/>
  <c r="AM361" i="1"/>
  <c r="BF361" i="1"/>
  <c r="BG361" i="1"/>
  <c r="T362" i="1"/>
  <c r="U362" i="1"/>
  <c r="V362" i="1"/>
  <c r="W362" i="1"/>
  <c r="X362" i="1"/>
  <c r="Y362" i="1"/>
  <c r="Z362" i="1"/>
  <c r="AB362" i="1"/>
  <c r="AF362" i="1"/>
  <c r="AI362" i="1"/>
  <c r="AE363" i="1"/>
  <c r="AC363" i="1"/>
  <c r="AJ362" i="1"/>
  <c r="AK362" i="1"/>
  <c r="AM362" i="1"/>
  <c r="BF362" i="1"/>
  <c r="BG362" i="1"/>
  <c r="T363" i="1"/>
  <c r="U363" i="1"/>
  <c r="V363" i="1"/>
  <c r="W363" i="1"/>
  <c r="X363" i="1"/>
  <c r="Y363" i="1"/>
  <c r="Z363" i="1"/>
  <c r="AB363" i="1"/>
  <c r="AF363" i="1"/>
  <c r="AI363" i="1"/>
  <c r="H364" i="1"/>
  <c r="AE364" i="1"/>
  <c r="I364" i="1"/>
  <c r="J364" i="1"/>
  <c r="K364" i="1"/>
  <c r="AC364" i="1"/>
  <c r="AJ363" i="1"/>
  <c r="AK363" i="1"/>
  <c r="AM363" i="1"/>
  <c r="BG363" i="1"/>
  <c r="T364" i="1"/>
  <c r="U364" i="1"/>
  <c r="V364" i="1"/>
  <c r="W364" i="1"/>
  <c r="X364" i="1"/>
  <c r="Y364" i="1"/>
  <c r="Z364" i="1"/>
  <c r="AB364" i="1"/>
  <c r="AF364" i="1"/>
  <c r="AI364" i="1"/>
  <c r="H365" i="1"/>
  <c r="AE365" i="1"/>
  <c r="I365" i="1"/>
  <c r="J365" i="1"/>
  <c r="K365" i="1"/>
  <c r="AC365" i="1"/>
  <c r="AJ364" i="1"/>
  <c r="AK364" i="1"/>
  <c r="AM364" i="1"/>
  <c r="BF364" i="1"/>
  <c r="BG364" i="1"/>
  <c r="T365" i="1"/>
  <c r="U365" i="1"/>
  <c r="V365" i="1"/>
  <c r="W365" i="1"/>
  <c r="X365" i="1"/>
  <c r="Y365" i="1"/>
  <c r="Z365" i="1"/>
  <c r="AB365" i="1"/>
  <c r="AF365" i="1"/>
  <c r="AI365" i="1"/>
  <c r="H366" i="1"/>
  <c r="AE366" i="1"/>
  <c r="I366" i="1"/>
  <c r="J366" i="1"/>
  <c r="K366" i="1"/>
  <c r="AC366" i="1"/>
  <c r="AJ365" i="1"/>
  <c r="AK365" i="1"/>
  <c r="AM365" i="1"/>
  <c r="BF365" i="1"/>
  <c r="BG365" i="1"/>
  <c r="T366" i="1"/>
  <c r="U366" i="1"/>
  <c r="V366" i="1"/>
  <c r="W366" i="1"/>
  <c r="X366" i="1"/>
  <c r="Y366" i="1"/>
  <c r="Z366" i="1"/>
  <c r="AB366" i="1"/>
  <c r="AF366" i="1"/>
  <c r="AI366" i="1"/>
  <c r="H367" i="1"/>
  <c r="AE367" i="1"/>
  <c r="I367" i="1"/>
  <c r="J367" i="1"/>
  <c r="K367" i="1"/>
  <c r="AC367" i="1"/>
  <c r="AJ366" i="1"/>
  <c r="AK366" i="1"/>
  <c r="AM366" i="1"/>
  <c r="BF366" i="1"/>
  <c r="BG366" i="1"/>
  <c r="T367" i="1"/>
  <c r="U367" i="1"/>
  <c r="V367" i="1"/>
  <c r="W367" i="1"/>
  <c r="X367" i="1"/>
  <c r="Y367" i="1"/>
  <c r="Z367" i="1"/>
  <c r="AB367" i="1"/>
  <c r="AF367" i="1"/>
  <c r="AI367" i="1"/>
  <c r="H368" i="1"/>
  <c r="AE368" i="1"/>
  <c r="I368" i="1"/>
  <c r="J368" i="1"/>
  <c r="K368" i="1"/>
  <c r="AC368" i="1"/>
  <c r="AJ367" i="1"/>
  <c r="AK367" i="1"/>
  <c r="AM367" i="1"/>
  <c r="BF367" i="1"/>
  <c r="BG367" i="1"/>
  <c r="T368" i="1"/>
  <c r="U368" i="1"/>
  <c r="V368" i="1"/>
  <c r="W368" i="1"/>
  <c r="X368" i="1"/>
  <c r="Y368" i="1"/>
  <c r="Z368" i="1"/>
  <c r="AB368" i="1"/>
  <c r="AF368" i="1"/>
  <c r="AI368" i="1"/>
  <c r="H369" i="1"/>
  <c r="AE369" i="1"/>
  <c r="I369" i="1"/>
  <c r="J369" i="1"/>
  <c r="K369" i="1"/>
  <c r="AC369" i="1"/>
  <c r="AJ368" i="1"/>
  <c r="AK368" i="1"/>
  <c r="AM368" i="1"/>
  <c r="BF368" i="1"/>
  <c r="BG368" i="1"/>
  <c r="T369" i="1"/>
  <c r="U369" i="1"/>
  <c r="V369" i="1"/>
  <c r="W369" i="1"/>
  <c r="X369" i="1"/>
  <c r="Y369" i="1"/>
  <c r="Z369" i="1"/>
  <c r="AB369" i="1"/>
  <c r="AF369" i="1"/>
  <c r="AI369" i="1"/>
  <c r="H370" i="1"/>
  <c r="AE370" i="1"/>
  <c r="I370" i="1"/>
  <c r="J370" i="1"/>
  <c r="K370" i="1"/>
  <c r="AC370" i="1"/>
  <c r="AJ369" i="1"/>
  <c r="AK369" i="1"/>
  <c r="AM369" i="1"/>
  <c r="BF369" i="1"/>
  <c r="BG369" i="1"/>
  <c r="T370" i="1"/>
  <c r="U370" i="1"/>
  <c r="V370" i="1"/>
  <c r="W370" i="1"/>
  <c r="X370" i="1"/>
  <c r="Y370" i="1"/>
  <c r="Z370" i="1"/>
  <c r="AB370" i="1"/>
  <c r="AF370" i="1"/>
  <c r="AI370" i="1"/>
  <c r="H371" i="1"/>
  <c r="AE371" i="1"/>
  <c r="I371" i="1"/>
  <c r="J371" i="1"/>
  <c r="K371" i="1"/>
  <c r="AC371" i="1"/>
  <c r="AJ370" i="1"/>
  <c r="AK370" i="1"/>
  <c r="AM370" i="1"/>
  <c r="BF370" i="1"/>
  <c r="BG370" i="1"/>
  <c r="T371" i="1"/>
  <c r="U371" i="1"/>
  <c r="V371" i="1"/>
  <c r="W371" i="1"/>
  <c r="X371" i="1"/>
  <c r="Y371" i="1"/>
  <c r="Z371" i="1"/>
  <c r="AB371" i="1"/>
  <c r="AF371" i="1"/>
  <c r="AI371" i="1"/>
  <c r="H372" i="1"/>
  <c r="AE372" i="1"/>
  <c r="I372" i="1"/>
  <c r="J372" i="1"/>
  <c r="K372" i="1"/>
  <c r="AC372" i="1"/>
  <c r="AJ371" i="1"/>
  <c r="AK371" i="1"/>
  <c r="AM371" i="1"/>
  <c r="BF371" i="1"/>
  <c r="BG371" i="1"/>
  <c r="T372" i="1"/>
  <c r="U372" i="1"/>
  <c r="V372" i="1"/>
  <c r="W372" i="1"/>
  <c r="X372" i="1"/>
  <c r="Y372" i="1"/>
  <c r="Z372" i="1"/>
  <c r="AB372" i="1"/>
  <c r="AF372" i="1"/>
  <c r="AI372" i="1"/>
  <c r="AE373" i="1"/>
  <c r="AC373" i="1"/>
  <c r="AJ372" i="1"/>
  <c r="AK372" i="1"/>
  <c r="AM372" i="1"/>
  <c r="BF372" i="1"/>
  <c r="BG372" i="1"/>
  <c r="T373" i="1"/>
  <c r="U373" i="1"/>
  <c r="V373" i="1"/>
  <c r="W373" i="1"/>
  <c r="X373" i="1"/>
  <c r="Y373" i="1"/>
  <c r="Z373" i="1"/>
  <c r="AB373" i="1"/>
  <c r="AF373" i="1"/>
  <c r="AI373" i="1"/>
  <c r="AE374" i="1"/>
  <c r="AC374" i="1"/>
  <c r="AJ373" i="1"/>
  <c r="AK373" i="1"/>
  <c r="AM373" i="1"/>
  <c r="BF373" i="1"/>
  <c r="BG373" i="1"/>
  <c r="T374" i="1"/>
  <c r="U374" i="1"/>
  <c r="V374" i="1"/>
  <c r="W374" i="1"/>
  <c r="X374" i="1"/>
  <c r="Y374" i="1"/>
  <c r="Z374" i="1"/>
  <c r="AB374" i="1"/>
  <c r="AF374" i="1"/>
  <c r="AI374" i="1"/>
  <c r="H375" i="1"/>
  <c r="AE375" i="1"/>
  <c r="I375" i="1"/>
  <c r="J375" i="1"/>
  <c r="K375" i="1"/>
  <c r="AC375" i="1"/>
  <c r="AJ374" i="1"/>
  <c r="AK374" i="1"/>
  <c r="AM374" i="1"/>
  <c r="BG374" i="1"/>
  <c r="T375" i="1"/>
  <c r="U375" i="1"/>
  <c r="V375" i="1"/>
  <c r="W375" i="1"/>
  <c r="X375" i="1"/>
  <c r="Y375" i="1"/>
  <c r="Z375" i="1"/>
  <c r="AB375" i="1"/>
  <c r="AF375" i="1"/>
  <c r="AI375" i="1"/>
  <c r="AE376" i="1"/>
  <c r="AC376" i="1"/>
  <c r="AJ375" i="1"/>
  <c r="AK375" i="1"/>
  <c r="AM375" i="1"/>
  <c r="BF375" i="1"/>
  <c r="BG375" i="1"/>
  <c r="T376" i="1"/>
  <c r="U376" i="1"/>
  <c r="V376" i="1"/>
  <c r="W376" i="1"/>
  <c r="X376" i="1"/>
  <c r="Y376" i="1"/>
  <c r="Z376" i="1"/>
  <c r="AB376" i="1"/>
  <c r="AF376" i="1"/>
  <c r="AI376" i="1"/>
  <c r="AE377" i="1"/>
  <c r="AC377" i="1"/>
  <c r="AJ376" i="1"/>
  <c r="AK376" i="1"/>
  <c r="AM376" i="1"/>
  <c r="BF376" i="1"/>
  <c r="BG376" i="1"/>
  <c r="T377" i="1"/>
  <c r="U377" i="1"/>
  <c r="V377" i="1"/>
  <c r="W377" i="1"/>
  <c r="X377" i="1"/>
  <c r="Y377" i="1"/>
  <c r="Z377" i="1"/>
  <c r="AB377" i="1"/>
  <c r="AF377" i="1"/>
  <c r="AI377" i="1"/>
  <c r="AE378" i="1"/>
  <c r="AC378" i="1"/>
  <c r="AJ377" i="1"/>
  <c r="AK377" i="1"/>
  <c r="AM377" i="1"/>
  <c r="BF377" i="1"/>
  <c r="BG377" i="1"/>
  <c r="T378" i="1"/>
  <c r="U378" i="1"/>
  <c r="V378" i="1"/>
  <c r="W378" i="1"/>
  <c r="X378" i="1"/>
  <c r="Y378" i="1"/>
  <c r="Z378" i="1"/>
  <c r="AB378" i="1"/>
  <c r="AF378" i="1"/>
  <c r="AI378" i="1"/>
  <c r="H379" i="1"/>
  <c r="AE379" i="1"/>
  <c r="I379" i="1"/>
  <c r="J379" i="1"/>
  <c r="K379" i="1"/>
  <c r="AC379" i="1"/>
  <c r="AJ378" i="1"/>
  <c r="AK378" i="1"/>
  <c r="AM378" i="1"/>
  <c r="BG378" i="1"/>
  <c r="T379" i="1"/>
  <c r="U379" i="1"/>
  <c r="V379" i="1"/>
  <c r="W379" i="1"/>
  <c r="X379" i="1"/>
  <c r="Y379" i="1"/>
  <c r="Z379" i="1"/>
  <c r="AB379" i="1"/>
  <c r="AF379" i="1"/>
  <c r="AI379" i="1"/>
  <c r="AE380" i="1"/>
  <c r="AC380" i="1"/>
  <c r="AJ379" i="1"/>
  <c r="AK379" i="1"/>
  <c r="AM379" i="1"/>
  <c r="BF379" i="1"/>
  <c r="BG379" i="1"/>
  <c r="T380" i="1"/>
  <c r="U380" i="1"/>
  <c r="V380" i="1"/>
  <c r="W380" i="1"/>
  <c r="X380" i="1"/>
  <c r="Y380" i="1"/>
  <c r="Z380" i="1"/>
  <c r="AB380" i="1"/>
  <c r="AF380" i="1"/>
  <c r="AI380" i="1"/>
  <c r="AE381" i="1"/>
  <c r="AC381" i="1"/>
  <c r="AJ380" i="1"/>
  <c r="AK380" i="1"/>
  <c r="AM380" i="1"/>
  <c r="BF380" i="1"/>
  <c r="BG380" i="1"/>
  <c r="T381" i="1"/>
  <c r="U381" i="1"/>
  <c r="V381" i="1"/>
  <c r="W381" i="1"/>
  <c r="X381" i="1"/>
  <c r="Y381" i="1"/>
  <c r="Z381" i="1"/>
  <c r="AB381" i="1"/>
  <c r="AF381" i="1"/>
  <c r="AI381" i="1"/>
  <c r="AE382" i="1"/>
  <c r="AC382" i="1"/>
  <c r="AJ381" i="1"/>
  <c r="AK381" i="1"/>
  <c r="AM381" i="1"/>
  <c r="BF381" i="1"/>
  <c r="BG381" i="1"/>
  <c r="T382" i="1"/>
  <c r="U382" i="1"/>
  <c r="V382" i="1"/>
  <c r="W382" i="1"/>
  <c r="X382" i="1"/>
  <c r="Y382" i="1"/>
  <c r="Z382" i="1"/>
  <c r="AB382" i="1"/>
  <c r="AF382" i="1"/>
  <c r="AI382" i="1"/>
  <c r="H383" i="1"/>
  <c r="AE383" i="1"/>
  <c r="I383" i="1"/>
  <c r="J383" i="1"/>
  <c r="K383" i="1"/>
  <c r="AC383" i="1"/>
  <c r="AJ382" i="1"/>
  <c r="AK382" i="1"/>
  <c r="AM382" i="1"/>
  <c r="BG382" i="1"/>
  <c r="T383" i="1"/>
  <c r="U383" i="1"/>
  <c r="V383" i="1"/>
  <c r="W383" i="1"/>
  <c r="X383" i="1"/>
  <c r="Y383" i="1"/>
  <c r="Z383" i="1"/>
  <c r="AB383" i="1"/>
  <c r="AF383" i="1"/>
  <c r="AI383" i="1"/>
  <c r="AE384" i="1"/>
  <c r="AC384" i="1"/>
  <c r="AJ383" i="1"/>
  <c r="AK383" i="1"/>
  <c r="AM383" i="1"/>
  <c r="BF383" i="1"/>
  <c r="BG383" i="1"/>
  <c r="T384" i="1"/>
  <c r="U384" i="1"/>
  <c r="V384" i="1"/>
  <c r="W384" i="1"/>
  <c r="X384" i="1"/>
  <c r="Y384" i="1"/>
  <c r="Z384" i="1"/>
  <c r="AB384" i="1"/>
  <c r="AF384" i="1"/>
  <c r="AI384" i="1"/>
  <c r="AE385" i="1"/>
  <c r="AC385" i="1"/>
  <c r="AJ384" i="1"/>
  <c r="AK384" i="1"/>
  <c r="AM384" i="1"/>
  <c r="BF384" i="1"/>
  <c r="BG384" i="1"/>
  <c r="T385" i="1"/>
  <c r="U385" i="1"/>
  <c r="V385" i="1"/>
  <c r="W385" i="1"/>
  <c r="X385" i="1"/>
  <c r="Y385" i="1"/>
  <c r="Z385" i="1"/>
  <c r="AB385" i="1"/>
  <c r="AF385" i="1"/>
  <c r="AI385" i="1"/>
  <c r="AE386" i="1"/>
  <c r="AC386" i="1"/>
  <c r="AJ385" i="1"/>
  <c r="AK385" i="1"/>
  <c r="AM385" i="1"/>
  <c r="BF385" i="1"/>
  <c r="BG385" i="1"/>
  <c r="T386" i="1"/>
  <c r="U386" i="1"/>
  <c r="V386" i="1"/>
  <c r="W386" i="1"/>
  <c r="X386" i="1"/>
  <c r="Y386" i="1"/>
  <c r="Z386" i="1"/>
  <c r="AB386" i="1"/>
  <c r="AF386" i="1"/>
  <c r="AI386" i="1"/>
  <c r="H387" i="1"/>
  <c r="AE387" i="1"/>
  <c r="I387" i="1"/>
  <c r="J387" i="1"/>
  <c r="K387" i="1"/>
  <c r="AC387" i="1"/>
  <c r="AJ386" i="1"/>
  <c r="AK386" i="1"/>
  <c r="AM386" i="1"/>
  <c r="BG386" i="1"/>
  <c r="T387" i="1"/>
  <c r="U387" i="1"/>
  <c r="V387" i="1"/>
  <c r="W387" i="1"/>
  <c r="X387" i="1"/>
  <c r="Y387" i="1"/>
  <c r="Z387" i="1"/>
  <c r="AB387" i="1"/>
  <c r="AF387" i="1"/>
  <c r="AI387" i="1"/>
  <c r="AE388" i="1"/>
  <c r="AC388" i="1"/>
  <c r="AJ387" i="1"/>
  <c r="AK387" i="1"/>
  <c r="AM387" i="1"/>
  <c r="BF387" i="1"/>
  <c r="BG387" i="1"/>
  <c r="T388" i="1"/>
  <c r="U388" i="1"/>
  <c r="V388" i="1"/>
  <c r="W388" i="1"/>
  <c r="X388" i="1"/>
  <c r="Y388" i="1"/>
  <c r="Z388" i="1"/>
  <c r="AB388" i="1"/>
  <c r="AF388" i="1"/>
  <c r="AI388" i="1"/>
  <c r="AE389" i="1"/>
  <c r="AC389" i="1"/>
  <c r="AJ388" i="1"/>
  <c r="AK388" i="1"/>
  <c r="AM388" i="1"/>
  <c r="BF388" i="1"/>
  <c r="BG388" i="1"/>
  <c r="T389" i="1"/>
  <c r="U389" i="1"/>
  <c r="V389" i="1"/>
  <c r="W389" i="1"/>
  <c r="X389" i="1"/>
  <c r="Y389" i="1"/>
  <c r="Z389" i="1"/>
  <c r="AB389" i="1"/>
  <c r="AF389" i="1"/>
  <c r="AI389" i="1"/>
  <c r="AE390" i="1"/>
  <c r="AC390" i="1"/>
  <c r="AJ389" i="1"/>
  <c r="AK389" i="1"/>
  <c r="AM389" i="1"/>
  <c r="BF389" i="1"/>
  <c r="BG389" i="1"/>
  <c r="T390" i="1"/>
  <c r="U390" i="1"/>
  <c r="V390" i="1"/>
  <c r="W390" i="1"/>
  <c r="X390" i="1"/>
  <c r="Y390" i="1"/>
  <c r="Z390" i="1"/>
  <c r="AB390" i="1"/>
  <c r="AF390" i="1"/>
  <c r="AI390" i="1"/>
  <c r="H391" i="1"/>
  <c r="AE391" i="1"/>
  <c r="I391" i="1"/>
  <c r="J391" i="1"/>
  <c r="K391" i="1"/>
  <c r="AC391" i="1"/>
  <c r="AJ390" i="1"/>
  <c r="AK390" i="1"/>
  <c r="AM390" i="1"/>
  <c r="BG390" i="1"/>
  <c r="T391" i="1"/>
  <c r="U391" i="1"/>
  <c r="V391" i="1"/>
  <c r="W391" i="1"/>
  <c r="X391" i="1"/>
  <c r="Y391" i="1"/>
  <c r="Z391" i="1"/>
  <c r="AB391" i="1"/>
  <c r="AF391" i="1"/>
  <c r="AI391" i="1"/>
  <c r="AE392" i="1"/>
  <c r="AC392" i="1"/>
  <c r="AJ391" i="1"/>
  <c r="AK391" i="1"/>
  <c r="AM391" i="1"/>
  <c r="BF391" i="1"/>
  <c r="BG391" i="1"/>
  <c r="T392" i="1"/>
  <c r="U392" i="1"/>
  <c r="V392" i="1"/>
  <c r="W392" i="1"/>
  <c r="X392" i="1"/>
  <c r="Y392" i="1"/>
  <c r="Z392" i="1"/>
  <c r="AB392" i="1"/>
  <c r="AF392" i="1"/>
  <c r="AI392" i="1"/>
  <c r="AE393" i="1"/>
  <c r="AC393" i="1"/>
  <c r="AJ392" i="1"/>
  <c r="AK392" i="1"/>
  <c r="AM392" i="1"/>
  <c r="BF392" i="1"/>
  <c r="BG392" i="1"/>
  <c r="T393" i="1"/>
  <c r="U393" i="1"/>
  <c r="V393" i="1"/>
  <c r="W393" i="1"/>
  <c r="X393" i="1"/>
  <c r="Y393" i="1"/>
  <c r="Z393" i="1"/>
  <c r="AB393" i="1"/>
  <c r="AF393" i="1"/>
  <c r="AI393" i="1"/>
  <c r="H394" i="1"/>
  <c r="AE394" i="1"/>
  <c r="I394" i="1"/>
  <c r="J394" i="1"/>
  <c r="K394" i="1"/>
  <c r="AC394" i="1"/>
  <c r="AJ393" i="1"/>
  <c r="AK393" i="1"/>
  <c r="AM393" i="1"/>
  <c r="BG393" i="1"/>
  <c r="T394" i="1"/>
  <c r="U394" i="1"/>
  <c r="V394" i="1"/>
  <c r="W394" i="1"/>
  <c r="X394" i="1"/>
  <c r="Y394" i="1"/>
  <c r="Z394" i="1"/>
  <c r="AB394" i="1"/>
  <c r="AF394" i="1"/>
  <c r="AI394" i="1"/>
  <c r="AE395" i="1"/>
  <c r="AC395" i="1"/>
  <c r="AJ394" i="1"/>
  <c r="AK394" i="1"/>
  <c r="AM394" i="1"/>
  <c r="BF394" i="1"/>
  <c r="BG394" i="1"/>
  <c r="T395" i="1"/>
  <c r="U395" i="1"/>
  <c r="V395" i="1"/>
  <c r="W395" i="1"/>
  <c r="X395" i="1"/>
  <c r="Y395" i="1"/>
  <c r="Z395" i="1"/>
  <c r="AB395" i="1"/>
  <c r="AF395" i="1"/>
  <c r="AI395" i="1"/>
  <c r="AE396" i="1"/>
  <c r="AC396" i="1"/>
  <c r="AJ395" i="1"/>
  <c r="AK395" i="1"/>
  <c r="AM395" i="1"/>
  <c r="BF395" i="1"/>
  <c r="BG395" i="1"/>
  <c r="T396" i="1"/>
  <c r="U396" i="1"/>
  <c r="V396" i="1"/>
  <c r="W396" i="1"/>
  <c r="X396" i="1"/>
  <c r="Y396" i="1"/>
  <c r="Z396" i="1"/>
  <c r="AB396" i="1"/>
  <c r="AF396" i="1"/>
  <c r="AI396" i="1"/>
  <c r="H397" i="1"/>
  <c r="AE397" i="1"/>
  <c r="I397" i="1"/>
  <c r="J397" i="1"/>
  <c r="K397" i="1"/>
  <c r="AC397" i="1"/>
  <c r="AJ396" i="1"/>
  <c r="AK396" i="1"/>
  <c r="AM396" i="1"/>
  <c r="BG396" i="1"/>
  <c r="T397" i="1"/>
  <c r="U397" i="1"/>
  <c r="V397" i="1"/>
  <c r="W397" i="1"/>
  <c r="X397" i="1"/>
  <c r="Y397" i="1"/>
  <c r="Z397" i="1"/>
  <c r="AB397" i="1"/>
  <c r="AF397" i="1"/>
  <c r="AI397" i="1"/>
  <c r="AE398" i="1"/>
  <c r="AC398" i="1"/>
  <c r="AJ397" i="1"/>
  <c r="AK397" i="1"/>
  <c r="AM397" i="1"/>
  <c r="BF397" i="1"/>
  <c r="BG397" i="1"/>
  <c r="T398" i="1"/>
  <c r="U398" i="1"/>
  <c r="V398" i="1"/>
  <c r="W398" i="1"/>
  <c r="X398" i="1"/>
  <c r="Y398" i="1"/>
  <c r="Z398" i="1"/>
  <c r="AB398" i="1"/>
  <c r="AF398" i="1"/>
  <c r="AI398" i="1"/>
  <c r="AE399" i="1"/>
  <c r="AC399" i="1"/>
  <c r="AJ398" i="1"/>
  <c r="AK398" i="1"/>
  <c r="AM398" i="1"/>
  <c r="BF398" i="1"/>
  <c r="BG398" i="1"/>
  <c r="T399" i="1"/>
  <c r="U399" i="1"/>
  <c r="V399" i="1"/>
  <c r="W399" i="1"/>
  <c r="X399" i="1"/>
  <c r="Y399" i="1"/>
  <c r="Z399" i="1"/>
  <c r="AB399" i="1"/>
  <c r="AF399" i="1"/>
  <c r="AI399" i="1"/>
  <c r="H400" i="1"/>
  <c r="AE400" i="1"/>
  <c r="I400" i="1"/>
  <c r="J400" i="1"/>
  <c r="K400" i="1"/>
  <c r="AC400" i="1"/>
  <c r="AJ399" i="1"/>
  <c r="AK399" i="1"/>
  <c r="AM399" i="1"/>
  <c r="BG399" i="1"/>
  <c r="T400" i="1"/>
  <c r="U400" i="1"/>
  <c r="V400" i="1"/>
  <c r="W400" i="1"/>
  <c r="X400" i="1"/>
  <c r="Y400" i="1"/>
  <c r="Z400" i="1"/>
  <c r="AB400" i="1"/>
  <c r="AF400" i="1"/>
  <c r="AI400" i="1"/>
  <c r="H401" i="1"/>
  <c r="AE401" i="1"/>
  <c r="I401" i="1"/>
  <c r="J401" i="1"/>
  <c r="K401" i="1"/>
  <c r="AC401" i="1"/>
  <c r="AJ400" i="1"/>
  <c r="AK400" i="1"/>
  <c r="AM400" i="1"/>
  <c r="BF400" i="1"/>
  <c r="BG400" i="1"/>
  <c r="T401" i="1"/>
  <c r="U401" i="1"/>
  <c r="V401" i="1"/>
  <c r="W401" i="1"/>
  <c r="X401" i="1"/>
  <c r="Y401" i="1"/>
  <c r="Z401" i="1"/>
  <c r="AB401" i="1"/>
  <c r="AF401" i="1"/>
  <c r="AI401" i="1"/>
  <c r="H402" i="1"/>
  <c r="AE402" i="1"/>
  <c r="I402" i="1"/>
  <c r="J402" i="1"/>
  <c r="K402" i="1"/>
  <c r="AC402" i="1"/>
  <c r="AJ401" i="1"/>
  <c r="AK401" i="1"/>
  <c r="AM401" i="1"/>
  <c r="BF401" i="1"/>
  <c r="BG401" i="1"/>
  <c r="T402" i="1"/>
  <c r="U402" i="1"/>
  <c r="V402" i="1"/>
  <c r="W402" i="1"/>
  <c r="X402" i="1"/>
  <c r="Y402" i="1"/>
  <c r="Z402" i="1"/>
  <c r="AB402" i="1"/>
  <c r="AF402" i="1"/>
  <c r="AI402" i="1"/>
  <c r="AE403" i="1"/>
  <c r="AC403" i="1"/>
  <c r="AJ402" i="1"/>
  <c r="AK402" i="1"/>
  <c r="AM402" i="1"/>
  <c r="BF402" i="1"/>
  <c r="BG402" i="1"/>
  <c r="T403" i="1"/>
  <c r="U403" i="1"/>
  <c r="V403" i="1"/>
  <c r="W403" i="1"/>
  <c r="X403" i="1"/>
  <c r="Y403" i="1"/>
  <c r="Z403" i="1"/>
  <c r="AB403" i="1"/>
  <c r="AF403" i="1"/>
  <c r="AI403" i="1"/>
  <c r="AE404" i="1"/>
  <c r="AC404" i="1"/>
  <c r="AJ403" i="1"/>
  <c r="AK403" i="1"/>
  <c r="AM403" i="1"/>
  <c r="BF403" i="1"/>
  <c r="BG403" i="1"/>
  <c r="T404" i="1"/>
  <c r="U404" i="1"/>
  <c r="V404" i="1"/>
  <c r="W404" i="1"/>
  <c r="X404" i="1"/>
  <c r="Y404" i="1"/>
  <c r="Z404" i="1"/>
  <c r="AB404" i="1"/>
  <c r="AF404" i="1"/>
  <c r="AI404" i="1"/>
  <c r="AE405" i="1"/>
  <c r="AC405" i="1"/>
  <c r="AJ404" i="1"/>
  <c r="AK404" i="1"/>
  <c r="AM404" i="1"/>
  <c r="BF404" i="1"/>
  <c r="BG404" i="1"/>
  <c r="T405" i="1"/>
  <c r="U405" i="1"/>
  <c r="V405" i="1"/>
  <c r="W405" i="1"/>
  <c r="X405" i="1"/>
  <c r="Y405" i="1"/>
  <c r="Z405" i="1"/>
  <c r="AB405" i="1"/>
  <c r="AF405" i="1"/>
  <c r="AI405" i="1"/>
  <c r="H406" i="1"/>
  <c r="AE406" i="1"/>
  <c r="I406" i="1"/>
  <c r="J406" i="1"/>
  <c r="K406" i="1"/>
  <c r="AC406" i="1"/>
  <c r="AJ405" i="1"/>
  <c r="AK405" i="1"/>
  <c r="AM405" i="1"/>
  <c r="BG405" i="1"/>
  <c r="T406" i="1"/>
  <c r="U406" i="1"/>
  <c r="V406" i="1"/>
  <c r="W406" i="1"/>
  <c r="X406" i="1"/>
  <c r="Y406" i="1"/>
  <c r="Z406" i="1"/>
  <c r="AB406" i="1"/>
  <c r="AF406" i="1"/>
  <c r="AI406" i="1"/>
  <c r="H407" i="1"/>
  <c r="AE407" i="1"/>
  <c r="I407" i="1"/>
  <c r="J407" i="1"/>
  <c r="K407" i="1"/>
  <c r="AC407" i="1"/>
  <c r="AJ406" i="1"/>
  <c r="AK406" i="1"/>
  <c r="AM406" i="1"/>
  <c r="BF406" i="1"/>
  <c r="BG406" i="1"/>
  <c r="T407" i="1"/>
  <c r="U407" i="1"/>
  <c r="V407" i="1"/>
  <c r="W407" i="1"/>
  <c r="X407" i="1"/>
  <c r="Y407" i="1"/>
  <c r="Z407" i="1"/>
  <c r="AB407" i="1"/>
  <c r="AF407" i="1"/>
  <c r="AI407" i="1"/>
  <c r="H408" i="1"/>
  <c r="AE408" i="1"/>
  <c r="I408" i="1"/>
  <c r="J408" i="1"/>
  <c r="K408" i="1"/>
  <c r="AC408" i="1"/>
  <c r="AJ407" i="1"/>
  <c r="AK407" i="1"/>
  <c r="AM407" i="1"/>
  <c r="BF407" i="1"/>
  <c r="BG407" i="1"/>
  <c r="T408" i="1"/>
  <c r="U408" i="1"/>
  <c r="V408" i="1"/>
  <c r="W408" i="1"/>
  <c r="X408" i="1"/>
  <c r="Y408" i="1"/>
  <c r="Z408" i="1"/>
  <c r="AB408" i="1"/>
  <c r="AF408" i="1"/>
  <c r="AI408" i="1"/>
  <c r="H409" i="1"/>
  <c r="AE409" i="1"/>
  <c r="I409" i="1"/>
  <c r="J409" i="1"/>
  <c r="K409" i="1"/>
  <c r="AC409" i="1"/>
  <c r="AJ408" i="1"/>
  <c r="AK408" i="1"/>
  <c r="AM408" i="1"/>
  <c r="BF408" i="1"/>
  <c r="BG408" i="1"/>
  <c r="T409" i="1"/>
  <c r="U409" i="1"/>
  <c r="V409" i="1"/>
  <c r="W409" i="1"/>
  <c r="X409" i="1"/>
  <c r="Y409" i="1"/>
  <c r="Z409" i="1"/>
  <c r="AB409" i="1"/>
  <c r="AF409" i="1"/>
  <c r="AI409" i="1"/>
  <c r="AE410" i="1"/>
  <c r="AC410" i="1"/>
  <c r="AJ409" i="1"/>
  <c r="AK409" i="1"/>
  <c r="AM409" i="1"/>
  <c r="BF409" i="1"/>
  <c r="BG409" i="1"/>
  <c r="T410" i="1"/>
  <c r="U410" i="1"/>
  <c r="V410" i="1"/>
  <c r="W410" i="1"/>
  <c r="X410" i="1"/>
  <c r="Y410" i="1"/>
  <c r="Z410" i="1"/>
  <c r="AB410" i="1"/>
  <c r="AF410" i="1"/>
  <c r="AI410" i="1"/>
  <c r="AE411" i="1"/>
  <c r="AC411" i="1"/>
  <c r="AJ410" i="1"/>
  <c r="AK410" i="1"/>
  <c r="AM410" i="1"/>
  <c r="BF410" i="1"/>
  <c r="BG410" i="1"/>
  <c r="T411" i="1"/>
  <c r="U411" i="1"/>
  <c r="V411" i="1"/>
  <c r="W411" i="1"/>
  <c r="X411" i="1"/>
  <c r="Y411" i="1"/>
  <c r="Z411" i="1"/>
  <c r="AB411" i="1"/>
  <c r="AF411" i="1"/>
  <c r="AI411" i="1"/>
  <c r="AE412" i="1"/>
  <c r="AC412" i="1"/>
  <c r="AJ411" i="1"/>
  <c r="AK411" i="1"/>
  <c r="AM411" i="1"/>
  <c r="BF411" i="1"/>
  <c r="BG411" i="1"/>
  <c r="T412" i="1"/>
  <c r="U412" i="1"/>
  <c r="V412" i="1"/>
  <c r="W412" i="1"/>
  <c r="X412" i="1"/>
  <c r="Y412" i="1"/>
  <c r="Z412" i="1"/>
  <c r="AB412" i="1"/>
  <c r="AF412" i="1"/>
  <c r="AI412" i="1"/>
  <c r="H413" i="1"/>
  <c r="AE413" i="1"/>
  <c r="I413" i="1"/>
  <c r="J413" i="1"/>
  <c r="K413" i="1"/>
  <c r="AC413" i="1"/>
  <c r="AJ412" i="1"/>
  <c r="AK412" i="1"/>
  <c r="AM412" i="1"/>
  <c r="BG412" i="1"/>
  <c r="T413" i="1"/>
  <c r="U413" i="1"/>
  <c r="V413" i="1"/>
  <c r="W413" i="1"/>
  <c r="X413" i="1"/>
  <c r="Y413" i="1"/>
  <c r="Z413" i="1"/>
  <c r="AB413" i="1"/>
  <c r="AF413" i="1"/>
  <c r="AI413" i="1"/>
  <c r="H414" i="1"/>
  <c r="AE414" i="1"/>
  <c r="I414" i="1"/>
  <c r="J414" i="1"/>
  <c r="K414" i="1"/>
  <c r="AC414" i="1"/>
  <c r="AJ413" i="1"/>
  <c r="AK413" i="1"/>
  <c r="AM413" i="1"/>
  <c r="BF413" i="1"/>
  <c r="BG413" i="1"/>
  <c r="T414" i="1"/>
  <c r="U414" i="1"/>
  <c r="V414" i="1"/>
  <c r="W414" i="1"/>
  <c r="X414" i="1"/>
  <c r="Y414" i="1"/>
  <c r="Z414" i="1"/>
  <c r="AB414" i="1"/>
  <c r="AF414" i="1"/>
  <c r="AI414" i="1"/>
  <c r="AE415" i="1"/>
  <c r="AC415" i="1"/>
  <c r="AJ414" i="1"/>
  <c r="AK414" i="1"/>
  <c r="AM414" i="1"/>
  <c r="BF414" i="1"/>
  <c r="BG414" i="1"/>
  <c r="T415" i="1"/>
  <c r="U415" i="1"/>
  <c r="V415" i="1"/>
  <c r="W415" i="1"/>
  <c r="X415" i="1"/>
  <c r="Y415" i="1"/>
  <c r="Z415" i="1"/>
  <c r="AB415" i="1"/>
  <c r="AF415" i="1"/>
  <c r="AI415" i="1"/>
  <c r="AE416" i="1"/>
  <c r="AC416" i="1"/>
  <c r="AJ415" i="1"/>
  <c r="AK415" i="1"/>
  <c r="AM415" i="1"/>
  <c r="BF415" i="1"/>
  <c r="BG415" i="1"/>
  <c r="T416" i="1"/>
  <c r="U416" i="1"/>
  <c r="V416" i="1"/>
  <c r="W416" i="1"/>
  <c r="X416" i="1"/>
  <c r="Y416" i="1"/>
  <c r="Z416" i="1"/>
  <c r="AB416" i="1"/>
  <c r="AF416" i="1"/>
  <c r="AI416" i="1"/>
  <c r="H417" i="1"/>
  <c r="AE417" i="1"/>
  <c r="I417" i="1"/>
  <c r="J417" i="1"/>
  <c r="K417" i="1"/>
  <c r="AC417" i="1"/>
  <c r="AJ416" i="1"/>
  <c r="AK416" i="1"/>
  <c r="AM416" i="1"/>
  <c r="BG416" i="1"/>
  <c r="T417" i="1"/>
  <c r="U417" i="1"/>
  <c r="V417" i="1"/>
  <c r="W417" i="1"/>
  <c r="X417" i="1"/>
  <c r="Y417" i="1"/>
  <c r="Z417" i="1"/>
  <c r="AB417" i="1"/>
  <c r="AF417" i="1"/>
  <c r="AI417" i="1"/>
  <c r="AE418" i="1"/>
  <c r="AC418" i="1"/>
  <c r="AJ417" i="1"/>
  <c r="AK417" i="1"/>
  <c r="AM417" i="1"/>
  <c r="BF417" i="1"/>
  <c r="BG417" i="1"/>
  <c r="T418" i="1"/>
  <c r="U418" i="1"/>
  <c r="V418" i="1"/>
  <c r="W418" i="1"/>
  <c r="X418" i="1"/>
  <c r="Y418" i="1"/>
  <c r="Z418" i="1"/>
  <c r="AB418" i="1"/>
  <c r="AF418" i="1"/>
  <c r="AI418" i="1"/>
  <c r="AE419" i="1"/>
  <c r="AC419" i="1"/>
  <c r="AJ418" i="1"/>
  <c r="AK418" i="1"/>
  <c r="AM418" i="1"/>
  <c r="BF418" i="1"/>
  <c r="BG418" i="1"/>
  <c r="T419" i="1"/>
  <c r="U419" i="1"/>
  <c r="V419" i="1"/>
  <c r="W419" i="1"/>
  <c r="X419" i="1"/>
  <c r="Y419" i="1"/>
  <c r="Z419" i="1"/>
  <c r="AB419" i="1"/>
  <c r="AF419" i="1"/>
  <c r="AI419" i="1"/>
  <c r="AE420" i="1"/>
  <c r="AC420" i="1"/>
  <c r="AJ419" i="1"/>
  <c r="AK419" i="1"/>
  <c r="AM419" i="1"/>
  <c r="BF419" i="1"/>
  <c r="BG419" i="1"/>
  <c r="T420" i="1"/>
  <c r="U420" i="1"/>
  <c r="V420" i="1"/>
  <c r="W420" i="1"/>
  <c r="X420" i="1"/>
  <c r="Y420" i="1"/>
  <c r="Z420" i="1"/>
  <c r="AB420" i="1"/>
  <c r="AF420" i="1"/>
  <c r="AI420" i="1"/>
  <c r="H421" i="1"/>
  <c r="AE421" i="1"/>
  <c r="I421" i="1"/>
  <c r="J421" i="1"/>
  <c r="K421" i="1"/>
  <c r="AC421" i="1"/>
  <c r="AJ420" i="1"/>
  <c r="AK420" i="1"/>
  <c r="AM420" i="1"/>
  <c r="BG420" i="1"/>
  <c r="T421" i="1"/>
  <c r="U421" i="1"/>
  <c r="V421" i="1"/>
  <c r="W421" i="1"/>
  <c r="X421" i="1"/>
  <c r="Y421" i="1"/>
  <c r="Z421" i="1"/>
  <c r="AB421" i="1"/>
  <c r="AF421" i="1"/>
  <c r="AI421" i="1"/>
  <c r="AE422" i="1"/>
  <c r="AC422" i="1"/>
  <c r="AJ421" i="1"/>
  <c r="AK421" i="1"/>
  <c r="AM421" i="1"/>
  <c r="BF421" i="1"/>
  <c r="BG421" i="1"/>
  <c r="T422" i="1"/>
  <c r="U422" i="1"/>
  <c r="V422" i="1"/>
  <c r="W422" i="1"/>
  <c r="X422" i="1"/>
  <c r="Y422" i="1"/>
  <c r="Z422" i="1"/>
  <c r="AB422" i="1"/>
  <c r="AF422" i="1"/>
  <c r="AI422" i="1"/>
  <c r="AE423" i="1"/>
  <c r="AC423" i="1"/>
  <c r="AJ422" i="1"/>
  <c r="AK422" i="1"/>
  <c r="AM422" i="1"/>
  <c r="BF422" i="1"/>
  <c r="BG422" i="1"/>
  <c r="T423" i="1"/>
  <c r="U423" i="1"/>
  <c r="V423" i="1"/>
  <c r="W423" i="1"/>
  <c r="X423" i="1"/>
  <c r="Y423" i="1"/>
  <c r="Z423" i="1"/>
  <c r="AB423" i="1"/>
  <c r="AF423" i="1"/>
  <c r="AI423" i="1"/>
  <c r="H424" i="1"/>
  <c r="AE424" i="1"/>
  <c r="I424" i="1"/>
  <c r="J424" i="1"/>
  <c r="K424" i="1"/>
  <c r="AC424" i="1"/>
  <c r="AJ423" i="1"/>
  <c r="AK423" i="1"/>
  <c r="AM423" i="1"/>
  <c r="BG423" i="1"/>
  <c r="T424" i="1"/>
  <c r="U424" i="1"/>
  <c r="V424" i="1"/>
  <c r="W424" i="1"/>
  <c r="X424" i="1"/>
  <c r="Y424" i="1"/>
  <c r="Z424" i="1"/>
  <c r="AB424" i="1"/>
  <c r="AF424" i="1"/>
  <c r="AI424" i="1"/>
  <c r="AE425" i="1"/>
  <c r="AC425" i="1"/>
  <c r="AJ424" i="1"/>
  <c r="AK424" i="1"/>
  <c r="AM424" i="1"/>
  <c r="BF424" i="1"/>
  <c r="BG424" i="1"/>
  <c r="T425" i="1"/>
  <c r="U425" i="1"/>
  <c r="V425" i="1"/>
  <c r="W425" i="1"/>
  <c r="X425" i="1"/>
  <c r="Y425" i="1"/>
  <c r="Z425" i="1"/>
  <c r="AB425" i="1"/>
  <c r="AF425" i="1"/>
  <c r="AI425" i="1"/>
  <c r="AE426" i="1"/>
  <c r="AC426" i="1"/>
  <c r="AJ425" i="1"/>
  <c r="AK425" i="1"/>
  <c r="AM425" i="1"/>
  <c r="BF425" i="1"/>
  <c r="BG425" i="1"/>
  <c r="T426" i="1"/>
  <c r="U426" i="1"/>
  <c r="V426" i="1"/>
  <c r="W426" i="1"/>
  <c r="X426" i="1"/>
  <c r="Y426" i="1"/>
  <c r="Z426" i="1"/>
  <c r="AB426" i="1"/>
  <c r="AF426" i="1"/>
  <c r="AI426" i="1"/>
  <c r="H427" i="1"/>
  <c r="AE427" i="1"/>
  <c r="I427" i="1"/>
  <c r="J427" i="1"/>
  <c r="K427" i="1"/>
  <c r="AC427" i="1"/>
  <c r="AJ426" i="1"/>
  <c r="AK426" i="1"/>
  <c r="AM426" i="1"/>
  <c r="BG426" i="1"/>
  <c r="T427" i="1"/>
  <c r="U427" i="1"/>
  <c r="V427" i="1"/>
  <c r="W427" i="1"/>
  <c r="X427" i="1"/>
  <c r="Y427" i="1"/>
  <c r="Z427" i="1"/>
  <c r="AB427" i="1"/>
  <c r="AF427" i="1"/>
  <c r="AI427" i="1"/>
  <c r="AE428" i="1"/>
  <c r="AC428" i="1"/>
  <c r="AJ427" i="1"/>
  <c r="AK427" i="1"/>
  <c r="AM427" i="1"/>
  <c r="BF427" i="1"/>
  <c r="BG427" i="1"/>
  <c r="T428" i="1"/>
  <c r="U428" i="1"/>
  <c r="V428" i="1"/>
  <c r="W428" i="1"/>
  <c r="X428" i="1"/>
  <c r="Y428" i="1"/>
  <c r="Z428" i="1"/>
  <c r="AB428" i="1"/>
  <c r="AF428" i="1"/>
  <c r="AI428" i="1"/>
  <c r="AE429" i="1"/>
  <c r="AC429" i="1"/>
  <c r="AJ428" i="1"/>
  <c r="AK428" i="1"/>
  <c r="AM428" i="1"/>
  <c r="BF428" i="1"/>
  <c r="BG428" i="1"/>
  <c r="T429" i="1"/>
  <c r="U429" i="1"/>
  <c r="V429" i="1"/>
  <c r="W429" i="1"/>
  <c r="X429" i="1"/>
  <c r="Y429" i="1"/>
  <c r="Z429" i="1"/>
  <c r="AB429" i="1"/>
  <c r="AF429" i="1"/>
  <c r="AI429" i="1"/>
  <c r="AE430" i="1"/>
  <c r="AC430" i="1"/>
  <c r="AJ429" i="1"/>
  <c r="AK429" i="1"/>
  <c r="AM429" i="1"/>
  <c r="BF429" i="1"/>
  <c r="BG429" i="1"/>
  <c r="T430" i="1"/>
  <c r="U430" i="1"/>
  <c r="V430" i="1"/>
  <c r="W430" i="1"/>
  <c r="X430" i="1"/>
  <c r="Y430" i="1"/>
  <c r="Z430" i="1"/>
  <c r="AB430" i="1"/>
  <c r="AF430" i="1"/>
  <c r="AI430" i="1"/>
  <c r="H431" i="1"/>
  <c r="AE431" i="1"/>
  <c r="I431" i="1"/>
  <c r="J431" i="1"/>
  <c r="K431" i="1"/>
  <c r="AC431" i="1"/>
  <c r="AJ430" i="1"/>
  <c r="AK430" i="1"/>
  <c r="AM430" i="1"/>
  <c r="BG430" i="1"/>
  <c r="T431" i="1"/>
  <c r="U431" i="1"/>
  <c r="V431" i="1"/>
  <c r="W431" i="1"/>
  <c r="X431" i="1"/>
  <c r="Y431" i="1"/>
  <c r="Z431" i="1"/>
  <c r="AB431" i="1"/>
  <c r="AF431" i="1"/>
  <c r="AI431" i="1"/>
  <c r="AE432" i="1"/>
  <c r="AC432" i="1"/>
  <c r="AJ431" i="1"/>
  <c r="AK431" i="1"/>
  <c r="AM431" i="1"/>
  <c r="BF431" i="1"/>
  <c r="BG431" i="1"/>
  <c r="T432" i="1"/>
  <c r="U432" i="1"/>
  <c r="V432" i="1"/>
  <c r="W432" i="1"/>
  <c r="X432" i="1"/>
  <c r="Y432" i="1"/>
  <c r="Z432" i="1"/>
  <c r="AB432" i="1"/>
  <c r="AF432" i="1"/>
  <c r="AI432" i="1"/>
  <c r="AE433" i="1"/>
  <c r="AC433" i="1"/>
  <c r="AJ432" i="1"/>
  <c r="AK432" i="1"/>
  <c r="AM432" i="1"/>
  <c r="BF432" i="1"/>
  <c r="BG432" i="1"/>
  <c r="T433" i="1"/>
  <c r="U433" i="1"/>
  <c r="V433" i="1"/>
  <c r="W433" i="1"/>
  <c r="X433" i="1"/>
  <c r="Y433" i="1"/>
  <c r="Z433" i="1"/>
  <c r="AB433" i="1"/>
  <c r="AF433" i="1"/>
  <c r="AI433" i="1"/>
  <c r="H434" i="1"/>
  <c r="AE434" i="1"/>
  <c r="I434" i="1"/>
  <c r="J434" i="1"/>
  <c r="K434" i="1"/>
  <c r="AC434" i="1"/>
  <c r="AJ433" i="1"/>
  <c r="AK433" i="1"/>
  <c r="AM433" i="1"/>
  <c r="BG433" i="1"/>
  <c r="T434" i="1"/>
  <c r="U434" i="1"/>
  <c r="V434" i="1"/>
  <c r="W434" i="1"/>
  <c r="X434" i="1"/>
  <c r="Y434" i="1"/>
  <c r="Z434" i="1"/>
  <c r="AB434" i="1"/>
  <c r="AF434" i="1"/>
  <c r="AI434" i="1"/>
  <c r="H435" i="1"/>
  <c r="AE435" i="1"/>
  <c r="I435" i="1"/>
  <c r="J435" i="1"/>
  <c r="K435" i="1"/>
  <c r="AC435" i="1"/>
  <c r="AJ434" i="1"/>
  <c r="AK434" i="1"/>
  <c r="AM434" i="1"/>
  <c r="BF434" i="1"/>
  <c r="BG434" i="1"/>
  <c r="T435" i="1"/>
  <c r="U435" i="1"/>
  <c r="V435" i="1"/>
  <c r="W435" i="1"/>
  <c r="X435" i="1"/>
  <c r="Y435" i="1"/>
  <c r="Z435" i="1"/>
  <c r="AB435" i="1"/>
  <c r="AF435" i="1"/>
  <c r="AI435" i="1"/>
  <c r="H436" i="1"/>
  <c r="AE436" i="1"/>
  <c r="I436" i="1"/>
  <c r="J436" i="1"/>
  <c r="K436" i="1"/>
  <c r="AC436" i="1"/>
  <c r="AJ435" i="1"/>
  <c r="AK435" i="1"/>
  <c r="AM435" i="1"/>
  <c r="BF435" i="1"/>
  <c r="BG435" i="1"/>
  <c r="T436" i="1"/>
  <c r="U436" i="1"/>
  <c r="V436" i="1"/>
  <c r="W436" i="1"/>
  <c r="X436" i="1"/>
  <c r="Y436" i="1"/>
  <c r="Z436" i="1"/>
  <c r="AB436" i="1"/>
  <c r="AF436" i="1"/>
  <c r="AI436" i="1"/>
  <c r="AE437" i="1"/>
  <c r="AC437" i="1"/>
  <c r="AJ436" i="1"/>
  <c r="AK436" i="1"/>
  <c r="AM436" i="1"/>
  <c r="BF436" i="1"/>
  <c r="BG436" i="1"/>
  <c r="T437" i="1"/>
  <c r="U437" i="1"/>
  <c r="V437" i="1"/>
  <c r="W437" i="1"/>
  <c r="X437" i="1"/>
  <c r="Y437" i="1"/>
  <c r="Z437" i="1"/>
  <c r="AB437" i="1"/>
  <c r="AF437" i="1"/>
  <c r="AI437" i="1"/>
  <c r="AE438" i="1"/>
  <c r="AC438" i="1"/>
  <c r="AJ437" i="1"/>
  <c r="AK437" i="1"/>
  <c r="AM437" i="1"/>
  <c r="BF437" i="1"/>
  <c r="BG437" i="1"/>
  <c r="T438" i="1"/>
  <c r="U438" i="1"/>
  <c r="V438" i="1"/>
  <c r="W438" i="1"/>
  <c r="X438" i="1"/>
  <c r="Y438" i="1"/>
  <c r="Z438" i="1"/>
  <c r="AB438" i="1"/>
  <c r="AF438" i="1"/>
  <c r="AI438" i="1"/>
  <c r="H439" i="1"/>
  <c r="AE439" i="1"/>
  <c r="I439" i="1"/>
  <c r="J439" i="1"/>
  <c r="K439" i="1"/>
  <c r="AC439" i="1"/>
  <c r="AJ438" i="1"/>
  <c r="AK438" i="1"/>
  <c r="AM438" i="1"/>
  <c r="BG438" i="1"/>
  <c r="T439" i="1"/>
  <c r="U439" i="1"/>
  <c r="V439" i="1"/>
  <c r="W439" i="1"/>
  <c r="X439" i="1"/>
  <c r="Y439" i="1"/>
  <c r="Z439" i="1"/>
  <c r="AB439" i="1"/>
  <c r="AF439" i="1"/>
  <c r="AI439" i="1"/>
  <c r="AE440" i="1"/>
  <c r="AC440" i="1"/>
  <c r="AJ439" i="1"/>
  <c r="AK439" i="1"/>
  <c r="AM439" i="1"/>
  <c r="BF439" i="1"/>
  <c r="BG439" i="1"/>
  <c r="T440" i="1"/>
  <c r="U440" i="1"/>
  <c r="V440" i="1"/>
  <c r="W440" i="1"/>
  <c r="X440" i="1"/>
  <c r="Y440" i="1"/>
  <c r="Z440" i="1"/>
  <c r="AB440" i="1"/>
  <c r="AF440" i="1"/>
  <c r="AI440" i="1"/>
  <c r="AE441" i="1"/>
  <c r="AC441" i="1"/>
  <c r="AJ440" i="1"/>
  <c r="AK440" i="1"/>
  <c r="AM440" i="1"/>
  <c r="BF440" i="1"/>
  <c r="BG440" i="1"/>
  <c r="T441" i="1"/>
  <c r="U441" i="1"/>
  <c r="V441" i="1"/>
  <c r="W441" i="1"/>
  <c r="X441" i="1"/>
  <c r="Y441" i="1"/>
  <c r="Z441" i="1"/>
  <c r="AB441" i="1"/>
  <c r="AF441" i="1"/>
  <c r="AI441" i="1"/>
  <c r="H442" i="1"/>
  <c r="AE442" i="1"/>
  <c r="I442" i="1"/>
  <c r="J442" i="1"/>
  <c r="K442" i="1"/>
  <c r="AC442" i="1"/>
  <c r="AJ441" i="1"/>
  <c r="AK441" i="1"/>
  <c r="AM441" i="1"/>
  <c r="BG441" i="1"/>
  <c r="T442" i="1"/>
  <c r="U442" i="1"/>
  <c r="V442" i="1"/>
  <c r="W442" i="1"/>
  <c r="X442" i="1"/>
  <c r="Y442" i="1"/>
  <c r="Z442" i="1"/>
  <c r="AB442" i="1"/>
  <c r="AF442" i="1"/>
  <c r="AI442" i="1"/>
  <c r="H443" i="1"/>
  <c r="AE443" i="1"/>
  <c r="I443" i="1"/>
  <c r="J443" i="1"/>
  <c r="K443" i="1"/>
  <c r="AC443" i="1"/>
  <c r="AJ442" i="1"/>
  <c r="AK442" i="1"/>
  <c r="AM442" i="1"/>
  <c r="BF442" i="1"/>
  <c r="BG442" i="1"/>
  <c r="T443" i="1"/>
  <c r="U443" i="1"/>
  <c r="V443" i="1"/>
  <c r="W443" i="1"/>
  <c r="X443" i="1"/>
  <c r="Y443" i="1"/>
  <c r="Z443" i="1"/>
  <c r="AB443" i="1"/>
  <c r="AF443" i="1"/>
  <c r="AI443" i="1"/>
  <c r="H444" i="1"/>
  <c r="AE444" i="1"/>
  <c r="I444" i="1"/>
  <c r="J444" i="1"/>
  <c r="K444" i="1"/>
  <c r="AC444" i="1"/>
  <c r="AJ443" i="1"/>
  <c r="AK443" i="1"/>
  <c r="AM443" i="1"/>
  <c r="BF443" i="1"/>
  <c r="BG443" i="1"/>
  <c r="T444" i="1"/>
  <c r="U444" i="1"/>
  <c r="V444" i="1"/>
  <c r="W444" i="1"/>
  <c r="X444" i="1"/>
  <c r="Y444" i="1"/>
  <c r="Z444" i="1"/>
  <c r="AB444" i="1"/>
  <c r="AF444" i="1"/>
  <c r="AI444" i="1"/>
  <c r="H445" i="1"/>
  <c r="AE445" i="1"/>
  <c r="I445" i="1"/>
  <c r="J445" i="1"/>
  <c r="K445" i="1"/>
  <c r="AC445" i="1"/>
  <c r="AJ444" i="1"/>
  <c r="AK444" i="1"/>
  <c r="AM444" i="1"/>
  <c r="BF444" i="1"/>
  <c r="BG444" i="1"/>
  <c r="T445" i="1"/>
  <c r="U445" i="1"/>
  <c r="V445" i="1"/>
  <c r="W445" i="1"/>
  <c r="X445" i="1"/>
  <c r="Y445" i="1"/>
  <c r="Z445" i="1"/>
  <c r="AB445" i="1"/>
  <c r="AF445" i="1"/>
  <c r="AI445" i="1"/>
  <c r="H446" i="1"/>
  <c r="AE446" i="1"/>
  <c r="I446" i="1"/>
  <c r="J446" i="1"/>
  <c r="K446" i="1"/>
  <c r="AC446" i="1"/>
  <c r="AJ445" i="1"/>
  <c r="AK445" i="1"/>
  <c r="AM445" i="1"/>
  <c r="BF445" i="1"/>
  <c r="BG445" i="1"/>
  <c r="T446" i="1"/>
  <c r="U446" i="1"/>
  <c r="V446" i="1"/>
  <c r="W446" i="1"/>
  <c r="X446" i="1"/>
  <c r="Y446" i="1"/>
  <c r="Z446" i="1"/>
  <c r="AB446" i="1"/>
  <c r="AF446" i="1"/>
  <c r="AI446" i="1"/>
  <c r="AE447" i="1"/>
  <c r="AC447" i="1"/>
  <c r="AJ446" i="1"/>
  <c r="AK446" i="1"/>
  <c r="AM446" i="1"/>
  <c r="BF446" i="1"/>
  <c r="BG446" i="1"/>
  <c r="T447" i="1"/>
  <c r="U447" i="1"/>
  <c r="V447" i="1"/>
  <c r="W447" i="1"/>
  <c r="X447" i="1"/>
  <c r="Y447" i="1"/>
  <c r="Z447" i="1"/>
  <c r="AB447" i="1"/>
  <c r="AF447" i="1"/>
  <c r="AI447" i="1"/>
  <c r="AE448" i="1"/>
  <c r="AC448" i="1"/>
  <c r="AJ447" i="1"/>
  <c r="AK447" i="1"/>
  <c r="AM447" i="1"/>
  <c r="BF447" i="1"/>
  <c r="BG447" i="1"/>
  <c r="T448" i="1"/>
  <c r="U448" i="1"/>
  <c r="V448" i="1"/>
  <c r="W448" i="1"/>
  <c r="X448" i="1"/>
  <c r="Y448" i="1"/>
  <c r="Z448" i="1"/>
  <c r="AB448" i="1"/>
  <c r="AF448" i="1"/>
  <c r="AI448" i="1"/>
  <c r="AE449" i="1"/>
  <c r="AC449" i="1"/>
  <c r="AJ448" i="1"/>
  <c r="AK448" i="1"/>
  <c r="AM448" i="1"/>
  <c r="BF448" i="1"/>
  <c r="BG448" i="1"/>
  <c r="T449" i="1"/>
  <c r="U449" i="1"/>
  <c r="V449" i="1"/>
  <c r="W449" i="1"/>
  <c r="X449" i="1"/>
  <c r="Y449" i="1"/>
  <c r="Z449" i="1"/>
  <c r="AB449" i="1"/>
  <c r="AF449" i="1"/>
  <c r="AI449" i="1"/>
  <c r="AE450" i="1"/>
  <c r="AC450" i="1"/>
  <c r="AJ449" i="1"/>
  <c r="AK449" i="1"/>
  <c r="AM449" i="1"/>
  <c r="BF449" i="1"/>
  <c r="BG449" i="1"/>
  <c r="T450" i="1"/>
  <c r="U450" i="1"/>
  <c r="V450" i="1"/>
  <c r="W450" i="1"/>
  <c r="X450" i="1"/>
  <c r="Y450" i="1"/>
  <c r="Z450" i="1"/>
  <c r="AB450" i="1"/>
  <c r="AF450" i="1"/>
  <c r="AI450" i="1"/>
  <c r="H451" i="1"/>
  <c r="AE451" i="1"/>
  <c r="I451" i="1"/>
  <c r="J451" i="1"/>
  <c r="K451" i="1"/>
  <c r="AC451" i="1"/>
  <c r="AJ450" i="1"/>
  <c r="AK450" i="1"/>
  <c r="AM450" i="1"/>
  <c r="BG450" i="1"/>
  <c r="T451" i="1"/>
  <c r="U451" i="1"/>
  <c r="V451" i="1"/>
  <c r="W451" i="1"/>
  <c r="X451" i="1"/>
  <c r="Y451" i="1"/>
  <c r="Z451" i="1"/>
  <c r="AB451" i="1"/>
  <c r="AF451" i="1"/>
  <c r="AI451" i="1"/>
  <c r="AE452" i="1"/>
  <c r="AC452" i="1"/>
  <c r="AJ451" i="1"/>
  <c r="AK451" i="1"/>
  <c r="AM451" i="1"/>
  <c r="BF451" i="1"/>
  <c r="BG451" i="1"/>
  <c r="T452" i="1"/>
  <c r="U452" i="1"/>
  <c r="V452" i="1"/>
  <c r="W452" i="1"/>
  <c r="X452" i="1"/>
  <c r="Y452" i="1"/>
  <c r="Z452" i="1"/>
  <c r="AB452" i="1"/>
  <c r="AF452" i="1"/>
  <c r="AI452" i="1"/>
  <c r="AE453" i="1"/>
  <c r="AC453" i="1"/>
  <c r="AJ452" i="1"/>
  <c r="AK452" i="1"/>
  <c r="AM452" i="1"/>
  <c r="BF452" i="1"/>
  <c r="BG452" i="1"/>
  <c r="T453" i="1"/>
  <c r="U453" i="1"/>
  <c r="V453" i="1"/>
  <c r="W453" i="1"/>
  <c r="X453" i="1"/>
  <c r="Y453" i="1"/>
  <c r="Z453" i="1"/>
  <c r="AB453" i="1"/>
  <c r="AF453" i="1"/>
  <c r="AI453" i="1"/>
  <c r="H454" i="1"/>
  <c r="AE454" i="1"/>
  <c r="I454" i="1"/>
  <c r="J454" i="1"/>
  <c r="K454" i="1"/>
  <c r="AC454" i="1"/>
  <c r="AJ453" i="1"/>
  <c r="AK453" i="1"/>
  <c r="AM453" i="1"/>
  <c r="BG453" i="1"/>
  <c r="T454" i="1"/>
  <c r="U454" i="1"/>
  <c r="V454" i="1"/>
  <c r="W454" i="1"/>
  <c r="X454" i="1"/>
  <c r="Y454" i="1"/>
  <c r="Z454" i="1"/>
  <c r="AB454" i="1"/>
  <c r="AF454" i="1"/>
  <c r="AI454" i="1"/>
  <c r="AE455" i="1"/>
  <c r="AC455" i="1"/>
  <c r="AJ454" i="1"/>
  <c r="AK454" i="1"/>
  <c r="AM454" i="1"/>
  <c r="BF454" i="1"/>
  <c r="BG454" i="1"/>
  <c r="T455" i="1"/>
  <c r="U455" i="1"/>
  <c r="V455" i="1"/>
  <c r="W455" i="1"/>
  <c r="X455" i="1"/>
  <c r="Y455" i="1"/>
  <c r="Z455" i="1"/>
  <c r="AB455" i="1"/>
  <c r="AF455" i="1"/>
  <c r="AI455" i="1"/>
  <c r="AE456" i="1"/>
  <c r="AC456" i="1"/>
  <c r="AJ455" i="1"/>
  <c r="AK455" i="1"/>
  <c r="AM455" i="1"/>
  <c r="BF455" i="1"/>
  <c r="BG455" i="1"/>
  <c r="T456" i="1"/>
  <c r="U456" i="1"/>
  <c r="V456" i="1"/>
  <c r="W456" i="1"/>
  <c r="X456" i="1"/>
  <c r="Y456" i="1"/>
  <c r="Z456" i="1"/>
  <c r="AB456" i="1"/>
  <c r="AF456" i="1"/>
  <c r="AI456" i="1"/>
  <c r="H457" i="1"/>
  <c r="AE457" i="1"/>
  <c r="I457" i="1"/>
  <c r="J457" i="1"/>
  <c r="K457" i="1"/>
  <c r="AC457" i="1"/>
  <c r="AJ456" i="1"/>
  <c r="AK456" i="1"/>
  <c r="AM456" i="1"/>
  <c r="BG456" i="1"/>
  <c r="T457" i="1"/>
  <c r="U457" i="1"/>
  <c r="V457" i="1"/>
  <c r="W457" i="1"/>
  <c r="X457" i="1"/>
  <c r="Y457" i="1"/>
  <c r="Z457" i="1"/>
  <c r="AB457" i="1"/>
  <c r="AF457" i="1"/>
  <c r="AI457" i="1"/>
  <c r="AE458" i="1"/>
  <c r="AC458" i="1"/>
  <c r="AJ457" i="1"/>
  <c r="AK457" i="1"/>
  <c r="AM457" i="1"/>
  <c r="BF457" i="1"/>
  <c r="BG457" i="1"/>
  <c r="T458" i="1"/>
  <c r="U458" i="1"/>
  <c r="V458" i="1"/>
  <c r="W458" i="1"/>
  <c r="X458" i="1"/>
  <c r="Y458" i="1"/>
  <c r="Z458" i="1"/>
  <c r="AB458" i="1"/>
  <c r="AF458" i="1"/>
  <c r="AI458" i="1"/>
  <c r="AE459" i="1"/>
  <c r="AC459" i="1"/>
  <c r="AJ458" i="1"/>
  <c r="AK458" i="1"/>
  <c r="AM458" i="1"/>
  <c r="BF458" i="1"/>
  <c r="BG458" i="1"/>
  <c r="T459" i="1"/>
  <c r="U459" i="1"/>
  <c r="V459" i="1"/>
  <c r="W459" i="1"/>
  <c r="X459" i="1"/>
  <c r="Y459" i="1"/>
  <c r="Z459" i="1"/>
  <c r="AB459" i="1"/>
  <c r="AF459" i="1"/>
  <c r="AI459" i="1"/>
  <c r="AE460" i="1"/>
  <c r="AC460" i="1"/>
  <c r="AJ459" i="1"/>
  <c r="AK459" i="1"/>
  <c r="AM459" i="1"/>
  <c r="BF459" i="1"/>
  <c r="BG459" i="1"/>
  <c r="T460" i="1"/>
  <c r="U460" i="1"/>
  <c r="V460" i="1"/>
  <c r="W460" i="1"/>
  <c r="X460" i="1"/>
  <c r="Y460" i="1"/>
  <c r="Z460" i="1"/>
  <c r="AB460" i="1"/>
  <c r="AF460" i="1"/>
  <c r="AI460" i="1"/>
  <c r="H461" i="1"/>
  <c r="AE461" i="1"/>
  <c r="I461" i="1"/>
  <c r="J461" i="1"/>
  <c r="K461" i="1"/>
  <c r="AC461" i="1"/>
  <c r="AJ460" i="1"/>
  <c r="AK460" i="1"/>
  <c r="AM460" i="1"/>
  <c r="BG460" i="1"/>
  <c r="T461" i="1"/>
  <c r="U461" i="1"/>
  <c r="V461" i="1"/>
  <c r="W461" i="1"/>
  <c r="X461" i="1"/>
  <c r="Y461" i="1"/>
  <c r="Z461" i="1"/>
  <c r="AB461" i="1"/>
  <c r="AF461" i="1"/>
  <c r="AI461" i="1"/>
  <c r="H462" i="1"/>
  <c r="AE462" i="1"/>
  <c r="I462" i="1"/>
  <c r="J462" i="1"/>
  <c r="K462" i="1"/>
  <c r="AC462" i="1"/>
  <c r="AJ461" i="1"/>
  <c r="AK461" i="1"/>
  <c r="AM461" i="1"/>
  <c r="BF461" i="1"/>
  <c r="BG461" i="1"/>
  <c r="T462" i="1"/>
  <c r="U462" i="1"/>
  <c r="V462" i="1"/>
  <c r="W462" i="1"/>
  <c r="X462" i="1"/>
  <c r="Y462" i="1"/>
  <c r="Z462" i="1"/>
  <c r="AB462" i="1"/>
  <c r="AF462" i="1"/>
  <c r="AI462" i="1"/>
  <c r="AE463" i="1"/>
  <c r="AC463" i="1"/>
  <c r="AJ462" i="1"/>
  <c r="AK462" i="1"/>
  <c r="AM462" i="1"/>
  <c r="BF462" i="1"/>
  <c r="BG462" i="1"/>
  <c r="T463" i="1"/>
  <c r="U463" i="1"/>
  <c r="V463" i="1"/>
  <c r="W463" i="1"/>
  <c r="X463" i="1"/>
  <c r="Y463" i="1"/>
  <c r="Z463" i="1"/>
  <c r="AB463" i="1"/>
  <c r="AF463" i="1"/>
  <c r="AI463" i="1"/>
  <c r="AE464" i="1"/>
  <c r="AC464" i="1"/>
  <c r="AJ463" i="1"/>
  <c r="AK463" i="1"/>
  <c r="AM463" i="1"/>
  <c r="BF463" i="1"/>
  <c r="BG463" i="1"/>
  <c r="T464" i="1"/>
  <c r="U464" i="1"/>
  <c r="V464" i="1"/>
  <c r="W464" i="1"/>
  <c r="X464" i="1"/>
  <c r="Y464" i="1"/>
  <c r="Z464" i="1"/>
  <c r="AB464" i="1"/>
  <c r="AF464" i="1"/>
  <c r="AI464" i="1"/>
  <c r="H465" i="1"/>
  <c r="AE465" i="1"/>
  <c r="I465" i="1"/>
  <c r="J465" i="1"/>
  <c r="K465" i="1"/>
  <c r="AC465" i="1"/>
  <c r="AJ464" i="1"/>
  <c r="AK464" i="1"/>
  <c r="AM464" i="1"/>
  <c r="BG464" i="1"/>
  <c r="T465" i="1"/>
  <c r="U465" i="1"/>
  <c r="V465" i="1"/>
  <c r="W465" i="1"/>
  <c r="X465" i="1"/>
  <c r="Y465" i="1"/>
  <c r="Z465" i="1"/>
  <c r="AB465" i="1"/>
  <c r="AF465" i="1"/>
  <c r="AI465" i="1"/>
  <c r="H466" i="1"/>
  <c r="AE466" i="1"/>
  <c r="I466" i="1"/>
  <c r="J466" i="1"/>
  <c r="K466" i="1"/>
  <c r="AC466" i="1"/>
  <c r="AJ465" i="1"/>
  <c r="AK465" i="1"/>
  <c r="AM465" i="1"/>
  <c r="BF465" i="1"/>
  <c r="BG465" i="1"/>
  <c r="T466" i="1"/>
  <c r="U466" i="1"/>
  <c r="V466" i="1"/>
  <c r="W466" i="1"/>
  <c r="X466" i="1"/>
  <c r="Y466" i="1"/>
  <c r="Z466" i="1"/>
  <c r="AB466" i="1"/>
  <c r="AF466" i="1"/>
  <c r="AI466" i="1"/>
  <c r="AE467" i="1"/>
  <c r="AC467" i="1"/>
  <c r="AJ466" i="1"/>
  <c r="AK466" i="1"/>
  <c r="AM466" i="1"/>
  <c r="BF466" i="1"/>
  <c r="BG466" i="1"/>
  <c r="T467" i="1"/>
  <c r="U467" i="1"/>
  <c r="V467" i="1"/>
  <c r="W467" i="1"/>
  <c r="X467" i="1"/>
  <c r="Y467" i="1"/>
  <c r="Z467" i="1"/>
  <c r="AB467" i="1"/>
  <c r="AF467" i="1"/>
  <c r="AI467" i="1"/>
  <c r="AE468" i="1"/>
  <c r="AC468" i="1"/>
  <c r="AJ467" i="1"/>
  <c r="AK467" i="1"/>
  <c r="AM467" i="1"/>
  <c r="BF467" i="1"/>
  <c r="BG467" i="1"/>
  <c r="T468" i="1"/>
  <c r="U468" i="1"/>
  <c r="V468" i="1"/>
  <c r="W468" i="1"/>
  <c r="X468" i="1"/>
  <c r="Y468" i="1"/>
  <c r="Z468" i="1"/>
  <c r="AB468" i="1"/>
  <c r="AF468" i="1"/>
  <c r="AI468" i="1"/>
  <c r="AE469" i="1"/>
  <c r="AC469" i="1"/>
  <c r="AJ468" i="1"/>
  <c r="AK468" i="1"/>
  <c r="AM468" i="1"/>
  <c r="BF468" i="1"/>
  <c r="BG468" i="1"/>
  <c r="T469" i="1"/>
  <c r="U469" i="1"/>
  <c r="V469" i="1"/>
  <c r="W469" i="1"/>
  <c r="X469" i="1"/>
  <c r="Y469" i="1"/>
  <c r="Z469" i="1"/>
  <c r="AB469" i="1"/>
  <c r="AF469" i="1"/>
  <c r="AI469" i="1"/>
  <c r="H470" i="1"/>
  <c r="AE470" i="1"/>
  <c r="I470" i="1"/>
  <c r="J470" i="1"/>
  <c r="K470" i="1"/>
  <c r="AC470" i="1"/>
  <c r="AJ469" i="1"/>
  <c r="AK469" i="1"/>
  <c r="AM469" i="1"/>
  <c r="BG469" i="1"/>
  <c r="T470" i="1"/>
  <c r="U470" i="1"/>
  <c r="V470" i="1"/>
  <c r="W470" i="1"/>
  <c r="X470" i="1"/>
  <c r="Y470" i="1"/>
  <c r="Z470" i="1"/>
  <c r="AB470" i="1"/>
  <c r="AF470" i="1"/>
  <c r="AI470" i="1"/>
  <c r="H471" i="1"/>
  <c r="AE471" i="1"/>
  <c r="I471" i="1"/>
  <c r="J471" i="1"/>
  <c r="K471" i="1"/>
  <c r="AC471" i="1"/>
  <c r="AJ470" i="1"/>
  <c r="AK470" i="1"/>
  <c r="AM470" i="1"/>
  <c r="BF470" i="1"/>
  <c r="BG470" i="1"/>
  <c r="T471" i="1"/>
  <c r="U471" i="1"/>
  <c r="V471" i="1"/>
  <c r="W471" i="1"/>
  <c r="X471" i="1"/>
  <c r="Y471" i="1"/>
  <c r="Z471" i="1"/>
  <c r="AB471" i="1"/>
  <c r="AF471" i="1"/>
  <c r="AI471" i="1"/>
  <c r="AE472" i="1"/>
  <c r="AC472" i="1"/>
  <c r="AJ471" i="1"/>
  <c r="AK471" i="1"/>
  <c r="AM471" i="1"/>
  <c r="BF471" i="1"/>
  <c r="BG471" i="1"/>
  <c r="T472" i="1"/>
  <c r="U472" i="1"/>
  <c r="V472" i="1"/>
  <c r="W472" i="1"/>
  <c r="X472" i="1"/>
  <c r="Y472" i="1"/>
  <c r="Z472" i="1"/>
  <c r="AB472" i="1"/>
  <c r="AF472" i="1"/>
  <c r="AI472" i="1"/>
  <c r="AE473" i="1"/>
  <c r="AC473" i="1"/>
  <c r="AJ472" i="1"/>
  <c r="AK472" i="1"/>
  <c r="AM472" i="1"/>
  <c r="BF472" i="1"/>
  <c r="BG472" i="1"/>
  <c r="T473" i="1"/>
  <c r="U473" i="1"/>
  <c r="V473" i="1"/>
  <c r="W473" i="1"/>
  <c r="X473" i="1"/>
  <c r="Y473" i="1"/>
  <c r="Z473" i="1"/>
  <c r="AB473" i="1"/>
  <c r="AF473" i="1"/>
  <c r="AI473" i="1"/>
  <c r="H474" i="1"/>
  <c r="AE474" i="1"/>
  <c r="I474" i="1"/>
  <c r="J474" i="1"/>
  <c r="K474" i="1"/>
  <c r="AC474" i="1"/>
  <c r="AJ473" i="1"/>
  <c r="AK473" i="1"/>
  <c r="AM473" i="1"/>
  <c r="BG473" i="1"/>
  <c r="T474" i="1"/>
  <c r="U474" i="1"/>
  <c r="V474" i="1"/>
  <c r="W474" i="1"/>
  <c r="X474" i="1"/>
  <c r="Y474" i="1"/>
  <c r="Z474" i="1"/>
  <c r="AB474" i="1"/>
  <c r="AF474" i="1"/>
  <c r="AI474" i="1"/>
  <c r="H475" i="1"/>
  <c r="AE475" i="1"/>
  <c r="I475" i="1"/>
  <c r="J475" i="1"/>
  <c r="K475" i="1"/>
  <c r="AC475" i="1"/>
  <c r="AJ474" i="1"/>
  <c r="AK474" i="1"/>
  <c r="AM474" i="1"/>
  <c r="BF474" i="1"/>
  <c r="BG474" i="1"/>
  <c r="T475" i="1"/>
  <c r="U475" i="1"/>
  <c r="V475" i="1"/>
  <c r="W475" i="1"/>
  <c r="X475" i="1"/>
  <c r="Y475" i="1"/>
  <c r="Z475" i="1"/>
  <c r="AB475" i="1"/>
  <c r="AF475" i="1"/>
  <c r="AI475" i="1"/>
  <c r="H476" i="1"/>
  <c r="AE476" i="1"/>
  <c r="I476" i="1"/>
  <c r="J476" i="1"/>
  <c r="K476" i="1"/>
  <c r="AC476" i="1"/>
  <c r="AJ475" i="1"/>
  <c r="AK475" i="1"/>
  <c r="AM475" i="1"/>
  <c r="BF475" i="1"/>
  <c r="BG475" i="1"/>
  <c r="T476" i="1"/>
  <c r="U476" i="1"/>
  <c r="V476" i="1"/>
  <c r="W476" i="1"/>
  <c r="X476" i="1"/>
  <c r="Y476" i="1"/>
  <c r="Z476" i="1"/>
  <c r="AB476" i="1"/>
  <c r="AF476" i="1"/>
  <c r="AI476" i="1"/>
  <c r="H477" i="1"/>
  <c r="AE477" i="1"/>
  <c r="I477" i="1"/>
  <c r="J477" i="1"/>
  <c r="K477" i="1"/>
  <c r="AC477" i="1"/>
  <c r="AJ476" i="1"/>
  <c r="AK476" i="1"/>
  <c r="AM476" i="1"/>
  <c r="BF476" i="1"/>
  <c r="BG476" i="1"/>
  <c r="T477" i="1"/>
  <c r="U477" i="1"/>
  <c r="V477" i="1"/>
  <c r="W477" i="1"/>
  <c r="X477" i="1"/>
  <c r="Y477" i="1"/>
  <c r="Z477" i="1"/>
  <c r="AB477" i="1"/>
  <c r="AF477" i="1"/>
  <c r="AI477" i="1"/>
  <c r="AE478" i="1"/>
  <c r="AC478" i="1"/>
  <c r="AJ477" i="1"/>
  <c r="AK477" i="1"/>
  <c r="AM477" i="1"/>
  <c r="BF477" i="1"/>
  <c r="BG477" i="1"/>
  <c r="T478" i="1"/>
  <c r="U478" i="1"/>
  <c r="V478" i="1"/>
  <c r="W478" i="1"/>
  <c r="X478" i="1"/>
  <c r="Y478" i="1"/>
  <c r="Z478" i="1"/>
  <c r="AB478" i="1"/>
  <c r="AF478" i="1"/>
  <c r="AI478" i="1"/>
  <c r="AE479" i="1"/>
  <c r="AC479" i="1"/>
  <c r="AJ478" i="1"/>
  <c r="AK478" i="1"/>
  <c r="AM478" i="1"/>
  <c r="BF478" i="1"/>
  <c r="BG478" i="1"/>
  <c r="T479" i="1"/>
  <c r="U479" i="1"/>
  <c r="V479" i="1"/>
  <c r="W479" i="1"/>
  <c r="X479" i="1"/>
  <c r="Y479" i="1"/>
  <c r="Z479" i="1"/>
  <c r="AB479" i="1"/>
  <c r="AF479" i="1"/>
  <c r="AI479" i="1"/>
  <c r="AE480" i="1"/>
  <c r="AC480" i="1"/>
  <c r="AJ479" i="1"/>
  <c r="AK479" i="1"/>
  <c r="AM479" i="1"/>
  <c r="BF479" i="1"/>
  <c r="BG479" i="1"/>
  <c r="T480" i="1"/>
  <c r="U480" i="1"/>
  <c r="V480" i="1"/>
  <c r="W480" i="1"/>
  <c r="X480" i="1"/>
  <c r="Y480" i="1"/>
  <c r="Z480" i="1"/>
  <c r="AB480" i="1"/>
  <c r="AF480" i="1"/>
  <c r="AI480" i="1"/>
  <c r="H481" i="1"/>
  <c r="AE481" i="1"/>
  <c r="I481" i="1"/>
  <c r="J481" i="1"/>
  <c r="K481" i="1"/>
  <c r="AC481" i="1"/>
  <c r="AJ480" i="1"/>
  <c r="AK480" i="1"/>
  <c r="AM480" i="1"/>
  <c r="BG480" i="1"/>
  <c r="T481" i="1"/>
  <c r="U481" i="1"/>
  <c r="V481" i="1"/>
  <c r="W481" i="1"/>
  <c r="X481" i="1"/>
  <c r="Y481" i="1"/>
  <c r="Z481" i="1"/>
  <c r="AB481" i="1"/>
  <c r="AF481" i="1"/>
  <c r="AI481" i="1"/>
  <c r="H482" i="1"/>
  <c r="AE482" i="1"/>
  <c r="I482" i="1"/>
  <c r="J482" i="1"/>
  <c r="K482" i="1"/>
  <c r="AC482" i="1"/>
  <c r="AJ481" i="1"/>
  <c r="AK481" i="1"/>
  <c r="AM481" i="1"/>
  <c r="BF481" i="1"/>
  <c r="BG481" i="1"/>
  <c r="T482" i="1"/>
  <c r="U482" i="1"/>
  <c r="V482" i="1"/>
  <c r="W482" i="1"/>
  <c r="X482" i="1"/>
  <c r="Y482" i="1"/>
  <c r="Z482" i="1"/>
  <c r="AB482" i="1"/>
  <c r="AF482" i="1"/>
  <c r="AI482" i="1"/>
  <c r="AE483" i="1"/>
  <c r="AC483" i="1"/>
  <c r="AJ482" i="1"/>
  <c r="AK482" i="1"/>
  <c r="AM482" i="1"/>
  <c r="BF482" i="1"/>
  <c r="BG482" i="1"/>
  <c r="T483" i="1"/>
  <c r="U483" i="1"/>
  <c r="V483" i="1"/>
  <c r="W483" i="1"/>
  <c r="X483" i="1"/>
  <c r="Y483" i="1"/>
  <c r="Z483" i="1"/>
  <c r="AB483" i="1"/>
  <c r="AF483" i="1"/>
  <c r="AI483" i="1"/>
  <c r="AE484" i="1"/>
  <c r="AC484" i="1"/>
  <c r="AJ483" i="1"/>
  <c r="AK483" i="1"/>
  <c r="AM483" i="1"/>
  <c r="BF483" i="1"/>
  <c r="BG483" i="1"/>
  <c r="T484" i="1"/>
  <c r="U484" i="1"/>
  <c r="V484" i="1"/>
  <c r="W484" i="1"/>
  <c r="X484" i="1"/>
  <c r="Y484" i="1"/>
  <c r="Z484" i="1"/>
  <c r="AB484" i="1"/>
  <c r="AF484" i="1"/>
  <c r="AI484" i="1"/>
  <c r="AE485" i="1"/>
  <c r="AC485" i="1"/>
  <c r="AJ484" i="1"/>
  <c r="AK484" i="1"/>
  <c r="AM484" i="1"/>
  <c r="BF484" i="1"/>
  <c r="BG484" i="1"/>
  <c r="T485" i="1"/>
  <c r="U485" i="1"/>
  <c r="V485" i="1"/>
  <c r="W485" i="1"/>
  <c r="X485" i="1"/>
  <c r="Y485" i="1"/>
  <c r="Z485" i="1"/>
  <c r="AB485" i="1"/>
  <c r="AF485" i="1"/>
  <c r="AI485" i="1"/>
  <c r="H486" i="1"/>
  <c r="AE486" i="1"/>
  <c r="I486" i="1"/>
  <c r="J486" i="1"/>
  <c r="K486" i="1"/>
  <c r="AC486" i="1"/>
  <c r="AJ485" i="1"/>
  <c r="AK485" i="1"/>
  <c r="AM485" i="1"/>
  <c r="BG485" i="1"/>
  <c r="T486" i="1"/>
  <c r="U486" i="1"/>
  <c r="V486" i="1"/>
  <c r="W486" i="1"/>
  <c r="X486" i="1"/>
  <c r="Y486" i="1"/>
  <c r="Z486" i="1"/>
  <c r="AB486" i="1"/>
  <c r="AF486" i="1"/>
  <c r="AI486" i="1"/>
  <c r="AE487" i="1"/>
  <c r="AC487" i="1"/>
  <c r="AJ486" i="1"/>
  <c r="AK486" i="1"/>
  <c r="AM486" i="1"/>
  <c r="BF486" i="1"/>
  <c r="BG486" i="1"/>
  <c r="T487" i="1"/>
  <c r="U487" i="1"/>
  <c r="V487" i="1"/>
  <c r="W487" i="1"/>
  <c r="X487" i="1"/>
  <c r="Y487" i="1"/>
  <c r="Z487" i="1"/>
  <c r="AB487" i="1"/>
  <c r="AF487" i="1"/>
  <c r="AI487" i="1"/>
  <c r="AE488" i="1"/>
  <c r="AC488" i="1"/>
  <c r="AJ487" i="1"/>
  <c r="AK487" i="1"/>
  <c r="AM487" i="1"/>
  <c r="BF487" i="1"/>
  <c r="BG487" i="1"/>
  <c r="T488" i="1"/>
  <c r="U488" i="1"/>
  <c r="V488" i="1"/>
  <c r="W488" i="1"/>
  <c r="X488" i="1"/>
  <c r="Y488" i="1"/>
  <c r="Z488" i="1"/>
  <c r="AB488" i="1"/>
  <c r="AF488" i="1"/>
  <c r="AI488" i="1"/>
  <c r="H489" i="1"/>
  <c r="AE489" i="1"/>
  <c r="I489" i="1"/>
  <c r="J489" i="1"/>
  <c r="K489" i="1"/>
  <c r="AC489" i="1"/>
  <c r="AJ488" i="1"/>
  <c r="AK488" i="1"/>
  <c r="AM488" i="1"/>
  <c r="BG488" i="1"/>
  <c r="T489" i="1"/>
  <c r="U489" i="1"/>
  <c r="V489" i="1"/>
  <c r="W489" i="1"/>
  <c r="X489" i="1"/>
  <c r="Y489" i="1"/>
  <c r="Z489" i="1"/>
  <c r="AB489" i="1"/>
  <c r="AF489" i="1"/>
  <c r="AI489" i="1"/>
  <c r="H490" i="1"/>
  <c r="AE490" i="1"/>
  <c r="I490" i="1"/>
  <c r="J490" i="1"/>
  <c r="K490" i="1"/>
  <c r="AC490" i="1"/>
  <c r="AJ489" i="1"/>
  <c r="AK489" i="1"/>
  <c r="AM489" i="1"/>
  <c r="BF489" i="1"/>
  <c r="BG489" i="1"/>
  <c r="T490" i="1"/>
  <c r="U490" i="1"/>
  <c r="V490" i="1"/>
  <c r="W490" i="1"/>
  <c r="X490" i="1"/>
  <c r="Y490" i="1"/>
  <c r="Z490" i="1"/>
  <c r="AB490" i="1"/>
  <c r="AF490" i="1"/>
  <c r="AI490" i="1"/>
  <c r="AE491" i="1"/>
  <c r="AC491" i="1"/>
  <c r="AJ490" i="1"/>
  <c r="AK490" i="1"/>
  <c r="AM490" i="1"/>
  <c r="BF490" i="1"/>
  <c r="BG490" i="1"/>
  <c r="T491" i="1"/>
  <c r="U491" i="1"/>
  <c r="V491" i="1"/>
  <c r="W491" i="1"/>
  <c r="X491" i="1"/>
  <c r="Y491" i="1"/>
  <c r="Z491" i="1"/>
  <c r="AB491" i="1"/>
  <c r="AF491" i="1"/>
  <c r="AI491" i="1"/>
  <c r="AE492" i="1"/>
  <c r="AC492" i="1"/>
  <c r="AJ491" i="1"/>
  <c r="AK491" i="1"/>
  <c r="AM491" i="1"/>
  <c r="BF491" i="1"/>
  <c r="BG491" i="1"/>
  <c r="T492" i="1"/>
  <c r="U492" i="1"/>
  <c r="V492" i="1"/>
  <c r="W492" i="1"/>
  <c r="X492" i="1"/>
  <c r="Y492" i="1"/>
  <c r="Z492" i="1"/>
  <c r="AB492" i="1"/>
  <c r="AF492" i="1"/>
  <c r="AI492" i="1"/>
  <c r="H493" i="1"/>
  <c r="AE493" i="1"/>
  <c r="I493" i="1"/>
  <c r="J493" i="1"/>
  <c r="K493" i="1"/>
  <c r="AC493" i="1"/>
  <c r="AJ492" i="1"/>
  <c r="AK492" i="1"/>
  <c r="AM492" i="1"/>
  <c r="BG492" i="1"/>
  <c r="T493" i="1"/>
  <c r="U493" i="1"/>
  <c r="V493" i="1"/>
  <c r="W493" i="1"/>
  <c r="X493" i="1"/>
  <c r="Y493" i="1"/>
  <c r="Z493" i="1"/>
  <c r="AB493" i="1"/>
  <c r="AF493" i="1"/>
  <c r="AI493" i="1"/>
  <c r="AE494" i="1"/>
  <c r="AC494" i="1"/>
  <c r="AJ493" i="1"/>
  <c r="AK493" i="1"/>
  <c r="AM493" i="1"/>
  <c r="BF493" i="1"/>
  <c r="BG493" i="1"/>
  <c r="T494" i="1"/>
  <c r="U494" i="1"/>
  <c r="V494" i="1"/>
  <c r="W494" i="1"/>
  <c r="X494" i="1"/>
  <c r="Y494" i="1"/>
  <c r="Z494" i="1"/>
  <c r="AB494" i="1"/>
  <c r="AF494" i="1"/>
  <c r="AI494" i="1"/>
  <c r="AE495" i="1"/>
  <c r="AC495" i="1"/>
  <c r="AJ494" i="1"/>
  <c r="AK494" i="1"/>
  <c r="AM494" i="1"/>
  <c r="BF494" i="1"/>
  <c r="BG494" i="1"/>
  <c r="T495" i="1"/>
  <c r="U495" i="1"/>
  <c r="V495" i="1"/>
  <c r="W495" i="1"/>
  <c r="X495" i="1"/>
  <c r="Y495" i="1"/>
  <c r="Z495" i="1"/>
  <c r="AB495" i="1"/>
  <c r="AF495" i="1"/>
  <c r="AI495" i="1"/>
  <c r="H496" i="1"/>
  <c r="AE496" i="1"/>
  <c r="I496" i="1"/>
  <c r="J496" i="1"/>
  <c r="K496" i="1"/>
  <c r="AC496" i="1"/>
  <c r="AJ495" i="1"/>
  <c r="AK495" i="1"/>
  <c r="AM495" i="1"/>
  <c r="BG495" i="1"/>
  <c r="T496" i="1"/>
  <c r="U496" i="1"/>
  <c r="V496" i="1"/>
  <c r="W496" i="1"/>
  <c r="X496" i="1"/>
  <c r="Y496" i="1"/>
  <c r="Z496" i="1"/>
  <c r="AB496" i="1"/>
  <c r="AF496" i="1"/>
  <c r="AI496" i="1"/>
  <c r="AE497" i="1"/>
  <c r="AC497" i="1"/>
  <c r="AJ496" i="1"/>
  <c r="AK496" i="1"/>
  <c r="AM496" i="1"/>
  <c r="BF496" i="1"/>
  <c r="BG496" i="1"/>
  <c r="T497" i="1"/>
  <c r="U497" i="1"/>
  <c r="V497" i="1"/>
  <c r="W497" i="1"/>
  <c r="X497" i="1"/>
  <c r="Y497" i="1"/>
  <c r="Z497" i="1"/>
  <c r="AB497" i="1"/>
  <c r="AF497" i="1"/>
  <c r="AI497" i="1"/>
  <c r="AE498" i="1"/>
  <c r="AC498" i="1"/>
  <c r="AJ497" i="1"/>
  <c r="AK497" i="1"/>
  <c r="AM497" i="1"/>
  <c r="BF497" i="1"/>
  <c r="BG497" i="1"/>
  <c r="T498" i="1"/>
  <c r="U498" i="1"/>
  <c r="V498" i="1"/>
  <c r="W498" i="1"/>
  <c r="X498" i="1"/>
  <c r="Y498" i="1"/>
  <c r="Z498" i="1"/>
  <c r="AB498" i="1"/>
  <c r="AF498" i="1"/>
  <c r="AI498" i="1"/>
  <c r="H499" i="1"/>
  <c r="AE499" i="1"/>
  <c r="I499" i="1"/>
  <c r="J499" i="1"/>
  <c r="K499" i="1"/>
  <c r="AC499" i="1"/>
  <c r="AJ498" i="1"/>
  <c r="AK498" i="1"/>
  <c r="AM498" i="1"/>
  <c r="BG498" i="1"/>
  <c r="T499" i="1"/>
  <c r="U499" i="1"/>
  <c r="V499" i="1"/>
  <c r="W499" i="1"/>
  <c r="X499" i="1"/>
  <c r="Y499" i="1"/>
  <c r="Z499" i="1"/>
  <c r="AB499" i="1"/>
  <c r="AF499" i="1"/>
  <c r="AI499" i="1"/>
  <c r="H500" i="1"/>
  <c r="AE500" i="1"/>
  <c r="I500" i="1"/>
  <c r="J500" i="1"/>
  <c r="K500" i="1"/>
  <c r="AC500" i="1"/>
  <c r="AJ499" i="1"/>
  <c r="AK499" i="1"/>
  <c r="AM499" i="1"/>
  <c r="BF499" i="1"/>
  <c r="BG499" i="1"/>
  <c r="T500" i="1"/>
  <c r="U500" i="1"/>
  <c r="V500" i="1"/>
  <c r="W500" i="1"/>
  <c r="X500" i="1"/>
  <c r="Y500" i="1"/>
  <c r="Z500" i="1"/>
  <c r="AB500" i="1"/>
  <c r="AF500" i="1"/>
  <c r="AI500" i="1"/>
  <c r="H501" i="1"/>
  <c r="AE501" i="1"/>
  <c r="I501" i="1"/>
  <c r="J501" i="1"/>
  <c r="K501" i="1"/>
  <c r="AC501" i="1"/>
  <c r="AJ500" i="1"/>
  <c r="AK500" i="1"/>
  <c r="AM500" i="1"/>
  <c r="BF500" i="1"/>
  <c r="BG500" i="1"/>
  <c r="T501" i="1"/>
  <c r="U501" i="1"/>
  <c r="V501" i="1"/>
  <c r="W501" i="1"/>
  <c r="X501" i="1"/>
  <c r="Y501" i="1"/>
  <c r="Z501" i="1"/>
  <c r="AB501" i="1"/>
  <c r="AF501" i="1"/>
  <c r="AI501" i="1"/>
  <c r="AE502" i="1"/>
  <c r="AC502" i="1"/>
  <c r="AJ501" i="1"/>
  <c r="AK501" i="1"/>
  <c r="AM501" i="1"/>
  <c r="BF501" i="1"/>
  <c r="BG501" i="1"/>
  <c r="T502" i="1"/>
  <c r="U502" i="1"/>
  <c r="V502" i="1"/>
  <c r="W502" i="1"/>
  <c r="X502" i="1"/>
  <c r="Y502" i="1"/>
  <c r="Z502" i="1"/>
  <c r="AB502" i="1"/>
  <c r="AF502" i="1"/>
  <c r="AI502" i="1"/>
  <c r="AE503" i="1"/>
  <c r="AC503" i="1"/>
  <c r="AJ502" i="1"/>
  <c r="AK502" i="1"/>
  <c r="AM502" i="1"/>
  <c r="BF502" i="1"/>
  <c r="BG502" i="1"/>
  <c r="T503" i="1"/>
  <c r="U503" i="1"/>
  <c r="V503" i="1"/>
  <c r="W503" i="1"/>
  <c r="X503" i="1"/>
  <c r="Y503" i="1"/>
  <c r="Z503" i="1"/>
  <c r="AB503" i="1"/>
  <c r="AF503" i="1"/>
  <c r="AI503" i="1"/>
  <c r="H504" i="1"/>
  <c r="AE504" i="1"/>
  <c r="I504" i="1"/>
  <c r="J504" i="1"/>
  <c r="K504" i="1"/>
  <c r="AC504" i="1"/>
  <c r="AJ503" i="1"/>
  <c r="AK503" i="1"/>
  <c r="AM503" i="1"/>
  <c r="BG503" i="1"/>
  <c r="T504" i="1"/>
  <c r="U504" i="1"/>
  <c r="V504" i="1"/>
  <c r="W504" i="1"/>
  <c r="X504" i="1"/>
  <c r="Y504" i="1"/>
  <c r="Z504" i="1"/>
  <c r="AB504" i="1"/>
  <c r="AF504" i="1"/>
  <c r="AI504" i="1"/>
  <c r="H505" i="1"/>
  <c r="AE505" i="1"/>
  <c r="I505" i="1"/>
  <c r="J505" i="1"/>
  <c r="K505" i="1"/>
  <c r="AC505" i="1"/>
  <c r="AJ504" i="1"/>
  <c r="AK504" i="1"/>
  <c r="AM504" i="1"/>
  <c r="BF504" i="1"/>
  <c r="BG504" i="1"/>
  <c r="T505" i="1"/>
  <c r="U505" i="1"/>
  <c r="V505" i="1"/>
  <c r="W505" i="1"/>
  <c r="X505" i="1"/>
  <c r="Y505" i="1"/>
  <c r="Z505" i="1"/>
  <c r="AB505" i="1"/>
  <c r="AF505" i="1"/>
  <c r="AI505" i="1"/>
  <c r="AE506" i="1"/>
  <c r="AC506" i="1"/>
  <c r="AJ505" i="1"/>
  <c r="AK505" i="1"/>
  <c r="AM505" i="1"/>
  <c r="BF505" i="1"/>
  <c r="BG505" i="1"/>
  <c r="T506" i="1"/>
  <c r="U506" i="1"/>
  <c r="V506" i="1"/>
  <c r="W506" i="1"/>
  <c r="X506" i="1"/>
  <c r="Y506" i="1"/>
  <c r="Z506" i="1"/>
  <c r="AB506" i="1"/>
  <c r="AF506" i="1"/>
  <c r="AI506" i="1"/>
  <c r="AE507" i="1"/>
  <c r="AC507" i="1"/>
  <c r="AJ506" i="1"/>
  <c r="AK506" i="1"/>
  <c r="AM506" i="1"/>
  <c r="BF506" i="1"/>
  <c r="BG506" i="1"/>
  <c r="T507" i="1"/>
  <c r="U507" i="1"/>
  <c r="V507" i="1"/>
  <c r="W507" i="1"/>
  <c r="X507" i="1"/>
  <c r="Y507" i="1"/>
  <c r="Z507" i="1"/>
  <c r="AB507" i="1"/>
  <c r="AF507" i="1"/>
  <c r="AI507" i="1"/>
  <c r="H508" i="1"/>
  <c r="AE508" i="1"/>
  <c r="I508" i="1"/>
  <c r="J508" i="1"/>
  <c r="K508" i="1"/>
  <c r="AC508" i="1"/>
  <c r="AJ507" i="1"/>
  <c r="AK507" i="1"/>
  <c r="AM507" i="1"/>
  <c r="BG507" i="1"/>
  <c r="T508" i="1"/>
  <c r="U508" i="1"/>
  <c r="V508" i="1"/>
  <c r="W508" i="1"/>
  <c r="X508" i="1"/>
  <c r="Y508" i="1"/>
  <c r="Z508" i="1"/>
  <c r="AB508" i="1"/>
  <c r="AF508" i="1"/>
  <c r="AI508" i="1"/>
  <c r="H509" i="1"/>
  <c r="AE509" i="1"/>
  <c r="I509" i="1"/>
  <c r="J509" i="1"/>
  <c r="K509" i="1"/>
  <c r="AC509" i="1"/>
  <c r="AJ508" i="1"/>
  <c r="AK508" i="1"/>
  <c r="AM508" i="1"/>
  <c r="BF508" i="1"/>
  <c r="BG508" i="1"/>
  <c r="T509" i="1"/>
  <c r="U509" i="1"/>
  <c r="V509" i="1"/>
  <c r="W509" i="1"/>
  <c r="X509" i="1"/>
  <c r="Y509" i="1"/>
  <c r="Z509" i="1"/>
  <c r="AB509" i="1"/>
  <c r="AF509" i="1"/>
  <c r="AI509" i="1"/>
  <c r="AE510" i="1"/>
  <c r="AC510" i="1"/>
  <c r="AJ509" i="1"/>
  <c r="AK509" i="1"/>
  <c r="AM509" i="1"/>
  <c r="BF509" i="1"/>
  <c r="BG509" i="1"/>
  <c r="T510" i="1"/>
  <c r="U510" i="1"/>
  <c r="V510" i="1"/>
  <c r="W510" i="1"/>
  <c r="X510" i="1"/>
  <c r="Y510" i="1"/>
  <c r="Z510" i="1"/>
  <c r="AB510" i="1"/>
  <c r="AF510" i="1"/>
  <c r="AI510" i="1"/>
  <c r="AE511" i="1"/>
  <c r="AC511" i="1"/>
  <c r="AJ510" i="1"/>
  <c r="AK510" i="1"/>
  <c r="AM510" i="1"/>
  <c r="BF510" i="1"/>
  <c r="BG510" i="1"/>
  <c r="T511" i="1"/>
  <c r="U511" i="1"/>
  <c r="V511" i="1"/>
  <c r="W511" i="1"/>
  <c r="X511" i="1"/>
  <c r="Y511" i="1"/>
  <c r="Z511" i="1"/>
  <c r="AB511" i="1"/>
  <c r="AF511" i="1"/>
  <c r="AI511" i="1"/>
  <c r="H512" i="1"/>
  <c r="AE512" i="1"/>
  <c r="I512" i="1"/>
  <c r="J512" i="1"/>
  <c r="K512" i="1"/>
  <c r="AC512" i="1"/>
  <c r="AJ511" i="1"/>
  <c r="AK511" i="1"/>
  <c r="AM511" i="1"/>
  <c r="BG511" i="1"/>
  <c r="T512" i="1"/>
  <c r="U512" i="1"/>
  <c r="V512" i="1"/>
  <c r="W512" i="1"/>
  <c r="X512" i="1"/>
  <c r="Y512" i="1"/>
  <c r="Z512" i="1"/>
  <c r="AB512" i="1"/>
  <c r="AF512" i="1"/>
  <c r="AI512" i="1"/>
  <c r="H513" i="1"/>
  <c r="AE513" i="1"/>
  <c r="I513" i="1"/>
  <c r="J513" i="1"/>
  <c r="K513" i="1"/>
  <c r="AC513" i="1"/>
  <c r="AJ512" i="1"/>
  <c r="AK512" i="1"/>
  <c r="AM512" i="1"/>
  <c r="BF512" i="1"/>
  <c r="BG512" i="1"/>
  <c r="T513" i="1"/>
  <c r="U513" i="1"/>
  <c r="V513" i="1"/>
  <c r="W513" i="1"/>
  <c r="X513" i="1"/>
  <c r="Y513" i="1"/>
  <c r="Z513" i="1"/>
  <c r="AB513" i="1"/>
  <c r="AF513" i="1"/>
  <c r="AI513" i="1"/>
  <c r="AE514" i="1"/>
  <c r="AC514" i="1"/>
  <c r="AJ513" i="1"/>
  <c r="AK513" i="1"/>
  <c r="AM513" i="1"/>
  <c r="BF513" i="1"/>
  <c r="BG513" i="1"/>
  <c r="T514" i="1"/>
  <c r="U514" i="1"/>
  <c r="V514" i="1"/>
  <c r="W514" i="1"/>
  <c r="X514" i="1"/>
  <c r="Y514" i="1"/>
  <c r="Z514" i="1"/>
  <c r="AB514" i="1"/>
  <c r="AF514" i="1"/>
  <c r="AI514" i="1"/>
  <c r="AE515" i="1"/>
  <c r="AC515" i="1"/>
  <c r="AJ514" i="1"/>
  <c r="AK514" i="1"/>
  <c r="AM514" i="1"/>
  <c r="BF514" i="1"/>
  <c r="BG514" i="1"/>
  <c r="T515" i="1"/>
  <c r="U515" i="1"/>
  <c r="V515" i="1"/>
  <c r="W515" i="1"/>
  <c r="X515" i="1"/>
  <c r="Y515" i="1"/>
  <c r="Z515" i="1"/>
  <c r="AB515" i="1"/>
  <c r="AF515" i="1"/>
  <c r="AI515" i="1"/>
  <c r="H516" i="1"/>
  <c r="AE516" i="1"/>
  <c r="I516" i="1"/>
  <c r="J516" i="1"/>
  <c r="K516" i="1"/>
  <c r="AC516" i="1"/>
  <c r="AJ515" i="1"/>
  <c r="AK515" i="1"/>
  <c r="AM515" i="1"/>
  <c r="BG515" i="1"/>
  <c r="T516" i="1"/>
  <c r="U516" i="1"/>
  <c r="V516" i="1"/>
  <c r="W516" i="1"/>
  <c r="X516" i="1"/>
  <c r="Y516" i="1"/>
  <c r="Z516" i="1"/>
  <c r="AB516" i="1"/>
  <c r="AF516" i="1"/>
  <c r="AI516" i="1"/>
  <c r="AE517" i="1"/>
  <c r="AC517" i="1"/>
  <c r="AJ516" i="1"/>
  <c r="AK516" i="1"/>
  <c r="AM516" i="1"/>
  <c r="BF516" i="1"/>
  <c r="BG516" i="1"/>
  <c r="T517" i="1"/>
  <c r="U517" i="1"/>
  <c r="V517" i="1"/>
  <c r="W517" i="1"/>
  <c r="X517" i="1"/>
  <c r="Y517" i="1"/>
  <c r="Z517" i="1"/>
  <c r="AB517" i="1"/>
  <c r="AF517" i="1"/>
  <c r="AI517" i="1"/>
  <c r="AE518" i="1"/>
  <c r="AC518" i="1"/>
  <c r="AJ517" i="1"/>
  <c r="AK517" i="1"/>
  <c r="AM517" i="1"/>
  <c r="BF517" i="1"/>
  <c r="BG517" i="1"/>
  <c r="T518" i="1"/>
  <c r="U518" i="1"/>
  <c r="V518" i="1"/>
  <c r="W518" i="1"/>
  <c r="X518" i="1"/>
  <c r="Y518" i="1"/>
  <c r="Z518" i="1"/>
  <c r="AB518" i="1"/>
  <c r="AF518" i="1"/>
  <c r="AI518" i="1"/>
  <c r="H519" i="1"/>
  <c r="AE519" i="1"/>
  <c r="I519" i="1"/>
  <c r="J519" i="1"/>
  <c r="K519" i="1"/>
  <c r="AC519" i="1"/>
  <c r="AJ518" i="1"/>
  <c r="AK518" i="1"/>
  <c r="AM518" i="1"/>
  <c r="BG518" i="1"/>
  <c r="T519" i="1"/>
  <c r="U519" i="1"/>
  <c r="V519" i="1"/>
  <c r="W519" i="1"/>
  <c r="X519" i="1"/>
  <c r="Y519" i="1"/>
  <c r="Z519" i="1"/>
  <c r="AB519" i="1"/>
  <c r="AF519" i="1"/>
  <c r="AI519" i="1"/>
  <c r="AE520" i="1"/>
  <c r="AC520" i="1"/>
  <c r="AJ519" i="1"/>
  <c r="AK519" i="1"/>
  <c r="AM519" i="1"/>
  <c r="BF519" i="1"/>
  <c r="BG519" i="1"/>
  <c r="T520" i="1"/>
  <c r="U520" i="1"/>
  <c r="V520" i="1"/>
  <c r="W520" i="1"/>
  <c r="X520" i="1"/>
  <c r="Y520" i="1"/>
  <c r="Z520" i="1"/>
  <c r="AB520" i="1"/>
  <c r="AF520" i="1"/>
  <c r="AI520" i="1"/>
  <c r="AE521" i="1"/>
  <c r="AC521" i="1"/>
  <c r="AJ520" i="1"/>
  <c r="AK520" i="1"/>
  <c r="AM520" i="1"/>
  <c r="BF520" i="1"/>
  <c r="BG520" i="1"/>
  <c r="T521" i="1"/>
  <c r="U521" i="1"/>
  <c r="V521" i="1"/>
  <c r="W521" i="1"/>
  <c r="X521" i="1"/>
  <c r="Y521" i="1"/>
  <c r="Z521" i="1"/>
  <c r="AB521" i="1"/>
  <c r="AF521" i="1"/>
  <c r="AI521" i="1"/>
  <c r="H522" i="1"/>
  <c r="AE522" i="1"/>
  <c r="I522" i="1"/>
  <c r="J522" i="1"/>
  <c r="K522" i="1"/>
  <c r="AC522" i="1"/>
  <c r="AJ521" i="1"/>
  <c r="AK521" i="1"/>
  <c r="AM521" i="1"/>
  <c r="BG521" i="1"/>
  <c r="T522" i="1"/>
  <c r="U522" i="1"/>
  <c r="V522" i="1"/>
  <c r="W522" i="1"/>
  <c r="X522" i="1"/>
  <c r="Y522" i="1"/>
  <c r="Z522" i="1"/>
  <c r="AB522" i="1"/>
  <c r="AF522" i="1"/>
  <c r="AI522" i="1"/>
  <c r="AE523" i="1"/>
  <c r="AC523" i="1"/>
  <c r="AJ522" i="1"/>
  <c r="AK522" i="1"/>
  <c r="AM522" i="1"/>
  <c r="BF522" i="1"/>
  <c r="BG522" i="1"/>
  <c r="T523" i="1"/>
  <c r="U523" i="1"/>
  <c r="V523" i="1"/>
  <c r="W523" i="1"/>
  <c r="X523" i="1"/>
  <c r="Y523" i="1"/>
  <c r="Z523" i="1"/>
  <c r="AB523" i="1"/>
  <c r="AF523" i="1"/>
  <c r="AI523" i="1"/>
  <c r="AE524" i="1"/>
  <c r="AC524" i="1"/>
  <c r="AJ523" i="1"/>
  <c r="AK523" i="1"/>
  <c r="AM523" i="1"/>
  <c r="BF523" i="1"/>
  <c r="BG523" i="1"/>
  <c r="T524" i="1"/>
  <c r="U524" i="1"/>
  <c r="V524" i="1"/>
  <c r="W524" i="1"/>
  <c r="X524" i="1"/>
  <c r="Y524" i="1"/>
  <c r="Z524" i="1"/>
  <c r="AB524" i="1"/>
  <c r="AF524" i="1"/>
  <c r="AI524" i="1"/>
  <c r="H525" i="1"/>
  <c r="AE525" i="1"/>
  <c r="I525" i="1"/>
  <c r="J525" i="1"/>
  <c r="K525" i="1"/>
  <c r="AC525" i="1"/>
  <c r="AJ524" i="1"/>
  <c r="AK524" i="1"/>
  <c r="AM524" i="1"/>
  <c r="BG524" i="1"/>
  <c r="T525" i="1"/>
  <c r="U525" i="1"/>
  <c r="V525" i="1"/>
  <c r="W525" i="1"/>
  <c r="X525" i="1"/>
  <c r="Y525" i="1"/>
  <c r="Z525" i="1"/>
  <c r="AB525" i="1"/>
  <c r="AF525" i="1"/>
  <c r="AI525" i="1"/>
  <c r="AE526" i="1"/>
  <c r="AC526" i="1"/>
  <c r="AJ525" i="1"/>
  <c r="AK525" i="1"/>
  <c r="AM525" i="1"/>
  <c r="BF525" i="1"/>
  <c r="BG525" i="1"/>
  <c r="T526" i="1"/>
  <c r="U526" i="1"/>
  <c r="V526" i="1"/>
  <c r="W526" i="1"/>
  <c r="X526" i="1"/>
  <c r="Y526" i="1"/>
  <c r="Z526" i="1"/>
  <c r="AB526" i="1"/>
  <c r="AF526" i="1"/>
  <c r="AI526" i="1"/>
  <c r="AE527" i="1"/>
  <c r="AC527" i="1"/>
  <c r="AJ526" i="1"/>
  <c r="AK526" i="1"/>
  <c r="AM526" i="1"/>
  <c r="BF526" i="1"/>
  <c r="BG526" i="1"/>
  <c r="T527" i="1"/>
  <c r="U527" i="1"/>
  <c r="V527" i="1"/>
  <c r="W527" i="1"/>
  <c r="X527" i="1"/>
  <c r="Y527" i="1"/>
  <c r="Z527" i="1"/>
  <c r="AB527" i="1"/>
  <c r="AF527" i="1"/>
  <c r="AI527" i="1"/>
  <c r="H528" i="1"/>
  <c r="AE528" i="1"/>
  <c r="I528" i="1"/>
  <c r="J528" i="1"/>
  <c r="K528" i="1"/>
  <c r="AC528" i="1"/>
  <c r="AJ527" i="1"/>
  <c r="AK527" i="1"/>
  <c r="AM527" i="1"/>
  <c r="BG527" i="1"/>
  <c r="T528" i="1"/>
  <c r="U528" i="1"/>
  <c r="V528" i="1"/>
  <c r="W528" i="1"/>
  <c r="X528" i="1"/>
  <c r="Y528" i="1"/>
  <c r="Z528" i="1"/>
  <c r="AB528" i="1"/>
  <c r="AF528" i="1"/>
  <c r="AI528" i="1"/>
  <c r="AE529" i="1"/>
  <c r="AC529" i="1"/>
  <c r="AJ528" i="1"/>
  <c r="AK528" i="1"/>
  <c r="AM528" i="1"/>
  <c r="BF528" i="1"/>
  <c r="BG528" i="1"/>
  <c r="T529" i="1"/>
  <c r="U529" i="1"/>
  <c r="V529" i="1"/>
  <c r="W529" i="1"/>
  <c r="X529" i="1"/>
  <c r="Y529" i="1"/>
  <c r="Z529" i="1"/>
  <c r="AB529" i="1"/>
  <c r="AF529" i="1"/>
  <c r="AI529" i="1"/>
  <c r="AE530" i="1"/>
  <c r="AC530" i="1"/>
  <c r="AJ529" i="1"/>
  <c r="AK529" i="1"/>
  <c r="AM529" i="1"/>
  <c r="BF529" i="1"/>
  <c r="BG529" i="1"/>
  <c r="T530" i="1"/>
  <c r="U530" i="1"/>
  <c r="V530" i="1"/>
  <c r="W530" i="1"/>
  <c r="X530" i="1"/>
  <c r="Y530" i="1"/>
  <c r="Z530" i="1"/>
  <c r="AB530" i="1"/>
  <c r="AF530" i="1"/>
  <c r="AI530" i="1"/>
  <c r="H531" i="1"/>
  <c r="AE531" i="1"/>
  <c r="I531" i="1"/>
  <c r="J531" i="1"/>
  <c r="K531" i="1"/>
  <c r="AC531" i="1"/>
  <c r="AJ530" i="1"/>
  <c r="AK530" i="1"/>
  <c r="AM530" i="1"/>
  <c r="BG530" i="1"/>
  <c r="T531" i="1"/>
  <c r="U531" i="1"/>
  <c r="V531" i="1"/>
  <c r="W531" i="1"/>
  <c r="X531" i="1"/>
  <c r="Y531" i="1"/>
  <c r="Z531" i="1"/>
  <c r="AB531" i="1"/>
  <c r="AF531" i="1"/>
  <c r="AI531" i="1"/>
  <c r="AE532" i="1"/>
  <c r="AC532" i="1"/>
  <c r="AJ531" i="1"/>
  <c r="AK531" i="1"/>
  <c r="AM531" i="1"/>
  <c r="BF531" i="1"/>
  <c r="BG531" i="1"/>
  <c r="T532" i="1"/>
  <c r="U532" i="1"/>
  <c r="V532" i="1"/>
  <c r="W532" i="1"/>
  <c r="X532" i="1"/>
  <c r="Y532" i="1"/>
  <c r="Z532" i="1"/>
  <c r="AB532" i="1"/>
  <c r="AF532" i="1"/>
  <c r="AI532" i="1"/>
  <c r="AE533" i="1"/>
  <c r="AC533" i="1"/>
  <c r="AJ532" i="1"/>
  <c r="AK532" i="1"/>
  <c r="AM532" i="1"/>
  <c r="BF532" i="1"/>
  <c r="BG532" i="1"/>
  <c r="T533" i="1"/>
  <c r="U533" i="1"/>
  <c r="V533" i="1"/>
  <c r="W533" i="1"/>
  <c r="X533" i="1"/>
  <c r="Y533" i="1"/>
  <c r="Z533" i="1"/>
  <c r="AB533" i="1"/>
  <c r="AF533" i="1"/>
  <c r="AI533" i="1"/>
  <c r="H534" i="1"/>
  <c r="AE534" i="1"/>
  <c r="I534" i="1"/>
  <c r="J534" i="1"/>
  <c r="K534" i="1"/>
  <c r="AC534" i="1"/>
  <c r="AJ533" i="1"/>
  <c r="AK533" i="1"/>
  <c r="AM533" i="1"/>
  <c r="BG533" i="1"/>
  <c r="T534" i="1"/>
  <c r="U534" i="1"/>
  <c r="V534" i="1"/>
  <c r="W534" i="1"/>
  <c r="X534" i="1"/>
  <c r="Y534" i="1"/>
  <c r="Z534" i="1"/>
  <c r="AB534" i="1"/>
  <c r="AF534" i="1"/>
  <c r="AI534" i="1"/>
  <c r="AE535" i="1"/>
  <c r="AC535" i="1"/>
  <c r="AJ534" i="1"/>
  <c r="AK534" i="1"/>
  <c r="AM534" i="1"/>
  <c r="BF534" i="1"/>
  <c r="BG534" i="1"/>
  <c r="T535" i="1"/>
  <c r="U535" i="1"/>
  <c r="V535" i="1"/>
  <c r="W535" i="1"/>
  <c r="X535" i="1"/>
  <c r="Y535" i="1"/>
  <c r="Z535" i="1"/>
  <c r="AB535" i="1"/>
  <c r="AF535" i="1"/>
  <c r="AI535" i="1"/>
  <c r="AE536" i="1"/>
  <c r="AC536" i="1"/>
  <c r="AJ535" i="1"/>
  <c r="AK535" i="1"/>
  <c r="AM535" i="1"/>
  <c r="BF535" i="1"/>
  <c r="BG535" i="1"/>
  <c r="T536" i="1"/>
  <c r="U536" i="1"/>
  <c r="V536" i="1"/>
  <c r="W536" i="1"/>
  <c r="X536" i="1"/>
  <c r="Y536" i="1"/>
  <c r="Z536" i="1"/>
  <c r="AB536" i="1"/>
  <c r="AF536" i="1"/>
  <c r="AI536" i="1"/>
  <c r="H537" i="1"/>
  <c r="AE537" i="1"/>
  <c r="I537" i="1"/>
  <c r="J537" i="1"/>
  <c r="K537" i="1"/>
  <c r="AC537" i="1"/>
  <c r="AJ536" i="1"/>
  <c r="AK536" i="1"/>
  <c r="AM536" i="1"/>
  <c r="BG536" i="1"/>
  <c r="T537" i="1"/>
  <c r="U537" i="1"/>
  <c r="V537" i="1"/>
  <c r="W537" i="1"/>
  <c r="X537" i="1"/>
  <c r="Y537" i="1"/>
  <c r="Z537" i="1"/>
  <c r="AB537" i="1"/>
  <c r="AF537" i="1"/>
  <c r="AI537" i="1"/>
  <c r="H538" i="1"/>
  <c r="AE538" i="1"/>
  <c r="I538" i="1"/>
  <c r="J538" i="1"/>
  <c r="K538" i="1"/>
  <c r="AC538" i="1"/>
  <c r="AJ537" i="1"/>
  <c r="AK537" i="1"/>
  <c r="AM537" i="1"/>
  <c r="BF537" i="1"/>
  <c r="BG537" i="1"/>
  <c r="T538" i="1"/>
  <c r="U538" i="1"/>
  <c r="V538" i="1"/>
  <c r="W538" i="1"/>
  <c r="X538" i="1"/>
  <c r="Y538" i="1"/>
  <c r="Z538" i="1"/>
  <c r="AB538" i="1"/>
  <c r="AF538" i="1"/>
  <c r="AI538" i="1"/>
  <c r="AE539" i="1"/>
  <c r="AC539" i="1"/>
  <c r="AJ538" i="1"/>
  <c r="AK538" i="1"/>
  <c r="AM538" i="1"/>
  <c r="BF538" i="1"/>
  <c r="BG538" i="1"/>
  <c r="T539" i="1"/>
  <c r="U539" i="1"/>
  <c r="V539" i="1"/>
  <c r="W539" i="1"/>
  <c r="X539" i="1"/>
  <c r="Y539" i="1"/>
  <c r="Z539" i="1"/>
  <c r="AB539" i="1"/>
  <c r="AF539" i="1"/>
  <c r="AI539" i="1"/>
  <c r="AE540" i="1"/>
  <c r="AC540" i="1"/>
  <c r="AJ539" i="1"/>
  <c r="AK539" i="1"/>
  <c r="AM539" i="1"/>
  <c r="BF539" i="1"/>
  <c r="BG539" i="1"/>
  <c r="T540" i="1"/>
  <c r="U540" i="1"/>
  <c r="V540" i="1"/>
  <c r="W540" i="1"/>
  <c r="X540" i="1"/>
  <c r="Y540" i="1"/>
  <c r="Z540" i="1"/>
  <c r="AB540" i="1"/>
  <c r="AF540" i="1"/>
  <c r="AI540" i="1"/>
  <c r="H541" i="1"/>
  <c r="AE541" i="1"/>
  <c r="I541" i="1"/>
  <c r="J541" i="1"/>
  <c r="K541" i="1"/>
  <c r="AC541" i="1"/>
  <c r="AJ540" i="1"/>
  <c r="AK540" i="1"/>
  <c r="AM540" i="1"/>
  <c r="BG540" i="1"/>
  <c r="T541" i="1"/>
  <c r="U541" i="1"/>
  <c r="V541" i="1"/>
  <c r="W541" i="1"/>
  <c r="X541" i="1"/>
  <c r="Y541" i="1"/>
  <c r="Z541" i="1"/>
  <c r="AB541" i="1"/>
  <c r="AF541" i="1"/>
  <c r="AI541" i="1"/>
  <c r="AE542" i="1"/>
  <c r="AC542" i="1"/>
  <c r="AJ541" i="1"/>
  <c r="AK541" i="1"/>
  <c r="AM541" i="1"/>
  <c r="BF541" i="1"/>
  <c r="BG541" i="1"/>
  <c r="T542" i="1"/>
  <c r="U542" i="1"/>
  <c r="V542" i="1"/>
  <c r="W542" i="1"/>
  <c r="X542" i="1"/>
  <c r="Y542" i="1"/>
  <c r="Z542" i="1"/>
  <c r="AB542" i="1"/>
  <c r="AF542" i="1"/>
  <c r="AI542" i="1"/>
  <c r="AE543" i="1"/>
  <c r="AC543" i="1"/>
  <c r="AJ542" i="1"/>
  <c r="AK542" i="1"/>
  <c r="AM542" i="1"/>
  <c r="BF542" i="1"/>
  <c r="BG542" i="1"/>
  <c r="T543" i="1"/>
  <c r="U543" i="1"/>
  <c r="V543" i="1"/>
  <c r="W543" i="1"/>
  <c r="X543" i="1"/>
  <c r="Y543" i="1"/>
  <c r="Z543" i="1"/>
  <c r="AB543" i="1"/>
  <c r="AF543" i="1"/>
  <c r="AI543" i="1"/>
  <c r="H544" i="1"/>
  <c r="AE544" i="1"/>
  <c r="I544" i="1"/>
  <c r="J544" i="1"/>
  <c r="K544" i="1"/>
  <c r="AC544" i="1"/>
  <c r="AJ543" i="1"/>
  <c r="AK543" i="1"/>
  <c r="AM543" i="1"/>
  <c r="BG543" i="1"/>
  <c r="T544" i="1"/>
  <c r="U544" i="1"/>
  <c r="V544" i="1"/>
  <c r="W544" i="1"/>
  <c r="X544" i="1"/>
  <c r="Y544" i="1"/>
  <c r="Z544" i="1"/>
  <c r="AB544" i="1"/>
  <c r="AF544" i="1"/>
  <c r="AI544" i="1"/>
  <c r="H545" i="1"/>
  <c r="AE545" i="1"/>
  <c r="I545" i="1"/>
  <c r="J545" i="1"/>
  <c r="K545" i="1"/>
  <c r="AC545" i="1"/>
  <c r="AJ544" i="1"/>
  <c r="AK544" i="1"/>
  <c r="AM544" i="1"/>
  <c r="BF544" i="1"/>
  <c r="BG544" i="1"/>
  <c r="T545" i="1"/>
  <c r="U545" i="1"/>
  <c r="V545" i="1"/>
  <c r="W545" i="1"/>
  <c r="X545" i="1"/>
  <c r="Y545" i="1"/>
  <c r="Z545" i="1"/>
  <c r="AB545" i="1"/>
  <c r="AF545" i="1"/>
  <c r="AI545" i="1"/>
  <c r="AE546" i="1"/>
  <c r="AC546" i="1"/>
  <c r="AJ545" i="1"/>
  <c r="AK545" i="1"/>
  <c r="AM545" i="1"/>
  <c r="BF545" i="1"/>
  <c r="BG545" i="1"/>
  <c r="T546" i="1"/>
  <c r="U546" i="1"/>
  <c r="V546" i="1"/>
  <c r="W546" i="1"/>
  <c r="X546" i="1"/>
  <c r="Y546" i="1"/>
  <c r="Z546" i="1"/>
  <c r="AB546" i="1"/>
  <c r="AF546" i="1"/>
  <c r="AI546" i="1"/>
  <c r="AE547" i="1"/>
  <c r="AC547" i="1"/>
  <c r="AJ546" i="1"/>
  <c r="AK546" i="1"/>
  <c r="AM546" i="1"/>
  <c r="BF546" i="1"/>
  <c r="BG546" i="1"/>
  <c r="T547" i="1"/>
  <c r="U547" i="1"/>
  <c r="V547" i="1"/>
  <c r="W547" i="1"/>
  <c r="X547" i="1"/>
  <c r="Y547" i="1"/>
  <c r="Z547" i="1"/>
  <c r="AB547" i="1"/>
  <c r="AF547" i="1"/>
  <c r="AI547" i="1"/>
  <c r="H548" i="1"/>
  <c r="AE548" i="1"/>
  <c r="I548" i="1"/>
  <c r="J548" i="1"/>
  <c r="K548" i="1"/>
  <c r="AC548" i="1"/>
  <c r="AJ547" i="1"/>
  <c r="AK547" i="1"/>
  <c r="AM547" i="1"/>
  <c r="BG547" i="1"/>
  <c r="T548" i="1"/>
  <c r="U548" i="1"/>
  <c r="V548" i="1"/>
  <c r="W548" i="1"/>
  <c r="X548" i="1"/>
  <c r="Y548" i="1"/>
  <c r="Z548" i="1"/>
  <c r="AB548" i="1"/>
  <c r="AF548" i="1"/>
  <c r="AI548" i="1"/>
  <c r="H549" i="1"/>
  <c r="AE549" i="1"/>
  <c r="I549" i="1"/>
  <c r="J549" i="1"/>
  <c r="K549" i="1"/>
  <c r="AC549" i="1"/>
  <c r="AJ548" i="1"/>
  <c r="AK548" i="1"/>
  <c r="AM548" i="1"/>
  <c r="BF548" i="1"/>
  <c r="BG548" i="1"/>
  <c r="T549" i="1"/>
  <c r="U549" i="1"/>
  <c r="V549" i="1"/>
  <c r="W549" i="1"/>
  <c r="X549" i="1"/>
  <c r="Y549" i="1"/>
  <c r="Z549" i="1"/>
  <c r="AB549" i="1"/>
  <c r="AF549" i="1"/>
  <c r="AI549" i="1"/>
  <c r="H550" i="1"/>
  <c r="AE550" i="1"/>
  <c r="I550" i="1"/>
  <c r="J550" i="1"/>
  <c r="K550" i="1"/>
  <c r="AC550" i="1"/>
  <c r="AJ549" i="1"/>
  <c r="AK549" i="1"/>
  <c r="AM549" i="1"/>
  <c r="BF549" i="1"/>
  <c r="BG549" i="1"/>
  <c r="T550" i="1"/>
  <c r="U550" i="1"/>
  <c r="V550" i="1"/>
  <c r="W550" i="1"/>
  <c r="X550" i="1"/>
  <c r="Y550" i="1"/>
  <c r="Z550" i="1"/>
  <c r="AB550" i="1"/>
  <c r="AF550" i="1"/>
  <c r="AI550" i="1"/>
  <c r="AE551" i="1"/>
  <c r="AC551" i="1"/>
  <c r="AJ550" i="1"/>
  <c r="AK550" i="1"/>
  <c r="AM550" i="1"/>
  <c r="BF550" i="1"/>
  <c r="BG550" i="1"/>
  <c r="T551" i="1"/>
  <c r="U551" i="1"/>
  <c r="V551" i="1"/>
  <c r="W551" i="1"/>
  <c r="X551" i="1"/>
  <c r="Y551" i="1"/>
  <c r="Z551" i="1"/>
  <c r="AB551" i="1"/>
  <c r="AF551" i="1"/>
  <c r="AI551" i="1"/>
  <c r="AE552" i="1"/>
  <c r="AC552" i="1"/>
  <c r="AJ551" i="1"/>
  <c r="AK551" i="1"/>
  <c r="AM551" i="1"/>
  <c r="BF551" i="1"/>
  <c r="BG551" i="1"/>
  <c r="T552" i="1"/>
  <c r="U552" i="1"/>
  <c r="V552" i="1"/>
  <c r="W552" i="1"/>
  <c r="X552" i="1"/>
  <c r="Y552" i="1"/>
  <c r="Z552" i="1"/>
  <c r="AB552" i="1"/>
  <c r="AF552" i="1"/>
  <c r="AI552" i="1"/>
  <c r="H553" i="1"/>
  <c r="AE553" i="1"/>
  <c r="I553" i="1"/>
  <c r="J553" i="1"/>
  <c r="K553" i="1"/>
  <c r="AC553" i="1"/>
  <c r="AJ552" i="1"/>
  <c r="AK552" i="1"/>
  <c r="AM552" i="1"/>
  <c r="BG552" i="1"/>
  <c r="T553" i="1"/>
  <c r="U553" i="1"/>
  <c r="V553" i="1"/>
  <c r="W553" i="1"/>
  <c r="X553" i="1"/>
  <c r="Y553" i="1"/>
  <c r="Z553" i="1"/>
  <c r="AB553" i="1"/>
  <c r="AF553" i="1"/>
  <c r="AI553" i="1"/>
  <c r="H554" i="1"/>
  <c r="AE554" i="1"/>
  <c r="I554" i="1"/>
  <c r="J554" i="1"/>
  <c r="K554" i="1"/>
  <c r="AC554" i="1"/>
  <c r="AJ553" i="1"/>
  <c r="AK553" i="1"/>
  <c r="AM553" i="1"/>
  <c r="BF553" i="1"/>
  <c r="BG553" i="1"/>
  <c r="T554" i="1"/>
  <c r="U554" i="1"/>
  <c r="V554" i="1"/>
  <c r="W554" i="1"/>
  <c r="X554" i="1"/>
  <c r="Y554" i="1"/>
  <c r="Z554" i="1"/>
  <c r="AB554" i="1"/>
  <c r="AF554" i="1"/>
  <c r="AI554" i="1"/>
  <c r="AE555" i="1"/>
  <c r="AC555" i="1"/>
  <c r="AJ554" i="1"/>
  <c r="AK554" i="1"/>
  <c r="AM554" i="1"/>
  <c r="BF554" i="1"/>
  <c r="BG554" i="1"/>
  <c r="T555" i="1"/>
  <c r="U555" i="1"/>
  <c r="V555" i="1"/>
  <c r="W555" i="1"/>
  <c r="X555" i="1"/>
  <c r="Y555" i="1"/>
  <c r="Z555" i="1"/>
  <c r="AB555" i="1"/>
  <c r="AF555" i="1"/>
  <c r="AI555" i="1"/>
  <c r="AE556" i="1"/>
  <c r="AC556" i="1"/>
  <c r="AJ555" i="1"/>
  <c r="AK555" i="1"/>
  <c r="AM555" i="1"/>
  <c r="BF555" i="1"/>
  <c r="BG555" i="1"/>
  <c r="T556" i="1"/>
  <c r="U556" i="1"/>
  <c r="V556" i="1"/>
  <c r="W556" i="1"/>
  <c r="X556" i="1"/>
  <c r="Y556" i="1"/>
  <c r="Z556" i="1"/>
  <c r="AB556" i="1"/>
  <c r="AF556" i="1"/>
  <c r="AI556" i="1"/>
  <c r="H557" i="1"/>
  <c r="AE557" i="1"/>
  <c r="I557" i="1"/>
  <c r="J557" i="1"/>
  <c r="K557" i="1"/>
  <c r="AC557" i="1"/>
  <c r="AJ556" i="1"/>
  <c r="AK556" i="1"/>
  <c r="AM556" i="1"/>
  <c r="BG556" i="1"/>
  <c r="T557" i="1"/>
  <c r="U557" i="1"/>
  <c r="V557" i="1"/>
  <c r="W557" i="1"/>
  <c r="X557" i="1"/>
  <c r="Y557" i="1"/>
  <c r="Z557" i="1"/>
  <c r="AB557" i="1"/>
  <c r="AF557" i="1"/>
  <c r="AI557" i="1"/>
  <c r="AE558" i="1"/>
  <c r="AC558" i="1"/>
  <c r="AJ557" i="1"/>
  <c r="AK557" i="1"/>
  <c r="AM557" i="1"/>
  <c r="BF557" i="1"/>
  <c r="BG557" i="1"/>
  <c r="T558" i="1"/>
  <c r="U558" i="1"/>
  <c r="V558" i="1"/>
  <c r="W558" i="1"/>
  <c r="X558" i="1"/>
  <c r="Y558" i="1"/>
  <c r="Z558" i="1"/>
  <c r="AB558" i="1"/>
  <c r="AF558" i="1"/>
  <c r="AI558" i="1"/>
  <c r="AE559" i="1"/>
  <c r="AC559" i="1"/>
  <c r="AJ558" i="1"/>
  <c r="AK558" i="1"/>
  <c r="AM558" i="1"/>
  <c r="BF558" i="1"/>
  <c r="BG558" i="1"/>
  <c r="T559" i="1"/>
  <c r="U559" i="1"/>
  <c r="V559" i="1"/>
  <c r="W559" i="1"/>
  <c r="X559" i="1"/>
  <c r="Y559" i="1"/>
  <c r="Z559" i="1"/>
  <c r="AB559" i="1"/>
  <c r="AF559" i="1"/>
  <c r="AI559" i="1"/>
  <c r="AE560" i="1"/>
  <c r="AC560" i="1"/>
  <c r="AJ559" i="1"/>
  <c r="AK559" i="1"/>
  <c r="AM559" i="1"/>
  <c r="BF559" i="1"/>
  <c r="BG559" i="1"/>
  <c r="T560" i="1"/>
  <c r="U560" i="1"/>
  <c r="V560" i="1"/>
  <c r="W560" i="1"/>
  <c r="X560" i="1"/>
  <c r="Y560" i="1"/>
  <c r="Z560" i="1"/>
  <c r="AB560" i="1"/>
  <c r="AF560" i="1"/>
  <c r="AI560" i="1"/>
  <c r="H561" i="1"/>
  <c r="AE561" i="1"/>
  <c r="I561" i="1"/>
  <c r="J561" i="1"/>
  <c r="K561" i="1"/>
  <c r="AC561" i="1"/>
  <c r="AJ560" i="1"/>
  <c r="AK560" i="1"/>
  <c r="AM560" i="1"/>
  <c r="BG560" i="1"/>
  <c r="T561" i="1"/>
  <c r="U561" i="1"/>
  <c r="V561" i="1"/>
  <c r="W561" i="1"/>
  <c r="X561" i="1"/>
  <c r="Y561" i="1"/>
  <c r="Z561" i="1"/>
  <c r="AB561" i="1"/>
  <c r="AF561" i="1"/>
  <c r="AI561" i="1"/>
  <c r="H562" i="1"/>
  <c r="AE562" i="1"/>
  <c r="I562" i="1"/>
  <c r="J562" i="1"/>
  <c r="K562" i="1"/>
  <c r="AC562" i="1"/>
  <c r="AJ561" i="1"/>
  <c r="AK561" i="1"/>
  <c r="AM561" i="1"/>
  <c r="BF561" i="1"/>
  <c r="BG561" i="1"/>
  <c r="T562" i="1"/>
  <c r="U562" i="1"/>
  <c r="V562" i="1"/>
  <c r="W562" i="1"/>
  <c r="X562" i="1"/>
  <c r="Y562" i="1"/>
  <c r="Z562" i="1"/>
  <c r="AB562" i="1"/>
  <c r="AF562" i="1"/>
  <c r="AI562" i="1"/>
  <c r="H563" i="1"/>
  <c r="AE563" i="1"/>
  <c r="I563" i="1"/>
  <c r="J563" i="1"/>
  <c r="K563" i="1"/>
  <c r="AC563" i="1"/>
  <c r="AJ562" i="1"/>
  <c r="AK562" i="1"/>
  <c r="AM562" i="1"/>
  <c r="BF562" i="1"/>
  <c r="BG562" i="1"/>
  <c r="T563" i="1"/>
  <c r="U563" i="1"/>
  <c r="V563" i="1"/>
  <c r="W563" i="1"/>
  <c r="X563" i="1"/>
  <c r="Y563" i="1"/>
  <c r="Z563" i="1"/>
  <c r="AB563" i="1"/>
  <c r="AF563" i="1"/>
  <c r="AI563" i="1"/>
  <c r="H564" i="1"/>
  <c r="AE564" i="1"/>
  <c r="I564" i="1"/>
  <c r="J564" i="1"/>
  <c r="K564" i="1"/>
  <c r="AC564" i="1"/>
  <c r="AJ563" i="1"/>
  <c r="AK563" i="1"/>
  <c r="AM563" i="1"/>
  <c r="BF563" i="1"/>
  <c r="BG563" i="1"/>
  <c r="T564" i="1"/>
  <c r="U564" i="1"/>
  <c r="V564" i="1"/>
  <c r="W564" i="1"/>
  <c r="X564" i="1"/>
  <c r="Y564" i="1"/>
  <c r="Z564" i="1"/>
  <c r="AB564" i="1"/>
  <c r="AF564" i="1"/>
  <c r="AI564" i="1"/>
  <c r="H565" i="1"/>
  <c r="AE565" i="1"/>
  <c r="I565" i="1"/>
  <c r="J565" i="1"/>
  <c r="K565" i="1"/>
  <c r="AC565" i="1"/>
  <c r="AJ564" i="1"/>
  <c r="AK564" i="1"/>
  <c r="AM564" i="1"/>
  <c r="BF564" i="1"/>
  <c r="BG564" i="1"/>
  <c r="T565" i="1"/>
  <c r="U565" i="1"/>
  <c r="V565" i="1"/>
  <c r="W565" i="1"/>
  <c r="X565" i="1"/>
  <c r="Y565" i="1"/>
  <c r="Z565" i="1"/>
  <c r="AB565" i="1"/>
  <c r="AF565" i="1"/>
  <c r="AI565" i="1"/>
  <c r="H566" i="1"/>
  <c r="AE566" i="1"/>
  <c r="I566" i="1"/>
  <c r="J566" i="1"/>
  <c r="K566" i="1"/>
  <c r="AC566" i="1"/>
  <c r="AJ565" i="1"/>
  <c r="AK565" i="1"/>
  <c r="AM565" i="1"/>
  <c r="BF565" i="1"/>
  <c r="BG565" i="1"/>
  <c r="T566" i="1"/>
  <c r="U566" i="1"/>
  <c r="V566" i="1"/>
  <c r="W566" i="1"/>
  <c r="X566" i="1"/>
  <c r="Y566" i="1"/>
  <c r="Z566" i="1"/>
  <c r="AB566" i="1"/>
  <c r="AF566" i="1"/>
  <c r="AI566" i="1"/>
  <c r="AE567" i="1"/>
  <c r="AC567" i="1"/>
  <c r="AJ566" i="1"/>
  <c r="AK566" i="1"/>
  <c r="AM566" i="1"/>
  <c r="BF566" i="1"/>
  <c r="BG566" i="1"/>
  <c r="T567" i="1"/>
  <c r="U567" i="1"/>
  <c r="V567" i="1"/>
  <c r="W567" i="1"/>
  <c r="X567" i="1"/>
  <c r="Y567" i="1"/>
  <c r="Z567" i="1"/>
  <c r="AB567" i="1"/>
  <c r="AF567" i="1"/>
  <c r="AI567" i="1"/>
  <c r="AE568" i="1"/>
  <c r="AC568" i="1"/>
  <c r="AJ567" i="1"/>
  <c r="AK567" i="1"/>
  <c r="AM567" i="1"/>
  <c r="BF567" i="1"/>
  <c r="BG567" i="1"/>
  <c r="T568" i="1"/>
  <c r="U568" i="1"/>
  <c r="V568" i="1"/>
  <c r="W568" i="1"/>
  <c r="X568" i="1"/>
  <c r="Y568" i="1"/>
  <c r="Z568" i="1"/>
  <c r="AB568" i="1"/>
  <c r="AF568" i="1"/>
  <c r="AI568" i="1"/>
  <c r="H569" i="1"/>
  <c r="AE569" i="1"/>
  <c r="I569" i="1"/>
  <c r="J569" i="1"/>
  <c r="K569" i="1"/>
  <c r="AC569" i="1"/>
  <c r="AJ568" i="1"/>
  <c r="AK568" i="1"/>
  <c r="AM568" i="1"/>
  <c r="BG568" i="1"/>
  <c r="T569" i="1"/>
  <c r="U569" i="1"/>
  <c r="V569" i="1"/>
  <c r="W569" i="1"/>
  <c r="X569" i="1"/>
  <c r="Y569" i="1"/>
  <c r="Z569" i="1"/>
  <c r="AB569" i="1"/>
  <c r="AF569" i="1"/>
  <c r="AI569" i="1"/>
  <c r="AE570" i="1"/>
  <c r="AC570" i="1"/>
  <c r="AJ569" i="1"/>
  <c r="AK569" i="1"/>
  <c r="AM569" i="1"/>
  <c r="BF569" i="1"/>
  <c r="BG569" i="1"/>
  <c r="T570" i="1"/>
  <c r="U570" i="1"/>
  <c r="V570" i="1"/>
  <c r="W570" i="1"/>
  <c r="X570" i="1"/>
  <c r="Y570" i="1"/>
  <c r="Z570" i="1"/>
  <c r="AB570" i="1"/>
  <c r="AF570" i="1"/>
  <c r="AI570" i="1"/>
  <c r="AE571" i="1"/>
  <c r="AC571" i="1"/>
  <c r="AJ570" i="1"/>
  <c r="AK570" i="1"/>
  <c r="AM570" i="1"/>
  <c r="BF570" i="1"/>
  <c r="BG570" i="1"/>
  <c r="T571" i="1"/>
  <c r="U571" i="1"/>
  <c r="V571" i="1"/>
  <c r="W571" i="1"/>
  <c r="X571" i="1"/>
  <c r="Y571" i="1"/>
  <c r="Z571" i="1"/>
  <c r="AB571" i="1"/>
  <c r="AF571" i="1"/>
  <c r="AI571" i="1"/>
  <c r="H572" i="1"/>
  <c r="AE572" i="1"/>
  <c r="I572" i="1"/>
  <c r="J572" i="1"/>
  <c r="K572" i="1"/>
  <c r="AC572" i="1"/>
  <c r="AJ571" i="1"/>
  <c r="AK571" i="1"/>
  <c r="AM571" i="1"/>
  <c r="BG571" i="1"/>
  <c r="T572" i="1"/>
  <c r="U572" i="1"/>
  <c r="V572" i="1"/>
  <c r="W572" i="1"/>
  <c r="X572" i="1"/>
  <c r="Y572" i="1"/>
  <c r="Z572" i="1"/>
  <c r="AB572" i="1"/>
  <c r="AF572" i="1"/>
  <c r="AI572" i="1"/>
  <c r="AE573" i="1"/>
  <c r="AC573" i="1"/>
  <c r="AJ572" i="1"/>
  <c r="AK572" i="1"/>
  <c r="AM572" i="1"/>
  <c r="BF572" i="1"/>
  <c r="BG572" i="1"/>
  <c r="T573" i="1"/>
  <c r="U573" i="1"/>
  <c r="V573" i="1"/>
  <c r="W573" i="1"/>
  <c r="X573" i="1"/>
  <c r="Y573" i="1"/>
  <c r="Z573" i="1"/>
  <c r="AB573" i="1"/>
  <c r="AF573" i="1"/>
  <c r="AI573" i="1"/>
  <c r="AE574" i="1"/>
  <c r="AC574" i="1"/>
  <c r="AJ573" i="1"/>
  <c r="AK573" i="1"/>
  <c r="AM573" i="1"/>
  <c r="BF573" i="1"/>
  <c r="BG573" i="1"/>
  <c r="T574" i="1"/>
  <c r="U574" i="1"/>
  <c r="V574" i="1"/>
  <c r="W574" i="1"/>
  <c r="X574" i="1"/>
  <c r="Y574" i="1"/>
  <c r="Z574" i="1"/>
  <c r="AB574" i="1"/>
  <c r="AF574" i="1"/>
  <c r="AI574" i="1"/>
  <c r="H575" i="1"/>
  <c r="AE575" i="1"/>
  <c r="I575" i="1"/>
  <c r="J575" i="1"/>
  <c r="K575" i="1"/>
  <c r="AC575" i="1"/>
  <c r="AJ574" i="1"/>
  <c r="AK574" i="1"/>
  <c r="AM574" i="1"/>
  <c r="BG574" i="1"/>
  <c r="T575" i="1"/>
  <c r="U575" i="1"/>
  <c r="V575" i="1"/>
  <c r="W575" i="1"/>
  <c r="X575" i="1"/>
  <c r="Y575" i="1"/>
  <c r="Z575" i="1"/>
  <c r="AB575" i="1"/>
  <c r="AF575" i="1"/>
  <c r="AI575" i="1"/>
  <c r="AE576" i="1"/>
  <c r="AC576" i="1"/>
  <c r="AJ575" i="1"/>
  <c r="AK575" i="1"/>
  <c r="AM575" i="1"/>
  <c r="BF575" i="1"/>
  <c r="BG575" i="1"/>
  <c r="T576" i="1"/>
  <c r="U576" i="1"/>
  <c r="V576" i="1"/>
  <c r="W576" i="1"/>
  <c r="X576" i="1"/>
  <c r="Y576" i="1"/>
  <c r="Z576" i="1"/>
  <c r="AB576" i="1"/>
  <c r="AF576" i="1"/>
  <c r="AI576" i="1"/>
  <c r="AE577" i="1"/>
  <c r="AC577" i="1"/>
  <c r="AJ576" i="1"/>
  <c r="AK576" i="1"/>
  <c r="AM576" i="1"/>
  <c r="BF576" i="1"/>
  <c r="BG576" i="1"/>
  <c r="T577" i="1"/>
  <c r="U577" i="1"/>
  <c r="V577" i="1"/>
  <c r="W577" i="1"/>
  <c r="X577" i="1"/>
  <c r="Y577" i="1"/>
  <c r="Z577" i="1"/>
  <c r="AB577" i="1"/>
  <c r="AF577" i="1"/>
  <c r="AI577" i="1"/>
  <c r="H578" i="1"/>
  <c r="AE578" i="1"/>
  <c r="I578" i="1"/>
  <c r="J578" i="1"/>
  <c r="K578" i="1"/>
  <c r="AC578" i="1"/>
  <c r="AJ577" i="1"/>
  <c r="AK577" i="1"/>
  <c r="AM577" i="1"/>
  <c r="BG577" i="1"/>
  <c r="T578" i="1"/>
  <c r="U578" i="1"/>
  <c r="V578" i="1"/>
  <c r="W578" i="1"/>
  <c r="X578" i="1"/>
  <c r="Y578" i="1"/>
  <c r="Z578" i="1"/>
  <c r="AB578" i="1"/>
  <c r="AF578" i="1"/>
  <c r="AI578" i="1"/>
  <c r="AE579" i="1"/>
  <c r="AC579" i="1"/>
  <c r="AJ578" i="1"/>
  <c r="AK578" i="1"/>
  <c r="AM578" i="1"/>
  <c r="BF578" i="1"/>
  <c r="BG578" i="1"/>
  <c r="T579" i="1"/>
  <c r="U579" i="1"/>
  <c r="V579" i="1"/>
  <c r="W579" i="1"/>
  <c r="X579" i="1"/>
  <c r="Y579" i="1"/>
  <c r="Z579" i="1"/>
  <c r="AB579" i="1"/>
  <c r="AF579" i="1"/>
  <c r="AI579" i="1"/>
  <c r="AE580" i="1"/>
  <c r="AC580" i="1"/>
  <c r="AJ579" i="1"/>
  <c r="AK579" i="1"/>
  <c r="AM579" i="1"/>
  <c r="BF579" i="1"/>
  <c r="BG579" i="1"/>
  <c r="T580" i="1"/>
  <c r="U580" i="1"/>
  <c r="V580" i="1"/>
  <c r="W580" i="1"/>
  <c r="X580" i="1"/>
  <c r="Y580" i="1"/>
  <c r="Z580" i="1"/>
  <c r="AB580" i="1"/>
  <c r="AF580" i="1"/>
  <c r="AI580" i="1"/>
  <c r="H581" i="1"/>
  <c r="AE581" i="1"/>
  <c r="I581" i="1"/>
  <c r="J581" i="1"/>
  <c r="K581" i="1"/>
  <c r="AC581" i="1"/>
  <c r="AJ580" i="1"/>
  <c r="AK580" i="1"/>
  <c r="AM580" i="1"/>
  <c r="BG580" i="1"/>
  <c r="T581" i="1"/>
  <c r="U581" i="1"/>
  <c r="V581" i="1"/>
  <c r="W581" i="1"/>
  <c r="X581" i="1"/>
  <c r="Y581" i="1"/>
  <c r="Z581" i="1"/>
  <c r="AB581" i="1"/>
  <c r="AF581" i="1"/>
  <c r="AI581" i="1"/>
  <c r="H582" i="1"/>
  <c r="AE582" i="1"/>
  <c r="I582" i="1"/>
  <c r="J582" i="1"/>
  <c r="K582" i="1"/>
  <c r="AC582" i="1"/>
  <c r="AJ581" i="1"/>
  <c r="AK581" i="1"/>
  <c r="AM581" i="1"/>
  <c r="BF581" i="1"/>
  <c r="BG581" i="1"/>
  <c r="T582" i="1"/>
  <c r="U582" i="1"/>
  <c r="V582" i="1"/>
  <c r="W582" i="1"/>
  <c r="X582" i="1"/>
  <c r="Y582" i="1"/>
  <c r="Z582" i="1"/>
  <c r="AB582" i="1"/>
  <c r="AF582" i="1"/>
  <c r="AI582" i="1"/>
  <c r="H583" i="1"/>
  <c r="AE583" i="1"/>
  <c r="I583" i="1"/>
  <c r="J583" i="1"/>
  <c r="K583" i="1"/>
  <c r="AC583" i="1"/>
  <c r="AJ582" i="1"/>
  <c r="AK582" i="1"/>
  <c r="AM582" i="1"/>
  <c r="BF582" i="1"/>
  <c r="BG582" i="1"/>
  <c r="T583" i="1"/>
  <c r="U583" i="1"/>
  <c r="V583" i="1"/>
  <c r="W583" i="1"/>
  <c r="X583" i="1"/>
  <c r="Y583" i="1"/>
  <c r="Z583" i="1"/>
  <c r="AB583" i="1"/>
  <c r="AF583" i="1"/>
  <c r="AI583" i="1"/>
  <c r="H584" i="1"/>
  <c r="AE584" i="1"/>
  <c r="I584" i="1"/>
  <c r="J584" i="1"/>
  <c r="K584" i="1"/>
  <c r="AC584" i="1"/>
  <c r="AJ583" i="1"/>
  <c r="AK583" i="1"/>
  <c r="AM583" i="1"/>
  <c r="BF583" i="1"/>
  <c r="BG583" i="1"/>
  <c r="T584" i="1"/>
  <c r="U584" i="1"/>
  <c r="V584" i="1"/>
  <c r="W584" i="1"/>
  <c r="X584" i="1"/>
  <c r="Y584" i="1"/>
  <c r="Z584" i="1"/>
  <c r="AB584" i="1"/>
  <c r="AF584" i="1"/>
  <c r="AI584" i="1"/>
  <c r="AE585" i="1"/>
  <c r="AC585" i="1"/>
  <c r="AJ584" i="1"/>
  <c r="AK584" i="1"/>
  <c r="AM584" i="1"/>
  <c r="BF584" i="1"/>
  <c r="BG584" i="1"/>
  <c r="T585" i="1"/>
  <c r="U585" i="1"/>
  <c r="V585" i="1"/>
  <c r="W585" i="1"/>
  <c r="X585" i="1"/>
  <c r="Y585" i="1"/>
  <c r="Z585" i="1"/>
  <c r="AB585" i="1"/>
  <c r="AF585" i="1"/>
  <c r="AI585" i="1"/>
  <c r="AE586" i="1"/>
  <c r="AC586" i="1"/>
  <c r="AJ585" i="1"/>
  <c r="AK585" i="1"/>
  <c r="AM585" i="1"/>
  <c r="BF585" i="1"/>
  <c r="BG585" i="1"/>
  <c r="T586" i="1"/>
  <c r="U586" i="1"/>
  <c r="V586" i="1"/>
  <c r="W586" i="1"/>
  <c r="X586" i="1"/>
  <c r="Y586" i="1"/>
  <c r="Z586" i="1"/>
  <c r="AB586" i="1"/>
  <c r="AF586" i="1"/>
  <c r="AI586" i="1"/>
  <c r="H587" i="1"/>
  <c r="AE587" i="1"/>
  <c r="I587" i="1"/>
  <c r="J587" i="1"/>
  <c r="K587" i="1"/>
  <c r="AC587" i="1"/>
  <c r="AJ586" i="1"/>
  <c r="AK586" i="1"/>
  <c r="AM586" i="1"/>
  <c r="BG586" i="1"/>
  <c r="T587" i="1"/>
  <c r="U587" i="1"/>
  <c r="V587" i="1"/>
  <c r="W587" i="1"/>
  <c r="X587" i="1"/>
  <c r="Y587" i="1"/>
  <c r="Z587" i="1"/>
  <c r="AB587" i="1"/>
  <c r="AF587" i="1"/>
  <c r="AI587" i="1"/>
  <c r="H588" i="1"/>
  <c r="AE588" i="1"/>
  <c r="I588" i="1"/>
  <c r="J588" i="1"/>
  <c r="K588" i="1"/>
  <c r="AC588" i="1"/>
  <c r="AJ587" i="1"/>
  <c r="AK587" i="1"/>
  <c r="AM587" i="1"/>
  <c r="BF587" i="1"/>
  <c r="BG587" i="1"/>
  <c r="T588" i="1"/>
  <c r="U588" i="1"/>
  <c r="V588" i="1"/>
  <c r="W588" i="1"/>
  <c r="X588" i="1"/>
  <c r="Y588" i="1"/>
  <c r="Z588" i="1"/>
  <c r="AB588" i="1"/>
  <c r="AF588" i="1"/>
  <c r="AI588" i="1"/>
  <c r="H589" i="1"/>
  <c r="AE589" i="1"/>
  <c r="I589" i="1"/>
  <c r="J589" i="1"/>
  <c r="K589" i="1"/>
  <c r="AC589" i="1"/>
  <c r="AJ588" i="1"/>
  <c r="AK588" i="1"/>
  <c r="AM588" i="1"/>
  <c r="BF588" i="1"/>
  <c r="BG588" i="1"/>
  <c r="T589" i="1"/>
  <c r="U589" i="1"/>
  <c r="V589" i="1"/>
  <c r="W589" i="1"/>
  <c r="X589" i="1"/>
  <c r="Y589" i="1"/>
  <c r="Z589" i="1"/>
  <c r="AB589" i="1"/>
  <c r="AF589" i="1"/>
  <c r="AI589" i="1"/>
  <c r="H590" i="1"/>
  <c r="AE590" i="1"/>
  <c r="I590" i="1"/>
  <c r="J590" i="1"/>
  <c r="K590" i="1"/>
  <c r="AC590" i="1"/>
  <c r="AJ589" i="1"/>
  <c r="AK589" i="1"/>
  <c r="AM589" i="1"/>
  <c r="BF589" i="1"/>
  <c r="BG589" i="1"/>
  <c r="T590" i="1"/>
  <c r="U590" i="1"/>
  <c r="V590" i="1"/>
  <c r="W590" i="1"/>
  <c r="X590" i="1"/>
  <c r="Y590" i="1"/>
  <c r="Z590" i="1"/>
  <c r="AB590" i="1"/>
  <c r="AF590" i="1"/>
  <c r="AI590" i="1"/>
  <c r="H591" i="1"/>
  <c r="AE591" i="1"/>
  <c r="I591" i="1"/>
  <c r="J591" i="1"/>
  <c r="K591" i="1"/>
  <c r="AC591" i="1"/>
  <c r="AJ590" i="1"/>
  <c r="AK590" i="1"/>
  <c r="AM590" i="1"/>
  <c r="BF590" i="1"/>
  <c r="BG590" i="1"/>
  <c r="T591" i="1"/>
  <c r="U591" i="1"/>
  <c r="V591" i="1"/>
  <c r="W591" i="1"/>
  <c r="X591" i="1"/>
  <c r="Y591" i="1"/>
  <c r="Z591" i="1"/>
  <c r="AB591" i="1"/>
  <c r="AF591" i="1"/>
  <c r="AI591" i="1"/>
  <c r="AE592" i="1"/>
  <c r="AC592" i="1"/>
  <c r="AJ591" i="1"/>
  <c r="AK591" i="1"/>
  <c r="AM591" i="1"/>
  <c r="BF591" i="1"/>
  <c r="BG591" i="1"/>
  <c r="T592" i="1"/>
  <c r="U592" i="1"/>
  <c r="V592" i="1"/>
  <c r="W592" i="1"/>
  <c r="X592" i="1"/>
  <c r="Y592" i="1"/>
  <c r="Z592" i="1"/>
  <c r="AB592" i="1"/>
  <c r="AF592" i="1"/>
  <c r="AI592" i="1"/>
  <c r="AE593" i="1"/>
  <c r="AC593" i="1"/>
  <c r="AJ592" i="1"/>
  <c r="AK592" i="1"/>
  <c r="AM592" i="1"/>
  <c r="BF592" i="1"/>
  <c r="BG592" i="1"/>
  <c r="T593" i="1"/>
  <c r="U593" i="1"/>
  <c r="V593" i="1"/>
  <c r="W593" i="1"/>
  <c r="X593" i="1"/>
  <c r="Y593" i="1"/>
  <c r="Z593" i="1"/>
  <c r="AB593" i="1"/>
  <c r="AF593" i="1"/>
  <c r="AI593" i="1"/>
  <c r="H594" i="1"/>
  <c r="AE594" i="1"/>
  <c r="I594" i="1"/>
  <c r="J594" i="1"/>
  <c r="K594" i="1"/>
  <c r="AC594" i="1"/>
  <c r="AJ593" i="1"/>
  <c r="AK593" i="1"/>
  <c r="AM593" i="1"/>
  <c r="BG593" i="1"/>
  <c r="T594" i="1"/>
  <c r="U594" i="1"/>
  <c r="V594" i="1"/>
  <c r="W594" i="1"/>
  <c r="X594" i="1"/>
  <c r="Y594" i="1"/>
  <c r="Z594" i="1"/>
  <c r="AB594" i="1"/>
  <c r="AF594" i="1"/>
  <c r="AI594" i="1"/>
  <c r="AE595" i="1"/>
  <c r="AC595" i="1"/>
  <c r="AJ594" i="1"/>
  <c r="AK594" i="1"/>
  <c r="AM594" i="1"/>
  <c r="BF594" i="1"/>
  <c r="BG594" i="1"/>
  <c r="T595" i="1"/>
  <c r="U595" i="1"/>
  <c r="V595" i="1"/>
  <c r="W595" i="1"/>
  <c r="X595" i="1"/>
  <c r="Y595" i="1"/>
  <c r="Z595" i="1"/>
  <c r="AB595" i="1"/>
  <c r="AF595" i="1"/>
  <c r="AI595" i="1"/>
  <c r="AE596" i="1"/>
  <c r="AC596" i="1"/>
  <c r="AJ595" i="1"/>
  <c r="AK595" i="1"/>
  <c r="AM595" i="1"/>
  <c r="BF595" i="1"/>
  <c r="BG595" i="1"/>
  <c r="T596" i="1"/>
  <c r="U596" i="1"/>
  <c r="V596" i="1"/>
  <c r="W596" i="1"/>
  <c r="X596" i="1"/>
  <c r="Y596" i="1"/>
  <c r="Z596" i="1"/>
  <c r="AB596" i="1"/>
  <c r="AF596" i="1"/>
  <c r="AI596" i="1"/>
  <c r="H597" i="1"/>
  <c r="AE597" i="1"/>
  <c r="I597" i="1"/>
  <c r="J597" i="1"/>
  <c r="K597" i="1"/>
  <c r="AC597" i="1"/>
  <c r="AJ596" i="1"/>
  <c r="AK596" i="1"/>
  <c r="AM596" i="1"/>
  <c r="BG596" i="1"/>
  <c r="T597" i="1"/>
  <c r="U597" i="1"/>
  <c r="V597" i="1"/>
  <c r="W597" i="1"/>
  <c r="X597" i="1"/>
  <c r="Y597" i="1"/>
  <c r="Z597" i="1"/>
  <c r="AB597" i="1"/>
  <c r="AF597" i="1"/>
  <c r="AI597" i="1"/>
  <c r="H598" i="1"/>
  <c r="AE598" i="1"/>
  <c r="I598" i="1"/>
  <c r="J598" i="1"/>
  <c r="K598" i="1"/>
  <c r="AC598" i="1"/>
  <c r="AJ597" i="1"/>
  <c r="AK597" i="1"/>
  <c r="AM597" i="1"/>
  <c r="BF597" i="1"/>
  <c r="BG597" i="1"/>
  <c r="T598" i="1"/>
  <c r="U598" i="1"/>
  <c r="V598" i="1"/>
  <c r="W598" i="1"/>
  <c r="X598" i="1"/>
  <c r="Y598" i="1"/>
  <c r="Z598" i="1"/>
  <c r="AB598" i="1"/>
  <c r="AF598" i="1"/>
  <c r="AI598" i="1"/>
  <c r="AE599" i="1"/>
  <c r="AC599" i="1"/>
  <c r="AJ598" i="1"/>
  <c r="AK598" i="1"/>
  <c r="AM598" i="1"/>
  <c r="BF598" i="1"/>
  <c r="BG598" i="1"/>
  <c r="T599" i="1"/>
  <c r="U599" i="1"/>
  <c r="V599" i="1"/>
  <c r="W599" i="1"/>
  <c r="X599" i="1"/>
  <c r="Y599" i="1"/>
  <c r="Z599" i="1"/>
  <c r="AB599" i="1"/>
  <c r="AF599" i="1"/>
  <c r="AI599" i="1"/>
  <c r="AE600" i="1"/>
  <c r="AC600" i="1"/>
  <c r="AJ599" i="1"/>
  <c r="AK599" i="1"/>
  <c r="AM599" i="1"/>
  <c r="BF599" i="1"/>
  <c r="BG599" i="1"/>
  <c r="T600" i="1"/>
  <c r="U600" i="1"/>
  <c r="V600" i="1"/>
  <c r="W600" i="1"/>
  <c r="X600" i="1"/>
  <c r="Y600" i="1"/>
  <c r="Z600" i="1"/>
  <c r="AB600" i="1"/>
  <c r="AF600" i="1"/>
  <c r="AI600" i="1"/>
  <c r="H601" i="1"/>
  <c r="AE601" i="1"/>
  <c r="I601" i="1"/>
  <c r="J601" i="1"/>
  <c r="K601" i="1"/>
  <c r="AC601" i="1"/>
  <c r="AJ600" i="1"/>
  <c r="AK600" i="1"/>
  <c r="AM600" i="1"/>
  <c r="BG600" i="1"/>
  <c r="T601" i="1"/>
  <c r="U601" i="1"/>
  <c r="V601" i="1"/>
  <c r="W601" i="1"/>
  <c r="X601" i="1"/>
  <c r="Y601" i="1"/>
  <c r="Z601" i="1"/>
  <c r="AB601" i="1"/>
  <c r="AF601" i="1"/>
  <c r="AI601" i="1"/>
  <c r="AE602" i="1"/>
  <c r="AC602" i="1"/>
  <c r="AJ601" i="1"/>
  <c r="AK601" i="1"/>
  <c r="AM601" i="1"/>
  <c r="BF601" i="1"/>
  <c r="BG601" i="1"/>
  <c r="T602" i="1"/>
  <c r="U602" i="1"/>
  <c r="V602" i="1"/>
  <c r="W602" i="1"/>
  <c r="X602" i="1"/>
  <c r="Y602" i="1"/>
  <c r="Z602" i="1"/>
  <c r="AB602" i="1"/>
  <c r="AF602" i="1"/>
  <c r="AI602" i="1"/>
  <c r="AE603" i="1"/>
  <c r="AC603" i="1"/>
  <c r="AJ602" i="1"/>
  <c r="AK602" i="1"/>
  <c r="AM602" i="1"/>
  <c r="BF602" i="1"/>
  <c r="BG602" i="1"/>
  <c r="T603" i="1"/>
  <c r="U603" i="1"/>
  <c r="V603" i="1"/>
  <c r="W603" i="1"/>
  <c r="X603" i="1"/>
  <c r="Y603" i="1"/>
  <c r="Z603" i="1"/>
  <c r="AB603" i="1"/>
  <c r="AF603" i="1"/>
  <c r="AI603" i="1"/>
  <c r="H604" i="1"/>
  <c r="AE604" i="1"/>
  <c r="I604" i="1"/>
  <c r="J604" i="1"/>
  <c r="K604" i="1"/>
  <c r="AC604" i="1"/>
  <c r="AJ603" i="1"/>
  <c r="AK603" i="1"/>
  <c r="AM603" i="1"/>
  <c r="BG603" i="1"/>
  <c r="T604" i="1"/>
  <c r="U604" i="1"/>
  <c r="V604" i="1"/>
  <c r="W604" i="1"/>
  <c r="X604" i="1"/>
  <c r="Y604" i="1"/>
  <c r="Z604" i="1"/>
  <c r="AB604" i="1"/>
  <c r="AF604" i="1"/>
  <c r="AI604" i="1"/>
  <c r="H605" i="1"/>
  <c r="AE605" i="1"/>
  <c r="I605" i="1"/>
  <c r="J605" i="1"/>
  <c r="K605" i="1"/>
  <c r="AC605" i="1"/>
  <c r="AJ604" i="1"/>
  <c r="AK604" i="1"/>
  <c r="AM604" i="1"/>
  <c r="BF604" i="1"/>
  <c r="BG604" i="1"/>
  <c r="T605" i="1"/>
  <c r="U605" i="1"/>
  <c r="V605" i="1"/>
  <c r="W605" i="1"/>
  <c r="X605" i="1"/>
  <c r="Y605" i="1"/>
  <c r="Z605" i="1"/>
  <c r="AB605" i="1"/>
  <c r="AF605" i="1"/>
  <c r="AI605" i="1"/>
  <c r="H606" i="1"/>
  <c r="AE606" i="1"/>
  <c r="I606" i="1"/>
  <c r="J606" i="1"/>
  <c r="K606" i="1"/>
  <c r="AC606" i="1"/>
  <c r="AJ605" i="1"/>
  <c r="AK605" i="1"/>
  <c r="AM605" i="1"/>
  <c r="BF605" i="1"/>
  <c r="BG605" i="1"/>
  <c r="T606" i="1"/>
  <c r="U606" i="1"/>
  <c r="V606" i="1"/>
  <c r="W606" i="1"/>
  <c r="X606" i="1"/>
  <c r="Y606" i="1"/>
  <c r="Z606" i="1"/>
  <c r="AB606" i="1"/>
  <c r="AF606" i="1"/>
  <c r="AI606" i="1"/>
  <c r="H607" i="1"/>
  <c r="AE607" i="1"/>
  <c r="I607" i="1"/>
  <c r="J607" i="1"/>
  <c r="K607" i="1"/>
  <c r="AC607" i="1"/>
  <c r="AJ606" i="1"/>
  <c r="AK606" i="1"/>
  <c r="AM606" i="1"/>
  <c r="BF606" i="1"/>
  <c r="BG606" i="1"/>
  <c r="T607" i="1"/>
  <c r="U607" i="1"/>
  <c r="V607" i="1"/>
  <c r="W607" i="1"/>
  <c r="X607" i="1"/>
  <c r="Y607" i="1"/>
  <c r="Z607" i="1"/>
  <c r="AB607" i="1"/>
  <c r="AF607" i="1"/>
  <c r="AI607" i="1"/>
  <c r="AE608" i="1"/>
  <c r="AC608" i="1"/>
  <c r="AJ607" i="1"/>
  <c r="AK607" i="1"/>
  <c r="AM607" i="1"/>
  <c r="BF607" i="1"/>
  <c r="BG607" i="1"/>
  <c r="T608" i="1"/>
  <c r="U608" i="1"/>
  <c r="V608" i="1"/>
  <c r="W608" i="1"/>
  <c r="X608" i="1"/>
  <c r="Y608" i="1"/>
  <c r="Z608" i="1"/>
  <c r="AB608" i="1"/>
  <c r="AF608" i="1"/>
  <c r="AI608" i="1"/>
  <c r="AE609" i="1"/>
  <c r="AC609" i="1"/>
  <c r="AJ608" i="1"/>
  <c r="AK608" i="1"/>
  <c r="AM608" i="1"/>
  <c r="BF608" i="1"/>
  <c r="BG608" i="1"/>
  <c r="T609" i="1"/>
  <c r="U609" i="1"/>
  <c r="V609" i="1"/>
  <c r="W609" i="1"/>
  <c r="X609" i="1"/>
  <c r="Y609" i="1"/>
  <c r="Z609" i="1"/>
  <c r="AB609" i="1"/>
  <c r="AF609" i="1"/>
  <c r="AI609" i="1"/>
  <c r="H610" i="1"/>
  <c r="AE610" i="1"/>
  <c r="I610" i="1"/>
  <c r="J610" i="1"/>
  <c r="K610" i="1"/>
  <c r="AC610" i="1"/>
  <c r="AJ609" i="1"/>
  <c r="AK609" i="1"/>
  <c r="AM609" i="1"/>
  <c r="BG609" i="1"/>
  <c r="T610" i="1"/>
  <c r="U610" i="1"/>
  <c r="V610" i="1"/>
  <c r="W610" i="1"/>
  <c r="X610" i="1"/>
  <c r="Y610" i="1"/>
  <c r="Z610" i="1"/>
  <c r="AB610" i="1"/>
  <c r="AF610" i="1"/>
  <c r="AI610" i="1"/>
  <c r="AE611" i="1"/>
  <c r="AC611" i="1"/>
  <c r="AJ610" i="1"/>
  <c r="AK610" i="1"/>
  <c r="AM610" i="1"/>
  <c r="BF610" i="1"/>
  <c r="BG610" i="1"/>
  <c r="T611" i="1"/>
  <c r="U611" i="1"/>
  <c r="V611" i="1"/>
  <c r="W611" i="1"/>
  <c r="X611" i="1"/>
  <c r="Y611" i="1"/>
  <c r="Z611" i="1"/>
  <c r="AB611" i="1"/>
  <c r="AF611" i="1"/>
  <c r="AI611" i="1"/>
  <c r="AE612" i="1"/>
  <c r="AC612" i="1"/>
  <c r="AJ611" i="1"/>
  <c r="AK611" i="1"/>
  <c r="AM611" i="1"/>
  <c r="BF611" i="1"/>
  <c r="BG611" i="1"/>
  <c r="T612" i="1"/>
  <c r="U612" i="1"/>
  <c r="V612" i="1"/>
  <c r="W612" i="1"/>
  <c r="X612" i="1"/>
  <c r="Y612" i="1"/>
  <c r="Z612" i="1"/>
  <c r="AB612" i="1"/>
  <c r="AF612" i="1"/>
  <c r="AI612" i="1"/>
  <c r="H613" i="1"/>
  <c r="AE613" i="1"/>
  <c r="I613" i="1"/>
  <c r="J613" i="1"/>
  <c r="K613" i="1"/>
  <c r="AC613" i="1"/>
  <c r="AJ612" i="1"/>
  <c r="AK612" i="1"/>
  <c r="AM612" i="1"/>
  <c r="BG612" i="1"/>
  <c r="T613" i="1"/>
  <c r="U613" i="1"/>
  <c r="V613" i="1"/>
  <c r="W613" i="1"/>
  <c r="X613" i="1"/>
  <c r="Y613" i="1"/>
  <c r="Z613" i="1"/>
  <c r="AB613" i="1"/>
  <c r="AF613" i="1"/>
  <c r="AI613" i="1"/>
  <c r="AE614" i="1"/>
  <c r="AC614" i="1"/>
  <c r="AJ613" i="1"/>
  <c r="AK613" i="1"/>
  <c r="AM613" i="1"/>
  <c r="BF613" i="1"/>
  <c r="BG613" i="1"/>
  <c r="T614" i="1"/>
  <c r="U614" i="1"/>
  <c r="V614" i="1"/>
  <c r="W614" i="1"/>
  <c r="X614" i="1"/>
  <c r="Y614" i="1"/>
  <c r="Z614" i="1"/>
  <c r="AB614" i="1"/>
  <c r="AF614" i="1"/>
  <c r="AI614" i="1"/>
  <c r="AE615" i="1"/>
  <c r="AC615" i="1"/>
  <c r="AJ614" i="1"/>
  <c r="AK614" i="1"/>
  <c r="AM614" i="1"/>
  <c r="BF614" i="1"/>
  <c r="BG614" i="1"/>
  <c r="T615" i="1"/>
  <c r="U615" i="1"/>
  <c r="V615" i="1"/>
  <c r="W615" i="1"/>
  <c r="X615" i="1"/>
  <c r="Y615" i="1"/>
  <c r="Z615" i="1"/>
  <c r="AB615" i="1"/>
  <c r="AF615" i="1"/>
  <c r="AI615" i="1"/>
  <c r="H616" i="1"/>
  <c r="AE616" i="1"/>
  <c r="I616" i="1"/>
  <c r="J616" i="1"/>
  <c r="K616" i="1"/>
  <c r="AC616" i="1"/>
  <c r="AJ615" i="1"/>
  <c r="AK615" i="1"/>
  <c r="AM615" i="1"/>
  <c r="BG615" i="1"/>
  <c r="T616" i="1"/>
  <c r="U616" i="1"/>
  <c r="V616" i="1"/>
  <c r="W616" i="1"/>
  <c r="X616" i="1"/>
  <c r="Y616" i="1"/>
  <c r="Z616" i="1"/>
  <c r="AB616" i="1"/>
  <c r="AF616" i="1"/>
  <c r="AI616" i="1"/>
  <c r="H617" i="1"/>
  <c r="AE617" i="1"/>
  <c r="I617" i="1"/>
  <c r="J617" i="1"/>
  <c r="K617" i="1"/>
  <c r="AC617" i="1"/>
  <c r="AJ616" i="1"/>
  <c r="AK616" i="1"/>
  <c r="AM616" i="1"/>
  <c r="BF616" i="1"/>
  <c r="BG616" i="1"/>
  <c r="T617" i="1"/>
  <c r="U617" i="1"/>
  <c r="V617" i="1"/>
  <c r="W617" i="1"/>
  <c r="X617" i="1"/>
  <c r="Y617" i="1"/>
  <c r="Z617" i="1"/>
  <c r="AB617" i="1"/>
  <c r="AF617" i="1"/>
  <c r="AI617" i="1"/>
  <c r="AE618" i="1"/>
  <c r="AC618" i="1"/>
  <c r="AJ617" i="1"/>
  <c r="AK617" i="1"/>
  <c r="AM617" i="1"/>
  <c r="BF617" i="1"/>
  <c r="BG617" i="1"/>
  <c r="T618" i="1"/>
  <c r="U618" i="1"/>
  <c r="V618" i="1"/>
  <c r="W618" i="1"/>
  <c r="X618" i="1"/>
  <c r="Y618" i="1"/>
  <c r="Z618" i="1"/>
  <c r="AB618" i="1"/>
  <c r="AF618" i="1"/>
  <c r="AI618" i="1"/>
  <c r="AE619" i="1"/>
  <c r="AC619" i="1"/>
  <c r="AJ618" i="1"/>
  <c r="AK618" i="1"/>
  <c r="AM618" i="1"/>
  <c r="BF618" i="1"/>
  <c r="BG618" i="1"/>
  <c r="T619" i="1"/>
  <c r="U619" i="1"/>
  <c r="V619" i="1"/>
  <c r="W619" i="1"/>
  <c r="X619" i="1"/>
  <c r="Y619" i="1"/>
  <c r="Z619" i="1"/>
  <c r="AB619" i="1"/>
  <c r="AF619" i="1"/>
  <c r="AI619" i="1"/>
  <c r="H620" i="1"/>
  <c r="AE620" i="1"/>
  <c r="I620" i="1"/>
  <c r="J620" i="1"/>
  <c r="K620" i="1"/>
  <c r="AC620" i="1"/>
  <c r="AJ619" i="1"/>
  <c r="AK619" i="1"/>
  <c r="AM619" i="1"/>
  <c r="BG619" i="1"/>
  <c r="T620" i="1"/>
  <c r="U620" i="1"/>
  <c r="V620" i="1"/>
  <c r="W620" i="1"/>
  <c r="X620" i="1"/>
  <c r="Y620" i="1"/>
  <c r="Z620" i="1"/>
  <c r="AB620" i="1"/>
  <c r="AF620" i="1"/>
  <c r="AI620" i="1"/>
  <c r="AE621" i="1"/>
  <c r="AC621" i="1"/>
  <c r="AJ620" i="1"/>
  <c r="AK620" i="1"/>
  <c r="AM620" i="1"/>
  <c r="BF620" i="1"/>
  <c r="BG620" i="1"/>
  <c r="T621" i="1"/>
  <c r="U621" i="1"/>
  <c r="V621" i="1"/>
  <c r="W621" i="1"/>
  <c r="X621" i="1"/>
  <c r="Y621" i="1"/>
  <c r="Z621" i="1"/>
  <c r="AB621" i="1"/>
  <c r="AF621" i="1"/>
  <c r="AI621" i="1"/>
  <c r="AE622" i="1"/>
  <c r="AC622" i="1"/>
  <c r="AJ621" i="1"/>
  <c r="AK621" i="1"/>
  <c r="AM621" i="1"/>
  <c r="BF621" i="1"/>
  <c r="BG621" i="1"/>
  <c r="T622" i="1"/>
  <c r="U622" i="1"/>
  <c r="V622" i="1"/>
  <c r="W622" i="1"/>
  <c r="X622" i="1"/>
  <c r="Y622" i="1"/>
  <c r="Z622" i="1"/>
  <c r="AB622" i="1"/>
  <c r="AF622" i="1"/>
  <c r="AI622" i="1"/>
  <c r="AE623" i="1"/>
  <c r="AC623" i="1"/>
  <c r="AJ622" i="1"/>
  <c r="AK622" i="1"/>
  <c r="AM622" i="1"/>
  <c r="BF622" i="1"/>
  <c r="BG622" i="1"/>
  <c r="T623" i="1"/>
  <c r="U623" i="1"/>
  <c r="V623" i="1"/>
  <c r="W623" i="1"/>
  <c r="X623" i="1"/>
  <c r="Y623" i="1"/>
  <c r="Z623" i="1"/>
  <c r="AB623" i="1"/>
  <c r="AF623" i="1"/>
  <c r="AI623" i="1"/>
  <c r="AE624" i="1"/>
  <c r="AC624" i="1"/>
  <c r="AJ623" i="1"/>
  <c r="AK623" i="1"/>
  <c r="AM623" i="1"/>
  <c r="BF623" i="1"/>
  <c r="BG623" i="1"/>
  <c r="T624" i="1"/>
  <c r="U624" i="1"/>
  <c r="V624" i="1"/>
  <c r="W624" i="1"/>
  <c r="X624" i="1"/>
  <c r="Y624" i="1"/>
  <c r="Z624" i="1"/>
  <c r="AB624" i="1"/>
  <c r="AF624" i="1"/>
  <c r="AI624" i="1"/>
  <c r="H625" i="1"/>
  <c r="AE625" i="1"/>
  <c r="I625" i="1"/>
  <c r="J625" i="1"/>
  <c r="K625" i="1"/>
  <c r="AC625" i="1"/>
  <c r="AJ624" i="1"/>
  <c r="AK624" i="1"/>
  <c r="AM624" i="1"/>
  <c r="BG624" i="1"/>
  <c r="T625" i="1"/>
  <c r="U625" i="1"/>
  <c r="V625" i="1"/>
  <c r="W625" i="1"/>
  <c r="X625" i="1"/>
  <c r="Y625" i="1"/>
  <c r="Z625" i="1"/>
  <c r="AB625" i="1"/>
  <c r="AF625" i="1"/>
  <c r="AI625" i="1"/>
  <c r="AE626" i="1"/>
  <c r="AC626" i="1"/>
  <c r="AJ625" i="1"/>
  <c r="AK625" i="1"/>
  <c r="AM625" i="1"/>
  <c r="BF625" i="1"/>
  <c r="BG625" i="1"/>
  <c r="T626" i="1"/>
  <c r="U626" i="1"/>
  <c r="V626" i="1"/>
  <c r="W626" i="1"/>
  <c r="X626" i="1"/>
  <c r="Y626" i="1"/>
  <c r="Z626" i="1"/>
  <c r="AB626" i="1"/>
  <c r="AF626" i="1"/>
  <c r="AI626" i="1"/>
  <c r="AE627" i="1"/>
  <c r="AC627" i="1"/>
  <c r="AJ626" i="1"/>
  <c r="AK626" i="1"/>
  <c r="AM626" i="1"/>
  <c r="BF626" i="1"/>
  <c r="BG626" i="1"/>
  <c r="T627" i="1"/>
  <c r="U627" i="1"/>
  <c r="V627" i="1"/>
  <c r="W627" i="1"/>
  <c r="X627" i="1"/>
  <c r="Y627" i="1"/>
  <c r="Z627" i="1"/>
  <c r="AB627" i="1"/>
  <c r="AF627" i="1"/>
  <c r="AI627" i="1"/>
  <c r="AE628" i="1"/>
  <c r="AC628" i="1"/>
  <c r="AJ627" i="1"/>
  <c r="AK627" i="1"/>
  <c r="AM627" i="1"/>
  <c r="BF627" i="1"/>
  <c r="BG627" i="1"/>
  <c r="T628" i="1"/>
  <c r="U628" i="1"/>
  <c r="V628" i="1"/>
  <c r="W628" i="1"/>
  <c r="X628" i="1"/>
  <c r="Y628" i="1"/>
  <c r="Z628" i="1"/>
  <c r="AB628" i="1"/>
  <c r="AF628" i="1"/>
  <c r="AI628" i="1"/>
  <c r="H629" i="1"/>
  <c r="AE629" i="1"/>
  <c r="I629" i="1"/>
  <c r="J629" i="1"/>
  <c r="K629" i="1"/>
  <c r="AC629" i="1"/>
  <c r="AJ628" i="1"/>
  <c r="AK628" i="1"/>
  <c r="AM628" i="1"/>
  <c r="BG628" i="1"/>
  <c r="T629" i="1"/>
  <c r="U629" i="1"/>
  <c r="V629" i="1"/>
  <c r="W629" i="1"/>
  <c r="X629" i="1"/>
  <c r="Y629" i="1"/>
  <c r="Z629" i="1"/>
  <c r="AB629" i="1"/>
  <c r="AF629" i="1"/>
  <c r="AI629" i="1"/>
  <c r="H630" i="1"/>
  <c r="AE630" i="1"/>
  <c r="I630" i="1"/>
  <c r="J630" i="1"/>
  <c r="K630" i="1"/>
  <c r="AC630" i="1"/>
  <c r="AJ629" i="1"/>
  <c r="AK629" i="1"/>
  <c r="AM629" i="1"/>
  <c r="BF629" i="1"/>
  <c r="BG629" i="1"/>
  <c r="T630" i="1"/>
  <c r="U630" i="1"/>
  <c r="V630" i="1"/>
  <c r="W630" i="1"/>
  <c r="X630" i="1"/>
  <c r="Y630" i="1"/>
  <c r="Z630" i="1"/>
  <c r="AB630" i="1"/>
  <c r="AF630" i="1"/>
  <c r="AI630" i="1"/>
  <c r="H631" i="1"/>
  <c r="AE631" i="1"/>
  <c r="I631" i="1"/>
  <c r="J631" i="1"/>
  <c r="K631" i="1"/>
  <c r="AC631" i="1"/>
  <c r="AJ630" i="1"/>
  <c r="AK630" i="1"/>
  <c r="AM630" i="1"/>
  <c r="BF630" i="1"/>
  <c r="BG630" i="1"/>
  <c r="T631" i="1"/>
  <c r="U631" i="1"/>
  <c r="V631" i="1"/>
  <c r="W631" i="1"/>
  <c r="X631" i="1"/>
  <c r="Y631" i="1"/>
  <c r="Z631" i="1"/>
  <c r="AB631" i="1"/>
  <c r="AF631" i="1"/>
  <c r="AI631" i="1"/>
  <c r="H632" i="1"/>
  <c r="AE632" i="1"/>
  <c r="I632" i="1"/>
  <c r="J632" i="1"/>
  <c r="K632" i="1"/>
  <c r="AC632" i="1"/>
  <c r="AJ631" i="1"/>
  <c r="AK631" i="1"/>
  <c r="AM631" i="1"/>
  <c r="BF631" i="1"/>
  <c r="BG631" i="1"/>
  <c r="T632" i="1"/>
  <c r="U632" i="1"/>
  <c r="V632" i="1"/>
  <c r="W632" i="1"/>
  <c r="X632" i="1"/>
  <c r="Y632" i="1"/>
  <c r="Z632" i="1"/>
  <c r="AB632" i="1"/>
  <c r="AF632" i="1"/>
  <c r="AI632" i="1"/>
  <c r="AE633" i="1"/>
  <c r="AC633" i="1"/>
  <c r="AJ632" i="1"/>
  <c r="AK632" i="1"/>
  <c r="AM632" i="1"/>
  <c r="BF632" i="1"/>
  <c r="BG632" i="1"/>
  <c r="T633" i="1"/>
  <c r="U633" i="1"/>
  <c r="V633" i="1"/>
  <c r="W633" i="1"/>
  <c r="X633" i="1"/>
  <c r="Y633" i="1"/>
  <c r="Z633" i="1"/>
  <c r="AB633" i="1"/>
  <c r="AF633" i="1"/>
  <c r="AI633" i="1"/>
  <c r="AE634" i="1"/>
  <c r="AC634" i="1"/>
  <c r="AJ633" i="1"/>
  <c r="AK633" i="1"/>
  <c r="AM633" i="1"/>
  <c r="BF633" i="1"/>
  <c r="BG633" i="1"/>
  <c r="T634" i="1"/>
  <c r="U634" i="1"/>
  <c r="V634" i="1"/>
  <c r="W634" i="1"/>
  <c r="X634" i="1"/>
  <c r="Y634" i="1"/>
  <c r="Z634" i="1"/>
  <c r="AB634" i="1"/>
  <c r="AF634" i="1"/>
  <c r="AI634" i="1"/>
  <c r="H635" i="1"/>
  <c r="AE635" i="1"/>
  <c r="I635" i="1"/>
  <c r="J635" i="1"/>
  <c r="K635" i="1"/>
  <c r="AC635" i="1"/>
  <c r="AJ634" i="1"/>
  <c r="AK634" i="1"/>
  <c r="AM634" i="1"/>
  <c r="BG634" i="1"/>
  <c r="T635" i="1"/>
  <c r="U635" i="1"/>
  <c r="V635" i="1"/>
  <c r="W635" i="1"/>
  <c r="X635" i="1"/>
  <c r="Y635" i="1"/>
  <c r="Z635" i="1"/>
  <c r="AB635" i="1"/>
  <c r="AF635" i="1"/>
  <c r="AI635" i="1"/>
  <c r="AE636" i="1"/>
  <c r="AC636" i="1"/>
  <c r="AJ635" i="1"/>
  <c r="AK635" i="1"/>
  <c r="AM635" i="1"/>
  <c r="BF635" i="1"/>
  <c r="BG635" i="1"/>
  <c r="T636" i="1"/>
  <c r="U636" i="1"/>
  <c r="V636" i="1"/>
  <c r="W636" i="1"/>
  <c r="X636" i="1"/>
  <c r="Y636" i="1"/>
  <c r="Z636" i="1"/>
  <c r="AB636" i="1"/>
  <c r="AF636" i="1"/>
  <c r="AI636" i="1"/>
  <c r="AE637" i="1"/>
  <c r="AC637" i="1"/>
  <c r="AJ636" i="1"/>
  <c r="AK636" i="1"/>
  <c r="AM636" i="1"/>
  <c r="BF636" i="1"/>
  <c r="BG636" i="1"/>
  <c r="T637" i="1"/>
  <c r="U637" i="1"/>
  <c r="V637" i="1"/>
  <c r="W637" i="1"/>
  <c r="X637" i="1"/>
  <c r="Y637" i="1"/>
  <c r="Z637" i="1"/>
  <c r="AB637" i="1"/>
  <c r="AF637" i="1"/>
  <c r="AI637" i="1"/>
  <c r="AE638" i="1"/>
  <c r="AC638" i="1"/>
  <c r="AJ637" i="1"/>
  <c r="AK637" i="1"/>
  <c r="AM637" i="1"/>
  <c r="BF637" i="1"/>
  <c r="BG637" i="1"/>
  <c r="T638" i="1"/>
  <c r="U638" i="1"/>
  <c r="V638" i="1"/>
  <c r="W638" i="1"/>
  <c r="X638" i="1"/>
  <c r="Y638" i="1"/>
  <c r="Z638" i="1"/>
  <c r="AB638" i="1"/>
  <c r="AF638" i="1"/>
  <c r="AI638" i="1"/>
  <c r="H639" i="1"/>
  <c r="AE639" i="1"/>
  <c r="I639" i="1"/>
  <c r="J639" i="1"/>
  <c r="K639" i="1"/>
  <c r="AC639" i="1"/>
  <c r="AJ638" i="1"/>
  <c r="AK638" i="1"/>
  <c r="AM638" i="1"/>
  <c r="BG638" i="1"/>
  <c r="T639" i="1"/>
  <c r="U639" i="1"/>
  <c r="V639" i="1"/>
  <c r="W639" i="1"/>
  <c r="X639" i="1"/>
  <c r="Y639" i="1"/>
  <c r="Z639" i="1"/>
  <c r="AB639" i="1"/>
  <c r="AF639" i="1"/>
  <c r="AI639" i="1"/>
  <c r="H640" i="1"/>
  <c r="AE640" i="1"/>
  <c r="I640" i="1"/>
  <c r="J640" i="1"/>
  <c r="K640" i="1"/>
  <c r="AC640" i="1"/>
  <c r="AJ639" i="1"/>
  <c r="AK639" i="1"/>
  <c r="AM639" i="1"/>
  <c r="BF639" i="1"/>
  <c r="BG639" i="1"/>
  <c r="T640" i="1"/>
  <c r="U640" i="1"/>
  <c r="V640" i="1"/>
  <c r="W640" i="1"/>
  <c r="X640" i="1"/>
  <c r="Y640" i="1"/>
  <c r="Z640" i="1"/>
  <c r="AB640" i="1"/>
  <c r="AF640" i="1"/>
  <c r="AI640" i="1"/>
  <c r="H641" i="1"/>
  <c r="AE641" i="1"/>
  <c r="I641" i="1"/>
  <c r="J641" i="1"/>
  <c r="K641" i="1"/>
  <c r="AC641" i="1"/>
  <c r="AJ640" i="1"/>
  <c r="AK640" i="1"/>
  <c r="AM640" i="1"/>
  <c r="BF640" i="1"/>
  <c r="BG640" i="1"/>
  <c r="T641" i="1"/>
  <c r="U641" i="1"/>
  <c r="V641" i="1"/>
  <c r="W641" i="1"/>
  <c r="X641" i="1"/>
  <c r="Y641" i="1"/>
  <c r="Z641" i="1"/>
  <c r="AB641" i="1"/>
  <c r="AF641" i="1"/>
  <c r="AI641" i="1"/>
  <c r="H642" i="1"/>
  <c r="AE642" i="1"/>
  <c r="I642" i="1"/>
  <c r="J642" i="1"/>
  <c r="K642" i="1"/>
  <c r="AC642" i="1"/>
  <c r="AJ641" i="1"/>
  <c r="AK641" i="1"/>
  <c r="AM641" i="1"/>
  <c r="BF641" i="1"/>
  <c r="BG641" i="1"/>
  <c r="T642" i="1"/>
  <c r="U642" i="1"/>
  <c r="V642" i="1"/>
  <c r="W642" i="1"/>
  <c r="X642" i="1"/>
  <c r="Y642" i="1"/>
  <c r="Z642" i="1"/>
  <c r="AB642" i="1"/>
  <c r="AF642" i="1"/>
  <c r="AI642" i="1"/>
  <c r="H643" i="1"/>
  <c r="AE643" i="1"/>
  <c r="I643" i="1"/>
  <c r="J643" i="1"/>
  <c r="K643" i="1"/>
  <c r="AC643" i="1"/>
  <c r="AJ642" i="1"/>
  <c r="AK642" i="1"/>
  <c r="AM642" i="1"/>
  <c r="BF642" i="1"/>
  <c r="BG642" i="1"/>
  <c r="T643" i="1"/>
  <c r="U643" i="1"/>
  <c r="V643" i="1"/>
  <c r="W643" i="1"/>
  <c r="X643" i="1"/>
  <c r="Y643" i="1"/>
  <c r="Z643" i="1"/>
  <c r="AB643" i="1"/>
  <c r="AF643" i="1"/>
  <c r="AI643" i="1"/>
  <c r="H644" i="1"/>
  <c r="AE644" i="1"/>
  <c r="I644" i="1"/>
  <c r="J644" i="1"/>
  <c r="K644" i="1"/>
  <c r="AC644" i="1"/>
  <c r="AJ643" i="1"/>
  <c r="AK643" i="1"/>
  <c r="AM643" i="1"/>
  <c r="BF643" i="1"/>
  <c r="BG643" i="1"/>
  <c r="T644" i="1"/>
  <c r="U644" i="1"/>
  <c r="V644" i="1"/>
  <c r="W644" i="1"/>
  <c r="X644" i="1"/>
  <c r="Y644" i="1"/>
  <c r="Z644" i="1"/>
  <c r="AB644" i="1"/>
  <c r="AF644" i="1"/>
  <c r="AI644" i="1"/>
  <c r="H645" i="1"/>
  <c r="AE645" i="1"/>
  <c r="I645" i="1"/>
  <c r="J645" i="1"/>
  <c r="K645" i="1"/>
  <c r="AC645" i="1"/>
  <c r="AJ644" i="1"/>
  <c r="AK644" i="1"/>
  <c r="AM644" i="1"/>
  <c r="BF644" i="1"/>
  <c r="BG644" i="1"/>
  <c r="T645" i="1"/>
  <c r="U645" i="1"/>
  <c r="V645" i="1"/>
  <c r="W645" i="1"/>
  <c r="X645" i="1"/>
  <c r="Y645" i="1"/>
  <c r="Z645" i="1"/>
  <c r="AB645" i="1"/>
  <c r="AF645" i="1"/>
  <c r="AI645" i="1"/>
  <c r="AE646" i="1"/>
  <c r="AC646" i="1"/>
  <c r="AJ645" i="1"/>
  <c r="AK645" i="1"/>
  <c r="AM645" i="1"/>
  <c r="BF645" i="1"/>
  <c r="BG645" i="1"/>
  <c r="T646" i="1"/>
  <c r="U646" i="1"/>
  <c r="V646" i="1"/>
  <c r="W646" i="1"/>
  <c r="X646" i="1"/>
  <c r="Y646" i="1"/>
  <c r="Z646" i="1"/>
  <c r="AB646" i="1"/>
  <c r="AF646" i="1"/>
  <c r="AI646" i="1"/>
  <c r="AE647" i="1"/>
  <c r="AC647" i="1"/>
  <c r="AJ646" i="1"/>
  <c r="AK646" i="1"/>
  <c r="AM646" i="1"/>
  <c r="BF646" i="1"/>
  <c r="BG646" i="1"/>
  <c r="T647" i="1"/>
  <c r="U647" i="1"/>
  <c r="V647" i="1"/>
  <c r="W647" i="1"/>
  <c r="X647" i="1"/>
  <c r="Y647" i="1"/>
  <c r="Z647" i="1"/>
  <c r="AB647" i="1"/>
  <c r="AF647" i="1"/>
  <c r="AI647" i="1"/>
  <c r="H648" i="1"/>
  <c r="AE648" i="1"/>
  <c r="I648" i="1"/>
  <c r="J648" i="1"/>
  <c r="K648" i="1"/>
  <c r="AC648" i="1"/>
  <c r="AJ647" i="1"/>
  <c r="AK647" i="1"/>
  <c r="AM647" i="1"/>
  <c r="BG647" i="1"/>
  <c r="T648" i="1"/>
  <c r="U648" i="1"/>
  <c r="V648" i="1"/>
  <c r="W648" i="1"/>
  <c r="X648" i="1"/>
  <c r="Y648" i="1"/>
  <c r="Z648" i="1"/>
  <c r="AB648" i="1"/>
  <c r="AF648" i="1"/>
  <c r="AI648" i="1"/>
  <c r="AE649" i="1"/>
  <c r="AC649" i="1"/>
  <c r="AJ648" i="1"/>
  <c r="AK648" i="1"/>
  <c r="AM648" i="1"/>
  <c r="BF648" i="1"/>
  <c r="BG648" i="1"/>
  <c r="T649" i="1"/>
  <c r="U649" i="1"/>
  <c r="V649" i="1"/>
  <c r="W649" i="1"/>
  <c r="X649" i="1"/>
  <c r="Y649" i="1"/>
  <c r="Z649" i="1"/>
  <c r="AB649" i="1"/>
  <c r="AF649" i="1"/>
  <c r="AI649" i="1"/>
  <c r="AE650" i="1"/>
  <c r="AC650" i="1"/>
  <c r="AJ649" i="1"/>
  <c r="AK649" i="1"/>
  <c r="AM649" i="1"/>
  <c r="BF649" i="1"/>
  <c r="BG649" i="1"/>
  <c r="T650" i="1"/>
  <c r="U650" i="1"/>
  <c r="V650" i="1"/>
  <c r="W650" i="1"/>
  <c r="X650" i="1"/>
  <c r="Y650" i="1"/>
  <c r="Z650" i="1"/>
  <c r="AB650" i="1"/>
  <c r="AF650" i="1"/>
  <c r="AI650" i="1"/>
  <c r="AE651" i="1"/>
  <c r="AC651" i="1"/>
  <c r="AJ650" i="1"/>
  <c r="AK650" i="1"/>
  <c r="AM650" i="1"/>
  <c r="BF650" i="1"/>
  <c r="BG650" i="1"/>
  <c r="T651" i="1"/>
  <c r="U651" i="1"/>
  <c r="V651" i="1"/>
  <c r="W651" i="1"/>
  <c r="X651" i="1"/>
  <c r="Y651" i="1"/>
  <c r="Z651" i="1"/>
  <c r="AB651" i="1"/>
  <c r="AF651" i="1"/>
  <c r="AI651" i="1"/>
  <c r="H652" i="1"/>
  <c r="AE652" i="1"/>
  <c r="I652" i="1"/>
  <c r="J652" i="1"/>
  <c r="K652" i="1"/>
  <c r="AC652" i="1"/>
  <c r="AJ651" i="1"/>
  <c r="AK651" i="1"/>
  <c r="AM651" i="1"/>
  <c r="BG651" i="1"/>
  <c r="T652" i="1"/>
  <c r="U652" i="1"/>
  <c r="V652" i="1"/>
  <c r="W652" i="1"/>
  <c r="X652" i="1"/>
  <c r="Y652" i="1"/>
  <c r="Z652" i="1"/>
  <c r="AB652" i="1"/>
  <c r="AF652" i="1"/>
  <c r="AI652" i="1"/>
  <c r="AE653" i="1"/>
  <c r="AC653" i="1"/>
  <c r="AJ652" i="1"/>
  <c r="AK652" i="1"/>
  <c r="AM652" i="1"/>
  <c r="BF652" i="1"/>
  <c r="BG652" i="1"/>
  <c r="T653" i="1"/>
  <c r="U653" i="1"/>
  <c r="V653" i="1"/>
  <c r="W653" i="1"/>
  <c r="X653" i="1"/>
  <c r="Y653" i="1"/>
  <c r="Z653" i="1"/>
  <c r="AB653" i="1"/>
  <c r="AF653" i="1"/>
  <c r="AI653" i="1"/>
  <c r="AE654" i="1"/>
  <c r="AC654" i="1"/>
  <c r="AJ653" i="1"/>
  <c r="AK653" i="1"/>
  <c r="AM653" i="1"/>
  <c r="BF653" i="1"/>
  <c r="BG653" i="1"/>
  <c r="T654" i="1"/>
  <c r="U654" i="1"/>
  <c r="V654" i="1"/>
  <c r="W654" i="1"/>
  <c r="X654" i="1"/>
  <c r="Y654" i="1"/>
  <c r="Z654" i="1"/>
  <c r="AB654" i="1"/>
  <c r="AF654" i="1"/>
  <c r="AI654" i="1"/>
  <c r="H655" i="1"/>
  <c r="AE655" i="1"/>
  <c r="I655" i="1"/>
  <c r="J655" i="1"/>
  <c r="K655" i="1"/>
  <c r="AC655" i="1"/>
  <c r="AJ654" i="1"/>
  <c r="AK654" i="1"/>
  <c r="AM654" i="1"/>
  <c r="BG654" i="1"/>
  <c r="T655" i="1"/>
  <c r="U655" i="1"/>
  <c r="V655" i="1"/>
  <c r="W655" i="1"/>
  <c r="X655" i="1"/>
  <c r="Y655" i="1"/>
  <c r="Z655" i="1"/>
  <c r="AB655" i="1"/>
  <c r="AF655" i="1"/>
  <c r="AI655" i="1"/>
  <c r="AE656" i="1"/>
  <c r="AC656" i="1"/>
  <c r="AJ655" i="1"/>
  <c r="AK655" i="1"/>
  <c r="AM655" i="1"/>
  <c r="BF655" i="1"/>
  <c r="BG655" i="1"/>
  <c r="T656" i="1"/>
  <c r="U656" i="1"/>
  <c r="V656" i="1"/>
  <c r="W656" i="1"/>
  <c r="X656" i="1"/>
  <c r="Y656" i="1"/>
  <c r="Z656" i="1"/>
  <c r="AB656" i="1"/>
  <c r="AF656" i="1"/>
  <c r="AI656" i="1"/>
  <c r="AE657" i="1"/>
  <c r="AC657" i="1"/>
  <c r="AJ656" i="1"/>
  <c r="AK656" i="1"/>
  <c r="AM656" i="1"/>
  <c r="BF656" i="1"/>
  <c r="BG656" i="1"/>
  <c r="T657" i="1"/>
  <c r="U657" i="1"/>
  <c r="V657" i="1"/>
  <c r="W657" i="1"/>
  <c r="X657" i="1"/>
  <c r="Y657" i="1"/>
  <c r="Z657" i="1"/>
  <c r="AB657" i="1"/>
  <c r="AF657" i="1"/>
  <c r="AI657" i="1"/>
  <c r="H658" i="1"/>
  <c r="AE658" i="1"/>
  <c r="I658" i="1"/>
  <c r="J658" i="1"/>
  <c r="K658" i="1"/>
  <c r="AC658" i="1"/>
  <c r="AJ657" i="1"/>
  <c r="AK657" i="1"/>
  <c r="AM657" i="1"/>
  <c r="BG657" i="1"/>
  <c r="T658" i="1"/>
  <c r="U658" i="1"/>
  <c r="V658" i="1"/>
  <c r="W658" i="1"/>
  <c r="X658" i="1"/>
  <c r="Y658" i="1"/>
  <c r="Z658" i="1"/>
  <c r="AB658" i="1"/>
  <c r="AF658" i="1"/>
  <c r="AI658" i="1"/>
  <c r="AE659" i="1"/>
  <c r="AC659" i="1"/>
  <c r="AJ658" i="1"/>
  <c r="AK658" i="1"/>
  <c r="AM658" i="1"/>
  <c r="BF658" i="1"/>
  <c r="BG658" i="1"/>
  <c r="T659" i="1"/>
  <c r="U659" i="1"/>
  <c r="V659" i="1"/>
  <c r="W659" i="1"/>
  <c r="X659" i="1"/>
  <c r="Y659" i="1"/>
  <c r="Z659" i="1"/>
  <c r="AB659" i="1"/>
  <c r="AF659" i="1"/>
  <c r="AI659" i="1"/>
  <c r="AE660" i="1"/>
  <c r="AC660" i="1"/>
  <c r="AJ659" i="1"/>
  <c r="AK659" i="1"/>
  <c r="AM659" i="1"/>
  <c r="BF659" i="1"/>
  <c r="BG659" i="1"/>
  <c r="T660" i="1"/>
  <c r="U660" i="1"/>
  <c r="V660" i="1"/>
  <c r="W660" i="1"/>
  <c r="X660" i="1"/>
  <c r="Y660" i="1"/>
  <c r="Z660" i="1"/>
  <c r="AB660" i="1"/>
  <c r="AF660" i="1"/>
  <c r="AI660" i="1"/>
  <c r="H661" i="1"/>
  <c r="AE661" i="1"/>
  <c r="I661" i="1"/>
  <c r="J661" i="1"/>
  <c r="K661" i="1"/>
  <c r="AC661" i="1"/>
  <c r="AJ660" i="1"/>
  <c r="AK660" i="1"/>
  <c r="AM660" i="1"/>
  <c r="BG660" i="1"/>
  <c r="T661" i="1"/>
  <c r="U661" i="1"/>
  <c r="V661" i="1"/>
  <c r="W661" i="1"/>
  <c r="X661" i="1"/>
  <c r="Y661" i="1"/>
  <c r="Z661" i="1"/>
  <c r="AB661" i="1"/>
  <c r="AF661" i="1"/>
  <c r="AI661" i="1"/>
  <c r="H662" i="1"/>
  <c r="AE662" i="1"/>
  <c r="I662" i="1"/>
  <c r="J662" i="1"/>
  <c r="K662" i="1"/>
  <c r="AC662" i="1"/>
  <c r="AJ661" i="1"/>
  <c r="AK661" i="1"/>
  <c r="AM661" i="1"/>
  <c r="BF661" i="1"/>
  <c r="BG661" i="1"/>
  <c r="T662" i="1"/>
  <c r="U662" i="1"/>
  <c r="V662" i="1"/>
  <c r="W662" i="1"/>
  <c r="X662" i="1"/>
  <c r="Y662" i="1"/>
  <c r="Z662" i="1"/>
  <c r="AB662" i="1"/>
  <c r="AF662" i="1"/>
  <c r="AI662" i="1"/>
  <c r="H663" i="1"/>
  <c r="AE663" i="1"/>
  <c r="I663" i="1"/>
  <c r="J663" i="1"/>
  <c r="K663" i="1"/>
  <c r="AC663" i="1"/>
  <c r="AJ662" i="1"/>
  <c r="AK662" i="1"/>
  <c r="AM662" i="1"/>
  <c r="BF662" i="1"/>
  <c r="BG662" i="1"/>
  <c r="T663" i="1"/>
  <c r="U663" i="1"/>
  <c r="V663" i="1"/>
  <c r="W663" i="1"/>
  <c r="X663" i="1"/>
  <c r="Y663" i="1"/>
  <c r="Z663" i="1"/>
  <c r="AB663" i="1"/>
  <c r="AF663" i="1"/>
  <c r="AI663" i="1"/>
  <c r="H664" i="1"/>
  <c r="AE664" i="1"/>
  <c r="I664" i="1"/>
  <c r="J664" i="1"/>
  <c r="K664" i="1"/>
  <c r="AC664" i="1"/>
  <c r="AJ663" i="1"/>
  <c r="AK663" i="1"/>
  <c r="AM663" i="1"/>
  <c r="BF663" i="1"/>
  <c r="BG663" i="1"/>
  <c r="T664" i="1"/>
  <c r="U664" i="1"/>
  <c r="V664" i="1"/>
  <c r="W664" i="1"/>
  <c r="X664" i="1"/>
  <c r="Y664" i="1"/>
  <c r="Z664" i="1"/>
  <c r="AB664" i="1"/>
  <c r="AF664" i="1"/>
  <c r="AI664" i="1"/>
  <c r="AE665" i="1"/>
  <c r="AC665" i="1"/>
  <c r="AJ664" i="1"/>
  <c r="AK664" i="1"/>
  <c r="AM664" i="1"/>
  <c r="BF664" i="1"/>
  <c r="BG664" i="1"/>
  <c r="T665" i="1"/>
  <c r="U665" i="1"/>
  <c r="V665" i="1"/>
  <c r="W665" i="1"/>
  <c r="X665" i="1"/>
  <c r="Y665" i="1"/>
  <c r="Z665" i="1"/>
  <c r="AB665" i="1"/>
  <c r="AF665" i="1"/>
  <c r="AI665" i="1"/>
  <c r="AE666" i="1"/>
  <c r="AC666" i="1"/>
  <c r="AJ665" i="1"/>
  <c r="AK665" i="1"/>
  <c r="AM665" i="1"/>
  <c r="BF665" i="1"/>
  <c r="BG665" i="1"/>
  <c r="T666" i="1"/>
  <c r="U666" i="1"/>
  <c r="V666" i="1"/>
  <c r="W666" i="1"/>
  <c r="X666" i="1"/>
  <c r="Y666" i="1"/>
  <c r="Z666" i="1"/>
  <c r="AB666" i="1"/>
  <c r="AF666" i="1"/>
  <c r="AI666" i="1"/>
  <c r="H667" i="1"/>
  <c r="AE667" i="1"/>
  <c r="I667" i="1"/>
  <c r="J667" i="1"/>
  <c r="K667" i="1"/>
  <c r="AC667" i="1"/>
  <c r="AJ666" i="1"/>
  <c r="AK666" i="1"/>
  <c r="AM666" i="1"/>
  <c r="BG666" i="1"/>
  <c r="T667" i="1"/>
  <c r="U667" i="1"/>
  <c r="V667" i="1"/>
  <c r="W667" i="1"/>
  <c r="X667" i="1"/>
  <c r="Y667" i="1"/>
  <c r="Z667" i="1"/>
  <c r="AB667" i="1"/>
  <c r="AF667" i="1"/>
  <c r="AI667" i="1"/>
  <c r="AE668" i="1"/>
  <c r="AC668" i="1"/>
  <c r="AJ667" i="1"/>
  <c r="AK667" i="1"/>
  <c r="AM667" i="1"/>
  <c r="BF667" i="1"/>
  <c r="BG667" i="1"/>
  <c r="T668" i="1"/>
  <c r="U668" i="1"/>
  <c r="V668" i="1"/>
  <c r="W668" i="1"/>
  <c r="X668" i="1"/>
  <c r="Y668" i="1"/>
  <c r="Z668" i="1"/>
  <c r="AB668" i="1"/>
  <c r="AF668" i="1"/>
  <c r="AI668" i="1"/>
  <c r="AE669" i="1"/>
  <c r="AC669" i="1"/>
  <c r="AJ668" i="1"/>
  <c r="AK668" i="1"/>
  <c r="AM668" i="1"/>
  <c r="BF668" i="1"/>
  <c r="BG668" i="1"/>
  <c r="T669" i="1"/>
  <c r="U669" i="1"/>
  <c r="V669" i="1"/>
  <c r="W669" i="1"/>
  <c r="X669" i="1"/>
  <c r="Y669" i="1"/>
  <c r="Z669" i="1"/>
  <c r="AB669" i="1"/>
  <c r="AF669" i="1"/>
  <c r="AI669" i="1"/>
  <c r="H670" i="1"/>
  <c r="AE670" i="1"/>
  <c r="I670" i="1"/>
  <c r="J670" i="1"/>
  <c r="K670" i="1"/>
  <c r="AC670" i="1"/>
  <c r="AJ669" i="1"/>
  <c r="AK669" i="1"/>
  <c r="AM669" i="1"/>
  <c r="BG669" i="1"/>
  <c r="T670" i="1"/>
  <c r="U670" i="1"/>
  <c r="V670" i="1"/>
  <c r="W670" i="1"/>
  <c r="X670" i="1"/>
  <c r="Y670" i="1"/>
  <c r="Z670" i="1"/>
  <c r="AB670" i="1"/>
  <c r="AF670" i="1"/>
  <c r="AI670" i="1"/>
  <c r="AE671" i="1"/>
  <c r="AC671" i="1"/>
  <c r="AJ670" i="1"/>
  <c r="AK670" i="1"/>
  <c r="AM670" i="1"/>
  <c r="BF670" i="1"/>
  <c r="BG670" i="1"/>
  <c r="T671" i="1"/>
  <c r="U671" i="1"/>
  <c r="V671" i="1"/>
  <c r="W671" i="1"/>
  <c r="X671" i="1"/>
  <c r="Y671" i="1"/>
  <c r="Z671" i="1"/>
  <c r="AB671" i="1"/>
  <c r="AF671" i="1"/>
  <c r="AI671" i="1"/>
  <c r="AE672" i="1"/>
  <c r="AC672" i="1"/>
  <c r="AJ671" i="1"/>
  <c r="AK671" i="1"/>
  <c r="AM671" i="1"/>
  <c r="BF671" i="1"/>
  <c r="BG671" i="1"/>
  <c r="T672" i="1"/>
  <c r="U672" i="1"/>
  <c r="V672" i="1"/>
  <c r="W672" i="1"/>
  <c r="X672" i="1"/>
  <c r="Y672" i="1"/>
  <c r="Z672" i="1"/>
  <c r="AB672" i="1"/>
  <c r="AF672" i="1"/>
  <c r="AI672" i="1"/>
  <c r="H673" i="1"/>
  <c r="AE673" i="1"/>
  <c r="I673" i="1"/>
  <c r="J673" i="1"/>
  <c r="K673" i="1"/>
  <c r="AC673" i="1"/>
  <c r="AJ672" i="1"/>
  <c r="AK672" i="1"/>
  <c r="AM672" i="1"/>
  <c r="BG672" i="1"/>
  <c r="T673" i="1"/>
  <c r="U673" i="1"/>
  <c r="V673" i="1"/>
  <c r="W673" i="1"/>
  <c r="X673" i="1"/>
  <c r="Y673" i="1"/>
  <c r="Z673" i="1"/>
  <c r="AB673" i="1"/>
  <c r="AF673" i="1"/>
  <c r="AI673" i="1"/>
  <c r="H674" i="1"/>
  <c r="AE674" i="1"/>
  <c r="I674" i="1"/>
  <c r="J674" i="1"/>
  <c r="K674" i="1"/>
  <c r="AC674" i="1"/>
  <c r="AJ673" i="1"/>
  <c r="AK673" i="1"/>
  <c r="AM673" i="1"/>
  <c r="BF673" i="1"/>
  <c r="BG673" i="1"/>
  <c r="T674" i="1"/>
  <c r="U674" i="1"/>
  <c r="V674" i="1"/>
  <c r="W674" i="1"/>
  <c r="X674" i="1"/>
  <c r="Y674" i="1"/>
  <c r="Z674" i="1"/>
  <c r="AB674" i="1"/>
  <c r="AF674" i="1"/>
  <c r="AI674" i="1"/>
  <c r="H675" i="1"/>
  <c r="AE675" i="1"/>
  <c r="I675" i="1"/>
  <c r="J675" i="1"/>
  <c r="K675" i="1"/>
  <c r="AC675" i="1"/>
  <c r="AJ674" i="1"/>
  <c r="AK674" i="1"/>
  <c r="AM674" i="1"/>
  <c r="BF674" i="1"/>
  <c r="BG674" i="1"/>
  <c r="T675" i="1"/>
  <c r="U675" i="1"/>
  <c r="V675" i="1"/>
  <c r="W675" i="1"/>
  <c r="X675" i="1"/>
  <c r="Y675" i="1"/>
  <c r="Z675" i="1"/>
  <c r="AB675" i="1"/>
  <c r="AF675" i="1"/>
  <c r="AI675" i="1"/>
  <c r="H676" i="1"/>
  <c r="AE676" i="1"/>
  <c r="I676" i="1"/>
  <c r="J676" i="1"/>
  <c r="K676" i="1"/>
  <c r="AC676" i="1"/>
  <c r="AJ675" i="1"/>
  <c r="AK675" i="1"/>
  <c r="AM675" i="1"/>
  <c r="BF675" i="1"/>
  <c r="BG675" i="1"/>
  <c r="T676" i="1"/>
  <c r="U676" i="1"/>
  <c r="V676" i="1"/>
  <c r="W676" i="1"/>
  <c r="X676" i="1"/>
  <c r="Y676" i="1"/>
  <c r="Z676" i="1"/>
  <c r="AB676" i="1"/>
  <c r="AF676" i="1"/>
  <c r="AI676" i="1"/>
  <c r="AE677" i="1"/>
  <c r="AC677" i="1"/>
  <c r="AJ676" i="1"/>
  <c r="AK676" i="1"/>
  <c r="AM676" i="1"/>
  <c r="BF676" i="1"/>
  <c r="BG676" i="1"/>
  <c r="T677" i="1"/>
  <c r="U677" i="1"/>
  <c r="V677" i="1"/>
  <c r="W677" i="1"/>
  <c r="X677" i="1"/>
  <c r="Y677" i="1"/>
  <c r="Z677" i="1"/>
  <c r="AB677" i="1"/>
  <c r="AF677" i="1"/>
  <c r="AI677" i="1"/>
  <c r="AE678" i="1"/>
  <c r="AC678" i="1"/>
  <c r="AJ677" i="1"/>
  <c r="AK677" i="1"/>
  <c r="AM677" i="1"/>
  <c r="BF677" i="1"/>
  <c r="BG677" i="1"/>
  <c r="T678" i="1"/>
  <c r="U678" i="1"/>
  <c r="V678" i="1"/>
  <c r="W678" i="1"/>
  <c r="X678" i="1"/>
  <c r="Y678" i="1"/>
  <c r="Z678" i="1"/>
  <c r="AB678" i="1"/>
  <c r="AF678" i="1"/>
  <c r="AI678" i="1"/>
  <c r="H679" i="1"/>
  <c r="AE679" i="1"/>
  <c r="I679" i="1"/>
  <c r="J679" i="1"/>
  <c r="K679" i="1"/>
  <c r="AC679" i="1"/>
  <c r="AJ678" i="1"/>
  <c r="AK678" i="1"/>
  <c r="AM678" i="1"/>
  <c r="BG678" i="1"/>
  <c r="T679" i="1"/>
  <c r="U679" i="1"/>
  <c r="V679" i="1"/>
  <c r="W679" i="1"/>
  <c r="X679" i="1"/>
  <c r="Y679" i="1"/>
  <c r="Z679" i="1"/>
  <c r="AB679" i="1"/>
  <c r="AF679" i="1"/>
  <c r="AI679" i="1"/>
  <c r="AE680" i="1"/>
  <c r="AC680" i="1"/>
  <c r="AJ679" i="1"/>
  <c r="AK679" i="1"/>
  <c r="AM679" i="1"/>
  <c r="BF679" i="1"/>
  <c r="BG679" i="1"/>
  <c r="T680" i="1"/>
  <c r="U680" i="1"/>
  <c r="V680" i="1"/>
  <c r="W680" i="1"/>
  <c r="X680" i="1"/>
  <c r="Y680" i="1"/>
  <c r="Z680" i="1"/>
  <c r="AB680" i="1"/>
  <c r="AF680" i="1"/>
  <c r="AI680" i="1"/>
  <c r="AE681" i="1"/>
  <c r="AC681" i="1"/>
  <c r="AJ680" i="1"/>
  <c r="AK680" i="1"/>
  <c r="AM680" i="1"/>
  <c r="BF680" i="1"/>
  <c r="BG680" i="1"/>
  <c r="T681" i="1"/>
  <c r="U681" i="1"/>
  <c r="V681" i="1"/>
  <c r="W681" i="1"/>
  <c r="X681" i="1"/>
  <c r="Y681" i="1"/>
  <c r="Z681" i="1"/>
  <c r="AB681" i="1"/>
  <c r="AF681" i="1"/>
  <c r="AI681" i="1"/>
  <c r="H682" i="1"/>
  <c r="AE682" i="1"/>
  <c r="I682" i="1"/>
  <c r="J682" i="1"/>
  <c r="K682" i="1"/>
  <c r="AC682" i="1"/>
  <c r="AJ681" i="1"/>
  <c r="AK681" i="1"/>
  <c r="AM681" i="1"/>
  <c r="BG681" i="1"/>
  <c r="T682" i="1"/>
  <c r="U682" i="1"/>
  <c r="V682" i="1"/>
  <c r="W682" i="1"/>
  <c r="X682" i="1"/>
  <c r="Y682" i="1"/>
  <c r="Z682" i="1"/>
  <c r="AB682" i="1"/>
  <c r="AF682" i="1"/>
  <c r="AI682" i="1"/>
  <c r="AE683" i="1"/>
  <c r="AC683" i="1"/>
  <c r="AJ682" i="1"/>
  <c r="AK682" i="1"/>
  <c r="AM682" i="1"/>
  <c r="BF682" i="1"/>
  <c r="BG682" i="1"/>
  <c r="T683" i="1"/>
  <c r="U683" i="1"/>
  <c r="V683" i="1"/>
  <c r="W683" i="1"/>
  <c r="X683" i="1"/>
  <c r="Y683" i="1"/>
  <c r="Z683" i="1"/>
  <c r="AB683" i="1"/>
  <c r="AF683" i="1"/>
  <c r="AI683" i="1"/>
  <c r="AE684" i="1"/>
  <c r="AC684" i="1"/>
  <c r="AJ683" i="1"/>
  <c r="AK683" i="1"/>
  <c r="AM683" i="1"/>
  <c r="BF683" i="1"/>
  <c r="BG683" i="1"/>
  <c r="T684" i="1"/>
  <c r="U684" i="1"/>
  <c r="V684" i="1"/>
  <c r="W684" i="1"/>
  <c r="X684" i="1"/>
  <c r="Y684" i="1"/>
  <c r="Z684" i="1"/>
  <c r="AB684" i="1"/>
  <c r="AF684" i="1"/>
  <c r="AI684" i="1"/>
  <c r="H685" i="1"/>
  <c r="AE685" i="1"/>
  <c r="I685" i="1"/>
  <c r="J685" i="1"/>
  <c r="K685" i="1"/>
  <c r="AC685" i="1"/>
  <c r="AJ684" i="1"/>
  <c r="AK684" i="1"/>
  <c r="AM684" i="1"/>
  <c r="BG684" i="1"/>
  <c r="T685" i="1"/>
  <c r="U685" i="1"/>
  <c r="V685" i="1"/>
  <c r="W685" i="1"/>
  <c r="X685" i="1"/>
  <c r="Y685" i="1"/>
  <c r="Z685" i="1"/>
  <c r="AB685" i="1"/>
  <c r="AF685" i="1"/>
  <c r="AI685" i="1"/>
  <c r="H686" i="1"/>
  <c r="AE686" i="1"/>
  <c r="I686" i="1"/>
  <c r="J686" i="1"/>
  <c r="K686" i="1"/>
  <c r="AC686" i="1"/>
  <c r="AJ685" i="1"/>
  <c r="AK685" i="1"/>
  <c r="AM685" i="1"/>
  <c r="BF685" i="1"/>
  <c r="BG685" i="1"/>
  <c r="T686" i="1"/>
  <c r="U686" i="1"/>
  <c r="V686" i="1"/>
  <c r="W686" i="1"/>
  <c r="X686" i="1"/>
  <c r="Y686" i="1"/>
  <c r="Z686" i="1"/>
  <c r="AB686" i="1"/>
  <c r="AF686" i="1"/>
  <c r="AI686" i="1"/>
  <c r="H687" i="1"/>
  <c r="AE687" i="1"/>
  <c r="I687" i="1"/>
  <c r="J687" i="1"/>
  <c r="K687" i="1"/>
  <c r="AC687" i="1"/>
  <c r="AJ686" i="1"/>
  <c r="AK686" i="1"/>
  <c r="AM686" i="1"/>
  <c r="BF686" i="1"/>
  <c r="BG686" i="1"/>
  <c r="T687" i="1"/>
  <c r="U687" i="1"/>
  <c r="V687" i="1"/>
  <c r="W687" i="1"/>
  <c r="X687" i="1"/>
  <c r="Y687" i="1"/>
  <c r="Z687" i="1"/>
  <c r="AB687" i="1"/>
  <c r="AF687" i="1"/>
  <c r="AI687" i="1"/>
  <c r="AE688" i="1"/>
  <c r="AC688" i="1"/>
  <c r="AJ687" i="1"/>
  <c r="AK687" i="1"/>
  <c r="AM687" i="1"/>
  <c r="BF687" i="1"/>
  <c r="BG687" i="1"/>
  <c r="T688" i="1"/>
  <c r="U688" i="1"/>
  <c r="V688" i="1"/>
  <c r="W688" i="1"/>
  <c r="X688" i="1"/>
  <c r="Y688" i="1"/>
  <c r="Z688" i="1"/>
  <c r="AB688" i="1"/>
  <c r="AF688" i="1"/>
  <c r="AI688" i="1"/>
  <c r="AE689" i="1"/>
  <c r="AC689" i="1"/>
  <c r="AJ688" i="1"/>
  <c r="AK688" i="1"/>
  <c r="AM688" i="1"/>
  <c r="BF688" i="1"/>
  <c r="BG688" i="1"/>
  <c r="T689" i="1"/>
  <c r="U689" i="1"/>
  <c r="V689" i="1"/>
  <c r="W689" i="1"/>
  <c r="X689" i="1"/>
  <c r="Y689" i="1"/>
  <c r="Z689" i="1"/>
  <c r="AB689" i="1"/>
  <c r="AF689" i="1"/>
  <c r="AI689" i="1"/>
  <c r="H690" i="1"/>
  <c r="AE690" i="1"/>
  <c r="I690" i="1"/>
  <c r="J690" i="1"/>
  <c r="K690" i="1"/>
  <c r="AC690" i="1"/>
  <c r="AJ689" i="1"/>
  <c r="AK689" i="1"/>
  <c r="AM689" i="1"/>
  <c r="BG689" i="1"/>
  <c r="T690" i="1"/>
  <c r="U690" i="1"/>
  <c r="V690" i="1"/>
  <c r="W690" i="1"/>
  <c r="X690" i="1"/>
  <c r="Y690" i="1"/>
  <c r="Z690" i="1"/>
  <c r="AB690" i="1"/>
  <c r="AF690" i="1"/>
  <c r="AI690" i="1"/>
  <c r="AE691" i="1"/>
  <c r="AC691" i="1"/>
  <c r="AJ690" i="1"/>
  <c r="AK690" i="1"/>
  <c r="AM690" i="1"/>
  <c r="BF690" i="1"/>
  <c r="BG690" i="1"/>
  <c r="T691" i="1"/>
  <c r="U691" i="1"/>
  <c r="V691" i="1"/>
  <c r="W691" i="1"/>
  <c r="X691" i="1"/>
  <c r="Y691" i="1"/>
  <c r="Z691" i="1"/>
  <c r="AB691" i="1"/>
  <c r="AF691" i="1"/>
  <c r="AI691" i="1"/>
  <c r="AE692" i="1"/>
  <c r="AC692" i="1"/>
  <c r="AJ691" i="1"/>
  <c r="AK691" i="1"/>
  <c r="AM691" i="1"/>
  <c r="BF691" i="1"/>
  <c r="BG691" i="1"/>
  <c r="T692" i="1"/>
  <c r="U692" i="1"/>
  <c r="V692" i="1"/>
  <c r="W692" i="1"/>
  <c r="X692" i="1"/>
  <c r="Y692" i="1"/>
  <c r="Z692" i="1"/>
  <c r="AB692" i="1"/>
  <c r="AF692" i="1"/>
  <c r="AI692" i="1"/>
  <c r="H693" i="1"/>
  <c r="AE693" i="1"/>
  <c r="I693" i="1"/>
  <c r="J693" i="1"/>
  <c r="K693" i="1"/>
  <c r="AC693" i="1"/>
  <c r="AJ692" i="1"/>
  <c r="AK692" i="1"/>
  <c r="AM692" i="1"/>
  <c r="BG692" i="1"/>
  <c r="T693" i="1"/>
  <c r="U693" i="1"/>
  <c r="V693" i="1"/>
  <c r="W693" i="1"/>
  <c r="X693" i="1"/>
  <c r="Y693" i="1"/>
  <c r="Z693" i="1"/>
  <c r="AB693" i="1"/>
  <c r="AF693" i="1"/>
  <c r="AI693" i="1"/>
  <c r="H694" i="1"/>
  <c r="AE694" i="1"/>
  <c r="I694" i="1"/>
  <c r="J694" i="1"/>
  <c r="K694" i="1"/>
  <c r="AC694" i="1"/>
  <c r="AJ693" i="1"/>
  <c r="AK693" i="1"/>
  <c r="AM693" i="1"/>
  <c r="BF693" i="1"/>
  <c r="BG693" i="1"/>
  <c r="T694" i="1"/>
  <c r="U694" i="1"/>
  <c r="V694" i="1"/>
  <c r="W694" i="1"/>
  <c r="X694" i="1"/>
  <c r="Y694" i="1"/>
  <c r="Z694" i="1"/>
  <c r="AB694" i="1"/>
  <c r="AF694" i="1"/>
  <c r="AI694" i="1"/>
  <c r="AE695" i="1"/>
  <c r="AC695" i="1"/>
  <c r="AJ694" i="1"/>
  <c r="AK694" i="1"/>
  <c r="AM694" i="1"/>
  <c r="BF694" i="1"/>
  <c r="BG694" i="1"/>
  <c r="T695" i="1"/>
  <c r="U695" i="1"/>
  <c r="V695" i="1"/>
  <c r="W695" i="1"/>
  <c r="X695" i="1"/>
  <c r="Y695" i="1"/>
  <c r="Z695" i="1"/>
  <c r="AB695" i="1"/>
  <c r="AF695" i="1"/>
  <c r="AI695" i="1"/>
  <c r="AE696" i="1"/>
  <c r="AC696" i="1"/>
  <c r="AJ695" i="1"/>
  <c r="AK695" i="1"/>
  <c r="AM695" i="1"/>
  <c r="BF695" i="1"/>
  <c r="BG695" i="1"/>
  <c r="T696" i="1"/>
  <c r="U696" i="1"/>
  <c r="V696" i="1"/>
  <c r="W696" i="1"/>
  <c r="X696" i="1"/>
  <c r="Y696" i="1"/>
  <c r="Z696" i="1"/>
  <c r="AB696" i="1"/>
  <c r="AF696" i="1"/>
  <c r="AI696" i="1"/>
  <c r="H697" i="1"/>
  <c r="AE697" i="1"/>
  <c r="I697" i="1"/>
  <c r="J697" i="1"/>
  <c r="K697" i="1"/>
  <c r="AC697" i="1"/>
  <c r="AJ696" i="1"/>
  <c r="AK696" i="1"/>
  <c r="AM696" i="1"/>
  <c r="BG696" i="1"/>
  <c r="T697" i="1"/>
  <c r="U697" i="1"/>
  <c r="V697" i="1"/>
  <c r="W697" i="1"/>
  <c r="X697" i="1"/>
  <c r="Y697" i="1"/>
  <c r="Z697" i="1"/>
  <c r="AB697" i="1"/>
  <c r="AF697" i="1"/>
  <c r="AI697" i="1"/>
  <c r="AE698" i="1"/>
  <c r="AC698" i="1"/>
  <c r="AJ697" i="1"/>
  <c r="AK697" i="1"/>
  <c r="AM697" i="1"/>
  <c r="BF697" i="1"/>
  <c r="BG697" i="1"/>
  <c r="T698" i="1"/>
  <c r="U698" i="1"/>
  <c r="V698" i="1"/>
  <c r="W698" i="1"/>
  <c r="X698" i="1"/>
  <c r="Y698" i="1"/>
  <c r="Z698" i="1"/>
  <c r="AB698" i="1"/>
  <c r="AF698" i="1"/>
  <c r="AI698" i="1"/>
  <c r="AE699" i="1"/>
  <c r="AC699" i="1"/>
  <c r="AJ698" i="1"/>
  <c r="AK698" i="1"/>
  <c r="AM698" i="1"/>
  <c r="BF698" i="1"/>
  <c r="BG698" i="1"/>
  <c r="T699" i="1"/>
  <c r="U699" i="1"/>
  <c r="V699" i="1"/>
  <c r="W699" i="1"/>
  <c r="X699" i="1"/>
  <c r="Y699" i="1"/>
  <c r="Z699" i="1"/>
  <c r="AB699" i="1"/>
  <c r="AF699" i="1"/>
  <c r="AI699" i="1"/>
  <c r="H700" i="1"/>
  <c r="AE700" i="1"/>
  <c r="I700" i="1"/>
  <c r="J700" i="1"/>
  <c r="K700" i="1"/>
  <c r="AC700" i="1"/>
  <c r="AJ699" i="1"/>
  <c r="AK699" i="1"/>
  <c r="AM699" i="1"/>
  <c r="BG699" i="1"/>
  <c r="T700" i="1"/>
  <c r="U700" i="1"/>
  <c r="V700" i="1"/>
  <c r="W700" i="1"/>
  <c r="X700" i="1"/>
  <c r="Y700" i="1"/>
  <c r="Z700" i="1"/>
  <c r="AB700" i="1"/>
  <c r="AF700" i="1"/>
  <c r="AI700" i="1"/>
  <c r="H701" i="1"/>
  <c r="AE701" i="1"/>
  <c r="I701" i="1"/>
  <c r="J701" i="1"/>
  <c r="K701" i="1"/>
  <c r="AC701" i="1"/>
  <c r="AJ700" i="1"/>
  <c r="AK700" i="1"/>
  <c r="AM700" i="1"/>
  <c r="BF700" i="1"/>
  <c r="BG700" i="1"/>
  <c r="T701" i="1"/>
  <c r="U701" i="1"/>
  <c r="V701" i="1"/>
  <c r="W701" i="1"/>
  <c r="X701" i="1"/>
  <c r="Y701" i="1"/>
  <c r="Z701" i="1"/>
  <c r="AB701" i="1"/>
  <c r="AF701" i="1"/>
  <c r="AI701" i="1"/>
  <c r="H702" i="1"/>
  <c r="AE702" i="1"/>
  <c r="I702" i="1"/>
  <c r="J702" i="1"/>
  <c r="K702" i="1"/>
  <c r="AC702" i="1"/>
  <c r="AJ701" i="1"/>
  <c r="AK701" i="1"/>
  <c r="AM701" i="1"/>
  <c r="BF701" i="1"/>
  <c r="BG701" i="1"/>
  <c r="T702" i="1"/>
  <c r="U702" i="1"/>
  <c r="V702" i="1"/>
  <c r="W702" i="1"/>
  <c r="X702" i="1"/>
  <c r="Y702" i="1"/>
  <c r="Z702" i="1"/>
  <c r="AB702" i="1"/>
  <c r="AF702" i="1"/>
  <c r="AI702" i="1"/>
  <c r="AE703" i="1"/>
  <c r="AC703" i="1"/>
  <c r="AJ702" i="1"/>
  <c r="AK702" i="1"/>
  <c r="AM702" i="1"/>
  <c r="BF702" i="1"/>
  <c r="BG702" i="1"/>
  <c r="T703" i="1"/>
  <c r="U703" i="1"/>
  <c r="V703" i="1"/>
  <c r="W703" i="1"/>
  <c r="X703" i="1"/>
  <c r="Y703" i="1"/>
  <c r="Z703" i="1"/>
  <c r="AB703" i="1"/>
  <c r="AF703" i="1"/>
  <c r="AI703" i="1"/>
  <c r="AE704" i="1"/>
  <c r="AC704" i="1"/>
  <c r="AJ703" i="1"/>
  <c r="AK703" i="1"/>
  <c r="AM703" i="1"/>
  <c r="BF703" i="1"/>
  <c r="BG703" i="1"/>
  <c r="T704" i="1"/>
  <c r="U704" i="1"/>
  <c r="V704" i="1"/>
  <c r="W704" i="1"/>
  <c r="X704" i="1"/>
  <c r="Y704" i="1"/>
  <c r="Z704" i="1"/>
  <c r="AB704" i="1"/>
  <c r="AF704" i="1"/>
  <c r="AI704" i="1"/>
  <c r="H705" i="1"/>
  <c r="AE705" i="1"/>
  <c r="I705" i="1"/>
  <c r="J705" i="1"/>
  <c r="K705" i="1"/>
  <c r="AC705" i="1"/>
  <c r="AJ704" i="1"/>
  <c r="AK704" i="1"/>
  <c r="AM704" i="1"/>
  <c r="BG704" i="1"/>
  <c r="T705" i="1"/>
  <c r="U705" i="1"/>
  <c r="V705" i="1"/>
  <c r="W705" i="1"/>
  <c r="X705" i="1"/>
  <c r="Y705" i="1"/>
  <c r="Z705" i="1"/>
  <c r="AB705" i="1"/>
  <c r="AF705" i="1"/>
  <c r="AI705" i="1"/>
  <c r="AE706" i="1"/>
  <c r="AC706" i="1"/>
  <c r="AJ705" i="1"/>
  <c r="AK705" i="1"/>
  <c r="AM705" i="1"/>
  <c r="BF705" i="1"/>
  <c r="BG705" i="1"/>
  <c r="T706" i="1"/>
  <c r="U706" i="1"/>
  <c r="V706" i="1"/>
  <c r="W706" i="1"/>
  <c r="X706" i="1"/>
  <c r="Y706" i="1"/>
  <c r="Z706" i="1"/>
  <c r="AB706" i="1"/>
  <c r="AF706" i="1"/>
  <c r="AI706" i="1"/>
  <c r="AE707" i="1"/>
  <c r="AC707" i="1"/>
  <c r="AJ706" i="1"/>
  <c r="AK706" i="1"/>
  <c r="AM706" i="1"/>
  <c r="BF706" i="1"/>
  <c r="BG706" i="1"/>
  <c r="T707" i="1"/>
  <c r="U707" i="1"/>
  <c r="V707" i="1"/>
  <c r="W707" i="1"/>
  <c r="X707" i="1"/>
  <c r="Y707" i="1"/>
  <c r="Z707" i="1"/>
  <c r="AB707" i="1"/>
  <c r="AF707" i="1"/>
  <c r="AI707" i="1"/>
  <c r="H708" i="1"/>
  <c r="AE708" i="1"/>
  <c r="I708" i="1"/>
  <c r="J708" i="1"/>
  <c r="K708" i="1"/>
  <c r="AC708" i="1"/>
  <c r="AJ707" i="1"/>
  <c r="AK707" i="1"/>
  <c r="AM707" i="1"/>
  <c r="BG707" i="1"/>
  <c r="T708" i="1"/>
  <c r="U708" i="1"/>
  <c r="V708" i="1"/>
  <c r="W708" i="1"/>
  <c r="X708" i="1"/>
  <c r="Y708" i="1"/>
  <c r="Z708" i="1"/>
  <c r="AB708" i="1"/>
  <c r="AF708" i="1"/>
  <c r="AI708" i="1"/>
  <c r="H709" i="1"/>
  <c r="AE709" i="1"/>
  <c r="I709" i="1"/>
  <c r="J709" i="1"/>
  <c r="K709" i="1"/>
  <c r="AC709" i="1"/>
  <c r="AJ708" i="1"/>
  <c r="AK708" i="1"/>
  <c r="AM708" i="1"/>
  <c r="BF708" i="1"/>
  <c r="BG708" i="1"/>
  <c r="T709" i="1"/>
  <c r="U709" i="1"/>
  <c r="V709" i="1"/>
  <c r="W709" i="1"/>
  <c r="X709" i="1"/>
  <c r="Y709" i="1"/>
  <c r="Z709" i="1"/>
  <c r="AB709" i="1"/>
  <c r="AF709" i="1"/>
  <c r="AI709" i="1"/>
  <c r="H710" i="1"/>
  <c r="AE710" i="1"/>
  <c r="I710" i="1"/>
  <c r="J710" i="1"/>
  <c r="K710" i="1"/>
  <c r="AC710" i="1"/>
  <c r="AJ709" i="1"/>
  <c r="AK709" i="1"/>
  <c r="AM709" i="1"/>
  <c r="BF709" i="1"/>
  <c r="BG709" i="1"/>
  <c r="T710" i="1"/>
  <c r="U710" i="1"/>
  <c r="V710" i="1"/>
  <c r="W710" i="1"/>
  <c r="X710" i="1"/>
  <c r="Y710" i="1"/>
  <c r="Z710" i="1"/>
  <c r="AB710" i="1"/>
  <c r="AF710" i="1"/>
  <c r="AI710" i="1"/>
  <c r="AE711" i="1"/>
  <c r="AC711" i="1"/>
  <c r="AJ710" i="1"/>
  <c r="AK710" i="1"/>
  <c r="AM710" i="1"/>
  <c r="BF710" i="1"/>
  <c r="BG710" i="1"/>
  <c r="T711" i="1"/>
  <c r="U711" i="1"/>
  <c r="V711" i="1"/>
  <c r="W711" i="1"/>
  <c r="X711" i="1"/>
  <c r="Y711" i="1"/>
  <c r="Z711" i="1"/>
  <c r="AB711" i="1"/>
  <c r="AF711" i="1"/>
  <c r="AI711" i="1"/>
  <c r="AE712" i="1"/>
  <c r="AC712" i="1"/>
  <c r="AJ711" i="1"/>
  <c r="AK711" i="1"/>
  <c r="AM711" i="1"/>
  <c r="BF711" i="1"/>
  <c r="BG711" i="1"/>
  <c r="T712" i="1"/>
  <c r="U712" i="1"/>
  <c r="V712" i="1"/>
  <c r="W712" i="1"/>
  <c r="X712" i="1"/>
  <c r="Y712" i="1"/>
  <c r="Z712" i="1"/>
  <c r="AB712" i="1"/>
  <c r="AF712" i="1"/>
  <c r="AI712" i="1"/>
  <c r="H713" i="1"/>
  <c r="AE713" i="1"/>
  <c r="I713" i="1"/>
  <c r="J713" i="1"/>
  <c r="K713" i="1"/>
  <c r="AC713" i="1"/>
  <c r="AJ712" i="1"/>
  <c r="AK712" i="1"/>
  <c r="AM712" i="1"/>
  <c r="BG712" i="1"/>
  <c r="T713" i="1"/>
  <c r="U713" i="1"/>
  <c r="V713" i="1"/>
  <c r="W713" i="1"/>
  <c r="X713" i="1"/>
  <c r="Y713" i="1"/>
  <c r="Z713" i="1"/>
  <c r="AB713" i="1"/>
  <c r="AF713" i="1"/>
  <c r="AI713" i="1"/>
  <c r="H714" i="1"/>
  <c r="AE714" i="1"/>
  <c r="I714" i="1"/>
  <c r="J714" i="1"/>
  <c r="K714" i="1"/>
  <c r="AC714" i="1"/>
  <c r="AJ713" i="1"/>
  <c r="AK713" i="1"/>
  <c r="AM713" i="1"/>
  <c r="BF713" i="1"/>
  <c r="BG713" i="1"/>
  <c r="T714" i="1"/>
  <c r="U714" i="1"/>
  <c r="V714" i="1"/>
  <c r="W714" i="1"/>
  <c r="X714" i="1"/>
  <c r="Y714" i="1"/>
  <c r="Z714" i="1"/>
  <c r="AB714" i="1"/>
  <c r="AF714" i="1"/>
  <c r="AI714" i="1"/>
  <c r="H715" i="1"/>
  <c r="AE715" i="1"/>
  <c r="I715" i="1"/>
  <c r="J715" i="1"/>
  <c r="K715" i="1"/>
  <c r="AC715" i="1"/>
  <c r="AJ714" i="1"/>
  <c r="AK714" i="1"/>
  <c r="AM714" i="1"/>
  <c r="BF714" i="1"/>
  <c r="BG714" i="1"/>
  <c r="T715" i="1"/>
  <c r="U715" i="1"/>
  <c r="V715" i="1"/>
  <c r="W715" i="1"/>
  <c r="X715" i="1"/>
  <c r="Y715" i="1"/>
  <c r="Z715" i="1"/>
  <c r="AB715" i="1"/>
  <c r="AF715" i="1"/>
  <c r="AI715" i="1"/>
  <c r="AE716" i="1"/>
  <c r="AC716" i="1"/>
  <c r="AJ715" i="1"/>
  <c r="AK715" i="1"/>
  <c r="AM715" i="1"/>
  <c r="BF715" i="1"/>
  <c r="BG715" i="1"/>
  <c r="T716" i="1"/>
  <c r="U716" i="1"/>
  <c r="V716" i="1"/>
  <c r="W716" i="1"/>
  <c r="X716" i="1"/>
  <c r="Y716" i="1"/>
  <c r="Z716" i="1"/>
  <c r="AB716" i="1"/>
  <c r="AF716" i="1"/>
  <c r="AI716" i="1"/>
  <c r="AE717" i="1"/>
  <c r="AC717" i="1"/>
  <c r="AJ716" i="1"/>
  <c r="AK716" i="1"/>
  <c r="AM716" i="1"/>
  <c r="BF716" i="1"/>
  <c r="BG716" i="1"/>
  <c r="T717" i="1"/>
  <c r="U717" i="1"/>
  <c r="V717" i="1"/>
  <c r="W717" i="1"/>
  <c r="X717" i="1"/>
  <c r="Y717" i="1"/>
  <c r="Z717" i="1"/>
  <c r="AB717" i="1"/>
  <c r="AF717" i="1"/>
  <c r="AI717" i="1"/>
  <c r="H718" i="1"/>
  <c r="AE718" i="1"/>
  <c r="I718" i="1"/>
  <c r="J718" i="1"/>
  <c r="K718" i="1"/>
  <c r="AC718" i="1"/>
  <c r="AJ717" i="1"/>
  <c r="AK717" i="1"/>
  <c r="AM717" i="1"/>
  <c r="BG717" i="1"/>
  <c r="T718" i="1"/>
  <c r="U718" i="1"/>
  <c r="V718" i="1"/>
  <c r="W718" i="1"/>
  <c r="X718" i="1"/>
  <c r="Y718" i="1"/>
  <c r="Z718" i="1"/>
  <c r="AB718" i="1"/>
  <c r="AF718" i="1"/>
  <c r="AI718" i="1"/>
  <c r="AE719" i="1"/>
  <c r="AC719" i="1"/>
  <c r="AJ718" i="1"/>
  <c r="AK718" i="1"/>
  <c r="AM718" i="1"/>
  <c r="BF718" i="1"/>
  <c r="BG718" i="1"/>
  <c r="T719" i="1"/>
  <c r="U719" i="1"/>
  <c r="V719" i="1"/>
  <c r="W719" i="1"/>
  <c r="X719" i="1"/>
  <c r="Y719" i="1"/>
  <c r="Z719" i="1"/>
  <c r="AB719" i="1"/>
  <c r="AF719" i="1"/>
  <c r="AI719" i="1"/>
  <c r="AE720" i="1"/>
  <c r="AC720" i="1"/>
  <c r="AJ719" i="1"/>
  <c r="AK719" i="1"/>
  <c r="AM719" i="1"/>
  <c r="BF719" i="1"/>
  <c r="BG719" i="1"/>
  <c r="T720" i="1"/>
  <c r="U720" i="1"/>
  <c r="V720" i="1"/>
  <c r="W720" i="1"/>
  <c r="X720" i="1"/>
  <c r="Y720" i="1"/>
  <c r="Z720" i="1"/>
  <c r="AB720" i="1"/>
  <c r="AF720" i="1"/>
  <c r="AI720" i="1"/>
  <c r="H721" i="1"/>
  <c r="AE721" i="1"/>
  <c r="I721" i="1"/>
  <c r="J721" i="1"/>
  <c r="K721" i="1"/>
  <c r="AC721" i="1"/>
  <c r="AJ720" i="1"/>
  <c r="AK720" i="1"/>
  <c r="AM720" i="1"/>
  <c r="BG720" i="1"/>
  <c r="T721" i="1"/>
  <c r="U721" i="1"/>
  <c r="V721" i="1"/>
  <c r="W721" i="1"/>
  <c r="X721" i="1"/>
  <c r="Y721" i="1"/>
  <c r="Z721" i="1"/>
  <c r="AB721" i="1"/>
  <c r="AF721" i="1"/>
  <c r="AI721" i="1"/>
  <c r="H722" i="1"/>
  <c r="AE722" i="1"/>
  <c r="I722" i="1"/>
  <c r="J722" i="1"/>
  <c r="K722" i="1"/>
  <c r="AC722" i="1"/>
  <c r="AJ721" i="1"/>
  <c r="AK721" i="1"/>
  <c r="AM721" i="1"/>
  <c r="BF721" i="1"/>
  <c r="BG721" i="1"/>
  <c r="T722" i="1"/>
  <c r="U722" i="1"/>
  <c r="V722" i="1"/>
  <c r="W722" i="1"/>
  <c r="X722" i="1"/>
  <c r="Y722" i="1"/>
  <c r="Z722" i="1"/>
  <c r="AB722" i="1"/>
  <c r="AF722" i="1"/>
  <c r="AI722" i="1"/>
  <c r="H723" i="1"/>
  <c r="AE723" i="1"/>
  <c r="I723" i="1"/>
  <c r="J723" i="1"/>
  <c r="K723" i="1"/>
  <c r="AC723" i="1"/>
  <c r="AJ722" i="1"/>
  <c r="AK722" i="1"/>
  <c r="AM722" i="1"/>
  <c r="BF722" i="1"/>
  <c r="BG722" i="1"/>
  <c r="T723" i="1"/>
  <c r="U723" i="1"/>
  <c r="V723" i="1"/>
  <c r="W723" i="1"/>
  <c r="X723" i="1"/>
  <c r="Y723" i="1"/>
  <c r="Z723" i="1"/>
  <c r="AB723" i="1"/>
  <c r="AF723" i="1"/>
  <c r="AI723" i="1"/>
  <c r="AE724" i="1"/>
  <c r="AC724" i="1"/>
  <c r="AJ723" i="1"/>
  <c r="AK723" i="1"/>
  <c r="AM723" i="1"/>
  <c r="BF723" i="1"/>
  <c r="BG723" i="1"/>
  <c r="T724" i="1"/>
  <c r="U724" i="1"/>
  <c r="V724" i="1"/>
  <c r="W724" i="1"/>
  <c r="X724" i="1"/>
  <c r="Y724" i="1"/>
  <c r="Z724" i="1"/>
  <c r="AB724" i="1"/>
  <c r="AF724" i="1"/>
  <c r="AI724" i="1"/>
  <c r="AE725" i="1"/>
  <c r="AC725" i="1"/>
  <c r="AJ724" i="1"/>
  <c r="AK724" i="1"/>
  <c r="AM724" i="1"/>
  <c r="BF724" i="1"/>
  <c r="BG724" i="1"/>
  <c r="T725" i="1"/>
  <c r="U725" i="1"/>
  <c r="V725" i="1"/>
  <c r="W725" i="1"/>
  <c r="X725" i="1"/>
  <c r="Y725" i="1"/>
  <c r="Z725" i="1"/>
  <c r="AB725" i="1"/>
  <c r="AF725" i="1"/>
  <c r="AI725" i="1"/>
  <c r="H726" i="1"/>
  <c r="AE726" i="1"/>
  <c r="I726" i="1"/>
  <c r="J726" i="1"/>
  <c r="K726" i="1"/>
  <c r="AC726" i="1"/>
  <c r="AJ725" i="1"/>
  <c r="AK725" i="1"/>
  <c r="AM725" i="1"/>
  <c r="BG725" i="1"/>
  <c r="T726" i="1"/>
  <c r="U726" i="1"/>
  <c r="V726" i="1"/>
  <c r="W726" i="1"/>
  <c r="X726" i="1"/>
  <c r="Y726" i="1"/>
  <c r="Z726" i="1"/>
  <c r="AB726" i="1"/>
  <c r="AF726" i="1"/>
  <c r="AI726" i="1"/>
  <c r="AE727" i="1"/>
  <c r="AC727" i="1"/>
  <c r="AJ726" i="1"/>
  <c r="AK726" i="1"/>
  <c r="AM726" i="1"/>
  <c r="BF726" i="1"/>
  <c r="BG726" i="1"/>
  <c r="T727" i="1"/>
  <c r="U727" i="1"/>
  <c r="V727" i="1"/>
  <c r="W727" i="1"/>
  <c r="X727" i="1"/>
  <c r="Y727" i="1"/>
  <c r="Z727" i="1"/>
  <c r="AB727" i="1"/>
  <c r="AF727" i="1"/>
  <c r="AI727" i="1"/>
  <c r="AE728" i="1"/>
  <c r="AC728" i="1"/>
  <c r="AJ727" i="1"/>
  <c r="AK727" i="1"/>
  <c r="AM727" i="1"/>
  <c r="BF727" i="1"/>
  <c r="BG727" i="1"/>
  <c r="T728" i="1"/>
  <c r="U728" i="1"/>
  <c r="V728" i="1"/>
  <c r="W728" i="1"/>
  <c r="X728" i="1"/>
  <c r="Y728" i="1"/>
  <c r="Z728" i="1"/>
  <c r="AB728" i="1"/>
  <c r="AF728" i="1"/>
  <c r="AI728" i="1"/>
  <c r="H729" i="1"/>
  <c r="AE729" i="1"/>
  <c r="I729" i="1"/>
  <c r="J729" i="1"/>
  <c r="K729" i="1"/>
  <c r="AC729" i="1"/>
  <c r="AJ728" i="1"/>
  <c r="AK728" i="1"/>
  <c r="AM728" i="1"/>
  <c r="BG728" i="1"/>
  <c r="T729" i="1"/>
  <c r="U729" i="1"/>
  <c r="V729" i="1"/>
  <c r="W729" i="1"/>
  <c r="X729" i="1"/>
  <c r="Y729" i="1"/>
  <c r="Z729" i="1"/>
  <c r="AB729" i="1"/>
  <c r="AF729" i="1"/>
  <c r="AI729" i="1"/>
  <c r="AE730" i="1"/>
  <c r="AC730" i="1"/>
  <c r="AJ729" i="1"/>
  <c r="AK729" i="1"/>
  <c r="AM729" i="1"/>
  <c r="BF729" i="1"/>
  <c r="BG729" i="1"/>
  <c r="T730" i="1"/>
  <c r="U730" i="1"/>
  <c r="V730" i="1"/>
  <c r="W730" i="1"/>
  <c r="X730" i="1"/>
  <c r="Y730" i="1"/>
  <c r="Z730" i="1"/>
  <c r="AB730" i="1"/>
  <c r="AF730" i="1"/>
  <c r="AI730" i="1"/>
  <c r="AE731" i="1"/>
  <c r="AC731" i="1"/>
  <c r="AJ730" i="1"/>
  <c r="AK730" i="1"/>
  <c r="AM730" i="1"/>
  <c r="BF730" i="1"/>
  <c r="BG730" i="1"/>
  <c r="T731" i="1"/>
  <c r="U731" i="1"/>
  <c r="V731" i="1"/>
  <c r="W731" i="1"/>
  <c r="X731" i="1"/>
  <c r="Y731" i="1"/>
  <c r="Z731" i="1"/>
  <c r="AB731" i="1"/>
  <c r="AF731" i="1"/>
  <c r="AI731" i="1"/>
  <c r="H732" i="1"/>
  <c r="AE732" i="1"/>
  <c r="I732" i="1"/>
  <c r="J732" i="1"/>
  <c r="K732" i="1"/>
  <c r="AC732" i="1"/>
  <c r="AJ731" i="1"/>
  <c r="AK731" i="1"/>
  <c r="AM731" i="1"/>
  <c r="BG731" i="1"/>
  <c r="T732" i="1"/>
  <c r="U732" i="1"/>
  <c r="V732" i="1"/>
  <c r="W732" i="1"/>
  <c r="X732" i="1"/>
  <c r="Y732" i="1"/>
  <c r="Z732" i="1"/>
  <c r="AB732" i="1"/>
  <c r="AF732" i="1"/>
  <c r="AI732" i="1"/>
  <c r="H733" i="1"/>
  <c r="AE733" i="1"/>
  <c r="I733" i="1"/>
  <c r="J733" i="1"/>
  <c r="K733" i="1"/>
  <c r="AC733" i="1"/>
  <c r="AJ732" i="1"/>
  <c r="AK732" i="1"/>
  <c r="AM732" i="1"/>
  <c r="BF732" i="1"/>
  <c r="BG732" i="1"/>
  <c r="T733" i="1"/>
  <c r="U733" i="1"/>
  <c r="V733" i="1"/>
  <c r="W733" i="1"/>
  <c r="X733" i="1"/>
  <c r="Y733" i="1"/>
  <c r="Z733" i="1"/>
  <c r="AB733" i="1"/>
  <c r="AF733" i="1"/>
  <c r="AI733" i="1"/>
  <c r="H734" i="1"/>
  <c r="AE734" i="1"/>
  <c r="I734" i="1"/>
  <c r="J734" i="1"/>
  <c r="K734" i="1"/>
  <c r="AC734" i="1"/>
  <c r="AJ733" i="1"/>
  <c r="AK733" i="1"/>
  <c r="AM733" i="1"/>
  <c r="BF733" i="1"/>
  <c r="BG733" i="1"/>
  <c r="T734" i="1"/>
  <c r="U734" i="1"/>
  <c r="V734" i="1"/>
  <c r="W734" i="1"/>
  <c r="X734" i="1"/>
  <c r="Y734" i="1"/>
  <c r="Z734" i="1"/>
  <c r="AB734" i="1"/>
  <c r="AF734" i="1"/>
  <c r="AI734" i="1"/>
  <c r="H735" i="1"/>
  <c r="AE735" i="1"/>
  <c r="I735" i="1"/>
  <c r="J735" i="1"/>
  <c r="K735" i="1"/>
  <c r="AC735" i="1"/>
  <c r="AJ734" i="1"/>
  <c r="AK734" i="1"/>
  <c r="AM734" i="1"/>
  <c r="BF734" i="1"/>
  <c r="BG734" i="1"/>
  <c r="T735" i="1"/>
  <c r="U735" i="1"/>
  <c r="V735" i="1"/>
  <c r="W735" i="1"/>
  <c r="X735" i="1"/>
  <c r="Y735" i="1"/>
  <c r="Z735" i="1"/>
  <c r="AB735" i="1"/>
  <c r="AF735" i="1"/>
  <c r="AI735" i="1"/>
  <c r="H736" i="1"/>
  <c r="AE736" i="1"/>
  <c r="I736" i="1"/>
  <c r="J736" i="1"/>
  <c r="K736" i="1"/>
  <c r="AC736" i="1"/>
  <c r="AJ735" i="1"/>
  <c r="AK735" i="1"/>
  <c r="AM735" i="1"/>
  <c r="BF735" i="1"/>
  <c r="BG735" i="1"/>
  <c r="T736" i="1"/>
  <c r="U736" i="1"/>
  <c r="V736" i="1"/>
  <c r="W736" i="1"/>
  <c r="X736" i="1"/>
  <c r="Y736" i="1"/>
  <c r="Z736" i="1"/>
  <c r="AB736" i="1"/>
  <c r="AF736" i="1"/>
  <c r="AI736" i="1"/>
  <c r="H737" i="1"/>
  <c r="AE737" i="1"/>
  <c r="I737" i="1"/>
  <c r="J737" i="1"/>
  <c r="K737" i="1"/>
  <c r="AC737" i="1"/>
  <c r="AJ736" i="1"/>
  <c r="AK736" i="1"/>
  <c r="AM736" i="1"/>
  <c r="BF736" i="1"/>
  <c r="BG736" i="1"/>
  <c r="T737" i="1"/>
  <c r="U737" i="1"/>
  <c r="V737" i="1"/>
  <c r="W737" i="1"/>
  <c r="X737" i="1"/>
  <c r="Y737" i="1"/>
  <c r="Z737" i="1"/>
  <c r="AB737" i="1"/>
  <c r="AF737" i="1"/>
  <c r="AI737" i="1"/>
  <c r="H738" i="1"/>
  <c r="AE738" i="1"/>
  <c r="I738" i="1"/>
  <c r="J738" i="1"/>
  <c r="K738" i="1"/>
  <c r="AC738" i="1"/>
  <c r="AJ737" i="1"/>
  <c r="AK737" i="1"/>
  <c r="AM737" i="1"/>
  <c r="BF737" i="1"/>
  <c r="BG737" i="1"/>
  <c r="T738" i="1"/>
  <c r="U738" i="1"/>
  <c r="V738" i="1"/>
  <c r="W738" i="1"/>
  <c r="X738" i="1"/>
  <c r="Y738" i="1"/>
  <c r="Z738" i="1"/>
  <c r="AB738" i="1"/>
  <c r="AF738" i="1"/>
  <c r="AI738" i="1"/>
  <c r="H739" i="1"/>
  <c r="AE739" i="1"/>
  <c r="I739" i="1"/>
  <c r="J739" i="1"/>
  <c r="K739" i="1"/>
  <c r="AC739" i="1"/>
  <c r="AJ738" i="1"/>
  <c r="AK738" i="1"/>
  <c r="AM738" i="1"/>
  <c r="BF738" i="1"/>
  <c r="BG738" i="1"/>
  <c r="T739" i="1"/>
  <c r="U739" i="1"/>
  <c r="V739" i="1"/>
  <c r="W739" i="1"/>
  <c r="X739" i="1"/>
  <c r="Y739" i="1"/>
  <c r="Z739" i="1"/>
  <c r="AB739" i="1"/>
  <c r="AF739" i="1"/>
  <c r="AI739" i="1"/>
  <c r="AE740" i="1"/>
  <c r="AC740" i="1"/>
  <c r="AJ739" i="1"/>
  <c r="AK739" i="1"/>
  <c r="AM739" i="1"/>
  <c r="BF739" i="1"/>
  <c r="BG739" i="1"/>
  <c r="T740" i="1"/>
  <c r="U740" i="1"/>
  <c r="V740" i="1"/>
  <c r="W740" i="1"/>
  <c r="X740" i="1"/>
  <c r="Y740" i="1"/>
  <c r="Z740" i="1"/>
  <c r="AB740" i="1"/>
  <c r="AF740" i="1"/>
  <c r="AI740" i="1"/>
  <c r="AE741" i="1"/>
  <c r="AC741" i="1"/>
  <c r="AJ740" i="1"/>
  <c r="AK740" i="1"/>
  <c r="AM740" i="1"/>
  <c r="BF740" i="1"/>
  <c r="BG740" i="1"/>
  <c r="T741" i="1"/>
  <c r="U741" i="1"/>
  <c r="V741" i="1"/>
  <c r="W741" i="1"/>
  <c r="X741" i="1"/>
  <c r="Y741" i="1"/>
  <c r="Z741" i="1"/>
  <c r="AB741" i="1"/>
  <c r="AF741" i="1"/>
  <c r="AI741" i="1"/>
  <c r="H742" i="1"/>
  <c r="AE742" i="1"/>
  <c r="I742" i="1"/>
  <c r="J742" i="1"/>
  <c r="K742" i="1"/>
  <c r="AC742" i="1"/>
  <c r="AJ741" i="1"/>
  <c r="AK741" i="1"/>
  <c r="AM741" i="1"/>
  <c r="BG741" i="1"/>
  <c r="T742" i="1"/>
  <c r="U742" i="1"/>
  <c r="V742" i="1"/>
  <c r="W742" i="1"/>
  <c r="X742" i="1"/>
  <c r="Y742" i="1"/>
  <c r="Z742" i="1"/>
  <c r="AB742" i="1"/>
  <c r="AF742" i="1"/>
  <c r="AI742" i="1"/>
  <c r="AE743" i="1"/>
  <c r="AC743" i="1"/>
  <c r="AJ742" i="1"/>
  <c r="AK742" i="1"/>
  <c r="AM742" i="1"/>
  <c r="BF742" i="1"/>
  <c r="BG742" i="1"/>
  <c r="T743" i="1"/>
  <c r="U743" i="1"/>
  <c r="V743" i="1"/>
  <c r="W743" i="1"/>
  <c r="X743" i="1"/>
  <c r="Y743" i="1"/>
  <c r="Z743" i="1"/>
  <c r="AB743" i="1"/>
  <c r="AF743" i="1"/>
  <c r="AI743" i="1"/>
  <c r="AE744" i="1"/>
  <c r="AC744" i="1"/>
  <c r="AJ743" i="1"/>
  <c r="AK743" i="1"/>
  <c r="AM743" i="1"/>
  <c r="BF743" i="1"/>
  <c r="BG743" i="1"/>
  <c r="T744" i="1"/>
  <c r="U744" i="1"/>
  <c r="V744" i="1"/>
  <c r="W744" i="1"/>
  <c r="X744" i="1"/>
  <c r="Y744" i="1"/>
  <c r="Z744" i="1"/>
  <c r="AB744" i="1"/>
  <c r="AF744" i="1"/>
  <c r="AI744" i="1"/>
  <c r="H745" i="1"/>
  <c r="AE745" i="1"/>
  <c r="I745" i="1"/>
  <c r="J745" i="1"/>
  <c r="K745" i="1"/>
  <c r="AC745" i="1"/>
  <c r="AJ744" i="1"/>
  <c r="AK744" i="1"/>
  <c r="AM744" i="1"/>
  <c r="BG744" i="1"/>
  <c r="T745" i="1"/>
  <c r="U745" i="1"/>
  <c r="V745" i="1"/>
  <c r="W745" i="1"/>
  <c r="X745" i="1"/>
  <c r="Y745" i="1"/>
  <c r="Z745" i="1"/>
  <c r="AB745" i="1"/>
  <c r="AF745" i="1"/>
  <c r="AI745" i="1"/>
  <c r="H746" i="1"/>
  <c r="AE746" i="1"/>
  <c r="I746" i="1"/>
  <c r="J746" i="1"/>
  <c r="K746" i="1"/>
  <c r="AC746" i="1"/>
  <c r="AJ745" i="1"/>
  <c r="AK745" i="1"/>
  <c r="AM745" i="1"/>
  <c r="BF745" i="1"/>
  <c r="BG745" i="1"/>
  <c r="T746" i="1"/>
  <c r="U746" i="1"/>
  <c r="V746" i="1"/>
  <c r="W746" i="1"/>
  <c r="X746" i="1"/>
  <c r="Y746" i="1"/>
  <c r="Z746" i="1"/>
  <c r="AB746" i="1"/>
  <c r="AF746" i="1"/>
  <c r="AI746" i="1"/>
  <c r="H747" i="1"/>
  <c r="AE747" i="1"/>
  <c r="I747" i="1"/>
  <c r="J747" i="1"/>
  <c r="K747" i="1"/>
  <c r="AC747" i="1"/>
  <c r="AJ746" i="1"/>
  <c r="AK746" i="1"/>
  <c r="AM746" i="1"/>
  <c r="BF746" i="1"/>
  <c r="BG746" i="1"/>
  <c r="T747" i="1"/>
  <c r="U747" i="1"/>
  <c r="V747" i="1"/>
  <c r="W747" i="1"/>
  <c r="X747" i="1"/>
  <c r="Y747" i="1"/>
  <c r="Z747" i="1"/>
  <c r="AB747" i="1"/>
  <c r="AF747" i="1"/>
  <c r="AI747" i="1"/>
  <c r="AE748" i="1"/>
  <c r="AC748" i="1"/>
  <c r="AJ747" i="1"/>
  <c r="AK747" i="1"/>
  <c r="AM747" i="1"/>
  <c r="BF747" i="1"/>
  <c r="BG747" i="1"/>
  <c r="T748" i="1"/>
  <c r="U748" i="1"/>
  <c r="V748" i="1"/>
  <c r="W748" i="1"/>
  <c r="X748" i="1"/>
  <c r="Y748" i="1"/>
  <c r="Z748" i="1"/>
  <c r="AB748" i="1"/>
  <c r="AF748" i="1"/>
  <c r="AI748" i="1"/>
  <c r="AE749" i="1"/>
  <c r="AC749" i="1"/>
  <c r="AJ748" i="1"/>
  <c r="AK748" i="1"/>
  <c r="AM748" i="1"/>
  <c r="BF748" i="1"/>
  <c r="BG748" i="1"/>
  <c r="T749" i="1"/>
  <c r="U749" i="1"/>
  <c r="V749" i="1"/>
  <c r="W749" i="1"/>
  <c r="X749" i="1"/>
  <c r="Y749" i="1"/>
  <c r="Z749" i="1"/>
  <c r="AB749" i="1"/>
  <c r="AF749" i="1"/>
  <c r="AI749" i="1"/>
  <c r="H750" i="1"/>
  <c r="AE750" i="1"/>
  <c r="I750" i="1"/>
  <c r="J750" i="1"/>
  <c r="K750" i="1"/>
  <c r="AC750" i="1"/>
  <c r="AJ749" i="1"/>
  <c r="AK749" i="1"/>
  <c r="AM749" i="1"/>
  <c r="BG749" i="1"/>
  <c r="T750" i="1"/>
  <c r="U750" i="1"/>
  <c r="V750" i="1"/>
  <c r="W750" i="1"/>
  <c r="X750" i="1"/>
  <c r="Y750" i="1"/>
  <c r="Z750" i="1"/>
  <c r="AB750" i="1"/>
  <c r="AF750" i="1"/>
  <c r="AI750" i="1"/>
  <c r="AE751" i="1"/>
  <c r="AC751" i="1"/>
  <c r="AJ750" i="1"/>
  <c r="AK750" i="1"/>
  <c r="AM750" i="1"/>
  <c r="BF750" i="1"/>
  <c r="BG750" i="1"/>
  <c r="T751" i="1"/>
  <c r="U751" i="1"/>
  <c r="V751" i="1"/>
  <c r="W751" i="1"/>
  <c r="X751" i="1"/>
  <c r="Y751" i="1"/>
  <c r="Z751" i="1"/>
  <c r="AB751" i="1"/>
  <c r="AF751" i="1"/>
  <c r="AI751" i="1"/>
  <c r="AE752" i="1"/>
  <c r="AC752" i="1"/>
  <c r="AJ751" i="1"/>
  <c r="AK751" i="1"/>
  <c r="AM751" i="1"/>
  <c r="BF751" i="1"/>
  <c r="BG751" i="1"/>
  <c r="T752" i="1"/>
  <c r="U752" i="1"/>
  <c r="V752" i="1"/>
  <c r="W752" i="1"/>
  <c r="X752" i="1"/>
  <c r="Y752" i="1"/>
  <c r="Z752" i="1"/>
  <c r="AB752" i="1"/>
  <c r="AF752" i="1"/>
  <c r="AI752" i="1"/>
  <c r="H753" i="1"/>
  <c r="AE753" i="1"/>
  <c r="I753" i="1"/>
  <c r="J753" i="1"/>
  <c r="K753" i="1"/>
  <c r="AC753" i="1"/>
  <c r="AJ752" i="1"/>
  <c r="AK752" i="1"/>
  <c r="AM752" i="1"/>
  <c r="BG752" i="1"/>
  <c r="T753" i="1"/>
  <c r="U753" i="1"/>
  <c r="V753" i="1"/>
  <c r="W753" i="1"/>
  <c r="X753" i="1"/>
  <c r="Y753" i="1"/>
  <c r="Z753" i="1"/>
  <c r="AB753" i="1"/>
  <c r="AF753" i="1"/>
  <c r="AI753" i="1"/>
  <c r="H754" i="1"/>
  <c r="AE754" i="1"/>
  <c r="I754" i="1"/>
  <c r="J754" i="1"/>
  <c r="K754" i="1"/>
  <c r="AC754" i="1"/>
  <c r="AJ753" i="1"/>
  <c r="AK753" i="1"/>
  <c r="AM753" i="1"/>
  <c r="BF753" i="1"/>
  <c r="BG753" i="1"/>
  <c r="T754" i="1"/>
  <c r="U754" i="1"/>
  <c r="V754" i="1"/>
  <c r="W754" i="1"/>
  <c r="X754" i="1"/>
  <c r="Y754" i="1"/>
  <c r="Z754" i="1"/>
  <c r="AB754" i="1"/>
  <c r="AF754" i="1"/>
  <c r="AI754" i="1"/>
  <c r="AE755" i="1"/>
  <c r="AC755" i="1"/>
  <c r="AJ754" i="1"/>
  <c r="AK754" i="1"/>
  <c r="AM754" i="1"/>
  <c r="BF754" i="1"/>
  <c r="BG754" i="1"/>
  <c r="T755" i="1"/>
  <c r="U755" i="1"/>
  <c r="V755" i="1"/>
  <c r="W755" i="1"/>
  <c r="X755" i="1"/>
  <c r="Y755" i="1"/>
  <c r="Z755" i="1"/>
  <c r="AB755" i="1"/>
  <c r="AF755" i="1"/>
  <c r="AI755" i="1"/>
  <c r="AE756" i="1"/>
  <c r="AC756" i="1"/>
  <c r="AJ755" i="1"/>
  <c r="AK755" i="1"/>
  <c r="AM755" i="1"/>
  <c r="BF755" i="1"/>
  <c r="BG755" i="1"/>
  <c r="T756" i="1"/>
  <c r="U756" i="1"/>
  <c r="V756" i="1"/>
  <c r="W756" i="1"/>
  <c r="X756" i="1"/>
  <c r="Y756" i="1"/>
  <c r="Z756" i="1"/>
  <c r="AB756" i="1"/>
  <c r="AF756" i="1"/>
  <c r="AI756" i="1"/>
  <c r="H757" i="1"/>
  <c r="AE757" i="1"/>
  <c r="I757" i="1"/>
  <c r="J757" i="1"/>
  <c r="K757" i="1"/>
  <c r="AC757" i="1"/>
  <c r="AJ756" i="1"/>
  <c r="AK756" i="1"/>
  <c r="AM756" i="1"/>
  <c r="BG756" i="1"/>
  <c r="T757" i="1"/>
  <c r="U757" i="1"/>
  <c r="V757" i="1"/>
  <c r="W757" i="1"/>
  <c r="X757" i="1"/>
  <c r="Y757" i="1"/>
  <c r="Z757" i="1"/>
  <c r="AB757" i="1"/>
  <c r="AF757" i="1"/>
  <c r="AI757" i="1"/>
  <c r="AE758" i="1"/>
  <c r="AC758" i="1"/>
  <c r="AJ757" i="1"/>
  <c r="AK757" i="1"/>
  <c r="AM757" i="1"/>
  <c r="BF757" i="1"/>
  <c r="BG757" i="1"/>
  <c r="T758" i="1"/>
  <c r="U758" i="1"/>
  <c r="V758" i="1"/>
  <c r="W758" i="1"/>
  <c r="X758" i="1"/>
  <c r="Y758" i="1"/>
  <c r="Z758" i="1"/>
  <c r="AB758" i="1"/>
  <c r="AF758" i="1"/>
  <c r="AI758" i="1"/>
  <c r="AE759" i="1"/>
  <c r="AC759" i="1"/>
  <c r="AJ758" i="1"/>
  <c r="AK758" i="1"/>
  <c r="AM758" i="1"/>
  <c r="BF758" i="1"/>
  <c r="BG758" i="1"/>
  <c r="T759" i="1"/>
  <c r="U759" i="1"/>
  <c r="V759" i="1"/>
  <c r="W759" i="1"/>
  <c r="X759" i="1"/>
  <c r="Y759" i="1"/>
  <c r="Z759" i="1"/>
  <c r="AB759" i="1"/>
  <c r="AF759" i="1"/>
  <c r="AI759" i="1"/>
  <c r="H760" i="1"/>
  <c r="AE760" i="1"/>
  <c r="I760" i="1"/>
  <c r="J760" i="1"/>
  <c r="K760" i="1"/>
  <c r="AC760" i="1"/>
  <c r="AJ759" i="1"/>
  <c r="AK759" i="1"/>
  <c r="AM759" i="1"/>
  <c r="BG759" i="1"/>
  <c r="T760" i="1"/>
  <c r="U760" i="1"/>
  <c r="V760" i="1"/>
  <c r="W760" i="1"/>
  <c r="X760" i="1"/>
  <c r="Y760" i="1"/>
  <c r="Z760" i="1"/>
  <c r="AB760" i="1"/>
  <c r="AF760" i="1"/>
  <c r="AI760" i="1"/>
  <c r="AE761" i="1"/>
  <c r="AC761" i="1"/>
  <c r="AJ760" i="1"/>
  <c r="AK760" i="1"/>
  <c r="AM760" i="1"/>
  <c r="BF760" i="1"/>
  <c r="BG760" i="1"/>
  <c r="T761" i="1"/>
  <c r="U761" i="1"/>
  <c r="V761" i="1"/>
  <c r="W761" i="1"/>
  <c r="X761" i="1"/>
  <c r="Y761" i="1"/>
  <c r="Z761" i="1"/>
  <c r="AB761" i="1"/>
  <c r="AF761" i="1"/>
  <c r="AI761" i="1"/>
  <c r="AE762" i="1"/>
  <c r="AC762" i="1"/>
  <c r="AJ761" i="1"/>
  <c r="AK761" i="1"/>
  <c r="AM761" i="1"/>
  <c r="BF761" i="1"/>
  <c r="BG761" i="1"/>
  <c r="T762" i="1"/>
  <c r="U762" i="1"/>
  <c r="V762" i="1"/>
  <c r="W762" i="1"/>
  <c r="X762" i="1"/>
  <c r="Y762" i="1"/>
  <c r="Z762" i="1"/>
  <c r="AB762" i="1"/>
  <c r="AF762" i="1"/>
  <c r="AI762" i="1"/>
  <c r="H763" i="1"/>
  <c r="AE763" i="1"/>
  <c r="I763" i="1"/>
  <c r="J763" i="1"/>
  <c r="K763" i="1"/>
  <c r="AC763" i="1"/>
  <c r="AJ762" i="1"/>
  <c r="AK762" i="1"/>
  <c r="AM762" i="1"/>
  <c r="BG762" i="1"/>
  <c r="T763" i="1"/>
  <c r="U763" i="1"/>
  <c r="V763" i="1"/>
  <c r="W763" i="1"/>
  <c r="X763" i="1"/>
  <c r="Y763" i="1"/>
  <c r="Z763" i="1"/>
  <c r="AB763" i="1"/>
  <c r="AF763" i="1"/>
  <c r="AI763" i="1"/>
  <c r="H764" i="1"/>
  <c r="AE764" i="1"/>
  <c r="I764" i="1"/>
  <c r="J764" i="1"/>
  <c r="K764" i="1"/>
  <c r="AC764" i="1"/>
  <c r="AJ763" i="1"/>
  <c r="AK763" i="1"/>
  <c r="AM763" i="1"/>
  <c r="BF763" i="1"/>
  <c r="BG763" i="1"/>
  <c r="T764" i="1"/>
  <c r="U764" i="1"/>
  <c r="V764" i="1"/>
  <c r="W764" i="1"/>
  <c r="X764" i="1"/>
  <c r="Y764" i="1"/>
  <c r="Z764" i="1"/>
  <c r="AB764" i="1"/>
  <c r="AF764" i="1"/>
  <c r="AI764" i="1"/>
  <c r="H765" i="1"/>
  <c r="AE765" i="1"/>
  <c r="I765" i="1"/>
  <c r="J765" i="1"/>
  <c r="K765" i="1"/>
  <c r="AC765" i="1"/>
  <c r="AJ764" i="1"/>
  <c r="AK764" i="1"/>
  <c r="AM764" i="1"/>
  <c r="BF764" i="1"/>
  <c r="BG764" i="1"/>
  <c r="T765" i="1"/>
  <c r="U765" i="1"/>
  <c r="V765" i="1"/>
  <c r="W765" i="1"/>
  <c r="X765" i="1"/>
  <c r="Y765" i="1"/>
  <c r="Z765" i="1"/>
  <c r="AB765" i="1"/>
  <c r="AF765" i="1"/>
  <c r="AI765" i="1"/>
  <c r="H766" i="1"/>
  <c r="AE766" i="1"/>
  <c r="I766" i="1"/>
  <c r="J766" i="1"/>
  <c r="K766" i="1"/>
  <c r="AC766" i="1"/>
  <c r="AJ765" i="1"/>
  <c r="AK765" i="1"/>
  <c r="AM765" i="1"/>
  <c r="BF765" i="1"/>
  <c r="BG765" i="1"/>
  <c r="T766" i="1"/>
  <c r="U766" i="1"/>
  <c r="V766" i="1"/>
  <c r="W766" i="1"/>
  <c r="X766" i="1"/>
  <c r="Y766" i="1"/>
  <c r="Z766" i="1"/>
  <c r="AB766" i="1"/>
  <c r="AF766" i="1"/>
  <c r="AI766" i="1"/>
  <c r="H767" i="1"/>
  <c r="AE767" i="1"/>
  <c r="I767" i="1"/>
  <c r="J767" i="1"/>
  <c r="K767" i="1"/>
  <c r="AC767" i="1"/>
  <c r="AJ766" i="1"/>
  <c r="AK766" i="1"/>
  <c r="AM766" i="1"/>
  <c r="BF766" i="1"/>
  <c r="BG766" i="1"/>
  <c r="T767" i="1"/>
  <c r="U767" i="1"/>
  <c r="V767" i="1"/>
  <c r="W767" i="1"/>
  <c r="X767" i="1"/>
  <c r="Y767" i="1"/>
  <c r="Z767" i="1"/>
  <c r="AB767" i="1"/>
  <c r="AF767" i="1"/>
  <c r="AI767" i="1"/>
  <c r="H768" i="1"/>
  <c r="AE768" i="1"/>
  <c r="I768" i="1"/>
  <c r="J768" i="1"/>
  <c r="K768" i="1"/>
  <c r="AC768" i="1"/>
  <c r="AJ767" i="1"/>
  <c r="AK767" i="1"/>
  <c r="AM767" i="1"/>
  <c r="BF767" i="1"/>
  <c r="BG767" i="1"/>
  <c r="T768" i="1"/>
  <c r="U768" i="1"/>
  <c r="V768" i="1"/>
  <c r="W768" i="1"/>
  <c r="X768" i="1"/>
  <c r="Y768" i="1"/>
  <c r="Z768" i="1"/>
  <c r="AB768" i="1"/>
  <c r="AF768" i="1"/>
  <c r="AI768" i="1"/>
  <c r="H769" i="1"/>
  <c r="AE769" i="1"/>
  <c r="I769" i="1"/>
  <c r="J769" i="1"/>
  <c r="K769" i="1"/>
  <c r="AC769" i="1"/>
  <c r="AJ768" i="1"/>
  <c r="AK768" i="1"/>
  <c r="AM768" i="1"/>
  <c r="BF768" i="1"/>
  <c r="BG768" i="1"/>
  <c r="T769" i="1"/>
  <c r="U769" i="1"/>
  <c r="V769" i="1"/>
  <c r="W769" i="1"/>
  <c r="X769" i="1"/>
  <c r="Y769" i="1"/>
  <c r="Z769" i="1"/>
  <c r="AB769" i="1"/>
  <c r="AF769" i="1"/>
  <c r="AI769" i="1"/>
  <c r="H770" i="1"/>
  <c r="AE770" i="1"/>
  <c r="I770" i="1"/>
  <c r="J770" i="1"/>
  <c r="K770" i="1"/>
  <c r="AC770" i="1"/>
  <c r="AJ769" i="1"/>
  <c r="AK769" i="1"/>
  <c r="AM769" i="1"/>
  <c r="BF769" i="1"/>
  <c r="BG769" i="1"/>
  <c r="T770" i="1"/>
  <c r="U770" i="1"/>
  <c r="V770" i="1"/>
  <c r="W770" i="1"/>
  <c r="X770" i="1"/>
  <c r="Y770" i="1"/>
  <c r="Z770" i="1"/>
  <c r="AB770" i="1"/>
  <c r="AF770" i="1"/>
  <c r="AI770" i="1"/>
  <c r="AE771" i="1"/>
  <c r="AC771" i="1"/>
  <c r="AJ770" i="1"/>
  <c r="AK770" i="1"/>
  <c r="AM770" i="1"/>
  <c r="BF770" i="1"/>
  <c r="BG770" i="1"/>
  <c r="T771" i="1"/>
  <c r="U771" i="1"/>
  <c r="V771" i="1"/>
  <c r="W771" i="1"/>
  <c r="X771" i="1"/>
  <c r="Y771" i="1"/>
  <c r="Z771" i="1"/>
  <c r="AB771" i="1"/>
  <c r="AF771" i="1"/>
  <c r="AI771" i="1"/>
  <c r="AE772" i="1"/>
  <c r="AC772" i="1"/>
  <c r="AJ771" i="1"/>
  <c r="AK771" i="1"/>
  <c r="AM771" i="1"/>
  <c r="BF771" i="1"/>
  <c r="BG771" i="1"/>
  <c r="T772" i="1"/>
  <c r="U772" i="1"/>
  <c r="V772" i="1"/>
  <c r="W772" i="1"/>
  <c r="X772" i="1"/>
  <c r="Y772" i="1"/>
  <c r="Z772" i="1"/>
  <c r="AB772" i="1"/>
  <c r="AF772" i="1"/>
  <c r="AI772" i="1"/>
  <c r="H773" i="1"/>
  <c r="AE773" i="1"/>
  <c r="I773" i="1"/>
  <c r="J773" i="1"/>
  <c r="K773" i="1"/>
  <c r="AC773" i="1"/>
  <c r="AJ772" i="1"/>
  <c r="AK772" i="1"/>
  <c r="AM772" i="1"/>
  <c r="BG772" i="1"/>
  <c r="T773" i="1"/>
  <c r="U773" i="1"/>
  <c r="V773" i="1"/>
  <c r="W773" i="1"/>
  <c r="X773" i="1"/>
  <c r="Y773" i="1"/>
  <c r="Z773" i="1"/>
  <c r="AB773" i="1"/>
  <c r="AF773" i="1"/>
  <c r="AI773" i="1"/>
  <c r="AE774" i="1"/>
  <c r="AC774" i="1"/>
  <c r="AJ773" i="1"/>
  <c r="AK773" i="1"/>
  <c r="AM773" i="1"/>
  <c r="BF773" i="1"/>
  <c r="BG773" i="1"/>
  <c r="T774" i="1"/>
  <c r="U774" i="1"/>
  <c r="V774" i="1"/>
  <c r="W774" i="1"/>
  <c r="X774" i="1"/>
  <c r="Y774" i="1"/>
  <c r="Z774" i="1"/>
  <c r="AB774" i="1"/>
  <c r="AF774" i="1"/>
  <c r="AI774" i="1"/>
  <c r="AE775" i="1"/>
  <c r="AC775" i="1"/>
  <c r="AJ774" i="1"/>
  <c r="AK774" i="1"/>
  <c r="AM774" i="1"/>
  <c r="BF774" i="1"/>
  <c r="BG774" i="1"/>
  <c r="T775" i="1"/>
  <c r="U775" i="1"/>
  <c r="V775" i="1"/>
  <c r="W775" i="1"/>
  <c r="X775" i="1"/>
  <c r="Y775" i="1"/>
  <c r="Z775" i="1"/>
  <c r="AB775" i="1"/>
  <c r="AF775" i="1"/>
  <c r="AI775" i="1"/>
  <c r="H776" i="1"/>
  <c r="AE776" i="1"/>
  <c r="I776" i="1"/>
  <c r="J776" i="1"/>
  <c r="K776" i="1"/>
  <c r="AC776" i="1"/>
  <c r="AJ775" i="1"/>
  <c r="AK775" i="1"/>
  <c r="AM775" i="1"/>
  <c r="BG775" i="1"/>
  <c r="T776" i="1"/>
  <c r="U776" i="1"/>
  <c r="V776" i="1"/>
  <c r="W776" i="1"/>
  <c r="X776" i="1"/>
  <c r="Y776" i="1"/>
  <c r="Z776" i="1"/>
  <c r="AB776" i="1"/>
  <c r="AF776" i="1"/>
  <c r="AI776" i="1"/>
  <c r="H777" i="1"/>
  <c r="AE777" i="1"/>
  <c r="I777" i="1"/>
  <c r="J777" i="1"/>
  <c r="K777" i="1"/>
  <c r="AC777" i="1"/>
  <c r="AJ776" i="1"/>
  <c r="AK776" i="1"/>
  <c r="AM776" i="1"/>
  <c r="BF776" i="1"/>
  <c r="BG776" i="1"/>
  <c r="T777" i="1"/>
  <c r="U777" i="1"/>
  <c r="V777" i="1"/>
  <c r="W777" i="1"/>
  <c r="X777" i="1"/>
  <c r="Y777" i="1"/>
  <c r="Z777" i="1"/>
  <c r="AB777" i="1"/>
  <c r="AF777" i="1"/>
  <c r="AI777" i="1"/>
  <c r="AE778" i="1"/>
  <c r="AC778" i="1"/>
  <c r="AJ777" i="1"/>
  <c r="AK777" i="1"/>
  <c r="AM777" i="1"/>
  <c r="BF777" i="1"/>
  <c r="BG777" i="1"/>
  <c r="T778" i="1"/>
  <c r="U778" i="1"/>
  <c r="V778" i="1"/>
  <c r="W778" i="1"/>
  <c r="X778" i="1"/>
  <c r="Y778" i="1"/>
  <c r="Z778" i="1"/>
  <c r="AB778" i="1"/>
  <c r="AF778" i="1"/>
  <c r="AI778" i="1"/>
  <c r="AE779" i="1"/>
  <c r="AC779" i="1"/>
  <c r="AJ778" i="1"/>
  <c r="AK778" i="1"/>
  <c r="AM778" i="1"/>
  <c r="BF778" i="1"/>
  <c r="BG778" i="1"/>
  <c r="T779" i="1"/>
  <c r="U779" i="1"/>
  <c r="V779" i="1"/>
  <c r="W779" i="1"/>
  <c r="X779" i="1"/>
  <c r="Y779" i="1"/>
  <c r="Z779" i="1"/>
  <c r="AB779" i="1"/>
  <c r="AF779" i="1"/>
  <c r="AI779" i="1"/>
  <c r="H780" i="1"/>
  <c r="AE780" i="1"/>
  <c r="I780" i="1"/>
  <c r="J780" i="1"/>
  <c r="K780" i="1"/>
  <c r="AC780" i="1"/>
  <c r="AJ779" i="1"/>
  <c r="AK779" i="1"/>
  <c r="AM779" i="1"/>
  <c r="BG779" i="1"/>
  <c r="T780" i="1"/>
  <c r="U780" i="1"/>
  <c r="V780" i="1"/>
  <c r="W780" i="1"/>
  <c r="X780" i="1"/>
  <c r="Y780" i="1"/>
  <c r="Z780" i="1"/>
  <c r="AB780" i="1"/>
  <c r="AF780" i="1"/>
  <c r="AI780" i="1"/>
  <c r="AE781" i="1"/>
  <c r="AC781" i="1"/>
  <c r="AJ780" i="1"/>
  <c r="AK780" i="1"/>
  <c r="AM780" i="1"/>
  <c r="BF780" i="1"/>
  <c r="BG780" i="1"/>
  <c r="T781" i="1"/>
  <c r="U781" i="1"/>
  <c r="V781" i="1"/>
  <c r="W781" i="1"/>
  <c r="X781" i="1"/>
  <c r="Y781" i="1"/>
  <c r="Z781" i="1"/>
  <c r="AB781" i="1"/>
  <c r="AF781" i="1"/>
  <c r="AI781" i="1"/>
  <c r="AE782" i="1"/>
  <c r="AC782" i="1"/>
  <c r="AJ781" i="1"/>
  <c r="AK781" i="1"/>
  <c r="AM781" i="1"/>
  <c r="BF781" i="1"/>
  <c r="BG781" i="1"/>
  <c r="T782" i="1"/>
  <c r="U782" i="1"/>
  <c r="V782" i="1"/>
  <c r="W782" i="1"/>
  <c r="X782" i="1"/>
  <c r="Y782" i="1"/>
  <c r="Z782" i="1"/>
  <c r="AB782" i="1"/>
  <c r="AF782" i="1"/>
  <c r="AI782" i="1"/>
  <c r="H783" i="1"/>
  <c r="AE783" i="1"/>
  <c r="I783" i="1"/>
  <c r="J783" i="1"/>
  <c r="K783" i="1"/>
  <c r="AC783" i="1"/>
  <c r="AJ782" i="1"/>
  <c r="AK782" i="1"/>
  <c r="AM782" i="1"/>
  <c r="BG782" i="1"/>
  <c r="T783" i="1"/>
  <c r="U783" i="1"/>
  <c r="V783" i="1"/>
  <c r="W783" i="1"/>
  <c r="X783" i="1"/>
  <c r="Y783" i="1"/>
  <c r="Z783" i="1"/>
  <c r="AB783" i="1"/>
  <c r="AF783" i="1"/>
  <c r="AI783" i="1"/>
  <c r="H784" i="1"/>
  <c r="AE784" i="1"/>
  <c r="I784" i="1"/>
  <c r="J784" i="1"/>
  <c r="K784" i="1"/>
  <c r="AC784" i="1"/>
  <c r="AJ783" i="1"/>
  <c r="AK783" i="1"/>
  <c r="AM783" i="1"/>
  <c r="BF783" i="1"/>
  <c r="BG783" i="1"/>
  <c r="T784" i="1"/>
  <c r="U784" i="1"/>
  <c r="V784" i="1"/>
  <c r="W784" i="1"/>
  <c r="X784" i="1"/>
  <c r="Y784" i="1"/>
  <c r="Z784" i="1"/>
  <c r="AB784" i="1"/>
  <c r="AF784" i="1"/>
  <c r="AI784" i="1"/>
  <c r="H785" i="1"/>
  <c r="AE785" i="1"/>
  <c r="I785" i="1"/>
  <c r="J785" i="1"/>
  <c r="K785" i="1"/>
  <c r="AC785" i="1"/>
  <c r="AJ784" i="1"/>
  <c r="AK784" i="1"/>
  <c r="AM784" i="1"/>
  <c r="BF784" i="1"/>
  <c r="BG784" i="1"/>
  <c r="T785" i="1"/>
  <c r="U785" i="1"/>
  <c r="V785" i="1"/>
  <c r="W785" i="1"/>
  <c r="X785" i="1"/>
  <c r="Y785" i="1"/>
  <c r="Z785" i="1"/>
  <c r="AB785" i="1"/>
  <c r="AF785" i="1"/>
  <c r="AI785" i="1"/>
  <c r="H786" i="1"/>
  <c r="AE786" i="1"/>
  <c r="I786" i="1"/>
  <c r="J786" i="1"/>
  <c r="K786" i="1"/>
  <c r="AC786" i="1"/>
  <c r="AJ785" i="1"/>
  <c r="AK785" i="1"/>
  <c r="AM785" i="1"/>
  <c r="BF785" i="1"/>
  <c r="BG785" i="1"/>
  <c r="T786" i="1"/>
  <c r="U786" i="1"/>
  <c r="V786" i="1"/>
  <c r="W786" i="1"/>
  <c r="X786" i="1"/>
  <c r="Y786" i="1"/>
  <c r="Z786" i="1"/>
  <c r="AB786" i="1"/>
  <c r="AF786" i="1"/>
  <c r="AI786" i="1"/>
  <c r="AE787" i="1"/>
  <c r="AC787" i="1"/>
  <c r="AJ786" i="1"/>
  <c r="AK786" i="1"/>
  <c r="AM786" i="1"/>
  <c r="BF786" i="1"/>
  <c r="BG786" i="1"/>
  <c r="T787" i="1"/>
  <c r="U787" i="1"/>
  <c r="V787" i="1"/>
  <c r="W787" i="1"/>
  <c r="X787" i="1"/>
  <c r="Y787" i="1"/>
  <c r="Z787" i="1"/>
  <c r="AB787" i="1"/>
  <c r="AF787" i="1"/>
  <c r="AI787" i="1"/>
  <c r="AE788" i="1"/>
  <c r="AC788" i="1"/>
  <c r="AJ787" i="1"/>
  <c r="AK787" i="1"/>
  <c r="AM787" i="1"/>
  <c r="BF787" i="1"/>
  <c r="BG787" i="1"/>
  <c r="T788" i="1"/>
  <c r="U788" i="1"/>
  <c r="V788" i="1"/>
  <c r="W788" i="1"/>
  <c r="X788" i="1"/>
  <c r="Y788" i="1"/>
  <c r="Z788" i="1"/>
  <c r="AB788" i="1"/>
  <c r="AF788" i="1"/>
  <c r="AI788" i="1"/>
  <c r="H789" i="1"/>
  <c r="AE789" i="1"/>
  <c r="I789" i="1"/>
  <c r="J789" i="1"/>
  <c r="K789" i="1"/>
  <c r="AC789" i="1"/>
  <c r="AJ788" i="1"/>
  <c r="AK788" i="1"/>
  <c r="AM788" i="1"/>
  <c r="BG788" i="1"/>
  <c r="T789" i="1"/>
  <c r="U789" i="1"/>
  <c r="V789" i="1"/>
  <c r="W789" i="1"/>
  <c r="X789" i="1"/>
  <c r="Y789" i="1"/>
  <c r="Z789" i="1"/>
  <c r="AB789" i="1"/>
  <c r="AF789" i="1"/>
  <c r="AI789" i="1"/>
  <c r="AE790" i="1"/>
  <c r="AC790" i="1"/>
  <c r="AJ789" i="1"/>
  <c r="AK789" i="1"/>
  <c r="AM789" i="1"/>
  <c r="BF789" i="1"/>
  <c r="BG789" i="1"/>
  <c r="T790" i="1"/>
  <c r="U790" i="1"/>
  <c r="V790" i="1"/>
  <c r="W790" i="1"/>
  <c r="X790" i="1"/>
  <c r="Y790" i="1"/>
  <c r="Z790" i="1"/>
  <c r="AB790" i="1"/>
  <c r="AF790" i="1"/>
  <c r="AI790" i="1"/>
  <c r="AE791" i="1"/>
  <c r="AC791" i="1"/>
  <c r="AJ790" i="1"/>
  <c r="AK790" i="1"/>
  <c r="AM790" i="1"/>
  <c r="BF790" i="1"/>
  <c r="BG790" i="1"/>
  <c r="T791" i="1"/>
  <c r="U791" i="1"/>
  <c r="V791" i="1"/>
  <c r="W791" i="1"/>
  <c r="X791" i="1"/>
  <c r="Y791" i="1"/>
  <c r="Z791" i="1"/>
  <c r="AB791" i="1"/>
  <c r="AF791" i="1"/>
  <c r="AI791" i="1"/>
  <c r="H792" i="1"/>
  <c r="AE792" i="1"/>
  <c r="I792" i="1"/>
  <c r="J792" i="1"/>
  <c r="K792" i="1"/>
  <c r="AC792" i="1"/>
  <c r="AJ791" i="1"/>
  <c r="AK791" i="1"/>
  <c r="AM791" i="1"/>
  <c r="BG791" i="1"/>
  <c r="T792" i="1"/>
  <c r="U792" i="1"/>
  <c r="V792" i="1"/>
  <c r="W792" i="1"/>
  <c r="X792" i="1"/>
  <c r="Y792" i="1"/>
  <c r="Z792" i="1"/>
  <c r="AB792" i="1"/>
  <c r="AF792" i="1"/>
  <c r="AI792" i="1"/>
  <c r="AE793" i="1"/>
  <c r="AC793" i="1"/>
  <c r="AJ792" i="1"/>
  <c r="AK792" i="1"/>
  <c r="AM792" i="1"/>
  <c r="BF792" i="1"/>
  <c r="BG792" i="1"/>
  <c r="T793" i="1"/>
  <c r="U793" i="1"/>
  <c r="V793" i="1"/>
  <c r="W793" i="1"/>
  <c r="X793" i="1"/>
  <c r="Y793" i="1"/>
  <c r="Z793" i="1"/>
  <c r="AB793" i="1"/>
  <c r="AF793" i="1"/>
  <c r="AI793" i="1"/>
  <c r="AE794" i="1"/>
  <c r="AC794" i="1"/>
  <c r="AJ793" i="1"/>
  <c r="AK793" i="1"/>
  <c r="AM793" i="1"/>
  <c r="BF793" i="1"/>
  <c r="BG793" i="1"/>
  <c r="T794" i="1"/>
  <c r="U794" i="1"/>
  <c r="V794" i="1"/>
  <c r="W794" i="1"/>
  <c r="X794" i="1"/>
  <c r="Y794" i="1"/>
  <c r="Z794" i="1"/>
  <c r="AB794" i="1"/>
  <c r="AF794" i="1"/>
  <c r="AI794" i="1"/>
  <c r="H795" i="1"/>
  <c r="AE795" i="1"/>
  <c r="I795" i="1"/>
  <c r="J795" i="1"/>
  <c r="K795" i="1"/>
  <c r="AC795" i="1"/>
  <c r="AJ794" i="1"/>
  <c r="AK794" i="1"/>
  <c r="AM794" i="1"/>
  <c r="BG794" i="1"/>
  <c r="T795" i="1"/>
  <c r="U795" i="1"/>
  <c r="V795" i="1"/>
  <c r="W795" i="1"/>
  <c r="X795" i="1"/>
  <c r="Y795" i="1"/>
  <c r="Z795" i="1"/>
  <c r="AB795" i="1"/>
  <c r="AF795" i="1"/>
  <c r="AI795" i="1"/>
  <c r="AE796" i="1"/>
  <c r="AC796" i="1"/>
  <c r="AJ795" i="1"/>
  <c r="AK795" i="1"/>
  <c r="AM795" i="1"/>
  <c r="BF795" i="1"/>
  <c r="BG795" i="1"/>
  <c r="T796" i="1"/>
  <c r="U796" i="1"/>
  <c r="V796" i="1"/>
  <c r="W796" i="1"/>
  <c r="X796" i="1"/>
  <c r="Y796" i="1"/>
  <c r="Z796" i="1"/>
  <c r="AB796" i="1"/>
  <c r="AF796" i="1"/>
  <c r="AI796" i="1"/>
  <c r="AE797" i="1"/>
  <c r="AC797" i="1"/>
  <c r="AJ796" i="1"/>
  <c r="AK796" i="1"/>
  <c r="AM796" i="1"/>
  <c r="BF796" i="1"/>
  <c r="BG796" i="1"/>
  <c r="T797" i="1"/>
  <c r="U797" i="1"/>
  <c r="V797" i="1"/>
  <c r="W797" i="1"/>
  <c r="X797" i="1"/>
  <c r="Y797" i="1"/>
  <c r="Z797" i="1"/>
  <c r="AB797" i="1"/>
  <c r="AF797" i="1"/>
  <c r="AI797" i="1"/>
  <c r="AE798" i="1"/>
  <c r="AC798" i="1"/>
  <c r="AJ797" i="1"/>
  <c r="AK797" i="1"/>
  <c r="AM797" i="1"/>
  <c r="BF797" i="1"/>
  <c r="BG797" i="1"/>
  <c r="T798" i="1"/>
  <c r="U798" i="1"/>
  <c r="V798" i="1"/>
  <c r="W798" i="1"/>
  <c r="X798" i="1"/>
  <c r="Y798" i="1"/>
  <c r="Z798" i="1"/>
  <c r="AB798" i="1"/>
  <c r="AF798" i="1"/>
  <c r="AI798" i="1"/>
  <c r="H799" i="1"/>
  <c r="AE799" i="1"/>
  <c r="I799" i="1"/>
  <c r="J799" i="1"/>
  <c r="K799" i="1"/>
  <c r="AC799" i="1"/>
  <c r="AJ798" i="1"/>
  <c r="AK798" i="1"/>
  <c r="AM798" i="1"/>
  <c r="BG798" i="1"/>
  <c r="T799" i="1"/>
  <c r="U799" i="1"/>
  <c r="V799" i="1"/>
  <c r="W799" i="1"/>
  <c r="X799" i="1"/>
  <c r="Y799" i="1"/>
  <c r="Z799" i="1"/>
  <c r="AB799" i="1"/>
  <c r="AF799" i="1"/>
  <c r="AI799" i="1"/>
  <c r="AE800" i="1"/>
  <c r="AC800" i="1"/>
  <c r="AJ799" i="1"/>
  <c r="AK799" i="1"/>
  <c r="AM799" i="1"/>
  <c r="BF799" i="1"/>
  <c r="BG799" i="1"/>
  <c r="T800" i="1"/>
  <c r="U800" i="1"/>
  <c r="V800" i="1"/>
  <c r="W800" i="1"/>
  <c r="X800" i="1"/>
  <c r="Y800" i="1"/>
  <c r="Z800" i="1"/>
  <c r="AB800" i="1"/>
  <c r="AF800" i="1"/>
  <c r="AI800" i="1"/>
  <c r="AE801" i="1"/>
  <c r="AC801" i="1"/>
  <c r="AJ800" i="1"/>
  <c r="AK800" i="1"/>
  <c r="AM800" i="1"/>
  <c r="BF800" i="1"/>
  <c r="BG800" i="1"/>
  <c r="T801" i="1"/>
  <c r="U801" i="1"/>
  <c r="V801" i="1"/>
  <c r="W801" i="1"/>
  <c r="X801" i="1"/>
  <c r="Y801" i="1"/>
  <c r="Z801" i="1"/>
  <c r="AB801" i="1"/>
  <c r="AF801" i="1"/>
  <c r="AI801" i="1"/>
  <c r="H802" i="1"/>
  <c r="AE802" i="1"/>
  <c r="I802" i="1"/>
  <c r="J802" i="1"/>
  <c r="K802" i="1"/>
  <c r="AC802" i="1"/>
  <c r="AJ801" i="1"/>
  <c r="AK801" i="1"/>
  <c r="AM801" i="1"/>
  <c r="BG801" i="1"/>
  <c r="T802" i="1"/>
  <c r="U802" i="1"/>
  <c r="V802" i="1"/>
  <c r="W802" i="1"/>
  <c r="X802" i="1"/>
  <c r="Y802" i="1"/>
  <c r="Z802" i="1"/>
  <c r="AB802" i="1"/>
  <c r="AF802" i="1"/>
  <c r="AI802" i="1"/>
  <c r="AE803" i="1"/>
  <c r="AC803" i="1"/>
  <c r="AJ802" i="1"/>
  <c r="AK802" i="1"/>
  <c r="AM802" i="1"/>
  <c r="BF802" i="1"/>
  <c r="BG802" i="1"/>
  <c r="T803" i="1"/>
  <c r="U803" i="1"/>
  <c r="V803" i="1"/>
  <c r="W803" i="1"/>
  <c r="X803" i="1"/>
  <c r="Y803" i="1"/>
  <c r="Z803" i="1"/>
  <c r="AB803" i="1"/>
  <c r="AF803" i="1"/>
  <c r="AI803" i="1"/>
  <c r="AE804" i="1"/>
  <c r="AC804" i="1"/>
  <c r="AJ803" i="1"/>
  <c r="AK803" i="1"/>
  <c r="AM803" i="1"/>
  <c r="BF803" i="1"/>
  <c r="BG803" i="1"/>
  <c r="T804" i="1"/>
  <c r="U804" i="1"/>
  <c r="V804" i="1"/>
  <c r="W804" i="1"/>
  <c r="X804" i="1"/>
  <c r="Y804" i="1"/>
  <c r="Z804" i="1"/>
  <c r="AB804" i="1"/>
  <c r="AF804" i="1"/>
  <c r="AI804" i="1"/>
  <c r="AE805" i="1"/>
  <c r="AC805" i="1"/>
  <c r="AJ804" i="1"/>
  <c r="AK804" i="1"/>
  <c r="AM804" i="1"/>
  <c r="BF804" i="1"/>
  <c r="BG804" i="1"/>
  <c r="T805" i="1"/>
  <c r="U805" i="1"/>
  <c r="V805" i="1"/>
  <c r="W805" i="1"/>
  <c r="X805" i="1"/>
  <c r="Y805" i="1"/>
  <c r="Z805" i="1"/>
  <c r="AB805" i="1"/>
  <c r="AF805" i="1"/>
  <c r="AI805" i="1"/>
  <c r="H806" i="1"/>
  <c r="AE806" i="1"/>
  <c r="I806" i="1"/>
  <c r="J806" i="1"/>
  <c r="K806" i="1"/>
  <c r="AC806" i="1"/>
  <c r="AJ805" i="1"/>
  <c r="AK805" i="1"/>
  <c r="AM805" i="1"/>
  <c r="BG805" i="1"/>
  <c r="T806" i="1"/>
  <c r="U806" i="1"/>
  <c r="V806" i="1"/>
  <c r="W806" i="1"/>
  <c r="X806" i="1"/>
  <c r="Y806" i="1"/>
  <c r="Z806" i="1"/>
  <c r="AB806" i="1"/>
  <c r="AF806" i="1"/>
  <c r="AI806" i="1"/>
  <c r="AE807" i="1"/>
  <c r="AC807" i="1"/>
  <c r="AJ806" i="1"/>
  <c r="AK806" i="1"/>
  <c r="AM806" i="1"/>
  <c r="BF806" i="1"/>
  <c r="BG806" i="1"/>
  <c r="T807" i="1"/>
  <c r="U807" i="1"/>
  <c r="V807" i="1"/>
  <c r="W807" i="1"/>
  <c r="X807" i="1"/>
  <c r="Y807" i="1"/>
  <c r="Z807" i="1"/>
  <c r="AB807" i="1"/>
  <c r="AF807" i="1"/>
  <c r="AI807" i="1"/>
  <c r="AE808" i="1"/>
  <c r="AC808" i="1"/>
  <c r="AJ807" i="1"/>
  <c r="AK807" i="1"/>
  <c r="AM807" i="1"/>
  <c r="BF807" i="1"/>
  <c r="BG807" i="1"/>
  <c r="T808" i="1"/>
  <c r="U808" i="1"/>
  <c r="V808" i="1"/>
  <c r="W808" i="1"/>
  <c r="X808" i="1"/>
  <c r="Y808" i="1"/>
  <c r="Z808" i="1"/>
  <c r="AB808" i="1"/>
  <c r="AF808" i="1"/>
  <c r="AI808" i="1"/>
  <c r="H809" i="1"/>
  <c r="AE809" i="1"/>
  <c r="I809" i="1"/>
  <c r="J809" i="1"/>
  <c r="K809" i="1"/>
  <c r="AC809" i="1"/>
  <c r="AJ808" i="1"/>
  <c r="AK808" i="1"/>
  <c r="AM808" i="1"/>
  <c r="BG808" i="1"/>
  <c r="T809" i="1"/>
  <c r="U809" i="1"/>
  <c r="V809" i="1"/>
  <c r="W809" i="1"/>
  <c r="X809" i="1"/>
  <c r="Y809" i="1"/>
  <c r="Z809" i="1"/>
  <c r="AB809" i="1"/>
  <c r="AF809" i="1"/>
  <c r="AI809" i="1"/>
  <c r="AE810" i="1"/>
  <c r="AC810" i="1"/>
  <c r="AJ809" i="1"/>
  <c r="AK809" i="1"/>
  <c r="AM809" i="1"/>
  <c r="BF809" i="1"/>
  <c r="BG809" i="1"/>
  <c r="T810" i="1"/>
  <c r="U810" i="1"/>
  <c r="V810" i="1"/>
  <c r="W810" i="1"/>
  <c r="X810" i="1"/>
  <c r="Y810" i="1"/>
  <c r="Z810" i="1"/>
  <c r="AB810" i="1"/>
  <c r="AF810" i="1"/>
  <c r="AI810" i="1"/>
  <c r="AE811" i="1"/>
  <c r="AC811" i="1"/>
  <c r="AJ810" i="1"/>
  <c r="AK810" i="1"/>
  <c r="AM810" i="1"/>
  <c r="BF810" i="1"/>
  <c r="BG810" i="1"/>
  <c r="T811" i="1"/>
  <c r="U811" i="1"/>
  <c r="V811" i="1"/>
  <c r="W811" i="1"/>
  <c r="X811" i="1"/>
  <c r="Y811" i="1"/>
  <c r="Z811" i="1"/>
  <c r="AB811" i="1"/>
  <c r="AF811" i="1"/>
  <c r="AI811" i="1"/>
  <c r="H812" i="1"/>
  <c r="AE812" i="1"/>
  <c r="I812" i="1"/>
  <c r="J812" i="1"/>
  <c r="K812" i="1"/>
  <c r="AC812" i="1"/>
  <c r="AJ811" i="1"/>
  <c r="AK811" i="1"/>
  <c r="AM811" i="1"/>
  <c r="BG811" i="1"/>
  <c r="T812" i="1"/>
  <c r="U812" i="1"/>
  <c r="V812" i="1"/>
  <c r="W812" i="1"/>
  <c r="X812" i="1"/>
  <c r="Y812" i="1"/>
  <c r="Z812" i="1"/>
  <c r="AB812" i="1"/>
  <c r="AF812" i="1"/>
  <c r="AI812" i="1"/>
  <c r="AE813" i="1"/>
  <c r="AC813" i="1"/>
  <c r="AJ812" i="1"/>
  <c r="AK812" i="1"/>
  <c r="AM812" i="1"/>
  <c r="BF812" i="1"/>
  <c r="BG812" i="1"/>
  <c r="T813" i="1"/>
  <c r="U813" i="1"/>
  <c r="V813" i="1"/>
  <c r="W813" i="1"/>
  <c r="X813" i="1"/>
  <c r="Y813" i="1"/>
  <c r="Z813" i="1"/>
  <c r="AB813" i="1"/>
  <c r="AF813" i="1"/>
  <c r="AI813" i="1"/>
  <c r="AE814" i="1"/>
  <c r="AC814" i="1"/>
  <c r="AJ813" i="1"/>
  <c r="AK813" i="1"/>
  <c r="AM813" i="1"/>
  <c r="BF813" i="1"/>
  <c r="BG813" i="1"/>
  <c r="T814" i="1"/>
  <c r="U814" i="1"/>
  <c r="V814" i="1"/>
  <c r="W814" i="1"/>
  <c r="X814" i="1"/>
  <c r="Y814" i="1"/>
  <c r="Z814" i="1"/>
  <c r="AB814" i="1"/>
  <c r="AF814" i="1"/>
  <c r="AI814" i="1"/>
  <c r="H815" i="1"/>
  <c r="AE815" i="1"/>
  <c r="I815" i="1"/>
  <c r="J815" i="1"/>
  <c r="K815" i="1"/>
  <c r="AC815" i="1"/>
  <c r="AJ814" i="1"/>
  <c r="AK814" i="1"/>
  <c r="AM814" i="1"/>
  <c r="BG814" i="1"/>
  <c r="T815" i="1"/>
  <c r="U815" i="1"/>
  <c r="V815" i="1"/>
  <c r="W815" i="1"/>
  <c r="X815" i="1"/>
  <c r="Y815" i="1"/>
  <c r="Z815" i="1"/>
  <c r="AB815" i="1"/>
  <c r="AF815" i="1"/>
  <c r="AI815" i="1"/>
  <c r="AE816" i="1"/>
  <c r="AC816" i="1"/>
  <c r="AJ815" i="1"/>
  <c r="AK815" i="1"/>
  <c r="AM815" i="1"/>
  <c r="BF815" i="1"/>
  <c r="BG815" i="1"/>
  <c r="T816" i="1"/>
  <c r="U816" i="1"/>
  <c r="V816" i="1"/>
  <c r="W816" i="1"/>
  <c r="X816" i="1"/>
  <c r="Y816" i="1"/>
  <c r="Z816" i="1"/>
  <c r="AB816" i="1"/>
  <c r="AF816" i="1"/>
  <c r="AI816" i="1"/>
  <c r="AE817" i="1"/>
  <c r="AC817" i="1"/>
  <c r="AJ816" i="1"/>
  <c r="AK816" i="1"/>
  <c r="AM816" i="1"/>
  <c r="BF816" i="1"/>
  <c r="BG816" i="1"/>
  <c r="T817" i="1"/>
  <c r="U817" i="1"/>
  <c r="V817" i="1"/>
  <c r="W817" i="1"/>
  <c r="X817" i="1"/>
  <c r="Y817" i="1"/>
  <c r="Z817" i="1"/>
  <c r="AB817" i="1"/>
  <c r="AF817" i="1"/>
  <c r="AI817" i="1"/>
  <c r="H818" i="1"/>
  <c r="AE818" i="1"/>
  <c r="I818" i="1"/>
  <c r="J818" i="1"/>
  <c r="K818" i="1"/>
  <c r="AC818" i="1"/>
  <c r="AJ817" i="1"/>
  <c r="AK817" i="1"/>
  <c r="AM817" i="1"/>
  <c r="BG817" i="1"/>
  <c r="T818" i="1"/>
  <c r="U818" i="1"/>
  <c r="V818" i="1"/>
  <c r="W818" i="1"/>
  <c r="X818" i="1"/>
  <c r="Y818" i="1"/>
  <c r="Z818" i="1"/>
  <c r="AB818" i="1"/>
  <c r="AF818" i="1"/>
  <c r="AI818" i="1"/>
  <c r="AE819" i="1"/>
  <c r="AC819" i="1"/>
  <c r="AJ818" i="1"/>
  <c r="AK818" i="1"/>
  <c r="AM818" i="1"/>
  <c r="BF818" i="1"/>
  <c r="BG818" i="1"/>
  <c r="T819" i="1"/>
  <c r="U819" i="1"/>
  <c r="V819" i="1"/>
  <c r="W819" i="1"/>
  <c r="X819" i="1"/>
  <c r="Y819" i="1"/>
  <c r="Z819" i="1"/>
  <c r="AB819" i="1"/>
  <c r="AF819" i="1"/>
  <c r="AI819" i="1"/>
  <c r="AE820" i="1"/>
  <c r="AC820" i="1"/>
  <c r="AJ819" i="1"/>
  <c r="AK819" i="1"/>
  <c r="AM819" i="1"/>
  <c r="BF819" i="1"/>
  <c r="BG819" i="1"/>
  <c r="T820" i="1"/>
  <c r="U820" i="1"/>
  <c r="V820" i="1"/>
  <c r="W820" i="1"/>
  <c r="X820" i="1"/>
  <c r="Y820" i="1"/>
  <c r="Z820" i="1"/>
  <c r="AB820" i="1"/>
  <c r="AF820" i="1"/>
  <c r="AI820" i="1"/>
  <c r="AE821" i="1"/>
  <c r="AC821" i="1"/>
  <c r="AJ820" i="1"/>
  <c r="AK820" i="1"/>
  <c r="AM820" i="1"/>
  <c r="BF820" i="1"/>
  <c r="BG820" i="1"/>
  <c r="T821" i="1"/>
  <c r="U821" i="1"/>
  <c r="V821" i="1"/>
  <c r="W821" i="1"/>
  <c r="X821" i="1"/>
  <c r="Y821" i="1"/>
  <c r="Z821" i="1"/>
  <c r="AB821" i="1"/>
  <c r="AF821" i="1"/>
  <c r="AI821" i="1"/>
  <c r="H822" i="1"/>
  <c r="AE822" i="1"/>
  <c r="I822" i="1"/>
  <c r="J822" i="1"/>
  <c r="K822" i="1"/>
  <c r="AC822" i="1"/>
  <c r="AJ821" i="1"/>
  <c r="AK821" i="1"/>
  <c r="AM821" i="1"/>
  <c r="BG821" i="1"/>
  <c r="T822" i="1"/>
  <c r="U822" i="1"/>
  <c r="V822" i="1"/>
  <c r="W822" i="1"/>
  <c r="X822" i="1"/>
  <c r="Y822" i="1"/>
  <c r="Z822" i="1"/>
  <c r="AB822" i="1"/>
  <c r="AF822" i="1"/>
  <c r="AI822" i="1"/>
  <c r="AE823" i="1"/>
  <c r="AC823" i="1"/>
  <c r="AJ822" i="1"/>
  <c r="AK822" i="1"/>
  <c r="AM822" i="1"/>
  <c r="BF822" i="1"/>
  <c r="BG822" i="1"/>
  <c r="T823" i="1"/>
  <c r="U823" i="1"/>
  <c r="V823" i="1"/>
  <c r="W823" i="1"/>
  <c r="X823" i="1"/>
  <c r="Y823" i="1"/>
  <c r="Z823" i="1"/>
  <c r="AB823" i="1"/>
  <c r="AF823" i="1"/>
  <c r="AI823" i="1"/>
  <c r="AE824" i="1"/>
  <c r="AC824" i="1"/>
  <c r="AJ823" i="1"/>
  <c r="AK823" i="1"/>
  <c r="AM823" i="1"/>
  <c r="BF823" i="1"/>
  <c r="BG823" i="1"/>
  <c r="T824" i="1"/>
  <c r="U824" i="1"/>
  <c r="V824" i="1"/>
  <c r="W824" i="1"/>
  <c r="X824" i="1"/>
  <c r="Y824" i="1"/>
  <c r="Z824" i="1"/>
  <c r="AB824" i="1"/>
  <c r="AF824" i="1"/>
  <c r="AI824" i="1"/>
  <c r="H825" i="1"/>
  <c r="AE825" i="1"/>
  <c r="I825" i="1"/>
  <c r="J825" i="1"/>
  <c r="K825" i="1"/>
  <c r="AC825" i="1"/>
  <c r="AJ824" i="1"/>
  <c r="AK824" i="1"/>
  <c r="AM824" i="1"/>
  <c r="BG824" i="1"/>
  <c r="T825" i="1"/>
  <c r="U825" i="1"/>
  <c r="V825" i="1"/>
  <c r="W825" i="1"/>
  <c r="X825" i="1"/>
  <c r="Y825" i="1"/>
  <c r="Z825" i="1"/>
  <c r="AB825" i="1"/>
  <c r="AF825" i="1"/>
  <c r="AI825" i="1"/>
  <c r="AE826" i="1"/>
  <c r="AC826" i="1"/>
  <c r="AJ825" i="1"/>
  <c r="AK825" i="1"/>
  <c r="AM825" i="1"/>
  <c r="BF825" i="1"/>
  <c r="BG825" i="1"/>
  <c r="T826" i="1"/>
  <c r="U826" i="1"/>
  <c r="V826" i="1"/>
  <c r="W826" i="1"/>
  <c r="X826" i="1"/>
  <c r="Y826" i="1"/>
  <c r="Z826" i="1"/>
  <c r="AB826" i="1"/>
  <c r="AF826" i="1"/>
  <c r="AI826" i="1"/>
  <c r="AE827" i="1"/>
  <c r="AC827" i="1"/>
  <c r="AJ826" i="1"/>
  <c r="AK826" i="1"/>
  <c r="AM826" i="1"/>
  <c r="BF826" i="1"/>
  <c r="BG826" i="1"/>
  <c r="T827" i="1"/>
  <c r="U827" i="1"/>
  <c r="V827" i="1"/>
  <c r="W827" i="1"/>
  <c r="X827" i="1"/>
  <c r="Y827" i="1"/>
  <c r="Z827" i="1"/>
  <c r="AB827" i="1"/>
  <c r="AF827" i="1"/>
  <c r="AI827" i="1"/>
  <c r="H828" i="1"/>
  <c r="AE828" i="1"/>
  <c r="I828" i="1"/>
  <c r="J828" i="1"/>
  <c r="K828" i="1"/>
  <c r="AC828" i="1"/>
  <c r="AJ827" i="1"/>
  <c r="AK827" i="1"/>
  <c r="AM827" i="1"/>
  <c r="BG827" i="1"/>
  <c r="T828" i="1"/>
  <c r="U828" i="1"/>
  <c r="V828" i="1"/>
  <c r="W828" i="1"/>
  <c r="X828" i="1"/>
  <c r="Y828" i="1"/>
  <c r="Z828" i="1"/>
  <c r="AB828" i="1"/>
  <c r="AF828" i="1"/>
  <c r="AI828" i="1"/>
  <c r="AE829" i="1"/>
  <c r="AC829" i="1"/>
  <c r="AJ828" i="1"/>
  <c r="AK828" i="1"/>
  <c r="AM828" i="1"/>
  <c r="BF828" i="1"/>
  <c r="BG828" i="1"/>
  <c r="T829" i="1"/>
  <c r="U829" i="1"/>
  <c r="V829" i="1"/>
  <c r="W829" i="1"/>
  <c r="X829" i="1"/>
  <c r="Y829" i="1"/>
  <c r="Z829" i="1"/>
  <c r="AB829" i="1"/>
  <c r="AF829" i="1"/>
  <c r="AI829" i="1"/>
  <c r="AE830" i="1"/>
  <c r="AC830" i="1"/>
  <c r="AJ829" i="1"/>
  <c r="AK829" i="1"/>
  <c r="AM829" i="1"/>
  <c r="BF829" i="1"/>
  <c r="BG829" i="1"/>
  <c r="T830" i="1"/>
  <c r="U830" i="1"/>
  <c r="V830" i="1"/>
  <c r="W830" i="1"/>
  <c r="X830" i="1"/>
  <c r="Y830" i="1"/>
  <c r="Z830" i="1"/>
  <c r="AB830" i="1"/>
  <c r="AF830" i="1"/>
  <c r="AI830" i="1"/>
  <c r="H831" i="1"/>
  <c r="AE831" i="1"/>
  <c r="I831" i="1"/>
  <c r="J831" i="1"/>
  <c r="K831" i="1"/>
  <c r="AC831" i="1"/>
  <c r="AJ830" i="1"/>
  <c r="AK830" i="1"/>
  <c r="AM830" i="1"/>
  <c r="BG830" i="1"/>
  <c r="T831" i="1"/>
  <c r="U831" i="1"/>
  <c r="V831" i="1"/>
  <c r="W831" i="1"/>
  <c r="X831" i="1"/>
  <c r="Y831" i="1"/>
  <c r="Z831" i="1"/>
  <c r="AB831" i="1"/>
  <c r="AF831" i="1"/>
  <c r="AI831" i="1"/>
  <c r="AE832" i="1"/>
  <c r="AC832" i="1"/>
  <c r="AJ831" i="1"/>
  <c r="AK831" i="1"/>
  <c r="AM831" i="1"/>
  <c r="BF831" i="1"/>
  <c r="BG831" i="1"/>
  <c r="T832" i="1"/>
  <c r="U832" i="1"/>
  <c r="V832" i="1"/>
  <c r="W832" i="1"/>
  <c r="X832" i="1"/>
  <c r="Y832" i="1"/>
  <c r="Z832" i="1"/>
  <c r="AB832" i="1"/>
  <c r="AF832" i="1"/>
  <c r="AI832" i="1"/>
  <c r="AE833" i="1"/>
  <c r="AC833" i="1"/>
  <c r="AJ832" i="1"/>
  <c r="AK832" i="1"/>
  <c r="AM832" i="1"/>
  <c r="BF832" i="1"/>
  <c r="BG832" i="1"/>
  <c r="T833" i="1"/>
  <c r="U833" i="1"/>
  <c r="V833" i="1"/>
  <c r="W833" i="1"/>
  <c r="X833" i="1"/>
  <c r="Y833" i="1"/>
  <c r="Z833" i="1"/>
  <c r="AB833" i="1"/>
  <c r="AF833" i="1"/>
  <c r="AI833" i="1"/>
  <c r="H834" i="1"/>
  <c r="AE834" i="1"/>
  <c r="I834" i="1"/>
  <c r="J834" i="1"/>
  <c r="K834" i="1"/>
  <c r="AC834" i="1"/>
  <c r="AJ833" i="1"/>
  <c r="AK833" i="1"/>
  <c r="AM833" i="1"/>
  <c r="BG833" i="1"/>
  <c r="T834" i="1"/>
  <c r="U834" i="1"/>
  <c r="V834" i="1"/>
  <c r="W834" i="1"/>
  <c r="X834" i="1"/>
  <c r="Y834" i="1"/>
  <c r="Z834" i="1"/>
  <c r="AB834" i="1"/>
  <c r="AF834" i="1"/>
  <c r="AI834" i="1"/>
  <c r="AE835" i="1"/>
  <c r="AC835" i="1"/>
  <c r="AJ834" i="1"/>
  <c r="AK834" i="1"/>
  <c r="AM834" i="1"/>
  <c r="BF834" i="1"/>
  <c r="BG834" i="1"/>
  <c r="T835" i="1"/>
  <c r="U835" i="1"/>
  <c r="V835" i="1"/>
  <c r="W835" i="1"/>
  <c r="X835" i="1"/>
  <c r="Y835" i="1"/>
  <c r="Z835" i="1"/>
  <c r="AB835" i="1"/>
  <c r="AF835" i="1"/>
  <c r="AI835" i="1"/>
  <c r="AE836" i="1"/>
  <c r="AC836" i="1"/>
  <c r="AJ835" i="1"/>
  <c r="AK835" i="1"/>
  <c r="AM835" i="1"/>
  <c r="BF835" i="1"/>
  <c r="BG835" i="1"/>
  <c r="T836" i="1"/>
  <c r="U836" i="1"/>
  <c r="V836" i="1"/>
  <c r="W836" i="1"/>
  <c r="X836" i="1"/>
  <c r="Y836" i="1"/>
  <c r="Z836" i="1"/>
  <c r="AB836" i="1"/>
  <c r="AF836" i="1"/>
  <c r="AI836" i="1"/>
  <c r="AE837" i="1"/>
  <c r="AC837" i="1"/>
  <c r="AJ836" i="1"/>
  <c r="AK836" i="1"/>
  <c r="AM836" i="1"/>
  <c r="BF836" i="1"/>
  <c r="BG836" i="1"/>
  <c r="T837" i="1"/>
  <c r="U837" i="1"/>
  <c r="V837" i="1"/>
  <c r="W837" i="1"/>
  <c r="X837" i="1"/>
  <c r="Y837" i="1"/>
  <c r="Z837" i="1"/>
  <c r="AB837" i="1"/>
  <c r="AF837" i="1"/>
  <c r="AI837" i="1"/>
  <c r="H838" i="1"/>
  <c r="AE838" i="1"/>
  <c r="I838" i="1"/>
  <c r="J838" i="1"/>
  <c r="K838" i="1"/>
  <c r="AC838" i="1"/>
  <c r="AJ837" i="1"/>
  <c r="AK837" i="1"/>
  <c r="AM837" i="1"/>
  <c r="BG837" i="1"/>
  <c r="T838" i="1"/>
  <c r="U838" i="1"/>
  <c r="V838" i="1"/>
  <c r="W838" i="1"/>
  <c r="X838" i="1"/>
  <c r="Y838" i="1"/>
  <c r="Z838" i="1"/>
  <c r="AB838" i="1"/>
  <c r="AF838" i="1"/>
  <c r="AI838" i="1"/>
  <c r="H839" i="1"/>
  <c r="AE839" i="1"/>
  <c r="I839" i="1"/>
  <c r="J839" i="1"/>
  <c r="K839" i="1"/>
  <c r="AC839" i="1"/>
  <c r="AJ838" i="1"/>
  <c r="AK838" i="1"/>
  <c r="AM838" i="1"/>
  <c r="BF838" i="1"/>
  <c r="BG838" i="1"/>
  <c r="T839" i="1"/>
  <c r="U839" i="1"/>
  <c r="V839" i="1"/>
  <c r="W839" i="1"/>
  <c r="X839" i="1"/>
  <c r="Y839" i="1"/>
  <c r="Z839" i="1"/>
  <c r="AB839" i="1"/>
  <c r="AF839" i="1"/>
  <c r="AI839" i="1"/>
  <c r="H840" i="1"/>
  <c r="AE840" i="1"/>
  <c r="I840" i="1"/>
  <c r="J840" i="1"/>
  <c r="K840" i="1"/>
  <c r="AC840" i="1"/>
  <c r="AJ839" i="1"/>
  <c r="AK839" i="1"/>
  <c r="AM839" i="1"/>
  <c r="BF839" i="1"/>
  <c r="BG839" i="1"/>
  <c r="T840" i="1"/>
  <c r="U840" i="1"/>
  <c r="V840" i="1"/>
  <c r="W840" i="1"/>
  <c r="X840" i="1"/>
  <c r="Y840" i="1"/>
  <c r="Z840" i="1"/>
  <c r="AB840" i="1"/>
  <c r="AF840" i="1"/>
  <c r="AI840" i="1"/>
  <c r="AE841" i="1"/>
  <c r="AC841" i="1"/>
  <c r="AJ840" i="1"/>
  <c r="AK840" i="1"/>
  <c r="AM840" i="1"/>
  <c r="BF840" i="1"/>
  <c r="BG840" i="1"/>
  <c r="T841" i="1"/>
  <c r="U841" i="1"/>
  <c r="V841" i="1"/>
  <c r="W841" i="1"/>
  <c r="X841" i="1"/>
  <c r="Y841" i="1"/>
  <c r="Z841" i="1"/>
  <c r="AB841" i="1"/>
  <c r="AF841" i="1"/>
  <c r="AI841" i="1"/>
  <c r="AE842" i="1"/>
  <c r="AC842" i="1"/>
  <c r="AJ841" i="1"/>
  <c r="AK841" i="1"/>
  <c r="AM841" i="1"/>
  <c r="BF841" i="1"/>
  <c r="BG841" i="1"/>
  <c r="T842" i="1"/>
  <c r="U842" i="1"/>
  <c r="V842" i="1"/>
  <c r="W842" i="1"/>
  <c r="X842" i="1"/>
  <c r="Y842" i="1"/>
  <c r="Z842" i="1"/>
  <c r="AB842" i="1"/>
  <c r="AF842" i="1"/>
  <c r="AI842" i="1"/>
  <c r="H843" i="1"/>
  <c r="AE843" i="1"/>
  <c r="I843" i="1"/>
  <c r="J843" i="1"/>
  <c r="K843" i="1"/>
  <c r="AC843" i="1"/>
  <c r="AJ842" i="1"/>
  <c r="AK842" i="1"/>
  <c r="AM842" i="1"/>
  <c r="BG842" i="1"/>
  <c r="T843" i="1"/>
  <c r="U843" i="1"/>
  <c r="V843" i="1"/>
  <c r="W843" i="1"/>
  <c r="X843" i="1"/>
  <c r="Y843" i="1"/>
  <c r="Z843" i="1"/>
  <c r="AB843" i="1"/>
  <c r="AF843" i="1"/>
  <c r="AI843" i="1"/>
  <c r="H844" i="1"/>
  <c r="AE844" i="1"/>
  <c r="I844" i="1"/>
  <c r="J844" i="1"/>
  <c r="K844" i="1"/>
  <c r="AC844" i="1"/>
  <c r="AJ843" i="1"/>
  <c r="AK843" i="1"/>
  <c r="AM843" i="1"/>
  <c r="BF843" i="1"/>
  <c r="BG843" i="1"/>
  <c r="T844" i="1"/>
  <c r="U844" i="1"/>
  <c r="V844" i="1"/>
  <c r="W844" i="1"/>
  <c r="X844" i="1"/>
  <c r="Y844" i="1"/>
  <c r="Z844" i="1"/>
  <c r="AB844" i="1"/>
  <c r="AF844" i="1"/>
  <c r="AI844" i="1"/>
  <c r="H845" i="1"/>
  <c r="AE845" i="1"/>
  <c r="I845" i="1"/>
  <c r="J845" i="1"/>
  <c r="K845" i="1"/>
  <c r="AC845" i="1"/>
  <c r="AJ844" i="1"/>
  <c r="AK844" i="1"/>
  <c r="AM844" i="1"/>
  <c r="BF844" i="1"/>
  <c r="BG844" i="1"/>
  <c r="T845" i="1"/>
  <c r="U845" i="1"/>
  <c r="V845" i="1"/>
  <c r="W845" i="1"/>
  <c r="X845" i="1"/>
  <c r="Y845" i="1"/>
  <c r="Z845" i="1"/>
  <c r="AB845" i="1"/>
  <c r="AF845" i="1"/>
  <c r="AI845" i="1"/>
  <c r="H846" i="1"/>
  <c r="AE846" i="1"/>
  <c r="I846" i="1"/>
  <c r="J846" i="1"/>
  <c r="K846" i="1"/>
  <c r="AC846" i="1"/>
  <c r="AJ845" i="1"/>
  <c r="AK845" i="1"/>
  <c r="AM845" i="1"/>
  <c r="BF845" i="1"/>
  <c r="BG845" i="1"/>
  <c r="T846" i="1"/>
  <c r="U846" i="1"/>
  <c r="V846" i="1"/>
  <c r="W846" i="1"/>
  <c r="X846" i="1"/>
  <c r="Y846" i="1"/>
  <c r="Z846" i="1"/>
  <c r="AB846" i="1"/>
  <c r="AF846" i="1"/>
  <c r="AI846" i="1"/>
  <c r="H847" i="1"/>
  <c r="AE847" i="1"/>
  <c r="I847" i="1"/>
  <c r="J847" i="1"/>
  <c r="K847" i="1"/>
  <c r="AC847" i="1"/>
  <c r="AJ846" i="1"/>
  <c r="AK846" i="1"/>
  <c r="AM846" i="1"/>
  <c r="BF846" i="1"/>
  <c r="BG846" i="1"/>
  <c r="T847" i="1"/>
  <c r="U847" i="1"/>
  <c r="V847" i="1"/>
  <c r="W847" i="1"/>
  <c r="X847" i="1"/>
  <c r="Y847" i="1"/>
  <c r="Z847" i="1"/>
  <c r="AB847" i="1"/>
  <c r="AF847" i="1"/>
  <c r="AI847" i="1"/>
  <c r="AE848" i="1"/>
  <c r="AC848" i="1"/>
  <c r="AJ847" i="1"/>
  <c r="AK847" i="1"/>
  <c r="AM847" i="1"/>
  <c r="BF847" i="1"/>
  <c r="BG847" i="1"/>
  <c r="T848" i="1"/>
  <c r="U848" i="1"/>
  <c r="V848" i="1"/>
  <c r="W848" i="1"/>
  <c r="X848" i="1"/>
  <c r="Y848" i="1"/>
  <c r="Z848" i="1"/>
  <c r="AB848" i="1"/>
  <c r="AF848" i="1"/>
  <c r="AI848" i="1"/>
  <c r="AE849" i="1"/>
  <c r="AC849" i="1"/>
  <c r="AJ848" i="1"/>
  <c r="AK848" i="1"/>
  <c r="AM848" i="1"/>
  <c r="BF848" i="1"/>
  <c r="BG848" i="1"/>
  <c r="T849" i="1"/>
  <c r="U849" i="1"/>
  <c r="V849" i="1"/>
  <c r="W849" i="1"/>
  <c r="X849" i="1"/>
  <c r="Y849" i="1"/>
  <c r="Z849" i="1"/>
  <c r="AB849" i="1"/>
  <c r="AF849" i="1"/>
  <c r="AI849" i="1"/>
  <c r="H850" i="1"/>
  <c r="AE850" i="1"/>
  <c r="I850" i="1"/>
  <c r="J850" i="1"/>
  <c r="K850" i="1"/>
  <c r="AC850" i="1"/>
  <c r="AJ849" i="1"/>
  <c r="AK849" i="1"/>
  <c r="AM849" i="1"/>
  <c r="BG849" i="1"/>
  <c r="T850" i="1"/>
  <c r="U850" i="1"/>
  <c r="V850" i="1"/>
  <c r="W850" i="1"/>
  <c r="X850" i="1"/>
  <c r="Y850" i="1"/>
  <c r="Z850" i="1"/>
  <c r="AB850" i="1"/>
  <c r="AF850" i="1"/>
  <c r="AI850" i="1"/>
  <c r="AE851" i="1"/>
  <c r="AC851" i="1"/>
  <c r="AJ850" i="1"/>
  <c r="AK850" i="1"/>
  <c r="AM850" i="1"/>
  <c r="BF850" i="1"/>
  <c r="BG850" i="1"/>
  <c r="T851" i="1"/>
  <c r="U851" i="1"/>
  <c r="V851" i="1"/>
  <c r="W851" i="1"/>
  <c r="X851" i="1"/>
  <c r="Y851" i="1"/>
  <c r="Z851" i="1"/>
  <c r="AB851" i="1"/>
  <c r="AF851" i="1"/>
  <c r="AI851" i="1"/>
  <c r="AE852" i="1"/>
  <c r="AC852" i="1"/>
  <c r="AJ851" i="1"/>
  <c r="AK851" i="1"/>
  <c r="AM851" i="1"/>
  <c r="BF851" i="1"/>
  <c r="BG851" i="1"/>
  <c r="T852" i="1"/>
  <c r="U852" i="1"/>
  <c r="V852" i="1"/>
  <c r="W852" i="1"/>
  <c r="X852" i="1"/>
  <c r="Y852" i="1"/>
  <c r="Z852" i="1"/>
  <c r="AB852" i="1"/>
  <c r="AF852" i="1"/>
  <c r="AI852" i="1"/>
  <c r="H853" i="1"/>
  <c r="AE853" i="1"/>
  <c r="I853" i="1"/>
  <c r="J853" i="1"/>
  <c r="K853" i="1"/>
  <c r="AC853" i="1"/>
  <c r="AJ852" i="1"/>
  <c r="AK852" i="1"/>
  <c r="AM852" i="1"/>
  <c r="BG852" i="1"/>
  <c r="T853" i="1"/>
  <c r="U853" i="1"/>
  <c r="V853" i="1"/>
  <c r="W853" i="1"/>
  <c r="X853" i="1"/>
  <c r="Y853" i="1"/>
  <c r="Z853" i="1"/>
  <c r="AB853" i="1"/>
  <c r="AF853" i="1"/>
  <c r="AI853" i="1"/>
  <c r="AE854" i="1"/>
  <c r="AC854" i="1"/>
  <c r="AJ853" i="1"/>
  <c r="AK853" i="1"/>
  <c r="AM853" i="1"/>
  <c r="BF853" i="1"/>
  <c r="BG853" i="1"/>
  <c r="T854" i="1"/>
  <c r="U854" i="1"/>
  <c r="V854" i="1"/>
  <c r="W854" i="1"/>
  <c r="X854" i="1"/>
  <c r="Y854" i="1"/>
  <c r="Z854" i="1"/>
  <c r="AB854" i="1"/>
  <c r="AF854" i="1"/>
  <c r="AI854" i="1"/>
  <c r="AE855" i="1"/>
  <c r="AC855" i="1"/>
  <c r="AJ854" i="1"/>
  <c r="AK854" i="1"/>
  <c r="AM854" i="1"/>
  <c r="BF854" i="1"/>
  <c r="BG854" i="1"/>
  <c r="T855" i="1"/>
  <c r="U855" i="1"/>
  <c r="V855" i="1"/>
  <c r="W855" i="1"/>
  <c r="X855" i="1"/>
  <c r="Y855" i="1"/>
  <c r="Z855" i="1"/>
  <c r="AB855" i="1"/>
  <c r="AF855" i="1"/>
  <c r="AI855" i="1"/>
  <c r="AE856" i="1"/>
  <c r="AC856" i="1"/>
  <c r="AJ855" i="1"/>
  <c r="AK855" i="1"/>
  <c r="AM855" i="1"/>
  <c r="BF855" i="1"/>
  <c r="BG855" i="1"/>
  <c r="T856" i="1"/>
  <c r="U856" i="1"/>
  <c r="V856" i="1"/>
  <c r="W856" i="1"/>
  <c r="X856" i="1"/>
  <c r="Y856" i="1"/>
  <c r="Z856" i="1"/>
  <c r="AB856" i="1"/>
  <c r="AF856" i="1"/>
  <c r="AI856" i="1"/>
  <c r="H857" i="1"/>
  <c r="AE857" i="1"/>
  <c r="I857" i="1"/>
  <c r="J857" i="1"/>
  <c r="K857" i="1"/>
  <c r="AC857" i="1"/>
  <c r="AJ856" i="1"/>
  <c r="AK856" i="1"/>
  <c r="AM856" i="1"/>
  <c r="BG856" i="1"/>
  <c r="T857" i="1"/>
  <c r="U857" i="1"/>
  <c r="V857" i="1"/>
  <c r="W857" i="1"/>
  <c r="X857" i="1"/>
  <c r="Y857" i="1"/>
  <c r="Z857" i="1"/>
  <c r="AB857" i="1"/>
  <c r="AF857" i="1"/>
  <c r="AI857" i="1"/>
  <c r="AE858" i="1"/>
  <c r="AC858" i="1"/>
  <c r="AJ857" i="1"/>
  <c r="AK857" i="1"/>
  <c r="AM857" i="1"/>
  <c r="BF857" i="1"/>
  <c r="BG857" i="1"/>
  <c r="T858" i="1"/>
  <c r="U858" i="1"/>
  <c r="V858" i="1"/>
  <c r="W858" i="1"/>
  <c r="X858" i="1"/>
  <c r="Y858" i="1"/>
  <c r="Z858" i="1"/>
  <c r="AB858" i="1"/>
  <c r="AF858" i="1"/>
  <c r="AI858" i="1"/>
  <c r="AE859" i="1"/>
  <c r="AC859" i="1"/>
  <c r="AJ858" i="1"/>
  <c r="AK858" i="1"/>
  <c r="AM858" i="1"/>
  <c r="BF858" i="1"/>
  <c r="BG858" i="1"/>
  <c r="T859" i="1"/>
  <c r="U859" i="1"/>
  <c r="V859" i="1"/>
  <c r="W859" i="1"/>
  <c r="X859" i="1"/>
  <c r="Y859" i="1"/>
  <c r="Z859" i="1"/>
  <c r="AB859" i="1"/>
  <c r="AF859" i="1"/>
  <c r="AI859" i="1"/>
  <c r="AE863" i="1"/>
  <c r="AC863" i="1"/>
  <c r="AE860" i="1"/>
  <c r="AC860" i="1"/>
  <c r="AJ859" i="1"/>
  <c r="AK859" i="1"/>
  <c r="AM859" i="1"/>
  <c r="BF859" i="1"/>
  <c r="BG859" i="1"/>
  <c r="T863" i="1"/>
  <c r="U863" i="1"/>
  <c r="V863" i="1"/>
  <c r="W863" i="1"/>
  <c r="X863" i="1"/>
  <c r="Y863" i="1"/>
  <c r="Z863" i="1"/>
  <c r="AB863" i="1"/>
  <c r="AF863" i="1"/>
  <c r="AI863" i="1"/>
  <c r="H864" i="1"/>
  <c r="AE864" i="1"/>
  <c r="I864" i="1"/>
  <c r="J864" i="1"/>
  <c r="K864" i="1"/>
  <c r="AC864" i="1"/>
  <c r="AJ863" i="1"/>
  <c r="AK863" i="1"/>
  <c r="AM863" i="1"/>
  <c r="BG863" i="1"/>
  <c r="T864" i="1"/>
  <c r="U864" i="1"/>
  <c r="V864" i="1"/>
  <c r="W864" i="1"/>
  <c r="X864" i="1"/>
  <c r="Y864" i="1"/>
  <c r="Z864" i="1"/>
  <c r="AB864" i="1"/>
  <c r="AF864" i="1"/>
  <c r="AI864" i="1"/>
  <c r="H865" i="1"/>
  <c r="AE865" i="1"/>
  <c r="I865" i="1"/>
  <c r="J865" i="1"/>
  <c r="K865" i="1"/>
  <c r="AC865" i="1"/>
  <c r="AJ864" i="1"/>
  <c r="AK864" i="1"/>
  <c r="AM864" i="1"/>
  <c r="BF864" i="1"/>
  <c r="BG864" i="1"/>
  <c r="T865" i="1"/>
  <c r="U865" i="1"/>
  <c r="V865" i="1"/>
  <c r="W865" i="1"/>
  <c r="X865" i="1"/>
  <c r="Y865" i="1"/>
  <c r="Z865" i="1"/>
  <c r="AB865" i="1"/>
  <c r="AF865" i="1"/>
  <c r="AI865" i="1"/>
  <c r="H866" i="1"/>
  <c r="AE866" i="1"/>
  <c r="I866" i="1"/>
  <c r="J866" i="1"/>
  <c r="K866" i="1"/>
  <c r="AC866" i="1"/>
  <c r="AJ865" i="1"/>
  <c r="AK865" i="1"/>
  <c r="AM865" i="1"/>
  <c r="BF865" i="1"/>
  <c r="BG865" i="1"/>
  <c r="T866" i="1"/>
  <c r="U866" i="1"/>
  <c r="V866" i="1"/>
  <c r="W866" i="1"/>
  <c r="X866" i="1"/>
  <c r="Y866" i="1"/>
  <c r="Z866" i="1"/>
  <c r="AB866" i="1"/>
  <c r="AF866" i="1"/>
  <c r="AI866" i="1"/>
  <c r="AE867" i="1"/>
  <c r="AC867" i="1"/>
  <c r="AJ866" i="1"/>
  <c r="AK866" i="1"/>
  <c r="AM866" i="1"/>
  <c r="BF866" i="1"/>
  <c r="BG866" i="1"/>
  <c r="T867" i="1"/>
  <c r="U867" i="1"/>
  <c r="V867" i="1"/>
  <c r="W867" i="1"/>
  <c r="X867" i="1"/>
  <c r="Y867" i="1"/>
  <c r="Z867" i="1"/>
  <c r="AB867" i="1"/>
  <c r="AF867" i="1"/>
  <c r="AI867" i="1"/>
  <c r="AE868" i="1"/>
  <c r="AC868" i="1"/>
  <c r="AJ867" i="1"/>
  <c r="AK867" i="1"/>
  <c r="AM867" i="1"/>
  <c r="BF867" i="1"/>
  <c r="BG867" i="1"/>
  <c r="T868" i="1"/>
  <c r="U868" i="1"/>
  <c r="V868" i="1"/>
  <c r="W868" i="1"/>
  <c r="X868" i="1"/>
  <c r="Y868" i="1"/>
  <c r="Z868" i="1"/>
  <c r="AB868" i="1"/>
  <c r="AF868" i="1"/>
  <c r="AI868" i="1"/>
  <c r="H869" i="1"/>
  <c r="AE869" i="1"/>
  <c r="I869" i="1"/>
  <c r="J869" i="1"/>
  <c r="K869" i="1"/>
  <c r="AC869" i="1"/>
  <c r="AJ868" i="1"/>
  <c r="AK868" i="1"/>
  <c r="AM868" i="1"/>
  <c r="BG868" i="1"/>
  <c r="T869" i="1"/>
  <c r="U869" i="1"/>
  <c r="V869" i="1"/>
  <c r="W869" i="1"/>
  <c r="X869" i="1"/>
  <c r="Y869" i="1"/>
  <c r="Z869" i="1"/>
  <c r="AB869" i="1"/>
  <c r="AF869" i="1"/>
  <c r="AI869" i="1"/>
  <c r="H870" i="1"/>
  <c r="AE870" i="1"/>
  <c r="I870" i="1"/>
  <c r="J870" i="1"/>
  <c r="K870" i="1"/>
  <c r="AC870" i="1"/>
  <c r="AJ869" i="1"/>
  <c r="AK869" i="1"/>
  <c r="AM869" i="1"/>
  <c r="BF869" i="1"/>
  <c r="BG869" i="1"/>
  <c r="T870" i="1"/>
  <c r="U870" i="1"/>
  <c r="V870" i="1"/>
  <c r="W870" i="1"/>
  <c r="X870" i="1"/>
  <c r="Y870" i="1"/>
  <c r="Z870" i="1"/>
  <c r="AB870" i="1"/>
  <c r="AF870" i="1"/>
  <c r="AI870" i="1"/>
  <c r="H871" i="1"/>
  <c r="AE871" i="1"/>
  <c r="I871" i="1"/>
  <c r="J871" i="1"/>
  <c r="K871" i="1"/>
  <c r="AC871" i="1"/>
  <c r="AJ870" i="1"/>
  <c r="AK870" i="1"/>
  <c r="AM870" i="1"/>
  <c r="BF870" i="1"/>
  <c r="BG870" i="1"/>
  <c r="T871" i="1"/>
  <c r="U871" i="1"/>
  <c r="V871" i="1"/>
  <c r="W871" i="1"/>
  <c r="X871" i="1"/>
  <c r="Y871" i="1"/>
  <c r="Z871" i="1"/>
  <c r="AB871" i="1"/>
  <c r="AF871" i="1"/>
  <c r="AI871" i="1"/>
  <c r="AE872" i="1"/>
  <c r="AC872" i="1"/>
  <c r="AJ871" i="1"/>
  <c r="AK871" i="1"/>
  <c r="AM871" i="1"/>
  <c r="BF871" i="1"/>
  <c r="BG871" i="1"/>
  <c r="T872" i="1"/>
  <c r="U872" i="1"/>
  <c r="V872" i="1"/>
  <c r="W872" i="1"/>
  <c r="X872" i="1"/>
  <c r="Y872" i="1"/>
  <c r="Z872" i="1"/>
  <c r="AB872" i="1"/>
  <c r="AF872" i="1"/>
  <c r="AI872" i="1"/>
  <c r="AE873" i="1"/>
  <c r="AC873" i="1"/>
  <c r="AJ872" i="1"/>
  <c r="AK872" i="1"/>
  <c r="AM872" i="1"/>
  <c r="BF872" i="1"/>
  <c r="BG872" i="1"/>
  <c r="T873" i="1"/>
  <c r="U873" i="1"/>
  <c r="V873" i="1"/>
  <c r="W873" i="1"/>
  <c r="X873" i="1"/>
  <c r="Y873" i="1"/>
  <c r="Z873" i="1"/>
  <c r="AB873" i="1"/>
  <c r="AF873" i="1"/>
  <c r="AI873" i="1"/>
  <c r="H874" i="1"/>
  <c r="AE874" i="1"/>
  <c r="I874" i="1"/>
  <c r="J874" i="1"/>
  <c r="K874" i="1"/>
  <c r="AC874" i="1"/>
  <c r="AJ873" i="1"/>
  <c r="AK873" i="1"/>
  <c r="AM873" i="1"/>
  <c r="BG873" i="1"/>
  <c r="T874" i="1"/>
  <c r="U874" i="1"/>
  <c r="V874" i="1"/>
  <c r="W874" i="1"/>
  <c r="X874" i="1"/>
  <c r="Y874" i="1"/>
  <c r="Z874" i="1"/>
  <c r="AB874" i="1"/>
  <c r="AF874" i="1"/>
  <c r="AI874" i="1"/>
  <c r="H875" i="1"/>
  <c r="AE875" i="1"/>
  <c r="I875" i="1"/>
  <c r="J875" i="1"/>
  <c r="K875" i="1"/>
  <c r="AC875" i="1"/>
  <c r="AJ874" i="1"/>
  <c r="AK874" i="1"/>
  <c r="AM874" i="1"/>
  <c r="BF874" i="1"/>
  <c r="BG874" i="1"/>
  <c r="T875" i="1"/>
  <c r="U875" i="1"/>
  <c r="V875" i="1"/>
  <c r="W875" i="1"/>
  <c r="X875" i="1"/>
  <c r="Y875" i="1"/>
  <c r="Z875" i="1"/>
  <c r="AB875" i="1"/>
  <c r="AF875" i="1"/>
  <c r="AI875" i="1"/>
  <c r="H876" i="1"/>
  <c r="AE876" i="1"/>
  <c r="I876" i="1"/>
  <c r="J876" i="1"/>
  <c r="K876" i="1"/>
  <c r="AC876" i="1"/>
  <c r="AJ875" i="1"/>
  <c r="AK875" i="1"/>
  <c r="AM875" i="1"/>
  <c r="BF875" i="1"/>
  <c r="BG875" i="1"/>
  <c r="T876" i="1"/>
  <c r="U876" i="1"/>
  <c r="V876" i="1"/>
  <c r="W876" i="1"/>
  <c r="X876" i="1"/>
  <c r="Y876" i="1"/>
  <c r="Z876" i="1"/>
  <c r="AB876" i="1"/>
  <c r="AF876" i="1"/>
  <c r="AI876" i="1"/>
  <c r="AE877" i="1"/>
  <c r="AC877" i="1"/>
  <c r="AJ876" i="1"/>
  <c r="AK876" i="1"/>
  <c r="AM876" i="1"/>
  <c r="BF876" i="1"/>
  <c r="BG876" i="1"/>
  <c r="T877" i="1"/>
  <c r="U877" i="1"/>
  <c r="V877" i="1"/>
  <c r="W877" i="1"/>
  <c r="X877" i="1"/>
  <c r="Y877" i="1"/>
  <c r="Z877" i="1"/>
  <c r="AB877" i="1"/>
  <c r="AF877" i="1"/>
  <c r="AI877" i="1"/>
  <c r="AE878" i="1"/>
  <c r="AC878" i="1"/>
  <c r="AJ877" i="1"/>
  <c r="AK877" i="1"/>
  <c r="AM877" i="1"/>
  <c r="BF877" i="1"/>
  <c r="BG877" i="1"/>
  <c r="T878" i="1"/>
  <c r="U878" i="1"/>
  <c r="V878" i="1"/>
  <c r="W878" i="1"/>
  <c r="X878" i="1"/>
  <c r="Y878" i="1"/>
  <c r="Z878" i="1"/>
  <c r="AB878" i="1"/>
  <c r="AF878" i="1"/>
  <c r="AI878" i="1"/>
  <c r="H879" i="1"/>
  <c r="AE879" i="1"/>
  <c r="I879" i="1"/>
  <c r="J879" i="1"/>
  <c r="K879" i="1"/>
  <c r="AC879" i="1"/>
  <c r="AJ878" i="1"/>
  <c r="AK878" i="1"/>
  <c r="AM878" i="1"/>
  <c r="BG878" i="1"/>
  <c r="T879" i="1"/>
  <c r="U879" i="1"/>
  <c r="V879" i="1"/>
  <c r="W879" i="1"/>
  <c r="X879" i="1"/>
  <c r="Y879" i="1"/>
  <c r="Z879" i="1"/>
  <c r="AB879" i="1"/>
  <c r="AF879" i="1"/>
  <c r="AI879" i="1"/>
  <c r="H880" i="1"/>
  <c r="AE880" i="1"/>
  <c r="I880" i="1"/>
  <c r="J880" i="1"/>
  <c r="K880" i="1"/>
  <c r="AC880" i="1"/>
  <c r="AJ879" i="1"/>
  <c r="AK879" i="1"/>
  <c r="AM879" i="1"/>
  <c r="BF879" i="1"/>
  <c r="BG879" i="1"/>
  <c r="T880" i="1"/>
  <c r="U880" i="1"/>
  <c r="V880" i="1"/>
  <c r="W880" i="1"/>
  <c r="X880" i="1"/>
  <c r="Y880" i="1"/>
  <c r="Z880" i="1"/>
  <c r="AB880" i="1"/>
  <c r="AF880" i="1"/>
  <c r="AI880" i="1"/>
  <c r="H881" i="1"/>
  <c r="AE881" i="1"/>
  <c r="I881" i="1"/>
  <c r="J881" i="1"/>
  <c r="K881" i="1"/>
  <c r="AC881" i="1"/>
  <c r="AJ880" i="1"/>
  <c r="AK880" i="1"/>
  <c r="AM880" i="1"/>
  <c r="BF880" i="1"/>
  <c r="BG880" i="1"/>
  <c r="T881" i="1"/>
  <c r="U881" i="1"/>
  <c r="V881" i="1"/>
  <c r="W881" i="1"/>
  <c r="X881" i="1"/>
  <c r="Y881" i="1"/>
  <c r="Z881" i="1"/>
  <c r="AB881" i="1"/>
  <c r="AF881" i="1"/>
  <c r="AI881" i="1"/>
  <c r="AE882" i="1"/>
  <c r="AC882" i="1"/>
  <c r="AJ881" i="1"/>
  <c r="AK881" i="1"/>
  <c r="AM881" i="1"/>
  <c r="BF881" i="1"/>
  <c r="BG881" i="1"/>
  <c r="T882" i="1"/>
  <c r="U882" i="1"/>
  <c r="V882" i="1"/>
  <c r="W882" i="1"/>
  <c r="X882" i="1"/>
  <c r="Y882" i="1"/>
  <c r="Z882" i="1"/>
  <c r="AB882" i="1"/>
  <c r="AF882" i="1"/>
  <c r="AI882" i="1"/>
  <c r="AE883" i="1"/>
  <c r="AC883" i="1"/>
  <c r="AJ882" i="1"/>
  <c r="AK882" i="1"/>
  <c r="AM882" i="1"/>
  <c r="BF882" i="1"/>
  <c r="BG882" i="1"/>
  <c r="T883" i="1"/>
  <c r="U883" i="1"/>
  <c r="V883" i="1"/>
  <c r="W883" i="1"/>
  <c r="X883" i="1"/>
  <c r="Y883" i="1"/>
  <c r="Z883" i="1"/>
  <c r="AB883" i="1"/>
  <c r="AF883" i="1"/>
  <c r="AI883" i="1"/>
  <c r="H884" i="1"/>
  <c r="AE884" i="1"/>
  <c r="I884" i="1"/>
  <c r="J884" i="1"/>
  <c r="K884" i="1"/>
  <c r="AC884" i="1"/>
  <c r="AJ883" i="1"/>
  <c r="AK883" i="1"/>
  <c r="AM883" i="1"/>
  <c r="BG883" i="1"/>
  <c r="T884" i="1"/>
  <c r="U884" i="1"/>
  <c r="V884" i="1"/>
  <c r="W884" i="1"/>
  <c r="X884" i="1"/>
  <c r="Y884" i="1"/>
  <c r="Z884" i="1"/>
  <c r="AB884" i="1"/>
  <c r="AF884" i="1"/>
  <c r="AI884" i="1"/>
  <c r="H885" i="1"/>
  <c r="AE885" i="1"/>
  <c r="I885" i="1"/>
  <c r="J885" i="1"/>
  <c r="K885" i="1"/>
  <c r="AC885" i="1"/>
  <c r="AJ884" i="1"/>
  <c r="AK884" i="1"/>
  <c r="AM884" i="1"/>
  <c r="BF884" i="1"/>
  <c r="BG884" i="1"/>
  <c r="T885" i="1"/>
  <c r="U885" i="1"/>
  <c r="V885" i="1"/>
  <c r="W885" i="1"/>
  <c r="X885" i="1"/>
  <c r="Y885" i="1"/>
  <c r="Z885" i="1"/>
  <c r="AB885" i="1"/>
  <c r="AF885" i="1"/>
  <c r="AI885" i="1"/>
  <c r="H886" i="1"/>
  <c r="AE886" i="1"/>
  <c r="I886" i="1"/>
  <c r="J886" i="1"/>
  <c r="K886" i="1"/>
  <c r="AC886" i="1"/>
  <c r="AJ885" i="1"/>
  <c r="AK885" i="1"/>
  <c r="AM885" i="1"/>
  <c r="BF885" i="1"/>
  <c r="BG885" i="1"/>
  <c r="T886" i="1"/>
  <c r="U886" i="1"/>
  <c r="V886" i="1"/>
  <c r="W886" i="1"/>
  <c r="X886" i="1"/>
  <c r="Y886" i="1"/>
  <c r="Z886" i="1"/>
  <c r="AB886" i="1"/>
  <c r="AF886" i="1"/>
  <c r="AI886" i="1"/>
  <c r="H887" i="1"/>
  <c r="AE887" i="1"/>
  <c r="I887" i="1"/>
  <c r="J887" i="1"/>
  <c r="K887" i="1"/>
  <c r="AC887" i="1"/>
  <c r="AJ886" i="1"/>
  <c r="AK886" i="1"/>
  <c r="AM886" i="1"/>
  <c r="BF886" i="1"/>
  <c r="BG886" i="1"/>
  <c r="T887" i="1"/>
  <c r="U887" i="1"/>
  <c r="V887" i="1"/>
  <c r="W887" i="1"/>
  <c r="X887" i="1"/>
  <c r="Y887" i="1"/>
  <c r="Z887" i="1"/>
  <c r="AB887" i="1"/>
  <c r="AF887" i="1"/>
  <c r="AI887" i="1"/>
  <c r="H888" i="1"/>
  <c r="AE888" i="1"/>
  <c r="I888" i="1"/>
  <c r="J888" i="1"/>
  <c r="K888" i="1"/>
  <c r="AC888" i="1"/>
  <c r="AJ887" i="1"/>
  <c r="AK887" i="1"/>
  <c r="AM887" i="1"/>
  <c r="BF887" i="1"/>
  <c r="BG887" i="1"/>
  <c r="T888" i="1"/>
  <c r="U888" i="1"/>
  <c r="V888" i="1"/>
  <c r="W888" i="1"/>
  <c r="X888" i="1"/>
  <c r="Y888" i="1"/>
  <c r="Z888" i="1"/>
  <c r="AB888" i="1"/>
  <c r="AF888" i="1"/>
  <c r="AI888" i="1"/>
  <c r="AE889" i="1"/>
  <c r="AC889" i="1"/>
  <c r="AJ888" i="1"/>
  <c r="AK888" i="1"/>
  <c r="AM888" i="1"/>
  <c r="BF888" i="1"/>
  <c r="BG888" i="1"/>
  <c r="T889" i="1"/>
  <c r="U889" i="1"/>
  <c r="V889" i="1"/>
  <c r="W889" i="1"/>
  <c r="X889" i="1"/>
  <c r="Y889" i="1"/>
  <c r="Z889" i="1"/>
  <c r="AB889" i="1"/>
  <c r="AF889" i="1"/>
  <c r="AI889" i="1"/>
  <c r="AE890" i="1"/>
  <c r="AC890" i="1"/>
  <c r="AJ889" i="1"/>
  <c r="AK889" i="1"/>
  <c r="AM889" i="1"/>
  <c r="BF889" i="1"/>
  <c r="BG889" i="1"/>
  <c r="T890" i="1"/>
  <c r="U890" i="1"/>
  <c r="V890" i="1"/>
  <c r="W890" i="1"/>
  <c r="X890" i="1"/>
  <c r="Y890" i="1"/>
  <c r="Z890" i="1"/>
  <c r="AB890" i="1"/>
  <c r="AF890" i="1"/>
  <c r="AI890" i="1"/>
  <c r="H891" i="1"/>
  <c r="AE891" i="1"/>
  <c r="I891" i="1"/>
  <c r="J891" i="1"/>
  <c r="K891" i="1"/>
  <c r="AC891" i="1"/>
  <c r="AJ890" i="1"/>
  <c r="AK890" i="1"/>
  <c r="AM890" i="1"/>
  <c r="BG890" i="1"/>
  <c r="T891" i="1"/>
  <c r="U891" i="1"/>
  <c r="V891" i="1"/>
  <c r="W891" i="1"/>
  <c r="X891" i="1"/>
  <c r="Y891" i="1"/>
  <c r="Z891" i="1"/>
  <c r="AB891" i="1"/>
  <c r="AF891" i="1"/>
  <c r="AI891" i="1"/>
  <c r="H892" i="1"/>
  <c r="AE892" i="1"/>
  <c r="I892" i="1"/>
  <c r="J892" i="1"/>
  <c r="K892" i="1"/>
  <c r="AC892" i="1"/>
  <c r="AJ891" i="1"/>
  <c r="AK891" i="1"/>
  <c r="AM891" i="1"/>
  <c r="BF891" i="1"/>
  <c r="BG891" i="1"/>
  <c r="T892" i="1"/>
  <c r="U892" i="1"/>
  <c r="V892" i="1"/>
  <c r="W892" i="1"/>
  <c r="X892" i="1"/>
  <c r="Y892" i="1"/>
  <c r="Z892" i="1"/>
  <c r="AB892" i="1"/>
  <c r="AF892" i="1"/>
  <c r="AI892" i="1"/>
  <c r="H893" i="1"/>
  <c r="AE893" i="1"/>
  <c r="I893" i="1"/>
  <c r="J893" i="1"/>
  <c r="K893" i="1"/>
  <c r="AC893" i="1"/>
  <c r="AJ892" i="1"/>
  <c r="AK892" i="1"/>
  <c r="AM892" i="1"/>
  <c r="BF892" i="1"/>
  <c r="BG892" i="1"/>
  <c r="T893" i="1"/>
  <c r="U893" i="1"/>
  <c r="V893" i="1"/>
  <c r="W893" i="1"/>
  <c r="X893" i="1"/>
  <c r="Y893" i="1"/>
  <c r="Z893" i="1"/>
  <c r="AB893" i="1"/>
  <c r="AF893" i="1"/>
  <c r="AI893" i="1"/>
  <c r="AE894" i="1"/>
  <c r="AC894" i="1"/>
  <c r="AJ893" i="1"/>
  <c r="AK893" i="1"/>
  <c r="AM893" i="1"/>
  <c r="BF893" i="1"/>
  <c r="BG893" i="1"/>
  <c r="T894" i="1"/>
  <c r="U894" i="1"/>
  <c r="V894" i="1"/>
  <c r="W894" i="1"/>
  <c r="X894" i="1"/>
  <c r="Y894" i="1"/>
  <c r="Z894" i="1"/>
  <c r="AB894" i="1"/>
  <c r="AF894" i="1"/>
  <c r="AI894" i="1"/>
  <c r="AE895" i="1"/>
  <c r="AC895" i="1"/>
  <c r="AJ894" i="1"/>
  <c r="AK894" i="1"/>
  <c r="AM894" i="1"/>
  <c r="BF894" i="1"/>
  <c r="BG894" i="1"/>
  <c r="T895" i="1"/>
  <c r="U895" i="1"/>
  <c r="V895" i="1"/>
  <c r="W895" i="1"/>
  <c r="X895" i="1"/>
  <c r="Y895" i="1"/>
  <c r="Z895" i="1"/>
  <c r="AB895" i="1"/>
  <c r="AF895" i="1"/>
  <c r="AI895" i="1"/>
  <c r="H896" i="1"/>
  <c r="AE896" i="1"/>
  <c r="I896" i="1"/>
  <c r="J896" i="1"/>
  <c r="K896" i="1"/>
  <c r="AC896" i="1"/>
  <c r="AJ895" i="1"/>
  <c r="AK895" i="1"/>
  <c r="AM895" i="1"/>
  <c r="BG895" i="1"/>
  <c r="T896" i="1"/>
  <c r="U896" i="1"/>
  <c r="V896" i="1"/>
  <c r="W896" i="1"/>
  <c r="X896" i="1"/>
  <c r="Y896" i="1"/>
  <c r="Z896" i="1"/>
  <c r="AB896" i="1"/>
  <c r="AF896" i="1"/>
  <c r="AI896" i="1"/>
  <c r="AE897" i="1"/>
  <c r="AC897" i="1"/>
  <c r="AJ896" i="1"/>
  <c r="AK896" i="1"/>
  <c r="AM896" i="1"/>
  <c r="BF896" i="1"/>
  <c r="BG896" i="1"/>
  <c r="T897" i="1"/>
  <c r="U897" i="1"/>
  <c r="V897" i="1"/>
  <c r="W897" i="1"/>
  <c r="X897" i="1"/>
  <c r="Y897" i="1"/>
  <c r="Z897" i="1"/>
  <c r="AB897" i="1"/>
  <c r="AF897" i="1"/>
  <c r="AI897" i="1"/>
  <c r="AE898" i="1"/>
  <c r="AC898" i="1"/>
  <c r="AJ897" i="1"/>
  <c r="AK897" i="1"/>
  <c r="AM897" i="1"/>
  <c r="BF897" i="1"/>
  <c r="BG897" i="1"/>
  <c r="T898" i="1"/>
  <c r="U898" i="1"/>
  <c r="V898" i="1"/>
  <c r="W898" i="1"/>
  <c r="X898" i="1"/>
  <c r="Y898" i="1"/>
  <c r="Z898" i="1"/>
  <c r="AB898" i="1"/>
  <c r="AF898" i="1"/>
  <c r="AI898" i="1"/>
  <c r="AE899" i="1"/>
  <c r="AC899" i="1"/>
  <c r="AJ898" i="1"/>
  <c r="AK898" i="1"/>
  <c r="AM898" i="1"/>
  <c r="BF898" i="1"/>
  <c r="BG898" i="1"/>
  <c r="T899" i="1"/>
  <c r="U899" i="1"/>
  <c r="V899" i="1"/>
  <c r="W899" i="1"/>
  <c r="X899" i="1"/>
  <c r="Y899" i="1"/>
  <c r="Z899" i="1"/>
  <c r="AB899" i="1"/>
  <c r="AF899" i="1"/>
  <c r="AI899" i="1"/>
  <c r="H900" i="1"/>
  <c r="AE900" i="1"/>
  <c r="I900" i="1"/>
  <c r="J900" i="1"/>
  <c r="K900" i="1"/>
  <c r="AC900" i="1"/>
  <c r="AJ899" i="1"/>
  <c r="AK899" i="1"/>
  <c r="AM899" i="1"/>
  <c r="BG899" i="1"/>
  <c r="T900" i="1"/>
  <c r="U900" i="1"/>
  <c r="V900" i="1"/>
  <c r="W900" i="1"/>
  <c r="X900" i="1"/>
  <c r="Y900" i="1"/>
  <c r="Z900" i="1"/>
  <c r="AB900" i="1"/>
  <c r="AF900" i="1"/>
  <c r="AI900" i="1"/>
  <c r="AE901" i="1"/>
  <c r="AC901" i="1"/>
  <c r="AJ900" i="1"/>
  <c r="AK900" i="1"/>
  <c r="AM900" i="1"/>
  <c r="BF900" i="1"/>
  <c r="BG900" i="1"/>
  <c r="T901" i="1"/>
  <c r="U901" i="1"/>
  <c r="V901" i="1"/>
  <c r="W901" i="1"/>
  <c r="X901" i="1"/>
  <c r="Y901" i="1"/>
  <c r="Z901" i="1"/>
  <c r="AB901" i="1"/>
  <c r="AF901" i="1"/>
  <c r="AI901" i="1"/>
  <c r="AE902" i="1"/>
  <c r="AC902" i="1"/>
  <c r="AJ901" i="1"/>
  <c r="AK901" i="1"/>
  <c r="AM901" i="1"/>
  <c r="BF901" i="1"/>
  <c r="BG901" i="1"/>
  <c r="T902" i="1"/>
  <c r="U902" i="1"/>
  <c r="V902" i="1"/>
  <c r="W902" i="1"/>
  <c r="X902" i="1"/>
  <c r="Y902" i="1"/>
  <c r="Z902" i="1"/>
  <c r="AB902" i="1"/>
  <c r="AF902" i="1"/>
  <c r="AI902" i="1"/>
  <c r="H903" i="1"/>
  <c r="AE903" i="1"/>
  <c r="I903" i="1"/>
  <c r="J903" i="1"/>
  <c r="K903" i="1"/>
  <c r="AC903" i="1"/>
  <c r="AJ902" i="1"/>
  <c r="AK902" i="1"/>
  <c r="AM902" i="1"/>
  <c r="BG902" i="1"/>
  <c r="T903" i="1"/>
  <c r="U903" i="1"/>
  <c r="V903" i="1"/>
  <c r="W903" i="1"/>
  <c r="X903" i="1"/>
  <c r="Y903" i="1"/>
  <c r="Z903" i="1"/>
  <c r="AB903" i="1"/>
  <c r="AF903" i="1"/>
  <c r="AI903" i="1"/>
  <c r="AE904" i="1"/>
  <c r="AC904" i="1"/>
  <c r="AJ903" i="1"/>
  <c r="AK903" i="1"/>
  <c r="AM903" i="1"/>
  <c r="BF903" i="1"/>
  <c r="BG903" i="1"/>
  <c r="T904" i="1"/>
  <c r="U904" i="1"/>
  <c r="V904" i="1"/>
  <c r="W904" i="1"/>
  <c r="X904" i="1"/>
  <c r="Y904" i="1"/>
  <c r="Z904" i="1"/>
  <c r="AB904" i="1"/>
  <c r="AF904" i="1"/>
  <c r="AI904" i="1"/>
  <c r="AE905" i="1"/>
  <c r="AC905" i="1"/>
  <c r="AJ904" i="1"/>
  <c r="AK904" i="1"/>
  <c r="AM904" i="1"/>
  <c r="BF904" i="1"/>
  <c r="BG904" i="1"/>
  <c r="T905" i="1"/>
  <c r="U905" i="1"/>
  <c r="V905" i="1"/>
  <c r="W905" i="1"/>
  <c r="X905" i="1"/>
  <c r="Y905" i="1"/>
  <c r="Z905" i="1"/>
  <c r="AB905" i="1"/>
  <c r="AF905" i="1"/>
  <c r="AI905" i="1"/>
  <c r="AE906" i="1"/>
  <c r="AC906" i="1"/>
  <c r="AJ905" i="1"/>
  <c r="AK905" i="1"/>
  <c r="AM905" i="1"/>
  <c r="BF905" i="1"/>
  <c r="BG905" i="1"/>
  <c r="T906" i="1"/>
  <c r="U906" i="1"/>
  <c r="V906" i="1"/>
  <c r="W906" i="1"/>
  <c r="X906" i="1"/>
  <c r="Y906" i="1"/>
  <c r="Z906" i="1"/>
  <c r="AB906" i="1"/>
  <c r="AF906" i="1"/>
  <c r="AI906" i="1"/>
  <c r="H907" i="1"/>
  <c r="AE907" i="1"/>
  <c r="I907" i="1"/>
  <c r="J907" i="1"/>
  <c r="K907" i="1"/>
  <c r="AC907" i="1"/>
  <c r="AJ906" i="1"/>
  <c r="AK906" i="1"/>
  <c r="AM906" i="1"/>
  <c r="BG906" i="1"/>
  <c r="T907" i="1"/>
  <c r="U907" i="1"/>
  <c r="V907" i="1"/>
  <c r="W907" i="1"/>
  <c r="X907" i="1"/>
  <c r="Y907" i="1"/>
  <c r="Z907" i="1"/>
  <c r="AB907" i="1"/>
  <c r="AF907" i="1"/>
  <c r="AI907" i="1"/>
  <c r="AE908" i="1"/>
  <c r="AC908" i="1"/>
  <c r="AJ907" i="1"/>
  <c r="AK907" i="1"/>
  <c r="AM907" i="1"/>
  <c r="BF907" i="1"/>
  <c r="BG907" i="1"/>
  <c r="T908" i="1"/>
  <c r="U908" i="1"/>
  <c r="V908" i="1"/>
  <c r="W908" i="1"/>
  <c r="X908" i="1"/>
  <c r="Y908" i="1"/>
  <c r="Z908" i="1"/>
  <c r="AB908" i="1"/>
  <c r="AF908" i="1"/>
  <c r="AI908" i="1"/>
  <c r="AE909" i="1"/>
  <c r="AC909" i="1"/>
  <c r="AJ908" i="1"/>
  <c r="AK908" i="1"/>
  <c r="AM908" i="1"/>
  <c r="BF908" i="1"/>
  <c r="BG908" i="1"/>
  <c r="T909" i="1"/>
  <c r="U909" i="1"/>
  <c r="V909" i="1"/>
  <c r="W909" i="1"/>
  <c r="X909" i="1"/>
  <c r="Y909" i="1"/>
  <c r="Z909" i="1"/>
  <c r="AB909" i="1"/>
  <c r="AF909" i="1"/>
  <c r="AI909" i="1"/>
  <c r="H910" i="1"/>
  <c r="AE910" i="1"/>
  <c r="I910" i="1"/>
  <c r="J910" i="1"/>
  <c r="K910" i="1"/>
  <c r="AC910" i="1"/>
  <c r="AJ909" i="1"/>
  <c r="AK909" i="1"/>
  <c r="AM909" i="1"/>
  <c r="BG909" i="1"/>
  <c r="T910" i="1"/>
  <c r="U910" i="1"/>
  <c r="V910" i="1"/>
  <c r="W910" i="1"/>
  <c r="X910" i="1"/>
  <c r="Y910" i="1"/>
  <c r="Z910" i="1"/>
  <c r="AB910" i="1"/>
  <c r="AF910" i="1"/>
  <c r="AI910" i="1"/>
  <c r="H911" i="1"/>
  <c r="AE911" i="1"/>
  <c r="I911" i="1"/>
  <c r="J911" i="1"/>
  <c r="K911" i="1"/>
  <c r="AC911" i="1"/>
  <c r="AJ910" i="1"/>
  <c r="AK910" i="1"/>
  <c r="AM910" i="1"/>
  <c r="BF910" i="1"/>
  <c r="BG910" i="1"/>
  <c r="T911" i="1"/>
  <c r="U911" i="1"/>
  <c r="V911" i="1"/>
  <c r="W911" i="1"/>
  <c r="X911" i="1"/>
  <c r="Y911" i="1"/>
  <c r="Z911" i="1"/>
  <c r="AB911" i="1"/>
  <c r="AF911" i="1"/>
  <c r="AI911" i="1"/>
  <c r="H912" i="1"/>
  <c r="AE912" i="1"/>
  <c r="I912" i="1"/>
  <c r="J912" i="1"/>
  <c r="K912" i="1"/>
  <c r="AC912" i="1"/>
  <c r="AJ911" i="1"/>
  <c r="AK911" i="1"/>
  <c r="AM911" i="1"/>
  <c r="BF911" i="1"/>
  <c r="BG911" i="1"/>
  <c r="T912" i="1"/>
  <c r="U912" i="1"/>
  <c r="V912" i="1"/>
  <c r="W912" i="1"/>
  <c r="X912" i="1"/>
  <c r="Y912" i="1"/>
  <c r="Z912" i="1"/>
  <c r="AB912" i="1"/>
  <c r="AF912" i="1"/>
  <c r="AI912" i="1"/>
  <c r="H913" i="1"/>
  <c r="AE913" i="1"/>
  <c r="I913" i="1"/>
  <c r="J913" i="1"/>
  <c r="K913" i="1"/>
  <c r="AC913" i="1"/>
  <c r="AJ912" i="1"/>
  <c r="AK912" i="1"/>
  <c r="AM912" i="1"/>
  <c r="BF912" i="1"/>
  <c r="BG912" i="1"/>
  <c r="T913" i="1"/>
  <c r="U913" i="1"/>
  <c r="V913" i="1"/>
  <c r="W913" i="1"/>
  <c r="X913" i="1"/>
  <c r="Y913" i="1"/>
  <c r="Z913" i="1"/>
  <c r="AB913" i="1"/>
  <c r="AF913" i="1"/>
  <c r="AI913" i="1"/>
  <c r="H914" i="1"/>
  <c r="AE914" i="1"/>
  <c r="I914" i="1"/>
  <c r="J914" i="1"/>
  <c r="K914" i="1"/>
  <c r="AC914" i="1"/>
  <c r="AJ913" i="1"/>
  <c r="AK913" i="1"/>
  <c r="AM913" i="1"/>
  <c r="BF913" i="1"/>
  <c r="BG913" i="1"/>
  <c r="T914" i="1"/>
  <c r="U914" i="1"/>
  <c r="V914" i="1"/>
  <c r="W914" i="1"/>
  <c r="X914" i="1"/>
  <c r="Y914" i="1"/>
  <c r="Z914" i="1"/>
  <c r="AB914" i="1"/>
  <c r="AF914" i="1"/>
  <c r="AI914" i="1"/>
  <c r="AE915" i="1"/>
  <c r="AC915" i="1"/>
  <c r="AJ914" i="1"/>
  <c r="AK914" i="1"/>
  <c r="AM914" i="1"/>
  <c r="BF914" i="1"/>
  <c r="BG914" i="1"/>
  <c r="T915" i="1"/>
  <c r="U915" i="1"/>
  <c r="V915" i="1"/>
  <c r="W915" i="1"/>
  <c r="X915" i="1"/>
  <c r="Y915" i="1"/>
  <c r="Z915" i="1"/>
  <c r="AB915" i="1"/>
  <c r="AF915" i="1"/>
  <c r="AI915" i="1"/>
  <c r="AE916" i="1"/>
  <c r="AC916" i="1"/>
  <c r="AJ915" i="1"/>
  <c r="AK915" i="1"/>
  <c r="AM915" i="1"/>
  <c r="BF915" i="1"/>
  <c r="BG915" i="1"/>
  <c r="T916" i="1"/>
  <c r="U916" i="1"/>
  <c r="V916" i="1"/>
  <c r="W916" i="1"/>
  <c r="X916" i="1"/>
  <c r="Y916" i="1"/>
  <c r="Z916" i="1"/>
  <c r="AB916" i="1"/>
  <c r="AF916" i="1"/>
  <c r="AI916" i="1"/>
  <c r="H917" i="1"/>
  <c r="AE917" i="1"/>
  <c r="I917" i="1"/>
  <c r="J917" i="1"/>
  <c r="K917" i="1"/>
  <c r="AC917" i="1"/>
  <c r="AJ916" i="1"/>
  <c r="AK916" i="1"/>
  <c r="AM916" i="1"/>
  <c r="BG916" i="1"/>
  <c r="T917" i="1"/>
  <c r="U917" i="1"/>
  <c r="V917" i="1"/>
  <c r="W917" i="1"/>
  <c r="X917" i="1"/>
  <c r="Y917" i="1"/>
  <c r="Z917" i="1"/>
  <c r="AB917" i="1"/>
  <c r="AF917" i="1"/>
  <c r="AI917" i="1"/>
  <c r="H918" i="1"/>
  <c r="AE918" i="1"/>
  <c r="I918" i="1"/>
  <c r="J918" i="1"/>
  <c r="K918" i="1"/>
  <c r="AC918" i="1"/>
  <c r="AJ917" i="1"/>
  <c r="AK917" i="1"/>
  <c r="AM917" i="1"/>
  <c r="BF917" i="1"/>
  <c r="BG917" i="1"/>
  <c r="T918" i="1"/>
  <c r="U918" i="1"/>
  <c r="V918" i="1"/>
  <c r="W918" i="1"/>
  <c r="X918" i="1"/>
  <c r="Y918" i="1"/>
  <c r="Z918" i="1"/>
  <c r="AB918" i="1"/>
  <c r="AF918" i="1"/>
  <c r="AI918" i="1"/>
  <c r="H919" i="1"/>
  <c r="AE919" i="1"/>
  <c r="I919" i="1"/>
  <c r="J919" i="1"/>
  <c r="K919" i="1"/>
  <c r="AC919" i="1"/>
  <c r="AJ918" i="1"/>
  <c r="AK918" i="1"/>
  <c r="AM918" i="1"/>
  <c r="BF918" i="1"/>
  <c r="BG918" i="1"/>
  <c r="T919" i="1"/>
  <c r="U919" i="1"/>
  <c r="V919" i="1"/>
  <c r="W919" i="1"/>
  <c r="X919" i="1"/>
  <c r="Y919" i="1"/>
  <c r="Z919" i="1"/>
  <c r="AB919" i="1"/>
  <c r="AF919" i="1"/>
  <c r="AI919" i="1"/>
  <c r="H920" i="1"/>
  <c r="AE920" i="1"/>
  <c r="I920" i="1"/>
  <c r="J920" i="1"/>
  <c r="K920" i="1"/>
  <c r="AC920" i="1"/>
  <c r="AJ919" i="1"/>
  <c r="AK919" i="1"/>
  <c r="AM919" i="1"/>
  <c r="BF919" i="1"/>
  <c r="BG919" i="1"/>
  <c r="T920" i="1"/>
  <c r="U920" i="1"/>
  <c r="V920" i="1"/>
  <c r="W920" i="1"/>
  <c r="X920" i="1"/>
  <c r="Y920" i="1"/>
  <c r="Z920" i="1"/>
  <c r="AB920" i="1"/>
  <c r="AF920" i="1"/>
  <c r="AI920" i="1"/>
  <c r="AE921" i="1"/>
  <c r="AC921" i="1"/>
  <c r="AJ920" i="1"/>
  <c r="AK920" i="1"/>
  <c r="AM920" i="1"/>
  <c r="BF920" i="1"/>
  <c r="BG920" i="1"/>
  <c r="T921" i="1"/>
  <c r="U921" i="1"/>
  <c r="V921" i="1"/>
  <c r="W921" i="1"/>
  <c r="X921" i="1"/>
  <c r="Y921" i="1"/>
  <c r="Z921" i="1"/>
  <c r="AB921" i="1"/>
  <c r="AF921" i="1"/>
  <c r="AI921" i="1"/>
  <c r="AE922" i="1"/>
  <c r="AC922" i="1"/>
  <c r="AJ921" i="1"/>
  <c r="AK921" i="1"/>
  <c r="AM921" i="1"/>
  <c r="BF921" i="1"/>
  <c r="BG921" i="1"/>
  <c r="T922" i="1"/>
  <c r="U922" i="1"/>
  <c r="V922" i="1"/>
  <c r="W922" i="1"/>
  <c r="X922" i="1"/>
  <c r="Y922" i="1"/>
  <c r="Z922" i="1"/>
  <c r="AB922" i="1"/>
  <c r="AF922" i="1"/>
  <c r="AI922" i="1"/>
  <c r="H923" i="1"/>
  <c r="AE923" i="1"/>
  <c r="I923" i="1"/>
  <c r="J923" i="1"/>
  <c r="K923" i="1"/>
  <c r="AC923" i="1"/>
  <c r="AJ922" i="1"/>
  <c r="AK922" i="1"/>
  <c r="AM922" i="1"/>
  <c r="BG922" i="1"/>
  <c r="T923" i="1"/>
  <c r="U923" i="1"/>
  <c r="V923" i="1"/>
  <c r="W923" i="1"/>
  <c r="X923" i="1"/>
  <c r="Y923" i="1"/>
  <c r="Z923" i="1"/>
  <c r="AB923" i="1"/>
  <c r="AF923" i="1"/>
  <c r="AI923" i="1"/>
  <c r="AE924" i="1"/>
  <c r="AC924" i="1"/>
  <c r="AJ923" i="1"/>
  <c r="AK923" i="1"/>
  <c r="AM923" i="1"/>
  <c r="BF923" i="1"/>
  <c r="BG923" i="1"/>
  <c r="T924" i="1"/>
  <c r="U924" i="1"/>
  <c r="V924" i="1"/>
  <c r="W924" i="1"/>
  <c r="X924" i="1"/>
  <c r="Y924" i="1"/>
  <c r="Z924" i="1"/>
  <c r="AB924" i="1"/>
  <c r="AF924" i="1"/>
  <c r="AI924" i="1"/>
  <c r="AE925" i="1"/>
  <c r="AC925" i="1"/>
  <c r="AJ924" i="1"/>
  <c r="AK924" i="1"/>
  <c r="AM924" i="1"/>
  <c r="BF924" i="1"/>
  <c r="BG924" i="1"/>
  <c r="T925" i="1"/>
  <c r="U925" i="1"/>
  <c r="V925" i="1"/>
  <c r="W925" i="1"/>
  <c r="X925" i="1"/>
  <c r="Y925" i="1"/>
  <c r="Z925" i="1"/>
  <c r="AB925" i="1"/>
  <c r="AF925" i="1"/>
  <c r="AI925" i="1"/>
  <c r="H926" i="1"/>
  <c r="AE926" i="1"/>
  <c r="I926" i="1"/>
  <c r="J926" i="1"/>
  <c r="K926" i="1"/>
  <c r="AC926" i="1"/>
  <c r="AJ925" i="1"/>
  <c r="AK925" i="1"/>
  <c r="AM925" i="1"/>
  <c r="BG925" i="1"/>
  <c r="T926" i="1"/>
  <c r="U926" i="1"/>
  <c r="V926" i="1"/>
  <c r="W926" i="1"/>
  <c r="X926" i="1"/>
  <c r="Y926" i="1"/>
  <c r="Z926" i="1"/>
  <c r="AB926" i="1"/>
  <c r="AF926" i="1"/>
  <c r="AI926" i="1"/>
  <c r="AE927" i="1"/>
  <c r="AC927" i="1"/>
  <c r="AJ926" i="1"/>
  <c r="AK926" i="1"/>
  <c r="AM926" i="1"/>
  <c r="BF926" i="1"/>
  <c r="BG926" i="1"/>
  <c r="T927" i="1"/>
  <c r="U927" i="1"/>
  <c r="V927" i="1"/>
  <c r="W927" i="1"/>
  <c r="X927" i="1"/>
  <c r="Y927" i="1"/>
  <c r="Z927" i="1"/>
  <c r="AB927" i="1"/>
  <c r="AF927" i="1"/>
  <c r="AI927" i="1"/>
  <c r="AE928" i="1"/>
  <c r="AC928" i="1"/>
  <c r="AJ927" i="1"/>
  <c r="AK927" i="1"/>
  <c r="AM927" i="1"/>
  <c r="BF927" i="1"/>
  <c r="BG927" i="1"/>
  <c r="T928" i="1"/>
  <c r="U928" i="1"/>
  <c r="V928" i="1"/>
  <c r="W928" i="1"/>
  <c r="X928" i="1"/>
  <c r="Y928" i="1"/>
  <c r="Z928" i="1"/>
  <c r="AB928" i="1"/>
  <c r="AF928" i="1"/>
  <c r="AI928" i="1"/>
  <c r="H929" i="1"/>
  <c r="AE929" i="1"/>
  <c r="I929" i="1"/>
  <c r="J929" i="1"/>
  <c r="K929" i="1"/>
  <c r="AC929" i="1"/>
  <c r="AJ928" i="1"/>
  <c r="AK928" i="1"/>
  <c r="AM928" i="1"/>
  <c r="BG928" i="1"/>
  <c r="T929" i="1"/>
  <c r="U929" i="1"/>
  <c r="V929" i="1"/>
  <c r="W929" i="1"/>
  <c r="X929" i="1"/>
  <c r="Y929" i="1"/>
  <c r="Z929" i="1"/>
  <c r="AB929" i="1"/>
  <c r="AF929" i="1"/>
  <c r="AI929" i="1"/>
  <c r="H930" i="1"/>
  <c r="AE930" i="1"/>
  <c r="I930" i="1"/>
  <c r="J930" i="1"/>
  <c r="K930" i="1"/>
  <c r="AC930" i="1"/>
  <c r="AJ929" i="1"/>
  <c r="AK929" i="1"/>
  <c r="AM929" i="1"/>
  <c r="BF929" i="1"/>
  <c r="BG929" i="1"/>
  <c r="T930" i="1"/>
  <c r="U930" i="1"/>
  <c r="V930" i="1"/>
  <c r="W930" i="1"/>
  <c r="X930" i="1"/>
  <c r="Y930" i="1"/>
  <c r="Z930" i="1"/>
  <c r="AB930" i="1"/>
  <c r="AF930" i="1"/>
  <c r="AI930" i="1"/>
  <c r="H931" i="1"/>
  <c r="AE931" i="1"/>
  <c r="I931" i="1"/>
  <c r="J931" i="1"/>
  <c r="K931" i="1"/>
  <c r="AC931" i="1"/>
  <c r="AJ930" i="1"/>
  <c r="AK930" i="1"/>
  <c r="AM930" i="1"/>
  <c r="BF930" i="1"/>
  <c r="BG930" i="1"/>
  <c r="T931" i="1"/>
  <c r="U931" i="1"/>
  <c r="V931" i="1"/>
  <c r="W931" i="1"/>
  <c r="X931" i="1"/>
  <c r="Y931" i="1"/>
  <c r="Z931" i="1"/>
  <c r="AB931" i="1"/>
  <c r="AF931" i="1"/>
  <c r="AI931" i="1"/>
  <c r="H932" i="1"/>
  <c r="AE932" i="1"/>
  <c r="I932" i="1"/>
  <c r="J932" i="1"/>
  <c r="K932" i="1"/>
  <c r="AC932" i="1"/>
  <c r="AJ931" i="1"/>
  <c r="AK931" i="1"/>
  <c r="AM931" i="1"/>
  <c r="BF931" i="1"/>
  <c r="BG931" i="1"/>
  <c r="T932" i="1"/>
  <c r="U932" i="1"/>
  <c r="V932" i="1"/>
  <c r="W932" i="1"/>
  <c r="X932" i="1"/>
  <c r="Y932" i="1"/>
  <c r="Z932" i="1"/>
  <c r="AB932" i="1"/>
  <c r="AF932" i="1"/>
  <c r="AI932" i="1"/>
  <c r="AE933" i="1"/>
  <c r="AC933" i="1"/>
  <c r="AJ932" i="1"/>
  <c r="AK932" i="1"/>
  <c r="AM932" i="1"/>
  <c r="BF932" i="1"/>
  <c r="BG932" i="1"/>
  <c r="T933" i="1"/>
  <c r="U933" i="1"/>
  <c r="V933" i="1"/>
  <c r="W933" i="1"/>
  <c r="X933" i="1"/>
  <c r="Y933" i="1"/>
  <c r="Z933" i="1"/>
  <c r="AB933" i="1"/>
  <c r="AF933" i="1"/>
  <c r="AI933" i="1"/>
  <c r="AE934" i="1"/>
  <c r="AC934" i="1"/>
  <c r="AJ933" i="1"/>
  <c r="AK933" i="1"/>
  <c r="AM933" i="1"/>
  <c r="BF933" i="1"/>
  <c r="BG933" i="1"/>
  <c r="T934" i="1"/>
  <c r="U934" i="1"/>
  <c r="V934" i="1"/>
  <c r="W934" i="1"/>
  <c r="X934" i="1"/>
  <c r="Y934" i="1"/>
  <c r="Z934" i="1"/>
  <c r="AB934" i="1"/>
  <c r="AF934" i="1"/>
  <c r="AI934" i="1"/>
  <c r="H935" i="1"/>
  <c r="AE935" i="1"/>
  <c r="I935" i="1"/>
  <c r="J935" i="1"/>
  <c r="K935" i="1"/>
  <c r="AC935" i="1"/>
  <c r="AJ934" i="1"/>
  <c r="AK934" i="1"/>
  <c r="AM934" i="1"/>
  <c r="BG934" i="1"/>
  <c r="T935" i="1"/>
  <c r="U935" i="1"/>
  <c r="V935" i="1"/>
  <c r="W935" i="1"/>
  <c r="X935" i="1"/>
  <c r="Y935" i="1"/>
  <c r="Z935" i="1"/>
  <c r="AB935" i="1"/>
  <c r="AF935" i="1"/>
  <c r="AI935" i="1"/>
  <c r="AE936" i="1"/>
  <c r="AC936" i="1"/>
  <c r="AJ935" i="1"/>
  <c r="AK935" i="1"/>
  <c r="AM935" i="1"/>
  <c r="BF935" i="1"/>
  <c r="BG935" i="1"/>
  <c r="T936" i="1"/>
  <c r="U936" i="1"/>
  <c r="V936" i="1"/>
  <c r="W936" i="1"/>
  <c r="X936" i="1"/>
  <c r="Y936" i="1"/>
  <c r="Z936" i="1"/>
  <c r="AB936" i="1"/>
  <c r="AF936" i="1"/>
  <c r="AI936" i="1"/>
  <c r="AE937" i="1"/>
  <c r="AC937" i="1"/>
  <c r="AJ936" i="1"/>
  <c r="AK936" i="1"/>
  <c r="AM936" i="1"/>
  <c r="BF936" i="1"/>
  <c r="BG936" i="1"/>
  <c r="T937" i="1"/>
  <c r="U937" i="1"/>
  <c r="V937" i="1"/>
  <c r="W937" i="1"/>
  <c r="X937" i="1"/>
  <c r="Y937" i="1"/>
  <c r="Z937" i="1"/>
  <c r="AB937" i="1"/>
  <c r="AF937" i="1"/>
  <c r="AI937" i="1"/>
  <c r="H938" i="1"/>
  <c r="AE938" i="1"/>
  <c r="I938" i="1"/>
  <c r="J938" i="1"/>
  <c r="K938" i="1"/>
  <c r="AC938" i="1"/>
  <c r="AJ937" i="1"/>
  <c r="AK937" i="1"/>
  <c r="AM937" i="1"/>
  <c r="BG937" i="1"/>
  <c r="T938" i="1"/>
  <c r="U938" i="1"/>
  <c r="V938" i="1"/>
  <c r="W938" i="1"/>
  <c r="X938" i="1"/>
  <c r="Y938" i="1"/>
  <c r="Z938" i="1"/>
  <c r="AB938" i="1"/>
  <c r="AF938" i="1"/>
  <c r="AI938" i="1"/>
  <c r="AE939" i="1"/>
  <c r="AC939" i="1"/>
  <c r="AJ938" i="1"/>
  <c r="AK938" i="1"/>
  <c r="AM938" i="1"/>
  <c r="BF938" i="1"/>
  <c r="BG938" i="1"/>
  <c r="T939" i="1"/>
  <c r="U939" i="1"/>
  <c r="V939" i="1"/>
  <c r="W939" i="1"/>
  <c r="X939" i="1"/>
  <c r="Y939" i="1"/>
  <c r="Z939" i="1"/>
  <c r="AB939" i="1"/>
  <c r="AF939" i="1"/>
  <c r="AI939" i="1"/>
  <c r="AE940" i="1"/>
  <c r="AC940" i="1"/>
  <c r="AJ939" i="1"/>
  <c r="AK939" i="1"/>
  <c r="AM939" i="1"/>
  <c r="BF939" i="1"/>
  <c r="BG939" i="1"/>
  <c r="T940" i="1"/>
  <c r="U940" i="1"/>
  <c r="V940" i="1"/>
  <c r="W940" i="1"/>
  <c r="X940" i="1"/>
  <c r="Y940" i="1"/>
  <c r="Z940" i="1"/>
  <c r="AB940" i="1"/>
  <c r="AF940" i="1"/>
  <c r="AI940" i="1"/>
  <c r="H941" i="1"/>
  <c r="AE941" i="1"/>
  <c r="I941" i="1"/>
  <c r="J941" i="1"/>
  <c r="K941" i="1"/>
  <c r="AC941" i="1"/>
  <c r="AJ940" i="1"/>
  <c r="AK940" i="1"/>
  <c r="AM940" i="1"/>
  <c r="BG940" i="1"/>
  <c r="T941" i="1"/>
  <c r="U941" i="1"/>
  <c r="V941" i="1"/>
  <c r="W941" i="1"/>
  <c r="X941" i="1"/>
  <c r="Y941" i="1"/>
  <c r="Z941" i="1"/>
  <c r="AB941" i="1"/>
  <c r="AF941" i="1"/>
  <c r="AI941" i="1"/>
  <c r="H942" i="1"/>
  <c r="AE942" i="1"/>
  <c r="I942" i="1"/>
  <c r="J942" i="1"/>
  <c r="K942" i="1"/>
  <c r="AC942" i="1"/>
  <c r="AJ941" i="1"/>
  <c r="AK941" i="1"/>
  <c r="AM941" i="1"/>
  <c r="BF941" i="1"/>
  <c r="BG941" i="1"/>
  <c r="T942" i="1"/>
  <c r="U942" i="1"/>
  <c r="V942" i="1"/>
  <c r="W942" i="1"/>
  <c r="X942" i="1"/>
  <c r="Y942" i="1"/>
  <c r="Z942" i="1"/>
  <c r="AB942" i="1"/>
  <c r="AF942" i="1"/>
  <c r="AI942" i="1"/>
  <c r="H943" i="1"/>
  <c r="AE943" i="1"/>
  <c r="I943" i="1"/>
  <c r="J943" i="1"/>
  <c r="K943" i="1"/>
  <c r="AC943" i="1"/>
  <c r="AJ942" i="1"/>
  <c r="AK942" i="1"/>
  <c r="AM942" i="1"/>
  <c r="BF942" i="1"/>
  <c r="BG942" i="1"/>
  <c r="T943" i="1"/>
  <c r="U943" i="1"/>
  <c r="V943" i="1"/>
  <c r="W943" i="1"/>
  <c r="X943" i="1"/>
  <c r="Y943" i="1"/>
  <c r="Z943" i="1"/>
  <c r="AB943" i="1"/>
  <c r="AF943" i="1"/>
  <c r="AI943" i="1"/>
  <c r="AE944" i="1"/>
  <c r="AC944" i="1"/>
  <c r="AJ943" i="1"/>
  <c r="AK943" i="1"/>
  <c r="AM943" i="1"/>
  <c r="BF943" i="1"/>
  <c r="BG943" i="1"/>
  <c r="T944" i="1"/>
  <c r="U944" i="1"/>
  <c r="V944" i="1"/>
  <c r="W944" i="1"/>
  <c r="X944" i="1"/>
  <c r="Y944" i="1"/>
  <c r="Z944" i="1"/>
  <c r="AB944" i="1"/>
  <c r="AF944" i="1"/>
  <c r="AI944" i="1"/>
  <c r="AE945" i="1"/>
  <c r="AC945" i="1"/>
  <c r="AJ944" i="1"/>
  <c r="AK944" i="1"/>
  <c r="AM944" i="1"/>
  <c r="BF944" i="1"/>
  <c r="BG944" i="1"/>
  <c r="T945" i="1"/>
  <c r="U945" i="1"/>
  <c r="V945" i="1"/>
  <c r="W945" i="1"/>
  <c r="X945" i="1"/>
  <c r="Y945" i="1"/>
  <c r="Z945" i="1"/>
  <c r="AB945" i="1"/>
  <c r="AF945" i="1"/>
  <c r="AI945" i="1"/>
  <c r="H946" i="1"/>
  <c r="AE946" i="1"/>
  <c r="I946" i="1"/>
  <c r="J946" i="1"/>
  <c r="K946" i="1"/>
  <c r="AC946" i="1"/>
  <c r="AJ945" i="1"/>
  <c r="AK945" i="1"/>
  <c r="AM945" i="1"/>
  <c r="BG945" i="1"/>
  <c r="T946" i="1"/>
  <c r="U946" i="1"/>
  <c r="V946" i="1"/>
  <c r="W946" i="1"/>
  <c r="X946" i="1"/>
  <c r="Y946" i="1"/>
  <c r="Z946" i="1"/>
  <c r="AB946" i="1"/>
  <c r="AF946" i="1"/>
  <c r="AI946" i="1"/>
  <c r="AE947" i="1"/>
  <c r="AC947" i="1"/>
  <c r="AJ946" i="1"/>
  <c r="AK946" i="1"/>
  <c r="AM946" i="1"/>
  <c r="BF946" i="1"/>
  <c r="BG946" i="1"/>
  <c r="T947" i="1"/>
  <c r="U947" i="1"/>
  <c r="V947" i="1"/>
  <c r="W947" i="1"/>
  <c r="X947" i="1"/>
  <c r="Y947" i="1"/>
  <c r="Z947" i="1"/>
  <c r="AB947" i="1"/>
  <c r="AF947" i="1"/>
  <c r="AI947" i="1"/>
  <c r="AE948" i="1"/>
  <c r="AC948" i="1"/>
  <c r="AJ947" i="1"/>
  <c r="AK947" i="1"/>
  <c r="AM947" i="1"/>
  <c r="BF947" i="1"/>
  <c r="BG947" i="1"/>
  <c r="T948" i="1"/>
  <c r="U948" i="1"/>
  <c r="V948" i="1"/>
  <c r="W948" i="1"/>
  <c r="X948" i="1"/>
  <c r="Y948" i="1"/>
  <c r="Z948" i="1"/>
  <c r="AB948" i="1"/>
  <c r="AF948" i="1"/>
  <c r="AI948" i="1"/>
  <c r="H949" i="1"/>
  <c r="AE949" i="1"/>
  <c r="I949" i="1"/>
  <c r="J949" i="1"/>
  <c r="K949" i="1"/>
  <c r="AC949" i="1"/>
  <c r="AJ948" i="1"/>
  <c r="AK948" i="1"/>
  <c r="AM948" i="1"/>
  <c r="BG948" i="1"/>
  <c r="T949" i="1"/>
  <c r="U949" i="1"/>
  <c r="V949" i="1"/>
  <c r="W949" i="1"/>
  <c r="X949" i="1"/>
  <c r="Y949" i="1"/>
  <c r="Z949" i="1"/>
  <c r="AB949" i="1"/>
  <c r="AF949" i="1"/>
  <c r="AI949" i="1"/>
  <c r="AE950" i="1"/>
  <c r="AC950" i="1"/>
  <c r="AJ949" i="1"/>
  <c r="AK949" i="1"/>
  <c r="AM949" i="1"/>
  <c r="BF949" i="1"/>
  <c r="BG949" i="1"/>
  <c r="T950" i="1"/>
  <c r="U950" i="1"/>
  <c r="V950" i="1"/>
  <c r="W950" i="1"/>
  <c r="X950" i="1"/>
  <c r="Y950" i="1"/>
  <c r="Z950" i="1"/>
  <c r="AB950" i="1"/>
  <c r="AF950" i="1"/>
  <c r="AI950" i="1"/>
  <c r="AE951" i="1"/>
  <c r="AC951" i="1"/>
  <c r="AJ950" i="1"/>
  <c r="AK950" i="1"/>
  <c r="AM950" i="1"/>
  <c r="BF950" i="1"/>
  <c r="BG950" i="1"/>
  <c r="T951" i="1"/>
  <c r="U951" i="1"/>
  <c r="V951" i="1"/>
  <c r="W951" i="1"/>
  <c r="X951" i="1"/>
  <c r="Y951" i="1"/>
  <c r="Z951" i="1"/>
  <c r="AB951" i="1"/>
  <c r="AF951" i="1"/>
  <c r="AI951" i="1"/>
  <c r="AE952" i="1"/>
  <c r="AC952" i="1"/>
  <c r="AJ951" i="1"/>
  <c r="AK951" i="1"/>
  <c r="AM951" i="1"/>
  <c r="BF951" i="1"/>
  <c r="BG951" i="1"/>
  <c r="T952" i="1"/>
  <c r="U952" i="1"/>
  <c r="V952" i="1"/>
  <c r="W952" i="1"/>
  <c r="X952" i="1"/>
  <c r="Y952" i="1"/>
  <c r="Z952" i="1"/>
  <c r="AB952" i="1"/>
  <c r="AF952" i="1"/>
  <c r="AI952" i="1"/>
  <c r="H953" i="1"/>
  <c r="AE953" i="1"/>
  <c r="I953" i="1"/>
  <c r="J953" i="1"/>
  <c r="K953" i="1"/>
  <c r="AC953" i="1"/>
  <c r="AJ952" i="1"/>
  <c r="AK952" i="1"/>
  <c r="AM952" i="1"/>
  <c r="BG952" i="1"/>
  <c r="T953" i="1"/>
  <c r="U953" i="1"/>
  <c r="V953" i="1"/>
  <c r="W953" i="1"/>
  <c r="X953" i="1"/>
  <c r="Y953" i="1"/>
  <c r="Z953" i="1"/>
  <c r="AB953" i="1"/>
  <c r="AF953" i="1"/>
  <c r="AI953" i="1"/>
  <c r="H954" i="1"/>
  <c r="AE954" i="1"/>
  <c r="I954" i="1"/>
  <c r="J954" i="1"/>
  <c r="K954" i="1"/>
  <c r="AC954" i="1"/>
  <c r="AJ953" i="1"/>
  <c r="AK953" i="1"/>
  <c r="AM953" i="1"/>
  <c r="BF953" i="1"/>
  <c r="BG953" i="1"/>
  <c r="T954" i="1"/>
  <c r="U954" i="1"/>
  <c r="V954" i="1"/>
  <c r="W954" i="1"/>
  <c r="X954" i="1"/>
  <c r="Y954" i="1"/>
  <c r="Z954" i="1"/>
  <c r="AB954" i="1"/>
  <c r="AF954" i="1"/>
  <c r="AI954" i="1"/>
  <c r="H955" i="1"/>
  <c r="AE955" i="1"/>
  <c r="I955" i="1"/>
  <c r="J955" i="1"/>
  <c r="K955" i="1"/>
  <c r="AC955" i="1"/>
  <c r="AJ954" i="1"/>
  <c r="AK954" i="1"/>
  <c r="AM954" i="1"/>
  <c r="BF954" i="1"/>
  <c r="BG954" i="1"/>
  <c r="T955" i="1"/>
  <c r="U955" i="1"/>
  <c r="V955" i="1"/>
  <c r="W955" i="1"/>
  <c r="X955" i="1"/>
  <c r="Y955" i="1"/>
  <c r="Z955" i="1"/>
  <c r="AB955" i="1"/>
  <c r="AF955" i="1"/>
  <c r="AI955" i="1"/>
  <c r="H956" i="1"/>
  <c r="AE956" i="1"/>
  <c r="I956" i="1"/>
  <c r="J956" i="1"/>
  <c r="K956" i="1"/>
  <c r="AC956" i="1"/>
  <c r="AJ955" i="1"/>
  <c r="AK955" i="1"/>
  <c r="AM955" i="1"/>
  <c r="BF955" i="1"/>
  <c r="BG955" i="1"/>
  <c r="T956" i="1"/>
  <c r="U956" i="1"/>
  <c r="V956" i="1"/>
  <c r="W956" i="1"/>
  <c r="X956" i="1"/>
  <c r="Y956" i="1"/>
  <c r="Z956" i="1"/>
  <c r="AB956" i="1"/>
  <c r="AF956" i="1"/>
  <c r="AI956" i="1"/>
  <c r="H957" i="1"/>
  <c r="AE957" i="1"/>
  <c r="I957" i="1"/>
  <c r="J957" i="1"/>
  <c r="K957" i="1"/>
  <c r="AC957" i="1"/>
  <c r="AJ956" i="1"/>
  <c r="AK956" i="1"/>
  <c r="AM956" i="1"/>
  <c r="BF956" i="1"/>
  <c r="BG956" i="1"/>
  <c r="T957" i="1"/>
  <c r="U957" i="1"/>
  <c r="V957" i="1"/>
  <c r="W957" i="1"/>
  <c r="X957" i="1"/>
  <c r="Y957" i="1"/>
  <c r="Z957" i="1"/>
  <c r="AB957" i="1"/>
  <c r="AF957" i="1"/>
  <c r="AI957" i="1"/>
  <c r="H958" i="1"/>
  <c r="AE958" i="1"/>
  <c r="I958" i="1"/>
  <c r="J958" i="1"/>
  <c r="K958" i="1"/>
  <c r="AC958" i="1"/>
  <c r="AJ957" i="1"/>
  <c r="AK957" i="1"/>
  <c r="AM957" i="1"/>
  <c r="BF957" i="1"/>
  <c r="BG957" i="1"/>
  <c r="T958" i="1"/>
  <c r="U958" i="1"/>
  <c r="V958" i="1"/>
  <c r="W958" i="1"/>
  <c r="X958" i="1"/>
  <c r="Y958" i="1"/>
  <c r="Z958" i="1"/>
  <c r="AB958" i="1"/>
  <c r="AF958" i="1"/>
  <c r="AI958" i="1"/>
  <c r="AE959" i="1"/>
  <c r="AC959" i="1"/>
  <c r="AJ958" i="1"/>
  <c r="AK958" i="1"/>
  <c r="AM958" i="1"/>
  <c r="BF958" i="1"/>
  <c r="BG958" i="1"/>
  <c r="T959" i="1"/>
  <c r="U959" i="1"/>
  <c r="V959" i="1"/>
  <c r="W959" i="1"/>
  <c r="X959" i="1"/>
  <c r="Y959" i="1"/>
  <c r="Z959" i="1"/>
  <c r="AB959" i="1"/>
  <c r="AF959" i="1"/>
  <c r="AI959" i="1"/>
  <c r="AE960" i="1"/>
  <c r="AC960" i="1"/>
  <c r="AJ959" i="1"/>
  <c r="AK959" i="1"/>
  <c r="AM959" i="1"/>
  <c r="BF959" i="1"/>
  <c r="BG959" i="1"/>
  <c r="T960" i="1"/>
  <c r="U960" i="1"/>
  <c r="V960" i="1"/>
  <c r="W960" i="1"/>
  <c r="X960" i="1"/>
  <c r="Y960" i="1"/>
  <c r="Z960" i="1"/>
  <c r="AB960" i="1"/>
  <c r="AF960" i="1"/>
  <c r="AI960" i="1"/>
  <c r="H961" i="1"/>
  <c r="AE961" i="1"/>
  <c r="I961" i="1"/>
  <c r="J961" i="1"/>
  <c r="K961" i="1"/>
  <c r="AC961" i="1"/>
  <c r="AJ960" i="1"/>
  <c r="AK960" i="1"/>
  <c r="AM960" i="1"/>
  <c r="BG960" i="1"/>
  <c r="T961" i="1"/>
  <c r="U961" i="1"/>
  <c r="V961" i="1"/>
  <c r="W961" i="1"/>
  <c r="X961" i="1"/>
  <c r="Y961" i="1"/>
  <c r="Z961" i="1"/>
  <c r="AB961" i="1"/>
  <c r="AF961" i="1"/>
  <c r="AI961" i="1"/>
  <c r="H962" i="1"/>
  <c r="AE962" i="1"/>
  <c r="I962" i="1"/>
  <c r="J962" i="1"/>
  <c r="K962" i="1"/>
  <c r="AC962" i="1"/>
  <c r="AJ961" i="1"/>
  <c r="AK961" i="1"/>
  <c r="AM961" i="1"/>
  <c r="BF961" i="1"/>
  <c r="BG961" i="1"/>
  <c r="T962" i="1"/>
  <c r="U962" i="1"/>
  <c r="V962" i="1"/>
  <c r="W962" i="1"/>
  <c r="X962" i="1"/>
  <c r="Y962" i="1"/>
  <c r="Z962" i="1"/>
  <c r="AB962" i="1"/>
  <c r="AF962" i="1"/>
  <c r="AI962" i="1"/>
  <c r="AE963" i="1"/>
  <c r="AC963" i="1"/>
  <c r="AJ962" i="1"/>
  <c r="AK962" i="1"/>
  <c r="AM962" i="1"/>
  <c r="BF962" i="1"/>
  <c r="BG962" i="1"/>
  <c r="T963" i="1"/>
  <c r="U963" i="1"/>
  <c r="V963" i="1"/>
  <c r="W963" i="1"/>
  <c r="X963" i="1"/>
  <c r="Y963" i="1"/>
  <c r="Z963" i="1"/>
  <c r="AB963" i="1"/>
  <c r="AF963" i="1"/>
  <c r="AI963" i="1"/>
  <c r="AE964" i="1"/>
  <c r="AC964" i="1"/>
  <c r="AJ963" i="1"/>
  <c r="AK963" i="1"/>
  <c r="AM963" i="1"/>
  <c r="BF963" i="1"/>
  <c r="BG963" i="1"/>
  <c r="T964" i="1"/>
  <c r="U964" i="1"/>
  <c r="V964" i="1"/>
  <c r="W964" i="1"/>
  <c r="X964" i="1"/>
  <c r="Y964" i="1"/>
  <c r="Z964" i="1"/>
  <c r="AB964" i="1"/>
  <c r="AF964" i="1"/>
  <c r="AI964" i="1"/>
  <c r="H965" i="1"/>
  <c r="AE965" i="1"/>
  <c r="I965" i="1"/>
  <c r="J965" i="1"/>
  <c r="K965" i="1"/>
  <c r="AC965" i="1"/>
  <c r="AJ964" i="1"/>
  <c r="AK964" i="1"/>
  <c r="AM964" i="1"/>
  <c r="BG964" i="1"/>
  <c r="T965" i="1"/>
  <c r="U965" i="1"/>
  <c r="V965" i="1"/>
  <c r="W965" i="1"/>
  <c r="X965" i="1"/>
  <c r="Y965" i="1"/>
  <c r="Z965" i="1"/>
  <c r="AB965" i="1"/>
  <c r="AF965" i="1"/>
  <c r="AI965" i="1"/>
  <c r="H966" i="1"/>
  <c r="AE966" i="1"/>
  <c r="I966" i="1"/>
  <c r="J966" i="1"/>
  <c r="K966" i="1"/>
  <c r="AC966" i="1"/>
  <c r="AJ965" i="1"/>
  <c r="AK965" i="1"/>
  <c r="AM965" i="1"/>
  <c r="BF965" i="1"/>
  <c r="BG965" i="1"/>
  <c r="T966" i="1"/>
  <c r="U966" i="1"/>
  <c r="V966" i="1"/>
  <c r="W966" i="1"/>
  <c r="X966" i="1"/>
  <c r="Y966" i="1"/>
  <c r="Z966" i="1"/>
  <c r="AB966" i="1"/>
  <c r="AF966" i="1"/>
  <c r="AI966" i="1"/>
  <c r="H967" i="1"/>
  <c r="AE967" i="1"/>
  <c r="I967" i="1"/>
  <c r="J967" i="1"/>
  <c r="K967" i="1"/>
  <c r="AC967" i="1"/>
  <c r="AJ966" i="1"/>
  <c r="AK966" i="1"/>
  <c r="AM966" i="1"/>
  <c r="BF966" i="1"/>
  <c r="BG966" i="1"/>
  <c r="T967" i="1"/>
  <c r="U967" i="1"/>
  <c r="V967" i="1"/>
  <c r="W967" i="1"/>
  <c r="X967" i="1"/>
  <c r="Y967" i="1"/>
  <c r="Z967" i="1"/>
  <c r="AB967" i="1"/>
  <c r="AF967" i="1"/>
  <c r="AI967" i="1"/>
  <c r="AE968" i="1"/>
  <c r="AC968" i="1"/>
  <c r="AJ967" i="1"/>
  <c r="AK967" i="1"/>
  <c r="AM967" i="1"/>
  <c r="BF967" i="1"/>
  <c r="BG967" i="1"/>
  <c r="T968" i="1"/>
  <c r="U968" i="1"/>
  <c r="V968" i="1"/>
  <c r="W968" i="1"/>
  <c r="X968" i="1"/>
  <c r="Y968" i="1"/>
  <c r="Z968" i="1"/>
  <c r="AB968" i="1"/>
  <c r="AF968" i="1"/>
  <c r="AI968" i="1"/>
  <c r="AE969" i="1"/>
  <c r="AC969" i="1"/>
  <c r="AJ968" i="1"/>
  <c r="AK968" i="1"/>
  <c r="AM968" i="1"/>
  <c r="BF968" i="1"/>
  <c r="BG968" i="1"/>
  <c r="T969" i="1"/>
  <c r="U969" i="1"/>
  <c r="V969" i="1"/>
  <c r="W969" i="1"/>
  <c r="X969" i="1"/>
  <c r="Y969" i="1"/>
  <c r="Z969" i="1"/>
  <c r="AB969" i="1"/>
  <c r="AF969" i="1"/>
  <c r="AI969" i="1"/>
  <c r="H970" i="1"/>
  <c r="AE970" i="1"/>
  <c r="I970" i="1"/>
  <c r="J970" i="1"/>
  <c r="K970" i="1"/>
  <c r="AC970" i="1"/>
  <c r="AJ969" i="1"/>
  <c r="AK969" i="1"/>
  <c r="AM969" i="1"/>
  <c r="BG969" i="1"/>
  <c r="T970" i="1"/>
  <c r="U970" i="1"/>
  <c r="V970" i="1"/>
  <c r="W970" i="1"/>
  <c r="X970" i="1"/>
  <c r="Y970" i="1"/>
  <c r="Z970" i="1"/>
  <c r="AB970" i="1"/>
  <c r="AF970" i="1"/>
  <c r="AI970" i="1"/>
  <c r="H971" i="1"/>
  <c r="AE971" i="1"/>
  <c r="I971" i="1"/>
  <c r="J971" i="1"/>
  <c r="K971" i="1"/>
  <c r="AC971" i="1"/>
  <c r="AJ970" i="1"/>
  <c r="AK970" i="1"/>
  <c r="AM970" i="1"/>
  <c r="BF970" i="1"/>
  <c r="BG970" i="1"/>
  <c r="T971" i="1"/>
  <c r="U971" i="1"/>
  <c r="V971" i="1"/>
  <c r="W971" i="1"/>
  <c r="X971" i="1"/>
  <c r="Y971" i="1"/>
  <c r="Z971" i="1"/>
  <c r="AB971" i="1"/>
  <c r="AF971" i="1"/>
  <c r="AI971" i="1"/>
  <c r="H972" i="1"/>
  <c r="AE972" i="1"/>
  <c r="I972" i="1"/>
  <c r="J972" i="1"/>
  <c r="K972" i="1"/>
  <c r="AC972" i="1"/>
  <c r="AJ971" i="1"/>
  <c r="AK971" i="1"/>
  <c r="AM971" i="1"/>
  <c r="BF971" i="1"/>
  <c r="BG971" i="1"/>
  <c r="T972" i="1"/>
  <c r="U972" i="1"/>
  <c r="V972" i="1"/>
  <c r="W972" i="1"/>
  <c r="X972" i="1"/>
  <c r="Y972" i="1"/>
  <c r="Z972" i="1"/>
  <c r="AB972" i="1"/>
  <c r="AF972" i="1"/>
  <c r="AI972" i="1"/>
  <c r="AE973" i="1"/>
  <c r="AC973" i="1"/>
  <c r="AJ972" i="1"/>
  <c r="AK972" i="1"/>
  <c r="AM972" i="1"/>
  <c r="BF972" i="1"/>
  <c r="BG972" i="1"/>
  <c r="T973" i="1"/>
  <c r="U973" i="1"/>
  <c r="V973" i="1"/>
  <c r="W973" i="1"/>
  <c r="X973" i="1"/>
  <c r="Y973" i="1"/>
  <c r="Z973" i="1"/>
  <c r="AB973" i="1"/>
  <c r="AF973" i="1"/>
  <c r="AI973" i="1"/>
  <c r="AE974" i="1"/>
  <c r="AC974" i="1"/>
  <c r="AJ973" i="1"/>
  <c r="AK973" i="1"/>
  <c r="AM973" i="1"/>
  <c r="BF973" i="1"/>
  <c r="BG973" i="1"/>
  <c r="T974" i="1"/>
  <c r="U974" i="1"/>
  <c r="V974" i="1"/>
  <c r="W974" i="1"/>
  <c r="X974" i="1"/>
  <c r="Y974" i="1"/>
  <c r="Z974" i="1"/>
  <c r="AB974" i="1"/>
  <c r="AF974" i="1"/>
  <c r="AI974" i="1"/>
  <c r="H975" i="1"/>
  <c r="AE975" i="1"/>
  <c r="I975" i="1"/>
  <c r="J975" i="1"/>
  <c r="K975" i="1"/>
  <c r="AC975" i="1"/>
  <c r="AJ974" i="1"/>
  <c r="AK974" i="1"/>
  <c r="AM974" i="1"/>
  <c r="BG974" i="1"/>
  <c r="T975" i="1"/>
  <c r="U975" i="1"/>
  <c r="V975" i="1"/>
  <c r="W975" i="1"/>
  <c r="X975" i="1"/>
  <c r="Y975" i="1"/>
  <c r="Z975" i="1"/>
  <c r="AB975" i="1"/>
  <c r="AF975" i="1"/>
  <c r="AI975" i="1"/>
  <c r="AE976" i="1"/>
  <c r="AC976" i="1"/>
  <c r="AJ975" i="1"/>
  <c r="AK975" i="1"/>
  <c r="AM975" i="1"/>
  <c r="BF975" i="1"/>
  <c r="BG975" i="1"/>
  <c r="T976" i="1"/>
  <c r="U976" i="1"/>
  <c r="V976" i="1"/>
  <c r="W976" i="1"/>
  <c r="X976" i="1"/>
  <c r="Y976" i="1"/>
  <c r="Z976" i="1"/>
  <c r="AB976" i="1"/>
  <c r="AF976" i="1"/>
  <c r="AI976" i="1"/>
  <c r="AE977" i="1"/>
  <c r="AC977" i="1"/>
  <c r="AJ976" i="1"/>
  <c r="AK976" i="1"/>
  <c r="AM976" i="1"/>
  <c r="BF976" i="1"/>
  <c r="BG976" i="1"/>
  <c r="T977" i="1"/>
  <c r="U977" i="1"/>
  <c r="V977" i="1"/>
  <c r="W977" i="1"/>
  <c r="X977" i="1"/>
  <c r="Y977" i="1"/>
  <c r="Z977" i="1"/>
  <c r="AB977" i="1"/>
  <c r="AF977" i="1"/>
  <c r="AI977" i="1"/>
  <c r="H978" i="1"/>
  <c r="AE978" i="1"/>
  <c r="I978" i="1"/>
  <c r="J978" i="1"/>
  <c r="K978" i="1"/>
  <c r="AC978" i="1"/>
  <c r="AJ977" i="1"/>
  <c r="AK977" i="1"/>
  <c r="AM977" i="1"/>
  <c r="BG977" i="1"/>
  <c r="T978" i="1"/>
  <c r="U978" i="1"/>
  <c r="V978" i="1"/>
  <c r="W978" i="1"/>
  <c r="X978" i="1"/>
  <c r="Y978" i="1"/>
  <c r="Z978" i="1"/>
  <c r="AB978" i="1"/>
  <c r="AF978" i="1"/>
  <c r="AI978" i="1"/>
  <c r="H979" i="1"/>
  <c r="AE979" i="1"/>
  <c r="I979" i="1"/>
  <c r="J979" i="1"/>
  <c r="K979" i="1"/>
  <c r="AC979" i="1"/>
  <c r="AJ978" i="1"/>
  <c r="AK978" i="1"/>
  <c r="AM978" i="1"/>
  <c r="BF978" i="1"/>
  <c r="BG978" i="1"/>
  <c r="T979" i="1"/>
  <c r="U979" i="1"/>
  <c r="V979" i="1"/>
  <c r="W979" i="1"/>
  <c r="X979" i="1"/>
  <c r="Y979" i="1"/>
  <c r="Z979" i="1"/>
  <c r="AB979" i="1"/>
  <c r="AF979" i="1"/>
  <c r="AI979" i="1"/>
  <c r="H980" i="1"/>
  <c r="AE980" i="1"/>
  <c r="I980" i="1"/>
  <c r="J980" i="1"/>
  <c r="K980" i="1"/>
  <c r="AC980" i="1"/>
  <c r="AJ979" i="1"/>
  <c r="AK979" i="1"/>
  <c r="AM979" i="1"/>
  <c r="BF979" i="1"/>
  <c r="BG979" i="1"/>
  <c r="T980" i="1"/>
  <c r="U980" i="1"/>
  <c r="V980" i="1"/>
  <c r="W980" i="1"/>
  <c r="X980" i="1"/>
  <c r="Y980" i="1"/>
  <c r="Z980" i="1"/>
  <c r="AB980" i="1"/>
  <c r="AF980" i="1"/>
  <c r="AI980" i="1"/>
  <c r="AE981" i="1"/>
  <c r="AC981" i="1"/>
  <c r="AJ980" i="1"/>
  <c r="AK980" i="1"/>
  <c r="AM980" i="1"/>
  <c r="BF980" i="1"/>
  <c r="BG980" i="1"/>
  <c r="T981" i="1"/>
  <c r="U981" i="1"/>
  <c r="V981" i="1"/>
  <c r="W981" i="1"/>
  <c r="X981" i="1"/>
  <c r="Y981" i="1"/>
  <c r="Z981" i="1"/>
  <c r="AB981" i="1"/>
  <c r="AF981" i="1"/>
  <c r="AI981" i="1"/>
  <c r="AE982" i="1"/>
  <c r="AC982" i="1"/>
  <c r="AJ981" i="1"/>
  <c r="AK981" i="1"/>
  <c r="AM981" i="1"/>
  <c r="BF981" i="1"/>
  <c r="BG981" i="1"/>
  <c r="T982" i="1"/>
  <c r="U982" i="1"/>
  <c r="V982" i="1"/>
  <c r="W982" i="1"/>
  <c r="X982" i="1"/>
  <c r="Y982" i="1"/>
  <c r="Z982" i="1"/>
  <c r="AB982" i="1"/>
  <c r="AF982" i="1"/>
  <c r="AI982" i="1"/>
  <c r="H983" i="1"/>
  <c r="AE983" i="1"/>
  <c r="I983" i="1"/>
  <c r="J983" i="1"/>
  <c r="K983" i="1"/>
  <c r="AC983" i="1"/>
  <c r="AJ982" i="1"/>
  <c r="AK982" i="1"/>
  <c r="AM982" i="1"/>
  <c r="BG982" i="1"/>
  <c r="T983" i="1"/>
  <c r="U983" i="1"/>
  <c r="V983" i="1"/>
  <c r="W983" i="1"/>
  <c r="X983" i="1"/>
  <c r="Y983" i="1"/>
  <c r="Z983" i="1"/>
  <c r="AB983" i="1"/>
  <c r="AF983" i="1"/>
  <c r="AI983" i="1"/>
  <c r="H984" i="1"/>
  <c r="AE984" i="1"/>
  <c r="I984" i="1"/>
  <c r="J984" i="1"/>
  <c r="K984" i="1"/>
  <c r="AC984" i="1"/>
  <c r="AJ983" i="1"/>
  <c r="AK983" i="1"/>
  <c r="AM983" i="1"/>
  <c r="BF983" i="1"/>
  <c r="BG983" i="1"/>
  <c r="T984" i="1"/>
  <c r="U984" i="1"/>
  <c r="V984" i="1"/>
  <c r="W984" i="1"/>
  <c r="X984" i="1"/>
  <c r="Y984" i="1"/>
  <c r="Z984" i="1"/>
  <c r="AB984" i="1"/>
  <c r="AF984" i="1"/>
  <c r="AI984" i="1"/>
  <c r="AE985" i="1"/>
  <c r="AC985" i="1"/>
  <c r="AJ984" i="1"/>
  <c r="AK984" i="1"/>
  <c r="AM984" i="1"/>
  <c r="BF984" i="1"/>
  <c r="BG984" i="1"/>
  <c r="T985" i="1"/>
  <c r="U985" i="1"/>
  <c r="V985" i="1"/>
  <c r="W985" i="1"/>
  <c r="X985" i="1"/>
  <c r="Y985" i="1"/>
  <c r="Z985" i="1"/>
  <c r="AB985" i="1"/>
  <c r="AF985" i="1"/>
  <c r="AI985" i="1"/>
  <c r="AE986" i="1"/>
  <c r="AC986" i="1"/>
  <c r="AJ985" i="1"/>
  <c r="AK985" i="1"/>
  <c r="AM985" i="1"/>
  <c r="BF985" i="1"/>
  <c r="BG985" i="1"/>
  <c r="T986" i="1"/>
  <c r="U986" i="1"/>
  <c r="V986" i="1"/>
  <c r="W986" i="1"/>
  <c r="X986" i="1"/>
  <c r="Y986" i="1"/>
  <c r="Z986" i="1"/>
  <c r="AB986" i="1"/>
  <c r="AF986" i="1"/>
  <c r="AI986" i="1"/>
  <c r="H987" i="1"/>
  <c r="AE987" i="1"/>
  <c r="I987" i="1"/>
  <c r="J987" i="1"/>
  <c r="K987" i="1"/>
  <c r="AC987" i="1"/>
  <c r="AJ986" i="1"/>
  <c r="AK986" i="1"/>
  <c r="AM986" i="1"/>
  <c r="BG986" i="1"/>
  <c r="T987" i="1"/>
  <c r="U987" i="1"/>
  <c r="V987" i="1"/>
  <c r="W987" i="1"/>
  <c r="X987" i="1"/>
  <c r="Y987" i="1"/>
  <c r="Z987" i="1"/>
  <c r="AB987" i="1"/>
  <c r="AF987" i="1"/>
  <c r="AI987" i="1"/>
  <c r="H988" i="1"/>
  <c r="AE988" i="1"/>
  <c r="I988" i="1"/>
  <c r="J988" i="1"/>
  <c r="K988" i="1"/>
  <c r="AC988" i="1"/>
  <c r="AJ987" i="1"/>
  <c r="AK987" i="1"/>
  <c r="AM987" i="1"/>
  <c r="BF987" i="1"/>
  <c r="BG987" i="1"/>
  <c r="T988" i="1"/>
  <c r="U988" i="1"/>
  <c r="V988" i="1"/>
  <c r="W988" i="1"/>
  <c r="X988" i="1"/>
  <c r="Y988" i="1"/>
  <c r="Z988" i="1"/>
  <c r="AB988" i="1"/>
  <c r="AF988" i="1"/>
  <c r="AI988" i="1"/>
  <c r="AE989" i="1"/>
  <c r="AC989" i="1"/>
  <c r="AJ988" i="1"/>
  <c r="AK988" i="1"/>
  <c r="AM988" i="1"/>
  <c r="BF988" i="1"/>
  <c r="BG988" i="1"/>
  <c r="T989" i="1"/>
  <c r="U989" i="1"/>
  <c r="V989" i="1"/>
  <c r="W989" i="1"/>
  <c r="X989" i="1"/>
  <c r="Y989" i="1"/>
  <c r="Z989" i="1"/>
  <c r="AB989" i="1"/>
  <c r="AF989" i="1"/>
  <c r="AI989" i="1"/>
  <c r="AE990" i="1"/>
  <c r="AC990" i="1"/>
  <c r="AJ989" i="1"/>
  <c r="AK989" i="1"/>
  <c r="AM989" i="1"/>
  <c r="BF989" i="1"/>
  <c r="BG989" i="1"/>
  <c r="T990" i="1"/>
  <c r="U990" i="1"/>
  <c r="V990" i="1"/>
  <c r="W990" i="1"/>
  <c r="X990" i="1"/>
  <c r="Y990" i="1"/>
  <c r="Z990" i="1"/>
  <c r="AB990" i="1"/>
  <c r="AF990" i="1"/>
  <c r="AI990" i="1"/>
  <c r="H991" i="1"/>
  <c r="AE991" i="1"/>
  <c r="I991" i="1"/>
  <c r="J991" i="1"/>
  <c r="K991" i="1"/>
  <c r="AC991" i="1"/>
  <c r="AJ990" i="1"/>
  <c r="AK990" i="1"/>
  <c r="AM990" i="1"/>
  <c r="BG990" i="1"/>
  <c r="T991" i="1"/>
  <c r="U991" i="1"/>
  <c r="V991" i="1"/>
  <c r="W991" i="1"/>
  <c r="X991" i="1"/>
  <c r="Y991" i="1"/>
  <c r="Z991" i="1"/>
  <c r="AB991" i="1"/>
  <c r="AF991" i="1"/>
  <c r="AI991" i="1"/>
  <c r="H992" i="1"/>
  <c r="AE992" i="1"/>
  <c r="I992" i="1"/>
  <c r="J992" i="1"/>
  <c r="K992" i="1"/>
  <c r="AC992" i="1"/>
  <c r="AJ991" i="1"/>
  <c r="AK991" i="1"/>
  <c r="AM991" i="1"/>
  <c r="BF991" i="1"/>
  <c r="BG991" i="1"/>
  <c r="T992" i="1"/>
  <c r="U992" i="1"/>
  <c r="V992" i="1"/>
  <c r="W992" i="1"/>
  <c r="X992" i="1"/>
  <c r="Y992" i="1"/>
  <c r="Z992" i="1"/>
  <c r="AB992" i="1"/>
  <c r="AF992" i="1"/>
  <c r="AI992" i="1"/>
  <c r="AE993" i="1"/>
  <c r="AC993" i="1"/>
  <c r="AJ992" i="1"/>
  <c r="AK992" i="1"/>
  <c r="AM992" i="1"/>
  <c r="BF992" i="1"/>
  <c r="BG992" i="1"/>
  <c r="T993" i="1"/>
  <c r="U993" i="1"/>
  <c r="V993" i="1"/>
  <c r="W993" i="1"/>
  <c r="X993" i="1"/>
  <c r="Y993" i="1"/>
  <c r="Z993" i="1"/>
  <c r="AB993" i="1"/>
  <c r="AF993" i="1"/>
  <c r="AI993" i="1"/>
  <c r="AE994" i="1"/>
  <c r="AC994" i="1"/>
  <c r="AJ993" i="1"/>
  <c r="AK993" i="1"/>
  <c r="AM993" i="1"/>
  <c r="BF993" i="1"/>
  <c r="BG993" i="1"/>
  <c r="T994" i="1"/>
  <c r="U994" i="1"/>
  <c r="V994" i="1"/>
  <c r="W994" i="1"/>
  <c r="X994" i="1"/>
  <c r="Y994" i="1"/>
  <c r="Z994" i="1"/>
  <c r="AB994" i="1"/>
  <c r="AF994" i="1"/>
  <c r="AI994" i="1"/>
  <c r="H995" i="1"/>
  <c r="AE995" i="1"/>
  <c r="I995" i="1"/>
  <c r="J995" i="1"/>
  <c r="K995" i="1"/>
  <c r="AC995" i="1"/>
  <c r="AJ994" i="1"/>
  <c r="AK994" i="1"/>
  <c r="AM994" i="1"/>
  <c r="BG994" i="1"/>
  <c r="T995" i="1"/>
  <c r="U995" i="1"/>
  <c r="V995" i="1"/>
  <c r="W995" i="1"/>
  <c r="X995" i="1"/>
  <c r="Y995" i="1"/>
  <c r="Z995" i="1"/>
  <c r="AB995" i="1"/>
  <c r="AF995" i="1"/>
  <c r="AI995" i="1"/>
  <c r="AE996" i="1"/>
  <c r="AC996" i="1"/>
  <c r="AJ995" i="1"/>
  <c r="AK995" i="1"/>
  <c r="AM995" i="1"/>
  <c r="BF995" i="1"/>
  <c r="BG995" i="1"/>
  <c r="T996" i="1"/>
  <c r="U996" i="1"/>
  <c r="V996" i="1"/>
  <c r="W996" i="1"/>
  <c r="X996" i="1"/>
  <c r="Y996" i="1"/>
  <c r="Z996" i="1"/>
  <c r="AB996" i="1"/>
  <c r="AF996" i="1"/>
  <c r="AI996" i="1"/>
  <c r="AE997" i="1"/>
  <c r="AC997" i="1"/>
  <c r="AJ996" i="1"/>
  <c r="AK996" i="1"/>
  <c r="AM996" i="1"/>
  <c r="BF996" i="1"/>
  <c r="BG996" i="1"/>
  <c r="T997" i="1"/>
  <c r="U997" i="1"/>
  <c r="V997" i="1"/>
  <c r="W997" i="1"/>
  <c r="X997" i="1"/>
  <c r="Y997" i="1"/>
  <c r="Z997" i="1"/>
  <c r="AB997" i="1"/>
  <c r="AF997" i="1"/>
  <c r="AI997" i="1"/>
  <c r="H998" i="1"/>
  <c r="AE998" i="1"/>
  <c r="I998" i="1"/>
  <c r="J998" i="1"/>
  <c r="K998" i="1"/>
  <c r="AC998" i="1"/>
  <c r="AJ997" i="1"/>
  <c r="AK997" i="1"/>
  <c r="AM997" i="1"/>
  <c r="BG997" i="1"/>
  <c r="T998" i="1"/>
  <c r="U998" i="1"/>
  <c r="V998" i="1"/>
  <c r="W998" i="1"/>
  <c r="X998" i="1"/>
  <c r="Y998" i="1"/>
  <c r="Z998" i="1"/>
  <c r="AB998" i="1"/>
  <c r="AF998" i="1"/>
  <c r="AI998" i="1"/>
  <c r="H999" i="1"/>
  <c r="AE999" i="1"/>
  <c r="I999" i="1"/>
  <c r="J999" i="1"/>
  <c r="K999" i="1"/>
  <c r="AC999" i="1"/>
  <c r="AJ998" i="1"/>
  <c r="AK998" i="1"/>
  <c r="AM998" i="1"/>
  <c r="BF998" i="1"/>
  <c r="BG998" i="1"/>
  <c r="T999" i="1"/>
  <c r="U999" i="1"/>
  <c r="V999" i="1"/>
  <c r="W999" i="1"/>
  <c r="X999" i="1"/>
  <c r="Y999" i="1"/>
  <c r="Z999" i="1"/>
  <c r="AB999" i="1"/>
  <c r="AF999" i="1"/>
  <c r="AI999" i="1"/>
  <c r="AE1000" i="1"/>
  <c r="AC1000" i="1"/>
  <c r="AJ999" i="1"/>
  <c r="AK999" i="1"/>
  <c r="AM999" i="1"/>
  <c r="BF999" i="1"/>
  <c r="BG999" i="1"/>
  <c r="T1000" i="1"/>
  <c r="U1000" i="1"/>
  <c r="V1000" i="1"/>
  <c r="W1000" i="1"/>
  <c r="X1000" i="1"/>
  <c r="Y1000" i="1"/>
  <c r="Z1000" i="1"/>
  <c r="AB1000" i="1"/>
  <c r="AF1000" i="1"/>
  <c r="AI1000" i="1"/>
  <c r="AE1001" i="1"/>
  <c r="AC1001" i="1"/>
  <c r="AJ1000" i="1"/>
  <c r="AK1000" i="1"/>
  <c r="AM1000" i="1"/>
  <c r="BF1000" i="1"/>
  <c r="BG1000" i="1"/>
  <c r="T1001" i="1"/>
  <c r="U1001" i="1"/>
  <c r="V1001" i="1"/>
  <c r="W1001" i="1"/>
  <c r="X1001" i="1"/>
  <c r="Y1001" i="1"/>
  <c r="Z1001" i="1"/>
  <c r="AB1001" i="1"/>
  <c r="AF1001" i="1"/>
  <c r="AI1001" i="1"/>
  <c r="H1002" i="1"/>
  <c r="AE1002" i="1"/>
  <c r="I1002" i="1"/>
  <c r="J1002" i="1"/>
  <c r="K1002" i="1"/>
  <c r="AC1002" i="1"/>
  <c r="AJ1001" i="1"/>
  <c r="AK1001" i="1"/>
  <c r="AM1001" i="1"/>
  <c r="BG1001" i="1"/>
  <c r="T1002" i="1"/>
  <c r="U1002" i="1"/>
  <c r="V1002" i="1"/>
  <c r="W1002" i="1"/>
  <c r="X1002" i="1"/>
  <c r="Y1002" i="1"/>
  <c r="Z1002" i="1"/>
  <c r="AB1002" i="1"/>
  <c r="AF1002" i="1"/>
  <c r="AI1002" i="1"/>
  <c r="H1003" i="1"/>
  <c r="AE1003" i="1"/>
  <c r="I1003" i="1"/>
  <c r="J1003" i="1"/>
  <c r="K1003" i="1"/>
  <c r="AC1003" i="1"/>
  <c r="AJ1002" i="1"/>
  <c r="AK1002" i="1"/>
  <c r="AM1002" i="1"/>
  <c r="BF1002" i="1"/>
  <c r="BG1002" i="1"/>
  <c r="T1003" i="1"/>
  <c r="U1003" i="1"/>
  <c r="V1003" i="1"/>
  <c r="W1003" i="1"/>
  <c r="X1003" i="1"/>
  <c r="Y1003" i="1"/>
  <c r="Z1003" i="1"/>
  <c r="AB1003" i="1"/>
  <c r="AF1003" i="1"/>
  <c r="AI1003" i="1"/>
  <c r="H1004" i="1"/>
  <c r="AE1004" i="1"/>
  <c r="I1004" i="1"/>
  <c r="J1004" i="1"/>
  <c r="K1004" i="1"/>
  <c r="AC1004" i="1"/>
  <c r="AJ1003" i="1"/>
  <c r="AK1003" i="1"/>
  <c r="AM1003" i="1"/>
  <c r="BF1003" i="1"/>
  <c r="BG1003" i="1"/>
  <c r="T1004" i="1"/>
  <c r="U1004" i="1"/>
  <c r="V1004" i="1"/>
  <c r="W1004" i="1"/>
  <c r="X1004" i="1"/>
  <c r="Y1004" i="1"/>
  <c r="Z1004" i="1"/>
  <c r="AB1004" i="1"/>
  <c r="AF1004" i="1"/>
  <c r="AI1004" i="1"/>
  <c r="AE1005" i="1"/>
  <c r="AC1005" i="1"/>
  <c r="AJ1004" i="1"/>
  <c r="AK1004" i="1"/>
  <c r="AM1004" i="1"/>
  <c r="BF1004" i="1"/>
  <c r="BG1004" i="1"/>
  <c r="T1005" i="1"/>
  <c r="U1005" i="1"/>
  <c r="V1005" i="1"/>
  <c r="W1005" i="1"/>
  <c r="X1005" i="1"/>
  <c r="Y1005" i="1"/>
  <c r="Z1005" i="1"/>
  <c r="AB1005" i="1"/>
  <c r="AF1005" i="1"/>
  <c r="AI1005" i="1"/>
  <c r="AE1006" i="1"/>
  <c r="AC1006" i="1"/>
  <c r="AJ1005" i="1"/>
  <c r="AK1005" i="1"/>
  <c r="AM1005" i="1"/>
  <c r="BF1005" i="1"/>
  <c r="BG1005" i="1"/>
  <c r="T1006" i="1"/>
  <c r="U1006" i="1"/>
  <c r="V1006" i="1"/>
  <c r="W1006" i="1"/>
  <c r="X1006" i="1"/>
  <c r="Y1006" i="1"/>
  <c r="Z1006" i="1"/>
  <c r="AB1006" i="1"/>
  <c r="AF1006" i="1"/>
  <c r="AI1006" i="1"/>
  <c r="H1007" i="1"/>
  <c r="AE1007" i="1"/>
  <c r="I1007" i="1"/>
  <c r="J1007" i="1"/>
  <c r="K1007" i="1"/>
  <c r="AC1007" i="1"/>
  <c r="AJ1006" i="1"/>
  <c r="AK1006" i="1"/>
  <c r="AM1006" i="1"/>
  <c r="BG1006" i="1"/>
  <c r="T1007" i="1"/>
  <c r="U1007" i="1"/>
  <c r="V1007" i="1"/>
  <c r="W1007" i="1"/>
  <c r="X1007" i="1"/>
  <c r="Y1007" i="1"/>
  <c r="Z1007" i="1"/>
  <c r="AB1007" i="1"/>
  <c r="AF1007" i="1"/>
  <c r="AI1007" i="1"/>
  <c r="AE1008" i="1"/>
  <c r="AC1008" i="1"/>
  <c r="AJ1007" i="1"/>
  <c r="AK1007" i="1"/>
  <c r="AM1007" i="1"/>
  <c r="BF1007" i="1"/>
  <c r="BG1007" i="1"/>
  <c r="T1008" i="1"/>
  <c r="U1008" i="1"/>
  <c r="V1008" i="1"/>
  <c r="W1008" i="1"/>
  <c r="X1008" i="1"/>
  <c r="Y1008" i="1"/>
  <c r="Z1008" i="1"/>
  <c r="AB1008" i="1"/>
  <c r="AF1008" i="1"/>
  <c r="AI1008" i="1"/>
  <c r="AE1009" i="1"/>
  <c r="AC1009" i="1"/>
  <c r="AJ1008" i="1"/>
  <c r="AK1008" i="1"/>
  <c r="AM1008" i="1"/>
  <c r="BF1008" i="1"/>
  <c r="BG1008" i="1"/>
  <c r="T1009" i="1"/>
  <c r="U1009" i="1"/>
  <c r="V1009" i="1"/>
  <c r="W1009" i="1"/>
  <c r="X1009" i="1"/>
  <c r="Y1009" i="1"/>
  <c r="Z1009" i="1"/>
  <c r="AB1009" i="1"/>
  <c r="AF1009" i="1"/>
  <c r="AI1009" i="1"/>
  <c r="H1010" i="1"/>
  <c r="AE1010" i="1"/>
  <c r="I1010" i="1"/>
  <c r="J1010" i="1"/>
  <c r="K1010" i="1"/>
  <c r="AC1010" i="1"/>
  <c r="AJ1009" i="1"/>
  <c r="AK1009" i="1"/>
  <c r="AM1009" i="1"/>
  <c r="BG1009" i="1"/>
  <c r="T1010" i="1"/>
  <c r="U1010" i="1"/>
  <c r="V1010" i="1"/>
  <c r="W1010" i="1"/>
  <c r="X1010" i="1"/>
  <c r="Y1010" i="1"/>
  <c r="Z1010" i="1"/>
  <c r="AB1010" i="1"/>
  <c r="AF1010" i="1"/>
  <c r="AI1010" i="1"/>
  <c r="H1011" i="1"/>
  <c r="AE1011" i="1"/>
  <c r="I1011" i="1"/>
  <c r="J1011" i="1"/>
  <c r="K1011" i="1"/>
  <c r="AC1011" i="1"/>
  <c r="AJ1010" i="1"/>
  <c r="AK1010" i="1"/>
  <c r="AM1010" i="1"/>
  <c r="BF1010" i="1"/>
  <c r="BG1010" i="1"/>
  <c r="T1011" i="1"/>
  <c r="U1011" i="1"/>
  <c r="V1011" i="1"/>
  <c r="W1011" i="1"/>
  <c r="X1011" i="1"/>
  <c r="Y1011" i="1"/>
  <c r="Z1011" i="1"/>
  <c r="AB1011" i="1"/>
  <c r="AF1011" i="1"/>
  <c r="AI1011" i="1"/>
  <c r="H1012" i="1"/>
  <c r="AE1012" i="1"/>
  <c r="I1012" i="1"/>
  <c r="J1012" i="1"/>
  <c r="K1012" i="1"/>
  <c r="AC1012" i="1"/>
  <c r="AJ1011" i="1"/>
  <c r="AK1011" i="1"/>
  <c r="AM1011" i="1"/>
  <c r="BF1011" i="1"/>
  <c r="BG1011" i="1"/>
  <c r="T1012" i="1"/>
  <c r="U1012" i="1"/>
  <c r="V1012" i="1"/>
  <c r="W1012" i="1"/>
  <c r="X1012" i="1"/>
  <c r="Y1012" i="1"/>
  <c r="Z1012" i="1"/>
  <c r="AB1012" i="1"/>
  <c r="AF1012" i="1"/>
  <c r="AI1012" i="1"/>
  <c r="H1013" i="1"/>
  <c r="AE1013" i="1"/>
  <c r="I1013" i="1"/>
  <c r="J1013" i="1"/>
  <c r="K1013" i="1"/>
  <c r="AC1013" i="1"/>
  <c r="AJ1012" i="1"/>
  <c r="AK1012" i="1"/>
  <c r="AM1012" i="1"/>
  <c r="BF1012" i="1"/>
  <c r="BG1012" i="1"/>
  <c r="T1013" i="1"/>
  <c r="U1013" i="1"/>
  <c r="V1013" i="1"/>
  <c r="W1013" i="1"/>
  <c r="X1013" i="1"/>
  <c r="Y1013" i="1"/>
  <c r="Z1013" i="1"/>
  <c r="AB1013" i="1"/>
  <c r="AF1013" i="1"/>
  <c r="AI1013" i="1"/>
  <c r="AE1014" i="1"/>
  <c r="AC1014" i="1"/>
  <c r="AJ1013" i="1"/>
  <c r="AK1013" i="1"/>
  <c r="AM1013" i="1"/>
  <c r="BF1013" i="1"/>
  <c r="BG1013" i="1"/>
  <c r="T1014" i="1"/>
  <c r="U1014" i="1"/>
  <c r="V1014" i="1"/>
  <c r="W1014" i="1"/>
  <c r="X1014" i="1"/>
  <c r="Y1014" i="1"/>
  <c r="Z1014" i="1"/>
  <c r="AB1014" i="1"/>
  <c r="AF1014" i="1"/>
  <c r="AI1014" i="1"/>
  <c r="AE1015" i="1"/>
  <c r="AC1015" i="1"/>
  <c r="AJ1014" i="1"/>
  <c r="AK1014" i="1"/>
  <c r="AM1014" i="1"/>
  <c r="BF1014" i="1"/>
  <c r="BG1014" i="1"/>
  <c r="T1015" i="1"/>
  <c r="U1015" i="1"/>
  <c r="V1015" i="1"/>
  <c r="W1015" i="1"/>
  <c r="X1015" i="1"/>
  <c r="Y1015" i="1"/>
  <c r="Z1015" i="1"/>
  <c r="AB1015" i="1"/>
  <c r="AF1015" i="1"/>
  <c r="AI1015" i="1"/>
  <c r="H1016" i="1"/>
  <c r="AE1016" i="1"/>
  <c r="I1016" i="1"/>
  <c r="J1016" i="1"/>
  <c r="K1016" i="1"/>
  <c r="AC1016" i="1"/>
  <c r="AJ1015" i="1"/>
  <c r="AK1015" i="1"/>
  <c r="AM1015" i="1"/>
  <c r="BG1015" i="1"/>
  <c r="T1016" i="1"/>
  <c r="U1016" i="1"/>
  <c r="V1016" i="1"/>
  <c r="W1016" i="1"/>
  <c r="X1016" i="1"/>
  <c r="Y1016" i="1"/>
  <c r="Z1016" i="1"/>
  <c r="AB1016" i="1"/>
  <c r="AF1016" i="1"/>
  <c r="AI1016" i="1"/>
  <c r="AE1017" i="1"/>
  <c r="AC1017" i="1"/>
  <c r="AJ1016" i="1"/>
  <c r="AK1016" i="1"/>
  <c r="AM1016" i="1"/>
  <c r="BF1016" i="1"/>
  <c r="BG1016" i="1"/>
  <c r="T1017" i="1"/>
  <c r="U1017" i="1"/>
  <c r="V1017" i="1"/>
  <c r="W1017" i="1"/>
  <c r="X1017" i="1"/>
  <c r="Y1017" i="1"/>
  <c r="Z1017" i="1"/>
  <c r="AB1017" i="1"/>
  <c r="AF1017" i="1"/>
  <c r="AI1017" i="1"/>
  <c r="AE1018" i="1"/>
  <c r="AC1018" i="1"/>
  <c r="AJ1017" i="1"/>
  <c r="AK1017" i="1"/>
  <c r="AM1017" i="1"/>
  <c r="BF1017" i="1"/>
  <c r="BG1017" i="1"/>
  <c r="T1018" i="1"/>
  <c r="U1018" i="1"/>
  <c r="V1018" i="1"/>
  <c r="W1018" i="1"/>
  <c r="X1018" i="1"/>
  <c r="Y1018" i="1"/>
  <c r="Z1018" i="1"/>
  <c r="AB1018" i="1"/>
  <c r="AF1018" i="1"/>
  <c r="AI1018" i="1"/>
  <c r="H1019" i="1"/>
  <c r="AE1019" i="1"/>
  <c r="I1019" i="1"/>
  <c r="J1019" i="1"/>
  <c r="K1019" i="1"/>
  <c r="AC1019" i="1"/>
  <c r="AJ1018" i="1"/>
  <c r="AK1018" i="1"/>
  <c r="AM1018" i="1"/>
  <c r="BG1018" i="1"/>
  <c r="T1019" i="1"/>
  <c r="U1019" i="1"/>
  <c r="V1019" i="1"/>
  <c r="W1019" i="1"/>
  <c r="X1019" i="1"/>
  <c r="Y1019" i="1"/>
  <c r="Z1019" i="1"/>
  <c r="AB1019" i="1"/>
  <c r="AF1019" i="1"/>
  <c r="AI1019" i="1"/>
  <c r="H1020" i="1"/>
  <c r="AE1020" i="1"/>
  <c r="I1020" i="1"/>
  <c r="J1020" i="1"/>
  <c r="K1020" i="1"/>
  <c r="AC1020" i="1"/>
  <c r="AJ1019" i="1"/>
  <c r="AK1019" i="1"/>
  <c r="AM1019" i="1"/>
  <c r="BF1019" i="1"/>
  <c r="BG1019" i="1"/>
  <c r="T1020" i="1"/>
  <c r="U1020" i="1"/>
  <c r="V1020" i="1"/>
  <c r="W1020" i="1"/>
  <c r="X1020" i="1"/>
  <c r="Y1020" i="1"/>
  <c r="Z1020" i="1"/>
  <c r="AB1020" i="1"/>
  <c r="AF1020" i="1"/>
  <c r="AI1020" i="1"/>
  <c r="H1021" i="1"/>
  <c r="AE1021" i="1"/>
  <c r="I1021" i="1"/>
  <c r="J1021" i="1"/>
  <c r="K1021" i="1"/>
  <c r="AC1021" i="1"/>
  <c r="AJ1020" i="1"/>
  <c r="AK1020" i="1"/>
  <c r="AM1020" i="1"/>
  <c r="BF1020" i="1"/>
  <c r="BG1020" i="1"/>
  <c r="T1021" i="1"/>
  <c r="U1021" i="1"/>
  <c r="V1021" i="1"/>
  <c r="W1021" i="1"/>
  <c r="X1021" i="1"/>
  <c r="Y1021" i="1"/>
  <c r="Z1021" i="1"/>
  <c r="AB1021" i="1"/>
  <c r="AF1021" i="1"/>
  <c r="AI1021" i="1"/>
  <c r="AE1022" i="1"/>
  <c r="AC1022" i="1"/>
  <c r="AJ1021" i="1"/>
  <c r="AK1021" i="1"/>
  <c r="AM1021" i="1"/>
  <c r="BF1021" i="1"/>
  <c r="BG1021" i="1"/>
  <c r="T1022" i="1"/>
  <c r="U1022" i="1"/>
  <c r="V1022" i="1"/>
  <c r="W1022" i="1"/>
  <c r="X1022" i="1"/>
  <c r="Y1022" i="1"/>
  <c r="Z1022" i="1"/>
  <c r="AB1022" i="1"/>
  <c r="AF1022" i="1"/>
  <c r="AI1022" i="1"/>
  <c r="AE1023" i="1"/>
  <c r="AC1023" i="1"/>
  <c r="AJ1022" i="1"/>
  <c r="AK1022" i="1"/>
  <c r="AM1022" i="1"/>
  <c r="BF1022" i="1"/>
  <c r="BG1022" i="1"/>
  <c r="T1023" i="1"/>
  <c r="U1023" i="1"/>
  <c r="V1023" i="1"/>
  <c r="W1023" i="1"/>
  <c r="X1023" i="1"/>
  <c r="Y1023" i="1"/>
  <c r="Z1023" i="1"/>
  <c r="AB1023" i="1"/>
  <c r="AF1023" i="1"/>
  <c r="AI1023" i="1"/>
  <c r="H1024" i="1"/>
  <c r="AE1024" i="1"/>
  <c r="I1024" i="1"/>
  <c r="J1024" i="1"/>
  <c r="K1024" i="1"/>
  <c r="AC1024" i="1"/>
  <c r="AJ1023" i="1"/>
  <c r="AK1023" i="1"/>
  <c r="AM1023" i="1"/>
  <c r="BG1023" i="1"/>
  <c r="T1024" i="1"/>
  <c r="U1024" i="1"/>
  <c r="V1024" i="1"/>
  <c r="W1024" i="1"/>
  <c r="X1024" i="1"/>
  <c r="Y1024" i="1"/>
  <c r="Z1024" i="1"/>
  <c r="AB1024" i="1"/>
  <c r="AF1024" i="1"/>
  <c r="AI1024" i="1"/>
  <c r="H1025" i="1"/>
  <c r="AE1025" i="1"/>
  <c r="I1025" i="1"/>
  <c r="J1025" i="1"/>
  <c r="K1025" i="1"/>
  <c r="AC1025" i="1"/>
  <c r="AJ1024" i="1"/>
  <c r="AK1024" i="1"/>
  <c r="AM1024" i="1"/>
  <c r="BF1024" i="1"/>
  <c r="BG1024" i="1"/>
  <c r="T1025" i="1"/>
  <c r="U1025" i="1"/>
  <c r="V1025" i="1"/>
  <c r="W1025" i="1"/>
  <c r="X1025" i="1"/>
  <c r="Y1025" i="1"/>
  <c r="Z1025" i="1"/>
  <c r="AB1025" i="1"/>
  <c r="AF1025" i="1"/>
  <c r="AI1025" i="1"/>
  <c r="H1026" i="1"/>
  <c r="AE1026" i="1"/>
  <c r="I1026" i="1"/>
  <c r="J1026" i="1"/>
  <c r="K1026" i="1"/>
  <c r="AC1026" i="1"/>
  <c r="AJ1025" i="1"/>
  <c r="AK1025" i="1"/>
  <c r="AM1025" i="1"/>
  <c r="BF1025" i="1"/>
  <c r="BG1025" i="1"/>
  <c r="T1026" i="1"/>
  <c r="U1026" i="1"/>
  <c r="V1026" i="1"/>
  <c r="W1026" i="1"/>
  <c r="X1026" i="1"/>
  <c r="Y1026" i="1"/>
  <c r="Z1026" i="1"/>
  <c r="AB1026" i="1"/>
  <c r="AF1026" i="1"/>
  <c r="AI1026" i="1"/>
  <c r="H1027" i="1"/>
  <c r="AE1027" i="1"/>
  <c r="I1027" i="1"/>
  <c r="J1027" i="1"/>
  <c r="K1027" i="1"/>
  <c r="AC1027" i="1"/>
  <c r="AJ1026" i="1"/>
  <c r="AK1026" i="1"/>
  <c r="AM1026" i="1"/>
  <c r="BF1026" i="1"/>
  <c r="BG1026" i="1"/>
  <c r="T1027" i="1"/>
  <c r="U1027" i="1"/>
  <c r="V1027" i="1"/>
  <c r="W1027" i="1"/>
  <c r="X1027" i="1"/>
  <c r="Y1027" i="1"/>
  <c r="Z1027" i="1"/>
  <c r="AB1027" i="1"/>
  <c r="AF1027" i="1"/>
  <c r="AI1027" i="1"/>
  <c r="H1028" i="1"/>
  <c r="AE1028" i="1"/>
  <c r="I1028" i="1"/>
  <c r="J1028" i="1"/>
  <c r="K1028" i="1"/>
  <c r="AC1028" i="1"/>
  <c r="AJ1027" i="1"/>
  <c r="AK1027" i="1"/>
  <c r="AM1027" i="1"/>
  <c r="BF1027" i="1"/>
  <c r="BG1027" i="1"/>
  <c r="T1028" i="1"/>
  <c r="U1028" i="1"/>
  <c r="V1028" i="1"/>
  <c r="W1028" i="1"/>
  <c r="X1028" i="1"/>
  <c r="Y1028" i="1"/>
  <c r="Z1028" i="1"/>
  <c r="AB1028" i="1"/>
  <c r="AF1028" i="1"/>
  <c r="AI1028" i="1"/>
  <c r="AE1029" i="1"/>
  <c r="AC1029" i="1"/>
  <c r="AJ1028" i="1"/>
  <c r="AK1028" i="1"/>
  <c r="AM1028" i="1"/>
  <c r="BF1028" i="1"/>
  <c r="BG1028" i="1"/>
  <c r="T1029" i="1"/>
  <c r="U1029" i="1"/>
  <c r="V1029" i="1"/>
  <c r="W1029" i="1"/>
  <c r="X1029" i="1"/>
  <c r="Y1029" i="1"/>
  <c r="Z1029" i="1"/>
  <c r="AB1029" i="1"/>
  <c r="AF1029" i="1"/>
  <c r="AI1029" i="1"/>
  <c r="AE1030" i="1"/>
  <c r="AC1030" i="1"/>
  <c r="AJ1029" i="1"/>
  <c r="AK1029" i="1"/>
  <c r="AM1029" i="1"/>
  <c r="BF1029" i="1"/>
  <c r="BG1029" i="1"/>
  <c r="T1030" i="1"/>
  <c r="U1030" i="1"/>
  <c r="V1030" i="1"/>
  <c r="W1030" i="1"/>
  <c r="X1030" i="1"/>
  <c r="Y1030" i="1"/>
  <c r="Z1030" i="1"/>
  <c r="AB1030" i="1"/>
  <c r="AF1030" i="1"/>
  <c r="AI1030" i="1"/>
  <c r="H1031" i="1"/>
  <c r="AE1031" i="1"/>
  <c r="I1031" i="1"/>
  <c r="J1031" i="1"/>
  <c r="K1031" i="1"/>
  <c r="AC1031" i="1"/>
  <c r="AJ1030" i="1"/>
  <c r="AK1030" i="1"/>
  <c r="AM1030" i="1"/>
  <c r="BG1030" i="1"/>
  <c r="T1031" i="1"/>
  <c r="U1031" i="1"/>
  <c r="V1031" i="1"/>
  <c r="W1031" i="1"/>
  <c r="X1031" i="1"/>
  <c r="Y1031" i="1"/>
  <c r="Z1031" i="1"/>
  <c r="AB1031" i="1"/>
  <c r="AF1031" i="1"/>
  <c r="AI1031" i="1"/>
  <c r="H1032" i="1"/>
  <c r="AE1032" i="1"/>
  <c r="I1032" i="1"/>
  <c r="J1032" i="1"/>
  <c r="K1032" i="1"/>
  <c r="AC1032" i="1"/>
  <c r="AJ1031" i="1"/>
  <c r="AK1031" i="1"/>
  <c r="AM1031" i="1"/>
  <c r="BF1031" i="1"/>
  <c r="BG1031" i="1"/>
  <c r="T1032" i="1"/>
  <c r="U1032" i="1"/>
  <c r="V1032" i="1"/>
  <c r="W1032" i="1"/>
  <c r="X1032" i="1"/>
  <c r="Y1032" i="1"/>
  <c r="Z1032" i="1"/>
  <c r="AB1032" i="1"/>
  <c r="AF1032" i="1"/>
  <c r="AI1032" i="1"/>
  <c r="H1033" i="1"/>
  <c r="AE1033" i="1"/>
  <c r="I1033" i="1"/>
  <c r="J1033" i="1"/>
  <c r="K1033" i="1"/>
  <c r="AC1033" i="1"/>
  <c r="AJ1032" i="1"/>
  <c r="AK1032" i="1"/>
  <c r="AM1032" i="1"/>
  <c r="BF1032" i="1"/>
  <c r="BG1032" i="1"/>
  <c r="T1033" i="1"/>
  <c r="U1033" i="1"/>
  <c r="V1033" i="1"/>
  <c r="W1033" i="1"/>
  <c r="X1033" i="1"/>
  <c r="Y1033" i="1"/>
  <c r="Z1033" i="1"/>
  <c r="AB1033" i="1"/>
  <c r="AF1033" i="1"/>
  <c r="AI1033" i="1"/>
  <c r="AE1034" i="1"/>
  <c r="AC1034" i="1"/>
  <c r="AJ1033" i="1"/>
  <c r="AK1033" i="1"/>
  <c r="AM1033" i="1"/>
  <c r="BF1033" i="1"/>
  <c r="BG1033" i="1"/>
  <c r="T1034" i="1"/>
  <c r="U1034" i="1"/>
  <c r="V1034" i="1"/>
  <c r="W1034" i="1"/>
  <c r="X1034" i="1"/>
  <c r="Y1034" i="1"/>
  <c r="Z1034" i="1"/>
  <c r="AB1034" i="1"/>
  <c r="AF1034" i="1"/>
  <c r="AI1034" i="1"/>
  <c r="AE1035" i="1"/>
  <c r="AC1035" i="1"/>
  <c r="AJ1034" i="1"/>
  <c r="AK1034" i="1"/>
  <c r="AM1034" i="1"/>
  <c r="BF1034" i="1"/>
  <c r="BG1034" i="1"/>
  <c r="T1035" i="1"/>
  <c r="U1035" i="1"/>
  <c r="V1035" i="1"/>
  <c r="W1035" i="1"/>
  <c r="X1035" i="1"/>
  <c r="Y1035" i="1"/>
  <c r="Z1035" i="1"/>
  <c r="AB1035" i="1"/>
  <c r="AF1035" i="1"/>
  <c r="AI1035" i="1"/>
  <c r="H1036" i="1"/>
  <c r="AE1036" i="1"/>
  <c r="I1036" i="1"/>
  <c r="J1036" i="1"/>
  <c r="K1036" i="1"/>
  <c r="AC1036" i="1"/>
  <c r="AJ1035" i="1"/>
  <c r="AK1035" i="1"/>
  <c r="AM1035" i="1"/>
  <c r="BG1035" i="1"/>
  <c r="T1036" i="1"/>
  <c r="U1036" i="1"/>
  <c r="V1036" i="1"/>
  <c r="W1036" i="1"/>
  <c r="X1036" i="1"/>
  <c r="Y1036" i="1"/>
  <c r="Z1036" i="1"/>
  <c r="AB1036" i="1"/>
  <c r="AF1036" i="1"/>
  <c r="AI1036" i="1"/>
  <c r="AE1037" i="1"/>
  <c r="AC1037" i="1"/>
  <c r="AJ1036" i="1"/>
  <c r="AK1036" i="1"/>
  <c r="AM1036" i="1"/>
  <c r="BF1036" i="1"/>
  <c r="BG1036" i="1"/>
  <c r="T1037" i="1"/>
  <c r="U1037" i="1"/>
  <c r="V1037" i="1"/>
  <c r="W1037" i="1"/>
  <c r="X1037" i="1"/>
  <c r="Y1037" i="1"/>
  <c r="Z1037" i="1"/>
  <c r="AB1037" i="1"/>
  <c r="AF1037" i="1"/>
  <c r="AI1037" i="1"/>
  <c r="AE1038" i="1"/>
  <c r="AC1038" i="1"/>
  <c r="AJ1037" i="1"/>
  <c r="AK1037" i="1"/>
  <c r="AM1037" i="1"/>
  <c r="BF1037" i="1"/>
  <c r="BG1037" i="1"/>
  <c r="T1038" i="1"/>
  <c r="U1038" i="1"/>
  <c r="V1038" i="1"/>
  <c r="W1038" i="1"/>
  <c r="X1038" i="1"/>
  <c r="Y1038" i="1"/>
  <c r="Z1038" i="1"/>
  <c r="AB1038" i="1"/>
  <c r="AF1038" i="1"/>
  <c r="AI1038" i="1"/>
  <c r="H1039" i="1"/>
  <c r="AE1039" i="1"/>
  <c r="I1039" i="1"/>
  <c r="J1039" i="1"/>
  <c r="K1039" i="1"/>
  <c r="AC1039" i="1"/>
  <c r="AJ1038" i="1"/>
  <c r="AK1038" i="1"/>
  <c r="AM1038" i="1"/>
  <c r="BG1038" i="1"/>
  <c r="T1039" i="1"/>
  <c r="U1039" i="1"/>
  <c r="V1039" i="1"/>
  <c r="W1039" i="1"/>
  <c r="X1039" i="1"/>
  <c r="Y1039" i="1"/>
  <c r="Z1039" i="1"/>
  <c r="AB1039" i="1"/>
  <c r="AF1039" i="1"/>
  <c r="AI1039" i="1"/>
  <c r="H1040" i="1"/>
  <c r="AE1040" i="1"/>
  <c r="I1040" i="1"/>
  <c r="J1040" i="1"/>
  <c r="K1040" i="1"/>
  <c r="AC1040" i="1"/>
  <c r="AJ1039" i="1"/>
  <c r="AK1039" i="1"/>
  <c r="AM1039" i="1"/>
  <c r="BF1039" i="1"/>
  <c r="BG1039" i="1"/>
  <c r="T1040" i="1"/>
  <c r="U1040" i="1"/>
  <c r="V1040" i="1"/>
  <c r="W1040" i="1"/>
  <c r="X1040" i="1"/>
  <c r="Y1040" i="1"/>
  <c r="Z1040" i="1"/>
  <c r="AB1040" i="1"/>
  <c r="AF1040" i="1"/>
  <c r="AI1040" i="1"/>
  <c r="AE1041" i="1"/>
  <c r="AC1041" i="1"/>
  <c r="AJ1040" i="1"/>
  <c r="AK1040" i="1"/>
  <c r="AM1040" i="1"/>
  <c r="BF1040" i="1"/>
  <c r="BG1040" i="1"/>
  <c r="T1041" i="1"/>
  <c r="U1041" i="1"/>
  <c r="V1041" i="1"/>
  <c r="W1041" i="1"/>
  <c r="X1041" i="1"/>
  <c r="Y1041" i="1"/>
  <c r="Z1041" i="1"/>
  <c r="AB1041" i="1"/>
  <c r="AF1041" i="1"/>
  <c r="AI1041" i="1"/>
  <c r="AE1042" i="1"/>
  <c r="AC1042" i="1"/>
  <c r="AJ1041" i="1"/>
  <c r="AK1041" i="1"/>
  <c r="AM1041" i="1"/>
  <c r="BF1041" i="1"/>
  <c r="BG1041" i="1"/>
  <c r="T1042" i="1"/>
  <c r="U1042" i="1"/>
  <c r="V1042" i="1"/>
  <c r="W1042" i="1"/>
  <c r="X1042" i="1"/>
  <c r="Y1042" i="1"/>
  <c r="Z1042" i="1"/>
  <c r="AB1042" i="1"/>
  <c r="AF1042" i="1"/>
  <c r="AI1042" i="1"/>
  <c r="H1043" i="1"/>
  <c r="AE1043" i="1"/>
  <c r="I1043" i="1"/>
  <c r="J1043" i="1"/>
  <c r="K1043" i="1"/>
  <c r="AC1043" i="1"/>
  <c r="AJ1042" i="1"/>
  <c r="AK1042" i="1"/>
  <c r="AM1042" i="1"/>
  <c r="BG1042" i="1"/>
  <c r="T1043" i="1"/>
  <c r="U1043" i="1"/>
  <c r="V1043" i="1"/>
  <c r="W1043" i="1"/>
  <c r="X1043" i="1"/>
  <c r="Y1043" i="1"/>
  <c r="Z1043" i="1"/>
  <c r="AB1043" i="1"/>
  <c r="AF1043" i="1"/>
  <c r="AI1043" i="1"/>
  <c r="AE1044" i="1"/>
  <c r="AC1044" i="1"/>
  <c r="AJ1043" i="1"/>
  <c r="AK1043" i="1"/>
  <c r="AM1043" i="1"/>
  <c r="BF1043" i="1"/>
  <c r="BG1043" i="1"/>
  <c r="T1044" i="1"/>
  <c r="U1044" i="1"/>
  <c r="V1044" i="1"/>
  <c r="W1044" i="1"/>
  <c r="X1044" i="1"/>
  <c r="Y1044" i="1"/>
  <c r="Z1044" i="1"/>
  <c r="AB1044" i="1"/>
  <c r="AF1044" i="1"/>
  <c r="AI1044" i="1"/>
  <c r="AE1045" i="1"/>
  <c r="AC1045" i="1"/>
  <c r="AJ1044" i="1"/>
  <c r="AK1044" i="1"/>
  <c r="AM1044" i="1"/>
  <c r="BF1044" i="1"/>
  <c r="BG1044" i="1"/>
  <c r="T1045" i="1"/>
  <c r="U1045" i="1"/>
  <c r="V1045" i="1"/>
  <c r="W1045" i="1"/>
  <c r="X1045" i="1"/>
  <c r="Y1045" i="1"/>
  <c r="Z1045" i="1"/>
  <c r="AB1045" i="1"/>
  <c r="AF1045" i="1"/>
  <c r="AI1045" i="1"/>
  <c r="H1046" i="1"/>
  <c r="AE1046" i="1"/>
  <c r="I1046" i="1"/>
  <c r="J1046" i="1"/>
  <c r="K1046" i="1"/>
  <c r="AC1046" i="1"/>
  <c r="AJ1045" i="1"/>
  <c r="AK1045" i="1"/>
  <c r="AM1045" i="1"/>
  <c r="BG1045" i="1"/>
  <c r="T1046" i="1"/>
  <c r="U1046" i="1"/>
  <c r="V1046" i="1"/>
  <c r="W1046" i="1"/>
  <c r="X1046" i="1"/>
  <c r="Y1046" i="1"/>
  <c r="Z1046" i="1"/>
  <c r="AB1046" i="1"/>
  <c r="AF1046" i="1"/>
  <c r="AI1046" i="1"/>
  <c r="H1047" i="1"/>
  <c r="AE1047" i="1"/>
  <c r="I1047" i="1"/>
  <c r="J1047" i="1"/>
  <c r="K1047" i="1"/>
  <c r="AC1047" i="1"/>
  <c r="AJ1046" i="1"/>
  <c r="AK1046" i="1"/>
  <c r="AM1046" i="1"/>
  <c r="BF1046" i="1"/>
  <c r="BG1046" i="1"/>
  <c r="T1047" i="1"/>
  <c r="U1047" i="1"/>
  <c r="V1047" i="1"/>
  <c r="W1047" i="1"/>
  <c r="X1047" i="1"/>
  <c r="Y1047" i="1"/>
  <c r="Z1047" i="1"/>
  <c r="AB1047" i="1"/>
  <c r="AF1047" i="1"/>
  <c r="AI1047" i="1"/>
  <c r="H1048" i="1"/>
  <c r="AE1048" i="1"/>
  <c r="I1048" i="1"/>
  <c r="J1048" i="1"/>
  <c r="K1048" i="1"/>
  <c r="AC1048" i="1"/>
  <c r="AJ1047" i="1"/>
  <c r="AK1047" i="1"/>
  <c r="AM1047" i="1"/>
  <c r="BF1047" i="1"/>
  <c r="BG1047" i="1"/>
  <c r="T1048" i="1"/>
  <c r="U1048" i="1"/>
  <c r="V1048" i="1"/>
  <c r="W1048" i="1"/>
  <c r="X1048" i="1"/>
  <c r="Y1048" i="1"/>
  <c r="Z1048" i="1"/>
  <c r="AB1048" i="1"/>
  <c r="AF1048" i="1"/>
  <c r="AI1048" i="1"/>
  <c r="AE1049" i="1"/>
  <c r="AC1049" i="1"/>
  <c r="AJ1048" i="1"/>
  <c r="AK1048" i="1"/>
  <c r="AM1048" i="1"/>
  <c r="BF1048" i="1"/>
  <c r="BG1048" i="1"/>
  <c r="T1049" i="1"/>
  <c r="U1049" i="1"/>
  <c r="V1049" i="1"/>
  <c r="W1049" i="1"/>
  <c r="X1049" i="1"/>
  <c r="Y1049" i="1"/>
  <c r="Z1049" i="1"/>
  <c r="AB1049" i="1"/>
  <c r="AF1049" i="1"/>
  <c r="AI1049" i="1"/>
  <c r="AE1050" i="1"/>
  <c r="AC1050" i="1"/>
  <c r="AJ1049" i="1"/>
  <c r="AK1049" i="1"/>
  <c r="AM1049" i="1"/>
  <c r="BF1049" i="1"/>
  <c r="BG1049" i="1"/>
  <c r="T1050" i="1"/>
  <c r="U1050" i="1"/>
  <c r="V1050" i="1"/>
  <c r="W1050" i="1"/>
  <c r="X1050" i="1"/>
  <c r="Y1050" i="1"/>
  <c r="Z1050" i="1"/>
  <c r="AB1050" i="1"/>
  <c r="AF1050" i="1"/>
  <c r="AI1050" i="1"/>
  <c r="H1051" i="1"/>
  <c r="AE1051" i="1"/>
  <c r="I1051" i="1"/>
  <c r="J1051" i="1"/>
  <c r="K1051" i="1"/>
  <c r="AC1051" i="1"/>
  <c r="AJ1050" i="1"/>
  <c r="AK1050" i="1"/>
  <c r="AM1050" i="1"/>
  <c r="BG1050" i="1"/>
  <c r="T1051" i="1"/>
  <c r="U1051" i="1"/>
  <c r="V1051" i="1"/>
  <c r="W1051" i="1"/>
  <c r="X1051" i="1"/>
  <c r="Y1051" i="1"/>
  <c r="Z1051" i="1"/>
  <c r="AB1051" i="1"/>
  <c r="AF1051" i="1"/>
  <c r="AI1051" i="1"/>
  <c r="H1052" i="1"/>
  <c r="AE1052" i="1"/>
  <c r="I1052" i="1"/>
  <c r="J1052" i="1"/>
  <c r="K1052" i="1"/>
  <c r="AC1052" i="1"/>
  <c r="AJ1051" i="1"/>
  <c r="AK1051" i="1"/>
  <c r="AM1051" i="1"/>
  <c r="BF1051" i="1"/>
  <c r="BG1051" i="1"/>
  <c r="T1052" i="1"/>
  <c r="U1052" i="1"/>
  <c r="V1052" i="1"/>
  <c r="W1052" i="1"/>
  <c r="X1052" i="1"/>
  <c r="Y1052" i="1"/>
  <c r="Z1052" i="1"/>
  <c r="AB1052" i="1"/>
  <c r="AF1052" i="1"/>
  <c r="AI1052" i="1"/>
  <c r="AE1053" i="1"/>
  <c r="AC1053" i="1"/>
  <c r="AJ1052" i="1"/>
  <c r="AK1052" i="1"/>
  <c r="AM1052" i="1"/>
  <c r="BF1052" i="1"/>
  <c r="BG1052" i="1"/>
  <c r="T1053" i="1"/>
  <c r="U1053" i="1"/>
  <c r="V1053" i="1"/>
  <c r="W1053" i="1"/>
  <c r="X1053" i="1"/>
  <c r="Y1053" i="1"/>
  <c r="Z1053" i="1"/>
  <c r="AB1053" i="1"/>
  <c r="AF1053" i="1"/>
  <c r="AI1053" i="1"/>
  <c r="AE1054" i="1"/>
  <c r="AC1054" i="1"/>
  <c r="AJ1053" i="1"/>
  <c r="AK1053" i="1"/>
  <c r="AM1053" i="1"/>
  <c r="BF1053" i="1"/>
  <c r="BG1053" i="1"/>
  <c r="T1054" i="1"/>
  <c r="U1054" i="1"/>
  <c r="V1054" i="1"/>
  <c r="W1054" i="1"/>
  <c r="X1054" i="1"/>
  <c r="Y1054" i="1"/>
  <c r="Z1054" i="1"/>
  <c r="AB1054" i="1"/>
  <c r="AF1054" i="1"/>
  <c r="AI1054" i="1"/>
  <c r="H1055" i="1"/>
  <c r="AE1055" i="1"/>
  <c r="I1055" i="1"/>
  <c r="J1055" i="1"/>
  <c r="K1055" i="1"/>
  <c r="AC1055" i="1"/>
  <c r="AJ1054" i="1"/>
  <c r="AK1054" i="1"/>
  <c r="AM1054" i="1"/>
  <c r="BG1054" i="1"/>
  <c r="T1055" i="1"/>
  <c r="U1055" i="1"/>
  <c r="V1055" i="1"/>
  <c r="W1055" i="1"/>
  <c r="X1055" i="1"/>
  <c r="Y1055" i="1"/>
  <c r="Z1055" i="1"/>
  <c r="AB1055" i="1"/>
  <c r="AF1055" i="1"/>
  <c r="AI1055" i="1"/>
  <c r="H1056" i="1"/>
  <c r="AE1056" i="1"/>
  <c r="I1056" i="1"/>
  <c r="J1056" i="1"/>
  <c r="K1056" i="1"/>
  <c r="AC1056" i="1"/>
  <c r="AJ1055" i="1"/>
  <c r="AK1055" i="1"/>
  <c r="AM1055" i="1"/>
  <c r="BF1055" i="1"/>
  <c r="BG1055" i="1"/>
  <c r="T1056" i="1"/>
  <c r="U1056" i="1"/>
  <c r="V1056" i="1"/>
  <c r="W1056" i="1"/>
  <c r="X1056" i="1"/>
  <c r="Y1056" i="1"/>
  <c r="Z1056" i="1"/>
  <c r="AB1056" i="1"/>
  <c r="AF1056" i="1"/>
  <c r="AI1056" i="1"/>
  <c r="AE1057" i="1"/>
  <c r="AC1057" i="1"/>
  <c r="AJ1056" i="1"/>
  <c r="AK1056" i="1"/>
  <c r="AM1056" i="1"/>
  <c r="BF1056" i="1"/>
  <c r="BG1056" i="1"/>
  <c r="T1057" i="1"/>
  <c r="U1057" i="1"/>
  <c r="V1057" i="1"/>
  <c r="W1057" i="1"/>
  <c r="X1057" i="1"/>
  <c r="Y1057" i="1"/>
  <c r="Z1057" i="1"/>
  <c r="AB1057" i="1"/>
  <c r="AF1057" i="1"/>
  <c r="AI1057" i="1"/>
  <c r="AE1058" i="1"/>
  <c r="AC1058" i="1"/>
  <c r="AJ1057" i="1"/>
  <c r="AK1057" i="1"/>
  <c r="AM1057" i="1"/>
  <c r="BF1057" i="1"/>
  <c r="BG1057" i="1"/>
  <c r="T1058" i="1"/>
  <c r="U1058" i="1"/>
  <c r="V1058" i="1"/>
  <c r="W1058" i="1"/>
  <c r="X1058" i="1"/>
  <c r="Y1058" i="1"/>
  <c r="Z1058" i="1"/>
  <c r="AB1058" i="1"/>
  <c r="AF1058" i="1"/>
  <c r="AI1058" i="1"/>
  <c r="H1059" i="1"/>
  <c r="AE1059" i="1"/>
  <c r="I1059" i="1"/>
  <c r="J1059" i="1"/>
  <c r="K1059" i="1"/>
  <c r="AC1059" i="1"/>
  <c r="AJ1058" i="1"/>
  <c r="AK1058" i="1"/>
  <c r="AM1058" i="1"/>
  <c r="BG1058" i="1"/>
  <c r="T1059" i="1"/>
  <c r="U1059" i="1"/>
  <c r="V1059" i="1"/>
  <c r="W1059" i="1"/>
  <c r="X1059" i="1"/>
  <c r="Y1059" i="1"/>
  <c r="Z1059" i="1"/>
  <c r="AB1059" i="1"/>
  <c r="AF1059" i="1"/>
  <c r="AI1059" i="1"/>
  <c r="H1060" i="1"/>
  <c r="AE1060" i="1"/>
  <c r="I1060" i="1"/>
  <c r="J1060" i="1"/>
  <c r="K1060" i="1"/>
  <c r="AC1060" i="1"/>
  <c r="AJ1059" i="1"/>
  <c r="AK1059" i="1"/>
  <c r="AM1059" i="1"/>
  <c r="BF1059" i="1"/>
  <c r="BG1059" i="1"/>
  <c r="T1060" i="1"/>
  <c r="U1060" i="1"/>
  <c r="V1060" i="1"/>
  <c r="W1060" i="1"/>
  <c r="X1060" i="1"/>
  <c r="Y1060" i="1"/>
  <c r="Z1060" i="1"/>
  <c r="AB1060" i="1"/>
  <c r="AF1060" i="1"/>
  <c r="AI1060" i="1"/>
  <c r="AE1061" i="1"/>
  <c r="AC1061" i="1"/>
  <c r="AJ1060" i="1"/>
  <c r="AK1060" i="1"/>
  <c r="AM1060" i="1"/>
  <c r="BF1060" i="1"/>
  <c r="BG1060" i="1"/>
  <c r="T1061" i="1"/>
  <c r="U1061" i="1"/>
  <c r="V1061" i="1"/>
  <c r="W1061" i="1"/>
  <c r="X1061" i="1"/>
  <c r="Y1061" i="1"/>
  <c r="Z1061" i="1"/>
  <c r="AB1061" i="1"/>
  <c r="AF1061" i="1"/>
  <c r="AI1061" i="1"/>
  <c r="AE1062" i="1"/>
  <c r="AC1062" i="1"/>
  <c r="AJ1061" i="1"/>
  <c r="AK1061" i="1"/>
  <c r="AM1061" i="1"/>
  <c r="BF1061" i="1"/>
  <c r="BG1061" i="1"/>
  <c r="T1062" i="1"/>
  <c r="U1062" i="1"/>
  <c r="V1062" i="1"/>
  <c r="W1062" i="1"/>
  <c r="X1062" i="1"/>
  <c r="Y1062" i="1"/>
  <c r="Z1062" i="1"/>
  <c r="AB1062" i="1"/>
  <c r="AF1062" i="1"/>
  <c r="AI1062" i="1"/>
  <c r="H1063" i="1"/>
  <c r="AE1063" i="1"/>
  <c r="I1063" i="1"/>
  <c r="J1063" i="1"/>
  <c r="K1063" i="1"/>
  <c r="AC1063" i="1"/>
  <c r="AJ1062" i="1"/>
  <c r="AK1062" i="1"/>
  <c r="AM1062" i="1"/>
  <c r="BG1062" i="1"/>
  <c r="T1063" i="1"/>
  <c r="U1063" i="1"/>
  <c r="V1063" i="1"/>
  <c r="W1063" i="1"/>
  <c r="X1063" i="1"/>
  <c r="Y1063" i="1"/>
  <c r="Z1063" i="1"/>
  <c r="AB1063" i="1"/>
  <c r="AF1063" i="1"/>
  <c r="AI1063" i="1"/>
  <c r="H1064" i="1"/>
  <c r="AE1064" i="1"/>
  <c r="I1064" i="1"/>
  <c r="J1064" i="1"/>
  <c r="K1064" i="1"/>
  <c r="AC1064" i="1"/>
  <c r="AJ1063" i="1"/>
  <c r="AK1063" i="1"/>
  <c r="AM1063" i="1"/>
  <c r="BF1063" i="1"/>
  <c r="BG1063" i="1"/>
  <c r="T1064" i="1"/>
  <c r="U1064" i="1"/>
  <c r="V1064" i="1"/>
  <c r="W1064" i="1"/>
  <c r="X1064" i="1"/>
  <c r="Y1064" i="1"/>
  <c r="Z1064" i="1"/>
  <c r="AB1064" i="1"/>
  <c r="AF1064" i="1"/>
  <c r="AI1064" i="1"/>
  <c r="AE1065" i="1"/>
  <c r="AC1065" i="1"/>
  <c r="AJ1064" i="1"/>
  <c r="AK1064" i="1"/>
  <c r="AM1064" i="1"/>
  <c r="BF1064" i="1"/>
  <c r="BG1064" i="1"/>
  <c r="T1065" i="1"/>
  <c r="U1065" i="1"/>
  <c r="V1065" i="1"/>
  <c r="W1065" i="1"/>
  <c r="X1065" i="1"/>
  <c r="Y1065" i="1"/>
  <c r="Z1065" i="1"/>
  <c r="AB1065" i="1"/>
  <c r="AF1065" i="1"/>
  <c r="AI1065" i="1"/>
  <c r="AE1066" i="1"/>
  <c r="AC1066" i="1"/>
  <c r="AJ1065" i="1"/>
  <c r="AK1065" i="1"/>
  <c r="AM1065" i="1"/>
  <c r="BF1065" i="1"/>
  <c r="BG1065" i="1"/>
  <c r="T1066" i="1"/>
  <c r="U1066" i="1"/>
  <c r="V1066" i="1"/>
  <c r="W1066" i="1"/>
  <c r="X1066" i="1"/>
  <c r="Y1066" i="1"/>
  <c r="Z1066" i="1"/>
  <c r="AB1066" i="1"/>
  <c r="AF1066" i="1"/>
  <c r="AI1066" i="1"/>
  <c r="H1067" i="1"/>
  <c r="AE1067" i="1"/>
  <c r="I1067" i="1"/>
  <c r="J1067" i="1"/>
  <c r="K1067" i="1"/>
  <c r="AC1067" i="1"/>
  <c r="AJ1066" i="1"/>
  <c r="AK1066" i="1"/>
  <c r="AM1066" i="1"/>
  <c r="BG1066" i="1"/>
  <c r="T1067" i="1"/>
  <c r="U1067" i="1"/>
  <c r="V1067" i="1"/>
  <c r="W1067" i="1"/>
  <c r="X1067" i="1"/>
  <c r="Y1067" i="1"/>
  <c r="Z1067" i="1"/>
  <c r="AB1067" i="1"/>
  <c r="AF1067" i="1"/>
  <c r="AI1067" i="1"/>
  <c r="H1068" i="1"/>
  <c r="AE1068" i="1"/>
  <c r="I1068" i="1"/>
  <c r="J1068" i="1"/>
  <c r="K1068" i="1"/>
  <c r="AC1068" i="1"/>
  <c r="AJ1067" i="1"/>
  <c r="AK1067" i="1"/>
  <c r="AM1067" i="1"/>
  <c r="BF1067" i="1"/>
  <c r="BG1067" i="1"/>
  <c r="T1068" i="1"/>
  <c r="U1068" i="1"/>
  <c r="V1068" i="1"/>
  <c r="W1068" i="1"/>
  <c r="X1068" i="1"/>
  <c r="Y1068" i="1"/>
  <c r="Z1068" i="1"/>
  <c r="AB1068" i="1"/>
  <c r="AF1068" i="1"/>
  <c r="AI1068" i="1"/>
  <c r="AE1069" i="1"/>
  <c r="AC1069" i="1"/>
  <c r="AJ1068" i="1"/>
  <c r="AK1068" i="1"/>
  <c r="AM1068" i="1"/>
  <c r="BF1068" i="1"/>
  <c r="BG1068" i="1"/>
  <c r="T1069" i="1"/>
  <c r="U1069" i="1"/>
  <c r="V1069" i="1"/>
  <c r="W1069" i="1"/>
  <c r="X1069" i="1"/>
  <c r="Y1069" i="1"/>
  <c r="Z1069" i="1"/>
  <c r="AB1069" i="1"/>
  <c r="AF1069" i="1"/>
  <c r="AI1069" i="1"/>
  <c r="AE1070" i="1"/>
  <c r="AC1070" i="1"/>
  <c r="AJ1069" i="1"/>
  <c r="AK1069" i="1"/>
  <c r="AM1069" i="1"/>
  <c r="BF1069" i="1"/>
  <c r="BG1069" i="1"/>
  <c r="T1070" i="1"/>
  <c r="U1070" i="1"/>
  <c r="V1070" i="1"/>
  <c r="W1070" i="1"/>
  <c r="X1070" i="1"/>
  <c r="Y1070" i="1"/>
  <c r="Z1070" i="1"/>
  <c r="AB1070" i="1"/>
  <c r="AF1070" i="1"/>
  <c r="AI1070" i="1"/>
  <c r="H1071" i="1"/>
  <c r="AE1071" i="1"/>
  <c r="I1071" i="1"/>
  <c r="J1071" i="1"/>
  <c r="K1071" i="1"/>
  <c r="AC1071" i="1"/>
  <c r="AJ1070" i="1"/>
  <c r="AK1070" i="1"/>
  <c r="AM1070" i="1"/>
  <c r="BG1070" i="1"/>
  <c r="T1071" i="1"/>
  <c r="U1071" i="1"/>
  <c r="V1071" i="1"/>
  <c r="W1071" i="1"/>
  <c r="X1071" i="1"/>
  <c r="Y1071" i="1"/>
  <c r="Z1071" i="1"/>
  <c r="AB1071" i="1"/>
  <c r="AF1071" i="1"/>
  <c r="AI1071" i="1"/>
  <c r="H1072" i="1"/>
  <c r="AE1072" i="1"/>
  <c r="I1072" i="1"/>
  <c r="J1072" i="1"/>
  <c r="K1072" i="1"/>
  <c r="AC1072" i="1"/>
  <c r="AJ1071" i="1"/>
  <c r="AK1071" i="1"/>
  <c r="AM1071" i="1"/>
  <c r="BF1071" i="1"/>
  <c r="BG1071" i="1"/>
  <c r="T1072" i="1"/>
  <c r="U1072" i="1"/>
  <c r="V1072" i="1"/>
  <c r="W1072" i="1"/>
  <c r="X1072" i="1"/>
  <c r="Y1072" i="1"/>
  <c r="Z1072" i="1"/>
  <c r="AB1072" i="1"/>
  <c r="AF1072" i="1"/>
  <c r="AI1072" i="1"/>
  <c r="H1073" i="1"/>
  <c r="AE1073" i="1"/>
  <c r="I1073" i="1"/>
  <c r="J1073" i="1"/>
  <c r="K1073" i="1"/>
  <c r="AC1073" i="1"/>
  <c r="AJ1072" i="1"/>
  <c r="AK1072" i="1"/>
  <c r="AM1072" i="1"/>
  <c r="BF1072" i="1"/>
  <c r="BG1072" i="1"/>
  <c r="T1073" i="1"/>
  <c r="U1073" i="1"/>
  <c r="V1073" i="1"/>
  <c r="W1073" i="1"/>
  <c r="X1073" i="1"/>
  <c r="Y1073" i="1"/>
  <c r="Z1073" i="1"/>
  <c r="AB1073" i="1"/>
  <c r="AF1073" i="1"/>
  <c r="AI1073" i="1"/>
  <c r="H1074" i="1"/>
  <c r="AE1074" i="1"/>
  <c r="I1074" i="1"/>
  <c r="J1074" i="1"/>
  <c r="K1074" i="1"/>
  <c r="AC1074" i="1"/>
  <c r="AJ1073" i="1"/>
  <c r="AK1073" i="1"/>
  <c r="AM1073" i="1"/>
  <c r="BF1073" i="1"/>
  <c r="BG1073" i="1"/>
  <c r="T1074" i="1"/>
  <c r="U1074" i="1"/>
  <c r="V1074" i="1"/>
  <c r="W1074" i="1"/>
  <c r="X1074" i="1"/>
  <c r="Y1074" i="1"/>
  <c r="Z1074" i="1"/>
  <c r="AB1074" i="1"/>
  <c r="AF1074" i="1"/>
  <c r="AI1074" i="1"/>
  <c r="AE1075" i="1"/>
  <c r="AC1075" i="1"/>
  <c r="AJ1074" i="1"/>
  <c r="AK1074" i="1"/>
  <c r="AM1074" i="1"/>
  <c r="BF1074" i="1"/>
  <c r="BG1074" i="1"/>
  <c r="T1075" i="1"/>
  <c r="U1075" i="1"/>
  <c r="V1075" i="1"/>
  <c r="W1075" i="1"/>
  <c r="X1075" i="1"/>
  <c r="Y1075" i="1"/>
  <c r="Z1075" i="1"/>
  <c r="AB1075" i="1"/>
  <c r="AF1075" i="1"/>
  <c r="AI1075" i="1"/>
  <c r="AE1076" i="1"/>
  <c r="AC1076" i="1"/>
  <c r="AJ1075" i="1"/>
  <c r="AK1075" i="1"/>
  <c r="AM1075" i="1"/>
  <c r="BF1075" i="1"/>
  <c r="BG1075" i="1"/>
  <c r="T1076" i="1"/>
  <c r="U1076" i="1"/>
  <c r="V1076" i="1"/>
  <c r="W1076" i="1"/>
  <c r="X1076" i="1"/>
  <c r="Y1076" i="1"/>
  <c r="Z1076" i="1"/>
  <c r="AB1076" i="1"/>
  <c r="AF1076" i="1"/>
  <c r="AI1076" i="1"/>
  <c r="H1077" i="1"/>
  <c r="AE1077" i="1"/>
  <c r="I1077" i="1"/>
  <c r="J1077" i="1"/>
  <c r="K1077" i="1"/>
  <c r="AC1077" i="1"/>
  <c r="AJ1076" i="1"/>
  <c r="AK1076" i="1"/>
  <c r="AM1076" i="1"/>
  <c r="BG1076" i="1"/>
  <c r="T1077" i="1"/>
  <c r="U1077" i="1"/>
  <c r="V1077" i="1"/>
  <c r="W1077" i="1"/>
  <c r="X1077" i="1"/>
  <c r="Y1077" i="1"/>
  <c r="Z1077" i="1"/>
  <c r="AB1077" i="1"/>
  <c r="AF1077" i="1"/>
  <c r="AI1077" i="1"/>
  <c r="H1078" i="1"/>
  <c r="AE1078" i="1"/>
  <c r="I1078" i="1"/>
  <c r="J1078" i="1"/>
  <c r="K1078" i="1"/>
  <c r="AC1078" i="1"/>
  <c r="AJ1077" i="1"/>
  <c r="AK1077" i="1"/>
  <c r="AM1077" i="1"/>
  <c r="BF1077" i="1"/>
  <c r="BG1077" i="1"/>
  <c r="T1078" i="1"/>
  <c r="U1078" i="1"/>
  <c r="V1078" i="1"/>
  <c r="W1078" i="1"/>
  <c r="X1078" i="1"/>
  <c r="Y1078" i="1"/>
  <c r="Z1078" i="1"/>
  <c r="AB1078" i="1"/>
  <c r="AF1078" i="1"/>
  <c r="AI1078" i="1"/>
  <c r="H1079" i="1"/>
  <c r="AE1079" i="1"/>
  <c r="I1079" i="1"/>
  <c r="J1079" i="1"/>
  <c r="K1079" i="1"/>
  <c r="AC1079" i="1"/>
  <c r="AJ1078" i="1"/>
  <c r="AK1078" i="1"/>
  <c r="AM1078" i="1"/>
  <c r="BF1078" i="1"/>
  <c r="BG1078" i="1"/>
  <c r="T1079" i="1"/>
  <c r="U1079" i="1"/>
  <c r="V1079" i="1"/>
  <c r="W1079" i="1"/>
  <c r="X1079" i="1"/>
  <c r="Y1079" i="1"/>
  <c r="Z1079" i="1"/>
  <c r="AB1079" i="1"/>
  <c r="AF1079" i="1"/>
  <c r="AI1079" i="1"/>
  <c r="AE1080" i="1"/>
  <c r="AC1080" i="1"/>
  <c r="AJ1079" i="1"/>
  <c r="AK1079" i="1"/>
  <c r="AM1079" i="1"/>
  <c r="BF1079" i="1"/>
  <c r="BG1079" i="1"/>
  <c r="T1080" i="1"/>
  <c r="U1080" i="1"/>
  <c r="V1080" i="1"/>
  <c r="W1080" i="1"/>
  <c r="X1080" i="1"/>
  <c r="Y1080" i="1"/>
  <c r="Z1080" i="1"/>
  <c r="AB1080" i="1"/>
  <c r="AF1080" i="1"/>
  <c r="AI1080" i="1"/>
  <c r="AE1081" i="1"/>
  <c r="AC1081" i="1"/>
  <c r="AJ1080" i="1"/>
  <c r="AK1080" i="1"/>
  <c r="AM1080" i="1"/>
  <c r="BF1080" i="1"/>
  <c r="BG1080" i="1"/>
  <c r="T1081" i="1"/>
  <c r="U1081" i="1"/>
  <c r="V1081" i="1"/>
  <c r="W1081" i="1"/>
  <c r="X1081" i="1"/>
  <c r="Y1081" i="1"/>
  <c r="Z1081" i="1"/>
  <c r="AB1081" i="1"/>
  <c r="AF1081" i="1"/>
  <c r="AI1081" i="1"/>
  <c r="AE1082" i="1"/>
  <c r="AC1082" i="1"/>
  <c r="AJ1081" i="1"/>
  <c r="AK1081" i="1"/>
  <c r="AM1081" i="1"/>
  <c r="BF1081" i="1"/>
  <c r="BG1081" i="1"/>
  <c r="T1082" i="1"/>
  <c r="U1082" i="1"/>
  <c r="V1082" i="1"/>
  <c r="W1082" i="1"/>
  <c r="X1082" i="1"/>
  <c r="Y1082" i="1"/>
  <c r="Z1082" i="1"/>
  <c r="AB1082" i="1"/>
  <c r="AF1082" i="1"/>
  <c r="AI1082" i="1"/>
  <c r="H1083" i="1"/>
  <c r="AE1083" i="1"/>
  <c r="I1083" i="1"/>
  <c r="J1083" i="1"/>
  <c r="K1083" i="1"/>
  <c r="AC1083" i="1"/>
  <c r="AJ1082" i="1"/>
  <c r="AK1082" i="1"/>
  <c r="AM1082" i="1"/>
  <c r="BG1082" i="1"/>
  <c r="T1083" i="1"/>
  <c r="U1083" i="1"/>
  <c r="V1083" i="1"/>
  <c r="W1083" i="1"/>
  <c r="X1083" i="1"/>
  <c r="Y1083" i="1"/>
  <c r="Z1083" i="1"/>
  <c r="AB1083" i="1"/>
  <c r="AF1083" i="1"/>
  <c r="AI1083" i="1"/>
  <c r="AE1084" i="1"/>
  <c r="AC1084" i="1"/>
  <c r="AJ1083" i="1"/>
  <c r="AK1083" i="1"/>
  <c r="AM1083" i="1"/>
  <c r="BF1083" i="1"/>
  <c r="BG1083" i="1"/>
  <c r="T1084" i="1"/>
  <c r="U1084" i="1"/>
  <c r="V1084" i="1"/>
  <c r="W1084" i="1"/>
  <c r="X1084" i="1"/>
  <c r="Y1084" i="1"/>
  <c r="Z1084" i="1"/>
  <c r="AB1084" i="1"/>
  <c r="AF1084" i="1"/>
  <c r="AI1084" i="1"/>
  <c r="AE1085" i="1"/>
  <c r="AC1085" i="1"/>
  <c r="AJ1084" i="1"/>
  <c r="AK1084" i="1"/>
  <c r="AM1084" i="1"/>
  <c r="BF1084" i="1"/>
  <c r="BG1084" i="1"/>
  <c r="T1085" i="1"/>
  <c r="U1085" i="1"/>
  <c r="V1085" i="1"/>
  <c r="W1085" i="1"/>
  <c r="X1085" i="1"/>
  <c r="Y1085" i="1"/>
  <c r="Z1085" i="1"/>
  <c r="AB1085" i="1"/>
  <c r="AF1085" i="1"/>
  <c r="AI1085" i="1"/>
  <c r="AE1086" i="1"/>
  <c r="AC1086" i="1"/>
  <c r="AJ1085" i="1"/>
  <c r="AK1085" i="1"/>
  <c r="AM1085" i="1"/>
  <c r="BF1085" i="1"/>
  <c r="BG1085" i="1"/>
  <c r="T1086" i="1"/>
  <c r="U1086" i="1"/>
  <c r="V1086" i="1"/>
  <c r="W1086" i="1"/>
  <c r="X1086" i="1"/>
  <c r="Y1086" i="1"/>
  <c r="Z1086" i="1"/>
  <c r="AB1086" i="1"/>
  <c r="AF1086" i="1"/>
  <c r="AI1086" i="1"/>
  <c r="H1087" i="1"/>
  <c r="AE1087" i="1"/>
  <c r="I1087" i="1"/>
  <c r="J1087" i="1"/>
  <c r="K1087" i="1"/>
  <c r="AC1087" i="1"/>
  <c r="AJ1086" i="1"/>
  <c r="AK1086" i="1"/>
  <c r="AM1086" i="1"/>
  <c r="BG1086" i="1"/>
  <c r="T1087" i="1"/>
  <c r="U1087" i="1"/>
  <c r="V1087" i="1"/>
  <c r="W1087" i="1"/>
  <c r="X1087" i="1"/>
  <c r="Y1087" i="1"/>
  <c r="Z1087" i="1"/>
  <c r="AB1087" i="1"/>
  <c r="AF1087" i="1"/>
  <c r="AI1087" i="1"/>
  <c r="AE1088" i="1"/>
  <c r="AC1088" i="1"/>
  <c r="AJ1087" i="1"/>
  <c r="AK1087" i="1"/>
  <c r="AM1087" i="1"/>
  <c r="BF1087" i="1"/>
  <c r="BG1087" i="1"/>
  <c r="T1088" i="1"/>
  <c r="U1088" i="1"/>
  <c r="V1088" i="1"/>
  <c r="W1088" i="1"/>
  <c r="X1088" i="1"/>
  <c r="Y1088" i="1"/>
  <c r="Z1088" i="1"/>
  <c r="AB1088" i="1"/>
  <c r="AF1088" i="1"/>
  <c r="AI1088" i="1"/>
  <c r="AE1089" i="1"/>
  <c r="AC1089" i="1"/>
  <c r="AJ1088" i="1"/>
  <c r="AK1088" i="1"/>
  <c r="AM1088" i="1"/>
  <c r="BF1088" i="1"/>
  <c r="BG1088" i="1"/>
  <c r="T1089" i="1"/>
  <c r="U1089" i="1"/>
  <c r="V1089" i="1"/>
  <c r="W1089" i="1"/>
  <c r="X1089" i="1"/>
  <c r="Y1089" i="1"/>
  <c r="Z1089" i="1"/>
  <c r="AB1089" i="1"/>
  <c r="AF1089" i="1"/>
  <c r="AI1089" i="1"/>
  <c r="H1090" i="1"/>
  <c r="AE1090" i="1"/>
  <c r="I1090" i="1"/>
  <c r="J1090" i="1"/>
  <c r="K1090" i="1"/>
  <c r="AC1090" i="1"/>
  <c r="AJ1089" i="1"/>
  <c r="AK1089" i="1"/>
  <c r="AM1089" i="1"/>
  <c r="BG1089" i="1"/>
  <c r="T1090" i="1"/>
  <c r="U1090" i="1"/>
  <c r="V1090" i="1"/>
  <c r="W1090" i="1"/>
  <c r="X1090" i="1"/>
  <c r="Y1090" i="1"/>
  <c r="Z1090" i="1"/>
  <c r="AB1090" i="1"/>
  <c r="AF1090" i="1"/>
  <c r="AI1090" i="1"/>
  <c r="AE1091" i="1"/>
  <c r="AC1091" i="1"/>
  <c r="AJ1090" i="1"/>
  <c r="AK1090" i="1"/>
  <c r="AM1090" i="1"/>
  <c r="BF1090" i="1"/>
  <c r="BG1090" i="1"/>
  <c r="T1091" i="1"/>
  <c r="U1091" i="1"/>
  <c r="V1091" i="1"/>
  <c r="W1091" i="1"/>
  <c r="X1091" i="1"/>
  <c r="Y1091" i="1"/>
  <c r="Z1091" i="1"/>
  <c r="AB1091" i="1"/>
  <c r="AF1091" i="1"/>
  <c r="AI1091" i="1"/>
  <c r="AE1092" i="1"/>
  <c r="AC1092" i="1"/>
  <c r="AJ1091" i="1"/>
  <c r="AK1091" i="1"/>
  <c r="AM1091" i="1"/>
  <c r="BF1091" i="1"/>
  <c r="BG1091" i="1"/>
  <c r="T1092" i="1"/>
  <c r="U1092" i="1"/>
  <c r="V1092" i="1"/>
  <c r="W1092" i="1"/>
  <c r="X1092" i="1"/>
  <c r="Y1092" i="1"/>
  <c r="Z1092" i="1"/>
  <c r="AB1092" i="1"/>
  <c r="AF1092" i="1"/>
  <c r="AI1092" i="1"/>
  <c r="H1093" i="1"/>
  <c r="AE1093" i="1"/>
  <c r="I1093" i="1"/>
  <c r="J1093" i="1"/>
  <c r="K1093" i="1"/>
  <c r="AC1093" i="1"/>
  <c r="AJ1092" i="1"/>
  <c r="AK1092" i="1"/>
  <c r="AM1092" i="1"/>
  <c r="BG1092" i="1"/>
  <c r="T1093" i="1"/>
  <c r="U1093" i="1"/>
  <c r="V1093" i="1"/>
  <c r="W1093" i="1"/>
  <c r="X1093" i="1"/>
  <c r="Y1093" i="1"/>
  <c r="Z1093" i="1"/>
  <c r="AB1093" i="1"/>
  <c r="AF1093" i="1"/>
  <c r="AI1093" i="1"/>
  <c r="H1094" i="1"/>
  <c r="AE1094" i="1"/>
  <c r="I1094" i="1"/>
  <c r="J1094" i="1"/>
  <c r="K1094" i="1"/>
  <c r="AC1094" i="1"/>
  <c r="AJ1093" i="1"/>
  <c r="AK1093" i="1"/>
  <c r="AM1093" i="1"/>
  <c r="BF1093" i="1"/>
  <c r="BG1093" i="1"/>
  <c r="T1094" i="1"/>
  <c r="U1094" i="1"/>
  <c r="V1094" i="1"/>
  <c r="W1094" i="1"/>
  <c r="X1094" i="1"/>
  <c r="Y1094" i="1"/>
  <c r="Z1094" i="1"/>
  <c r="AB1094" i="1"/>
  <c r="AF1094" i="1"/>
  <c r="AI1094" i="1"/>
  <c r="AE1095" i="1"/>
  <c r="AC1095" i="1"/>
  <c r="AJ1094" i="1"/>
  <c r="AK1094" i="1"/>
  <c r="AM1094" i="1"/>
  <c r="BF1094" i="1"/>
  <c r="BG1094" i="1"/>
  <c r="T1095" i="1"/>
  <c r="U1095" i="1"/>
  <c r="V1095" i="1"/>
  <c r="W1095" i="1"/>
  <c r="X1095" i="1"/>
  <c r="Y1095" i="1"/>
  <c r="Z1095" i="1"/>
  <c r="AB1095" i="1"/>
  <c r="AF1095" i="1"/>
  <c r="AI1095" i="1"/>
  <c r="AE1096" i="1"/>
  <c r="AC1096" i="1"/>
  <c r="AJ1095" i="1"/>
  <c r="AK1095" i="1"/>
  <c r="AM1095" i="1"/>
  <c r="BF1095" i="1"/>
  <c r="BG1095" i="1"/>
  <c r="T1096" i="1"/>
  <c r="U1096" i="1"/>
  <c r="V1096" i="1"/>
  <c r="W1096" i="1"/>
  <c r="X1096" i="1"/>
  <c r="Y1096" i="1"/>
  <c r="Z1096" i="1"/>
  <c r="AB1096" i="1"/>
  <c r="AF1096" i="1"/>
  <c r="AI1096" i="1"/>
  <c r="H1097" i="1"/>
  <c r="AE1097" i="1"/>
  <c r="I1097" i="1"/>
  <c r="J1097" i="1"/>
  <c r="K1097" i="1"/>
  <c r="AC1097" i="1"/>
  <c r="AJ1096" i="1"/>
  <c r="AK1096" i="1"/>
  <c r="AM1096" i="1"/>
  <c r="BG1096" i="1"/>
  <c r="T1097" i="1"/>
  <c r="U1097" i="1"/>
  <c r="V1097" i="1"/>
  <c r="W1097" i="1"/>
  <c r="X1097" i="1"/>
  <c r="Y1097" i="1"/>
  <c r="Z1097" i="1"/>
  <c r="AB1097" i="1"/>
  <c r="AF1097" i="1"/>
  <c r="AI1097" i="1"/>
  <c r="H1098" i="1"/>
  <c r="AE1098" i="1"/>
  <c r="I1098" i="1"/>
  <c r="J1098" i="1"/>
  <c r="K1098" i="1"/>
  <c r="AC1098" i="1"/>
  <c r="AJ1097" i="1"/>
  <c r="AK1097" i="1"/>
  <c r="AM1097" i="1"/>
  <c r="BF1097" i="1"/>
  <c r="BG1097" i="1"/>
  <c r="T1098" i="1"/>
  <c r="U1098" i="1"/>
  <c r="V1098" i="1"/>
  <c r="W1098" i="1"/>
  <c r="X1098" i="1"/>
  <c r="Y1098" i="1"/>
  <c r="Z1098" i="1"/>
  <c r="AB1098" i="1"/>
  <c r="AF1098" i="1"/>
  <c r="AI1098" i="1"/>
  <c r="H1099" i="1"/>
  <c r="AE1099" i="1"/>
  <c r="I1099" i="1"/>
  <c r="J1099" i="1"/>
  <c r="K1099" i="1"/>
  <c r="AC1099" i="1"/>
  <c r="AJ1098" i="1"/>
  <c r="AK1098" i="1"/>
  <c r="AM1098" i="1"/>
  <c r="BF1098" i="1"/>
  <c r="BG1098" i="1"/>
  <c r="T1099" i="1"/>
  <c r="U1099" i="1"/>
  <c r="V1099" i="1"/>
  <c r="W1099" i="1"/>
  <c r="X1099" i="1"/>
  <c r="Y1099" i="1"/>
  <c r="Z1099" i="1"/>
  <c r="AB1099" i="1"/>
  <c r="AF1099" i="1"/>
  <c r="AI1099" i="1"/>
  <c r="H1100" i="1"/>
  <c r="AE1100" i="1"/>
  <c r="I1100" i="1"/>
  <c r="J1100" i="1"/>
  <c r="K1100" i="1"/>
  <c r="AC1100" i="1"/>
  <c r="AJ1099" i="1"/>
  <c r="AK1099" i="1"/>
  <c r="AM1099" i="1"/>
  <c r="BF1099" i="1"/>
  <c r="BG1099" i="1"/>
  <c r="T1100" i="1"/>
  <c r="U1100" i="1"/>
  <c r="V1100" i="1"/>
  <c r="W1100" i="1"/>
  <c r="X1100" i="1"/>
  <c r="Y1100" i="1"/>
  <c r="Z1100" i="1"/>
  <c r="AB1100" i="1"/>
  <c r="AF1100" i="1"/>
  <c r="AI1100" i="1"/>
  <c r="H1101" i="1"/>
  <c r="AE1101" i="1"/>
  <c r="I1101" i="1"/>
  <c r="J1101" i="1"/>
  <c r="K1101" i="1"/>
  <c r="AC1101" i="1"/>
  <c r="AJ1100" i="1"/>
  <c r="AK1100" i="1"/>
  <c r="AM1100" i="1"/>
  <c r="BF1100" i="1"/>
  <c r="BG1100" i="1"/>
  <c r="T1101" i="1"/>
  <c r="U1101" i="1"/>
  <c r="V1101" i="1"/>
  <c r="W1101" i="1"/>
  <c r="X1101" i="1"/>
  <c r="Y1101" i="1"/>
  <c r="Z1101" i="1"/>
  <c r="AB1101" i="1"/>
  <c r="AF1101" i="1"/>
  <c r="AI1101" i="1"/>
  <c r="H1102" i="1"/>
  <c r="AE1102" i="1"/>
  <c r="I1102" i="1"/>
  <c r="J1102" i="1"/>
  <c r="K1102" i="1"/>
  <c r="AC1102" i="1"/>
  <c r="AJ1101" i="1"/>
  <c r="AK1101" i="1"/>
  <c r="AM1101" i="1"/>
  <c r="BF1101" i="1"/>
  <c r="BG1101" i="1"/>
  <c r="T1102" i="1"/>
  <c r="U1102" i="1"/>
  <c r="V1102" i="1"/>
  <c r="W1102" i="1"/>
  <c r="X1102" i="1"/>
  <c r="Y1102" i="1"/>
  <c r="Z1102" i="1"/>
  <c r="AB1102" i="1"/>
  <c r="AF1102" i="1"/>
  <c r="AI1102" i="1"/>
  <c r="H1103" i="1"/>
  <c r="AE1103" i="1"/>
  <c r="I1103" i="1"/>
  <c r="J1103" i="1"/>
  <c r="K1103" i="1"/>
  <c r="AC1103" i="1"/>
  <c r="AJ1102" i="1"/>
  <c r="AK1102" i="1"/>
  <c r="AM1102" i="1"/>
  <c r="BF1102" i="1"/>
  <c r="BG1102" i="1"/>
  <c r="T1103" i="1"/>
  <c r="U1103" i="1"/>
  <c r="V1103" i="1"/>
  <c r="W1103" i="1"/>
  <c r="X1103" i="1"/>
  <c r="Y1103" i="1"/>
  <c r="Z1103" i="1"/>
  <c r="AB1103" i="1"/>
  <c r="AF1103" i="1"/>
  <c r="AI1103" i="1"/>
  <c r="AE1104" i="1"/>
  <c r="AC1104" i="1"/>
  <c r="AJ1103" i="1"/>
  <c r="AK1103" i="1"/>
  <c r="AM1103" i="1"/>
  <c r="BF1103" i="1"/>
  <c r="BG1103" i="1"/>
  <c r="T1104" i="1"/>
  <c r="U1104" i="1"/>
  <c r="V1104" i="1"/>
  <c r="W1104" i="1"/>
  <c r="X1104" i="1"/>
  <c r="Y1104" i="1"/>
  <c r="Z1104" i="1"/>
  <c r="AB1104" i="1"/>
  <c r="AF1104" i="1"/>
  <c r="AI1104" i="1"/>
  <c r="AE1105" i="1"/>
  <c r="AC1105" i="1"/>
  <c r="AJ1104" i="1"/>
  <c r="AK1104" i="1"/>
  <c r="AM1104" i="1"/>
  <c r="BF1104" i="1"/>
  <c r="BG1104" i="1"/>
  <c r="T1105" i="1"/>
  <c r="U1105" i="1"/>
  <c r="V1105" i="1"/>
  <c r="W1105" i="1"/>
  <c r="X1105" i="1"/>
  <c r="Y1105" i="1"/>
  <c r="Z1105" i="1"/>
  <c r="AB1105" i="1"/>
  <c r="AF1105" i="1"/>
  <c r="AI1105" i="1"/>
  <c r="H1106" i="1"/>
  <c r="AE1106" i="1"/>
  <c r="I1106" i="1"/>
  <c r="J1106" i="1"/>
  <c r="K1106" i="1"/>
  <c r="AC1106" i="1"/>
  <c r="AJ1105" i="1"/>
  <c r="AK1105" i="1"/>
  <c r="AM1105" i="1"/>
  <c r="BG1105" i="1"/>
  <c r="T1106" i="1"/>
  <c r="U1106" i="1"/>
  <c r="V1106" i="1"/>
  <c r="W1106" i="1"/>
  <c r="X1106" i="1"/>
  <c r="Y1106" i="1"/>
  <c r="Z1106" i="1"/>
  <c r="AB1106" i="1"/>
  <c r="AF1106" i="1"/>
  <c r="AI1106" i="1"/>
  <c r="H1107" i="1"/>
  <c r="AE1107" i="1"/>
  <c r="I1107" i="1"/>
  <c r="J1107" i="1"/>
  <c r="K1107" i="1"/>
  <c r="AC1107" i="1"/>
  <c r="AJ1106" i="1"/>
  <c r="AK1106" i="1"/>
  <c r="AM1106" i="1"/>
  <c r="BF1106" i="1"/>
  <c r="BG1106" i="1"/>
  <c r="T1107" i="1"/>
  <c r="U1107" i="1"/>
  <c r="V1107" i="1"/>
  <c r="W1107" i="1"/>
  <c r="X1107" i="1"/>
  <c r="Y1107" i="1"/>
  <c r="Z1107" i="1"/>
  <c r="AB1107" i="1"/>
  <c r="AF1107" i="1"/>
  <c r="AI1107" i="1"/>
  <c r="AE1108" i="1"/>
  <c r="AC1108" i="1"/>
  <c r="AJ1107" i="1"/>
  <c r="AK1107" i="1"/>
  <c r="AM1107" i="1"/>
  <c r="BF1107" i="1"/>
  <c r="BG1107" i="1"/>
  <c r="T1108" i="1"/>
  <c r="U1108" i="1"/>
  <c r="V1108" i="1"/>
  <c r="W1108" i="1"/>
  <c r="X1108" i="1"/>
  <c r="Y1108" i="1"/>
  <c r="Z1108" i="1"/>
  <c r="AB1108" i="1"/>
  <c r="AF1108" i="1"/>
  <c r="AI1108" i="1"/>
  <c r="AE1109" i="1"/>
  <c r="AC1109" i="1"/>
  <c r="AJ1108" i="1"/>
  <c r="AK1108" i="1"/>
  <c r="AM1108" i="1"/>
  <c r="BF1108" i="1"/>
  <c r="BG1108" i="1"/>
  <c r="T1109" i="1"/>
  <c r="U1109" i="1"/>
  <c r="V1109" i="1"/>
  <c r="W1109" i="1"/>
  <c r="X1109" i="1"/>
  <c r="Y1109" i="1"/>
  <c r="Z1109" i="1"/>
  <c r="AB1109" i="1"/>
  <c r="AF1109" i="1"/>
  <c r="AI1109" i="1"/>
  <c r="H1110" i="1"/>
  <c r="AE1110" i="1"/>
  <c r="I1110" i="1"/>
  <c r="J1110" i="1"/>
  <c r="K1110" i="1"/>
  <c r="AC1110" i="1"/>
  <c r="AJ1109" i="1"/>
  <c r="AK1109" i="1"/>
  <c r="AM1109" i="1"/>
  <c r="BG1109" i="1"/>
  <c r="T1110" i="1"/>
  <c r="U1110" i="1"/>
  <c r="V1110" i="1"/>
  <c r="W1110" i="1"/>
  <c r="X1110" i="1"/>
  <c r="Y1110" i="1"/>
  <c r="Z1110" i="1"/>
  <c r="AB1110" i="1"/>
  <c r="AF1110" i="1"/>
  <c r="AI1110" i="1"/>
  <c r="H1111" i="1"/>
  <c r="AE1111" i="1"/>
  <c r="I1111" i="1"/>
  <c r="J1111" i="1"/>
  <c r="K1111" i="1"/>
  <c r="AC1111" i="1"/>
  <c r="AJ1110" i="1"/>
  <c r="AK1110" i="1"/>
  <c r="AM1110" i="1"/>
  <c r="BF1110" i="1"/>
  <c r="BG1110" i="1"/>
  <c r="T1111" i="1"/>
  <c r="U1111" i="1"/>
  <c r="V1111" i="1"/>
  <c r="W1111" i="1"/>
  <c r="X1111" i="1"/>
  <c r="Y1111" i="1"/>
  <c r="Z1111" i="1"/>
  <c r="AB1111" i="1"/>
  <c r="AF1111" i="1"/>
  <c r="AI1111" i="1"/>
  <c r="AE1112" i="1"/>
  <c r="AC1112" i="1"/>
  <c r="AJ1111" i="1"/>
  <c r="AK1111" i="1"/>
  <c r="AM1111" i="1"/>
  <c r="BF1111" i="1"/>
  <c r="BG1111" i="1"/>
  <c r="T1112" i="1"/>
  <c r="U1112" i="1"/>
  <c r="V1112" i="1"/>
  <c r="W1112" i="1"/>
  <c r="X1112" i="1"/>
  <c r="Y1112" i="1"/>
  <c r="Z1112" i="1"/>
  <c r="AB1112" i="1"/>
  <c r="AF1112" i="1"/>
  <c r="AI1112" i="1"/>
  <c r="AE1113" i="1"/>
  <c r="AC1113" i="1"/>
  <c r="AJ1112" i="1"/>
  <c r="AK1112" i="1"/>
  <c r="AM1112" i="1"/>
  <c r="BF1112" i="1"/>
  <c r="BG1112" i="1"/>
  <c r="T1113" i="1"/>
  <c r="U1113" i="1"/>
  <c r="V1113" i="1"/>
  <c r="W1113" i="1"/>
  <c r="X1113" i="1"/>
  <c r="Y1113" i="1"/>
  <c r="Z1113" i="1"/>
  <c r="AB1113" i="1"/>
  <c r="AF1113" i="1"/>
  <c r="AI1113" i="1"/>
  <c r="H1114" i="1"/>
  <c r="AE1114" i="1"/>
  <c r="I1114" i="1"/>
  <c r="J1114" i="1"/>
  <c r="K1114" i="1"/>
  <c r="AC1114" i="1"/>
  <c r="AJ1113" i="1"/>
  <c r="AK1113" i="1"/>
  <c r="AM1113" i="1"/>
  <c r="BG1113" i="1"/>
  <c r="T1114" i="1"/>
  <c r="U1114" i="1"/>
  <c r="V1114" i="1"/>
  <c r="W1114" i="1"/>
  <c r="X1114" i="1"/>
  <c r="Y1114" i="1"/>
  <c r="Z1114" i="1"/>
  <c r="AB1114" i="1"/>
  <c r="AF1114" i="1"/>
  <c r="AI1114" i="1"/>
  <c r="H1115" i="1"/>
  <c r="AE1115" i="1"/>
  <c r="I1115" i="1"/>
  <c r="J1115" i="1"/>
  <c r="K1115" i="1"/>
  <c r="AC1115" i="1"/>
  <c r="AJ1114" i="1"/>
  <c r="AK1114" i="1"/>
  <c r="AM1114" i="1"/>
  <c r="BF1114" i="1"/>
  <c r="BG1114" i="1"/>
  <c r="T1115" i="1"/>
  <c r="U1115" i="1"/>
  <c r="V1115" i="1"/>
  <c r="W1115" i="1"/>
  <c r="X1115" i="1"/>
  <c r="Y1115" i="1"/>
  <c r="Z1115" i="1"/>
  <c r="AB1115" i="1"/>
  <c r="AF1115" i="1"/>
  <c r="AI1115" i="1"/>
  <c r="H1116" i="1"/>
  <c r="AE1116" i="1"/>
  <c r="I1116" i="1"/>
  <c r="J1116" i="1"/>
  <c r="K1116" i="1"/>
  <c r="AC1116" i="1"/>
  <c r="AJ1115" i="1"/>
  <c r="AK1115" i="1"/>
  <c r="AM1115" i="1"/>
  <c r="BF1115" i="1"/>
  <c r="BG1115" i="1"/>
  <c r="T1116" i="1"/>
  <c r="U1116" i="1"/>
  <c r="V1116" i="1"/>
  <c r="W1116" i="1"/>
  <c r="X1116" i="1"/>
  <c r="Y1116" i="1"/>
  <c r="Z1116" i="1"/>
  <c r="AB1116" i="1"/>
  <c r="AF1116" i="1"/>
  <c r="AI1116" i="1"/>
  <c r="AE1117" i="1"/>
  <c r="AC1117" i="1"/>
  <c r="AJ1116" i="1"/>
  <c r="AK1116" i="1"/>
  <c r="AM1116" i="1"/>
  <c r="BF1116" i="1"/>
  <c r="BG1116" i="1"/>
  <c r="T1117" i="1"/>
  <c r="U1117" i="1"/>
  <c r="V1117" i="1"/>
  <c r="W1117" i="1"/>
  <c r="X1117" i="1"/>
  <c r="Y1117" i="1"/>
  <c r="Z1117" i="1"/>
  <c r="AB1117" i="1"/>
  <c r="AF1117" i="1"/>
  <c r="AI1117" i="1"/>
  <c r="AE1118" i="1"/>
  <c r="AC1118" i="1"/>
  <c r="AJ1117" i="1"/>
  <c r="AK1117" i="1"/>
  <c r="AM1117" i="1"/>
  <c r="BF1117" i="1"/>
  <c r="BG1117" i="1"/>
  <c r="T1118" i="1"/>
  <c r="U1118" i="1"/>
  <c r="V1118" i="1"/>
  <c r="W1118" i="1"/>
  <c r="X1118" i="1"/>
  <c r="Y1118" i="1"/>
  <c r="Z1118" i="1"/>
  <c r="AB1118" i="1"/>
  <c r="AF1118" i="1"/>
  <c r="AI1118" i="1"/>
  <c r="H1119" i="1"/>
  <c r="AE1119" i="1"/>
  <c r="I1119" i="1"/>
  <c r="J1119" i="1"/>
  <c r="K1119" i="1"/>
  <c r="AC1119" i="1"/>
  <c r="AJ1118" i="1"/>
  <c r="AK1118" i="1"/>
  <c r="AM1118" i="1"/>
  <c r="BG1118" i="1"/>
  <c r="T1119" i="1"/>
  <c r="U1119" i="1"/>
  <c r="V1119" i="1"/>
  <c r="W1119" i="1"/>
  <c r="X1119" i="1"/>
  <c r="Y1119" i="1"/>
  <c r="Z1119" i="1"/>
  <c r="AB1119" i="1"/>
  <c r="AF1119" i="1"/>
  <c r="AI1119" i="1"/>
  <c r="H1120" i="1"/>
  <c r="AE1120" i="1"/>
  <c r="I1120" i="1"/>
  <c r="J1120" i="1"/>
  <c r="K1120" i="1"/>
  <c r="AC1120" i="1"/>
  <c r="AJ1119" i="1"/>
  <c r="AK1119" i="1"/>
  <c r="AM1119" i="1"/>
  <c r="BF1119" i="1"/>
  <c r="BG1119" i="1"/>
  <c r="T1120" i="1"/>
  <c r="U1120" i="1"/>
  <c r="V1120" i="1"/>
  <c r="W1120" i="1"/>
  <c r="X1120" i="1"/>
  <c r="Y1120" i="1"/>
  <c r="Z1120" i="1"/>
  <c r="AB1120" i="1"/>
  <c r="AF1120" i="1"/>
  <c r="AI1120" i="1"/>
  <c r="AE1121" i="1"/>
  <c r="AC1121" i="1"/>
  <c r="AJ1120" i="1"/>
  <c r="AK1120" i="1"/>
  <c r="AM1120" i="1"/>
  <c r="BF1120" i="1"/>
  <c r="BG1120" i="1"/>
  <c r="T1121" i="1"/>
  <c r="U1121" i="1"/>
  <c r="V1121" i="1"/>
  <c r="W1121" i="1"/>
  <c r="X1121" i="1"/>
  <c r="Y1121" i="1"/>
  <c r="Z1121" i="1"/>
  <c r="AB1121" i="1"/>
  <c r="AF1121" i="1"/>
  <c r="AI1121" i="1"/>
  <c r="AE1122" i="1"/>
  <c r="AC1122" i="1"/>
  <c r="AJ1121" i="1"/>
  <c r="AK1121" i="1"/>
  <c r="AM1121" i="1"/>
  <c r="BF1121" i="1"/>
  <c r="BG1121" i="1"/>
  <c r="T1122" i="1"/>
  <c r="U1122" i="1"/>
  <c r="V1122" i="1"/>
  <c r="W1122" i="1"/>
  <c r="X1122" i="1"/>
  <c r="Y1122" i="1"/>
  <c r="Z1122" i="1"/>
  <c r="AB1122" i="1"/>
  <c r="AF1122" i="1"/>
  <c r="AI1122" i="1"/>
  <c r="H1123" i="1"/>
  <c r="AE1123" i="1"/>
  <c r="I1123" i="1"/>
  <c r="J1123" i="1"/>
  <c r="K1123" i="1"/>
  <c r="AC1123" i="1"/>
  <c r="AJ1122" i="1"/>
  <c r="AK1122" i="1"/>
  <c r="AM1122" i="1"/>
  <c r="BG1122" i="1"/>
  <c r="T1123" i="1"/>
  <c r="U1123" i="1"/>
  <c r="V1123" i="1"/>
  <c r="W1123" i="1"/>
  <c r="X1123" i="1"/>
  <c r="Y1123" i="1"/>
  <c r="Z1123" i="1"/>
  <c r="AB1123" i="1"/>
  <c r="AF1123" i="1"/>
  <c r="AI1123" i="1"/>
  <c r="AE1124" i="1"/>
  <c r="AC1124" i="1"/>
  <c r="AJ1123" i="1"/>
  <c r="AK1123" i="1"/>
  <c r="AM1123" i="1"/>
  <c r="BF1123" i="1"/>
  <c r="BG1123" i="1"/>
  <c r="T1124" i="1"/>
  <c r="U1124" i="1"/>
  <c r="V1124" i="1"/>
  <c r="W1124" i="1"/>
  <c r="X1124" i="1"/>
  <c r="Y1124" i="1"/>
  <c r="Z1124" i="1"/>
  <c r="AB1124" i="1"/>
  <c r="AF1124" i="1"/>
  <c r="AI1124" i="1"/>
  <c r="AE1125" i="1"/>
  <c r="AC1125" i="1"/>
  <c r="AJ1124" i="1"/>
  <c r="AK1124" i="1"/>
  <c r="AM1124" i="1"/>
  <c r="BF1124" i="1"/>
  <c r="BG1124" i="1"/>
  <c r="T1125" i="1"/>
  <c r="U1125" i="1"/>
  <c r="V1125" i="1"/>
  <c r="W1125" i="1"/>
  <c r="X1125" i="1"/>
  <c r="Y1125" i="1"/>
  <c r="Z1125" i="1"/>
  <c r="AB1125" i="1"/>
  <c r="AF1125" i="1"/>
  <c r="AI1125" i="1"/>
  <c r="H1126" i="1"/>
  <c r="AE1126" i="1"/>
  <c r="I1126" i="1"/>
  <c r="J1126" i="1"/>
  <c r="K1126" i="1"/>
  <c r="AC1126" i="1"/>
  <c r="AJ1125" i="1"/>
  <c r="AK1125" i="1"/>
  <c r="AM1125" i="1"/>
  <c r="BG1125" i="1"/>
  <c r="T1126" i="1"/>
  <c r="U1126" i="1"/>
  <c r="V1126" i="1"/>
  <c r="W1126" i="1"/>
  <c r="X1126" i="1"/>
  <c r="Y1126" i="1"/>
  <c r="Z1126" i="1"/>
  <c r="AB1126" i="1"/>
  <c r="AF1126" i="1"/>
  <c r="AI1126" i="1"/>
  <c r="H1127" i="1"/>
  <c r="AE1127" i="1"/>
  <c r="I1127" i="1"/>
  <c r="J1127" i="1"/>
  <c r="K1127" i="1"/>
  <c r="AC1127" i="1"/>
  <c r="AJ1126" i="1"/>
  <c r="AK1126" i="1"/>
  <c r="AM1126" i="1"/>
  <c r="BF1126" i="1"/>
  <c r="BG1126" i="1"/>
  <c r="T1127" i="1"/>
  <c r="U1127" i="1"/>
  <c r="V1127" i="1"/>
  <c r="W1127" i="1"/>
  <c r="X1127" i="1"/>
  <c r="Y1127" i="1"/>
  <c r="Z1127" i="1"/>
  <c r="AB1127" i="1"/>
  <c r="AF1127" i="1"/>
  <c r="AI1127" i="1"/>
  <c r="H1128" i="1"/>
  <c r="AE1128" i="1"/>
  <c r="I1128" i="1"/>
  <c r="J1128" i="1"/>
  <c r="K1128" i="1"/>
  <c r="AC1128" i="1"/>
  <c r="AJ1127" i="1"/>
  <c r="AK1127" i="1"/>
  <c r="AM1127" i="1"/>
  <c r="BF1127" i="1"/>
  <c r="BG1127" i="1"/>
  <c r="T1128" i="1"/>
  <c r="U1128" i="1"/>
  <c r="V1128" i="1"/>
  <c r="W1128" i="1"/>
  <c r="X1128" i="1"/>
  <c r="Y1128" i="1"/>
  <c r="Z1128" i="1"/>
  <c r="AB1128" i="1"/>
  <c r="AF1128" i="1"/>
  <c r="AI1128" i="1"/>
  <c r="AE1129" i="1"/>
  <c r="AC1129" i="1"/>
  <c r="AJ1128" i="1"/>
  <c r="AK1128" i="1"/>
  <c r="AM1128" i="1"/>
  <c r="BF1128" i="1"/>
  <c r="BG1128" i="1"/>
  <c r="T1129" i="1"/>
  <c r="U1129" i="1"/>
  <c r="V1129" i="1"/>
  <c r="W1129" i="1"/>
  <c r="X1129" i="1"/>
  <c r="Y1129" i="1"/>
  <c r="Z1129" i="1"/>
  <c r="AB1129" i="1"/>
  <c r="AF1129" i="1"/>
  <c r="AI1129" i="1"/>
  <c r="AE1130" i="1"/>
  <c r="AC1130" i="1"/>
  <c r="AJ1129" i="1"/>
  <c r="AK1129" i="1"/>
  <c r="AM1129" i="1"/>
  <c r="BF1129" i="1"/>
  <c r="BG1129" i="1"/>
  <c r="T1130" i="1"/>
  <c r="U1130" i="1"/>
  <c r="V1130" i="1"/>
  <c r="W1130" i="1"/>
  <c r="X1130" i="1"/>
  <c r="Y1130" i="1"/>
  <c r="Z1130" i="1"/>
  <c r="AB1130" i="1"/>
  <c r="AF1130" i="1"/>
  <c r="AI1130" i="1"/>
  <c r="H1131" i="1"/>
  <c r="AE1131" i="1"/>
  <c r="I1131" i="1"/>
  <c r="J1131" i="1"/>
  <c r="K1131" i="1"/>
  <c r="AC1131" i="1"/>
  <c r="AJ1130" i="1"/>
  <c r="AK1130" i="1"/>
  <c r="AM1130" i="1"/>
  <c r="BG1130" i="1"/>
  <c r="T1131" i="1"/>
  <c r="U1131" i="1"/>
  <c r="V1131" i="1"/>
  <c r="W1131" i="1"/>
  <c r="X1131" i="1"/>
  <c r="Y1131" i="1"/>
  <c r="Z1131" i="1"/>
  <c r="AB1131" i="1"/>
  <c r="AF1131" i="1"/>
  <c r="AI1131" i="1"/>
  <c r="H1132" i="1"/>
  <c r="AE1132" i="1"/>
  <c r="I1132" i="1"/>
  <c r="J1132" i="1"/>
  <c r="K1132" i="1"/>
  <c r="AC1132" i="1"/>
  <c r="AJ1131" i="1"/>
  <c r="AK1131" i="1"/>
  <c r="AM1131" i="1"/>
  <c r="BF1131" i="1"/>
  <c r="BG1131" i="1"/>
  <c r="T1132" i="1"/>
  <c r="U1132" i="1"/>
  <c r="V1132" i="1"/>
  <c r="W1132" i="1"/>
  <c r="X1132" i="1"/>
  <c r="Y1132" i="1"/>
  <c r="Z1132" i="1"/>
  <c r="AB1132" i="1"/>
  <c r="AF1132" i="1"/>
  <c r="AI1132" i="1"/>
  <c r="AE1133" i="1"/>
  <c r="AC1133" i="1"/>
  <c r="AJ1132" i="1"/>
  <c r="AK1132" i="1"/>
  <c r="AM1132" i="1"/>
  <c r="BF1132" i="1"/>
  <c r="BG1132" i="1"/>
  <c r="T1133" i="1"/>
  <c r="U1133" i="1"/>
  <c r="V1133" i="1"/>
  <c r="W1133" i="1"/>
  <c r="X1133" i="1"/>
  <c r="Y1133" i="1"/>
  <c r="Z1133" i="1"/>
  <c r="AB1133" i="1"/>
  <c r="AF1133" i="1"/>
  <c r="AI1133" i="1"/>
  <c r="AE1134" i="1"/>
  <c r="AC1134" i="1"/>
  <c r="AJ1133" i="1"/>
  <c r="AK1133" i="1"/>
  <c r="AM1133" i="1"/>
  <c r="BF1133" i="1"/>
  <c r="BG1133" i="1"/>
  <c r="T1134" i="1"/>
  <c r="U1134" i="1"/>
  <c r="V1134" i="1"/>
  <c r="W1134" i="1"/>
  <c r="X1134" i="1"/>
  <c r="Y1134" i="1"/>
  <c r="Z1134" i="1"/>
  <c r="AB1134" i="1"/>
  <c r="AF1134" i="1"/>
  <c r="AI1134" i="1"/>
  <c r="H1135" i="1"/>
  <c r="AE1135" i="1"/>
  <c r="I1135" i="1"/>
  <c r="J1135" i="1"/>
  <c r="K1135" i="1"/>
  <c r="AC1135" i="1"/>
  <c r="AJ1134" i="1"/>
  <c r="AK1134" i="1"/>
  <c r="AM1134" i="1"/>
  <c r="BG1134" i="1"/>
  <c r="T1135" i="1"/>
  <c r="U1135" i="1"/>
  <c r="V1135" i="1"/>
  <c r="W1135" i="1"/>
  <c r="X1135" i="1"/>
  <c r="Y1135" i="1"/>
  <c r="Z1135" i="1"/>
  <c r="AB1135" i="1"/>
  <c r="AF1135" i="1"/>
  <c r="AI1135" i="1"/>
  <c r="AE1136" i="1"/>
  <c r="AC1136" i="1"/>
  <c r="AJ1135" i="1"/>
  <c r="AK1135" i="1"/>
  <c r="AM1135" i="1"/>
  <c r="BF1135" i="1"/>
  <c r="BG1135" i="1"/>
  <c r="T1136" i="1"/>
  <c r="U1136" i="1"/>
  <c r="V1136" i="1"/>
  <c r="W1136" i="1"/>
  <c r="X1136" i="1"/>
  <c r="Y1136" i="1"/>
  <c r="Z1136" i="1"/>
  <c r="AB1136" i="1"/>
  <c r="AF1136" i="1"/>
  <c r="AI1136" i="1"/>
  <c r="AE1137" i="1"/>
  <c r="AC1137" i="1"/>
  <c r="AJ1136" i="1"/>
  <c r="AK1136" i="1"/>
  <c r="AM1136" i="1"/>
  <c r="BF1136" i="1"/>
  <c r="BG1136" i="1"/>
  <c r="T1137" i="1"/>
  <c r="U1137" i="1"/>
  <c r="V1137" i="1"/>
  <c r="W1137" i="1"/>
  <c r="X1137" i="1"/>
  <c r="Y1137" i="1"/>
  <c r="Z1137" i="1"/>
  <c r="AB1137" i="1"/>
  <c r="AF1137" i="1"/>
  <c r="AI1137" i="1"/>
  <c r="H1138" i="1"/>
  <c r="AE1138" i="1"/>
  <c r="I1138" i="1"/>
  <c r="J1138" i="1"/>
  <c r="K1138" i="1"/>
  <c r="AC1138" i="1"/>
  <c r="AJ1137" i="1"/>
  <c r="AK1137" i="1"/>
  <c r="AM1137" i="1"/>
  <c r="BG1137" i="1"/>
  <c r="T1138" i="1"/>
  <c r="U1138" i="1"/>
  <c r="V1138" i="1"/>
  <c r="W1138" i="1"/>
  <c r="X1138" i="1"/>
  <c r="Y1138" i="1"/>
  <c r="Z1138" i="1"/>
  <c r="AB1138" i="1"/>
  <c r="AF1138" i="1"/>
  <c r="AI1138" i="1"/>
  <c r="H1139" i="1"/>
  <c r="AE1139" i="1"/>
  <c r="I1139" i="1"/>
  <c r="J1139" i="1"/>
  <c r="K1139" i="1"/>
  <c r="AC1139" i="1"/>
  <c r="AJ1138" i="1"/>
  <c r="AK1138" i="1"/>
  <c r="AM1138" i="1"/>
  <c r="BF1138" i="1"/>
  <c r="BG1138" i="1"/>
  <c r="T1139" i="1"/>
  <c r="U1139" i="1"/>
  <c r="V1139" i="1"/>
  <c r="W1139" i="1"/>
  <c r="X1139" i="1"/>
  <c r="Y1139" i="1"/>
  <c r="Z1139" i="1"/>
  <c r="AB1139" i="1"/>
  <c r="AF1139" i="1"/>
  <c r="AI1139" i="1"/>
  <c r="AE1140" i="1"/>
  <c r="AC1140" i="1"/>
  <c r="AJ1139" i="1"/>
  <c r="AK1139" i="1"/>
  <c r="AM1139" i="1"/>
  <c r="BF1139" i="1"/>
  <c r="BG1139" i="1"/>
  <c r="T1140" i="1"/>
  <c r="U1140" i="1"/>
  <c r="V1140" i="1"/>
  <c r="W1140" i="1"/>
  <c r="X1140" i="1"/>
  <c r="Y1140" i="1"/>
  <c r="Z1140" i="1"/>
  <c r="AB1140" i="1"/>
  <c r="AF1140" i="1"/>
  <c r="AI1140" i="1"/>
  <c r="AE1141" i="1"/>
  <c r="AC1141" i="1"/>
  <c r="AJ1140" i="1"/>
  <c r="AK1140" i="1"/>
  <c r="AM1140" i="1"/>
  <c r="BF1140" i="1"/>
  <c r="BG1140" i="1"/>
  <c r="T1141" i="1"/>
  <c r="U1141" i="1"/>
  <c r="V1141" i="1"/>
  <c r="W1141" i="1"/>
  <c r="X1141" i="1"/>
  <c r="Y1141" i="1"/>
  <c r="Z1141" i="1"/>
  <c r="AB1141" i="1"/>
  <c r="AF1141" i="1"/>
  <c r="AI1141" i="1"/>
  <c r="H1142" i="1"/>
  <c r="AE1142" i="1"/>
  <c r="I1142" i="1"/>
  <c r="J1142" i="1"/>
  <c r="K1142" i="1"/>
  <c r="AC1142" i="1"/>
  <c r="AJ1141" i="1"/>
  <c r="AK1141" i="1"/>
  <c r="AM1141" i="1"/>
  <c r="BG1141" i="1"/>
  <c r="T1142" i="1"/>
  <c r="U1142" i="1"/>
  <c r="V1142" i="1"/>
  <c r="W1142" i="1"/>
  <c r="X1142" i="1"/>
  <c r="Y1142" i="1"/>
  <c r="Z1142" i="1"/>
  <c r="AB1142" i="1"/>
  <c r="AF1142" i="1"/>
  <c r="AI1142" i="1"/>
  <c r="AE1143" i="1"/>
  <c r="AC1143" i="1"/>
  <c r="AJ1142" i="1"/>
  <c r="AK1142" i="1"/>
  <c r="AM1142" i="1"/>
  <c r="BF1142" i="1"/>
  <c r="BG1142" i="1"/>
  <c r="T1143" i="1"/>
  <c r="U1143" i="1"/>
  <c r="V1143" i="1"/>
  <c r="W1143" i="1"/>
  <c r="X1143" i="1"/>
  <c r="Y1143" i="1"/>
  <c r="Z1143" i="1"/>
  <c r="AB1143" i="1"/>
  <c r="AF1143" i="1"/>
  <c r="AI1143" i="1"/>
  <c r="AE1144" i="1"/>
  <c r="AC1144" i="1"/>
  <c r="AJ1143" i="1"/>
  <c r="AK1143" i="1"/>
  <c r="AM1143" i="1"/>
  <c r="BF1143" i="1"/>
  <c r="BG1143" i="1"/>
  <c r="T1144" i="1"/>
  <c r="U1144" i="1"/>
  <c r="V1144" i="1"/>
  <c r="W1144" i="1"/>
  <c r="X1144" i="1"/>
  <c r="Y1144" i="1"/>
  <c r="Z1144" i="1"/>
  <c r="AB1144" i="1"/>
  <c r="AF1144" i="1"/>
  <c r="AI1144" i="1"/>
  <c r="H1145" i="1"/>
  <c r="AE1145" i="1"/>
  <c r="I1145" i="1"/>
  <c r="J1145" i="1"/>
  <c r="K1145" i="1"/>
  <c r="AC1145" i="1"/>
  <c r="AJ1144" i="1"/>
  <c r="AK1144" i="1"/>
  <c r="AM1144" i="1"/>
  <c r="BG1144" i="1"/>
  <c r="T1145" i="1"/>
  <c r="U1145" i="1"/>
  <c r="V1145" i="1"/>
  <c r="W1145" i="1"/>
  <c r="X1145" i="1"/>
  <c r="Y1145" i="1"/>
  <c r="Z1145" i="1"/>
  <c r="AB1145" i="1"/>
  <c r="AF1145" i="1"/>
  <c r="AI1145" i="1"/>
  <c r="AE1146" i="1"/>
  <c r="AC1146" i="1"/>
  <c r="AJ1145" i="1"/>
  <c r="AK1145" i="1"/>
  <c r="AM1145" i="1"/>
  <c r="BF1145" i="1"/>
  <c r="BG1145" i="1"/>
  <c r="T1146" i="1"/>
  <c r="U1146" i="1"/>
  <c r="V1146" i="1"/>
  <c r="W1146" i="1"/>
  <c r="X1146" i="1"/>
  <c r="Y1146" i="1"/>
  <c r="Z1146" i="1"/>
  <c r="AB1146" i="1"/>
  <c r="AF1146" i="1"/>
  <c r="AI1146" i="1"/>
  <c r="AE1147" i="1"/>
  <c r="AC1147" i="1"/>
  <c r="AJ1146" i="1"/>
  <c r="AK1146" i="1"/>
  <c r="AM1146" i="1"/>
  <c r="BF1146" i="1"/>
  <c r="BG1146" i="1"/>
  <c r="T1147" i="1"/>
  <c r="U1147" i="1"/>
  <c r="V1147" i="1"/>
  <c r="W1147" i="1"/>
  <c r="X1147" i="1"/>
  <c r="Y1147" i="1"/>
  <c r="Z1147" i="1"/>
  <c r="AB1147" i="1"/>
  <c r="AF1147" i="1"/>
  <c r="AI1147" i="1"/>
  <c r="H1148" i="1"/>
  <c r="AE1148" i="1"/>
  <c r="I1148" i="1"/>
  <c r="J1148" i="1"/>
  <c r="K1148" i="1"/>
  <c r="AC1148" i="1"/>
  <c r="AJ1147" i="1"/>
  <c r="AK1147" i="1"/>
  <c r="AM1147" i="1"/>
  <c r="BG1147" i="1"/>
  <c r="T1148" i="1"/>
  <c r="U1148" i="1"/>
  <c r="V1148" i="1"/>
  <c r="W1148" i="1"/>
  <c r="X1148" i="1"/>
  <c r="Y1148" i="1"/>
  <c r="Z1148" i="1"/>
  <c r="AB1148" i="1"/>
  <c r="AF1148" i="1"/>
  <c r="AI1148" i="1"/>
  <c r="H1149" i="1"/>
  <c r="AE1149" i="1"/>
  <c r="I1149" i="1"/>
  <c r="J1149" i="1"/>
  <c r="K1149" i="1"/>
  <c r="AC1149" i="1"/>
  <c r="AJ1148" i="1"/>
  <c r="AK1148" i="1"/>
  <c r="AM1148" i="1"/>
  <c r="BF1148" i="1"/>
  <c r="BG1148" i="1"/>
  <c r="T1149" i="1"/>
  <c r="U1149" i="1"/>
  <c r="V1149" i="1"/>
  <c r="W1149" i="1"/>
  <c r="X1149" i="1"/>
  <c r="Y1149" i="1"/>
  <c r="Z1149" i="1"/>
  <c r="AB1149" i="1"/>
  <c r="AF1149" i="1"/>
  <c r="AI1149" i="1"/>
  <c r="H1150" i="1"/>
  <c r="AE1150" i="1"/>
  <c r="I1150" i="1"/>
  <c r="J1150" i="1"/>
  <c r="K1150" i="1"/>
  <c r="AC1150" i="1"/>
  <c r="AJ1149" i="1"/>
  <c r="AK1149" i="1"/>
  <c r="AM1149" i="1"/>
  <c r="BF1149" i="1"/>
  <c r="BG1149" i="1"/>
  <c r="T1150" i="1"/>
  <c r="U1150" i="1"/>
  <c r="V1150" i="1"/>
  <c r="W1150" i="1"/>
  <c r="X1150" i="1"/>
  <c r="Y1150" i="1"/>
  <c r="Z1150" i="1"/>
  <c r="AB1150" i="1"/>
  <c r="AF1150" i="1"/>
  <c r="AI1150" i="1"/>
  <c r="H1151" i="1"/>
  <c r="AE1151" i="1"/>
  <c r="I1151" i="1"/>
  <c r="J1151" i="1"/>
  <c r="K1151" i="1"/>
  <c r="AC1151" i="1"/>
  <c r="AJ1150" i="1"/>
  <c r="AK1150" i="1"/>
  <c r="AM1150" i="1"/>
  <c r="BF1150" i="1"/>
  <c r="BG1150" i="1"/>
  <c r="T1151" i="1"/>
  <c r="U1151" i="1"/>
  <c r="V1151" i="1"/>
  <c r="W1151" i="1"/>
  <c r="X1151" i="1"/>
  <c r="Y1151" i="1"/>
  <c r="Z1151" i="1"/>
  <c r="AB1151" i="1"/>
  <c r="AF1151" i="1"/>
  <c r="AI1151" i="1"/>
  <c r="H1152" i="1"/>
  <c r="AE1152" i="1"/>
  <c r="I1152" i="1"/>
  <c r="J1152" i="1"/>
  <c r="K1152" i="1"/>
  <c r="AC1152" i="1"/>
  <c r="AJ1151" i="1"/>
  <c r="AK1151" i="1"/>
  <c r="AM1151" i="1"/>
  <c r="BF1151" i="1"/>
  <c r="BG1151" i="1"/>
  <c r="T1152" i="1"/>
  <c r="U1152" i="1"/>
  <c r="V1152" i="1"/>
  <c r="W1152" i="1"/>
  <c r="X1152" i="1"/>
  <c r="Y1152" i="1"/>
  <c r="Z1152" i="1"/>
  <c r="AB1152" i="1"/>
  <c r="AF1152" i="1"/>
  <c r="AI1152" i="1"/>
  <c r="H1153" i="1"/>
  <c r="AE1153" i="1"/>
  <c r="I1153" i="1"/>
  <c r="J1153" i="1"/>
  <c r="K1153" i="1"/>
  <c r="AC1153" i="1"/>
  <c r="AJ1152" i="1"/>
  <c r="AK1152" i="1"/>
  <c r="AM1152" i="1"/>
  <c r="BF1152" i="1"/>
  <c r="BG1152" i="1"/>
  <c r="T1153" i="1"/>
  <c r="U1153" i="1"/>
  <c r="V1153" i="1"/>
  <c r="W1153" i="1"/>
  <c r="X1153" i="1"/>
  <c r="Y1153" i="1"/>
  <c r="Z1153" i="1"/>
  <c r="AB1153" i="1"/>
  <c r="AF1153" i="1"/>
  <c r="AI1153" i="1"/>
  <c r="H1154" i="1"/>
  <c r="AE1154" i="1"/>
  <c r="I1154" i="1"/>
  <c r="J1154" i="1"/>
  <c r="K1154" i="1"/>
  <c r="AC1154" i="1"/>
  <c r="AJ1153" i="1"/>
  <c r="AK1153" i="1"/>
  <c r="AM1153" i="1"/>
  <c r="BF1153" i="1"/>
  <c r="BG1153" i="1"/>
  <c r="T1154" i="1"/>
  <c r="U1154" i="1"/>
  <c r="V1154" i="1"/>
  <c r="W1154" i="1"/>
  <c r="X1154" i="1"/>
  <c r="Y1154" i="1"/>
  <c r="Z1154" i="1"/>
  <c r="AB1154" i="1"/>
  <c r="AF1154" i="1"/>
  <c r="AI1154" i="1"/>
  <c r="H1155" i="1"/>
  <c r="AE1155" i="1"/>
  <c r="I1155" i="1"/>
  <c r="J1155" i="1"/>
  <c r="K1155" i="1"/>
  <c r="AC1155" i="1"/>
  <c r="AJ1154" i="1"/>
  <c r="AK1154" i="1"/>
  <c r="AM1154" i="1"/>
  <c r="BF1154" i="1"/>
  <c r="BG1154" i="1"/>
  <c r="T1155" i="1"/>
  <c r="U1155" i="1"/>
  <c r="V1155" i="1"/>
  <c r="W1155" i="1"/>
  <c r="X1155" i="1"/>
  <c r="Y1155" i="1"/>
  <c r="Z1155" i="1"/>
  <c r="AB1155" i="1"/>
  <c r="AF1155" i="1"/>
  <c r="AI1155" i="1"/>
  <c r="H1156" i="1"/>
  <c r="AE1156" i="1"/>
  <c r="I1156" i="1"/>
  <c r="J1156" i="1"/>
  <c r="K1156" i="1"/>
  <c r="AC1156" i="1"/>
  <c r="AJ1155" i="1"/>
  <c r="AK1155" i="1"/>
  <c r="AM1155" i="1"/>
  <c r="BF1155" i="1"/>
  <c r="BG1155" i="1"/>
  <c r="T1156" i="1"/>
  <c r="U1156" i="1"/>
  <c r="V1156" i="1"/>
  <c r="W1156" i="1"/>
  <c r="X1156" i="1"/>
  <c r="Y1156" i="1"/>
  <c r="Z1156" i="1"/>
  <c r="AB1156" i="1"/>
  <c r="AF1156" i="1"/>
  <c r="AI1156" i="1"/>
  <c r="H1157" i="1"/>
  <c r="AE1157" i="1"/>
  <c r="I1157" i="1"/>
  <c r="J1157" i="1"/>
  <c r="K1157" i="1"/>
  <c r="AC1157" i="1"/>
  <c r="AJ1156" i="1"/>
  <c r="AK1156" i="1"/>
  <c r="AM1156" i="1"/>
  <c r="BF1156" i="1"/>
  <c r="BG1156" i="1"/>
  <c r="T1157" i="1"/>
  <c r="U1157" i="1"/>
  <c r="V1157" i="1"/>
  <c r="W1157" i="1"/>
  <c r="X1157" i="1"/>
  <c r="Y1157" i="1"/>
  <c r="Z1157" i="1"/>
  <c r="AB1157" i="1"/>
  <c r="AF1157" i="1"/>
  <c r="AI1157" i="1"/>
  <c r="AE1158" i="1"/>
  <c r="AC1158" i="1"/>
  <c r="AJ1157" i="1"/>
  <c r="AK1157" i="1"/>
  <c r="AM1157" i="1"/>
  <c r="BF1157" i="1"/>
  <c r="BG1157" i="1"/>
  <c r="T1158" i="1"/>
  <c r="U1158" i="1"/>
  <c r="V1158" i="1"/>
  <c r="W1158" i="1"/>
  <c r="X1158" i="1"/>
  <c r="Y1158" i="1"/>
  <c r="Z1158" i="1"/>
  <c r="AB1158" i="1"/>
  <c r="AF1158" i="1"/>
  <c r="AI1158" i="1"/>
  <c r="AE1159" i="1"/>
  <c r="AC1159" i="1"/>
  <c r="AJ1158" i="1"/>
  <c r="AK1158" i="1"/>
  <c r="AM1158" i="1"/>
  <c r="BF1158" i="1"/>
  <c r="BG1158" i="1"/>
  <c r="T1159" i="1"/>
  <c r="U1159" i="1"/>
  <c r="V1159" i="1"/>
  <c r="W1159" i="1"/>
  <c r="X1159" i="1"/>
  <c r="Y1159" i="1"/>
  <c r="Z1159" i="1"/>
  <c r="AB1159" i="1"/>
  <c r="AF1159" i="1"/>
  <c r="AI1159" i="1"/>
  <c r="H1160" i="1"/>
  <c r="AE1160" i="1"/>
  <c r="I1160" i="1"/>
  <c r="J1160" i="1"/>
  <c r="K1160" i="1"/>
  <c r="AC1160" i="1"/>
  <c r="AJ1159" i="1"/>
  <c r="AK1159" i="1"/>
  <c r="AM1159" i="1"/>
  <c r="BG1159" i="1"/>
  <c r="T1160" i="1"/>
  <c r="U1160" i="1"/>
  <c r="V1160" i="1"/>
  <c r="W1160" i="1"/>
  <c r="X1160" i="1"/>
  <c r="Y1160" i="1"/>
  <c r="Z1160" i="1"/>
  <c r="AB1160" i="1"/>
  <c r="AF1160" i="1"/>
  <c r="AI1160" i="1"/>
  <c r="AE1161" i="1"/>
  <c r="AC1161" i="1"/>
  <c r="AJ1160" i="1"/>
  <c r="AK1160" i="1"/>
  <c r="AM1160" i="1"/>
  <c r="BF1160" i="1"/>
  <c r="BG1160" i="1"/>
  <c r="T1161" i="1"/>
  <c r="U1161" i="1"/>
  <c r="V1161" i="1"/>
  <c r="W1161" i="1"/>
  <c r="X1161" i="1"/>
  <c r="Y1161" i="1"/>
  <c r="Z1161" i="1"/>
  <c r="AB1161" i="1"/>
  <c r="AF1161" i="1"/>
  <c r="AI1161" i="1"/>
  <c r="AE1162" i="1"/>
  <c r="AC1162" i="1"/>
  <c r="AJ1161" i="1"/>
  <c r="AK1161" i="1"/>
  <c r="AM1161" i="1"/>
  <c r="BF1161" i="1"/>
  <c r="BG1161" i="1"/>
  <c r="T1162" i="1"/>
  <c r="U1162" i="1"/>
  <c r="V1162" i="1"/>
  <c r="W1162" i="1"/>
  <c r="X1162" i="1"/>
  <c r="Y1162" i="1"/>
  <c r="Z1162" i="1"/>
  <c r="AB1162" i="1"/>
  <c r="AF1162" i="1"/>
  <c r="AI1162" i="1"/>
  <c r="H1163" i="1"/>
  <c r="AE1163" i="1"/>
  <c r="I1163" i="1"/>
  <c r="J1163" i="1"/>
  <c r="K1163" i="1"/>
  <c r="AC1163" i="1"/>
  <c r="AJ1162" i="1"/>
  <c r="AK1162" i="1"/>
  <c r="AM1162" i="1"/>
  <c r="BG1162" i="1"/>
  <c r="T1163" i="1"/>
  <c r="U1163" i="1"/>
  <c r="V1163" i="1"/>
  <c r="W1163" i="1"/>
  <c r="X1163" i="1"/>
  <c r="Y1163" i="1"/>
  <c r="Z1163" i="1"/>
  <c r="AB1163" i="1"/>
  <c r="AF1163" i="1"/>
  <c r="AI1163" i="1"/>
  <c r="H1164" i="1"/>
  <c r="AE1164" i="1"/>
  <c r="I1164" i="1"/>
  <c r="J1164" i="1"/>
  <c r="K1164" i="1"/>
  <c r="AC1164" i="1"/>
  <c r="AJ1163" i="1"/>
  <c r="AK1163" i="1"/>
  <c r="AM1163" i="1"/>
  <c r="BF1163" i="1"/>
  <c r="BG1163" i="1"/>
  <c r="T1164" i="1"/>
  <c r="U1164" i="1"/>
  <c r="V1164" i="1"/>
  <c r="W1164" i="1"/>
  <c r="X1164" i="1"/>
  <c r="Y1164" i="1"/>
  <c r="Z1164" i="1"/>
  <c r="AB1164" i="1"/>
  <c r="AF1164" i="1"/>
  <c r="AI1164" i="1"/>
  <c r="AE1165" i="1"/>
  <c r="AC1165" i="1"/>
  <c r="AJ1164" i="1"/>
  <c r="AK1164" i="1"/>
  <c r="AM1164" i="1"/>
  <c r="BF1164" i="1"/>
  <c r="BG1164" i="1"/>
  <c r="T1165" i="1"/>
  <c r="U1165" i="1"/>
  <c r="V1165" i="1"/>
  <c r="W1165" i="1"/>
  <c r="X1165" i="1"/>
  <c r="Y1165" i="1"/>
  <c r="Z1165" i="1"/>
  <c r="AB1165" i="1"/>
  <c r="AF1165" i="1"/>
  <c r="AI1165" i="1"/>
  <c r="AE1166" i="1"/>
  <c r="AC1166" i="1"/>
  <c r="AJ1165" i="1"/>
  <c r="AK1165" i="1"/>
  <c r="AM1165" i="1"/>
  <c r="BF1165" i="1"/>
  <c r="BG1165" i="1"/>
  <c r="T1166" i="1"/>
  <c r="U1166" i="1"/>
  <c r="V1166" i="1"/>
  <c r="W1166" i="1"/>
  <c r="X1166" i="1"/>
  <c r="Y1166" i="1"/>
  <c r="Z1166" i="1"/>
  <c r="AB1166" i="1"/>
  <c r="AF1166" i="1"/>
  <c r="AI1166" i="1"/>
  <c r="AE1167" i="1"/>
  <c r="AC1167" i="1"/>
  <c r="AJ1166" i="1"/>
  <c r="AK1166" i="1"/>
  <c r="AM1166" i="1"/>
  <c r="BF1166" i="1"/>
  <c r="BG1166" i="1"/>
  <c r="T1167" i="1"/>
  <c r="U1167" i="1"/>
  <c r="V1167" i="1"/>
  <c r="W1167" i="1"/>
  <c r="X1167" i="1"/>
  <c r="Y1167" i="1"/>
  <c r="Z1167" i="1"/>
  <c r="AB1167" i="1"/>
  <c r="AF1167" i="1"/>
  <c r="AI1167" i="1"/>
  <c r="H1168" i="1"/>
  <c r="AE1168" i="1"/>
  <c r="I1168" i="1"/>
  <c r="J1168" i="1"/>
  <c r="K1168" i="1"/>
  <c r="AC1168" i="1"/>
  <c r="AJ1167" i="1"/>
  <c r="AK1167" i="1"/>
  <c r="AM1167" i="1"/>
  <c r="BG1167" i="1"/>
  <c r="T1168" i="1"/>
  <c r="U1168" i="1"/>
  <c r="V1168" i="1"/>
  <c r="W1168" i="1"/>
  <c r="X1168" i="1"/>
  <c r="Y1168" i="1"/>
  <c r="Z1168" i="1"/>
  <c r="AB1168" i="1"/>
  <c r="AF1168" i="1"/>
  <c r="AI1168" i="1"/>
  <c r="H1169" i="1"/>
  <c r="AE1169" i="1"/>
  <c r="I1169" i="1"/>
  <c r="J1169" i="1"/>
  <c r="K1169" i="1"/>
  <c r="AC1169" i="1"/>
  <c r="AJ1168" i="1"/>
  <c r="AK1168" i="1"/>
  <c r="AM1168" i="1"/>
  <c r="BF1168" i="1"/>
  <c r="BG1168" i="1"/>
  <c r="T1169" i="1"/>
  <c r="U1169" i="1"/>
  <c r="V1169" i="1"/>
  <c r="W1169" i="1"/>
  <c r="X1169" i="1"/>
  <c r="Y1169" i="1"/>
  <c r="Z1169" i="1"/>
  <c r="AB1169" i="1"/>
  <c r="AF1169" i="1"/>
  <c r="AI1169" i="1"/>
  <c r="AE1170" i="1"/>
  <c r="AC1170" i="1"/>
  <c r="AJ1169" i="1"/>
  <c r="AK1169" i="1"/>
  <c r="AM1169" i="1"/>
  <c r="BF1169" i="1"/>
  <c r="BG1169" i="1"/>
  <c r="T1170" i="1"/>
  <c r="U1170" i="1"/>
  <c r="V1170" i="1"/>
  <c r="W1170" i="1"/>
  <c r="X1170" i="1"/>
  <c r="Y1170" i="1"/>
  <c r="Z1170" i="1"/>
  <c r="AB1170" i="1"/>
  <c r="AF1170" i="1"/>
  <c r="AI1170" i="1"/>
  <c r="AE1171" i="1"/>
  <c r="AC1171" i="1"/>
  <c r="AJ1170" i="1"/>
  <c r="AK1170" i="1"/>
  <c r="AM1170" i="1"/>
  <c r="BF1170" i="1"/>
  <c r="BG1170" i="1"/>
  <c r="T1171" i="1"/>
  <c r="U1171" i="1"/>
  <c r="V1171" i="1"/>
  <c r="W1171" i="1"/>
  <c r="X1171" i="1"/>
  <c r="Y1171" i="1"/>
  <c r="Z1171" i="1"/>
  <c r="AB1171" i="1"/>
  <c r="AF1171" i="1"/>
  <c r="AI1171" i="1"/>
  <c r="H1172" i="1"/>
  <c r="AE1172" i="1"/>
  <c r="I1172" i="1"/>
  <c r="J1172" i="1"/>
  <c r="K1172" i="1"/>
  <c r="AC1172" i="1"/>
  <c r="AJ1171" i="1"/>
  <c r="AK1171" i="1"/>
  <c r="AM1171" i="1"/>
  <c r="BG1171" i="1"/>
  <c r="T1172" i="1"/>
  <c r="U1172" i="1"/>
  <c r="V1172" i="1"/>
  <c r="W1172" i="1"/>
  <c r="X1172" i="1"/>
  <c r="Y1172" i="1"/>
  <c r="Z1172" i="1"/>
  <c r="AB1172" i="1"/>
  <c r="AF1172" i="1"/>
  <c r="AI1172" i="1"/>
  <c r="H1173" i="1"/>
  <c r="AE1173" i="1"/>
  <c r="I1173" i="1"/>
  <c r="J1173" i="1"/>
  <c r="K1173" i="1"/>
  <c r="AC1173" i="1"/>
  <c r="AJ1172" i="1"/>
  <c r="AK1172" i="1"/>
  <c r="AM1172" i="1"/>
  <c r="BF1172" i="1"/>
  <c r="BG1172" i="1"/>
  <c r="T1173" i="1"/>
  <c r="U1173" i="1"/>
  <c r="V1173" i="1"/>
  <c r="W1173" i="1"/>
  <c r="X1173" i="1"/>
  <c r="Y1173" i="1"/>
  <c r="Z1173" i="1"/>
  <c r="AB1173" i="1"/>
  <c r="AF1173" i="1"/>
  <c r="AI1173" i="1"/>
  <c r="H1174" i="1"/>
  <c r="AE1174" i="1"/>
  <c r="I1174" i="1"/>
  <c r="J1174" i="1"/>
  <c r="K1174" i="1"/>
  <c r="AC1174" i="1"/>
  <c r="AJ1173" i="1"/>
  <c r="AK1173" i="1"/>
  <c r="AM1173" i="1"/>
  <c r="BF1173" i="1"/>
  <c r="BG1173" i="1"/>
  <c r="T1174" i="1"/>
  <c r="U1174" i="1"/>
  <c r="V1174" i="1"/>
  <c r="W1174" i="1"/>
  <c r="X1174" i="1"/>
  <c r="Y1174" i="1"/>
  <c r="Z1174" i="1"/>
  <c r="AB1174" i="1"/>
  <c r="AF1174" i="1"/>
  <c r="AI1174" i="1"/>
  <c r="H1175" i="1"/>
  <c r="AE1175" i="1"/>
  <c r="I1175" i="1"/>
  <c r="J1175" i="1"/>
  <c r="K1175" i="1"/>
  <c r="AC1175" i="1"/>
  <c r="AJ1174" i="1"/>
  <c r="AK1174" i="1"/>
  <c r="AM1174" i="1"/>
  <c r="BF1174" i="1"/>
  <c r="BG1174" i="1"/>
  <c r="T1175" i="1"/>
  <c r="U1175" i="1"/>
  <c r="V1175" i="1"/>
  <c r="W1175" i="1"/>
  <c r="X1175" i="1"/>
  <c r="Y1175" i="1"/>
  <c r="Z1175" i="1"/>
  <c r="AB1175" i="1"/>
  <c r="AF1175" i="1"/>
  <c r="AI1175" i="1"/>
  <c r="H1176" i="1"/>
  <c r="AE1176" i="1"/>
  <c r="I1176" i="1"/>
  <c r="J1176" i="1"/>
  <c r="K1176" i="1"/>
  <c r="AC1176" i="1"/>
  <c r="AJ1175" i="1"/>
  <c r="AK1175" i="1"/>
  <c r="AM1175" i="1"/>
  <c r="BF1175" i="1"/>
  <c r="BG1175" i="1"/>
  <c r="T1176" i="1"/>
  <c r="U1176" i="1"/>
  <c r="V1176" i="1"/>
  <c r="W1176" i="1"/>
  <c r="X1176" i="1"/>
  <c r="Y1176" i="1"/>
  <c r="Z1176" i="1"/>
  <c r="AB1176" i="1"/>
  <c r="AF1176" i="1"/>
  <c r="AI1176" i="1"/>
  <c r="H1177" i="1"/>
  <c r="AE1177" i="1"/>
  <c r="I1177" i="1"/>
  <c r="J1177" i="1"/>
  <c r="K1177" i="1"/>
  <c r="AC1177" i="1"/>
  <c r="AJ1176" i="1"/>
  <c r="AK1176" i="1"/>
  <c r="AM1176" i="1"/>
  <c r="BF1176" i="1"/>
  <c r="BG1176" i="1"/>
  <c r="T1177" i="1"/>
  <c r="U1177" i="1"/>
  <c r="V1177" i="1"/>
  <c r="W1177" i="1"/>
  <c r="X1177" i="1"/>
  <c r="Y1177" i="1"/>
  <c r="Z1177" i="1"/>
  <c r="AB1177" i="1"/>
  <c r="AF1177" i="1"/>
  <c r="AI1177" i="1"/>
  <c r="H1178" i="1"/>
  <c r="AE1178" i="1"/>
  <c r="I1178" i="1"/>
  <c r="J1178" i="1"/>
  <c r="K1178" i="1"/>
  <c r="AC1178" i="1"/>
  <c r="AJ1177" i="1"/>
  <c r="AK1177" i="1"/>
  <c r="AM1177" i="1"/>
  <c r="BF1177" i="1"/>
  <c r="BG1177" i="1"/>
  <c r="T1178" i="1"/>
  <c r="U1178" i="1"/>
  <c r="V1178" i="1"/>
  <c r="W1178" i="1"/>
  <c r="X1178" i="1"/>
  <c r="Y1178" i="1"/>
  <c r="Z1178" i="1"/>
  <c r="AB1178" i="1"/>
  <c r="AF1178" i="1"/>
  <c r="AI1178" i="1"/>
  <c r="H1179" i="1"/>
  <c r="AE1179" i="1"/>
  <c r="I1179" i="1"/>
  <c r="J1179" i="1"/>
  <c r="K1179" i="1"/>
  <c r="AC1179" i="1"/>
  <c r="AJ1178" i="1"/>
  <c r="AK1178" i="1"/>
  <c r="AM1178" i="1"/>
  <c r="BF1178" i="1"/>
  <c r="BG1178" i="1"/>
  <c r="T1179" i="1"/>
  <c r="U1179" i="1"/>
  <c r="V1179" i="1"/>
  <c r="W1179" i="1"/>
  <c r="X1179" i="1"/>
  <c r="Y1179" i="1"/>
  <c r="Z1179" i="1"/>
  <c r="AB1179" i="1"/>
  <c r="AF1179" i="1"/>
  <c r="AI1179" i="1"/>
  <c r="H1180" i="1"/>
  <c r="AE1180" i="1"/>
  <c r="I1180" i="1"/>
  <c r="J1180" i="1"/>
  <c r="K1180" i="1"/>
  <c r="AC1180" i="1"/>
  <c r="AJ1179" i="1"/>
  <c r="AK1179" i="1"/>
  <c r="AM1179" i="1"/>
  <c r="BF1179" i="1"/>
  <c r="BG1179" i="1"/>
  <c r="T1180" i="1"/>
  <c r="U1180" i="1"/>
  <c r="V1180" i="1"/>
  <c r="W1180" i="1"/>
  <c r="X1180" i="1"/>
  <c r="Y1180" i="1"/>
  <c r="Z1180" i="1"/>
  <c r="AB1180" i="1"/>
  <c r="AF1180" i="1"/>
  <c r="AI1180" i="1"/>
  <c r="AE1181" i="1"/>
  <c r="AC1181" i="1"/>
  <c r="AJ1180" i="1"/>
  <c r="AK1180" i="1"/>
  <c r="AM1180" i="1"/>
  <c r="BF1180" i="1"/>
  <c r="BG1180" i="1"/>
  <c r="T1181" i="1"/>
  <c r="U1181" i="1"/>
  <c r="V1181" i="1"/>
  <c r="W1181" i="1"/>
  <c r="X1181" i="1"/>
  <c r="Y1181" i="1"/>
  <c r="Z1181" i="1"/>
  <c r="AB1181" i="1"/>
  <c r="AF1181" i="1"/>
  <c r="AI1181" i="1"/>
  <c r="AE1182" i="1"/>
  <c r="AC1182" i="1"/>
  <c r="AJ1181" i="1"/>
  <c r="AK1181" i="1"/>
  <c r="AM1181" i="1"/>
  <c r="BF1181" i="1"/>
  <c r="BG1181" i="1"/>
  <c r="T1182" i="1"/>
  <c r="U1182" i="1"/>
  <c r="V1182" i="1"/>
  <c r="W1182" i="1"/>
  <c r="X1182" i="1"/>
  <c r="Y1182" i="1"/>
  <c r="Z1182" i="1"/>
  <c r="AB1182" i="1"/>
  <c r="AF1182" i="1"/>
  <c r="AI1182" i="1"/>
  <c r="H1183" i="1"/>
  <c r="AE1183" i="1"/>
  <c r="I1183" i="1"/>
  <c r="J1183" i="1"/>
  <c r="K1183" i="1"/>
  <c r="AC1183" i="1"/>
  <c r="AJ1182" i="1"/>
  <c r="AK1182" i="1"/>
  <c r="AM1182" i="1"/>
  <c r="BG1182" i="1"/>
  <c r="T1183" i="1"/>
  <c r="U1183" i="1"/>
  <c r="V1183" i="1"/>
  <c r="W1183" i="1"/>
  <c r="X1183" i="1"/>
  <c r="Y1183" i="1"/>
  <c r="Z1183" i="1"/>
  <c r="AB1183" i="1"/>
  <c r="AF1183" i="1"/>
  <c r="AI1183" i="1"/>
  <c r="AE1184" i="1"/>
  <c r="AC1184" i="1"/>
  <c r="AJ1183" i="1"/>
  <c r="AK1183" i="1"/>
  <c r="AM1183" i="1"/>
  <c r="BF1183" i="1"/>
  <c r="BG1183" i="1"/>
  <c r="T1184" i="1"/>
  <c r="U1184" i="1"/>
  <c r="V1184" i="1"/>
  <c r="W1184" i="1"/>
  <c r="X1184" i="1"/>
  <c r="Y1184" i="1"/>
  <c r="Z1184" i="1"/>
  <c r="AB1184" i="1"/>
  <c r="AF1184" i="1"/>
  <c r="AI1184" i="1"/>
  <c r="AE1185" i="1"/>
  <c r="AC1185" i="1"/>
  <c r="AJ1184" i="1"/>
  <c r="AK1184" i="1"/>
  <c r="AM1184" i="1"/>
  <c r="BF1184" i="1"/>
  <c r="BG1184" i="1"/>
  <c r="T1185" i="1"/>
  <c r="U1185" i="1"/>
  <c r="V1185" i="1"/>
  <c r="W1185" i="1"/>
  <c r="X1185" i="1"/>
  <c r="Y1185" i="1"/>
  <c r="Z1185" i="1"/>
  <c r="AB1185" i="1"/>
  <c r="AF1185" i="1"/>
  <c r="AI1185" i="1"/>
  <c r="AE1186" i="1"/>
  <c r="AC1186" i="1"/>
  <c r="AJ1185" i="1"/>
  <c r="AK1185" i="1"/>
  <c r="AM1185" i="1"/>
  <c r="BF1185" i="1"/>
  <c r="BG1185" i="1"/>
  <c r="T1186" i="1"/>
  <c r="U1186" i="1"/>
  <c r="V1186" i="1"/>
  <c r="W1186" i="1"/>
  <c r="X1186" i="1"/>
  <c r="Y1186" i="1"/>
  <c r="Z1186" i="1"/>
  <c r="AB1186" i="1"/>
  <c r="AF1186" i="1"/>
  <c r="AI1186" i="1"/>
  <c r="H1187" i="1"/>
  <c r="AE1187" i="1"/>
  <c r="I1187" i="1"/>
  <c r="J1187" i="1"/>
  <c r="K1187" i="1"/>
  <c r="AC1187" i="1"/>
  <c r="AJ1186" i="1"/>
  <c r="AK1186" i="1"/>
  <c r="AM1186" i="1"/>
  <c r="BG1186" i="1"/>
  <c r="T1187" i="1"/>
  <c r="U1187" i="1"/>
  <c r="V1187" i="1"/>
  <c r="W1187" i="1"/>
  <c r="X1187" i="1"/>
  <c r="Y1187" i="1"/>
  <c r="Z1187" i="1"/>
  <c r="AB1187" i="1"/>
  <c r="AF1187" i="1"/>
  <c r="AI1187" i="1"/>
  <c r="H1188" i="1"/>
  <c r="AE1188" i="1"/>
  <c r="I1188" i="1"/>
  <c r="J1188" i="1"/>
  <c r="K1188" i="1"/>
  <c r="AC1188" i="1"/>
  <c r="AJ1187" i="1"/>
  <c r="AK1187" i="1"/>
  <c r="AM1187" i="1"/>
  <c r="BF1187" i="1"/>
  <c r="BG1187" i="1"/>
  <c r="T1188" i="1"/>
  <c r="U1188" i="1"/>
  <c r="V1188" i="1"/>
  <c r="W1188" i="1"/>
  <c r="X1188" i="1"/>
  <c r="Y1188" i="1"/>
  <c r="Z1188" i="1"/>
  <c r="AB1188" i="1"/>
  <c r="AF1188" i="1"/>
  <c r="AI1188" i="1"/>
  <c r="AE1189" i="1"/>
  <c r="AC1189" i="1"/>
  <c r="AJ1188" i="1"/>
  <c r="AK1188" i="1"/>
  <c r="AM1188" i="1"/>
  <c r="BF1188" i="1"/>
  <c r="BG1188" i="1"/>
  <c r="T1189" i="1"/>
  <c r="U1189" i="1"/>
  <c r="V1189" i="1"/>
  <c r="W1189" i="1"/>
  <c r="X1189" i="1"/>
  <c r="Y1189" i="1"/>
  <c r="Z1189" i="1"/>
  <c r="AB1189" i="1"/>
  <c r="AF1189" i="1"/>
  <c r="AI1189" i="1"/>
  <c r="AE1190" i="1"/>
  <c r="AC1190" i="1"/>
  <c r="AJ1189" i="1"/>
  <c r="AK1189" i="1"/>
  <c r="AM1189" i="1"/>
  <c r="BF1189" i="1"/>
  <c r="BG1189" i="1"/>
  <c r="T1190" i="1"/>
  <c r="U1190" i="1"/>
  <c r="V1190" i="1"/>
  <c r="W1190" i="1"/>
  <c r="X1190" i="1"/>
  <c r="Y1190" i="1"/>
  <c r="Z1190" i="1"/>
  <c r="AB1190" i="1"/>
  <c r="AF1190" i="1"/>
  <c r="AI1190" i="1"/>
  <c r="AE1191" i="1"/>
  <c r="AC1191" i="1"/>
  <c r="AJ1190" i="1"/>
  <c r="AK1190" i="1"/>
  <c r="AM1190" i="1"/>
  <c r="BF1190" i="1"/>
  <c r="BG1190" i="1"/>
  <c r="T1191" i="1"/>
  <c r="U1191" i="1"/>
  <c r="V1191" i="1"/>
  <c r="W1191" i="1"/>
  <c r="X1191" i="1"/>
  <c r="Y1191" i="1"/>
  <c r="Z1191" i="1"/>
  <c r="AB1191" i="1"/>
  <c r="AF1191" i="1"/>
  <c r="AI1191" i="1"/>
  <c r="H1192" i="1"/>
  <c r="AE1192" i="1"/>
  <c r="I1192" i="1"/>
  <c r="J1192" i="1"/>
  <c r="K1192" i="1"/>
  <c r="AC1192" i="1"/>
  <c r="AJ1191" i="1"/>
  <c r="AK1191" i="1"/>
  <c r="AM1191" i="1"/>
  <c r="BG1191" i="1"/>
  <c r="T1192" i="1"/>
  <c r="U1192" i="1"/>
  <c r="V1192" i="1"/>
  <c r="W1192" i="1"/>
  <c r="X1192" i="1"/>
  <c r="Y1192" i="1"/>
  <c r="Z1192" i="1"/>
  <c r="AB1192" i="1"/>
  <c r="AF1192" i="1"/>
  <c r="AI1192" i="1"/>
  <c r="H1193" i="1"/>
  <c r="AE1193" i="1"/>
  <c r="I1193" i="1"/>
  <c r="J1193" i="1"/>
  <c r="K1193" i="1"/>
  <c r="AC1193" i="1"/>
  <c r="AJ1192" i="1"/>
  <c r="AK1192" i="1"/>
  <c r="AM1192" i="1"/>
  <c r="BF1192" i="1"/>
  <c r="BG1192" i="1"/>
  <c r="T1193" i="1"/>
  <c r="U1193" i="1"/>
  <c r="V1193" i="1"/>
  <c r="W1193" i="1"/>
  <c r="X1193" i="1"/>
  <c r="Y1193" i="1"/>
  <c r="Z1193" i="1"/>
  <c r="AB1193" i="1"/>
  <c r="AF1193" i="1"/>
  <c r="AI1193" i="1"/>
  <c r="H1194" i="1"/>
  <c r="AE1194" i="1"/>
  <c r="I1194" i="1"/>
  <c r="J1194" i="1"/>
  <c r="K1194" i="1"/>
  <c r="AC1194" i="1"/>
  <c r="AJ1193" i="1"/>
  <c r="AK1193" i="1"/>
  <c r="AM1193" i="1"/>
  <c r="BF1193" i="1"/>
  <c r="BG1193" i="1"/>
  <c r="T1194" i="1"/>
  <c r="U1194" i="1"/>
  <c r="V1194" i="1"/>
  <c r="W1194" i="1"/>
  <c r="X1194" i="1"/>
  <c r="Y1194" i="1"/>
  <c r="Z1194" i="1"/>
  <c r="AB1194" i="1"/>
  <c r="AF1194" i="1"/>
  <c r="AI1194" i="1"/>
  <c r="H1195" i="1"/>
  <c r="AE1195" i="1"/>
  <c r="I1195" i="1"/>
  <c r="J1195" i="1"/>
  <c r="K1195" i="1"/>
  <c r="AC1195" i="1"/>
  <c r="AJ1194" i="1"/>
  <c r="AK1194" i="1"/>
  <c r="AM1194" i="1"/>
  <c r="BF1194" i="1"/>
  <c r="BG1194" i="1"/>
  <c r="T1195" i="1"/>
  <c r="U1195" i="1"/>
  <c r="V1195" i="1"/>
  <c r="W1195" i="1"/>
  <c r="X1195" i="1"/>
  <c r="Y1195" i="1"/>
  <c r="Z1195" i="1"/>
  <c r="AB1195" i="1"/>
  <c r="AF1195" i="1"/>
  <c r="AI1195" i="1"/>
  <c r="AE1196" i="1"/>
  <c r="AC1196" i="1"/>
  <c r="AJ1195" i="1"/>
  <c r="AK1195" i="1"/>
  <c r="AM1195" i="1"/>
  <c r="BF1195" i="1"/>
  <c r="BG1195" i="1"/>
  <c r="T1196" i="1"/>
  <c r="U1196" i="1"/>
  <c r="V1196" i="1"/>
  <c r="W1196" i="1"/>
  <c r="X1196" i="1"/>
  <c r="Y1196" i="1"/>
  <c r="Z1196" i="1"/>
  <c r="AB1196" i="1"/>
  <c r="AF1196" i="1"/>
  <c r="AI1196" i="1"/>
  <c r="AE1197" i="1"/>
  <c r="AC1197" i="1"/>
  <c r="AJ1196" i="1"/>
  <c r="AK1196" i="1"/>
  <c r="AM1196" i="1"/>
  <c r="BF1196" i="1"/>
  <c r="BG1196" i="1"/>
  <c r="T1197" i="1"/>
  <c r="U1197" i="1"/>
  <c r="V1197" i="1"/>
  <c r="W1197" i="1"/>
  <c r="X1197" i="1"/>
  <c r="Y1197" i="1"/>
  <c r="Z1197" i="1"/>
  <c r="AB1197" i="1"/>
  <c r="AF1197" i="1"/>
  <c r="AI1197" i="1"/>
  <c r="H1198" i="1"/>
  <c r="AE1198" i="1"/>
  <c r="I1198" i="1"/>
  <c r="J1198" i="1"/>
  <c r="K1198" i="1"/>
  <c r="AC1198" i="1"/>
  <c r="AJ1197" i="1"/>
  <c r="AK1197" i="1"/>
  <c r="AM1197" i="1"/>
  <c r="BG1197" i="1"/>
  <c r="T1198" i="1"/>
  <c r="U1198" i="1"/>
  <c r="V1198" i="1"/>
  <c r="W1198" i="1"/>
  <c r="X1198" i="1"/>
  <c r="Y1198" i="1"/>
  <c r="Z1198" i="1"/>
  <c r="AB1198" i="1"/>
  <c r="AF1198" i="1"/>
  <c r="AI1198" i="1"/>
  <c r="H1199" i="1"/>
  <c r="AE1199" i="1"/>
  <c r="I1199" i="1"/>
  <c r="J1199" i="1"/>
  <c r="K1199" i="1"/>
  <c r="AC1199" i="1"/>
  <c r="AJ1198" i="1"/>
  <c r="AK1198" i="1"/>
  <c r="AM1198" i="1"/>
  <c r="BF1198" i="1"/>
  <c r="BG1198" i="1"/>
  <c r="T1199" i="1"/>
  <c r="U1199" i="1"/>
  <c r="V1199" i="1"/>
  <c r="W1199" i="1"/>
  <c r="X1199" i="1"/>
  <c r="Y1199" i="1"/>
  <c r="Z1199" i="1"/>
  <c r="AB1199" i="1"/>
  <c r="AF1199" i="1"/>
  <c r="AI1199" i="1"/>
  <c r="H1200" i="1"/>
  <c r="AE1200" i="1"/>
  <c r="I1200" i="1"/>
  <c r="J1200" i="1"/>
  <c r="K1200" i="1"/>
  <c r="AC1200" i="1"/>
  <c r="AJ1199" i="1"/>
  <c r="AK1199" i="1"/>
  <c r="AM1199" i="1"/>
  <c r="BF1199" i="1"/>
  <c r="BG1199" i="1"/>
  <c r="T1200" i="1"/>
  <c r="U1200" i="1"/>
  <c r="V1200" i="1"/>
  <c r="W1200" i="1"/>
  <c r="X1200" i="1"/>
  <c r="Y1200" i="1"/>
  <c r="Z1200" i="1"/>
  <c r="AB1200" i="1"/>
  <c r="AF1200" i="1"/>
  <c r="AI1200" i="1"/>
  <c r="H1201" i="1"/>
  <c r="AE1201" i="1"/>
  <c r="I1201" i="1"/>
  <c r="J1201" i="1"/>
  <c r="K1201" i="1"/>
  <c r="AC1201" i="1"/>
  <c r="AJ1200" i="1"/>
  <c r="AK1200" i="1"/>
  <c r="AM1200" i="1"/>
  <c r="BF1200" i="1"/>
  <c r="BG1200" i="1"/>
  <c r="T1201" i="1"/>
  <c r="U1201" i="1"/>
  <c r="V1201" i="1"/>
  <c r="W1201" i="1"/>
  <c r="X1201" i="1"/>
  <c r="Y1201" i="1"/>
  <c r="Z1201" i="1"/>
  <c r="AB1201" i="1"/>
  <c r="AF1201" i="1"/>
  <c r="AI1201" i="1"/>
  <c r="H1202" i="1"/>
  <c r="AE1202" i="1"/>
  <c r="I1202" i="1"/>
  <c r="J1202" i="1"/>
  <c r="K1202" i="1"/>
  <c r="AC1202" i="1"/>
  <c r="AJ1201" i="1"/>
  <c r="AK1201" i="1"/>
  <c r="AM1201" i="1"/>
  <c r="BF1201" i="1"/>
  <c r="BG1201" i="1"/>
  <c r="T1202" i="1"/>
  <c r="U1202" i="1"/>
  <c r="V1202" i="1"/>
  <c r="W1202" i="1"/>
  <c r="X1202" i="1"/>
  <c r="Y1202" i="1"/>
  <c r="Z1202" i="1"/>
  <c r="AB1202" i="1"/>
  <c r="AF1202" i="1"/>
  <c r="AI1202" i="1"/>
  <c r="H1203" i="1"/>
  <c r="AE1203" i="1"/>
  <c r="I1203" i="1"/>
  <c r="J1203" i="1"/>
  <c r="K1203" i="1"/>
  <c r="AC1203" i="1"/>
  <c r="AJ1202" i="1"/>
  <c r="AK1202" i="1"/>
  <c r="AM1202" i="1"/>
  <c r="BF1202" i="1"/>
  <c r="BG1202" i="1"/>
  <c r="T1203" i="1"/>
  <c r="U1203" i="1"/>
  <c r="V1203" i="1"/>
  <c r="W1203" i="1"/>
  <c r="X1203" i="1"/>
  <c r="Y1203" i="1"/>
  <c r="Z1203" i="1"/>
  <c r="AB1203" i="1"/>
  <c r="AF1203" i="1"/>
  <c r="AI1203" i="1"/>
  <c r="AE1204" i="1"/>
  <c r="AC1204" i="1"/>
  <c r="AJ1203" i="1"/>
  <c r="AK1203" i="1"/>
  <c r="AM1203" i="1"/>
  <c r="BF1203" i="1"/>
  <c r="BG1203" i="1"/>
  <c r="T1204" i="1"/>
  <c r="U1204" i="1"/>
  <c r="V1204" i="1"/>
  <c r="W1204" i="1"/>
  <c r="X1204" i="1"/>
  <c r="Y1204" i="1"/>
  <c r="Z1204" i="1"/>
  <c r="AB1204" i="1"/>
  <c r="AF1204" i="1"/>
  <c r="AI1204" i="1"/>
  <c r="AE1205" i="1"/>
  <c r="AC1205" i="1"/>
  <c r="AJ1204" i="1"/>
  <c r="AK1204" i="1"/>
  <c r="AM1204" i="1"/>
  <c r="BF1204" i="1"/>
  <c r="BG1204" i="1"/>
  <c r="T1205" i="1"/>
  <c r="U1205" i="1"/>
  <c r="V1205" i="1"/>
  <c r="W1205" i="1"/>
  <c r="X1205" i="1"/>
  <c r="Y1205" i="1"/>
  <c r="Z1205" i="1"/>
  <c r="AB1205" i="1"/>
  <c r="AF1205" i="1"/>
  <c r="AI1205" i="1"/>
  <c r="H1206" i="1"/>
  <c r="AE1206" i="1"/>
  <c r="I1206" i="1"/>
  <c r="J1206" i="1"/>
  <c r="K1206" i="1"/>
  <c r="AC1206" i="1"/>
  <c r="AJ1205" i="1"/>
  <c r="AK1205" i="1"/>
  <c r="AM1205" i="1"/>
  <c r="BG1205" i="1"/>
  <c r="T1206" i="1"/>
  <c r="U1206" i="1"/>
  <c r="V1206" i="1"/>
  <c r="W1206" i="1"/>
  <c r="X1206" i="1"/>
  <c r="Y1206" i="1"/>
  <c r="Z1206" i="1"/>
  <c r="AB1206" i="1"/>
  <c r="AF1206" i="1"/>
  <c r="AI1206" i="1"/>
  <c r="AE1207" i="1"/>
  <c r="AC1207" i="1"/>
  <c r="AJ1206" i="1"/>
  <c r="AK1206" i="1"/>
  <c r="AM1206" i="1"/>
  <c r="BF1206" i="1"/>
  <c r="BG1206" i="1"/>
  <c r="T1207" i="1"/>
  <c r="U1207" i="1"/>
  <c r="V1207" i="1"/>
  <c r="W1207" i="1"/>
  <c r="X1207" i="1"/>
  <c r="Y1207" i="1"/>
  <c r="Z1207" i="1"/>
  <c r="AB1207" i="1"/>
  <c r="AF1207" i="1"/>
  <c r="AI1207" i="1"/>
  <c r="AE1208" i="1"/>
  <c r="AC1208" i="1"/>
  <c r="AJ1207" i="1"/>
  <c r="AK1207" i="1"/>
  <c r="AM1207" i="1"/>
  <c r="BF1207" i="1"/>
  <c r="BG1207" i="1"/>
  <c r="T1208" i="1"/>
  <c r="U1208" i="1"/>
  <c r="V1208" i="1"/>
  <c r="W1208" i="1"/>
  <c r="X1208" i="1"/>
  <c r="Y1208" i="1"/>
  <c r="Z1208" i="1"/>
  <c r="AB1208" i="1"/>
  <c r="AF1208" i="1"/>
  <c r="AI1208" i="1"/>
  <c r="H1209" i="1"/>
  <c r="AE1209" i="1"/>
  <c r="I1209" i="1"/>
  <c r="J1209" i="1"/>
  <c r="K1209" i="1"/>
  <c r="AC1209" i="1"/>
  <c r="AJ1208" i="1"/>
  <c r="AK1208" i="1"/>
  <c r="AM1208" i="1"/>
  <c r="BG1208" i="1"/>
  <c r="T1209" i="1"/>
  <c r="U1209" i="1"/>
  <c r="V1209" i="1"/>
  <c r="W1209" i="1"/>
  <c r="X1209" i="1"/>
  <c r="Y1209" i="1"/>
  <c r="Z1209" i="1"/>
  <c r="AB1209" i="1"/>
  <c r="AF1209" i="1"/>
  <c r="AI1209" i="1"/>
  <c r="H1210" i="1"/>
  <c r="AE1210" i="1"/>
  <c r="I1210" i="1"/>
  <c r="J1210" i="1"/>
  <c r="K1210" i="1"/>
  <c r="AC1210" i="1"/>
  <c r="AJ1209" i="1"/>
  <c r="AK1209" i="1"/>
  <c r="AM1209" i="1"/>
  <c r="BF1209" i="1"/>
  <c r="BG1209" i="1"/>
  <c r="T1210" i="1"/>
  <c r="U1210" i="1"/>
  <c r="V1210" i="1"/>
  <c r="W1210" i="1"/>
  <c r="X1210" i="1"/>
  <c r="Y1210" i="1"/>
  <c r="Z1210" i="1"/>
  <c r="AB1210" i="1"/>
  <c r="AF1210" i="1"/>
  <c r="AI1210" i="1"/>
  <c r="H1211" i="1"/>
  <c r="AE1211" i="1"/>
  <c r="I1211" i="1"/>
  <c r="J1211" i="1"/>
  <c r="K1211" i="1"/>
  <c r="AC1211" i="1"/>
  <c r="AJ1210" i="1"/>
  <c r="AK1210" i="1"/>
  <c r="AM1210" i="1"/>
  <c r="BF1210" i="1"/>
  <c r="BG1210" i="1"/>
  <c r="T1211" i="1"/>
  <c r="U1211" i="1"/>
  <c r="V1211" i="1"/>
  <c r="W1211" i="1"/>
  <c r="X1211" i="1"/>
  <c r="Y1211" i="1"/>
  <c r="Z1211" i="1"/>
  <c r="AB1211" i="1"/>
  <c r="AF1211" i="1"/>
  <c r="AI1211" i="1"/>
  <c r="AE1212" i="1"/>
  <c r="AC1212" i="1"/>
  <c r="AJ1211" i="1"/>
  <c r="AK1211" i="1"/>
  <c r="AM1211" i="1"/>
  <c r="BF1211" i="1"/>
  <c r="BG1211" i="1"/>
  <c r="T1212" i="1"/>
  <c r="U1212" i="1"/>
  <c r="V1212" i="1"/>
  <c r="W1212" i="1"/>
  <c r="X1212" i="1"/>
  <c r="Y1212" i="1"/>
  <c r="Z1212" i="1"/>
  <c r="AB1212" i="1"/>
  <c r="AF1212" i="1"/>
  <c r="AI1212" i="1"/>
  <c r="AE1213" i="1"/>
  <c r="AC1213" i="1"/>
  <c r="AJ1212" i="1"/>
  <c r="AK1212" i="1"/>
  <c r="AM1212" i="1"/>
  <c r="BF1212" i="1"/>
  <c r="BG1212" i="1"/>
  <c r="T1213" i="1"/>
  <c r="U1213" i="1"/>
  <c r="V1213" i="1"/>
  <c r="W1213" i="1"/>
  <c r="X1213" i="1"/>
  <c r="Y1213" i="1"/>
  <c r="Z1213" i="1"/>
  <c r="AB1213" i="1"/>
  <c r="AF1213" i="1"/>
  <c r="AI1213" i="1"/>
  <c r="H1214" i="1"/>
  <c r="AE1214" i="1"/>
  <c r="I1214" i="1"/>
  <c r="J1214" i="1"/>
  <c r="K1214" i="1"/>
  <c r="AC1214" i="1"/>
  <c r="AJ1213" i="1"/>
  <c r="AK1213" i="1"/>
  <c r="AM1213" i="1"/>
  <c r="BG1213" i="1"/>
  <c r="T1214" i="1"/>
  <c r="U1214" i="1"/>
  <c r="V1214" i="1"/>
  <c r="W1214" i="1"/>
  <c r="X1214" i="1"/>
  <c r="Y1214" i="1"/>
  <c r="Z1214" i="1"/>
  <c r="AB1214" i="1"/>
  <c r="AF1214" i="1"/>
  <c r="AI1214" i="1"/>
  <c r="H1215" i="1"/>
  <c r="AE1215" i="1"/>
  <c r="I1215" i="1"/>
  <c r="J1215" i="1"/>
  <c r="K1215" i="1"/>
  <c r="AC1215" i="1"/>
  <c r="AJ1214" i="1"/>
  <c r="AK1214" i="1"/>
  <c r="AM1214" i="1"/>
  <c r="BF1214" i="1"/>
  <c r="BG1214" i="1"/>
  <c r="T1215" i="1"/>
  <c r="U1215" i="1"/>
  <c r="V1215" i="1"/>
  <c r="W1215" i="1"/>
  <c r="X1215" i="1"/>
  <c r="Y1215" i="1"/>
  <c r="Z1215" i="1"/>
  <c r="AB1215" i="1"/>
  <c r="AF1215" i="1"/>
  <c r="AI1215" i="1"/>
  <c r="H1216" i="1"/>
  <c r="AE1216" i="1"/>
  <c r="I1216" i="1"/>
  <c r="J1216" i="1"/>
  <c r="K1216" i="1"/>
  <c r="AC1216" i="1"/>
  <c r="AJ1215" i="1"/>
  <c r="AK1215" i="1"/>
  <c r="AM1215" i="1"/>
  <c r="BF1215" i="1"/>
  <c r="BG1215" i="1"/>
  <c r="T1216" i="1"/>
  <c r="U1216" i="1"/>
  <c r="V1216" i="1"/>
  <c r="W1216" i="1"/>
  <c r="X1216" i="1"/>
  <c r="Y1216" i="1"/>
  <c r="Z1216" i="1"/>
  <c r="AB1216" i="1"/>
  <c r="AF1216" i="1"/>
  <c r="AI1216" i="1"/>
  <c r="H1217" i="1"/>
  <c r="AE1217" i="1"/>
  <c r="I1217" i="1"/>
  <c r="J1217" i="1"/>
  <c r="K1217" i="1"/>
  <c r="AC1217" i="1"/>
  <c r="AJ1216" i="1"/>
  <c r="AK1216" i="1"/>
  <c r="AM1216" i="1"/>
  <c r="BF1216" i="1"/>
  <c r="BG1216" i="1"/>
  <c r="T1217" i="1"/>
  <c r="U1217" i="1"/>
  <c r="V1217" i="1"/>
  <c r="W1217" i="1"/>
  <c r="X1217" i="1"/>
  <c r="Y1217" i="1"/>
  <c r="Z1217" i="1"/>
  <c r="AB1217" i="1"/>
  <c r="AF1217" i="1"/>
  <c r="AI1217" i="1"/>
  <c r="H1218" i="1"/>
  <c r="AE1218" i="1"/>
  <c r="I1218" i="1"/>
  <c r="J1218" i="1"/>
  <c r="K1218" i="1"/>
  <c r="AC1218" i="1"/>
  <c r="AJ1217" i="1"/>
  <c r="AK1217" i="1"/>
  <c r="AM1217" i="1"/>
  <c r="BF1217" i="1"/>
  <c r="BG1217" i="1"/>
  <c r="T1218" i="1"/>
  <c r="U1218" i="1"/>
  <c r="V1218" i="1"/>
  <c r="W1218" i="1"/>
  <c r="X1218" i="1"/>
  <c r="Y1218" i="1"/>
  <c r="Z1218" i="1"/>
  <c r="AB1218" i="1"/>
  <c r="AF1218" i="1"/>
  <c r="AI1218" i="1"/>
  <c r="H1219" i="1"/>
  <c r="AE1219" i="1"/>
  <c r="I1219" i="1"/>
  <c r="J1219" i="1"/>
  <c r="K1219" i="1"/>
  <c r="AC1219" i="1"/>
  <c r="AJ1218" i="1"/>
  <c r="AK1218" i="1"/>
  <c r="AM1218" i="1"/>
  <c r="BF1218" i="1"/>
  <c r="BG1218" i="1"/>
  <c r="T1219" i="1"/>
  <c r="U1219" i="1"/>
  <c r="V1219" i="1"/>
  <c r="W1219" i="1"/>
  <c r="X1219" i="1"/>
  <c r="Y1219" i="1"/>
  <c r="Z1219" i="1"/>
  <c r="AB1219" i="1"/>
  <c r="AF1219" i="1"/>
  <c r="AI1219" i="1"/>
  <c r="AE1220" i="1"/>
  <c r="AC1220" i="1"/>
  <c r="AJ1219" i="1"/>
  <c r="AK1219" i="1"/>
  <c r="AM1219" i="1"/>
  <c r="BF1219" i="1"/>
  <c r="BG1219" i="1"/>
  <c r="T1220" i="1"/>
  <c r="U1220" i="1"/>
  <c r="V1220" i="1"/>
  <c r="W1220" i="1"/>
  <c r="X1220" i="1"/>
  <c r="Y1220" i="1"/>
  <c r="Z1220" i="1"/>
  <c r="AB1220" i="1"/>
  <c r="AF1220" i="1"/>
  <c r="AI1220" i="1"/>
  <c r="AE1221" i="1"/>
  <c r="AC1221" i="1"/>
  <c r="AJ1220" i="1"/>
  <c r="AK1220" i="1"/>
  <c r="AM1220" i="1"/>
  <c r="BF1220" i="1"/>
  <c r="BG1220" i="1"/>
  <c r="T1221" i="1"/>
  <c r="U1221" i="1"/>
  <c r="V1221" i="1"/>
  <c r="W1221" i="1"/>
  <c r="X1221" i="1"/>
  <c r="Y1221" i="1"/>
  <c r="Z1221" i="1"/>
  <c r="AB1221" i="1"/>
  <c r="AF1221" i="1"/>
  <c r="AI1221" i="1"/>
  <c r="H1222" i="1"/>
  <c r="AE1222" i="1"/>
  <c r="I1222" i="1"/>
  <c r="J1222" i="1"/>
  <c r="K1222" i="1"/>
  <c r="AC1222" i="1"/>
  <c r="AJ1221" i="1"/>
  <c r="AK1221" i="1"/>
  <c r="AM1221" i="1"/>
  <c r="BG1221" i="1"/>
  <c r="T1222" i="1"/>
  <c r="U1222" i="1"/>
  <c r="V1222" i="1"/>
  <c r="W1222" i="1"/>
  <c r="X1222" i="1"/>
  <c r="Y1222" i="1"/>
  <c r="Z1222" i="1"/>
  <c r="AB1222" i="1"/>
  <c r="AF1222" i="1"/>
  <c r="AI1222" i="1"/>
  <c r="H1223" i="1"/>
  <c r="AE1223" i="1"/>
  <c r="I1223" i="1"/>
  <c r="J1223" i="1"/>
  <c r="K1223" i="1"/>
  <c r="AC1223" i="1"/>
  <c r="AJ1222" i="1"/>
  <c r="AK1222" i="1"/>
  <c r="AM1222" i="1"/>
  <c r="BF1222" i="1"/>
  <c r="BG1222" i="1"/>
  <c r="T1223" i="1"/>
  <c r="U1223" i="1"/>
  <c r="V1223" i="1"/>
  <c r="W1223" i="1"/>
  <c r="X1223" i="1"/>
  <c r="Y1223" i="1"/>
  <c r="Z1223" i="1"/>
  <c r="AB1223" i="1"/>
  <c r="AF1223" i="1"/>
  <c r="AI1223" i="1"/>
  <c r="H1224" i="1"/>
  <c r="AE1224" i="1"/>
  <c r="I1224" i="1"/>
  <c r="J1224" i="1"/>
  <c r="K1224" i="1"/>
  <c r="AC1224" i="1"/>
  <c r="AJ1223" i="1"/>
  <c r="AK1223" i="1"/>
  <c r="AM1223" i="1"/>
  <c r="BF1223" i="1"/>
  <c r="BG1223" i="1"/>
  <c r="T1224" i="1"/>
  <c r="U1224" i="1"/>
  <c r="V1224" i="1"/>
  <c r="W1224" i="1"/>
  <c r="X1224" i="1"/>
  <c r="Y1224" i="1"/>
  <c r="Z1224" i="1"/>
  <c r="AB1224" i="1"/>
  <c r="AF1224" i="1"/>
  <c r="AI1224" i="1"/>
  <c r="H1225" i="1"/>
  <c r="AE1225" i="1"/>
  <c r="I1225" i="1"/>
  <c r="J1225" i="1"/>
  <c r="K1225" i="1"/>
  <c r="AC1225" i="1"/>
  <c r="AJ1224" i="1"/>
  <c r="AK1224" i="1"/>
  <c r="AM1224" i="1"/>
  <c r="BF1224" i="1"/>
  <c r="BG1224" i="1"/>
  <c r="T1225" i="1"/>
  <c r="U1225" i="1"/>
  <c r="V1225" i="1"/>
  <c r="W1225" i="1"/>
  <c r="X1225" i="1"/>
  <c r="Y1225" i="1"/>
  <c r="Z1225" i="1"/>
  <c r="AB1225" i="1"/>
  <c r="AF1225" i="1"/>
  <c r="AI1225" i="1"/>
  <c r="H1226" i="1"/>
  <c r="AE1226" i="1"/>
  <c r="I1226" i="1"/>
  <c r="J1226" i="1"/>
  <c r="K1226" i="1"/>
  <c r="AC1226" i="1"/>
  <c r="AJ1225" i="1"/>
  <c r="AK1225" i="1"/>
  <c r="AM1225" i="1"/>
  <c r="BF1225" i="1"/>
  <c r="BG1225" i="1"/>
  <c r="T1226" i="1"/>
  <c r="U1226" i="1"/>
  <c r="V1226" i="1"/>
  <c r="W1226" i="1"/>
  <c r="X1226" i="1"/>
  <c r="Y1226" i="1"/>
  <c r="Z1226" i="1"/>
  <c r="AB1226" i="1"/>
  <c r="AF1226" i="1"/>
  <c r="AI1226" i="1"/>
  <c r="AE1227" i="1"/>
  <c r="AC1227" i="1"/>
  <c r="AJ1226" i="1"/>
  <c r="AK1226" i="1"/>
  <c r="AM1226" i="1"/>
  <c r="BF1226" i="1"/>
  <c r="BG1226" i="1"/>
  <c r="T1227" i="1"/>
  <c r="U1227" i="1"/>
  <c r="V1227" i="1"/>
  <c r="W1227" i="1"/>
  <c r="X1227" i="1"/>
  <c r="Y1227" i="1"/>
  <c r="Z1227" i="1"/>
  <c r="AB1227" i="1"/>
  <c r="AF1227" i="1"/>
  <c r="AI1227" i="1"/>
  <c r="AE1228" i="1"/>
  <c r="AC1228" i="1"/>
  <c r="AJ1227" i="1"/>
  <c r="AK1227" i="1"/>
  <c r="AM1227" i="1"/>
  <c r="BF1227" i="1"/>
  <c r="BG1227" i="1"/>
  <c r="T1228" i="1"/>
  <c r="U1228" i="1"/>
  <c r="V1228" i="1"/>
  <c r="W1228" i="1"/>
  <c r="X1228" i="1"/>
  <c r="Y1228" i="1"/>
  <c r="Z1228" i="1"/>
  <c r="AB1228" i="1"/>
  <c r="AF1228" i="1"/>
  <c r="AI1228" i="1"/>
  <c r="H1229" i="1"/>
  <c r="AE1229" i="1"/>
  <c r="I1229" i="1"/>
  <c r="J1229" i="1"/>
  <c r="K1229" i="1"/>
  <c r="AC1229" i="1"/>
  <c r="AJ1228" i="1"/>
  <c r="AK1228" i="1"/>
  <c r="AM1228" i="1"/>
  <c r="BG1228" i="1"/>
  <c r="T1229" i="1"/>
  <c r="U1229" i="1"/>
  <c r="V1229" i="1"/>
  <c r="W1229" i="1"/>
  <c r="X1229" i="1"/>
  <c r="Y1229" i="1"/>
  <c r="Z1229" i="1"/>
  <c r="AB1229" i="1"/>
  <c r="AF1229" i="1"/>
  <c r="AI1229" i="1"/>
  <c r="H1230" i="1"/>
  <c r="AE1230" i="1"/>
  <c r="I1230" i="1"/>
  <c r="J1230" i="1"/>
  <c r="K1230" i="1"/>
  <c r="AC1230" i="1"/>
  <c r="AJ1229" i="1"/>
  <c r="AK1229" i="1"/>
  <c r="AM1229" i="1"/>
  <c r="BF1229" i="1"/>
  <c r="BG1229" i="1"/>
  <c r="T1230" i="1"/>
  <c r="U1230" i="1"/>
  <c r="V1230" i="1"/>
  <c r="W1230" i="1"/>
  <c r="X1230" i="1"/>
  <c r="Y1230" i="1"/>
  <c r="Z1230" i="1"/>
  <c r="AB1230" i="1"/>
  <c r="AF1230" i="1"/>
  <c r="AI1230" i="1"/>
  <c r="H1231" i="1"/>
  <c r="AE1231" i="1"/>
  <c r="I1231" i="1"/>
  <c r="J1231" i="1"/>
  <c r="K1231" i="1"/>
  <c r="AC1231" i="1"/>
  <c r="AJ1230" i="1"/>
  <c r="AK1230" i="1"/>
  <c r="AM1230" i="1"/>
  <c r="BF1230" i="1"/>
  <c r="BG1230" i="1"/>
  <c r="T1231" i="1"/>
  <c r="U1231" i="1"/>
  <c r="V1231" i="1"/>
  <c r="W1231" i="1"/>
  <c r="X1231" i="1"/>
  <c r="Y1231" i="1"/>
  <c r="Z1231" i="1"/>
  <c r="AB1231" i="1"/>
  <c r="AF1231" i="1"/>
  <c r="AI1231" i="1"/>
  <c r="AE1232" i="1"/>
  <c r="AC1232" i="1"/>
  <c r="AJ1231" i="1"/>
  <c r="AK1231" i="1"/>
  <c r="AM1231" i="1"/>
  <c r="BF1231" i="1"/>
  <c r="BG1231" i="1"/>
  <c r="T1232" i="1"/>
  <c r="U1232" i="1"/>
  <c r="V1232" i="1"/>
  <c r="W1232" i="1"/>
  <c r="X1232" i="1"/>
  <c r="Y1232" i="1"/>
  <c r="Z1232" i="1"/>
  <c r="AB1232" i="1"/>
  <c r="AF1232" i="1"/>
  <c r="AI1232" i="1"/>
  <c r="AE1233" i="1"/>
  <c r="AC1233" i="1"/>
  <c r="AJ1232" i="1"/>
  <c r="AK1232" i="1"/>
  <c r="AM1232" i="1"/>
  <c r="BF1232" i="1"/>
  <c r="BG1232" i="1"/>
  <c r="T1233" i="1"/>
  <c r="U1233" i="1"/>
  <c r="V1233" i="1"/>
  <c r="W1233" i="1"/>
  <c r="X1233" i="1"/>
  <c r="Y1233" i="1"/>
  <c r="Z1233" i="1"/>
  <c r="AB1233" i="1"/>
  <c r="AF1233" i="1"/>
  <c r="AI1233" i="1"/>
  <c r="AE1234" i="1"/>
  <c r="AC1234" i="1"/>
  <c r="AJ1233" i="1"/>
  <c r="AK1233" i="1"/>
  <c r="AM1233" i="1"/>
  <c r="BF1233" i="1"/>
  <c r="BG1233" i="1"/>
  <c r="T1234" i="1"/>
  <c r="U1234" i="1"/>
  <c r="V1234" i="1"/>
  <c r="W1234" i="1"/>
  <c r="X1234" i="1"/>
  <c r="Y1234" i="1"/>
  <c r="Z1234" i="1"/>
  <c r="AB1234" i="1"/>
  <c r="AF1234" i="1"/>
  <c r="AI1234" i="1"/>
  <c r="H1235" i="1"/>
  <c r="AE1235" i="1"/>
  <c r="I1235" i="1"/>
  <c r="J1235" i="1"/>
  <c r="K1235" i="1"/>
  <c r="AC1235" i="1"/>
  <c r="AJ1234" i="1"/>
  <c r="AK1234" i="1"/>
  <c r="AM1234" i="1"/>
  <c r="BG1234" i="1"/>
  <c r="T1235" i="1"/>
  <c r="U1235" i="1"/>
  <c r="V1235" i="1"/>
  <c r="W1235" i="1"/>
  <c r="X1235" i="1"/>
  <c r="Y1235" i="1"/>
  <c r="Z1235" i="1"/>
  <c r="AB1235" i="1"/>
  <c r="AF1235" i="1"/>
  <c r="AI1235" i="1"/>
  <c r="AE1236" i="1"/>
  <c r="AC1236" i="1"/>
  <c r="AJ1235" i="1"/>
  <c r="AK1235" i="1"/>
  <c r="AM1235" i="1"/>
  <c r="BF1235" i="1"/>
  <c r="BG1235" i="1"/>
  <c r="T1236" i="1"/>
  <c r="U1236" i="1"/>
  <c r="V1236" i="1"/>
  <c r="W1236" i="1"/>
  <c r="X1236" i="1"/>
  <c r="Y1236" i="1"/>
  <c r="Z1236" i="1"/>
  <c r="AB1236" i="1"/>
  <c r="AF1236" i="1"/>
  <c r="AI1236" i="1"/>
  <c r="AE1237" i="1"/>
  <c r="AC1237" i="1"/>
  <c r="AJ1236" i="1"/>
  <c r="AK1236" i="1"/>
  <c r="AM1236" i="1"/>
  <c r="BF1236" i="1"/>
  <c r="BG1236" i="1"/>
  <c r="T1237" i="1"/>
  <c r="U1237" i="1"/>
  <c r="V1237" i="1"/>
  <c r="W1237" i="1"/>
  <c r="X1237" i="1"/>
  <c r="Y1237" i="1"/>
  <c r="Z1237" i="1"/>
  <c r="AB1237" i="1"/>
  <c r="AF1237" i="1"/>
  <c r="AI1237" i="1"/>
  <c r="AE1238" i="1"/>
  <c r="AC1238" i="1"/>
  <c r="AJ1237" i="1"/>
  <c r="AK1237" i="1"/>
  <c r="AM1237" i="1"/>
  <c r="BF1237" i="1"/>
  <c r="BG1237" i="1"/>
  <c r="T1238" i="1"/>
  <c r="U1238" i="1"/>
  <c r="V1238" i="1"/>
  <c r="W1238" i="1"/>
  <c r="X1238" i="1"/>
  <c r="Y1238" i="1"/>
  <c r="Z1238" i="1"/>
  <c r="AB1238" i="1"/>
  <c r="AF1238" i="1"/>
  <c r="AI1238" i="1"/>
  <c r="H1239" i="1"/>
  <c r="AE1239" i="1"/>
  <c r="I1239" i="1"/>
  <c r="J1239" i="1"/>
  <c r="K1239" i="1"/>
  <c r="AC1239" i="1"/>
  <c r="AJ1238" i="1"/>
  <c r="AK1238" i="1"/>
  <c r="AM1238" i="1"/>
  <c r="BG1238" i="1"/>
  <c r="T1239" i="1"/>
  <c r="U1239" i="1"/>
  <c r="V1239" i="1"/>
  <c r="W1239" i="1"/>
  <c r="X1239" i="1"/>
  <c r="Y1239" i="1"/>
  <c r="Z1239" i="1"/>
  <c r="AB1239" i="1"/>
  <c r="AF1239" i="1"/>
  <c r="AI1239" i="1"/>
  <c r="H1240" i="1"/>
  <c r="AE1240" i="1"/>
  <c r="I1240" i="1"/>
  <c r="J1240" i="1"/>
  <c r="K1240" i="1"/>
  <c r="AC1240" i="1"/>
  <c r="AJ1239" i="1"/>
  <c r="AK1239" i="1"/>
  <c r="AM1239" i="1"/>
  <c r="BF1239" i="1"/>
  <c r="BG1239" i="1"/>
  <c r="T1240" i="1"/>
  <c r="U1240" i="1"/>
  <c r="V1240" i="1"/>
  <c r="W1240" i="1"/>
  <c r="X1240" i="1"/>
  <c r="Y1240" i="1"/>
  <c r="Z1240" i="1"/>
  <c r="AB1240" i="1"/>
  <c r="AF1240" i="1"/>
  <c r="AI1240" i="1"/>
  <c r="H1241" i="1"/>
  <c r="AE1241" i="1"/>
  <c r="I1241" i="1"/>
  <c r="J1241" i="1"/>
  <c r="K1241" i="1"/>
  <c r="AC1241" i="1"/>
  <c r="AJ1240" i="1"/>
  <c r="AK1240" i="1"/>
  <c r="AM1240" i="1"/>
  <c r="BF1240" i="1"/>
  <c r="BG1240" i="1"/>
  <c r="T1241" i="1"/>
  <c r="U1241" i="1"/>
  <c r="V1241" i="1"/>
  <c r="W1241" i="1"/>
  <c r="X1241" i="1"/>
  <c r="Y1241" i="1"/>
  <c r="Z1241" i="1"/>
  <c r="AB1241" i="1"/>
  <c r="AF1241" i="1"/>
  <c r="AI1241" i="1"/>
  <c r="AE1242" i="1"/>
  <c r="AC1242" i="1"/>
  <c r="AJ1241" i="1"/>
  <c r="AK1241" i="1"/>
  <c r="AM1241" i="1"/>
  <c r="BF1241" i="1"/>
  <c r="BG1241" i="1"/>
  <c r="T1242" i="1"/>
  <c r="U1242" i="1"/>
  <c r="V1242" i="1"/>
  <c r="W1242" i="1"/>
  <c r="X1242" i="1"/>
  <c r="Y1242" i="1"/>
  <c r="Z1242" i="1"/>
  <c r="AB1242" i="1"/>
  <c r="AF1242" i="1"/>
  <c r="AI1242" i="1"/>
  <c r="AE1243" i="1"/>
  <c r="AC1243" i="1"/>
  <c r="AJ1242" i="1"/>
  <c r="AK1242" i="1"/>
  <c r="AM1242" i="1"/>
  <c r="BF1242" i="1"/>
  <c r="BG1242" i="1"/>
  <c r="T1243" i="1"/>
  <c r="U1243" i="1"/>
  <c r="V1243" i="1"/>
  <c r="W1243" i="1"/>
  <c r="X1243" i="1"/>
  <c r="Y1243" i="1"/>
  <c r="Z1243" i="1"/>
  <c r="AB1243" i="1"/>
  <c r="AF1243" i="1"/>
  <c r="AI1243" i="1"/>
  <c r="AE1244" i="1"/>
  <c r="AC1244" i="1"/>
  <c r="AJ1243" i="1"/>
  <c r="AK1243" i="1"/>
  <c r="AM1243" i="1"/>
  <c r="BF1243" i="1"/>
  <c r="BG1243" i="1"/>
  <c r="T1244" i="1"/>
  <c r="U1244" i="1"/>
  <c r="V1244" i="1"/>
  <c r="W1244" i="1"/>
  <c r="X1244" i="1"/>
  <c r="Y1244" i="1"/>
  <c r="Z1244" i="1"/>
  <c r="AB1244" i="1"/>
  <c r="AF1244" i="1"/>
  <c r="AI1244" i="1"/>
  <c r="H1245" i="1"/>
  <c r="AE1245" i="1"/>
  <c r="I1245" i="1"/>
  <c r="J1245" i="1"/>
  <c r="K1245" i="1"/>
  <c r="AC1245" i="1"/>
  <c r="AJ1244" i="1"/>
  <c r="AK1244" i="1"/>
  <c r="AM1244" i="1"/>
  <c r="BG1244" i="1"/>
  <c r="T1245" i="1"/>
  <c r="U1245" i="1"/>
  <c r="V1245" i="1"/>
  <c r="W1245" i="1"/>
  <c r="X1245" i="1"/>
  <c r="Y1245" i="1"/>
  <c r="Z1245" i="1"/>
  <c r="AB1245" i="1"/>
  <c r="AF1245" i="1"/>
  <c r="AI1245" i="1"/>
  <c r="AE1246" i="1"/>
  <c r="AC1246" i="1"/>
  <c r="AJ1245" i="1"/>
  <c r="AK1245" i="1"/>
  <c r="AM1245" i="1"/>
  <c r="BF1245" i="1"/>
  <c r="BG1245" i="1"/>
  <c r="T1246" i="1"/>
  <c r="U1246" i="1"/>
  <c r="V1246" i="1"/>
  <c r="W1246" i="1"/>
  <c r="X1246" i="1"/>
  <c r="Y1246" i="1"/>
  <c r="Z1246" i="1"/>
  <c r="AB1246" i="1"/>
  <c r="AF1246" i="1"/>
  <c r="AI1246" i="1"/>
  <c r="AE1247" i="1"/>
  <c r="AC1247" i="1"/>
  <c r="AJ1246" i="1"/>
  <c r="AK1246" i="1"/>
  <c r="AM1246" i="1"/>
  <c r="BF1246" i="1"/>
  <c r="BG1246" i="1"/>
  <c r="T1247" i="1"/>
  <c r="U1247" i="1"/>
  <c r="V1247" i="1"/>
  <c r="W1247" i="1"/>
  <c r="X1247" i="1"/>
  <c r="Y1247" i="1"/>
  <c r="Z1247" i="1"/>
  <c r="AB1247" i="1"/>
  <c r="AF1247" i="1"/>
  <c r="AI1247" i="1"/>
  <c r="AE1248" i="1"/>
  <c r="AC1248" i="1"/>
  <c r="AJ1247" i="1"/>
  <c r="AK1247" i="1"/>
  <c r="AM1247" i="1"/>
  <c r="BF1247" i="1"/>
  <c r="BG1247" i="1"/>
  <c r="T1248" i="1"/>
  <c r="U1248" i="1"/>
  <c r="V1248" i="1"/>
  <c r="W1248" i="1"/>
  <c r="X1248" i="1"/>
  <c r="Y1248" i="1"/>
  <c r="Z1248" i="1"/>
  <c r="AB1248" i="1"/>
  <c r="AF1248" i="1"/>
  <c r="AI1248" i="1"/>
  <c r="H1249" i="1"/>
  <c r="AE1249" i="1"/>
  <c r="I1249" i="1"/>
  <c r="J1249" i="1"/>
  <c r="K1249" i="1"/>
  <c r="AC1249" i="1"/>
  <c r="AJ1248" i="1"/>
  <c r="AK1248" i="1"/>
  <c r="AM1248" i="1"/>
  <c r="BG1248" i="1"/>
  <c r="T1249" i="1"/>
  <c r="U1249" i="1"/>
  <c r="V1249" i="1"/>
  <c r="W1249" i="1"/>
  <c r="X1249" i="1"/>
  <c r="Y1249" i="1"/>
  <c r="Z1249" i="1"/>
  <c r="AB1249" i="1"/>
  <c r="AF1249" i="1"/>
  <c r="AI1249" i="1"/>
  <c r="AE1250" i="1"/>
  <c r="AC1250" i="1"/>
  <c r="AJ1249" i="1"/>
  <c r="AK1249" i="1"/>
  <c r="AM1249" i="1"/>
  <c r="BF1249" i="1"/>
  <c r="BG1249" i="1"/>
  <c r="T1250" i="1"/>
  <c r="U1250" i="1"/>
  <c r="V1250" i="1"/>
  <c r="W1250" i="1"/>
  <c r="X1250" i="1"/>
  <c r="Y1250" i="1"/>
  <c r="Z1250" i="1"/>
  <c r="AB1250" i="1"/>
  <c r="AF1250" i="1"/>
  <c r="AI1250" i="1"/>
  <c r="AE1251" i="1"/>
  <c r="AC1251" i="1"/>
  <c r="AJ1250" i="1"/>
  <c r="AK1250" i="1"/>
  <c r="AM1250" i="1"/>
  <c r="BF1250" i="1"/>
  <c r="BG1250" i="1"/>
  <c r="T1251" i="1"/>
  <c r="U1251" i="1"/>
  <c r="V1251" i="1"/>
  <c r="W1251" i="1"/>
  <c r="X1251" i="1"/>
  <c r="Y1251" i="1"/>
  <c r="Z1251" i="1"/>
  <c r="AB1251" i="1"/>
  <c r="AF1251" i="1"/>
  <c r="AI1251" i="1"/>
  <c r="H1252" i="1"/>
  <c r="AE1252" i="1"/>
  <c r="I1252" i="1"/>
  <c r="J1252" i="1"/>
  <c r="K1252" i="1"/>
  <c r="AC1252" i="1"/>
  <c r="AJ1251" i="1"/>
  <c r="AK1251" i="1"/>
  <c r="AM1251" i="1"/>
  <c r="BG1251" i="1"/>
  <c r="T1252" i="1"/>
  <c r="U1252" i="1"/>
  <c r="V1252" i="1"/>
  <c r="W1252" i="1"/>
  <c r="X1252" i="1"/>
  <c r="Y1252" i="1"/>
  <c r="Z1252" i="1"/>
  <c r="AB1252" i="1"/>
  <c r="AF1252" i="1"/>
  <c r="AI1252" i="1"/>
  <c r="AE1253" i="1"/>
  <c r="AC1253" i="1"/>
  <c r="AJ1252" i="1"/>
  <c r="AK1252" i="1"/>
  <c r="AM1252" i="1"/>
  <c r="BF1252" i="1"/>
  <c r="BG1252" i="1"/>
  <c r="T1253" i="1"/>
  <c r="U1253" i="1"/>
  <c r="V1253" i="1"/>
  <c r="W1253" i="1"/>
  <c r="X1253" i="1"/>
  <c r="Y1253" i="1"/>
  <c r="Z1253" i="1"/>
  <c r="AB1253" i="1"/>
  <c r="AF1253" i="1"/>
  <c r="AI1253" i="1"/>
  <c r="AE1254" i="1"/>
  <c r="AC1254" i="1"/>
  <c r="AJ1253" i="1"/>
  <c r="AK1253" i="1"/>
  <c r="AM1253" i="1"/>
  <c r="BF1253" i="1"/>
  <c r="BG1253" i="1"/>
  <c r="T1254" i="1"/>
  <c r="U1254" i="1"/>
  <c r="V1254" i="1"/>
  <c r="W1254" i="1"/>
  <c r="X1254" i="1"/>
  <c r="Y1254" i="1"/>
  <c r="Z1254" i="1"/>
  <c r="AB1254" i="1"/>
  <c r="AF1254" i="1"/>
  <c r="AI1254" i="1"/>
  <c r="AE1255" i="1"/>
  <c r="AC1255" i="1"/>
  <c r="AJ1254" i="1"/>
  <c r="AK1254" i="1"/>
  <c r="AM1254" i="1"/>
  <c r="BF1254" i="1"/>
  <c r="BG1254" i="1"/>
  <c r="T1255" i="1"/>
  <c r="U1255" i="1"/>
  <c r="V1255" i="1"/>
  <c r="W1255" i="1"/>
  <c r="X1255" i="1"/>
  <c r="Y1255" i="1"/>
  <c r="Z1255" i="1"/>
  <c r="AB1255" i="1"/>
  <c r="AF1255" i="1"/>
  <c r="AI1255" i="1"/>
  <c r="H1256" i="1"/>
  <c r="AE1256" i="1"/>
  <c r="I1256" i="1"/>
  <c r="J1256" i="1"/>
  <c r="K1256" i="1"/>
  <c r="AC1256" i="1"/>
  <c r="AJ1255" i="1"/>
  <c r="AK1255" i="1"/>
  <c r="AM1255" i="1"/>
  <c r="BG1255" i="1"/>
  <c r="T1256" i="1"/>
  <c r="U1256" i="1"/>
  <c r="V1256" i="1"/>
  <c r="W1256" i="1"/>
  <c r="X1256" i="1"/>
  <c r="Y1256" i="1"/>
  <c r="Z1256" i="1"/>
  <c r="AB1256" i="1"/>
  <c r="AF1256" i="1"/>
  <c r="AI1256" i="1"/>
  <c r="H1257" i="1"/>
  <c r="AE1257" i="1"/>
  <c r="I1257" i="1"/>
  <c r="J1257" i="1"/>
  <c r="K1257" i="1"/>
  <c r="AC1257" i="1"/>
  <c r="AJ1256" i="1"/>
  <c r="AK1256" i="1"/>
  <c r="AM1256" i="1"/>
  <c r="BF1256" i="1"/>
  <c r="BG1256" i="1"/>
  <c r="T1257" i="1"/>
  <c r="U1257" i="1"/>
  <c r="V1257" i="1"/>
  <c r="W1257" i="1"/>
  <c r="X1257" i="1"/>
  <c r="Y1257" i="1"/>
  <c r="Z1257" i="1"/>
  <c r="AB1257" i="1"/>
  <c r="AF1257" i="1"/>
  <c r="AI1257" i="1"/>
  <c r="AE1258" i="1"/>
  <c r="AC1258" i="1"/>
  <c r="AJ1257" i="1"/>
  <c r="AK1257" i="1"/>
  <c r="AM1257" i="1"/>
  <c r="BF1257" i="1"/>
  <c r="BG1257" i="1"/>
  <c r="T1258" i="1"/>
  <c r="U1258" i="1"/>
  <c r="V1258" i="1"/>
  <c r="W1258" i="1"/>
  <c r="X1258" i="1"/>
  <c r="Y1258" i="1"/>
  <c r="Z1258" i="1"/>
  <c r="AB1258" i="1"/>
  <c r="AF1258" i="1"/>
  <c r="AI1258" i="1"/>
  <c r="AE1259" i="1"/>
  <c r="AC1259" i="1"/>
  <c r="AJ1258" i="1"/>
  <c r="AK1258" i="1"/>
  <c r="AM1258" i="1"/>
  <c r="BF1258" i="1"/>
  <c r="BG1258" i="1"/>
  <c r="T1259" i="1"/>
  <c r="U1259" i="1"/>
  <c r="V1259" i="1"/>
  <c r="W1259" i="1"/>
  <c r="X1259" i="1"/>
  <c r="Y1259" i="1"/>
  <c r="Z1259" i="1"/>
  <c r="AB1259" i="1"/>
  <c r="AF1259" i="1"/>
  <c r="AI1259" i="1"/>
  <c r="H1260" i="1"/>
  <c r="AE1260" i="1"/>
  <c r="I1260" i="1"/>
  <c r="J1260" i="1"/>
  <c r="K1260" i="1"/>
  <c r="AC1260" i="1"/>
  <c r="AJ1259" i="1"/>
  <c r="AK1259" i="1"/>
  <c r="AM1259" i="1"/>
  <c r="BG1259" i="1"/>
  <c r="T1260" i="1"/>
  <c r="U1260" i="1"/>
  <c r="V1260" i="1"/>
  <c r="W1260" i="1"/>
  <c r="X1260" i="1"/>
  <c r="Y1260" i="1"/>
  <c r="Z1260" i="1"/>
  <c r="AB1260" i="1"/>
  <c r="AF1260" i="1"/>
  <c r="AI1260" i="1"/>
  <c r="AE1261" i="1"/>
  <c r="AC1261" i="1"/>
  <c r="AJ1260" i="1"/>
  <c r="AK1260" i="1"/>
  <c r="AM1260" i="1"/>
  <c r="BF1260" i="1"/>
  <c r="BG1260" i="1"/>
  <c r="T1261" i="1"/>
  <c r="U1261" i="1"/>
  <c r="V1261" i="1"/>
  <c r="W1261" i="1"/>
  <c r="X1261" i="1"/>
  <c r="Y1261" i="1"/>
  <c r="Z1261" i="1"/>
  <c r="AB1261" i="1"/>
  <c r="AF1261" i="1"/>
  <c r="AI1261" i="1"/>
  <c r="AE1262" i="1"/>
  <c r="AC1262" i="1"/>
  <c r="AJ1261" i="1"/>
  <c r="AK1261" i="1"/>
  <c r="AM1261" i="1"/>
  <c r="BF1261" i="1"/>
  <c r="BG1261" i="1"/>
  <c r="T1262" i="1"/>
  <c r="U1262" i="1"/>
  <c r="V1262" i="1"/>
  <c r="W1262" i="1"/>
  <c r="X1262" i="1"/>
  <c r="Y1262" i="1"/>
  <c r="Z1262" i="1"/>
  <c r="AB1262" i="1"/>
  <c r="AF1262" i="1"/>
  <c r="AI1262" i="1"/>
  <c r="H1263" i="1"/>
  <c r="AE1263" i="1"/>
  <c r="I1263" i="1"/>
  <c r="J1263" i="1"/>
  <c r="K1263" i="1"/>
  <c r="AC1263" i="1"/>
  <c r="AJ1262" i="1"/>
  <c r="AK1262" i="1"/>
  <c r="AM1262" i="1"/>
  <c r="BG1262" i="1"/>
  <c r="T1263" i="1"/>
  <c r="U1263" i="1"/>
  <c r="V1263" i="1"/>
  <c r="W1263" i="1"/>
  <c r="X1263" i="1"/>
  <c r="Y1263" i="1"/>
  <c r="Z1263" i="1"/>
  <c r="AB1263" i="1"/>
  <c r="AF1263" i="1"/>
  <c r="AI1263" i="1"/>
  <c r="H1264" i="1"/>
  <c r="AE1264" i="1"/>
  <c r="I1264" i="1"/>
  <c r="J1264" i="1"/>
  <c r="K1264" i="1"/>
  <c r="AC1264" i="1"/>
  <c r="AJ1263" i="1"/>
  <c r="AK1263" i="1"/>
  <c r="AM1263" i="1"/>
  <c r="BF1263" i="1"/>
  <c r="BG1263" i="1"/>
  <c r="T1264" i="1"/>
  <c r="U1264" i="1"/>
  <c r="V1264" i="1"/>
  <c r="W1264" i="1"/>
  <c r="X1264" i="1"/>
  <c r="Y1264" i="1"/>
  <c r="Z1264" i="1"/>
  <c r="AB1264" i="1"/>
  <c r="AF1264" i="1"/>
  <c r="AI1264" i="1"/>
  <c r="AE1265" i="1"/>
  <c r="AC1265" i="1"/>
  <c r="AJ1264" i="1"/>
  <c r="AK1264" i="1"/>
  <c r="AM1264" i="1"/>
  <c r="BF1264" i="1"/>
  <c r="BG1264" i="1"/>
  <c r="T1265" i="1"/>
  <c r="U1265" i="1"/>
  <c r="V1265" i="1"/>
  <c r="W1265" i="1"/>
  <c r="X1265" i="1"/>
  <c r="Y1265" i="1"/>
  <c r="Z1265" i="1"/>
  <c r="AB1265" i="1"/>
  <c r="AF1265" i="1"/>
  <c r="AI1265" i="1"/>
  <c r="AE1266" i="1"/>
  <c r="AC1266" i="1"/>
  <c r="AJ1265" i="1"/>
  <c r="AK1265" i="1"/>
  <c r="AM1265" i="1"/>
  <c r="BF1265" i="1"/>
  <c r="BG1265" i="1"/>
  <c r="T1266" i="1"/>
  <c r="U1266" i="1"/>
  <c r="V1266" i="1"/>
  <c r="W1266" i="1"/>
  <c r="X1266" i="1"/>
  <c r="Y1266" i="1"/>
  <c r="Z1266" i="1"/>
  <c r="AB1266" i="1"/>
  <c r="AF1266" i="1"/>
  <c r="AI1266" i="1"/>
  <c r="H1267" i="1"/>
  <c r="AE1267" i="1"/>
  <c r="I1267" i="1"/>
  <c r="J1267" i="1"/>
  <c r="K1267" i="1"/>
  <c r="AC1267" i="1"/>
  <c r="AJ1266" i="1"/>
  <c r="AK1266" i="1"/>
  <c r="AM1266" i="1"/>
  <c r="BG1266" i="1"/>
  <c r="T1267" i="1"/>
  <c r="U1267" i="1"/>
  <c r="V1267" i="1"/>
  <c r="W1267" i="1"/>
  <c r="X1267" i="1"/>
  <c r="Y1267" i="1"/>
  <c r="Z1267" i="1"/>
  <c r="AB1267" i="1"/>
  <c r="AF1267" i="1"/>
  <c r="AI1267" i="1"/>
  <c r="AE1268" i="1"/>
  <c r="AC1268" i="1"/>
  <c r="AJ1267" i="1"/>
  <c r="AK1267" i="1"/>
  <c r="AM1267" i="1"/>
  <c r="BF1267" i="1"/>
  <c r="BG1267" i="1"/>
  <c r="T1268" i="1"/>
  <c r="U1268" i="1"/>
  <c r="V1268" i="1"/>
  <c r="W1268" i="1"/>
  <c r="X1268" i="1"/>
  <c r="Y1268" i="1"/>
  <c r="Z1268" i="1"/>
  <c r="AB1268" i="1"/>
  <c r="AF1268" i="1"/>
  <c r="AI1268" i="1"/>
  <c r="AE1269" i="1"/>
  <c r="AC1269" i="1"/>
  <c r="AJ1268" i="1"/>
  <c r="AK1268" i="1"/>
  <c r="AM1268" i="1"/>
  <c r="BF1268" i="1"/>
  <c r="BG1268" i="1"/>
  <c r="T1269" i="1"/>
  <c r="U1269" i="1"/>
  <c r="V1269" i="1"/>
  <c r="W1269" i="1"/>
  <c r="X1269" i="1"/>
  <c r="Y1269" i="1"/>
  <c r="Z1269" i="1"/>
  <c r="AB1269" i="1"/>
  <c r="AF1269" i="1"/>
  <c r="AI1269" i="1"/>
  <c r="AE1270" i="1"/>
  <c r="AC1270" i="1"/>
  <c r="AJ1269" i="1"/>
  <c r="AK1269" i="1"/>
  <c r="AM1269" i="1"/>
  <c r="BF1269" i="1"/>
  <c r="BG1269" i="1"/>
  <c r="T1270" i="1"/>
  <c r="U1270" i="1"/>
  <c r="V1270" i="1"/>
  <c r="W1270" i="1"/>
  <c r="X1270" i="1"/>
  <c r="Y1270" i="1"/>
  <c r="Z1270" i="1"/>
  <c r="AB1270" i="1"/>
  <c r="AF1270" i="1"/>
  <c r="AI1270" i="1"/>
  <c r="H1271" i="1"/>
  <c r="AE1271" i="1"/>
  <c r="I1271" i="1"/>
  <c r="J1271" i="1"/>
  <c r="K1271" i="1"/>
  <c r="AC1271" i="1"/>
  <c r="AJ1270" i="1"/>
  <c r="AK1270" i="1"/>
  <c r="AM1270" i="1"/>
  <c r="BG1270" i="1"/>
  <c r="T1271" i="1"/>
  <c r="U1271" i="1"/>
  <c r="V1271" i="1"/>
  <c r="W1271" i="1"/>
  <c r="X1271" i="1"/>
  <c r="Y1271" i="1"/>
  <c r="Z1271" i="1"/>
  <c r="AB1271" i="1"/>
  <c r="AF1271" i="1"/>
  <c r="AI1271" i="1"/>
  <c r="AE1272" i="1"/>
  <c r="AC1272" i="1"/>
  <c r="AJ1271" i="1"/>
  <c r="AK1271" i="1"/>
  <c r="AM1271" i="1"/>
  <c r="BF1271" i="1"/>
  <c r="BG1271" i="1"/>
  <c r="T1272" i="1"/>
  <c r="U1272" i="1"/>
  <c r="V1272" i="1"/>
  <c r="W1272" i="1"/>
  <c r="X1272" i="1"/>
  <c r="Y1272" i="1"/>
  <c r="Z1272" i="1"/>
  <c r="AB1272" i="1"/>
  <c r="AF1272" i="1"/>
  <c r="AI1272" i="1"/>
  <c r="AE1273" i="1"/>
  <c r="AC1273" i="1"/>
  <c r="AJ1272" i="1"/>
  <c r="AK1272" i="1"/>
  <c r="AM1272" i="1"/>
  <c r="BF1272" i="1"/>
  <c r="BG1272" i="1"/>
  <c r="T1273" i="1"/>
  <c r="U1273" i="1"/>
  <c r="V1273" i="1"/>
  <c r="W1273" i="1"/>
  <c r="X1273" i="1"/>
  <c r="Y1273" i="1"/>
  <c r="Z1273" i="1"/>
  <c r="AB1273" i="1"/>
  <c r="AF1273" i="1"/>
  <c r="AI1273" i="1"/>
  <c r="AE1274" i="1"/>
  <c r="AC1274" i="1"/>
  <c r="AJ1273" i="1"/>
  <c r="AK1273" i="1"/>
  <c r="AM1273" i="1"/>
  <c r="BF1273" i="1"/>
  <c r="BG1273" i="1"/>
  <c r="T1274" i="1"/>
  <c r="U1274" i="1"/>
  <c r="V1274" i="1"/>
  <c r="W1274" i="1"/>
  <c r="X1274" i="1"/>
  <c r="Y1274" i="1"/>
  <c r="Z1274" i="1"/>
  <c r="AB1274" i="1"/>
  <c r="AF1274" i="1"/>
  <c r="AI1274" i="1"/>
  <c r="H1275" i="1"/>
  <c r="AE1275" i="1"/>
  <c r="I1275" i="1"/>
  <c r="J1275" i="1"/>
  <c r="K1275" i="1"/>
  <c r="AC1275" i="1"/>
  <c r="AJ1274" i="1"/>
  <c r="AK1274" i="1"/>
  <c r="AM1274" i="1"/>
  <c r="BG1274" i="1"/>
  <c r="T1275" i="1"/>
  <c r="U1275" i="1"/>
  <c r="V1275" i="1"/>
  <c r="W1275" i="1"/>
  <c r="X1275" i="1"/>
  <c r="Y1275" i="1"/>
  <c r="Z1275" i="1"/>
  <c r="AB1275" i="1"/>
  <c r="AF1275" i="1"/>
  <c r="AI1275" i="1"/>
  <c r="AE1276" i="1"/>
  <c r="AC1276" i="1"/>
  <c r="AJ1275" i="1"/>
  <c r="AK1275" i="1"/>
  <c r="AM1275" i="1"/>
  <c r="BF1275" i="1"/>
  <c r="BG1275" i="1"/>
  <c r="T1276" i="1"/>
  <c r="U1276" i="1"/>
  <c r="V1276" i="1"/>
  <c r="W1276" i="1"/>
  <c r="X1276" i="1"/>
  <c r="Y1276" i="1"/>
  <c r="Z1276" i="1"/>
  <c r="AB1276" i="1"/>
  <c r="AF1276" i="1"/>
  <c r="AI1276" i="1"/>
  <c r="AE1277" i="1"/>
  <c r="AC1277" i="1"/>
  <c r="AJ1276" i="1"/>
  <c r="AK1276" i="1"/>
  <c r="AM1276" i="1"/>
  <c r="BF1276" i="1"/>
  <c r="BG1276" i="1"/>
  <c r="T1277" i="1"/>
  <c r="U1277" i="1"/>
  <c r="V1277" i="1"/>
  <c r="W1277" i="1"/>
  <c r="X1277" i="1"/>
  <c r="Y1277" i="1"/>
  <c r="Z1277" i="1"/>
  <c r="AB1277" i="1"/>
  <c r="AF1277" i="1"/>
  <c r="AI1277" i="1"/>
  <c r="H1278" i="1"/>
  <c r="AE1278" i="1"/>
  <c r="I1278" i="1"/>
  <c r="J1278" i="1"/>
  <c r="K1278" i="1"/>
  <c r="AC1278" i="1"/>
  <c r="AJ1277" i="1"/>
  <c r="AK1277" i="1"/>
  <c r="AM1277" i="1"/>
  <c r="BG1277" i="1"/>
  <c r="T1278" i="1"/>
  <c r="U1278" i="1"/>
  <c r="V1278" i="1"/>
  <c r="W1278" i="1"/>
  <c r="X1278" i="1"/>
  <c r="Y1278" i="1"/>
  <c r="Z1278" i="1"/>
  <c r="AB1278" i="1"/>
  <c r="AF1278" i="1"/>
  <c r="AI1278" i="1"/>
  <c r="AE1279" i="1"/>
  <c r="AC1279" i="1"/>
  <c r="AJ1278" i="1"/>
  <c r="AK1278" i="1"/>
  <c r="AM1278" i="1"/>
  <c r="BF1278" i="1"/>
  <c r="BG1278" i="1"/>
  <c r="T1279" i="1"/>
  <c r="U1279" i="1"/>
  <c r="V1279" i="1"/>
  <c r="W1279" i="1"/>
  <c r="X1279" i="1"/>
  <c r="Y1279" i="1"/>
  <c r="Z1279" i="1"/>
  <c r="AB1279" i="1"/>
  <c r="AF1279" i="1"/>
  <c r="AI1279" i="1"/>
  <c r="AE1280" i="1"/>
  <c r="AC1280" i="1"/>
  <c r="AJ1279" i="1"/>
  <c r="AK1279" i="1"/>
  <c r="AM1279" i="1"/>
  <c r="BF1279" i="1"/>
  <c r="BG1279" i="1"/>
  <c r="T1280" i="1"/>
  <c r="U1280" i="1"/>
  <c r="V1280" i="1"/>
  <c r="W1280" i="1"/>
  <c r="X1280" i="1"/>
  <c r="Y1280" i="1"/>
  <c r="Z1280" i="1"/>
  <c r="AB1280" i="1"/>
  <c r="AF1280" i="1"/>
  <c r="AI1280" i="1"/>
  <c r="H1281" i="1"/>
  <c r="AE1281" i="1"/>
  <c r="I1281" i="1"/>
  <c r="J1281" i="1"/>
  <c r="K1281" i="1"/>
  <c r="AC1281" i="1"/>
  <c r="AJ1280" i="1"/>
  <c r="AK1280" i="1"/>
  <c r="AM1280" i="1"/>
  <c r="BG1280" i="1"/>
  <c r="T1281" i="1"/>
  <c r="U1281" i="1"/>
  <c r="V1281" i="1"/>
  <c r="W1281" i="1"/>
  <c r="X1281" i="1"/>
  <c r="Y1281" i="1"/>
  <c r="Z1281" i="1"/>
  <c r="AB1281" i="1"/>
  <c r="AF1281" i="1"/>
  <c r="AI1281" i="1"/>
  <c r="AE1282" i="1"/>
  <c r="AC1282" i="1"/>
  <c r="AJ1281" i="1"/>
  <c r="AK1281" i="1"/>
  <c r="AM1281" i="1"/>
  <c r="BF1281" i="1"/>
  <c r="BG1281" i="1"/>
  <c r="T1282" i="1"/>
  <c r="U1282" i="1"/>
  <c r="V1282" i="1"/>
  <c r="W1282" i="1"/>
  <c r="X1282" i="1"/>
  <c r="Y1282" i="1"/>
  <c r="Z1282" i="1"/>
  <c r="AB1282" i="1"/>
  <c r="AF1282" i="1"/>
  <c r="AI1282" i="1"/>
  <c r="AE1283" i="1"/>
  <c r="AC1283" i="1"/>
  <c r="AJ1282" i="1"/>
  <c r="AK1282" i="1"/>
  <c r="AM1282" i="1"/>
  <c r="BF1282" i="1"/>
  <c r="BG1282" i="1"/>
  <c r="T1283" i="1"/>
  <c r="U1283" i="1"/>
  <c r="V1283" i="1"/>
  <c r="W1283" i="1"/>
  <c r="X1283" i="1"/>
  <c r="Y1283" i="1"/>
  <c r="Z1283" i="1"/>
  <c r="AB1283" i="1"/>
  <c r="AF1283" i="1"/>
  <c r="AI1283" i="1"/>
  <c r="H1284" i="1"/>
  <c r="AE1284" i="1"/>
  <c r="I1284" i="1"/>
  <c r="J1284" i="1"/>
  <c r="K1284" i="1"/>
  <c r="AC1284" i="1"/>
  <c r="AJ1283" i="1"/>
  <c r="AK1283" i="1"/>
  <c r="AM1283" i="1"/>
  <c r="BG1283" i="1"/>
  <c r="T1284" i="1"/>
  <c r="U1284" i="1"/>
  <c r="V1284" i="1"/>
  <c r="W1284" i="1"/>
  <c r="X1284" i="1"/>
  <c r="Y1284" i="1"/>
  <c r="Z1284" i="1"/>
  <c r="AB1284" i="1"/>
  <c r="AF1284" i="1"/>
  <c r="AI1284" i="1"/>
  <c r="AE1285" i="1"/>
  <c r="AC1285" i="1"/>
  <c r="AJ1284" i="1"/>
  <c r="AK1284" i="1"/>
  <c r="AM1284" i="1"/>
  <c r="BF1284" i="1"/>
  <c r="BG1284" i="1"/>
  <c r="T1285" i="1"/>
  <c r="U1285" i="1"/>
  <c r="V1285" i="1"/>
  <c r="W1285" i="1"/>
  <c r="X1285" i="1"/>
  <c r="Y1285" i="1"/>
  <c r="Z1285" i="1"/>
  <c r="AB1285" i="1"/>
  <c r="AF1285" i="1"/>
  <c r="AI1285" i="1"/>
  <c r="AE1286" i="1"/>
  <c r="AC1286" i="1"/>
  <c r="AJ1285" i="1"/>
  <c r="AK1285" i="1"/>
  <c r="AM1285" i="1"/>
  <c r="BF1285" i="1"/>
  <c r="BG1285" i="1"/>
  <c r="T1286" i="1"/>
  <c r="U1286" i="1"/>
  <c r="V1286" i="1"/>
  <c r="W1286" i="1"/>
  <c r="X1286" i="1"/>
  <c r="Y1286" i="1"/>
  <c r="Z1286" i="1"/>
  <c r="AB1286" i="1"/>
  <c r="AF1286" i="1"/>
  <c r="AI1286" i="1"/>
  <c r="H1287" i="1"/>
  <c r="AE1287" i="1"/>
  <c r="I1287" i="1"/>
  <c r="J1287" i="1"/>
  <c r="K1287" i="1"/>
  <c r="AC1287" i="1"/>
  <c r="AJ1286" i="1"/>
  <c r="AK1286" i="1"/>
  <c r="AM1286" i="1"/>
  <c r="BG1286" i="1"/>
  <c r="T1287" i="1"/>
  <c r="U1287" i="1"/>
  <c r="V1287" i="1"/>
  <c r="W1287" i="1"/>
  <c r="X1287" i="1"/>
  <c r="Y1287" i="1"/>
  <c r="Z1287" i="1"/>
  <c r="AB1287" i="1"/>
  <c r="AF1287" i="1"/>
  <c r="AI1287" i="1"/>
  <c r="AE1288" i="1"/>
  <c r="AC1288" i="1"/>
  <c r="AJ1287" i="1"/>
  <c r="AK1287" i="1"/>
  <c r="AM1287" i="1"/>
  <c r="BF1287" i="1"/>
  <c r="BG1287" i="1"/>
  <c r="T1288" i="1"/>
  <c r="U1288" i="1"/>
  <c r="V1288" i="1"/>
  <c r="W1288" i="1"/>
  <c r="X1288" i="1"/>
  <c r="Y1288" i="1"/>
  <c r="Z1288" i="1"/>
  <c r="AB1288" i="1"/>
  <c r="AF1288" i="1"/>
  <c r="AI1288" i="1"/>
  <c r="AE1289" i="1"/>
  <c r="AC1289" i="1"/>
  <c r="AJ1288" i="1"/>
  <c r="AK1288" i="1"/>
  <c r="AM1288" i="1"/>
  <c r="BF1288" i="1"/>
  <c r="BG1288" i="1"/>
  <c r="T1289" i="1"/>
  <c r="U1289" i="1"/>
  <c r="V1289" i="1"/>
  <c r="W1289" i="1"/>
  <c r="X1289" i="1"/>
  <c r="Y1289" i="1"/>
  <c r="Z1289" i="1"/>
  <c r="AB1289" i="1"/>
  <c r="AF1289" i="1"/>
  <c r="AI1289" i="1"/>
  <c r="H1290" i="1"/>
  <c r="AE1290" i="1"/>
  <c r="I1290" i="1"/>
  <c r="J1290" i="1"/>
  <c r="K1290" i="1"/>
  <c r="AC1290" i="1"/>
  <c r="AJ1289" i="1"/>
  <c r="AK1289" i="1"/>
  <c r="AM1289" i="1"/>
  <c r="BG1289" i="1"/>
  <c r="T1290" i="1"/>
  <c r="U1290" i="1"/>
  <c r="V1290" i="1"/>
  <c r="W1290" i="1"/>
  <c r="X1290" i="1"/>
  <c r="Y1290" i="1"/>
  <c r="Z1290" i="1"/>
  <c r="AB1290" i="1"/>
  <c r="AF1290" i="1"/>
  <c r="AI1290" i="1"/>
  <c r="H1291" i="1"/>
  <c r="AE1291" i="1"/>
  <c r="I1291" i="1"/>
  <c r="J1291" i="1"/>
  <c r="K1291" i="1"/>
  <c r="AC1291" i="1"/>
  <c r="AJ1290" i="1"/>
  <c r="AK1290" i="1"/>
  <c r="AM1290" i="1"/>
  <c r="BF1290" i="1"/>
  <c r="BG1290" i="1"/>
  <c r="T1291" i="1"/>
  <c r="U1291" i="1"/>
  <c r="V1291" i="1"/>
  <c r="W1291" i="1"/>
  <c r="X1291" i="1"/>
  <c r="Y1291" i="1"/>
  <c r="Z1291" i="1"/>
  <c r="AB1291" i="1"/>
  <c r="AF1291" i="1"/>
  <c r="AI1291" i="1"/>
  <c r="AE1292" i="1"/>
  <c r="AC1292" i="1"/>
  <c r="AJ1291" i="1"/>
  <c r="AK1291" i="1"/>
  <c r="AM1291" i="1"/>
  <c r="BF1291" i="1"/>
  <c r="BG1291" i="1"/>
  <c r="T1292" i="1"/>
  <c r="U1292" i="1"/>
  <c r="V1292" i="1"/>
  <c r="W1292" i="1"/>
  <c r="X1292" i="1"/>
  <c r="Y1292" i="1"/>
  <c r="Z1292" i="1"/>
  <c r="AB1292" i="1"/>
  <c r="AF1292" i="1"/>
  <c r="AI1292" i="1"/>
  <c r="AE1293" i="1"/>
  <c r="AC1293" i="1"/>
  <c r="AJ1292" i="1"/>
  <c r="AK1292" i="1"/>
  <c r="AM1292" i="1"/>
  <c r="BF1292" i="1"/>
  <c r="BG1292" i="1"/>
  <c r="T1293" i="1"/>
  <c r="U1293" i="1"/>
  <c r="V1293" i="1"/>
  <c r="W1293" i="1"/>
  <c r="X1293" i="1"/>
  <c r="Y1293" i="1"/>
  <c r="Z1293" i="1"/>
  <c r="AB1293" i="1"/>
  <c r="AF1293" i="1"/>
  <c r="AI1293" i="1"/>
  <c r="AE1294" i="1"/>
  <c r="AC1294" i="1"/>
  <c r="AJ1293" i="1"/>
  <c r="AK1293" i="1"/>
  <c r="AM1293" i="1"/>
  <c r="BF1293" i="1"/>
  <c r="BG1293" i="1"/>
  <c r="T1294" i="1"/>
  <c r="U1294" i="1"/>
  <c r="V1294" i="1"/>
  <c r="W1294" i="1"/>
  <c r="X1294" i="1"/>
  <c r="Y1294" i="1"/>
  <c r="Z1294" i="1"/>
  <c r="AB1294" i="1"/>
  <c r="AF1294" i="1"/>
  <c r="AI1294" i="1"/>
  <c r="H1295" i="1"/>
  <c r="AE1295" i="1"/>
  <c r="I1295" i="1"/>
  <c r="J1295" i="1"/>
  <c r="K1295" i="1"/>
  <c r="AC1295" i="1"/>
  <c r="AJ1294" i="1"/>
  <c r="AK1294" i="1"/>
  <c r="AM1294" i="1"/>
  <c r="BG1294" i="1"/>
  <c r="T1295" i="1"/>
  <c r="U1295" i="1"/>
  <c r="V1295" i="1"/>
  <c r="W1295" i="1"/>
  <c r="X1295" i="1"/>
  <c r="Y1295" i="1"/>
  <c r="Z1295" i="1"/>
  <c r="AB1295" i="1"/>
  <c r="AF1295" i="1"/>
  <c r="AI1295" i="1"/>
  <c r="AE1296" i="1"/>
  <c r="AC1296" i="1"/>
  <c r="AJ1295" i="1"/>
  <c r="AK1295" i="1"/>
  <c r="AM1295" i="1"/>
  <c r="BF1295" i="1"/>
  <c r="BG1295" i="1"/>
  <c r="T1296" i="1"/>
  <c r="U1296" i="1"/>
  <c r="V1296" i="1"/>
  <c r="W1296" i="1"/>
  <c r="X1296" i="1"/>
  <c r="Y1296" i="1"/>
  <c r="Z1296" i="1"/>
  <c r="AB1296" i="1"/>
  <c r="AF1296" i="1"/>
  <c r="AI1296" i="1"/>
  <c r="AE1297" i="1"/>
  <c r="AC1297" i="1"/>
  <c r="AJ1296" i="1"/>
  <c r="AK1296" i="1"/>
  <c r="AM1296" i="1"/>
  <c r="BF1296" i="1"/>
  <c r="BG1296" i="1"/>
  <c r="T1297" i="1"/>
  <c r="U1297" i="1"/>
  <c r="V1297" i="1"/>
  <c r="W1297" i="1"/>
  <c r="X1297" i="1"/>
  <c r="Y1297" i="1"/>
  <c r="Z1297" i="1"/>
  <c r="AB1297" i="1"/>
  <c r="AF1297" i="1"/>
  <c r="AI1297" i="1"/>
  <c r="H1298" i="1"/>
  <c r="AE1298" i="1"/>
  <c r="I1298" i="1"/>
  <c r="J1298" i="1"/>
  <c r="K1298" i="1"/>
  <c r="AC1298" i="1"/>
  <c r="AJ1297" i="1"/>
  <c r="AK1297" i="1"/>
  <c r="AM1297" i="1"/>
  <c r="BG1297" i="1"/>
  <c r="T1298" i="1"/>
  <c r="U1298" i="1"/>
  <c r="V1298" i="1"/>
  <c r="W1298" i="1"/>
  <c r="X1298" i="1"/>
  <c r="Y1298" i="1"/>
  <c r="Z1298" i="1"/>
  <c r="AB1298" i="1"/>
  <c r="AF1298" i="1"/>
  <c r="AI1298" i="1"/>
  <c r="AE1299" i="1"/>
  <c r="AC1299" i="1"/>
  <c r="AJ1298" i="1"/>
  <c r="AK1298" i="1"/>
  <c r="AM1298" i="1"/>
  <c r="BF1298" i="1"/>
  <c r="BG1298" i="1"/>
  <c r="T1299" i="1"/>
  <c r="U1299" i="1"/>
  <c r="V1299" i="1"/>
  <c r="W1299" i="1"/>
  <c r="X1299" i="1"/>
  <c r="Y1299" i="1"/>
  <c r="Z1299" i="1"/>
  <c r="AB1299" i="1"/>
  <c r="AF1299" i="1"/>
  <c r="AI1299" i="1"/>
  <c r="AE1300" i="1"/>
  <c r="AC1300" i="1"/>
  <c r="AJ1299" i="1"/>
  <c r="AK1299" i="1"/>
  <c r="AM1299" i="1"/>
  <c r="BF1299" i="1"/>
  <c r="BG1299" i="1"/>
  <c r="T1300" i="1"/>
  <c r="U1300" i="1"/>
  <c r="V1300" i="1"/>
  <c r="W1300" i="1"/>
  <c r="X1300" i="1"/>
  <c r="Y1300" i="1"/>
  <c r="Z1300" i="1"/>
  <c r="AB1300" i="1"/>
  <c r="AF1300" i="1"/>
  <c r="AI1300" i="1"/>
  <c r="H1301" i="1"/>
  <c r="AE1301" i="1"/>
  <c r="I1301" i="1"/>
  <c r="J1301" i="1"/>
  <c r="K1301" i="1"/>
  <c r="AC1301" i="1"/>
  <c r="AJ1300" i="1"/>
  <c r="AK1300" i="1"/>
  <c r="AM1300" i="1"/>
  <c r="BG1300" i="1"/>
  <c r="T1301" i="1"/>
  <c r="U1301" i="1"/>
  <c r="V1301" i="1"/>
  <c r="W1301" i="1"/>
  <c r="X1301" i="1"/>
  <c r="Y1301" i="1"/>
  <c r="Z1301" i="1"/>
  <c r="AB1301" i="1"/>
  <c r="AF1301" i="1"/>
  <c r="AI1301" i="1"/>
  <c r="H1302" i="1"/>
  <c r="AE1302" i="1"/>
  <c r="I1302" i="1"/>
  <c r="J1302" i="1"/>
  <c r="K1302" i="1"/>
  <c r="AC1302" i="1"/>
  <c r="AJ1301" i="1"/>
  <c r="AK1301" i="1"/>
  <c r="AM1301" i="1"/>
  <c r="BF1301" i="1"/>
  <c r="BG1301" i="1"/>
  <c r="T1302" i="1"/>
  <c r="U1302" i="1"/>
  <c r="V1302" i="1"/>
  <c r="W1302" i="1"/>
  <c r="X1302" i="1"/>
  <c r="Y1302" i="1"/>
  <c r="Z1302" i="1"/>
  <c r="AB1302" i="1"/>
  <c r="AF1302" i="1"/>
  <c r="AI1302" i="1"/>
  <c r="H1303" i="1"/>
  <c r="AE1303" i="1"/>
  <c r="I1303" i="1"/>
  <c r="J1303" i="1"/>
  <c r="K1303" i="1"/>
  <c r="AC1303" i="1"/>
  <c r="AJ1302" i="1"/>
  <c r="AK1302" i="1"/>
  <c r="AM1302" i="1"/>
  <c r="BF1302" i="1"/>
  <c r="BG1302" i="1"/>
  <c r="T1303" i="1"/>
  <c r="U1303" i="1"/>
  <c r="V1303" i="1"/>
  <c r="W1303" i="1"/>
  <c r="X1303" i="1"/>
  <c r="Y1303" i="1"/>
  <c r="Z1303" i="1"/>
  <c r="AB1303" i="1"/>
  <c r="AF1303" i="1"/>
  <c r="AI1303" i="1"/>
  <c r="H1304" i="1"/>
  <c r="AE1304" i="1"/>
  <c r="I1304" i="1"/>
  <c r="J1304" i="1"/>
  <c r="K1304" i="1"/>
  <c r="AC1304" i="1"/>
  <c r="AJ1303" i="1"/>
  <c r="AK1303" i="1"/>
  <c r="AM1303" i="1"/>
  <c r="BF1303" i="1"/>
  <c r="BG1303" i="1"/>
  <c r="T1304" i="1"/>
  <c r="U1304" i="1"/>
  <c r="V1304" i="1"/>
  <c r="W1304" i="1"/>
  <c r="X1304" i="1"/>
  <c r="Y1304" i="1"/>
  <c r="Z1304" i="1"/>
  <c r="AB1304" i="1"/>
  <c r="AF1304" i="1"/>
  <c r="AI1304" i="1"/>
  <c r="H1305" i="1"/>
  <c r="AE1305" i="1"/>
  <c r="I1305" i="1"/>
  <c r="J1305" i="1"/>
  <c r="K1305" i="1"/>
  <c r="AC1305" i="1"/>
  <c r="AJ1304" i="1"/>
  <c r="AK1304" i="1"/>
  <c r="AM1304" i="1"/>
  <c r="BF1304" i="1"/>
  <c r="BG1304" i="1"/>
  <c r="T1305" i="1"/>
  <c r="U1305" i="1"/>
  <c r="V1305" i="1"/>
  <c r="W1305" i="1"/>
  <c r="X1305" i="1"/>
  <c r="Y1305" i="1"/>
  <c r="Z1305" i="1"/>
  <c r="AB1305" i="1"/>
  <c r="AF1305" i="1"/>
  <c r="AI1305" i="1"/>
  <c r="AE1306" i="1"/>
  <c r="AC1306" i="1"/>
  <c r="AJ1305" i="1"/>
  <c r="AK1305" i="1"/>
  <c r="AM1305" i="1"/>
  <c r="BF1305" i="1"/>
  <c r="BG1305" i="1"/>
  <c r="T1306" i="1"/>
  <c r="U1306" i="1"/>
  <c r="V1306" i="1"/>
  <c r="W1306" i="1"/>
  <c r="X1306" i="1"/>
  <c r="Y1306" i="1"/>
  <c r="Z1306" i="1"/>
  <c r="AB1306" i="1"/>
  <c r="AF1306" i="1"/>
  <c r="AI1306" i="1"/>
  <c r="AE1307" i="1"/>
  <c r="AC1307" i="1"/>
  <c r="AJ1306" i="1"/>
  <c r="AK1306" i="1"/>
  <c r="AM1306" i="1"/>
  <c r="BF1306" i="1"/>
  <c r="BG1306" i="1"/>
  <c r="T1307" i="1"/>
  <c r="U1307" i="1"/>
  <c r="V1307" i="1"/>
  <c r="W1307" i="1"/>
  <c r="X1307" i="1"/>
  <c r="Y1307" i="1"/>
  <c r="Z1307" i="1"/>
  <c r="AB1307" i="1"/>
  <c r="AF1307" i="1"/>
  <c r="AI1307" i="1"/>
  <c r="H1308" i="1"/>
  <c r="AE1308" i="1"/>
  <c r="I1308" i="1"/>
  <c r="J1308" i="1"/>
  <c r="K1308" i="1"/>
  <c r="AC1308" i="1"/>
  <c r="AJ1307" i="1"/>
  <c r="AK1307" i="1"/>
  <c r="AM1307" i="1"/>
  <c r="BG1307" i="1"/>
  <c r="T1308" i="1"/>
  <c r="U1308" i="1"/>
  <c r="V1308" i="1"/>
  <c r="W1308" i="1"/>
  <c r="X1308" i="1"/>
  <c r="Y1308" i="1"/>
  <c r="Z1308" i="1"/>
  <c r="AB1308" i="1"/>
  <c r="AF1308" i="1"/>
  <c r="AI1308" i="1"/>
  <c r="AE1309" i="1"/>
  <c r="AC1309" i="1"/>
  <c r="AJ1308" i="1"/>
  <c r="AK1308" i="1"/>
  <c r="AM1308" i="1"/>
  <c r="BF1308" i="1"/>
  <c r="BG1308" i="1"/>
  <c r="T1309" i="1"/>
  <c r="U1309" i="1"/>
  <c r="V1309" i="1"/>
  <c r="W1309" i="1"/>
  <c r="X1309" i="1"/>
  <c r="Y1309" i="1"/>
  <c r="Z1309" i="1"/>
  <c r="AB1309" i="1"/>
  <c r="AF1309" i="1"/>
  <c r="AI1309" i="1"/>
  <c r="AE1310" i="1"/>
  <c r="AC1310" i="1"/>
  <c r="AJ1309" i="1"/>
  <c r="AK1309" i="1"/>
  <c r="AM1309" i="1"/>
  <c r="BF1309" i="1"/>
  <c r="BG1309" i="1"/>
  <c r="T1310" i="1"/>
  <c r="U1310" i="1"/>
  <c r="V1310" i="1"/>
  <c r="W1310" i="1"/>
  <c r="X1310" i="1"/>
  <c r="Y1310" i="1"/>
  <c r="Z1310" i="1"/>
  <c r="AB1310" i="1"/>
  <c r="AF1310" i="1"/>
  <c r="AI1310" i="1"/>
  <c r="H1311" i="1"/>
  <c r="AE1311" i="1"/>
  <c r="I1311" i="1"/>
  <c r="J1311" i="1"/>
  <c r="K1311" i="1"/>
  <c r="AC1311" i="1"/>
  <c r="AJ1310" i="1"/>
  <c r="AK1310" i="1"/>
  <c r="AM1310" i="1"/>
  <c r="BG1310" i="1"/>
  <c r="T1311" i="1"/>
  <c r="U1311" i="1"/>
  <c r="V1311" i="1"/>
  <c r="W1311" i="1"/>
  <c r="X1311" i="1"/>
  <c r="Y1311" i="1"/>
  <c r="Z1311" i="1"/>
  <c r="AB1311" i="1"/>
  <c r="AF1311" i="1"/>
  <c r="AI1311" i="1"/>
  <c r="H1312" i="1"/>
  <c r="AE1312" i="1"/>
  <c r="I1312" i="1"/>
  <c r="J1312" i="1"/>
  <c r="K1312" i="1"/>
  <c r="AC1312" i="1"/>
  <c r="AJ1311" i="1"/>
  <c r="AK1311" i="1"/>
  <c r="AM1311" i="1"/>
  <c r="BF1311" i="1"/>
  <c r="BG1311" i="1"/>
  <c r="T1312" i="1"/>
  <c r="U1312" i="1"/>
  <c r="V1312" i="1"/>
  <c r="W1312" i="1"/>
  <c r="X1312" i="1"/>
  <c r="Y1312" i="1"/>
  <c r="Z1312" i="1"/>
  <c r="AB1312" i="1"/>
  <c r="AF1312" i="1"/>
  <c r="AI1312" i="1"/>
  <c r="H1313" i="1"/>
  <c r="AE1313" i="1"/>
  <c r="I1313" i="1"/>
  <c r="J1313" i="1"/>
  <c r="K1313" i="1"/>
  <c r="AC1313" i="1"/>
  <c r="AJ1312" i="1"/>
  <c r="AK1312" i="1"/>
  <c r="AM1312" i="1"/>
  <c r="BF1312" i="1"/>
  <c r="BG1312" i="1"/>
  <c r="T1313" i="1"/>
  <c r="U1313" i="1"/>
  <c r="V1313" i="1"/>
  <c r="W1313" i="1"/>
  <c r="X1313" i="1"/>
  <c r="Y1313" i="1"/>
  <c r="Z1313" i="1"/>
  <c r="AB1313" i="1"/>
  <c r="AF1313" i="1"/>
  <c r="AI1313" i="1"/>
  <c r="AE1314" i="1"/>
  <c r="AC1314" i="1"/>
  <c r="AJ1313" i="1"/>
  <c r="AK1313" i="1"/>
  <c r="AM1313" i="1"/>
  <c r="BF1313" i="1"/>
  <c r="BG1313" i="1"/>
  <c r="T1314" i="1"/>
  <c r="U1314" i="1"/>
  <c r="V1314" i="1"/>
  <c r="W1314" i="1"/>
  <c r="X1314" i="1"/>
  <c r="Y1314" i="1"/>
  <c r="Z1314" i="1"/>
  <c r="AB1314" i="1"/>
  <c r="AF1314" i="1"/>
  <c r="AI1314" i="1"/>
  <c r="AE1315" i="1"/>
  <c r="AC1315" i="1"/>
  <c r="AJ1314" i="1"/>
  <c r="AK1314" i="1"/>
  <c r="AM1314" i="1"/>
  <c r="BF1314" i="1"/>
  <c r="BG1314" i="1"/>
  <c r="T1315" i="1"/>
  <c r="U1315" i="1"/>
  <c r="V1315" i="1"/>
  <c r="W1315" i="1"/>
  <c r="X1315" i="1"/>
  <c r="Y1315" i="1"/>
  <c r="Z1315" i="1"/>
  <c r="AB1315" i="1"/>
  <c r="AF1315" i="1"/>
  <c r="AI1315" i="1"/>
  <c r="H1316" i="1"/>
  <c r="AE1316" i="1"/>
  <c r="I1316" i="1"/>
  <c r="J1316" i="1"/>
  <c r="K1316" i="1"/>
  <c r="AC1316" i="1"/>
  <c r="AJ1315" i="1"/>
  <c r="AK1315" i="1"/>
  <c r="AM1315" i="1"/>
  <c r="BG1315" i="1"/>
  <c r="T1316" i="1"/>
  <c r="U1316" i="1"/>
  <c r="V1316" i="1"/>
  <c r="W1316" i="1"/>
  <c r="X1316" i="1"/>
  <c r="Y1316" i="1"/>
  <c r="Z1316" i="1"/>
  <c r="AB1316" i="1"/>
  <c r="AF1316" i="1"/>
  <c r="AI1316" i="1"/>
  <c r="H1317" i="1"/>
  <c r="AE1317" i="1"/>
  <c r="I1317" i="1"/>
  <c r="J1317" i="1"/>
  <c r="K1317" i="1"/>
  <c r="AC1317" i="1"/>
  <c r="AJ1316" i="1"/>
  <c r="AK1316" i="1"/>
  <c r="AM1316" i="1"/>
  <c r="BF1316" i="1"/>
  <c r="BG1316" i="1"/>
  <c r="T1317" i="1"/>
  <c r="U1317" i="1"/>
  <c r="V1317" i="1"/>
  <c r="W1317" i="1"/>
  <c r="X1317" i="1"/>
  <c r="Y1317" i="1"/>
  <c r="Z1317" i="1"/>
  <c r="AB1317" i="1"/>
  <c r="AF1317" i="1"/>
  <c r="AI1317" i="1"/>
  <c r="AE1318" i="1"/>
  <c r="AC1318" i="1"/>
  <c r="AJ1317" i="1"/>
  <c r="AK1317" i="1"/>
  <c r="AM1317" i="1"/>
  <c r="BF1317" i="1"/>
  <c r="BG1317" i="1"/>
  <c r="T1318" i="1"/>
  <c r="U1318" i="1"/>
  <c r="V1318" i="1"/>
  <c r="W1318" i="1"/>
  <c r="X1318" i="1"/>
  <c r="Y1318" i="1"/>
  <c r="Z1318" i="1"/>
  <c r="AB1318" i="1"/>
  <c r="AF1318" i="1"/>
  <c r="AI1318" i="1"/>
  <c r="AE1319" i="1"/>
  <c r="AC1319" i="1"/>
  <c r="AJ1318" i="1"/>
  <c r="AK1318" i="1"/>
  <c r="AM1318" i="1"/>
  <c r="BF1318" i="1"/>
  <c r="BG1318" i="1"/>
  <c r="T1319" i="1"/>
  <c r="U1319" i="1"/>
  <c r="V1319" i="1"/>
  <c r="W1319" i="1"/>
  <c r="X1319" i="1"/>
  <c r="Y1319" i="1"/>
  <c r="Z1319" i="1"/>
  <c r="AB1319" i="1"/>
  <c r="AF1319" i="1"/>
  <c r="AI1319" i="1"/>
  <c r="H1320" i="1"/>
  <c r="AE1320" i="1"/>
  <c r="I1320" i="1"/>
  <c r="J1320" i="1"/>
  <c r="K1320" i="1"/>
  <c r="AC1320" i="1"/>
  <c r="AJ1319" i="1"/>
  <c r="AK1319" i="1"/>
  <c r="AM1319" i="1"/>
  <c r="BG1319" i="1"/>
  <c r="T1320" i="1"/>
  <c r="U1320" i="1"/>
  <c r="V1320" i="1"/>
  <c r="W1320" i="1"/>
  <c r="X1320" i="1"/>
  <c r="Y1320" i="1"/>
  <c r="Z1320" i="1"/>
  <c r="AB1320" i="1"/>
  <c r="AF1320" i="1"/>
  <c r="AI1320" i="1"/>
  <c r="AE1321" i="1"/>
  <c r="AC1321" i="1"/>
  <c r="AJ1320" i="1"/>
  <c r="AK1320" i="1"/>
  <c r="AM1320" i="1"/>
  <c r="BF1320" i="1"/>
  <c r="BG1320" i="1"/>
  <c r="T1321" i="1"/>
  <c r="U1321" i="1"/>
  <c r="V1321" i="1"/>
  <c r="W1321" i="1"/>
  <c r="X1321" i="1"/>
  <c r="Y1321" i="1"/>
  <c r="Z1321" i="1"/>
  <c r="AB1321" i="1"/>
  <c r="AF1321" i="1"/>
  <c r="AI1321" i="1"/>
  <c r="AE1322" i="1"/>
  <c r="AC1322" i="1"/>
  <c r="AJ1321" i="1"/>
  <c r="AK1321" i="1"/>
  <c r="AM1321" i="1"/>
  <c r="BF1321" i="1"/>
  <c r="BG1321" i="1"/>
  <c r="T1322" i="1"/>
  <c r="U1322" i="1"/>
  <c r="V1322" i="1"/>
  <c r="W1322" i="1"/>
  <c r="X1322" i="1"/>
  <c r="Y1322" i="1"/>
  <c r="Z1322" i="1"/>
  <c r="AB1322" i="1"/>
  <c r="AF1322" i="1"/>
  <c r="AI1322" i="1"/>
  <c r="H1323" i="1"/>
  <c r="AE1323" i="1"/>
  <c r="I1323" i="1"/>
  <c r="J1323" i="1"/>
  <c r="K1323" i="1"/>
  <c r="AC1323" i="1"/>
  <c r="AJ1322" i="1"/>
  <c r="AK1322" i="1"/>
  <c r="AM1322" i="1"/>
  <c r="BG1322" i="1"/>
  <c r="T1323" i="1"/>
  <c r="U1323" i="1"/>
  <c r="V1323" i="1"/>
  <c r="W1323" i="1"/>
  <c r="X1323" i="1"/>
  <c r="Y1323" i="1"/>
  <c r="Z1323" i="1"/>
  <c r="AB1323" i="1"/>
  <c r="AF1323" i="1"/>
  <c r="AI1323" i="1"/>
  <c r="H1324" i="1"/>
  <c r="AE1324" i="1"/>
  <c r="I1324" i="1"/>
  <c r="J1324" i="1"/>
  <c r="K1324" i="1"/>
  <c r="AC1324" i="1"/>
  <c r="AJ1323" i="1"/>
  <c r="AK1323" i="1"/>
  <c r="AM1323" i="1"/>
  <c r="BF1323" i="1"/>
  <c r="BG1323" i="1"/>
  <c r="T1324" i="1"/>
  <c r="U1324" i="1"/>
  <c r="V1324" i="1"/>
  <c r="W1324" i="1"/>
  <c r="X1324" i="1"/>
  <c r="Y1324" i="1"/>
  <c r="Z1324" i="1"/>
  <c r="AB1324" i="1"/>
  <c r="AF1324" i="1"/>
  <c r="AI1324" i="1"/>
  <c r="H1325" i="1"/>
  <c r="AE1325" i="1"/>
  <c r="I1325" i="1"/>
  <c r="J1325" i="1"/>
  <c r="K1325" i="1"/>
  <c r="AC1325" i="1"/>
  <c r="AJ1324" i="1"/>
  <c r="AK1324" i="1"/>
  <c r="AM1324" i="1"/>
  <c r="BF1324" i="1"/>
  <c r="BG1324" i="1"/>
  <c r="T1325" i="1"/>
  <c r="U1325" i="1"/>
  <c r="V1325" i="1"/>
  <c r="W1325" i="1"/>
  <c r="X1325" i="1"/>
  <c r="Y1325" i="1"/>
  <c r="Z1325" i="1"/>
  <c r="AB1325" i="1"/>
  <c r="AF1325" i="1"/>
  <c r="AI1325" i="1"/>
  <c r="H1326" i="1"/>
  <c r="AE1326" i="1"/>
  <c r="I1326" i="1"/>
  <c r="J1326" i="1"/>
  <c r="K1326" i="1"/>
  <c r="AC1326" i="1"/>
  <c r="AJ1325" i="1"/>
  <c r="AK1325" i="1"/>
  <c r="AM1325" i="1"/>
  <c r="BF1325" i="1"/>
  <c r="BG1325" i="1"/>
  <c r="T1326" i="1"/>
  <c r="U1326" i="1"/>
  <c r="V1326" i="1"/>
  <c r="W1326" i="1"/>
  <c r="X1326" i="1"/>
  <c r="Y1326" i="1"/>
  <c r="Z1326" i="1"/>
  <c r="AB1326" i="1"/>
  <c r="AF1326" i="1"/>
  <c r="AI1326" i="1"/>
  <c r="AE1327" i="1"/>
  <c r="AC1327" i="1"/>
  <c r="AJ1326" i="1"/>
  <c r="AK1326" i="1"/>
  <c r="AM1326" i="1"/>
  <c r="BF1326" i="1"/>
  <c r="BG1326" i="1"/>
  <c r="T1327" i="1"/>
  <c r="U1327" i="1"/>
  <c r="V1327" i="1"/>
  <c r="W1327" i="1"/>
  <c r="X1327" i="1"/>
  <c r="Y1327" i="1"/>
  <c r="Z1327" i="1"/>
  <c r="AB1327" i="1"/>
  <c r="AF1327" i="1"/>
  <c r="AI1327" i="1"/>
  <c r="AE1328" i="1"/>
  <c r="AC1328" i="1"/>
  <c r="AJ1327" i="1"/>
  <c r="AK1327" i="1"/>
  <c r="AM1327" i="1"/>
  <c r="BF1327" i="1"/>
  <c r="BG1327" i="1"/>
  <c r="T1328" i="1"/>
  <c r="U1328" i="1"/>
  <c r="V1328" i="1"/>
  <c r="W1328" i="1"/>
  <c r="X1328" i="1"/>
  <c r="Y1328" i="1"/>
  <c r="Z1328" i="1"/>
  <c r="AB1328" i="1"/>
  <c r="AF1328" i="1"/>
  <c r="AI1328" i="1"/>
  <c r="H1329" i="1"/>
  <c r="AE1329" i="1"/>
  <c r="I1329" i="1"/>
  <c r="J1329" i="1"/>
  <c r="K1329" i="1"/>
  <c r="AC1329" i="1"/>
  <c r="AJ1328" i="1"/>
  <c r="AK1328" i="1"/>
  <c r="AM1328" i="1"/>
  <c r="BG1328" i="1"/>
  <c r="T1329" i="1"/>
  <c r="U1329" i="1"/>
  <c r="V1329" i="1"/>
  <c r="W1329" i="1"/>
  <c r="X1329" i="1"/>
  <c r="Y1329" i="1"/>
  <c r="Z1329" i="1"/>
  <c r="AB1329" i="1"/>
  <c r="AF1329" i="1"/>
  <c r="AI1329" i="1"/>
  <c r="H1330" i="1"/>
  <c r="AE1330" i="1"/>
  <c r="I1330" i="1"/>
  <c r="J1330" i="1"/>
  <c r="K1330" i="1"/>
  <c r="AC1330" i="1"/>
  <c r="AJ1329" i="1"/>
  <c r="AK1329" i="1"/>
  <c r="AM1329" i="1"/>
  <c r="BF1329" i="1"/>
  <c r="BG1329" i="1"/>
  <c r="T1330" i="1"/>
  <c r="U1330" i="1"/>
  <c r="V1330" i="1"/>
  <c r="W1330" i="1"/>
  <c r="X1330" i="1"/>
  <c r="Y1330" i="1"/>
  <c r="Z1330" i="1"/>
  <c r="AB1330" i="1"/>
  <c r="AF1330" i="1"/>
  <c r="AI1330" i="1"/>
  <c r="H1331" i="1"/>
  <c r="AE1331" i="1"/>
  <c r="I1331" i="1"/>
  <c r="J1331" i="1"/>
  <c r="K1331" i="1"/>
  <c r="AC1331" i="1"/>
  <c r="AJ1330" i="1"/>
  <c r="AK1330" i="1"/>
  <c r="AM1330" i="1"/>
  <c r="BF1330" i="1"/>
  <c r="BG1330" i="1"/>
  <c r="T1331" i="1"/>
  <c r="U1331" i="1"/>
  <c r="V1331" i="1"/>
  <c r="W1331" i="1"/>
  <c r="X1331" i="1"/>
  <c r="Y1331" i="1"/>
  <c r="Z1331" i="1"/>
  <c r="AB1331" i="1"/>
  <c r="AF1331" i="1"/>
  <c r="AI1331" i="1"/>
  <c r="AE1332" i="1"/>
  <c r="AC1332" i="1"/>
  <c r="AJ1331" i="1"/>
  <c r="AK1331" i="1"/>
  <c r="AM1331" i="1"/>
  <c r="BF1331" i="1"/>
  <c r="BG1331" i="1"/>
  <c r="T1332" i="1"/>
  <c r="U1332" i="1"/>
  <c r="V1332" i="1"/>
  <c r="W1332" i="1"/>
  <c r="X1332" i="1"/>
  <c r="Y1332" i="1"/>
  <c r="Z1332" i="1"/>
  <c r="AB1332" i="1"/>
  <c r="AF1332" i="1"/>
  <c r="AI1332" i="1"/>
  <c r="AE1333" i="1"/>
  <c r="AC1333" i="1"/>
  <c r="AJ1332" i="1"/>
  <c r="AK1332" i="1"/>
  <c r="AM1332" i="1"/>
  <c r="BF1332" i="1"/>
  <c r="BG1332" i="1"/>
  <c r="T1333" i="1"/>
  <c r="U1333" i="1"/>
  <c r="V1333" i="1"/>
  <c r="W1333" i="1"/>
  <c r="X1333" i="1"/>
  <c r="Y1333" i="1"/>
  <c r="Z1333" i="1"/>
  <c r="AB1333" i="1"/>
  <c r="AF1333" i="1"/>
  <c r="AI1333" i="1"/>
  <c r="H1334" i="1"/>
  <c r="AE1334" i="1"/>
  <c r="I1334" i="1"/>
  <c r="J1334" i="1"/>
  <c r="K1334" i="1"/>
  <c r="AC1334" i="1"/>
  <c r="AJ1333" i="1"/>
  <c r="AK1333" i="1"/>
  <c r="AM1333" i="1"/>
  <c r="BG1333" i="1"/>
  <c r="T1334" i="1"/>
  <c r="U1334" i="1"/>
  <c r="V1334" i="1"/>
  <c r="W1334" i="1"/>
  <c r="X1334" i="1"/>
  <c r="Y1334" i="1"/>
  <c r="Z1334" i="1"/>
  <c r="AB1334" i="1"/>
  <c r="AF1334" i="1"/>
  <c r="AI1334" i="1"/>
  <c r="AE1335" i="1"/>
  <c r="AC1335" i="1"/>
  <c r="AJ1334" i="1"/>
  <c r="AK1334" i="1"/>
  <c r="AM1334" i="1"/>
  <c r="BF1334" i="1"/>
  <c r="BG1334" i="1"/>
  <c r="T1335" i="1"/>
  <c r="U1335" i="1"/>
  <c r="V1335" i="1"/>
  <c r="W1335" i="1"/>
  <c r="X1335" i="1"/>
  <c r="Y1335" i="1"/>
  <c r="Z1335" i="1"/>
  <c r="AB1335" i="1"/>
  <c r="AF1335" i="1"/>
  <c r="AI1335" i="1"/>
  <c r="AE1336" i="1"/>
  <c r="AC1336" i="1"/>
  <c r="AJ1335" i="1"/>
  <c r="AK1335" i="1"/>
  <c r="AM1335" i="1"/>
  <c r="BF1335" i="1"/>
  <c r="BG1335" i="1"/>
  <c r="T1336" i="1"/>
  <c r="U1336" i="1"/>
  <c r="V1336" i="1"/>
  <c r="W1336" i="1"/>
  <c r="X1336" i="1"/>
  <c r="Y1336" i="1"/>
  <c r="Z1336" i="1"/>
  <c r="AB1336" i="1"/>
  <c r="AF1336" i="1"/>
  <c r="AI1336" i="1"/>
  <c r="H1337" i="1"/>
  <c r="AE1337" i="1"/>
  <c r="I1337" i="1"/>
  <c r="J1337" i="1"/>
  <c r="K1337" i="1"/>
  <c r="AC1337" i="1"/>
  <c r="AJ1336" i="1"/>
  <c r="AK1336" i="1"/>
  <c r="AM1336" i="1"/>
  <c r="BG1336" i="1"/>
  <c r="T1337" i="1"/>
  <c r="U1337" i="1"/>
  <c r="V1337" i="1"/>
  <c r="W1337" i="1"/>
  <c r="X1337" i="1"/>
  <c r="Y1337" i="1"/>
  <c r="Z1337" i="1"/>
  <c r="AB1337" i="1"/>
  <c r="AF1337" i="1"/>
  <c r="AI1337" i="1"/>
  <c r="H1338" i="1"/>
  <c r="AE1338" i="1"/>
  <c r="I1338" i="1"/>
  <c r="J1338" i="1"/>
  <c r="K1338" i="1"/>
  <c r="AC1338" i="1"/>
  <c r="AJ1337" i="1"/>
  <c r="AK1337" i="1"/>
  <c r="AM1337" i="1"/>
  <c r="BF1337" i="1"/>
  <c r="BG1337" i="1"/>
  <c r="T1338" i="1"/>
  <c r="U1338" i="1"/>
  <c r="V1338" i="1"/>
  <c r="W1338" i="1"/>
  <c r="X1338" i="1"/>
  <c r="Y1338" i="1"/>
  <c r="Z1338" i="1"/>
  <c r="AB1338" i="1"/>
  <c r="AF1338" i="1"/>
  <c r="AI1338" i="1"/>
  <c r="AE1339" i="1"/>
  <c r="AC1339" i="1"/>
  <c r="AJ1338" i="1"/>
  <c r="AK1338" i="1"/>
  <c r="AM1338" i="1"/>
  <c r="BF1338" i="1"/>
  <c r="BG1338" i="1"/>
  <c r="T1339" i="1"/>
  <c r="U1339" i="1"/>
  <c r="V1339" i="1"/>
  <c r="W1339" i="1"/>
  <c r="X1339" i="1"/>
  <c r="Y1339" i="1"/>
  <c r="Z1339" i="1"/>
  <c r="AB1339" i="1"/>
  <c r="AF1339" i="1"/>
  <c r="AI1339" i="1"/>
  <c r="AE1340" i="1"/>
  <c r="AC1340" i="1"/>
  <c r="AJ1339" i="1"/>
  <c r="AK1339" i="1"/>
  <c r="AM1339" i="1"/>
  <c r="BF1339" i="1"/>
  <c r="BG1339" i="1"/>
  <c r="T1340" i="1"/>
  <c r="U1340" i="1"/>
  <c r="V1340" i="1"/>
  <c r="W1340" i="1"/>
  <c r="X1340" i="1"/>
  <c r="Y1340" i="1"/>
  <c r="Z1340" i="1"/>
  <c r="AB1340" i="1"/>
  <c r="AF1340" i="1"/>
  <c r="AI1340" i="1"/>
  <c r="H1341" i="1"/>
  <c r="AE1341" i="1"/>
  <c r="I1341" i="1"/>
  <c r="J1341" i="1"/>
  <c r="K1341" i="1"/>
  <c r="AC1341" i="1"/>
  <c r="AJ1340" i="1"/>
  <c r="AK1340" i="1"/>
  <c r="AM1340" i="1"/>
  <c r="BG1340" i="1"/>
  <c r="T1341" i="1"/>
  <c r="U1341" i="1"/>
  <c r="V1341" i="1"/>
  <c r="W1341" i="1"/>
  <c r="X1341" i="1"/>
  <c r="Y1341" i="1"/>
  <c r="Z1341" i="1"/>
  <c r="AB1341" i="1"/>
  <c r="AF1341" i="1"/>
  <c r="AI1341" i="1"/>
  <c r="H1342" i="1"/>
  <c r="AE1342" i="1"/>
  <c r="I1342" i="1"/>
  <c r="J1342" i="1"/>
  <c r="K1342" i="1"/>
  <c r="AC1342" i="1"/>
  <c r="AJ1341" i="1"/>
  <c r="AK1341" i="1"/>
  <c r="AM1341" i="1"/>
  <c r="BF1341" i="1"/>
  <c r="BG1341" i="1"/>
  <c r="T1342" i="1"/>
  <c r="U1342" i="1"/>
  <c r="V1342" i="1"/>
  <c r="W1342" i="1"/>
  <c r="X1342" i="1"/>
  <c r="Y1342" i="1"/>
  <c r="Z1342" i="1"/>
  <c r="AB1342" i="1"/>
  <c r="AF1342" i="1"/>
  <c r="AI1342" i="1"/>
  <c r="AE1343" i="1"/>
  <c r="AC1343" i="1"/>
  <c r="AJ1342" i="1"/>
  <c r="AK1342" i="1"/>
  <c r="AM1342" i="1"/>
  <c r="BF1342" i="1"/>
  <c r="BG1342" i="1"/>
  <c r="T1343" i="1"/>
  <c r="U1343" i="1"/>
  <c r="V1343" i="1"/>
  <c r="W1343" i="1"/>
  <c r="X1343" i="1"/>
  <c r="Y1343" i="1"/>
  <c r="Z1343" i="1"/>
  <c r="AB1343" i="1"/>
  <c r="AF1343" i="1"/>
  <c r="AI1343" i="1"/>
  <c r="AE1344" i="1"/>
  <c r="AC1344" i="1"/>
  <c r="AJ1343" i="1"/>
  <c r="AK1343" i="1"/>
  <c r="AM1343" i="1"/>
  <c r="BF1343" i="1"/>
  <c r="BG1343" i="1"/>
  <c r="T1344" i="1"/>
  <c r="U1344" i="1"/>
  <c r="V1344" i="1"/>
  <c r="W1344" i="1"/>
  <c r="X1344" i="1"/>
  <c r="Y1344" i="1"/>
  <c r="Z1344" i="1"/>
  <c r="AB1344" i="1"/>
  <c r="AF1344" i="1"/>
  <c r="AI1344" i="1"/>
  <c r="H1345" i="1"/>
  <c r="AE1345" i="1"/>
  <c r="I1345" i="1"/>
  <c r="J1345" i="1"/>
  <c r="K1345" i="1"/>
  <c r="AC1345" i="1"/>
  <c r="AJ1344" i="1"/>
  <c r="AK1344" i="1"/>
  <c r="AM1344" i="1"/>
  <c r="BG1344" i="1"/>
  <c r="T1345" i="1"/>
  <c r="U1345" i="1"/>
  <c r="V1345" i="1"/>
  <c r="W1345" i="1"/>
  <c r="X1345" i="1"/>
  <c r="Y1345" i="1"/>
  <c r="Z1345" i="1"/>
  <c r="AB1345" i="1"/>
  <c r="AF1345" i="1"/>
  <c r="AI1345" i="1"/>
  <c r="AE1346" i="1"/>
  <c r="AC1346" i="1"/>
  <c r="AJ1345" i="1"/>
  <c r="AK1345" i="1"/>
  <c r="AM1345" i="1"/>
  <c r="BF1345" i="1"/>
  <c r="BG1345" i="1"/>
  <c r="T1346" i="1"/>
  <c r="U1346" i="1"/>
  <c r="V1346" i="1"/>
  <c r="W1346" i="1"/>
  <c r="X1346" i="1"/>
  <c r="Y1346" i="1"/>
  <c r="Z1346" i="1"/>
  <c r="AB1346" i="1"/>
  <c r="AF1346" i="1"/>
  <c r="AI1346" i="1"/>
  <c r="AE1347" i="1"/>
  <c r="AC1347" i="1"/>
  <c r="AJ1346" i="1"/>
  <c r="AK1346" i="1"/>
  <c r="AM1346" i="1"/>
  <c r="BF1346" i="1"/>
  <c r="BG1346" i="1"/>
  <c r="T1347" i="1"/>
  <c r="U1347" i="1"/>
  <c r="V1347" i="1"/>
  <c r="W1347" i="1"/>
  <c r="X1347" i="1"/>
  <c r="Y1347" i="1"/>
  <c r="Z1347" i="1"/>
  <c r="AB1347" i="1"/>
  <c r="AF1347" i="1"/>
  <c r="AI1347" i="1"/>
  <c r="H1348" i="1"/>
  <c r="AE1348" i="1"/>
  <c r="I1348" i="1"/>
  <c r="J1348" i="1"/>
  <c r="K1348" i="1"/>
  <c r="AC1348" i="1"/>
  <c r="AJ1347" i="1"/>
  <c r="AK1347" i="1"/>
  <c r="AM1347" i="1"/>
  <c r="BG1347" i="1"/>
  <c r="T1348" i="1"/>
  <c r="U1348" i="1"/>
  <c r="V1348" i="1"/>
  <c r="W1348" i="1"/>
  <c r="X1348" i="1"/>
  <c r="Y1348" i="1"/>
  <c r="Z1348" i="1"/>
  <c r="AB1348" i="1"/>
  <c r="AF1348" i="1"/>
  <c r="AI1348" i="1"/>
  <c r="H1349" i="1"/>
  <c r="AE1349" i="1"/>
  <c r="I1349" i="1"/>
  <c r="J1349" i="1"/>
  <c r="K1349" i="1"/>
  <c r="AC1349" i="1"/>
  <c r="AJ1348" i="1"/>
  <c r="AK1348" i="1"/>
  <c r="AM1348" i="1"/>
  <c r="BF1348" i="1"/>
  <c r="BG1348" i="1"/>
  <c r="T1349" i="1"/>
  <c r="U1349" i="1"/>
  <c r="V1349" i="1"/>
  <c r="W1349" i="1"/>
  <c r="X1349" i="1"/>
  <c r="Y1349" i="1"/>
  <c r="Z1349" i="1"/>
  <c r="AB1349" i="1"/>
  <c r="AF1349" i="1"/>
  <c r="AI1349" i="1"/>
  <c r="H1350" i="1"/>
  <c r="AE1350" i="1"/>
  <c r="I1350" i="1"/>
  <c r="J1350" i="1"/>
  <c r="K1350" i="1"/>
  <c r="AC1350" i="1"/>
  <c r="AJ1349" i="1"/>
  <c r="AK1349" i="1"/>
  <c r="AM1349" i="1"/>
  <c r="BF1349" i="1"/>
  <c r="BG1349" i="1"/>
  <c r="T1350" i="1"/>
  <c r="U1350" i="1"/>
  <c r="V1350" i="1"/>
  <c r="W1350" i="1"/>
  <c r="X1350" i="1"/>
  <c r="Y1350" i="1"/>
  <c r="Z1350" i="1"/>
  <c r="AB1350" i="1"/>
  <c r="AF1350" i="1"/>
  <c r="AI1350" i="1"/>
  <c r="AE1351" i="1"/>
  <c r="AC1351" i="1"/>
  <c r="AJ1350" i="1"/>
  <c r="AK1350" i="1"/>
  <c r="AM1350" i="1"/>
  <c r="BF1350" i="1"/>
  <c r="BG1350" i="1"/>
  <c r="T1351" i="1"/>
  <c r="U1351" i="1"/>
  <c r="V1351" i="1"/>
  <c r="W1351" i="1"/>
  <c r="X1351" i="1"/>
  <c r="Y1351" i="1"/>
  <c r="Z1351" i="1"/>
  <c r="AB1351" i="1"/>
  <c r="AF1351" i="1"/>
  <c r="AI1351" i="1"/>
  <c r="AE1352" i="1"/>
  <c r="AC1352" i="1"/>
  <c r="AJ1351" i="1"/>
  <c r="AK1351" i="1"/>
  <c r="AM1351" i="1"/>
  <c r="BF1351" i="1"/>
  <c r="BG1351" i="1"/>
  <c r="T1352" i="1"/>
  <c r="U1352" i="1"/>
  <c r="V1352" i="1"/>
  <c r="W1352" i="1"/>
  <c r="X1352" i="1"/>
  <c r="Y1352" i="1"/>
  <c r="Z1352" i="1"/>
  <c r="AB1352" i="1"/>
  <c r="AF1352" i="1"/>
  <c r="AI1352" i="1"/>
  <c r="H1353" i="1"/>
  <c r="AE1353" i="1"/>
  <c r="I1353" i="1"/>
  <c r="J1353" i="1"/>
  <c r="K1353" i="1"/>
  <c r="AC1353" i="1"/>
  <c r="AJ1352" i="1"/>
  <c r="AK1352" i="1"/>
  <c r="AM1352" i="1"/>
  <c r="BG1352" i="1"/>
  <c r="T1353" i="1"/>
  <c r="U1353" i="1"/>
  <c r="V1353" i="1"/>
  <c r="W1353" i="1"/>
  <c r="X1353" i="1"/>
  <c r="Y1353" i="1"/>
  <c r="Z1353" i="1"/>
  <c r="AB1353" i="1"/>
  <c r="AF1353" i="1"/>
  <c r="AI1353" i="1"/>
  <c r="H1354" i="1"/>
  <c r="AE1354" i="1"/>
  <c r="I1354" i="1"/>
  <c r="J1354" i="1"/>
  <c r="K1354" i="1"/>
  <c r="AC1354" i="1"/>
  <c r="AJ1353" i="1"/>
  <c r="AK1353" i="1"/>
  <c r="AM1353" i="1"/>
  <c r="BF1353" i="1"/>
  <c r="BG1353" i="1"/>
  <c r="T1354" i="1"/>
  <c r="U1354" i="1"/>
  <c r="V1354" i="1"/>
  <c r="W1354" i="1"/>
  <c r="X1354" i="1"/>
  <c r="Y1354" i="1"/>
  <c r="Z1354" i="1"/>
  <c r="AB1354" i="1"/>
  <c r="AF1354" i="1"/>
  <c r="AI1354" i="1"/>
  <c r="H1355" i="1"/>
  <c r="AE1355" i="1"/>
  <c r="I1355" i="1"/>
  <c r="J1355" i="1"/>
  <c r="K1355" i="1"/>
  <c r="AC1355" i="1"/>
  <c r="AJ1354" i="1"/>
  <c r="AK1354" i="1"/>
  <c r="AM1354" i="1"/>
  <c r="BF1354" i="1"/>
  <c r="BG1354" i="1"/>
  <c r="T1355" i="1"/>
  <c r="U1355" i="1"/>
  <c r="V1355" i="1"/>
  <c r="W1355" i="1"/>
  <c r="X1355" i="1"/>
  <c r="Y1355" i="1"/>
  <c r="Z1355" i="1"/>
  <c r="AB1355" i="1"/>
  <c r="AF1355" i="1"/>
  <c r="AI1355" i="1"/>
  <c r="H1356" i="1"/>
  <c r="AE1356" i="1"/>
  <c r="I1356" i="1"/>
  <c r="J1356" i="1"/>
  <c r="K1356" i="1"/>
  <c r="AC1356" i="1"/>
  <c r="AJ1355" i="1"/>
  <c r="AK1355" i="1"/>
  <c r="AM1355" i="1"/>
  <c r="BF1355" i="1"/>
  <c r="BG1355" i="1"/>
  <c r="T1356" i="1"/>
  <c r="U1356" i="1"/>
  <c r="V1356" i="1"/>
  <c r="W1356" i="1"/>
  <c r="X1356" i="1"/>
  <c r="Y1356" i="1"/>
  <c r="Z1356" i="1"/>
  <c r="AB1356" i="1"/>
  <c r="AF1356" i="1"/>
  <c r="AI1356" i="1"/>
  <c r="AE1357" i="1"/>
  <c r="AC1357" i="1"/>
  <c r="AJ1356" i="1"/>
  <c r="AK1356" i="1"/>
  <c r="AM1356" i="1"/>
  <c r="BF1356" i="1"/>
  <c r="BG1356" i="1"/>
  <c r="T1357" i="1"/>
  <c r="U1357" i="1"/>
  <c r="V1357" i="1"/>
  <c r="W1357" i="1"/>
  <c r="X1357" i="1"/>
  <c r="Y1357" i="1"/>
  <c r="Z1357" i="1"/>
  <c r="AB1357" i="1"/>
  <c r="AF1357" i="1"/>
  <c r="AI1357" i="1"/>
  <c r="AE1358" i="1"/>
  <c r="AC1358" i="1"/>
  <c r="AJ1357" i="1"/>
  <c r="AK1357" i="1"/>
  <c r="AM1357" i="1"/>
  <c r="BF1357" i="1"/>
  <c r="BG1357" i="1"/>
  <c r="T1358" i="1"/>
  <c r="U1358" i="1"/>
  <c r="V1358" i="1"/>
  <c r="W1358" i="1"/>
  <c r="X1358" i="1"/>
  <c r="Y1358" i="1"/>
  <c r="Z1358" i="1"/>
  <c r="AB1358" i="1"/>
  <c r="AF1358" i="1"/>
  <c r="AI1358" i="1"/>
  <c r="H1359" i="1"/>
  <c r="AE1359" i="1"/>
  <c r="I1359" i="1"/>
  <c r="J1359" i="1"/>
  <c r="K1359" i="1"/>
  <c r="AC1359" i="1"/>
  <c r="AJ1358" i="1"/>
  <c r="AK1358" i="1"/>
  <c r="AM1358" i="1"/>
  <c r="BG1358" i="1"/>
  <c r="T1359" i="1"/>
  <c r="U1359" i="1"/>
  <c r="V1359" i="1"/>
  <c r="W1359" i="1"/>
  <c r="X1359" i="1"/>
  <c r="Y1359" i="1"/>
  <c r="Z1359" i="1"/>
  <c r="AB1359" i="1"/>
  <c r="AF1359" i="1"/>
  <c r="AI1359" i="1"/>
  <c r="H1360" i="1"/>
  <c r="AE1360" i="1"/>
  <c r="I1360" i="1"/>
  <c r="J1360" i="1"/>
  <c r="K1360" i="1"/>
  <c r="AC1360" i="1"/>
  <c r="AJ1359" i="1"/>
  <c r="AK1359" i="1"/>
  <c r="AM1359" i="1"/>
  <c r="BF1359" i="1"/>
  <c r="BG1359" i="1"/>
  <c r="T1360" i="1"/>
  <c r="U1360" i="1"/>
  <c r="V1360" i="1"/>
  <c r="W1360" i="1"/>
  <c r="X1360" i="1"/>
  <c r="Y1360" i="1"/>
  <c r="Z1360" i="1"/>
  <c r="AB1360" i="1"/>
  <c r="AF1360" i="1"/>
  <c r="AI1360" i="1"/>
  <c r="H1361" i="1"/>
  <c r="AE1361" i="1"/>
  <c r="I1361" i="1"/>
  <c r="J1361" i="1"/>
  <c r="K1361" i="1"/>
  <c r="AC1361" i="1"/>
  <c r="AJ1360" i="1"/>
  <c r="AK1360" i="1"/>
  <c r="AM1360" i="1"/>
  <c r="BF1360" i="1"/>
  <c r="BG1360" i="1"/>
  <c r="T1361" i="1"/>
  <c r="U1361" i="1"/>
  <c r="V1361" i="1"/>
  <c r="W1361" i="1"/>
  <c r="X1361" i="1"/>
  <c r="Y1361" i="1"/>
  <c r="Z1361" i="1"/>
  <c r="AB1361" i="1"/>
  <c r="AF1361" i="1"/>
  <c r="AI1361" i="1"/>
  <c r="AE1362" i="1"/>
  <c r="AC1362" i="1"/>
  <c r="AJ1361" i="1"/>
  <c r="AK1361" i="1"/>
  <c r="AM1361" i="1"/>
  <c r="BF1361" i="1"/>
  <c r="BG1361" i="1"/>
  <c r="T1362" i="1"/>
  <c r="U1362" i="1"/>
  <c r="V1362" i="1"/>
  <c r="W1362" i="1"/>
  <c r="X1362" i="1"/>
  <c r="Y1362" i="1"/>
  <c r="Z1362" i="1"/>
  <c r="AB1362" i="1"/>
  <c r="AF1362" i="1"/>
  <c r="AI1362" i="1"/>
  <c r="AE1363" i="1"/>
  <c r="AC1363" i="1"/>
  <c r="AJ1362" i="1"/>
  <c r="AK1362" i="1"/>
  <c r="AM1362" i="1"/>
  <c r="BF1362" i="1"/>
  <c r="BG1362" i="1"/>
  <c r="T1363" i="1"/>
  <c r="U1363" i="1"/>
  <c r="V1363" i="1"/>
  <c r="W1363" i="1"/>
  <c r="X1363" i="1"/>
  <c r="Y1363" i="1"/>
  <c r="Z1363" i="1"/>
  <c r="AB1363" i="1"/>
  <c r="AF1363" i="1"/>
  <c r="AI1363" i="1"/>
  <c r="H1364" i="1"/>
  <c r="AE1364" i="1"/>
  <c r="I1364" i="1"/>
  <c r="J1364" i="1"/>
  <c r="K1364" i="1"/>
  <c r="AC1364" i="1"/>
  <c r="AJ1363" i="1"/>
  <c r="AK1363" i="1"/>
  <c r="AM1363" i="1"/>
  <c r="BG1363" i="1"/>
  <c r="T1364" i="1"/>
  <c r="U1364" i="1"/>
  <c r="V1364" i="1"/>
  <c r="W1364" i="1"/>
  <c r="X1364" i="1"/>
  <c r="Y1364" i="1"/>
  <c r="Z1364" i="1"/>
  <c r="AB1364" i="1"/>
  <c r="AF1364" i="1"/>
  <c r="AI1364" i="1"/>
  <c r="AE1365" i="1"/>
  <c r="AC1365" i="1"/>
  <c r="AJ1364" i="1"/>
  <c r="AK1364" i="1"/>
  <c r="AM1364" i="1"/>
  <c r="BF1364" i="1"/>
  <c r="BG1364" i="1"/>
  <c r="T1365" i="1"/>
  <c r="U1365" i="1"/>
  <c r="V1365" i="1"/>
  <c r="W1365" i="1"/>
  <c r="X1365" i="1"/>
  <c r="Y1365" i="1"/>
  <c r="Z1365" i="1"/>
  <c r="AB1365" i="1"/>
  <c r="AF1365" i="1"/>
  <c r="AI1365" i="1"/>
  <c r="AE1366" i="1"/>
  <c r="AC1366" i="1"/>
  <c r="AJ1365" i="1"/>
  <c r="AK1365" i="1"/>
  <c r="AM1365" i="1"/>
  <c r="BF1365" i="1"/>
  <c r="BG1365" i="1"/>
  <c r="T1366" i="1"/>
  <c r="U1366" i="1"/>
  <c r="V1366" i="1"/>
  <c r="W1366" i="1"/>
  <c r="X1366" i="1"/>
  <c r="Y1366" i="1"/>
  <c r="Z1366" i="1"/>
  <c r="AB1366" i="1"/>
  <c r="AF1366" i="1"/>
  <c r="AI1366" i="1"/>
  <c r="H1367" i="1"/>
  <c r="AE1367" i="1"/>
  <c r="I1367" i="1"/>
  <c r="J1367" i="1"/>
  <c r="K1367" i="1"/>
  <c r="AC1367" i="1"/>
  <c r="AJ1366" i="1"/>
  <c r="AK1366" i="1"/>
  <c r="AM1366" i="1"/>
  <c r="BG1366" i="1"/>
  <c r="T1367" i="1"/>
  <c r="U1367" i="1"/>
  <c r="V1367" i="1"/>
  <c r="W1367" i="1"/>
  <c r="X1367" i="1"/>
  <c r="Y1367" i="1"/>
  <c r="Z1367" i="1"/>
  <c r="AB1367" i="1"/>
  <c r="AF1367" i="1"/>
  <c r="AI1367" i="1"/>
  <c r="AE1368" i="1"/>
  <c r="AC1368" i="1"/>
  <c r="AJ1367" i="1"/>
  <c r="AK1367" i="1"/>
  <c r="AM1367" i="1"/>
  <c r="BF1367" i="1"/>
  <c r="BG1367" i="1"/>
  <c r="T1368" i="1"/>
  <c r="U1368" i="1"/>
  <c r="V1368" i="1"/>
  <c r="W1368" i="1"/>
  <c r="X1368" i="1"/>
  <c r="Y1368" i="1"/>
  <c r="Z1368" i="1"/>
  <c r="AB1368" i="1"/>
  <c r="AF1368" i="1"/>
  <c r="AI1368" i="1"/>
  <c r="AE1369" i="1"/>
  <c r="AC1369" i="1"/>
  <c r="AJ1368" i="1"/>
  <c r="AK1368" i="1"/>
  <c r="AM1368" i="1"/>
  <c r="BF1368" i="1"/>
  <c r="BG1368" i="1"/>
  <c r="T1369" i="1"/>
  <c r="U1369" i="1"/>
  <c r="V1369" i="1"/>
  <c r="W1369" i="1"/>
  <c r="X1369" i="1"/>
  <c r="Y1369" i="1"/>
  <c r="Z1369" i="1"/>
  <c r="AB1369" i="1"/>
  <c r="AF1369" i="1"/>
  <c r="AI1369" i="1"/>
  <c r="AE1370" i="1"/>
  <c r="AC1370" i="1"/>
  <c r="AJ1369" i="1"/>
  <c r="AK1369" i="1"/>
  <c r="AM1369" i="1"/>
  <c r="BF1369" i="1"/>
  <c r="BG1369" i="1"/>
  <c r="T1370" i="1"/>
  <c r="U1370" i="1"/>
  <c r="V1370" i="1"/>
  <c r="W1370" i="1"/>
  <c r="X1370" i="1"/>
  <c r="Y1370" i="1"/>
  <c r="Z1370" i="1"/>
  <c r="AB1370" i="1"/>
  <c r="AF1370" i="1"/>
  <c r="AI1370" i="1"/>
  <c r="H1371" i="1"/>
  <c r="AE1371" i="1"/>
  <c r="I1371" i="1"/>
  <c r="J1371" i="1"/>
  <c r="K1371" i="1"/>
  <c r="AC1371" i="1"/>
  <c r="AJ1370" i="1"/>
  <c r="AK1370" i="1"/>
  <c r="AM1370" i="1"/>
  <c r="BG1370" i="1"/>
  <c r="T1371" i="1"/>
  <c r="U1371" i="1"/>
  <c r="V1371" i="1"/>
  <c r="W1371" i="1"/>
  <c r="X1371" i="1"/>
  <c r="Y1371" i="1"/>
  <c r="Z1371" i="1"/>
  <c r="AB1371" i="1"/>
  <c r="AF1371" i="1"/>
  <c r="AI1371" i="1"/>
  <c r="AE1372" i="1"/>
  <c r="AC1372" i="1"/>
  <c r="AJ1371" i="1"/>
  <c r="AK1371" i="1"/>
  <c r="AM1371" i="1"/>
  <c r="BF1371" i="1"/>
  <c r="BG1371" i="1"/>
  <c r="T1372" i="1"/>
  <c r="U1372" i="1"/>
  <c r="V1372" i="1"/>
  <c r="W1372" i="1"/>
  <c r="X1372" i="1"/>
  <c r="Y1372" i="1"/>
  <c r="Z1372" i="1"/>
  <c r="AB1372" i="1"/>
  <c r="AF1372" i="1"/>
  <c r="AI1372" i="1"/>
  <c r="AE1373" i="1"/>
  <c r="AC1373" i="1"/>
  <c r="AJ1372" i="1"/>
  <c r="AK1372" i="1"/>
  <c r="AM1372" i="1"/>
  <c r="BF1372" i="1"/>
  <c r="BG1372" i="1"/>
  <c r="T1373" i="1"/>
  <c r="U1373" i="1"/>
  <c r="V1373" i="1"/>
  <c r="W1373" i="1"/>
  <c r="X1373" i="1"/>
  <c r="Y1373" i="1"/>
  <c r="Z1373" i="1"/>
  <c r="AB1373" i="1"/>
  <c r="AF1373" i="1"/>
  <c r="AI1373" i="1"/>
  <c r="H1374" i="1"/>
  <c r="AE1374" i="1"/>
  <c r="I1374" i="1"/>
  <c r="J1374" i="1"/>
  <c r="K1374" i="1"/>
  <c r="AC1374" i="1"/>
  <c r="AJ1373" i="1"/>
  <c r="AK1373" i="1"/>
  <c r="AM1373" i="1"/>
  <c r="BG1373" i="1"/>
  <c r="T1374" i="1"/>
  <c r="U1374" i="1"/>
  <c r="V1374" i="1"/>
  <c r="W1374" i="1"/>
  <c r="X1374" i="1"/>
  <c r="Y1374" i="1"/>
  <c r="Z1374" i="1"/>
  <c r="AB1374" i="1"/>
  <c r="AF1374" i="1"/>
  <c r="AI1374" i="1"/>
  <c r="AE1375" i="1"/>
  <c r="AC1375" i="1"/>
  <c r="AJ1374" i="1"/>
  <c r="AK1374" i="1"/>
  <c r="AM1374" i="1"/>
  <c r="BF1374" i="1"/>
  <c r="BG1374" i="1"/>
  <c r="T1375" i="1"/>
  <c r="U1375" i="1"/>
  <c r="V1375" i="1"/>
  <c r="W1375" i="1"/>
  <c r="X1375" i="1"/>
  <c r="Y1375" i="1"/>
  <c r="Z1375" i="1"/>
  <c r="AB1375" i="1"/>
  <c r="AF1375" i="1"/>
  <c r="AI1375" i="1"/>
  <c r="AE1376" i="1"/>
  <c r="AC1376" i="1"/>
  <c r="AJ1375" i="1"/>
  <c r="AK1375" i="1"/>
  <c r="AM1375" i="1"/>
  <c r="BF1375" i="1"/>
  <c r="BG1375" i="1"/>
  <c r="T1376" i="1"/>
  <c r="U1376" i="1"/>
  <c r="V1376" i="1"/>
  <c r="W1376" i="1"/>
  <c r="X1376" i="1"/>
  <c r="Y1376" i="1"/>
  <c r="Z1376" i="1"/>
  <c r="AB1376" i="1"/>
  <c r="AF1376" i="1"/>
  <c r="AI1376" i="1"/>
  <c r="AE1377" i="1"/>
  <c r="AC1377" i="1"/>
  <c r="AJ1376" i="1"/>
  <c r="AK1376" i="1"/>
  <c r="AM1376" i="1"/>
  <c r="BF1376" i="1"/>
  <c r="BG1376" i="1"/>
  <c r="T1377" i="1"/>
  <c r="U1377" i="1"/>
  <c r="V1377" i="1"/>
  <c r="W1377" i="1"/>
  <c r="X1377" i="1"/>
  <c r="Y1377" i="1"/>
  <c r="Z1377" i="1"/>
  <c r="AB1377" i="1"/>
  <c r="AF1377" i="1"/>
  <c r="AI1377" i="1"/>
  <c r="H1378" i="1"/>
  <c r="AE1378" i="1"/>
  <c r="I1378" i="1"/>
  <c r="J1378" i="1"/>
  <c r="K1378" i="1"/>
  <c r="AC1378" i="1"/>
  <c r="AJ1377" i="1"/>
  <c r="AK1377" i="1"/>
  <c r="AM1377" i="1"/>
  <c r="BG1377" i="1"/>
  <c r="T1378" i="1"/>
  <c r="U1378" i="1"/>
  <c r="V1378" i="1"/>
  <c r="W1378" i="1"/>
  <c r="X1378" i="1"/>
  <c r="Y1378" i="1"/>
  <c r="Z1378" i="1"/>
  <c r="AB1378" i="1"/>
  <c r="AF1378" i="1"/>
  <c r="AI1378" i="1"/>
  <c r="AE1379" i="1"/>
  <c r="AC1379" i="1"/>
  <c r="AJ1378" i="1"/>
  <c r="AK1378" i="1"/>
  <c r="AM1378" i="1"/>
  <c r="BF1378" i="1"/>
  <c r="BG1378" i="1"/>
  <c r="T1379" i="1"/>
  <c r="U1379" i="1"/>
  <c r="V1379" i="1"/>
  <c r="W1379" i="1"/>
  <c r="X1379" i="1"/>
  <c r="Y1379" i="1"/>
  <c r="Z1379" i="1"/>
  <c r="AB1379" i="1"/>
  <c r="AF1379" i="1"/>
  <c r="AI1379" i="1"/>
  <c r="AE1380" i="1"/>
  <c r="AC1380" i="1"/>
  <c r="AJ1379" i="1"/>
  <c r="AK1379" i="1"/>
  <c r="AM1379" i="1"/>
  <c r="BF1379" i="1"/>
  <c r="BG1379" i="1"/>
  <c r="T1380" i="1"/>
  <c r="U1380" i="1"/>
  <c r="V1380" i="1"/>
  <c r="W1380" i="1"/>
  <c r="X1380" i="1"/>
  <c r="Y1380" i="1"/>
  <c r="Z1380" i="1"/>
  <c r="AB1380" i="1"/>
  <c r="AF1380" i="1"/>
  <c r="AI1380" i="1"/>
  <c r="H1381" i="1"/>
  <c r="AE1381" i="1"/>
  <c r="I1381" i="1"/>
  <c r="J1381" i="1"/>
  <c r="K1381" i="1"/>
  <c r="AC1381" i="1"/>
  <c r="AJ1380" i="1"/>
  <c r="AK1380" i="1"/>
  <c r="AM1380" i="1"/>
  <c r="BG1380" i="1"/>
  <c r="T1381" i="1"/>
  <c r="U1381" i="1"/>
  <c r="V1381" i="1"/>
  <c r="W1381" i="1"/>
  <c r="X1381" i="1"/>
  <c r="Y1381" i="1"/>
  <c r="Z1381" i="1"/>
  <c r="AB1381" i="1"/>
  <c r="AF1381" i="1"/>
  <c r="AI1381" i="1"/>
  <c r="AE1382" i="1"/>
  <c r="AC1382" i="1"/>
  <c r="AJ1381" i="1"/>
  <c r="AK1381" i="1"/>
  <c r="AM1381" i="1"/>
  <c r="BF1381" i="1"/>
  <c r="BG1381" i="1"/>
  <c r="T1382" i="1"/>
  <c r="U1382" i="1"/>
  <c r="V1382" i="1"/>
  <c r="W1382" i="1"/>
  <c r="X1382" i="1"/>
  <c r="Y1382" i="1"/>
  <c r="Z1382" i="1"/>
  <c r="AB1382" i="1"/>
  <c r="AF1382" i="1"/>
  <c r="AI1382" i="1"/>
  <c r="AE1383" i="1"/>
  <c r="AC1383" i="1"/>
  <c r="AJ1382" i="1"/>
  <c r="AK1382" i="1"/>
  <c r="AM1382" i="1"/>
  <c r="BF1382" i="1"/>
  <c r="BG1382" i="1"/>
  <c r="T1383" i="1"/>
  <c r="U1383" i="1"/>
  <c r="V1383" i="1"/>
  <c r="W1383" i="1"/>
  <c r="X1383" i="1"/>
  <c r="Y1383" i="1"/>
  <c r="Z1383" i="1"/>
  <c r="AB1383" i="1"/>
  <c r="AF1383" i="1"/>
  <c r="AI1383" i="1"/>
  <c r="H1384" i="1"/>
  <c r="AE1384" i="1"/>
  <c r="I1384" i="1"/>
  <c r="J1384" i="1"/>
  <c r="K1384" i="1"/>
  <c r="AC1384" i="1"/>
  <c r="AJ1383" i="1"/>
  <c r="AK1383" i="1"/>
  <c r="AM1383" i="1"/>
  <c r="BG1383" i="1"/>
  <c r="T1384" i="1"/>
  <c r="U1384" i="1"/>
  <c r="V1384" i="1"/>
  <c r="W1384" i="1"/>
  <c r="X1384" i="1"/>
  <c r="Y1384" i="1"/>
  <c r="Z1384" i="1"/>
  <c r="AB1384" i="1"/>
  <c r="AF1384" i="1"/>
  <c r="AI1384" i="1"/>
  <c r="H1385" i="1"/>
  <c r="AE1385" i="1"/>
  <c r="I1385" i="1"/>
  <c r="J1385" i="1"/>
  <c r="K1385" i="1"/>
  <c r="AC1385" i="1"/>
  <c r="AJ1384" i="1"/>
  <c r="AK1384" i="1"/>
  <c r="AM1384" i="1"/>
  <c r="BF1384" i="1"/>
  <c r="BG1384" i="1"/>
  <c r="T1385" i="1"/>
  <c r="U1385" i="1"/>
  <c r="V1385" i="1"/>
  <c r="W1385" i="1"/>
  <c r="X1385" i="1"/>
  <c r="Y1385" i="1"/>
  <c r="Z1385" i="1"/>
  <c r="AB1385" i="1"/>
  <c r="AF1385" i="1"/>
  <c r="AI1385" i="1"/>
  <c r="AE1386" i="1"/>
  <c r="AC1386" i="1"/>
  <c r="AJ1385" i="1"/>
  <c r="AK1385" i="1"/>
  <c r="AM1385" i="1"/>
  <c r="BF1385" i="1"/>
  <c r="BG1385" i="1"/>
  <c r="T1386" i="1"/>
  <c r="U1386" i="1"/>
  <c r="V1386" i="1"/>
  <c r="W1386" i="1"/>
  <c r="X1386" i="1"/>
  <c r="Y1386" i="1"/>
  <c r="Z1386" i="1"/>
  <c r="AB1386" i="1"/>
  <c r="AF1386" i="1"/>
  <c r="AI1386" i="1"/>
  <c r="AE1387" i="1"/>
  <c r="AC1387" i="1"/>
  <c r="AJ1386" i="1"/>
  <c r="AK1386" i="1"/>
  <c r="AM1386" i="1"/>
  <c r="BF1386" i="1"/>
  <c r="BG1386" i="1"/>
  <c r="T1387" i="1"/>
  <c r="U1387" i="1"/>
  <c r="V1387" i="1"/>
  <c r="W1387" i="1"/>
  <c r="X1387" i="1"/>
  <c r="Y1387" i="1"/>
  <c r="Z1387" i="1"/>
  <c r="AB1387" i="1"/>
  <c r="AF1387" i="1"/>
  <c r="AI1387" i="1"/>
  <c r="AE1388" i="1"/>
  <c r="AC1388" i="1"/>
  <c r="AJ1387" i="1"/>
  <c r="AK1387" i="1"/>
  <c r="AM1387" i="1"/>
  <c r="BF1387" i="1"/>
  <c r="BG1387" i="1"/>
  <c r="T1388" i="1"/>
  <c r="U1388" i="1"/>
  <c r="V1388" i="1"/>
  <c r="W1388" i="1"/>
  <c r="X1388" i="1"/>
  <c r="Y1388" i="1"/>
  <c r="Z1388" i="1"/>
  <c r="AB1388" i="1"/>
  <c r="AF1388" i="1"/>
  <c r="AI1388" i="1"/>
  <c r="H1389" i="1"/>
  <c r="AE1389" i="1"/>
  <c r="I1389" i="1"/>
  <c r="J1389" i="1"/>
  <c r="K1389" i="1"/>
  <c r="AC1389" i="1"/>
  <c r="AJ1388" i="1"/>
  <c r="AK1388" i="1"/>
  <c r="AM1388" i="1"/>
  <c r="BG1388" i="1"/>
  <c r="T1389" i="1"/>
  <c r="U1389" i="1"/>
  <c r="V1389" i="1"/>
  <c r="W1389" i="1"/>
  <c r="X1389" i="1"/>
  <c r="Y1389" i="1"/>
  <c r="Z1389" i="1"/>
  <c r="AB1389" i="1"/>
  <c r="AF1389" i="1"/>
  <c r="AI1389" i="1"/>
  <c r="H1390" i="1"/>
  <c r="AE1390" i="1"/>
  <c r="I1390" i="1"/>
  <c r="J1390" i="1"/>
  <c r="K1390" i="1"/>
  <c r="AC1390" i="1"/>
  <c r="AJ1389" i="1"/>
  <c r="AK1389" i="1"/>
  <c r="AM1389" i="1"/>
  <c r="BF1389" i="1"/>
  <c r="BG1389" i="1"/>
  <c r="T1390" i="1"/>
  <c r="U1390" i="1"/>
  <c r="V1390" i="1"/>
  <c r="W1390" i="1"/>
  <c r="X1390" i="1"/>
  <c r="Y1390" i="1"/>
  <c r="Z1390" i="1"/>
  <c r="AB1390" i="1"/>
  <c r="AF1390" i="1"/>
  <c r="AI1390" i="1"/>
  <c r="AE1391" i="1"/>
  <c r="AC1391" i="1"/>
  <c r="AJ1390" i="1"/>
  <c r="AK1390" i="1"/>
  <c r="AM1390" i="1"/>
  <c r="BF1390" i="1"/>
  <c r="BG1390" i="1"/>
  <c r="T1391" i="1"/>
  <c r="U1391" i="1"/>
  <c r="V1391" i="1"/>
  <c r="W1391" i="1"/>
  <c r="X1391" i="1"/>
  <c r="Y1391" i="1"/>
  <c r="Z1391" i="1"/>
  <c r="AB1391" i="1"/>
  <c r="AF1391" i="1"/>
  <c r="AI1391" i="1"/>
  <c r="AE1392" i="1"/>
  <c r="AC1392" i="1"/>
  <c r="AJ1391" i="1"/>
  <c r="AK1391" i="1"/>
  <c r="AM1391" i="1"/>
  <c r="BF1391" i="1"/>
  <c r="BG1391" i="1"/>
  <c r="T1392" i="1"/>
  <c r="U1392" i="1"/>
  <c r="V1392" i="1"/>
  <c r="W1392" i="1"/>
  <c r="X1392" i="1"/>
  <c r="Y1392" i="1"/>
  <c r="Z1392" i="1"/>
  <c r="AB1392" i="1"/>
  <c r="AF1392" i="1"/>
  <c r="AI1392" i="1"/>
  <c r="H1393" i="1"/>
  <c r="AE1393" i="1"/>
  <c r="I1393" i="1"/>
  <c r="J1393" i="1"/>
  <c r="K1393" i="1"/>
  <c r="AC1393" i="1"/>
  <c r="AJ1392" i="1"/>
  <c r="AK1392" i="1"/>
  <c r="AM1392" i="1"/>
  <c r="BG1392" i="1"/>
  <c r="T1393" i="1"/>
  <c r="U1393" i="1"/>
  <c r="V1393" i="1"/>
  <c r="W1393" i="1"/>
  <c r="X1393" i="1"/>
  <c r="Y1393" i="1"/>
  <c r="Z1393" i="1"/>
  <c r="AB1393" i="1"/>
  <c r="AF1393" i="1"/>
  <c r="AI1393" i="1"/>
  <c r="AE1394" i="1"/>
  <c r="AC1394" i="1"/>
  <c r="AJ1393" i="1"/>
  <c r="AK1393" i="1"/>
  <c r="AM1393" i="1"/>
  <c r="BF1393" i="1"/>
  <c r="BG1393" i="1"/>
  <c r="T1394" i="1"/>
  <c r="U1394" i="1"/>
  <c r="V1394" i="1"/>
  <c r="W1394" i="1"/>
  <c r="X1394" i="1"/>
  <c r="Y1394" i="1"/>
  <c r="Z1394" i="1"/>
  <c r="AB1394" i="1"/>
  <c r="AF1394" i="1"/>
  <c r="AI1394" i="1"/>
  <c r="AE1395" i="1"/>
  <c r="AC1395" i="1"/>
  <c r="AJ1394" i="1"/>
  <c r="AK1394" i="1"/>
  <c r="AM1394" i="1"/>
  <c r="BF1394" i="1"/>
  <c r="BG1394" i="1"/>
  <c r="T1395" i="1"/>
  <c r="U1395" i="1"/>
  <c r="V1395" i="1"/>
  <c r="W1395" i="1"/>
  <c r="X1395" i="1"/>
  <c r="Y1395" i="1"/>
  <c r="Z1395" i="1"/>
  <c r="AB1395" i="1"/>
  <c r="AF1395" i="1"/>
  <c r="AI1395" i="1"/>
  <c r="H1396" i="1"/>
  <c r="AE1396" i="1"/>
  <c r="I1396" i="1"/>
  <c r="J1396" i="1"/>
  <c r="K1396" i="1"/>
  <c r="AC1396" i="1"/>
  <c r="AJ1395" i="1"/>
  <c r="AK1395" i="1"/>
  <c r="AM1395" i="1"/>
  <c r="BG1395" i="1"/>
  <c r="T1396" i="1"/>
  <c r="U1396" i="1"/>
  <c r="V1396" i="1"/>
  <c r="W1396" i="1"/>
  <c r="X1396" i="1"/>
  <c r="Y1396" i="1"/>
  <c r="Z1396" i="1"/>
  <c r="AB1396" i="1"/>
  <c r="AF1396" i="1"/>
  <c r="AI1396" i="1"/>
  <c r="AE1397" i="1"/>
  <c r="AC1397" i="1"/>
  <c r="AJ1396" i="1"/>
  <c r="AK1396" i="1"/>
  <c r="AM1396" i="1"/>
  <c r="BF1396" i="1"/>
  <c r="BG1396" i="1"/>
  <c r="T1397" i="1"/>
  <c r="U1397" i="1"/>
  <c r="V1397" i="1"/>
  <c r="W1397" i="1"/>
  <c r="X1397" i="1"/>
  <c r="Y1397" i="1"/>
  <c r="Z1397" i="1"/>
  <c r="AB1397" i="1"/>
  <c r="AF1397" i="1"/>
  <c r="AI1397" i="1"/>
  <c r="AE1398" i="1"/>
  <c r="AC1398" i="1"/>
  <c r="AJ1397" i="1"/>
  <c r="AK1397" i="1"/>
  <c r="AM1397" i="1"/>
  <c r="BF1397" i="1"/>
  <c r="BG1397" i="1"/>
  <c r="T1398" i="1"/>
  <c r="U1398" i="1"/>
  <c r="V1398" i="1"/>
  <c r="W1398" i="1"/>
  <c r="X1398" i="1"/>
  <c r="Y1398" i="1"/>
  <c r="Z1398" i="1"/>
  <c r="AB1398" i="1"/>
  <c r="AF1398" i="1"/>
  <c r="AI1398" i="1"/>
  <c r="AE1399" i="1"/>
  <c r="AC1399" i="1"/>
  <c r="AJ1398" i="1"/>
  <c r="AK1398" i="1"/>
  <c r="AM1398" i="1"/>
  <c r="BF1398" i="1"/>
  <c r="BG1398" i="1"/>
  <c r="T1399" i="1"/>
  <c r="U1399" i="1"/>
  <c r="V1399" i="1"/>
  <c r="W1399" i="1"/>
  <c r="X1399" i="1"/>
  <c r="Y1399" i="1"/>
  <c r="Z1399" i="1"/>
  <c r="AB1399" i="1"/>
  <c r="AF1399" i="1"/>
  <c r="AI1399" i="1"/>
  <c r="H1400" i="1"/>
  <c r="AE1400" i="1"/>
  <c r="I1400" i="1"/>
  <c r="J1400" i="1"/>
  <c r="K1400" i="1"/>
  <c r="AC1400" i="1"/>
  <c r="AJ1399" i="1"/>
  <c r="AK1399" i="1"/>
  <c r="AM1399" i="1"/>
  <c r="BG1399" i="1"/>
  <c r="T1400" i="1"/>
  <c r="U1400" i="1"/>
  <c r="V1400" i="1"/>
  <c r="W1400" i="1"/>
  <c r="X1400" i="1"/>
  <c r="Y1400" i="1"/>
  <c r="Z1400" i="1"/>
  <c r="AB1400" i="1"/>
  <c r="AF1400" i="1"/>
  <c r="AI1400" i="1"/>
  <c r="AE1401" i="1"/>
  <c r="AC1401" i="1"/>
  <c r="AJ1400" i="1"/>
  <c r="AK1400" i="1"/>
  <c r="AM1400" i="1"/>
  <c r="BF1400" i="1"/>
  <c r="BG1400" i="1"/>
  <c r="T1401" i="1"/>
  <c r="U1401" i="1"/>
  <c r="V1401" i="1"/>
  <c r="W1401" i="1"/>
  <c r="X1401" i="1"/>
  <c r="Y1401" i="1"/>
  <c r="Z1401" i="1"/>
  <c r="AB1401" i="1"/>
  <c r="AF1401" i="1"/>
  <c r="AI1401" i="1"/>
  <c r="AE1402" i="1"/>
  <c r="AC1402" i="1"/>
  <c r="AJ1401" i="1"/>
  <c r="AK1401" i="1"/>
  <c r="AM1401" i="1"/>
  <c r="BF1401" i="1"/>
  <c r="BG1401" i="1"/>
  <c r="T1402" i="1"/>
  <c r="U1402" i="1"/>
  <c r="V1402" i="1"/>
  <c r="W1402" i="1"/>
  <c r="X1402" i="1"/>
  <c r="Y1402" i="1"/>
  <c r="Z1402" i="1"/>
  <c r="AB1402" i="1"/>
  <c r="AF1402" i="1"/>
  <c r="AI1402" i="1"/>
  <c r="H1403" i="1"/>
  <c r="AE1403" i="1"/>
  <c r="I1403" i="1"/>
  <c r="J1403" i="1"/>
  <c r="K1403" i="1"/>
  <c r="AC1403" i="1"/>
  <c r="AJ1402" i="1"/>
  <c r="AK1402" i="1"/>
  <c r="AM1402" i="1"/>
  <c r="BG1402" i="1"/>
  <c r="T1403" i="1"/>
  <c r="U1403" i="1"/>
  <c r="V1403" i="1"/>
  <c r="W1403" i="1"/>
  <c r="X1403" i="1"/>
  <c r="Y1403" i="1"/>
  <c r="Z1403" i="1"/>
  <c r="AB1403" i="1"/>
  <c r="AF1403" i="1"/>
  <c r="AI1403" i="1"/>
  <c r="AE1404" i="1"/>
  <c r="AC1404" i="1"/>
  <c r="AJ1403" i="1"/>
  <c r="AK1403" i="1"/>
  <c r="AM1403" i="1"/>
  <c r="BF1403" i="1"/>
  <c r="BG1403" i="1"/>
  <c r="T1404" i="1"/>
  <c r="U1404" i="1"/>
  <c r="V1404" i="1"/>
  <c r="W1404" i="1"/>
  <c r="X1404" i="1"/>
  <c r="Y1404" i="1"/>
  <c r="Z1404" i="1"/>
  <c r="AB1404" i="1"/>
  <c r="AF1404" i="1"/>
  <c r="AI1404" i="1"/>
  <c r="AE1405" i="1"/>
  <c r="AC1405" i="1"/>
  <c r="AJ1404" i="1"/>
  <c r="AK1404" i="1"/>
  <c r="AM1404" i="1"/>
  <c r="BF1404" i="1"/>
  <c r="BG1404" i="1"/>
  <c r="T1405" i="1"/>
  <c r="U1405" i="1"/>
  <c r="V1405" i="1"/>
  <c r="W1405" i="1"/>
  <c r="X1405" i="1"/>
  <c r="Y1405" i="1"/>
  <c r="Z1405" i="1"/>
  <c r="AB1405" i="1"/>
  <c r="AF1405" i="1"/>
  <c r="AI1405" i="1"/>
  <c r="AE1406" i="1"/>
  <c r="AC1406" i="1"/>
  <c r="AJ1405" i="1"/>
  <c r="AK1405" i="1"/>
  <c r="AM1405" i="1"/>
  <c r="BF1405" i="1"/>
  <c r="BG1405" i="1"/>
  <c r="T1406" i="1"/>
  <c r="U1406" i="1"/>
  <c r="V1406" i="1"/>
  <c r="W1406" i="1"/>
  <c r="X1406" i="1"/>
  <c r="Y1406" i="1"/>
  <c r="Z1406" i="1"/>
  <c r="AB1406" i="1"/>
  <c r="AF1406" i="1"/>
  <c r="AI1406" i="1"/>
  <c r="H1407" i="1"/>
  <c r="AE1407" i="1"/>
  <c r="I1407" i="1"/>
  <c r="J1407" i="1"/>
  <c r="K1407" i="1"/>
  <c r="AC1407" i="1"/>
  <c r="AJ1406" i="1"/>
  <c r="AK1406" i="1"/>
  <c r="AM1406" i="1"/>
  <c r="BG1406" i="1"/>
  <c r="T1407" i="1"/>
  <c r="U1407" i="1"/>
  <c r="V1407" i="1"/>
  <c r="W1407" i="1"/>
  <c r="X1407" i="1"/>
  <c r="Y1407" i="1"/>
  <c r="Z1407" i="1"/>
  <c r="AB1407" i="1"/>
  <c r="AF1407" i="1"/>
  <c r="AI1407" i="1"/>
  <c r="H1408" i="1"/>
  <c r="AE1408" i="1"/>
  <c r="I1408" i="1"/>
  <c r="J1408" i="1"/>
  <c r="K1408" i="1"/>
  <c r="AC1408" i="1"/>
  <c r="AJ1407" i="1"/>
  <c r="AK1407" i="1"/>
  <c r="AM1407" i="1"/>
  <c r="BF1407" i="1"/>
  <c r="BG1407" i="1"/>
  <c r="T1408" i="1"/>
  <c r="U1408" i="1"/>
  <c r="V1408" i="1"/>
  <c r="W1408" i="1"/>
  <c r="X1408" i="1"/>
  <c r="Y1408" i="1"/>
  <c r="Z1408" i="1"/>
  <c r="AB1408" i="1"/>
  <c r="AF1408" i="1"/>
  <c r="AI1408" i="1"/>
  <c r="H1409" i="1"/>
  <c r="AE1409" i="1"/>
  <c r="I1409" i="1"/>
  <c r="J1409" i="1"/>
  <c r="K1409" i="1"/>
  <c r="AC1409" i="1"/>
  <c r="AJ1408" i="1"/>
  <c r="AK1408" i="1"/>
  <c r="AM1408" i="1"/>
  <c r="BF1408" i="1"/>
  <c r="BG1408" i="1"/>
  <c r="T1409" i="1"/>
  <c r="U1409" i="1"/>
  <c r="V1409" i="1"/>
  <c r="W1409" i="1"/>
  <c r="X1409" i="1"/>
  <c r="Y1409" i="1"/>
  <c r="Z1409" i="1"/>
  <c r="AB1409" i="1"/>
  <c r="AF1409" i="1"/>
  <c r="AI1409" i="1"/>
  <c r="AE1410" i="1"/>
  <c r="AC1410" i="1"/>
  <c r="AJ1409" i="1"/>
  <c r="AK1409" i="1"/>
  <c r="AM1409" i="1"/>
  <c r="BF1409" i="1"/>
  <c r="BG1409" i="1"/>
  <c r="T1410" i="1"/>
  <c r="U1410" i="1"/>
  <c r="V1410" i="1"/>
  <c r="W1410" i="1"/>
  <c r="X1410" i="1"/>
  <c r="Y1410" i="1"/>
  <c r="Z1410" i="1"/>
  <c r="AB1410" i="1"/>
  <c r="AF1410" i="1"/>
  <c r="AI1410" i="1"/>
  <c r="AE1411" i="1"/>
  <c r="AC1411" i="1"/>
  <c r="AJ1410" i="1"/>
  <c r="AK1410" i="1"/>
  <c r="AM1410" i="1"/>
  <c r="BF1410" i="1"/>
  <c r="BG1410" i="1"/>
  <c r="T1411" i="1"/>
  <c r="U1411" i="1"/>
  <c r="V1411" i="1"/>
  <c r="W1411" i="1"/>
  <c r="X1411" i="1"/>
  <c r="Y1411" i="1"/>
  <c r="Z1411" i="1"/>
  <c r="AB1411" i="1"/>
  <c r="AF1411" i="1"/>
  <c r="AI1411" i="1"/>
  <c r="AE1412" i="1"/>
  <c r="AC1412" i="1"/>
  <c r="AJ1411" i="1"/>
  <c r="AK1411" i="1"/>
  <c r="AM1411" i="1"/>
  <c r="BF1411" i="1"/>
  <c r="BG1411" i="1"/>
  <c r="T1412" i="1"/>
  <c r="U1412" i="1"/>
  <c r="V1412" i="1"/>
  <c r="W1412" i="1"/>
  <c r="X1412" i="1"/>
  <c r="Y1412" i="1"/>
  <c r="Z1412" i="1"/>
  <c r="AB1412" i="1"/>
  <c r="AF1412" i="1"/>
  <c r="AI1412" i="1"/>
  <c r="H1413" i="1"/>
  <c r="AE1413" i="1"/>
  <c r="I1413" i="1"/>
  <c r="J1413" i="1"/>
  <c r="K1413" i="1"/>
  <c r="AC1413" i="1"/>
  <c r="AJ1412" i="1"/>
  <c r="AK1412" i="1"/>
  <c r="AM1412" i="1"/>
  <c r="BG1412" i="1"/>
  <c r="T1413" i="1"/>
  <c r="U1413" i="1"/>
  <c r="V1413" i="1"/>
  <c r="W1413" i="1"/>
  <c r="X1413" i="1"/>
  <c r="Y1413" i="1"/>
  <c r="Z1413" i="1"/>
  <c r="AB1413" i="1"/>
  <c r="AF1413" i="1"/>
  <c r="AI1413" i="1"/>
  <c r="H1414" i="1"/>
  <c r="AE1414" i="1"/>
  <c r="I1414" i="1"/>
  <c r="J1414" i="1"/>
  <c r="K1414" i="1"/>
  <c r="AC1414" i="1"/>
  <c r="AJ1413" i="1"/>
  <c r="AK1413" i="1"/>
  <c r="AM1413" i="1"/>
  <c r="BF1413" i="1"/>
  <c r="BG1413" i="1"/>
  <c r="T1414" i="1"/>
  <c r="U1414" i="1"/>
  <c r="V1414" i="1"/>
  <c r="W1414" i="1"/>
  <c r="X1414" i="1"/>
  <c r="Y1414" i="1"/>
  <c r="Z1414" i="1"/>
  <c r="AB1414" i="1"/>
  <c r="AF1414" i="1"/>
  <c r="AI1414" i="1"/>
  <c r="AE1415" i="1"/>
  <c r="AC1415" i="1"/>
  <c r="AJ1414" i="1"/>
  <c r="AK1414" i="1"/>
  <c r="AM1414" i="1"/>
  <c r="BF1414" i="1"/>
  <c r="BG1414" i="1"/>
  <c r="T1415" i="1"/>
  <c r="U1415" i="1"/>
  <c r="V1415" i="1"/>
  <c r="W1415" i="1"/>
  <c r="X1415" i="1"/>
  <c r="Y1415" i="1"/>
  <c r="Z1415" i="1"/>
  <c r="AB1415" i="1"/>
  <c r="AF1415" i="1"/>
  <c r="AI1415" i="1"/>
  <c r="AE1416" i="1"/>
  <c r="AC1416" i="1"/>
  <c r="AJ1415" i="1"/>
  <c r="AK1415" i="1"/>
  <c r="AM1415" i="1"/>
  <c r="BF1415" i="1"/>
  <c r="BG1415" i="1"/>
  <c r="T1416" i="1"/>
  <c r="U1416" i="1"/>
  <c r="V1416" i="1"/>
  <c r="W1416" i="1"/>
  <c r="X1416" i="1"/>
  <c r="Y1416" i="1"/>
  <c r="Z1416" i="1"/>
  <c r="AB1416" i="1"/>
  <c r="AF1416" i="1"/>
  <c r="AI1416" i="1"/>
  <c r="H1417" i="1"/>
  <c r="AE1417" i="1"/>
  <c r="I1417" i="1"/>
  <c r="J1417" i="1"/>
  <c r="K1417" i="1"/>
  <c r="AC1417" i="1"/>
  <c r="AJ1416" i="1"/>
  <c r="AK1416" i="1"/>
  <c r="AM1416" i="1"/>
  <c r="BG1416" i="1"/>
  <c r="T1417" i="1"/>
  <c r="U1417" i="1"/>
  <c r="V1417" i="1"/>
  <c r="W1417" i="1"/>
  <c r="X1417" i="1"/>
  <c r="Y1417" i="1"/>
  <c r="Z1417" i="1"/>
  <c r="AB1417" i="1"/>
  <c r="AF1417" i="1"/>
  <c r="AI1417" i="1"/>
  <c r="H1418" i="1"/>
  <c r="AE1418" i="1"/>
  <c r="I1418" i="1"/>
  <c r="J1418" i="1"/>
  <c r="K1418" i="1"/>
  <c r="AC1418" i="1"/>
  <c r="AJ1417" i="1"/>
  <c r="AK1417" i="1"/>
  <c r="AM1417" i="1"/>
  <c r="BF1417" i="1"/>
  <c r="BG1417" i="1"/>
  <c r="T1418" i="1"/>
  <c r="U1418" i="1"/>
  <c r="V1418" i="1"/>
  <c r="W1418" i="1"/>
  <c r="X1418" i="1"/>
  <c r="Y1418" i="1"/>
  <c r="Z1418" i="1"/>
  <c r="AB1418" i="1"/>
  <c r="AF1418" i="1"/>
  <c r="AI1418" i="1"/>
  <c r="H1419" i="1"/>
  <c r="AE1419" i="1"/>
  <c r="I1419" i="1"/>
  <c r="J1419" i="1"/>
  <c r="K1419" i="1"/>
  <c r="AC1419" i="1"/>
  <c r="AJ1418" i="1"/>
  <c r="AK1418" i="1"/>
  <c r="AM1418" i="1"/>
  <c r="BF1418" i="1"/>
  <c r="BG1418" i="1"/>
  <c r="T1419" i="1"/>
  <c r="U1419" i="1"/>
  <c r="V1419" i="1"/>
  <c r="W1419" i="1"/>
  <c r="X1419" i="1"/>
  <c r="Y1419" i="1"/>
  <c r="Z1419" i="1"/>
  <c r="AB1419" i="1"/>
  <c r="AF1419" i="1"/>
  <c r="AI1419" i="1"/>
  <c r="H1420" i="1"/>
  <c r="AE1420" i="1"/>
  <c r="I1420" i="1"/>
  <c r="J1420" i="1"/>
  <c r="K1420" i="1"/>
  <c r="AC1420" i="1"/>
  <c r="AJ1419" i="1"/>
  <c r="AK1419" i="1"/>
  <c r="AM1419" i="1"/>
  <c r="BF1419" i="1"/>
  <c r="BG1419" i="1"/>
  <c r="T1420" i="1"/>
  <c r="U1420" i="1"/>
  <c r="V1420" i="1"/>
  <c r="W1420" i="1"/>
  <c r="X1420" i="1"/>
  <c r="Y1420" i="1"/>
  <c r="Z1420" i="1"/>
  <c r="AB1420" i="1"/>
  <c r="AF1420" i="1"/>
  <c r="AI1420" i="1"/>
  <c r="H1421" i="1"/>
  <c r="AE1421" i="1"/>
  <c r="I1421" i="1"/>
  <c r="J1421" i="1"/>
  <c r="K1421" i="1"/>
  <c r="AC1421" i="1"/>
  <c r="AJ1420" i="1"/>
  <c r="AK1420" i="1"/>
  <c r="AM1420" i="1"/>
  <c r="BF1420" i="1"/>
  <c r="BG1420" i="1"/>
  <c r="T1421" i="1"/>
  <c r="U1421" i="1"/>
  <c r="V1421" i="1"/>
  <c r="W1421" i="1"/>
  <c r="X1421" i="1"/>
  <c r="Y1421" i="1"/>
  <c r="Z1421" i="1"/>
  <c r="AB1421" i="1"/>
  <c r="AF1421" i="1"/>
  <c r="AI1421" i="1"/>
  <c r="AE1422" i="1"/>
  <c r="AC1422" i="1"/>
  <c r="AJ1421" i="1"/>
  <c r="AK1421" i="1"/>
  <c r="AM1421" i="1"/>
  <c r="BF1421" i="1"/>
  <c r="BG1421" i="1"/>
  <c r="T1422" i="1"/>
  <c r="U1422" i="1"/>
  <c r="V1422" i="1"/>
  <c r="W1422" i="1"/>
  <c r="X1422" i="1"/>
  <c r="Y1422" i="1"/>
  <c r="Z1422" i="1"/>
  <c r="AB1422" i="1"/>
  <c r="AF1422" i="1"/>
  <c r="AI1422" i="1"/>
  <c r="AE1423" i="1"/>
  <c r="AC1423" i="1"/>
  <c r="AJ1422" i="1"/>
  <c r="AK1422" i="1"/>
  <c r="AM1422" i="1"/>
  <c r="BF1422" i="1"/>
  <c r="BG1422" i="1"/>
  <c r="T1423" i="1"/>
  <c r="U1423" i="1"/>
  <c r="V1423" i="1"/>
  <c r="W1423" i="1"/>
  <c r="X1423" i="1"/>
  <c r="Y1423" i="1"/>
  <c r="Z1423" i="1"/>
  <c r="AB1423" i="1"/>
  <c r="AF1423" i="1"/>
  <c r="AI1423" i="1"/>
  <c r="H1424" i="1"/>
  <c r="AE1424" i="1"/>
  <c r="I1424" i="1"/>
  <c r="J1424" i="1"/>
  <c r="K1424" i="1"/>
  <c r="AC1424" i="1"/>
  <c r="AJ1423" i="1"/>
  <c r="AK1423" i="1"/>
  <c r="AM1423" i="1"/>
  <c r="BG1423" i="1"/>
  <c r="T1424" i="1"/>
  <c r="U1424" i="1"/>
  <c r="V1424" i="1"/>
  <c r="W1424" i="1"/>
  <c r="X1424" i="1"/>
  <c r="Y1424" i="1"/>
  <c r="Z1424" i="1"/>
  <c r="AB1424" i="1"/>
  <c r="AF1424" i="1"/>
  <c r="AI1424" i="1"/>
  <c r="H1425" i="1"/>
  <c r="AE1425" i="1"/>
  <c r="I1425" i="1"/>
  <c r="J1425" i="1"/>
  <c r="K1425" i="1"/>
  <c r="AC1425" i="1"/>
  <c r="AJ1424" i="1"/>
  <c r="AK1424" i="1"/>
  <c r="AM1424" i="1"/>
  <c r="BF1424" i="1"/>
  <c r="BG1424" i="1"/>
  <c r="T1425" i="1"/>
  <c r="U1425" i="1"/>
  <c r="V1425" i="1"/>
  <c r="W1425" i="1"/>
  <c r="X1425" i="1"/>
  <c r="Y1425" i="1"/>
  <c r="Z1425" i="1"/>
  <c r="AB1425" i="1"/>
  <c r="AF1425" i="1"/>
  <c r="AI1425" i="1"/>
  <c r="AE1426" i="1"/>
  <c r="AC1426" i="1"/>
  <c r="AJ1425" i="1"/>
  <c r="AK1425" i="1"/>
  <c r="AM1425" i="1"/>
  <c r="BF1425" i="1"/>
  <c r="BG1425" i="1"/>
  <c r="T1426" i="1"/>
  <c r="U1426" i="1"/>
  <c r="V1426" i="1"/>
  <c r="W1426" i="1"/>
  <c r="X1426" i="1"/>
  <c r="Y1426" i="1"/>
  <c r="Z1426" i="1"/>
  <c r="AB1426" i="1"/>
  <c r="AF1426" i="1"/>
  <c r="AI1426" i="1"/>
  <c r="AE1427" i="1"/>
  <c r="AC1427" i="1"/>
  <c r="AJ1426" i="1"/>
  <c r="AK1426" i="1"/>
  <c r="AM1426" i="1"/>
  <c r="BF1426" i="1"/>
  <c r="BG1426" i="1"/>
  <c r="T1427" i="1"/>
  <c r="U1427" i="1"/>
  <c r="V1427" i="1"/>
  <c r="W1427" i="1"/>
  <c r="X1427" i="1"/>
  <c r="Y1427" i="1"/>
  <c r="Z1427" i="1"/>
  <c r="AB1427" i="1"/>
  <c r="AF1427" i="1"/>
  <c r="AI1427" i="1"/>
  <c r="H1428" i="1"/>
  <c r="AE1428" i="1"/>
  <c r="I1428" i="1"/>
  <c r="J1428" i="1"/>
  <c r="K1428" i="1"/>
  <c r="AC1428" i="1"/>
  <c r="AJ1427" i="1"/>
  <c r="AK1427" i="1"/>
  <c r="AM1427" i="1"/>
  <c r="BG1427" i="1"/>
  <c r="T1428" i="1"/>
  <c r="U1428" i="1"/>
  <c r="V1428" i="1"/>
  <c r="W1428" i="1"/>
  <c r="X1428" i="1"/>
  <c r="Y1428" i="1"/>
  <c r="Z1428" i="1"/>
  <c r="AB1428" i="1"/>
  <c r="AF1428" i="1"/>
  <c r="AI1428" i="1"/>
  <c r="AE1429" i="1"/>
  <c r="AC1429" i="1"/>
  <c r="AJ1428" i="1"/>
  <c r="AK1428" i="1"/>
  <c r="AM1428" i="1"/>
  <c r="BF1428" i="1"/>
  <c r="BG1428" i="1"/>
  <c r="T1429" i="1"/>
  <c r="U1429" i="1"/>
  <c r="V1429" i="1"/>
  <c r="W1429" i="1"/>
  <c r="X1429" i="1"/>
  <c r="Y1429" i="1"/>
  <c r="Z1429" i="1"/>
  <c r="AB1429" i="1"/>
  <c r="AF1429" i="1"/>
  <c r="AI1429" i="1"/>
  <c r="AE1430" i="1"/>
  <c r="AC1430" i="1"/>
  <c r="AJ1429" i="1"/>
  <c r="AK1429" i="1"/>
  <c r="AM1429" i="1"/>
  <c r="BF1429" i="1"/>
  <c r="BG1429" i="1"/>
  <c r="T1430" i="1"/>
  <c r="U1430" i="1"/>
  <c r="V1430" i="1"/>
  <c r="W1430" i="1"/>
  <c r="X1430" i="1"/>
  <c r="Y1430" i="1"/>
  <c r="Z1430" i="1"/>
  <c r="AB1430" i="1"/>
  <c r="AF1430" i="1"/>
  <c r="AI1430" i="1"/>
  <c r="AE1431" i="1"/>
  <c r="AC1431" i="1"/>
  <c r="AJ1430" i="1"/>
  <c r="AK1430" i="1"/>
  <c r="AM1430" i="1"/>
  <c r="BF1430" i="1"/>
  <c r="BG1430" i="1"/>
  <c r="T1431" i="1"/>
  <c r="U1431" i="1"/>
  <c r="V1431" i="1"/>
  <c r="W1431" i="1"/>
  <c r="X1431" i="1"/>
  <c r="Y1431" i="1"/>
  <c r="Z1431" i="1"/>
  <c r="AB1431" i="1"/>
  <c r="AF1431" i="1"/>
  <c r="AI1431" i="1"/>
  <c r="H1432" i="1"/>
  <c r="AE1432" i="1"/>
  <c r="I1432" i="1"/>
  <c r="J1432" i="1"/>
  <c r="K1432" i="1"/>
  <c r="AC1432" i="1"/>
  <c r="AJ1431" i="1"/>
  <c r="AK1431" i="1"/>
  <c r="AM1431" i="1"/>
  <c r="BG1431" i="1"/>
  <c r="T1432" i="1"/>
  <c r="U1432" i="1"/>
  <c r="V1432" i="1"/>
  <c r="W1432" i="1"/>
  <c r="X1432" i="1"/>
  <c r="Y1432" i="1"/>
  <c r="Z1432" i="1"/>
  <c r="AB1432" i="1"/>
  <c r="AF1432" i="1"/>
  <c r="AI1432" i="1"/>
  <c r="AE1433" i="1"/>
  <c r="AC1433" i="1"/>
  <c r="AJ1432" i="1"/>
  <c r="AK1432" i="1"/>
  <c r="AM1432" i="1"/>
  <c r="BF1432" i="1"/>
  <c r="BG1432" i="1"/>
  <c r="T1433" i="1"/>
  <c r="U1433" i="1"/>
  <c r="V1433" i="1"/>
  <c r="W1433" i="1"/>
  <c r="X1433" i="1"/>
  <c r="Y1433" i="1"/>
  <c r="Z1433" i="1"/>
  <c r="AB1433" i="1"/>
  <c r="AF1433" i="1"/>
  <c r="AI1433" i="1"/>
  <c r="AE1434" i="1"/>
  <c r="AC1434" i="1"/>
  <c r="AJ1433" i="1"/>
  <c r="AK1433" i="1"/>
  <c r="AM1433" i="1"/>
  <c r="BF1433" i="1"/>
  <c r="BG1433" i="1"/>
  <c r="T1434" i="1"/>
  <c r="U1434" i="1"/>
  <c r="V1434" i="1"/>
  <c r="W1434" i="1"/>
  <c r="X1434" i="1"/>
  <c r="Y1434" i="1"/>
  <c r="Z1434" i="1"/>
  <c r="AB1434" i="1"/>
  <c r="AF1434" i="1"/>
  <c r="AI1434" i="1"/>
  <c r="AE1435" i="1"/>
  <c r="AC1435" i="1"/>
  <c r="AJ1434" i="1"/>
  <c r="AK1434" i="1"/>
  <c r="AM1434" i="1"/>
  <c r="BF1434" i="1"/>
  <c r="BG1434" i="1"/>
  <c r="T1435" i="1"/>
  <c r="U1435" i="1"/>
  <c r="V1435" i="1"/>
  <c r="W1435" i="1"/>
  <c r="X1435" i="1"/>
  <c r="Y1435" i="1"/>
  <c r="Z1435" i="1"/>
  <c r="AB1435" i="1"/>
  <c r="AF1435" i="1"/>
  <c r="AI1435" i="1"/>
  <c r="H1436" i="1"/>
  <c r="AE1436" i="1"/>
  <c r="I1436" i="1"/>
  <c r="J1436" i="1"/>
  <c r="K1436" i="1"/>
  <c r="AC1436" i="1"/>
  <c r="AJ1435" i="1"/>
  <c r="AK1435" i="1"/>
  <c r="AM1435" i="1"/>
  <c r="BG1435" i="1"/>
  <c r="T1436" i="1"/>
  <c r="U1436" i="1"/>
  <c r="V1436" i="1"/>
  <c r="W1436" i="1"/>
  <c r="X1436" i="1"/>
  <c r="Y1436" i="1"/>
  <c r="Z1436" i="1"/>
  <c r="AB1436" i="1"/>
  <c r="AF1436" i="1"/>
  <c r="AI1436" i="1"/>
  <c r="AE1437" i="1"/>
  <c r="AC1437" i="1"/>
  <c r="AJ1436" i="1"/>
  <c r="AK1436" i="1"/>
  <c r="AM1436" i="1"/>
  <c r="BF1436" i="1"/>
  <c r="BG1436" i="1"/>
  <c r="T1437" i="1"/>
  <c r="U1437" i="1"/>
  <c r="V1437" i="1"/>
  <c r="W1437" i="1"/>
  <c r="X1437" i="1"/>
  <c r="Y1437" i="1"/>
  <c r="Z1437" i="1"/>
  <c r="AB1437" i="1"/>
  <c r="AF1437" i="1"/>
  <c r="AI1437" i="1"/>
  <c r="AE1438" i="1"/>
  <c r="AC1438" i="1"/>
  <c r="AJ1437" i="1"/>
  <c r="AK1437" i="1"/>
  <c r="AM1437" i="1"/>
  <c r="BF1437" i="1"/>
  <c r="BG1437" i="1"/>
  <c r="T1438" i="1"/>
  <c r="U1438" i="1"/>
  <c r="V1438" i="1"/>
  <c r="W1438" i="1"/>
  <c r="X1438" i="1"/>
  <c r="Y1438" i="1"/>
  <c r="Z1438" i="1"/>
  <c r="AB1438" i="1"/>
  <c r="AF1438" i="1"/>
  <c r="AI1438" i="1"/>
  <c r="H1439" i="1"/>
  <c r="AE1439" i="1"/>
  <c r="I1439" i="1"/>
  <c r="J1439" i="1"/>
  <c r="K1439" i="1"/>
  <c r="AC1439" i="1"/>
  <c r="AJ1438" i="1"/>
  <c r="AK1438" i="1"/>
  <c r="AM1438" i="1"/>
  <c r="BG1438" i="1"/>
  <c r="T1439" i="1"/>
  <c r="U1439" i="1"/>
  <c r="V1439" i="1"/>
  <c r="W1439" i="1"/>
  <c r="X1439" i="1"/>
  <c r="Y1439" i="1"/>
  <c r="Z1439" i="1"/>
  <c r="AB1439" i="1"/>
  <c r="AF1439" i="1"/>
  <c r="AI1439" i="1"/>
  <c r="AE1440" i="1"/>
  <c r="AC1440" i="1"/>
  <c r="AJ1439" i="1"/>
  <c r="AK1439" i="1"/>
  <c r="AM1439" i="1"/>
  <c r="BF1439" i="1"/>
  <c r="BG1439" i="1"/>
  <c r="T1440" i="1"/>
  <c r="U1440" i="1"/>
  <c r="V1440" i="1"/>
  <c r="W1440" i="1"/>
  <c r="X1440" i="1"/>
  <c r="Y1440" i="1"/>
  <c r="Z1440" i="1"/>
  <c r="AB1440" i="1"/>
  <c r="AF1440" i="1"/>
  <c r="AI1440" i="1"/>
  <c r="AE1441" i="1"/>
  <c r="AC1441" i="1"/>
  <c r="AJ1440" i="1"/>
  <c r="AK1440" i="1"/>
  <c r="AM1440" i="1"/>
  <c r="BF1440" i="1"/>
  <c r="BG1440" i="1"/>
  <c r="T1441" i="1"/>
  <c r="U1441" i="1"/>
  <c r="V1441" i="1"/>
  <c r="W1441" i="1"/>
  <c r="X1441" i="1"/>
  <c r="Y1441" i="1"/>
  <c r="Z1441" i="1"/>
  <c r="AB1441" i="1"/>
  <c r="AF1441" i="1"/>
  <c r="AI1441" i="1"/>
  <c r="AE1442" i="1"/>
  <c r="AC1442" i="1"/>
  <c r="AJ1441" i="1"/>
  <c r="AK1441" i="1"/>
  <c r="AM1441" i="1"/>
  <c r="BF1441" i="1"/>
  <c r="BG1441" i="1"/>
  <c r="T1442" i="1"/>
  <c r="U1442" i="1"/>
  <c r="V1442" i="1"/>
  <c r="W1442" i="1"/>
  <c r="X1442" i="1"/>
  <c r="Y1442" i="1"/>
  <c r="Z1442" i="1"/>
  <c r="AB1442" i="1"/>
  <c r="AF1442" i="1"/>
  <c r="AI1442" i="1"/>
  <c r="AE1443" i="1"/>
  <c r="AC1443" i="1"/>
  <c r="AJ1442" i="1"/>
  <c r="AK1442" i="1"/>
  <c r="AM1442" i="1"/>
  <c r="BF1442" i="1"/>
  <c r="BG1442" i="1"/>
  <c r="T1443" i="1"/>
  <c r="U1443" i="1"/>
  <c r="V1443" i="1"/>
  <c r="W1443" i="1"/>
  <c r="X1443" i="1"/>
  <c r="Y1443" i="1"/>
  <c r="Z1443" i="1"/>
  <c r="AB1443" i="1"/>
  <c r="AF1443" i="1"/>
  <c r="AI1443" i="1"/>
  <c r="H1444" i="1"/>
  <c r="AE1444" i="1"/>
  <c r="I1444" i="1"/>
  <c r="J1444" i="1"/>
  <c r="K1444" i="1"/>
  <c r="AC1444" i="1"/>
  <c r="AJ1443" i="1"/>
  <c r="AK1443" i="1"/>
  <c r="AM1443" i="1"/>
  <c r="BG1443" i="1"/>
  <c r="T1444" i="1"/>
  <c r="U1444" i="1"/>
  <c r="V1444" i="1"/>
  <c r="W1444" i="1"/>
  <c r="X1444" i="1"/>
  <c r="Y1444" i="1"/>
  <c r="Z1444" i="1"/>
  <c r="AB1444" i="1"/>
  <c r="AF1444" i="1"/>
  <c r="AI1444" i="1"/>
  <c r="H1445" i="1"/>
  <c r="AE1445" i="1"/>
  <c r="I1445" i="1"/>
  <c r="J1445" i="1"/>
  <c r="K1445" i="1"/>
  <c r="AC1445" i="1"/>
  <c r="AJ1444" i="1"/>
  <c r="AK1444" i="1"/>
  <c r="AM1444" i="1"/>
  <c r="BF1444" i="1"/>
  <c r="BG1444" i="1"/>
  <c r="T1445" i="1"/>
  <c r="U1445" i="1"/>
  <c r="V1445" i="1"/>
  <c r="W1445" i="1"/>
  <c r="X1445" i="1"/>
  <c r="Y1445" i="1"/>
  <c r="Z1445" i="1"/>
  <c r="AB1445" i="1"/>
  <c r="AF1445" i="1"/>
  <c r="AI1445" i="1"/>
  <c r="AE1446" i="1"/>
  <c r="AC1446" i="1"/>
  <c r="AJ1445" i="1"/>
  <c r="AK1445" i="1"/>
  <c r="AM1445" i="1"/>
  <c r="BF1445" i="1"/>
  <c r="BG1445" i="1"/>
  <c r="T1446" i="1"/>
  <c r="U1446" i="1"/>
  <c r="V1446" i="1"/>
  <c r="W1446" i="1"/>
  <c r="X1446" i="1"/>
  <c r="Y1446" i="1"/>
  <c r="Z1446" i="1"/>
  <c r="AB1446" i="1"/>
  <c r="AF1446" i="1"/>
  <c r="AI1446" i="1"/>
  <c r="AE1447" i="1"/>
  <c r="AC1447" i="1"/>
  <c r="AJ1446" i="1"/>
  <c r="AK1446" i="1"/>
  <c r="AM1446" i="1"/>
  <c r="BF1446" i="1"/>
  <c r="BG1446" i="1"/>
  <c r="T1447" i="1"/>
  <c r="U1447" i="1"/>
  <c r="V1447" i="1"/>
  <c r="W1447" i="1"/>
  <c r="X1447" i="1"/>
  <c r="Y1447" i="1"/>
  <c r="Z1447" i="1"/>
  <c r="AB1447" i="1"/>
  <c r="AF1447" i="1"/>
  <c r="AI1447" i="1"/>
  <c r="AE1448" i="1"/>
  <c r="AC1448" i="1"/>
  <c r="AJ1447" i="1"/>
  <c r="AK1447" i="1"/>
  <c r="AM1447" i="1"/>
  <c r="BF1447" i="1"/>
  <c r="BG1447" i="1"/>
  <c r="T1448" i="1"/>
  <c r="U1448" i="1"/>
  <c r="V1448" i="1"/>
  <c r="W1448" i="1"/>
  <c r="X1448" i="1"/>
  <c r="Y1448" i="1"/>
  <c r="Z1448" i="1"/>
  <c r="AB1448" i="1"/>
  <c r="AF1448" i="1"/>
  <c r="AI1448" i="1"/>
  <c r="H1449" i="1"/>
  <c r="AE1449" i="1"/>
  <c r="I1449" i="1"/>
  <c r="J1449" i="1"/>
  <c r="K1449" i="1"/>
  <c r="AC1449" i="1"/>
  <c r="AJ1448" i="1"/>
  <c r="AK1448" i="1"/>
  <c r="AM1448" i="1"/>
  <c r="BG1448" i="1"/>
  <c r="T1449" i="1"/>
  <c r="U1449" i="1"/>
  <c r="V1449" i="1"/>
  <c r="W1449" i="1"/>
  <c r="X1449" i="1"/>
  <c r="Y1449" i="1"/>
  <c r="Z1449" i="1"/>
  <c r="AB1449" i="1"/>
  <c r="AF1449" i="1"/>
  <c r="AI1449" i="1"/>
  <c r="H1450" i="1"/>
  <c r="AE1450" i="1"/>
  <c r="I1450" i="1"/>
  <c r="J1450" i="1"/>
  <c r="K1450" i="1"/>
  <c r="AC1450" i="1"/>
  <c r="AJ1449" i="1"/>
  <c r="AK1449" i="1"/>
  <c r="AM1449" i="1"/>
  <c r="BF1449" i="1"/>
  <c r="BG1449" i="1"/>
  <c r="T1450" i="1"/>
  <c r="U1450" i="1"/>
  <c r="V1450" i="1"/>
  <c r="W1450" i="1"/>
  <c r="X1450" i="1"/>
  <c r="Y1450" i="1"/>
  <c r="Z1450" i="1"/>
  <c r="AB1450" i="1"/>
  <c r="AF1450" i="1"/>
  <c r="AI1450" i="1"/>
  <c r="AE1451" i="1"/>
  <c r="AC1451" i="1"/>
  <c r="AJ1450" i="1"/>
  <c r="AK1450" i="1"/>
  <c r="AM1450" i="1"/>
  <c r="BF1450" i="1"/>
  <c r="BG1450" i="1"/>
  <c r="T1451" i="1"/>
  <c r="U1451" i="1"/>
  <c r="V1451" i="1"/>
  <c r="W1451" i="1"/>
  <c r="X1451" i="1"/>
  <c r="Y1451" i="1"/>
  <c r="Z1451" i="1"/>
  <c r="AB1451" i="1"/>
  <c r="AF1451" i="1"/>
  <c r="AI1451" i="1"/>
  <c r="AE1452" i="1"/>
  <c r="AC1452" i="1"/>
  <c r="AJ1451" i="1"/>
  <c r="AK1451" i="1"/>
  <c r="AM1451" i="1"/>
  <c r="BF1451" i="1"/>
  <c r="BG1451" i="1"/>
  <c r="T1452" i="1"/>
  <c r="U1452" i="1"/>
  <c r="V1452" i="1"/>
  <c r="W1452" i="1"/>
  <c r="X1452" i="1"/>
  <c r="Y1452" i="1"/>
  <c r="Z1452" i="1"/>
  <c r="AB1452" i="1"/>
  <c r="AF1452" i="1"/>
  <c r="AI1452" i="1"/>
  <c r="AE1453" i="1"/>
  <c r="AC1453" i="1"/>
  <c r="AJ1452" i="1"/>
  <c r="AK1452" i="1"/>
  <c r="AM1452" i="1"/>
  <c r="BF1452" i="1"/>
  <c r="BG1452" i="1"/>
  <c r="T1453" i="1"/>
  <c r="U1453" i="1"/>
  <c r="V1453" i="1"/>
  <c r="W1453" i="1"/>
  <c r="X1453" i="1"/>
  <c r="Y1453" i="1"/>
  <c r="Z1453" i="1"/>
  <c r="AB1453" i="1"/>
  <c r="AF1453" i="1"/>
  <c r="AI1453" i="1"/>
  <c r="H1454" i="1"/>
  <c r="AE1454" i="1"/>
  <c r="I1454" i="1"/>
  <c r="J1454" i="1"/>
  <c r="K1454" i="1"/>
  <c r="AC1454" i="1"/>
  <c r="AJ1453" i="1"/>
  <c r="AK1453" i="1"/>
  <c r="AM1453" i="1"/>
  <c r="BG1453" i="1"/>
  <c r="T1454" i="1"/>
  <c r="U1454" i="1"/>
  <c r="V1454" i="1"/>
  <c r="W1454" i="1"/>
  <c r="X1454" i="1"/>
  <c r="Y1454" i="1"/>
  <c r="Z1454" i="1"/>
  <c r="AB1454" i="1"/>
  <c r="AF1454" i="1"/>
  <c r="AI1454" i="1"/>
  <c r="AE1455" i="1"/>
  <c r="AC1455" i="1"/>
  <c r="AJ1454" i="1"/>
  <c r="AK1454" i="1"/>
  <c r="AM1454" i="1"/>
  <c r="BF1454" i="1"/>
  <c r="BG1454" i="1"/>
  <c r="T1455" i="1"/>
  <c r="U1455" i="1"/>
  <c r="V1455" i="1"/>
  <c r="W1455" i="1"/>
  <c r="X1455" i="1"/>
  <c r="Y1455" i="1"/>
  <c r="Z1455" i="1"/>
  <c r="AB1455" i="1"/>
  <c r="AF1455" i="1"/>
  <c r="AI1455" i="1"/>
  <c r="AE1456" i="1"/>
  <c r="AC1456" i="1"/>
  <c r="AJ1455" i="1"/>
  <c r="AK1455" i="1"/>
  <c r="AM1455" i="1"/>
  <c r="BF1455" i="1"/>
  <c r="BG1455" i="1"/>
  <c r="T1456" i="1"/>
  <c r="U1456" i="1"/>
  <c r="V1456" i="1"/>
  <c r="W1456" i="1"/>
  <c r="X1456" i="1"/>
  <c r="Y1456" i="1"/>
  <c r="Z1456" i="1"/>
  <c r="AB1456" i="1"/>
  <c r="AF1456" i="1"/>
  <c r="AI1456" i="1"/>
  <c r="AE1457" i="1"/>
  <c r="AC1457" i="1"/>
  <c r="AJ1456" i="1"/>
  <c r="AK1456" i="1"/>
  <c r="AM1456" i="1"/>
  <c r="BF1456" i="1"/>
  <c r="BG1456" i="1"/>
  <c r="T1457" i="1"/>
  <c r="U1457" i="1"/>
  <c r="V1457" i="1"/>
  <c r="W1457" i="1"/>
  <c r="X1457" i="1"/>
  <c r="Y1457" i="1"/>
  <c r="Z1457" i="1"/>
  <c r="AB1457" i="1"/>
  <c r="AF1457" i="1"/>
  <c r="AI1457" i="1"/>
  <c r="H1458" i="1"/>
  <c r="AE1458" i="1"/>
  <c r="I1458" i="1"/>
  <c r="J1458" i="1"/>
  <c r="K1458" i="1"/>
  <c r="AC1458" i="1"/>
  <c r="AJ1457" i="1"/>
  <c r="AK1457" i="1"/>
  <c r="AM1457" i="1"/>
  <c r="BG1457" i="1"/>
  <c r="T1458" i="1"/>
  <c r="U1458" i="1"/>
  <c r="V1458" i="1"/>
  <c r="W1458" i="1"/>
  <c r="X1458" i="1"/>
  <c r="Y1458" i="1"/>
  <c r="Z1458" i="1"/>
  <c r="AB1458" i="1"/>
  <c r="AF1458" i="1"/>
  <c r="AI1458" i="1"/>
  <c r="AE1459" i="1"/>
  <c r="AC1459" i="1"/>
  <c r="AJ1458" i="1"/>
  <c r="AK1458" i="1"/>
  <c r="AM1458" i="1"/>
  <c r="BF1458" i="1"/>
  <c r="BG1458" i="1"/>
  <c r="T1459" i="1"/>
  <c r="U1459" i="1"/>
  <c r="V1459" i="1"/>
  <c r="W1459" i="1"/>
  <c r="X1459" i="1"/>
  <c r="Y1459" i="1"/>
  <c r="Z1459" i="1"/>
  <c r="AB1459" i="1"/>
  <c r="AF1459" i="1"/>
  <c r="AI1459" i="1"/>
  <c r="AE1460" i="1"/>
  <c r="AC1460" i="1"/>
  <c r="AJ1459" i="1"/>
  <c r="AK1459" i="1"/>
  <c r="AM1459" i="1"/>
  <c r="BF1459" i="1"/>
  <c r="BG1459" i="1"/>
  <c r="T1460" i="1"/>
  <c r="U1460" i="1"/>
  <c r="V1460" i="1"/>
  <c r="W1460" i="1"/>
  <c r="X1460" i="1"/>
  <c r="Y1460" i="1"/>
  <c r="Z1460" i="1"/>
  <c r="AB1460" i="1"/>
  <c r="AF1460" i="1"/>
  <c r="AI1460" i="1"/>
  <c r="H1461" i="1"/>
  <c r="AE1461" i="1"/>
  <c r="I1461" i="1"/>
  <c r="J1461" i="1"/>
  <c r="K1461" i="1"/>
  <c r="AC1461" i="1"/>
  <c r="AJ1460" i="1"/>
  <c r="AK1460" i="1"/>
  <c r="AM1460" i="1"/>
  <c r="BG1460" i="1"/>
  <c r="T1461" i="1"/>
  <c r="U1461" i="1"/>
  <c r="V1461" i="1"/>
  <c r="W1461" i="1"/>
  <c r="X1461" i="1"/>
  <c r="Y1461" i="1"/>
  <c r="Z1461" i="1"/>
  <c r="AB1461" i="1"/>
  <c r="AF1461" i="1"/>
  <c r="AI1461" i="1"/>
  <c r="AE1462" i="1"/>
  <c r="AC1462" i="1"/>
  <c r="AJ1461" i="1"/>
  <c r="AK1461" i="1"/>
  <c r="AM1461" i="1"/>
  <c r="BF1461" i="1"/>
  <c r="BG1461" i="1"/>
  <c r="T1462" i="1"/>
  <c r="U1462" i="1"/>
  <c r="V1462" i="1"/>
  <c r="W1462" i="1"/>
  <c r="X1462" i="1"/>
  <c r="Y1462" i="1"/>
  <c r="Z1462" i="1"/>
  <c r="AB1462" i="1"/>
  <c r="AF1462" i="1"/>
  <c r="AI1462" i="1"/>
  <c r="AE1463" i="1"/>
  <c r="AC1463" i="1"/>
  <c r="AJ1462" i="1"/>
  <c r="AK1462" i="1"/>
  <c r="AM1462" i="1"/>
  <c r="BF1462" i="1"/>
  <c r="BG1462" i="1"/>
  <c r="T1463" i="1"/>
  <c r="U1463" i="1"/>
  <c r="V1463" i="1"/>
  <c r="W1463" i="1"/>
  <c r="X1463" i="1"/>
  <c r="Y1463" i="1"/>
  <c r="Z1463" i="1"/>
  <c r="AB1463" i="1"/>
  <c r="AF1463" i="1"/>
  <c r="AI1463" i="1"/>
  <c r="H1464" i="1"/>
  <c r="AE1464" i="1"/>
  <c r="I1464" i="1"/>
  <c r="J1464" i="1"/>
  <c r="K1464" i="1"/>
  <c r="AC1464" i="1"/>
  <c r="AJ1463" i="1"/>
  <c r="AK1463" i="1"/>
  <c r="AM1463" i="1"/>
  <c r="BG1463" i="1"/>
  <c r="T1464" i="1"/>
  <c r="U1464" i="1"/>
  <c r="V1464" i="1"/>
  <c r="W1464" i="1"/>
  <c r="X1464" i="1"/>
  <c r="Y1464" i="1"/>
  <c r="Z1464" i="1"/>
  <c r="AB1464" i="1"/>
  <c r="AF1464" i="1"/>
  <c r="AI1464" i="1"/>
  <c r="AE1465" i="1"/>
  <c r="AC1465" i="1"/>
  <c r="AJ1464" i="1"/>
  <c r="AK1464" i="1"/>
  <c r="AM1464" i="1"/>
  <c r="BF1464" i="1"/>
  <c r="BG1464" i="1"/>
  <c r="T1465" i="1"/>
  <c r="U1465" i="1"/>
  <c r="V1465" i="1"/>
  <c r="W1465" i="1"/>
  <c r="X1465" i="1"/>
  <c r="Y1465" i="1"/>
  <c r="Z1465" i="1"/>
  <c r="AB1465" i="1"/>
  <c r="AF1465" i="1"/>
  <c r="AI1465" i="1"/>
  <c r="AE1466" i="1"/>
  <c r="AC1466" i="1"/>
  <c r="AJ1465" i="1"/>
  <c r="AK1465" i="1"/>
  <c r="AM1465" i="1"/>
  <c r="BF1465" i="1"/>
  <c r="BG1465" i="1"/>
  <c r="T1466" i="1"/>
  <c r="U1466" i="1"/>
  <c r="V1466" i="1"/>
  <c r="W1466" i="1"/>
  <c r="X1466" i="1"/>
  <c r="Y1466" i="1"/>
  <c r="Z1466" i="1"/>
  <c r="AB1466" i="1"/>
  <c r="AF1466" i="1"/>
  <c r="AI1466" i="1"/>
  <c r="H1467" i="1"/>
  <c r="AE1467" i="1"/>
  <c r="I1467" i="1"/>
  <c r="J1467" i="1"/>
  <c r="K1467" i="1"/>
  <c r="AC1467" i="1"/>
  <c r="AJ1466" i="1"/>
  <c r="AK1466" i="1"/>
  <c r="AM1466" i="1"/>
  <c r="BG1466" i="1"/>
  <c r="T1467" i="1"/>
  <c r="U1467" i="1"/>
  <c r="V1467" i="1"/>
  <c r="W1467" i="1"/>
  <c r="X1467" i="1"/>
  <c r="Y1467" i="1"/>
  <c r="Z1467" i="1"/>
  <c r="AB1467" i="1"/>
  <c r="AF1467" i="1"/>
  <c r="AI1467" i="1"/>
  <c r="AE1468" i="1"/>
  <c r="AC1468" i="1"/>
  <c r="AJ1467" i="1"/>
  <c r="AK1467" i="1"/>
  <c r="AM1467" i="1"/>
  <c r="BF1467" i="1"/>
  <c r="BG1467" i="1"/>
  <c r="T1468" i="1"/>
  <c r="U1468" i="1"/>
  <c r="V1468" i="1"/>
  <c r="W1468" i="1"/>
  <c r="X1468" i="1"/>
  <c r="Y1468" i="1"/>
  <c r="Z1468" i="1"/>
  <c r="AB1468" i="1"/>
  <c r="AF1468" i="1"/>
  <c r="AI1468" i="1"/>
  <c r="AE1469" i="1"/>
  <c r="AC1469" i="1"/>
  <c r="AJ1468" i="1"/>
  <c r="AK1468" i="1"/>
  <c r="AM1468" i="1"/>
  <c r="BF1468" i="1"/>
  <c r="BG1468" i="1"/>
  <c r="T1469" i="1"/>
  <c r="U1469" i="1"/>
  <c r="V1469" i="1"/>
  <c r="W1469" i="1"/>
  <c r="X1469" i="1"/>
  <c r="Y1469" i="1"/>
  <c r="Z1469" i="1"/>
  <c r="AB1469" i="1"/>
  <c r="AF1469" i="1"/>
  <c r="AI1469" i="1"/>
  <c r="H1470" i="1"/>
  <c r="AE1470" i="1"/>
  <c r="I1470" i="1"/>
  <c r="J1470" i="1"/>
  <c r="K1470" i="1"/>
  <c r="AC1470" i="1"/>
  <c r="AJ1469" i="1"/>
  <c r="AK1469" i="1"/>
  <c r="AM1469" i="1"/>
  <c r="BG1469" i="1"/>
  <c r="T1470" i="1"/>
  <c r="U1470" i="1"/>
  <c r="V1470" i="1"/>
  <c r="W1470" i="1"/>
  <c r="X1470" i="1"/>
  <c r="Y1470" i="1"/>
  <c r="Z1470" i="1"/>
  <c r="AB1470" i="1"/>
  <c r="AF1470" i="1"/>
  <c r="AI1470" i="1"/>
  <c r="AE1471" i="1"/>
  <c r="AC1471" i="1"/>
  <c r="AJ1470" i="1"/>
  <c r="AK1470" i="1"/>
  <c r="AM1470" i="1"/>
  <c r="BF1470" i="1"/>
  <c r="BG1470" i="1"/>
  <c r="T1471" i="1"/>
  <c r="U1471" i="1"/>
  <c r="V1471" i="1"/>
  <c r="W1471" i="1"/>
  <c r="X1471" i="1"/>
  <c r="Y1471" i="1"/>
  <c r="Z1471" i="1"/>
  <c r="AB1471" i="1"/>
  <c r="AF1471" i="1"/>
  <c r="AI1471" i="1"/>
  <c r="AE1472" i="1"/>
  <c r="AC1472" i="1"/>
  <c r="AJ1471" i="1"/>
  <c r="AK1471" i="1"/>
  <c r="AM1471" i="1"/>
  <c r="BF1471" i="1"/>
  <c r="BG1471" i="1"/>
  <c r="T1472" i="1"/>
  <c r="U1472" i="1"/>
  <c r="V1472" i="1"/>
  <c r="W1472" i="1"/>
  <c r="X1472" i="1"/>
  <c r="Y1472" i="1"/>
  <c r="Z1472" i="1"/>
  <c r="AB1472" i="1"/>
  <c r="AF1472" i="1"/>
  <c r="AI1472" i="1"/>
  <c r="AE1473" i="1"/>
  <c r="AC1473" i="1"/>
  <c r="AJ1472" i="1"/>
  <c r="AK1472" i="1"/>
  <c r="AM1472" i="1"/>
  <c r="BF1472" i="1"/>
  <c r="BG1472" i="1"/>
  <c r="T1473" i="1"/>
  <c r="U1473" i="1"/>
  <c r="V1473" i="1"/>
  <c r="W1473" i="1"/>
  <c r="X1473" i="1"/>
  <c r="Y1473" i="1"/>
  <c r="Z1473" i="1"/>
  <c r="AB1473" i="1"/>
  <c r="AF1473" i="1"/>
  <c r="AI1473" i="1"/>
  <c r="H1474" i="1"/>
  <c r="AE1474" i="1"/>
  <c r="I1474" i="1"/>
  <c r="J1474" i="1"/>
  <c r="K1474" i="1"/>
  <c r="AC1474" i="1"/>
  <c r="AJ1473" i="1"/>
  <c r="AK1473" i="1"/>
  <c r="AM1473" i="1"/>
  <c r="BG1473" i="1"/>
  <c r="T1474" i="1"/>
  <c r="U1474" i="1"/>
  <c r="V1474" i="1"/>
  <c r="W1474" i="1"/>
  <c r="X1474" i="1"/>
  <c r="Y1474" i="1"/>
  <c r="Z1474" i="1"/>
  <c r="AB1474" i="1"/>
  <c r="AF1474" i="1"/>
  <c r="AI1474" i="1"/>
  <c r="AE1475" i="1"/>
  <c r="AC1475" i="1"/>
  <c r="AJ1474" i="1"/>
  <c r="AK1474" i="1"/>
  <c r="AM1474" i="1"/>
  <c r="BF1474" i="1"/>
  <c r="BG1474" i="1"/>
  <c r="T1475" i="1"/>
  <c r="U1475" i="1"/>
  <c r="V1475" i="1"/>
  <c r="W1475" i="1"/>
  <c r="X1475" i="1"/>
  <c r="Y1475" i="1"/>
  <c r="Z1475" i="1"/>
  <c r="AB1475" i="1"/>
  <c r="AF1475" i="1"/>
  <c r="AI1475" i="1"/>
  <c r="AE1476" i="1"/>
  <c r="AC1476" i="1"/>
  <c r="AJ1475" i="1"/>
  <c r="AK1475" i="1"/>
  <c r="AM1475" i="1"/>
  <c r="BF1475" i="1"/>
  <c r="BG1475" i="1"/>
  <c r="T1476" i="1"/>
  <c r="U1476" i="1"/>
  <c r="V1476" i="1"/>
  <c r="W1476" i="1"/>
  <c r="X1476" i="1"/>
  <c r="Y1476" i="1"/>
  <c r="Z1476" i="1"/>
  <c r="AB1476" i="1"/>
  <c r="AF1476" i="1"/>
  <c r="AI1476" i="1"/>
  <c r="H1477" i="1"/>
  <c r="AE1477" i="1"/>
  <c r="I1477" i="1"/>
  <c r="J1477" i="1"/>
  <c r="K1477" i="1"/>
  <c r="AC1477" i="1"/>
  <c r="AJ1476" i="1"/>
  <c r="AK1476" i="1"/>
  <c r="AM1476" i="1"/>
  <c r="BG1476" i="1"/>
  <c r="T1477" i="1"/>
  <c r="U1477" i="1"/>
  <c r="V1477" i="1"/>
  <c r="W1477" i="1"/>
  <c r="X1477" i="1"/>
  <c r="Y1477" i="1"/>
  <c r="Z1477" i="1"/>
  <c r="AB1477" i="1"/>
  <c r="AF1477" i="1"/>
  <c r="AI1477" i="1"/>
  <c r="AE1478" i="1"/>
  <c r="AC1478" i="1"/>
  <c r="AJ1477" i="1"/>
  <c r="AK1477" i="1"/>
  <c r="AM1477" i="1"/>
  <c r="BF1477" i="1"/>
  <c r="BG1477" i="1"/>
  <c r="T1478" i="1"/>
  <c r="U1478" i="1"/>
  <c r="V1478" i="1"/>
  <c r="W1478" i="1"/>
  <c r="X1478" i="1"/>
  <c r="Y1478" i="1"/>
  <c r="Z1478" i="1"/>
  <c r="AB1478" i="1"/>
  <c r="AF1478" i="1"/>
  <c r="AI1478" i="1"/>
  <c r="AE1479" i="1"/>
  <c r="AC1479" i="1"/>
  <c r="AJ1478" i="1"/>
  <c r="AK1478" i="1"/>
  <c r="AM1478" i="1"/>
  <c r="BF1478" i="1"/>
  <c r="BG1478" i="1"/>
  <c r="T1479" i="1"/>
  <c r="U1479" i="1"/>
  <c r="V1479" i="1"/>
  <c r="W1479" i="1"/>
  <c r="X1479" i="1"/>
  <c r="Y1479" i="1"/>
  <c r="Z1479" i="1"/>
  <c r="AB1479" i="1"/>
  <c r="AF1479" i="1"/>
  <c r="AI1479" i="1"/>
  <c r="AE1480" i="1"/>
  <c r="AC1480" i="1"/>
  <c r="AJ1479" i="1"/>
  <c r="AK1479" i="1"/>
  <c r="AM1479" i="1"/>
  <c r="BF1479" i="1"/>
  <c r="BG1479" i="1"/>
  <c r="T1480" i="1"/>
  <c r="U1480" i="1"/>
  <c r="V1480" i="1"/>
  <c r="W1480" i="1"/>
  <c r="X1480" i="1"/>
  <c r="Y1480" i="1"/>
  <c r="Z1480" i="1"/>
  <c r="AB1480" i="1"/>
  <c r="AF1480" i="1"/>
  <c r="AI1480" i="1"/>
  <c r="H1481" i="1"/>
  <c r="AE1481" i="1"/>
  <c r="I1481" i="1"/>
  <c r="J1481" i="1"/>
  <c r="K1481" i="1"/>
  <c r="AC1481" i="1"/>
  <c r="AJ1480" i="1"/>
  <c r="AK1480" i="1"/>
  <c r="AM1480" i="1"/>
  <c r="BG1480" i="1"/>
  <c r="T1481" i="1"/>
  <c r="U1481" i="1"/>
  <c r="V1481" i="1"/>
  <c r="W1481" i="1"/>
  <c r="X1481" i="1"/>
  <c r="Y1481" i="1"/>
  <c r="Z1481" i="1"/>
  <c r="AB1481" i="1"/>
  <c r="AF1481" i="1"/>
  <c r="AI1481" i="1"/>
  <c r="AE1482" i="1"/>
  <c r="AC1482" i="1"/>
  <c r="AJ1481" i="1"/>
  <c r="AK1481" i="1"/>
  <c r="AM1481" i="1"/>
  <c r="BF1481" i="1"/>
  <c r="BG1481" i="1"/>
  <c r="T1482" i="1"/>
  <c r="U1482" i="1"/>
  <c r="V1482" i="1"/>
  <c r="W1482" i="1"/>
  <c r="X1482" i="1"/>
  <c r="Y1482" i="1"/>
  <c r="Z1482" i="1"/>
  <c r="AB1482" i="1"/>
  <c r="AF1482" i="1"/>
  <c r="AI1482" i="1"/>
  <c r="AE1483" i="1"/>
  <c r="AC1483" i="1"/>
  <c r="AJ1482" i="1"/>
  <c r="AK1482" i="1"/>
  <c r="AM1482" i="1"/>
  <c r="BF1482" i="1"/>
  <c r="BG1482" i="1"/>
  <c r="T1483" i="1"/>
  <c r="U1483" i="1"/>
  <c r="V1483" i="1"/>
  <c r="W1483" i="1"/>
  <c r="X1483" i="1"/>
  <c r="Y1483" i="1"/>
  <c r="Z1483" i="1"/>
  <c r="AB1483" i="1"/>
  <c r="AF1483" i="1"/>
  <c r="AI1483" i="1"/>
  <c r="AE1484" i="1"/>
  <c r="AC1484" i="1"/>
  <c r="AJ1483" i="1"/>
  <c r="AK1483" i="1"/>
  <c r="AM1483" i="1"/>
  <c r="BF1483" i="1"/>
  <c r="BG1483" i="1"/>
  <c r="T1484" i="1"/>
  <c r="U1484" i="1"/>
  <c r="V1484" i="1"/>
  <c r="W1484" i="1"/>
  <c r="X1484" i="1"/>
  <c r="Y1484" i="1"/>
  <c r="Z1484" i="1"/>
  <c r="AB1484" i="1"/>
  <c r="AF1484" i="1"/>
  <c r="AI1484" i="1"/>
  <c r="H1485" i="1"/>
  <c r="AE1485" i="1"/>
  <c r="I1485" i="1"/>
  <c r="J1485" i="1"/>
  <c r="K1485" i="1"/>
  <c r="AC1485" i="1"/>
  <c r="AJ1484" i="1"/>
  <c r="AK1484" i="1"/>
  <c r="AM1484" i="1"/>
  <c r="BG1484" i="1"/>
  <c r="T1485" i="1"/>
  <c r="U1485" i="1"/>
  <c r="V1485" i="1"/>
  <c r="W1485" i="1"/>
  <c r="X1485" i="1"/>
  <c r="Y1485" i="1"/>
  <c r="Z1485" i="1"/>
  <c r="AB1485" i="1"/>
  <c r="AF1485" i="1"/>
  <c r="AI1485" i="1"/>
  <c r="AE1486" i="1"/>
  <c r="AC1486" i="1"/>
  <c r="AJ1485" i="1"/>
  <c r="AK1485" i="1"/>
  <c r="AM1485" i="1"/>
  <c r="BF1485" i="1"/>
  <c r="BG1485" i="1"/>
  <c r="T1486" i="1"/>
  <c r="U1486" i="1"/>
  <c r="V1486" i="1"/>
  <c r="W1486" i="1"/>
  <c r="X1486" i="1"/>
  <c r="Y1486" i="1"/>
  <c r="Z1486" i="1"/>
  <c r="AB1486" i="1"/>
  <c r="AF1486" i="1"/>
  <c r="AI1486" i="1"/>
  <c r="AE1487" i="1"/>
  <c r="AC1487" i="1"/>
  <c r="AJ1486" i="1"/>
  <c r="AK1486" i="1"/>
  <c r="AM1486" i="1"/>
  <c r="BF1486" i="1"/>
  <c r="BG1486" i="1"/>
  <c r="T1487" i="1"/>
  <c r="U1487" i="1"/>
  <c r="V1487" i="1"/>
  <c r="W1487" i="1"/>
  <c r="X1487" i="1"/>
  <c r="Y1487" i="1"/>
  <c r="Z1487" i="1"/>
  <c r="AB1487" i="1"/>
  <c r="AF1487" i="1"/>
  <c r="AI1487" i="1"/>
  <c r="H1488" i="1"/>
  <c r="AE1488" i="1"/>
  <c r="I1488" i="1"/>
  <c r="J1488" i="1"/>
  <c r="K1488" i="1"/>
  <c r="AC1488" i="1"/>
  <c r="AJ1487" i="1"/>
  <c r="AK1487" i="1"/>
  <c r="AM1487" i="1"/>
  <c r="BG1487" i="1"/>
  <c r="T1488" i="1"/>
  <c r="U1488" i="1"/>
  <c r="V1488" i="1"/>
  <c r="W1488" i="1"/>
  <c r="X1488" i="1"/>
  <c r="Y1488" i="1"/>
  <c r="Z1488" i="1"/>
  <c r="AB1488" i="1"/>
  <c r="AF1488" i="1"/>
  <c r="AI1488" i="1"/>
  <c r="AE1489" i="1"/>
  <c r="AC1489" i="1"/>
  <c r="AJ1488" i="1"/>
  <c r="AK1488" i="1"/>
  <c r="AM1488" i="1"/>
  <c r="BF1488" i="1"/>
  <c r="BG1488" i="1"/>
  <c r="T1489" i="1"/>
  <c r="U1489" i="1"/>
  <c r="V1489" i="1"/>
  <c r="W1489" i="1"/>
  <c r="X1489" i="1"/>
  <c r="Y1489" i="1"/>
  <c r="Z1489" i="1"/>
  <c r="AB1489" i="1"/>
  <c r="AF1489" i="1"/>
  <c r="AI1489" i="1"/>
  <c r="AE1490" i="1"/>
  <c r="AC1490" i="1"/>
  <c r="AJ1489" i="1"/>
  <c r="AK1489" i="1"/>
  <c r="AM1489" i="1"/>
  <c r="BF1489" i="1"/>
  <c r="BG1489" i="1"/>
  <c r="T1490" i="1"/>
  <c r="U1490" i="1"/>
  <c r="V1490" i="1"/>
  <c r="W1490" i="1"/>
  <c r="X1490" i="1"/>
  <c r="Y1490" i="1"/>
  <c r="Z1490" i="1"/>
  <c r="AB1490" i="1"/>
  <c r="AF1490" i="1"/>
  <c r="AI1490" i="1"/>
  <c r="H1491" i="1"/>
  <c r="AE1491" i="1"/>
  <c r="I1491" i="1"/>
  <c r="J1491" i="1"/>
  <c r="K1491" i="1"/>
  <c r="AC1491" i="1"/>
  <c r="AJ1490" i="1"/>
  <c r="AK1490" i="1"/>
  <c r="AM1490" i="1"/>
  <c r="BG1490" i="1"/>
  <c r="T1491" i="1"/>
  <c r="U1491" i="1"/>
  <c r="V1491" i="1"/>
  <c r="W1491" i="1"/>
  <c r="X1491" i="1"/>
  <c r="Y1491" i="1"/>
  <c r="Z1491" i="1"/>
  <c r="AB1491" i="1"/>
  <c r="AF1491" i="1"/>
  <c r="AI1491" i="1"/>
  <c r="H1492" i="1"/>
  <c r="AE1492" i="1"/>
  <c r="I1492" i="1"/>
  <c r="J1492" i="1"/>
  <c r="K1492" i="1"/>
  <c r="AC1492" i="1"/>
  <c r="AJ1491" i="1"/>
  <c r="AK1491" i="1"/>
  <c r="AM1491" i="1"/>
  <c r="BF1491" i="1"/>
  <c r="BG1491" i="1"/>
  <c r="T1492" i="1"/>
  <c r="U1492" i="1"/>
  <c r="V1492" i="1"/>
  <c r="W1492" i="1"/>
  <c r="X1492" i="1"/>
  <c r="Y1492" i="1"/>
  <c r="Z1492" i="1"/>
  <c r="AB1492" i="1"/>
  <c r="AF1492" i="1"/>
  <c r="AI1492" i="1"/>
  <c r="H1493" i="1"/>
  <c r="AE1493" i="1"/>
  <c r="I1493" i="1"/>
  <c r="J1493" i="1"/>
  <c r="K1493" i="1"/>
  <c r="AC1493" i="1"/>
  <c r="AJ1492" i="1"/>
  <c r="AK1492" i="1"/>
  <c r="AM1492" i="1"/>
  <c r="BF1492" i="1"/>
  <c r="BG1492" i="1"/>
  <c r="T1493" i="1"/>
  <c r="U1493" i="1"/>
  <c r="V1493" i="1"/>
  <c r="W1493" i="1"/>
  <c r="X1493" i="1"/>
  <c r="Y1493" i="1"/>
  <c r="Z1493" i="1"/>
  <c r="AB1493" i="1"/>
  <c r="AF1493" i="1"/>
  <c r="AI1493" i="1"/>
  <c r="H1494" i="1"/>
  <c r="AE1494" i="1"/>
  <c r="I1494" i="1"/>
  <c r="J1494" i="1"/>
  <c r="K1494" i="1"/>
  <c r="AC1494" i="1"/>
  <c r="AJ1493" i="1"/>
  <c r="AK1493" i="1"/>
  <c r="AM1493" i="1"/>
  <c r="BF1493" i="1"/>
  <c r="BG1493" i="1"/>
  <c r="T1494" i="1"/>
  <c r="U1494" i="1"/>
  <c r="V1494" i="1"/>
  <c r="W1494" i="1"/>
  <c r="X1494" i="1"/>
  <c r="Y1494" i="1"/>
  <c r="Z1494" i="1"/>
  <c r="AB1494" i="1"/>
  <c r="AF1494" i="1"/>
  <c r="AI1494" i="1"/>
  <c r="AE1495" i="1"/>
  <c r="AC1495" i="1"/>
  <c r="AJ1494" i="1"/>
  <c r="AK1494" i="1"/>
  <c r="AM1494" i="1"/>
  <c r="BF1494" i="1"/>
  <c r="BG1494" i="1"/>
  <c r="T1495" i="1"/>
  <c r="U1495" i="1"/>
  <c r="V1495" i="1"/>
  <c r="W1495" i="1"/>
  <c r="X1495" i="1"/>
  <c r="Y1495" i="1"/>
  <c r="Z1495" i="1"/>
  <c r="AB1495" i="1"/>
  <c r="AF1495" i="1"/>
  <c r="AI1495" i="1"/>
  <c r="AE1496" i="1"/>
  <c r="AC1496" i="1"/>
  <c r="AJ1495" i="1"/>
  <c r="AK1495" i="1"/>
  <c r="AM1495" i="1"/>
  <c r="BF1495" i="1"/>
  <c r="BG1495" i="1"/>
  <c r="T1496" i="1"/>
  <c r="U1496" i="1"/>
  <c r="V1496" i="1"/>
  <c r="W1496" i="1"/>
  <c r="X1496" i="1"/>
  <c r="Y1496" i="1"/>
  <c r="Z1496" i="1"/>
  <c r="AB1496" i="1"/>
  <c r="AF1496" i="1"/>
  <c r="AI1496" i="1"/>
  <c r="H1497" i="1"/>
  <c r="AE1497" i="1"/>
  <c r="I1497" i="1"/>
  <c r="J1497" i="1"/>
  <c r="K1497" i="1"/>
  <c r="AC1497" i="1"/>
  <c r="AJ1496" i="1"/>
  <c r="AK1496" i="1"/>
  <c r="AM1496" i="1"/>
  <c r="BG1496" i="1"/>
  <c r="T1497" i="1"/>
  <c r="U1497" i="1"/>
  <c r="V1497" i="1"/>
  <c r="W1497" i="1"/>
  <c r="X1497" i="1"/>
  <c r="Y1497" i="1"/>
  <c r="Z1497" i="1"/>
  <c r="AB1497" i="1"/>
  <c r="AF1497" i="1"/>
  <c r="AI1497" i="1"/>
  <c r="H1498" i="1"/>
  <c r="AE1498" i="1"/>
  <c r="I1498" i="1"/>
  <c r="J1498" i="1"/>
  <c r="K1498" i="1"/>
  <c r="AC1498" i="1"/>
  <c r="AJ1497" i="1"/>
  <c r="AK1497" i="1"/>
  <c r="AM1497" i="1"/>
  <c r="BF1497" i="1"/>
  <c r="BG1497" i="1"/>
  <c r="T1498" i="1"/>
  <c r="U1498" i="1"/>
  <c r="V1498" i="1"/>
  <c r="W1498" i="1"/>
  <c r="X1498" i="1"/>
  <c r="Y1498" i="1"/>
  <c r="Z1498" i="1"/>
  <c r="AB1498" i="1"/>
  <c r="AF1498" i="1"/>
  <c r="AI1498" i="1"/>
  <c r="H1499" i="1"/>
  <c r="AE1499" i="1"/>
  <c r="I1499" i="1"/>
  <c r="J1499" i="1"/>
  <c r="K1499" i="1"/>
  <c r="AC1499" i="1"/>
  <c r="AJ1498" i="1"/>
  <c r="AK1498" i="1"/>
  <c r="AM1498" i="1"/>
  <c r="BF1498" i="1"/>
  <c r="BG1498" i="1"/>
  <c r="T1499" i="1"/>
  <c r="U1499" i="1"/>
  <c r="V1499" i="1"/>
  <c r="W1499" i="1"/>
  <c r="X1499" i="1"/>
  <c r="Y1499" i="1"/>
  <c r="Z1499" i="1"/>
  <c r="AB1499" i="1"/>
  <c r="AF1499" i="1"/>
  <c r="AI1499" i="1"/>
  <c r="AE1500" i="1"/>
  <c r="AC1500" i="1"/>
  <c r="AJ1499" i="1"/>
  <c r="AK1499" i="1"/>
  <c r="AM1499" i="1"/>
  <c r="BF1499" i="1"/>
  <c r="BG1499" i="1"/>
  <c r="T1500" i="1"/>
  <c r="U1500" i="1"/>
  <c r="V1500" i="1"/>
  <c r="W1500" i="1"/>
  <c r="X1500" i="1"/>
  <c r="Y1500" i="1"/>
  <c r="Z1500" i="1"/>
  <c r="AB1500" i="1"/>
  <c r="AF1500" i="1"/>
  <c r="AI1500" i="1"/>
  <c r="AE1501" i="1"/>
  <c r="AC1501" i="1"/>
  <c r="AJ1500" i="1"/>
  <c r="AK1500" i="1"/>
  <c r="AM1500" i="1"/>
  <c r="BF1500" i="1"/>
  <c r="BG1500" i="1"/>
  <c r="T1501" i="1"/>
  <c r="U1501" i="1"/>
  <c r="V1501" i="1"/>
  <c r="W1501" i="1"/>
  <c r="X1501" i="1"/>
  <c r="Y1501" i="1"/>
  <c r="Z1501" i="1"/>
  <c r="AB1501" i="1"/>
  <c r="AF1501" i="1"/>
  <c r="AI1501" i="1"/>
  <c r="H1502" i="1"/>
  <c r="AE1502" i="1"/>
  <c r="I1502" i="1"/>
  <c r="J1502" i="1"/>
  <c r="K1502" i="1"/>
  <c r="AC1502" i="1"/>
  <c r="AJ1501" i="1"/>
  <c r="AK1501" i="1"/>
  <c r="AM1501" i="1"/>
  <c r="BG1501" i="1"/>
  <c r="T1502" i="1"/>
  <c r="U1502" i="1"/>
  <c r="V1502" i="1"/>
  <c r="W1502" i="1"/>
  <c r="X1502" i="1"/>
  <c r="Y1502" i="1"/>
  <c r="Z1502" i="1"/>
  <c r="AB1502" i="1"/>
  <c r="AF1502" i="1"/>
  <c r="AI1502" i="1"/>
  <c r="H1503" i="1"/>
  <c r="AE1503" i="1"/>
  <c r="I1503" i="1"/>
  <c r="J1503" i="1"/>
  <c r="K1503" i="1"/>
  <c r="AC1503" i="1"/>
  <c r="AJ1502" i="1"/>
  <c r="AK1502" i="1"/>
  <c r="AM1502" i="1"/>
  <c r="BF1502" i="1"/>
  <c r="BG1502" i="1"/>
  <c r="T1503" i="1"/>
  <c r="U1503" i="1"/>
  <c r="V1503" i="1"/>
  <c r="W1503" i="1"/>
  <c r="X1503" i="1"/>
  <c r="Y1503" i="1"/>
  <c r="Z1503" i="1"/>
  <c r="AB1503" i="1"/>
  <c r="AF1503" i="1"/>
  <c r="AI1503" i="1"/>
  <c r="AE1504" i="1"/>
  <c r="AC1504" i="1"/>
  <c r="AJ1503" i="1"/>
  <c r="AK1503" i="1"/>
  <c r="AM1503" i="1"/>
  <c r="BF1503" i="1"/>
  <c r="BG1503" i="1"/>
  <c r="T1504" i="1"/>
  <c r="U1504" i="1"/>
  <c r="V1504" i="1"/>
  <c r="W1504" i="1"/>
  <c r="X1504" i="1"/>
  <c r="Y1504" i="1"/>
  <c r="Z1504" i="1"/>
  <c r="AB1504" i="1"/>
  <c r="AF1504" i="1"/>
  <c r="AI1504" i="1"/>
  <c r="AE1505" i="1"/>
  <c r="AC1505" i="1"/>
  <c r="AJ1504" i="1"/>
  <c r="AK1504" i="1"/>
  <c r="AM1504" i="1"/>
  <c r="BF1504" i="1"/>
  <c r="BG1504" i="1"/>
  <c r="T1505" i="1"/>
  <c r="U1505" i="1"/>
  <c r="V1505" i="1"/>
  <c r="W1505" i="1"/>
  <c r="X1505" i="1"/>
  <c r="Y1505" i="1"/>
  <c r="Z1505" i="1"/>
  <c r="AB1505" i="1"/>
  <c r="AF1505" i="1"/>
  <c r="AI1505" i="1"/>
  <c r="H1506" i="1"/>
  <c r="AE1506" i="1"/>
  <c r="I1506" i="1"/>
  <c r="J1506" i="1"/>
  <c r="K1506" i="1"/>
  <c r="AC1506" i="1"/>
  <c r="AJ1505" i="1"/>
  <c r="AK1505" i="1"/>
  <c r="AM1505" i="1"/>
  <c r="BG1505" i="1"/>
  <c r="T1506" i="1"/>
  <c r="U1506" i="1"/>
  <c r="V1506" i="1"/>
  <c r="W1506" i="1"/>
  <c r="X1506" i="1"/>
  <c r="Y1506" i="1"/>
  <c r="Z1506" i="1"/>
  <c r="AB1506" i="1"/>
  <c r="AF1506" i="1"/>
  <c r="AI1506" i="1"/>
  <c r="H1507" i="1"/>
  <c r="AE1507" i="1"/>
  <c r="I1507" i="1"/>
  <c r="J1507" i="1"/>
  <c r="K1507" i="1"/>
  <c r="AC1507" i="1"/>
  <c r="AJ1506" i="1"/>
  <c r="AK1506" i="1"/>
  <c r="AM1506" i="1"/>
  <c r="BF1506" i="1"/>
  <c r="BG1506" i="1"/>
  <c r="T1507" i="1"/>
  <c r="U1507" i="1"/>
  <c r="V1507" i="1"/>
  <c r="W1507" i="1"/>
  <c r="X1507" i="1"/>
  <c r="Y1507" i="1"/>
  <c r="Z1507" i="1"/>
  <c r="AB1507" i="1"/>
  <c r="AF1507" i="1"/>
  <c r="AI1507" i="1"/>
  <c r="H1508" i="1"/>
  <c r="AE1508" i="1"/>
  <c r="I1508" i="1"/>
  <c r="J1508" i="1"/>
  <c r="K1508" i="1"/>
  <c r="AC1508" i="1"/>
  <c r="AJ1507" i="1"/>
  <c r="AK1507" i="1"/>
  <c r="AM1507" i="1"/>
  <c r="BF1507" i="1"/>
  <c r="BG1507" i="1"/>
  <c r="T1508" i="1"/>
  <c r="U1508" i="1"/>
  <c r="V1508" i="1"/>
  <c r="W1508" i="1"/>
  <c r="X1508" i="1"/>
  <c r="Y1508" i="1"/>
  <c r="Z1508" i="1"/>
  <c r="AB1508" i="1"/>
  <c r="AF1508" i="1"/>
  <c r="AI1508" i="1"/>
  <c r="H1509" i="1"/>
  <c r="AE1509" i="1"/>
  <c r="I1509" i="1"/>
  <c r="J1509" i="1"/>
  <c r="K1509" i="1"/>
  <c r="AC1509" i="1"/>
  <c r="AJ1508" i="1"/>
  <c r="AK1508" i="1"/>
  <c r="AM1508" i="1"/>
  <c r="BF1508" i="1"/>
  <c r="BG1508" i="1"/>
  <c r="T1509" i="1"/>
  <c r="U1509" i="1"/>
  <c r="V1509" i="1"/>
  <c r="W1509" i="1"/>
  <c r="X1509" i="1"/>
  <c r="Y1509" i="1"/>
  <c r="Z1509" i="1"/>
  <c r="AB1509" i="1"/>
  <c r="AF1509" i="1"/>
  <c r="AI1509" i="1"/>
  <c r="H1510" i="1"/>
  <c r="AE1510" i="1"/>
  <c r="I1510" i="1"/>
  <c r="J1510" i="1"/>
  <c r="K1510" i="1"/>
  <c r="AC1510" i="1"/>
  <c r="AJ1509" i="1"/>
  <c r="AK1509" i="1"/>
  <c r="AM1509" i="1"/>
  <c r="BF1509" i="1"/>
  <c r="BG1509" i="1"/>
  <c r="T1510" i="1"/>
  <c r="U1510" i="1"/>
  <c r="V1510" i="1"/>
  <c r="W1510" i="1"/>
  <c r="X1510" i="1"/>
  <c r="Y1510" i="1"/>
  <c r="Z1510" i="1"/>
  <c r="AB1510" i="1"/>
  <c r="AF1510" i="1"/>
  <c r="AI1510" i="1"/>
  <c r="AE1511" i="1"/>
  <c r="AC1511" i="1"/>
  <c r="AJ1510" i="1"/>
  <c r="AK1510" i="1"/>
  <c r="AM1510" i="1"/>
  <c r="BF1510" i="1"/>
  <c r="BG1510" i="1"/>
  <c r="T1511" i="1"/>
  <c r="U1511" i="1"/>
  <c r="V1511" i="1"/>
  <c r="W1511" i="1"/>
  <c r="X1511" i="1"/>
  <c r="Y1511" i="1"/>
  <c r="Z1511" i="1"/>
  <c r="AB1511" i="1"/>
  <c r="AF1511" i="1"/>
  <c r="AI1511" i="1"/>
  <c r="AE1512" i="1"/>
  <c r="AC1512" i="1"/>
  <c r="AJ1511" i="1"/>
  <c r="AK1511" i="1"/>
  <c r="AM1511" i="1"/>
  <c r="BF1511" i="1"/>
  <c r="BG1511" i="1"/>
  <c r="T1512" i="1"/>
  <c r="U1512" i="1"/>
  <c r="V1512" i="1"/>
  <c r="W1512" i="1"/>
  <c r="X1512" i="1"/>
  <c r="Y1512" i="1"/>
  <c r="Z1512" i="1"/>
  <c r="AB1512" i="1"/>
  <c r="AF1512" i="1"/>
  <c r="AI1512" i="1"/>
  <c r="H1513" i="1"/>
  <c r="AE1513" i="1"/>
  <c r="I1513" i="1"/>
  <c r="J1513" i="1"/>
  <c r="K1513" i="1"/>
  <c r="AC1513" i="1"/>
  <c r="AJ1512" i="1"/>
  <c r="AK1512" i="1"/>
  <c r="AM1512" i="1"/>
  <c r="BG1512" i="1"/>
  <c r="T1513" i="1"/>
  <c r="U1513" i="1"/>
  <c r="V1513" i="1"/>
  <c r="W1513" i="1"/>
  <c r="X1513" i="1"/>
  <c r="Y1513" i="1"/>
  <c r="Z1513" i="1"/>
  <c r="AB1513" i="1"/>
  <c r="AF1513" i="1"/>
  <c r="AI1513" i="1"/>
  <c r="H1514" i="1"/>
  <c r="AE1514" i="1"/>
  <c r="I1514" i="1"/>
  <c r="J1514" i="1"/>
  <c r="K1514" i="1"/>
  <c r="AC1514" i="1"/>
  <c r="AJ1513" i="1"/>
  <c r="AK1513" i="1"/>
  <c r="AM1513" i="1"/>
  <c r="BF1513" i="1"/>
  <c r="BG1513" i="1"/>
  <c r="T1514" i="1"/>
  <c r="U1514" i="1"/>
  <c r="V1514" i="1"/>
  <c r="W1514" i="1"/>
  <c r="X1514" i="1"/>
  <c r="Y1514" i="1"/>
  <c r="Z1514" i="1"/>
  <c r="AB1514" i="1"/>
  <c r="AF1514" i="1"/>
  <c r="AI1514" i="1"/>
  <c r="H1515" i="1"/>
  <c r="AE1515" i="1"/>
  <c r="I1515" i="1"/>
  <c r="J1515" i="1"/>
  <c r="K1515" i="1"/>
  <c r="AC1515" i="1"/>
  <c r="AJ1514" i="1"/>
  <c r="AK1514" i="1"/>
  <c r="AM1514" i="1"/>
  <c r="BF1514" i="1"/>
  <c r="BG1514" i="1"/>
  <c r="T1515" i="1"/>
  <c r="U1515" i="1"/>
  <c r="V1515" i="1"/>
  <c r="W1515" i="1"/>
  <c r="X1515" i="1"/>
  <c r="Y1515" i="1"/>
  <c r="Z1515" i="1"/>
  <c r="AB1515" i="1"/>
  <c r="AF1515" i="1"/>
  <c r="AI1515" i="1"/>
  <c r="H1516" i="1"/>
  <c r="AE1516" i="1"/>
  <c r="I1516" i="1"/>
  <c r="J1516" i="1"/>
  <c r="K1516" i="1"/>
  <c r="AC1516" i="1"/>
  <c r="AJ1515" i="1"/>
  <c r="AK1515" i="1"/>
  <c r="AM1515" i="1"/>
  <c r="BF1515" i="1"/>
  <c r="BG1515" i="1"/>
  <c r="T1516" i="1"/>
  <c r="U1516" i="1"/>
  <c r="V1516" i="1"/>
  <c r="W1516" i="1"/>
  <c r="X1516" i="1"/>
  <c r="Y1516" i="1"/>
  <c r="Z1516" i="1"/>
  <c r="AB1516" i="1"/>
  <c r="AF1516" i="1"/>
  <c r="AI1516" i="1"/>
  <c r="H1517" i="1"/>
  <c r="AE1517" i="1"/>
  <c r="I1517" i="1"/>
  <c r="J1517" i="1"/>
  <c r="K1517" i="1"/>
  <c r="AC1517" i="1"/>
  <c r="AJ1516" i="1"/>
  <c r="AK1516" i="1"/>
  <c r="AM1516" i="1"/>
  <c r="BF1516" i="1"/>
  <c r="BG1516" i="1"/>
  <c r="T1517" i="1"/>
  <c r="U1517" i="1"/>
  <c r="V1517" i="1"/>
  <c r="W1517" i="1"/>
  <c r="X1517" i="1"/>
  <c r="Y1517" i="1"/>
  <c r="Z1517" i="1"/>
  <c r="AB1517" i="1"/>
  <c r="AF1517" i="1"/>
  <c r="AI1517" i="1"/>
  <c r="AE1518" i="1"/>
  <c r="AC1518" i="1"/>
  <c r="AJ1517" i="1"/>
  <c r="AK1517" i="1"/>
  <c r="AM1517" i="1"/>
  <c r="BF1517" i="1"/>
  <c r="BG1517" i="1"/>
  <c r="T1518" i="1"/>
  <c r="U1518" i="1"/>
  <c r="V1518" i="1"/>
  <c r="W1518" i="1"/>
  <c r="X1518" i="1"/>
  <c r="Y1518" i="1"/>
  <c r="Z1518" i="1"/>
  <c r="AB1518" i="1"/>
  <c r="AF1518" i="1"/>
  <c r="AI1518" i="1"/>
  <c r="AE1519" i="1"/>
  <c r="AC1519" i="1"/>
  <c r="AJ1518" i="1"/>
  <c r="AK1518" i="1"/>
  <c r="AM1518" i="1"/>
  <c r="BF1518" i="1"/>
  <c r="BG1518" i="1"/>
  <c r="T1519" i="1"/>
  <c r="U1519" i="1"/>
  <c r="V1519" i="1"/>
  <c r="W1519" i="1"/>
  <c r="X1519" i="1"/>
  <c r="Y1519" i="1"/>
  <c r="Z1519" i="1"/>
  <c r="AB1519" i="1"/>
  <c r="AF1519" i="1"/>
  <c r="AI1519" i="1"/>
  <c r="H1520" i="1"/>
  <c r="AE1520" i="1"/>
  <c r="I1520" i="1"/>
  <c r="J1520" i="1"/>
  <c r="K1520" i="1"/>
  <c r="AC1520" i="1"/>
  <c r="AJ1519" i="1"/>
  <c r="AK1519" i="1"/>
  <c r="AM1519" i="1"/>
  <c r="BG1519" i="1"/>
  <c r="T1520" i="1"/>
  <c r="U1520" i="1"/>
  <c r="V1520" i="1"/>
  <c r="W1520" i="1"/>
  <c r="X1520" i="1"/>
  <c r="Y1520" i="1"/>
  <c r="Z1520" i="1"/>
  <c r="AB1520" i="1"/>
  <c r="AF1520" i="1"/>
  <c r="AI1520" i="1"/>
  <c r="H1521" i="1"/>
  <c r="AE1521" i="1"/>
  <c r="I1521" i="1"/>
  <c r="J1521" i="1"/>
  <c r="K1521" i="1"/>
  <c r="AC1521" i="1"/>
  <c r="AJ1520" i="1"/>
  <c r="AK1520" i="1"/>
  <c r="AM1520" i="1"/>
  <c r="BF1520" i="1"/>
  <c r="BG1520" i="1"/>
  <c r="T1521" i="1"/>
  <c r="U1521" i="1"/>
  <c r="V1521" i="1"/>
  <c r="W1521" i="1"/>
  <c r="X1521" i="1"/>
  <c r="Y1521" i="1"/>
  <c r="Z1521" i="1"/>
  <c r="AB1521" i="1"/>
  <c r="AF1521" i="1"/>
  <c r="AI1521" i="1"/>
  <c r="H1522" i="1"/>
  <c r="AE1522" i="1"/>
  <c r="I1522" i="1"/>
  <c r="J1522" i="1"/>
  <c r="K1522" i="1"/>
  <c r="AC1522" i="1"/>
  <c r="AJ1521" i="1"/>
  <c r="AK1521" i="1"/>
  <c r="AM1521" i="1"/>
  <c r="BF1521" i="1"/>
  <c r="BG1521" i="1"/>
  <c r="T1522" i="1"/>
  <c r="U1522" i="1"/>
  <c r="V1522" i="1"/>
  <c r="W1522" i="1"/>
  <c r="X1522" i="1"/>
  <c r="Y1522" i="1"/>
  <c r="Z1522" i="1"/>
  <c r="AB1522" i="1"/>
  <c r="AF1522" i="1"/>
  <c r="AI1522" i="1"/>
  <c r="AE1523" i="1"/>
  <c r="AC1523" i="1"/>
  <c r="AJ1522" i="1"/>
  <c r="AK1522" i="1"/>
  <c r="AM1522" i="1"/>
  <c r="BF1522" i="1"/>
  <c r="BG1522" i="1"/>
  <c r="T1523" i="1"/>
  <c r="U1523" i="1"/>
  <c r="V1523" i="1"/>
  <c r="W1523" i="1"/>
  <c r="X1523" i="1"/>
  <c r="Y1523" i="1"/>
  <c r="Z1523" i="1"/>
  <c r="AB1523" i="1"/>
  <c r="AF1523" i="1"/>
  <c r="AI1523" i="1"/>
  <c r="AE1524" i="1"/>
  <c r="AC1524" i="1"/>
  <c r="AJ1523" i="1"/>
  <c r="AK1523" i="1"/>
  <c r="AM1523" i="1"/>
  <c r="BF1523" i="1"/>
  <c r="BG1523" i="1"/>
  <c r="T1524" i="1"/>
  <c r="U1524" i="1"/>
  <c r="V1524" i="1"/>
  <c r="W1524" i="1"/>
  <c r="X1524" i="1"/>
  <c r="Y1524" i="1"/>
  <c r="Z1524" i="1"/>
  <c r="AB1524" i="1"/>
  <c r="AF1524" i="1"/>
  <c r="AI1524" i="1"/>
  <c r="H1525" i="1"/>
  <c r="AE1525" i="1"/>
  <c r="I1525" i="1"/>
  <c r="J1525" i="1"/>
  <c r="K1525" i="1"/>
  <c r="AC1525" i="1"/>
  <c r="AJ1524" i="1"/>
  <c r="AK1524" i="1"/>
  <c r="AM1524" i="1"/>
  <c r="BG1524" i="1"/>
  <c r="T1525" i="1"/>
  <c r="U1525" i="1"/>
  <c r="V1525" i="1"/>
  <c r="W1525" i="1"/>
  <c r="X1525" i="1"/>
  <c r="Y1525" i="1"/>
  <c r="Z1525" i="1"/>
  <c r="AB1525" i="1"/>
  <c r="AF1525" i="1"/>
  <c r="AI1525" i="1"/>
  <c r="H1526" i="1"/>
  <c r="AE1526" i="1"/>
  <c r="I1526" i="1"/>
  <c r="J1526" i="1"/>
  <c r="K1526" i="1"/>
  <c r="AC1526" i="1"/>
  <c r="AJ1525" i="1"/>
  <c r="AK1525" i="1"/>
  <c r="AM1525" i="1"/>
  <c r="BF1525" i="1"/>
  <c r="BG1525" i="1"/>
  <c r="T1526" i="1"/>
  <c r="U1526" i="1"/>
  <c r="V1526" i="1"/>
  <c r="W1526" i="1"/>
  <c r="X1526" i="1"/>
  <c r="Y1526" i="1"/>
  <c r="Z1526" i="1"/>
  <c r="AB1526" i="1"/>
  <c r="AF1526" i="1"/>
  <c r="AI1526" i="1"/>
  <c r="H1527" i="1"/>
  <c r="AE1527" i="1"/>
  <c r="I1527" i="1"/>
  <c r="J1527" i="1"/>
  <c r="K1527" i="1"/>
  <c r="AC1527" i="1"/>
  <c r="AJ1526" i="1"/>
  <c r="AK1526" i="1"/>
  <c r="AM1526" i="1"/>
  <c r="BF1526" i="1"/>
  <c r="BG1526" i="1"/>
  <c r="T1527" i="1"/>
  <c r="U1527" i="1"/>
  <c r="V1527" i="1"/>
  <c r="W1527" i="1"/>
  <c r="X1527" i="1"/>
  <c r="Y1527" i="1"/>
  <c r="Z1527" i="1"/>
  <c r="AB1527" i="1"/>
  <c r="AF1527" i="1"/>
  <c r="AI1527" i="1"/>
  <c r="H1528" i="1"/>
  <c r="AE1528" i="1"/>
  <c r="I1528" i="1"/>
  <c r="J1528" i="1"/>
  <c r="K1528" i="1"/>
  <c r="AC1528" i="1"/>
  <c r="AJ1527" i="1"/>
  <c r="AK1527" i="1"/>
  <c r="AM1527" i="1"/>
  <c r="BF1527" i="1"/>
  <c r="BG1527" i="1"/>
  <c r="T1528" i="1"/>
  <c r="U1528" i="1"/>
  <c r="V1528" i="1"/>
  <c r="W1528" i="1"/>
  <c r="X1528" i="1"/>
  <c r="Y1528" i="1"/>
  <c r="Z1528" i="1"/>
  <c r="AB1528" i="1"/>
  <c r="AF1528" i="1"/>
  <c r="AI1528" i="1"/>
  <c r="AE1529" i="1"/>
  <c r="AC1529" i="1"/>
  <c r="AJ1528" i="1"/>
  <c r="AK1528" i="1"/>
  <c r="AM1528" i="1"/>
  <c r="BF1528" i="1"/>
  <c r="BG1528" i="1"/>
  <c r="T1529" i="1"/>
  <c r="U1529" i="1"/>
  <c r="V1529" i="1"/>
  <c r="W1529" i="1"/>
  <c r="X1529" i="1"/>
  <c r="Y1529" i="1"/>
  <c r="Z1529" i="1"/>
  <c r="AB1529" i="1"/>
  <c r="AF1529" i="1"/>
  <c r="AI1529" i="1"/>
  <c r="AE1530" i="1"/>
  <c r="AC1530" i="1"/>
  <c r="AJ1529" i="1"/>
  <c r="AK1529" i="1"/>
  <c r="AM1529" i="1"/>
  <c r="BF1529" i="1"/>
  <c r="BG1529" i="1"/>
  <c r="T1530" i="1"/>
  <c r="U1530" i="1"/>
  <c r="V1530" i="1"/>
  <c r="W1530" i="1"/>
  <c r="X1530" i="1"/>
  <c r="Y1530" i="1"/>
  <c r="Z1530" i="1"/>
  <c r="AB1530" i="1"/>
  <c r="AF1530" i="1"/>
  <c r="AI1530" i="1"/>
  <c r="AE1531" i="1"/>
  <c r="AC1531" i="1"/>
  <c r="AJ1530" i="1"/>
  <c r="AK1530" i="1"/>
  <c r="AM1530" i="1"/>
  <c r="BF1530" i="1"/>
  <c r="BG1530" i="1"/>
  <c r="T1531" i="1"/>
  <c r="U1531" i="1"/>
  <c r="V1531" i="1"/>
  <c r="W1531" i="1"/>
  <c r="X1531" i="1"/>
  <c r="Y1531" i="1"/>
  <c r="Z1531" i="1"/>
  <c r="AB1531" i="1"/>
  <c r="AF1531" i="1"/>
  <c r="AI1531" i="1"/>
  <c r="H1532" i="1"/>
  <c r="AE1532" i="1"/>
  <c r="I1532" i="1"/>
  <c r="J1532" i="1"/>
  <c r="K1532" i="1"/>
  <c r="AC1532" i="1"/>
  <c r="AJ1531" i="1"/>
  <c r="AK1531" i="1"/>
  <c r="AM1531" i="1"/>
  <c r="BG1531" i="1"/>
  <c r="T1532" i="1"/>
  <c r="U1532" i="1"/>
  <c r="V1532" i="1"/>
  <c r="W1532" i="1"/>
  <c r="X1532" i="1"/>
  <c r="Y1532" i="1"/>
  <c r="Z1532" i="1"/>
  <c r="AB1532" i="1"/>
  <c r="AF1532" i="1"/>
  <c r="AI1532" i="1"/>
  <c r="H1533" i="1"/>
  <c r="AE1533" i="1"/>
  <c r="I1533" i="1"/>
  <c r="J1533" i="1"/>
  <c r="K1533" i="1"/>
  <c r="AC1533" i="1"/>
  <c r="AJ1532" i="1"/>
  <c r="AK1532" i="1"/>
  <c r="AM1532" i="1"/>
  <c r="BF1532" i="1"/>
  <c r="BG1532" i="1"/>
  <c r="T1533" i="1"/>
  <c r="U1533" i="1"/>
  <c r="V1533" i="1"/>
  <c r="W1533" i="1"/>
  <c r="X1533" i="1"/>
  <c r="Y1533" i="1"/>
  <c r="Z1533" i="1"/>
  <c r="AB1533" i="1"/>
  <c r="AF1533" i="1"/>
  <c r="AI1533" i="1"/>
  <c r="AE1534" i="1"/>
  <c r="AC1534" i="1"/>
  <c r="AJ1533" i="1"/>
  <c r="AK1533" i="1"/>
  <c r="AM1533" i="1"/>
  <c r="BF1533" i="1"/>
  <c r="BG1533" i="1"/>
  <c r="T1534" i="1"/>
  <c r="U1534" i="1"/>
  <c r="V1534" i="1"/>
  <c r="W1534" i="1"/>
  <c r="X1534" i="1"/>
  <c r="Y1534" i="1"/>
  <c r="Z1534" i="1"/>
  <c r="AB1534" i="1"/>
  <c r="AF1534" i="1"/>
  <c r="AI1534" i="1"/>
  <c r="AE1535" i="1"/>
  <c r="AC1535" i="1"/>
  <c r="AJ1534" i="1"/>
  <c r="AK1534" i="1"/>
  <c r="AM1534" i="1"/>
  <c r="BF1534" i="1"/>
  <c r="BG1534" i="1"/>
  <c r="T1535" i="1"/>
  <c r="U1535" i="1"/>
  <c r="V1535" i="1"/>
  <c r="W1535" i="1"/>
  <c r="X1535" i="1"/>
  <c r="Y1535" i="1"/>
  <c r="Z1535" i="1"/>
  <c r="AB1535" i="1"/>
  <c r="AF1535" i="1"/>
  <c r="AI1535" i="1"/>
  <c r="H1536" i="1"/>
  <c r="AE1536" i="1"/>
  <c r="I1536" i="1"/>
  <c r="J1536" i="1"/>
  <c r="K1536" i="1"/>
  <c r="AC1536" i="1"/>
  <c r="AJ1535" i="1"/>
  <c r="AK1535" i="1"/>
  <c r="AM1535" i="1"/>
  <c r="BG1535" i="1"/>
  <c r="T1536" i="1"/>
  <c r="U1536" i="1"/>
  <c r="V1536" i="1"/>
  <c r="W1536" i="1"/>
  <c r="X1536" i="1"/>
  <c r="Y1536" i="1"/>
  <c r="Z1536" i="1"/>
  <c r="AB1536" i="1"/>
  <c r="AF1536" i="1"/>
  <c r="AI1536" i="1"/>
  <c r="AE1537" i="1"/>
  <c r="AC1537" i="1"/>
  <c r="AJ1536" i="1"/>
  <c r="AK1536" i="1"/>
  <c r="AM1536" i="1"/>
  <c r="BF1536" i="1"/>
  <c r="BG1536" i="1"/>
  <c r="T1537" i="1"/>
  <c r="U1537" i="1"/>
  <c r="V1537" i="1"/>
  <c r="W1537" i="1"/>
  <c r="X1537" i="1"/>
  <c r="Y1537" i="1"/>
  <c r="Z1537" i="1"/>
  <c r="AB1537" i="1"/>
  <c r="AF1537" i="1"/>
  <c r="AI1537" i="1"/>
  <c r="AE1538" i="1"/>
  <c r="AC1538" i="1"/>
  <c r="AJ1537" i="1"/>
  <c r="AK1537" i="1"/>
  <c r="AM1537" i="1"/>
  <c r="BF1537" i="1"/>
  <c r="BG1537" i="1"/>
  <c r="T1538" i="1"/>
  <c r="U1538" i="1"/>
  <c r="V1538" i="1"/>
  <c r="W1538" i="1"/>
  <c r="X1538" i="1"/>
  <c r="Y1538" i="1"/>
  <c r="Z1538" i="1"/>
  <c r="AB1538" i="1"/>
  <c r="AF1538" i="1"/>
  <c r="AI1538" i="1"/>
  <c r="AE1539" i="1"/>
  <c r="AC1539" i="1"/>
  <c r="AJ1538" i="1"/>
  <c r="AK1538" i="1"/>
  <c r="AM1538" i="1"/>
  <c r="BF1538" i="1"/>
  <c r="BG1538" i="1"/>
  <c r="T1539" i="1"/>
  <c r="U1539" i="1"/>
  <c r="V1539" i="1"/>
  <c r="W1539" i="1"/>
  <c r="X1539" i="1"/>
  <c r="Y1539" i="1"/>
  <c r="Z1539" i="1"/>
  <c r="AB1539" i="1"/>
  <c r="AF1539" i="1"/>
  <c r="AI1539" i="1"/>
  <c r="AE1540" i="1"/>
  <c r="AC1540" i="1"/>
  <c r="AJ1539" i="1"/>
  <c r="AK1539" i="1"/>
  <c r="AM1539" i="1"/>
  <c r="BF1539" i="1"/>
  <c r="BG1539" i="1"/>
  <c r="T1540" i="1"/>
  <c r="U1540" i="1"/>
  <c r="V1540" i="1"/>
  <c r="W1540" i="1"/>
  <c r="X1540" i="1"/>
  <c r="Y1540" i="1"/>
  <c r="Z1540" i="1"/>
  <c r="AB1540" i="1"/>
  <c r="AF1540" i="1"/>
  <c r="AI1540" i="1"/>
  <c r="H1541" i="1"/>
  <c r="AE1541" i="1"/>
  <c r="I1541" i="1"/>
  <c r="J1541" i="1"/>
  <c r="K1541" i="1"/>
  <c r="AC1541" i="1"/>
  <c r="AJ1540" i="1"/>
  <c r="AK1540" i="1"/>
  <c r="AM1540" i="1"/>
  <c r="BG1540" i="1"/>
  <c r="T1541" i="1"/>
  <c r="U1541" i="1"/>
  <c r="V1541" i="1"/>
  <c r="W1541" i="1"/>
  <c r="X1541" i="1"/>
  <c r="Y1541" i="1"/>
  <c r="Z1541" i="1"/>
  <c r="AB1541" i="1"/>
  <c r="AF1541" i="1"/>
  <c r="AI1541" i="1"/>
  <c r="AE1542" i="1"/>
  <c r="AC1542" i="1"/>
  <c r="AJ1541" i="1"/>
  <c r="AK1541" i="1"/>
  <c r="AM1541" i="1"/>
  <c r="BF1541" i="1"/>
  <c r="BG1541" i="1"/>
  <c r="T1542" i="1"/>
  <c r="U1542" i="1"/>
  <c r="V1542" i="1"/>
  <c r="W1542" i="1"/>
  <c r="X1542" i="1"/>
  <c r="Y1542" i="1"/>
  <c r="Z1542" i="1"/>
  <c r="AB1542" i="1"/>
  <c r="AF1542" i="1"/>
  <c r="AI1542" i="1"/>
  <c r="AE1543" i="1"/>
  <c r="AC1543" i="1"/>
  <c r="AJ1542" i="1"/>
  <c r="AK1542" i="1"/>
  <c r="AM1542" i="1"/>
  <c r="BF1542" i="1"/>
  <c r="BG1542" i="1"/>
  <c r="T1543" i="1"/>
  <c r="U1543" i="1"/>
  <c r="V1543" i="1"/>
  <c r="W1543" i="1"/>
  <c r="X1543" i="1"/>
  <c r="Y1543" i="1"/>
  <c r="Z1543" i="1"/>
  <c r="AB1543" i="1"/>
  <c r="AF1543" i="1"/>
  <c r="AI1543" i="1"/>
  <c r="H1544" i="1"/>
  <c r="AE1544" i="1"/>
  <c r="I1544" i="1"/>
  <c r="J1544" i="1"/>
  <c r="K1544" i="1"/>
  <c r="AC1544" i="1"/>
  <c r="AJ1543" i="1"/>
  <c r="AK1543" i="1"/>
  <c r="AM1543" i="1"/>
  <c r="BG1543" i="1"/>
  <c r="T1544" i="1"/>
  <c r="U1544" i="1"/>
  <c r="V1544" i="1"/>
  <c r="W1544" i="1"/>
  <c r="X1544" i="1"/>
  <c r="Y1544" i="1"/>
  <c r="Z1544" i="1"/>
  <c r="AB1544" i="1"/>
  <c r="AF1544" i="1"/>
  <c r="AI1544" i="1"/>
  <c r="AE1545" i="1"/>
  <c r="AC1545" i="1"/>
  <c r="AJ1544" i="1"/>
  <c r="AK1544" i="1"/>
  <c r="AM1544" i="1"/>
  <c r="BF1544" i="1"/>
  <c r="BG1544" i="1"/>
  <c r="T1545" i="1"/>
  <c r="U1545" i="1"/>
  <c r="V1545" i="1"/>
  <c r="W1545" i="1"/>
  <c r="X1545" i="1"/>
  <c r="Y1545" i="1"/>
  <c r="Z1545" i="1"/>
  <c r="AB1545" i="1"/>
  <c r="AF1545" i="1"/>
  <c r="AI1545" i="1"/>
  <c r="AE1546" i="1"/>
  <c r="AC1546" i="1"/>
  <c r="AJ1545" i="1"/>
  <c r="AK1545" i="1"/>
  <c r="AM1545" i="1"/>
  <c r="BF1545" i="1"/>
  <c r="BG1545" i="1"/>
  <c r="T1546" i="1"/>
  <c r="U1546" i="1"/>
  <c r="V1546" i="1"/>
  <c r="W1546" i="1"/>
  <c r="X1546" i="1"/>
  <c r="Y1546" i="1"/>
  <c r="Z1546" i="1"/>
  <c r="AB1546" i="1"/>
  <c r="AF1546" i="1"/>
  <c r="AI1546" i="1"/>
  <c r="H1547" i="1"/>
  <c r="AE1547" i="1"/>
  <c r="I1547" i="1"/>
  <c r="J1547" i="1"/>
  <c r="K1547" i="1"/>
  <c r="AC1547" i="1"/>
  <c r="AJ1546" i="1"/>
  <c r="AK1546" i="1"/>
  <c r="AM1546" i="1"/>
  <c r="BG1546" i="1"/>
  <c r="T1547" i="1"/>
  <c r="U1547" i="1"/>
  <c r="V1547" i="1"/>
  <c r="W1547" i="1"/>
  <c r="X1547" i="1"/>
  <c r="Y1547" i="1"/>
  <c r="Z1547" i="1"/>
  <c r="AB1547" i="1"/>
  <c r="AF1547" i="1"/>
  <c r="AI1547" i="1"/>
  <c r="AE1548" i="1"/>
  <c r="AC1548" i="1"/>
  <c r="AJ1547" i="1"/>
  <c r="AK1547" i="1"/>
  <c r="AM1547" i="1"/>
  <c r="BF1547" i="1"/>
  <c r="BG1547" i="1"/>
  <c r="T1548" i="1"/>
  <c r="U1548" i="1"/>
  <c r="V1548" i="1"/>
  <c r="W1548" i="1"/>
  <c r="X1548" i="1"/>
  <c r="Y1548" i="1"/>
  <c r="Z1548" i="1"/>
  <c r="AB1548" i="1"/>
  <c r="AF1548" i="1"/>
  <c r="AI1548" i="1"/>
  <c r="AE1549" i="1"/>
  <c r="AC1549" i="1"/>
  <c r="AJ1548" i="1"/>
  <c r="AK1548" i="1"/>
  <c r="AM1548" i="1"/>
  <c r="BF1548" i="1"/>
  <c r="BG1548" i="1"/>
  <c r="T1549" i="1"/>
  <c r="U1549" i="1"/>
  <c r="V1549" i="1"/>
  <c r="W1549" i="1"/>
  <c r="X1549" i="1"/>
  <c r="Y1549" i="1"/>
  <c r="Z1549" i="1"/>
  <c r="AB1549" i="1"/>
  <c r="AF1549" i="1"/>
  <c r="AI1549" i="1"/>
  <c r="H1550" i="1"/>
  <c r="AE1550" i="1"/>
  <c r="I1550" i="1"/>
  <c r="J1550" i="1"/>
  <c r="K1550" i="1"/>
  <c r="AC1550" i="1"/>
  <c r="AJ1549" i="1"/>
  <c r="AK1549" i="1"/>
  <c r="AM1549" i="1"/>
  <c r="BG1549" i="1"/>
  <c r="T1550" i="1"/>
  <c r="U1550" i="1"/>
  <c r="V1550" i="1"/>
  <c r="W1550" i="1"/>
  <c r="X1550" i="1"/>
  <c r="Y1550" i="1"/>
  <c r="Z1550" i="1"/>
  <c r="AB1550" i="1"/>
  <c r="AF1550" i="1"/>
  <c r="AI1550" i="1"/>
  <c r="AE1551" i="1"/>
  <c r="AC1551" i="1"/>
  <c r="AJ1550" i="1"/>
  <c r="AK1550" i="1"/>
  <c r="AM1550" i="1"/>
  <c r="BF1550" i="1"/>
  <c r="BG1550" i="1"/>
  <c r="T1551" i="1"/>
  <c r="U1551" i="1"/>
  <c r="V1551" i="1"/>
  <c r="W1551" i="1"/>
  <c r="X1551" i="1"/>
  <c r="Y1551" i="1"/>
  <c r="Z1551" i="1"/>
  <c r="AB1551" i="1"/>
  <c r="AF1551" i="1"/>
  <c r="AI1551" i="1"/>
  <c r="AE1552" i="1"/>
  <c r="AC1552" i="1"/>
  <c r="AJ1551" i="1"/>
  <c r="AK1551" i="1"/>
  <c r="AM1551" i="1"/>
  <c r="BF1551" i="1"/>
  <c r="BG1551" i="1"/>
  <c r="T1552" i="1"/>
  <c r="U1552" i="1"/>
  <c r="V1552" i="1"/>
  <c r="W1552" i="1"/>
  <c r="X1552" i="1"/>
  <c r="Y1552" i="1"/>
  <c r="Z1552" i="1"/>
  <c r="AB1552" i="1"/>
  <c r="AF1552" i="1"/>
  <c r="AI1552" i="1"/>
  <c r="H1553" i="1"/>
  <c r="AE1553" i="1"/>
  <c r="I1553" i="1"/>
  <c r="J1553" i="1"/>
  <c r="K1553" i="1"/>
  <c r="AC1553" i="1"/>
  <c r="AJ1552" i="1"/>
  <c r="AK1552" i="1"/>
  <c r="AM1552" i="1"/>
  <c r="BG1552" i="1"/>
  <c r="T1553" i="1"/>
  <c r="U1553" i="1"/>
  <c r="V1553" i="1"/>
  <c r="W1553" i="1"/>
  <c r="X1553" i="1"/>
  <c r="Y1553" i="1"/>
  <c r="Z1553" i="1"/>
  <c r="AB1553" i="1"/>
  <c r="AF1553" i="1"/>
  <c r="AI1553" i="1"/>
  <c r="AE1554" i="1"/>
  <c r="AC1554" i="1"/>
  <c r="AJ1553" i="1"/>
  <c r="AK1553" i="1"/>
  <c r="AM1553" i="1"/>
  <c r="BF1553" i="1"/>
  <c r="BG1553" i="1"/>
  <c r="T1554" i="1"/>
  <c r="U1554" i="1"/>
  <c r="V1554" i="1"/>
  <c r="W1554" i="1"/>
  <c r="X1554" i="1"/>
  <c r="Y1554" i="1"/>
  <c r="Z1554" i="1"/>
  <c r="AB1554" i="1"/>
  <c r="AF1554" i="1"/>
  <c r="AI1554" i="1"/>
  <c r="AE1555" i="1"/>
  <c r="AC1555" i="1"/>
  <c r="AJ1554" i="1"/>
  <c r="AK1554" i="1"/>
  <c r="AM1554" i="1"/>
  <c r="BF1554" i="1"/>
  <c r="BG1554" i="1"/>
  <c r="T1555" i="1"/>
  <c r="U1555" i="1"/>
  <c r="V1555" i="1"/>
  <c r="W1555" i="1"/>
  <c r="X1555" i="1"/>
  <c r="Y1555" i="1"/>
  <c r="Z1555" i="1"/>
  <c r="AB1555" i="1"/>
  <c r="AF1555" i="1"/>
  <c r="AI1555" i="1"/>
  <c r="H1556" i="1"/>
  <c r="AE1556" i="1"/>
  <c r="I1556" i="1"/>
  <c r="J1556" i="1"/>
  <c r="K1556" i="1"/>
  <c r="AC1556" i="1"/>
  <c r="AJ1555" i="1"/>
  <c r="AK1555" i="1"/>
  <c r="AM1555" i="1"/>
  <c r="BG1555" i="1"/>
  <c r="T1556" i="1"/>
  <c r="U1556" i="1"/>
  <c r="V1556" i="1"/>
  <c r="W1556" i="1"/>
  <c r="X1556" i="1"/>
  <c r="Y1556" i="1"/>
  <c r="Z1556" i="1"/>
  <c r="AB1556" i="1"/>
  <c r="AF1556" i="1"/>
  <c r="AI1556" i="1"/>
  <c r="AE1557" i="1"/>
  <c r="AC1557" i="1"/>
  <c r="AJ1556" i="1"/>
  <c r="AK1556" i="1"/>
  <c r="AM1556" i="1"/>
  <c r="BF1556" i="1"/>
  <c r="BG1556" i="1"/>
  <c r="T1557" i="1"/>
  <c r="U1557" i="1"/>
  <c r="V1557" i="1"/>
  <c r="W1557" i="1"/>
  <c r="X1557" i="1"/>
  <c r="Y1557" i="1"/>
  <c r="Z1557" i="1"/>
  <c r="AB1557" i="1"/>
  <c r="AF1557" i="1"/>
  <c r="AI1557" i="1"/>
  <c r="AE1558" i="1"/>
  <c r="AC1558" i="1"/>
  <c r="AJ1557" i="1"/>
  <c r="AK1557" i="1"/>
  <c r="AM1557" i="1"/>
  <c r="BF1557" i="1"/>
  <c r="BG1557" i="1"/>
  <c r="T1558" i="1"/>
  <c r="U1558" i="1"/>
  <c r="V1558" i="1"/>
  <c r="W1558" i="1"/>
  <c r="X1558" i="1"/>
  <c r="Y1558" i="1"/>
  <c r="Z1558" i="1"/>
  <c r="AB1558" i="1"/>
  <c r="AF1558" i="1"/>
  <c r="AI1558" i="1"/>
  <c r="H1559" i="1"/>
  <c r="AE1559" i="1"/>
  <c r="I1559" i="1"/>
  <c r="J1559" i="1"/>
  <c r="K1559" i="1"/>
  <c r="AC1559" i="1"/>
  <c r="AJ1558" i="1"/>
  <c r="AK1558" i="1"/>
  <c r="AM1558" i="1"/>
  <c r="BG1558" i="1"/>
  <c r="T1559" i="1"/>
  <c r="U1559" i="1"/>
  <c r="V1559" i="1"/>
  <c r="W1559" i="1"/>
  <c r="X1559" i="1"/>
  <c r="Y1559" i="1"/>
  <c r="Z1559" i="1"/>
  <c r="AB1559" i="1"/>
  <c r="AF1559" i="1"/>
  <c r="AI1559" i="1"/>
  <c r="AE1560" i="1"/>
  <c r="AC1560" i="1"/>
  <c r="AJ1559" i="1"/>
  <c r="AK1559" i="1"/>
  <c r="AM1559" i="1"/>
  <c r="BF1559" i="1"/>
  <c r="BG1559" i="1"/>
  <c r="T1560" i="1"/>
  <c r="U1560" i="1"/>
  <c r="V1560" i="1"/>
  <c r="W1560" i="1"/>
  <c r="X1560" i="1"/>
  <c r="Y1560" i="1"/>
  <c r="Z1560" i="1"/>
  <c r="AB1560" i="1"/>
  <c r="AF1560" i="1"/>
  <c r="AI1560" i="1"/>
  <c r="AE1561" i="1"/>
  <c r="AC1561" i="1"/>
  <c r="AJ1560" i="1"/>
  <c r="AK1560" i="1"/>
  <c r="AM1560" i="1"/>
  <c r="BF1560" i="1"/>
  <c r="BG1560" i="1"/>
  <c r="T1561" i="1"/>
  <c r="U1561" i="1"/>
  <c r="V1561" i="1"/>
  <c r="W1561" i="1"/>
  <c r="X1561" i="1"/>
  <c r="Y1561" i="1"/>
  <c r="Z1561" i="1"/>
  <c r="AB1561" i="1"/>
  <c r="AF1561" i="1"/>
  <c r="AI1561" i="1"/>
  <c r="AE1562" i="1"/>
  <c r="AC1562" i="1"/>
  <c r="AJ1561" i="1"/>
  <c r="AK1561" i="1"/>
  <c r="AM1561" i="1"/>
  <c r="BF1561" i="1"/>
  <c r="BG1561" i="1"/>
  <c r="T1562" i="1"/>
  <c r="U1562" i="1"/>
  <c r="V1562" i="1"/>
  <c r="W1562" i="1"/>
  <c r="X1562" i="1"/>
  <c r="Y1562" i="1"/>
  <c r="Z1562" i="1"/>
  <c r="AB1562" i="1"/>
  <c r="AF1562" i="1"/>
  <c r="AI1562" i="1"/>
  <c r="H1563" i="1"/>
  <c r="AE1563" i="1"/>
  <c r="I1563" i="1"/>
  <c r="J1563" i="1"/>
  <c r="K1563" i="1"/>
  <c r="AC1563" i="1"/>
  <c r="AJ1562" i="1"/>
  <c r="AK1562" i="1"/>
  <c r="AM1562" i="1"/>
  <c r="BG1562" i="1"/>
  <c r="T1563" i="1"/>
  <c r="U1563" i="1"/>
  <c r="V1563" i="1"/>
  <c r="W1563" i="1"/>
  <c r="X1563" i="1"/>
  <c r="Y1563" i="1"/>
  <c r="Z1563" i="1"/>
  <c r="AB1563" i="1"/>
  <c r="AF1563" i="1"/>
  <c r="AI1563" i="1"/>
  <c r="AE1564" i="1"/>
  <c r="AC1564" i="1"/>
  <c r="AJ1563" i="1"/>
  <c r="AK1563" i="1"/>
  <c r="AM1563" i="1"/>
  <c r="BF1563" i="1"/>
  <c r="BG1563" i="1"/>
  <c r="T1564" i="1"/>
  <c r="U1564" i="1"/>
  <c r="V1564" i="1"/>
  <c r="W1564" i="1"/>
  <c r="X1564" i="1"/>
  <c r="Y1564" i="1"/>
  <c r="Z1564" i="1"/>
  <c r="AB1564" i="1"/>
  <c r="AF1564" i="1"/>
  <c r="AI1564" i="1"/>
  <c r="AE1565" i="1"/>
  <c r="AC1565" i="1"/>
  <c r="AJ1564" i="1"/>
  <c r="AK1564" i="1"/>
  <c r="AM1564" i="1"/>
  <c r="BF1564" i="1"/>
  <c r="BG1564" i="1"/>
  <c r="T1565" i="1"/>
  <c r="U1565" i="1"/>
  <c r="V1565" i="1"/>
  <c r="W1565" i="1"/>
  <c r="X1565" i="1"/>
  <c r="Y1565" i="1"/>
  <c r="Z1565" i="1"/>
  <c r="AB1565" i="1"/>
  <c r="AF1565" i="1"/>
  <c r="AI1565" i="1"/>
  <c r="AE1566" i="1"/>
  <c r="AC1566" i="1"/>
  <c r="AJ1565" i="1"/>
  <c r="AK1565" i="1"/>
  <c r="AM1565" i="1"/>
  <c r="BF1565" i="1"/>
  <c r="BG1565" i="1"/>
  <c r="T1566" i="1"/>
  <c r="U1566" i="1"/>
  <c r="V1566" i="1"/>
  <c r="W1566" i="1"/>
  <c r="X1566" i="1"/>
  <c r="Y1566" i="1"/>
  <c r="Z1566" i="1"/>
  <c r="AB1566" i="1"/>
  <c r="AF1566" i="1"/>
  <c r="AI1566" i="1"/>
  <c r="H1567" i="1"/>
  <c r="AE1567" i="1"/>
  <c r="I1567" i="1"/>
  <c r="J1567" i="1"/>
  <c r="K1567" i="1"/>
  <c r="AC1567" i="1"/>
  <c r="AJ1566" i="1"/>
  <c r="AK1566" i="1"/>
  <c r="AM1566" i="1"/>
  <c r="BG1566" i="1"/>
  <c r="T1567" i="1"/>
  <c r="U1567" i="1"/>
  <c r="V1567" i="1"/>
  <c r="W1567" i="1"/>
  <c r="X1567" i="1"/>
  <c r="Y1567" i="1"/>
  <c r="Z1567" i="1"/>
  <c r="AB1567" i="1"/>
  <c r="AF1567" i="1"/>
  <c r="AI1567" i="1"/>
  <c r="AE1568" i="1"/>
  <c r="AC1568" i="1"/>
  <c r="AJ1567" i="1"/>
  <c r="AK1567" i="1"/>
  <c r="AM1567" i="1"/>
  <c r="BF1567" i="1"/>
  <c r="BG1567" i="1"/>
  <c r="T1568" i="1"/>
  <c r="U1568" i="1"/>
  <c r="V1568" i="1"/>
  <c r="W1568" i="1"/>
  <c r="X1568" i="1"/>
  <c r="Y1568" i="1"/>
  <c r="Z1568" i="1"/>
  <c r="AB1568" i="1"/>
  <c r="AF1568" i="1"/>
  <c r="AI1568" i="1"/>
  <c r="AE1569" i="1"/>
  <c r="AC1569" i="1"/>
  <c r="AJ1568" i="1"/>
  <c r="AK1568" i="1"/>
  <c r="AM1568" i="1"/>
  <c r="BF1568" i="1"/>
  <c r="BG1568" i="1"/>
  <c r="T1569" i="1"/>
  <c r="U1569" i="1"/>
  <c r="V1569" i="1"/>
  <c r="W1569" i="1"/>
  <c r="X1569" i="1"/>
  <c r="Y1569" i="1"/>
  <c r="Z1569" i="1"/>
  <c r="AB1569" i="1"/>
  <c r="AF1569" i="1"/>
  <c r="AI1569" i="1"/>
  <c r="H1570" i="1"/>
  <c r="AE1570" i="1"/>
  <c r="I1570" i="1"/>
  <c r="J1570" i="1"/>
  <c r="K1570" i="1"/>
  <c r="AC1570" i="1"/>
  <c r="AJ1569" i="1"/>
  <c r="AK1569" i="1"/>
  <c r="AM1569" i="1"/>
  <c r="BG1569" i="1"/>
  <c r="T1570" i="1"/>
  <c r="U1570" i="1"/>
  <c r="V1570" i="1"/>
  <c r="W1570" i="1"/>
  <c r="X1570" i="1"/>
  <c r="Y1570" i="1"/>
  <c r="Z1570" i="1"/>
  <c r="AB1570" i="1"/>
  <c r="AF1570" i="1"/>
  <c r="AI1570" i="1"/>
  <c r="AE1571" i="1"/>
  <c r="AC1571" i="1"/>
  <c r="AJ1570" i="1"/>
  <c r="AK1570" i="1"/>
  <c r="AM1570" i="1"/>
  <c r="BF1570" i="1"/>
  <c r="BG1570" i="1"/>
  <c r="T1571" i="1"/>
  <c r="U1571" i="1"/>
  <c r="V1571" i="1"/>
  <c r="W1571" i="1"/>
  <c r="X1571" i="1"/>
  <c r="Y1571" i="1"/>
  <c r="Z1571" i="1"/>
  <c r="AB1571" i="1"/>
  <c r="AF1571" i="1"/>
  <c r="AI1571" i="1"/>
  <c r="AE1572" i="1"/>
  <c r="AC1572" i="1"/>
  <c r="AJ1571" i="1"/>
  <c r="AK1571" i="1"/>
  <c r="AM1571" i="1"/>
  <c r="BF1571" i="1"/>
  <c r="BG1571" i="1"/>
  <c r="T1572" i="1"/>
  <c r="U1572" i="1"/>
  <c r="V1572" i="1"/>
  <c r="W1572" i="1"/>
  <c r="X1572" i="1"/>
  <c r="Y1572" i="1"/>
  <c r="Z1572" i="1"/>
  <c r="AB1572" i="1"/>
  <c r="AF1572" i="1"/>
  <c r="AI1572" i="1"/>
  <c r="AE1573" i="1"/>
  <c r="AC1573" i="1"/>
  <c r="AJ1572" i="1"/>
  <c r="AK1572" i="1"/>
  <c r="AM1572" i="1"/>
  <c r="BF1572" i="1"/>
  <c r="BG1572" i="1"/>
  <c r="T1573" i="1"/>
  <c r="U1573" i="1"/>
  <c r="V1573" i="1"/>
  <c r="W1573" i="1"/>
  <c r="X1573" i="1"/>
  <c r="Y1573" i="1"/>
  <c r="Z1573" i="1"/>
  <c r="AB1573" i="1"/>
  <c r="AF1573" i="1"/>
  <c r="AI1573" i="1"/>
  <c r="H1574" i="1"/>
  <c r="AE1574" i="1"/>
  <c r="I1574" i="1"/>
  <c r="J1574" i="1"/>
  <c r="K1574" i="1"/>
  <c r="AC1574" i="1"/>
  <c r="AJ1573" i="1"/>
  <c r="AK1573" i="1"/>
  <c r="AM1573" i="1"/>
  <c r="BG1573" i="1"/>
  <c r="T1574" i="1"/>
  <c r="U1574" i="1"/>
  <c r="V1574" i="1"/>
  <c r="W1574" i="1"/>
  <c r="X1574" i="1"/>
  <c r="Y1574" i="1"/>
  <c r="Z1574" i="1"/>
  <c r="AB1574" i="1"/>
  <c r="AF1574" i="1"/>
  <c r="AI1574" i="1"/>
  <c r="AE1575" i="1"/>
  <c r="AC1575" i="1"/>
  <c r="AJ1574" i="1"/>
  <c r="AK1574" i="1"/>
  <c r="AM1574" i="1"/>
  <c r="BF1574" i="1"/>
  <c r="BG1574" i="1"/>
  <c r="T1575" i="1"/>
  <c r="U1575" i="1"/>
  <c r="V1575" i="1"/>
  <c r="W1575" i="1"/>
  <c r="X1575" i="1"/>
  <c r="Y1575" i="1"/>
  <c r="Z1575" i="1"/>
  <c r="AB1575" i="1"/>
  <c r="AF1575" i="1"/>
  <c r="AI1575" i="1"/>
  <c r="AE1576" i="1"/>
  <c r="AC1576" i="1"/>
  <c r="AJ1575" i="1"/>
  <c r="AK1575" i="1"/>
  <c r="AM1575" i="1"/>
  <c r="BF1575" i="1"/>
  <c r="BG1575" i="1"/>
  <c r="T1576" i="1"/>
  <c r="U1576" i="1"/>
  <c r="V1576" i="1"/>
  <c r="W1576" i="1"/>
  <c r="X1576" i="1"/>
  <c r="Y1576" i="1"/>
  <c r="Z1576" i="1"/>
  <c r="AB1576" i="1"/>
  <c r="AF1576" i="1"/>
  <c r="AI1576" i="1"/>
  <c r="AE1577" i="1"/>
  <c r="AC1577" i="1"/>
  <c r="AJ1576" i="1"/>
  <c r="AK1576" i="1"/>
  <c r="AM1576" i="1"/>
  <c r="BF1576" i="1"/>
  <c r="BG1576" i="1"/>
  <c r="T1577" i="1"/>
  <c r="U1577" i="1"/>
  <c r="V1577" i="1"/>
  <c r="W1577" i="1"/>
  <c r="X1577" i="1"/>
  <c r="Y1577" i="1"/>
  <c r="Z1577" i="1"/>
  <c r="AB1577" i="1"/>
  <c r="AF1577" i="1"/>
  <c r="AI1577" i="1"/>
  <c r="H1578" i="1"/>
  <c r="AE1578" i="1"/>
  <c r="I1578" i="1"/>
  <c r="J1578" i="1"/>
  <c r="K1578" i="1"/>
  <c r="AC1578" i="1"/>
  <c r="AJ1577" i="1"/>
  <c r="AK1577" i="1"/>
  <c r="AM1577" i="1"/>
  <c r="BG1577" i="1"/>
  <c r="T1578" i="1"/>
  <c r="U1578" i="1"/>
  <c r="V1578" i="1"/>
  <c r="W1578" i="1"/>
  <c r="X1578" i="1"/>
  <c r="Y1578" i="1"/>
  <c r="Z1578" i="1"/>
  <c r="AB1578" i="1"/>
  <c r="AF1578" i="1"/>
  <c r="AI1578" i="1"/>
  <c r="AE1579" i="1"/>
  <c r="AC1579" i="1"/>
  <c r="AJ1578" i="1"/>
  <c r="AK1578" i="1"/>
  <c r="AM1578" i="1"/>
  <c r="BF1578" i="1"/>
  <c r="BG1578" i="1"/>
  <c r="T1579" i="1"/>
  <c r="U1579" i="1"/>
  <c r="V1579" i="1"/>
  <c r="W1579" i="1"/>
  <c r="X1579" i="1"/>
  <c r="Y1579" i="1"/>
  <c r="Z1579" i="1"/>
  <c r="AB1579" i="1"/>
  <c r="AF1579" i="1"/>
  <c r="AI1579" i="1"/>
  <c r="AE1580" i="1"/>
  <c r="AC1580" i="1"/>
  <c r="AJ1579" i="1"/>
  <c r="AK1579" i="1"/>
  <c r="AM1579" i="1"/>
  <c r="BF1579" i="1"/>
  <c r="BG1579" i="1"/>
  <c r="T1580" i="1"/>
  <c r="U1580" i="1"/>
  <c r="V1580" i="1"/>
  <c r="W1580" i="1"/>
  <c r="X1580" i="1"/>
  <c r="Y1580" i="1"/>
  <c r="Z1580" i="1"/>
  <c r="AB1580" i="1"/>
  <c r="AF1580" i="1"/>
  <c r="AI1580" i="1"/>
  <c r="H1581" i="1"/>
  <c r="AE1581" i="1"/>
  <c r="I1581" i="1"/>
  <c r="J1581" i="1"/>
  <c r="K1581" i="1"/>
  <c r="AC1581" i="1"/>
  <c r="AJ1580" i="1"/>
  <c r="AK1580" i="1"/>
  <c r="AM1580" i="1"/>
  <c r="BG1580" i="1"/>
  <c r="T1581" i="1"/>
  <c r="U1581" i="1"/>
  <c r="V1581" i="1"/>
  <c r="W1581" i="1"/>
  <c r="X1581" i="1"/>
  <c r="Y1581" i="1"/>
  <c r="Z1581" i="1"/>
  <c r="AB1581" i="1"/>
  <c r="AF1581" i="1"/>
  <c r="AI1581" i="1"/>
  <c r="H1582" i="1"/>
  <c r="AE1582" i="1"/>
  <c r="I1582" i="1"/>
  <c r="J1582" i="1"/>
  <c r="K1582" i="1"/>
  <c r="AC1582" i="1"/>
  <c r="AJ1581" i="1"/>
  <c r="AK1581" i="1"/>
  <c r="AM1581" i="1"/>
  <c r="BF1581" i="1"/>
  <c r="BG1581" i="1"/>
  <c r="T1582" i="1"/>
  <c r="U1582" i="1"/>
  <c r="V1582" i="1"/>
  <c r="W1582" i="1"/>
  <c r="X1582" i="1"/>
  <c r="Y1582" i="1"/>
  <c r="Z1582" i="1"/>
  <c r="AB1582" i="1"/>
  <c r="AF1582" i="1"/>
  <c r="AI1582" i="1"/>
  <c r="AE1583" i="1"/>
  <c r="AC1583" i="1"/>
  <c r="AJ1582" i="1"/>
  <c r="AK1582" i="1"/>
  <c r="AM1582" i="1"/>
  <c r="BF1582" i="1"/>
  <c r="BG1582" i="1"/>
  <c r="T1583" i="1"/>
  <c r="U1583" i="1"/>
  <c r="V1583" i="1"/>
  <c r="W1583" i="1"/>
  <c r="X1583" i="1"/>
  <c r="Y1583" i="1"/>
  <c r="Z1583" i="1"/>
  <c r="AB1583" i="1"/>
  <c r="AF1583" i="1"/>
  <c r="AI1583" i="1"/>
  <c r="AE1584" i="1"/>
  <c r="AC1584" i="1"/>
  <c r="AJ1583" i="1"/>
  <c r="AK1583" i="1"/>
  <c r="AM1583" i="1"/>
  <c r="BF1583" i="1"/>
  <c r="BG1583" i="1"/>
  <c r="T1584" i="1"/>
  <c r="U1584" i="1"/>
  <c r="V1584" i="1"/>
  <c r="W1584" i="1"/>
  <c r="X1584" i="1"/>
  <c r="Y1584" i="1"/>
  <c r="Z1584" i="1"/>
  <c r="AB1584" i="1"/>
  <c r="AF1584" i="1"/>
  <c r="AI1584" i="1"/>
  <c r="H1585" i="1"/>
  <c r="AE1585" i="1"/>
  <c r="I1585" i="1"/>
  <c r="J1585" i="1"/>
  <c r="K1585" i="1"/>
  <c r="AC1585" i="1"/>
  <c r="AJ1584" i="1"/>
  <c r="AK1584" i="1"/>
  <c r="AM1584" i="1"/>
  <c r="BG1584" i="1"/>
  <c r="T1585" i="1"/>
  <c r="U1585" i="1"/>
  <c r="V1585" i="1"/>
  <c r="W1585" i="1"/>
  <c r="X1585" i="1"/>
  <c r="Y1585" i="1"/>
  <c r="Z1585" i="1"/>
  <c r="AB1585" i="1"/>
  <c r="AF1585" i="1"/>
  <c r="AI1585" i="1"/>
  <c r="AE1586" i="1"/>
  <c r="AC1586" i="1"/>
  <c r="AJ1585" i="1"/>
  <c r="AK1585" i="1"/>
  <c r="AM1585" i="1"/>
  <c r="BF1585" i="1"/>
  <c r="BG1585" i="1"/>
  <c r="T1586" i="1"/>
  <c r="U1586" i="1"/>
  <c r="V1586" i="1"/>
  <c r="W1586" i="1"/>
  <c r="X1586" i="1"/>
  <c r="Y1586" i="1"/>
  <c r="Z1586" i="1"/>
  <c r="AB1586" i="1"/>
  <c r="AF1586" i="1"/>
  <c r="AI1586" i="1"/>
  <c r="AE1587" i="1"/>
  <c r="AC1587" i="1"/>
  <c r="AJ1586" i="1"/>
  <c r="AK1586" i="1"/>
  <c r="AM1586" i="1"/>
  <c r="BF1586" i="1"/>
  <c r="BG1586" i="1"/>
  <c r="T1587" i="1"/>
  <c r="U1587" i="1"/>
  <c r="V1587" i="1"/>
  <c r="W1587" i="1"/>
  <c r="X1587" i="1"/>
  <c r="Y1587" i="1"/>
  <c r="Z1587" i="1"/>
  <c r="AB1587" i="1"/>
  <c r="AF1587" i="1"/>
  <c r="AI1587" i="1"/>
  <c r="AE1588" i="1"/>
  <c r="AC1588" i="1"/>
  <c r="AJ1587" i="1"/>
  <c r="AK1587" i="1"/>
  <c r="AM1587" i="1"/>
  <c r="BF1587" i="1"/>
  <c r="BG1587" i="1"/>
  <c r="T1588" i="1"/>
  <c r="U1588" i="1"/>
  <c r="V1588" i="1"/>
  <c r="W1588" i="1"/>
  <c r="X1588" i="1"/>
  <c r="Y1588" i="1"/>
  <c r="Z1588" i="1"/>
  <c r="AB1588" i="1"/>
  <c r="AF1588" i="1"/>
  <c r="AI1588" i="1"/>
  <c r="AE1589" i="1"/>
  <c r="AC1589" i="1"/>
  <c r="AJ1588" i="1"/>
  <c r="AK1588" i="1"/>
  <c r="AM1588" i="1"/>
  <c r="BF1588" i="1"/>
  <c r="BG1588" i="1"/>
  <c r="T1589" i="1"/>
  <c r="U1589" i="1"/>
  <c r="V1589" i="1"/>
  <c r="W1589" i="1"/>
  <c r="X1589" i="1"/>
  <c r="Y1589" i="1"/>
  <c r="Z1589" i="1"/>
  <c r="AB1589" i="1"/>
  <c r="AF1589" i="1"/>
  <c r="AI1589" i="1"/>
  <c r="H1590" i="1"/>
  <c r="AE1590" i="1"/>
  <c r="I1590" i="1"/>
  <c r="J1590" i="1"/>
  <c r="K1590" i="1"/>
  <c r="AC1590" i="1"/>
  <c r="AJ1589" i="1"/>
  <c r="AK1589" i="1"/>
  <c r="AM1589" i="1"/>
  <c r="BG1589" i="1"/>
  <c r="T1590" i="1"/>
  <c r="U1590" i="1"/>
  <c r="V1590" i="1"/>
  <c r="W1590" i="1"/>
  <c r="X1590" i="1"/>
  <c r="Y1590" i="1"/>
  <c r="Z1590" i="1"/>
  <c r="AB1590" i="1"/>
  <c r="AF1590" i="1"/>
  <c r="AI1590" i="1"/>
  <c r="H1591" i="1"/>
  <c r="AE1591" i="1"/>
  <c r="I1591" i="1"/>
  <c r="J1591" i="1"/>
  <c r="K1591" i="1"/>
  <c r="AC1591" i="1"/>
  <c r="AJ1590" i="1"/>
  <c r="AK1590" i="1"/>
  <c r="AM1590" i="1"/>
  <c r="BF1590" i="1"/>
  <c r="BG1590" i="1"/>
  <c r="T1591" i="1"/>
  <c r="U1591" i="1"/>
  <c r="V1591" i="1"/>
  <c r="W1591" i="1"/>
  <c r="X1591" i="1"/>
  <c r="Y1591" i="1"/>
  <c r="Z1591" i="1"/>
  <c r="AB1591" i="1"/>
  <c r="AF1591" i="1"/>
  <c r="AI1591" i="1"/>
  <c r="H1592" i="1"/>
  <c r="AE1592" i="1"/>
  <c r="I1592" i="1"/>
  <c r="J1592" i="1"/>
  <c r="K1592" i="1"/>
  <c r="AC1592" i="1"/>
  <c r="AJ1591" i="1"/>
  <c r="AK1591" i="1"/>
  <c r="AM1591" i="1"/>
  <c r="BF1591" i="1"/>
  <c r="BG1591" i="1"/>
  <c r="T1592" i="1"/>
  <c r="U1592" i="1"/>
  <c r="V1592" i="1"/>
  <c r="W1592" i="1"/>
  <c r="X1592" i="1"/>
  <c r="Y1592" i="1"/>
  <c r="Z1592" i="1"/>
  <c r="AB1592" i="1"/>
  <c r="AF1592" i="1"/>
  <c r="AI1592" i="1"/>
  <c r="H1593" i="1"/>
  <c r="AE1593" i="1"/>
  <c r="I1593" i="1"/>
  <c r="J1593" i="1"/>
  <c r="K1593" i="1"/>
  <c r="AC1593" i="1"/>
  <c r="AJ1592" i="1"/>
  <c r="AK1592" i="1"/>
  <c r="AM1592" i="1"/>
  <c r="BF1592" i="1"/>
  <c r="BG1592" i="1"/>
  <c r="T1593" i="1"/>
  <c r="U1593" i="1"/>
  <c r="V1593" i="1"/>
  <c r="W1593" i="1"/>
  <c r="X1593" i="1"/>
  <c r="Y1593" i="1"/>
  <c r="Z1593" i="1"/>
  <c r="AB1593" i="1"/>
  <c r="AF1593" i="1"/>
  <c r="AI1593" i="1"/>
  <c r="AE1594" i="1"/>
  <c r="AC1594" i="1"/>
  <c r="AJ1593" i="1"/>
  <c r="AK1593" i="1"/>
  <c r="AM1593" i="1"/>
  <c r="BF1593" i="1"/>
  <c r="BG1593" i="1"/>
  <c r="T1594" i="1"/>
  <c r="U1594" i="1"/>
  <c r="V1594" i="1"/>
  <c r="W1594" i="1"/>
  <c r="X1594" i="1"/>
  <c r="Y1594" i="1"/>
  <c r="Z1594" i="1"/>
  <c r="AB1594" i="1"/>
  <c r="AF1594" i="1"/>
  <c r="AI1594" i="1"/>
  <c r="AE1595" i="1"/>
  <c r="AC1595" i="1"/>
  <c r="AJ1594" i="1"/>
  <c r="AK1594" i="1"/>
  <c r="AM1594" i="1"/>
  <c r="BF1594" i="1"/>
  <c r="BG1594" i="1"/>
  <c r="T1595" i="1"/>
  <c r="U1595" i="1"/>
  <c r="V1595" i="1"/>
  <c r="W1595" i="1"/>
  <c r="X1595" i="1"/>
  <c r="Y1595" i="1"/>
  <c r="Z1595" i="1"/>
  <c r="AB1595" i="1"/>
  <c r="AF1595" i="1"/>
  <c r="AI1595" i="1"/>
  <c r="AE1596" i="1"/>
  <c r="AC1596" i="1"/>
  <c r="AJ1595" i="1"/>
  <c r="AK1595" i="1"/>
  <c r="AM1595" i="1"/>
  <c r="BF1595" i="1"/>
  <c r="BG1595" i="1"/>
  <c r="T1596" i="1"/>
  <c r="U1596" i="1"/>
  <c r="V1596" i="1"/>
  <c r="W1596" i="1"/>
  <c r="X1596" i="1"/>
  <c r="Y1596" i="1"/>
  <c r="Z1596" i="1"/>
  <c r="AB1596" i="1"/>
  <c r="AF1596" i="1"/>
  <c r="AI1596" i="1"/>
  <c r="H1597" i="1"/>
  <c r="AE1597" i="1"/>
  <c r="I1597" i="1"/>
  <c r="J1597" i="1"/>
  <c r="K1597" i="1"/>
  <c r="AC1597" i="1"/>
  <c r="AJ1596" i="1"/>
  <c r="AK1596" i="1"/>
  <c r="AM1596" i="1"/>
  <c r="BG1596" i="1"/>
  <c r="T1597" i="1"/>
  <c r="U1597" i="1"/>
  <c r="V1597" i="1"/>
  <c r="W1597" i="1"/>
  <c r="X1597" i="1"/>
  <c r="Y1597" i="1"/>
  <c r="Z1597" i="1"/>
  <c r="AB1597" i="1"/>
  <c r="AF1597" i="1"/>
  <c r="AI1597" i="1"/>
  <c r="AE1598" i="1"/>
  <c r="AC1598" i="1"/>
  <c r="AJ1597" i="1"/>
  <c r="AK1597" i="1"/>
  <c r="AM1597" i="1"/>
  <c r="BF1597" i="1"/>
  <c r="BG1597" i="1"/>
  <c r="T1598" i="1"/>
  <c r="U1598" i="1"/>
  <c r="V1598" i="1"/>
  <c r="W1598" i="1"/>
  <c r="X1598" i="1"/>
  <c r="Y1598" i="1"/>
  <c r="Z1598" i="1"/>
  <c r="AB1598" i="1"/>
  <c r="AF1598" i="1"/>
  <c r="AI1598" i="1"/>
  <c r="AE1599" i="1"/>
  <c r="AC1599" i="1"/>
  <c r="AJ1598" i="1"/>
  <c r="AK1598" i="1"/>
  <c r="AM1598" i="1"/>
  <c r="BF1598" i="1"/>
  <c r="BG1598" i="1"/>
  <c r="T1599" i="1"/>
  <c r="U1599" i="1"/>
  <c r="V1599" i="1"/>
  <c r="W1599" i="1"/>
  <c r="X1599" i="1"/>
  <c r="Y1599" i="1"/>
  <c r="Z1599" i="1"/>
  <c r="AB1599" i="1"/>
  <c r="AF1599" i="1"/>
  <c r="AI1599" i="1"/>
  <c r="AE1600" i="1"/>
  <c r="AC1600" i="1"/>
  <c r="AJ1599" i="1"/>
  <c r="AK1599" i="1"/>
  <c r="AM1599" i="1"/>
  <c r="BF1599" i="1"/>
  <c r="BG1599" i="1"/>
  <c r="T1600" i="1"/>
  <c r="U1600" i="1"/>
  <c r="V1600" i="1"/>
  <c r="W1600" i="1"/>
  <c r="X1600" i="1"/>
  <c r="Y1600" i="1"/>
  <c r="Z1600" i="1"/>
  <c r="AB1600" i="1"/>
  <c r="AF1600" i="1"/>
  <c r="AI1600" i="1"/>
  <c r="H1601" i="1"/>
  <c r="AE1601" i="1"/>
  <c r="I1601" i="1"/>
  <c r="J1601" i="1"/>
  <c r="K1601" i="1"/>
  <c r="AC1601" i="1"/>
  <c r="AJ1600" i="1"/>
  <c r="AK1600" i="1"/>
  <c r="AM1600" i="1"/>
  <c r="BG1600" i="1"/>
  <c r="T1601" i="1"/>
  <c r="U1601" i="1"/>
  <c r="V1601" i="1"/>
  <c r="W1601" i="1"/>
  <c r="X1601" i="1"/>
  <c r="Y1601" i="1"/>
  <c r="Z1601" i="1"/>
  <c r="AB1601" i="1"/>
  <c r="AF1601" i="1"/>
  <c r="AI1601" i="1"/>
  <c r="AE1602" i="1"/>
  <c r="AC1602" i="1"/>
  <c r="AJ1601" i="1"/>
  <c r="AK1601" i="1"/>
  <c r="AM1601" i="1"/>
  <c r="BF1601" i="1"/>
  <c r="BG1601" i="1"/>
  <c r="T1602" i="1"/>
  <c r="U1602" i="1"/>
  <c r="V1602" i="1"/>
  <c r="W1602" i="1"/>
  <c r="X1602" i="1"/>
  <c r="Y1602" i="1"/>
  <c r="Z1602" i="1"/>
  <c r="AB1602" i="1"/>
  <c r="AF1602" i="1"/>
  <c r="AI1602" i="1"/>
  <c r="AE1603" i="1"/>
  <c r="AC1603" i="1"/>
  <c r="AJ1602" i="1"/>
  <c r="AK1602" i="1"/>
  <c r="AM1602" i="1"/>
  <c r="BF1602" i="1"/>
  <c r="BG1602" i="1"/>
  <c r="T1603" i="1"/>
  <c r="U1603" i="1"/>
  <c r="V1603" i="1"/>
  <c r="W1603" i="1"/>
  <c r="X1603" i="1"/>
  <c r="Y1603" i="1"/>
  <c r="Z1603" i="1"/>
  <c r="AB1603" i="1"/>
  <c r="AF1603" i="1"/>
  <c r="AI1603" i="1"/>
  <c r="AE1604" i="1"/>
  <c r="AC1604" i="1"/>
  <c r="AJ1603" i="1"/>
  <c r="AK1603" i="1"/>
  <c r="AM1603" i="1"/>
  <c r="BF1603" i="1"/>
  <c r="BG1603" i="1"/>
  <c r="T1604" i="1"/>
  <c r="U1604" i="1"/>
  <c r="V1604" i="1"/>
  <c r="W1604" i="1"/>
  <c r="X1604" i="1"/>
  <c r="Y1604" i="1"/>
  <c r="Z1604" i="1"/>
  <c r="AB1604" i="1"/>
  <c r="AF1604" i="1"/>
  <c r="AI1604" i="1"/>
  <c r="H1605" i="1"/>
  <c r="AE1605" i="1"/>
  <c r="I1605" i="1"/>
  <c r="J1605" i="1"/>
  <c r="K1605" i="1"/>
  <c r="AC1605" i="1"/>
  <c r="AJ1604" i="1"/>
  <c r="AK1604" i="1"/>
  <c r="AM1604" i="1"/>
  <c r="BG1604" i="1"/>
  <c r="T1605" i="1"/>
  <c r="U1605" i="1"/>
  <c r="V1605" i="1"/>
  <c r="W1605" i="1"/>
  <c r="X1605" i="1"/>
  <c r="Y1605" i="1"/>
  <c r="Z1605" i="1"/>
  <c r="AB1605" i="1"/>
  <c r="AF1605" i="1"/>
  <c r="AI1605" i="1"/>
  <c r="AE1606" i="1"/>
  <c r="AC1606" i="1"/>
  <c r="AJ1605" i="1"/>
  <c r="AK1605" i="1"/>
  <c r="AM1605" i="1"/>
  <c r="BF1605" i="1"/>
  <c r="BG1605" i="1"/>
  <c r="T1606" i="1"/>
  <c r="U1606" i="1"/>
  <c r="V1606" i="1"/>
  <c r="W1606" i="1"/>
  <c r="X1606" i="1"/>
  <c r="Y1606" i="1"/>
  <c r="Z1606" i="1"/>
  <c r="AB1606" i="1"/>
  <c r="AF1606" i="1"/>
  <c r="AI1606" i="1"/>
  <c r="AE1607" i="1"/>
  <c r="AC1607" i="1"/>
  <c r="AJ1606" i="1"/>
  <c r="AK1606" i="1"/>
  <c r="AM1606" i="1"/>
  <c r="BF1606" i="1"/>
  <c r="BG1606" i="1"/>
  <c r="T1607" i="1"/>
  <c r="U1607" i="1"/>
  <c r="V1607" i="1"/>
  <c r="W1607" i="1"/>
  <c r="X1607" i="1"/>
  <c r="Y1607" i="1"/>
  <c r="Z1607" i="1"/>
  <c r="AB1607" i="1"/>
  <c r="AF1607" i="1"/>
  <c r="AI1607" i="1"/>
  <c r="AE1608" i="1"/>
  <c r="AC1608" i="1"/>
  <c r="AJ1607" i="1"/>
  <c r="AK1607" i="1"/>
  <c r="AM1607" i="1"/>
  <c r="BF1607" i="1"/>
  <c r="BG1607" i="1"/>
  <c r="T1608" i="1"/>
  <c r="U1608" i="1"/>
  <c r="V1608" i="1"/>
  <c r="W1608" i="1"/>
  <c r="X1608" i="1"/>
  <c r="Y1608" i="1"/>
  <c r="Z1608" i="1"/>
  <c r="AB1608" i="1"/>
  <c r="AF1608" i="1"/>
  <c r="AI1608" i="1"/>
  <c r="H1609" i="1"/>
  <c r="AE1609" i="1"/>
  <c r="I1609" i="1"/>
  <c r="J1609" i="1"/>
  <c r="K1609" i="1"/>
  <c r="AC1609" i="1"/>
  <c r="AJ1608" i="1"/>
  <c r="AK1608" i="1"/>
  <c r="AM1608" i="1"/>
  <c r="BG1608" i="1"/>
  <c r="T1609" i="1"/>
  <c r="U1609" i="1"/>
  <c r="V1609" i="1"/>
  <c r="W1609" i="1"/>
  <c r="X1609" i="1"/>
  <c r="Y1609" i="1"/>
  <c r="Z1609" i="1"/>
  <c r="AB1609" i="1"/>
  <c r="AF1609" i="1"/>
  <c r="AI1609" i="1"/>
  <c r="H1610" i="1"/>
  <c r="AE1610" i="1"/>
  <c r="I1610" i="1"/>
  <c r="J1610" i="1"/>
  <c r="K1610" i="1"/>
  <c r="AC1610" i="1"/>
  <c r="AJ1609" i="1"/>
  <c r="AK1609" i="1"/>
  <c r="AM1609" i="1"/>
  <c r="BF1609" i="1"/>
  <c r="BG1609" i="1"/>
  <c r="T1610" i="1"/>
  <c r="U1610" i="1"/>
  <c r="V1610" i="1"/>
  <c r="W1610" i="1"/>
  <c r="X1610" i="1"/>
  <c r="Y1610" i="1"/>
  <c r="Z1610" i="1"/>
  <c r="AB1610" i="1"/>
  <c r="AF1610" i="1"/>
  <c r="AI1610" i="1"/>
  <c r="AE1611" i="1"/>
  <c r="AC1611" i="1"/>
  <c r="AJ1610" i="1"/>
  <c r="AK1610" i="1"/>
  <c r="AM1610" i="1"/>
  <c r="BF1610" i="1"/>
  <c r="BG1610" i="1"/>
  <c r="T1611" i="1"/>
  <c r="U1611" i="1"/>
  <c r="V1611" i="1"/>
  <c r="W1611" i="1"/>
  <c r="X1611" i="1"/>
  <c r="Y1611" i="1"/>
  <c r="Z1611" i="1"/>
  <c r="AB1611" i="1"/>
  <c r="AF1611" i="1"/>
  <c r="AI1611" i="1"/>
  <c r="AE1612" i="1"/>
  <c r="AC1612" i="1"/>
  <c r="AJ1611" i="1"/>
  <c r="AK1611" i="1"/>
  <c r="AM1611" i="1"/>
  <c r="BF1611" i="1"/>
  <c r="BG1611" i="1"/>
  <c r="T1612" i="1"/>
  <c r="U1612" i="1"/>
  <c r="V1612" i="1"/>
  <c r="W1612" i="1"/>
  <c r="X1612" i="1"/>
  <c r="Y1612" i="1"/>
  <c r="Z1612" i="1"/>
  <c r="AB1612" i="1"/>
  <c r="AF1612" i="1"/>
  <c r="AI1612" i="1"/>
  <c r="AE1613" i="1"/>
  <c r="AC1613" i="1"/>
  <c r="AJ1612" i="1"/>
  <c r="AK1612" i="1"/>
  <c r="AM1612" i="1"/>
  <c r="BF1612" i="1"/>
  <c r="BG1612" i="1"/>
  <c r="T1613" i="1"/>
  <c r="U1613" i="1"/>
  <c r="V1613" i="1"/>
  <c r="W1613" i="1"/>
  <c r="X1613" i="1"/>
  <c r="Y1613" i="1"/>
  <c r="Z1613" i="1"/>
  <c r="AB1613" i="1"/>
  <c r="AF1613" i="1"/>
  <c r="AI1613" i="1"/>
  <c r="H1614" i="1"/>
  <c r="AE1614" i="1"/>
  <c r="I1614" i="1"/>
  <c r="J1614" i="1"/>
  <c r="K1614" i="1"/>
  <c r="AC1614" i="1"/>
  <c r="AJ1613" i="1"/>
  <c r="AK1613" i="1"/>
  <c r="AM1613" i="1"/>
  <c r="BG1613" i="1"/>
  <c r="T1614" i="1"/>
  <c r="U1614" i="1"/>
  <c r="V1614" i="1"/>
  <c r="W1614" i="1"/>
  <c r="X1614" i="1"/>
  <c r="Y1614" i="1"/>
  <c r="Z1614" i="1"/>
  <c r="AB1614" i="1"/>
  <c r="AF1614" i="1"/>
  <c r="AI1614" i="1"/>
  <c r="H1615" i="1"/>
  <c r="AE1615" i="1"/>
  <c r="I1615" i="1"/>
  <c r="J1615" i="1"/>
  <c r="K1615" i="1"/>
  <c r="AC1615" i="1"/>
  <c r="AJ1614" i="1"/>
  <c r="AK1614" i="1"/>
  <c r="AM1614" i="1"/>
  <c r="BF1614" i="1"/>
  <c r="BG1614" i="1"/>
  <c r="T1615" i="1"/>
  <c r="U1615" i="1"/>
  <c r="V1615" i="1"/>
  <c r="W1615" i="1"/>
  <c r="X1615" i="1"/>
  <c r="Y1615" i="1"/>
  <c r="Z1615" i="1"/>
  <c r="AB1615" i="1"/>
  <c r="AF1615" i="1"/>
  <c r="AI1615" i="1"/>
  <c r="H1616" i="1"/>
  <c r="AE1616" i="1"/>
  <c r="I1616" i="1"/>
  <c r="J1616" i="1"/>
  <c r="K1616" i="1"/>
  <c r="AC1616" i="1"/>
  <c r="AJ1615" i="1"/>
  <c r="AK1615" i="1"/>
  <c r="AM1615" i="1"/>
  <c r="BF1615" i="1"/>
  <c r="BG1615" i="1"/>
  <c r="T1616" i="1"/>
  <c r="U1616" i="1"/>
  <c r="V1616" i="1"/>
  <c r="W1616" i="1"/>
  <c r="X1616" i="1"/>
  <c r="Y1616" i="1"/>
  <c r="Z1616" i="1"/>
  <c r="AB1616" i="1"/>
  <c r="AF1616" i="1"/>
  <c r="AI1616" i="1"/>
  <c r="AE1617" i="1"/>
  <c r="AC1617" i="1"/>
  <c r="AJ1616" i="1"/>
  <c r="AK1616" i="1"/>
  <c r="AM1616" i="1"/>
  <c r="BF1616" i="1"/>
  <c r="BG1616" i="1"/>
  <c r="T1617" i="1"/>
  <c r="U1617" i="1"/>
  <c r="V1617" i="1"/>
  <c r="W1617" i="1"/>
  <c r="X1617" i="1"/>
  <c r="Y1617" i="1"/>
  <c r="Z1617" i="1"/>
  <c r="AB1617" i="1"/>
  <c r="AF1617" i="1"/>
  <c r="AI1617" i="1"/>
  <c r="AE1618" i="1"/>
  <c r="AC1618" i="1"/>
  <c r="AJ1617" i="1"/>
  <c r="AK1617" i="1"/>
  <c r="AM1617" i="1"/>
  <c r="BF1617" i="1"/>
  <c r="BG1617" i="1"/>
  <c r="T1618" i="1"/>
  <c r="U1618" i="1"/>
  <c r="V1618" i="1"/>
  <c r="W1618" i="1"/>
  <c r="X1618" i="1"/>
  <c r="Y1618" i="1"/>
  <c r="Z1618" i="1"/>
  <c r="AB1618" i="1"/>
  <c r="AF1618" i="1"/>
  <c r="AI1618" i="1"/>
  <c r="H1619" i="1"/>
  <c r="AE1619" i="1"/>
  <c r="I1619" i="1"/>
  <c r="J1619" i="1"/>
  <c r="K1619" i="1"/>
  <c r="AC1619" i="1"/>
  <c r="AJ1618" i="1"/>
  <c r="AK1618" i="1"/>
  <c r="AM1618" i="1"/>
  <c r="BG1618" i="1"/>
  <c r="T1619" i="1"/>
  <c r="U1619" i="1"/>
  <c r="V1619" i="1"/>
  <c r="W1619" i="1"/>
  <c r="X1619" i="1"/>
  <c r="Y1619" i="1"/>
  <c r="Z1619" i="1"/>
  <c r="AB1619" i="1"/>
  <c r="AF1619" i="1"/>
  <c r="AI1619" i="1"/>
  <c r="AE1620" i="1"/>
  <c r="AC1620" i="1"/>
  <c r="AJ1619" i="1"/>
  <c r="AK1619" i="1"/>
  <c r="AM1619" i="1"/>
  <c r="BF1619" i="1"/>
  <c r="BG1619" i="1"/>
  <c r="T1620" i="1"/>
  <c r="U1620" i="1"/>
  <c r="V1620" i="1"/>
  <c r="W1620" i="1"/>
  <c r="X1620" i="1"/>
  <c r="Y1620" i="1"/>
  <c r="Z1620" i="1"/>
  <c r="AB1620" i="1"/>
  <c r="AF1620" i="1"/>
  <c r="AI1620" i="1"/>
  <c r="AE1621" i="1"/>
  <c r="AC1621" i="1"/>
  <c r="AJ1620" i="1"/>
  <c r="AK1620" i="1"/>
  <c r="AM1620" i="1"/>
  <c r="BF1620" i="1"/>
  <c r="BG1620" i="1"/>
  <c r="T1621" i="1"/>
  <c r="U1621" i="1"/>
  <c r="V1621" i="1"/>
  <c r="W1621" i="1"/>
  <c r="X1621" i="1"/>
  <c r="Y1621" i="1"/>
  <c r="Z1621" i="1"/>
  <c r="AB1621" i="1"/>
  <c r="AF1621" i="1"/>
  <c r="AI1621" i="1"/>
  <c r="H1622" i="1"/>
  <c r="AE1622" i="1"/>
  <c r="I1622" i="1"/>
  <c r="J1622" i="1"/>
  <c r="K1622" i="1"/>
  <c r="AC1622" i="1"/>
  <c r="AJ1621" i="1"/>
  <c r="AK1621" i="1"/>
  <c r="AM1621" i="1"/>
  <c r="BG1621" i="1"/>
  <c r="T1622" i="1"/>
  <c r="U1622" i="1"/>
  <c r="V1622" i="1"/>
  <c r="W1622" i="1"/>
  <c r="X1622" i="1"/>
  <c r="Y1622" i="1"/>
  <c r="Z1622" i="1"/>
  <c r="AB1622" i="1"/>
  <c r="AF1622" i="1"/>
  <c r="AI1622" i="1"/>
  <c r="AE1623" i="1"/>
  <c r="AC1623" i="1"/>
  <c r="AJ1622" i="1"/>
  <c r="AK1622" i="1"/>
  <c r="AM1622" i="1"/>
  <c r="BF1622" i="1"/>
  <c r="BG1622" i="1"/>
  <c r="T1623" i="1"/>
  <c r="U1623" i="1"/>
  <c r="V1623" i="1"/>
  <c r="W1623" i="1"/>
  <c r="X1623" i="1"/>
  <c r="Y1623" i="1"/>
  <c r="Z1623" i="1"/>
  <c r="AB1623" i="1"/>
  <c r="AF1623" i="1"/>
  <c r="AI1623" i="1"/>
  <c r="AE1624" i="1"/>
  <c r="AC1624" i="1"/>
  <c r="AJ1623" i="1"/>
  <c r="AK1623" i="1"/>
  <c r="AM1623" i="1"/>
  <c r="BF1623" i="1"/>
  <c r="BG1623" i="1"/>
  <c r="T1624" i="1"/>
  <c r="U1624" i="1"/>
  <c r="V1624" i="1"/>
  <c r="W1624" i="1"/>
  <c r="X1624" i="1"/>
  <c r="Y1624" i="1"/>
  <c r="Z1624" i="1"/>
  <c r="AB1624" i="1"/>
  <c r="AF1624" i="1"/>
  <c r="AI1624" i="1"/>
  <c r="AE1625" i="1"/>
  <c r="AC1625" i="1"/>
  <c r="AJ1624" i="1"/>
  <c r="AK1624" i="1"/>
  <c r="AM1624" i="1"/>
  <c r="BF1624" i="1"/>
  <c r="BG1624" i="1"/>
  <c r="T1625" i="1"/>
  <c r="U1625" i="1"/>
  <c r="V1625" i="1"/>
  <c r="W1625" i="1"/>
  <c r="X1625" i="1"/>
  <c r="Y1625" i="1"/>
  <c r="Z1625" i="1"/>
  <c r="AB1625" i="1"/>
  <c r="AF1625" i="1"/>
  <c r="AI1625" i="1"/>
  <c r="H1626" i="1"/>
  <c r="AE1626" i="1"/>
  <c r="I1626" i="1"/>
  <c r="J1626" i="1"/>
  <c r="K1626" i="1"/>
  <c r="AC1626" i="1"/>
  <c r="AJ1625" i="1"/>
  <c r="AK1625" i="1"/>
  <c r="AM1625" i="1"/>
  <c r="BG1625" i="1"/>
  <c r="T1626" i="1"/>
  <c r="U1626" i="1"/>
  <c r="V1626" i="1"/>
  <c r="W1626" i="1"/>
  <c r="X1626" i="1"/>
  <c r="Y1626" i="1"/>
  <c r="Z1626" i="1"/>
  <c r="AB1626" i="1"/>
  <c r="AF1626" i="1"/>
  <c r="AI1626" i="1"/>
  <c r="H1627" i="1"/>
  <c r="AE1627" i="1"/>
  <c r="I1627" i="1"/>
  <c r="J1627" i="1"/>
  <c r="K1627" i="1"/>
  <c r="AC1627" i="1"/>
  <c r="AJ1626" i="1"/>
  <c r="AK1626" i="1"/>
  <c r="AM1626" i="1"/>
  <c r="BF1626" i="1"/>
  <c r="BG1626" i="1"/>
  <c r="T1627" i="1"/>
  <c r="U1627" i="1"/>
  <c r="V1627" i="1"/>
  <c r="W1627" i="1"/>
  <c r="X1627" i="1"/>
  <c r="Y1627" i="1"/>
  <c r="Z1627" i="1"/>
  <c r="AB1627" i="1"/>
  <c r="AF1627" i="1"/>
  <c r="AI1627" i="1"/>
  <c r="H1628" i="1"/>
  <c r="AE1628" i="1"/>
  <c r="I1628" i="1"/>
  <c r="J1628" i="1"/>
  <c r="K1628" i="1"/>
  <c r="AC1628" i="1"/>
  <c r="AJ1627" i="1"/>
  <c r="AK1627" i="1"/>
  <c r="AM1627" i="1"/>
  <c r="BF1627" i="1"/>
  <c r="BG1627" i="1"/>
  <c r="T1628" i="1"/>
  <c r="U1628" i="1"/>
  <c r="V1628" i="1"/>
  <c r="W1628" i="1"/>
  <c r="X1628" i="1"/>
  <c r="Y1628" i="1"/>
  <c r="Z1628" i="1"/>
  <c r="AB1628" i="1"/>
  <c r="AF1628" i="1"/>
  <c r="AI1628" i="1"/>
  <c r="AE1629" i="1"/>
  <c r="AC1629" i="1"/>
  <c r="AJ1628" i="1"/>
  <c r="AK1628" i="1"/>
  <c r="AM1628" i="1"/>
  <c r="BF1628" i="1"/>
  <c r="BG1628" i="1"/>
  <c r="T1629" i="1"/>
  <c r="U1629" i="1"/>
  <c r="V1629" i="1"/>
  <c r="W1629" i="1"/>
  <c r="X1629" i="1"/>
  <c r="Y1629" i="1"/>
  <c r="Z1629" i="1"/>
  <c r="AB1629" i="1"/>
  <c r="AF1629" i="1"/>
  <c r="AI1629" i="1"/>
  <c r="AE1630" i="1"/>
  <c r="AC1630" i="1"/>
  <c r="AJ1629" i="1"/>
  <c r="AK1629" i="1"/>
  <c r="AM1629" i="1"/>
  <c r="BF1629" i="1"/>
  <c r="BG1629" i="1"/>
  <c r="T1630" i="1"/>
  <c r="U1630" i="1"/>
  <c r="V1630" i="1"/>
  <c r="W1630" i="1"/>
  <c r="X1630" i="1"/>
  <c r="Y1630" i="1"/>
  <c r="Z1630" i="1"/>
  <c r="AB1630" i="1"/>
  <c r="AF1630" i="1"/>
  <c r="AI1630" i="1"/>
  <c r="AE1631" i="1"/>
  <c r="AC1631" i="1"/>
  <c r="AJ1630" i="1"/>
  <c r="AK1630" i="1"/>
  <c r="AM1630" i="1"/>
  <c r="BF1630" i="1"/>
  <c r="BG1630" i="1"/>
  <c r="T1631" i="1"/>
  <c r="U1631" i="1"/>
  <c r="V1631" i="1"/>
  <c r="W1631" i="1"/>
  <c r="X1631" i="1"/>
  <c r="Y1631" i="1"/>
  <c r="Z1631" i="1"/>
  <c r="AB1631" i="1"/>
  <c r="AF1631" i="1"/>
  <c r="AI1631" i="1"/>
  <c r="H1632" i="1"/>
  <c r="AE1632" i="1"/>
  <c r="I1632" i="1"/>
  <c r="J1632" i="1"/>
  <c r="K1632" i="1"/>
  <c r="AC1632" i="1"/>
  <c r="AJ1631" i="1"/>
  <c r="AK1631" i="1"/>
  <c r="AM1631" i="1"/>
  <c r="BG1631" i="1"/>
  <c r="T1632" i="1"/>
  <c r="U1632" i="1"/>
  <c r="V1632" i="1"/>
  <c r="W1632" i="1"/>
  <c r="X1632" i="1"/>
  <c r="Y1632" i="1"/>
  <c r="Z1632" i="1"/>
  <c r="AB1632" i="1"/>
  <c r="AF1632" i="1"/>
  <c r="AI1632" i="1"/>
  <c r="AE1633" i="1"/>
  <c r="AC1633" i="1"/>
  <c r="AJ1632" i="1"/>
  <c r="AK1632" i="1"/>
  <c r="AM1632" i="1"/>
  <c r="BF1632" i="1"/>
  <c r="BG1632" i="1"/>
  <c r="T1633" i="1"/>
  <c r="U1633" i="1"/>
  <c r="V1633" i="1"/>
  <c r="W1633" i="1"/>
  <c r="X1633" i="1"/>
  <c r="Y1633" i="1"/>
  <c r="Z1633" i="1"/>
  <c r="AB1633" i="1"/>
  <c r="AF1633" i="1"/>
  <c r="AI1633" i="1"/>
  <c r="AE1634" i="1"/>
  <c r="AC1634" i="1"/>
  <c r="AJ1633" i="1"/>
  <c r="AK1633" i="1"/>
  <c r="AM1633" i="1"/>
  <c r="BF1633" i="1"/>
  <c r="BG1633" i="1"/>
  <c r="T1634" i="1"/>
  <c r="U1634" i="1"/>
  <c r="V1634" i="1"/>
  <c r="W1634" i="1"/>
  <c r="X1634" i="1"/>
  <c r="Y1634" i="1"/>
  <c r="Z1634" i="1"/>
  <c r="AB1634" i="1"/>
  <c r="AF1634" i="1"/>
  <c r="AI1634" i="1"/>
  <c r="H1635" i="1"/>
  <c r="AE1635" i="1"/>
  <c r="I1635" i="1"/>
  <c r="J1635" i="1"/>
  <c r="K1635" i="1"/>
  <c r="AC1635" i="1"/>
  <c r="AJ1634" i="1"/>
  <c r="AK1634" i="1"/>
  <c r="AM1634" i="1"/>
  <c r="BG1634" i="1"/>
  <c r="T1635" i="1"/>
  <c r="U1635" i="1"/>
  <c r="V1635" i="1"/>
  <c r="W1635" i="1"/>
  <c r="X1635" i="1"/>
  <c r="Y1635" i="1"/>
  <c r="Z1635" i="1"/>
  <c r="AB1635" i="1"/>
  <c r="AF1635" i="1"/>
  <c r="AI1635" i="1"/>
  <c r="H1636" i="1"/>
  <c r="AE1636" i="1"/>
  <c r="I1636" i="1"/>
  <c r="J1636" i="1"/>
  <c r="K1636" i="1"/>
  <c r="AC1636" i="1"/>
  <c r="AJ1635" i="1"/>
  <c r="AK1635" i="1"/>
  <c r="AM1635" i="1"/>
  <c r="BF1635" i="1"/>
  <c r="BG1635" i="1"/>
  <c r="T1636" i="1"/>
  <c r="U1636" i="1"/>
  <c r="V1636" i="1"/>
  <c r="W1636" i="1"/>
  <c r="X1636" i="1"/>
  <c r="Y1636" i="1"/>
  <c r="Z1636" i="1"/>
  <c r="AB1636" i="1"/>
  <c r="AF1636" i="1"/>
  <c r="AI1636" i="1"/>
  <c r="AE1637" i="1"/>
  <c r="AC1637" i="1"/>
  <c r="AJ1636" i="1"/>
  <c r="AK1636" i="1"/>
  <c r="AM1636" i="1"/>
  <c r="BF1636" i="1"/>
  <c r="BG1636" i="1"/>
  <c r="T1637" i="1"/>
  <c r="U1637" i="1"/>
  <c r="V1637" i="1"/>
  <c r="W1637" i="1"/>
  <c r="X1637" i="1"/>
  <c r="Y1637" i="1"/>
  <c r="Z1637" i="1"/>
  <c r="AB1637" i="1"/>
  <c r="AF1637" i="1"/>
  <c r="AI1637" i="1"/>
  <c r="AE1638" i="1"/>
  <c r="AC1638" i="1"/>
  <c r="AJ1637" i="1"/>
  <c r="AK1637" i="1"/>
  <c r="AM1637" i="1"/>
  <c r="BF1637" i="1"/>
  <c r="BG1637" i="1"/>
  <c r="T1638" i="1"/>
  <c r="U1638" i="1"/>
  <c r="V1638" i="1"/>
  <c r="W1638" i="1"/>
  <c r="X1638" i="1"/>
  <c r="Y1638" i="1"/>
  <c r="Z1638" i="1"/>
  <c r="AB1638" i="1"/>
  <c r="AF1638" i="1"/>
  <c r="AI1638" i="1"/>
  <c r="AE1639" i="1"/>
  <c r="AC1639" i="1"/>
  <c r="AJ1638" i="1"/>
  <c r="AK1638" i="1"/>
  <c r="AM1638" i="1"/>
  <c r="BF1638" i="1"/>
  <c r="BG1638" i="1"/>
  <c r="T1639" i="1"/>
  <c r="U1639" i="1"/>
  <c r="V1639" i="1"/>
  <c r="W1639" i="1"/>
  <c r="X1639" i="1"/>
  <c r="Y1639" i="1"/>
  <c r="Z1639" i="1"/>
  <c r="AB1639" i="1"/>
  <c r="AF1639" i="1"/>
  <c r="AI1639" i="1"/>
  <c r="H1640" i="1"/>
  <c r="AE1640" i="1"/>
  <c r="I1640" i="1"/>
  <c r="J1640" i="1"/>
  <c r="K1640" i="1"/>
  <c r="AC1640" i="1"/>
  <c r="AJ1639" i="1"/>
  <c r="AK1639" i="1"/>
  <c r="AM1639" i="1"/>
  <c r="BG1639" i="1"/>
  <c r="T1640" i="1"/>
  <c r="U1640" i="1"/>
  <c r="V1640" i="1"/>
  <c r="W1640" i="1"/>
  <c r="X1640" i="1"/>
  <c r="Y1640" i="1"/>
  <c r="Z1640" i="1"/>
  <c r="AB1640" i="1"/>
  <c r="AF1640" i="1"/>
  <c r="AI1640" i="1"/>
  <c r="H1641" i="1"/>
  <c r="AE1641" i="1"/>
  <c r="I1641" i="1"/>
  <c r="J1641" i="1"/>
  <c r="K1641" i="1"/>
  <c r="AC1641" i="1"/>
  <c r="AJ1640" i="1"/>
  <c r="AK1640" i="1"/>
  <c r="AM1640" i="1"/>
  <c r="BF1640" i="1"/>
  <c r="BG1640" i="1"/>
  <c r="T1641" i="1"/>
  <c r="U1641" i="1"/>
  <c r="V1641" i="1"/>
  <c r="W1641" i="1"/>
  <c r="X1641" i="1"/>
  <c r="Y1641" i="1"/>
  <c r="Z1641" i="1"/>
  <c r="AB1641" i="1"/>
  <c r="AF1641" i="1"/>
  <c r="AI1641" i="1"/>
  <c r="H1642" i="1"/>
  <c r="AE1642" i="1"/>
  <c r="I1642" i="1"/>
  <c r="J1642" i="1"/>
  <c r="K1642" i="1"/>
  <c r="AC1642" i="1"/>
  <c r="AJ1641" i="1"/>
  <c r="AK1641" i="1"/>
  <c r="AM1641" i="1"/>
  <c r="BF1641" i="1"/>
  <c r="BG1641" i="1"/>
  <c r="T1642" i="1"/>
  <c r="U1642" i="1"/>
  <c r="V1642" i="1"/>
  <c r="W1642" i="1"/>
  <c r="X1642" i="1"/>
  <c r="Y1642" i="1"/>
  <c r="Z1642" i="1"/>
  <c r="AB1642" i="1"/>
  <c r="AF1642" i="1"/>
  <c r="AI1642" i="1"/>
  <c r="AE1643" i="1"/>
  <c r="AC1643" i="1"/>
  <c r="AJ1642" i="1"/>
  <c r="AK1642" i="1"/>
  <c r="AM1642" i="1"/>
  <c r="BF1642" i="1"/>
  <c r="BG1642" i="1"/>
  <c r="T1643" i="1"/>
  <c r="U1643" i="1"/>
  <c r="V1643" i="1"/>
  <c r="W1643" i="1"/>
  <c r="X1643" i="1"/>
  <c r="Y1643" i="1"/>
  <c r="Z1643" i="1"/>
  <c r="AB1643" i="1"/>
  <c r="AF1643" i="1"/>
  <c r="AI1643" i="1"/>
  <c r="AE1644" i="1"/>
  <c r="AC1644" i="1"/>
  <c r="AJ1643" i="1"/>
  <c r="AK1643" i="1"/>
  <c r="AM1643" i="1"/>
  <c r="BF1643" i="1"/>
  <c r="BG1643" i="1"/>
  <c r="T1644" i="1"/>
  <c r="U1644" i="1"/>
  <c r="V1644" i="1"/>
  <c r="W1644" i="1"/>
  <c r="X1644" i="1"/>
  <c r="Y1644" i="1"/>
  <c r="Z1644" i="1"/>
  <c r="AB1644" i="1"/>
  <c r="AF1644" i="1"/>
  <c r="AI1644" i="1"/>
  <c r="H1645" i="1"/>
  <c r="AE1645" i="1"/>
  <c r="I1645" i="1"/>
  <c r="J1645" i="1"/>
  <c r="K1645" i="1"/>
  <c r="AC1645" i="1"/>
  <c r="AJ1644" i="1"/>
  <c r="AK1644" i="1"/>
  <c r="AM1644" i="1"/>
  <c r="BG1644" i="1"/>
  <c r="T1645" i="1"/>
  <c r="U1645" i="1"/>
  <c r="V1645" i="1"/>
  <c r="W1645" i="1"/>
  <c r="X1645" i="1"/>
  <c r="Y1645" i="1"/>
  <c r="Z1645" i="1"/>
  <c r="AB1645" i="1"/>
  <c r="AF1645" i="1"/>
  <c r="AI1645" i="1"/>
  <c r="AE1646" i="1"/>
  <c r="AC1646" i="1"/>
  <c r="AJ1645" i="1"/>
  <c r="AK1645" i="1"/>
  <c r="AM1645" i="1"/>
  <c r="BF1645" i="1"/>
  <c r="BG1645" i="1"/>
  <c r="T1646" i="1"/>
  <c r="U1646" i="1"/>
  <c r="V1646" i="1"/>
  <c r="W1646" i="1"/>
  <c r="X1646" i="1"/>
  <c r="Y1646" i="1"/>
  <c r="Z1646" i="1"/>
  <c r="AB1646" i="1"/>
  <c r="AF1646" i="1"/>
  <c r="AI1646" i="1"/>
  <c r="AE1647" i="1"/>
  <c r="AC1647" i="1"/>
  <c r="AJ1646" i="1"/>
  <c r="AK1646" i="1"/>
  <c r="AM1646" i="1"/>
  <c r="BF1646" i="1"/>
  <c r="BG1646" i="1"/>
  <c r="T1647" i="1"/>
  <c r="U1647" i="1"/>
  <c r="V1647" i="1"/>
  <c r="W1647" i="1"/>
  <c r="X1647" i="1"/>
  <c r="Y1647" i="1"/>
  <c r="Z1647" i="1"/>
  <c r="AB1647" i="1"/>
  <c r="AF1647" i="1"/>
  <c r="AI1647" i="1"/>
  <c r="H1648" i="1"/>
  <c r="AE1648" i="1"/>
  <c r="I1648" i="1"/>
  <c r="J1648" i="1"/>
  <c r="K1648" i="1"/>
  <c r="AC1648" i="1"/>
  <c r="AJ1647" i="1"/>
  <c r="AK1647" i="1"/>
  <c r="AM1647" i="1"/>
  <c r="BG1647" i="1"/>
  <c r="T1648" i="1"/>
  <c r="U1648" i="1"/>
  <c r="V1648" i="1"/>
  <c r="W1648" i="1"/>
  <c r="X1648" i="1"/>
  <c r="Y1648" i="1"/>
  <c r="Z1648" i="1"/>
  <c r="AB1648" i="1"/>
  <c r="AF1648" i="1"/>
  <c r="AI1648" i="1"/>
  <c r="H1649" i="1"/>
  <c r="AE1649" i="1"/>
  <c r="I1649" i="1"/>
  <c r="J1649" i="1"/>
  <c r="K1649" i="1"/>
  <c r="AC1649" i="1"/>
  <c r="AJ1648" i="1"/>
  <c r="AK1648" i="1"/>
  <c r="AM1648" i="1"/>
  <c r="BF1648" i="1"/>
  <c r="BG1648" i="1"/>
  <c r="T1649" i="1"/>
  <c r="U1649" i="1"/>
  <c r="V1649" i="1"/>
  <c r="W1649" i="1"/>
  <c r="X1649" i="1"/>
  <c r="Y1649" i="1"/>
  <c r="Z1649" i="1"/>
  <c r="AB1649" i="1"/>
  <c r="AF1649" i="1"/>
  <c r="AI1649" i="1"/>
  <c r="H1650" i="1"/>
  <c r="AE1650" i="1"/>
  <c r="I1650" i="1"/>
  <c r="J1650" i="1"/>
  <c r="K1650" i="1"/>
  <c r="AC1650" i="1"/>
  <c r="AJ1649" i="1"/>
  <c r="AK1649" i="1"/>
  <c r="AM1649" i="1"/>
  <c r="BF1649" i="1"/>
  <c r="BG1649" i="1"/>
  <c r="T1650" i="1"/>
  <c r="U1650" i="1"/>
  <c r="V1650" i="1"/>
  <c r="W1650" i="1"/>
  <c r="X1650" i="1"/>
  <c r="Y1650" i="1"/>
  <c r="Z1650" i="1"/>
  <c r="AB1650" i="1"/>
  <c r="AF1650" i="1"/>
  <c r="AI1650" i="1"/>
  <c r="AE1651" i="1"/>
  <c r="AC1651" i="1"/>
  <c r="AJ1650" i="1"/>
  <c r="AK1650" i="1"/>
  <c r="AM1650" i="1"/>
  <c r="BF1650" i="1"/>
  <c r="BG1650" i="1"/>
  <c r="T1651" i="1"/>
  <c r="U1651" i="1"/>
  <c r="V1651" i="1"/>
  <c r="W1651" i="1"/>
  <c r="X1651" i="1"/>
  <c r="Y1651" i="1"/>
  <c r="Z1651" i="1"/>
  <c r="AB1651" i="1"/>
  <c r="AF1651" i="1"/>
  <c r="AI1651" i="1"/>
  <c r="AE1652" i="1"/>
  <c r="AC1652" i="1"/>
  <c r="AJ1651" i="1"/>
  <c r="AK1651" i="1"/>
  <c r="AM1651" i="1"/>
  <c r="BF1651" i="1"/>
  <c r="BG1651" i="1"/>
  <c r="T1652" i="1"/>
  <c r="U1652" i="1"/>
  <c r="V1652" i="1"/>
  <c r="W1652" i="1"/>
  <c r="X1652" i="1"/>
  <c r="Y1652" i="1"/>
  <c r="Z1652" i="1"/>
  <c r="AB1652" i="1"/>
  <c r="AF1652" i="1"/>
  <c r="AI1652" i="1"/>
  <c r="H1653" i="1"/>
  <c r="AE1653" i="1"/>
  <c r="I1653" i="1"/>
  <c r="J1653" i="1"/>
  <c r="K1653" i="1"/>
  <c r="AC1653" i="1"/>
  <c r="AJ1652" i="1"/>
  <c r="AK1652" i="1"/>
  <c r="AM1652" i="1"/>
  <c r="BG1652" i="1"/>
  <c r="T1653" i="1"/>
  <c r="U1653" i="1"/>
  <c r="V1653" i="1"/>
  <c r="W1653" i="1"/>
  <c r="X1653" i="1"/>
  <c r="Y1653" i="1"/>
  <c r="Z1653" i="1"/>
  <c r="AB1653" i="1"/>
  <c r="AF1653" i="1"/>
  <c r="AI1653" i="1"/>
  <c r="H1654" i="1"/>
  <c r="AE1654" i="1"/>
  <c r="I1654" i="1"/>
  <c r="J1654" i="1"/>
  <c r="K1654" i="1"/>
  <c r="AC1654" i="1"/>
  <c r="AJ1653" i="1"/>
  <c r="AK1653" i="1"/>
  <c r="AM1653" i="1"/>
  <c r="BF1653" i="1"/>
  <c r="BG1653" i="1"/>
  <c r="T1654" i="1"/>
  <c r="U1654" i="1"/>
  <c r="V1654" i="1"/>
  <c r="W1654" i="1"/>
  <c r="X1654" i="1"/>
  <c r="Y1654" i="1"/>
  <c r="Z1654" i="1"/>
  <c r="AB1654" i="1"/>
  <c r="AF1654" i="1"/>
  <c r="AI1654" i="1"/>
  <c r="AE1655" i="1"/>
  <c r="AC1655" i="1"/>
  <c r="AJ1654" i="1"/>
  <c r="AK1654" i="1"/>
  <c r="AM1654" i="1"/>
  <c r="BF1654" i="1"/>
  <c r="BG1654" i="1"/>
  <c r="T1655" i="1"/>
  <c r="U1655" i="1"/>
  <c r="V1655" i="1"/>
  <c r="W1655" i="1"/>
  <c r="X1655" i="1"/>
  <c r="Y1655" i="1"/>
  <c r="Z1655" i="1"/>
  <c r="AB1655" i="1"/>
  <c r="AF1655" i="1"/>
  <c r="AI1655" i="1"/>
  <c r="AE1656" i="1"/>
  <c r="AC1656" i="1"/>
  <c r="AJ1655" i="1"/>
  <c r="AK1655" i="1"/>
  <c r="AM1655" i="1"/>
  <c r="BF1655" i="1"/>
  <c r="BG1655" i="1"/>
  <c r="T1656" i="1"/>
  <c r="U1656" i="1"/>
  <c r="V1656" i="1"/>
  <c r="W1656" i="1"/>
  <c r="X1656" i="1"/>
  <c r="Y1656" i="1"/>
  <c r="Z1656" i="1"/>
  <c r="AB1656" i="1"/>
  <c r="AF1656" i="1"/>
  <c r="AI1656" i="1"/>
  <c r="H1657" i="1"/>
  <c r="AE1657" i="1"/>
  <c r="I1657" i="1"/>
  <c r="J1657" i="1"/>
  <c r="K1657" i="1"/>
  <c r="AC1657" i="1"/>
  <c r="AJ1656" i="1"/>
  <c r="AK1656" i="1"/>
  <c r="AM1656" i="1"/>
  <c r="BG1656" i="1"/>
  <c r="T1657" i="1"/>
  <c r="U1657" i="1"/>
  <c r="V1657" i="1"/>
  <c r="W1657" i="1"/>
  <c r="X1657" i="1"/>
  <c r="Y1657" i="1"/>
  <c r="Z1657" i="1"/>
  <c r="AB1657" i="1"/>
  <c r="AF1657" i="1"/>
  <c r="AI1657" i="1"/>
  <c r="AE1658" i="1"/>
  <c r="AC1658" i="1"/>
  <c r="AJ1657" i="1"/>
  <c r="AK1657" i="1"/>
  <c r="AM1657" i="1"/>
  <c r="BF1657" i="1"/>
  <c r="BG1657" i="1"/>
  <c r="T1658" i="1"/>
  <c r="U1658" i="1"/>
  <c r="V1658" i="1"/>
  <c r="W1658" i="1"/>
  <c r="X1658" i="1"/>
  <c r="Y1658" i="1"/>
  <c r="Z1658" i="1"/>
  <c r="AB1658" i="1"/>
  <c r="AF1658" i="1"/>
  <c r="AI1658" i="1"/>
  <c r="AE1659" i="1"/>
  <c r="AC1659" i="1"/>
  <c r="AJ1658" i="1"/>
  <c r="AK1658" i="1"/>
  <c r="AM1658" i="1"/>
  <c r="BF1658" i="1"/>
  <c r="BG1658" i="1"/>
  <c r="T1659" i="1"/>
  <c r="U1659" i="1"/>
  <c r="V1659" i="1"/>
  <c r="W1659" i="1"/>
  <c r="X1659" i="1"/>
  <c r="Y1659" i="1"/>
  <c r="Z1659" i="1"/>
  <c r="AB1659" i="1"/>
  <c r="AF1659" i="1"/>
  <c r="AI1659" i="1"/>
  <c r="H1660" i="1"/>
  <c r="AE1660" i="1"/>
  <c r="I1660" i="1"/>
  <c r="J1660" i="1"/>
  <c r="K1660" i="1"/>
  <c r="AC1660" i="1"/>
  <c r="AJ1659" i="1"/>
  <c r="AK1659" i="1"/>
  <c r="AM1659" i="1"/>
  <c r="BG1659" i="1"/>
  <c r="T1660" i="1"/>
  <c r="U1660" i="1"/>
  <c r="V1660" i="1"/>
  <c r="W1660" i="1"/>
  <c r="X1660" i="1"/>
  <c r="Y1660" i="1"/>
  <c r="Z1660" i="1"/>
  <c r="AB1660" i="1"/>
  <c r="AF1660" i="1"/>
  <c r="AI1660" i="1"/>
  <c r="H1661" i="1"/>
  <c r="AE1661" i="1"/>
  <c r="I1661" i="1"/>
  <c r="J1661" i="1"/>
  <c r="K1661" i="1"/>
  <c r="AC1661" i="1"/>
  <c r="AJ1660" i="1"/>
  <c r="AK1660" i="1"/>
  <c r="AM1660" i="1"/>
  <c r="BF1660" i="1"/>
  <c r="BG1660" i="1"/>
  <c r="T1661" i="1"/>
  <c r="U1661" i="1"/>
  <c r="V1661" i="1"/>
  <c r="W1661" i="1"/>
  <c r="X1661" i="1"/>
  <c r="Y1661" i="1"/>
  <c r="Z1661" i="1"/>
  <c r="AB1661" i="1"/>
  <c r="AF1661" i="1"/>
  <c r="AI1661" i="1"/>
  <c r="H1662" i="1"/>
  <c r="AE1662" i="1"/>
  <c r="I1662" i="1"/>
  <c r="J1662" i="1"/>
  <c r="K1662" i="1"/>
  <c r="AC1662" i="1"/>
  <c r="AJ1661" i="1"/>
  <c r="AK1661" i="1"/>
  <c r="AM1661" i="1"/>
  <c r="BF1661" i="1"/>
  <c r="BG1661" i="1"/>
  <c r="T1662" i="1"/>
  <c r="U1662" i="1"/>
  <c r="V1662" i="1"/>
  <c r="W1662" i="1"/>
  <c r="X1662" i="1"/>
  <c r="Y1662" i="1"/>
  <c r="Z1662" i="1"/>
  <c r="AB1662" i="1"/>
  <c r="AF1662" i="1"/>
  <c r="AI1662" i="1"/>
  <c r="H1663" i="1"/>
  <c r="AE1663" i="1"/>
  <c r="I1663" i="1"/>
  <c r="J1663" i="1"/>
  <c r="K1663" i="1"/>
  <c r="AC1663" i="1"/>
  <c r="AJ1662" i="1"/>
  <c r="AK1662" i="1"/>
  <c r="AM1662" i="1"/>
  <c r="BF1662" i="1"/>
  <c r="BG1662" i="1"/>
  <c r="T1663" i="1"/>
  <c r="U1663" i="1"/>
  <c r="V1663" i="1"/>
  <c r="W1663" i="1"/>
  <c r="X1663" i="1"/>
  <c r="Y1663" i="1"/>
  <c r="Z1663" i="1"/>
  <c r="AB1663" i="1"/>
  <c r="AF1663" i="1"/>
  <c r="AI1663" i="1"/>
  <c r="H1664" i="1"/>
  <c r="AE1664" i="1"/>
  <c r="I1664" i="1"/>
  <c r="J1664" i="1"/>
  <c r="K1664" i="1"/>
  <c r="AC1664" i="1"/>
  <c r="AJ1663" i="1"/>
  <c r="AK1663" i="1"/>
  <c r="AM1663" i="1"/>
  <c r="BF1663" i="1"/>
  <c r="BG1663" i="1"/>
  <c r="T1664" i="1"/>
  <c r="U1664" i="1"/>
  <c r="V1664" i="1"/>
  <c r="W1664" i="1"/>
  <c r="X1664" i="1"/>
  <c r="Y1664" i="1"/>
  <c r="Z1664" i="1"/>
  <c r="AB1664" i="1"/>
  <c r="AF1664" i="1"/>
  <c r="AI1664" i="1"/>
  <c r="AE1665" i="1"/>
  <c r="AC1665" i="1"/>
  <c r="AJ1664" i="1"/>
  <c r="AK1664" i="1"/>
  <c r="AM1664" i="1"/>
  <c r="BF1664" i="1"/>
  <c r="BG1664" i="1"/>
  <c r="T1665" i="1"/>
  <c r="U1665" i="1"/>
  <c r="V1665" i="1"/>
  <c r="W1665" i="1"/>
  <c r="X1665" i="1"/>
  <c r="Y1665" i="1"/>
  <c r="Z1665" i="1"/>
  <c r="AB1665" i="1"/>
  <c r="AF1665" i="1"/>
  <c r="AI1665" i="1"/>
  <c r="AE1666" i="1"/>
  <c r="AC1666" i="1"/>
  <c r="AJ1665" i="1"/>
  <c r="AK1665" i="1"/>
  <c r="AM1665" i="1"/>
  <c r="BF1665" i="1"/>
  <c r="BG1665" i="1"/>
  <c r="T1666" i="1"/>
  <c r="U1666" i="1"/>
  <c r="V1666" i="1"/>
  <c r="W1666" i="1"/>
  <c r="X1666" i="1"/>
  <c r="Y1666" i="1"/>
  <c r="Z1666" i="1"/>
  <c r="AB1666" i="1"/>
  <c r="AF1666" i="1"/>
  <c r="AI1666" i="1"/>
  <c r="H1667" i="1"/>
  <c r="AE1667" i="1"/>
  <c r="I1667" i="1"/>
  <c r="J1667" i="1"/>
  <c r="K1667" i="1"/>
  <c r="AC1667" i="1"/>
  <c r="AJ1666" i="1"/>
  <c r="AK1666" i="1"/>
  <c r="AM1666" i="1"/>
  <c r="BG1666" i="1"/>
  <c r="T1667" i="1"/>
  <c r="U1667" i="1"/>
  <c r="V1667" i="1"/>
  <c r="W1667" i="1"/>
  <c r="X1667" i="1"/>
  <c r="Y1667" i="1"/>
  <c r="Z1667" i="1"/>
  <c r="AB1667" i="1"/>
  <c r="AF1667" i="1"/>
  <c r="AI1667" i="1"/>
  <c r="H1668" i="1"/>
  <c r="AE1668" i="1"/>
  <c r="I1668" i="1"/>
  <c r="J1668" i="1"/>
  <c r="K1668" i="1"/>
  <c r="AC1668" i="1"/>
  <c r="AJ1667" i="1"/>
  <c r="AK1667" i="1"/>
  <c r="AM1667" i="1"/>
  <c r="BF1667" i="1"/>
  <c r="BG1667" i="1"/>
  <c r="T1668" i="1"/>
  <c r="U1668" i="1"/>
  <c r="V1668" i="1"/>
  <c r="W1668" i="1"/>
  <c r="X1668" i="1"/>
  <c r="Y1668" i="1"/>
  <c r="Z1668" i="1"/>
  <c r="AB1668" i="1"/>
  <c r="AF1668" i="1"/>
  <c r="AI1668" i="1"/>
  <c r="AE1669" i="1"/>
  <c r="AC1669" i="1"/>
  <c r="AJ1668" i="1"/>
  <c r="AK1668" i="1"/>
  <c r="AM1668" i="1"/>
  <c r="BF1668" i="1"/>
  <c r="BG1668" i="1"/>
  <c r="T1669" i="1"/>
  <c r="U1669" i="1"/>
  <c r="V1669" i="1"/>
  <c r="W1669" i="1"/>
  <c r="X1669" i="1"/>
  <c r="Y1669" i="1"/>
  <c r="Z1669" i="1"/>
  <c r="AB1669" i="1"/>
  <c r="AF1669" i="1"/>
  <c r="AI1669" i="1"/>
  <c r="AE1670" i="1"/>
  <c r="AC1670" i="1"/>
  <c r="AJ1669" i="1"/>
  <c r="AK1669" i="1"/>
  <c r="AM1669" i="1"/>
  <c r="BF1669" i="1"/>
  <c r="BG1669" i="1"/>
  <c r="T1670" i="1"/>
  <c r="U1670" i="1"/>
  <c r="V1670" i="1"/>
  <c r="W1670" i="1"/>
  <c r="X1670" i="1"/>
  <c r="Y1670" i="1"/>
  <c r="Z1670" i="1"/>
  <c r="AB1670" i="1"/>
  <c r="AF1670" i="1"/>
  <c r="AI1670" i="1"/>
  <c r="AE1671" i="1"/>
  <c r="AC1671" i="1"/>
  <c r="AJ1670" i="1"/>
  <c r="AK1670" i="1"/>
  <c r="AM1670" i="1"/>
  <c r="BF1670" i="1"/>
  <c r="BG1670" i="1"/>
  <c r="T1671" i="1"/>
  <c r="U1671" i="1"/>
  <c r="V1671" i="1"/>
  <c r="W1671" i="1"/>
  <c r="X1671" i="1"/>
  <c r="Y1671" i="1"/>
  <c r="Z1671" i="1"/>
  <c r="AB1671" i="1"/>
  <c r="AF1671" i="1"/>
  <c r="AI1671" i="1"/>
  <c r="H1672" i="1"/>
  <c r="AE1672" i="1"/>
  <c r="I1672" i="1"/>
  <c r="J1672" i="1"/>
  <c r="K1672" i="1"/>
  <c r="AC1672" i="1"/>
  <c r="AJ1671" i="1"/>
  <c r="AK1671" i="1"/>
  <c r="AM1671" i="1"/>
  <c r="BG1671" i="1"/>
  <c r="T1672" i="1"/>
  <c r="U1672" i="1"/>
  <c r="V1672" i="1"/>
  <c r="W1672" i="1"/>
  <c r="X1672" i="1"/>
  <c r="Y1672" i="1"/>
  <c r="Z1672" i="1"/>
  <c r="AB1672" i="1"/>
  <c r="AF1672" i="1"/>
  <c r="AI1672" i="1"/>
  <c r="AE1673" i="1"/>
  <c r="AC1673" i="1"/>
  <c r="AJ1672" i="1"/>
  <c r="AK1672" i="1"/>
  <c r="AM1672" i="1"/>
  <c r="BF1672" i="1"/>
  <c r="BG1672" i="1"/>
  <c r="T1673" i="1"/>
  <c r="U1673" i="1"/>
  <c r="V1673" i="1"/>
  <c r="W1673" i="1"/>
  <c r="X1673" i="1"/>
  <c r="Y1673" i="1"/>
  <c r="Z1673" i="1"/>
  <c r="AB1673" i="1"/>
  <c r="AF1673" i="1"/>
  <c r="AI1673" i="1"/>
  <c r="AE1674" i="1"/>
  <c r="AC1674" i="1"/>
  <c r="AJ1673" i="1"/>
  <c r="AK1673" i="1"/>
  <c r="AM1673" i="1"/>
  <c r="BF1673" i="1"/>
  <c r="BG1673" i="1"/>
  <c r="T1674" i="1"/>
  <c r="U1674" i="1"/>
  <c r="V1674" i="1"/>
  <c r="W1674" i="1"/>
  <c r="X1674" i="1"/>
  <c r="Y1674" i="1"/>
  <c r="Z1674" i="1"/>
  <c r="AB1674" i="1"/>
  <c r="AF1674" i="1"/>
  <c r="AI1674" i="1"/>
  <c r="H1675" i="1"/>
  <c r="AE1675" i="1"/>
  <c r="I1675" i="1"/>
  <c r="J1675" i="1"/>
  <c r="K1675" i="1"/>
  <c r="AC1675" i="1"/>
  <c r="AJ1674" i="1"/>
  <c r="AK1674" i="1"/>
  <c r="AM1674" i="1"/>
  <c r="BG1674" i="1"/>
  <c r="T1675" i="1"/>
  <c r="U1675" i="1"/>
  <c r="V1675" i="1"/>
  <c r="W1675" i="1"/>
  <c r="X1675" i="1"/>
  <c r="Y1675" i="1"/>
  <c r="Z1675" i="1"/>
  <c r="AB1675" i="1"/>
  <c r="AF1675" i="1"/>
  <c r="AI1675" i="1"/>
  <c r="H1676" i="1"/>
  <c r="AE1676" i="1"/>
  <c r="I1676" i="1"/>
  <c r="J1676" i="1"/>
  <c r="K1676" i="1"/>
  <c r="AC1676" i="1"/>
  <c r="AJ1675" i="1"/>
  <c r="AK1675" i="1"/>
  <c r="AM1675" i="1"/>
  <c r="BF1675" i="1"/>
  <c r="BG1675" i="1"/>
  <c r="T1676" i="1"/>
  <c r="U1676" i="1"/>
  <c r="V1676" i="1"/>
  <c r="W1676" i="1"/>
  <c r="X1676" i="1"/>
  <c r="Y1676" i="1"/>
  <c r="Z1676" i="1"/>
  <c r="AB1676" i="1"/>
  <c r="AF1676" i="1"/>
  <c r="AI1676" i="1"/>
  <c r="AE1677" i="1"/>
  <c r="AC1677" i="1"/>
  <c r="AJ1676" i="1"/>
  <c r="AK1676" i="1"/>
  <c r="AM1676" i="1"/>
  <c r="BF1676" i="1"/>
  <c r="BG1676" i="1"/>
  <c r="T1677" i="1"/>
  <c r="U1677" i="1"/>
  <c r="V1677" i="1"/>
  <c r="W1677" i="1"/>
  <c r="X1677" i="1"/>
  <c r="Y1677" i="1"/>
  <c r="Z1677" i="1"/>
  <c r="AB1677" i="1"/>
  <c r="AF1677" i="1"/>
  <c r="AI1677" i="1"/>
  <c r="AE1678" i="1"/>
  <c r="AC1678" i="1"/>
  <c r="AJ1677" i="1"/>
  <c r="AK1677" i="1"/>
  <c r="AM1677" i="1"/>
  <c r="BF1677" i="1"/>
  <c r="BG1677" i="1"/>
  <c r="T1678" i="1"/>
  <c r="U1678" i="1"/>
  <c r="V1678" i="1"/>
  <c r="W1678" i="1"/>
  <c r="X1678" i="1"/>
  <c r="Y1678" i="1"/>
  <c r="Z1678" i="1"/>
  <c r="AB1678" i="1"/>
  <c r="AF1678" i="1"/>
  <c r="AI1678" i="1"/>
  <c r="AE1679" i="1"/>
  <c r="AC1679" i="1"/>
  <c r="AJ1678" i="1"/>
  <c r="AK1678" i="1"/>
  <c r="AM1678" i="1"/>
  <c r="BF1678" i="1"/>
  <c r="BG1678" i="1"/>
  <c r="T1679" i="1"/>
  <c r="U1679" i="1"/>
  <c r="V1679" i="1"/>
  <c r="W1679" i="1"/>
  <c r="X1679" i="1"/>
  <c r="Y1679" i="1"/>
  <c r="Z1679" i="1"/>
  <c r="AB1679" i="1"/>
  <c r="AF1679" i="1"/>
  <c r="AI1679" i="1"/>
  <c r="H1680" i="1"/>
  <c r="AE1680" i="1"/>
  <c r="I1680" i="1"/>
  <c r="J1680" i="1"/>
  <c r="K1680" i="1"/>
  <c r="AC1680" i="1"/>
  <c r="AJ1679" i="1"/>
  <c r="AK1679" i="1"/>
  <c r="AM1679" i="1"/>
  <c r="BG1679" i="1"/>
  <c r="T1680" i="1"/>
  <c r="U1680" i="1"/>
  <c r="V1680" i="1"/>
  <c r="W1680" i="1"/>
  <c r="X1680" i="1"/>
  <c r="Y1680" i="1"/>
  <c r="Z1680" i="1"/>
  <c r="AB1680" i="1"/>
  <c r="AF1680" i="1"/>
  <c r="AI1680" i="1"/>
  <c r="H1681" i="1"/>
  <c r="AE1681" i="1"/>
  <c r="I1681" i="1"/>
  <c r="J1681" i="1"/>
  <c r="K1681" i="1"/>
  <c r="AC1681" i="1"/>
  <c r="AJ1680" i="1"/>
  <c r="AK1680" i="1"/>
  <c r="AM1680" i="1"/>
  <c r="BF1680" i="1"/>
  <c r="BG1680" i="1"/>
  <c r="T1681" i="1"/>
  <c r="U1681" i="1"/>
  <c r="V1681" i="1"/>
  <c r="W1681" i="1"/>
  <c r="X1681" i="1"/>
  <c r="Y1681" i="1"/>
  <c r="Z1681" i="1"/>
  <c r="AB1681" i="1"/>
  <c r="AF1681" i="1"/>
  <c r="AI1681" i="1"/>
  <c r="H1682" i="1"/>
  <c r="AE1682" i="1"/>
  <c r="I1682" i="1"/>
  <c r="J1682" i="1"/>
  <c r="K1682" i="1"/>
  <c r="AC1682" i="1"/>
  <c r="AJ1681" i="1"/>
  <c r="AK1681" i="1"/>
  <c r="AM1681" i="1"/>
  <c r="BF1681" i="1"/>
  <c r="BG1681" i="1"/>
  <c r="T1682" i="1"/>
  <c r="U1682" i="1"/>
  <c r="V1682" i="1"/>
  <c r="W1682" i="1"/>
  <c r="X1682" i="1"/>
  <c r="Y1682" i="1"/>
  <c r="Z1682" i="1"/>
  <c r="AB1682" i="1"/>
  <c r="AF1682" i="1"/>
  <c r="AI1682" i="1"/>
  <c r="H1683" i="1"/>
  <c r="AE1683" i="1"/>
  <c r="I1683" i="1"/>
  <c r="J1683" i="1"/>
  <c r="K1683" i="1"/>
  <c r="AC1683" i="1"/>
  <c r="AJ1682" i="1"/>
  <c r="AK1682" i="1"/>
  <c r="AM1682" i="1"/>
  <c r="BF1682" i="1"/>
  <c r="BG1682" i="1"/>
  <c r="T1683" i="1"/>
  <c r="U1683" i="1"/>
  <c r="V1683" i="1"/>
  <c r="W1683" i="1"/>
  <c r="X1683" i="1"/>
  <c r="Y1683" i="1"/>
  <c r="Z1683" i="1"/>
  <c r="AB1683" i="1"/>
  <c r="AF1683" i="1"/>
  <c r="AI1683" i="1"/>
  <c r="H1684" i="1"/>
  <c r="AE1684" i="1"/>
  <c r="I1684" i="1"/>
  <c r="J1684" i="1"/>
  <c r="K1684" i="1"/>
  <c r="AC1684" i="1"/>
  <c r="AJ1683" i="1"/>
  <c r="AK1683" i="1"/>
  <c r="AM1683" i="1"/>
  <c r="BF1683" i="1"/>
  <c r="BG1683" i="1"/>
  <c r="T1684" i="1"/>
  <c r="U1684" i="1"/>
  <c r="V1684" i="1"/>
  <c r="W1684" i="1"/>
  <c r="X1684" i="1"/>
  <c r="Y1684" i="1"/>
  <c r="Z1684" i="1"/>
  <c r="AB1684" i="1"/>
  <c r="AF1684" i="1"/>
  <c r="AI1684" i="1"/>
  <c r="H1685" i="1"/>
  <c r="AE1685" i="1"/>
  <c r="I1685" i="1"/>
  <c r="J1685" i="1"/>
  <c r="K1685" i="1"/>
  <c r="AC1685" i="1"/>
  <c r="AJ1684" i="1"/>
  <c r="AK1684" i="1"/>
  <c r="AM1684" i="1"/>
  <c r="BF1684" i="1"/>
  <c r="BG1684" i="1"/>
  <c r="T1685" i="1"/>
  <c r="U1685" i="1"/>
  <c r="V1685" i="1"/>
  <c r="W1685" i="1"/>
  <c r="X1685" i="1"/>
  <c r="Y1685" i="1"/>
  <c r="Z1685" i="1"/>
  <c r="AB1685" i="1"/>
  <c r="AF1685" i="1"/>
  <c r="AI1685" i="1"/>
  <c r="AE1686" i="1"/>
  <c r="AC1686" i="1"/>
  <c r="AJ1685" i="1"/>
  <c r="AK1685" i="1"/>
  <c r="AM1685" i="1"/>
  <c r="BF1685" i="1"/>
  <c r="BG1685" i="1"/>
  <c r="T1686" i="1"/>
  <c r="U1686" i="1"/>
  <c r="V1686" i="1"/>
  <c r="W1686" i="1"/>
  <c r="X1686" i="1"/>
  <c r="Y1686" i="1"/>
  <c r="Z1686" i="1"/>
  <c r="AB1686" i="1"/>
  <c r="AF1686" i="1"/>
  <c r="AI1686" i="1"/>
  <c r="AE1687" i="1"/>
  <c r="AC1687" i="1"/>
  <c r="AJ1686" i="1"/>
  <c r="AK1686" i="1"/>
  <c r="AM1686" i="1"/>
  <c r="BF1686" i="1"/>
  <c r="BG1686" i="1"/>
  <c r="T1687" i="1"/>
  <c r="U1687" i="1"/>
  <c r="V1687" i="1"/>
  <c r="W1687" i="1"/>
  <c r="X1687" i="1"/>
  <c r="Y1687" i="1"/>
  <c r="Z1687" i="1"/>
  <c r="AB1687" i="1"/>
  <c r="AF1687" i="1"/>
  <c r="AI1687" i="1"/>
  <c r="H1688" i="1"/>
  <c r="AE1688" i="1"/>
  <c r="I1688" i="1"/>
  <c r="J1688" i="1"/>
  <c r="K1688" i="1"/>
  <c r="AC1688" i="1"/>
  <c r="AJ1687" i="1"/>
  <c r="AK1687" i="1"/>
  <c r="AM1687" i="1"/>
  <c r="BG1687" i="1"/>
  <c r="T1688" i="1"/>
  <c r="U1688" i="1"/>
  <c r="V1688" i="1"/>
  <c r="W1688" i="1"/>
  <c r="X1688" i="1"/>
  <c r="Y1688" i="1"/>
  <c r="Z1688" i="1"/>
  <c r="AB1688" i="1"/>
  <c r="AF1688" i="1"/>
  <c r="AI1688" i="1"/>
  <c r="H1689" i="1"/>
  <c r="AE1689" i="1"/>
  <c r="I1689" i="1"/>
  <c r="J1689" i="1"/>
  <c r="K1689" i="1"/>
  <c r="AC1689" i="1"/>
  <c r="AJ1688" i="1"/>
  <c r="AK1688" i="1"/>
  <c r="AM1688" i="1"/>
  <c r="BF1688" i="1"/>
  <c r="BG1688" i="1"/>
  <c r="T1689" i="1"/>
  <c r="U1689" i="1"/>
  <c r="V1689" i="1"/>
  <c r="W1689" i="1"/>
  <c r="X1689" i="1"/>
  <c r="Y1689" i="1"/>
  <c r="Z1689" i="1"/>
  <c r="AB1689" i="1"/>
  <c r="AF1689" i="1"/>
  <c r="AI1689" i="1"/>
  <c r="AE1690" i="1"/>
  <c r="AC1690" i="1"/>
  <c r="AJ1689" i="1"/>
  <c r="AK1689" i="1"/>
  <c r="AM1689" i="1"/>
  <c r="BF1689" i="1"/>
  <c r="BG1689" i="1"/>
  <c r="T1690" i="1"/>
  <c r="U1690" i="1"/>
  <c r="V1690" i="1"/>
  <c r="W1690" i="1"/>
  <c r="X1690" i="1"/>
  <c r="Y1690" i="1"/>
  <c r="Z1690" i="1"/>
  <c r="AB1690" i="1"/>
  <c r="AF1690" i="1"/>
  <c r="AI1690" i="1"/>
  <c r="AE1691" i="1"/>
  <c r="AC1691" i="1"/>
  <c r="AJ1690" i="1"/>
  <c r="AK1690" i="1"/>
  <c r="AM1690" i="1"/>
  <c r="BF1690" i="1"/>
  <c r="BG1690" i="1"/>
  <c r="T1691" i="1"/>
  <c r="U1691" i="1"/>
  <c r="V1691" i="1"/>
  <c r="W1691" i="1"/>
  <c r="X1691" i="1"/>
  <c r="Y1691" i="1"/>
  <c r="Z1691" i="1"/>
  <c r="AB1691" i="1"/>
  <c r="AF1691" i="1"/>
  <c r="AI1691" i="1"/>
  <c r="H1692" i="1"/>
  <c r="AE1692" i="1"/>
  <c r="I1692" i="1"/>
  <c r="J1692" i="1"/>
  <c r="K1692" i="1"/>
  <c r="AC1692" i="1"/>
  <c r="AJ1691" i="1"/>
  <c r="AK1691" i="1"/>
  <c r="AM1691" i="1"/>
  <c r="BG1691" i="1"/>
  <c r="T1692" i="1"/>
  <c r="U1692" i="1"/>
  <c r="V1692" i="1"/>
  <c r="W1692" i="1"/>
  <c r="X1692" i="1"/>
  <c r="Y1692" i="1"/>
  <c r="Z1692" i="1"/>
  <c r="AB1692" i="1"/>
  <c r="AF1692" i="1"/>
  <c r="AI1692" i="1"/>
  <c r="AE1693" i="1"/>
  <c r="AC1693" i="1"/>
  <c r="AJ1692" i="1"/>
  <c r="AK1692" i="1"/>
  <c r="AM1692" i="1"/>
  <c r="BF1692" i="1"/>
  <c r="BG1692" i="1"/>
  <c r="T1693" i="1"/>
  <c r="U1693" i="1"/>
  <c r="V1693" i="1"/>
  <c r="W1693" i="1"/>
  <c r="X1693" i="1"/>
  <c r="Y1693" i="1"/>
  <c r="Z1693" i="1"/>
  <c r="AB1693" i="1"/>
  <c r="AF1693" i="1"/>
  <c r="AI1693" i="1"/>
  <c r="AE1694" i="1"/>
  <c r="AC1694" i="1"/>
  <c r="AJ1693" i="1"/>
  <c r="AK1693" i="1"/>
  <c r="AM1693" i="1"/>
  <c r="BF1693" i="1"/>
  <c r="BG1693" i="1"/>
  <c r="T1694" i="1"/>
  <c r="U1694" i="1"/>
  <c r="V1694" i="1"/>
  <c r="W1694" i="1"/>
  <c r="X1694" i="1"/>
  <c r="Y1694" i="1"/>
  <c r="Z1694" i="1"/>
  <c r="AB1694" i="1"/>
  <c r="AF1694" i="1"/>
  <c r="AI1694" i="1"/>
  <c r="H1695" i="1"/>
  <c r="AE1695" i="1"/>
  <c r="I1695" i="1"/>
  <c r="J1695" i="1"/>
  <c r="K1695" i="1"/>
  <c r="AC1695" i="1"/>
  <c r="AJ1694" i="1"/>
  <c r="AK1694" i="1"/>
  <c r="AM1694" i="1"/>
  <c r="BG1694" i="1"/>
  <c r="T1695" i="1"/>
  <c r="U1695" i="1"/>
  <c r="V1695" i="1"/>
  <c r="W1695" i="1"/>
  <c r="X1695" i="1"/>
  <c r="Y1695" i="1"/>
  <c r="Z1695" i="1"/>
  <c r="AB1695" i="1"/>
  <c r="AF1695" i="1"/>
  <c r="AI1695" i="1"/>
  <c r="AE1696" i="1"/>
  <c r="AC1696" i="1"/>
  <c r="AJ1695" i="1"/>
  <c r="AK1695" i="1"/>
  <c r="AM1695" i="1"/>
  <c r="BF1695" i="1"/>
  <c r="BG1695" i="1"/>
  <c r="T1696" i="1"/>
  <c r="U1696" i="1"/>
  <c r="V1696" i="1"/>
  <c r="W1696" i="1"/>
  <c r="X1696" i="1"/>
  <c r="Y1696" i="1"/>
  <c r="Z1696" i="1"/>
  <c r="AB1696" i="1"/>
  <c r="AF1696" i="1"/>
  <c r="AI1696" i="1"/>
  <c r="AE1697" i="1"/>
  <c r="AC1697" i="1"/>
  <c r="AJ1696" i="1"/>
  <c r="AK1696" i="1"/>
  <c r="AM1696" i="1"/>
  <c r="BF1696" i="1"/>
  <c r="BG1696" i="1"/>
  <c r="T1697" i="1"/>
  <c r="U1697" i="1"/>
  <c r="V1697" i="1"/>
  <c r="W1697" i="1"/>
  <c r="X1697" i="1"/>
  <c r="Y1697" i="1"/>
  <c r="Z1697" i="1"/>
  <c r="AB1697" i="1"/>
  <c r="AF1697" i="1"/>
  <c r="AI1697" i="1"/>
  <c r="H1698" i="1"/>
  <c r="AE1698" i="1"/>
  <c r="I1698" i="1"/>
  <c r="J1698" i="1"/>
  <c r="K1698" i="1"/>
  <c r="AC1698" i="1"/>
  <c r="AJ1697" i="1"/>
  <c r="AK1697" i="1"/>
  <c r="AM1697" i="1"/>
  <c r="BG1697" i="1"/>
  <c r="T1698" i="1"/>
  <c r="U1698" i="1"/>
  <c r="V1698" i="1"/>
  <c r="W1698" i="1"/>
  <c r="X1698" i="1"/>
  <c r="Y1698" i="1"/>
  <c r="Z1698" i="1"/>
  <c r="AB1698" i="1"/>
  <c r="AF1698" i="1"/>
  <c r="AI1698" i="1"/>
  <c r="H1699" i="1"/>
  <c r="AE1699" i="1"/>
  <c r="I1699" i="1"/>
  <c r="J1699" i="1"/>
  <c r="K1699" i="1"/>
  <c r="AC1699" i="1"/>
  <c r="AJ1698" i="1"/>
  <c r="AK1698" i="1"/>
  <c r="AM1698" i="1"/>
  <c r="BF1698" i="1"/>
  <c r="BG1698" i="1"/>
  <c r="T1699" i="1"/>
  <c r="U1699" i="1"/>
  <c r="V1699" i="1"/>
  <c r="W1699" i="1"/>
  <c r="X1699" i="1"/>
  <c r="Y1699" i="1"/>
  <c r="Z1699" i="1"/>
  <c r="AB1699" i="1"/>
  <c r="AF1699" i="1"/>
  <c r="AI1699" i="1"/>
  <c r="H1700" i="1"/>
  <c r="AE1700" i="1"/>
  <c r="I1700" i="1"/>
  <c r="J1700" i="1"/>
  <c r="K1700" i="1"/>
  <c r="AC1700" i="1"/>
  <c r="AJ1699" i="1"/>
  <c r="AK1699" i="1"/>
  <c r="AM1699" i="1"/>
  <c r="BF1699" i="1"/>
  <c r="BG1699" i="1"/>
  <c r="T1700" i="1"/>
  <c r="U1700" i="1"/>
  <c r="V1700" i="1"/>
  <c r="W1700" i="1"/>
  <c r="X1700" i="1"/>
  <c r="Y1700" i="1"/>
  <c r="Z1700" i="1"/>
  <c r="AB1700" i="1"/>
  <c r="AF1700" i="1"/>
  <c r="AI1700" i="1"/>
  <c r="H1701" i="1"/>
  <c r="AE1701" i="1"/>
  <c r="I1701" i="1"/>
  <c r="J1701" i="1"/>
  <c r="K1701" i="1"/>
  <c r="AC1701" i="1"/>
  <c r="AJ1700" i="1"/>
  <c r="AK1700" i="1"/>
  <c r="AM1700" i="1"/>
  <c r="BF1700" i="1"/>
  <c r="BG1700" i="1"/>
  <c r="T1701" i="1"/>
  <c r="U1701" i="1"/>
  <c r="V1701" i="1"/>
  <c r="W1701" i="1"/>
  <c r="X1701" i="1"/>
  <c r="Y1701" i="1"/>
  <c r="Z1701" i="1"/>
  <c r="AB1701" i="1"/>
  <c r="AF1701" i="1"/>
  <c r="AI1701" i="1"/>
  <c r="AE1702" i="1"/>
  <c r="AC1702" i="1"/>
  <c r="AJ1701" i="1"/>
  <c r="AK1701" i="1"/>
  <c r="AM1701" i="1"/>
  <c r="BF1701" i="1"/>
  <c r="BG1701" i="1"/>
  <c r="T1702" i="1"/>
  <c r="U1702" i="1"/>
  <c r="V1702" i="1"/>
  <c r="W1702" i="1"/>
  <c r="X1702" i="1"/>
  <c r="Y1702" i="1"/>
  <c r="Z1702" i="1"/>
  <c r="AB1702" i="1"/>
  <c r="AF1702" i="1"/>
  <c r="AI1702" i="1"/>
  <c r="AE1703" i="1"/>
  <c r="AC1703" i="1"/>
  <c r="AJ1702" i="1"/>
  <c r="AK1702" i="1"/>
  <c r="AM1702" i="1"/>
  <c r="BF1702" i="1"/>
  <c r="BG1702" i="1"/>
  <c r="T1703" i="1"/>
  <c r="U1703" i="1"/>
  <c r="V1703" i="1"/>
  <c r="W1703" i="1"/>
  <c r="X1703" i="1"/>
  <c r="Y1703" i="1"/>
  <c r="Z1703" i="1"/>
  <c r="AB1703" i="1"/>
  <c r="AF1703" i="1"/>
  <c r="AI1703" i="1"/>
  <c r="H1704" i="1"/>
  <c r="AE1704" i="1"/>
  <c r="I1704" i="1"/>
  <c r="J1704" i="1"/>
  <c r="K1704" i="1"/>
  <c r="AC1704" i="1"/>
  <c r="AJ1703" i="1"/>
  <c r="AK1703" i="1"/>
  <c r="AM1703" i="1"/>
  <c r="BG1703" i="1"/>
  <c r="T1704" i="1"/>
  <c r="U1704" i="1"/>
  <c r="V1704" i="1"/>
  <c r="W1704" i="1"/>
  <c r="X1704" i="1"/>
  <c r="Y1704" i="1"/>
  <c r="Z1704" i="1"/>
  <c r="AB1704" i="1"/>
  <c r="AF1704" i="1"/>
  <c r="AI1704" i="1"/>
  <c r="AE1705" i="1"/>
  <c r="AC1705" i="1"/>
  <c r="AJ1704" i="1"/>
  <c r="AK1704" i="1"/>
  <c r="AM1704" i="1"/>
  <c r="BF1704" i="1"/>
  <c r="BG1704" i="1"/>
  <c r="T1705" i="1"/>
  <c r="U1705" i="1"/>
  <c r="V1705" i="1"/>
  <c r="W1705" i="1"/>
  <c r="X1705" i="1"/>
  <c r="Y1705" i="1"/>
  <c r="Z1705" i="1"/>
  <c r="AB1705" i="1"/>
  <c r="AF1705" i="1"/>
  <c r="AI1705" i="1"/>
  <c r="AE1706" i="1"/>
  <c r="AC1706" i="1"/>
  <c r="AJ1705" i="1"/>
  <c r="AK1705" i="1"/>
  <c r="AM1705" i="1"/>
  <c r="BF1705" i="1"/>
  <c r="BG1705" i="1"/>
  <c r="T1706" i="1"/>
  <c r="U1706" i="1"/>
  <c r="V1706" i="1"/>
  <c r="W1706" i="1"/>
  <c r="X1706" i="1"/>
  <c r="Y1706" i="1"/>
  <c r="Z1706" i="1"/>
  <c r="AB1706" i="1"/>
  <c r="AF1706" i="1"/>
  <c r="AI1706" i="1"/>
  <c r="H1707" i="1"/>
  <c r="AE1707" i="1"/>
  <c r="I1707" i="1"/>
  <c r="J1707" i="1"/>
  <c r="K1707" i="1"/>
  <c r="AC1707" i="1"/>
  <c r="AJ1706" i="1"/>
  <c r="AK1706" i="1"/>
  <c r="AM1706" i="1"/>
  <c r="BG1706" i="1"/>
  <c r="T1707" i="1"/>
  <c r="U1707" i="1"/>
  <c r="V1707" i="1"/>
  <c r="W1707" i="1"/>
  <c r="X1707" i="1"/>
  <c r="Y1707" i="1"/>
  <c r="Z1707" i="1"/>
  <c r="AB1707" i="1"/>
  <c r="AF1707" i="1"/>
  <c r="AI1707" i="1"/>
  <c r="AE1708" i="1"/>
  <c r="AC1708" i="1"/>
  <c r="AJ1707" i="1"/>
  <c r="AK1707" i="1"/>
  <c r="AM1707" i="1"/>
  <c r="BF1707" i="1"/>
  <c r="BG1707" i="1"/>
  <c r="T1708" i="1"/>
  <c r="U1708" i="1"/>
  <c r="V1708" i="1"/>
  <c r="W1708" i="1"/>
  <c r="X1708" i="1"/>
  <c r="Y1708" i="1"/>
  <c r="Z1708" i="1"/>
  <c r="AB1708" i="1"/>
  <c r="AF1708" i="1"/>
  <c r="AI1708" i="1"/>
  <c r="AE1709" i="1"/>
  <c r="AC1709" i="1"/>
  <c r="AJ1708" i="1"/>
  <c r="AK1708" i="1"/>
  <c r="AM1708" i="1"/>
  <c r="BF1708" i="1"/>
  <c r="BG1708" i="1"/>
  <c r="T1709" i="1"/>
  <c r="U1709" i="1"/>
  <c r="V1709" i="1"/>
  <c r="W1709" i="1"/>
  <c r="X1709" i="1"/>
  <c r="Y1709" i="1"/>
  <c r="Z1709" i="1"/>
  <c r="AB1709" i="1"/>
  <c r="AF1709" i="1"/>
  <c r="AI1709" i="1"/>
  <c r="H1710" i="1"/>
  <c r="AE1710" i="1"/>
  <c r="I1710" i="1"/>
  <c r="J1710" i="1"/>
  <c r="K1710" i="1"/>
  <c r="AC1710" i="1"/>
  <c r="AJ1709" i="1"/>
  <c r="AK1709" i="1"/>
  <c r="AM1709" i="1"/>
  <c r="BG1709" i="1"/>
  <c r="T1710" i="1"/>
  <c r="U1710" i="1"/>
  <c r="V1710" i="1"/>
  <c r="W1710" i="1"/>
  <c r="X1710" i="1"/>
  <c r="Y1710" i="1"/>
  <c r="Z1710" i="1"/>
  <c r="AB1710" i="1"/>
  <c r="AF1710" i="1"/>
  <c r="AI1710" i="1"/>
  <c r="AE1711" i="1"/>
  <c r="AC1711" i="1"/>
  <c r="AJ1710" i="1"/>
  <c r="AK1710" i="1"/>
  <c r="AM1710" i="1"/>
  <c r="BF1710" i="1"/>
  <c r="BG1710" i="1"/>
  <c r="T1711" i="1"/>
  <c r="U1711" i="1"/>
  <c r="V1711" i="1"/>
  <c r="W1711" i="1"/>
  <c r="X1711" i="1"/>
  <c r="Y1711" i="1"/>
  <c r="Z1711" i="1"/>
  <c r="AB1711" i="1"/>
  <c r="AF1711" i="1"/>
  <c r="AI1711" i="1"/>
  <c r="AE1712" i="1"/>
  <c r="AC1712" i="1"/>
  <c r="AJ1711" i="1"/>
  <c r="AK1711" i="1"/>
  <c r="AM1711" i="1"/>
  <c r="BF1711" i="1"/>
  <c r="BG1711" i="1"/>
  <c r="T1712" i="1"/>
  <c r="U1712" i="1"/>
  <c r="V1712" i="1"/>
  <c r="W1712" i="1"/>
  <c r="X1712" i="1"/>
  <c r="Y1712" i="1"/>
  <c r="Z1712" i="1"/>
  <c r="AB1712" i="1"/>
  <c r="AF1712" i="1"/>
  <c r="AI1712" i="1"/>
  <c r="AE1713" i="1"/>
  <c r="AC1713" i="1"/>
  <c r="AJ1712" i="1"/>
  <c r="AK1712" i="1"/>
  <c r="AM1712" i="1"/>
  <c r="BF1712" i="1"/>
  <c r="BG1712" i="1"/>
  <c r="T1713" i="1"/>
  <c r="U1713" i="1"/>
  <c r="V1713" i="1"/>
  <c r="W1713" i="1"/>
  <c r="X1713" i="1"/>
  <c r="Y1713" i="1"/>
  <c r="Z1713" i="1"/>
  <c r="AB1713" i="1"/>
  <c r="AF1713" i="1"/>
  <c r="AI1713" i="1"/>
  <c r="H1714" i="1"/>
  <c r="AE1714" i="1"/>
  <c r="I1714" i="1"/>
  <c r="J1714" i="1"/>
  <c r="K1714" i="1"/>
  <c r="AC1714" i="1"/>
  <c r="AJ1713" i="1"/>
  <c r="AK1713" i="1"/>
  <c r="AM1713" i="1"/>
  <c r="BG1713" i="1"/>
  <c r="T1714" i="1"/>
  <c r="U1714" i="1"/>
  <c r="V1714" i="1"/>
  <c r="W1714" i="1"/>
  <c r="X1714" i="1"/>
  <c r="Y1714" i="1"/>
  <c r="Z1714" i="1"/>
  <c r="AB1714" i="1"/>
  <c r="AF1714" i="1"/>
  <c r="AI1714" i="1"/>
  <c r="AE1715" i="1"/>
  <c r="AC1715" i="1"/>
  <c r="AJ1714" i="1"/>
  <c r="AK1714" i="1"/>
  <c r="AM1714" i="1"/>
  <c r="BF1714" i="1"/>
  <c r="BG1714" i="1"/>
  <c r="T1715" i="1"/>
  <c r="U1715" i="1"/>
  <c r="V1715" i="1"/>
  <c r="W1715" i="1"/>
  <c r="X1715" i="1"/>
  <c r="Y1715" i="1"/>
  <c r="Z1715" i="1"/>
  <c r="AB1715" i="1"/>
  <c r="AF1715" i="1"/>
  <c r="AI1715" i="1"/>
  <c r="AE1716" i="1"/>
  <c r="AC1716" i="1"/>
  <c r="AJ1715" i="1"/>
  <c r="AK1715" i="1"/>
  <c r="AM1715" i="1"/>
  <c r="BF1715" i="1"/>
  <c r="BG1715" i="1"/>
  <c r="T1716" i="1"/>
  <c r="U1716" i="1"/>
  <c r="V1716" i="1"/>
  <c r="W1716" i="1"/>
  <c r="X1716" i="1"/>
  <c r="Y1716" i="1"/>
  <c r="Z1716" i="1"/>
  <c r="AB1716" i="1"/>
  <c r="AF1716" i="1"/>
  <c r="AI1716" i="1"/>
  <c r="AE1717" i="1"/>
  <c r="AC1717" i="1"/>
  <c r="AJ1716" i="1"/>
  <c r="AK1716" i="1"/>
  <c r="AM1716" i="1"/>
  <c r="BF1716" i="1"/>
  <c r="BG1716" i="1"/>
  <c r="T1717" i="1"/>
  <c r="U1717" i="1"/>
  <c r="V1717" i="1"/>
  <c r="W1717" i="1"/>
  <c r="X1717" i="1"/>
  <c r="Y1717" i="1"/>
  <c r="Z1717" i="1"/>
  <c r="AB1717" i="1"/>
  <c r="AF1717" i="1"/>
  <c r="AI1717" i="1"/>
  <c r="AE1718" i="1"/>
  <c r="AC1718" i="1"/>
  <c r="AJ1717" i="1"/>
  <c r="AK1717" i="1"/>
  <c r="AM1717" i="1"/>
  <c r="BF1717" i="1"/>
  <c r="BG1717" i="1"/>
  <c r="T1718" i="1"/>
  <c r="U1718" i="1"/>
  <c r="V1718" i="1"/>
  <c r="W1718" i="1"/>
  <c r="X1718" i="1"/>
  <c r="Y1718" i="1"/>
  <c r="Z1718" i="1"/>
  <c r="AB1718" i="1"/>
  <c r="AF1718" i="1"/>
  <c r="AI1718" i="1"/>
  <c r="H1719" i="1"/>
  <c r="AE1719" i="1"/>
  <c r="I1719" i="1"/>
  <c r="J1719" i="1"/>
  <c r="K1719" i="1"/>
  <c r="AC1719" i="1"/>
  <c r="AJ1718" i="1"/>
  <c r="AK1718" i="1"/>
  <c r="AM1718" i="1"/>
  <c r="BG1718" i="1"/>
  <c r="T1719" i="1"/>
  <c r="U1719" i="1"/>
  <c r="V1719" i="1"/>
  <c r="W1719" i="1"/>
  <c r="X1719" i="1"/>
  <c r="Y1719" i="1"/>
  <c r="Z1719" i="1"/>
  <c r="AB1719" i="1"/>
  <c r="AF1719" i="1"/>
  <c r="AI1719" i="1"/>
  <c r="AE1720" i="1"/>
  <c r="AC1720" i="1"/>
  <c r="AJ1719" i="1"/>
  <c r="AK1719" i="1"/>
  <c r="AM1719" i="1"/>
  <c r="BF1719" i="1"/>
  <c r="BG1719" i="1"/>
  <c r="T1720" i="1"/>
  <c r="U1720" i="1"/>
  <c r="V1720" i="1"/>
  <c r="W1720" i="1"/>
  <c r="X1720" i="1"/>
  <c r="Y1720" i="1"/>
  <c r="Z1720" i="1"/>
  <c r="AB1720" i="1"/>
  <c r="AF1720" i="1"/>
  <c r="AI1720" i="1"/>
  <c r="AE1721" i="1"/>
  <c r="AC1721" i="1"/>
  <c r="AJ1720" i="1"/>
  <c r="AK1720" i="1"/>
  <c r="AM1720" i="1"/>
  <c r="BF1720" i="1"/>
  <c r="BG1720" i="1"/>
  <c r="T1721" i="1"/>
  <c r="U1721" i="1"/>
  <c r="V1721" i="1"/>
  <c r="W1721" i="1"/>
  <c r="X1721" i="1"/>
  <c r="Y1721" i="1"/>
  <c r="Z1721" i="1"/>
  <c r="AB1721" i="1"/>
  <c r="AF1721" i="1"/>
  <c r="AI1721" i="1"/>
  <c r="H1722" i="1"/>
  <c r="AE1722" i="1"/>
  <c r="I1722" i="1"/>
  <c r="J1722" i="1"/>
  <c r="K1722" i="1"/>
  <c r="AC1722" i="1"/>
  <c r="AJ1721" i="1"/>
  <c r="AK1721" i="1"/>
  <c r="AM1721" i="1"/>
  <c r="BG1721" i="1"/>
  <c r="T1722" i="1"/>
  <c r="U1722" i="1"/>
  <c r="V1722" i="1"/>
  <c r="W1722" i="1"/>
  <c r="X1722" i="1"/>
  <c r="Y1722" i="1"/>
  <c r="Z1722" i="1"/>
  <c r="AB1722" i="1"/>
  <c r="AF1722" i="1"/>
  <c r="AI1722" i="1"/>
  <c r="AE1723" i="1"/>
  <c r="AC1723" i="1"/>
  <c r="AJ1722" i="1"/>
  <c r="AK1722" i="1"/>
  <c r="AM1722" i="1"/>
  <c r="BF1722" i="1"/>
  <c r="BG1722" i="1"/>
  <c r="T1723" i="1"/>
  <c r="U1723" i="1"/>
  <c r="V1723" i="1"/>
  <c r="W1723" i="1"/>
  <c r="X1723" i="1"/>
  <c r="Y1723" i="1"/>
  <c r="Z1723" i="1"/>
  <c r="AB1723" i="1"/>
  <c r="AF1723" i="1"/>
  <c r="AI1723" i="1"/>
  <c r="AE1724" i="1"/>
  <c r="AC1724" i="1"/>
  <c r="AJ1723" i="1"/>
  <c r="AK1723" i="1"/>
  <c r="AM1723" i="1"/>
  <c r="BF1723" i="1"/>
  <c r="BG1723" i="1"/>
  <c r="T1724" i="1"/>
  <c r="U1724" i="1"/>
  <c r="V1724" i="1"/>
  <c r="W1724" i="1"/>
  <c r="X1724" i="1"/>
  <c r="Y1724" i="1"/>
  <c r="Z1724" i="1"/>
  <c r="AB1724" i="1"/>
  <c r="AF1724" i="1"/>
  <c r="AI1724" i="1"/>
  <c r="H1725" i="1"/>
  <c r="AE1725" i="1"/>
  <c r="I1725" i="1"/>
  <c r="J1725" i="1"/>
  <c r="K1725" i="1"/>
  <c r="AC1725" i="1"/>
  <c r="AJ1724" i="1"/>
  <c r="AK1724" i="1"/>
  <c r="AM1724" i="1"/>
  <c r="BG1724" i="1"/>
  <c r="T1725" i="1"/>
  <c r="U1725" i="1"/>
  <c r="V1725" i="1"/>
  <c r="W1725" i="1"/>
  <c r="X1725" i="1"/>
  <c r="Y1725" i="1"/>
  <c r="Z1725" i="1"/>
  <c r="AB1725" i="1"/>
  <c r="AF1725" i="1"/>
  <c r="AI1725" i="1"/>
  <c r="H1726" i="1"/>
  <c r="AE1726" i="1"/>
  <c r="I1726" i="1"/>
  <c r="J1726" i="1"/>
  <c r="K1726" i="1"/>
  <c r="AC1726" i="1"/>
  <c r="AJ1725" i="1"/>
  <c r="AK1725" i="1"/>
  <c r="AM1725" i="1"/>
  <c r="BF1725" i="1"/>
  <c r="BG1725" i="1"/>
  <c r="T1726" i="1"/>
  <c r="U1726" i="1"/>
  <c r="V1726" i="1"/>
  <c r="W1726" i="1"/>
  <c r="X1726" i="1"/>
  <c r="Y1726" i="1"/>
  <c r="Z1726" i="1"/>
  <c r="AB1726" i="1"/>
  <c r="AF1726" i="1"/>
  <c r="AI1726" i="1"/>
  <c r="H1727" i="1"/>
  <c r="AE1727" i="1"/>
  <c r="I1727" i="1"/>
  <c r="J1727" i="1"/>
  <c r="K1727" i="1"/>
  <c r="AC1727" i="1"/>
  <c r="AJ1726" i="1"/>
  <c r="AK1726" i="1"/>
  <c r="AM1726" i="1"/>
  <c r="BF1726" i="1"/>
  <c r="BG1726" i="1"/>
  <c r="T1727" i="1"/>
  <c r="U1727" i="1"/>
  <c r="V1727" i="1"/>
  <c r="W1727" i="1"/>
  <c r="X1727" i="1"/>
  <c r="Y1727" i="1"/>
  <c r="Z1727" i="1"/>
  <c r="AB1727" i="1"/>
  <c r="AF1727" i="1"/>
  <c r="AI1727" i="1"/>
  <c r="H1728" i="1"/>
  <c r="AE1728" i="1"/>
  <c r="I1728" i="1"/>
  <c r="J1728" i="1"/>
  <c r="K1728" i="1"/>
  <c r="AC1728" i="1"/>
  <c r="AJ1727" i="1"/>
  <c r="AK1727" i="1"/>
  <c r="AM1727" i="1"/>
  <c r="BF1727" i="1"/>
  <c r="BG1727" i="1"/>
  <c r="T1728" i="1"/>
  <c r="U1728" i="1"/>
  <c r="V1728" i="1"/>
  <c r="W1728" i="1"/>
  <c r="X1728" i="1"/>
  <c r="Y1728" i="1"/>
  <c r="Z1728" i="1"/>
  <c r="AB1728" i="1"/>
  <c r="AF1728" i="1"/>
  <c r="AI1728" i="1"/>
  <c r="AE1729" i="1"/>
  <c r="AC1729" i="1"/>
  <c r="AJ1728" i="1"/>
  <c r="AK1728" i="1"/>
  <c r="AM1728" i="1"/>
  <c r="BF1728" i="1"/>
  <c r="BG1728" i="1"/>
  <c r="T1729" i="1"/>
  <c r="U1729" i="1"/>
  <c r="V1729" i="1"/>
  <c r="W1729" i="1"/>
  <c r="X1729" i="1"/>
  <c r="Y1729" i="1"/>
  <c r="Z1729" i="1"/>
  <c r="AB1729" i="1"/>
  <c r="AF1729" i="1"/>
  <c r="AI1729" i="1"/>
  <c r="AE1730" i="1"/>
  <c r="AC1730" i="1"/>
  <c r="AJ1729" i="1"/>
  <c r="AK1729" i="1"/>
  <c r="AM1729" i="1"/>
  <c r="BF1729" i="1"/>
  <c r="BG1729" i="1"/>
  <c r="T1730" i="1"/>
  <c r="U1730" i="1"/>
  <c r="V1730" i="1"/>
  <c r="W1730" i="1"/>
  <c r="X1730" i="1"/>
  <c r="Y1730" i="1"/>
  <c r="Z1730" i="1"/>
  <c r="AB1730" i="1"/>
  <c r="AF1730" i="1"/>
  <c r="AI1730" i="1"/>
  <c r="H1731" i="1"/>
  <c r="AE1731" i="1"/>
  <c r="I1731" i="1"/>
  <c r="J1731" i="1"/>
  <c r="K1731" i="1"/>
  <c r="AC1731" i="1"/>
  <c r="AJ1730" i="1"/>
  <c r="AK1730" i="1"/>
  <c r="AM1730" i="1"/>
  <c r="BG1730" i="1"/>
  <c r="T1731" i="1"/>
  <c r="U1731" i="1"/>
  <c r="V1731" i="1"/>
  <c r="W1731" i="1"/>
  <c r="X1731" i="1"/>
  <c r="Y1731" i="1"/>
  <c r="Z1731" i="1"/>
  <c r="AB1731" i="1"/>
  <c r="AF1731" i="1"/>
  <c r="AI1731" i="1"/>
  <c r="AE1732" i="1"/>
  <c r="AC1732" i="1"/>
  <c r="AJ1731" i="1"/>
  <c r="AK1731" i="1"/>
  <c r="AM1731" i="1"/>
  <c r="BF1731" i="1"/>
  <c r="BG1731" i="1"/>
  <c r="T1732" i="1"/>
  <c r="U1732" i="1"/>
  <c r="V1732" i="1"/>
  <c r="W1732" i="1"/>
  <c r="X1732" i="1"/>
  <c r="Y1732" i="1"/>
  <c r="Z1732" i="1"/>
  <c r="AB1732" i="1"/>
  <c r="AF1732" i="1"/>
  <c r="AI1732" i="1"/>
  <c r="AE1733" i="1"/>
  <c r="AC1733" i="1"/>
  <c r="AJ1732" i="1"/>
  <c r="AK1732" i="1"/>
  <c r="AM1732" i="1"/>
  <c r="BF1732" i="1"/>
  <c r="BG1732" i="1"/>
  <c r="T1733" i="1"/>
  <c r="U1733" i="1"/>
  <c r="V1733" i="1"/>
  <c r="W1733" i="1"/>
  <c r="X1733" i="1"/>
  <c r="Y1733" i="1"/>
  <c r="Z1733" i="1"/>
  <c r="AB1733" i="1"/>
  <c r="AF1733" i="1"/>
  <c r="AI1733" i="1"/>
  <c r="H1734" i="1"/>
  <c r="AE1734" i="1"/>
  <c r="I1734" i="1"/>
  <c r="J1734" i="1"/>
  <c r="K1734" i="1"/>
  <c r="AC1734" i="1"/>
  <c r="AJ1733" i="1"/>
  <c r="AK1733" i="1"/>
  <c r="AM1733" i="1"/>
  <c r="BG1733" i="1"/>
  <c r="T1734" i="1"/>
  <c r="U1734" i="1"/>
  <c r="V1734" i="1"/>
  <c r="W1734" i="1"/>
  <c r="X1734" i="1"/>
  <c r="Y1734" i="1"/>
  <c r="Z1734" i="1"/>
  <c r="AB1734" i="1"/>
  <c r="AF1734" i="1"/>
  <c r="AI1734" i="1"/>
  <c r="AE1735" i="1"/>
  <c r="AC1735" i="1"/>
  <c r="AJ1734" i="1"/>
  <c r="AK1734" i="1"/>
  <c r="AM1734" i="1"/>
  <c r="BF1734" i="1"/>
  <c r="BG1734" i="1"/>
  <c r="T1735" i="1"/>
  <c r="U1735" i="1"/>
  <c r="V1735" i="1"/>
  <c r="W1735" i="1"/>
  <c r="X1735" i="1"/>
  <c r="Y1735" i="1"/>
  <c r="Z1735" i="1"/>
  <c r="AB1735" i="1"/>
  <c r="AF1735" i="1"/>
  <c r="AI1735" i="1"/>
  <c r="AE1736" i="1"/>
  <c r="AC1736" i="1"/>
  <c r="AJ1735" i="1"/>
  <c r="AK1735" i="1"/>
  <c r="AM1735" i="1"/>
  <c r="BF1735" i="1"/>
  <c r="BG1735" i="1"/>
  <c r="T1736" i="1"/>
  <c r="U1736" i="1"/>
  <c r="V1736" i="1"/>
  <c r="W1736" i="1"/>
  <c r="X1736" i="1"/>
  <c r="Y1736" i="1"/>
  <c r="Z1736" i="1"/>
  <c r="AB1736" i="1"/>
  <c r="AF1736" i="1"/>
  <c r="AI1736" i="1"/>
  <c r="AE1737" i="1"/>
  <c r="AC1737" i="1"/>
  <c r="AJ1736" i="1"/>
  <c r="AK1736" i="1"/>
  <c r="AM1736" i="1"/>
  <c r="BF1736" i="1"/>
  <c r="BG1736" i="1"/>
  <c r="T1737" i="1"/>
  <c r="U1737" i="1"/>
  <c r="V1737" i="1"/>
  <c r="W1737" i="1"/>
  <c r="X1737" i="1"/>
  <c r="Y1737" i="1"/>
  <c r="Z1737" i="1"/>
  <c r="AB1737" i="1"/>
  <c r="AF1737" i="1"/>
  <c r="AI1737" i="1"/>
  <c r="H1738" i="1"/>
  <c r="AE1738" i="1"/>
  <c r="I1738" i="1"/>
  <c r="J1738" i="1"/>
  <c r="K1738" i="1"/>
  <c r="AC1738" i="1"/>
  <c r="AJ1737" i="1"/>
  <c r="AK1737" i="1"/>
  <c r="AM1737" i="1"/>
  <c r="BG1737" i="1"/>
  <c r="T1738" i="1"/>
  <c r="U1738" i="1"/>
  <c r="V1738" i="1"/>
  <c r="W1738" i="1"/>
  <c r="X1738" i="1"/>
  <c r="Y1738" i="1"/>
  <c r="Z1738" i="1"/>
  <c r="AB1738" i="1"/>
  <c r="AF1738" i="1"/>
  <c r="AI1738" i="1"/>
  <c r="AE1739" i="1"/>
  <c r="AC1739" i="1"/>
  <c r="AJ1738" i="1"/>
  <c r="AK1738" i="1"/>
  <c r="AM1738" i="1"/>
  <c r="BF1738" i="1"/>
  <c r="BG1738" i="1"/>
  <c r="T1739" i="1"/>
  <c r="U1739" i="1"/>
  <c r="V1739" i="1"/>
  <c r="W1739" i="1"/>
  <c r="X1739" i="1"/>
  <c r="Y1739" i="1"/>
  <c r="Z1739" i="1"/>
  <c r="AB1739" i="1"/>
  <c r="AF1739" i="1"/>
  <c r="AI1739" i="1"/>
  <c r="AE1740" i="1"/>
  <c r="AC1740" i="1"/>
  <c r="AJ1739" i="1"/>
  <c r="AK1739" i="1"/>
  <c r="AM1739" i="1"/>
  <c r="BF1739" i="1"/>
  <c r="BG1739" i="1"/>
  <c r="T1740" i="1"/>
  <c r="U1740" i="1"/>
  <c r="V1740" i="1"/>
  <c r="W1740" i="1"/>
  <c r="X1740" i="1"/>
  <c r="Y1740" i="1"/>
  <c r="Z1740" i="1"/>
  <c r="AB1740" i="1"/>
  <c r="AF1740" i="1"/>
  <c r="AI1740" i="1"/>
  <c r="H1741" i="1"/>
  <c r="AE1741" i="1"/>
  <c r="I1741" i="1"/>
  <c r="J1741" i="1"/>
  <c r="K1741" i="1"/>
  <c r="AC1741" i="1"/>
  <c r="AJ1740" i="1"/>
  <c r="AK1740" i="1"/>
  <c r="AM1740" i="1"/>
  <c r="BG1740" i="1"/>
  <c r="T1741" i="1"/>
  <c r="U1741" i="1"/>
  <c r="V1741" i="1"/>
  <c r="W1741" i="1"/>
  <c r="X1741" i="1"/>
  <c r="Y1741" i="1"/>
  <c r="Z1741" i="1"/>
  <c r="AB1741" i="1"/>
  <c r="AF1741" i="1"/>
  <c r="AI1741" i="1"/>
  <c r="AE1742" i="1"/>
  <c r="AC1742" i="1"/>
  <c r="AJ1741" i="1"/>
  <c r="AK1741" i="1"/>
  <c r="AM1741" i="1"/>
  <c r="BF1741" i="1"/>
  <c r="BG1741" i="1"/>
  <c r="T1742" i="1"/>
  <c r="U1742" i="1"/>
  <c r="V1742" i="1"/>
  <c r="W1742" i="1"/>
  <c r="X1742" i="1"/>
  <c r="Y1742" i="1"/>
  <c r="Z1742" i="1"/>
  <c r="AB1742" i="1"/>
  <c r="AF1742" i="1"/>
  <c r="AI1742" i="1"/>
  <c r="AE1743" i="1"/>
  <c r="AC1743" i="1"/>
  <c r="AJ1742" i="1"/>
  <c r="AK1742" i="1"/>
  <c r="AM1742" i="1"/>
  <c r="BF1742" i="1"/>
  <c r="BG1742" i="1"/>
  <c r="T1743" i="1"/>
  <c r="U1743" i="1"/>
  <c r="V1743" i="1"/>
  <c r="W1743" i="1"/>
  <c r="X1743" i="1"/>
  <c r="Y1743" i="1"/>
  <c r="Z1743" i="1"/>
  <c r="AB1743" i="1"/>
  <c r="AF1743" i="1"/>
  <c r="AI1743" i="1"/>
  <c r="H1744" i="1"/>
  <c r="AE1744" i="1"/>
  <c r="I1744" i="1"/>
  <c r="J1744" i="1"/>
  <c r="K1744" i="1"/>
  <c r="AC1744" i="1"/>
  <c r="AJ1743" i="1"/>
  <c r="AK1743" i="1"/>
  <c r="AM1743" i="1"/>
  <c r="BG1743" i="1"/>
  <c r="T1744" i="1"/>
  <c r="U1744" i="1"/>
  <c r="V1744" i="1"/>
  <c r="W1744" i="1"/>
  <c r="X1744" i="1"/>
  <c r="Y1744" i="1"/>
  <c r="Z1744" i="1"/>
  <c r="AB1744" i="1"/>
  <c r="AF1744" i="1"/>
  <c r="AI1744" i="1"/>
  <c r="AE1745" i="1"/>
  <c r="AC1745" i="1"/>
  <c r="AJ1744" i="1"/>
  <c r="AK1744" i="1"/>
  <c r="AM1744" i="1"/>
  <c r="BF1744" i="1"/>
  <c r="BG1744" i="1"/>
  <c r="T1745" i="1"/>
  <c r="U1745" i="1"/>
  <c r="V1745" i="1"/>
  <c r="W1745" i="1"/>
  <c r="X1745" i="1"/>
  <c r="Y1745" i="1"/>
  <c r="Z1745" i="1"/>
  <c r="AB1745" i="1"/>
  <c r="AF1745" i="1"/>
  <c r="AI1745" i="1"/>
  <c r="AE1746" i="1"/>
  <c r="AC1746" i="1"/>
  <c r="AJ1745" i="1"/>
  <c r="AK1745" i="1"/>
  <c r="AM1745" i="1"/>
  <c r="BF1745" i="1"/>
  <c r="BG1745" i="1"/>
  <c r="T1746" i="1"/>
  <c r="U1746" i="1"/>
  <c r="V1746" i="1"/>
  <c r="W1746" i="1"/>
  <c r="X1746" i="1"/>
  <c r="Y1746" i="1"/>
  <c r="Z1746" i="1"/>
  <c r="AB1746" i="1"/>
  <c r="AF1746" i="1"/>
  <c r="AI1746" i="1"/>
  <c r="H1747" i="1"/>
  <c r="AE1747" i="1"/>
  <c r="I1747" i="1"/>
  <c r="J1747" i="1"/>
  <c r="K1747" i="1"/>
  <c r="AC1747" i="1"/>
  <c r="AJ1746" i="1"/>
  <c r="AK1746" i="1"/>
  <c r="AM1746" i="1"/>
  <c r="BG1746" i="1"/>
  <c r="T1747" i="1"/>
  <c r="U1747" i="1"/>
  <c r="V1747" i="1"/>
  <c r="W1747" i="1"/>
  <c r="X1747" i="1"/>
  <c r="Y1747" i="1"/>
  <c r="Z1747" i="1"/>
  <c r="AB1747" i="1"/>
  <c r="AF1747" i="1"/>
  <c r="AI1747" i="1"/>
  <c r="AE1748" i="1"/>
  <c r="AC1748" i="1"/>
  <c r="AJ1747" i="1"/>
  <c r="AK1747" i="1"/>
  <c r="AM1747" i="1"/>
  <c r="BF1747" i="1"/>
  <c r="BG1747" i="1"/>
  <c r="T1748" i="1"/>
  <c r="U1748" i="1"/>
  <c r="V1748" i="1"/>
  <c r="W1748" i="1"/>
  <c r="X1748" i="1"/>
  <c r="Y1748" i="1"/>
  <c r="Z1748" i="1"/>
  <c r="AB1748" i="1"/>
  <c r="AF1748" i="1"/>
  <c r="AI1748" i="1"/>
  <c r="AE1749" i="1"/>
  <c r="AC1749" i="1"/>
  <c r="AJ1748" i="1"/>
  <c r="AK1748" i="1"/>
  <c r="AM1748" i="1"/>
  <c r="BF1748" i="1"/>
  <c r="BG1748" i="1"/>
  <c r="T1749" i="1"/>
  <c r="U1749" i="1"/>
  <c r="V1749" i="1"/>
  <c r="W1749" i="1"/>
  <c r="X1749" i="1"/>
  <c r="Y1749" i="1"/>
  <c r="Z1749" i="1"/>
  <c r="AB1749" i="1"/>
  <c r="AF1749" i="1"/>
  <c r="AI1749" i="1"/>
  <c r="H1750" i="1"/>
  <c r="AE1750" i="1"/>
  <c r="I1750" i="1"/>
  <c r="J1750" i="1"/>
  <c r="K1750" i="1"/>
  <c r="AC1750" i="1"/>
  <c r="AJ1749" i="1"/>
  <c r="AK1749" i="1"/>
  <c r="AM1749" i="1"/>
  <c r="BG1749" i="1"/>
  <c r="T1750" i="1"/>
  <c r="U1750" i="1"/>
  <c r="V1750" i="1"/>
  <c r="W1750" i="1"/>
  <c r="X1750" i="1"/>
  <c r="Y1750" i="1"/>
  <c r="Z1750" i="1"/>
  <c r="AB1750" i="1"/>
  <c r="AF1750" i="1"/>
  <c r="AI1750" i="1"/>
  <c r="AE1751" i="1"/>
  <c r="AC1751" i="1"/>
  <c r="AJ1750" i="1"/>
  <c r="AK1750" i="1"/>
  <c r="AM1750" i="1"/>
  <c r="BF1750" i="1"/>
  <c r="BG1750" i="1"/>
  <c r="T1751" i="1"/>
  <c r="U1751" i="1"/>
  <c r="V1751" i="1"/>
  <c r="W1751" i="1"/>
  <c r="X1751" i="1"/>
  <c r="Y1751" i="1"/>
  <c r="Z1751" i="1"/>
  <c r="AB1751" i="1"/>
  <c r="AF1751" i="1"/>
  <c r="AI1751" i="1"/>
  <c r="AE1752" i="1"/>
  <c r="AC1752" i="1"/>
  <c r="AJ1751" i="1"/>
  <c r="AK1751" i="1"/>
  <c r="AM1751" i="1"/>
  <c r="BF1751" i="1"/>
  <c r="BG1751" i="1"/>
  <c r="T1752" i="1"/>
  <c r="U1752" i="1"/>
  <c r="V1752" i="1"/>
  <c r="W1752" i="1"/>
  <c r="X1752" i="1"/>
  <c r="Y1752" i="1"/>
  <c r="Z1752" i="1"/>
  <c r="AB1752" i="1"/>
  <c r="AF1752" i="1"/>
  <c r="AI1752" i="1"/>
  <c r="H1753" i="1"/>
  <c r="AE1753" i="1"/>
  <c r="I1753" i="1"/>
  <c r="J1753" i="1"/>
  <c r="K1753" i="1"/>
  <c r="AC1753" i="1"/>
  <c r="AJ1752" i="1"/>
  <c r="AK1752" i="1"/>
  <c r="AM1752" i="1"/>
  <c r="BG1752" i="1"/>
  <c r="T1753" i="1"/>
  <c r="U1753" i="1"/>
  <c r="V1753" i="1"/>
  <c r="W1753" i="1"/>
  <c r="X1753" i="1"/>
  <c r="Y1753" i="1"/>
  <c r="Z1753" i="1"/>
  <c r="AB1753" i="1"/>
  <c r="AF1753" i="1"/>
  <c r="AI1753" i="1"/>
  <c r="AE1754" i="1"/>
  <c r="AC1754" i="1"/>
  <c r="AJ1753" i="1"/>
  <c r="AK1753" i="1"/>
  <c r="AM1753" i="1"/>
  <c r="BF1753" i="1"/>
  <c r="BG1753" i="1"/>
  <c r="T1754" i="1"/>
  <c r="U1754" i="1"/>
  <c r="V1754" i="1"/>
  <c r="W1754" i="1"/>
  <c r="X1754" i="1"/>
  <c r="Y1754" i="1"/>
  <c r="Z1754" i="1"/>
  <c r="AB1754" i="1"/>
  <c r="AF1754" i="1"/>
  <c r="AI1754" i="1"/>
  <c r="AE1755" i="1"/>
  <c r="AC1755" i="1"/>
  <c r="AJ1754" i="1"/>
  <c r="AK1754" i="1"/>
  <c r="AM1754" i="1"/>
  <c r="BF1754" i="1"/>
  <c r="BG1754" i="1"/>
  <c r="T1755" i="1"/>
  <c r="U1755" i="1"/>
  <c r="V1755" i="1"/>
  <c r="W1755" i="1"/>
  <c r="X1755" i="1"/>
  <c r="Y1755" i="1"/>
  <c r="Z1755" i="1"/>
  <c r="AB1755" i="1"/>
  <c r="AF1755" i="1"/>
  <c r="AI1755" i="1"/>
  <c r="H1756" i="1"/>
  <c r="AE1756" i="1"/>
  <c r="I1756" i="1"/>
  <c r="J1756" i="1"/>
  <c r="K1756" i="1"/>
  <c r="AC1756" i="1"/>
  <c r="AJ1755" i="1"/>
  <c r="AK1755" i="1"/>
  <c r="AM1755" i="1"/>
  <c r="BG1755" i="1"/>
  <c r="T1756" i="1"/>
  <c r="U1756" i="1"/>
  <c r="V1756" i="1"/>
  <c r="W1756" i="1"/>
  <c r="X1756" i="1"/>
  <c r="Y1756" i="1"/>
  <c r="Z1756" i="1"/>
  <c r="AB1756" i="1"/>
  <c r="AF1756" i="1"/>
  <c r="AI1756" i="1"/>
  <c r="AE1757" i="1"/>
  <c r="AC1757" i="1"/>
  <c r="AJ1756" i="1"/>
  <c r="AK1756" i="1"/>
  <c r="AM1756" i="1"/>
  <c r="BF1756" i="1"/>
  <c r="BG1756" i="1"/>
  <c r="T1757" i="1"/>
  <c r="U1757" i="1"/>
  <c r="V1757" i="1"/>
  <c r="W1757" i="1"/>
  <c r="X1757" i="1"/>
  <c r="Y1757" i="1"/>
  <c r="Z1757" i="1"/>
  <c r="AB1757" i="1"/>
  <c r="AF1757" i="1"/>
  <c r="AI1757" i="1"/>
  <c r="AE1758" i="1"/>
  <c r="AC1758" i="1"/>
  <c r="AJ1757" i="1"/>
  <c r="AK1757" i="1"/>
  <c r="AM1757" i="1"/>
  <c r="BF1757" i="1"/>
  <c r="BG1757" i="1"/>
  <c r="T1758" i="1"/>
  <c r="U1758" i="1"/>
  <c r="V1758" i="1"/>
  <c r="W1758" i="1"/>
  <c r="X1758" i="1"/>
  <c r="Y1758" i="1"/>
  <c r="Z1758" i="1"/>
  <c r="AB1758" i="1"/>
  <c r="AF1758" i="1"/>
  <c r="AI1758" i="1"/>
  <c r="H1759" i="1"/>
  <c r="AE1759" i="1"/>
  <c r="I1759" i="1"/>
  <c r="J1759" i="1"/>
  <c r="K1759" i="1"/>
  <c r="AC1759" i="1"/>
  <c r="AJ1758" i="1"/>
  <c r="AK1758" i="1"/>
  <c r="AM1758" i="1"/>
  <c r="BG1758" i="1"/>
  <c r="T1759" i="1"/>
  <c r="U1759" i="1"/>
  <c r="V1759" i="1"/>
  <c r="W1759" i="1"/>
  <c r="X1759" i="1"/>
  <c r="Y1759" i="1"/>
  <c r="Z1759" i="1"/>
  <c r="AB1759" i="1"/>
  <c r="AF1759" i="1"/>
  <c r="AI1759" i="1"/>
  <c r="AE1760" i="1"/>
  <c r="AC1760" i="1"/>
  <c r="AJ1759" i="1"/>
  <c r="AK1759" i="1"/>
  <c r="AM1759" i="1"/>
  <c r="BF1759" i="1"/>
  <c r="BG1759" i="1"/>
  <c r="T1760" i="1"/>
  <c r="U1760" i="1"/>
  <c r="V1760" i="1"/>
  <c r="W1760" i="1"/>
  <c r="X1760" i="1"/>
  <c r="Y1760" i="1"/>
  <c r="Z1760" i="1"/>
  <c r="AB1760" i="1"/>
  <c r="AF1760" i="1"/>
  <c r="AI1760" i="1"/>
  <c r="AE1761" i="1"/>
  <c r="AC1761" i="1"/>
  <c r="AJ1760" i="1"/>
  <c r="AK1760" i="1"/>
  <c r="AM1760" i="1"/>
  <c r="BF1760" i="1"/>
  <c r="BG1760" i="1"/>
  <c r="T1761" i="1"/>
  <c r="U1761" i="1"/>
  <c r="V1761" i="1"/>
  <c r="W1761" i="1"/>
  <c r="X1761" i="1"/>
  <c r="Y1761" i="1"/>
  <c r="Z1761" i="1"/>
  <c r="AB1761" i="1"/>
  <c r="AF1761" i="1"/>
  <c r="AI1761" i="1"/>
  <c r="H1762" i="1"/>
  <c r="AE1762" i="1"/>
  <c r="I1762" i="1"/>
  <c r="J1762" i="1"/>
  <c r="K1762" i="1"/>
  <c r="AC1762" i="1"/>
  <c r="AJ1761" i="1"/>
  <c r="AK1761" i="1"/>
  <c r="AM1761" i="1"/>
  <c r="BG1761" i="1"/>
  <c r="T1762" i="1"/>
  <c r="U1762" i="1"/>
  <c r="V1762" i="1"/>
  <c r="W1762" i="1"/>
  <c r="X1762" i="1"/>
  <c r="Y1762" i="1"/>
  <c r="Z1762" i="1"/>
  <c r="AB1762" i="1"/>
  <c r="AF1762" i="1"/>
  <c r="AI1762" i="1"/>
  <c r="AE1763" i="1"/>
  <c r="AC1763" i="1"/>
  <c r="AJ1762" i="1"/>
  <c r="AK1762" i="1"/>
  <c r="AM1762" i="1"/>
  <c r="BF1762" i="1"/>
  <c r="BG1762" i="1"/>
  <c r="T1763" i="1"/>
  <c r="U1763" i="1"/>
  <c r="V1763" i="1"/>
  <c r="W1763" i="1"/>
  <c r="X1763" i="1"/>
  <c r="Y1763" i="1"/>
  <c r="Z1763" i="1"/>
  <c r="AB1763" i="1"/>
  <c r="AF1763" i="1"/>
  <c r="AI1763" i="1"/>
  <c r="AE1764" i="1"/>
  <c r="AC1764" i="1"/>
  <c r="AJ1763" i="1"/>
  <c r="AK1763" i="1"/>
  <c r="AM1763" i="1"/>
  <c r="BF1763" i="1"/>
  <c r="BG1763" i="1"/>
  <c r="T1764" i="1"/>
  <c r="U1764" i="1"/>
  <c r="V1764" i="1"/>
  <c r="W1764" i="1"/>
  <c r="X1764" i="1"/>
  <c r="Y1764" i="1"/>
  <c r="Z1764" i="1"/>
  <c r="AB1764" i="1"/>
  <c r="AF1764" i="1"/>
  <c r="AI1764" i="1"/>
  <c r="H1765" i="1"/>
  <c r="AE1765" i="1"/>
  <c r="I1765" i="1"/>
  <c r="J1765" i="1"/>
  <c r="K1765" i="1"/>
  <c r="AC1765" i="1"/>
  <c r="AJ1764" i="1"/>
  <c r="AK1764" i="1"/>
  <c r="AM1764" i="1"/>
  <c r="BG1764" i="1"/>
  <c r="T1765" i="1"/>
  <c r="U1765" i="1"/>
  <c r="V1765" i="1"/>
  <c r="W1765" i="1"/>
  <c r="X1765" i="1"/>
  <c r="Y1765" i="1"/>
  <c r="Z1765" i="1"/>
  <c r="AB1765" i="1"/>
  <c r="AF1765" i="1"/>
  <c r="AI1765" i="1"/>
  <c r="AE1766" i="1"/>
  <c r="AC1766" i="1"/>
  <c r="AJ1765" i="1"/>
  <c r="AK1765" i="1"/>
  <c r="AM1765" i="1"/>
  <c r="BF1765" i="1"/>
  <c r="BG1765" i="1"/>
  <c r="T1766" i="1"/>
  <c r="U1766" i="1"/>
  <c r="V1766" i="1"/>
  <c r="W1766" i="1"/>
  <c r="X1766" i="1"/>
  <c r="Y1766" i="1"/>
  <c r="Z1766" i="1"/>
  <c r="AB1766" i="1"/>
  <c r="AF1766" i="1"/>
  <c r="AI1766" i="1"/>
  <c r="AE1767" i="1"/>
  <c r="AC1767" i="1"/>
  <c r="AJ1766" i="1"/>
  <c r="AK1766" i="1"/>
  <c r="AM1766" i="1"/>
  <c r="BF1766" i="1"/>
  <c r="BG1766" i="1"/>
  <c r="T1767" i="1"/>
  <c r="U1767" i="1"/>
  <c r="V1767" i="1"/>
  <c r="W1767" i="1"/>
  <c r="X1767" i="1"/>
  <c r="Y1767" i="1"/>
  <c r="Z1767" i="1"/>
  <c r="AB1767" i="1"/>
  <c r="AF1767" i="1"/>
  <c r="AI1767" i="1"/>
  <c r="H1768" i="1"/>
  <c r="AE1768" i="1"/>
  <c r="I1768" i="1"/>
  <c r="J1768" i="1"/>
  <c r="K1768" i="1"/>
  <c r="AC1768" i="1"/>
  <c r="AJ1767" i="1"/>
  <c r="AK1767" i="1"/>
  <c r="AM1767" i="1"/>
  <c r="BG1767" i="1"/>
  <c r="T1768" i="1"/>
  <c r="U1768" i="1"/>
  <c r="V1768" i="1"/>
  <c r="W1768" i="1"/>
  <c r="X1768" i="1"/>
  <c r="Y1768" i="1"/>
  <c r="Z1768" i="1"/>
  <c r="AB1768" i="1"/>
  <c r="AF1768" i="1"/>
  <c r="AI1768" i="1"/>
  <c r="AE1769" i="1"/>
  <c r="AC1769" i="1"/>
  <c r="AJ1768" i="1"/>
  <c r="AK1768" i="1"/>
  <c r="AM1768" i="1"/>
  <c r="BF1768" i="1"/>
  <c r="BG1768" i="1"/>
  <c r="T1769" i="1"/>
  <c r="U1769" i="1"/>
  <c r="V1769" i="1"/>
  <c r="W1769" i="1"/>
  <c r="X1769" i="1"/>
  <c r="Y1769" i="1"/>
  <c r="Z1769" i="1"/>
  <c r="AB1769" i="1"/>
  <c r="AF1769" i="1"/>
  <c r="AI1769" i="1"/>
  <c r="AE1770" i="1"/>
  <c r="AC1770" i="1"/>
  <c r="AJ1769" i="1"/>
  <c r="AK1769" i="1"/>
  <c r="AM1769" i="1"/>
  <c r="BF1769" i="1"/>
  <c r="BG1769" i="1"/>
  <c r="T1770" i="1"/>
  <c r="U1770" i="1"/>
  <c r="V1770" i="1"/>
  <c r="W1770" i="1"/>
  <c r="X1770" i="1"/>
  <c r="Y1770" i="1"/>
  <c r="Z1770" i="1"/>
  <c r="AB1770" i="1"/>
  <c r="AF1770" i="1"/>
  <c r="AI1770" i="1"/>
  <c r="H1771" i="1"/>
  <c r="AE1771" i="1"/>
  <c r="I1771" i="1"/>
  <c r="J1771" i="1"/>
  <c r="K1771" i="1"/>
  <c r="AC1771" i="1"/>
  <c r="AJ1770" i="1"/>
  <c r="AK1770" i="1"/>
  <c r="AM1770" i="1"/>
  <c r="BG1770" i="1"/>
  <c r="T1771" i="1"/>
  <c r="U1771" i="1"/>
  <c r="V1771" i="1"/>
  <c r="W1771" i="1"/>
  <c r="X1771" i="1"/>
  <c r="Y1771" i="1"/>
  <c r="Z1771" i="1"/>
  <c r="AB1771" i="1"/>
  <c r="AF1771" i="1"/>
  <c r="AI1771" i="1"/>
  <c r="AE1772" i="1"/>
  <c r="AC1772" i="1"/>
  <c r="AJ1771" i="1"/>
  <c r="AK1771" i="1"/>
  <c r="AM1771" i="1"/>
  <c r="BF1771" i="1"/>
  <c r="BG1771" i="1"/>
  <c r="T1772" i="1"/>
  <c r="U1772" i="1"/>
  <c r="V1772" i="1"/>
  <c r="W1772" i="1"/>
  <c r="X1772" i="1"/>
  <c r="Y1772" i="1"/>
  <c r="Z1772" i="1"/>
  <c r="AB1772" i="1"/>
  <c r="AF1772" i="1"/>
  <c r="AI1772" i="1"/>
  <c r="AE1773" i="1"/>
  <c r="AC1773" i="1"/>
  <c r="AJ1772" i="1"/>
  <c r="AK1772" i="1"/>
  <c r="AM1772" i="1"/>
  <c r="BF1772" i="1"/>
  <c r="BG1772" i="1"/>
  <c r="T1773" i="1"/>
  <c r="U1773" i="1"/>
  <c r="V1773" i="1"/>
  <c r="W1773" i="1"/>
  <c r="X1773" i="1"/>
  <c r="Y1773" i="1"/>
  <c r="Z1773" i="1"/>
  <c r="AB1773" i="1"/>
  <c r="AF1773" i="1"/>
  <c r="AI1773" i="1"/>
  <c r="H1774" i="1"/>
  <c r="AE1774" i="1"/>
  <c r="I1774" i="1"/>
  <c r="J1774" i="1"/>
  <c r="K1774" i="1"/>
  <c r="AC1774" i="1"/>
  <c r="AJ1773" i="1"/>
  <c r="AK1773" i="1"/>
  <c r="AM1773" i="1"/>
  <c r="BG1773" i="1"/>
  <c r="T1774" i="1"/>
  <c r="U1774" i="1"/>
  <c r="V1774" i="1"/>
  <c r="W1774" i="1"/>
  <c r="X1774" i="1"/>
  <c r="Y1774" i="1"/>
  <c r="Z1774" i="1"/>
  <c r="AB1774" i="1"/>
  <c r="AF1774" i="1"/>
  <c r="AI1774" i="1"/>
  <c r="AE1775" i="1"/>
  <c r="AC1775" i="1"/>
  <c r="AJ1774" i="1"/>
  <c r="AK1774" i="1"/>
  <c r="AM1774" i="1"/>
  <c r="BF1774" i="1"/>
  <c r="BG1774" i="1"/>
  <c r="T1775" i="1"/>
  <c r="U1775" i="1"/>
  <c r="V1775" i="1"/>
  <c r="W1775" i="1"/>
  <c r="X1775" i="1"/>
  <c r="Y1775" i="1"/>
  <c r="Z1775" i="1"/>
  <c r="AB1775" i="1"/>
  <c r="AF1775" i="1"/>
  <c r="AI1775" i="1"/>
  <c r="AE1776" i="1"/>
  <c r="AC1776" i="1"/>
  <c r="AJ1775" i="1"/>
  <c r="AK1775" i="1"/>
  <c r="AM1775" i="1"/>
  <c r="BF1775" i="1"/>
  <c r="BG1775" i="1"/>
  <c r="T1776" i="1"/>
  <c r="U1776" i="1"/>
  <c r="V1776" i="1"/>
  <c r="W1776" i="1"/>
  <c r="X1776" i="1"/>
  <c r="Y1776" i="1"/>
  <c r="Z1776" i="1"/>
  <c r="AB1776" i="1"/>
  <c r="AF1776" i="1"/>
  <c r="AI1776" i="1"/>
  <c r="H1777" i="1"/>
  <c r="AE1777" i="1"/>
  <c r="I1777" i="1"/>
  <c r="J1777" i="1"/>
  <c r="K1777" i="1"/>
  <c r="AC1777" i="1"/>
  <c r="AJ1776" i="1"/>
  <c r="AK1776" i="1"/>
  <c r="AM1776" i="1"/>
  <c r="BG1776" i="1"/>
  <c r="T1777" i="1"/>
  <c r="U1777" i="1"/>
  <c r="V1777" i="1"/>
  <c r="W1777" i="1"/>
  <c r="X1777" i="1"/>
  <c r="Y1777" i="1"/>
  <c r="Z1777" i="1"/>
  <c r="AB1777" i="1"/>
  <c r="AF1777" i="1"/>
  <c r="AI1777" i="1"/>
  <c r="AE1778" i="1"/>
  <c r="AC1778" i="1"/>
  <c r="AJ1777" i="1"/>
  <c r="AK1777" i="1"/>
  <c r="AM1777" i="1"/>
  <c r="BF1777" i="1"/>
  <c r="BG1777" i="1"/>
  <c r="T1778" i="1"/>
  <c r="U1778" i="1"/>
  <c r="V1778" i="1"/>
  <c r="W1778" i="1"/>
  <c r="X1778" i="1"/>
  <c r="Y1778" i="1"/>
  <c r="Z1778" i="1"/>
  <c r="AB1778" i="1"/>
  <c r="AF1778" i="1"/>
  <c r="AI1778" i="1"/>
  <c r="AE1779" i="1"/>
  <c r="AC1779" i="1"/>
  <c r="AJ1778" i="1"/>
  <c r="AK1778" i="1"/>
  <c r="AM1778" i="1"/>
  <c r="BF1778" i="1"/>
  <c r="BG1778" i="1"/>
  <c r="T1779" i="1"/>
  <c r="U1779" i="1"/>
  <c r="V1779" i="1"/>
  <c r="W1779" i="1"/>
  <c r="X1779" i="1"/>
  <c r="Y1779" i="1"/>
  <c r="Z1779" i="1"/>
  <c r="AB1779" i="1"/>
  <c r="AF1779" i="1"/>
  <c r="AI1779" i="1"/>
  <c r="AE1780" i="1"/>
  <c r="AC1780" i="1"/>
  <c r="AJ1779" i="1"/>
  <c r="AK1779" i="1"/>
  <c r="AM1779" i="1"/>
  <c r="BF1779" i="1"/>
  <c r="BG1779" i="1"/>
  <c r="T1780" i="1"/>
  <c r="U1780" i="1"/>
  <c r="V1780" i="1"/>
  <c r="W1780" i="1"/>
  <c r="X1780" i="1"/>
  <c r="Y1780" i="1"/>
  <c r="Z1780" i="1"/>
  <c r="AB1780" i="1"/>
  <c r="AF1780" i="1"/>
  <c r="AI1780" i="1"/>
  <c r="H1781" i="1"/>
  <c r="AE1781" i="1"/>
  <c r="I1781" i="1"/>
  <c r="J1781" i="1"/>
  <c r="K1781" i="1"/>
  <c r="AC1781" i="1"/>
  <c r="AJ1780" i="1"/>
  <c r="AK1780" i="1"/>
  <c r="AM1780" i="1"/>
  <c r="BG1780" i="1"/>
  <c r="T1781" i="1"/>
  <c r="U1781" i="1"/>
  <c r="V1781" i="1"/>
  <c r="W1781" i="1"/>
  <c r="X1781" i="1"/>
  <c r="Y1781" i="1"/>
  <c r="Z1781" i="1"/>
  <c r="AB1781" i="1"/>
  <c r="AF1781" i="1"/>
  <c r="AI1781" i="1"/>
  <c r="H1782" i="1"/>
  <c r="AE1782" i="1"/>
  <c r="I1782" i="1"/>
  <c r="J1782" i="1"/>
  <c r="K1782" i="1"/>
  <c r="AC1782" i="1"/>
  <c r="AJ1781" i="1"/>
  <c r="AK1781" i="1"/>
  <c r="AM1781" i="1"/>
  <c r="BF1781" i="1"/>
  <c r="BG1781" i="1"/>
  <c r="T1782" i="1"/>
  <c r="U1782" i="1"/>
  <c r="V1782" i="1"/>
  <c r="W1782" i="1"/>
  <c r="X1782" i="1"/>
  <c r="Y1782" i="1"/>
  <c r="Z1782" i="1"/>
  <c r="AB1782" i="1"/>
  <c r="AF1782" i="1"/>
  <c r="AI1782" i="1"/>
  <c r="H1783" i="1"/>
  <c r="AE1783" i="1"/>
  <c r="I1783" i="1"/>
  <c r="J1783" i="1"/>
  <c r="K1783" i="1"/>
  <c r="AC1783" i="1"/>
  <c r="AJ1782" i="1"/>
  <c r="AK1782" i="1"/>
  <c r="AM1782" i="1"/>
  <c r="BF1782" i="1"/>
  <c r="BG1782" i="1"/>
  <c r="T1783" i="1"/>
  <c r="U1783" i="1"/>
  <c r="V1783" i="1"/>
  <c r="W1783" i="1"/>
  <c r="X1783" i="1"/>
  <c r="Y1783" i="1"/>
  <c r="Z1783" i="1"/>
  <c r="AB1783" i="1"/>
  <c r="AF1783" i="1"/>
  <c r="AI1783" i="1"/>
  <c r="H1784" i="1"/>
  <c r="AE1784" i="1"/>
  <c r="I1784" i="1"/>
  <c r="J1784" i="1"/>
  <c r="K1784" i="1"/>
  <c r="AC1784" i="1"/>
  <c r="AJ1783" i="1"/>
  <c r="AK1783" i="1"/>
  <c r="AM1783" i="1"/>
  <c r="BF1783" i="1"/>
  <c r="BG1783" i="1"/>
  <c r="T1784" i="1"/>
  <c r="U1784" i="1"/>
  <c r="V1784" i="1"/>
  <c r="W1784" i="1"/>
  <c r="X1784" i="1"/>
  <c r="Y1784" i="1"/>
  <c r="Z1784" i="1"/>
  <c r="AB1784" i="1"/>
  <c r="AF1784" i="1"/>
  <c r="AI1784" i="1"/>
  <c r="AE1785" i="1"/>
  <c r="AC1785" i="1"/>
  <c r="AJ1784" i="1"/>
  <c r="AK1784" i="1"/>
  <c r="AM1784" i="1"/>
  <c r="BF1784" i="1"/>
  <c r="BG1784" i="1"/>
  <c r="T1785" i="1"/>
  <c r="U1785" i="1"/>
  <c r="V1785" i="1"/>
  <c r="W1785" i="1"/>
  <c r="X1785" i="1"/>
  <c r="Y1785" i="1"/>
  <c r="Z1785" i="1"/>
  <c r="AB1785" i="1"/>
  <c r="AF1785" i="1"/>
  <c r="AI1785" i="1"/>
  <c r="AE1786" i="1"/>
  <c r="AC1786" i="1"/>
  <c r="AJ1785" i="1"/>
  <c r="AK1785" i="1"/>
  <c r="AM1785" i="1"/>
  <c r="BF1785" i="1"/>
  <c r="BG1785" i="1"/>
  <c r="T1786" i="1"/>
  <c r="U1786" i="1"/>
  <c r="V1786" i="1"/>
  <c r="W1786" i="1"/>
  <c r="X1786" i="1"/>
  <c r="Y1786" i="1"/>
  <c r="Z1786" i="1"/>
  <c r="AB1786" i="1"/>
  <c r="AF1786" i="1"/>
  <c r="AI1786" i="1"/>
  <c r="H1787" i="1"/>
  <c r="AE1787" i="1"/>
  <c r="I1787" i="1"/>
  <c r="J1787" i="1"/>
  <c r="K1787" i="1"/>
  <c r="AC1787" i="1"/>
  <c r="AJ1786" i="1"/>
  <c r="AK1786" i="1"/>
  <c r="AM1786" i="1"/>
  <c r="BG1786" i="1"/>
  <c r="T1787" i="1"/>
  <c r="U1787" i="1"/>
  <c r="V1787" i="1"/>
  <c r="W1787" i="1"/>
  <c r="X1787" i="1"/>
  <c r="Y1787" i="1"/>
  <c r="Z1787" i="1"/>
  <c r="AB1787" i="1"/>
  <c r="AF1787" i="1"/>
  <c r="AI1787" i="1"/>
  <c r="AE1788" i="1"/>
  <c r="AC1788" i="1"/>
  <c r="AJ1787" i="1"/>
  <c r="AK1787" i="1"/>
  <c r="AM1787" i="1"/>
  <c r="BF1787" i="1"/>
  <c r="BG1787" i="1"/>
  <c r="T1788" i="1"/>
  <c r="U1788" i="1"/>
  <c r="V1788" i="1"/>
  <c r="W1788" i="1"/>
  <c r="X1788" i="1"/>
  <c r="Y1788" i="1"/>
  <c r="Z1788" i="1"/>
  <c r="AB1788" i="1"/>
  <c r="AF1788" i="1"/>
  <c r="AI1788" i="1"/>
  <c r="AE1789" i="1"/>
  <c r="AC1789" i="1"/>
  <c r="AJ1788" i="1"/>
  <c r="AK1788" i="1"/>
  <c r="AM1788" i="1"/>
  <c r="BF1788" i="1"/>
  <c r="BG1788" i="1"/>
  <c r="T1789" i="1"/>
  <c r="U1789" i="1"/>
  <c r="V1789" i="1"/>
  <c r="W1789" i="1"/>
  <c r="X1789" i="1"/>
  <c r="Y1789" i="1"/>
  <c r="Z1789" i="1"/>
  <c r="AB1789" i="1"/>
  <c r="AF1789" i="1"/>
  <c r="AI1789" i="1"/>
  <c r="H1790" i="1"/>
  <c r="AE1790" i="1"/>
  <c r="I1790" i="1"/>
  <c r="J1790" i="1"/>
  <c r="K1790" i="1"/>
  <c r="AC1790" i="1"/>
  <c r="AJ1789" i="1"/>
  <c r="AK1789" i="1"/>
  <c r="AM1789" i="1"/>
  <c r="BG1789" i="1"/>
  <c r="T1790" i="1"/>
  <c r="U1790" i="1"/>
  <c r="V1790" i="1"/>
  <c r="W1790" i="1"/>
  <c r="X1790" i="1"/>
  <c r="Y1790" i="1"/>
  <c r="Z1790" i="1"/>
  <c r="AB1790" i="1"/>
  <c r="AF1790" i="1"/>
  <c r="AI1790" i="1"/>
  <c r="AE1791" i="1"/>
  <c r="AC1791" i="1"/>
  <c r="AJ1790" i="1"/>
  <c r="AK1790" i="1"/>
  <c r="AM1790" i="1"/>
  <c r="BF1790" i="1"/>
  <c r="BG1790" i="1"/>
  <c r="T1791" i="1"/>
  <c r="U1791" i="1"/>
  <c r="V1791" i="1"/>
  <c r="W1791" i="1"/>
  <c r="X1791" i="1"/>
  <c r="Y1791" i="1"/>
  <c r="Z1791" i="1"/>
  <c r="AB1791" i="1"/>
  <c r="AF1791" i="1"/>
  <c r="AI1791" i="1"/>
  <c r="AE1792" i="1"/>
  <c r="AC1792" i="1"/>
  <c r="AJ1791" i="1"/>
  <c r="AK1791" i="1"/>
  <c r="AM1791" i="1"/>
  <c r="BF1791" i="1"/>
  <c r="BG1791" i="1"/>
  <c r="T1792" i="1"/>
  <c r="U1792" i="1"/>
  <c r="V1792" i="1"/>
  <c r="W1792" i="1"/>
  <c r="X1792" i="1"/>
  <c r="Y1792" i="1"/>
  <c r="Z1792" i="1"/>
  <c r="AB1792" i="1"/>
  <c r="AF1792" i="1"/>
  <c r="AI1792" i="1"/>
  <c r="H1793" i="1"/>
  <c r="AE1793" i="1"/>
  <c r="I1793" i="1"/>
  <c r="J1793" i="1"/>
  <c r="K1793" i="1"/>
  <c r="AC1793" i="1"/>
  <c r="AJ1792" i="1"/>
  <c r="AK1792" i="1"/>
  <c r="AM1792" i="1"/>
  <c r="BG1792" i="1"/>
  <c r="T1793" i="1"/>
  <c r="U1793" i="1"/>
  <c r="V1793" i="1"/>
  <c r="W1793" i="1"/>
  <c r="X1793" i="1"/>
  <c r="Y1793" i="1"/>
  <c r="Z1793" i="1"/>
  <c r="AB1793" i="1"/>
  <c r="AF1793" i="1"/>
  <c r="AI1793" i="1"/>
  <c r="H1794" i="1"/>
  <c r="AE1794" i="1"/>
  <c r="I1794" i="1"/>
  <c r="J1794" i="1"/>
  <c r="K1794" i="1"/>
  <c r="AC1794" i="1"/>
  <c r="AJ1793" i="1"/>
  <c r="AK1793" i="1"/>
  <c r="AM1793" i="1"/>
  <c r="BF1793" i="1"/>
  <c r="BG1793" i="1"/>
  <c r="T1794" i="1"/>
  <c r="U1794" i="1"/>
  <c r="V1794" i="1"/>
  <c r="W1794" i="1"/>
  <c r="X1794" i="1"/>
  <c r="Y1794" i="1"/>
  <c r="Z1794" i="1"/>
  <c r="AB1794" i="1"/>
  <c r="AF1794" i="1"/>
  <c r="AI1794" i="1"/>
  <c r="AE1795" i="1"/>
  <c r="AC1795" i="1"/>
  <c r="AJ1794" i="1"/>
  <c r="AK1794" i="1"/>
  <c r="AM1794" i="1"/>
  <c r="BF1794" i="1"/>
  <c r="BG1794" i="1"/>
  <c r="T1795" i="1"/>
  <c r="U1795" i="1"/>
  <c r="V1795" i="1"/>
  <c r="W1795" i="1"/>
  <c r="X1795" i="1"/>
  <c r="Y1795" i="1"/>
  <c r="Z1795" i="1"/>
  <c r="AB1795" i="1"/>
  <c r="AF1795" i="1"/>
  <c r="AI1795" i="1"/>
  <c r="AE1796" i="1"/>
  <c r="AC1796" i="1"/>
  <c r="AJ1795" i="1"/>
  <c r="AK1795" i="1"/>
  <c r="AM1795" i="1"/>
  <c r="BF1795" i="1"/>
  <c r="BG1795" i="1"/>
  <c r="T1796" i="1"/>
  <c r="U1796" i="1"/>
  <c r="V1796" i="1"/>
  <c r="W1796" i="1"/>
  <c r="X1796" i="1"/>
  <c r="Y1796" i="1"/>
  <c r="Z1796" i="1"/>
  <c r="AB1796" i="1"/>
  <c r="AF1796" i="1"/>
  <c r="AI1796" i="1"/>
  <c r="H1797" i="1"/>
  <c r="AE1797" i="1"/>
  <c r="I1797" i="1"/>
  <c r="J1797" i="1"/>
  <c r="K1797" i="1"/>
  <c r="AC1797" i="1"/>
  <c r="AJ1796" i="1"/>
  <c r="AK1796" i="1"/>
  <c r="AM1796" i="1"/>
  <c r="BG1796" i="1"/>
  <c r="T1797" i="1"/>
  <c r="U1797" i="1"/>
  <c r="V1797" i="1"/>
  <c r="W1797" i="1"/>
  <c r="X1797" i="1"/>
  <c r="Y1797" i="1"/>
  <c r="Z1797" i="1"/>
  <c r="AB1797" i="1"/>
  <c r="AF1797" i="1"/>
  <c r="AI1797" i="1"/>
  <c r="H1798" i="1"/>
  <c r="AE1798" i="1"/>
  <c r="I1798" i="1"/>
  <c r="J1798" i="1"/>
  <c r="K1798" i="1"/>
  <c r="AC1798" i="1"/>
  <c r="AJ1797" i="1"/>
  <c r="AK1797" i="1"/>
  <c r="AM1797" i="1"/>
  <c r="BF1797" i="1"/>
  <c r="BG1797" i="1"/>
  <c r="T1798" i="1"/>
  <c r="U1798" i="1"/>
  <c r="V1798" i="1"/>
  <c r="W1798" i="1"/>
  <c r="X1798" i="1"/>
  <c r="Y1798" i="1"/>
  <c r="Z1798" i="1"/>
  <c r="AB1798" i="1"/>
  <c r="AF1798" i="1"/>
  <c r="AI1798" i="1"/>
  <c r="AE1799" i="1"/>
  <c r="AC1799" i="1"/>
  <c r="AJ1798" i="1"/>
  <c r="AK1798" i="1"/>
  <c r="AM1798" i="1"/>
  <c r="BF1798" i="1"/>
  <c r="BG1798" i="1"/>
  <c r="T1799" i="1"/>
  <c r="U1799" i="1"/>
  <c r="V1799" i="1"/>
  <c r="W1799" i="1"/>
  <c r="X1799" i="1"/>
  <c r="Y1799" i="1"/>
  <c r="Z1799" i="1"/>
  <c r="AB1799" i="1"/>
  <c r="AF1799" i="1"/>
  <c r="AI1799" i="1"/>
  <c r="AE1800" i="1"/>
  <c r="AC1800" i="1"/>
  <c r="AJ1799" i="1"/>
  <c r="AK1799" i="1"/>
  <c r="AM1799" i="1"/>
  <c r="BF1799" i="1"/>
  <c r="BG1799" i="1"/>
  <c r="T1800" i="1"/>
  <c r="U1800" i="1"/>
  <c r="V1800" i="1"/>
  <c r="W1800" i="1"/>
  <c r="X1800" i="1"/>
  <c r="Y1800" i="1"/>
  <c r="Z1800" i="1"/>
  <c r="AB1800" i="1"/>
  <c r="AF1800" i="1"/>
  <c r="AI1800" i="1"/>
  <c r="AE1801" i="1"/>
  <c r="AC1801" i="1"/>
  <c r="AJ1800" i="1"/>
  <c r="AK1800" i="1"/>
  <c r="AM1800" i="1"/>
  <c r="BF1800" i="1"/>
  <c r="BG1800" i="1"/>
  <c r="T1801" i="1"/>
  <c r="U1801" i="1"/>
  <c r="V1801" i="1"/>
  <c r="W1801" i="1"/>
  <c r="X1801" i="1"/>
  <c r="Y1801" i="1"/>
  <c r="Z1801" i="1"/>
  <c r="AB1801" i="1"/>
  <c r="AF1801" i="1"/>
  <c r="AI1801" i="1"/>
  <c r="H1802" i="1"/>
  <c r="AE1802" i="1"/>
  <c r="I1802" i="1"/>
  <c r="J1802" i="1"/>
  <c r="K1802" i="1"/>
  <c r="AC1802" i="1"/>
  <c r="AJ1801" i="1"/>
  <c r="AK1801" i="1"/>
  <c r="AM1801" i="1"/>
  <c r="BG1801" i="1"/>
  <c r="T1802" i="1"/>
  <c r="U1802" i="1"/>
  <c r="V1802" i="1"/>
  <c r="W1802" i="1"/>
  <c r="X1802" i="1"/>
  <c r="Y1802" i="1"/>
  <c r="Z1802" i="1"/>
  <c r="AB1802" i="1"/>
  <c r="AF1802" i="1"/>
  <c r="AI1802" i="1"/>
  <c r="H1803" i="1"/>
  <c r="AE1803" i="1"/>
  <c r="I1803" i="1"/>
  <c r="J1803" i="1"/>
  <c r="K1803" i="1"/>
  <c r="AC1803" i="1"/>
  <c r="AJ1802" i="1"/>
  <c r="AK1802" i="1"/>
  <c r="AM1802" i="1"/>
  <c r="BF1802" i="1"/>
  <c r="BG1802" i="1"/>
  <c r="T1803" i="1"/>
  <c r="U1803" i="1"/>
  <c r="V1803" i="1"/>
  <c r="W1803" i="1"/>
  <c r="X1803" i="1"/>
  <c r="Y1803" i="1"/>
  <c r="Z1803" i="1"/>
  <c r="AB1803" i="1"/>
  <c r="AF1803" i="1"/>
  <c r="AI1803" i="1"/>
  <c r="H1804" i="1"/>
  <c r="AE1804" i="1"/>
  <c r="I1804" i="1"/>
  <c r="J1804" i="1"/>
  <c r="K1804" i="1"/>
  <c r="AC1804" i="1"/>
  <c r="AJ1803" i="1"/>
  <c r="AK1803" i="1"/>
  <c r="AM1803" i="1"/>
  <c r="BF1803" i="1"/>
  <c r="BG1803" i="1"/>
  <c r="T1804" i="1"/>
  <c r="U1804" i="1"/>
  <c r="V1804" i="1"/>
  <c r="W1804" i="1"/>
  <c r="X1804" i="1"/>
  <c r="Y1804" i="1"/>
  <c r="Z1804" i="1"/>
  <c r="AB1804" i="1"/>
  <c r="AF1804" i="1"/>
  <c r="AI1804" i="1"/>
  <c r="AE1805" i="1"/>
  <c r="AC1805" i="1"/>
  <c r="AJ1804" i="1"/>
  <c r="AK1804" i="1"/>
  <c r="AM1804" i="1"/>
  <c r="BF1804" i="1"/>
  <c r="BG1804" i="1"/>
  <c r="T1805" i="1"/>
  <c r="U1805" i="1"/>
  <c r="V1805" i="1"/>
  <c r="W1805" i="1"/>
  <c r="X1805" i="1"/>
  <c r="Y1805" i="1"/>
  <c r="Z1805" i="1"/>
  <c r="AB1805" i="1"/>
  <c r="AF1805" i="1"/>
  <c r="AI1805" i="1"/>
  <c r="AE1806" i="1"/>
  <c r="AC1806" i="1"/>
  <c r="AJ1805" i="1"/>
  <c r="AK1805" i="1"/>
  <c r="AM1805" i="1"/>
  <c r="BF1805" i="1"/>
  <c r="BG1805" i="1"/>
  <c r="T1806" i="1"/>
  <c r="U1806" i="1"/>
  <c r="V1806" i="1"/>
  <c r="W1806" i="1"/>
  <c r="X1806" i="1"/>
  <c r="Y1806" i="1"/>
  <c r="Z1806" i="1"/>
  <c r="AB1806" i="1"/>
  <c r="AF1806" i="1"/>
  <c r="AI1806" i="1"/>
  <c r="H1807" i="1"/>
  <c r="AE1807" i="1"/>
  <c r="I1807" i="1"/>
  <c r="J1807" i="1"/>
  <c r="K1807" i="1"/>
  <c r="AC1807" i="1"/>
  <c r="AJ1806" i="1"/>
  <c r="AK1806" i="1"/>
  <c r="AM1806" i="1"/>
  <c r="BG1806" i="1"/>
  <c r="T1807" i="1"/>
  <c r="U1807" i="1"/>
  <c r="V1807" i="1"/>
  <c r="W1807" i="1"/>
  <c r="X1807" i="1"/>
  <c r="Y1807" i="1"/>
  <c r="Z1807" i="1"/>
  <c r="AB1807" i="1"/>
  <c r="AF1807" i="1"/>
  <c r="AI1807" i="1"/>
  <c r="AE1808" i="1"/>
  <c r="AC1808" i="1"/>
  <c r="AJ1807" i="1"/>
  <c r="AK1807" i="1"/>
  <c r="AM1807" i="1"/>
  <c r="BF1807" i="1"/>
  <c r="BG1807" i="1"/>
  <c r="T1808" i="1"/>
  <c r="U1808" i="1"/>
  <c r="V1808" i="1"/>
  <c r="W1808" i="1"/>
  <c r="X1808" i="1"/>
  <c r="Y1808" i="1"/>
  <c r="Z1808" i="1"/>
  <c r="AB1808" i="1"/>
  <c r="AF1808" i="1"/>
  <c r="AI1808" i="1"/>
  <c r="AE1809" i="1"/>
  <c r="AC1809" i="1"/>
  <c r="AJ1808" i="1"/>
  <c r="AK1808" i="1"/>
  <c r="AM1808" i="1"/>
  <c r="BF1808" i="1"/>
  <c r="BG1808" i="1"/>
  <c r="T1809" i="1"/>
  <c r="U1809" i="1"/>
  <c r="V1809" i="1"/>
  <c r="W1809" i="1"/>
  <c r="X1809" i="1"/>
  <c r="Y1809" i="1"/>
  <c r="Z1809" i="1"/>
  <c r="AB1809" i="1"/>
  <c r="AF1809" i="1"/>
  <c r="AI1809" i="1"/>
  <c r="AE1810" i="1"/>
  <c r="AC1810" i="1"/>
  <c r="AJ1809" i="1"/>
  <c r="AK1809" i="1"/>
  <c r="AM1809" i="1"/>
  <c r="BF1809" i="1"/>
  <c r="BG1809" i="1"/>
  <c r="T1810" i="1"/>
  <c r="U1810" i="1"/>
  <c r="V1810" i="1"/>
  <c r="W1810" i="1"/>
  <c r="X1810" i="1"/>
  <c r="Y1810" i="1"/>
  <c r="Z1810" i="1"/>
  <c r="AB1810" i="1"/>
  <c r="AF1810" i="1"/>
  <c r="AI1810" i="1"/>
  <c r="H1811" i="1"/>
  <c r="AE1811" i="1"/>
  <c r="I1811" i="1"/>
  <c r="J1811" i="1"/>
  <c r="K1811" i="1"/>
  <c r="AC1811" i="1"/>
  <c r="AJ1810" i="1"/>
  <c r="AK1810" i="1"/>
  <c r="AM1810" i="1"/>
  <c r="BG1810" i="1"/>
  <c r="T1811" i="1"/>
  <c r="U1811" i="1"/>
  <c r="V1811" i="1"/>
  <c r="W1811" i="1"/>
  <c r="X1811" i="1"/>
  <c r="Y1811" i="1"/>
  <c r="Z1811" i="1"/>
  <c r="AB1811" i="1"/>
  <c r="AF1811" i="1"/>
  <c r="AI1811" i="1"/>
  <c r="H1812" i="1"/>
  <c r="AE1812" i="1"/>
  <c r="I1812" i="1"/>
  <c r="J1812" i="1"/>
  <c r="K1812" i="1"/>
  <c r="AC1812" i="1"/>
  <c r="AJ1811" i="1"/>
  <c r="AK1811" i="1"/>
  <c r="AM1811" i="1"/>
  <c r="BF1811" i="1"/>
  <c r="BG1811" i="1"/>
  <c r="T1812" i="1"/>
  <c r="U1812" i="1"/>
  <c r="V1812" i="1"/>
  <c r="W1812" i="1"/>
  <c r="X1812" i="1"/>
  <c r="Y1812" i="1"/>
  <c r="Z1812" i="1"/>
  <c r="AB1812" i="1"/>
  <c r="AF1812" i="1"/>
  <c r="AI1812" i="1"/>
  <c r="H1813" i="1"/>
  <c r="AE1813" i="1"/>
  <c r="I1813" i="1"/>
  <c r="J1813" i="1"/>
  <c r="K1813" i="1"/>
  <c r="AC1813" i="1"/>
  <c r="AJ1812" i="1"/>
  <c r="AK1812" i="1"/>
  <c r="AM1812" i="1"/>
  <c r="BF1812" i="1"/>
  <c r="BG1812" i="1"/>
  <c r="T1813" i="1"/>
  <c r="U1813" i="1"/>
  <c r="V1813" i="1"/>
  <c r="W1813" i="1"/>
  <c r="X1813" i="1"/>
  <c r="Y1813" i="1"/>
  <c r="Z1813" i="1"/>
  <c r="AB1813" i="1"/>
  <c r="AF1813" i="1"/>
  <c r="AI1813" i="1"/>
  <c r="H1814" i="1"/>
  <c r="AE1814" i="1"/>
  <c r="I1814" i="1"/>
  <c r="J1814" i="1"/>
  <c r="K1814" i="1"/>
  <c r="AC1814" i="1"/>
  <c r="AJ1813" i="1"/>
  <c r="AK1813" i="1"/>
  <c r="AM1813" i="1"/>
  <c r="BF1813" i="1"/>
  <c r="BG1813" i="1"/>
  <c r="T1814" i="1"/>
  <c r="U1814" i="1"/>
  <c r="V1814" i="1"/>
  <c r="W1814" i="1"/>
  <c r="X1814" i="1"/>
  <c r="Y1814" i="1"/>
  <c r="Z1814" i="1"/>
  <c r="AB1814" i="1"/>
  <c r="AF1814" i="1"/>
  <c r="AI1814" i="1"/>
  <c r="AE1815" i="1"/>
  <c r="AC1815" i="1"/>
  <c r="AJ1814" i="1"/>
  <c r="AK1814" i="1"/>
  <c r="AM1814" i="1"/>
  <c r="BF1814" i="1"/>
  <c r="BG1814" i="1"/>
  <c r="T1815" i="1"/>
  <c r="U1815" i="1"/>
  <c r="V1815" i="1"/>
  <c r="W1815" i="1"/>
  <c r="X1815" i="1"/>
  <c r="Y1815" i="1"/>
  <c r="Z1815" i="1"/>
  <c r="AB1815" i="1"/>
  <c r="AF1815" i="1"/>
  <c r="AI1815" i="1"/>
  <c r="AE1816" i="1"/>
  <c r="AC1816" i="1"/>
  <c r="AJ1815" i="1"/>
  <c r="AK1815" i="1"/>
  <c r="AM1815" i="1"/>
  <c r="BF1815" i="1"/>
  <c r="BG1815" i="1"/>
  <c r="T1816" i="1"/>
  <c r="U1816" i="1"/>
  <c r="V1816" i="1"/>
  <c r="W1816" i="1"/>
  <c r="X1816" i="1"/>
  <c r="Y1816" i="1"/>
  <c r="Z1816" i="1"/>
  <c r="AB1816" i="1"/>
  <c r="AF1816" i="1"/>
  <c r="AI1816" i="1"/>
  <c r="H1817" i="1"/>
  <c r="AE1817" i="1"/>
  <c r="I1817" i="1"/>
  <c r="J1817" i="1"/>
  <c r="K1817" i="1"/>
  <c r="AC1817" i="1"/>
  <c r="AJ1816" i="1"/>
  <c r="AK1816" i="1"/>
  <c r="AM1816" i="1"/>
  <c r="BG1816" i="1"/>
  <c r="T1817" i="1"/>
  <c r="U1817" i="1"/>
  <c r="V1817" i="1"/>
  <c r="W1817" i="1"/>
  <c r="X1817" i="1"/>
  <c r="Y1817" i="1"/>
  <c r="Z1817" i="1"/>
  <c r="AB1817" i="1"/>
  <c r="AF1817" i="1"/>
  <c r="AI1817" i="1"/>
  <c r="AE1818" i="1"/>
  <c r="AC1818" i="1"/>
  <c r="AJ1817" i="1"/>
  <c r="AK1817" i="1"/>
  <c r="AM1817" i="1"/>
  <c r="BF1817" i="1"/>
  <c r="BG1817" i="1"/>
  <c r="T1818" i="1"/>
  <c r="U1818" i="1"/>
  <c r="V1818" i="1"/>
  <c r="W1818" i="1"/>
  <c r="X1818" i="1"/>
  <c r="Y1818" i="1"/>
  <c r="Z1818" i="1"/>
  <c r="AB1818" i="1"/>
  <c r="AF1818" i="1"/>
  <c r="AI1818" i="1"/>
  <c r="AE1819" i="1"/>
  <c r="AC1819" i="1"/>
  <c r="AJ1818" i="1"/>
  <c r="AK1818" i="1"/>
  <c r="AM1818" i="1"/>
  <c r="BF1818" i="1"/>
  <c r="BG1818" i="1"/>
  <c r="T1819" i="1"/>
  <c r="U1819" i="1"/>
  <c r="V1819" i="1"/>
  <c r="W1819" i="1"/>
  <c r="X1819" i="1"/>
  <c r="Y1819" i="1"/>
  <c r="Z1819" i="1"/>
  <c r="AB1819" i="1"/>
  <c r="AF1819" i="1"/>
  <c r="AI1819" i="1"/>
  <c r="H1820" i="1"/>
  <c r="AE1820" i="1"/>
  <c r="I1820" i="1"/>
  <c r="J1820" i="1"/>
  <c r="K1820" i="1"/>
  <c r="AC1820" i="1"/>
  <c r="AJ1819" i="1"/>
  <c r="AK1819" i="1"/>
  <c r="AM1819" i="1"/>
  <c r="BG1819" i="1"/>
  <c r="T1820" i="1"/>
  <c r="U1820" i="1"/>
  <c r="V1820" i="1"/>
  <c r="W1820" i="1"/>
  <c r="X1820" i="1"/>
  <c r="Y1820" i="1"/>
  <c r="Z1820" i="1"/>
  <c r="AB1820" i="1"/>
  <c r="AF1820" i="1"/>
  <c r="AI1820" i="1"/>
  <c r="AE1821" i="1"/>
  <c r="AC1821" i="1"/>
  <c r="AJ1820" i="1"/>
  <c r="AK1820" i="1"/>
  <c r="AM1820" i="1"/>
  <c r="BF1820" i="1"/>
  <c r="BG1820" i="1"/>
  <c r="T1821" i="1"/>
  <c r="U1821" i="1"/>
  <c r="V1821" i="1"/>
  <c r="W1821" i="1"/>
  <c r="X1821" i="1"/>
  <c r="Y1821" i="1"/>
  <c r="Z1821" i="1"/>
  <c r="AB1821" i="1"/>
  <c r="AF1821" i="1"/>
  <c r="AI1821" i="1"/>
  <c r="AE1822" i="1"/>
  <c r="AC1822" i="1"/>
  <c r="AJ1821" i="1"/>
  <c r="AK1821" i="1"/>
  <c r="AM1821" i="1"/>
  <c r="BF1821" i="1"/>
  <c r="BG1821" i="1"/>
  <c r="T1822" i="1"/>
  <c r="U1822" i="1"/>
  <c r="V1822" i="1"/>
  <c r="W1822" i="1"/>
  <c r="X1822" i="1"/>
  <c r="Y1822" i="1"/>
  <c r="Z1822" i="1"/>
  <c r="AB1822" i="1"/>
  <c r="AF1822" i="1"/>
  <c r="AI1822" i="1"/>
  <c r="H1823" i="1"/>
  <c r="AE1823" i="1"/>
  <c r="I1823" i="1"/>
  <c r="J1823" i="1"/>
  <c r="K1823" i="1"/>
  <c r="AC1823" i="1"/>
  <c r="AJ1822" i="1"/>
  <c r="AK1822" i="1"/>
  <c r="AM1822" i="1"/>
  <c r="BG1822" i="1"/>
  <c r="T1823" i="1"/>
  <c r="U1823" i="1"/>
  <c r="V1823" i="1"/>
  <c r="W1823" i="1"/>
  <c r="X1823" i="1"/>
  <c r="Y1823" i="1"/>
  <c r="Z1823" i="1"/>
  <c r="AB1823" i="1"/>
  <c r="AF1823" i="1"/>
  <c r="AI1823" i="1"/>
  <c r="H1824" i="1"/>
  <c r="AE1824" i="1"/>
  <c r="I1824" i="1"/>
  <c r="J1824" i="1"/>
  <c r="K1824" i="1"/>
  <c r="AC1824" i="1"/>
  <c r="AJ1823" i="1"/>
  <c r="AK1823" i="1"/>
  <c r="AM1823" i="1"/>
  <c r="BF1823" i="1"/>
  <c r="BG1823" i="1"/>
  <c r="T1824" i="1"/>
  <c r="U1824" i="1"/>
  <c r="V1824" i="1"/>
  <c r="W1824" i="1"/>
  <c r="X1824" i="1"/>
  <c r="Y1824" i="1"/>
  <c r="Z1824" i="1"/>
  <c r="AB1824" i="1"/>
  <c r="AF1824" i="1"/>
  <c r="AI1824" i="1"/>
  <c r="AE1825" i="1"/>
  <c r="AC1825" i="1"/>
  <c r="AJ1824" i="1"/>
  <c r="AK1824" i="1"/>
  <c r="AM1824" i="1"/>
  <c r="BF1824" i="1"/>
  <c r="BG1824" i="1"/>
  <c r="T1825" i="1"/>
  <c r="U1825" i="1"/>
  <c r="V1825" i="1"/>
  <c r="W1825" i="1"/>
  <c r="X1825" i="1"/>
  <c r="Y1825" i="1"/>
  <c r="Z1825" i="1"/>
  <c r="AB1825" i="1"/>
  <c r="AF1825" i="1"/>
  <c r="AI1825" i="1"/>
  <c r="AE1826" i="1"/>
  <c r="AC1826" i="1"/>
  <c r="AJ1825" i="1"/>
  <c r="AK1825" i="1"/>
  <c r="AM1825" i="1"/>
  <c r="BF1825" i="1"/>
  <c r="BG1825" i="1"/>
  <c r="T1826" i="1"/>
  <c r="U1826" i="1"/>
  <c r="V1826" i="1"/>
  <c r="W1826" i="1"/>
  <c r="X1826" i="1"/>
  <c r="Y1826" i="1"/>
  <c r="Z1826" i="1"/>
  <c r="AB1826" i="1"/>
  <c r="AF1826" i="1"/>
  <c r="AI1826" i="1"/>
  <c r="AE1827" i="1"/>
  <c r="AC1827" i="1"/>
  <c r="AJ1826" i="1"/>
  <c r="AK1826" i="1"/>
  <c r="AM1826" i="1"/>
  <c r="BF1826" i="1"/>
  <c r="BG1826" i="1"/>
  <c r="T1827" i="1"/>
  <c r="U1827" i="1"/>
  <c r="V1827" i="1"/>
  <c r="W1827" i="1"/>
  <c r="X1827" i="1"/>
  <c r="Y1827" i="1"/>
  <c r="Z1827" i="1"/>
  <c r="AB1827" i="1"/>
  <c r="AF1827" i="1"/>
  <c r="AI1827" i="1"/>
  <c r="H1828" i="1"/>
  <c r="AE1828" i="1"/>
  <c r="I1828" i="1"/>
  <c r="J1828" i="1"/>
  <c r="K1828" i="1"/>
  <c r="AC1828" i="1"/>
  <c r="AJ1827" i="1"/>
  <c r="AK1827" i="1"/>
  <c r="AM1827" i="1"/>
  <c r="BG1827" i="1"/>
  <c r="T1828" i="1"/>
  <c r="U1828" i="1"/>
  <c r="V1828" i="1"/>
  <c r="W1828" i="1"/>
  <c r="X1828" i="1"/>
  <c r="Y1828" i="1"/>
  <c r="Z1828" i="1"/>
  <c r="AB1828" i="1"/>
  <c r="AF1828" i="1"/>
  <c r="AI1828" i="1"/>
  <c r="AE1829" i="1"/>
  <c r="AC1829" i="1"/>
  <c r="AJ1828" i="1"/>
  <c r="AK1828" i="1"/>
  <c r="AM1828" i="1"/>
  <c r="BF1828" i="1"/>
  <c r="BG1828" i="1"/>
  <c r="T1829" i="1"/>
  <c r="U1829" i="1"/>
  <c r="V1829" i="1"/>
  <c r="W1829" i="1"/>
  <c r="X1829" i="1"/>
  <c r="Y1829" i="1"/>
  <c r="Z1829" i="1"/>
  <c r="AB1829" i="1"/>
  <c r="AF1829" i="1"/>
  <c r="AI1829" i="1"/>
  <c r="AE1830" i="1"/>
  <c r="AC1830" i="1"/>
  <c r="AJ1829" i="1"/>
  <c r="AK1829" i="1"/>
  <c r="AM1829" i="1"/>
  <c r="BF1829" i="1"/>
  <c r="BG1829" i="1"/>
  <c r="T1830" i="1"/>
  <c r="U1830" i="1"/>
  <c r="V1830" i="1"/>
  <c r="W1830" i="1"/>
  <c r="X1830" i="1"/>
  <c r="Y1830" i="1"/>
  <c r="Z1830" i="1"/>
  <c r="AB1830" i="1"/>
  <c r="AF1830" i="1"/>
  <c r="AI1830" i="1"/>
  <c r="H1831" i="1"/>
  <c r="AE1831" i="1"/>
  <c r="I1831" i="1"/>
  <c r="J1831" i="1"/>
  <c r="K1831" i="1"/>
  <c r="AC1831" i="1"/>
  <c r="AJ1830" i="1"/>
  <c r="AK1830" i="1"/>
  <c r="AM1830" i="1"/>
  <c r="BG1830" i="1"/>
  <c r="T1831" i="1"/>
  <c r="U1831" i="1"/>
  <c r="V1831" i="1"/>
  <c r="W1831" i="1"/>
  <c r="X1831" i="1"/>
  <c r="Y1831" i="1"/>
  <c r="Z1831" i="1"/>
  <c r="AB1831" i="1"/>
  <c r="AF1831" i="1"/>
  <c r="AI1831" i="1"/>
  <c r="AE1832" i="1"/>
  <c r="AC1832" i="1"/>
  <c r="AJ1831" i="1"/>
  <c r="AK1831" i="1"/>
  <c r="AM1831" i="1"/>
  <c r="BF1831" i="1"/>
  <c r="BG1831" i="1"/>
  <c r="T1832" i="1"/>
  <c r="U1832" i="1"/>
  <c r="V1832" i="1"/>
  <c r="W1832" i="1"/>
  <c r="X1832" i="1"/>
  <c r="Y1832" i="1"/>
  <c r="Z1832" i="1"/>
  <c r="AB1832" i="1"/>
  <c r="AF1832" i="1"/>
  <c r="AI1832" i="1"/>
  <c r="AE1833" i="1"/>
  <c r="AC1833" i="1"/>
  <c r="AJ1832" i="1"/>
  <c r="AK1832" i="1"/>
  <c r="AM1832" i="1"/>
  <c r="BF1832" i="1"/>
  <c r="BG1832" i="1"/>
  <c r="T1833" i="1"/>
  <c r="U1833" i="1"/>
  <c r="V1833" i="1"/>
  <c r="W1833" i="1"/>
  <c r="X1833" i="1"/>
  <c r="Y1833" i="1"/>
  <c r="Z1833" i="1"/>
  <c r="AB1833" i="1"/>
  <c r="AF1833" i="1"/>
  <c r="AI1833" i="1"/>
  <c r="AE1834" i="1"/>
  <c r="AC1834" i="1"/>
  <c r="AJ1833" i="1"/>
  <c r="AK1833" i="1"/>
  <c r="AM1833" i="1"/>
  <c r="BF1833" i="1"/>
  <c r="BG1833" i="1"/>
  <c r="T1834" i="1"/>
  <c r="U1834" i="1"/>
  <c r="V1834" i="1"/>
  <c r="W1834" i="1"/>
  <c r="X1834" i="1"/>
  <c r="Y1834" i="1"/>
  <c r="Z1834" i="1"/>
  <c r="AB1834" i="1"/>
  <c r="AF1834" i="1"/>
  <c r="AI1834" i="1"/>
  <c r="H1835" i="1"/>
  <c r="AE1835" i="1"/>
  <c r="I1835" i="1"/>
  <c r="J1835" i="1"/>
  <c r="K1835" i="1"/>
  <c r="AC1835" i="1"/>
  <c r="AJ1834" i="1"/>
  <c r="AK1834" i="1"/>
  <c r="AM1834" i="1"/>
  <c r="BG1834" i="1"/>
  <c r="T1835" i="1"/>
  <c r="U1835" i="1"/>
  <c r="V1835" i="1"/>
  <c r="W1835" i="1"/>
  <c r="X1835" i="1"/>
  <c r="Y1835" i="1"/>
  <c r="Z1835" i="1"/>
  <c r="AB1835" i="1"/>
  <c r="AF1835" i="1"/>
  <c r="AI1835" i="1"/>
  <c r="AE1836" i="1"/>
  <c r="AC1836" i="1"/>
  <c r="AJ1835" i="1"/>
  <c r="AK1835" i="1"/>
  <c r="AM1835" i="1"/>
  <c r="BF1835" i="1"/>
  <c r="BG1835" i="1"/>
  <c r="T1836" i="1"/>
  <c r="U1836" i="1"/>
  <c r="V1836" i="1"/>
  <c r="W1836" i="1"/>
  <c r="X1836" i="1"/>
  <c r="Y1836" i="1"/>
  <c r="Z1836" i="1"/>
  <c r="AB1836" i="1"/>
  <c r="AF1836" i="1"/>
  <c r="AI1836" i="1"/>
  <c r="AE1837" i="1"/>
  <c r="AC1837" i="1"/>
  <c r="AJ1836" i="1"/>
  <c r="AK1836" i="1"/>
  <c r="AM1836" i="1"/>
  <c r="BF1836" i="1"/>
  <c r="BG1836" i="1"/>
  <c r="T1837" i="1"/>
  <c r="U1837" i="1"/>
  <c r="V1837" i="1"/>
  <c r="W1837" i="1"/>
  <c r="X1837" i="1"/>
  <c r="Y1837" i="1"/>
  <c r="Z1837" i="1"/>
  <c r="AB1837" i="1"/>
  <c r="AF1837" i="1"/>
  <c r="AI1837" i="1"/>
  <c r="AE1838" i="1"/>
  <c r="AC1838" i="1"/>
  <c r="AJ1837" i="1"/>
  <c r="AK1837" i="1"/>
  <c r="AM1837" i="1"/>
  <c r="BF1837" i="1"/>
  <c r="BG1837" i="1"/>
  <c r="T1838" i="1"/>
  <c r="U1838" i="1"/>
  <c r="V1838" i="1"/>
  <c r="W1838" i="1"/>
  <c r="X1838" i="1"/>
  <c r="Y1838" i="1"/>
  <c r="Z1838" i="1"/>
  <c r="AB1838" i="1"/>
  <c r="AF1838" i="1"/>
  <c r="AI1838" i="1"/>
  <c r="H1839" i="1"/>
  <c r="AE1839" i="1"/>
  <c r="I1839" i="1"/>
  <c r="J1839" i="1"/>
  <c r="K1839" i="1"/>
  <c r="AC1839" i="1"/>
  <c r="AJ1838" i="1"/>
  <c r="AK1838" i="1"/>
  <c r="AM1838" i="1"/>
  <c r="BG1838" i="1"/>
  <c r="T1839" i="1"/>
  <c r="U1839" i="1"/>
  <c r="V1839" i="1"/>
  <c r="W1839" i="1"/>
  <c r="X1839" i="1"/>
  <c r="Y1839" i="1"/>
  <c r="Z1839" i="1"/>
  <c r="AB1839" i="1"/>
  <c r="AF1839" i="1"/>
  <c r="AI1839" i="1"/>
  <c r="AE1840" i="1"/>
  <c r="AC1840" i="1"/>
  <c r="AJ1839" i="1"/>
  <c r="AK1839" i="1"/>
  <c r="AM1839" i="1"/>
  <c r="BF1839" i="1"/>
  <c r="BG1839" i="1"/>
  <c r="T1840" i="1"/>
  <c r="U1840" i="1"/>
  <c r="V1840" i="1"/>
  <c r="W1840" i="1"/>
  <c r="X1840" i="1"/>
  <c r="Y1840" i="1"/>
  <c r="Z1840" i="1"/>
  <c r="AB1840" i="1"/>
  <c r="AF1840" i="1"/>
  <c r="AI1840" i="1"/>
  <c r="AE1841" i="1"/>
  <c r="AC1841" i="1"/>
  <c r="AJ1840" i="1"/>
  <c r="AK1840" i="1"/>
  <c r="AM1840" i="1"/>
  <c r="BF1840" i="1"/>
  <c r="BG1840" i="1"/>
  <c r="T1841" i="1"/>
  <c r="U1841" i="1"/>
  <c r="V1841" i="1"/>
  <c r="W1841" i="1"/>
  <c r="X1841" i="1"/>
  <c r="Y1841" i="1"/>
  <c r="Z1841" i="1"/>
  <c r="AB1841" i="1"/>
  <c r="AF1841" i="1"/>
  <c r="AI1841" i="1"/>
  <c r="H1842" i="1"/>
  <c r="AE1842" i="1"/>
  <c r="I1842" i="1"/>
  <c r="J1842" i="1"/>
  <c r="K1842" i="1"/>
  <c r="AC1842" i="1"/>
  <c r="AJ1841" i="1"/>
  <c r="AK1841" i="1"/>
  <c r="AM1841" i="1"/>
  <c r="BG1841" i="1"/>
  <c r="T1842" i="1"/>
  <c r="U1842" i="1"/>
  <c r="V1842" i="1"/>
  <c r="W1842" i="1"/>
  <c r="X1842" i="1"/>
  <c r="Y1842" i="1"/>
  <c r="Z1842" i="1"/>
  <c r="AB1842" i="1"/>
  <c r="AF1842" i="1"/>
  <c r="AI1842" i="1"/>
  <c r="H1843" i="1"/>
  <c r="AE1843" i="1"/>
  <c r="I1843" i="1"/>
  <c r="J1843" i="1"/>
  <c r="K1843" i="1"/>
  <c r="AC1843" i="1"/>
  <c r="AJ1842" i="1"/>
  <c r="AK1842" i="1"/>
  <c r="AM1842" i="1"/>
  <c r="BF1842" i="1"/>
  <c r="BG1842" i="1"/>
  <c r="T1843" i="1"/>
  <c r="U1843" i="1"/>
  <c r="V1843" i="1"/>
  <c r="W1843" i="1"/>
  <c r="X1843" i="1"/>
  <c r="Y1843" i="1"/>
  <c r="Z1843" i="1"/>
  <c r="AB1843" i="1"/>
  <c r="AF1843" i="1"/>
  <c r="AI1843" i="1"/>
  <c r="AE1844" i="1"/>
  <c r="AC1844" i="1"/>
  <c r="AJ1843" i="1"/>
  <c r="AK1843" i="1"/>
  <c r="AM1843" i="1"/>
  <c r="BF1843" i="1"/>
  <c r="BG1843" i="1"/>
  <c r="T1844" i="1"/>
  <c r="U1844" i="1"/>
  <c r="V1844" i="1"/>
  <c r="W1844" i="1"/>
  <c r="X1844" i="1"/>
  <c r="Y1844" i="1"/>
  <c r="Z1844" i="1"/>
  <c r="AB1844" i="1"/>
  <c r="AF1844" i="1"/>
  <c r="AI1844" i="1"/>
  <c r="AE1845" i="1"/>
  <c r="AC1845" i="1"/>
  <c r="AJ1844" i="1"/>
  <c r="AK1844" i="1"/>
  <c r="AM1844" i="1"/>
  <c r="BF1844" i="1"/>
  <c r="BG1844" i="1"/>
  <c r="T1845" i="1"/>
  <c r="U1845" i="1"/>
  <c r="V1845" i="1"/>
  <c r="W1845" i="1"/>
  <c r="X1845" i="1"/>
  <c r="Y1845" i="1"/>
  <c r="Z1845" i="1"/>
  <c r="AB1845" i="1"/>
  <c r="AF1845" i="1"/>
  <c r="AI1845" i="1"/>
  <c r="H1846" i="1"/>
  <c r="AE1846" i="1"/>
  <c r="I1846" i="1"/>
  <c r="J1846" i="1"/>
  <c r="K1846" i="1"/>
  <c r="AC1846" i="1"/>
  <c r="AJ1845" i="1"/>
  <c r="AK1845" i="1"/>
  <c r="AM1845" i="1"/>
  <c r="BG1845" i="1"/>
  <c r="T1846" i="1"/>
  <c r="U1846" i="1"/>
  <c r="V1846" i="1"/>
  <c r="W1846" i="1"/>
  <c r="X1846" i="1"/>
  <c r="Y1846" i="1"/>
  <c r="Z1846" i="1"/>
  <c r="AB1846" i="1"/>
  <c r="AF1846" i="1"/>
  <c r="AI1846" i="1"/>
  <c r="H1847" i="1"/>
  <c r="AE1847" i="1"/>
  <c r="I1847" i="1"/>
  <c r="J1847" i="1"/>
  <c r="K1847" i="1"/>
  <c r="AC1847" i="1"/>
  <c r="AJ1846" i="1"/>
  <c r="AK1846" i="1"/>
  <c r="AM1846" i="1"/>
  <c r="BF1846" i="1"/>
  <c r="BG1846" i="1"/>
  <c r="T1847" i="1"/>
  <c r="U1847" i="1"/>
  <c r="V1847" i="1"/>
  <c r="W1847" i="1"/>
  <c r="X1847" i="1"/>
  <c r="Y1847" i="1"/>
  <c r="Z1847" i="1"/>
  <c r="AB1847" i="1"/>
  <c r="AF1847" i="1"/>
  <c r="AI1847" i="1"/>
  <c r="AE1848" i="1"/>
  <c r="AC1848" i="1"/>
  <c r="AJ1847" i="1"/>
  <c r="AK1847" i="1"/>
  <c r="AM1847" i="1"/>
  <c r="BF1847" i="1"/>
  <c r="BG1847" i="1"/>
  <c r="T1848" i="1"/>
  <c r="U1848" i="1"/>
  <c r="V1848" i="1"/>
  <c r="W1848" i="1"/>
  <c r="X1848" i="1"/>
  <c r="Y1848" i="1"/>
  <c r="Z1848" i="1"/>
  <c r="AB1848" i="1"/>
  <c r="AF1848" i="1"/>
  <c r="AI1848" i="1"/>
  <c r="AE1849" i="1"/>
  <c r="AC1849" i="1"/>
  <c r="AJ1848" i="1"/>
  <c r="AK1848" i="1"/>
  <c r="AM1848" i="1"/>
  <c r="BF1848" i="1"/>
  <c r="BG1848" i="1"/>
  <c r="T1849" i="1"/>
  <c r="U1849" i="1"/>
  <c r="V1849" i="1"/>
  <c r="W1849" i="1"/>
  <c r="X1849" i="1"/>
  <c r="Y1849" i="1"/>
  <c r="Z1849" i="1"/>
  <c r="AB1849" i="1"/>
  <c r="AF1849" i="1"/>
  <c r="AI1849" i="1"/>
  <c r="H1850" i="1"/>
  <c r="AE1850" i="1"/>
  <c r="I1850" i="1"/>
  <c r="J1850" i="1"/>
  <c r="K1850" i="1"/>
  <c r="AC1850" i="1"/>
  <c r="AJ1849" i="1"/>
  <c r="AK1849" i="1"/>
  <c r="AM1849" i="1"/>
  <c r="BG1849" i="1"/>
  <c r="T1850" i="1"/>
  <c r="U1850" i="1"/>
  <c r="V1850" i="1"/>
  <c r="W1850" i="1"/>
  <c r="X1850" i="1"/>
  <c r="Y1850" i="1"/>
  <c r="Z1850" i="1"/>
  <c r="AB1850" i="1"/>
  <c r="AF1850" i="1"/>
  <c r="AI1850" i="1"/>
  <c r="AE1851" i="1"/>
  <c r="AC1851" i="1"/>
  <c r="AJ1850" i="1"/>
  <c r="AK1850" i="1"/>
  <c r="AM1850" i="1"/>
  <c r="BF1850" i="1"/>
  <c r="BG1850" i="1"/>
  <c r="T1851" i="1"/>
  <c r="U1851" i="1"/>
  <c r="V1851" i="1"/>
  <c r="W1851" i="1"/>
  <c r="X1851" i="1"/>
  <c r="Y1851" i="1"/>
  <c r="Z1851" i="1"/>
  <c r="AB1851" i="1"/>
  <c r="AF1851" i="1"/>
  <c r="AI1851" i="1"/>
  <c r="AE1852" i="1"/>
  <c r="AC1852" i="1"/>
  <c r="AJ1851" i="1"/>
  <c r="AK1851" i="1"/>
  <c r="AM1851" i="1"/>
  <c r="BF1851" i="1"/>
  <c r="BG1851" i="1"/>
  <c r="T1852" i="1"/>
  <c r="U1852" i="1"/>
  <c r="V1852" i="1"/>
  <c r="W1852" i="1"/>
  <c r="X1852" i="1"/>
  <c r="Y1852" i="1"/>
  <c r="Z1852" i="1"/>
  <c r="AB1852" i="1"/>
  <c r="AF1852" i="1"/>
  <c r="AI1852" i="1"/>
  <c r="H1853" i="1"/>
  <c r="AE1853" i="1"/>
  <c r="I1853" i="1"/>
  <c r="J1853" i="1"/>
  <c r="K1853" i="1"/>
  <c r="AC1853" i="1"/>
  <c r="AJ1852" i="1"/>
  <c r="AK1852" i="1"/>
  <c r="AM1852" i="1"/>
  <c r="BG1852" i="1"/>
  <c r="T1853" i="1"/>
  <c r="U1853" i="1"/>
  <c r="V1853" i="1"/>
  <c r="W1853" i="1"/>
  <c r="X1853" i="1"/>
  <c r="Y1853" i="1"/>
  <c r="Z1853" i="1"/>
  <c r="AB1853" i="1"/>
  <c r="AF1853" i="1"/>
  <c r="AI1853" i="1"/>
  <c r="AE1854" i="1"/>
  <c r="AC1854" i="1"/>
  <c r="AJ1853" i="1"/>
  <c r="AK1853" i="1"/>
  <c r="AM1853" i="1"/>
  <c r="BF1853" i="1"/>
  <c r="BG1853" i="1"/>
  <c r="T1854" i="1"/>
  <c r="U1854" i="1"/>
  <c r="V1854" i="1"/>
  <c r="W1854" i="1"/>
  <c r="X1854" i="1"/>
  <c r="Y1854" i="1"/>
  <c r="Z1854" i="1"/>
  <c r="AB1854" i="1"/>
  <c r="AF1854" i="1"/>
  <c r="AI1854" i="1"/>
  <c r="AE1855" i="1"/>
  <c r="AC1855" i="1"/>
  <c r="AJ1854" i="1"/>
  <c r="AK1854" i="1"/>
  <c r="AM1854" i="1"/>
  <c r="BF1854" i="1"/>
  <c r="BG1854" i="1"/>
  <c r="T1855" i="1"/>
  <c r="U1855" i="1"/>
  <c r="V1855" i="1"/>
  <c r="W1855" i="1"/>
  <c r="X1855" i="1"/>
  <c r="Y1855" i="1"/>
  <c r="Z1855" i="1"/>
  <c r="AB1855" i="1"/>
  <c r="AF1855" i="1"/>
  <c r="AI1855" i="1"/>
  <c r="AE1856" i="1"/>
  <c r="AC1856" i="1"/>
  <c r="AJ1855" i="1"/>
  <c r="AK1855" i="1"/>
  <c r="AM1855" i="1"/>
  <c r="BF1855" i="1"/>
  <c r="BG1855" i="1"/>
  <c r="T1856" i="1"/>
  <c r="U1856" i="1"/>
  <c r="V1856" i="1"/>
  <c r="W1856" i="1"/>
  <c r="X1856" i="1"/>
  <c r="Y1856" i="1"/>
  <c r="Z1856" i="1"/>
  <c r="AB1856" i="1"/>
  <c r="AF1856" i="1"/>
  <c r="AI1856" i="1"/>
  <c r="H1857" i="1"/>
  <c r="AE1857" i="1"/>
  <c r="I1857" i="1"/>
  <c r="J1857" i="1"/>
  <c r="K1857" i="1"/>
  <c r="AC1857" i="1"/>
  <c r="AJ1856" i="1"/>
  <c r="AK1856" i="1"/>
  <c r="AM1856" i="1"/>
  <c r="BG1856" i="1"/>
  <c r="T1857" i="1"/>
  <c r="U1857" i="1"/>
  <c r="V1857" i="1"/>
  <c r="W1857" i="1"/>
  <c r="X1857" i="1"/>
  <c r="Y1857" i="1"/>
  <c r="Z1857" i="1"/>
  <c r="AB1857" i="1"/>
  <c r="AF1857" i="1"/>
  <c r="AI1857" i="1"/>
  <c r="AE1858" i="1"/>
  <c r="AC1858" i="1"/>
  <c r="AJ1857" i="1"/>
  <c r="AK1857" i="1"/>
  <c r="AM1857" i="1"/>
  <c r="BF1857" i="1"/>
  <c r="BG1857" i="1"/>
  <c r="T1858" i="1"/>
  <c r="U1858" i="1"/>
  <c r="V1858" i="1"/>
  <c r="W1858" i="1"/>
  <c r="X1858" i="1"/>
  <c r="Y1858" i="1"/>
  <c r="Z1858" i="1"/>
  <c r="AB1858" i="1"/>
  <c r="AF1858" i="1"/>
  <c r="AI1858" i="1"/>
  <c r="AE1859" i="1"/>
  <c r="AC1859" i="1"/>
  <c r="AJ1858" i="1"/>
  <c r="AK1858" i="1"/>
  <c r="AM1858" i="1"/>
  <c r="BF1858" i="1"/>
  <c r="BG1858" i="1"/>
  <c r="T1859" i="1"/>
  <c r="U1859" i="1"/>
  <c r="V1859" i="1"/>
  <c r="W1859" i="1"/>
  <c r="X1859" i="1"/>
  <c r="Y1859" i="1"/>
  <c r="Z1859" i="1"/>
  <c r="AB1859" i="1"/>
  <c r="AF1859" i="1"/>
  <c r="AI1859" i="1"/>
  <c r="H1860" i="1"/>
  <c r="AE1860" i="1"/>
  <c r="I1860" i="1"/>
  <c r="J1860" i="1"/>
  <c r="K1860" i="1"/>
  <c r="AC1860" i="1"/>
  <c r="AJ1859" i="1"/>
  <c r="AK1859" i="1"/>
  <c r="AM1859" i="1"/>
  <c r="BG1859" i="1"/>
  <c r="T1860" i="1"/>
  <c r="U1860" i="1"/>
  <c r="V1860" i="1"/>
  <c r="W1860" i="1"/>
  <c r="X1860" i="1"/>
  <c r="Y1860" i="1"/>
  <c r="Z1860" i="1"/>
  <c r="AB1860" i="1"/>
  <c r="AF1860" i="1"/>
  <c r="AI1860" i="1"/>
  <c r="AE1861" i="1"/>
  <c r="AC1861" i="1"/>
  <c r="AJ1860" i="1"/>
  <c r="AK1860" i="1"/>
  <c r="AM1860" i="1"/>
  <c r="BF1860" i="1"/>
  <c r="BG1860" i="1"/>
  <c r="T1861" i="1"/>
  <c r="U1861" i="1"/>
  <c r="V1861" i="1"/>
  <c r="W1861" i="1"/>
  <c r="X1861" i="1"/>
  <c r="Y1861" i="1"/>
  <c r="Z1861" i="1"/>
  <c r="AB1861" i="1"/>
  <c r="AF1861" i="1"/>
  <c r="AI1861" i="1"/>
  <c r="AE1862" i="1"/>
  <c r="AC1862" i="1"/>
  <c r="AJ1861" i="1"/>
  <c r="AK1861" i="1"/>
  <c r="AM1861" i="1"/>
  <c r="BF1861" i="1"/>
  <c r="BG1861" i="1"/>
  <c r="T1862" i="1"/>
  <c r="U1862" i="1"/>
  <c r="V1862" i="1"/>
  <c r="W1862" i="1"/>
  <c r="X1862" i="1"/>
  <c r="Y1862" i="1"/>
  <c r="Z1862" i="1"/>
  <c r="AB1862" i="1"/>
  <c r="AF1862" i="1"/>
  <c r="AI1862" i="1"/>
  <c r="H1863" i="1"/>
  <c r="AE1863" i="1"/>
  <c r="I1863" i="1"/>
  <c r="J1863" i="1"/>
  <c r="K1863" i="1"/>
  <c r="AC1863" i="1"/>
  <c r="AJ1862" i="1"/>
  <c r="AK1862" i="1"/>
  <c r="AM1862" i="1"/>
  <c r="BG1862" i="1"/>
  <c r="T1863" i="1"/>
  <c r="U1863" i="1"/>
  <c r="V1863" i="1"/>
  <c r="W1863" i="1"/>
  <c r="X1863" i="1"/>
  <c r="Y1863" i="1"/>
  <c r="Z1863" i="1"/>
  <c r="AB1863" i="1"/>
  <c r="AF1863" i="1"/>
  <c r="AI1863" i="1"/>
  <c r="AE1864" i="1"/>
  <c r="AC1864" i="1"/>
  <c r="AJ1863" i="1"/>
  <c r="AK1863" i="1"/>
  <c r="AM1863" i="1"/>
  <c r="BF1863" i="1"/>
  <c r="BG1863" i="1"/>
  <c r="T1864" i="1"/>
  <c r="U1864" i="1"/>
  <c r="V1864" i="1"/>
  <c r="W1864" i="1"/>
  <c r="X1864" i="1"/>
  <c r="Y1864" i="1"/>
  <c r="Z1864" i="1"/>
  <c r="AB1864" i="1"/>
  <c r="AF1864" i="1"/>
  <c r="AI1864" i="1"/>
  <c r="AE1865" i="1"/>
  <c r="AC1865" i="1"/>
  <c r="AJ1864" i="1"/>
  <c r="AK1864" i="1"/>
  <c r="AM1864" i="1"/>
  <c r="BF1864" i="1"/>
  <c r="BG1864" i="1"/>
  <c r="T1865" i="1"/>
  <c r="U1865" i="1"/>
  <c r="V1865" i="1"/>
  <c r="W1865" i="1"/>
  <c r="X1865" i="1"/>
  <c r="Y1865" i="1"/>
  <c r="Z1865" i="1"/>
  <c r="AB1865" i="1"/>
  <c r="AF1865" i="1"/>
  <c r="AI1865" i="1"/>
  <c r="H1866" i="1"/>
  <c r="AE1866" i="1"/>
  <c r="I1866" i="1"/>
  <c r="J1866" i="1"/>
  <c r="K1866" i="1"/>
  <c r="AC1866" i="1"/>
  <c r="AJ1865" i="1"/>
  <c r="AK1865" i="1"/>
  <c r="AM1865" i="1"/>
  <c r="BG1865" i="1"/>
  <c r="T1866" i="1"/>
  <c r="U1866" i="1"/>
  <c r="V1866" i="1"/>
  <c r="W1866" i="1"/>
  <c r="X1866" i="1"/>
  <c r="Y1866" i="1"/>
  <c r="Z1866" i="1"/>
  <c r="AB1866" i="1"/>
  <c r="AF1866" i="1"/>
  <c r="AI1866" i="1"/>
  <c r="H1867" i="1"/>
  <c r="AE1867" i="1"/>
  <c r="I1867" i="1"/>
  <c r="J1867" i="1"/>
  <c r="K1867" i="1"/>
  <c r="AC1867" i="1"/>
  <c r="AJ1866" i="1"/>
  <c r="AK1866" i="1"/>
  <c r="AM1866" i="1"/>
  <c r="BF1866" i="1"/>
  <c r="BG1866" i="1"/>
  <c r="T1867" i="1"/>
  <c r="U1867" i="1"/>
  <c r="V1867" i="1"/>
  <c r="W1867" i="1"/>
  <c r="X1867" i="1"/>
  <c r="Y1867" i="1"/>
  <c r="Z1867" i="1"/>
  <c r="AB1867" i="1"/>
  <c r="AF1867" i="1"/>
  <c r="AI1867" i="1"/>
  <c r="AE1868" i="1"/>
  <c r="AC1868" i="1"/>
  <c r="AJ1867" i="1"/>
  <c r="AK1867" i="1"/>
  <c r="AM1867" i="1"/>
  <c r="BF1867" i="1"/>
  <c r="BG1867" i="1"/>
  <c r="T1868" i="1"/>
  <c r="U1868" i="1"/>
  <c r="V1868" i="1"/>
  <c r="W1868" i="1"/>
  <c r="X1868" i="1"/>
  <c r="Y1868" i="1"/>
  <c r="Z1868" i="1"/>
  <c r="AB1868" i="1"/>
  <c r="AF1868" i="1"/>
  <c r="AI1868" i="1"/>
  <c r="AE1869" i="1"/>
  <c r="AC1869" i="1"/>
  <c r="AJ1868" i="1"/>
  <c r="AK1868" i="1"/>
  <c r="AM1868" i="1"/>
  <c r="BF1868" i="1"/>
  <c r="BG1868" i="1"/>
  <c r="T1869" i="1"/>
  <c r="U1869" i="1"/>
  <c r="V1869" i="1"/>
  <c r="W1869" i="1"/>
  <c r="X1869" i="1"/>
  <c r="Y1869" i="1"/>
  <c r="Z1869" i="1"/>
  <c r="AB1869" i="1"/>
  <c r="AF1869" i="1"/>
  <c r="AI1869" i="1"/>
  <c r="H1870" i="1"/>
  <c r="AE1870" i="1"/>
  <c r="I1870" i="1"/>
  <c r="J1870" i="1"/>
  <c r="K1870" i="1"/>
  <c r="AC1870" i="1"/>
  <c r="AJ1869" i="1"/>
  <c r="AK1869" i="1"/>
  <c r="AM1869" i="1"/>
  <c r="BG1869" i="1"/>
  <c r="T1870" i="1"/>
  <c r="U1870" i="1"/>
  <c r="V1870" i="1"/>
  <c r="W1870" i="1"/>
  <c r="X1870" i="1"/>
  <c r="Y1870" i="1"/>
  <c r="Z1870" i="1"/>
  <c r="AB1870" i="1"/>
  <c r="AF1870" i="1"/>
  <c r="AI1870" i="1"/>
  <c r="AE1871" i="1"/>
  <c r="AC1871" i="1"/>
  <c r="AJ1870" i="1"/>
  <c r="AK1870" i="1"/>
  <c r="AM1870" i="1"/>
  <c r="BF1870" i="1"/>
  <c r="BG1870" i="1"/>
  <c r="T1871" i="1"/>
  <c r="U1871" i="1"/>
  <c r="V1871" i="1"/>
  <c r="W1871" i="1"/>
  <c r="X1871" i="1"/>
  <c r="Y1871" i="1"/>
  <c r="Z1871" i="1"/>
  <c r="AB1871" i="1"/>
  <c r="AF1871" i="1"/>
  <c r="AI1871" i="1"/>
  <c r="AE1872" i="1"/>
  <c r="AC1872" i="1"/>
  <c r="AJ1871" i="1"/>
  <c r="AK1871" i="1"/>
  <c r="AM1871" i="1"/>
  <c r="BF1871" i="1"/>
  <c r="BG1871" i="1"/>
  <c r="T1872" i="1"/>
  <c r="U1872" i="1"/>
  <c r="V1872" i="1"/>
  <c r="W1872" i="1"/>
  <c r="X1872" i="1"/>
  <c r="Y1872" i="1"/>
  <c r="Z1872" i="1"/>
  <c r="AB1872" i="1"/>
  <c r="AF1872" i="1"/>
  <c r="AI1872" i="1"/>
  <c r="H1873" i="1"/>
  <c r="AE1873" i="1"/>
  <c r="I1873" i="1"/>
  <c r="J1873" i="1"/>
  <c r="K1873" i="1"/>
  <c r="AC1873" i="1"/>
  <c r="AJ1872" i="1"/>
  <c r="AK1872" i="1"/>
  <c r="AM1872" i="1"/>
  <c r="BG1872" i="1"/>
  <c r="T1873" i="1"/>
  <c r="U1873" i="1"/>
  <c r="V1873" i="1"/>
  <c r="W1873" i="1"/>
  <c r="X1873" i="1"/>
  <c r="Y1873" i="1"/>
  <c r="Z1873" i="1"/>
  <c r="AB1873" i="1"/>
  <c r="AF1873" i="1"/>
  <c r="AI1873" i="1"/>
  <c r="AE1874" i="1"/>
  <c r="AC1874" i="1"/>
  <c r="AJ1873" i="1"/>
  <c r="AK1873" i="1"/>
  <c r="AM1873" i="1"/>
  <c r="BF1873" i="1"/>
  <c r="BG1873" i="1"/>
  <c r="T1874" i="1"/>
  <c r="U1874" i="1"/>
  <c r="V1874" i="1"/>
  <c r="W1874" i="1"/>
  <c r="X1874" i="1"/>
  <c r="Y1874" i="1"/>
  <c r="Z1874" i="1"/>
  <c r="AB1874" i="1"/>
  <c r="AF1874" i="1"/>
  <c r="AI1874" i="1"/>
  <c r="AE1875" i="1"/>
  <c r="AC1875" i="1"/>
  <c r="AJ1874" i="1"/>
  <c r="AK1874" i="1"/>
  <c r="AM1874" i="1"/>
  <c r="BF1874" i="1"/>
  <c r="BG1874" i="1"/>
  <c r="T1875" i="1"/>
  <c r="U1875" i="1"/>
  <c r="V1875" i="1"/>
  <c r="W1875" i="1"/>
  <c r="X1875" i="1"/>
  <c r="Y1875" i="1"/>
  <c r="Z1875" i="1"/>
  <c r="AB1875" i="1"/>
  <c r="AF1875" i="1"/>
  <c r="AI1875" i="1"/>
  <c r="H1876" i="1"/>
  <c r="AE1876" i="1"/>
  <c r="I1876" i="1"/>
  <c r="J1876" i="1"/>
  <c r="K1876" i="1"/>
  <c r="AC1876" i="1"/>
  <c r="AJ1875" i="1"/>
  <c r="AK1875" i="1"/>
  <c r="AM1875" i="1"/>
  <c r="BG1875" i="1"/>
  <c r="T1876" i="1"/>
  <c r="U1876" i="1"/>
  <c r="V1876" i="1"/>
  <c r="W1876" i="1"/>
  <c r="X1876" i="1"/>
  <c r="Y1876" i="1"/>
  <c r="Z1876" i="1"/>
  <c r="AB1876" i="1"/>
  <c r="AF1876" i="1"/>
  <c r="AI1876" i="1"/>
  <c r="H1877" i="1"/>
  <c r="AE1877" i="1"/>
  <c r="I1877" i="1"/>
  <c r="J1877" i="1"/>
  <c r="K1877" i="1"/>
  <c r="AC1877" i="1"/>
  <c r="AJ1876" i="1"/>
  <c r="AK1876" i="1"/>
  <c r="AM1876" i="1"/>
  <c r="BF1876" i="1"/>
  <c r="BG1876" i="1"/>
  <c r="T1877" i="1"/>
  <c r="U1877" i="1"/>
  <c r="V1877" i="1"/>
  <c r="W1877" i="1"/>
  <c r="X1877" i="1"/>
  <c r="Y1877" i="1"/>
  <c r="Z1877" i="1"/>
  <c r="AB1877" i="1"/>
  <c r="AF1877" i="1"/>
  <c r="AI1877" i="1"/>
  <c r="AE1878" i="1"/>
  <c r="AC1878" i="1"/>
  <c r="AJ1877" i="1"/>
  <c r="AK1877" i="1"/>
  <c r="AM1877" i="1"/>
  <c r="BF1877" i="1"/>
  <c r="BG1877" i="1"/>
  <c r="T1878" i="1"/>
  <c r="U1878" i="1"/>
  <c r="V1878" i="1"/>
  <c r="W1878" i="1"/>
  <c r="X1878" i="1"/>
  <c r="Y1878" i="1"/>
  <c r="Z1878" i="1"/>
  <c r="AB1878" i="1"/>
  <c r="AF1878" i="1"/>
  <c r="AI1878" i="1"/>
  <c r="AE1879" i="1"/>
  <c r="AC1879" i="1"/>
  <c r="AJ1878" i="1"/>
  <c r="AK1878" i="1"/>
  <c r="AM1878" i="1"/>
  <c r="BF1878" i="1"/>
  <c r="BG1878" i="1"/>
  <c r="T1879" i="1"/>
  <c r="U1879" i="1"/>
  <c r="V1879" i="1"/>
  <c r="W1879" i="1"/>
  <c r="X1879" i="1"/>
  <c r="Y1879" i="1"/>
  <c r="Z1879" i="1"/>
  <c r="AB1879" i="1"/>
  <c r="AF1879" i="1"/>
  <c r="AI1879" i="1"/>
  <c r="H1880" i="1"/>
  <c r="AE1880" i="1"/>
  <c r="I1880" i="1"/>
  <c r="J1880" i="1"/>
  <c r="K1880" i="1"/>
  <c r="AC1880" i="1"/>
  <c r="AJ1879" i="1"/>
  <c r="AK1879" i="1"/>
  <c r="AM1879" i="1"/>
  <c r="BG1879" i="1"/>
  <c r="T1880" i="1"/>
  <c r="U1880" i="1"/>
  <c r="V1880" i="1"/>
  <c r="W1880" i="1"/>
  <c r="X1880" i="1"/>
  <c r="Y1880" i="1"/>
  <c r="Z1880" i="1"/>
  <c r="AB1880" i="1"/>
  <c r="AF1880" i="1"/>
  <c r="AI1880" i="1"/>
  <c r="AE1881" i="1"/>
  <c r="AC1881" i="1"/>
  <c r="AJ1880" i="1"/>
  <c r="AK1880" i="1"/>
  <c r="AM1880" i="1"/>
  <c r="BF1880" i="1"/>
  <c r="BG1880" i="1"/>
  <c r="T1881" i="1"/>
  <c r="U1881" i="1"/>
  <c r="V1881" i="1"/>
  <c r="W1881" i="1"/>
  <c r="X1881" i="1"/>
  <c r="Y1881" i="1"/>
  <c r="Z1881" i="1"/>
  <c r="AB1881" i="1"/>
  <c r="AF1881" i="1"/>
  <c r="AI1881" i="1"/>
  <c r="AE1882" i="1"/>
  <c r="AC1882" i="1"/>
  <c r="AJ1881" i="1"/>
  <c r="AK1881" i="1"/>
  <c r="AM1881" i="1"/>
  <c r="BF1881" i="1"/>
  <c r="BG1881" i="1"/>
  <c r="T1882" i="1"/>
  <c r="U1882" i="1"/>
  <c r="V1882" i="1"/>
  <c r="W1882" i="1"/>
  <c r="X1882" i="1"/>
  <c r="Y1882" i="1"/>
  <c r="Z1882" i="1"/>
  <c r="AB1882" i="1"/>
  <c r="AF1882" i="1"/>
  <c r="AI1882" i="1"/>
  <c r="H1883" i="1"/>
  <c r="AE1883" i="1"/>
  <c r="I1883" i="1"/>
  <c r="J1883" i="1"/>
  <c r="K1883" i="1"/>
  <c r="AC1883" i="1"/>
  <c r="AJ1882" i="1"/>
  <c r="AK1882" i="1"/>
  <c r="AM1882" i="1"/>
  <c r="BG1882" i="1"/>
  <c r="T1883" i="1"/>
  <c r="U1883" i="1"/>
  <c r="V1883" i="1"/>
  <c r="W1883" i="1"/>
  <c r="X1883" i="1"/>
  <c r="Y1883" i="1"/>
  <c r="Z1883" i="1"/>
  <c r="AB1883" i="1"/>
  <c r="AF1883" i="1"/>
  <c r="AI1883" i="1"/>
  <c r="AE1884" i="1"/>
  <c r="AC1884" i="1"/>
  <c r="AJ1883" i="1"/>
  <c r="AK1883" i="1"/>
  <c r="AM1883" i="1"/>
  <c r="BF1883" i="1"/>
  <c r="BG1883" i="1"/>
  <c r="T1884" i="1"/>
  <c r="U1884" i="1"/>
  <c r="V1884" i="1"/>
  <c r="W1884" i="1"/>
  <c r="X1884" i="1"/>
  <c r="Y1884" i="1"/>
  <c r="Z1884" i="1"/>
  <c r="AB1884" i="1"/>
  <c r="AF1884" i="1"/>
  <c r="AI1884" i="1"/>
  <c r="AE1885" i="1"/>
  <c r="AC1885" i="1"/>
  <c r="AJ1884" i="1"/>
  <c r="AK1884" i="1"/>
  <c r="AM1884" i="1"/>
  <c r="BF1884" i="1"/>
  <c r="BG1884" i="1"/>
  <c r="T1885" i="1"/>
  <c r="U1885" i="1"/>
  <c r="V1885" i="1"/>
  <c r="W1885" i="1"/>
  <c r="X1885" i="1"/>
  <c r="Y1885" i="1"/>
  <c r="Z1885" i="1"/>
  <c r="AB1885" i="1"/>
  <c r="AF1885" i="1"/>
  <c r="AI1885" i="1"/>
  <c r="H1886" i="1"/>
  <c r="AE1886" i="1"/>
  <c r="I1886" i="1"/>
  <c r="J1886" i="1"/>
  <c r="K1886" i="1"/>
  <c r="AC1886" i="1"/>
  <c r="AJ1885" i="1"/>
  <c r="AK1885" i="1"/>
  <c r="AM1885" i="1"/>
  <c r="BG1885" i="1"/>
  <c r="T1886" i="1"/>
  <c r="U1886" i="1"/>
  <c r="V1886" i="1"/>
  <c r="W1886" i="1"/>
  <c r="X1886" i="1"/>
  <c r="Y1886" i="1"/>
  <c r="Z1886" i="1"/>
  <c r="AB1886" i="1"/>
  <c r="AF1886" i="1"/>
  <c r="AI1886" i="1"/>
  <c r="AE1887" i="1"/>
  <c r="AC1887" i="1"/>
  <c r="AJ1886" i="1"/>
  <c r="AK1886" i="1"/>
  <c r="AM1886" i="1"/>
  <c r="BF1886" i="1"/>
  <c r="BG1886" i="1"/>
  <c r="T1887" i="1"/>
  <c r="U1887" i="1"/>
  <c r="V1887" i="1"/>
  <c r="W1887" i="1"/>
  <c r="X1887" i="1"/>
  <c r="Y1887" i="1"/>
  <c r="Z1887" i="1"/>
  <c r="AB1887" i="1"/>
  <c r="AF1887" i="1"/>
  <c r="AI1887" i="1"/>
  <c r="AE1888" i="1"/>
  <c r="AC1888" i="1"/>
  <c r="AJ1887" i="1"/>
  <c r="AK1887" i="1"/>
  <c r="AM1887" i="1"/>
  <c r="BF1887" i="1"/>
  <c r="BG1887" i="1"/>
  <c r="T1888" i="1"/>
  <c r="U1888" i="1"/>
  <c r="V1888" i="1"/>
  <c r="W1888" i="1"/>
  <c r="X1888" i="1"/>
  <c r="Y1888" i="1"/>
  <c r="Z1888" i="1"/>
  <c r="AB1888" i="1"/>
  <c r="AF1888" i="1"/>
  <c r="AI1888" i="1"/>
  <c r="H1889" i="1"/>
  <c r="AE1889" i="1"/>
  <c r="I1889" i="1"/>
  <c r="J1889" i="1"/>
  <c r="K1889" i="1"/>
  <c r="AC1889" i="1"/>
  <c r="AJ1888" i="1"/>
  <c r="AK1888" i="1"/>
  <c r="AM1888" i="1"/>
  <c r="BG1888" i="1"/>
  <c r="T1889" i="1"/>
  <c r="U1889" i="1"/>
  <c r="V1889" i="1"/>
  <c r="W1889" i="1"/>
  <c r="X1889" i="1"/>
  <c r="Y1889" i="1"/>
  <c r="Z1889" i="1"/>
  <c r="AB1889" i="1"/>
  <c r="AF1889" i="1"/>
  <c r="AI1889" i="1"/>
  <c r="H1890" i="1"/>
  <c r="AE1890" i="1"/>
  <c r="I1890" i="1"/>
  <c r="J1890" i="1"/>
  <c r="K1890" i="1"/>
  <c r="AC1890" i="1"/>
  <c r="AJ1889" i="1"/>
  <c r="AK1889" i="1"/>
  <c r="AM1889" i="1"/>
  <c r="BF1889" i="1"/>
  <c r="BG1889" i="1"/>
  <c r="T1890" i="1"/>
  <c r="U1890" i="1"/>
  <c r="V1890" i="1"/>
  <c r="W1890" i="1"/>
  <c r="X1890" i="1"/>
  <c r="Y1890" i="1"/>
  <c r="Z1890" i="1"/>
  <c r="AB1890" i="1"/>
  <c r="AF1890" i="1"/>
  <c r="AI1890" i="1"/>
  <c r="AE1891" i="1"/>
  <c r="AC1891" i="1"/>
  <c r="AJ1890" i="1"/>
  <c r="AK1890" i="1"/>
  <c r="AM1890" i="1"/>
  <c r="BF1890" i="1"/>
  <c r="BG1890" i="1"/>
  <c r="T1891" i="1"/>
  <c r="U1891" i="1"/>
  <c r="V1891" i="1"/>
  <c r="W1891" i="1"/>
  <c r="X1891" i="1"/>
  <c r="Y1891" i="1"/>
  <c r="Z1891" i="1"/>
  <c r="AB1891" i="1"/>
  <c r="AF1891" i="1"/>
  <c r="AI1891" i="1"/>
  <c r="AE1892" i="1"/>
  <c r="AC1892" i="1"/>
  <c r="AJ1891" i="1"/>
  <c r="AK1891" i="1"/>
  <c r="AM1891" i="1"/>
  <c r="BF1891" i="1"/>
  <c r="BG1891" i="1"/>
  <c r="T1892" i="1"/>
  <c r="U1892" i="1"/>
  <c r="V1892" i="1"/>
  <c r="W1892" i="1"/>
  <c r="X1892" i="1"/>
  <c r="Y1892" i="1"/>
  <c r="Z1892" i="1"/>
  <c r="AB1892" i="1"/>
  <c r="AF1892" i="1"/>
  <c r="AI1892" i="1"/>
  <c r="H1893" i="1"/>
  <c r="AE1893" i="1"/>
  <c r="I1893" i="1"/>
  <c r="J1893" i="1"/>
  <c r="K1893" i="1"/>
  <c r="AC1893" i="1"/>
  <c r="AJ1892" i="1"/>
  <c r="AK1892" i="1"/>
  <c r="AM1892" i="1"/>
  <c r="BG1892" i="1"/>
  <c r="T1893" i="1"/>
  <c r="U1893" i="1"/>
  <c r="V1893" i="1"/>
  <c r="W1893" i="1"/>
  <c r="X1893" i="1"/>
  <c r="Y1893" i="1"/>
  <c r="Z1893" i="1"/>
  <c r="AB1893" i="1"/>
  <c r="AF1893" i="1"/>
  <c r="AI1893" i="1"/>
  <c r="AE1894" i="1"/>
  <c r="AC1894" i="1"/>
  <c r="AJ1893" i="1"/>
  <c r="AK1893" i="1"/>
  <c r="AM1893" i="1"/>
  <c r="BF1893" i="1"/>
  <c r="BG1893" i="1"/>
  <c r="T1894" i="1"/>
  <c r="U1894" i="1"/>
  <c r="V1894" i="1"/>
  <c r="W1894" i="1"/>
  <c r="X1894" i="1"/>
  <c r="Y1894" i="1"/>
  <c r="Z1894" i="1"/>
  <c r="AB1894" i="1"/>
  <c r="AF1894" i="1"/>
  <c r="AI1894" i="1"/>
  <c r="AE1895" i="1"/>
  <c r="AC1895" i="1"/>
  <c r="AJ1894" i="1"/>
  <c r="AK1894" i="1"/>
  <c r="AM1894" i="1"/>
  <c r="BF1894" i="1"/>
  <c r="BG1894" i="1"/>
  <c r="T1895" i="1"/>
  <c r="U1895" i="1"/>
  <c r="V1895" i="1"/>
  <c r="W1895" i="1"/>
  <c r="X1895" i="1"/>
  <c r="Y1895" i="1"/>
  <c r="Z1895" i="1"/>
  <c r="AB1895" i="1"/>
  <c r="AF1895" i="1"/>
  <c r="AI1895" i="1"/>
  <c r="H1896" i="1"/>
  <c r="AE1896" i="1"/>
  <c r="I1896" i="1"/>
  <c r="J1896" i="1"/>
  <c r="K1896" i="1"/>
  <c r="AC1896" i="1"/>
  <c r="AJ1895" i="1"/>
  <c r="AK1895" i="1"/>
  <c r="AM1895" i="1"/>
  <c r="BG1895" i="1"/>
  <c r="T1896" i="1"/>
  <c r="U1896" i="1"/>
  <c r="V1896" i="1"/>
  <c r="W1896" i="1"/>
  <c r="X1896" i="1"/>
  <c r="Y1896" i="1"/>
  <c r="Z1896" i="1"/>
  <c r="AB1896" i="1"/>
  <c r="AF1896" i="1"/>
  <c r="AI1896" i="1"/>
  <c r="H1897" i="1"/>
  <c r="AE1897" i="1"/>
  <c r="I1897" i="1"/>
  <c r="J1897" i="1"/>
  <c r="K1897" i="1"/>
  <c r="AC1897" i="1"/>
  <c r="AJ1896" i="1"/>
  <c r="AK1896" i="1"/>
  <c r="AM1896" i="1"/>
  <c r="BF1896" i="1"/>
  <c r="BG1896" i="1"/>
  <c r="T1897" i="1"/>
  <c r="U1897" i="1"/>
  <c r="V1897" i="1"/>
  <c r="W1897" i="1"/>
  <c r="X1897" i="1"/>
  <c r="Y1897" i="1"/>
  <c r="Z1897" i="1"/>
  <c r="AB1897" i="1"/>
  <c r="AF1897" i="1"/>
  <c r="AI1897" i="1"/>
  <c r="AE1898" i="1"/>
  <c r="AC1898" i="1"/>
  <c r="AJ1897" i="1"/>
  <c r="AK1897" i="1"/>
  <c r="AM1897" i="1"/>
  <c r="BF1897" i="1"/>
  <c r="BG1897" i="1"/>
  <c r="T1898" i="1"/>
  <c r="U1898" i="1"/>
  <c r="V1898" i="1"/>
  <c r="W1898" i="1"/>
  <c r="X1898" i="1"/>
  <c r="Y1898" i="1"/>
  <c r="Z1898" i="1"/>
  <c r="AB1898" i="1"/>
  <c r="AF1898" i="1"/>
  <c r="AI1898" i="1"/>
  <c r="AE1899" i="1"/>
  <c r="AC1899" i="1"/>
  <c r="AJ1898" i="1"/>
  <c r="AK1898" i="1"/>
  <c r="AM1898" i="1"/>
  <c r="BF1898" i="1"/>
  <c r="BG1898" i="1"/>
  <c r="T1899" i="1"/>
  <c r="U1899" i="1"/>
  <c r="V1899" i="1"/>
  <c r="W1899" i="1"/>
  <c r="X1899" i="1"/>
  <c r="Y1899" i="1"/>
  <c r="Z1899" i="1"/>
  <c r="AB1899" i="1"/>
  <c r="AF1899" i="1"/>
  <c r="AI1899" i="1"/>
  <c r="H1900" i="1"/>
  <c r="AE1900" i="1"/>
  <c r="I1900" i="1"/>
  <c r="J1900" i="1"/>
  <c r="K1900" i="1"/>
  <c r="AC1900" i="1"/>
  <c r="AJ1899" i="1"/>
  <c r="AK1899" i="1"/>
  <c r="AM1899" i="1"/>
  <c r="BG1899" i="1"/>
  <c r="T1900" i="1"/>
  <c r="U1900" i="1"/>
  <c r="V1900" i="1"/>
  <c r="W1900" i="1"/>
  <c r="X1900" i="1"/>
  <c r="Y1900" i="1"/>
  <c r="Z1900" i="1"/>
  <c r="AB1900" i="1"/>
  <c r="AF1900" i="1"/>
  <c r="AI1900" i="1"/>
  <c r="AE1901" i="1"/>
  <c r="AC1901" i="1"/>
  <c r="AJ1900" i="1"/>
  <c r="AK1900" i="1"/>
  <c r="AM1900" i="1"/>
  <c r="BF1900" i="1"/>
  <c r="BG1900" i="1"/>
  <c r="T1901" i="1"/>
  <c r="U1901" i="1"/>
  <c r="V1901" i="1"/>
  <c r="W1901" i="1"/>
  <c r="X1901" i="1"/>
  <c r="Y1901" i="1"/>
  <c r="Z1901" i="1"/>
  <c r="AB1901" i="1"/>
  <c r="AF1901" i="1"/>
  <c r="AI1901" i="1"/>
  <c r="AE1902" i="1"/>
  <c r="AC1902" i="1"/>
  <c r="AJ1901" i="1"/>
  <c r="AK1901" i="1"/>
  <c r="AM1901" i="1"/>
  <c r="BF1901" i="1"/>
  <c r="BG1901" i="1"/>
  <c r="T1902" i="1"/>
  <c r="U1902" i="1"/>
  <c r="V1902" i="1"/>
  <c r="W1902" i="1"/>
  <c r="X1902" i="1"/>
  <c r="Y1902" i="1"/>
  <c r="Z1902" i="1"/>
  <c r="AB1902" i="1"/>
  <c r="AF1902" i="1"/>
  <c r="AI1902" i="1"/>
  <c r="H1903" i="1"/>
  <c r="AE1903" i="1"/>
  <c r="I1903" i="1"/>
  <c r="J1903" i="1"/>
  <c r="K1903" i="1"/>
  <c r="AC1903" i="1"/>
  <c r="AJ1902" i="1"/>
  <c r="AK1902" i="1"/>
  <c r="AM1902" i="1"/>
  <c r="BG1902" i="1"/>
  <c r="T1903" i="1"/>
  <c r="U1903" i="1"/>
  <c r="V1903" i="1"/>
  <c r="W1903" i="1"/>
  <c r="X1903" i="1"/>
  <c r="Y1903" i="1"/>
  <c r="Z1903" i="1"/>
  <c r="AB1903" i="1"/>
  <c r="AF1903" i="1"/>
  <c r="AI1903" i="1"/>
  <c r="AE1904" i="1"/>
  <c r="AC1904" i="1"/>
  <c r="AJ1903" i="1"/>
  <c r="AK1903" i="1"/>
  <c r="AM1903" i="1"/>
  <c r="BF1903" i="1"/>
  <c r="BG1903" i="1"/>
  <c r="T1904" i="1"/>
  <c r="U1904" i="1"/>
  <c r="V1904" i="1"/>
  <c r="W1904" i="1"/>
  <c r="X1904" i="1"/>
  <c r="Y1904" i="1"/>
  <c r="Z1904" i="1"/>
  <c r="AB1904" i="1"/>
  <c r="AF1904" i="1"/>
  <c r="AI1904" i="1"/>
  <c r="AE1905" i="1"/>
  <c r="AC1905" i="1"/>
  <c r="AJ1904" i="1"/>
  <c r="AK1904" i="1"/>
  <c r="AM1904" i="1"/>
  <c r="BF1904" i="1"/>
  <c r="BG1904" i="1"/>
  <c r="T1905" i="1"/>
  <c r="U1905" i="1"/>
  <c r="V1905" i="1"/>
  <c r="W1905" i="1"/>
  <c r="X1905" i="1"/>
  <c r="Y1905" i="1"/>
  <c r="Z1905" i="1"/>
  <c r="AB1905" i="1"/>
  <c r="AF1905" i="1"/>
  <c r="AI1905" i="1"/>
  <c r="H1906" i="1"/>
  <c r="AE1906" i="1"/>
  <c r="I1906" i="1"/>
  <c r="J1906" i="1"/>
  <c r="K1906" i="1"/>
  <c r="AC1906" i="1"/>
  <c r="AJ1905" i="1"/>
  <c r="AK1905" i="1"/>
  <c r="AM1905" i="1"/>
  <c r="BG1905" i="1"/>
  <c r="T1906" i="1"/>
  <c r="U1906" i="1"/>
  <c r="V1906" i="1"/>
  <c r="W1906" i="1"/>
  <c r="X1906" i="1"/>
  <c r="Y1906" i="1"/>
  <c r="Z1906" i="1"/>
  <c r="AB1906" i="1"/>
  <c r="AF1906" i="1"/>
  <c r="AI1906" i="1"/>
  <c r="H1907" i="1"/>
  <c r="AE1907" i="1"/>
  <c r="I1907" i="1"/>
  <c r="J1907" i="1"/>
  <c r="K1907" i="1"/>
  <c r="AC1907" i="1"/>
  <c r="AJ1906" i="1"/>
  <c r="AK1906" i="1"/>
  <c r="AM1906" i="1"/>
  <c r="BF1906" i="1"/>
  <c r="BG1906" i="1"/>
  <c r="T1907" i="1"/>
  <c r="U1907" i="1"/>
  <c r="V1907" i="1"/>
  <c r="W1907" i="1"/>
  <c r="X1907" i="1"/>
  <c r="Y1907" i="1"/>
  <c r="Z1907" i="1"/>
  <c r="AB1907" i="1"/>
  <c r="AF1907" i="1"/>
  <c r="AI1907" i="1"/>
  <c r="H1908" i="1"/>
  <c r="AE1908" i="1"/>
  <c r="I1908" i="1"/>
  <c r="J1908" i="1"/>
  <c r="K1908" i="1"/>
  <c r="AC1908" i="1"/>
  <c r="AJ1907" i="1"/>
  <c r="AK1907" i="1"/>
  <c r="AM1907" i="1"/>
  <c r="BF1907" i="1"/>
  <c r="BG1907" i="1"/>
  <c r="T1908" i="1"/>
  <c r="U1908" i="1"/>
  <c r="V1908" i="1"/>
  <c r="W1908" i="1"/>
  <c r="X1908" i="1"/>
  <c r="Y1908" i="1"/>
  <c r="Z1908" i="1"/>
  <c r="AB1908" i="1"/>
  <c r="AF1908" i="1"/>
  <c r="AI1908" i="1"/>
  <c r="H1909" i="1"/>
  <c r="AE1909" i="1"/>
  <c r="I1909" i="1"/>
  <c r="J1909" i="1"/>
  <c r="K1909" i="1"/>
  <c r="AC1909" i="1"/>
  <c r="AJ1908" i="1"/>
  <c r="AK1908" i="1"/>
  <c r="AM1908" i="1"/>
  <c r="BF1908" i="1"/>
  <c r="BG1908" i="1"/>
  <c r="T1909" i="1"/>
  <c r="U1909" i="1"/>
  <c r="V1909" i="1"/>
  <c r="W1909" i="1"/>
  <c r="X1909" i="1"/>
  <c r="Y1909" i="1"/>
  <c r="Z1909" i="1"/>
  <c r="AB1909" i="1"/>
  <c r="AF1909" i="1"/>
  <c r="AI1909" i="1"/>
  <c r="H1910" i="1"/>
  <c r="AE1910" i="1"/>
  <c r="I1910" i="1"/>
  <c r="J1910" i="1"/>
  <c r="K1910" i="1"/>
  <c r="AC1910" i="1"/>
  <c r="AJ1909" i="1"/>
  <c r="AK1909" i="1"/>
  <c r="AM1909" i="1"/>
  <c r="BF1909" i="1"/>
  <c r="BG1909" i="1"/>
  <c r="T1910" i="1"/>
  <c r="U1910" i="1"/>
  <c r="V1910" i="1"/>
  <c r="W1910" i="1"/>
  <c r="X1910" i="1"/>
  <c r="Y1910" i="1"/>
  <c r="Z1910" i="1"/>
  <c r="AB1910" i="1"/>
  <c r="AF1910" i="1"/>
  <c r="AI1910" i="1"/>
  <c r="AE1911" i="1"/>
  <c r="AC1911" i="1"/>
  <c r="AJ1910" i="1"/>
  <c r="AK1910" i="1"/>
  <c r="AM1910" i="1"/>
  <c r="BF1910" i="1"/>
  <c r="BG1910" i="1"/>
  <c r="T1911" i="1"/>
  <c r="U1911" i="1"/>
  <c r="V1911" i="1"/>
  <c r="W1911" i="1"/>
  <c r="X1911" i="1"/>
  <c r="Y1911" i="1"/>
  <c r="Z1911" i="1"/>
  <c r="AB1911" i="1"/>
  <c r="AF1911" i="1"/>
  <c r="AI1911" i="1"/>
  <c r="AE1912" i="1"/>
  <c r="AC1912" i="1"/>
  <c r="AJ1911" i="1"/>
  <c r="AK1911" i="1"/>
  <c r="AM1911" i="1"/>
  <c r="BF1911" i="1"/>
  <c r="BG1911" i="1"/>
  <c r="T1912" i="1"/>
  <c r="U1912" i="1"/>
  <c r="V1912" i="1"/>
  <c r="W1912" i="1"/>
  <c r="X1912" i="1"/>
  <c r="Y1912" i="1"/>
  <c r="Z1912" i="1"/>
  <c r="AB1912" i="1"/>
  <c r="AF1912" i="1"/>
  <c r="AI1912" i="1"/>
  <c r="AE1913" i="1"/>
  <c r="AC1913" i="1"/>
  <c r="AJ1912" i="1"/>
  <c r="AK1912" i="1"/>
  <c r="AM1912" i="1"/>
  <c r="BF1912" i="1"/>
  <c r="BG1912" i="1"/>
  <c r="T1913" i="1"/>
  <c r="U1913" i="1"/>
  <c r="V1913" i="1"/>
  <c r="W1913" i="1"/>
  <c r="X1913" i="1"/>
  <c r="Y1913" i="1"/>
  <c r="Z1913" i="1"/>
  <c r="AB1913" i="1"/>
  <c r="AF1913" i="1"/>
  <c r="AI1913" i="1"/>
  <c r="H1914" i="1"/>
  <c r="AE1914" i="1"/>
  <c r="I1914" i="1"/>
  <c r="J1914" i="1"/>
  <c r="K1914" i="1"/>
  <c r="AC1914" i="1"/>
  <c r="AJ1913" i="1"/>
  <c r="AK1913" i="1"/>
  <c r="AM1913" i="1"/>
  <c r="BG1913" i="1"/>
  <c r="T1914" i="1"/>
  <c r="U1914" i="1"/>
  <c r="V1914" i="1"/>
  <c r="W1914" i="1"/>
  <c r="X1914" i="1"/>
  <c r="Y1914" i="1"/>
  <c r="Z1914" i="1"/>
  <c r="AB1914" i="1"/>
  <c r="AF1914" i="1"/>
  <c r="AI1914" i="1"/>
  <c r="H1915" i="1"/>
  <c r="AE1915" i="1"/>
  <c r="I1915" i="1"/>
  <c r="J1915" i="1"/>
  <c r="K1915" i="1"/>
  <c r="AC1915" i="1"/>
  <c r="AJ1914" i="1"/>
  <c r="AK1914" i="1"/>
  <c r="AM1914" i="1"/>
  <c r="BF1914" i="1"/>
  <c r="BG1914" i="1"/>
  <c r="T1915" i="1"/>
  <c r="U1915" i="1"/>
  <c r="V1915" i="1"/>
  <c r="W1915" i="1"/>
  <c r="X1915" i="1"/>
  <c r="Y1915" i="1"/>
  <c r="Z1915" i="1"/>
  <c r="AB1915" i="1"/>
  <c r="AF1915" i="1"/>
  <c r="AI1915" i="1"/>
  <c r="H1916" i="1"/>
  <c r="AE1916" i="1"/>
  <c r="I1916" i="1"/>
  <c r="J1916" i="1"/>
  <c r="K1916" i="1"/>
  <c r="AC1916" i="1"/>
  <c r="AJ1915" i="1"/>
  <c r="AK1915" i="1"/>
  <c r="AM1915" i="1"/>
  <c r="BF1915" i="1"/>
  <c r="BG1915" i="1"/>
  <c r="T1916" i="1"/>
  <c r="U1916" i="1"/>
  <c r="V1916" i="1"/>
  <c r="W1916" i="1"/>
  <c r="X1916" i="1"/>
  <c r="Y1916" i="1"/>
  <c r="Z1916" i="1"/>
  <c r="AB1916" i="1"/>
  <c r="AF1916" i="1"/>
  <c r="AI1916" i="1"/>
  <c r="H1917" i="1"/>
  <c r="AE1917" i="1"/>
  <c r="I1917" i="1"/>
  <c r="J1917" i="1"/>
  <c r="K1917" i="1"/>
  <c r="AC1917" i="1"/>
  <c r="AJ1916" i="1"/>
  <c r="AK1916" i="1"/>
  <c r="AM1916" i="1"/>
  <c r="BF1916" i="1"/>
  <c r="BG1916" i="1"/>
  <c r="T1917" i="1"/>
  <c r="U1917" i="1"/>
  <c r="V1917" i="1"/>
  <c r="W1917" i="1"/>
  <c r="X1917" i="1"/>
  <c r="Y1917" i="1"/>
  <c r="Z1917" i="1"/>
  <c r="AB1917" i="1"/>
  <c r="AF1917" i="1"/>
  <c r="AI1917" i="1"/>
  <c r="AE1918" i="1"/>
  <c r="AC1918" i="1"/>
  <c r="AJ1917" i="1"/>
  <c r="AK1917" i="1"/>
  <c r="AM1917" i="1"/>
  <c r="BF1917" i="1"/>
  <c r="BG1917" i="1"/>
  <c r="T1918" i="1"/>
  <c r="U1918" i="1"/>
  <c r="V1918" i="1"/>
  <c r="W1918" i="1"/>
  <c r="X1918" i="1"/>
  <c r="Y1918" i="1"/>
  <c r="Z1918" i="1"/>
  <c r="AB1918" i="1"/>
  <c r="AF1918" i="1"/>
  <c r="AI1918" i="1"/>
  <c r="AE1919" i="1"/>
  <c r="AC1919" i="1"/>
  <c r="AJ1918" i="1"/>
  <c r="AK1918" i="1"/>
  <c r="AM1918" i="1"/>
  <c r="BF1918" i="1"/>
  <c r="BG1918" i="1"/>
  <c r="T1919" i="1"/>
  <c r="U1919" i="1"/>
  <c r="V1919" i="1"/>
  <c r="W1919" i="1"/>
  <c r="X1919" i="1"/>
  <c r="Y1919" i="1"/>
  <c r="Z1919" i="1"/>
  <c r="AB1919" i="1"/>
  <c r="AF1919" i="1"/>
  <c r="AI1919" i="1"/>
  <c r="H1920" i="1"/>
  <c r="AE1920" i="1"/>
  <c r="I1920" i="1"/>
  <c r="J1920" i="1"/>
  <c r="K1920" i="1"/>
  <c r="AC1920" i="1"/>
  <c r="AJ1919" i="1"/>
  <c r="AK1919" i="1"/>
  <c r="AM1919" i="1"/>
  <c r="BG1919" i="1"/>
  <c r="T1920" i="1"/>
  <c r="U1920" i="1"/>
  <c r="V1920" i="1"/>
  <c r="W1920" i="1"/>
  <c r="X1920" i="1"/>
  <c r="Y1920" i="1"/>
  <c r="Z1920" i="1"/>
  <c r="AB1920" i="1"/>
  <c r="AF1920" i="1"/>
  <c r="AI1920" i="1"/>
  <c r="AE1921" i="1"/>
  <c r="AC1921" i="1"/>
  <c r="AJ1920" i="1"/>
  <c r="AK1920" i="1"/>
  <c r="AM1920" i="1"/>
  <c r="BF1920" i="1"/>
  <c r="BG1920" i="1"/>
  <c r="T1921" i="1"/>
  <c r="U1921" i="1"/>
  <c r="V1921" i="1"/>
  <c r="W1921" i="1"/>
  <c r="X1921" i="1"/>
  <c r="Y1921" i="1"/>
  <c r="Z1921" i="1"/>
  <c r="AB1921" i="1"/>
  <c r="AF1921" i="1"/>
  <c r="AI1921" i="1"/>
  <c r="AE1922" i="1"/>
  <c r="AC1922" i="1"/>
  <c r="AJ1921" i="1"/>
  <c r="AK1921" i="1"/>
  <c r="AM1921" i="1"/>
  <c r="BF1921" i="1"/>
  <c r="BG1921" i="1"/>
  <c r="T1922" i="1"/>
  <c r="U1922" i="1"/>
  <c r="V1922" i="1"/>
  <c r="W1922" i="1"/>
  <c r="X1922" i="1"/>
  <c r="Y1922" i="1"/>
  <c r="Z1922" i="1"/>
  <c r="AB1922" i="1"/>
  <c r="AF1922" i="1"/>
  <c r="AI1922" i="1"/>
  <c r="H1923" i="1"/>
  <c r="AE1923" i="1"/>
  <c r="I1923" i="1"/>
  <c r="J1923" i="1"/>
  <c r="K1923" i="1"/>
  <c r="AC1923" i="1"/>
  <c r="AJ1922" i="1"/>
  <c r="AK1922" i="1"/>
  <c r="AM1922" i="1"/>
  <c r="BG1922" i="1"/>
  <c r="T1923" i="1"/>
  <c r="U1923" i="1"/>
  <c r="V1923" i="1"/>
  <c r="W1923" i="1"/>
  <c r="X1923" i="1"/>
  <c r="Y1923" i="1"/>
  <c r="Z1923" i="1"/>
  <c r="AB1923" i="1"/>
  <c r="AF1923" i="1"/>
  <c r="AI1923" i="1"/>
  <c r="AE1924" i="1"/>
  <c r="AC1924" i="1"/>
  <c r="AJ1923" i="1"/>
  <c r="AK1923" i="1"/>
  <c r="AM1923" i="1"/>
  <c r="BF1923" i="1"/>
  <c r="BG1923" i="1"/>
  <c r="T1924" i="1"/>
  <c r="U1924" i="1"/>
  <c r="V1924" i="1"/>
  <c r="W1924" i="1"/>
  <c r="X1924" i="1"/>
  <c r="Y1924" i="1"/>
  <c r="Z1924" i="1"/>
  <c r="AB1924" i="1"/>
  <c r="AF1924" i="1"/>
  <c r="AI1924" i="1"/>
  <c r="AE1925" i="1"/>
  <c r="AC1925" i="1"/>
  <c r="AJ1924" i="1"/>
  <c r="AK1924" i="1"/>
  <c r="AM1924" i="1"/>
  <c r="BF1924" i="1"/>
  <c r="BG1924" i="1"/>
  <c r="T1925" i="1"/>
  <c r="U1925" i="1"/>
  <c r="V1925" i="1"/>
  <c r="W1925" i="1"/>
  <c r="X1925" i="1"/>
  <c r="Y1925" i="1"/>
  <c r="Z1925" i="1"/>
  <c r="AB1925" i="1"/>
  <c r="AF1925" i="1"/>
  <c r="AI1925" i="1"/>
  <c r="H1926" i="1"/>
  <c r="AE1926" i="1"/>
  <c r="I1926" i="1"/>
  <c r="J1926" i="1"/>
  <c r="K1926" i="1"/>
  <c r="AC1926" i="1"/>
  <c r="AJ1925" i="1"/>
  <c r="AK1925" i="1"/>
  <c r="AM1925" i="1"/>
  <c r="BG1925" i="1"/>
  <c r="T1926" i="1"/>
  <c r="U1926" i="1"/>
  <c r="V1926" i="1"/>
  <c r="W1926" i="1"/>
  <c r="X1926" i="1"/>
  <c r="Y1926" i="1"/>
  <c r="Z1926" i="1"/>
  <c r="AB1926" i="1"/>
  <c r="AF1926" i="1"/>
  <c r="AI1926" i="1"/>
  <c r="AE1927" i="1"/>
  <c r="AC1927" i="1"/>
  <c r="AJ1926" i="1"/>
  <c r="AK1926" i="1"/>
  <c r="AM1926" i="1"/>
  <c r="BF1926" i="1"/>
  <c r="BG1926" i="1"/>
  <c r="T1927" i="1"/>
  <c r="U1927" i="1"/>
  <c r="V1927" i="1"/>
  <c r="W1927" i="1"/>
  <c r="X1927" i="1"/>
  <c r="Y1927" i="1"/>
  <c r="Z1927" i="1"/>
  <c r="AB1927" i="1"/>
  <c r="AF1927" i="1"/>
  <c r="AI1927" i="1"/>
  <c r="AE1928" i="1"/>
  <c r="AC1928" i="1"/>
  <c r="AJ1927" i="1"/>
  <c r="AK1927" i="1"/>
  <c r="AM1927" i="1"/>
  <c r="BF1927" i="1"/>
  <c r="BG1927" i="1"/>
  <c r="T1928" i="1"/>
  <c r="U1928" i="1"/>
  <c r="V1928" i="1"/>
  <c r="W1928" i="1"/>
  <c r="X1928" i="1"/>
  <c r="Y1928" i="1"/>
  <c r="Z1928" i="1"/>
  <c r="AB1928" i="1"/>
  <c r="AF1928" i="1"/>
  <c r="AI1928" i="1"/>
  <c r="H1929" i="1"/>
  <c r="AE1929" i="1"/>
  <c r="I1929" i="1"/>
  <c r="J1929" i="1"/>
  <c r="K1929" i="1"/>
  <c r="AC1929" i="1"/>
  <c r="AJ1928" i="1"/>
  <c r="AK1928" i="1"/>
  <c r="AM1928" i="1"/>
  <c r="BG1928" i="1"/>
  <c r="T1929" i="1"/>
  <c r="U1929" i="1"/>
  <c r="V1929" i="1"/>
  <c r="W1929" i="1"/>
  <c r="X1929" i="1"/>
  <c r="Y1929" i="1"/>
  <c r="Z1929" i="1"/>
  <c r="AB1929" i="1"/>
  <c r="AF1929" i="1"/>
  <c r="AI1929" i="1"/>
  <c r="AE1930" i="1"/>
  <c r="AC1930" i="1"/>
  <c r="AJ1929" i="1"/>
  <c r="AK1929" i="1"/>
  <c r="AM1929" i="1"/>
  <c r="BF1929" i="1"/>
  <c r="BG1929" i="1"/>
  <c r="T1930" i="1"/>
  <c r="U1930" i="1"/>
  <c r="V1930" i="1"/>
  <c r="W1930" i="1"/>
  <c r="X1930" i="1"/>
  <c r="Y1930" i="1"/>
  <c r="Z1930" i="1"/>
  <c r="AB1930" i="1"/>
  <c r="AF1930" i="1"/>
  <c r="AI1930" i="1"/>
  <c r="AE1931" i="1"/>
  <c r="AC1931" i="1"/>
  <c r="AJ1930" i="1"/>
  <c r="AK1930" i="1"/>
  <c r="AM1930" i="1"/>
  <c r="BF1930" i="1"/>
  <c r="BG1930" i="1"/>
  <c r="T1931" i="1"/>
  <c r="U1931" i="1"/>
  <c r="V1931" i="1"/>
  <c r="W1931" i="1"/>
  <c r="X1931" i="1"/>
  <c r="Y1931" i="1"/>
  <c r="Z1931" i="1"/>
  <c r="AB1931" i="1"/>
  <c r="AF1931" i="1"/>
  <c r="AI1931" i="1"/>
  <c r="H1932" i="1"/>
  <c r="AE1932" i="1"/>
  <c r="I1932" i="1"/>
  <c r="J1932" i="1"/>
  <c r="K1932" i="1"/>
  <c r="AC1932" i="1"/>
  <c r="AJ1931" i="1"/>
  <c r="AK1931" i="1"/>
  <c r="AM1931" i="1"/>
  <c r="BG1931" i="1"/>
  <c r="T1932" i="1"/>
  <c r="U1932" i="1"/>
  <c r="V1932" i="1"/>
  <c r="W1932" i="1"/>
  <c r="X1932" i="1"/>
  <c r="Y1932" i="1"/>
  <c r="Z1932" i="1"/>
  <c r="AB1932" i="1"/>
  <c r="AF1932" i="1"/>
  <c r="AI1932" i="1"/>
  <c r="AE1933" i="1"/>
  <c r="AC1933" i="1"/>
  <c r="AJ1932" i="1"/>
  <c r="AK1932" i="1"/>
  <c r="AM1932" i="1"/>
  <c r="BF1932" i="1"/>
  <c r="BG1932" i="1"/>
  <c r="T1933" i="1"/>
  <c r="U1933" i="1"/>
  <c r="V1933" i="1"/>
  <c r="W1933" i="1"/>
  <c r="X1933" i="1"/>
  <c r="Y1933" i="1"/>
  <c r="Z1933" i="1"/>
  <c r="AB1933" i="1"/>
  <c r="AF1933" i="1"/>
  <c r="AI1933" i="1"/>
  <c r="AE1934" i="1"/>
  <c r="AC1934" i="1"/>
  <c r="AJ1933" i="1"/>
  <c r="AK1933" i="1"/>
  <c r="AM1933" i="1"/>
  <c r="BF1933" i="1"/>
  <c r="BG1933" i="1"/>
  <c r="T1934" i="1"/>
  <c r="U1934" i="1"/>
  <c r="V1934" i="1"/>
  <c r="W1934" i="1"/>
  <c r="X1934" i="1"/>
  <c r="Y1934" i="1"/>
  <c r="Z1934" i="1"/>
  <c r="AB1934" i="1"/>
  <c r="AF1934" i="1"/>
  <c r="AI1934" i="1"/>
  <c r="H1935" i="1"/>
  <c r="AE1935" i="1"/>
  <c r="I1935" i="1"/>
  <c r="J1935" i="1"/>
  <c r="K1935" i="1"/>
  <c r="AC1935" i="1"/>
  <c r="AJ1934" i="1"/>
  <c r="AK1934" i="1"/>
  <c r="AM1934" i="1"/>
  <c r="BG1934" i="1"/>
  <c r="T1935" i="1"/>
  <c r="U1935" i="1"/>
  <c r="V1935" i="1"/>
  <c r="W1935" i="1"/>
  <c r="X1935" i="1"/>
  <c r="Y1935" i="1"/>
  <c r="Z1935" i="1"/>
  <c r="AB1935" i="1"/>
  <c r="AF1935" i="1"/>
  <c r="AI1935" i="1"/>
  <c r="H1936" i="1"/>
  <c r="AE1936" i="1"/>
  <c r="I1936" i="1"/>
  <c r="J1936" i="1"/>
  <c r="K1936" i="1"/>
  <c r="AC1936" i="1"/>
  <c r="AJ1935" i="1"/>
  <c r="AK1935" i="1"/>
  <c r="AM1935" i="1"/>
  <c r="BF1935" i="1"/>
  <c r="BG1935" i="1"/>
  <c r="T1936" i="1"/>
  <c r="U1936" i="1"/>
  <c r="V1936" i="1"/>
  <c r="W1936" i="1"/>
  <c r="X1936" i="1"/>
  <c r="Y1936" i="1"/>
  <c r="Z1936" i="1"/>
  <c r="AB1936" i="1"/>
  <c r="AF1936" i="1"/>
  <c r="AI1936" i="1"/>
  <c r="AE1937" i="1"/>
  <c r="AC1937" i="1"/>
  <c r="AJ1936" i="1"/>
  <c r="AK1936" i="1"/>
  <c r="AM1936" i="1"/>
  <c r="BF1936" i="1"/>
  <c r="BG1936" i="1"/>
  <c r="T1937" i="1"/>
  <c r="U1937" i="1"/>
  <c r="V1937" i="1"/>
  <c r="W1937" i="1"/>
  <c r="X1937" i="1"/>
  <c r="Y1937" i="1"/>
  <c r="Z1937" i="1"/>
  <c r="AB1937" i="1"/>
  <c r="AF1937" i="1"/>
  <c r="AI1937" i="1"/>
  <c r="AE1938" i="1"/>
  <c r="AC1938" i="1"/>
  <c r="AJ1937" i="1"/>
  <c r="AK1937" i="1"/>
  <c r="AM1937" i="1"/>
  <c r="BF1937" i="1"/>
  <c r="BG1937" i="1"/>
  <c r="T1938" i="1"/>
  <c r="U1938" i="1"/>
  <c r="V1938" i="1"/>
  <c r="W1938" i="1"/>
  <c r="X1938" i="1"/>
  <c r="Y1938" i="1"/>
  <c r="Z1938" i="1"/>
  <c r="AB1938" i="1"/>
  <c r="AF1938" i="1"/>
  <c r="AI1938" i="1"/>
  <c r="H1939" i="1"/>
  <c r="AE1939" i="1"/>
  <c r="I1939" i="1"/>
  <c r="J1939" i="1"/>
  <c r="K1939" i="1"/>
  <c r="AC1939" i="1"/>
  <c r="AJ1938" i="1"/>
  <c r="AK1938" i="1"/>
  <c r="AM1938" i="1"/>
  <c r="BG1938" i="1"/>
  <c r="T1939" i="1"/>
  <c r="U1939" i="1"/>
  <c r="V1939" i="1"/>
  <c r="W1939" i="1"/>
  <c r="X1939" i="1"/>
  <c r="Y1939" i="1"/>
  <c r="Z1939" i="1"/>
  <c r="AB1939" i="1"/>
  <c r="AF1939" i="1"/>
  <c r="AI1939" i="1"/>
  <c r="AE1940" i="1"/>
  <c r="AC1940" i="1"/>
  <c r="AJ1939" i="1"/>
  <c r="AK1939" i="1"/>
  <c r="AM1939" i="1"/>
  <c r="BF1939" i="1"/>
  <c r="BG1939" i="1"/>
  <c r="T1940" i="1"/>
  <c r="U1940" i="1"/>
  <c r="V1940" i="1"/>
  <c r="W1940" i="1"/>
  <c r="X1940" i="1"/>
  <c r="Y1940" i="1"/>
  <c r="Z1940" i="1"/>
  <c r="AB1940" i="1"/>
  <c r="AF1940" i="1"/>
  <c r="AI1940" i="1"/>
  <c r="AE1941" i="1"/>
  <c r="AC1941" i="1"/>
  <c r="AJ1940" i="1"/>
  <c r="AK1940" i="1"/>
  <c r="AM1940" i="1"/>
  <c r="BF1940" i="1"/>
  <c r="BG1940" i="1"/>
  <c r="T1941" i="1"/>
  <c r="U1941" i="1"/>
  <c r="V1941" i="1"/>
  <c r="W1941" i="1"/>
  <c r="X1941" i="1"/>
  <c r="Y1941" i="1"/>
  <c r="Z1941" i="1"/>
  <c r="AB1941" i="1"/>
  <c r="AF1941" i="1"/>
  <c r="AI1941" i="1"/>
  <c r="H1942" i="1"/>
  <c r="AE1942" i="1"/>
  <c r="I1942" i="1"/>
  <c r="J1942" i="1"/>
  <c r="K1942" i="1"/>
  <c r="AC1942" i="1"/>
  <c r="AJ1941" i="1"/>
  <c r="AK1941" i="1"/>
  <c r="AM1941" i="1"/>
  <c r="BG1941" i="1"/>
  <c r="T1942" i="1"/>
  <c r="U1942" i="1"/>
  <c r="V1942" i="1"/>
  <c r="W1942" i="1"/>
  <c r="X1942" i="1"/>
  <c r="Y1942" i="1"/>
  <c r="Z1942" i="1"/>
  <c r="AB1942" i="1"/>
  <c r="AF1942" i="1"/>
  <c r="AI1942" i="1"/>
  <c r="AE1943" i="1"/>
  <c r="AC1943" i="1"/>
  <c r="AJ1942" i="1"/>
  <c r="AK1942" i="1"/>
  <c r="AM1942" i="1"/>
  <c r="BF1942" i="1"/>
  <c r="BG1942" i="1"/>
  <c r="T1943" i="1"/>
  <c r="U1943" i="1"/>
  <c r="V1943" i="1"/>
  <c r="W1943" i="1"/>
  <c r="X1943" i="1"/>
  <c r="Y1943" i="1"/>
  <c r="Z1943" i="1"/>
  <c r="AB1943" i="1"/>
  <c r="AF1943" i="1"/>
  <c r="AI1943" i="1"/>
  <c r="AE1944" i="1"/>
  <c r="AC1944" i="1"/>
  <c r="AJ1943" i="1"/>
  <c r="AK1943" i="1"/>
  <c r="AM1943" i="1"/>
  <c r="BF1943" i="1"/>
  <c r="BG1943" i="1"/>
  <c r="T1944" i="1"/>
  <c r="U1944" i="1"/>
  <c r="V1944" i="1"/>
  <c r="W1944" i="1"/>
  <c r="X1944" i="1"/>
  <c r="Y1944" i="1"/>
  <c r="Z1944" i="1"/>
  <c r="AB1944" i="1"/>
  <c r="AF1944" i="1"/>
  <c r="AI1944" i="1"/>
  <c r="H1945" i="1"/>
  <c r="AE1945" i="1"/>
  <c r="I1945" i="1"/>
  <c r="J1945" i="1"/>
  <c r="K1945" i="1"/>
  <c r="AC1945" i="1"/>
  <c r="AJ1944" i="1"/>
  <c r="AK1944" i="1"/>
  <c r="AM1944" i="1"/>
  <c r="BG1944" i="1"/>
  <c r="T1945" i="1"/>
  <c r="U1945" i="1"/>
  <c r="V1945" i="1"/>
  <c r="W1945" i="1"/>
  <c r="X1945" i="1"/>
  <c r="Y1945" i="1"/>
  <c r="Z1945" i="1"/>
  <c r="AB1945" i="1"/>
  <c r="AF1945" i="1"/>
  <c r="AI1945" i="1"/>
  <c r="AE1946" i="1"/>
  <c r="AC1946" i="1"/>
  <c r="AJ1945" i="1"/>
  <c r="AK1945" i="1"/>
  <c r="AM1945" i="1"/>
  <c r="BF1945" i="1"/>
  <c r="BG1945" i="1"/>
  <c r="T1946" i="1"/>
  <c r="U1946" i="1"/>
  <c r="V1946" i="1"/>
  <c r="W1946" i="1"/>
  <c r="X1946" i="1"/>
  <c r="Y1946" i="1"/>
  <c r="Z1946" i="1"/>
  <c r="AB1946" i="1"/>
  <c r="AF1946" i="1"/>
  <c r="AI1946" i="1"/>
  <c r="AE1947" i="1"/>
  <c r="AC1947" i="1"/>
  <c r="AJ1946" i="1"/>
  <c r="AK1946" i="1"/>
  <c r="AM1946" i="1"/>
  <c r="BF1946" i="1"/>
  <c r="BG1946" i="1"/>
  <c r="T1947" i="1"/>
  <c r="U1947" i="1"/>
  <c r="V1947" i="1"/>
  <c r="W1947" i="1"/>
  <c r="X1947" i="1"/>
  <c r="Y1947" i="1"/>
  <c r="Z1947" i="1"/>
  <c r="AB1947" i="1"/>
  <c r="AF1947" i="1"/>
  <c r="AI1947" i="1"/>
  <c r="H1948" i="1"/>
  <c r="AE1948" i="1"/>
  <c r="I1948" i="1"/>
  <c r="J1948" i="1"/>
  <c r="K1948" i="1"/>
  <c r="AC1948" i="1"/>
  <c r="AJ1947" i="1"/>
  <c r="AK1947" i="1"/>
  <c r="AM1947" i="1"/>
  <c r="BG1947" i="1"/>
  <c r="T1948" i="1"/>
  <c r="U1948" i="1"/>
  <c r="V1948" i="1"/>
  <c r="W1948" i="1"/>
  <c r="X1948" i="1"/>
  <c r="Y1948" i="1"/>
  <c r="Z1948" i="1"/>
  <c r="AB1948" i="1"/>
  <c r="AF1948" i="1"/>
  <c r="AI1948" i="1"/>
  <c r="AE1949" i="1"/>
  <c r="AC1949" i="1"/>
  <c r="AJ1948" i="1"/>
  <c r="AK1948" i="1"/>
  <c r="AM1948" i="1"/>
  <c r="BF1948" i="1"/>
  <c r="BG1948" i="1"/>
  <c r="T1949" i="1"/>
  <c r="U1949" i="1"/>
  <c r="V1949" i="1"/>
  <c r="W1949" i="1"/>
  <c r="X1949" i="1"/>
  <c r="Y1949" i="1"/>
  <c r="Z1949" i="1"/>
  <c r="AB1949" i="1"/>
  <c r="AF1949" i="1"/>
  <c r="AI1949" i="1"/>
  <c r="AE1950" i="1"/>
  <c r="AC1950" i="1"/>
  <c r="AJ1949" i="1"/>
  <c r="AK1949" i="1"/>
  <c r="AM1949" i="1"/>
  <c r="BF1949" i="1"/>
  <c r="BG1949" i="1"/>
  <c r="T1950" i="1"/>
  <c r="U1950" i="1"/>
  <c r="V1950" i="1"/>
  <c r="W1950" i="1"/>
  <c r="X1950" i="1"/>
  <c r="Y1950" i="1"/>
  <c r="Z1950" i="1"/>
  <c r="AB1950" i="1"/>
  <c r="AF1950" i="1"/>
  <c r="AI1950" i="1"/>
  <c r="H1951" i="1"/>
  <c r="AE1951" i="1"/>
  <c r="I1951" i="1"/>
  <c r="J1951" i="1"/>
  <c r="K1951" i="1"/>
  <c r="AC1951" i="1"/>
  <c r="AJ1950" i="1"/>
  <c r="AK1950" i="1"/>
  <c r="AM1950" i="1"/>
  <c r="BG1950" i="1"/>
  <c r="T1951" i="1"/>
  <c r="U1951" i="1"/>
  <c r="V1951" i="1"/>
  <c r="W1951" i="1"/>
  <c r="X1951" i="1"/>
  <c r="Y1951" i="1"/>
  <c r="Z1951" i="1"/>
  <c r="AB1951" i="1"/>
  <c r="AF1951" i="1"/>
  <c r="AI1951" i="1"/>
  <c r="H1952" i="1"/>
  <c r="AE1952" i="1"/>
  <c r="I1952" i="1"/>
  <c r="J1952" i="1"/>
  <c r="K1952" i="1"/>
  <c r="AC1952" i="1"/>
  <c r="AJ1951" i="1"/>
  <c r="AK1951" i="1"/>
  <c r="AM1951" i="1"/>
  <c r="BF1951" i="1"/>
  <c r="BG1951" i="1"/>
  <c r="T1952" i="1"/>
  <c r="U1952" i="1"/>
  <c r="V1952" i="1"/>
  <c r="W1952" i="1"/>
  <c r="X1952" i="1"/>
  <c r="Y1952" i="1"/>
  <c r="Z1952" i="1"/>
  <c r="AB1952" i="1"/>
  <c r="AF1952" i="1"/>
  <c r="AI1952" i="1"/>
  <c r="H1953" i="1"/>
  <c r="AE1953" i="1"/>
  <c r="I1953" i="1"/>
  <c r="J1953" i="1"/>
  <c r="K1953" i="1"/>
  <c r="AC1953" i="1"/>
  <c r="AJ1952" i="1"/>
  <c r="AK1952" i="1"/>
  <c r="AM1952" i="1"/>
  <c r="BF1952" i="1"/>
  <c r="BG1952" i="1"/>
  <c r="T1953" i="1"/>
  <c r="U1953" i="1"/>
  <c r="V1953" i="1"/>
  <c r="W1953" i="1"/>
  <c r="X1953" i="1"/>
  <c r="Y1953" i="1"/>
  <c r="Z1953" i="1"/>
  <c r="AB1953" i="1"/>
  <c r="AF1953" i="1"/>
  <c r="AI1953" i="1"/>
  <c r="AE1954" i="1"/>
  <c r="AC1954" i="1"/>
  <c r="AJ1953" i="1"/>
  <c r="AK1953" i="1"/>
  <c r="AM1953" i="1"/>
  <c r="BF1953" i="1"/>
  <c r="BG1953" i="1"/>
  <c r="T1954" i="1"/>
  <c r="U1954" i="1"/>
  <c r="V1954" i="1"/>
  <c r="W1954" i="1"/>
  <c r="X1954" i="1"/>
  <c r="Y1954" i="1"/>
  <c r="Z1954" i="1"/>
  <c r="AB1954" i="1"/>
  <c r="AF1954" i="1"/>
  <c r="AI1954" i="1"/>
  <c r="AE1955" i="1"/>
  <c r="AC1955" i="1"/>
  <c r="AJ1954" i="1"/>
  <c r="AK1954" i="1"/>
  <c r="AM1954" i="1"/>
  <c r="BF1954" i="1"/>
  <c r="BG1954" i="1"/>
  <c r="T1955" i="1"/>
  <c r="U1955" i="1"/>
  <c r="V1955" i="1"/>
  <c r="W1955" i="1"/>
  <c r="X1955" i="1"/>
  <c r="Y1955" i="1"/>
  <c r="Z1955" i="1"/>
  <c r="AB1955" i="1"/>
  <c r="AF1955" i="1"/>
  <c r="AI1955" i="1"/>
  <c r="H1956" i="1"/>
  <c r="AE1956" i="1"/>
  <c r="I1956" i="1"/>
  <c r="J1956" i="1"/>
  <c r="K1956" i="1"/>
  <c r="AC1956" i="1"/>
  <c r="AJ1955" i="1"/>
  <c r="AK1955" i="1"/>
  <c r="AM1955" i="1"/>
  <c r="BG1955" i="1"/>
  <c r="T1956" i="1"/>
  <c r="U1956" i="1"/>
  <c r="V1956" i="1"/>
  <c r="W1956" i="1"/>
  <c r="X1956" i="1"/>
  <c r="Y1956" i="1"/>
  <c r="Z1956" i="1"/>
  <c r="AB1956" i="1"/>
  <c r="AF1956" i="1"/>
  <c r="AI1956" i="1"/>
  <c r="H1957" i="1"/>
  <c r="AE1957" i="1"/>
  <c r="I1957" i="1"/>
  <c r="J1957" i="1"/>
  <c r="K1957" i="1"/>
  <c r="AC1957" i="1"/>
  <c r="AJ1956" i="1"/>
  <c r="AK1956" i="1"/>
  <c r="AM1956" i="1"/>
  <c r="BF1956" i="1"/>
  <c r="BG1956" i="1"/>
  <c r="T1957" i="1"/>
  <c r="U1957" i="1"/>
  <c r="V1957" i="1"/>
  <c r="W1957" i="1"/>
  <c r="X1957" i="1"/>
  <c r="Y1957" i="1"/>
  <c r="Z1957" i="1"/>
  <c r="AB1957" i="1"/>
  <c r="AF1957" i="1"/>
  <c r="AI1957" i="1"/>
  <c r="AE1958" i="1"/>
  <c r="AC1958" i="1"/>
  <c r="AJ1957" i="1"/>
  <c r="AK1957" i="1"/>
  <c r="AM1957" i="1"/>
  <c r="BF1957" i="1"/>
  <c r="BG1957" i="1"/>
  <c r="T1958" i="1"/>
  <c r="U1958" i="1"/>
  <c r="V1958" i="1"/>
  <c r="W1958" i="1"/>
  <c r="X1958" i="1"/>
  <c r="Y1958" i="1"/>
  <c r="Z1958" i="1"/>
  <c r="AB1958" i="1"/>
  <c r="AF1958" i="1"/>
  <c r="AI1958" i="1"/>
  <c r="AE1959" i="1"/>
  <c r="AC1959" i="1"/>
  <c r="AJ1958" i="1"/>
  <c r="AK1958" i="1"/>
  <c r="AM1958" i="1"/>
  <c r="BF1958" i="1"/>
  <c r="BG1958" i="1"/>
  <c r="T1959" i="1"/>
  <c r="U1959" i="1"/>
  <c r="V1959" i="1"/>
  <c r="W1959" i="1"/>
  <c r="X1959" i="1"/>
  <c r="Y1959" i="1"/>
  <c r="Z1959" i="1"/>
  <c r="AB1959" i="1"/>
  <c r="AF1959" i="1"/>
  <c r="AI1959" i="1"/>
  <c r="H1960" i="1"/>
  <c r="AE1960" i="1"/>
  <c r="I1960" i="1"/>
  <c r="J1960" i="1"/>
  <c r="K1960" i="1"/>
  <c r="AC1960" i="1"/>
  <c r="AJ1959" i="1"/>
  <c r="AK1959" i="1"/>
  <c r="AM1959" i="1"/>
  <c r="BG1959" i="1"/>
  <c r="T1960" i="1"/>
  <c r="U1960" i="1"/>
  <c r="V1960" i="1"/>
  <c r="W1960" i="1"/>
  <c r="X1960" i="1"/>
  <c r="Y1960" i="1"/>
  <c r="Z1960" i="1"/>
  <c r="AB1960" i="1"/>
  <c r="AF1960" i="1"/>
  <c r="AI1960" i="1"/>
  <c r="H1961" i="1"/>
  <c r="AE1961" i="1"/>
  <c r="I1961" i="1"/>
  <c r="J1961" i="1"/>
  <c r="K1961" i="1"/>
  <c r="AC1961" i="1"/>
  <c r="AJ1960" i="1"/>
  <c r="AK1960" i="1"/>
  <c r="AM1960" i="1"/>
  <c r="BF1960" i="1"/>
  <c r="BG1960" i="1"/>
  <c r="T1961" i="1"/>
  <c r="U1961" i="1"/>
  <c r="V1961" i="1"/>
  <c r="W1961" i="1"/>
  <c r="X1961" i="1"/>
  <c r="Y1961" i="1"/>
  <c r="Z1961" i="1"/>
  <c r="AB1961" i="1"/>
  <c r="AF1961" i="1"/>
  <c r="AI1961" i="1"/>
  <c r="H1962" i="1"/>
  <c r="AE1962" i="1"/>
  <c r="I1962" i="1"/>
  <c r="J1962" i="1"/>
  <c r="K1962" i="1"/>
  <c r="AC1962" i="1"/>
  <c r="AJ1961" i="1"/>
  <c r="AK1961" i="1"/>
  <c r="AM1961" i="1"/>
  <c r="BF1961" i="1"/>
  <c r="BG1961" i="1"/>
  <c r="T1962" i="1"/>
  <c r="U1962" i="1"/>
  <c r="V1962" i="1"/>
  <c r="W1962" i="1"/>
  <c r="X1962" i="1"/>
  <c r="Y1962" i="1"/>
  <c r="Z1962" i="1"/>
  <c r="AB1962" i="1"/>
  <c r="AF1962" i="1"/>
  <c r="AI1962" i="1"/>
  <c r="AE1963" i="1"/>
  <c r="AC1963" i="1"/>
  <c r="AJ1962" i="1"/>
  <c r="AK1962" i="1"/>
  <c r="AM1962" i="1"/>
  <c r="BF1962" i="1"/>
  <c r="BG1962" i="1"/>
  <c r="T1963" i="1"/>
  <c r="U1963" i="1"/>
  <c r="V1963" i="1"/>
  <c r="W1963" i="1"/>
  <c r="X1963" i="1"/>
  <c r="Y1963" i="1"/>
  <c r="Z1963" i="1"/>
  <c r="AB1963" i="1"/>
  <c r="AF1963" i="1"/>
  <c r="AI1963" i="1"/>
  <c r="AE1964" i="1"/>
  <c r="AC1964" i="1"/>
  <c r="AJ1963" i="1"/>
  <c r="AK1963" i="1"/>
  <c r="AM1963" i="1"/>
  <c r="BF1963" i="1"/>
  <c r="BG1963" i="1"/>
  <c r="T1964" i="1"/>
  <c r="U1964" i="1"/>
  <c r="V1964" i="1"/>
  <c r="W1964" i="1"/>
  <c r="X1964" i="1"/>
  <c r="Y1964" i="1"/>
  <c r="Z1964" i="1"/>
  <c r="AB1964" i="1"/>
  <c r="AF1964" i="1"/>
  <c r="AI1964" i="1"/>
  <c r="H1965" i="1"/>
  <c r="AE1965" i="1"/>
  <c r="I1965" i="1"/>
  <c r="J1965" i="1"/>
  <c r="K1965" i="1"/>
  <c r="AC1965" i="1"/>
  <c r="AJ1964" i="1"/>
  <c r="AK1964" i="1"/>
  <c r="AM1964" i="1"/>
  <c r="BG1964" i="1"/>
  <c r="T1965" i="1"/>
  <c r="U1965" i="1"/>
  <c r="V1965" i="1"/>
  <c r="W1965" i="1"/>
  <c r="X1965" i="1"/>
  <c r="Y1965" i="1"/>
  <c r="Z1965" i="1"/>
  <c r="AB1965" i="1"/>
  <c r="AF1965" i="1"/>
  <c r="AI1965" i="1"/>
  <c r="H1966" i="1"/>
  <c r="AE1966" i="1"/>
  <c r="I1966" i="1"/>
  <c r="J1966" i="1"/>
  <c r="K1966" i="1"/>
  <c r="AC1966" i="1"/>
  <c r="AJ1965" i="1"/>
  <c r="AK1965" i="1"/>
  <c r="AM1965" i="1"/>
  <c r="BF1965" i="1"/>
  <c r="BG1965" i="1"/>
  <c r="T1966" i="1"/>
  <c r="U1966" i="1"/>
  <c r="V1966" i="1"/>
  <c r="W1966" i="1"/>
  <c r="X1966" i="1"/>
  <c r="Y1966" i="1"/>
  <c r="Z1966" i="1"/>
  <c r="AB1966" i="1"/>
  <c r="AF1966" i="1"/>
  <c r="AI1966" i="1"/>
  <c r="H1967" i="1"/>
  <c r="AE1967" i="1"/>
  <c r="I1967" i="1"/>
  <c r="J1967" i="1"/>
  <c r="K1967" i="1"/>
  <c r="AC1967" i="1"/>
  <c r="AJ1966" i="1"/>
  <c r="AK1966" i="1"/>
  <c r="AM1966" i="1"/>
  <c r="BF1966" i="1"/>
  <c r="BG1966" i="1"/>
  <c r="T1967" i="1"/>
  <c r="U1967" i="1"/>
  <c r="V1967" i="1"/>
  <c r="W1967" i="1"/>
  <c r="X1967" i="1"/>
  <c r="Y1967" i="1"/>
  <c r="Z1967" i="1"/>
  <c r="AB1967" i="1"/>
  <c r="AF1967" i="1"/>
  <c r="AI1967" i="1"/>
  <c r="AE1968" i="1"/>
  <c r="AC1968" i="1"/>
  <c r="AJ1967" i="1"/>
  <c r="AK1967" i="1"/>
  <c r="AM1967" i="1"/>
  <c r="BF1967" i="1"/>
  <c r="BG1967" i="1"/>
  <c r="T1968" i="1"/>
  <c r="U1968" i="1"/>
  <c r="V1968" i="1"/>
  <c r="W1968" i="1"/>
  <c r="X1968" i="1"/>
  <c r="Y1968" i="1"/>
  <c r="Z1968" i="1"/>
  <c r="AB1968" i="1"/>
  <c r="AF1968" i="1"/>
  <c r="AI1968" i="1"/>
  <c r="AE1969" i="1"/>
  <c r="AC1969" i="1"/>
  <c r="AJ1968" i="1"/>
  <c r="AK1968" i="1"/>
  <c r="AM1968" i="1"/>
  <c r="BF1968" i="1"/>
  <c r="BG1968" i="1"/>
  <c r="T1969" i="1"/>
  <c r="U1969" i="1"/>
  <c r="V1969" i="1"/>
  <c r="W1969" i="1"/>
  <c r="X1969" i="1"/>
  <c r="Y1969" i="1"/>
  <c r="Z1969" i="1"/>
  <c r="AB1969" i="1"/>
  <c r="AF1969" i="1"/>
  <c r="AI1969" i="1"/>
  <c r="H1970" i="1"/>
  <c r="AE1970" i="1"/>
  <c r="I1970" i="1"/>
  <c r="J1970" i="1"/>
  <c r="K1970" i="1"/>
  <c r="AC1970" i="1"/>
  <c r="AJ1969" i="1"/>
  <c r="AK1969" i="1"/>
  <c r="AM1969" i="1"/>
  <c r="BG1969" i="1"/>
  <c r="T1970" i="1"/>
  <c r="U1970" i="1"/>
  <c r="V1970" i="1"/>
  <c r="W1970" i="1"/>
  <c r="X1970" i="1"/>
  <c r="Y1970" i="1"/>
  <c r="Z1970" i="1"/>
  <c r="AB1970" i="1"/>
  <c r="AF1970" i="1"/>
  <c r="AI1970" i="1"/>
  <c r="H1971" i="1"/>
  <c r="AE1971" i="1"/>
  <c r="I1971" i="1"/>
  <c r="J1971" i="1"/>
  <c r="K1971" i="1"/>
  <c r="AC1971" i="1"/>
  <c r="AJ1970" i="1"/>
  <c r="AK1970" i="1"/>
  <c r="AM1970" i="1"/>
  <c r="BF1970" i="1"/>
  <c r="BG1970" i="1"/>
  <c r="T1971" i="1"/>
  <c r="U1971" i="1"/>
  <c r="V1971" i="1"/>
  <c r="W1971" i="1"/>
  <c r="X1971" i="1"/>
  <c r="Y1971" i="1"/>
  <c r="Z1971" i="1"/>
  <c r="AB1971" i="1"/>
  <c r="AF1971" i="1"/>
  <c r="AI1971" i="1"/>
  <c r="H1972" i="1"/>
  <c r="AE1972" i="1"/>
  <c r="I1972" i="1"/>
  <c r="J1972" i="1"/>
  <c r="K1972" i="1"/>
  <c r="AC1972" i="1"/>
  <c r="AJ1971" i="1"/>
  <c r="AK1971" i="1"/>
  <c r="AM1971" i="1"/>
  <c r="BF1971" i="1"/>
  <c r="BG1971" i="1"/>
  <c r="T1972" i="1"/>
  <c r="U1972" i="1"/>
  <c r="V1972" i="1"/>
  <c r="W1972" i="1"/>
  <c r="X1972" i="1"/>
  <c r="Y1972" i="1"/>
  <c r="Z1972" i="1"/>
  <c r="AB1972" i="1"/>
  <c r="AF1972" i="1"/>
  <c r="AI1972" i="1"/>
  <c r="H1973" i="1"/>
  <c r="AE1973" i="1"/>
  <c r="I1973" i="1"/>
  <c r="J1973" i="1"/>
  <c r="K1973" i="1"/>
  <c r="AC1973" i="1"/>
  <c r="AJ1972" i="1"/>
  <c r="AK1972" i="1"/>
  <c r="AM1972" i="1"/>
  <c r="BF1972" i="1"/>
  <c r="BG1972" i="1"/>
  <c r="T1973" i="1"/>
  <c r="U1973" i="1"/>
  <c r="V1973" i="1"/>
  <c r="W1973" i="1"/>
  <c r="X1973" i="1"/>
  <c r="Y1973" i="1"/>
  <c r="Z1973" i="1"/>
  <c r="AB1973" i="1"/>
  <c r="AF1973" i="1"/>
  <c r="AI1973" i="1"/>
  <c r="H1974" i="1"/>
  <c r="AE1974" i="1"/>
  <c r="I1974" i="1"/>
  <c r="J1974" i="1"/>
  <c r="K1974" i="1"/>
  <c r="AC1974" i="1"/>
  <c r="AJ1973" i="1"/>
  <c r="AK1973" i="1"/>
  <c r="AM1973" i="1"/>
  <c r="BF1973" i="1"/>
  <c r="BG1973" i="1"/>
  <c r="T1974" i="1"/>
  <c r="U1974" i="1"/>
  <c r="V1974" i="1"/>
  <c r="W1974" i="1"/>
  <c r="X1974" i="1"/>
  <c r="Y1974" i="1"/>
  <c r="Z1974" i="1"/>
  <c r="AB1974" i="1"/>
  <c r="AF1974" i="1"/>
  <c r="AI1974" i="1"/>
  <c r="AE1975" i="1"/>
  <c r="AC1975" i="1"/>
  <c r="AJ1974" i="1"/>
  <c r="AK1974" i="1"/>
  <c r="AM1974" i="1"/>
  <c r="BF1974" i="1"/>
  <c r="BG1974" i="1"/>
  <c r="T1975" i="1"/>
  <c r="U1975" i="1"/>
  <c r="V1975" i="1"/>
  <c r="W1975" i="1"/>
  <c r="X1975" i="1"/>
  <c r="Y1975" i="1"/>
  <c r="Z1975" i="1"/>
  <c r="AB1975" i="1"/>
  <c r="AF1975" i="1"/>
  <c r="AI1975" i="1"/>
  <c r="AE1976" i="1"/>
  <c r="AC1976" i="1"/>
  <c r="AJ1975" i="1"/>
  <c r="AK1975" i="1"/>
  <c r="AM1975" i="1"/>
  <c r="BF1975" i="1"/>
  <c r="BG1975" i="1"/>
  <c r="T1976" i="1"/>
  <c r="U1976" i="1"/>
  <c r="V1976" i="1"/>
  <c r="W1976" i="1"/>
  <c r="X1976" i="1"/>
  <c r="Y1976" i="1"/>
  <c r="Z1976" i="1"/>
  <c r="AB1976" i="1"/>
  <c r="AF1976" i="1"/>
  <c r="AI1976" i="1"/>
  <c r="H1977" i="1"/>
  <c r="AE1977" i="1"/>
  <c r="I1977" i="1"/>
  <c r="J1977" i="1"/>
  <c r="K1977" i="1"/>
  <c r="AC1977" i="1"/>
  <c r="AJ1976" i="1"/>
  <c r="AK1976" i="1"/>
  <c r="AM1976" i="1"/>
  <c r="BG1976" i="1"/>
  <c r="T1977" i="1"/>
  <c r="U1977" i="1"/>
  <c r="V1977" i="1"/>
  <c r="W1977" i="1"/>
  <c r="X1977" i="1"/>
  <c r="Y1977" i="1"/>
  <c r="Z1977" i="1"/>
  <c r="AB1977" i="1"/>
  <c r="AF1977" i="1"/>
  <c r="AI1977" i="1"/>
  <c r="AE1978" i="1"/>
  <c r="AC1978" i="1"/>
  <c r="AJ1977" i="1"/>
  <c r="AK1977" i="1"/>
  <c r="AM1977" i="1"/>
  <c r="BF1977" i="1"/>
  <c r="BG1977" i="1"/>
  <c r="T1978" i="1"/>
  <c r="U1978" i="1"/>
  <c r="V1978" i="1"/>
  <c r="W1978" i="1"/>
  <c r="X1978" i="1"/>
  <c r="Y1978" i="1"/>
  <c r="Z1978" i="1"/>
  <c r="AB1978" i="1"/>
  <c r="AF1978" i="1"/>
  <c r="AI1978" i="1"/>
  <c r="AE1979" i="1"/>
  <c r="AC1979" i="1"/>
  <c r="AJ1978" i="1"/>
  <c r="AK1978" i="1"/>
  <c r="AM1978" i="1"/>
  <c r="BF1978" i="1"/>
  <c r="BG1978" i="1"/>
  <c r="T1979" i="1"/>
  <c r="U1979" i="1"/>
  <c r="V1979" i="1"/>
  <c r="W1979" i="1"/>
  <c r="X1979" i="1"/>
  <c r="Y1979" i="1"/>
  <c r="Z1979" i="1"/>
  <c r="AB1979" i="1"/>
  <c r="AF1979" i="1"/>
  <c r="AI1979" i="1"/>
  <c r="H1980" i="1"/>
  <c r="AE1980" i="1"/>
  <c r="I1980" i="1"/>
  <c r="J1980" i="1"/>
  <c r="K1980" i="1"/>
  <c r="AC1980" i="1"/>
  <c r="AJ1979" i="1"/>
  <c r="AK1979" i="1"/>
  <c r="AM1979" i="1"/>
  <c r="BG1979" i="1"/>
  <c r="T1980" i="1"/>
  <c r="U1980" i="1"/>
  <c r="V1980" i="1"/>
  <c r="W1980" i="1"/>
  <c r="X1980" i="1"/>
  <c r="Y1980" i="1"/>
  <c r="Z1980" i="1"/>
  <c r="AB1980" i="1"/>
  <c r="AF1980" i="1"/>
  <c r="AI1980" i="1"/>
  <c r="AE1981" i="1"/>
  <c r="AC1981" i="1"/>
  <c r="AJ1980" i="1"/>
  <c r="AK1980" i="1"/>
  <c r="AM1980" i="1"/>
  <c r="BF1980" i="1"/>
  <c r="BG1980" i="1"/>
  <c r="T1981" i="1"/>
  <c r="U1981" i="1"/>
  <c r="V1981" i="1"/>
  <c r="W1981" i="1"/>
  <c r="X1981" i="1"/>
  <c r="Y1981" i="1"/>
  <c r="Z1981" i="1"/>
  <c r="AB1981" i="1"/>
  <c r="AF1981" i="1"/>
  <c r="AI1981" i="1"/>
  <c r="AE1982" i="1"/>
  <c r="AC1982" i="1"/>
  <c r="AJ1981" i="1"/>
  <c r="AK1981" i="1"/>
  <c r="AM1981" i="1"/>
  <c r="BF1981" i="1"/>
  <c r="BG1981" i="1"/>
  <c r="T1982" i="1"/>
  <c r="U1982" i="1"/>
  <c r="V1982" i="1"/>
  <c r="W1982" i="1"/>
  <c r="X1982" i="1"/>
  <c r="Y1982" i="1"/>
  <c r="Z1982" i="1"/>
  <c r="AB1982" i="1"/>
  <c r="AF1982" i="1"/>
  <c r="AI1982" i="1"/>
  <c r="H1983" i="1"/>
  <c r="AE1983" i="1"/>
  <c r="I1983" i="1"/>
  <c r="J1983" i="1"/>
  <c r="K1983" i="1"/>
  <c r="AC1983" i="1"/>
  <c r="AJ1982" i="1"/>
  <c r="AK1982" i="1"/>
  <c r="AM1982" i="1"/>
  <c r="BG1982" i="1"/>
  <c r="T1983" i="1"/>
  <c r="U1983" i="1"/>
  <c r="V1983" i="1"/>
  <c r="W1983" i="1"/>
  <c r="X1983" i="1"/>
  <c r="Y1983" i="1"/>
  <c r="Z1983" i="1"/>
  <c r="AB1983" i="1"/>
  <c r="AF1983" i="1"/>
  <c r="AI1983" i="1"/>
  <c r="AE1984" i="1"/>
  <c r="AC1984" i="1"/>
  <c r="AJ1983" i="1"/>
  <c r="AK1983" i="1"/>
  <c r="AM1983" i="1"/>
  <c r="BF1983" i="1"/>
  <c r="BG1983" i="1"/>
  <c r="T1984" i="1"/>
  <c r="U1984" i="1"/>
  <c r="V1984" i="1"/>
  <c r="W1984" i="1"/>
  <c r="X1984" i="1"/>
  <c r="Y1984" i="1"/>
  <c r="Z1984" i="1"/>
  <c r="AB1984" i="1"/>
  <c r="AF1984" i="1"/>
  <c r="AI1984" i="1"/>
  <c r="AE1985" i="1"/>
  <c r="AC1985" i="1"/>
  <c r="AJ1984" i="1"/>
  <c r="AK1984" i="1"/>
  <c r="AM1984" i="1"/>
  <c r="BF1984" i="1"/>
  <c r="BG1984" i="1"/>
  <c r="T1985" i="1"/>
  <c r="U1985" i="1"/>
  <c r="V1985" i="1"/>
  <c r="W1985" i="1"/>
  <c r="X1985" i="1"/>
  <c r="Y1985" i="1"/>
  <c r="Z1985" i="1"/>
  <c r="AB1985" i="1"/>
  <c r="AF1985" i="1"/>
  <c r="AI1985" i="1"/>
  <c r="H1986" i="1"/>
  <c r="AE1986" i="1"/>
  <c r="I1986" i="1"/>
  <c r="J1986" i="1"/>
  <c r="K1986" i="1"/>
  <c r="AC1986" i="1"/>
  <c r="AJ1985" i="1"/>
  <c r="AK1985" i="1"/>
  <c r="AM1985" i="1"/>
  <c r="BG1985" i="1"/>
  <c r="T1986" i="1"/>
  <c r="U1986" i="1"/>
  <c r="V1986" i="1"/>
  <c r="W1986" i="1"/>
  <c r="X1986" i="1"/>
  <c r="Y1986" i="1"/>
  <c r="Z1986" i="1"/>
  <c r="AB1986" i="1"/>
  <c r="AF1986" i="1"/>
  <c r="AI1986" i="1"/>
  <c r="H1987" i="1"/>
  <c r="AE1987" i="1"/>
  <c r="I1987" i="1"/>
  <c r="J1987" i="1"/>
  <c r="K1987" i="1"/>
  <c r="AC1987" i="1"/>
  <c r="AJ1986" i="1"/>
  <c r="AK1986" i="1"/>
  <c r="AM1986" i="1"/>
  <c r="BF1986" i="1"/>
  <c r="BG1986" i="1"/>
  <c r="T1987" i="1"/>
  <c r="U1987" i="1"/>
  <c r="V1987" i="1"/>
  <c r="W1987" i="1"/>
  <c r="X1987" i="1"/>
  <c r="Y1987" i="1"/>
  <c r="Z1987" i="1"/>
  <c r="AB1987" i="1"/>
  <c r="AF1987" i="1"/>
  <c r="AI1987" i="1"/>
  <c r="AE1988" i="1"/>
  <c r="AC1988" i="1"/>
  <c r="AJ1987" i="1"/>
  <c r="AK1987" i="1"/>
  <c r="AM1987" i="1"/>
  <c r="BF1987" i="1"/>
  <c r="BG1987" i="1"/>
  <c r="T1988" i="1"/>
  <c r="U1988" i="1"/>
  <c r="V1988" i="1"/>
  <c r="W1988" i="1"/>
  <c r="X1988" i="1"/>
  <c r="Y1988" i="1"/>
  <c r="Z1988" i="1"/>
  <c r="AB1988" i="1"/>
  <c r="AF1988" i="1"/>
  <c r="AI1988" i="1"/>
  <c r="AE1989" i="1"/>
  <c r="AC1989" i="1"/>
  <c r="AJ1988" i="1"/>
  <c r="AK1988" i="1"/>
  <c r="AM1988" i="1"/>
  <c r="BF1988" i="1"/>
  <c r="BG1988" i="1"/>
  <c r="T1989" i="1"/>
  <c r="U1989" i="1"/>
  <c r="V1989" i="1"/>
  <c r="W1989" i="1"/>
  <c r="X1989" i="1"/>
  <c r="Y1989" i="1"/>
  <c r="Z1989" i="1"/>
  <c r="AB1989" i="1"/>
  <c r="AF1989" i="1"/>
  <c r="AI1989" i="1"/>
  <c r="H1990" i="1"/>
  <c r="AE1990" i="1"/>
  <c r="I1990" i="1"/>
  <c r="J1990" i="1"/>
  <c r="K1990" i="1"/>
  <c r="AC1990" i="1"/>
  <c r="AJ1989" i="1"/>
  <c r="AK1989" i="1"/>
  <c r="AM1989" i="1"/>
  <c r="BG1989" i="1"/>
  <c r="T1990" i="1"/>
  <c r="U1990" i="1"/>
  <c r="V1990" i="1"/>
  <c r="W1990" i="1"/>
  <c r="X1990" i="1"/>
  <c r="Y1990" i="1"/>
  <c r="Z1990" i="1"/>
  <c r="AB1990" i="1"/>
  <c r="AF1990" i="1"/>
  <c r="AI1990" i="1"/>
  <c r="AE1991" i="1"/>
  <c r="AC1991" i="1"/>
  <c r="AJ1990" i="1"/>
  <c r="AK1990" i="1"/>
  <c r="AM1990" i="1"/>
  <c r="BF1990" i="1"/>
  <c r="BG1990" i="1"/>
  <c r="T1991" i="1"/>
  <c r="U1991" i="1"/>
  <c r="V1991" i="1"/>
  <c r="W1991" i="1"/>
  <c r="X1991" i="1"/>
  <c r="Y1991" i="1"/>
  <c r="Z1991" i="1"/>
  <c r="AB1991" i="1"/>
  <c r="AF1991" i="1"/>
  <c r="AI1991" i="1"/>
  <c r="AE1992" i="1"/>
  <c r="AC1992" i="1"/>
  <c r="AJ1991" i="1"/>
  <c r="AK1991" i="1"/>
  <c r="AM1991" i="1"/>
  <c r="BF1991" i="1"/>
  <c r="BG1991" i="1"/>
  <c r="T1992" i="1"/>
  <c r="U1992" i="1"/>
  <c r="V1992" i="1"/>
  <c r="W1992" i="1"/>
  <c r="X1992" i="1"/>
  <c r="Y1992" i="1"/>
  <c r="Z1992" i="1"/>
  <c r="AB1992" i="1"/>
  <c r="AF1992" i="1"/>
  <c r="AI1992" i="1"/>
  <c r="H1993" i="1"/>
  <c r="AE1993" i="1"/>
  <c r="I1993" i="1"/>
  <c r="J1993" i="1"/>
  <c r="K1993" i="1"/>
  <c r="AC1993" i="1"/>
  <c r="AJ1992" i="1"/>
  <c r="AK1992" i="1"/>
  <c r="AM1992" i="1"/>
  <c r="BG1992" i="1"/>
  <c r="T1993" i="1"/>
  <c r="U1993" i="1"/>
  <c r="V1993" i="1"/>
  <c r="W1993" i="1"/>
  <c r="X1993" i="1"/>
  <c r="Y1993" i="1"/>
  <c r="Z1993" i="1"/>
  <c r="AB1993" i="1"/>
  <c r="AF1993" i="1"/>
  <c r="AI1993" i="1"/>
  <c r="AE1994" i="1"/>
  <c r="AC1994" i="1"/>
  <c r="AJ1993" i="1"/>
  <c r="AK1993" i="1"/>
  <c r="AM1993" i="1"/>
  <c r="BF1993" i="1"/>
  <c r="BG1993" i="1"/>
  <c r="T1994" i="1"/>
  <c r="U1994" i="1"/>
  <c r="V1994" i="1"/>
  <c r="W1994" i="1"/>
  <c r="X1994" i="1"/>
  <c r="Y1994" i="1"/>
  <c r="Z1994" i="1"/>
  <c r="AB1994" i="1"/>
  <c r="AF1994" i="1"/>
  <c r="AI1994" i="1"/>
  <c r="AE1995" i="1"/>
  <c r="AC1995" i="1"/>
  <c r="AJ1994" i="1"/>
  <c r="AK1994" i="1"/>
  <c r="AM1994" i="1"/>
  <c r="BF1994" i="1"/>
  <c r="BG1994" i="1"/>
  <c r="T1995" i="1"/>
  <c r="U1995" i="1"/>
  <c r="V1995" i="1"/>
  <c r="W1995" i="1"/>
  <c r="X1995" i="1"/>
  <c r="Y1995" i="1"/>
  <c r="Z1995" i="1"/>
  <c r="AB1995" i="1"/>
  <c r="AF1995" i="1"/>
  <c r="AI1995" i="1"/>
  <c r="H1996" i="1"/>
  <c r="AE1996" i="1"/>
  <c r="I1996" i="1"/>
  <c r="J1996" i="1"/>
  <c r="K1996" i="1"/>
  <c r="AC1996" i="1"/>
  <c r="AJ1995" i="1"/>
  <c r="AK1995" i="1"/>
  <c r="AM1995" i="1"/>
  <c r="BG1995" i="1"/>
  <c r="T1996" i="1"/>
  <c r="U1996" i="1"/>
  <c r="V1996" i="1"/>
  <c r="W1996" i="1"/>
  <c r="X1996" i="1"/>
  <c r="Y1996" i="1"/>
  <c r="Z1996" i="1"/>
  <c r="AB1996" i="1"/>
  <c r="AF1996" i="1"/>
  <c r="AI1996" i="1"/>
  <c r="H1997" i="1"/>
  <c r="AE1997" i="1"/>
  <c r="I1997" i="1"/>
  <c r="J1997" i="1"/>
  <c r="K1997" i="1"/>
  <c r="AC1997" i="1"/>
  <c r="AJ1996" i="1"/>
  <c r="AK1996" i="1"/>
  <c r="AM1996" i="1"/>
  <c r="BF1996" i="1"/>
  <c r="BG1996" i="1"/>
  <c r="T1997" i="1"/>
  <c r="U1997" i="1"/>
  <c r="V1997" i="1"/>
  <c r="W1997" i="1"/>
  <c r="X1997" i="1"/>
  <c r="Y1997" i="1"/>
  <c r="Z1997" i="1"/>
  <c r="AB1997" i="1"/>
  <c r="AF1997" i="1"/>
  <c r="AI1997" i="1"/>
  <c r="H1998" i="1"/>
  <c r="AE1998" i="1"/>
  <c r="I1998" i="1"/>
  <c r="J1998" i="1"/>
  <c r="K1998" i="1"/>
  <c r="AC1998" i="1"/>
  <c r="AJ1997" i="1"/>
  <c r="AK1997" i="1"/>
  <c r="AM1997" i="1"/>
  <c r="BF1997" i="1"/>
  <c r="BG1997" i="1"/>
  <c r="T1998" i="1"/>
  <c r="U1998" i="1"/>
  <c r="V1998" i="1"/>
  <c r="W1998" i="1"/>
  <c r="X1998" i="1"/>
  <c r="Y1998" i="1"/>
  <c r="Z1998" i="1"/>
  <c r="AB1998" i="1"/>
  <c r="AF1998" i="1"/>
  <c r="AI1998" i="1"/>
  <c r="H1999" i="1"/>
  <c r="AE1999" i="1"/>
  <c r="I1999" i="1"/>
  <c r="J1999" i="1"/>
  <c r="K1999" i="1"/>
  <c r="AC1999" i="1"/>
  <c r="AJ1998" i="1"/>
  <c r="AK1998" i="1"/>
  <c r="AM1998" i="1"/>
  <c r="BF1998" i="1"/>
  <c r="BG1998" i="1"/>
  <c r="T1999" i="1"/>
  <c r="U1999" i="1"/>
  <c r="V1999" i="1"/>
  <c r="W1999" i="1"/>
  <c r="X1999" i="1"/>
  <c r="Y1999" i="1"/>
  <c r="Z1999" i="1"/>
  <c r="AB1999" i="1"/>
  <c r="AF1999" i="1"/>
  <c r="AI1999" i="1"/>
  <c r="AE2000" i="1"/>
  <c r="AC2000" i="1"/>
  <c r="AJ1999" i="1"/>
  <c r="AK1999" i="1"/>
  <c r="AM1999" i="1"/>
  <c r="BF1999" i="1"/>
  <c r="BG1999" i="1"/>
  <c r="T2000" i="1"/>
  <c r="U2000" i="1"/>
  <c r="V2000" i="1"/>
  <c r="W2000" i="1"/>
  <c r="X2000" i="1"/>
  <c r="Y2000" i="1"/>
  <c r="Z2000" i="1"/>
  <c r="AB2000" i="1"/>
  <c r="AF2000" i="1"/>
  <c r="AI2000" i="1"/>
  <c r="AE2001" i="1"/>
  <c r="AC2001" i="1"/>
  <c r="AJ2000" i="1"/>
  <c r="AK2000" i="1"/>
  <c r="AM2000" i="1"/>
  <c r="BF2000" i="1"/>
  <c r="BG2000" i="1"/>
  <c r="T2001" i="1"/>
  <c r="U2001" i="1"/>
  <c r="V2001" i="1"/>
  <c r="W2001" i="1"/>
  <c r="X2001" i="1"/>
  <c r="Y2001" i="1"/>
  <c r="Z2001" i="1"/>
  <c r="AB2001" i="1"/>
  <c r="AF2001" i="1"/>
  <c r="AI2001" i="1"/>
  <c r="H2002" i="1"/>
  <c r="AE2002" i="1"/>
  <c r="I2002" i="1"/>
  <c r="J2002" i="1"/>
  <c r="K2002" i="1"/>
  <c r="AC2002" i="1"/>
  <c r="AJ2001" i="1"/>
  <c r="AK2001" i="1"/>
  <c r="AM2001" i="1"/>
  <c r="BG2001" i="1"/>
  <c r="T2002" i="1"/>
  <c r="U2002" i="1"/>
  <c r="V2002" i="1"/>
  <c r="W2002" i="1"/>
  <c r="X2002" i="1"/>
  <c r="Y2002" i="1"/>
  <c r="Z2002" i="1"/>
  <c r="AB2002" i="1"/>
  <c r="AF2002" i="1"/>
  <c r="AI2002" i="1"/>
  <c r="AE2003" i="1"/>
  <c r="AC2003" i="1"/>
  <c r="AJ2002" i="1"/>
  <c r="AK2002" i="1"/>
  <c r="AM2002" i="1"/>
  <c r="BF2002" i="1"/>
  <c r="BG2002" i="1"/>
  <c r="T2003" i="1"/>
  <c r="U2003" i="1"/>
  <c r="V2003" i="1"/>
  <c r="W2003" i="1"/>
  <c r="X2003" i="1"/>
  <c r="Y2003" i="1"/>
  <c r="Z2003" i="1"/>
  <c r="AB2003" i="1"/>
  <c r="AF2003" i="1"/>
  <c r="AI2003" i="1"/>
  <c r="AE2004" i="1"/>
  <c r="AC2004" i="1"/>
  <c r="AJ2003" i="1"/>
  <c r="AK2003" i="1"/>
  <c r="AM2003" i="1"/>
  <c r="BF2003" i="1"/>
  <c r="BG2003" i="1"/>
  <c r="T2004" i="1"/>
  <c r="U2004" i="1"/>
  <c r="V2004" i="1"/>
  <c r="W2004" i="1"/>
  <c r="X2004" i="1"/>
  <c r="Y2004" i="1"/>
  <c r="Z2004" i="1"/>
  <c r="AB2004" i="1"/>
  <c r="AF2004" i="1"/>
  <c r="AI2004" i="1"/>
  <c r="H2005" i="1"/>
  <c r="AE2005" i="1"/>
  <c r="I2005" i="1"/>
  <c r="J2005" i="1"/>
  <c r="K2005" i="1"/>
  <c r="AC2005" i="1"/>
  <c r="AJ2004" i="1"/>
  <c r="AK2004" i="1"/>
  <c r="AM2004" i="1"/>
  <c r="BG2004" i="1"/>
  <c r="T2005" i="1"/>
  <c r="U2005" i="1"/>
  <c r="V2005" i="1"/>
  <c r="W2005" i="1"/>
  <c r="X2005" i="1"/>
  <c r="Y2005" i="1"/>
  <c r="Z2005" i="1"/>
  <c r="AB2005" i="1"/>
  <c r="AF2005" i="1"/>
  <c r="AI2005" i="1"/>
  <c r="AE2006" i="1"/>
  <c r="AC2006" i="1"/>
  <c r="AJ2005" i="1"/>
  <c r="AK2005" i="1"/>
  <c r="AM2005" i="1"/>
  <c r="BF2005" i="1"/>
  <c r="BG2005" i="1"/>
  <c r="T2006" i="1"/>
  <c r="U2006" i="1"/>
  <c r="V2006" i="1"/>
  <c r="W2006" i="1"/>
  <c r="X2006" i="1"/>
  <c r="Y2006" i="1"/>
  <c r="Z2006" i="1"/>
  <c r="AB2006" i="1"/>
  <c r="AF2006" i="1"/>
  <c r="AI2006" i="1"/>
  <c r="AE2007" i="1"/>
  <c r="AC2007" i="1"/>
  <c r="AJ2006" i="1"/>
  <c r="AK2006" i="1"/>
  <c r="AM2006" i="1"/>
  <c r="BF2006" i="1"/>
  <c r="BG2006" i="1"/>
  <c r="T2007" i="1"/>
  <c r="U2007" i="1"/>
  <c r="V2007" i="1"/>
  <c r="W2007" i="1"/>
  <c r="X2007" i="1"/>
  <c r="Y2007" i="1"/>
  <c r="Z2007" i="1"/>
  <c r="AB2007" i="1"/>
  <c r="AF2007" i="1"/>
  <c r="AI2007" i="1"/>
  <c r="H2008" i="1"/>
  <c r="AE2008" i="1"/>
  <c r="I2008" i="1"/>
  <c r="J2008" i="1"/>
  <c r="K2008" i="1"/>
  <c r="AC2008" i="1"/>
  <c r="AJ2007" i="1"/>
  <c r="AK2007" i="1"/>
  <c r="AM2007" i="1"/>
  <c r="BG2007" i="1"/>
  <c r="T2008" i="1"/>
  <c r="U2008" i="1"/>
  <c r="V2008" i="1"/>
  <c r="W2008" i="1"/>
  <c r="X2008" i="1"/>
  <c r="Y2008" i="1"/>
  <c r="Z2008" i="1"/>
  <c r="AB2008" i="1"/>
  <c r="AF2008" i="1"/>
  <c r="AI2008" i="1"/>
  <c r="AE2009" i="1"/>
  <c r="AC2009" i="1"/>
  <c r="AJ2008" i="1"/>
  <c r="AK2008" i="1"/>
  <c r="AM2008" i="1"/>
  <c r="BF2008" i="1"/>
  <c r="BG2008" i="1"/>
  <c r="T2009" i="1"/>
  <c r="U2009" i="1"/>
  <c r="V2009" i="1"/>
  <c r="W2009" i="1"/>
  <c r="X2009" i="1"/>
  <c r="Y2009" i="1"/>
  <c r="Z2009" i="1"/>
  <c r="AB2009" i="1"/>
  <c r="AF2009" i="1"/>
  <c r="AI2009" i="1"/>
  <c r="AE2010" i="1"/>
  <c r="AC2010" i="1"/>
  <c r="AJ2009" i="1"/>
  <c r="AK2009" i="1"/>
  <c r="AM2009" i="1"/>
  <c r="BF2009" i="1"/>
  <c r="BG2009" i="1"/>
  <c r="T2010" i="1"/>
  <c r="U2010" i="1"/>
  <c r="V2010" i="1"/>
  <c r="W2010" i="1"/>
  <c r="X2010" i="1"/>
  <c r="Y2010" i="1"/>
  <c r="Z2010" i="1"/>
  <c r="AB2010" i="1"/>
  <c r="AF2010" i="1"/>
  <c r="AI2010" i="1"/>
  <c r="H2011" i="1"/>
  <c r="AE2011" i="1"/>
  <c r="I2011" i="1"/>
  <c r="J2011" i="1"/>
  <c r="K2011" i="1"/>
  <c r="AC2011" i="1"/>
  <c r="AJ2010" i="1"/>
  <c r="AK2010" i="1"/>
  <c r="AM2010" i="1"/>
  <c r="BG2010" i="1"/>
  <c r="T2011" i="1"/>
  <c r="U2011" i="1"/>
  <c r="V2011" i="1"/>
  <c r="W2011" i="1"/>
  <c r="X2011" i="1"/>
  <c r="Y2011" i="1"/>
  <c r="Z2011" i="1"/>
  <c r="AB2011" i="1"/>
  <c r="AF2011" i="1"/>
  <c r="AI2011" i="1"/>
  <c r="H2012" i="1"/>
  <c r="AE2012" i="1"/>
  <c r="I2012" i="1"/>
  <c r="J2012" i="1"/>
  <c r="K2012" i="1"/>
  <c r="AC2012" i="1"/>
  <c r="AJ2011" i="1"/>
  <c r="AK2011" i="1"/>
  <c r="AM2011" i="1"/>
  <c r="BF2011" i="1"/>
  <c r="BG2011" i="1"/>
  <c r="T2012" i="1"/>
  <c r="U2012" i="1"/>
  <c r="V2012" i="1"/>
  <c r="W2012" i="1"/>
  <c r="X2012" i="1"/>
  <c r="Y2012" i="1"/>
  <c r="Z2012" i="1"/>
  <c r="AB2012" i="1"/>
  <c r="AF2012" i="1"/>
  <c r="AI2012" i="1"/>
  <c r="H2013" i="1"/>
  <c r="AE2013" i="1"/>
  <c r="I2013" i="1"/>
  <c r="J2013" i="1"/>
  <c r="K2013" i="1"/>
  <c r="AC2013" i="1"/>
  <c r="AJ2012" i="1"/>
  <c r="AK2012" i="1"/>
  <c r="AM2012" i="1"/>
  <c r="BF2012" i="1"/>
  <c r="BG2012" i="1"/>
  <c r="T2013" i="1"/>
  <c r="U2013" i="1"/>
  <c r="V2013" i="1"/>
  <c r="W2013" i="1"/>
  <c r="X2013" i="1"/>
  <c r="Y2013" i="1"/>
  <c r="Z2013" i="1"/>
  <c r="AB2013" i="1"/>
  <c r="AF2013" i="1"/>
  <c r="AI2013" i="1"/>
  <c r="H2014" i="1"/>
  <c r="AE2014" i="1"/>
  <c r="I2014" i="1"/>
  <c r="J2014" i="1"/>
  <c r="K2014" i="1"/>
  <c r="AC2014" i="1"/>
  <c r="AJ2013" i="1"/>
  <c r="AK2013" i="1"/>
  <c r="AM2013" i="1"/>
  <c r="BF2013" i="1"/>
  <c r="BG2013" i="1"/>
  <c r="T2014" i="1"/>
  <c r="U2014" i="1"/>
  <c r="V2014" i="1"/>
  <c r="W2014" i="1"/>
  <c r="X2014" i="1"/>
  <c r="Y2014" i="1"/>
  <c r="Z2014" i="1"/>
  <c r="AB2014" i="1"/>
  <c r="AF2014" i="1"/>
  <c r="AI2014" i="1"/>
  <c r="H2015" i="1"/>
  <c r="AE2015" i="1"/>
  <c r="I2015" i="1"/>
  <c r="J2015" i="1"/>
  <c r="K2015" i="1"/>
  <c r="AC2015" i="1"/>
  <c r="AJ2014" i="1"/>
  <c r="AK2014" i="1"/>
  <c r="AM2014" i="1"/>
  <c r="BF2014" i="1"/>
  <c r="BG2014" i="1"/>
  <c r="T2015" i="1"/>
  <c r="U2015" i="1"/>
  <c r="V2015" i="1"/>
  <c r="W2015" i="1"/>
  <c r="X2015" i="1"/>
  <c r="Y2015" i="1"/>
  <c r="Z2015" i="1"/>
  <c r="AB2015" i="1"/>
  <c r="AF2015" i="1"/>
  <c r="AI2015" i="1"/>
  <c r="H2016" i="1"/>
  <c r="AE2016" i="1"/>
  <c r="I2016" i="1"/>
  <c r="J2016" i="1"/>
  <c r="K2016" i="1"/>
  <c r="AC2016" i="1"/>
  <c r="AJ2015" i="1"/>
  <c r="AK2015" i="1"/>
  <c r="AM2015" i="1"/>
  <c r="BF2015" i="1"/>
  <c r="BG2015" i="1"/>
  <c r="T2016" i="1"/>
  <c r="U2016" i="1"/>
  <c r="V2016" i="1"/>
  <c r="W2016" i="1"/>
  <c r="X2016" i="1"/>
  <c r="Y2016" i="1"/>
  <c r="Z2016" i="1"/>
  <c r="AB2016" i="1"/>
  <c r="AF2016" i="1"/>
  <c r="AI2016" i="1"/>
  <c r="H2017" i="1"/>
  <c r="AE2017" i="1"/>
  <c r="I2017" i="1"/>
  <c r="J2017" i="1"/>
  <c r="K2017" i="1"/>
  <c r="AC2017" i="1"/>
  <c r="AJ2016" i="1"/>
  <c r="AK2016" i="1"/>
  <c r="AM2016" i="1"/>
  <c r="BF2016" i="1"/>
  <c r="BG2016" i="1"/>
  <c r="T2017" i="1"/>
  <c r="U2017" i="1"/>
  <c r="V2017" i="1"/>
  <c r="W2017" i="1"/>
  <c r="X2017" i="1"/>
  <c r="Y2017" i="1"/>
  <c r="Z2017" i="1"/>
  <c r="AB2017" i="1"/>
  <c r="AF2017" i="1"/>
  <c r="AI2017" i="1"/>
  <c r="AE2018" i="1"/>
  <c r="AC2018" i="1"/>
  <c r="AJ2017" i="1"/>
  <c r="AK2017" i="1"/>
  <c r="AM2017" i="1"/>
  <c r="BF2017" i="1"/>
  <c r="BG2017" i="1"/>
  <c r="T2018" i="1"/>
  <c r="U2018" i="1"/>
  <c r="V2018" i="1"/>
  <c r="W2018" i="1"/>
  <c r="X2018" i="1"/>
  <c r="Y2018" i="1"/>
  <c r="Z2018" i="1"/>
  <c r="AB2018" i="1"/>
  <c r="AF2018" i="1"/>
  <c r="AI2018" i="1"/>
  <c r="AE2019" i="1"/>
  <c r="AC2019" i="1"/>
  <c r="AJ2018" i="1"/>
  <c r="AK2018" i="1"/>
  <c r="AM2018" i="1"/>
  <c r="BF2018" i="1"/>
  <c r="BG2018" i="1"/>
  <c r="T2019" i="1"/>
  <c r="U2019" i="1"/>
  <c r="V2019" i="1"/>
  <c r="W2019" i="1"/>
  <c r="X2019" i="1"/>
  <c r="Y2019" i="1"/>
  <c r="Z2019" i="1"/>
  <c r="AB2019" i="1"/>
  <c r="AF2019" i="1"/>
  <c r="AI2019" i="1"/>
  <c r="H2020" i="1"/>
  <c r="AE2020" i="1"/>
  <c r="I2020" i="1"/>
  <c r="J2020" i="1"/>
  <c r="K2020" i="1"/>
  <c r="AC2020" i="1"/>
  <c r="AJ2019" i="1"/>
  <c r="AK2019" i="1"/>
  <c r="AM2019" i="1"/>
  <c r="BG2019" i="1"/>
  <c r="T2020" i="1"/>
  <c r="U2020" i="1"/>
  <c r="V2020" i="1"/>
  <c r="W2020" i="1"/>
  <c r="X2020" i="1"/>
  <c r="Y2020" i="1"/>
  <c r="Z2020" i="1"/>
  <c r="AB2020" i="1"/>
  <c r="AF2020" i="1"/>
  <c r="AI2020" i="1"/>
  <c r="AE2021" i="1"/>
  <c r="AC2021" i="1"/>
  <c r="AJ2020" i="1"/>
  <c r="AK2020" i="1"/>
  <c r="AM2020" i="1"/>
  <c r="BF2020" i="1"/>
  <c r="BG2020" i="1"/>
  <c r="T2021" i="1"/>
  <c r="U2021" i="1"/>
  <c r="V2021" i="1"/>
  <c r="W2021" i="1"/>
  <c r="X2021" i="1"/>
  <c r="Y2021" i="1"/>
  <c r="Z2021" i="1"/>
  <c r="AB2021" i="1"/>
  <c r="AF2021" i="1"/>
  <c r="AI2021" i="1"/>
  <c r="AE2022" i="1"/>
  <c r="AC2022" i="1"/>
  <c r="AJ2021" i="1"/>
  <c r="AK2021" i="1"/>
  <c r="AM2021" i="1"/>
  <c r="BF2021" i="1"/>
  <c r="BG2021" i="1"/>
  <c r="T2022" i="1"/>
  <c r="U2022" i="1"/>
  <c r="V2022" i="1"/>
  <c r="W2022" i="1"/>
  <c r="X2022" i="1"/>
  <c r="Y2022" i="1"/>
  <c r="Z2022" i="1"/>
  <c r="AB2022" i="1"/>
  <c r="AF2022" i="1"/>
  <c r="AI2022" i="1"/>
  <c r="H2023" i="1"/>
  <c r="AE2023" i="1"/>
  <c r="I2023" i="1"/>
  <c r="J2023" i="1"/>
  <c r="K2023" i="1"/>
  <c r="AC2023" i="1"/>
  <c r="AJ2022" i="1"/>
  <c r="AK2022" i="1"/>
  <c r="AM2022" i="1"/>
  <c r="BG2022" i="1"/>
  <c r="T2023" i="1"/>
  <c r="U2023" i="1"/>
  <c r="V2023" i="1"/>
  <c r="W2023" i="1"/>
  <c r="X2023" i="1"/>
  <c r="Y2023" i="1"/>
  <c r="Z2023" i="1"/>
  <c r="AB2023" i="1"/>
  <c r="AF2023" i="1"/>
  <c r="AI2023" i="1"/>
  <c r="AE2024" i="1"/>
  <c r="AC2024" i="1"/>
  <c r="AJ2023" i="1"/>
  <c r="AK2023" i="1"/>
  <c r="AM2023" i="1"/>
  <c r="BF2023" i="1"/>
  <c r="BG2023" i="1"/>
  <c r="T2024" i="1"/>
  <c r="U2024" i="1"/>
  <c r="V2024" i="1"/>
  <c r="W2024" i="1"/>
  <c r="X2024" i="1"/>
  <c r="Y2024" i="1"/>
  <c r="Z2024" i="1"/>
  <c r="AB2024" i="1"/>
  <c r="AF2024" i="1"/>
  <c r="AI2024" i="1"/>
  <c r="AE2025" i="1"/>
  <c r="AC2025" i="1"/>
  <c r="AJ2024" i="1"/>
  <c r="AK2024" i="1"/>
  <c r="AM2024" i="1"/>
  <c r="BF2024" i="1"/>
  <c r="BG2024" i="1"/>
  <c r="T2025" i="1"/>
  <c r="U2025" i="1"/>
  <c r="V2025" i="1"/>
  <c r="W2025" i="1"/>
  <c r="X2025" i="1"/>
  <c r="Y2025" i="1"/>
  <c r="Z2025" i="1"/>
  <c r="AB2025" i="1"/>
  <c r="AF2025" i="1"/>
  <c r="AI2025" i="1"/>
  <c r="H2026" i="1"/>
  <c r="AE2026" i="1"/>
  <c r="I2026" i="1"/>
  <c r="J2026" i="1"/>
  <c r="K2026" i="1"/>
  <c r="AC2026" i="1"/>
  <c r="AJ2025" i="1"/>
  <c r="AK2025" i="1"/>
  <c r="AM2025" i="1"/>
  <c r="BG2025" i="1"/>
  <c r="T2026" i="1"/>
  <c r="U2026" i="1"/>
  <c r="V2026" i="1"/>
  <c r="W2026" i="1"/>
  <c r="X2026" i="1"/>
  <c r="Y2026" i="1"/>
  <c r="Z2026" i="1"/>
  <c r="AB2026" i="1"/>
  <c r="AF2026" i="1"/>
  <c r="AI2026" i="1"/>
  <c r="H2027" i="1"/>
  <c r="AE2027" i="1"/>
  <c r="I2027" i="1"/>
  <c r="J2027" i="1"/>
  <c r="K2027" i="1"/>
  <c r="AC2027" i="1"/>
  <c r="AJ2026" i="1"/>
  <c r="AK2026" i="1"/>
  <c r="AM2026" i="1"/>
  <c r="BF2026" i="1"/>
  <c r="BG2026" i="1"/>
  <c r="T2027" i="1"/>
  <c r="U2027" i="1"/>
  <c r="V2027" i="1"/>
  <c r="W2027" i="1"/>
  <c r="X2027" i="1"/>
  <c r="Y2027" i="1"/>
  <c r="Z2027" i="1"/>
  <c r="AB2027" i="1"/>
  <c r="AF2027" i="1"/>
  <c r="AI2027" i="1"/>
  <c r="H2028" i="1"/>
  <c r="AE2028" i="1"/>
  <c r="I2028" i="1"/>
  <c r="J2028" i="1"/>
  <c r="K2028" i="1"/>
  <c r="AC2028" i="1"/>
  <c r="AJ2027" i="1"/>
  <c r="AK2027" i="1"/>
  <c r="AM2027" i="1"/>
  <c r="BF2027" i="1"/>
  <c r="BG2027" i="1"/>
  <c r="T2028" i="1"/>
  <c r="U2028" i="1"/>
  <c r="V2028" i="1"/>
  <c r="W2028" i="1"/>
  <c r="X2028" i="1"/>
  <c r="Y2028" i="1"/>
  <c r="Z2028" i="1"/>
  <c r="AB2028" i="1"/>
  <c r="AF2028" i="1"/>
  <c r="AI2028" i="1"/>
  <c r="H2029" i="1"/>
  <c r="AE2029" i="1"/>
  <c r="I2029" i="1"/>
  <c r="J2029" i="1"/>
  <c r="K2029" i="1"/>
  <c r="AC2029" i="1"/>
  <c r="AJ2028" i="1"/>
  <c r="AK2028" i="1"/>
  <c r="AM2028" i="1"/>
  <c r="BF2028" i="1"/>
  <c r="BG2028" i="1"/>
  <c r="T2029" i="1"/>
  <c r="U2029" i="1"/>
  <c r="V2029" i="1"/>
  <c r="W2029" i="1"/>
  <c r="X2029" i="1"/>
  <c r="Y2029" i="1"/>
  <c r="Z2029" i="1"/>
  <c r="AB2029" i="1"/>
  <c r="AF2029" i="1"/>
  <c r="AI2029" i="1"/>
  <c r="H2030" i="1"/>
  <c r="AE2030" i="1"/>
  <c r="I2030" i="1"/>
  <c r="J2030" i="1"/>
  <c r="K2030" i="1"/>
  <c r="AC2030" i="1"/>
  <c r="AJ2029" i="1"/>
  <c r="AK2029" i="1"/>
  <c r="AM2029" i="1"/>
  <c r="BF2029" i="1"/>
  <c r="BG2029" i="1"/>
  <c r="T2030" i="1"/>
  <c r="U2030" i="1"/>
  <c r="V2030" i="1"/>
  <c r="W2030" i="1"/>
  <c r="X2030" i="1"/>
  <c r="Y2030" i="1"/>
  <c r="Z2030" i="1"/>
  <c r="AB2030" i="1"/>
  <c r="AF2030" i="1"/>
  <c r="AI2030" i="1"/>
  <c r="H2031" i="1"/>
  <c r="AE2031" i="1"/>
  <c r="I2031" i="1"/>
  <c r="J2031" i="1"/>
  <c r="K2031" i="1"/>
  <c r="AC2031" i="1"/>
  <c r="AJ2030" i="1"/>
  <c r="AK2030" i="1"/>
  <c r="AM2030" i="1"/>
  <c r="BF2030" i="1"/>
  <c r="BG2030" i="1"/>
  <c r="T2031" i="1"/>
  <c r="U2031" i="1"/>
  <c r="V2031" i="1"/>
  <c r="W2031" i="1"/>
  <c r="X2031" i="1"/>
  <c r="Y2031" i="1"/>
  <c r="Z2031" i="1"/>
  <c r="AB2031" i="1"/>
  <c r="AF2031" i="1"/>
  <c r="AI2031" i="1"/>
  <c r="H2032" i="1"/>
  <c r="AE2032" i="1"/>
  <c r="I2032" i="1"/>
  <c r="J2032" i="1"/>
  <c r="K2032" i="1"/>
  <c r="AC2032" i="1"/>
  <c r="AJ2031" i="1"/>
  <c r="AK2031" i="1"/>
  <c r="AM2031" i="1"/>
  <c r="BF2031" i="1"/>
  <c r="BG2031" i="1"/>
  <c r="T2032" i="1"/>
  <c r="U2032" i="1"/>
  <c r="V2032" i="1"/>
  <c r="W2032" i="1"/>
  <c r="X2032" i="1"/>
  <c r="Y2032" i="1"/>
  <c r="Z2032" i="1"/>
  <c r="AB2032" i="1"/>
  <c r="AF2032" i="1"/>
  <c r="AI2032" i="1"/>
  <c r="AE2033" i="1"/>
  <c r="AC2033" i="1"/>
  <c r="AJ2032" i="1"/>
  <c r="AK2032" i="1"/>
  <c r="AM2032" i="1"/>
  <c r="BF2032" i="1"/>
  <c r="BG2032" i="1"/>
  <c r="T2033" i="1"/>
  <c r="U2033" i="1"/>
  <c r="V2033" i="1"/>
  <c r="W2033" i="1"/>
  <c r="X2033" i="1"/>
  <c r="Y2033" i="1"/>
  <c r="Z2033" i="1"/>
  <c r="AB2033" i="1"/>
  <c r="AF2033" i="1"/>
  <c r="AI2033" i="1"/>
  <c r="AE2034" i="1"/>
  <c r="AC2034" i="1"/>
  <c r="AJ2033" i="1"/>
  <c r="AK2033" i="1"/>
  <c r="AM2033" i="1"/>
  <c r="BF2033" i="1"/>
  <c r="BG2033" i="1"/>
  <c r="T2034" i="1"/>
  <c r="U2034" i="1"/>
  <c r="V2034" i="1"/>
  <c r="W2034" i="1"/>
  <c r="X2034" i="1"/>
  <c r="Y2034" i="1"/>
  <c r="Z2034" i="1"/>
  <c r="AB2034" i="1"/>
  <c r="AF2034" i="1"/>
  <c r="AI2034" i="1"/>
  <c r="H2035" i="1"/>
  <c r="AE2035" i="1"/>
  <c r="I2035" i="1"/>
  <c r="J2035" i="1"/>
  <c r="K2035" i="1"/>
  <c r="AC2035" i="1"/>
  <c r="AJ2034" i="1"/>
  <c r="AK2034" i="1"/>
  <c r="AM2034" i="1"/>
  <c r="BG2034" i="1"/>
  <c r="T2035" i="1"/>
  <c r="U2035" i="1"/>
  <c r="V2035" i="1"/>
  <c r="W2035" i="1"/>
  <c r="X2035" i="1"/>
  <c r="Y2035" i="1"/>
  <c r="Z2035" i="1"/>
  <c r="AB2035" i="1"/>
  <c r="AF2035" i="1"/>
  <c r="AI2035" i="1"/>
  <c r="H2036" i="1"/>
  <c r="AE2036" i="1"/>
  <c r="I2036" i="1"/>
  <c r="J2036" i="1"/>
  <c r="K2036" i="1"/>
  <c r="AC2036" i="1"/>
  <c r="AJ2035" i="1"/>
  <c r="AK2035" i="1"/>
  <c r="AM2035" i="1"/>
  <c r="BF2035" i="1"/>
  <c r="BG2035" i="1"/>
  <c r="T2036" i="1"/>
  <c r="U2036" i="1"/>
  <c r="V2036" i="1"/>
  <c r="W2036" i="1"/>
  <c r="X2036" i="1"/>
  <c r="Y2036" i="1"/>
  <c r="Z2036" i="1"/>
  <c r="AB2036" i="1"/>
  <c r="AF2036" i="1"/>
  <c r="AI2036" i="1"/>
  <c r="H2037" i="1"/>
  <c r="AE2037" i="1"/>
  <c r="I2037" i="1"/>
  <c r="J2037" i="1"/>
  <c r="K2037" i="1"/>
  <c r="AC2037" i="1"/>
  <c r="AJ2036" i="1"/>
  <c r="AK2036" i="1"/>
  <c r="AM2036" i="1"/>
  <c r="BF2036" i="1"/>
  <c r="BG2036" i="1"/>
  <c r="T2037" i="1"/>
  <c r="U2037" i="1"/>
  <c r="V2037" i="1"/>
  <c r="W2037" i="1"/>
  <c r="X2037" i="1"/>
  <c r="Y2037" i="1"/>
  <c r="Z2037" i="1"/>
  <c r="AB2037" i="1"/>
  <c r="AF2037" i="1"/>
  <c r="AI2037" i="1"/>
  <c r="H2038" i="1"/>
  <c r="AE2038" i="1"/>
  <c r="I2038" i="1"/>
  <c r="J2038" i="1"/>
  <c r="K2038" i="1"/>
  <c r="AC2038" i="1"/>
  <c r="AJ2037" i="1"/>
  <c r="AK2037" i="1"/>
  <c r="AM2037" i="1"/>
  <c r="BF2037" i="1"/>
  <c r="BG2037" i="1"/>
  <c r="T2038" i="1"/>
  <c r="U2038" i="1"/>
  <c r="V2038" i="1"/>
  <c r="W2038" i="1"/>
  <c r="X2038" i="1"/>
  <c r="Y2038" i="1"/>
  <c r="Z2038" i="1"/>
  <c r="AB2038" i="1"/>
  <c r="AF2038" i="1"/>
  <c r="AI2038" i="1"/>
  <c r="H2039" i="1"/>
  <c r="AE2039" i="1"/>
  <c r="I2039" i="1"/>
  <c r="J2039" i="1"/>
  <c r="K2039" i="1"/>
  <c r="AC2039" i="1"/>
  <c r="AJ2038" i="1"/>
  <c r="AK2038" i="1"/>
  <c r="AM2038" i="1"/>
  <c r="BF2038" i="1"/>
  <c r="BG2038" i="1"/>
  <c r="T2039" i="1"/>
  <c r="U2039" i="1"/>
  <c r="V2039" i="1"/>
  <c r="W2039" i="1"/>
  <c r="X2039" i="1"/>
  <c r="Y2039" i="1"/>
  <c r="Z2039" i="1"/>
  <c r="AB2039" i="1"/>
  <c r="AF2039" i="1"/>
  <c r="AI2039" i="1"/>
  <c r="AE2040" i="1"/>
  <c r="AC2040" i="1"/>
  <c r="AJ2039" i="1"/>
  <c r="AK2039" i="1"/>
  <c r="AM2039" i="1"/>
  <c r="BF2039" i="1"/>
  <c r="BG2039" i="1"/>
  <c r="T2040" i="1"/>
  <c r="U2040" i="1"/>
  <c r="V2040" i="1"/>
  <c r="W2040" i="1"/>
  <c r="X2040" i="1"/>
  <c r="Y2040" i="1"/>
  <c r="Z2040" i="1"/>
  <c r="AB2040" i="1"/>
  <c r="AF2040" i="1"/>
  <c r="AI2040" i="1"/>
  <c r="AE2041" i="1"/>
  <c r="AC2041" i="1"/>
  <c r="AJ2040" i="1"/>
  <c r="AK2040" i="1"/>
  <c r="AM2040" i="1"/>
  <c r="BF2040" i="1"/>
  <c r="BG2040" i="1"/>
  <c r="T2041" i="1"/>
  <c r="U2041" i="1"/>
  <c r="V2041" i="1"/>
  <c r="W2041" i="1"/>
  <c r="X2041" i="1"/>
  <c r="Y2041" i="1"/>
  <c r="Z2041" i="1"/>
  <c r="AB2041" i="1"/>
  <c r="AF2041" i="1"/>
  <c r="AI2041" i="1"/>
  <c r="H2042" i="1"/>
  <c r="AE2042" i="1"/>
  <c r="I2042" i="1"/>
  <c r="J2042" i="1"/>
  <c r="K2042" i="1"/>
  <c r="AC2042" i="1"/>
  <c r="AJ2041" i="1"/>
  <c r="AK2041" i="1"/>
  <c r="AM2041" i="1"/>
  <c r="BG2041" i="1"/>
  <c r="T2042" i="1"/>
  <c r="U2042" i="1"/>
  <c r="V2042" i="1"/>
  <c r="W2042" i="1"/>
  <c r="X2042" i="1"/>
  <c r="Y2042" i="1"/>
  <c r="Z2042" i="1"/>
  <c r="AB2042" i="1"/>
  <c r="AF2042" i="1"/>
  <c r="AI2042" i="1"/>
  <c r="H2043" i="1"/>
  <c r="AE2043" i="1"/>
  <c r="I2043" i="1"/>
  <c r="J2043" i="1"/>
  <c r="K2043" i="1"/>
  <c r="AC2043" i="1"/>
  <c r="AJ2042" i="1"/>
  <c r="AK2042" i="1"/>
  <c r="AM2042" i="1"/>
  <c r="BF2042" i="1"/>
  <c r="BG2042" i="1"/>
  <c r="T2043" i="1"/>
  <c r="U2043" i="1"/>
  <c r="V2043" i="1"/>
  <c r="W2043" i="1"/>
  <c r="X2043" i="1"/>
  <c r="Y2043" i="1"/>
  <c r="Z2043" i="1"/>
  <c r="AB2043" i="1"/>
  <c r="AF2043" i="1"/>
  <c r="AI2043" i="1"/>
  <c r="H2044" i="1"/>
  <c r="AE2044" i="1"/>
  <c r="I2044" i="1"/>
  <c r="J2044" i="1"/>
  <c r="K2044" i="1"/>
  <c r="AC2044" i="1"/>
  <c r="AJ2043" i="1"/>
  <c r="AK2043" i="1"/>
  <c r="AM2043" i="1"/>
  <c r="BF2043" i="1"/>
  <c r="BG2043" i="1"/>
  <c r="T2044" i="1"/>
  <c r="U2044" i="1"/>
  <c r="V2044" i="1"/>
  <c r="W2044" i="1"/>
  <c r="X2044" i="1"/>
  <c r="Y2044" i="1"/>
  <c r="Z2044" i="1"/>
  <c r="AB2044" i="1"/>
  <c r="AF2044" i="1"/>
  <c r="AI2044" i="1"/>
  <c r="H2045" i="1"/>
  <c r="AE2045" i="1"/>
  <c r="I2045" i="1"/>
  <c r="J2045" i="1"/>
  <c r="K2045" i="1"/>
  <c r="AC2045" i="1"/>
  <c r="AJ2044" i="1"/>
  <c r="AK2044" i="1"/>
  <c r="AM2044" i="1"/>
  <c r="BF2044" i="1"/>
  <c r="BG2044" i="1"/>
  <c r="T2045" i="1"/>
  <c r="U2045" i="1"/>
  <c r="V2045" i="1"/>
  <c r="W2045" i="1"/>
  <c r="X2045" i="1"/>
  <c r="Y2045" i="1"/>
  <c r="Z2045" i="1"/>
  <c r="AB2045" i="1"/>
  <c r="AF2045" i="1"/>
  <c r="AI2045" i="1"/>
  <c r="AE2046" i="1"/>
  <c r="AC2046" i="1"/>
  <c r="AJ2045" i="1"/>
  <c r="AK2045" i="1"/>
  <c r="AM2045" i="1"/>
  <c r="BF2045" i="1"/>
  <c r="BG2045" i="1"/>
  <c r="T2046" i="1"/>
  <c r="U2046" i="1"/>
  <c r="V2046" i="1"/>
  <c r="W2046" i="1"/>
  <c r="X2046" i="1"/>
  <c r="Y2046" i="1"/>
  <c r="Z2046" i="1"/>
  <c r="AB2046" i="1"/>
  <c r="AF2046" i="1"/>
  <c r="AI2046" i="1"/>
  <c r="AE2047" i="1"/>
  <c r="AC2047" i="1"/>
  <c r="AJ2046" i="1"/>
  <c r="AK2046" i="1"/>
  <c r="AM2046" i="1"/>
  <c r="BF2046" i="1"/>
  <c r="BG2046" i="1"/>
  <c r="T2047" i="1"/>
  <c r="U2047" i="1"/>
  <c r="V2047" i="1"/>
  <c r="W2047" i="1"/>
  <c r="X2047" i="1"/>
  <c r="Y2047" i="1"/>
  <c r="Z2047" i="1"/>
  <c r="AB2047" i="1"/>
  <c r="AF2047" i="1"/>
  <c r="AI2047" i="1"/>
  <c r="H2048" i="1"/>
  <c r="AE2048" i="1"/>
  <c r="I2048" i="1"/>
  <c r="J2048" i="1"/>
  <c r="K2048" i="1"/>
  <c r="AC2048" i="1"/>
  <c r="AJ2047" i="1"/>
  <c r="AK2047" i="1"/>
  <c r="AM2047" i="1"/>
  <c r="BG2047" i="1"/>
  <c r="T2048" i="1"/>
  <c r="U2048" i="1"/>
  <c r="V2048" i="1"/>
  <c r="W2048" i="1"/>
  <c r="X2048" i="1"/>
  <c r="Y2048" i="1"/>
  <c r="Z2048" i="1"/>
  <c r="AB2048" i="1"/>
  <c r="AF2048" i="1"/>
  <c r="AI2048" i="1"/>
  <c r="H2049" i="1"/>
  <c r="AE2049" i="1"/>
  <c r="I2049" i="1"/>
  <c r="J2049" i="1"/>
  <c r="K2049" i="1"/>
  <c r="AC2049" i="1"/>
  <c r="AJ2048" i="1"/>
  <c r="AK2048" i="1"/>
  <c r="AM2048" i="1"/>
  <c r="BF2048" i="1"/>
  <c r="BG2048" i="1"/>
  <c r="T2049" i="1"/>
  <c r="U2049" i="1"/>
  <c r="V2049" i="1"/>
  <c r="W2049" i="1"/>
  <c r="X2049" i="1"/>
  <c r="Y2049" i="1"/>
  <c r="Z2049" i="1"/>
  <c r="AB2049" i="1"/>
  <c r="AF2049" i="1"/>
  <c r="AI2049" i="1"/>
  <c r="AE2050" i="1"/>
  <c r="AC2050" i="1"/>
  <c r="AJ2049" i="1"/>
  <c r="AK2049" i="1"/>
  <c r="AM2049" i="1"/>
  <c r="BF2049" i="1"/>
  <c r="BG2049" i="1"/>
  <c r="T2050" i="1"/>
  <c r="U2050" i="1"/>
  <c r="V2050" i="1"/>
  <c r="W2050" i="1"/>
  <c r="X2050" i="1"/>
  <c r="Y2050" i="1"/>
  <c r="Z2050" i="1"/>
  <c r="AB2050" i="1"/>
  <c r="AF2050" i="1"/>
  <c r="AI2050" i="1"/>
  <c r="AE2051" i="1"/>
  <c r="AC2051" i="1"/>
  <c r="AJ2050" i="1"/>
  <c r="AK2050" i="1"/>
  <c r="AM2050" i="1"/>
  <c r="BF2050" i="1"/>
  <c r="BG2050" i="1"/>
  <c r="T2051" i="1"/>
  <c r="U2051" i="1"/>
  <c r="V2051" i="1"/>
  <c r="W2051" i="1"/>
  <c r="X2051" i="1"/>
  <c r="Y2051" i="1"/>
  <c r="Z2051" i="1"/>
  <c r="AB2051" i="1"/>
  <c r="AF2051" i="1"/>
  <c r="AI2051" i="1"/>
  <c r="H2052" i="1"/>
  <c r="AE2052" i="1"/>
  <c r="I2052" i="1"/>
  <c r="J2052" i="1"/>
  <c r="K2052" i="1"/>
  <c r="AC2052" i="1"/>
  <c r="AJ2051" i="1"/>
  <c r="AK2051" i="1"/>
  <c r="AM2051" i="1"/>
  <c r="BG2051" i="1"/>
  <c r="T2052" i="1"/>
  <c r="U2052" i="1"/>
  <c r="V2052" i="1"/>
  <c r="W2052" i="1"/>
  <c r="X2052" i="1"/>
  <c r="Y2052" i="1"/>
  <c r="Z2052" i="1"/>
  <c r="AB2052" i="1"/>
  <c r="AF2052" i="1"/>
  <c r="AI2052" i="1"/>
  <c r="AE2053" i="1"/>
  <c r="AC2053" i="1"/>
  <c r="AJ2052" i="1"/>
  <c r="AK2052" i="1"/>
  <c r="AM2052" i="1"/>
  <c r="BF2052" i="1"/>
  <c r="BG2052" i="1"/>
  <c r="T2053" i="1"/>
  <c r="U2053" i="1"/>
  <c r="V2053" i="1"/>
  <c r="W2053" i="1"/>
  <c r="X2053" i="1"/>
  <c r="Y2053" i="1"/>
  <c r="Z2053" i="1"/>
  <c r="AB2053" i="1"/>
  <c r="AF2053" i="1"/>
  <c r="AI2053" i="1"/>
  <c r="AE2054" i="1"/>
  <c r="AC2054" i="1"/>
  <c r="AJ2053" i="1"/>
  <c r="AK2053" i="1"/>
  <c r="AM2053" i="1"/>
  <c r="BF2053" i="1"/>
  <c r="BG2053" i="1"/>
  <c r="T2054" i="1"/>
  <c r="U2054" i="1"/>
  <c r="V2054" i="1"/>
  <c r="W2054" i="1"/>
  <c r="X2054" i="1"/>
  <c r="Y2054" i="1"/>
  <c r="Z2054" i="1"/>
  <c r="AB2054" i="1"/>
  <c r="AF2054" i="1"/>
  <c r="AI2054" i="1"/>
  <c r="H2055" i="1"/>
  <c r="AE2055" i="1"/>
  <c r="I2055" i="1"/>
  <c r="J2055" i="1"/>
  <c r="K2055" i="1"/>
  <c r="AC2055" i="1"/>
  <c r="AJ2054" i="1"/>
  <c r="AK2054" i="1"/>
  <c r="AM2054" i="1"/>
  <c r="BG2054" i="1"/>
  <c r="T2055" i="1"/>
  <c r="U2055" i="1"/>
  <c r="V2055" i="1"/>
  <c r="W2055" i="1"/>
  <c r="X2055" i="1"/>
  <c r="Y2055" i="1"/>
  <c r="Z2055" i="1"/>
  <c r="AB2055" i="1"/>
  <c r="AF2055" i="1"/>
  <c r="AI2055" i="1"/>
  <c r="H2056" i="1"/>
  <c r="AE2056" i="1"/>
  <c r="I2056" i="1"/>
  <c r="J2056" i="1"/>
  <c r="K2056" i="1"/>
  <c r="AC2056" i="1"/>
  <c r="AJ2055" i="1"/>
  <c r="AK2055" i="1"/>
  <c r="AM2055" i="1"/>
  <c r="BF2055" i="1"/>
  <c r="BG2055" i="1"/>
  <c r="T2056" i="1"/>
  <c r="U2056" i="1"/>
  <c r="V2056" i="1"/>
  <c r="W2056" i="1"/>
  <c r="X2056" i="1"/>
  <c r="Y2056" i="1"/>
  <c r="Z2056" i="1"/>
  <c r="AB2056" i="1"/>
  <c r="AF2056" i="1"/>
  <c r="AI2056" i="1"/>
  <c r="AE2057" i="1"/>
  <c r="AC2057" i="1"/>
  <c r="AJ2056" i="1"/>
  <c r="AK2056" i="1"/>
  <c r="AM2056" i="1"/>
  <c r="BF2056" i="1"/>
  <c r="BG2056" i="1"/>
  <c r="T2057" i="1"/>
  <c r="U2057" i="1"/>
  <c r="V2057" i="1"/>
  <c r="W2057" i="1"/>
  <c r="X2057" i="1"/>
  <c r="Y2057" i="1"/>
  <c r="Z2057" i="1"/>
  <c r="AB2057" i="1"/>
  <c r="AF2057" i="1"/>
  <c r="AI2057" i="1"/>
  <c r="AE2058" i="1"/>
  <c r="AC2058" i="1"/>
  <c r="AJ2057" i="1"/>
  <c r="AK2057" i="1"/>
  <c r="AM2057" i="1"/>
  <c r="BF2057" i="1"/>
  <c r="BG2057" i="1"/>
  <c r="T2058" i="1"/>
  <c r="U2058" i="1"/>
  <c r="V2058" i="1"/>
  <c r="W2058" i="1"/>
  <c r="X2058" i="1"/>
  <c r="Y2058" i="1"/>
  <c r="Z2058" i="1"/>
  <c r="AB2058" i="1"/>
  <c r="AF2058" i="1"/>
  <c r="AI2058" i="1"/>
  <c r="H2059" i="1"/>
  <c r="AE2059" i="1"/>
  <c r="I2059" i="1"/>
  <c r="J2059" i="1"/>
  <c r="K2059" i="1"/>
  <c r="AC2059" i="1"/>
  <c r="AJ2058" i="1"/>
  <c r="AK2058" i="1"/>
  <c r="AM2058" i="1"/>
  <c r="BG2058" i="1"/>
  <c r="T2059" i="1"/>
  <c r="U2059" i="1"/>
  <c r="V2059" i="1"/>
  <c r="W2059" i="1"/>
  <c r="X2059" i="1"/>
  <c r="Y2059" i="1"/>
  <c r="Z2059" i="1"/>
  <c r="AB2059" i="1"/>
  <c r="AF2059" i="1"/>
  <c r="AI2059" i="1"/>
  <c r="H2060" i="1"/>
  <c r="AE2060" i="1"/>
  <c r="I2060" i="1"/>
  <c r="J2060" i="1"/>
  <c r="K2060" i="1"/>
  <c r="AC2060" i="1"/>
  <c r="AJ2059" i="1"/>
  <c r="AK2059" i="1"/>
  <c r="AM2059" i="1"/>
  <c r="BF2059" i="1"/>
  <c r="BG2059" i="1"/>
  <c r="T2060" i="1"/>
  <c r="U2060" i="1"/>
  <c r="V2060" i="1"/>
  <c r="W2060" i="1"/>
  <c r="X2060" i="1"/>
  <c r="Y2060" i="1"/>
  <c r="Z2060" i="1"/>
  <c r="AB2060" i="1"/>
  <c r="AF2060" i="1"/>
  <c r="AI2060" i="1"/>
  <c r="AE2061" i="1"/>
  <c r="AC2061" i="1"/>
  <c r="AJ2060" i="1"/>
  <c r="AK2060" i="1"/>
  <c r="AM2060" i="1"/>
  <c r="BF2060" i="1"/>
  <c r="BG2060" i="1"/>
  <c r="T2061" i="1"/>
  <c r="U2061" i="1"/>
  <c r="V2061" i="1"/>
  <c r="W2061" i="1"/>
  <c r="X2061" i="1"/>
  <c r="Y2061" i="1"/>
  <c r="Z2061" i="1"/>
  <c r="AB2061" i="1"/>
  <c r="AF2061" i="1"/>
  <c r="AI2061" i="1"/>
  <c r="AE2062" i="1"/>
  <c r="AC2062" i="1"/>
  <c r="AJ2061" i="1"/>
  <c r="AK2061" i="1"/>
  <c r="AM2061" i="1"/>
  <c r="BF2061" i="1"/>
  <c r="BG2061" i="1"/>
  <c r="T2062" i="1"/>
  <c r="U2062" i="1"/>
  <c r="V2062" i="1"/>
  <c r="W2062" i="1"/>
  <c r="X2062" i="1"/>
  <c r="Y2062" i="1"/>
  <c r="Z2062" i="1"/>
  <c r="AB2062" i="1"/>
  <c r="AF2062" i="1"/>
  <c r="AI2062" i="1"/>
  <c r="H2063" i="1"/>
  <c r="AE2063" i="1"/>
  <c r="I2063" i="1"/>
  <c r="J2063" i="1"/>
  <c r="K2063" i="1"/>
  <c r="AC2063" i="1"/>
  <c r="AJ2062" i="1"/>
  <c r="AK2062" i="1"/>
  <c r="AM2062" i="1"/>
  <c r="BG2062" i="1"/>
  <c r="T2063" i="1"/>
  <c r="U2063" i="1"/>
  <c r="V2063" i="1"/>
  <c r="W2063" i="1"/>
  <c r="X2063" i="1"/>
  <c r="Y2063" i="1"/>
  <c r="Z2063" i="1"/>
  <c r="AB2063" i="1"/>
  <c r="AF2063" i="1"/>
  <c r="AI2063" i="1"/>
  <c r="AE2064" i="1"/>
  <c r="AC2064" i="1"/>
  <c r="AJ2063" i="1"/>
  <c r="AK2063" i="1"/>
  <c r="AM2063" i="1"/>
  <c r="BF2063" i="1"/>
  <c r="BG2063" i="1"/>
  <c r="T2064" i="1"/>
  <c r="U2064" i="1"/>
  <c r="V2064" i="1"/>
  <c r="W2064" i="1"/>
  <c r="X2064" i="1"/>
  <c r="Y2064" i="1"/>
  <c r="Z2064" i="1"/>
  <c r="AB2064" i="1"/>
  <c r="AF2064" i="1"/>
  <c r="AI2064" i="1"/>
  <c r="AE2065" i="1"/>
  <c r="AC2065" i="1"/>
  <c r="AJ2064" i="1"/>
  <c r="AK2064" i="1"/>
  <c r="AM2064" i="1"/>
  <c r="BF2064" i="1"/>
  <c r="BG2064" i="1"/>
  <c r="T2065" i="1"/>
  <c r="U2065" i="1"/>
  <c r="V2065" i="1"/>
  <c r="W2065" i="1"/>
  <c r="X2065" i="1"/>
  <c r="Y2065" i="1"/>
  <c r="Z2065" i="1"/>
  <c r="AB2065" i="1"/>
  <c r="AF2065" i="1"/>
  <c r="AI2065" i="1"/>
  <c r="H2066" i="1"/>
  <c r="AE2066" i="1"/>
  <c r="I2066" i="1"/>
  <c r="J2066" i="1"/>
  <c r="K2066" i="1"/>
  <c r="AC2066" i="1"/>
  <c r="AJ2065" i="1"/>
  <c r="AK2065" i="1"/>
  <c r="AM2065" i="1"/>
  <c r="BG2065" i="1"/>
  <c r="T2066" i="1"/>
  <c r="U2066" i="1"/>
  <c r="V2066" i="1"/>
  <c r="W2066" i="1"/>
  <c r="X2066" i="1"/>
  <c r="Y2066" i="1"/>
  <c r="Z2066" i="1"/>
  <c r="AB2066" i="1"/>
  <c r="AF2066" i="1"/>
  <c r="AI2066" i="1"/>
  <c r="H2067" i="1"/>
  <c r="AE2067" i="1"/>
  <c r="I2067" i="1"/>
  <c r="J2067" i="1"/>
  <c r="K2067" i="1"/>
  <c r="AC2067" i="1"/>
  <c r="AJ2066" i="1"/>
  <c r="AK2066" i="1"/>
  <c r="AM2066" i="1"/>
  <c r="BF2066" i="1"/>
  <c r="BG2066" i="1"/>
  <c r="T2067" i="1"/>
  <c r="U2067" i="1"/>
  <c r="V2067" i="1"/>
  <c r="W2067" i="1"/>
  <c r="X2067" i="1"/>
  <c r="Y2067" i="1"/>
  <c r="Z2067" i="1"/>
  <c r="AB2067" i="1"/>
  <c r="AF2067" i="1"/>
  <c r="AI2067" i="1"/>
  <c r="H2068" i="1"/>
  <c r="AE2068" i="1"/>
  <c r="I2068" i="1"/>
  <c r="J2068" i="1"/>
  <c r="K2068" i="1"/>
  <c r="AC2068" i="1"/>
  <c r="AJ2067" i="1"/>
  <c r="AK2067" i="1"/>
  <c r="AM2067" i="1"/>
  <c r="BF2067" i="1"/>
  <c r="BG2067" i="1"/>
  <c r="T2068" i="1"/>
  <c r="U2068" i="1"/>
  <c r="V2068" i="1"/>
  <c r="W2068" i="1"/>
  <c r="X2068" i="1"/>
  <c r="Y2068" i="1"/>
  <c r="Z2068" i="1"/>
  <c r="AB2068" i="1"/>
  <c r="AF2068" i="1"/>
  <c r="AI2068" i="1"/>
  <c r="H2069" i="1"/>
  <c r="AE2069" i="1"/>
  <c r="I2069" i="1"/>
  <c r="J2069" i="1"/>
  <c r="K2069" i="1"/>
  <c r="AC2069" i="1"/>
  <c r="AJ2068" i="1"/>
  <c r="AK2068" i="1"/>
  <c r="AM2068" i="1"/>
  <c r="BF2068" i="1"/>
  <c r="BG2068" i="1"/>
  <c r="T2069" i="1"/>
  <c r="U2069" i="1"/>
  <c r="V2069" i="1"/>
  <c r="W2069" i="1"/>
  <c r="X2069" i="1"/>
  <c r="Y2069" i="1"/>
  <c r="Z2069" i="1"/>
  <c r="AB2069" i="1"/>
  <c r="AF2069" i="1"/>
  <c r="AI2069" i="1"/>
  <c r="H2070" i="1"/>
  <c r="AE2070" i="1"/>
  <c r="I2070" i="1"/>
  <c r="J2070" i="1"/>
  <c r="K2070" i="1"/>
  <c r="AC2070" i="1"/>
  <c r="AJ2069" i="1"/>
  <c r="AK2069" i="1"/>
  <c r="AM2069" i="1"/>
  <c r="BF2069" i="1"/>
  <c r="BG2069" i="1"/>
  <c r="T2070" i="1"/>
  <c r="U2070" i="1"/>
  <c r="V2070" i="1"/>
  <c r="W2070" i="1"/>
  <c r="X2070" i="1"/>
  <c r="Y2070" i="1"/>
  <c r="Z2070" i="1"/>
  <c r="AB2070" i="1"/>
  <c r="AF2070" i="1"/>
  <c r="AI2070" i="1"/>
  <c r="H2071" i="1"/>
  <c r="AE2071" i="1"/>
  <c r="I2071" i="1"/>
  <c r="J2071" i="1"/>
  <c r="K2071" i="1"/>
  <c r="AC2071" i="1"/>
  <c r="AJ2070" i="1"/>
  <c r="AK2070" i="1"/>
  <c r="AM2070" i="1"/>
  <c r="BF2070" i="1"/>
  <c r="BG2070" i="1"/>
  <c r="T2071" i="1"/>
  <c r="U2071" i="1"/>
  <c r="V2071" i="1"/>
  <c r="W2071" i="1"/>
  <c r="X2071" i="1"/>
  <c r="Y2071" i="1"/>
  <c r="Z2071" i="1"/>
  <c r="AB2071" i="1"/>
  <c r="AF2071" i="1"/>
  <c r="AI2071" i="1"/>
  <c r="AE2072" i="1"/>
  <c r="AC2072" i="1"/>
  <c r="AJ2071" i="1"/>
  <c r="AK2071" i="1"/>
  <c r="AM2071" i="1"/>
  <c r="BF2071" i="1"/>
  <c r="BG2071" i="1"/>
  <c r="T2072" i="1"/>
  <c r="U2072" i="1"/>
  <c r="V2072" i="1"/>
  <c r="W2072" i="1"/>
  <c r="X2072" i="1"/>
  <c r="Y2072" i="1"/>
  <c r="Z2072" i="1"/>
  <c r="AB2072" i="1"/>
  <c r="AF2072" i="1"/>
  <c r="AI2072" i="1"/>
  <c r="AE2073" i="1"/>
  <c r="AC2073" i="1"/>
  <c r="AJ2072" i="1"/>
  <c r="AK2072" i="1"/>
  <c r="AM2072" i="1"/>
  <c r="BF2072" i="1"/>
  <c r="BG2072" i="1"/>
  <c r="T2073" i="1"/>
  <c r="U2073" i="1"/>
  <c r="V2073" i="1"/>
  <c r="W2073" i="1"/>
  <c r="X2073" i="1"/>
  <c r="Y2073" i="1"/>
  <c r="Z2073" i="1"/>
  <c r="AB2073" i="1"/>
  <c r="AF2073" i="1"/>
  <c r="AI2073" i="1"/>
  <c r="H2074" i="1"/>
  <c r="AE2074" i="1"/>
  <c r="I2074" i="1"/>
  <c r="J2074" i="1"/>
  <c r="K2074" i="1"/>
  <c r="AC2074" i="1"/>
  <c r="AJ2073" i="1"/>
  <c r="AK2073" i="1"/>
  <c r="AM2073" i="1"/>
  <c r="BG2073" i="1"/>
  <c r="T2074" i="1"/>
  <c r="U2074" i="1"/>
  <c r="V2074" i="1"/>
  <c r="W2074" i="1"/>
  <c r="X2074" i="1"/>
  <c r="Y2074" i="1"/>
  <c r="Z2074" i="1"/>
  <c r="AB2074" i="1"/>
  <c r="AF2074" i="1"/>
  <c r="AI2074" i="1"/>
  <c r="H2075" i="1"/>
  <c r="AE2075" i="1"/>
  <c r="I2075" i="1"/>
  <c r="J2075" i="1"/>
  <c r="K2075" i="1"/>
  <c r="AC2075" i="1"/>
  <c r="AJ2074" i="1"/>
  <c r="AK2074" i="1"/>
  <c r="AM2074" i="1"/>
  <c r="BF2074" i="1"/>
  <c r="BG2074" i="1"/>
  <c r="T2075" i="1"/>
  <c r="U2075" i="1"/>
  <c r="V2075" i="1"/>
  <c r="W2075" i="1"/>
  <c r="X2075" i="1"/>
  <c r="Y2075" i="1"/>
  <c r="Z2075" i="1"/>
  <c r="AB2075" i="1"/>
  <c r="AF2075" i="1"/>
  <c r="AI2075" i="1"/>
  <c r="H2076" i="1"/>
  <c r="AE2076" i="1"/>
  <c r="I2076" i="1"/>
  <c r="J2076" i="1"/>
  <c r="K2076" i="1"/>
  <c r="AC2076" i="1"/>
  <c r="AJ2075" i="1"/>
  <c r="AK2075" i="1"/>
  <c r="AM2075" i="1"/>
  <c r="BF2075" i="1"/>
  <c r="BG2075" i="1"/>
  <c r="T2076" i="1"/>
  <c r="U2076" i="1"/>
  <c r="V2076" i="1"/>
  <c r="W2076" i="1"/>
  <c r="X2076" i="1"/>
  <c r="Y2076" i="1"/>
  <c r="Z2076" i="1"/>
  <c r="AB2076" i="1"/>
  <c r="AF2076" i="1"/>
  <c r="AI2076" i="1"/>
  <c r="AE2077" i="1"/>
  <c r="AC2077" i="1"/>
  <c r="AJ2076" i="1"/>
  <c r="AK2076" i="1"/>
  <c r="AM2076" i="1"/>
  <c r="BF2076" i="1"/>
  <c r="BG2076" i="1"/>
  <c r="T2077" i="1"/>
  <c r="U2077" i="1"/>
  <c r="V2077" i="1"/>
  <c r="W2077" i="1"/>
  <c r="X2077" i="1"/>
  <c r="Y2077" i="1"/>
  <c r="Z2077" i="1"/>
  <c r="AB2077" i="1"/>
  <c r="AF2077" i="1"/>
  <c r="AI2077" i="1"/>
  <c r="AE2078" i="1"/>
  <c r="AC2078" i="1"/>
  <c r="AJ2077" i="1"/>
  <c r="AK2077" i="1"/>
  <c r="AM2077" i="1"/>
  <c r="BF2077" i="1"/>
  <c r="BG2077" i="1"/>
  <c r="T2078" i="1"/>
  <c r="U2078" i="1"/>
  <c r="V2078" i="1"/>
  <c r="W2078" i="1"/>
  <c r="X2078" i="1"/>
  <c r="Y2078" i="1"/>
  <c r="Z2078" i="1"/>
  <c r="AB2078" i="1"/>
  <c r="AF2078" i="1"/>
  <c r="AI2078" i="1"/>
  <c r="H2079" i="1"/>
  <c r="AE2079" i="1"/>
  <c r="I2079" i="1"/>
  <c r="J2079" i="1"/>
  <c r="K2079" i="1"/>
  <c r="AC2079" i="1"/>
  <c r="AJ2078" i="1"/>
  <c r="AK2078" i="1"/>
  <c r="AM2078" i="1"/>
  <c r="BG2078" i="1"/>
  <c r="T2079" i="1"/>
  <c r="U2079" i="1"/>
  <c r="V2079" i="1"/>
  <c r="W2079" i="1"/>
  <c r="X2079" i="1"/>
  <c r="Y2079" i="1"/>
  <c r="Z2079" i="1"/>
  <c r="AB2079" i="1"/>
  <c r="AF2079" i="1"/>
  <c r="AI2079" i="1"/>
  <c r="AE2080" i="1"/>
  <c r="AC2080" i="1"/>
  <c r="AJ2079" i="1"/>
  <c r="AK2079" i="1"/>
  <c r="AM2079" i="1"/>
  <c r="BF2079" i="1"/>
  <c r="BG2079" i="1"/>
  <c r="T2080" i="1"/>
  <c r="U2080" i="1"/>
  <c r="V2080" i="1"/>
  <c r="W2080" i="1"/>
  <c r="X2080" i="1"/>
  <c r="Y2080" i="1"/>
  <c r="Z2080" i="1"/>
  <c r="AB2080" i="1"/>
  <c r="AF2080" i="1"/>
  <c r="AI2080" i="1"/>
  <c r="AE2081" i="1"/>
  <c r="AC2081" i="1"/>
  <c r="AJ2080" i="1"/>
  <c r="AK2080" i="1"/>
  <c r="AM2080" i="1"/>
  <c r="BF2080" i="1"/>
  <c r="BG2080" i="1"/>
  <c r="T2081" i="1"/>
  <c r="U2081" i="1"/>
  <c r="V2081" i="1"/>
  <c r="W2081" i="1"/>
  <c r="X2081" i="1"/>
  <c r="Y2081" i="1"/>
  <c r="Z2081" i="1"/>
  <c r="AB2081" i="1"/>
  <c r="AF2081" i="1"/>
  <c r="AI2081" i="1"/>
  <c r="H2082" i="1"/>
  <c r="AE2082" i="1"/>
  <c r="I2082" i="1"/>
  <c r="J2082" i="1"/>
  <c r="K2082" i="1"/>
  <c r="AC2082" i="1"/>
  <c r="AJ2081" i="1"/>
  <c r="AK2081" i="1"/>
  <c r="AM2081" i="1"/>
  <c r="BG2081" i="1"/>
  <c r="T2082" i="1"/>
  <c r="U2082" i="1"/>
  <c r="V2082" i="1"/>
  <c r="W2082" i="1"/>
  <c r="X2082" i="1"/>
  <c r="Y2082" i="1"/>
  <c r="Z2082" i="1"/>
  <c r="AB2082" i="1"/>
  <c r="AF2082" i="1"/>
  <c r="AI2082" i="1"/>
  <c r="AE2083" i="1"/>
  <c r="AC2083" i="1"/>
  <c r="AJ2082" i="1"/>
  <c r="AK2082" i="1"/>
  <c r="AM2082" i="1"/>
  <c r="BF2082" i="1"/>
  <c r="BG2082" i="1"/>
  <c r="T2083" i="1"/>
  <c r="U2083" i="1"/>
  <c r="V2083" i="1"/>
  <c r="W2083" i="1"/>
  <c r="X2083" i="1"/>
  <c r="Y2083" i="1"/>
  <c r="Z2083" i="1"/>
  <c r="AB2083" i="1"/>
  <c r="AF2083" i="1"/>
  <c r="AI2083" i="1"/>
  <c r="AE2084" i="1"/>
  <c r="AC2084" i="1"/>
  <c r="AJ2083" i="1"/>
  <c r="AK2083" i="1"/>
  <c r="AM2083" i="1"/>
  <c r="BF2083" i="1"/>
  <c r="BG2083" i="1"/>
  <c r="T2084" i="1"/>
  <c r="U2084" i="1"/>
  <c r="V2084" i="1"/>
  <c r="W2084" i="1"/>
  <c r="X2084" i="1"/>
  <c r="Y2084" i="1"/>
  <c r="Z2084" i="1"/>
  <c r="AB2084" i="1"/>
  <c r="AF2084" i="1"/>
  <c r="AI2084" i="1"/>
  <c r="H2085" i="1"/>
  <c r="AE2085" i="1"/>
  <c r="I2085" i="1"/>
  <c r="J2085" i="1"/>
  <c r="K2085" i="1"/>
  <c r="AC2085" i="1"/>
  <c r="AJ2084" i="1"/>
  <c r="AK2084" i="1"/>
  <c r="AM2084" i="1"/>
  <c r="BG2084" i="1"/>
  <c r="T2085" i="1"/>
  <c r="U2085" i="1"/>
  <c r="V2085" i="1"/>
  <c r="W2085" i="1"/>
  <c r="X2085" i="1"/>
  <c r="Y2085" i="1"/>
  <c r="Z2085" i="1"/>
  <c r="AB2085" i="1"/>
  <c r="AF2085" i="1"/>
  <c r="AI2085" i="1"/>
  <c r="AE2086" i="1"/>
  <c r="AC2086" i="1"/>
  <c r="AJ2085" i="1"/>
  <c r="AK2085" i="1"/>
  <c r="AM2085" i="1"/>
  <c r="BF2085" i="1"/>
  <c r="BG2085" i="1"/>
  <c r="T2086" i="1"/>
  <c r="U2086" i="1"/>
  <c r="V2086" i="1"/>
  <c r="W2086" i="1"/>
  <c r="X2086" i="1"/>
  <c r="Y2086" i="1"/>
  <c r="Z2086" i="1"/>
  <c r="AB2086" i="1"/>
  <c r="AF2086" i="1"/>
  <c r="AI2086" i="1"/>
  <c r="AE2087" i="1"/>
  <c r="AC2087" i="1"/>
  <c r="AJ2086" i="1"/>
  <c r="AK2086" i="1"/>
  <c r="AM2086" i="1"/>
  <c r="BF2086" i="1"/>
  <c r="BG2086" i="1"/>
  <c r="T2087" i="1"/>
  <c r="U2087" i="1"/>
  <c r="V2087" i="1"/>
  <c r="W2087" i="1"/>
  <c r="X2087" i="1"/>
  <c r="Y2087" i="1"/>
  <c r="Z2087" i="1"/>
  <c r="AB2087" i="1"/>
  <c r="AF2087" i="1"/>
  <c r="AI2087" i="1"/>
  <c r="H2088" i="1"/>
  <c r="AE2088" i="1"/>
  <c r="I2088" i="1"/>
  <c r="J2088" i="1"/>
  <c r="K2088" i="1"/>
  <c r="AC2088" i="1"/>
  <c r="AJ2087" i="1"/>
  <c r="AK2087" i="1"/>
  <c r="AM2087" i="1"/>
  <c r="BG2087" i="1"/>
  <c r="T2088" i="1"/>
  <c r="U2088" i="1"/>
  <c r="V2088" i="1"/>
  <c r="W2088" i="1"/>
  <c r="X2088" i="1"/>
  <c r="Y2088" i="1"/>
  <c r="Z2088" i="1"/>
  <c r="AB2088" i="1"/>
  <c r="AF2088" i="1"/>
  <c r="AI2088" i="1"/>
  <c r="AE2089" i="1"/>
  <c r="AC2089" i="1"/>
  <c r="AJ2088" i="1"/>
  <c r="AK2088" i="1"/>
  <c r="AM2088" i="1"/>
  <c r="BF2088" i="1"/>
  <c r="BG2088" i="1"/>
  <c r="T2089" i="1"/>
  <c r="U2089" i="1"/>
  <c r="V2089" i="1"/>
  <c r="W2089" i="1"/>
  <c r="X2089" i="1"/>
  <c r="Y2089" i="1"/>
  <c r="Z2089" i="1"/>
  <c r="AB2089" i="1"/>
  <c r="AF2089" i="1"/>
  <c r="AI2089" i="1"/>
  <c r="AE2090" i="1"/>
  <c r="AC2090" i="1"/>
  <c r="AJ2089" i="1"/>
  <c r="AK2089" i="1"/>
  <c r="AM2089" i="1"/>
  <c r="BF2089" i="1"/>
  <c r="BG2089" i="1"/>
  <c r="T2090" i="1"/>
  <c r="U2090" i="1"/>
  <c r="V2090" i="1"/>
  <c r="W2090" i="1"/>
  <c r="X2090" i="1"/>
  <c r="Y2090" i="1"/>
  <c r="Z2090" i="1"/>
  <c r="AB2090" i="1"/>
  <c r="AF2090" i="1"/>
  <c r="AI2090" i="1"/>
  <c r="H2091" i="1"/>
  <c r="AE2091" i="1"/>
  <c r="I2091" i="1"/>
  <c r="J2091" i="1"/>
  <c r="K2091" i="1"/>
  <c r="AC2091" i="1"/>
  <c r="AJ2090" i="1"/>
  <c r="AK2090" i="1"/>
  <c r="AM2090" i="1"/>
  <c r="BG2090" i="1"/>
  <c r="T2091" i="1"/>
  <c r="U2091" i="1"/>
  <c r="V2091" i="1"/>
  <c r="W2091" i="1"/>
  <c r="X2091" i="1"/>
  <c r="Y2091" i="1"/>
  <c r="Z2091" i="1"/>
  <c r="AB2091" i="1"/>
  <c r="AF2091" i="1"/>
  <c r="AI2091" i="1"/>
  <c r="H2092" i="1"/>
  <c r="AE2092" i="1"/>
  <c r="I2092" i="1"/>
  <c r="J2092" i="1"/>
  <c r="K2092" i="1"/>
  <c r="AC2092" i="1"/>
  <c r="AJ2091" i="1"/>
  <c r="AK2091" i="1"/>
  <c r="AM2091" i="1"/>
  <c r="BF2091" i="1"/>
  <c r="BG2091" i="1"/>
  <c r="T2092" i="1"/>
  <c r="U2092" i="1"/>
  <c r="V2092" i="1"/>
  <c r="W2092" i="1"/>
  <c r="X2092" i="1"/>
  <c r="Y2092" i="1"/>
  <c r="Z2092" i="1"/>
  <c r="AB2092" i="1"/>
  <c r="AF2092" i="1"/>
  <c r="AI2092" i="1"/>
  <c r="AE2093" i="1"/>
  <c r="AC2093" i="1"/>
  <c r="AJ2092" i="1"/>
  <c r="AK2092" i="1"/>
  <c r="AM2092" i="1"/>
  <c r="BF2092" i="1"/>
  <c r="BG2092" i="1"/>
  <c r="T2093" i="1"/>
  <c r="U2093" i="1"/>
  <c r="V2093" i="1"/>
  <c r="W2093" i="1"/>
  <c r="X2093" i="1"/>
  <c r="Y2093" i="1"/>
  <c r="Z2093" i="1"/>
  <c r="AB2093" i="1"/>
  <c r="AF2093" i="1"/>
  <c r="AI2093" i="1"/>
  <c r="AE2094" i="1"/>
  <c r="AC2094" i="1"/>
  <c r="AJ2093" i="1"/>
  <c r="AK2093" i="1"/>
  <c r="AM2093" i="1"/>
  <c r="BF2093" i="1"/>
  <c r="BG2093" i="1"/>
  <c r="T2094" i="1"/>
  <c r="U2094" i="1"/>
  <c r="V2094" i="1"/>
  <c r="W2094" i="1"/>
  <c r="X2094" i="1"/>
  <c r="Y2094" i="1"/>
  <c r="Z2094" i="1"/>
  <c r="AB2094" i="1"/>
  <c r="AF2094" i="1"/>
  <c r="AI2094" i="1"/>
  <c r="H2095" i="1"/>
  <c r="AE2095" i="1"/>
  <c r="I2095" i="1"/>
  <c r="J2095" i="1"/>
  <c r="K2095" i="1"/>
  <c r="AC2095" i="1"/>
  <c r="AJ2094" i="1"/>
  <c r="AK2094" i="1"/>
  <c r="AM2094" i="1"/>
  <c r="BG2094" i="1"/>
  <c r="T2095" i="1"/>
  <c r="U2095" i="1"/>
  <c r="V2095" i="1"/>
  <c r="W2095" i="1"/>
  <c r="X2095" i="1"/>
  <c r="Y2095" i="1"/>
  <c r="Z2095" i="1"/>
  <c r="AB2095" i="1"/>
  <c r="AF2095" i="1"/>
  <c r="AI2095" i="1"/>
  <c r="AE2096" i="1"/>
  <c r="AC2096" i="1"/>
  <c r="AJ2095" i="1"/>
  <c r="AK2095" i="1"/>
  <c r="AM2095" i="1"/>
  <c r="BF2095" i="1"/>
  <c r="BG2095" i="1"/>
  <c r="T2096" i="1"/>
  <c r="U2096" i="1"/>
  <c r="V2096" i="1"/>
  <c r="W2096" i="1"/>
  <c r="X2096" i="1"/>
  <c r="Y2096" i="1"/>
  <c r="Z2096" i="1"/>
  <c r="AB2096" i="1"/>
  <c r="AF2096" i="1"/>
  <c r="AI2096" i="1"/>
  <c r="AE2097" i="1"/>
  <c r="AC2097" i="1"/>
  <c r="AJ2096" i="1"/>
  <c r="AK2096" i="1"/>
  <c r="AM2096" i="1"/>
  <c r="BF2096" i="1"/>
  <c r="BG2096" i="1"/>
  <c r="T2097" i="1"/>
  <c r="U2097" i="1"/>
  <c r="V2097" i="1"/>
  <c r="W2097" i="1"/>
  <c r="X2097" i="1"/>
  <c r="Y2097" i="1"/>
  <c r="Z2097" i="1"/>
  <c r="AB2097" i="1"/>
  <c r="AF2097" i="1"/>
  <c r="AI2097" i="1"/>
  <c r="AE2098" i="1"/>
  <c r="AC2098" i="1"/>
  <c r="AJ2097" i="1"/>
  <c r="AK2097" i="1"/>
  <c r="AM2097" i="1"/>
  <c r="BF2097" i="1"/>
  <c r="BG2097" i="1"/>
  <c r="T2098" i="1"/>
  <c r="U2098" i="1"/>
  <c r="V2098" i="1"/>
  <c r="W2098" i="1"/>
  <c r="X2098" i="1"/>
  <c r="Y2098" i="1"/>
  <c r="Z2098" i="1"/>
  <c r="AB2098" i="1"/>
  <c r="AF2098" i="1"/>
  <c r="AI2098" i="1"/>
  <c r="H2099" i="1"/>
  <c r="AE2099" i="1"/>
  <c r="I2099" i="1"/>
  <c r="J2099" i="1"/>
  <c r="K2099" i="1"/>
  <c r="AC2099" i="1"/>
  <c r="AJ2098" i="1"/>
  <c r="AK2098" i="1"/>
  <c r="AM2098" i="1"/>
  <c r="BG2098" i="1"/>
  <c r="T2099" i="1"/>
  <c r="U2099" i="1"/>
  <c r="V2099" i="1"/>
  <c r="W2099" i="1"/>
  <c r="X2099" i="1"/>
  <c r="Y2099" i="1"/>
  <c r="Z2099" i="1"/>
  <c r="AB2099" i="1"/>
  <c r="AF2099" i="1"/>
  <c r="AI2099" i="1"/>
  <c r="AE2100" i="1"/>
  <c r="AC2100" i="1"/>
  <c r="AJ2099" i="1"/>
  <c r="AK2099" i="1"/>
  <c r="AM2099" i="1"/>
  <c r="BF2099" i="1"/>
  <c r="BG2099" i="1"/>
  <c r="T2100" i="1"/>
  <c r="U2100" i="1"/>
  <c r="V2100" i="1"/>
  <c r="W2100" i="1"/>
  <c r="X2100" i="1"/>
  <c r="Y2100" i="1"/>
  <c r="Z2100" i="1"/>
  <c r="AB2100" i="1"/>
  <c r="AF2100" i="1"/>
  <c r="AI2100" i="1"/>
  <c r="AE2101" i="1"/>
  <c r="AC2101" i="1"/>
  <c r="AJ2100" i="1"/>
  <c r="AK2100" i="1"/>
  <c r="AM2100" i="1"/>
  <c r="BF2100" i="1"/>
  <c r="BG2100" i="1"/>
  <c r="T2101" i="1"/>
  <c r="U2101" i="1"/>
  <c r="V2101" i="1"/>
  <c r="W2101" i="1"/>
  <c r="X2101" i="1"/>
  <c r="Y2101" i="1"/>
  <c r="Z2101" i="1"/>
  <c r="AB2101" i="1"/>
  <c r="AF2101" i="1"/>
  <c r="AI2101" i="1"/>
  <c r="H2102" i="1"/>
  <c r="AE2102" i="1"/>
  <c r="I2102" i="1"/>
  <c r="J2102" i="1"/>
  <c r="K2102" i="1"/>
  <c r="AC2102" i="1"/>
  <c r="AJ2101" i="1"/>
  <c r="AK2101" i="1"/>
  <c r="AM2101" i="1"/>
  <c r="BG2101" i="1"/>
  <c r="T2102" i="1"/>
  <c r="U2102" i="1"/>
  <c r="V2102" i="1"/>
  <c r="W2102" i="1"/>
  <c r="X2102" i="1"/>
  <c r="Y2102" i="1"/>
  <c r="Z2102" i="1"/>
  <c r="AB2102" i="1"/>
  <c r="AF2102" i="1"/>
  <c r="AI2102" i="1"/>
  <c r="AE2103" i="1"/>
  <c r="AC2103" i="1"/>
  <c r="AJ2102" i="1"/>
  <c r="AK2102" i="1"/>
  <c r="AM2102" i="1"/>
  <c r="BF2102" i="1"/>
  <c r="BG2102" i="1"/>
  <c r="T2103" i="1"/>
  <c r="U2103" i="1"/>
  <c r="V2103" i="1"/>
  <c r="W2103" i="1"/>
  <c r="X2103" i="1"/>
  <c r="Y2103" i="1"/>
  <c r="Z2103" i="1"/>
  <c r="AB2103" i="1"/>
  <c r="AF2103" i="1"/>
  <c r="AI2103" i="1"/>
  <c r="AE2104" i="1"/>
  <c r="AC2104" i="1"/>
  <c r="AJ2103" i="1"/>
  <c r="AK2103" i="1"/>
  <c r="AM2103" i="1"/>
  <c r="BF2103" i="1"/>
  <c r="BG2103" i="1"/>
  <c r="T2104" i="1"/>
  <c r="U2104" i="1"/>
  <c r="V2104" i="1"/>
  <c r="W2104" i="1"/>
  <c r="X2104" i="1"/>
  <c r="Y2104" i="1"/>
  <c r="Z2104" i="1"/>
  <c r="AB2104" i="1"/>
  <c r="AF2104" i="1"/>
  <c r="AI2104" i="1"/>
  <c r="AE2105" i="1"/>
  <c r="AC2105" i="1"/>
  <c r="AJ2104" i="1"/>
  <c r="AK2104" i="1"/>
  <c r="AM2104" i="1"/>
  <c r="BF2104" i="1"/>
  <c r="BG2104" i="1"/>
  <c r="T2105" i="1"/>
  <c r="U2105" i="1"/>
  <c r="V2105" i="1"/>
  <c r="W2105" i="1"/>
  <c r="X2105" i="1"/>
  <c r="Y2105" i="1"/>
  <c r="Z2105" i="1"/>
  <c r="AB2105" i="1"/>
  <c r="AF2105" i="1"/>
  <c r="AI2105" i="1"/>
  <c r="AE2106" i="1"/>
  <c r="AC2106" i="1"/>
  <c r="AJ2105" i="1"/>
  <c r="AK2105" i="1"/>
  <c r="AM2105" i="1"/>
  <c r="BF2105" i="1"/>
  <c r="BG2105" i="1"/>
  <c r="T2106" i="1"/>
  <c r="U2106" i="1"/>
  <c r="V2106" i="1"/>
  <c r="W2106" i="1"/>
  <c r="X2106" i="1"/>
  <c r="Y2106" i="1"/>
  <c r="Z2106" i="1"/>
  <c r="AB2106" i="1"/>
  <c r="AF2106" i="1"/>
  <c r="AI2106" i="1"/>
  <c r="H2107" i="1"/>
  <c r="AE2107" i="1"/>
  <c r="I2107" i="1"/>
  <c r="J2107" i="1"/>
  <c r="K2107" i="1"/>
  <c r="AC2107" i="1"/>
  <c r="AJ2106" i="1"/>
  <c r="AK2106" i="1"/>
  <c r="AM2106" i="1"/>
  <c r="BG2106" i="1"/>
  <c r="T2107" i="1"/>
  <c r="U2107" i="1"/>
  <c r="V2107" i="1"/>
  <c r="W2107" i="1"/>
  <c r="X2107" i="1"/>
  <c r="Y2107" i="1"/>
  <c r="Z2107" i="1"/>
  <c r="AB2107" i="1"/>
  <c r="AF2107" i="1"/>
  <c r="AI2107" i="1"/>
  <c r="H2108" i="1"/>
  <c r="AE2108" i="1"/>
  <c r="I2108" i="1"/>
  <c r="J2108" i="1"/>
  <c r="K2108" i="1"/>
  <c r="AC2108" i="1"/>
  <c r="AJ2107" i="1"/>
  <c r="AK2107" i="1"/>
  <c r="AM2107" i="1"/>
  <c r="BF2107" i="1"/>
  <c r="BG2107" i="1"/>
  <c r="T2108" i="1"/>
  <c r="U2108" i="1"/>
  <c r="V2108" i="1"/>
  <c r="W2108" i="1"/>
  <c r="X2108" i="1"/>
  <c r="Y2108" i="1"/>
  <c r="Z2108" i="1"/>
  <c r="AB2108" i="1"/>
  <c r="AF2108" i="1"/>
  <c r="AI2108" i="1"/>
  <c r="H2109" i="1"/>
  <c r="AE2109" i="1"/>
  <c r="I2109" i="1"/>
  <c r="J2109" i="1"/>
  <c r="K2109" i="1"/>
  <c r="AC2109" i="1"/>
  <c r="AJ2108" i="1"/>
  <c r="AK2108" i="1"/>
  <c r="AM2108" i="1"/>
  <c r="BF2108" i="1"/>
  <c r="BG2108" i="1"/>
  <c r="T2109" i="1"/>
  <c r="U2109" i="1"/>
  <c r="V2109" i="1"/>
  <c r="W2109" i="1"/>
  <c r="X2109" i="1"/>
  <c r="Y2109" i="1"/>
  <c r="Z2109" i="1"/>
  <c r="AB2109" i="1"/>
  <c r="AF2109" i="1"/>
  <c r="AI2109" i="1"/>
  <c r="AE2110" i="1"/>
  <c r="AC2110" i="1"/>
  <c r="AJ2109" i="1"/>
  <c r="AK2109" i="1"/>
  <c r="AM2109" i="1"/>
  <c r="BF2109" i="1"/>
  <c r="BG2109" i="1"/>
  <c r="T2110" i="1"/>
  <c r="U2110" i="1"/>
  <c r="V2110" i="1"/>
  <c r="W2110" i="1"/>
  <c r="X2110" i="1"/>
  <c r="Y2110" i="1"/>
  <c r="Z2110" i="1"/>
  <c r="AB2110" i="1"/>
  <c r="AF2110" i="1"/>
  <c r="AI2110" i="1"/>
  <c r="AE2111" i="1"/>
  <c r="AC2111" i="1"/>
  <c r="AJ2110" i="1"/>
  <c r="AK2110" i="1"/>
  <c r="AM2110" i="1"/>
  <c r="BF2110" i="1"/>
  <c r="BG2110" i="1"/>
  <c r="T2111" i="1"/>
  <c r="U2111" i="1"/>
  <c r="V2111" i="1"/>
  <c r="W2111" i="1"/>
  <c r="X2111" i="1"/>
  <c r="Y2111" i="1"/>
  <c r="Z2111" i="1"/>
  <c r="AB2111" i="1"/>
  <c r="AF2111" i="1"/>
  <c r="AI2111" i="1"/>
  <c r="H2112" i="1"/>
  <c r="AE2112" i="1"/>
  <c r="I2112" i="1"/>
  <c r="J2112" i="1"/>
  <c r="K2112" i="1"/>
  <c r="AC2112" i="1"/>
  <c r="AJ2111" i="1"/>
  <c r="AK2111" i="1"/>
  <c r="AM2111" i="1"/>
  <c r="BG2111" i="1"/>
  <c r="T2112" i="1"/>
  <c r="U2112" i="1"/>
  <c r="V2112" i="1"/>
  <c r="W2112" i="1"/>
  <c r="X2112" i="1"/>
  <c r="Y2112" i="1"/>
  <c r="Z2112" i="1"/>
  <c r="AB2112" i="1"/>
  <c r="AF2112" i="1"/>
  <c r="AI2112" i="1"/>
  <c r="H2113" i="1"/>
  <c r="AE2113" i="1"/>
  <c r="I2113" i="1"/>
  <c r="J2113" i="1"/>
  <c r="K2113" i="1"/>
  <c r="AC2113" i="1"/>
  <c r="AJ2112" i="1"/>
  <c r="AK2112" i="1"/>
  <c r="AM2112" i="1"/>
  <c r="BF2112" i="1"/>
  <c r="BG2112" i="1"/>
  <c r="T2113" i="1"/>
  <c r="U2113" i="1"/>
  <c r="V2113" i="1"/>
  <c r="W2113" i="1"/>
  <c r="X2113" i="1"/>
  <c r="Y2113" i="1"/>
  <c r="Z2113" i="1"/>
  <c r="AB2113" i="1"/>
  <c r="AF2113" i="1"/>
  <c r="AI2113" i="1"/>
  <c r="AE2114" i="1"/>
  <c r="AC2114" i="1"/>
  <c r="AJ2113" i="1"/>
  <c r="AK2113" i="1"/>
  <c r="AM2113" i="1"/>
  <c r="BF2113" i="1"/>
  <c r="BG2113" i="1"/>
  <c r="T2114" i="1"/>
  <c r="U2114" i="1"/>
  <c r="V2114" i="1"/>
  <c r="W2114" i="1"/>
  <c r="X2114" i="1"/>
  <c r="Y2114" i="1"/>
  <c r="Z2114" i="1"/>
  <c r="AB2114" i="1"/>
  <c r="AF2114" i="1"/>
  <c r="AI2114" i="1"/>
  <c r="AE2115" i="1"/>
  <c r="AC2115" i="1"/>
  <c r="AJ2114" i="1"/>
  <c r="AK2114" i="1"/>
  <c r="AM2114" i="1"/>
  <c r="BF2114" i="1"/>
  <c r="BG2114" i="1"/>
  <c r="T2115" i="1"/>
  <c r="U2115" i="1"/>
  <c r="V2115" i="1"/>
  <c r="W2115" i="1"/>
  <c r="X2115" i="1"/>
  <c r="Y2115" i="1"/>
  <c r="Z2115" i="1"/>
  <c r="AB2115" i="1"/>
  <c r="AF2115" i="1"/>
  <c r="AI2115" i="1"/>
  <c r="H2116" i="1"/>
  <c r="AE2116" i="1"/>
  <c r="I2116" i="1"/>
  <c r="J2116" i="1"/>
  <c r="K2116" i="1"/>
  <c r="AC2116" i="1"/>
  <c r="AJ2115" i="1"/>
  <c r="AK2115" i="1"/>
  <c r="AM2115" i="1"/>
  <c r="BG2115" i="1"/>
  <c r="T2116" i="1"/>
  <c r="U2116" i="1"/>
  <c r="V2116" i="1"/>
  <c r="W2116" i="1"/>
  <c r="X2116" i="1"/>
  <c r="Y2116" i="1"/>
  <c r="Z2116" i="1"/>
  <c r="AB2116" i="1"/>
  <c r="AF2116" i="1"/>
  <c r="AI2116" i="1"/>
  <c r="H2117" i="1"/>
  <c r="AE2117" i="1"/>
  <c r="I2117" i="1"/>
  <c r="J2117" i="1"/>
  <c r="K2117" i="1"/>
  <c r="AC2117" i="1"/>
  <c r="AJ2116" i="1"/>
  <c r="AK2116" i="1"/>
  <c r="AM2116" i="1"/>
  <c r="BF2116" i="1"/>
  <c r="BG2116" i="1"/>
  <c r="T2117" i="1"/>
  <c r="U2117" i="1"/>
  <c r="V2117" i="1"/>
  <c r="W2117" i="1"/>
  <c r="X2117" i="1"/>
  <c r="Y2117" i="1"/>
  <c r="Z2117" i="1"/>
  <c r="AB2117" i="1"/>
  <c r="AF2117" i="1"/>
  <c r="AI2117" i="1"/>
  <c r="H2118" i="1"/>
  <c r="AE2118" i="1"/>
  <c r="I2118" i="1"/>
  <c r="J2118" i="1"/>
  <c r="K2118" i="1"/>
  <c r="AC2118" i="1"/>
  <c r="AJ2117" i="1"/>
  <c r="AK2117" i="1"/>
  <c r="AM2117" i="1"/>
  <c r="BF2117" i="1"/>
  <c r="BG2117" i="1"/>
  <c r="T2118" i="1"/>
  <c r="U2118" i="1"/>
  <c r="V2118" i="1"/>
  <c r="W2118" i="1"/>
  <c r="X2118" i="1"/>
  <c r="Y2118" i="1"/>
  <c r="Z2118" i="1"/>
  <c r="AB2118" i="1"/>
  <c r="AF2118" i="1"/>
  <c r="AI2118" i="1"/>
  <c r="AE2119" i="1"/>
  <c r="AC2119" i="1"/>
  <c r="AJ2118" i="1"/>
  <c r="AK2118" i="1"/>
  <c r="AM2118" i="1"/>
  <c r="BF2118" i="1"/>
  <c r="BG2118" i="1"/>
  <c r="T2119" i="1"/>
  <c r="U2119" i="1"/>
  <c r="V2119" i="1"/>
  <c r="W2119" i="1"/>
  <c r="X2119" i="1"/>
  <c r="Y2119" i="1"/>
  <c r="Z2119" i="1"/>
  <c r="AB2119" i="1"/>
  <c r="AF2119" i="1"/>
  <c r="AI2119" i="1"/>
  <c r="AE2120" i="1"/>
  <c r="AC2120" i="1"/>
  <c r="AJ2119" i="1"/>
  <c r="AK2119" i="1"/>
  <c r="AM2119" i="1"/>
  <c r="BF2119" i="1"/>
  <c r="BG2119" i="1"/>
  <c r="T2120" i="1"/>
  <c r="U2120" i="1"/>
  <c r="V2120" i="1"/>
  <c r="W2120" i="1"/>
  <c r="X2120" i="1"/>
  <c r="Y2120" i="1"/>
  <c r="Z2120" i="1"/>
  <c r="AB2120" i="1"/>
  <c r="AF2120" i="1"/>
  <c r="AI2120" i="1"/>
  <c r="H2121" i="1"/>
  <c r="AE2121" i="1"/>
  <c r="I2121" i="1"/>
  <c r="J2121" i="1"/>
  <c r="K2121" i="1"/>
  <c r="AC2121" i="1"/>
  <c r="AJ2120" i="1"/>
  <c r="AK2120" i="1"/>
  <c r="AM2120" i="1"/>
  <c r="BG2120" i="1"/>
  <c r="T2121" i="1"/>
  <c r="U2121" i="1"/>
  <c r="V2121" i="1"/>
  <c r="W2121" i="1"/>
  <c r="X2121" i="1"/>
  <c r="Y2121" i="1"/>
  <c r="Z2121" i="1"/>
  <c r="AB2121" i="1"/>
  <c r="AF2121" i="1"/>
  <c r="AI2121" i="1"/>
  <c r="H2122" i="1"/>
  <c r="AE2122" i="1"/>
  <c r="I2122" i="1"/>
  <c r="J2122" i="1"/>
  <c r="K2122" i="1"/>
  <c r="AC2122" i="1"/>
  <c r="AJ2121" i="1"/>
  <c r="AK2121" i="1"/>
  <c r="AM2121" i="1"/>
  <c r="BF2121" i="1"/>
  <c r="BG2121" i="1"/>
  <c r="T2122" i="1"/>
  <c r="U2122" i="1"/>
  <c r="V2122" i="1"/>
  <c r="W2122" i="1"/>
  <c r="X2122" i="1"/>
  <c r="Y2122" i="1"/>
  <c r="Z2122" i="1"/>
  <c r="AB2122" i="1"/>
  <c r="AF2122" i="1"/>
  <c r="AI2122" i="1"/>
  <c r="H2123" i="1"/>
  <c r="AE2123" i="1"/>
  <c r="I2123" i="1"/>
  <c r="J2123" i="1"/>
  <c r="K2123" i="1"/>
  <c r="AC2123" i="1"/>
  <c r="AJ2122" i="1"/>
  <c r="AK2122" i="1"/>
  <c r="AM2122" i="1"/>
  <c r="BF2122" i="1"/>
  <c r="BG2122" i="1"/>
  <c r="T2123" i="1"/>
  <c r="U2123" i="1"/>
  <c r="V2123" i="1"/>
  <c r="W2123" i="1"/>
  <c r="X2123" i="1"/>
  <c r="Y2123" i="1"/>
  <c r="Z2123" i="1"/>
  <c r="AB2123" i="1"/>
  <c r="AF2123" i="1"/>
  <c r="AI2123" i="1"/>
  <c r="AE2124" i="1"/>
  <c r="AC2124" i="1"/>
  <c r="AJ2123" i="1"/>
  <c r="AK2123" i="1"/>
  <c r="AM2123" i="1"/>
  <c r="BF2123" i="1"/>
  <c r="BG2123" i="1"/>
  <c r="T2124" i="1"/>
  <c r="U2124" i="1"/>
  <c r="V2124" i="1"/>
  <c r="W2124" i="1"/>
  <c r="X2124" i="1"/>
  <c r="Y2124" i="1"/>
  <c r="Z2124" i="1"/>
  <c r="AB2124" i="1"/>
  <c r="AF2124" i="1"/>
  <c r="AI2124" i="1"/>
  <c r="AE2125" i="1"/>
  <c r="AC2125" i="1"/>
  <c r="AJ2124" i="1"/>
  <c r="AK2124" i="1"/>
  <c r="AM2124" i="1"/>
  <c r="BF2124" i="1"/>
  <c r="BG2124" i="1"/>
  <c r="T2125" i="1"/>
  <c r="U2125" i="1"/>
  <c r="V2125" i="1"/>
  <c r="W2125" i="1"/>
  <c r="X2125" i="1"/>
  <c r="Y2125" i="1"/>
  <c r="Z2125" i="1"/>
  <c r="AB2125" i="1"/>
  <c r="AF2125" i="1"/>
  <c r="AI2125" i="1"/>
  <c r="H2126" i="1"/>
  <c r="AE2126" i="1"/>
  <c r="I2126" i="1"/>
  <c r="J2126" i="1"/>
  <c r="K2126" i="1"/>
  <c r="AC2126" i="1"/>
  <c r="AJ2125" i="1"/>
  <c r="AK2125" i="1"/>
  <c r="AM2125" i="1"/>
  <c r="BG2125" i="1"/>
  <c r="T2126" i="1"/>
  <c r="U2126" i="1"/>
  <c r="V2126" i="1"/>
  <c r="W2126" i="1"/>
  <c r="X2126" i="1"/>
  <c r="Y2126" i="1"/>
  <c r="Z2126" i="1"/>
  <c r="AB2126" i="1"/>
  <c r="AF2126" i="1"/>
  <c r="AI2126" i="1"/>
  <c r="H2127" i="1"/>
  <c r="AE2127" i="1"/>
  <c r="I2127" i="1"/>
  <c r="J2127" i="1"/>
  <c r="K2127" i="1"/>
  <c r="AC2127" i="1"/>
  <c r="AJ2126" i="1"/>
  <c r="AK2126" i="1"/>
  <c r="AM2126" i="1"/>
  <c r="BF2126" i="1"/>
  <c r="BG2126" i="1"/>
  <c r="T2127" i="1"/>
  <c r="U2127" i="1"/>
  <c r="V2127" i="1"/>
  <c r="W2127" i="1"/>
  <c r="X2127" i="1"/>
  <c r="Y2127" i="1"/>
  <c r="Z2127" i="1"/>
  <c r="AB2127" i="1"/>
  <c r="AF2127" i="1"/>
  <c r="AI2127" i="1"/>
  <c r="H2128" i="1"/>
  <c r="AE2128" i="1"/>
  <c r="I2128" i="1"/>
  <c r="J2128" i="1"/>
  <c r="K2128" i="1"/>
  <c r="AC2128" i="1"/>
  <c r="AJ2127" i="1"/>
  <c r="AK2127" i="1"/>
  <c r="AM2127" i="1"/>
  <c r="BF2127" i="1"/>
  <c r="BG2127" i="1"/>
  <c r="T2128" i="1"/>
  <c r="U2128" i="1"/>
  <c r="V2128" i="1"/>
  <c r="W2128" i="1"/>
  <c r="X2128" i="1"/>
  <c r="Y2128" i="1"/>
  <c r="Z2128" i="1"/>
  <c r="AB2128" i="1"/>
  <c r="AF2128" i="1"/>
  <c r="AI2128" i="1"/>
  <c r="H2129" i="1"/>
  <c r="AE2129" i="1"/>
  <c r="I2129" i="1"/>
  <c r="J2129" i="1"/>
  <c r="K2129" i="1"/>
  <c r="AC2129" i="1"/>
  <c r="AJ2128" i="1"/>
  <c r="AK2128" i="1"/>
  <c r="AM2128" i="1"/>
  <c r="BF2128" i="1"/>
  <c r="BG2128" i="1"/>
  <c r="T2129" i="1"/>
  <c r="U2129" i="1"/>
  <c r="V2129" i="1"/>
  <c r="W2129" i="1"/>
  <c r="X2129" i="1"/>
  <c r="Y2129" i="1"/>
  <c r="Z2129" i="1"/>
  <c r="AB2129" i="1"/>
  <c r="AF2129" i="1"/>
  <c r="AI2129" i="1"/>
  <c r="H2130" i="1"/>
  <c r="AE2130" i="1"/>
  <c r="I2130" i="1"/>
  <c r="J2130" i="1"/>
  <c r="K2130" i="1"/>
  <c r="AC2130" i="1"/>
  <c r="AJ2129" i="1"/>
  <c r="AK2129" i="1"/>
  <c r="AM2129" i="1"/>
  <c r="BF2129" i="1"/>
  <c r="BG2129" i="1"/>
  <c r="T2130" i="1"/>
  <c r="U2130" i="1"/>
  <c r="V2130" i="1"/>
  <c r="W2130" i="1"/>
  <c r="X2130" i="1"/>
  <c r="Y2130" i="1"/>
  <c r="Z2130" i="1"/>
  <c r="AB2130" i="1"/>
  <c r="AF2130" i="1"/>
  <c r="AI2130" i="1"/>
  <c r="H2131" i="1"/>
  <c r="AE2131" i="1"/>
  <c r="I2131" i="1"/>
  <c r="J2131" i="1"/>
  <c r="K2131" i="1"/>
  <c r="AC2131" i="1"/>
  <c r="AJ2130" i="1"/>
  <c r="AK2130" i="1"/>
  <c r="AM2130" i="1"/>
  <c r="BF2130" i="1"/>
  <c r="BG2130" i="1"/>
  <c r="T2131" i="1"/>
  <c r="U2131" i="1"/>
  <c r="V2131" i="1"/>
  <c r="W2131" i="1"/>
  <c r="X2131" i="1"/>
  <c r="Y2131" i="1"/>
  <c r="Z2131" i="1"/>
  <c r="AB2131" i="1"/>
  <c r="AF2131" i="1"/>
  <c r="AI2131" i="1"/>
  <c r="H2132" i="1"/>
  <c r="AE2132" i="1"/>
  <c r="I2132" i="1"/>
  <c r="J2132" i="1"/>
  <c r="K2132" i="1"/>
  <c r="AC2132" i="1"/>
  <c r="AJ2131" i="1"/>
  <c r="AK2131" i="1"/>
  <c r="AM2131" i="1"/>
  <c r="BF2131" i="1"/>
  <c r="BG2131" i="1"/>
  <c r="T2132" i="1"/>
  <c r="U2132" i="1"/>
  <c r="V2132" i="1"/>
  <c r="W2132" i="1"/>
  <c r="X2132" i="1"/>
  <c r="Y2132" i="1"/>
  <c r="Z2132" i="1"/>
  <c r="AB2132" i="1"/>
  <c r="AF2132" i="1"/>
  <c r="AI2132" i="1"/>
  <c r="AE2133" i="1"/>
  <c r="AC2133" i="1"/>
  <c r="AJ2132" i="1"/>
  <c r="AK2132" i="1"/>
  <c r="AM2132" i="1"/>
  <c r="BF2132" i="1"/>
  <c r="BG2132" i="1"/>
  <c r="T2133" i="1"/>
  <c r="U2133" i="1"/>
  <c r="V2133" i="1"/>
  <c r="W2133" i="1"/>
  <c r="X2133" i="1"/>
  <c r="Y2133" i="1"/>
  <c r="Z2133" i="1"/>
  <c r="AB2133" i="1"/>
  <c r="AF2133" i="1"/>
  <c r="AI2133" i="1"/>
  <c r="AE2134" i="1"/>
  <c r="AC2134" i="1"/>
  <c r="AJ2133" i="1"/>
  <c r="AK2133" i="1"/>
  <c r="AM2133" i="1"/>
  <c r="BF2133" i="1"/>
  <c r="BG2133" i="1"/>
  <c r="T2134" i="1"/>
  <c r="U2134" i="1"/>
  <c r="V2134" i="1"/>
  <c r="W2134" i="1"/>
  <c r="X2134" i="1"/>
  <c r="Y2134" i="1"/>
  <c r="Z2134" i="1"/>
  <c r="AB2134" i="1"/>
  <c r="AF2134" i="1"/>
  <c r="AI2134" i="1"/>
  <c r="H2135" i="1"/>
  <c r="AE2135" i="1"/>
  <c r="I2135" i="1"/>
  <c r="J2135" i="1"/>
  <c r="K2135" i="1"/>
  <c r="AC2135" i="1"/>
  <c r="AJ2134" i="1"/>
  <c r="AK2134" i="1"/>
  <c r="AM2134" i="1"/>
  <c r="BG2134" i="1"/>
  <c r="T2135" i="1"/>
  <c r="U2135" i="1"/>
  <c r="V2135" i="1"/>
  <c r="W2135" i="1"/>
  <c r="X2135" i="1"/>
  <c r="Y2135" i="1"/>
  <c r="Z2135" i="1"/>
  <c r="AB2135" i="1"/>
  <c r="AF2135" i="1"/>
  <c r="AI2135" i="1"/>
  <c r="H2136" i="1"/>
  <c r="AE2136" i="1"/>
  <c r="I2136" i="1"/>
  <c r="J2136" i="1"/>
  <c r="K2136" i="1"/>
  <c r="AC2136" i="1"/>
  <c r="AJ2135" i="1"/>
  <c r="AK2135" i="1"/>
  <c r="AM2135" i="1"/>
  <c r="BF2135" i="1"/>
  <c r="BG2135" i="1"/>
  <c r="T2136" i="1"/>
  <c r="U2136" i="1"/>
  <c r="V2136" i="1"/>
  <c r="W2136" i="1"/>
  <c r="X2136" i="1"/>
  <c r="Y2136" i="1"/>
  <c r="Z2136" i="1"/>
  <c r="AB2136" i="1"/>
  <c r="AF2136" i="1"/>
  <c r="AI2136" i="1"/>
  <c r="H2137" i="1"/>
  <c r="AE2137" i="1"/>
  <c r="I2137" i="1"/>
  <c r="J2137" i="1"/>
  <c r="K2137" i="1"/>
  <c r="AC2137" i="1"/>
  <c r="AJ2136" i="1"/>
  <c r="AK2136" i="1"/>
  <c r="AM2136" i="1"/>
  <c r="BF2136" i="1"/>
  <c r="BG2136" i="1"/>
  <c r="T2137" i="1"/>
  <c r="U2137" i="1"/>
  <c r="V2137" i="1"/>
  <c r="W2137" i="1"/>
  <c r="X2137" i="1"/>
  <c r="Y2137" i="1"/>
  <c r="Z2137" i="1"/>
  <c r="AB2137" i="1"/>
  <c r="AF2137" i="1"/>
  <c r="AI2137" i="1"/>
  <c r="H2138" i="1"/>
  <c r="AE2138" i="1"/>
  <c r="I2138" i="1"/>
  <c r="J2138" i="1"/>
  <c r="K2138" i="1"/>
  <c r="AC2138" i="1"/>
  <c r="AJ2137" i="1"/>
  <c r="AK2137" i="1"/>
  <c r="AM2137" i="1"/>
  <c r="BF2137" i="1"/>
  <c r="BG2137" i="1"/>
  <c r="T2138" i="1"/>
  <c r="U2138" i="1"/>
  <c r="V2138" i="1"/>
  <c r="W2138" i="1"/>
  <c r="X2138" i="1"/>
  <c r="Y2138" i="1"/>
  <c r="Z2138" i="1"/>
  <c r="AB2138" i="1"/>
  <c r="AF2138" i="1"/>
  <c r="AI2138" i="1"/>
  <c r="H2139" i="1"/>
  <c r="AE2139" i="1"/>
  <c r="I2139" i="1"/>
  <c r="J2139" i="1"/>
  <c r="K2139" i="1"/>
  <c r="AC2139" i="1"/>
  <c r="AJ2138" i="1"/>
  <c r="AK2138" i="1"/>
  <c r="AM2138" i="1"/>
  <c r="BF2138" i="1"/>
  <c r="BG2138" i="1"/>
  <c r="T2139" i="1"/>
  <c r="U2139" i="1"/>
  <c r="V2139" i="1"/>
  <c r="W2139" i="1"/>
  <c r="X2139" i="1"/>
  <c r="Y2139" i="1"/>
  <c r="Z2139" i="1"/>
  <c r="AB2139" i="1"/>
  <c r="AF2139" i="1"/>
  <c r="AI2139" i="1"/>
  <c r="H2140" i="1"/>
  <c r="AE2140" i="1"/>
  <c r="I2140" i="1"/>
  <c r="J2140" i="1"/>
  <c r="K2140" i="1"/>
  <c r="AC2140" i="1"/>
  <c r="AJ2139" i="1"/>
  <c r="AK2139" i="1"/>
  <c r="AM2139" i="1"/>
  <c r="BF2139" i="1"/>
  <c r="BG2139" i="1"/>
  <c r="T2140" i="1"/>
  <c r="U2140" i="1"/>
  <c r="V2140" i="1"/>
  <c r="W2140" i="1"/>
  <c r="X2140" i="1"/>
  <c r="Y2140" i="1"/>
  <c r="Z2140" i="1"/>
  <c r="AB2140" i="1"/>
  <c r="AF2140" i="1"/>
  <c r="AI2140" i="1"/>
  <c r="AE2141" i="1"/>
  <c r="AC2141" i="1"/>
  <c r="AJ2140" i="1"/>
  <c r="AK2140" i="1"/>
  <c r="AM2140" i="1"/>
  <c r="BF2140" i="1"/>
  <c r="BG2140" i="1"/>
  <c r="T2141" i="1"/>
  <c r="U2141" i="1"/>
  <c r="V2141" i="1"/>
  <c r="W2141" i="1"/>
  <c r="X2141" i="1"/>
  <c r="Y2141" i="1"/>
  <c r="Z2141" i="1"/>
  <c r="AB2141" i="1"/>
  <c r="AF2141" i="1"/>
  <c r="AI2141" i="1"/>
  <c r="AE2142" i="1"/>
  <c r="AC2142" i="1"/>
  <c r="AJ2141" i="1"/>
  <c r="AK2141" i="1"/>
  <c r="AM2141" i="1"/>
  <c r="BF2141" i="1"/>
  <c r="BG2141" i="1"/>
  <c r="T2142" i="1"/>
  <c r="U2142" i="1"/>
  <c r="V2142" i="1"/>
  <c r="W2142" i="1"/>
  <c r="X2142" i="1"/>
  <c r="Y2142" i="1"/>
  <c r="Z2142" i="1"/>
  <c r="AB2142" i="1"/>
  <c r="AF2142" i="1"/>
  <c r="AI2142" i="1"/>
  <c r="H2143" i="1"/>
  <c r="AE2143" i="1"/>
  <c r="I2143" i="1"/>
  <c r="J2143" i="1"/>
  <c r="K2143" i="1"/>
  <c r="AC2143" i="1"/>
  <c r="AJ2142" i="1"/>
  <c r="AK2142" i="1"/>
  <c r="AM2142" i="1"/>
  <c r="BG2142" i="1"/>
  <c r="T2143" i="1"/>
  <c r="U2143" i="1"/>
  <c r="V2143" i="1"/>
  <c r="W2143" i="1"/>
  <c r="X2143" i="1"/>
  <c r="Y2143" i="1"/>
  <c r="Z2143" i="1"/>
  <c r="AB2143" i="1"/>
  <c r="AF2143" i="1"/>
  <c r="AI2143" i="1"/>
  <c r="H2144" i="1"/>
  <c r="AE2144" i="1"/>
  <c r="I2144" i="1"/>
  <c r="J2144" i="1"/>
  <c r="K2144" i="1"/>
  <c r="AC2144" i="1"/>
  <c r="AJ2143" i="1"/>
  <c r="AK2143" i="1"/>
  <c r="AM2143" i="1"/>
  <c r="BF2143" i="1"/>
  <c r="BG2143" i="1"/>
  <c r="T2144" i="1"/>
  <c r="U2144" i="1"/>
  <c r="V2144" i="1"/>
  <c r="W2144" i="1"/>
  <c r="X2144" i="1"/>
  <c r="Y2144" i="1"/>
  <c r="Z2144" i="1"/>
  <c r="AB2144" i="1"/>
  <c r="AF2144" i="1"/>
  <c r="AI2144" i="1"/>
  <c r="H2145" i="1"/>
  <c r="AE2145" i="1"/>
  <c r="I2145" i="1"/>
  <c r="J2145" i="1"/>
  <c r="K2145" i="1"/>
  <c r="AC2145" i="1"/>
  <c r="AJ2144" i="1"/>
  <c r="AK2144" i="1"/>
  <c r="AM2144" i="1"/>
  <c r="BF2144" i="1"/>
  <c r="BG2144" i="1"/>
  <c r="T2145" i="1"/>
  <c r="U2145" i="1"/>
  <c r="V2145" i="1"/>
  <c r="W2145" i="1"/>
  <c r="X2145" i="1"/>
  <c r="Y2145" i="1"/>
  <c r="Z2145" i="1"/>
  <c r="AB2145" i="1"/>
  <c r="AF2145" i="1"/>
  <c r="AI2145" i="1"/>
  <c r="H2146" i="1"/>
  <c r="AE2146" i="1"/>
  <c r="I2146" i="1"/>
  <c r="J2146" i="1"/>
  <c r="K2146" i="1"/>
  <c r="AC2146" i="1"/>
  <c r="AJ2145" i="1"/>
  <c r="AK2145" i="1"/>
  <c r="AM2145" i="1"/>
  <c r="BF2145" i="1"/>
  <c r="BG2145" i="1"/>
  <c r="T2146" i="1"/>
  <c r="U2146" i="1"/>
  <c r="V2146" i="1"/>
  <c r="W2146" i="1"/>
  <c r="X2146" i="1"/>
  <c r="Y2146" i="1"/>
  <c r="Z2146" i="1"/>
  <c r="AB2146" i="1"/>
  <c r="AF2146" i="1"/>
  <c r="AI2146" i="1"/>
  <c r="H2147" i="1"/>
  <c r="AE2147" i="1"/>
  <c r="I2147" i="1"/>
  <c r="J2147" i="1"/>
  <c r="K2147" i="1"/>
  <c r="AC2147" i="1"/>
  <c r="AJ2146" i="1"/>
  <c r="AK2146" i="1"/>
  <c r="AM2146" i="1"/>
  <c r="BF2146" i="1"/>
  <c r="BG2146" i="1"/>
  <c r="T2147" i="1"/>
  <c r="U2147" i="1"/>
  <c r="V2147" i="1"/>
  <c r="W2147" i="1"/>
  <c r="X2147" i="1"/>
  <c r="Y2147" i="1"/>
  <c r="Z2147" i="1"/>
  <c r="AB2147" i="1"/>
  <c r="AF2147" i="1"/>
  <c r="AI2147" i="1"/>
  <c r="H2148" i="1"/>
  <c r="AE2148" i="1"/>
  <c r="I2148" i="1"/>
  <c r="J2148" i="1"/>
  <c r="K2148" i="1"/>
  <c r="AC2148" i="1"/>
  <c r="AJ2147" i="1"/>
  <c r="AK2147" i="1"/>
  <c r="AM2147" i="1"/>
  <c r="BF2147" i="1"/>
  <c r="BG2147" i="1"/>
  <c r="T2148" i="1"/>
  <c r="U2148" i="1"/>
  <c r="V2148" i="1"/>
  <c r="W2148" i="1"/>
  <c r="X2148" i="1"/>
  <c r="Y2148" i="1"/>
  <c r="Z2148" i="1"/>
  <c r="AB2148" i="1"/>
  <c r="AF2148" i="1"/>
  <c r="AI2148" i="1"/>
  <c r="H2149" i="1"/>
  <c r="AE2149" i="1"/>
  <c r="I2149" i="1"/>
  <c r="J2149" i="1"/>
  <c r="K2149" i="1"/>
  <c r="AC2149" i="1"/>
  <c r="AJ2148" i="1"/>
  <c r="AK2148" i="1"/>
  <c r="AM2148" i="1"/>
  <c r="BF2148" i="1"/>
  <c r="BG2148" i="1"/>
  <c r="T2149" i="1"/>
  <c r="U2149" i="1"/>
  <c r="V2149" i="1"/>
  <c r="W2149" i="1"/>
  <c r="X2149" i="1"/>
  <c r="Y2149" i="1"/>
  <c r="Z2149" i="1"/>
  <c r="AB2149" i="1"/>
  <c r="AF2149" i="1"/>
  <c r="AI2149" i="1"/>
  <c r="H2150" i="1"/>
  <c r="AE2150" i="1"/>
  <c r="I2150" i="1"/>
  <c r="J2150" i="1"/>
  <c r="K2150" i="1"/>
  <c r="AC2150" i="1"/>
  <c r="AJ2149" i="1"/>
  <c r="AK2149" i="1"/>
  <c r="AM2149" i="1"/>
  <c r="BF2149" i="1"/>
  <c r="BG2149" i="1"/>
  <c r="T2150" i="1"/>
  <c r="U2150" i="1"/>
  <c r="V2150" i="1"/>
  <c r="W2150" i="1"/>
  <c r="X2150" i="1"/>
  <c r="Y2150" i="1"/>
  <c r="Z2150" i="1"/>
  <c r="AB2150" i="1"/>
  <c r="AF2150" i="1"/>
  <c r="AI2150" i="1"/>
  <c r="H2151" i="1"/>
  <c r="AE2151" i="1"/>
  <c r="I2151" i="1"/>
  <c r="J2151" i="1"/>
  <c r="K2151" i="1"/>
  <c r="AC2151" i="1"/>
  <c r="AJ2150" i="1"/>
  <c r="AK2150" i="1"/>
  <c r="AM2150" i="1"/>
  <c r="BF2150" i="1"/>
  <c r="BG2150" i="1"/>
  <c r="T2151" i="1"/>
  <c r="U2151" i="1"/>
  <c r="V2151" i="1"/>
  <c r="W2151" i="1"/>
  <c r="X2151" i="1"/>
  <c r="Y2151" i="1"/>
  <c r="Z2151" i="1"/>
  <c r="AB2151" i="1"/>
  <c r="AF2151" i="1"/>
  <c r="AI2151" i="1"/>
  <c r="H2152" i="1"/>
  <c r="AE2152" i="1"/>
  <c r="I2152" i="1"/>
  <c r="J2152" i="1"/>
  <c r="K2152" i="1"/>
  <c r="AC2152" i="1"/>
  <c r="AJ2151" i="1"/>
  <c r="AK2151" i="1"/>
  <c r="AM2151" i="1"/>
  <c r="BF2151" i="1"/>
  <c r="BG2151" i="1"/>
  <c r="T2152" i="1"/>
  <c r="U2152" i="1"/>
  <c r="V2152" i="1"/>
  <c r="W2152" i="1"/>
  <c r="X2152" i="1"/>
  <c r="Y2152" i="1"/>
  <c r="Z2152" i="1"/>
  <c r="AB2152" i="1"/>
  <c r="AF2152" i="1"/>
  <c r="AI2152" i="1"/>
  <c r="H2153" i="1"/>
  <c r="AE2153" i="1"/>
  <c r="I2153" i="1"/>
  <c r="J2153" i="1"/>
  <c r="K2153" i="1"/>
  <c r="AC2153" i="1"/>
  <c r="AJ2152" i="1"/>
  <c r="AK2152" i="1"/>
  <c r="AM2152" i="1"/>
  <c r="BF2152" i="1"/>
  <c r="BG2152" i="1"/>
  <c r="T2153" i="1"/>
  <c r="U2153" i="1"/>
  <c r="V2153" i="1"/>
  <c r="W2153" i="1"/>
  <c r="X2153" i="1"/>
  <c r="Y2153" i="1"/>
  <c r="Z2153" i="1"/>
  <c r="AB2153" i="1"/>
  <c r="AF2153" i="1"/>
  <c r="AI2153" i="1"/>
  <c r="AE2154" i="1"/>
  <c r="AC2154" i="1"/>
  <c r="AJ2153" i="1"/>
  <c r="AK2153" i="1"/>
  <c r="AM2153" i="1"/>
  <c r="BF2153" i="1"/>
  <c r="BG2153" i="1"/>
  <c r="T2154" i="1"/>
  <c r="U2154" i="1"/>
  <c r="V2154" i="1"/>
  <c r="W2154" i="1"/>
  <c r="X2154" i="1"/>
  <c r="Y2154" i="1"/>
  <c r="Z2154" i="1"/>
  <c r="AB2154" i="1"/>
  <c r="AF2154" i="1"/>
  <c r="AI2154" i="1"/>
  <c r="AE2155" i="1"/>
  <c r="AC2155" i="1"/>
  <c r="AJ2154" i="1"/>
  <c r="AK2154" i="1"/>
  <c r="AM2154" i="1"/>
  <c r="BF2154" i="1"/>
  <c r="BG2154" i="1"/>
  <c r="T2155" i="1"/>
  <c r="U2155" i="1"/>
  <c r="V2155" i="1"/>
  <c r="W2155" i="1"/>
  <c r="X2155" i="1"/>
  <c r="Y2155" i="1"/>
  <c r="Z2155" i="1"/>
  <c r="AB2155" i="1"/>
  <c r="AF2155" i="1"/>
  <c r="AI2155" i="1"/>
  <c r="H2156" i="1"/>
  <c r="AE2156" i="1"/>
  <c r="I2156" i="1"/>
  <c r="J2156" i="1"/>
  <c r="K2156" i="1"/>
  <c r="AC2156" i="1"/>
  <c r="AJ2155" i="1"/>
  <c r="AK2155" i="1"/>
  <c r="AM2155" i="1"/>
  <c r="BG2155" i="1"/>
  <c r="T2156" i="1"/>
  <c r="U2156" i="1"/>
  <c r="V2156" i="1"/>
  <c r="W2156" i="1"/>
  <c r="X2156" i="1"/>
  <c r="Y2156" i="1"/>
  <c r="Z2156" i="1"/>
  <c r="AB2156" i="1"/>
  <c r="AF2156" i="1"/>
  <c r="AI2156" i="1"/>
  <c r="H2157" i="1"/>
  <c r="AE2157" i="1"/>
  <c r="I2157" i="1"/>
  <c r="J2157" i="1"/>
  <c r="K2157" i="1"/>
  <c r="AC2157" i="1"/>
  <c r="AJ2156" i="1"/>
  <c r="AK2156" i="1"/>
  <c r="AM2156" i="1"/>
  <c r="BF2156" i="1"/>
  <c r="BG2156" i="1"/>
  <c r="T2157" i="1"/>
  <c r="U2157" i="1"/>
  <c r="V2157" i="1"/>
  <c r="W2157" i="1"/>
  <c r="X2157" i="1"/>
  <c r="Y2157" i="1"/>
  <c r="Z2157" i="1"/>
  <c r="AB2157" i="1"/>
  <c r="AF2157" i="1"/>
  <c r="AI2157" i="1"/>
  <c r="H2158" i="1"/>
  <c r="AE2158" i="1"/>
  <c r="I2158" i="1"/>
  <c r="J2158" i="1"/>
  <c r="K2158" i="1"/>
  <c r="AC2158" i="1"/>
  <c r="AJ2157" i="1"/>
  <c r="AK2157" i="1"/>
  <c r="AM2157" i="1"/>
  <c r="BF2157" i="1"/>
  <c r="BG2157" i="1"/>
  <c r="T2158" i="1"/>
  <c r="U2158" i="1"/>
  <c r="V2158" i="1"/>
  <c r="W2158" i="1"/>
  <c r="X2158" i="1"/>
  <c r="Y2158" i="1"/>
  <c r="Z2158" i="1"/>
  <c r="AB2158" i="1"/>
  <c r="AF2158" i="1"/>
  <c r="AI2158" i="1"/>
  <c r="H2159" i="1"/>
  <c r="AE2159" i="1"/>
  <c r="I2159" i="1"/>
  <c r="J2159" i="1"/>
  <c r="K2159" i="1"/>
  <c r="AC2159" i="1"/>
  <c r="AJ2158" i="1"/>
  <c r="AK2158" i="1"/>
  <c r="AM2158" i="1"/>
  <c r="BF2158" i="1"/>
  <c r="BG2158" i="1"/>
  <c r="T2159" i="1"/>
  <c r="U2159" i="1"/>
  <c r="V2159" i="1"/>
  <c r="W2159" i="1"/>
  <c r="X2159" i="1"/>
  <c r="Y2159" i="1"/>
  <c r="Z2159" i="1"/>
  <c r="AB2159" i="1"/>
  <c r="AF2159" i="1"/>
  <c r="AI2159" i="1"/>
  <c r="H2160" i="1"/>
  <c r="AE2160" i="1"/>
  <c r="I2160" i="1"/>
  <c r="J2160" i="1"/>
  <c r="K2160" i="1"/>
  <c r="AC2160" i="1"/>
  <c r="AJ2159" i="1"/>
  <c r="AK2159" i="1"/>
  <c r="AM2159" i="1"/>
  <c r="BF2159" i="1"/>
  <c r="BG2159" i="1"/>
  <c r="T2160" i="1"/>
  <c r="U2160" i="1"/>
  <c r="V2160" i="1"/>
  <c r="W2160" i="1"/>
  <c r="X2160" i="1"/>
  <c r="Y2160" i="1"/>
  <c r="Z2160" i="1"/>
  <c r="AB2160" i="1"/>
  <c r="AF2160" i="1"/>
  <c r="AI2160" i="1"/>
  <c r="H2161" i="1"/>
  <c r="AE2161" i="1"/>
  <c r="I2161" i="1"/>
  <c r="J2161" i="1"/>
  <c r="K2161" i="1"/>
  <c r="AC2161" i="1"/>
  <c r="AJ2160" i="1"/>
  <c r="AK2160" i="1"/>
  <c r="AM2160" i="1"/>
  <c r="BF2160" i="1"/>
  <c r="BG2160" i="1"/>
  <c r="T2161" i="1"/>
  <c r="U2161" i="1"/>
  <c r="V2161" i="1"/>
  <c r="W2161" i="1"/>
  <c r="X2161" i="1"/>
  <c r="Y2161" i="1"/>
  <c r="Z2161" i="1"/>
  <c r="AB2161" i="1"/>
  <c r="AF2161" i="1"/>
  <c r="AI2161" i="1"/>
  <c r="H2162" i="1"/>
  <c r="AE2162" i="1"/>
  <c r="I2162" i="1"/>
  <c r="J2162" i="1"/>
  <c r="K2162" i="1"/>
  <c r="AC2162" i="1"/>
  <c r="AJ2161" i="1"/>
  <c r="AK2161" i="1"/>
  <c r="AM2161" i="1"/>
  <c r="BF2161" i="1"/>
  <c r="BG2161" i="1"/>
  <c r="T2162" i="1"/>
  <c r="U2162" i="1"/>
  <c r="V2162" i="1"/>
  <c r="W2162" i="1"/>
  <c r="X2162" i="1"/>
  <c r="Y2162" i="1"/>
  <c r="Z2162" i="1"/>
  <c r="AB2162" i="1"/>
  <c r="AF2162" i="1"/>
  <c r="AI2162" i="1"/>
  <c r="H2163" i="1"/>
  <c r="AE2163" i="1"/>
  <c r="I2163" i="1"/>
  <c r="J2163" i="1"/>
  <c r="K2163" i="1"/>
  <c r="AC2163" i="1"/>
  <c r="AJ2162" i="1"/>
  <c r="AK2162" i="1"/>
  <c r="AM2162" i="1"/>
  <c r="BF2162" i="1"/>
  <c r="BG2162" i="1"/>
  <c r="T2163" i="1"/>
  <c r="U2163" i="1"/>
  <c r="V2163" i="1"/>
  <c r="W2163" i="1"/>
  <c r="X2163" i="1"/>
  <c r="Y2163" i="1"/>
  <c r="Z2163" i="1"/>
  <c r="AB2163" i="1"/>
  <c r="AF2163" i="1"/>
  <c r="AI2163" i="1"/>
  <c r="H2164" i="1"/>
  <c r="AE2164" i="1"/>
  <c r="I2164" i="1"/>
  <c r="J2164" i="1"/>
  <c r="K2164" i="1"/>
  <c r="AC2164" i="1"/>
  <c r="AJ2163" i="1"/>
  <c r="AK2163" i="1"/>
  <c r="AM2163" i="1"/>
  <c r="BF2163" i="1"/>
  <c r="BG2163" i="1"/>
  <c r="T2164" i="1"/>
  <c r="U2164" i="1"/>
  <c r="V2164" i="1"/>
  <c r="W2164" i="1"/>
  <c r="X2164" i="1"/>
  <c r="Y2164" i="1"/>
  <c r="Z2164" i="1"/>
  <c r="AB2164" i="1"/>
  <c r="AF2164" i="1"/>
  <c r="AI2164" i="1"/>
  <c r="AE2165" i="1"/>
  <c r="AC2165" i="1"/>
  <c r="AJ2164" i="1"/>
  <c r="AK2164" i="1"/>
  <c r="AM2164" i="1"/>
  <c r="BF2164" i="1"/>
  <c r="BG2164" i="1"/>
  <c r="T2165" i="1"/>
  <c r="U2165" i="1"/>
  <c r="V2165" i="1"/>
  <c r="W2165" i="1"/>
  <c r="X2165" i="1"/>
  <c r="Y2165" i="1"/>
  <c r="Z2165" i="1"/>
  <c r="AB2165" i="1"/>
  <c r="AF2165" i="1"/>
  <c r="AI2165" i="1"/>
  <c r="AE2166" i="1"/>
  <c r="AC2166" i="1"/>
  <c r="AJ2165" i="1"/>
  <c r="AK2165" i="1"/>
  <c r="AM2165" i="1"/>
  <c r="BF2165" i="1"/>
  <c r="BG2165" i="1"/>
  <c r="T2166" i="1"/>
  <c r="U2166" i="1"/>
  <c r="V2166" i="1"/>
  <c r="W2166" i="1"/>
  <c r="X2166" i="1"/>
  <c r="Y2166" i="1"/>
  <c r="Z2166" i="1"/>
  <c r="AB2166" i="1"/>
  <c r="AF2166" i="1"/>
  <c r="AI2166" i="1"/>
  <c r="H2167" i="1"/>
  <c r="AE2167" i="1"/>
  <c r="I2167" i="1"/>
  <c r="J2167" i="1"/>
  <c r="K2167" i="1"/>
  <c r="AC2167" i="1"/>
  <c r="AJ2166" i="1"/>
  <c r="AK2166" i="1"/>
  <c r="AM2166" i="1"/>
  <c r="BG2166" i="1"/>
  <c r="T2167" i="1"/>
  <c r="U2167" i="1"/>
  <c r="V2167" i="1"/>
  <c r="W2167" i="1"/>
  <c r="X2167" i="1"/>
  <c r="Y2167" i="1"/>
  <c r="Z2167" i="1"/>
  <c r="AB2167" i="1"/>
  <c r="AF2167" i="1"/>
  <c r="AI2167" i="1"/>
  <c r="AE2168" i="1"/>
  <c r="AC2168" i="1"/>
  <c r="AJ2167" i="1"/>
  <c r="AK2167" i="1"/>
  <c r="AM2167" i="1"/>
  <c r="BF2167" i="1"/>
  <c r="BG2167" i="1"/>
  <c r="T2168" i="1"/>
  <c r="U2168" i="1"/>
  <c r="V2168" i="1"/>
  <c r="W2168" i="1"/>
  <c r="X2168" i="1"/>
  <c r="Y2168" i="1"/>
  <c r="Z2168" i="1"/>
  <c r="AB2168" i="1"/>
  <c r="AF2168" i="1"/>
  <c r="AI2168" i="1"/>
  <c r="AE2169" i="1"/>
  <c r="AC2169" i="1"/>
  <c r="AJ2168" i="1"/>
  <c r="AK2168" i="1"/>
  <c r="AM2168" i="1"/>
  <c r="BF2168" i="1"/>
  <c r="BG2168" i="1"/>
  <c r="T2169" i="1"/>
  <c r="U2169" i="1"/>
  <c r="V2169" i="1"/>
  <c r="W2169" i="1"/>
  <c r="X2169" i="1"/>
  <c r="Y2169" i="1"/>
  <c r="Z2169" i="1"/>
  <c r="AB2169" i="1"/>
  <c r="AF2169" i="1"/>
  <c r="AI2169" i="1"/>
  <c r="H2170" i="1"/>
  <c r="AE2170" i="1"/>
  <c r="I2170" i="1"/>
  <c r="J2170" i="1"/>
  <c r="K2170" i="1"/>
  <c r="AC2170" i="1"/>
  <c r="AJ2169" i="1"/>
  <c r="AK2169" i="1"/>
  <c r="AM2169" i="1"/>
  <c r="BG2169" i="1"/>
  <c r="T2170" i="1"/>
  <c r="U2170" i="1"/>
  <c r="V2170" i="1"/>
  <c r="W2170" i="1"/>
  <c r="X2170" i="1"/>
  <c r="Y2170" i="1"/>
  <c r="Z2170" i="1"/>
  <c r="AB2170" i="1"/>
  <c r="AF2170" i="1"/>
  <c r="AI2170" i="1"/>
  <c r="AE2171" i="1"/>
  <c r="AC2171" i="1"/>
  <c r="AJ2170" i="1"/>
  <c r="AK2170" i="1"/>
  <c r="AM2170" i="1"/>
  <c r="BF2170" i="1"/>
  <c r="BG2170" i="1"/>
  <c r="T2171" i="1"/>
  <c r="U2171" i="1"/>
  <c r="V2171" i="1"/>
  <c r="W2171" i="1"/>
  <c r="X2171" i="1"/>
  <c r="Y2171" i="1"/>
  <c r="Z2171" i="1"/>
  <c r="AB2171" i="1"/>
  <c r="AF2171" i="1"/>
  <c r="AI2171" i="1"/>
  <c r="AE2172" i="1"/>
  <c r="AC2172" i="1"/>
  <c r="AJ2171" i="1"/>
  <c r="AK2171" i="1"/>
  <c r="AM2171" i="1"/>
  <c r="BF2171" i="1"/>
  <c r="BG2171" i="1"/>
  <c r="T2172" i="1"/>
  <c r="U2172" i="1"/>
  <c r="V2172" i="1"/>
  <c r="W2172" i="1"/>
  <c r="X2172" i="1"/>
  <c r="Y2172" i="1"/>
  <c r="Z2172" i="1"/>
  <c r="AB2172" i="1"/>
  <c r="AF2172" i="1"/>
  <c r="AI2172" i="1"/>
  <c r="H2173" i="1"/>
  <c r="AE2173" i="1"/>
  <c r="I2173" i="1"/>
  <c r="J2173" i="1"/>
  <c r="K2173" i="1"/>
  <c r="AC2173" i="1"/>
  <c r="AJ2172" i="1"/>
  <c r="AK2172" i="1"/>
  <c r="AM2172" i="1"/>
  <c r="BG2172" i="1"/>
  <c r="T2173" i="1"/>
  <c r="U2173" i="1"/>
  <c r="V2173" i="1"/>
  <c r="W2173" i="1"/>
  <c r="X2173" i="1"/>
  <c r="Y2173" i="1"/>
  <c r="Z2173" i="1"/>
  <c r="AB2173" i="1"/>
  <c r="AF2173" i="1"/>
  <c r="AI2173" i="1"/>
  <c r="H2174" i="1"/>
  <c r="AE2174" i="1"/>
  <c r="I2174" i="1"/>
  <c r="J2174" i="1"/>
  <c r="K2174" i="1"/>
  <c r="AC2174" i="1"/>
  <c r="AJ2173" i="1"/>
  <c r="AK2173" i="1"/>
  <c r="AM2173" i="1"/>
  <c r="BF2173" i="1"/>
  <c r="BG2173" i="1"/>
  <c r="T2174" i="1"/>
  <c r="U2174" i="1"/>
  <c r="V2174" i="1"/>
  <c r="W2174" i="1"/>
  <c r="X2174" i="1"/>
  <c r="Y2174" i="1"/>
  <c r="Z2174" i="1"/>
  <c r="AB2174" i="1"/>
  <c r="AF2174" i="1"/>
  <c r="AI2174" i="1"/>
  <c r="AE2175" i="1"/>
  <c r="AC2175" i="1"/>
  <c r="AJ2174" i="1"/>
  <c r="AK2174" i="1"/>
  <c r="AM2174" i="1"/>
  <c r="BF2174" i="1"/>
  <c r="BG2174" i="1"/>
  <c r="T2175" i="1"/>
  <c r="U2175" i="1"/>
  <c r="V2175" i="1"/>
  <c r="W2175" i="1"/>
  <c r="X2175" i="1"/>
  <c r="Y2175" i="1"/>
  <c r="Z2175" i="1"/>
  <c r="AB2175" i="1"/>
  <c r="AF2175" i="1"/>
  <c r="AI2175" i="1"/>
  <c r="AE2176" i="1"/>
  <c r="AC2176" i="1"/>
  <c r="AJ2175" i="1"/>
  <c r="AK2175" i="1"/>
  <c r="AM2175" i="1"/>
  <c r="BF2175" i="1"/>
  <c r="BG2175" i="1"/>
  <c r="T2176" i="1"/>
  <c r="U2176" i="1"/>
  <c r="V2176" i="1"/>
  <c r="W2176" i="1"/>
  <c r="X2176" i="1"/>
  <c r="Y2176" i="1"/>
  <c r="Z2176" i="1"/>
  <c r="AB2176" i="1"/>
  <c r="AF2176" i="1"/>
  <c r="AI2176" i="1"/>
  <c r="H2177" i="1"/>
  <c r="AE2177" i="1"/>
  <c r="I2177" i="1"/>
  <c r="J2177" i="1"/>
  <c r="K2177" i="1"/>
  <c r="AC2177" i="1"/>
  <c r="AJ2176" i="1"/>
  <c r="AK2176" i="1"/>
  <c r="AM2176" i="1"/>
  <c r="BG2176" i="1"/>
  <c r="T2177" i="1"/>
  <c r="U2177" i="1"/>
  <c r="V2177" i="1"/>
  <c r="W2177" i="1"/>
  <c r="X2177" i="1"/>
  <c r="Y2177" i="1"/>
  <c r="Z2177" i="1"/>
  <c r="AB2177" i="1"/>
  <c r="AF2177" i="1"/>
  <c r="AI2177" i="1"/>
  <c r="H2178" i="1"/>
  <c r="AE2178" i="1"/>
  <c r="I2178" i="1"/>
  <c r="J2178" i="1"/>
  <c r="K2178" i="1"/>
  <c r="AC2178" i="1"/>
  <c r="AJ2177" i="1"/>
  <c r="AK2177" i="1"/>
  <c r="AM2177" i="1"/>
  <c r="BF2177" i="1"/>
  <c r="BG2177" i="1"/>
  <c r="T2178" i="1"/>
  <c r="U2178" i="1"/>
  <c r="V2178" i="1"/>
  <c r="W2178" i="1"/>
  <c r="X2178" i="1"/>
  <c r="Y2178" i="1"/>
  <c r="Z2178" i="1"/>
  <c r="AB2178" i="1"/>
  <c r="AF2178" i="1"/>
  <c r="AI2178" i="1"/>
  <c r="H2179" i="1"/>
  <c r="AE2179" i="1"/>
  <c r="I2179" i="1"/>
  <c r="J2179" i="1"/>
  <c r="K2179" i="1"/>
  <c r="AC2179" i="1"/>
  <c r="AJ2178" i="1"/>
  <c r="AK2178" i="1"/>
  <c r="AM2178" i="1"/>
  <c r="BF2178" i="1"/>
  <c r="BG2178" i="1"/>
  <c r="T2179" i="1"/>
  <c r="U2179" i="1"/>
  <c r="V2179" i="1"/>
  <c r="W2179" i="1"/>
  <c r="X2179" i="1"/>
  <c r="Y2179" i="1"/>
  <c r="Z2179" i="1"/>
  <c r="AB2179" i="1"/>
  <c r="AF2179" i="1"/>
  <c r="AI2179" i="1"/>
  <c r="AE2180" i="1"/>
  <c r="AC2180" i="1"/>
  <c r="AJ2179" i="1"/>
  <c r="AK2179" i="1"/>
  <c r="AM2179" i="1"/>
  <c r="BF2179" i="1"/>
  <c r="BG2179" i="1"/>
  <c r="T2180" i="1"/>
  <c r="U2180" i="1"/>
  <c r="V2180" i="1"/>
  <c r="W2180" i="1"/>
  <c r="X2180" i="1"/>
  <c r="Y2180" i="1"/>
  <c r="Z2180" i="1"/>
  <c r="AB2180" i="1"/>
  <c r="AF2180" i="1"/>
  <c r="AI2180" i="1"/>
  <c r="AE2181" i="1"/>
  <c r="AC2181" i="1"/>
  <c r="AJ2180" i="1"/>
  <c r="AK2180" i="1"/>
  <c r="AM2180" i="1"/>
  <c r="BF2180" i="1"/>
  <c r="BG2180" i="1"/>
  <c r="T2181" i="1"/>
  <c r="U2181" i="1"/>
  <c r="V2181" i="1"/>
  <c r="W2181" i="1"/>
  <c r="X2181" i="1"/>
  <c r="Y2181" i="1"/>
  <c r="Z2181" i="1"/>
  <c r="AB2181" i="1"/>
  <c r="AF2181" i="1"/>
  <c r="AI2181" i="1"/>
  <c r="H2182" i="1"/>
  <c r="AE2182" i="1"/>
  <c r="I2182" i="1"/>
  <c r="J2182" i="1"/>
  <c r="K2182" i="1"/>
  <c r="AC2182" i="1"/>
  <c r="AJ2181" i="1"/>
  <c r="AK2181" i="1"/>
  <c r="AM2181" i="1"/>
  <c r="BG2181" i="1"/>
  <c r="T2182" i="1"/>
  <c r="U2182" i="1"/>
  <c r="V2182" i="1"/>
  <c r="W2182" i="1"/>
  <c r="X2182" i="1"/>
  <c r="Y2182" i="1"/>
  <c r="Z2182" i="1"/>
  <c r="AB2182" i="1"/>
  <c r="AF2182" i="1"/>
  <c r="AI2182" i="1"/>
  <c r="H2183" i="1"/>
  <c r="AE2183" i="1"/>
  <c r="I2183" i="1"/>
  <c r="J2183" i="1"/>
  <c r="K2183" i="1"/>
  <c r="AC2183" i="1"/>
  <c r="AJ2182" i="1"/>
  <c r="AK2182" i="1"/>
  <c r="AM2182" i="1"/>
  <c r="BF2182" i="1"/>
  <c r="BG2182" i="1"/>
  <c r="T2183" i="1"/>
  <c r="U2183" i="1"/>
  <c r="V2183" i="1"/>
  <c r="W2183" i="1"/>
  <c r="X2183" i="1"/>
  <c r="Y2183" i="1"/>
  <c r="Z2183" i="1"/>
  <c r="AB2183" i="1"/>
  <c r="AF2183" i="1"/>
  <c r="AI2183" i="1"/>
  <c r="H2184" i="1"/>
  <c r="AE2184" i="1"/>
  <c r="I2184" i="1"/>
  <c r="J2184" i="1"/>
  <c r="K2184" i="1"/>
  <c r="AC2184" i="1"/>
  <c r="AJ2183" i="1"/>
  <c r="AK2183" i="1"/>
  <c r="AM2183" i="1"/>
  <c r="BF2183" i="1"/>
  <c r="BG2183" i="1"/>
  <c r="T2184" i="1"/>
  <c r="U2184" i="1"/>
  <c r="V2184" i="1"/>
  <c r="W2184" i="1"/>
  <c r="X2184" i="1"/>
  <c r="Y2184" i="1"/>
  <c r="Z2184" i="1"/>
  <c r="AB2184" i="1"/>
  <c r="AF2184" i="1"/>
  <c r="AI2184" i="1"/>
  <c r="H2185" i="1"/>
  <c r="AE2185" i="1"/>
  <c r="I2185" i="1"/>
  <c r="J2185" i="1"/>
  <c r="K2185" i="1"/>
  <c r="AC2185" i="1"/>
  <c r="AJ2184" i="1"/>
  <c r="AK2184" i="1"/>
  <c r="AM2184" i="1"/>
  <c r="BF2184" i="1"/>
  <c r="BG2184" i="1"/>
  <c r="T2185" i="1"/>
  <c r="U2185" i="1"/>
  <c r="V2185" i="1"/>
  <c r="W2185" i="1"/>
  <c r="X2185" i="1"/>
  <c r="Y2185" i="1"/>
  <c r="Z2185" i="1"/>
  <c r="AB2185" i="1"/>
  <c r="AF2185" i="1"/>
  <c r="AI2185" i="1"/>
  <c r="H2186" i="1"/>
  <c r="AE2186" i="1"/>
  <c r="I2186" i="1"/>
  <c r="J2186" i="1"/>
  <c r="K2186" i="1"/>
  <c r="AC2186" i="1"/>
  <c r="AJ2185" i="1"/>
  <c r="AK2185" i="1"/>
  <c r="AM2185" i="1"/>
  <c r="BF2185" i="1"/>
  <c r="BG2185" i="1"/>
  <c r="T2186" i="1"/>
  <c r="U2186" i="1"/>
  <c r="V2186" i="1"/>
  <c r="W2186" i="1"/>
  <c r="X2186" i="1"/>
  <c r="Y2186" i="1"/>
  <c r="Z2186" i="1"/>
  <c r="AB2186" i="1"/>
  <c r="AF2186" i="1"/>
  <c r="AI2186" i="1"/>
  <c r="AE2187" i="1"/>
  <c r="AC2187" i="1"/>
  <c r="AJ2186" i="1"/>
  <c r="AK2186" i="1"/>
  <c r="AM2186" i="1"/>
  <c r="BF2186" i="1"/>
  <c r="BG2186" i="1"/>
  <c r="T2187" i="1"/>
  <c r="U2187" i="1"/>
  <c r="V2187" i="1"/>
  <c r="W2187" i="1"/>
  <c r="X2187" i="1"/>
  <c r="Y2187" i="1"/>
  <c r="Z2187" i="1"/>
  <c r="AB2187" i="1"/>
  <c r="AF2187" i="1"/>
  <c r="AI2187" i="1"/>
  <c r="AE2188" i="1"/>
  <c r="AC2188" i="1"/>
  <c r="AJ2187" i="1"/>
  <c r="AK2187" i="1"/>
  <c r="AM2187" i="1"/>
  <c r="BF2187" i="1"/>
  <c r="BG2187" i="1"/>
  <c r="T2188" i="1"/>
  <c r="U2188" i="1"/>
  <c r="V2188" i="1"/>
  <c r="W2188" i="1"/>
  <c r="X2188" i="1"/>
  <c r="Y2188" i="1"/>
  <c r="Z2188" i="1"/>
  <c r="AB2188" i="1"/>
  <c r="AF2188" i="1"/>
  <c r="AI2188" i="1"/>
  <c r="H2189" i="1"/>
  <c r="AE2189" i="1"/>
  <c r="I2189" i="1"/>
  <c r="J2189" i="1"/>
  <c r="K2189" i="1"/>
  <c r="AC2189" i="1"/>
  <c r="AJ2188" i="1"/>
  <c r="AK2188" i="1"/>
  <c r="AM2188" i="1"/>
  <c r="BG2188" i="1"/>
  <c r="T2189" i="1"/>
  <c r="U2189" i="1"/>
  <c r="V2189" i="1"/>
  <c r="W2189" i="1"/>
  <c r="X2189" i="1"/>
  <c r="Y2189" i="1"/>
  <c r="Z2189" i="1"/>
  <c r="AB2189" i="1"/>
  <c r="AF2189" i="1"/>
  <c r="AI2189" i="1"/>
  <c r="AE2190" i="1"/>
  <c r="AC2190" i="1"/>
  <c r="AJ2189" i="1"/>
  <c r="AK2189" i="1"/>
  <c r="AM2189" i="1"/>
  <c r="BF2189" i="1"/>
  <c r="BG2189" i="1"/>
  <c r="T2190" i="1"/>
  <c r="U2190" i="1"/>
  <c r="V2190" i="1"/>
  <c r="W2190" i="1"/>
  <c r="X2190" i="1"/>
  <c r="Y2190" i="1"/>
  <c r="Z2190" i="1"/>
  <c r="AB2190" i="1"/>
  <c r="AF2190" i="1"/>
  <c r="AI2190" i="1"/>
  <c r="AE2191" i="1"/>
  <c r="AC2191" i="1"/>
  <c r="AJ2190" i="1"/>
  <c r="AK2190" i="1"/>
  <c r="AM2190" i="1"/>
  <c r="BF2190" i="1"/>
  <c r="BG2190" i="1"/>
  <c r="T2191" i="1"/>
  <c r="U2191" i="1"/>
  <c r="V2191" i="1"/>
  <c r="W2191" i="1"/>
  <c r="X2191" i="1"/>
  <c r="Y2191" i="1"/>
  <c r="Z2191" i="1"/>
  <c r="AB2191" i="1"/>
  <c r="AF2191" i="1"/>
  <c r="AI2191" i="1"/>
  <c r="H2192" i="1"/>
  <c r="AE2192" i="1"/>
  <c r="I2192" i="1"/>
  <c r="J2192" i="1"/>
  <c r="K2192" i="1"/>
  <c r="AC2192" i="1"/>
  <c r="AJ2191" i="1"/>
  <c r="AK2191" i="1"/>
  <c r="AM2191" i="1"/>
  <c r="BG2191" i="1"/>
  <c r="T2192" i="1"/>
  <c r="U2192" i="1"/>
  <c r="V2192" i="1"/>
  <c r="W2192" i="1"/>
  <c r="X2192" i="1"/>
  <c r="Y2192" i="1"/>
  <c r="Z2192" i="1"/>
  <c r="AB2192" i="1"/>
  <c r="AF2192" i="1"/>
  <c r="AI2192" i="1"/>
  <c r="H2193" i="1"/>
  <c r="AE2193" i="1"/>
  <c r="I2193" i="1"/>
  <c r="J2193" i="1"/>
  <c r="K2193" i="1"/>
  <c r="AC2193" i="1"/>
  <c r="AJ2192" i="1"/>
  <c r="AK2192" i="1"/>
  <c r="AM2192" i="1"/>
  <c r="BF2192" i="1"/>
  <c r="BG2192" i="1"/>
  <c r="T2193" i="1"/>
  <c r="U2193" i="1"/>
  <c r="V2193" i="1"/>
  <c r="W2193" i="1"/>
  <c r="X2193" i="1"/>
  <c r="Y2193" i="1"/>
  <c r="Z2193" i="1"/>
  <c r="AB2193" i="1"/>
  <c r="AF2193" i="1"/>
  <c r="AI2193" i="1"/>
  <c r="H2194" i="1"/>
  <c r="AE2194" i="1"/>
  <c r="I2194" i="1"/>
  <c r="J2194" i="1"/>
  <c r="K2194" i="1"/>
  <c r="AC2194" i="1"/>
  <c r="AJ2193" i="1"/>
  <c r="AK2193" i="1"/>
  <c r="AM2193" i="1"/>
  <c r="BF2193" i="1"/>
  <c r="BG2193" i="1"/>
  <c r="T2194" i="1"/>
  <c r="U2194" i="1"/>
  <c r="V2194" i="1"/>
  <c r="W2194" i="1"/>
  <c r="X2194" i="1"/>
  <c r="Y2194" i="1"/>
  <c r="Z2194" i="1"/>
  <c r="AB2194" i="1"/>
  <c r="AF2194" i="1"/>
  <c r="AI2194" i="1"/>
  <c r="H2195" i="1"/>
  <c r="AE2195" i="1"/>
  <c r="I2195" i="1"/>
  <c r="J2195" i="1"/>
  <c r="K2195" i="1"/>
  <c r="AC2195" i="1"/>
  <c r="AJ2194" i="1"/>
  <c r="AK2194" i="1"/>
  <c r="AM2194" i="1"/>
  <c r="BF2194" i="1"/>
  <c r="BG2194" i="1"/>
  <c r="T2195" i="1"/>
  <c r="U2195" i="1"/>
  <c r="V2195" i="1"/>
  <c r="W2195" i="1"/>
  <c r="X2195" i="1"/>
  <c r="Y2195" i="1"/>
  <c r="Z2195" i="1"/>
  <c r="AB2195" i="1"/>
  <c r="AF2195" i="1"/>
  <c r="AI2195" i="1"/>
  <c r="H2196" i="1"/>
  <c r="AE2196" i="1"/>
  <c r="I2196" i="1"/>
  <c r="J2196" i="1"/>
  <c r="K2196" i="1"/>
  <c r="AC2196" i="1"/>
  <c r="AJ2195" i="1"/>
  <c r="AK2195" i="1"/>
  <c r="AM2195" i="1"/>
  <c r="BF2195" i="1"/>
  <c r="BG2195" i="1"/>
  <c r="T2196" i="1"/>
  <c r="U2196" i="1"/>
  <c r="V2196" i="1"/>
  <c r="W2196" i="1"/>
  <c r="X2196" i="1"/>
  <c r="Y2196" i="1"/>
  <c r="Z2196" i="1"/>
  <c r="AB2196" i="1"/>
  <c r="AF2196" i="1"/>
  <c r="AI2196" i="1"/>
  <c r="H2197" i="1"/>
  <c r="AE2197" i="1"/>
  <c r="I2197" i="1"/>
  <c r="J2197" i="1"/>
  <c r="K2197" i="1"/>
  <c r="AC2197" i="1"/>
  <c r="AJ2196" i="1"/>
  <c r="AK2196" i="1"/>
  <c r="AM2196" i="1"/>
  <c r="BF2196" i="1"/>
  <c r="BG2196" i="1"/>
  <c r="T2197" i="1"/>
  <c r="U2197" i="1"/>
  <c r="V2197" i="1"/>
  <c r="W2197" i="1"/>
  <c r="X2197" i="1"/>
  <c r="Y2197" i="1"/>
  <c r="Z2197" i="1"/>
  <c r="AB2197" i="1"/>
  <c r="AF2197" i="1"/>
  <c r="AI2197" i="1"/>
  <c r="H2198" i="1"/>
  <c r="AE2198" i="1"/>
  <c r="I2198" i="1"/>
  <c r="J2198" i="1"/>
  <c r="K2198" i="1"/>
  <c r="AC2198" i="1"/>
  <c r="AJ2197" i="1"/>
  <c r="AK2197" i="1"/>
  <c r="AM2197" i="1"/>
  <c r="BF2197" i="1"/>
  <c r="BG2197" i="1"/>
  <c r="T2198" i="1"/>
  <c r="U2198" i="1"/>
  <c r="V2198" i="1"/>
  <c r="W2198" i="1"/>
  <c r="X2198" i="1"/>
  <c r="Y2198" i="1"/>
  <c r="Z2198" i="1"/>
  <c r="AB2198" i="1"/>
  <c r="AF2198" i="1"/>
  <c r="AI2198" i="1"/>
  <c r="H2199" i="1"/>
  <c r="AE2199" i="1"/>
  <c r="I2199" i="1"/>
  <c r="J2199" i="1"/>
  <c r="K2199" i="1"/>
  <c r="AC2199" i="1"/>
  <c r="AJ2198" i="1"/>
  <c r="AK2198" i="1"/>
  <c r="AM2198" i="1"/>
  <c r="BF2198" i="1"/>
  <c r="BG2198" i="1"/>
  <c r="T2199" i="1"/>
  <c r="U2199" i="1"/>
  <c r="V2199" i="1"/>
  <c r="W2199" i="1"/>
  <c r="X2199" i="1"/>
  <c r="Y2199" i="1"/>
  <c r="Z2199" i="1"/>
  <c r="AB2199" i="1"/>
  <c r="AF2199" i="1"/>
  <c r="AI2199" i="1"/>
  <c r="H2200" i="1"/>
  <c r="AE2200" i="1"/>
  <c r="I2200" i="1"/>
  <c r="J2200" i="1"/>
  <c r="K2200" i="1"/>
  <c r="AC2200" i="1"/>
  <c r="AJ2199" i="1"/>
  <c r="AK2199" i="1"/>
  <c r="AM2199" i="1"/>
  <c r="BF2199" i="1"/>
  <c r="BG2199" i="1"/>
  <c r="T2200" i="1"/>
  <c r="U2200" i="1"/>
  <c r="V2200" i="1"/>
  <c r="W2200" i="1"/>
  <c r="X2200" i="1"/>
  <c r="Y2200" i="1"/>
  <c r="Z2200" i="1"/>
  <c r="AB2200" i="1"/>
  <c r="AF2200" i="1"/>
  <c r="AI2200" i="1"/>
  <c r="H2201" i="1"/>
  <c r="AE2201" i="1"/>
  <c r="I2201" i="1"/>
  <c r="J2201" i="1"/>
  <c r="K2201" i="1"/>
  <c r="AC2201" i="1"/>
  <c r="AJ2200" i="1"/>
  <c r="AK2200" i="1"/>
  <c r="AM2200" i="1"/>
  <c r="BF2200" i="1"/>
  <c r="BG2200" i="1"/>
  <c r="T2201" i="1"/>
  <c r="U2201" i="1"/>
  <c r="V2201" i="1"/>
  <c r="W2201" i="1"/>
  <c r="X2201" i="1"/>
  <c r="Y2201" i="1"/>
  <c r="Z2201" i="1"/>
  <c r="AB2201" i="1"/>
  <c r="AF2201" i="1"/>
  <c r="AI2201" i="1"/>
  <c r="AE2202" i="1"/>
  <c r="AC2202" i="1"/>
  <c r="AJ2201" i="1"/>
  <c r="AK2201" i="1"/>
  <c r="AM2201" i="1"/>
  <c r="BF2201" i="1"/>
  <c r="BG2201" i="1"/>
  <c r="T2202" i="1"/>
  <c r="U2202" i="1"/>
  <c r="V2202" i="1"/>
  <c r="W2202" i="1"/>
  <c r="X2202" i="1"/>
  <c r="Y2202" i="1"/>
  <c r="Z2202" i="1"/>
  <c r="AB2202" i="1"/>
  <c r="AF2202" i="1"/>
  <c r="AI2202" i="1"/>
  <c r="AE2203" i="1"/>
  <c r="AC2203" i="1"/>
  <c r="AJ2202" i="1"/>
  <c r="AK2202" i="1"/>
  <c r="AM2202" i="1"/>
  <c r="BF2202" i="1"/>
  <c r="BG2202" i="1"/>
  <c r="T2203" i="1"/>
  <c r="U2203" i="1"/>
  <c r="V2203" i="1"/>
  <c r="W2203" i="1"/>
  <c r="X2203" i="1"/>
  <c r="Y2203" i="1"/>
  <c r="Z2203" i="1"/>
  <c r="AB2203" i="1"/>
  <c r="AF2203" i="1"/>
  <c r="AI2203" i="1"/>
  <c r="H2204" i="1"/>
  <c r="AE2204" i="1"/>
  <c r="I2204" i="1"/>
  <c r="J2204" i="1"/>
  <c r="K2204" i="1"/>
  <c r="AC2204" i="1"/>
  <c r="AJ2203" i="1"/>
  <c r="AK2203" i="1"/>
  <c r="AM2203" i="1"/>
  <c r="BG2203" i="1"/>
  <c r="T2204" i="1"/>
  <c r="U2204" i="1"/>
  <c r="V2204" i="1"/>
  <c r="W2204" i="1"/>
  <c r="X2204" i="1"/>
  <c r="Y2204" i="1"/>
  <c r="Z2204" i="1"/>
  <c r="AB2204" i="1"/>
  <c r="AF2204" i="1"/>
  <c r="AI2204" i="1"/>
  <c r="H2205" i="1"/>
  <c r="AE2205" i="1"/>
  <c r="I2205" i="1"/>
  <c r="J2205" i="1"/>
  <c r="K2205" i="1"/>
  <c r="AC2205" i="1"/>
  <c r="AJ2204" i="1"/>
  <c r="AK2204" i="1"/>
  <c r="AM2204" i="1"/>
  <c r="BF2204" i="1"/>
  <c r="BG2204" i="1"/>
  <c r="T2205" i="1"/>
  <c r="U2205" i="1"/>
  <c r="V2205" i="1"/>
  <c r="W2205" i="1"/>
  <c r="X2205" i="1"/>
  <c r="Y2205" i="1"/>
  <c r="Z2205" i="1"/>
  <c r="AB2205" i="1"/>
  <c r="AF2205" i="1"/>
  <c r="AI2205" i="1"/>
  <c r="H2206" i="1"/>
  <c r="AE2206" i="1"/>
  <c r="I2206" i="1"/>
  <c r="J2206" i="1"/>
  <c r="K2206" i="1"/>
  <c r="AC2206" i="1"/>
  <c r="AJ2205" i="1"/>
  <c r="AK2205" i="1"/>
  <c r="AM2205" i="1"/>
  <c r="BF2205" i="1"/>
  <c r="BG2205" i="1"/>
  <c r="T2206" i="1"/>
  <c r="U2206" i="1"/>
  <c r="V2206" i="1"/>
  <c r="W2206" i="1"/>
  <c r="X2206" i="1"/>
  <c r="Y2206" i="1"/>
  <c r="Z2206" i="1"/>
  <c r="AB2206" i="1"/>
  <c r="AF2206" i="1"/>
  <c r="AI2206" i="1"/>
  <c r="H2207" i="1"/>
  <c r="AE2207" i="1"/>
  <c r="I2207" i="1"/>
  <c r="J2207" i="1"/>
  <c r="K2207" i="1"/>
  <c r="AC2207" i="1"/>
  <c r="AJ2206" i="1"/>
  <c r="AK2206" i="1"/>
  <c r="AM2206" i="1"/>
  <c r="BF2206" i="1"/>
  <c r="BG2206" i="1"/>
  <c r="T2207" i="1"/>
  <c r="U2207" i="1"/>
  <c r="V2207" i="1"/>
  <c r="W2207" i="1"/>
  <c r="X2207" i="1"/>
  <c r="Y2207" i="1"/>
  <c r="Z2207" i="1"/>
  <c r="AB2207" i="1"/>
  <c r="AF2207" i="1"/>
  <c r="AI2207" i="1"/>
  <c r="H2208" i="1"/>
  <c r="AE2208" i="1"/>
  <c r="I2208" i="1"/>
  <c r="J2208" i="1"/>
  <c r="K2208" i="1"/>
  <c r="AC2208" i="1"/>
  <c r="AJ2207" i="1"/>
  <c r="AK2207" i="1"/>
  <c r="AM2207" i="1"/>
  <c r="BF2207" i="1"/>
  <c r="BG2207" i="1"/>
  <c r="T2208" i="1"/>
  <c r="U2208" i="1"/>
  <c r="V2208" i="1"/>
  <c r="W2208" i="1"/>
  <c r="X2208" i="1"/>
  <c r="Y2208" i="1"/>
  <c r="Z2208" i="1"/>
  <c r="AB2208" i="1"/>
  <c r="AF2208" i="1"/>
  <c r="AI2208" i="1"/>
  <c r="H2209" i="1"/>
  <c r="AE2209" i="1"/>
  <c r="I2209" i="1"/>
  <c r="J2209" i="1"/>
  <c r="K2209" i="1"/>
  <c r="AC2209" i="1"/>
  <c r="AJ2208" i="1"/>
  <c r="AK2208" i="1"/>
  <c r="AM2208" i="1"/>
  <c r="BF2208" i="1"/>
  <c r="BG2208" i="1"/>
  <c r="T2209" i="1"/>
  <c r="U2209" i="1"/>
  <c r="V2209" i="1"/>
  <c r="W2209" i="1"/>
  <c r="X2209" i="1"/>
  <c r="Y2209" i="1"/>
  <c r="Z2209" i="1"/>
  <c r="AB2209" i="1"/>
  <c r="AF2209" i="1"/>
  <c r="AI2209" i="1"/>
  <c r="AE2210" i="1"/>
  <c r="AC2210" i="1"/>
  <c r="AJ2209" i="1"/>
  <c r="AK2209" i="1"/>
  <c r="AM2209" i="1"/>
  <c r="BF2209" i="1"/>
  <c r="BG2209" i="1"/>
  <c r="T2210" i="1"/>
  <c r="U2210" i="1"/>
  <c r="V2210" i="1"/>
  <c r="W2210" i="1"/>
  <c r="X2210" i="1"/>
  <c r="Y2210" i="1"/>
  <c r="Z2210" i="1"/>
  <c r="AB2210" i="1"/>
  <c r="AF2210" i="1"/>
  <c r="AI2210" i="1"/>
  <c r="AE2211" i="1"/>
  <c r="AC2211" i="1"/>
  <c r="AJ2210" i="1"/>
  <c r="AK2210" i="1"/>
  <c r="AM2210" i="1"/>
  <c r="BF2210" i="1"/>
  <c r="BG2210" i="1"/>
  <c r="T2211" i="1"/>
  <c r="U2211" i="1"/>
  <c r="V2211" i="1"/>
  <c r="W2211" i="1"/>
  <c r="X2211" i="1"/>
  <c r="Y2211" i="1"/>
  <c r="Z2211" i="1"/>
  <c r="AB2211" i="1"/>
  <c r="AF2211" i="1"/>
  <c r="AI2211" i="1"/>
  <c r="H2212" i="1"/>
  <c r="AE2212" i="1"/>
  <c r="I2212" i="1"/>
  <c r="J2212" i="1"/>
  <c r="K2212" i="1"/>
  <c r="AC2212" i="1"/>
  <c r="AJ2211" i="1"/>
  <c r="AK2211" i="1"/>
  <c r="AM2211" i="1"/>
  <c r="BG2211" i="1"/>
  <c r="T2212" i="1"/>
  <c r="U2212" i="1"/>
  <c r="V2212" i="1"/>
  <c r="W2212" i="1"/>
  <c r="X2212" i="1"/>
  <c r="Y2212" i="1"/>
  <c r="Z2212" i="1"/>
  <c r="AB2212" i="1"/>
  <c r="AF2212" i="1"/>
  <c r="AI2212" i="1"/>
  <c r="H2213" i="1"/>
  <c r="AE2213" i="1"/>
  <c r="I2213" i="1"/>
  <c r="J2213" i="1"/>
  <c r="K2213" i="1"/>
  <c r="AC2213" i="1"/>
  <c r="AJ2212" i="1"/>
  <c r="AK2212" i="1"/>
  <c r="AM2212" i="1"/>
  <c r="BF2212" i="1"/>
  <c r="BG2212" i="1"/>
  <c r="T2213" i="1"/>
  <c r="U2213" i="1"/>
  <c r="V2213" i="1"/>
  <c r="W2213" i="1"/>
  <c r="X2213" i="1"/>
  <c r="Y2213" i="1"/>
  <c r="Z2213" i="1"/>
  <c r="AB2213" i="1"/>
  <c r="AF2213" i="1"/>
  <c r="AI2213" i="1"/>
  <c r="H2214" i="1"/>
  <c r="AE2214" i="1"/>
  <c r="I2214" i="1"/>
  <c r="J2214" i="1"/>
  <c r="K2214" i="1"/>
  <c r="AC2214" i="1"/>
  <c r="AJ2213" i="1"/>
  <c r="AK2213" i="1"/>
  <c r="AM2213" i="1"/>
  <c r="BF2213" i="1"/>
  <c r="BG2213" i="1"/>
  <c r="T2214" i="1"/>
  <c r="U2214" i="1"/>
  <c r="V2214" i="1"/>
  <c r="W2214" i="1"/>
  <c r="X2214" i="1"/>
  <c r="Y2214" i="1"/>
  <c r="Z2214" i="1"/>
  <c r="AB2214" i="1"/>
  <c r="AF2214" i="1"/>
  <c r="AI2214" i="1"/>
  <c r="H2215" i="1"/>
  <c r="AE2215" i="1"/>
  <c r="I2215" i="1"/>
  <c r="J2215" i="1"/>
  <c r="K2215" i="1"/>
  <c r="AC2215" i="1"/>
  <c r="AJ2214" i="1"/>
  <c r="AK2214" i="1"/>
  <c r="AM2214" i="1"/>
  <c r="BF2214" i="1"/>
  <c r="BG2214" i="1"/>
  <c r="T2215" i="1"/>
  <c r="U2215" i="1"/>
  <c r="V2215" i="1"/>
  <c r="W2215" i="1"/>
  <c r="X2215" i="1"/>
  <c r="Y2215" i="1"/>
  <c r="Z2215" i="1"/>
  <c r="AB2215" i="1"/>
  <c r="AF2215" i="1"/>
  <c r="AI2215" i="1"/>
  <c r="H2216" i="1"/>
  <c r="AE2216" i="1"/>
  <c r="I2216" i="1"/>
  <c r="J2216" i="1"/>
  <c r="K2216" i="1"/>
  <c r="AC2216" i="1"/>
  <c r="AJ2215" i="1"/>
  <c r="AK2215" i="1"/>
  <c r="AM2215" i="1"/>
  <c r="BF2215" i="1"/>
  <c r="BG2215" i="1"/>
  <c r="T2216" i="1"/>
  <c r="U2216" i="1"/>
  <c r="V2216" i="1"/>
  <c r="W2216" i="1"/>
  <c r="X2216" i="1"/>
  <c r="Y2216" i="1"/>
  <c r="Z2216" i="1"/>
  <c r="AB2216" i="1"/>
  <c r="AF2216" i="1"/>
  <c r="AI2216" i="1"/>
  <c r="H2217" i="1"/>
  <c r="AE2217" i="1"/>
  <c r="I2217" i="1"/>
  <c r="J2217" i="1"/>
  <c r="K2217" i="1"/>
  <c r="AC2217" i="1"/>
  <c r="AJ2216" i="1"/>
  <c r="AK2216" i="1"/>
  <c r="AM2216" i="1"/>
  <c r="BF2216" i="1"/>
  <c r="BG2216" i="1"/>
  <c r="T2217" i="1"/>
  <c r="U2217" i="1"/>
  <c r="V2217" i="1"/>
  <c r="W2217" i="1"/>
  <c r="X2217" i="1"/>
  <c r="Y2217" i="1"/>
  <c r="Z2217" i="1"/>
  <c r="AB2217" i="1"/>
  <c r="AF2217" i="1"/>
  <c r="AI2217" i="1"/>
  <c r="H2218" i="1"/>
  <c r="AE2218" i="1"/>
  <c r="I2218" i="1"/>
  <c r="J2218" i="1"/>
  <c r="K2218" i="1"/>
  <c r="AC2218" i="1"/>
  <c r="AJ2217" i="1"/>
  <c r="AK2217" i="1"/>
  <c r="AM2217" i="1"/>
  <c r="BF2217" i="1"/>
  <c r="BG2217" i="1"/>
  <c r="T2218" i="1"/>
  <c r="U2218" i="1"/>
  <c r="V2218" i="1"/>
  <c r="W2218" i="1"/>
  <c r="X2218" i="1"/>
  <c r="Y2218" i="1"/>
  <c r="Z2218" i="1"/>
  <c r="AB2218" i="1"/>
  <c r="AF2218" i="1"/>
  <c r="AI2218" i="1"/>
  <c r="H2219" i="1"/>
  <c r="AE2219" i="1"/>
  <c r="I2219" i="1"/>
  <c r="J2219" i="1"/>
  <c r="K2219" i="1"/>
  <c r="AC2219" i="1"/>
  <c r="AJ2218" i="1"/>
  <c r="AK2218" i="1"/>
  <c r="AM2218" i="1"/>
  <c r="BF2218" i="1"/>
  <c r="BG2218" i="1"/>
  <c r="T2219" i="1"/>
  <c r="U2219" i="1"/>
  <c r="V2219" i="1"/>
  <c r="W2219" i="1"/>
  <c r="X2219" i="1"/>
  <c r="Y2219" i="1"/>
  <c r="Z2219" i="1"/>
  <c r="AB2219" i="1"/>
  <c r="AF2219" i="1"/>
  <c r="AI2219" i="1"/>
  <c r="H2220" i="1"/>
  <c r="AE2220" i="1"/>
  <c r="I2220" i="1"/>
  <c r="J2220" i="1"/>
  <c r="K2220" i="1"/>
  <c r="AC2220" i="1"/>
  <c r="AJ2219" i="1"/>
  <c r="AK2219" i="1"/>
  <c r="AM2219" i="1"/>
  <c r="BF2219" i="1"/>
  <c r="BG2219" i="1"/>
  <c r="T2220" i="1"/>
  <c r="U2220" i="1"/>
  <c r="V2220" i="1"/>
  <c r="W2220" i="1"/>
  <c r="X2220" i="1"/>
  <c r="Y2220" i="1"/>
  <c r="Z2220" i="1"/>
  <c r="AB2220" i="1"/>
  <c r="AF2220" i="1"/>
  <c r="AI2220" i="1"/>
  <c r="H2221" i="1"/>
  <c r="AE2221" i="1"/>
  <c r="I2221" i="1"/>
  <c r="J2221" i="1"/>
  <c r="K2221" i="1"/>
  <c r="AC2221" i="1"/>
  <c r="AJ2220" i="1"/>
  <c r="AK2220" i="1"/>
  <c r="AM2220" i="1"/>
  <c r="BF2220" i="1"/>
  <c r="BG2220" i="1"/>
  <c r="T2221" i="1"/>
  <c r="U2221" i="1"/>
  <c r="V2221" i="1"/>
  <c r="W2221" i="1"/>
  <c r="X2221" i="1"/>
  <c r="Y2221" i="1"/>
  <c r="Z2221" i="1"/>
  <c r="AB2221" i="1"/>
  <c r="AF2221" i="1"/>
  <c r="AI2221" i="1"/>
  <c r="H2222" i="1"/>
  <c r="AE2222" i="1"/>
  <c r="I2222" i="1"/>
  <c r="J2222" i="1"/>
  <c r="K2222" i="1"/>
  <c r="AC2222" i="1"/>
  <c r="AJ2221" i="1"/>
  <c r="AK2221" i="1"/>
  <c r="AM2221" i="1"/>
  <c r="BF2221" i="1"/>
  <c r="BG2221" i="1"/>
  <c r="T2222" i="1"/>
  <c r="U2222" i="1"/>
  <c r="V2222" i="1"/>
  <c r="W2222" i="1"/>
  <c r="X2222" i="1"/>
  <c r="Y2222" i="1"/>
  <c r="Z2222" i="1"/>
  <c r="AB2222" i="1"/>
  <c r="AF2222" i="1"/>
  <c r="AI2222" i="1"/>
  <c r="AE2223" i="1"/>
  <c r="AC2223" i="1"/>
  <c r="AJ2222" i="1"/>
  <c r="AK2222" i="1"/>
  <c r="AM2222" i="1"/>
  <c r="BF2222" i="1"/>
  <c r="BG2222" i="1"/>
  <c r="T2223" i="1"/>
  <c r="U2223" i="1"/>
  <c r="V2223" i="1"/>
  <c r="W2223" i="1"/>
  <c r="X2223" i="1"/>
  <c r="Y2223" i="1"/>
  <c r="Z2223" i="1"/>
  <c r="AB2223" i="1"/>
  <c r="AF2223" i="1"/>
  <c r="AI2223" i="1"/>
  <c r="AE2224" i="1"/>
  <c r="AC2224" i="1"/>
  <c r="AJ2223" i="1"/>
  <c r="AK2223" i="1"/>
  <c r="AM2223" i="1"/>
  <c r="BF2223" i="1"/>
  <c r="BG2223" i="1"/>
  <c r="T2224" i="1"/>
  <c r="U2224" i="1"/>
  <c r="V2224" i="1"/>
  <c r="W2224" i="1"/>
  <c r="X2224" i="1"/>
  <c r="Y2224" i="1"/>
  <c r="Z2224" i="1"/>
  <c r="AB2224" i="1"/>
  <c r="AF2224" i="1"/>
  <c r="AI2224" i="1"/>
  <c r="H2225" i="1"/>
  <c r="AE2225" i="1"/>
  <c r="I2225" i="1"/>
  <c r="J2225" i="1"/>
  <c r="K2225" i="1"/>
  <c r="AC2225" i="1"/>
  <c r="AJ2224" i="1"/>
  <c r="AK2224" i="1"/>
  <c r="AM2224" i="1"/>
  <c r="BG2224" i="1"/>
  <c r="T2225" i="1"/>
  <c r="U2225" i="1"/>
  <c r="V2225" i="1"/>
  <c r="W2225" i="1"/>
  <c r="X2225" i="1"/>
  <c r="Y2225" i="1"/>
  <c r="Z2225" i="1"/>
  <c r="AB2225" i="1"/>
  <c r="AF2225" i="1"/>
  <c r="AI2225" i="1"/>
  <c r="AE2226" i="1"/>
  <c r="AC2226" i="1"/>
  <c r="AJ2225" i="1"/>
  <c r="AK2225" i="1"/>
  <c r="AM2225" i="1"/>
  <c r="BF2225" i="1"/>
  <c r="BG2225" i="1"/>
  <c r="T2226" i="1"/>
  <c r="U2226" i="1"/>
  <c r="V2226" i="1"/>
  <c r="W2226" i="1"/>
  <c r="X2226" i="1"/>
  <c r="Y2226" i="1"/>
  <c r="Z2226" i="1"/>
  <c r="AB2226" i="1"/>
  <c r="AF2226" i="1"/>
  <c r="AI2226" i="1"/>
  <c r="AE2227" i="1"/>
  <c r="AC2227" i="1"/>
  <c r="AJ2226" i="1"/>
  <c r="AK2226" i="1"/>
  <c r="AM2226" i="1"/>
  <c r="BF2226" i="1"/>
  <c r="BG2226" i="1"/>
  <c r="T2227" i="1"/>
  <c r="U2227" i="1"/>
  <c r="V2227" i="1"/>
  <c r="W2227" i="1"/>
  <c r="X2227" i="1"/>
  <c r="Y2227" i="1"/>
  <c r="Z2227" i="1"/>
  <c r="AB2227" i="1"/>
  <c r="AF2227" i="1"/>
  <c r="AI2227" i="1"/>
  <c r="H2228" i="1"/>
  <c r="AE2228" i="1"/>
  <c r="I2228" i="1"/>
  <c r="J2228" i="1"/>
  <c r="K2228" i="1"/>
  <c r="AC2228" i="1"/>
  <c r="AJ2227" i="1"/>
  <c r="AK2227" i="1"/>
  <c r="AM2227" i="1"/>
  <c r="BG2227" i="1"/>
  <c r="T2228" i="1"/>
  <c r="U2228" i="1"/>
  <c r="V2228" i="1"/>
  <c r="W2228" i="1"/>
  <c r="X2228" i="1"/>
  <c r="Y2228" i="1"/>
  <c r="Z2228" i="1"/>
  <c r="AB2228" i="1"/>
  <c r="AF2228" i="1"/>
  <c r="AI2228" i="1"/>
  <c r="AE2229" i="1"/>
  <c r="AC2229" i="1"/>
  <c r="AJ2228" i="1"/>
  <c r="AK2228" i="1"/>
  <c r="AM2228" i="1"/>
  <c r="BF2228" i="1"/>
  <c r="BG2228" i="1"/>
  <c r="T2229" i="1"/>
  <c r="U2229" i="1"/>
  <c r="V2229" i="1"/>
  <c r="W2229" i="1"/>
  <c r="X2229" i="1"/>
  <c r="Y2229" i="1"/>
  <c r="Z2229" i="1"/>
  <c r="AB2229" i="1"/>
  <c r="AF2229" i="1"/>
  <c r="AI2229" i="1"/>
  <c r="AE2230" i="1"/>
  <c r="AC2230" i="1"/>
  <c r="AJ2229" i="1"/>
  <c r="AK2229" i="1"/>
  <c r="AM2229" i="1"/>
  <c r="BF2229" i="1"/>
  <c r="BG2229" i="1"/>
  <c r="T2230" i="1"/>
  <c r="U2230" i="1"/>
  <c r="V2230" i="1"/>
  <c r="W2230" i="1"/>
  <c r="X2230" i="1"/>
  <c r="Y2230" i="1"/>
  <c r="Z2230" i="1"/>
  <c r="AB2230" i="1"/>
  <c r="AF2230" i="1"/>
  <c r="AI2230" i="1"/>
  <c r="H2231" i="1"/>
  <c r="AE2231" i="1"/>
  <c r="I2231" i="1"/>
  <c r="J2231" i="1"/>
  <c r="K2231" i="1"/>
  <c r="AC2231" i="1"/>
  <c r="AJ2230" i="1"/>
  <c r="AK2230" i="1"/>
  <c r="AM2230" i="1"/>
  <c r="BG2230" i="1"/>
  <c r="T2231" i="1"/>
  <c r="U2231" i="1"/>
  <c r="V2231" i="1"/>
  <c r="W2231" i="1"/>
  <c r="X2231" i="1"/>
  <c r="Y2231" i="1"/>
  <c r="Z2231" i="1"/>
  <c r="AB2231" i="1"/>
  <c r="AF2231" i="1"/>
  <c r="AI2231" i="1"/>
  <c r="AE2232" i="1"/>
  <c r="AC2232" i="1"/>
  <c r="AJ2231" i="1"/>
  <c r="AK2231" i="1"/>
  <c r="AM2231" i="1"/>
  <c r="BF2231" i="1"/>
  <c r="BG2231" i="1"/>
  <c r="T2232" i="1"/>
  <c r="U2232" i="1"/>
  <c r="V2232" i="1"/>
  <c r="W2232" i="1"/>
  <c r="X2232" i="1"/>
  <c r="Y2232" i="1"/>
  <c r="Z2232" i="1"/>
  <c r="AB2232" i="1"/>
  <c r="AF2232" i="1"/>
  <c r="AI2232" i="1"/>
  <c r="AE2233" i="1"/>
  <c r="AC2233" i="1"/>
  <c r="AJ2232" i="1"/>
  <c r="AK2232" i="1"/>
  <c r="AM2232" i="1"/>
  <c r="BF2232" i="1"/>
  <c r="BG2232" i="1"/>
  <c r="T2233" i="1"/>
  <c r="U2233" i="1"/>
  <c r="V2233" i="1"/>
  <c r="W2233" i="1"/>
  <c r="X2233" i="1"/>
  <c r="Y2233" i="1"/>
  <c r="Z2233" i="1"/>
  <c r="AB2233" i="1"/>
  <c r="AF2233" i="1"/>
  <c r="AI2233" i="1"/>
  <c r="H2234" i="1"/>
  <c r="AE2234" i="1"/>
  <c r="I2234" i="1"/>
  <c r="J2234" i="1"/>
  <c r="K2234" i="1"/>
  <c r="AC2234" i="1"/>
  <c r="AJ2233" i="1"/>
  <c r="AK2233" i="1"/>
  <c r="AM2233" i="1"/>
  <c r="BG2233" i="1"/>
  <c r="T2234" i="1"/>
  <c r="U2234" i="1"/>
  <c r="V2234" i="1"/>
  <c r="W2234" i="1"/>
  <c r="X2234" i="1"/>
  <c r="Y2234" i="1"/>
  <c r="Z2234" i="1"/>
  <c r="AB2234" i="1"/>
  <c r="AF2234" i="1"/>
  <c r="AI2234" i="1"/>
  <c r="H2235" i="1"/>
  <c r="AE2235" i="1"/>
  <c r="I2235" i="1"/>
  <c r="J2235" i="1"/>
  <c r="K2235" i="1"/>
  <c r="AC2235" i="1"/>
  <c r="AJ2234" i="1"/>
  <c r="AK2234" i="1"/>
  <c r="AM2234" i="1"/>
  <c r="BF2234" i="1"/>
  <c r="BG2234" i="1"/>
  <c r="T2235" i="1"/>
  <c r="U2235" i="1"/>
  <c r="V2235" i="1"/>
  <c r="W2235" i="1"/>
  <c r="X2235" i="1"/>
  <c r="Y2235" i="1"/>
  <c r="Z2235" i="1"/>
  <c r="AB2235" i="1"/>
  <c r="AF2235" i="1"/>
  <c r="AI2235" i="1"/>
  <c r="AE2236" i="1"/>
  <c r="AC2236" i="1"/>
  <c r="AJ2235" i="1"/>
  <c r="AK2235" i="1"/>
  <c r="AM2235" i="1"/>
  <c r="BF2235" i="1"/>
  <c r="BG2235" i="1"/>
  <c r="T2236" i="1"/>
  <c r="U2236" i="1"/>
  <c r="V2236" i="1"/>
  <c r="W2236" i="1"/>
  <c r="X2236" i="1"/>
  <c r="Y2236" i="1"/>
  <c r="Z2236" i="1"/>
  <c r="AB2236" i="1"/>
  <c r="AF2236" i="1"/>
  <c r="AI2236" i="1"/>
  <c r="AE2237" i="1"/>
  <c r="AC2237" i="1"/>
  <c r="AJ2236" i="1"/>
  <c r="AK2236" i="1"/>
  <c r="AM2236" i="1"/>
  <c r="BF2236" i="1"/>
  <c r="BG2236" i="1"/>
  <c r="T2237" i="1"/>
  <c r="U2237" i="1"/>
  <c r="V2237" i="1"/>
  <c r="W2237" i="1"/>
  <c r="X2237" i="1"/>
  <c r="Y2237" i="1"/>
  <c r="Z2237" i="1"/>
  <c r="AB2237" i="1"/>
  <c r="AF2237" i="1"/>
  <c r="AI2237" i="1"/>
  <c r="H2238" i="1"/>
  <c r="AE2238" i="1"/>
  <c r="I2238" i="1"/>
  <c r="J2238" i="1"/>
  <c r="K2238" i="1"/>
  <c r="AC2238" i="1"/>
  <c r="AJ2237" i="1"/>
  <c r="AK2237" i="1"/>
  <c r="AM2237" i="1"/>
  <c r="BG2237" i="1"/>
  <c r="T2238" i="1"/>
  <c r="U2238" i="1"/>
  <c r="V2238" i="1"/>
  <c r="W2238" i="1"/>
  <c r="X2238" i="1"/>
  <c r="Y2238" i="1"/>
  <c r="Z2238" i="1"/>
  <c r="AB2238" i="1"/>
  <c r="AF2238" i="1"/>
  <c r="AI2238" i="1"/>
  <c r="AE2239" i="1"/>
  <c r="AC2239" i="1"/>
  <c r="AJ2238" i="1"/>
  <c r="AK2238" i="1"/>
  <c r="AM2238" i="1"/>
  <c r="BF2238" i="1"/>
  <c r="BG2238" i="1"/>
  <c r="T2239" i="1"/>
  <c r="U2239" i="1"/>
  <c r="V2239" i="1"/>
  <c r="W2239" i="1"/>
  <c r="X2239" i="1"/>
  <c r="Y2239" i="1"/>
  <c r="Z2239" i="1"/>
  <c r="AB2239" i="1"/>
  <c r="AF2239" i="1"/>
  <c r="AI2239" i="1"/>
  <c r="AE2240" i="1"/>
  <c r="AC2240" i="1"/>
  <c r="AJ2239" i="1"/>
  <c r="AK2239" i="1"/>
  <c r="AM2239" i="1"/>
  <c r="BF2239" i="1"/>
  <c r="BG2239" i="1"/>
  <c r="T2240" i="1"/>
  <c r="U2240" i="1"/>
  <c r="V2240" i="1"/>
  <c r="W2240" i="1"/>
  <c r="X2240" i="1"/>
  <c r="Y2240" i="1"/>
  <c r="Z2240" i="1"/>
  <c r="AB2240" i="1"/>
  <c r="AF2240" i="1"/>
  <c r="AI2240" i="1"/>
  <c r="H2241" i="1"/>
  <c r="AE2241" i="1"/>
  <c r="I2241" i="1"/>
  <c r="J2241" i="1"/>
  <c r="K2241" i="1"/>
  <c r="AC2241" i="1"/>
  <c r="AJ2240" i="1"/>
  <c r="AK2240" i="1"/>
  <c r="AM2240" i="1"/>
  <c r="BG2240" i="1"/>
  <c r="T2241" i="1"/>
  <c r="U2241" i="1"/>
  <c r="V2241" i="1"/>
  <c r="W2241" i="1"/>
  <c r="X2241" i="1"/>
  <c r="Y2241" i="1"/>
  <c r="Z2241" i="1"/>
  <c r="AB2241" i="1"/>
  <c r="AF2241" i="1"/>
  <c r="AI2241" i="1"/>
  <c r="H2242" i="1"/>
  <c r="AE2242" i="1"/>
  <c r="I2242" i="1"/>
  <c r="J2242" i="1"/>
  <c r="K2242" i="1"/>
  <c r="AC2242" i="1"/>
  <c r="AJ2241" i="1"/>
  <c r="AK2241" i="1"/>
  <c r="AM2241" i="1"/>
  <c r="BF2241" i="1"/>
  <c r="BG2241" i="1"/>
  <c r="T2242" i="1"/>
  <c r="U2242" i="1"/>
  <c r="V2242" i="1"/>
  <c r="W2242" i="1"/>
  <c r="X2242" i="1"/>
  <c r="Y2242" i="1"/>
  <c r="Z2242" i="1"/>
  <c r="AB2242" i="1"/>
  <c r="AF2242" i="1"/>
  <c r="AI2242" i="1"/>
  <c r="H2243" i="1"/>
  <c r="AE2243" i="1"/>
  <c r="I2243" i="1"/>
  <c r="J2243" i="1"/>
  <c r="K2243" i="1"/>
  <c r="AC2243" i="1"/>
  <c r="AJ2242" i="1"/>
  <c r="AK2242" i="1"/>
  <c r="AM2242" i="1"/>
  <c r="BF2242" i="1"/>
  <c r="BG2242" i="1"/>
  <c r="T2243" i="1"/>
  <c r="U2243" i="1"/>
  <c r="V2243" i="1"/>
  <c r="W2243" i="1"/>
  <c r="X2243" i="1"/>
  <c r="Y2243" i="1"/>
  <c r="Z2243" i="1"/>
  <c r="AB2243" i="1"/>
  <c r="AF2243" i="1"/>
  <c r="AI2243" i="1"/>
  <c r="H2244" i="1"/>
  <c r="AE2244" i="1"/>
  <c r="I2244" i="1"/>
  <c r="J2244" i="1"/>
  <c r="K2244" i="1"/>
  <c r="AC2244" i="1"/>
  <c r="AJ2243" i="1"/>
  <c r="AK2243" i="1"/>
  <c r="AM2243" i="1"/>
  <c r="BF2243" i="1"/>
  <c r="BG2243" i="1"/>
  <c r="T2244" i="1"/>
  <c r="U2244" i="1"/>
  <c r="V2244" i="1"/>
  <c r="W2244" i="1"/>
  <c r="X2244" i="1"/>
  <c r="Y2244" i="1"/>
  <c r="Z2244" i="1"/>
  <c r="AB2244" i="1"/>
  <c r="AF2244" i="1"/>
  <c r="AI2244" i="1"/>
  <c r="H2245" i="1"/>
  <c r="AE2245" i="1"/>
  <c r="I2245" i="1"/>
  <c r="J2245" i="1"/>
  <c r="K2245" i="1"/>
  <c r="AC2245" i="1"/>
  <c r="AJ2244" i="1"/>
  <c r="AK2244" i="1"/>
  <c r="AM2244" i="1"/>
  <c r="BF2244" i="1"/>
  <c r="BG2244" i="1"/>
  <c r="T2245" i="1"/>
  <c r="U2245" i="1"/>
  <c r="V2245" i="1"/>
  <c r="W2245" i="1"/>
  <c r="X2245" i="1"/>
  <c r="Y2245" i="1"/>
  <c r="Z2245" i="1"/>
  <c r="AB2245" i="1"/>
  <c r="AF2245" i="1"/>
  <c r="AI2245" i="1"/>
  <c r="H2246" i="1"/>
  <c r="AE2246" i="1"/>
  <c r="I2246" i="1"/>
  <c r="J2246" i="1"/>
  <c r="K2246" i="1"/>
  <c r="AC2246" i="1"/>
  <c r="AJ2245" i="1"/>
  <c r="AK2245" i="1"/>
  <c r="AM2245" i="1"/>
  <c r="BF2245" i="1"/>
  <c r="BG2245" i="1"/>
  <c r="T2246" i="1"/>
  <c r="U2246" i="1"/>
  <c r="V2246" i="1"/>
  <c r="W2246" i="1"/>
  <c r="X2246" i="1"/>
  <c r="Y2246" i="1"/>
  <c r="Z2246" i="1"/>
  <c r="AB2246" i="1"/>
  <c r="AF2246" i="1"/>
  <c r="AI2246" i="1"/>
  <c r="AE2247" i="1"/>
  <c r="AC2247" i="1"/>
  <c r="AJ2246" i="1"/>
  <c r="AK2246" i="1"/>
  <c r="AM2246" i="1"/>
  <c r="BF2246" i="1"/>
  <c r="BG2246" i="1"/>
  <c r="T2247" i="1"/>
  <c r="U2247" i="1"/>
  <c r="V2247" i="1"/>
  <c r="W2247" i="1"/>
  <c r="X2247" i="1"/>
  <c r="Y2247" i="1"/>
  <c r="Z2247" i="1"/>
  <c r="AB2247" i="1"/>
  <c r="AF2247" i="1"/>
  <c r="AI2247" i="1"/>
  <c r="AE2248" i="1"/>
  <c r="AC2248" i="1"/>
  <c r="AJ2247" i="1"/>
  <c r="AK2247" i="1"/>
  <c r="AM2247" i="1"/>
  <c r="BF2247" i="1"/>
  <c r="BG2247" i="1"/>
  <c r="T2248" i="1"/>
  <c r="U2248" i="1"/>
  <c r="V2248" i="1"/>
  <c r="W2248" i="1"/>
  <c r="X2248" i="1"/>
  <c r="Y2248" i="1"/>
  <c r="Z2248" i="1"/>
  <c r="AB2248" i="1"/>
  <c r="AF2248" i="1"/>
  <c r="AI2248" i="1"/>
  <c r="H2249" i="1"/>
  <c r="AE2249" i="1"/>
  <c r="I2249" i="1"/>
  <c r="J2249" i="1"/>
  <c r="K2249" i="1"/>
  <c r="AC2249" i="1"/>
  <c r="AJ2248" i="1"/>
  <c r="AK2248" i="1"/>
  <c r="AM2248" i="1"/>
  <c r="BG2248" i="1"/>
  <c r="T2249" i="1"/>
  <c r="U2249" i="1"/>
  <c r="V2249" i="1"/>
  <c r="W2249" i="1"/>
  <c r="X2249" i="1"/>
  <c r="Y2249" i="1"/>
  <c r="Z2249" i="1"/>
  <c r="AB2249" i="1"/>
  <c r="AF2249" i="1"/>
  <c r="AI2249" i="1"/>
  <c r="AE2250" i="1"/>
  <c r="AC2250" i="1"/>
  <c r="AJ2249" i="1"/>
  <c r="AK2249" i="1"/>
  <c r="AM2249" i="1"/>
  <c r="BF2249" i="1"/>
  <c r="BG2249" i="1"/>
  <c r="T2250" i="1"/>
  <c r="U2250" i="1"/>
  <c r="V2250" i="1"/>
  <c r="W2250" i="1"/>
  <c r="X2250" i="1"/>
  <c r="Y2250" i="1"/>
  <c r="Z2250" i="1"/>
  <c r="AB2250" i="1"/>
  <c r="AF2250" i="1"/>
  <c r="AI2250" i="1"/>
  <c r="AE2251" i="1"/>
  <c r="AC2251" i="1"/>
  <c r="AJ2250" i="1"/>
  <c r="AK2250" i="1"/>
  <c r="AM2250" i="1"/>
  <c r="BF2250" i="1"/>
  <c r="BG2250" i="1"/>
  <c r="T2251" i="1"/>
  <c r="U2251" i="1"/>
  <c r="V2251" i="1"/>
  <c r="W2251" i="1"/>
  <c r="X2251" i="1"/>
  <c r="Y2251" i="1"/>
  <c r="Z2251" i="1"/>
  <c r="AB2251" i="1"/>
  <c r="AF2251" i="1"/>
  <c r="AI2251" i="1"/>
  <c r="H2252" i="1"/>
  <c r="AE2252" i="1"/>
  <c r="I2252" i="1"/>
  <c r="J2252" i="1"/>
  <c r="K2252" i="1"/>
  <c r="AC2252" i="1"/>
  <c r="AJ2251" i="1"/>
  <c r="AK2251" i="1"/>
  <c r="AM2251" i="1"/>
  <c r="BG2251" i="1"/>
  <c r="T2252" i="1"/>
  <c r="U2252" i="1"/>
  <c r="V2252" i="1"/>
  <c r="W2252" i="1"/>
  <c r="X2252" i="1"/>
  <c r="Y2252" i="1"/>
  <c r="Z2252" i="1"/>
  <c r="AB2252" i="1"/>
  <c r="AF2252" i="1"/>
  <c r="AI2252" i="1"/>
  <c r="H2253" i="1"/>
  <c r="AE2253" i="1"/>
  <c r="I2253" i="1"/>
  <c r="J2253" i="1"/>
  <c r="K2253" i="1"/>
  <c r="AC2253" i="1"/>
  <c r="AJ2252" i="1"/>
  <c r="AK2252" i="1"/>
  <c r="AM2252" i="1"/>
  <c r="BF2252" i="1"/>
  <c r="BG2252" i="1"/>
  <c r="T2253" i="1"/>
  <c r="U2253" i="1"/>
  <c r="V2253" i="1"/>
  <c r="W2253" i="1"/>
  <c r="X2253" i="1"/>
  <c r="Y2253" i="1"/>
  <c r="Z2253" i="1"/>
  <c r="AB2253" i="1"/>
  <c r="AF2253" i="1"/>
  <c r="AI2253" i="1"/>
  <c r="AE2254" i="1"/>
  <c r="AC2254" i="1"/>
  <c r="AJ2253" i="1"/>
  <c r="AK2253" i="1"/>
  <c r="AM2253" i="1"/>
  <c r="BF2253" i="1"/>
  <c r="BG2253" i="1"/>
  <c r="T2254" i="1"/>
  <c r="U2254" i="1"/>
  <c r="V2254" i="1"/>
  <c r="W2254" i="1"/>
  <c r="X2254" i="1"/>
  <c r="Y2254" i="1"/>
  <c r="Z2254" i="1"/>
  <c r="AB2254" i="1"/>
  <c r="AF2254" i="1"/>
  <c r="AI2254" i="1"/>
  <c r="AE2255" i="1"/>
  <c r="AC2255" i="1"/>
  <c r="AJ2254" i="1"/>
  <c r="AK2254" i="1"/>
  <c r="AM2254" i="1"/>
  <c r="BF2254" i="1"/>
  <c r="BG2254" i="1"/>
  <c r="T2255" i="1"/>
  <c r="U2255" i="1"/>
  <c r="V2255" i="1"/>
  <c r="W2255" i="1"/>
  <c r="X2255" i="1"/>
  <c r="Y2255" i="1"/>
  <c r="Z2255" i="1"/>
  <c r="AB2255" i="1"/>
  <c r="AF2255" i="1"/>
  <c r="AI2255" i="1"/>
  <c r="H2256" i="1"/>
  <c r="AE2256" i="1"/>
  <c r="I2256" i="1"/>
  <c r="J2256" i="1"/>
  <c r="K2256" i="1"/>
  <c r="AC2256" i="1"/>
  <c r="AJ2255" i="1"/>
  <c r="AK2255" i="1"/>
  <c r="AM2255" i="1"/>
  <c r="BG2255" i="1"/>
  <c r="T2256" i="1"/>
  <c r="U2256" i="1"/>
  <c r="V2256" i="1"/>
  <c r="W2256" i="1"/>
  <c r="X2256" i="1"/>
  <c r="Y2256" i="1"/>
  <c r="Z2256" i="1"/>
  <c r="AB2256" i="1"/>
  <c r="AF2256" i="1"/>
  <c r="AI2256" i="1"/>
  <c r="AE2257" i="1"/>
  <c r="AC2257" i="1"/>
  <c r="AJ2256" i="1"/>
  <c r="AK2256" i="1"/>
  <c r="AM2256" i="1"/>
  <c r="BF2256" i="1"/>
  <c r="BG2256" i="1"/>
  <c r="T2257" i="1"/>
  <c r="U2257" i="1"/>
  <c r="V2257" i="1"/>
  <c r="W2257" i="1"/>
  <c r="X2257" i="1"/>
  <c r="Y2257" i="1"/>
  <c r="Z2257" i="1"/>
  <c r="AB2257" i="1"/>
  <c r="AF2257" i="1"/>
  <c r="AI2257" i="1"/>
  <c r="AE2258" i="1"/>
  <c r="AC2258" i="1"/>
  <c r="AJ2257" i="1"/>
  <c r="AK2257" i="1"/>
  <c r="AM2257" i="1"/>
  <c r="BF2257" i="1"/>
  <c r="BG2257" i="1"/>
  <c r="T2258" i="1"/>
  <c r="U2258" i="1"/>
  <c r="V2258" i="1"/>
  <c r="W2258" i="1"/>
  <c r="X2258" i="1"/>
  <c r="Y2258" i="1"/>
  <c r="Z2258" i="1"/>
  <c r="AB2258" i="1"/>
  <c r="AF2258" i="1"/>
  <c r="AI2258" i="1"/>
  <c r="H2259" i="1"/>
  <c r="AE2259" i="1"/>
  <c r="I2259" i="1"/>
  <c r="J2259" i="1"/>
  <c r="K2259" i="1"/>
  <c r="AC2259" i="1"/>
  <c r="AJ2258" i="1"/>
  <c r="AK2258" i="1"/>
  <c r="AM2258" i="1"/>
  <c r="BG2258" i="1"/>
  <c r="T2259" i="1"/>
  <c r="U2259" i="1"/>
  <c r="V2259" i="1"/>
  <c r="W2259" i="1"/>
  <c r="X2259" i="1"/>
  <c r="Y2259" i="1"/>
  <c r="Z2259" i="1"/>
  <c r="AB2259" i="1"/>
  <c r="AF2259" i="1"/>
  <c r="AI2259" i="1"/>
  <c r="H2260" i="1"/>
  <c r="AE2260" i="1"/>
  <c r="I2260" i="1"/>
  <c r="J2260" i="1"/>
  <c r="K2260" i="1"/>
  <c r="AC2260" i="1"/>
  <c r="AJ2259" i="1"/>
  <c r="AK2259" i="1"/>
  <c r="AM2259" i="1"/>
  <c r="BF2259" i="1"/>
  <c r="BG2259" i="1"/>
  <c r="T2260" i="1"/>
  <c r="U2260" i="1"/>
  <c r="V2260" i="1"/>
  <c r="W2260" i="1"/>
  <c r="X2260" i="1"/>
  <c r="Y2260" i="1"/>
  <c r="Z2260" i="1"/>
  <c r="AB2260" i="1"/>
  <c r="AF2260" i="1"/>
  <c r="AI2260" i="1"/>
  <c r="H2261" i="1"/>
  <c r="AE2261" i="1"/>
  <c r="I2261" i="1"/>
  <c r="J2261" i="1"/>
  <c r="K2261" i="1"/>
  <c r="AC2261" i="1"/>
  <c r="AJ2260" i="1"/>
  <c r="AK2260" i="1"/>
  <c r="AM2260" i="1"/>
  <c r="BF2260" i="1"/>
  <c r="BG2260" i="1"/>
  <c r="T2261" i="1"/>
  <c r="U2261" i="1"/>
  <c r="V2261" i="1"/>
  <c r="W2261" i="1"/>
  <c r="X2261" i="1"/>
  <c r="Y2261" i="1"/>
  <c r="Z2261" i="1"/>
  <c r="AB2261" i="1"/>
  <c r="AF2261" i="1"/>
  <c r="AI2261" i="1"/>
  <c r="H2262" i="1"/>
  <c r="AE2262" i="1"/>
  <c r="I2262" i="1"/>
  <c r="J2262" i="1"/>
  <c r="K2262" i="1"/>
  <c r="AC2262" i="1"/>
  <c r="AJ2261" i="1"/>
  <c r="AK2261" i="1"/>
  <c r="AM2261" i="1"/>
  <c r="BF2261" i="1"/>
  <c r="BG2261" i="1"/>
  <c r="T2262" i="1"/>
  <c r="U2262" i="1"/>
  <c r="V2262" i="1"/>
  <c r="W2262" i="1"/>
  <c r="X2262" i="1"/>
  <c r="Y2262" i="1"/>
  <c r="Z2262" i="1"/>
  <c r="AB2262" i="1"/>
  <c r="AF2262" i="1"/>
  <c r="AI2262" i="1"/>
  <c r="H2263" i="1"/>
  <c r="AE2263" i="1"/>
  <c r="I2263" i="1"/>
  <c r="J2263" i="1"/>
  <c r="K2263" i="1"/>
  <c r="AC2263" i="1"/>
  <c r="AJ2262" i="1"/>
  <c r="AK2262" i="1"/>
  <c r="AM2262" i="1"/>
  <c r="BF2262" i="1"/>
  <c r="BG2262" i="1"/>
  <c r="T2263" i="1"/>
  <c r="U2263" i="1"/>
  <c r="V2263" i="1"/>
  <c r="W2263" i="1"/>
  <c r="X2263" i="1"/>
  <c r="Y2263" i="1"/>
  <c r="Z2263" i="1"/>
  <c r="AB2263" i="1"/>
  <c r="AF2263" i="1"/>
  <c r="AI2263" i="1"/>
  <c r="AE2264" i="1"/>
  <c r="AC2264" i="1"/>
  <c r="AJ2263" i="1"/>
  <c r="AK2263" i="1"/>
  <c r="AM2263" i="1"/>
  <c r="BF2263" i="1"/>
  <c r="BG2263" i="1"/>
  <c r="T2264" i="1"/>
  <c r="U2264" i="1"/>
  <c r="V2264" i="1"/>
  <c r="W2264" i="1"/>
  <c r="X2264" i="1"/>
  <c r="Y2264" i="1"/>
  <c r="Z2264" i="1"/>
  <c r="AB2264" i="1"/>
  <c r="AF2264" i="1"/>
  <c r="AI2264" i="1"/>
  <c r="AE2265" i="1"/>
  <c r="AC2265" i="1"/>
  <c r="AJ2264" i="1"/>
  <c r="AK2264" i="1"/>
  <c r="AM2264" i="1"/>
  <c r="BF2264" i="1"/>
  <c r="BG2264" i="1"/>
  <c r="T2265" i="1"/>
  <c r="U2265" i="1"/>
  <c r="V2265" i="1"/>
  <c r="W2265" i="1"/>
  <c r="X2265" i="1"/>
  <c r="Y2265" i="1"/>
  <c r="Z2265" i="1"/>
  <c r="AB2265" i="1"/>
  <c r="AF2265" i="1"/>
  <c r="AI2265" i="1"/>
  <c r="H2266" i="1"/>
  <c r="AE2266" i="1"/>
  <c r="I2266" i="1"/>
  <c r="J2266" i="1"/>
  <c r="K2266" i="1"/>
  <c r="AC2266" i="1"/>
  <c r="AJ2265" i="1"/>
  <c r="AK2265" i="1"/>
  <c r="AM2265" i="1"/>
  <c r="BG2265" i="1"/>
  <c r="T2266" i="1"/>
  <c r="U2266" i="1"/>
  <c r="V2266" i="1"/>
  <c r="W2266" i="1"/>
  <c r="X2266" i="1"/>
  <c r="Y2266" i="1"/>
  <c r="Z2266" i="1"/>
  <c r="AB2266" i="1"/>
  <c r="AF2266" i="1"/>
  <c r="AI2266" i="1"/>
  <c r="AE2267" i="1"/>
  <c r="AC2267" i="1"/>
  <c r="AJ2266" i="1"/>
  <c r="AK2266" i="1"/>
  <c r="AM2266" i="1"/>
  <c r="BF2266" i="1"/>
  <c r="BG2266" i="1"/>
  <c r="T2267" i="1"/>
  <c r="U2267" i="1"/>
  <c r="V2267" i="1"/>
  <c r="W2267" i="1"/>
  <c r="X2267" i="1"/>
  <c r="Y2267" i="1"/>
  <c r="Z2267" i="1"/>
  <c r="AB2267" i="1"/>
  <c r="AF2267" i="1"/>
  <c r="AI2267" i="1"/>
  <c r="AE2268" i="1"/>
  <c r="AC2268" i="1"/>
  <c r="AJ2267" i="1"/>
  <c r="AK2267" i="1"/>
  <c r="AM2267" i="1"/>
  <c r="BF2267" i="1"/>
  <c r="BG2267" i="1"/>
  <c r="T2268" i="1"/>
  <c r="U2268" i="1"/>
  <c r="V2268" i="1"/>
  <c r="W2268" i="1"/>
  <c r="X2268" i="1"/>
  <c r="Y2268" i="1"/>
  <c r="Z2268" i="1"/>
  <c r="AB2268" i="1"/>
  <c r="AF2268" i="1"/>
  <c r="AI2268" i="1"/>
  <c r="H2269" i="1"/>
  <c r="AE2269" i="1"/>
  <c r="I2269" i="1"/>
  <c r="J2269" i="1"/>
  <c r="K2269" i="1"/>
  <c r="AC2269" i="1"/>
  <c r="AJ2268" i="1"/>
  <c r="AK2268" i="1"/>
  <c r="AM2268" i="1"/>
  <c r="BG2268" i="1"/>
  <c r="T2269" i="1"/>
  <c r="U2269" i="1"/>
  <c r="V2269" i="1"/>
  <c r="W2269" i="1"/>
  <c r="X2269" i="1"/>
  <c r="Y2269" i="1"/>
  <c r="Z2269" i="1"/>
  <c r="AB2269" i="1"/>
  <c r="AF2269" i="1"/>
  <c r="AI2269" i="1"/>
  <c r="H2270" i="1"/>
  <c r="AE2270" i="1"/>
  <c r="I2270" i="1"/>
  <c r="J2270" i="1"/>
  <c r="K2270" i="1"/>
  <c r="AC2270" i="1"/>
  <c r="AJ2269" i="1"/>
  <c r="AK2269" i="1"/>
  <c r="AM2269" i="1"/>
  <c r="BF2269" i="1"/>
  <c r="BG2269" i="1"/>
  <c r="T2270" i="1"/>
  <c r="U2270" i="1"/>
  <c r="V2270" i="1"/>
  <c r="W2270" i="1"/>
  <c r="X2270" i="1"/>
  <c r="Y2270" i="1"/>
  <c r="Z2270" i="1"/>
  <c r="AB2270" i="1"/>
  <c r="AF2270" i="1"/>
  <c r="AI2270" i="1"/>
  <c r="H2271" i="1"/>
  <c r="AE2271" i="1"/>
  <c r="I2271" i="1"/>
  <c r="J2271" i="1"/>
  <c r="K2271" i="1"/>
  <c r="AC2271" i="1"/>
  <c r="AJ2270" i="1"/>
  <c r="AK2270" i="1"/>
  <c r="AM2270" i="1"/>
  <c r="BF2270" i="1"/>
  <c r="BG2270" i="1"/>
  <c r="T2271" i="1"/>
  <c r="U2271" i="1"/>
  <c r="V2271" i="1"/>
  <c r="W2271" i="1"/>
  <c r="X2271" i="1"/>
  <c r="Y2271" i="1"/>
  <c r="Z2271" i="1"/>
  <c r="AB2271" i="1"/>
  <c r="AF2271" i="1"/>
  <c r="AI2271" i="1"/>
  <c r="H2272" i="1"/>
  <c r="AE2272" i="1"/>
  <c r="I2272" i="1"/>
  <c r="J2272" i="1"/>
  <c r="K2272" i="1"/>
  <c r="AC2272" i="1"/>
  <c r="AJ2271" i="1"/>
  <c r="AK2271" i="1"/>
  <c r="AM2271" i="1"/>
  <c r="BF2271" i="1"/>
  <c r="BG2271" i="1"/>
  <c r="T2272" i="1"/>
  <c r="U2272" i="1"/>
  <c r="V2272" i="1"/>
  <c r="W2272" i="1"/>
  <c r="X2272" i="1"/>
  <c r="Y2272" i="1"/>
  <c r="Z2272" i="1"/>
  <c r="AB2272" i="1"/>
  <c r="AF2272" i="1"/>
  <c r="AI2272" i="1"/>
  <c r="H2273" i="1"/>
  <c r="AE2273" i="1"/>
  <c r="I2273" i="1"/>
  <c r="J2273" i="1"/>
  <c r="K2273" i="1"/>
  <c r="AC2273" i="1"/>
  <c r="AJ2272" i="1"/>
  <c r="AK2272" i="1"/>
  <c r="AM2272" i="1"/>
  <c r="BF2272" i="1"/>
  <c r="BG2272" i="1"/>
  <c r="T2273" i="1"/>
  <c r="U2273" i="1"/>
  <c r="V2273" i="1"/>
  <c r="W2273" i="1"/>
  <c r="X2273" i="1"/>
  <c r="Y2273" i="1"/>
  <c r="Z2273" i="1"/>
  <c r="AB2273" i="1"/>
  <c r="AF2273" i="1"/>
  <c r="AI2273" i="1"/>
  <c r="H2274" i="1"/>
  <c r="AE2274" i="1"/>
  <c r="I2274" i="1"/>
  <c r="J2274" i="1"/>
  <c r="K2274" i="1"/>
  <c r="AC2274" i="1"/>
  <c r="AJ2273" i="1"/>
  <c r="AK2273" i="1"/>
  <c r="AM2273" i="1"/>
  <c r="BF2273" i="1"/>
  <c r="BG2273" i="1"/>
  <c r="T2274" i="1"/>
  <c r="U2274" i="1"/>
  <c r="V2274" i="1"/>
  <c r="W2274" i="1"/>
  <c r="X2274" i="1"/>
  <c r="Y2274" i="1"/>
  <c r="Z2274" i="1"/>
  <c r="AB2274" i="1"/>
  <c r="AF2274" i="1"/>
  <c r="AI2274" i="1"/>
  <c r="H2275" i="1"/>
  <c r="AE2275" i="1"/>
  <c r="I2275" i="1"/>
  <c r="J2275" i="1"/>
  <c r="K2275" i="1"/>
  <c r="AC2275" i="1"/>
  <c r="AJ2274" i="1"/>
  <c r="AK2274" i="1"/>
  <c r="AM2274" i="1"/>
  <c r="BF2274" i="1"/>
  <c r="BG2274" i="1"/>
  <c r="T2275" i="1"/>
  <c r="U2275" i="1"/>
  <c r="V2275" i="1"/>
  <c r="W2275" i="1"/>
  <c r="X2275" i="1"/>
  <c r="Y2275" i="1"/>
  <c r="Z2275" i="1"/>
  <c r="AB2275" i="1"/>
  <c r="AF2275" i="1"/>
  <c r="AI2275" i="1"/>
  <c r="H2276" i="1"/>
  <c r="AE2276" i="1"/>
  <c r="I2276" i="1"/>
  <c r="J2276" i="1"/>
  <c r="K2276" i="1"/>
  <c r="AC2276" i="1"/>
  <c r="AJ2275" i="1"/>
  <c r="AK2275" i="1"/>
  <c r="AM2275" i="1"/>
  <c r="BF2275" i="1"/>
  <c r="BG2275" i="1"/>
  <c r="T2276" i="1"/>
  <c r="U2276" i="1"/>
  <c r="V2276" i="1"/>
  <c r="W2276" i="1"/>
  <c r="X2276" i="1"/>
  <c r="Y2276" i="1"/>
  <c r="Z2276" i="1"/>
  <c r="AB2276" i="1"/>
  <c r="AF2276" i="1"/>
  <c r="AI2276" i="1"/>
  <c r="H2277" i="1"/>
  <c r="AE2277" i="1"/>
  <c r="I2277" i="1"/>
  <c r="J2277" i="1"/>
  <c r="K2277" i="1"/>
  <c r="AC2277" i="1"/>
  <c r="AJ2276" i="1"/>
  <c r="AK2276" i="1"/>
  <c r="AM2276" i="1"/>
  <c r="BF2276" i="1"/>
  <c r="BG2276" i="1"/>
  <c r="T2277" i="1"/>
  <c r="U2277" i="1"/>
  <c r="V2277" i="1"/>
  <c r="W2277" i="1"/>
  <c r="X2277" i="1"/>
  <c r="Y2277" i="1"/>
  <c r="Z2277" i="1"/>
  <c r="AB2277" i="1"/>
  <c r="AF2277" i="1"/>
  <c r="AI2277" i="1"/>
  <c r="AE2278" i="1"/>
  <c r="AC2278" i="1"/>
  <c r="AJ2277" i="1"/>
  <c r="AK2277" i="1"/>
  <c r="AM2277" i="1"/>
  <c r="BF2277" i="1"/>
  <c r="BG2277" i="1"/>
  <c r="T2278" i="1"/>
  <c r="U2278" i="1"/>
  <c r="V2278" i="1"/>
  <c r="W2278" i="1"/>
  <c r="X2278" i="1"/>
  <c r="Y2278" i="1"/>
  <c r="Z2278" i="1"/>
  <c r="AB2278" i="1"/>
  <c r="AF2278" i="1"/>
  <c r="AI2278" i="1"/>
  <c r="AE2279" i="1"/>
  <c r="AC2279" i="1"/>
  <c r="AJ2278" i="1"/>
  <c r="AK2278" i="1"/>
  <c r="AM2278" i="1"/>
  <c r="BF2278" i="1"/>
  <c r="BG2278" i="1"/>
  <c r="T2279" i="1"/>
  <c r="U2279" i="1"/>
  <c r="V2279" i="1"/>
  <c r="W2279" i="1"/>
  <c r="X2279" i="1"/>
  <c r="Y2279" i="1"/>
  <c r="Z2279" i="1"/>
  <c r="AB2279" i="1"/>
  <c r="AF2279" i="1"/>
  <c r="AI2279" i="1"/>
  <c r="H2280" i="1"/>
  <c r="AE2280" i="1"/>
  <c r="I2280" i="1"/>
  <c r="J2280" i="1"/>
  <c r="K2280" i="1"/>
  <c r="AC2280" i="1"/>
  <c r="AJ2279" i="1"/>
  <c r="AK2279" i="1"/>
  <c r="AM2279" i="1"/>
  <c r="BG2279" i="1"/>
  <c r="T2280" i="1"/>
  <c r="U2280" i="1"/>
  <c r="V2280" i="1"/>
  <c r="W2280" i="1"/>
  <c r="X2280" i="1"/>
  <c r="Y2280" i="1"/>
  <c r="Z2280" i="1"/>
  <c r="AB2280" i="1"/>
  <c r="AF2280" i="1"/>
  <c r="AI2280" i="1"/>
  <c r="H2281" i="1"/>
  <c r="AE2281" i="1"/>
  <c r="I2281" i="1"/>
  <c r="J2281" i="1"/>
  <c r="K2281" i="1"/>
  <c r="AC2281" i="1"/>
  <c r="AJ2280" i="1"/>
  <c r="AK2280" i="1"/>
  <c r="AM2280" i="1"/>
  <c r="BF2280" i="1"/>
  <c r="BG2280" i="1"/>
  <c r="T2281" i="1"/>
  <c r="U2281" i="1"/>
  <c r="V2281" i="1"/>
  <c r="W2281" i="1"/>
  <c r="X2281" i="1"/>
  <c r="Y2281" i="1"/>
  <c r="Z2281" i="1"/>
  <c r="AB2281" i="1"/>
  <c r="AF2281" i="1"/>
  <c r="AI2281" i="1"/>
  <c r="H2282" i="1"/>
  <c r="AE2282" i="1"/>
  <c r="I2282" i="1"/>
  <c r="J2282" i="1"/>
  <c r="K2282" i="1"/>
  <c r="AC2282" i="1"/>
  <c r="AJ2281" i="1"/>
  <c r="AK2281" i="1"/>
  <c r="AM2281" i="1"/>
  <c r="BF2281" i="1"/>
  <c r="BG2281" i="1"/>
  <c r="T2282" i="1"/>
  <c r="U2282" i="1"/>
  <c r="V2282" i="1"/>
  <c r="W2282" i="1"/>
  <c r="X2282" i="1"/>
  <c r="Y2282" i="1"/>
  <c r="Z2282" i="1"/>
  <c r="AB2282" i="1"/>
  <c r="AF2282" i="1"/>
  <c r="AI2282" i="1"/>
  <c r="H2283" i="1"/>
  <c r="AE2283" i="1"/>
  <c r="I2283" i="1"/>
  <c r="J2283" i="1"/>
  <c r="K2283" i="1"/>
  <c r="AC2283" i="1"/>
  <c r="AJ2282" i="1"/>
  <c r="AK2282" i="1"/>
  <c r="AM2282" i="1"/>
  <c r="BF2282" i="1"/>
  <c r="BG2282" i="1"/>
  <c r="T2283" i="1"/>
  <c r="U2283" i="1"/>
  <c r="V2283" i="1"/>
  <c r="W2283" i="1"/>
  <c r="X2283" i="1"/>
  <c r="Y2283" i="1"/>
  <c r="Z2283" i="1"/>
  <c r="AB2283" i="1"/>
  <c r="AF2283" i="1"/>
  <c r="AI2283" i="1"/>
  <c r="H2284" i="1"/>
  <c r="AE2284" i="1"/>
  <c r="I2284" i="1"/>
  <c r="J2284" i="1"/>
  <c r="K2284" i="1"/>
  <c r="AC2284" i="1"/>
  <c r="AJ2283" i="1"/>
  <c r="AK2283" i="1"/>
  <c r="AM2283" i="1"/>
  <c r="BF2283" i="1"/>
  <c r="BG2283" i="1"/>
  <c r="T2284" i="1"/>
  <c r="U2284" i="1"/>
  <c r="V2284" i="1"/>
  <c r="W2284" i="1"/>
  <c r="X2284" i="1"/>
  <c r="Y2284" i="1"/>
  <c r="Z2284" i="1"/>
  <c r="AB2284" i="1"/>
  <c r="AF2284" i="1"/>
  <c r="AI2284" i="1"/>
  <c r="H2285" i="1"/>
  <c r="AE2285" i="1"/>
  <c r="I2285" i="1"/>
  <c r="J2285" i="1"/>
  <c r="K2285" i="1"/>
  <c r="AC2285" i="1"/>
  <c r="AJ2284" i="1"/>
  <c r="AK2284" i="1"/>
  <c r="AM2284" i="1"/>
  <c r="BF2284" i="1"/>
  <c r="BG2284" i="1"/>
  <c r="T2285" i="1"/>
  <c r="U2285" i="1"/>
  <c r="V2285" i="1"/>
  <c r="W2285" i="1"/>
  <c r="X2285" i="1"/>
  <c r="Y2285" i="1"/>
  <c r="Z2285" i="1"/>
  <c r="AB2285" i="1"/>
  <c r="AF2285" i="1"/>
  <c r="AI2285" i="1"/>
  <c r="H2286" i="1"/>
  <c r="AE2286" i="1"/>
  <c r="I2286" i="1"/>
  <c r="J2286" i="1"/>
  <c r="K2286" i="1"/>
  <c r="AC2286" i="1"/>
  <c r="AJ2285" i="1"/>
  <c r="AK2285" i="1"/>
  <c r="AM2285" i="1"/>
  <c r="BF2285" i="1"/>
  <c r="BG2285" i="1"/>
  <c r="T2286" i="1"/>
  <c r="U2286" i="1"/>
  <c r="V2286" i="1"/>
  <c r="W2286" i="1"/>
  <c r="X2286" i="1"/>
  <c r="Y2286" i="1"/>
  <c r="Z2286" i="1"/>
  <c r="AB2286" i="1"/>
  <c r="AF2286" i="1"/>
  <c r="AI2286" i="1"/>
  <c r="H2287" i="1"/>
  <c r="AE2287" i="1"/>
  <c r="I2287" i="1"/>
  <c r="J2287" i="1"/>
  <c r="K2287" i="1"/>
  <c r="AC2287" i="1"/>
  <c r="AJ2286" i="1"/>
  <c r="AK2286" i="1"/>
  <c r="AM2286" i="1"/>
  <c r="BF2286" i="1"/>
  <c r="BG2286" i="1"/>
  <c r="T2287" i="1"/>
  <c r="U2287" i="1"/>
  <c r="V2287" i="1"/>
  <c r="W2287" i="1"/>
  <c r="X2287" i="1"/>
  <c r="Y2287" i="1"/>
  <c r="Z2287" i="1"/>
  <c r="AB2287" i="1"/>
  <c r="AF2287" i="1"/>
  <c r="AI2287" i="1"/>
  <c r="AE2288" i="1"/>
  <c r="AC2288" i="1"/>
  <c r="AJ2287" i="1"/>
  <c r="AK2287" i="1"/>
  <c r="AM2287" i="1"/>
  <c r="BF2287" i="1"/>
  <c r="BG2287" i="1"/>
  <c r="T2288" i="1"/>
  <c r="U2288" i="1"/>
  <c r="V2288" i="1"/>
  <c r="W2288" i="1"/>
  <c r="X2288" i="1"/>
  <c r="Y2288" i="1"/>
  <c r="Z2288" i="1"/>
  <c r="AB2288" i="1"/>
  <c r="AF2288" i="1"/>
  <c r="AI2288" i="1"/>
  <c r="AE2289" i="1"/>
  <c r="AC2289" i="1"/>
  <c r="AJ2288" i="1"/>
  <c r="AK2288" i="1"/>
  <c r="AM2288" i="1"/>
  <c r="BF2288" i="1"/>
  <c r="BG2288" i="1"/>
  <c r="T2289" i="1"/>
  <c r="U2289" i="1"/>
  <c r="V2289" i="1"/>
  <c r="W2289" i="1"/>
  <c r="X2289" i="1"/>
  <c r="Y2289" i="1"/>
  <c r="Z2289" i="1"/>
  <c r="AB2289" i="1"/>
  <c r="AF2289" i="1"/>
  <c r="AI2289" i="1"/>
  <c r="H2290" i="1"/>
  <c r="AE2290" i="1"/>
  <c r="I2290" i="1"/>
  <c r="J2290" i="1"/>
  <c r="K2290" i="1"/>
  <c r="AC2290" i="1"/>
  <c r="AJ2289" i="1"/>
  <c r="AK2289" i="1"/>
  <c r="AM2289" i="1"/>
  <c r="BG2289" i="1"/>
  <c r="T2290" i="1"/>
  <c r="U2290" i="1"/>
  <c r="V2290" i="1"/>
  <c r="W2290" i="1"/>
  <c r="X2290" i="1"/>
  <c r="Y2290" i="1"/>
  <c r="Z2290" i="1"/>
  <c r="AB2290" i="1"/>
  <c r="AF2290" i="1"/>
  <c r="AI2290" i="1"/>
  <c r="AE2291" i="1"/>
  <c r="AC2291" i="1"/>
  <c r="AJ2290" i="1"/>
  <c r="AK2290" i="1"/>
  <c r="AM2290" i="1"/>
  <c r="BF2290" i="1"/>
  <c r="BG2290" i="1"/>
  <c r="T2291" i="1"/>
  <c r="U2291" i="1"/>
  <c r="V2291" i="1"/>
  <c r="W2291" i="1"/>
  <c r="X2291" i="1"/>
  <c r="Y2291" i="1"/>
  <c r="Z2291" i="1"/>
  <c r="AB2291" i="1"/>
  <c r="AF2291" i="1"/>
  <c r="AI2291" i="1"/>
  <c r="AE2292" i="1"/>
  <c r="AC2292" i="1"/>
  <c r="AJ2291" i="1"/>
  <c r="AK2291" i="1"/>
  <c r="AM2291" i="1"/>
  <c r="BF2291" i="1"/>
  <c r="BG2291" i="1"/>
  <c r="T2292" i="1"/>
  <c r="U2292" i="1"/>
  <c r="V2292" i="1"/>
  <c r="W2292" i="1"/>
  <c r="X2292" i="1"/>
  <c r="Y2292" i="1"/>
  <c r="Z2292" i="1"/>
  <c r="AB2292" i="1"/>
  <c r="AF2292" i="1"/>
  <c r="AI2292" i="1"/>
  <c r="H2293" i="1"/>
  <c r="AE2293" i="1"/>
  <c r="I2293" i="1"/>
  <c r="J2293" i="1"/>
  <c r="K2293" i="1"/>
  <c r="AC2293" i="1"/>
  <c r="AJ2292" i="1"/>
  <c r="AK2292" i="1"/>
  <c r="AM2292" i="1"/>
  <c r="BG2292" i="1"/>
  <c r="T2293" i="1"/>
  <c r="U2293" i="1"/>
  <c r="V2293" i="1"/>
  <c r="W2293" i="1"/>
  <c r="X2293" i="1"/>
  <c r="Y2293" i="1"/>
  <c r="Z2293" i="1"/>
  <c r="AB2293" i="1"/>
  <c r="AF2293" i="1"/>
  <c r="AI2293" i="1"/>
  <c r="AE2294" i="1"/>
  <c r="AC2294" i="1"/>
  <c r="AJ2293" i="1"/>
  <c r="AK2293" i="1"/>
  <c r="AM2293" i="1"/>
  <c r="BF2293" i="1"/>
  <c r="BG2293" i="1"/>
  <c r="T2294" i="1"/>
  <c r="U2294" i="1"/>
  <c r="V2294" i="1"/>
  <c r="W2294" i="1"/>
  <c r="X2294" i="1"/>
  <c r="Y2294" i="1"/>
  <c r="Z2294" i="1"/>
  <c r="AB2294" i="1"/>
  <c r="AF2294" i="1"/>
  <c r="AI2294" i="1"/>
  <c r="AE2295" i="1"/>
  <c r="AC2295" i="1"/>
  <c r="AJ2294" i="1"/>
  <c r="AK2294" i="1"/>
  <c r="AM2294" i="1"/>
  <c r="BF2294" i="1"/>
  <c r="BG2294" i="1"/>
  <c r="T2295" i="1"/>
  <c r="U2295" i="1"/>
  <c r="V2295" i="1"/>
  <c r="W2295" i="1"/>
  <c r="X2295" i="1"/>
  <c r="Y2295" i="1"/>
  <c r="Z2295" i="1"/>
  <c r="AB2295" i="1"/>
  <c r="AF2295" i="1"/>
  <c r="AI2295" i="1"/>
  <c r="H2296" i="1"/>
  <c r="AE2296" i="1"/>
  <c r="I2296" i="1"/>
  <c r="J2296" i="1"/>
  <c r="K2296" i="1"/>
  <c r="AC2296" i="1"/>
  <c r="AJ2295" i="1"/>
  <c r="AK2295" i="1"/>
  <c r="AM2295" i="1"/>
  <c r="BG2295" i="1"/>
  <c r="T2296" i="1"/>
  <c r="U2296" i="1"/>
  <c r="V2296" i="1"/>
  <c r="W2296" i="1"/>
  <c r="X2296" i="1"/>
  <c r="Y2296" i="1"/>
  <c r="Z2296" i="1"/>
  <c r="AB2296" i="1"/>
  <c r="AF2296" i="1"/>
  <c r="AI2296" i="1"/>
  <c r="H2297" i="1"/>
  <c r="AE2297" i="1"/>
  <c r="I2297" i="1"/>
  <c r="J2297" i="1"/>
  <c r="K2297" i="1"/>
  <c r="AC2297" i="1"/>
  <c r="AJ2296" i="1"/>
  <c r="AK2296" i="1"/>
  <c r="AM2296" i="1"/>
  <c r="BF2296" i="1"/>
  <c r="BG2296" i="1"/>
  <c r="T2297" i="1"/>
  <c r="U2297" i="1"/>
  <c r="V2297" i="1"/>
  <c r="W2297" i="1"/>
  <c r="X2297" i="1"/>
  <c r="Y2297" i="1"/>
  <c r="Z2297" i="1"/>
  <c r="AB2297" i="1"/>
  <c r="AF2297" i="1"/>
  <c r="AI2297" i="1"/>
  <c r="AE2298" i="1"/>
  <c r="AC2298" i="1"/>
  <c r="AJ2297" i="1"/>
  <c r="AK2297" i="1"/>
  <c r="AM2297" i="1"/>
  <c r="BF2297" i="1"/>
  <c r="BG2297" i="1"/>
  <c r="T2298" i="1"/>
  <c r="U2298" i="1"/>
  <c r="V2298" i="1"/>
  <c r="W2298" i="1"/>
  <c r="X2298" i="1"/>
  <c r="Y2298" i="1"/>
  <c r="Z2298" i="1"/>
  <c r="AB2298" i="1"/>
  <c r="AF2298" i="1"/>
  <c r="AI2298" i="1"/>
  <c r="AE2299" i="1"/>
  <c r="AC2299" i="1"/>
  <c r="AJ2298" i="1"/>
  <c r="AK2298" i="1"/>
  <c r="AM2298" i="1"/>
  <c r="BF2298" i="1"/>
  <c r="BG2298" i="1"/>
  <c r="T2299" i="1"/>
  <c r="U2299" i="1"/>
  <c r="V2299" i="1"/>
  <c r="W2299" i="1"/>
  <c r="X2299" i="1"/>
  <c r="Y2299" i="1"/>
  <c r="Z2299" i="1"/>
  <c r="AB2299" i="1"/>
  <c r="AF2299" i="1"/>
  <c r="AI2299" i="1"/>
  <c r="H2300" i="1"/>
  <c r="AE2300" i="1"/>
  <c r="I2300" i="1"/>
  <c r="J2300" i="1"/>
  <c r="K2300" i="1"/>
  <c r="AC2300" i="1"/>
  <c r="AJ2299" i="1"/>
  <c r="AK2299" i="1"/>
  <c r="AM2299" i="1"/>
  <c r="BG2299" i="1"/>
  <c r="T2300" i="1"/>
  <c r="U2300" i="1"/>
  <c r="V2300" i="1"/>
  <c r="W2300" i="1"/>
  <c r="X2300" i="1"/>
  <c r="Y2300" i="1"/>
  <c r="Z2300" i="1"/>
  <c r="AB2300" i="1"/>
  <c r="AF2300" i="1"/>
  <c r="AI2300" i="1"/>
  <c r="AE2301" i="1"/>
  <c r="AC2301" i="1"/>
  <c r="AJ2300" i="1"/>
  <c r="AK2300" i="1"/>
  <c r="AM2300" i="1"/>
  <c r="BF2300" i="1"/>
  <c r="BG2300" i="1"/>
  <c r="T2301" i="1"/>
  <c r="U2301" i="1"/>
  <c r="V2301" i="1"/>
  <c r="W2301" i="1"/>
  <c r="X2301" i="1"/>
  <c r="Y2301" i="1"/>
  <c r="Z2301" i="1"/>
  <c r="AB2301" i="1"/>
  <c r="AF2301" i="1"/>
  <c r="AI2301" i="1"/>
  <c r="AE2302" i="1"/>
  <c r="AC2302" i="1"/>
  <c r="AJ2301" i="1"/>
  <c r="AK2301" i="1"/>
  <c r="AM2301" i="1"/>
  <c r="BF2301" i="1"/>
  <c r="BG2301" i="1"/>
  <c r="T2302" i="1"/>
  <c r="U2302" i="1"/>
  <c r="V2302" i="1"/>
  <c r="W2302" i="1"/>
  <c r="X2302" i="1"/>
  <c r="Y2302" i="1"/>
  <c r="Z2302" i="1"/>
  <c r="AB2302" i="1"/>
  <c r="AF2302" i="1"/>
  <c r="AI2302" i="1"/>
  <c r="H2303" i="1"/>
  <c r="AE2303" i="1"/>
  <c r="I2303" i="1"/>
  <c r="J2303" i="1"/>
  <c r="K2303" i="1"/>
  <c r="AC2303" i="1"/>
  <c r="AJ2302" i="1"/>
  <c r="AK2302" i="1"/>
  <c r="AM2302" i="1"/>
  <c r="BG2302" i="1"/>
  <c r="T2303" i="1"/>
  <c r="U2303" i="1"/>
  <c r="V2303" i="1"/>
  <c r="W2303" i="1"/>
  <c r="X2303" i="1"/>
  <c r="Y2303" i="1"/>
  <c r="Z2303" i="1"/>
  <c r="AB2303" i="1"/>
  <c r="AF2303" i="1"/>
  <c r="AI2303" i="1"/>
  <c r="H2304" i="1"/>
  <c r="AE2304" i="1"/>
  <c r="I2304" i="1"/>
  <c r="J2304" i="1"/>
  <c r="K2304" i="1"/>
  <c r="AC2304" i="1"/>
  <c r="AJ2303" i="1"/>
  <c r="AK2303" i="1"/>
  <c r="AM2303" i="1"/>
  <c r="BF2303" i="1"/>
  <c r="BG2303" i="1"/>
  <c r="T2304" i="1"/>
  <c r="U2304" i="1"/>
  <c r="V2304" i="1"/>
  <c r="W2304" i="1"/>
  <c r="X2304" i="1"/>
  <c r="Y2304" i="1"/>
  <c r="Z2304" i="1"/>
  <c r="AB2304" i="1"/>
  <c r="AF2304" i="1"/>
  <c r="AI2304" i="1"/>
  <c r="AE2305" i="1"/>
  <c r="AC2305" i="1"/>
  <c r="AJ2304" i="1"/>
  <c r="AK2304" i="1"/>
  <c r="AM2304" i="1"/>
  <c r="BF2304" i="1"/>
  <c r="BG2304" i="1"/>
  <c r="T2305" i="1"/>
  <c r="U2305" i="1"/>
  <c r="V2305" i="1"/>
  <c r="W2305" i="1"/>
  <c r="X2305" i="1"/>
  <c r="Y2305" i="1"/>
  <c r="Z2305" i="1"/>
  <c r="AB2305" i="1"/>
  <c r="AF2305" i="1"/>
  <c r="AI2305" i="1"/>
  <c r="AE2306" i="1"/>
  <c r="AC2306" i="1"/>
  <c r="AJ2305" i="1"/>
  <c r="AK2305" i="1"/>
  <c r="AM2305" i="1"/>
  <c r="BF2305" i="1"/>
  <c r="BG2305" i="1"/>
  <c r="T2306" i="1"/>
  <c r="U2306" i="1"/>
  <c r="V2306" i="1"/>
  <c r="W2306" i="1"/>
  <c r="X2306" i="1"/>
  <c r="Y2306" i="1"/>
  <c r="Z2306" i="1"/>
  <c r="AB2306" i="1"/>
  <c r="AF2306" i="1"/>
  <c r="AI2306" i="1"/>
  <c r="H2307" i="1"/>
  <c r="AE2307" i="1"/>
  <c r="I2307" i="1"/>
  <c r="J2307" i="1"/>
  <c r="K2307" i="1"/>
  <c r="AC2307" i="1"/>
  <c r="AJ2306" i="1"/>
  <c r="AK2306" i="1"/>
  <c r="AM2306" i="1"/>
  <c r="BG2306" i="1"/>
  <c r="T2307" i="1"/>
  <c r="U2307" i="1"/>
  <c r="V2307" i="1"/>
  <c r="W2307" i="1"/>
  <c r="X2307" i="1"/>
  <c r="Y2307" i="1"/>
  <c r="Z2307" i="1"/>
  <c r="AB2307" i="1"/>
  <c r="AF2307" i="1"/>
  <c r="AI2307" i="1"/>
  <c r="H2308" i="1"/>
  <c r="AE2308" i="1"/>
  <c r="I2308" i="1"/>
  <c r="J2308" i="1"/>
  <c r="K2308" i="1"/>
  <c r="AC2308" i="1"/>
  <c r="AJ2307" i="1"/>
  <c r="AK2307" i="1"/>
  <c r="AM2307" i="1"/>
  <c r="BF2307" i="1"/>
  <c r="BG2307" i="1"/>
  <c r="T2308" i="1"/>
  <c r="U2308" i="1"/>
  <c r="V2308" i="1"/>
  <c r="W2308" i="1"/>
  <c r="X2308" i="1"/>
  <c r="Y2308" i="1"/>
  <c r="Z2308" i="1"/>
  <c r="AB2308" i="1"/>
  <c r="AF2308" i="1"/>
  <c r="AI2308" i="1"/>
  <c r="AE2309" i="1"/>
  <c r="AC2309" i="1"/>
  <c r="AJ2308" i="1"/>
  <c r="AK2308" i="1"/>
  <c r="AM2308" i="1"/>
  <c r="BF2308" i="1"/>
  <c r="BG2308" i="1"/>
  <c r="T2309" i="1"/>
  <c r="U2309" i="1"/>
  <c r="V2309" i="1"/>
  <c r="W2309" i="1"/>
  <c r="X2309" i="1"/>
  <c r="Y2309" i="1"/>
  <c r="Z2309" i="1"/>
  <c r="AB2309" i="1"/>
  <c r="AF2309" i="1"/>
  <c r="AI2309" i="1"/>
  <c r="AE2310" i="1"/>
  <c r="AC2310" i="1"/>
  <c r="AJ2309" i="1"/>
  <c r="AK2309" i="1"/>
  <c r="AM2309" i="1"/>
  <c r="BF2309" i="1"/>
  <c r="BG2309" i="1"/>
  <c r="T2310" i="1"/>
  <c r="U2310" i="1"/>
  <c r="V2310" i="1"/>
  <c r="W2310" i="1"/>
  <c r="X2310" i="1"/>
  <c r="Y2310" i="1"/>
  <c r="Z2310" i="1"/>
  <c r="AB2310" i="1"/>
  <c r="AF2310" i="1"/>
  <c r="AI2310" i="1"/>
  <c r="H2311" i="1"/>
  <c r="AE2311" i="1"/>
  <c r="I2311" i="1"/>
  <c r="J2311" i="1"/>
  <c r="K2311" i="1"/>
  <c r="AC2311" i="1"/>
  <c r="AJ2310" i="1"/>
  <c r="AK2310" i="1"/>
  <c r="AM2310" i="1"/>
  <c r="BG2310" i="1"/>
  <c r="T2311" i="1"/>
  <c r="U2311" i="1"/>
  <c r="V2311" i="1"/>
  <c r="W2311" i="1"/>
  <c r="X2311" i="1"/>
  <c r="Y2311" i="1"/>
  <c r="Z2311" i="1"/>
  <c r="AB2311" i="1"/>
  <c r="AF2311" i="1"/>
  <c r="AI2311" i="1"/>
  <c r="H2312" i="1"/>
  <c r="AE2312" i="1"/>
  <c r="I2312" i="1"/>
  <c r="J2312" i="1"/>
  <c r="K2312" i="1"/>
  <c r="AC2312" i="1"/>
  <c r="AJ2311" i="1"/>
  <c r="AK2311" i="1"/>
  <c r="AM2311" i="1"/>
  <c r="BF2311" i="1"/>
  <c r="BG2311" i="1"/>
  <c r="T2312" i="1"/>
  <c r="U2312" i="1"/>
  <c r="V2312" i="1"/>
  <c r="W2312" i="1"/>
  <c r="X2312" i="1"/>
  <c r="Y2312" i="1"/>
  <c r="Z2312" i="1"/>
  <c r="AB2312" i="1"/>
  <c r="AF2312" i="1"/>
  <c r="AI2312" i="1"/>
  <c r="H2313" i="1"/>
  <c r="AE2313" i="1"/>
  <c r="I2313" i="1"/>
  <c r="J2313" i="1"/>
  <c r="K2313" i="1"/>
  <c r="AC2313" i="1"/>
  <c r="AJ2312" i="1"/>
  <c r="AK2312" i="1"/>
  <c r="AM2312" i="1"/>
  <c r="BF2312" i="1"/>
  <c r="BG2312" i="1"/>
  <c r="T2313" i="1"/>
  <c r="U2313" i="1"/>
  <c r="V2313" i="1"/>
  <c r="W2313" i="1"/>
  <c r="X2313" i="1"/>
  <c r="Y2313" i="1"/>
  <c r="Z2313" i="1"/>
  <c r="AB2313" i="1"/>
  <c r="AF2313" i="1"/>
  <c r="AI2313" i="1"/>
  <c r="AE2314" i="1"/>
  <c r="AC2314" i="1"/>
  <c r="AJ2313" i="1"/>
  <c r="AK2313" i="1"/>
  <c r="AM2313" i="1"/>
  <c r="BF2313" i="1"/>
  <c r="BG2313" i="1"/>
  <c r="T2314" i="1"/>
  <c r="U2314" i="1"/>
  <c r="V2314" i="1"/>
  <c r="W2314" i="1"/>
  <c r="X2314" i="1"/>
  <c r="Y2314" i="1"/>
  <c r="Z2314" i="1"/>
  <c r="AB2314" i="1"/>
  <c r="AF2314" i="1"/>
  <c r="AI2314" i="1"/>
  <c r="AE2315" i="1"/>
  <c r="AC2315" i="1"/>
  <c r="AJ2314" i="1"/>
  <c r="AK2314" i="1"/>
  <c r="AM2314" i="1"/>
  <c r="BF2314" i="1"/>
  <c r="BG2314" i="1"/>
  <c r="T2315" i="1"/>
  <c r="U2315" i="1"/>
  <c r="V2315" i="1"/>
  <c r="W2315" i="1"/>
  <c r="X2315" i="1"/>
  <c r="Y2315" i="1"/>
  <c r="Z2315" i="1"/>
  <c r="AB2315" i="1"/>
  <c r="AF2315" i="1"/>
  <c r="AI2315" i="1"/>
  <c r="H2316" i="1"/>
  <c r="AE2316" i="1"/>
  <c r="I2316" i="1"/>
  <c r="J2316" i="1"/>
  <c r="K2316" i="1"/>
  <c r="AC2316" i="1"/>
  <c r="AJ2315" i="1"/>
  <c r="AK2315" i="1"/>
  <c r="AM2315" i="1"/>
  <c r="BG2315" i="1"/>
  <c r="T2316" i="1"/>
  <c r="U2316" i="1"/>
  <c r="V2316" i="1"/>
  <c r="W2316" i="1"/>
  <c r="X2316" i="1"/>
  <c r="Y2316" i="1"/>
  <c r="Z2316" i="1"/>
  <c r="AB2316" i="1"/>
  <c r="AF2316" i="1"/>
  <c r="AI2316" i="1"/>
  <c r="H2317" i="1"/>
  <c r="AE2317" i="1"/>
  <c r="I2317" i="1"/>
  <c r="J2317" i="1"/>
  <c r="K2317" i="1"/>
  <c r="AC2317" i="1"/>
  <c r="AJ2316" i="1"/>
  <c r="AK2316" i="1"/>
  <c r="AM2316" i="1"/>
  <c r="BF2316" i="1"/>
  <c r="BG2316" i="1"/>
  <c r="T2317" i="1"/>
  <c r="U2317" i="1"/>
  <c r="V2317" i="1"/>
  <c r="W2317" i="1"/>
  <c r="X2317" i="1"/>
  <c r="Y2317" i="1"/>
  <c r="Z2317" i="1"/>
  <c r="AB2317" i="1"/>
  <c r="AF2317" i="1"/>
  <c r="AI2317" i="1"/>
  <c r="H2318" i="1"/>
  <c r="AE2318" i="1"/>
  <c r="I2318" i="1"/>
  <c r="J2318" i="1"/>
  <c r="K2318" i="1"/>
  <c r="AC2318" i="1"/>
  <c r="AJ2317" i="1"/>
  <c r="AK2317" i="1"/>
  <c r="AM2317" i="1"/>
  <c r="BF2317" i="1"/>
  <c r="BG2317" i="1"/>
  <c r="T2318" i="1"/>
  <c r="U2318" i="1"/>
  <c r="V2318" i="1"/>
  <c r="W2318" i="1"/>
  <c r="X2318" i="1"/>
  <c r="Y2318" i="1"/>
  <c r="Z2318" i="1"/>
  <c r="AB2318" i="1"/>
  <c r="AF2318" i="1"/>
  <c r="AI2318" i="1"/>
  <c r="AE2319" i="1"/>
  <c r="AC2319" i="1"/>
  <c r="AJ2318" i="1"/>
  <c r="AK2318" i="1"/>
  <c r="AM2318" i="1"/>
  <c r="BF2318" i="1"/>
  <c r="BG2318" i="1"/>
  <c r="T2319" i="1"/>
  <c r="U2319" i="1"/>
  <c r="V2319" i="1"/>
  <c r="W2319" i="1"/>
  <c r="X2319" i="1"/>
  <c r="Y2319" i="1"/>
  <c r="Z2319" i="1"/>
  <c r="AB2319" i="1"/>
  <c r="AF2319" i="1"/>
  <c r="AI2319" i="1"/>
  <c r="AE2320" i="1"/>
  <c r="AC2320" i="1"/>
  <c r="AJ2319" i="1"/>
  <c r="AK2319" i="1"/>
  <c r="AM2319" i="1"/>
  <c r="BF2319" i="1"/>
  <c r="BG2319" i="1"/>
  <c r="T2320" i="1"/>
  <c r="U2320" i="1"/>
  <c r="V2320" i="1"/>
  <c r="W2320" i="1"/>
  <c r="X2320" i="1"/>
  <c r="Y2320" i="1"/>
  <c r="Z2320" i="1"/>
  <c r="AB2320" i="1"/>
  <c r="AF2320" i="1"/>
  <c r="AI2320" i="1"/>
  <c r="H2321" i="1"/>
  <c r="AE2321" i="1"/>
  <c r="I2321" i="1"/>
  <c r="J2321" i="1"/>
  <c r="K2321" i="1"/>
  <c r="AC2321" i="1"/>
  <c r="AJ2320" i="1"/>
  <c r="AK2320" i="1"/>
  <c r="AM2320" i="1"/>
  <c r="BG2320" i="1"/>
  <c r="T2321" i="1"/>
  <c r="U2321" i="1"/>
  <c r="V2321" i="1"/>
  <c r="W2321" i="1"/>
  <c r="X2321" i="1"/>
  <c r="Y2321" i="1"/>
  <c r="Z2321" i="1"/>
  <c r="AB2321" i="1"/>
  <c r="AF2321" i="1"/>
  <c r="AI2321" i="1"/>
  <c r="AE2322" i="1"/>
  <c r="AC2322" i="1"/>
  <c r="AJ2321" i="1"/>
  <c r="AK2321" i="1"/>
  <c r="AM2321" i="1"/>
  <c r="BF2321" i="1"/>
  <c r="BG2321" i="1"/>
  <c r="T2322" i="1"/>
  <c r="U2322" i="1"/>
  <c r="V2322" i="1"/>
  <c r="W2322" i="1"/>
  <c r="X2322" i="1"/>
  <c r="Y2322" i="1"/>
  <c r="Z2322" i="1"/>
  <c r="AB2322" i="1"/>
  <c r="AF2322" i="1"/>
  <c r="AI2322" i="1"/>
  <c r="AE2323" i="1"/>
  <c r="AC2323" i="1"/>
  <c r="AJ2322" i="1"/>
  <c r="AK2322" i="1"/>
  <c r="AM2322" i="1"/>
  <c r="BF2322" i="1"/>
  <c r="BG2322" i="1"/>
  <c r="T2323" i="1"/>
  <c r="U2323" i="1"/>
  <c r="V2323" i="1"/>
  <c r="W2323" i="1"/>
  <c r="X2323" i="1"/>
  <c r="Y2323" i="1"/>
  <c r="Z2323" i="1"/>
  <c r="AB2323" i="1"/>
  <c r="AF2323" i="1"/>
  <c r="AI2323" i="1"/>
  <c r="H2324" i="1"/>
  <c r="AE2324" i="1"/>
  <c r="I2324" i="1"/>
  <c r="J2324" i="1"/>
  <c r="K2324" i="1"/>
  <c r="AC2324" i="1"/>
  <c r="AJ2323" i="1"/>
  <c r="AK2323" i="1"/>
  <c r="AM2323" i="1"/>
  <c r="BG2323" i="1"/>
  <c r="T2324" i="1"/>
  <c r="U2324" i="1"/>
  <c r="V2324" i="1"/>
  <c r="W2324" i="1"/>
  <c r="X2324" i="1"/>
  <c r="Y2324" i="1"/>
  <c r="Z2324" i="1"/>
  <c r="AB2324" i="1"/>
  <c r="AF2324" i="1"/>
  <c r="AI2324" i="1"/>
  <c r="H2325" i="1"/>
  <c r="AE2325" i="1"/>
  <c r="I2325" i="1"/>
  <c r="J2325" i="1"/>
  <c r="K2325" i="1"/>
  <c r="AC2325" i="1"/>
  <c r="AJ2324" i="1"/>
  <c r="AK2324" i="1"/>
  <c r="AM2324" i="1"/>
  <c r="BF2324" i="1"/>
  <c r="BG2324" i="1"/>
  <c r="T2325" i="1"/>
  <c r="U2325" i="1"/>
  <c r="V2325" i="1"/>
  <c r="W2325" i="1"/>
  <c r="X2325" i="1"/>
  <c r="Y2325" i="1"/>
  <c r="Z2325" i="1"/>
  <c r="AB2325" i="1"/>
  <c r="AF2325" i="1"/>
  <c r="AI2325" i="1"/>
  <c r="AE2326" i="1"/>
  <c r="AC2326" i="1"/>
  <c r="AJ2325" i="1"/>
  <c r="AK2325" i="1"/>
  <c r="AM2325" i="1"/>
  <c r="BF2325" i="1"/>
  <c r="BG2325" i="1"/>
  <c r="T2326" i="1"/>
  <c r="U2326" i="1"/>
  <c r="V2326" i="1"/>
  <c r="W2326" i="1"/>
  <c r="X2326" i="1"/>
  <c r="Y2326" i="1"/>
  <c r="Z2326" i="1"/>
  <c r="AB2326" i="1"/>
  <c r="AF2326" i="1"/>
  <c r="AI2326" i="1"/>
  <c r="AE2327" i="1"/>
  <c r="AC2327" i="1"/>
  <c r="AJ2326" i="1"/>
  <c r="AK2326" i="1"/>
  <c r="AM2326" i="1"/>
  <c r="BF2326" i="1"/>
  <c r="BG2326" i="1"/>
  <c r="T2327" i="1"/>
  <c r="U2327" i="1"/>
  <c r="V2327" i="1"/>
  <c r="W2327" i="1"/>
  <c r="X2327" i="1"/>
  <c r="Y2327" i="1"/>
  <c r="Z2327" i="1"/>
  <c r="AB2327" i="1"/>
  <c r="AF2327" i="1"/>
  <c r="AI2327" i="1"/>
  <c r="H2328" i="1"/>
  <c r="AE2328" i="1"/>
  <c r="I2328" i="1"/>
  <c r="J2328" i="1"/>
  <c r="K2328" i="1"/>
  <c r="AC2328" i="1"/>
  <c r="AJ2327" i="1"/>
  <c r="AK2327" i="1"/>
  <c r="AM2327" i="1"/>
  <c r="BG2327" i="1"/>
  <c r="T2328" i="1"/>
  <c r="U2328" i="1"/>
  <c r="V2328" i="1"/>
  <c r="W2328" i="1"/>
  <c r="X2328" i="1"/>
  <c r="Y2328" i="1"/>
  <c r="Z2328" i="1"/>
  <c r="AB2328" i="1"/>
  <c r="AF2328" i="1"/>
  <c r="AI2328" i="1"/>
  <c r="H2329" i="1"/>
  <c r="AE2329" i="1"/>
  <c r="I2329" i="1"/>
  <c r="J2329" i="1"/>
  <c r="K2329" i="1"/>
  <c r="AC2329" i="1"/>
  <c r="AJ2328" i="1"/>
  <c r="AK2328" i="1"/>
  <c r="AM2328" i="1"/>
  <c r="BF2328" i="1"/>
  <c r="BG2328" i="1"/>
  <c r="T2329" i="1"/>
  <c r="U2329" i="1"/>
  <c r="V2329" i="1"/>
  <c r="W2329" i="1"/>
  <c r="X2329" i="1"/>
  <c r="Y2329" i="1"/>
  <c r="Z2329" i="1"/>
  <c r="AB2329" i="1"/>
  <c r="AF2329" i="1"/>
  <c r="AI2329" i="1"/>
  <c r="H2330" i="1"/>
  <c r="AE2330" i="1"/>
  <c r="I2330" i="1"/>
  <c r="J2330" i="1"/>
  <c r="K2330" i="1"/>
  <c r="AC2330" i="1"/>
  <c r="AJ2329" i="1"/>
  <c r="AK2329" i="1"/>
  <c r="AM2329" i="1"/>
  <c r="BF2329" i="1"/>
  <c r="BG2329" i="1"/>
  <c r="T2330" i="1"/>
  <c r="U2330" i="1"/>
  <c r="V2330" i="1"/>
  <c r="W2330" i="1"/>
  <c r="X2330" i="1"/>
  <c r="Y2330" i="1"/>
  <c r="Z2330" i="1"/>
  <c r="AB2330" i="1"/>
  <c r="AF2330" i="1"/>
  <c r="AI2330" i="1"/>
  <c r="H2331" i="1"/>
  <c r="AE2331" i="1"/>
  <c r="I2331" i="1"/>
  <c r="J2331" i="1"/>
  <c r="K2331" i="1"/>
  <c r="AC2331" i="1"/>
  <c r="AJ2330" i="1"/>
  <c r="AK2330" i="1"/>
  <c r="AM2330" i="1"/>
  <c r="BF2330" i="1"/>
  <c r="BG2330" i="1"/>
  <c r="T2331" i="1"/>
  <c r="U2331" i="1"/>
  <c r="V2331" i="1"/>
  <c r="W2331" i="1"/>
  <c r="X2331" i="1"/>
  <c r="Y2331" i="1"/>
  <c r="Z2331" i="1"/>
  <c r="AB2331" i="1"/>
  <c r="AF2331" i="1"/>
  <c r="AI2331" i="1"/>
  <c r="H2332" i="1"/>
  <c r="AE2332" i="1"/>
  <c r="I2332" i="1"/>
  <c r="J2332" i="1"/>
  <c r="K2332" i="1"/>
  <c r="AC2332" i="1"/>
  <c r="AJ2331" i="1"/>
  <c r="AK2331" i="1"/>
  <c r="AM2331" i="1"/>
  <c r="BF2331" i="1"/>
  <c r="BG2331" i="1"/>
  <c r="T2332" i="1"/>
  <c r="U2332" i="1"/>
  <c r="V2332" i="1"/>
  <c r="W2332" i="1"/>
  <c r="X2332" i="1"/>
  <c r="Y2332" i="1"/>
  <c r="Z2332" i="1"/>
  <c r="AB2332" i="1"/>
  <c r="AF2332" i="1"/>
  <c r="AI2332" i="1"/>
  <c r="H2333" i="1"/>
  <c r="AE2333" i="1"/>
  <c r="I2333" i="1"/>
  <c r="J2333" i="1"/>
  <c r="K2333" i="1"/>
  <c r="AC2333" i="1"/>
  <c r="AJ2332" i="1"/>
  <c r="AK2332" i="1"/>
  <c r="AM2332" i="1"/>
  <c r="BF2332" i="1"/>
  <c r="BG2332" i="1"/>
  <c r="T2333" i="1"/>
  <c r="U2333" i="1"/>
  <c r="V2333" i="1"/>
  <c r="W2333" i="1"/>
  <c r="X2333" i="1"/>
  <c r="Y2333" i="1"/>
  <c r="Z2333" i="1"/>
  <c r="AB2333" i="1"/>
  <c r="AF2333" i="1"/>
  <c r="AI2333" i="1"/>
  <c r="H2334" i="1"/>
  <c r="AE2334" i="1"/>
  <c r="I2334" i="1"/>
  <c r="J2334" i="1"/>
  <c r="K2334" i="1"/>
  <c r="AC2334" i="1"/>
  <c r="AJ2333" i="1"/>
  <c r="AK2333" i="1"/>
  <c r="AM2333" i="1"/>
  <c r="BF2333" i="1"/>
  <c r="BG2333" i="1"/>
  <c r="T2334" i="1"/>
  <c r="U2334" i="1"/>
  <c r="V2334" i="1"/>
  <c r="W2334" i="1"/>
  <c r="X2334" i="1"/>
  <c r="Y2334" i="1"/>
  <c r="Z2334" i="1"/>
  <c r="AB2334" i="1"/>
  <c r="AF2334" i="1"/>
  <c r="AI2334" i="1"/>
  <c r="H2335" i="1"/>
  <c r="AE2335" i="1"/>
  <c r="I2335" i="1"/>
  <c r="J2335" i="1"/>
  <c r="K2335" i="1"/>
  <c r="AC2335" i="1"/>
  <c r="AJ2334" i="1"/>
  <c r="AK2334" i="1"/>
  <c r="AM2334" i="1"/>
  <c r="BF2334" i="1"/>
  <c r="BG2334" i="1"/>
  <c r="T2335" i="1"/>
  <c r="U2335" i="1"/>
  <c r="V2335" i="1"/>
  <c r="W2335" i="1"/>
  <c r="X2335" i="1"/>
  <c r="Y2335" i="1"/>
  <c r="Z2335" i="1"/>
  <c r="AB2335" i="1"/>
  <c r="AF2335" i="1"/>
  <c r="AI2335" i="1"/>
  <c r="AE2336" i="1"/>
  <c r="AC2336" i="1"/>
  <c r="AJ2335" i="1"/>
  <c r="AK2335" i="1"/>
  <c r="AM2335" i="1"/>
  <c r="BF2335" i="1"/>
  <c r="BG2335" i="1"/>
  <c r="T2336" i="1"/>
  <c r="U2336" i="1"/>
  <c r="V2336" i="1"/>
  <c r="W2336" i="1"/>
  <c r="X2336" i="1"/>
  <c r="Y2336" i="1"/>
  <c r="Z2336" i="1"/>
  <c r="AB2336" i="1"/>
  <c r="AF2336" i="1"/>
  <c r="AI2336" i="1"/>
  <c r="AE2337" i="1"/>
  <c r="AC2337" i="1"/>
  <c r="AJ2336" i="1"/>
  <c r="AK2336" i="1"/>
  <c r="AM2336" i="1"/>
  <c r="BF2336" i="1"/>
  <c r="BG2336" i="1"/>
  <c r="T2337" i="1"/>
  <c r="U2337" i="1"/>
  <c r="V2337" i="1"/>
  <c r="W2337" i="1"/>
  <c r="X2337" i="1"/>
  <c r="Y2337" i="1"/>
  <c r="Z2337" i="1"/>
  <c r="AB2337" i="1"/>
  <c r="AF2337" i="1"/>
  <c r="AI2337" i="1"/>
  <c r="AE2338" i="1"/>
  <c r="AC2338" i="1"/>
  <c r="AJ2337" i="1"/>
  <c r="AK2337" i="1"/>
  <c r="AM2337" i="1"/>
  <c r="BF2337" i="1"/>
  <c r="BG2337" i="1"/>
  <c r="T2338" i="1"/>
  <c r="U2338" i="1"/>
  <c r="V2338" i="1"/>
  <c r="W2338" i="1"/>
  <c r="X2338" i="1"/>
  <c r="Y2338" i="1"/>
  <c r="Z2338" i="1"/>
  <c r="AB2338" i="1"/>
  <c r="AF2338" i="1"/>
  <c r="AI2338" i="1"/>
  <c r="H2339" i="1"/>
  <c r="AE2339" i="1"/>
  <c r="I2339" i="1"/>
  <c r="J2339" i="1"/>
  <c r="K2339" i="1"/>
  <c r="AC2339" i="1"/>
  <c r="AJ2338" i="1"/>
  <c r="AK2338" i="1"/>
  <c r="AM2338" i="1"/>
  <c r="BG2338" i="1"/>
  <c r="T2339" i="1"/>
  <c r="U2339" i="1"/>
  <c r="V2339" i="1"/>
  <c r="W2339" i="1"/>
  <c r="X2339" i="1"/>
  <c r="Y2339" i="1"/>
  <c r="Z2339" i="1"/>
  <c r="AB2339" i="1"/>
  <c r="AF2339" i="1"/>
  <c r="AI2339" i="1"/>
  <c r="AE2340" i="1"/>
  <c r="AC2340" i="1"/>
  <c r="AJ2339" i="1"/>
  <c r="AK2339" i="1"/>
  <c r="AM2339" i="1"/>
  <c r="BF2339" i="1"/>
  <c r="BG2339" i="1"/>
  <c r="T2340" i="1"/>
  <c r="U2340" i="1"/>
  <c r="V2340" i="1"/>
  <c r="W2340" i="1"/>
  <c r="X2340" i="1"/>
  <c r="Y2340" i="1"/>
  <c r="Z2340" i="1"/>
  <c r="AB2340" i="1"/>
  <c r="AF2340" i="1"/>
  <c r="AI2340" i="1"/>
  <c r="AE2341" i="1"/>
  <c r="AC2341" i="1"/>
  <c r="AJ2340" i="1"/>
  <c r="AK2340" i="1"/>
  <c r="AM2340" i="1"/>
  <c r="BF2340" i="1"/>
  <c r="BG2340" i="1"/>
  <c r="T2341" i="1"/>
  <c r="U2341" i="1"/>
  <c r="V2341" i="1"/>
  <c r="W2341" i="1"/>
  <c r="X2341" i="1"/>
  <c r="Y2341" i="1"/>
  <c r="Z2341" i="1"/>
  <c r="AB2341" i="1"/>
  <c r="AF2341" i="1"/>
  <c r="AI2341" i="1"/>
  <c r="H2342" i="1"/>
  <c r="AE2342" i="1"/>
  <c r="I2342" i="1"/>
  <c r="J2342" i="1"/>
  <c r="K2342" i="1"/>
  <c r="AC2342" i="1"/>
  <c r="AJ2341" i="1"/>
  <c r="AK2341" i="1"/>
  <c r="AM2341" i="1"/>
  <c r="BG2341" i="1"/>
  <c r="T2342" i="1"/>
  <c r="U2342" i="1"/>
  <c r="V2342" i="1"/>
  <c r="W2342" i="1"/>
  <c r="X2342" i="1"/>
  <c r="Y2342" i="1"/>
  <c r="Z2342" i="1"/>
  <c r="AB2342" i="1"/>
  <c r="AF2342" i="1"/>
  <c r="AI2342" i="1"/>
  <c r="AE2343" i="1"/>
  <c r="AC2343" i="1"/>
  <c r="AJ2342" i="1"/>
  <c r="AK2342" i="1"/>
  <c r="AM2342" i="1"/>
  <c r="BF2342" i="1"/>
  <c r="BG2342" i="1"/>
  <c r="T2343" i="1"/>
  <c r="U2343" i="1"/>
  <c r="V2343" i="1"/>
  <c r="W2343" i="1"/>
  <c r="X2343" i="1"/>
  <c r="Y2343" i="1"/>
  <c r="Z2343" i="1"/>
  <c r="AB2343" i="1"/>
  <c r="AF2343" i="1"/>
  <c r="AI2343" i="1"/>
  <c r="AE2344" i="1"/>
  <c r="AC2344" i="1"/>
  <c r="AJ2343" i="1"/>
  <c r="AK2343" i="1"/>
  <c r="AM2343" i="1"/>
  <c r="BF2343" i="1"/>
  <c r="BG2343" i="1"/>
  <c r="T2344" i="1"/>
  <c r="U2344" i="1"/>
  <c r="V2344" i="1"/>
  <c r="W2344" i="1"/>
  <c r="X2344" i="1"/>
  <c r="Y2344" i="1"/>
  <c r="Z2344" i="1"/>
  <c r="AB2344" i="1"/>
  <c r="AF2344" i="1"/>
  <c r="AI2344" i="1"/>
  <c r="H2345" i="1"/>
  <c r="AE2345" i="1"/>
  <c r="I2345" i="1"/>
  <c r="J2345" i="1"/>
  <c r="K2345" i="1"/>
  <c r="AC2345" i="1"/>
  <c r="AJ2344" i="1"/>
  <c r="AK2344" i="1"/>
  <c r="AM2344" i="1"/>
  <c r="BG2344" i="1"/>
  <c r="T2345" i="1"/>
  <c r="U2345" i="1"/>
  <c r="V2345" i="1"/>
  <c r="W2345" i="1"/>
  <c r="X2345" i="1"/>
  <c r="Y2345" i="1"/>
  <c r="Z2345" i="1"/>
  <c r="AB2345" i="1"/>
  <c r="AF2345" i="1"/>
  <c r="AI2345" i="1"/>
  <c r="H2346" i="1"/>
  <c r="AE2346" i="1"/>
  <c r="I2346" i="1"/>
  <c r="J2346" i="1"/>
  <c r="K2346" i="1"/>
  <c r="AC2346" i="1"/>
  <c r="AJ2345" i="1"/>
  <c r="AK2345" i="1"/>
  <c r="AM2345" i="1"/>
  <c r="BF2345" i="1"/>
  <c r="BG2345" i="1"/>
  <c r="T2346" i="1"/>
  <c r="U2346" i="1"/>
  <c r="V2346" i="1"/>
  <c r="W2346" i="1"/>
  <c r="X2346" i="1"/>
  <c r="Y2346" i="1"/>
  <c r="Z2346" i="1"/>
  <c r="AB2346" i="1"/>
  <c r="AF2346" i="1"/>
  <c r="AI2346" i="1"/>
  <c r="AE2347" i="1"/>
  <c r="AC2347" i="1"/>
  <c r="AJ2346" i="1"/>
  <c r="AK2346" i="1"/>
  <c r="AM2346" i="1"/>
  <c r="BF2346" i="1"/>
  <c r="BG2346" i="1"/>
  <c r="T2347" i="1"/>
  <c r="U2347" i="1"/>
  <c r="V2347" i="1"/>
  <c r="W2347" i="1"/>
  <c r="X2347" i="1"/>
  <c r="Y2347" i="1"/>
  <c r="Z2347" i="1"/>
  <c r="AB2347" i="1"/>
  <c r="AF2347" i="1"/>
  <c r="AI2347" i="1"/>
  <c r="AE2348" i="1"/>
  <c r="AC2348" i="1"/>
  <c r="AJ2347" i="1"/>
  <c r="AK2347" i="1"/>
  <c r="AM2347" i="1"/>
  <c r="BF2347" i="1"/>
  <c r="BG2347" i="1"/>
  <c r="T2348" i="1"/>
  <c r="U2348" i="1"/>
  <c r="V2348" i="1"/>
  <c r="W2348" i="1"/>
  <c r="X2348" i="1"/>
  <c r="Y2348" i="1"/>
  <c r="Z2348" i="1"/>
  <c r="AB2348" i="1"/>
  <c r="AF2348" i="1"/>
  <c r="AI2348" i="1"/>
  <c r="H2349" i="1"/>
  <c r="AE2349" i="1"/>
  <c r="I2349" i="1"/>
  <c r="J2349" i="1"/>
  <c r="K2349" i="1"/>
  <c r="AC2349" i="1"/>
  <c r="AJ2348" i="1"/>
  <c r="AK2348" i="1"/>
  <c r="AM2348" i="1"/>
  <c r="BG2348" i="1"/>
  <c r="T2349" i="1"/>
  <c r="U2349" i="1"/>
  <c r="V2349" i="1"/>
  <c r="W2349" i="1"/>
  <c r="X2349" i="1"/>
  <c r="Y2349" i="1"/>
  <c r="Z2349" i="1"/>
  <c r="AB2349" i="1"/>
  <c r="AF2349" i="1"/>
  <c r="AI2349" i="1"/>
  <c r="H2350" i="1"/>
  <c r="AE2350" i="1"/>
  <c r="I2350" i="1"/>
  <c r="J2350" i="1"/>
  <c r="K2350" i="1"/>
  <c r="AC2350" i="1"/>
  <c r="AJ2349" i="1"/>
  <c r="AK2349" i="1"/>
  <c r="AM2349" i="1"/>
  <c r="BF2349" i="1"/>
  <c r="BG2349" i="1"/>
  <c r="T2350" i="1"/>
  <c r="U2350" i="1"/>
  <c r="V2350" i="1"/>
  <c r="W2350" i="1"/>
  <c r="X2350" i="1"/>
  <c r="Y2350" i="1"/>
  <c r="Z2350" i="1"/>
  <c r="AB2350" i="1"/>
  <c r="AF2350" i="1"/>
  <c r="AI2350" i="1"/>
  <c r="AE2351" i="1"/>
  <c r="AC2351" i="1"/>
  <c r="AJ2350" i="1"/>
  <c r="AK2350" i="1"/>
  <c r="AM2350" i="1"/>
  <c r="BF2350" i="1"/>
  <c r="BG2350" i="1"/>
  <c r="T2351" i="1"/>
  <c r="U2351" i="1"/>
  <c r="V2351" i="1"/>
  <c r="W2351" i="1"/>
  <c r="X2351" i="1"/>
  <c r="Y2351" i="1"/>
  <c r="Z2351" i="1"/>
  <c r="AB2351" i="1"/>
  <c r="AF2351" i="1"/>
  <c r="AI2351" i="1"/>
  <c r="AE2352" i="1"/>
  <c r="AC2352" i="1"/>
  <c r="AJ2351" i="1"/>
  <c r="AK2351" i="1"/>
  <c r="AM2351" i="1"/>
  <c r="BF2351" i="1"/>
  <c r="BG2351" i="1"/>
  <c r="T2352" i="1"/>
  <c r="U2352" i="1"/>
  <c r="V2352" i="1"/>
  <c r="W2352" i="1"/>
  <c r="X2352" i="1"/>
  <c r="Y2352" i="1"/>
  <c r="Z2352" i="1"/>
  <c r="AB2352" i="1"/>
  <c r="AF2352" i="1"/>
  <c r="AI2352" i="1"/>
  <c r="H2353" i="1"/>
  <c r="AE2353" i="1"/>
  <c r="I2353" i="1"/>
  <c r="J2353" i="1"/>
  <c r="K2353" i="1"/>
  <c r="AC2353" i="1"/>
  <c r="AJ2352" i="1"/>
  <c r="AK2352" i="1"/>
  <c r="AM2352" i="1"/>
  <c r="BG2352" i="1"/>
  <c r="T2353" i="1"/>
  <c r="U2353" i="1"/>
  <c r="V2353" i="1"/>
  <c r="W2353" i="1"/>
  <c r="X2353" i="1"/>
  <c r="Y2353" i="1"/>
  <c r="Z2353" i="1"/>
  <c r="AB2353" i="1"/>
  <c r="AF2353" i="1"/>
  <c r="AI2353" i="1"/>
  <c r="H2354" i="1"/>
  <c r="AE2354" i="1"/>
  <c r="I2354" i="1"/>
  <c r="J2354" i="1"/>
  <c r="K2354" i="1"/>
  <c r="AC2354" i="1"/>
  <c r="AJ2353" i="1"/>
  <c r="AK2353" i="1"/>
  <c r="AM2353" i="1"/>
  <c r="BF2353" i="1"/>
  <c r="BG2353" i="1"/>
  <c r="T2354" i="1"/>
  <c r="U2354" i="1"/>
  <c r="V2354" i="1"/>
  <c r="W2354" i="1"/>
  <c r="X2354" i="1"/>
  <c r="Y2354" i="1"/>
  <c r="Z2354" i="1"/>
  <c r="AB2354" i="1"/>
  <c r="AF2354" i="1"/>
  <c r="AI2354" i="1"/>
  <c r="H2355" i="1"/>
  <c r="AE2355" i="1"/>
  <c r="I2355" i="1"/>
  <c r="J2355" i="1"/>
  <c r="K2355" i="1"/>
  <c r="AC2355" i="1"/>
  <c r="AJ2354" i="1"/>
  <c r="AK2354" i="1"/>
  <c r="AM2354" i="1"/>
  <c r="BF2354" i="1"/>
  <c r="BG2354" i="1"/>
  <c r="T2355" i="1"/>
  <c r="U2355" i="1"/>
  <c r="V2355" i="1"/>
  <c r="W2355" i="1"/>
  <c r="X2355" i="1"/>
  <c r="Y2355" i="1"/>
  <c r="Z2355" i="1"/>
  <c r="AB2355" i="1"/>
  <c r="AF2355" i="1"/>
  <c r="AI2355" i="1"/>
  <c r="AE2356" i="1"/>
  <c r="AC2356" i="1"/>
  <c r="AJ2355" i="1"/>
  <c r="AK2355" i="1"/>
  <c r="AM2355" i="1"/>
  <c r="BF2355" i="1"/>
  <c r="BG2355" i="1"/>
  <c r="T2356" i="1"/>
  <c r="U2356" i="1"/>
  <c r="V2356" i="1"/>
  <c r="W2356" i="1"/>
  <c r="X2356" i="1"/>
  <c r="Y2356" i="1"/>
  <c r="Z2356" i="1"/>
  <c r="AB2356" i="1"/>
  <c r="AF2356" i="1"/>
  <c r="AI2356" i="1"/>
  <c r="AE2357" i="1"/>
  <c r="AC2357" i="1"/>
  <c r="AJ2356" i="1"/>
  <c r="AK2356" i="1"/>
  <c r="AM2356" i="1"/>
  <c r="BF2356" i="1"/>
  <c r="BG2356" i="1"/>
  <c r="T2357" i="1"/>
  <c r="U2357" i="1"/>
  <c r="V2357" i="1"/>
  <c r="W2357" i="1"/>
  <c r="X2357" i="1"/>
  <c r="Y2357" i="1"/>
  <c r="Z2357" i="1"/>
  <c r="AB2357" i="1"/>
  <c r="AF2357" i="1"/>
  <c r="AI2357" i="1"/>
  <c r="H2358" i="1"/>
  <c r="AE2358" i="1"/>
  <c r="I2358" i="1"/>
  <c r="J2358" i="1"/>
  <c r="K2358" i="1"/>
  <c r="AC2358" i="1"/>
  <c r="AJ2357" i="1"/>
  <c r="AK2357" i="1"/>
  <c r="AM2357" i="1"/>
  <c r="BG2357" i="1"/>
  <c r="T2358" i="1"/>
  <c r="U2358" i="1"/>
  <c r="V2358" i="1"/>
  <c r="W2358" i="1"/>
  <c r="X2358" i="1"/>
  <c r="Y2358" i="1"/>
  <c r="Z2358" i="1"/>
  <c r="AB2358" i="1"/>
  <c r="AF2358" i="1"/>
  <c r="AI2358" i="1"/>
  <c r="H2359" i="1"/>
  <c r="AE2359" i="1"/>
  <c r="I2359" i="1"/>
  <c r="J2359" i="1"/>
  <c r="K2359" i="1"/>
  <c r="AC2359" i="1"/>
  <c r="AJ2358" i="1"/>
  <c r="AK2358" i="1"/>
  <c r="AM2358" i="1"/>
  <c r="BF2358" i="1"/>
  <c r="BG2358" i="1"/>
  <c r="T2359" i="1"/>
  <c r="U2359" i="1"/>
  <c r="V2359" i="1"/>
  <c r="W2359" i="1"/>
  <c r="X2359" i="1"/>
  <c r="Y2359" i="1"/>
  <c r="Z2359" i="1"/>
  <c r="AB2359" i="1"/>
  <c r="AF2359" i="1"/>
  <c r="AI2359" i="1"/>
  <c r="H2360" i="1"/>
  <c r="AE2360" i="1"/>
  <c r="I2360" i="1"/>
  <c r="J2360" i="1"/>
  <c r="K2360" i="1"/>
  <c r="AC2360" i="1"/>
  <c r="AJ2359" i="1"/>
  <c r="AK2359" i="1"/>
  <c r="AM2359" i="1"/>
  <c r="BF2359" i="1"/>
  <c r="BG2359" i="1"/>
  <c r="T2360" i="1"/>
  <c r="U2360" i="1"/>
  <c r="V2360" i="1"/>
  <c r="W2360" i="1"/>
  <c r="X2360" i="1"/>
  <c r="Y2360" i="1"/>
  <c r="Z2360" i="1"/>
  <c r="AB2360" i="1"/>
  <c r="AF2360" i="1"/>
  <c r="AI2360" i="1"/>
  <c r="H2361" i="1"/>
  <c r="AE2361" i="1"/>
  <c r="I2361" i="1"/>
  <c r="J2361" i="1"/>
  <c r="K2361" i="1"/>
  <c r="AC2361" i="1"/>
  <c r="AJ2360" i="1"/>
  <c r="AK2360" i="1"/>
  <c r="AM2360" i="1"/>
  <c r="BF2360" i="1"/>
  <c r="BG2360" i="1"/>
  <c r="T2361" i="1"/>
  <c r="U2361" i="1"/>
  <c r="V2361" i="1"/>
  <c r="W2361" i="1"/>
  <c r="X2361" i="1"/>
  <c r="Y2361" i="1"/>
  <c r="Z2361" i="1"/>
  <c r="AB2361" i="1"/>
  <c r="AF2361" i="1"/>
  <c r="AI2361" i="1"/>
  <c r="H2362" i="1"/>
  <c r="AE2362" i="1"/>
  <c r="I2362" i="1"/>
  <c r="J2362" i="1"/>
  <c r="K2362" i="1"/>
  <c r="AC2362" i="1"/>
  <c r="AJ2361" i="1"/>
  <c r="AK2361" i="1"/>
  <c r="AM2361" i="1"/>
  <c r="BF2361" i="1"/>
  <c r="BG2361" i="1"/>
  <c r="T2362" i="1"/>
  <c r="U2362" i="1"/>
  <c r="V2362" i="1"/>
  <c r="W2362" i="1"/>
  <c r="X2362" i="1"/>
  <c r="Y2362" i="1"/>
  <c r="Z2362" i="1"/>
  <c r="AB2362" i="1"/>
  <c r="AF2362" i="1"/>
  <c r="AI2362" i="1"/>
  <c r="H2363" i="1"/>
  <c r="AE2363" i="1"/>
  <c r="I2363" i="1"/>
  <c r="J2363" i="1"/>
  <c r="K2363" i="1"/>
  <c r="AC2363" i="1"/>
  <c r="AJ2362" i="1"/>
  <c r="AK2362" i="1"/>
  <c r="AM2362" i="1"/>
  <c r="BF2362" i="1"/>
  <c r="BG2362" i="1"/>
  <c r="T2363" i="1"/>
  <c r="U2363" i="1"/>
  <c r="V2363" i="1"/>
  <c r="W2363" i="1"/>
  <c r="X2363" i="1"/>
  <c r="Y2363" i="1"/>
  <c r="Z2363" i="1"/>
  <c r="AB2363" i="1"/>
  <c r="AF2363" i="1"/>
  <c r="AI2363" i="1"/>
  <c r="H2364" i="1"/>
  <c r="AE2364" i="1"/>
  <c r="I2364" i="1"/>
  <c r="J2364" i="1"/>
  <c r="K2364" i="1"/>
  <c r="AC2364" i="1"/>
  <c r="AJ2363" i="1"/>
  <c r="AK2363" i="1"/>
  <c r="AM2363" i="1"/>
  <c r="BF2363" i="1"/>
  <c r="BG2363" i="1"/>
  <c r="T2364" i="1"/>
  <c r="U2364" i="1"/>
  <c r="V2364" i="1"/>
  <c r="W2364" i="1"/>
  <c r="X2364" i="1"/>
  <c r="Y2364" i="1"/>
  <c r="Z2364" i="1"/>
  <c r="AB2364" i="1"/>
  <c r="AF2364" i="1"/>
  <c r="AI2364" i="1"/>
  <c r="AE2365" i="1"/>
  <c r="AC2365" i="1"/>
  <c r="AJ2364" i="1"/>
  <c r="AK2364" i="1"/>
  <c r="AM2364" i="1"/>
  <c r="BF2364" i="1"/>
  <c r="BG2364" i="1"/>
  <c r="T2365" i="1"/>
  <c r="U2365" i="1"/>
  <c r="V2365" i="1"/>
  <c r="W2365" i="1"/>
  <c r="X2365" i="1"/>
  <c r="Y2365" i="1"/>
  <c r="Z2365" i="1"/>
  <c r="AB2365" i="1"/>
  <c r="AF2365" i="1"/>
  <c r="AI2365" i="1"/>
  <c r="AE2366" i="1"/>
  <c r="AC2366" i="1"/>
  <c r="AJ2365" i="1"/>
  <c r="AK2365" i="1"/>
  <c r="AM2365" i="1"/>
  <c r="BF2365" i="1"/>
  <c r="BG2365" i="1"/>
  <c r="T2366" i="1"/>
  <c r="U2366" i="1"/>
  <c r="V2366" i="1"/>
  <c r="W2366" i="1"/>
  <c r="X2366" i="1"/>
  <c r="Y2366" i="1"/>
  <c r="Z2366" i="1"/>
  <c r="AB2366" i="1"/>
  <c r="AF2366" i="1"/>
  <c r="AI2366" i="1"/>
  <c r="H2367" i="1"/>
  <c r="AE2367" i="1"/>
  <c r="I2367" i="1"/>
  <c r="J2367" i="1"/>
  <c r="K2367" i="1"/>
  <c r="AC2367" i="1"/>
  <c r="AJ2366" i="1"/>
  <c r="AK2366" i="1"/>
  <c r="AM2366" i="1"/>
  <c r="BG2366" i="1"/>
  <c r="T2367" i="1"/>
  <c r="U2367" i="1"/>
  <c r="V2367" i="1"/>
  <c r="W2367" i="1"/>
  <c r="X2367" i="1"/>
  <c r="Y2367" i="1"/>
  <c r="Z2367" i="1"/>
  <c r="AB2367" i="1"/>
  <c r="AF2367" i="1"/>
  <c r="AI2367" i="1"/>
  <c r="H2368" i="1"/>
  <c r="AE2368" i="1"/>
  <c r="I2368" i="1"/>
  <c r="J2368" i="1"/>
  <c r="K2368" i="1"/>
  <c r="AC2368" i="1"/>
  <c r="AJ2367" i="1"/>
  <c r="AK2367" i="1"/>
  <c r="AM2367" i="1"/>
  <c r="BF2367" i="1"/>
  <c r="BG2367" i="1"/>
  <c r="T2368" i="1"/>
  <c r="U2368" i="1"/>
  <c r="V2368" i="1"/>
  <c r="W2368" i="1"/>
  <c r="X2368" i="1"/>
  <c r="Y2368" i="1"/>
  <c r="Z2368" i="1"/>
  <c r="AB2368" i="1"/>
  <c r="AF2368" i="1"/>
  <c r="AI2368" i="1"/>
  <c r="H2369" i="1"/>
  <c r="AE2369" i="1"/>
  <c r="I2369" i="1"/>
  <c r="J2369" i="1"/>
  <c r="K2369" i="1"/>
  <c r="AC2369" i="1"/>
  <c r="AJ2368" i="1"/>
  <c r="AK2368" i="1"/>
  <c r="AM2368" i="1"/>
  <c r="BF2368" i="1"/>
  <c r="BG2368" i="1"/>
  <c r="T2369" i="1"/>
  <c r="U2369" i="1"/>
  <c r="V2369" i="1"/>
  <c r="W2369" i="1"/>
  <c r="X2369" i="1"/>
  <c r="Y2369" i="1"/>
  <c r="Z2369" i="1"/>
  <c r="AB2369" i="1"/>
  <c r="AF2369" i="1"/>
  <c r="AI2369" i="1"/>
  <c r="AE2370" i="1"/>
  <c r="AC2370" i="1"/>
  <c r="AJ2369" i="1"/>
  <c r="AK2369" i="1"/>
  <c r="AM2369" i="1"/>
  <c r="BF2369" i="1"/>
  <c r="BG2369" i="1"/>
  <c r="T2370" i="1"/>
  <c r="U2370" i="1"/>
  <c r="V2370" i="1"/>
  <c r="W2370" i="1"/>
  <c r="X2370" i="1"/>
  <c r="Y2370" i="1"/>
  <c r="Z2370" i="1"/>
  <c r="AB2370" i="1"/>
  <c r="AF2370" i="1"/>
  <c r="AI2370" i="1"/>
  <c r="AE2371" i="1"/>
  <c r="AC2371" i="1"/>
  <c r="AJ2370" i="1"/>
  <c r="AK2370" i="1"/>
  <c r="AM2370" i="1"/>
  <c r="BF2370" i="1"/>
  <c r="BG2370" i="1"/>
  <c r="T2371" i="1"/>
  <c r="U2371" i="1"/>
  <c r="V2371" i="1"/>
  <c r="W2371" i="1"/>
  <c r="X2371" i="1"/>
  <c r="Y2371" i="1"/>
  <c r="Z2371" i="1"/>
  <c r="AB2371" i="1"/>
  <c r="AF2371" i="1"/>
  <c r="AI2371" i="1"/>
  <c r="AE2372" i="1"/>
  <c r="AC2372" i="1"/>
  <c r="AJ2371" i="1"/>
  <c r="AK2371" i="1"/>
  <c r="AM2371" i="1"/>
  <c r="BF2371" i="1"/>
  <c r="BG2371" i="1"/>
  <c r="T2372" i="1"/>
  <c r="U2372" i="1"/>
  <c r="V2372" i="1"/>
  <c r="W2372" i="1"/>
  <c r="X2372" i="1"/>
  <c r="Y2372" i="1"/>
  <c r="Z2372" i="1"/>
  <c r="AB2372" i="1"/>
  <c r="AF2372" i="1"/>
  <c r="AI2372" i="1"/>
  <c r="H2373" i="1"/>
  <c r="AE2373" i="1"/>
  <c r="I2373" i="1"/>
  <c r="J2373" i="1"/>
  <c r="K2373" i="1"/>
  <c r="AC2373" i="1"/>
  <c r="AJ2372" i="1"/>
  <c r="AK2372" i="1"/>
  <c r="AM2372" i="1"/>
  <c r="BG2372" i="1"/>
  <c r="T2373" i="1"/>
  <c r="U2373" i="1"/>
  <c r="V2373" i="1"/>
  <c r="W2373" i="1"/>
  <c r="X2373" i="1"/>
  <c r="Y2373" i="1"/>
  <c r="Z2373" i="1"/>
  <c r="AB2373" i="1"/>
  <c r="AF2373" i="1"/>
  <c r="AI2373" i="1"/>
  <c r="AE2374" i="1"/>
  <c r="AC2374" i="1"/>
  <c r="AJ2373" i="1"/>
  <c r="AK2373" i="1"/>
  <c r="AM2373" i="1"/>
  <c r="BF2373" i="1"/>
  <c r="BG2373" i="1"/>
  <c r="T2374" i="1"/>
  <c r="U2374" i="1"/>
  <c r="V2374" i="1"/>
  <c r="W2374" i="1"/>
  <c r="X2374" i="1"/>
  <c r="Y2374" i="1"/>
  <c r="Z2374" i="1"/>
  <c r="AB2374" i="1"/>
  <c r="AF2374" i="1"/>
  <c r="AI2374" i="1"/>
  <c r="AE2375" i="1"/>
  <c r="AC2375" i="1"/>
  <c r="AJ2374" i="1"/>
  <c r="AK2374" i="1"/>
  <c r="AM2374" i="1"/>
  <c r="BF2374" i="1"/>
  <c r="BG2374" i="1"/>
  <c r="T2375" i="1"/>
  <c r="U2375" i="1"/>
  <c r="V2375" i="1"/>
  <c r="W2375" i="1"/>
  <c r="X2375" i="1"/>
  <c r="Y2375" i="1"/>
  <c r="Z2375" i="1"/>
  <c r="AB2375" i="1"/>
  <c r="AF2375" i="1"/>
  <c r="AI2375" i="1"/>
  <c r="H2376" i="1"/>
  <c r="AE2376" i="1"/>
  <c r="I2376" i="1"/>
  <c r="J2376" i="1"/>
  <c r="K2376" i="1"/>
  <c r="AC2376" i="1"/>
  <c r="AJ2375" i="1"/>
  <c r="AK2375" i="1"/>
  <c r="AM2375" i="1"/>
  <c r="BG2375" i="1"/>
  <c r="T2376" i="1"/>
  <c r="U2376" i="1"/>
  <c r="V2376" i="1"/>
  <c r="W2376" i="1"/>
  <c r="X2376" i="1"/>
  <c r="Y2376" i="1"/>
  <c r="Z2376" i="1"/>
  <c r="AB2376" i="1"/>
  <c r="AF2376" i="1"/>
  <c r="AI2376" i="1"/>
  <c r="AE2377" i="1"/>
  <c r="AC2377" i="1"/>
  <c r="AJ2376" i="1"/>
  <c r="AK2376" i="1"/>
  <c r="AM2376" i="1"/>
  <c r="BF2376" i="1"/>
  <c r="BG2376" i="1"/>
  <c r="T2377" i="1"/>
  <c r="U2377" i="1"/>
  <c r="V2377" i="1"/>
  <c r="W2377" i="1"/>
  <c r="X2377" i="1"/>
  <c r="Y2377" i="1"/>
  <c r="Z2377" i="1"/>
  <c r="AB2377" i="1"/>
  <c r="AF2377" i="1"/>
  <c r="AI2377" i="1"/>
  <c r="AE2378" i="1"/>
  <c r="AC2378" i="1"/>
  <c r="AJ2377" i="1"/>
  <c r="AK2377" i="1"/>
  <c r="AM2377" i="1"/>
  <c r="BF2377" i="1"/>
  <c r="BG2377" i="1"/>
  <c r="T2378" i="1"/>
  <c r="U2378" i="1"/>
  <c r="V2378" i="1"/>
  <c r="W2378" i="1"/>
  <c r="X2378" i="1"/>
  <c r="Y2378" i="1"/>
  <c r="Z2378" i="1"/>
  <c r="AB2378" i="1"/>
  <c r="AF2378" i="1"/>
  <c r="AI2378" i="1"/>
  <c r="AE2379" i="1"/>
  <c r="AC2379" i="1"/>
  <c r="AJ2378" i="1"/>
  <c r="AK2378" i="1"/>
  <c r="AM2378" i="1"/>
  <c r="BF2378" i="1"/>
  <c r="BG2378" i="1"/>
  <c r="T2379" i="1"/>
  <c r="U2379" i="1"/>
  <c r="V2379" i="1"/>
  <c r="W2379" i="1"/>
  <c r="X2379" i="1"/>
  <c r="Y2379" i="1"/>
  <c r="Z2379" i="1"/>
  <c r="AB2379" i="1"/>
  <c r="AF2379" i="1"/>
  <c r="AI2379" i="1"/>
  <c r="H2380" i="1"/>
  <c r="AE2380" i="1"/>
  <c r="I2380" i="1"/>
  <c r="J2380" i="1"/>
  <c r="K2380" i="1"/>
  <c r="AC2380" i="1"/>
  <c r="AJ2379" i="1"/>
  <c r="AK2379" i="1"/>
  <c r="AM2379" i="1"/>
  <c r="BG2379" i="1"/>
  <c r="T2380" i="1"/>
  <c r="U2380" i="1"/>
  <c r="V2380" i="1"/>
  <c r="W2380" i="1"/>
  <c r="X2380" i="1"/>
  <c r="Y2380" i="1"/>
  <c r="Z2380" i="1"/>
  <c r="AB2380" i="1"/>
  <c r="AF2380" i="1"/>
  <c r="AI2380" i="1"/>
  <c r="H2381" i="1"/>
  <c r="AE2381" i="1"/>
  <c r="I2381" i="1"/>
  <c r="J2381" i="1"/>
  <c r="K2381" i="1"/>
  <c r="AC2381" i="1"/>
  <c r="AJ2380" i="1"/>
  <c r="AK2380" i="1"/>
  <c r="AM2380" i="1"/>
  <c r="BF2380" i="1"/>
  <c r="BG2380" i="1"/>
  <c r="T2381" i="1"/>
  <c r="U2381" i="1"/>
  <c r="V2381" i="1"/>
  <c r="W2381" i="1"/>
  <c r="X2381" i="1"/>
  <c r="Y2381" i="1"/>
  <c r="Z2381" i="1"/>
  <c r="AB2381" i="1"/>
  <c r="AF2381" i="1"/>
  <c r="AI2381" i="1"/>
  <c r="H2382" i="1"/>
  <c r="AE2382" i="1"/>
  <c r="I2382" i="1"/>
  <c r="J2382" i="1"/>
  <c r="K2382" i="1"/>
  <c r="AC2382" i="1"/>
  <c r="AJ2381" i="1"/>
  <c r="AK2381" i="1"/>
  <c r="AM2381" i="1"/>
  <c r="BF2381" i="1"/>
  <c r="BG2381" i="1"/>
  <c r="T2382" i="1"/>
  <c r="U2382" i="1"/>
  <c r="V2382" i="1"/>
  <c r="W2382" i="1"/>
  <c r="X2382" i="1"/>
  <c r="Y2382" i="1"/>
  <c r="Z2382" i="1"/>
  <c r="AB2382" i="1"/>
  <c r="AF2382" i="1"/>
  <c r="AI2382" i="1"/>
  <c r="H2383" i="1"/>
  <c r="AE2383" i="1"/>
  <c r="I2383" i="1"/>
  <c r="J2383" i="1"/>
  <c r="K2383" i="1"/>
  <c r="AC2383" i="1"/>
  <c r="AJ2382" i="1"/>
  <c r="AK2382" i="1"/>
  <c r="AM2382" i="1"/>
  <c r="BF2382" i="1"/>
  <c r="BG2382" i="1"/>
  <c r="T2383" i="1"/>
  <c r="U2383" i="1"/>
  <c r="V2383" i="1"/>
  <c r="W2383" i="1"/>
  <c r="X2383" i="1"/>
  <c r="Y2383" i="1"/>
  <c r="Z2383" i="1"/>
  <c r="AB2383" i="1"/>
  <c r="AF2383" i="1"/>
  <c r="AI2383" i="1"/>
  <c r="AE2384" i="1"/>
  <c r="AC2384" i="1"/>
  <c r="AJ2383" i="1"/>
  <c r="AK2383" i="1"/>
  <c r="AM2383" i="1"/>
  <c r="BF2383" i="1"/>
  <c r="BG2383" i="1"/>
  <c r="T2384" i="1"/>
  <c r="U2384" i="1"/>
  <c r="V2384" i="1"/>
  <c r="W2384" i="1"/>
  <c r="X2384" i="1"/>
  <c r="Y2384" i="1"/>
  <c r="Z2384" i="1"/>
  <c r="AB2384" i="1"/>
  <c r="AF2384" i="1"/>
  <c r="AI2384" i="1"/>
  <c r="AE2385" i="1"/>
  <c r="AC2385" i="1"/>
  <c r="AJ2384" i="1"/>
  <c r="AK2384" i="1"/>
  <c r="AM2384" i="1"/>
  <c r="BF2384" i="1"/>
  <c r="BG2384" i="1"/>
  <c r="T2385" i="1"/>
  <c r="U2385" i="1"/>
  <c r="V2385" i="1"/>
  <c r="W2385" i="1"/>
  <c r="X2385" i="1"/>
  <c r="Y2385" i="1"/>
  <c r="Z2385" i="1"/>
  <c r="AB2385" i="1"/>
  <c r="AF2385" i="1"/>
  <c r="AI2385" i="1"/>
  <c r="H2386" i="1"/>
  <c r="AE2386" i="1"/>
  <c r="I2386" i="1"/>
  <c r="J2386" i="1"/>
  <c r="K2386" i="1"/>
  <c r="AC2386" i="1"/>
  <c r="AJ2385" i="1"/>
  <c r="AK2385" i="1"/>
  <c r="AM2385" i="1"/>
  <c r="BG2385" i="1"/>
  <c r="T2386" i="1"/>
  <c r="U2386" i="1"/>
  <c r="V2386" i="1"/>
  <c r="W2386" i="1"/>
  <c r="X2386" i="1"/>
  <c r="Y2386" i="1"/>
  <c r="Z2386" i="1"/>
  <c r="AB2386" i="1"/>
  <c r="AF2386" i="1"/>
  <c r="AI2386" i="1"/>
  <c r="H2387" i="1"/>
  <c r="AE2387" i="1"/>
  <c r="I2387" i="1"/>
  <c r="J2387" i="1"/>
  <c r="K2387" i="1"/>
  <c r="AC2387" i="1"/>
  <c r="AJ2386" i="1"/>
  <c r="AK2386" i="1"/>
  <c r="AM2386" i="1"/>
  <c r="BF2386" i="1"/>
  <c r="BG2386" i="1"/>
  <c r="T2387" i="1"/>
  <c r="U2387" i="1"/>
  <c r="V2387" i="1"/>
  <c r="W2387" i="1"/>
  <c r="X2387" i="1"/>
  <c r="Y2387" i="1"/>
  <c r="Z2387" i="1"/>
  <c r="AB2387" i="1"/>
  <c r="AF2387" i="1"/>
  <c r="AI2387" i="1"/>
  <c r="AE2388" i="1"/>
  <c r="AC2388" i="1"/>
  <c r="AJ2387" i="1"/>
  <c r="AK2387" i="1"/>
  <c r="AM2387" i="1"/>
  <c r="BF2387" i="1"/>
  <c r="BG2387" i="1"/>
  <c r="T2388" i="1"/>
  <c r="U2388" i="1"/>
  <c r="V2388" i="1"/>
  <c r="W2388" i="1"/>
  <c r="X2388" i="1"/>
  <c r="Y2388" i="1"/>
  <c r="Z2388" i="1"/>
  <c r="AB2388" i="1"/>
  <c r="AF2388" i="1"/>
  <c r="AI2388" i="1"/>
  <c r="AE2389" i="1"/>
  <c r="AC2389" i="1"/>
  <c r="AJ2388" i="1"/>
  <c r="AK2388" i="1"/>
  <c r="AM2388" i="1"/>
  <c r="BF2388" i="1"/>
  <c r="BG2388" i="1"/>
  <c r="T2389" i="1"/>
  <c r="U2389" i="1"/>
  <c r="V2389" i="1"/>
  <c r="W2389" i="1"/>
  <c r="X2389" i="1"/>
  <c r="Y2389" i="1"/>
  <c r="Z2389" i="1"/>
  <c r="AB2389" i="1"/>
  <c r="AF2389" i="1"/>
  <c r="AI2389" i="1"/>
  <c r="AE2390" i="1"/>
  <c r="AC2390" i="1"/>
  <c r="AJ2389" i="1"/>
  <c r="AK2389" i="1"/>
  <c r="AM2389" i="1"/>
  <c r="BF2389" i="1"/>
  <c r="BG2389" i="1"/>
  <c r="T2390" i="1"/>
  <c r="U2390" i="1"/>
  <c r="V2390" i="1"/>
  <c r="W2390" i="1"/>
  <c r="X2390" i="1"/>
  <c r="Y2390" i="1"/>
  <c r="Z2390" i="1"/>
  <c r="AB2390" i="1"/>
  <c r="AF2390" i="1"/>
  <c r="AI2390" i="1"/>
  <c r="AE2391" i="1"/>
  <c r="AC2391" i="1"/>
  <c r="AJ2390" i="1"/>
  <c r="AK2390" i="1"/>
  <c r="AM2390" i="1"/>
  <c r="BF2390" i="1"/>
  <c r="BG2390" i="1"/>
  <c r="T2391" i="1"/>
  <c r="U2391" i="1"/>
  <c r="V2391" i="1"/>
  <c r="W2391" i="1"/>
  <c r="X2391" i="1"/>
  <c r="Y2391" i="1"/>
  <c r="Z2391" i="1"/>
  <c r="AB2391" i="1"/>
  <c r="AF2391" i="1"/>
  <c r="AI2391" i="1"/>
  <c r="H2392" i="1"/>
  <c r="AE2392" i="1"/>
  <c r="I2392" i="1"/>
  <c r="J2392" i="1"/>
  <c r="K2392" i="1"/>
  <c r="AC2392" i="1"/>
  <c r="AJ2391" i="1"/>
  <c r="AK2391" i="1"/>
  <c r="AM2391" i="1"/>
  <c r="BG2391" i="1"/>
  <c r="T2392" i="1"/>
  <c r="U2392" i="1"/>
  <c r="V2392" i="1"/>
  <c r="W2392" i="1"/>
  <c r="X2392" i="1"/>
  <c r="Y2392" i="1"/>
  <c r="Z2392" i="1"/>
  <c r="AB2392" i="1"/>
  <c r="AF2392" i="1"/>
  <c r="AI2392" i="1"/>
  <c r="AE2393" i="1"/>
  <c r="AC2393" i="1"/>
  <c r="AJ2392" i="1"/>
  <c r="AK2392" i="1"/>
  <c r="AM2392" i="1"/>
  <c r="BF2392" i="1"/>
  <c r="BG2392" i="1"/>
  <c r="T2393" i="1"/>
  <c r="U2393" i="1"/>
  <c r="V2393" i="1"/>
  <c r="W2393" i="1"/>
  <c r="X2393" i="1"/>
  <c r="Y2393" i="1"/>
  <c r="Z2393" i="1"/>
  <c r="AB2393" i="1"/>
  <c r="AF2393" i="1"/>
  <c r="AI2393" i="1"/>
  <c r="AE2394" i="1"/>
  <c r="AC2394" i="1"/>
  <c r="AJ2393" i="1"/>
  <c r="AK2393" i="1"/>
  <c r="AM2393" i="1"/>
  <c r="BF2393" i="1"/>
  <c r="BG2393" i="1"/>
  <c r="T2394" i="1"/>
  <c r="U2394" i="1"/>
  <c r="V2394" i="1"/>
  <c r="W2394" i="1"/>
  <c r="X2394" i="1"/>
  <c r="Y2394" i="1"/>
  <c r="Z2394" i="1"/>
  <c r="AB2394" i="1"/>
  <c r="AF2394" i="1"/>
  <c r="AI2394" i="1"/>
  <c r="AE2395" i="1"/>
  <c r="AC2395" i="1"/>
  <c r="AJ2394" i="1"/>
  <c r="AK2394" i="1"/>
  <c r="AM2394" i="1"/>
  <c r="BF2394" i="1"/>
  <c r="BG2394" i="1"/>
  <c r="T2395" i="1"/>
  <c r="U2395" i="1"/>
  <c r="V2395" i="1"/>
  <c r="W2395" i="1"/>
  <c r="X2395" i="1"/>
  <c r="Y2395" i="1"/>
  <c r="Z2395" i="1"/>
  <c r="AB2395" i="1"/>
  <c r="AF2395" i="1"/>
  <c r="AI2395" i="1"/>
  <c r="H2396" i="1"/>
  <c r="AE2396" i="1"/>
  <c r="I2396" i="1"/>
  <c r="J2396" i="1"/>
  <c r="K2396" i="1"/>
  <c r="AC2396" i="1"/>
  <c r="AJ2395" i="1"/>
  <c r="AK2395" i="1"/>
  <c r="AM2395" i="1"/>
  <c r="BG2395" i="1"/>
  <c r="T2396" i="1"/>
  <c r="U2396" i="1"/>
  <c r="V2396" i="1"/>
  <c r="W2396" i="1"/>
  <c r="X2396" i="1"/>
  <c r="Y2396" i="1"/>
  <c r="Z2396" i="1"/>
  <c r="AB2396" i="1"/>
  <c r="AF2396" i="1"/>
  <c r="AI2396" i="1"/>
  <c r="H2397" i="1"/>
  <c r="AE2397" i="1"/>
  <c r="I2397" i="1"/>
  <c r="J2397" i="1"/>
  <c r="K2397" i="1"/>
  <c r="AC2397" i="1"/>
  <c r="AJ2396" i="1"/>
  <c r="AK2396" i="1"/>
  <c r="AM2396" i="1"/>
  <c r="BF2396" i="1"/>
  <c r="BG2396" i="1"/>
  <c r="T2397" i="1"/>
  <c r="U2397" i="1"/>
  <c r="V2397" i="1"/>
  <c r="W2397" i="1"/>
  <c r="X2397" i="1"/>
  <c r="Y2397" i="1"/>
  <c r="Z2397" i="1"/>
  <c r="AB2397" i="1"/>
  <c r="AF2397" i="1"/>
  <c r="AI2397" i="1"/>
  <c r="AE2398" i="1"/>
  <c r="AC2398" i="1"/>
  <c r="AJ2397" i="1"/>
  <c r="AK2397" i="1"/>
  <c r="AM2397" i="1"/>
  <c r="BF2397" i="1"/>
  <c r="BG2397" i="1"/>
  <c r="T2398" i="1"/>
  <c r="U2398" i="1"/>
  <c r="V2398" i="1"/>
  <c r="W2398" i="1"/>
  <c r="X2398" i="1"/>
  <c r="Y2398" i="1"/>
  <c r="Z2398" i="1"/>
  <c r="AB2398" i="1"/>
  <c r="AF2398" i="1"/>
  <c r="AI2398" i="1"/>
  <c r="AE2399" i="1"/>
  <c r="AC2399" i="1"/>
  <c r="AJ2398" i="1"/>
  <c r="AK2398" i="1"/>
  <c r="AM2398" i="1"/>
  <c r="BF2398" i="1"/>
  <c r="BG2398" i="1"/>
  <c r="T2399" i="1"/>
  <c r="U2399" i="1"/>
  <c r="V2399" i="1"/>
  <c r="W2399" i="1"/>
  <c r="X2399" i="1"/>
  <c r="Y2399" i="1"/>
  <c r="Z2399" i="1"/>
  <c r="AB2399" i="1"/>
  <c r="AF2399" i="1"/>
  <c r="AI2399" i="1"/>
  <c r="H2400" i="1"/>
  <c r="AE2400" i="1"/>
  <c r="I2400" i="1"/>
  <c r="J2400" i="1"/>
  <c r="K2400" i="1"/>
  <c r="AC2400" i="1"/>
  <c r="AJ2399" i="1"/>
  <c r="AK2399" i="1"/>
  <c r="AM2399" i="1"/>
  <c r="BG2399" i="1"/>
  <c r="T2400" i="1"/>
  <c r="U2400" i="1"/>
  <c r="V2400" i="1"/>
  <c r="W2400" i="1"/>
  <c r="X2400" i="1"/>
  <c r="Y2400" i="1"/>
  <c r="Z2400" i="1"/>
  <c r="AB2400" i="1"/>
  <c r="AF2400" i="1"/>
  <c r="AI2400" i="1"/>
  <c r="AE2401" i="1"/>
  <c r="AC2401" i="1"/>
  <c r="AJ2400" i="1"/>
  <c r="AK2400" i="1"/>
  <c r="AM2400" i="1"/>
  <c r="BF2400" i="1"/>
  <c r="BG2400" i="1"/>
  <c r="T2401" i="1"/>
  <c r="U2401" i="1"/>
  <c r="V2401" i="1"/>
  <c r="W2401" i="1"/>
  <c r="X2401" i="1"/>
  <c r="Y2401" i="1"/>
  <c r="Z2401" i="1"/>
  <c r="AB2401" i="1"/>
  <c r="AF2401" i="1"/>
  <c r="AI2401" i="1"/>
  <c r="AE2402" i="1"/>
  <c r="AC2402" i="1"/>
  <c r="AJ2401" i="1"/>
  <c r="AK2401" i="1"/>
  <c r="AM2401" i="1"/>
  <c r="BF2401" i="1"/>
  <c r="BG2401" i="1"/>
  <c r="T2402" i="1"/>
  <c r="U2402" i="1"/>
  <c r="V2402" i="1"/>
  <c r="W2402" i="1"/>
  <c r="X2402" i="1"/>
  <c r="Y2402" i="1"/>
  <c r="Z2402" i="1"/>
  <c r="AB2402" i="1"/>
  <c r="AF2402" i="1"/>
  <c r="AI2402" i="1"/>
  <c r="H2403" i="1"/>
  <c r="AE2403" i="1"/>
  <c r="I2403" i="1"/>
  <c r="J2403" i="1"/>
  <c r="K2403" i="1"/>
  <c r="AC2403" i="1"/>
  <c r="AJ2402" i="1"/>
  <c r="AK2402" i="1"/>
  <c r="AM2402" i="1"/>
  <c r="BG2402" i="1"/>
  <c r="T2403" i="1"/>
  <c r="U2403" i="1"/>
  <c r="V2403" i="1"/>
  <c r="W2403" i="1"/>
  <c r="X2403" i="1"/>
  <c r="Y2403" i="1"/>
  <c r="Z2403" i="1"/>
  <c r="AB2403" i="1"/>
  <c r="AF2403" i="1"/>
  <c r="AI2403" i="1"/>
  <c r="AE2404" i="1"/>
  <c r="AC2404" i="1"/>
  <c r="AJ2403" i="1"/>
  <c r="AK2403" i="1"/>
  <c r="AM2403" i="1"/>
  <c r="BF2403" i="1"/>
  <c r="BG2403" i="1"/>
  <c r="T2404" i="1"/>
  <c r="U2404" i="1"/>
  <c r="V2404" i="1"/>
  <c r="W2404" i="1"/>
  <c r="X2404" i="1"/>
  <c r="Y2404" i="1"/>
  <c r="Z2404" i="1"/>
  <c r="AB2404" i="1"/>
  <c r="AF2404" i="1"/>
  <c r="AI2404" i="1"/>
  <c r="AE2405" i="1"/>
  <c r="AC2405" i="1"/>
  <c r="AJ2404" i="1"/>
  <c r="AK2404" i="1"/>
  <c r="AM2404" i="1"/>
  <c r="BF2404" i="1"/>
  <c r="BG2404" i="1"/>
  <c r="T2405" i="1"/>
  <c r="U2405" i="1"/>
  <c r="V2405" i="1"/>
  <c r="W2405" i="1"/>
  <c r="X2405" i="1"/>
  <c r="Y2405" i="1"/>
  <c r="Z2405" i="1"/>
  <c r="AB2405" i="1"/>
  <c r="AF2405" i="1"/>
  <c r="AI2405" i="1"/>
  <c r="H2406" i="1"/>
  <c r="AE2406" i="1"/>
  <c r="I2406" i="1"/>
  <c r="J2406" i="1"/>
  <c r="K2406" i="1"/>
  <c r="AC2406" i="1"/>
  <c r="AJ2405" i="1"/>
  <c r="AK2405" i="1"/>
  <c r="AM2405" i="1"/>
  <c r="BG2405" i="1"/>
  <c r="T2406" i="1"/>
  <c r="U2406" i="1"/>
  <c r="V2406" i="1"/>
  <c r="W2406" i="1"/>
  <c r="X2406" i="1"/>
  <c r="Y2406" i="1"/>
  <c r="Z2406" i="1"/>
  <c r="AB2406" i="1"/>
  <c r="AF2406" i="1"/>
  <c r="AI2406" i="1"/>
  <c r="H2407" i="1"/>
  <c r="AE2407" i="1"/>
  <c r="I2407" i="1"/>
  <c r="J2407" i="1"/>
  <c r="K2407" i="1"/>
  <c r="AC2407" i="1"/>
  <c r="AJ2406" i="1"/>
  <c r="AK2406" i="1"/>
  <c r="AM2406" i="1"/>
  <c r="BF2406" i="1"/>
  <c r="BG2406" i="1"/>
  <c r="T2407" i="1"/>
  <c r="U2407" i="1"/>
  <c r="V2407" i="1"/>
  <c r="W2407" i="1"/>
  <c r="X2407" i="1"/>
  <c r="Y2407" i="1"/>
  <c r="Z2407" i="1"/>
  <c r="AB2407" i="1"/>
  <c r="AF2407" i="1"/>
  <c r="AI2407" i="1"/>
  <c r="H2408" i="1"/>
  <c r="AE2408" i="1"/>
  <c r="I2408" i="1"/>
  <c r="J2408" i="1"/>
  <c r="K2408" i="1"/>
  <c r="AC2408" i="1"/>
  <c r="AJ2407" i="1"/>
  <c r="AK2407" i="1"/>
  <c r="AM2407" i="1"/>
  <c r="BF2407" i="1"/>
  <c r="BG2407" i="1"/>
  <c r="T2408" i="1"/>
  <c r="U2408" i="1"/>
  <c r="V2408" i="1"/>
  <c r="W2408" i="1"/>
  <c r="X2408" i="1"/>
  <c r="Y2408" i="1"/>
  <c r="Z2408" i="1"/>
  <c r="AB2408" i="1"/>
  <c r="AF2408" i="1"/>
  <c r="AI2408" i="1"/>
  <c r="H2409" i="1"/>
  <c r="AE2409" i="1"/>
  <c r="I2409" i="1"/>
  <c r="J2409" i="1"/>
  <c r="K2409" i="1"/>
  <c r="AC2409" i="1"/>
  <c r="AJ2408" i="1"/>
  <c r="AK2408" i="1"/>
  <c r="AM2408" i="1"/>
  <c r="BF2408" i="1"/>
  <c r="BG2408" i="1"/>
  <c r="T2409" i="1"/>
  <c r="U2409" i="1"/>
  <c r="V2409" i="1"/>
  <c r="W2409" i="1"/>
  <c r="X2409" i="1"/>
  <c r="Y2409" i="1"/>
  <c r="Z2409" i="1"/>
  <c r="AB2409" i="1"/>
  <c r="AF2409" i="1"/>
  <c r="AI2409" i="1"/>
  <c r="H2410" i="1"/>
  <c r="AE2410" i="1"/>
  <c r="I2410" i="1"/>
  <c r="J2410" i="1"/>
  <c r="K2410" i="1"/>
  <c r="AC2410" i="1"/>
  <c r="AJ2409" i="1"/>
  <c r="AK2409" i="1"/>
  <c r="AM2409" i="1"/>
  <c r="BF2409" i="1"/>
  <c r="BG2409" i="1"/>
  <c r="T2410" i="1"/>
  <c r="U2410" i="1"/>
  <c r="V2410" i="1"/>
  <c r="W2410" i="1"/>
  <c r="X2410" i="1"/>
  <c r="Y2410" i="1"/>
  <c r="Z2410" i="1"/>
  <c r="AB2410" i="1"/>
  <c r="AF2410" i="1"/>
  <c r="AI2410" i="1"/>
  <c r="AE2411" i="1"/>
  <c r="AC2411" i="1"/>
  <c r="AJ2410" i="1"/>
  <c r="AK2410" i="1"/>
  <c r="AM2410" i="1"/>
  <c r="BF2410" i="1"/>
  <c r="BG2410" i="1"/>
  <c r="T2411" i="1"/>
  <c r="U2411" i="1"/>
  <c r="V2411" i="1"/>
  <c r="W2411" i="1"/>
  <c r="X2411" i="1"/>
  <c r="Y2411" i="1"/>
  <c r="Z2411" i="1"/>
  <c r="AB2411" i="1"/>
  <c r="AF2411" i="1"/>
  <c r="AI2411" i="1"/>
  <c r="AE2412" i="1"/>
  <c r="AC2412" i="1"/>
  <c r="AJ2411" i="1"/>
  <c r="AK2411" i="1"/>
  <c r="AM2411" i="1"/>
  <c r="BF2411" i="1"/>
  <c r="BG2411" i="1"/>
  <c r="T2412" i="1"/>
  <c r="U2412" i="1"/>
  <c r="V2412" i="1"/>
  <c r="W2412" i="1"/>
  <c r="X2412" i="1"/>
  <c r="Y2412" i="1"/>
  <c r="Z2412" i="1"/>
  <c r="AB2412" i="1"/>
  <c r="AF2412" i="1"/>
  <c r="AI2412" i="1"/>
  <c r="H2413" i="1"/>
  <c r="AE2413" i="1"/>
  <c r="I2413" i="1"/>
  <c r="J2413" i="1"/>
  <c r="K2413" i="1"/>
  <c r="AC2413" i="1"/>
  <c r="AJ2412" i="1"/>
  <c r="AK2412" i="1"/>
  <c r="AM2412" i="1"/>
  <c r="BG2412" i="1"/>
  <c r="T2413" i="1"/>
  <c r="U2413" i="1"/>
  <c r="V2413" i="1"/>
  <c r="W2413" i="1"/>
  <c r="X2413" i="1"/>
  <c r="Y2413" i="1"/>
  <c r="Z2413" i="1"/>
  <c r="AB2413" i="1"/>
  <c r="AF2413" i="1"/>
  <c r="AI2413" i="1"/>
  <c r="AE2414" i="1"/>
  <c r="AC2414" i="1"/>
  <c r="AJ2413" i="1"/>
  <c r="AK2413" i="1"/>
  <c r="AM2413" i="1"/>
  <c r="BF2413" i="1"/>
  <c r="BG2413" i="1"/>
  <c r="T2414" i="1"/>
  <c r="U2414" i="1"/>
  <c r="V2414" i="1"/>
  <c r="W2414" i="1"/>
  <c r="X2414" i="1"/>
  <c r="Y2414" i="1"/>
  <c r="Z2414" i="1"/>
  <c r="AB2414" i="1"/>
  <c r="AF2414" i="1"/>
  <c r="AI2414" i="1"/>
  <c r="AE2415" i="1"/>
  <c r="AC2415" i="1"/>
  <c r="AJ2414" i="1"/>
  <c r="AK2414" i="1"/>
  <c r="AM2414" i="1"/>
  <c r="BF2414" i="1"/>
  <c r="BG2414" i="1"/>
  <c r="T2415" i="1"/>
  <c r="U2415" i="1"/>
  <c r="V2415" i="1"/>
  <c r="W2415" i="1"/>
  <c r="X2415" i="1"/>
  <c r="Y2415" i="1"/>
  <c r="Z2415" i="1"/>
  <c r="AB2415" i="1"/>
  <c r="AF2415" i="1"/>
  <c r="AI2415" i="1"/>
  <c r="H2416" i="1"/>
  <c r="AE2416" i="1"/>
  <c r="I2416" i="1"/>
  <c r="J2416" i="1"/>
  <c r="K2416" i="1"/>
  <c r="AC2416" i="1"/>
  <c r="AJ2415" i="1"/>
  <c r="AK2415" i="1"/>
  <c r="AM2415" i="1"/>
  <c r="BG2415" i="1"/>
  <c r="T2416" i="1"/>
  <c r="U2416" i="1"/>
  <c r="V2416" i="1"/>
  <c r="W2416" i="1"/>
  <c r="X2416" i="1"/>
  <c r="Y2416" i="1"/>
  <c r="Z2416" i="1"/>
  <c r="AB2416" i="1"/>
  <c r="AF2416" i="1"/>
  <c r="AI2416" i="1"/>
  <c r="AE2417" i="1"/>
  <c r="AC2417" i="1"/>
  <c r="AJ2416" i="1"/>
  <c r="AK2416" i="1"/>
  <c r="AM2416" i="1"/>
  <c r="BF2416" i="1"/>
  <c r="BG2416" i="1"/>
  <c r="T2417" i="1"/>
  <c r="U2417" i="1"/>
  <c r="V2417" i="1"/>
  <c r="W2417" i="1"/>
  <c r="X2417" i="1"/>
  <c r="Y2417" i="1"/>
  <c r="Z2417" i="1"/>
  <c r="AB2417" i="1"/>
  <c r="AF2417" i="1"/>
  <c r="AI2417" i="1"/>
  <c r="AE2418" i="1"/>
  <c r="AC2418" i="1"/>
  <c r="AJ2417" i="1"/>
  <c r="AK2417" i="1"/>
  <c r="AM2417" i="1"/>
  <c r="BF2417" i="1"/>
  <c r="BG2417" i="1"/>
  <c r="T2418" i="1"/>
  <c r="U2418" i="1"/>
  <c r="V2418" i="1"/>
  <c r="W2418" i="1"/>
  <c r="X2418" i="1"/>
  <c r="Y2418" i="1"/>
  <c r="Z2418" i="1"/>
  <c r="AB2418" i="1"/>
  <c r="AF2418" i="1"/>
  <c r="AI2418" i="1"/>
  <c r="H2419" i="1"/>
  <c r="AE2419" i="1"/>
  <c r="I2419" i="1"/>
  <c r="J2419" i="1"/>
  <c r="K2419" i="1"/>
  <c r="AC2419" i="1"/>
  <c r="AJ2418" i="1"/>
  <c r="AK2418" i="1"/>
  <c r="AM2418" i="1"/>
  <c r="BG2418" i="1"/>
  <c r="T2419" i="1"/>
  <c r="U2419" i="1"/>
  <c r="V2419" i="1"/>
  <c r="W2419" i="1"/>
  <c r="X2419" i="1"/>
  <c r="Y2419" i="1"/>
  <c r="Z2419" i="1"/>
  <c r="AB2419" i="1"/>
  <c r="AF2419" i="1"/>
  <c r="AI2419" i="1"/>
  <c r="AE2420" i="1"/>
  <c r="AC2420" i="1"/>
  <c r="AJ2419" i="1"/>
  <c r="AK2419" i="1"/>
  <c r="AM2419" i="1"/>
  <c r="BF2419" i="1"/>
  <c r="BG2419" i="1"/>
  <c r="T2420" i="1"/>
  <c r="U2420" i="1"/>
  <c r="V2420" i="1"/>
  <c r="W2420" i="1"/>
  <c r="X2420" i="1"/>
  <c r="Y2420" i="1"/>
  <c r="Z2420" i="1"/>
  <c r="AB2420" i="1"/>
  <c r="AF2420" i="1"/>
  <c r="AI2420" i="1"/>
  <c r="AE2421" i="1"/>
  <c r="AC2421" i="1"/>
  <c r="AJ2420" i="1"/>
  <c r="AK2420" i="1"/>
  <c r="AM2420" i="1"/>
  <c r="BF2420" i="1"/>
  <c r="BG2420" i="1"/>
  <c r="T2421" i="1"/>
  <c r="U2421" i="1"/>
  <c r="V2421" i="1"/>
  <c r="W2421" i="1"/>
  <c r="X2421" i="1"/>
  <c r="Y2421" i="1"/>
  <c r="Z2421" i="1"/>
  <c r="AB2421" i="1"/>
  <c r="AF2421" i="1"/>
  <c r="AI2421" i="1"/>
  <c r="H2422" i="1"/>
  <c r="AE2422" i="1"/>
  <c r="I2422" i="1"/>
  <c r="J2422" i="1"/>
  <c r="K2422" i="1"/>
  <c r="AC2422" i="1"/>
  <c r="AJ2421" i="1"/>
  <c r="AK2421" i="1"/>
  <c r="AM2421" i="1"/>
  <c r="BG2421" i="1"/>
  <c r="T2422" i="1"/>
  <c r="U2422" i="1"/>
  <c r="V2422" i="1"/>
  <c r="W2422" i="1"/>
  <c r="X2422" i="1"/>
  <c r="Y2422" i="1"/>
  <c r="Z2422" i="1"/>
  <c r="AB2422" i="1"/>
  <c r="AF2422" i="1"/>
  <c r="AI2422" i="1"/>
  <c r="H2423" i="1"/>
  <c r="AE2423" i="1"/>
  <c r="I2423" i="1"/>
  <c r="J2423" i="1"/>
  <c r="K2423" i="1"/>
  <c r="AC2423" i="1"/>
  <c r="AJ2422" i="1"/>
  <c r="AK2422" i="1"/>
  <c r="AM2422" i="1"/>
  <c r="BF2422" i="1"/>
  <c r="BG2422" i="1"/>
  <c r="T2423" i="1"/>
  <c r="U2423" i="1"/>
  <c r="V2423" i="1"/>
  <c r="W2423" i="1"/>
  <c r="X2423" i="1"/>
  <c r="Y2423" i="1"/>
  <c r="Z2423" i="1"/>
  <c r="AB2423" i="1"/>
  <c r="AF2423" i="1"/>
  <c r="AI2423" i="1"/>
  <c r="H2424" i="1"/>
  <c r="AE2424" i="1"/>
  <c r="I2424" i="1"/>
  <c r="J2424" i="1"/>
  <c r="K2424" i="1"/>
  <c r="AC2424" i="1"/>
  <c r="AJ2423" i="1"/>
  <c r="AK2423" i="1"/>
  <c r="AM2423" i="1"/>
  <c r="BF2423" i="1"/>
  <c r="BG2423" i="1"/>
  <c r="T2424" i="1"/>
  <c r="U2424" i="1"/>
  <c r="V2424" i="1"/>
  <c r="W2424" i="1"/>
  <c r="X2424" i="1"/>
  <c r="Y2424" i="1"/>
  <c r="Z2424" i="1"/>
  <c r="AB2424" i="1"/>
  <c r="AF2424" i="1"/>
  <c r="AI2424" i="1"/>
  <c r="H2425" i="1"/>
  <c r="AE2425" i="1"/>
  <c r="I2425" i="1"/>
  <c r="J2425" i="1"/>
  <c r="K2425" i="1"/>
  <c r="AC2425" i="1"/>
  <c r="AJ2424" i="1"/>
  <c r="AK2424" i="1"/>
  <c r="AM2424" i="1"/>
  <c r="BF2424" i="1"/>
  <c r="BG2424" i="1"/>
  <c r="T2425" i="1"/>
  <c r="U2425" i="1"/>
  <c r="V2425" i="1"/>
  <c r="W2425" i="1"/>
  <c r="X2425" i="1"/>
  <c r="Y2425" i="1"/>
  <c r="Z2425" i="1"/>
  <c r="AB2425" i="1"/>
  <c r="AF2425" i="1"/>
  <c r="AI2425" i="1"/>
  <c r="H2426" i="1"/>
  <c r="AE2426" i="1"/>
  <c r="I2426" i="1"/>
  <c r="J2426" i="1"/>
  <c r="K2426" i="1"/>
  <c r="AC2426" i="1"/>
  <c r="AJ2425" i="1"/>
  <c r="AK2425" i="1"/>
  <c r="AM2425" i="1"/>
  <c r="BF2425" i="1"/>
  <c r="BG2425" i="1"/>
  <c r="T2426" i="1"/>
  <c r="U2426" i="1"/>
  <c r="V2426" i="1"/>
  <c r="W2426" i="1"/>
  <c r="X2426" i="1"/>
  <c r="Y2426" i="1"/>
  <c r="Z2426" i="1"/>
  <c r="AB2426" i="1"/>
  <c r="AF2426" i="1"/>
  <c r="AI2426" i="1"/>
  <c r="AE2427" i="1"/>
  <c r="AC2427" i="1"/>
  <c r="AJ2426" i="1"/>
  <c r="AK2426" i="1"/>
  <c r="AM2426" i="1"/>
  <c r="BF2426" i="1"/>
  <c r="BG2426" i="1"/>
  <c r="T2427" i="1"/>
  <c r="U2427" i="1"/>
  <c r="V2427" i="1"/>
  <c r="W2427" i="1"/>
  <c r="X2427" i="1"/>
  <c r="Y2427" i="1"/>
  <c r="Z2427" i="1"/>
  <c r="AB2427" i="1"/>
  <c r="AF2427" i="1"/>
  <c r="AI2427" i="1"/>
  <c r="AE2428" i="1"/>
  <c r="AC2428" i="1"/>
  <c r="AJ2427" i="1"/>
  <c r="AK2427" i="1"/>
  <c r="AM2427" i="1"/>
  <c r="BF2427" i="1"/>
  <c r="BG2427" i="1"/>
  <c r="T2428" i="1"/>
  <c r="U2428" i="1"/>
  <c r="V2428" i="1"/>
  <c r="W2428" i="1"/>
  <c r="X2428" i="1"/>
  <c r="Y2428" i="1"/>
  <c r="Z2428" i="1"/>
  <c r="AB2428" i="1"/>
  <c r="AF2428" i="1"/>
  <c r="AI2428" i="1"/>
  <c r="H2429" i="1"/>
  <c r="AE2429" i="1"/>
  <c r="I2429" i="1"/>
  <c r="J2429" i="1"/>
  <c r="K2429" i="1"/>
  <c r="AC2429" i="1"/>
  <c r="AJ2428" i="1"/>
  <c r="AK2428" i="1"/>
  <c r="AM2428" i="1"/>
  <c r="BG2428" i="1"/>
  <c r="T2429" i="1"/>
  <c r="U2429" i="1"/>
  <c r="V2429" i="1"/>
  <c r="W2429" i="1"/>
  <c r="X2429" i="1"/>
  <c r="Y2429" i="1"/>
  <c r="Z2429" i="1"/>
  <c r="AB2429" i="1"/>
  <c r="AF2429" i="1"/>
  <c r="AI2429" i="1"/>
  <c r="H2430" i="1"/>
  <c r="AE2430" i="1"/>
  <c r="I2430" i="1"/>
  <c r="J2430" i="1"/>
  <c r="K2430" i="1"/>
  <c r="AC2430" i="1"/>
  <c r="AJ2429" i="1"/>
  <c r="AK2429" i="1"/>
  <c r="AM2429" i="1"/>
  <c r="BF2429" i="1"/>
  <c r="BG2429" i="1"/>
  <c r="T2430" i="1"/>
  <c r="U2430" i="1"/>
  <c r="V2430" i="1"/>
  <c r="W2430" i="1"/>
  <c r="X2430" i="1"/>
  <c r="Y2430" i="1"/>
  <c r="Z2430" i="1"/>
  <c r="AB2430" i="1"/>
  <c r="AF2430" i="1"/>
  <c r="AI2430" i="1"/>
  <c r="H2431" i="1"/>
  <c r="AE2431" i="1"/>
  <c r="I2431" i="1"/>
  <c r="J2431" i="1"/>
  <c r="K2431" i="1"/>
  <c r="AC2431" i="1"/>
  <c r="AJ2430" i="1"/>
  <c r="AK2430" i="1"/>
  <c r="AM2430" i="1"/>
  <c r="BF2430" i="1"/>
  <c r="BG2430" i="1"/>
  <c r="T2431" i="1"/>
  <c r="U2431" i="1"/>
  <c r="V2431" i="1"/>
  <c r="W2431" i="1"/>
  <c r="X2431" i="1"/>
  <c r="Y2431" i="1"/>
  <c r="Z2431" i="1"/>
  <c r="AB2431" i="1"/>
  <c r="AF2431" i="1"/>
  <c r="AI2431" i="1"/>
  <c r="H2432" i="1"/>
  <c r="AE2432" i="1"/>
  <c r="I2432" i="1"/>
  <c r="J2432" i="1"/>
  <c r="K2432" i="1"/>
  <c r="AC2432" i="1"/>
  <c r="AJ2431" i="1"/>
  <c r="AK2431" i="1"/>
  <c r="AM2431" i="1"/>
  <c r="BF2431" i="1"/>
  <c r="BG2431" i="1"/>
  <c r="T2432" i="1"/>
  <c r="U2432" i="1"/>
  <c r="V2432" i="1"/>
  <c r="W2432" i="1"/>
  <c r="X2432" i="1"/>
  <c r="Y2432" i="1"/>
  <c r="Z2432" i="1"/>
  <c r="AB2432" i="1"/>
  <c r="AF2432" i="1"/>
  <c r="AI2432" i="1"/>
  <c r="AE2433" i="1"/>
  <c r="AC2433" i="1"/>
  <c r="AJ2432" i="1"/>
  <c r="AK2432" i="1"/>
  <c r="AM2432" i="1"/>
  <c r="BF2432" i="1"/>
  <c r="BG2432" i="1"/>
  <c r="T2433" i="1"/>
  <c r="U2433" i="1"/>
  <c r="V2433" i="1"/>
  <c r="W2433" i="1"/>
  <c r="X2433" i="1"/>
  <c r="Y2433" i="1"/>
  <c r="Z2433" i="1"/>
  <c r="AB2433" i="1"/>
  <c r="AF2433" i="1"/>
  <c r="AI2433" i="1"/>
  <c r="AE2434" i="1"/>
  <c r="AC2434" i="1"/>
  <c r="AJ2433" i="1"/>
  <c r="AK2433" i="1"/>
  <c r="AM2433" i="1"/>
  <c r="BF2433" i="1"/>
  <c r="BG2433" i="1"/>
  <c r="T2434" i="1"/>
  <c r="U2434" i="1"/>
  <c r="V2434" i="1"/>
  <c r="W2434" i="1"/>
  <c r="X2434" i="1"/>
  <c r="Y2434" i="1"/>
  <c r="Z2434" i="1"/>
  <c r="AB2434" i="1"/>
  <c r="AF2434" i="1"/>
  <c r="AI2434" i="1"/>
  <c r="H2435" i="1"/>
  <c r="AE2435" i="1"/>
  <c r="I2435" i="1"/>
  <c r="J2435" i="1"/>
  <c r="K2435" i="1"/>
  <c r="AC2435" i="1"/>
  <c r="AJ2434" i="1"/>
  <c r="AK2434" i="1"/>
  <c r="AM2434" i="1"/>
  <c r="BG2434" i="1"/>
  <c r="T2435" i="1"/>
  <c r="U2435" i="1"/>
  <c r="V2435" i="1"/>
  <c r="W2435" i="1"/>
  <c r="X2435" i="1"/>
  <c r="Y2435" i="1"/>
  <c r="Z2435" i="1"/>
  <c r="AB2435" i="1"/>
  <c r="AF2435" i="1"/>
  <c r="AI2435" i="1"/>
  <c r="AE2436" i="1"/>
  <c r="AC2436" i="1"/>
  <c r="AJ2435" i="1"/>
  <c r="AK2435" i="1"/>
  <c r="AM2435" i="1"/>
  <c r="BF2435" i="1"/>
  <c r="BG2435" i="1"/>
  <c r="T2436" i="1"/>
  <c r="U2436" i="1"/>
  <c r="V2436" i="1"/>
  <c r="W2436" i="1"/>
  <c r="X2436" i="1"/>
  <c r="Y2436" i="1"/>
  <c r="Z2436" i="1"/>
  <c r="AB2436" i="1"/>
  <c r="AF2436" i="1"/>
  <c r="AI2436" i="1"/>
  <c r="AE2437" i="1"/>
  <c r="AC2437" i="1"/>
  <c r="AJ2436" i="1"/>
  <c r="AK2436" i="1"/>
  <c r="AM2436" i="1"/>
  <c r="BF2436" i="1"/>
  <c r="BG2436" i="1"/>
  <c r="T2437" i="1"/>
  <c r="U2437" i="1"/>
  <c r="V2437" i="1"/>
  <c r="W2437" i="1"/>
  <c r="X2437" i="1"/>
  <c r="Y2437" i="1"/>
  <c r="Z2437" i="1"/>
  <c r="AB2437" i="1"/>
  <c r="AF2437" i="1"/>
  <c r="AI2437" i="1"/>
  <c r="H2438" i="1"/>
  <c r="AE2438" i="1"/>
  <c r="I2438" i="1"/>
  <c r="J2438" i="1"/>
  <c r="K2438" i="1"/>
  <c r="AC2438" i="1"/>
  <c r="AJ2437" i="1"/>
  <c r="AK2437" i="1"/>
  <c r="AM2437" i="1"/>
  <c r="BG2437" i="1"/>
  <c r="T2438" i="1"/>
  <c r="U2438" i="1"/>
  <c r="V2438" i="1"/>
  <c r="W2438" i="1"/>
  <c r="X2438" i="1"/>
  <c r="Y2438" i="1"/>
  <c r="Z2438" i="1"/>
  <c r="AB2438" i="1"/>
  <c r="AF2438" i="1"/>
  <c r="AI2438" i="1"/>
  <c r="AE2439" i="1"/>
  <c r="AC2439" i="1"/>
  <c r="AJ2438" i="1"/>
  <c r="AK2438" i="1"/>
  <c r="AM2438" i="1"/>
  <c r="BF2438" i="1"/>
  <c r="BG2438" i="1"/>
  <c r="T2439" i="1"/>
  <c r="U2439" i="1"/>
  <c r="V2439" i="1"/>
  <c r="W2439" i="1"/>
  <c r="X2439" i="1"/>
  <c r="Y2439" i="1"/>
  <c r="Z2439" i="1"/>
  <c r="AB2439" i="1"/>
  <c r="AF2439" i="1"/>
  <c r="AI2439" i="1"/>
  <c r="AE2440" i="1"/>
  <c r="AC2440" i="1"/>
  <c r="AJ2439" i="1"/>
  <c r="AK2439" i="1"/>
  <c r="AM2439" i="1"/>
  <c r="BF2439" i="1"/>
  <c r="BG2439" i="1"/>
  <c r="T2440" i="1"/>
  <c r="U2440" i="1"/>
  <c r="V2440" i="1"/>
  <c r="W2440" i="1"/>
  <c r="X2440" i="1"/>
  <c r="Y2440" i="1"/>
  <c r="Z2440" i="1"/>
  <c r="AB2440" i="1"/>
  <c r="AF2440" i="1"/>
  <c r="AI2440" i="1"/>
  <c r="H2441" i="1"/>
  <c r="AE2441" i="1"/>
  <c r="I2441" i="1"/>
  <c r="J2441" i="1"/>
  <c r="K2441" i="1"/>
  <c r="AC2441" i="1"/>
  <c r="AJ2440" i="1"/>
  <c r="AK2440" i="1"/>
  <c r="AM2440" i="1"/>
  <c r="BG2440" i="1"/>
  <c r="T2441" i="1"/>
  <c r="U2441" i="1"/>
  <c r="V2441" i="1"/>
  <c r="W2441" i="1"/>
  <c r="X2441" i="1"/>
  <c r="Y2441" i="1"/>
  <c r="Z2441" i="1"/>
  <c r="AB2441" i="1"/>
  <c r="AF2441" i="1"/>
  <c r="AI2441" i="1"/>
  <c r="H2442" i="1"/>
  <c r="AE2442" i="1"/>
  <c r="I2442" i="1"/>
  <c r="J2442" i="1"/>
  <c r="K2442" i="1"/>
  <c r="AC2442" i="1"/>
  <c r="AJ2441" i="1"/>
  <c r="AK2441" i="1"/>
  <c r="AM2441" i="1"/>
  <c r="BF2441" i="1"/>
  <c r="BG2441" i="1"/>
  <c r="T2442" i="1"/>
  <c r="U2442" i="1"/>
  <c r="V2442" i="1"/>
  <c r="W2442" i="1"/>
  <c r="X2442" i="1"/>
  <c r="Y2442" i="1"/>
  <c r="Z2442" i="1"/>
  <c r="AB2442" i="1"/>
  <c r="AF2442" i="1"/>
  <c r="AI2442" i="1"/>
  <c r="AE2443" i="1"/>
  <c r="AC2443" i="1"/>
  <c r="AJ2442" i="1"/>
  <c r="AK2442" i="1"/>
  <c r="AM2442" i="1"/>
  <c r="BF2442" i="1"/>
  <c r="BG2442" i="1"/>
  <c r="T2443" i="1"/>
  <c r="U2443" i="1"/>
  <c r="V2443" i="1"/>
  <c r="W2443" i="1"/>
  <c r="X2443" i="1"/>
  <c r="Y2443" i="1"/>
  <c r="Z2443" i="1"/>
  <c r="AB2443" i="1"/>
  <c r="AF2443" i="1"/>
  <c r="AI2443" i="1"/>
  <c r="AE2444" i="1"/>
  <c r="AC2444" i="1"/>
  <c r="AJ2443" i="1"/>
  <c r="AK2443" i="1"/>
  <c r="AM2443" i="1"/>
  <c r="BF2443" i="1"/>
  <c r="BG2443" i="1"/>
  <c r="T2444" i="1"/>
  <c r="U2444" i="1"/>
  <c r="V2444" i="1"/>
  <c r="W2444" i="1"/>
  <c r="X2444" i="1"/>
  <c r="Y2444" i="1"/>
  <c r="Z2444" i="1"/>
  <c r="AB2444" i="1"/>
  <c r="AF2444" i="1"/>
  <c r="AI2444" i="1"/>
  <c r="H2445" i="1"/>
  <c r="AE2445" i="1"/>
  <c r="I2445" i="1"/>
  <c r="J2445" i="1"/>
  <c r="K2445" i="1"/>
  <c r="AC2445" i="1"/>
  <c r="AJ2444" i="1"/>
  <c r="AK2444" i="1"/>
  <c r="AM2444" i="1"/>
  <c r="BG2444" i="1"/>
  <c r="T2445" i="1"/>
  <c r="U2445" i="1"/>
  <c r="V2445" i="1"/>
  <c r="W2445" i="1"/>
  <c r="X2445" i="1"/>
  <c r="Y2445" i="1"/>
  <c r="Z2445" i="1"/>
  <c r="AB2445" i="1"/>
  <c r="AF2445" i="1"/>
  <c r="AI2445" i="1"/>
  <c r="H2446" i="1"/>
  <c r="AE2446" i="1"/>
  <c r="I2446" i="1"/>
  <c r="J2446" i="1"/>
  <c r="K2446" i="1"/>
  <c r="AC2446" i="1"/>
  <c r="AJ2445" i="1"/>
  <c r="AK2445" i="1"/>
  <c r="AM2445" i="1"/>
  <c r="BF2445" i="1"/>
  <c r="BG2445" i="1"/>
  <c r="T2446" i="1"/>
  <c r="U2446" i="1"/>
  <c r="V2446" i="1"/>
  <c r="W2446" i="1"/>
  <c r="X2446" i="1"/>
  <c r="Y2446" i="1"/>
  <c r="Z2446" i="1"/>
  <c r="AB2446" i="1"/>
  <c r="AF2446" i="1"/>
  <c r="AI2446" i="1"/>
  <c r="H2447" i="1"/>
  <c r="AE2447" i="1"/>
  <c r="I2447" i="1"/>
  <c r="J2447" i="1"/>
  <c r="K2447" i="1"/>
  <c r="AC2447" i="1"/>
  <c r="AJ2446" i="1"/>
  <c r="AK2446" i="1"/>
  <c r="AM2446" i="1"/>
  <c r="BF2446" i="1"/>
  <c r="BG2446" i="1"/>
  <c r="T2447" i="1"/>
  <c r="U2447" i="1"/>
  <c r="V2447" i="1"/>
  <c r="W2447" i="1"/>
  <c r="X2447" i="1"/>
  <c r="Y2447" i="1"/>
  <c r="Z2447" i="1"/>
  <c r="AB2447" i="1"/>
  <c r="AF2447" i="1"/>
  <c r="AI2447" i="1"/>
  <c r="H2448" i="1"/>
  <c r="AE2448" i="1"/>
  <c r="I2448" i="1"/>
  <c r="J2448" i="1"/>
  <c r="K2448" i="1"/>
  <c r="AC2448" i="1"/>
  <c r="AJ2447" i="1"/>
  <c r="AK2447" i="1"/>
  <c r="AM2447" i="1"/>
  <c r="BF2447" i="1"/>
  <c r="BG2447" i="1"/>
  <c r="T2448" i="1"/>
  <c r="U2448" i="1"/>
  <c r="V2448" i="1"/>
  <c r="W2448" i="1"/>
  <c r="X2448" i="1"/>
  <c r="Y2448" i="1"/>
  <c r="Z2448" i="1"/>
  <c r="AB2448" i="1"/>
  <c r="AF2448" i="1"/>
  <c r="AI2448" i="1"/>
  <c r="H2449" i="1"/>
  <c r="AE2449" i="1"/>
  <c r="I2449" i="1"/>
  <c r="J2449" i="1"/>
  <c r="K2449" i="1"/>
  <c r="AC2449" i="1"/>
  <c r="AJ2448" i="1"/>
  <c r="AK2448" i="1"/>
  <c r="AM2448" i="1"/>
  <c r="BF2448" i="1"/>
  <c r="BG2448" i="1"/>
  <c r="T2449" i="1"/>
  <c r="U2449" i="1"/>
  <c r="V2449" i="1"/>
  <c r="W2449" i="1"/>
  <c r="X2449" i="1"/>
  <c r="Y2449" i="1"/>
  <c r="Z2449" i="1"/>
  <c r="AB2449" i="1"/>
  <c r="AF2449" i="1"/>
  <c r="AI2449" i="1"/>
  <c r="H2450" i="1"/>
  <c r="AE2450" i="1"/>
  <c r="I2450" i="1"/>
  <c r="J2450" i="1"/>
  <c r="K2450" i="1"/>
  <c r="AC2450" i="1"/>
  <c r="AJ2449" i="1"/>
  <c r="AK2449" i="1"/>
  <c r="AM2449" i="1"/>
  <c r="BF2449" i="1"/>
  <c r="BG2449" i="1"/>
  <c r="T2450" i="1"/>
  <c r="U2450" i="1"/>
  <c r="V2450" i="1"/>
  <c r="W2450" i="1"/>
  <c r="X2450" i="1"/>
  <c r="Y2450" i="1"/>
  <c r="Z2450" i="1"/>
  <c r="AB2450" i="1"/>
  <c r="AF2450" i="1"/>
  <c r="AI2450" i="1"/>
  <c r="AE2451" i="1"/>
  <c r="AC2451" i="1"/>
  <c r="AJ2450" i="1"/>
  <c r="AK2450" i="1"/>
  <c r="AM2450" i="1"/>
  <c r="BF2450" i="1"/>
  <c r="BG2450" i="1"/>
  <c r="T2451" i="1"/>
  <c r="U2451" i="1"/>
  <c r="V2451" i="1"/>
  <c r="W2451" i="1"/>
  <c r="X2451" i="1"/>
  <c r="Y2451" i="1"/>
  <c r="Z2451" i="1"/>
  <c r="AB2451" i="1"/>
  <c r="AF2451" i="1"/>
  <c r="AI2451" i="1"/>
  <c r="AE2452" i="1"/>
  <c r="AC2452" i="1"/>
  <c r="AJ2451" i="1"/>
  <c r="AK2451" i="1"/>
  <c r="AM2451" i="1"/>
  <c r="BF2451" i="1"/>
  <c r="BG2451" i="1"/>
  <c r="T2452" i="1"/>
  <c r="U2452" i="1"/>
  <c r="V2452" i="1"/>
  <c r="W2452" i="1"/>
  <c r="X2452" i="1"/>
  <c r="Y2452" i="1"/>
  <c r="Z2452" i="1"/>
  <c r="AB2452" i="1"/>
  <c r="AF2452" i="1"/>
  <c r="AI2452" i="1"/>
  <c r="H2453" i="1"/>
  <c r="AE2453" i="1"/>
  <c r="I2453" i="1"/>
  <c r="J2453" i="1"/>
  <c r="K2453" i="1"/>
  <c r="AC2453" i="1"/>
  <c r="AJ2452" i="1"/>
  <c r="AK2452" i="1"/>
  <c r="AM2452" i="1"/>
  <c r="BG2452" i="1"/>
  <c r="T2453" i="1"/>
  <c r="U2453" i="1"/>
  <c r="V2453" i="1"/>
  <c r="W2453" i="1"/>
  <c r="X2453" i="1"/>
  <c r="Y2453" i="1"/>
  <c r="Z2453" i="1"/>
  <c r="AB2453" i="1"/>
  <c r="AF2453" i="1"/>
  <c r="AI2453" i="1"/>
  <c r="AE2454" i="1"/>
  <c r="AC2454" i="1"/>
  <c r="AJ2453" i="1"/>
  <c r="AK2453" i="1"/>
  <c r="AM2453" i="1"/>
  <c r="BF2453" i="1"/>
  <c r="BG2453" i="1"/>
  <c r="T2454" i="1"/>
  <c r="U2454" i="1"/>
  <c r="V2454" i="1"/>
  <c r="W2454" i="1"/>
  <c r="X2454" i="1"/>
  <c r="Y2454" i="1"/>
  <c r="Z2454" i="1"/>
  <c r="AB2454" i="1"/>
  <c r="AF2454" i="1"/>
  <c r="AI2454" i="1"/>
  <c r="AE2455" i="1"/>
  <c r="AC2455" i="1"/>
  <c r="AJ2454" i="1"/>
  <c r="AK2454" i="1"/>
  <c r="AM2454" i="1"/>
  <c r="BF2454" i="1"/>
  <c r="BG2454" i="1"/>
  <c r="T2455" i="1"/>
  <c r="U2455" i="1"/>
  <c r="V2455" i="1"/>
  <c r="W2455" i="1"/>
  <c r="X2455" i="1"/>
  <c r="Y2455" i="1"/>
  <c r="Z2455" i="1"/>
  <c r="AB2455" i="1"/>
  <c r="AF2455" i="1"/>
  <c r="AI2455" i="1"/>
  <c r="H2456" i="1"/>
  <c r="AE2456" i="1"/>
  <c r="I2456" i="1"/>
  <c r="J2456" i="1"/>
  <c r="K2456" i="1"/>
  <c r="AC2456" i="1"/>
  <c r="AJ2455" i="1"/>
  <c r="AK2455" i="1"/>
  <c r="AM2455" i="1"/>
  <c r="BG2455" i="1"/>
  <c r="T2456" i="1"/>
  <c r="U2456" i="1"/>
  <c r="V2456" i="1"/>
  <c r="W2456" i="1"/>
  <c r="X2456" i="1"/>
  <c r="Y2456" i="1"/>
  <c r="Z2456" i="1"/>
  <c r="AB2456" i="1"/>
  <c r="AF2456" i="1"/>
  <c r="AI2456" i="1"/>
  <c r="H2457" i="1"/>
  <c r="AE2457" i="1"/>
  <c r="I2457" i="1"/>
  <c r="J2457" i="1"/>
  <c r="K2457" i="1"/>
  <c r="AC2457" i="1"/>
  <c r="AJ2456" i="1"/>
  <c r="AK2456" i="1"/>
  <c r="AM2456" i="1"/>
  <c r="BF2456" i="1"/>
  <c r="BG2456" i="1"/>
  <c r="T2457" i="1"/>
  <c r="U2457" i="1"/>
  <c r="V2457" i="1"/>
  <c r="W2457" i="1"/>
  <c r="X2457" i="1"/>
  <c r="Y2457" i="1"/>
  <c r="Z2457" i="1"/>
  <c r="AB2457" i="1"/>
  <c r="AF2457" i="1"/>
  <c r="AI2457" i="1"/>
  <c r="AE2458" i="1"/>
  <c r="AC2458" i="1"/>
  <c r="AJ2457" i="1"/>
  <c r="AK2457" i="1"/>
  <c r="AM2457" i="1"/>
  <c r="BF2457" i="1"/>
  <c r="BG2457" i="1"/>
  <c r="T2458" i="1"/>
  <c r="U2458" i="1"/>
  <c r="V2458" i="1"/>
  <c r="W2458" i="1"/>
  <c r="X2458" i="1"/>
  <c r="Y2458" i="1"/>
  <c r="Z2458" i="1"/>
  <c r="AB2458" i="1"/>
  <c r="AF2458" i="1"/>
  <c r="AI2458" i="1"/>
  <c r="AE2459" i="1"/>
  <c r="AC2459" i="1"/>
  <c r="AJ2458" i="1"/>
  <c r="AK2458" i="1"/>
  <c r="AM2458" i="1"/>
  <c r="BF2458" i="1"/>
  <c r="BG2458" i="1"/>
  <c r="T2459" i="1"/>
  <c r="U2459" i="1"/>
  <c r="V2459" i="1"/>
  <c r="W2459" i="1"/>
  <c r="X2459" i="1"/>
  <c r="Y2459" i="1"/>
  <c r="Z2459" i="1"/>
  <c r="AB2459" i="1"/>
  <c r="AF2459" i="1"/>
  <c r="AI2459" i="1"/>
  <c r="H2460" i="1"/>
  <c r="AE2460" i="1"/>
  <c r="I2460" i="1"/>
  <c r="J2460" i="1"/>
  <c r="K2460" i="1"/>
  <c r="AC2460" i="1"/>
  <c r="AJ2459" i="1"/>
  <c r="AK2459" i="1"/>
  <c r="AM2459" i="1"/>
  <c r="BG2459" i="1"/>
  <c r="T2460" i="1"/>
  <c r="U2460" i="1"/>
  <c r="V2460" i="1"/>
  <c r="W2460" i="1"/>
  <c r="X2460" i="1"/>
  <c r="Y2460" i="1"/>
  <c r="Z2460" i="1"/>
  <c r="AB2460" i="1"/>
  <c r="AF2460" i="1"/>
  <c r="AI2460" i="1"/>
  <c r="AE2461" i="1"/>
  <c r="AC2461" i="1"/>
  <c r="AJ2460" i="1"/>
  <c r="AK2460" i="1"/>
  <c r="AM2460" i="1"/>
  <c r="BF2460" i="1"/>
  <c r="BG2460" i="1"/>
  <c r="T2461" i="1"/>
  <c r="U2461" i="1"/>
  <c r="V2461" i="1"/>
  <c r="W2461" i="1"/>
  <c r="X2461" i="1"/>
  <c r="Y2461" i="1"/>
  <c r="Z2461" i="1"/>
  <c r="AB2461" i="1"/>
  <c r="AF2461" i="1"/>
  <c r="AI2461" i="1"/>
  <c r="AE2462" i="1"/>
  <c r="AC2462" i="1"/>
  <c r="AJ2461" i="1"/>
  <c r="AK2461" i="1"/>
  <c r="AM2461" i="1"/>
  <c r="BF2461" i="1"/>
  <c r="BG2461" i="1"/>
  <c r="T2462" i="1"/>
  <c r="U2462" i="1"/>
  <c r="V2462" i="1"/>
  <c r="W2462" i="1"/>
  <c r="X2462" i="1"/>
  <c r="Y2462" i="1"/>
  <c r="Z2462" i="1"/>
  <c r="AB2462" i="1"/>
  <c r="AF2462" i="1"/>
  <c r="AI2462" i="1"/>
  <c r="H2463" i="1"/>
  <c r="AE2463" i="1"/>
  <c r="I2463" i="1"/>
  <c r="J2463" i="1"/>
  <c r="K2463" i="1"/>
  <c r="AC2463" i="1"/>
  <c r="AJ2462" i="1"/>
  <c r="AK2462" i="1"/>
  <c r="AM2462" i="1"/>
  <c r="BG2462" i="1"/>
  <c r="T2463" i="1"/>
  <c r="U2463" i="1"/>
  <c r="V2463" i="1"/>
  <c r="W2463" i="1"/>
  <c r="X2463" i="1"/>
  <c r="Y2463" i="1"/>
  <c r="Z2463" i="1"/>
  <c r="AB2463" i="1"/>
  <c r="AF2463" i="1"/>
  <c r="AI2463" i="1"/>
  <c r="H2464" i="1"/>
  <c r="AE2464" i="1"/>
  <c r="I2464" i="1"/>
  <c r="J2464" i="1"/>
  <c r="K2464" i="1"/>
  <c r="AC2464" i="1"/>
  <c r="AJ2463" i="1"/>
  <c r="AK2463" i="1"/>
  <c r="AM2463" i="1"/>
  <c r="BF2463" i="1"/>
  <c r="BG2463" i="1"/>
  <c r="T2464" i="1"/>
  <c r="U2464" i="1"/>
  <c r="V2464" i="1"/>
  <c r="W2464" i="1"/>
  <c r="X2464" i="1"/>
  <c r="Y2464" i="1"/>
  <c r="Z2464" i="1"/>
  <c r="AB2464" i="1"/>
  <c r="AF2464" i="1"/>
  <c r="AI2464" i="1"/>
  <c r="H2465" i="1"/>
  <c r="AE2465" i="1"/>
  <c r="I2465" i="1"/>
  <c r="J2465" i="1"/>
  <c r="K2465" i="1"/>
  <c r="AC2465" i="1"/>
  <c r="AJ2464" i="1"/>
  <c r="AK2464" i="1"/>
  <c r="AM2464" i="1"/>
  <c r="BF2464" i="1"/>
  <c r="BG2464" i="1"/>
  <c r="T2465" i="1"/>
  <c r="U2465" i="1"/>
  <c r="V2465" i="1"/>
  <c r="W2465" i="1"/>
  <c r="X2465" i="1"/>
  <c r="Y2465" i="1"/>
  <c r="Z2465" i="1"/>
  <c r="AB2465" i="1"/>
  <c r="AF2465" i="1"/>
  <c r="AI2465" i="1"/>
  <c r="AE2466" i="1"/>
  <c r="AC2466" i="1"/>
  <c r="AJ2465" i="1"/>
  <c r="AK2465" i="1"/>
  <c r="AM2465" i="1"/>
  <c r="BF2465" i="1"/>
  <c r="BG2465" i="1"/>
  <c r="T2466" i="1"/>
  <c r="U2466" i="1"/>
  <c r="V2466" i="1"/>
  <c r="W2466" i="1"/>
  <c r="X2466" i="1"/>
  <c r="Y2466" i="1"/>
  <c r="Z2466" i="1"/>
  <c r="AB2466" i="1"/>
  <c r="AF2466" i="1"/>
  <c r="AI2466" i="1"/>
  <c r="AE2467" i="1"/>
  <c r="AC2467" i="1"/>
  <c r="AJ2466" i="1"/>
  <c r="AK2466" i="1"/>
  <c r="AM2466" i="1"/>
  <c r="BF2466" i="1"/>
  <c r="BG2466" i="1"/>
  <c r="T2467" i="1"/>
  <c r="U2467" i="1"/>
  <c r="V2467" i="1"/>
  <c r="W2467" i="1"/>
  <c r="X2467" i="1"/>
  <c r="Y2467" i="1"/>
  <c r="Z2467" i="1"/>
  <c r="AB2467" i="1"/>
  <c r="AF2467" i="1"/>
  <c r="AI2467" i="1"/>
  <c r="H2468" i="1"/>
  <c r="AE2468" i="1"/>
  <c r="I2468" i="1"/>
  <c r="J2468" i="1"/>
  <c r="K2468" i="1"/>
  <c r="AC2468" i="1"/>
  <c r="AJ2467" i="1"/>
  <c r="AK2467" i="1"/>
  <c r="AM2467" i="1"/>
  <c r="BG2467" i="1"/>
  <c r="T2468" i="1"/>
  <c r="U2468" i="1"/>
  <c r="V2468" i="1"/>
  <c r="W2468" i="1"/>
  <c r="X2468" i="1"/>
  <c r="Y2468" i="1"/>
  <c r="Z2468" i="1"/>
  <c r="AB2468" i="1"/>
  <c r="AF2468" i="1"/>
  <c r="AI2468" i="1"/>
  <c r="H2469" i="1"/>
  <c r="AE2469" i="1"/>
  <c r="I2469" i="1"/>
  <c r="J2469" i="1"/>
  <c r="K2469" i="1"/>
  <c r="AC2469" i="1"/>
  <c r="AJ2468" i="1"/>
  <c r="AK2468" i="1"/>
  <c r="AM2468" i="1"/>
  <c r="BF2468" i="1"/>
  <c r="BG2468" i="1"/>
  <c r="T2469" i="1"/>
  <c r="U2469" i="1"/>
  <c r="V2469" i="1"/>
  <c r="W2469" i="1"/>
  <c r="X2469" i="1"/>
  <c r="Y2469" i="1"/>
  <c r="Z2469" i="1"/>
  <c r="AB2469" i="1"/>
  <c r="AF2469" i="1"/>
  <c r="AI2469" i="1"/>
  <c r="H2470" i="1"/>
  <c r="AE2470" i="1"/>
  <c r="I2470" i="1"/>
  <c r="J2470" i="1"/>
  <c r="K2470" i="1"/>
  <c r="AC2470" i="1"/>
  <c r="AJ2469" i="1"/>
  <c r="AK2469" i="1"/>
  <c r="AM2469" i="1"/>
  <c r="BF2469" i="1"/>
  <c r="BG2469" i="1"/>
  <c r="T2470" i="1"/>
  <c r="U2470" i="1"/>
  <c r="V2470" i="1"/>
  <c r="W2470" i="1"/>
  <c r="X2470" i="1"/>
  <c r="Y2470" i="1"/>
  <c r="Z2470" i="1"/>
  <c r="AB2470" i="1"/>
  <c r="AF2470" i="1"/>
  <c r="AI2470" i="1"/>
  <c r="H2471" i="1"/>
  <c r="AE2471" i="1"/>
  <c r="I2471" i="1"/>
  <c r="J2471" i="1"/>
  <c r="K2471" i="1"/>
  <c r="AC2471" i="1"/>
  <c r="AJ2470" i="1"/>
  <c r="AK2470" i="1"/>
  <c r="AM2470" i="1"/>
  <c r="BF2470" i="1"/>
  <c r="BG2470" i="1"/>
  <c r="T2471" i="1"/>
  <c r="U2471" i="1"/>
  <c r="V2471" i="1"/>
  <c r="W2471" i="1"/>
  <c r="X2471" i="1"/>
  <c r="Y2471" i="1"/>
  <c r="Z2471" i="1"/>
  <c r="AB2471" i="1"/>
  <c r="AF2471" i="1"/>
  <c r="AI2471" i="1"/>
  <c r="AE2472" i="1"/>
  <c r="AC2472" i="1"/>
  <c r="AJ2471" i="1"/>
  <c r="AK2471" i="1"/>
  <c r="AM2471" i="1"/>
  <c r="BF2471" i="1"/>
  <c r="BG2471" i="1"/>
  <c r="T2472" i="1"/>
  <c r="U2472" i="1"/>
  <c r="V2472" i="1"/>
  <c r="W2472" i="1"/>
  <c r="X2472" i="1"/>
  <c r="Y2472" i="1"/>
  <c r="Z2472" i="1"/>
  <c r="AB2472" i="1"/>
  <c r="AF2472" i="1"/>
  <c r="AI2472" i="1"/>
  <c r="AE2473" i="1"/>
  <c r="AC2473" i="1"/>
  <c r="AJ2472" i="1"/>
  <c r="AK2472" i="1"/>
  <c r="AM2472" i="1"/>
  <c r="BF2472" i="1"/>
  <c r="BG2472" i="1"/>
  <c r="T2473" i="1"/>
  <c r="U2473" i="1"/>
  <c r="V2473" i="1"/>
  <c r="W2473" i="1"/>
  <c r="X2473" i="1"/>
  <c r="Y2473" i="1"/>
  <c r="Z2473" i="1"/>
  <c r="AB2473" i="1"/>
  <c r="AF2473" i="1"/>
  <c r="AI2473" i="1"/>
  <c r="H2474" i="1"/>
  <c r="AE2474" i="1"/>
  <c r="I2474" i="1"/>
  <c r="J2474" i="1"/>
  <c r="K2474" i="1"/>
  <c r="AC2474" i="1"/>
  <c r="AJ2473" i="1"/>
  <c r="AK2473" i="1"/>
  <c r="AM2473" i="1"/>
  <c r="BG2473" i="1"/>
  <c r="T2474" i="1"/>
  <c r="U2474" i="1"/>
  <c r="V2474" i="1"/>
  <c r="W2474" i="1"/>
  <c r="X2474" i="1"/>
  <c r="Y2474" i="1"/>
  <c r="Z2474" i="1"/>
  <c r="AB2474" i="1"/>
  <c r="AF2474" i="1"/>
  <c r="AI2474" i="1"/>
  <c r="H2475" i="1"/>
  <c r="AE2475" i="1"/>
  <c r="I2475" i="1"/>
  <c r="J2475" i="1"/>
  <c r="K2475" i="1"/>
  <c r="AC2475" i="1"/>
  <c r="AJ2474" i="1"/>
  <c r="AK2474" i="1"/>
  <c r="AM2474" i="1"/>
  <c r="BF2474" i="1"/>
  <c r="BG2474" i="1"/>
  <c r="T2475" i="1"/>
  <c r="U2475" i="1"/>
  <c r="V2475" i="1"/>
  <c r="W2475" i="1"/>
  <c r="X2475" i="1"/>
  <c r="Y2475" i="1"/>
  <c r="Z2475" i="1"/>
  <c r="AB2475" i="1"/>
  <c r="AF2475" i="1"/>
  <c r="AI2475" i="1"/>
  <c r="AE2476" i="1"/>
  <c r="AC2476" i="1"/>
  <c r="AJ2475" i="1"/>
  <c r="AK2475" i="1"/>
  <c r="AM2475" i="1"/>
  <c r="BF2475" i="1"/>
  <c r="BG2475" i="1"/>
  <c r="T2476" i="1"/>
  <c r="U2476" i="1"/>
  <c r="V2476" i="1"/>
  <c r="W2476" i="1"/>
  <c r="X2476" i="1"/>
  <c r="Y2476" i="1"/>
  <c r="Z2476" i="1"/>
  <c r="AB2476" i="1"/>
  <c r="AF2476" i="1"/>
  <c r="AI2476" i="1"/>
  <c r="AE2477" i="1"/>
  <c r="AC2477" i="1"/>
  <c r="AJ2476" i="1"/>
  <c r="AK2476" i="1"/>
  <c r="AM2476" i="1"/>
  <c r="BF2476" i="1"/>
  <c r="BG2476" i="1"/>
  <c r="T2477" i="1"/>
  <c r="U2477" i="1"/>
  <c r="V2477" i="1"/>
  <c r="W2477" i="1"/>
  <c r="X2477" i="1"/>
  <c r="Y2477" i="1"/>
  <c r="Z2477" i="1"/>
  <c r="AB2477" i="1"/>
  <c r="AF2477" i="1"/>
  <c r="AI2477" i="1"/>
  <c r="H2478" i="1"/>
  <c r="AE2478" i="1"/>
  <c r="I2478" i="1"/>
  <c r="J2478" i="1"/>
  <c r="K2478" i="1"/>
  <c r="AC2478" i="1"/>
  <c r="AJ2477" i="1"/>
  <c r="AK2477" i="1"/>
  <c r="AM2477" i="1"/>
  <c r="BG2477" i="1"/>
  <c r="T2478" i="1"/>
  <c r="U2478" i="1"/>
  <c r="V2478" i="1"/>
  <c r="W2478" i="1"/>
  <c r="X2478" i="1"/>
  <c r="Y2478" i="1"/>
  <c r="Z2478" i="1"/>
  <c r="AB2478" i="1"/>
  <c r="AF2478" i="1"/>
  <c r="AI2478" i="1"/>
  <c r="H2479" i="1"/>
  <c r="AE2479" i="1"/>
  <c r="I2479" i="1"/>
  <c r="J2479" i="1"/>
  <c r="K2479" i="1"/>
  <c r="AC2479" i="1"/>
  <c r="AJ2478" i="1"/>
  <c r="AK2478" i="1"/>
  <c r="AM2478" i="1"/>
  <c r="BF2478" i="1"/>
  <c r="BG2478" i="1"/>
  <c r="T2479" i="1"/>
  <c r="U2479" i="1"/>
  <c r="V2479" i="1"/>
  <c r="W2479" i="1"/>
  <c r="X2479" i="1"/>
  <c r="Y2479" i="1"/>
  <c r="Z2479" i="1"/>
  <c r="AB2479" i="1"/>
  <c r="AF2479" i="1"/>
  <c r="AI2479" i="1"/>
  <c r="AE2480" i="1"/>
  <c r="AC2480" i="1"/>
  <c r="AJ2479" i="1"/>
  <c r="AK2479" i="1"/>
  <c r="AM2479" i="1"/>
  <c r="BF2479" i="1"/>
  <c r="BG2479" i="1"/>
  <c r="T2480" i="1"/>
  <c r="U2480" i="1"/>
  <c r="V2480" i="1"/>
  <c r="W2480" i="1"/>
  <c r="X2480" i="1"/>
  <c r="Y2480" i="1"/>
  <c r="Z2480" i="1"/>
  <c r="AB2480" i="1"/>
  <c r="AF2480" i="1"/>
  <c r="AI2480" i="1"/>
  <c r="AE2481" i="1"/>
  <c r="AC2481" i="1"/>
  <c r="AJ2480" i="1"/>
  <c r="AK2480" i="1"/>
  <c r="AM2480" i="1"/>
  <c r="BF2480" i="1"/>
  <c r="BG2480" i="1"/>
  <c r="T2481" i="1"/>
  <c r="U2481" i="1"/>
  <c r="V2481" i="1"/>
  <c r="W2481" i="1"/>
  <c r="X2481" i="1"/>
  <c r="Y2481" i="1"/>
  <c r="Z2481" i="1"/>
  <c r="AB2481" i="1"/>
  <c r="AF2481" i="1"/>
  <c r="AI2481" i="1"/>
  <c r="H2482" i="1"/>
  <c r="AE2482" i="1"/>
  <c r="I2482" i="1"/>
  <c r="J2482" i="1"/>
  <c r="K2482" i="1"/>
  <c r="AC2482" i="1"/>
  <c r="AJ2481" i="1"/>
  <c r="AK2481" i="1"/>
  <c r="AM2481" i="1"/>
  <c r="BG2481" i="1"/>
  <c r="T2482" i="1"/>
  <c r="U2482" i="1"/>
  <c r="V2482" i="1"/>
  <c r="W2482" i="1"/>
  <c r="X2482" i="1"/>
  <c r="Y2482" i="1"/>
  <c r="Z2482" i="1"/>
  <c r="AB2482" i="1"/>
  <c r="AF2482" i="1"/>
  <c r="AI2482" i="1"/>
  <c r="H2483" i="1"/>
  <c r="AE2483" i="1"/>
  <c r="I2483" i="1"/>
  <c r="J2483" i="1"/>
  <c r="K2483" i="1"/>
  <c r="AC2483" i="1"/>
  <c r="AJ2482" i="1"/>
  <c r="AK2482" i="1"/>
  <c r="AM2482" i="1"/>
  <c r="BF2482" i="1"/>
  <c r="BG2482" i="1"/>
  <c r="T2483" i="1"/>
  <c r="U2483" i="1"/>
  <c r="V2483" i="1"/>
  <c r="W2483" i="1"/>
  <c r="X2483" i="1"/>
  <c r="Y2483" i="1"/>
  <c r="Z2483" i="1"/>
  <c r="AB2483" i="1"/>
  <c r="AF2483" i="1"/>
  <c r="AI2483" i="1"/>
  <c r="H2484" i="1"/>
  <c r="AE2484" i="1"/>
  <c r="I2484" i="1"/>
  <c r="J2484" i="1"/>
  <c r="K2484" i="1"/>
  <c r="AC2484" i="1"/>
  <c r="AJ2483" i="1"/>
  <c r="AK2483" i="1"/>
  <c r="AM2483" i="1"/>
  <c r="BF2483" i="1"/>
  <c r="BG2483" i="1"/>
  <c r="T2484" i="1"/>
  <c r="U2484" i="1"/>
  <c r="V2484" i="1"/>
  <c r="W2484" i="1"/>
  <c r="X2484" i="1"/>
  <c r="Y2484" i="1"/>
  <c r="Z2484" i="1"/>
  <c r="AB2484" i="1"/>
  <c r="AF2484" i="1"/>
  <c r="AI2484" i="1"/>
  <c r="AE2485" i="1"/>
  <c r="AC2485" i="1"/>
  <c r="AJ2484" i="1"/>
  <c r="AK2484" i="1"/>
  <c r="AM2484" i="1"/>
  <c r="BF2484" i="1"/>
  <c r="BG2484" i="1"/>
  <c r="T2485" i="1"/>
  <c r="U2485" i="1"/>
  <c r="V2485" i="1"/>
  <c r="W2485" i="1"/>
  <c r="X2485" i="1"/>
  <c r="Y2485" i="1"/>
  <c r="Z2485" i="1"/>
  <c r="AB2485" i="1"/>
  <c r="AF2485" i="1"/>
  <c r="AI2485" i="1"/>
  <c r="AE2486" i="1"/>
  <c r="AC2486" i="1"/>
  <c r="AJ2485" i="1"/>
  <c r="AK2485" i="1"/>
  <c r="AM2485" i="1"/>
  <c r="BF2485" i="1"/>
  <c r="BG2485" i="1"/>
  <c r="T2486" i="1"/>
  <c r="U2486" i="1"/>
  <c r="V2486" i="1"/>
  <c r="W2486" i="1"/>
  <c r="X2486" i="1"/>
  <c r="Y2486" i="1"/>
  <c r="Z2486" i="1"/>
  <c r="AB2486" i="1"/>
  <c r="AF2486" i="1"/>
  <c r="AI2486" i="1"/>
  <c r="H2487" i="1"/>
  <c r="AE2487" i="1"/>
  <c r="I2487" i="1"/>
  <c r="J2487" i="1"/>
  <c r="K2487" i="1"/>
  <c r="AC2487" i="1"/>
  <c r="AJ2486" i="1"/>
  <c r="AK2486" i="1"/>
  <c r="AM2486" i="1"/>
  <c r="BG2486" i="1"/>
  <c r="T2487" i="1"/>
  <c r="U2487" i="1"/>
  <c r="V2487" i="1"/>
  <c r="W2487" i="1"/>
  <c r="X2487" i="1"/>
  <c r="Y2487" i="1"/>
  <c r="Z2487" i="1"/>
  <c r="AB2487" i="1"/>
  <c r="AF2487" i="1"/>
  <c r="AI2487" i="1"/>
  <c r="H2488" i="1"/>
  <c r="AE2488" i="1"/>
  <c r="I2488" i="1"/>
  <c r="J2488" i="1"/>
  <c r="K2488" i="1"/>
  <c r="AC2488" i="1"/>
  <c r="AJ2487" i="1"/>
  <c r="AK2487" i="1"/>
  <c r="AM2487" i="1"/>
  <c r="BF2487" i="1"/>
  <c r="BG2487" i="1"/>
  <c r="T2488" i="1"/>
  <c r="U2488" i="1"/>
  <c r="V2488" i="1"/>
  <c r="W2488" i="1"/>
  <c r="X2488" i="1"/>
  <c r="Y2488" i="1"/>
  <c r="Z2488" i="1"/>
  <c r="AB2488" i="1"/>
  <c r="AF2488" i="1"/>
  <c r="AI2488" i="1"/>
  <c r="H2489" i="1"/>
  <c r="AE2489" i="1"/>
  <c r="I2489" i="1"/>
  <c r="J2489" i="1"/>
  <c r="K2489" i="1"/>
  <c r="AC2489" i="1"/>
  <c r="AJ2488" i="1"/>
  <c r="AK2488" i="1"/>
  <c r="AM2488" i="1"/>
  <c r="BF2488" i="1"/>
  <c r="BG2488" i="1"/>
  <c r="T2489" i="1"/>
  <c r="U2489" i="1"/>
  <c r="V2489" i="1"/>
  <c r="W2489" i="1"/>
  <c r="X2489" i="1"/>
  <c r="Y2489" i="1"/>
  <c r="Z2489" i="1"/>
  <c r="AB2489" i="1"/>
  <c r="AF2489" i="1"/>
  <c r="AI2489" i="1"/>
  <c r="H2490" i="1"/>
  <c r="AE2490" i="1"/>
  <c r="I2490" i="1"/>
  <c r="J2490" i="1"/>
  <c r="K2490" i="1"/>
  <c r="AC2490" i="1"/>
  <c r="AJ2489" i="1"/>
  <c r="AK2489" i="1"/>
  <c r="AM2489" i="1"/>
  <c r="BF2489" i="1"/>
  <c r="BG2489" i="1"/>
  <c r="T2490" i="1"/>
  <c r="U2490" i="1"/>
  <c r="V2490" i="1"/>
  <c r="W2490" i="1"/>
  <c r="X2490" i="1"/>
  <c r="Y2490" i="1"/>
  <c r="Z2490" i="1"/>
  <c r="AB2490" i="1"/>
  <c r="AF2490" i="1"/>
  <c r="AI2490" i="1"/>
  <c r="H2491" i="1"/>
  <c r="AE2491" i="1"/>
  <c r="I2491" i="1"/>
  <c r="J2491" i="1"/>
  <c r="K2491" i="1"/>
  <c r="AC2491" i="1"/>
  <c r="AJ2490" i="1"/>
  <c r="AK2490" i="1"/>
  <c r="AM2490" i="1"/>
  <c r="BF2490" i="1"/>
  <c r="BG2490" i="1"/>
  <c r="T2491" i="1"/>
  <c r="U2491" i="1"/>
  <c r="V2491" i="1"/>
  <c r="W2491" i="1"/>
  <c r="X2491" i="1"/>
  <c r="Y2491" i="1"/>
  <c r="Z2491" i="1"/>
  <c r="AB2491" i="1"/>
  <c r="AF2491" i="1"/>
  <c r="AI2491" i="1"/>
  <c r="AE2492" i="1"/>
  <c r="AC2492" i="1"/>
  <c r="AJ2491" i="1"/>
  <c r="AK2491" i="1"/>
  <c r="AM2491" i="1"/>
  <c r="BF2491" i="1"/>
  <c r="BG2491" i="1"/>
  <c r="T2492" i="1"/>
  <c r="U2492" i="1"/>
  <c r="V2492" i="1"/>
  <c r="W2492" i="1"/>
  <c r="X2492" i="1"/>
  <c r="Y2492" i="1"/>
  <c r="Z2492" i="1"/>
  <c r="AB2492" i="1"/>
  <c r="AF2492" i="1"/>
  <c r="AI2492" i="1"/>
  <c r="AE2493" i="1"/>
  <c r="AC2493" i="1"/>
  <c r="AJ2492" i="1"/>
  <c r="AK2492" i="1"/>
  <c r="AM2492" i="1"/>
  <c r="BF2492" i="1"/>
  <c r="BG2492" i="1"/>
  <c r="T2493" i="1"/>
  <c r="U2493" i="1"/>
  <c r="V2493" i="1"/>
  <c r="W2493" i="1"/>
  <c r="X2493" i="1"/>
  <c r="Y2493" i="1"/>
  <c r="Z2493" i="1"/>
  <c r="AB2493" i="1"/>
  <c r="AF2493" i="1"/>
  <c r="AI2493" i="1"/>
  <c r="H2494" i="1"/>
  <c r="AE2494" i="1"/>
  <c r="I2494" i="1"/>
  <c r="J2494" i="1"/>
  <c r="K2494" i="1"/>
  <c r="AC2494" i="1"/>
  <c r="AJ2493" i="1"/>
  <c r="AK2493" i="1"/>
  <c r="AM2493" i="1"/>
  <c r="BG2493" i="1"/>
  <c r="T2494" i="1"/>
  <c r="U2494" i="1"/>
  <c r="V2494" i="1"/>
  <c r="W2494" i="1"/>
  <c r="X2494" i="1"/>
  <c r="Y2494" i="1"/>
  <c r="Z2494" i="1"/>
  <c r="AB2494" i="1"/>
  <c r="AF2494" i="1"/>
  <c r="AI2494" i="1"/>
  <c r="H2495" i="1"/>
  <c r="AE2495" i="1"/>
  <c r="I2495" i="1"/>
  <c r="J2495" i="1"/>
  <c r="K2495" i="1"/>
  <c r="AC2495" i="1"/>
  <c r="AJ2494" i="1"/>
  <c r="AK2494" i="1"/>
  <c r="AM2494" i="1"/>
  <c r="BF2494" i="1"/>
  <c r="BG2494" i="1"/>
  <c r="T2495" i="1"/>
  <c r="U2495" i="1"/>
  <c r="V2495" i="1"/>
  <c r="W2495" i="1"/>
  <c r="X2495" i="1"/>
  <c r="Y2495" i="1"/>
  <c r="Z2495" i="1"/>
  <c r="AB2495" i="1"/>
  <c r="AF2495" i="1"/>
  <c r="AI2495" i="1"/>
  <c r="AE2496" i="1"/>
  <c r="AC2496" i="1"/>
  <c r="AJ2495" i="1"/>
  <c r="AK2495" i="1"/>
  <c r="AM2495" i="1"/>
  <c r="BF2495" i="1"/>
  <c r="BG2495" i="1"/>
  <c r="T2496" i="1"/>
  <c r="U2496" i="1"/>
  <c r="V2496" i="1"/>
  <c r="W2496" i="1"/>
  <c r="X2496" i="1"/>
  <c r="Y2496" i="1"/>
  <c r="Z2496" i="1"/>
  <c r="AB2496" i="1"/>
  <c r="AF2496" i="1"/>
  <c r="AI2496" i="1"/>
  <c r="AE2497" i="1"/>
  <c r="AC2497" i="1"/>
  <c r="AJ2496" i="1"/>
  <c r="AK2496" i="1"/>
  <c r="AM2496" i="1"/>
  <c r="BF2496" i="1"/>
  <c r="BG2496" i="1"/>
  <c r="T2497" i="1"/>
  <c r="U2497" i="1"/>
  <c r="V2497" i="1"/>
  <c r="W2497" i="1"/>
  <c r="X2497" i="1"/>
  <c r="Y2497" i="1"/>
  <c r="Z2497" i="1"/>
  <c r="AB2497" i="1"/>
  <c r="AF2497" i="1"/>
  <c r="AI2497" i="1"/>
  <c r="H2498" i="1"/>
  <c r="AE2498" i="1"/>
  <c r="I2498" i="1"/>
  <c r="J2498" i="1"/>
  <c r="K2498" i="1"/>
  <c r="AC2498" i="1"/>
  <c r="AJ2497" i="1"/>
  <c r="AK2497" i="1"/>
  <c r="AM2497" i="1"/>
  <c r="BG2497" i="1"/>
  <c r="T2498" i="1"/>
  <c r="U2498" i="1"/>
  <c r="V2498" i="1"/>
  <c r="W2498" i="1"/>
  <c r="X2498" i="1"/>
  <c r="Y2498" i="1"/>
  <c r="Z2498" i="1"/>
  <c r="AB2498" i="1"/>
  <c r="AF2498" i="1"/>
  <c r="AI2498" i="1"/>
  <c r="H2499" i="1"/>
  <c r="AE2499" i="1"/>
  <c r="I2499" i="1"/>
  <c r="J2499" i="1"/>
  <c r="K2499" i="1"/>
  <c r="AC2499" i="1"/>
  <c r="AJ2498" i="1"/>
  <c r="AK2498" i="1"/>
  <c r="AM2498" i="1"/>
  <c r="BF2498" i="1"/>
  <c r="BG2498" i="1"/>
  <c r="T2499" i="1"/>
  <c r="U2499" i="1"/>
  <c r="V2499" i="1"/>
  <c r="W2499" i="1"/>
  <c r="X2499" i="1"/>
  <c r="Y2499" i="1"/>
  <c r="Z2499" i="1"/>
  <c r="AB2499" i="1"/>
  <c r="AF2499" i="1"/>
  <c r="AI2499" i="1"/>
  <c r="H2500" i="1"/>
  <c r="AE2500" i="1"/>
  <c r="I2500" i="1"/>
  <c r="J2500" i="1"/>
  <c r="K2500" i="1"/>
  <c r="AC2500" i="1"/>
  <c r="AJ2499" i="1"/>
  <c r="AK2499" i="1"/>
  <c r="AM2499" i="1"/>
  <c r="BF2499" i="1"/>
  <c r="BG2499" i="1"/>
  <c r="T2500" i="1"/>
  <c r="U2500" i="1"/>
  <c r="V2500" i="1"/>
  <c r="W2500" i="1"/>
  <c r="X2500" i="1"/>
  <c r="Y2500" i="1"/>
  <c r="Z2500" i="1"/>
  <c r="AB2500" i="1"/>
  <c r="AF2500" i="1"/>
  <c r="AI2500" i="1"/>
  <c r="H2501" i="1"/>
  <c r="AE2501" i="1"/>
  <c r="I2501" i="1"/>
  <c r="J2501" i="1"/>
  <c r="K2501" i="1"/>
  <c r="AC2501" i="1"/>
  <c r="AJ2500" i="1"/>
  <c r="AK2500" i="1"/>
  <c r="AM2500" i="1"/>
  <c r="BF2500" i="1"/>
  <c r="BG2500" i="1"/>
  <c r="T2501" i="1"/>
  <c r="U2501" i="1"/>
  <c r="V2501" i="1"/>
  <c r="W2501" i="1"/>
  <c r="X2501" i="1"/>
  <c r="Y2501" i="1"/>
  <c r="Z2501" i="1"/>
  <c r="AB2501" i="1"/>
  <c r="AF2501" i="1"/>
  <c r="AI2501" i="1"/>
  <c r="H2502" i="1"/>
  <c r="AE2502" i="1"/>
  <c r="I2502" i="1"/>
  <c r="J2502" i="1"/>
  <c r="K2502" i="1"/>
  <c r="AC2502" i="1"/>
  <c r="AJ2501" i="1"/>
  <c r="AK2501" i="1"/>
  <c r="AM2501" i="1"/>
  <c r="BF2501" i="1"/>
  <c r="BG2501" i="1"/>
  <c r="T2502" i="1"/>
  <c r="U2502" i="1"/>
  <c r="V2502" i="1"/>
  <c r="W2502" i="1"/>
  <c r="X2502" i="1"/>
  <c r="Y2502" i="1"/>
  <c r="Z2502" i="1"/>
  <c r="AB2502" i="1"/>
  <c r="AF2502" i="1"/>
  <c r="AI2502" i="1"/>
  <c r="AE2503" i="1"/>
  <c r="AC2503" i="1"/>
  <c r="AJ2502" i="1"/>
  <c r="AK2502" i="1"/>
  <c r="AM2502" i="1"/>
  <c r="BF2502" i="1"/>
  <c r="BG2502" i="1"/>
  <c r="T2503" i="1"/>
  <c r="U2503" i="1"/>
  <c r="V2503" i="1"/>
  <c r="W2503" i="1"/>
  <c r="X2503" i="1"/>
  <c r="Y2503" i="1"/>
  <c r="Z2503" i="1"/>
  <c r="AB2503" i="1"/>
  <c r="AF2503" i="1"/>
  <c r="AI2503" i="1"/>
  <c r="AE2504" i="1"/>
  <c r="AC2504" i="1"/>
  <c r="AJ2503" i="1"/>
  <c r="AK2503" i="1"/>
  <c r="AM2503" i="1"/>
  <c r="BF2503" i="1"/>
  <c r="BG2503" i="1"/>
  <c r="T2504" i="1"/>
  <c r="U2504" i="1"/>
  <c r="V2504" i="1"/>
  <c r="W2504" i="1"/>
  <c r="X2504" i="1"/>
  <c r="Y2504" i="1"/>
  <c r="Z2504" i="1"/>
  <c r="AB2504" i="1"/>
  <c r="AF2504" i="1"/>
  <c r="AI2504" i="1"/>
  <c r="AE2505" i="1"/>
  <c r="AC2505" i="1"/>
  <c r="AJ2504" i="1"/>
  <c r="AK2504" i="1"/>
  <c r="AM2504" i="1"/>
  <c r="BF2504" i="1"/>
  <c r="BG2504" i="1"/>
  <c r="T2505" i="1"/>
  <c r="U2505" i="1"/>
  <c r="V2505" i="1"/>
  <c r="W2505" i="1"/>
  <c r="X2505" i="1"/>
  <c r="Y2505" i="1"/>
  <c r="Z2505" i="1"/>
  <c r="AB2505" i="1"/>
  <c r="AF2505" i="1"/>
  <c r="AI2505" i="1"/>
  <c r="AE2506" i="1"/>
  <c r="AC2506" i="1"/>
  <c r="AJ2505" i="1"/>
  <c r="AK2505" i="1"/>
  <c r="AM2505" i="1"/>
  <c r="BF2505" i="1"/>
  <c r="BG2505" i="1"/>
  <c r="T2506" i="1"/>
  <c r="U2506" i="1"/>
  <c r="V2506" i="1"/>
  <c r="W2506" i="1"/>
  <c r="X2506" i="1"/>
  <c r="Y2506" i="1"/>
  <c r="Z2506" i="1"/>
  <c r="AB2506" i="1"/>
  <c r="AF2506" i="1"/>
  <c r="AI2506" i="1"/>
  <c r="H2507" i="1"/>
  <c r="AE2507" i="1"/>
  <c r="I2507" i="1"/>
  <c r="J2507" i="1"/>
  <c r="K2507" i="1"/>
  <c r="AC2507" i="1"/>
  <c r="AJ2506" i="1"/>
  <c r="AK2506" i="1"/>
  <c r="AM2506" i="1"/>
  <c r="BG2506" i="1"/>
  <c r="T2507" i="1"/>
  <c r="U2507" i="1"/>
  <c r="V2507" i="1"/>
  <c r="W2507" i="1"/>
  <c r="X2507" i="1"/>
  <c r="Y2507" i="1"/>
  <c r="Z2507" i="1"/>
  <c r="AB2507" i="1"/>
  <c r="AF2507" i="1"/>
  <c r="AI2507" i="1"/>
  <c r="H2508" i="1"/>
  <c r="AE2508" i="1"/>
  <c r="I2508" i="1"/>
  <c r="J2508" i="1"/>
  <c r="K2508" i="1"/>
  <c r="AC2508" i="1"/>
  <c r="AJ2507" i="1"/>
  <c r="AK2507" i="1"/>
  <c r="AM2507" i="1"/>
  <c r="BF2507" i="1"/>
  <c r="BG2507" i="1"/>
  <c r="T2508" i="1"/>
  <c r="U2508" i="1"/>
  <c r="V2508" i="1"/>
  <c r="W2508" i="1"/>
  <c r="X2508" i="1"/>
  <c r="Y2508" i="1"/>
  <c r="Z2508" i="1"/>
  <c r="AB2508" i="1"/>
  <c r="AF2508" i="1"/>
  <c r="AI2508" i="1"/>
  <c r="H2509" i="1"/>
  <c r="AE2509" i="1"/>
  <c r="I2509" i="1"/>
  <c r="J2509" i="1"/>
  <c r="K2509" i="1"/>
  <c r="AC2509" i="1"/>
  <c r="AJ2508" i="1"/>
  <c r="AK2508" i="1"/>
  <c r="AM2508" i="1"/>
  <c r="BF2508" i="1"/>
  <c r="BG2508" i="1"/>
  <c r="T2509" i="1"/>
  <c r="U2509" i="1"/>
  <c r="V2509" i="1"/>
  <c r="W2509" i="1"/>
  <c r="X2509" i="1"/>
  <c r="Y2509" i="1"/>
  <c r="Z2509" i="1"/>
  <c r="AB2509" i="1"/>
  <c r="AF2509" i="1"/>
  <c r="AI2509" i="1"/>
  <c r="AE2510" i="1"/>
  <c r="AC2510" i="1"/>
  <c r="AJ2509" i="1"/>
  <c r="AK2509" i="1"/>
  <c r="AM2509" i="1"/>
  <c r="BF2509" i="1"/>
  <c r="BG2509" i="1"/>
  <c r="T2510" i="1"/>
  <c r="U2510" i="1"/>
  <c r="V2510" i="1"/>
  <c r="W2510" i="1"/>
  <c r="X2510" i="1"/>
  <c r="Y2510" i="1"/>
  <c r="Z2510" i="1"/>
  <c r="AB2510" i="1"/>
  <c r="AF2510" i="1"/>
  <c r="AI2510" i="1"/>
  <c r="AE2511" i="1"/>
  <c r="AC2511" i="1"/>
  <c r="AJ2510" i="1"/>
  <c r="AK2510" i="1"/>
  <c r="AM2510" i="1"/>
  <c r="BF2510" i="1"/>
  <c r="BG2510" i="1"/>
  <c r="T2511" i="1"/>
  <c r="U2511" i="1"/>
  <c r="V2511" i="1"/>
  <c r="W2511" i="1"/>
  <c r="X2511" i="1"/>
  <c r="Y2511" i="1"/>
  <c r="Z2511" i="1"/>
  <c r="AB2511" i="1"/>
  <c r="AF2511" i="1"/>
  <c r="AI2511" i="1"/>
  <c r="H2512" i="1"/>
  <c r="AE2512" i="1"/>
  <c r="I2512" i="1"/>
  <c r="J2512" i="1"/>
  <c r="K2512" i="1"/>
  <c r="AC2512" i="1"/>
  <c r="AJ2511" i="1"/>
  <c r="AK2511" i="1"/>
  <c r="AM2511" i="1"/>
  <c r="BG2511" i="1"/>
  <c r="T2512" i="1"/>
  <c r="U2512" i="1"/>
  <c r="V2512" i="1"/>
  <c r="W2512" i="1"/>
  <c r="X2512" i="1"/>
  <c r="Y2512" i="1"/>
  <c r="Z2512" i="1"/>
  <c r="AB2512" i="1"/>
  <c r="AF2512" i="1"/>
  <c r="AI2512" i="1"/>
  <c r="H2513" i="1"/>
  <c r="AE2513" i="1"/>
  <c r="I2513" i="1"/>
  <c r="J2513" i="1"/>
  <c r="K2513" i="1"/>
  <c r="AC2513" i="1"/>
  <c r="AJ2512" i="1"/>
  <c r="AK2512" i="1"/>
  <c r="AM2512" i="1"/>
  <c r="BF2512" i="1"/>
  <c r="BG2512" i="1"/>
  <c r="T2513" i="1"/>
  <c r="U2513" i="1"/>
  <c r="V2513" i="1"/>
  <c r="W2513" i="1"/>
  <c r="X2513" i="1"/>
  <c r="Y2513" i="1"/>
  <c r="Z2513" i="1"/>
  <c r="AB2513" i="1"/>
  <c r="AF2513" i="1"/>
  <c r="AI2513" i="1"/>
  <c r="AE2514" i="1"/>
  <c r="AC2514" i="1"/>
  <c r="AJ2513" i="1"/>
  <c r="AK2513" i="1"/>
  <c r="AM2513" i="1"/>
  <c r="BF2513" i="1"/>
  <c r="BG2513" i="1"/>
  <c r="T2514" i="1"/>
  <c r="U2514" i="1"/>
  <c r="V2514" i="1"/>
  <c r="W2514" i="1"/>
  <c r="X2514" i="1"/>
  <c r="Y2514" i="1"/>
  <c r="Z2514" i="1"/>
  <c r="AB2514" i="1"/>
  <c r="AF2514" i="1"/>
  <c r="AI2514" i="1"/>
  <c r="AE2515" i="1"/>
  <c r="AC2515" i="1"/>
  <c r="AJ2514" i="1"/>
  <c r="AK2514" i="1"/>
  <c r="AM2514" i="1"/>
  <c r="BF2514" i="1"/>
  <c r="BG2514" i="1"/>
  <c r="T2515" i="1"/>
  <c r="U2515" i="1"/>
  <c r="V2515" i="1"/>
  <c r="W2515" i="1"/>
  <c r="X2515" i="1"/>
  <c r="Y2515" i="1"/>
  <c r="Z2515" i="1"/>
  <c r="AB2515" i="1"/>
  <c r="AF2515" i="1"/>
  <c r="AI2515" i="1"/>
  <c r="H2516" i="1"/>
  <c r="AE2516" i="1"/>
  <c r="I2516" i="1"/>
  <c r="J2516" i="1"/>
  <c r="K2516" i="1"/>
  <c r="AC2516" i="1"/>
  <c r="AJ2515" i="1"/>
  <c r="AK2515" i="1"/>
  <c r="AM2515" i="1"/>
  <c r="BG2515" i="1"/>
  <c r="T2516" i="1"/>
  <c r="U2516" i="1"/>
  <c r="V2516" i="1"/>
  <c r="W2516" i="1"/>
  <c r="X2516" i="1"/>
  <c r="Y2516" i="1"/>
  <c r="Z2516" i="1"/>
  <c r="AB2516" i="1"/>
  <c r="AF2516" i="1"/>
  <c r="AI2516" i="1"/>
  <c r="AE2517" i="1"/>
  <c r="AC2517" i="1"/>
  <c r="AJ2516" i="1"/>
  <c r="AK2516" i="1"/>
  <c r="AM2516" i="1"/>
  <c r="BF2516" i="1"/>
  <c r="BG2516" i="1"/>
  <c r="T2517" i="1"/>
  <c r="U2517" i="1"/>
  <c r="V2517" i="1"/>
  <c r="W2517" i="1"/>
  <c r="X2517" i="1"/>
  <c r="Y2517" i="1"/>
  <c r="Z2517" i="1"/>
  <c r="AB2517" i="1"/>
  <c r="AF2517" i="1"/>
  <c r="AI2517" i="1"/>
  <c r="AE2518" i="1"/>
  <c r="AC2518" i="1"/>
  <c r="AJ2517" i="1"/>
  <c r="AK2517" i="1"/>
  <c r="AM2517" i="1"/>
  <c r="BF2517" i="1"/>
  <c r="BG2517" i="1"/>
  <c r="T2518" i="1"/>
  <c r="U2518" i="1"/>
  <c r="V2518" i="1"/>
  <c r="W2518" i="1"/>
  <c r="X2518" i="1"/>
  <c r="Y2518" i="1"/>
  <c r="Z2518" i="1"/>
  <c r="AB2518" i="1"/>
  <c r="AF2518" i="1"/>
  <c r="AI2518" i="1"/>
  <c r="H2519" i="1"/>
  <c r="AE2519" i="1"/>
  <c r="I2519" i="1"/>
  <c r="J2519" i="1"/>
  <c r="K2519" i="1"/>
  <c r="AC2519" i="1"/>
  <c r="AJ2518" i="1"/>
  <c r="AK2518" i="1"/>
  <c r="AM2518" i="1"/>
  <c r="BG2518" i="1"/>
  <c r="T2519" i="1"/>
  <c r="U2519" i="1"/>
  <c r="V2519" i="1"/>
  <c r="W2519" i="1"/>
  <c r="X2519" i="1"/>
  <c r="Y2519" i="1"/>
  <c r="Z2519" i="1"/>
  <c r="AB2519" i="1"/>
  <c r="AF2519" i="1"/>
  <c r="AI2519" i="1"/>
  <c r="H2520" i="1"/>
  <c r="AE2520" i="1"/>
  <c r="I2520" i="1"/>
  <c r="J2520" i="1"/>
  <c r="K2520" i="1"/>
  <c r="AC2520" i="1"/>
  <c r="AJ2519" i="1"/>
  <c r="AK2519" i="1"/>
  <c r="AM2519" i="1"/>
  <c r="BF2519" i="1"/>
  <c r="BG2519" i="1"/>
  <c r="T2520" i="1"/>
  <c r="U2520" i="1"/>
  <c r="V2520" i="1"/>
  <c r="W2520" i="1"/>
  <c r="X2520" i="1"/>
  <c r="Y2520" i="1"/>
  <c r="Z2520" i="1"/>
  <c r="AB2520" i="1"/>
  <c r="AF2520" i="1"/>
  <c r="AI2520" i="1"/>
  <c r="AE2521" i="1"/>
  <c r="AC2521" i="1"/>
  <c r="AJ2520" i="1"/>
  <c r="AK2520" i="1"/>
  <c r="AM2520" i="1"/>
  <c r="BF2520" i="1"/>
  <c r="BG2520" i="1"/>
  <c r="T2521" i="1"/>
  <c r="U2521" i="1"/>
  <c r="V2521" i="1"/>
  <c r="W2521" i="1"/>
  <c r="X2521" i="1"/>
  <c r="Y2521" i="1"/>
  <c r="Z2521" i="1"/>
  <c r="AB2521" i="1"/>
  <c r="AF2521" i="1"/>
  <c r="AI2521" i="1"/>
  <c r="AE2522" i="1"/>
  <c r="AC2522" i="1"/>
  <c r="AJ2521" i="1"/>
  <c r="AK2521" i="1"/>
  <c r="AM2521" i="1"/>
  <c r="BF2521" i="1"/>
  <c r="BG2521" i="1"/>
  <c r="T2522" i="1"/>
  <c r="U2522" i="1"/>
  <c r="V2522" i="1"/>
  <c r="W2522" i="1"/>
  <c r="X2522" i="1"/>
  <c r="Y2522" i="1"/>
  <c r="Z2522" i="1"/>
  <c r="AB2522" i="1"/>
  <c r="AF2522" i="1"/>
  <c r="AI2522" i="1"/>
  <c r="H2523" i="1"/>
  <c r="AE2523" i="1"/>
  <c r="I2523" i="1"/>
  <c r="J2523" i="1"/>
  <c r="K2523" i="1"/>
  <c r="AC2523" i="1"/>
  <c r="AJ2522" i="1"/>
  <c r="AK2522" i="1"/>
  <c r="AM2522" i="1"/>
  <c r="BG2522" i="1"/>
  <c r="T2523" i="1"/>
  <c r="U2523" i="1"/>
  <c r="V2523" i="1"/>
  <c r="W2523" i="1"/>
  <c r="X2523" i="1"/>
  <c r="Y2523" i="1"/>
  <c r="Z2523" i="1"/>
  <c r="AB2523" i="1"/>
  <c r="AF2523" i="1"/>
  <c r="AI2523" i="1"/>
  <c r="H2524" i="1"/>
  <c r="AE2524" i="1"/>
  <c r="I2524" i="1"/>
  <c r="J2524" i="1"/>
  <c r="K2524" i="1"/>
  <c r="AC2524" i="1"/>
  <c r="AJ2523" i="1"/>
  <c r="AK2523" i="1"/>
  <c r="AM2523" i="1"/>
  <c r="BF2523" i="1"/>
  <c r="BG2523" i="1"/>
  <c r="T2524" i="1"/>
  <c r="U2524" i="1"/>
  <c r="V2524" i="1"/>
  <c r="W2524" i="1"/>
  <c r="X2524" i="1"/>
  <c r="Y2524" i="1"/>
  <c r="Z2524" i="1"/>
  <c r="AB2524" i="1"/>
  <c r="AF2524" i="1"/>
  <c r="AI2524" i="1"/>
  <c r="H2525" i="1"/>
  <c r="AE2525" i="1"/>
  <c r="I2525" i="1"/>
  <c r="J2525" i="1"/>
  <c r="K2525" i="1"/>
  <c r="AC2525" i="1"/>
  <c r="AJ2524" i="1"/>
  <c r="AK2524" i="1"/>
  <c r="AM2524" i="1"/>
  <c r="BF2524" i="1"/>
  <c r="BG2524" i="1"/>
  <c r="T2525" i="1"/>
  <c r="U2525" i="1"/>
  <c r="V2525" i="1"/>
  <c r="W2525" i="1"/>
  <c r="X2525" i="1"/>
  <c r="Y2525" i="1"/>
  <c r="Z2525" i="1"/>
  <c r="AB2525" i="1"/>
  <c r="AF2525" i="1"/>
  <c r="AI2525" i="1"/>
  <c r="H2526" i="1"/>
  <c r="AE2526" i="1"/>
  <c r="I2526" i="1"/>
  <c r="J2526" i="1"/>
  <c r="K2526" i="1"/>
  <c r="AC2526" i="1"/>
  <c r="AJ2525" i="1"/>
  <c r="AK2525" i="1"/>
  <c r="AM2525" i="1"/>
  <c r="BF2525" i="1"/>
  <c r="BG2525" i="1"/>
  <c r="T2526" i="1"/>
  <c r="U2526" i="1"/>
  <c r="V2526" i="1"/>
  <c r="W2526" i="1"/>
  <c r="X2526" i="1"/>
  <c r="Y2526" i="1"/>
  <c r="Z2526" i="1"/>
  <c r="AB2526" i="1"/>
  <c r="AF2526" i="1"/>
  <c r="AI2526" i="1"/>
  <c r="AE2527" i="1"/>
  <c r="AC2527" i="1"/>
  <c r="AJ2526" i="1"/>
  <c r="AK2526" i="1"/>
  <c r="AM2526" i="1"/>
  <c r="BF2526" i="1"/>
  <c r="BG2526" i="1"/>
  <c r="T2527" i="1"/>
  <c r="U2527" i="1"/>
  <c r="V2527" i="1"/>
  <c r="W2527" i="1"/>
  <c r="X2527" i="1"/>
  <c r="Y2527" i="1"/>
  <c r="Z2527" i="1"/>
  <c r="AB2527" i="1"/>
  <c r="AF2527" i="1"/>
  <c r="AI2527" i="1"/>
  <c r="AE2528" i="1"/>
  <c r="AC2528" i="1"/>
  <c r="AJ2527" i="1"/>
  <c r="AK2527" i="1"/>
  <c r="AM2527" i="1"/>
  <c r="BF2527" i="1"/>
  <c r="BG2527" i="1"/>
  <c r="T2528" i="1"/>
  <c r="U2528" i="1"/>
  <c r="V2528" i="1"/>
  <c r="W2528" i="1"/>
  <c r="X2528" i="1"/>
  <c r="Y2528" i="1"/>
  <c r="Z2528" i="1"/>
  <c r="AB2528" i="1"/>
  <c r="AF2528" i="1"/>
  <c r="AI2528" i="1"/>
  <c r="H2529" i="1"/>
  <c r="AE2529" i="1"/>
  <c r="I2529" i="1"/>
  <c r="J2529" i="1"/>
  <c r="K2529" i="1"/>
  <c r="AC2529" i="1"/>
  <c r="AJ2528" i="1"/>
  <c r="AK2528" i="1"/>
  <c r="AM2528" i="1"/>
  <c r="BG2528" i="1"/>
  <c r="T2529" i="1"/>
  <c r="U2529" i="1"/>
  <c r="V2529" i="1"/>
  <c r="W2529" i="1"/>
  <c r="X2529" i="1"/>
  <c r="Y2529" i="1"/>
  <c r="Z2529" i="1"/>
  <c r="AB2529" i="1"/>
  <c r="AF2529" i="1"/>
  <c r="AI2529" i="1"/>
  <c r="H2530" i="1"/>
  <c r="AE2530" i="1"/>
  <c r="I2530" i="1"/>
  <c r="J2530" i="1"/>
  <c r="K2530" i="1"/>
  <c r="AC2530" i="1"/>
  <c r="AJ2529" i="1"/>
  <c r="AK2529" i="1"/>
  <c r="AM2529" i="1"/>
  <c r="BF2529" i="1"/>
  <c r="BG2529" i="1"/>
  <c r="T2530" i="1"/>
  <c r="U2530" i="1"/>
  <c r="V2530" i="1"/>
  <c r="W2530" i="1"/>
  <c r="X2530" i="1"/>
  <c r="Y2530" i="1"/>
  <c r="Z2530" i="1"/>
  <c r="AB2530" i="1"/>
  <c r="AF2530" i="1"/>
  <c r="AI2530" i="1"/>
  <c r="H2531" i="1"/>
  <c r="AE2531" i="1"/>
  <c r="I2531" i="1"/>
  <c r="J2531" i="1"/>
  <c r="K2531" i="1"/>
  <c r="AC2531" i="1"/>
  <c r="AJ2530" i="1"/>
  <c r="AK2530" i="1"/>
  <c r="AM2530" i="1"/>
  <c r="BF2530" i="1"/>
  <c r="BG2530" i="1"/>
  <c r="T2531" i="1"/>
  <c r="U2531" i="1"/>
  <c r="V2531" i="1"/>
  <c r="W2531" i="1"/>
  <c r="X2531" i="1"/>
  <c r="Y2531" i="1"/>
  <c r="Z2531" i="1"/>
  <c r="AB2531" i="1"/>
  <c r="AF2531" i="1"/>
  <c r="AI2531" i="1"/>
  <c r="AE2532" i="1"/>
  <c r="AC2532" i="1"/>
  <c r="AJ2531" i="1"/>
  <c r="AK2531" i="1"/>
  <c r="AM2531" i="1"/>
  <c r="BF2531" i="1"/>
  <c r="BG2531" i="1"/>
  <c r="T2532" i="1"/>
  <c r="U2532" i="1"/>
  <c r="V2532" i="1"/>
  <c r="W2532" i="1"/>
  <c r="X2532" i="1"/>
  <c r="Y2532" i="1"/>
  <c r="Z2532" i="1"/>
  <c r="AB2532" i="1"/>
  <c r="AF2532" i="1"/>
  <c r="AI2532" i="1"/>
  <c r="AE2533" i="1"/>
  <c r="AC2533" i="1"/>
  <c r="AJ2532" i="1"/>
  <c r="AK2532" i="1"/>
  <c r="AM2532" i="1"/>
  <c r="BF2532" i="1"/>
  <c r="BG2532" i="1"/>
  <c r="T2533" i="1"/>
  <c r="U2533" i="1"/>
  <c r="V2533" i="1"/>
  <c r="W2533" i="1"/>
  <c r="X2533" i="1"/>
  <c r="Y2533" i="1"/>
  <c r="Z2533" i="1"/>
  <c r="AB2533" i="1"/>
  <c r="AF2533" i="1"/>
  <c r="AI2533" i="1"/>
  <c r="H2534" i="1"/>
  <c r="AE2534" i="1"/>
  <c r="I2534" i="1"/>
  <c r="J2534" i="1"/>
  <c r="K2534" i="1"/>
  <c r="AC2534" i="1"/>
  <c r="AJ2533" i="1"/>
  <c r="AK2533" i="1"/>
  <c r="AM2533" i="1"/>
  <c r="BG2533" i="1"/>
  <c r="T2534" i="1"/>
  <c r="U2534" i="1"/>
  <c r="V2534" i="1"/>
  <c r="W2534" i="1"/>
  <c r="X2534" i="1"/>
  <c r="Y2534" i="1"/>
  <c r="Z2534" i="1"/>
  <c r="AB2534" i="1"/>
  <c r="AF2534" i="1"/>
  <c r="AI2534" i="1"/>
  <c r="AE2535" i="1"/>
  <c r="AC2535" i="1"/>
  <c r="AJ2534" i="1"/>
  <c r="AK2534" i="1"/>
  <c r="AM2534" i="1"/>
  <c r="BF2534" i="1"/>
  <c r="BG2534" i="1"/>
  <c r="T2535" i="1"/>
  <c r="U2535" i="1"/>
  <c r="V2535" i="1"/>
  <c r="W2535" i="1"/>
  <c r="X2535" i="1"/>
  <c r="Y2535" i="1"/>
  <c r="Z2535" i="1"/>
  <c r="AB2535" i="1"/>
  <c r="AF2535" i="1"/>
  <c r="AI2535" i="1"/>
  <c r="AE2536" i="1"/>
  <c r="AC2536" i="1"/>
  <c r="AJ2535" i="1"/>
  <c r="AK2535" i="1"/>
  <c r="AM2535" i="1"/>
  <c r="BF2535" i="1"/>
  <c r="BG2535" i="1"/>
  <c r="T2536" i="1"/>
  <c r="U2536" i="1"/>
  <c r="V2536" i="1"/>
  <c r="W2536" i="1"/>
  <c r="X2536" i="1"/>
  <c r="Y2536" i="1"/>
  <c r="Z2536" i="1"/>
  <c r="AB2536" i="1"/>
  <c r="AF2536" i="1"/>
  <c r="AI2536" i="1"/>
  <c r="H2537" i="1"/>
  <c r="AE2537" i="1"/>
  <c r="I2537" i="1"/>
  <c r="J2537" i="1"/>
  <c r="K2537" i="1"/>
  <c r="AC2537" i="1"/>
  <c r="AJ2536" i="1"/>
  <c r="AK2536" i="1"/>
  <c r="AM2536" i="1"/>
  <c r="BG2536" i="1"/>
  <c r="T2537" i="1"/>
  <c r="U2537" i="1"/>
  <c r="V2537" i="1"/>
  <c r="W2537" i="1"/>
  <c r="X2537" i="1"/>
  <c r="Y2537" i="1"/>
  <c r="Z2537" i="1"/>
  <c r="AB2537" i="1"/>
  <c r="AF2537" i="1"/>
  <c r="AI2537" i="1"/>
  <c r="H2538" i="1"/>
  <c r="AE2538" i="1"/>
  <c r="I2538" i="1"/>
  <c r="J2538" i="1"/>
  <c r="K2538" i="1"/>
  <c r="AC2538" i="1"/>
  <c r="AJ2537" i="1"/>
  <c r="AK2537" i="1"/>
  <c r="AM2537" i="1"/>
  <c r="BF2537" i="1"/>
  <c r="BG2537" i="1"/>
  <c r="T2538" i="1"/>
  <c r="U2538" i="1"/>
  <c r="V2538" i="1"/>
  <c r="W2538" i="1"/>
  <c r="X2538" i="1"/>
  <c r="Y2538" i="1"/>
  <c r="Z2538" i="1"/>
  <c r="AB2538" i="1"/>
  <c r="AF2538" i="1"/>
  <c r="AI2538" i="1"/>
  <c r="AE2539" i="1"/>
  <c r="AC2539" i="1"/>
  <c r="AJ2538" i="1"/>
  <c r="AK2538" i="1"/>
  <c r="AM2538" i="1"/>
  <c r="BF2538" i="1"/>
  <c r="BG2538" i="1"/>
  <c r="T2539" i="1"/>
  <c r="U2539" i="1"/>
  <c r="V2539" i="1"/>
  <c r="W2539" i="1"/>
  <c r="X2539" i="1"/>
  <c r="Y2539" i="1"/>
  <c r="Z2539" i="1"/>
  <c r="AB2539" i="1"/>
  <c r="AF2539" i="1"/>
  <c r="AI2539" i="1"/>
  <c r="AE2540" i="1"/>
  <c r="AC2540" i="1"/>
  <c r="AJ2539" i="1"/>
  <c r="AK2539" i="1"/>
  <c r="AM2539" i="1"/>
  <c r="BF2539" i="1"/>
  <c r="BG2539" i="1"/>
  <c r="T2540" i="1"/>
  <c r="U2540" i="1"/>
  <c r="V2540" i="1"/>
  <c r="W2540" i="1"/>
  <c r="X2540" i="1"/>
  <c r="Y2540" i="1"/>
  <c r="Z2540" i="1"/>
  <c r="AB2540" i="1"/>
  <c r="AF2540" i="1"/>
  <c r="AI2540" i="1"/>
  <c r="H2541" i="1"/>
  <c r="AE2541" i="1"/>
  <c r="I2541" i="1"/>
  <c r="J2541" i="1"/>
  <c r="K2541" i="1"/>
  <c r="AC2541" i="1"/>
  <c r="AJ2540" i="1"/>
  <c r="AK2540" i="1"/>
  <c r="AM2540" i="1"/>
  <c r="BG2540" i="1"/>
  <c r="T2541" i="1"/>
  <c r="U2541" i="1"/>
  <c r="V2541" i="1"/>
  <c r="W2541" i="1"/>
  <c r="X2541" i="1"/>
  <c r="Y2541" i="1"/>
  <c r="Z2541" i="1"/>
  <c r="AB2541" i="1"/>
  <c r="AF2541" i="1"/>
  <c r="AI2541" i="1"/>
  <c r="AE2542" i="1"/>
  <c r="AC2542" i="1"/>
  <c r="AJ2541" i="1"/>
  <c r="AK2541" i="1"/>
  <c r="AM2541" i="1"/>
  <c r="BF2541" i="1"/>
  <c r="BG2541" i="1"/>
  <c r="T2542" i="1"/>
  <c r="U2542" i="1"/>
  <c r="V2542" i="1"/>
  <c r="W2542" i="1"/>
  <c r="X2542" i="1"/>
  <c r="Y2542" i="1"/>
  <c r="Z2542" i="1"/>
  <c r="AB2542" i="1"/>
  <c r="AF2542" i="1"/>
  <c r="AI2542" i="1"/>
  <c r="AE2543" i="1"/>
  <c r="AC2543" i="1"/>
  <c r="AJ2542" i="1"/>
  <c r="AK2542" i="1"/>
  <c r="AM2542" i="1"/>
  <c r="BF2542" i="1"/>
  <c r="BG2542" i="1"/>
  <c r="T2543" i="1"/>
  <c r="U2543" i="1"/>
  <c r="V2543" i="1"/>
  <c r="W2543" i="1"/>
  <c r="X2543" i="1"/>
  <c r="Y2543" i="1"/>
  <c r="Z2543" i="1"/>
  <c r="AB2543" i="1"/>
  <c r="AF2543" i="1"/>
  <c r="AI2543" i="1"/>
  <c r="H2544" i="1"/>
  <c r="AE2544" i="1"/>
  <c r="I2544" i="1"/>
  <c r="J2544" i="1"/>
  <c r="K2544" i="1"/>
  <c r="AC2544" i="1"/>
  <c r="AJ2543" i="1"/>
  <c r="AK2543" i="1"/>
  <c r="AM2543" i="1"/>
  <c r="BG2543" i="1"/>
  <c r="T2544" i="1"/>
  <c r="U2544" i="1"/>
  <c r="V2544" i="1"/>
  <c r="W2544" i="1"/>
  <c r="X2544" i="1"/>
  <c r="Y2544" i="1"/>
  <c r="Z2544" i="1"/>
  <c r="AB2544" i="1"/>
  <c r="AF2544" i="1"/>
  <c r="AI2544" i="1"/>
  <c r="H2545" i="1"/>
  <c r="AE2545" i="1"/>
  <c r="I2545" i="1"/>
  <c r="J2545" i="1"/>
  <c r="K2545" i="1"/>
  <c r="AC2545" i="1"/>
  <c r="AJ2544" i="1"/>
  <c r="AK2544" i="1"/>
  <c r="AM2544" i="1"/>
  <c r="BF2544" i="1"/>
  <c r="BG2544" i="1"/>
  <c r="T2545" i="1"/>
  <c r="U2545" i="1"/>
  <c r="V2545" i="1"/>
  <c r="W2545" i="1"/>
  <c r="X2545" i="1"/>
  <c r="Y2545" i="1"/>
  <c r="Z2545" i="1"/>
  <c r="AB2545" i="1"/>
  <c r="AF2545" i="1"/>
  <c r="AI2545" i="1"/>
  <c r="H2546" i="1"/>
  <c r="AE2546" i="1"/>
  <c r="I2546" i="1"/>
  <c r="J2546" i="1"/>
  <c r="K2546" i="1"/>
  <c r="AC2546" i="1"/>
  <c r="AJ2545" i="1"/>
  <c r="AK2545" i="1"/>
  <c r="AM2545" i="1"/>
  <c r="BF2545" i="1"/>
  <c r="BG2545" i="1"/>
  <c r="T2546" i="1"/>
  <c r="U2546" i="1"/>
  <c r="V2546" i="1"/>
  <c r="W2546" i="1"/>
  <c r="X2546" i="1"/>
  <c r="Y2546" i="1"/>
  <c r="Z2546" i="1"/>
  <c r="AB2546" i="1"/>
  <c r="AF2546" i="1"/>
  <c r="AI2546" i="1"/>
  <c r="AE2547" i="1"/>
  <c r="AC2547" i="1"/>
  <c r="AJ2546" i="1"/>
  <c r="AK2546" i="1"/>
  <c r="AM2546" i="1"/>
  <c r="BF2546" i="1"/>
  <c r="BG2546" i="1"/>
  <c r="T2547" i="1"/>
  <c r="U2547" i="1"/>
  <c r="V2547" i="1"/>
  <c r="W2547" i="1"/>
  <c r="X2547" i="1"/>
  <c r="Y2547" i="1"/>
  <c r="Z2547" i="1"/>
  <c r="AB2547" i="1"/>
  <c r="AF2547" i="1"/>
  <c r="AI2547" i="1"/>
  <c r="AE2548" i="1"/>
  <c r="AC2548" i="1"/>
  <c r="AJ2547" i="1"/>
  <c r="AK2547" i="1"/>
  <c r="AM2547" i="1"/>
  <c r="BF2547" i="1"/>
  <c r="BG2547" i="1"/>
  <c r="T2548" i="1"/>
  <c r="U2548" i="1"/>
  <c r="V2548" i="1"/>
  <c r="W2548" i="1"/>
  <c r="X2548" i="1"/>
  <c r="Y2548" i="1"/>
  <c r="Z2548" i="1"/>
  <c r="AB2548" i="1"/>
  <c r="AF2548" i="1"/>
  <c r="AI2548" i="1"/>
  <c r="H2549" i="1"/>
  <c r="AE2549" i="1"/>
  <c r="I2549" i="1"/>
  <c r="J2549" i="1"/>
  <c r="K2549" i="1"/>
  <c r="AC2549" i="1"/>
  <c r="AJ2548" i="1"/>
  <c r="AK2548" i="1"/>
  <c r="AM2548" i="1"/>
  <c r="BG2548" i="1"/>
  <c r="T2549" i="1"/>
  <c r="U2549" i="1"/>
  <c r="V2549" i="1"/>
  <c r="W2549" i="1"/>
  <c r="X2549" i="1"/>
  <c r="Y2549" i="1"/>
  <c r="Z2549" i="1"/>
  <c r="AB2549" i="1"/>
  <c r="AF2549" i="1"/>
  <c r="AI2549" i="1"/>
  <c r="H2550" i="1"/>
  <c r="AE2550" i="1"/>
  <c r="I2550" i="1"/>
  <c r="J2550" i="1"/>
  <c r="K2550" i="1"/>
  <c r="AC2550" i="1"/>
  <c r="AJ2549" i="1"/>
  <c r="AK2549" i="1"/>
  <c r="AM2549" i="1"/>
  <c r="BF2549" i="1"/>
  <c r="BG2549" i="1"/>
  <c r="T2550" i="1"/>
  <c r="U2550" i="1"/>
  <c r="V2550" i="1"/>
  <c r="W2550" i="1"/>
  <c r="X2550" i="1"/>
  <c r="Y2550" i="1"/>
  <c r="Z2550" i="1"/>
  <c r="AB2550" i="1"/>
  <c r="AF2550" i="1"/>
  <c r="AI2550" i="1"/>
  <c r="H2551" i="1"/>
  <c r="AE2551" i="1"/>
  <c r="I2551" i="1"/>
  <c r="J2551" i="1"/>
  <c r="K2551" i="1"/>
  <c r="AC2551" i="1"/>
  <c r="AJ2550" i="1"/>
  <c r="AK2550" i="1"/>
  <c r="AM2550" i="1"/>
  <c r="BF2550" i="1"/>
  <c r="BG2550" i="1"/>
  <c r="T2551" i="1"/>
  <c r="U2551" i="1"/>
  <c r="V2551" i="1"/>
  <c r="W2551" i="1"/>
  <c r="X2551" i="1"/>
  <c r="Y2551" i="1"/>
  <c r="Z2551" i="1"/>
  <c r="AB2551" i="1"/>
  <c r="AF2551" i="1"/>
  <c r="AI2551" i="1"/>
  <c r="AE2552" i="1"/>
  <c r="AC2552" i="1"/>
  <c r="AJ2551" i="1"/>
  <c r="AK2551" i="1"/>
  <c r="AM2551" i="1"/>
  <c r="BF2551" i="1"/>
  <c r="BG2551" i="1"/>
  <c r="T2552" i="1"/>
  <c r="U2552" i="1"/>
  <c r="V2552" i="1"/>
  <c r="W2552" i="1"/>
  <c r="X2552" i="1"/>
  <c r="Y2552" i="1"/>
  <c r="Z2552" i="1"/>
  <c r="AB2552" i="1"/>
  <c r="AF2552" i="1"/>
  <c r="AI2552" i="1"/>
  <c r="AE2553" i="1"/>
  <c r="AC2553" i="1"/>
  <c r="AJ2552" i="1"/>
  <c r="AK2552" i="1"/>
  <c r="AM2552" i="1"/>
  <c r="BF2552" i="1"/>
  <c r="BG2552" i="1"/>
  <c r="T2553" i="1"/>
  <c r="U2553" i="1"/>
  <c r="V2553" i="1"/>
  <c r="W2553" i="1"/>
  <c r="X2553" i="1"/>
  <c r="Y2553" i="1"/>
  <c r="Z2553" i="1"/>
  <c r="AB2553" i="1"/>
  <c r="AF2553" i="1"/>
  <c r="AI2553" i="1"/>
  <c r="H2554" i="1"/>
  <c r="AE2554" i="1"/>
  <c r="I2554" i="1"/>
  <c r="J2554" i="1"/>
  <c r="K2554" i="1"/>
  <c r="AC2554" i="1"/>
  <c r="AJ2553" i="1"/>
  <c r="AK2553" i="1"/>
  <c r="AM2553" i="1"/>
  <c r="BG2553" i="1"/>
  <c r="T2554" i="1"/>
  <c r="U2554" i="1"/>
  <c r="V2554" i="1"/>
  <c r="W2554" i="1"/>
  <c r="X2554" i="1"/>
  <c r="Y2554" i="1"/>
  <c r="Z2554" i="1"/>
  <c r="AB2554" i="1"/>
  <c r="AF2554" i="1"/>
  <c r="AI2554" i="1"/>
  <c r="H2555" i="1"/>
  <c r="AE2555" i="1"/>
  <c r="I2555" i="1"/>
  <c r="J2555" i="1"/>
  <c r="K2555" i="1"/>
  <c r="AC2555" i="1"/>
  <c r="AJ2554" i="1"/>
  <c r="AK2554" i="1"/>
  <c r="AM2554" i="1"/>
  <c r="BF2554" i="1"/>
  <c r="BG2554" i="1"/>
  <c r="T2555" i="1"/>
  <c r="U2555" i="1"/>
  <c r="V2555" i="1"/>
  <c r="W2555" i="1"/>
  <c r="X2555" i="1"/>
  <c r="Y2555" i="1"/>
  <c r="Z2555" i="1"/>
  <c r="AB2555" i="1"/>
  <c r="AF2555" i="1"/>
  <c r="AI2555" i="1"/>
  <c r="H2556" i="1"/>
  <c r="AE2556" i="1"/>
  <c r="I2556" i="1"/>
  <c r="J2556" i="1"/>
  <c r="K2556" i="1"/>
  <c r="AC2556" i="1"/>
  <c r="AJ2555" i="1"/>
  <c r="AK2555" i="1"/>
  <c r="AM2555" i="1"/>
  <c r="BF2555" i="1"/>
  <c r="BG2555" i="1"/>
  <c r="T2556" i="1"/>
  <c r="U2556" i="1"/>
  <c r="V2556" i="1"/>
  <c r="W2556" i="1"/>
  <c r="X2556" i="1"/>
  <c r="Y2556" i="1"/>
  <c r="Z2556" i="1"/>
  <c r="AB2556" i="1"/>
  <c r="AF2556" i="1"/>
  <c r="AI2556" i="1"/>
  <c r="H2557" i="1"/>
  <c r="AE2557" i="1"/>
  <c r="I2557" i="1"/>
  <c r="J2557" i="1"/>
  <c r="K2557" i="1"/>
  <c r="AC2557" i="1"/>
  <c r="AJ2556" i="1"/>
  <c r="AK2556" i="1"/>
  <c r="AM2556" i="1"/>
  <c r="BF2556" i="1"/>
  <c r="BG2556" i="1"/>
  <c r="T2557" i="1"/>
  <c r="U2557" i="1"/>
  <c r="V2557" i="1"/>
  <c r="W2557" i="1"/>
  <c r="X2557" i="1"/>
  <c r="Y2557" i="1"/>
  <c r="Z2557" i="1"/>
  <c r="AB2557" i="1"/>
  <c r="AF2557" i="1"/>
  <c r="AI2557" i="1"/>
  <c r="H2558" i="1"/>
  <c r="AE2558" i="1"/>
  <c r="I2558" i="1"/>
  <c r="J2558" i="1"/>
  <c r="K2558" i="1"/>
  <c r="AC2558" i="1"/>
  <c r="AJ2557" i="1"/>
  <c r="AK2557" i="1"/>
  <c r="AM2557" i="1"/>
  <c r="BF2557" i="1"/>
  <c r="BG2557" i="1"/>
  <c r="T2558" i="1"/>
  <c r="U2558" i="1"/>
  <c r="V2558" i="1"/>
  <c r="W2558" i="1"/>
  <c r="X2558" i="1"/>
  <c r="Y2558" i="1"/>
  <c r="Z2558" i="1"/>
  <c r="AB2558" i="1"/>
  <c r="AF2558" i="1"/>
  <c r="AI2558" i="1"/>
  <c r="H2559" i="1"/>
  <c r="AE2559" i="1"/>
  <c r="I2559" i="1"/>
  <c r="J2559" i="1"/>
  <c r="K2559" i="1"/>
  <c r="AC2559" i="1"/>
  <c r="AJ2558" i="1"/>
  <c r="AK2558" i="1"/>
  <c r="AM2558" i="1"/>
  <c r="BF2558" i="1"/>
  <c r="BG2558" i="1"/>
  <c r="T2559" i="1"/>
  <c r="U2559" i="1"/>
  <c r="V2559" i="1"/>
  <c r="W2559" i="1"/>
  <c r="X2559" i="1"/>
  <c r="Y2559" i="1"/>
  <c r="Z2559" i="1"/>
  <c r="AB2559" i="1"/>
  <c r="AF2559" i="1"/>
  <c r="AI2559" i="1"/>
  <c r="H2560" i="1"/>
  <c r="AE2560" i="1"/>
  <c r="I2560" i="1"/>
  <c r="J2560" i="1"/>
  <c r="K2560" i="1"/>
  <c r="AC2560" i="1"/>
  <c r="AJ2559" i="1"/>
  <c r="AK2559" i="1"/>
  <c r="AM2559" i="1"/>
  <c r="BF2559" i="1"/>
  <c r="BG2559" i="1"/>
  <c r="T2560" i="1"/>
  <c r="U2560" i="1"/>
  <c r="V2560" i="1"/>
  <c r="W2560" i="1"/>
  <c r="X2560" i="1"/>
  <c r="Y2560" i="1"/>
  <c r="Z2560" i="1"/>
  <c r="AB2560" i="1"/>
  <c r="AF2560" i="1"/>
  <c r="AI2560" i="1"/>
  <c r="H2561" i="1"/>
  <c r="AE2561" i="1"/>
  <c r="I2561" i="1"/>
  <c r="J2561" i="1"/>
  <c r="K2561" i="1"/>
  <c r="AC2561" i="1"/>
  <c r="AJ2560" i="1"/>
  <c r="AK2560" i="1"/>
  <c r="AM2560" i="1"/>
  <c r="BF2560" i="1"/>
  <c r="BG2560" i="1"/>
  <c r="T2561" i="1"/>
  <c r="U2561" i="1"/>
  <c r="V2561" i="1"/>
  <c r="W2561" i="1"/>
  <c r="X2561" i="1"/>
  <c r="Y2561" i="1"/>
  <c r="Z2561" i="1"/>
  <c r="AB2561" i="1"/>
  <c r="AF2561" i="1"/>
  <c r="AI2561" i="1"/>
  <c r="AE2562" i="1"/>
  <c r="AC2562" i="1"/>
  <c r="AJ2561" i="1"/>
  <c r="AK2561" i="1"/>
  <c r="AM2561" i="1"/>
  <c r="BF2561" i="1"/>
  <c r="BG2561" i="1"/>
  <c r="T2562" i="1"/>
  <c r="U2562" i="1"/>
  <c r="V2562" i="1"/>
  <c r="W2562" i="1"/>
  <c r="X2562" i="1"/>
  <c r="Y2562" i="1"/>
  <c r="Z2562" i="1"/>
  <c r="AB2562" i="1"/>
  <c r="AF2562" i="1"/>
  <c r="AI2562" i="1"/>
  <c r="AE2563" i="1"/>
  <c r="AC2563" i="1"/>
  <c r="AJ2562" i="1"/>
  <c r="AK2562" i="1"/>
  <c r="AM2562" i="1"/>
  <c r="BF2562" i="1"/>
  <c r="BG2562" i="1"/>
  <c r="T2563" i="1"/>
  <c r="U2563" i="1"/>
  <c r="V2563" i="1"/>
  <c r="W2563" i="1"/>
  <c r="X2563" i="1"/>
  <c r="Y2563" i="1"/>
  <c r="Z2563" i="1"/>
  <c r="AB2563" i="1"/>
  <c r="AF2563" i="1"/>
  <c r="AI2563" i="1"/>
  <c r="H2564" i="1"/>
  <c r="AE2564" i="1"/>
  <c r="I2564" i="1"/>
  <c r="J2564" i="1"/>
  <c r="K2564" i="1"/>
  <c r="AC2564" i="1"/>
  <c r="AJ2563" i="1"/>
  <c r="AK2563" i="1"/>
  <c r="AM2563" i="1"/>
  <c r="BG2563" i="1"/>
  <c r="T2564" i="1"/>
  <c r="U2564" i="1"/>
  <c r="V2564" i="1"/>
  <c r="W2564" i="1"/>
  <c r="X2564" i="1"/>
  <c r="Y2564" i="1"/>
  <c r="Z2564" i="1"/>
  <c r="AB2564" i="1"/>
  <c r="AF2564" i="1"/>
  <c r="AI2564" i="1"/>
  <c r="H2565" i="1"/>
  <c r="AE2565" i="1"/>
  <c r="I2565" i="1"/>
  <c r="J2565" i="1"/>
  <c r="K2565" i="1"/>
  <c r="AC2565" i="1"/>
  <c r="AJ2564" i="1"/>
  <c r="AK2564" i="1"/>
  <c r="AM2564" i="1"/>
  <c r="BF2564" i="1"/>
  <c r="BG2564" i="1"/>
  <c r="T2565" i="1"/>
  <c r="U2565" i="1"/>
  <c r="V2565" i="1"/>
  <c r="W2565" i="1"/>
  <c r="X2565" i="1"/>
  <c r="Y2565" i="1"/>
  <c r="Z2565" i="1"/>
  <c r="AB2565" i="1"/>
  <c r="AF2565" i="1"/>
  <c r="AI2565" i="1"/>
  <c r="H2566" i="1"/>
  <c r="AE2566" i="1"/>
  <c r="I2566" i="1"/>
  <c r="J2566" i="1"/>
  <c r="K2566" i="1"/>
  <c r="AC2566" i="1"/>
  <c r="AJ2565" i="1"/>
  <c r="AK2565" i="1"/>
  <c r="AM2565" i="1"/>
  <c r="BF2565" i="1"/>
  <c r="BG2565" i="1"/>
  <c r="T2566" i="1"/>
  <c r="U2566" i="1"/>
  <c r="V2566" i="1"/>
  <c r="W2566" i="1"/>
  <c r="X2566" i="1"/>
  <c r="Y2566" i="1"/>
  <c r="Z2566" i="1"/>
  <c r="AB2566" i="1"/>
  <c r="AF2566" i="1"/>
  <c r="AI2566" i="1"/>
  <c r="AE2567" i="1"/>
  <c r="AC2567" i="1"/>
  <c r="AJ2566" i="1"/>
  <c r="AK2566" i="1"/>
  <c r="AM2566" i="1"/>
  <c r="BF2566" i="1"/>
  <c r="BG2566" i="1"/>
  <c r="T2567" i="1"/>
  <c r="U2567" i="1"/>
  <c r="V2567" i="1"/>
  <c r="W2567" i="1"/>
  <c r="X2567" i="1"/>
  <c r="Y2567" i="1"/>
  <c r="Z2567" i="1"/>
  <c r="AB2567" i="1"/>
  <c r="AF2567" i="1"/>
  <c r="AI2567" i="1"/>
  <c r="AE2568" i="1"/>
  <c r="AC2568" i="1"/>
  <c r="AJ2567" i="1"/>
  <c r="AK2567" i="1"/>
  <c r="AM2567" i="1"/>
  <c r="BF2567" i="1"/>
  <c r="BG2567" i="1"/>
  <c r="T2568" i="1"/>
  <c r="U2568" i="1"/>
  <c r="V2568" i="1"/>
  <c r="W2568" i="1"/>
  <c r="X2568" i="1"/>
  <c r="Y2568" i="1"/>
  <c r="Z2568" i="1"/>
  <c r="AB2568" i="1"/>
  <c r="AF2568" i="1"/>
  <c r="AI2568" i="1"/>
  <c r="H2569" i="1"/>
  <c r="AE2569" i="1"/>
  <c r="I2569" i="1"/>
  <c r="J2569" i="1"/>
  <c r="K2569" i="1"/>
  <c r="AC2569" i="1"/>
  <c r="AJ2568" i="1"/>
  <c r="AK2568" i="1"/>
  <c r="AM2568" i="1"/>
  <c r="BG2568" i="1"/>
  <c r="T2569" i="1"/>
  <c r="U2569" i="1"/>
  <c r="V2569" i="1"/>
  <c r="W2569" i="1"/>
  <c r="X2569" i="1"/>
  <c r="Y2569" i="1"/>
  <c r="Z2569" i="1"/>
  <c r="AB2569" i="1"/>
  <c r="AF2569" i="1"/>
  <c r="AI2569" i="1"/>
  <c r="H2570" i="1"/>
  <c r="AE2570" i="1"/>
  <c r="I2570" i="1"/>
  <c r="J2570" i="1"/>
  <c r="K2570" i="1"/>
  <c r="AC2570" i="1"/>
  <c r="AJ2569" i="1"/>
  <c r="AK2569" i="1"/>
  <c r="AM2569" i="1"/>
  <c r="BF2569" i="1"/>
  <c r="BG2569" i="1"/>
  <c r="T2570" i="1"/>
  <c r="U2570" i="1"/>
  <c r="V2570" i="1"/>
  <c r="W2570" i="1"/>
  <c r="X2570" i="1"/>
  <c r="Y2570" i="1"/>
  <c r="Z2570" i="1"/>
  <c r="AB2570" i="1"/>
  <c r="AF2570" i="1"/>
  <c r="AI2570" i="1"/>
  <c r="H2571" i="1"/>
  <c r="AE2571" i="1"/>
  <c r="I2571" i="1"/>
  <c r="J2571" i="1"/>
  <c r="K2571" i="1"/>
  <c r="AC2571" i="1"/>
  <c r="AJ2570" i="1"/>
  <c r="AK2570" i="1"/>
  <c r="AM2570" i="1"/>
  <c r="BF2570" i="1"/>
  <c r="BG2570" i="1"/>
  <c r="T2571" i="1"/>
  <c r="U2571" i="1"/>
  <c r="V2571" i="1"/>
  <c r="W2571" i="1"/>
  <c r="X2571" i="1"/>
  <c r="Y2571" i="1"/>
  <c r="Z2571" i="1"/>
  <c r="AB2571" i="1"/>
  <c r="AF2571" i="1"/>
  <c r="AI2571" i="1"/>
  <c r="H2572" i="1"/>
  <c r="AE2572" i="1"/>
  <c r="I2572" i="1"/>
  <c r="J2572" i="1"/>
  <c r="K2572" i="1"/>
  <c r="AC2572" i="1"/>
  <c r="AJ2571" i="1"/>
  <c r="AK2571" i="1"/>
  <c r="AM2571" i="1"/>
  <c r="BF2571" i="1"/>
  <c r="BG2571" i="1"/>
  <c r="T2572" i="1"/>
  <c r="U2572" i="1"/>
  <c r="V2572" i="1"/>
  <c r="W2572" i="1"/>
  <c r="X2572" i="1"/>
  <c r="Y2572" i="1"/>
  <c r="Z2572" i="1"/>
  <c r="AB2572" i="1"/>
  <c r="AF2572" i="1"/>
  <c r="AI2572" i="1"/>
  <c r="H2573" i="1"/>
  <c r="AE2573" i="1"/>
  <c r="I2573" i="1"/>
  <c r="J2573" i="1"/>
  <c r="K2573" i="1"/>
  <c r="AC2573" i="1"/>
  <c r="AJ2572" i="1"/>
  <c r="AK2572" i="1"/>
  <c r="AM2572" i="1"/>
  <c r="BF2572" i="1"/>
  <c r="BG2572" i="1"/>
  <c r="T2573" i="1"/>
  <c r="U2573" i="1"/>
  <c r="V2573" i="1"/>
  <c r="W2573" i="1"/>
  <c r="X2573" i="1"/>
  <c r="Y2573" i="1"/>
  <c r="Z2573" i="1"/>
  <c r="AB2573" i="1"/>
  <c r="AF2573" i="1"/>
  <c r="AI2573" i="1"/>
  <c r="AE2574" i="1"/>
  <c r="AC2574" i="1"/>
  <c r="AJ2573" i="1"/>
  <c r="AK2573" i="1"/>
  <c r="AM2573" i="1"/>
  <c r="BF2573" i="1"/>
  <c r="BG2573" i="1"/>
  <c r="T2574" i="1"/>
  <c r="U2574" i="1"/>
  <c r="V2574" i="1"/>
  <c r="W2574" i="1"/>
  <c r="X2574" i="1"/>
  <c r="Y2574" i="1"/>
  <c r="Z2574" i="1"/>
  <c r="AB2574" i="1"/>
  <c r="AF2574" i="1"/>
  <c r="AI2574" i="1"/>
  <c r="AE2575" i="1"/>
  <c r="AC2575" i="1"/>
  <c r="AJ2574" i="1"/>
  <c r="AK2574" i="1"/>
  <c r="AM2574" i="1"/>
  <c r="BF2574" i="1"/>
  <c r="BG2574" i="1"/>
  <c r="T2575" i="1"/>
  <c r="U2575" i="1"/>
  <c r="V2575" i="1"/>
  <c r="W2575" i="1"/>
  <c r="X2575" i="1"/>
  <c r="Y2575" i="1"/>
  <c r="Z2575" i="1"/>
  <c r="AB2575" i="1"/>
  <c r="AF2575" i="1"/>
  <c r="AI2575" i="1"/>
  <c r="H2576" i="1"/>
  <c r="AE2576" i="1"/>
  <c r="I2576" i="1"/>
  <c r="J2576" i="1"/>
  <c r="K2576" i="1"/>
  <c r="AC2576" i="1"/>
  <c r="AJ2575" i="1"/>
  <c r="AK2575" i="1"/>
  <c r="AM2575" i="1"/>
  <c r="BG2575" i="1"/>
  <c r="T2576" i="1"/>
  <c r="U2576" i="1"/>
  <c r="V2576" i="1"/>
  <c r="W2576" i="1"/>
  <c r="X2576" i="1"/>
  <c r="Y2576" i="1"/>
  <c r="Z2576" i="1"/>
  <c r="AB2576" i="1"/>
  <c r="AF2576" i="1"/>
  <c r="AI2576" i="1"/>
  <c r="H2577" i="1"/>
  <c r="AE2577" i="1"/>
  <c r="I2577" i="1"/>
  <c r="J2577" i="1"/>
  <c r="K2577" i="1"/>
  <c r="AC2577" i="1"/>
  <c r="AJ2576" i="1"/>
  <c r="AK2576" i="1"/>
  <c r="AM2576" i="1"/>
  <c r="BF2576" i="1"/>
  <c r="BG2576" i="1"/>
  <c r="T2577" i="1"/>
  <c r="U2577" i="1"/>
  <c r="V2577" i="1"/>
  <c r="W2577" i="1"/>
  <c r="X2577" i="1"/>
  <c r="Y2577" i="1"/>
  <c r="Z2577" i="1"/>
  <c r="AB2577" i="1"/>
  <c r="AF2577" i="1"/>
  <c r="AI2577" i="1"/>
  <c r="H2578" i="1"/>
  <c r="AE2578" i="1"/>
  <c r="I2578" i="1"/>
  <c r="J2578" i="1"/>
  <c r="K2578" i="1"/>
  <c r="AC2578" i="1"/>
  <c r="AJ2577" i="1"/>
  <c r="AK2577" i="1"/>
  <c r="AM2577" i="1"/>
  <c r="BF2577" i="1"/>
  <c r="BG2577" i="1"/>
  <c r="T2578" i="1"/>
  <c r="U2578" i="1"/>
  <c r="V2578" i="1"/>
  <c r="W2578" i="1"/>
  <c r="X2578" i="1"/>
  <c r="Y2578" i="1"/>
  <c r="Z2578" i="1"/>
  <c r="AB2578" i="1"/>
  <c r="AF2578" i="1"/>
  <c r="AI2578" i="1"/>
  <c r="H2579" i="1"/>
  <c r="AE2579" i="1"/>
  <c r="I2579" i="1"/>
  <c r="J2579" i="1"/>
  <c r="K2579" i="1"/>
  <c r="AC2579" i="1"/>
  <c r="AJ2578" i="1"/>
  <c r="AK2578" i="1"/>
  <c r="AM2578" i="1"/>
  <c r="BF2578" i="1"/>
  <c r="BG2578" i="1"/>
  <c r="T2579" i="1"/>
  <c r="U2579" i="1"/>
  <c r="V2579" i="1"/>
  <c r="W2579" i="1"/>
  <c r="X2579" i="1"/>
  <c r="Y2579" i="1"/>
  <c r="Z2579" i="1"/>
  <c r="AB2579" i="1"/>
  <c r="AF2579" i="1"/>
  <c r="AI2579" i="1"/>
  <c r="AE2580" i="1"/>
  <c r="AC2580" i="1"/>
  <c r="AJ2579" i="1"/>
  <c r="AK2579" i="1"/>
  <c r="AM2579" i="1"/>
  <c r="BF2579" i="1"/>
  <c r="BG2579" i="1"/>
  <c r="T2580" i="1"/>
  <c r="U2580" i="1"/>
  <c r="V2580" i="1"/>
  <c r="W2580" i="1"/>
  <c r="X2580" i="1"/>
  <c r="Y2580" i="1"/>
  <c r="Z2580" i="1"/>
  <c r="AB2580" i="1"/>
  <c r="AF2580" i="1"/>
  <c r="AI2580" i="1"/>
  <c r="AE2581" i="1"/>
  <c r="AC2581" i="1"/>
  <c r="AJ2580" i="1"/>
  <c r="AK2580" i="1"/>
  <c r="AM2580" i="1"/>
  <c r="BF2580" i="1"/>
  <c r="BG2580" i="1"/>
  <c r="T2581" i="1"/>
  <c r="U2581" i="1"/>
  <c r="V2581" i="1"/>
  <c r="W2581" i="1"/>
  <c r="X2581" i="1"/>
  <c r="Y2581" i="1"/>
  <c r="Z2581" i="1"/>
  <c r="AB2581" i="1"/>
  <c r="AF2581" i="1"/>
  <c r="AI2581" i="1"/>
  <c r="H2582" i="1"/>
  <c r="AE2582" i="1"/>
  <c r="I2582" i="1"/>
  <c r="J2582" i="1"/>
  <c r="K2582" i="1"/>
  <c r="AC2582" i="1"/>
  <c r="AJ2581" i="1"/>
  <c r="AK2581" i="1"/>
  <c r="AM2581" i="1"/>
  <c r="BG2581" i="1"/>
  <c r="T2582" i="1"/>
  <c r="U2582" i="1"/>
  <c r="V2582" i="1"/>
  <c r="W2582" i="1"/>
  <c r="X2582" i="1"/>
  <c r="Y2582" i="1"/>
  <c r="Z2582" i="1"/>
  <c r="AB2582" i="1"/>
  <c r="AF2582" i="1"/>
  <c r="AI2582" i="1"/>
  <c r="H2583" i="1"/>
  <c r="AE2583" i="1"/>
  <c r="I2583" i="1"/>
  <c r="J2583" i="1"/>
  <c r="K2583" i="1"/>
  <c r="AC2583" i="1"/>
  <c r="AJ2582" i="1"/>
  <c r="AK2582" i="1"/>
  <c r="AM2582" i="1"/>
  <c r="BF2582" i="1"/>
  <c r="BG2582" i="1"/>
  <c r="T2583" i="1"/>
  <c r="U2583" i="1"/>
  <c r="V2583" i="1"/>
  <c r="W2583" i="1"/>
  <c r="X2583" i="1"/>
  <c r="Y2583" i="1"/>
  <c r="Z2583" i="1"/>
  <c r="AB2583" i="1"/>
  <c r="AF2583" i="1"/>
  <c r="AI2583" i="1"/>
  <c r="H2584" i="1"/>
  <c r="AE2584" i="1"/>
  <c r="I2584" i="1"/>
  <c r="J2584" i="1"/>
  <c r="K2584" i="1"/>
  <c r="AC2584" i="1"/>
  <c r="AJ2583" i="1"/>
  <c r="AK2583" i="1"/>
  <c r="AM2583" i="1"/>
  <c r="BF2583" i="1"/>
  <c r="BG2583" i="1"/>
  <c r="T2584" i="1"/>
  <c r="U2584" i="1"/>
  <c r="V2584" i="1"/>
  <c r="W2584" i="1"/>
  <c r="X2584" i="1"/>
  <c r="Y2584" i="1"/>
  <c r="Z2584" i="1"/>
  <c r="AB2584" i="1"/>
  <c r="AF2584" i="1"/>
  <c r="AI2584" i="1"/>
  <c r="H2585" i="1"/>
  <c r="AE2585" i="1"/>
  <c r="I2585" i="1"/>
  <c r="J2585" i="1"/>
  <c r="K2585" i="1"/>
  <c r="AC2585" i="1"/>
  <c r="AJ2584" i="1"/>
  <c r="AK2584" i="1"/>
  <c r="AM2584" i="1"/>
  <c r="BF2584" i="1"/>
  <c r="BG2584" i="1"/>
  <c r="T2585" i="1"/>
  <c r="U2585" i="1"/>
  <c r="V2585" i="1"/>
  <c r="W2585" i="1"/>
  <c r="X2585" i="1"/>
  <c r="Y2585" i="1"/>
  <c r="Z2585" i="1"/>
  <c r="AB2585" i="1"/>
  <c r="AF2585" i="1"/>
  <c r="AI2585" i="1"/>
  <c r="H2586" i="1"/>
  <c r="AE2586" i="1"/>
  <c r="I2586" i="1"/>
  <c r="J2586" i="1"/>
  <c r="K2586" i="1"/>
  <c r="AC2586" i="1"/>
  <c r="AJ2585" i="1"/>
  <c r="AK2585" i="1"/>
  <c r="AM2585" i="1"/>
  <c r="BF2585" i="1"/>
  <c r="BG2585" i="1"/>
  <c r="T2586" i="1"/>
  <c r="U2586" i="1"/>
  <c r="V2586" i="1"/>
  <c r="W2586" i="1"/>
  <c r="X2586" i="1"/>
  <c r="Y2586" i="1"/>
  <c r="Z2586" i="1"/>
  <c r="AB2586" i="1"/>
  <c r="AF2586" i="1"/>
  <c r="AI2586" i="1"/>
  <c r="H2587" i="1"/>
  <c r="AE2587" i="1"/>
  <c r="I2587" i="1"/>
  <c r="J2587" i="1"/>
  <c r="K2587" i="1"/>
  <c r="AC2587" i="1"/>
  <c r="AJ2586" i="1"/>
  <c r="AK2586" i="1"/>
  <c r="AM2586" i="1"/>
  <c r="BF2586" i="1"/>
  <c r="BG2586" i="1"/>
  <c r="T2587" i="1"/>
  <c r="U2587" i="1"/>
  <c r="V2587" i="1"/>
  <c r="W2587" i="1"/>
  <c r="X2587" i="1"/>
  <c r="Y2587" i="1"/>
  <c r="Z2587" i="1"/>
  <c r="AB2587" i="1"/>
  <c r="AF2587" i="1"/>
  <c r="AI2587" i="1"/>
  <c r="H2588" i="1"/>
  <c r="AE2588" i="1"/>
  <c r="I2588" i="1"/>
  <c r="J2588" i="1"/>
  <c r="K2588" i="1"/>
  <c r="AC2588" i="1"/>
  <c r="AJ2587" i="1"/>
  <c r="AK2587" i="1"/>
  <c r="AM2587" i="1"/>
  <c r="BF2587" i="1"/>
  <c r="BG2587" i="1"/>
  <c r="T2588" i="1"/>
  <c r="U2588" i="1"/>
  <c r="V2588" i="1"/>
  <c r="W2588" i="1"/>
  <c r="X2588" i="1"/>
  <c r="Y2588" i="1"/>
  <c r="Z2588" i="1"/>
  <c r="AB2588" i="1"/>
  <c r="AF2588" i="1"/>
  <c r="AI2588" i="1"/>
  <c r="H2589" i="1"/>
  <c r="AE2589" i="1"/>
  <c r="I2589" i="1"/>
  <c r="J2589" i="1"/>
  <c r="K2589" i="1"/>
  <c r="AC2589" i="1"/>
  <c r="AJ2588" i="1"/>
  <c r="AK2588" i="1"/>
  <c r="AM2588" i="1"/>
  <c r="BF2588" i="1"/>
  <c r="BG2588" i="1"/>
  <c r="T2589" i="1"/>
  <c r="U2589" i="1"/>
  <c r="V2589" i="1"/>
  <c r="W2589" i="1"/>
  <c r="X2589" i="1"/>
  <c r="Y2589" i="1"/>
  <c r="Z2589" i="1"/>
  <c r="AB2589" i="1"/>
  <c r="AF2589" i="1"/>
  <c r="AI2589" i="1"/>
  <c r="H2590" i="1"/>
  <c r="AE2590" i="1"/>
  <c r="I2590" i="1"/>
  <c r="J2590" i="1"/>
  <c r="K2590" i="1"/>
  <c r="AC2590" i="1"/>
  <c r="AJ2589" i="1"/>
  <c r="AK2589" i="1"/>
  <c r="AM2589" i="1"/>
  <c r="BF2589" i="1"/>
  <c r="BG2589" i="1"/>
  <c r="T2590" i="1"/>
  <c r="U2590" i="1"/>
  <c r="V2590" i="1"/>
  <c r="W2590" i="1"/>
  <c r="X2590" i="1"/>
  <c r="Y2590" i="1"/>
  <c r="Z2590" i="1"/>
  <c r="AB2590" i="1"/>
  <c r="AF2590" i="1"/>
  <c r="AI2590" i="1"/>
  <c r="AE2591" i="1"/>
  <c r="AC2591" i="1"/>
  <c r="AJ2590" i="1"/>
  <c r="AK2590" i="1"/>
  <c r="AM2590" i="1"/>
  <c r="BF2590" i="1"/>
  <c r="BG2590" i="1"/>
  <c r="T2591" i="1"/>
  <c r="U2591" i="1"/>
  <c r="V2591" i="1"/>
  <c r="W2591" i="1"/>
  <c r="X2591" i="1"/>
  <c r="Y2591" i="1"/>
  <c r="Z2591" i="1"/>
  <c r="AB2591" i="1"/>
  <c r="AF2591" i="1"/>
  <c r="AI2591" i="1"/>
  <c r="AE2592" i="1"/>
  <c r="AC2592" i="1"/>
  <c r="AJ2591" i="1"/>
  <c r="AK2591" i="1"/>
  <c r="AM2591" i="1"/>
  <c r="BF2591" i="1"/>
  <c r="BG2591" i="1"/>
  <c r="T2592" i="1"/>
  <c r="U2592" i="1"/>
  <c r="V2592" i="1"/>
  <c r="W2592" i="1"/>
  <c r="X2592" i="1"/>
  <c r="Y2592" i="1"/>
  <c r="Z2592" i="1"/>
  <c r="AB2592" i="1"/>
  <c r="AF2592" i="1"/>
  <c r="AI2592" i="1"/>
  <c r="H2593" i="1"/>
  <c r="AE2593" i="1"/>
  <c r="I2593" i="1"/>
  <c r="J2593" i="1"/>
  <c r="K2593" i="1"/>
  <c r="AC2593" i="1"/>
  <c r="AJ2592" i="1"/>
  <c r="AK2592" i="1"/>
  <c r="AM2592" i="1"/>
  <c r="BG2592" i="1"/>
  <c r="T2593" i="1"/>
  <c r="U2593" i="1"/>
  <c r="V2593" i="1"/>
  <c r="W2593" i="1"/>
  <c r="X2593" i="1"/>
  <c r="Y2593" i="1"/>
  <c r="Z2593" i="1"/>
  <c r="AB2593" i="1"/>
  <c r="AF2593" i="1"/>
  <c r="AI2593" i="1"/>
  <c r="H2594" i="1"/>
  <c r="AE2594" i="1"/>
  <c r="I2594" i="1"/>
  <c r="J2594" i="1"/>
  <c r="K2594" i="1"/>
  <c r="AC2594" i="1"/>
  <c r="AJ2593" i="1"/>
  <c r="AK2593" i="1"/>
  <c r="AM2593" i="1"/>
  <c r="BF2593" i="1"/>
  <c r="BG2593" i="1"/>
  <c r="T2594" i="1"/>
  <c r="U2594" i="1"/>
  <c r="V2594" i="1"/>
  <c r="W2594" i="1"/>
  <c r="X2594" i="1"/>
  <c r="Y2594" i="1"/>
  <c r="Z2594" i="1"/>
  <c r="AB2594" i="1"/>
  <c r="AF2594" i="1"/>
  <c r="AI2594" i="1"/>
  <c r="H2595" i="1"/>
  <c r="AE2595" i="1"/>
  <c r="I2595" i="1"/>
  <c r="J2595" i="1"/>
  <c r="K2595" i="1"/>
  <c r="AC2595" i="1"/>
  <c r="AJ2594" i="1"/>
  <c r="AK2594" i="1"/>
  <c r="AM2594" i="1"/>
  <c r="BF2594" i="1"/>
  <c r="BG2594" i="1"/>
  <c r="T2595" i="1"/>
  <c r="U2595" i="1"/>
  <c r="V2595" i="1"/>
  <c r="W2595" i="1"/>
  <c r="X2595" i="1"/>
  <c r="Y2595" i="1"/>
  <c r="Z2595" i="1"/>
  <c r="AB2595" i="1"/>
  <c r="AF2595" i="1"/>
  <c r="AI2595" i="1"/>
  <c r="H2596" i="1"/>
  <c r="AE2596" i="1"/>
  <c r="I2596" i="1"/>
  <c r="J2596" i="1"/>
  <c r="K2596" i="1"/>
  <c r="AC2596" i="1"/>
  <c r="AJ2595" i="1"/>
  <c r="AK2595" i="1"/>
  <c r="AM2595" i="1"/>
  <c r="BF2595" i="1"/>
  <c r="BG2595" i="1"/>
  <c r="T2596" i="1"/>
  <c r="U2596" i="1"/>
  <c r="V2596" i="1"/>
  <c r="W2596" i="1"/>
  <c r="X2596" i="1"/>
  <c r="Y2596" i="1"/>
  <c r="Z2596" i="1"/>
  <c r="AB2596" i="1"/>
  <c r="AF2596" i="1"/>
  <c r="AI2596" i="1"/>
  <c r="H2597" i="1"/>
  <c r="AE2597" i="1"/>
  <c r="I2597" i="1"/>
  <c r="J2597" i="1"/>
  <c r="K2597" i="1"/>
  <c r="AC2597" i="1"/>
  <c r="AJ2596" i="1"/>
  <c r="AK2596" i="1"/>
  <c r="AM2596" i="1"/>
  <c r="BF2596" i="1"/>
  <c r="BG2596" i="1"/>
  <c r="T2597" i="1"/>
  <c r="U2597" i="1"/>
  <c r="V2597" i="1"/>
  <c r="W2597" i="1"/>
  <c r="X2597" i="1"/>
  <c r="Y2597" i="1"/>
  <c r="Z2597" i="1"/>
  <c r="AB2597" i="1"/>
  <c r="AF2597" i="1"/>
  <c r="AI2597" i="1"/>
  <c r="H2598" i="1"/>
  <c r="AE2598" i="1"/>
  <c r="I2598" i="1"/>
  <c r="J2598" i="1"/>
  <c r="K2598" i="1"/>
  <c r="AC2598" i="1"/>
  <c r="AJ2597" i="1"/>
  <c r="AK2597" i="1"/>
  <c r="AM2597" i="1"/>
  <c r="BF2597" i="1"/>
  <c r="BG2597" i="1"/>
  <c r="T2598" i="1"/>
  <c r="U2598" i="1"/>
  <c r="V2598" i="1"/>
  <c r="W2598" i="1"/>
  <c r="X2598" i="1"/>
  <c r="Y2598" i="1"/>
  <c r="Z2598" i="1"/>
  <c r="AB2598" i="1"/>
  <c r="AF2598" i="1"/>
  <c r="AI2598" i="1"/>
  <c r="H2599" i="1"/>
  <c r="AE2599" i="1"/>
  <c r="I2599" i="1"/>
  <c r="J2599" i="1"/>
  <c r="K2599" i="1"/>
  <c r="AC2599" i="1"/>
  <c r="AJ2598" i="1"/>
  <c r="AK2598" i="1"/>
  <c r="AM2598" i="1"/>
  <c r="BF2598" i="1"/>
  <c r="BG2598" i="1"/>
  <c r="T2599" i="1"/>
  <c r="U2599" i="1"/>
  <c r="V2599" i="1"/>
  <c r="W2599" i="1"/>
  <c r="X2599" i="1"/>
  <c r="Y2599" i="1"/>
  <c r="Z2599" i="1"/>
  <c r="AB2599" i="1"/>
  <c r="AF2599" i="1"/>
  <c r="AI2599" i="1"/>
  <c r="H2600" i="1"/>
  <c r="AE2600" i="1"/>
  <c r="I2600" i="1"/>
  <c r="J2600" i="1"/>
  <c r="K2600" i="1"/>
  <c r="AC2600" i="1"/>
  <c r="AJ2599" i="1"/>
  <c r="AK2599" i="1"/>
  <c r="AM2599" i="1"/>
  <c r="BF2599" i="1"/>
  <c r="BG2599" i="1"/>
  <c r="T2600" i="1"/>
  <c r="U2600" i="1"/>
  <c r="V2600" i="1"/>
  <c r="W2600" i="1"/>
  <c r="X2600" i="1"/>
  <c r="Y2600" i="1"/>
  <c r="Z2600" i="1"/>
  <c r="AB2600" i="1"/>
  <c r="AF2600" i="1"/>
  <c r="AI2600" i="1"/>
  <c r="AE2601" i="1"/>
  <c r="AC2601" i="1"/>
  <c r="AJ2600" i="1"/>
  <c r="AK2600" i="1"/>
  <c r="AM2600" i="1"/>
  <c r="BF2600" i="1"/>
  <c r="BG2600" i="1"/>
  <c r="T2601" i="1"/>
  <c r="U2601" i="1"/>
  <c r="V2601" i="1"/>
  <c r="W2601" i="1"/>
  <c r="X2601" i="1"/>
  <c r="Y2601" i="1"/>
  <c r="Z2601" i="1"/>
  <c r="AB2601" i="1"/>
  <c r="AF2601" i="1"/>
  <c r="AI2601" i="1"/>
  <c r="AE2602" i="1"/>
  <c r="AC2602" i="1"/>
  <c r="AJ2601" i="1"/>
  <c r="AK2601" i="1"/>
  <c r="AM2601" i="1"/>
  <c r="BF2601" i="1"/>
  <c r="BG2601" i="1"/>
  <c r="T2602" i="1"/>
  <c r="U2602" i="1"/>
  <c r="V2602" i="1"/>
  <c r="W2602" i="1"/>
  <c r="X2602" i="1"/>
  <c r="Y2602" i="1"/>
  <c r="Z2602" i="1"/>
  <c r="AB2602" i="1"/>
  <c r="AF2602" i="1"/>
  <c r="AI2602" i="1"/>
  <c r="H2603" i="1"/>
  <c r="AE2603" i="1"/>
  <c r="I2603" i="1"/>
  <c r="J2603" i="1"/>
  <c r="K2603" i="1"/>
  <c r="AC2603" i="1"/>
  <c r="AJ2602" i="1"/>
  <c r="AK2602" i="1"/>
  <c r="AM2602" i="1"/>
  <c r="BG2602" i="1"/>
  <c r="T2603" i="1"/>
  <c r="U2603" i="1"/>
  <c r="V2603" i="1"/>
  <c r="W2603" i="1"/>
  <c r="X2603" i="1"/>
  <c r="Y2603" i="1"/>
  <c r="Z2603" i="1"/>
  <c r="AB2603" i="1"/>
  <c r="AF2603" i="1"/>
  <c r="AI2603" i="1"/>
  <c r="H2604" i="1"/>
  <c r="AE2604" i="1"/>
  <c r="I2604" i="1"/>
  <c r="J2604" i="1"/>
  <c r="K2604" i="1"/>
  <c r="AC2604" i="1"/>
  <c r="AJ2603" i="1"/>
  <c r="AK2603" i="1"/>
  <c r="AM2603" i="1"/>
  <c r="BF2603" i="1"/>
  <c r="BG2603" i="1"/>
  <c r="T2604" i="1"/>
  <c r="U2604" i="1"/>
  <c r="V2604" i="1"/>
  <c r="W2604" i="1"/>
  <c r="X2604" i="1"/>
  <c r="Y2604" i="1"/>
  <c r="Z2604" i="1"/>
  <c r="AB2604" i="1"/>
  <c r="AF2604" i="1"/>
  <c r="AI2604" i="1"/>
  <c r="AE2605" i="1"/>
  <c r="AC2605" i="1"/>
  <c r="AJ2604" i="1"/>
  <c r="AK2604" i="1"/>
  <c r="AM2604" i="1"/>
  <c r="BF2604" i="1"/>
  <c r="BG2604" i="1"/>
  <c r="T2605" i="1"/>
  <c r="U2605" i="1"/>
  <c r="V2605" i="1"/>
  <c r="W2605" i="1"/>
  <c r="X2605" i="1"/>
  <c r="Y2605" i="1"/>
  <c r="Z2605" i="1"/>
  <c r="AB2605" i="1"/>
  <c r="AF2605" i="1"/>
  <c r="AI2605" i="1"/>
  <c r="AE2606" i="1"/>
  <c r="AC2606" i="1"/>
  <c r="AJ2605" i="1"/>
  <c r="AK2605" i="1"/>
  <c r="AM2605" i="1"/>
  <c r="BF2605" i="1"/>
  <c r="BG2605" i="1"/>
  <c r="T2606" i="1"/>
  <c r="U2606" i="1"/>
  <c r="V2606" i="1"/>
  <c r="W2606" i="1"/>
  <c r="X2606" i="1"/>
  <c r="Y2606" i="1"/>
  <c r="Z2606" i="1"/>
  <c r="AB2606" i="1"/>
  <c r="AF2606" i="1"/>
  <c r="AI2606" i="1"/>
  <c r="H2607" i="1"/>
  <c r="AE2607" i="1"/>
  <c r="I2607" i="1"/>
  <c r="J2607" i="1"/>
  <c r="K2607" i="1"/>
  <c r="AC2607" i="1"/>
  <c r="AJ2606" i="1"/>
  <c r="AK2606" i="1"/>
  <c r="AM2606" i="1"/>
  <c r="BG2606" i="1"/>
  <c r="T2607" i="1"/>
  <c r="U2607" i="1"/>
  <c r="V2607" i="1"/>
  <c r="W2607" i="1"/>
  <c r="X2607" i="1"/>
  <c r="Y2607" i="1"/>
  <c r="Z2607" i="1"/>
  <c r="AB2607" i="1"/>
  <c r="AF2607" i="1"/>
  <c r="AI2607" i="1"/>
  <c r="H2608" i="1"/>
  <c r="AE2608" i="1"/>
  <c r="I2608" i="1"/>
  <c r="J2608" i="1"/>
  <c r="K2608" i="1"/>
  <c r="AC2608" i="1"/>
  <c r="AJ2607" i="1"/>
  <c r="AK2607" i="1"/>
  <c r="AM2607" i="1"/>
  <c r="BF2607" i="1"/>
  <c r="BG2607" i="1"/>
  <c r="T2608" i="1"/>
  <c r="U2608" i="1"/>
  <c r="V2608" i="1"/>
  <c r="W2608" i="1"/>
  <c r="X2608" i="1"/>
  <c r="Y2608" i="1"/>
  <c r="Z2608" i="1"/>
  <c r="AB2608" i="1"/>
  <c r="AF2608" i="1"/>
  <c r="AI2608" i="1"/>
  <c r="AE2609" i="1"/>
  <c r="AC2609" i="1"/>
  <c r="AJ2608" i="1"/>
  <c r="AK2608" i="1"/>
  <c r="AM2608" i="1"/>
  <c r="BF2608" i="1"/>
  <c r="BG2608" i="1"/>
  <c r="T2609" i="1"/>
  <c r="U2609" i="1"/>
  <c r="V2609" i="1"/>
  <c r="W2609" i="1"/>
  <c r="X2609" i="1"/>
  <c r="Y2609" i="1"/>
  <c r="Z2609" i="1"/>
  <c r="AB2609" i="1"/>
  <c r="AF2609" i="1"/>
  <c r="AI2609" i="1"/>
  <c r="AE2610" i="1"/>
  <c r="AC2610" i="1"/>
  <c r="AJ2609" i="1"/>
  <c r="AK2609" i="1"/>
  <c r="AM2609" i="1"/>
  <c r="BF2609" i="1"/>
  <c r="BG2609" i="1"/>
  <c r="T2610" i="1"/>
  <c r="U2610" i="1"/>
  <c r="V2610" i="1"/>
  <c r="W2610" i="1"/>
  <c r="X2610" i="1"/>
  <c r="Y2610" i="1"/>
  <c r="Z2610" i="1"/>
  <c r="AB2610" i="1"/>
  <c r="AF2610" i="1"/>
  <c r="AI2610" i="1"/>
  <c r="H2611" i="1"/>
  <c r="AE2611" i="1"/>
  <c r="I2611" i="1"/>
  <c r="J2611" i="1"/>
  <c r="K2611" i="1"/>
  <c r="AC2611" i="1"/>
  <c r="AJ2610" i="1"/>
  <c r="AK2610" i="1"/>
  <c r="AM2610" i="1"/>
  <c r="BG2610" i="1"/>
  <c r="T2611" i="1"/>
  <c r="U2611" i="1"/>
  <c r="V2611" i="1"/>
  <c r="W2611" i="1"/>
  <c r="X2611" i="1"/>
  <c r="Y2611" i="1"/>
  <c r="Z2611" i="1"/>
  <c r="AB2611" i="1"/>
  <c r="AF2611" i="1"/>
  <c r="AI2611" i="1"/>
  <c r="AE2612" i="1"/>
  <c r="AC2612" i="1"/>
  <c r="AJ2611" i="1"/>
  <c r="AK2611" i="1"/>
  <c r="AM2611" i="1"/>
  <c r="BF2611" i="1"/>
  <c r="BG2611" i="1"/>
  <c r="T2612" i="1"/>
  <c r="U2612" i="1"/>
  <c r="V2612" i="1"/>
  <c r="W2612" i="1"/>
  <c r="X2612" i="1"/>
  <c r="Y2612" i="1"/>
  <c r="Z2612" i="1"/>
  <c r="AB2612" i="1"/>
  <c r="AF2612" i="1"/>
  <c r="AI2612" i="1"/>
  <c r="AE2613" i="1"/>
  <c r="AC2613" i="1"/>
  <c r="AJ2612" i="1"/>
  <c r="AK2612" i="1"/>
  <c r="AM2612" i="1"/>
  <c r="BF2612" i="1"/>
  <c r="BG2612" i="1"/>
  <c r="T2613" i="1"/>
  <c r="U2613" i="1"/>
  <c r="V2613" i="1"/>
  <c r="W2613" i="1"/>
  <c r="X2613" i="1"/>
  <c r="Y2613" i="1"/>
  <c r="Z2613" i="1"/>
  <c r="AB2613" i="1"/>
  <c r="AF2613" i="1"/>
  <c r="AI2613" i="1"/>
  <c r="H2614" i="1"/>
  <c r="AE2614" i="1"/>
  <c r="I2614" i="1"/>
  <c r="J2614" i="1"/>
  <c r="K2614" i="1"/>
  <c r="AC2614" i="1"/>
  <c r="AJ2613" i="1"/>
  <c r="AK2613" i="1"/>
  <c r="AM2613" i="1"/>
  <c r="BG2613" i="1"/>
  <c r="T2614" i="1"/>
  <c r="U2614" i="1"/>
  <c r="V2614" i="1"/>
  <c r="W2614" i="1"/>
  <c r="X2614" i="1"/>
  <c r="Y2614" i="1"/>
  <c r="Z2614" i="1"/>
  <c r="AB2614" i="1"/>
  <c r="AF2614" i="1"/>
  <c r="AI2614" i="1"/>
  <c r="H2615" i="1"/>
  <c r="AE2615" i="1"/>
  <c r="I2615" i="1"/>
  <c r="J2615" i="1"/>
  <c r="K2615" i="1"/>
  <c r="AC2615" i="1"/>
  <c r="AJ2614" i="1"/>
  <c r="AK2614" i="1"/>
  <c r="AM2614" i="1"/>
  <c r="BF2614" i="1"/>
  <c r="BG2614" i="1"/>
  <c r="T2615" i="1"/>
  <c r="U2615" i="1"/>
  <c r="V2615" i="1"/>
  <c r="W2615" i="1"/>
  <c r="X2615" i="1"/>
  <c r="Y2615" i="1"/>
  <c r="Z2615" i="1"/>
  <c r="AB2615" i="1"/>
  <c r="AF2615" i="1"/>
  <c r="AI2615" i="1"/>
  <c r="AE2616" i="1"/>
  <c r="AC2616" i="1"/>
  <c r="AJ2615" i="1"/>
  <c r="AK2615" i="1"/>
  <c r="AM2615" i="1"/>
  <c r="BF2615" i="1"/>
  <c r="BG2615" i="1"/>
  <c r="T2616" i="1"/>
  <c r="U2616" i="1"/>
  <c r="V2616" i="1"/>
  <c r="W2616" i="1"/>
  <c r="X2616" i="1"/>
  <c r="Y2616" i="1"/>
  <c r="Z2616" i="1"/>
  <c r="AB2616" i="1"/>
  <c r="AF2616" i="1"/>
  <c r="AI2616" i="1"/>
  <c r="AE2617" i="1"/>
  <c r="AC2617" i="1"/>
  <c r="AJ2616" i="1"/>
  <c r="AK2616" i="1"/>
  <c r="AM2616" i="1"/>
  <c r="BF2616" i="1"/>
  <c r="BG2616" i="1"/>
  <c r="T2617" i="1"/>
  <c r="U2617" i="1"/>
  <c r="V2617" i="1"/>
  <c r="W2617" i="1"/>
  <c r="X2617" i="1"/>
  <c r="Y2617" i="1"/>
  <c r="Z2617" i="1"/>
  <c r="AB2617" i="1"/>
  <c r="AF2617" i="1"/>
  <c r="AI2617" i="1"/>
  <c r="H2618" i="1"/>
  <c r="AE2618" i="1"/>
  <c r="I2618" i="1"/>
  <c r="J2618" i="1"/>
  <c r="K2618" i="1"/>
  <c r="AC2618" i="1"/>
  <c r="AJ2617" i="1"/>
  <c r="AK2617" i="1"/>
  <c r="AM2617" i="1"/>
  <c r="BG2617" i="1"/>
  <c r="T2618" i="1"/>
  <c r="U2618" i="1"/>
  <c r="V2618" i="1"/>
  <c r="W2618" i="1"/>
  <c r="X2618" i="1"/>
  <c r="Y2618" i="1"/>
  <c r="Z2618" i="1"/>
  <c r="AB2618" i="1"/>
  <c r="AF2618" i="1"/>
  <c r="AI2618" i="1"/>
  <c r="AE2619" i="1"/>
  <c r="AC2619" i="1"/>
  <c r="AJ2618" i="1"/>
  <c r="AK2618" i="1"/>
  <c r="AM2618" i="1"/>
  <c r="BF2618" i="1"/>
  <c r="BG2618" i="1"/>
  <c r="T2619" i="1"/>
  <c r="U2619" i="1"/>
  <c r="V2619" i="1"/>
  <c r="W2619" i="1"/>
  <c r="X2619" i="1"/>
  <c r="Y2619" i="1"/>
  <c r="Z2619" i="1"/>
  <c r="AB2619" i="1"/>
  <c r="AF2619" i="1"/>
  <c r="AI2619" i="1"/>
  <c r="AE2620" i="1"/>
  <c r="AC2620" i="1"/>
  <c r="AJ2619" i="1"/>
  <c r="AK2619" i="1"/>
  <c r="AM2619" i="1"/>
  <c r="BF2619" i="1"/>
  <c r="BG2619" i="1"/>
  <c r="T2620" i="1"/>
  <c r="U2620" i="1"/>
  <c r="V2620" i="1"/>
  <c r="W2620" i="1"/>
  <c r="X2620" i="1"/>
  <c r="Y2620" i="1"/>
  <c r="Z2620" i="1"/>
  <c r="AB2620" i="1"/>
  <c r="AF2620" i="1"/>
  <c r="AI2620" i="1"/>
  <c r="H2621" i="1"/>
  <c r="AE2621" i="1"/>
  <c r="I2621" i="1"/>
  <c r="J2621" i="1"/>
  <c r="K2621" i="1"/>
  <c r="AC2621" i="1"/>
  <c r="AJ2620" i="1"/>
  <c r="AK2620" i="1"/>
  <c r="AM2620" i="1"/>
  <c r="BG2620" i="1"/>
  <c r="T2621" i="1"/>
  <c r="U2621" i="1"/>
  <c r="V2621" i="1"/>
  <c r="W2621" i="1"/>
  <c r="X2621" i="1"/>
  <c r="Y2621" i="1"/>
  <c r="Z2621" i="1"/>
  <c r="AB2621" i="1"/>
  <c r="AF2621" i="1"/>
  <c r="AI2621" i="1"/>
  <c r="H2622" i="1"/>
  <c r="AE2622" i="1"/>
  <c r="I2622" i="1"/>
  <c r="J2622" i="1"/>
  <c r="K2622" i="1"/>
  <c r="AC2622" i="1"/>
  <c r="AJ2621" i="1"/>
  <c r="AK2621" i="1"/>
  <c r="AM2621" i="1"/>
  <c r="BF2621" i="1"/>
  <c r="BG2621" i="1"/>
  <c r="T2622" i="1"/>
  <c r="U2622" i="1"/>
  <c r="V2622" i="1"/>
  <c r="W2622" i="1"/>
  <c r="X2622" i="1"/>
  <c r="Y2622" i="1"/>
  <c r="Z2622" i="1"/>
  <c r="AB2622" i="1"/>
  <c r="AF2622" i="1"/>
  <c r="AI2622" i="1"/>
  <c r="AE2623" i="1"/>
  <c r="AC2623" i="1"/>
  <c r="AJ2622" i="1"/>
  <c r="AK2622" i="1"/>
  <c r="AM2622" i="1"/>
  <c r="BF2622" i="1"/>
  <c r="BG2622" i="1"/>
  <c r="T2623" i="1"/>
  <c r="U2623" i="1"/>
  <c r="V2623" i="1"/>
  <c r="W2623" i="1"/>
  <c r="X2623" i="1"/>
  <c r="Y2623" i="1"/>
  <c r="Z2623" i="1"/>
  <c r="AB2623" i="1"/>
  <c r="AF2623" i="1"/>
  <c r="AI2623" i="1"/>
  <c r="AE2624" i="1"/>
  <c r="AC2624" i="1"/>
  <c r="AJ2623" i="1"/>
  <c r="AK2623" i="1"/>
  <c r="AM2623" i="1"/>
  <c r="BF2623" i="1"/>
  <c r="BG2623" i="1"/>
  <c r="T2624" i="1"/>
  <c r="U2624" i="1"/>
  <c r="V2624" i="1"/>
  <c r="W2624" i="1"/>
  <c r="X2624" i="1"/>
  <c r="Y2624" i="1"/>
  <c r="Z2624" i="1"/>
  <c r="AB2624" i="1"/>
  <c r="AF2624" i="1"/>
  <c r="AI2624" i="1"/>
  <c r="AE2625" i="1"/>
  <c r="AC2625" i="1"/>
  <c r="AJ2624" i="1"/>
  <c r="AK2624" i="1"/>
  <c r="AM2624" i="1"/>
  <c r="BF2624" i="1"/>
  <c r="BG2624" i="1"/>
  <c r="T2625" i="1"/>
  <c r="U2625" i="1"/>
  <c r="V2625" i="1"/>
  <c r="W2625" i="1"/>
  <c r="X2625" i="1"/>
  <c r="Y2625" i="1"/>
  <c r="Z2625" i="1"/>
  <c r="AB2625" i="1"/>
  <c r="AF2625" i="1"/>
  <c r="AI2625" i="1"/>
  <c r="H2626" i="1"/>
  <c r="AE2626" i="1"/>
  <c r="I2626" i="1"/>
  <c r="J2626" i="1"/>
  <c r="K2626" i="1"/>
  <c r="AC2626" i="1"/>
  <c r="AJ2625" i="1"/>
  <c r="AK2625" i="1"/>
  <c r="AM2625" i="1"/>
  <c r="BG2625" i="1"/>
  <c r="T2626" i="1"/>
  <c r="U2626" i="1"/>
  <c r="V2626" i="1"/>
  <c r="W2626" i="1"/>
  <c r="X2626" i="1"/>
  <c r="Y2626" i="1"/>
  <c r="Z2626" i="1"/>
  <c r="AB2626" i="1"/>
  <c r="AF2626" i="1"/>
  <c r="AI2626" i="1"/>
  <c r="AE2627" i="1"/>
  <c r="AC2627" i="1"/>
  <c r="AJ2626" i="1"/>
  <c r="AK2626" i="1"/>
  <c r="AM2626" i="1"/>
  <c r="BF2626" i="1"/>
  <c r="BG2626" i="1"/>
  <c r="T2627" i="1"/>
  <c r="U2627" i="1"/>
  <c r="V2627" i="1"/>
  <c r="W2627" i="1"/>
  <c r="X2627" i="1"/>
  <c r="Y2627" i="1"/>
  <c r="Z2627" i="1"/>
  <c r="AB2627" i="1"/>
  <c r="AF2627" i="1"/>
  <c r="AI2627" i="1"/>
  <c r="AE2628" i="1"/>
  <c r="AC2628" i="1"/>
  <c r="AJ2627" i="1"/>
  <c r="AK2627" i="1"/>
  <c r="AM2627" i="1"/>
  <c r="BF2627" i="1"/>
  <c r="BG2627" i="1"/>
  <c r="T2628" i="1"/>
  <c r="U2628" i="1"/>
  <c r="V2628" i="1"/>
  <c r="W2628" i="1"/>
  <c r="X2628" i="1"/>
  <c r="Y2628" i="1"/>
  <c r="Z2628" i="1"/>
  <c r="AB2628" i="1"/>
  <c r="AF2628" i="1"/>
  <c r="AI2628" i="1"/>
  <c r="AE2629" i="1"/>
  <c r="AC2629" i="1"/>
  <c r="AJ2628" i="1"/>
  <c r="AK2628" i="1"/>
  <c r="AM2628" i="1"/>
  <c r="BF2628" i="1"/>
  <c r="BG2628" i="1"/>
  <c r="T2629" i="1"/>
  <c r="U2629" i="1"/>
  <c r="V2629" i="1"/>
  <c r="W2629" i="1"/>
  <c r="X2629" i="1"/>
  <c r="Y2629" i="1"/>
  <c r="Z2629" i="1"/>
  <c r="AB2629" i="1"/>
  <c r="AF2629" i="1"/>
  <c r="AI2629" i="1"/>
  <c r="H2630" i="1"/>
  <c r="AE2630" i="1"/>
  <c r="I2630" i="1"/>
  <c r="J2630" i="1"/>
  <c r="K2630" i="1"/>
  <c r="AC2630" i="1"/>
  <c r="AJ2629" i="1"/>
  <c r="AK2629" i="1"/>
  <c r="AM2629" i="1"/>
  <c r="BG2629" i="1"/>
  <c r="T2630" i="1"/>
  <c r="U2630" i="1"/>
  <c r="V2630" i="1"/>
  <c r="W2630" i="1"/>
  <c r="X2630" i="1"/>
  <c r="Y2630" i="1"/>
  <c r="Z2630" i="1"/>
  <c r="AB2630" i="1"/>
  <c r="AF2630" i="1"/>
  <c r="AI2630" i="1"/>
  <c r="H2631" i="1"/>
  <c r="AE2631" i="1"/>
  <c r="I2631" i="1"/>
  <c r="J2631" i="1"/>
  <c r="K2631" i="1"/>
  <c r="AC2631" i="1"/>
  <c r="AJ2630" i="1"/>
  <c r="AK2630" i="1"/>
  <c r="AM2630" i="1"/>
  <c r="BF2630" i="1"/>
  <c r="BG2630" i="1"/>
  <c r="T2631" i="1"/>
  <c r="U2631" i="1"/>
  <c r="V2631" i="1"/>
  <c r="W2631" i="1"/>
  <c r="X2631" i="1"/>
  <c r="Y2631" i="1"/>
  <c r="Z2631" i="1"/>
  <c r="AB2631" i="1"/>
  <c r="AF2631" i="1"/>
  <c r="AI2631" i="1"/>
  <c r="AE2632" i="1"/>
  <c r="AC2632" i="1"/>
  <c r="AJ2631" i="1"/>
  <c r="AK2631" i="1"/>
  <c r="AM2631" i="1"/>
  <c r="BF2631" i="1"/>
  <c r="BG2631" i="1"/>
  <c r="T2632" i="1"/>
  <c r="U2632" i="1"/>
  <c r="V2632" i="1"/>
  <c r="W2632" i="1"/>
  <c r="X2632" i="1"/>
  <c r="Y2632" i="1"/>
  <c r="Z2632" i="1"/>
  <c r="AB2632" i="1"/>
  <c r="AF2632" i="1"/>
  <c r="AI2632" i="1"/>
  <c r="AE2633" i="1"/>
  <c r="AC2633" i="1"/>
  <c r="AJ2632" i="1"/>
  <c r="AK2632" i="1"/>
  <c r="AM2632" i="1"/>
  <c r="BF2632" i="1"/>
  <c r="BG2632" i="1"/>
  <c r="T2633" i="1"/>
  <c r="U2633" i="1"/>
  <c r="V2633" i="1"/>
  <c r="W2633" i="1"/>
  <c r="X2633" i="1"/>
  <c r="Y2633" i="1"/>
  <c r="Z2633" i="1"/>
  <c r="AB2633" i="1"/>
  <c r="AF2633" i="1"/>
  <c r="AI2633" i="1"/>
  <c r="H2634" i="1"/>
  <c r="AE2634" i="1"/>
  <c r="I2634" i="1"/>
  <c r="J2634" i="1"/>
  <c r="K2634" i="1"/>
  <c r="AC2634" i="1"/>
  <c r="AJ2633" i="1"/>
  <c r="AK2633" i="1"/>
  <c r="AM2633" i="1"/>
  <c r="BG2633" i="1"/>
  <c r="T2634" i="1"/>
  <c r="U2634" i="1"/>
  <c r="V2634" i="1"/>
  <c r="W2634" i="1"/>
  <c r="X2634" i="1"/>
  <c r="Y2634" i="1"/>
  <c r="Z2634" i="1"/>
  <c r="AB2634" i="1"/>
  <c r="AF2634" i="1"/>
  <c r="AI2634" i="1"/>
  <c r="AE2635" i="1"/>
  <c r="AC2635" i="1"/>
  <c r="AJ2634" i="1"/>
  <c r="AK2634" i="1"/>
  <c r="AM2634" i="1"/>
  <c r="BF2634" i="1"/>
  <c r="BG2634" i="1"/>
  <c r="T2635" i="1"/>
  <c r="U2635" i="1"/>
  <c r="V2635" i="1"/>
  <c r="W2635" i="1"/>
  <c r="X2635" i="1"/>
  <c r="Y2635" i="1"/>
  <c r="Z2635" i="1"/>
  <c r="AB2635" i="1"/>
  <c r="AF2635" i="1"/>
  <c r="AI2635" i="1"/>
  <c r="AE2636" i="1"/>
  <c r="AC2636" i="1"/>
  <c r="AJ2635" i="1"/>
  <c r="AK2635" i="1"/>
  <c r="AM2635" i="1"/>
  <c r="BF2635" i="1"/>
  <c r="BG2635" i="1"/>
  <c r="T2636" i="1"/>
  <c r="U2636" i="1"/>
  <c r="V2636" i="1"/>
  <c r="W2636" i="1"/>
  <c r="X2636" i="1"/>
  <c r="Y2636" i="1"/>
  <c r="Z2636" i="1"/>
  <c r="AB2636" i="1"/>
  <c r="AF2636" i="1"/>
  <c r="AI2636" i="1"/>
  <c r="AE2637" i="1"/>
  <c r="AC2637" i="1"/>
  <c r="AJ2636" i="1"/>
  <c r="AK2636" i="1"/>
  <c r="AM2636" i="1"/>
  <c r="BF2636" i="1"/>
  <c r="BG2636" i="1"/>
  <c r="T2637" i="1"/>
  <c r="U2637" i="1"/>
  <c r="V2637" i="1"/>
  <c r="W2637" i="1"/>
  <c r="X2637" i="1"/>
  <c r="Y2637" i="1"/>
  <c r="Z2637" i="1"/>
  <c r="AB2637" i="1"/>
  <c r="AF2637" i="1"/>
  <c r="AI2637" i="1"/>
  <c r="H2638" i="1"/>
  <c r="AE2638" i="1"/>
  <c r="I2638" i="1"/>
  <c r="J2638" i="1"/>
  <c r="K2638" i="1"/>
  <c r="AC2638" i="1"/>
  <c r="AJ2637" i="1"/>
  <c r="AK2637" i="1"/>
  <c r="AM2637" i="1"/>
  <c r="BG2637" i="1"/>
  <c r="T2638" i="1"/>
  <c r="U2638" i="1"/>
  <c r="V2638" i="1"/>
  <c r="W2638" i="1"/>
  <c r="X2638" i="1"/>
  <c r="Y2638" i="1"/>
  <c r="Z2638" i="1"/>
  <c r="AB2638" i="1"/>
  <c r="AF2638" i="1"/>
  <c r="AI2638" i="1"/>
  <c r="H2639" i="1"/>
  <c r="AE2639" i="1"/>
  <c r="I2639" i="1"/>
  <c r="J2639" i="1"/>
  <c r="K2639" i="1"/>
  <c r="AC2639" i="1"/>
  <c r="AJ2638" i="1"/>
  <c r="AK2638" i="1"/>
  <c r="AM2638" i="1"/>
  <c r="BF2638" i="1"/>
  <c r="BG2638" i="1"/>
  <c r="T2639" i="1"/>
  <c r="U2639" i="1"/>
  <c r="V2639" i="1"/>
  <c r="W2639" i="1"/>
  <c r="X2639" i="1"/>
  <c r="Y2639" i="1"/>
  <c r="Z2639" i="1"/>
  <c r="AB2639" i="1"/>
  <c r="AF2639" i="1"/>
  <c r="AI2639" i="1"/>
  <c r="AE2640" i="1"/>
  <c r="AC2640" i="1"/>
  <c r="AJ2639" i="1"/>
  <c r="AK2639" i="1"/>
  <c r="AM2639" i="1"/>
  <c r="BF2639" i="1"/>
  <c r="BG2639" i="1"/>
  <c r="T2640" i="1"/>
  <c r="U2640" i="1"/>
  <c r="V2640" i="1"/>
  <c r="W2640" i="1"/>
  <c r="X2640" i="1"/>
  <c r="Y2640" i="1"/>
  <c r="Z2640" i="1"/>
  <c r="AB2640" i="1"/>
  <c r="AF2640" i="1"/>
  <c r="AI2640" i="1"/>
  <c r="AE2641" i="1"/>
  <c r="AC2641" i="1"/>
  <c r="AJ2640" i="1"/>
  <c r="AK2640" i="1"/>
  <c r="AM2640" i="1"/>
  <c r="BF2640" i="1"/>
  <c r="BG2640" i="1"/>
  <c r="T2641" i="1"/>
  <c r="U2641" i="1"/>
  <c r="V2641" i="1"/>
  <c r="W2641" i="1"/>
  <c r="X2641" i="1"/>
  <c r="Y2641" i="1"/>
  <c r="Z2641" i="1"/>
  <c r="AB2641" i="1"/>
  <c r="AF2641" i="1"/>
  <c r="AI2641" i="1"/>
  <c r="H2642" i="1"/>
  <c r="AE2642" i="1"/>
  <c r="I2642" i="1"/>
  <c r="J2642" i="1"/>
  <c r="K2642" i="1"/>
  <c r="AC2642" i="1"/>
  <c r="AJ2641" i="1"/>
  <c r="AK2641" i="1"/>
  <c r="AM2641" i="1"/>
  <c r="BG2641" i="1"/>
  <c r="T2642" i="1"/>
  <c r="U2642" i="1"/>
  <c r="V2642" i="1"/>
  <c r="W2642" i="1"/>
  <c r="X2642" i="1"/>
  <c r="Y2642" i="1"/>
  <c r="Z2642" i="1"/>
  <c r="AB2642" i="1"/>
  <c r="AF2642" i="1"/>
  <c r="AI2642" i="1"/>
  <c r="H2643" i="1"/>
  <c r="AE2643" i="1"/>
  <c r="I2643" i="1"/>
  <c r="J2643" i="1"/>
  <c r="K2643" i="1"/>
  <c r="AC2643" i="1"/>
  <c r="AJ2642" i="1"/>
  <c r="AK2642" i="1"/>
  <c r="AM2642" i="1"/>
  <c r="BF2642" i="1"/>
  <c r="BG2642" i="1"/>
  <c r="T2643" i="1"/>
  <c r="U2643" i="1"/>
  <c r="V2643" i="1"/>
  <c r="W2643" i="1"/>
  <c r="X2643" i="1"/>
  <c r="Y2643" i="1"/>
  <c r="Z2643" i="1"/>
  <c r="AB2643" i="1"/>
  <c r="AF2643" i="1"/>
  <c r="AI2643" i="1"/>
  <c r="H2644" i="1"/>
  <c r="AE2644" i="1"/>
  <c r="I2644" i="1"/>
  <c r="J2644" i="1"/>
  <c r="K2644" i="1"/>
  <c r="AC2644" i="1"/>
  <c r="AJ2643" i="1"/>
  <c r="AK2643" i="1"/>
  <c r="AM2643" i="1"/>
  <c r="BF2643" i="1"/>
  <c r="BG2643" i="1"/>
  <c r="T2644" i="1"/>
  <c r="U2644" i="1"/>
  <c r="V2644" i="1"/>
  <c r="W2644" i="1"/>
  <c r="X2644" i="1"/>
  <c r="Y2644" i="1"/>
  <c r="Z2644" i="1"/>
  <c r="AB2644" i="1"/>
  <c r="AF2644" i="1"/>
  <c r="AI2644" i="1"/>
  <c r="AE2645" i="1"/>
  <c r="AC2645" i="1"/>
  <c r="AJ2644" i="1"/>
  <c r="AK2644" i="1"/>
  <c r="AM2644" i="1"/>
  <c r="BF2644" i="1"/>
  <c r="BG2644" i="1"/>
  <c r="T2645" i="1"/>
  <c r="U2645" i="1"/>
  <c r="V2645" i="1"/>
  <c r="W2645" i="1"/>
  <c r="X2645" i="1"/>
  <c r="Y2645" i="1"/>
  <c r="Z2645" i="1"/>
  <c r="AB2645" i="1"/>
  <c r="AF2645" i="1"/>
  <c r="AI2645" i="1"/>
  <c r="AE2646" i="1"/>
  <c r="AC2646" i="1"/>
  <c r="AJ2645" i="1"/>
  <c r="AK2645" i="1"/>
  <c r="AM2645" i="1"/>
  <c r="BF2645" i="1"/>
  <c r="BG2645" i="1"/>
  <c r="T2646" i="1"/>
  <c r="U2646" i="1"/>
  <c r="V2646" i="1"/>
  <c r="W2646" i="1"/>
  <c r="X2646" i="1"/>
  <c r="Y2646" i="1"/>
  <c r="Z2646" i="1"/>
  <c r="AB2646" i="1"/>
  <c r="AF2646" i="1"/>
  <c r="AI2646" i="1"/>
  <c r="H2647" i="1"/>
  <c r="AE2647" i="1"/>
  <c r="I2647" i="1"/>
  <c r="J2647" i="1"/>
  <c r="K2647" i="1"/>
  <c r="AC2647" i="1"/>
  <c r="AJ2646" i="1"/>
  <c r="AK2646" i="1"/>
  <c r="AM2646" i="1"/>
  <c r="BG2646" i="1"/>
  <c r="T2647" i="1"/>
  <c r="U2647" i="1"/>
  <c r="V2647" i="1"/>
  <c r="W2647" i="1"/>
  <c r="X2647" i="1"/>
  <c r="Y2647" i="1"/>
  <c r="Z2647" i="1"/>
  <c r="AB2647" i="1"/>
  <c r="AF2647" i="1"/>
  <c r="AI2647" i="1"/>
  <c r="H2648" i="1"/>
  <c r="AE2648" i="1"/>
  <c r="I2648" i="1"/>
  <c r="J2648" i="1"/>
  <c r="K2648" i="1"/>
  <c r="AC2648" i="1"/>
  <c r="AJ2647" i="1"/>
  <c r="AK2647" i="1"/>
  <c r="AM2647" i="1"/>
  <c r="BF2647" i="1"/>
  <c r="BG2647" i="1"/>
  <c r="T2648" i="1"/>
  <c r="U2648" i="1"/>
  <c r="V2648" i="1"/>
  <c r="W2648" i="1"/>
  <c r="X2648" i="1"/>
  <c r="Y2648" i="1"/>
  <c r="Z2648" i="1"/>
  <c r="AB2648" i="1"/>
  <c r="AF2648" i="1"/>
  <c r="AI2648" i="1"/>
  <c r="H2649" i="1"/>
  <c r="AE2649" i="1"/>
  <c r="I2649" i="1"/>
  <c r="J2649" i="1"/>
  <c r="K2649" i="1"/>
  <c r="AC2649" i="1"/>
  <c r="AJ2648" i="1"/>
  <c r="AK2648" i="1"/>
  <c r="AM2648" i="1"/>
  <c r="BF2648" i="1"/>
  <c r="BG2648" i="1"/>
  <c r="T2649" i="1"/>
  <c r="U2649" i="1"/>
  <c r="V2649" i="1"/>
  <c r="W2649" i="1"/>
  <c r="X2649" i="1"/>
  <c r="Y2649" i="1"/>
  <c r="Z2649" i="1"/>
  <c r="AB2649" i="1"/>
  <c r="AF2649" i="1"/>
  <c r="AI2649" i="1"/>
  <c r="AE2650" i="1"/>
  <c r="AC2650" i="1"/>
  <c r="AJ2649" i="1"/>
  <c r="AK2649" i="1"/>
  <c r="AM2649" i="1"/>
  <c r="BF2649" i="1"/>
  <c r="BG2649" i="1"/>
  <c r="T2650" i="1"/>
  <c r="U2650" i="1"/>
  <c r="V2650" i="1"/>
  <c r="W2650" i="1"/>
  <c r="X2650" i="1"/>
  <c r="Y2650" i="1"/>
  <c r="Z2650" i="1"/>
  <c r="AB2650" i="1"/>
  <c r="AF2650" i="1"/>
  <c r="AI2650" i="1"/>
  <c r="AE2651" i="1"/>
  <c r="AC2651" i="1"/>
  <c r="AJ2650" i="1"/>
  <c r="AK2650" i="1"/>
  <c r="AM2650" i="1"/>
  <c r="BF2650" i="1"/>
  <c r="BG2650" i="1"/>
  <c r="T2651" i="1"/>
  <c r="U2651" i="1"/>
  <c r="V2651" i="1"/>
  <c r="W2651" i="1"/>
  <c r="X2651" i="1"/>
  <c r="Y2651" i="1"/>
  <c r="Z2651" i="1"/>
  <c r="AB2651" i="1"/>
  <c r="AF2651" i="1"/>
  <c r="AI2651" i="1"/>
  <c r="H2652" i="1"/>
  <c r="AE2652" i="1"/>
  <c r="I2652" i="1"/>
  <c r="J2652" i="1"/>
  <c r="K2652" i="1"/>
  <c r="AC2652" i="1"/>
  <c r="AJ2651" i="1"/>
  <c r="AK2651" i="1"/>
  <c r="AM2651" i="1"/>
  <c r="BG2651" i="1"/>
  <c r="T2652" i="1"/>
  <c r="U2652" i="1"/>
  <c r="V2652" i="1"/>
  <c r="W2652" i="1"/>
  <c r="X2652" i="1"/>
  <c r="Y2652" i="1"/>
  <c r="Z2652" i="1"/>
  <c r="AB2652" i="1"/>
  <c r="AF2652" i="1"/>
  <c r="AI2652" i="1"/>
  <c r="AE2653" i="1"/>
  <c r="AC2653" i="1"/>
  <c r="AJ2652" i="1"/>
  <c r="AK2652" i="1"/>
  <c r="AM2652" i="1"/>
  <c r="BF2652" i="1"/>
  <c r="BG2652" i="1"/>
  <c r="T2653" i="1"/>
  <c r="U2653" i="1"/>
  <c r="V2653" i="1"/>
  <c r="W2653" i="1"/>
  <c r="X2653" i="1"/>
  <c r="Y2653" i="1"/>
  <c r="Z2653" i="1"/>
  <c r="AB2653" i="1"/>
  <c r="AF2653" i="1"/>
  <c r="AI2653" i="1"/>
  <c r="AE2654" i="1"/>
  <c r="AC2654" i="1"/>
  <c r="AJ2653" i="1"/>
  <c r="AK2653" i="1"/>
  <c r="AM2653" i="1"/>
  <c r="BF2653" i="1"/>
  <c r="BG2653" i="1"/>
  <c r="T2654" i="1"/>
  <c r="U2654" i="1"/>
  <c r="V2654" i="1"/>
  <c r="W2654" i="1"/>
  <c r="X2654" i="1"/>
  <c r="Y2654" i="1"/>
  <c r="Z2654" i="1"/>
  <c r="AB2654" i="1"/>
  <c r="AF2654" i="1"/>
  <c r="AI2654" i="1"/>
  <c r="H2655" i="1"/>
  <c r="AE2655" i="1"/>
  <c r="I2655" i="1"/>
  <c r="J2655" i="1"/>
  <c r="K2655" i="1"/>
  <c r="AC2655" i="1"/>
  <c r="AJ2654" i="1"/>
  <c r="AK2654" i="1"/>
  <c r="AM2654" i="1"/>
  <c r="BG2654" i="1"/>
  <c r="T2655" i="1"/>
  <c r="U2655" i="1"/>
  <c r="V2655" i="1"/>
  <c r="W2655" i="1"/>
  <c r="X2655" i="1"/>
  <c r="Y2655" i="1"/>
  <c r="Z2655" i="1"/>
  <c r="AB2655" i="1"/>
  <c r="AF2655" i="1"/>
  <c r="AI2655" i="1"/>
  <c r="H2656" i="1"/>
  <c r="AE2656" i="1"/>
  <c r="I2656" i="1"/>
  <c r="J2656" i="1"/>
  <c r="K2656" i="1"/>
  <c r="AC2656" i="1"/>
  <c r="AJ2655" i="1"/>
  <c r="AK2655" i="1"/>
  <c r="AM2655" i="1"/>
  <c r="BF2655" i="1"/>
  <c r="BG2655" i="1"/>
  <c r="T2656" i="1"/>
  <c r="U2656" i="1"/>
  <c r="V2656" i="1"/>
  <c r="W2656" i="1"/>
  <c r="X2656" i="1"/>
  <c r="Y2656" i="1"/>
  <c r="Z2656" i="1"/>
  <c r="AB2656" i="1"/>
  <c r="AF2656" i="1"/>
  <c r="AI2656" i="1"/>
  <c r="AE2657" i="1"/>
  <c r="AC2657" i="1"/>
  <c r="AJ2656" i="1"/>
  <c r="AK2656" i="1"/>
  <c r="AM2656" i="1"/>
  <c r="BF2656" i="1"/>
  <c r="BG2656" i="1"/>
  <c r="T2657" i="1"/>
  <c r="U2657" i="1"/>
  <c r="V2657" i="1"/>
  <c r="W2657" i="1"/>
  <c r="X2657" i="1"/>
  <c r="Y2657" i="1"/>
  <c r="Z2657" i="1"/>
  <c r="AB2657" i="1"/>
  <c r="AF2657" i="1"/>
  <c r="AI2657" i="1"/>
  <c r="AE2658" i="1"/>
  <c r="AC2658" i="1"/>
  <c r="AJ2657" i="1"/>
  <c r="AK2657" i="1"/>
  <c r="AM2657" i="1"/>
  <c r="BF2657" i="1"/>
  <c r="BG2657" i="1"/>
  <c r="T2658" i="1"/>
  <c r="U2658" i="1"/>
  <c r="V2658" i="1"/>
  <c r="W2658" i="1"/>
  <c r="X2658" i="1"/>
  <c r="Y2658" i="1"/>
  <c r="Z2658" i="1"/>
  <c r="AB2658" i="1"/>
  <c r="AF2658" i="1"/>
  <c r="AI2658" i="1"/>
  <c r="H2659" i="1"/>
  <c r="AE2659" i="1"/>
  <c r="I2659" i="1"/>
  <c r="J2659" i="1"/>
  <c r="K2659" i="1"/>
  <c r="AC2659" i="1"/>
  <c r="AJ2658" i="1"/>
  <c r="AK2658" i="1"/>
  <c r="AM2658" i="1"/>
  <c r="BG2658" i="1"/>
  <c r="T2659" i="1"/>
  <c r="U2659" i="1"/>
  <c r="V2659" i="1"/>
  <c r="W2659" i="1"/>
  <c r="X2659" i="1"/>
  <c r="Y2659" i="1"/>
  <c r="Z2659" i="1"/>
  <c r="AB2659" i="1"/>
  <c r="AF2659" i="1"/>
  <c r="AI2659" i="1"/>
  <c r="AE2660" i="1"/>
  <c r="AC2660" i="1"/>
  <c r="AJ2659" i="1"/>
  <c r="AK2659" i="1"/>
  <c r="AM2659" i="1"/>
  <c r="BF2659" i="1"/>
  <c r="BG2659" i="1"/>
  <c r="T2660" i="1"/>
  <c r="U2660" i="1"/>
  <c r="V2660" i="1"/>
  <c r="W2660" i="1"/>
  <c r="X2660" i="1"/>
  <c r="Y2660" i="1"/>
  <c r="Z2660" i="1"/>
  <c r="AB2660" i="1"/>
  <c r="AF2660" i="1"/>
  <c r="AI2660" i="1"/>
  <c r="AE2661" i="1"/>
  <c r="AC2661" i="1"/>
  <c r="AJ2660" i="1"/>
  <c r="AK2660" i="1"/>
  <c r="AM2660" i="1"/>
  <c r="BF2660" i="1"/>
  <c r="BG2660" i="1"/>
  <c r="T2661" i="1"/>
  <c r="U2661" i="1"/>
  <c r="V2661" i="1"/>
  <c r="W2661" i="1"/>
  <c r="X2661" i="1"/>
  <c r="Y2661" i="1"/>
  <c r="Z2661" i="1"/>
  <c r="AB2661" i="1"/>
  <c r="AF2661" i="1"/>
  <c r="AI2661" i="1"/>
  <c r="H2662" i="1"/>
  <c r="AE2662" i="1"/>
  <c r="I2662" i="1"/>
  <c r="J2662" i="1"/>
  <c r="K2662" i="1"/>
  <c r="AC2662" i="1"/>
  <c r="AJ2661" i="1"/>
  <c r="AK2661" i="1"/>
  <c r="AM2661" i="1"/>
  <c r="BG2661" i="1"/>
  <c r="T2662" i="1"/>
  <c r="U2662" i="1"/>
  <c r="V2662" i="1"/>
  <c r="W2662" i="1"/>
  <c r="X2662" i="1"/>
  <c r="Y2662" i="1"/>
  <c r="Z2662" i="1"/>
  <c r="AB2662" i="1"/>
  <c r="AF2662" i="1"/>
  <c r="AI2662" i="1"/>
  <c r="H2663" i="1"/>
  <c r="AE2663" i="1"/>
  <c r="I2663" i="1"/>
  <c r="J2663" i="1"/>
  <c r="K2663" i="1"/>
  <c r="AC2663" i="1"/>
  <c r="AJ2662" i="1"/>
  <c r="AK2662" i="1"/>
  <c r="AM2662" i="1"/>
  <c r="BF2662" i="1"/>
  <c r="BG2662" i="1"/>
  <c r="T2663" i="1"/>
  <c r="U2663" i="1"/>
  <c r="V2663" i="1"/>
  <c r="W2663" i="1"/>
  <c r="X2663" i="1"/>
  <c r="Y2663" i="1"/>
  <c r="Z2663" i="1"/>
  <c r="AB2663" i="1"/>
  <c r="AF2663" i="1"/>
  <c r="AI2663" i="1"/>
  <c r="H2664" i="1"/>
  <c r="AE2664" i="1"/>
  <c r="I2664" i="1"/>
  <c r="J2664" i="1"/>
  <c r="K2664" i="1"/>
  <c r="AC2664" i="1"/>
  <c r="AJ2663" i="1"/>
  <c r="AK2663" i="1"/>
  <c r="AM2663" i="1"/>
  <c r="BF2663" i="1"/>
  <c r="BG2663" i="1"/>
  <c r="T2664" i="1"/>
  <c r="U2664" i="1"/>
  <c r="V2664" i="1"/>
  <c r="W2664" i="1"/>
  <c r="X2664" i="1"/>
  <c r="Y2664" i="1"/>
  <c r="Z2664" i="1"/>
  <c r="AB2664" i="1"/>
  <c r="AF2664" i="1"/>
  <c r="AI2664" i="1"/>
  <c r="H2665" i="1"/>
  <c r="AE2665" i="1"/>
  <c r="I2665" i="1"/>
  <c r="J2665" i="1"/>
  <c r="K2665" i="1"/>
  <c r="AC2665" i="1"/>
  <c r="AJ2664" i="1"/>
  <c r="AK2664" i="1"/>
  <c r="AM2664" i="1"/>
  <c r="BF2664" i="1"/>
  <c r="BG2664" i="1"/>
  <c r="T2665" i="1"/>
  <c r="U2665" i="1"/>
  <c r="V2665" i="1"/>
  <c r="W2665" i="1"/>
  <c r="X2665" i="1"/>
  <c r="Y2665" i="1"/>
  <c r="Z2665" i="1"/>
  <c r="AB2665" i="1"/>
  <c r="AF2665" i="1"/>
  <c r="AI2665" i="1"/>
  <c r="H2666" i="1"/>
  <c r="AE2666" i="1"/>
  <c r="I2666" i="1"/>
  <c r="J2666" i="1"/>
  <c r="K2666" i="1"/>
  <c r="AC2666" i="1"/>
  <c r="AJ2665" i="1"/>
  <c r="AK2665" i="1"/>
  <c r="AM2665" i="1"/>
  <c r="BF2665" i="1"/>
  <c r="BG2665" i="1"/>
  <c r="T2666" i="1"/>
  <c r="U2666" i="1"/>
  <c r="V2666" i="1"/>
  <c r="W2666" i="1"/>
  <c r="X2666" i="1"/>
  <c r="Y2666" i="1"/>
  <c r="Z2666" i="1"/>
  <c r="AB2666" i="1"/>
  <c r="AF2666" i="1"/>
  <c r="AI2666" i="1"/>
  <c r="H2667" i="1"/>
  <c r="AE2667" i="1"/>
  <c r="I2667" i="1"/>
  <c r="J2667" i="1"/>
  <c r="K2667" i="1"/>
  <c r="AC2667" i="1"/>
  <c r="AJ2666" i="1"/>
  <c r="AK2666" i="1"/>
  <c r="AM2666" i="1"/>
  <c r="BF2666" i="1"/>
  <c r="BG2666" i="1"/>
  <c r="T2667" i="1"/>
  <c r="U2667" i="1"/>
  <c r="V2667" i="1"/>
  <c r="W2667" i="1"/>
  <c r="X2667" i="1"/>
  <c r="Y2667" i="1"/>
  <c r="Z2667" i="1"/>
  <c r="AB2667" i="1"/>
  <c r="AF2667" i="1"/>
  <c r="AI2667" i="1"/>
  <c r="H2668" i="1"/>
  <c r="AE2668" i="1"/>
  <c r="I2668" i="1"/>
  <c r="J2668" i="1"/>
  <c r="K2668" i="1"/>
  <c r="AC2668" i="1"/>
  <c r="AJ2667" i="1"/>
  <c r="AK2667" i="1"/>
  <c r="AM2667" i="1"/>
  <c r="BF2667" i="1"/>
  <c r="BG2667" i="1"/>
  <c r="T2668" i="1"/>
  <c r="U2668" i="1"/>
  <c r="V2668" i="1"/>
  <c r="W2668" i="1"/>
  <c r="X2668" i="1"/>
  <c r="Y2668" i="1"/>
  <c r="Z2668" i="1"/>
  <c r="AB2668" i="1"/>
  <c r="AF2668" i="1"/>
  <c r="AI2668" i="1"/>
  <c r="H2669" i="1"/>
  <c r="AE2669" i="1"/>
  <c r="I2669" i="1"/>
  <c r="J2669" i="1"/>
  <c r="K2669" i="1"/>
  <c r="AC2669" i="1"/>
  <c r="AJ2668" i="1"/>
  <c r="AK2668" i="1"/>
  <c r="AM2668" i="1"/>
  <c r="BF2668" i="1"/>
  <c r="BG2668" i="1"/>
  <c r="T2669" i="1"/>
  <c r="U2669" i="1"/>
  <c r="V2669" i="1"/>
  <c r="W2669" i="1"/>
  <c r="X2669" i="1"/>
  <c r="Y2669" i="1"/>
  <c r="Z2669" i="1"/>
  <c r="AB2669" i="1"/>
  <c r="AF2669" i="1"/>
  <c r="AI2669" i="1"/>
  <c r="H2670" i="1"/>
  <c r="AE2670" i="1"/>
  <c r="I2670" i="1"/>
  <c r="J2670" i="1"/>
  <c r="K2670" i="1"/>
  <c r="AC2670" i="1"/>
  <c r="AJ2669" i="1"/>
  <c r="AK2669" i="1"/>
  <c r="AM2669" i="1"/>
  <c r="BF2669" i="1"/>
  <c r="BG2669" i="1"/>
  <c r="T2670" i="1"/>
  <c r="U2670" i="1"/>
  <c r="V2670" i="1"/>
  <c r="W2670" i="1"/>
  <c r="X2670" i="1"/>
  <c r="Y2670" i="1"/>
  <c r="Z2670" i="1"/>
  <c r="AB2670" i="1"/>
  <c r="AF2670" i="1"/>
  <c r="AI2670" i="1"/>
  <c r="H2671" i="1"/>
  <c r="AE2671" i="1"/>
  <c r="I2671" i="1"/>
  <c r="J2671" i="1"/>
  <c r="K2671" i="1"/>
  <c r="AC2671" i="1"/>
  <c r="AJ2670" i="1"/>
  <c r="AK2670" i="1"/>
  <c r="AM2670" i="1"/>
  <c r="BF2670" i="1"/>
  <c r="BG2670" i="1"/>
  <c r="T2671" i="1"/>
  <c r="U2671" i="1"/>
  <c r="V2671" i="1"/>
  <c r="W2671" i="1"/>
  <c r="X2671" i="1"/>
  <c r="Y2671" i="1"/>
  <c r="Z2671" i="1"/>
  <c r="AB2671" i="1"/>
  <c r="AF2671" i="1"/>
  <c r="AI2671" i="1"/>
  <c r="H2672" i="1"/>
  <c r="AE2672" i="1"/>
  <c r="I2672" i="1"/>
  <c r="J2672" i="1"/>
  <c r="K2672" i="1"/>
  <c r="AC2672" i="1"/>
  <c r="AJ2671" i="1"/>
  <c r="AK2671" i="1"/>
  <c r="AM2671" i="1"/>
  <c r="BF2671" i="1"/>
  <c r="BG2671" i="1"/>
  <c r="T2672" i="1"/>
  <c r="U2672" i="1"/>
  <c r="V2672" i="1"/>
  <c r="W2672" i="1"/>
  <c r="X2672" i="1"/>
  <c r="Y2672" i="1"/>
  <c r="Z2672" i="1"/>
  <c r="AB2672" i="1"/>
  <c r="AF2672" i="1"/>
  <c r="AI2672" i="1"/>
  <c r="H2673" i="1"/>
  <c r="AE2673" i="1"/>
  <c r="I2673" i="1"/>
  <c r="J2673" i="1"/>
  <c r="K2673" i="1"/>
  <c r="AC2673" i="1"/>
  <c r="AJ2672" i="1"/>
  <c r="AK2672" i="1"/>
  <c r="AM2672" i="1"/>
  <c r="BF2672" i="1"/>
  <c r="BG2672" i="1"/>
  <c r="T2673" i="1"/>
  <c r="U2673" i="1"/>
  <c r="V2673" i="1"/>
  <c r="W2673" i="1"/>
  <c r="X2673" i="1"/>
  <c r="Y2673" i="1"/>
  <c r="Z2673" i="1"/>
  <c r="AB2673" i="1"/>
  <c r="AF2673" i="1"/>
  <c r="AI2673" i="1"/>
  <c r="H2674" i="1"/>
  <c r="AE2674" i="1"/>
  <c r="I2674" i="1"/>
  <c r="J2674" i="1"/>
  <c r="K2674" i="1"/>
  <c r="AC2674" i="1"/>
  <c r="AJ2673" i="1"/>
  <c r="AK2673" i="1"/>
  <c r="AM2673" i="1"/>
  <c r="BF2673" i="1"/>
  <c r="BG2673" i="1"/>
  <c r="T2674" i="1"/>
  <c r="U2674" i="1"/>
  <c r="V2674" i="1"/>
  <c r="W2674" i="1"/>
  <c r="X2674" i="1"/>
  <c r="Y2674" i="1"/>
  <c r="Z2674" i="1"/>
  <c r="AB2674" i="1"/>
  <c r="AF2674" i="1"/>
  <c r="AI2674" i="1"/>
  <c r="H2675" i="1"/>
  <c r="AE2675" i="1"/>
  <c r="I2675" i="1"/>
  <c r="J2675" i="1"/>
  <c r="K2675" i="1"/>
  <c r="AC2675" i="1"/>
  <c r="AJ2674" i="1"/>
  <c r="AK2674" i="1"/>
  <c r="AM2674" i="1"/>
  <c r="BF2674" i="1"/>
  <c r="BG2674" i="1"/>
  <c r="T2675" i="1"/>
  <c r="U2675" i="1"/>
  <c r="V2675" i="1"/>
  <c r="W2675" i="1"/>
  <c r="X2675" i="1"/>
  <c r="Y2675" i="1"/>
  <c r="Z2675" i="1"/>
  <c r="AB2675" i="1"/>
  <c r="AF2675" i="1"/>
  <c r="AI2675" i="1"/>
  <c r="AE2676" i="1"/>
  <c r="AC2676" i="1"/>
  <c r="AJ2675" i="1"/>
  <c r="AK2675" i="1"/>
  <c r="AM2675" i="1"/>
  <c r="BF2675" i="1"/>
  <c r="BG2675" i="1"/>
  <c r="T2676" i="1"/>
  <c r="U2676" i="1"/>
  <c r="V2676" i="1"/>
  <c r="W2676" i="1"/>
  <c r="X2676" i="1"/>
  <c r="Y2676" i="1"/>
  <c r="Z2676" i="1"/>
  <c r="AB2676" i="1"/>
  <c r="AF2676" i="1"/>
  <c r="AI2676" i="1"/>
  <c r="AE2677" i="1"/>
  <c r="AC2677" i="1"/>
  <c r="AJ2676" i="1"/>
  <c r="AK2676" i="1"/>
  <c r="AM2676" i="1"/>
  <c r="BF2676" i="1"/>
  <c r="BG2676" i="1"/>
  <c r="T2677" i="1"/>
  <c r="U2677" i="1"/>
  <c r="V2677" i="1"/>
  <c r="W2677" i="1"/>
  <c r="X2677" i="1"/>
  <c r="Y2677" i="1"/>
  <c r="Z2677" i="1"/>
  <c r="AB2677" i="1"/>
  <c r="AF2677" i="1"/>
  <c r="AI2677" i="1"/>
  <c r="H2678" i="1"/>
  <c r="AE2678" i="1"/>
  <c r="I2678" i="1"/>
  <c r="J2678" i="1"/>
  <c r="K2678" i="1"/>
  <c r="AC2678" i="1"/>
  <c r="AJ2677" i="1"/>
  <c r="AK2677" i="1"/>
  <c r="AM2677" i="1"/>
  <c r="BG2677" i="1"/>
  <c r="T2678" i="1"/>
  <c r="U2678" i="1"/>
  <c r="V2678" i="1"/>
  <c r="W2678" i="1"/>
  <c r="X2678" i="1"/>
  <c r="Y2678" i="1"/>
  <c r="Z2678" i="1"/>
  <c r="AB2678" i="1"/>
  <c r="AF2678" i="1"/>
  <c r="AI2678" i="1"/>
  <c r="H2679" i="1"/>
  <c r="AE2679" i="1"/>
  <c r="I2679" i="1"/>
  <c r="J2679" i="1"/>
  <c r="K2679" i="1"/>
  <c r="AC2679" i="1"/>
  <c r="AJ2678" i="1"/>
  <c r="AK2678" i="1"/>
  <c r="AM2678" i="1"/>
  <c r="BF2678" i="1"/>
  <c r="BG2678" i="1"/>
  <c r="T2679" i="1"/>
  <c r="U2679" i="1"/>
  <c r="V2679" i="1"/>
  <c r="W2679" i="1"/>
  <c r="X2679" i="1"/>
  <c r="Y2679" i="1"/>
  <c r="Z2679" i="1"/>
  <c r="AB2679" i="1"/>
  <c r="AF2679" i="1"/>
  <c r="AI2679" i="1"/>
  <c r="H2680" i="1"/>
  <c r="AE2680" i="1"/>
  <c r="I2680" i="1"/>
  <c r="J2680" i="1"/>
  <c r="K2680" i="1"/>
  <c r="AC2680" i="1"/>
  <c r="AJ2679" i="1"/>
  <c r="AK2679" i="1"/>
  <c r="AM2679" i="1"/>
  <c r="BF2679" i="1"/>
  <c r="BG2679" i="1"/>
  <c r="T2680" i="1"/>
  <c r="U2680" i="1"/>
  <c r="V2680" i="1"/>
  <c r="W2680" i="1"/>
  <c r="X2680" i="1"/>
  <c r="Y2680" i="1"/>
  <c r="Z2680" i="1"/>
  <c r="AB2680" i="1"/>
  <c r="AF2680" i="1"/>
  <c r="AI2680" i="1"/>
  <c r="H2681" i="1"/>
  <c r="AE2681" i="1"/>
  <c r="I2681" i="1"/>
  <c r="J2681" i="1"/>
  <c r="K2681" i="1"/>
  <c r="AC2681" i="1"/>
  <c r="AJ2680" i="1"/>
  <c r="AK2680" i="1"/>
  <c r="AM2680" i="1"/>
  <c r="BF2680" i="1"/>
  <c r="BG2680" i="1"/>
  <c r="T2681" i="1"/>
  <c r="U2681" i="1"/>
  <c r="V2681" i="1"/>
  <c r="W2681" i="1"/>
  <c r="X2681" i="1"/>
  <c r="Y2681" i="1"/>
  <c r="Z2681" i="1"/>
  <c r="AB2681" i="1"/>
  <c r="AF2681" i="1"/>
  <c r="AI2681" i="1"/>
  <c r="AE2682" i="1"/>
  <c r="AC2682" i="1"/>
  <c r="AJ2681" i="1"/>
  <c r="AK2681" i="1"/>
  <c r="AM2681" i="1"/>
  <c r="BF2681" i="1"/>
  <c r="BG2681" i="1"/>
  <c r="T2682" i="1"/>
  <c r="U2682" i="1"/>
  <c r="V2682" i="1"/>
  <c r="W2682" i="1"/>
  <c r="X2682" i="1"/>
  <c r="Y2682" i="1"/>
  <c r="Z2682" i="1"/>
  <c r="AB2682" i="1"/>
  <c r="AF2682" i="1"/>
  <c r="AI2682" i="1"/>
  <c r="AE2683" i="1"/>
  <c r="AC2683" i="1"/>
  <c r="AJ2682" i="1"/>
  <c r="AK2682" i="1"/>
  <c r="AM2682" i="1"/>
  <c r="BF2682" i="1"/>
  <c r="BG2682" i="1"/>
  <c r="T2683" i="1"/>
  <c r="U2683" i="1"/>
  <c r="V2683" i="1"/>
  <c r="W2683" i="1"/>
  <c r="X2683" i="1"/>
  <c r="Y2683" i="1"/>
  <c r="Z2683" i="1"/>
  <c r="AB2683" i="1"/>
  <c r="AF2683" i="1"/>
  <c r="AI2683" i="1"/>
  <c r="H2684" i="1"/>
  <c r="AE2684" i="1"/>
  <c r="I2684" i="1"/>
  <c r="J2684" i="1"/>
  <c r="K2684" i="1"/>
  <c r="AC2684" i="1"/>
  <c r="AJ2683" i="1"/>
  <c r="AK2683" i="1"/>
  <c r="AM2683" i="1"/>
  <c r="BG2683" i="1"/>
  <c r="T2684" i="1"/>
  <c r="U2684" i="1"/>
  <c r="V2684" i="1"/>
  <c r="W2684" i="1"/>
  <c r="X2684" i="1"/>
  <c r="Y2684" i="1"/>
  <c r="Z2684" i="1"/>
  <c r="AB2684" i="1"/>
  <c r="AF2684" i="1"/>
  <c r="AI2684" i="1"/>
  <c r="H2685" i="1"/>
  <c r="AE2685" i="1"/>
  <c r="I2685" i="1"/>
  <c r="J2685" i="1"/>
  <c r="K2685" i="1"/>
  <c r="AC2685" i="1"/>
  <c r="AJ2684" i="1"/>
  <c r="AK2684" i="1"/>
  <c r="AM2684" i="1"/>
  <c r="BF2684" i="1"/>
  <c r="BG2684" i="1"/>
  <c r="T2685" i="1"/>
  <c r="U2685" i="1"/>
  <c r="V2685" i="1"/>
  <c r="W2685" i="1"/>
  <c r="X2685" i="1"/>
  <c r="Y2685" i="1"/>
  <c r="Z2685" i="1"/>
  <c r="AB2685" i="1"/>
  <c r="AF2685" i="1"/>
  <c r="AI2685" i="1"/>
  <c r="H2686" i="1"/>
  <c r="AE2686" i="1"/>
  <c r="I2686" i="1"/>
  <c r="J2686" i="1"/>
  <c r="K2686" i="1"/>
  <c r="AC2686" i="1"/>
  <c r="AJ2685" i="1"/>
  <c r="AK2685" i="1"/>
  <c r="AM2685" i="1"/>
  <c r="BF2685" i="1"/>
  <c r="BG2685" i="1"/>
  <c r="T2686" i="1"/>
  <c r="U2686" i="1"/>
  <c r="V2686" i="1"/>
  <c r="W2686" i="1"/>
  <c r="X2686" i="1"/>
  <c r="Y2686" i="1"/>
  <c r="Z2686" i="1"/>
  <c r="AB2686" i="1"/>
  <c r="AF2686" i="1"/>
  <c r="AI2686" i="1"/>
  <c r="H2687" i="1"/>
  <c r="AE2687" i="1"/>
  <c r="I2687" i="1"/>
  <c r="J2687" i="1"/>
  <c r="K2687" i="1"/>
  <c r="AC2687" i="1"/>
  <c r="AJ2686" i="1"/>
  <c r="AK2686" i="1"/>
  <c r="AM2686" i="1"/>
  <c r="BF2686" i="1"/>
  <c r="BG2686" i="1"/>
  <c r="T2687" i="1"/>
  <c r="U2687" i="1"/>
  <c r="V2687" i="1"/>
  <c r="W2687" i="1"/>
  <c r="X2687" i="1"/>
  <c r="Y2687" i="1"/>
  <c r="Z2687" i="1"/>
  <c r="AB2687" i="1"/>
  <c r="AF2687" i="1"/>
  <c r="AI2687" i="1"/>
  <c r="H2688" i="1"/>
  <c r="AE2688" i="1"/>
  <c r="I2688" i="1"/>
  <c r="J2688" i="1"/>
  <c r="K2688" i="1"/>
  <c r="AC2688" i="1"/>
  <c r="AJ2687" i="1"/>
  <c r="AK2687" i="1"/>
  <c r="AM2687" i="1"/>
  <c r="BF2687" i="1"/>
  <c r="BG2687" i="1"/>
  <c r="T2688" i="1"/>
  <c r="U2688" i="1"/>
  <c r="V2688" i="1"/>
  <c r="W2688" i="1"/>
  <c r="X2688" i="1"/>
  <c r="Y2688" i="1"/>
  <c r="Z2688" i="1"/>
  <c r="AB2688" i="1"/>
  <c r="AF2688" i="1"/>
  <c r="AI2688" i="1"/>
  <c r="H2689" i="1"/>
  <c r="AE2689" i="1"/>
  <c r="I2689" i="1"/>
  <c r="J2689" i="1"/>
  <c r="K2689" i="1"/>
  <c r="AC2689" i="1"/>
  <c r="AJ2688" i="1"/>
  <c r="AK2688" i="1"/>
  <c r="AM2688" i="1"/>
  <c r="BF2688" i="1"/>
  <c r="BG2688" i="1"/>
  <c r="T2689" i="1"/>
  <c r="U2689" i="1"/>
  <c r="V2689" i="1"/>
  <c r="W2689" i="1"/>
  <c r="X2689" i="1"/>
  <c r="Y2689" i="1"/>
  <c r="Z2689" i="1"/>
  <c r="AB2689" i="1"/>
  <c r="AF2689" i="1"/>
  <c r="AI2689" i="1"/>
  <c r="AE2690" i="1"/>
  <c r="AC2690" i="1"/>
  <c r="AJ2689" i="1"/>
  <c r="AK2689" i="1"/>
  <c r="AM2689" i="1"/>
  <c r="BF2689" i="1"/>
  <c r="BG2689" i="1"/>
  <c r="T2690" i="1"/>
  <c r="U2690" i="1"/>
  <c r="V2690" i="1"/>
  <c r="W2690" i="1"/>
  <c r="X2690" i="1"/>
  <c r="Y2690" i="1"/>
  <c r="Z2690" i="1"/>
  <c r="AB2690" i="1"/>
  <c r="AF2690" i="1"/>
  <c r="AI2690" i="1"/>
  <c r="AE2691" i="1"/>
  <c r="AC2691" i="1"/>
  <c r="AJ2690" i="1"/>
  <c r="AK2690" i="1"/>
  <c r="AM2690" i="1"/>
  <c r="BF2690" i="1"/>
  <c r="BG2690" i="1"/>
  <c r="T2691" i="1"/>
  <c r="U2691" i="1"/>
  <c r="V2691" i="1"/>
  <c r="W2691" i="1"/>
  <c r="X2691" i="1"/>
  <c r="Y2691" i="1"/>
  <c r="Z2691" i="1"/>
  <c r="AB2691" i="1"/>
  <c r="AF2691" i="1"/>
  <c r="AI2691" i="1"/>
  <c r="AE2692" i="1"/>
  <c r="AC2692" i="1"/>
  <c r="AJ2691" i="1"/>
  <c r="AK2691" i="1"/>
  <c r="AM2691" i="1"/>
  <c r="BF2691" i="1"/>
  <c r="BG2691" i="1"/>
  <c r="T2692" i="1"/>
  <c r="U2692" i="1"/>
  <c r="V2692" i="1"/>
  <c r="W2692" i="1"/>
  <c r="X2692" i="1"/>
  <c r="Y2692" i="1"/>
  <c r="Z2692" i="1"/>
  <c r="AB2692" i="1"/>
  <c r="AF2692" i="1"/>
  <c r="AI2692" i="1"/>
  <c r="H2693" i="1"/>
  <c r="AE2693" i="1"/>
  <c r="I2693" i="1"/>
  <c r="J2693" i="1"/>
  <c r="K2693" i="1"/>
  <c r="AC2693" i="1"/>
  <c r="AJ2692" i="1"/>
  <c r="AK2692" i="1"/>
  <c r="AM2692" i="1"/>
  <c r="BG2692" i="1"/>
  <c r="T2693" i="1"/>
  <c r="U2693" i="1"/>
  <c r="V2693" i="1"/>
  <c r="W2693" i="1"/>
  <c r="X2693" i="1"/>
  <c r="Y2693" i="1"/>
  <c r="Z2693" i="1"/>
  <c r="AB2693" i="1"/>
  <c r="AF2693" i="1"/>
  <c r="AI2693" i="1"/>
  <c r="H2694" i="1"/>
  <c r="AE2694" i="1"/>
  <c r="I2694" i="1"/>
  <c r="J2694" i="1"/>
  <c r="K2694" i="1"/>
  <c r="AC2694" i="1"/>
  <c r="AJ2693" i="1"/>
  <c r="AK2693" i="1"/>
  <c r="AM2693" i="1"/>
  <c r="BF2693" i="1"/>
  <c r="BG2693" i="1"/>
  <c r="T2694" i="1"/>
  <c r="U2694" i="1"/>
  <c r="V2694" i="1"/>
  <c r="W2694" i="1"/>
  <c r="X2694" i="1"/>
  <c r="Y2694" i="1"/>
  <c r="Z2694" i="1"/>
  <c r="AB2694" i="1"/>
  <c r="AF2694" i="1"/>
  <c r="AI2694" i="1"/>
  <c r="AE2695" i="1"/>
  <c r="AC2695" i="1"/>
  <c r="AJ2694" i="1"/>
  <c r="AK2694" i="1"/>
  <c r="AM2694" i="1"/>
  <c r="BF2694" i="1"/>
  <c r="BG2694" i="1"/>
  <c r="T2695" i="1"/>
  <c r="U2695" i="1"/>
  <c r="V2695" i="1"/>
  <c r="W2695" i="1"/>
  <c r="X2695" i="1"/>
  <c r="Y2695" i="1"/>
  <c r="Z2695" i="1"/>
  <c r="AB2695" i="1"/>
  <c r="AF2695" i="1"/>
  <c r="AI2695" i="1"/>
  <c r="AE2696" i="1"/>
  <c r="AC2696" i="1"/>
  <c r="AJ2695" i="1"/>
  <c r="AK2695" i="1"/>
  <c r="AM2695" i="1"/>
  <c r="BF2695" i="1"/>
  <c r="BG2695" i="1"/>
  <c r="T2696" i="1"/>
  <c r="U2696" i="1"/>
  <c r="V2696" i="1"/>
  <c r="W2696" i="1"/>
  <c r="X2696" i="1"/>
  <c r="Y2696" i="1"/>
  <c r="Z2696" i="1"/>
  <c r="AB2696" i="1"/>
  <c r="AF2696" i="1"/>
  <c r="AI2696" i="1"/>
  <c r="AE2697" i="1"/>
  <c r="AC2697" i="1"/>
  <c r="AJ2696" i="1"/>
  <c r="AK2696" i="1"/>
  <c r="AM2696" i="1"/>
  <c r="BF2696" i="1"/>
  <c r="BG2696" i="1"/>
  <c r="T2697" i="1"/>
  <c r="U2697" i="1"/>
  <c r="V2697" i="1"/>
  <c r="W2697" i="1"/>
  <c r="X2697" i="1"/>
  <c r="Y2697" i="1"/>
  <c r="Z2697" i="1"/>
  <c r="AB2697" i="1"/>
  <c r="AF2697" i="1"/>
  <c r="AI2697" i="1"/>
  <c r="H2698" i="1"/>
  <c r="AE2698" i="1"/>
  <c r="I2698" i="1"/>
  <c r="J2698" i="1"/>
  <c r="K2698" i="1"/>
  <c r="AC2698" i="1"/>
  <c r="AJ2697" i="1"/>
  <c r="AK2697" i="1"/>
  <c r="AM2697" i="1"/>
  <c r="BG2697" i="1"/>
  <c r="T2698" i="1"/>
  <c r="U2698" i="1"/>
  <c r="V2698" i="1"/>
  <c r="W2698" i="1"/>
  <c r="X2698" i="1"/>
  <c r="Y2698" i="1"/>
  <c r="Z2698" i="1"/>
  <c r="AB2698" i="1"/>
  <c r="AF2698" i="1"/>
  <c r="AI2698" i="1"/>
  <c r="H2699" i="1"/>
  <c r="AE2699" i="1"/>
  <c r="I2699" i="1"/>
  <c r="J2699" i="1"/>
  <c r="K2699" i="1"/>
  <c r="AC2699" i="1"/>
  <c r="AJ2698" i="1"/>
  <c r="AK2698" i="1"/>
  <c r="AM2698" i="1"/>
  <c r="BF2698" i="1"/>
  <c r="BG2698" i="1"/>
  <c r="T2699" i="1"/>
  <c r="U2699" i="1"/>
  <c r="V2699" i="1"/>
  <c r="W2699" i="1"/>
  <c r="X2699" i="1"/>
  <c r="Y2699" i="1"/>
  <c r="Z2699" i="1"/>
  <c r="AB2699" i="1"/>
  <c r="AF2699" i="1"/>
  <c r="AI2699" i="1"/>
  <c r="AE2700" i="1"/>
  <c r="AC2700" i="1"/>
  <c r="AJ2699" i="1"/>
  <c r="AK2699" i="1"/>
  <c r="AM2699" i="1"/>
  <c r="BF2699" i="1"/>
  <c r="BG2699" i="1"/>
  <c r="T2700" i="1"/>
  <c r="U2700" i="1"/>
  <c r="V2700" i="1"/>
  <c r="W2700" i="1"/>
  <c r="X2700" i="1"/>
  <c r="Y2700" i="1"/>
  <c r="Z2700" i="1"/>
  <c r="AB2700" i="1"/>
  <c r="AF2700" i="1"/>
  <c r="AI2700" i="1"/>
  <c r="AE2701" i="1"/>
  <c r="AC2701" i="1"/>
  <c r="AJ2700" i="1"/>
  <c r="AK2700" i="1"/>
  <c r="AM2700" i="1"/>
  <c r="BF2700" i="1"/>
  <c r="BG2700" i="1"/>
  <c r="T2701" i="1"/>
  <c r="U2701" i="1"/>
  <c r="V2701" i="1"/>
  <c r="W2701" i="1"/>
  <c r="X2701" i="1"/>
  <c r="Y2701" i="1"/>
  <c r="Z2701" i="1"/>
  <c r="AB2701" i="1"/>
  <c r="AF2701" i="1"/>
  <c r="AI2701" i="1"/>
  <c r="H2702" i="1"/>
  <c r="AE2702" i="1"/>
  <c r="I2702" i="1"/>
  <c r="J2702" i="1"/>
  <c r="K2702" i="1"/>
  <c r="AC2702" i="1"/>
  <c r="AJ2701" i="1"/>
  <c r="AK2701" i="1"/>
  <c r="AM2701" i="1"/>
  <c r="BG2701" i="1"/>
  <c r="T2702" i="1"/>
  <c r="U2702" i="1"/>
  <c r="V2702" i="1"/>
  <c r="W2702" i="1"/>
  <c r="X2702" i="1"/>
  <c r="Y2702" i="1"/>
  <c r="Z2702" i="1"/>
  <c r="AB2702" i="1"/>
  <c r="AF2702" i="1"/>
  <c r="AI2702" i="1"/>
  <c r="H2703" i="1"/>
  <c r="AE2703" i="1"/>
  <c r="I2703" i="1"/>
  <c r="J2703" i="1"/>
  <c r="K2703" i="1"/>
  <c r="AC2703" i="1"/>
  <c r="AJ2702" i="1"/>
  <c r="AK2702" i="1"/>
  <c r="AM2702" i="1"/>
  <c r="BF2702" i="1"/>
  <c r="BG2702" i="1"/>
  <c r="T2703" i="1"/>
  <c r="U2703" i="1"/>
  <c r="V2703" i="1"/>
  <c r="W2703" i="1"/>
  <c r="X2703" i="1"/>
  <c r="Y2703" i="1"/>
  <c r="Z2703" i="1"/>
  <c r="AB2703" i="1"/>
  <c r="AF2703" i="1"/>
  <c r="AI2703" i="1"/>
  <c r="AE2704" i="1"/>
  <c r="AC2704" i="1"/>
  <c r="AJ2703" i="1"/>
  <c r="AK2703" i="1"/>
  <c r="AM2703" i="1"/>
  <c r="BF2703" i="1"/>
  <c r="BG2703" i="1"/>
  <c r="T2704" i="1"/>
  <c r="U2704" i="1"/>
  <c r="V2704" i="1"/>
  <c r="W2704" i="1"/>
  <c r="X2704" i="1"/>
  <c r="Y2704" i="1"/>
  <c r="Z2704" i="1"/>
  <c r="AB2704" i="1"/>
  <c r="AF2704" i="1"/>
  <c r="AI2704" i="1"/>
  <c r="AE2705" i="1"/>
  <c r="AC2705" i="1"/>
  <c r="AJ2704" i="1"/>
  <c r="AK2704" i="1"/>
  <c r="AM2704" i="1"/>
  <c r="BF2704" i="1"/>
  <c r="BG2704" i="1"/>
  <c r="T2705" i="1"/>
  <c r="U2705" i="1"/>
  <c r="V2705" i="1"/>
  <c r="W2705" i="1"/>
  <c r="X2705" i="1"/>
  <c r="Y2705" i="1"/>
  <c r="Z2705" i="1"/>
  <c r="AB2705" i="1"/>
  <c r="AF2705" i="1"/>
  <c r="AI2705" i="1"/>
  <c r="AE2706" i="1"/>
  <c r="AC2706" i="1"/>
  <c r="AJ2705" i="1"/>
  <c r="AK2705" i="1"/>
  <c r="AM2705" i="1"/>
  <c r="BF2705" i="1"/>
  <c r="BG2705" i="1"/>
  <c r="T2706" i="1"/>
  <c r="U2706" i="1"/>
  <c r="V2706" i="1"/>
  <c r="W2706" i="1"/>
  <c r="X2706" i="1"/>
  <c r="Y2706" i="1"/>
  <c r="Z2706" i="1"/>
  <c r="AB2706" i="1"/>
  <c r="AF2706" i="1"/>
  <c r="AI2706" i="1"/>
  <c r="H2707" i="1"/>
  <c r="AE2707" i="1"/>
  <c r="I2707" i="1"/>
  <c r="J2707" i="1"/>
  <c r="K2707" i="1"/>
  <c r="AC2707" i="1"/>
  <c r="AJ2706" i="1"/>
  <c r="AK2706" i="1"/>
  <c r="AM2706" i="1"/>
  <c r="BG2706" i="1"/>
  <c r="T2707" i="1"/>
  <c r="U2707" i="1"/>
  <c r="V2707" i="1"/>
  <c r="W2707" i="1"/>
  <c r="X2707" i="1"/>
  <c r="Y2707" i="1"/>
  <c r="Z2707" i="1"/>
  <c r="AB2707" i="1"/>
  <c r="AF2707" i="1"/>
  <c r="AI2707" i="1"/>
  <c r="H2708" i="1"/>
  <c r="AE2708" i="1"/>
  <c r="I2708" i="1"/>
  <c r="J2708" i="1"/>
  <c r="K2708" i="1"/>
  <c r="AC2708" i="1"/>
  <c r="AJ2707" i="1"/>
  <c r="AK2707" i="1"/>
  <c r="AM2707" i="1"/>
  <c r="BF2707" i="1"/>
  <c r="BG2707" i="1"/>
  <c r="T2708" i="1"/>
  <c r="U2708" i="1"/>
  <c r="V2708" i="1"/>
  <c r="W2708" i="1"/>
  <c r="X2708" i="1"/>
  <c r="Y2708" i="1"/>
  <c r="Z2708" i="1"/>
  <c r="AB2708" i="1"/>
  <c r="AF2708" i="1"/>
  <c r="AI2708" i="1"/>
  <c r="H2709" i="1"/>
  <c r="AE2709" i="1"/>
  <c r="I2709" i="1"/>
  <c r="J2709" i="1"/>
  <c r="K2709" i="1"/>
  <c r="AC2709" i="1"/>
  <c r="AJ2708" i="1"/>
  <c r="AK2708" i="1"/>
  <c r="AM2708" i="1"/>
  <c r="BF2708" i="1"/>
  <c r="BG2708" i="1"/>
  <c r="T2709" i="1"/>
  <c r="U2709" i="1"/>
  <c r="V2709" i="1"/>
  <c r="W2709" i="1"/>
  <c r="X2709" i="1"/>
  <c r="Y2709" i="1"/>
  <c r="Z2709" i="1"/>
  <c r="AB2709" i="1"/>
  <c r="AF2709" i="1"/>
  <c r="AI2709" i="1"/>
  <c r="AE2710" i="1"/>
  <c r="AC2710" i="1"/>
  <c r="AJ2709" i="1"/>
  <c r="AK2709" i="1"/>
  <c r="AM2709" i="1"/>
  <c r="BF2709" i="1"/>
  <c r="BG2709" i="1"/>
  <c r="T2710" i="1"/>
  <c r="U2710" i="1"/>
  <c r="V2710" i="1"/>
  <c r="W2710" i="1"/>
  <c r="X2710" i="1"/>
  <c r="Y2710" i="1"/>
  <c r="Z2710" i="1"/>
  <c r="AB2710" i="1"/>
  <c r="AF2710" i="1"/>
  <c r="AI2710" i="1"/>
  <c r="AE2711" i="1"/>
  <c r="AC2711" i="1"/>
  <c r="AJ2710" i="1"/>
  <c r="AK2710" i="1"/>
  <c r="AM2710" i="1"/>
  <c r="BF2710" i="1"/>
  <c r="BG2710" i="1"/>
  <c r="T2711" i="1"/>
  <c r="U2711" i="1"/>
  <c r="V2711" i="1"/>
  <c r="W2711" i="1"/>
  <c r="X2711" i="1"/>
  <c r="Y2711" i="1"/>
  <c r="Z2711" i="1"/>
  <c r="AB2711" i="1"/>
  <c r="AF2711" i="1"/>
  <c r="AI2711" i="1"/>
  <c r="H2712" i="1"/>
  <c r="AE2712" i="1"/>
  <c r="I2712" i="1"/>
  <c r="J2712" i="1"/>
  <c r="K2712" i="1"/>
  <c r="AC2712" i="1"/>
  <c r="AJ2711" i="1"/>
  <c r="AK2711" i="1"/>
  <c r="AM2711" i="1"/>
  <c r="BG2711" i="1"/>
  <c r="T2712" i="1"/>
  <c r="U2712" i="1"/>
  <c r="V2712" i="1"/>
  <c r="W2712" i="1"/>
  <c r="X2712" i="1"/>
  <c r="Y2712" i="1"/>
  <c r="Z2712" i="1"/>
  <c r="AB2712" i="1"/>
  <c r="AF2712" i="1"/>
  <c r="AI2712" i="1"/>
  <c r="H2713" i="1"/>
  <c r="AE2713" i="1"/>
  <c r="I2713" i="1"/>
  <c r="J2713" i="1"/>
  <c r="K2713" i="1"/>
  <c r="AC2713" i="1"/>
  <c r="AJ2712" i="1"/>
  <c r="AK2712" i="1"/>
  <c r="AM2712" i="1"/>
  <c r="BF2712" i="1"/>
  <c r="BG2712" i="1"/>
  <c r="T2713" i="1"/>
  <c r="U2713" i="1"/>
  <c r="V2713" i="1"/>
  <c r="W2713" i="1"/>
  <c r="X2713" i="1"/>
  <c r="Y2713" i="1"/>
  <c r="Z2713" i="1"/>
  <c r="AB2713" i="1"/>
  <c r="AF2713" i="1"/>
  <c r="AI2713" i="1"/>
  <c r="H2714" i="1"/>
  <c r="AE2714" i="1"/>
  <c r="I2714" i="1"/>
  <c r="J2714" i="1"/>
  <c r="K2714" i="1"/>
  <c r="AC2714" i="1"/>
  <c r="AJ2713" i="1"/>
  <c r="AK2713" i="1"/>
  <c r="AM2713" i="1"/>
  <c r="BF2713" i="1"/>
  <c r="BG2713" i="1"/>
  <c r="T2714" i="1"/>
  <c r="U2714" i="1"/>
  <c r="V2714" i="1"/>
  <c r="W2714" i="1"/>
  <c r="X2714" i="1"/>
  <c r="Y2714" i="1"/>
  <c r="Z2714" i="1"/>
  <c r="AB2714" i="1"/>
  <c r="AF2714" i="1"/>
  <c r="AI2714" i="1"/>
  <c r="H2715" i="1"/>
  <c r="AE2715" i="1"/>
  <c r="I2715" i="1"/>
  <c r="J2715" i="1"/>
  <c r="K2715" i="1"/>
  <c r="AC2715" i="1"/>
  <c r="AJ2714" i="1"/>
  <c r="AK2714" i="1"/>
  <c r="AM2714" i="1"/>
  <c r="BF2714" i="1"/>
  <c r="BG2714" i="1"/>
  <c r="T2715" i="1"/>
  <c r="U2715" i="1"/>
  <c r="V2715" i="1"/>
  <c r="W2715" i="1"/>
  <c r="X2715" i="1"/>
  <c r="Y2715" i="1"/>
  <c r="Z2715" i="1"/>
  <c r="AB2715" i="1"/>
  <c r="AF2715" i="1"/>
  <c r="AI2715" i="1"/>
  <c r="H2716" i="1"/>
  <c r="AE2716" i="1"/>
  <c r="I2716" i="1"/>
  <c r="J2716" i="1"/>
  <c r="K2716" i="1"/>
  <c r="AC2716" i="1"/>
  <c r="AJ2715" i="1"/>
  <c r="AK2715" i="1"/>
  <c r="AM2715" i="1"/>
  <c r="BF2715" i="1"/>
  <c r="BG2715" i="1"/>
  <c r="T2716" i="1"/>
  <c r="U2716" i="1"/>
  <c r="V2716" i="1"/>
  <c r="W2716" i="1"/>
  <c r="X2716" i="1"/>
  <c r="Y2716" i="1"/>
  <c r="Z2716" i="1"/>
  <c r="AB2716" i="1"/>
  <c r="AF2716" i="1"/>
  <c r="AI2716" i="1"/>
  <c r="H2717" i="1"/>
  <c r="AE2717" i="1"/>
  <c r="I2717" i="1"/>
  <c r="J2717" i="1"/>
  <c r="K2717" i="1"/>
  <c r="AC2717" i="1"/>
  <c r="AJ2716" i="1"/>
  <c r="AK2716" i="1"/>
  <c r="AM2716" i="1"/>
  <c r="BF2716" i="1"/>
  <c r="BG2716" i="1"/>
  <c r="T2717" i="1"/>
  <c r="U2717" i="1"/>
  <c r="V2717" i="1"/>
  <c r="W2717" i="1"/>
  <c r="X2717" i="1"/>
  <c r="Y2717" i="1"/>
  <c r="Z2717" i="1"/>
  <c r="AB2717" i="1"/>
  <c r="AF2717" i="1"/>
  <c r="AI2717" i="1"/>
  <c r="AE2718" i="1"/>
  <c r="AC2718" i="1"/>
  <c r="AJ2717" i="1"/>
  <c r="AK2717" i="1"/>
  <c r="AM2717" i="1"/>
  <c r="BF2717" i="1"/>
  <c r="BG2717" i="1"/>
  <c r="T2718" i="1"/>
  <c r="U2718" i="1"/>
  <c r="V2718" i="1"/>
  <c r="W2718" i="1"/>
  <c r="X2718" i="1"/>
  <c r="Y2718" i="1"/>
  <c r="Z2718" i="1"/>
  <c r="AB2718" i="1"/>
  <c r="AF2718" i="1"/>
  <c r="AI2718" i="1"/>
  <c r="AE2719" i="1"/>
  <c r="AC2719" i="1"/>
  <c r="AJ2718" i="1"/>
  <c r="AK2718" i="1"/>
  <c r="AM2718" i="1"/>
  <c r="BF2718" i="1"/>
  <c r="BG2718" i="1"/>
  <c r="T2719" i="1"/>
  <c r="U2719" i="1"/>
  <c r="V2719" i="1"/>
  <c r="W2719" i="1"/>
  <c r="X2719" i="1"/>
  <c r="Y2719" i="1"/>
  <c r="Z2719" i="1"/>
  <c r="AB2719" i="1"/>
  <c r="AF2719" i="1"/>
  <c r="AI2719" i="1"/>
  <c r="AE2720" i="1"/>
  <c r="AC2720" i="1"/>
  <c r="AJ2719" i="1"/>
  <c r="AK2719" i="1"/>
  <c r="AM2719" i="1"/>
  <c r="BF2719" i="1"/>
  <c r="BG2719" i="1"/>
  <c r="T2720" i="1"/>
  <c r="U2720" i="1"/>
  <c r="V2720" i="1"/>
  <c r="W2720" i="1"/>
  <c r="X2720" i="1"/>
  <c r="Y2720" i="1"/>
  <c r="Z2720" i="1"/>
  <c r="AB2720" i="1"/>
  <c r="AF2720" i="1"/>
  <c r="AI2720" i="1"/>
  <c r="H2721" i="1"/>
  <c r="AE2721" i="1"/>
  <c r="I2721" i="1"/>
  <c r="J2721" i="1"/>
  <c r="K2721" i="1"/>
  <c r="AC2721" i="1"/>
  <c r="AJ2720" i="1"/>
  <c r="AK2720" i="1"/>
  <c r="AM2720" i="1"/>
  <c r="BG2720" i="1"/>
  <c r="T2721" i="1"/>
  <c r="U2721" i="1"/>
  <c r="V2721" i="1"/>
  <c r="W2721" i="1"/>
  <c r="X2721" i="1"/>
  <c r="Y2721" i="1"/>
  <c r="Z2721" i="1"/>
  <c r="AB2721" i="1"/>
  <c r="AF2721" i="1"/>
  <c r="AI2721" i="1"/>
  <c r="H2722" i="1"/>
  <c r="AE2722" i="1"/>
  <c r="I2722" i="1"/>
  <c r="J2722" i="1"/>
  <c r="K2722" i="1"/>
  <c r="AC2722" i="1"/>
  <c r="AJ2721" i="1"/>
  <c r="AK2721" i="1"/>
  <c r="AM2721" i="1"/>
  <c r="BF2721" i="1"/>
  <c r="BG2721" i="1"/>
  <c r="T2722" i="1"/>
  <c r="U2722" i="1"/>
  <c r="V2722" i="1"/>
  <c r="W2722" i="1"/>
  <c r="X2722" i="1"/>
  <c r="Y2722" i="1"/>
  <c r="Z2722" i="1"/>
  <c r="AB2722" i="1"/>
  <c r="AF2722" i="1"/>
  <c r="AI2722" i="1"/>
  <c r="AE2723" i="1"/>
  <c r="AC2723" i="1"/>
  <c r="AJ2722" i="1"/>
  <c r="AK2722" i="1"/>
  <c r="AM2722" i="1"/>
  <c r="BF2722" i="1"/>
  <c r="BG2722" i="1"/>
  <c r="T2723" i="1"/>
  <c r="U2723" i="1"/>
  <c r="V2723" i="1"/>
  <c r="W2723" i="1"/>
  <c r="X2723" i="1"/>
  <c r="Y2723" i="1"/>
  <c r="Z2723" i="1"/>
  <c r="AB2723" i="1"/>
  <c r="AF2723" i="1"/>
  <c r="AI2723" i="1"/>
  <c r="AE2724" i="1"/>
  <c r="AC2724" i="1"/>
  <c r="AJ2723" i="1"/>
  <c r="AK2723" i="1"/>
  <c r="AM2723" i="1"/>
  <c r="BF2723" i="1"/>
  <c r="BG2723" i="1"/>
  <c r="T2724" i="1"/>
  <c r="U2724" i="1"/>
  <c r="V2724" i="1"/>
  <c r="W2724" i="1"/>
  <c r="X2724" i="1"/>
  <c r="Y2724" i="1"/>
  <c r="Z2724" i="1"/>
  <c r="AB2724" i="1"/>
  <c r="AF2724" i="1"/>
  <c r="AI2724" i="1"/>
  <c r="H2725" i="1"/>
  <c r="AE2725" i="1"/>
  <c r="I2725" i="1"/>
  <c r="J2725" i="1"/>
  <c r="K2725" i="1"/>
  <c r="AC2725" i="1"/>
  <c r="AJ2724" i="1"/>
  <c r="AK2724" i="1"/>
  <c r="AM2724" i="1"/>
  <c r="BG2724" i="1"/>
  <c r="T2725" i="1"/>
  <c r="U2725" i="1"/>
  <c r="V2725" i="1"/>
  <c r="W2725" i="1"/>
  <c r="X2725" i="1"/>
  <c r="Y2725" i="1"/>
  <c r="Z2725" i="1"/>
  <c r="AB2725" i="1"/>
  <c r="AF2725" i="1"/>
  <c r="AI2725" i="1"/>
  <c r="H2726" i="1"/>
  <c r="AE2726" i="1"/>
  <c r="I2726" i="1"/>
  <c r="J2726" i="1"/>
  <c r="K2726" i="1"/>
  <c r="AC2726" i="1"/>
  <c r="AJ2725" i="1"/>
  <c r="AK2725" i="1"/>
  <c r="AM2725" i="1"/>
  <c r="BF2725" i="1"/>
  <c r="BG2725" i="1"/>
  <c r="T2726" i="1"/>
  <c r="U2726" i="1"/>
  <c r="V2726" i="1"/>
  <c r="W2726" i="1"/>
  <c r="X2726" i="1"/>
  <c r="Y2726" i="1"/>
  <c r="Z2726" i="1"/>
  <c r="AB2726" i="1"/>
  <c r="AF2726" i="1"/>
  <c r="AI2726" i="1"/>
  <c r="AE2727" i="1"/>
  <c r="AC2727" i="1"/>
  <c r="AJ2726" i="1"/>
  <c r="AK2726" i="1"/>
  <c r="AM2726" i="1"/>
  <c r="BF2726" i="1"/>
  <c r="BG2726" i="1"/>
  <c r="T2727" i="1"/>
  <c r="U2727" i="1"/>
  <c r="V2727" i="1"/>
  <c r="W2727" i="1"/>
  <c r="X2727" i="1"/>
  <c r="Y2727" i="1"/>
  <c r="Z2727" i="1"/>
  <c r="AB2727" i="1"/>
  <c r="AF2727" i="1"/>
  <c r="AI2727" i="1"/>
  <c r="AE2728" i="1"/>
  <c r="AC2728" i="1"/>
  <c r="AJ2727" i="1"/>
  <c r="AK2727" i="1"/>
  <c r="AM2727" i="1"/>
  <c r="BF2727" i="1"/>
  <c r="BG2727" i="1"/>
  <c r="T2728" i="1"/>
  <c r="U2728" i="1"/>
  <c r="V2728" i="1"/>
  <c r="W2728" i="1"/>
  <c r="X2728" i="1"/>
  <c r="Y2728" i="1"/>
  <c r="Z2728" i="1"/>
  <c r="AB2728" i="1"/>
  <c r="AF2728" i="1"/>
  <c r="AI2728" i="1"/>
  <c r="AE2729" i="1"/>
  <c r="AC2729" i="1"/>
  <c r="AJ2728" i="1"/>
  <c r="AK2728" i="1"/>
  <c r="AM2728" i="1"/>
  <c r="BF2728" i="1"/>
  <c r="BG2728" i="1"/>
  <c r="T2729" i="1"/>
  <c r="U2729" i="1"/>
  <c r="V2729" i="1"/>
  <c r="W2729" i="1"/>
  <c r="X2729" i="1"/>
  <c r="Y2729" i="1"/>
  <c r="Z2729" i="1"/>
  <c r="AB2729" i="1"/>
  <c r="AF2729" i="1"/>
  <c r="AI2729" i="1"/>
  <c r="H2730" i="1"/>
  <c r="AE2730" i="1"/>
  <c r="I2730" i="1"/>
  <c r="J2730" i="1"/>
  <c r="K2730" i="1"/>
  <c r="AC2730" i="1"/>
  <c r="AJ2729" i="1"/>
  <c r="AK2729" i="1"/>
  <c r="AM2729" i="1"/>
  <c r="BG2729" i="1"/>
  <c r="T2730" i="1"/>
  <c r="U2730" i="1"/>
  <c r="V2730" i="1"/>
  <c r="W2730" i="1"/>
  <c r="X2730" i="1"/>
  <c r="Y2730" i="1"/>
  <c r="Z2730" i="1"/>
  <c r="AB2730" i="1"/>
  <c r="AF2730" i="1"/>
  <c r="AI2730" i="1"/>
  <c r="AE2731" i="1"/>
  <c r="AC2731" i="1"/>
  <c r="AJ2730" i="1"/>
  <c r="AK2730" i="1"/>
  <c r="AM2730" i="1"/>
  <c r="BF2730" i="1"/>
  <c r="BG2730" i="1"/>
  <c r="T2731" i="1"/>
  <c r="U2731" i="1"/>
  <c r="V2731" i="1"/>
  <c r="W2731" i="1"/>
  <c r="X2731" i="1"/>
  <c r="Y2731" i="1"/>
  <c r="Z2731" i="1"/>
  <c r="AB2731" i="1"/>
  <c r="AF2731" i="1"/>
  <c r="AI2731" i="1"/>
  <c r="AE2732" i="1"/>
  <c r="AC2732" i="1"/>
  <c r="AJ2731" i="1"/>
  <c r="AK2731" i="1"/>
  <c r="AM2731" i="1"/>
  <c r="BF2731" i="1"/>
  <c r="BG2731" i="1"/>
  <c r="T2732" i="1"/>
  <c r="U2732" i="1"/>
  <c r="V2732" i="1"/>
  <c r="W2732" i="1"/>
  <c r="X2732" i="1"/>
  <c r="Y2732" i="1"/>
  <c r="Z2732" i="1"/>
  <c r="AB2732" i="1"/>
  <c r="AF2732" i="1"/>
  <c r="AI2732" i="1"/>
  <c r="H2733" i="1"/>
  <c r="AE2733" i="1"/>
  <c r="I2733" i="1"/>
  <c r="J2733" i="1"/>
  <c r="K2733" i="1"/>
  <c r="AC2733" i="1"/>
  <c r="AJ2732" i="1"/>
  <c r="AK2732" i="1"/>
  <c r="AM2732" i="1"/>
  <c r="BG2732" i="1"/>
  <c r="T2733" i="1"/>
  <c r="U2733" i="1"/>
  <c r="V2733" i="1"/>
  <c r="W2733" i="1"/>
  <c r="X2733" i="1"/>
  <c r="Y2733" i="1"/>
  <c r="Z2733" i="1"/>
  <c r="AB2733" i="1"/>
  <c r="AF2733" i="1"/>
  <c r="AI2733" i="1"/>
  <c r="H2734" i="1"/>
  <c r="AE2734" i="1"/>
  <c r="I2734" i="1"/>
  <c r="J2734" i="1"/>
  <c r="K2734" i="1"/>
  <c r="AC2734" i="1"/>
  <c r="AJ2733" i="1"/>
  <c r="AK2733" i="1"/>
  <c r="AM2733" i="1"/>
  <c r="BF2733" i="1"/>
  <c r="BG2733" i="1"/>
  <c r="T2734" i="1"/>
  <c r="U2734" i="1"/>
  <c r="V2734" i="1"/>
  <c r="W2734" i="1"/>
  <c r="X2734" i="1"/>
  <c r="Y2734" i="1"/>
  <c r="Z2734" i="1"/>
  <c r="AB2734" i="1"/>
  <c r="AF2734" i="1"/>
  <c r="AI2734" i="1"/>
  <c r="H2735" i="1"/>
  <c r="AE2735" i="1"/>
  <c r="I2735" i="1"/>
  <c r="J2735" i="1"/>
  <c r="K2735" i="1"/>
  <c r="AC2735" i="1"/>
  <c r="AJ2734" i="1"/>
  <c r="AK2734" i="1"/>
  <c r="AM2734" i="1"/>
  <c r="BF2734" i="1"/>
  <c r="BG2734" i="1"/>
  <c r="T2735" i="1"/>
  <c r="U2735" i="1"/>
  <c r="V2735" i="1"/>
  <c r="W2735" i="1"/>
  <c r="X2735" i="1"/>
  <c r="Y2735" i="1"/>
  <c r="Z2735" i="1"/>
  <c r="AB2735" i="1"/>
  <c r="AF2735" i="1"/>
  <c r="AI2735" i="1"/>
  <c r="H2736" i="1"/>
  <c r="AE2736" i="1"/>
  <c r="I2736" i="1"/>
  <c r="J2736" i="1"/>
  <c r="K2736" i="1"/>
  <c r="AC2736" i="1"/>
  <c r="AJ2735" i="1"/>
  <c r="AK2735" i="1"/>
  <c r="AM2735" i="1"/>
  <c r="BF2735" i="1"/>
  <c r="BG2735" i="1"/>
  <c r="T2736" i="1"/>
  <c r="U2736" i="1"/>
  <c r="V2736" i="1"/>
  <c r="W2736" i="1"/>
  <c r="X2736" i="1"/>
  <c r="Y2736" i="1"/>
  <c r="Z2736" i="1"/>
  <c r="AB2736" i="1"/>
  <c r="AF2736" i="1"/>
  <c r="AI2736" i="1"/>
  <c r="H2737" i="1"/>
  <c r="AE2737" i="1"/>
  <c r="I2737" i="1"/>
  <c r="J2737" i="1"/>
  <c r="K2737" i="1"/>
  <c r="AC2737" i="1"/>
  <c r="AJ2736" i="1"/>
  <c r="AK2736" i="1"/>
  <c r="AM2736" i="1"/>
  <c r="BF2736" i="1"/>
  <c r="BG2736" i="1"/>
  <c r="T2737" i="1"/>
  <c r="U2737" i="1"/>
  <c r="V2737" i="1"/>
  <c r="W2737" i="1"/>
  <c r="X2737" i="1"/>
  <c r="Y2737" i="1"/>
  <c r="Z2737" i="1"/>
  <c r="AB2737" i="1"/>
  <c r="AF2737" i="1"/>
  <c r="AI2737" i="1"/>
  <c r="H2738" i="1"/>
  <c r="AE2738" i="1"/>
  <c r="I2738" i="1"/>
  <c r="J2738" i="1"/>
  <c r="K2738" i="1"/>
  <c r="AC2738" i="1"/>
  <c r="AJ2737" i="1"/>
  <c r="AK2737" i="1"/>
  <c r="AM2737" i="1"/>
  <c r="BF2737" i="1"/>
  <c r="BG2737" i="1"/>
  <c r="T2738" i="1"/>
  <c r="U2738" i="1"/>
  <c r="V2738" i="1"/>
  <c r="W2738" i="1"/>
  <c r="X2738" i="1"/>
  <c r="Y2738" i="1"/>
  <c r="Z2738" i="1"/>
  <c r="AB2738" i="1"/>
  <c r="AF2738" i="1"/>
  <c r="AI2738" i="1"/>
  <c r="H2739" i="1"/>
  <c r="AE2739" i="1"/>
  <c r="I2739" i="1"/>
  <c r="J2739" i="1"/>
  <c r="K2739" i="1"/>
  <c r="AC2739" i="1"/>
  <c r="AJ2738" i="1"/>
  <c r="AK2738" i="1"/>
  <c r="AM2738" i="1"/>
  <c r="BF2738" i="1"/>
  <c r="BG2738" i="1"/>
  <c r="T2739" i="1"/>
  <c r="U2739" i="1"/>
  <c r="V2739" i="1"/>
  <c r="W2739" i="1"/>
  <c r="X2739" i="1"/>
  <c r="Y2739" i="1"/>
  <c r="Z2739" i="1"/>
  <c r="AB2739" i="1"/>
  <c r="AF2739" i="1"/>
  <c r="AI2739" i="1"/>
  <c r="H2740" i="1"/>
  <c r="AE2740" i="1"/>
  <c r="I2740" i="1"/>
  <c r="J2740" i="1"/>
  <c r="K2740" i="1"/>
  <c r="AC2740" i="1"/>
  <c r="AJ2739" i="1"/>
  <c r="AK2739" i="1"/>
  <c r="AM2739" i="1"/>
  <c r="BF2739" i="1"/>
  <c r="BG2739" i="1"/>
  <c r="T2740" i="1"/>
  <c r="U2740" i="1"/>
  <c r="V2740" i="1"/>
  <c r="W2740" i="1"/>
  <c r="X2740" i="1"/>
  <c r="Y2740" i="1"/>
  <c r="Z2740" i="1"/>
  <c r="AB2740" i="1"/>
  <c r="AF2740" i="1"/>
  <c r="AI2740" i="1"/>
  <c r="AE2741" i="1"/>
  <c r="AC2741" i="1"/>
  <c r="AJ2740" i="1"/>
  <c r="AK2740" i="1"/>
  <c r="AM2740" i="1"/>
  <c r="BF2740" i="1"/>
  <c r="BG2740" i="1"/>
  <c r="T2741" i="1"/>
  <c r="U2741" i="1"/>
  <c r="V2741" i="1"/>
  <c r="W2741" i="1"/>
  <c r="X2741" i="1"/>
  <c r="Y2741" i="1"/>
  <c r="Z2741" i="1"/>
  <c r="AB2741" i="1"/>
  <c r="AF2741" i="1"/>
  <c r="AI2741" i="1"/>
  <c r="AE2742" i="1"/>
  <c r="AC2742" i="1"/>
  <c r="AJ2741" i="1"/>
  <c r="AK2741" i="1"/>
  <c r="AM2741" i="1"/>
  <c r="BF2741" i="1"/>
  <c r="BG2741" i="1"/>
  <c r="T2742" i="1"/>
  <c r="U2742" i="1"/>
  <c r="V2742" i="1"/>
  <c r="W2742" i="1"/>
  <c r="X2742" i="1"/>
  <c r="Y2742" i="1"/>
  <c r="Z2742" i="1"/>
  <c r="AB2742" i="1"/>
  <c r="AF2742" i="1"/>
  <c r="AI2742" i="1"/>
  <c r="H2743" i="1"/>
  <c r="AE2743" i="1"/>
  <c r="I2743" i="1"/>
  <c r="J2743" i="1"/>
  <c r="K2743" i="1"/>
  <c r="AC2743" i="1"/>
  <c r="AJ2742" i="1"/>
  <c r="AK2742" i="1"/>
  <c r="AM2742" i="1"/>
  <c r="BG2742" i="1"/>
  <c r="T2743" i="1"/>
  <c r="U2743" i="1"/>
  <c r="V2743" i="1"/>
  <c r="W2743" i="1"/>
  <c r="X2743" i="1"/>
  <c r="Y2743" i="1"/>
  <c r="Z2743" i="1"/>
  <c r="AB2743" i="1"/>
  <c r="AF2743" i="1"/>
  <c r="AI2743" i="1"/>
  <c r="H2744" i="1"/>
  <c r="AE2744" i="1"/>
  <c r="I2744" i="1"/>
  <c r="J2744" i="1"/>
  <c r="K2744" i="1"/>
  <c r="AC2744" i="1"/>
  <c r="AJ2743" i="1"/>
  <c r="AK2743" i="1"/>
  <c r="AM2743" i="1"/>
  <c r="BF2743" i="1"/>
  <c r="BG2743" i="1"/>
  <c r="T2744" i="1"/>
  <c r="U2744" i="1"/>
  <c r="V2744" i="1"/>
  <c r="W2744" i="1"/>
  <c r="X2744" i="1"/>
  <c r="Y2744" i="1"/>
  <c r="Z2744" i="1"/>
  <c r="AB2744" i="1"/>
  <c r="AF2744" i="1"/>
  <c r="AI2744" i="1"/>
  <c r="H2745" i="1"/>
  <c r="AE2745" i="1"/>
  <c r="I2745" i="1"/>
  <c r="J2745" i="1"/>
  <c r="K2745" i="1"/>
  <c r="AC2745" i="1"/>
  <c r="AJ2744" i="1"/>
  <c r="AK2744" i="1"/>
  <c r="AM2744" i="1"/>
  <c r="BF2744" i="1"/>
  <c r="BG2744" i="1"/>
  <c r="T2745" i="1"/>
  <c r="U2745" i="1"/>
  <c r="V2745" i="1"/>
  <c r="W2745" i="1"/>
  <c r="X2745" i="1"/>
  <c r="Y2745" i="1"/>
  <c r="Z2745" i="1"/>
  <c r="AB2745" i="1"/>
  <c r="AF2745" i="1"/>
  <c r="AI2745" i="1"/>
  <c r="AE2746" i="1"/>
  <c r="AC2746" i="1"/>
  <c r="AJ2745" i="1"/>
  <c r="AK2745" i="1"/>
  <c r="AM2745" i="1"/>
  <c r="BF2745" i="1"/>
  <c r="BG2745" i="1"/>
  <c r="T2746" i="1"/>
  <c r="U2746" i="1"/>
  <c r="V2746" i="1"/>
  <c r="W2746" i="1"/>
  <c r="X2746" i="1"/>
  <c r="Y2746" i="1"/>
  <c r="Z2746" i="1"/>
  <c r="AB2746" i="1"/>
  <c r="AF2746" i="1"/>
  <c r="AI2746" i="1"/>
  <c r="AE2747" i="1"/>
  <c r="AC2747" i="1"/>
  <c r="AJ2746" i="1"/>
  <c r="AK2746" i="1"/>
  <c r="AM2746" i="1"/>
  <c r="BF2746" i="1"/>
  <c r="BG2746" i="1"/>
  <c r="T2747" i="1"/>
  <c r="U2747" i="1"/>
  <c r="V2747" i="1"/>
  <c r="W2747" i="1"/>
  <c r="X2747" i="1"/>
  <c r="Y2747" i="1"/>
  <c r="Z2747" i="1"/>
  <c r="AB2747" i="1"/>
  <c r="AF2747" i="1"/>
  <c r="AI2747" i="1"/>
  <c r="H2748" i="1"/>
  <c r="AE2748" i="1"/>
  <c r="I2748" i="1"/>
  <c r="J2748" i="1"/>
  <c r="K2748" i="1"/>
  <c r="AC2748" i="1"/>
  <c r="AJ2747" i="1"/>
  <c r="AK2747" i="1"/>
  <c r="AM2747" i="1"/>
  <c r="BG2747" i="1"/>
  <c r="T2748" i="1"/>
  <c r="U2748" i="1"/>
  <c r="V2748" i="1"/>
  <c r="W2748" i="1"/>
  <c r="X2748" i="1"/>
  <c r="Y2748" i="1"/>
  <c r="Z2748" i="1"/>
  <c r="AB2748" i="1"/>
  <c r="AF2748" i="1"/>
  <c r="AI2748" i="1"/>
  <c r="H2749" i="1"/>
  <c r="AE2749" i="1"/>
  <c r="I2749" i="1"/>
  <c r="J2749" i="1"/>
  <c r="K2749" i="1"/>
  <c r="AC2749" i="1"/>
  <c r="AJ2748" i="1"/>
  <c r="AK2748" i="1"/>
  <c r="AM2748" i="1"/>
  <c r="BF2748" i="1"/>
  <c r="BG2748" i="1"/>
  <c r="T2749" i="1"/>
  <c r="U2749" i="1"/>
  <c r="V2749" i="1"/>
  <c r="W2749" i="1"/>
  <c r="X2749" i="1"/>
  <c r="Y2749" i="1"/>
  <c r="Z2749" i="1"/>
  <c r="AB2749" i="1"/>
  <c r="AF2749" i="1"/>
  <c r="AI2749" i="1"/>
  <c r="AE2750" i="1"/>
  <c r="AC2750" i="1"/>
  <c r="AJ2749" i="1"/>
  <c r="AK2749" i="1"/>
  <c r="AM2749" i="1"/>
  <c r="BF2749" i="1"/>
  <c r="BG2749" i="1"/>
  <c r="T2750" i="1"/>
  <c r="U2750" i="1"/>
  <c r="V2750" i="1"/>
  <c r="W2750" i="1"/>
  <c r="X2750" i="1"/>
  <c r="Y2750" i="1"/>
  <c r="Z2750" i="1"/>
  <c r="AB2750" i="1"/>
  <c r="AF2750" i="1"/>
  <c r="AI2750" i="1"/>
  <c r="AE2751" i="1"/>
  <c r="AC2751" i="1"/>
  <c r="AJ2750" i="1"/>
  <c r="AK2750" i="1"/>
  <c r="AM2750" i="1"/>
  <c r="BF2750" i="1"/>
  <c r="BG2750" i="1"/>
  <c r="T2751" i="1"/>
  <c r="U2751" i="1"/>
  <c r="V2751" i="1"/>
  <c r="W2751" i="1"/>
  <c r="X2751" i="1"/>
  <c r="Y2751" i="1"/>
  <c r="Z2751" i="1"/>
  <c r="AB2751" i="1"/>
  <c r="AF2751" i="1"/>
  <c r="AI2751" i="1"/>
  <c r="H2752" i="1"/>
  <c r="AE2752" i="1"/>
  <c r="I2752" i="1"/>
  <c r="J2752" i="1"/>
  <c r="K2752" i="1"/>
  <c r="AC2752" i="1"/>
  <c r="AJ2751" i="1"/>
  <c r="AK2751" i="1"/>
  <c r="AM2751" i="1"/>
  <c r="BG2751" i="1"/>
  <c r="T2752" i="1"/>
  <c r="U2752" i="1"/>
  <c r="V2752" i="1"/>
  <c r="W2752" i="1"/>
  <c r="X2752" i="1"/>
  <c r="Y2752" i="1"/>
  <c r="Z2752" i="1"/>
  <c r="AB2752" i="1"/>
  <c r="AF2752" i="1"/>
  <c r="AI2752" i="1"/>
  <c r="AE2753" i="1"/>
  <c r="AC2753" i="1"/>
  <c r="AJ2752" i="1"/>
  <c r="AK2752" i="1"/>
  <c r="AM2752" i="1"/>
  <c r="BF2752" i="1"/>
  <c r="BG2752" i="1"/>
  <c r="T2753" i="1"/>
  <c r="U2753" i="1"/>
  <c r="V2753" i="1"/>
  <c r="W2753" i="1"/>
  <c r="X2753" i="1"/>
  <c r="Y2753" i="1"/>
  <c r="Z2753" i="1"/>
  <c r="AB2753" i="1"/>
  <c r="AF2753" i="1"/>
  <c r="AI2753" i="1"/>
  <c r="AE2754" i="1"/>
  <c r="AC2754" i="1"/>
  <c r="AJ2753" i="1"/>
  <c r="AK2753" i="1"/>
  <c r="AM2753" i="1"/>
  <c r="BF2753" i="1"/>
  <c r="BG2753" i="1"/>
  <c r="T2754" i="1"/>
  <c r="U2754" i="1"/>
  <c r="V2754" i="1"/>
  <c r="W2754" i="1"/>
  <c r="X2754" i="1"/>
  <c r="Y2754" i="1"/>
  <c r="Z2754" i="1"/>
  <c r="AB2754" i="1"/>
  <c r="AF2754" i="1"/>
  <c r="AI2754" i="1"/>
  <c r="H2755" i="1"/>
  <c r="AE2755" i="1"/>
  <c r="I2755" i="1"/>
  <c r="J2755" i="1"/>
  <c r="K2755" i="1"/>
  <c r="AC2755" i="1"/>
  <c r="AJ2754" i="1"/>
  <c r="AK2754" i="1"/>
  <c r="AM2754" i="1"/>
  <c r="BG2754" i="1"/>
  <c r="T2755" i="1"/>
  <c r="U2755" i="1"/>
  <c r="V2755" i="1"/>
  <c r="W2755" i="1"/>
  <c r="X2755" i="1"/>
  <c r="Y2755" i="1"/>
  <c r="Z2755" i="1"/>
  <c r="AB2755" i="1"/>
  <c r="AF2755" i="1"/>
  <c r="AI2755" i="1"/>
  <c r="H2756" i="1"/>
  <c r="AE2756" i="1"/>
  <c r="I2756" i="1"/>
  <c r="J2756" i="1"/>
  <c r="K2756" i="1"/>
  <c r="AC2756" i="1"/>
  <c r="AJ2755" i="1"/>
  <c r="AK2755" i="1"/>
  <c r="AM2755" i="1"/>
  <c r="BF2755" i="1"/>
  <c r="BG2755" i="1"/>
  <c r="T2756" i="1"/>
  <c r="U2756" i="1"/>
  <c r="V2756" i="1"/>
  <c r="W2756" i="1"/>
  <c r="X2756" i="1"/>
  <c r="Y2756" i="1"/>
  <c r="Z2756" i="1"/>
  <c r="AB2756" i="1"/>
  <c r="AF2756" i="1"/>
  <c r="AI2756" i="1"/>
  <c r="AE2757" i="1"/>
  <c r="AC2757" i="1"/>
  <c r="AJ2756" i="1"/>
  <c r="AK2756" i="1"/>
  <c r="AM2756" i="1"/>
  <c r="BF2756" i="1"/>
  <c r="BG2756" i="1"/>
  <c r="T2757" i="1"/>
  <c r="U2757" i="1"/>
  <c r="V2757" i="1"/>
  <c r="W2757" i="1"/>
  <c r="X2757" i="1"/>
  <c r="Y2757" i="1"/>
  <c r="Z2757" i="1"/>
  <c r="AB2757" i="1"/>
  <c r="AF2757" i="1"/>
  <c r="AI2757" i="1"/>
  <c r="AE2758" i="1"/>
  <c r="AC2758" i="1"/>
  <c r="AJ2757" i="1"/>
  <c r="AK2757" i="1"/>
  <c r="AM2757" i="1"/>
  <c r="BF2757" i="1"/>
  <c r="BG2757" i="1"/>
  <c r="T2758" i="1"/>
  <c r="U2758" i="1"/>
  <c r="V2758" i="1"/>
  <c r="W2758" i="1"/>
  <c r="X2758" i="1"/>
  <c r="Y2758" i="1"/>
  <c r="Z2758" i="1"/>
  <c r="AB2758" i="1"/>
  <c r="AF2758" i="1"/>
  <c r="AI2758" i="1"/>
  <c r="H2759" i="1"/>
  <c r="AE2759" i="1"/>
  <c r="I2759" i="1"/>
  <c r="J2759" i="1"/>
  <c r="K2759" i="1"/>
  <c r="AC2759" i="1"/>
  <c r="AJ2758" i="1"/>
  <c r="AK2758" i="1"/>
  <c r="AM2758" i="1"/>
  <c r="BG2758" i="1"/>
  <c r="T2759" i="1"/>
  <c r="U2759" i="1"/>
  <c r="V2759" i="1"/>
  <c r="W2759" i="1"/>
  <c r="X2759" i="1"/>
  <c r="Y2759" i="1"/>
  <c r="Z2759" i="1"/>
  <c r="AB2759" i="1"/>
  <c r="AF2759" i="1"/>
  <c r="AI2759" i="1"/>
  <c r="H2760" i="1"/>
  <c r="AE2760" i="1"/>
  <c r="I2760" i="1"/>
  <c r="J2760" i="1"/>
  <c r="K2760" i="1"/>
  <c r="AC2760" i="1"/>
  <c r="AJ2759" i="1"/>
  <c r="AK2759" i="1"/>
  <c r="AM2759" i="1"/>
  <c r="BF2759" i="1"/>
  <c r="BG2759" i="1"/>
  <c r="T2760" i="1"/>
  <c r="U2760" i="1"/>
  <c r="V2760" i="1"/>
  <c r="W2760" i="1"/>
  <c r="X2760" i="1"/>
  <c r="Y2760" i="1"/>
  <c r="Z2760" i="1"/>
  <c r="AB2760" i="1"/>
  <c r="AF2760" i="1"/>
  <c r="AI2760" i="1"/>
  <c r="H2761" i="1"/>
  <c r="AE2761" i="1"/>
  <c r="I2761" i="1"/>
  <c r="J2761" i="1"/>
  <c r="K2761" i="1"/>
  <c r="AC2761" i="1"/>
  <c r="AJ2760" i="1"/>
  <c r="AK2760" i="1"/>
  <c r="AM2760" i="1"/>
  <c r="BF2760" i="1"/>
  <c r="BG2760" i="1"/>
  <c r="T2761" i="1"/>
  <c r="U2761" i="1"/>
  <c r="V2761" i="1"/>
  <c r="W2761" i="1"/>
  <c r="X2761" i="1"/>
  <c r="Y2761" i="1"/>
  <c r="Z2761" i="1"/>
  <c r="AB2761" i="1"/>
  <c r="AF2761" i="1"/>
  <c r="AI2761" i="1"/>
  <c r="AE2762" i="1"/>
  <c r="AC2762" i="1"/>
  <c r="AJ2761" i="1"/>
  <c r="AK2761" i="1"/>
  <c r="AM2761" i="1"/>
  <c r="BF2761" i="1"/>
  <c r="BG2761" i="1"/>
  <c r="T2762" i="1"/>
  <c r="U2762" i="1"/>
  <c r="V2762" i="1"/>
  <c r="W2762" i="1"/>
  <c r="X2762" i="1"/>
  <c r="Y2762" i="1"/>
  <c r="Z2762" i="1"/>
  <c r="AB2762" i="1"/>
  <c r="AF2762" i="1"/>
  <c r="AI2762" i="1"/>
  <c r="AE2763" i="1"/>
  <c r="AC2763" i="1"/>
  <c r="AJ2762" i="1"/>
  <c r="AK2762" i="1"/>
  <c r="AM2762" i="1"/>
  <c r="BF2762" i="1"/>
  <c r="BG2762" i="1"/>
  <c r="T2763" i="1"/>
  <c r="U2763" i="1"/>
  <c r="V2763" i="1"/>
  <c r="W2763" i="1"/>
  <c r="X2763" i="1"/>
  <c r="Y2763" i="1"/>
  <c r="Z2763" i="1"/>
  <c r="AB2763" i="1"/>
  <c r="AF2763" i="1"/>
  <c r="AI2763" i="1"/>
  <c r="H2764" i="1"/>
  <c r="AE2764" i="1"/>
  <c r="I2764" i="1"/>
  <c r="J2764" i="1"/>
  <c r="K2764" i="1"/>
  <c r="AC2764" i="1"/>
  <c r="AJ2763" i="1"/>
  <c r="AK2763" i="1"/>
  <c r="AM2763" i="1"/>
  <c r="BG2763" i="1"/>
  <c r="T2764" i="1"/>
  <c r="U2764" i="1"/>
  <c r="V2764" i="1"/>
  <c r="W2764" i="1"/>
  <c r="X2764" i="1"/>
  <c r="Y2764" i="1"/>
  <c r="Z2764" i="1"/>
  <c r="AB2764" i="1"/>
  <c r="AF2764" i="1"/>
  <c r="AI2764" i="1"/>
  <c r="AE2765" i="1"/>
  <c r="AC2765" i="1"/>
  <c r="AJ2764" i="1"/>
  <c r="AK2764" i="1"/>
  <c r="AM2764" i="1"/>
  <c r="BF2764" i="1"/>
  <c r="BG2764" i="1"/>
  <c r="T2765" i="1"/>
  <c r="U2765" i="1"/>
  <c r="V2765" i="1"/>
  <c r="W2765" i="1"/>
  <c r="X2765" i="1"/>
  <c r="Y2765" i="1"/>
  <c r="Z2765" i="1"/>
  <c r="AB2765" i="1"/>
  <c r="AF2765" i="1"/>
  <c r="AI2765" i="1"/>
  <c r="AE2766" i="1"/>
  <c r="AC2766" i="1"/>
  <c r="AJ2765" i="1"/>
  <c r="AK2765" i="1"/>
  <c r="AM2765" i="1"/>
  <c r="BF2765" i="1"/>
  <c r="BG2765" i="1"/>
  <c r="T2766" i="1"/>
  <c r="U2766" i="1"/>
  <c r="V2766" i="1"/>
  <c r="W2766" i="1"/>
  <c r="X2766" i="1"/>
  <c r="Y2766" i="1"/>
  <c r="Z2766" i="1"/>
  <c r="AB2766" i="1"/>
  <c r="AF2766" i="1"/>
  <c r="AI2766" i="1"/>
  <c r="H2767" i="1"/>
  <c r="AE2767" i="1"/>
  <c r="I2767" i="1"/>
  <c r="J2767" i="1"/>
  <c r="K2767" i="1"/>
  <c r="AC2767" i="1"/>
  <c r="AJ2766" i="1"/>
  <c r="AK2766" i="1"/>
  <c r="AM2766" i="1"/>
  <c r="BG2766" i="1"/>
  <c r="T2767" i="1"/>
  <c r="U2767" i="1"/>
  <c r="V2767" i="1"/>
  <c r="W2767" i="1"/>
  <c r="X2767" i="1"/>
  <c r="Y2767" i="1"/>
  <c r="Z2767" i="1"/>
  <c r="AB2767" i="1"/>
  <c r="AF2767" i="1"/>
  <c r="AI2767" i="1"/>
  <c r="H2768" i="1"/>
  <c r="AE2768" i="1"/>
  <c r="I2768" i="1"/>
  <c r="J2768" i="1"/>
  <c r="K2768" i="1"/>
  <c r="AC2768" i="1"/>
  <c r="AJ2767" i="1"/>
  <c r="AK2767" i="1"/>
  <c r="AM2767" i="1"/>
  <c r="BF2767" i="1"/>
  <c r="BG2767" i="1"/>
  <c r="T2768" i="1"/>
  <c r="U2768" i="1"/>
  <c r="V2768" i="1"/>
  <c r="W2768" i="1"/>
  <c r="X2768" i="1"/>
  <c r="Y2768" i="1"/>
  <c r="Z2768" i="1"/>
  <c r="AB2768" i="1"/>
  <c r="AF2768" i="1"/>
  <c r="AI2768" i="1"/>
  <c r="AE2769" i="1"/>
  <c r="AC2769" i="1"/>
  <c r="AJ2768" i="1"/>
  <c r="AK2768" i="1"/>
  <c r="AM2768" i="1"/>
  <c r="BF2768" i="1"/>
  <c r="BG2768" i="1"/>
  <c r="T2769" i="1"/>
  <c r="U2769" i="1"/>
  <c r="V2769" i="1"/>
  <c r="W2769" i="1"/>
  <c r="X2769" i="1"/>
  <c r="Y2769" i="1"/>
  <c r="Z2769" i="1"/>
  <c r="AB2769" i="1"/>
  <c r="AF2769" i="1"/>
  <c r="AI2769" i="1"/>
  <c r="AE2770" i="1"/>
  <c r="AC2770" i="1"/>
  <c r="AJ2769" i="1"/>
  <c r="AK2769" i="1"/>
  <c r="AM2769" i="1"/>
  <c r="BF2769" i="1"/>
  <c r="BG2769" i="1"/>
  <c r="T2770" i="1"/>
  <c r="U2770" i="1"/>
  <c r="V2770" i="1"/>
  <c r="W2770" i="1"/>
  <c r="X2770" i="1"/>
  <c r="Y2770" i="1"/>
  <c r="Z2770" i="1"/>
  <c r="AB2770" i="1"/>
  <c r="AF2770" i="1"/>
  <c r="AI2770" i="1"/>
  <c r="H2771" i="1"/>
  <c r="AE2771" i="1"/>
  <c r="I2771" i="1"/>
  <c r="J2771" i="1"/>
  <c r="K2771" i="1"/>
  <c r="AC2771" i="1"/>
  <c r="AJ2770" i="1"/>
  <c r="AK2770" i="1"/>
  <c r="AM2770" i="1"/>
  <c r="BG2770" i="1"/>
  <c r="T2771" i="1"/>
  <c r="U2771" i="1"/>
  <c r="V2771" i="1"/>
  <c r="W2771" i="1"/>
  <c r="X2771" i="1"/>
  <c r="Y2771" i="1"/>
  <c r="Z2771" i="1"/>
  <c r="AB2771" i="1"/>
  <c r="AF2771" i="1"/>
  <c r="AI2771" i="1"/>
  <c r="H2772" i="1"/>
  <c r="AE2772" i="1"/>
  <c r="I2772" i="1"/>
  <c r="J2772" i="1"/>
  <c r="K2772" i="1"/>
  <c r="AC2772" i="1"/>
  <c r="AJ2771" i="1"/>
  <c r="AK2771" i="1"/>
  <c r="AM2771" i="1"/>
  <c r="BF2771" i="1"/>
  <c r="BG2771" i="1"/>
  <c r="T2772" i="1"/>
  <c r="U2772" i="1"/>
  <c r="V2772" i="1"/>
  <c r="W2772" i="1"/>
  <c r="X2772" i="1"/>
  <c r="Y2772" i="1"/>
  <c r="Z2772" i="1"/>
  <c r="AB2772" i="1"/>
  <c r="AF2772" i="1"/>
  <c r="AI2772" i="1"/>
  <c r="H2773" i="1"/>
  <c r="AE2773" i="1"/>
  <c r="I2773" i="1"/>
  <c r="J2773" i="1"/>
  <c r="K2773" i="1"/>
  <c r="AC2773" i="1"/>
  <c r="AJ2772" i="1"/>
  <c r="AK2772" i="1"/>
  <c r="AM2772" i="1"/>
  <c r="BF2772" i="1"/>
  <c r="BG2772" i="1"/>
  <c r="T2773" i="1"/>
  <c r="U2773" i="1"/>
  <c r="V2773" i="1"/>
  <c r="W2773" i="1"/>
  <c r="X2773" i="1"/>
  <c r="Y2773" i="1"/>
  <c r="Z2773" i="1"/>
  <c r="AB2773" i="1"/>
  <c r="AF2773" i="1"/>
  <c r="AI2773" i="1"/>
  <c r="AE2774" i="1"/>
  <c r="AC2774" i="1"/>
  <c r="AJ2773" i="1"/>
  <c r="AK2773" i="1"/>
  <c r="AM2773" i="1"/>
  <c r="BF2773" i="1"/>
  <c r="BG2773" i="1"/>
  <c r="T2774" i="1"/>
  <c r="U2774" i="1"/>
  <c r="V2774" i="1"/>
  <c r="W2774" i="1"/>
  <c r="X2774" i="1"/>
  <c r="Y2774" i="1"/>
  <c r="Z2774" i="1"/>
  <c r="AB2774" i="1"/>
  <c r="AF2774" i="1"/>
  <c r="AI2774" i="1"/>
  <c r="AE2775" i="1"/>
  <c r="AC2775" i="1"/>
  <c r="AJ2774" i="1"/>
  <c r="AK2774" i="1"/>
  <c r="AM2774" i="1"/>
  <c r="BF2774" i="1"/>
  <c r="BG2774" i="1"/>
  <c r="T2775" i="1"/>
  <c r="U2775" i="1"/>
  <c r="V2775" i="1"/>
  <c r="W2775" i="1"/>
  <c r="X2775" i="1"/>
  <c r="Y2775" i="1"/>
  <c r="Z2775" i="1"/>
  <c r="AB2775" i="1"/>
  <c r="AF2775" i="1"/>
  <c r="AI2775" i="1"/>
  <c r="H2776" i="1"/>
  <c r="AE2776" i="1"/>
  <c r="I2776" i="1"/>
  <c r="J2776" i="1"/>
  <c r="K2776" i="1"/>
  <c r="AC2776" i="1"/>
  <c r="AJ2775" i="1"/>
  <c r="AK2775" i="1"/>
  <c r="AM2775" i="1"/>
  <c r="BG2775" i="1"/>
  <c r="T2776" i="1"/>
  <c r="U2776" i="1"/>
  <c r="V2776" i="1"/>
  <c r="W2776" i="1"/>
  <c r="X2776" i="1"/>
  <c r="Y2776" i="1"/>
  <c r="Z2776" i="1"/>
  <c r="AB2776" i="1"/>
  <c r="AF2776" i="1"/>
  <c r="AI2776" i="1"/>
  <c r="AE2777" i="1"/>
  <c r="AC2777" i="1"/>
  <c r="AJ2776" i="1"/>
  <c r="AK2776" i="1"/>
  <c r="AM2776" i="1"/>
  <c r="BF2776" i="1"/>
  <c r="BG2776" i="1"/>
  <c r="T2777" i="1"/>
  <c r="U2777" i="1"/>
  <c r="V2777" i="1"/>
  <c r="W2777" i="1"/>
  <c r="X2777" i="1"/>
  <c r="Y2777" i="1"/>
  <c r="Z2777" i="1"/>
  <c r="AB2777" i="1"/>
  <c r="AF2777" i="1"/>
  <c r="AI2777" i="1"/>
  <c r="AE2778" i="1"/>
  <c r="AC2778" i="1"/>
  <c r="AJ2777" i="1"/>
  <c r="AK2777" i="1"/>
  <c r="AM2777" i="1"/>
  <c r="BF2777" i="1"/>
  <c r="BG2777" i="1"/>
  <c r="T2778" i="1"/>
  <c r="U2778" i="1"/>
  <c r="V2778" i="1"/>
  <c r="W2778" i="1"/>
  <c r="X2778" i="1"/>
  <c r="Y2778" i="1"/>
  <c r="Z2778" i="1"/>
  <c r="AB2778" i="1"/>
  <c r="AF2778" i="1"/>
  <c r="AI2778" i="1"/>
  <c r="AE2779" i="1"/>
  <c r="AC2779" i="1"/>
  <c r="AJ2778" i="1"/>
  <c r="AK2778" i="1"/>
  <c r="AM2778" i="1"/>
  <c r="BF2778" i="1"/>
  <c r="BG2778" i="1"/>
  <c r="T2779" i="1"/>
  <c r="U2779" i="1"/>
  <c r="V2779" i="1"/>
  <c r="W2779" i="1"/>
  <c r="X2779" i="1"/>
  <c r="Y2779" i="1"/>
  <c r="Z2779" i="1"/>
  <c r="AB2779" i="1"/>
  <c r="AF2779" i="1"/>
  <c r="AI2779" i="1"/>
  <c r="H2780" i="1"/>
  <c r="AE2780" i="1"/>
  <c r="I2780" i="1"/>
  <c r="J2780" i="1"/>
  <c r="K2780" i="1"/>
  <c r="AC2780" i="1"/>
  <c r="AJ2779" i="1"/>
  <c r="AK2779" i="1"/>
  <c r="AM2779" i="1"/>
  <c r="BG2779" i="1"/>
  <c r="T2780" i="1"/>
  <c r="U2780" i="1"/>
  <c r="V2780" i="1"/>
  <c r="W2780" i="1"/>
  <c r="X2780" i="1"/>
  <c r="Y2780" i="1"/>
  <c r="Z2780" i="1"/>
  <c r="AB2780" i="1"/>
  <c r="AF2780" i="1"/>
  <c r="AI2780" i="1"/>
  <c r="AE2781" i="1"/>
  <c r="AC2781" i="1"/>
  <c r="AJ2780" i="1"/>
  <c r="AK2780" i="1"/>
  <c r="AM2780" i="1"/>
  <c r="BF2780" i="1"/>
  <c r="BG2780" i="1"/>
  <c r="T2781" i="1"/>
  <c r="U2781" i="1"/>
  <c r="V2781" i="1"/>
  <c r="W2781" i="1"/>
  <c r="X2781" i="1"/>
  <c r="Y2781" i="1"/>
  <c r="Z2781" i="1"/>
  <c r="AB2781" i="1"/>
  <c r="AF2781" i="1"/>
  <c r="AI2781" i="1"/>
  <c r="AE2782" i="1"/>
  <c r="AC2782" i="1"/>
  <c r="AJ2781" i="1"/>
  <c r="AK2781" i="1"/>
  <c r="AM2781" i="1"/>
  <c r="BF2781" i="1"/>
  <c r="BG2781" i="1"/>
  <c r="T2782" i="1"/>
  <c r="U2782" i="1"/>
  <c r="V2782" i="1"/>
  <c r="W2782" i="1"/>
  <c r="X2782" i="1"/>
  <c r="Y2782" i="1"/>
  <c r="Z2782" i="1"/>
  <c r="AB2782" i="1"/>
  <c r="AF2782" i="1"/>
  <c r="AI2782" i="1"/>
  <c r="H2783" i="1"/>
  <c r="AE2783" i="1"/>
  <c r="I2783" i="1"/>
  <c r="J2783" i="1"/>
  <c r="K2783" i="1"/>
  <c r="AC2783" i="1"/>
  <c r="AJ2782" i="1"/>
  <c r="AK2782" i="1"/>
  <c r="AM2782" i="1"/>
  <c r="BG2782" i="1"/>
  <c r="T2783" i="1"/>
  <c r="U2783" i="1"/>
  <c r="V2783" i="1"/>
  <c r="W2783" i="1"/>
  <c r="X2783" i="1"/>
  <c r="Y2783" i="1"/>
  <c r="Z2783" i="1"/>
  <c r="AB2783" i="1"/>
  <c r="AF2783" i="1"/>
  <c r="AI2783" i="1"/>
  <c r="H2784" i="1"/>
  <c r="AE2784" i="1"/>
  <c r="I2784" i="1"/>
  <c r="J2784" i="1"/>
  <c r="K2784" i="1"/>
  <c r="AC2784" i="1"/>
  <c r="AJ2783" i="1"/>
  <c r="AK2783" i="1"/>
  <c r="AM2783" i="1"/>
  <c r="BF2783" i="1"/>
  <c r="BG2783" i="1"/>
  <c r="T2784" i="1"/>
  <c r="U2784" i="1"/>
  <c r="V2784" i="1"/>
  <c r="W2784" i="1"/>
  <c r="X2784" i="1"/>
  <c r="Y2784" i="1"/>
  <c r="Z2784" i="1"/>
  <c r="AB2784" i="1"/>
  <c r="AF2784" i="1"/>
  <c r="AI2784" i="1"/>
  <c r="AE2785" i="1"/>
  <c r="AC2785" i="1"/>
  <c r="AJ2784" i="1"/>
  <c r="AK2784" i="1"/>
  <c r="AM2784" i="1"/>
  <c r="BF2784" i="1"/>
  <c r="BG2784" i="1"/>
  <c r="T2785" i="1"/>
  <c r="U2785" i="1"/>
  <c r="V2785" i="1"/>
  <c r="W2785" i="1"/>
  <c r="X2785" i="1"/>
  <c r="Y2785" i="1"/>
  <c r="Z2785" i="1"/>
  <c r="AB2785" i="1"/>
  <c r="AF2785" i="1"/>
  <c r="AI2785" i="1"/>
  <c r="AE2786" i="1"/>
  <c r="AC2786" i="1"/>
  <c r="AJ2785" i="1"/>
  <c r="AK2785" i="1"/>
  <c r="AM2785" i="1"/>
  <c r="BF2785" i="1"/>
  <c r="BG2785" i="1"/>
  <c r="T2786" i="1"/>
  <c r="U2786" i="1"/>
  <c r="V2786" i="1"/>
  <c r="W2786" i="1"/>
  <c r="X2786" i="1"/>
  <c r="Y2786" i="1"/>
  <c r="Z2786" i="1"/>
  <c r="AB2786" i="1"/>
  <c r="AF2786" i="1"/>
  <c r="AI2786" i="1"/>
  <c r="AE2787" i="1"/>
  <c r="AC2787" i="1"/>
  <c r="AJ2786" i="1"/>
  <c r="AK2786" i="1"/>
  <c r="AM2786" i="1"/>
  <c r="BF2786" i="1"/>
  <c r="BG2786" i="1"/>
  <c r="T2787" i="1"/>
  <c r="U2787" i="1"/>
  <c r="V2787" i="1"/>
  <c r="W2787" i="1"/>
  <c r="X2787" i="1"/>
  <c r="Y2787" i="1"/>
  <c r="Z2787" i="1"/>
  <c r="AB2787" i="1"/>
  <c r="AF2787" i="1"/>
  <c r="AI2787" i="1"/>
  <c r="AE2788" i="1"/>
  <c r="AC2788" i="1"/>
  <c r="AJ2787" i="1"/>
  <c r="AK2787" i="1"/>
  <c r="AM2787" i="1"/>
  <c r="BF2787" i="1"/>
  <c r="BG2787" i="1"/>
  <c r="T2788" i="1"/>
  <c r="U2788" i="1"/>
  <c r="V2788" i="1"/>
  <c r="W2788" i="1"/>
  <c r="X2788" i="1"/>
  <c r="Y2788" i="1"/>
  <c r="Z2788" i="1"/>
  <c r="AB2788" i="1"/>
  <c r="AF2788" i="1"/>
  <c r="AI2788" i="1"/>
  <c r="H2789" i="1"/>
  <c r="AE2789" i="1"/>
  <c r="I2789" i="1"/>
  <c r="J2789" i="1"/>
  <c r="K2789" i="1"/>
  <c r="AC2789" i="1"/>
  <c r="AJ2788" i="1"/>
  <c r="AK2788" i="1"/>
  <c r="AM2788" i="1"/>
  <c r="BG2788" i="1"/>
  <c r="T2789" i="1"/>
  <c r="U2789" i="1"/>
  <c r="V2789" i="1"/>
  <c r="W2789" i="1"/>
  <c r="X2789" i="1"/>
  <c r="Y2789" i="1"/>
  <c r="Z2789" i="1"/>
  <c r="AB2789" i="1"/>
  <c r="AF2789" i="1"/>
  <c r="AI2789" i="1"/>
  <c r="H2790" i="1"/>
  <c r="AE2790" i="1"/>
  <c r="I2790" i="1"/>
  <c r="J2790" i="1"/>
  <c r="K2790" i="1"/>
  <c r="AC2790" i="1"/>
  <c r="AJ2789" i="1"/>
  <c r="AK2789" i="1"/>
  <c r="AM2789" i="1"/>
  <c r="BF2789" i="1"/>
  <c r="BG2789" i="1"/>
  <c r="T2790" i="1"/>
  <c r="U2790" i="1"/>
  <c r="V2790" i="1"/>
  <c r="W2790" i="1"/>
  <c r="X2790" i="1"/>
  <c r="Y2790" i="1"/>
  <c r="Z2790" i="1"/>
  <c r="AB2790" i="1"/>
  <c r="AF2790" i="1"/>
  <c r="AI2790" i="1"/>
  <c r="H2791" i="1"/>
  <c r="AE2791" i="1"/>
  <c r="I2791" i="1"/>
  <c r="J2791" i="1"/>
  <c r="K2791" i="1"/>
  <c r="AC2791" i="1"/>
  <c r="AJ2790" i="1"/>
  <c r="AK2790" i="1"/>
  <c r="AM2790" i="1"/>
  <c r="BF2790" i="1"/>
  <c r="BG2790" i="1"/>
  <c r="T2791" i="1"/>
  <c r="U2791" i="1"/>
  <c r="V2791" i="1"/>
  <c r="W2791" i="1"/>
  <c r="X2791" i="1"/>
  <c r="Y2791" i="1"/>
  <c r="Z2791" i="1"/>
  <c r="AB2791" i="1"/>
  <c r="AF2791" i="1"/>
  <c r="AI2791" i="1"/>
  <c r="AE2792" i="1"/>
  <c r="AC2792" i="1"/>
  <c r="AJ2791" i="1"/>
  <c r="AK2791" i="1"/>
  <c r="AM2791" i="1"/>
  <c r="BF2791" i="1"/>
  <c r="BG2791" i="1"/>
  <c r="T2792" i="1"/>
  <c r="U2792" i="1"/>
  <c r="V2792" i="1"/>
  <c r="W2792" i="1"/>
  <c r="X2792" i="1"/>
  <c r="Y2792" i="1"/>
  <c r="Z2792" i="1"/>
  <c r="AB2792" i="1"/>
  <c r="AF2792" i="1"/>
  <c r="AI2792" i="1"/>
  <c r="AE2793" i="1"/>
  <c r="AC2793" i="1"/>
  <c r="AJ2792" i="1"/>
  <c r="AK2792" i="1"/>
  <c r="AM2792" i="1"/>
  <c r="BF2792" i="1"/>
  <c r="BG2792" i="1"/>
  <c r="T2793" i="1"/>
  <c r="U2793" i="1"/>
  <c r="V2793" i="1"/>
  <c r="W2793" i="1"/>
  <c r="X2793" i="1"/>
  <c r="Y2793" i="1"/>
  <c r="Z2793" i="1"/>
  <c r="AB2793" i="1"/>
  <c r="AF2793" i="1"/>
  <c r="AI2793" i="1"/>
  <c r="H2794" i="1"/>
  <c r="AE2794" i="1"/>
  <c r="I2794" i="1"/>
  <c r="J2794" i="1"/>
  <c r="K2794" i="1"/>
  <c r="AC2794" i="1"/>
  <c r="AJ2793" i="1"/>
  <c r="AK2793" i="1"/>
  <c r="AM2793" i="1"/>
  <c r="BG2793" i="1"/>
  <c r="T2794" i="1"/>
  <c r="U2794" i="1"/>
  <c r="V2794" i="1"/>
  <c r="W2794" i="1"/>
  <c r="X2794" i="1"/>
  <c r="Y2794" i="1"/>
  <c r="Z2794" i="1"/>
  <c r="AB2794" i="1"/>
  <c r="AF2794" i="1"/>
  <c r="AI2794" i="1"/>
  <c r="AE2795" i="1"/>
  <c r="AC2795" i="1"/>
  <c r="AJ2794" i="1"/>
  <c r="AK2794" i="1"/>
  <c r="AM2794" i="1"/>
  <c r="BF2794" i="1"/>
  <c r="BG2794" i="1"/>
  <c r="T2795" i="1"/>
  <c r="U2795" i="1"/>
  <c r="V2795" i="1"/>
  <c r="W2795" i="1"/>
  <c r="X2795" i="1"/>
  <c r="Y2795" i="1"/>
  <c r="Z2795" i="1"/>
  <c r="AB2795" i="1"/>
  <c r="AF2795" i="1"/>
  <c r="AI2795" i="1"/>
  <c r="AE2796" i="1"/>
  <c r="AC2796" i="1"/>
  <c r="AJ2795" i="1"/>
  <c r="AK2795" i="1"/>
  <c r="AM2795" i="1"/>
  <c r="BF2795" i="1"/>
  <c r="BG2795" i="1"/>
  <c r="T2796" i="1"/>
  <c r="U2796" i="1"/>
  <c r="V2796" i="1"/>
  <c r="W2796" i="1"/>
  <c r="X2796" i="1"/>
  <c r="Y2796" i="1"/>
  <c r="Z2796" i="1"/>
  <c r="AB2796" i="1"/>
  <c r="AF2796" i="1"/>
  <c r="AI2796" i="1"/>
  <c r="H2797" i="1"/>
  <c r="AE2797" i="1"/>
  <c r="I2797" i="1"/>
  <c r="J2797" i="1"/>
  <c r="K2797" i="1"/>
  <c r="AC2797" i="1"/>
  <c r="AJ2796" i="1"/>
  <c r="AK2796" i="1"/>
  <c r="AM2796" i="1"/>
  <c r="BG2796" i="1"/>
  <c r="T2797" i="1"/>
  <c r="U2797" i="1"/>
  <c r="V2797" i="1"/>
  <c r="W2797" i="1"/>
  <c r="X2797" i="1"/>
  <c r="Y2797" i="1"/>
  <c r="Z2797" i="1"/>
  <c r="AB2797" i="1"/>
  <c r="AF2797" i="1"/>
  <c r="AI2797" i="1"/>
  <c r="H2798" i="1"/>
  <c r="AE2798" i="1"/>
  <c r="I2798" i="1"/>
  <c r="J2798" i="1"/>
  <c r="K2798" i="1"/>
  <c r="AC2798" i="1"/>
  <c r="AJ2797" i="1"/>
  <c r="AK2797" i="1"/>
  <c r="AM2797" i="1"/>
  <c r="BF2797" i="1"/>
  <c r="BG2797" i="1"/>
  <c r="T2798" i="1"/>
  <c r="U2798" i="1"/>
  <c r="V2798" i="1"/>
  <c r="W2798" i="1"/>
  <c r="X2798" i="1"/>
  <c r="Y2798" i="1"/>
  <c r="Z2798" i="1"/>
  <c r="AB2798" i="1"/>
  <c r="AF2798" i="1"/>
  <c r="AI2798" i="1"/>
  <c r="H2799" i="1"/>
  <c r="AE2799" i="1"/>
  <c r="I2799" i="1"/>
  <c r="J2799" i="1"/>
  <c r="K2799" i="1"/>
  <c r="AC2799" i="1"/>
  <c r="AJ2798" i="1"/>
  <c r="AK2798" i="1"/>
  <c r="AM2798" i="1"/>
  <c r="BF2798" i="1"/>
  <c r="BG2798" i="1"/>
  <c r="T2799" i="1"/>
  <c r="U2799" i="1"/>
  <c r="V2799" i="1"/>
  <c r="W2799" i="1"/>
  <c r="X2799" i="1"/>
  <c r="Y2799" i="1"/>
  <c r="Z2799" i="1"/>
  <c r="AB2799" i="1"/>
  <c r="AF2799" i="1"/>
  <c r="AI2799" i="1"/>
  <c r="H2800" i="1"/>
  <c r="AE2800" i="1"/>
  <c r="I2800" i="1"/>
  <c r="J2800" i="1"/>
  <c r="K2800" i="1"/>
  <c r="AC2800" i="1"/>
  <c r="AJ2799" i="1"/>
  <c r="AK2799" i="1"/>
  <c r="AM2799" i="1"/>
  <c r="BF2799" i="1"/>
  <c r="BG2799" i="1"/>
  <c r="T2800" i="1"/>
  <c r="U2800" i="1"/>
  <c r="V2800" i="1"/>
  <c r="W2800" i="1"/>
  <c r="X2800" i="1"/>
  <c r="Y2800" i="1"/>
  <c r="Z2800" i="1"/>
  <c r="AB2800" i="1"/>
  <c r="AF2800" i="1"/>
  <c r="AI2800" i="1"/>
  <c r="AE2801" i="1"/>
  <c r="AC2801" i="1"/>
  <c r="AJ2800" i="1"/>
  <c r="AK2800" i="1"/>
  <c r="AM2800" i="1"/>
  <c r="BF2800" i="1"/>
  <c r="BG2800" i="1"/>
  <c r="T2801" i="1"/>
  <c r="U2801" i="1"/>
  <c r="V2801" i="1"/>
  <c r="W2801" i="1"/>
  <c r="X2801" i="1"/>
  <c r="Y2801" i="1"/>
  <c r="Z2801" i="1"/>
  <c r="AB2801" i="1"/>
  <c r="AF2801" i="1"/>
  <c r="AI2801" i="1"/>
  <c r="AE2802" i="1"/>
  <c r="AC2802" i="1"/>
  <c r="AJ2801" i="1"/>
  <c r="AK2801" i="1"/>
  <c r="AM2801" i="1"/>
  <c r="BF2801" i="1"/>
  <c r="BG2801" i="1"/>
  <c r="T2802" i="1"/>
  <c r="U2802" i="1"/>
  <c r="V2802" i="1"/>
  <c r="W2802" i="1"/>
  <c r="X2802" i="1"/>
  <c r="Y2802" i="1"/>
  <c r="Z2802" i="1"/>
  <c r="AB2802" i="1"/>
  <c r="AF2802" i="1"/>
  <c r="AI2802" i="1"/>
  <c r="H2803" i="1"/>
  <c r="AE2803" i="1"/>
  <c r="I2803" i="1"/>
  <c r="J2803" i="1"/>
  <c r="K2803" i="1"/>
  <c r="AC2803" i="1"/>
  <c r="AJ2802" i="1"/>
  <c r="AK2802" i="1"/>
  <c r="AM2802" i="1"/>
  <c r="BG2802" i="1"/>
  <c r="T2803" i="1"/>
  <c r="U2803" i="1"/>
  <c r="V2803" i="1"/>
  <c r="W2803" i="1"/>
  <c r="X2803" i="1"/>
  <c r="Y2803" i="1"/>
  <c r="Z2803" i="1"/>
  <c r="AB2803" i="1"/>
  <c r="AF2803" i="1"/>
  <c r="AI2803" i="1"/>
  <c r="AE2804" i="1"/>
  <c r="AC2804" i="1"/>
  <c r="AJ2803" i="1"/>
  <c r="AK2803" i="1"/>
  <c r="AM2803" i="1"/>
  <c r="BF2803" i="1"/>
  <c r="BG2803" i="1"/>
  <c r="T2804" i="1"/>
  <c r="U2804" i="1"/>
  <c r="V2804" i="1"/>
  <c r="W2804" i="1"/>
  <c r="X2804" i="1"/>
  <c r="Y2804" i="1"/>
  <c r="Z2804" i="1"/>
  <c r="AB2804" i="1"/>
  <c r="AF2804" i="1"/>
  <c r="AI2804" i="1"/>
  <c r="AE2805" i="1"/>
  <c r="AC2805" i="1"/>
  <c r="AJ2804" i="1"/>
  <c r="AK2804" i="1"/>
  <c r="AM2804" i="1"/>
  <c r="BF2804" i="1"/>
  <c r="BG2804" i="1"/>
  <c r="T2805" i="1"/>
  <c r="U2805" i="1"/>
  <c r="V2805" i="1"/>
  <c r="W2805" i="1"/>
  <c r="X2805" i="1"/>
  <c r="Y2805" i="1"/>
  <c r="Z2805" i="1"/>
  <c r="AB2805" i="1"/>
  <c r="AF2805" i="1"/>
  <c r="AI2805" i="1"/>
  <c r="H2806" i="1"/>
  <c r="AE2806" i="1"/>
  <c r="I2806" i="1"/>
  <c r="J2806" i="1"/>
  <c r="K2806" i="1"/>
  <c r="AC2806" i="1"/>
  <c r="AJ2805" i="1"/>
  <c r="AK2805" i="1"/>
  <c r="AM2805" i="1"/>
  <c r="BG2805" i="1"/>
  <c r="T2806" i="1"/>
  <c r="U2806" i="1"/>
  <c r="V2806" i="1"/>
  <c r="W2806" i="1"/>
  <c r="X2806" i="1"/>
  <c r="Y2806" i="1"/>
  <c r="Z2806" i="1"/>
  <c r="AB2806" i="1"/>
  <c r="AF2806" i="1"/>
  <c r="AI2806" i="1"/>
  <c r="AE2807" i="1"/>
  <c r="AC2807" i="1"/>
  <c r="AJ2806" i="1"/>
  <c r="AK2806" i="1"/>
  <c r="AM2806" i="1"/>
  <c r="BF2806" i="1"/>
  <c r="BG2806" i="1"/>
  <c r="T2807" i="1"/>
  <c r="U2807" i="1"/>
  <c r="V2807" i="1"/>
  <c r="W2807" i="1"/>
  <c r="X2807" i="1"/>
  <c r="Y2807" i="1"/>
  <c r="Z2807" i="1"/>
  <c r="AB2807" i="1"/>
  <c r="AF2807" i="1"/>
  <c r="AI2807" i="1"/>
  <c r="AE2808" i="1"/>
  <c r="AC2808" i="1"/>
  <c r="AJ2807" i="1"/>
  <c r="AK2807" i="1"/>
  <c r="AM2807" i="1"/>
  <c r="BF2807" i="1"/>
  <c r="BG2807" i="1"/>
  <c r="T2808" i="1"/>
  <c r="U2808" i="1"/>
  <c r="V2808" i="1"/>
  <c r="W2808" i="1"/>
  <c r="X2808" i="1"/>
  <c r="Y2808" i="1"/>
  <c r="Z2808" i="1"/>
  <c r="AB2808" i="1"/>
  <c r="AF2808" i="1"/>
  <c r="AI2808" i="1"/>
  <c r="H2809" i="1"/>
  <c r="AE2809" i="1"/>
  <c r="I2809" i="1"/>
  <c r="J2809" i="1"/>
  <c r="K2809" i="1"/>
  <c r="AC2809" i="1"/>
  <c r="AJ2808" i="1"/>
  <c r="AK2808" i="1"/>
  <c r="AM2808" i="1"/>
  <c r="BG2808" i="1"/>
  <c r="T2809" i="1"/>
  <c r="U2809" i="1"/>
  <c r="V2809" i="1"/>
  <c r="W2809" i="1"/>
  <c r="X2809" i="1"/>
  <c r="Y2809" i="1"/>
  <c r="Z2809" i="1"/>
  <c r="AB2809" i="1"/>
  <c r="AF2809" i="1"/>
  <c r="AI2809" i="1"/>
  <c r="H2810" i="1"/>
  <c r="AE2810" i="1"/>
  <c r="I2810" i="1"/>
  <c r="J2810" i="1"/>
  <c r="K2810" i="1"/>
  <c r="AC2810" i="1"/>
  <c r="AJ2809" i="1"/>
  <c r="AK2809" i="1"/>
  <c r="AM2809" i="1"/>
  <c r="BF2809" i="1"/>
  <c r="BG2809" i="1"/>
  <c r="T2810" i="1"/>
  <c r="U2810" i="1"/>
  <c r="V2810" i="1"/>
  <c r="W2810" i="1"/>
  <c r="X2810" i="1"/>
  <c r="Y2810" i="1"/>
  <c r="Z2810" i="1"/>
  <c r="AB2810" i="1"/>
  <c r="AF2810" i="1"/>
  <c r="AI2810" i="1"/>
  <c r="H2811" i="1"/>
  <c r="AE2811" i="1"/>
  <c r="I2811" i="1"/>
  <c r="J2811" i="1"/>
  <c r="K2811" i="1"/>
  <c r="AC2811" i="1"/>
  <c r="AJ2810" i="1"/>
  <c r="AK2810" i="1"/>
  <c r="AM2810" i="1"/>
  <c r="BF2810" i="1"/>
  <c r="BG2810" i="1"/>
  <c r="T2811" i="1"/>
  <c r="U2811" i="1"/>
  <c r="V2811" i="1"/>
  <c r="W2811" i="1"/>
  <c r="X2811" i="1"/>
  <c r="Y2811" i="1"/>
  <c r="Z2811" i="1"/>
  <c r="AB2811" i="1"/>
  <c r="AF2811" i="1"/>
  <c r="AI2811" i="1"/>
  <c r="AE2812" i="1"/>
  <c r="AC2812" i="1"/>
  <c r="AJ2811" i="1"/>
  <c r="AK2811" i="1"/>
  <c r="AM2811" i="1"/>
  <c r="BF2811" i="1"/>
  <c r="BG2811" i="1"/>
  <c r="T2812" i="1"/>
  <c r="U2812" i="1"/>
  <c r="V2812" i="1"/>
  <c r="W2812" i="1"/>
  <c r="X2812" i="1"/>
  <c r="Y2812" i="1"/>
  <c r="Z2812" i="1"/>
  <c r="AB2812" i="1"/>
  <c r="AF2812" i="1"/>
  <c r="AI2812" i="1"/>
  <c r="AE2813" i="1"/>
  <c r="AC2813" i="1"/>
  <c r="AJ2812" i="1"/>
  <c r="AK2812" i="1"/>
  <c r="AM2812" i="1"/>
  <c r="BF2812" i="1"/>
  <c r="BG2812" i="1"/>
  <c r="T2813" i="1"/>
  <c r="U2813" i="1"/>
  <c r="V2813" i="1"/>
  <c r="W2813" i="1"/>
  <c r="X2813" i="1"/>
  <c r="Y2813" i="1"/>
  <c r="Z2813" i="1"/>
  <c r="AB2813" i="1"/>
  <c r="AF2813" i="1"/>
  <c r="AI2813" i="1"/>
  <c r="H2814" i="1"/>
  <c r="AE2814" i="1"/>
  <c r="I2814" i="1"/>
  <c r="J2814" i="1"/>
  <c r="K2814" i="1"/>
  <c r="AC2814" i="1"/>
  <c r="AJ2813" i="1"/>
  <c r="AK2813" i="1"/>
  <c r="AM2813" i="1"/>
  <c r="BG2813" i="1"/>
  <c r="T2814" i="1"/>
  <c r="U2814" i="1"/>
  <c r="V2814" i="1"/>
  <c r="W2814" i="1"/>
  <c r="X2814" i="1"/>
  <c r="Y2814" i="1"/>
  <c r="Z2814" i="1"/>
  <c r="AB2814" i="1"/>
  <c r="AF2814" i="1"/>
  <c r="AI2814" i="1"/>
  <c r="AE2815" i="1"/>
  <c r="AC2815" i="1"/>
  <c r="AJ2814" i="1"/>
  <c r="AK2814" i="1"/>
  <c r="AM2814" i="1"/>
  <c r="BF2814" i="1"/>
  <c r="BG2814" i="1"/>
  <c r="T2815" i="1"/>
  <c r="U2815" i="1"/>
  <c r="V2815" i="1"/>
  <c r="W2815" i="1"/>
  <c r="X2815" i="1"/>
  <c r="Y2815" i="1"/>
  <c r="Z2815" i="1"/>
  <c r="AB2815" i="1"/>
  <c r="AF2815" i="1"/>
  <c r="AI2815" i="1"/>
  <c r="AE2816" i="1"/>
  <c r="AC2816" i="1"/>
  <c r="AJ2815" i="1"/>
  <c r="AK2815" i="1"/>
  <c r="AM2815" i="1"/>
  <c r="BF2815" i="1"/>
  <c r="BG2815" i="1"/>
  <c r="T2816" i="1"/>
  <c r="U2816" i="1"/>
  <c r="V2816" i="1"/>
  <c r="W2816" i="1"/>
  <c r="X2816" i="1"/>
  <c r="Y2816" i="1"/>
  <c r="Z2816" i="1"/>
  <c r="AB2816" i="1"/>
  <c r="AF2816" i="1"/>
  <c r="AI2816" i="1"/>
  <c r="H2817" i="1"/>
  <c r="AE2817" i="1"/>
  <c r="I2817" i="1"/>
  <c r="J2817" i="1"/>
  <c r="K2817" i="1"/>
  <c r="AC2817" i="1"/>
  <c r="AJ2816" i="1"/>
  <c r="AK2816" i="1"/>
  <c r="AM2816" i="1"/>
  <c r="BG2816" i="1"/>
  <c r="T2817" i="1"/>
  <c r="U2817" i="1"/>
  <c r="V2817" i="1"/>
  <c r="W2817" i="1"/>
  <c r="X2817" i="1"/>
  <c r="Y2817" i="1"/>
  <c r="Z2817" i="1"/>
  <c r="AB2817" i="1"/>
  <c r="AF2817" i="1"/>
  <c r="AI2817" i="1"/>
  <c r="AE2818" i="1"/>
  <c r="AC2818" i="1"/>
  <c r="AJ2817" i="1"/>
  <c r="AK2817" i="1"/>
  <c r="AM2817" i="1"/>
  <c r="BF2817" i="1"/>
  <c r="BG2817" i="1"/>
  <c r="T2818" i="1"/>
  <c r="U2818" i="1"/>
  <c r="V2818" i="1"/>
  <c r="W2818" i="1"/>
  <c r="X2818" i="1"/>
  <c r="Y2818" i="1"/>
  <c r="Z2818" i="1"/>
  <c r="AB2818" i="1"/>
  <c r="AF2818" i="1"/>
  <c r="AI2818" i="1"/>
  <c r="AE2819" i="1"/>
  <c r="AC2819" i="1"/>
  <c r="AJ2818" i="1"/>
  <c r="AK2818" i="1"/>
  <c r="AM2818" i="1"/>
  <c r="BF2818" i="1"/>
  <c r="BG2818" i="1"/>
  <c r="T2819" i="1"/>
  <c r="U2819" i="1"/>
  <c r="V2819" i="1"/>
  <c r="W2819" i="1"/>
  <c r="X2819" i="1"/>
  <c r="Y2819" i="1"/>
  <c r="Z2819" i="1"/>
  <c r="AB2819" i="1"/>
  <c r="AF2819" i="1"/>
  <c r="AI2819" i="1"/>
  <c r="H2820" i="1"/>
  <c r="AE2820" i="1"/>
  <c r="I2820" i="1"/>
  <c r="J2820" i="1"/>
  <c r="K2820" i="1"/>
  <c r="AC2820" i="1"/>
  <c r="AJ2819" i="1"/>
  <c r="AK2819" i="1"/>
  <c r="AM2819" i="1"/>
  <c r="BG2819" i="1"/>
  <c r="T2820" i="1"/>
  <c r="U2820" i="1"/>
  <c r="V2820" i="1"/>
  <c r="W2820" i="1"/>
  <c r="X2820" i="1"/>
  <c r="Y2820" i="1"/>
  <c r="Z2820" i="1"/>
  <c r="AB2820" i="1"/>
  <c r="AF2820" i="1"/>
  <c r="AI2820" i="1"/>
  <c r="H2821" i="1"/>
  <c r="AE2821" i="1"/>
  <c r="I2821" i="1"/>
  <c r="J2821" i="1"/>
  <c r="K2821" i="1"/>
  <c r="AC2821" i="1"/>
  <c r="AJ2820" i="1"/>
  <c r="AK2820" i="1"/>
  <c r="AM2820" i="1"/>
  <c r="BF2820" i="1"/>
  <c r="BG2820" i="1"/>
  <c r="T2821" i="1"/>
  <c r="U2821" i="1"/>
  <c r="V2821" i="1"/>
  <c r="W2821" i="1"/>
  <c r="X2821" i="1"/>
  <c r="Y2821" i="1"/>
  <c r="Z2821" i="1"/>
  <c r="AB2821" i="1"/>
  <c r="AF2821" i="1"/>
  <c r="AI2821" i="1"/>
  <c r="AE2822" i="1"/>
  <c r="AC2822" i="1"/>
  <c r="AJ2821" i="1"/>
  <c r="AK2821" i="1"/>
  <c r="AM2821" i="1"/>
  <c r="BF2821" i="1"/>
  <c r="BG2821" i="1"/>
  <c r="T2822" i="1"/>
  <c r="U2822" i="1"/>
  <c r="V2822" i="1"/>
  <c r="W2822" i="1"/>
  <c r="X2822" i="1"/>
  <c r="Y2822" i="1"/>
  <c r="Z2822" i="1"/>
  <c r="AB2822" i="1"/>
  <c r="AF2822" i="1"/>
  <c r="AI2822" i="1"/>
  <c r="AE2823" i="1"/>
  <c r="AC2823" i="1"/>
  <c r="AJ2822" i="1"/>
  <c r="AK2822" i="1"/>
  <c r="AM2822" i="1"/>
  <c r="BF2822" i="1"/>
  <c r="BG2822" i="1"/>
  <c r="T2823" i="1"/>
  <c r="U2823" i="1"/>
  <c r="V2823" i="1"/>
  <c r="W2823" i="1"/>
  <c r="X2823" i="1"/>
  <c r="Y2823" i="1"/>
  <c r="Z2823" i="1"/>
  <c r="AB2823" i="1"/>
  <c r="AF2823" i="1"/>
  <c r="AI2823" i="1"/>
  <c r="H2824" i="1"/>
  <c r="AE2824" i="1"/>
  <c r="I2824" i="1"/>
  <c r="J2824" i="1"/>
  <c r="K2824" i="1"/>
  <c r="AC2824" i="1"/>
  <c r="AJ2823" i="1"/>
  <c r="AK2823" i="1"/>
  <c r="AM2823" i="1"/>
  <c r="BG2823" i="1"/>
  <c r="T2824" i="1"/>
  <c r="U2824" i="1"/>
  <c r="V2824" i="1"/>
  <c r="W2824" i="1"/>
  <c r="X2824" i="1"/>
  <c r="Y2824" i="1"/>
  <c r="Z2824" i="1"/>
  <c r="AB2824" i="1"/>
  <c r="AF2824" i="1"/>
  <c r="AI2824" i="1"/>
  <c r="H2825" i="1"/>
  <c r="AE2825" i="1"/>
  <c r="I2825" i="1"/>
  <c r="J2825" i="1"/>
  <c r="K2825" i="1"/>
  <c r="AC2825" i="1"/>
  <c r="AJ2824" i="1"/>
  <c r="AK2824" i="1"/>
  <c r="AM2824" i="1"/>
  <c r="BF2824" i="1"/>
  <c r="BG2824" i="1"/>
  <c r="T2825" i="1"/>
  <c r="U2825" i="1"/>
  <c r="V2825" i="1"/>
  <c r="W2825" i="1"/>
  <c r="X2825" i="1"/>
  <c r="Y2825" i="1"/>
  <c r="Z2825" i="1"/>
  <c r="AB2825" i="1"/>
  <c r="AF2825" i="1"/>
  <c r="AI2825" i="1"/>
  <c r="H2826" i="1"/>
  <c r="AE2826" i="1"/>
  <c r="I2826" i="1"/>
  <c r="J2826" i="1"/>
  <c r="K2826" i="1"/>
  <c r="AC2826" i="1"/>
  <c r="AJ2825" i="1"/>
  <c r="AK2825" i="1"/>
  <c r="AM2825" i="1"/>
  <c r="BF2825" i="1"/>
  <c r="BG2825" i="1"/>
  <c r="T2826" i="1"/>
  <c r="U2826" i="1"/>
  <c r="V2826" i="1"/>
  <c r="W2826" i="1"/>
  <c r="X2826" i="1"/>
  <c r="Y2826" i="1"/>
  <c r="Z2826" i="1"/>
  <c r="AB2826" i="1"/>
  <c r="AF2826" i="1"/>
  <c r="AI2826" i="1"/>
  <c r="H2827" i="1"/>
  <c r="AE2827" i="1"/>
  <c r="I2827" i="1"/>
  <c r="J2827" i="1"/>
  <c r="K2827" i="1"/>
  <c r="AC2827" i="1"/>
  <c r="AJ2826" i="1"/>
  <c r="AK2826" i="1"/>
  <c r="AM2826" i="1"/>
  <c r="BF2826" i="1"/>
  <c r="BG2826" i="1"/>
  <c r="T2827" i="1"/>
  <c r="U2827" i="1"/>
  <c r="V2827" i="1"/>
  <c r="W2827" i="1"/>
  <c r="X2827" i="1"/>
  <c r="Y2827" i="1"/>
  <c r="Z2827" i="1"/>
  <c r="AB2827" i="1"/>
  <c r="AF2827" i="1"/>
  <c r="AI2827" i="1"/>
  <c r="AE2828" i="1"/>
  <c r="AC2828" i="1"/>
  <c r="AJ2827" i="1"/>
  <c r="AK2827" i="1"/>
  <c r="AM2827" i="1"/>
  <c r="BF2827" i="1"/>
  <c r="BG2827" i="1"/>
  <c r="T2828" i="1"/>
  <c r="U2828" i="1"/>
  <c r="V2828" i="1"/>
  <c r="W2828" i="1"/>
  <c r="X2828" i="1"/>
  <c r="Y2828" i="1"/>
  <c r="Z2828" i="1"/>
  <c r="AB2828" i="1"/>
  <c r="AF2828" i="1"/>
  <c r="AI2828" i="1"/>
  <c r="AE2829" i="1"/>
  <c r="AC2829" i="1"/>
  <c r="AJ2828" i="1"/>
  <c r="AK2828" i="1"/>
  <c r="AM2828" i="1"/>
  <c r="BF2828" i="1"/>
  <c r="BG2828" i="1"/>
  <c r="T2829" i="1"/>
  <c r="U2829" i="1"/>
  <c r="V2829" i="1"/>
  <c r="W2829" i="1"/>
  <c r="X2829" i="1"/>
  <c r="Y2829" i="1"/>
  <c r="Z2829" i="1"/>
  <c r="AB2829" i="1"/>
  <c r="AF2829" i="1"/>
  <c r="AI2829" i="1"/>
  <c r="H2830" i="1"/>
  <c r="AE2830" i="1"/>
  <c r="I2830" i="1"/>
  <c r="J2830" i="1"/>
  <c r="K2830" i="1"/>
  <c r="AC2830" i="1"/>
  <c r="AJ2829" i="1"/>
  <c r="AK2829" i="1"/>
  <c r="AM2829" i="1"/>
  <c r="BG2829" i="1"/>
  <c r="T2830" i="1"/>
  <c r="U2830" i="1"/>
  <c r="V2830" i="1"/>
  <c r="W2830" i="1"/>
  <c r="X2830" i="1"/>
  <c r="Y2830" i="1"/>
  <c r="Z2830" i="1"/>
  <c r="AB2830" i="1"/>
  <c r="AF2830" i="1"/>
  <c r="AI2830" i="1"/>
  <c r="H2831" i="1"/>
  <c r="AE2831" i="1"/>
  <c r="I2831" i="1"/>
  <c r="J2831" i="1"/>
  <c r="K2831" i="1"/>
  <c r="AC2831" i="1"/>
  <c r="AJ2830" i="1"/>
  <c r="AK2830" i="1"/>
  <c r="AM2830" i="1"/>
  <c r="BF2830" i="1"/>
  <c r="BG2830" i="1"/>
  <c r="T2831" i="1"/>
  <c r="U2831" i="1"/>
  <c r="V2831" i="1"/>
  <c r="W2831" i="1"/>
  <c r="X2831" i="1"/>
  <c r="Y2831" i="1"/>
  <c r="Z2831" i="1"/>
  <c r="AB2831" i="1"/>
  <c r="AF2831" i="1"/>
  <c r="AI2831" i="1"/>
  <c r="H2832" i="1"/>
  <c r="AE2832" i="1"/>
  <c r="I2832" i="1"/>
  <c r="J2832" i="1"/>
  <c r="K2832" i="1"/>
  <c r="AC2832" i="1"/>
  <c r="AJ2831" i="1"/>
  <c r="AK2831" i="1"/>
  <c r="AM2831" i="1"/>
  <c r="BF2831" i="1"/>
  <c r="BG2831" i="1"/>
  <c r="T2832" i="1"/>
  <c r="U2832" i="1"/>
  <c r="V2832" i="1"/>
  <c r="W2832" i="1"/>
  <c r="X2832" i="1"/>
  <c r="Y2832" i="1"/>
  <c r="Z2832" i="1"/>
  <c r="AB2832" i="1"/>
  <c r="AF2832" i="1"/>
  <c r="AI2832" i="1"/>
  <c r="H2833" i="1"/>
  <c r="AE2833" i="1"/>
  <c r="I2833" i="1"/>
  <c r="J2833" i="1"/>
  <c r="K2833" i="1"/>
  <c r="AC2833" i="1"/>
  <c r="AJ2832" i="1"/>
  <c r="AK2832" i="1"/>
  <c r="AM2832" i="1"/>
  <c r="BF2832" i="1"/>
  <c r="BG2832" i="1"/>
  <c r="T2833" i="1"/>
  <c r="U2833" i="1"/>
  <c r="V2833" i="1"/>
  <c r="W2833" i="1"/>
  <c r="X2833" i="1"/>
  <c r="Y2833" i="1"/>
  <c r="Z2833" i="1"/>
  <c r="AB2833" i="1"/>
  <c r="AF2833" i="1"/>
  <c r="AI2833" i="1"/>
  <c r="H2834" i="1"/>
  <c r="AE2834" i="1"/>
  <c r="I2834" i="1"/>
  <c r="J2834" i="1"/>
  <c r="K2834" i="1"/>
  <c r="AC2834" i="1"/>
  <c r="AJ2833" i="1"/>
  <c r="AK2833" i="1"/>
  <c r="AM2833" i="1"/>
  <c r="BF2833" i="1"/>
  <c r="BG2833" i="1"/>
  <c r="T2834" i="1"/>
  <c r="U2834" i="1"/>
  <c r="V2834" i="1"/>
  <c r="W2834" i="1"/>
  <c r="X2834" i="1"/>
  <c r="Y2834" i="1"/>
  <c r="Z2834" i="1"/>
  <c r="AB2834" i="1"/>
  <c r="AF2834" i="1"/>
  <c r="AI2834" i="1"/>
  <c r="H2835" i="1"/>
  <c r="AE2835" i="1"/>
  <c r="I2835" i="1"/>
  <c r="J2835" i="1"/>
  <c r="K2835" i="1"/>
  <c r="AC2835" i="1"/>
  <c r="AJ2834" i="1"/>
  <c r="AK2834" i="1"/>
  <c r="AM2834" i="1"/>
  <c r="BF2834" i="1"/>
  <c r="BG2834" i="1"/>
  <c r="T2835" i="1"/>
  <c r="U2835" i="1"/>
  <c r="V2835" i="1"/>
  <c r="W2835" i="1"/>
  <c r="X2835" i="1"/>
  <c r="Y2835" i="1"/>
  <c r="Z2835" i="1"/>
  <c r="AB2835" i="1"/>
  <c r="AF2835" i="1"/>
  <c r="AI2835" i="1"/>
  <c r="H2836" i="1"/>
  <c r="AE2836" i="1"/>
  <c r="I2836" i="1"/>
  <c r="J2836" i="1"/>
  <c r="K2836" i="1"/>
  <c r="AC2836" i="1"/>
  <c r="AJ2835" i="1"/>
  <c r="AK2835" i="1"/>
  <c r="AM2835" i="1"/>
  <c r="BF2835" i="1"/>
  <c r="BG2835" i="1"/>
  <c r="T2836" i="1"/>
  <c r="U2836" i="1"/>
  <c r="V2836" i="1"/>
  <c r="W2836" i="1"/>
  <c r="X2836" i="1"/>
  <c r="Y2836" i="1"/>
  <c r="Z2836" i="1"/>
  <c r="AB2836" i="1"/>
  <c r="AF2836" i="1"/>
  <c r="AI2836" i="1"/>
  <c r="H2837" i="1"/>
  <c r="AE2837" i="1"/>
  <c r="I2837" i="1"/>
  <c r="J2837" i="1"/>
  <c r="K2837" i="1"/>
  <c r="AC2837" i="1"/>
  <c r="AJ2836" i="1"/>
  <c r="AK2836" i="1"/>
  <c r="AM2836" i="1"/>
  <c r="BF2836" i="1"/>
  <c r="BG2836" i="1"/>
  <c r="T2837" i="1"/>
  <c r="U2837" i="1"/>
  <c r="V2837" i="1"/>
  <c r="W2837" i="1"/>
  <c r="X2837" i="1"/>
  <c r="Y2837" i="1"/>
  <c r="Z2837" i="1"/>
  <c r="AB2837" i="1"/>
  <c r="AF2837" i="1"/>
  <c r="AI2837" i="1"/>
  <c r="H2838" i="1"/>
  <c r="AE2838" i="1"/>
  <c r="I2838" i="1"/>
  <c r="J2838" i="1"/>
  <c r="K2838" i="1"/>
  <c r="AC2838" i="1"/>
  <c r="AJ2837" i="1"/>
  <c r="AK2837" i="1"/>
  <c r="AM2837" i="1"/>
  <c r="BF2837" i="1"/>
  <c r="BG2837" i="1"/>
  <c r="T2838" i="1"/>
  <c r="U2838" i="1"/>
  <c r="V2838" i="1"/>
  <c r="W2838" i="1"/>
  <c r="X2838" i="1"/>
  <c r="Y2838" i="1"/>
  <c r="Z2838" i="1"/>
  <c r="AB2838" i="1"/>
  <c r="AF2838" i="1"/>
  <c r="AI2838" i="1"/>
  <c r="H2839" i="1"/>
  <c r="AE2839" i="1"/>
  <c r="I2839" i="1"/>
  <c r="J2839" i="1"/>
  <c r="K2839" i="1"/>
  <c r="AC2839" i="1"/>
  <c r="AJ2838" i="1"/>
  <c r="AK2838" i="1"/>
  <c r="AM2838" i="1"/>
  <c r="BF2838" i="1"/>
  <c r="BG2838" i="1"/>
  <c r="T2839" i="1"/>
  <c r="U2839" i="1"/>
  <c r="V2839" i="1"/>
  <c r="W2839" i="1"/>
  <c r="X2839" i="1"/>
  <c r="Y2839" i="1"/>
  <c r="Z2839" i="1"/>
  <c r="AB2839" i="1"/>
  <c r="AF2839" i="1"/>
  <c r="AI2839" i="1"/>
  <c r="H2840" i="1"/>
  <c r="AE2840" i="1"/>
  <c r="I2840" i="1"/>
  <c r="J2840" i="1"/>
  <c r="K2840" i="1"/>
  <c r="AC2840" i="1"/>
  <c r="AJ2839" i="1"/>
  <c r="AK2839" i="1"/>
  <c r="AM2839" i="1"/>
  <c r="BF2839" i="1"/>
  <c r="BG2839" i="1"/>
  <c r="T2840" i="1"/>
  <c r="U2840" i="1"/>
  <c r="V2840" i="1"/>
  <c r="W2840" i="1"/>
  <c r="X2840" i="1"/>
  <c r="Y2840" i="1"/>
  <c r="Z2840" i="1"/>
  <c r="AB2840" i="1"/>
  <c r="AF2840" i="1"/>
  <c r="AI2840" i="1"/>
  <c r="AE2841" i="1"/>
  <c r="AC2841" i="1"/>
  <c r="AJ2840" i="1"/>
  <c r="AK2840" i="1"/>
  <c r="AM2840" i="1"/>
  <c r="BF2840" i="1"/>
  <c r="BG2840" i="1"/>
  <c r="T2841" i="1"/>
  <c r="U2841" i="1"/>
  <c r="V2841" i="1"/>
  <c r="W2841" i="1"/>
  <c r="X2841" i="1"/>
  <c r="Y2841" i="1"/>
  <c r="Z2841" i="1"/>
  <c r="AB2841" i="1"/>
  <c r="AF2841" i="1"/>
  <c r="AI2841" i="1"/>
  <c r="AE2842" i="1"/>
  <c r="AC2842" i="1"/>
  <c r="AJ2841" i="1"/>
  <c r="AK2841" i="1"/>
  <c r="AM2841" i="1"/>
  <c r="BF2841" i="1"/>
  <c r="BG2841" i="1"/>
  <c r="T2842" i="1"/>
  <c r="U2842" i="1"/>
  <c r="V2842" i="1"/>
  <c r="W2842" i="1"/>
  <c r="X2842" i="1"/>
  <c r="Y2842" i="1"/>
  <c r="Z2842" i="1"/>
  <c r="AB2842" i="1"/>
  <c r="AF2842" i="1"/>
  <c r="AI2842" i="1"/>
  <c r="H2843" i="1"/>
  <c r="AE2843" i="1"/>
  <c r="I2843" i="1"/>
  <c r="J2843" i="1"/>
  <c r="K2843" i="1"/>
  <c r="AC2843" i="1"/>
  <c r="AJ2842" i="1"/>
  <c r="AK2842" i="1"/>
  <c r="AM2842" i="1"/>
  <c r="BG2842" i="1"/>
  <c r="T2843" i="1"/>
  <c r="U2843" i="1"/>
  <c r="V2843" i="1"/>
  <c r="W2843" i="1"/>
  <c r="X2843" i="1"/>
  <c r="Y2843" i="1"/>
  <c r="Z2843" i="1"/>
  <c r="AB2843" i="1"/>
  <c r="AF2843" i="1"/>
  <c r="AI2843" i="1"/>
  <c r="H2844" i="1"/>
  <c r="AE2844" i="1"/>
  <c r="I2844" i="1"/>
  <c r="J2844" i="1"/>
  <c r="K2844" i="1"/>
  <c r="AC2844" i="1"/>
  <c r="AJ2843" i="1"/>
  <c r="AK2843" i="1"/>
  <c r="AM2843" i="1"/>
  <c r="BF2843" i="1"/>
  <c r="BG2843" i="1"/>
  <c r="T2844" i="1"/>
  <c r="U2844" i="1"/>
  <c r="V2844" i="1"/>
  <c r="W2844" i="1"/>
  <c r="X2844" i="1"/>
  <c r="Y2844" i="1"/>
  <c r="Z2844" i="1"/>
  <c r="AB2844" i="1"/>
  <c r="AF2844" i="1"/>
  <c r="AI2844" i="1"/>
  <c r="H2845" i="1"/>
  <c r="AE2845" i="1"/>
  <c r="I2845" i="1"/>
  <c r="J2845" i="1"/>
  <c r="K2845" i="1"/>
  <c r="AC2845" i="1"/>
  <c r="AJ2844" i="1"/>
  <c r="AK2844" i="1"/>
  <c r="AM2844" i="1"/>
  <c r="BF2844" i="1"/>
  <c r="BG2844" i="1"/>
  <c r="T2845" i="1"/>
  <c r="U2845" i="1"/>
  <c r="V2845" i="1"/>
  <c r="W2845" i="1"/>
  <c r="X2845" i="1"/>
  <c r="Y2845" i="1"/>
  <c r="Z2845" i="1"/>
  <c r="AB2845" i="1"/>
  <c r="AF2845" i="1"/>
  <c r="AI2845" i="1"/>
  <c r="H2846" i="1"/>
  <c r="AE2846" i="1"/>
  <c r="I2846" i="1"/>
  <c r="J2846" i="1"/>
  <c r="K2846" i="1"/>
  <c r="AC2846" i="1"/>
  <c r="AJ2845" i="1"/>
  <c r="AK2845" i="1"/>
  <c r="AM2845" i="1"/>
  <c r="BF2845" i="1"/>
  <c r="BG2845" i="1"/>
  <c r="T2846" i="1"/>
  <c r="U2846" i="1"/>
  <c r="V2846" i="1"/>
  <c r="W2846" i="1"/>
  <c r="X2846" i="1"/>
  <c r="Y2846" i="1"/>
  <c r="Z2846" i="1"/>
  <c r="AB2846" i="1"/>
  <c r="AF2846" i="1"/>
  <c r="AI2846" i="1"/>
  <c r="H2847" i="1"/>
  <c r="AE2847" i="1"/>
  <c r="I2847" i="1"/>
  <c r="J2847" i="1"/>
  <c r="K2847" i="1"/>
  <c r="AC2847" i="1"/>
  <c r="AJ2846" i="1"/>
  <c r="AK2846" i="1"/>
  <c r="AM2846" i="1"/>
  <c r="BF2846" i="1"/>
  <c r="BG2846" i="1"/>
  <c r="T2847" i="1"/>
  <c r="U2847" i="1"/>
  <c r="V2847" i="1"/>
  <c r="W2847" i="1"/>
  <c r="X2847" i="1"/>
  <c r="Y2847" i="1"/>
  <c r="Z2847" i="1"/>
  <c r="AB2847" i="1"/>
  <c r="AF2847" i="1"/>
  <c r="AI2847" i="1"/>
  <c r="H2848" i="1"/>
  <c r="AE2848" i="1"/>
  <c r="I2848" i="1"/>
  <c r="J2848" i="1"/>
  <c r="K2848" i="1"/>
  <c r="AC2848" i="1"/>
  <c r="AJ2847" i="1"/>
  <c r="AK2847" i="1"/>
  <c r="AM2847" i="1"/>
  <c r="BF2847" i="1"/>
  <c r="BG2847" i="1"/>
  <c r="T2848" i="1"/>
  <c r="U2848" i="1"/>
  <c r="V2848" i="1"/>
  <c r="W2848" i="1"/>
  <c r="X2848" i="1"/>
  <c r="Y2848" i="1"/>
  <c r="Z2848" i="1"/>
  <c r="AB2848" i="1"/>
  <c r="AF2848" i="1"/>
  <c r="AI2848" i="1"/>
  <c r="H2849" i="1"/>
  <c r="AE2849" i="1"/>
  <c r="I2849" i="1"/>
  <c r="J2849" i="1"/>
  <c r="K2849" i="1"/>
  <c r="AC2849" i="1"/>
  <c r="AJ2848" i="1"/>
  <c r="AK2848" i="1"/>
  <c r="AM2848" i="1"/>
  <c r="BF2848" i="1"/>
  <c r="BG2848" i="1"/>
  <c r="T2849" i="1"/>
  <c r="U2849" i="1"/>
  <c r="V2849" i="1"/>
  <c r="W2849" i="1"/>
  <c r="X2849" i="1"/>
  <c r="Y2849" i="1"/>
  <c r="Z2849" i="1"/>
  <c r="AB2849" i="1"/>
  <c r="AF2849" i="1"/>
  <c r="AI2849" i="1"/>
  <c r="AE2850" i="1"/>
  <c r="AC2850" i="1"/>
  <c r="AJ2849" i="1"/>
  <c r="AK2849" i="1"/>
  <c r="AM2849" i="1"/>
  <c r="BF2849" i="1"/>
  <c r="BG2849" i="1"/>
  <c r="T2850" i="1"/>
  <c r="U2850" i="1"/>
  <c r="V2850" i="1"/>
  <c r="W2850" i="1"/>
  <c r="X2850" i="1"/>
  <c r="Y2850" i="1"/>
  <c r="Z2850" i="1"/>
  <c r="AB2850" i="1"/>
  <c r="AF2850" i="1"/>
  <c r="AI2850" i="1"/>
  <c r="AE2851" i="1"/>
  <c r="AC2851" i="1"/>
  <c r="AJ2850" i="1"/>
  <c r="AK2850" i="1"/>
  <c r="AM2850" i="1"/>
  <c r="BF2850" i="1"/>
  <c r="BG2850" i="1"/>
  <c r="T2851" i="1"/>
  <c r="U2851" i="1"/>
  <c r="V2851" i="1"/>
  <c r="W2851" i="1"/>
  <c r="X2851" i="1"/>
  <c r="Y2851" i="1"/>
  <c r="Z2851" i="1"/>
  <c r="AB2851" i="1"/>
  <c r="AF2851" i="1"/>
  <c r="AI2851" i="1"/>
  <c r="H2852" i="1"/>
  <c r="AE2852" i="1"/>
  <c r="I2852" i="1"/>
  <c r="J2852" i="1"/>
  <c r="K2852" i="1"/>
  <c r="AC2852" i="1"/>
  <c r="AJ2851" i="1"/>
  <c r="AK2851" i="1"/>
  <c r="AM2851" i="1"/>
  <c r="BG2851" i="1"/>
  <c r="T2852" i="1"/>
  <c r="U2852" i="1"/>
  <c r="V2852" i="1"/>
  <c r="W2852" i="1"/>
  <c r="X2852" i="1"/>
  <c r="Y2852" i="1"/>
  <c r="Z2852" i="1"/>
  <c r="AB2852" i="1"/>
  <c r="AF2852" i="1"/>
  <c r="AI2852" i="1"/>
  <c r="H2853" i="1"/>
  <c r="AE2853" i="1"/>
  <c r="I2853" i="1"/>
  <c r="J2853" i="1"/>
  <c r="K2853" i="1"/>
  <c r="AC2853" i="1"/>
  <c r="AJ2852" i="1"/>
  <c r="AK2852" i="1"/>
  <c r="AM2852" i="1"/>
  <c r="BF2852" i="1"/>
  <c r="BG2852" i="1"/>
  <c r="T2853" i="1"/>
  <c r="U2853" i="1"/>
  <c r="V2853" i="1"/>
  <c r="W2853" i="1"/>
  <c r="X2853" i="1"/>
  <c r="Y2853" i="1"/>
  <c r="Z2853" i="1"/>
  <c r="AB2853" i="1"/>
  <c r="AF2853" i="1"/>
  <c r="AI2853" i="1"/>
  <c r="H2854" i="1"/>
  <c r="AE2854" i="1"/>
  <c r="I2854" i="1"/>
  <c r="J2854" i="1"/>
  <c r="K2854" i="1"/>
  <c r="AC2854" i="1"/>
  <c r="AJ2853" i="1"/>
  <c r="AK2853" i="1"/>
  <c r="AM2853" i="1"/>
  <c r="BF2853" i="1"/>
  <c r="BG2853" i="1"/>
  <c r="T2854" i="1"/>
  <c r="U2854" i="1"/>
  <c r="V2854" i="1"/>
  <c r="W2854" i="1"/>
  <c r="X2854" i="1"/>
  <c r="Y2854" i="1"/>
  <c r="Z2854" i="1"/>
  <c r="AB2854" i="1"/>
  <c r="AF2854" i="1"/>
  <c r="AI2854" i="1"/>
  <c r="H2855" i="1"/>
  <c r="AE2855" i="1"/>
  <c r="I2855" i="1"/>
  <c r="J2855" i="1"/>
  <c r="K2855" i="1"/>
  <c r="AC2855" i="1"/>
  <c r="AJ2854" i="1"/>
  <c r="AK2854" i="1"/>
  <c r="AM2854" i="1"/>
  <c r="BF2854" i="1"/>
  <c r="BG2854" i="1"/>
  <c r="T2855" i="1"/>
  <c r="U2855" i="1"/>
  <c r="V2855" i="1"/>
  <c r="W2855" i="1"/>
  <c r="X2855" i="1"/>
  <c r="Y2855" i="1"/>
  <c r="Z2855" i="1"/>
  <c r="AB2855" i="1"/>
  <c r="AF2855" i="1"/>
  <c r="AI2855" i="1"/>
  <c r="H2856" i="1"/>
  <c r="AE2856" i="1"/>
  <c r="I2856" i="1"/>
  <c r="J2856" i="1"/>
  <c r="K2856" i="1"/>
  <c r="AC2856" i="1"/>
  <c r="AJ2855" i="1"/>
  <c r="AK2855" i="1"/>
  <c r="AM2855" i="1"/>
  <c r="BF2855" i="1"/>
  <c r="BG2855" i="1"/>
  <c r="T2856" i="1"/>
  <c r="U2856" i="1"/>
  <c r="V2856" i="1"/>
  <c r="W2856" i="1"/>
  <c r="X2856" i="1"/>
  <c r="Y2856" i="1"/>
  <c r="Z2856" i="1"/>
  <c r="AB2856" i="1"/>
  <c r="AF2856" i="1"/>
  <c r="AI2856" i="1"/>
  <c r="AE2857" i="1"/>
  <c r="AC2857" i="1"/>
  <c r="AJ2856" i="1"/>
  <c r="AK2856" i="1"/>
  <c r="AM2856" i="1"/>
  <c r="BF2856" i="1"/>
  <c r="BG2856" i="1"/>
  <c r="T2857" i="1"/>
  <c r="U2857" i="1"/>
  <c r="V2857" i="1"/>
  <c r="W2857" i="1"/>
  <c r="X2857" i="1"/>
  <c r="Y2857" i="1"/>
  <c r="Z2857" i="1"/>
  <c r="AB2857" i="1"/>
  <c r="AF2857" i="1"/>
  <c r="AI2857" i="1"/>
  <c r="AE2858" i="1"/>
  <c r="AC2858" i="1"/>
  <c r="AJ2857" i="1"/>
  <c r="AK2857" i="1"/>
  <c r="AM2857" i="1"/>
  <c r="BF2857" i="1"/>
  <c r="BG2857" i="1"/>
  <c r="T2858" i="1"/>
  <c r="U2858" i="1"/>
  <c r="V2858" i="1"/>
  <c r="W2858" i="1"/>
  <c r="X2858" i="1"/>
  <c r="Y2858" i="1"/>
  <c r="Z2858" i="1"/>
  <c r="AB2858" i="1"/>
  <c r="AF2858" i="1"/>
  <c r="AI2858" i="1"/>
  <c r="H2859" i="1"/>
  <c r="AE2859" i="1"/>
  <c r="I2859" i="1"/>
  <c r="J2859" i="1"/>
  <c r="K2859" i="1"/>
  <c r="AC2859" i="1"/>
  <c r="AJ2858" i="1"/>
  <c r="AK2858" i="1"/>
  <c r="AM2858" i="1"/>
  <c r="BG2858" i="1"/>
  <c r="T2859" i="1"/>
  <c r="U2859" i="1"/>
  <c r="V2859" i="1"/>
  <c r="W2859" i="1"/>
  <c r="X2859" i="1"/>
  <c r="Y2859" i="1"/>
  <c r="Z2859" i="1"/>
  <c r="AB2859" i="1"/>
  <c r="AF2859" i="1"/>
  <c r="AI2859" i="1"/>
  <c r="H2860" i="1"/>
  <c r="AE2860" i="1"/>
  <c r="I2860" i="1"/>
  <c r="J2860" i="1"/>
  <c r="K2860" i="1"/>
  <c r="AC2860" i="1"/>
  <c r="AJ2859" i="1"/>
  <c r="AK2859" i="1"/>
  <c r="AM2859" i="1"/>
  <c r="BF2859" i="1"/>
  <c r="BG2859" i="1"/>
  <c r="T2860" i="1"/>
  <c r="U2860" i="1"/>
  <c r="V2860" i="1"/>
  <c r="W2860" i="1"/>
  <c r="X2860" i="1"/>
  <c r="Y2860" i="1"/>
  <c r="Z2860" i="1"/>
  <c r="AB2860" i="1"/>
  <c r="AF2860" i="1"/>
  <c r="AI2860" i="1"/>
  <c r="H2861" i="1"/>
  <c r="AE2861" i="1"/>
  <c r="I2861" i="1"/>
  <c r="J2861" i="1"/>
  <c r="K2861" i="1"/>
  <c r="AC2861" i="1"/>
  <c r="AJ2860" i="1"/>
  <c r="AK2860" i="1"/>
  <c r="AM2860" i="1"/>
  <c r="BF2860" i="1"/>
  <c r="BG2860" i="1"/>
  <c r="T2861" i="1"/>
  <c r="U2861" i="1"/>
  <c r="V2861" i="1"/>
  <c r="W2861" i="1"/>
  <c r="X2861" i="1"/>
  <c r="Y2861" i="1"/>
  <c r="Z2861" i="1"/>
  <c r="AB2861" i="1"/>
  <c r="AF2861" i="1"/>
  <c r="AI2861" i="1"/>
  <c r="H2862" i="1"/>
  <c r="AE2862" i="1"/>
  <c r="I2862" i="1"/>
  <c r="J2862" i="1"/>
  <c r="K2862" i="1"/>
  <c r="AC2862" i="1"/>
  <c r="AJ2861" i="1"/>
  <c r="AK2861" i="1"/>
  <c r="AM2861" i="1"/>
  <c r="BF2861" i="1"/>
  <c r="BG2861" i="1"/>
  <c r="T2862" i="1"/>
  <c r="U2862" i="1"/>
  <c r="V2862" i="1"/>
  <c r="W2862" i="1"/>
  <c r="X2862" i="1"/>
  <c r="Y2862" i="1"/>
  <c r="Z2862" i="1"/>
  <c r="AB2862" i="1"/>
  <c r="AF2862" i="1"/>
  <c r="AI2862" i="1"/>
  <c r="H2863" i="1"/>
  <c r="AE2863" i="1"/>
  <c r="I2863" i="1"/>
  <c r="J2863" i="1"/>
  <c r="K2863" i="1"/>
  <c r="AC2863" i="1"/>
  <c r="AJ2862" i="1"/>
  <c r="AK2862" i="1"/>
  <c r="AM2862" i="1"/>
  <c r="BF2862" i="1"/>
  <c r="BG2862" i="1"/>
  <c r="T2863" i="1"/>
  <c r="U2863" i="1"/>
  <c r="V2863" i="1"/>
  <c r="W2863" i="1"/>
  <c r="X2863" i="1"/>
  <c r="Y2863" i="1"/>
  <c r="Z2863" i="1"/>
  <c r="AB2863" i="1"/>
  <c r="AF2863" i="1"/>
  <c r="AI2863" i="1"/>
  <c r="H2864" i="1"/>
  <c r="AE2864" i="1"/>
  <c r="I2864" i="1"/>
  <c r="J2864" i="1"/>
  <c r="K2864" i="1"/>
  <c r="AC2864" i="1"/>
  <c r="AJ2863" i="1"/>
  <c r="AK2863" i="1"/>
  <c r="AM2863" i="1"/>
  <c r="BF2863" i="1"/>
  <c r="BG2863" i="1"/>
  <c r="T2864" i="1"/>
  <c r="U2864" i="1"/>
  <c r="V2864" i="1"/>
  <c r="W2864" i="1"/>
  <c r="X2864" i="1"/>
  <c r="Y2864" i="1"/>
  <c r="Z2864" i="1"/>
  <c r="AB2864" i="1"/>
  <c r="AF2864" i="1"/>
  <c r="AI2864" i="1"/>
  <c r="H2865" i="1"/>
  <c r="AE2865" i="1"/>
  <c r="I2865" i="1"/>
  <c r="J2865" i="1"/>
  <c r="K2865" i="1"/>
  <c r="AC2865" i="1"/>
  <c r="AJ2864" i="1"/>
  <c r="AK2864" i="1"/>
  <c r="AM2864" i="1"/>
  <c r="BF2864" i="1"/>
  <c r="BG2864" i="1"/>
  <c r="T2865" i="1"/>
  <c r="U2865" i="1"/>
  <c r="V2865" i="1"/>
  <c r="W2865" i="1"/>
  <c r="X2865" i="1"/>
  <c r="Y2865" i="1"/>
  <c r="Z2865" i="1"/>
  <c r="AB2865" i="1"/>
  <c r="AF2865" i="1"/>
  <c r="AI2865" i="1"/>
  <c r="AE2866" i="1"/>
  <c r="AC2866" i="1"/>
  <c r="AJ2865" i="1"/>
  <c r="AK2865" i="1"/>
  <c r="AM2865" i="1"/>
  <c r="BF2865" i="1"/>
  <c r="BG2865" i="1"/>
  <c r="T2866" i="1"/>
  <c r="U2866" i="1"/>
  <c r="V2866" i="1"/>
  <c r="W2866" i="1"/>
  <c r="X2866" i="1"/>
  <c r="Y2866" i="1"/>
  <c r="Z2866" i="1"/>
  <c r="AB2866" i="1"/>
  <c r="AF2866" i="1"/>
  <c r="AI2866" i="1"/>
  <c r="AE2867" i="1"/>
  <c r="AC2867" i="1"/>
  <c r="AJ2866" i="1"/>
  <c r="AK2866" i="1"/>
  <c r="AM2866" i="1"/>
  <c r="BF2866" i="1"/>
  <c r="BG2866" i="1"/>
  <c r="T2867" i="1"/>
  <c r="U2867" i="1"/>
  <c r="V2867" i="1"/>
  <c r="W2867" i="1"/>
  <c r="X2867" i="1"/>
  <c r="Y2867" i="1"/>
  <c r="Z2867" i="1"/>
  <c r="AB2867" i="1"/>
  <c r="AF2867" i="1"/>
  <c r="AI2867" i="1"/>
  <c r="H2868" i="1"/>
  <c r="AE2868" i="1"/>
  <c r="I2868" i="1"/>
  <c r="J2868" i="1"/>
  <c r="K2868" i="1"/>
  <c r="AC2868" i="1"/>
  <c r="AJ2867" i="1"/>
  <c r="AK2867" i="1"/>
  <c r="AM2867" i="1"/>
  <c r="BG2867" i="1"/>
  <c r="T2868" i="1"/>
  <c r="U2868" i="1"/>
  <c r="V2868" i="1"/>
  <c r="W2868" i="1"/>
  <c r="X2868" i="1"/>
  <c r="Y2868" i="1"/>
  <c r="Z2868" i="1"/>
  <c r="AB2868" i="1"/>
  <c r="AF2868" i="1"/>
  <c r="AI2868" i="1"/>
  <c r="H2869" i="1"/>
  <c r="AE2869" i="1"/>
  <c r="I2869" i="1"/>
  <c r="J2869" i="1"/>
  <c r="K2869" i="1"/>
  <c r="AC2869" i="1"/>
  <c r="AJ2868" i="1"/>
  <c r="AK2868" i="1"/>
  <c r="AM2868" i="1"/>
  <c r="BF2868" i="1"/>
  <c r="BG2868" i="1"/>
  <c r="T2869" i="1"/>
  <c r="U2869" i="1"/>
  <c r="V2869" i="1"/>
  <c r="W2869" i="1"/>
  <c r="X2869" i="1"/>
  <c r="Y2869" i="1"/>
  <c r="Z2869" i="1"/>
  <c r="AB2869" i="1"/>
  <c r="AF2869" i="1"/>
  <c r="AI2869" i="1"/>
  <c r="AE2870" i="1"/>
  <c r="AC2870" i="1"/>
  <c r="AJ2869" i="1"/>
  <c r="AK2869" i="1"/>
  <c r="AM2869" i="1"/>
  <c r="BF2869" i="1"/>
  <c r="BG2869" i="1"/>
  <c r="T2870" i="1"/>
  <c r="U2870" i="1"/>
  <c r="V2870" i="1"/>
  <c r="W2870" i="1"/>
  <c r="X2870" i="1"/>
  <c r="Y2870" i="1"/>
  <c r="Z2870" i="1"/>
  <c r="AB2870" i="1"/>
  <c r="AF2870" i="1"/>
  <c r="AI2870" i="1"/>
  <c r="AE2871" i="1"/>
  <c r="AC2871" i="1"/>
  <c r="AJ2870" i="1"/>
  <c r="AK2870" i="1"/>
  <c r="AM2870" i="1"/>
  <c r="BF2870" i="1"/>
  <c r="BG2870" i="1"/>
  <c r="T2871" i="1"/>
  <c r="U2871" i="1"/>
  <c r="V2871" i="1"/>
  <c r="W2871" i="1"/>
  <c r="X2871" i="1"/>
  <c r="Y2871" i="1"/>
  <c r="Z2871" i="1"/>
  <c r="AB2871" i="1"/>
  <c r="AF2871" i="1"/>
  <c r="AI2871" i="1"/>
  <c r="H2872" i="1"/>
  <c r="AE2872" i="1"/>
  <c r="I2872" i="1"/>
  <c r="J2872" i="1"/>
  <c r="K2872" i="1"/>
  <c r="AC2872" i="1"/>
  <c r="AJ2871" i="1"/>
  <c r="AK2871" i="1"/>
  <c r="AM2871" i="1"/>
  <c r="BG2871" i="1"/>
  <c r="T2872" i="1"/>
  <c r="U2872" i="1"/>
  <c r="V2872" i="1"/>
  <c r="W2872" i="1"/>
  <c r="X2872" i="1"/>
  <c r="Y2872" i="1"/>
  <c r="Z2872" i="1"/>
  <c r="AB2872" i="1"/>
  <c r="AF2872" i="1"/>
  <c r="AI2872" i="1"/>
  <c r="H2873" i="1"/>
  <c r="AE2873" i="1"/>
  <c r="I2873" i="1"/>
  <c r="J2873" i="1"/>
  <c r="K2873" i="1"/>
  <c r="AC2873" i="1"/>
  <c r="AJ2872" i="1"/>
  <c r="AK2872" i="1"/>
  <c r="AM2872" i="1"/>
  <c r="BF2872" i="1"/>
  <c r="BG2872" i="1"/>
  <c r="T2873" i="1"/>
  <c r="U2873" i="1"/>
  <c r="V2873" i="1"/>
  <c r="W2873" i="1"/>
  <c r="X2873" i="1"/>
  <c r="Y2873" i="1"/>
  <c r="Z2873" i="1"/>
  <c r="AB2873" i="1"/>
  <c r="AF2873" i="1"/>
  <c r="AI2873" i="1"/>
  <c r="AE2874" i="1"/>
  <c r="AC2874" i="1"/>
  <c r="AJ2873" i="1"/>
  <c r="AK2873" i="1"/>
  <c r="AM2873" i="1"/>
  <c r="BF2873" i="1"/>
  <c r="BG2873" i="1"/>
  <c r="T2874" i="1"/>
  <c r="U2874" i="1"/>
  <c r="V2874" i="1"/>
  <c r="W2874" i="1"/>
  <c r="X2874" i="1"/>
  <c r="Y2874" i="1"/>
  <c r="Z2874" i="1"/>
  <c r="AB2874" i="1"/>
  <c r="AF2874" i="1"/>
  <c r="AI2874" i="1"/>
  <c r="AE2875" i="1"/>
  <c r="AC2875" i="1"/>
  <c r="AJ2874" i="1"/>
  <c r="AK2874" i="1"/>
  <c r="AM2874" i="1"/>
  <c r="BF2874" i="1"/>
  <c r="BG2874" i="1"/>
  <c r="T2875" i="1"/>
  <c r="U2875" i="1"/>
  <c r="V2875" i="1"/>
  <c r="W2875" i="1"/>
  <c r="X2875" i="1"/>
  <c r="Y2875" i="1"/>
  <c r="Z2875" i="1"/>
  <c r="AB2875" i="1"/>
  <c r="AF2875" i="1"/>
  <c r="AI2875" i="1"/>
  <c r="H2876" i="1"/>
  <c r="AE2876" i="1"/>
  <c r="I2876" i="1"/>
  <c r="J2876" i="1"/>
  <c r="K2876" i="1"/>
  <c r="AC2876" i="1"/>
  <c r="AJ2875" i="1"/>
  <c r="AK2875" i="1"/>
  <c r="AM2875" i="1"/>
  <c r="BG2875" i="1"/>
  <c r="T2876" i="1"/>
  <c r="U2876" i="1"/>
  <c r="V2876" i="1"/>
  <c r="W2876" i="1"/>
  <c r="X2876" i="1"/>
  <c r="Y2876" i="1"/>
  <c r="Z2876" i="1"/>
  <c r="AB2876" i="1"/>
  <c r="AF2876" i="1"/>
  <c r="AI2876" i="1"/>
  <c r="AE2877" i="1"/>
  <c r="AC2877" i="1"/>
  <c r="AJ2876" i="1"/>
  <c r="AK2876" i="1"/>
  <c r="AM2876" i="1"/>
  <c r="BF2876" i="1"/>
  <c r="BG2876" i="1"/>
  <c r="T2877" i="1"/>
  <c r="U2877" i="1"/>
  <c r="V2877" i="1"/>
  <c r="W2877" i="1"/>
  <c r="X2877" i="1"/>
  <c r="Y2877" i="1"/>
  <c r="Z2877" i="1"/>
  <c r="AB2877" i="1"/>
  <c r="AF2877" i="1"/>
  <c r="AI2877" i="1"/>
  <c r="AE2878" i="1"/>
  <c r="AC2878" i="1"/>
  <c r="AJ2877" i="1"/>
  <c r="AK2877" i="1"/>
  <c r="AM2877" i="1"/>
  <c r="BF2877" i="1"/>
  <c r="BG2877" i="1"/>
  <c r="T2878" i="1"/>
  <c r="U2878" i="1"/>
  <c r="V2878" i="1"/>
  <c r="W2878" i="1"/>
  <c r="X2878" i="1"/>
  <c r="Y2878" i="1"/>
  <c r="Z2878" i="1"/>
  <c r="AB2878" i="1"/>
  <c r="AF2878" i="1"/>
  <c r="AI2878" i="1"/>
  <c r="H2879" i="1"/>
  <c r="AE2879" i="1"/>
  <c r="I2879" i="1"/>
  <c r="J2879" i="1"/>
  <c r="K2879" i="1"/>
  <c r="AC2879" i="1"/>
  <c r="AJ2878" i="1"/>
  <c r="AK2878" i="1"/>
  <c r="AM2878" i="1"/>
  <c r="BG2878" i="1"/>
  <c r="T2879" i="1"/>
  <c r="U2879" i="1"/>
  <c r="V2879" i="1"/>
  <c r="W2879" i="1"/>
  <c r="X2879" i="1"/>
  <c r="Y2879" i="1"/>
  <c r="Z2879" i="1"/>
  <c r="AB2879" i="1"/>
  <c r="AF2879" i="1"/>
  <c r="AI2879" i="1"/>
  <c r="AE2880" i="1"/>
  <c r="AC2880" i="1"/>
  <c r="AJ2879" i="1"/>
  <c r="AK2879" i="1"/>
  <c r="AM2879" i="1"/>
  <c r="BF2879" i="1"/>
  <c r="BG2879" i="1"/>
  <c r="T2880" i="1"/>
  <c r="U2880" i="1"/>
  <c r="V2880" i="1"/>
  <c r="W2880" i="1"/>
  <c r="X2880" i="1"/>
  <c r="Y2880" i="1"/>
  <c r="Z2880" i="1"/>
  <c r="AB2880" i="1"/>
  <c r="AF2880" i="1"/>
  <c r="AI2880" i="1"/>
  <c r="AE2881" i="1"/>
  <c r="AC2881" i="1"/>
  <c r="AJ2880" i="1"/>
  <c r="AK2880" i="1"/>
  <c r="AM2880" i="1"/>
  <c r="BF2880" i="1"/>
  <c r="BG2880" i="1"/>
  <c r="T2881" i="1"/>
  <c r="U2881" i="1"/>
  <c r="V2881" i="1"/>
  <c r="W2881" i="1"/>
  <c r="X2881" i="1"/>
  <c r="Y2881" i="1"/>
  <c r="Z2881" i="1"/>
  <c r="AB2881" i="1"/>
  <c r="AF2881" i="1"/>
  <c r="AI2881" i="1"/>
  <c r="H2882" i="1"/>
  <c r="AE2882" i="1"/>
  <c r="I2882" i="1"/>
  <c r="J2882" i="1"/>
  <c r="K2882" i="1"/>
  <c r="AC2882" i="1"/>
  <c r="AJ2881" i="1"/>
  <c r="AK2881" i="1"/>
  <c r="AM2881" i="1"/>
  <c r="BG2881" i="1"/>
  <c r="T2882" i="1"/>
  <c r="U2882" i="1"/>
  <c r="V2882" i="1"/>
  <c r="W2882" i="1"/>
  <c r="X2882" i="1"/>
  <c r="Y2882" i="1"/>
  <c r="Z2882" i="1"/>
  <c r="AB2882" i="1"/>
  <c r="AF2882" i="1"/>
  <c r="AI2882" i="1"/>
  <c r="AE2883" i="1"/>
  <c r="AC2883" i="1"/>
  <c r="AJ2882" i="1"/>
  <c r="AK2882" i="1"/>
  <c r="AM2882" i="1"/>
  <c r="BF2882" i="1"/>
  <c r="BG2882" i="1"/>
  <c r="T2883" i="1"/>
  <c r="U2883" i="1"/>
  <c r="V2883" i="1"/>
  <c r="W2883" i="1"/>
  <c r="X2883" i="1"/>
  <c r="Y2883" i="1"/>
  <c r="Z2883" i="1"/>
  <c r="AB2883" i="1"/>
  <c r="AF2883" i="1"/>
  <c r="AI2883" i="1"/>
  <c r="AE2884" i="1"/>
  <c r="AC2884" i="1"/>
  <c r="AJ2883" i="1"/>
  <c r="AK2883" i="1"/>
  <c r="AM2883" i="1"/>
  <c r="BF2883" i="1"/>
  <c r="BG2883" i="1"/>
  <c r="T2884" i="1"/>
  <c r="U2884" i="1"/>
  <c r="V2884" i="1"/>
  <c r="W2884" i="1"/>
  <c r="X2884" i="1"/>
  <c r="Y2884" i="1"/>
  <c r="Z2884" i="1"/>
  <c r="AB2884" i="1"/>
  <c r="AF2884" i="1"/>
  <c r="AI2884" i="1"/>
  <c r="H2885" i="1"/>
  <c r="AE2885" i="1"/>
  <c r="I2885" i="1"/>
  <c r="J2885" i="1"/>
  <c r="K2885" i="1"/>
  <c r="AC2885" i="1"/>
  <c r="AJ2884" i="1"/>
  <c r="AK2884" i="1"/>
  <c r="AM2884" i="1"/>
  <c r="BG2884" i="1"/>
  <c r="T2885" i="1"/>
  <c r="U2885" i="1"/>
  <c r="V2885" i="1"/>
  <c r="W2885" i="1"/>
  <c r="X2885" i="1"/>
  <c r="Y2885" i="1"/>
  <c r="Z2885" i="1"/>
  <c r="AB2885" i="1"/>
  <c r="AF2885" i="1"/>
  <c r="AI2885" i="1"/>
  <c r="H2886" i="1"/>
  <c r="AE2886" i="1"/>
  <c r="I2886" i="1"/>
  <c r="J2886" i="1"/>
  <c r="K2886" i="1"/>
  <c r="AC2886" i="1"/>
  <c r="AJ2885" i="1"/>
  <c r="AK2885" i="1"/>
  <c r="AM2885" i="1"/>
  <c r="BF2885" i="1"/>
  <c r="BG2885" i="1"/>
  <c r="T2886" i="1"/>
  <c r="U2886" i="1"/>
  <c r="V2886" i="1"/>
  <c r="W2886" i="1"/>
  <c r="X2886" i="1"/>
  <c r="Y2886" i="1"/>
  <c r="Z2886" i="1"/>
  <c r="AB2886" i="1"/>
  <c r="AF2886" i="1"/>
  <c r="AI2886" i="1"/>
  <c r="AE2887" i="1"/>
  <c r="AC2887" i="1"/>
  <c r="AJ2886" i="1"/>
  <c r="AK2886" i="1"/>
  <c r="AM2886" i="1"/>
  <c r="BF2886" i="1"/>
  <c r="BG2886" i="1"/>
  <c r="T2887" i="1"/>
  <c r="U2887" i="1"/>
  <c r="V2887" i="1"/>
  <c r="W2887" i="1"/>
  <c r="X2887" i="1"/>
  <c r="Y2887" i="1"/>
  <c r="Z2887" i="1"/>
  <c r="AB2887" i="1"/>
  <c r="AF2887" i="1"/>
  <c r="AI2887" i="1"/>
  <c r="AE2888" i="1"/>
  <c r="AC2888" i="1"/>
  <c r="AJ2887" i="1"/>
  <c r="AK2887" i="1"/>
  <c r="AM2887" i="1"/>
  <c r="BF2887" i="1"/>
  <c r="BG2887" i="1"/>
  <c r="T2888" i="1"/>
  <c r="U2888" i="1"/>
  <c r="V2888" i="1"/>
  <c r="W2888" i="1"/>
  <c r="X2888" i="1"/>
  <c r="Y2888" i="1"/>
  <c r="Z2888" i="1"/>
  <c r="AB2888" i="1"/>
  <c r="AF2888" i="1"/>
  <c r="AI2888" i="1"/>
  <c r="H2889" i="1"/>
  <c r="AE2889" i="1"/>
  <c r="I2889" i="1"/>
  <c r="J2889" i="1"/>
  <c r="K2889" i="1"/>
  <c r="AC2889" i="1"/>
  <c r="AJ2888" i="1"/>
  <c r="AK2888" i="1"/>
  <c r="AM2888" i="1"/>
  <c r="BG2888" i="1"/>
  <c r="T2889" i="1"/>
  <c r="U2889" i="1"/>
  <c r="V2889" i="1"/>
  <c r="W2889" i="1"/>
  <c r="X2889" i="1"/>
  <c r="Y2889" i="1"/>
  <c r="Z2889" i="1"/>
  <c r="AB2889" i="1"/>
  <c r="AF2889" i="1"/>
  <c r="AI2889" i="1"/>
  <c r="H2890" i="1"/>
  <c r="AE2890" i="1"/>
  <c r="I2890" i="1"/>
  <c r="J2890" i="1"/>
  <c r="K2890" i="1"/>
  <c r="AC2890" i="1"/>
  <c r="AJ2889" i="1"/>
  <c r="AK2889" i="1"/>
  <c r="AM2889" i="1"/>
  <c r="BF2889" i="1"/>
  <c r="BG2889" i="1"/>
  <c r="T2890" i="1"/>
  <c r="U2890" i="1"/>
  <c r="V2890" i="1"/>
  <c r="W2890" i="1"/>
  <c r="X2890" i="1"/>
  <c r="Y2890" i="1"/>
  <c r="Z2890" i="1"/>
  <c r="AB2890" i="1"/>
  <c r="AF2890" i="1"/>
  <c r="AI2890" i="1"/>
  <c r="AE2891" i="1"/>
  <c r="AC2891" i="1"/>
  <c r="AJ2890" i="1"/>
  <c r="AK2890" i="1"/>
  <c r="AM2890" i="1"/>
  <c r="BF2890" i="1"/>
  <c r="BG2890" i="1"/>
  <c r="T2891" i="1"/>
  <c r="U2891" i="1"/>
  <c r="V2891" i="1"/>
  <c r="W2891" i="1"/>
  <c r="X2891" i="1"/>
  <c r="Y2891" i="1"/>
  <c r="Z2891" i="1"/>
  <c r="AB2891" i="1"/>
  <c r="AF2891" i="1"/>
  <c r="AI2891" i="1"/>
  <c r="AE2892" i="1"/>
  <c r="AC2892" i="1"/>
  <c r="AJ2891" i="1"/>
  <c r="AK2891" i="1"/>
  <c r="AM2891" i="1"/>
  <c r="BF2891" i="1"/>
  <c r="BG2891" i="1"/>
  <c r="T2892" i="1"/>
  <c r="U2892" i="1"/>
  <c r="V2892" i="1"/>
  <c r="W2892" i="1"/>
  <c r="X2892" i="1"/>
  <c r="Y2892" i="1"/>
  <c r="Z2892" i="1"/>
  <c r="AB2892" i="1"/>
  <c r="AF2892" i="1"/>
  <c r="AI2892" i="1"/>
  <c r="H2893" i="1"/>
  <c r="AE2893" i="1"/>
  <c r="I2893" i="1"/>
  <c r="J2893" i="1"/>
  <c r="K2893" i="1"/>
  <c r="AC2893" i="1"/>
  <c r="AJ2892" i="1"/>
  <c r="AK2892" i="1"/>
  <c r="AM2892" i="1"/>
  <c r="BG2892" i="1"/>
  <c r="T2893" i="1"/>
  <c r="U2893" i="1"/>
  <c r="V2893" i="1"/>
  <c r="W2893" i="1"/>
  <c r="X2893" i="1"/>
  <c r="Y2893" i="1"/>
  <c r="Z2893" i="1"/>
  <c r="AB2893" i="1"/>
  <c r="AF2893" i="1"/>
  <c r="AI2893" i="1"/>
  <c r="AE2894" i="1"/>
  <c r="AC2894" i="1"/>
  <c r="AJ2893" i="1"/>
  <c r="AK2893" i="1"/>
  <c r="AM2893" i="1"/>
  <c r="BF2893" i="1"/>
  <c r="BG2893" i="1"/>
  <c r="T2894" i="1"/>
  <c r="U2894" i="1"/>
  <c r="V2894" i="1"/>
  <c r="W2894" i="1"/>
  <c r="X2894" i="1"/>
  <c r="Y2894" i="1"/>
  <c r="Z2894" i="1"/>
  <c r="AB2894" i="1"/>
  <c r="AF2894" i="1"/>
  <c r="AI2894" i="1"/>
  <c r="AE2895" i="1"/>
  <c r="AC2895" i="1"/>
  <c r="AJ2894" i="1"/>
  <c r="AK2894" i="1"/>
  <c r="AM2894" i="1"/>
  <c r="BF2894" i="1"/>
  <c r="BG2894" i="1"/>
  <c r="T2895" i="1"/>
  <c r="U2895" i="1"/>
  <c r="V2895" i="1"/>
  <c r="W2895" i="1"/>
  <c r="X2895" i="1"/>
  <c r="Y2895" i="1"/>
  <c r="Z2895" i="1"/>
  <c r="AB2895" i="1"/>
  <c r="AF2895" i="1"/>
  <c r="AI2895" i="1"/>
  <c r="H2896" i="1"/>
  <c r="AE2896" i="1"/>
  <c r="I2896" i="1"/>
  <c r="J2896" i="1"/>
  <c r="K2896" i="1"/>
  <c r="AC2896" i="1"/>
  <c r="AJ2895" i="1"/>
  <c r="AK2895" i="1"/>
  <c r="AM2895" i="1"/>
  <c r="BG2895" i="1"/>
  <c r="T2896" i="1"/>
  <c r="U2896" i="1"/>
  <c r="V2896" i="1"/>
  <c r="W2896" i="1"/>
  <c r="X2896" i="1"/>
  <c r="Y2896" i="1"/>
  <c r="Z2896" i="1"/>
  <c r="AB2896" i="1"/>
  <c r="AF2896" i="1"/>
  <c r="AI2896" i="1"/>
  <c r="AE2897" i="1"/>
  <c r="AC2897" i="1"/>
  <c r="AJ2896" i="1"/>
  <c r="AK2896" i="1"/>
  <c r="AM2896" i="1"/>
  <c r="BF2896" i="1"/>
  <c r="BG2896" i="1"/>
  <c r="T2897" i="1"/>
  <c r="U2897" i="1"/>
  <c r="V2897" i="1"/>
  <c r="W2897" i="1"/>
  <c r="X2897" i="1"/>
  <c r="Y2897" i="1"/>
  <c r="Z2897" i="1"/>
  <c r="AB2897" i="1"/>
  <c r="AF2897" i="1"/>
  <c r="AI2897" i="1"/>
  <c r="AE2898" i="1"/>
  <c r="AC2898" i="1"/>
  <c r="AJ2897" i="1"/>
  <c r="AK2897" i="1"/>
  <c r="AM2897" i="1"/>
  <c r="BF2897" i="1"/>
  <c r="BG2897" i="1"/>
  <c r="T2898" i="1"/>
  <c r="U2898" i="1"/>
  <c r="V2898" i="1"/>
  <c r="W2898" i="1"/>
  <c r="X2898" i="1"/>
  <c r="Y2898" i="1"/>
  <c r="Z2898" i="1"/>
  <c r="AB2898" i="1"/>
  <c r="AF2898" i="1"/>
  <c r="AI2898" i="1"/>
  <c r="H2899" i="1"/>
  <c r="AE2899" i="1"/>
  <c r="I2899" i="1"/>
  <c r="J2899" i="1"/>
  <c r="K2899" i="1"/>
  <c r="AC2899" i="1"/>
  <c r="AJ2898" i="1"/>
  <c r="AK2898" i="1"/>
  <c r="AM2898" i="1"/>
  <c r="BG2898" i="1"/>
  <c r="T2899" i="1"/>
  <c r="U2899" i="1"/>
  <c r="V2899" i="1"/>
  <c r="W2899" i="1"/>
  <c r="X2899" i="1"/>
  <c r="Y2899" i="1"/>
  <c r="Z2899" i="1"/>
  <c r="AB2899" i="1"/>
  <c r="AF2899" i="1"/>
  <c r="AI2899" i="1"/>
  <c r="AE2900" i="1"/>
  <c r="AC2900" i="1"/>
  <c r="AJ2899" i="1"/>
  <c r="AK2899" i="1"/>
  <c r="AM2899" i="1"/>
  <c r="BF2899" i="1"/>
  <c r="BG2899" i="1"/>
  <c r="T2900" i="1"/>
  <c r="U2900" i="1"/>
  <c r="V2900" i="1"/>
  <c r="W2900" i="1"/>
  <c r="X2900" i="1"/>
  <c r="Y2900" i="1"/>
  <c r="Z2900" i="1"/>
  <c r="AB2900" i="1"/>
  <c r="AF2900" i="1"/>
  <c r="AI2900" i="1"/>
  <c r="AE2901" i="1"/>
  <c r="AC2901" i="1"/>
  <c r="AJ2900" i="1"/>
  <c r="AK2900" i="1"/>
  <c r="AM2900" i="1"/>
  <c r="BF2900" i="1"/>
  <c r="BG2900" i="1"/>
  <c r="T2901" i="1"/>
  <c r="U2901" i="1"/>
  <c r="V2901" i="1"/>
  <c r="W2901" i="1"/>
  <c r="X2901" i="1"/>
  <c r="Y2901" i="1"/>
  <c r="Z2901" i="1"/>
  <c r="AB2901" i="1"/>
  <c r="AF2901" i="1"/>
  <c r="AI2901" i="1"/>
  <c r="H2902" i="1"/>
  <c r="AE2902" i="1"/>
  <c r="I2902" i="1"/>
  <c r="J2902" i="1"/>
  <c r="K2902" i="1"/>
  <c r="AC2902" i="1"/>
  <c r="AJ2901" i="1"/>
  <c r="AK2901" i="1"/>
  <c r="AM2901" i="1"/>
  <c r="BG2901" i="1"/>
  <c r="T2902" i="1"/>
  <c r="U2902" i="1"/>
  <c r="V2902" i="1"/>
  <c r="W2902" i="1"/>
  <c r="X2902" i="1"/>
  <c r="Y2902" i="1"/>
  <c r="Z2902" i="1"/>
  <c r="AB2902" i="1"/>
  <c r="AF2902" i="1"/>
  <c r="AI2902" i="1"/>
  <c r="H2903" i="1"/>
  <c r="AE2903" i="1"/>
  <c r="I2903" i="1"/>
  <c r="J2903" i="1"/>
  <c r="K2903" i="1"/>
  <c r="AC2903" i="1"/>
  <c r="AJ2902" i="1"/>
  <c r="AK2902" i="1"/>
  <c r="AM2902" i="1"/>
  <c r="BF2902" i="1"/>
  <c r="BG2902" i="1"/>
  <c r="T2903" i="1"/>
  <c r="U2903" i="1"/>
  <c r="V2903" i="1"/>
  <c r="W2903" i="1"/>
  <c r="X2903" i="1"/>
  <c r="Y2903" i="1"/>
  <c r="Z2903" i="1"/>
  <c r="AB2903" i="1"/>
  <c r="AF2903" i="1"/>
  <c r="AI2903" i="1"/>
  <c r="H2904" i="1"/>
  <c r="AE2904" i="1"/>
  <c r="I2904" i="1"/>
  <c r="J2904" i="1"/>
  <c r="K2904" i="1"/>
  <c r="AC2904" i="1"/>
  <c r="AJ2903" i="1"/>
  <c r="AK2903" i="1"/>
  <c r="AM2903" i="1"/>
  <c r="BF2903" i="1"/>
  <c r="BG2903" i="1"/>
  <c r="T2904" i="1"/>
  <c r="U2904" i="1"/>
  <c r="V2904" i="1"/>
  <c r="W2904" i="1"/>
  <c r="X2904" i="1"/>
  <c r="Y2904" i="1"/>
  <c r="Z2904" i="1"/>
  <c r="AB2904" i="1"/>
  <c r="AF2904" i="1"/>
  <c r="AI2904" i="1"/>
  <c r="H2905" i="1"/>
  <c r="AE2905" i="1"/>
  <c r="I2905" i="1"/>
  <c r="J2905" i="1"/>
  <c r="K2905" i="1"/>
  <c r="AC2905" i="1"/>
  <c r="AJ2904" i="1"/>
  <c r="AK2904" i="1"/>
  <c r="AM2904" i="1"/>
  <c r="BF2904" i="1"/>
  <c r="BG2904" i="1"/>
  <c r="T2905" i="1"/>
  <c r="U2905" i="1"/>
  <c r="V2905" i="1"/>
  <c r="W2905" i="1"/>
  <c r="X2905" i="1"/>
  <c r="Y2905" i="1"/>
  <c r="Z2905" i="1"/>
  <c r="AB2905" i="1"/>
  <c r="AF2905" i="1"/>
  <c r="AI2905" i="1"/>
  <c r="H2906" i="1"/>
  <c r="AE2906" i="1"/>
  <c r="I2906" i="1"/>
  <c r="J2906" i="1"/>
  <c r="K2906" i="1"/>
  <c r="AC2906" i="1"/>
  <c r="AJ2905" i="1"/>
  <c r="AK2905" i="1"/>
  <c r="AM2905" i="1"/>
  <c r="BF2905" i="1"/>
  <c r="BG2905" i="1"/>
  <c r="T2906" i="1"/>
  <c r="U2906" i="1"/>
  <c r="V2906" i="1"/>
  <c r="W2906" i="1"/>
  <c r="X2906" i="1"/>
  <c r="Y2906" i="1"/>
  <c r="Z2906" i="1"/>
  <c r="AB2906" i="1"/>
  <c r="AF2906" i="1"/>
  <c r="AI2906" i="1"/>
  <c r="AE2907" i="1"/>
  <c r="AC2907" i="1"/>
  <c r="AJ2906" i="1"/>
  <c r="AK2906" i="1"/>
  <c r="AM2906" i="1"/>
  <c r="BF2906" i="1"/>
  <c r="BG2906" i="1"/>
  <c r="T2907" i="1"/>
  <c r="U2907" i="1"/>
  <c r="V2907" i="1"/>
  <c r="W2907" i="1"/>
  <c r="X2907" i="1"/>
  <c r="Y2907" i="1"/>
  <c r="Z2907" i="1"/>
  <c r="AB2907" i="1"/>
  <c r="AF2907" i="1"/>
  <c r="AI2907" i="1"/>
  <c r="AE2908" i="1"/>
  <c r="AC2908" i="1"/>
  <c r="AJ2907" i="1"/>
  <c r="AK2907" i="1"/>
  <c r="AM2907" i="1"/>
  <c r="BF2907" i="1"/>
  <c r="BG2907" i="1"/>
  <c r="T2908" i="1"/>
  <c r="U2908" i="1"/>
  <c r="V2908" i="1"/>
  <c r="W2908" i="1"/>
  <c r="X2908" i="1"/>
  <c r="Y2908" i="1"/>
  <c r="Z2908" i="1"/>
  <c r="AB2908" i="1"/>
  <c r="AF2908" i="1"/>
  <c r="AI2908" i="1"/>
  <c r="H2909" i="1"/>
  <c r="AE2909" i="1"/>
  <c r="I2909" i="1"/>
  <c r="J2909" i="1"/>
  <c r="K2909" i="1"/>
  <c r="AC2909" i="1"/>
  <c r="AJ2908" i="1"/>
  <c r="AK2908" i="1"/>
  <c r="AM2908" i="1"/>
  <c r="BG2908" i="1"/>
  <c r="T2909" i="1"/>
  <c r="U2909" i="1"/>
  <c r="V2909" i="1"/>
  <c r="W2909" i="1"/>
  <c r="X2909" i="1"/>
  <c r="Y2909" i="1"/>
  <c r="Z2909" i="1"/>
  <c r="AB2909" i="1"/>
  <c r="AF2909" i="1"/>
  <c r="AI2909" i="1"/>
  <c r="AE2910" i="1"/>
  <c r="AC2910" i="1"/>
  <c r="AJ2909" i="1"/>
  <c r="AK2909" i="1"/>
  <c r="AM2909" i="1"/>
  <c r="BF2909" i="1"/>
  <c r="BG2909" i="1"/>
  <c r="T2910" i="1"/>
  <c r="U2910" i="1"/>
  <c r="V2910" i="1"/>
  <c r="W2910" i="1"/>
  <c r="X2910" i="1"/>
  <c r="Y2910" i="1"/>
  <c r="Z2910" i="1"/>
  <c r="AB2910" i="1"/>
  <c r="AF2910" i="1"/>
  <c r="AI2910" i="1"/>
  <c r="AE2911" i="1"/>
  <c r="AC2911" i="1"/>
  <c r="AJ2910" i="1"/>
  <c r="AK2910" i="1"/>
  <c r="AM2910" i="1"/>
  <c r="BF2910" i="1"/>
  <c r="BG2910" i="1"/>
  <c r="T2911" i="1"/>
  <c r="U2911" i="1"/>
  <c r="V2911" i="1"/>
  <c r="W2911" i="1"/>
  <c r="X2911" i="1"/>
  <c r="Y2911" i="1"/>
  <c r="Z2911" i="1"/>
  <c r="AB2911" i="1"/>
  <c r="AF2911" i="1"/>
  <c r="AI2911" i="1"/>
  <c r="H2912" i="1"/>
  <c r="AE2912" i="1"/>
  <c r="I2912" i="1"/>
  <c r="J2912" i="1"/>
  <c r="K2912" i="1"/>
  <c r="AC2912" i="1"/>
  <c r="AJ2911" i="1"/>
  <c r="AK2911" i="1"/>
  <c r="AM2911" i="1"/>
  <c r="BG2911" i="1"/>
  <c r="T2912" i="1"/>
  <c r="U2912" i="1"/>
  <c r="V2912" i="1"/>
  <c r="W2912" i="1"/>
  <c r="X2912" i="1"/>
  <c r="Y2912" i="1"/>
  <c r="Z2912" i="1"/>
  <c r="AB2912" i="1"/>
  <c r="AF2912" i="1"/>
  <c r="AI2912" i="1"/>
  <c r="H2913" i="1"/>
  <c r="AE2913" i="1"/>
  <c r="I2913" i="1"/>
  <c r="J2913" i="1"/>
  <c r="K2913" i="1"/>
  <c r="AC2913" i="1"/>
  <c r="AJ2912" i="1"/>
  <c r="AK2912" i="1"/>
  <c r="AM2912" i="1"/>
  <c r="BF2912" i="1"/>
  <c r="BG2912" i="1"/>
  <c r="T2913" i="1"/>
  <c r="U2913" i="1"/>
  <c r="V2913" i="1"/>
  <c r="W2913" i="1"/>
  <c r="X2913" i="1"/>
  <c r="Y2913" i="1"/>
  <c r="Z2913" i="1"/>
  <c r="AB2913" i="1"/>
  <c r="AF2913" i="1"/>
  <c r="AI2913" i="1"/>
  <c r="H2914" i="1"/>
  <c r="AE2914" i="1"/>
  <c r="I2914" i="1"/>
  <c r="J2914" i="1"/>
  <c r="K2914" i="1"/>
  <c r="AC2914" i="1"/>
  <c r="AJ2913" i="1"/>
  <c r="AK2913" i="1"/>
  <c r="AM2913" i="1"/>
  <c r="BF2913" i="1"/>
  <c r="BG2913" i="1"/>
  <c r="T2914" i="1"/>
  <c r="U2914" i="1"/>
  <c r="V2914" i="1"/>
  <c r="W2914" i="1"/>
  <c r="X2914" i="1"/>
  <c r="Y2914" i="1"/>
  <c r="Z2914" i="1"/>
  <c r="AB2914" i="1"/>
  <c r="AF2914" i="1"/>
  <c r="AI2914" i="1"/>
  <c r="AE2915" i="1"/>
  <c r="AC2915" i="1"/>
  <c r="AJ2914" i="1"/>
  <c r="AK2914" i="1"/>
  <c r="AM2914" i="1"/>
  <c r="BF2914" i="1"/>
  <c r="BG2914" i="1"/>
  <c r="T2915" i="1"/>
  <c r="U2915" i="1"/>
  <c r="V2915" i="1"/>
  <c r="W2915" i="1"/>
  <c r="X2915" i="1"/>
  <c r="Y2915" i="1"/>
  <c r="Z2915" i="1"/>
  <c r="AB2915" i="1"/>
  <c r="AF2915" i="1"/>
  <c r="AI2915" i="1"/>
  <c r="AE2916" i="1"/>
  <c r="AC2916" i="1"/>
  <c r="AJ2915" i="1"/>
  <c r="AK2915" i="1"/>
  <c r="AM2915" i="1"/>
  <c r="BF2915" i="1"/>
  <c r="BG2915" i="1"/>
  <c r="T2916" i="1"/>
  <c r="U2916" i="1"/>
  <c r="V2916" i="1"/>
  <c r="W2916" i="1"/>
  <c r="X2916" i="1"/>
  <c r="Y2916" i="1"/>
  <c r="Z2916" i="1"/>
  <c r="AB2916" i="1"/>
  <c r="AF2916" i="1"/>
  <c r="AI2916" i="1"/>
  <c r="H2917" i="1"/>
  <c r="AE2917" i="1"/>
  <c r="I2917" i="1"/>
  <c r="J2917" i="1"/>
  <c r="K2917" i="1"/>
  <c r="AC2917" i="1"/>
  <c r="AJ2916" i="1"/>
  <c r="AK2916" i="1"/>
  <c r="AM2916" i="1"/>
  <c r="BG2916" i="1"/>
  <c r="T2917" i="1"/>
  <c r="U2917" i="1"/>
  <c r="V2917" i="1"/>
  <c r="W2917" i="1"/>
  <c r="X2917" i="1"/>
  <c r="Y2917" i="1"/>
  <c r="Z2917" i="1"/>
  <c r="AB2917" i="1"/>
  <c r="AF2917" i="1"/>
  <c r="AI2917" i="1"/>
  <c r="H2918" i="1"/>
  <c r="AE2918" i="1"/>
  <c r="I2918" i="1"/>
  <c r="J2918" i="1"/>
  <c r="K2918" i="1"/>
  <c r="AC2918" i="1"/>
  <c r="AJ2917" i="1"/>
  <c r="AK2917" i="1"/>
  <c r="AM2917" i="1"/>
  <c r="BF2917" i="1"/>
  <c r="BG2917" i="1"/>
  <c r="T2918" i="1"/>
  <c r="U2918" i="1"/>
  <c r="V2918" i="1"/>
  <c r="W2918" i="1"/>
  <c r="X2918" i="1"/>
  <c r="Y2918" i="1"/>
  <c r="Z2918" i="1"/>
  <c r="AB2918" i="1"/>
  <c r="AF2918" i="1"/>
  <c r="AI2918" i="1"/>
  <c r="AE2919" i="1"/>
  <c r="AC2919" i="1"/>
  <c r="AJ2918" i="1"/>
  <c r="AK2918" i="1"/>
  <c r="AM2918" i="1"/>
  <c r="BF2918" i="1"/>
  <c r="BG2918" i="1"/>
  <c r="T2919" i="1"/>
  <c r="U2919" i="1"/>
  <c r="V2919" i="1"/>
  <c r="W2919" i="1"/>
  <c r="X2919" i="1"/>
  <c r="Y2919" i="1"/>
  <c r="Z2919" i="1"/>
  <c r="AB2919" i="1"/>
  <c r="AF2919" i="1"/>
  <c r="AI2919" i="1"/>
  <c r="AE2920" i="1"/>
  <c r="AC2920" i="1"/>
  <c r="AJ2919" i="1"/>
  <c r="AK2919" i="1"/>
  <c r="AM2919" i="1"/>
  <c r="BF2919" i="1"/>
  <c r="BG2919" i="1"/>
  <c r="T2920" i="1"/>
  <c r="U2920" i="1"/>
  <c r="V2920" i="1"/>
  <c r="W2920" i="1"/>
  <c r="X2920" i="1"/>
  <c r="Y2920" i="1"/>
  <c r="Z2920" i="1"/>
  <c r="AB2920" i="1"/>
  <c r="AF2920" i="1"/>
  <c r="AI2920" i="1"/>
  <c r="H2921" i="1"/>
  <c r="AE2921" i="1"/>
  <c r="I2921" i="1"/>
  <c r="J2921" i="1"/>
  <c r="K2921" i="1"/>
  <c r="AC2921" i="1"/>
  <c r="AJ2920" i="1"/>
  <c r="AK2920" i="1"/>
  <c r="AM2920" i="1"/>
  <c r="BG2920" i="1"/>
  <c r="T2921" i="1"/>
  <c r="U2921" i="1"/>
  <c r="V2921" i="1"/>
  <c r="W2921" i="1"/>
  <c r="X2921" i="1"/>
  <c r="Y2921" i="1"/>
  <c r="Z2921" i="1"/>
  <c r="AB2921" i="1"/>
  <c r="AF2921" i="1"/>
  <c r="AI2921" i="1"/>
  <c r="AE2922" i="1"/>
  <c r="AC2922" i="1"/>
  <c r="AJ2921" i="1"/>
  <c r="AK2921" i="1"/>
  <c r="AM2921" i="1"/>
  <c r="BF2921" i="1"/>
  <c r="BG2921" i="1"/>
  <c r="T2922" i="1"/>
  <c r="U2922" i="1"/>
  <c r="V2922" i="1"/>
  <c r="W2922" i="1"/>
  <c r="X2922" i="1"/>
  <c r="Y2922" i="1"/>
  <c r="Z2922" i="1"/>
  <c r="AB2922" i="1"/>
  <c r="AF2922" i="1"/>
  <c r="AI2922" i="1"/>
  <c r="AE2923" i="1"/>
  <c r="AC2923" i="1"/>
  <c r="AJ2922" i="1"/>
  <c r="AK2922" i="1"/>
  <c r="AM2922" i="1"/>
  <c r="BF2922" i="1"/>
  <c r="BG2922" i="1"/>
  <c r="T2923" i="1"/>
  <c r="U2923" i="1"/>
  <c r="V2923" i="1"/>
  <c r="W2923" i="1"/>
  <c r="X2923" i="1"/>
  <c r="Y2923" i="1"/>
  <c r="Z2923" i="1"/>
  <c r="AB2923" i="1"/>
  <c r="AF2923" i="1"/>
  <c r="AI2923" i="1"/>
  <c r="H2924" i="1"/>
  <c r="AE2924" i="1"/>
  <c r="I2924" i="1"/>
  <c r="J2924" i="1"/>
  <c r="K2924" i="1"/>
  <c r="AC2924" i="1"/>
  <c r="AJ2923" i="1"/>
  <c r="AK2923" i="1"/>
  <c r="AM2923" i="1"/>
  <c r="BG2923" i="1"/>
  <c r="T2924" i="1"/>
  <c r="U2924" i="1"/>
  <c r="V2924" i="1"/>
  <c r="W2924" i="1"/>
  <c r="X2924" i="1"/>
  <c r="Y2924" i="1"/>
  <c r="Z2924" i="1"/>
  <c r="AB2924" i="1"/>
  <c r="AF2924" i="1"/>
  <c r="AI2924" i="1"/>
  <c r="H2925" i="1"/>
  <c r="AE2925" i="1"/>
  <c r="I2925" i="1"/>
  <c r="J2925" i="1"/>
  <c r="K2925" i="1"/>
  <c r="AC2925" i="1"/>
  <c r="AJ2924" i="1"/>
  <c r="AK2924" i="1"/>
  <c r="AM2924" i="1"/>
  <c r="BF2924" i="1"/>
  <c r="BG2924" i="1"/>
  <c r="T2925" i="1"/>
  <c r="U2925" i="1"/>
  <c r="V2925" i="1"/>
  <c r="W2925" i="1"/>
  <c r="X2925" i="1"/>
  <c r="Y2925" i="1"/>
  <c r="Z2925" i="1"/>
  <c r="AB2925" i="1"/>
  <c r="AF2925" i="1"/>
  <c r="AI2925" i="1"/>
  <c r="H2926" i="1"/>
  <c r="AE2926" i="1"/>
  <c r="I2926" i="1"/>
  <c r="J2926" i="1"/>
  <c r="K2926" i="1"/>
  <c r="AC2926" i="1"/>
  <c r="AJ2925" i="1"/>
  <c r="AK2925" i="1"/>
  <c r="AM2925" i="1"/>
  <c r="BF2925" i="1"/>
  <c r="BG2925" i="1"/>
  <c r="T2926" i="1"/>
  <c r="U2926" i="1"/>
  <c r="V2926" i="1"/>
  <c r="W2926" i="1"/>
  <c r="X2926" i="1"/>
  <c r="Y2926" i="1"/>
  <c r="Z2926" i="1"/>
  <c r="AB2926" i="1"/>
  <c r="AF2926" i="1"/>
  <c r="AI2926" i="1"/>
  <c r="H2927" i="1"/>
  <c r="AE2927" i="1"/>
  <c r="I2927" i="1"/>
  <c r="J2927" i="1"/>
  <c r="K2927" i="1"/>
  <c r="AC2927" i="1"/>
  <c r="AJ2926" i="1"/>
  <c r="AK2926" i="1"/>
  <c r="AM2926" i="1"/>
  <c r="BF2926" i="1"/>
  <c r="BG2926" i="1"/>
  <c r="T2927" i="1"/>
  <c r="U2927" i="1"/>
  <c r="V2927" i="1"/>
  <c r="W2927" i="1"/>
  <c r="X2927" i="1"/>
  <c r="Y2927" i="1"/>
  <c r="Z2927" i="1"/>
  <c r="AB2927" i="1"/>
  <c r="AF2927" i="1"/>
  <c r="AI2927" i="1"/>
  <c r="H2928" i="1"/>
  <c r="AE2928" i="1"/>
  <c r="I2928" i="1"/>
  <c r="J2928" i="1"/>
  <c r="K2928" i="1"/>
  <c r="AC2928" i="1"/>
  <c r="AJ2927" i="1"/>
  <c r="AK2927" i="1"/>
  <c r="AM2927" i="1"/>
  <c r="BF2927" i="1"/>
  <c r="BG2927" i="1"/>
  <c r="T2928" i="1"/>
  <c r="U2928" i="1"/>
  <c r="V2928" i="1"/>
  <c r="W2928" i="1"/>
  <c r="X2928" i="1"/>
  <c r="Y2928" i="1"/>
  <c r="Z2928" i="1"/>
  <c r="AB2928" i="1"/>
  <c r="AF2928" i="1"/>
  <c r="AI2928" i="1"/>
  <c r="H2929" i="1"/>
  <c r="AE2929" i="1"/>
  <c r="I2929" i="1"/>
  <c r="J2929" i="1"/>
  <c r="K2929" i="1"/>
  <c r="AC2929" i="1"/>
  <c r="AJ2928" i="1"/>
  <c r="AK2928" i="1"/>
  <c r="AM2928" i="1"/>
  <c r="BF2928" i="1"/>
  <c r="BG2928" i="1"/>
  <c r="T2929" i="1"/>
  <c r="U2929" i="1"/>
  <c r="V2929" i="1"/>
  <c r="W2929" i="1"/>
  <c r="X2929" i="1"/>
  <c r="Y2929" i="1"/>
  <c r="Z2929" i="1"/>
  <c r="AB2929" i="1"/>
  <c r="AF2929" i="1"/>
  <c r="AI2929" i="1"/>
  <c r="H2930" i="1"/>
  <c r="AE2930" i="1"/>
  <c r="I2930" i="1"/>
  <c r="J2930" i="1"/>
  <c r="K2930" i="1"/>
  <c r="AC2930" i="1"/>
  <c r="AJ2929" i="1"/>
  <c r="AK2929" i="1"/>
  <c r="AM2929" i="1"/>
  <c r="BF2929" i="1"/>
  <c r="BG2929" i="1"/>
  <c r="T2930" i="1"/>
  <c r="U2930" i="1"/>
  <c r="V2930" i="1"/>
  <c r="W2930" i="1"/>
  <c r="X2930" i="1"/>
  <c r="Y2930" i="1"/>
  <c r="Z2930" i="1"/>
  <c r="AB2930" i="1"/>
  <c r="AF2930" i="1"/>
  <c r="AI2930" i="1"/>
  <c r="H2931" i="1"/>
  <c r="AE2931" i="1"/>
  <c r="I2931" i="1"/>
  <c r="J2931" i="1"/>
  <c r="K2931" i="1"/>
  <c r="AC2931" i="1"/>
  <c r="AJ2930" i="1"/>
  <c r="AK2930" i="1"/>
  <c r="AM2930" i="1"/>
  <c r="BF2930" i="1"/>
  <c r="BG2930" i="1"/>
  <c r="T2931" i="1"/>
  <c r="U2931" i="1"/>
  <c r="V2931" i="1"/>
  <c r="W2931" i="1"/>
  <c r="X2931" i="1"/>
  <c r="Y2931" i="1"/>
  <c r="Z2931" i="1"/>
  <c r="AB2931" i="1"/>
  <c r="AF2931" i="1"/>
  <c r="AI2931" i="1"/>
  <c r="H2932" i="1"/>
  <c r="AE2932" i="1"/>
  <c r="I2932" i="1"/>
  <c r="J2932" i="1"/>
  <c r="K2932" i="1"/>
  <c r="AC2932" i="1"/>
  <c r="AJ2931" i="1"/>
  <c r="AK2931" i="1"/>
  <c r="AM2931" i="1"/>
  <c r="BF2931" i="1"/>
  <c r="BG2931" i="1"/>
  <c r="T2932" i="1"/>
  <c r="U2932" i="1"/>
  <c r="V2932" i="1"/>
  <c r="W2932" i="1"/>
  <c r="X2932" i="1"/>
  <c r="Y2932" i="1"/>
  <c r="Z2932" i="1"/>
  <c r="AB2932" i="1"/>
  <c r="AF2932" i="1"/>
  <c r="AI2932" i="1"/>
  <c r="H2933" i="1"/>
  <c r="AE2933" i="1"/>
  <c r="I2933" i="1"/>
  <c r="J2933" i="1"/>
  <c r="K2933" i="1"/>
  <c r="AC2933" i="1"/>
  <c r="AJ2932" i="1"/>
  <c r="AK2932" i="1"/>
  <c r="AM2932" i="1"/>
  <c r="BF2932" i="1"/>
  <c r="BG2932" i="1"/>
  <c r="T2933" i="1"/>
  <c r="U2933" i="1"/>
  <c r="V2933" i="1"/>
  <c r="W2933" i="1"/>
  <c r="X2933" i="1"/>
  <c r="Y2933" i="1"/>
  <c r="Z2933" i="1"/>
  <c r="AB2933" i="1"/>
  <c r="AF2933" i="1"/>
  <c r="AI2933" i="1"/>
  <c r="H2934" i="1"/>
  <c r="AE2934" i="1"/>
  <c r="I2934" i="1"/>
  <c r="J2934" i="1"/>
  <c r="K2934" i="1"/>
  <c r="AC2934" i="1"/>
  <c r="AJ2933" i="1"/>
  <c r="AK2933" i="1"/>
  <c r="AM2933" i="1"/>
  <c r="BF2933" i="1"/>
  <c r="BG2933" i="1"/>
  <c r="T2934" i="1"/>
  <c r="U2934" i="1"/>
  <c r="V2934" i="1"/>
  <c r="W2934" i="1"/>
  <c r="X2934" i="1"/>
  <c r="Y2934" i="1"/>
  <c r="Z2934" i="1"/>
  <c r="AB2934" i="1"/>
  <c r="AF2934" i="1"/>
  <c r="AI2934" i="1"/>
  <c r="H2935" i="1"/>
  <c r="AE2935" i="1"/>
  <c r="I2935" i="1"/>
  <c r="J2935" i="1"/>
  <c r="K2935" i="1"/>
  <c r="AC2935" i="1"/>
  <c r="AJ2934" i="1"/>
  <c r="AK2934" i="1"/>
  <c r="AM2934" i="1"/>
  <c r="BF2934" i="1"/>
  <c r="BG2934" i="1"/>
  <c r="T2935" i="1"/>
  <c r="U2935" i="1"/>
  <c r="V2935" i="1"/>
  <c r="W2935" i="1"/>
  <c r="X2935" i="1"/>
  <c r="Y2935" i="1"/>
  <c r="Z2935" i="1"/>
  <c r="AB2935" i="1"/>
  <c r="AF2935" i="1"/>
  <c r="AI2935" i="1"/>
  <c r="H2936" i="1"/>
  <c r="AE2936" i="1"/>
  <c r="I2936" i="1"/>
  <c r="J2936" i="1"/>
  <c r="K2936" i="1"/>
  <c r="AC2936" i="1"/>
  <c r="AJ2935" i="1"/>
  <c r="AK2935" i="1"/>
  <c r="AM2935" i="1"/>
  <c r="BF2935" i="1"/>
  <c r="BG2935" i="1"/>
  <c r="T2936" i="1"/>
  <c r="U2936" i="1"/>
  <c r="V2936" i="1"/>
  <c r="W2936" i="1"/>
  <c r="X2936" i="1"/>
  <c r="Y2936" i="1"/>
  <c r="Z2936" i="1"/>
  <c r="AB2936" i="1"/>
  <c r="AF2936" i="1"/>
  <c r="AI2936" i="1"/>
  <c r="H2937" i="1"/>
  <c r="AE2937" i="1"/>
  <c r="I2937" i="1"/>
  <c r="J2937" i="1"/>
  <c r="K2937" i="1"/>
  <c r="AC2937" i="1"/>
  <c r="AJ2936" i="1"/>
  <c r="AK2936" i="1"/>
  <c r="AM2936" i="1"/>
  <c r="BF2936" i="1"/>
  <c r="BG2936" i="1"/>
  <c r="T2937" i="1"/>
  <c r="U2937" i="1"/>
  <c r="V2937" i="1"/>
  <c r="W2937" i="1"/>
  <c r="X2937" i="1"/>
  <c r="Y2937" i="1"/>
  <c r="Z2937" i="1"/>
  <c r="AB2937" i="1"/>
  <c r="AF2937" i="1"/>
  <c r="AI2937" i="1"/>
  <c r="H2938" i="1"/>
  <c r="AE2938" i="1"/>
  <c r="I2938" i="1"/>
  <c r="J2938" i="1"/>
  <c r="K2938" i="1"/>
  <c r="AC2938" i="1"/>
  <c r="AJ2937" i="1"/>
  <c r="AK2937" i="1"/>
  <c r="AM2937" i="1"/>
  <c r="BF2937" i="1"/>
  <c r="BG2937" i="1"/>
  <c r="T2938" i="1"/>
  <c r="U2938" i="1"/>
  <c r="V2938" i="1"/>
  <c r="W2938" i="1"/>
  <c r="X2938" i="1"/>
  <c r="Y2938" i="1"/>
  <c r="Z2938" i="1"/>
  <c r="AB2938" i="1"/>
  <c r="AF2938" i="1"/>
  <c r="AI2938" i="1"/>
  <c r="H2939" i="1"/>
  <c r="AE2939" i="1"/>
  <c r="I2939" i="1"/>
  <c r="J2939" i="1"/>
  <c r="K2939" i="1"/>
  <c r="AC2939" i="1"/>
  <c r="AJ2938" i="1"/>
  <c r="AK2938" i="1"/>
  <c r="AM2938" i="1"/>
  <c r="BF2938" i="1"/>
  <c r="BG2938" i="1"/>
  <c r="T2939" i="1"/>
  <c r="U2939" i="1"/>
  <c r="V2939" i="1"/>
  <c r="W2939" i="1"/>
  <c r="X2939" i="1"/>
  <c r="Y2939" i="1"/>
  <c r="Z2939" i="1"/>
  <c r="AB2939" i="1"/>
  <c r="AF2939" i="1"/>
  <c r="AI2939" i="1"/>
  <c r="AE2940" i="1"/>
  <c r="AC2940" i="1"/>
  <c r="AJ2939" i="1"/>
  <c r="AK2939" i="1"/>
  <c r="AM2939" i="1"/>
  <c r="BF2939" i="1"/>
  <c r="BG2939" i="1"/>
  <c r="T2940" i="1"/>
  <c r="U2940" i="1"/>
  <c r="V2940" i="1"/>
  <c r="W2940" i="1"/>
  <c r="X2940" i="1"/>
  <c r="Y2940" i="1"/>
  <c r="Z2940" i="1"/>
  <c r="AB2940" i="1"/>
  <c r="AF2940" i="1"/>
  <c r="AI2940" i="1"/>
  <c r="AE2941" i="1"/>
  <c r="AC2941" i="1"/>
  <c r="AJ2940" i="1"/>
  <c r="AK2940" i="1"/>
  <c r="AM2940" i="1"/>
  <c r="BF2940" i="1"/>
  <c r="BG2940" i="1"/>
  <c r="T2941" i="1"/>
  <c r="U2941" i="1"/>
  <c r="V2941" i="1"/>
  <c r="W2941" i="1"/>
  <c r="X2941" i="1"/>
  <c r="Y2941" i="1"/>
  <c r="Z2941" i="1"/>
  <c r="AB2941" i="1"/>
  <c r="AF2941" i="1"/>
  <c r="AI2941" i="1"/>
  <c r="H2942" i="1"/>
  <c r="AE2942" i="1"/>
  <c r="I2942" i="1"/>
  <c r="J2942" i="1"/>
  <c r="K2942" i="1"/>
  <c r="AC2942" i="1"/>
  <c r="AJ2941" i="1"/>
  <c r="AK2941" i="1"/>
  <c r="AM2941" i="1"/>
  <c r="BG2941" i="1"/>
  <c r="T2942" i="1"/>
  <c r="U2942" i="1"/>
  <c r="V2942" i="1"/>
  <c r="W2942" i="1"/>
  <c r="X2942" i="1"/>
  <c r="Y2942" i="1"/>
  <c r="Z2942" i="1"/>
  <c r="AB2942" i="1"/>
  <c r="AF2942" i="1"/>
  <c r="AI2942" i="1"/>
  <c r="H2943" i="1"/>
  <c r="AE2943" i="1"/>
  <c r="I2943" i="1"/>
  <c r="J2943" i="1"/>
  <c r="K2943" i="1"/>
  <c r="AC2943" i="1"/>
  <c r="AJ2942" i="1"/>
  <c r="AK2942" i="1"/>
  <c r="AM2942" i="1"/>
  <c r="BF2942" i="1"/>
  <c r="BG2942" i="1"/>
  <c r="T2943" i="1"/>
  <c r="U2943" i="1"/>
  <c r="V2943" i="1"/>
  <c r="W2943" i="1"/>
  <c r="X2943" i="1"/>
  <c r="Y2943" i="1"/>
  <c r="Z2943" i="1"/>
  <c r="AB2943" i="1"/>
  <c r="AF2943" i="1"/>
  <c r="AI2943" i="1"/>
  <c r="H2944" i="1"/>
  <c r="AE2944" i="1"/>
  <c r="I2944" i="1"/>
  <c r="J2944" i="1"/>
  <c r="K2944" i="1"/>
  <c r="AC2944" i="1"/>
  <c r="AJ2943" i="1"/>
  <c r="AK2943" i="1"/>
  <c r="AM2943" i="1"/>
  <c r="BF2943" i="1"/>
  <c r="BG2943" i="1"/>
  <c r="T2944" i="1"/>
  <c r="U2944" i="1"/>
  <c r="V2944" i="1"/>
  <c r="W2944" i="1"/>
  <c r="X2944" i="1"/>
  <c r="Y2944" i="1"/>
  <c r="Z2944" i="1"/>
  <c r="AB2944" i="1"/>
  <c r="AF2944" i="1"/>
  <c r="AI2944" i="1"/>
  <c r="H2945" i="1"/>
  <c r="AE2945" i="1"/>
  <c r="I2945" i="1"/>
  <c r="J2945" i="1"/>
  <c r="K2945" i="1"/>
  <c r="AC2945" i="1"/>
  <c r="AJ2944" i="1"/>
  <c r="AK2944" i="1"/>
  <c r="AM2944" i="1"/>
  <c r="BF2944" i="1"/>
  <c r="BG2944" i="1"/>
  <c r="T2945" i="1"/>
  <c r="U2945" i="1"/>
  <c r="V2945" i="1"/>
  <c r="W2945" i="1"/>
  <c r="X2945" i="1"/>
  <c r="Y2945" i="1"/>
  <c r="Z2945" i="1"/>
  <c r="AB2945" i="1"/>
  <c r="AF2945" i="1"/>
  <c r="AI2945" i="1"/>
  <c r="H2946" i="1"/>
  <c r="AE2946" i="1"/>
  <c r="I2946" i="1"/>
  <c r="J2946" i="1"/>
  <c r="K2946" i="1"/>
  <c r="AC2946" i="1"/>
  <c r="AJ2945" i="1"/>
  <c r="AK2945" i="1"/>
  <c r="AM2945" i="1"/>
  <c r="BF2945" i="1"/>
  <c r="BG2945" i="1"/>
  <c r="T2946" i="1"/>
  <c r="U2946" i="1"/>
  <c r="V2946" i="1"/>
  <c r="W2946" i="1"/>
  <c r="X2946" i="1"/>
  <c r="Y2946" i="1"/>
  <c r="Z2946" i="1"/>
  <c r="AB2946" i="1"/>
  <c r="AF2946" i="1"/>
  <c r="AI2946" i="1"/>
  <c r="H2947" i="1"/>
  <c r="AE2947" i="1"/>
  <c r="I2947" i="1"/>
  <c r="J2947" i="1"/>
  <c r="K2947" i="1"/>
  <c r="AC2947" i="1"/>
  <c r="AJ2946" i="1"/>
  <c r="AK2946" i="1"/>
  <c r="AM2946" i="1"/>
  <c r="BF2946" i="1"/>
  <c r="BG2946" i="1"/>
  <c r="T2947" i="1"/>
  <c r="U2947" i="1"/>
  <c r="V2947" i="1"/>
  <c r="W2947" i="1"/>
  <c r="X2947" i="1"/>
  <c r="Y2947" i="1"/>
  <c r="Z2947" i="1"/>
  <c r="AB2947" i="1"/>
  <c r="AF2947" i="1"/>
  <c r="AI2947" i="1"/>
  <c r="AE2948" i="1"/>
  <c r="AC2948" i="1"/>
  <c r="AJ2947" i="1"/>
  <c r="AK2947" i="1"/>
  <c r="AM2947" i="1"/>
  <c r="BF2947" i="1"/>
  <c r="BG2947" i="1"/>
  <c r="T2948" i="1"/>
  <c r="U2948" i="1"/>
  <c r="V2948" i="1"/>
  <c r="W2948" i="1"/>
  <c r="X2948" i="1"/>
  <c r="Y2948" i="1"/>
  <c r="Z2948" i="1"/>
  <c r="AB2948" i="1"/>
  <c r="AF2948" i="1"/>
  <c r="AI2948" i="1"/>
  <c r="AE2949" i="1"/>
  <c r="AC2949" i="1"/>
  <c r="AJ2948" i="1"/>
  <c r="AK2948" i="1"/>
  <c r="AM2948" i="1"/>
  <c r="BF2948" i="1"/>
  <c r="BG2948" i="1"/>
  <c r="T2949" i="1"/>
  <c r="U2949" i="1"/>
  <c r="V2949" i="1"/>
  <c r="W2949" i="1"/>
  <c r="X2949" i="1"/>
  <c r="Y2949" i="1"/>
  <c r="Z2949" i="1"/>
  <c r="AB2949" i="1"/>
  <c r="AF2949" i="1"/>
  <c r="AI2949" i="1"/>
  <c r="H2950" i="1"/>
  <c r="AE2950" i="1"/>
  <c r="I2950" i="1"/>
  <c r="J2950" i="1"/>
  <c r="K2950" i="1"/>
  <c r="AC2950" i="1"/>
  <c r="AJ2949" i="1"/>
  <c r="AK2949" i="1"/>
  <c r="AM2949" i="1"/>
  <c r="BG2949" i="1"/>
  <c r="T2950" i="1"/>
  <c r="U2950" i="1"/>
  <c r="V2950" i="1"/>
  <c r="W2950" i="1"/>
  <c r="X2950" i="1"/>
  <c r="Y2950" i="1"/>
  <c r="Z2950" i="1"/>
  <c r="AB2950" i="1"/>
  <c r="AF2950" i="1"/>
  <c r="AI2950" i="1"/>
  <c r="AE2951" i="1"/>
  <c r="AC2951" i="1"/>
  <c r="AJ2950" i="1"/>
  <c r="AK2950" i="1"/>
  <c r="AM2950" i="1"/>
  <c r="BF2950" i="1"/>
  <c r="BG2950" i="1"/>
  <c r="T2951" i="1"/>
  <c r="U2951" i="1"/>
  <c r="V2951" i="1"/>
  <c r="W2951" i="1"/>
  <c r="X2951" i="1"/>
  <c r="Y2951" i="1"/>
  <c r="Z2951" i="1"/>
  <c r="AB2951" i="1"/>
  <c r="AF2951" i="1"/>
  <c r="AI2951" i="1"/>
  <c r="AE2952" i="1"/>
  <c r="AC2952" i="1"/>
  <c r="AJ2951" i="1"/>
  <c r="AK2951" i="1"/>
  <c r="AM2951" i="1"/>
  <c r="BF2951" i="1"/>
  <c r="BG2951" i="1"/>
  <c r="T2952" i="1"/>
  <c r="U2952" i="1"/>
  <c r="V2952" i="1"/>
  <c r="W2952" i="1"/>
  <c r="X2952" i="1"/>
  <c r="Y2952" i="1"/>
  <c r="Z2952" i="1"/>
  <c r="AB2952" i="1"/>
  <c r="AF2952" i="1"/>
  <c r="AI2952" i="1"/>
  <c r="H2953" i="1"/>
  <c r="AE2953" i="1"/>
  <c r="I2953" i="1"/>
  <c r="J2953" i="1"/>
  <c r="K2953" i="1"/>
  <c r="AC2953" i="1"/>
  <c r="AJ2952" i="1"/>
  <c r="AK2952" i="1"/>
  <c r="AM2952" i="1"/>
  <c r="BG2952" i="1"/>
  <c r="T2953" i="1"/>
  <c r="U2953" i="1"/>
  <c r="V2953" i="1"/>
  <c r="W2953" i="1"/>
  <c r="X2953" i="1"/>
  <c r="Y2953" i="1"/>
  <c r="Z2953" i="1"/>
  <c r="AB2953" i="1"/>
  <c r="AF2953" i="1"/>
  <c r="AI2953" i="1"/>
  <c r="H2954" i="1"/>
  <c r="AE2954" i="1"/>
  <c r="I2954" i="1"/>
  <c r="J2954" i="1"/>
  <c r="K2954" i="1"/>
  <c r="AC2954" i="1"/>
  <c r="AJ2953" i="1"/>
  <c r="AK2953" i="1"/>
  <c r="AM2953" i="1"/>
  <c r="BF2953" i="1"/>
  <c r="BG2953" i="1"/>
  <c r="T2954" i="1"/>
  <c r="U2954" i="1"/>
  <c r="V2954" i="1"/>
  <c r="W2954" i="1"/>
  <c r="X2954" i="1"/>
  <c r="Y2954" i="1"/>
  <c r="Z2954" i="1"/>
  <c r="AB2954" i="1"/>
  <c r="AF2954" i="1"/>
  <c r="AI2954" i="1"/>
  <c r="AE2955" i="1"/>
  <c r="AC2955" i="1"/>
  <c r="AJ2954" i="1"/>
  <c r="AK2954" i="1"/>
  <c r="AM2954" i="1"/>
  <c r="BF2954" i="1"/>
  <c r="BG2954" i="1"/>
  <c r="T2955" i="1"/>
  <c r="U2955" i="1"/>
  <c r="V2955" i="1"/>
  <c r="W2955" i="1"/>
  <c r="X2955" i="1"/>
  <c r="Y2955" i="1"/>
  <c r="Z2955" i="1"/>
  <c r="AB2955" i="1"/>
  <c r="AF2955" i="1"/>
  <c r="AI2955" i="1"/>
  <c r="AE2956" i="1"/>
  <c r="AC2956" i="1"/>
  <c r="AJ2955" i="1"/>
  <c r="AK2955" i="1"/>
  <c r="AM2955" i="1"/>
  <c r="BF2955" i="1"/>
  <c r="BG2955" i="1"/>
  <c r="T2956" i="1"/>
  <c r="U2956" i="1"/>
  <c r="V2956" i="1"/>
  <c r="W2956" i="1"/>
  <c r="X2956" i="1"/>
  <c r="Y2956" i="1"/>
  <c r="Z2956" i="1"/>
  <c r="AB2956" i="1"/>
  <c r="AF2956" i="1"/>
  <c r="AI2956" i="1"/>
  <c r="H2957" i="1"/>
  <c r="AE2957" i="1"/>
  <c r="I2957" i="1"/>
  <c r="J2957" i="1"/>
  <c r="K2957" i="1"/>
  <c r="AC2957" i="1"/>
  <c r="AJ2956" i="1"/>
  <c r="AK2956" i="1"/>
  <c r="AM2956" i="1"/>
  <c r="BG2956" i="1"/>
  <c r="T2957" i="1"/>
  <c r="U2957" i="1"/>
  <c r="V2957" i="1"/>
  <c r="W2957" i="1"/>
  <c r="X2957" i="1"/>
  <c r="Y2957" i="1"/>
  <c r="Z2957" i="1"/>
  <c r="AB2957" i="1"/>
  <c r="AF2957" i="1"/>
  <c r="AI2957" i="1"/>
  <c r="AE2958" i="1"/>
  <c r="AC2958" i="1"/>
  <c r="AJ2957" i="1"/>
  <c r="AK2957" i="1"/>
  <c r="AM2957" i="1"/>
  <c r="BF2957" i="1"/>
  <c r="BG2957" i="1"/>
  <c r="T2958" i="1"/>
  <c r="U2958" i="1"/>
  <c r="V2958" i="1"/>
  <c r="W2958" i="1"/>
  <c r="X2958" i="1"/>
  <c r="Y2958" i="1"/>
  <c r="Z2958" i="1"/>
  <c r="AB2958" i="1"/>
  <c r="AF2958" i="1"/>
  <c r="AI2958" i="1"/>
  <c r="AE2959" i="1"/>
  <c r="AC2959" i="1"/>
  <c r="AJ2958" i="1"/>
  <c r="AK2958" i="1"/>
  <c r="AM2958" i="1"/>
  <c r="BF2958" i="1"/>
  <c r="BG2958" i="1"/>
  <c r="T2959" i="1"/>
  <c r="U2959" i="1"/>
  <c r="V2959" i="1"/>
  <c r="W2959" i="1"/>
  <c r="X2959" i="1"/>
  <c r="Y2959" i="1"/>
  <c r="Z2959" i="1"/>
  <c r="AB2959" i="1"/>
  <c r="AF2959" i="1"/>
  <c r="AI2959" i="1"/>
  <c r="AE2960" i="1"/>
  <c r="AC2960" i="1"/>
  <c r="AJ2959" i="1"/>
  <c r="AK2959" i="1"/>
  <c r="AM2959" i="1"/>
  <c r="BF2959" i="1"/>
  <c r="BG2959" i="1"/>
  <c r="T2960" i="1"/>
  <c r="U2960" i="1"/>
  <c r="V2960" i="1"/>
  <c r="W2960" i="1"/>
  <c r="X2960" i="1"/>
  <c r="Y2960" i="1"/>
  <c r="Z2960" i="1"/>
  <c r="AB2960" i="1"/>
  <c r="AF2960" i="1"/>
  <c r="AI2960" i="1"/>
  <c r="H2961" i="1"/>
  <c r="AE2961" i="1"/>
  <c r="I2961" i="1"/>
  <c r="J2961" i="1"/>
  <c r="K2961" i="1"/>
  <c r="AC2961" i="1"/>
  <c r="AJ2960" i="1"/>
  <c r="AK2960" i="1"/>
  <c r="AM2960" i="1"/>
  <c r="BG2960" i="1"/>
  <c r="T2961" i="1"/>
  <c r="U2961" i="1"/>
  <c r="V2961" i="1"/>
  <c r="W2961" i="1"/>
  <c r="X2961" i="1"/>
  <c r="Y2961" i="1"/>
  <c r="Z2961" i="1"/>
  <c r="AB2961" i="1"/>
  <c r="AF2961" i="1"/>
  <c r="AI2961" i="1"/>
  <c r="AE2962" i="1"/>
  <c r="AC2962" i="1"/>
  <c r="AJ2961" i="1"/>
  <c r="AK2961" i="1"/>
  <c r="AM2961" i="1"/>
  <c r="BF2961" i="1"/>
  <c r="BG2961" i="1"/>
  <c r="T2962" i="1"/>
  <c r="U2962" i="1"/>
  <c r="V2962" i="1"/>
  <c r="W2962" i="1"/>
  <c r="X2962" i="1"/>
  <c r="Y2962" i="1"/>
  <c r="Z2962" i="1"/>
  <c r="AB2962" i="1"/>
  <c r="AF2962" i="1"/>
  <c r="AI2962" i="1"/>
  <c r="AE2963" i="1"/>
  <c r="AC2963" i="1"/>
  <c r="AJ2962" i="1"/>
  <c r="AK2962" i="1"/>
  <c r="AM2962" i="1"/>
  <c r="BF2962" i="1"/>
  <c r="BG2962" i="1"/>
  <c r="T2963" i="1"/>
  <c r="U2963" i="1"/>
  <c r="V2963" i="1"/>
  <c r="W2963" i="1"/>
  <c r="X2963" i="1"/>
  <c r="Y2963" i="1"/>
  <c r="Z2963" i="1"/>
  <c r="AB2963" i="1"/>
  <c r="AF2963" i="1"/>
  <c r="AI2963" i="1"/>
  <c r="H2964" i="1"/>
  <c r="AE2964" i="1"/>
  <c r="I2964" i="1"/>
  <c r="J2964" i="1"/>
  <c r="K2964" i="1"/>
  <c r="AC2964" i="1"/>
  <c r="AJ2963" i="1"/>
  <c r="AK2963" i="1"/>
  <c r="AM2963" i="1"/>
  <c r="BG2963" i="1"/>
  <c r="T2964" i="1"/>
  <c r="U2964" i="1"/>
  <c r="V2964" i="1"/>
  <c r="W2964" i="1"/>
  <c r="X2964" i="1"/>
  <c r="Y2964" i="1"/>
  <c r="Z2964" i="1"/>
  <c r="AB2964" i="1"/>
  <c r="AF2964" i="1"/>
  <c r="AI2964" i="1"/>
  <c r="H2965" i="1"/>
  <c r="AE2965" i="1"/>
  <c r="I2965" i="1"/>
  <c r="J2965" i="1"/>
  <c r="K2965" i="1"/>
  <c r="AC2965" i="1"/>
  <c r="AJ2964" i="1"/>
  <c r="AK2964" i="1"/>
  <c r="AM2964" i="1"/>
  <c r="BF2964" i="1"/>
  <c r="BG2964" i="1"/>
  <c r="T2965" i="1"/>
  <c r="U2965" i="1"/>
  <c r="V2965" i="1"/>
  <c r="W2965" i="1"/>
  <c r="X2965" i="1"/>
  <c r="Y2965" i="1"/>
  <c r="Z2965" i="1"/>
  <c r="AB2965" i="1"/>
  <c r="AF2965" i="1"/>
  <c r="AI2965" i="1"/>
  <c r="H2966" i="1"/>
  <c r="AE2966" i="1"/>
  <c r="I2966" i="1"/>
  <c r="J2966" i="1"/>
  <c r="K2966" i="1"/>
  <c r="AC2966" i="1"/>
  <c r="AJ2965" i="1"/>
  <c r="AK2965" i="1"/>
  <c r="AM2965" i="1"/>
  <c r="BF2965" i="1"/>
  <c r="BG2965" i="1"/>
  <c r="T2966" i="1"/>
  <c r="U2966" i="1"/>
  <c r="V2966" i="1"/>
  <c r="W2966" i="1"/>
  <c r="X2966" i="1"/>
  <c r="Y2966" i="1"/>
  <c r="Z2966" i="1"/>
  <c r="AB2966" i="1"/>
  <c r="AF2966" i="1"/>
  <c r="AI2966" i="1"/>
  <c r="H2967" i="1"/>
  <c r="AE2967" i="1"/>
  <c r="I2967" i="1"/>
  <c r="J2967" i="1"/>
  <c r="K2967" i="1"/>
  <c r="AC2967" i="1"/>
  <c r="AJ2966" i="1"/>
  <c r="AK2966" i="1"/>
  <c r="AM2966" i="1"/>
  <c r="BF2966" i="1"/>
  <c r="BG2966" i="1"/>
  <c r="T2967" i="1"/>
  <c r="U2967" i="1"/>
  <c r="V2967" i="1"/>
  <c r="W2967" i="1"/>
  <c r="X2967" i="1"/>
  <c r="Y2967" i="1"/>
  <c r="Z2967" i="1"/>
  <c r="AB2967" i="1"/>
  <c r="AF2967" i="1"/>
  <c r="AI2967" i="1"/>
  <c r="AE2968" i="1"/>
  <c r="AC2968" i="1"/>
  <c r="AJ2967" i="1"/>
  <c r="AK2967" i="1"/>
  <c r="AM2967" i="1"/>
  <c r="BF2967" i="1"/>
  <c r="BG2967" i="1"/>
  <c r="T2968" i="1"/>
  <c r="U2968" i="1"/>
  <c r="V2968" i="1"/>
  <c r="W2968" i="1"/>
  <c r="X2968" i="1"/>
  <c r="Y2968" i="1"/>
  <c r="Z2968" i="1"/>
  <c r="AB2968" i="1"/>
  <c r="AF2968" i="1"/>
  <c r="AI2968" i="1"/>
  <c r="AE2969" i="1"/>
  <c r="AC2969" i="1"/>
  <c r="AJ2968" i="1"/>
  <c r="AK2968" i="1"/>
  <c r="AM2968" i="1"/>
  <c r="BF2968" i="1"/>
  <c r="BG2968" i="1"/>
  <c r="T2969" i="1"/>
  <c r="U2969" i="1"/>
  <c r="V2969" i="1"/>
  <c r="W2969" i="1"/>
  <c r="X2969" i="1"/>
  <c r="Y2969" i="1"/>
  <c r="Z2969" i="1"/>
  <c r="AB2969" i="1"/>
  <c r="AF2969" i="1"/>
  <c r="AI2969" i="1"/>
  <c r="H2970" i="1"/>
  <c r="AE2970" i="1"/>
  <c r="I2970" i="1"/>
  <c r="J2970" i="1"/>
  <c r="K2970" i="1"/>
  <c r="AC2970" i="1"/>
  <c r="AJ2969" i="1"/>
  <c r="AK2969" i="1"/>
  <c r="AM2969" i="1"/>
  <c r="BG2969" i="1"/>
  <c r="T2970" i="1"/>
  <c r="U2970" i="1"/>
  <c r="V2970" i="1"/>
  <c r="W2970" i="1"/>
  <c r="X2970" i="1"/>
  <c r="Y2970" i="1"/>
  <c r="Z2970" i="1"/>
  <c r="AB2970" i="1"/>
  <c r="AF2970" i="1"/>
  <c r="AI2970" i="1"/>
  <c r="H2971" i="1"/>
  <c r="AE2971" i="1"/>
  <c r="I2971" i="1"/>
  <c r="J2971" i="1"/>
  <c r="K2971" i="1"/>
  <c r="AC2971" i="1"/>
  <c r="AJ2970" i="1"/>
  <c r="AK2970" i="1"/>
  <c r="AM2970" i="1"/>
  <c r="BF2970" i="1"/>
  <c r="BG2970" i="1"/>
  <c r="T2971" i="1"/>
  <c r="U2971" i="1"/>
  <c r="V2971" i="1"/>
  <c r="W2971" i="1"/>
  <c r="X2971" i="1"/>
  <c r="Y2971" i="1"/>
  <c r="Z2971" i="1"/>
  <c r="AB2971" i="1"/>
  <c r="AF2971" i="1"/>
  <c r="AI2971" i="1"/>
  <c r="H2972" i="1"/>
  <c r="AE2972" i="1"/>
  <c r="I2972" i="1"/>
  <c r="J2972" i="1"/>
  <c r="K2972" i="1"/>
  <c r="AC2972" i="1"/>
  <c r="AJ2971" i="1"/>
  <c r="AK2971" i="1"/>
  <c r="AM2971" i="1"/>
  <c r="BF2971" i="1"/>
  <c r="BG2971" i="1"/>
  <c r="T2972" i="1"/>
  <c r="U2972" i="1"/>
  <c r="V2972" i="1"/>
  <c r="W2972" i="1"/>
  <c r="X2972" i="1"/>
  <c r="Y2972" i="1"/>
  <c r="Z2972" i="1"/>
  <c r="AB2972" i="1"/>
  <c r="AF2972" i="1"/>
  <c r="AI2972" i="1"/>
  <c r="H2973" i="1"/>
  <c r="AE2973" i="1"/>
  <c r="I2973" i="1"/>
  <c r="J2973" i="1"/>
  <c r="K2973" i="1"/>
  <c r="AC2973" i="1"/>
  <c r="AJ2972" i="1"/>
  <c r="AK2972" i="1"/>
  <c r="AM2972" i="1"/>
  <c r="BF2972" i="1"/>
  <c r="BG2972" i="1"/>
  <c r="T2973" i="1"/>
  <c r="U2973" i="1"/>
  <c r="V2973" i="1"/>
  <c r="W2973" i="1"/>
  <c r="X2973" i="1"/>
  <c r="Y2973" i="1"/>
  <c r="Z2973" i="1"/>
  <c r="AB2973" i="1"/>
  <c r="AF2973" i="1"/>
  <c r="AI2973" i="1"/>
  <c r="AE2974" i="1"/>
  <c r="AC2974" i="1"/>
  <c r="AJ2973" i="1"/>
  <c r="AK2973" i="1"/>
  <c r="AM2973" i="1"/>
  <c r="BF2973" i="1"/>
  <c r="BG2973" i="1"/>
  <c r="T2974" i="1"/>
  <c r="U2974" i="1"/>
  <c r="V2974" i="1"/>
  <c r="W2974" i="1"/>
  <c r="X2974" i="1"/>
  <c r="Y2974" i="1"/>
  <c r="Z2974" i="1"/>
  <c r="AB2974" i="1"/>
  <c r="AF2974" i="1"/>
  <c r="AI2974" i="1"/>
  <c r="AE2975" i="1"/>
  <c r="AC2975" i="1"/>
  <c r="AJ2974" i="1"/>
  <c r="AK2974" i="1"/>
  <c r="AM2974" i="1"/>
  <c r="BF2974" i="1"/>
  <c r="BG2974" i="1"/>
  <c r="T2975" i="1"/>
  <c r="U2975" i="1"/>
  <c r="V2975" i="1"/>
  <c r="W2975" i="1"/>
  <c r="X2975" i="1"/>
  <c r="Y2975" i="1"/>
  <c r="Z2975" i="1"/>
  <c r="AB2975" i="1"/>
  <c r="AF2975" i="1"/>
  <c r="AI2975" i="1"/>
  <c r="H2976" i="1"/>
  <c r="AE2976" i="1"/>
  <c r="I2976" i="1"/>
  <c r="J2976" i="1"/>
  <c r="K2976" i="1"/>
  <c r="AC2976" i="1"/>
  <c r="AJ2975" i="1"/>
  <c r="AK2975" i="1"/>
  <c r="AM2975" i="1"/>
  <c r="BG2975" i="1"/>
  <c r="T2976" i="1"/>
  <c r="U2976" i="1"/>
  <c r="V2976" i="1"/>
  <c r="W2976" i="1"/>
  <c r="X2976" i="1"/>
  <c r="Y2976" i="1"/>
  <c r="Z2976" i="1"/>
  <c r="AB2976" i="1"/>
  <c r="AF2976" i="1"/>
  <c r="AI2976" i="1"/>
  <c r="AE2977" i="1"/>
  <c r="AC2977" i="1"/>
  <c r="AJ2976" i="1"/>
  <c r="AK2976" i="1"/>
  <c r="AM2976" i="1"/>
  <c r="BF2976" i="1"/>
  <c r="BG2976" i="1"/>
  <c r="T2977" i="1"/>
  <c r="U2977" i="1"/>
  <c r="V2977" i="1"/>
  <c r="W2977" i="1"/>
  <c r="X2977" i="1"/>
  <c r="Y2977" i="1"/>
  <c r="Z2977" i="1"/>
  <c r="AB2977" i="1"/>
  <c r="AF2977" i="1"/>
  <c r="AI2977" i="1"/>
  <c r="AE2978" i="1"/>
  <c r="AC2978" i="1"/>
  <c r="AJ2977" i="1"/>
  <c r="AK2977" i="1"/>
  <c r="AM2977" i="1"/>
  <c r="BF2977" i="1"/>
  <c r="BG2977" i="1"/>
  <c r="T2978" i="1"/>
  <c r="U2978" i="1"/>
  <c r="V2978" i="1"/>
  <c r="W2978" i="1"/>
  <c r="X2978" i="1"/>
  <c r="Y2978" i="1"/>
  <c r="Z2978" i="1"/>
  <c r="AB2978" i="1"/>
  <c r="AF2978" i="1"/>
  <c r="AI2978" i="1"/>
  <c r="AE2979" i="1"/>
  <c r="AC2979" i="1"/>
  <c r="AJ2978" i="1"/>
  <c r="AK2978" i="1"/>
  <c r="AM2978" i="1"/>
  <c r="BF2978" i="1"/>
  <c r="BG2978" i="1"/>
  <c r="T2979" i="1"/>
  <c r="U2979" i="1"/>
  <c r="V2979" i="1"/>
  <c r="W2979" i="1"/>
  <c r="X2979" i="1"/>
  <c r="Y2979" i="1"/>
  <c r="Z2979" i="1"/>
  <c r="AB2979" i="1"/>
  <c r="AF2979" i="1"/>
  <c r="AI2979" i="1"/>
  <c r="H2980" i="1"/>
  <c r="AE2980" i="1"/>
  <c r="I2980" i="1"/>
  <c r="J2980" i="1"/>
  <c r="K2980" i="1"/>
  <c r="AC2980" i="1"/>
  <c r="AJ2979" i="1"/>
  <c r="AK2979" i="1"/>
  <c r="AM2979" i="1"/>
  <c r="BG2979" i="1"/>
  <c r="T2980" i="1"/>
  <c r="U2980" i="1"/>
  <c r="V2980" i="1"/>
  <c r="W2980" i="1"/>
  <c r="X2980" i="1"/>
  <c r="Y2980" i="1"/>
  <c r="Z2980" i="1"/>
  <c r="AB2980" i="1"/>
  <c r="AF2980" i="1"/>
  <c r="AI2980" i="1"/>
  <c r="AE2981" i="1"/>
  <c r="AC2981" i="1"/>
  <c r="AJ2980" i="1"/>
  <c r="AK2980" i="1"/>
  <c r="AM2980" i="1"/>
  <c r="BF2980" i="1"/>
  <c r="BG2980" i="1"/>
  <c r="T2981" i="1"/>
  <c r="U2981" i="1"/>
  <c r="V2981" i="1"/>
  <c r="W2981" i="1"/>
  <c r="X2981" i="1"/>
  <c r="Y2981" i="1"/>
  <c r="Z2981" i="1"/>
  <c r="AB2981" i="1"/>
  <c r="AF2981" i="1"/>
  <c r="AI2981" i="1"/>
  <c r="AE2982" i="1"/>
  <c r="AC2982" i="1"/>
  <c r="AJ2981" i="1"/>
  <c r="AK2981" i="1"/>
  <c r="AM2981" i="1"/>
  <c r="BF2981" i="1"/>
  <c r="BG2981" i="1"/>
  <c r="T2982" i="1"/>
  <c r="U2982" i="1"/>
  <c r="V2982" i="1"/>
  <c r="W2982" i="1"/>
  <c r="X2982" i="1"/>
  <c r="Y2982" i="1"/>
  <c r="Z2982" i="1"/>
  <c r="AB2982" i="1"/>
  <c r="AF2982" i="1"/>
  <c r="AI2982" i="1"/>
  <c r="AE2983" i="1"/>
  <c r="AC2983" i="1"/>
  <c r="AJ2982" i="1"/>
  <c r="AK2982" i="1"/>
  <c r="AM2982" i="1"/>
  <c r="BF2982" i="1"/>
  <c r="BG2982" i="1"/>
  <c r="T2983" i="1"/>
  <c r="U2983" i="1"/>
  <c r="V2983" i="1"/>
  <c r="W2983" i="1"/>
  <c r="X2983" i="1"/>
  <c r="Y2983" i="1"/>
  <c r="Z2983" i="1"/>
  <c r="AB2983" i="1"/>
  <c r="AF2983" i="1"/>
  <c r="AI2983" i="1"/>
  <c r="H2984" i="1"/>
  <c r="AE2984" i="1"/>
  <c r="I2984" i="1"/>
  <c r="J2984" i="1"/>
  <c r="K2984" i="1"/>
  <c r="AC2984" i="1"/>
  <c r="AJ2983" i="1"/>
  <c r="AK2983" i="1"/>
  <c r="AM2983" i="1"/>
  <c r="BG2983" i="1"/>
  <c r="T2984" i="1"/>
  <c r="U2984" i="1"/>
  <c r="V2984" i="1"/>
  <c r="W2984" i="1"/>
  <c r="X2984" i="1"/>
  <c r="Y2984" i="1"/>
  <c r="Z2984" i="1"/>
  <c r="AB2984" i="1"/>
  <c r="AF2984" i="1"/>
  <c r="AI2984" i="1"/>
  <c r="H2985" i="1"/>
  <c r="AE2985" i="1"/>
  <c r="I2985" i="1"/>
  <c r="J2985" i="1"/>
  <c r="K2985" i="1"/>
  <c r="AC2985" i="1"/>
  <c r="AJ2984" i="1"/>
  <c r="AK2984" i="1"/>
  <c r="AM2984" i="1"/>
  <c r="BF2984" i="1"/>
  <c r="BG2984" i="1"/>
  <c r="T2985" i="1"/>
  <c r="U2985" i="1"/>
  <c r="V2985" i="1"/>
  <c r="W2985" i="1"/>
  <c r="X2985" i="1"/>
  <c r="Y2985" i="1"/>
  <c r="Z2985" i="1"/>
  <c r="AB2985" i="1"/>
  <c r="AF2985" i="1"/>
  <c r="AI2985" i="1"/>
  <c r="AE2986" i="1"/>
  <c r="AC2986" i="1"/>
  <c r="AJ2985" i="1"/>
  <c r="AK2985" i="1"/>
  <c r="AM2985" i="1"/>
  <c r="BF2985" i="1"/>
  <c r="BG2985" i="1"/>
  <c r="T2986" i="1"/>
  <c r="U2986" i="1"/>
  <c r="V2986" i="1"/>
  <c r="W2986" i="1"/>
  <c r="X2986" i="1"/>
  <c r="Y2986" i="1"/>
  <c r="Z2986" i="1"/>
  <c r="AB2986" i="1"/>
  <c r="AF2986" i="1"/>
  <c r="AI2986" i="1"/>
  <c r="AE2987" i="1"/>
  <c r="AC2987" i="1"/>
  <c r="AJ2986" i="1"/>
  <c r="AK2986" i="1"/>
  <c r="AM2986" i="1"/>
  <c r="BF2986" i="1"/>
  <c r="BG2986" i="1"/>
  <c r="T2987" i="1"/>
  <c r="U2987" i="1"/>
  <c r="V2987" i="1"/>
  <c r="W2987" i="1"/>
  <c r="X2987" i="1"/>
  <c r="Y2987" i="1"/>
  <c r="Z2987" i="1"/>
  <c r="AB2987" i="1"/>
  <c r="AF2987" i="1"/>
  <c r="AI2987" i="1"/>
  <c r="H2988" i="1"/>
  <c r="AE2988" i="1"/>
  <c r="I2988" i="1"/>
  <c r="J2988" i="1"/>
  <c r="K2988" i="1"/>
  <c r="AC2988" i="1"/>
  <c r="AJ2987" i="1"/>
  <c r="AK2987" i="1"/>
  <c r="AM2987" i="1"/>
  <c r="BG2987" i="1"/>
  <c r="T2988" i="1"/>
  <c r="U2988" i="1"/>
  <c r="V2988" i="1"/>
  <c r="W2988" i="1"/>
  <c r="X2988" i="1"/>
  <c r="Y2988" i="1"/>
  <c r="Z2988" i="1"/>
  <c r="AB2988" i="1"/>
  <c r="AF2988" i="1"/>
  <c r="AI2988" i="1"/>
  <c r="H2989" i="1"/>
  <c r="AE2989" i="1"/>
  <c r="I2989" i="1"/>
  <c r="J2989" i="1"/>
  <c r="K2989" i="1"/>
  <c r="AC2989" i="1"/>
  <c r="AJ2988" i="1"/>
  <c r="AK2988" i="1"/>
  <c r="AM2988" i="1"/>
  <c r="BF2988" i="1"/>
  <c r="BG2988" i="1"/>
  <c r="T2989" i="1"/>
  <c r="U2989" i="1"/>
  <c r="V2989" i="1"/>
  <c r="W2989" i="1"/>
  <c r="X2989" i="1"/>
  <c r="Y2989" i="1"/>
  <c r="Z2989" i="1"/>
  <c r="AB2989" i="1"/>
  <c r="AF2989" i="1"/>
  <c r="AI2989" i="1"/>
  <c r="H2990" i="1"/>
  <c r="AE2990" i="1"/>
  <c r="I2990" i="1"/>
  <c r="J2990" i="1"/>
  <c r="K2990" i="1"/>
  <c r="AC2990" i="1"/>
  <c r="AJ2989" i="1"/>
  <c r="AK2989" i="1"/>
  <c r="AM2989" i="1"/>
  <c r="BF2989" i="1"/>
  <c r="BG2989" i="1"/>
  <c r="T2990" i="1"/>
  <c r="U2990" i="1"/>
  <c r="V2990" i="1"/>
  <c r="W2990" i="1"/>
  <c r="X2990" i="1"/>
  <c r="Y2990" i="1"/>
  <c r="Z2990" i="1"/>
  <c r="AB2990" i="1"/>
  <c r="AF2990" i="1"/>
  <c r="AI2990" i="1"/>
  <c r="AE2991" i="1"/>
  <c r="AC2991" i="1"/>
  <c r="AJ2990" i="1"/>
  <c r="AK2990" i="1"/>
  <c r="AM2990" i="1"/>
  <c r="BF2990" i="1"/>
  <c r="BG2990" i="1"/>
  <c r="T2991" i="1"/>
  <c r="U2991" i="1"/>
  <c r="V2991" i="1"/>
  <c r="W2991" i="1"/>
  <c r="X2991" i="1"/>
  <c r="Y2991" i="1"/>
  <c r="Z2991" i="1"/>
  <c r="AB2991" i="1"/>
  <c r="AF2991" i="1"/>
  <c r="AI2991" i="1"/>
  <c r="AE2992" i="1"/>
  <c r="AC2992" i="1"/>
  <c r="AJ2991" i="1"/>
  <c r="AK2991" i="1"/>
  <c r="AM2991" i="1"/>
  <c r="BF2991" i="1"/>
  <c r="BG2991" i="1"/>
  <c r="T2992" i="1"/>
  <c r="U2992" i="1"/>
  <c r="V2992" i="1"/>
  <c r="W2992" i="1"/>
  <c r="X2992" i="1"/>
  <c r="Y2992" i="1"/>
  <c r="Z2992" i="1"/>
  <c r="AB2992" i="1"/>
  <c r="AF2992" i="1"/>
  <c r="AI2992" i="1"/>
  <c r="H2993" i="1"/>
  <c r="AE2993" i="1"/>
  <c r="I2993" i="1"/>
  <c r="J2993" i="1"/>
  <c r="K2993" i="1"/>
  <c r="AC2993" i="1"/>
  <c r="AJ2992" i="1"/>
  <c r="AK2992" i="1"/>
  <c r="AM2992" i="1"/>
  <c r="BG2992" i="1"/>
  <c r="T2993" i="1"/>
  <c r="U2993" i="1"/>
  <c r="V2993" i="1"/>
  <c r="W2993" i="1"/>
  <c r="X2993" i="1"/>
  <c r="Y2993" i="1"/>
  <c r="Z2993" i="1"/>
  <c r="AB2993" i="1"/>
  <c r="AF2993" i="1"/>
  <c r="AI2993" i="1"/>
  <c r="AE2994" i="1"/>
  <c r="AC2994" i="1"/>
  <c r="AJ2993" i="1"/>
  <c r="AK2993" i="1"/>
  <c r="AM2993" i="1"/>
  <c r="BF2993" i="1"/>
  <c r="BG2993" i="1"/>
  <c r="T2994" i="1"/>
  <c r="U2994" i="1"/>
  <c r="V2994" i="1"/>
  <c r="W2994" i="1"/>
  <c r="X2994" i="1"/>
  <c r="Y2994" i="1"/>
  <c r="Z2994" i="1"/>
  <c r="AB2994" i="1"/>
  <c r="AF2994" i="1"/>
  <c r="AI2994" i="1"/>
  <c r="AE2995" i="1"/>
  <c r="AC2995" i="1"/>
  <c r="AJ2994" i="1"/>
  <c r="AK2994" i="1"/>
  <c r="AM2994" i="1"/>
  <c r="BF2994" i="1"/>
  <c r="BG2994" i="1"/>
  <c r="T2995" i="1"/>
  <c r="U2995" i="1"/>
  <c r="V2995" i="1"/>
  <c r="W2995" i="1"/>
  <c r="X2995" i="1"/>
  <c r="Y2995" i="1"/>
  <c r="Z2995" i="1"/>
  <c r="AB2995" i="1"/>
  <c r="AF2995" i="1"/>
  <c r="AI2995" i="1"/>
  <c r="H2996" i="1"/>
  <c r="AE2996" i="1"/>
  <c r="I2996" i="1"/>
  <c r="J2996" i="1"/>
  <c r="K2996" i="1"/>
  <c r="AC2996" i="1"/>
  <c r="AJ2995" i="1"/>
  <c r="AK2995" i="1"/>
  <c r="AM2995" i="1"/>
  <c r="BG2995" i="1"/>
  <c r="T2996" i="1"/>
  <c r="U2996" i="1"/>
  <c r="V2996" i="1"/>
  <c r="W2996" i="1"/>
  <c r="X2996" i="1"/>
  <c r="Y2996" i="1"/>
  <c r="Z2996" i="1"/>
  <c r="AB2996" i="1"/>
  <c r="AF2996" i="1"/>
  <c r="AI2996" i="1"/>
  <c r="H2997" i="1"/>
  <c r="AE2997" i="1"/>
  <c r="I2997" i="1"/>
  <c r="J2997" i="1"/>
  <c r="K2997" i="1"/>
  <c r="AC2997" i="1"/>
  <c r="AJ2996" i="1"/>
  <c r="AK2996" i="1"/>
  <c r="AM2996" i="1"/>
  <c r="BF2996" i="1"/>
  <c r="BG2996" i="1"/>
  <c r="T2997" i="1"/>
  <c r="U2997" i="1"/>
  <c r="V2997" i="1"/>
  <c r="W2997" i="1"/>
  <c r="X2997" i="1"/>
  <c r="Y2997" i="1"/>
  <c r="Z2997" i="1"/>
  <c r="AB2997" i="1"/>
  <c r="AF2997" i="1"/>
  <c r="AI2997" i="1"/>
  <c r="H2998" i="1"/>
  <c r="AE2998" i="1"/>
  <c r="I2998" i="1"/>
  <c r="J2998" i="1"/>
  <c r="K2998" i="1"/>
  <c r="AC2998" i="1"/>
  <c r="AJ2997" i="1"/>
  <c r="AK2997" i="1"/>
  <c r="AM2997" i="1"/>
  <c r="BF2997" i="1"/>
  <c r="BG2997" i="1"/>
  <c r="T2998" i="1"/>
  <c r="U2998" i="1"/>
  <c r="V2998" i="1"/>
  <c r="W2998" i="1"/>
  <c r="X2998" i="1"/>
  <c r="Y2998" i="1"/>
  <c r="Z2998" i="1"/>
  <c r="AB2998" i="1"/>
  <c r="AF2998" i="1"/>
  <c r="AI2998" i="1"/>
  <c r="H2999" i="1"/>
  <c r="AE2999" i="1"/>
  <c r="I2999" i="1"/>
  <c r="J2999" i="1"/>
  <c r="K2999" i="1"/>
  <c r="AC2999" i="1"/>
  <c r="AJ2998" i="1"/>
  <c r="AK2998" i="1"/>
  <c r="AM2998" i="1"/>
  <c r="BF2998" i="1"/>
  <c r="BG2998" i="1"/>
  <c r="T2999" i="1"/>
  <c r="U2999" i="1"/>
  <c r="V2999" i="1"/>
  <c r="W2999" i="1"/>
  <c r="X2999" i="1"/>
  <c r="Y2999" i="1"/>
  <c r="Z2999" i="1"/>
  <c r="AB2999" i="1"/>
  <c r="AF2999" i="1"/>
  <c r="AI2999" i="1"/>
  <c r="H3000" i="1"/>
  <c r="AE3000" i="1"/>
  <c r="I3000" i="1"/>
  <c r="J3000" i="1"/>
  <c r="K3000" i="1"/>
  <c r="AC3000" i="1"/>
  <c r="AJ2999" i="1"/>
  <c r="AK2999" i="1"/>
  <c r="AM2999" i="1"/>
  <c r="BF2999" i="1"/>
  <c r="BG2999" i="1"/>
  <c r="T3000" i="1"/>
  <c r="U3000" i="1"/>
  <c r="V3000" i="1"/>
  <c r="W3000" i="1"/>
  <c r="X3000" i="1"/>
  <c r="Y3000" i="1"/>
  <c r="Z3000" i="1"/>
  <c r="AB3000" i="1"/>
  <c r="AF3000" i="1"/>
  <c r="AI3000" i="1"/>
  <c r="AE3001" i="1"/>
  <c r="AC3001" i="1"/>
  <c r="AJ3000" i="1"/>
  <c r="AK3000" i="1"/>
  <c r="AM3000" i="1"/>
  <c r="BF3000" i="1"/>
  <c r="BG3000" i="1"/>
  <c r="T3001" i="1"/>
  <c r="U3001" i="1"/>
  <c r="V3001" i="1"/>
  <c r="W3001" i="1"/>
  <c r="X3001" i="1"/>
  <c r="Y3001" i="1"/>
  <c r="Z3001" i="1"/>
  <c r="AB3001" i="1"/>
  <c r="AF3001" i="1"/>
  <c r="AI3001" i="1"/>
  <c r="AE3002" i="1"/>
  <c r="AC3002" i="1"/>
  <c r="AJ3001" i="1"/>
  <c r="AK3001" i="1"/>
  <c r="AM3001" i="1"/>
  <c r="BF3001" i="1"/>
  <c r="BG3001" i="1"/>
  <c r="T3002" i="1"/>
  <c r="U3002" i="1"/>
  <c r="V3002" i="1"/>
  <c r="W3002" i="1"/>
  <c r="X3002" i="1"/>
  <c r="Y3002" i="1"/>
  <c r="Z3002" i="1"/>
  <c r="AB3002" i="1"/>
  <c r="AF3002" i="1"/>
  <c r="AI3002" i="1"/>
  <c r="AE3003" i="1"/>
  <c r="AC3003" i="1"/>
  <c r="AJ3002" i="1"/>
  <c r="AK3002" i="1"/>
  <c r="AM3002" i="1"/>
  <c r="BF3002" i="1"/>
  <c r="BG3002" i="1"/>
  <c r="T3003" i="1"/>
  <c r="U3003" i="1"/>
  <c r="V3003" i="1"/>
  <c r="W3003" i="1"/>
  <c r="X3003" i="1"/>
  <c r="Y3003" i="1"/>
  <c r="Z3003" i="1"/>
  <c r="AB3003" i="1"/>
  <c r="AF3003" i="1"/>
  <c r="AI3003" i="1"/>
  <c r="H3004" i="1"/>
  <c r="AE3004" i="1"/>
  <c r="I3004" i="1"/>
  <c r="J3004" i="1"/>
  <c r="K3004" i="1"/>
  <c r="AC3004" i="1"/>
  <c r="AJ3003" i="1"/>
  <c r="AK3003" i="1"/>
  <c r="AM3003" i="1"/>
  <c r="BG3003" i="1"/>
  <c r="T3004" i="1"/>
  <c r="U3004" i="1"/>
  <c r="V3004" i="1"/>
  <c r="W3004" i="1"/>
  <c r="X3004" i="1"/>
  <c r="Y3004" i="1"/>
  <c r="Z3004" i="1"/>
  <c r="AB3004" i="1"/>
  <c r="AF3004" i="1"/>
  <c r="AI3004" i="1"/>
  <c r="AE3005" i="1"/>
  <c r="AC3005" i="1"/>
  <c r="AJ3004" i="1"/>
  <c r="AK3004" i="1"/>
  <c r="AM3004" i="1"/>
  <c r="BF3004" i="1"/>
  <c r="BG3004" i="1"/>
  <c r="T3005" i="1"/>
  <c r="U3005" i="1"/>
  <c r="V3005" i="1"/>
  <c r="W3005" i="1"/>
  <c r="X3005" i="1"/>
  <c r="Y3005" i="1"/>
  <c r="Z3005" i="1"/>
  <c r="AB3005" i="1"/>
  <c r="AF3005" i="1"/>
  <c r="AI3005" i="1"/>
  <c r="AE3006" i="1"/>
  <c r="AC3006" i="1"/>
  <c r="AJ3005" i="1"/>
  <c r="AK3005" i="1"/>
  <c r="AM3005" i="1"/>
  <c r="BF3005" i="1"/>
  <c r="BG3005" i="1"/>
  <c r="T3006" i="1"/>
  <c r="U3006" i="1"/>
  <c r="V3006" i="1"/>
  <c r="W3006" i="1"/>
  <c r="X3006" i="1"/>
  <c r="Y3006" i="1"/>
  <c r="Z3006" i="1"/>
  <c r="AB3006" i="1"/>
  <c r="AF3006" i="1"/>
  <c r="AI3006" i="1"/>
  <c r="AE3007" i="1"/>
  <c r="AC3007" i="1"/>
  <c r="AJ3006" i="1"/>
  <c r="AK3006" i="1"/>
  <c r="AM3006" i="1"/>
  <c r="BF3006" i="1"/>
  <c r="BG3006" i="1"/>
  <c r="T3007" i="1"/>
  <c r="U3007" i="1"/>
  <c r="V3007" i="1"/>
  <c r="W3007" i="1"/>
  <c r="X3007" i="1"/>
  <c r="Y3007" i="1"/>
  <c r="Z3007" i="1"/>
  <c r="AB3007" i="1"/>
  <c r="AF3007" i="1"/>
  <c r="AI3007" i="1"/>
  <c r="H3008" i="1"/>
  <c r="AE3008" i="1"/>
  <c r="I3008" i="1"/>
  <c r="J3008" i="1"/>
  <c r="K3008" i="1"/>
  <c r="AC3008" i="1"/>
  <c r="AJ3007" i="1"/>
  <c r="AK3007" i="1"/>
  <c r="AM3007" i="1"/>
  <c r="BG3007" i="1"/>
  <c r="T3008" i="1"/>
  <c r="U3008" i="1"/>
  <c r="V3008" i="1"/>
  <c r="W3008" i="1"/>
  <c r="X3008" i="1"/>
  <c r="Y3008" i="1"/>
  <c r="Z3008" i="1"/>
  <c r="AB3008" i="1"/>
  <c r="AF3008" i="1"/>
  <c r="AI3008" i="1"/>
  <c r="H3009" i="1"/>
  <c r="AE3009" i="1"/>
  <c r="I3009" i="1"/>
  <c r="J3009" i="1"/>
  <c r="K3009" i="1"/>
  <c r="AC3009" i="1"/>
  <c r="AJ3008" i="1"/>
  <c r="AK3008" i="1"/>
  <c r="AM3008" i="1"/>
  <c r="BF3008" i="1"/>
  <c r="BG3008" i="1"/>
  <c r="T3009" i="1"/>
  <c r="U3009" i="1"/>
  <c r="V3009" i="1"/>
  <c r="W3009" i="1"/>
  <c r="X3009" i="1"/>
  <c r="Y3009" i="1"/>
  <c r="Z3009" i="1"/>
  <c r="AB3009" i="1"/>
  <c r="AF3009" i="1"/>
  <c r="AI3009" i="1"/>
  <c r="H3010" i="1"/>
  <c r="AE3010" i="1"/>
  <c r="I3010" i="1"/>
  <c r="J3010" i="1"/>
  <c r="K3010" i="1"/>
  <c r="AC3010" i="1"/>
  <c r="AJ3009" i="1"/>
  <c r="AK3009" i="1"/>
  <c r="AM3009" i="1"/>
  <c r="BF3009" i="1"/>
  <c r="BG3009" i="1"/>
  <c r="T3010" i="1"/>
  <c r="U3010" i="1"/>
  <c r="V3010" i="1"/>
  <c r="W3010" i="1"/>
  <c r="X3010" i="1"/>
  <c r="Y3010" i="1"/>
  <c r="Z3010" i="1"/>
  <c r="AB3010" i="1"/>
  <c r="AF3010" i="1"/>
  <c r="AI3010" i="1"/>
  <c r="H3011" i="1"/>
  <c r="AE3011" i="1"/>
  <c r="I3011" i="1"/>
  <c r="J3011" i="1"/>
  <c r="K3011" i="1"/>
  <c r="AC3011" i="1"/>
  <c r="AJ3010" i="1"/>
  <c r="AK3010" i="1"/>
  <c r="AM3010" i="1"/>
  <c r="BF3010" i="1"/>
  <c r="BG3010" i="1"/>
  <c r="T3011" i="1"/>
  <c r="U3011" i="1"/>
  <c r="V3011" i="1"/>
  <c r="W3011" i="1"/>
  <c r="X3011" i="1"/>
  <c r="Y3011" i="1"/>
  <c r="Z3011" i="1"/>
  <c r="AB3011" i="1"/>
  <c r="AF3011" i="1"/>
  <c r="AI3011" i="1"/>
  <c r="H3012" i="1"/>
  <c r="AE3012" i="1"/>
  <c r="I3012" i="1"/>
  <c r="J3012" i="1"/>
  <c r="K3012" i="1"/>
  <c r="AC3012" i="1"/>
  <c r="AJ3011" i="1"/>
  <c r="AK3011" i="1"/>
  <c r="AM3011" i="1"/>
  <c r="BF3011" i="1"/>
  <c r="BG3011" i="1"/>
  <c r="T3012" i="1"/>
  <c r="U3012" i="1"/>
  <c r="V3012" i="1"/>
  <c r="W3012" i="1"/>
  <c r="X3012" i="1"/>
  <c r="Y3012" i="1"/>
  <c r="Z3012" i="1"/>
  <c r="AB3012" i="1"/>
  <c r="AF3012" i="1"/>
  <c r="AI3012" i="1"/>
  <c r="AE3013" i="1"/>
  <c r="AC3013" i="1"/>
  <c r="AJ3012" i="1"/>
  <c r="AK3012" i="1"/>
  <c r="AM3012" i="1"/>
  <c r="BF3012" i="1"/>
  <c r="BG3012" i="1"/>
  <c r="T3013" i="1"/>
  <c r="U3013" i="1"/>
  <c r="V3013" i="1"/>
  <c r="W3013" i="1"/>
  <c r="X3013" i="1"/>
  <c r="Y3013" i="1"/>
  <c r="Z3013" i="1"/>
  <c r="AB3013" i="1"/>
  <c r="AF3013" i="1"/>
  <c r="AI3013" i="1"/>
  <c r="AE3014" i="1"/>
  <c r="AC3014" i="1"/>
  <c r="AJ3013" i="1"/>
  <c r="AK3013" i="1"/>
  <c r="AM3013" i="1"/>
  <c r="BF3013" i="1"/>
  <c r="BG3013" i="1"/>
  <c r="T3014" i="1"/>
  <c r="U3014" i="1"/>
  <c r="V3014" i="1"/>
  <c r="W3014" i="1"/>
  <c r="X3014" i="1"/>
  <c r="Y3014" i="1"/>
  <c r="Z3014" i="1"/>
  <c r="AB3014" i="1"/>
  <c r="AF3014" i="1"/>
  <c r="AI3014" i="1"/>
  <c r="H3015" i="1"/>
  <c r="AE3015" i="1"/>
  <c r="I3015" i="1"/>
  <c r="J3015" i="1"/>
  <c r="K3015" i="1"/>
  <c r="AC3015" i="1"/>
  <c r="AJ3014" i="1"/>
  <c r="AK3014" i="1"/>
  <c r="AM3014" i="1"/>
  <c r="BG3014" i="1"/>
  <c r="T3015" i="1"/>
  <c r="U3015" i="1"/>
  <c r="V3015" i="1"/>
  <c r="W3015" i="1"/>
  <c r="X3015" i="1"/>
  <c r="Y3015" i="1"/>
  <c r="Z3015" i="1"/>
  <c r="AB3015" i="1"/>
  <c r="AF3015" i="1"/>
  <c r="AI3015" i="1"/>
  <c r="H3016" i="1"/>
  <c r="AE3016" i="1"/>
  <c r="I3016" i="1"/>
  <c r="J3016" i="1"/>
  <c r="K3016" i="1"/>
  <c r="AC3016" i="1"/>
  <c r="AJ3015" i="1"/>
  <c r="AK3015" i="1"/>
  <c r="AM3015" i="1"/>
  <c r="BF3015" i="1"/>
  <c r="BG3015" i="1"/>
  <c r="T3016" i="1"/>
  <c r="U3016" i="1"/>
  <c r="V3016" i="1"/>
  <c r="W3016" i="1"/>
  <c r="X3016" i="1"/>
  <c r="Y3016" i="1"/>
  <c r="Z3016" i="1"/>
  <c r="AB3016" i="1"/>
  <c r="AF3016" i="1"/>
  <c r="AI3016" i="1"/>
  <c r="AE3017" i="1"/>
  <c r="AC3017" i="1"/>
  <c r="AJ3016" i="1"/>
  <c r="AK3016" i="1"/>
  <c r="AM3016" i="1"/>
  <c r="BF3016" i="1"/>
  <c r="BG3016" i="1"/>
  <c r="T3017" i="1"/>
  <c r="U3017" i="1"/>
  <c r="V3017" i="1"/>
  <c r="W3017" i="1"/>
  <c r="X3017" i="1"/>
  <c r="Y3017" i="1"/>
  <c r="Z3017" i="1"/>
  <c r="AB3017" i="1"/>
  <c r="AF3017" i="1"/>
  <c r="AI3017" i="1"/>
  <c r="AE3018" i="1"/>
  <c r="AC3018" i="1"/>
  <c r="AJ3017" i="1"/>
  <c r="AK3017" i="1"/>
  <c r="AM3017" i="1"/>
  <c r="BF3017" i="1"/>
  <c r="BG3017" i="1"/>
  <c r="T3018" i="1"/>
  <c r="U3018" i="1"/>
  <c r="V3018" i="1"/>
  <c r="W3018" i="1"/>
  <c r="X3018" i="1"/>
  <c r="Y3018" i="1"/>
  <c r="Z3018" i="1"/>
  <c r="AB3018" i="1"/>
  <c r="AF3018" i="1"/>
  <c r="AI3018" i="1"/>
  <c r="H3019" i="1"/>
  <c r="AE3019" i="1"/>
  <c r="I3019" i="1"/>
  <c r="J3019" i="1"/>
  <c r="K3019" i="1"/>
  <c r="AC3019" i="1"/>
  <c r="AJ3018" i="1"/>
  <c r="AK3018" i="1"/>
  <c r="AM3018" i="1"/>
  <c r="BG3018" i="1"/>
  <c r="T3019" i="1"/>
  <c r="U3019" i="1"/>
  <c r="V3019" i="1"/>
  <c r="W3019" i="1"/>
  <c r="X3019" i="1"/>
  <c r="Y3019" i="1"/>
  <c r="Z3019" i="1"/>
  <c r="AB3019" i="1"/>
  <c r="AF3019" i="1"/>
  <c r="AI3019" i="1"/>
  <c r="H3020" i="1"/>
  <c r="AE3020" i="1"/>
  <c r="I3020" i="1"/>
  <c r="J3020" i="1"/>
  <c r="K3020" i="1"/>
  <c r="AC3020" i="1"/>
  <c r="AJ3019" i="1"/>
  <c r="AK3019" i="1"/>
  <c r="AM3019" i="1"/>
  <c r="BF3019" i="1"/>
  <c r="BG3019" i="1"/>
  <c r="T3020" i="1"/>
  <c r="U3020" i="1"/>
  <c r="V3020" i="1"/>
  <c r="W3020" i="1"/>
  <c r="X3020" i="1"/>
  <c r="Y3020" i="1"/>
  <c r="Z3020" i="1"/>
  <c r="AB3020" i="1"/>
  <c r="AF3020" i="1"/>
  <c r="AI3020" i="1"/>
  <c r="AE3021" i="1"/>
  <c r="AC3021" i="1"/>
  <c r="AJ3020" i="1"/>
  <c r="AK3020" i="1"/>
  <c r="AM3020" i="1"/>
  <c r="BF3020" i="1"/>
  <c r="BG3020" i="1"/>
  <c r="T3021" i="1"/>
  <c r="U3021" i="1"/>
  <c r="V3021" i="1"/>
  <c r="W3021" i="1"/>
  <c r="X3021" i="1"/>
  <c r="Y3021" i="1"/>
  <c r="Z3021" i="1"/>
  <c r="AB3021" i="1"/>
  <c r="AF3021" i="1"/>
  <c r="AI3021" i="1"/>
  <c r="AE3022" i="1"/>
  <c r="AC3022" i="1"/>
  <c r="AJ3021" i="1"/>
  <c r="AK3021" i="1"/>
  <c r="AM3021" i="1"/>
  <c r="BF3021" i="1"/>
  <c r="BG3021" i="1"/>
  <c r="T3022" i="1"/>
  <c r="U3022" i="1"/>
  <c r="V3022" i="1"/>
  <c r="W3022" i="1"/>
  <c r="X3022" i="1"/>
  <c r="Y3022" i="1"/>
  <c r="Z3022" i="1"/>
  <c r="AB3022" i="1"/>
  <c r="AF3022" i="1"/>
  <c r="AI3022" i="1"/>
  <c r="H3023" i="1"/>
  <c r="AE3023" i="1"/>
  <c r="I3023" i="1"/>
  <c r="J3023" i="1"/>
  <c r="K3023" i="1"/>
  <c r="AC3023" i="1"/>
  <c r="AJ3022" i="1"/>
  <c r="AK3022" i="1"/>
  <c r="AM3022" i="1"/>
  <c r="BG3022" i="1"/>
  <c r="T3023" i="1"/>
  <c r="U3023" i="1"/>
  <c r="V3023" i="1"/>
  <c r="W3023" i="1"/>
  <c r="X3023" i="1"/>
  <c r="Y3023" i="1"/>
  <c r="Z3023" i="1"/>
  <c r="AB3023" i="1"/>
  <c r="AF3023" i="1"/>
  <c r="AI3023" i="1"/>
  <c r="AE3024" i="1"/>
  <c r="AC3024" i="1"/>
  <c r="AJ3023" i="1"/>
  <c r="AK3023" i="1"/>
  <c r="AM3023" i="1"/>
  <c r="BF3023" i="1"/>
  <c r="BG3023" i="1"/>
  <c r="T3024" i="1"/>
  <c r="U3024" i="1"/>
  <c r="V3024" i="1"/>
  <c r="W3024" i="1"/>
  <c r="X3024" i="1"/>
  <c r="Y3024" i="1"/>
  <c r="Z3024" i="1"/>
  <c r="AB3024" i="1"/>
  <c r="AF3024" i="1"/>
  <c r="AI3024" i="1"/>
  <c r="AE3025" i="1"/>
  <c r="AC3025" i="1"/>
  <c r="AJ3024" i="1"/>
  <c r="AK3024" i="1"/>
  <c r="AM3024" i="1"/>
  <c r="BF3024" i="1"/>
  <c r="BG3024" i="1"/>
  <c r="T3025" i="1"/>
  <c r="U3025" i="1"/>
  <c r="V3025" i="1"/>
  <c r="W3025" i="1"/>
  <c r="X3025" i="1"/>
  <c r="Y3025" i="1"/>
  <c r="Z3025" i="1"/>
  <c r="AB3025" i="1"/>
  <c r="AF3025" i="1"/>
  <c r="AI3025" i="1"/>
  <c r="H3026" i="1"/>
  <c r="AE3026" i="1"/>
  <c r="I3026" i="1"/>
  <c r="J3026" i="1"/>
  <c r="K3026" i="1"/>
  <c r="AC3026" i="1"/>
  <c r="AJ3025" i="1"/>
  <c r="AK3025" i="1"/>
  <c r="AM3025" i="1"/>
  <c r="BG3025" i="1"/>
  <c r="T3026" i="1"/>
  <c r="U3026" i="1"/>
  <c r="V3026" i="1"/>
  <c r="W3026" i="1"/>
  <c r="X3026" i="1"/>
  <c r="Y3026" i="1"/>
  <c r="Z3026" i="1"/>
  <c r="AB3026" i="1"/>
  <c r="AF3026" i="1"/>
  <c r="AI3026" i="1"/>
  <c r="AE3027" i="1"/>
  <c r="AC3027" i="1"/>
  <c r="AJ3026" i="1"/>
  <c r="AK3026" i="1"/>
  <c r="AM3026" i="1"/>
  <c r="BF3026" i="1"/>
  <c r="BG3026" i="1"/>
  <c r="T3027" i="1"/>
  <c r="U3027" i="1"/>
  <c r="V3027" i="1"/>
  <c r="W3027" i="1"/>
  <c r="X3027" i="1"/>
  <c r="Y3027" i="1"/>
  <c r="Z3027" i="1"/>
  <c r="AB3027" i="1"/>
  <c r="AF3027" i="1"/>
  <c r="AI3027" i="1"/>
  <c r="AE3028" i="1"/>
  <c r="AC3028" i="1"/>
  <c r="AJ3027" i="1"/>
  <c r="AK3027" i="1"/>
  <c r="AM3027" i="1"/>
  <c r="BF3027" i="1"/>
  <c r="BG3027" i="1"/>
  <c r="T3028" i="1"/>
  <c r="U3028" i="1"/>
  <c r="V3028" i="1"/>
  <c r="W3028" i="1"/>
  <c r="X3028" i="1"/>
  <c r="Y3028" i="1"/>
  <c r="Z3028" i="1"/>
  <c r="AB3028" i="1"/>
  <c r="AF3028" i="1"/>
  <c r="AI3028" i="1"/>
  <c r="H3029" i="1"/>
  <c r="AE3029" i="1"/>
  <c r="I3029" i="1"/>
  <c r="J3029" i="1"/>
  <c r="K3029" i="1"/>
  <c r="AC3029" i="1"/>
  <c r="AJ3028" i="1"/>
  <c r="AK3028" i="1"/>
  <c r="AM3028" i="1"/>
  <c r="BG3028" i="1"/>
  <c r="T3029" i="1"/>
  <c r="U3029" i="1"/>
  <c r="V3029" i="1"/>
  <c r="W3029" i="1"/>
  <c r="X3029" i="1"/>
  <c r="Y3029" i="1"/>
  <c r="Z3029" i="1"/>
  <c r="AB3029" i="1"/>
  <c r="AF3029" i="1"/>
  <c r="AI3029" i="1"/>
  <c r="AE3030" i="1"/>
  <c r="AC3030" i="1"/>
  <c r="AJ3029" i="1"/>
  <c r="AK3029" i="1"/>
  <c r="AM3029" i="1"/>
  <c r="BF3029" i="1"/>
  <c r="BG3029" i="1"/>
  <c r="T3030" i="1"/>
  <c r="U3030" i="1"/>
  <c r="V3030" i="1"/>
  <c r="W3030" i="1"/>
  <c r="X3030" i="1"/>
  <c r="Y3030" i="1"/>
  <c r="Z3030" i="1"/>
  <c r="AB3030" i="1"/>
  <c r="AF3030" i="1"/>
  <c r="AI3030" i="1"/>
  <c r="AE3031" i="1"/>
  <c r="AC3031" i="1"/>
  <c r="AJ3030" i="1"/>
  <c r="AK3030" i="1"/>
  <c r="AM3030" i="1"/>
  <c r="BF3030" i="1"/>
  <c r="BG3030" i="1"/>
  <c r="T3031" i="1"/>
  <c r="U3031" i="1"/>
  <c r="V3031" i="1"/>
  <c r="W3031" i="1"/>
  <c r="X3031" i="1"/>
  <c r="Y3031" i="1"/>
  <c r="Z3031" i="1"/>
  <c r="AB3031" i="1"/>
  <c r="AF3031" i="1"/>
  <c r="AI3031" i="1"/>
  <c r="AE3032" i="1"/>
  <c r="AC3032" i="1"/>
  <c r="AJ3031" i="1"/>
  <c r="AK3031" i="1"/>
  <c r="AM3031" i="1"/>
  <c r="BF3031" i="1"/>
  <c r="BG3031" i="1"/>
  <c r="T3032" i="1"/>
  <c r="U3032" i="1"/>
  <c r="V3032" i="1"/>
  <c r="W3032" i="1"/>
  <c r="X3032" i="1"/>
  <c r="Y3032" i="1"/>
  <c r="Z3032" i="1"/>
  <c r="AB3032" i="1"/>
  <c r="AF3032" i="1"/>
  <c r="AI3032" i="1"/>
  <c r="H3033" i="1"/>
  <c r="AE3033" i="1"/>
  <c r="I3033" i="1"/>
  <c r="J3033" i="1"/>
  <c r="K3033" i="1"/>
  <c r="AC3033" i="1"/>
  <c r="AJ3032" i="1"/>
  <c r="AK3032" i="1"/>
  <c r="AM3032" i="1"/>
  <c r="BG3032" i="1"/>
  <c r="T3033" i="1"/>
  <c r="U3033" i="1"/>
  <c r="V3033" i="1"/>
  <c r="W3033" i="1"/>
  <c r="X3033" i="1"/>
  <c r="Y3033" i="1"/>
  <c r="Z3033" i="1"/>
  <c r="AB3033" i="1"/>
  <c r="AF3033" i="1"/>
  <c r="AI3033" i="1"/>
  <c r="AE3034" i="1"/>
  <c r="AC3034" i="1"/>
  <c r="AJ3033" i="1"/>
  <c r="AK3033" i="1"/>
  <c r="AM3033" i="1"/>
  <c r="BF3033" i="1"/>
  <c r="BG3033" i="1"/>
  <c r="T3034" i="1"/>
  <c r="U3034" i="1"/>
  <c r="V3034" i="1"/>
  <c r="W3034" i="1"/>
  <c r="X3034" i="1"/>
  <c r="Y3034" i="1"/>
  <c r="Z3034" i="1"/>
  <c r="AB3034" i="1"/>
  <c r="AF3034" i="1"/>
  <c r="AI3034" i="1"/>
  <c r="AE3035" i="1"/>
  <c r="AC3035" i="1"/>
  <c r="AJ3034" i="1"/>
  <c r="AK3034" i="1"/>
  <c r="AM3034" i="1"/>
  <c r="BF3034" i="1"/>
  <c r="BG3034" i="1"/>
  <c r="T3035" i="1"/>
  <c r="U3035" i="1"/>
  <c r="V3035" i="1"/>
  <c r="W3035" i="1"/>
  <c r="X3035" i="1"/>
  <c r="Y3035" i="1"/>
  <c r="Z3035" i="1"/>
  <c r="AB3035" i="1"/>
  <c r="AF3035" i="1"/>
  <c r="AI3035" i="1"/>
  <c r="AE3036" i="1"/>
  <c r="AC3036" i="1"/>
  <c r="AJ3035" i="1"/>
  <c r="AK3035" i="1"/>
  <c r="AM3035" i="1"/>
  <c r="BF3035" i="1"/>
  <c r="BG3035" i="1"/>
  <c r="T3036" i="1"/>
  <c r="U3036" i="1"/>
  <c r="V3036" i="1"/>
  <c r="W3036" i="1"/>
  <c r="X3036" i="1"/>
  <c r="Y3036" i="1"/>
  <c r="Z3036" i="1"/>
  <c r="AB3036" i="1"/>
  <c r="AF3036" i="1"/>
  <c r="AI3036" i="1"/>
  <c r="H3037" i="1"/>
  <c r="AE3037" i="1"/>
  <c r="I3037" i="1"/>
  <c r="J3037" i="1"/>
  <c r="K3037" i="1"/>
  <c r="AC3037" i="1"/>
  <c r="AJ3036" i="1"/>
  <c r="AK3036" i="1"/>
  <c r="AM3036" i="1"/>
  <c r="BG3036" i="1"/>
  <c r="T3037" i="1"/>
  <c r="U3037" i="1"/>
  <c r="V3037" i="1"/>
  <c r="W3037" i="1"/>
  <c r="X3037" i="1"/>
  <c r="Y3037" i="1"/>
  <c r="Z3037" i="1"/>
  <c r="AB3037" i="1"/>
  <c r="AF3037" i="1"/>
  <c r="AI3037" i="1"/>
  <c r="H3038" i="1"/>
  <c r="AE3038" i="1"/>
  <c r="I3038" i="1"/>
  <c r="J3038" i="1"/>
  <c r="K3038" i="1"/>
  <c r="AC3038" i="1"/>
  <c r="AJ3037" i="1"/>
  <c r="AK3037" i="1"/>
  <c r="AM3037" i="1"/>
  <c r="BF3037" i="1"/>
  <c r="BG3037" i="1"/>
  <c r="T3038" i="1"/>
  <c r="U3038" i="1"/>
  <c r="V3038" i="1"/>
  <c r="W3038" i="1"/>
  <c r="X3038" i="1"/>
  <c r="Y3038" i="1"/>
  <c r="Z3038" i="1"/>
  <c r="AB3038" i="1"/>
  <c r="AF3038" i="1"/>
  <c r="AI3038" i="1"/>
  <c r="H3039" i="1"/>
  <c r="AE3039" i="1"/>
  <c r="I3039" i="1"/>
  <c r="J3039" i="1"/>
  <c r="K3039" i="1"/>
  <c r="AC3039" i="1"/>
  <c r="AJ3038" i="1"/>
  <c r="AK3038" i="1"/>
  <c r="AM3038" i="1"/>
  <c r="BF3038" i="1"/>
  <c r="BG3038" i="1"/>
  <c r="T3039" i="1"/>
  <c r="U3039" i="1"/>
  <c r="V3039" i="1"/>
  <c r="W3039" i="1"/>
  <c r="X3039" i="1"/>
  <c r="Y3039" i="1"/>
  <c r="Z3039" i="1"/>
  <c r="AB3039" i="1"/>
  <c r="AF3039" i="1"/>
  <c r="AI3039" i="1"/>
  <c r="H3040" i="1"/>
  <c r="AE3040" i="1"/>
  <c r="I3040" i="1"/>
  <c r="J3040" i="1"/>
  <c r="K3040" i="1"/>
  <c r="AC3040" i="1"/>
  <c r="AJ3039" i="1"/>
  <c r="AK3039" i="1"/>
  <c r="AM3039" i="1"/>
  <c r="BF3039" i="1"/>
  <c r="BG3039" i="1"/>
  <c r="T3040" i="1"/>
  <c r="U3040" i="1"/>
  <c r="V3040" i="1"/>
  <c r="W3040" i="1"/>
  <c r="X3040" i="1"/>
  <c r="Y3040" i="1"/>
  <c r="Z3040" i="1"/>
  <c r="AB3040" i="1"/>
  <c r="AF3040" i="1"/>
  <c r="AI3040" i="1"/>
  <c r="H3041" i="1"/>
  <c r="AE3041" i="1"/>
  <c r="I3041" i="1"/>
  <c r="J3041" i="1"/>
  <c r="K3041" i="1"/>
  <c r="AC3041" i="1"/>
  <c r="AJ3040" i="1"/>
  <c r="AK3040" i="1"/>
  <c r="AM3040" i="1"/>
  <c r="BF3040" i="1"/>
  <c r="BG3040" i="1"/>
  <c r="T3041" i="1"/>
  <c r="U3041" i="1"/>
  <c r="V3041" i="1"/>
  <c r="W3041" i="1"/>
  <c r="X3041" i="1"/>
  <c r="Y3041" i="1"/>
  <c r="Z3041" i="1"/>
  <c r="AB3041" i="1"/>
  <c r="AF3041" i="1"/>
  <c r="AI3041" i="1"/>
  <c r="AE3042" i="1"/>
  <c r="AC3042" i="1"/>
  <c r="AJ3041" i="1"/>
  <c r="AK3041" i="1"/>
  <c r="AM3041" i="1"/>
  <c r="BF3041" i="1"/>
  <c r="BG3041" i="1"/>
  <c r="T3042" i="1"/>
  <c r="U3042" i="1"/>
  <c r="V3042" i="1"/>
  <c r="W3042" i="1"/>
  <c r="X3042" i="1"/>
  <c r="Y3042" i="1"/>
  <c r="Z3042" i="1"/>
  <c r="AB3042" i="1"/>
  <c r="AF3042" i="1"/>
  <c r="AI3042" i="1"/>
  <c r="AE3043" i="1"/>
  <c r="AC3043" i="1"/>
  <c r="AJ3042" i="1"/>
  <c r="AK3042" i="1"/>
  <c r="AM3042" i="1"/>
  <c r="BF3042" i="1"/>
  <c r="BG3042" i="1"/>
  <c r="T3043" i="1"/>
  <c r="U3043" i="1"/>
  <c r="V3043" i="1"/>
  <c r="W3043" i="1"/>
  <c r="X3043" i="1"/>
  <c r="Y3043" i="1"/>
  <c r="Z3043" i="1"/>
  <c r="AB3043" i="1"/>
  <c r="AF3043" i="1"/>
  <c r="AI3043" i="1"/>
  <c r="H3044" i="1"/>
  <c r="AE3044" i="1"/>
  <c r="I3044" i="1"/>
  <c r="J3044" i="1"/>
  <c r="K3044" i="1"/>
  <c r="AC3044" i="1"/>
  <c r="AJ3043" i="1"/>
  <c r="AK3043" i="1"/>
  <c r="AM3043" i="1"/>
  <c r="BG3043" i="1"/>
  <c r="T3044" i="1"/>
  <c r="U3044" i="1"/>
  <c r="V3044" i="1"/>
  <c r="W3044" i="1"/>
  <c r="X3044" i="1"/>
  <c r="Y3044" i="1"/>
  <c r="Z3044" i="1"/>
  <c r="AB3044" i="1"/>
  <c r="AF3044" i="1"/>
  <c r="AI3044" i="1"/>
  <c r="AE3045" i="1"/>
  <c r="AC3045" i="1"/>
  <c r="AJ3044" i="1"/>
  <c r="AK3044" i="1"/>
  <c r="AM3044" i="1"/>
  <c r="BF3044" i="1"/>
  <c r="BG3044" i="1"/>
  <c r="T3045" i="1"/>
  <c r="U3045" i="1"/>
  <c r="V3045" i="1"/>
  <c r="W3045" i="1"/>
  <c r="X3045" i="1"/>
  <c r="Y3045" i="1"/>
  <c r="Z3045" i="1"/>
  <c r="AB3045" i="1"/>
  <c r="AF3045" i="1"/>
  <c r="AI3045" i="1"/>
  <c r="AE3046" i="1"/>
  <c r="AC3046" i="1"/>
  <c r="AJ3045" i="1"/>
  <c r="AK3045" i="1"/>
  <c r="AM3045" i="1"/>
  <c r="BF3045" i="1"/>
  <c r="BG3045" i="1"/>
  <c r="T3046" i="1"/>
  <c r="U3046" i="1"/>
  <c r="V3046" i="1"/>
  <c r="W3046" i="1"/>
  <c r="X3046" i="1"/>
  <c r="Y3046" i="1"/>
  <c r="Z3046" i="1"/>
  <c r="AB3046" i="1"/>
  <c r="AF3046" i="1"/>
  <c r="AI3046" i="1"/>
  <c r="AE3047" i="1"/>
  <c r="AC3047" i="1"/>
  <c r="AJ3046" i="1"/>
  <c r="AK3046" i="1"/>
  <c r="AM3046" i="1"/>
  <c r="BF3046" i="1"/>
  <c r="BG3046" i="1"/>
  <c r="T3047" i="1"/>
  <c r="U3047" i="1"/>
  <c r="V3047" i="1"/>
  <c r="W3047" i="1"/>
  <c r="X3047" i="1"/>
  <c r="Y3047" i="1"/>
  <c r="Z3047" i="1"/>
  <c r="AB3047" i="1"/>
  <c r="AF3047" i="1"/>
  <c r="AI3047" i="1"/>
  <c r="H3048" i="1"/>
  <c r="AE3048" i="1"/>
  <c r="I3048" i="1"/>
  <c r="J3048" i="1"/>
  <c r="K3048" i="1"/>
  <c r="AC3048" i="1"/>
  <c r="AJ3047" i="1"/>
  <c r="AK3047" i="1"/>
  <c r="AM3047" i="1"/>
  <c r="BG3047" i="1"/>
  <c r="T3048" i="1"/>
  <c r="U3048" i="1"/>
  <c r="V3048" i="1"/>
  <c r="W3048" i="1"/>
  <c r="X3048" i="1"/>
  <c r="Y3048" i="1"/>
  <c r="Z3048" i="1"/>
  <c r="AB3048" i="1"/>
  <c r="AF3048" i="1"/>
  <c r="AI3048" i="1"/>
  <c r="H3049" i="1"/>
  <c r="AE3049" i="1"/>
  <c r="I3049" i="1"/>
  <c r="J3049" i="1"/>
  <c r="K3049" i="1"/>
  <c r="AC3049" i="1"/>
  <c r="AJ3048" i="1"/>
  <c r="AK3048" i="1"/>
  <c r="AM3048" i="1"/>
  <c r="BF3048" i="1"/>
  <c r="BG3048" i="1"/>
  <c r="T3049" i="1"/>
  <c r="U3049" i="1"/>
  <c r="V3049" i="1"/>
  <c r="W3049" i="1"/>
  <c r="X3049" i="1"/>
  <c r="Y3049" i="1"/>
  <c r="Z3049" i="1"/>
  <c r="AB3049" i="1"/>
  <c r="AF3049" i="1"/>
  <c r="AI3049" i="1"/>
  <c r="H3050" i="1"/>
  <c r="AE3050" i="1"/>
  <c r="I3050" i="1"/>
  <c r="J3050" i="1"/>
  <c r="K3050" i="1"/>
  <c r="AC3050" i="1"/>
  <c r="AJ3049" i="1"/>
  <c r="AK3049" i="1"/>
  <c r="AM3049" i="1"/>
  <c r="BF3049" i="1"/>
  <c r="BG3049" i="1"/>
  <c r="T3050" i="1"/>
  <c r="U3050" i="1"/>
  <c r="V3050" i="1"/>
  <c r="W3050" i="1"/>
  <c r="X3050" i="1"/>
  <c r="Y3050" i="1"/>
  <c r="Z3050" i="1"/>
  <c r="AB3050" i="1"/>
  <c r="AF3050" i="1"/>
  <c r="AI3050" i="1"/>
  <c r="H3051" i="1"/>
  <c r="AE3051" i="1"/>
  <c r="I3051" i="1"/>
  <c r="J3051" i="1"/>
  <c r="K3051" i="1"/>
  <c r="AC3051" i="1"/>
  <c r="AJ3050" i="1"/>
  <c r="AK3050" i="1"/>
  <c r="AM3050" i="1"/>
  <c r="BF3050" i="1"/>
  <c r="BG3050" i="1"/>
  <c r="T3051" i="1"/>
  <c r="U3051" i="1"/>
  <c r="V3051" i="1"/>
  <c r="W3051" i="1"/>
  <c r="X3051" i="1"/>
  <c r="Y3051" i="1"/>
  <c r="Z3051" i="1"/>
  <c r="AB3051" i="1"/>
  <c r="AF3051" i="1"/>
  <c r="AI3051" i="1"/>
  <c r="H3052" i="1"/>
  <c r="AE3052" i="1"/>
  <c r="I3052" i="1"/>
  <c r="J3052" i="1"/>
  <c r="K3052" i="1"/>
  <c r="AC3052" i="1"/>
  <c r="AJ3051" i="1"/>
  <c r="AK3051" i="1"/>
  <c r="AM3051" i="1"/>
  <c r="BF3051" i="1"/>
  <c r="BG3051" i="1"/>
  <c r="T3052" i="1"/>
  <c r="U3052" i="1"/>
  <c r="V3052" i="1"/>
  <c r="W3052" i="1"/>
  <c r="X3052" i="1"/>
  <c r="Y3052" i="1"/>
  <c r="Z3052" i="1"/>
  <c r="AB3052" i="1"/>
  <c r="AF3052" i="1"/>
  <c r="AI3052" i="1"/>
  <c r="H3053" i="1"/>
  <c r="AE3053" i="1"/>
  <c r="I3053" i="1"/>
  <c r="J3053" i="1"/>
  <c r="K3053" i="1"/>
  <c r="AC3053" i="1"/>
  <c r="AJ3052" i="1"/>
  <c r="AK3052" i="1"/>
  <c r="AM3052" i="1"/>
  <c r="BF3052" i="1"/>
  <c r="BG3052" i="1"/>
  <c r="T3053" i="1"/>
  <c r="U3053" i="1"/>
  <c r="V3053" i="1"/>
  <c r="W3053" i="1"/>
  <c r="X3053" i="1"/>
  <c r="Y3053" i="1"/>
  <c r="Z3053" i="1"/>
  <c r="AB3053" i="1"/>
  <c r="AF3053" i="1"/>
  <c r="AI3053" i="1"/>
  <c r="H3054" i="1"/>
  <c r="AE3054" i="1"/>
  <c r="I3054" i="1"/>
  <c r="J3054" i="1"/>
  <c r="K3054" i="1"/>
  <c r="AC3054" i="1"/>
  <c r="AJ3053" i="1"/>
  <c r="AK3053" i="1"/>
  <c r="AM3053" i="1"/>
  <c r="BF3053" i="1"/>
  <c r="BG3053" i="1"/>
  <c r="T3054" i="1"/>
  <c r="U3054" i="1"/>
  <c r="V3054" i="1"/>
  <c r="W3054" i="1"/>
  <c r="X3054" i="1"/>
  <c r="Y3054" i="1"/>
  <c r="Z3054" i="1"/>
  <c r="AB3054" i="1"/>
  <c r="AF3054" i="1"/>
  <c r="AI3054" i="1"/>
  <c r="H3055" i="1"/>
  <c r="AE3055" i="1"/>
  <c r="I3055" i="1"/>
  <c r="J3055" i="1"/>
  <c r="K3055" i="1"/>
  <c r="AC3055" i="1"/>
  <c r="AJ3054" i="1"/>
  <c r="AK3054" i="1"/>
  <c r="AM3054" i="1"/>
  <c r="BF3054" i="1"/>
  <c r="BG3054" i="1"/>
  <c r="T3055" i="1"/>
  <c r="U3055" i="1"/>
  <c r="V3055" i="1"/>
  <c r="W3055" i="1"/>
  <c r="X3055" i="1"/>
  <c r="Y3055" i="1"/>
  <c r="Z3055" i="1"/>
  <c r="AB3055" i="1"/>
  <c r="AF3055" i="1"/>
  <c r="AI3055" i="1"/>
  <c r="AE3056" i="1"/>
  <c r="AC3056" i="1"/>
  <c r="AJ3055" i="1"/>
  <c r="AK3055" i="1"/>
  <c r="AM3055" i="1"/>
  <c r="BF3055" i="1"/>
  <c r="BG3055" i="1"/>
  <c r="T3056" i="1"/>
  <c r="U3056" i="1"/>
  <c r="V3056" i="1"/>
  <c r="W3056" i="1"/>
  <c r="X3056" i="1"/>
  <c r="Y3056" i="1"/>
  <c r="Z3056" i="1"/>
  <c r="AB3056" i="1"/>
  <c r="AF3056" i="1"/>
  <c r="AI3056" i="1"/>
  <c r="AE3057" i="1"/>
  <c r="AC3057" i="1"/>
  <c r="AJ3056" i="1"/>
  <c r="AK3056" i="1"/>
  <c r="AM3056" i="1"/>
  <c r="BF3056" i="1"/>
  <c r="BG3056" i="1"/>
  <c r="T3057" i="1"/>
  <c r="U3057" i="1"/>
  <c r="V3057" i="1"/>
  <c r="W3057" i="1"/>
  <c r="X3057" i="1"/>
  <c r="Y3057" i="1"/>
  <c r="Z3057" i="1"/>
  <c r="AB3057" i="1"/>
  <c r="AF3057" i="1"/>
  <c r="AI3057" i="1"/>
  <c r="H3058" i="1"/>
  <c r="AE3058" i="1"/>
  <c r="I3058" i="1"/>
  <c r="J3058" i="1"/>
  <c r="K3058" i="1"/>
  <c r="AC3058" i="1"/>
  <c r="AJ3057" i="1"/>
  <c r="AK3057" i="1"/>
  <c r="AM3057" i="1"/>
  <c r="BG3057" i="1"/>
  <c r="T3058" i="1"/>
  <c r="U3058" i="1"/>
  <c r="V3058" i="1"/>
  <c r="W3058" i="1"/>
  <c r="X3058" i="1"/>
  <c r="Y3058" i="1"/>
  <c r="Z3058" i="1"/>
  <c r="AB3058" i="1"/>
  <c r="AF3058" i="1"/>
  <c r="AI3058" i="1"/>
  <c r="AE3059" i="1"/>
  <c r="AC3059" i="1"/>
  <c r="AJ3058" i="1"/>
  <c r="AK3058" i="1"/>
  <c r="AM3058" i="1"/>
  <c r="BF3058" i="1"/>
  <c r="BG3058" i="1"/>
  <c r="T3059" i="1"/>
  <c r="U3059" i="1"/>
  <c r="V3059" i="1"/>
  <c r="W3059" i="1"/>
  <c r="X3059" i="1"/>
  <c r="Y3059" i="1"/>
  <c r="Z3059" i="1"/>
  <c r="AB3059" i="1"/>
  <c r="AF3059" i="1"/>
  <c r="AI3059" i="1"/>
  <c r="AE3060" i="1"/>
  <c r="AC3060" i="1"/>
  <c r="AJ3059" i="1"/>
  <c r="AK3059" i="1"/>
  <c r="AM3059" i="1"/>
  <c r="BF3059" i="1"/>
  <c r="BG3059" i="1"/>
  <c r="T3060" i="1"/>
  <c r="U3060" i="1"/>
  <c r="V3060" i="1"/>
  <c r="W3060" i="1"/>
  <c r="X3060" i="1"/>
  <c r="Y3060" i="1"/>
  <c r="Z3060" i="1"/>
  <c r="AB3060" i="1"/>
  <c r="AF3060" i="1"/>
  <c r="AI3060" i="1"/>
  <c r="H3061" i="1"/>
  <c r="AE3061" i="1"/>
  <c r="I3061" i="1"/>
  <c r="J3061" i="1"/>
  <c r="K3061" i="1"/>
  <c r="AC3061" i="1"/>
  <c r="AJ3060" i="1"/>
  <c r="AK3060" i="1"/>
  <c r="AM3060" i="1"/>
  <c r="BG3060" i="1"/>
  <c r="T3061" i="1"/>
  <c r="U3061" i="1"/>
  <c r="V3061" i="1"/>
  <c r="W3061" i="1"/>
  <c r="X3061" i="1"/>
  <c r="Y3061" i="1"/>
  <c r="Z3061" i="1"/>
  <c r="AB3061" i="1"/>
  <c r="AF3061" i="1"/>
  <c r="AI3061" i="1"/>
  <c r="H3062" i="1"/>
  <c r="AE3062" i="1"/>
  <c r="I3062" i="1"/>
  <c r="J3062" i="1"/>
  <c r="K3062" i="1"/>
  <c r="AC3062" i="1"/>
  <c r="AJ3061" i="1"/>
  <c r="AK3061" i="1"/>
  <c r="AM3061" i="1"/>
  <c r="BF3061" i="1"/>
  <c r="BG3061" i="1"/>
  <c r="T3062" i="1"/>
  <c r="U3062" i="1"/>
  <c r="V3062" i="1"/>
  <c r="W3062" i="1"/>
  <c r="X3062" i="1"/>
  <c r="Y3062" i="1"/>
  <c r="Z3062" i="1"/>
  <c r="AB3062" i="1"/>
  <c r="AF3062" i="1"/>
  <c r="AI3062" i="1"/>
  <c r="AE3063" i="1"/>
  <c r="AC3063" i="1"/>
  <c r="AJ3062" i="1"/>
  <c r="AK3062" i="1"/>
  <c r="AM3062" i="1"/>
  <c r="BF3062" i="1"/>
  <c r="BG3062" i="1"/>
  <c r="T3063" i="1"/>
  <c r="U3063" i="1"/>
  <c r="V3063" i="1"/>
  <c r="W3063" i="1"/>
  <c r="X3063" i="1"/>
  <c r="Y3063" i="1"/>
  <c r="Z3063" i="1"/>
  <c r="AB3063" i="1"/>
  <c r="AF3063" i="1"/>
  <c r="AI3063" i="1"/>
  <c r="AE3064" i="1"/>
  <c r="AC3064" i="1"/>
  <c r="AJ3063" i="1"/>
  <c r="AK3063" i="1"/>
  <c r="AM3063" i="1"/>
  <c r="BF3063" i="1"/>
  <c r="BG3063" i="1"/>
  <c r="T3064" i="1"/>
  <c r="U3064" i="1"/>
  <c r="V3064" i="1"/>
  <c r="W3064" i="1"/>
  <c r="X3064" i="1"/>
  <c r="Y3064" i="1"/>
  <c r="Z3064" i="1"/>
  <c r="AB3064" i="1"/>
  <c r="AF3064" i="1"/>
  <c r="AI3064" i="1"/>
  <c r="AE3065" i="1"/>
  <c r="AC3065" i="1"/>
  <c r="AJ3064" i="1"/>
  <c r="AK3064" i="1"/>
  <c r="AM3064" i="1"/>
  <c r="BF3064" i="1"/>
  <c r="BG3064" i="1"/>
  <c r="T3065" i="1"/>
  <c r="U3065" i="1"/>
  <c r="V3065" i="1"/>
  <c r="W3065" i="1"/>
  <c r="X3065" i="1"/>
  <c r="Y3065" i="1"/>
  <c r="Z3065" i="1"/>
  <c r="AB3065" i="1"/>
  <c r="AF3065" i="1"/>
  <c r="AI3065" i="1"/>
  <c r="AE3066" i="1"/>
  <c r="AC3066" i="1"/>
  <c r="AJ3065" i="1"/>
  <c r="AK3065" i="1"/>
  <c r="AM3065" i="1"/>
  <c r="BF3065" i="1"/>
  <c r="BG3065" i="1"/>
  <c r="T3066" i="1"/>
  <c r="U3066" i="1"/>
  <c r="V3066" i="1"/>
  <c r="W3066" i="1"/>
  <c r="X3066" i="1"/>
  <c r="Y3066" i="1"/>
  <c r="Z3066" i="1"/>
  <c r="AB3066" i="1"/>
  <c r="AF3066" i="1"/>
  <c r="AI3066" i="1"/>
  <c r="H3067" i="1"/>
  <c r="AE3067" i="1"/>
  <c r="I3067" i="1"/>
  <c r="J3067" i="1"/>
  <c r="K3067" i="1"/>
  <c r="AC3067" i="1"/>
  <c r="AJ3066" i="1"/>
  <c r="AK3066" i="1"/>
  <c r="AM3066" i="1"/>
  <c r="BG3066" i="1"/>
  <c r="T3067" i="1"/>
  <c r="U3067" i="1"/>
  <c r="V3067" i="1"/>
  <c r="W3067" i="1"/>
  <c r="X3067" i="1"/>
  <c r="Y3067" i="1"/>
  <c r="Z3067" i="1"/>
  <c r="AB3067" i="1"/>
  <c r="AF3067" i="1"/>
  <c r="AI3067" i="1"/>
  <c r="H3068" i="1"/>
  <c r="AE3068" i="1"/>
  <c r="I3068" i="1"/>
  <c r="J3068" i="1"/>
  <c r="K3068" i="1"/>
  <c r="AC3068" i="1"/>
  <c r="AJ3067" i="1"/>
  <c r="AK3067" i="1"/>
  <c r="AM3067" i="1"/>
  <c r="BF3067" i="1"/>
  <c r="BG3067" i="1"/>
  <c r="T3068" i="1"/>
  <c r="U3068" i="1"/>
  <c r="V3068" i="1"/>
  <c r="W3068" i="1"/>
  <c r="X3068" i="1"/>
  <c r="Y3068" i="1"/>
  <c r="Z3068" i="1"/>
  <c r="AB3068" i="1"/>
  <c r="AF3068" i="1"/>
  <c r="AI3068" i="1"/>
  <c r="AE3069" i="1"/>
  <c r="AC3069" i="1"/>
  <c r="AJ3068" i="1"/>
  <c r="AK3068" i="1"/>
  <c r="AM3068" i="1"/>
  <c r="BF3068" i="1"/>
  <c r="BG3068" i="1"/>
  <c r="T3069" i="1"/>
  <c r="U3069" i="1"/>
  <c r="V3069" i="1"/>
  <c r="W3069" i="1"/>
  <c r="X3069" i="1"/>
  <c r="Y3069" i="1"/>
  <c r="Z3069" i="1"/>
  <c r="AB3069" i="1"/>
  <c r="AF3069" i="1"/>
  <c r="AI3069" i="1"/>
  <c r="AE3070" i="1"/>
  <c r="AC3070" i="1"/>
  <c r="AJ3069" i="1"/>
  <c r="AK3069" i="1"/>
  <c r="AM3069" i="1"/>
  <c r="BF3069" i="1"/>
  <c r="BG3069" i="1"/>
  <c r="T3070" i="1"/>
  <c r="U3070" i="1"/>
  <c r="V3070" i="1"/>
  <c r="W3070" i="1"/>
  <c r="X3070" i="1"/>
  <c r="Y3070" i="1"/>
  <c r="Z3070" i="1"/>
  <c r="AB3070" i="1"/>
  <c r="AF3070" i="1"/>
  <c r="AI3070" i="1"/>
  <c r="H3071" i="1"/>
  <c r="AE3071" i="1"/>
  <c r="I3071" i="1"/>
  <c r="J3071" i="1"/>
  <c r="K3071" i="1"/>
  <c r="AC3071" i="1"/>
  <c r="AJ3070" i="1"/>
  <c r="AK3070" i="1"/>
  <c r="AM3070" i="1"/>
  <c r="BG3070" i="1"/>
  <c r="T3071" i="1"/>
  <c r="U3071" i="1"/>
  <c r="V3071" i="1"/>
  <c r="W3071" i="1"/>
  <c r="X3071" i="1"/>
  <c r="Y3071" i="1"/>
  <c r="Z3071" i="1"/>
  <c r="AB3071" i="1"/>
  <c r="AF3071" i="1"/>
  <c r="AI3071" i="1"/>
  <c r="AE3072" i="1"/>
  <c r="AC3072" i="1"/>
  <c r="AJ3071" i="1"/>
  <c r="AK3071" i="1"/>
  <c r="AM3071" i="1"/>
  <c r="BF3071" i="1"/>
  <c r="BG3071" i="1"/>
  <c r="T3072" i="1"/>
  <c r="U3072" i="1"/>
  <c r="V3072" i="1"/>
  <c r="W3072" i="1"/>
  <c r="X3072" i="1"/>
  <c r="Y3072" i="1"/>
  <c r="Z3072" i="1"/>
  <c r="AB3072" i="1"/>
  <c r="AF3072" i="1"/>
  <c r="AI3072" i="1"/>
  <c r="AE3073" i="1"/>
  <c r="AC3073" i="1"/>
  <c r="AJ3072" i="1"/>
  <c r="AK3072" i="1"/>
  <c r="AM3072" i="1"/>
  <c r="BF3072" i="1"/>
  <c r="BG3072" i="1"/>
  <c r="T3073" i="1"/>
  <c r="U3073" i="1"/>
  <c r="V3073" i="1"/>
  <c r="W3073" i="1"/>
  <c r="X3073" i="1"/>
  <c r="Y3073" i="1"/>
  <c r="Z3073" i="1"/>
  <c r="AB3073" i="1"/>
  <c r="AF3073" i="1"/>
  <c r="AI3073" i="1"/>
  <c r="H3074" i="1"/>
  <c r="AE3074" i="1"/>
  <c r="I3074" i="1"/>
  <c r="J3074" i="1"/>
  <c r="K3074" i="1"/>
  <c r="AC3074" i="1"/>
  <c r="AJ3073" i="1"/>
  <c r="AK3073" i="1"/>
  <c r="AM3073" i="1"/>
  <c r="BG3073" i="1"/>
  <c r="T3074" i="1"/>
  <c r="U3074" i="1"/>
  <c r="V3074" i="1"/>
  <c r="W3074" i="1"/>
  <c r="X3074" i="1"/>
  <c r="Y3074" i="1"/>
  <c r="Z3074" i="1"/>
  <c r="AB3074" i="1"/>
  <c r="AF3074" i="1"/>
  <c r="AI3074" i="1"/>
  <c r="AE3075" i="1"/>
  <c r="AC3075" i="1"/>
  <c r="AJ3074" i="1"/>
  <c r="AK3074" i="1"/>
  <c r="AM3074" i="1"/>
  <c r="BF3074" i="1"/>
  <c r="BG3074" i="1"/>
  <c r="T3075" i="1"/>
  <c r="U3075" i="1"/>
  <c r="V3075" i="1"/>
  <c r="W3075" i="1"/>
  <c r="X3075" i="1"/>
  <c r="Y3075" i="1"/>
  <c r="Z3075" i="1"/>
  <c r="AB3075" i="1"/>
  <c r="AF3075" i="1"/>
  <c r="AI3075" i="1"/>
  <c r="AE3076" i="1"/>
  <c r="AC3076" i="1"/>
  <c r="AJ3075" i="1"/>
  <c r="AK3075" i="1"/>
  <c r="AM3075" i="1"/>
  <c r="BF3075" i="1"/>
  <c r="BG3075" i="1"/>
  <c r="T3076" i="1"/>
  <c r="U3076" i="1"/>
  <c r="V3076" i="1"/>
  <c r="W3076" i="1"/>
  <c r="X3076" i="1"/>
  <c r="Y3076" i="1"/>
  <c r="Z3076" i="1"/>
  <c r="AB3076" i="1"/>
  <c r="AF3076" i="1"/>
  <c r="AI3076" i="1"/>
  <c r="H3077" i="1"/>
  <c r="AE3077" i="1"/>
  <c r="I3077" i="1"/>
  <c r="J3077" i="1"/>
  <c r="K3077" i="1"/>
  <c r="AC3077" i="1"/>
  <c r="AJ3076" i="1"/>
  <c r="AK3076" i="1"/>
  <c r="AM3076" i="1"/>
  <c r="BG3076" i="1"/>
  <c r="T3077" i="1"/>
  <c r="U3077" i="1"/>
  <c r="V3077" i="1"/>
  <c r="W3077" i="1"/>
  <c r="X3077" i="1"/>
  <c r="Y3077" i="1"/>
  <c r="Z3077" i="1"/>
  <c r="AB3077" i="1"/>
  <c r="AF3077" i="1"/>
  <c r="AI3077" i="1"/>
  <c r="H3078" i="1"/>
  <c r="AE3078" i="1"/>
  <c r="I3078" i="1"/>
  <c r="J3078" i="1"/>
  <c r="K3078" i="1"/>
  <c r="AC3078" i="1"/>
  <c r="AJ3077" i="1"/>
  <c r="AK3077" i="1"/>
  <c r="AM3077" i="1"/>
  <c r="BF3077" i="1"/>
  <c r="BG3077" i="1"/>
  <c r="T3078" i="1"/>
  <c r="U3078" i="1"/>
  <c r="V3078" i="1"/>
  <c r="W3078" i="1"/>
  <c r="X3078" i="1"/>
  <c r="Y3078" i="1"/>
  <c r="Z3078" i="1"/>
  <c r="AB3078" i="1"/>
  <c r="AF3078" i="1"/>
  <c r="AI3078" i="1"/>
  <c r="H3079" i="1"/>
  <c r="AE3079" i="1"/>
  <c r="I3079" i="1"/>
  <c r="J3079" i="1"/>
  <c r="K3079" i="1"/>
  <c r="AC3079" i="1"/>
  <c r="AJ3078" i="1"/>
  <c r="AK3078" i="1"/>
  <c r="AM3078" i="1"/>
  <c r="BF3078" i="1"/>
  <c r="BG3078" i="1"/>
  <c r="T3079" i="1"/>
  <c r="U3079" i="1"/>
  <c r="V3079" i="1"/>
  <c r="W3079" i="1"/>
  <c r="X3079" i="1"/>
  <c r="Y3079" i="1"/>
  <c r="Z3079" i="1"/>
  <c r="AB3079" i="1"/>
  <c r="AF3079" i="1"/>
  <c r="AI3079" i="1"/>
  <c r="H3080" i="1"/>
  <c r="AE3080" i="1"/>
  <c r="I3080" i="1"/>
  <c r="J3080" i="1"/>
  <c r="K3080" i="1"/>
  <c r="AC3080" i="1"/>
  <c r="AJ3079" i="1"/>
  <c r="AK3079" i="1"/>
  <c r="AM3079" i="1"/>
  <c r="BF3079" i="1"/>
  <c r="BG3079" i="1"/>
  <c r="T3080" i="1"/>
  <c r="U3080" i="1"/>
  <c r="V3080" i="1"/>
  <c r="W3080" i="1"/>
  <c r="X3080" i="1"/>
  <c r="Y3080" i="1"/>
  <c r="Z3080" i="1"/>
  <c r="AB3080" i="1"/>
  <c r="AF3080" i="1"/>
  <c r="AI3080" i="1"/>
  <c r="H3081" i="1"/>
  <c r="AE3081" i="1"/>
  <c r="I3081" i="1"/>
  <c r="J3081" i="1"/>
  <c r="K3081" i="1"/>
  <c r="AC3081" i="1"/>
  <c r="AJ3080" i="1"/>
  <c r="AK3080" i="1"/>
  <c r="AM3080" i="1"/>
  <c r="BF3080" i="1"/>
  <c r="BG3080" i="1"/>
  <c r="T3081" i="1"/>
  <c r="U3081" i="1"/>
  <c r="V3081" i="1"/>
  <c r="W3081" i="1"/>
  <c r="X3081" i="1"/>
  <c r="Y3081" i="1"/>
  <c r="Z3081" i="1"/>
  <c r="AB3081" i="1"/>
  <c r="AF3081" i="1"/>
  <c r="AI3081" i="1"/>
  <c r="AE3082" i="1"/>
  <c r="AC3082" i="1"/>
  <c r="AJ3081" i="1"/>
  <c r="AK3081" i="1"/>
  <c r="AM3081" i="1"/>
  <c r="BF3081" i="1"/>
  <c r="BG3081" i="1"/>
  <c r="T3082" i="1"/>
  <c r="U3082" i="1"/>
  <c r="V3082" i="1"/>
  <c r="W3082" i="1"/>
  <c r="X3082" i="1"/>
  <c r="Y3082" i="1"/>
  <c r="Z3082" i="1"/>
  <c r="AB3082" i="1"/>
  <c r="AF3082" i="1"/>
  <c r="AI3082" i="1"/>
  <c r="AE3083" i="1"/>
  <c r="AC3083" i="1"/>
  <c r="AJ3082" i="1"/>
  <c r="AK3082" i="1"/>
  <c r="AM3082" i="1"/>
  <c r="BF3082" i="1"/>
  <c r="BG3082" i="1"/>
  <c r="T3083" i="1"/>
  <c r="U3083" i="1"/>
  <c r="V3083" i="1"/>
  <c r="W3083" i="1"/>
  <c r="X3083" i="1"/>
  <c r="Y3083" i="1"/>
  <c r="Z3083" i="1"/>
  <c r="AB3083" i="1"/>
  <c r="AF3083" i="1"/>
  <c r="AI3083" i="1"/>
  <c r="H3084" i="1"/>
  <c r="AE3084" i="1"/>
  <c r="I3084" i="1"/>
  <c r="J3084" i="1"/>
  <c r="K3084" i="1"/>
  <c r="AC3084" i="1"/>
  <c r="AJ3083" i="1"/>
  <c r="AK3083" i="1"/>
  <c r="AM3083" i="1"/>
  <c r="BG3083" i="1"/>
  <c r="T3084" i="1"/>
  <c r="U3084" i="1"/>
  <c r="V3084" i="1"/>
  <c r="W3084" i="1"/>
  <c r="X3084" i="1"/>
  <c r="Y3084" i="1"/>
  <c r="Z3084" i="1"/>
  <c r="AB3084" i="1"/>
  <c r="AF3084" i="1"/>
  <c r="AI3084" i="1"/>
  <c r="H3085" i="1"/>
  <c r="AE3085" i="1"/>
  <c r="I3085" i="1"/>
  <c r="J3085" i="1"/>
  <c r="K3085" i="1"/>
  <c r="AC3085" i="1"/>
  <c r="AJ3084" i="1"/>
  <c r="AK3084" i="1"/>
  <c r="AM3084" i="1"/>
  <c r="BF3084" i="1"/>
  <c r="BG3084" i="1"/>
  <c r="T3085" i="1"/>
  <c r="U3085" i="1"/>
  <c r="V3085" i="1"/>
  <c r="W3085" i="1"/>
  <c r="X3085" i="1"/>
  <c r="Y3085" i="1"/>
  <c r="Z3085" i="1"/>
  <c r="AB3085" i="1"/>
  <c r="AF3085" i="1"/>
  <c r="AI3085" i="1"/>
  <c r="H3086" i="1"/>
  <c r="AE3086" i="1"/>
  <c r="I3086" i="1"/>
  <c r="J3086" i="1"/>
  <c r="K3086" i="1"/>
  <c r="AC3086" i="1"/>
  <c r="AJ3085" i="1"/>
  <c r="AK3085" i="1"/>
  <c r="AM3085" i="1"/>
  <c r="BF3085" i="1"/>
  <c r="BG3085" i="1"/>
  <c r="T3086" i="1"/>
  <c r="U3086" i="1"/>
  <c r="V3086" i="1"/>
  <c r="W3086" i="1"/>
  <c r="X3086" i="1"/>
  <c r="Y3086" i="1"/>
  <c r="Z3086" i="1"/>
  <c r="AB3086" i="1"/>
  <c r="AF3086" i="1"/>
  <c r="AI3086" i="1"/>
  <c r="H3087" i="1"/>
  <c r="AE3087" i="1"/>
  <c r="I3087" i="1"/>
  <c r="J3087" i="1"/>
  <c r="K3087" i="1"/>
  <c r="AC3087" i="1"/>
  <c r="AJ3086" i="1"/>
  <c r="AK3086" i="1"/>
  <c r="AM3086" i="1"/>
  <c r="BF3086" i="1"/>
  <c r="BG3086" i="1"/>
  <c r="T3087" i="1"/>
  <c r="U3087" i="1"/>
  <c r="V3087" i="1"/>
  <c r="W3087" i="1"/>
  <c r="X3087" i="1"/>
  <c r="Y3087" i="1"/>
  <c r="Z3087" i="1"/>
  <c r="AB3087" i="1"/>
  <c r="AF3087" i="1"/>
  <c r="AI3087" i="1"/>
  <c r="AE3088" i="1"/>
  <c r="AC3088" i="1"/>
  <c r="AJ3087" i="1"/>
  <c r="AK3087" i="1"/>
  <c r="AM3087" i="1"/>
  <c r="BF3087" i="1"/>
  <c r="BG3087" i="1"/>
  <c r="T3088" i="1"/>
  <c r="U3088" i="1"/>
  <c r="V3088" i="1"/>
  <c r="W3088" i="1"/>
  <c r="X3088" i="1"/>
  <c r="Y3088" i="1"/>
  <c r="Z3088" i="1"/>
  <c r="AB3088" i="1"/>
  <c r="AF3088" i="1"/>
  <c r="AI3088" i="1"/>
  <c r="AE3089" i="1"/>
  <c r="AC3089" i="1"/>
  <c r="AJ3088" i="1"/>
  <c r="AK3088" i="1"/>
  <c r="AM3088" i="1"/>
  <c r="BF3088" i="1"/>
  <c r="BG3088" i="1"/>
  <c r="T3089" i="1"/>
  <c r="U3089" i="1"/>
  <c r="V3089" i="1"/>
  <c r="W3089" i="1"/>
  <c r="X3089" i="1"/>
  <c r="Y3089" i="1"/>
  <c r="Z3089" i="1"/>
  <c r="AB3089" i="1"/>
  <c r="AF3089" i="1"/>
  <c r="AI3089" i="1"/>
  <c r="H3090" i="1"/>
  <c r="AE3090" i="1"/>
  <c r="I3090" i="1"/>
  <c r="J3090" i="1"/>
  <c r="K3090" i="1"/>
  <c r="AC3090" i="1"/>
  <c r="AJ3089" i="1"/>
  <c r="AK3089" i="1"/>
  <c r="AM3089" i="1"/>
  <c r="BG3089" i="1"/>
  <c r="T3090" i="1"/>
  <c r="U3090" i="1"/>
  <c r="V3090" i="1"/>
  <c r="W3090" i="1"/>
  <c r="X3090" i="1"/>
  <c r="Y3090" i="1"/>
  <c r="Z3090" i="1"/>
  <c r="AB3090" i="1"/>
  <c r="AF3090" i="1"/>
  <c r="AI3090" i="1"/>
  <c r="H3091" i="1"/>
  <c r="AE3091" i="1"/>
  <c r="I3091" i="1"/>
  <c r="J3091" i="1"/>
  <c r="K3091" i="1"/>
  <c r="AC3091" i="1"/>
  <c r="AJ3090" i="1"/>
  <c r="AK3090" i="1"/>
  <c r="AM3090" i="1"/>
  <c r="BF3090" i="1"/>
  <c r="BG3090" i="1"/>
  <c r="T3091" i="1"/>
  <c r="U3091" i="1"/>
  <c r="V3091" i="1"/>
  <c r="W3091" i="1"/>
  <c r="X3091" i="1"/>
  <c r="Y3091" i="1"/>
  <c r="Z3091" i="1"/>
  <c r="AB3091" i="1"/>
  <c r="AF3091" i="1"/>
  <c r="AI3091" i="1"/>
  <c r="H3092" i="1"/>
  <c r="AE3092" i="1"/>
  <c r="I3092" i="1"/>
  <c r="J3092" i="1"/>
  <c r="K3092" i="1"/>
  <c r="AC3092" i="1"/>
  <c r="AJ3091" i="1"/>
  <c r="AK3091" i="1"/>
  <c r="AM3091" i="1"/>
  <c r="BF3091" i="1"/>
  <c r="BG3091" i="1"/>
  <c r="T3092" i="1"/>
  <c r="U3092" i="1"/>
  <c r="V3092" i="1"/>
  <c r="W3092" i="1"/>
  <c r="X3092" i="1"/>
  <c r="Y3092" i="1"/>
  <c r="Z3092" i="1"/>
  <c r="AB3092" i="1"/>
  <c r="AF3092" i="1"/>
  <c r="AI3092" i="1"/>
  <c r="AE3093" i="1"/>
  <c r="AC3093" i="1"/>
  <c r="AJ3092" i="1"/>
  <c r="AK3092" i="1"/>
  <c r="AM3092" i="1"/>
  <c r="BF3092" i="1"/>
  <c r="BG3092" i="1"/>
  <c r="T3093" i="1"/>
  <c r="U3093" i="1"/>
  <c r="V3093" i="1"/>
  <c r="W3093" i="1"/>
  <c r="X3093" i="1"/>
  <c r="Y3093" i="1"/>
  <c r="Z3093" i="1"/>
  <c r="AB3093" i="1"/>
  <c r="AF3093" i="1"/>
  <c r="AI3093" i="1"/>
  <c r="AE3094" i="1"/>
  <c r="AC3094" i="1"/>
  <c r="AJ3093" i="1"/>
  <c r="AK3093" i="1"/>
  <c r="AM3093" i="1"/>
  <c r="BF3093" i="1"/>
  <c r="BG3093" i="1"/>
  <c r="T3094" i="1"/>
  <c r="U3094" i="1"/>
  <c r="V3094" i="1"/>
  <c r="W3094" i="1"/>
  <c r="X3094" i="1"/>
  <c r="Y3094" i="1"/>
  <c r="Z3094" i="1"/>
  <c r="AB3094" i="1"/>
  <c r="AF3094" i="1"/>
  <c r="AI3094" i="1"/>
  <c r="H3095" i="1"/>
  <c r="AE3095" i="1"/>
  <c r="I3095" i="1"/>
  <c r="J3095" i="1"/>
  <c r="K3095" i="1"/>
  <c r="AC3095" i="1"/>
  <c r="AJ3094" i="1"/>
  <c r="AK3094" i="1"/>
  <c r="AM3094" i="1"/>
  <c r="BG3094" i="1"/>
  <c r="T3095" i="1"/>
  <c r="U3095" i="1"/>
  <c r="V3095" i="1"/>
  <c r="W3095" i="1"/>
  <c r="X3095" i="1"/>
  <c r="Y3095" i="1"/>
  <c r="Z3095" i="1"/>
  <c r="AB3095" i="1"/>
  <c r="AF3095" i="1"/>
  <c r="AI3095" i="1"/>
  <c r="H3096" i="1"/>
  <c r="AE3096" i="1"/>
  <c r="I3096" i="1"/>
  <c r="J3096" i="1"/>
  <c r="K3096" i="1"/>
  <c r="AC3096" i="1"/>
  <c r="AJ3095" i="1"/>
  <c r="AK3095" i="1"/>
  <c r="AM3095" i="1"/>
  <c r="BF3095" i="1"/>
  <c r="BG3095" i="1"/>
  <c r="T3096" i="1"/>
  <c r="U3096" i="1"/>
  <c r="V3096" i="1"/>
  <c r="W3096" i="1"/>
  <c r="X3096" i="1"/>
  <c r="Y3096" i="1"/>
  <c r="Z3096" i="1"/>
  <c r="AB3096" i="1"/>
  <c r="AF3096" i="1"/>
  <c r="AI3096" i="1"/>
  <c r="H3097" i="1"/>
  <c r="AE3097" i="1"/>
  <c r="I3097" i="1"/>
  <c r="J3097" i="1"/>
  <c r="K3097" i="1"/>
  <c r="AC3097" i="1"/>
  <c r="AJ3096" i="1"/>
  <c r="AK3096" i="1"/>
  <c r="AM3096" i="1"/>
  <c r="BF3096" i="1"/>
  <c r="BG3096" i="1"/>
  <c r="T3097" i="1"/>
  <c r="U3097" i="1"/>
  <c r="V3097" i="1"/>
  <c r="W3097" i="1"/>
  <c r="X3097" i="1"/>
  <c r="Y3097" i="1"/>
  <c r="Z3097" i="1"/>
  <c r="AB3097" i="1"/>
  <c r="AF3097" i="1"/>
  <c r="AI3097" i="1"/>
  <c r="AE3098" i="1"/>
  <c r="AC3098" i="1"/>
  <c r="AJ3097" i="1"/>
  <c r="AK3097" i="1"/>
  <c r="AM3097" i="1"/>
  <c r="BF3097" i="1"/>
  <c r="BG3097" i="1"/>
  <c r="T3098" i="1"/>
  <c r="U3098" i="1"/>
  <c r="V3098" i="1"/>
  <c r="W3098" i="1"/>
  <c r="X3098" i="1"/>
  <c r="Y3098" i="1"/>
  <c r="Z3098" i="1"/>
  <c r="AB3098" i="1"/>
  <c r="AF3098" i="1"/>
  <c r="AI3098" i="1"/>
  <c r="AE3099" i="1"/>
  <c r="AC3099" i="1"/>
  <c r="AJ3098" i="1"/>
  <c r="AK3098" i="1"/>
  <c r="AM3098" i="1"/>
  <c r="BF3098" i="1"/>
  <c r="BG3098" i="1"/>
  <c r="T3099" i="1"/>
  <c r="U3099" i="1"/>
  <c r="V3099" i="1"/>
  <c r="W3099" i="1"/>
  <c r="X3099" i="1"/>
  <c r="Y3099" i="1"/>
  <c r="Z3099" i="1"/>
  <c r="AB3099" i="1"/>
  <c r="AF3099" i="1"/>
  <c r="AI3099" i="1"/>
  <c r="H3100" i="1"/>
  <c r="AE3100" i="1"/>
  <c r="I3100" i="1"/>
  <c r="J3100" i="1"/>
  <c r="K3100" i="1"/>
  <c r="AC3100" i="1"/>
  <c r="AJ3099" i="1"/>
  <c r="AK3099" i="1"/>
  <c r="AM3099" i="1"/>
  <c r="BG3099" i="1"/>
  <c r="T3100" i="1"/>
  <c r="U3100" i="1"/>
  <c r="V3100" i="1"/>
  <c r="W3100" i="1"/>
  <c r="X3100" i="1"/>
  <c r="Y3100" i="1"/>
  <c r="Z3100" i="1"/>
  <c r="AB3100" i="1"/>
  <c r="AF3100" i="1"/>
  <c r="AI3100" i="1"/>
  <c r="AE3101" i="1"/>
  <c r="AC3101" i="1"/>
  <c r="AJ3100" i="1"/>
  <c r="AK3100" i="1"/>
  <c r="AM3100" i="1"/>
  <c r="BF3100" i="1"/>
  <c r="BG3100" i="1"/>
  <c r="T3101" i="1"/>
  <c r="U3101" i="1"/>
  <c r="V3101" i="1"/>
  <c r="W3101" i="1"/>
  <c r="X3101" i="1"/>
  <c r="Y3101" i="1"/>
  <c r="Z3101" i="1"/>
  <c r="AB3101" i="1"/>
  <c r="AF3101" i="1"/>
  <c r="AI3101" i="1"/>
  <c r="AE3102" i="1"/>
  <c r="AC3102" i="1"/>
  <c r="AJ3101" i="1"/>
  <c r="AK3101" i="1"/>
  <c r="AM3101" i="1"/>
  <c r="BF3101" i="1"/>
  <c r="BG3101" i="1"/>
  <c r="T3102" i="1"/>
  <c r="U3102" i="1"/>
  <c r="V3102" i="1"/>
  <c r="W3102" i="1"/>
  <c r="X3102" i="1"/>
  <c r="Y3102" i="1"/>
  <c r="Z3102" i="1"/>
  <c r="AB3102" i="1"/>
  <c r="AF3102" i="1"/>
  <c r="AI3102" i="1"/>
  <c r="H3103" i="1"/>
  <c r="AE3103" i="1"/>
  <c r="I3103" i="1"/>
  <c r="J3103" i="1"/>
  <c r="K3103" i="1"/>
  <c r="AC3103" i="1"/>
  <c r="AJ3102" i="1"/>
  <c r="AK3102" i="1"/>
  <c r="AM3102" i="1"/>
  <c r="BG3102" i="1"/>
  <c r="T3103" i="1"/>
  <c r="U3103" i="1"/>
  <c r="V3103" i="1"/>
  <c r="W3103" i="1"/>
  <c r="X3103" i="1"/>
  <c r="Y3103" i="1"/>
  <c r="Z3103" i="1"/>
  <c r="AB3103" i="1"/>
  <c r="AF3103" i="1"/>
  <c r="AI3103" i="1"/>
  <c r="H3104" i="1"/>
  <c r="AE3104" i="1"/>
  <c r="I3104" i="1"/>
  <c r="J3104" i="1"/>
  <c r="K3104" i="1"/>
  <c r="AC3104" i="1"/>
  <c r="AJ3103" i="1"/>
  <c r="AK3103" i="1"/>
  <c r="AM3103" i="1"/>
  <c r="BF3103" i="1"/>
  <c r="BG3103" i="1"/>
  <c r="T3104" i="1"/>
  <c r="U3104" i="1"/>
  <c r="V3104" i="1"/>
  <c r="W3104" i="1"/>
  <c r="X3104" i="1"/>
  <c r="Y3104" i="1"/>
  <c r="Z3104" i="1"/>
  <c r="AB3104" i="1"/>
  <c r="AF3104" i="1"/>
  <c r="AI3104" i="1"/>
  <c r="AE3105" i="1"/>
  <c r="AC3105" i="1"/>
  <c r="AJ3104" i="1"/>
  <c r="AK3104" i="1"/>
  <c r="AM3104" i="1"/>
  <c r="BF3104" i="1"/>
  <c r="BG3104" i="1"/>
  <c r="T3105" i="1"/>
  <c r="U3105" i="1"/>
  <c r="V3105" i="1"/>
  <c r="W3105" i="1"/>
  <c r="X3105" i="1"/>
  <c r="Y3105" i="1"/>
  <c r="Z3105" i="1"/>
  <c r="AB3105" i="1"/>
  <c r="AF3105" i="1"/>
  <c r="AI3105" i="1"/>
  <c r="AE3106" i="1"/>
  <c r="AC3106" i="1"/>
  <c r="AJ3105" i="1"/>
  <c r="AK3105" i="1"/>
  <c r="AM3105" i="1"/>
  <c r="BF3105" i="1"/>
  <c r="BG3105" i="1"/>
  <c r="T3106" i="1"/>
  <c r="U3106" i="1"/>
  <c r="V3106" i="1"/>
  <c r="W3106" i="1"/>
  <c r="X3106" i="1"/>
  <c r="Y3106" i="1"/>
  <c r="Z3106" i="1"/>
  <c r="AB3106" i="1"/>
  <c r="AF3106" i="1"/>
  <c r="AI3106" i="1"/>
  <c r="H3107" i="1"/>
  <c r="AE3107" i="1"/>
  <c r="I3107" i="1"/>
  <c r="J3107" i="1"/>
  <c r="K3107" i="1"/>
  <c r="AC3107" i="1"/>
  <c r="AJ3106" i="1"/>
  <c r="AK3106" i="1"/>
  <c r="AM3106" i="1"/>
  <c r="BG3106" i="1"/>
  <c r="T3107" i="1"/>
  <c r="U3107" i="1"/>
  <c r="V3107" i="1"/>
  <c r="W3107" i="1"/>
  <c r="X3107" i="1"/>
  <c r="Y3107" i="1"/>
  <c r="Z3107" i="1"/>
  <c r="AB3107" i="1"/>
  <c r="AF3107" i="1"/>
  <c r="AI3107" i="1"/>
  <c r="AE3108" i="1"/>
  <c r="AC3108" i="1"/>
  <c r="AJ3107" i="1"/>
  <c r="AK3107" i="1"/>
  <c r="AM3107" i="1"/>
  <c r="BF3107" i="1"/>
  <c r="BG3107" i="1"/>
  <c r="T3108" i="1"/>
  <c r="U3108" i="1"/>
  <c r="V3108" i="1"/>
  <c r="W3108" i="1"/>
  <c r="X3108" i="1"/>
  <c r="Y3108" i="1"/>
  <c r="Z3108" i="1"/>
  <c r="AB3108" i="1"/>
  <c r="AF3108" i="1"/>
  <c r="AI3108" i="1"/>
  <c r="AE3109" i="1"/>
  <c r="AC3109" i="1"/>
  <c r="AJ3108" i="1"/>
  <c r="AK3108" i="1"/>
  <c r="AM3108" i="1"/>
  <c r="BF3108" i="1"/>
  <c r="BG3108" i="1"/>
  <c r="T3109" i="1"/>
  <c r="U3109" i="1"/>
  <c r="V3109" i="1"/>
  <c r="W3109" i="1"/>
  <c r="X3109" i="1"/>
  <c r="Y3109" i="1"/>
  <c r="Z3109" i="1"/>
  <c r="AB3109" i="1"/>
  <c r="AF3109" i="1"/>
  <c r="AI3109" i="1"/>
  <c r="AE3110" i="1"/>
  <c r="AC3110" i="1"/>
  <c r="AJ3109" i="1"/>
  <c r="AK3109" i="1"/>
  <c r="AM3109" i="1"/>
  <c r="BF3109" i="1"/>
  <c r="BG3109" i="1"/>
  <c r="T3110" i="1"/>
  <c r="U3110" i="1"/>
  <c r="V3110" i="1"/>
  <c r="W3110" i="1"/>
  <c r="X3110" i="1"/>
  <c r="Y3110" i="1"/>
  <c r="Z3110" i="1"/>
  <c r="AB3110" i="1"/>
  <c r="AF3110" i="1"/>
  <c r="AI3110" i="1"/>
  <c r="H3111" i="1"/>
  <c r="AE3111" i="1"/>
  <c r="I3111" i="1"/>
  <c r="J3111" i="1"/>
  <c r="K3111" i="1"/>
  <c r="AC3111" i="1"/>
  <c r="AJ3110" i="1"/>
  <c r="AK3110" i="1"/>
  <c r="AM3110" i="1"/>
  <c r="BG3110" i="1"/>
  <c r="T3111" i="1"/>
  <c r="U3111" i="1"/>
  <c r="V3111" i="1"/>
  <c r="W3111" i="1"/>
  <c r="X3111" i="1"/>
  <c r="Y3111" i="1"/>
  <c r="Z3111" i="1"/>
  <c r="AB3111" i="1"/>
  <c r="AF3111" i="1"/>
  <c r="AI3111" i="1"/>
  <c r="AE3112" i="1"/>
  <c r="AC3112" i="1"/>
  <c r="AJ3111" i="1"/>
  <c r="AK3111" i="1"/>
  <c r="AM3111" i="1"/>
  <c r="BF3111" i="1"/>
  <c r="BG3111" i="1"/>
  <c r="T3112" i="1"/>
  <c r="U3112" i="1"/>
  <c r="V3112" i="1"/>
  <c r="W3112" i="1"/>
  <c r="X3112" i="1"/>
  <c r="Y3112" i="1"/>
  <c r="Z3112" i="1"/>
  <c r="AB3112" i="1"/>
  <c r="AF3112" i="1"/>
  <c r="AI3112" i="1"/>
  <c r="AE3113" i="1"/>
  <c r="AC3113" i="1"/>
  <c r="AJ3112" i="1"/>
  <c r="AK3112" i="1"/>
  <c r="AM3112" i="1"/>
  <c r="BF3112" i="1"/>
  <c r="BG3112" i="1"/>
  <c r="T3113" i="1"/>
  <c r="U3113" i="1"/>
  <c r="V3113" i="1"/>
  <c r="W3113" i="1"/>
  <c r="X3113" i="1"/>
  <c r="Y3113" i="1"/>
  <c r="Z3113" i="1"/>
  <c r="AB3113" i="1"/>
  <c r="AF3113" i="1"/>
  <c r="AI3113" i="1"/>
  <c r="AE3114" i="1"/>
  <c r="AC3114" i="1"/>
  <c r="AJ3113" i="1"/>
  <c r="AK3113" i="1"/>
  <c r="AM3113" i="1"/>
  <c r="BF3113" i="1"/>
  <c r="BG3113" i="1"/>
  <c r="T3114" i="1"/>
  <c r="U3114" i="1"/>
  <c r="V3114" i="1"/>
  <c r="W3114" i="1"/>
  <c r="X3114" i="1"/>
  <c r="Y3114" i="1"/>
  <c r="Z3114" i="1"/>
  <c r="AB3114" i="1"/>
  <c r="AF3114" i="1"/>
  <c r="AI3114" i="1"/>
  <c r="H3115" i="1"/>
  <c r="AE3115" i="1"/>
  <c r="I3115" i="1"/>
  <c r="J3115" i="1"/>
  <c r="K3115" i="1"/>
  <c r="AC3115" i="1"/>
  <c r="AJ3114" i="1"/>
  <c r="AK3114" i="1"/>
  <c r="AM3114" i="1"/>
  <c r="BG3114" i="1"/>
  <c r="T3115" i="1"/>
  <c r="U3115" i="1"/>
  <c r="V3115" i="1"/>
  <c r="W3115" i="1"/>
  <c r="X3115" i="1"/>
  <c r="Y3115" i="1"/>
  <c r="Z3115" i="1"/>
  <c r="AB3115" i="1"/>
  <c r="AF3115" i="1"/>
  <c r="AI3115" i="1"/>
  <c r="H3116" i="1"/>
  <c r="AE3116" i="1"/>
  <c r="I3116" i="1"/>
  <c r="J3116" i="1"/>
  <c r="K3116" i="1"/>
  <c r="AC3116" i="1"/>
  <c r="AJ3115" i="1"/>
  <c r="AK3115" i="1"/>
  <c r="AM3115" i="1"/>
  <c r="BF3115" i="1"/>
  <c r="BG3115" i="1"/>
  <c r="T3116" i="1"/>
  <c r="U3116" i="1"/>
  <c r="V3116" i="1"/>
  <c r="W3116" i="1"/>
  <c r="X3116" i="1"/>
  <c r="Y3116" i="1"/>
  <c r="Z3116" i="1"/>
  <c r="AB3116" i="1"/>
  <c r="AF3116" i="1"/>
  <c r="AI3116" i="1"/>
  <c r="AE3117" i="1"/>
  <c r="AC3117" i="1"/>
  <c r="AJ3116" i="1"/>
  <c r="AK3116" i="1"/>
  <c r="AM3116" i="1"/>
  <c r="BF3116" i="1"/>
  <c r="BG3116" i="1"/>
  <c r="T3117" i="1"/>
  <c r="U3117" i="1"/>
  <c r="V3117" i="1"/>
  <c r="W3117" i="1"/>
  <c r="X3117" i="1"/>
  <c r="Y3117" i="1"/>
  <c r="Z3117" i="1"/>
  <c r="AB3117" i="1"/>
  <c r="AF3117" i="1"/>
  <c r="AI3117" i="1"/>
  <c r="AE3118" i="1"/>
  <c r="AC3118" i="1"/>
  <c r="AJ3117" i="1"/>
  <c r="AK3117" i="1"/>
  <c r="AM3117" i="1"/>
  <c r="BF3117" i="1"/>
  <c r="BG3117" i="1"/>
  <c r="T3118" i="1"/>
  <c r="U3118" i="1"/>
  <c r="V3118" i="1"/>
  <c r="W3118" i="1"/>
  <c r="X3118" i="1"/>
  <c r="Y3118" i="1"/>
  <c r="Z3118" i="1"/>
  <c r="AB3118" i="1"/>
  <c r="AF3118" i="1"/>
  <c r="AI3118" i="1"/>
  <c r="AE3119" i="1"/>
  <c r="AC3119" i="1"/>
  <c r="AJ3118" i="1"/>
  <c r="AK3118" i="1"/>
  <c r="AM3118" i="1"/>
  <c r="BF3118" i="1"/>
  <c r="BG3118" i="1"/>
  <c r="T3119" i="1"/>
  <c r="U3119" i="1"/>
  <c r="V3119" i="1"/>
  <c r="W3119" i="1"/>
  <c r="X3119" i="1"/>
  <c r="Y3119" i="1"/>
  <c r="Z3119" i="1"/>
  <c r="AB3119" i="1"/>
  <c r="AF3119" i="1"/>
  <c r="AI3119" i="1"/>
  <c r="H3120" i="1"/>
  <c r="AE3120" i="1"/>
  <c r="I3120" i="1"/>
  <c r="J3120" i="1"/>
  <c r="K3120" i="1"/>
  <c r="AC3120" i="1"/>
  <c r="AJ3119" i="1"/>
  <c r="AK3119" i="1"/>
  <c r="AM3119" i="1"/>
  <c r="BG3119" i="1"/>
  <c r="T3120" i="1"/>
  <c r="U3120" i="1"/>
  <c r="V3120" i="1"/>
  <c r="W3120" i="1"/>
  <c r="X3120" i="1"/>
  <c r="Y3120" i="1"/>
  <c r="Z3120" i="1"/>
  <c r="AB3120" i="1"/>
  <c r="AF3120" i="1"/>
  <c r="AI3120" i="1"/>
  <c r="AE3121" i="1"/>
  <c r="AC3121" i="1"/>
  <c r="AJ3120" i="1"/>
  <c r="AK3120" i="1"/>
  <c r="AM3120" i="1"/>
  <c r="BF3120" i="1"/>
  <c r="BG3120" i="1"/>
  <c r="T3121" i="1"/>
  <c r="U3121" i="1"/>
  <c r="V3121" i="1"/>
  <c r="W3121" i="1"/>
  <c r="X3121" i="1"/>
  <c r="Y3121" i="1"/>
  <c r="Z3121" i="1"/>
  <c r="AB3121" i="1"/>
  <c r="AF3121" i="1"/>
  <c r="AI3121" i="1"/>
  <c r="AE3122" i="1"/>
  <c r="AC3122" i="1"/>
  <c r="AJ3121" i="1"/>
  <c r="AK3121" i="1"/>
  <c r="AM3121" i="1"/>
  <c r="BF3121" i="1"/>
  <c r="BG3121" i="1"/>
  <c r="T3122" i="1"/>
  <c r="U3122" i="1"/>
  <c r="V3122" i="1"/>
  <c r="W3122" i="1"/>
  <c r="X3122" i="1"/>
  <c r="Y3122" i="1"/>
  <c r="Z3122" i="1"/>
  <c r="AB3122" i="1"/>
  <c r="AF3122" i="1"/>
  <c r="AI3122" i="1"/>
  <c r="H3123" i="1"/>
  <c r="AE3123" i="1"/>
  <c r="I3123" i="1"/>
  <c r="J3123" i="1"/>
  <c r="K3123" i="1"/>
  <c r="AC3123" i="1"/>
  <c r="AJ3122" i="1"/>
  <c r="AK3122" i="1"/>
  <c r="AM3122" i="1"/>
  <c r="BG3122" i="1"/>
  <c r="T3123" i="1"/>
  <c r="U3123" i="1"/>
  <c r="V3123" i="1"/>
  <c r="W3123" i="1"/>
  <c r="X3123" i="1"/>
  <c r="Y3123" i="1"/>
  <c r="Z3123" i="1"/>
  <c r="AB3123" i="1"/>
  <c r="AF3123" i="1"/>
  <c r="AI3123" i="1"/>
  <c r="H3124" i="1"/>
  <c r="AE3124" i="1"/>
  <c r="I3124" i="1"/>
  <c r="J3124" i="1"/>
  <c r="K3124" i="1"/>
  <c r="AC3124" i="1"/>
  <c r="AJ3123" i="1"/>
  <c r="AK3123" i="1"/>
  <c r="AM3123" i="1"/>
  <c r="BF3123" i="1"/>
  <c r="BG3123" i="1"/>
  <c r="T3124" i="1"/>
  <c r="U3124" i="1"/>
  <c r="V3124" i="1"/>
  <c r="W3124" i="1"/>
  <c r="X3124" i="1"/>
  <c r="Y3124" i="1"/>
  <c r="Z3124" i="1"/>
  <c r="AB3124" i="1"/>
  <c r="AF3124" i="1"/>
  <c r="AI3124" i="1"/>
  <c r="H3125" i="1"/>
  <c r="AE3125" i="1"/>
  <c r="I3125" i="1"/>
  <c r="J3125" i="1"/>
  <c r="K3125" i="1"/>
  <c r="AC3125" i="1"/>
  <c r="AJ3124" i="1"/>
  <c r="AK3124" i="1"/>
  <c r="AM3124" i="1"/>
  <c r="BF3124" i="1"/>
  <c r="BG3124" i="1"/>
  <c r="T3125" i="1"/>
  <c r="U3125" i="1"/>
  <c r="V3125" i="1"/>
  <c r="W3125" i="1"/>
  <c r="X3125" i="1"/>
  <c r="Y3125" i="1"/>
  <c r="Z3125" i="1"/>
  <c r="AB3125" i="1"/>
  <c r="AF3125" i="1"/>
  <c r="AI3125" i="1"/>
  <c r="AE3126" i="1"/>
  <c r="AC3126" i="1"/>
  <c r="AJ3125" i="1"/>
  <c r="AK3125" i="1"/>
  <c r="AM3125" i="1"/>
  <c r="BF3125" i="1"/>
  <c r="BG3125" i="1"/>
  <c r="T3126" i="1"/>
  <c r="U3126" i="1"/>
  <c r="V3126" i="1"/>
  <c r="W3126" i="1"/>
  <c r="X3126" i="1"/>
  <c r="Y3126" i="1"/>
  <c r="Z3126" i="1"/>
  <c r="AB3126" i="1"/>
  <c r="AF3126" i="1"/>
  <c r="AI3126" i="1"/>
  <c r="AE3127" i="1"/>
  <c r="AC3127" i="1"/>
  <c r="AJ3126" i="1"/>
  <c r="AK3126" i="1"/>
  <c r="AM3126" i="1"/>
  <c r="BF3126" i="1"/>
  <c r="BG3126" i="1"/>
  <c r="T3127" i="1"/>
  <c r="U3127" i="1"/>
  <c r="V3127" i="1"/>
  <c r="W3127" i="1"/>
  <c r="X3127" i="1"/>
  <c r="Y3127" i="1"/>
  <c r="Z3127" i="1"/>
  <c r="AB3127" i="1"/>
  <c r="AF3127" i="1"/>
  <c r="AI3127" i="1"/>
  <c r="H3128" i="1"/>
  <c r="AE3128" i="1"/>
  <c r="I3128" i="1"/>
  <c r="J3128" i="1"/>
  <c r="K3128" i="1"/>
  <c r="AC3128" i="1"/>
  <c r="AJ3127" i="1"/>
  <c r="AK3127" i="1"/>
  <c r="AM3127" i="1"/>
  <c r="BG3127" i="1"/>
  <c r="T3128" i="1"/>
  <c r="U3128" i="1"/>
  <c r="V3128" i="1"/>
  <c r="W3128" i="1"/>
  <c r="X3128" i="1"/>
  <c r="Y3128" i="1"/>
  <c r="Z3128" i="1"/>
  <c r="AB3128" i="1"/>
  <c r="AF3128" i="1"/>
  <c r="AI3128" i="1"/>
  <c r="AE3129" i="1"/>
  <c r="AC3129" i="1"/>
  <c r="AJ3128" i="1"/>
  <c r="AK3128" i="1"/>
  <c r="AM3128" i="1"/>
  <c r="BF3128" i="1"/>
  <c r="BG3128" i="1"/>
  <c r="T3129" i="1"/>
  <c r="U3129" i="1"/>
  <c r="V3129" i="1"/>
  <c r="W3129" i="1"/>
  <c r="X3129" i="1"/>
  <c r="Y3129" i="1"/>
  <c r="Z3129" i="1"/>
  <c r="AB3129" i="1"/>
  <c r="AF3129" i="1"/>
  <c r="AI3129" i="1"/>
  <c r="AE3130" i="1"/>
  <c r="AC3130" i="1"/>
  <c r="AJ3129" i="1"/>
  <c r="AK3129" i="1"/>
  <c r="AM3129" i="1"/>
  <c r="BF3129" i="1"/>
  <c r="BG3129" i="1"/>
  <c r="T3130" i="1"/>
  <c r="U3130" i="1"/>
  <c r="V3130" i="1"/>
  <c r="W3130" i="1"/>
  <c r="X3130" i="1"/>
  <c r="Y3130" i="1"/>
  <c r="Z3130" i="1"/>
  <c r="AB3130" i="1"/>
  <c r="AF3130" i="1"/>
  <c r="AI3130" i="1"/>
  <c r="AE3131" i="1"/>
  <c r="AC3131" i="1"/>
  <c r="AJ3130" i="1"/>
  <c r="AK3130" i="1"/>
  <c r="AM3130" i="1"/>
  <c r="BF3130" i="1"/>
  <c r="BG3130" i="1"/>
  <c r="T3131" i="1"/>
  <c r="U3131" i="1"/>
  <c r="V3131" i="1"/>
  <c r="W3131" i="1"/>
  <c r="X3131" i="1"/>
  <c r="Y3131" i="1"/>
  <c r="Z3131" i="1"/>
  <c r="AB3131" i="1"/>
  <c r="AF3131" i="1"/>
  <c r="AI3131" i="1"/>
  <c r="AE3132" i="1"/>
  <c r="AC3132" i="1"/>
  <c r="AJ3131" i="1"/>
  <c r="AK3131" i="1"/>
  <c r="AM3131" i="1"/>
  <c r="BF3131" i="1"/>
  <c r="BG3131" i="1"/>
  <c r="T3132" i="1"/>
  <c r="U3132" i="1"/>
  <c r="V3132" i="1"/>
  <c r="W3132" i="1"/>
  <c r="X3132" i="1"/>
  <c r="Y3132" i="1"/>
  <c r="Z3132" i="1"/>
  <c r="AB3132" i="1"/>
  <c r="AF3132" i="1"/>
  <c r="AI3132" i="1"/>
  <c r="H3133" i="1"/>
  <c r="AE3133" i="1"/>
  <c r="I3133" i="1"/>
  <c r="J3133" i="1"/>
  <c r="K3133" i="1"/>
  <c r="AC3133" i="1"/>
  <c r="AJ3132" i="1"/>
  <c r="AK3132" i="1"/>
  <c r="AM3132" i="1"/>
  <c r="BG3132" i="1"/>
  <c r="T3133" i="1"/>
  <c r="U3133" i="1"/>
  <c r="V3133" i="1"/>
  <c r="W3133" i="1"/>
  <c r="X3133" i="1"/>
  <c r="Y3133" i="1"/>
  <c r="Z3133" i="1"/>
  <c r="AB3133" i="1"/>
  <c r="AF3133" i="1"/>
  <c r="AI3133" i="1"/>
  <c r="AE3134" i="1"/>
  <c r="AC3134" i="1"/>
  <c r="AJ3133" i="1"/>
  <c r="AK3133" i="1"/>
  <c r="AM3133" i="1"/>
  <c r="BF3133" i="1"/>
  <c r="BG3133" i="1"/>
  <c r="T3134" i="1"/>
  <c r="U3134" i="1"/>
  <c r="V3134" i="1"/>
  <c r="W3134" i="1"/>
  <c r="X3134" i="1"/>
  <c r="Y3134" i="1"/>
  <c r="Z3134" i="1"/>
  <c r="AB3134" i="1"/>
  <c r="AF3134" i="1"/>
  <c r="AI3134" i="1"/>
  <c r="AE3135" i="1"/>
  <c r="AC3135" i="1"/>
  <c r="AJ3134" i="1"/>
  <c r="AK3134" i="1"/>
  <c r="AM3134" i="1"/>
  <c r="BF3134" i="1"/>
  <c r="BG3134" i="1"/>
  <c r="T3135" i="1"/>
  <c r="U3135" i="1"/>
  <c r="V3135" i="1"/>
  <c r="W3135" i="1"/>
  <c r="X3135" i="1"/>
  <c r="Y3135" i="1"/>
  <c r="Z3135" i="1"/>
  <c r="AB3135" i="1"/>
  <c r="AF3135" i="1"/>
  <c r="AI3135" i="1"/>
  <c r="AE3136" i="1"/>
  <c r="AC3136" i="1"/>
  <c r="AJ3135" i="1"/>
  <c r="AK3135" i="1"/>
  <c r="AM3135" i="1"/>
  <c r="BF3135" i="1"/>
  <c r="BG3135" i="1"/>
  <c r="T3136" i="1"/>
  <c r="U3136" i="1"/>
  <c r="V3136" i="1"/>
  <c r="W3136" i="1"/>
  <c r="X3136" i="1"/>
  <c r="Y3136" i="1"/>
  <c r="Z3136" i="1"/>
  <c r="AB3136" i="1"/>
  <c r="AF3136" i="1"/>
  <c r="AI3136" i="1"/>
  <c r="H3137" i="1"/>
  <c r="AE3137" i="1"/>
  <c r="I3137" i="1"/>
  <c r="J3137" i="1"/>
  <c r="K3137" i="1"/>
  <c r="AC3137" i="1"/>
  <c r="AJ3136" i="1"/>
  <c r="AK3136" i="1"/>
  <c r="AM3136" i="1"/>
  <c r="BG3136" i="1"/>
  <c r="T3137" i="1"/>
  <c r="U3137" i="1"/>
  <c r="V3137" i="1"/>
  <c r="W3137" i="1"/>
  <c r="X3137" i="1"/>
  <c r="Y3137" i="1"/>
  <c r="Z3137" i="1"/>
  <c r="AB3137" i="1"/>
  <c r="AF3137" i="1"/>
  <c r="AI3137" i="1"/>
  <c r="H3138" i="1"/>
  <c r="AE3138" i="1"/>
  <c r="I3138" i="1"/>
  <c r="J3138" i="1"/>
  <c r="K3138" i="1"/>
  <c r="AC3138" i="1"/>
  <c r="AJ3137" i="1"/>
  <c r="AK3137" i="1"/>
  <c r="AM3137" i="1"/>
  <c r="BF3137" i="1"/>
  <c r="BG3137" i="1"/>
  <c r="T3138" i="1"/>
  <c r="U3138" i="1"/>
  <c r="V3138" i="1"/>
  <c r="W3138" i="1"/>
  <c r="X3138" i="1"/>
  <c r="Y3138" i="1"/>
  <c r="Z3138" i="1"/>
  <c r="AB3138" i="1"/>
  <c r="AF3138" i="1"/>
  <c r="AI3138" i="1"/>
  <c r="H3139" i="1"/>
  <c r="AE3139" i="1"/>
  <c r="I3139" i="1"/>
  <c r="J3139" i="1"/>
  <c r="K3139" i="1"/>
  <c r="AC3139" i="1"/>
  <c r="AJ3138" i="1"/>
  <c r="AK3138" i="1"/>
  <c r="AM3138" i="1"/>
  <c r="BF3138" i="1"/>
  <c r="BG3138" i="1"/>
  <c r="T3139" i="1"/>
  <c r="U3139" i="1"/>
  <c r="V3139" i="1"/>
  <c r="W3139" i="1"/>
  <c r="X3139" i="1"/>
  <c r="Y3139" i="1"/>
  <c r="Z3139" i="1"/>
  <c r="AB3139" i="1"/>
  <c r="AF3139" i="1"/>
  <c r="AI3139" i="1"/>
  <c r="H3140" i="1"/>
  <c r="AE3140" i="1"/>
  <c r="I3140" i="1"/>
  <c r="J3140" i="1"/>
  <c r="K3140" i="1"/>
  <c r="AC3140" i="1"/>
  <c r="AJ3139" i="1"/>
  <c r="AK3139" i="1"/>
  <c r="AM3139" i="1"/>
  <c r="BF3139" i="1"/>
  <c r="BG3139" i="1"/>
  <c r="T3140" i="1"/>
  <c r="U3140" i="1"/>
  <c r="V3140" i="1"/>
  <c r="W3140" i="1"/>
  <c r="X3140" i="1"/>
  <c r="Y3140" i="1"/>
  <c r="Z3140" i="1"/>
  <c r="AB3140" i="1"/>
  <c r="AF3140" i="1"/>
  <c r="AI3140" i="1"/>
  <c r="AE3141" i="1"/>
  <c r="AC3141" i="1"/>
  <c r="AJ3140" i="1"/>
  <c r="AK3140" i="1"/>
  <c r="AM3140" i="1"/>
  <c r="BF3140" i="1"/>
  <c r="BG3140" i="1"/>
  <c r="T3141" i="1"/>
  <c r="U3141" i="1"/>
  <c r="V3141" i="1"/>
  <c r="W3141" i="1"/>
  <c r="X3141" i="1"/>
  <c r="Y3141" i="1"/>
  <c r="Z3141" i="1"/>
  <c r="AB3141" i="1"/>
  <c r="AF3141" i="1"/>
  <c r="AI3141" i="1"/>
  <c r="AE3142" i="1"/>
  <c r="AC3142" i="1"/>
  <c r="AJ3141" i="1"/>
  <c r="AK3141" i="1"/>
  <c r="AM3141" i="1"/>
  <c r="BF3141" i="1"/>
  <c r="BG3141" i="1"/>
  <c r="T3142" i="1"/>
  <c r="U3142" i="1"/>
  <c r="V3142" i="1"/>
  <c r="W3142" i="1"/>
  <c r="X3142" i="1"/>
  <c r="Y3142" i="1"/>
  <c r="Z3142" i="1"/>
  <c r="AB3142" i="1"/>
  <c r="AF3142" i="1"/>
  <c r="AI3142" i="1"/>
  <c r="H3143" i="1"/>
  <c r="AE3143" i="1"/>
  <c r="I3143" i="1"/>
  <c r="J3143" i="1"/>
  <c r="K3143" i="1"/>
  <c r="AC3143" i="1"/>
  <c r="AJ3142" i="1"/>
  <c r="AK3142" i="1"/>
  <c r="AM3142" i="1"/>
  <c r="BG3142" i="1"/>
  <c r="T3143" i="1"/>
  <c r="U3143" i="1"/>
  <c r="V3143" i="1"/>
  <c r="W3143" i="1"/>
  <c r="X3143" i="1"/>
  <c r="Y3143" i="1"/>
  <c r="Z3143" i="1"/>
  <c r="AB3143" i="1"/>
  <c r="AF3143" i="1"/>
  <c r="AI3143" i="1"/>
  <c r="H3144" i="1"/>
  <c r="AE3144" i="1"/>
  <c r="I3144" i="1"/>
  <c r="J3144" i="1"/>
  <c r="K3144" i="1"/>
  <c r="AC3144" i="1"/>
  <c r="AJ3143" i="1"/>
  <c r="AK3143" i="1"/>
  <c r="AM3143" i="1"/>
  <c r="BF3143" i="1"/>
  <c r="BG3143" i="1"/>
  <c r="T3144" i="1"/>
  <c r="U3144" i="1"/>
  <c r="V3144" i="1"/>
  <c r="W3144" i="1"/>
  <c r="X3144" i="1"/>
  <c r="Y3144" i="1"/>
  <c r="Z3144" i="1"/>
  <c r="AB3144" i="1"/>
  <c r="AF3144" i="1"/>
  <c r="AI3144" i="1"/>
  <c r="H3145" i="1"/>
  <c r="AE3145" i="1"/>
  <c r="I3145" i="1"/>
  <c r="J3145" i="1"/>
  <c r="K3145" i="1"/>
  <c r="AC3145" i="1"/>
  <c r="AJ3144" i="1"/>
  <c r="AK3144" i="1"/>
  <c r="AM3144" i="1"/>
  <c r="BF3144" i="1"/>
  <c r="BG3144" i="1"/>
  <c r="T3145" i="1"/>
  <c r="U3145" i="1"/>
  <c r="V3145" i="1"/>
  <c r="W3145" i="1"/>
  <c r="X3145" i="1"/>
  <c r="Y3145" i="1"/>
  <c r="Z3145" i="1"/>
  <c r="AB3145" i="1"/>
  <c r="AF3145" i="1"/>
  <c r="AI3145" i="1"/>
  <c r="AE3146" i="1"/>
  <c r="AC3146" i="1"/>
  <c r="AJ3145" i="1"/>
  <c r="AK3145" i="1"/>
  <c r="AM3145" i="1"/>
  <c r="BF3145" i="1"/>
  <c r="BG3145" i="1"/>
  <c r="T3146" i="1"/>
  <c r="U3146" i="1"/>
  <c r="V3146" i="1"/>
  <c r="W3146" i="1"/>
  <c r="X3146" i="1"/>
  <c r="Y3146" i="1"/>
  <c r="Z3146" i="1"/>
  <c r="AB3146" i="1"/>
  <c r="AF3146" i="1"/>
  <c r="AI3146" i="1"/>
  <c r="AE3147" i="1"/>
  <c r="AC3147" i="1"/>
  <c r="AJ3146" i="1"/>
  <c r="AK3146" i="1"/>
  <c r="AM3146" i="1"/>
  <c r="BF3146" i="1"/>
  <c r="BG3146" i="1"/>
  <c r="T3147" i="1"/>
  <c r="U3147" i="1"/>
  <c r="V3147" i="1"/>
  <c r="W3147" i="1"/>
  <c r="X3147" i="1"/>
  <c r="Y3147" i="1"/>
  <c r="Z3147" i="1"/>
  <c r="AB3147" i="1"/>
  <c r="AF3147" i="1"/>
  <c r="AI3147" i="1"/>
  <c r="AE3148" i="1"/>
  <c r="AC3148" i="1"/>
  <c r="AJ3147" i="1"/>
  <c r="AK3147" i="1"/>
  <c r="AM3147" i="1"/>
  <c r="BF3147" i="1"/>
  <c r="BG3147" i="1"/>
  <c r="T3148" i="1"/>
  <c r="U3148" i="1"/>
  <c r="V3148" i="1"/>
  <c r="W3148" i="1"/>
  <c r="X3148" i="1"/>
  <c r="Y3148" i="1"/>
  <c r="Z3148" i="1"/>
  <c r="AB3148" i="1"/>
  <c r="AF3148" i="1"/>
  <c r="AI3148" i="1"/>
  <c r="H3149" i="1"/>
  <c r="AE3149" i="1"/>
  <c r="I3149" i="1"/>
  <c r="J3149" i="1"/>
  <c r="K3149" i="1"/>
  <c r="AC3149" i="1"/>
  <c r="AJ3148" i="1"/>
  <c r="AK3148" i="1"/>
  <c r="AM3148" i="1"/>
  <c r="BG3148" i="1"/>
  <c r="T3149" i="1"/>
  <c r="U3149" i="1"/>
  <c r="V3149" i="1"/>
  <c r="W3149" i="1"/>
  <c r="X3149" i="1"/>
  <c r="Y3149" i="1"/>
  <c r="Z3149" i="1"/>
  <c r="AB3149" i="1"/>
  <c r="AF3149" i="1"/>
  <c r="AI3149" i="1"/>
  <c r="H3150" i="1"/>
  <c r="AE3150" i="1"/>
  <c r="I3150" i="1"/>
  <c r="J3150" i="1"/>
  <c r="K3150" i="1"/>
  <c r="AC3150" i="1"/>
  <c r="AJ3149" i="1"/>
  <c r="AK3149" i="1"/>
  <c r="AM3149" i="1"/>
  <c r="BF3149" i="1"/>
  <c r="BG3149" i="1"/>
  <c r="T3150" i="1"/>
  <c r="U3150" i="1"/>
  <c r="V3150" i="1"/>
  <c r="W3150" i="1"/>
  <c r="X3150" i="1"/>
  <c r="Y3150" i="1"/>
  <c r="Z3150" i="1"/>
  <c r="AB3150" i="1"/>
  <c r="AF3150" i="1"/>
  <c r="AI3150" i="1"/>
  <c r="H3151" i="1"/>
  <c r="AE3151" i="1"/>
  <c r="I3151" i="1"/>
  <c r="J3151" i="1"/>
  <c r="K3151" i="1"/>
  <c r="AC3151" i="1"/>
  <c r="AJ3150" i="1"/>
  <c r="AK3150" i="1"/>
  <c r="AM3150" i="1"/>
  <c r="BF3150" i="1"/>
  <c r="BG3150" i="1"/>
  <c r="T3151" i="1"/>
  <c r="U3151" i="1"/>
  <c r="V3151" i="1"/>
  <c r="W3151" i="1"/>
  <c r="X3151" i="1"/>
  <c r="Y3151" i="1"/>
  <c r="Z3151" i="1"/>
  <c r="AB3151" i="1"/>
  <c r="AF3151" i="1"/>
  <c r="AI3151" i="1"/>
  <c r="H3152" i="1"/>
  <c r="AE3152" i="1"/>
  <c r="I3152" i="1"/>
  <c r="J3152" i="1"/>
  <c r="K3152" i="1"/>
  <c r="AC3152" i="1"/>
  <c r="AJ3151" i="1"/>
  <c r="AK3151" i="1"/>
  <c r="AM3151" i="1"/>
  <c r="BF3151" i="1"/>
  <c r="BG3151" i="1"/>
  <c r="T3152" i="1"/>
  <c r="U3152" i="1"/>
  <c r="V3152" i="1"/>
  <c r="W3152" i="1"/>
  <c r="X3152" i="1"/>
  <c r="Y3152" i="1"/>
  <c r="Z3152" i="1"/>
  <c r="AB3152" i="1"/>
  <c r="AF3152" i="1"/>
  <c r="AI3152" i="1"/>
  <c r="H3153" i="1"/>
  <c r="AE3153" i="1"/>
  <c r="I3153" i="1"/>
  <c r="J3153" i="1"/>
  <c r="K3153" i="1"/>
  <c r="AC3153" i="1"/>
  <c r="AJ3152" i="1"/>
  <c r="AK3152" i="1"/>
  <c r="AM3152" i="1"/>
  <c r="BF3152" i="1"/>
  <c r="BG3152" i="1"/>
  <c r="T3153" i="1"/>
  <c r="U3153" i="1"/>
  <c r="V3153" i="1"/>
  <c r="W3153" i="1"/>
  <c r="X3153" i="1"/>
  <c r="Y3153" i="1"/>
  <c r="Z3153" i="1"/>
  <c r="AB3153" i="1"/>
  <c r="AF3153" i="1"/>
  <c r="AI3153" i="1"/>
  <c r="H3154" i="1"/>
  <c r="AE3154" i="1"/>
  <c r="I3154" i="1"/>
  <c r="J3154" i="1"/>
  <c r="K3154" i="1"/>
  <c r="AC3154" i="1"/>
  <c r="AJ3153" i="1"/>
  <c r="AK3153" i="1"/>
  <c r="AM3153" i="1"/>
  <c r="BF3153" i="1"/>
  <c r="BG3153" i="1"/>
  <c r="T3154" i="1"/>
  <c r="U3154" i="1"/>
  <c r="V3154" i="1"/>
  <c r="W3154" i="1"/>
  <c r="X3154" i="1"/>
  <c r="Y3154" i="1"/>
  <c r="Z3154" i="1"/>
  <c r="AB3154" i="1"/>
  <c r="AF3154" i="1"/>
  <c r="AI3154" i="1"/>
  <c r="H3155" i="1"/>
  <c r="AE3155" i="1"/>
  <c r="I3155" i="1"/>
  <c r="J3155" i="1"/>
  <c r="K3155" i="1"/>
  <c r="AC3155" i="1"/>
  <c r="AJ3154" i="1"/>
  <c r="AK3154" i="1"/>
  <c r="AM3154" i="1"/>
  <c r="BF3154" i="1"/>
  <c r="BG3154" i="1"/>
  <c r="T3155" i="1"/>
  <c r="U3155" i="1"/>
  <c r="V3155" i="1"/>
  <c r="W3155" i="1"/>
  <c r="X3155" i="1"/>
  <c r="Y3155" i="1"/>
  <c r="Z3155" i="1"/>
  <c r="AB3155" i="1"/>
  <c r="AF3155" i="1"/>
  <c r="AI3155" i="1"/>
  <c r="H3156" i="1"/>
  <c r="AE3156" i="1"/>
  <c r="I3156" i="1"/>
  <c r="J3156" i="1"/>
  <c r="K3156" i="1"/>
  <c r="AC3156" i="1"/>
  <c r="AJ3155" i="1"/>
  <c r="AK3155" i="1"/>
  <c r="AM3155" i="1"/>
  <c r="BF3155" i="1"/>
  <c r="BG3155" i="1"/>
  <c r="T3156" i="1"/>
  <c r="U3156" i="1"/>
  <c r="V3156" i="1"/>
  <c r="W3156" i="1"/>
  <c r="X3156" i="1"/>
  <c r="Y3156" i="1"/>
  <c r="Z3156" i="1"/>
  <c r="AB3156" i="1"/>
  <c r="AF3156" i="1"/>
  <c r="AI3156" i="1"/>
  <c r="H3157" i="1"/>
  <c r="AE3157" i="1"/>
  <c r="I3157" i="1"/>
  <c r="J3157" i="1"/>
  <c r="K3157" i="1"/>
  <c r="AC3157" i="1"/>
  <c r="AJ3156" i="1"/>
  <c r="AK3156" i="1"/>
  <c r="AM3156" i="1"/>
  <c r="BF3156" i="1"/>
  <c r="BG3156" i="1"/>
  <c r="T3157" i="1"/>
  <c r="U3157" i="1"/>
  <c r="V3157" i="1"/>
  <c r="W3157" i="1"/>
  <c r="X3157" i="1"/>
  <c r="Y3157" i="1"/>
  <c r="Z3157" i="1"/>
  <c r="AB3157" i="1"/>
  <c r="AF3157" i="1"/>
  <c r="AI3157" i="1"/>
  <c r="AE3158" i="1"/>
  <c r="AC3158" i="1"/>
  <c r="AJ3157" i="1"/>
  <c r="AK3157" i="1"/>
  <c r="AM3157" i="1"/>
  <c r="BF3157" i="1"/>
  <c r="BG3157" i="1"/>
  <c r="T3158" i="1"/>
  <c r="U3158" i="1"/>
  <c r="V3158" i="1"/>
  <c r="W3158" i="1"/>
  <c r="X3158" i="1"/>
  <c r="Y3158" i="1"/>
  <c r="Z3158" i="1"/>
  <c r="AB3158" i="1"/>
  <c r="AF3158" i="1"/>
  <c r="AI3158" i="1"/>
  <c r="AE3159" i="1"/>
  <c r="AC3159" i="1"/>
  <c r="AJ3158" i="1"/>
  <c r="AK3158" i="1"/>
  <c r="AM3158" i="1"/>
  <c r="BF3158" i="1"/>
  <c r="BG3158" i="1"/>
  <c r="T3159" i="1"/>
  <c r="U3159" i="1"/>
  <c r="V3159" i="1"/>
  <c r="W3159" i="1"/>
  <c r="X3159" i="1"/>
  <c r="Y3159" i="1"/>
  <c r="Z3159" i="1"/>
  <c r="AB3159" i="1"/>
  <c r="AF3159" i="1"/>
  <c r="AI3159" i="1"/>
  <c r="H3160" i="1"/>
  <c r="AE3160" i="1"/>
  <c r="I3160" i="1"/>
  <c r="J3160" i="1"/>
  <c r="K3160" i="1"/>
  <c r="AC3160" i="1"/>
  <c r="AJ3159" i="1"/>
  <c r="AK3159" i="1"/>
  <c r="AM3159" i="1"/>
  <c r="BG3159" i="1"/>
  <c r="T3160" i="1"/>
  <c r="U3160" i="1"/>
  <c r="V3160" i="1"/>
  <c r="W3160" i="1"/>
  <c r="X3160" i="1"/>
  <c r="Y3160" i="1"/>
  <c r="Z3160" i="1"/>
  <c r="AB3160" i="1"/>
  <c r="AF3160" i="1"/>
  <c r="AI3160" i="1"/>
  <c r="AE3161" i="1"/>
  <c r="AC3161" i="1"/>
  <c r="AJ3160" i="1"/>
  <c r="AK3160" i="1"/>
  <c r="AM3160" i="1"/>
  <c r="BF3160" i="1"/>
  <c r="BG3160" i="1"/>
  <c r="T3161" i="1"/>
  <c r="U3161" i="1"/>
  <c r="V3161" i="1"/>
  <c r="W3161" i="1"/>
  <c r="X3161" i="1"/>
  <c r="Y3161" i="1"/>
  <c r="Z3161" i="1"/>
  <c r="AB3161" i="1"/>
  <c r="AF3161" i="1"/>
  <c r="AI3161" i="1"/>
  <c r="AE3162" i="1"/>
  <c r="AC3162" i="1"/>
  <c r="AJ3161" i="1"/>
  <c r="AK3161" i="1"/>
  <c r="AM3161" i="1"/>
  <c r="BF3161" i="1"/>
  <c r="BG3161" i="1"/>
  <c r="T3162" i="1"/>
  <c r="U3162" i="1"/>
  <c r="V3162" i="1"/>
  <c r="W3162" i="1"/>
  <c r="X3162" i="1"/>
  <c r="Y3162" i="1"/>
  <c r="Z3162" i="1"/>
  <c r="AB3162" i="1"/>
  <c r="AF3162" i="1"/>
  <c r="AI3162" i="1"/>
  <c r="H3163" i="1"/>
  <c r="AE3163" i="1"/>
  <c r="I3163" i="1"/>
  <c r="J3163" i="1"/>
  <c r="K3163" i="1"/>
  <c r="AC3163" i="1"/>
  <c r="AJ3162" i="1"/>
  <c r="AK3162" i="1"/>
  <c r="AM3162" i="1"/>
  <c r="BG3162" i="1"/>
  <c r="T3163" i="1"/>
  <c r="U3163" i="1"/>
  <c r="V3163" i="1"/>
  <c r="W3163" i="1"/>
  <c r="X3163" i="1"/>
  <c r="Y3163" i="1"/>
  <c r="Z3163" i="1"/>
  <c r="AB3163" i="1"/>
  <c r="AF3163" i="1"/>
  <c r="AI3163" i="1"/>
  <c r="H3164" i="1"/>
  <c r="AE3164" i="1"/>
  <c r="I3164" i="1"/>
  <c r="J3164" i="1"/>
  <c r="K3164" i="1"/>
  <c r="AC3164" i="1"/>
  <c r="AJ3163" i="1"/>
  <c r="AK3163" i="1"/>
  <c r="AM3163" i="1"/>
  <c r="BF3163" i="1"/>
  <c r="BG3163" i="1"/>
  <c r="T3164" i="1"/>
  <c r="U3164" i="1"/>
  <c r="V3164" i="1"/>
  <c r="W3164" i="1"/>
  <c r="X3164" i="1"/>
  <c r="Y3164" i="1"/>
  <c r="Z3164" i="1"/>
  <c r="AB3164" i="1"/>
  <c r="AF3164" i="1"/>
  <c r="AI3164" i="1"/>
  <c r="H3165" i="1"/>
  <c r="AE3165" i="1"/>
  <c r="I3165" i="1"/>
  <c r="J3165" i="1"/>
  <c r="K3165" i="1"/>
  <c r="AC3165" i="1"/>
  <c r="AJ3164" i="1"/>
  <c r="AK3164" i="1"/>
  <c r="AM3164" i="1"/>
  <c r="BF3164" i="1"/>
  <c r="BG3164" i="1"/>
  <c r="T3165" i="1"/>
  <c r="U3165" i="1"/>
  <c r="V3165" i="1"/>
  <c r="W3165" i="1"/>
  <c r="X3165" i="1"/>
  <c r="Y3165" i="1"/>
  <c r="Z3165" i="1"/>
  <c r="AB3165" i="1"/>
  <c r="AF3165" i="1"/>
  <c r="AI3165" i="1"/>
  <c r="H3166" i="1"/>
  <c r="AE3166" i="1"/>
  <c r="I3166" i="1"/>
  <c r="J3166" i="1"/>
  <c r="K3166" i="1"/>
  <c r="AC3166" i="1"/>
  <c r="AJ3165" i="1"/>
  <c r="AK3165" i="1"/>
  <c r="AM3165" i="1"/>
  <c r="BF3165" i="1"/>
  <c r="BG3165" i="1"/>
  <c r="T3166" i="1"/>
  <c r="U3166" i="1"/>
  <c r="V3166" i="1"/>
  <c r="W3166" i="1"/>
  <c r="X3166" i="1"/>
  <c r="Y3166" i="1"/>
  <c r="Z3166" i="1"/>
  <c r="AB3166" i="1"/>
  <c r="AF3166" i="1"/>
  <c r="AI3166" i="1"/>
  <c r="H3167" i="1"/>
  <c r="AE3167" i="1"/>
  <c r="I3167" i="1"/>
  <c r="J3167" i="1"/>
  <c r="K3167" i="1"/>
  <c r="AC3167" i="1"/>
  <c r="AJ3166" i="1"/>
  <c r="AK3166" i="1"/>
  <c r="AM3166" i="1"/>
  <c r="BF3166" i="1"/>
  <c r="BG3166" i="1"/>
  <c r="T3167" i="1"/>
  <c r="U3167" i="1"/>
  <c r="V3167" i="1"/>
  <c r="W3167" i="1"/>
  <c r="X3167" i="1"/>
  <c r="Y3167" i="1"/>
  <c r="Z3167" i="1"/>
  <c r="AB3167" i="1"/>
  <c r="AF3167" i="1"/>
  <c r="AI3167" i="1"/>
  <c r="H3168" i="1"/>
  <c r="AE3168" i="1"/>
  <c r="I3168" i="1"/>
  <c r="J3168" i="1"/>
  <c r="K3168" i="1"/>
  <c r="AC3168" i="1"/>
  <c r="AJ3167" i="1"/>
  <c r="AK3167" i="1"/>
  <c r="AM3167" i="1"/>
  <c r="BF3167" i="1"/>
  <c r="BG3167" i="1"/>
  <c r="T3168" i="1"/>
  <c r="U3168" i="1"/>
  <c r="V3168" i="1"/>
  <c r="W3168" i="1"/>
  <c r="X3168" i="1"/>
  <c r="Y3168" i="1"/>
  <c r="Z3168" i="1"/>
  <c r="AB3168" i="1"/>
  <c r="AF3168" i="1"/>
  <c r="AI3168" i="1"/>
  <c r="H3169" i="1"/>
  <c r="AE3169" i="1"/>
  <c r="I3169" i="1"/>
  <c r="J3169" i="1"/>
  <c r="K3169" i="1"/>
  <c r="AC3169" i="1"/>
  <c r="AJ3168" i="1"/>
  <c r="AK3168" i="1"/>
  <c r="AM3168" i="1"/>
  <c r="BF3168" i="1"/>
  <c r="BG3168" i="1"/>
  <c r="T3169" i="1"/>
  <c r="U3169" i="1"/>
  <c r="V3169" i="1"/>
  <c r="W3169" i="1"/>
  <c r="X3169" i="1"/>
  <c r="Y3169" i="1"/>
  <c r="Z3169" i="1"/>
  <c r="AB3169" i="1"/>
  <c r="AF3169" i="1"/>
  <c r="AI3169" i="1"/>
  <c r="H3170" i="1"/>
  <c r="AE3170" i="1"/>
  <c r="I3170" i="1"/>
  <c r="J3170" i="1"/>
  <c r="K3170" i="1"/>
  <c r="AC3170" i="1"/>
  <c r="AJ3169" i="1"/>
  <c r="AK3169" i="1"/>
  <c r="AM3169" i="1"/>
  <c r="BF3169" i="1"/>
  <c r="BG3169" i="1"/>
  <c r="T3170" i="1"/>
  <c r="U3170" i="1"/>
  <c r="V3170" i="1"/>
  <c r="W3170" i="1"/>
  <c r="X3170" i="1"/>
  <c r="Y3170" i="1"/>
  <c r="Z3170" i="1"/>
  <c r="AB3170" i="1"/>
  <c r="AF3170" i="1"/>
  <c r="AI3170" i="1"/>
  <c r="H3171" i="1"/>
  <c r="AE3171" i="1"/>
  <c r="I3171" i="1"/>
  <c r="J3171" i="1"/>
  <c r="K3171" i="1"/>
  <c r="AC3171" i="1"/>
  <c r="AJ3170" i="1"/>
  <c r="AK3170" i="1"/>
  <c r="AM3170" i="1"/>
  <c r="BF3170" i="1"/>
  <c r="BG3170" i="1"/>
  <c r="T3171" i="1"/>
  <c r="U3171" i="1"/>
  <c r="V3171" i="1"/>
  <c r="W3171" i="1"/>
  <c r="X3171" i="1"/>
  <c r="Y3171" i="1"/>
  <c r="Z3171" i="1"/>
  <c r="AB3171" i="1"/>
  <c r="AF3171" i="1"/>
  <c r="AI3171" i="1"/>
  <c r="AE3172" i="1"/>
  <c r="AC3172" i="1"/>
  <c r="AJ3171" i="1"/>
  <c r="AK3171" i="1"/>
  <c r="AM3171" i="1"/>
  <c r="BF3171" i="1"/>
  <c r="BG3171" i="1"/>
  <c r="T3172" i="1"/>
  <c r="U3172" i="1"/>
  <c r="V3172" i="1"/>
  <c r="W3172" i="1"/>
  <c r="X3172" i="1"/>
  <c r="Y3172" i="1"/>
  <c r="Z3172" i="1"/>
  <c r="AB3172" i="1"/>
  <c r="AF3172" i="1"/>
  <c r="AI3172" i="1"/>
  <c r="AE3173" i="1"/>
  <c r="AC3173" i="1"/>
  <c r="AJ3172" i="1"/>
  <c r="AK3172" i="1"/>
  <c r="AM3172" i="1"/>
  <c r="BF3172" i="1"/>
  <c r="BG3172" i="1"/>
  <c r="T3173" i="1"/>
  <c r="U3173" i="1"/>
  <c r="V3173" i="1"/>
  <c r="W3173" i="1"/>
  <c r="X3173" i="1"/>
  <c r="Y3173" i="1"/>
  <c r="Z3173" i="1"/>
  <c r="AB3173" i="1"/>
  <c r="AF3173" i="1"/>
  <c r="AI3173" i="1"/>
  <c r="H3174" i="1"/>
  <c r="AE3174" i="1"/>
  <c r="I3174" i="1"/>
  <c r="J3174" i="1"/>
  <c r="K3174" i="1"/>
  <c r="AC3174" i="1"/>
  <c r="AJ3173" i="1"/>
  <c r="AK3173" i="1"/>
  <c r="AM3173" i="1"/>
  <c r="BG3173" i="1"/>
  <c r="T3174" i="1"/>
  <c r="U3174" i="1"/>
  <c r="V3174" i="1"/>
  <c r="W3174" i="1"/>
  <c r="X3174" i="1"/>
  <c r="Y3174" i="1"/>
  <c r="Z3174" i="1"/>
  <c r="AB3174" i="1"/>
  <c r="AF3174" i="1"/>
  <c r="AI3174" i="1"/>
  <c r="H3175" i="1"/>
  <c r="AE3175" i="1"/>
  <c r="I3175" i="1"/>
  <c r="J3175" i="1"/>
  <c r="K3175" i="1"/>
  <c r="AC3175" i="1"/>
  <c r="AJ3174" i="1"/>
  <c r="AK3174" i="1"/>
  <c r="AM3174" i="1"/>
  <c r="BF3174" i="1"/>
  <c r="BG3174" i="1"/>
  <c r="T3175" i="1"/>
  <c r="U3175" i="1"/>
  <c r="V3175" i="1"/>
  <c r="W3175" i="1"/>
  <c r="X3175" i="1"/>
  <c r="Y3175" i="1"/>
  <c r="Z3175" i="1"/>
  <c r="AB3175" i="1"/>
  <c r="AF3175" i="1"/>
  <c r="AI3175" i="1"/>
  <c r="AE3176" i="1"/>
  <c r="AC3176" i="1"/>
  <c r="AJ3175" i="1"/>
  <c r="AK3175" i="1"/>
  <c r="AM3175" i="1"/>
  <c r="BF3175" i="1"/>
  <c r="BG3175" i="1"/>
  <c r="T3176" i="1"/>
  <c r="U3176" i="1"/>
  <c r="V3176" i="1"/>
  <c r="W3176" i="1"/>
  <c r="X3176" i="1"/>
  <c r="Y3176" i="1"/>
  <c r="Z3176" i="1"/>
  <c r="AB3176" i="1"/>
  <c r="AF3176" i="1"/>
  <c r="AI3176" i="1"/>
  <c r="AE3177" i="1"/>
  <c r="AC3177" i="1"/>
  <c r="AJ3176" i="1"/>
  <c r="AK3176" i="1"/>
  <c r="AM3176" i="1"/>
  <c r="BF3176" i="1"/>
  <c r="BG3176" i="1"/>
  <c r="T3177" i="1"/>
  <c r="U3177" i="1"/>
  <c r="V3177" i="1"/>
  <c r="W3177" i="1"/>
  <c r="X3177" i="1"/>
  <c r="Y3177" i="1"/>
  <c r="Z3177" i="1"/>
  <c r="AB3177" i="1"/>
  <c r="AF3177" i="1"/>
  <c r="AI3177" i="1"/>
  <c r="H3178" i="1"/>
  <c r="AE3178" i="1"/>
  <c r="I3178" i="1"/>
  <c r="J3178" i="1"/>
  <c r="K3178" i="1"/>
  <c r="AC3178" i="1"/>
  <c r="AJ3177" i="1"/>
  <c r="AK3177" i="1"/>
  <c r="AM3177" i="1"/>
  <c r="BG3177" i="1"/>
  <c r="T3178" i="1"/>
  <c r="U3178" i="1"/>
  <c r="V3178" i="1"/>
  <c r="W3178" i="1"/>
  <c r="X3178" i="1"/>
  <c r="Y3178" i="1"/>
  <c r="Z3178" i="1"/>
  <c r="AB3178" i="1"/>
  <c r="AF3178" i="1"/>
  <c r="AI3178" i="1"/>
  <c r="H3179" i="1"/>
  <c r="AE3179" i="1"/>
  <c r="I3179" i="1"/>
  <c r="J3179" i="1"/>
  <c r="K3179" i="1"/>
  <c r="AC3179" i="1"/>
  <c r="AJ3178" i="1"/>
  <c r="AK3178" i="1"/>
  <c r="AM3178" i="1"/>
  <c r="BF3178" i="1"/>
  <c r="BG3178" i="1"/>
  <c r="T3179" i="1"/>
  <c r="U3179" i="1"/>
  <c r="V3179" i="1"/>
  <c r="W3179" i="1"/>
  <c r="X3179" i="1"/>
  <c r="Y3179" i="1"/>
  <c r="Z3179" i="1"/>
  <c r="AB3179" i="1"/>
  <c r="AF3179" i="1"/>
  <c r="AI3179" i="1"/>
  <c r="H3180" i="1"/>
  <c r="AE3180" i="1"/>
  <c r="I3180" i="1"/>
  <c r="J3180" i="1"/>
  <c r="K3180" i="1"/>
  <c r="AC3180" i="1"/>
  <c r="AJ3179" i="1"/>
  <c r="AK3179" i="1"/>
  <c r="AM3179" i="1"/>
  <c r="BF3179" i="1"/>
  <c r="BG3179" i="1"/>
  <c r="T3180" i="1"/>
  <c r="U3180" i="1"/>
  <c r="V3180" i="1"/>
  <c r="W3180" i="1"/>
  <c r="X3180" i="1"/>
  <c r="Y3180" i="1"/>
  <c r="Z3180" i="1"/>
  <c r="AB3180" i="1"/>
  <c r="AF3180" i="1"/>
  <c r="AI3180" i="1"/>
  <c r="H3181" i="1"/>
  <c r="AE3181" i="1"/>
  <c r="I3181" i="1"/>
  <c r="J3181" i="1"/>
  <c r="K3181" i="1"/>
  <c r="AC3181" i="1"/>
  <c r="AJ3180" i="1"/>
  <c r="AK3180" i="1"/>
  <c r="AM3180" i="1"/>
  <c r="BF3180" i="1"/>
  <c r="BG3180" i="1"/>
  <c r="T3181" i="1"/>
  <c r="U3181" i="1"/>
  <c r="V3181" i="1"/>
  <c r="W3181" i="1"/>
  <c r="X3181" i="1"/>
  <c r="Y3181" i="1"/>
  <c r="Z3181" i="1"/>
  <c r="AB3181" i="1"/>
  <c r="AF3181" i="1"/>
  <c r="AI3181" i="1"/>
  <c r="H3182" i="1"/>
  <c r="AE3182" i="1"/>
  <c r="I3182" i="1"/>
  <c r="J3182" i="1"/>
  <c r="K3182" i="1"/>
  <c r="AC3182" i="1"/>
  <c r="AJ3181" i="1"/>
  <c r="AK3181" i="1"/>
  <c r="AM3181" i="1"/>
  <c r="BF3181" i="1"/>
  <c r="BG3181" i="1"/>
  <c r="T3182" i="1"/>
  <c r="U3182" i="1"/>
  <c r="V3182" i="1"/>
  <c r="W3182" i="1"/>
  <c r="X3182" i="1"/>
  <c r="Y3182" i="1"/>
  <c r="Z3182" i="1"/>
  <c r="AB3182" i="1"/>
  <c r="AF3182" i="1"/>
  <c r="AI3182" i="1"/>
  <c r="H3183" i="1"/>
  <c r="AE3183" i="1"/>
  <c r="I3183" i="1"/>
  <c r="J3183" i="1"/>
  <c r="K3183" i="1"/>
  <c r="AC3183" i="1"/>
  <c r="AJ3182" i="1"/>
  <c r="AK3182" i="1"/>
  <c r="AM3182" i="1"/>
  <c r="BF3182" i="1"/>
  <c r="BG3182" i="1"/>
  <c r="T3183" i="1"/>
  <c r="U3183" i="1"/>
  <c r="V3183" i="1"/>
  <c r="W3183" i="1"/>
  <c r="X3183" i="1"/>
  <c r="Y3183" i="1"/>
  <c r="Z3183" i="1"/>
  <c r="AB3183" i="1"/>
  <c r="AF3183" i="1"/>
  <c r="AI3183" i="1"/>
  <c r="H3184" i="1"/>
  <c r="AE3184" i="1"/>
  <c r="I3184" i="1"/>
  <c r="J3184" i="1"/>
  <c r="K3184" i="1"/>
  <c r="AC3184" i="1"/>
  <c r="AJ3183" i="1"/>
  <c r="AK3183" i="1"/>
  <c r="AM3183" i="1"/>
  <c r="BF3183" i="1"/>
  <c r="BG3183" i="1"/>
  <c r="T3184" i="1"/>
  <c r="U3184" i="1"/>
  <c r="V3184" i="1"/>
  <c r="W3184" i="1"/>
  <c r="X3184" i="1"/>
  <c r="Y3184" i="1"/>
  <c r="Z3184" i="1"/>
  <c r="AB3184" i="1"/>
  <c r="AF3184" i="1"/>
  <c r="AI3184" i="1"/>
  <c r="AE3185" i="1"/>
  <c r="AC3185" i="1"/>
  <c r="AJ3184" i="1"/>
  <c r="AK3184" i="1"/>
  <c r="AM3184" i="1"/>
  <c r="BF3184" i="1"/>
  <c r="BG3184" i="1"/>
  <c r="T3185" i="1"/>
  <c r="U3185" i="1"/>
  <c r="V3185" i="1"/>
  <c r="W3185" i="1"/>
  <c r="X3185" i="1"/>
  <c r="Y3185" i="1"/>
  <c r="Z3185" i="1"/>
  <c r="AB3185" i="1"/>
  <c r="AF3185" i="1"/>
  <c r="AI3185" i="1"/>
  <c r="AE3186" i="1"/>
  <c r="AC3186" i="1"/>
  <c r="AJ3185" i="1"/>
  <c r="AK3185" i="1"/>
  <c r="AM3185" i="1"/>
  <c r="BF3185" i="1"/>
  <c r="BG3185" i="1"/>
  <c r="T3186" i="1"/>
  <c r="U3186" i="1"/>
  <c r="V3186" i="1"/>
  <c r="W3186" i="1"/>
  <c r="X3186" i="1"/>
  <c r="Y3186" i="1"/>
  <c r="Z3186" i="1"/>
  <c r="AB3186" i="1"/>
  <c r="AF3186" i="1"/>
  <c r="AI3186" i="1"/>
  <c r="H3187" i="1"/>
  <c r="AE3187" i="1"/>
  <c r="I3187" i="1"/>
  <c r="J3187" i="1"/>
  <c r="K3187" i="1"/>
  <c r="AC3187" i="1"/>
  <c r="AJ3186" i="1"/>
  <c r="AK3186" i="1"/>
  <c r="AM3186" i="1"/>
  <c r="BG3186" i="1"/>
  <c r="T3187" i="1"/>
  <c r="U3187" i="1"/>
  <c r="V3187" i="1"/>
  <c r="W3187" i="1"/>
  <c r="X3187" i="1"/>
  <c r="Y3187" i="1"/>
  <c r="Z3187" i="1"/>
  <c r="AB3187" i="1"/>
  <c r="AF3187" i="1"/>
  <c r="AI3187" i="1"/>
  <c r="AE3188" i="1"/>
  <c r="AC3188" i="1"/>
  <c r="AJ3187" i="1"/>
  <c r="AK3187" i="1"/>
  <c r="AM3187" i="1"/>
  <c r="BF3187" i="1"/>
  <c r="BG3187" i="1"/>
  <c r="T3188" i="1"/>
  <c r="U3188" i="1"/>
  <c r="V3188" i="1"/>
  <c r="W3188" i="1"/>
  <c r="X3188" i="1"/>
  <c r="Y3188" i="1"/>
  <c r="Z3188" i="1"/>
  <c r="AB3188" i="1"/>
  <c r="AF3188" i="1"/>
  <c r="AI3188" i="1"/>
  <c r="AE3189" i="1"/>
  <c r="AC3189" i="1"/>
  <c r="AJ3188" i="1"/>
  <c r="AK3188" i="1"/>
  <c r="AM3188" i="1"/>
  <c r="BF3188" i="1"/>
  <c r="BG3188" i="1"/>
  <c r="T3189" i="1"/>
  <c r="U3189" i="1"/>
  <c r="V3189" i="1"/>
  <c r="W3189" i="1"/>
  <c r="X3189" i="1"/>
  <c r="Y3189" i="1"/>
  <c r="Z3189" i="1"/>
  <c r="AB3189" i="1"/>
  <c r="AF3189" i="1"/>
  <c r="AI3189" i="1"/>
  <c r="H3190" i="1"/>
  <c r="AE3190" i="1"/>
  <c r="I3190" i="1"/>
  <c r="J3190" i="1"/>
  <c r="K3190" i="1"/>
  <c r="AC3190" i="1"/>
  <c r="AJ3189" i="1"/>
  <c r="AK3189" i="1"/>
  <c r="AM3189" i="1"/>
  <c r="BG3189" i="1"/>
  <c r="T3190" i="1"/>
  <c r="U3190" i="1"/>
  <c r="V3190" i="1"/>
  <c r="W3190" i="1"/>
  <c r="X3190" i="1"/>
  <c r="Y3190" i="1"/>
  <c r="Z3190" i="1"/>
  <c r="AB3190" i="1"/>
  <c r="AF3190" i="1"/>
  <c r="AI3190" i="1"/>
  <c r="H3191" i="1"/>
  <c r="AE3191" i="1"/>
  <c r="I3191" i="1"/>
  <c r="J3191" i="1"/>
  <c r="K3191" i="1"/>
  <c r="AC3191" i="1"/>
  <c r="AJ3190" i="1"/>
  <c r="AK3190" i="1"/>
  <c r="AM3190" i="1"/>
  <c r="BF3190" i="1"/>
  <c r="BG3190" i="1"/>
  <c r="T3191" i="1"/>
  <c r="U3191" i="1"/>
  <c r="V3191" i="1"/>
  <c r="W3191" i="1"/>
  <c r="X3191" i="1"/>
  <c r="Y3191" i="1"/>
  <c r="Z3191" i="1"/>
  <c r="AB3191" i="1"/>
  <c r="AF3191" i="1"/>
  <c r="AI3191" i="1"/>
  <c r="H3192" i="1"/>
  <c r="AE3192" i="1"/>
  <c r="I3192" i="1"/>
  <c r="J3192" i="1"/>
  <c r="K3192" i="1"/>
  <c r="AC3192" i="1"/>
  <c r="AJ3191" i="1"/>
  <c r="AK3191" i="1"/>
  <c r="AM3191" i="1"/>
  <c r="BF3191" i="1"/>
  <c r="BG3191" i="1"/>
  <c r="T3192" i="1"/>
  <c r="U3192" i="1"/>
  <c r="V3192" i="1"/>
  <c r="W3192" i="1"/>
  <c r="X3192" i="1"/>
  <c r="Y3192" i="1"/>
  <c r="Z3192" i="1"/>
  <c r="AB3192" i="1"/>
  <c r="AF3192" i="1"/>
  <c r="AI3192" i="1"/>
  <c r="H3193" i="1"/>
  <c r="AE3193" i="1"/>
  <c r="I3193" i="1"/>
  <c r="J3193" i="1"/>
  <c r="K3193" i="1"/>
  <c r="AC3193" i="1"/>
  <c r="AJ3192" i="1"/>
  <c r="AK3192" i="1"/>
  <c r="AM3192" i="1"/>
  <c r="BF3192" i="1"/>
  <c r="BG3192" i="1"/>
  <c r="T3193" i="1"/>
  <c r="U3193" i="1"/>
  <c r="V3193" i="1"/>
  <c r="W3193" i="1"/>
  <c r="X3193" i="1"/>
  <c r="Y3193" i="1"/>
  <c r="Z3193" i="1"/>
  <c r="AB3193" i="1"/>
  <c r="AF3193" i="1"/>
  <c r="AI3193" i="1"/>
  <c r="H3194" i="1"/>
  <c r="AE3194" i="1"/>
  <c r="I3194" i="1"/>
  <c r="J3194" i="1"/>
  <c r="K3194" i="1"/>
  <c r="AC3194" i="1"/>
  <c r="AJ3193" i="1"/>
  <c r="AK3193" i="1"/>
  <c r="AM3193" i="1"/>
  <c r="BF3193" i="1"/>
  <c r="BG3193" i="1"/>
  <c r="T3194" i="1"/>
  <c r="U3194" i="1"/>
  <c r="V3194" i="1"/>
  <c r="W3194" i="1"/>
  <c r="X3194" i="1"/>
  <c r="Y3194" i="1"/>
  <c r="Z3194" i="1"/>
  <c r="AB3194" i="1"/>
  <c r="AF3194" i="1"/>
  <c r="AI3194" i="1"/>
  <c r="H3195" i="1"/>
  <c r="AE3195" i="1"/>
  <c r="I3195" i="1"/>
  <c r="J3195" i="1"/>
  <c r="K3195" i="1"/>
  <c r="AC3195" i="1"/>
  <c r="AJ3194" i="1"/>
  <c r="AK3194" i="1"/>
  <c r="AM3194" i="1"/>
  <c r="BF3194" i="1"/>
  <c r="BG3194" i="1"/>
  <c r="T3195" i="1"/>
  <c r="U3195" i="1"/>
  <c r="V3195" i="1"/>
  <c r="W3195" i="1"/>
  <c r="X3195" i="1"/>
  <c r="Y3195" i="1"/>
  <c r="Z3195" i="1"/>
  <c r="AB3195" i="1"/>
  <c r="AF3195" i="1"/>
  <c r="AI3195" i="1"/>
  <c r="H3196" i="1"/>
  <c r="AE3196" i="1"/>
  <c r="I3196" i="1"/>
  <c r="J3196" i="1"/>
  <c r="K3196" i="1"/>
  <c r="AC3196" i="1"/>
  <c r="AJ3195" i="1"/>
  <c r="AK3195" i="1"/>
  <c r="AM3195" i="1"/>
  <c r="BF3195" i="1"/>
  <c r="BG3195" i="1"/>
  <c r="T3196" i="1"/>
  <c r="U3196" i="1"/>
  <c r="V3196" i="1"/>
  <c r="W3196" i="1"/>
  <c r="X3196" i="1"/>
  <c r="Y3196" i="1"/>
  <c r="Z3196" i="1"/>
  <c r="AB3196" i="1"/>
  <c r="AF3196" i="1"/>
  <c r="AI3196" i="1"/>
  <c r="H3197" i="1"/>
  <c r="AE3197" i="1"/>
  <c r="I3197" i="1"/>
  <c r="J3197" i="1"/>
  <c r="K3197" i="1"/>
  <c r="AC3197" i="1"/>
  <c r="AJ3196" i="1"/>
  <c r="AK3196" i="1"/>
  <c r="AM3196" i="1"/>
  <c r="BF3196" i="1"/>
  <c r="BG3196" i="1"/>
  <c r="T3197" i="1"/>
  <c r="U3197" i="1"/>
  <c r="V3197" i="1"/>
  <c r="W3197" i="1"/>
  <c r="X3197" i="1"/>
  <c r="Y3197" i="1"/>
  <c r="Z3197" i="1"/>
  <c r="AB3197" i="1"/>
  <c r="AF3197" i="1"/>
  <c r="AI3197" i="1"/>
  <c r="AE3198" i="1"/>
  <c r="AC3198" i="1"/>
  <c r="AJ3197" i="1"/>
  <c r="AK3197" i="1"/>
  <c r="AM3197" i="1"/>
  <c r="BF3197" i="1"/>
  <c r="BG3197" i="1"/>
  <c r="T3198" i="1"/>
  <c r="U3198" i="1"/>
  <c r="V3198" i="1"/>
  <c r="W3198" i="1"/>
  <c r="X3198" i="1"/>
  <c r="Y3198" i="1"/>
  <c r="Z3198" i="1"/>
  <c r="AB3198" i="1"/>
  <c r="AF3198" i="1"/>
  <c r="AI3198" i="1"/>
  <c r="AE3199" i="1"/>
  <c r="AC3199" i="1"/>
  <c r="AJ3198" i="1"/>
  <c r="AK3198" i="1"/>
  <c r="AM3198" i="1"/>
  <c r="BF3198" i="1"/>
  <c r="BG3198" i="1"/>
  <c r="T3199" i="1"/>
  <c r="U3199" i="1"/>
  <c r="V3199" i="1"/>
  <c r="W3199" i="1"/>
  <c r="X3199" i="1"/>
  <c r="Y3199" i="1"/>
  <c r="Z3199" i="1"/>
  <c r="AB3199" i="1"/>
  <c r="AF3199" i="1"/>
  <c r="AI3199" i="1"/>
  <c r="H3200" i="1"/>
  <c r="AE3200" i="1"/>
  <c r="I3200" i="1"/>
  <c r="J3200" i="1"/>
  <c r="K3200" i="1"/>
  <c r="AC3200" i="1"/>
  <c r="AJ3199" i="1"/>
  <c r="AK3199" i="1"/>
  <c r="AM3199" i="1"/>
  <c r="BG3199" i="1"/>
  <c r="T3200" i="1"/>
  <c r="U3200" i="1"/>
  <c r="V3200" i="1"/>
  <c r="W3200" i="1"/>
  <c r="X3200" i="1"/>
  <c r="Y3200" i="1"/>
  <c r="Z3200" i="1"/>
  <c r="AB3200" i="1"/>
  <c r="AF3200" i="1"/>
  <c r="AI3200" i="1"/>
  <c r="H3201" i="1"/>
  <c r="AE3201" i="1"/>
  <c r="I3201" i="1"/>
  <c r="J3201" i="1"/>
  <c r="K3201" i="1"/>
  <c r="AC3201" i="1"/>
  <c r="AJ3200" i="1"/>
  <c r="AK3200" i="1"/>
  <c r="AM3200" i="1"/>
  <c r="BF3200" i="1"/>
  <c r="BG3200" i="1"/>
  <c r="T3201" i="1"/>
  <c r="U3201" i="1"/>
  <c r="V3201" i="1"/>
  <c r="W3201" i="1"/>
  <c r="X3201" i="1"/>
  <c r="Y3201" i="1"/>
  <c r="Z3201" i="1"/>
  <c r="AB3201" i="1"/>
  <c r="AF3201" i="1"/>
  <c r="AI3201" i="1"/>
  <c r="AE3202" i="1"/>
  <c r="AC3202" i="1"/>
  <c r="AJ3201" i="1"/>
  <c r="AK3201" i="1"/>
  <c r="AM3201" i="1"/>
  <c r="BF3201" i="1"/>
  <c r="BG3201" i="1"/>
  <c r="T3202" i="1"/>
  <c r="U3202" i="1"/>
  <c r="V3202" i="1"/>
  <c r="W3202" i="1"/>
  <c r="X3202" i="1"/>
  <c r="Y3202" i="1"/>
  <c r="Z3202" i="1"/>
  <c r="AB3202" i="1"/>
  <c r="AF3202" i="1"/>
  <c r="AI3202" i="1"/>
  <c r="AE3203" i="1"/>
  <c r="AC3203" i="1"/>
  <c r="AJ3202" i="1"/>
  <c r="AK3202" i="1"/>
  <c r="AM3202" i="1"/>
  <c r="BF3202" i="1"/>
  <c r="BG3202" i="1"/>
  <c r="T3203" i="1"/>
  <c r="U3203" i="1"/>
  <c r="V3203" i="1"/>
  <c r="W3203" i="1"/>
  <c r="X3203" i="1"/>
  <c r="Y3203" i="1"/>
  <c r="Z3203" i="1"/>
  <c r="AB3203" i="1"/>
  <c r="AF3203" i="1"/>
  <c r="AI3203" i="1"/>
  <c r="H3204" i="1"/>
  <c r="AE3204" i="1"/>
  <c r="I3204" i="1"/>
  <c r="J3204" i="1"/>
  <c r="K3204" i="1"/>
  <c r="AC3204" i="1"/>
  <c r="AJ3203" i="1"/>
  <c r="AK3203" i="1"/>
  <c r="AM3203" i="1"/>
  <c r="BG3203" i="1"/>
  <c r="T3204" i="1"/>
  <c r="U3204" i="1"/>
  <c r="V3204" i="1"/>
  <c r="W3204" i="1"/>
  <c r="X3204" i="1"/>
  <c r="Y3204" i="1"/>
  <c r="Z3204" i="1"/>
  <c r="AB3204" i="1"/>
  <c r="AF3204" i="1"/>
  <c r="AI3204" i="1"/>
  <c r="AE3205" i="1"/>
  <c r="AC3205" i="1"/>
  <c r="AJ3204" i="1"/>
  <c r="AK3204" i="1"/>
  <c r="AM3204" i="1"/>
  <c r="BF3204" i="1"/>
  <c r="BG3204" i="1"/>
  <c r="T3205" i="1"/>
  <c r="U3205" i="1"/>
  <c r="V3205" i="1"/>
  <c r="W3205" i="1"/>
  <c r="X3205" i="1"/>
  <c r="Y3205" i="1"/>
  <c r="Z3205" i="1"/>
  <c r="AB3205" i="1"/>
  <c r="AF3205" i="1"/>
  <c r="AI3205" i="1"/>
  <c r="AE3206" i="1"/>
  <c r="AC3206" i="1"/>
  <c r="AJ3205" i="1"/>
  <c r="AK3205" i="1"/>
  <c r="AM3205" i="1"/>
  <c r="BF3205" i="1"/>
  <c r="BG3205" i="1"/>
  <c r="T3206" i="1"/>
  <c r="U3206" i="1"/>
  <c r="V3206" i="1"/>
  <c r="W3206" i="1"/>
  <c r="X3206" i="1"/>
  <c r="Y3206" i="1"/>
  <c r="Z3206" i="1"/>
  <c r="AB3206" i="1"/>
  <c r="AF3206" i="1"/>
  <c r="AI3206" i="1"/>
  <c r="AE3207" i="1"/>
  <c r="AC3207" i="1"/>
  <c r="AJ3206" i="1"/>
  <c r="AK3206" i="1"/>
  <c r="AM3206" i="1"/>
  <c r="BF3206" i="1"/>
  <c r="BG3206" i="1"/>
  <c r="T3207" i="1"/>
  <c r="U3207" i="1"/>
  <c r="V3207" i="1"/>
  <c r="W3207" i="1"/>
  <c r="X3207" i="1"/>
  <c r="Y3207" i="1"/>
  <c r="Z3207" i="1"/>
  <c r="AB3207" i="1"/>
  <c r="AF3207" i="1"/>
  <c r="AI3207" i="1"/>
  <c r="H3208" i="1"/>
  <c r="AE3208" i="1"/>
  <c r="I3208" i="1"/>
  <c r="J3208" i="1"/>
  <c r="K3208" i="1"/>
  <c r="AC3208" i="1"/>
  <c r="AJ3207" i="1"/>
  <c r="AK3207" i="1"/>
  <c r="AM3207" i="1"/>
  <c r="BG3207" i="1"/>
  <c r="T3208" i="1"/>
  <c r="U3208" i="1"/>
  <c r="V3208" i="1"/>
  <c r="W3208" i="1"/>
  <c r="X3208" i="1"/>
  <c r="Y3208" i="1"/>
  <c r="Z3208" i="1"/>
  <c r="AB3208" i="1"/>
  <c r="AF3208" i="1"/>
  <c r="AI3208" i="1"/>
  <c r="AE3209" i="1"/>
  <c r="AC3209" i="1"/>
  <c r="AJ3208" i="1"/>
  <c r="AK3208" i="1"/>
  <c r="AM3208" i="1"/>
  <c r="BF3208" i="1"/>
  <c r="BG3208" i="1"/>
  <c r="T3209" i="1"/>
  <c r="U3209" i="1"/>
  <c r="V3209" i="1"/>
  <c r="W3209" i="1"/>
  <c r="X3209" i="1"/>
  <c r="Y3209" i="1"/>
  <c r="Z3209" i="1"/>
  <c r="AB3209" i="1"/>
  <c r="AF3209" i="1"/>
  <c r="AI3209" i="1"/>
  <c r="AE3210" i="1"/>
  <c r="AC3210" i="1"/>
  <c r="AJ3209" i="1"/>
  <c r="AK3209" i="1"/>
  <c r="AM3209" i="1"/>
  <c r="BF3209" i="1"/>
  <c r="BG3209" i="1"/>
  <c r="T3210" i="1"/>
  <c r="U3210" i="1"/>
  <c r="V3210" i="1"/>
  <c r="W3210" i="1"/>
  <c r="X3210" i="1"/>
  <c r="Y3210" i="1"/>
  <c r="Z3210" i="1"/>
  <c r="AB3210" i="1"/>
  <c r="AF3210" i="1"/>
  <c r="AI3210" i="1"/>
  <c r="AE3211" i="1"/>
  <c r="AC3211" i="1"/>
  <c r="AJ3210" i="1"/>
  <c r="AK3210" i="1"/>
  <c r="AM3210" i="1"/>
  <c r="BF3210" i="1"/>
  <c r="BG3210" i="1"/>
  <c r="T3211" i="1"/>
  <c r="U3211" i="1"/>
  <c r="V3211" i="1"/>
  <c r="W3211" i="1"/>
  <c r="X3211" i="1"/>
  <c r="Y3211" i="1"/>
  <c r="Z3211" i="1"/>
  <c r="AB3211" i="1"/>
  <c r="AF3211" i="1"/>
  <c r="AI3211" i="1"/>
  <c r="AE3212" i="1"/>
  <c r="AC3212" i="1"/>
  <c r="AJ3211" i="1"/>
  <c r="AK3211" i="1"/>
  <c r="AM3211" i="1"/>
  <c r="BF3211" i="1"/>
  <c r="BG3211" i="1"/>
  <c r="T3212" i="1"/>
  <c r="U3212" i="1"/>
  <c r="V3212" i="1"/>
  <c r="W3212" i="1"/>
  <c r="X3212" i="1"/>
  <c r="Y3212" i="1"/>
  <c r="Z3212" i="1"/>
  <c r="AB3212" i="1"/>
  <c r="AF3212" i="1"/>
  <c r="AI3212" i="1"/>
  <c r="H3213" i="1"/>
  <c r="AE3213" i="1"/>
  <c r="I3213" i="1"/>
  <c r="J3213" i="1"/>
  <c r="K3213" i="1"/>
  <c r="AC3213" i="1"/>
  <c r="AJ3212" i="1"/>
  <c r="AK3212" i="1"/>
  <c r="AM3212" i="1"/>
  <c r="BG3212" i="1"/>
  <c r="T3213" i="1"/>
  <c r="U3213" i="1"/>
  <c r="V3213" i="1"/>
  <c r="W3213" i="1"/>
  <c r="X3213" i="1"/>
  <c r="Y3213" i="1"/>
  <c r="Z3213" i="1"/>
  <c r="AB3213" i="1"/>
  <c r="AF3213" i="1"/>
  <c r="AI3213" i="1"/>
  <c r="AE3214" i="1"/>
  <c r="AC3214" i="1"/>
  <c r="AJ3213" i="1"/>
  <c r="AK3213" i="1"/>
  <c r="AM3213" i="1"/>
  <c r="BF3213" i="1"/>
  <c r="BG3213" i="1"/>
  <c r="T3214" i="1"/>
  <c r="U3214" i="1"/>
  <c r="V3214" i="1"/>
  <c r="W3214" i="1"/>
  <c r="X3214" i="1"/>
  <c r="Y3214" i="1"/>
  <c r="Z3214" i="1"/>
  <c r="AB3214" i="1"/>
  <c r="AF3214" i="1"/>
  <c r="AI3214" i="1"/>
  <c r="AE3215" i="1"/>
  <c r="AC3215" i="1"/>
  <c r="AJ3214" i="1"/>
  <c r="AK3214" i="1"/>
  <c r="AM3214" i="1"/>
  <c r="BF3214" i="1"/>
  <c r="BG3214" i="1"/>
  <c r="T3215" i="1"/>
  <c r="U3215" i="1"/>
  <c r="V3215" i="1"/>
  <c r="W3215" i="1"/>
  <c r="X3215" i="1"/>
  <c r="Y3215" i="1"/>
  <c r="Z3215" i="1"/>
  <c r="AB3215" i="1"/>
  <c r="AF3215" i="1"/>
  <c r="AI3215" i="1"/>
  <c r="H3216" i="1"/>
  <c r="AE3216" i="1"/>
  <c r="I3216" i="1"/>
  <c r="J3216" i="1"/>
  <c r="K3216" i="1"/>
  <c r="AC3216" i="1"/>
  <c r="AJ3215" i="1"/>
  <c r="AK3215" i="1"/>
  <c r="AM3215" i="1"/>
  <c r="BG3215" i="1"/>
  <c r="T3216" i="1"/>
  <c r="U3216" i="1"/>
  <c r="V3216" i="1"/>
  <c r="W3216" i="1"/>
  <c r="X3216" i="1"/>
  <c r="Y3216" i="1"/>
  <c r="Z3216" i="1"/>
  <c r="AB3216" i="1"/>
  <c r="AF3216" i="1"/>
  <c r="AI3216" i="1"/>
  <c r="AE3217" i="1"/>
  <c r="AC3217" i="1"/>
  <c r="AJ3216" i="1"/>
  <c r="AK3216" i="1"/>
  <c r="AM3216" i="1"/>
  <c r="BF3216" i="1"/>
  <c r="BG3216" i="1"/>
  <c r="T3217" i="1"/>
  <c r="U3217" i="1"/>
  <c r="V3217" i="1"/>
  <c r="W3217" i="1"/>
  <c r="X3217" i="1"/>
  <c r="Y3217" i="1"/>
  <c r="Z3217" i="1"/>
  <c r="AB3217" i="1"/>
  <c r="AF3217" i="1"/>
  <c r="AI3217" i="1"/>
  <c r="AE3218" i="1"/>
  <c r="AC3218" i="1"/>
  <c r="AJ3217" i="1"/>
  <c r="AK3217" i="1"/>
  <c r="AM3217" i="1"/>
  <c r="BF3217" i="1"/>
  <c r="BG3217" i="1"/>
  <c r="T3218" i="1"/>
  <c r="U3218" i="1"/>
  <c r="V3218" i="1"/>
  <c r="W3218" i="1"/>
  <c r="X3218" i="1"/>
  <c r="Y3218" i="1"/>
  <c r="Z3218" i="1"/>
  <c r="AB3218" i="1"/>
  <c r="AF3218" i="1"/>
  <c r="AI3218" i="1"/>
  <c r="AE3219" i="1"/>
  <c r="AC3219" i="1"/>
  <c r="AJ3218" i="1"/>
  <c r="AK3218" i="1"/>
  <c r="AM3218" i="1"/>
  <c r="BF3218" i="1"/>
  <c r="BG3218" i="1"/>
  <c r="T3219" i="1"/>
  <c r="U3219" i="1"/>
  <c r="V3219" i="1"/>
  <c r="W3219" i="1"/>
  <c r="X3219" i="1"/>
  <c r="Y3219" i="1"/>
  <c r="Z3219" i="1"/>
  <c r="AB3219" i="1"/>
  <c r="AF3219" i="1"/>
  <c r="AI3219" i="1"/>
  <c r="H3220" i="1"/>
  <c r="AE3220" i="1"/>
  <c r="I3220" i="1"/>
  <c r="J3220" i="1"/>
  <c r="K3220" i="1"/>
  <c r="AC3220" i="1"/>
  <c r="AJ3219" i="1"/>
  <c r="AK3219" i="1"/>
  <c r="AM3219" i="1"/>
  <c r="BG3219" i="1"/>
  <c r="T3220" i="1"/>
  <c r="U3220" i="1"/>
  <c r="V3220" i="1"/>
  <c r="W3220" i="1"/>
  <c r="X3220" i="1"/>
  <c r="Y3220" i="1"/>
  <c r="Z3220" i="1"/>
  <c r="AB3220" i="1"/>
  <c r="AF3220" i="1"/>
  <c r="AI3220" i="1"/>
  <c r="AE3221" i="1"/>
  <c r="AC3221" i="1"/>
  <c r="AJ3220" i="1"/>
  <c r="AK3220" i="1"/>
  <c r="AM3220" i="1"/>
  <c r="BF3220" i="1"/>
  <c r="BG3220" i="1"/>
  <c r="T3221" i="1"/>
  <c r="U3221" i="1"/>
  <c r="V3221" i="1"/>
  <c r="W3221" i="1"/>
  <c r="X3221" i="1"/>
  <c r="Y3221" i="1"/>
  <c r="Z3221" i="1"/>
  <c r="AB3221" i="1"/>
  <c r="AF3221" i="1"/>
  <c r="AI3221" i="1"/>
  <c r="AE3222" i="1"/>
  <c r="AC3222" i="1"/>
  <c r="AJ3221" i="1"/>
  <c r="AK3221" i="1"/>
  <c r="AM3221" i="1"/>
  <c r="BF3221" i="1"/>
  <c r="BG3221" i="1"/>
  <c r="T3222" i="1"/>
  <c r="U3222" i="1"/>
  <c r="V3222" i="1"/>
  <c r="W3222" i="1"/>
  <c r="X3222" i="1"/>
  <c r="Y3222" i="1"/>
  <c r="Z3222" i="1"/>
  <c r="AB3222" i="1"/>
  <c r="AF3222" i="1"/>
  <c r="AI3222" i="1"/>
  <c r="H3223" i="1"/>
  <c r="AE3223" i="1"/>
  <c r="I3223" i="1"/>
  <c r="J3223" i="1"/>
  <c r="K3223" i="1"/>
  <c r="AC3223" i="1"/>
  <c r="AJ3222" i="1"/>
  <c r="AK3222" i="1"/>
  <c r="AM3222" i="1"/>
  <c r="BG3222" i="1"/>
  <c r="T3223" i="1"/>
  <c r="U3223" i="1"/>
  <c r="V3223" i="1"/>
  <c r="W3223" i="1"/>
  <c r="X3223" i="1"/>
  <c r="Y3223" i="1"/>
  <c r="Z3223" i="1"/>
  <c r="AB3223" i="1"/>
  <c r="AF3223" i="1"/>
  <c r="AI3223" i="1"/>
  <c r="H3224" i="1"/>
  <c r="AE3224" i="1"/>
  <c r="I3224" i="1"/>
  <c r="J3224" i="1"/>
  <c r="K3224" i="1"/>
  <c r="AC3224" i="1"/>
  <c r="AJ3223" i="1"/>
  <c r="AK3223" i="1"/>
  <c r="AM3223" i="1"/>
  <c r="BF3223" i="1"/>
  <c r="BG3223" i="1"/>
  <c r="T3224" i="1"/>
  <c r="U3224" i="1"/>
  <c r="V3224" i="1"/>
  <c r="W3224" i="1"/>
  <c r="X3224" i="1"/>
  <c r="Y3224" i="1"/>
  <c r="Z3224" i="1"/>
  <c r="AB3224" i="1"/>
  <c r="AF3224" i="1"/>
  <c r="AI3224" i="1"/>
  <c r="AE3225" i="1"/>
  <c r="AC3225" i="1"/>
  <c r="AJ3224" i="1"/>
  <c r="AK3224" i="1"/>
  <c r="AM3224" i="1"/>
  <c r="BF3224" i="1"/>
  <c r="BG3224" i="1"/>
  <c r="T3225" i="1"/>
  <c r="U3225" i="1"/>
  <c r="V3225" i="1"/>
  <c r="W3225" i="1"/>
  <c r="X3225" i="1"/>
  <c r="Y3225" i="1"/>
  <c r="Z3225" i="1"/>
  <c r="AB3225" i="1"/>
  <c r="AF3225" i="1"/>
  <c r="AI3225" i="1"/>
  <c r="AE3226" i="1"/>
  <c r="AC3226" i="1"/>
  <c r="AJ3225" i="1"/>
  <c r="AK3225" i="1"/>
  <c r="AM3225" i="1"/>
  <c r="BF3225" i="1"/>
  <c r="BG3225" i="1"/>
  <c r="T3226" i="1"/>
  <c r="U3226" i="1"/>
  <c r="V3226" i="1"/>
  <c r="W3226" i="1"/>
  <c r="X3226" i="1"/>
  <c r="Y3226" i="1"/>
  <c r="Z3226" i="1"/>
  <c r="AB3226" i="1"/>
  <c r="AF3226" i="1"/>
  <c r="AI3226" i="1"/>
  <c r="H3227" i="1"/>
  <c r="AE3227" i="1"/>
  <c r="I3227" i="1"/>
  <c r="J3227" i="1"/>
  <c r="K3227" i="1"/>
  <c r="AC3227" i="1"/>
  <c r="AJ3226" i="1"/>
  <c r="AK3226" i="1"/>
  <c r="AM3226" i="1"/>
  <c r="BG3226" i="1"/>
  <c r="T3227" i="1"/>
  <c r="U3227" i="1"/>
  <c r="V3227" i="1"/>
  <c r="W3227" i="1"/>
  <c r="X3227" i="1"/>
  <c r="Y3227" i="1"/>
  <c r="Z3227" i="1"/>
  <c r="AB3227" i="1"/>
  <c r="AF3227" i="1"/>
  <c r="AI3227" i="1"/>
  <c r="AE3228" i="1"/>
  <c r="AC3228" i="1"/>
  <c r="AJ3227" i="1"/>
  <c r="AK3227" i="1"/>
  <c r="AM3227" i="1"/>
  <c r="BF3227" i="1"/>
  <c r="BG3227" i="1"/>
  <c r="T3228" i="1"/>
  <c r="U3228" i="1"/>
  <c r="V3228" i="1"/>
  <c r="W3228" i="1"/>
  <c r="X3228" i="1"/>
  <c r="Y3228" i="1"/>
  <c r="Z3228" i="1"/>
  <c r="AB3228" i="1"/>
  <c r="AF3228" i="1"/>
  <c r="AI3228" i="1"/>
  <c r="AE3229" i="1"/>
  <c r="AC3229" i="1"/>
  <c r="AJ3228" i="1"/>
  <c r="AK3228" i="1"/>
  <c r="AM3228" i="1"/>
  <c r="BF3228" i="1"/>
  <c r="BG3228" i="1"/>
  <c r="T3229" i="1"/>
  <c r="U3229" i="1"/>
  <c r="V3229" i="1"/>
  <c r="W3229" i="1"/>
  <c r="X3229" i="1"/>
  <c r="Y3229" i="1"/>
  <c r="Z3229" i="1"/>
  <c r="AB3229" i="1"/>
  <c r="AF3229" i="1"/>
  <c r="AI3229" i="1"/>
  <c r="H3230" i="1"/>
  <c r="AE3230" i="1"/>
  <c r="I3230" i="1"/>
  <c r="J3230" i="1"/>
  <c r="K3230" i="1"/>
  <c r="AC3230" i="1"/>
  <c r="AJ3229" i="1"/>
  <c r="AK3229" i="1"/>
  <c r="AM3229" i="1"/>
  <c r="BG3229" i="1"/>
  <c r="T3230" i="1"/>
  <c r="U3230" i="1"/>
  <c r="V3230" i="1"/>
  <c r="W3230" i="1"/>
  <c r="X3230" i="1"/>
  <c r="Y3230" i="1"/>
  <c r="Z3230" i="1"/>
  <c r="AB3230" i="1"/>
  <c r="AF3230" i="1"/>
  <c r="AI3230" i="1"/>
  <c r="H3231" i="1"/>
  <c r="AE3231" i="1"/>
  <c r="I3231" i="1"/>
  <c r="J3231" i="1"/>
  <c r="K3231" i="1"/>
  <c r="AC3231" i="1"/>
  <c r="AJ3230" i="1"/>
  <c r="AK3230" i="1"/>
  <c r="AM3230" i="1"/>
  <c r="BF3230" i="1"/>
  <c r="BG3230" i="1"/>
  <c r="T3231" i="1"/>
  <c r="U3231" i="1"/>
  <c r="V3231" i="1"/>
  <c r="W3231" i="1"/>
  <c r="X3231" i="1"/>
  <c r="Y3231" i="1"/>
  <c r="Z3231" i="1"/>
  <c r="AB3231" i="1"/>
  <c r="AF3231" i="1"/>
  <c r="AI3231" i="1"/>
  <c r="H3232" i="1"/>
  <c r="AE3232" i="1"/>
  <c r="I3232" i="1"/>
  <c r="J3232" i="1"/>
  <c r="K3232" i="1"/>
  <c r="AC3232" i="1"/>
  <c r="AJ3231" i="1"/>
  <c r="AK3231" i="1"/>
  <c r="AM3231" i="1"/>
  <c r="BF3231" i="1"/>
  <c r="BG3231" i="1"/>
  <c r="T3232" i="1"/>
  <c r="U3232" i="1"/>
  <c r="V3232" i="1"/>
  <c r="W3232" i="1"/>
  <c r="X3232" i="1"/>
  <c r="Y3232" i="1"/>
  <c r="Z3232" i="1"/>
  <c r="AB3232" i="1"/>
  <c r="AF3232" i="1"/>
  <c r="AI3232" i="1"/>
  <c r="AE3233" i="1"/>
  <c r="AC3233" i="1"/>
  <c r="AJ3232" i="1"/>
  <c r="AK3232" i="1"/>
  <c r="AM3232" i="1"/>
  <c r="BF3232" i="1"/>
  <c r="BG3232" i="1"/>
  <c r="T3233" i="1"/>
  <c r="U3233" i="1"/>
  <c r="V3233" i="1"/>
  <c r="W3233" i="1"/>
  <c r="X3233" i="1"/>
  <c r="Y3233" i="1"/>
  <c r="Z3233" i="1"/>
  <c r="AB3233" i="1"/>
  <c r="AF3233" i="1"/>
  <c r="AI3233" i="1"/>
  <c r="AE3234" i="1"/>
  <c r="AC3234" i="1"/>
  <c r="AJ3233" i="1"/>
  <c r="AK3233" i="1"/>
  <c r="AM3233" i="1"/>
  <c r="BF3233" i="1"/>
  <c r="BG3233" i="1"/>
  <c r="T3234" i="1"/>
  <c r="U3234" i="1"/>
  <c r="V3234" i="1"/>
  <c r="W3234" i="1"/>
  <c r="X3234" i="1"/>
  <c r="Y3234" i="1"/>
  <c r="Z3234" i="1"/>
  <c r="AB3234" i="1"/>
  <c r="AF3234" i="1"/>
  <c r="AI3234" i="1"/>
  <c r="AE3235" i="1"/>
  <c r="AC3235" i="1"/>
  <c r="AJ3234" i="1"/>
  <c r="AK3234" i="1"/>
  <c r="AM3234" i="1"/>
  <c r="BF3234" i="1"/>
  <c r="BG3234" i="1"/>
  <c r="T3235" i="1"/>
  <c r="U3235" i="1"/>
  <c r="V3235" i="1"/>
  <c r="W3235" i="1"/>
  <c r="X3235" i="1"/>
  <c r="Y3235" i="1"/>
  <c r="Z3235" i="1"/>
  <c r="AB3235" i="1"/>
  <c r="AF3235" i="1"/>
  <c r="AI3235" i="1"/>
  <c r="H3236" i="1"/>
  <c r="AE3236" i="1"/>
  <c r="I3236" i="1"/>
  <c r="J3236" i="1"/>
  <c r="K3236" i="1"/>
  <c r="AC3236" i="1"/>
  <c r="AJ3235" i="1"/>
  <c r="AK3235" i="1"/>
  <c r="AM3235" i="1"/>
  <c r="BG3235" i="1"/>
  <c r="T3236" i="1"/>
  <c r="U3236" i="1"/>
  <c r="V3236" i="1"/>
  <c r="W3236" i="1"/>
  <c r="X3236" i="1"/>
  <c r="Y3236" i="1"/>
  <c r="Z3236" i="1"/>
  <c r="AB3236" i="1"/>
  <c r="AF3236" i="1"/>
  <c r="AI3236" i="1"/>
  <c r="AE3237" i="1"/>
  <c r="AC3237" i="1"/>
  <c r="AJ3236" i="1"/>
  <c r="AK3236" i="1"/>
  <c r="AM3236" i="1"/>
  <c r="BF3236" i="1"/>
  <c r="BG3236" i="1"/>
  <c r="T3237" i="1"/>
  <c r="U3237" i="1"/>
  <c r="V3237" i="1"/>
  <c r="W3237" i="1"/>
  <c r="X3237" i="1"/>
  <c r="Y3237" i="1"/>
  <c r="Z3237" i="1"/>
  <c r="AB3237" i="1"/>
  <c r="AF3237" i="1"/>
  <c r="AI3237" i="1"/>
  <c r="AE3238" i="1"/>
  <c r="AC3238" i="1"/>
  <c r="AJ3237" i="1"/>
  <c r="AK3237" i="1"/>
  <c r="AM3237" i="1"/>
  <c r="BF3237" i="1"/>
  <c r="BG3237" i="1"/>
  <c r="T3238" i="1"/>
  <c r="U3238" i="1"/>
  <c r="V3238" i="1"/>
  <c r="W3238" i="1"/>
  <c r="X3238" i="1"/>
  <c r="Y3238" i="1"/>
  <c r="Z3238" i="1"/>
  <c r="AB3238" i="1"/>
  <c r="AF3238" i="1"/>
  <c r="AI3238" i="1"/>
  <c r="H3239" i="1"/>
  <c r="AE3239" i="1"/>
  <c r="I3239" i="1"/>
  <c r="J3239" i="1"/>
  <c r="K3239" i="1"/>
  <c r="AC3239" i="1"/>
  <c r="AJ3238" i="1"/>
  <c r="AK3238" i="1"/>
  <c r="AM3238" i="1"/>
  <c r="BG3238" i="1"/>
  <c r="T3239" i="1"/>
  <c r="U3239" i="1"/>
  <c r="V3239" i="1"/>
  <c r="W3239" i="1"/>
  <c r="X3239" i="1"/>
  <c r="Y3239" i="1"/>
  <c r="Z3239" i="1"/>
  <c r="AB3239" i="1"/>
  <c r="AF3239" i="1"/>
  <c r="AI3239" i="1"/>
  <c r="AE3240" i="1"/>
  <c r="AC3240" i="1"/>
  <c r="AJ3239" i="1"/>
  <c r="AK3239" i="1"/>
  <c r="AM3239" i="1"/>
  <c r="BF3239" i="1"/>
  <c r="BG3239" i="1"/>
  <c r="T3240" i="1"/>
  <c r="U3240" i="1"/>
  <c r="V3240" i="1"/>
  <c r="W3240" i="1"/>
  <c r="X3240" i="1"/>
  <c r="Y3240" i="1"/>
  <c r="Z3240" i="1"/>
  <c r="AB3240" i="1"/>
  <c r="AF3240" i="1"/>
  <c r="AI3240" i="1"/>
  <c r="AE3241" i="1"/>
  <c r="AC3241" i="1"/>
  <c r="AJ3240" i="1"/>
  <c r="AK3240" i="1"/>
  <c r="AM3240" i="1"/>
  <c r="BF3240" i="1"/>
  <c r="BG3240" i="1"/>
  <c r="T3241" i="1"/>
  <c r="U3241" i="1"/>
  <c r="V3241" i="1"/>
  <c r="W3241" i="1"/>
  <c r="X3241" i="1"/>
  <c r="Y3241" i="1"/>
  <c r="Z3241" i="1"/>
  <c r="AB3241" i="1"/>
  <c r="AF3241" i="1"/>
  <c r="AI3241" i="1"/>
  <c r="H3242" i="1"/>
  <c r="AE3242" i="1"/>
  <c r="I3242" i="1"/>
  <c r="J3242" i="1"/>
  <c r="K3242" i="1"/>
  <c r="AC3242" i="1"/>
  <c r="AJ3241" i="1"/>
  <c r="AK3241" i="1"/>
  <c r="AM3241" i="1"/>
  <c r="BG3241" i="1"/>
  <c r="T3242" i="1"/>
  <c r="U3242" i="1"/>
  <c r="V3242" i="1"/>
  <c r="W3242" i="1"/>
  <c r="X3242" i="1"/>
  <c r="Y3242" i="1"/>
  <c r="Z3242" i="1"/>
  <c r="AB3242" i="1"/>
  <c r="AF3242" i="1"/>
  <c r="AI3242" i="1"/>
  <c r="H3243" i="1"/>
  <c r="AE3243" i="1"/>
  <c r="I3243" i="1"/>
  <c r="J3243" i="1"/>
  <c r="K3243" i="1"/>
  <c r="AC3243" i="1"/>
  <c r="AJ3242" i="1"/>
  <c r="AK3242" i="1"/>
  <c r="AM3242" i="1"/>
  <c r="BF3242" i="1"/>
  <c r="BG3242" i="1"/>
  <c r="T3243" i="1"/>
  <c r="U3243" i="1"/>
  <c r="V3243" i="1"/>
  <c r="W3243" i="1"/>
  <c r="X3243" i="1"/>
  <c r="Y3243" i="1"/>
  <c r="Z3243" i="1"/>
  <c r="AB3243" i="1"/>
  <c r="AF3243" i="1"/>
  <c r="AI3243" i="1"/>
  <c r="H3244" i="1"/>
  <c r="AE3244" i="1"/>
  <c r="I3244" i="1"/>
  <c r="J3244" i="1"/>
  <c r="K3244" i="1"/>
  <c r="AC3244" i="1"/>
  <c r="AJ3243" i="1"/>
  <c r="AK3243" i="1"/>
  <c r="AM3243" i="1"/>
  <c r="BF3243" i="1"/>
  <c r="BG3243" i="1"/>
  <c r="T3244" i="1"/>
  <c r="U3244" i="1"/>
  <c r="V3244" i="1"/>
  <c r="W3244" i="1"/>
  <c r="X3244" i="1"/>
  <c r="Y3244" i="1"/>
  <c r="Z3244" i="1"/>
  <c r="AB3244" i="1"/>
  <c r="AF3244" i="1"/>
  <c r="AI3244" i="1"/>
  <c r="AE3245" i="1"/>
  <c r="AC3245" i="1"/>
  <c r="AJ3244" i="1"/>
  <c r="AK3244" i="1"/>
  <c r="AM3244" i="1"/>
  <c r="BF3244" i="1"/>
  <c r="BG3244" i="1"/>
  <c r="T3245" i="1"/>
  <c r="U3245" i="1"/>
  <c r="V3245" i="1"/>
  <c r="W3245" i="1"/>
  <c r="X3245" i="1"/>
  <c r="Y3245" i="1"/>
  <c r="Z3245" i="1"/>
  <c r="AB3245" i="1"/>
  <c r="AF3245" i="1"/>
  <c r="AI3245" i="1"/>
  <c r="AE3246" i="1"/>
  <c r="AC3246" i="1"/>
  <c r="AJ3245" i="1"/>
  <c r="AK3245" i="1"/>
  <c r="AM3245" i="1"/>
  <c r="BF3245" i="1"/>
  <c r="BG3245" i="1"/>
  <c r="T3246" i="1"/>
  <c r="U3246" i="1"/>
  <c r="V3246" i="1"/>
  <c r="W3246" i="1"/>
  <c r="X3246" i="1"/>
  <c r="Y3246" i="1"/>
  <c r="Z3246" i="1"/>
  <c r="AB3246" i="1"/>
  <c r="AF3246" i="1"/>
  <c r="AI3246" i="1"/>
  <c r="H3247" i="1"/>
  <c r="AE3247" i="1"/>
  <c r="I3247" i="1"/>
  <c r="J3247" i="1"/>
  <c r="K3247" i="1"/>
  <c r="AC3247" i="1"/>
  <c r="AJ3246" i="1"/>
  <c r="AK3246" i="1"/>
  <c r="AM3246" i="1"/>
  <c r="BG3246" i="1"/>
  <c r="T3247" i="1"/>
  <c r="U3247" i="1"/>
  <c r="V3247" i="1"/>
  <c r="W3247" i="1"/>
  <c r="X3247" i="1"/>
  <c r="Y3247" i="1"/>
  <c r="Z3247" i="1"/>
  <c r="AB3247" i="1"/>
  <c r="AF3247" i="1"/>
  <c r="AI3247" i="1"/>
  <c r="AE3248" i="1"/>
  <c r="AC3248" i="1"/>
  <c r="AJ3247" i="1"/>
  <c r="AK3247" i="1"/>
  <c r="AM3247" i="1"/>
  <c r="BF3247" i="1"/>
  <c r="BG3247" i="1"/>
  <c r="T3248" i="1"/>
  <c r="U3248" i="1"/>
  <c r="V3248" i="1"/>
  <c r="W3248" i="1"/>
  <c r="X3248" i="1"/>
  <c r="Y3248" i="1"/>
  <c r="Z3248" i="1"/>
  <c r="AB3248" i="1"/>
  <c r="AF3248" i="1"/>
  <c r="AI3248" i="1"/>
  <c r="AE3249" i="1"/>
  <c r="AC3249" i="1"/>
  <c r="AJ3248" i="1"/>
  <c r="AK3248" i="1"/>
  <c r="AM3248" i="1"/>
  <c r="BF3248" i="1"/>
  <c r="BG3248" i="1"/>
  <c r="T3249" i="1"/>
  <c r="U3249" i="1"/>
  <c r="V3249" i="1"/>
  <c r="W3249" i="1"/>
  <c r="X3249" i="1"/>
  <c r="Y3249" i="1"/>
  <c r="Z3249" i="1"/>
  <c r="AB3249" i="1"/>
  <c r="AF3249" i="1"/>
  <c r="AI3249" i="1"/>
  <c r="H3250" i="1"/>
  <c r="AE3250" i="1"/>
  <c r="I3250" i="1"/>
  <c r="J3250" i="1"/>
  <c r="K3250" i="1"/>
  <c r="AC3250" i="1"/>
  <c r="AJ3249" i="1"/>
  <c r="AK3249" i="1"/>
  <c r="AM3249" i="1"/>
  <c r="BG3249" i="1"/>
  <c r="T3250" i="1"/>
  <c r="U3250" i="1"/>
  <c r="V3250" i="1"/>
  <c r="W3250" i="1"/>
  <c r="X3250" i="1"/>
  <c r="Y3250" i="1"/>
  <c r="Z3250" i="1"/>
  <c r="AB3250" i="1"/>
  <c r="AF3250" i="1"/>
  <c r="AI3250" i="1"/>
  <c r="H3251" i="1"/>
  <c r="AE3251" i="1"/>
  <c r="I3251" i="1"/>
  <c r="J3251" i="1"/>
  <c r="K3251" i="1"/>
  <c r="AC3251" i="1"/>
  <c r="AJ3250" i="1"/>
  <c r="AK3250" i="1"/>
  <c r="AM3250" i="1"/>
  <c r="BF3250" i="1"/>
  <c r="BG3250" i="1"/>
  <c r="T3251" i="1"/>
  <c r="U3251" i="1"/>
  <c r="V3251" i="1"/>
  <c r="W3251" i="1"/>
  <c r="X3251" i="1"/>
  <c r="Y3251" i="1"/>
  <c r="Z3251" i="1"/>
  <c r="AB3251" i="1"/>
  <c r="AF3251" i="1"/>
  <c r="AI3251" i="1"/>
  <c r="AE3252" i="1"/>
  <c r="AC3252" i="1"/>
  <c r="AJ3251" i="1"/>
  <c r="AK3251" i="1"/>
  <c r="AM3251" i="1"/>
  <c r="BF3251" i="1"/>
  <c r="BG3251" i="1"/>
  <c r="T3252" i="1"/>
  <c r="U3252" i="1"/>
  <c r="V3252" i="1"/>
  <c r="W3252" i="1"/>
  <c r="X3252" i="1"/>
  <c r="Y3252" i="1"/>
  <c r="Z3252" i="1"/>
  <c r="AB3252" i="1"/>
  <c r="AF3252" i="1"/>
  <c r="AI3252" i="1"/>
  <c r="AE3253" i="1"/>
  <c r="AC3253" i="1"/>
  <c r="AJ3252" i="1"/>
  <c r="AK3252" i="1"/>
  <c r="AM3252" i="1"/>
  <c r="BF3252" i="1"/>
  <c r="BG3252" i="1"/>
  <c r="T3253" i="1"/>
  <c r="U3253" i="1"/>
  <c r="V3253" i="1"/>
  <c r="W3253" i="1"/>
  <c r="X3253" i="1"/>
  <c r="Y3253" i="1"/>
  <c r="Z3253" i="1"/>
  <c r="AB3253" i="1"/>
  <c r="AF3253" i="1"/>
  <c r="AI3253" i="1"/>
  <c r="AE3254" i="1"/>
  <c r="AC3254" i="1"/>
  <c r="AJ3253" i="1"/>
  <c r="AK3253" i="1"/>
  <c r="AM3253" i="1"/>
  <c r="BF3253" i="1"/>
  <c r="BG3253" i="1"/>
  <c r="T3254" i="1"/>
  <c r="U3254" i="1"/>
  <c r="V3254" i="1"/>
  <c r="W3254" i="1"/>
  <c r="X3254" i="1"/>
  <c r="Y3254" i="1"/>
  <c r="Z3254" i="1"/>
  <c r="AB3254" i="1"/>
  <c r="AF3254" i="1"/>
  <c r="AI3254" i="1"/>
  <c r="H3255" i="1"/>
  <c r="AE3255" i="1"/>
  <c r="I3255" i="1"/>
  <c r="J3255" i="1"/>
  <c r="K3255" i="1"/>
  <c r="AC3255" i="1"/>
  <c r="AJ3254" i="1"/>
  <c r="AK3254" i="1"/>
  <c r="AM3254" i="1"/>
  <c r="BG3254" i="1"/>
  <c r="T3255" i="1"/>
  <c r="U3255" i="1"/>
  <c r="V3255" i="1"/>
  <c r="W3255" i="1"/>
  <c r="X3255" i="1"/>
  <c r="Y3255" i="1"/>
  <c r="Z3255" i="1"/>
  <c r="AB3255" i="1"/>
  <c r="AF3255" i="1"/>
  <c r="AI3255" i="1"/>
  <c r="H3256" i="1"/>
  <c r="AE3256" i="1"/>
  <c r="I3256" i="1"/>
  <c r="J3256" i="1"/>
  <c r="K3256" i="1"/>
  <c r="AC3256" i="1"/>
  <c r="AJ3255" i="1"/>
  <c r="AK3255" i="1"/>
  <c r="AM3255" i="1"/>
  <c r="BF3255" i="1"/>
  <c r="BG3255" i="1"/>
  <c r="T3256" i="1"/>
  <c r="U3256" i="1"/>
  <c r="V3256" i="1"/>
  <c r="W3256" i="1"/>
  <c r="X3256" i="1"/>
  <c r="Y3256" i="1"/>
  <c r="Z3256" i="1"/>
  <c r="AB3256" i="1"/>
  <c r="AF3256" i="1"/>
  <c r="AI3256" i="1"/>
  <c r="H3257" i="1"/>
  <c r="AE3257" i="1"/>
  <c r="I3257" i="1"/>
  <c r="J3257" i="1"/>
  <c r="K3257" i="1"/>
  <c r="AC3257" i="1"/>
  <c r="AJ3256" i="1"/>
  <c r="AK3256" i="1"/>
  <c r="AM3256" i="1"/>
  <c r="BF3256" i="1"/>
  <c r="BG3256" i="1"/>
  <c r="T3257" i="1"/>
  <c r="U3257" i="1"/>
  <c r="V3257" i="1"/>
  <c r="W3257" i="1"/>
  <c r="X3257" i="1"/>
  <c r="Y3257" i="1"/>
  <c r="Z3257" i="1"/>
  <c r="AB3257" i="1"/>
  <c r="AF3257" i="1"/>
  <c r="AI3257" i="1"/>
  <c r="H3258" i="1"/>
  <c r="AE3258" i="1"/>
  <c r="I3258" i="1"/>
  <c r="J3258" i="1"/>
  <c r="K3258" i="1"/>
  <c r="AC3258" i="1"/>
  <c r="AJ3257" i="1"/>
  <c r="AK3257" i="1"/>
  <c r="AM3257" i="1"/>
  <c r="BF3257" i="1"/>
  <c r="BG3257" i="1"/>
  <c r="T3258" i="1"/>
  <c r="U3258" i="1"/>
  <c r="V3258" i="1"/>
  <c r="W3258" i="1"/>
  <c r="X3258" i="1"/>
  <c r="Y3258" i="1"/>
  <c r="Z3258" i="1"/>
  <c r="AB3258" i="1"/>
  <c r="AF3258" i="1"/>
  <c r="AI3258" i="1"/>
  <c r="H3259" i="1"/>
  <c r="AE3259" i="1"/>
  <c r="I3259" i="1"/>
  <c r="J3259" i="1"/>
  <c r="K3259" i="1"/>
  <c r="AC3259" i="1"/>
  <c r="AJ3258" i="1"/>
  <c r="AK3258" i="1"/>
  <c r="AM3258" i="1"/>
  <c r="BF3258" i="1"/>
  <c r="BG3258" i="1"/>
  <c r="T3259" i="1"/>
  <c r="U3259" i="1"/>
  <c r="V3259" i="1"/>
  <c r="W3259" i="1"/>
  <c r="X3259" i="1"/>
  <c r="Y3259" i="1"/>
  <c r="Z3259" i="1"/>
  <c r="AB3259" i="1"/>
  <c r="AF3259" i="1"/>
  <c r="AI3259" i="1"/>
  <c r="H3260" i="1"/>
  <c r="AE3260" i="1"/>
  <c r="I3260" i="1"/>
  <c r="J3260" i="1"/>
  <c r="K3260" i="1"/>
  <c r="AC3260" i="1"/>
  <c r="AJ3259" i="1"/>
  <c r="AK3259" i="1"/>
  <c r="AM3259" i="1"/>
  <c r="BF3259" i="1"/>
  <c r="BG3259" i="1"/>
  <c r="T3260" i="1"/>
  <c r="U3260" i="1"/>
  <c r="V3260" i="1"/>
  <c r="W3260" i="1"/>
  <c r="X3260" i="1"/>
  <c r="Y3260" i="1"/>
  <c r="Z3260" i="1"/>
  <c r="AB3260" i="1"/>
  <c r="AF3260" i="1"/>
  <c r="AI3260" i="1"/>
  <c r="AE3261" i="1"/>
  <c r="AC3261" i="1"/>
  <c r="AJ3260" i="1"/>
  <c r="AK3260" i="1"/>
  <c r="AM3260" i="1"/>
  <c r="BF3260" i="1"/>
  <c r="BG3260" i="1"/>
  <c r="T3261" i="1"/>
  <c r="U3261" i="1"/>
  <c r="V3261" i="1"/>
  <c r="W3261" i="1"/>
  <c r="X3261" i="1"/>
  <c r="Y3261" i="1"/>
  <c r="Z3261" i="1"/>
  <c r="AB3261" i="1"/>
  <c r="AF3261" i="1"/>
  <c r="AI3261" i="1"/>
  <c r="AE3262" i="1"/>
  <c r="AC3262" i="1"/>
  <c r="AJ3261" i="1"/>
  <c r="AK3261" i="1"/>
  <c r="AM3261" i="1"/>
  <c r="BF3261" i="1"/>
  <c r="BG3261" i="1"/>
  <c r="T3262" i="1"/>
  <c r="U3262" i="1"/>
  <c r="V3262" i="1"/>
  <c r="W3262" i="1"/>
  <c r="X3262" i="1"/>
  <c r="Y3262" i="1"/>
  <c r="Z3262" i="1"/>
  <c r="AB3262" i="1"/>
  <c r="AF3262" i="1"/>
  <c r="AI3262" i="1"/>
  <c r="H3263" i="1"/>
  <c r="AE3263" i="1"/>
  <c r="I3263" i="1"/>
  <c r="J3263" i="1"/>
  <c r="K3263" i="1"/>
  <c r="AC3263" i="1"/>
  <c r="AJ3262" i="1"/>
  <c r="AK3262" i="1"/>
  <c r="AM3262" i="1"/>
  <c r="BG3262" i="1"/>
  <c r="T3263" i="1"/>
  <c r="U3263" i="1"/>
  <c r="V3263" i="1"/>
  <c r="W3263" i="1"/>
  <c r="X3263" i="1"/>
  <c r="Y3263" i="1"/>
  <c r="Z3263" i="1"/>
  <c r="AB3263" i="1"/>
  <c r="AF3263" i="1"/>
  <c r="AI3263" i="1"/>
  <c r="AE3264" i="1"/>
  <c r="AC3264" i="1"/>
  <c r="AJ3263" i="1"/>
  <c r="AK3263" i="1"/>
  <c r="AM3263" i="1"/>
  <c r="BF3263" i="1"/>
  <c r="BG3263" i="1"/>
  <c r="T3264" i="1"/>
  <c r="U3264" i="1"/>
  <c r="V3264" i="1"/>
  <c r="W3264" i="1"/>
  <c r="X3264" i="1"/>
  <c r="Y3264" i="1"/>
  <c r="Z3264" i="1"/>
  <c r="AB3264" i="1"/>
  <c r="AF3264" i="1"/>
  <c r="AI3264" i="1"/>
  <c r="AE3265" i="1"/>
  <c r="AC3265" i="1"/>
  <c r="AJ3264" i="1"/>
  <c r="AK3264" i="1"/>
  <c r="AM3264" i="1"/>
  <c r="BF3264" i="1"/>
  <c r="BG3264" i="1"/>
  <c r="T3265" i="1"/>
  <c r="U3265" i="1"/>
  <c r="V3265" i="1"/>
  <c r="W3265" i="1"/>
  <c r="X3265" i="1"/>
  <c r="Y3265" i="1"/>
  <c r="Z3265" i="1"/>
  <c r="AB3265" i="1"/>
  <c r="AF3265" i="1"/>
  <c r="AI3265" i="1"/>
  <c r="H3266" i="1"/>
  <c r="AE3266" i="1"/>
  <c r="I3266" i="1"/>
  <c r="J3266" i="1"/>
  <c r="K3266" i="1"/>
  <c r="AC3266" i="1"/>
  <c r="AJ3265" i="1"/>
  <c r="AK3265" i="1"/>
  <c r="AM3265" i="1"/>
  <c r="BG3265" i="1"/>
  <c r="T3266" i="1"/>
  <c r="U3266" i="1"/>
  <c r="V3266" i="1"/>
  <c r="W3266" i="1"/>
  <c r="X3266" i="1"/>
  <c r="Y3266" i="1"/>
  <c r="Z3266" i="1"/>
  <c r="AB3266" i="1"/>
  <c r="AF3266" i="1"/>
  <c r="AI3266" i="1"/>
  <c r="H3267" i="1"/>
  <c r="AE3267" i="1"/>
  <c r="I3267" i="1"/>
  <c r="J3267" i="1"/>
  <c r="K3267" i="1"/>
  <c r="AC3267" i="1"/>
  <c r="AJ3266" i="1"/>
  <c r="AK3266" i="1"/>
  <c r="AM3266" i="1"/>
  <c r="BF3266" i="1"/>
  <c r="BG3266" i="1"/>
  <c r="T3267" i="1"/>
  <c r="U3267" i="1"/>
  <c r="V3267" i="1"/>
  <c r="W3267" i="1"/>
  <c r="X3267" i="1"/>
  <c r="Y3267" i="1"/>
  <c r="Z3267" i="1"/>
  <c r="AB3267" i="1"/>
  <c r="AF3267" i="1"/>
  <c r="AI3267" i="1"/>
  <c r="AE3268" i="1"/>
  <c r="AC3268" i="1"/>
  <c r="AJ3267" i="1"/>
  <c r="AK3267" i="1"/>
  <c r="AM3267" i="1"/>
  <c r="BF3267" i="1"/>
  <c r="BG3267" i="1"/>
  <c r="T3268" i="1"/>
  <c r="U3268" i="1"/>
  <c r="V3268" i="1"/>
  <c r="W3268" i="1"/>
  <c r="X3268" i="1"/>
  <c r="Y3268" i="1"/>
  <c r="Z3268" i="1"/>
  <c r="AB3268" i="1"/>
  <c r="AF3268" i="1"/>
  <c r="AI3268" i="1"/>
  <c r="AE3269" i="1"/>
  <c r="AC3269" i="1"/>
  <c r="AJ3268" i="1"/>
  <c r="AK3268" i="1"/>
  <c r="AM3268" i="1"/>
  <c r="BF3268" i="1"/>
  <c r="BG3268" i="1"/>
  <c r="T3269" i="1"/>
  <c r="U3269" i="1"/>
  <c r="V3269" i="1"/>
  <c r="W3269" i="1"/>
  <c r="X3269" i="1"/>
  <c r="Y3269" i="1"/>
  <c r="Z3269" i="1"/>
  <c r="AB3269" i="1"/>
  <c r="AF3269" i="1"/>
  <c r="AI3269" i="1"/>
  <c r="H3270" i="1"/>
  <c r="AE3270" i="1"/>
  <c r="I3270" i="1"/>
  <c r="J3270" i="1"/>
  <c r="K3270" i="1"/>
  <c r="AC3270" i="1"/>
  <c r="AJ3269" i="1"/>
  <c r="AK3269" i="1"/>
  <c r="AM3269" i="1"/>
  <c r="BG3269" i="1"/>
  <c r="T3270" i="1"/>
  <c r="U3270" i="1"/>
  <c r="V3270" i="1"/>
  <c r="W3270" i="1"/>
  <c r="X3270" i="1"/>
  <c r="Y3270" i="1"/>
  <c r="Z3270" i="1"/>
  <c r="AB3270" i="1"/>
  <c r="AF3270" i="1"/>
  <c r="AI3270" i="1"/>
  <c r="AE3271" i="1"/>
  <c r="AC3271" i="1"/>
  <c r="AJ3270" i="1"/>
  <c r="AK3270" i="1"/>
  <c r="AM3270" i="1"/>
  <c r="BF3270" i="1"/>
  <c r="BG3270" i="1"/>
  <c r="T3271" i="1"/>
  <c r="U3271" i="1"/>
  <c r="V3271" i="1"/>
  <c r="W3271" i="1"/>
  <c r="X3271" i="1"/>
  <c r="Y3271" i="1"/>
  <c r="Z3271" i="1"/>
  <c r="AB3271" i="1"/>
  <c r="AF3271" i="1"/>
  <c r="AI3271" i="1"/>
  <c r="AE3272" i="1"/>
  <c r="AC3272" i="1"/>
  <c r="AJ3271" i="1"/>
  <c r="AK3271" i="1"/>
  <c r="AM3271" i="1"/>
  <c r="BF3271" i="1"/>
  <c r="BG3271" i="1"/>
  <c r="T3272" i="1"/>
  <c r="U3272" i="1"/>
  <c r="V3272" i="1"/>
  <c r="W3272" i="1"/>
  <c r="X3272" i="1"/>
  <c r="Y3272" i="1"/>
  <c r="Z3272" i="1"/>
  <c r="AB3272" i="1"/>
  <c r="AF3272" i="1"/>
  <c r="AI3272" i="1"/>
  <c r="H3273" i="1"/>
  <c r="AE3273" i="1"/>
  <c r="I3273" i="1"/>
  <c r="J3273" i="1"/>
  <c r="K3273" i="1"/>
  <c r="AC3273" i="1"/>
  <c r="AJ3272" i="1"/>
  <c r="AK3272" i="1"/>
  <c r="AM3272" i="1"/>
  <c r="BG3272" i="1"/>
  <c r="T3273" i="1"/>
  <c r="U3273" i="1"/>
  <c r="V3273" i="1"/>
  <c r="W3273" i="1"/>
  <c r="X3273" i="1"/>
  <c r="Y3273" i="1"/>
  <c r="Z3273" i="1"/>
  <c r="AB3273" i="1"/>
  <c r="AF3273" i="1"/>
  <c r="AI3273" i="1"/>
  <c r="H3274" i="1"/>
  <c r="AE3274" i="1"/>
  <c r="I3274" i="1"/>
  <c r="J3274" i="1"/>
  <c r="K3274" i="1"/>
  <c r="AC3274" i="1"/>
  <c r="AJ3273" i="1"/>
  <c r="AK3273" i="1"/>
  <c r="AM3273" i="1"/>
  <c r="BF3273" i="1"/>
  <c r="BG3273" i="1"/>
  <c r="T3274" i="1"/>
  <c r="U3274" i="1"/>
  <c r="V3274" i="1"/>
  <c r="W3274" i="1"/>
  <c r="X3274" i="1"/>
  <c r="Y3274" i="1"/>
  <c r="Z3274" i="1"/>
  <c r="AB3274" i="1"/>
  <c r="AF3274" i="1"/>
  <c r="AI3274" i="1"/>
  <c r="H3275" i="1"/>
  <c r="AE3275" i="1"/>
  <c r="I3275" i="1"/>
  <c r="J3275" i="1"/>
  <c r="K3275" i="1"/>
  <c r="AC3275" i="1"/>
  <c r="AJ3274" i="1"/>
  <c r="AK3274" i="1"/>
  <c r="AM3274" i="1"/>
  <c r="BF3274" i="1"/>
  <c r="BG3274" i="1"/>
  <c r="T3275" i="1"/>
  <c r="U3275" i="1"/>
  <c r="V3275" i="1"/>
  <c r="W3275" i="1"/>
  <c r="X3275" i="1"/>
  <c r="Y3275" i="1"/>
  <c r="Z3275" i="1"/>
  <c r="AB3275" i="1"/>
  <c r="AF3275" i="1"/>
  <c r="AI3275" i="1"/>
  <c r="H3276" i="1"/>
  <c r="AE3276" i="1"/>
  <c r="I3276" i="1"/>
  <c r="J3276" i="1"/>
  <c r="K3276" i="1"/>
  <c r="AC3276" i="1"/>
  <c r="AJ3275" i="1"/>
  <c r="AK3275" i="1"/>
  <c r="AM3275" i="1"/>
  <c r="BF3275" i="1"/>
  <c r="BG3275" i="1"/>
  <c r="T3276" i="1"/>
  <c r="U3276" i="1"/>
  <c r="V3276" i="1"/>
  <c r="W3276" i="1"/>
  <c r="X3276" i="1"/>
  <c r="Y3276" i="1"/>
  <c r="Z3276" i="1"/>
  <c r="AB3276" i="1"/>
  <c r="AF3276" i="1"/>
  <c r="AI3276" i="1"/>
  <c r="AE3277" i="1"/>
  <c r="AC3277" i="1"/>
  <c r="AJ3276" i="1"/>
  <c r="AK3276" i="1"/>
  <c r="AM3276" i="1"/>
  <c r="BF3276" i="1"/>
  <c r="BG3276" i="1"/>
  <c r="T3277" i="1"/>
  <c r="U3277" i="1"/>
  <c r="V3277" i="1"/>
  <c r="W3277" i="1"/>
  <c r="X3277" i="1"/>
  <c r="Y3277" i="1"/>
  <c r="Z3277" i="1"/>
  <c r="AB3277" i="1"/>
  <c r="AF3277" i="1"/>
  <c r="AI3277" i="1"/>
  <c r="AE3278" i="1"/>
  <c r="AC3278" i="1"/>
  <c r="AJ3277" i="1"/>
  <c r="AK3277" i="1"/>
  <c r="AM3277" i="1"/>
  <c r="BF3277" i="1"/>
  <c r="BG3277" i="1"/>
  <c r="T3278" i="1"/>
  <c r="U3278" i="1"/>
  <c r="V3278" i="1"/>
  <c r="W3278" i="1"/>
  <c r="X3278" i="1"/>
  <c r="Y3278" i="1"/>
  <c r="Z3278" i="1"/>
  <c r="AB3278" i="1"/>
  <c r="AF3278" i="1"/>
  <c r="AI3278" i="1"/>
  <c r="H3279" i="1"/>
  <c r="AE3279" i="1"/>
  <c r="I3279" i="1"/>
  <c r="J3279" i="1"/>
  <c r="K3279" i="1"/>
  <c r="AC3279" i="1"/>
  <c r="AJ3278" i="1"/>
  <c r="AK3278" i="1"/>
  <c r="AM3278" i="1"/>
  <c r="BG3278" i="1"/>
  <c r="T3279" i="1"/>
  <c r="U3279" i="1"/>
  <c r="V3279" i="1"/>
  <c r="W3279" i="1"/>
  <c r="X3279" i="1"/>
  <c r="Y3279" i="1"/>
  <c r="Z3279" i="1"/>
  <c r="AB3279" i="1"/>
  <c r="AF3279" i="1"/>
  <c r="AI3279" i="1"/>
  <c r="AE3280" i="1"/>
  <c r="AC3280" i="1"/>
  <c r="AJ3279" i="1"/>
  <c r="AK3279" i="1"/>
  <c r="AM3279" i="1"/>
  <c r="BF3279" i="1"/>
  <c r="BG3279" i="1"/>
  <c r="T3280" i="1"/>
  <c r="U3280" i="1"/>
  <c r="V3280" i="1"/>
  <c r="W3280" i="1"/>
  <c r="X3280" i="1"/>
  <c r="Y3280" i="1"/>
  <c r="Z3280" i="1"/>
  <c r="AB3280" i="1"/>
  <c r="AF3280" i="1"/>
  <c r="AI3280" i="1"/>
  <c r="AE3281" i="1"/>
  <c r="AC3281" i="1"/>
  <c r="AJ3280" i="1"/>
  <c r="AK3280" i="1"/>
  <c r="AM3280" i="1"/>
  <c r="BF3280" i="1"/>
  <c r="BG3280" i="1"/>
  <c r="T3281" i="1"/>
  <c r="U3281" i="1"/>
  <c r="V3281" i="1"/>
  <c r="W3281" i="1"/>
  <c r="X3281" i="1"/>
  <c r="Y3281" i="1"/>
  <c r="Z3281" i="1"/>
  <c r="AB3281" i="1"/>
  <c r="AF3281" i="1"/>
  <c r="AI3281" i="1"/>
  <c r="AE3282" i="1"/>
  <c r="AC3282" i="1"/>
  <c r="AJ3281" i="1"/>
  <c r="AK3281" i="1"/>
  <c r="AM3281" i="1"/>
  <c r="BF3281" i="1"/>
  <c r="BG3281" i="1"/>
  <c r="T3282" i="1"/>
  <c r="U3282" i="1"/>
  <c r="V3282" i="1"/>
  <c r="W3282" i="1"/>
  <c r="X3282" i="1"/>
  <c r="Y3282" i="1"/>
  <c r="Z3282" i="1"/>
  <c r="AB3282" i="1"/>
  <c r="AF3282" i="1"/>
  <c r="AI3282" i="1"/>
  <c r="H3283" i="1"/>
  <c r="AE3283" i="1"/>
  <c r="I3283" i="1"/>
  <c r="J3283" i="1"/>
  <c r="K3283" i="1"/>
  <c r="AC3283" i="1"/>
  <c r="AJ3282" i="1"/>
  <c r="AK3282" i="1"/>
  <c r="AM3282" i="1"/>
  <c r="BG3282" i="1"/>
  <c r="T3283" i="1"/>
  <c r="U3283" i="1"/>
  <c r="V3283" i="1"/>
  <c r="W3283" i="1"/>
  <c r="X3283" i="1"/>
  <c r="Y3283" i="1"/>
  <c r="Z3283" i="1"/>
  <c r="AB3283" i="1"/>
  <c r="AF3283" i="1"/>
  <c r="AI3283" i="1"/>
  <c r="AE3284" i="1"/>
  <c r="AC3284" i="1"/>
  <c r="AJ3283" i="1"/>
  <c r="AK3283" i="1"/>
  <c r="AM3283" i="1"/>
  <c r="BF3283" i="1"/>
  <c r="BG3283" i="1"/>
  <c r="T3284" i="1"/>
  <c r="U3284" i="1"/>
  <c r="V3284" i="1"/>
  <c r="W3284" i="1"/>
  <c r="X3284" i="1"/>
  <c r="Y3284" i="1"/>
  <c r="Z3284" i="1"/>
  <c r="AB3284" i="1"/>
  <c r="AF3284" i="1"/>
  <c r="AI3284" i="1"/>
  <c r="AE3285" i="1"/>
  <c r="AC3285" i="1"/>
  <c r="AJ3284" i="1"/>
  <c r="AK3284" i="1"/>
  <c r="AM3284" i="1"/>
  <c r="BF3284" i="1"/>
  <c r="BG3284" i="1"/>
  <c r="T3285" i="1"/>
  <c r="U3285" i="1"/>
  <c r="V3285" i="1"/>
  <c r="W3285" i="1"/>
  <c r="X3285" i="1"/>
  <c r="Y3285" i="1"/>
  <c r="Z3285" i="1"/>
  <c r="AB3285" i="1"/>
  <c r="AF3285" i="1"/>
  <c r="AI3285" i="1"/>
  <c r="AE3286" i="1"/>
  <c r="AC3286" i="1"/>
  <c r="AJ3285" i="1"/>
  <c r="AK3285" i="1"/>
  <c r="AM3285" i="1"/>
  <c r="BF3285" i="1"/>
  <c r="BG3285" i="1"/>
  <c r="T3286" i="1"/>
  <c r="U3286" i="1"/>
  <c r="V3286" i="1"/>
  <c r="W3286" i="1"/>
  <c r="X3286" i="1"/>
  <c r="Y3286" i="1"/>
  <c r="Z3286" i="1"/>
  <c r="AB3286" i="1"/>
  <c r="AF3286" i="1"/>
  <c r="AI3286" i="1"/>
  <c r="H3287" i="1"/>
  <c r="AE3287" i="1"/>
  <c r="I3287" i="1"/>
  <c r="J3287" i="1"/>
  <c r="K3287" i="1"/>
  <c r="AC3287" i="1"/>
  <c r="AJ3286" i="1"/>
  <c r="AK3286" i="1"/>
  <c r="AM3286" i="1"/>
  <c r="BG3286" i="1"/>
  <c r="T3287" i="1"/>
  <c r="U3287" i="1"/>
  <c r="V3287" i="1"/>
  <c r="W3287" i="1"/>
  <c r="X3287" i="1"/>
  <c r="Y3287" i="1"/>
  <c r="Z3287" i="1"/>
  <c r="AB3287" i="1"/>
  <c r="AF3287" i="1"/>
  <c r="AI3287" i="1"/>
  <c r="AE3288" i="1"/>
  <c r="AC3288" i="1"/>
  <c r="AJ3287" i="1"/>
  <c r="AK3287" i="1"/>
  <c r="AM3287" i="1"/>
  <c r="BF3287" i="1"/>
  <c r="BG3287" i="1"/>
  <c r="T3288" i="1"/>
  <c r="U3288" i="1"/>
  <c r="V3288" i="1"/>
  <c r="W3288" i="1"/>
  <c r="X3288" i="1"/>
  <c r="Y3288" i="1"/>
  <c r="Z3288" i="1"/>
  <c r="AB3288" i="1"/>
  <c r="AF3288" i="1"/>
  <c r="AI3288" i="1"/>
  <c r="AE3289" i="1"/>
  <c r="AC3289" i="1"/>
  <c r="AJ3288" i="1"/>
  <c r="AK3288" i="1"/>
  <c r="AM3288" i="1"/>
  <c r="BF3288" i="1"/>
  <c r="BG3288" i="1"/>
  <c r="T3289" i="1"/>
  <c r="U3289" i="1"/>
  <c r="V3289" i="1"/>
  <c r="W3289" i="1"/>
  <c r="X3289" i="1"/>
  <c r="Y3289" i="1"/>
  <c r="Z3289" i="1"/>
  <c r="AB3289" i="1"/>
  <c r="AF3289" i="1"/>
  <c r="AI3289" i="1"/>
  <c r="H3290" i="1"/>
  <c r="AE3290" i="1"/>
  <c r="I3290" i="1"/>
  <c r="J3290" i="1"/>
  <c r="K3290" i="1"/>
  <c r="AC3290" i="1"/>
  <c r="AJ3289" i="1"/>
  <c r="AK3289" i="1"/>
  <c r="AM3289" i="1"/>
  <c r="BG3289" i="1"/>
  <c r="T3290" i="1"/>
  <c r="U3290" i="1"/>
  <c r="V3290" i="1"/>
  <c r="W3290" i="1"/>
  <c r="X3290" i="1"/>
  <c r="Y3290" i="1"/>
  <c r="Z3290" i="1"/>
  <c r="AB3290" i="1"/>
  <c r="AF3290" i="1"/>
  <c r="AI3290" i="1"/>
  <c r="AE3291" i="1"/>
  <c r="AC3291" i="1"/>
  <c r="AJ3290" i="1"/>
  <c r="AK3290" i="1"/>
  <c r="AM3290" i="1"/>
  <c r="BF3290" i="1"/>
  <c r="BG3290" i="1"/>
  <c r="T3291" i="1"/>
  <c r="U3291" i="1"/>
  <c r="V3291" i="1"/>
  <c r="W3291" i="1"/>
  <c r="X3291" i="1"/>
  <c r="Y3291" i="1"/>
  <c r="Z3291" i="1"/>
  <c r="AB3291" i="1"/>
  <c r="AF3291" i="1"/>
  <c r="AI3291" i="1"/>
  <c r="AE3292" i="1"/>
  <c r="AC3292" i="1"/>
  <c r="AJ3291" i="1"/>
  <c r="AK3291" i="1"/>
  <c r="AM3291" i="1"/>
  <c r="BF3291" i="1"/>
  <c r="BG3291" i="1"/>
  <c r="T3292" i="1"/>
  <c r="U3292" i="1"/>
  <c r="V3292" i="1"/>
  <c r="W3292" i="1"/>
  <c r="X3292" i="1"/>
  <c r="Y3292" i="1"/>
  <c r="Z3292" i="1"/>
  <c r="AB3292" i="1"/>
  <c r="AF3292" i="1"/>
  <c r="AI3292" i="1"/>
  <c r="H3293" i="1"/>
  <c r="AE3293" i="1"/>
  <c r="I3293" i="1"/>
  <c r="J3293" i="1"/>
  <c r="K3293" i="1"/>
  <c r="AC3293" i="1"/>
  <c r="AJ3292" i="1"/>
  <c r="AK3292" i="1"/>
  <c r="AM3292" i="1"/>
  <c r="BG3292" i="1"/>
  <c r="T3293" i="1"/>
  <c r="U3293" i="1"/>
  <c r="V3293" i="1"/>
  <c r="W3293" i="1"/>
  <c r="X3293" i="1"/>
  <c r="Y3293" i="1"/>
  <c r="Z3293" i="1"/>
  <c r="AB3293" i="1"/>
  <c r="AF3293" i="1"/>
  <c r="AI3293" i="1"/>
  <c r="AE3294" i="1"/>
  <c r="AC3294" i="1"/>
  <c r="AJ3293" i="1"/>
  <c r="AK3293" i="1"/>
  <c r="AM3293" i="1"/>
  <c r="BF3293" i="1"/>
  <c r="BG3293" i="1"/>
  <c r="T3294" i="1"/>
  <c r="U3294" i="1"/>
  <c r="V3294" i="1"/>
  <c r="W3294" i="1"/>
  <c r="X3294" i="1"/>
  <c r="Y3294" i="1"/>
  <c r="Z3294" i="1"/>
  <c r="AB3294" i="1"/>
  <c r="AF3294" i="1"/>
  <c r="AI3294" i="1"/>
  <c r="AE3295" i="1"/>
  <c r="AC3295" i="1"/>
  <c r="AJ3294" i="1"/>
  <c r="AK3294" i="1"/>
  <c r="AM3294" i="1"/>
  <c r="BF3294" i="1"/>
  <c r="BG3294" i="1"/>
  <c r="T3295" i="1"/>
  <c r="U3295" i="1"/>
  <c r="V3295" i="1"/>
  <c r="W3295" i="1"/>
  <c r="X3295" i="1"/>
  <c r="Y3295" i="1"/>
  <c r="Z3295" i="1"/>
  <c r="AB3295" i="1"/>
  <c r="AF3295" i="1"/>
  <c r="AI3295" i="1"/>
  <c r="AE3296" i="1"/>
  <c r="AC3296" i="1"/>
  <c r="AJ3295" i="1"/>
  <c r="AK3295" i="1"/>
  <c r="AM3295" i="1"/>
  <c r="BF3295" i="1"/>
  <c r="BG3295" i="1"/>
  <c r="T3296" i="1"/>
  <c r="U3296" i="1"/>
  <c r="V3296" i="1"/>
  <c r="W3296" i="1"/>
  <c r="X3296" i="1"/>
  <c r="Y3296" i="1"/>
  <c r="Z3296" i="1"/>
  <c r="AB3296" i="1"/>
  <c r="AF3296" i="1"/>
  <c r="AI3296" i="1"/>
  <c r="H3297" i="1"/>
  <c r="AE3297" i="1"/>
  <c r="I3297" i="1"/>
  <c r="J3297" i="1"/>
  <c r="K3297" i="1"/>
  <c r="AC3297" i="1"/>
  <c r="AJ3296" i="1"/>
  <c r="AK3296" i="1"/>
  <c r="AM3296" i="1"/>
  <c r="BG3296" i="1"/>
  <c r="T3297" i="1"/>
  <c r="U3297" i="1"/>
  <c r="V3297" i="1"/>
  <c r="W3297" i="1"/>
  <c r="X3297" i="1"/>
  <c r="Y3297" i="1"/>
  <c r="Z3297" i="1"/>
  <c r="AB3297" i="1"/>
  <c r="AF3297" i="1"/>
  <c r="AI3297" i="1"/>
  <c r="AE3298" i="1"/>
  <c r="AC3298" i="1"/>
  <c r="AJ3297" i="1"/>
  <c r="AK3297" i="1"/>
  <c r="AM3297" i="1"/>
  <c r="BF3297" i="1"/>
  <c r="BG3297" i="1"/>
  <c r="T3298" i="1"/>
  <c r="U3298" i="1"/>
  <c r="V3298" i="1"/>
  <c r="W3298" i="1"/>
  <c r="X3298" i="1"/>
  <c r="Y3298" i="1"/>
  <c r="Z3298" i="1"/>
  <c r="AB3298" i="1"/>
  <c r="AF3298" i="1"/>
  <c r="AI3298" i="1"/>
  <c r="AE3299" i="1"/>
  <c r="AC3299" i="1"/>
  <c r="AJ3298" i="1"/>
  <c r="AK3298" i="1"/>
  <c r="AM3298" i="1"/>
  <c r="BF3298" i="1"/>
  <c r="BG3298" i="1"/>
  <c r="T3299" i="1"/>
  <c r="U3299" i="1"/>
  <c r="V3299" i="1"/>
  <c r="W3299" i="1"/>
  <c r="X3299" i="1"/>
  <c r="Y3299" i="1"/>
  <c r="Z3299" i="1"/>
  <c r="AB3299" i="1"/>
  <c r="AF3299" i="1"/>
  <c r="AI3299" i="1"/>
  <c r="H3300" i="1"/>
  <c r="AE3300" i="1"/>
  <c r="I3300" i="1"/>
  <c r="J3300" i="1"/>
  <c r="K3300" i="1"/>
  <c r="AC3300" i="1"/>
  <c r="AJ3299" i="1"/>
  <c r="AK3299" i="1"/>
  <c r="AM3299" i="1"/>
  <c r="BG3299" i="1"/>
  <c r="T3300" i="1"/>
  <c r="U3300" i="1"/>
  <c r="V3300" i="1"/>
  <c r="W3300" i="1"/>
  <c r="X3300" i="1"/>
  <c r="Y3300" i="1"/>
  <c r="Z3300" i="1"/>
  <c r="AB3300" i="1"/>
  <c r="AF3300" i="1"/>
  <c r="AI3300" i="1"/>
  <c r="AE3301" i="1"/>
  <c r="AC3301" i="1"/>
  <c r="AJ3300" i="1"/>
  <c r="AK3300" i="1"/>
  <c r="AM3300" i="1"/>
  <c r="BF3300" i="1"/>
  <c r="BG3300" i="1"/>
  <c r="T3301" i="1"/>
  <c r="U3301" i="1"/>
  <c r="V3301" i="1"/>
  <c r="W3301" i="1"/>
  <c r="X3301" i="1"/>
  <c r="Y3301" i="1"/>
  <c r="Z3301" i="1"/>
  <c r="AB3301" i="1"/>
  <c r="AF3301" i="1"/>
  <c r="AI3301" i="1"/>
  <c r="AE3302" i="1"/>
  <c r="AC3302" i="1"/>
  <c r="AJ3301" i="1"/>
  <c r="AK3301" i="1"/>
  <c r="AM3301" i="1"/>
  <c r="BF3301" i="1"/>
  <c r="BG3301" i="1"/>
  <c r="T3302" i="1"/>
  <c r="U3302" i="1"/>
  <c r="V3302" i="1"/>
  <c r="W3302" i="1"/>
  <c r="X3302" i="1"/>
  <c r="Y3302" i="1"/>
  <c r="Z3302" i="1"/>
  <c r="AB3302" i="1"/>
  <c r="AF3302" i="1"/>
  <c r="AI3302" i="1"/>
  <c r="AE3303" i="1"/>
  <c r="AC3303" i="1"/>
  <c r="AJ3302" i="1"/>
  <c r="AK3302" i="1"/>
  <c r="AM3302" i="1"/>
  <c r="BF3302" i="1"/>
  <c r="BG3302" i="1"/>
  <c r="T3303" i="1"/>
  <c r="U3303" i="1"/>
  <c r="V3303" i="1"/>
  <c r="W3303" i="1"/>
  <c r="X3303" i="1"/>
  <c r="Y3303" i="1"/>
  <c r="Z3303" i="1"/>
  <c r="AB3303" i="1"/>
  <c r="AF3303" i="1"/>
  <c r="AI3303" i="1"/>
  <c r="H3304" i="1"/>
  <c r="AE3304" i="1"/>
  <c r="I3304" i="1"/>
  <c r="J3304" i="1"/>
  <c r="K3304" i="1"/>
  <c r="AC3304" i="1"/>
  <c r="AJ3303" i="1"/>
  <c r="AK3303" i="1"/>
  <c r="AM3303" i="1"/>
  <c r="BG3303" i="1"/>
  <c r="T3304" i="1"/>
  <c r="U3304" i="1"/>
  <c r="V3304" i="1"/>
  <c r="W3304" i="1"/>
  <c r="X3304" i="1"/>
  <c r="Y3304" i="1"/>
  <c r="Z3304" i="1"/>
  <c r="AB3304" i="1"/>
  <c r="AF3304" i="1"/>
  <c r="AI3304" i="1"/>
  <c r="H3305" i="1"/>
  <c r="AE3305" i="1"/>
  <c r="I3305" i="1"/>
  <c r="J3305" i="1"/>
  <c r="K3305" i="1"/>
  <c r="AC3305" i="1"/>
  <c r="AJ3304" i="1"/>
  <c r="AK3304" i="1"/>
  <c r="AM3304" i="1"/>
  <c r="BF3304" i="1"/>
  <c r="BG3304" i="1"/>
  <c r="T3305" i="1"/>
  <c r="U3305" i="1"/>
  <c r="V3305" i="1"/>
  <c r="W3305" i="1"/>
  <c r="X3305" i="1"/>
  <c r="Y3305" i="1"/>
  <c r="Z3305" i="1"/>
  <c r="AB3305" i="1"/>
  <c r="AF3305" i="1"/>
  <c r="AI3305" i="1"/>
  <c r="AE3306" i="1"/>
  <c r="AC3306" i="1"/>
  <c r="AJ3305" i="1"/>
  <c r="AK3305" i="1"/>
  <c r="AM3305" i="1"/>
  <c r="BF3305" i="1"/>
  <c r="BG3305" i="1"/>
  <c r="T3306" i="1"/>
  <c r="U3306" i="1"/>
  <c r="V3306" i="1"/>
  <c r="W3306" i="1"/>
  <c r="X3306" i="1"/>
  <c r="Y3306" i="1"/>
  <c r="Z3306" i="1"/>
  <c r="AB3306" i="1"/>
  <c r="AF3306" i="1"/>
  <c r="AI3306" i="1"/>
  <c r="AE3307" i="1"/>
  <c r="AC3307" i="1"/>
  <c r="AJ3306" i="1"/>
  <c r="AK3306" i="1"/>
  <c r="AM3306" i="1"/>
  <c r="BF3306" i="1"/>
  <c r="BG3306" i="1"/>
  <c r="T3307" i="1"/>
  <c r="U3307" i="1"/>
  <c r="V3307" i="1"/>
  <c r="W3307" i="1"/>
  <c r="X3307" i="1"/>
  <c r="Y3307" i="1"/>
  <c r="Z3307" i="1"/>
  <c r="AB3307" i="1"/>
  <c r="AF3307" i="1"/>
  <c r="AI3307" i="1"/>
  <c r="AE3308" i="1"/>
  <c r="AC3308" i="1"/>
  <c r="AJ3307" i="1"/>
  <c r="AK3307" i="1"/>
  <c r="AM3307" i="1"/>
  <c r="BF3307" i="1"/>
  <c r="BG3307" i="1"/>
  <c r="T3308" i="1"/>
  <c r="U3308" i="1"/>
  <c r="V3308" i="1"/>
  <c r="W3308" i="1"/>
  <c r="X3308" i="1"/>
  <c r="Y3308" i="1"/>
  <c r="Z3308" i="1"/>
  <c r="AB3308" i="1"/>
  <c r="AF3308" i="1"/>
  <c r="AI3308" i="1"/>
  <c r="H3309" i="1"/>
  <c r="AE3309" i="1"/>
  <c r="I3309" i="1"/>
  <c r="J3309" i="1"/>
  <c r="K3309" i="1"/>
  <c r="AC3309" i="1"/>
  <c r="AJ3308" i="1"/>
  <c r="AK3308" i="1"/>
  <c r="AM3308" i="1"/>
  <c r="BG3308" i="1"/>
  <c r="T3309" i="1"/>
  <c r="U3309" i="1"/>
  <c r="V3309" i="1"/>
  <c r="W3309" i="1"/>
  <c r="X3309" i="1"/>
  <c r="Y3309" i="1"/>
  <c r="Z3309" i="1"/>
  <c r="AB3309" i="1"/>
  <c r="AF3309" i="1"/>
  <c r="AI3309" i="1"/>
  <c r="AE3310" i="1"/>
  <c r="AC3310" i="1"/>
  <c r="AJ3309" i="1"/>
  <c r="AK3309" i="1"/>
  <c r="AM3309" i="1"/>
  <c r="BF3309" i="1"/>
  <c r="BG3309" i="1"/>
  <c r="T3310" i="1"/>
  <c r="U3310" i="1"/>
  <c r="V3310" i="1"/>
  <c r="W3310" i="1"/>
  <c r="X3310" i="1"/>
  <c r="Y3310" i="1"/>
  <c r="Z3310" i="1"/>
  <c r="AB3310" i="1"/>
  <c r="AF3310" i="1"/>
  <c r="AI3310" i="1"/>
  <c r="AE3311" i="1"/>
  <c r="AC3311" i="1"/>
  <c r="AJ3310" i="1"/>
  <c r="AK3310" i="1"/>
  <c r="AM3310" i="1"/>
  <c r="BF3310" i="1"/>
  <c r="BG3310" i="1"/>
  <c r="T3311" i="1"/>
  <c r="U3311" i="1"/>
  <c r="V3311" i="1"/>
  <c r="W3311" i="1"/>
  <c r="X3311" i="1"/>
  <c r="Y3311" i="1"/>
  <c r="Z3311" i="1"/>
  <c r="AB3311" i="1"/>
  <c r="AF3311" i="1"/>
  <c r="AI3311" i="1"/>
  <c r="H3312" i="1"/>
  <c r="AE3312" i="1"/>
  <c r="I3312" i="1"/>
  <c r="J3312" i="1"/>
  <c r="K3312" i="1"/>
  <c r="AC3312" i="1"/>
  <c r="AJ3311" i="1"/>
  <c r="AK3311" i="1"/>
  <c r="AM3311" i="1"/>
  <c r="BG3311" i="1"/>
  <c r="T3312" i="1"/>
  <c r="U3312" i="1"/>
  <c r="V3312" i="1"/>
  <c r="W3312" i="1"/>
  <c r="X3312" i="1"/>
  <c r="Y3312" i="1"/>
  <c r="Z3312" i="1"/>
  <c r="AB3312" i="1"/>
  <c r="AF3312" i="1"/>
  <c r="AI3312" i="1"/>
  <c r="AE3313" i="1"/>
  <c r="AC3313" i="1"/>
  <c r="AJ3312" i="1"/>
  <c r="AK3312" i="1"/>
  <c r="AM3312" i="1"/>
  <c r="BF3312" i="1"/>
  <c r="BG3312" i="1"/>
  <c r="T3313" i="1"/>
  <c r="U3313" i="1"/>
  <c r="V3313" i="1"/>
  <c r="W3313" i="1"/>
  <c r="X3313" i="1"/>
  <c r="Y3313" i="1"/>
  <c r="Z3313" i="1"/>
  <c r="AB3313" i="1"/>
  <c r="AF3313" i="1"/>
  <c r="AI3313" i="1"/>
  <c r="AE3314" i="1"/>
  <c r="AC3314" i="1"/>
  <c r="AJ3313" i="1"/>
  <c r="AK3313" i="1"/>
  <c r="AM3313" i="1"/>
  <c r="BF3313" i="1"/>
  <c r="BG3313" i="1"/>
  <c r="T3314" i="1"/>
  <c r="U3314" i="1"/>
  <c r="V3314" i="1"/>
  <c r="W3314" i="1"/>
  <c r="X3314" i="1"/>
  <c r="Y3314" i="1"/>
  <c r="Z3314" i="1"/>
  <c r="AB3314" i="1"/>
  <c r="AF3314" i="1"/>
  <c r="AI3314" i="1"/>
  <c r="AE3315" i="1"/>
  <c r="AC3315" i="1"/>
  <c r="AJ3314" i="1"/>
  <c r="AK3314" i="1"/>
  <c r="AM3314" i="1"/>
  <c r="BF3314" i="1"/>
  <c r="BG3314" i="1"/>
  <c r="T3315" i="1"/>
  <c r="U3315" i="1"/>
  <c r="V3315" i="1"/>
  <c r="W3315" i="1"/>
  <c r="X3315" i="1"/>
  <c r="Y3315" i="1"/>
  <c r="Z3315" i="1"/>
  <c r="AB3315" i="1"/>
  <c r="AF3315" i="1"/>
  <c r="AI3315" i="1"/>
  <c r="H3316" i="1"/>
  <c r="AE3316" i="1"/>
  <c r="I3316" i="1"/>
  <c r="J3316" i="1"/>
  <c r="K3316" i="1"/>
  <c r="AC3316" i="1"/>
  <c r="AJ3315" i="1"/>
  <c r="AK3315" i="1"/>
  <c r="AM3315" i="1"/>
  <c r="BG3315" i="1"/>
  <c r="T3316" i="1"/>
  <c r="U3316" i="1"/>
  <c r="V3316" i="1"/>
  <c r="W3316" i="1"/>
  <c r="X3316" i="1"/>
  <c r="Y3316" i="1"/>
  <c r="Z3316" i="1"/>
  <c r="AB3316" i="1"/>
  <c r="AF3316" i="1"/>
  <c r="AI3316" i="1"/>
  <c r="H3317" i="1"/>
  <c r="AE3317" i="1"/>
  <c r="I3317" i="1"/>
  <c r="J3317" i="1"/>
  <c r="K3317" i="1"/>
  <c r="AC3317" i="1"/>
  <c r="AJ3316" i="1"/>
  <c r="AK3316" i="1"/>
  <c r="AM3316" i="1"/>
  <c r="BF3316" i="1"/>
  <c r="BG3316" i="1"/>
  <c r="T3317" i="1"/>
  <c r="U3317" i="1"/>
  <c r="V3317" i="1"/>
  <c r="W3317" i="1"/>
  <c r="X3317" i="1"/>
  <c r="Y3317" i="1"/>
  <c r="Z3317" i="1"/>
  <c r="AB3317" i="1"/>
  <c r="AF3317" i="1"/>
  <c r="AI3317" i="1"/>
  <c r="AE3318" i="1"/>
  <c r="AC3318" i="1"/>
  <c r="AJ3317" i="1"/>
  <c r="AK3317" i="1"/>
  <c r="AM3317" i="1"/>
  <c r="BF3317" i="1"/>
  <c r="BG3317" i="1"/>
  <c r="T3318" i="1"/>
  <c r="U3318" i="1"/>
  <c r="V3318" i="1"/>
  <c r="W3318" i="1"/>
  <c r="X3318" i="1"/>
  <c r="Y3318" i="1"/>
  <c r="Z3318" i="1"/>
  <c r="AB3318" i="1"/>
  <c r="AF3318" i="1"/>
  <c r="AI3318" i="1"/>
  <c r="AE3319" i="1"/>
  <c r="AC3319" i="1"/>
  <c r="AJ3318" i="1"/>
  <c r="AK3318" i="1"/>
  <c r="AM3318" i="1"/>
  <c r="BF3318" i="1"/>
  <c r="BG3318" i="1"/>
  <c r="T3319" i="1"/>
  <c r="U3319" i="1"/>
  <c r="V3319" i="1"/>
  <c r="W3319" i="1"/>
  <c r="X3319" i="1"/>
  <c r="Y3319" i="1"/>
  <c r="Z3319" i="1"/>
  <c r="AB3319" i="1"/>
  <c r="AF3319" i="1"/>
  <c r="AI3319" i="1"/>
  <c r="H3320" i="1"/>
  <c r="AE3320" i="1"/>
  <c r="I3320" i="1"/>
  <c r="J3320" i="1"/>
  <c r="K3320" i="1"/>
  <c r="AC3320" i="1"/>
  <c r="AJ3319" i="1"/>
  <c r="AK3319" i="1"/>
  <c r="AM3319" i="1"/>
  <c r="BG3319" i="1"/>
  <c r="T3320" i="1"/>
  <c r="U3320" i="1"/>
  <c r="V3320" i="1"/>
  <c r="W3320" i="1"/>
  <c r="X3320" i="1"/>
  <c r="Y3320" i="1"/>
  <c r="Z3320" i="1"/>
  <c r="AB3320" i="1"/>
  <c r="AF3320" i="1"/>
  <c r="AI3320" i="1"/>
  <c r="AE3321" i="1"/>
  <c r="AC3321" i="1"/>
  <c r="AJ3320" i="1"/>
  <c r="AK3320" i="1"/>
  <c r="AM3320" i="1"/>
  <c r="BF3320" i="1"/>
  <c r="BG3320" i="1"/>
  <c r="T3321" i="1"/>
  <c r="U3321" i="1"/>
  <c r="V3321" i="1"/>
  <c r="W3321" i="1"/>
  <c r="X3321" i="1"/>
  <c r="Y3321" i="1"/>
  <c r="Z3321" i="1"/>
  <c r="AB3321" i="1"/>
  <c r="AF3321" i="1"/>
  <c r="AI3321" i="1"/>
  <c r="AE3322" i="1"/>
  <c r="AC3322" i="1"/>
  <c r="AJ3321" i="1"/>
  <c r="AK3321" i="1"/>
  <c r="AM3321" i="1"/>
  <c r="BF3321" i="1"/>
  <c r="BG3321" i="1"/>
  <c r="T3322" i="1"/>
  <c r="U3322" i="1"/>
  <c r="V3322" i="1"/>
  <c r="W3322" i="1"/>
  <c r="X3322" i="1"/>
  <c r="Y3322" i="1"/>
  <c r="Z3322" i="1"/>
  <c r="AB3322" i="1"/>
  <c r="AF3322" i="1"/>
  <c r="AI3322" i="1"/>
  <c r="H3323" i="1"/>
  <c r="AE3323" i="1"/>
  <c r="I3323" i="1"/>
  <c r="J3323" i="1"/>
  <c r="K3323" i="1"/>
  <c r="AC3323" i="1"/>
  <c r="AJ3322" i="1"/>
  <c r="AK3322" i="1"/>
  <c r="AM3322" i="1"/>
  <c r="BG3322" i="1"/>
  <c r="T3323" i="1"/>
  <c r="U3323" i="1"/>
  <c r="V3323" i="1"/>
  <c r="W3323" i="1"/>
  <c r="X3323" i="1"/>
  <c r="Y3323" i="1"/>
  <c r="Z3323" i="1"/>
  <c r="AB3323" i="1"/>
  <c r="AF3323" i="1"/>
  <c r="AI3323" i="1"/>
  <c r="AE3324" i="1"/>
  <c r="AC3324" i="1"/>
  <c r="AJ3323" i="1"/>
  <c r="AK3323" i="1"/>
  <c r="AM3323" i="1"/>
  <c r="BF3323" i="1"/>
  <c r="BG3323" i="1"/>
  <c r="T3324" i="1"/>
  <c r="U3324" i="1"/>
  <c r="V3324" i="1"/>
  <c r="W3324" i="1"/>
  <c r="X3324" i="1"/>
  <c r="Y3324" i="1"/>
  <c r="Z3324" i="1"/>
  <c r="AB3324" i="1"/>
  <c r="AF3324" i="1"/>
  <c r="AI3324" i="1"/>
  <c r="AE3325" i="1"/>
  <c r="AC3325" i="1"/>
  <c r="AJ3324" i="1"/>
  <c r="AK3324" i="1"/>
  <c r="AM3324" i="1"/>
  <c r="BF3324" i="1"/>
  <c r="BG3324" i="1"/>
  <c r="T3325" i="1"/>
  <c r="U3325" i="1"/>
  <c r="V3325" i="1"/>
  <c r="W3325" i="1"/>
  <c r="X3325" i="1"/>
  <c r="Y3325" i="1"/>
  <c r="Z3325" i="1"/>
  <c r="AB3325" i="1"/>
  <c r="AF3325" i="1"/>
  <c r="AI3325" i="1"/>
  <c r="H3326" i="1"/>
  <c r="AE3326" i="1"/>
  <c r="I3326" i="1"/>
  <c r="J3326" i="1"/>
  <c r="K3326" i="1"/>
  <c r="AC3326" i="1"/>
  <c r="AJ3325" i="1"/>
  <c r="AK3325" i="1"/>
  <c r="AM3325" i="1"/>
  <c r="BG3325" i="1"/>
  <c r="T3326" i="1"/>
  <c r="U3326" i="1"/>
  <c r="V3326" i="1"/>
  <c r="W3326" i="1"/>
  <c r="X3326" i="1"/>
  <c r="Y3326" i="1"/>
  <c r="Z3326" i="1"/>
  <c r="AB3326" i="1"/>
  <c r="AF3326" i="1"/>
  <c r="AI3326" i="1"/>
  <c r="AE3327" i="1"/>
  <c r="AC3327" i="1"/>
  <c r="AJ3326" i="1"/>
  <c r="AK3326" i="1"/>
  <c r="AM3326" i="1"/>
  <c r="BF3326" i="1"/>
  <c r="BG3326" i="1"/>
  <c r="T3327" i="1"/>
  <c r="U3327" i="1"/>
  <c r="V3327" i="1"/>
  <c r="W3327" i="1"/>
  <c r="X3327" i="1"/>
  <c r="Y3327" i="1"/>
  <c r="Z3327" i="1"/>
  <c r="AB3327" i="1"/>
  <c r="AF3327" i="1"/>
  <c r="AI3327" i="1"/>
  <c r="AE3328" i="1"/>
  <c r="AC3328" i="1"/>
  <c r="AJ3327" i="1"/>
  <c r="AK3327" i="1"/>
  <c r="AM3327" i="1"/>
  <c r="BF3327" i="1"/>
  <c r="BG3327" i="1"/>
  <c r="T3328" i="1"/>
  <c r="U3328" i="1"/>
  <c r="V3328" i="1"/>
  <c r="W3328" i="1"/>
  <c r="X3328" i="1"/>
  <c r="Y3328" i="1"/>
  <c r="Z3328" i="1"/>
  <c r="AB3328" i="1"/>
  <c r="AF3328" i="1"/>
  <c r="AI3328" i="1"/>
  <c r="H3329" i="1"/>
  <c r="AE3329" i="1"/>
  <c r="I3329" i="1"/>
  <c r="J3329" i="1"/>
  <c r="K3329" i="1"/>
  <c r="AC3329" i="1"/>
  <c r="AJ3328" i="1"/>
  <c r="AK3328" i="1"/>
  <c r="AM3328" i="1"/>
  <c r="BG3328" i="1"/>
  <c r="T3329" i="1"/>
  <c r="U3329" i="1"/>
  <c r="V3329" i="1"/>
  <c r="W3329" i="1"/>
  <c r="X3329" i="1"/>
  <c r="Y3329" i="1"/>
  <c r="Z3329" i="1"/>
  <c r="AB3329" i="1"/>
  <c r="AF3329" i="1"/>
  <c r="AI3329" i="1"/>
  <c r="H3330" i="1"/>
  <c r="AE3330" i="1"/>
  <c r="I3330" i="1"/>
  <c r="J3330" i="1"/>
  <c r="K3330" i="1"/>
  <c r="AC3330" i="1"/>
  <c r="AJ3329" i="1"/>
  <c r="AK3329" i="1"/>
  <c r="AM3329" i="1"/>
  <c r="BF3329" i="1"/>
  <c r="BG3329" i="1"/>
  <c r="T3330" i="1"/>
  <c r="U3330" i="1"/>
  <c r="V3330" i="1"/>
  <c r="W3330" i="1"/>
  <c r="X3330" i="1"/>
  <c r="Y3330" i="1"/>
  <c r="Z3330" i="1"/>
  <c r="AB3330" i="1"/>
  <c r="AF3330" i="1"/>
  <c r="AI3330" i="1"/>
  <c r="AE3331" i="1"/>
  <c r="AC3331" i="1"/>
  <c r="AJ3330" i="1"/>
  <c r="AK3330" i="1"/>
  <c r="AM3330" i="1"/>
  <c r="BF3330" i="1"/>
  <c r="BG3330" i="1"/>
  <c r="T3331" i="1"/>
  <c r="U3331" i="1"/>
  <c r="V3331" i="1"/>
  <c r="W3331" i="1"/>
  <c r="X3331" i="1"/>
  <c r="Y3331" i="1"/>
  <c r="Z3331" i="1"/>
  <c r="AB3331" i="1"/>
  <c r="AF3331" i="1"/>
  <c r="AI3331" i="1"/>
  <c r="AE3332" i="1"/>
  <c r="AC3332" i="1"/>
  <c r="AJ3331" i="1"/>
  <c r="AK3331" i="1"/>
  <c r="AM3331" i="1"/>
  <c r="BF3331" i="1"/>
  <c r="BG3331" i="1"/>
  <c r="T3332" i="1"/>
  <c r="U3332" i="1"/>
  <c r="V3332" i="1"/>
  <c r="W3332" i="1"/>
  <c r="X3332" i="1"/>
  <c r="Y3332" i="1"/>
  <c r="Z3332" i="1"/>
  <c r="AB3332" i="1"/>
  <c r="AF3332" i="1"/>
  <c r="AI3332" i="1"/>
  <c r="H3333" i="1"/>
  <c r="AE3333" i="1"/>
  <c r="I3333" i="1"/>
  <c r="J3333" i="1"/>
  <c r="K3333" i="1"/>
  <c r="AC3333" i="1"/>
  <c r="AJ3332" i="1"/>
  <c r="AK3332" i="1"/>
  <c r="AM3332" i="1"/>
  <c r="BG3332" i="1"/>
  <c r="T3333" i="1"/>
  <c r="U3333" i="1"/>
  <c r="V3333" i="1"/>
  <c r="W3333" i="1"/>
  <c r="X3333" i="1"/>
  <c r="Y3333" i="1"/>
  <c r="Z3333" i="1"/>
  <c r="AB3333" i="1"/>
  <c r="AF3333" i="1"/>
  <c r="AI3333" i="1"/>
  <c r="H3334" i="1"/>
  <c r="AE3334" i="1"/>
  <c r="I3334" i="1"/>
  <c r="J3334" i="1"/>
  <c r="K3334" i="1"/>
  <c r="AC3334" i="1"/>
  <c r="AJ3333" i="1"/>
  <c r="AK3333" i="1"/>
  <c r="AM3333" i="1"/>
  <c r="BF3333" i="1"/>
  <c r="BG3333" i="1"/>
  <c r="T3334" i="1"/>
  <c r="U3334" i="1"/>
  <c r="V3334" i="1"/>
  <c r="W3334" i="1"/>
  <c r="X3334" i="1"/>
  <c r="Y3334" i="1"/>
  <c r="Z3334" i="1"/>
  <c r="AB3334" i="1"/>
  <c r="AF3334" i="1"/>
  <c r="AI3334" i="1"/>
  <c r="AE3335" i="1"/>
  <c r="AC3335" i="1"/>
  <c r="AJ3334" i="1"/>
  <c r="AK3334" i="1"/>
  <c r="AM3334" i="1"/>
  <c r="BF3334" i="1"/>
  <c r="BG3334" i="1"/>
  <c r="T3335" i="1"/>
  <c r="U3335" i="1"/>
  <c r="V3335" i="1"/>
  <c r="W3335" i="1"/>
  <c r="X3335" i="1"/>
  <c r="Y3335" i="1"/>
  <c r="Z3335" i="1"/>
  <c r="AB3335" i="1"/>
  <c r="AF3335" i="1"/>
  <c r="AI3335" i="1"/>
  <c r="AE3336" i="1"/>
  <c r="AC3336" i="1"/>
  <c r="AJ3335" i="1"/>
  <c r="AK3335" i="1"/>
  <c r="AM3335" i="1"/>
  <c r="BF3335" i="1"/>
  <c r="BG3335" i="1"/>
  <c r="T3336" i="1"/>
  <c r="U3336" i="1"/>
  <c r="V3336" i="1"/>
  <c r="W3336" i="1"/>
  <c r="X3336" i="1"/>
  <c r="Y3336" i="1"/>
  <c r="Z3336" i="1"/>
  <c r="AB3336" i="1"/>
  <c r="AF3336" i="1"/>
  <c r="AI3336" i="1"/>
  <c r="H3337" i="1"/>
  <c r="AE3337" i="1"/>
  <c r="I3337" i="1"/>
  <c r="J3337" i="1"/>
  <c r="K3337" i="1"/>
  <c r="AC3337" i="1"/>
  <c r="AJ3336" i="1"/>
  <c r="AK3336" i="1"/>
  <c r="AM3336" i="1"/>
  <c r="BG3336" i="1"/>
  <c r="T3337" i="1"/>
  <c r="U3337" i="1"/>
  <c r="V3337" i="1"/>
  <c r="W3337" i="1"/>
  <c r="X3337" i="1"/>
  <c r="Y3337" i="1"/>
  <c r="Z3337" i="1"/>
  <c r="AB3337" i="1"/>
  <c r="AF3337" i="1"/>
  <c r="AI3337" i="1"/>
  <c r="H3338" i="1"/>
  <c r="AE3338" i="1"/>
  <c r="I3338" i="1"/>
  <c r="J3338" i="1"/>
  <c r="K3338" i="1"/>
  <c r="AC3338" i="1"/>
  <c r="AJ3337" i="1"/>
  <c r="AK3337" i="1"/>
  <c r="AM3337" i="1"/>
  <c r="BF3337" i="1"/>
  <c r="BG3337" i="1"/>
  <c r="T3338" i="1"/>
  <c r="U3338" i="1"/>
  <c r="V3338" i="1"/>
  <c r="W3338" i="1"/>
  <c r="X3338" i="1"/>
  <c r="Y3338" i="1"/>
  <c r="Z3338" i="1"/>
  <c r="AB3338" i="1"/>
  <c r="AF3338" i="1"/>
  <c r="AI3338" i="1"/>
  <c r="AE3339" i="1"/>
  <c r="AC3339" i="1"/>
  <c r="AJ3338" i="1"/>
  <c r="AK3338" i="1"/>
  <c r="AM3338" i="1"/>
  <c r="BF3338" i="1"/>
  <c r="BG3338" i="1"/>
  <c r="T3339" i="1"/>
  <c r="U3339" i="1"/>
  <c r="V3339" i="1"/>
  <c r="W3339" i="1"/>
  <c r="X3339" i="1"/>
  <c r="Y3339" i="1"/>
  <c r="Z3339" i="1"/>
  <c r="AB3339" i="1"/>
  <c r="AF3339" i="1"/>
  <c r="AI3339" i="1"/>
  <c r="AE3340" i="1"/>
  <c r="AC3340" i="1"/>
  <c r="AJ3339" i="1"/>
  <c r="AK3339" i="1"/>
  <c r="AM3339" i="1"/>
  <c r="BF3339" i="1"/>
  <c r="BG3339" i="1"/>
  <c r="T3340" i="1"/>
  <c r="U3340" i="1"/>
  <c r="V3340" i="1"/>
  <c r="W3340" i="1"/>
  <c r="X3340" i="1"/>
  <c r="Y3340" i="1"/>
  <c r="Z3340" i="1"/>
  <c r="AB3340" i="1"/>
  <c r="AF3340" i="1"/>
  <c r="AI3340" i="1"/>
  <c r="H3341" i="1"/>
  <c r="AE3341" i="1"/>
  <c r="I3341" i="1"/>
  <c r="J3341" i="1"/>
  <c r="K3341" i="1"/>
  <c r="AC3341" i="1"/>
  <c r="AJ3340" i="1"/>
  <c r="AK3340" i="1"/>
  <c r="AM3340" i="1"/>
  <c r="BG3340" i="1"/>
  <c r="T3341" i="1"/>
  <c r="U3341" i="1"/>
  <c r="V3341" i="1"/>
  <c r="W3341" i="1"/>
  <c r="X3341" i="1"/>
  <c r="Y3341" i="1"/>
  <c r="Z3341" i="1"/>
  <c r="AB3341" i="1"/>
  <c r="AF3341" i="1"/>
  <c r="AI3341" i="1"/>
  <c r="H3342" i="1"/>
  <c r="AE3342" i="1"/>
  <c r="I3342" i="1"/>
  <c r="J3342" i="1"/>
  <c r="K3342" i="1"/>
  <c r="AC3342" i="1"/>
  <c r="AJ3341" i="1"/>
  <c r="AK3341" i="1"/>
  <c r="AM3341" i="1"/>
  <c r="BF3341" i="1"/>
  <c r="BG3341" i="1"/>
  <c r="T3342" i="1"/>
  <c r="U3342" i="1"/>
  <c r="V3342" i="1"/>
  <c r="W3342" i="1"/>
  <c r="X3342" i="1"/>
  <c r="Y3342" i="1"/>
  <c r="Z3342" i="1"/>
  <c r="AB3342" i="1"/>
  <c r="AF3342" i="1"/>
  <c r="AI3342" i="1"/>
  <c r="AE3343" i="1"/>
  <c r="AC3343" i="1"/>
  <c r="AJ3342" i="1"/>
  <c r="AK3342" i="1"/>
  <c r="AM3342" i="1"/>
  <c r="BF3342" i="1"/>
  <c r="BG3342" i="1"/>
  <c r="T3343" i="1"/>
  <c r="U3343" i="1"/>
  <c r="V3343" i="1"/>
  <c r="W3343" i="1"/>
  <c r="X3343" i="1"/>
  <c r="Y3343" i="1"/>
  <c r="Z3343" i="1"/>
  <c r="AB3343" i="1"/>
  <c r="AF3343" i="1"/>
  <c r="AI3343" i="1"/>
  <c r="AE3344" i="1"/>
  <c r="AC3344" i="1"/>
  <c r="AJ3343" i="1"/>
  <c r="AK3343" i="1"/>
  <c r="AM3343" i="1"/>
  <c r="BF3343" i="1"/>
  <c r="BG3343" i="1"/>
  <c r="T3344" i="1"/>
  <c r="U3344" i="1"/>
  <c r="V3344" i="1"/>
  <c r="W3344" i="1"/>
  <c r="X3344" i="1"/>
  <c r="Y3344" i="1"/>
  <c r="Z3344" i="1"/>
  <c r="AB3344" i="1"/>
  <c r="AF3344" i="1"/>
  <c r="AI3344" i="1"/>
  <c r="AE3345" i="1"/>
  <c r="AC3345" i="1"/>
  <c r="AJ3344" i="1"/>
  <c r="AK3344" i="1"/>
  <c r="AM3344" i="1"/>
  <c r="BF3344" i="1"/>
  <c r="BG3344" i="1"/>
  <c r="T3345" i="1"/>
  <c r="U3345" i="1"/>
  <c r="V3345" i="1"/>
  <c r="W3345" i="1"/>
  <c r="X3345" i="1"/>
  <c r="Y3345" i="1"/>
  <c r="Z3345" i="1"/>
  <c r="AB3345" i="1"/>
  <c r="AF3345" i="1"/>
  <c r="AI3345" i="1"/>
  <c r="H3346" i="1"/>
  <c r="AE3346" i="1"/>
  <c r="I3346" i="1"/>
  <c r="J3346" i="1"/>
  <c r="K3346" i="1"/>
  <c r="AC3346" i="1"/>
  <c r="AJ3345" i="1"/>
  <c r="AK3345" i="1"/>
  <c r="AM3345" i="1"/>
  <c r="BG3345" i="1"/>
  <c r="T3346" i="1"/>
  <c r="U3346" i="1"/>
  <c r="V3346" i="1"/>
  <c r="W3346" i="1"/>
  <c r="X3346" i="1"/>
  <c r="Y3346" i="1"/>
  <c r="Z3346" i="1"/>
  <c r="AB3346" i="1"/>
  <c r="AF3346" i="1"/>
  <c r="AI3346" i="1"/>
  <c r="H3347" i="1"/>
  <c r="AE3347" i="1"/>
  <c r="I3347" i="1"/>
  <c r="J3347" i="1"/>
  <c r="K3347" i="1"/>
  <c r="AC3347" i="1"/>
  <c r="AJ3346" i="1"/>
  <c r="AK3346" i="1"/>
  <c r="AM3346" i="1"/>
  <c r="BF3346" i="1"/>
  <c r="BG3346" i="1"/>
  <c r="T3347" i="1"/>
  <c r="U3347" i="1"/>
  <c r="V3347" i="1"/>
  <c r="W3347" i="1"/>
  <c r="X3347" i="1"/>
  <c r="Y3347" i="1"/>
  <c r="Z3347" i="1"/>
  <c r="AB3347" i="1"/>
  <c r="AF3347" i="1"/>
  <c r="AI3347" i="1"/>
  <c r="AE3348" i="1"/>
  <c r="AC3348" i="1"/>
  <c r="AJ3347" i="1"/>
  <c r="AK3347" i="1"/>
  <c r="AM3347" i="1"/>
  <c r="BF3347" i="1"/>
  <c r="BG3347" i="1"/>
  <c r="T3348" i="1"/>
  <c r="U3348" i="1"/>
  <c r="V3348" i="1"/>
  <c r="W3348" i="1"/>
  <c r="X3348" i="1"/>
  <c r="Y3348" i="1"/>
  <c r="Z3348" i="1"/>
  <c r="AB3348" i="1"/>
  <c r="AF3348" i="1"/>
  <c r="AI3348" i="1"/>
  <c r="AE3349" i="1"/>
  <c r="AC3349" i="1"/>
  <c r="AJ3348" i="1"/>
  <c r="AK3348" i="1"/>
  <c r="AM3348" i="1"/>
  <c r="BF3348" i="1"/>
  <c r="BG3348" i="1"/>
  <c r="T3349" i="1"/>
  <c r="U3349" i="1"/>
  <c r="V3349" i="1"/>
  <c r="W3349" i="1"/>
  <c r="X3349" i="1"/>
  <c r="Y3349" i="1"/>
  <c r="Z3349" i="1"/>
  <c r="AB3349" i="1"/>
  <c r="AF3349" i="1"/>
  <c r="AI3349" i="1"/>
  <c r="AE3350" i="1"/>
  <c r="AC3350" i="1"/>
  <c r="AJ3349" i="1"/>
  <c r="AK3349" i="1"/>
  <c r="AM3349" i="1"/>
  <c r="BF3349" i="1"/>
  <c r="BG3349" i="1"/>
  <c r="T3350" i="1"/>
  <c r="U3350" i="1"/>
  <c r="V3350" i="1"/>
  <c r="W3350" i="1"/>
  <c r="X3350" i="1"/>
  <c r="Y3350" i="1"/>
  <c r="Z3350" i="1"/>
  <c r="AB3350" i="1"/>
  <c r="AF3350" i="1"/>
  <c r="AI3350" i="1"/>
  <c r="H3351" i="1"/>
  <c r="AE3351" i="1"/>
  <c r="I3351" i="1"/>
  <c r="J3351" i="1"/>
  <c r="K3351" i="1"/>
  <c r="AC3351" i="1"/>
  <c r="AJ3350" i="1"/>
  <c r="AK3350" i="1"/>
  <c r="AM3350" i="1"/>
  <c r="BG3350" i="1"/>
  <c r="T3351" i="1"/>
  <c r="U3351" i="1"/>
  <c r="V3351" i="1"/>
  <c r="W3351" i="1"/>
  <c r="X3351" i="1"/>
  <c r="Y3351" i="1"/>
  <c r="Z3351" i="1"/>
  <c r="AB3351" i="1"/>
  <c r="AF3351" i="1"/>
  <c r="AI3351" i="1"/>
  <c r="AE3352" i="1"/>
  <c r="AC3352" i="1"/>
  <c r="AJ3351" i="1"/>
  <c r="AK3351" i="1"/>
  <c r="AM3351" i="1"/>
  <c r="BF3351" i="1"/>
  <c r="BG3351" i="1"/>
  <c r="T3352" i="1"/>
  <c r="U3352" i="1"/>
  <c r="V3352" i="1"/>
  <c r="W3352" i="1"/>
  <c r="X3352" i="1"/>
  <c r="Y3352" i="1"/>
  <c r="Z3352" i="1"/>
  <c r="AB3352" i="1"/>
  <c r="AF3352" i="1"/>
  <c r="AI3352" i="1"/>
  <c r="AE3353" i="1"/>
  <c r="AC3353" i="1"/>
  <c r="AJ3352" i="1"/>
  <c r="AK3352" i="1"/>
  <c r="AM3352" i="1"/>
  <c r="BF3352" i="1"/>
  <c r="BG3352" i="1"/>
  <c r="T3353" i="1"/>
  <c r="U3353" i="1"/>
  <c r="V3353" i="1"/>
  <c r="W3353" i="1"/>
  <c r="X3353" i="1"/>
  <c r="Y3353" i="1"/>
  <c r="Z3353" i="1"/>
  <c r="AB3353" i="1"/>
  <c r="AF3353" i="1"/>
  <c r="AI3353" i="1"/>
  <c r="AE3354" i="1"/>
  <c r="AC3354" i="1"/>
  <c r="AJ3353" i="1"/>
  <c r="AK3353" i="1"/>
  <c r="AM3353" i="1"/>
  <c r="BF3353" i="1"/>
  <c r="BG3353" i="1"/>
  <c r="T3354" i="1"/>
  <c r="U3354" i="1"/>
  <c r="V3354" i="1"/>
  <c r="W3354" i="1"/>
  <c r="X3354" i="1"/>
  <c r="Y3354" i="1"/>
  <c r="Z3354" i="1"/>
  <c r="AB3354" i="1"/>
  <c r="AF3354" i="1"/>
  <c r="AI3354" i="1"/>
  <c r="H3355" i="1"/>
  <c r="AE3355" i="1"/>
  <c r="I3355" i="1"/>
  <c r="J3355" i="1"/>
  <c r="K3355" i="1"/>
  <c r="AC3355" i="1"/>
  <c r="AJ3354" i="1"/>
  <c r="AK3354" i="1"/>
  <c r="AM3354" i="1"/>
  <c r="BG3354" i="1"/>
  <c r="T3355" i="1"/>
  <c r="U3355" i="1"/>
  <c r="V3355" i="1"/>
  <c r="W3355" i="1"/>
  <c r="X3355" i="1"/>
  <c r="Y3355" i="1"/>
  <c r="Z3355" i="1"/>
  <c r="AB3355" i="1"/>
  <c r="AF3355" i="1"/>
  <c r="AI3355" i="1"/>
  <c r="H3356" i="1"/>
  <c r="AE3356" i="1"/>
  <c r="I3356" i="1"/>
  <c r="J3356" i="1"/>
  <c r="K3356" i="1"/>
  <c r="AC3356" i="1"/>
  <c r="AJ3355" i="1"/>
  <c r="AK3355" i="1"/>
  <c r="AM3355" i="1"/>
  <c r="BF3355" i="1"/>
  <c r="BG3355" i="1"/>
  <c r="T3356" i="1"/>
  <c r="U3356" i="1"/>
  <c r="V3356" i="1"/>
  <c r="W3356" i="1"/>
  <c r="X3356" i="1"/>
  <c r="Y3356" i="1"/>
  <c r="Z3356" i="1"/>
  <c r="AB3356" i="1"/>
  <c r="AF3356" i="1"/>
  <c r="AI3356" i="1"/>
  <c r="AE3357" i="1"/>
  <c r="AC3357" i="1"/>
  <c r="AJ3356" i="1"/>
  <c r="AK3356" i="1"/>
  <c r="AM3356" i="1"/>
  <c r="BF3356" i="1"/>
  <c r="BG3356" i="1"/>
  <c r="T3357" i="1"/>
  <c r="U3357" i="1"/>
  <c r="V3357" i="1"/>
  <c r="W3357" i="1"/>
  <c r="X3357" i="1"/>
  <c r="Y3357" i="1"/>
  <c r="Z3357" i="1"/>
  <c r="AB3357" i="1"/>
  <c r="AF3357" i="1"/>
  <c r="AI3357" i="1"/>
  <c r="AE3358" i="1"/>
  <c r="AC3358" i="1"/>
  <c r="AJ3357" i="1"/>
  <c r="AK3357" i="1"/>
  <c r="AM3357" i="1"/>
  <c r="BF3357" i="1"/>
  <c r="BG3357" i="1"/>
  <c r="T3358" i="1"/>
  <c r="U3358" i="1"/>
  <c r="V3358" i="1"/>
  <c r="W3358" i="1"/>
  <c r="X3358" i="1"/>
  <c r="Y3358" i="1"/>
  <c r="Z3358" i="1"/>
  <c r="AB3358" i="1"/>
  <c r="AF3358" i="1"/>
  <c r="AI3358" i="1"/>
  <c r="H3359" i="1"/>
  <c r="AE3359" i="1"/>
  <c r="I3359" i="1"/>
  <c r="J3359" i="1"/>
  <c r="K3359" i="1"/>
  <c r="AC3359" i="1"/>
  <c r="AJ3358" i="1"/>
  <c r="AK3358" i="1"/>
  <c r="AM3358" i="1"/>
  <c r="BG3358" i="1"/>
  <c r="T3359" i="1"/>
  <c r="U3359" i="1"/>
  <c r="V3359" i="1"/>
  <c r="W3359" i="1"/>
  <c r="X3359" i="1"/>
  <c r="Y3359" i="1"/>
  <c r="Z3359" i="1"/>
  <c r="AB3359" i="1"/>
  <c r="AF3359" i="1"/>
  <c r="AI3359" i="1"/>
  <c r="H3360" i="1"/>
  <c r="AE3360" i="1"/>
  <c r="I3360" i="1"/>
  <c r="J3360" i="1"/>
  <c r="K3360" i="1"/>
  <c r="AC3360" i="1"/>
  <c r="AJ3359" i="1"/>
  <c r="AK3359" i="1"/>
  <c r="AM3359" i="1"/>
  <c r="BF3359" i="1"/>
  <c r="BG3359" i="1"/>
  <c r="T3360" i="1"/>
  <c r="U3360" i="1"/>
  <c r="V3360" i="1"/>
  <c r="W3360" i="1"/>
  <c r="X3360" i="1"/>
  <c r="Y3360" i="1"/>
  <c r="Z3360" i="1"/>
  <c r="AB3360" i="1"/>
  <c r="AF3360" i="1"/>
  <c r="AI3360" i="1"/>
  <c r="AE3361" i="1"/>
  <c r="AC3361" i="1"/>
  <c r="AJ3360" i="1"/>
  <c r="AK3360" i="1"/>
  <c r="AM3360" i="1"/>
  <c r="BF3360" i="1"/>
  <c r="BG3360" i="1"/>
  <c r="T3361" i="1"/>
  <c r="U3361" i="1"/>
  <c r="V3361" i="1"/>
  <c r="W3361" i="1"/>
  <c r="X3361" i="1"/>
  <c r="Y3361" i="1"/>
  <c r="Z3361" i="1"/>
  <c r="AB3361" i="1"/>
  <c r="AF3361" i="1"/>
  <c r="AI3361" i="1"/>
  <c r="AE3362" i="1"/>
  <c r="AC3362" i="1"/>
  <c r="AJ3361" i="1"/>
  <c r="AK3361" i="1"/>
  <c r="AM3361" i="1"/>
  <c r="BF3361" i="1"/>
  <c r="BG3361" i="1"/>
  <c r="T3362" i="1"/>
  <c r="U3362" i="1"/>
  <c r="V3362" i="1"/>
  <c r="W3362" i="1"/>
  <c r="X3362" i="1"/>
  <c r="Y3362" i="1"/>
  <c r="Z3362" i="1"/>
  <c r="AB3362" i="1"/>
  <c r="AF3362" i="1"/>
  <c r="AI3362" i="1"/>
  <c r="AE3363" i="1"/>
  <c r="AC3363" i="1"/>
  <c r="AJ3362" i="1"/>
  <c r="AK3362" i="1"/>
  <c r="AM3362" i="1"/>
  <c r="BF3362" i="1"/>
  <c r="BG3362" i="1"/>
  <c r="T3363" i="1"/>
  <c r="U3363" i="1"/>
  <c r="V3363" i="1"/>
  <c r="W3363" i="1"/>
  <c r="X3363" i="1"/>
  <c r="Y3363" i="1"/>
  <c r="Z3363" i="1"/>
  <c r="AB3363" i="1"/>
  <c r="AF3363" i="1"/>
  <c r="AI3363" i="1"/>
  <c r="H3364" i="1"/>
  <c r="AE3364" i="1"/>
  <c r="I3364" i="1"/>
  <c r="J3364" i="1"/>
  <c r="K3364" i="1"/>
  <c r="AC3364" i="1"/>
  <c r="AJ3363" i="1"/>
  <c r="AK3363" i="1"/>
  <c r="AM3363" i="1"/>
  <c r="BG3363" i="1"/>
  <c r="T3364" i="1"/>
  <c r="U3364" i="1"/>
  <c r="V3364" i="1"/>
  <c r="W3364" i="1"/>
  <c r="X3364" i="1"/>
  <c r="Y3364" i="1"/>
  <c r="Z3364" i="1"/>
  <c r="AB3364" i="1"/>
  <c r="AF3364" i="1"/>
  <c r="AI3364" i="1"/>
  <c r="AE3365" i="1"/>
  <c r="AC3365" i="1"/>
  <c r="AJ3364" i="1"/>
  <c r="AK3364" i="1"/>
  <c r="AM3364" i="1"/>
  <c r="BF3364" i="1"/>
  <c r="BG3364" i="1"/>
  <c r="T3365" i="1"/>
  <c r="U3365" i="1"/>
  <c r="V3365" i="1"/>
  <c r="W3365" i="1"/>
  <c r="X3365" i="1"/>
  <c r="Y3365" i="1"/>
  <c r="Z3365" i="1"/>
  <c r="AB3365" i="1"/>
  <c r="AF3365" i="1"/>
  <c r="AI3365" i="1"/>
  <c r="AE3366" i="1"/>
  <c r="AC3366" i="1"/>
  <c r="AJ3365" i="1"/>
  <c r="AK3365" i="1"/>
  <c r="AM3365" i="1"/>
  <c r="BF3365" i="1"/>
  <c r="BG3365" i="1"/>
  <c r="T3366" i="1"/>
  <c r="U3366" i="1"/>
  <c r="V3366" i="1"/>
  <c r="W3366" i="1"/>
  <c r="X3366" i="1"/>
  <c r="Y3366" i="1"/>
  <c r="Z3366" i="1"/>
  <c r="AB3366" i="1"/>
  <c r="AF3366" i="1"/>
  <c r="AI3366" i="1"/>
  <c r="AE3367" i="1"/>
  <c r="AC3367" i="1"/>
  <c r="AJ3366" i="1"/>
  <c r="AK3366" i="1"/>
  <c r="AM3366" i="1"/>
  <c r="BF3366" i="1"/>
  <c r="BG3366" i="1"/>
  <c r="T3367" i="1"/>
  <c r="U3367" i="1"/>
  <c r="V3367" i="1"/>
  <c r="W3367" i="1"/>
  <c r="X3367" i="1"/>
  <c r="Y3367" i="1"/>
  <c r="Z3367" i="1"/>
  <c r="AB3367" i="1"/>
  <c r="AF3367" i="1"/>
  <c r="AI3367" i="1"/>
  <c r="H3368" i="1"/>
  <c r="AE3368" i="1"/>
  <c r="I3368" i="1"/>
  <c r="J3368" i="1"/>
  <c r="K3368" i="1"/>
  <c r="AC3368" i="1"/>
  <c r="AJ3367" i="1"/>
  <c r="AK3367" i="1"/>
  <c r="AM3367" i="1"/>
  <c r="BG3367" i="1"/>
  <c r="T3368" i="1"/>
  <c r="U3368" i="1"/>
  <c r="V3368" i="1"/>
  <c r="W3368" i="1"/>
  <c r="X3368" i="1"/>
  <c r="Y3368" i="1"/>
  <c r="Z3368" i="1"/>
  <c r="AB3368" i="1"/>
  <c r="AF3368" i="1"/>
  <c r="AI3368" i="1"/>
  <c r="H3369" i="1"/>
  <c r="AE3369" i="1"/>
  <c r="I3369" i="1"/>
  <c r="J3369" i="1"/>
  <c r="K3369" i="1"/>
  <c r="AC3369" i="1"/>
  <c r="AJ3368" i="1"/>
  <c r="AK3368" i="1"/>
  <c r="AM3368" i="1"/>
  <c r="BF3368" i="1"/>
  <c r="BG3368" i="1"/>
  <c r="T3369" i="1"/>
  <c r="U3369" i="1"/>
  <c r="V3369" i="1"/>
  <c r="W3369" i="1"/>
  <c r="X3369" i="1"/>
  <c r="Y3369" i="1"/>
  <c r="Z3369" i="1"/>
  <c r="AB3369" i="1"/>
  <c r="AF3369" i="1"/>
  <c r="AI3369" i="1"/>
  <c r="AE3370" i="1"/>
  <c r="AC3370" i="1"/>
  <c r="AJ3369" i="1"/>
  <c r="AK3369" i="1"/>
  <c r="AM3369" i="1"/>
  <c r="BF3369" i="1"/>
  <c r="BG3369" i="1"/>
  <c r="T3370" i="1"/>
  <c r="U3370" i="1"/>
  <c r="V3370" i="1"/>
  <c r="W3370" i="1"/>
  <c r="X3370" i="1"/>
  <c r="Y3370" i="1"/>
  <c r="Z3370" i="1"/>
  <c r="AB3370" i="1"/>
  <c r="AF3370" i="1"/>
  <c r="AI3370" i="1"/>
  <c r="AE3371" i="1"/>
  <c r="AC3371" i="1"/>
  <c r="AJ3370" i="1"/>
  <c r="AK3370" i="1"/>
  <c r="AM3370" i="1"/>
  <c r="BF3370" i="1"/>
  <c r="BG3370" i="1"/>
  <c r="T3371" i="1"/>
  <c r="U3371" i="1"/>
  <c r="V3371" i="1"/>
  <c r="W3371" i="1"/>
  <c r="X3371" i="1"/>
  <c r="Y3371" i="1"/>
  <c r="Z3371" i="1"/>
  <c r="AB3371" i="1"/>
  <c r="AF3371" i="1"/>
  <c r="AI3371" i="1"/>
  <c r="AE3372" i="1"/>
  <c r="AC3372" i="1"/>
  <c r="AJ3371" i="1"/>
  <c r="AK3371" i="1"/>
  <c r="AM3371" i="1"/>
  <c r="BF3371" i="1"/>
  <c r="BG3371" i="1"/>
  <c r="T3372" i="1"/>
  <c r="U3372" i="1"/>
  <c r="V3372" i="1"/>
  <c r="W3372" i="1"/>
  <c r="X3372" i="1"/>
  <c r="Y3372" i="1"/>
  <c r="Z3372" i="1"/>
  <c r="AB3372" i="1"/>
  <c r="AF3372" i="1"/>
  <c r="AI3372" i="1"/>
  <c r="H3373" i="1"/>
  <c r="AE3373" i="1"/>
  <c r="I3373" i="1"/>
  <c r="J3373" i="1"/>
  <c r="K3373" i="1"/>
  <c r="AC3373" i="1"/>
  <c r="AJ3372" i="1"/>
  <c r="AK3372" i="1"/>
  <c r="AM3372" i="1"/>
  <c r="BG3372" i="1"/>
  <c r="T3373" i="1"/>
  <c r="U3373" i="1"/>
  <c r="V3373" i="1"/>
  <c r="W3373" i="1"/>
  <c r="X3373" i="1"/>
  <c r="Y3373" i="1"/>
  <c r="Z3373" i="1"/>
  <c r="AB3373" i="1"/>
  <c r="AF3373" i="1"/>
  <c r="AI3373" i="1"/>
  <c r="AE3374" i="1"/>
  <c r="AC3374" i="1"/>
  <c r="AJ3373" i="1"/>
  <c r="AK3373" i="1"/>
  <c r="AM3373" i="1"/>
  <c r="BF3373" i="1"/>
  <c r="BG3373" i="1"/>
  <c r="T3374" i="1"/>
  <c r="U3374" i="1"/>
  <c r="V3374" i="1"/>
  <c r="W3374" i="1"/>
  <c r="X3374" i="1"/>
  <c r="Y3374" i="1"/>
  <c r="Z3374" i="1"/>
  <c r="AB3374" i="1"/>
  <c r="AF3374" i="1"/>
  <c r="AI3374" i="1"/>
  <c r="AE3375" i="1"/>
  <c r="AC3375" i="1"/>
  <c r="AJ3374" i="1"/>
  <c r="AK3374" i="1"/>
  <c r="AM3374" i="1"/>
  <c r="BF3374" i="1"/>
  <c r="BG3374" i="1"/>
  <c r="T3375" i="1"/>
  <c r="U3375" i="1"/>
  <c r="V3375" i="1"/>
  <c r="W3375" i="1"/>
  <c r="X3375" i="1"/>
  <c r="Y3375" i="1"/>
  <c r="Z3375" i="1"/>
  <c r="AB3375" i="1"/>
  <c r="AF3375" i="1"/>
  <c r="AI3375" i="1"/>
  <c r="AE3376" i="1"/>
  <c r="AC3376" i="1"/>
  <c r="AJ3375" i="1"/>
  <c r="AK3375" i="1"/>
  <c r="AM3375" i="1"/>
  <c r="BF3375" i="1"/>
  <c r="BG3375" i="1"/>
  <c r="T3376" i="1"/>
  <c r="U3376" i="1"/>
  <c r="V3376" i="1"/>
  <c r="W3376" i="1"/>
  <c r="X3376" i="1"/>
  <c r="Y3376" i="1"/>
  <c r="Z3376" i="1"/>
  <c r="AB3376" i="1"/>
  <c r="AF3376" i="1"/>
  <c r="AI3376" i="1"/>
  <c r="H3377" i="1"/>
  <c r="AE3377" i="1"/>
  <c r="I3377" i="1"/>
  <c r="J3377" i="1"/>
  <c r="K3377" i="1"/>
  <c r="AC3377" i="1"/>
  <c r="AJ3376" i="1"/>
  <c r="AK3376" i="1"/>
  <c r="AM3376" i="1"/>
  <c r="BG3376" i="1"/>
  <c r="T3377" i="1"/>
  <c r="U3377" i="1"/>
  <c r="V3377" i="1"/>
  <c r="W3377" i="1"/>
  <c r="X3377" i="1"/>
  <c r="Y3377" i="1"/>
  <c r="Z3377" i="1"/>
  <c r="AB3377" i="1"/>
  <c r="AF3377" i="1"/>
  <c r="AI3377" i="1"/>
  <c r="H3378" i="1"/>
  <c r="AE3378" i="1"/>
  <c r="I3378" i="1"/>
  <c r="J3378" i="1"/>
  <c r="K3378" i="1"/>
  <c r="AC3378" i="1"/>
  <c r="AJ3377" i="1"/>
  <c r="AK3377" i="1"/>
  <c r="AM3377" i="1"/>
  <c r="BF3377" i="1"/>
  <c r="BG3377" i="1"/>
  <c r="T3378" i="1"/>
  <c r="U3378" i="1"/>
  <c r="V3378" i="1"/>
  <c r="W3378" i="1"/>
  <c r="X3378" i="1"/>
  <c r="Y3378" i="1"/>
  <c r="Z3378" i="1"/>
  <c r="AB3378" i="1"/>
  <c r="AF3378" i="1"/>
  <c r="AI3378" i="1"/>
  <c r="H3379" i="1"/>
  <c r="AE3379" i="1"/>
  <c r="I3379" i="1"/>
  <c r="J3379" i="1"/>
  <c r="K3379" i="1"/>
  <c r="AC3379" i="1"/>
  <c r="AJ3378" i="1"/>
  <c r="AK3378" i="1"/>
  <c r="AM3378" i="1"/>
  <c r="BF3378" i="1"/>
  <c r="BG3378" i="1"/>
  <c r="T3379" i="1"/>
  <c r="U3379" i="1"/>
  <c r="V3379" i="1"/>
  <c r="W3379" i="1"/>
  <c r="X3379" i="1"/>
  <c r="Y3379" i="1"/>
  <c r="Z3379" i="1"/>
  <c r="AB3379" i="1"/>
  <c r="AF3379" i="1"/>
  <c r="AI3379" i="1"/>
  <c r="H3380" i="1"/>
  <c r="AE3380" i="1"/>
  <c r="I3380" i="1"/>
  <c r="J3380" i="1"/>
  <c r="K3380" i="1"/>
  <c r="AC3380" i="1"/>
  <c r="AJ3379" i="1"/>
  <c r="AK3379" i="1"/>
  <c r="AM3379" i="1"/>
  <c r="BF3379" i="1"/>
  <c r="BG3379" i="1"/>
  <c r="T3380" i="1"/>
  <c r="U3380" i="1"/>
  <c r="V3380" i="1"/>
  <c r="W3380" i="1"/>
  <c r="X3380" i="1"/>
  <c r="Y3380" i="1"/>
  <c r="Z3380" i="1"/>
  <c r="AB3380" i="1"/>
  <c r="AF3380" i="1"/>
  <c r="AI3380" i="1"/>
  <c r="H3381" i="1"/>
  <c r="AE3381" i="1"/>
  <c r="I3381" i="1"/>
  <c r="J3381" i="1"/>
  <c r="K3381" i="1"/>
  <c r="AC3381" i="1"/>
  <c r="AJ3380" i="1"/>
  <c r="AK3380" i="1"/>
  <c r="AM3380" i="1"/>
  <c r="BF3380" i="1"/>
  <c r="BG3380" i="1"/>
  <c r="T3381" i="1"/>
  <c r="U3381" i="1"/>
  <c r="V3381" i="1"/>
  <c r="W3381" i="1"/>
  <c r="X3381" i="1"/>
  <c r="Y3381" i="1"/>
  <c r="Z3381" i="1"/>
  <c r="AB3381" i="1"/>
  <c r="AF3381" i="1"/>
  <c r="AI3381" i="1"/>
  <c r="AE3382" i="1"/>
  <c r="AC3382" i="1"/>
  <c r="AJ3381" i="1"/>
  <c r="AK3381" i="1"/>
  <c r="AM3381" i="1"/>
  <c r="BF3381" i="1"/>
  <c r="BG3381" i="1"/>
  <c r="T3382" i="1"/>
  <c r="U3382" i="1"/>
  <c r="V3382" i="1"/>
  <c r="W3382" i="1"/>
  <c r="X3382" i="1"/>
  <c r="Y3382" i="1"/>
  <c r="Z3382" i="1"/>
  <c r="AB3382" i="1"/>
  <c r="AF3382" i="1"/>
  <c r="AI3382" i="1"/>
  <c r="AE3383" i="1"/>
  <c r="AC3383" i="1"/>
  <c r="AJ3382" i="1"/>
  <c r="AK3382" i="1"/>
  <c r="AM3382" i="1"/>
  <c r="BF3382" i="1"/>
  <c r="BG3382" i="1"/>
  <c r="T3383" i="1"/>
  <c r="U3383" i="1"/>
  <c r="V3383" i="1"/>
  <c r="W3383" i="1"/>
  <c r="X3383" i="1"/>
  <c r="Y3383" i="1"/>
  <c r="Z3383" i="1"/>
  <c r="AB3383" i="1"/>
  <c r="AF3383" i="1"/>
  <c r="AI3383" i="1"/>
  <c r="H3384" i="1"/>
  <c r="AE3384" i="1"/>
  <c r="I3384" i="1"/>
  <c r="J3384" i="1"/>
  <c r="K3384" i="1"/>
  <c r="AC3384" i="1"/>
  <c r="AJ3383" i="1"/>
  <c r="AK3383" i="1"/>
  <c r="AM3383" i="1"/>
  <c r="BG3383" i="1"/>
  <c r="T3384" i="1"/>
  <c r="U3384" i="1"/>
  <c r="V3384" i="1"/>
  <c r="W3384" i="1"/>
  <c r="X3384" i="1"/>
  <c r="Y3384" i="1"/>
  <c r="Z3384" i="1"/>
  <c r="AB3384" i="1"/>
  <c r="AF3384" i="1"/>
  <c r="AI3384" i="1"/>
  <c r="H3385" i="1"/>
  <c r="AE3385" i="1"/>
  <c r="I3385" i="1"/>
  <c r="J3385" i="1"/>
  <c r="K3385" i="1"/>
  <c r="AC3385" i="1"/>
  <c r="AJ3384" i="1"/>
  <c r="AK3384" i="1"/>
  <c r="AM3384" i="1"/>
  <c r="BF3384" i="1"/>
  <c r="BG3384" i="1"/>
  <c r="T3385" i="1"/>
  <c r="U3385" i="1"/>
  <c r="V3385" i="1"/>
  <c r="W3385" i="1"/>
  <c r="X3385" i="1"/>
  <c r="Y3385" i="1"/>
  <c r="Z3385" i="1"/>
  <c r="AB3385" i="1"/>
  <c r="AF3385" i="1"/>
  <c r="AI3385" i="1"/>
  <c r="AE3386" i="1"/>
  <c r="AC3386" i="1"/>
  <c r="AJ3385" i="1"/>
  <c r="AK3385" i="1"/>
  <c r="AM3385" i="1"/>
  <c r="BF3385" i="1"/>
  <c r="BG3385" i="1"/>
  <c r="T3386" i="1"/>
  <c r="U3386" i="1"/>
  <c r="V3386" i="1"/>
  <c r="W3386" i="1"/>
  <c r="X3386" i="1"/>
  <c r="Y3386" i="1"/>
  <c r="Z3386" i="1"/>
  <c r="AB3386" i="1"/>
  <c r="AF3386" i="1"/>
  <c r="AI3386" i="1"/>
  <c r="AE3387" i="1"/>
  <c r="AC3387" i="1"/>
  <c r="AJ3386" i="1"/>
  <c r="AK3386" i="1"/>
  <c r="AM3386" i="1"/>
  <c r="BF3386" i="1"/>
  <c r="BG3386" i="1"/>
  <c r="T3387" i="1"/>
  <c r="U3387" i="1"/>
  <c r="V3387" i="1"/>
  <c r="W3387" i="1"/>
  <c r="X3387" i="1"/>
  <c r="Y3387" i="1"/>
  <c r="Z3387" i="1"/>
  <c r="AB3387" i="1"/>
  <c r="AF3387" i="1"/>
  <c r="AI3387" i="1"/>
  <c r="H3388" i="1"/>
  <c r="AE3388" i="1"/>
  <c r="I3388" i="1"/>
  <c r="J3388" i="1"/>
  <c r="K3388" i="1"/>
  <c r="AC3388" i="1"/>
  <c r="AJ3387" i="1"/>
  <c r="AK3387" i="1"/>
  <c r="AM3387" i="1"/>
  <c r="BG3387" i="1"/>
  <c r="T3388" i="1"/>
  <c r="U3388" i="1"/>
  <c r="V3388" i="1"/>
  <c r="W3388" i="1"/>
  <c r="X3388" i="1"/>
  <c r="Y3388" i="1"/>
  <c r="Z3388" i="1"/>
  <c r="AB3388" i="1"/>
  <c r="AF3388" i="1"/>
  <c r="AI3388" i="1"/>
  <c r="AE3389" i="1"/>
  <c r="AC3389" i="1"/>
  <c r="AJ3388" i="1"/>
  <c r="AK3388" i="1"/>
  <c r="AM3388" i="1"/>
  <c r="BF3388" i="1"/>
  <c r="BG3388" i="1"/>
  <c r="T3389" i="1"/>
  <c r="U3389" i="1"/>
  <c r="V3389" i="1"/>
  <c r="W3389" i="1"/>
  <c r="X3389" i="1"/>
  <c r="Y3389" i="1"/>
  <c r="Z3389" i="1"/>
  <c r="AB3389" i="1"/>
  <c r="AF3389" i="1"/>
  <c r="AI3389" i="1"/>
  <c r="AE3390" i="1"/>
  <c r="AC3390" i="1"/>
  <c r="AJ3389" i="1"/>
  <c r="AK3389" i="1"/>
  <c r="AM3389" i="1"/>
  <c r="BF3389" i="1"/>
  <c r="BG3389" i="1"/>
  <c r="T3390" i="1"/>
  <c r="U3390" i="1"/>
  <c r="V3390" i="1"/>
  <c r="W3390" i="1"/>
  <c r="X3390" i="1"/>
  <c r="Y3390" i="1"/>
  <c r="Z3390" i="1"/>
  <c r="AB3390" i="1"/>
  <c r="AF3390" i="1"/>
  <c r="AI3390" i="1"/>
  <c r="H3391" i="1"/>
  <c r="AE3391" i="1"/>
  <c r="I3391" i="1"/>
  <c r="J3391" i="1"/>
  <c r="K3391" i="1"/>
  <c r="AC3391" i="1"/>
  <c r="AJ3390" i="1"/>
  <c r="AK3390" i="1"/>
  <c r="AM3390" i="1"/>
  <c r="BG3390" i="1"/>
  <c r="T3391" i="1"/>
  <c r="U3391" i="1"/>
  <c r="V3391" i="1"/>
  <c r="W3391" i="1"/>
  <c r="X3391" i="1"/>
  <c r="Y3391" i="1"/>
  <c r="Z3391" i="1"/>
  <c r="AB3391" i="1"/>
  <c r="AF3391" i="1"/>
  <c r="AI3391" i="1"/>
  <c r="H3392" i="1"/>
  <c r="AE3392" i="1"/>
  <c r="I3392" i="1"/>
  <c r="J3392" i="1"/>
  <c r="K3392" i="1"/>
  <c r="AC3392" i="1"/>
  <c r="AJ3391" i="1"/>
  <c r="AK3391" i="1"/>
  <c r="AM3391" i="1"/>
  <c r="BF3391" i="1"/>
  <c r="BG3391" i="1"/>
  <c r="T3392" i="1"/>
  <c r="U3392" i="1"/>
  <c r="V3392" i="1"/>
  <c r="W3392" i="1"/>
  <c r="X3392" i="1"/>
  <c r="Y3392" i="1"/>
  <c r="Z3392" i="1"/>
  <c r="AB3392" i="1"/>
  <c r="AF3392" i="1"/>
  <c r="AI3392" i="1"/>
  <c r="H3393" i="1"/>
  <c r="AE3393" i="1"/>
  <c r="I3393" i="1"/>
  <c r="J3393" i="1"/>
  <c r="K3393" i="1"/>
  <c r="AC3393" i="1"/>
  <c r="AJ3392" i="1"/>
  <c r="AK3392" i="1"/>
  <c r="AM3392" i="1"/>
  <c r="BF3392" i="1"/>
  <c r="BG3392" i="1"/>
  <c r="T3393" i="1"/>
  <c r="U3393" i="1"/>
  <c r="V3393" i="1"/>
  <c r="W3393" i="1"/>
  <c r="X3393" i="1"/>
  <c r="Y3393" i="1"/>
  <c r="Z3393" i="1"/>
  <c r="AB3393" i="1"/>
  <c r="AF3393" i="1"/>
  <c r="AI3393" i="1"/>
  <c r="H3394" i="1"/>
  <c r="AE3394" i="1"/>
  <c r="I3394" i="1"/>
  <c r="J3394" i="1"/>
  <c r="K3394" i="1"/>
  <c r="AC3394" i="1"/>
  <c r="AJ3393" i="1"/>
  <c r="AK3393" i="1"/>
  <c r="AM3393" i="1"/>
  <c r="BF3393" i="1"/>
  <c r="BG3393" i="1"/>
  <c r="T3394" i="1"/>
  <c r="U3394" i="1"/>
  <c r="V3394" i="1"/>
  <c r="W3394" i="1"/>
  <c r="X3394" i="1"/>
  <c r="Y3394" i="1"/>
  <c r="Z3394" i="1"/>
  <c r="AB3394" i="1"/>
  <c r="AF3394" i="1"/>
  <c r="AI3394" i="1"/>
  <c r="AE3395" i="1"/>
  <c r="AC3395" i="1"/>
  <c r="AJ3394" i="1"/>
  <c r="AK3394" i="1"/>
  <c r="AM3394" i="1"/>
  <c r="BF3394" i="1"/>
  <c r="BG3394" i="1"/>
  <c r="T3395" i="1"/>
  <c r="U3395" i="1"/>
  <c r="V3395" i="1"/>
  <c r="W3395" i="1"/>
  <c r="X3395" i="1"/>
  <c r="Y3395" i="1"/>
  <c r="Z3395" i="1"/>
  <c r="AB3395" i="1"/>
  <c r="AF3395" i="1"/>
  <c r="AI3395" i="1"/>
  <c r="AE3396" i="1"/>
  <c r="AC3396" i="1"/>
  <c r="AJ3395" i="1"/>
  <c r="AK3395" i="1"/>
  <c r="AM3395" i="1"/>
  <c r="BF3395" i="1"/>
  <c r="BG3395" i="1"/>
  <c r="T3396" i="1"/>
  <c r="U3396" i="1"/>
  <c r="V3396" i="1"/>
  <c r="W3396" i="1"/>
  <c r="X3396" i="1"/>
  <c r="Y3396" i="1"/>
  <c r="Z3396" i="1"/>
  <c r="AB3396" i="1"/>
  <c r="AF3396" i="1"/>
  <c r="AI3396" i="1"/>
  <c r="H3397" i="1"/>
  <c r="AE3397" i="1"/>
  <c r="I3397" i="1"/>
  <c r="J3397" i="1"/>
  <c r="K3397" i="1"/>
  <c r="AC3397" i="1"/>
  <c r="AJ3396" i="1"/>
  <c r="AK3396" i="1"/>
  <c r="AM3396" i="1"/>
  <c r="BG3396" i="1"/>
  <c r="T3397" i="1"/>
  <c r="U3397" i="1"/>
  <c r="V3397" i="1"/>
  <c r="W3397" i="1"/>
  <c r="X3397" i="1"/>
  <c r="Y3397" i="1"/>
  <c r="Z3397" i="1"/>
  <c r="AB3397" i="1"/>
  <c r="AF3397" i="1"/>
  <c r="AI3397" i="1"/>
  <c r="AE3398" i="1"/>
  <c r="AC3398" i="1"/>
  <c r="AJ3397" i="1"/>
  <c r="AK3397" i="1"/>
  <c r="AM3397" i="1"/>
  <c r="BF3397" i="1"/>
  <c r="BG3397" i="1"/>
  <c r="T3398" i="1"/>
  <c r="U3398" i="1"/>
  <c r="V3398" i="1"/>
  <c r="W3398" i="1"/>
  <c r="X3398" i="1"/>
  <c r="Y3398" i="1"/>
  <c r="Z3398" i="1"/>
  <c r="AB3398" i="1"/>
  <c r="AF3398" i="1"/>
  <c r="AI3398" i="1"/>
  <c r="AE3399" i="1"/>
  <c r="AC3399" i="1"/>
  <c r="AJ3398" i="1"/>
  <c r="AK3398" i="1"/>
  <c r="AM3398" i="1"/>
  <c r="BF3398" i="1"/>
  <c r="BG3398" i="1"/>
  <c r="T3399" i="1"/>
  <c r="U3399" i="1"/>
  <c r="V3399" i="1"/>
  <c r="W3399" i="1"/>
  <c r="X3399" i="1"/>
  <c r="Y3399" i="1"/>
  <c r="Z3399" i="1"/>
  <c r="AB3399" i="1"/>
  <c r="AF3399" i="1"/>
  <c r="AI3399" i="1"/>
  <c r="H3400" i="1"/>
  <c r="AE3400" i="1"/>
  <c r="I3400" i="1"/>
  <c r="J3400" i="1"/>
  <c r="K3400" i="1"/>
  <c r="AC3400" i="1"/>
  <c r="AJ3399" i="1"/>
  <c r="AK3399" i="1"/>
  <c r="AM3399" i="1"/>
  <c r="BG3399" i="1"/>
  <c r="T3400" i="1"/>
  <c r="U3400" i="1"/>
  <c r="V3400" i="1"/>
  <c r="W3400" i="1"/>
  <c r="X3400" i="1"/>
  <c r="Y3400" i="1"/>
  <c r="Z3400" i="1"/>
  <c r="AB3400" i="1"/>
  <c r="AF3400" i="1"/>
  <c r="AI3400" i="1"/>
  <c r="H3401" i="1"/>
  <c r="AE3401" i="1"/>
  <c r="I3401" i="1"/>
  <c r="J3401" i="1"/>
  <c r="K3401" i="1"/>
  <c r="AC3401" i="1"/>
  <c r="AJ3400" i="1"/>
  <c r="AK3400" i="1"/>
  <c r="AM3400" i="1"/>
  <c r="BF3400" i="1"/>
  <c r="BG3400" i="1"/>
  <c r="T3401" i="1"/>
  <c r="U3401" i="1"/>
  <c r="V3401" i="1"/>
  <c r="W3401" i="1"/>
  <c r="X3401" i="1"/>
  <c r="Y3401" i="1"/>
  <c r="Z3401" i="1"/>
  <c r="AB3401" i="1"/>
  <c r="AF3401" i="1"/>
  <c r="AI3401" i="1"/>
  <c r="AE3402" i="1"/>
  <c r="AC3402" i="1"/>
  <c r="AJ3401" i="1"/>
  <c r="AK3401" i="1"/>
  <c r="AM3401" i="1"/>
  <c r="BF3401" i="1"/>
  <c r="BG3401" i="1"/>
  <c r="T3402" i="1"/>
  <c r="U3402" i="1"/>
  <c r="V3402" i="1"/>
  <c r="W3402" i="1"/>
  <c r="X3402" i="1"/>
  <c r="Y3402" i="1"/>
  <c r="Z3402" i="1"/>
  <c r="AB3402" i="1"/>
  <c r="AF3402" i="1"/>
  <c r="AI3402" i="1"/>
  <c r="AE3403" i="1"/>
  <c r="AC3403" i="1"/>
  <c r="AJ3402" i="1"/>
  <c r="AK3402" i="1"/>
  <c r="AM3402" i="1"/>
  <c r="BF3402" i="1"/>
  <c r="BG3402" i="1"/>
  <c r="T3403" i="1"/>
  <c r="U3403" i="1"/>
  <c r="V3403" i="1"/>
  <c r="W3403" i="1"/>
  <c r="X3403" i="1"/>
  <c r="Y3403" i="1"/>
  <c r="Z3403" i="1"/>
  <c r="AB3403" i="1"/>
  <c r="AF3403" i="1"/>
  <c r="AI3403" i="1"/>
  <c r="H3404" i="1"/>
  <c r="AE3404" i="1"/>
  <c r="I3404" i="1"/>
  <c r="J3404" i="1"/>
  <c r="K3404" i="1"/>
  <c r="AC3404" i="1"/>
  <c r="AJ3403" i="1"/>
  <c r="AK3403" i="1"/>
  <c r="AM3403" i="1"/>
  <c r="BG3403" i="1"/>
  <c r="T3404" i="1"/>
  <c r="U3404" i="1"/>
  <c r="V3404" i="1"/>
  <c r="W3404" i="1"/>
  <c r="X3404" i="1"/>
  <c r="Y3404" i="1"/>
  <c r="Z3404" i="1"/>
  <c r="AB3404" i="1"/>
  <c r="AF3404" i="1"/>
  <c r="AI3404" i="1"/>
  <c r="H3405" i="1"/>
  <c r="AE3405" i="1"/>
  <c r="I3405" i="1"/>
  <c r="J3405" i="1"/>
  <c r="K3405" i="1"/>
  <c r="AC3405" i="1"/>
  <c r="AJ3404" i="1"/>
  <c r="AK3404" i="1"/>
  <c r="AM3404" i="1"/>
  <c r="BF3404" i="1"/>
  <c r="BG3404" i="1"/>
  <c r="T3405" i="1"/>
  <c r="U3405" i="1"/>
  <c r="V3405" i="1"/>
  <c r="W3405" i="1"/>
  <c r="X3405" i="1"/>
  <c r="Y3405" i="1"/>
  <c r="Z3405" i="1"/>
  <c r="AB3405" i="1"/>
  <c r="AF3405" i="1"/>
  <c r="AI3405" i="1"/>
  <c r="H3406" i="1"/>
  <c r="AE3406" i="1"/>
  <c r="I3406" i="1"/>
  <c r="J3406" i="1"/>
  <c r="K3406" i="1"/>
  <c r="AC3406" i="1"/>
  <c r="AJ3405" i="1"/>
  <c r="AK3405" i="1"/>
  <c r="AM3405" i="1"/>
  <c r="BF3405" i="1"/>
  <c r="BG3405" i="1"/>
  <c r="T3406" i="1"/>
  <c r="U3406" i="1"/>
  <c r="V3406" i="1"/>
  <c r="W3406" i="1"/>
  <c r="X3406" i="1"/>
  <c r="Y3406" i="1"/>
  <c r="Z3406" i="1"/>
  <c r="AB3406" i="1"/>
  <c r="AF3406" i="1"/>
  <c r="AI3406" i="1"/>
  <c r="H3407" i="1"/>
  <c r="AE3407" i="1"/>
  <c r="I3407" i="1"/>
  <c r="J3407" i="1"/>
  <c r="K3407" i="1"/>
  <c r="AC3407" i="1"/>
  <c r="AJ3406" i="1"/>
  <c r="AK3406" i="1"/>
  <c r="AM3406" i="1"/>
  <c r="BF3406" i="1"/>
  <c r="BG3406" i="1"/>
  <c r="T3407" i="1"/>
  <c r="U3407" i="1"/>
  <c r="V3407" i="1"/>
  <c r="W3407" i="1"/>
  <c r="X3407" i="1"/>
  <c r="Y3407" i="1"/>
  <c r="Z3407" i="1"/>
  <c r="AB3407" i="1"/>
  <c r="AF3407" i="1"/>
  <c r="AI3407" i="1"/>
  <c r="AE3408" i="1"/>
  <c r="AC3408" i="1"/>
  <c r="AJ3407" i="1"/>
  <c r="AK3407" i="1"/>
  <c r="AM3407" i="1"/>
  <c r="BF3407" i="1"/>
  <c r="BG3407" i="1"/>
  <c r="T3408" i="1"/>
  <c r="U3408" i="1"/>
  <c r="V3408" i="1"/>
  <c r="W3408" i="1"/>
  <c r="X3408" i="1"/>
  <c r="Y3408" i="1"/>
  <c r="Z3408" i="1"/>
  <c r="AB3408" i="1"/>
  <c r="AF3408" i="1"/>
  <c r="AI3408" i="1"/>
  <c r="AE3409" i="1"/>
  <c r="AC3409" i="1"/>
  <c r="AJ3408" i="1"/>
  <c r="AK3408" i="1"/>
  <c r="AM3408" i="1"/>
  <c r="BF3408" i="1"/>
  <c r="BG3408" i="1"/>
  <c r="T3409" i="1"/>
  <c r="U3409" i="1"/>
  <c r="V3409" i="1"/>
  <c r="W3409" i="1"/>
  <c r="X3409" i="1"/>
  <c r="Y3409" i="1"/>
  <c r="Z3409" i="1"/>
  <c r="AB3409" i="1"/>
  <c r="AF3409" i="1"/>
  <c r="AI3409" i="1"/>
  <c r="H3410" i="1"/>
  <c r="AE3410" i="1"/>
  <c r="I3410" i="1"/>
  <c r="J3410" i="1"/>
  <c r="K3410" i="1"/>
  <c r="AC3410" i="1"/>
  <c r="AJ3409" i="1"/>
  <c r="AK3409" i="1"/>
  <c r="AM3409" i="1"/>
  <c r="BG3409" i="1"/>
  <c r="T3410" i="1"/>
  <c r="U3410" i="1"/>
  <c r="V3410" i="1"/>
  <c r="W3410" i="1"/>
  <c r="X3410" i="1"/>
  <c r="Y3410" i="1"/>
  <c r="Z3410" i="1"/>
  <c r="AB3410" i="1"/>
  <c r="AF3410" i="1"/>
  <c r="AI3410" i="1"/>
  <c r="H3411" i="1"/>
  <c r="AE3411" i="1"/>
  <c r="I3411" i="1"/>
  <c r="J3411" i="1"/>
  <c r="K3411" i="1"/>
  <c r="AC3411" i="1"/>
  <c r="AJ3410" i="1"/>
  <c r="AK3410" i="1"/>
  <c r="AM3410" i="1"/>
  <c r="BF3410" i="1"/>
  <c r="BG3410" i="1"/>
  <c r="T3411" i="1"/>
  <c r="U3411" i="1"/>
  <c r="V3411" i="1"/>
  <c r="W3411" i="1"/>
  <c r="X3411" i="1"/>
  <c r="Y3411" i="1"/>
  <c r="Z3411" i="1"/>
  <c r="AB3411" i="1"/>
  <c r="AF3411" i="1"/>
  <c r="AI3411" i="1"/>
  <c r="AE3412" i="1"/>
  <c r="AC3412" i="1"/>
  <c r="AJ3411" i="1"/>
  <c r="AK3411" i="1"/>
  <c r="AM3411" i="1"/>
  <c r="BF3411" i="1"/>
  <c r="BG3411" i="1"/>
  <c r="T3412" i="1"/>
  <c r="U3412" i="1"/>
  <c r="V3412" i="1"/>
  <c r="W3412" i="1"/>
  <c r="X3412" i="1"/>
  <c r="Y3412" i="1"/>
  <c r="Z3412" i="1"/>
  <c r="AB3412" i="1"/>
  <c r="AF3412" i="1"/>
  <c r="AI3412" i="1"/>
  <c r="AE3413" i="1"/>
  <c r="AC3413" i="1"/>
  <c r="AJ3412" i="1"/>
  <c r="AK3412" i="1"/>
  <c r="AM3412" i="1"/>
  <c r="BF3412" i="1"/>
  <c r="BG3412" i="1"/>
  <c r="T3413" i="1"/>
  <c r="U3413" i="1"/>
  <c r="V3413" i="1"/>
  <c r="W3413" i="1"/>
  <c r="X3413" i="1"/>
  <c r="Y3413" i="1"/>
  <c r="Z3413" i="1"/>
  <c r="AB3413" i="1"/>
  <c r="AF3413" i="1"/>
  <c r="AI3413" i="1"/>
  <c r="H3414" i="1"/>
  <c r="AE3414" i="1"/>
  <c r="I3414" i="1"/>
  <c r="J3414" i="1"/>
  <c r="K3414" i="1"/>
  <c r="AC3414" i="1"/>
  <c r="AJ3413" i="1"/>
  <c r="AK3413" i="1"/>
  <c r="AM3413" i="1"/>
  <c r="BG3413" i="1"/>
  <c r="T3414" i="1"/>
  <c r="U3414" i="1"/>
  <c r="V3414" i="1"/>
  <c r="W3414" i="1"/>
  <c r="X3414" i="1"/>
  <c r="Y3414" i="1"/>
  <c r="Z3414" i="1"/>
  <c r="AB3414" i="1"/>
  <c r="AF3414" i="1"/>
  <c r="AI3414" i="1"/>
  <c r="H3415" i="1"/>
  <c r="AE3415" i="1"/>
  <c r="I3415" i="1"/>
  <c r="J3415" i="1"/>
  <c r="K3415" i="1"/>
  <c r="AC3415" i="1"/>
  <c r="AJ3414" i="1"/>
  <c r="AK3414" i="1"/>
  <c r="AM3414" i="1"/>
  <c r="BF3414" i="1"/>
  <c r="BG3414" i="1"/>
  <c r="T3415" i="1"/>
  <c r="U3415" i="1"/>
  <c r="V3415" i="1"/>
  <c r="W3415" i="1"/>
  <c r="X3415" i="1"/>
  <c r="Y3415" i="1"/>
  <c r="Z3415" i="1"/>
  <c r="AB3415" i="1"/>
  <c r="AF3415" i="1"/>
  <c r="AI3415" i="1"/>
  <c r="H3416" i="1"/>
  <c r="AE3416" i="1"/>
  <c r="I3416" i="1"/>
  <c r="J3416" i="1"/>
  <c r="K3416" i="1"/>
  <c r="AC3416" i="1"/>
  <c r="AJ3415" i="1"/>
  <c r="AK3415" i="1"/>
  <c r="AM3415" i="1"/>
  <c r="BF3415" i="1"/>
  <c r="BG3415" i="1"/>
  <c r="T3416" i="1"/>
  <c r="U3416" i="1"/>
  <c r="V3416" i="1"/>
  <c r="W3416" i="1"/>
  <c r="X3416" i="1"/>
  <c r="Y3416" i="1"/>
  <c r="Z3416" i="1"/>
  <c r="AB3416" i="1"/>
  <c r="AF3416" i="1"/>
  <c r="AI3416" i="1"/>
  <c r="AE3417" i="1"/>
  <c r="AC3417" i="1"/>
  <c r="AJ3416" i="1"/>
  <c r="AK3416" i="1"/>
  <c r="AM3416" i="1"/>
  <c r="BF3416" i="1"/>
  <c r="BG3416" i="1"/>
  <c r="T3417" i="1"/>
  <c r="U3417" i="1"/>
  <c r="V3417" i="1"/>
  <c r="W3417" i="1"/>
  <c r="X3417" i="1"/>
  <c r="Y3417" i="1"/>
  <c r="Z3417" i="1"/>
  <c r="AB3417" i="1"/>
  <c r="AF3417" i="1"/>
  <c r="AI3417" i="1"/>
  <c r="AE3418" i="1"/>
  <c r="AC3418" i="1"/>
  <c r="AJ3417" i="1"/>
  <c r="AK3417" i="1"/>
  <c r="AM3417" i="1"/>
  <c r="BF3417" i="1"/>
  <c r="BG3417" i="1"/>
  <c r="T3418" i="1"/>
  <c r="U3418" i="1"/>
  <c r="V3418" i="1"/>
  <c r="W3418" i="1"/>
  <c r="X3418" i="1"/>
  <c r="Y3418" i="1"/>
  <c r="Z3418" i="1"/>
  <c r="AB3418" i="1"/>
  <c r="AF3418" i="1"/>
  <c r="AI3418" i="1"/>
  <c r="H3419" i="1"/>
  <c r="AE3419" i="1"/>
  <c r="I3419" i="1"/>
  <c r="J3419" i="1"/>
  <c r="K3419" i="1"/>
  <c r="AC3419" i="1"/>
  <c r="AJ3418" i="1"/>
  <c r="AK3418" i="1"/>
  <c r="AM3418" i="1"/>
  <c r="BG3418" i="1"/>
  <c r="T3419" i="1"/>
  <c r="U3419" i="1"/>
  <c r="V3419" i="1"/>
  <c r="W3419" i="1"/>
  <c r="X3419" i="1"/>
  <c r="Y3419" i="1"/>
  <c r="Z3419" i="1"/>
  <c r="AB3419" i="1"/>
  <c r="AF3419" i="1"/>
  <c r="AI3419" i="1"/>
  <c r="AE3420" i="1"/>
  <c r="AC3420" i="1"/>
  <c r="AJ3419" i="1"/>
  <c r="AK3419" i="1"/>
  <c r="AM3419" i="1"/>
  <c r="BF3419" i="1"/>
  <c r="BG3419" i="1"/>
  <c r="T3420" i="1"/>
  <c r="U3420" i="1"/>
  <c r="V3420" i="1"/>
  <c r="W3420" i="1"/>
  <c r="X3420" i="1"/>
  <c r="Y3420" i="1"/>
  <c r="Z3420" i="1"/>
  <c r="AB3420" i="1"/>
  <c r="AF3420" i="1"/>
  <c r="AI3420" i="1"/>
  <c r="AE3421" i="1"/>
  <c r="AC3421" i="1"/>
  <c r="AJ3420" i="1"/>
  <c r="AK3420" i="1"/>
  <c r="AM3420" i="1"/>
  <c r="BF3420" i="1"/>
  <c r="BG3420" i="1"/>
  <c r="T3421" i="1"/>
  <c r="U3421" i="1"/>
  <c r="V3421" i="1"/>
  <c r="W3421" i="1"/>
  <c r="X3421" i="1"/>
  <c r="Y3421" i="1"/>
  <c r="Z3421" i="1"/>
  <c r="AB3421" i="1"/>
  <c r="AF3421" i="1"/>
  <c r="AI3421" i="1"/>
  <c r="H3422" i="1"/>
  <c r="AE3422" i="1"/>
  <c r="I3422" i="1"/>
  <c r="J3422" i="1"/>
  <c r="K3422" i="1"/>
  <c r="AC3422" i="1"/>
  <c r="AJ3421" i="1"/>
  <c r="AK3421" i="1"/>
  <c r="AM3421" i="1"/>
  <c r="BG3421" i="1"/>
  <c r="T3422" i="1"/>
  <c r="U3422" i="1"/>
  <c r="V3422" i="1"/>
  <c r="W3422" i="1"/>
  <c r="X3422" i="1"/>
  <c r="Y3422" i="1"/>
  <c r="Z3422" i="1"/>
  <c r="AB3422" i="1"/>
  <c r="AF3422" i="1"/>
  <c r="AI3422" i="1"/>
  <c r="AE3423" i="1"/>
  <c r="AC3423" i="1"/>
  <c r="AJ3422" i="1"/>
  <c r="AK3422" i="1"/>
  <c r="AM3422" i="1"/>
  <c r="BF3422" i="1"/>
  <c r="BG3422" i="1"/>
  <c r="T3423" i="1"/>
  <c r="U3423" i="1"/>
  <c r="V3423" i="1"/>
  <c r="W3423" i="1"/>
  <c r="X3423" i="1"/>
  <c r="Y3423" i="1"/>
  <c r="Z3423" i="1"/>
  <c r="AB3423" i="1"/>
  <c r="AF3423" i="1"/>
  <c r="AI3423" i="1"/>
  <c r="AE3424" i="1"/>
  <c r="AC3424" i="1"/>
  <c r="AJ3423" i="1"/>
  <c r="AK3423" i="1"/>
  <c r="AM3423" i="1"/>
  <c r="BF3423" i="1"/>
  <c r="BG3423" i="1"/>
  <c r="T3424" i="1"/>
  <c r="U3424" i="1"/>
  <c r="V3424" i="1"/>
  <c r="W3424" i="1"/>
  <c r="X3424" i="1"/>
  <c r="Y3424" i="1"/>
  <c r="Z3424" i="1"/>
  <c r="AB3424" i="1"/>
  <c r="AF3424" i="1"/>
  <c r="AI3424" i="1"/>
  <c r="H3425" i="1"/>
  <c r="AE3425" i="1"/>
  <c r="I3425" i="1"/>
  <c r="J3425" i="1"/>
  <c r="K3425" i="1"/>
  <c r="AC3425" i="1"/>
  <c r="AJ3424" i="1"/>
  <c r="AK3424" i="1"/>
  <c r="AM3424" i="1"/>
  <c r="BG3424" i="1"/>
  <c r="T3425" i="1"/>
  <c r="U3425" i="1"/>
  <c r="V3425" i="1"/>
  <c r="W3425" i="1"/>
  <c r="X3425" i="1"/>
  <c r="Y3425" i="1"/>
  <c r="Z3425" i="1"/>
  <c r="AB3425" i="1"/>
  <c r="AF3425" i="1"/>
  <c r="AI3425" i="1"/>
  <c r="AE3426" i="1"/>
  <c r="AC3426" i="1"/>
  <c r="AJ3425" i="1"/>
  <c r="AK3425" i="1"/>
  <c r="AM3425" i="1"/>
  <c r="BF3425" i="1"/>
  <c r="BG3425" i="1"/>
  <c r="T3426" i="1"/>
  <c r="U3426" i="1"/>
  <c r="V3426" i="1"/>
  <c r="W3426" i="1"/>
  <c r="X3426" i="1"/>
  <c r="Y3426" i="1"/>
  <c r="Z3426" i="1"/>
  <c r="AB3426" i="1"/>
  <c r="AF3426" i="1"/>
  <c r="AI3426" i="1"/>
  <c r="AE3427" i="1"/>
  <c r="AC3427" i="1"/>
  <c r="AJ3426" i="1"/>
  <c r="AK3426" i="1"/>
  <c r="AM3426" i="1"/>
  <c r="BF3426" i="1"/>
  <c r="BG3426" i="1"/>
  <c r="T3427" i="1"/>
  <c r="U3427" i="1"/>
  <c r="V3427" i="1"/>
  <c r="W3427" i="1"/>
  <c r="X3427" i="1"/>
  <c r="Y3427" i="1"/>
  <c r="Z3427" i="1"/>
  <c r="AB3427" i="1"/>
  <c r="AF3427" i="1"/>
  <c r="AI3427" i="1"/>
  <c r="H3428" i="1"/>
  <c r="AE3428" i="1"/>
  <c r="I3428" i="1"/>
  <c r="J3428" i="1"/>
  <c r="K3428" i="1"/>
  <c r="AC3428" i="1"/>
  <c r="AJ3427" i="1"/>
  <c r="AK3427" i="1"/>
  <c r="AM3427" i="1"/>
  <c r="BG3427" i="1"/>
  <c r="T3428" i="1"/>
  <c r="U3428" i="1"/>
  <c r="V3428" i="1"/>
  <c r="W3428" i="1"/>
  <c r="X3428" i="1"/>
  <c r="Y3428" i="1"/>
  <c r="Z3428" i="1"/>
  <c r="AB3428" i="1"/>
  <c r="AF3428" i="1"/>
  <c r="AI3428" i="1"/>
  <c r="H3429" i="1"/>
  <c r="AE3429" i="1"/>
  <c r="I3429" i="1"/>
  <c r="J3429" i="1"/>
  <c r="K3429" i="1"/>
  <c r="AC3429" i="1"/>
  <c r="AJ3428" i="1"/>
  <c r="AK3428" i="1"/>
  <c r="AM3428" i="1"/>
  <c r="BF3428" i="1"/>
  <c r="BG3428" i="1"/>
  <c r="T3429" i="1"/>
  <c r="U3429" i="1"/>
  <c r="V3429" i="1"/>
  <c r="W3429" i="1"/>
  <c r="X3429" i="1"/>
  <c r="Y3429" i="1"/>
  <c r="Z3429" i="1"/>
  <c r="AB3429" i="1"/>
  <c r="AF3429" i="1"/>
  <c r="AI3429" i="1"/>
  <c r="H3430" i="1"/>
  <c r="AE3430" i="1"/>
  <c r="I3430" i="1"/>
  <c r="J3430" i="1"/>
  <c r="K3430" i="1"/>
  <c r="AC3430" i="1"/>
  <c r="AJ3429" i="1"/>
  <c r="AK3429" i="1"/>
  <c r="AM3429" i="1"/>
  <c r="BF3429" i="1"/>
  <c r="BG3429" i="1"/>
  <c r="T3430" i="1"/>
  <c r="U3430" i="1"/>
  <c r="V3430" i="1"/>
  <c r="W3430" i="1"/>
  <c r="X3430" i="1"/>
  <c r="Y3430" i="1"/>
  <c r="Z3430" i="1"/>
  <c r="AB3430" i="1"/>
  <c r="AF3430" i="1"/>
  <c r="AI3430" i="1"/>
  <c r="AE3431" i="1"/>
  <c r="AC3431" i="1"/>
  <c r="AJ3430" i="1"/>
  <c r="AK3430" i="1"/>
  <c r="AM3430" i="1"/>
  <c r="BF3430" i="1"/>
  <c r="BG3430" i="1"/>
  <c r="T3431" i="1"/>
  <c r="U3431" i="1"/>
  <c r="V3431" i="1"/>
  <c r="W3431" i="1"/>
  <c r="X3431" i="1"/>
  <c r="Y3431" i="1"/>
  <c r="Z3431" i="1"/>
  <c r="AB3431" i="1"/>
  <c r="AF3431" i="1"/>
  <c r="AI3431" i="1"/>
  <c r="AE3432" i="1"/>
  <c r="AC3432" i="1"/>
  <c r="AJ3431" i="1"/>
  <c r="AK3431" i="1"/>
  <c r="AM3431" i="1"/>
  <c r="BF3431" i="1"/>
  <c r="BG3431" i="1"/>
  <c r="T3432" i="1"/>
  <c r="U3432" i="1"/>
  <c r="V3432" i="1"/>
  <c r="W3432" i="1"/>
  <c r="X3432" i="1"/>
  <c r="Y3432" i="1"/>
  <c r="Z3432" i="1"/>
  <c r="AB3432" i="1"/>
  <c r="AF3432" i="1"/>
  <c r="AI3432" i="1"/>
  <c r="H3433" i="1"/>
  <c r="AE3433" i="1"/>
  <c r="I3433" i="1"/>
  <c r="J3433" i="1"/>
  <c r="K3433" i="1"/>
  <c r="AC3433" i="1"/>
  <c r="AJ3432" i="1"/>
  <c r="AK3432" i="1"/>
  <c r="AM3432" i="1"/>
  <c r="BG3432" i="1"/>
  <c r="T3433" i="1"/>
  <c r="U3433" i="1"/>
  <c r="V3433" i="1"/>
  <c r="W3433" i="1"/>
  <c r="X3433" i="1"/>
  <c r="Y3433" i="1"/>
  <c r="Z3433" i="1"/>
  <c r="AB3433" i="1"/>
  <c r="AF3433" i="1"/>
  <c r="AI3433" i="1"/>
  <c r="AE3434" i="1"/>
  <c r="AC3434" i="1"/>
  <c r="AJ3433" i="1"/>
  <c r="AK3433" i="1"/>
  <c r="AM3433" i="1"/>
  <c r="BF3433" i="1"/>
  <c r="BG3433" i="1"/>
  <c r="T3434" i="1"/>
  <c r="U3434" i="1"/>
  <c r="V3434" i="1"/>
  <c r="W3434" i="1"/>
  <c r="X3434" i="1"/>
  <c r="Y3434" i="1"/>
  <c r="Z3434" i="1"/>
  <c r="AB3434" i="1"/>
  <c r="AF3434" i="1"/>
  <c r="AI3434" i="1"/>
  <c r="AE3435" i="1"/>
  <c r="AC3435" i="1"/>
  <c r="AJ3434" i="1"/>
  <c r="AK3434" i="1"/>
  <c r="AM3434" i="1"/>
  <c r="BF3434" i="1"/>
  <c r="BG3434" i="1"/>
  <c r="T3435" i="1"/>
  <c r="U3435" i="1"/>
  <c r="V3435" i="1"/>
  <c r="W3435" i="1"/>
  <c r="X3435" i="1"/>
  <c r="Y3435" i="1"/>
  <c r="Z3435" i="1"/>
  <c r="AB3435" i="1"/>
  <c r="AF3435" i="1"/>
  <c r="AI3435" i="1"/>
  <c r="H3436" i="1"/>
  <c r="AE3436" i="1"/>
  <c r="I3436" i="1"/>
  <c r="J3436" i="1"/>
  <c r="K3436" i="1"/>
  <c r="AC3436" i="1"/>
  <c r="AJ3435" i="1"/>
  <c r="AK3435" i="1"/>
  <c r="AM3435" i="1"/>
  <c r="BG3435" i="1"/>
  <c r="T3436" i="1"/>
  <c r="U3436" i="1"/>
  <c r="V3436" i="1"/>
  <c r="W3436" i="1"/>
  <c r="X3436" i="1"/>
  <c r="Y3436" i="1"/>
  <c r="Z3436" i="1"/>
  <c r="AB3436" i="1"/>
  <c r="AF3436" i="1"/>
  <c r="AI3436" i="1"/>
  <c r="H3437" i="1"/>
  <c r="AE3437" i="1"/>
  <c r="I3437" i="1"/>
  <c r="J3437" i="1"/>
  <c r="K3437" i="1"/>
  <c r="AC3437" i="1"/>
  <c r="AJ3436" i="1"/>
  <c r="AK3436" i="1"/>
  <c r="AM3436" i="1"/>
  <c r="BF3436" i="1"/>
  <c r="BG3436" i="1"/>
  <c r="T3437" i="1"/>
  <c r="U3437" i="1"/>
  <c r="V3437" i="1"/>
  <c r="W3437" i="1"/>
  <c r="X3437" i="1"/>
  <c r="Y3437" i="1"/>
  <c r="Z3437" i="1"/>
  <c r="AB3437" i="1"/>
  <c r="AF3437" i="1"/>
  <c r="AI3437" i="1"/>
  <c r="H3438" i="1"/>
  <c r="AE3438" i="1"/>
  <c r="I3438" i="1"/>
  <c r="J3438" i="1"/>
  <c r="K3438" i="1"/>
  <c r="AC3438" i="1"/>
  <c r="AJ3437" i="1"/>
  <c r="AK3437" i="1"/>
  <c r="AM3437" i="1"/>
  <c r="BF3437" i="1"/>
  <c r="BG3437" i="1"/>
  <c r="T3438" i="1"/>
  <c r="U3438" i="1"/>
  <c r="V3438" i="1"/>
  <c r="W3438" i="1"/>
  <c r="X3438" i="1"/>
  <c r="Y3438" i="1"/>
  <c r="Z3438" i="1"/>
  <c r="AB3438" i="1"/>
  <c r="AF3438" i="1"/>
  <c r="AI3438" i="1"/>
  <c r="H3439" i="1"/>
  <c r="AE3439" i="1"/>
  <c r="I3439" i="1"/>
  <c r="J3439" i="1"/>
  <c r="K3439" i="1"/>
  <c r="AC3439" i="1"/>
  <c r="AJ3438" i="1"/>
  <c r="AK3438" i="1"/>
  <c r="AM3438" i="1"/>
  <c r="BF3438" i="1"/>
  <c r="BG3438" i="1"/>
  <c r="T3439" i="1"/>
  <c r="U3439" i="1"/>
  <c r="V3439" i="1"/>
  <c r="W3439" i="1"/>
  <c r="X3439" i="1"/>
  <c r="Y3439" i="1"/>
  <c r="Z3439" i="1"/>
  <c r="AB3439" i="1"/>
  <c r="AF3439" i="1"/>
  <c r="AI3439" i="1"/>
  <c r="H3440" i="1"/>
  <c r="AE3440" i="1"/>
  <c r="I3440" i="1"/>
  <c r="J3440" i="1"/>
  <c r="K3440" i="1"/>
  <c r="AC3440" i="1"/>
  <c r="AJ3439" i="1"/>
  <c r="AK3439" i="1"/>
  <c r="AM3439" i="1"/>
  <c r="BF3439" i="1"/>
  <c r="BG3439" i="1"/>
  <c r="T3440" i="1"/>
  <c r="U3440" i="1"/>
  <c r="V3440" i="1"/>
  <c r="W3440" i="1"/>
  <c r="X3440" i="1"/>
  <c r="Y3440" i="1"/>
  <c r="Z3440" i="1"/>
  <c r="AB3440" i="1"/>
  <c r="AF3440" i="1"/>
  <c r="AI3440" i="1"/>
  <c r="AE3441" i="1"/>
  <c r="AC3441" i="1"/>
  <c r="AJ3440" i="1"/>
  <c r="AK3440" i="1"/>
  <c r="AM3440" i="1"/>
  <c r="BF3440" i="1"/>
  <c r="BG3440" i="1"/>
  <c r="T3441" i="1"/>
  <c r="U3441" i="1"/>
  <c r="V3441" i="1"/>
  <c r="W3441" i="1"/>
  <c r="X3441" i="1"/>
  <c r="Y3441" i="1"/>
  <c r="Z3441" i="1"/>
  <c r="AB3441" i="1"/>
  <c r="AF3441" i="1"/>
  <c r="AI3441" i="1"/>
  <c r="AE3442" i="1"/>
  <c r="AC3442" i="1"/>
  <c r="AJ3441" i="1"/>
  <c r="AK3441" i="1"/>
  <c r="AM3441" i="1"/>
  <c r="BF3441" i="1"/>
  <c r="BG3441" i="1"/>
  <c r="T3442" i="1"/>
  <c r="U3442" i="1"/>
  <c r="V3442" i="1"/>
  <c r="W3442" i="1"/>
  <c r="X3442" i="1"/>
  <c r="Y3442" i="1"/>
  <c r="Z3442" i="1"/>
  <c r="AB3442" i="1"/>
  <c r="AF3442" i="1"/>
  <c r="AI3442" i="1"/>
  <c r="H3443" i="1"/>
  <c r="AE3443" i="1"/>
  <c r="I3443" i="1"/>
  <c r="J3443" i="1"/>
  <c r="K3443" i="1"/>
  <c r="AC3443" i="1"/>
  <c r="AJ3442" i="1"/>
  <c r="AK3442" i="1"/>
  <c r="AM3442" i="1"/>
  <c r="BG3442" i="1"/>
  <c r="T3443" i="1"/>
  <c r="U3443" i="1"/>
  <c r="V3443" i="1"/>
  <c r="W3443" i="1"/>
  <c r="X3443" i="1"/>
  <c r="Y3443" i="1"/>
  <c r="Z3443" i="1"/>
  <c r="AB3443" i="1"/>
  <c r="AF3443" i="1"/>
  <c r="AI3443" i="1"/>
  <c r="H3444" i="1"/>
  <c r="AE3444" i="1"/>
  <c r="I3444" i="1"/>
  <c r="J3444" i="1"/>
  <c r="K3444" i="1"/>
  <c r="AC3444" i="1"/>
  <c r="AJ3443" i="1"/>
  <c r="AK3443" i="1"/>
  <c r="AM3443" i="1"/>
  <c r="BF3443" i="1"/>
  <c r="BG3443" i="1"/>
  <c r="T3444" i="1"/>
  <c r="U3444" i="1"/>
  <c r="V3444" i="1"/>
  <c r="W3444" i="1"/>
  <c r="X3444" i="1"/>
  <c r="Y3444" i="1"/>
  <c r="Z3444" i="1"/>
  <c r="AB3444" i="1"/>
  <c r="AF3444" i="1"/>
  <c r="AI3444" i="1"/>
  <c r="AE3445" i="1"/>
  <c r="AC3445" i="1"/>
  <c r="AJ3444" i="1"/>
  <c r="AK3444" i="1"/>
  <c r="AM3444" i="1"/>
  <c r="BF3444" i="1"/>
  <c r="BG3444" i="1"/>
  <c r="T3445" i="1"/>
  <c r="U3445" i="1"/>
  <c r="V3445" i="1"/>
  <c r="W3445" i="1"/>
  <c r="X3445" i="1"/>
  <c r="Y3445" i="1"/>
  <c r="Z3445" i="1"/>
  <c r="AB3445" i="1"/>
  <c r="AF3445" i="1"/>
  <c r="AI3445" i="1"/>
  <c r="AE3446" i="1"/>
  <c r="AC3446" i="1"/>
  <c r="AJ3445" i="1"/>
  <c r="AK3445" i="1"/>
  <c r="AM3445" i="1"/>
  <c r="BF3445" i="1"/>
  <c r="BG3445" i="1"/>
  <c r="T3446" i="1"/>
  <c r="U3446" i="1"/>
  <c r="V3446" i="1"/>
  <c r="W3446" i="1"/>
  <c r="X3446" i="1"/>
  <c r="Y3446" i="1"/>
  <c r="Z3446" i="1"/>
  <c r="AB3446" i="1"/>
  <c r="AF3446" i="1"/>
  <c r="AI3446" i="1"/>
  <c r="H3447" i="1"/>
  <c r="AE3447" i="1"/>
  <c r="I3447" i="1"/>
  <c r="J3447" i="1"/>
  <c r="K3447" i="1"/>
  <c r="AC3447" i="1"/>
  <c r="AJ3446" i="1"/>
  <c r="AK3446" i="1"/>
  <c r="AM3446" i="1"/>
  <c r="BG3446" i="1"/>
  <c r="T3447" i="1"/>
  <c r="U3447" i="1"/>
  <c r="V3447" i="1"/>
  <c r="W3447" i="1"/>
  <c r="X3447" i="1"/>
  <c r="Y3447" i="1"/>
  <c r="Z3447" i="1"/>
  <c r="AB3447" i="1"/>
  <c r="AF3447" i="1"/>
  <c r="AI3447" i="1"/>
  <c r="H3448" i="1"/>
  <c r="AE3448" i="1"/>
  <c r="I3448" i="1"/>
  <c r="J3448" i="1"/>
  <c r="K3448" i="1"/>
  <c r="AC3448" i="1"/>
  <c r="AJ3447" i="1"/>
  <c r="AK3447" i="1"/>
  <c r="AM3447" i="1"/>
  <c r="BF3447" i="1"/>
  <c r="BG3447" i="1"/>
  <c r="T3448" i="1"/>
  <c r="U3448" i="1"/>
  <c r="V3448" i="1"/>
  <c r="W3448" i="1"/>
  <c r="X3448" i="1"/>
  <c r="Y3448" i="1"/>
  <c r="Z3448" i="1"/>
  <c r="AB3448" i="1"/>
  <c r="AF3448" i="1"/>
  <c r="AI3448" i="1"/>
  <c r="H3449" i="1"/>
  <c r="AE3449" i="1"/>
  <c r="I3449" i="1"/>
  <c r="J3449" i="1"/>
  <c r="K3449" i="1"/>
  <c r="AC3449" i="1"/>
  <c r="AJ3448" i="1"/>
  <c r="AK3448" i="1"/>
  <c r="AM3448" i="1"/>
  <c r="BF3448" i="1"/>
  <c r="BG3448" i="1"/>
  <c r="T3449" i="1"/>
  <c r="U3449" i="1"/>
  <c r="V3449" i="1"/>
  <c r="W3449" i="1"/>
  <c r="X3449" i="1"/>
  <c r="Y3449" i="1"/>
  <c r="Z3449" i="1"/>
  <c r="AB3449" i="1"/>
  <c r="AF3449" i="1"/>
  <c r="AI3449" i="1"/>
  <c r="H3450" i="1"/>
  <c r="AE3450" i="1"/>
  <c r="I3450" i="1"/>
  <c r="J3450" i="1"/>
  <c r="K3450" i="1"/>
  <c r="AC3450" i="1"/>
  <c r="AJ3449" i="1"/>
  <c r="AK3449" i="1"/>
  <c r="AM3449" i="1"/>
  <c r="BF3449" i="1"/>
  <c r="BG3449" i="1"/>
  <c r="T3450" i="1"/>
  <c r="U3450" i="1"/>
  <c r="V3450" i="1"/>
  <c r="W3450" i="1"/>
  <c r="X3450" i="1"/>
  <c r="Y3450" i="1"/>
  <c r="Z3450" i="1"/>
  <c r="AB3450" i="1"/>
  <c r="AF3450" i="1"/>
  <c r="AI3450" i="1"/>
  <c r="H3451" i="1"/>
  <c r="AE3451" i="1"/>
  <c r="I3451" i="1"/>
  <c r="J3451" i="1"/>
  <c r="K3451" i="1"/>
  <c r="AC3451" i="1"/>
  <c r="AJ3450" i="1"/>
  <c r="AK3450" i="1"/>
  <c r="AM3450" i="1"/>
  <c r="BF3450" i="1"/>
  <c r="BG3450" i="1"/>
  <c r="T3451" i="1"/>
  <c r="U3451" i="1"/>
  <c r="V3451" i="1"/>
  <c r="W3451" i="1"/>
  <c r="X3451" i="1"/>
  <c r="Y3451" i="1"/>
  <c r="Z3451" i="1"/>
  <c r="AB3451" i="1"/>
  <c r="AF3451" i="1"/>
  <c r="AI3451" i="1"/>
  <c r="AE3452" i="1"/>
  <c r="AC3452" i="1"/>
  <c r="AJ3451" i="1"/>
  <c r="AK3451" i="1"/>
  <c r="AM3451" i="1"/>
  <c r="BF3451" i="1"/>
  <c r="BG3451" i="1"/>
  <c r="T3452" i="1"/>
  <c r="U3452" i="1"/>
  <c r="V3452" i="1"/>
  <c r="W3452" i="1"/>
  <c r="X3452" i="1"/>
  <c r="Y3452" i="1"/>
  <c r="Z3452" i="1"/>
  <c r="AB3452" i="1"/>
  <c r="AF3452" i="1"/>
  <c r="AI3452" i="1"/>
  <c r="AE3453" i="1"/>
  <c r="AC3453" i="1"/>
  <c r="AJ3452" i="1"/>
  <c r="AK3452" i="1"/>
  <c r="AM3452" i="1"/>
  <c r="BF3452" i="1"/>
  <c r="BG3452" i="1"/>
  <c r="T3453" i="1"/>
  <c r="U3453" i="1"/>
  <c r="V3453" i="1"/>
  <c r="W3453" i="1"/>
  <c r="X3453" i="1"/>
  <c r="Y3453" i="1"/>
  <c r="Z3453" i="1"/>
  <c r="AB3453" i="1"/>
  <c r="AF3453" i="1"/>
  <c r="AI3453" i="1"/>
  <c r="H3454" i="1"/>
  <c r="AE3454" i="1"/>
  <c r="I3454" i="1"/>
  <c r="J3454" i="1"/>
  <c r="K3454" i="1"/>
  <c r="AC3454" i="1"/>
  <c r="AJ3453" i="1"/>
  <c r="AK3453" i="1"/>
  <c r="AM3453" i="1"/>
  <c r="BG3453" i="1"/>
  <c r="T3454" i="1"/>
  <c r="U3454" i="1"/>
  <c r="V3454" i="1"/>
  <c r="W3454" i="1"/>
  <c r="X3454" i="1"/>
  <c r="Y3454" i="1"/>
  <c r="Z3454" i="1"/>
  <c r="AB3454" i="1"/>
  <c r="AF3454" i="1"/>
  <c r="AI3454" i="1"/>
  <c r="H3455" i="1"/>
  <c r="AE3455" i="1"/>
  <c r="I3455" i="1"/>
  <c r="J3455" i="1"/>
  <c r="K3455" i="1"/>
  <c r="AC3455" i="1"/>
  <c r="AJ3454" i="1"/>
  <c r="AK3454" i="1"/>
  <c r="AM3454" i="1"/>
  <c r="BF3454" i="1"/>
  <c r="BG3454" i="1"/>
  <c r="T3455" i="1"/>
  <c r="U3455" i="1"/>
  <c r="V3455" i="1"/>
  <c r="W3455" i="1"/>
  <c r="X3455" i="1"/>
  <c r="Y3455" i="1"/>
  <c r="Z3455" i="1"/>
  <c r="AB3455" i="1"/>
  <c r="AF3455" i="1"/>
  <c r="AI3455" i="1"/>
  <c r="H3456" i="1"/>
  <c r="AE3456" i="1"/>
  <c r="I3456" i="1"/>
  <c r="J3456" i="1"/>
  <c r="K3456" i="1"/>
  <c r="AC3456" i="1"/>
  <c r="AJ3455" i="1"/>
  <c r="AK3455" i="1"/>
  <c r="AM3455" i="1"/>
  <c r="BF3455" i="1"/>
  <c r="BG3455" i="1"/>
  <c r="T3456" i="1"/>
  <c r="U3456" i="1"/>
  <c r="V3456" i="1"/>
  <c r="W3456" i="1"/>
  <c r="X3456" i="1"/>
  <c r="Y3456" i="1"/>
  <c r="Z3456" i="1"/>
  <c r="AB3456" i="1"/>
  <c r="AF3456" i="1"/>
  <c r="AI3456" i="1"/>
  <c r="H3457" i="1"/>
  <c r="AE3457" i="1"/>
  <c r="I3457" i="1"/>
  <c r="J3457" i="1"/>
  <c r="K3457" i="1"/>
  <c r="AC3457" i="1"/>
  <c r="AJ3456" i="1"/>
  <c r="AK3456" i="1"/>
  <c r="AM3456" i="1"/>
  <c r="BF3456" i="1"/>
  <c r="BG3456" i="1"/>
  <c r="T3457" i="1"/>
  <c r="U3457" i="1"/>
  <c r="V3457" i="1"/>
  <c r="W3457" i="1"/>
  <c r="X3457" i="1"/>
  <c r="Y3457" i="1"/>
  <c r="Z3457" i="1"/>
  <c r="AB3457" i="1"/>
  <c r="AF3457" i="1"/>
  <c r="AI3457" i="1"/>
  <c r="AE3458" i="1"/>
  <c r="AC3458" i="1"/>
  <c r="AJ3457" i="1"/>
  <c r="AK3457" i="1"/>
  <c r="AM3457" i="1"/>
  <c r="BF3457" i="1"/>
  <c r="BG3457" i="1"/>
  <c r="T3458" i="1"/>
  <c r="U3458" i="1"/>
  <c r="V3458" i="1"/>
  <c r="W3458" i="1"/>
  <c r="X3458" i="1"/>
  <c r="Y3458" i="1"/>
  <c r="Z3458" i="1"/>
  <c r="AB3458" i="1"/>
  <c r="AF3458" i="1"/>
  <c r="AI3458" i="1"/>
  <c r="AE3459" i="1"/>
  <c r="AC3459" i="1"/>
  <c r="AJ3458" i="1"/>
  <c r="AK3458" i="1"/>
  <c r="AM3458" i="1"/>
  <c r="BF3458" i="1"/>
  <c r="BG3458" i="1"/>
  <c r="T3459" i="1"/>
  <c r="U3459" i="1"/>
  <c r="V3459" i="1"/>
  <c r="W3459" i="1"/>
  <c r="X3459" i="1"/>
  <c r="Y3459" i="1"/>
  <c r="Z3459" i="1"/>
  <c r="AB3459" i="1"/>
  <c r="AF3459" i="1"/>
  <c r="AI3459" i="1"/>
  <c r="H3460" i="1"/>
  <c r="AE3460" i="1"/>
  <c r="I3460" i="1"/>
  <c r="J3460" i="1"/>
  <c r="K3460" i="1"/>
  <c r="AC3460" i="1"/>
  <c r="AJ3459" i="1"/>
  <c r="AK3459" i="1"/>
  <c r="AM3459" i="1"/>
  <c r="BG3459" i="1"/>
  <c r="T3460" i="1"/>
  <c r="U3460" i="1"/>
  <c r="V3460" i="1"/>
  <c r="W3460" i="1"/>
  <c r="X3460" i="1"/>
  <c r="Y3460" i="1"/>
  <c r="Z3460" i="1"/>
  <c r="AB3460" i="1"/>
  <c r="AF3460" i="1"/>
  <c r="AI3460" i="1"/>
  <c r="AE3461" i="1"/>
  <c r="AC3461" i="1"/>
  <c r="AJ3460" i="1"/>
  <c r="AK3460" i="1"/>
  <c r="AM3460" i="1"/>
  <c r="BF3460" i="1"/>
  <c r="BG3460" i="1"/>
  <c r="T3461" i="1"/>
  <c r="U3461" i="1"/>
  <c r="V3461" i="1"/>
  <c r="W3461" i="1"/>
  <c r="X3461" i="1"/>
  <c r="Y3461" i="1"/>
  <c r="Z3461" i="1"/>
  <c r="AB3461" i="1"/>
  <c r="AF3461" i="1"/>
  <c r="AI3461" i="1"/>
  <c r="AE3462" i="1"/>
  <c r="AC3462" i="1"/>
  <c r="AJ3461" i="1"/>
  <c r="AK3461" i="1"/>
  <c r="AM3461" i="1"/>
  <c r="BF3461" i="1"/>
  <c r="BG3461" i="1"/>
  <c r="T3462" i="1"/>
  <c r="U3462" i="1"/>
  <c r="V3462" i="1"/>
  <c r="W3462" i="1"/>
  <c r="X3462" i="1"/>
  <c r="Y3462" i="1"/>
  <c r="Z3462" i="1"/>
  <c r="AB3462" i="1"/>
  <c r="AF3462" i="1"/>
  <c r="AI3462" i="1"/>
  <c r="AE3463" i="1"/>
  <c r="AC3463" i="1"/>
  <c r="AJ3462" i="1"/>
  <c r="AK3462" i="1"/>
  <c r="AM3462" i="1"/>
  <c r="BF3462" i="1"/>
  <c r="BG3462" i="1"/>
  <c r="T3463" i="1"/>
  <c r="U3463" i="1"/>
  <c r="V3463" i="1"/>
  <c r="W3463" i="1"/>
  <c r="X3463" i="1"/>
  <c r="Y3463" i="1"/>
  <c r="Z3463" i="1"/>
  <c r="AB3463" i="1"/>
  <c r="AF3463" i="1"/>
  <c r="AI3463" i="1"/>
  <c r="H3464" i="1"/>
  <c r="AE3464" i="1"/>
  <c r="I3464" i="1"/>
  <c r="J3464" i="1"/>
  <c r="K3464" i="1"/>
  <c r="AC3464" i="1"/>
  <c r="AJ3463" i="1"/>
  <c r="AK3463" i="1"/>
  <c r="AM3463" i="1"/>
  <c r="BG3463" i="1"/>
  <c r="T3464" i="1"/>
  <c r="U3464" i="1"/>
  <c r="V3464" i="1"/>
  <c r="W3464" i="1"/>
  <c r="X3464" i="1"/>
  <c r="Y3464" i="1"/>
  <c r="Z3464" i="1"/>
  <c r="AB3464" i="1"/>
  <c r="AF3464" i="1"/>
  <c r="AI3464" i="1"/>
  <c r="H3465" i="1"/>
  <c r="AE3465" i="1"/>
  <c r="I3465" i="1"/>
  <c r="J3465" i="1"/>
  <c r="K3465" i="1"/>
  <c r="AC3465" i="1"/>
  <c r="AJ3464" i="1"/>
  <c r="AK3464" i="1"/>
  <c r="AM3464" i="1"/>
  <c r="BF3464" i="1"/>
  <c r="BG3464" i="1"/>
  <c r="T3465" i="1"/>
  <c r="U3465" i="1"/>
  <c r="V3465" i="1"/>
  <c r="W3465" i="1"/>
  <c r="X3465" i="1"/>
  <c r="Y3465" i="1"/>
  <c r="Z3465" i="1"/>
  <c r="AB3465" i="1"/>
  <c r="AF3465" i="1"/>
  <c r="AI3465" i="1"/>
  <c r="H3466" i="1"/>
  <c r="AE3466" i="1"/>
  <c r="I3466" i="1"/>
  <c r="J3466" i="1"/>
  <c r="K3466" i="1"/>
  <c r="AC3466" i="1"/>
  <c r="AJ3465" i="1"/>
  <c r="AK3465" i="1"/>
  <c r="AM3465" i="1"/>
  <c r="BF3465" i="1"/>
  <c r="BG3465" i="1"/>
  <c r="T3466" i="1"/>
  <c r="U3466" i="1"/>
  <c r="V3466" i="1"/>
  <c r="W3466" i="1"/>
  <c r="X3466" i="1"/>
  <c r="Y3466" i="1"/>
  <c r="Z3466" i="1"/>
  <c r="AB3466" i="1"/>
  <c r="AF3466" i="1"/>
  <c r="AI3466" i="1"/>
  <c r="AE3467" i="1"/>
  <c r="AC3467" i="1"/>
  <c r="AJ3466" i="1"/>
  <c r="AK3466" i="1"/>
  <c r="AM3466" i="1"/>
  <c r="BF3466" i="1"/>
  <c r="BG3466" i="1"/>
  <c r="T3467" i="1"/>
  <c r="U3467" i="1"/>
  <c r="V3467" i="1"/>
  <c r="W3467" i="1"/>
  <c r="X3467" i="1"/>
  <c r="Y3467" i="1"/>
  <c r="Z3467" i="1"/>
  <c r="AB3467" i="1"/>
  <c r="AF3467" i="1"/>
  <c r="AI3467" i="1"/>
  <c r="AE3468" i="1"/>
  <c r="AC3468" i="1"/>
  <c r="AJ3467" i="1"/>
  <c r="AK3467" i="1"/>
  <c r="AM3467" i="1"/>
  <c r="BF3467" i="1"/>
  <c r="BG3467" i="1"/>
  <c r="T3468" i="1"/>
  <c r="U3468" i="1"/>
  <c r="V3468" i="1"/>
  <c r="W3468" i="1"/>
  <c r="X3468" i="1"/>
  <c r="Y3468" i="1"/>
  <c r="Z3468" i="1"/>
  <c r="AB3468" i="1"/>
  <c r="AF3468" i="1"/>
  <c r="AI3468" i="1"/>
  <c r="AE3469" i="1"/>
  <c r="AC3469" i="1"/>
  <c r="AJ3468" i="1"/>
  <c r="AK3468" i="1"/>
  <c r="AM3468" i="1"/>
  <c r="BF3468" i="1"/>
  <c r="BG3468" i="1"/>
  <c r="T3469" i="1"/>
  <c r="U3469" i="1"/>
  <c r="V3469" i="1"/>
  <c r="W3469" i="1"/>
  <c r="X3469" i="1"/>
  <c r="Y3469" i="1"/>
  <c r="Z3469" i="1"/>
  <c r="AB3469" i="1"/>
  <c r="AF3469" i="1"/>
  <c r="AI3469" i="1"/>
  <c r="H3470" i="1"/>
  <c r="AE3470" i="1"/>
  <c r="I3470" i="1"/>
  <c r="J3470" i="1"/>
  <c r="K3470" i="1"/>
  <c r="AC3470" i="1"/>
  <c r="AJ3469" i="1"/>
  <c r="AK3469" i="1"/>
  <c r="AM3469" i="1"/>
  <c r="BG3469" i="1"/>
  <c r="T3470" i="1"/>
  <c r="U3470" i="1"/>
  <c r="V3470" i="1"/>
  <c r="W3470" i="1"/>
  <c r="X3470" i="1"/>
  <c r="Y3470" i="1"/>
  <c r="Z3470" i="1"/>
  <c r="AB3470" i="1"/>
  <c r="AF3470" i="1"/>
  <c r="AI3470" i="1"/>
  <c r="AE3471" i="1"/>
  <c r="AC3471" i="1"/>
  <c r="AJ3470" i="1"/>
  <c r="AK3470" i="1"/>
  <c r="AM3470" i="1"/>
  <c r="BF3470" i="1"/>
  <c r="BG3470" i="1"/>
  <c r="T3471" i="1"/>
  <c r="U3471" i="1"/>
  <c r="V3471" i="1"/>
  <c r="W3471" i="1"/>
  <c r="X3471" i="1"/>
  <c r="Y3471" i="1"/>
  <c r="Z3471" i="1"/>
  <c r="AB3471" i="1"/>
  <c r="AF3471" i="1"/>
  <c r="AI3471" i="1"/>
  <c r="AE3472" i="1"/>
  <c r="AC3472" i="1"/>
  <c r="AJ3471" i="1"/>
  <c r="AK3471" i="1"/>
  <c r="AM3471" i="1"/>
  <c r="BF3471" i="1"/>
  <c r="BG3471" i="1"/>
  <c r="T3472" i="1"/>
  <c r="U3472" i="1"/>
  <c r="V3472" i="1"/>
  <c r="W3472" i="1"/>
  <c r="X3472" i="1"/>
  <c r="Y3472" i="1"/>
  <c r="Z3472" i="1"/>
  <c r="AB3472" i="1"/>
  <c r="AF3472" i="1"/>
  <c r="AI3472" i="1"/>
  <c r="AE3473" i="1"/>
  <c r="AC3473" i="1"/>
  <c r="AJ3472" i="1"/>
  <c r="AK3472" i="1"/>
  <c r="AM3472" i="1"/>
  <c r="BF3472" i="1"/>
  <c r="BG3472" i="1"/>
  <c r="T3473" i="1"/>
  <c r="U3473" i="1"/>
  <c r="V3473" i="1"/>
  <c r="W3473" i="1"/>
  <c r="X3473" i="1"/>
  <c r="Y3473" i="1"/>
  <c r="Z3473" i="1"/>
  <c r="AB3473" i="1"/>
  <c r="AF3473" i="1"/>
  <c r="AI3473" i="1"/>
  <c r="AE3474" i="1"/>
  <c r="AC3474" i="1"/>
  <c r="AJ3473" i="1"/>
  <c r="AK3473" i="1"/>
  <c r="AM3473" i="1"/>
  <c r="BF3473" i="1"/>
  <c r="BG3473" i="1"/>
  <c r="T3474" i="1"/>
  <c r="U3474" i="1"/>
  <c r="V3474" i="1"/>
  <c r="W3474" i="1"/>
  <c r="X3474" i="1"/>
  <c r="Y3474" i="1"/>
  <c r="Z3474" i="1"/>
  <c r="AB3474" i="1"/>
  <c r="AF3474" i="1"/>
  <c r="AI3474" i="1"/>
  <c r="H3475" i="1"/>
  <c r="AE3475" i="1"/>
  <c r="I3475" i="1"/>
  <c r="J3475" i="1"/>
  <c r="K3475" i="1"/>
  <c r="AC3475" i="1"/>
  <c r="AJ3474" i="1"/>
  <c r="AK3474" i="1"/>
  <c r="AM3474" i="1"/>
  <c r="BG3474" i="1"/>
  <c r="T3475" i="1"/>
  <c r="U3475" i="1"/>
  <c r="V3475" i="1"/>
  <c r="W3475" i="1"/>
  <c r="X3475" i="1"/>
  <c r="Y3475" i="1"/>
  <c r="Z3475" i="1"/>
  <c r="AB3475" i="1"/>
  <c r="AF3475" i="1"/>
  <c r="AI3475" i="1"/>
  <c r="H3476" i="1"/>
  <c r="AE3476" i="1"/>
  <c r="I3476" i="1"/>
  <c r="J3476" i="1"/>
  <c r="K3476" i="1"/>
  <c r="AC3476" i="1"/>
  <c r="AJ3475" i="1"/>
  <c r="AK3475" i="1"/>
  <c r="AM3475" i="1"/>
  <c r="BF3475" i="1"/>
  <c r="BG3475" i="1"/>
  <c r="T3476" i="1"/>
  <c r="U3476" i="1"/>
  <c r="V3476" i="1"/>
  <c r="W3476" i="1"/>
  <c r="X3476" i="1"/>
  <c r="Y3476" i="1"/>
  <c r="Z3476" i="1"/>
  <c r="AB3476" i="1"/>
  <c r="AF3476" i="1"/>
  <c r="AI3476" i="1"/>
  <c r="H3477" i="1"/>
  <c r="AE3477" i="1"/>
  <c r="I3477" i="1"/>
  <c r="J3477" i="1"/>
  <c r="K3477" i="1"/>
  <c r="AC3477" i="1"/>
  <c r="AJ3476" i="1"/>
  <c r="AK3476" i="1"/>
  <c r="AM3476" i="1"/>
  <c r="BF3476" i="1"/>
  <c r="BG3476" i="1"/>
  <c r="T3477" i="1"/>
  <c r="U3477" i="1"/>
  <c r="V3477" i="1"/>
  <c r="W3477" i="1"/>
  <c r="X3477" i="1"/>
  <c r="Y3477" i="1"/>
  <c r="Z3477" i="1"/>
  <c r="AB3477" i="1"/>
  <c r="AF3477" i="1"/>
  <c r="AI3477" i="1"/>
  <c r="AE3478" i="1"/>
  <c r="AC3478" i="1"/>
  <c r="AJ3477" i="1"/>
  <c r="AK3477" i="1"/>
  <c r="AM3477" i="1"/>
  <c r="BF3477" i="1"/>
  <c r="BG3477" i="1"/>
  <c r="T3478" i="1"/>
  <c r="U3478" i="1"/>
  <c r="V3478" i="1"/>
  <c r="W3478" i="1"/>
  <c r="X3478" i="1"/>
  <c r="Y3478" i="1"/>
  <c r="Z3478" i="1"/>
  <c r="AB3478" i="1"/>
  <c r="AF3478" i="1"/>
  <c r="AI3478" i="1"/>
  <c r="AE3479" i="1"/>
  <c r="AC3479" i="1"/>
  <c r="AJ3478" i="1"/>
  <c r="AK3478" i="1"/>
  <c r="AM3478" i="1"/>
  <c r="BF3478" i="1"/>
  <c r="BG3478" i="1"/>
  <c r="T3479" i="1"/>
  <c r="U3479" i="1"/>
  <c r="V3479" i="1"/>
  <c r="W3479" i="1"/>
  <c r="X3479" i="1"/>
  <c r="Y3479" i="1"/>
  <c r="Z3479" i="1"/>
  <c r="AB3479" i="1"/>
  <c r="AF3479" i="1"/>
  <c r="AI3479" i="1"/>
  <c r="H3480" i="1"/>
  <c r="AE3480" i="1"/>
  <c r="I3480" i="1"/>
  <c r="J3480" i="1"/>
  <c r="K3480" i="1"/>
  <c r="AC3480" i="1"/>
  <c r="AJ3479" i="1"/>
  <c r="AK3479" i="1"/>
  <c r="AM3479" i="1"/>
  <c r="BG3479" i="1"/>
  <c r="T3480" i="1"/>
  <c r="U3480" i="1"/>
  <c r="V3480" i="1"/>
  <c r="W3480" i="1"/>
  <c r="X3480" i="1"/>
  <c r="Y3480" i="1"/>
  <c r="Z3480" i="1"/>
  <c r="AB3480" i="1"/>
  <c r="AF3480" i="1"/>
  <c r="AI3480" i="1"/>
  <c r="H3481" i="1"/>
  <c r="AE3481" i="1"/>
  <c r="I3481" i="1"/>
  <c r="J3481" i="1"/>
  <c r="K3481" i="1"/>
  <c r="AC3481" i="1"/>
  <c r="AJ3480" i="1"/>
  <c r="AK3480" i="1"/>
  <c r="AM3480" i="1"/>
  <c r="BF3480" i="1"/>
  <c r="BG3480" i="1"/>
  <c r="T3481" i="1"/>
  <c r="U3481" i="1"/>
  <c r="V3481" i="1"/>
  <c r="W3481" i="1"/>
  <c r="X3481" i="1"/>
  <c r="Y3481" i="1"/>
  <c r="Z3481" i="1"/>
  <c r="AB3481" i="1"/>
  <c r="AF3481" i="1"/>
  <c r="AI3481" i="1"/>
  <c r="AE3482" i="1"/>
  <c r="AC3482" i="1"/>
  <c r="AJ3481" i="1"/>
  <c r="AK3481" i="1"/>
  <c r="AM3481" i="1"/>
  <c r="BF3481" i="1"/>
  <c r="BG3481" i="1"/>
  <c r="T3482" i="1"/>
  <c r="U3482" i="1"/>
  <c r="V3482" i="1"/>
  <c r="W3482" i="1"/>
  <c r="X3482" i="1"/>
  <c r="Y3482" i="1"/>
  <c r="Z3482" i="1"/>
  <c r="AB3482" i="1"/>
  <c r="AF3482" i="1"/>
  <c r="AI3482" i="1"/>
  <c r="AE3483" i="1"/>
  <c r="AC3483" i="1"/>
  <c r="AJ3482" i="1"/>
  <c r="AK3482" i="1"/>
  <c r="AM3482" i="1"/>
  <c r="BF3482" i="1"/>
  <c r="BG3482" i="1"/>
  <c r="T3483" i="1"/>
  <c r="U3483" i="1"/>
  <c r="V3483" i="1"/>
  <c r="W3483" i="1"/>
  <c r="X3483" i="1"/>
  <c r="Y3483" i="1"/>
  <c r="Z3483" i="1"/>
  <c r="AB3483" i="1"/>
  <c r="AF3483" i="1"/>
  <c r="AI3483" i="1"/>
  <c r="H3484" i="1"/>
  <c r="AE3484" i="1"/>
  <c r="I3484" i="1"/>
  <c r="J3484" i="1"/>
  <c r="K3484" i="1"/>
  <c r="AC3484" i="1"/>
  <c r="AJ3483" i="1"/>
  <c r="AK3483" i="1"/>
  <c r="AM3483" i="1"/>
  <c r="BG3483" i="1"/>
  <c r="T3484" i="1"/>
  <c r="U3484" i="1"/>
  <c r="V3484" i="1"/>
  <c r="W3484" i="1"/>
  <c r="X3484" i="1"/>
  <c r="Y3484" i="1"/>
  <c r="Z3484" i="1"/>
  <c r="AB3484" i="1"/>
  <c r="AF3484" i="1"/>
  <c r="AI3484" i="1"/>
  <c r="AE3485" i="1"/>
  <c r="AC3485" i="1"/>
  <c r="AJ3484" i="1"/>
  <c r="AK3484" i="1"/>
  <c r="AM3484" i="1"/>
  <c r="BF3484" i="1"/>
  <c r="BG3484" i="1"/>
  <c r="T3485" i="1"/>
  <c r="U3485" i="1"/>
  <c r="V3485" i="1"/>
  <c r="W3485" i="1"/>
  <c r="X3485" i="1"/>
  <c r="Y3485" i="1"/>
  <c r="Z3485" i="1"/>
  <c r="AB3485" i="1"/>
  <c r="AF3485" i="1"/>
  <c r="AI3485" i="1"/>
  <c r="AE3486" i="1"/>
  <c r="AC3486" i="1"/>
  <c r="AJ3485" i="1"/>
  <c r="AK3485" i="1"/>
  <c r="AM3485" i="1"/>
  <c r="BF3485" i="1"/>
  <c r="BG3485" i="1"/>
  <c r="T3486" i="1"/>
  <c r="U3486" i="1"/>
  <c r="V3486" i="1"/>
  <c r="W3486" i="1"/>
  <c r="X3486" i="1"/>
  <c r="Y3486" i="1"/>
  <c r="Z3486" i="1"/>
  <c r="AB3486" i="1"/>
  <c r="AF3486" i="1"/>
  <c r="AI3486" i="1"/>
  <c r="H3487" i="1"/>
  <c r="AE3487" i="1"/>
  <c r="I3487" i="1"/>
  <c r="J3487" i="1"/>
  <c r="K3487" i="1"/>
  <c r="AC3487" i="1"/>
  <c r="AJ3486" i="1"/>
  <c r="AK3486" i="1"/>
  <c r="AM3486" i="1"/>
  <c r="BG3486" i="1"/>
  <c r="T3487" i="1"/>
  <c r="U3487" i="1"/>
  <c r="V3487" i="1"/>
  <c r="W3487" i="1"/>
  <c r="X3487" i="1"/>
  <c r="Y3487" i="1"/>
  <c r="Z3487" i="1"/>
  <c r="AB3487" i="1"/>
  <c r="AF3487" i="1"/>
  <c r="AI3487" i="1"/>
  <c r="H3488" i="1"/>
  <c r="AE3488" i="1"/>
  <c r="I3488" i="1"/>
  <c r="J3488" i="1"/>
  <c r="K3488" i="1"/>
  <c r="AC3488" i="1"/>
  <c r="AJ3487" i="1"/>
  <c r="AK3487" i="1"/>
  <c r="AM3487" i="1"/>
  <c r="BF3487" i="1"/>
  <c r="BG3487" i="1"/>
  <c r="T3488" i="1"/>
  <c r="U3488" i="1"/>
  <c r="V3488" i="1"/>
  <c r="W3488" i="1"/>
  <c r="X3488" i="1"/>
  <c r="Y3488" i="1"/>
  <c r="Z3488" i="1"/>
  <c r="AB3488" i="1"/>
  <c r="AF3488" i="1"/>
  <c r="AI3488" i="1"/>
  <c r="AE3489" i="1"/>
  <c r="AC3489" i="1"/>
  <c r="AJ3488" i="1"/>
  <c r="AK3488" i="1"/>
  <c r="AM3488" i="1"/>
  <c r="BF3488" i="1"/>
  <c r="BG3488" i="1"/>
  <c r="T3489" i="1"/>
  <c r="U3489" i="1"/>
  <c r="V3489" i="1"/>
  <c r="W3489" i="1"/>
  <c r="X3489" i="1"/>
  <c r="Y3489" i="1"/>
  <c r="Z3489" i="1"/>
  <c r="AB3489" i="1"/>
  <c r="AF3489" i="1"/>
  <c r="AI3489" i="1"/>
  <c r="AE3490" i="1"/>
  <c r="AC3490" i="1"/>
  <c r="AJ3489" i="1"/>
  <c r="AK3489" i="1"/>
  <c r="AM3489" i="1"/>
  <c r="BF3489" i="1"/>
  <c r="BG3489" i="1"/>
  <c r="T3490" i="1"/>
  <c r="U3490" i="1"/>
  <c r="V3490" i="1"/>
  <c r="W3490" i="1"/>
  <c r="X3490" i="1"/>
  <c r="Y3490" i="1"/>
  <c r="Z3490" i="1"/>
  <c r="AB3490" i="1"/>
  <c r="AF3490" i="1"/>
  <c r="AI3490" i="1"/>
  <c r="H3491" i="1"/>
  <c r="AE3491" i="1"/>
  <c r="I3491" i="1"/>
  <c r="J3491" i="1"/>
  <c r="K3491" i="1"/>
  <c r="AC3491" i="1"/>
  <c r="AJ3490" i="1"/>
  <c r="AK3490" i="1"/>
  <c r="AM3490" i="1"/>
  <c r="BG3490" i="1"/>
  <c r="T3491" i="1"/>
  <c r="U3491" i="1"/>
  <c r="V3491" i="1"/>
  <c r="W3491" i="1"/>
  <c r="X3491" i="1"/>
  <c r="Y3491" i="1"/>
  <c r="Z3491" i="1"/>
  <c r="AB3491" i="1"/>
  <c r="AF3491" i="1"/>
  <c r="AI3491" i="1"/>
  <c r="H3492" i="1"/>
  <c r="AE3492" i="1"/>
  <c r="I3492" i="1"/>
  <c r="J3492" i="1"/>
  <c r="K3492" i="1"/>
  <c r="AC3492" i="1"/>
  <c r="AJ3491" i="1"/>
  <c r="AK3491" i="1"/>
  <c r="AM3491" i="1"/>
  <c r="BF3491" i="1"/>
  <c r="BG3491" i="1"/>
  <c r="T3492" i="1"/>
  <c r="U3492" i="1"/>
  <c r="V3492" i="1"/>
  <c r="W3492" i="1"/>
  <c r="X3492" i="1"/>
  <c r="Y3492" i="1"/>
  <c r="Z3492" i="1"/>
  <c r="AB3492" i="1"/>
  <c r="AF3492" i="1"/>
  <c r="AI3492" i="1"/>
  <c r="AE3493" i="1"/>
  <c r="AC3493" i="1"/>
  <c r="AJ3492" i="1"/>
  <c r="AK3492" i="1"/>
  <c r="AM3492" i="1"/>
  <c r="BF3492" i="1"/>
  <c r="BG3492" i="1"/>
  <c r="T3493" i="1"/>
  <c r="U3493" i="1"/>
  <c r="V3493" i="1"/>
  <c r="W3493" i="1"/>
  <c r="X3493" i="1"/>
  <c r="Y3493" i="1"/>
  <c r="Z3493" i="1"/>
  <c r="AB3493" i="1"/>
  <c r="AF3493" i="1"/>
  <c r="AI3493" i="1"/>
  <c r="AE3494" i="1"/>
  <c r="AC3494" i="1"/>
  <c r="AJ3493" i="1"/>
  <c r="AK3493" i="1"/>
  <c r="AM3493" i="1"/>
  <c r="BF3493" i="1"/>
  <c r="BG3493" i="1"/>
  <c r="T3494" i="1"/>
  <c r="U3494" i="1"/>
  <c r="V3494" i="1"/>
  <c r="W3494" i="1"/>
  <c r="X3494" i="1"/>
  <c r="Y3494" i="1"/>
  <c r="Z3494" i="1"/>
  <c r="AB3494" i="1"/>
  <c r="AF3494" i="1"/>
  <c r="AI3494" i="1"/>
  <c r="H3495" i="1"/>
  <c r="AE3495" i="1"/>
  <c r="I3495" i="1"/>
  <c r="J3495" i="1"/>
  <c r="K3495" i="1"/>
  <c r="AC3495" i="1"/>
  <c r="AJ3494" i="1"/>
  <c r="AK3494" i="1"/>
  <c r="AM3494" i="1"/>
  <c r="BG3494" i="1"/>
  <c r="T3495" i="1"/>
  <c r="U3495" i="1"/>
  <c r="V3495" i="1"/>
  <c r="W3495" i="1"/>
  <c r="X3495" i="1"/>
  <c r="Y3495" i="1"/>
  <c r="Z3495" i="1"/>
  <c r="AB3495" i="1"/>
  <c r="AF3495" i="1"/>
  <c r="AI3495" i="1"/>
  <c r="AE3496" i="1"/>
  <c r="AC3496" i="1"/>
  <c r="AJ3495" i="1"/>
  <c r="AK3495" i="1"/>
  <c r="AM3495" i="1"/>
  <c r="BF3495" i="1"/>
  <c r="BG3495" i="1"/>
  <c r="T3496" i="1"/>
  <c r="U3496" i="1"/>
  <c r="V3496" i="1"/>
  <c r="W3496" i="1"/>
  <c r="X3496" i="1"/>
  <c r="Y3496" i="1"/>
  <c r="Z3496" i="1"/>
  <c r="AB3496" i="1"/>
  <c r="AF3496" i="1"/>
  <c r="AI3496" i="1"/>
  <c r="AE3497" i="1"/>
  <c r="AC3497" i="1"/>
  <c r="AJ3496" i="1"/>
  <c r="AK3496" i="1"/>
  <c r="AM3496" i="1"/>
  <c r="BF3496" i="1"/>
  <c r="BG3496" i="1"/>
  <c r="T3497" i="1"/>
  <c r="U3497" i="1"/>
  <c r="V3497" i="1"/>
  <c r="W3497" i="1"/>
  <c r="X3497" i="1"/>
  <c r="Y3497" i="1"/>
  <c r="Z3497" i="1"/>
  <c r="AB3497" i="1"/>
  <c r="AF3497" i="1"/>
  <c r="AI3497" i="1"/>
  <c r="H3498" i="1"/>
  <c r="AE3498" i="1"/>
  <c r="I3498" i="1"/>
  <c r="J3498" i="1"/>
  <c r="K3498" i="1"/>
  <c r="AC3498" i="1"/>
  <c r="AJ3497" i="1"/>
  <c r="AK3497" i="1"/>
  <c r="AM3497" i="1"/>
  <c r="BG3497" i="1"/>
  <c r="T3498" i="1"/>
  <c r="U3498" i="1"/>
  <c r="V3498" i="1"/>
  <c r="W3498" i="1"/>
  <c r="X3498" i="1"/>
  <c r="Y3498" i="1"/>
  <c r="Z3498" i="1"/>
  <c r="AB3498" i="1"/>
  <c r="AF3498" i="1"/>
  <c r="AI3498" i="1"/>
  <c r="H3499" i="1"/>
  <c r="AE3499" i="1"/>
  <c r="I3499" i="1"/>
  <c r="J3499" i="1"/>
  <c r="K3499" i="1"/>
  <c r="AC3499" i="1"/>
  <c r="AJ3498" i="1"/>
  <c r="AK3498" i="1"/>
  <c r="AM3498" i="1"/>
  <c r="BF3498" i="1"/>
  <c r="BG3498" i="1"/>
  <c r="T3499" i="1"/>
  <c r="U3499" i="1"/>
  <c r="V3499" i="1"/>
  <c r="W3499" i="1"/>
  <c r="X3499" i="1"/>
  <c r="Y3499" i="1"/>
  <c r="Z3499" i="1"/>
  <c r="AB3499" i="1"/>
  <c r="AF3499" i="1"/>
  <c r="AI3499" i="1"/>
  <c r="H3500" i="1"/>
  <c r="AE3500" i="1"/>
  <c r="I3500" i="1"/>
  <c r="J3500" i="1"/>
  <c r="K3500" i="1"/>
  <c r="AC3500" i="1"/>
  <c r="AJ3499" i="1"/>
  <c r="AK3499" i="1"/>
  <c r="AM3499" i="1"/>
  <c r="BF3499" i="1"/>
  <c r="BG3499" i="1"/>
  <c r="T3500" i="1"/>
  <c r="U3500" i="1"/>
  <c r="V3500" i="1"/>
  <c r="W3500" i="1"/>
  <c r="X3500" i="1"/>
  <c r="Y3500" i="1"/>
  <c r="Z3500" i="1"/>
  <c r="AB3500" i="1"/>
  <c r="AF3500" i="1"/>
  <c r="AI3500" i="1"/>
  <c r="H3501" i="1"/>
  <c r="AE3501" i="1"/>
  <c r="I3501" i="1"/>
  <c r="J3501" i="1"/>
  <c r="K3501" i="1"/>
  <c r="AC3501" i="1"/>
  <c r="AJ3500" i="1"/>
  <c r="AK3500" i="1"/>
  <c r="AM3500" i="1"/>
  <c r="BF3500" i="1"/>
  <c r="BG3500" i="1"/>
  <c r="T3501" i="1"/>
  <c r="U3501" i="1"/>
  <c r="V3501" i="1"/>
  <c r="W3501" i="1"/>
  <c r="X3501" i="1"/>
  <c r="Y3501" i="1"/>
  <c r="Z3501" i="1"/>
  <c r="AB3501" i="1"/>
  <c r="AF3501" i="1"/>
  <c r="AI3501" i="1"/>
  <c r="AE3502" i="1"/>
  <c r="AC3502" i="1"/>
  <c r="AJ3501" i="1"/>
  <c r="AK3501" i="1"/>
  <c r="AM3501" i="1"/>
  <c r="BF3501" i="1"/>
  <c r="BG3501" i="1"/>
  <c r="T3502" i="1"/>
  <c r="U3502" i="1"/>
  <c r="V3502" i="1"/>
  <c r="W3502" i="1"/>
  <c r="X3502" i="1"/>
  <c r="Y3502" i="1"/>
  <c r="Z3502" i="1"/>
  <c r="AB3502" i="1"/>
  <c r="AF3502" i="1"/>
  <c r="AI3502" i="1"/>
  <c r="AE3503" i="1"/>
  <c r="AC3503" i="1"/>
  <c r="AJ3502" i="1"/>
  <c r="AK3502" i="1"/>
  <c r="AM3502" i="1"/>
  <c r="BF3502" i="1"/>
  <c r="BG3502" i="1"/>
  <c r="T3503" i="1"/>
  <c r="U3503" i="1"/>
  <c r="V3503" i="1"/>
  <c r="W3503" i="1"/>
  <c r="X3503" i="1"/>
  <c r="Y3503" i="1"/>
  <c r="Z3503" i="1"/>
  <c r="AB3503" i="1"/>
  <c r="AF3503" i="1"/>
  <c r="AI3503" i="1"/>
  <c r="H3504" i="1"/>
  <c r="AE3504" i="1"/>
  <c r="I3504" i="1"/>
  <c r="J3504" i="1"/>
  <c r="K3504" i="1"/>
  <c r="AC3504" i="1"/>
  <c r="AJ3503" i="1"/>
  <c r="AK3503" i="1"/>
  <c r="AM3503" i="1"/>
  <c r="BG3503" i="1"/>
  <c r="T3504" i="1"/>
  <c r="U3504" i="1"/>
  <c r="V3504" i="1"/>
  <c r="W3504" i="1"/>
  <c r="X3504" i="1"/>
  <c r="Y3504" i="1"/>
  <c r="Z3504" i="1"/>
  <c r="AB3504" i="1"/>
  <c r="AF3504" i="1"/>
  <c r="AI3504" i="1"/>
  <c r="AE3505" i="1"/>
  <c r="AC3505" i="1"/>
  <c r="AJ3504" i="1"/>
  <c r="AK3504" i="1"/>
  <c r="AM3504" i="1"/>
  <c r="BF3504" i="1"/>
  <c r="BG3504" i="1"/>
  <c r="T3505" i="1"/>
  <c r="U3505" i="1"/>
  <c r="V3505" i="1"/>
  <c r="W3505" i="1"/>
  <c r="X3505" i="1"/>
  <c r="Y3505" i="1"/>
  <c r="Z3505" i="1"/>
  <c r="AB3505" i="1"/>
  <c r="AF3505" i="1"/>
  <c r="AI3505" i="1"/>
  <c r="AE3506" i="1"/>
  <c r="AC3506" i="1"/>
  <c r="AJ3505" i="1"/>
  <c r="AK3505" i="1"/>
  <c r="AM3505" i="1"/>
  <c r="BF3505" i="1"/>
  <c r="BG3505" i="1"/>
  <c r="T3506" i="1"/>
  <c r="U3506" i="1"/>
  <c r="V3506" i="1"/>
  <c r="W3506" i="1"/>
  <c r="X3506" i="1"/>
  <c r="Y3506" i="1"/>
  <c r="Z3506" i="1"/>
  <c r="AB3506" i="1"/>
  <c r="AF3506" i="1"/>
  <c r="AI3506" i="1"/>
  <c r="H3507" i="1"/>
  <c r="AE3507" i="1"/>
  <c r="I3507" i="1"/>
  <c r="J3507" i="1"/>
  <c r="K3507" i="1"/>
  <c r="AC3507" i="1"/>
  <c r="AJ3506" i="1"/>
  <c r="AK3506" i="1"/>
  <c r="AM3506" i="1"/>
  <c r="BG3506" i="1"/>
  <c r="T3507" i="1"/>
  <c r="U3507" i="1"/>
  <c r="V3507" i="1"/>
  <c r="W3507" i="1"/>
  <c r="X3507" i="1"/>
  <c r="Y3507" i="1"/>
  <c r="Z3507" i="1"/>
  <c r="AB3507" i="1"/>
  <c r="AF3507" i="1"/>
  <c r="AI3507" i="1"/>
  <c r="AE3508" i="1"/>
  <c r="AC3508" i="1"/>
  <c r="AJ3507" i="1"/>
  <c r="AK3507" i="1"/>
  <c r="AM3507" i="1"/>
  <c r="BF3507" i="1"/>
  <c r="BG3507" i="1"/>
  <c r="T3508" i="1"/>
  <c r="U3508" i="1"/>
  <c r="V3508" i="1"/>
  <c r="W3508" i="1"/>
  <c r="X3508" i="1"/>
  <c r="Y3508" i="1"/>
  <c r="Z3508" i="1"/>
  <c r="AB3508" i="1"/>
  <c r="AF3508" i="1"/>
  <c r="AI3508" i="1"/>
  <c r="AE3509" i="1"/>
  <c r="AC3509" i="1"/>
  <c r="AJ3508" i="1"/>
  <c r="AK3508" i="1"/>
  <c r="AM3508" i="1"/>
  <c r="BF3508" i="1"/>
  <c r="BG3508" i="1"/>
  <c r="T3509" i="1"/>
  <c r="U3509" i="1"/>
  <c r="V3509" i="1"/>
  <c r="W3509" i="1"/>
  <c r="X3509" i="1"/>
  <c r="Y3509" i="1"/>
  <c r="Z3509" i="1"/>
  <c r="AB3509" i="1"/>
  <c r="AF3509" i="1"/>
  <c r="AI3509" i="1"/>
  <c r="H3510" i="1"/>
  <c r="AE3510" i="1"/>
  <c r="I3510" i="1"/>
  <c r="J3510" i="1"/>
  <c r="K3510" i="1"/>
  <c r="AC3510" i="1"/>
  <c r="AJ3509" i="1"/>
  <c r="AK3509" i="1"/>
  <c r="AM3509" i="1"/>
  <c r="BG3509" i="1"/>
  <c r="T3510" i="1"/>
  <c r="U3510" i="1"/>
  <c r="V3510" i="1"/>
  <c r="W3510" i="1"/>
  <c r="X3510" i="1"/>
  <c r="Y3510" i="1"/>
  <c r="Z3510" i="1"/>
  <c r="AB3510" i="1"/>
  <c r="AF3510" i="1"/>
  <c r="AI3510" i="1"/>
  <c r="AE3511" i="1"/>
  <c r="AC3511" i="1"/>
  <c r="AJ3510" i="1"/>
  <c r="AK3510" i="1"/>
  <c r="AM3510" i="1"/>
  <c r="BF3510" i="1"/>
  <c r="BG3510" i="1"/>
  <c r="T3511" i="1"/>
  <c r="U3511" i="1"/>
  <c r="V3511" i="1"/>
  <c r="W3511" i="1"/>
  <c r="X3511" i="1"/>
  <c r="Y3511" i="1"/>
  <c r="Z3511" i="1"/>
  <c r="AB3511" i="1"/>
  <c r="AF3511" i="1"/>
  <c r="AI3511" i="1"/>
  <c r="AE3512" i="1"/>
  <c r="AC3512" i="1"/>
  <c r="AJ3511" i="1"/>
  <c r="AK3511" i="1"/>
  <c r="AM3511" i="1"/>
  <c r="BF3511" i="1"/>
  <c r="BG3511" i="1"/>
  <c r="T3512" i="1"/>
  <c r="U3512" i="1"/>
  <c r="V3512" i="1"/>
  <c r="W3512" i="1"/>
  <c r="X3512" i="1"/>
  <c r="Y3512" i="1"/>
  <c r="Z3512" i="1"/>
  <c r="AB3512" i="1"/>
  <c r="AF3512" i="1"/>
  <c r="AI3512" i="1"/>
  <c r="H3513" i="1"/>
  <c r="AE3513" i="1"/>
  <c r="I3513" i="1"/>
  <c r="J3513" i="1"/>
  <c r="K3513" i="1"/>
  <c r="AC3513" i="1"/>
  <c r="AJ3512" i="1"/>
  <c r="AK3512" i="1"/>
  <c r="AM3512" i="1"/>
  <c r="BG3512" i="1"/>
  <c r="T3513" i="1"/>
  <c r="U3513" i="1"/>
  <c r="V3513" i="1"/>
  <c r="W3513" i="1"/>
  <c r="X3513" i="1"/>
  <c r="Y3513" i="1"/>
  <c r="Z3513" i="1"/>
  <c r="AB3513" i="1"/>
  <c r="AF3513" i="1"/>
  <c r="AI3513" i="1"/>
  <c r="H3514" i="1"/>
  <c r="AE3514" i="1"/>
  <c r="I3514" i="1"/>
  <c r="J3514" i="1"/>
  <c r="K3514" i="1"/>
  <c r="AC3514" i="1"/>
  <c r="AJ3513" i="1"/>
  <c r="AK3513" i="1"/>
  <c r="AM3513" i="1"/>
  <c r="BF3513" i="1"/>
  <c r="BG3513" i="1"/>
  <c r="T3514" i="1"/>
  <c r="U3514" i="1"/>
  <c r="V3514" i="1"/>
  <c r="W3514" i="1"/>
  <c r="X3514" i="1"/>
  <c r="Y3514" i="1"/>
  <c r="Z3514" i="1"/>
  <c r="AB3514" i="1"/>
  <c r="AF3514" i="1"/>
  <c r="AI3514" i="1"/>
  <c r="AE3515" i="1"/>
  <c r="AC3515" i="1"/>
  <c r="AJ3514" i="1"/>
  <c r="AK3514" i="1"/>
  <c r="AM3514" i="1"/>
  <c r="BF3514" i="1"/>
  <c r="BG3514" i="1"/>
  <c r="T3515" i="1"/>
  <c r="U3515" i="1"/>
  <c r="V3515" i="1"/>
  <c r="W3515" i="1"/>
  <c r="X3515" i="1"/>
  <c r="Y3515" i="1"/>
  <c r="Z3515" i="1"/>
  <c r="AB3515" i="1"/>
  <c r="AF3515" i="1"/>
  <c r="AI3515" i="1"/>
  <c r="AE3516" i="1"/>
  <c r="AC3516" i="1"/>
  <c r="AJ3515" i="1"/>
  <c r="AK3515" i="1"/>
  <c r="AM3515" i="1"/>
  <c r="BF3515" i="1"/>
  <c r="BG3515" i="1"/>
  <c r="T3516" i="1"/>
  <c r="U3516" i="1"/>
  <c r="V3516" i="1"/>
  <c r="W3516" i="1"/>
  <c r="X3516" i="1"/>
  <c r="Y3516" i="1"/>
  <c r="Z3516" i="1"/>
  <c r="AB3516" i="1"/>
  <c r="AF3516" i="1"/>
  <c r="AI3516" i="1"/>
  <c r="AE3517" i="1"/>
  <c r="AC3517" i="1"/>
  <c r="AJ3516" i="1"/>
  <c r="AK3516" i="1"/>
  <c r="AM3516" i="1"/>
  <c r="BF3516" i="1"/>
  <c r="BG3516" i="1"/>
  <c r="T3517" i="1"/>
  <c r="U3517" i="1"/>
  <c r="V3517" i="1"/>
  <c r="W3517" i="1"/>
  <c r="X3517" i="1"/>
  <c r="Y3517" i="1"/>
  <c r="Z3517" i="1"/>
  <c r="AB3517" i="1"/>
  <c r="AF3517" i="1"/>
  <c r="AI3517" i="1"/>
  <c r="AE3518" i="1"/>
  <c r="AC3518" i="1"/>
  <c r="AJ3517" i="1"/>
  <c r="AK3517" i="1"/>
  <c r="AM3517" i="1"/>
  <c r="BF3517" i="1"/>
  <c r="BG3517" i="1"/>
  <c r="T3518" i="1"/>
  <c r="U3518" i="1"/>
  <c r="V3518" i="1"/>
  <c r="W3518" i="1"/>
  <c r="X3518" i="1"/>
  <c r="Y3518" i="1"/>
  <c r="Z3518" i="1"/>
  <c r="AB3518" i="1"/>
  <c r="AF3518" i="1"/>
  <c r="AI3518" i="1"/>
  <c r="H3519" i="1"/>
  <c r="AE3519" i="1"/>
  <c r="I3519" i="1"/>
  <c r="J3519" i="1"/>
  <c r="K3519" i="1"/>
  <c r="AC3519" i="1"/>
  <c r="AJ3518" i="1"/>
  <c r="AK3518" i="1"/>
  <c r="AM3518" i="1"/>
  <c r="BG3518" i="1"/>
  <c r="T3519" i="1"/>
  <c r="U3519" i="1"/>
  <c r="V3519" i="1"/>
  <c r="W3519" i="1"/>
  <c r="X3519" i="1"/>
  <c r="Y3519" i="1"/>
  <c r="Z3519" i="1"/>
  <c r="AB3519" i="1"/>
  <c r="AF3519" i="1"/>
  <c r="AI3519" i="1"/>
  <c r="AE3520" i="1"/>
  <c r="AC3520" i="1"/>
  <c r="AJ3519" i="1"/>
  <c r="AK3519" i="1"/>
  <c r="AM3519" i="1"/>
  <c r="BF3519" i="1"/>
  <c r="BG3519" i="1"/>
  <c r="T3520" i="1"/>
  <c r="U3520" i="1"/>
  <c r="V3520" i="1"/>
  <c r="W3520" i="1"/>
  <c r="X3520" i="1"/>
  <c r="Y3520" i="1"/>
  <c r="Z3520" i="1"/>
  <c r="AB3520" i="1"/>
  <c r="AF3520" i="1"/>
  <c r="AI3520" i="1"/>
  <c r="AE3521" i="1"/>
  <c r="AC3521" i="1"/>
  <c r="AJ3520" i="1"/>
  <c r="AK3520" i="1"/>
  <c r="AM3520" i="1"/>
  <c r="BF3520" i="1"/>
  <c r="BG3520" i="1"/>
  <c r="T3521" i="1"/>
  <c r="U3521" i="1"/>
  <c r="V3521" i="1"/>
  <c r="W3521" i="1"/>
  <c r="X3521" i="1"/>
  <c r="Y3521" i="1"/>
  <c r="Z3521" i="1"/>
  <c r="AB3521" i="1"/>
  <c r="AF3521" i="1"/>
  <c r="AI3521" i="1"/>
  <c r="H3522" i="1"/>
  <c r="AE3522" i="1"/>
  <c r="I3522" i="1"/>
  <c r="J3522" i="1"/>
  <c r="K3522" i="1"/>
  <c r="AC3522" i="1"/>
  <c r="AJ3521" i="1"/>
  <c r="AK3521" i="1"/>
  <c r="AM3521" i="1"/>
  <c r="BG3521" i="1"/>
  <c r="T3522" i="1"/>
  <c r="U3522" i="1"/>
  <c r="V3522" i="1"/>
  <c r="W3522" i="1"/>
  <c r="X3522" i="1"/>
  <c r="Y3522" i="1"/>
  <c r="Z3522" i="1"/>
  <c r="AB3522" i="1"/>
  <c r="AF3522" i="1"/>
  <c r="AI3522" i="1"/>
  <c r="AE3523" i="1"/>
  <c r="AC3523" i="1"/>
  <c r="AJ3522" i="1"/>
  <c r="AK3522" i="1"/>
  <c r="AM3522" i="1"/>
  <c r="BF3522" i="1"/>
  <c r="BG3522" i="1"/>
  <c r="T3523" i="1"/>
  <c r="U3523" i="1"/>
  <c r="V3523" i="1"/>
  <c r="W3523" i="1"/>
  <c r="X3523" i="1"/>
  <c r="Y3523" i="1"/>
  <c r="Z3523" i="1"/>
  <c r="AB3523" i="1"/>
  <c r="AF3523" i="1"/>
  <c r="AI3523" i="1"/>
  <c r="AE3524" i="1"/>
  <c r="AC3524" i="1"/>
  <c r="AJ3523" i="1"/>
  <c r="AK3523" i="1"/>
  <c r="AM3523" i="1"/>
  <c r="BF3523" i="1"/>
  <c r="BG3523" i="1"/>
  <c r="T3524" i="1"/>
  <c r="U3524" i="1"/>
  <c r="V3524" i="1"/>
  <c r="W3524" i="1"/>
  <c r="X3524" i="1"/>
  <c r="Y3524" i="1"/>
  <c r="Z3524" i="1"/>
  <c r="AB3524" i="1"/>
  <c r="AF3524" i="1"/>
  <c r="AI3524" i="1"/>
  <c r="H3525" i="1"/>
  <c r="AE3525" i="1"/>
  <c r="I3525" i="1"/>
  <c r="J3525" i="1"/>
  <c r="K3525" i="1"/>
  <c r="AC3525" i="1"/>
  <c r="AJ3524" i="1"/>
  <c r="AK3524" i="1"/>
  <c r="AM3524" i="1"/>
  <c r="BG3524" i="1"/>
  <c r="T3525" i="1"/>
  <c r="U3525" i="1"/>
  <c r="V3525" i="1"/>
  <c r="W3525" i="1"/>
  <c r="X3525" i="1"/>
  <c r="Y3525" i="1"/>
  <c r="Z3525" i="1"/>
  <c r="AB3525" i="1"/>
  <c r="AF3525" i="1"/>
  <c r="AI3525" i="1"/>
  <c r="AE3526" i="1"/>
  <c r="AC3526" i="1"/>
  <c r="AJ3525" i="1"/>
  <c r="AK3525" i="1"/>
  <c r="AM3525" i="1"/>
  <c r="BF3525" i="1"/>
  <c r="BG3525" i="1"/>
  <c r="T3526" i="1"/>
  <c r="U3526" i="1"/>
  <c r="V3526" i="1"/>
  <c r="W3526" i="1"/>
  <c r="X3526" i="1"/>
  <c r="Y3526" i="1"/>
  <c r="Z3526" i="1"/>
  <c r="AB3526" i="1"/>
  <c r="AF3526" i="1"/>
  <c r="AI3526" i="1"/>
  <c r="AE3527" i="1"/>
  <c r="AC3527" i="1"/>
  <c r="AJ3526" i="1"/>
  <c r="AK3526" i="1"/>
  <c r="AM3526" i="1"/>
  <c r="BF3526" i="1"/>
  <c r="BG3526" i="1"/>
  <c r="T3527" i="1"/>
  <c r="U3527" i="1"/>
  <c r="V3527" i="1"/>
  <c r="W3527" i="1"/>
  <c r="X3527" i="1"/>
  <c r="Y3527" i="1"/>
  <c r="Z3527" i="1"/>
  <c r="AB3527" i="1"/>
  <c r="AF3527" i="1"/>
  <c r="AI3527" i="1"/>
  <c r="H3528" i="1"/>
  <c r="AE3528" i="1"/>
  <c r="I3528" i="1"/>
  <c r="J3528" i="1"/>
  <c r="K3528" i="1"/>
  <c r="AC3528" i="1"/>
  <c r="AJ3527" i="1"/>
  <c r="AK3527" i="1"/>
  <c r="AM3527" i="1"/>
  <c r="BG3527" i="1"/>
  <c r="T3528" i="1"/>
  <c r="U3528" i="1"/>
  <c r="V3528" i="1"/>
  <c r="W3528" i="1"/>
  <c r="X3528" i="1"/>
  <c r="Y3528" i="1"/>
  <c r="Z3528" i="1"/>
  <c r="AB3528" i="1"/>
  <c r="AF3528" i="1"/>
  <c r="AI3528" i="1"/>
  <c r="AE3529" i="1"/>
  <c r="AC3529" i="1"/>
  <c r="AJ3528" i="1"/>
  <c r="AK3528" i="1"/>
  <c r="AM3528" i="1"/>
  <c r="BF3528" i="1"/>
  <c r="BG3528" i="1"/>
  <c r="T3529" i="1"/>
  <c r="U3529" i="1"/>
  <c r="V3529" i="1"/>
  <c r="W3529" i="1"/>
  <c r="X3529" i="1"/>
  <c r="Y3529" i="1"/>
  <c r="Z3529" i="1"/>
  <c r="AB3529" i="1"/>
  <c r="AF3529" i="1"/>
  <c r="AI3529" i="1"/>
  <c r="AE3530" i="1"/>
  <c r="AC3530" i="1"/>
  <c r="AJ3529" i="1"/>
  <c r="AK3529" i="1"/>
  <c r="AM3529" i="1"/>
  <c r="BF3529" i="1"/>
  <c r="BG3529" i="1"/>
  <c r="T3530" i="1"/>
  <c r="U3530" i="1"/>
  <c r="V3530" i="1"/>
  <c r="W3530" i="1"/>
  <c r="X3530" i="1"/>
  <c r="Y3530" i="1"/>
  <c r="Z3530" i="1"/>
  <c r="AB3530" i="1"/>
  <c r="AF3530" i="1"/>
  <c r="AI3530" i="1"/>
  <c r="H3531" i="1"/>
  <c r="AE3531" i="1"/>
  <c r="I3531" i="1"/>
  <c r="J3531" i="1"/>
  <c r="K3531" i="1"/>
  <c r="AC3531" i="1"/>
  <c r="AJ3530" i="1"/>
  <c r="AK3530" i="1"/>
  <c r="AM3530" i="1"/>
  <c r="BG3530" i="1"/>
  <c r="T3531" i="1"/>
  <c r="U3531" i="1"/>
  <c r="V3531" i="1"/>
  <c r="W3531" i="1"/>
  <c r="X3531" i="1"/>
  <c r="Y3531" i="1"/>
  <c r="Z3531" i="1"/>
  <c r="AB3531" i="1"/>
  <c r="AF3531" i="1"/>
  <c r="AI3531" i="1"/>
  <c r="AE3532" i="1"/>
  <c r="AC3532" i="1"/>
  <c r="AJ3531" i="1"/>
  <c r="AK3531" i="1"/>
  <c r="AM3531" i="1"/>
  <c r="BF3531" i="1"/>
  <c r="BG3531" i="1"/>
  <c r="T3532" i="1"/>
  <c r="U3532" i="1"/>
  <c r="V3532" i="1"/>
  <c r="W3532" i="1"/>
  <c r="X3532" i="1"/>
  <c r="Y3532" i="1"/>
  <c r="Z3532" i="1"/>
  <c r="AB3532" i="1"/>
  <c r="AF3532" i="1"/>
  <c r="AI3532" i="1"/>
  <c r="AE3533" i="1"/>
  <c r="AC3533" i="1"/>
  <c r="AJ3532" i="1"/>
  <c r="AK3532" i="1"/>
  <c r="AM3532" i="1"/>
  <c r="BF3532" i="1"/>
  <c r="BG3532" i="1"/>
  <c r="T3533" i="1"/>
  <c r="U3533" i="1"/>
  <c r="V3533" i="1"/>
  <c r="W3533" i="1"/>
  <c r="X3533" i="1"/>
  <c r="Y3533" i="1"/>
  <c r="Z3533" i="1"/>
  <c r="AB3533" i="1"/>
  <c r="AF3533" i="1"/>
  <c r="AI3533" i="1"/>
  <c r="H3534" i="1"/>
  <c r="AE3534" i="1"/>
  <c r="I3534" i="1"/>
  <c r="J3534" i="1"/>
  <c r="K3534" i="1"/>
  <c r="AC3534" i="1"/>
  <c r="AJ3533" i="1"/>
  <c r="AK3533" i="1"/>
  <c r="AM3533" i="1"/>
  <c r="BG3533" i="1"/>
  <c r="T3534" i="1"/>
  <c r="U3534" i="1"/>
  <c r="V3534" i="1"/>
  <c r="W3534" i="1"/>
  <c r="X3534" i="1"/>
  <c r="Y3534" i="1"/>
  <c r="Z3534" i="1"/>
  <c r="AB3534" i="1"/>
  <c r="AF3534" i="1"/>
  <c r="AI3534" i="1"/>
  <c r="AE3535" i="1"/>
  <c r="AC3535" i="1"/>
  <c r="AJ3534" i="1"/>
  <c r="AK3534" i="1"/>
  <c r="AM3534" i="1"/>
  <c r="BF3534" i="1"/>
  <c r="BG3534" i="1"/>
  <c r="T3535" i="1"/>
  <c r="U3535" i="1"/>
  <c r="V3535" i="1"/>
  <c r="W3535" i="1"/>
  <c r="X3535" i="1"/>
  <c r="Y3535" i="1"/>
  <c r="Z3535" i="1"/>
  <c r="AB3535" i="1"/>
  <c r="AF3535" i="1"/>
  <c r="AI3535" i="1"/>
  <c r="AE3536" i="1"/>
  <c r="AC3536" i="1"/>
  <c r="AJ3535" i="1"/>
  <c r="AK3535" i="1"/>
  <c r="AM3535" i="1"/>
  <c r="BF3535" i="1"/>
  <c r="BG3535" i="1"/>
  <c r="T3536" i="1"/>
  <c r="U3536" i="1"/>
  <c r="V3536" i="1"/>
  <c r="W3536" i="1"/>
  <c r="X3536" i="1"/>
  <c r="Y3536" i="1"/>
  <c r="Z3536" i="1"/>
  <c r="AB3536" i="1"/>
  <c r="AF3536" i="1"/>
  <c r="AI3536" i="1"/>
  <c r="H3537" i="1"/>
  <c r="AE3537" i="1"/>
  <c r="I3537" i="1"/>
  <c r="J3537" i="1"/>
  <c r="K3537" i="1"/>
  <c r="AC3537" i="1"/>
  <c r="AJ3536" i="1"/>
  <c r="AK3536" i="1"/>
  <c r="AM3536" i="1"/>
  <c r="BG3536" i="1"/>
  <c r="T3537" i="1"/>
  <c r="U3537" i="1"/>
  <c r="V3537" i="1"/>
  <c r="W3537" i="1"/>
  <c r="X3537" i="1"/>
  <c r="Y3537" i="1"/>
  <c r="Z3537" i="1"/>
  <c r="AB3537" i="1"/>
  <c r="AF3537" i="1"/>
  <c r="AI3537" i="1"/>
  <c r="AE3538" i="1"/>
  <c r="AC3538" i="1"/>
  <c r="AJ3537" i="1"/>
  <c r="AK3537" i="1"/>
  <c r="AM3537" i="1"/>
  <c r="BF3537" i="1"/>
  <c r="BG3537" i="1"/>
  <c r="T3538" i="1"/>
  <c r="U3538" i="1"/>
  <c r="V3538" i="1"/>
  <c r="W3538" i="1"/>
  <c r="X3538" i="1"/>
  <c r="Y3538" i="1"/>
  <c r="Z3538" i="1"/>
  <c r="AB3538" i="1"/>
  <c r="AF3538" i="1"/>
  <c r="AI3538" i="1"/>
  <c r="AE3539" i="1"/>
  <c r="AC3539" i="1"/>
  <c r="AJ3538" i="1"/>
  <c r="AK3538" i="1"/>
  <c r="AM3538" i="1"/>
  <c r="BF3538" i="1"/>
  <c r="BG3538" i="1"/>
  <c r="T3539" i="1"/>
  <c r="U3539" i="1"/>
  <c r="V3539" i="1"/>
  <c r="W3539" i="1"/>
  <c r="X3539" i="1"/>
  <c r="Y3539" i="1"/>
  <c r="Z3539" i="1"/>
  <c r="AB3539" i="1"/>
  <c r="AF3539" i="1"/>
  <c r="AI3539" i="1"/>
  <c r="H3540" i="1"/>
  <c r="AE3540" i="1"/>
  <c r="I3540" i="1"/>
  <c r="J3540" i="1"/>
  <c r="K3540" i="1"/>
  <c r="AC3540" i="1"/>
  <c r="AJ3539" i="1"/>
  <c r="AK3539" i="1"/>
  <c r="AM3539" i="1"/>
  <c r="BG3539" i="1"/>
  <c r="T3540" i="1"/>
  <c r="U3540" i="1"/>
  <c r="V3540" i="1"/>
  <c r="W3540" i="1"/>
  <c r="X3540" i="1"/>
  <c r="Y3540" i="1"/>
  <c r="Z3540" i="1"/>
  <c r="AB3540" i="1"/>
  <c r="AF3540" i="1"/>
  <c r="AI3540" i="1"/>
  <c r="AE3541" i="1"/>
  <c r="AC3541" i="1"/>
  <c r="AJ3540" i="1"/>
  <c r="AK3540" i="1"/>
  <c r="AM3540" i="1"/>
  <c r="BF3540" i="1"/>
  <c r="BG3540" i="1"/>
  <c r="T3541" i="1"/>
  <c r="U3541" i="1"/>
  <c r="V3541" i="1"/>
  <c r="W3541" i="1"/>
  <c r="X3541" i="1"/>
  <c r="Y3541" i="1"/>
  <c r="Z3541" i="1"/>
  <c r="AB3541" i="1"/>
  <c r="AF3541" i="1"/>
  <c r="AI3541" i="1"/>
  <c r="AE3542" i="1"/>
  <c r="AC3542" i="1"/>
  <c r="AJ3541" i="1"/>
  <c r="AK3541" i="1"/>
  <c r="AM3541" i="1"/>
  <c r="BF3541" i="1"/>
  <c r="BG3541" i="1"/>
  <c r="T3542" i="1"/>
  <c r="U3542" i="1"/>
  <c r="V3542" i="1"/>
  <c r="W3542" i="1"/>
  <c r="X3542" i="1"/>
  <c r="Y3542" i="1"/>
  <c r="Z3542" i="1"/>
  <c r="AB3542" i="1"/>
  <c r="AF3542" i="1"/>
  <c r="AI3542" i="1"/>
  <c r="H3543" i="1"/>
  <c r="AE3543" i="1"/>
  <c r="I3543" i="1"/>
  <c r="J3543" i="1"/>
  <c r="K3543" i="1"/>
  <c r="AC3543" i="1"/>
  <c r="AJ3542" i="1"/>
  <c r="AK3542" i="1"/>
  <c r="AM3542" i="1"/>
  <c r="BG3542" i="1"/>
  <c r="T3543" i="1"/>
  <c r="U3543" i="1"/>
  <c r="V3543" i="1"/>
  <c r="W3543" i="1"/>
  <c r="X3543" i="1"/>
  <c r="Y3543" i="1"/>
  <c r="Z3543" i="1"/>
  <c r="AB3543" i="1"/>
  <c r="AF3543" i="1"/>
  <c r="AI3543" i="1"/>
  <c r="AE3544" i="1"/>
  <c r="AC3544" i="1"/>
  <c r="AJ3543" i="1"/>
  <c r="AK3543" i="1"/>
  <c r="AM3543" i="1"/>
  <c r="BF3543" i="1"/>
  <c r="BG3543" i="1"/>
  <c r="T3544" i="1"/>
  <c r="U3544" i="1"/>
  <c r="V3544" i="1"/>
  <c r="W3544" i="1"/>
  <c r="X3544" i="1"/>
  <c r="Y3544" i="1"/>
  <c r="Z3544" i="1"/>
  <c r="AB3544" i="1"/>
  <c r="AF3544" i="1"/>
  <c r="AI3544" i="1"/>
  <c r="AE3545" i="1"/>
  <c r="AC3545" i="1"/>
  <c r="AJ3544" i="1"/>
  <c r="AK3544" i="1"/>
  <c r="AM3544" i="1"/>
  <c r="BF3544" i="1"/>
  <c r="BG3544" i="1"/>
  <c r="T3545" i="1"/>
  <c r="U3545" i="1"/>
  <c r="V3545" i="1"/>
  <c r="W3545" i="1"/>
  <c r="X3545" i="1"/>
  <c r="Y3545" i="1"/>
  <c r="Z3545" i="1"/>
  <c r="AB3545" i="1"/>
  <c r="AF3545" i="1"/>
  <c r="AI3545" i="1"/>
  <c r="H3546" i="1"/>
  <c r="AE3546" i="1"/>
  <c r="I3546" i="1"/>
  <c r="J3546" i="1"/>
  <c r="K3546" i="1"/>
  <c r="AC3546" i="1"/>
  <c r="AJ3545" i="1"/>
  <c r="AK3545" i="1"/>
  <c r="AM3545" i="1"/>
  <c r="BG3545" i="1"/>
  <c r="T3546" i="1"/>
  <c r="U3546" i="1"/>
  <c r="V3546" i="1"/>
  <c r="W3546" i="1"/>
  <c r="X3546" i="1"/>
  <c r="Y3546" i="1"/>
  <c r="Z3546" i="1"/>
  <c r="AB3546" i="1"/>
  <c r="AF3546" i="1"/>
  <c r="AI3546" i="1"/>
  <c r="AE3547" i="1"/>
  <c r="AC3547" i="1"/>
  <c r="AJ3546" i="1"/>
  <c r="AK3546" i="1"/>
  <c r="AM3546" i="1"/>
  <c r="BF3546" i="1"/>
  <c r="BG3546" i="1"/>
  <c r="T3547" i="1"/>
  <c r="U3547" i="1"/>
  <c r="V3547" i="1"/>
  <c r="W3547" i="1"/>
  <c r="X3547" i="1"/>
  <c r="Y3547" i="1"/>
  <c r="Z3547" i="1"/>
  <c r="AB3547" i="1"/>
  <c r="AF3547" i="1"/>
  <c r="AI3547" i="1"/>
  <c r="AE3548" i="1"/>
  <c r="AC3548" i="1"/>
  <c r="AJ3547" i="1"/>
  <c r="AK3547" i="1"/>
  <c r="AM3547" i="1"/>
  <c r="BF3547" i="1"/>
  <c r="BG3547" i="1"/>
  <c r="T3548" i="1"/>
  <c r="U3548" i="1"/>
  <c r="V3548" i="1"/>
  <c r="W3548" i="1"/>
  <c r="X3548" i="1"/>
  <c r="Y3548" i="1"/>
  <c r="Z3548" i="1"/>
  <c r="AB3548" i="1"/>
  <c r="AF3548" i="1"/>
  <c r="AI3548" i="1"/>
  <c r="H3549" i="1"/>
  <c r="AE3549" i="1"/>
  <c r="I3549" i="1"/>
  <c r="J3549" i="1"/>
  <c r="K3549" i="1"/>
  <c r="AC3549" i="1"/>
  <c r="AJ3548" i="1"/>
  <c r="AK3548" i="1"/>
  <c r="AM3548" i="1"/>
  <c r="BG3548" i="1"/>
  <c r="T3549" i="1"/>
  <c r="U3549" i="1"/>
  <c r="V3549" i="1"/>
  <c r="W3549" i="1"/>
  <c r="X3549" i="1"/>
  <c r="Y3549" i="1"/>
  <c r="Z3549" i="1"/>
  <c r="AB3549" i="1"/>
  <c r="AF3549" i="1"/>
  <c r="AI3549" i="1"/>
  <c r="AE3550" i="1"/>
  <c r="AC3550" i="1"/>
  <c r="AJ3549" i="1"/>
  <c r="AK3549" i="1"/>
  <c r="AM3549" i="1"/>
  <c r="BF3549" i="1"/>
  <c r="BG3549" i="1"/>
  <c r="T3550" i="1"/>
  <c r="U3550" i="1"/>
  <c r="V3550" i="1"/>
  <c r="W3550" i="1"/>
  <c r="X3550" i="1"/>
  <c r="Y3550" i="1"/>
  <c r="Z3550" i="1"/>
  <c r="AB3550" i="1"/>
  <c r="AF3550" i="1"/>
  <c r="AI3550" i="1"/>
  <c r="AE3551" i="1"/>
  <c r="AC3551" i="1"/>
  <c r="AJ3550" i="1"/>
  <c r="AK3550" i="1"/>
  <c r="AM3550" i="1"/>
  <c r="BF3550" i="1"/>
  <c r="BG3550" i="1"/>
  <c r="T3551" i="1"/>
  <c r="U3551" i="1"/>
  <c r="V3551" i="1"/>
  <c r="W3551" i="1"/>
  <c r="X3551" i="1"/>
  <c r="Y3551" i="1"/>
  <c r="Z3551" i="1"/>
  <c r="AB3551" i="1"/>
  <c r="AF3551" i="1"/>
  <c r="AI3551" i="1"/>
  <c r="H3552" i="1"/>
  <c r="AE3552" i="1"/>
  <c r="I3552" i="1"/>
  <c r="J3552" i="1"/>
  <c r="K3552" i="1"/>
  <c r="AC3552" i="1"/>
  <c r="AJ3551" i="1"/>
  <c r="AK3551" i="1"/>
  <c r="AM3551" i="1"/>
  <c r="BG3551" i="1"/>
  <c r="T3552" i="1"/>
  <c r="U3552" i="1"/>
  <c r="V3552" i="1"/>
  <c r="W3552" i="1"/>
  <c r="X3552" i="1"/>
  <c r="Y3552" i="1"/>
  <c r="Z3552" i="1"/>
  <c r="AB3552" i="1"/>
  <c r="AF3552" i="1"/>
  <c r="AI3552" i="1"/>
  <c r="AE3553" i="1"/>
  <c r="AC3553" i="1"/>
  <c r="AJ3552" i="1"/>
  <c r="AK3552" i="1"/>
  <c r="AM3552" i="1"/>
  <c r="BF3552" i="1"/>
  <c r="BG3552" i="1"/>
  <c r="T3553" i="1"/>
  <c r="U3553" i="1"/>
  <c r="V3553" i="1"/>
  <c r="W3553" i="1"/>
  <c r="X3553" i="1"/>
  <c r="Y3553" i="1"/>
  <c r="Z3553" i="1"/>
  <c r="AB3553" i="1"/>
  <c r="AF3553" i="1"/>
  <c r="AI3553" i="1"/>
  <c r="AE3554" i="1"/>
  <c r="AC3554" i="1"/>
  <c r="AJ3553" i="1"/>
  <c r="AK3553" i="1"/>
  <c r="AM3553" i="1"/>
  <c r="BF3553" i="1"/>
  <c r="BG3553" i="1"/>
  <c r="T3554" i="1"/>
  <c r="U3554" i="1"/>
  <c r="V3554" i="1"/>
  <c r="W3554" i="1"/>
  <c r="X3554" i="1"/>
  <c r="Y3554" i="1"/>
  <c r="Z3554" i="1"/>
  <c r="AB3554" i="1"/>
  <c r="AF3554" i="1"/>
  <c r="AI3554" i="1"/>
  <c r="H3555" i="1"/>
  <c r="AE3555" i="1"/>
  <c r="I3555" i="1"/>
  <c r="J3555" i="1"/>
  <c r="K3555" i="1"/>
  <c r="AC3555" i="1"/>
  <c r="AJ3554" i="1"/>
  <c r="AK3554" i="1"/>
  <c r="AM3554" i="1"/>
  <c r="BG3554" i="1"/>
  <c r="T3555" i="1"/>
  <c r="U3555" i="1"/>
  <c r="V3555" i="1"/>
  <c r="W3555" i="1"/>
  <c r="X3555" i="1"/>
  <c r="Y3555" i="1"/>
  <c r="Z3555" i="1"/>
  <c r="AB3555" i="1"/>
  <c r="AF3555" i="1"/>
  <c r="AI3555" i="1"/>
  <c r="AE3556" i="1"/>
  <c r="AC3556" i="1"/>
  <c r="AJ3555" i="1"/>
  <c r="AK3555" i="1"/>
  <c r="AM3555" i="1"/>
  <c r="BF3555" i="1"/>
  <c r="BG3555" i="1"/>
  <c r="T3556" i="1"/>
  <c r="U3556" i="1"/>
  <c r="V3556" i="1"/>
  <c r="W3556" i="1"/>
  <c r="X3556" i="1"/>
  <c r="Y3556" i="1"/>
  <c r="Z3556" i="1"/>
  <c r="AB3556" i="1"/>
  <c r="AF3556" i="1"/>
  <c r="AI3556" i="1"/>
  <c r="AE3557" i="1"/>
  <c r="AC3557" i="1"/>
  <c r="AJ3556" i="1"/>
  <c r="AK3556" i="1"/>
  <c r="AM3556" i="1"/>
  <c r="BF3556" i="1"/>
  <c r="BG3556" i="1"/>
  <c r="T3557" i="1"/>
  <c r="U3557" i="1"/>
  <c r="V3557" i="1"/>
  <c r="W3557" i="1"/>
  <c r="X3557" i="1"/>
  <c r="Y3557" i="1"/>
  <c r="Z3557" i="1"/>
  <c r="AB3557" i="1"/>
  <c r="AF3557" i="1"/>
  <c r="AI3557" i="1"/>
  <c r="H3558" i="1"/>
  <c r="AE3558" i="1"/>
  <c r="I3558" i="1"/>
  <c r="J3558" i="1"/>
  <c r="K3558" i="1"/>
  <c r="AC3558" i="1"/>
  <c r="AJ3557" i="1"/>
  <c r="AK3557" i="1"/>
  <c r="AM3557" i="1"/>
  <c r="BG3557" i="1"/>
  <c r="T3558" i="1"/>
  <c r="U3558" i="1"/>
  <c r="V3558" i="1"/>
  <c r="W3558" i="1"/>
  <c r="X3558" i="1"/>
  <c r="Y3558" i="1"/>
  <c r="Z3558" i="1"/>
  <c r="AB3558" i="1"/>
  <c r="AF3558" i="1"/>
  <c r="AI3558" i="1"/>
  <c r="AE3559" i="1"/>
  <c r="AC3559" i="1"/>
  <c r="AJ3558" i="1"/>
  <c r="AK3558" i="1"/>
  <c r="AM3558" i="1"/>
  <c r="BF3558" i="1"/>
  <c r="BG3558" i="1"/>
  <c r="T3559" i="1"/>
  <c r="U3559" i="1"/>
  <c r="V3559" i="1"/>
  <c r="W3559" i="1"/>
  <c r="X3559" i="1"/>
  <c r="Y3559" i="1"/>
  <c r="Z3559" i="1"/>
  <c r="AB3559" i="1"/>
  <c r="AF3559" i="1"/>
  <c r="AI3559" i="1"/>
  <c r="AE3560" i="1"/>
  <c r="AC3560" i="1"/>
  <c r="AJ3559" i="1"/>
  <c r="AK3559" i="1"/>
  <c r="AM3559" i="1"/>
  <c r="BF3559" i="1"/>
  <c r="BG3559" i="1"/>
  <c r="T3560" i="1"/>
  <c r="U3560" i="1"/>
  <c r="V3560" i="1"/>
  <c r="W3560" i="1"/>
  <c r="X3560" i="1"/>
  <c r="Y3560" i="1"/>
  <c r="Z3560" i="1"/>
  <c r="AB3560" i="1"/>
  <c r="AF3560" i="1"/>
  <c r="AI3560" i="1"/>
  <c r="H3561" i="1"/>
  <c r="AE3561" i="1"/>
  <c r="I3561" i="1"/>
  <c r="J3561" i="1"/>
  <c r="K3561" i="1"/>
  <c r="AC3561" i="1"/>
  <c r="AJ3560" i="1"/>
  <c r="AK3560" i="1"/>
  <c r="AM3560" i="1"/>
  <c r="BG3560" i="1"/>
  <c r="T3561" i="1"/>
  <c r="U3561" i="1"/>
  <c r="V3561" i="1"/>
  <c r="W3561" i="1"/>
  <c r="X3561" i="1"/>
  <c r="Y3561" i="1"/>
  <c r="Z3561" i="1"/>
  <c r="AB3561" i="1"/>
  <c r="AF3561" i="1"/>
  <c r="AI3561" i="1"/>
  <c r="AE3562" i="1"/>
  <c r="AC3562" i="1"/>
  <c r="AJ3561" i="1"/>
  <c r="AK3561" i="1"/>
  <c r="AM3561" i="1"/>
  <c r="BF3561" i="1"/>
  <c r="BG3561" i="1"/>
  <c r="T3562" i="1"/>
  <c r="U3562" i="1"/>
  <c r="V3562" i="1"/>
  <c r="W3562" i="1"/>
  <c r="X3562" i="1"/>
  <c r="Y3562" i="1"/>
  <c r="Z3562" i="1"/>
  <c r="AB3562" i="1"/>
  <c r="AF3562" i="1"/>
  <c r="AI3562" i="1"/>
  <c r="AE3563" i="1"/>
  <c r="AC3563" i="1"/>
  <c r="AJ3562" i="1"/>
  <c r="AK3562" i="1"/>
  <c r="AM3562" i="1"/>
  <c r="BF3562" i="1"/>
  <c r="BG3562" i="1"/>
  <c r="T3563" i="1"/>
  <c r="U3563" i="1"/>
  <c r="V3563" i="1"/>
  <c r="W3563" i="1"/>
  <c r="X3563" i="1"/>
  <c r="Y3563" i="1"/>
  <c r="Z3563" i="1"/>
  <c r="AB3563" i="1"/>
  <c r="AF3563" i="1"/>
  <c r="AI3563" i="1"/>
  <c r="H3564" i="1"/>
  <c r="AE3564" i="1"/>
  <c r="I3564" i="1"/>
  <c r="J3564" i="1"/>
  <c r="K3564" i="1"/>
  <c r="AC3564" i="1"/>
  <c r="AJ3563" i="1"/>
  <c r="AK3563" i="1"/>
  <c r="AM3563" i="1"/>
  <c r="BG3563" i="1"/>
  <c r="T3564" i="1"/>
  <c r="U3564" i="1"/>
  <c r="V3564" i="1"/>
  <c r="W3564" i="1"/>
  <c r="X3564" i="1"/>
  <c r="Y3564" i="1"/>
  <c r="Z3564" i="1"/>
  <c r="AB3564" i="1"/>
  <c r="AF3564" i="1"/>
  <c r="AI3564" i="1"/>
  <c r="AE3565" i="1"/>
  <c r="AC3565" i="1"/>
  <c r="AJ3564" i="1"/>
  <c r="AK3564" i="1"/>
  <c r="AM3564" i="1"/>
  <c r="BF3564" i="1"/>
  <c r="BG3564" i="1"/>
  <c r="T3565" i="1"/>
  <c r="U3565" i="1"/>
  <c r="V3565" i="1"/>
  <c r="W3565" i="1"/>
  <c r="X3565" i="1"/>
  <c r="Y3565" i="1"/>
  <c r="Z3565" i="1"/>
  <c r="AB3565" i="1"/>
  <c r="AF3565" i="1"/>
  <c r="AI3565" i="1"/>
  <c r="AE3566" i="1"/>
  <c r="AC3566" i="1"/>
  <c r="AJ3565" i="1"/>
  <c r="AK3565" i="1"/>
  <c r="AM3565" i="1"/>
  <c r="BF3565" i="1"/>
  <c r="BG3565" i="1"/>
  <c r="T3566" i="1"/>
  <c r="U3566" i="1"/>
  <c r="V3566" i="1"/>
  <c r="W3566" i="1"/>
  <c r="X3566" i="1"/>
  <c r="Y3566" i="1"/>
  <c r="Z3566" i="1"/>
  <c r="AB3566" i="1"/>
  <c r="AF3566" i="1"/>
  <c r="AI3566" i="1"/>
  <c r="H3567" i="1"/>
  <c r="AE3567" i="1"/>
  <c r="I3567" i="1"/>
  <c r="J3567" i="1"/>
  <c r="K3567" i="1"/>
  <c r="AC3567" i="1"/>
  <c r="AJ3566" i="1"/>
  <c r="AK3566" i="1"/>
  <c r="AM3566" i="1"/>
  <c r="BG3566" i="1"/>
  <c r="T3567" i="1"/>
  <c r="U3567" i="1"/>
  <c r="V3567" i="1"/>
  <c r="W3567" i="1"/>
  <c r="X3567" i="1"/>
  <c r="Y3567" i="1"/>
  <c r="Z3567" i="1"/>
  <c r="AB3567" i="1"/>
  <c r="AF3567" i="1"/>
  <c r="AI3567" i="1"/>
  <c r="AE3568" i="1"/>
  <c r="AC3568" i="1"/>
  <c r="AJ3567" i="1"/>
  <c r="AK3567" i="1"/>
  <c r="AM3567" i="1"/>
  <c r="BF3567" i="1"/>
  <c r="BG3567" i="1"/>
  <c r="T3568" i="1"/>
  <c r="U3568" i="1"/>
  <c r="V3568" i="1"/>
  <c r="W3568" i="1"/>
  <c r="X3568" i="1"/>
  <c r="Y3568" i="1"/>
  <c r="Z3568" i="1"/>
  <c r="AB3568" i="1"/>
  <c r="AF3568" i="1"/>
  <c r="AI3568" i="1"/>
  <c r="AE3569" i="1"/>
  <c r="AC3569" i="1"/>
  <c r="AJ3568" i="1"/>
  <c r="AK3568" i="1"/>
  <c r="AM3568" i="1"/>
  <c r="BF3568" i="1"/>
  <c r="BG3568" i="1"/>
  <c r="T3569" i="1"/>
  <c r="U3569" i="1"/>
  <c r="V3569" i="1"/>
  <c r="W3569" i="1"/>
  <c r="X3569" i="1"/>
  <c r="Y3569" i="1"/>
  <c r="Z3569" i="1"/>
  <c r="AB3569" i="1"/>
  <c r="AF3569" i="1"/>
  <c r="AI3569" i="1"/>
  <c r="H3570" i="1"/>
  <c r="AE3570" i="1"/>
  <c r="I3570" i="1"/>
  <c r="J3570" i="1"/>
  <c r="K3570" i="1"/>
  <c r="AC3570" i="1"/>
  <c r="AJ3569" i="1"/>
  <c r="AK3569" i="1"/>
  <c r="AM3569" i="1"/>
  <c r="BG3569" i="1"/>
  <c r="T3570" i="1"/>
  <c r="U3570" i="1"/>
  <c r="V3570" i="1"/>
  <c r="W3570" i="1"/>
  <c r="X3570" i="1"/>
  <c r="Y3570" i="1"/>
  <c r="Z3570" i="1"/>
  <c r="AB3570" i="1"/>
  <c r="AF3570" i="1"/>
  <c r="AI3570" i="1"/>
  <c r="AE3571" i="1"/>
  <c r="AC3571" i="1"/>
  <c r="AJ3570" i="1"/>
  <c r="AK3570" i="1"/>
  <c r="AM3570" i="1"/>
  <c r="BF3570" i="1"/>
  <c r="BG3570" i="1"/>
  <c r="T3571" i="1"/>
  <c r="U3571" i="1"/>
  <c r="V3571" i="1"/>
  <c r="W3571" i="1"/>
  <c r="X3571" i="1"/>
  <c r="Y3571" i="1"/>
  <c r="Z3571" i="1"/>
  <c r="AB3571" i="1"/>
  <c r="AF3571" i="1"/>
  <c r="AI3571" i="1"/>
  <c r="AE3572" i="1"/>
  <c r="AC3572" i="1"/>
  <c r="AJ3571" i="1"/>
  <c r="AK3571" i="1"/>
  <c r="AM3571" i="1"/>
  <c r="BF3571" i="1"/>
  <c r="BG3571" i="1"/>
  <c r="T3572" i="1"/>
  <c r="U3572" i="1"/>
  <c r="V3572" i="1"/>
  <c r="W3572" i="1"/>
  <c r="X3572" i="1"/>
  <c r="Y3572" i="1"/>
  <c r="Z3572" i="1"/>
  <c r="AB3572" i="1"/>
  <c r="AF3572" i="1"/>
  <c r="AI3572" i="1"/>
  <c r="H3573" i="1"/>
  <c r="AE3573" i="1"/>
  <c r="I3573" i="1"/>
  <c r="J3573" i="1"/>
  <c r="K3573" i="1"/>
  <c r="AC3573" i="1"/>
  <c r="AJ3572" i="1"/>
  <c r="AK3572" i="1"/>
  <c r="AM3572" i="1"/>
  <c r="BG3572" i="1"/>
  <c r="T3573" i="1"/>
  <c r="U3573" i="1"/>
  <c r="V3573" i="1"/>
  <c r="W3573" i="1"/>
  <c r="X3573" i="1"/>
  <c r="Y3573" i="1"/>
  <c r="Z3573" i="1"/>
  <c r="AB3573" i="1"/>
  <c r="AF3573" i="1"/>
  <c r="AI3573" i="1"/>
  <c r="AE3574" i="1"/>
  <c r="AC3574" i="1"/>
  <c r="AJ3573" i="1"/>
  <c r="AK3573" i="1"/>
  <c r="AM3573" i="1"/>
  <c r="BF3573" i="1"/>
  <c r="BG3573" i="1"/>
  <c r="T3574" i="1"/>
  <c r="U3574" i="1"/>
  <c r="V3574" i="1"/>
  <c r="W3574" i="1"/>
  <c r="X3574" i="1"/>
  <c r="Y3574" i="1"/>
  <c r="Z3574" i="1"/>
  <c r="AB3574" i="1"/>
  <c r="AF3574" i="1"/>
  <c r="AI3574" i="1"/>
  <c r="AE3575" i="1"/>
  <c r="AC3575" i="1"/>
  <c r="AJ3574" i="1"/>
  <c r="AK3574" i="1"/>
  <c r="AM3574" i="1"/>
  <c r="BF3574" i="1"/>
  <c r="BG3574" i="1"/>
  <c r="T3575" i="1"/>
  <c r="U3575" i="1"/>
  <c r="V3575" i="1"/>
  <c r="W3575" i="1"/>
  <c r="X3575" i="1"/>
  <c r="Y3575" i="1"/>
  <c r="Z3575" i="1"/>
  <c r="AB3575" i="1"/>
  <c r="AF3575" i="1"/>
  <c r="AI3575" i="1"/>
  <c r="H3576" i="1"/>
  <c r="AE3576" i="1"/>
  <c r="I3576" i="1"/>
  <c r="J3576" i="1"/>
  <c r="K3576" i="1"/>
  <c r="AC3576" i="1"/>
  <c r="AJ3575" i="1"/>
  <c r="AK3575" i="1"/>
  <c r="AM3575" i="1"/>
  <c r="BG3575" i="1"/>
  <c r="T3576" i="1"/>
  <c r="U3576" i="1"/>
  <c r="V3576" i="1"/>
  <c r="W3576" i="1"/>
  <c r="X3576" i="1"/>
  <c r="Y3576" i="1"/>
  <c r="Z3576" i="1"/>
  <c r="AB3576" i="1"/>
  <c r="AF3576" i="1"/>
  <c r="AI3576" i="1"/>
  <c r="AE3577" i="1"/>
  <c r="AC3577" i="1"/>
  <c r="AJ3576" i="1"/>
  <c r="AK3576" i="1"/>
  <c r="AM3576" i="1"/>
  <c r="BF3576" i="1"/>
  <c r="BG3576" i="1"/>
  <c r="T3577" i="1"/>
  <c r="U3577" i="1"/>
  <c r="V3577" i="1"/>
  <c r="W3577" i="1"/>
  <c r="X3577" i="1"/>
  <c r="Y3577" i="1"/>
  <c r="Z3577" i="1"/>
  <c r="AB3577" i="1"/>
  <c r="AF3577" i="1"/>
  <c r="AI3577" i="1"/>
  <c r="AE3578" i="1"/>
  <c r="AC3578" i="1"/>
  <c r="AJ3577" i="1"/>
  <c r="AK3577" i="1"/>
  <c r="AM3577" i="1"/>
  <c r="BF3577" i="1"/>
  <c r="BG3577" i="1"/>
  <c r="T3578" i="1"/>
  <c r="U3578" i="1"/>
  <c r="V3578" i="1"/>
  <c r="W3578" i="1"/>
  <c r="X3578" i="1"/>
  <c r="Y3578" i="1"/>
  <c r="Z3578" i="1"/>
  <c r="AB3578" i="1"/>
  <c r="AF3578" i="1"/>
  <c r="AI3578" i="1"/>
  <c r="H3579" i="1"/>
  <c r="AE3579" i="1"/>
  <c r="I3579" i="1"/>
  <c r="J3579" i="1"/>
  <c r="K3579" i="1"/>
  <c r="AC3579" i="1"/>
  <c r="AJ3578" i="1"/>
  <c r="AK3578" i="1"/>
  <c r="AM3578" i="1"/>
  <c r="BG3578" i="1"/>
  <c r="T3579" i="1"/>
  <c r="U3579" i="1"/>
  <c r="V3579" i="1"/>
  <c r="W3579" i="1"/>
  <c r="X3579" i="1"/>
  <c r="Y3579" i="1"/>
  <c r="Z3579" i="1"/>
  <c r="AB3579" i="1"/>
  <c r="AF3579" i="1"/>
  <c r="AI3579" i="1"/>
  <c r="AE3580" i="1"/>
  <c r="AC3580" i="1"/>
  <c r="AJ3579" i="1"/>
  <c r="AK3579" i="1"/>
  <c r="AM3579" i="1"/>
  <c r="BF3579" i="1"/>
  <c r="BG3579" i="1"/>
  <c r="T3580" i="1"/>
  <c r="U3580" i="1"/>
  <c r="V3580" i="1"/>
  <c r="W3580" i="1"/>
  <c r="X3580" i="1"/>
  <c r="Y3580" i="1"/>
  <c r="Z3580" i="1"/>
  <c r="AB3580" i="1"/>
  <c r="AF3580" i="1"/>
  <c r="AI3580" i="1"/>
  <c r="AE3581" i="1"/>
  <c r="AC3581" i="1"/>
  <c r="AJ3580" i="1"/>
  <c r="AK3580" i="1"/>
  <c r="AM3580" i="1"/>
  <c r="BF3580" i="1"/>
  <c r="BG3580" i="1"/>
  <c r="T3581" i="1"/>
  <c r="U3581" i="1"/>
  <c r="V3581" i="1"/>
  <c r="W3581" i="1"/>
  <c r="X3581" i="1"/>
  <c r="Y3581" i="1"/>
  <c r="Z3581" i="1"/>
  <c r="AB3581" i="1"/>
  <c r="AF3581" i="1"/>
  <c r="AI3581" i="1"/>
  <c r="H3582" i="1"/>
  <c r="AE3582" i="1"/>
  <c r="I3582" i="1"/>
  <c r="J3582" i="1"/>
  <c r="K3582" i="1"/>
  <c r="AC3582" i="1"/>
  <c r="AJ3581" i="1"/>
  <c r="AK3581" i="1"/>
  <c r="AM3581" i="1"/>
  <c r="BG3581" i="1"/>
  <c r="T3582" i="1"/>
  <c r="U3582" i="1"/>
  <c r="V3582" i="1"/>
  <c r="W3582" i="1"/>
  <c r="X3582" i="1"/>
  <c r="Y3582" i="1"/>
  <c r="Z3582" i="1"/>
  <c r="AB3582" i="1"/>
  <c r="AF3582" i="1"/>
  <c r="AI3582" i="1"/>
  <c r="AE3583" i="1"/>
  <c r="AC3583" i="1"/>
  <c r="AJ3582" i="1"/>
  <c r="AK3582" i="1"/>
  <c r="AM3582" i="1"/>
  <c r="BF3582" i="1"/>
  <c r="BG3582" i="1"/>
  <c r="T3583" i="1"/>
  <c r="U3583" i="1"/>
  <c r="V3583" i="1"/>
  <c r="W3583" i="1"/>
  <c r="X3583" i="1"/>
  <c r="Y3583" i="1"/>
  <c r="Z3583" i="1"/>
  <c r="AB3583" i="1"/>
  <c r="AF3583" i="1"/>
  <c r="AI3583" i="1"/>
  <c r="AE3584" i="1"/>
  <c r="AC3584" i="1"/>
  <c r="AJ3583" i="1"/>
  <c r="AK3583" i="1"/>
  <c r="AM3583" i="1"/>
  <c r="BF3583" i="1"/>
  <c r="BG3583" i="1"/>
  <c r="T3584" i="1"/>
  <c r="U3584" i="1"/>
  <c r="V3584" i="1"/>
  <c r="W3584" i="1"/>
  <c r="X3584" i="1"/>
  <c r="Y3584" i="1"/>
  <c r="Z3584" i="1"/>
  <c r="AB3584" i="1"/>
  <c r="AF3584" i="1"/>
  <c r="AI3584" i="1"/>
  <c r="H3585" i="1"/>
  <c r="AE3585" i="1"/>
  <c r="I3585" i="1"/>
  <c r="J3585" i="1"/>
  <c r="K3585" i="1"/>
  <c r="AC3585" i="1"/>
  <c r="AJ3584" i="1"/>
  <c r="AK3584" i="1"/>
  <c r="AM3584" i="1"/>
  <c r="BG3584" i="1"/>
  <c r="T3585" i="1"/>
  <c r="U3585" i="1"/>
  <c r="V3585" i="1"/>
  <c r="W3585" i="1"/>
  <c r="X3585" i="1"/>
  <c r="Y3585" i="1"/>
  <c r="Z3585" i="1"/>
  <c r="AB3585" i="1"/>
  <c r="AF3585" i="1"/>
  <c r="AI3585" i="1"/>
  <c r="AE3586" i="1"/>
  <c r="AC3586" i="1"/>
  <c r="AJ3585" i="1"/>
  <c r="AK3585" i="1"/>
  <c r="AM3585" i="1"/>
  <c r="BF3585" i="1"/>
  <c r="BG3585" i="1"/>
  <c r="T3586" i="1"/>
  <c r="U3586" i="1"/>
  <c r="V3586" i="1"/>
  <c r="W3586" i="1"/>
  <c r="X3586" i="1"/>
  <c r="Y3586" i="1"/>
  <c r="Z3586" i="1"/>
  <c r="AB3586" i="1"/>
  <c r="AF3586" i="1"/>
  <c r="AI3586" i="1"/>
  <c r="AE3587" i="1"/>
  <c r="AC3587" i="1"/>
  <c r="AJ3586" i="1"/>
  <c r="AK3586" i="1"/>
  <c r="AM3586" i="1"/>
  <c r="BF3586" i="1"/>
  <c r="BG3586" i="1"/>
  <c r="T3587" i="1"/>
  <c r="U3587" i="1"/>
  <c r="V3587" i="1"/>
  <c r="W3587" i="1"/>
  <c r="X3587" i="1"/>
  <c r="Y3587" i="1"/>
  <c r="Z3587" i="1"/>
  <c r="AB3587" i="1"/>
  <c r="AF3587" i="1"/>
  <c r="AI3587" i="1"/>
  <c r="H3588" i="1"/>
  <c r="AE3588" i="1"/>
  <c r="I3588" i="1"/>
  <c r="J3588" i="1"/>
  <c r="K3588" i="1"/>
  <c r="AC3588" i="1"/>
  <c r="AJ3587" i="1"/>
  <c r="AK3587" i="1"/>
  <c r="AM3587" i="1"/>
  <c r="BG3587" i="1"/>
  <c r="T3588" i="1"/>
  <c r="U3588" i="1"/>
  <c r="V3588" i="1"/>
  <c r="W3588" i="1"/>
  <c r="X3588" i="1"/>
  <c r="Y3588" i="1"/>
  <c r="Z3588" i="1"/>
  <c r="AB3588" i="1"/>
  <c r="AF3588" i="1"/>
  <c r="AI3588" i="1"/>
  <c r="AE3589" i="1"/>
  <c r="AC3589" i="1"/>
  <c r="AJ3588" i="1"/>
  <c r="AK3588" i="1"/>
  <c r="AM3588" i="1"/>
  <c r="BF3588" i="1"/>
  <c r="BG3588" i="1"/>
  <c r="T3589" i="1"/>
  <c r="U3589" i="1"/>
  <c r="V3589" i="1"/>
  <c r="W3589" i="1"/>
  <c r="X3589" i="1"/>
  <c r="Y3589" i="1"/>
  <c r="Z3589" i="1"/>
  <c r="AB3589" i="1"/>
  <c r="AF3589" i="1"/>
  <c r="AI3589" i="1"/>
  <c r="AE3590" i="1"/>
  <c r="AC3590" i="1"/>
  <c r="AJ3589" i="1"/>
  <c r="AK3589" i="1"/>
  <c r="AM3589" i="1"/>
  <c r="BF3589" i="1"/>
  <c r="BG3589" i="1"/>
  <c r="T3590" i="1"/>
  <c r="U3590" i="1"/>
  <c r="V3590" i="1"/>
  <c r="W3590" i="1"/>
  <c r="X3590" i="1"/>
  <c r="Y3590" i="1"/>
  <c r="Z3590" i="1"/>
  <c r="AB3590" i="1"/>
  <c r="AF3590" i="1"/>
  <c r="AI3590" i="1"/>
  <c r="H3591" i="1"/>
  <c r="AE3591" i="1"/>
  <c r="I3591" i="1"/>
  <c r="J3591" i="1"/>
  <c r="K3591" i="1"/>
  <c r="AC3591" i="1"/>
  <c r="AJ3590" i="1"/>
  <c r="AK3590" i="1"/>
  <c r="AM3590" i="1"/>
  <c r="BG3590" i="1"/>
  <c r="T3591" i="1"/>
  <c r="U3591" i="1"/>
  <c r="V3591" i="1"/>
  <c r="W3591" i="1"/>
  <c r="X3591" i="1"/>
  <c r="Y3591" i="1"/>
  <c r="Z3591" i="1"/>
  <c r="AB3591" i="1"/>
  <c r="AF3591" i="1"/>
  <c r="AI3591" i="1"/>
  <c r="H3592" i="1"/>
  <c r="AE3592" i="1"/>
  <c r="I3592" i="1"/>
  <c r="J3592" i="1"/>
  <c r="K3592" i="1"/>
  <c r="AC3592" i="1"/>
  <c r="AJ3591" i="1"/>
  <c r="AK3591" i="1"/>
  <c r="AM3591" i="1"/>
  <c r="BF3591" i="1"/>
  <c r="BG3591" i="1"/>
  <c r="T3592" i="1"/>
  <c r="U3592" i="1"/>
  <c r="V3592" i="1"/>
  <c r="W3592" i="1"/>
  <c r="X3592" i="1"/>
  <c r="Y3592" i="1"/>
  <c r="Z3592" i="1"/>
  <c r="AB3592" i="1"/>
  <c r="AF3592" i="1"/>
  <c r="AI3592" i="1"/>
  <c r="AE3593" i="1"/>
  <c r="AC3593" i="1"/>
  <c r="AJ3592" i="1"/>
  <c r="AK3592" i="1"/>
  <c r="AM3592" i="1"/>
  <c r="BF3592" i="1"/>
  <c r="BG3592" i="1"/>
  <c r="T3593" i="1"/>
  <c r="U3593" i="1"/>
  <c r="V3593" i="1"/>
  <c r="W3593" i="1"/>
  <c r="X3593" i="1"/>
  <c r="Y3593" i="1"/>
  <c r="Z3593" i="1"/>
  <c r="AB3593" i="1"/>
  <c r="AF3593" i="1"/>
  <c r="AI3593" i="1"/>
  <c r="AE3594" i="1"/>
  <c r="AC3594" i="1"/>
  <c r="AJ3593" i="1"/>
  <c r="AK3593" i="1"/>
  <c r="AM3593" i="1"/>
  <c r="BF3593" i="1"/>
  <c r="BG3593" i="1"/>
  <c r="T3594" i="1"/>
  <c r="U3594" i="1"/>
  <c r="V3594" i="1"/>
  <c r="W3594" i="1"/>
  <c r="X3594" i="1"/>
  <c r="Y3594" i="1"/>
  <c r="Z3594" i="1"/>
  <c r="AB3594" i="1"/>
  <c r="AF3594" i="1"/>
  <c r="AI3594" i="1"/>
  <c r="H3595" i="1"/>
  <c r="AE3595" i="1"/>
  <c r="I3595" i="1"/>
  <c r="J3595" i="1"/>
  <c r="K3595" i="1"/>
  <c r="AC3595" i="1"/>
  <c r="AJ3594" i="1"/>
  <c r="AK3594" i="1"/>
  <c r="AM3594" i="1"/>
  <c r="BG3594" i="1"/>
  <c r="T3595" i="1"/>
  <c r="U3595" i="1"/>
  <c r="V3595" i="1"/>
  <c r="W3595" i="1"/>
  <c r="X3595" i="1"/>
  <c r="Y3595" i="1"/>
  <c r="Z3595" i="1"/>
  <c r="AB3595" i="1"/>
  <c r="AF3595" i="1"/>
  <c r="AI3595" i="1"/>
  <c r="AE3596" i="1"/>
  <c r="AC3596" i="1"/>
  <c r="AJ3595" i="1"/>
  <c r="AK3595" i="1"/>
  <c r="AM3595" i="1"/>
  <c r="BF3595" i="1"/>
  <c r="BG3595" i="1"/>
  <c r="T3596" i="1"/>
  <c r="U3596" i="1"/>
  <c r="V3596" i="1"/>
  <c r="W3596" i="1"/>
  <c r="X3596" i="1"/>
  <c r="Y3596" i="1"/>
  <c r="Z3596" i="1"/>
  <c r="AB3596" i="1"/>
  <c r="AF3596" i="1"/>
  <c r="AI3596" i="1"/>
  <c r="AE3597" i="1"/>
  <c r="AC3597" i="1"/>
  <c r="AJ3596" i="1"/>
  <c r="AK3596" i="1"/>
  <c r="AM3596" i="1"/>
  <c r="BF3596" i="1"/>
  <c r="BG3596" i="1"/>
  <c r="T3597" i="1"/>
  <c r="U3597" i="1"/>
  <c r="V3597" i="1"/>
  <c r="W3597" i="1"/>
  <c r="X3597" i="1"/>
  <c r="Y3597" i="1"/>
  <c r="Z3597" i="1"/>
  <c r="AB3597" i="1"/>
  <c r="AF3597" i="1"/>
  <c r="AI3597" i="1"/>
  <c r="H3598" i="1"/>
  <c r="AE3598" i="1"/>
  <c r="I3598" i="1"/>
  <c r="J3598" i="1"/>
  <c r="K3598" i="1"/>
  <c r="AC3598" i="1"/>
  <c r="AJ3597" i="1"/>
  <c r="AK3597" i="1"/>
  <c r="AM3597" i="1"/>
  <c r="BG3597" i="1"/>
  <c r="T3598" i="1"/>
  <c r="U3598" i="1"/>
  <c r="V3598" i="1"/>
  <c r="W3598" i="1"/>
  <c r="X3598" i="1"/>
  <c r="Y3598" i="1"/>
  <c r="Z3598" i="1"/>
  <c r="AB3598" i="1"/>
  <c r="AF3598" i="1"/>
  <c r="AI3598" i="1"/>
  <c r="H3599" i="1"/>
  <c r="AE3599" i="1"/>
  <c r="I3599" i="1"/>
  <c r="J3599" i="1"/>
  <c r="K3599" i="1"/>
  <c r="AC3599" i="1"/>
  <c r="AJ3598" i="1"/>
  <c r="AK3598" i="1"/>
  <c r="AM3598" i="1"/>
  <c r="BF3598" i="1"/>
  <c r="BG3598" i="1"/>
  <c r="T3599" i="1"/>
  <c r="U3599" i="1"/>
  <c r="V3599" i="1"/>
  <c r="W3599" i="1"/>
  <c r="X3599" i="1"/>
  <c r="Y3599" i="1"/>
  <c r="Z3599" i="1"/>
  <c r="AB3599" i="1"/>
  <c r="AF3599" i="1"/>
  <c r="AI3599" i="1"/>
  <c r="AE3600" i="1"/>
  <c r="AC3600" i="1"/>
  <c r="AJ3599" i="1"/>
  <c r="AK3599" i="1"/>
  <c r="AM3599" i="1"/>
  <c r="BF3599" i="1"/>
  <c r="BG3599" i="1"/>
  <c r="T3600" i="1"/>
  <c r="U3600" i="1"/>
  <c r="V3600" i="1"/>
  <c r="W3600" i="1"/>
  <c r="X3600" i="1"/>
  <c r="Y3600" i="1"/>
  <c r="Z3600" i="1"/>
  <c r="AB3600" i="1"/>
  <c r="AF3600" i="1"/>
  <c r="AI3600" i="1"/>
  <c r="AE3601" i="1"/>
  <c r="AC3601" i="1"/>
  <c r="AJ3600" i="1"/>
  <c r="AK3600" i="1"/>
  <c r="AM3600" i="1"/>
  <c r="BF3600" i="1"/>
  <c r="BG3600" i="1"/>
  <c r="T3601" i="1"/>
  <c r="U3601" i="1"/>
  <c r="V3601" i="1"/>
  <c r="W3601" i="1"/>
  <c r="X3601" i="1"/>
  <c r="Y3601" i="1"/>
  <c r="Z3601" i="1"/>
  <c r="AB3601" i="1"/>
  <c r="AF3601" i="1"/>
  <c r="AI3601" i="1"/>
  <c r="H3602" i="1"/>
  <c r="AE3602" i="1"/>
  <c r="I3602" i="1"/>
  <c r="J3602" i="1"/>
  <c r="K3602" i="1"/>
  <c r="AC3602" i="1"/>
  <c r="AJ3601" i="1"/>
  <c r="AK3601" i="1"/>
  <c r="AM3601" i="1"/>
  <c r="BG3601" i="1"/>
  <c r="T3602" i="1"/>
  <c r="U3602" i="1"/>
  <c r="V3602" i="1"/>
  <c r="W3602" i="1"/>
  <c r="X3602" i="1"/>
  <c r="Y3602" i="1"/>
  <c r="Z3602" i="1"/>
  <c r="AB3602" i="1"/>
  <c r="AF3602" i="1"/>
  <c r="AI3602" i="1"/>
  <c r="AE3603" i="1"/>
  <c r="AC3603" i="1"/>
  <c r="AJ3602" i="1"/>
  <c r="AK3602" i="1"/>
  <c r="AM3602" i="1"/>
  <c r="BF3602" i="1"/>
  <c r="BG3602" i="1"/>
  <c r="T3603" i="1"/>
  <c r="U3603" i="1"/>
  <c r="V3603" i="1"/>
  <c r="W3603" i="1"/>
  <c r="X3603" i="1"/>
  <c r="Y3603" i="1"/>
  <c r="Z3603" i="1"/>
  <c r="AB3603" i="1"/>
  <c r="AF3603" i="1"/>
  <c r="AI3603" i="1"/>
  <c r="AE3604" i="1"/>
  <c r="AC3604" i="1"/>
  <c r="AJ3603" i="1"/>
  <c r="AK3603" i="1"/>
  <c r="AM3603" i="1"/>
  <c r="BF3603" i="1"/>
  <c r="BG3603" i="1"/>
  <c r="T3604" i="1"/>
  <c r="U3604" i="1"/>
  <c r="V3604" i="1"/>
  <c r="W3604" i="1"/>
  <c r="X3604" i="1"/>
  <c r="Y3604" i="1"/>
  <c r="Z3604" i="1"/>
  <c r="AB3604" i="1"/>
  <c r="AF3604" i="1"/>
  <c r="AI3604" i="1"/>
  <c r="H3605" i="1"/>
  <c r="AE3605" i="1"/>
  <c r="I3605" i="1"/>
  <c r="J3605" i="1"/>
  <c r="K3605" i="1"/>
  <c r="AC3605" i="1"/>
  <c r="AJ3604" i="1"/>
  <c r="AK3604" i="1"/>
  <c r="AM3604" i="1"/>
  <c r="BG3604" i="1"/>
  <c r="T3605" i="1"/>
  <c r="U3605" i="1"/>
  <c r="V3605" i="1"/>
  <c r="W3605" i="1"/>
  <c r="X3605" i="1"/>
  <c r="Y3605" i="1"/>
  <c r="Z3605" i="1"/>
  <c r="AB3605" i="1"/>
  <c r="AF3605" i="1"/>
  <c r="AI3605" i="1"/>
  <c r="AE3606" i="1"/>
  <c r="AC3606" i="1"/>
  <c r="AJ3605" i="1"/>
  <c r="AK3605" i="1"/>
  <c r="AM3605" i="1"/>
  <c r="BF3605" i="1"/>
  <c r="BG3605" i="1"/>
  <c r="T3606" i="1"/>
  <c r="U3606" i="1"/>
  <c r="V3606" i="1"/>
  <c r="W3606" i="1"/>
  <c r="X3606" i="1"/>
  <c r="Y3606" i="1"/>
  <c r="Z3606" i="1"/>
  <c r="AB3606" i="1"/>
  <c r="AF3606" i="1"/>
  <c r="AI3606" i="1"/>
  <c r="AE3607" i="1"/>
  <c r="AC3607" i="1"/>
  <c r="AJ3606" i="1"/>
  <c r="AK3606" i="1"/>
  <c r="AM3606" i="1"/>
  <c r="BF3606" i="1"/>
  <c r="BG3606" i="1"/>
  <c r="T3607" i="1"/>
  <c r="U3607" i="1"/>
  <c r="V3607" i="1"/>
  <c r="W3607" i="1"/>
  <c r="X3607" i="1"/>
  <c r="Y3607" i="1"/>
  <c r="Z3607" i="1"/>
  <c r="AB3607" i="1"/>
  <c r="AF3607" i="1"/>
  <c r="AI3607" i="1"/>
  <c r="H3608" i="1"/>
  <c r="AE3608" i="1"/>
  <c r="I3608" i="1"/>
  <c r="J3608" i="1"/>
  <c r="K3608" i="1"/>
  <c r="AC3608" i="1"/>
  <c r="AJ3607" i="1"/>
  <c r="AK3607" i="1"/>
  <c r="AM3607" i="1"/>
  <c r="BG3607" i="1"/>
  <c r="T3608" i="1"/>
  <c r="U3608" i="1"/>
  <c r="V3608" i="1"/>
  <c r="W3608" i="1"/>
  <c r="X3608" i="1"/>
  <c r="Y3608" i="1"/>
  <c r="Z3608" i="1"/>
  <c r="AB3608" i="1"/>
  <c r="AF3608" i="1"/>
  <c r="AI3608" i="1"/>
  <c r="H3609" i="1"/>
  <c r="AE3609" i="1"/>
  <c r="I3609" i="1"/>
  <c r="J3609" i="1"/>
  <c r="K3609" i="1"/>
  <c r="AC3609" i="1"/>
  <c r="AJ3608" i="1"/>
  <c r="AK3608" i="1"/>
  <c r="AM3608" i="1"/>
  <c r="BF3608" i="1"/>
  <c r="BG3608" i="1"/>
  <c r="T3609" i="1"/>
  <c r="U3609" i="1"/>
  <c r="V3609" i="1"/>
  <c r="W3609" i="1"/>
  <c r="X3609" i="1"/>
  <c r="Y3609" i="1"/>
  <c r="Z3609" i="1"/>
  <c r="AB3609" i="1"/>
  <c r="AF3609" i="1"/>
  <c r="AI3609" i="1"/>
  <c r="H3610" i="1"/>
  <c r="AE3610" i="1"/>
  <c r="I3610" i="1"/>
  <c r="J3610" i="1"/>
  <c r="K3610" i="1"/>
  <c r="AC3610" i="1"/>
  <c r="AJ3609" i="1"/>
  <c r="AK3609" i="1"/>
  <c r="AM3609" i="1"/>
  <c r="BF3609" i="1"/>
  <c r="BG3609" i="1"/>
  <c r="T3610" i="1"/>
  <c r="U3610" i="1"/>
  <c r="V3610" i="1"/>
  <c r="W3610" i="1"/>
  <c r="X3610" i="1"/>
  <c r="Y3610" i="1"/>
  <c r="Z3610" i="1"/>
  <c r="AB3610" i="1"/>
  <c r="AF3610" i="1"/>
  <c r="AI3610" i="1"/>
  <c r="AE3611" i="1"/>
  <c r="AC3611" i="1"/>
  <c r="AJ3610" i="1"/>
  <c r="AK3610" i="1"/>
  <c r="AM3610" i="1"/>
  <c r="BF3610" i="1"/>
  <c r="BG3610" i="1"/>
  <c r="T3611" i="1"/>
  <c r="U3611" i="1"/>
  <c r="V3611" i="1"/>
  <c r="W3611" i="1"/>
  <c r="X3611" i="1"/>
  <c r="Y3611" i="1"/>
  <c r="Z3611" i="1"/>
  <c r="AB3611" i="1"/>
  <c r="AF3611" i="1"/>
  <c r="AI3611" i="1"/>
  <c r="AE3612" i="1"/>
  <c r="AC3612" i="1"/>
  <c r="AJ3611" i="1"/>
  <c r="AK3611" i="1"/>
  <c r="AM3611" i="1"/>
  <c r="BF3611" i="1"/>
  <c r="BG3611" i="1"/>
  <c r="T3612" i="1"/>
  <c r="U3612" i="1"/>
  <c r="V3612" i="1"/>
  <c r="W3612" i="1"/>
  <c r="X3612" i="1"/>
  <c r="Y3612" i="1"/>
  <c r="Z3612" i="1"/>
  <c r="AB3612" i="1"/>
  <c r="AF3612" i="1"/>
  <c r="AI3612" i="1"/>
  <c r="H3613" i="1"/>
  <c r="AE3613" i="1"/>
  <c r="I3613" i="1"/>
  <c r="J3613" i="1"/>
  <c r="K3613" i="1"/>
  <c r="AC3613" i="1"/>
  <c r="AJ3612" i="1"/>
  <c r="AK3612" i="1"/>
  <c r="AM3612" i="1"/>
  <c r="BG3612" i="1"/>
  <c r="T3613" i="1"/>
  <c r="U3613" i="1"/>
  <c r="V3613" i="1"/>
  <c r="W3613" i="1"/>
  <c r="X3613" i="1"/>
  <c r="Y3613" i="1"/>
  <c r="Z3613" i="1"/>
  <c r="AB3613" i="1"/>
  <c r="AF3613" i="1"/>
  <c r="AI3613" i="1"/>
  <c r="AE3614" i="1"/>
  <c r="AC3614" i="1"/>
  <c r="AJ3613" i="1"/>
  <c r="AK3613" i="1"/>
  <c r="AM3613" i="1"/>
  <c r="BF3613" i="1"/>
  <c r="BG3613" i="1"/>
  <c r="T3614" i="1"/>
  <c r="U3614" i="1"/>
  <c r="V3614" i="1"/>
  <c r="W3614" i="1"/>
  <c r="X3614" i="1"/>
  <c r="Y3614" i="1"/>
  <c r="Z3614" i="1"/>
  <c r="AB3614" i="1"/>
  <c r="AF3614" i="1"/>
  <c r="AI3614" i="1"/>
  <c r="AE3615" i="1"/>
  <c r="AC3615" i="1"/>
  <c r="AJ3614" i="1"/>
  <c r="AK3614" i="1"/>
  <c r="AM3614" i="1"/>
  <c r="BF3614" i="1"/>
  <c r="BG3614" i="1"/>
  <c r="T3615" i="1"/>
  <c r="U3615" i="1"/>
  <c r="V3615" i="1"/>
  <c r="W3615" i="1"/>
  <c r="X3615" i="1"/>
  <c r="Y3615" i="1"/>
  <c r="Z3615" i="1"/>
  <c r="AB3615" i="1"/>
  <c r="AF3615" i="1"/>
  <c r="AI3615" i="1"/>
  <c r="H3616" i="1"/>
  <c r="AE3616" i="1"/>
  <c r="I3616" i="1"/>
  <c r="J3616" i="1"/>
  <c r="K3616" i="1"/>
  <c r="AC3616" i="1"/>
  <c r="AJ3615" i="1"/>
  <c r="AK3615" i="1"/>
  <c r="AM3615" i="1"/>
  <c r="BG3615" i="1"/>
  <c r="T3616" i="1"/>
  <c r="U3616" i="1"/>
  <c r="V3616" i="1"/>
  <c r="W3616" i="1"/>
  <c r="X3616" i="1"/>
  <c r="Y3616" i="1"/>
  <c r="Z3616" i="1"/>
  <c r="AB3616" i="1"/>
  <c r="AF3616" i="1"/>
  <c r="AI3616" i="1"/>
  <c r="H3617" i="1"/>
  <c r="AE3617" i="1"/>
  <c r="I3617" i="1"/>
  <c r="J3617" i="1"/>
  <c r="K3617" i="1"/>
  <c r="AC3617" i="1"/>
  <c r="AJ3616" i="1"/>
  <c r="AK3616" i="1"/>
  <c r="AM3616" i="1"/>
  <c r="BF3616" i="1"/>
  <c r="BG3616" i="1"/>
  <c r="T3617" i="1"/>
  <c r="U3617" i="1"/>
  <c r="V3617" i="1"/>
  <c r="W3617" i="1"/>
  <c r="X3617" i="1"/>
  <c r="Y3617" i="1"/>
  <c r="Z3617" i="1"/>
  <c r="AB3617" i="1"/>
  <c r="AF3617" i="1"/>
  <c r="AI3617" i="1"/>
  <c r="H3618" i="1"/>
  <c r="AE3618" i="1"/>
  <c r="I3618" i="1"/>
  <c r="J3618" i="1"/>
  <c r="K3618" i="1"/>
  <c r="AC3618" i="1"/>
  <c r="AJ3617" i="1"/>
  <c r="AK3617" i="1"/>
  <c r="AM3617" i="1"/>
  <c r="BF3617" i="1"/>
  <c r="BG3617" i="1"/>
  <c r="T3618" i="1"/>
  <c r="U3618" i="1"/>
  <c r="V3618" i="1"/>
  <c r="W3618" i="1"/>
  <c r="X3618" i="1"/>
  <c r="Y3618" i="1"/>
  <c r="Z3618" i="1"/>
  <c r="AB3618" i="1"/>
  <c r="AF3618" i="1"/>
  <c r="AI3618" i="1"/>
  <c r="AE3619" i="1"/>
  <c r="AC3619" i="1"/>
  <c r="AJ3618" i="1"/>
  <c r="AK3618" i="1"/>
  <c r="AM3618" i="1"/>
  <c r="BF3618" i="1"/>
  <c r="BG3618" i="1"/>
  <c r="T3619" i="1"/>
  <c r="U3619" i="1"/>
  <c r="V3619" i="1"/>
  <c r="W3619" i="1"/>
  <c r="X3619" i="1"/>
  <c r="Y3619" i="1"/>
  <c r="Z3619" i="1"/>
  <c r="AB3619" i="1"/>
  <c r="AF3619" i="1"/>
  <c r="AI3619" i="1"/>
  <c r="AE3620" i="1"/>
  <c r="AC3620" i="1"/>
  <c r="AJ3619" i="1"/>
  <c r="AK3619" i="1"/>
  <c r="AM3619" i="1"/>
  <c r="BF3619" i="1"/>
  <c r="BG3619" i="1"/>
  <c r="T3620" i="1"/>
  <c r="U3620" i="1"/>
  <c r="V3620" i="1"/>
  <c r="W3620" i="1"/>
  <c r="X3620" i="1"/>
  <c r="Y3620" i="1"/>
  <c r="Z3620" i="1"/>
  <c r="AB3620" i="1"/>
  <c r="AF3620" i="1"/>
  <c r="AI3620" i="1"/>
  <c r="H3621" i="1"/>
  <c r="AE3621" i="1"/>
  <c r="I3621" i="1"/>
  <c r="J3621" i="1"/>
  <c r="K3621" i="1"/>
  <c r="AC3621" i="1"/>
  <c r="AJ3620" i="1"/>
  <c r="AK3620" i="1"/>
  <c r="AM3620" i="1"/>
  <c r="BG3620" i="1"/>
  <c r="T3621" i="1"/>
  <c r="U3621" i="1"/>
  <c r="V3621" i="1"/>
  <c r="W3621" i="1"/>
  <c r="X3621" i="1"/>
  <c r="Y3621" i="1"/>
  <c r="Z3621" i="1"/>
  <c r="AB3621" i="1"/>
  <c r="AF3621" i="1"/>
  <c r="AI3621" i="1"/>
  <c r="AE3622" i="1"/>
  <c r="AC3622" i="1"/>
  <c r="AJ3621" i="1"/>
  <c r="AK3621" i="1"/>
  <c r="AM3621" i="1"/>
  <c r="BF3621" i="1"/>
  <c r="BG3621" i="1"/>
  <c r="T3622" i="1"/>
  <c r="U3622" i="1"/>
  <c r="V3622" i="1"/>
  <c r="W3622" i="1"/>
  <c r="X3622" i="1"/>
  <c r="Y3622" i="1"/>
  <c r="Z3622" i="1"/>
  <c r="AB3622" i="1"/>
  <c r="AF3622" i="1"/>
  <c r="AI3622" i="1"/>
  <c r="AE3623" i="1"/>
  <c r="AC3623" i="1"/>
  <c r="AJ3622" i="1"/>
  <c r="AK3622" i="1"/>
  <c r="AM3622" i="1"/>
  <c r="BF3622" i="1"/>
  <c r="BG3622" i="1"/>
  <c r="T3623" i="1"/>
  <c r="U3623" i="1"/>
  <c r="V3623" i="1"/>
  <c r="W3623" i="1"/>
  <c r="X3623" i="1"/>
  <c r="Y3623" i="1"/>
  <c r="Z3623" i="1"/>
  <c r="AB3623" i="1"/>
  <c r="AF3623" i="1"/>
  <c r="AI3623" i="1"/>
  <c r="H3624" i="1"/>
  <c r="AE3624" i="1"/>
  <c r="I3624" i="1"/>
  <c r="J3624" i="1"/>
  <c r="K3624" i="1"/>
  <c r="AC3624" i="1"/>
  <c r="AJ3623" i="1"/>
  <c r="AK3623" i="1"/>
  <c r="AM3623" i="1"/>
  <c r="BG3623" i="1"/>
  <c r="T3624" i="1"/>
  <c r="U3624" i="1"/>
  <c r="V3624" i="1"/>
  <c r="W3624" i="1"/>
  <c r="X3624" i="1"/>
  <c r="Y3624" i="1"/>
  <c r="Z3624" i="1"/>
  <c r="AB3624" i="1"/>
  <c r="AF3624" i="1"/>
  <c r="AI3624" i="1"/>
  <c r="H3625" i="1"/>
  <c r="AE3625" i="1"/>
  <c r="I3625" i="1"/>
  <c r="J3625" i="1"/>
  <c r="K3625" i="1"/>
  <c r="AC3625" i="1"/>
  <c r="AJ3624" i="1"/>
  <c r="AK3624" i="1"/>
  <c r="AM3624" i="1"/>
  <c r="BF3624" i="1"/>
  <c r="BG3624" i="1"/>
  <c r="T3625" i="1"/>
  <c r="U3625" i="1"/>
  <c r="V3625" i="1"/>
  <c r="W3625" i="1"/>
  <c r="X3625" i="1"/>
  <c r="Y3625" i="1"/>
  <c r="Z3625" i="1"/>
  <c r="AB3625" i="1"/>
  <c r="AF3625" i="1"/>
  <c r="AI3625" i="1"/>
  <c r="AE3626" i="1"/>
  <c r="AC3626" i="1"/>
  <c r="AJ3625" i="1"/>
  <c r="AK3625" i="1"/>
  <c r="AM3625" i="1"/>
  <c r="BF3625" i="1"/>
  <c r="BG3625" i="1"/>
  <c r="T3626" i="1"/>
  <c r="U3626" i="1"/>
  <c r="V3626" i="1"/>
  <c r="W3626" i="1"/>
  <c r="X3626" i="1"/>
  <c r="Y3626" i="1"/>
  <c r="Z3626" i="1"/>
  <c r="AB3626" i="1"/>
  <c r="AF3626" i="1"/>
  <c r="AI3626" i="1"/>
  <c r="AE3627" i="1"/>
  <c r="AC3627" i="1"/>
  <c r="AJ3626" i="1"/>
  <c r="AK3626" i="1"/>
  <c r="AM3626" i="1"/>
  <c r="BF3626" i="1"/>
  <c r="BG3626" i="1"/>
  <c r="T3627" i="1"/>
  <c r="U3627" i="1"/>
  <c r="V3627" i="1"/>
  <c r="W3627" i="1"/>
  <c r="X3627" i="1"/>
  <c r="Y3627" i="1"/>
  <c r="Z3627" i="1"/>
  <c r="AB3627" i="1"/>
  <c r="AF3627" i="1"/>
  <c r="AI3627" i="1"/>
  <c r="H3628" i="1"/>
  <c r="AE3628" i="1"/>
  <c r="I3628" i="1"/>
  <c r="J3628" i="1"/>
  <c r="K3628" i="1"/>
  <c r="AC3628" i="1"/>
  <c r="AJ3627" i="1"/>
  <c r="AK3627" i="1"/>
  <c r="AM3627" i="1"/>
  <c r="BG3627" i="1"/>
  <c r="T3628" i="1"/>
  <c r="U3628" i="1"/>
  <c r="V3628" i="1"/>
  <c r="W3628" i="1"/>
  <c r="X3628" i="1"/>
  <c r="Y3628" i="1"/>
  <c r="Z3628" i="1"/>
  <c r="AB3628" i="1"/>
  <c r="AF3628" i="1"/>
  <c r="AI3628" i="1"/>
  <c r="AE3629" i="1"/>
  <c r="AC3629" i="1"/>
  <c r="AJ3628" i="1"/>
  <c r="AK3628" i="1"/>
  <c r="AM3628" i="1"/>
  <c r="BF3628" i="1"/>
  <c r="BG3628" i="1"/>
  <c r="T3629" i="1"/>
  <c r="U3629" i="1"/>
  <c r="V3629" i="1"/>
  <c r="W3629" i="1"/>
  <c r="X3629" i="1"/>
  <c r="Y3629" i="1"/>
  <c r="Z3629" i="1"/>
  <c r="AB3629" i="1"/>
  <c r="AF3629" i="1"/>
  <c r="AI3629" i="1"/>
  <c r="AE3630" i="1"/>
  <c r="AC3630" i="1"/>
  <c r="AJ3629" i="1"/>
  <c r="AK3629" i="1"/>
  <c r="AM3629" i="1"/>
  <c r="BF3629" i="1"/>
  <c r="BG3629" i="1"/>
  <c r="T3630" i="1"/>
  <c r="U3630" i="1"/>
  <c r="V3630" i="1"/>
  <c r="W3630" i="1"/>
  <c r="X3630" i="1"/>
  <c r="Y3630" i="1"/>
  <c r="Z3630" i="1"/>
  <c r="AB3630" i="1"/>
  <c r="AF3630" i="1"/>
  <c r="AI3630" i="1"/>
  <c r="H3631" i="1"/>
  <c r="AE3631" i="1"/>
  <c r="I3631" i="1"/>
  <c r="J3631" i="1"/>
  <c r="K3631" i="1"/>
  <c r="AC3631" i="1"/>
  <c r="AJ3630" i="1"/>
  <c r="AK3630" i="1"/>
  <c r="AM3630" i="1"/>
  <c r="BG3630" i="1"/>
  <c r="T3631" i="1"/>
  <c r="U3631" i="1"/>
  <c r="V3631" i="1"/>
  <c r="W3631" i="1"/>
  <c r="X3631" i="1"/>
  <c r="Y3631" i="1"/>
  <c r="Z3631" i="1"/>
  <c r="AB3631" i="1"/>
  <c r="AF3631" i="1"/>
  <c r="AI3631" i="1"/>
  <c r="AE3632" i="1"/>
  <c r="AC3632" i="1"/>
  <c r="AJ3631" i="1"/>
  <c r="AK3631" i="1"/>
  <c r="AM3631" i="1"/>
  <c r="BF3631" i="1"/>
  <c r="BG3631" i="1"/>
  <c r="T3632" i="1"/>
  <c r="U3632" i="1"/>
  <c r="V3632" i="1"/>
  <c r="W3632" i="1"/>
  <c r="X3632" i="1"/>
  <c r="Y3632" i="1"/>
  <c r="Z3632" i="1"/>
  <c r="AB3632" i="1"/>
  <c r="AF3632" i="1"/>
  <c r="AI3632" i="1"/>
  <c r="AE3633" i="1"/>
  <c r="AC3633" i="1"/>
  <c r="AJ3632" i="1"/>
  <c r="AK3632" i="1"/>
  <c r="AM3632" i="1"/>
  <c r="BF3632" i="1"/>
  <c r="BG3632" i="1"/>
  <c r="T3633" i="1"/>
  <c r="U3633" i="1"/>
  <c r="V3633" i="1"/>
  <c r="W3633" i="1"/>
  <c r="X3633" i="1"/>
  <c r="Y3633" i="1"/>
  <c r="Z3633" i="1"/>
  <c r="AB3633" i="1"/>
  <c r="AF3633" i="1"/>
  <c r="AI3633" i="1"/>
  <c r="H3634" i="1"/>
  <c r="AE3634" i="1"/>
  <c r="I3634" i="1"/>
  <c r="J3634" i="1"/>
  <c r="K3634" i="1"/>
  <c r="AC3634" i="1"/>
  <c r="AJ3633" i="1"/>
  <c r="AK3633" i="1"/>
  <c r="AM3633" i="1"/>
  <c r="BG3633" i="1"/>
  <c r="T3634" i="1"/>
  <c r="U3634" i="1"/>
  <c r="V3634" i="1"/>
  <c r="W3634" i="1"/>
  <c r="X3634" i="1"/>
  <c r="Y3634" i="1"/>
  <c r="Z3634" i="1"/>
  <c r="AB3634" i="1"/>
  <c r="AF3634" i="1"/>
  <c r="AI3634" i="1"/>
  <c r="AE3635" i="1"/>
  <c r="AC3635" i="1"/>
  <c r="AJ3634" i="1"/>
  <c r="AK3634" i="1"/>
  <c r="AM3634" i="1"/>
  <c r="BF3634" i="1"/>
  <c r="BG3634" i="1"/>
  <c r="T3635" i="1"/>
  <c r="U3635" i="1"/>
  <c r="V3635" i="1"/>
  <c r="W3635" i="1"/>
  <c r="X3635" i="1"/>
  <c r="Y3635" i="1"/>
  <c r="Z3635" i="1"/>
  <c r="AB3635" i="1"/>
  <c r="AF3635" i="1"/>
  <c r="AI3635" i="1"/>
  <c r="AE3636" i="1"/>
  <c r="AC3636" i="1"/>
  <c r="AJ3635" i="1"/>
  <c r="AK3635" i="1"/>
  <c r="AM3635" i="1"/>
  <c r="BF3635" i="1"/>
  <c r="BG3635" i="1"/>
  <c r="T3636" i="1"/>
  <c r="U3636" i="1"/>
  <c r="V3636" i="1"/>
  <c r="W3636" i="1"/>
  <c r="X3636" i="1"/>
  <c r="Y3636" i="1"/>
  <c r="Z3636" i="1"/>
  <c r="AB3636" i="1"/>
  <c r="AF3636" i="1"/>
  <c r="AI3636" i="1"/>
  <c r="H3637" i="1"/>
  <c r="AE3637" i="1"/>
  <c r="I3637" i="1"/>
  <c r="J3637" i="1"/>
  <c r="K3637" i="1"/>
  <c r="AC3637" i="1"/>
  <c r="AJ3636" i="1"/>
  <c r="AK3636" i="1"/>
  <c r="AM3636" i="1"/>
  <c r="BG3636" i="1"/>
  <c r="T3637" i="1"/>
  <c r="U3637" i="1"/>
  <c r="V3637" i="1"/>
  <c r="W3637" i="1"/>
  <c r="X3637" i="1"/>
  <c r="Y3637" i="1"/>
  <c r="Z3637" i="1"/>
  <c r="AB3637" i="1"/>
  <c r="AF3637" i="1"/>
  <c r="AI3637" i="1"/>
  <c r="H3638" i="1"/>
  <c r="AE3638" i="1"/>
  <c r="I3638" i="1"/>
  <c r="J3638" i="1"/>
  <c r="K3638" i="1"/>
  <c r="AC3638" i="1"/>
  <c r="AJ3637" i="1"/>
  <c r="AK3637" i="1"/>
  <c r="AM3637" i="1"/>
  <c r="BF3637" i="1"/>
  <c r="BG3637" i="1"/>
  <c r="T3638" i="1"/>
  <c r="U3638" i="1"/>
  <c r="V3638" i="1"/>
  <c r="W3638" i="1"/>
  <c r="X3638" i="1"/>
  <c r="Y3638" i="1"/>
  <c r="Z3638" i="1"/>
  <c r="AB3638" i="1"/>
  <c r="AF3638" i="1"/>
  <c r="AI3638" i="1"/>
  <c r="AE3639" i="1"/>
  <c r="AC3639" i="1"/>
  <c r="AJ3638" i="1"/>
  <c r="AK3638" i="1"/>
  <c r="AM3638" i="1"/>
  <c r="BF3638" i="1"/>
  <c r="BG3638" i="1"/>
  <c r="T3639" i="1"/>
  <c r="U3639" i="1"/>
  <c r="V3639" i="1"/>
  <c r="W3639" i="1"/>
  <c r="X3639" i="1"/>
  <c r="Y3639" i="1"/>
  <c r="Z3639" i="1"/>
  <c r="AB3639" i="1"/>
  <c r="AF3639" i="1"/>
  <c r="AI3639" i="1"/>
  <c r="AE3640" i="1"/>
  <c r="AC3640" i="1"/>
  <c r="AJ3639" i="1"/>
  <c r="AK3639" i="1"/>
  <c r="AM3639" i="1"/>
  <c r="BF3639" i="1"/>
  <c r="BG3639" i="1"/>
  <c r="T3640" i="1"/>
  <c r="U3640" i="1"/>
  <c r="V3640" i="1"/>
  <c r="W3640" i="1"/>
  <c r="X3640" i="1"/>
  <c r="Y3640" i="1"/>
  <c r="Z3640" i="1"/>
  <c r="AB3640" i="1"/>
  <c r="AF3640" i="1"/>
  <c r="AI3640" i="1"/>
  <c r="H3641" i="1"/>
  <c r="AE3641" i="1"/>
  <c r="I3641" i="1"/>
  <c r="J3641" i="1"/>
  <c r="K3641" i="1"/>
  <c r="AC3641" i="1"/>
  <c r="AJ3640" i="1"/>
  <c r="AK3640" i="1"/>
  <c r="AM3640" i="1"/>
  <c r="BG3640" i="1"/>
  <c r="T3641" i="1"/>
  <c r="U3641" i="1"/>
  <c r="V3641" i="1"/>
  <c r="W3641" i="1"/>
  <c r="X3641" i="1"/>
  <c r="Y3641" i="1"/>
  <c r="Z3641" i="1"/>
  <c r="AB3641" i="1"/>
  <c r="AF3641" i="1"/>
  <c r="AI3641" i="1"/>
  <c r="AE3642" i="1"/>
  <c r="AC3642" i="1"/>
  <c r="AJ3641" i="1"/>
  <c r="AK3641" i="1"/>
  <c r="AM3641" i="1"/>
  <c r="BF3641" i="1"/>
  <c r="BG3641" i="1"/>
  <c r="T3642" i="1"/>
  <c r="U3642" i="1"/>
  <c r="V3642" i="1"/>
  <c r="W3642" i="1"/>
  <c r="X3642" i="1"/>
  <c r="Y3642" i="1"/>
  <c r="Z3642" i="1"/>
  <c r="AB3642" i="1"/>
  <c r="AF3642" i="1"/>
  <c r="AI3642" i="1"/>
  <c r="AE3643" i="1"/>
  <c r="AC3643" i="1"/>
  <c r="AJ3642" i="1"/>
  <c r="AK3642" i="1"/>
  <c r="AM3642" i="1"/>
  <c r="BF3642" i="1"/>
  <c r="BG3642" i="1"/>
  <c r="T3643" i="1"/>
  <c r="U3643" i="1"/>
  <c r="V3643" i="1"/>
  <c r="W3643" i="1"/>
  <c r="X3643" i="1"/>
  <c r="Y3643" i="1"/>
  <c r="Z3643" i="1"/>
  <c r="AB3643" i="1"/>
  <c r="AF3643" i="1"/>
  <c r="AI3643" i="1"/>
  <c r="H3644" i="1"/>
  <c r="AE3644" i="1"/>
  <c r="I3644" i="1"/>
  <c r="J3644" i="1"/>
  <c r="K3644" i="1"/>
  <c r="AC3644" i="1"/>
  <c r="AJ3643" i="1"/>
  <c r="AK3643" i="1"/>
  <c r="AM3643" i="1"/>
  <c r="BG3643" i="1"/>
  <c r="T3644" i="1"/>
  <c r="U3644" i="1"/>
  <c r="V3644" i="1"/>
  <c r="W3644" i="1"/>
  <c r="X3644" i="1"/>
  <c r="Y3644" i="1"/>
  <c r="Z3644" i="1"/>
  <c r="AB3644" i="1"/>
  <c r="AF3644" i="1"/>
  <c r="AI3644" i="1"/>
  <c r="H3645" i="1"/>
  <c r="AE3645" i="1"/>
  <c r="I3645" i="1"/>
  <c r="J3645" i="1"/>
  <c r="K3645" i="1"/>
  <c r="AC3645" i="1"/>
  <c r="AJ3644" i="1"/>
  <c r="AK3644" i="1"/>
  <c r="AM3644" i="1"/>
  <c r="BF3644" i="1"/>
  <c r="BG3644" i="1"/>
  <c r="T3645" i="1"/>
  <c r="U3645" i="1"/>
  <c r="V3645" i="1"/>
  <c r="W3645" i="1"/>
  <c r="X3645" i="1"/>
  <c r="Y3645" i="1"/>
  <c r="Z3645" i="1"/>
  <c r="AB3645" i="1"/>
  <c r="AF3645" i="1"/>
  <c r="AI3645" i="1"/>
  <c r="AE3646" i="1"/>
  <c r="AC3646" i="1"/>
  <c r="AJ3645" i="1"/>
  <c r="AK3645" i="1"/>
  <c r="AM3645" i="1"/>
  <c r="BF3645" i="1"/>
  <c r="BG3645" i="1"/>
  <c r="T3646" i="1"/>
  <c r="U3646" i="1"/>
  <c r="V3646" i="1"/>
  <c r="W3646" i="1"/>
  <c r="X3646" i="1"/>
  <c r="Y3646" i="1"/>
  <c r="Z3646" i="1"/>
  <c r="AB3646" i="1"/>
  <c r="AF3646" i="1"/>
  <c r="AI3646" i="1"/>
  <c r="AE3647" i="1"/>
  <c r="AC3647" i="1"/>
  <c r="AJ3646" i="1"/>
  <c r="AK3646" i="1"/>
  <c r="AM3646" i="1"/>
  <c r="BF3646" i="1"/>
  <c r="BG3646" i="1"/>
  <c r="T3647" i="1"/>
  <c r="U3647" i="1"/>
  <c r="V3647" i="1"/>
  <c r="W3647" i="1"/>
  <c r="X3647" i="1"/>
  <c r="Y3647" i="1"/>
  <c r="Z3647" i="1"/>
  <c r="AB3647" i="1"/>
  <c r="AF3647" i="1"/>
  <c r="AI3647" i="1"/>
  <c r="H3648" i="1"/>
  <c r="AE3648" i="1"/>
  <c r="I3648" i="1"/>
  <c r="J3648" i="1"/>
  <c r="K3648" i="1"/>
  <c r="AC3648" i="1"/>
  <c r="AJ3647" i="1"/>
  <c r="AK3647" i="1"/>
  <c r="AM3647" i="1"/>
  <c r="BG3647" i="1"/>
  <c r="T3648" i="1"/>
  <c r="U3648" i="1"/>
  <c r="V3648" i="1"/>
  <c r="W3648" i="1"/>
  <c r="X3648" i="1"/>
  <c r="Y3648" i="1"/>
  <c r="Z3648" i="1"/>
  <c r="AB3648" i="1"/>
  <c r="AF3648" i="1"/>
  <c r="AI3648" i="1"/>
  <c r="H3649" i="1"/>
  <c r="AE3649" i="1"/>
  <c r="I3649" i="1"/>
  <c r="J3649" i="1"/>
  <c r="K3649" i="1"/>
  <c r="AC3649" i="1"/>
  <c r="AJ3648" i="1"/>
  <c r="AK3648" i="1"/>
  <c r="AM3648" i="1"/>
  <c r="BF3648" i="1"/>
  <c r="BG3648" i="1"/>
  <c r="T3649" i="1"/>
  <c r="U3649" i="1"/>
  <c r="V3649" i="1"/>
  <c r="W3649" i="1"/>
  <c r="X3649" i="1"/>
  <c r="Y3649" i="1"/>
  <c r="Z3649" i="1"/>
  <c r="AB3649" i="1"/>
  <c r="AF3649" i="1"/>
  <c r="AI3649" i="1"/>
  <c r="H3650" i="1"/>
  <c r="AE3650" i="1"/>
  <c r="I3650" i="1"/>
  <c r="J3650" i="1"/>
  <c r="K3650" i="1"/>
  <c r="AC3650" i="1"/>
  <c r="AJ3649" i="1"/>
  <c r="AK3649" i="1"/>
  <c r="AM3649" i="1"/>
  <c r="BF3649" i="1"/>
  <c r="BG3649" i="1"/>
  <c r="T3650" i="1"/>
  <c r="U3650" i="1"/>
  <c r="V3650" i="1"/>
  <c r="W3650" i="1"/>
  <c r="X3650" i="1"/>
  <c r="Y3650" i="1"/>
  <c r="Z3650" i="1"/>
  <c r="AB3650" i="1"/>
  <c r="AF3650" i="1"/>
  <c r="AI3650" i="1"/>
  <c r="H3651" i="1"/>
  <c r="AE3651" i="1"/>
  <c r="I3651" i="1"/>
  <c r="J3651" i="1"/>
  <c r="K3651" i="1"/>
  <c r="AC3651" i="1"/>
  <c r="AJ3650" i="1"/>
  <c r="AK3650" i="1"/>
  <c r="AM3650" i="1"/>
  <c r="BF3650" i="1"/>
  <c r="BG3650" i="1"/>
  <c r="T3651" i="1"/>
  <c r="U3651" i="1"/>
  <c r="V3651" i="1"/>
  <c r="W3651" i="1"/>
  <c r="X3651" i="1"/>
  <c r="Y3651" i="1"/>
  <c r="Z3651" i="1"/>
  <c r="AB3651" i="1"/>
  <c r="AF3651" i="1"/>
  <c r="AI3651" i="1"/>
  <c r="AE3652" i="1"/>
  <c r="AC3652" i="1"/>
  <c r="AJ3651" i="1"/>
  <c r="AK3651" i="1"/>
  <c r="AM3651" i="1"/>
  <c r="BF3651" i="1"/>
  <c r="BG3651" i="1"/>
  <c r="T3652" i="1"/>
  <c r="U3652" i="1"/>
  <c r="V3652" i="1"/>
  <c r="W3652" i="1"/>
  <c r="X3652" i="1"/>
  <c r="Y3652" i="1"/>
  <c r="Z3652" i="1"/>
  <c r="AB3652" i="1"/>
  <c r="AF3652" i="1"/>
  <c r="AI3652" i="1"/>
  <c r="AE3653" i="1"/>
  <c r="AC3653" i="1"/>
  <c r="AJ3652" i="1"/>
  <c r="AK3652" i="1"/>
  <c r="AM3652" i="1"/>
  <c r="BF3652" i="1"/>
  <c r="BG3652" i="1"/>
  <c r="T3653" i="1"/>
  <c r="U3653" i="1"/>
  <c r="V3653" i="1"/>
  <c r="W3653" i="1"/>
  <c r="X3653" i="1"/>
  <c r="Y3653" i="1"/>
  <c r="Z3653" i="1"/>
  <c r="AB3653" i="1"/>
  <c r="AF3653" i="1"/>
  <c r="AI3653" i="1"/>
  <c r="AE3654" i="1"/>
  <c r="AC3654" i="1"/>
  <c r="AJ3653" i="1"/>
  <c r="AK3653" i="1"/>
  <c r="AM3653" i="1"/>
  <c r="BF3653" i="1"/>
  <c r="BG3653" i="1"/>
  <c r="T3654" i="1"/>
  <c r="U3654" i="1"/>
  <c r="V3654" i="1"/>
  <c r="W3654" i="1"/>
  <c r="X3654" i="1"/>
  <c r="Y3654" i="1"/>
  <c r="Z3654" i="1"/>
  <c r="AB3654" i="1"/>
  <c r="AF3654" i="1"/>
  <c r="AI3654" i="1"/>
  <c r="H3655" i="1"/>
  <c r="AE3655" i="1"/>
  <c r="I3655" i="1"/>
  <c r="J3655" i="1"/>
  <c r="K3655" i="1"/>
  <c r="AC3655" i="1"/>
  <c r="AJ3654" i="1"/>
  <c r="AK3654" i="1"/>
  <c r="AM3654" i="1"/>
  <c r="BG3654" i="1"/>
  <c r="T3655" i="1"/>
  <c r="U3655" i="1"/>
  <c r="V3655" i="1"/>
  <c r="W3655" i="1"/>
  <c r="X3655" i="1"/>
  <c r="Y3655" i="1"/>
  <c r="Z3655" i="1"/>
  <c r="AB3655" i="1"/>
  <c r="AF3655" i="1"/>
  <c r="AI3655" i="1"/>
  <c r="H3656" i="1"/>
  <c r="AE3656" i="1"/>
  <c r="I3656" i="1"/>
  <c r="J3656" i="1"/>
  <c r="K3656" i="1"/>
  <c r="AC3656" i="1"/>
  <c r="AJ3655" i="1"/>
  <c r="AK3655" i="1"/>
  <c r="AM3655" i="1"/>
  <c r="BF3655" i="1"/>
  <c r="BG3655" i="1"/>
  <c r="T3656" i="1"/>
  <c r="U3656" i="1"/>
  <c r="V3656" i="1"/>
  <c r="W3656" i="1"/>
  <c r="X3656" i="1"/>
  <c r="Y3656" i="1"/>
  <c r="Z3656" i="1"/>
  <c r="AB3656" i="1"/>
  <c r="AF3656" i="1"/>
  <c r="AI3656" i="1"/>
  <c r="AE3657" i="1"/>
  <c r="AC3657" i="1"/>
  <c r="AJ3656" i="1"/>
  <c r="AK3656" i="1"/>
  <c r="AM3656" i="1"/>
  <c r="BF3656" i="1"/>
  <c r="BG3656" i="1"/>
  <c r="T3657" i="1"/>
  <c r="U3657" i="1"/>
  <c r="V3657" i="1"/>
  <c r="W3657" i="1"/>
  <c r="X3657" i="1"/>
  <c r="Y3657" i="1"/>
  <c r="Z3657" i="1"/>
  <c r="AB3657" i="1"/>
  <c r="AF3657" i="1"/>
  <c r="AI3657" i="1"/>
  <c r="AE3658" i="1"/>
  <c r="AC3658" i="1"/>
  <c r="AJ3657" i="1"/>
  <c r="AK3657" i="1"/>
  <c r="AM3657" i="1"/>
  <c r="BF3657" i="1"/>
  <c r="BG3657" i="1"/>
  <c r="T3658" i="1"/>
  <c r="U3658" i="1"/>
  <c r="V3658" i="1"/>
  <c r="W3658" i="1"/>
  <c r="X3658" i="1"/>
  <c r="Y3658" i="1"/>
  <c r="Z3658" i="1"/>
  <c r="AB3658" i="1"/>
  <c r="AF3658" i="1"/>
  <c r="AI3658" i="1"/>
  <c r="AE3659" i="1"/>
  <c r="AC3659" i="1"/>
  <c r="AJ3658" i="1"/>
  <c r="AK3658" i="1"/>
  <c r="AM3658" i="1"/>
  <c r="BF3658" i="1"/>
  <c r="BG3658" i="1"/>
  <c r="T3659" i="1"/>
  <c r="U3659" i="1"/>
  <c r="V3659" i="1"/>
  <c r="W3659" i="1"/>
  <c r="X3659" i="1"/>
  <c r="Y3659" i="1"/>
  <c r="Z3659" i="1"/>
  <c r="AB3659" i="1"/>
  <c r="AF3659" i="1"/>
  <c r="AI3659" i="1"/>
  <c r="H3660" i="1"/>
  <c r="AE3660" i="1"/>
  <c r="I3660" i="1"/>
  <c r="J3660" i="1"/>
  <c r="K3660" i="1"/>
  <c r="AC3660" i="1"/>
  <c r="AJ3659" i="1"/>
  <c r="AK3659" i="1"/>
  <c r="AM3659" i="1"/>
  <c r="BG3659" i="1"/>
  <c r="T3660" i="1"/>
  <c r="U3660" i="1"/>
  <c r="V3660" i="1"/>
  <c r="W3660" i="1"/>
  <c r="X3660" i="1"/>
  <c r="Y3660" i="1"/>
  <c r="Z3660" i="1"/>
  <c r="AB3660" i="1"/>
  <c r="AF3660" i="1"/>
  <c r="AI3660" i="1"/>
  <c r="AE3661" i="1"/>
  <c r="AC3661" i="1"/>
  <c r="AJ3660" i="1"/>
  <c r="AK3660" i="1"/>
  <c r="AM3660" i="1"/>
  <c r="BF3660" i="1"/>
  <c r="BG3660" i="1"/>
  <c r="T3661" i="1"/>
  <c r="U3661" i="1"/>
  <c r="V3661" i="1"/>
  <c r="W3661" i="1"/>
  <c r="X3661" i="1"/>
  <c r="Y3661" i="1"/>
  <c r="Z3661" i="1"/>
  <c r="AB3661" i="1"/>
  <c r="AF3661" i="1"/>
  <c r="AI3661" i="1"/>
  <c r="AE3662" i="1"/>
  <c r="AC3662" i="1"/>
  <c r="AJ3661" i="1"/>
  <c r="AK3661" i="1"/>
  <c r="AM3661" i="1"/>
  <c r="BF3661" i="1"/>
  <c r="BG3661" i="1"/>
  <c r="T3662" i="1"/>
  <c r="U3662" i="1"/>
  <c r="V3662" i="1"/>
  <c r="W3662" i="1"/>
  <c r="X3662" i="1"/>
  <c r="Y3662" i="1"/>
  <c r="Z3662" i="1"/>
  <c r="AB3662" i="1"/>
  <c r="AF3662" i="1"/>
  <c r="AI3662" i="1"/>
  <c r="AE3663" i="1"/>
  <c r="AC3663" i="1"/>
  <c r="AJ3662" i="1"/>
  <c r="AK3662" i="1"/>
  <c r="AM3662" i="1"/>
  <c r="BF3662" i="1"/>
  <c r="BG3662" i="1"/>
  <c r="T3663" i="1"/>
  <c r="U3663" i="1"/>
  <c r="V3663" i="1"/>
  <c r="W3663" i="1"/>
  <c r="X3663" i="1"/>
  <c r="Y3663" i="1"/>
  <c r="Z3663" i="1"/>
  <c r="AB3663" i="1"/>
  <c r="AF3663" i="1"/>
  <c r="AI3663" i="1"/>
  <c r="H3664" i="1"/>
  <c r="AE3664" i="1"/>
  <c r="I3664" i="1"/>
  <c r="J3664" i="1"/>
  <c r="K3664" i="1"/>
  <c r="AC3664" i="1"/>
  <c r="AJ3663" i="1"/>
  <c r="AK3663" i="1"/>
  <c r="AM3663" i="1"/>
  <c r="BG3663" i="1"/>
  <c r="T3664" i="1"/>
  <c r="U3664" i="1"/>
  <c r="V3664" i="1"/>
  <c r="W3664" i="1"/>
  <c r="X3664" i="1"/>
  <c r="Y3664" i="1"/>
  <c r="Z3664" i="1"/>
  <c r="AB3664" i="1"/>
  <c r="AF3664" i="1"/>
  <c r="AI3664" i="1"/>
  <c r="H3665" i="1"/>
  <c r="AE3665" i="1"/>
  <c r="I3665" i="1"/>
  <c r="J3665" i="1"/>
  <c r="K3665" i="1"/>
  <c r="AC3665" i="1"/>
  <c r="AJ3664" i="1"/>
  <c r="AK3664" i="1"/>
  <c r="AM3664" i="1"/>
  <c r="BF3664" i="1"/>
  <c r="BG3664" i="1"/>
  <c r="T3665" i="1"/>
  <c r="U3665" i="1"/>
  <c r="V3665" i="1"/>
  <c r="W3665" i="1"/>
  <c r="X3665" i="1"/>
  <c r="Y3665" i="1"/>
  <c r="Z3665" i="1"/>
  <c r="AB3665" i="1"/>
  <c r="AF3665" i="1"/>
  <c r="AI3665" i="1"/>
  <c r="AE3666" i="1"/>
  <c r="AC3666" i="1"/>
  <c r="AJ3665" i="1"/>
  <c r="AK3665" i="1"/>
  <c r="AM3665" i="1"/>
  <c r="BF3665" i="1"/>
  <c r="BG3665" i="1"/>
  <c r="T3666" i="1"/>
  <c r="U3666" i="1"/>
  <c r="V3666" i="1"/>
  <c r="W3666" i="1"/>
  <c r="X3666" i="1"/>
  <c r="Y3666" i="1"/>
  <c r="Z3666" i="1"/>
  <c r="AB3666" i="1"/>
  <c r="AF3666" i="1"/>
  <c r="AI3666" i="1"/>
  <c r="AE3667" i="1"/>
  <c r="AC3667" i="1"/>
  <c r="AJ3666" i="1"/>
  <c r="AK3666" i="1"/>
  <c r="AM3666" i="1"/>
  <c r="BF3666" i="1"/>
  <c r="BG3666" i="1"/>
  <c r="T3667" i="1"/>
  <c r="U3667" i="1"/>
  <c r="V3667" i="1"/>
  <c r="W3667" i="1"/>
  <c r="X3667" i="1"/>
  <c r="Y3667" i="1"/>
  <c r="Z3667" i="1"/>
  <c r="AB3667" i="1"/>
  <c r="AF3667" i="1"/>
  <c r="AI3667" i="1"/>
  <c r="H3668" i="1"/>
  <c r="AE3668" i="1"/>
  <c r="I3668" i="1"/>
  <c r="J3668" i="1"/>
  <c r="K3668" i="1"/>
  <c r="AC3668" i="1"/>
  <c r="AJ3667" i="1"/>
  <c r="AK3667" i="1"/>
  <c r="AM3667" i="1"/>
  <c r="BG3667" i="1"/>
  <c r="T3668" i="1"/>
  <c r="U3668" i="1"/>
  <c r="V3668" i="1"/>
  <c r="W3668" i="1"/>
  <c r="X3668" i="1"/>
  <c r="Y3668" i="1"/>
  <c r="Z3668" i="1"/>
  <c r="AB3668" i="1"/>
  <c r="AF3668" i="1"/>
  <c r="AI3668" i="1"/>
  <c r="AE3669" i="1"/>
  <c r="AC3669" i="1"/>
  <c r="AJ3668" i="1"/>
  <c r="AK3668" i="1"/>
  <c r="AM3668" i="1"/>
  <c r="BF3668" i="1"/>
  <c r="BG3668" i="1"/>
  <c r="T3669" i="1"/>
  <c r="U3669" i="1"/>
  <c r="V3669" i="1"/>
  <c r="W3669" i="1"/>
  <c r="X3669" i="1"/>
  <c r="Y3669" i="1"/>
  <c r="Z3669" i="1"/>
  <c r="AB3669" i="1"/>
  <c r="AF3669" i="1"/>
  <c r="AI3669" i="1"/>
  <c r="AE3670" i="1"/>
  <c r="AC3670" i="1"/>
  <c r="AJ3669" i="1"/>
  <c r="AK3669" i="1"/>
  <c r="AM3669" i="1"/>
  <c r="BF3669" i="1"/>
  <c r="BG3669" i="1"/>
  <c r="T3670" i="1"/>
  <c r="U3670" i="1"/>
  <c r="V3670" i="1"/>
  <c r="W3670" i="1"/>
  <c r="X3670" i="1"/>
  <c r="Y3670" i="1"/>
  <c r="Z3670" i="1"/>
  <c r="AB3670" i="1"/>
  <c r="AF3670" i="1"/>
  <c r="AI3670" i="1"/>
  <c r="H3671" i="1"/>
  <c r="AE3671" i="1"/>
  <c r="I3671" i="1"/>
  <c r="J3671" i="1"/>
  <c r="K3671" i="1"/>
  <c r="AC3671" i="1"/>
  <c r="AJ3670" i="1"/>
  <c r="AK3670" i="1"/>
  <c r="AM3670" i="1"/>
  <c r="BG3670" i="1"/>
  <c r="T3671" i="1"/>
  <c r="U3671" i="1"/>
  <c r="V3671" i="1"/>
  <c r="W3671" i="1"/>
  <c r="X3671" i="1"/>
  <c r="Y3671" i="1"/>
  <c r="Z3671" i="1"/>
  <c r="AB3671" i="1"/>
  <c r="AF3671" i="1"/>
  <c r="AI3671" i="1"/>
  <c r="AE3672" i="1"/>
  <c r="AC3672" i="1"/>
  <c r="AJ3671" i="1"/>
  <c r="AK3671" i="1"/>
  <c r="AM3671" i="1"/>
  <c r="BF3671" i="1"/>
  <c r="BG3671" i="1"/>
  <c r="T3672" i="1"/>
  <c r="U3672" i="1"/>
  <c r="V3672" i="1"/>
  <c r="W3672" i="1"/>
  <c r="X3672" i="1"/>
  <c r="Y3672" i="1"/>
  <c r="Z3672" i="1"/>
  <c r="AB3672" i="1"/>
  <c r="AF3672" i="1"/>
  <c r="AI3672" i="1"/>
  <c r="AE3673" i="1"/>
  <c r="AC3673" i="1"/>
  <c r="AJ3672" i="1"/>
  <c r="AK3672" i="1"/>
  <c r="AM3672" i="1"/>
  <c r="BF3672" i="1"/>
  <c r="BG3672" i="1"/>
  <c r="T3673" i="1"/>
  <c r="U3673" i="1"/>
  <c r="V3673" i="1"/>
  <c r="W3673" i="1"/>
  <c r="X3673" i="1"/>
  <c r="Y3673" i="1"/>
  <c r="Z3673" i="1"/>
  <c r="AB3673" i="1"/>
  <c r="AF3673" i="1"/>
  <c r="AI3673" i="1"/>
  <c r="H3674" i="1"/>
  <c r="AE3674" i="1"/>
  <c r="I3674" i="1"/>
  <c r="J3674" i="1"/>
  <c r="K3674" i="1"/>
  <c r="AC3674" i="1"/>
  <c r="AJ3673" i="1"/>
  <c r="AK3673" i="1"/>
  <c r="AM3673" i="1"/>
  <c r="BG3673" i="1"/>
  <c r="T3674" i="1"/>
  <c r="U3674" i="1"/>
  <c r="V3674" i="1"/>
  <c r="W3674" i="1"/>
  <c r="X3674" i="1"/>
  <c r="Y3674" i="1"/>
  <c r="Z3674" i="1"/>
  <c r="AB3674" i="1"/>
  <c r="AF3674" i="1"/>
  <c r="AI3674" i="1"/>
  <c r="AE3675" i="1"/>
  <c r="AC3675" i="1"/>
  <c r="AJ3674" i="1"/>
  <c r="AK3674" i="1"/>
  <c r="AM3674" i="1"/>
  <c r="BF3674" i="1"/>
  <c r="BG3674" i="1"/>
  <c r="T3675" i="1"/>
  <c r="U3675" i="1"/>
  <c r="V3675" i="1"/>
  <c r="W3675" i="1"/>
  <c r="X3675" i="1"/>
  <c r="Y3675" i="1"/>
  <c r="Z3675" i="1"/>
  <c r="AB3675" i="1"/>
  <c r="AF3675" i="1"/>
  <c r="AI3675" i="1"/>
  <c r="AE3676" i="1"/>
  <c r="AC3676" i="1"/>
  <c r="AJ3675" i="1"/>
  <c r="AK3675" i="1"/>
  <c r="AM3675" i="1"/>
  <c r="BF3675" i="1"/>
  <c r="BG3675" i="1"/>
  <c r="T3676" i="1"/>
  <c r="U3676" i="1"/>
  <c r="V3676" i="1"/>
  <c r="W3676" i="1"/>
  <c r="X3676" i="1"/>
  <c r="Y3676" i="1"/>
  <c r="Z3676" i="1"/>
  <c r="AB3676" i="1"/>
  <c r="AF3676" i="1"/>
  <c r="AI3676" i="1"/>
  <c r="H3677" i="1"/>
  <c r="AE3677" i="1"/>
  <c r="I3677" i="1"/>
  <c r="J3677" i="1"/>
  <c r="K3677" i="1"/>
  <c r="AC3677" i="1"/>
  <c r="AJ3676" i="1"/>
  <c r="AK3676" i="1"/>
  <c r="AM3676" i="1"/>
  <c r="BG3676" i="1"/>
  <c r="T3677" i="1"/>
  <c r="U3677" i="1"/>
  <c r="V3677" i="1"/>
  <c r="W3677" i="1"/>
  <c r="X3677" i="1"/>
  <c r="Y3677" i="1"/>
  <c r="Z3677" i="1"/>
  <c r="AB3677" i="1"/>
  <c r="AF3677" i="1"/>
  <c r="AI3677" i="1"/>
  <c r="AE3678" i="1"/>
  <c r="AC3678" i="1"/>
  <c r="AJ3677" i="1"/>
  <c r="AK3677" i="1"/>
  <c r="AM3677" i="1"/>
  <c r="BF3677" i="1"/>
  <c r="BG3677" i="1"/>
  <c r="T3678" i="1"/>
  <c r="U3678" i="1"/>
  <c r="V3678" i="1"/>
  <c r="W3678" i="1"/>
  <c r="X3678" i="1"/>
  <c r="Y3678" i="1"/>
  <c r="Z3678" i="1"/>
  <c r="AB3678" i="1"/>
  <c r="AF3678" i="1"/>
  <c r="AI3678" i="1"/>
  <c r="AE3679" i="1"/>
  <c r="AC3679" i="1"/>
  <c r="AJ3678" i="1"/>
  <c r="AK3678" i="1"/>
  <c r="AM3678" i="1"/>
  <c r="BF3678" i="1"/>
  <c r="BG3678" i="1"/>
  <c r="T3679" i="1"/>
  <c r="U3679" i="1"/>
  <c r="V3679" i="1"/>
  <c r="W3679" i="1"/>
  <c r="X3679" i="1"/>
  <c r="Y3679" i="1"/>
  <c r="Z3679" i="1"/>
  <c r="AB3679" i="1"/>
  <c r="AF3679" i="1"/>
  <c r="AI3679" i="1"/>
  <c r="H3680" i="1"/>
  <c r="AE3680" i="1"/>
  <c r="I3680" i="1"/>
  <c r="J3680" i="1"/>
  <c r="K3680" i="1"/>
  <c r="AC3680" i="1"/>
  <c r="AJ3679" i="1"/>
  <c r="AK3679" i="1"/>
  <c r="AM3679" i="1"/>
  <c r="BG3679" i="1"/>
  <c r="T3680" i="1"/>
  <c r="U3680" i="1"/>
  <c r="V3680" i="1"/>
  <c r="W3680" i="1"/>
  <c r="X3680" i="1"/>
  <c r="Y3680" i="1"/>
  <c r="Z3680" i="1"/>
  <c r="AB3680" i="1"/>
  <c r="AF3680" i="1"/>
  <c r="AI3680" i="1"/>
  <c r="AE3681" i="1"/>
  <c r="AC3681" i="1"/>
  <c r="AJ3680" i="1"/>
  <c r="AK3680" i="1"/>
  <c r="AM3680" i="1"/>
  <c r="BF3680" i="1"/>
  <c r="BG3680" i="1"/>
  <c r="T3681" i="1"/>
  <c r="U3681" i="1"/>
  <c r="V3681" i="1"/>
  <c r="W3681" i="1"/>
  <c r="X3681" i="1"/>
  <c r="Y3681" i="1"/>
  <c r="Z3681" i="1"/>
  <c r="AB3681" i="1"/>
  <c r="AF3681" i="1"/>
  <c r="AI3681" i="1"/>
  <c r="AE3682" i="1"/>
  <c r="AC3682" i="1"/>
  <c r="AJ3681" i="1"/>
  <c r="AK3681" i="1"/>
  <c r="AM3681" i="1"/>
  <c r="BF3681" i="1"/>
  <c r="BG3681" i="1"/>
  <c r="T3682" i="1"/>
  <c r="U3682" i="1"/>
  <c r="V3682" i="1"/>
  <c r="W3682" i="1"/>
  <c r="X3682" i="1"/>
  <c r="Y3682" i="1"/>
  <c r="Z3682" i="1"/>
  <c r="AB3682" i="1"/>
  <c r="AF3682" i="1"/>
  <c r="AI3682" i="1"/>
  <c r="H3683" i="1"/>
  <c r="AE3683" i="1"/>
  <c r="I3683" i="1"/>
  <c r="J3683" i="1"/>
  <c r="K3683" i="1"/>
  <c r="AC3683" i="1"/>
  <c r="AJ3682" i="1"/>
  <c r="AK3682" i="1"/>
  <c r="AM3682" i="1"/>
  <c r="BG3682" i="1"/>
  <c r="T3683" i="1"/>
  <c r="U3683" i="1"/>
  <c r="V3683" i="1"/>
  <c r="W3683" i="1"/>
  <c r="X3683" i="1"/>
  <c r="Y3683" i="1"/>
  <c r="Z3683" i="1"/>
  <c r="AB3683" i="1"/>
  <c r="AF3683" i="1"/>
  <c r="AI3683" i="1"/>
  <c r="AE3684" i="1"/>
  <c r="AC3684" i="1"/>
  <c r="AJ3683" i="1"/>
  <c r="AK3683" i="1"/>
  <c r="AM3683" i="1"/>
  <c r="BF3683" i="1"/>
  <c r="BG3683" i="1"/>
  <c r="T3684" i="1"/>
  <c r="U3684" i="1"/>
  <c r="V3684" i="1"/>
  <c r="W3684" i="1"/>
  <c r="X3684" i="1"/>
  <c r="Y3684" i="1"/>
  <c r="Z3684" i="1"/>
  <c r="AB3684" i="1"/>
  <c r="AF3684" i="1"/>
  <c r="AI3684" i="1"/>
  <c r="AE3685" i="1"/>
  <c r="AC3685" i="1"/>
  <c r="AJ3684" i="1"/>
  <c r="AK3684" i="1"/>
  <c r="AM3684" i="1"/>
  <c r="BF3684" i="1"/>
  <c r="BG3684" i="1"/>
  <c r="T3685" i="1"/>
  <c r="U3685" i="1"/>
  <c r="V3685" i="1"/>
  <c r="W3685" i="1"/>
  <c r="X3685" i="1"/>
  <c r="Y3685" i="1"/>
  <c r="Z3685" i="1"/>
  <c r="AB3685" i="1"/>
  <c r="AF3685" i="1"/>
  <c r="AI3685" i="1"/>
  <c r="H3686" i="1"/>
  <c r="AE3686" i="1"/>
  <c r="I3686" i="1"/>
  <c r="J3686" i="1"/>
  <c r="K3686" i="1"/>
  <c r="AC3686" i="1"/>
  <c r="AJ3685" i="1"/>
  <c r="AK3685" i="1"/>
  <c r="AM3685" i="1"/>
  <c r="BG3685" i="1"/>
  <c r="T3686" i="1"/>
  <c r="U3686" i="1"/>
  <c r="V3686" i="1"/>
  <c r="W3686" i="1"/>
  <c r="X3686" i="1"/>
  <c r="Y3686" i="1"/>
  <c r="Z3686" i="1"/>
  <c r="AB3686" i="1"/>
  <c r="AF3686" i="1"/>
  <c r="AI3686" i="1"/>
  <c r="H3687" i="1"/>
  <c r="AE3687" i="1"/>
  <c r="I3687" i="1"/>
  <c r="J3687" i="1"/>
  <c r="K3687" i="1"/>
  <c r="AC3687" i="1"/>
  <c r="AJ3686" i="1"/>
  <c r="AK3686" i="1"/>
  <c r="AM3686" i="1"/>
  <c r="BF3686" i="1"/>
  <c r="BG3686" i="1"/>
  <c r="T3687" i="1"/>
  <c r="U3687" i="1"/>
  <c r="V3687" i="1"/>
  <c r="W3687" i="1"/>
  <c r="X3687" i="1"/>
  <c r="Y3687" i="1"/>
  <c r="Z3687" i="1"/>
  <c r="AB3687" i="1"/>
  <c r="AF3687" i="1"/>
  <c r="AI3687" i="1"/>
  <c r="AE3688" i="1"/>
  <c r="AC3688" i="1"/>
  <c r="AJ3687" i="1"/>
  <c r="AK3687" i="1"/>
  <c r="AM3687" i="1"/>
  <c r="BF3687" i="1"/>
  <c r="BG3687" i="1"/>
  <c r="T3688" i="1"/>
  <c r="U3688" i="1"/>
  <c r="V3688" i="1"/>
  <c r="W3688" i="1"/>
  <c r="X3688" i="1"/>
  <c r="Y3688" i="1"/>
  <c r="Z3688" i="1"/>
  <c r="AB3688" i="1"/>
  <c r="AF3688" i="1"/>
  <c r="AI3688" i="1"/>
  <c r="AE3689" i="1"/>
  <c r="AC3689" i="1"/>
  <c r="AJ3688" i="1"/>
  <c r="AK3688" i="1"/>
  <c r="AM3688" i="1"/>
  <c r="BF3688" i="1"/>
  <c r="BG3688" i="1"/>
  <c r="T3689" i="1"/>
  <c r="U3689" i="1"/>
  <c r="V3689" i="1"/>
  <c r="W3689" i="1"/>
  <c r="X3689" i="1"/>
  <c r="Y3689" i="1"/>
  <c r="Z3689" i="1"/>
  <c r="AB3689" i="1"/>
  <c r="AF3689" i="1"/>
  <c r="AI3689" i="1"/>
  <c r="H3690" i="1"/>
  <c r="AE3690" i="1"/>
  <c r="I3690" i="1"/>
  <c r="J3690" i="1"/>
  <c r="K3690" i="1"/>
  <c r="AC3690" i="1"/>
  <c r="AJ3689" i="1"/>
  <c r="AK3689" i="1"/>
  <c r="AM3689" i="1"/>
  <c r="BG3689" i="1"/>
  <c r="T3690" i="1"/>
  <c r="U3690" i="1"/>
  <c r="V3690" i="1"/>
  <c r="W3690" i="1"/>
  <c r="X3690" i="1"/>
  <c r="Y3690" i="1"/>
  <c r="Z3690" i="1"/>
  <c r="AB3690" i="1"/>
  <c r="AF3690" i="1"/>
  <c r="AI3690" i="1"/>
  <c r="H3691" i="1"/>
  <c r="AE3691" i="1"/>
  <c r="I3691" i="1"/>
  <c r="J3691" i="1"/>
  <c r="K3691" i="1"/>
  <c r="AC3691" i="1"/>
  <c r="AJ3690" i="1"/>
  <c r="AK3690" i="1"/>
  <c r="AM3690" i="1"/>
  <c r="BF3690" i="1"/>
  <c r="BG3690" i="1"/>
  <c r="T3691" i="1"/>
  <c r="U3691" i="1"/>
  <c r="V3691" i="1"/>
  <c r="W3691" i="1"/>
  <c r="X3691" i="1"/>
  <c r="Y3691" i="1"/>
  <c r="Z3691" i="1"/>
  <c r="AB3691" i="1"/>
  <c r="AF3691" i="1"/>
  <c r="AI3691" i="1"/>
  <c r="H3692" i="1"/>
  <c r="AE3692" i="1"/>
  <c r="I3692" i="1"/>
  <c r="J3692" i="1"/>
  <c r="K3692" i="1"/>
  <c r="AC3692" i="1"/>
  <c r="AJ3691" i="1"/>
  <c r="AK3691" i="1"/>
  <c r="AM3691" i="1"/>
  <c r="BF3691" i="1"/>
  <c r="BG3691" i="1"/>
  <c r="T3692" i="1"/>
  <c r="U3692" i="1"/>
  <c r="V3692" i="1"/>
  <c r="W3692" i="1"/>
  <c r="X3692" i="1"/>
  <c r="Y3692" i="1"/>
  <c r="Z3692" i="1"/>
  <c r="AB3692" i="1"/>
  <c r="AF3692" i="1"/>
  <c r="AI3692" i="1"/>
  <c r="AE3693" i="1"/>
  <c r="AC3693" i="1"/>
  <c r="AJ3692" i="1"/>
  <c r="AK3692" i="1"/>
  <c r="AM3692" i="1"/>
  <c r="BF3692" i="1"/>
  <c r="BG3692" i="1"/>
  <c r="T3693" i="1"/>
  <c r="U3693" i="1"/>
  <c r="V3693" i="1"/>
  <c r="W3693" i="1"/>
  <c r="X3693" i="1"/>
  <c r="Y3693" i="1"/>
  <c r="Z3693" i="1"/>
  <c r="AB3693" i="1"/>
  <c r="AF3693" i="1"/>
  <c r="AI3693" i="1"/>
  <c r="AE3694" i="1"/>
  <c r="AC3694" i="1"/>
  <c r="AJ3693" i="1"/>
  <c r="AK3693" i="1"/>
  <c r="AM3693" i="1"/>
  <c r="BF3693" i="1"/>
  <c r="BG3693" i="1"/>
  <c r="T3694" i="1"/>
  <c r="U3694" i="1"/>
  <c r="V3694" i="1"/>
  <c r="W3694" i="1"/>
  <c r="X3694" i="1"/>
  <c r="Y3694" i="1"/>
  <c r="Z3694" i="1"/>
  <c r="AB3694" i="1"/>
  <c r="AF3694" i="1"/>
  <c r="AI3694" i="1"/>
  <c r="H3695" i="1"/>
  <c r="AE3695" i="1"/>
  <c r="I3695" i="1"/>
  <c r="J3695" i="1"/>
  <c r="K3695" i="1"/>
  <c r="AC3695" i="1"/>
  <c r="AJ3694" i="1"/>
  <c r="AK3694" i="1"/>
  <c r="AM3694" i="1"/>
  <c r="BG3694" i="1"/>
  <c r="T3695" i="1"/>
  <c r="U3695" i="1"/>
  <c r="V3695" i="1"/>
  <c r="W3695" i="1"/>
  <c r="X3695" i="1"/>
  <c r="Y3695" i="1"/>
  <c r="Z3695" i="1"/>
  <c r="AB3695" i="1"/>
  <c r="AF3695" i="1"/>
  <c r="AI3695" i="1"/>
  <c r="H3696" i="1"/>
  <c r="AE3696" i="1"/>
  <c r="I3696" i="1"/>
  <c r="J3696" i="1"/>
  <c r="K3696" i="1"/>
  <c r="AC3696" i="1"/>
  <c r="AJ3695" i="1"/>
  <c r="AK3695" i="1"/>
  <c r="AM3695" i="1"/>
  <c r="BF3695" i="1"/>
  <c r="BG3695" i="1"/>
  <c r="T3696" i="1"/>
  <c r="U3696" i="1"/>
  <c r="V3696" i="1"/>
  <c r="W3696" i="1"/>
  <c r="X3696" i="1"/>
  <c r="Y3696" i="1"/>
  <c r="Z3696" i="1"/>
  <c r="AB3696" i="1"/>
  <c r="AF3696" i="1"/>
  <c r="AI3696" i="1"/>
  <c r="H3697" i="1"/>
  <c r="AE3697" i="1"/>
  <c r="I3697" i="1"/>
  <c r="J3697" i="1"/>
  <c r="K3697" i="1"/>
  <c r="AC3697" i="1"/>
  <c r="AJ3696" i="1"/>
  <c r="AK3696" i="1"/>
  <c r="AM3696" i="1"/>
  <c r="BF3696" i="1"/>
  <c r="BG3696" i="1"/>
  <c r="T3697" i="1"/>
  <c r="U3697" i="1"/>
  <c r="V3697" i="1"/>
  <c r="W3697" i="1"/>
  <c r="X3697" i="1"/>
  <c r="Y3697" i="1"/>
  <c r="Z3697" i="1"/>
  <c r="AB3697" i="1"/>
  <c r="AF3697" i="1"/>
  <c r="AI3697" i="1"/>
  <c r="AE3698" i="1"/>
  <c r="AC3698" i="1"/>
  <c r="AJ3697" i="1"/>
  <c r="AK3697" i="1"/>
  <c r="AM3697" i="1"/>
  <c r="BF3697" i="1"/>
  <c r="BG3697" i="1"/>
  <c r="T3698" i="1"/>
  <c r="U3698" i="1"/>
  <c r="V3698" i="1"/>
  <c r="W3698" i="1"/>
  <c r="X3698" i="1"/>
  <c r="Y3698" i="1"/>
  <c r="Z3698" i="1"/>
  <c r="AB3698" i="1"/>
  <c r="AF3698" i="1"/>
  <c r="AI3698" i="1"/>
  <c r="AE3699" i="1"/>
  <c r="AC3699" i="1"/>
  <c r="AJ3698" i="1"/>
  <c r="AK3698" i="1"/>
  <c r="AM3698" i="1"/>
  <c r="BF3698" i="1"/>
  <c r="BG3698" i="1"/>
  <c r="T3699" i="1"/>
  <c r="U3699" i="1"/>
  <c r="V3699" i="1"/>
  <c r="W3699" i="1"/>
  <c r="X3699" i="1"/>
  <c r="Y3699" i="1"/>
  <c r="Z3699" i="1"/>
  <c r="AB3699" i="1"/>
  <c r="AF3699" i="1"/>
  <c r="AI3699" i="1"/>
  <c r="H3700" i="1"/>
  <c r="AE3700" i="1"/>
  <c r="I3700" i="1"/>
  <c r="J3700" i="1"/>
  <c r="K3700" i="1"/>
  <c r="AC3700" i="1"/>
  <c r="AJ3699" i="1"/>
  <c r="AK3699" i="1"/>
  <c r="AM3699" i="1"/>
  <c r="BG3699" i="1"/>
  <c r="T3700" i="1"/>
  <c r="U3700" i="1"/>
  <c r="V3700" i="1"/>
  <c r="W3700" i="1"/>
  <c r="X3700" i="1"/>
  <c r="Y3700" i="1"/>
  <c r="Z3700" i="1"/>
  <c r="AB3700" i="1"/>
  <c r="AF3700" i="1"/>
  <c r="AI3700" i="1"/>
  <c r="H3701" i="1"/>
  <c r="AE3701" i="1"/>
  <c r="I3701" i="1"/>
  <c r="J3701" i="1"/>
  <c r="K3701" i="1"/>
  <c r="AC3701" i="1"/>
  <c r="AJ3700" i="1"/>
  <c r="AK3700" i="1"/>
  <c r="AM3700" i="1"/>
  <c r="BF3700" i="1"/>
  <c r="BG3700" i="1"/>
  <c r="T3701" i="1"/>
  <c r="U3701" i="1"/>
  <c r="V3701" i="1"/>
  <c r="W3701" i="1"/>
  <c r="X3701" i="1"/>
  <c r="Y3701" i="1"/>
  <c r="Z3701" i="1"/>
  <c r="AB3701" i="1"/>
  <c r="AF3701" i="1"/>
  <c r="AI3701" i="1"/>
  <c r="H3702" i="1"/>
  <c r="AE3702" i="1"/>
  <c r="I3702" i="1"/>
  <c r="J3702" i="1"/>
  <c r="K3702" i="1"/>
  <c r="AC3702" i="1"/>
  <c r="AJ3701" i="1"/>
  <c r="AK3701" i="1"/>
  <c r="AM3701" i="1"/>
  <c r="BF3701" i="1"/>
  <c r="BG3701" i="1"/>
  <c r="T3702" i="1"/>
  <c r="U3702" i="1"/>
  <c r="V3702" i="1"/>
  <c r="W3702" i="1"/>
  <c r="X3702" i="1"/>
  <c r="Y3702" i="1"/>
  <c r="Z3702" i="1"/>
  <c r="AB3702" i="1"/>
  <c r="AF3702" i="1"/>
  <c r="AI3702" i="1"/>
  <c r="AE3703" i="1"/>
  <c r="AC3703" i="1"/>
  <c r="AJ3702" i="1"/>
  <c r="AK3702" i="1"/>
  <c r="AM3702" i="1"/>
  <c r="BF3702" i="1"/>
  <c r="BG3702" i="1"/>
  <c r="T3703" i="1"/>
  <c r="U3703" i="1"/>
  <c r="V3703" i="1"/>
  <c r="W3703" i="1"/>
  <c r="X3703" i="1"/>
  <c r="Y3703" i="1"/>
  <c r="Z3703" i="1"/>
  <c r="AB3703" i="1"/>
  <c r="AF3703" i="1"/>
  <c r="AI3703" i="1"/>
  <c r="AE3704" i="1"/>
  <c r="AC3704" i="1"/>
  <c r="AJ3703" i="1"/>
  <c r="AK3703" i="1"/>
  <c r="AM3703" i="1"/>
  <c r="BF3703" i="1"/>
  <c r="BG3703" i="1"/>
  <c r="T3704" i="1"/>
  <c r="U3704" i="1"/>
  <c r="V3704" i="1"/>
  <c r="W3704" i="1"/>
  <c r="X3704" i="1"/>
  <c r="Y3704" i="1"/>
  <c r="Z3704" i="1"/>
  <c r="AB3704" i="1"/>
  <c r="AF3704" i="1"/>
  <c r="AI3704" i="1"/>
  <c r="H3705" i="1"/>
  <c r="AE3705" i="1"/>
  <c r="I3705" i="1"/>
  <c r="J3705" i="1"/>
  <c r="K3705" i="1"/>
  <c r="AC3705" i="1"/>
  <c r="AJ3704" i="1"/>
  <c r="AK3704" i="1"/>
  <c r="AM3704" i="1"/>
  <c r="BG3704" i="1"/>
  <c r="T3705" i="1"/>
  <c r="U3705" i="1"/>
  <c r="V3705" i="1"/>
  <c r="W3705" i="1"/>
  <c r="X3705" i="1"/>
  <c r="Y3705" i="1"/>
  <c r="Z3705" i="1"/>
  <c r="AB3705" i="1"/>
  <c r="AF3705" i="1"/>
  <c r="AI3705" i="1"/>
  <c r="AE3706" i="1"/>
  <c r="AC3706" i="1"/>
  <c r="AJ3705" i="1"/>
  <c r="AK3705" i="1"/>
  <c r="AM3705" i="1"/>
  <c r="BF3705" i="1"/>
  <c r="BG3705" i="1"/>
  <c r="T3706" i="1"/>
  <c r="U3706" i="1"/>
  <c r="V3706" i="1"/>
  <c r="W3706" i="1"/>
  <c r="X3706" i="1"/>
  <c r="Y3706" i="1"/>
  <c r="Z3706" i="1"/>
  <c r="AB3706" i="1"/>
  <c r="AF3706" i="1"/>
  <c r="AI3706" i="1"/>
  <c r="AE3707" i="1"/>
  <c r="AC3707" i="1"/>
  <c r="AJ3706" i="1"/>
  <c r="AK3706" i="1"/>
  <c r="AM3706" i="1"/>
  <c r="BF3706" i="1"/>
  <c r="BG3706" i="1"/>
  <c r="T3707" i="1"/>
  <c r="U3707" i="1"/>
  <c r="V3707" i="1"/>
  <c r="W3707" i="1"/>
  <c r="X3707" i="1"/>
  <c r="Y3707" i="1"/>
  <c r="Z3707" i="1"/>
  <c r="AB3707" i="1"/>
  <c r="AF3707" i="1"/>
  <c r="AI3707" i="1"/>
  <c r="H3708" i="1"/>
  <c r="AE3708" i="1"/>
  <c r="I3708" i="1"/>
  <c r="J3708" i="1"/>
  <c r="K3708" i="1"/>
  <c r="AC3708" i="1"/>
  <c r="AJ3707" i="1"/>
  <c r="AK3707" i="1"/>
  <c r="AM3707" i="1"/>
  <c r="BG3707" i="1"/>
  <c r="T3708" i="1"/>
  <c r="U3708" i="1"/>
  <c r="V3708" i="1"/>
  <c r="W3708" i="1"/>
  <c r="X3708" i="1"/>
  <c r="Y3708" i="1"/>
  <c r="Z3708" i="1"/>
  <c r="AB3708" i="1"/>
  <c r="AF3708" i="1"/>
  <c r="AI3708" i="1"/>
  <c r="AE3709" i="1"/>
  <c r="AC3709" i="1"/>
  <c r="AJ3708" i="1"/>
  <c r="AK3708" i="1"/>
  <c r="AM3708" i="1"/>
  <c r="BF3708" i="1"/>
  <c r="BG3708" i="1"/>
  <c r="T3709" i="1"/>
  <c r="U3709" i="1"/>
  <c r="V3709" i="1"/>
  <c r="W3709" i="1"/>
  <c r="X3709" i="1"/>
  <c r="Y3709" i="1"/>
  <c r="Z3709" i="1"/>
  <c r="AB3709" i="1"/>
  <c r="AF3709" i="1"/>
  <c r="AI3709" i="1"/>
  <c r="AE3710" i="1"/>
  <c r="AC3710" i="1"/>
  <c r="AJ3709" i="1"/>
  <c r="AK3709" i="1"/>
  <c r="AM3709" i="1"/>
  <c r="BF3709" i="1"/>
  <c r="BG3709" i="1"/>
  <c r="T3710" i="1"/>
  <c r="U3710" i="1"/>
  <c r="V3710" i="1"/>
  <c r="W3710" i="1"/>
  <c r="X3710" i="1"/>
  <c r="Y3710" i="1"/>
  <c r="Z3710" i="1"/>
  <c r="AB3710" i="1"/>
  <c r="AF3710" i="1"/>
  <c r="AI3710" i="1"/>
  <c r="H3711" i="1"/>
  <c r="AE3711" i="1"/>
  <c r="I3711" i="1"/>
  <c r="J3711" i="1"/>
  <c r="K3711" i="1"/>
  <c r="AC3711" i="1"/>
  <c r="AJ3710" i="1"/>
  <c r="AK3710" i="1"/>
  <c r="AM3710" i="1"/>
  <c r="BG3710" i="1"/>
  <c r="T3711" i="1"/>
  <c r="U3711" i="1"/>
  <c r="V3711" i="1"/>
  <c r="W3711" i="1"/>
  <c r="X3711" i="1"/>
  <c r="Y3711" i="1"/>
  <c r="Z3711" i="1"/>
  <c r="AB3711" i="1"/>
  <c r="AF3711" i="1"/>
  <c r="AI3711" i="1"/>
  <c r="AE3712" i="1"/>
  <c r="AC3712" i="1"/>
  <c r="AJ3711" i="1"/>
  <c r="AK3711" i="1"/>
  <c r="AM3711" i="1"/>
  <c r="BF3711" i="1"/>
  <c r="BG3711" i="1"/>
  <c r="T3712" i="1"/>
  <c r="U3712" i="1"/>
  <c r="V3712" i="1"/>
  <c r="W3712" i="1"/>
  <c r="X3712" i="1"/>
  <c r="Y3712" i="1"/>
  <c r="Z3712" i="1"/>
  <c r="AB3712" i="1"/>
  <c r="AF3712" i="1"/>
  <c r="AI3712" i="1"/>
  <c r="AE3713" i="1"/>
  <c r="AC3713" i="1"/>
  <c r="AJ3712" i="1"/>
  <c r="AK3712" i="1"/>
  <c r="AM3712" i="1"/>
  <c r="BF3712" i="1"/>
  <c r="BG3712" i="1"/>
  <c r="T3713" i="1"/>
  <c r="U3713" i="1"/>
  <c r="V3713" i="1"/>
  <c r="W3713" i="1"/>
  <c r="X3713" i="1"/>
  <c r="Y3713" i="1"/>
  <c r="Z3713" i="1"/>
  <c r="AB3713" i="1"/>
  <c r="AF3713" i="1"/>
  <c r="AI3713" i="1"/>
  <c r="H3714" i="1"/>
  <c r="AE3714" i="1"/>
  <c r="I3714" i="1"/>
  <c r="J3714" i="1"/>
  <c r="K3714" i="1"/>
  <c r="AC3714" i="1"/>
  <c r="AJ3713" i="1"/>
  <c r="AK3713" i="1"/>
  <c r="AM3713" i="1"/>
  <c r="BG3713" i="1"/>
  <c r="T3714" i="1"/>
  <c r="U3714" i="1"/>
  <c r="V3714" i="1"/>
  <c r="W3714" i="1"/>
  <c r="X3714" i="1"/>
  <c r="Y3714" i="1"/>
  <c r="Z3714" i="1"/>
  <c r="AB3714" i="1"/>
  <c r="AF3714" i="1"/>
  <c r="AI3714" i="1"/>
  <c r="AE3715" i="1"/>
  <c r="AC3715" i="1"/>
  <c r="AJ3714" i="1"/>
  <c r="AK3714" i="1"/>
  <c r="AM3714" i="1"/>
  <c r="BF3714" i="1"/>
  <c r="BG3714" i="1"/>
  <c r="T3715" i="1"/>
  <c r="U3715" i="1"/>
  <c r="V3715" i="1"/>
  <c r="W3715" i="1"/>
  <c r="X3715" i="1"/>
  <c r="Y3715" i="1"/>
  <c r="Z3715" i="1"/>
  <c r="AB3715" i="1"/>
  <c r="AF3715" i="1"/>
  <c r="AI3715" i="1"/>
  <c r="AE3716" i="1"/>
  <c r="AC3716" i="1"/>
  <c r="AJ3715" i="1"/>
  <c r="AK3715" i="1"/>
  <c r="AM3715" i="1"/>
  <c r="BF3715" i="1"/>
  <c r="BG3715" i="1"/>
  <c r="T3716" i="1"/>
  <c r="U3716" i="1"/>
  <c r="V3716" i="1"/>
  <c r="W3716" i="1"/>
  <c r="X3716" i="1"/>
  <c r="Y3716" i="1"/>
  <c r="Z3716" i="1"/>
  <c r="AB3716" i="1"/>
  <c r="AF3716" i="1"/>
  <c r="AI3716" i="1"/>
  <c r="H3717" i="1"/>
  <c r="AE3717" i="1"/>
  <c r="I3717" i="1"/>
  <c r="J3717" i="1"/>
  <c r="K3717" i="1"/>
  <c r="AC3717" i="1"/>
  <c r="AJ3716" i="1"/>
  <c r="AK3716" i="1"/>
  <c r="AM3716" i="1"/>
  <c r="BG3716" i="1"/>
  <c r="T3717" i="1"/>
  <c r="U3717" i="1"/>
  <c r="V3717" i="1"/>
  <c r="W3717" i="1"/>
  <c r="X3717" i="1"/>
  <c r="Y3717" i="1"/>
  <c r="Z3717" i="1"/>
  <c r="AB3717" i="1"/>
  <c r="AF3717" i="1"/>
  <c r="AI3717" i="1"/>
  <c r="AE3718" i="1"/>
  <c r="AC3718" i="1"/>
  <c r="AJ3717" i="1"/>
  <c r="AK3717" i="1"/>
  <c r="AM3717" i="1"/>
  <c r="BF3717" i="1"/>
  <c r="BG3717" i="1"/>
  <c r="T3718" i="1"/>
  <c r="U3718" i="1"/>
  <c r="V3718" i="1"/>
  <c r="W3718" i="1"/>
  <c r="X3718" i="1"/>
  <c r="Y3718" i="1"/>
  <c r="Z3718" i="1"/>
  <c r="AB3718" i="1"/>
  <c r="AF3718" i="1"/>
  <c r="AI3718" i="1"/>
  <c r="AE3719" i="1"/>
  <c r="AC3719" i="1"/>
  <c r="AJ3718" i="1"/>
  <c r="AK3718" i="1"/>
  <c r="AM3718" i="1"/>
  <c r="BF3718" i="1"/>
  <c r="BG3718" i="1"/>
  <c r="T3719" i="1"/>
  <c r="U3719" i="1"/>
  <c r="V3719" i="1"/>
  <c r="W3719" i="1"/>
  <c r="X3719" i="1"/>
  <c r="Y3719" i="1"/>
  <c r="Z3719" i="1"/>
  <c r="AB3719" i="1"/>
  <c r="AF3719" i="1"/>
  <c r="AI3719" i="1"/>
  <c r="H3720" i="1"/>
  <c r="AE3720" i="1"/>
  <c r="I3720" i="1"/>
  <c r="J3720" i="1"/>
  <c r="K3720" i="1"/>
  <c r="AC3720" i="1"/>
  <c r="AJ3719" i="1"/>
  <c r="AK3719" i="1"/>
  <c r="AM3719" i="1"/>
  <c r="BG3719" i="1"/>
  <c r="T3720" i="1"/>
  <c r="U3720" i="1"/>
  <c r="V3720" i="1"/>
  <c r="W3720" i="1"/>
  <c r="X3720" i="1"/>
  <c r="Y3720" i="1"/>
  <c r="Z3720" i="1"/>
  <c r="AB3720" i="1"/>
  <c r="AF3720" i="1"/>
  <c r="AI3720" i="1"/>
  <c r="H3721" i="1"/>
  <c r="AE3721" i="1"/>
  <c r="I3721" i="1"/>
  <c r="J3721" i="1"/>
  <c r="K3721" i="1"/>
  <c r="AC3721" i="1"/>
  <c r="AJ3720" i="1"/>
  <c r="AK3720" i="1"/>
  <c r="AM3720" i="1"/>
  <c r="BF3720" i="1"/>
  <c r="BG3720" i="1"/>
  <c r="T3721" i="1"/>
  <c r="U3721" i="1"/>
  <c r="V3721" i="1"/>
  <c r="W3721" i="1"/>
  <c r="X3721" i="1"/>
  <c r="Y3721" i="1"/>
  <c r="Z3721" i="1"/>
  <c r="AB3721" i="1"/>
  <c r="AF3721" i="1"/>
  <c r="AI3721" i="1"/>
  <c r="AE3722" i="1"/>
  <c r="AC3722" i="1"/>
  <c r="AJ3721" i="1"/>
  <c r="AK3721" i="1"/>
  <c r="AM3721" i="1"/>
  <c r="BF3721" i="1"/>
  <c r="BG3721" i="1"/>
  <c r="T3722" i="1"/>
  <c r="U3722" i="1"/>
  <c r="V3722" i="1"/>
  <c r="W3722" i="1"/>
  <c r="X3722" i="1"/>
  <c r="Y3722" i="1"/>
  <c r="Z3722" i="1"/>
  <c r="AB3722" i="1"/>
  <c r="AF3722" i="1"/>
  <c r="AI3722" i="1"/>
  <c r="AE3723" i="1"/>
  <c r="AC3723" i="1"/>
  <c r="AJ3722" i="1"/>
  <c r="AK3722" i="1"/>
  <c r="AM3722" i="1"/>
  <c r="BF3722" i="1"/>
  <c r="BG3722" i="1"/>
  <c r="T3723" i="1"/>
  <c r="U3723" i="1"/>
  <c r="V3723" i="1"/>
  <c r="W3723" i="1"/>
  <c r="X3723" i="1"/>
  <c r="Y3723" i="1"/>
  <c r="Z3723" i="1"/>
  <c r="AB3723" i="1"/>
  <c r="AF3723" i="1"/>
  <c r="AI3723" i="1"/>
  <c r="H3724" i="1"/>
  <c r="AE3724" i="1"/>
  <c r="I3724" i="1"/>
  <c r="J3724" i="1"/>
  <c r="K3724" i="1"/>
  <c r="AC3724" i="1"/>
  <c r="AJ3723" i="1"/>
  <c r="AK3723" i="1"/>
  <c r="AM3723" i="1"/>
  <c r="BG3723" i="1"/>
  <c r="T3724" i="1"/>
  <c r="U3724" i="1"/>
  <c r="V3724" i="1"/>
  <c r="W3724" i="1"/>
  <c r="X3724" i="1"/>
  <c r="Y3724" i="1"/>
  <c r="Z3724" i="1"/>
  <c r="AB3724" i="1"/>
  <c r="AF3724" i="1"/>
  <c r="AI3724" i="1"/>
  <c r="H3725" i="1"/>
  <c r="AE3725" i="1"/>
  <c r="I3725" i="1"/>
  <c r="J3725" i="1"/>
  <c r="K3725" i="1"/>
  <c r="AC3725" i="1"/>
  <c r="AJ3724" i="1"/>
  <c r="AK3724" i="1"/>
  <c r="AM3724" i="1"/>
  <c r="BF3724" i="1"/>
  <c r="BG3724" i="1"/>
  <c r="T3725" i="1"/>
  <c r="U3725" i="1"/>
  <c r="V3725" i="1"/>
  <c r="W3725" i="1"/>
  <c r="X3725" i="1"/>
  <c r="Y3725" i="1"/>
  <c r="Z3725" i="1"/>
  <c r="AB3725" i="1"/>
  <c r="AF3725" i="1"/>
  <c r="AI3725" i="1"/>
  <c r="H3726" i="1"/>
  <c r="AE3726" i="1"/>
  <c r="I3726" i="1"/>
  <c r="J3726" i="1"/>
  <c r="K3726" i="1"/>
  <c r="AC3726" i="1"/>
  <c r="AJ3725" i="1"/>
  <c r="AK3725" i="1"/>
  <c r="AM3725" i="1"/>
  <c r="BF3725" i="1"/>
  <c r="BG3725" i="1"/>
  <c r="T3726" i="1"/>
  <c r="U3726" i="1"/>
  <c r="V3726" i="1"/>
  <c r="W3726" i="1"/>
  <c r="X3726" i="1"/>
  <c r="Y3726" i="1"/>
  <c r="Z3726" i="1"/>
  <c r="AB3726" i="1"/>
  <c r="AF3726" i="1"/>
  <c r="AI3726" i="1"/>
  <c r="AE3727" i="1"/>
  <c r="AC3727" i="1"/>
  <c r="AJ3726" i="1"/>
  <c r="AK3726" i="1"/>
  <c r="AM3726" i="1"/>
  <c r="BF3726" i="1"/>
  <c r="BG3726" i="1"/>
  <c r="T3727" i="1"/>
  <c r="U3727" i="1"/>
  <c r="V3727" i="1"/>
  <c r="W3727" i="1"/>
  <c r="X3727" i="1"/>
  <c r="Y3727" i="1"/>
  <c r="Z3727" i="1"/>
  <c r="AB3727" i="1"/>
  <c r="AF3727" i="1"/>
  <c r="AI3727" i="1"/>
  <c r="AE3728" i="1"/>
  <c r="AC3728" i="1"/>
  <c r="AJ3727" i="1"/>
  <c r="AK3727" i="1"/>
  <c r="AM3727" i="1"/>
  <c r="BF3727" i="1"/>
  <c r="BG3727" i="1"/>
  <c r="T3728" i="1"/>
  <c r="U3728" i="1"/>
  <c r="V3728" i="1"/>
  <c r="W3728" i="1"/>
  <c r="X3728" i="1"/>
  <c r="Y3728" i="1"/>
  <c r="Z3728" i="1"/>
  <c r="AB3728" i="1"/>
  <c r="AF3728" i="1"/>
  <c r="AI3728" i="1"/>
  <c r="H3729" i="1"/>
  <c r="AE3729" i="1"/>
  <c r="I3729" i="1"/>
  <c r="J3729" i="1"/>
  <c r="K3729" i="1"/>
  <c r="AC3729" i="1"/>
  <c r="AJ3728" i="1"/>
  <c r="AK3728" i="1"/>
  <c r="AM3728" i="1"/>
  <c r="BG3728" i="1"/>
  <c r="T3729" i="1"/>
  <c r="U3729" i="1"/>
  <c r="V3729" i="1"/>
  <c r="W3729" i="1"/>
  <c r="X3729" i="1"/>
  <c r="Y3729" i="1"/>
  <c r="Z3729" i="1"/>
  <c r="AB3729" i="1"/>
  <c r="AF3729" i="1"/>
  <c r="AI3729" i="1"/>
  <c r="H3730" i="1"/>
  <c r="AE3730" i="1"/>
  <c r="I3730" i="1"/>
  <c r="J3730" i="1"/>
  <c r="K3730" i="1"/>
  <c r="AC3730" i="1"/>
  <c r="AJ3729" i="1"/>
  <c r="AK3729" i="1"/>
  <c r="AM3729" i="1"/>
  <c r="BF3729" i="1"/>
  <c r="BG3729" i="1"/>
  <c r="T3730" i="1"/>
  <c r="U3730" i="1"/>
  <c r="V3730" i="1"/>
  <c r="W3730" i="1"/>
  <c r="X3730" i="1"/>
  <c r="Y3730" i="1"/>
  <c r="Z3730" i="1"/>
  <c r="AB3730" i="1"/>
  <c r="AF3730" i="1"/>
  <c r="AI3730" i="1"/>
  <c r="AE3731" i="1"/>
  <c r="AC3731" i="1"/>
  <c r="AJ3730" i="1"/>
  <c r="AK3730" i="1"/>
  <c r="AM3730" i="1"/>
  <c r="BF3730" i="1"/>
  <c r="BG3730" i="1"/>
  <c r="T3731" i="1"/>
  <c r="U3731" i="1"/>
  <c r="V3731" i="1"/>
  <c r="W3731" i="1"/>
  <c r="X3731" i="1"/>
  <c r="Y3731" i="1"/>
  <c r="Z3731" i="1"/>
  <c r="AB3731" i="1"/>
  <c r="AF3731" i="1"/>
  <c r="AI3731" i="1"/>
  <c r="AE3732" i="1"/>
  <c r="AC3732" i="1"/>
  <c r="AJ3731" i="1"/>
  <c r="AK3731" i="1"/>
  <c r="AM3731" i="1"/>
  <c r="BF3731" i="1"/>
  <c r="BG3731" i="1"/>
  <c r="T3732" i="1"/>
  <c r="U3732" i="1"/>
  <c r="V3732" i="1"/>
  <c r="W3732" i="1"/>
  <c r="X3732" i="1"/>
  <c r="Y3732" i="1"/>
  <c r="Z3732" i="1"/>
  <c r="AB3732" i="1"/>
  <c r="AF3732" i="1"/>
  <c r="AI3732" i="1"/>
  <c r="H3733" i="1"/>
  <c r="AE3733" i="1"/>
  <c r="I3733" i="1"/>
  <c r="J3733" i="1"/>
  <c r="K3733" i="1"/>
  <c r="AC3733" i="1"/>
  <c r="AJ3732" i="1"/>
  <c r="AK3732" i="1"/>
  <c r="AM3732" i="1"/>
  <c r="BG3732" i="1"/>
  <c r="T3733" i="1"/>
  <c r="U3733" i="1"/>
  <c r="V3733" i="1"/>
  <c r="W3733" i="1"/>
  <c r="X3733" i="1"/>
  <c r="Y3733" i="1"/>
  <c r="Z3733" i="1"/>
  <c r="AB3733" i="1"/>
  <c r="AF3733" i="1"/>
  <c r="AI3733" i="1"/>
  <c r="AE3734" i="1"/>
  <c r="AC3734" i="1"/>
  <c r="AJ3733" i="1"/>
  <c r="AK3733" i="1"/>
  <c r="AM3733" i="1"/>
  <c r="BF3733" i="1"/>
  <c r="BG3733" i="1"/>
  <c r="T3734" i="1"/>
  <c r="U3734" i="1"/>
  <c r="V3734" i="1"/>
  <c r="W3734" i="1"/>
  <c r="X3734" i="1"/>
  <c r="Y3734" i="1"/>
  <c r="Z3734" i="1"/>
  <c r="AB3734" i="1"/>
  <c r="AF3734" i="1"/>
  <c r="AI3734" i="1"/>
  <c r="AE3735" i="1"/>
  <c r="AC3735" i="1"/>
  <c r="AJ3734" i="1"/>
  <c r="AK3734" i="1"/>
  <c r="AM3734" i="1"/>
  <c r="BF3734" i="1"/>
  <c r="BG3734" i="1"/>
  <c r="T3735" i="1"/>
  <c r="U3735" i="1"/>
  <c r="V3735" i="1"/>
  <c r="W3735" i="1"/>
  <c r="X3735" i="1"/>
  <c r="Y3735" i="1"/>
  <c r="Z3735" i="1"/>
  <c r="AB3735" i="1"/>
  <c r="AF3735" i="1"/>
  <c r="AI3735" i="1"/>
  <c r="H3736" i="1"/>
  <c r="AE3736" i="1"/>
  <c r="I3736" i="1"/>
  <c r="J3736" i="1"/>
  <c r="K3736" i="1"/>
  <c r="AC3736" i="1"/>
  <c r="AJ3735" i="1"/>
  <c r="AK3735" i="1"/>
  <c r="AM3735" i="1"/>
  <c r="BG3735" i="1"/>
  <c r="T3736" i="1"/>
  <c r="U3736" i="1"/>
  <c r="V3736" i="1"/>
  <c r="W3736" i="1"/>
  <c r="X3736" i="1"/>
  <c r="Y3736" i="1"/>
  <c r="Z3736" i="1"/>
  <c r="AB3736" i="1"/>
  <c r="AF3736" i="1"/>
  <c r="AI3736" i="1"/>
  <c r="H3737" i="1"/>
  <c r="AE3737" i="1"/>
  <c r="I3737" i="1"/>
  <c r="J3737" i="1"/>
  <c r="K3737" i="1"/>
  <c r="AC3737" i="1"/>
  <c r="AJ3736" i="1"/>
  <c r="AK3736" i="1"/>
  <c r="AM3736" i="1"/>
  <c r="BF3736" i="1"/>
  <c r="BG3736" i="1"/>
  <c r="T3737" i="1"/>
  <c r="U3737" i="1"/>
  <c r="V3737" i="1"/>
  <c r="W3737" i="1"/>
  <c r="X3737" i="1"/>
  <c r="Y3737" i="1"/>
  <c r="Z3737" i="1"/>
  <c r="AB3737" i="1"/>
  <c r="AF3737" i="1"/>
  <c r="AI3737" i="1"/>
  <c r="H3738" i="1"/>
  <c r="AE3738" i="1"/>
  <c r="I3738" i="1"/>
  <c r="J3738" i="1"/>
  <c r="K3738" i="1"/>
  <c r="AC3738" i="1"/>
  <c r="AJ3737" i="1"/>
  <c r="AK3737" i="1"/>
  <c r="AM3737" i="1"/>
  <c r="BF3737" i="1"/>
  <c r="BG3737" i="1"/>
  <c r="T3738" i="1"/>
  <c r="U3738" i="1"/>
  <c r="V3738" i="1"/>
  <c r="W3738" i="1"/>
  <c r="X3738" i="1"/>
  <c r="Y3738" i="1"/>
  <c r="Z3738" i="1"/>
  <c r="AB3738" i="1"/>
  <c r="AF3738" i="1"/>
  <c r="AI3738" i="1"/>
  <c r="H3739" i="1"/>
  <c r="AE3739" i="1"/>
  <c r="I3739" i="1"/>
  <c r="J3739" i="1"/>
  <c r="K3739" i="1"/>
  <c r="AC3739" i="1"/>
  <c r="AJ3738" i="1"/>
  <c r="AK3738" i="1"/>
  <c r="AM3738" i="1"/>
  <c r="BF3738" i="1"/>
  <c r="BG3738" i="1"/>
  <c r="T3739" i="1"/>
  <c r="U3739" i="1"/>
  <c r="V3739" i="1"/>
  <c r="W3739" i="1"/>
  <c r="X3739" i="1"/>
  <c r="Y3739" i="1"/>
  <c r="Z3739" i="1"/>
  <c r="AB3739" i="1"/>
  <c r="AF3739" i="1"/>
  <c r="AI3739" i="1"/>
  <c r="AE3740" i="1"/>
  <c r="AC3740" i="1"/>
  <c r="AJ3739" i="1"/>
  <c r="AK3739" i="1"/>
  <c r="AM3739" i="1"/>
  <c r="BF3739" i="1"/>
  <c r="BG3739" i="1"/>
  <c r="T3740" i="1"/>
  <c r="U3740" i="1"/>
  <c r="V3740" i="1"/>
  <c r="W3740" i="1"/>
  <c r="X3740" i="1"/>
  <c r="Y3740" i="1"/>
  <c r="Z3740" i="1"/>
  <c r="AB3740" i="1"/>
  <c r="AF3740" i="1"/>
  <c r="AI3740" i="1"/>
  <c r="AE3741" i="1"/>
  <c r="AC3741" i="1"/>
  <c r="AJ3740" i="1"/>
  <c r="AK3740" i="1"/>
  <c r="AM3740" i="1"/>
  <c r="BF3740" i="1"/>
  <c r="BG3740" i="1"/>
  <c r="T3741" i="1"/>
  <c r="U3741" i="1"/>
  <c r="V3741" i="1"/>
  <c r="W3741" i="1"/>
  <c r="X3741" i="1"/>
  <c r="Y3741" i="1"/>
  <c r="Z3741" i="1"/>
  <c r="AB3741" i="1"/>
  <c r="AF3741" i="1"/>
  <c r="AI3741" i="1"/>
  <c r="H3742" i="1"/>
  <c r="AE3742" i="1"/>
  <c r="I3742" i="1"/>
  <c r="J3742" i="1"/>
  <c r="K3742" i="1"/>
  <c r="AC3742" i="1"/>
  <c r="AJ3741" i="1"/>
  <c r="AK3741" i="1"/>
  <c r="AM3741" i="1"/>
  <c r="BG3741" i="1"/>
  <c r="T3742" i="1"/>
  <c r="U3742" i="1"/>
  <c r="V3742" i="1"/>
  <c r="W3742" i="1"/>
  <c r="X3742" i="1"/>
  <c r="Y3742" i="1"/>
  <c r="Z3742" i="1"/>
  <c r="AB3742" i="1"/>
  <c r="AF3742" i="1"/>
  <c r="AI3742" i="1"/>
  <c r="H3743" i="1"/>
  <c r="AE3743" i="1"/>
  <c r="I3743" i="1"/>
  <c r="J3743" i="1"/>
  <c r="K3743" i="1"/>
  <c r="AC3743" i="1"/>
  <c r="AJ3742" i="1"/>
  <c r="AK3742" i="1"/>
  <c r="AM3742" i="1"/>
  <c r="BF3742" i="1"/>
  <c r="BG3742" i="1"/>
  <c r="T3743" i="1"/>
  <c r="U3743" i="1"/>
  <c r="V3743" i="1"/>
  <c r="W3743" i="1"/>
  <c r="X3743" i="1"/>
  <c r="Y3743" i="1"/>
  <c r="Z3743" i="1"/>
  <c r="AB3743" i="1"/>
  <c r="AF3743" i="1"/>
  <c r="AI3743" i="1"/>
  <c r="AE3744" i="1"/>
  <c r="AC3744" i="1"/>
  <c r="AJ3743" i="1"/>
  <c r="AK3743" i="1"/>
  <c r="AM3743" i="1"/>
  <c r="BF3743" i="1"/>
  <c r="BG3743" i="1"/>
  <c r="T3744" i="1"/>
  <c r="U3744" i="1"/>
  <c r="V3744" i="1"/>
  <c r="W3744" i="1"/>
  <c r="X3744" i="1"/>
  <c r="Y3744" i="1"/>
  <c r="Z3744" i="1"/>
  <c r="AB3744" i="1"/>
  <c r="AF3744" i="1"/>
  <c r="AI3744" i="1"/>
  <c r="AE3745" i="1"/>
  <c r="AC3745" i="1"/>
  <c r="AJ3744" i="1"/>
  <c r="AK3744" i="1"/>
  <c r="AM3744" i="1"/>
  <c r="BF3744" i="1"/>
  <c r="BG3744" i="1"/>
  <c r="T3745" i="1"/>
  <c r="U3745" i="1"/>
  <c r="V3745" i="1"/>
  <c r="W3745" i="1"/>
  <c r="X3745" i="1"/>
  <c r="Y3745" i="1"/>
  <c r="Z3745" i="1"/>
  <c r="AB3745" i="1"/>
  <c r="AF3745" i="1"/>
  <c r="AI3745" i="1"/>
  <c r="H3746" i="1"/>
  <c r="AE3746" i="1"/>
  <c r="I3746" i="1"/>
  <c r="J3746" i="1"/>
  <c r="K3746" i="1"/>
  <c r="AC3746" i="1"/>
  <c r="AJ3745" i="1"/>
  <c r="AK3745" i="1"/>
  <c r="AM3745" i="1"/>
  <c r="BG3745" i="1"/>
  <c r="T3746" i="1"/>
  <c r="U3746" i="1"/>
  <c r="V3746" i="1"/>
  <c r="W3746" i="1"/>
  <c r="X3746" i="1"/>
  <c r="Y3746" i="1"/>
  <c r="Z3746" i="1"/>
  <c r="AB3746" i="1"/>
  <c r="AF3746" i="1"/>
  <c r="AI3746" i="1"/>
  <c r="AE3747" i="1"/>
  <c r="AC3747" i="1"/>
  <c r="AJ3746" i="1"/>
  <c r="AK3746" i="1"/>
  <c r="AM3746" i="1"/>
  <c r="BF3746" i="1"/>
  <c r="BG3746" i="1"/>
  <c r="T3747" i="1"/>
  <c r="U3747" i="1"/>
  <c r="V3747" i="1"/>
  <c r="W3747" i="1"/>
  <c r="X3747" i="1"/>
  <c r="Y3747" i="1"/>
  <c r="Z3747" i="1"/>
  <c r="AB3747" i="1"/>
  <c r="AF3747" i="1"/>
  <c r="AI3747" i="1"/>
  <c r="AE3748" i="1"/>
  <c r="AC3748" i="1"/>
  <c r="AJ3747" i="1"/>
  <c r="AK3747" i="1"/>
  <c r="AM3747" i="1"/>
  <c r="BF3747" i="1"/>
  <c r="BG3747" i="1"/>
  <c r="T3748" i="1"/>
  <c r="U3748" i="1"/>
  <c r="V3748" i="1"/>
  <c r="W3748" i="1"/>
  <c r="X3748" i="1"/>
  <c r="Y3748" i="1"/>
  <c r="Z3748" i="1"/>
  <c r="AB3748" i="1"/>
  <c r="AF3748" i="1"/>
  <c r="AI3748" i="1"/>
  <c r="AE3749" i="1"/>
  <c r="AC3749" i="1"/>
  <c r="AJ3748" i="1"/>
  <c r="AK3748" i="1"/>
  <c r="AM3748" i="1"/>
  <c r="BF3748" i="1"/>
  <c r="BG3748" i="1"/>
  <c r="T3749" i="1"/>
  <c r="U3749" i="1"/>
  <c r="V3749" i="1"/>
  <c r="W3749" i="1"/>
  <c r="X3749" i="1"/>
  <c r="Y3749" i="1"/>
  <c r="Z3749" i="1"/>
  <c r="AB3749" i="1"/>
  <c r="AF3749" i="1"/>
  <c r="AI3749" i="1"/>
  <c r="H3750" i="1"/>
  <c r="AE3750" i="1"/>
  <c r="I3750" i="1"/>
  <c r="J3750" i="1"/>
  <c r="K3750" i="1"/>
  <c r="AC3750" i="1"/>
  <c r="AJ3749" i="1"/>
  <c r="AK3749" i="1"/>
  <c r="AM3749" i="1"/>
  <c r="BG3749" i="1"/>
  <c r="T3750" i="1"/>
  <c r="U3750" i="1"/>
  <c r="V3750" i="1"/>
  <c r="W3750" i="1"/>
  <c r="X3750" i="1"/>
  <c r="Y3750" i="1"/>
  <c r="Z3750" i="1"/>
  <c r="AB3750" i="1"/>
  <c r="AF3750" i="1"/>
  <c r="AI3750" i="1"/>
  <c r="H3751" i="1"/>
  <c r="AE3751" i="1"/>
  <c r="I3751" i="1"/>
  <c r="J3751" i="1"/>
  <c r="K3751" i="1"/>
  <c r="AC3751" i="1"/>
  <c r="AJ3750" i="1"/>
  <c r="AK3750" i="1"/>
  <c r="AM3750" i="1"/>
  <c r="BF3750" i="1"/>
  <c r="BG3750" i="1"/>
  <c r="T3751" i="1"/>
  <c r="U3751" i="1"/>
  <c r="V3751" i="1"/>
  <c r="W3751" i="1"/>
  <c r="X3751" i="1"/>
  <c r="Y3751" i="1"/>
  <c r="Z3751" i="1"/>
  <c r="AB3751" i="1"/>
  <c r="AF3751" i="1"/>
  <c r="AI3751" i="1"/>
  <c r="AE3752" i="1"/>
  <c r="AC3752" i="1"/>
  <c r="AJ3751" i="1"/>
  <c r="AK3751" i="1"/>
  <c r="AM3751" i="1"/>
  <c r="BF3751" i="1"/>
  <c r="BG3751" i="1"/>
  <c r="T3752" i="1"/>
  <c r="U3752" i="1"/>
  <c r="V3752" i="1"/>
  <c r="W3752" i="1"/>
  <c r="X3752" i="1"/>
  <c r="Y3752" i="1"/>
  <c r="Z3752" i="1"/>
  <c r="AB3752" i="1"/>
  <c r="AF3752" i="1"/>
  <c r="AI3752" i="1"/>
  <c r="AE3753" i="1"/>
  <c r="AC3753" i="1"/>
  <c r="AJ3752" i="1"/>
  <c r="AK3752" i="1"/>
  <c r="AM3752" i="1"/>
  <c r="BF3752" i="1"/>
  <c r="BG3752" i="1"/>
  <c r="T3753" i="1"/>
  <c r="U3753" i="1"/>
  <c r="V3753" i="1"/>
  <c r="W3753" i="1"/>
  <c r="X3753" i="1"/>
  <c r="Y3753" i="1"/>
  <c r="Z3753" i="1"/>
  <c r="AB3753" i="1"/>
  <c r="AF3753" i="1"/>
  <c r="AI3753" i="1"/>
  <c r="H3754" i="1"/>
  <c r="AE3754" i="1"/>
  <c r="I3754" i="1"/>
  <c r="J3754" i="1"/>
  <c r="K3754" i="1"/>
  <c r="AC3754" i="1"/>
  <c r="AJ3753" i="1"/>
  <c r="AK3753" i="1"/>
  <c r="AM3753" i="1"/>
  <c r="BG3753" i="1"/>
  <c r="T3754" i="1"/>
  <c r="U3754" i="1"/>
  <c r="V3754" i="1"/>
  <c r="W3754" i="1"/>
  <c r="X3754" i="1"/>
  <c r="Y3754" i="1"/>
  <c r="Z3754" i="1"/>
  <c r="AB3754" i="1"/>
  <c r="AF3754" i="1"/>
  <c r="AI3754" i="1"/>
  <c r="H3755" i="1"/>
  <c r="AE3755" i="1"/>
  <c r="I3755" i="1"/>
  <c r="J3755" i="1"/>
  <c r="K3755" i="1"/>
  <c r="AC3755" i="1"/>
  <c r="AJ3754" i="1"/>
  <c r="AK3754" i="1"/>
  <c r="AM3754" i="1"/>
  <c r="BF3754" i="1"/>
  <c r="BG3754" i="1"/>
  <c r="T3755" i="1"/>
  <c r="U3755" i="1"/>
  <c r="V3755" i="1"/>
  <c r="W3755" i="1"/>
  <c r="X3755" i="1"/>
  <c r="Y3755" i="1"/>
  <c r="Z3755" i="1"/>
  <c r="AB3755" i="1"/>
  <c r="AF3755" i="1"/>
  <c r="AI3755" i="1"/>
  <c r="AE3756" i="1"/>
  <c r="AC3756" i="1"/>
  <c r="AJ3755" i="1"/>
  <c r="AK3755" i="1"/>
  <c r="AM3755" i="1"/>
  <c r="BF3755" i="1"/>
  <c r="BG3755" i="1"/>
  <c r="T3756" i="1"/>
  <c r="U3756" i="1"/>
  <c r="V3756" i="1"/>
  <c r="W3756" i="1"/>
  <c r="X3756" i="1"/>
  <c r="Y3756" i="1"/>
  <c r="Z3756" i="1"/>
  <c r="AB3756" i="1"/>
  <c r="AF3756" i="1"/>
  <c r="AI3756" i="1"/>
  <c r="AE3757" i="1"/>
  <c r="AC3757" i="1"/>
  <c r="AJ3756" i="1"/>
  <c r="AK3756" i="1"/>
  <c r="AM3756" i="1"/>
  <c r="BF3756" i="1"/>
  <c r="BG3756" i="1"/>
  <c r="T3757" i="1"/>
  <c r="U3757" i="1"/>
  <c r="V3757" i="1"/>
  <c r="W3757" i="1"/>
  <c r="X3757" i="1"/>
  <c r="Y3757" i="1"/>
  <c r="Z3757" i="1"/>
  <c r="AB3757" i="1"/>
  <c r="AF3757" i="1"/>
  <c r="AI3757" i="1"/>
  <c r="H3758" i="1"/>
  <c r="AE3758" i="1"/>
  <c r="I3758" i="1"/>
  <c r="J3758" i="1"/>
  <c r="K3758" i="1"/>
  <c r="AC3758" i="1"/>
  <c r="AJ3757" i="1"/>
  <c r="AK3757" i="1"/>
  <c r="AM3757" i="1"/>
  <c r="BG3757" i="1"/>
  <c r="T3758" i="1"/>
  <c r="U3758" i="1"/>
  <c r="V3758" i="1"/>
  <c r="W3758" i="1"/>
  <c r="X3758" i="1"/>
  <c r="Y3758" i="1"/>
  <c r="Z3758" i="1"/>
  <c r="AB3758" i="1"/>
  <c r="AF3758" i="1"/>
  <c r="AI3758" i="1"/>
  <c r="AE3759" i="1"/>
  <c r="AC3759" i="1"/>
  <c r="AJ3758" i="1"/>
  <c r="AK3758" i="1"/>
  <c r="AM3758" i="1"/>
  <c r="BF3758" i="1"/>
  <c r="BG3758" i="1"/>
  <c r="T3759" i="1"/>
  <c r="U3759" i="1"/>
  <c r="V3759" i="1"/>
  <c r="W3759" i="1"/>
  <c r="X3759" i="1"/>
  <c r="Y3759" i="1"/>
  <c r="Z3759" i="1"/>
  <c r="AB3759" i="1"/>
  <c r="AF3759" i="1"/>
  <c r="AI3759" i="1"/>
  <c r="AE3760" i="1"/>
  <c r="AC3760" i="1"/>
  <c r="AJ3759" i="1"/>
  <c r="AK3759" i="1"/>
  <c r="AM3759" i="1"/>
  <c r="BF3759" i="1"/>
  <c r="BG3759" i="1"/>
  <c r="T3760" i="1"/>
  <c r="U3760" i="1"/>
  <c r="V3760" i="1"/>
  <c r="W3760" i="1"/>
  <c r="X3760" i="1"/>
  <c r="Y3760" i="1"/>
  <c r="Z3760" i="1"/>
  <c r="AB3760" i="1"/>
  <c r="AF3760" i="1"/>
  <c r="AI3760" i="1"/>
  <c r="H3761" i="1"/>
  <c r="AE3761" i="1"/>
  <c r="I3761" i="1"/>
  <c r="J3761" i="1"/>
  <c r="K3761" i="1"/>
  <c r="AC3761" i="1"/>
  <c r="AJ3760" i="1"/>
  <c r="AK3760" i="1"/>
  <c r="AM3760" i="1"/>
  <c r="BG3760" i="1"/>
  <c r="T3761" i="1"/>
  <c r="U3761" i="1"/>
  <c r="V3761" i="1"/>
  <c r="W3761" i="1"/>
  <c r="X3761" i="1"/>
  <c r="Y3761" i="1"/>
  <c r="Z3761" i="1"/>
  <c r="AB3761" i="1"/>
  <c r="AF3761" i="1"/>
  <c r="AI3761" i="1"/>
  <c r="AE3762" i="1"/>
  <c r="AC3762" i="1"/>
  <c r="AJ3761" i="1"/>
  <c r="AK3761" i="1"/>
  <c r="AM3761" i="1"/>
  <c r="BF3761" i="1"/>
  <c r="BG3761" i="1"/>
  <c r="T3762" i="1"/>
  <c r="U3762" i="1"/>
  <c r="V3762" i="1"/>
  <c r="W3762" i="1"/>
  <c r="X3762" i="1"/>
  <c r="Y3762" i="1"/>
  <c r="Z3762" i="1"/>
  <c r="AB3762" i="1"/>
  <c r="AF3762" i="1"/>
  <c r="AI3762" i="1"/>
  <c r="AE3763" i="1"/>
  <c r="AC3763" i="1"/>
  <c r="AJ3762" i="1"/>
  <c r="AK3762" i="1"/>
  <c r="AM3762" i="1"/>
  <c r="BF3762" i="1"/>
  <c r="BG3762" i="1"/>
  <c r="T3763" i="1"/>
  <c r="U3763" i="1"/>
  <c r="V3763" i="1"/>
  <c r="W3763" i="1"/>
  <c r="X3763" i="1"/>
  <c r="Y3763" i="1"/>
  <c r="Z3763" i="1"/>
  <c r="AB3763" i="1"/>
  <c r="AF3763" i="1"/>
  <c r="AI3763" i="1"/>
  <c r="AE3764" i="1"/>
  <c r="AC3764" i="1"/>
  <c r="AJ3763" i="1"/>
  <c r="AK3763" i="1"/>
  <c r="AM3763" i="1"/>
  <c r="BF3763" i="1"/>
  <c r="BG3763" i="1"/>
  <c r="T3764" i="1"/>
  <c r="U3764" i="1"/>
  <c r="V3764" i="1"/>
  <c r="W3764" i="1"/>
  <c r="X3764" i="1"/>
  <c r="Y3764" i="1"/>
  <c r="Z3764" i="1"/>
  <c r="AB3764" i="1"/>
  <c r="AF3764" i="1"/>
  <c r="AI3764" i="1"/>
  <c r="H3765" i="1"/>
  <c r="AE3765" i="1"/>
  <c r="I3765" i="1"/>
  <c r="J3765" i="1"/>
  <c r="K3765" i="1"/>
  <c r="AC3765" i="1"/>
  <c r="AJ3764" i="1"/>
  <c r="AK3764" i="1"/>
  <c r="AM3764" i="1"/>
  <c r="BG3764" i="1"/>
  <c r="T3765" i="1"/>
  <c r="U3765" i="1"/>
  <c r="V3765" i="1"/>
  <c r="W3765" i="1"/>
  <c r="X3765" i="1"/>
  <c r="Y3765" i="1"/>
  <c r="Z3765" i="1"/>
  <c r="AB3765" i="1"/>
  <c r="AF3765" i="1"/>
  <c r="AI3765" i="1"/>
  <c r="AE3766" i="1"/>
  <c r="AC3766" i="1"/>
  <c r="AJ3765" i="1"/>
  <c r="AK3765" i="1"/>
  <c r="AM3765" i="1"/>
  <c r="BF3765" i="1"/>
  <c r="BG3765" i="1"/>
  <c r="T3766" i="1"/>
  <c r="U3766" i="1"/>
  <c r="V3766" i="1"/>
  <c r="W3766" i="1"/>
  <c r="X3766" i="1"/>
  <c r="Y3766" i="1"/>
  <c r="Z3766" i="1"/>
  <c r="AB3766" i="1"/>
  <c r="AF3766" i="1"/>
  <c r="AI3766" i="1"/>
  <c r="AE3767" i="1"/>
  <c r="AC3767" i="1"/>
  <c r="AJ3766" i="1"/>
  <c r="AK3766" i="1"/>
  <c r="AM3766" i="1"/>
  <c r="BF3766" i="1"/>
  <c r="BG3766" i="1"/>
  <c r="T3767" i="1"/>
  <c r="U3767" i="1"/>
  <c r="V3767" i="1"/>
  <c r="W3767" i="1"/>
  <c r="X3767" i="1"/>
  <c r="Y3767" i="1"/>
  <c r="Z3767" i="1"/>
  <c r="AB3767" i="1"/>
  <c r="AF3767" i="1"/>
  <c r="AI3767" i="1"/>
  <c r="H3768" i="1"/>
  <c r="AE3768" i="1"/>
  <c r="I3768" i="1"/>
  <c r="J3768" i="1"/>
  <c r="K3768" i="1"/>
  <c r="AC3768" i="1"/>
  <c r="AJ3767" i="1"/>
  <c r="AK3767" i="1"/>
  <c r="AM3767" i="1"/>
  <c r="BG3767" i="1"/>
  <c r="T3768" i="1"/>
  <c r="U3768" i="1"/>
  <c r="V3768" i="1"/>
  <c r="W3768" i="1"/>
  <c r="X3768" i="1"/>
  <c r="Y3768" i="1"/>
  <c r="Z3768" i="1"/>
  <c r="AB3768" i="1"/>
  <c r="AF3768" i="1"/>
  <c r="AI3768" i="1"/>
  <c r="AE3769" i="1"/>
  <c r="AC3769" i="1"/>
  <c r="AJ3768" i="1"/>
  <c r="AK3768" i="1"/>
  <c r="AM3768" i="1"/>
  <c r="BF3768" i="1"/>
  <c r="BG3768" i="1"/>
  <c r="T3769" i="1"/>
  <c r="U3769" i="1"/>
  <c r="V3769" i="1"/>
  <c r="W3769" i="1"/>
  <c r="X3769" i="1"/>
  <c r="Y3769" i="1"/>
  <c r="Z3769" i="1"/>
  <c r="AB3769" i="1"/>
  <c r="AF3769" i="1"/>
  <c r="AI3769" i="1"/>
  <c r="AE3770" i="1"/>
  <c r="AC3770" i="1"/>
  <c r="AJ3769" i="1"/>
  <c r="AK3769" i="1"/>
  <c r="AM3769" i="1"/>
  <c r="BF3769" i="1"/>
  <c r="BG3769" i="1"/>
  <c r="T3770" i="1"/>
  <c r="U3770" i="1"/>
  <c r="V3770" i="1"/>
  <c r="W3770" i="1"/>
  <c r="X3770" i="1"/>
  <c r="Y3770" i="1"/>
  <c r="Z3770" i="1"/>
  <c r="AB3770" i="1"/>
  <c r="AF3770" i="1"/>
  <c r="AI3770" i="1"/>
  <c r="H3771" i="1"/>
  <c r="AE3771" i="1"/>
  <c r="I3771" i="1"/>
  <c r="J3771" i="1"/>
  <c r="K3771" i="1"/>
  <c r="AC3771" i="1"/>
  <c r="AJ3770" i="1"/>
  <c r="AK3770" i="1"/>
  <c r="AM3770" i="1"/>
  <c r="BG3770" i="1"/>
  <c r="T3771" i="1"/>
  <c r="U3771" i="1"/>
  <c r="V3771" i="1"/>
  <c r="W3771" i="1"/>
  <c r="X3771" i="1"/>
  <c r="Y3771" i="1"/>
  <c r="Z3771" i="1"/>
  <c r="AB3771" i="1"/>
  <c r="AF3771" i="1"/>
  <c r="AI3771" i="1"/>
  <c r="H3772" i="1"/>
  <c r="AE3772" i="1"/>
  <c r="I3772" i="1"/>
  <c r="J3772" i="1"/>
  <c r="K3772" i="1"/>
  <c r="AC3772" i="1"/>
  <c r="AJ3771" i="1"/>
  <c r="AK3771" i="1"/>
  <c r="AM3771" i="1"/>
  <c r="BF3771" i="1"/>
  <c r="BG3771" i="1"/>
  <c r="T3772" i="1"/>
  <c r="U3772" i="1"/>
  <c r="V3772" i="1"/>
  <c r="W3772" i="1"/>
  <c r="X3772" i="1"/>
  <c r="Y3772" i="1"/>
  <c r="Z3772" i="1"/>
  <c r="AB3772" i="1"/>
  <c r="AF3772" i="1"/>
  <c r="AI3772" i="1"/>
  <c r="H3773" i="1"/>
  <c r="AE3773" i="1"/>
  <c r="I3773" i="1"/>
  <c r="J3773" i="1"/>
  <c r="K3773" i="1"/>
  <c r="AC3773" i="1"/>
  <c r="AJ3772" i="1"/>
  <c r="AK3772" i="1"/>
  <c r="AM3772" i="1"/>
  <c r="BF3772" i="1"/>
  <c r="BG3772" i="1"/>
  <c r="T3773" i="1"/>
  <c r="U3773" i="1"/>
  <c r="V3773" i="1"/>
  <c r="W3773" i="1"/>
  <c r="X3773" i="1"/>
  <c r="Y3773" i="1"/>
  <c r="Z3773" i="1"/>
  <c r="AB3773" i="1"/>
  <c r="AF3773" i="1"/>
  <c r="AI3773" i="1"/>
  <c r="AE3774" i="1"/>
  <c r="AC3774" i="1"/>
  <c r="AJ3773" i="1"/>
  <c r="AK3773" i="1"/>
  <c r="AM3773" i="1"/>
  <c r="BF3773" i="1"/>
  <c r="BG3773" i="1"/>
  <c r="T3774" i="1"/>
  <c r="U3774" i="1"/>
  <c r="V3774" i="1"/>
  <c r="W3774" i="1"/>
  <c r="X3774" i="1"/>
  <c r="Y3774" i="1"/>
  <c r="Z3774" i="1"/>
  <c r="AB3774" i="1"/>
  <c r="AF3774" i="1"/>
  <c r="AI3774" i="1"/>
  <c r="AE3775" i="1"/>
  <c r="AC3775" i="1"/>
  <c r="AJ3774" i="1"/>
  <c r="AK3774" i="1"/>
  <c r="AM3774" i="1"/>
  <c r="BF3774" i="1"/>
  <c r="BG3774" i="1"/>
  <c r="T3775" i="1"/>
  <c r="U3775" i="1"/>
  <c r="V3775" i="1"/>
  <c r="W3775" i="1"/>
  <c r="X3775" i="1"/>
  <c r="Y3775" i="1"/>
  <c r="Z3775" i="1"/>
  <c r="AB3775" i="1"/>
  <c r="AF3775" i="1"/>
  <c r="AI3775" i="1"/>
  <c r="H3776" i="1"/>
  <c r="AE3776" i="1"/>
  <c r="I3776" i="1"/>
  <c r="J3776" i="1"/>
  <c r="K3776" i="1"/>
  <c r="AC3776" i="1"/>
  <c r="AJ3775" i="1"/>
  <c r="AK3775" i="1"/>
  <c r="AM3775" i="1"/>
  <c r="BG3775" i="1"/>
  <c r="T3776" i="1"/>
  <c r="U3776" i="1"/>
  <c r="V3776" i="1"/>
  <c r="W3776" i="1"/>
  <c r="X3776" i="1"/>
  <c r="Y3776" i="1"/>
  <c r="Z3776" i="1"/>
  <c r="AB3776" i="1"/>
  <c r="AF3776" i="1"/>
  <c r="AI3776" i="1"/>
  <c r="AE3777" i="1"/>
  <c r="AC3777" i="1"/>
  <c r="AJ3776" i="1"/>
  <c r="AK3776" i="1"/>
  <c r="AM3776" i="1"/>
  <c r="BF3776" i="1"/>
  <c r="BG3776" i="1"/>
  <c r="T3777" i="1"/>
  <c r="U3777" i="1"/>
  <c r="V3777" i="1"/>
  <c r="W3777" i="1"/>
  <c r="X3777" i="1"/>
  <c r="Y3777" i="1"/>
  <c r="Z3777" i="1"/>
  <c r="AB3777" i="1"/>
  <c r="AF3777" i="1"/>
  <c r="AI3777" i="1"/>
  <c r="AE3778" i="1"/>
  <c r="AC3778" i="1"/>
  <c r="AJ3777" i="1"/>
  <c r="AK3777" i="1"/>
  <c r="AM3777" i="1"/>
  <c r="BF3777" i="1"/>
  <c r="BG3777" i="1"/>
  <c r="T3778" i="1"/>
  <c r="U3778" i="1"/>
  <c r="V3778" i="1"/>
  <c r="W3778" i="1"/>
  <c r="X3778" i="1"/>
  <c r="Y3778" i="1"/>
  <c r="Z3778" i="1"/>
  <c r="AB3778" i="1"/>
  <c r="AF3778" i="1"/>
  <c r="AI3778" i="1"/>
  <c r="H3779" i="1"/>
  <c r="AE3779" i="1"/>
  <c r="I3779" i="1"/>
  <c r="J3779" i="1"/>
  <c r="K3779" i="1"/>
  <c r="AC3779" i="1"/>
  <c r="AJ3778" i="1"/>
  <c r="AK3778" i="1"/>
  <c r="AM3778" i="1"/>
  <c r="BG3778" i="1"/>
  <c r="T3779" i="1"/>
  <c r="U3779" i="1"/>
  <c r="V3779" i="1"/>
  <c r="W3779" i="1"/>
  <c r="X3779" i="1"/>
  <c r="Y3779" i="1"/>
  <c r="Z3779" i="1"/>
  <c r="AB3779" i="1"/>
  <c r="AF3779" i="1"/>
  <c r="AI3779" i="1"/>
  <c r="AE3780" i="1"/>
  <c r="AC3780" i="1"/>
  <c r="AJ3779" i="1"/>
  <c r="AK3779" i="1"/>
  <c r="AM3779" i="1"/>
  <c r="BF3779" i="1"/>
  <c r="BG3779" i="1"/>
  <c r="T3780" i="1"/>
  <c r="U3780" i="1"/>
  <c r="V3780" i="1"/>
  <c r="W3780" i="1"/>
  <c r="X3780" i="1"/>
  <c r="Y3780" i="1"/>
  <c r="Z3780" i="1"/>
  <c r="AB3780" i="1"/>
  <c r="AF3780" i="1"/>
  <c r="AI3780" i="1"/>
  <c r="AE3781" i="1"/>
  <c r="AC3781" i="1"/>
  <c r="AJ3780" i="1"/>
  <c r="AK3780" i="1"/>
  <c r="AM3780" i="1"/>
  <c r="BF3780" i="1"/>
  <c r="BG3780" i="1"/>
  <c r="T3781" i="1"/>
  <c r="U3781" i="1"/>
  <c r="V3781" i="1"/>
  <c r="W3781" i="1"/>
  <c r="X3781" i="1"/>
  <c r="Y3781" i="1"/>
  <c r="Z3781" i="1"/>
  <c r="AB3781" i="1"/>
  <c r="AF3781" i="1"/>
  <c r="AI3781" i="1"/>
  <c r="AE3782" i="1"/>
  <c r="AC3782" i="1"/>
  <c r="AJ3781" i="1"/>
  <c r="AK3781" i="1"/>
  <c r="AM3781" i="1"/>
  <c r="BF3781" i="1"/>
  <c r="BG3781" i="1"/>
  <c r="T3782" i="1"/>
  <c r="U3782" i="1"/>
  <c r="V3782" i="1"/>
  <c r="W3782" i="1"/>
  <c r="X3782" i="1"/>
  <c r="Y3782" i="1"/>
  <c r="Z3782" i="1"/>
  <c r="AB3782" i="1"/>
  <c r="AF3782" i="1"/>
  <c r="AI3782" i="1"/>
  <c r="H3783" i="1"/>
  <c r="AE3783" i="1"/>
  <c r="I3783" i="1"/>
  <c r="J3783" i="1"/>
  <c r="K3783" i="1"/>
  <c r="AC3783" i="1"/>
  <c r="AJ3782" i="1"/>
  <c r="AK3782" i="1"/>
  <c r="AM3782" i="1"/>
  <c r="BG3782" i="1"/>
  <c r="T3783" i="1"/>
  <c r="U3783" i="1"/>
  <c r="V3783" i="1"/>
  <c r="W3783" i="1"/>
  <c r="X3783" i="1"/>
  <c r="Y3783" i="1"/>
  <c r="Z3783" i="1"/>
  <c r="AB3783" i="1"/>
  <c r="AF3783" i="1"/>
  <c r="AI3783" i="1"/>
  <c r="H3784" i="1"/>
  <c r="AE3784" i="1"/>
  <c r="I3784" i="1"/>
  <c r="J3784" i="1"/>
  <c r="K3784" i="1"/>
  <c r="AC3784" i="1"/>
  <c r="AJ3783" i="1"/>
  <c r="AK3783" i="1"/>
  <c r="AM3783" i="1"/>
  <c r="BF3783" i="1"/>
  <c r="BG3783" i="1"/>
  <c r="T3784" i="1"/>
  <c r="U3784" i="1"/>
  <c r="V3784" i="1"/>
  <c r="W3784" i="1"/>
  <c r="X3784" i="1"/>
  <c r="Y3784" i="1"/>
  <c r="Z3784" i="1"/>
  <c r="AB3784" i="1"/>
  <c r="AF3784" i="1"/>
  <c r="AI3784" i="1"/>
  <c r="AE3785" i="1"/>
  <c r="AC3785" i="1"/>
  <c r="AJ3784" i="1"/>
  <c r="AK3784" i="1"/>
  <c r="AM3784" i="1"/>
  <c r="BF3784" i="1"/>
  <c r="BG3784" i="1"/>
  <c r="T3785" i="1"/>
  <c r="U3785" i="1"/>
  <c r="V3785" i="1"/>
  <c r="W3785" i="1"/>
  <c r="X3785" i="1"/>
  <c r="Y3785" i="1"/>
  <c r="Z3785" i="1"/>
  <c r="AB3785" i="1"/>
  <c r="AF3785" i="1"/>
  <c r="AI3785" i="1"/>
  <c r="AE3786" i="1"/>
  <c r="AC3786" i="1"/>
  <c r="AJ3785" i="1"/>
  <c r="AK3785" i="1"/>
  <c r="AM3785" i="1"/>
  <c r="BF3785" i="1"/>
  <c r="BG3785" i="1"/>
  <c r="T3786" i="1"/>
  <c r="U3786" i="1"/>
  <c r="V3786" i="1"/>
  <c r="W3786" i="1"/>
  <c r="X3786" i="1"/>
  <c r="Y3786" i="1"/>
  <c r="Z3786" i="1"/>
  <c r="AB3786" i="1"/>
  <c r="AF3786" i="1"/>
  <c r="AI3786" i="1"/>
  <c r="AE3787" i="1"/>
  <c r="AC3787" i="1"/>
  <c r="AJ3786" i="1"/>
  <c r="AK3786" i="1"/>
  <c r="AM3786" i="1"/>
  <c r="BF3786" i="1"/>
  <c r="BG3786" i="1"/>
  <c r="T3787" i="1"/>
  <c r="U3787" i="1"/>
  <c r="V3787" i="1"/>
  <c r="W3787" i="1"/>
  <c r="X3787" i="1"/>
  <c r="Y3787" i="1"/>
  <c r="Z3787" i="1"/>
  <c r="AB3787" i="1"/>
  <c r="AF3787" i="1"/>
  <c r="AI3787" i="1"/>
  <c r="AE3788" i="1"/>
  <c r="AC3788" i="1"/>
  <c r="AJ3787" i="1"/>
  <c r="AK3787" i="1"/>
  <c r="AM3787" i="1"/>
  <c r="BF3787" i="1"/>
  <c r="BG3787" i="1"/>
  <c r="T3788" i="1"/>
  <c r="U3788" i="1"/>
  <c r="V3788" i="1"/>
  <c r="W3788" i="1"/>
  <c r="X3788" i="1"/>
  <c r="Y3788" i="1"/>
  <c r="Z3788" i="1"/>
  <c r="AB3788" i="1"/>
  <c r="AF3788" i="1"/>
  <c r="AI3788" i="1"/>
  <c r="H3789" i="1"/>
  <c r="AE3789" i="1"/>
  <c r="I3789" i="1"/>
  <c r="J3789" i="1"/>
  <c r="K3789" i="1"/>
  <c r="AC3789" i="1"/>
  <c r="AJ3788" i="1"/>
  <c r="AK3788" i="1"/>
  <c r="AM3788" i="1"/>
  <c r="BG3788" i="1"/>
  <c r="T3789" i="1"/>
  <c r="U3789" i="1"/>
  <c r="V3789" i="1"/>
  <c r="W3789" i="1"/>
  <c r="X3789" i="1"/>
  <c r="Y3789" i="1"/>
  <c r="Z3789" i="1"/>
  <c r="AB3789" i="1"/>
  <c r="AF3789" i="1"/>
  <c r="AI3789" i="1"/>
  <c r="H3790" i="1"/>
  <c r="AE3790" i="1"/>
  <c r="I3790" i="1"/>
  <c r="J3790" i="1"/>
  <c r="K3790" i="1"/>
  <c r="AC3790" i="1"/>
  <c r="AJ3789" i="1"/>
  <c r="AK3789" i="1"/>
  <c r="AM3789" i="1"/>
  <c r="BF3789" i="1"/>
  <c r="BG3789" i="1"/>
  <c r="T3790" i="1"/>
  <c r="U3790" i="1"/>
  <c r="V3790" i="1"/>
  <c r="W3790" i="1"/>
  <c r="X3790" i="1"/>
  <c r="Y3790" i="1"/>
  <c r="Z3790" i="1"/>
  <c r="AB3790" i="1"/>
  <c r="AF3790" i="1"/>
  <c r="AI3790" i="1"/>
  <c r="H3791" i="1"/>
  <c r="AE3791" i="1"/>
  <c r="I3791" i="1"/>
  <c r="J3791" i="1"/>
  <c r="K3791" i="1"/>
  <c r="AC3791" i="1"/>
  <c r="AJ3790" i="1"/>
  <c r="AK3790" i="1"/>
  <c r="AM3790" i="1"/>
  <c r="BF3790" i="1"/>
  <c r="BG3790" i="1"/>
  <c r="T3791" i="1"/>
  <c r="U3791" i="1"/>
  <c r="V3791" i="1"/>
  <c r="W3791" i="1"/>
  <c r="X3791" i="1"/>
  <c r="Y3791" i="1"/>
  <c r="Z3791" i="1"/>
  <c r="AB3791" i="1"/>
  <c r="AF3791" i="1"/>
  <c r="AI3791" i="1"/>
  <c r="H3792" i="1"/>
  <c r="AE3792" i="1"/>
  <c r="I3792" i="1"/>
  <c r="J3792" i="1"/>
  <c r="K3792" i="1"/>
  <c r="AC3792" i="1"/>
  <c r="AJ3791" i="1"/>
  <c r="AK3791" i="1"/>
  <c r="AM3791" i="1"/>
  <c r="BF3791" i="1"/>
  <c r="BG3791" i="1"/>
  <c r="T3792" i="1"/>
  <c r="U3792" i="1"/>
  <c r="V3792" i="1"/>
  <c r="W3792" i="1"/>
  <c r="X3792" i="1"/>
  <c r="Y3792" i="1"/>
  <c r="Z3792" i="1"/>
  <c r="AB3792" i="1"/>
  <c r="AF3792" i="1"/>
  <c r="AI3792" i="1"/>
  <c r="AE3793" i="1"/>
  <c r="AC3793" i="1"/>
  <c r="AJ3792" i="1"/>
  <c r="AK3792" i="1"/>
  <c r="AM3792" i="1"/>
  <c r="BF3792" i="1"/>
  <c r="BG3792" i="1"/>
  <c r="T3793" i="1"/>
  <c r="U3793" i="1"/>
  <c r="V3793" i="1"/>
  <c r="W3793" i="1"/>
  <c r="X3793" i="1"/>
  <c r="Y3793" i="1"/>
  <c r="Z3793" i="1"/>
  <c r="AB3793" i="1"/>
  <c r="AF3793" i="1"/>
  <c r="AI3793" i="1"/>
  <c r="AE3794" i="1"/>
  <c r="AC3794" i="1"/>
  <c r="AJ3793" i="1"/>
  <c r="AK3793" i="1"/>
  <c r="AM3793" i="1"/>
  <c r="BF3793" i="1"/>
  <c r="BG3793" i="1"/>
  <c r="T3794" i="1"/>
  <c r="U3794" i="1"/>
  <c r="V3794" i="1"/>
  <c r="W3794" i="1"/>
  <c r="X3794" i="1"/>
  <c r="Y3794" i="1"/>
  <c r="Z3794" i="1"/>
  <c r="AB3794" i="1"/>
  <c r="AF3794" i="1"/>
  <c r="AI3794" i="1"/>
  <c r="H3795" i="1"/>
  <c r="AE3795" i="1"/>
  <c r="I3795" i="1"/>
  <c r="J3795" i="1"/>
  <c r="K3795" i="1"/>
  <c r="AC3795" i="1"/>
  <c r="AJ3794" i="1"/>
  <c r="AK3794" i="1"/>
  <c r="AM3794" i="1"/>
  <c r="BG3794" i="1"/>
  <c r="T3795" i="1"/>
  <c r="U3795" i="1"/>
  <c r="V3795" i="1"/>
  <c r="W3795" i="1"/>
  <c r="X3795" i="1"/>
  <c r="Y3795" i="1"/>
  <c r="Z3795" i="1"/>
  <c r="AB3795" i="1"/>
  <c r="AF3795" i="1"/>
  <c r="AI3795" i="1"/>
  <c r="AE3796" i="1"/>
  <c r="AC3796" i="1"/>
  <c r="AJ3795" i="1"/>
  <c r="AK3795" i="1"/>
  <c r="AM3795" i="1"/>
  <c r="BF3795" i="1"/>
  <c r="BG3795" i="1"/>
  <c r="T3796" i="1"/>
  <c r="U3796" i="1"/>
  <c r="V3796" i="1"/>
  <c r="W3796" i="1"/>
  <c r="X3796" i="1"/>
  <c r="Y3796" i="1"/>
  <c r="Z3796" i="1"/>
  <c r="AB3796" i="1"/>
  <c r="AF3796" i="1"/>
  <c r="AI3796" i="1"/>
  <c r="AE3797" i="1"/>
  <c r="AC3797" i="1"/>
  <c r="AJ3796" i="1"/>
  <c r="AK3796" i="1"/>
  <c r="AM3796" i="1"/>
  <c r="BF3796" i="1"/>
  <c r="BG3796" i="1"/>
  <c r="T3797" i="1"/>
  <c r="U3797" i="1"/>
  <c r="V3797" i="1"/>
  <c r="W3797" i="1"/>
  <c r="X3797" i="1"/>
  <c r="Y3797" i="1"/>
  <c r="Z3797" i="1"/>
  <c r="AB3797" i="1"/>
  <c r="AF3797" i="1"/>
  <c r="AI3797" i="1"/>
  <c r="H3798" i="1"/>
  <c r="AE3798" i="1"/>
  <c r="I3798" i="1"/>
  <c r="J3798" i="1"/>
  <c r="K3798" i="1"/>
  <c r="AC3798" i="1"/>
  <c r="AJ3797" i="1"/>
  <c r="AK3797" i="1"/>
  <c r="AM3797" i="1"/>
  <c r="BG3797" i="1"/>
  <c r="T3798" i="1"/>
  <c r="U3798" i="1"/>
  <c r="V3798" i="1"/>
  <c r="W3798" i="1"/>
  <c r="X3798" i="1"/>
  <c r="Y3798" i="1"/>
  <c r="Z3798" i="1"/>
  <c r="AB3798" i="1"/>
  <c r="AF3798" i="1"/>
  <c r="AI3798" i="1"/>
  <c r="H3799" i="1"/>
  <c r="AE3799" i="1"/>
  <c r="I3799" i="1"/>
  <c r="J3799" i="1"/>
  <c r="K3799" i="1"/>
  <c r="AC3799" i="1"/>
  <c r="AJ3798" i="1"/>
  <c r="AK3798" i="1"/>
  <c r="AM3798" i="1"/>
  <c r="BF3798" i="1"/>
  <c r="BG3798" i="1"/>
  <c r="T3799" i="1"/>
  <c r="U3799" i="1"/>
  <c r="V3799" i="1"/>
  <c r="W3799" i="1"/>
  <c r="X3799" i="1"/>
  <c r="Y3799" i="1"/>
  <c r="Z3799" i="1"/>
  <c r="AB3799" i="1"/>
  <c r="AF3799" i="1"/>
  <c r="AI3799" i="1"/>
  <c r="AE3800" i="1"/>
  <c r="AC3800" i="1"/>
  <c r="AJ3799" i="1"/>
  <c r="AK3799" i="1"/>
  <c r="AM3799" i="1"/>
  <c r="BF3799" i="1"/>
  <c r="BG3799" i="1"/>
  <c r="T3800" i="1"/>
  <c r="U3800" i="1"/>
  <c r="V3800" i="1"/>
  <c r="W3800" i="1"/>
  <c r="X3800" i="1"/>
  <c r="Y3800" i="1"/>
  <c r="Z3800" i="1"/>
  <c r="AB3800" i="1"/>
  <c r="AF3800" i="1"/>
  <c r="AI3800" i="1"/>
  <c r="AE3801" i="1"/>
  <c r="AC3801" i="1"/>
  <c r="AJ3800" i="1"/>
  <c r="AK3800" i="1"/>
  <c r="AM3800" i="1"/>
  <c r="BF3800" i="1"/>
  <c r="BG3800" i="1"/>
  <c r="T3801" i="1"/>
  <c r="U3801" i="1"/>
  <c r="V3801" i="1"/>
  <c r="W3801" i="1"/>
  <c r="X3801" i="1"/>
  <c r="Y3801" i="1"/>
  <c r="Z3801" i="1"/>
  <c r="AB3801" i="1"/>
  <c r="AF3801" i="1"/>
  <c r="AI3801" i="1"/>
  <c r="AE3802" i="1"/>
  <c r="AC3802" i="1"/>
  <c r="AJ3801" i="1"/>
  <c r="AK3801" i="1"/>
  <c r="AM3801" i="1"/>
  <c r="BF3801" i="1"/>
  <c r="BG3801" i="1"/>
  <c r="T3802" i="1"/>
  <c r="U3802" i="1"/>
  <c r="V3802" i="1"/>
  <c r="W3802" i="1"/>
  <c r="X3802" i="1"/>
  <c r="Y3802" i="1"/>
  <c r="Z3802" i="1"/>
  <c r="AB3802" i="1"/>
  <c r="AF3802" i="1"/>
  <c r="AI3802" i="1"/>
  <c r="H3803" i="1"/>
  <c r="AE3803" i="1"/>
  <c r="I3803" i="1"/>
  <c r="J3803" i="1"/>
  <c r="K3803" i="1"/>
  <c r="AC3803" i="1"/>
  <c r="AJ3802" i="1"/>
  <c r="AK3802" i="1"/>
  <c r="AM3802" i="1"/>
  <c r="BG3802" i="1"/>
  <c r="T3803" i="1"/>
  <c r="U3803" i="1"/>
  <c r="V3803" i="1"/>
  <c r="W3803" i="1"/>
  <c r="X3803" i="1"/>
  <c r="Y3803" i="1"/>
  <c r="Z3803" i="1"/>
  <c r="AB3803" i="1"/>
  <c r="AF3803" i="1"/>
  <c r="AI3803" i="1"/>
  <c r="AE3804" i="1"/>
  <c r="AC3804" i="1"/>
  <c r="AJ3803" i="1"/>
  <c r="AK3803" i="1"/>
  <c r="AM3803" i="1"/>
  <c r="BF3803" i="1"/>
  <c r="BG3803" i="1"/>
  <c r="T3804" i="1"/>
  <c r="U3804" i="1"/>
  <c r="V3804" i="1"/>
  <c r="W3804" i="1"/>
  <c r="X3804" i="1"/>
  <c r="Y3804" i="1"/>
  <c r="Z3804" i="1"/>
  <c r="AB3804" i="1"/>
  <c r="AF3804" i="1"/>
  <c r="AI3804" i="1"/>
  <c r="AE3805" i="1"/>
  <c r="AC3805" i="1"/>
  <c r="AJ3804" i="1"/>
  <c r="AK3804" i="1"/>
  <c r="AM3804" i="1"/>
  <c r="BF3804" i="1"/>
  <c r="BG3804" i="1"/>
  <c r="T3805" i="1"/>
  <c r="U3805" i="1"/>
  <c r="V3805" i="1"/>
  <c r="W3805" i="1"/>
  <c r="X3805" i="1"/>
  <c r="Y3805" i="1"/>
  <c r="Z3805" i="1"/>
  <c r="AB3805" i="1"/>
  <c r="AF3805" i="1"/>
  <c r="AI3805" i="1"/>
  <c r="H3806" i="1"/>
  <c r="AE3806" i="1"/>
  <c r="I3806" i="1"/>
  <c r="J3806" i="1"/>
  <c r="K3806" i="1"/>
  <c r="AC3806" i="1"/>
  <c r="AJ3805" i="1"/>
  <c r="AK3805" i="1"/>
  <c r="AM3805" i="1"/>
  <c r="BG3805" i="1"/>
  <c r="T3806" i="1"/>
  <c r="U3806" i="1"/>
  <c r="V3806" i="1"/>
  <c r="W3806" i="1"/>
  <c r="X3806" i="1"/>
  <c r="Y3806" i="1"/>
  <c r="Z3806" i="1"/>
  <c r="AB3806" i="1"/>
  <c r="AF3806" i="1"/>
  <c r="AI3806" i="1"/>
  <c r="H3807" i="1"/>
  <c r="AE3807" i="1"/>
  <c r="I3807" i="1"/>
  <c r="J3807" i="1"/>
  <c r="K3807" i="1"/>
  <c r="AC3807" i="1"/>
  <c r="AJ3806" i="1"/>
  <c r="AK3806" i="1"/>
  <c r="AM3806" i="1"/>
  <c r="BF3806" i="1"/>
  <c r="BG3806" i="1"/>
  <c r="T3807" i="1"/>
  <c r="U3807" i="1"/>
  <c r="V3807" i="1"/>
  <c r="W3807" i="1"/>
  <c r="X3807" i="1"/>
  <c r="Y3807" i="1"/>
  <c r="Z3807" i="1"/>
  <c r="AB3807" i="1"/>
  <c r="AF3807" i="1"/>
  <c r="AI3807" i="1"/>
  <c r="AE3808" i="1"/>
  <c r="AC3808" i="1"/>
  <c r="AJ3807" i="1"/>
  <c r="AK3807" i="1"/>
  <c r="AM3807" i="1"/>
  <c r="BF3807" i="1"/>
  <c r="BG3807" i="1"/>
  <c r="T3808" i="1"/>
  <c r="U3808" i="1"/>
  <c r="V3808" i="1"/>
  <c r="W3808" i="1"/>
  <c r="X3808" i="1"/>
  <c r="Y3808" i="1"/>
  <c r="Z3808" i="1"/>
  <c r="AB3808" i="1"/>
  <c r="AF3808" i="1"/>
  <c r="AI3808" i="1"/>
  <c r="AE3809" i="1"/>
  <c r="AC3809" i="1"/>
  <c r="AJ3808" i="1"/>
  <c r="AK3808" i="1"/>
  <c r="AM3808" i="1"/>
  <c r="BF3808" i="1"/>
  <c r="BG3808" i="1"/>
  <c r="T3809" i="1"/>
  <c r="U3809" i="1"/>
  <c r="V3809" i="1"/>
  <c r="W3809" i="1"/>
  <c r="X3809" i="1"/>
  <c r="Y3809" i="1"/>
  <c r="Z3809" i="1"/>
  <c r="AB3809" i="1"/>
  <c r="AF3809" i="1"/>
  <c r="AI3809" i="1"/>
  <c r="H3810" i="1"/>
  <c r="AE3810" i="1"/>
  <c r="I3810" i="1"/>
  <c r="J3810" i="1"/>
  <c r="K3810" i="1"/>
  <c r="AC3810" i="1"/>
  <c r="AJ3809" i="1"/>
  <c r="AK3809" i="1"/>
  <c r="AM3809" i="1"/>
  <c r="BG3809" i="1"/>
  <c r="T3810" i="1"/>
  <c r="U3810" i="1"/>
  <c r="V3810" i="1"/>
  <c r="W3810" i="1"/>
  <c r="X3810" i="1"/>
  <c r="Y3810" i="1"/>
  <c r="Z3810" i="1"/>
  <c r="AB3810" i="1"/>
  <c r="AF3810" i="1"/>
  <c r="AI3810" i="1"/>
  <c r="H3811" i="1"/>
  <c r="AE3811" i="1"/>
  <c r="I3811" i="1"/>
  <c r="J3811" i="1"/>
  <c r="K3811" i="1"/>
  <c r="AC3811" i="1"/>
  <c r="AJ3810" i="1"/>
  <c r="AK3810" i="1"/>
  <c r="AM3810" i="1"/>
  <c r="BF3810" i="1"/>
  <c r="BG3810" i="1"/>
  <c r="T3811" i="1"/>
  <c r="U3811" i="1"/>
  <c r="V3811" i="1"/>
  <c r="W3811" i="1"/>
  <c r="X3811" i="1"/>
  <c r="Y3811" i="1"/>
  <c r="Z3811" i="1"/>
  <c r="AB3811" i="1"/>
  <c r="AF3811" i="1"/>
  <c r="AI3811" i="1"/>
  <c r="AE3812" i="1"/>
  <c r="AC3812" i="1"/>
  <c r="AJ3811" i="1"/>
  <c r="AK3811" i="1"/>
  <c r="AM3811" i="1"/>
  <c r="BF3811" i="1"/>
  <c r="BG3811" i="1"/>
  <c r="T3812" i="1"/>
  <c r="U3812" i="1"/>
  <c r="V3812" i="1"/>
  <c r="W3812" i="1"/>
  <c r="X3812" i="1"/>
  <c r="Y3812" i="1"/>
  <c r="Z3812" i="1"/>
  <c r="AB3812" i="1"/>
  <c r="AF3812" i="1"/>
  <c r="AI3812" i="1"/>
  <c r="AE3813" i="1"/>
  <c r="AC3813" i="1"/>
  <c r="AJ3812" i="1"/>
  <c r="AK3812" i="1"/>
  <c r="AM3812" i="1"/>
  <c r="BF3812" i="1"/>
  <c r="BG3812" i="1"/>
  <c r="T3813" i="1"/>
  <c r="U3813" i="1"/>
  <c r="V3813" i="1"/>
  <c r="W3813" i="1"/>
  <c r="X3813" i="1"/>
  <c r="Y3813" i="1"/>
  <c r="Z3813" i="1"/>
  <c r="AB3813" i="1"/>
  <c r="AF3813" i="1"/>
  <c r="AI3813" i="1"/>
  <c r="AE3814" i="1"/>
  <c r="AC3814" i="1"/>
  <c r="AJ3813" i="1"/>
  <c r="AK3813" i="1"/>
  <c r="AM3813" i="1"/>
  <c r="BF3813" i="1"/>
  <c r="BG3813" i="1"/>
  <c r="T3814" i="1"/>
  <c r="U3814" i="1"/>
  <c r="V3814" i="1"/>
  <c r="W3814" i="1"/>
  <c r="X3814" i="1"/>
  <c r="Y3814" i="1"/>
  <c r="Z3814" i="1"/>
  <c r="AB3814" i="1"/>
  <c r="AF3814" i="1"/>
  <c r="AI3814" i="1"/>
  <c r="H3815" i="1"/>
  <c r="AE3815" i="1"/>
  <c r="I3815" i="1"/>
  <c r="J3815" i="1"/>
  <c r="K3815" i="1"/>
  <c r="AC3815" i="1"/>
  <c r="AJ3814" i="1"/>
  <c r="AK3814" i="1"/>
  <c r="AM3814" i="1"/>
  <c r="BG3814" i="1"/>
  <c r="T3815" i="1"/>
  <c r="U3815" i="1"/>
  <c r="V3815" i="1"/>
  <c r="W3815" i="1"/>
  <c r="X3815" i="1"/>
  <c r="Y3815" i="1"/>
  <c r="Z3815" i="1"/>
  <c r="AB3815" i="1"/>
  <c r="AF3815" i="1"/>
  <c r="AI3815" i="1"/>
  <c r="AE3816" i="1"/>
  <c r="AC3816" i="1"/>
  <c r="AJ3815" i="1"/>
  <c r="AK3815" i="1"/>
  <c r="AM3815" i="1"/>
  <c r="BF3815" i="1"/>
  <c r="BG3815" i="1"/>
  <c r="T3816" i="1"/>
  <c r="U3816" i="1"/>
  <c r="V3816" i="1"/>
  <c r="W3816" i="1"/>
  <c r="X3816" i="1"/>
  <c r="Y3816" i="1"/>
  <c r="Z3816" i="1"/>
  <c r="AB3816" i="1"/>
  <c r="AF3816" i="1"/>
  <c r="AI3816" i="1"/>
  <c r="AE3817" i="1"/>
  <c r="AC3817" i="1"/>
  <c r="AJ3816" i="1"/>
  <c r="AK3816" i="1"/>
  <c r="AM3816" i="1"/>
  <c r="BF3816" i="1"/>
  <c r="BG3816" i="1"/>
  <c r="T3817" i="1"/>
  <c r="U3817" i="1"/>
  <c r="V3817" i="1"/>
  <c r="W3817" i="1"/>
  <c r="X3817" i="1"/>
  <c r="Y3817" i="1"/>
  <c r="Z3817" i="1"/>
  <c r="AB3817" i="1"/>
  <c r="AF3817" i="1"/>
  <c r="AI3817" i="1"/>
  <c r="AE3818" i="1"/>
  <c r="AC3818" i="1"/>
  <c r="AJ3817" i="1"/>
  <c r="AK3817" i="1"/>
  <c r="AM3817" i="1"/>
  <c r="BF3817" i="1"/>
  <c r="BG3817" i="1"/>
  <c r="T3818" i="1"/>
  <c r="U3818" i="1"/>
  <c r="V3818" i="1"/>
  <c r="W3818" i="1"/>
  <c r="X3818" i="1"/>
  <c r="Y3818" i="1"/>
  <c r="Z3818" i="1"/>
  <c r="AB3818" i="1"/>
  <c r="AF3818" i="1"/>
  <c r="AI3818" i="1"/>
  <c r="H3819" i="1"/>
  <c r="AE3819" i="1"/>
  <c r="I3819" i="1"/>
  <c r="J3819" i="1"/>
  <c r="K3819" i="1"/>
  <c r="AC3819" i="1"/>
  <c r="AJ3818" i="1"/>
  <c r="AK3818" i="1"/>
  <c r="AM3818" i="1"/>
  <c r="BG3818" i="1"/>
  <c r="T3819" i="1"/>
  <c r="U3819" i="1"/>
  <c r="V3819" i="1"/>
  <c r="W3819" i="1"/>
  <c r="X3819" i="1"/>
  <c r="Y3819" i="1"/>
  <c r="Z3819" i="1"/>
  <c r="AB3819" i="1"/>
  <c r="AF3819" i="1"/>
  <c r="AI3819" i="1"/>
  <c r="H3820" i="1"/>
  <c r="AE3820" i="1"/>
  <c r="I3820" i="1"/>
  <c r="J3820" i="1"/>
  <c r="K3820" i="1"/>
  <c r="AC3820" i="1"/>
  <c r="AJ3819" i="1"/>
  <c r="AK3819" i="1"/>
  <c r="AM3819" i="1"/>
  <c r="BF3819" i="1"/>
  <c r="BG3819" i="1"/>
  <c r="T3820" i="1"/>
  <c r="U3820" i="1"/>
  <c r="V3820" i="1"/>
  <c r="W3820" i="1"/>
  <c r="X3820" i="1"/>
  <c r="Y3820" i="1"/>
  <c r="Z3820" i="1"/>
  <c r="AB3820" i="1"/>
  <c r="AF3820" i="1"/>
  <c r="AI3820" i="1"/>
  <c r="H3821" i="1"/>
  <c r="AE3821" i="1"/>
  <c r="I3821" i="1"/>
  <c r="J3821" i="1"/>
  <c r="K3821" i="1"/>
  <c r="AC3821" i="1"/>
  <c r="AJ3820" i="1"/>
  <c r="AK3820" i="1"/>
  <c r="AM3820" i="1"/>
  <c r="BF3820" i="1"/>
  <c r="BG3820" i="1"/>
  <c r="T3821" i="1"/>
  <c r="U3821" i="1"/>
  <c r="V3821" i="1"/>
  <c r="W3821" i="1"/>
  <c r="X3821" i="1"/>
  <c r="Y3821" i="1"/>
  <c r="Z3821" i="1"/>
  <c r="AB3821" i="1"/>
  <c r="AF3821" i="1"/>
  <c r="AI3821" i="1"/>
  <c r="H3822" i="1"/>
  <c r="AE3822" i="1"/>
  <c r="I3822" i="1"/>
  <c r="J3822" i="1"/>
  <c r="K3822" i="1"/>
  <c r="AC3822" i="1"/>
  <c r="AJ3821" i="1"/>
  <c r="AK3821" i="1"/>
  <c r="AM3821" i="1"/>
  <c r="BF3821" i="1"/>
  <c r="BG3821" i="1"/>
  <c r="T3822" i="1"/>
  <c r="U3822" i="1"/>
  <c r="V3822" i="1"/>
  <c r="W3822" i="1"/>
  <c r="X3822" i="1"/>
  <c r="Y3822" i="1"/>
  <c r="Z3822" i="1"/>
  <c r="AB3822" i="1"/>
  <c r="AF3822" i="1"/>
  <c r="AI3822" i="1"/>
  <c r="AE3823" i="1"/>
  <c r="AC3823" i="1"/>
  <c r="AJ3822" i="1"/>
  <c r="AK3822" i="1"/>
  <c r="AM3822" i="1"/>
  <c r="BF3822" i="1"/>
  <c r="BG3822" i="1"/>
  <c r="T3823" i="1"/>
  <c r="U3823" i="1"/>
  <c r="V3823" i="1"/>
  <c r="W3823" i="1"/>
  <c r="X3823" i="1"/>
  <c r="Y3823" i="1"/>
  <c r="Z3823" i="1"/>
  <c r="AB3823" i="1"/>
  <c r="AF3823" i="1"/>
  <c r="AI3823" i="1"/>
  <c r="AE3824" i="1"/>
  <c r="AC3824" i="1"/>
  <c r="AJ3823" i="1"/>
  <c r="AK3823" i="1"/>
  <c r="AM3823" i="1"/>
  <c r="BF3823" i="1"/>
  <c r="BG3823" i="1"/>
  <c r="T3824" i="1"/>
  <c r="U3824" i="1"/>
  <c r="V3824" i="1"/>
  <c r="W3824" i="1"/>
  <c r="X3824" i="1"/>
  <c r="Y3824" i="1"/>
  <c r="Z3824" i="1"/>
  <c r="AB3824" i="1"/>
  <c r="AF3824" i="1"/>
  <c r="AI3824" i="1"/>
  <c r="H3825" i="1"/>
  <c r="AE3825" i="1"/>
  <c r="I3825" i="1"/>
  <c r="J3825" i="1"/>
  <c r="K3825" i="1"/>
  <c r="AC3825" i="1"/>
  <c r="AJ3824" i="1"/>
  <c r="AK3824" i="1"/>
  <c r="AM3824" i="1"/>
  <c r="BG3824" i="1"/>
  <c r="T3825" i="1"/>
  <c r="U3825" i="1"/>
  <c r="V3825" i="1"/>
  <c r="W3825" i="1"/>
  <c r="X3825" i="1"/>
  <c r="Y3825" i="1"/>
  <c r="Z3825" i="1"/>
  <c r="AB3825" i="1"/>
  <c r="AF3825" i="1"/>
  <c r="AI3825" i="1"/>
  <c r="AE3826" i="1"/>
  <c r="AC3826" i="1"/>
  <c r="AJ3825" i="1"/>
  <c r="AK3825" i="1"/>
  <c r="AM3825" i="1"/>
  <c r="BF3825" i="1"/>
  <c r="BG3825" i="1"/>
  <c r="T3826" i="1"/>
  <c r="U3826" i="1"/>
  <c r="V3826" i="1"/>
  <c r="W3826" i="1"/>
  <c r="X3826" i="1"/>
  <c r="Y3826" i="1"/>
  <c r="Z3826" i="1"/>
  <c r="AB3826" i="1"/>
  <c r="AF3826" i="1"/>
  <c r="AI3826" i="1"/>
  <c r="AE3827" i="1"/>
  <c r="AC3827" i="1"/>
  <c r="AJ3826" i="1"/>
  <c r="AK3826" i="1"/>
  <c r="AM3826" i="1"/>
  <c r="BF3826" i="1"/>
  <c r="BG3826" i="1"/>
  <c r="T3827" i="1"/>
  <c r="U3827" i="1"/>
  <c r="V3827" i="1"/>
  <c r="W3827" i="1"/>
  <c r="X3827" i="1"/>
  <c r="Y3827" i="1"/>
  <c r="Z3827" i="1"/>
  <c r="AB3827" i="1"/>
  <c r="AF3827" i="1"/>
  <c r="AI3827" i="1"/>
  <c r="H3828" i="1"/>
  <c r="AE3828" i="1"/>
  <c r="I3828" i="1"/>
  <c r="J3828" i="1"/>
  <c r="K3828" i="1"/>
  <c r="AC3828" i="1"/>
  <c r="AJ3827" i="1"/>
  <c r="AK3827" i="1"/>
  <c r="AM3827" i="1"/>
  <c r="BG3827" i="1"/>
  <c r="T3828" i="1"/>
  <c r="U3828" i="1"/>
  <c r="V3828" i="1"/>
  <c r="W3828" i="1"/>
  <c r="X3828" i="1"/>
  <c r="Y3828" i="1"/>
  <c r="Z3828" i="1"/>
  <c r="AB3828" i="1"/>
  <c r="AF3828" i="1"/>
  <c r="AI3828" i="1"/>
  <c r="AE3829" i="1"/>
  <c r="AC3829" i="1"/>
  <c r="AJ3828" i="1"/>
  <c r="AK3828" i="1"/>
  <c r="AM3828" i="1"/>
  <c r="BF3828" i="1"/>
  <c r="BG3828" i="1"/>
  <c r="T3829" i="1"/>
  <c r="U3829" i="1"/>
  <c r="V3829" i="1"/>
  <c r="W3829" i="1"/>
  <c r="X3829" i="1"/>
  <c r="Y3829" i="1"/>
  <c r="Z3829" i="1"/>
  <c r="AB3829" i="1"/>
  <c r="AF3829" i="1"/>
  <c r="AI3829" i="1"/>
  <c r="AE3830" i="1"/>
  <c r="AC3830" i="1"/>
  <c r="AJ3829" i="1"/>
  <c r="AK3829" i="1"/>
  <c r="AM3829" i="1"/>
  <c r="BF3829" i="1"/>
  <c r="BG3829" i="1"/>
  <c r="T3830" i="1"/>
  <c r="U3830" i="1"/>
  <c r="V3830" i="1"/>
  <c r="W3830" i="1"/>
  <c r="X3830" i="1"/>
  <c r="Y3830" i="1"/>
  <c r="Z3830" i="1"/>
  <c r="AB3830" i="1"/>
  <c r="AF3830" i="1"/>
  <c r="AI3830" i="1"/>
  <c r="AE3831" i="1"/>
  <c r="AC3831" i="1"/>
  <c r="AJ3830" i="1"/>
  <c r="AK3830" i="1"/>
  <c r="AM3830" i="1"/>
  <c r="BF3830" i="1"/>
  <c r="BG3830" i="1"/>
  <c r="T3831" i="1"/>
  <c r="U3831" i="1"/>
  <c r="V3831" i="1"/>
  <c r="W3831" i="1"/>
  <c r="X3831" i="1"/>
  <c r="Y3831" i="1"/>
  <c r="Z3831" i="1"/>
  <c r="AB3831" i="1"/>
  <c r="AF3831" i="1"/>
  <c r="AI3831" i="1"/>
  <c r="H3832" i="1"/>
  <c r="AE3832" i="1"/>
  <c r="I3832" i="1"/>
  <c r="J3832" i="1"/>
  <c r="K3832" i="1"/>
  <c r="AC3832" i="1"/>
  <c r="AJ3831" i="1"/>
  <c r="AK3831" i="1"/>
  <c r="AM3831" i="1"/>
  <c r="BG3831" i="1"/>
  <c r="T3832" i="1"/>
  <c r="U3832" i="1"/>
  <c r="V3832" i="1"/>
  <c r="W3832" i="1"/>
  <c r="X3832" i="1"/>
  <c r="Y3832" i="1"/>
  <c r="Z3832" i="1"/>
  <c r="AB3832" i="1"/>
  <c r="AF3832" i="1"/>
  <c r="AI3832" i="1"/>
  <c r="AE3833" i="1"/>
  <c r="AC3833" i="1"/>
  <c r="AJ3832" i="1"/>
  <c r="AK3832" i="1"/>
  <c r="AM3832" i="1"/>
  <c r="BF3832" i="1"/>
  <c r="BG3832" i="1"/>
  <c r="T3833" i="1"/>
  <c r="U3833" i="1"/>
  <c r="V3833" i="1"/>
  <c r="W3833" i="1"/>
  <c r="X3833" i="1"/>
  <c r="Y3833" i="1"/>
  <c r="Z3833" i="1"/>
  <c r="AB3833" i="1"/>
  <c r="AF3833" i="1"/>
  <c r="AI3833" i="1"/>
  <c r="AE3834" i="1"/>
  <c r="AC3834" i="1"/>
  <c r="AJ3833" i="1"/>
  <c r="AK3833" i="1"/>
  <c r="AM3833" i="1"/>
  <c r="BF3833" i="1"/>
  <c r="BG3833" i="1"/>
  <c r="T3834" i="1"/>
  <c r="U3834" i="1"/>
  <c r="V3834" i="1"/>
  <c r="W3834" i="1"/>
  <c r="X3834" i="1"/>
  <c r="Y3834" i="1"/>
  <c r="Z3834" i="1"/>
  <c r="AB3834" i="1"/>
  <c r="AF3834" i="1"/>
  <c r="AI3834" i="1"/>
  <c r="AE3835" i="1"/>
  <c r="AC3835" i="1"/>
  <c r="AJ3834" i="1"/>
  <c r="AK3834" i="1"/>
  <c r="AM3834" i="1"/>
  <c r="BF3834" i="1"/>
  <c r="BG3834" i="1"/>
  <c r="T3835" i="1"/>
  <c r="U3835" i="1"/>
  <c r="V3835" i="1"/>
  <c r="W3835" i="1"/>
  <c r="X3835" i="1"/>
  <c r="Y3835" i="1"/>
  <c r="Z3835" i="1"/>
  <c r="AB3835" i="1"/>
  <c r="AF3835" i="1"/>
  <c r="AI3835" i="1"/>
  <c r="H3836" i="1"/>
  <c r="AE3836" i="1"/>
  <c r="I3836" i="1"/>
  <c r="J3836" i="1"/>
  <c r="K3836" i="1"/>
  <c r="AC3836" i="1"/>
  <c r="AJ3835" i="1"/>
  <c r="AK3835" i="1"/>
  <c r="AM3835" i="1"/>
  <c r="BG3835" i="1"/>
  <c r="T3836" i="1"/>
  <c r="U3836" i="1"/>
  <c r="V3836" i="1"/>
  <c r="W3836" i="1"/>
  <c r="X3836" i="1"/>
  <c r="Y3836" i="1"/>
  <c r="Z3836" i="1"/>
  <c r="AB3836" i="1"/>
  <c r="AF3836" i="1"/>
  <c r="AI3836" i="1"/>
  <c r="AE3837" i="1"/>
  <c r="AC3837" i="1"/>
  <c r="AJ3836" i="1"/>
  <c r="AK3836" i="1"/>
  <c r="AM3836" i="1"/>
  <c r="BF3836" i="1"/>
  <c r="BG3836" i="1"/>
  <c r="T3837" i="1"/>
  <c r="U3837" i="1"/>
  <c r="V3837" i="1"/>
  <c r="W3837" i="1"/>
  <c r="X3837" i="1"/>
  <c r="Y3837" i="1"/>
  <c r="Z3837" i="1"/>
  <c r="AB3837" i="1"/>
  <c r="AF3837" i="1"/>
  <c r="AI3837" i="1"/>
  <c r="AE3838" i="1"/>
  <c r="AC3838" i="1"/>
  <c r="AJ3837" i="1"/>
  <c r="AK3837" i="1"/>
  <c r="AM3837" i="1"/>
  <c r="BF3837" i="1"/>
  <c r="BG3837" i="1"/>
  <c r="T3838" i="1"/>
  <c r="U3838" i="1"/>
  <c r="V3838" i="1"/>
  <c r="W3838" i="1"/>
  <c r="X3838" i="1"/>
  <c r="Y3838" i="1"/>
  <c r="Z3838" i="1"/>
  <c r="AB3838" i="1"/>
  <c r="AF3838" i="1"/>
  <c r="AI3838" i="1"/>
  <c r="H3839" i="1"/>
  <c r="AE3839" i="1"/>
  <c r="I3839" i="1"/>
  <c r="J3839" i="1"/>
  <c r="K3839" i="1"/>
  <c r="AC3839" i="1"/>
  <c r="AJ3838" i="1"/>
  <c r="AK3838" i="1"/>
  <c r="AM3838" i="1"/>
  <c r="BG3838" i="1"/>
  <c r="T3839" i="1"/>
  <c r="U3839" i="1"/>
  <c r="V3839" i="1"/>
  <c r="W3839" i="1"/>
  <c r="X3839" i="1"/>
  <c r="Y3839" i="1"/>
  <c r="Z3839" i="1"/>
  <c r="AB3839" i="1"/>
  <c r="AF3839" i="1"/>
  <c r="AI3839" i="1"/>
  <c r="AE3840" i="1"/>
  <c r="AC3840" i="1"/>
  <c r="AJ3839" i="1"/>
  <c r="AK3839" i="1"/>
  <c r="AM3839" i="1"/>
  <c r="BF3839" i="1"/>
  <c r="BG3839" i="1"/>
  <c r="T3840" i="1"/>
  <c r="U3840" i="1"/>
  <c r="V3840" i="1"/>
  <c r="W3840" i="1"/>
  <c r="X3840" i="1"/>
  <c r="Y3840" i="1"/>
  <c r="Z3840" i="1"/>
  <c r="AB3840" i="1"/>
  <c r="AF3840" i="1"/>
  <c r="AI3840" i="1"/>
  <c r="AE3841" i="1"/>
  <c r="AC3841" i="1"/>
  <c r="AJ3840" i="1"/>
  <c r="AK3840" i="1"/>
  <c r="AM3840" i="1"/>
  <c r="BF3840" i="1"/>
  <c r="BG3840" i="1"/>
  <c r="T3841" i="1"/>
  <c r="U3841" i="1"/>
  <c r="V3841" i="1"/>
  <c r="W3841" i="1"/>
  <c r="X3841" i="1"/>
  <c r="Y3841" i="1"/>
  <c r="Z3841" i="1"/>
  <c r="AB3841" i="1"/>
  <c r="AF3841" i="1"/>
  <c r="AI3841" i="1"/>
  <c r="H3842" i="1"/>
  <c r="AE3842" i="1"/>
  <c r="I3842" i="1"/>
  <c r="J3842" i="1"/>
  <c r="K3842" i="1"/>
  <c r="AC3842" i="1"/>
  <c r="AJ3841" i="1"/>
  <c r="AK3841" i="1"/>
  <c r="AM3841" i="1"/>
  <c r="BG3841" i="1"/>
  <c r="T3842" i="1"/>
  <c r="U3842" i="1"/>
  <c r="V3842" i="1"/>
  <c r="W3842" i="1"/>
  <c r="X3842" i="1"/>
  <c r="Y3842" i="1"/>
  <c r="Z3842" i="1"/>
  <c r="AB3842" i="1"/>
  <c r="AF3842" i="1"/>
  <c r="AI3842" i="1"/>
  <c r="AE3843" i="1"/>
  <c r="AC3843" i="1"/>
  <c r="AJ3842" i="1"/>
  <c r="AK3842" i="1"/>
  <c r="AM3842" i="1"/>
  <c r="BF3842" i="1"/>
  <c r="BG3842" i="1"/>
  <c r="T3843" i="1"/>
  <c r="U3843" i="1"/>
  <c r="V3843" i="1"/>
  <c r="W3843" i="1"/>
  <c r="X3843" i="1"/>
  <c r="Y3843" i="1"/>
  <c r="Z3843" i="1"/>
  <c r="AB3843" i="1"/>
  <c r="AF3843" i="1"/>
  <c r="AI3843" i="1"/>
  <c r="AE3844" i="1"/>
  <c r="AC3844" i="1"/>
  <c r="AJ3843" i="1"/>
  <c r="AK3843" i="1"/>
  <c r="AM3843" i="1"/>
  <c r="BF3843" i="1"/>
  <c r="BG3843" i="1"/>
  <c r="T3844" i="1"/>
  <c r="U3844" i="1"/>
  <c r="V3844" i="1"/>
  <c r="W3844" i="1"/>
  <c r="X3844" i="1"/>
  <c r="Y3844" i="1"/>
  <c r="Z3844" i="1"/>
  <c r="AB3844" i="1"/>
  <c r="AF3844" i="1"/>
  <c r="AI3844" i="1"/>
  <c r="AE3845" i="1"/>
  <c r="AC3845" i="1"/>
  <c r="AJ3844" i="1"/>
  <c r="AK3844" i="1"/>
  <c r="AM3844" i="1"/>
  <c r="BF3844" i="1"/>
  <c r="BG3844" i="1"/>
  <c r="T3845" i="1"/>
  <c r="U3845" i="1"/>
  <c r="V3845" i="1"/>
  <c r="W3845" i="1"/>
  <c r="X3845" i="1"/>
  <c r="Y3845" i="1"/>
  <c r="Z3845" i="1"/>
  <c r="AB3845" i="1"/>
  <c r="AF3845" i="1"/>
  <c r="AI3845" i="1"/>
  <c r="H3846" i="1"/>
  <c r="AE3846" i="1"/>
  <c r="I3846" i="1"/>
  <c r="J3846" i="1"/>
  <c r="K3846" i="1"/>
  <c r="AC3846" i="1"/>
  <c r="AJ3845" i="1"/>
  <c r="AK3845" i="1"/>
  <c r="AM3845" i="1"/>
  <c r="BG3845" i="1"/>
  <c r="T3846" i="1"/>
  <c r="U3846" i="1"/>
  <c r="V3846" i="1"/>
  <c r="W3846" i="1"/>
  <c r="X3846" i="1"/>
  <c r="Y3846" i="1"/>
  <c r="Z3846" i="1"/>
  <c r="AB3846" i="1"/>
  <c r="AF3846" i="1"/>
  <c r="AI3846" i="1"/>
  <c r="AE3847" i="1"/>
  <c r="AC3847" i="1"/>
  <c r="AJ3846" i="1"/>
  <c r="AK3846" i="1"/>
  <c r="AM3846" i="1"/>
  <c r="BF3846" i="1"/>
  <c r="BG3846" i="1"/>
  <c r="T3847" i="1"/>
  <c r="U3847" i="1"/>
  <c r="V3847" i="1"/>
  <c r="W3847" i="1"/>
  <c r="X3847" i="1"/>
  <c r="Y3847" i="1"/>
  <c r="Z3847" i="1"/>
  <c r="AB3847" i="1"/>
  <c r="AF3847" i="1"/>
  <c r="AI3847" i="1"/>
  <c r="AE3848" i="1"/>
  <c r="AC3848" i="1"/>
  <c r="AJ3847" i="1"/>
  <c r="AK3847" i="1"/>
  <c r="AM3847" i="1"/>
  <c r="BF3847" i="1"/>
  <c r="BG3847" i="1"/>
  <c r="T3848" i="1"/>
  <c r="U3848" i="1"/>
  <c r="V3848" i="1"/>
  <c r="W3848" i="1"/>
  <c r="X3848" i="1"/>
  <c r="Y3848" i="1"/>
  <c r="Z3848" i="1"/>
  <c r="AB3848" i="1"/>
  <c r="AF3848" i="1"/>
  <c r="AI3848" i="1"/>
  <c r="H3849" i="1"/>
  <c r="AE3849" i="1"/>
  <c r="I3849" i="1"/>
  <c r="J3849" i="1"/>
  <c r="K3849" i="1"/>
  <c r="AC3849" i="1"/>
  <c r="AJ3848" i="1"/>
  <c r="AK3848" i="1"/>
  <c r="AM3848" i="1"/>
  <c r="BG3848" i="1"/>
  <c r="T3849" i="1"/>
  <c r="U3849" i="1"/>
  <c r="V3849" i="1"/>
  <c r="W3849" i="1"/>
  <c r="X3849" i="1"/>
  <c r="Y3849" i="1"/>
  <c r="Z3849" i="1"/>
  <c r="AB3849" i="1"/>
  <c r="AF3849" i="1"/>
  <c r="AI3849" i="1"/>
  <c r="AE3850" i="1"/>
  <c r="AC3850" i="1"/>
  <c r="AJ3849" i="1"/>
  <c r="AK3849" i="1"/>
  <c r="AM3849" i="1"/>
  <c r="BF3849" i="1"/>
  <c r="BG3849" i="1"/>
  <c r="T3850" i="1"/>
  <c r="U3850" i="1"/>
  <c r="V3850" i="1"/>
  <c r="W3850" i="1"/>
  <c r="X3850" i="1"/>
  <c r="Y3850" i="1"/>
  <c r="Z3850" i="1"/>
  <c r="AB3850" i="1"/>
  <c r="AF3850" i="1"/>
  <c r="AI3850" i="1"/>
  <c r="AE3851" i="1"/>
  <c r="AC3851" i="1"/>
  <c r="AJ3850" i="1"/>
  <c r="AK3850" i="1"/>
  <c r="AM3850" i="1"/>
  <c r="BF3850" i="1"/>
  <c r="BG3850" i="1"/>
  <c r="T3851" i="1"/>
  <c r="U3851" i="1"/>
  <c r="V3851" i="1"/>
  <c r="W3851" i="1"/>
  <c r="X3851" i="1"/>
  <c r="Y3851" i="1"/>
  <c r="Z3851" i="1"/>
  <c r="AB3851" i="1"/>
  <c r="AF3851" i="1"/>
  <c r="AI3851" i="1"/>
  <c r="AE3852" i="1"/>
  <c r="AC3852" i="1"/>
  <c r="AJ3851" i="1"/>
  <c r="AK3851" i="1"/>
  <c r="AM3851" i="1"/>
  <c r="BF3851" i="1"/>
  <c r="BG3851" i="1"/>
  <c r="T3852" i="1"/>
  <c r="U3852" i="1"/>
  <c r="V3852" i="1"/>
  <c r="W3852" i="1"/>
  <c r="X3852" i="1"/>
  <c r="Y3852" i="1"/>
  <c r="Z3852" i="1"/>
  <c r="AB3852" i="1"/>
  <c r="AF3852" i="1"/>
  <c r="AI3852" i="1"/>
  <c r="H3853" i="1"/>
  <c r="AE3853" i="1"/>
  <c r="I3853" i="1"/>
  <c r="J3853" i="1"/>
  <c r="K3853" i="1"/>
  <c r="AC3853" i="1"/>
  <c r="AJ3852" i="1"/>
  <c r="AK3852" i="1"/>
  <c r="AM3852" i="1"/>
  <c r="BG3852" i="1"/>
  <c r="T3853" i="1"/>
  <c r="U3853" i="1"/>
  <c r="V3853" i="1"/>
  <c r="W3853" i="1"/>
  <c r="X3853" i="1"/>
  <c r="Y3853" i="1"/>
  <c r="Z3853" i="1"/>
  <c r="AB3853" i="1"/>
  <c r="AF3853" i="1"/>
  <c r="AI3853" i="1"/>
  <c r="AE3854" i="1"/>
  <c r="AC3854" i="1"/>
  <c r="AJ3853" i="1"/>
  <c r="AK3853" i="1"/>
  <c r="AM3853" i="1"/>
  <c r="BF3853" i="1"/>
  <c r="BG3853" i="1"/>
  <c r="T3854" i="1"/>
  <c r="U3854" i="1"/>
  <c r="V3854" i="1"/>
  <c r="W3854" i="1"/>
  <c r="X3854" i="1"/>
  <c r="Y3854" i="1"/>
  <c r="Z3854" i="1"/>
  <c r="AB3854" i="1"/>
  <c r="AF3854" i="1"/>
  <c r="AI3854" i="1"/>
  <c r="AE3855" i="1"/>
  <c r="AC3855" i="1"/>
  <c r="AJ3854" i="1"/>
  <c r="AK3854" i="1"/>
  <c r="AM3854" i="1"/>
  <c r="BF3854" i="1"/>
  <c r="BG3854" i="1"/>
  <c r="T3855" i="1"/>
  <c r="U3855" i="1"/>
  <c r="V3855" i="1"/>
  <c r="W3855" i="1"/>
  <c r="X3855" i="1"/>
  <c r="Y3855" i="1"/>
  <c r="Z3855" i="1"/>
  <c r="AB3855" i="1"/>
  <c r="AF3855" i="1"/>
  <c r="AI3855" i="1"/>
  <c r="H3856" i="1"/>
  <c r="AE3856" i="1"/>
  <c r="I3856" i="1"/>
  <c r="J3856" i="1"/>
  <c r="K3856" i="1"/>
  <c r="AC3856" i="1"/>
  <c r="AJ3855" i="1"/>
  <c r="AK3855" i="1"/>
  <c r="AM3855" i="1"/>
  <c r="BG3855" i="1"/>
  <c r="T3856" i="1"/>
  <c r="U3856" i="1"/>
  <c r="V3856" i="1"/>
  <c r="W3856" i="1"/>
  <c r="X3856" i="1"/>
  <c r="Y3856" i="1"/>
  <c r="Z3856" i="1"/>
  <c r="AB3856" i="1"/>
  <c r="AF3856" i="1"/>
  <c r="AI3856" i="1"/>
  <c r="AE3857" i="1"/>
  <c r="AC3857" i="1"/>
  <c r="AJ3856" i="1"/>
  <c r="AK3856" i="1"/>
  <c r="AM3856" i="1"/>
  <c r="BF3856" i="1"/>
  <c r="BG3856" i="1"/>
  <c r="T3857" i="1"/>
  <c r="U3857" i="1"/>
  <c r="V3857" i="1"/>
  <c r="W3857" i="1"/>
  <c r="X3857" i="1"/>
  <c r="Y3857" i="1"/>
  <c r="Z3857" i="1"/>
  <c r="AB3857" i="1"/>
  <c r="AF3857" i="1"/>
  <c r="AI3857" i="1"/>
  <c r="AE3858" i="1"/>
  <c r="AC3858" i="1"/>
  <c r="AJ3857" i="1"/>
  <c r="AK3857" i="1"/>
  <c r="AM3857" i="1"/>
  <c r="BF3857" i="1"/>
  <c r="BG3857" i="1"/>
  <c r="T3858" i="1"/>
  <c r="U3858" i="1"/>
  <c r="V3858" i="1"/>
  <c r="W3858" i="1"/>
  <c r="X3858" i="1"/>
  <c r="Y3858" i="1"/>
  <c r="Z3858" i="1"/>
  <c r="AB3858" i="1"/>
  <c r="AF3858" i="1"/>
  <c r="AI3858" i="1"/>
  <c r="H3859" i="1"/>
  <c r="AE3859" i="1"/>
  <c r="I3859" i="1"/>
  <c r="J3859" i="1"/>
  <c r="K3859" i="1"/>
  <c r="AC3859" i="1"/>
  <c r="AJ3858" i="1"/>
  <c r="AK3858" i="1"/>
  <c r="AM3858" i="1"/>
  <c r="BG3858" i="1"/>
  <c r="T3859" i="1"/>
  <c r="U3859" i="1"/>
  <c r="V3859" i="1"/>
  <c r="W3859" i="1"/>
  <c r="X3859" i="1"/>
  <c r="Y3859" i="1"/>
  <c r="Z3859" i="1"/>
  <c r="AB3859" i="1"/>
  <c r="AF3859" i="1"/>
  <c r="AI3859" i="1"/>
  <c r="AE3860" i="1"/>
  <c r="AC3860" i="1"/>
  <c r="AJ3859" i="1"/>
  <c r="AK3859" i="1"/>
  <c r="AM3859" i="1"/>
  <c r="BF3859" i="1"/>
  <c r="BG3859" i="1"/>
  <c r="T3860" i="1"/>
  <c r="U3860" i="1"/>
  <c r="V3860" i="1"/>
  <c r="W3860" i="1"/>
  <c r="X3860" i="1"/>
  <c r="Y3860" i="1"/>
  <c r="Z3860" i="1"/>
  <c r="AB3860" i="1"/>
  <c r="AF3860" i="1"/>
  <c r="AI3860" i="1"/>
  <c r="AE3861" i="1"/>
  <c r="AC3861" i="1"/>
  <c r="AJ3860" i="1"/>
  <c r="AK3860" i="1"/>
  <c r="AM3860" i="1"/>
  <c r="BF3860" i="1"/>
  <c r="BG3860" i="1"/>
  <c r="T3861" i="1"/>
  <c r="U3861" i="1"/>
  <c r="V3861" i="1"/>
  <c r="W3861" i="1"/>
  <c r="X3861" i="1"/>
  <c r="Y3861" i="1"/>
  <c r="Z3861" i="1"/>
  <c r="AB3861" i="1"/>
  <c r="AF3861" i="1"/>
  <c r="AI3861" i="1"/>
  <c r="AE3862" i="1"/>
  <c r="AC3862" i="1"/>
  <c r="AJ3861" i="1"/>
  <c r="AK3861" i="1"/>
  <c r="AM3861" i="1"/>
  <c r="BF3861" i="1"/>
  <c r="BG3861" i="1"/>
  <c r="T3862" i="1"/>
  <c r="U3862" i="1"/>
  <c r="V3862" i="1"/>
  <c r="W3862" i="1"/>
  <c r="X3862" i="1"/>
  <c r="Y3862" i="1"/>
  <c r="Z3862" i="1"/>
  <c r="AB3862" i="1"/>
  <c r="AF3862" i="1"/>
  <c r="AI3862" i="1"/>
  <c r="H3863" i="1"/>
  <c r="AE3863" i="1"/>
  <c r="I3863" i="1"/>
  <c r="J3863" i="1"/>
  <c r="K3863" i="1"/>
  <c r="AC3863" i="1"/>
  <c r="AJ3862" i="1"/>
  <c r="AK3862" i="1"/>
  <c r="AM3862" i="1"/>
  <c r="BG3862" i="1"/>
  <c r="T3863" i="1"/>
  <c r="U3863" i="1"/>
  <c r="V3863" i="1"/>
  <c r="W3863" i="1"/>
  <c r="X3863" i="1"/>
  <c r="Y3863" i="1"/>
  <c r="Z3863" i="1"/>
  <c r="AB3863" i="1"/>
  <c r="AF3863" i="1"/>
  <c r="AI3863" i="1"/>
  <c r="AE3864" i="1"/>
  <c r="AC3864" i="1"/>
  <c r="AJ3863" i="1"/>
  <c r="AK3863" i="1"/>
  <c r="AM3863" i="1"/>
  <c r="BF3863" i="1"/>
  <c r="BG3863" i="1"/>
  <c r="T3864" i="1"/>
  <c r="U3864" i="1"/>
  <c r="V3864" i="1"/>
  <c r="W3864" i="1"/>
  <c r="X3864" i="1"/>
  <c r="Y3864" i="1"/>
  <c r="Z3864" i="1"/>
  <c r="AB3864" i="1"/>
  <c r="AF3864" i="1"/>
  <c r="AI3864" i="1"/>
  <c r="AE3865" i="1"/>
  <c r="AC3865" i="1"/>
  <c r="AJ3864" i="1"/>
  <c r="AK3864" i="1"/>
  <c r="AM3864" i="1"/>
  <c r="BF3864" i="1"/>
  <c r="BG3864" i="1"/>
  <c r="T3865" i="1"/>
  <c r="U3865" i="1"/>
  <c r="V3865" i="1"/>
  <c r="W3865" i="1"/>
  <c r="X3865" i="1"/>
  <c r="Y3865" i="1"/>
  <c r="Z3865" i="1"/>
  <c r="AB3865" i="1"/>
  <c r="AF3865" i="1"/>
  <c r="AI3865" i="1"/>
  <c r="AE3866" i="1"/>
  <c r="AC3866" i="1"/>
  <c r="AJ3865" i="1"/>
  <c r="AK3865" i="1"/>
  <c r="AM3865" i="1"/>
  <c r="BF3865" i="1"/>
  <c r="BG3865" i="1"/>
  <c r="T3866" i="1"/>
  <c r="U3866" i="1"/>
  <c r="V3866" i="1"/>
  <c r="W3866" i="1"/>
  <c r="X3866" i="1"/>
  <c r="Y3866" i="1"/>
  <c r="Z3866" i="1"/>
  <c r="AB3866" i="1"/>
  <c r="AF3866" i="1"/>
  <c r="AI3866" i="1"/>
  <c r="H3867" i="1"/>
  <c r="AE3867" i="1"/>
  <c r="I3867" i="1"/>
  <c r="J3867" i="1"/>
  <c r="K3867" i="1"/>
  <c r="AC3867" i="1"/>
  <c r="AJ3866" i="1"/>
  <c r="AK3866" i="1"/>
  <c r="AM3866" i="1"/>
  <c r="BG3866" i="1"/>
  <c r="T3867" i="1"/>
  <c r="U3867" i="1"/>
  <c r="V3867" i="1"/>
  <c r="W3867" i="1"/>
  <c r="X3867" i="1"/>
  <c r="Y3867" i="1"/>
  <c r="Z3867" i="1"/>
  <c r="AB3867" i="1"/>
  <c r="AF3867" i="1"/>
  <c r="AI3867" i="1"/>
  <c r="H3868" i="1"/>
  <c r="AE3868" i="1"/>
  <c r="I3868" i="1"/>
  <c r="J3868" i="1"/>
  <c r="K3868" i="1"/>
  <c r="AC3868" i="1"/>
  <c r="AJ3867" i="1"/>
  <c r="AK3867" i="1"/>
  <c r="AM3867" i="1"/>
  <c r="BF3867" i="1"/>
  <c r="BG3867" i="1"/>
  <c r="T3868" i="1"/>
  <c r="U3868" i="1"/>
  <c r="V3868" i="1"/>
  <c r="W3868" i="1"/>
  <c r="X3868" i="1"/>
  <c r="Y3868" i="1"/>
  <c r="Z3868" i="1"/>
  <c r="AB3868" i="1"/>
  <c r="AF3868" i="1"/>
  <c r="AI3868" i="1"/>
  <c r="AE3869" i="1"/>
  <c r="AC3869" i="1"/>
  <c r="AJ3868" i="1"/>
  <c r="AK3868" i="1"/>
  <c r="AM3868" i="1"/>
  <c r="BF3868" i="1"/>
  <c r="BG3868" i="1"/>
  <c r="T3869" i="1"/>
  <c r="U3869" i="1"/>
  <c r="V3869" i="1"/>
  <c r="W3869" i="1"/>
  <c r="X3869" i="1"/>
  <c r="Y3869" i="1"/>
  <c r="Z3869" i="1"/>
  <c r="AB3869" i="1"/>
  <c r="AF3869" i="1"/>
  <c r="AI3869" i="1"/>
  <c r="AE3870" i="1"/>
  <c r="AC3870" i="1"/>
  <c r="AJ3869" i="1"/>
  <c r="AK3869" i="1"/>
  <c r="AM3869" i="1"/>
  <c r="BF3869" i="1"/>
  <c r="BG3869" i="1"/>
  <c r="T3870" i="1"/>
  <c r="U3870" i="1"/>
  <c r="V3870" i="1"/>
  <c r="W3870" i="1"/>
  <c r="X3870" i="1"/>
  <c r="Y3870" i="1"/>
  <c r="Z3870" i="1"/>
  <c r="AB3870" i="1"/>
  <c r="AF3870" i="1"/>
  <c r="AI3870" i="1"/>
  <c r="AE3871" i="1"/>
  <c r="AC3871" i="1"/>
  <c r="AJ3870" i="1"/>
  <c r="AK3870" i="1"/>
  <c r="AM3870" i="1"/>
  <c r="BF3870" i="1"/>
  <c r="BG3870" i="1"/>
  <c r="T3871" i="1"/>
  <c r="U3871" i="1"/>
  <c r="V3871" i="1"/>
  <c r="W3871" i="1"/>
  <c r="X3871" i="1"/>
  <c r="Y3871" i="1"/>
  <c r="Z3871" i="1"/>
  <c r="AB3871" i="1"/>
  <c r="AF3871" i="1"/>
  <c r="AI3871" i="1"/>
  <c r="H3872" i="1"/>
  <c r="AE3872" i="1"/>
  <c r="I3872" i="1"/>
  <c r="J3872" i="1"/>
  <c r="K3872" i="1"/>
  <c r="AC3872" i="1"/>
  <c r="AJ3871" i="1"/>
  <c r="AK3871" i="1"/>
  <c r="AM3871" i="1"/>
  <c r="BG3871" i="1"/>
  <c r="T3872" i="1"/>
  <c r="U3872" i="1"/>
  <c r="V3872" i="1"/>
  <c r="W3872" i="1"/>
  <c r="X3872" i="1"/>
  <c r="Y3872" i="1"/>
  <c r="Z3872" i="1"/>
  <c r="AB3872" i="1"/>
  <c r="AF3872" i="1"/>
  <c r="AI3872" i="1"/>
  <c r="AE3873" i="1"/>
  <c r="AC3873" i="1"/>
  <c r="AJ3872" i="1"/>
  <c r="AK3872" i="1"/>
  <c r="AM3872" i="1"/>
  <c r="BF3872" i="1"/>
  <c r="BG3872" i="1"/>
  <c r="T3873" i="1"/>
  <c r="U3873" i="1"/>
  <c r="V3873" i="1"/>
  <c r="W3873" i="1"/>
  <c r="X3873" i="1"/>
  <c r="Y3873" i="1"/>
  <c r="Z3873" i="1"/>
  <c r="AB3873" i="1"/>
  <c r="AF3873" i="1"/>
  <c r="AI3873" i="1"/>
  <c r="AE3874" i="1"/>
  <c r="AC3874" i="1"/>
  <c r="AJ3873" i="1"/>
  <c r="AK3873" i="1"/>
  <c r="AM3873" i="1"/>
  <c r="BF3873" i="1"/>
  <c r="BG3873" i="1"/>
  <c r="T3874" i="1"/>
  <c r="U3874" i="1"/>
  <c r="V3874" i="1"/>
  <c r="W3874" i="1"/>
  <c r="X3874" i="1"/>
  <c r="Y3874" i="1"/>
  <c r="Z3874" i="1"/>
  <c r="AB3874" i="1"/>
  <c r="AF3874" i="1"/>
  <c r="AI3874" i="1"/>
  <c r="AE3875" i="1"/>
  <c r="AC3875" i="1"/>
  <c r="AJ3874" i="1"/>
  <c r="AK3874" i="1"/>
  <c r="AM3874" i="1"/>
  <c r="BF3874" i="1"/>
  <c r="BG3874" i="1"/>
  <c r="T3875" i="1"/>
  <c r="U3875" i="1"/>
  <c r="V3875" i="1"/>
  <c r="W3875" i="1"/>
  <c r="X3875" i="1"/>
  <c r="Y3875" i="1"/>
  <c r="Z3875" i="1"/>
  <c r="AB3875" i="1"/>
  <c r="AF3875" i="1"/>
  <c r="AI3875" i="1"/>
  <c r="H3876" i="1"/>
  <c r="AE3876" i="1"/>
  <c r="I3876" i="1"/>
  <c r="J3876" i="1"/>
  <c r="K3876" i="1"/>
  <c r="AC3876" i="1"/>
  <c r="AJ3875" i="1"/>
  <c r="AK3875" i="1"/>
  <c r="AM3875" i="1"/>
  <c r="BG3875" i="1"/>
  <c r="T3876" i="1"/>
  <c r="U3876" i="1"/>
  <c r="V3876" i="1"/>
  <c r="W3876" i="1"/>
  <c r="X3876" i="1"/>
  <c r="Y3876" i="1"/>
  <c r="Z3876" i="1"/>
  <c r="AB3876" i="1"/>
  <c r="AF3876" i="1"/>
  <c r="AI3876" i="1"/>
  <c r="AE3877" i="1"/>
  <c r="AC3877" i="1"/>
  <c r="AJ3876" i="1"/>
  <c r="AK3876" i="1"/>
  <c r="AM3876" i="1"/>
  <c r="BF3876" i="1"/>
  <c r="BG3876" i="1"/>
  <c r="T3877" i="1"/>
  <c r="U3877" i="1"/>
  <c r="V3877" i="1"/>
  <c r="W3877" i="1"/>
  <c r="X3877" i="1"/>
  <c r="Y3877" i="1"/>
  <c r="Z3877" i="1"/>
  <c r="AB3877" i="1"/>
  <c r="AF3877" i="1"/>
  <c r="AI3877" i="1"/>
  <c r="AE3878" i="1"/>
  <c r="AC3878" i="1"/>
  <c r="AJ3877" i="1"/>
  <c r="AK3877" i="1"/>
  <c r="AM3877" i="1"/>
  <c r="BF3877" i="1"/>
  <c r="BG3877" i="1"/>
  <c r="T3878" i="1"/>
  <c r="U3878" i="1"/>
  <c r="V3878" i="1"/>
  <c r="W3878" i="1"/>
  <c r="X3878" i="1"/>
  <c r="Y3878" i="1"/>
  <c r="Z3878" i="1"/>
  <c r="AB3878" i="1"/>
  <c r="AF3878" i="1"/>
  <c r="AI3878" i="1"/>
  <c r="H3879" i="1"/>
  <c r="AE3879" i="1"/>
  <c r="I3879" i="1"/>
  <c r="J3879" i="1"/>
  <c r="K3879" i="1"/>
  <c r="AC3879" i="1"/>
  <c r="AJ3878" i="1"/>
  <c r="AK3878" i="1"/>
  <c r="AM3878" i="1"/>
  <c r="BG3878" i="1"/>
  <c r="T3879" i="1"/>
  <c r="U3879" i="1"/>
  <c r="V3879" i="1"/>
  <c r="W3879" i="1"/>
  <c r="X3879" i="1"/>
  <c r="Y3879" i="1"/>
  <c r="Z3879" i="1"/>
  <c r="AB3879" i="1"/>
  <c r="AF3879" i="1"/>
  <c r="AI3879" i="1"/>
  <c r="AE3880" i="1"/>
  <c r="AC3880" i="1"/>
  <c r="AJ3879" i="1"/>
  <c r="AK3879" i="1"/>
  <c r="AM3879" i="1"/>
  <c r="BF3879" i="1"/>
  <c r="BG3879" i="1"/>
  <c r="T3880" i="1"/>
  <c r="U3880" i="1"/>
  <c r="V3880" i="1"/>
  <c r="W3880" i="1"/>
  <c r="X3880" i="1"/>
  <c r="Y3880" i="1"/>
  <c r="Z3880" i="1"/>
  <c r="AB3880" i="1"/>
  <c r="AF3880" i="1"/>
  <c r="AI3880" i="1"/>
  <c r="AE3881" i="1"/>
  <c r="AC3881" i="1"/>
  <c r="AJ3880" i="1"/>
  <c r="AK3880" i="1"/>
  <c r="AM3880" i="1"/>
  <c r="BF3880" i="1"/>
  <c r="BG3880" i="1"/>
  <c r="T3881" i="1"/>
  <c r="U3881" i="1"/>
  <c r="V3881" i="1"/>
  <c r="W3881" i="1"/>
  <c r="X3881" i="1"/>
  <c r="Y3881" i="1"/>
  <c r="Z3881" i="1"/>
  <c r="AB3881" i="1"/>
  <c r="AF3881" i="1"/>
  <c r="AI3881" i="1"/>
  <c r="H3882" i="1"/>
  <c r="AE3882" i="1"/>
  <c r="I3882" i="1"/>
  <c r="J3882" i="1"/>
  <c r="K3882" i="1"/>
  <c r="AC3882" i="1"/>
  <c r="AJ3881" i="1"/>
  <c r="AK3881" i="1"/>
  <c r="AM3881" i="1"/>
  <c r="BG3881" i="1"/>
  <c r="T3882" i="1"/>
  <c r="U3882" i="1"/>
  <c r="V3882" i="1"/>
  <c r="W3882" i="1"/>
  <c r="X3882" i="1"/>
  <c r="Y3882" i="1"/>
  <c r="Z3882" i="1"/>
  <c r="AB3882" i="1"/>
  <c r="AF3882" i="1"/>
  <c r="AI3882" i="1"/>
  <c r="AE3883" i="1"/>
  <c r="AC3883" i="1"/>
  <c r="AJ3882" i="1"/>
  <c r="AK3882" i="1"/>
  <c r="AM3882" i="1"/>
  <c r="BF3882" i="1"/>
  <c r="BG3882" i="1"/>
  <c r="T3883" i="1"/>
  <c r="U3883" i="1"/>
  <c r="V3883" i="1"/>
  <c r="W3883" i="1"/>
  <c r="X3883" i="1"/>
  <c r="Y3883" i="1"/>
  <c r="Z3883" i="1"/>
  <c r="AB3883" i="1"/>
  <c r="AF3883" i="1"/>
  <c r="AI3883" i="1"/>
  <c r="AE3884" i="1"/>
  <c r="AC3884" i="1"/>
  <c r="AJ3883" i="1"/>
  <c r="AK3883" i="1"/>
  <c r="AM3883" i="1"/>
  <c r="BF3883" i="1"/>
  <c r="BG3883" i="1"/>
  <c r="T3884" i="1"/>
  <c r="U3884" i="1"/>
  <c r="V3884" i="1"/>
  <c r="W3884" i="1"/>
  <c r="X3884" i="1"/>
  <c r="Y3884" i="1"/>
  <c r="Z3884" i="1"/>
  <c r="AB3884" i="1"/>
  <c r="AF3884" i="1"/>
  <c r="AI3884" i="1"/>
  <c r="H3885" i="1"/>
  <c r="AE3885" i="1"/>
  <c r="I3885" i="1"/>
  <c r="J3885" i="1"/>
  <c r="K3885" i="1"/>
  <c r="AC3885" i="1"/>
  <c r="AJ3884" i="1"/>
  <c r="AK3884" i="1"/>
  <c r="AM3884" i="1"/>
  <c r="BG3884" i="1"/>
  <c r="T3885" i="1"/>
  <c r="U3885" i="1"/>
  <c r="V3885" i="1"/>
  <c r="W3885" i="1"/>
  <c r="X3885" i="1"/>
  <c r="Y3885" i="1"/>
  <c r="Z3885" i="1"/>
  <c r="AB3885" i="1"/>
  <c r="AF3885" i="1"/>
  <c r="AI3885" i="1"/>
  <c r="H3886" i="1"/>
  <c r="AE3886" i="1"/>
  <c r="I3886" i="1"/>
  <c r="J3886" i="1"/>
  <c r="K3886" i="1"/>
  <c r="AC3886" i="1"/>
  <c r="AJ3885" i="1"/>
  <c r="AK3885" i="1"/>
  <c r="AM3885" i="1"/>
  <c r="BF3885" i="1"/>
  <c r="BG3885" i="1"/>
  <c r="T3886" i="1"/>
  <c r="U3886" i="1"/>
  <c r="V3886" i="1"/>
  <c r="W3886" i="1"/>
  <c r="X3886" i="1"/>
  <c r="Y3886" i="1"/>
  <c r="Z3886" i="1"/>
  <c r="AB3886" i="1"/>
  <c r="AF3886" i="1"/>
  <c r="AI3886" i="1"/>
  <c r="H3887" i="1"/>
  <c r="AE3887" i="1"/>
  <c r="I3887" i="1"/>
  <c r="J3887" i="1"/>
  <c r="K3887" i="1"/>
  <c r="AC3887" i="1"/>
  <c r="AJ3886" i="1"/>
  <c r="AK3886" i="1"/>
  <c r="AM3886" i="1"/>
  <c r="BF3886" i="1"/>
  <c r="BG3886" i="1"/>
  <c r="T3887" i="1"/>
  <c r="U3887" i="1"/>
  <c r="V3887" i="1"/>
  <c r="W3887" i="1"/>
  <c r="X3887" i="1"/>
  <c r="Y3887" i="1"/>
  <c r="Z3887" i="1"/>
  <c r="AB3887" i="1"/>
  <c r="AF3887" i="1"/>
  <c r="AI3887" i="1"/>
  <c r="AE3888" i="1"/>
  <c r="AC3888" i="1"/>
  <c r="AJ3887" i="1"/>
  <c r="AK3887" i="1"/>
  <c r="AM3887" i="1"/>
  <c r="BF3887" i="1"/>
  <c r="BG3887" i="1"/>
  <c r="T3888" i="1"/>
  <c r="U3888" i="1"/>
  <c r="V3888" i="1"/>
  <c r="W3888" i="1"/>
  <c r="X3888" i="1"/>
  <c r="Y3888" i="1"/>
  <c r="Z3888" i="1"/>
  <c r="AB3888" i="1"/>
  <c r="AF3888" i="1"/>
  <c r="AI3888" i="1"/>
  <c r="AE3889" i="1"/>
  <c r="AC3889" i="1"/>
  <c r="AJ3888" i="1"/>
  <c r="AK3888" i="1"/>
  <c r="AM3888" i="1"/>
  <c r="BF3888" i="1"/>
  <c r="BG3888" i="1"/>
  <c r="T3889" i="1"/>
  <c r="U3889" i="1"/>
  <c r="V3889" i="1"/>
  <c r="W3889" i="1"/>
  <c r="X3889" i="1"/>
  <c r="Y3889" i="1"/>
  <c r="Z3889" i="1"/>
  <c r="AB3889" i="1"/>
  <c r="AF3889" i="1"/>
  <c r="AI3889" i="1"/>
  <c r="H3890" i="1"/>
  <c r="AE3890" i="1"/>
  <c r="I3890" i="1"/>
  <c r="J3890" i="1"/>
  <c r="K3890" i="1"/>
  <c r="AC3890" i="1"/>
  <c r="AJ3889" i="1"/>
  <c r="AK3889" i="1"/>
  <c r="AM3889" i="1"/>
  <c r="BG3889" i="1"/>
  <c r="T3890" i="1"/>
  <c r="U3890" i="1"/>
  <c r="V3890" i="1"/>
  <c r="W3890" i="1"/>
  <c r="X3890" i="1"/>
  <c r="Y3890" i="1"/>
  <c r="Z3890" i="1"/>
  <c r="AB3890" i="1"/>
  <c r="AF3890" i="1"/>
  <c r="AI3890" i="1"/>
  <c r="H3891" i="1"/>
  <c r="AE3891" i="1"/>
  <c r="I3891" i="1"/>
  <c r="J3891" i="1"/>
  <c r="K3891" i="1"/>
  <c r="AC3891" i="1"/>
  <c r="AJ3890" i="1"/>
  <c r="AK3890" i="1"/>
  <c r="AM3890" i="1"/>
  <c r="BF3890" i="1"/>
  <c r="BG3890" i="1"/>
  <c r="T3891" i="1"/>
  <c r="U3891" i="1"/>
  <c r="V3891" i="1"/>
  <c r="W3891" i="1"/>
  <c r="X3891" i="1"/>
  <c r="Y3891" i="1"/>
  <c r="Z3891" i="1"/>
  <c r="AB3891" i="1"/>
  <c r="AF3891" i="1"/>
  <c r="AI3891" i="1"/>
  <c r="AE3892" i="1"/>
  <c r="AC3892" i="1"/>
  <c r="AJ3891" i="1"/>
  <c r="AK3891" i="1"/>
  <c r="AM3891" i="1"/>
  <c r="BF3891" i="1"/>
  <c r="BG3891" i="1"/>
  <c r="T3892" i="1"/>
  <c r="U3892" i="1"/>
  <c r="V3892" i="1"/>
  <c r="W3892" i="1"/>
  <c r="X3892" i="1"/>
  <c r="Y3892" i="1"/>
  <c r="Z3892" i="1"/>
  <c r="AB3892" i="1"/>
  <c r="AF3892" i="1"/>
  <c r="AI3892" i="1"/>
  <c r="AE3893" i="1"/>
  <c r="AC3893" i="1"/>
  <c r="AJ3892" i="1"/>
  <c r="AK3892" i="1"/>
  <c r="AM3892" i="1"/>
  <c r="BF3892" i="1"/>
  <c r="BG3892" i="1"/>
  <c r="T3893" i="1"/>
  <c r="U3893" i="1"/>
  <c r="V3893" i="1"/>
  <c r="W3893" i="1"/>
  <c r="X3893" i="1"/>
  <c r="Y3893" i="1"/>
  <c r="Z3893" i="1"/>
  <c r="AB3893" i="1"/>
  <c r="AF3893" i="1"/>
  <c r="AI3893" i="1"/>
  <c r="H3894" i="1"/>
  <c r="AE3894" i="1"/>
  <c r="I3894" i="1"/>
  <c r="J3894" i="1"/>
  <c r="K3894" i="1"/>
  <c r="AC3894" i="1"/>
  <c r="AJ3893" i="1"/>
  <c r="AK3893" i="1"/>
  <c r="AM3893" i="1"/>
  <c r="BG3893" i="1"/>
  <c r="T3894" i="1"/>
  <c r="U3894" i="1"/>
  <c r="V3894" i="1"/>
  <c r="W3894" i="1"/>
  <c r="X3894" i="1"/>
  <c r="Y3894" i="1"/>
  <c r="Z3894" i="1"/>
  <c r="AB3894" i="1"/>
  <c r="AF3894" i="1"/>
  <c r="AI3894" i="1"/>
  <c r="AE3895" i="1"/>
  <c r="AC3895" i="1"/>
  <c r="AJ3894" i="1"/>
  <c r="AK3894" i="1"/>
  <c r="AM3894" i="1"/>
  <c r="BF3894" i="1"/>
  <c r="BG3894" i="1"/>
  <c r="T3895" i="1"/>
  <c r="U3895" i="1"/>
  <c r="V3895" i="1"/>
  <c r="W3895" i="1"/>
  <c r="X3895" i="1"/>
  <c r="Y3895" i="1"/>
  <c r="Z3895" i="1"/>
  <c r="AB3895" i="1"/>
  <c r="AF3895" i="1"/>
  <c r="AI3895" i="1"/>
  <c r="AE3896" i="1"/>
  <c r="AC3896" i="1"/>
  <c r="AJ3895" i="1"/>
  <c r="AK3895" i="1"/>
  <c r="AM3895" i="1"/>
  <c r="BF3895" i="1"/>
  <c r="BG3895" i="1"/>
  <c r="T3896" i="1"/>
  <c r="U3896" i="1"/>
  <c r="V3896" i="1"/>
  <c r="W3896" i="1"/>
  <c r="X3896" i="1"/>
  <c r="Y3896" i="1"/>
  <c r="Z3896" i="1"/>
  <c r="AB3896" i="1"/>
  <c r="AF3896" i="1"/>
  <c r="AI3896" i="1"/>
  <c r="H3897" i="1"/>
  <c r="AE3897" i="1"/>
  <c r="I3897" i="1"/>
  <c r="J3897" i="1"/>
  <c r="K3897" i="1"/>
  <c r="AC3897" i="1"/>
  <c r="AJ3896" i="1"/>
  <c r="AK3896" i="1"/>
  <c r="AM3896" i="1"/>
  <c r="BG3896" i="1"/>
  <c r="T3897" i="1"/>
  <c r="U3897" i="1"/>
  <c r="V3897" i="1"/>
  <c r="W3897" i="1"/>
  <c r="X3897" i="1"/>
  <c r="Y3897" i="1"/>
  <c r="Z3897" i="1"/>
  <c r="AB3897" i="1"/>
  <c r="AF3897" i="1"/>
  <c r="AI3897" i="1"/>
  <c r="H3898" i="1"/>
  <c r="AE3898" i="1"/>
  <c r="I3898" i="1"/>
  <c r="J3898" i="1"/>
  <c r="K3898" i="1"/>
  <c r="AC3898" i="1"/>
  <c r="AJ3897" i="1"/>
  <c r="AK3897" i="1"/>
  <c r="AM3897" i="1"/>
  <c r="BF3897" i="1"/>
  <c r="BG3897" i="1"/>
  <c r="T3898" i="1"/>
  <c r="U3898" i="1"/>
  <c r="V3898" i="1"/>
  <c r="W3898" i="1"/>
  <c r="X3898" i="1"/>
  <c r="Y3898" i="1"/>
  <c r="Z3898" i="1"/>
  <c r="AB3898" i="1"/>
  <c r="AF3898" i="1"/>
  <c r="AI3898" i="1"/>
  <c r="H3899" i="1"/>
  <c r="AE3899" i="1"/>
  <c r="I3899" i="1"/>
  <c r="J3899" i="1"/>
  <c r="K3899" i="1"/>
  <c r="AC3899" i="1"/>
  <c r="AJ3898" i="1"/>
  <c r="AK3898" i="1"/>
  <c r="AM3898" i="1"/>
  <c r="BF3898" i="1"/>
  <c r="BG3898" i="1"/>
  <c r="T3899" i="1"/>
  <c r="U3899" i="1"/>
  <c r="V3899" i="1"/>
  <c r="W3899" i="1"/>
  <c r="X3899" i="1"/>
  <c r="Y3899" i="1"/>
  <c r="Z3899" i="1"/>
  <c r="AB3899" i="1"/>
  <c r="AF3899" i="1"/>
  <c r="AI3899" i="1"/>
  <c r="AE3900" i="1"/>
  <c r="AC3900" i="1"/>
  <c r="AJ3899" i="1"/>
  <c r="AK3899" i="1"/>
  <c r="AM3899" i="1"/>
  <c r="BF3899" i="1"/>
  <c r="BG3899" i="1"/>
  <c r="T3900" i="1"/>
  <c r="U3900" i="1"/>
  <c r="V3900" i="1"/>
  <c r="W3900" i="1"/>
  <c r="X3900" i="1"/>
  <c r="Y3900" i="1"/>
  <c r="Z3900" i="1"/>
  <c r="AB3900" i="1"/>
  <c r="AF3900" i="1"/>
  <c r="AI3900" i="1"/>
  <c r="AE3901" i="1"/>
  <c r="AC3901" i="1"/>
  <c r="AJ3900" i="1"/>
  <c r="AK3900" i="1"/>
  <c r="AM3900" i="1"/>
  <c r="BF3900" i="1"/>
  <c r="BG3900" i="1"/>
  <c r="T3901" i="1"/>
  <c r="U3901" i="1"/>
  <c r="V3901" i="1"/>
  <c r="W3901" i="1"/>
  <c r="X3901" i="1"/>
  <c r="Y3901" i="1"/>
  <c r="Z3901" i="1"/>
  <c r="AB3901" i="1"/>
  <c r="AF3901" i="1"/>
  <c r="AI3901" i="1"/>
  <c r="H3902" i="1"/>
  <c r="AE3902" i="1"/>
  <c r="I3902" i="1"/>
  <c r="J3902" i="1"/>
  <c r="K3902" i="1"/>
  <c r="AC3902" i="1"/>
  <c r="AJ3901" i="1"/>
  <c r="AK3901" i="1"/>
  <c r="AM3901" i="1"/>
  <c r="BG3901" i="1"/>
  <c r="T3902" i="1"/>
  <c r="U3902" i="1"/>
  <c r="V3902" i="1"/>
  <c r="W3902" i="1"/>
  <c r="X3902" i="1"/>
  <c r="Y3902" i="1"/>
  <c r="Z3902" i="1"/>
  <c r="AB3902" i="1"/>
  <c r="AF3902" i="1"/>
  <c r="AI3902" i="1"/>
  <c r="AE3903" i="1"/>
  <c r="AC3903" i="1"/>
  <c r="AJ3902" i="1"/>
  <c r="AK3902" i="1"/>
  <c r="AM3902" i="1"/>
  <c r="BF3902" i="1"/>
  <c r="BG3902" i="1"/>
  <c r="T3903" i="1"/>
  <c r="U3903" i="1"/>
  <c r="V3903" i="1"/>
  <c r="W3903" i="1"/>
  <c r="X3903" i="1"/>
  <c r="Y3903" i="1"/>
  <c r="Z3903" i="1"/>
  <c r="AB3903" i="1"/>
  <c r="AF3903" i="1"/>
  <c r="AI3903" i="1"/>
  <c r="AE3904" i="1"/>
  <c r="AC3904" i="1"/>
  <c r="AJ3903" i="1"/>
  <c r="AK3903" i="1"/>
  <c r="AM3903" i="1"/>
  <c r="BF3903" i="1"/>
  <c r="BG3903" i="1"/>
  <c r="T3904" i="1"/>
  <c r="U3904" i="1"/>
  <c r="V3904" i="1"/>
  <c r="W3904" i="1"/>
  <c r="X3904" i="1"/>
  <c r="Y3904" i="1"/>
  <c r="Z3904" i="1"/>
  <c r="AB3904" i="1"/>
  <c r="AF3904" i="1"/>
  <c r="AI3904" i="1"/>
  <c r="H3905" i="1"/>
  <c r="AE3905" i="1"/>
  <c r="I3905" i="1"/>
  <c r="J3905" i="1"/>
  <c r="K3905" i="1"/>
  <c r="AC3905" i="1"/>
  <c r="AJ3904" i="1"/>
  <c r="AK3904" i="1"/>
  <c r="AM3904" i="1"/>
  <c r="BG3904" i="1"/>
  <c r="T3905" i="1"/>
  <c r="U3905" i="1"/>
  <c r="V3905" i="1"/>
  <c r="W3905" i="1"/>
  <c r="X3905" i="1"/>
  <c r="Y3905" i="1"/>
  <c r="Z3905" i="1"/>
  <c r="AB3905" i="1"/>
  <c r="AF3905" i="1"/>
  <c r="AI3905" i="1"/>
  <c r="AE3906" i="1"/>
  <c r="AC3906" i="1"/>
  <c r="AJ3905" i="1"/>
  <c r="AK3905" i="1"/>
  <c r="AM3905" i="1"/>
  <c r="BF3905" i="1"/>
  <c r="BG3905" i="1"/>
  <c r="T3906" i="1"/>
  <c r="U3906" i="1"/>
  <c r="V3906" i="1"/>
  <c r="W3906" i="1"/>
  <c r="X3906" i="1"/>
  <c r="Y3906" i="1"/>
  <c r="Z3906" i="1"/>
  <c r="AB3906" i="1"/>
  <c r="AF3906" i="1"/>
  <c r="AI3906" i="1"/>
  <c r="AE3907" i="1"/>
  <c r="AC3907" i="1"/>
  <c r="AJ3906" i="1"/>
  <c r="AK3906" i="1"/>
  <c r="AM3906" i="1"/>
  <c r="BF3906" i="1"/>
  <c r="BG3906" i="1"/>
  <c r="T3907" i="1"/>
  <c r="U3907" i="1"/>
  <c r="V3907" i="1"/>
  <c r="W3907" i="1"/>
  <c r="X3907" i="1"/>
  <c r="Y3907" i="1"/>
  <c r="Z3907" i="1"/>
  <c r="AB3907" i="1"/>
  <c r="AF3907" i="1"/>
  <c r="AI3907" i="1"/>
  <c r="H3908" i="1"/>
  <c r="AE3908" i="1"/>
  <c r="I3908" i="1"/>
  <c r="J3908" i="1"/>
  <c r="K3908" i="1"/>
  <c r="AC3908" i="1"/>
  <c r="AJ3907" i="1"/>
  <c r="AK3907" i="1"/>
  <c r="AM3907" i="1"/>
  <c r="BG3907" i="1"/>
  <c r="T3908" i="1"/>
  <c r="U3908" i="1"/>
  <c r="V3908" i="1"/>
  <c r="W3908" i="1"/>
  <c r="X3908" i="1"/>
  <c r="Y3908" i="1"/>
  <c r="Z3908" i="1"/>
  <c r="AB3908" i="1"/>
  <c r="AF3908" i="1"/>
  <c r="AI3908" i="1"/>
  <c r="AE3909" i="1"/>
  <c r="AC3909" i="1"/>
  <c r="AJ3908" i="1"/>
  <c r="AK3908" i="1"/>
  <c r="AM3908" i="1"/>
  <c r="BF3908" i="1"/>
  <c r="BG3908" i="1"/>
  <c r="T3909" i="1"/>
  <c r="U3909" i="1"/>
  <c r="V3909" i="1"/>
  <c r="W3909" i="1"/>
  <c r="X3909" i="1"/>
  <c r="Y3909" i="1"/>
  <c r="Z3909" i="1"/>
  <c r="AB3909" i="1"/>
  <c r="AF3909" i="1"/>
  <c r="AI3909" i="1"/>
  <c r="AE3910" i="1"/>
  <c r="AC3910" i="1"/>
  <c r="AJ3909" i="1"/>
  <c r="AK3909" i="1"/>
  <c r="AM3909" i="1"/>
  <c r="BF3909" i="1"/>
  <c r="BG3909" i="1"/>
  <c r="T3910" i="1"/>
  <c r="U3910" i="1"/>
  <c r="V3910" i="1"/>
  <c r="W3910" i="1"/>
  <c r="X3910" i="1"/>
  <c r="Y3910" i="1"/>
  <c r="Z3910" i="1"/>
  <c r="AB3910" i="1"/>
  <c r="AF3910" i="1"/>
  <c r="AI3910" i="1"/>
  <c r="H3911" i="1"/>
  <c r="AE3911" i="1"/>
  <c r="I3911" i="1"/>
  <c r="J3911" i="1"/>
  <c r="K3911" i="1"/>
  <c r="AC3911" i="1"/>
  <c r="AJ3910" i="1"/>
  <c r="AK3910" i="1"/>
  <c r="AM3910" i="1"/>
  <c r="BG3910" i="1"/>
  <c r="T3911" i="1"/>
  <c r="U3911" i="1"/>
  <c r="V3911" i="1"/>
  <c r="W3911" i="1"/>
  <c r="X3911" i="1"/>
  <c r="Y3911" i="1"/>
  <c r="Z3911" i="1"/>
  <c r="AB3911" i="1"/>
  <c r="AF3911" i="1"/>
  <c r="AI3911" i="1"/>
  <c r="AE3912" i="1"/>
  <c r="AC3912" i="1"/>
  <c r="AJ3911" i="1"/>
  <c r="AK3911" i="1"/>
  <c r="AM3911" i="1"/>
  <c r="BF3911" i="1"/>
  <c r="BG3911" i="1"/>
  <c r="T3912" i="1"/>
  <c r="U3912" i="1"/>
  <c r="V3912" i="1"/>
  <c r="W3912" i="1"/>
  <c r="X3912" i="1"/>
  <c r="Y3912" i="1"/>
  <c r="Z3912" i="1"/>
  <c r="AB3912" i="1"/>
  <c r="AF3912" i="1"/>
  <c r="AI3912" i="1"/>
  <c r="AE3913" i="1"/>
  <c r="AC3913" i="1"/>
  <c r="AJ3912" i="1"/>
  <c r="AK3912" i="1"/>
  <c r="AM3912" i="1"/>
  <c r="BF3912" i="1"/>
  <c r="BG3912" i="1"/>
  <c r="T3913" i="1"/>
  <c r="U3913" i="1"/>
  <c r="V3913" i="1"/>
  <c r="W3913" i="1"/>
  <c r="X3913" i="1"/>
  <c r="Y3913" i="1"/>
  <c r="Z3913" i="1"/>
  <c r="AB3913" i="1"/>
  <c r="AF3913" i="1"/>
  <c r="AI3913" i="1"/>
  <c r="AE3914" i="1"/>
  <c r="AC3914" i="1"/>
  <c r="AJ3913" i="1"/>
  <c r="AK3913" i="1"/>
  <c r="AM3913" i="1"/>
  <c r="BF3913" i="1"/>
  <c r="BG3913" i="1"/>
  <c r="T3914" i="1"/>
  <c r="U3914" i="1"/>
  <c r="V3914" i="1"/>
  <c r="W3914" i="1"/>
  <c r="X3914" i="1"/>
  <c r="Y3914" i="1"/>
  <c r="Z3914" i="1"/>
  <c r="AB3914" i="1"/>
  <c r="AF3914" i="1"/>
  <c r="AI3914" i="1"/>
  <c r="H3915" i="1"/>
  <c r="AE3915" i="1"/>
  <c r="I3915" i="1"/>
  <c r="J3915" i="1"/>
  <c r="K3915" i="1"/>
  <c r="AC3915" i="1"/>
  <c r="AJ3914" i="1"/>
  <c r="AK3914" i="1"/>
  <c r="AM3914" i="1"/>
  <c r="BG3914" i="1"/>
  <c r="T3915" i="1"/>
  <c r="U3915" i="1"/>
  <c r="V3915" i="1"/>
  <c r="W3915" i="1"/>
  <c r="X3915" i="1"/>
  <c r="Y3915" i="1"/>
  <c r="Z3915" i="1"/>
  <c r="AB3915" i="1"/>
  <c r="AF3915" i="1"/>
  <c r="AI3915" i="1"/>
  <c r="AE3916" i="1"/>
  <c r="AC3916" i="1"/>
  <c r="AJ3915" i="1"/>
  <c r="AK3915" i="1"/>
  <c r="AM3915" i="1"/>
  <c r="BF3915" i="1"/>
  <c r="BG3915" i="1"/>
  <c r="T3916" i="1"/>
  <c r="U3916" i="1"/>
  <c r="V3916" i="1"/>
  <c r="W3916" i="1"/>
  <c r="X3916" i="1"/>
  <c r="Y3916" i="1"/>
  <c r="Z3916" i="1"/>
  <c r="AB3916" i="1"/>
  <c r="AF3916" i="1"/>
  <c r="AI3916" i="1"/>
  <c r="AE3917" i="1"/>
  <c r="AC3917" i="1"/>
  <c r="AJ3916" i="1"/>
  <c r="AK3916" i="1"/>
  <c r="AM3916" i="1"/>
  <c r="BF3916" i="1"/>
  <c r="BG3916" i="1"/>
  <c r="T3917" i="1"/>
  <c r="U3917" i="1"/>
  <c r="V3917" i="1"/>
  <c r="W3917" i="1"/>
  <c r="X3917" i="1"/>
  <c r="Y3917" i="1"/>
  <c r="Z3917" i="1"/>
  <c r="AB3917" i="1"/>
  <c r="AF3917" i="1"/>
  <c r="AI3917" i="1"/>
  <c r="AE3918" i="1"/>
  <c r="AC3918" i="1"/>
  <c r="AJ3917" i="1"/>
  <c r="AK3917" i="1"/>
  <c r="AM3917" i="1"/>
  <c r="BF3917" i="1"/>
  <c r="BG3917" i="1"/>
  <c r="T3918" i="1"/>
  <c r="U3918" i="1"/>
  <c r="V3918" i="1"/>
  <c r="W3918" i="1"/>
  <c r="X3918" i="1"/>
  <c r="Y3918" i="1"/>
  <c r="Z3918" i="1"/>
  <c r="AB3918" i="1"/>
  <c r="AF3918" i="1"/>
  <c r="AI3918" i="1"/>
  <c r="H3919" i="1"/>
  <c r="AE3919" i="1"/>
  <c r="I3919" i="1"/>
  <c r="J3919" i="1"/>
  <c r="K3919" i="1"/>
  <c r="AC3919" i="1"/>
  <c r="AJ3918" i="1"/>
  <c r="AK3918" i="1"/>
  <c r="AM3918" i="1"/>
  <c r="BG3918" i="1"/>
  <c r="T3919" i="1"/>
  <c r="U3919" i="1"/>
  <c r="V3919" i="1"/>
  <c r="W3919" i="1"/>
  <c r="X3919" i="1"/>
  <c r="Y3919" i="1"/>
  <c r="Z3919" i="1"/>
  <c r="AB3919" i="1"/>
  <c r="AF3919" i="1"/>
  <c r="AI3919" i="1"/>
  <c r="AE3920" i="1"/>
  <c r="AC3920" i="1"/>
  <c r="AJ3919" i="1"/>
  <c r="AK3919" i="1"/>
  <c r="AM3919" i="1"/>
  <c r="BF3919" i="1"/>
  <c r="BG3919" i="1"/>
  <c r="T3920" i="1"/>
  <c r="U3920" i="1"/>
  <c r="V3920" i="1"/>
  <c r="W3920" i="1"/>
  <c r="X3920" i="1"/>
  <c r="Y3920" i="1"/>
  <c r="Z3920" i="1"/>
  <c r="AB3920" i="1"/>
  <c r="AF3920" i="1"/>
  <c r="AI3920" i="1"/>
  <c r="AE3921" i="1"/>
  <c r="AC3921" i="1"/>
  <c r="AJ3920" i="1"/>
  <c r="AK3920" i="1"/>
  <c r="AM3920" i="1"/>
  <c r="BF3920" i="1"/>
  <c r="BG3920" i="1"/>
  <c r="T3921" i="1"/>
  <c r="U3921" i="1"/>
  <c r="V3921" i="1"/>
  <c r="W3921" i="1"/>
  <c r="X3921" i="1"/>
  <c r="Y3921" i="1"/>
  <c r="Z3921" i="1"/>
  <c r="AB3921" i="1"/>
  <c r="AF3921" i="1"/>
  <c r="AI3921" i="1"/>
  <c r="H3922" i="1"/>
  <c r="AE3922" i="1"/>
  <c r="I3922" i="1"/>
  <c r="J3922" i="1"/>
  <c r="K3922" i="1"/>
  <c r="AC3922" i="1"/>
  <c r="AJ3921" i="1"/>
  <c r="AK3921" i="1"/>
  <c r="AM3921" i="1"/>
  <c r="BG3921" i="1"/>
  <c r="T3922" i="1"/>
  <c r="U3922" i="1"/>
  <c r="V3922" i="1"/>
  <c r="W3922" i="1"/>
  <c r="X3922" i="1"/>
  <c r="Y3922" i="1"/>
  <c r="Z3922" i="1"/>
  <c r="AB3922" i="1"/>
  <c r="AF3922" i="1"/>
  <c r="AI3922" i="1"/>
  <c r="H3923" i="1"/>
  <c r="AE3923" i="1"/>
  <c r="I3923" i="1"/>
  <c r="J3923" i="1"/>
  <c r="K3923" i="1"/>
  <c r="AC3923" i="1"/>
  <c r="AJ3922" i="1"/>
  <c r="AK3922" i="1"/>
  <c r="AM3922" i="1"/>
  <c r="BF3922" i="1"/>
  <c r="BG3922" i="1"/>
  <c r="T3923" i="1"/>
  <c r="U3923" i="1"/>
  <c r="V3923" i="1"/>
  <c r="W3923" i="1"/>
  <c r="X3923" i="1"/>
  <c r="Y3923" i="1"/>
  <c r="Z3923" i="1"/>
  <c r="AB3923" i="1"/>
  <c r="AF3923" i="1"/>
  <c r="AI3923" i="1"/>
  <c r="H3924" i="1"/>
  <c r="AE3924" i="1"/>
  <c r="I3924" i="1"/>
  <c r="J3924" i="1"/>
  <c r="K3924" i="1"/>
  <c r="AC3924" i="1"/>
  <c r="AJ3923" i="1"/>
  <c r="AK3923" i="1"/>
  <c r="AM3923" i="1"/>
  <c r="BF3923" i="1"/>
  <c r="BG3923" i="1"/>
  <c r="T3924" i="1"/>
  <c r="U3924" i="1"/>
  <c r="V3924" i="1"/>
  <c r="W3924" i="1"/>
  <c r="X3924" i="1"/>
  <c r="Y3924" i="1"/>
  <c r="Z3924" i="1"/>
  <c r="AB3924" i="1"/>
  <c r="AF3924" i="1"/>
  <c r="AI3924" i="1"/>
  <c r="H3925" i="1"/>
  <c r="AE3925" i="1"/>
  <c r="I3925" i="1"/>
  <c r="J3925" i="1"/>
  <c r="K3925" i="1"/>
  <c r="AC3925" i="1"/>
  <c r="AJ3924" i="1"/>
  <c r="AK3924" i="1"/>
  <c r="AM3924" i="1"/>
  <c r="BF3924" i="1"/>
  <c r="BG3924" i="1"/>
  <c r="T3925" i="1"/>
  <c r="U3925" i="1"/>
  <c r="V3925" i="1"/>
  <c r="W3925" i="1"/>
  <c r="X3925" i="1"/>
  <c r="Y3925" i="1"/>
  <c r="Z3925" i="1"/>
  <c r="AB3925" i="1"/>
  <c r="AF3925" i="1"/>
  <c r="AI3925" i="1"/>
  <c r="AE3926" i="1"/>
  <c r="AC3926" i="1"/>
  <c r="AJ3925" i="1"/>
  <c r="AK3925" i="1"/>
  <c r="AM3925" i="1"/>
  <c r="BF3925" i="1"/>
  <c r="BG3925" i="1"/>
  <c r="T3926" i="1"/>
  <c r="U3926" i="1"/>
  <c r="V3926" i="1"/>
  <c r="W3926" i="1"/>
  <c r="X3926" i="1"/>
  <c r="Y3926" i="1"/>
  <c r="Z3926" i="1"/>
  <c r="AB3926" i="1"/>
  <c r="AF3926" i="1"/>
  <c r="AI3926" i="1"/>
  <c r="AE3927" i="1"/>
  <c r="AC3927" i="1"/>
  <c r="AJ3926" i="1"/>
  <c r="AK3926" i="1"/>
  <c r="AM3926" i="1"/>
  <c r="BF3926" i="1"/>
  <c r="BG3926" i="1"/>
  <c r="T3927" i="1"/>
  <c r="U3927" i="1"/>
  <c r="V3927" i="1"/>
  <c r="W3927" i="1"/>
  <c r="X3927" i="1"/>
  <c r="Y3927" i="1"/>
  <c r="Z3927" i="1"/>
  <c r="AB3927" i="1"/>
  <c r="AF3927" i="1"/>
  <c r="AI3927" i="1"/>
  <c r="H3928" i="1"/>
  <c r="AE3928" i="1"/>
  <c r="I3928" i="1"/>
  <c r="J3928" i="1"/>
  <c r="K3928" i="1"/>
  <c r="AC3928" i="1"/>
  <c r="AJ3927" i="1"/>
  <c r="AK3927" i="1"/>
  <c r="AM3927" i="1"/>
  <c r="BG3927" i="1"/>
  <c r="T3928" i="1"/>
  <c r="U3928" i="1"/>
  <c r="V3928" i="1"/>
  <c r="W3928" i="1"/>
  <c r="X3928" i="1"/>
  <c r="Y3928" i="1"/>
  <c r="Z3928" i="1"/>
  <c r="AB3928" i="1"/>
  <c r="AF3928" i="1"/>
  <c r="AI3928" i="1"/>
  <c r="H3929" i="1"/>
  <c r="AE3929" i="1"/>
  <c r="I3929" i="1"/>
  <c r="J3929" i="1"/>
  <c r="K3929" i="1"/>
  <c r="AC3929" i="1"/>
  <c r="AJ3928" i="1"/>
  <c r="AK3928" i="1"/>
  <c r="AM3928" i="1"/>
  <c r="BF3928" i="1"/>
  <c r="BG3928" i="1"/>
  <c r="T3929" i="1"/>
  <c r="U3929" i="1"/>
  <c r="V3929" i="1"/>
  <c r="W3929" i="1"/>
  <c r="X3929" i="1"/>
  <c r="Y3929" i="1"/>
  <c r="Z3929" i="1"/>
  <c r="AB3929" i="1"/>
  <c r="AF3929" i="1"/>
  <c r="AI3929" i="1"/>
  <c r="H3930" i="1"/>
  <c r="AE3930" i="1"/>
  <c r="I3930" i="1"/>
  <c r="J3930" i="1"/>
  <c r="K3930" i="1"/>
  <c r="AC3930" i="1"/>
  <c r="AJ3929" i="1"/>
  <c r="AK3929" i="1"/>
  <c r="AM3929" i="1"/>
  <c r="BF3929" i="1"/>
  <c r="BG3929" i="1"/>
  <c r="T3930" i="1"/>
  <c r="U3930" i="1"/>
  <c r="V3930" i="1"/>
  <c r="W3930" i="1"/>
  <c r="X3930" i="1"/>
  <c r="Y3930" i="1"/>
  <c r="Z3930" i="1"/>
  <c r="AB3930" i="1"/>
  <c r="AF3930" i="1"/>
  <c r="AI3930" i="1"/>
  <c r="H3931" i="1"/>
  <c r="AE3931" i="1"/>
  <c r="I3931" i="1"/>
  <c r="J3931" i="1"/>
  <c r="K3931" i="1"/>
  <c r="AC3931" i="1"/>
  <c r="AJ3930" i="1"/>
  <c r="AK3930" i="1"/>
  <c r="AM3930" i="1"/>
  <c r="BF3930" i="1"/>
  <c r="BG3930" i="1"/>
  <c r="T3931" i="1"/>
  <c r="U3931" i="1"/>
  <c r="V3931" i="1"/>
  <c r="W3931" i="1"/>
  <c r="X3931" i="1"/>
  <c r="Y3931" i="1"/>
  <c r="Z3931" i="1"/>
  <c r="AB3931" i="1"/>
  <c r="AF3931" i="1"/>
  <c r="AI3931" i="1"/>
  <c r="AE3932" i="1"/>
  <c r="AC3932" i="1"/>
  <c r="AJ3931" i="1"/>
  <c r="AK3931" i="1"/>
  <c r="AM3931" i="1"/>
  <c r="BF3931" i="1"/>
  <c r="BG3931" i="1"/>
  <c r="T3932" i="1"/>
  <c r="U3932" i="1"/>
  <c r="V3932" i="1"/>
  <c r="W3932" i="1"/>
  <c r="X3932" i="1"/>
  <c r="Y3932" i="1"/>
  <c r="Z3932" i="1"/>
  <c r="AB3932" i="1"/>
  <c r="AF3932" i="1"/>
  <c r="AI3932" i="1"/>
  <c r="AE3933" i="1"/>
  <c r="AC3933" i="1"/>
  <c r="AJ3932" i="1"/>
  <c r="AK3932" i="1"/>
  <c r="AM3932" i="1"/>
  <c r="BF3932" i="1"/>
  <c r="BG3932" i="1"/>
  <c r="T3933" i="1"/>
  <c r="U3933" i="1"/>
  <c r="V3933" i="1"/>
  <c r="W3933" i="1"/>
  <c r="X3933" i="1"/>
  <c r="Y3933" i="1"/>
  <c r="Z3933" i="1"/>
  <c r="AB3933" i="1"/>
  <c r="AF3933" i="1"/>
  <c r="AI3933" i="1"/>
  <c r="H3934" i="1"/>
  <c r="AE3934" i="1"/>
  <c r="I3934" i="1"/>
  <c r="J3934" i="1"/>
  <c r="K3934" i="1"/>
  <c r="AC3934" i="1"/>
  <c r="AJ3933" i="1"/>
  <c r="AK3933" i="1"/>
  <c r="AM3933" i="1"/>
  <c r="BG3933" i="1"/>
  <c r="T3934" i="1"/>
  <c r="U3934" i="1"/>
  <c r="V3934" i="1"/>
  <c r="W3934" i="1"/>
  <c r="X3934" i="1"/>
  <c r="Y3934" i="1"/>
  <c r="Z3934" i="1"/>
  <c r="AB3934" i="1"/>
  <c r="AF3934" i="1"/>
  <c r="AI3934" i="1"/>
  <c r="H3935" i="1"/>
  <c r="AE3935" i="1"/>
  <c r="I3935" i="1"/>
  <c r="J3935" i="1"/>
  <c r="K3935" i="1"/>
  <c r="AC3935" i="1"/>
  <c r="AJ3934" i="1"/>
  <c r="AK3934" i="1"/>
  <c r="AM3934" i="1"/>
  <c r="BF3934" i="1"/>
  <c r="BG3934" i="1"/>
  <c r="T3935" i="1"/>
  <c r="U3935" i="1"/>
  <c r="V3935" i="1"/>
  <c r="W3935" i="1"/>
  <c r="X3935" i="1"/>
  <c r="Y3935" i="1"/>
  <c r="Z3935" i="1"/>
  <c r="AB3935" i="1"/>
  <c r="AF3935" i="1"/>
  <c r="AI3935" i="1"/>
  <c r="AE3936" i="1"/>
  <c r="AC3936" i="1"/>
  <c r="AJ3935" i="1"/>
  <c r="AK3935" i="1"/>
  <c r="AM3935" i="1"/>
  <c r="BF3935" i="1"/>
  <c r="BG3935" i="1"/>
  <c r="T3936" i="1"/>
  <c r="U3936" i="1"/>
  <c r="V3936" i="1"/>
  <c r="W3936" i="1"/>
  <c r="X3936" i="1"/>
  <c r="Y3936" i="1"/>
  <c r="Z3936" i="1"/>
  <c r="AB3936" i="1"/>
  <c r="AF3936" i="1"/>
  <c r="AI3936" i="1"/>
  <c r="AE3937" i="1"/>
  <c r="AC3937" i="1"/>
  <c r="AJ3936" i="1"/>
  <c r="AK3936" i="1"/>
  <c r="AM3936" i="1"/>
  <c r="BF3936" i="1"/>
  <c r="BG3936" i="1"/>
  <c r="T3937" i="1"/>
  <c r="U3937" i="1"/>
  <c r="V3937" i="1"/>
  <c r="W3937" i="1"/>
  <c r="X3937" i="1"/>
  <c r="Y3937" i="1"/>
  <c r="Z3937" i="1"/>
  <c r="AB3937" i="1"/>
  <c r="AF3937" i="1"/>
  <c r="AI3937" i="1"/>
  <c r="H3938" i="1"/>
  <c r="AE3938" i="1"/>
  <c r="I3938" i="1"/>
  <c r="J3938" i="1"/>
  <c r="K3938" i="1"/>
  <c r="AC3938" i="1"/>
  <c r="AJ3937" i="1"/>
  <c r="AK3937" i="1"/>
  <c r="AM3937" i="1"/>
  <c r="BG3937" i="1"/>
  <c r="T3938" i="1"/>
  <c r="U3938" i="1"/>
  <c r="V3938" i="1"/>
  <c r="W3938" i="1"/>
  <c r="X3938" i="1"/>
  <c r="Y3938" i="1"/>
  <c r="Z3938" i="1"/>
  <c r="AB3938" i="1"/>
  <c r="AF3938" i="1"/>
  <c r="AI3938" i="1"/>
  <c r="AE3939" i="1"/>
  <c r="AC3939" i="1"/>
  <c r="AJ3938" i="1"/>
  <c r="AK3938" i="1"/>
  <c r="AM3938" i="1"/>
  <c r="BF3938" i="1"/>
  <c r="BG3938" i="1"/>
  <c r="T3939" i="1"/>
  <c r="U3939" i="1"/>
  <c r="V3939" i="1"/>
  <c r="W3939" i="1"/>
  <c r="X3939" i="1"/>
  <c r="Y3939" i="1"/>
  <c r="Z3939" i="1"/>
  <c r="AB3939" i="1"/>
  <c r="AF3939" i="1"/>
  <c r="AI3939" i="1"/>
  <c r="AE3940" i="1"/>
  <c r="AC3940" i="1"/>
  <c r="AJ3939" i="1"/>
  <c r="AK3939" i="1"/>
  <c r="AM3939" i="1"/>
  <c r="BF3939" i="1"/>
  <c r="BG3939" i="1"/>
  <c r="T3940" i="1"/>
  <c r="U3940" i="1"/>
  <c r="V3940" i="1"/>
  <c r="W3940" i="1"/>
  <c r="X3940" i="1"/>
  <c r="Y3940" i="1"/>
  <c r="Z3940" i="1"/>
  <c r="AB3940" i="1"/>
  <c r="AF3940" i="1"/>
  <c r="AI3940" i="1"/>
  <c r="H3941" i="1"/>
  <c r="AE3941" i="1"/>
  <c r="I3941" i="1"/>
  <c r="J3941" i="1"/>
  <c r="K3941" i="1"/>
  <c r="AC3941" i="1"/>
  <c r="AJ3940" i="1"/>
  <c r="AK3940" i="1"/>
  <c r="AM3940" i="1"/>
  <c r="BG3940" i="1"/>
  <c r="T3941" i="1"/>
  <c r="U3941" i="1"/>
  <c r="V3941" i="1"/>
  <c r="W3941" i="1"/>
  <c r="X3941" i="1"/>
  <c r="Y3941" i="1"/>
  <c r="Z3941" i="1"/>
  <c r="AB3941" i="1"/>
  <c r="AF3941" i="1"/>
  <c r="AI3941" i="1"/>
  <c r="H3942" i="1"/>
  <c r="AE3942" i="1"/>
  <c r="I3942" i="1"/>
  <c r="J3942" i="1"/>
  <c r="K3942" i="1"/>
  <c r="AC3942" i="1"/>
  <c r="AJ3941" i="1"/>
  <c r="AK3941" i="1"/>
  <c r="AM3941" i="1"/>
  <c r="BF3941" i="1"/>
  <c r="BG3941" i="1"/>
  <c r="T3942" i="1"/>
  <c r="U3942" i="1"/>
  <c r="V3942" i="1"/>
  <c r="W3942" i="1"/>
  <c r="X3942" i="1"/>
  <c r="Y3942" i="1"/>
  <c r="Z3942" i="1"/>
  <c r="AB3942" i="1"/>
  <c r="AF3942" i="1"/>
  <c r="AI3942" i="1"/>
  <c r="H3943" i="1"/>
  <c r="AE3943" i="1"/>
  <c r="I3943" i="1"/>
  <c r="J3943" i="1"/>
  <c r="K3943" i="1"/>
  <c r="AC3943" i="1"/>
  <c r="AJ3942" i="1"/>
  <c r="AK3942" i="1"/>
  <c r="AM3942" i="1"/>
  <c r="BF3942" i="1"/>
  <c r="BG3942" i="1"/>
  <c r="T3943" i="1"/>
  <c r="U3943" i="1"/>
  <c r="V3943" i="1"/>
  <c r="W3943" i="1"/>
  <c r="X3943" i="1"/>
  <c r="Y3943" i="1"/>
  <c r="Z3943" i="1"/>
  <c r="AB3943" i="1"/>
  <c r="AF3943" i="1"/>
  <c r="AI3943" i="1"/>
  <c r="H3944" i="1"/>
  <c r="AE3944" i="1"/>
  <c r="I3944" i="1"/>
  <c r="J3944" i="1"/>
  <c r="K3944" i="1"/>
  <c r="AC3944" i="1"/>
  <c r="AJ3943" i="1"/>
  <c r="AK3943" i="1"/>
  <c r="AM3943" i="1"/>
  <c r="BF3943" i="1"/>
  <c r="BG3943" i="1"/>
  <c r="T3944" i="1"/>
  <c r="U3944" i="1"/>
  <c r="V3944" i="1"/>
  <c r="W3944" i="1"/>
  <c r="X3944" i="1"/>
  <c r="Y3944" i="1"/>
  <c r="Z3944" i="1"/>
  <c r="AB3944" i="1"/>
  <c r="AF3944" i="1"/>
  <c r="AI3944" i="1"/>
  <c r="H3945" i="1"/>
  <c r="AE3945" i="1"/>
  <c r="I3945" i="1"/>
  <c r="J3945" i="1"/>
  <c r="K3945" i="1"/>
  <c r="AC3945" i="1"/>
  <c r="AJ3944" i="1"/>
  <c r="AK3944" i="1"/>
  <c r="AM3944" i="1"/>
  <c r="BF3944" i="1"/>
  <c r="BG3944" i="1"/>
  <c r="T3945" i="1"/>
  <c r="U3945" i="1"/>
  <c r="V3945" i="1"/>
  <c r="W3945" i="1"/>
  <c r="X3945" i="1"/>
  <c r="Y3945" i="1"/>
  <c r="Z3945" i="1"/>
  <c r="AB3945" i="1"/>
  <c r="AF3945" i="1"/>
  <c r="AI3945" i="1"/>
  <c r="AE3946" i="1"/>
  <c r="AC3946" i="1"/>
  <c r="AJ3945" i="1"/>
  <c r="AK3945" i="1"/>
  <c r="AM3945" i="1"/>
  <c r="BF3945" i="1"/>
  <c r="BG3945" i="1"/>
  <c r="T3946" i="1"/>
  <c r="U3946" i="1"/>
  <c r="V3946" i="1"/>
  <c r="W3946" i="1"/>
  <c r="X3946" i="1"/>
  <c r="Y3946" i="1"/>
  <c r="Z3946" i="1"/>
  <c r="AB3946" i="1"/>
  <c r="AF3946" i="1"/>
  <c r="AI3946" i="1"/>
  <c r="AE3947" i="1"/>
  <c r="AC3947" i="1"/>
  <c r="AJ3946" i="1"/>
  <c r="AK3946" i="1"/>
  <c r="AM3946" i="1"/>
  <c r="BF3946" i="1"/>
  <c r="BG3946" i="1"/>
  <c r="T3947" i="1"/>
  <c r="U3947" i="1"/>
  <c r="V3947" i="1"/>
  <c r="W3947" i="1"/>
  <c r="X3947" i="1"/>
  <c r="Y3947" i="1"/>
  <c r="Z3947" i="1"/>
  <c r="AB3947" i="1"/>
  <c r="AF3947" i="1"/>
  <c r="AI3947" i="1"/>
  <c r="H3948" i="1"/>
  <c r="AE3948" i="1"/>
  <c r="I3948" i="1"/>
  <c r="J3948" i="1"/>
  <c r="K3948" i="1"/>
  <c r="AC3948" i="1"/>
  <c r="AJ3947" i="1"/>
  <c r="AK3947" i="1"/>
  <c r="AM3947" i="1"/>
  <c r="BG3947" i="1"/>
  <c r="T3948" i="1"/>
  <c r="U3948" i="1"/>
  <c r="V3948" i="1"/>
  <c r="W3948" i="1"/>
  <c r="X3948" i="1"/>
  <c r="Y3948" i="1"/>
  <c r="Z3948" i="1"/>
  <c r="AB3948" i="1"/>
  <c r="AF3948" i="1"/>
  <c r="AI3948" i="1"/>
  <c r="AE3949" i="1"/>
  <c r="AC3949" i="1"/>
  <c r="AJ3948" i="1"/>
  <c r="AK3948" i="1"/>
  <c r="AM3948" i="1"/>
  <c r="BF3948" i="1"/>
  <c r="BG3948" i="1"/>
  <c r="T3949" i="1"/>
  <c r="U3949" i="1"/>
  <c r="V3949" i="1"/>
  <c r="W3949" i="1"/>
  <c r="X3949" i="1"/>
  <c r="Y3949" i="1"/>
  <c r="Z3949" i="1"/>
  <c r="AB3949" i="1"/>
  <c r="AF3949" i="1"/>
  <c r="AI3949" i="1"/>
  <c r="AE3950" i="1"/>
  <c r="AC3950" i="1"/>
  <c r="AJ3949" i="1"/>
  <c r="AK3949" i="1"/>
  <c r="AM3949" i="1"/>
  <c r="BF3949" i="1"/>
  <c r="BG3949" i="1"/>
  <c r="T3950" i="1"/>
  <c r="U3950" i="1"/>
  <c r="V3950" i="1"/>
  <c r="W3950" i="1"/>
  <c r="X3950" i="1"/>
  <c r="Y3950" i="1"/>
  <c r="Z3950" i="1"/>
  <c r="AB3950" i="1"/>
  <c r="AF3950" i="1"/>
  <c r="AI3950" i="1"/>
  <c r="H3951" i="1"/>
  <c r="AE3951" i="1"/>
  <c r="I3951" i="1"/>
  <c r="J3951" i="1"/>
  <c r="K3951" i="1"/>
  <c r="AC3951" i="1"/>
  <c r="AJ3950" i="1"/>
  <c r="AK3950" i="1"/>
  <c r="AM3950" i="1"/>
  <c r="BG3950" i="1"/>
  <c r="T3951" i="1"/>
  <c r="U3951" i="1"/>
  <c r="V3951" i="1"/>
  <c r="W3951" i="1"/>
  <c r="X3951" i="1"/>
  <c r="Y3951" i="1"/>
  <c r="Z3951" i="1"/>
  <c r="AB3951" i="1"/>
  <c r="AF3951" i="1"/>
  <c r="AI3951" i="1"/>
  <c r="AE3952" i="1"/>
  <c r="AC3952" i="1"/>
  <c r="AJ3951" i="1"/>
  <c r="AK3951" i="1"/>
  <c r="AM3951" i="1"/>
  <c r="BF3951" i="1"/>
  <c r="BG3951" i="1"/>
  <c r="T3952" i="1"/>
  <c r="U3952" i="1"/>
  <c r="V3952" i="1"/>
  <c r="W3952" i="1"/>
  <c r="X3952" i="1"/>
  <c r="Y3952" i="1"/>
  <c r="Z3952" i="1"/>
  <c r="AB3952" i="1"/>
  <c r="AF3952" i="1"/>
  <c r="AI3952" i="1"/>
  <c r="AE3953" i="1"/>
  <c r="AC3953" i="1"/>
  <c r="AJ3952" i="1"/>
  <c r="AK3952" i="1"/>
  <c r="AM3952" i="1"/>
  <c r="BF3952" i="1"/>
  <c r="BG3952" i="1"/>
  <c r="T3953" i="1"/>
  <c r="U3953" i="1"/>
  <c r="V3953" i="1"/>
  <c r="W3953" i="1"/>
  <c r="X3953" i="1"/>
  <c r="Y3953" i="1"/>
  <c r="Z3953" i="1"/>
  <c r="AB3953" i="1"/>
  <c r="AF3953" i="1"/>
  <c r="AI3953" i="1"/>
  <c r="AE3954" i="1"/>
  <c r="AC3954" i="1"/>
  <c r="AJ3953" i="1"/>
  <c r="AK3953" i="1"/>
  <c r="AM3953" i="1"/>
  <c r="BF3953" i="1"/>
  <c r="BG3953" i="1"/>
  <c r="T3954" i="1"/>
  <c r="U3954" i="1"/>
  <c r="V3954" i="1"/>
  <c r="W3954" i="1"/>
  <c r="X3954" i="1"/>
  <c r="Y3954" i="1"/>
  <c r="Z3954" i="1"/>
  <c r="AB3954" i="1"/>
  <c r="AF3954" i="1"/>
  <c r="AI3954" i="1"/>
  <c r="H3955" i="1"/>
  <c r="AE3955" i="1"/>
  <c r="I3955" i="1"/>
  <c r="J3955" i="1"/>
  <c r="K3955" i="1"/>
  <c r="AC3955" i="1"/>
  <c r="AJ3954" i="1"/>
  <c r="AK3954" i="1"/>
  <c r="AM3954" i="1"/>
  <c r="BG3954" i="1"/>
  <c r="T3955" i="1"/>
  <c r="U3955" i="1"/>
  <c r="V3955" i="1"/>
  <c r="W3955" i="1"/>
  <c r="X3955" i="1"/>
  <c r="Y3955" i="1"/>
  <c r="Z3955" i="1"/>
  <c r="AB3955" i="1"/>
  <c r="AF3955" i="1"/>
  <c r="AI3955" i="1"/>
  <c r="AE3956" i="1"/>
  <c r="AC3956" i="1"/>
  <c r="AJ3955" i="1"/>
  <c r="AK3955" i="1"/>
  <c r="AM3955" i="1"/>
  <c r="BF3955" i="1"/>
  <c r="BG3955" i="1"/>
  <c r="T3956" i="1"/>
  <c r="U3956" i="1"/>
  <c r="V3956" i="1"/>
  <c r="W3956" i="1"/>
  <c r="X3956" i="1"/>
  <c r="Y3956" i="1"/>
  <c r="Z3956" i="1"/>
  <c r="AB3956" i="1"/>
  <c r="AF3956" i="1"/>
  <c r="AI3956" i="1"/>
  <c r="AE3957" i="1"/>
  <c r="AC3957" i="1"/>
  <c r="AJ3956" i="1"/>
  <c r="AK3956" i="1"/>
  <c r="AM3956" i="1"/>
  <c r="BF3956" i="1"/>
  <c r="BG3956" i="1"/>
  <c r="T3957" i="1"/>
  <c r="U3957" i="1"/>
  <c r="V3957" i="1"/>
  <c r="W3957" i="1"/>
  <c r="X3957" i="1"/>
  <c r="Y3957" i="1"/>
  <c r="Z3957" i="1"/>
  <c r="AB3957" i="1"/>
  <c r="AF3957" i="1"/>
  <c r="AI3957" i="1"/>
  <c r="H3958" i="1"/>
  <c r="AE3958" i="1"/>
  <c r="I3958" i="1"/>
  <c r="J3958" i="1"/>
  <c r="K3958" i="1"/>
  <c r="AC3958" i="1"/>
  <c r="AJ3957" i="1"/>
  <c r="AK3957" i="1"/>
  <c r="AM3957" i="1"/>
  <c r="BG3957" i="1"/>
  <c r="T3958" i="1"/>
  <c r="U3958" i="1"/>
  <c r="V3958" i="1"/>
  <c r="W3958" i="1"/>
  <c r="X3958" i="1"/>
  <c r="Y3958" i="1"/>
  <c r="Z3958" i="1"/>
  <c r="AB3958" i="1"/>
  <c r="AF3958" i="1"/>
  <c r="AI3958" i="1"/>
  <c r="AE3959" i="1"/>
  <c r="AC3959" i="1"/>
  <c r="AJ3958" i="1"/>
  <c r="AK3958" i="1"/>
  <c r="AM3958" i="1"/>
  <c r="BF3958" i="1"/>
  <c r="BG3958" i="1"/>
  <c r="T3959" i="1"/>
  <c r="U3959" i="1"/>
  <c r="V3959" i="1"/>
  <c r="W3959" i="1"/>
  <c r="X3959" i="1"/>
  <c r="Y3959" i="1"/>
  <c r="Z3959" i="1"/>
  <c r="AB3959" i="1"/>
  <c r="AF3959" i="1"/>
  <c r="AI3959" i="1"/>
  <c r="AE3960" i="1"/>
  <c r="AC3960" i="1"/>
  <c r="AJ3959" i="1"/>
  <c r="AK3959" i="1"/>
  <c r="AM3959" i="1"/>
  <c r="BF3959" i="1"/>
  <c r="BG3959" i="1"/>
  <c r="T3960" i="1"/>
  <c r="U3960" i="1"/>
  <c r="V3960" i="1"/>
  <c r="W3960" i="1"/>
  <c r="X3960" i="1"/>
  <c r="Y3960" i="1"/>
  <c r="Z3960" i="1"/>
  <c r="AB3960" i="1"/>
  <c r="AF3960" i="1"/>
  <c r="AI3960" i="1"/>
  <c r="AE3961" i="1"/>
  <c r="AC3961" i="1"/>
  <c r="AJ3960" i="1"/>
  <c r="AK3960" i="1"/>
  <c r="AM3960" i="1"/>
  <c r="BF3960" i="1"/>
  <c r="BG3960" i="1"/>
  <c r="T3961" i="1"/>
  <c r="U3961" i="1"/>
  <c r="V3961" i="1"/>
  <c r="W3961" i="1"/>
  <c r="X3961" i="1"/>
  <c r="Y3961" i="1"/>
  <c r="Z3961" i="1"/>
  <c r="AB3961" i="1"/>
  <c r="AF3961" i="1"/>
  <c r="AI3961" i="1"/>
  <c r="H3962" i="1"/>
  <c r="AE3962" i="1"/>
  <c r="I3962" i="1"/>
  <c r="J3962" i="1"/>
  <c r="K3962" i="1"/>
  <c r="AC3962" i="1"/>
  <c r="AJ3961" i="1"/>
  <c r="AK3961" i="1"/>
  <c r="AM3961" i="1"/>
  <c r="BG3961" i="1"/>
  <c r="T3962" i="1"/>
  <c r="U3962" i="1"/>
  <c r="V3962" i="1"/>
  <c r="W3962" i="1"/>
  <c r="X3962" i="1"/>
  <c r="Y3962" i="1"/>
  <c r="Z3962" i="1"/>
  <c r="AB3962" i="1"/>
  <c r="AF3962" i="1"/>
  <c r="AI3962" i="1"/>
  <c r="AE3963" i="1"/>
  <c r="AC3963" i="1"/>
  <c r="AJ3962" i="1"/>
  <c r="AK3962" i="1"/>
  <c r="AM3962" i="1"/>
  <c r="BF3962" i="1"/>
  <c r="BG3962" i="1"/>
  <c r="T3963" i="1"/>
  <c r="U3963" i="1"/>
  <c r="V3963" i="1"/>
  <c r="W3963" i="1"/>
  <c r="X3963" i="1"/>
  <c r="Y3963" i="1"/>
  <c r="Z3963" i="1"/>
  <c r="AB3963" i="1"/>
  <c r="AF3963" i="1"/>
  <c r="AI3963" i="1"/>
  <c r="AE3964" i="1"/>
  <c r="AC3964" i="1"/>
  <c r="AJ3963" i="1"/>
  <c r="AK3963" i="1"/>
  <c r="AM3963" i="1"/>
  <c r="BF3963" i="1"/>
  <c r="BG3963" i="1"/>
  <c r="T3964" i="1"/>
  <c r="U3964" i="1"/>
  <c r="V3964" i="1"/>
  <c r="W3964" i="1"/>
  <c r="X3964" i="1"/>
  <c r="Y3964" i="1"/>
  <c r="Z3964" i="1"/>
  <c r="AB3964" i="1"/>
  <c r="AF3964" i="1"/>
  <c r="AI3964" i="1"/>
  <c r="H3965" i="1"/>
  <c r="AE3965" i="1"/>
  <c r="I3965" i="1"/>
  <c r="J3965" i="1"/>
  <c r="K3965" i="1"/>
  <c r="AC3965" i="1"/>
  <c r="AJ3964" i="1"/>
  <c r="AK3964" i="1"/>
  <c r="AM3964" i="1"/>
  <c r="BG3964" i="1"/>
  <c r="T3965" i="1"/>
  <c r="U3965" i="1"/>
  <c r="V3965" i="1"/>
  <c r="W3965" i="1"/>
  <c r="X3965" i="1"/>
  <c r="Y3965" i="1"/>
  <c r="Z3965" i="1"/>
  <c r="AB3965" i="1"/>
  <c r="AF3965" i="1"/>
  <c r="AI3965" i="1"/>
  <c r="AE3966" i="1"/>
  <c r="AC3966" i="1"/>
  <c r="AJ3965" i="1"/>
  <c r="AK3965" i="1"/>
  <c r="AM3965" i="1"/>
  <c r="BF3965" i="1"/>
  <c r="BG3965" i="1"/>
  <c r="T3966" i="1"/>
  <c r="U3966" i="1"/>
  <c r="V3966" i="1"/>
  <c r="W3966" i="1"/>
  <c r="X3966" i="1"/>
  <c r="Y3966" i="1"/>
  <c r="Z3966" i="1"/>
  <c r="AB3966" i="1"/>
  <c r="AF3966" i="1"/>
  <c r="AI3966" i="1"/>
  <c r="AE3967" i="1"/>
  <c r="AC3967" i="1"/>
  <c r="AJ3966" i="1"/>
  <c r="AK3966" i="1"/>
  <c r="AM3966" i="1"/>
  <c r="BF3966" i="1"/>
  <c r="BG3966" i="1"/>
  <c r="T3967" i="1"/>
  <c r="U3967" i="1"/>
  <c r="V3967" i="1"/>
  <c r="W3967" i="1"/>
  <c r="X3967" i="1"/>
  <c r="Y3967" i="1"/>
  <c r="Z3967" i="1"/>
  <c r="AB3967" i="1"/>
  <c r="AF3967" i="1"/>
  <c r="AI3967" i="1"/>
  <c r="H3968" i="1"/>
  <c r="AE3968" i="1"/>
  <c r="I3968" i="1"/>
  <c r="J3968" i="1"/>
  <c r="K3968" i="1"/>
  <c r="AC3968" i="1"/>
  <c r="AJ3967" i="1"/>
  <c r="AK3967" i="1"/>
  <c r="AM3967" i="1"/>
  <c r="BG3967" i="1"/>
  <c r="T3968" i="1"/>
  <c r="U3968" i="1"/>
  <c r="V3968" i="1"/>
  <c r="W3968" i="1"/>
  <c r="X3968" i="1"/>
  <c r="Y3968" i="1"/>
  <c r="Z3968" i="1"/>
  <c r="AB3968" i="1"/>
  <c r="AF3968" i="1"/>
  <c r="AI3968" i="1"/>
  <c r="H3969" i="1"/>
  <c r="AE3969" i="1"/>
  <c r="I3969" i="1"/>
  <c r="J3969" i="1"/>
  <c r="K3969" i="1"/>
  <c r="AC3969" i="1"/>
  <c r="AJ3968" i="1"/>
  <c r="AK3968" i="1"/>
  <c r="AM3968" i="1"/>
  <c r="BF3968" i="1"/>
  <c r="BG3968" i="1"/>
  <c r="T3969" i="1"/>
  <c r="U3969" i="1"/>
  <c r="V3969" i="1"/>
  <c r="W3969" i="1"/>
  <c r="X3969" i="1"/>
  <c r="Y3969" i="1"/>
  <c r="Z3969" i="1"/>
  <c r="AB3969" i="1"/>
  <c r="AF3969" i="1"/>
  <c r="AI3969" i="1"/>
  <c r="H3970" i="1"/>
  <c r="AE3970" i="1"/>
  <c r="I3970" i="1"/>
  <c r="J3970" i="1"/>
  <c r="K3970" i="1"/>
  <c r="AC3970" i="1"/>
  <c r="AJ3969" i="1"/>
  <c r="AK3969" i="1"/>
  <c r="AM3969" i="1"/>
  <c r="BF3969" i="1"/>
  <c r="BG3969" i="1"/>
  <c r="T3970" i="1"/>
  <c r="U3970" i="1"/>
  <c r="V3970" i="1"/>
  <c r="W3970" i="1"/>
  <c r="X3970" i="1"/>
  <c r="Y3970" i="1"/>
  <c r="Z3970" i="1"/>
  <c r="AB3970" i="1"/>
  <c r="AF3970" i="1"/>
  <c r="AI3970" i="1"/>
  <c r="AE3971" i="1"/>
  <c r="AC3971" i="1"/>
  <c r="AJ3970" i="1"/>
  <c r="AK3970" i="1"/>
  <c r="AM3970" i="1"/>
  <c r="BF3970" i="1"/>
  <c r="BG3970" i="1"/>
  <c r="T3971" i="1"/>
  <c r="U3971" i="1"/>
  <c r="V3971" i="1"/>
  <c r="W3971" i="1"/>
  <c r="X3971" i="1"/>
  <c r="Y3971" i="1"/>
  <c r="Z3971" i="1"/>
  <c r="AB3971" i="1"/>
  <c r="AF3971" i="1"/>
  <c r="AI3971" i="1"/>
  <c r="AE3972" i="1"/>
  <c r="AC3972" i="1"/>
  <c r="AJ3971" i="1"/>
  <c r="AK3971" i="1"/>
  <c r="AM3971" i="1"/>
  <c r="BF3971" i="1"/>
  <c r="BG3971" i="1"/>
  <c r="T3972" i="1"/>
  <c r="U3972" i="1"/>
  <c r="V3972" i="1"/>
  <c r="W3972" i="1"/>
  <c r="X3972" i="1"/>
  <c r="Y3972" i="1"/>
  <c r="Z3972" i="1"/>
  <c r="AB3972" i="1"/>
  <c r="AF3972" i="1"/>
  <c r="AI3972" i="1"/>
  <c r="H3973" i="1"/>
  <c r="AE3973" i="1"/>
  <c r="I3973" i="1"/>
  <c r="J3973" i="1"/>
  <c r="K3973" i="1"/>
  <c r="AC3973" i="1"/>
  <c r="AJ3972" i="1"/>
  <c r="AK3972" i="1"/>
  <c r="AM3972" i="1"/>
  <c r="BG3972" i="1"/>
  <c r="T3973" i="1"/>
  <c r="U3973" i="1"/>
  <c r="V3973" i="1"/>
  <c r="W3973" i="1"/>
  <c r="X3973" i="1"/>
  <c r="Y3973" i="1"/>
  <c r="Z3973" i="1"/>
  <c r="AB3973" i="1"/>
  <c r="AF3973" i="1"/>
  <c r="AI3973" i="1"/>
  <c r="AE3974" i="1"/>
  <c r="AC3974" i="1"/>
  <c r="AJ3973" i="1"/>
  <c r="AK3973" i="1"/>
  <c r="AM3973" i="1"/>
  <c r="BF3973" i="1"/>
  <c r="BG3973" i="1"/>
  <c r="T3974" i="1"/>
  <c r="U3974" i="1"/>
  <c r="V3974" i="1"/>
  <c r="W3974" i="1"/>
  <c r="X3974" i="1"/>
  <c r="Y3974" i="1"/>
  <c r="Z3974" i="1"/>
  <c r="AB3974" i="1"/>
  <c r="AF3974" i="1"/>
  <c r="AI3974" i="1"/>
  <c r="AE3975" i="1"/>
  <c r="AC3975" i="1"/>
  <c r="AJ3974" i="1"/>
  <c r="AK3974" i="1"/>
  <c r="AM3974" i="1"/>
  <c r="BF3974" i="1"/>
  <c r="BG3974" i="1"/>
  <c r="T3975" i="1"/>
  <c r="U3975" i="1"/>
  <c r="V3975" i="1"/>
  <c r="W3975" i="1"/>
  <c r="X3975" i="1"/>
  <c r="Y3975" i="1"/>
  <c r="Z3975" i="1"/>
  <c r="AB3975" i="1"/>
  <c r="AF3975" i="1"/>
  <c r="AI3975" i="1"/>
  <c r="AE3976" i="1"/>
  <c r="AC3976" i="1"/>
  <c r="AJ3975" i="1"/>
  <c r="AK3975" i="1"/>
  <c r="AM3975" i="1"/>
  <c r="BF3975" i="1"/>
  <c r="BG3975" i="1"/>
  <c r="T3976" i="1"/>
  <c r="U3976" i="1"/>
  <c r="V3976" i="1"/>
  <c r="W3976" i="1"/>
  <c r="X3976" i="1"/>
  <c r="Y3976" i="1"/>
  <c r="Z3976" i="1"/>
  <c r="AB3976" i="1"/>
  <c r="AF3976" i="1"/>
  <c r="AI3976" i="1"/>
  <c r="AE3977" i="1"/>
  <c r="AC3977" i="1"/>
  <c r="AJ3976" i="1"/>
  <c r="AK3976" i="1"/>
  <c r="AM3976" i="1"/>
  <c r="BF3976" i="1"/>
  <c r="BG3976" i="1"/>
  <c r="T3977" i="1"/>
  <c r="U3977" i="1"/>
  <c r="V3977" i="1"/>
  <c r="W3977" i="1"/>
  <c r="X3977" i="1"/>
  <c r="Y3977" i="1"/>
  <c r="Z3977" i="1"/>
  <c r="AB3977" i="1"/>
  <c r="AF3977" i="1"/>
  <c r="AI3977" i="1"/>
  <c r="H3978" i="1"/>
  <c r="AE3978" i="1"/>
  <c r="I3978" i="1"/>
  <c r="J3978" i="1"/>
  <c r="K3978" i="1"/>
  <c r="AC3978" i="1"/>
  <c r="AJ3977" i="1"/>
  <c r="AK3977" i="1"/>
  <c r="AM3977" i="1"/>
  <c r="BG3977" i="1"/>
  <c r="T3978" i="1"/>
  <c r="U3978" i="1"/>
  <c r="V3978" i="1"/>
  <c r="W3978" i="1"/>
  <c r="X3978" i="1"/>
  <c r="Y3978" i="1"/>
  <c r="Z3978" i="1"/>
  <c r="AB3978" i="1"/>
  <c r="AF3978" i="1"/>
  <c r="AI3978" i="1"/>
  <c r="H3979" i="1"/>
  <c r="AE3979" i="1"/>
  <c r="I3979" i="1"/>
  <c r="J3979" i="1"/>
  <c r="K3979" i="1"/>
  <c r="AC3979" i="1"/>
  <c r="AJ3978" i="1"/>
  <c r="AK3978" i="1"/>
  <c r="AM3978" i="1"/>
  <c r="BF3978" i="1"/>
  <c r="BG3978" i="1"/>
  <c r="T3979" i="1"/>
  <c r="U3979" i="1"/>
  <c r="V3979" i="1"/>
  <c r="W3979" i="1"/>
  <c r="X3979" i="1"/>
  <c r="Y3979" i="1"/>
  <c r="Z3979" i="1"/>
  <c r="AB3979" i="1"/>
  <c r="AF3979" i="1"/>
  <c r="AI3979" i="1"/>
  <c r="AE3980" i="1"/>
  <c r="AC3980" i="1"/>
  <c r="AJ3979" i="1"/>
  <c r="AK3979" i="1"/>
  <c r="AM3979" i="1"/>
  <c r="BF3979" i="1"/>
  <c r="BG3979" i="1"/>
  <c r="T3980" i="1"/>
  <c r="U3980" i="1"/>
  <c r="V3980" i="1"/>
  <c r="W3980" i="1"/>
  <c r="X3980" i="1"/>
  <c r="Y3980" i="1"/>
  <c r="Z3980" i="1"/>
  <c r="AB3980" i="1"/>
  <c r="AF3980" i="1"/>
  <c r="AI3980" i="1"/>
  <c r="AE3981" i="1"/>
  <c r="AC3981" i="1"/>
  <c r="AJ3980" i="1"/>
  <c r="AK3980" i="1"/>
  <c r="AM3980" i="1"/>
  <c r="BF3980" i="1"/>
  <c r="BG3980" i="1"/>
  <c r="T3981" i="1"/>
  <c r="U3981" i="1"/>
  <c r="V3981" i="1"/>
  <c r="W3981" i="1"/>
  <c r="X3981" i="1"/>
  <c r="Y3981" i="1"/>
  <c r="Z3981" i="1"/>
  <c r="AB3981" i="1"/>
  <c r="AF3981" i="1"/>
  <c r="AI3981" i="1"/>
  <c r="H3982" i="1"/>
  <c r="AE3982" i="1"/>
  <c r="I3982" i="1"/>
  <c r="J3982" i="1"/>
  <c r="K3982" i="1"/>
  <c r="AC3982" i="1"/>
  <c r="AJ3981" i="1"/>
  <c r="AK3981" i="1"/>
  <c r="AM3981" i="1"/>
  <c r="BG3981" i="1"/>
  <c r="T3982" i="1"/>
  <c r="U3982" i="1"/>
  <c r="V3982" i="1"/>
  <c r="W3982" i="1"/>
  <c r="X3982" i="1"/>
  <c r="Y3982" i="1"/>
  <c r="Z3982" i="1"/>
  <c r="AB3982" i="1"/>
  <c r="AF3982" i="1"/>
  <c r="AI3982" i="1"/>
  <c r="H3983" i="1"/>
  <c r="AE3983" i="1"/>
  <c r="I3983" i="1"/>
  <c r="J3983" i="1"/>
  <c r="K3983" i="1"/>
  <c r="AC3983" i="1"/>
  <c r="AJ3982" i="1"/>
  <c r="AK3982" i="1"/>
  <c r="AM3982" i="1"/>
  <c r="BF3982" i="1"/>
  <c r="BG3982" i="1"/>
  <c r="T3983" i="1"/>
  <c r="U3983" i="1"/>
  <c r="V3983" i="1"/>
  <c r="W3983" i="1"/>
  <c r="X3983" i="1"/>
  <c r="Y3983" i="1"/>
  <c r="Z3983" i="1"/>
  <c r="AB3983" i="1"/>
  <c r="AF3983" i="1"/>
  <c r="AI3983" i="1"/>
  <c r="H3984" i="1"/>
  <c r="AE3984" i="1"/>
  <c r="I3984" i="1"/>
  <c r="J3984" i="1"/>
  <c r="K3984" i="1"/>
  <c r="AC3984" i="1"/>
  <c r="AJ3983" i="1"/>
  <c r="AK3983" i="1"/>
  <c r="AM3983" i="1"/>
  <c r="BF3983" i="1"/>
  <c r="BG3983" i="1"/>
  <c r="T3984" i="1"/>
  <c r="U3984" i="1"/>
  <c r="V3984" i="1"/>
  <c r="W3984" i="1"/>
  <c r="X3984" i="1"/>
  <c r="Y3984" i="1"/>
  <c r="Z3984" i="1"/>
  <c r="AB3984" i="1"/>
  <c r="AF3984" i="1"/>
  <c r="AI3984" i="1"/>
  <c r="AE3985" i="1"/>
  <c r="AC3985" i="1"/>
  <c r="AJ3984" i="1"/>
  <c r="AK3984" i="1"/>
  <c r="AM3984" i="1"/>
  <c r="BF3984" i="1"/>
  <c r="BG3984" i="1"/>
  <c r="T3985" i="1"/>
  <c r="U3985" i="1"/>
  <c r="V3985" i="1"/>
  <c r="W3985" i="1"/>
  <c r="X3985" i="1"/>
  <c r="Y3985" i="1"/>
  <c r="Z3985" i="1"/>
  <c r="AB3985" i="1"/>
  <c r="AF3985" i="1"/>
  <c r="AI3985" i="1"/>
  <c r="AE3986" i="1"/>
  <c r="AC3986" i="1"/>
  <c r="AJ3985" i="1"/>
  <c r="AK3985" i="1"/>
  <c r="AM3985" i="1"/>
  <c r="BF3985" i="1"/>
  <c r="BG3985" i="1"/>
  <c r="T3986" i="1"/>
  <c r="U3986" i="1"/>
  <c r="V3986" i="1"/>
  <c r="W3986" i="1"/>
  <c r="X3986" i="1"/>
  <c r="Y3986" i="1"/>
  <c r="Z3986" i="1"/>
  <c r="AB3986" i="1"/>
  <c r="AF3986" i="1"/>
  <c r="AI3986" i="1"/>
  <c r="H3987" i="1"/>
  <c r="AE3987" i="1"/>
  <c r="I3987" i="1"/>
  <c r="J3987" i="1"/>
  <c r="K3987" i="1"/>
  <c r="AC3987" i="1"/>
  <c r="AJ3986" i="1"/>
  <c r="AK3986" i="1"/>
  <c r="AM3986" i="1"/>
  <c r="BG3986" i="1"/>
  <c r="T3987" i="1"/>
  <c r="U3987" i="1"/>
  <c r="V3987" i="1"/>
  <c r="W3987" i="1"/>
  <c r="X3987" i="1"/>
  <c r="Y3987" i="1"/>
  <c r="Z3987" i="1"/>
  <c r="AB3987" i="1"/>
  <c r="AF3987" i="1"/>
  <c r="AI3987" i="1"/>
  <c r="H3988" i="1"/>
  <c r="AE3988" i="1"/>
  <c r="I3988" i="1"/>
  <c r="J3988" i="1"/>
  <c r="K3988" i="1"/>
  <c r="AC3988" i="1"/>
  <c r="AJ3987" i="1"/>
  <c r="AK3987" i="1"/>
  <c r="AM3987" i="1"/>
  <c r="BF3987" i="1"/>
  <c r="BG3987" i="1"/>
  <c r="T3988" i="1"/>
  <c r="U3988" i="1"/>
  <c r="V3988" i="1"/>
  <c r="W3988" i="1"/>
  <c r="X3988" i="1"/>
  <c r="Y3988" i="1"/>
  <c r="Z3988" i="1"/>
  <c r="AB3988" i="1"/>
  <c r="AF3988" i="1"/>
  <c r="AI3988" i="1"/>
  <c r="H3989" i="1"/>
  <c r="AE3989" i="1"/>
  <c r="I3989" i="1"/>
  <c r="J3989" i="1"/>
  <c r="K3989" i="1"/>
  <c r="AC3989" i="1"/>
  <c r="AJ3988" i="1"/>
  <c r="AK3988" i="1"/>
  <c r="AM3988" i="1"/>
  <c r="BF3988" i="1"/>
  <c r="BG3988" i="1"/>
  <c r="T3989" i="1"/>
  <c r="U3989" i="1"/>
  <c r="V3989" i="1"/>
  <c r="W3989" i="1"/>
  <c r="X3989" i="1"/>
  <c r="Y3989" i="1"/>
  <c r="Z3989" i="1"/>
  <c r="AB3989" i="1"/>
  <c r="AF3989" i="1"/>
  <c r="AI3989" i="1"/>
  <c r="AE3990" i="1"/>
  <c r="AC3990" i="1"/>
  <c r="AJ3989" i="1"/>
  <c r="AK3989" i="1"/>
  <c r="AM3989" i="1"/>
  <c r="BF3989" i="1"/>
  <c r="BG3989" i="1"/>
  <c r="T3990" i="1"/>
  <c r="U3990" i="1"/>
  <c r="V3990" i="1"/>
  <c r="W3990" i="1"/>
  <c r="X3990" i="1"/>
  <c r="Y3990" i="1"/>
  <c r="Z3990" i="1"/>
  <c r="AB3990" i="1"/>
  <c r="AF3990" i="1"/>
  <c r="AI3990" i="1"/>
  <c r="AE3991" i="1"/>
  <c r="AC3991" i="1"/>
  <c r="AJ3990" i="1"/>
  <c r="AK3990" i="1"/>
  <c r="AM3990" i="1"/>
  <c r="BF3990" i="1"/>
  <c r="BG3990" i="1"/>
  <c r="T3991" i="1"/>
  <c r="U3991" i="1"/>
  <c r="V3991" i="1"/>
  <c r="W3991" i="1"/>
  <c r="X3991" i="1"/>
  <c r="Y3991" i="1"/>
  <c r="Z3991" i="1"/>
  <c r="AB3991" i="1"/>
  <c r="AF3991" i="1"/>
  <c r="AI3991" i="1"/>
  <c r="H3992" i="1"/>
  <c r="AE3992" i="1"/>
  <c r="I3992" i="1"/>
  <c r="J3992" i="1"/>
  <c r="K3992" i="1"/>
  <c r="AC3992" i="1"/>
  <c r="AJ3991" i="1"/>
  <c r="AK3991" i="1"/>
  <c r="AM3991" i="1"/>
  <c r="BG3991" i="1"/>
  <c r="T3992" i="1"/>
  <c r="U3992" i="1"/>
  <c r="V3992" i="1"/>
  <c r="W3992" i="1"/>
  <c r="X3992" i="1"/>
  <c r="Y3992" i="1"/>
  <c r="Z3992" i="1"/>
  <c r="AB3992" i="1"/>
  <c r="AF3992" i="1"/>
  <c r="AI3992" i="1"/>
  <c r="H3993" i="1"/>
  <c r="AE3993" i="1"/>
  <c r="I3993" i="1"/>
  <c r="J3993" i="1"/>
  <c r="K3993" i="1"/>
  <c r="AC3993" i="1"/>
  <c r="AJ3992" i="1"/>
  <c r="AK3992" i="1"/>
  <c r="AM3992" i="1"/>
  <c r="BF3992" i="1"/>
  <c r="BG3992" i="1"/>
  <c r="T3993" i="1"/>
  <c r="U3993" i="1"/>
  <c r="V3993" i="1"/>
  <c r="W3993" i="1"/>
  <c r="X3993" i="1"/>
  <c r="Y3993" i="1"/>
  <c r="Z3993" i="1"/>
  <c r="AB3993" i="1"/>
  <c r="AF3993" i="1"/>
  <c r="AI3993" i="1"/>
  <c r="AE3994" i="1"/>
  <c r="AC3994" i="1"/>
  <c r="AJ3993" i="1"/>
  <c r="AK3993" i="1"/>
  <c r="AM3993" i="1"/>
  <c r="BF3993" i="1"/>
  <c r="BG3993" i="1"/>
  <c r="T3994" i="1"/>
  <c r="U3994" i="1"/>
  <c r="V3994" i="1"/>
  <c r="W3994" i="1"/>
  <c r="X3994" i="1"/>
  <c r="Y3994" i="1"/>
  <c r="Z3994" i="1"/>
  <c r="AB3994" i="1"/>
  <c r="AF3994" i="1"/>
  <c r="AI3994" i="1"/>
  <c r="AE3995" i="1"/>
  <c r="AC3995" i="1"/>
  <c r="AJ3994" i="1"/>
  <c r="AK3994" i="1"/>
  <c r="AM3994" i="1"/>
  <c r="BF3994" i="1"/>
  <c r="BG3994" i="1"/>
  <c r="T3995" i="1"/>
  <c r="U3995" i="1"/>
  <c r="V3995" i="1"/>
  <c r="W3995" i="1"/>
  <c r="X3995" i="1"/>
  <c r="Y3995" i="1"/>
  <c r="Z3995" i="1"/>
  <c r="AB3995" i="1"/>
  <c r="AF3995" i="1"/>
  <c r="AI3995" i="1"/>
  <c r="H3996" i="1"/>
  <c r="AE3996" i="1"/>
  <c r="I3996" i="1"/>
  <c r="J3996" i="1"/>
  <c r="K3996" i="1"/>
  <c r="AC3996" i="1"/>
  <c r="AJ3995" i="1"/>
  <c r="AK3995" i="1"/>
  <c r="AM3995" i="1"/>
  <c r="BG3995" i="1"/>
  <c r="T3996" i="1"/>
  <c r="U3996" i="1"/>
  <c r="V3996" i="1"/>
  <c r="W3996" i="1"/>
  <c r="X3996" i="1"/>
  <c r="Y3996" i="1"/>
  <c r="Z3996" i="1"/>
  <c r="AB3996" i="1"/>
  <c r="AF3996" i="1"/>
  <c r="AI3996" i="1"/>
  <c r="AE3997" i="1"/>
  <c r="AC3997" i="1"/>
  <c r="AJ3996" i="1"/>
  <c r="AK3996" i="1"/>
  <c r="AM3996" i="1"/>
  <c r="BF3996" i="1"/>
  <c r="BG3996" i="1"/>
  <c r="T3997" i="1"/>
  <c r="U3997" i="1"/>
  <c r="V3997" i="1"/>
  <c r="W3997" i="1"/>
  <c r="X3997" i="1"/>
  <c r="Y3997" i="1"/>
  <c r="Z3997" i="1"/>
  <c r="AB3997" i="1"/>
  <c r="AF3997" i="1"/>
  <c r="AI3997" i="1"/>
  <c r="AE3998" i="1"/>
  <c r="AC3998" i="1"/>
  <c r="AJ3997" i="1"/>
  <c r="AK3997" i="1"/>
  <c r="AM3997" i="1"/>
  <c r="BF3997" i="1"/>
  <c r="BG3997" i="1"/>
  <c r="T3998" i="1"/>
  <c r="U3998" i="1"/>
  <c r="V3998" i="1"/>
  <c r="W3998" i="1"/>
  <c r="X3998" i="1"/>
  <c r="Y3998" i="1"/>
  <c r="Z3998" i="1"/>
  <c r="AB3998" i="1"/>
  <c r="AF3998" i="1"/>
  <c r="AI3998" i="1"/>
  <c r="H3999" i="1"/>
  <c r="AE3999" i="1"/>
  <c r="I3999" i="1"/>
  <c r="J3999" i="1"/>
  <c r="K3999" i="1"/>
  <c r="AC3999" i="1"/>
  <c r="AJ3998" i="1"/>
  <c r="AK3998" i="1"/>
  <c r="AM3998" i="1"/>
  <c r="BG3998" i="1"/>
  <c r="T3999" i="1"/>
  <c r="U3999" i="1"/>
  <c r="V3999" i="1"/>
  <c r="W3999" i="1"/>
  <c r="X3999" i="1"/>
  <c r="Y3999" i="1"/>
  <c r="Z3999" i="1"/>
  <c r="AB3999" i="1"/>
  <c r="AF3999" i="1"/>
  <c r="AI3999" i="1"/>
  <c r="H4000" i="1"/>
  <c r="AE4000" i="1"/>
  <c r="I4000" i="1"/>
  <c r="J4000" i="1"/>
  <c r="K4000" i="1"/>
  <c r="AC4000" i="1"/>
  <c r="AJ3999" i="1"/>
  <c r="AK3999" i="1"/>
  <c r="AM3999" i="1"/>
  <c r="BF3999" i="1"/>
  <c r="BG3999" i="1"/>
  <c r="T4000" i="1"/>
  <c r="U4000" i="1"/>
  <c r="V4000" i="1"/>
  <c r="W4000" i="1"/>
  <c r="X4000" i="1"/>
  <c r="Y4000" i="1"/>
  <c r="Z4000" i="1"/>
  <c r="AB4000" i="1"/>
  <c r="AF4000" i="1"/>
  <c r="AI4000" i="1"/>
  <c r="AE4001" i="1"/>
  <c r="AC4001" i="1"/>
  <c r="AJ4000" i="1"/>
  <c r="AK4000" i="1"/>
  <c r="AM4000" i="1"/>
  <c r="BF4000" i="1"/>
  <c r="BG4000" i="1"/>
  <c r="T4001" i="1"/>
  <c r="U4001" i="1"/>
  <c r="V4001" i="1"/>
  <c r="W4001" i="1"/>
  <c r="X4001" i="1"/>
  <c r="Y4001" i="1"/>
  <c r="Z4001" i="1"/>
  <c r="AB4001" i="1"/>
  <c r="AF4001" i="1"/>
  <c r="AI4001" i="1"/>
  <c r="AE4002" i="1"/>
  <c r="AC4002" i="1"/>
  <c r="AJ4001" i="1"/>
  <c r="AK4001" i="1"/>
  <c r="AM4001" i="1"/>
  <c r="BF4001" i="1"/>
  <c r="BG4001" i="1"/>
  <c r="T4002" i="1"/>
  <c r="U4002" i="1"/>
  <c r="V4002" i="1"/>
  <c r="W4002" i="1"/>
  <c r="X4002" i="1"/>
  <c r="Y4002" i="1"/>
  <c r="Z4002" i="1"/>
  <c r="AB4002" i="1"/>
  <c r="AF4002" i="1"/>
  <c r="AI4002" i="1"/>
  <c r="H4003" i="1"/>
  <c r="AE4003" i="1"/>
  <c r="I4003" i="1"/>
  <c r="J4003" i="1"/>
  <c r="K4003" i="1"/>
  <c r="AC4003" i="1"/>
  <c r="AJ4002" i="1"/>
  <c r="AK4002" i="1"/>
  <c r="AM4002" i="1"/>
  <c r="BG4002" i="1"/>
  <c r="T4003" i="1"/>
  <c r="U4003" i="1"/>
  <c r="V4003" i="1"/>
  <c r="W4003" i="1"/>
  <c r="X4003" i="1"/>
  <c r="Y4003" i="1"/>
  <c r="Z4003" i="1"/>
  <c r="AB4003" i="1"/>
  <c r="AF4003" i="1"/>
  <c r="AI4003" i="1"/>
  <c r="AE4004" i="1"/>
  <c r="AC4004" i="1"/>
  <c r="AJ4003" i="1"/>
  <c r="AK4003" i="1"/>
  <c r="AM4003" i="1"/>
  <c r="BF4003" i="1"/>
  <c r="BG4003" i="1"/>
  <c r="T4004" i="1"/>
  <c r="U4004" i="1"/>
  <c r="V4004" i="1"/>
  <c r="W4004" i="1"/>
  <c r="X4004" i="1"/>
  <c r="Y4004" i="1"/>
  <c r="Z4004" i="1"/>
  <c r="AB4004" i="1"/>
  <c r="AF4004" i="1"/>
  <c r="AI4004" i="1"/>
  <c r="AE4005" i="1"/>
  <c r="AC4005" i="1"/>
  <c r="AJ4004" i="1"/>
  <c r="AK4004" i="1"/>
  <c r="AM4004" i="1"/>
  <c r="BF4004" i="1"/>
  <c r="BG4004" i="1"/>
  <c r="T4005" i="1"/>
  <c r="U4005" i="1"/>
  <c r="V4005" i="1"/>
  <c r="W4005" i="1"/>
  <c r="X4005" i="1"/>
  <c r="Y4005" i="1"/>
  <c r="Z4005" i="1"/>
  <c r="AB4005" i="1"/>
  <c r="AF4005" i="1"/>
  <c r="AI4005" i="1"/>
  <c r="AE4006" i="1"/>
  <c r="AC4006" i="1"/>
  <c r="AJ4005" i="1"/>
  <c r="AK4005" i="1"/>
  <c r="AM4005" i="1"/>
  <c r="BF4005" i="1"/>
  <c r="BG4005" i="1"/>
  <c r="T4006" i="1"/>
  <c r="U4006" i="1"/>
  <c r="V4006" i="1"/>
  <c r="W4006" i="1"/>
  <c r="X4006" i="1"/>
  <c r="Y4006" i="1"/>
  <c r="Z4006" i="1"/>
  <c r="AB4006" i="1"/>
  <c r="AF4006" i="1"/>
  <c r="AI4006" i="1"/>
  <c r="H4007" i="1"/>
  <c r="AE4007" i="1"/>
  <c r="I4007" i="1"/>
  <c r="J4007" i="1"/>
  <c r="K4007" i="1"/>
  <c r="AC4007" i="1"/>
  <c r="AJ4006" i="1"/>
  <c r="AK4006" i="1"/>
  <c r="AM4006" i="1"/>
  <c r="BG4006" i="1"/>
  <c r="T4007" i="1"/>
  <c r="U4007" i="1"/>
  <c r="V4007" i="1"/>
  <c r="W4007" i="1"/>
  <c r="X4007" i="1"/>
  <c r="Y4007" i="1"/>
  <c r="Z4007" i="1"/>
  <c r="AB4007" i="1"/>
  <c r="AF4007" i="1"/>
  <c r="AI4007" i="1"/>
  <c r="AE4008" i="1"/>
  <c r="AC4008" i="1"/>
  <c r="AJ4007" i="1"/>
  <c r="AK4007" i="1"/>
  <c r="AM4007" i="1"/>
  <c r="BF4007" i="1"/>
  <c r="BG4007" i="1"/>
  <c r="T4008" i="1"/>
  <c r="U4008" i="1"/>
  <c r="V4008" i="1"/>
  <c r="W4008" i="1"/>
  <c r="X4008" i="1"/>
  <c r="Y4008" i="1"/>
  <c r="Z4008" i="1"/>
  <c r="AB4008" i="1"/>
  <c r="AF4008" i="1"/>
  <c r="AI4008" i="1"/>
  <c r="AE4009" i="1"/>
  <c r="AC4009" i="1"/>
  <c r="AJ4008" i="1"/>
  <c r="AK4008" i="1"/>
  <c r="AM4008" i="1"/>
  <c r="BF4008" i="1"/>
  <c r="BG4008" i="1"/>
  <c r="T4009" i="1"/>
  <c r="U4009" i="1"/>
  <c r="V4009" i="1"/>
  <c r="W4009" i="1"/>
  <c r="X4009" i="1"/>
  <c r="Y4009" i="1"/>
  <c r="Z4009" i="1"/>
  <c r="AB4009" i="1"/>
  <c r="AF4009" i="1"/>
  <c r="AI4009" i="1"/>
  <c r="AE4010" i="1"/>
  <c r="AC4010" i="1"/>
  <c r="AJ4009" i="1"/>
  <c r="AK4009" i="1"/>
  <c r="AM4009" i="1"/>
  <c r="BF4009" i="1"/>
  <c r="BG4009" i="1"/>
  <c r="T4010" i="1"/>
  <c r="U4010" i="1"/>
  <c r="V4010" i="1"/>
  <c r="W4010" i="1"/>
  <c r="X4010" i="1"/>
  <c r="Y4010" i="1"/>
  <c r="Z4010" i="1"/>
  <c r="AB4010" i="1"/>
  <c r="AF4010" i="1"/>
  <c r="AI4010" i="1"/>
  <c r="H4011" i="1"/>
  <c r="AE4011" i="1"/>
  <c r="I4011" i="1"/>
  <c r="J4011" i="1"/>
  <c r="K4011" i="1"/>
  <c r="AC4011" i="1"/>
  <c r="AJ4010" i="1"/>
  <c r="AK4010" i="1"/>
  <c r="AM4010" i="1"/>
  <c r="BG4010" i="1"/>
  <c r="T4011" i="1"/>
  <c r="U4011" i="1"/>
  <c r="V4011" i="1"/>
  <c r="W4011" i="1"/>
  <c r="X4011" i="1"/>
  <c r="Y4011" i="1"/>
  <c r="Z4011" i="1"/>
  <c r="AB4011" i="1"/>
  <c r="AF4011" i="1"/>
  <c r="AI4011" i="1"/>
  <c r="H4012" i="1"/>
  <c r="AE4012" i="1"/>
  <c r="I4012" i="1"/>
  <c r="J4012" i="1"/>
  <c r="K4012" i="1"/>
  <c r="AC4012" i="1"/>
  <c r="AJ4011" i="1"/>
  <c r="AK4011" i="1"/>
  <c r="AM4011" i="1"/>
  <c r="BF4011" i="1"/>
  <c r="BG4011" i="1"/>
  <c r="T4012" i="1"/>
  <c r="U4012" i="1"/>
  <c r="V4012" i="1"/>
  <c r="W4012" i="1"/>
  <c r="X4012" i="1"/>
  <c r="Y4012" i="1"/>
  <c r="Z4012" i="1"/>
  <c r="AB4012" i="1"/>
  <c r="AF4012" i="1"/>
  <c r="AI4012" i="1"/>
  <c r="AE4013" i="1"/>
  <c r="AC4013" i="1"/>
  <c r="AJ4012" i="1"/>
  <c r="AK4012" i="1"/>
  <c r="AM4012" i="1"/>
  <c r="BF4012" i="1"/>
  <c r="BG4012" i="1"/>
  <c r="T4013" i="1"/>
  <c r="U4013" i="1"/>
  <c r="V4013" i="1"/>
  <c r="W4013" i="1"/>
  <c r="X4013" i="1"/>
  <c r="Y4013" i="1"/>
  <c r="Z4013" i="1"/>
  <c r="AB4013" i="1"/>
  <c r="AF4013" i="1"/>
  <c r="AI4013" i="1"/>
  <c r="AE4014" i="1"/>
  <c r="AC4014" i="1"/>
  <c r="AJ4013" i="1"/>
  <c r="AK4013" i="1"/>
  <c r="AM4013" i="1"/>
  <c r="BF4013" i="1"/>
  <c r="BG4013" i="1"/>
  <c r="T4014" i="1"/>
  <c r="U4014" i="1"/>
  <c r="V4014" i="1"/>
  <c r="W4014" i="1"/>
  <c r="X4014" i="1"/>
  <c r="Y4014" i="1"/>
  <c r="Z4014" i="1"/>
  <c r="AB4014" i="1"/>
  <c r="AF4014" i="1"/>
  <c r="AI4014" i="1"/>
  <c r="H4015" i="1"/>
  <c r="AE4015" i="1"/>
  <c r="I4015" i="1"/>
  <c r="J4015" i="1"/>
  <c r="K4015" i="1"/>
  <c r="AC4015" i="1"/>
  <c r="AJ4014" i="1"/>
  <c r="AK4014" i="1"/>
  <c r="AM4014" i="1"/>
  <c r="BG4014" i="1"/>
  <c r="T4015" i="1"/>
  <c r="U4015" i="1"/>
  <c r="V4015" i="1"/>
  <c r="W4015" i="1"/>
  <c r="X4015" i="1"/>
  <c r="Y4015" i="1"/>
  <c r="Z4015" i="1"/>
  <c r="AB4015" i="1"/>
  <c r="AF4015" i="1"/>
  <c r="AI4015" i="1"/>
  <c r="AE4016" i="1"/>
  <c r="AC4016" i="1"/>
  <c r="AJ4015" i="1"/>
  <c r="AK4015" i="1"/>
  <c r="AM4015" i="1"/>
  <c r="BF4015" i="1"/>
  <c r="BG4015" i="1"/>
  <c r="T4016" i="1"/>
  <c r="U4016" i="1"/>
  <c r="V4016" i="1"/>
  <c r="W4016" i="1"/>
  <c r="X4016" i="1"/>
  <c r="Y4016" i="1"/>
  <c r="Z4016" i="1"/>
  <c r="AB4016" i="1"/>
  <c r="AF4016" i="1"/>
  <c r="AI4016" i="1"/>
  <c r="AE4017" i="1"/>
  <c r="AC4017" i="1"/>
  <c r="AJ4016" i="1"/>
  <c r="AK4016" i="1"/>
  <c r="AM4016" i="1"/>
  <c r="BF4016" i="1"/>
  <c r="BG4016" i="1"/>
  <c r="T4017" i="1"/>
  <c r="U4017" i="1"/>
  <c r="V4017" i="1"/>
  <c r="W4017" i="1"/>
  <c r="X4017" i="1"/>
  <c r="Y4017" i="1"/>
  <c r="Z4017" i="1"/>
  <c r="AB4017" i="1"/>
  <c r="AF4017" i="1"/>
  <c r="AI4017" i="1"/>
  <c r="H4018" i="1"/>
  <c r="AE4018" i="1"/>
  <c r="I4018" i="1"/>
  <c r="J4018" i="1"/>
  <c r="K4018" i="1"/>
  <c r="AC4018" i="1"/>
  <c r="AJ4017" i="1"/>
  <c r="AK4017" i="1"/>
  <c r="AM4017" i="1"/>
  <c r="BG4017" i="1"/>
  <c r="T4018" i="1"/>
  <c r="U4018" i="1"/>
  <c r="V4018" i="1"/>
  <c r="W4018" i="1"/>
  <c r="X4018" i="1"/>
  <c r="Y4018" i="1"/>
  <c r="Z4018" i="1"/>
  <c r="AB4018" i="1"/>
  <c r="AF4018" i="1"/>
  <c r="AI4018" i="1"/>
  <c r="AE4019" i="1"/>
  <c r="AC4019" i="1"/>
  <c r="AJ4018" i="1"/>
  <c r="AK4018" i="1"/>
  <c r="AM4018" i="1"/>
  <c r="BF4018" i="1"/>
  <c r="BG4018" i="1"/>
  <c r="T4019" i="1"/>
  <c r="U4019" i="1"/>
  <c r="V4019" i="1"/>
  <c r="W4019" i="1"/>
  <c r="X4019" i="1"/>
  <c r="Y4019" i="1"/>
  <c r="Z4019" i="1"/>
  <c r="AB4019" i="1"/>
  <c r="AF4019" i="1"/>
  <c r="AI4019" i="1"/>
  <c r="AE4020" i="1"/>
  <c r="AC4020" i="1"/>
  <c r="AJ4019" i="1"/>
  <c r="AK4019" i="1"/>
  <c r="AM4019" i="1"/>
  <c r="BF4019" i="1"/>
  <c r="BG4019" i="1"/>
  <c r="T4020" i="1"/>
  <c r="U4020" i="1"/>
  <c r="V4020" i="1"/>
  <c r="W4020" i="1"/>
  <c r="X4020" i="1"/>
  <c r="Y4020" i="1"/>
  <c r="Z4020" i="1"/>
  <c r="AB4020" i="1"/>
  <c r="AF4020" i="1"/>
  <c r="AI4020" i="1"/>
  <c r="AE4021" i="1"/>
  <c r="AC4021" i="1"/>
  <c r="AJ4020" i="1"/>
  <c r="AK4020" i="1"/>
  <c r="AM4020" i="1"/>
  <c r="BF4020" i="1"/>
  <c r="BG4020" i="1"/>
  <c r="T4021" i="1"/>
  <c r="U4021" i="1"/>
  <c r="V4021" i="1"/>
  <c r="W4021" i="1"/>
  <c r="X4021" i="1"/>
  <c r="Y4021" i="1"/>
  <c r="Z4021" i="1"/>
  <c r="AB4021" i="1"/>
  <c r="AF4021" i="1"/>
  <c r="AI4021" i="1"/>
  <c r="H4022" i="1"/>
  <c r="AE4022" i="1"/>
  <c r="I4022" i="1"/>
  <c r="J4022" i="1"/>
  <c r="K4022" i="1"/>
  <c r="AC4022" i="1"/>
  <c r="AJ4021" i="1"/>
  <c r="AK4021" i="1"/>
  <c r="AM4021" i="1"/>
  <c r="BG4021" i="1"/>
  <c r="T4022" i="1"/>
  <c r="U4022" i="1"/>
  <c r="V4022" i="1"/>
  <c r="W4022" i="1"/>
  <c r="X4022" i="1"/>
  <c r="Y4022" i="1"/>
  <c r="Z4022" i="1"/>
  <c r="AB4022" i="1"/>
  <c r="AF4022" i="1"/>
  <c r="AI4022" i="1"/>
  <c r="H4023" i="1"/>
  <c r="AE4023" i="1"/>
  <c r="I4023" i="1"/>
  <c r="J4023" i="1"/>
  <c r="K4023" i="1"/>
  <c r="AC4023" i="1"/>
  <c r="AJ4022" i="1"/>
  <c r="AK4022" i="1"/>
  <c r="AM4022" i="1"/>
  <c r="BF4022" i="1"/>
  <c r="BG4022" i="1"/>
  <c r="T4023" i="1"/>
  <c r="U4023" i="1"/>
  <c r="V4023" i="1"/>
  <c r="W4023" i="1"/>
  <c r="X4023" i="1"/>
  <c r="Y4023" i="1"/>
  <c r="Z4023" i="1"/>
  <c r="AB4023" i="1"/>
  <c r="AF4023" i="1"/>
  <c r="AI4023" i="1"/>
  <c r="H4024" i="1"/>
  <c r="AE4024" i="1"/>
  <c r="I4024" i="1"/>
  <c r="J4024" i="1"/>
  <c r="K4024" i="1"/>
  <c r="AC4024" i="1"/>
  <c r="AJ4023" i="1"/>
  <c r="AK4023" i="1"/>
  <c r="AM4023" i="1"/>
  <c r="BF4023" i="1"/>
  <c r="BG4023" i="1"/>
  <c r="T4024" i="1"/>
  <c r="U4024" i="1"/>
  <c r="V4024" i="1"/>
  <c r="W4024" i="1"/>
  <c r="X4024" i="1"/>
  <c r="Y4024" i="1"/>
  <c r="Z4024" i="1"/>
  <c r="AB4024" i="1"/>
  <c r="AF4024" i="1"/>
  <c r="AI4024" i="1"/>
  <c r="AE4025" i="1"/>
  <c r="AC4025" i="1"/>
  <c r="AJ4024" i="1"/>
  <c r="AK4024" i="1"/>
  <c r="AM4024" i="1"/>
  <c r="BF4024" i="1"/>
  <c r="BG4024" i="1"/>
  <c r="T4025" i="1"/>
  <c r="U4025" i="1"/>
  <c r="V4025" i="1"/>
  <c r="W4025" i="1"/>
  <c r="X4025" i="1"/>
  <c r="Y4025" i="1"/>
  <c r="Z4025" i="1"/>
  <c r="AB4025" i="1"/>
  <c r="AF4025" i="1"/>
  <c r="AI4025" i="1"/>
  <c r="AE4026" i="1"/>
  <c r="AC4026" i="1"/>
  <c r="AJ4025" i="1"/>
  <c r="AK4025" i="1"/>
  <c r="AM4025" i="1"/>
  <c r="BF4025" i="1"/>
  <c r="BG4025" i="1"/>
  <c r="T4026" i="1"/>
  <c r="U4026" i="1"/>
  <c r="V4026" i="1"/>
  <c r="W4026" i="1"/>
  <c r="X4026" i="1"/>
  <c r="Y4026" i="1"/>
  <c r="Z4026" i="1"/>
  <c r="AB4026" i="1"/>
  <c r="AF4026" i="1"/>
  <c r="AI4026" i="1"/>
  <c r="H4027" i="1"/>
  <c r="AE4027" i="1"/>
  <c r="I4027" i="1"/>
  <c r="J4027" i="1"/>
  <c r="K4027" i="1"/>
  <c r="AC4027" i="1"/>
  <c r="AJ4026" i="1"/>
  <c r="AK4026" i="1"/>
  <c r="AM4026" i="1"/>
  <c r="BG4026" i="1"/>
  <c r="T4027" i="1"/>
  <c r="U4027" i="1"/>
  <c r="V4027" i="1"/>
  <c r="W4027" i="1"/>
  <c r="X4027" i="1"/>
  <c r="Y4027" i="1"/>
  <c r="Z4027" i="1"/>
  <c r="AB4027" i="1"/>
  <c r="AF4027" i="1"/>
  <c r="AI4027" i="1"/>
  <c r="AE4028" i="1"/>
  <c r="AC4028" i="1"/>
  <c r="AJ4027" i="1"/>
  <c r="AK4027" i="1"/>
  <c r="AM4027" i="1"/>
  <c r="BF4027" i="1"/>
  <c r="BG4027" i="1"/>
  <c r="T4028" i="1"/>
  <c r="U4028" i="1"/>
  <c r="V4028" i="1"/>
  <c r="W4028" i="1"/>
  <c r="X4028" i="1"/>
  <c r="Y4028" i="1"/>
  <c r="Z4028" i="1"/>
  <c r="AB4028" i="1"/>
  <c r="AF4028" i="1"/>
  <c r="AI4028" i="1"/>
  <c r="AE4029" i="1"/>
  <c r="AC4029" i="1"/>
  <c r="AJ4028" i="1"/>
  <c r="AK4028" i="1"/>
  <c r="AM4028" i="1"/>
  <c r="BF4028" i="1"/>
  <c r="BG4028" i="1"/>
  <c r="T4029" i="1"/>
  <c r="U4029" i="1"/>
  <c r="V4029" i="1"/>
  <c r="W4029" i="1"/>
  <c r="X4029" i="1"/>
  <c r="Y4029" i="1"/>
  <c r="Z4029" i="1"/>
  <c r="AB4029" i="1"/>
  <c r="AF4029" i="1"/>
  <c r="AI4029" i="1"/>
  <c r="H4030" i="1"/>
  <c r="AE4030" i="1"/>
  <c r="I4030" i="1"/>
  <c r="J4030" i="1"/>
  <c r="K4030" i="1"/>
  <c r="AC4030" i="1"/>
  <c r="AJ4029" i="1"/>
  <c r="AK4029" i="1"/>
  <c r="AM4029" i="1"/>
  <c r="BG4029" i="1"/>
  <c r="T4030" i="1"/>
  <c r="U4030" i="1"/>
  <c r="V4030" i="1"/>
  <c r="W4030" i="1"/>
  <c r="X4030" i="1"/>
  <c r="Y4030" i="1"/>
  <c r="Z4030" i="1"/>
  <c r="AB4030" i="1"/>
  <c r="AF4030" i="1"/>
  <c r="AI4030" i="1"/>
  <c r="H4031" i="1"/>
  <c r="AE4031" i="1"/>
  <c r="I4031" i="1"/>
  <c r="J4031" i="1"/>
  <c r="K4031" i="1"/>
  <c r="AC4031" i="1"/>
  <c r="AJ4030" i="1"/>
  <c r="AK4030" i="1"/>
  <c r="AM4030" i="1"/>
  <c r="BF4030" i="1"/>
  <c r="BG4030" i="1"/>
  <c r="T4031" i="1"/>
  <c r="U4031" i="1"/>
  <c r="V4031" i="1"/>
  <c r="W4031" i="1"/>
  <c r="X4031" i="1"/>
  <c r="Y4031" i="1"/>
  <c r="Z4031" i="1"/>
  <c r="AB4031" i="1"/>
  <c r="AF4031" i="1"/>
  <c r="AI4031" i="1"/>
  <c r="H4032" i="1"/>
  <c r="AE4032" i="1"/>
  <c r="I4032" i="1"/>
  <c r="J4032" i="1"/>
  <c r="K4032" i="1"/>
  <c r="AC4032" i="1"/>
  <c r="AJ4031" i="1"/>
  <c r="AK4031" i="1"/>
  <c r="AM4031" i="1"/>
  <c r="BF4031" i="1"/>
  <c r="BG4031" i="1"/>
  <c r="T4032" i="1"/>
  <c r="U4032" i="1"/>
  <c r="V4032" i="1"/>
  <c r="W4032" i="1"/>
  <c r="X4032" i="1"/>
  <c r="Y4032" i="1"/>
  <c r="Z4032" i="1"/>
  <c r="AB4032" i="1"/>
  <c r="AF4032" i="1"/>
  <c r="AI4032" i="1"/>
  <c r="AE4033" i="1"/>
  <c r="AC4033" i="1"/>
  <c r="AJ4032" i="1"/>
  <c r="AK4032" i="1"/>
  <c r="AM4032" i="1"/>
  <c r="BF4032" i="1"/>
  <c r="BG4032" i="1"/>
  <c r="T4033" i="1"/>
  <c r="U4033" i="1"/>
  <c r="V4033" i="1"/>
  <c r="W4033" i="1"/>
  <c r="X4033" i="1"/>
  <c r="Y4033" i="1"/>
  <c r="Z4033" i="1"/>
  <c r="AB4033" i="1"/>
  <c r="AF4033" i="1"/>
  <c r="AI4033" i="1"/>
  <c r="AE4034" i="1"/>
  <c r="AC4034" i="1"/>
  <c r="AJ4033" i="1"/>
  <c r="AK4033" i="1"/>
  <c r="AM4033" i="1"/>
  <c r="BF4033" i="1"/>
  <c r="BG4033" i="1"/>
  <c r="T4034" i="1"/>
  <c r="U4034" i="1"/>
  <c r="V4034" i="1"/>
  <c r="W4034" i="1"/>
  <c r="X4034" i="1"/>
  <c r="Y4034" i="1"/>
  <c r="Z4034" i="1"/>
  <c r="AB4034" i="1"/>
  <c r="AF4034" i="1"/>
  <c r="AI4034" i="1"/>
  <c r="H4035" i="1"/>
  <c r="AE4035" i="1"/>
  <c r="I4035" i="1"/>
  <c r="J4035" i="1"/>
  <c r="K4035" i="1"/>
  <c r="AC4035" i="1"/>
  <c r="AJ4034" i="1"/>
  <c r="AK4034" i="1"/>
  <c r="AM4034" i="1"/>
  <c r="BG4034" i="1"/>
  <c r="T4035" i="1"/>
  <c r="U4035" i="1"/>
  <c r="V4035" i="1"/>
  <c r="W4035" i="1"/>
  <c r="X4035" i="1"/>
  <c r="Y4035" i="1"/>
  <c r="Z4035" i="1"/>
  <c r="AB4035" i="1"/>
  <c r="AF4035" i="1"/>
  <c r="AI4035" i="1"/>
  <c r="H4036" i="1"/>
  <c r="AE4036" i="1"/>
  <c r="I4036" i="1"/>
  <c r="J4036" i="1"/>
  <c r="K4036" i="1"/>
  <c r="AC4036" i="1"/>
  <c r="AJ4035" i="1"/>
  <c r="AK4035" i="1"/>
  <c r="AM4035" i="1"/>
  <c r="BF4035" i="1"/>
  <c r="BG4035" i="1"/>
  <c r="T4036" i="1"/>
  <c r="U4036" i="1"/>
  <c r="V4036" i="1"/>
  <c r="W4036" i="1"/>
  <c r="X4036" i="1"/>
  <c r="Y4036" i="1"/>
  <c r="Z4036" i="1"/>
  <c r="AB4036" i="1"/>
  <c r="AF4036" i="1"/>
  <c r="AI4036" i="1"/>
  <c r="H4037" i="1"/>
  <c r="AE4037" i="1"/>
  <c r="I4037" i="1"/>
  <c r="J4037" i="1"/>
  <c r="K4037" i="1"/>
  <c r="AC4037" i="1"/>
  <c r="AJ4036" i="1"/>
  <c r="AK4036" i="1"/>
  <c r="AM4036" i="1"/>
  <c r="BF4036" i="1"/>
  <c r="BG4036" i="1"/>
  <c r="T4037" i="1"/>
  <c r="U4037" i="1"/>
  <c r="V4037" i="1"/>
  <c r="W4037" i="1"/>
  <c r="X4037" i="1"/>
  <c r="Y4037" i="1"/>
  <c r="Z4037" i="1"/>
  <c r="AB4037" i="1"/>
  <c r="AF4037" i="1"/>
  <c r="AI4037" i="1"/>
  <c r="H4038" i="1"/>
  <c r="AE4038" i="1"/>
  <c r="I4038" i="1"/>
  <c r="J4038" i="1"/>
  <c r="K4038" i="1"/>
  <c r="AC4038" i="1"/>
  <c r="AJ4037" i="1"/>
  <c r="AK4037" i="1"/>
  <c r="AM4037" i="1"/>
  <c r="BF4037" i="1"/>
  <c r="BG4037" i="1"/>
  <c r="T4038" i="1"/>
  <c r="U4038" i="1"/>
  <c r="V4038" i="1"/>
  <c r="W4038" i="1"/>
  <c r="X4038" i="1"/>
  <c r="Y4038" i="1"/>
  <c r="Z4038" i="1"/>
  <c r="AB4038" i="1"/>
  <c r="AF4038" i="1"/>
  <c r="AI4038" i="1"/>
  <c r="AE4039" i="1"/>
  <c r="AC4039" i="1"/>
  <c r="AJ4038" i="1"/>
  <c r="AK4038" i="1"/>
  <c r="AM4038" i="1"/>
  <c r="BF4038" i="1"/>
  <c r="BG4038" i="1"/>
  <c r="T4039" i="1"/>
  <c r="U4039" i="1"/>
  <c r="V4039" i="1"/>
  <c r="W4039" i="1"/>
  <c r="X4039" i="1"/>
  <c r="Y4039" i="1"/>
  <c r="Z4039" i="1"/>
  <c r="AB4039" i="1"/>
  <c r="AF4039" i="1"/>
  <c r="AI4039" i="1"/>
  <c r="AE4040" i="1"/>
  <c r="AC4040" i="1"/>
  <c r="AJ4039" i="1"/>
  <c r="AK4039" i="1"/>
  <c r="AM4039" i="1"/>
  <c r="BF4039" i="1"/>
  <c r="BG4039" i="1"/>
  <c r="T4040" i="1"/>
  <c r="U4040" i="1"/>
  <c r="V4040" i="1"/>
  <c r="W4040" i="1"/>
  <c r="X4040" i="1"/>
  <c r="Y4040" i="1"/>
  <c r="Z4040" i="1"/>
  <c r="AB4040" i="1"/>
  <c r="AF4040" i="1"/>
  <c r="AI4040" i="1"/>
  <c r="H4041" i="1"/>
  <c r="AE4041" i="1"/>
  <c r="I4041" i="1"/>
  <c r="J4041" i="1"/>
  <c r="K4041" i="1"/>
  <c r="AC4041" i="1"/>
  <c r="AJ4040" i="1"/>
  <c r="AK4040" i="1"/>
  <c r="AM4040" i="1"/>
  <c r="BG4040" i="1"/>
  <c r="T4041" i="1"/>
  <c r="U4041" i="1"/>
  <c r="V4041" i="1"/>
  <c r="W4041" i="1"/>
  <c r="X4041" i="1"/>
  <c r="Y4041" i="1"/>
  <c r="Z4041" i="1"/>
  <c r="AB4041" i="1"/>
  <c r="AF4041" i="1"/>
  <c r="AI4041" i="1"/>
  <c r="AE4042" i="1"/>
  <c r="AC4042" i="1"/>
  <c r="AJ4041" i="1"/>
  <c r="AK4041" i="1"/>
  <c r="AM4041" i="1"/>
  <c r="BF4041" i="1"/>
  <c r="BG4041" i="1"/>
  <c r="T4042" i="1"/>
  <c r="U4042" i="1"/>
  <c r="V4042" i="1"/>
  <c r="W4042" i="1"/>
  <c r="X4042" i="1"/>
  <c r="Y4042" i="1"/>
  <c r="Z4042" i="1"/>
  <c r="AB4042" i="1"/>
  <c r="AF4042" i="1"/>
  <c r="AI4042" i="1"/>
  <c r="AE4043" i="1"/>
  <c r="AC4043" i="1"/>
  <c r="AJ4042" i="1"/>
  <c r="AK4042" i="1"/>
  <c r="AM4042" i="1"/>
  <c r="BF4042" i="1"/>
  <c r="BG4042" i="1"/>
  <c r="T4043" i="1"/>
  <c r="U4043" i="1"/>
  <c r="V4043" i="1"/>
  <c r="W4043" i="1"/>
  <c r="X4043" i="1"/>
  <c r="Y4043" i="1"/>
  <c r="Z4043" i="1"/>
  <c r="AB4043" i="1"/>
  <c r="AF4043" i="1"/>
  <c r="AI4043" i="1"/>
  <c r="H4044" i="1"/>
  <c r="AE4044" i="1"/>
  <c r="I4044" i="1"/>
  <c r="J4044" i="1"/>
  <c r="K4044" i="1"/>
  <c r="AC4044" i="1"/>
  <c r="AJ4043" i="1"/>
  <c r="AK4043" i="1"/>
  <c r="AM4043" i="1"/>
  <c r="BG4043" i="1"/>
  <c r="T4044" i="1"/>
  <c r="U4044" i="1"/>
  <c r="V4044" i="1"/>
  <c r="W4044" i="1"/>
  <c r="X4044" i="1"/>
  <c r="Y4044" i="1"/>
  <c r="Z4044" i="1"/>
  <c r="AB4044" i="1"/>
  <c r="AF4044" i="1"/>
  <c r="AI4044" i="1"/>
  <c r="H4045" i="1"/>
  <c r="AE4045" i="1"/>
  <c r="I4045" i="1"/>
  <c r="J4045" i="1"/>
  <c r="K4045" i="1"/>
  <c r="AC4045" i="1"/>
  <c r="AJ4044" i="1"/>
  <c r="AK4044" i="1"/>
  <c r="AM4044" i="1"/>
  <c r="BF4044" i="1"/>
  <c r="BG4044" i="1"/>
  <c r="T4045" i="1"/>
  <c r="U4045" i="1"/>
  <c r="V4045" i="1"/>
  <c r="W4045" i="1"/>
  <c r="X4045" i="1"/>
  <c r="Y4045" i="1"/>
  <c r="Z4045" i="1"/>
  <c r="AB4045" i="1"/>
  <c r="AF4045" i="1"/>
  <c r="AI4045" i="1"/>
  <c r="H4046" i="1"/>
  <c r="AE4046" i="1"/>
  <c r="I4046" i="1"/>
  <c r="J4046" i="1"/>
  <c r="K4046" i="1"/>
  <c r="AC4046" i="1"/>
  <c r="AJ4045" i="1"/>
  <c r="AK4045" i="1"/>
  <c r="AM4045" i="1"/>
  <c r="BF4045" i="1"/>
  <c r="BG4045" i="1"/>
  <c r="T4046" i="1"/>
  <c r="U4046" i="1"/>
  <c r="V4046" i="1"/>
  <c r="W4046" i="1"/>
  <c r="X4046" i="1"/>
  <c r="Y4046" i="1"/>
  <c r="Z4046" i="1"/>
  <c r="AB4046" i="1"/>
  <c r="AF4046" i="1"/>
  <c r="AI4046" i="1"/>
  <c r="H4047" i="1"/>
  <c r="AE4047" i="1"/>
  <c r="I4047" i="1"/>
  <c r="J4047" i="1"/>
  <c r="K4047" i="1"/>
  <c r="AC4047" i="1"/>
  <c r="AJ4046" i="1"/>
  <c r="AK4046" i="1"/>
  <c r="AM4046" i="1"/>
  <c r="BF4046" i="1"/>
  <c r="BG4046" i="1"/>
  <c r="T4047" i="1"/>
  <c r="U4047" i="1"/>
  <c r="V4047" i="1"/>
  <c r="W4047" i="1"/>
  <c r="X4047" i="1"/>
  <c r="Y4047" i="1"/>
  <c r="Z4047" i="1"/>
  <c r="AB4047" i="1"/>
  <c r="AF4047" i="1"/>
  <c r="AI4047" i="1"/>
  <c r="AE4048" i="1"/>
  <c r="AC4048" i="1"/>
  <c r="AJ4047" i="1"/>
  <c r="AK4047" i="1"/>
  <c r="AM4047" i="1"/>
  <c r="BF4047" i="1"/>
  <c r="BG4047" i="1"/>
  <c r="T4048" i="1"/>
  <c r="U4048" i="1"/>
  <c r="V4048" i="1"/>
  <c r="W4048" i="1"/>
  <c r="X4048" i="1"/>
  <c r="Y4048" i="1"/>
  <c r="Z4048" i="1"/>
  <c r="AB4048" i="1"/>
  <c r="AF4048" i="1"/>
  <c r="AI4048" i="1"/>
  <c r="AE4049" i="1"/>
  <c r="AC4049" i="1"/>
  <c r="AJ4048" i="1"/>
  <c r="AK4048" i="1"/>
  <c r="AM4048" i="1"/>
  <c r="BF4048" i="1"/>
  <c r="BG4048" i="1"/>
  <c r="T4049" i="1"/>
  <c r="U4049" i="1"/>
  <c r="V4049" i="1"/>
  <c r="W4049" i="1"/>
  <c r="X4049" i="1"/>
  <c r="Y4049" i="1"/>
  <c r="Z4049" i="1"/>
  <c r="AB4049" i="1"/>
  <c r="AF4049" i="1"/>
  <c r="AI4049" i="1"/>
  <c r="H4050" i="1"/>
  <c r="AE4050" i="1"/>
  <c r="I4050" i="1"/>
  <c r="J4050" i="1"/>
  <c r="K4050" i="1"/>
  <c r="AC4050" i="1"/>
  <c r="AJ4049" i="1"/>
  <c r="AK4049" i="1"/>
  <c r="AM4049" i="1"/>
  <c r="BG4049" i="1"/>
  <c r="T4050" i="1"/>
  <c r="U4050" i="1"/>
  <c r="V4050" i="1"/>
  <c r="W4050" i="1"/>
  <c r="X4050" i="1"/>
  <c r="Y4050" i="1"/>
  <c r="Z4050" i="1"/>
  <c r="AB4050" i="1"/>
  <c r="AF4050" i="1"/>
  <c r="AI4050" i="1"/>
  <c r="H4051" i="1"/>
  <c r="AE4051" i="1"/>
  <c r="I4051" i="1"/>
  <c r="J4051" i="1"/>
  <c r="K4051" i="1"/>
  <c r="AC4051" i="1"/>
  <c r="AJ4050" i="1"/>
  <c r="AK4050" i="1"/>
  <c r="AM4050" i="1"/>
  <c r="BF4050" i="1"/>
  <c r="BG4050" i="1"/>
  <c r="T4051" i="1"/>
  <c r="U4051" i="1"/>
  <c r="V4051" i="1"/>
  <c r="W4051" i="1"/>
  <c r="X4051" i="1"/>
  <c r="Y4051" i="1"/>
  <c r="Z4051" i="1"/>
  <c r="AB4051" i="1"/>
  <c r="AF4051" i="1"/>
  <c r="AI4051" i="1"/>
  <c r="H4052" i="1"/>
  <c r="AE4052" i="1"/>
  <c r="I4052" i="1"/>
  <c r="J4052" i="1"/>
  <c r="K4052" i="1"/>
  <c r="AC4052" i="1"/>
  <c r="AJ4051" i="1"/>
  <c r="AK4051" i="1"/>
  <c r="AM4051" i="1"/>
  <c r="BF4051" i="1"/>
  <c r="BG4051" i="1"/>
  <c r="T4052" i="1"/>
  <c r="U4052" i="1"/>
  <c r="V4052" i="1"/>
  <c r="W4052" i="1"/>
  <c r="X4052" i="1"/>
  <c r="Y4052" i="1"/>
  <c r="Z4052" i="1"/>
  <c r="AB4052" i="1"/>
  <c r="AF4052" i="1"/>
  <c r="AI4052" i="1"/>
  <c r="H4053" i="1"/>
  <c r="AE4053" i="1"/>
  <c r="I4053" i="1"/>
  <c r="J4053" i="1"/>
  <c r="K4053" i="1"/>
  <c r="AC4053" i="1"/>
  <c r="AJ4052" i="1"/>
  <c r="AK4052" i="1"/>
  <c r="AM4052" i="1"/>
  <c r="BF4052" i="1"/>
  <c r="BG4052" i="1"/>
  <c r="T4053" i="1"/>
  <c r="U4053" i="1"/>
  <c r="V4053" i="1"/>
  <c r="W4053" i="1"/>
  <c r="X4053" i="1"/>
  <c r="Y4053" i="1"/>
  <c r="Z4053" i="1"/>
  <c r="AB4053" i="1"/>
  <c r="AF4053" i="1"/>
  <c r="AI4053" i="1"/>
  <c r="H4054" i="1"/>
  <c r="AE4054" i="1"/>
  <c r="I4054" i="1"/>
  <c r="J4054" i="1"/>
  <c r="K4054" i="1"/>
  <c r="AC4054" i="1"/>
  <c r="AJ4053" i="1"/>
  <c r="AK4053" i="1"/>
  <c r="AM4053" i="1"/>
  <c r="BF4053" i="1"/>
  <c r="BG4053" i="1"/>
  <c r="T4054" i="1"/>
  <c r="U4054" i="1"/>
  <c r="V4054" i="1"/>
  <c r="W4054" i="1"/>
  <c r="X4054" i="1"/>
  <c r="Y4054" i="1"/>
  <c r="Z4054" i="1"/>
  <c r="AB4054" i="1"/>
  <c r="AF4054" i="1"/>
  <c r="AI4054" i="1"/>
  <c r="H4055" i="1"/>
  <c r="AE4055" i="1"/>
  <c r="I4055" i="1"/>
  <c r="J4055" i="1"/>
  <c r="K4055" i="1"/>
  <c r="AC4055" i="1"/>
  <c r="AJ4054" i="1"/>
  <c r="AK4054" i="1"/>
  <c r="AM4054" i="1"/>
  <c r="BF4054" i="1"/>
  <c r="BG4054" i="1"/>
  <c r="T4055" i="1"/>
  <c r="U4055" i="1"/>
  <c r="V4055" i="1"/>
  <c r="W4055" i="1"/>
  <c r="X4055" i="1"/>
  <c r="Y4055" i="1"/>
  <c r="Z4055" i="1"/>
  <c r="AB4055" i="1"/>
  <c r="AF4055" i="1"/>
  <c r="AI4055" i="1"/>
  <c r="H4056" i="1"/>
  <c r="AE4056" i="1"/>
  <c r="I4056" i="1"/>
  <c r="J4056" i="1"/>
  <c r="K4056" i="1"/>
  <c r="AC4056" i="1"/>
  <c r="AJ4055" i="1"/>
  <c r="AK4055" i="1"/>
  <c r="AM4055" i="1"/>
  <c r="BF4055" i="1"/>
  <c r="BG4055" i="1"/>
  <c r="T4056" i="1"/>
  <c r="U4056" i="1"/>
  <c r="V4056" i="1"/>
  <c r="W4056" i="1"/>
  <c r="X4056" i="1"/>
  <c r="Y4056" i="1"/>
  <c r="Z4056" i="1"/>
  <c r="AB4056" i="1"/>
  <c r="AF4056" i="1"/>
  <c r="AI4056" i="1"/>
  <c r="H4057" i="1"/>
  <c r="AE4057" i="1"/>
  <c r="I4057" i="1"/>
  <c r="J4057" i="1"/>
  <c r="K4057" i="1"/>
  <c r="AC4057" i="1"/>
  <c r="AJ4056" i="1"/>
  <c r="AK4056" i="1"/>
  <c r="AM4056" i="1"/>
  <c r="BF4056" i="1"/>
  <c r="BG4056" i="1"/>
  <c r="T4057" i="1"/>
  <c r="U4057" i="1"/>
  <c r="V4057" i="1"/>
  <c r="W4057" i="1"/>
  <c r="X4057" i="1"/>
  <c r="Y4057" i="1"/>
  <c r="Z4057" i="1"/>
  <c r="AB4057" i="1"/>
  <c r="AF4057" i="1"/>
  <c r="AI4057" i="1"/>
  <c r="AE4058" i="1"/>
  <c r="AC4058" i="1"/>
  <c r="AJ4057" i="1"/>
  <c r="AK4057" i="1"/>
  <c r="AM4057" i="1"/>
  <c r="BF4057" i="1"/>
  <c r="BG4057" i="1"/>
  <c r="T4058" i="1"/>
  <c r="U4058" i="1"/>
  <c r="V4058" i="1"/>
  <c r="W4058" i="1"/>
  <c r="X4058" i="1"/>
  <c r="Y4058" i="1"/>
  <c r="Z4058" i="1"/>
  <c r="AB4058" i="1"/>
  <c r="AF4058" i="1"/>
  <c r="AI4058" i="1"/>
  <c r="AE4059" i="1"/>
  <c r="AC4059" i="1"/>
  <c r="AJ4058" i="1"/>
  <c r="AK4058" i="1"/>
  <c r="AM4058" i="1"/>
  <c r="BF4058" i="1"/>
  <c r="BG4058" i="1"/>
  <c r="T4059" i="1"/>
  <c r="U4059" i="1"/>
  <c r="V4059" i="1"/>
  <c r="W4059" i="1"/>
  <c r="X4059" i="1"/>
  <c r="Y4059" i="1"/>
  <c r="Z4059" i="1"/>
  <c r="AB4059" i="1"/>
  <c r="AF4059" i="1"/>
  <c r="AI4059" i="1"/>
  <c r="H4060" i="1"/>
  <c r="AE4060" i="1"/>
  <c r="I4060" i="1"/>
  <c r="J4060" i="1"/>
  <c r="K4060" i="1"/>
  <c r="AC4060" i="1"/>
  <c r="AJ4059" i="1"/>
  <c r="AK4059" i="1"/>
  <c r="AM4059" i="1"/>
  <c r="BG4059" i="1"/>
  <c r="T4060" i="1"/>
  <c r="U4060" i="1"/>
  <c r="V4060" i="1"/>
  <c r="W4060" i="1"/>
  <c r="X4060" i="1"/>
  <c r="Y4060" i="1"/>
  <c r="Z4060" i="1"/>
  <c r="AB4060" i="1"/>
  <c r="AF4060" i="1"/>
  <c r="AI4060" i="1"/>
  <c r="AE4061" i="1"/>
  <c r="AC4061" i="1"/>
  <c r="AJ4060" i="1"/>
  <c r="AK4060" i="1"/>
  <c r="AM4060" i="1"/>
  <c r="BF4060" i="1"/>
  <c r="BG4060" i="1"/>
  <c r="T4061" i="1"/>
  <c r="U4061" i="1"/>
  <c r="V4061" i="1"/>
  <c r="W4061" i="1"/>
  <c r="X4061" i="1"/>
  <c r="Y4061" i="1"/>
  <c r="Z4061" i="1"/>
  <c r="AB4061" i="1"/>
  <c r="AF4061" i="1"/>
  <c r="AI4061" i="1"/>
  <c r="AE4062" i="1"/>
  <c r="AC4062" i="1"/>
  <c r="AJ4061" i="1"/>
  <c r="AK4061" i="1"/>
  <c r="AM4061" i="1"/>
  <c r="BF4061" i="1"/>
  <c r="BG4061" i="1"/>
  <c r="T4062" i="1"/>
  <c r="U4062" i="1"/>
  <c r="V4062" i="1"/>
  <c r="W4062" i="1"/>
  <c r="X4062" i="1"/>
  <c r="Y4062" i="1"/>
  <c r="Z4062" i="1"/>
  <c r="AB4062" i="1"/>
  <c r="AF4062" i="1"/>
  <c r="AI4062" i="1"/>
  <c r="H4063" i="1"/>
  <c r="AE4063" i="1"/>
  <c r="I4063" i="1"/>
  <c r="J4063" i="1"/>
  <c r="K4063" i="1"/>
  <c r="AC4063" i="1"/>
  <c r="AJ4062" i="1"/>
  <c r="AK4062" i="1"/>
  <c r="AM4062" i="1"/>
  <c r="BG4062" i="1"/>
  <c r="T4063" i="1"/>
  <c r="U4063" i="1"/>
  <c r="V4063" i="1"/>
  <c r="W4063" i="1"/>
  <c r="X4063" i="1"/>
  <c r="Y4063" i="1"/>
  <c r="Z4063" i="1"/>
  <c r="AB4063" i="1"/>
  <c r="AF4063" i="1"/>
  <c r="AI4063" i="1"/>
  <c r="H4064" i="1"/>
  <c r="AE4064" i="1"/>
  <c r="I4064" i="1"/>
  <c r="J4064" i="1"/>
  <c r="K4064" i="1"/>
  <c r="AC4064" i="1"/>
  <c r="AJ4063" i="1"/>
  <c r="AK4063" i="1"/>
  <c r="AM4063" i="1"/>
  <c r="BF4063" i="1"/>
  <c r="BG4063" i="1"/>
  <c r="T4064" i="1"/>
  <c r="U4064" i="1"/>
  <c r="V4064" i="1"/>
  <c r="W4064" i="1"/>
  <c r="X4064" i="1"/>
  <c r="Y4064" i="1"/>
  <c r="Z4064" i="1"/>
  <c r="AB4064" i="1"/>
  <c r="AF4064" i="1"/>
  <c r="AI4064" i="1"/>
  <c r="H4065" i="1"/>
  <c r="AE4065" i="1"/>
  <c r="I4065" i="1"/>
  <c r="J4065" i="1"/>
  <c r="K4065" i="1"/>
  <c r="AC4065" i="1"/>
  <c r="AJ4064" i="1"/>
  <c r="AK4064" i="1"/>
  <c r="AM4064" i="1"/>
  <c r="BF4064" i="1"/>
  <c r="BG4064" i="1"/>
  <c r="T4065" i="1"/>
  <c r="U4065" i="1"/>
  <c r="V4065" i="1"/>
  <c r="W4065" i="1"/>
  <c r="X4065" i="1"/>
  <c r="Y4065" i="1"/>
  <c r="Z4065" i="1"/>
  <c r="AB4065" i="1"/>
  <c r="AF4065" i="1"/>
  <c r="AI4065" i="1"/>
  <c r="H4066" i="1"/>
  <c r="AE4066" i="1"/>
  <c r="I4066" i="1"/>
  <c r="J4066" i="1"/>
  <c r="K4066" i="1"/>
  <c r="AC4066" i="1"/>
  <c r="AJ4065" i="1"/>
  <c r="AK4065" i="1"/>
  <c r="AM4065" i="1"/>
  <c r="BF4065" i="1"/>
  <c r="BG4065" i="1"/>
  <c r="T4066" i="1"/>
  <c r="U4066" i="1"/>
  <c r="V4066" i="1"/>
  <c r="W4066" i="1"/>
  <c r="X4066" i="1"/>
  <c r="Y4066" i="1"/>
  <c r="Z4066" i="1"/>
  <c r="AB4066" i="1"/>
  <c r="AF4066" i="1"/>
  <c r="AI4066" i="1"/>
  <c r="AE4067" i="1"/>
  <c r="AC4067" i="1"/>
  <c r="AJ4066" i="1"/>
  <c r="AK4066" i="1"/>
  <c r="AM4066" i="1"/>
  <c r="BF4066" i="1"/>
  <c r="BG4066" i="1"/>
  <c r="T4067" i="1"/>
  <c r="U4067" i="1"/>
  <c r="V4067" i="1"/>
  <c r="W4067" i="1"/>
  <c r="X4067" i="1"/>
  <c r="Y4067" i="1"/>
  <c r="Z4067" i="1"/>
  <c r="AB4067" i="1"/>
  <c r="AF4067" i="1"/>
  <c r="AI4067" i="1"/>
  <c r="AE4068" i="1"/>
  <c r="AC4068" i="1"/>
  <c r="AJ4067" i="1"/>
  <c r="AK4067" i="1"/>
  <c r="AM4067" i="1"/>
  <c r="BF4067" i="1"/>
  <c r="BG4067" i="1"/>
  <c r="T4068" i="1"/>
  <c r="U4068" i="1"/>
  <c r="V4068" i="1"/>
  <c r="W4068" i="1"/>
  <c r="X4068" i="1"/>
  <c r="Y4068" i="1"/>
  <c r="Z4068" i="1"/>
  <c r="AB4068" i="1"/>
  <c r="AF4068" i="1"/>
  <c r="AI4068" i="1"/>
  <c r="H4069" i="1"/>
  <c r="AE4069" i="1"/>
  <c r="I4069" i="1"/>
  <c r="J4069" i="1"/>
  <c r="K4069" i="1"/>
  <c r="AC4069" i="1"/>
  <c r="AJ4068" i="1"/>
  <c r="AK4068" i="1"/>
  <c r="AM4068" i="1"/>
  <c r="BG4068" i="1"/>
  <c r="T4069" i="1"/>
  <c r="U4069" i="1"/>
  <c r="V4069" i="1"/>
  <c r="W4069" i="1"/>
  <c r="X4069" i="1"/>
  <c r="Y4069" i="1"/>
  <c r="Z4069" i="1"/>
  <c r="AB4069" i="1"/>
  <c r="AF4069" i="1"/>
  <c r="AI4069" i="1"/>
  <c r="AE4070" i="1"/>
  <c r="AC4070" i="1"/>
  <c r="AJ4069" i="1"/>
  <c r="AK4069" i="1"/>
  <c r="AM4069" i="1"/>
  <c r="BF4069" i="1"/>
  <c r="BG4069" i="1"/>
  <c r="T4070" i="1"/>
  <c r="U4070" i="1"/>
  <c r="V4070" i="1"/>
  <c r="W4070" i="1"/>
  <c r="X4070" i="1"/>
  <c r="Y4070" i="1"/>
  <c r="Z4070" i="1"/>
  <c r="AB4070" i="1"/>
  <c r="AF4070" i="1"/>
  <c r="AI4070" i="1"/>
  <c r="AE4071" i="1"/>
  <c r="AC4071" i="1"/>
  <c r="AJ4070" i="1"/>
  <c r="AK4070" i="1"/>
  <c r="AM4070" i="1"/>
  <c r="BF4070" i="1"/>
  <c r="BG4070" i="1"/>
  <c r="T4071" i="1"/>
  <c r="U4071" i="1"/>
  <c r="V4071" i="1"/>
  <c r="W4071" i="1"/>
  <c r="X4071" i="1"/>
  <c r="Y4071" i="1"/>
  <c r="Z4071" i="1"/>
  <c r="AB4071" i="1"/>
  <c r="AF4071" i="1"/>
  <c r="AI4071" i="1"/>
  <c r="H4072" i="1"/>
  <c r="AE4072" i="1"/>
  <c r="I4072" i="1"/>
  <c r="J4072" i="1"/>
  <c r="K4072" i="1"/>
  <c r="AC4072" i="1"/>
  <c r="AJ4071" i="1"/>
  <c r="AK4071" i="1"/>
  <c r="AM4071" i="1"/>
  <c r="BG4071" i="1"/>
  <c r="T4072" i="1"/>
  <c r="U4072" i="1"/>
  <c r="V4072" i="1"/>
  <c r="W4072" i="1"/>
  <c r="X4072" i="1"/>
  <c r="Y4072" i="1"/>
  <c r="Z4072" i="1"/>
  <c r="AB4072" i="1"/>
  <c r="AF4072" i="1"/>
  <c r="AI4072" i="1"/>
  <c r="AE4073" i="1"/>
  <c r="AC4073" i="1"/>
  <c r="AJ4072" i="1"/>
  <c r="AK4072" i="1"/>
  <c r="AM4072" i="1"/>
  <c r="BF4072" i="1"/>
  <c r="BG4072" i="1"/>
  <c r="T4073" i="1"/>
  <c r="U4073" i="1"/>
  <c r="V4073" i="1"/>
  <c r="W4073" i="1"/>
  <c r="X4073" i="1"/>
  <c r="Y4073" i="1"/>
  <c r="Z4073" i="1"/>
  <c r="AB4073" i="1"/>
  <c r="AF4073" i="1"/>
  <c r="AI4073" i="1"/>
  <c r="AE4074" i="1"/>
  <c r="AC4074" i="1"/>
  <c r="AJ4073" i="1"/>
  <c r="AK4073" i="1"/>
  <c r="AM4073" i="1"/>
  <c r="BF4073" i="1"/>
  <c r="BG4073" i="1"/>
  <c r="T4074" i="1"/>
  <c r="U4074" i="1"/>
  <c r="V4074" i="1"/>
  <c r="W4074" i="1"/>
  <c r="X4074" i="1"/>
  <c r="Y4074" i="1"/>
  <c r="Z4074" i="1"/>
  <c r="AB4074" i="1"/>
  <c r="AF4074" i="1"/>
  <c r="AI4074" i="1"/>
  <c r="H4075" i="1"/>
  <c r="AE4075" i="1"/>
  <c r="I4075" i="1"/>
  <c r="J4075" i="1"/>
  <c r="K4075" i="1"/>
  <c r="AC4075" i="1"/>
  <c r="AJ4074" i="1"/>
  <c r="AK4074" i="1"/>
  <c r="AM4074" i="1"/>
  <c r="BG4074" i="1"/>
  <c r="T4075" i="1"/>
  <c r="U4075" i="1"/>
  <c r="V4075" i="1"/>
  <c r="W4075" i="1"/>
  <c r="X4075" i="1"/>
  <c r="Y4075" i="1"/>
  <c r="Z4075" i="1"/>
  <c r="AB4075" i="1"/>
  <c r="AF4075" i="1"/>
  <c r="AI4075" i="1"/>
  <c r="H4076" i="1"/>
  <c r="AE4076" i="1"/>
  <c r="I4076" i="1"/>
  <c r="J4076" i="1"/>
  <c r="K4076" i="1"/>
  <c r="AC4076" i="1"/>
  <c r="AJ4075" i="1"/>
  <c r="AK4075" i="1"/>
  <c r="AM4075" i="1"/>
  <c r="BF4075" i="1"/>
  <c r="BG4075" i="1"/>
  <c r="T4076" i="1"/>
  <c r="U4076" i="1"/>
  <c r="V4076" i="1"/>
  <c r="W4076" i="1"/>
  <c r="X4076" i="1"/>
  <c r="Y4076" i="1"/>
  <c r="Z4076" i="1"/>
  <c r="AB4076" i="1"/>
  <c r="AF4076" i="1"/>
  <c r="AI4076" i="1"/>
  <c r="AE4077" i="1"/>
  <c r="AC4077" i="1"/>
  <c r="AJ4076" i="1"/>
  <c r="AK4076" i="1"/>
  <c r="AM4076" i="1"/>
  <c r="BF4076" i="1"/>
  <c r="BG4076" i="1"/>
  <c r="T4077" i="1"/>
  <c r="U4077" i="1"/>
  <c r="V4077" i="1"/>
  <c r="W4077" i="1"/>
  <c r="X4077" i="1"/>
  <c r="Y4077" i="1"/>
  <c r="Z4077" i="1"/>
  <c r="AB4077" i="1"/>
  <c r="AF4077" i="1"/>
  <c r="AI4077" i="1"/>
  <c r="AE4078" i="1"/>
  <c r="AC4078" i="1"/>
  <c r="AJ4077" i="1"/>
  <c r="AK4077" i="1"/>
  <c r="AM4077" i="1"/>
  <c r="BF4077" i="1"/>
  <c r="BG4077" i="1"/>
  <c r="T4078" i="1"/>
  <c r="U4078" i="1"/>
  <c r="V4078" i="1"/>
  <c r="W4078" i="1"/>
  <c r="X4078" i="1"/>
  <c r="Y4078" i="1"/>
  <c r="Z4078" i="1"/>
  <c r="AB4078" i="1"/>
  <c r="AF4078" i="1"/>
  <c r="AI4078" i="1"/>
  <c r="H4079" i="1"/>
  <c r="AE4079" i="1"/>
  <c r="I4079" i="1"/>
  <c r="J4079" i="1"/>
  <c r="K4079" i="1"/>
  <c r="AC4079" i="1"/>
  <c r="AJ4078" i="1"/>
  <c r="AK4078" i="1"/>
  <c r="AM4078" i="1"/>
  <c r="BG4078" i="1"/>
  <c r="T4079" i="1"/>
  <c r="U4079" i="1"/>
  <c r="V4079" i="1"/>
  <c r="W4079" i="1"/>
  <c r="X4079" i="1"/>
  <c r="Y4079" i="1"/>
  <c r="Z4079" i="1"/>
  <c r="AB4079" i="1"/>
  <c r="AF4079" i="1"/>
  <c r="AI4079" i="1"/>
  <c r="AE4080" i="1"/>
  <c r="AC4080" i="1"/>
  <c r="AJ4079" i="1"/>
  <c r="AK4079" i="1"/>
  <c r="AM4079" i="1"/>
  <c r="BF4079" i="1"/>
  <c r="BG4079" i="1"/>
  <c r="T4080" i="1"/>
  <c r="U4080" i="1"/>
  <c r="V4080" i="1"/>
  <c r="W4080" i="1"/>
  <c r="X4080" i="1"/>
  <c r="Y4080" i="1"/>
  <c r="Z4080" i="1"/>
  <c r="AB4080" i="1"/>
  <c r="AF4080" i="1"/>
  <c r="AI4080" i="1"/>
  <c r="AE4081" i="1"/>
  <c r="AC4081" i="1"/>
  <c r="AJ4080" i="1"/>
  <c r="AK4080" i="1"/>
  <c r="AM4080" i="1"/>
  <c r="BF4080" i="1"/>
  <c r="BG4080" i="1"/>
  <c r="T4081" i="1"/>
  <c r="U4081" i="1"/>
  <c r="V4081" i="1"/>
  <c r="W4081" i="1"/>
  <c r="X4081" i="1"/>
  <c r="Y4081" i="1"/>
  <c r="Z4081" i="1"/>
  <c r="AB4081" i="1"/>
  <c r="AF4081" i="1"/>
  <c r="AI4081" i="1"/>
  <c r="H4082" i="1"/>
  <c r="AE4082" i="1"/>
  <c r="I4082" i="1"/>
  <c r="J4082" i="1"/>
  <c r="K4082" i="1"/>
  <c r="AC4082" i="1"/>
  <c r="AJ4081" i="1"/>
  <c r="AK4081" i="1"/>
  <c r="AM4081" i="1"/>
  <c r="BG4081" i="1"/>
  <c r="T4082" i="1"/>
  <c r="U4082" i="1"/>
  <c r="V4082" i="1"/>
  <c r="W4082" i="1"/>
  <c r="X4082" i="1"/>
  <c r="Y4082" i="1"/>
  <c r="Z4082" i="1"/>
  <c r="AB4082" i="1"/>
  <c r="AF4082" i="1"/>
  <c r="AI4082" i="1"/>
  <c r="H4083" i="1"/>
  <c r="AE4083" i="1"/>
  <c r="I4083" i="1"/>
  <c r="J4083" i="1"/>
  <c r="K4083" i="1"/>
  <c r="AC4083" i="1"/>
  <c r="AJ4082" i="1"/>
  <c r="AK4082" i="1"/>
  <c r="AM4082" i="1"/>
  <c r="BF4082" i="1"/>
  <c r="BG4082" i="1"/>
  <c r="T4083" i="1"/>
  <c r="U4083" i="1"/>
  <c r="V4083" i="1"/>
  <c r="W4083" i="1"/>
  <c r="X4083" i="1"/>
  <c r="Y4083" i="1"/>
  <c r="Z4083" i="1"/>
  <c r="AB4083" i="1"/>
  <c r="AF4083" i="1"/>
  <c r="AI4083" i="1"/>
  <c r="AE4084" i="1"/>
  <c r="AC4084" i="1"/>
  <c r="AJ4083" i="1"/>
  <c r="AK4083" i="1"/>
  <c r="AM4083" i="1"/>
  <c r="BF4083" i="1"/>
  <c r="BG4083" i="1"/>
  <c r="T4084" i="1"/>
  <c r="U4084" i="1"/>
  <c r="V4084" i="1"/>
  <c r="W4084" i="1"/>
  <c r="X4084" i="1"/>
  <c r="Y4084" i="1"/>
  <c r="Z4084" i="1"/>
  <c r="AB4084" i="1"/>
  <c r="AF4084" i="1"/>
  <c r="AI4084" i="1"/>
  <c r="AE4085" i="1"/>
  <c r="AC4085" i="1"/>
  <c r="AJ4084" i="1"/>
  <c r="AK4084" i="1"/>
  <c r="AM4084" i="1"/>
  <c r="BF4084" i="1"/>
  <c r="BG4084" i="1"/>
  <c r="T4085" i="1"/>
  <c r="U4085" i="1"/>
  <c r="V4085" i="1"/>
  <c r="W4085" i="1"/>
  <c r="X4085" i="1"/>
  <c r="Y4085" i="1"/>
  <c r="Z4085" i="1"/>
  <c r="AB4085" i="1"/>
  <c r="AF4085" i="1"/>
  <c r="AI4085" i="1"/>
  <c r="H4086" i="1"/>
  <c r="AE4086" i="1"/>
  <c r="I4086" i="1"/>
  <c r="J4086" i="1"/>
  <c r="K4086" i="1"/>
  <c r="AC4086" i="1"/>
  <c r="AJ4085" i="1"/>
  <c r="AK4085" i="1"/>
  <c r="AM4085" i="1"/>
  <c r="BG4085" i="1"/>
  <c r="T4086" i="1"/>
  <c r="U4086" i="1"/>
  <c r="V4086" i="1"/>
  <c r="W4086" i="1"/>
  <c r="X4086" i="1"/>
  <c r="Y4086" i="1"/>
  <c r="Z4086" i="1"/>
  <c r="AB4086" i="1"/>
  <c r="AF4086" i="1"/>
  <c r="AI4086" i="1"/>
  <c r="AE4087" i="1"/>
  <c r="AC4087" i="1"/>
  <c r="AJ4086" i="1"/>
  <c r="AK4086" i="1"/>
  <c r="AM4086" i="1"/>
  <c r="BF4086" i="1"/>
  <c r="BG4086" i="1"/>
  <c r="T4087" i="1"/>
  <c r="U4087" i="1"/>
  <c r="V4087" i="1"/>
  <c r="W4087" i="1"/>
  <c r="X4087" i="1"/>
  <c r="Y4087" i="1"/>
  <c r="Z4087" i="1"/>
  <c r="AB4087" i="1"/>
  <c r="AF4087" i="1"/>
  <c r="AI4087" i="1"/>
  <c r="AE4088" i="1"/>
  <c r="AC4088" i="1"/>
  <c r="AJ4087" i="1"/>
  <c r="AK4087" i="1"/>
  <c r="AM4087" i="1"/>
  <c r="BF4087" i="1"/>
  <c r="BG4087" i="1"/>
  <c r="T4088" i="1"/>
  <c r="U4088" i="1"/>
  <c r="V4088" i="1"/>
  <c r="W4088" i="1"/>
  <c r="X4088" i="1"/>
  <c r="Y4088" i="1"/>
  <c r="Z4088" i="1"/>
  <c r="AB4088" i="1"/>
  <c r="AF4088" i="1"/>
  <c r="AI4088" i="1"/>
  <c r="H4089" i="1"/>
  <c r="AE4089" i="1"/>
  <c r="I4089" i="1"/>
  <c r="J4089" i="1"/>
  <c r="K4089" i="1"/>
  <c r="AC4089" i="1"/>
  <c r="AJ4088" i="1"/>
  <c r="AK4088" i="1"/>
  <c r="AM4088" i="1"/>
  <c r="BG4088" i="1"/>
  <c r="T4089" i="1"/>
  <c r="U4089" i="1"/>
  <c r="V4089" i="1"/>
  <c r="W4089" i="1"/>
  <c r="X4089" i="1"/>
  <c r="Y4089" i="1"/>
  <c r="Z4089" i="1"/>
  <c r="AB4089" i="1"/>
  <c r="AF4089" i="1"/>
  <c r="AI4089" i="1"/>
  <c r="AE4090" i="1"/>
  <c r="AC4090" i="1"/>
  <c r="AJ4089" i="1"/>
  <c r="AK4089" i="1"/>
  <c r="AM4089" i="1"/>
  <c r="BF4089" i="1"/>
  <c r="BG4089" i="1"/>
  <c r="T4090" i="1"/>
  <c r="U4090" i="1"/>
  <c r="V4090" i="1"/>
  <c r="W4090" i="1"/>
  <c r="X4090" i="1"/>
  <c r="Y4090" i="1"/>
  <c r="Z4090" i="1"/>
  <c r="AB4090" i="1"/>
  <c r="AF4090" i="1"/>
  <c r="AI4090" i="1"/>
  <c r="AE4091" i="1"/>
  <c r="AC4091" i="1"/>
  <c r="AJ4090" i="1"/>
  <c r="AK4090" i="1"/>
  <c r="AM4090" i="1"/>
  <c r="BF4090" i="1"/>
  <c r="BG4090" i="1"/>
  <c r="T4091" i="1"/>
  <c r="U4091" i="1"/>
  <c r="V4091" i="1"/>
  <c r="W4091" i="1"/>
  <c r="X4091" i="1"/>
  <c r="Y4091" i="1"/>
  <c r="Z4091" i="1"/>
  <c r="AB4091" i="1"/>
  <c r="AF4091" i="1"/>
  <c r="AI4091" i="1"/>
  <c r="H4092" i="1"/>
  <c r="AE4092" i="1"/>
  <c r="I4092" i="1"/>
  <c r="J4092" i="1"/>
  <c r="K4092" i="1"/>
  <c r="AC4092" i="1"/>
  <c r="AJ4091" i="1"/>
  <c r="AK4091" i="1"/>
  <c r="AM4091" i="1"/>
  <c r="BG4091" i="1"/>
  <c r="T4092" i="1"/>
  <c r="U4092" i="1"/>
  <c r="V4092" i="1"/>
  <c r="W4092" i="1"/>
  <c r="X4092" i="1"/>
  <c r="Y4092" i="1"/>
  <c r="Z4092" i="1"/>
  <c r="AB4092" i="1"/>
  <c r="AF4092" i="1"/>
  <c r="AI4092" i="1"/>
  <c r="H4093" i="1"/>
  <c r="AE4093" i="1"/>
  <c r="I4093" i="1"/>
  <c r="J4093" i="1"/>
  <c r="K4093" i="1"/>
  <c r="AC4093" i="1"/>
  <c r="AJ4092" i="1"/>
  <c r="AK4092" i="1"/>
  <c r="AM4092" i="1"/>
  <c r="BF4092" i="1"/>
  <c r="BG4092" i="1"/>
  <c r="T4093" i="1"/>
  <c r="U4093" i="1"/>
  <c r="V4093" i="1"/>
  <c r="W4093" i="1"/>
  <c r="X4093" i="1"/>
  <c r="Y4093" i="1"/>
  <c r="Z4093" i="1"/>
  <c r="AB4093" i="1"/>
  <c r="AF4093" i="1"/>
  <c r="AI4093" i="1"/>
  <c r="H4094" i="1"/>
  <c r="AE4094" i="1"/>
  <c r="I4094" i="1"/>
  <c r="J4094" i="1"/>
  <c r="K4094" i="1"/>
  <c r="AC4094" i="1"/>
  <c r="AJ4093" i="1"/>
  <c r="AK4093" i="1"/>
  <c r="AM4093" i="1"/>
  <c r="BF4093" i="1"/>
  <c r="BG4093" i="1"/>
  <c r="T4094" i="1"/>
  <c r="U4094" i="1"/>
  <c r="V4094" i="1"/>
  <c r="W4094" i="1"/>
  <c r="X4094" i="1"/>
  <c r="Y4094" i="1"/>
  <c r="Z4094" i="1"/>
  <c r="AB4094" i="1"/>
  <c r="AF4094" i="1"/>
  <c r="AI4094" i="1"/>
  <c r="H4095" i="1"/>
  <c r="AE4095" i="1"/>
  <c r="I4095" i="1"/>
  <c r="J4095" i="1"/>
  <c r="K4095" i="1"/>
  <c r="AC4095" i="1"/>
  <c r="AJ4094" i="1"/>
  <c r="AK4094" i="1"/>
  <c r="AM4094" i="1"/>
  <c r="BF4094" i="1"/>
  <c r="BG4094" i="1"/>
  <c r="T4095" i="1"/>
  <c r="U4095" i="1"/>
  <c r="V4095" i="1"/>
  <c r="W4095" i="1"/>
  <c r="X4095" i="1"/>
  <c r="Y4095" i="1"/>
  <c r="Z4095" i="1"/>
  <c r="AB4095" i="1"/>
  <c r="AF4095" i="1"/>
  <c r="AI4095" i="1"/>
  <c r="H4096" i="1"/>
  <c r="AE4096" i="1"/>
  <c r="I4096" i="1"/>
  <c r="J4096" i="1"/>
  <c r="K4096" i="1"/>
  <c r="AC4096" i="1"/>
  <c r="AJ4095" i="1"/>
  <c r="AK4095" i="1"/>
  <c r="AM4095" i="1"/>
  <c r="BF4095" i="1"/>
  <c r="BG4095" i="1"/>
  <c r="T4096" i="1"/>
  <c r="U4096" i="1"/>
  <c r="V4096" i="1"/>
  <c r="W4096" i="1"/>
  <c r="X4096" i="1"/>
  <c r="Y4096" i="1"/>
  <c r="Z4096" i="1"/>
  <c r="AB4096" i="1"/>
  <c r="AF4096" i="1"/>
  <c r="AI4096" i="1"/>
  <c r="H4097" i="1"/>
  <c r="AE4097" i="1"/>
  <c r="I4097" i="1"/>
  <c r="J4097" i="1"/>
  <c r="K4097" i="1"/>
  <c r="AC4097" i="1"/>
  <c r="AJ4096" i="1"/>
  <c r="AK4096" i="1"/>
  <c r="AM4096" i="1"/>
  <c r="BF4096" i="1"/>
  <c r="BG4096" i="1"/>
  <c r="T4097" i="1"/>
  <c r="U4097" i="1"/>
  <c r="V4097" i="1"/>
  <c r="W4097" i="1"/>
  <c r="X4097" i="1"/>
  <c r="Y4097" i="1"/>
  <c r="Z4097" i="1"/>
  <c r="AB4097" i="1"/>
  <c r="AF4097" i="1"/>
  <c r="AI4097" i="1"/>
  <c r="H4098" i="1"/>
  <c r="AE4098" i="1"/>
  <c r="I4098" i="1"/>
  <c r="J4098" i="1"/>
  <c r="K4098" i="1"/>
  <c r="AC4098" i="1"/>
  <c r="AJ4097" i="1"/>
  <c r="AK4097" i="1"/>
  <c r="AM4097" i="1"/>
  <c r="BF4097" i="1"/>
  <c r="BG4097" i="1"/>
  <c r="T4098" i="1"/>
  <c r="U4098" i="1"/>
  <c r="V4098" i="1"/>
  <c r="W4098" i="1"/>
  <c r="X4098" i="1"/>
  <c r="Y4098" i="1"/>
  <c r="Z4098" i="1"/>
  <c r="AB4098" i="1"/>
  <c r="AF4098" i="1"/>
  <c r="AI4098" i="1"/>
  <c r="H4099" i="1"/>
  <c r="AE4099" i="1"/>
  <c r="I4099" i="1"/>
  <c r="J4099" i="1"/>
  <c r="K4099" i="1"/>
  <c r="AC4099" i="1"/>
  <c r="AJ4098" i="1"/>
  <c r="AK4098" i="1"/>
  <c r="AM4098" i="1"/>
  <c r="BF4098" i="1"/>
  <c r="BG4098" i="1"/>
  <c r="T4099" i="1"/>
  <c r="U4099" i="1"/>
  <c r="V4099" i="1"/>
  <c r="W4099" i="1"/>
  <c r="X4099" i="1"/>
  <c r="Y4099" i="1"/>
  <c r="Z4099" i="1"/>
  <c r="AB4099" i="1"/>
  <c r="AF4099" i="1"/>
  <c r="AI4099" i="1"/>
  <c r="H4100" i="1"/>
  <c r="AE4100" i="1"/>
  <c r="I4100" i="1"/>
  <c r="J4100" i="1"/>
  <c r="K4100" i="1"/>
  <c r="AC4100" i="1"/>
  <c r="AJ4099" i="1"/>
  <c r="AK4099" i="1"/>
  <c r="AM4099" i="1"/>
  <c r="BF4099" i="1"/>
  <c r="BG4099" i="1"/>
  <c r="T4100" i="1"/>
  <c r="U4100" i="1"/>
  <c r="V4100" i="1"/>
  <c r="W4100" i="1"/>
  <c r="X4100" i="1"/>
  <c r="Y4100" i="1"/>
  <c r="Z4100" i="1"/>
  <c r="AB4100" i="1"/>
  <c r="AF4100" i="1"/>
  <c r="AI4100" i="1"/>
  <c r="H4101" i="1"/>
  <c r="AE4101" i="1"/>
  <c r="I4101" i="1"/>
  <c r="J4101" i="1"/>
  <c r="K4101" i="1"/>
  <c r="AC4101" i="1"/>
  <c r="AJ4100" i="1"/>
  <c r="AK4100" i="1"/>
  <c r="AM4100" i="1"/>
  <c r="BF4100" i="1"/>
  <c r="BG4100" i="1"/>
  <c r="T4101" i="1"/>
  <c r="U4101" i="1"/>
  <c r="V4101" i="1"/>
  <c r="W4101" i="1"/>
  <c r="X4101" i="1"/>
  <c r="Y4101" i="1"/>
  <c r="Z4101" i="1"/>
  <c r="AB4101" i="1"/>
  <c r="AF4101" i="1"/>
  <c r="AI4101" i="1"/>
  <c r="H4102" i="1"/>
  <c r="AE4102" i="1"/>
  <c r="I4102" i="1"/>
  <c r="J4102" i="1"/>
  <c r="K4102" i="1"/>
  <c r="AC4102" i="1"/>
  <c r="AJ4101" i="1"/>
  <c r="AK4101" i="1"/>
  <c r="AM4101" i="1"/>
  <c r="BF4101" i="1"/>
  <c r="BG4101" i="1"/>
  <c r="T4102" i="1"/>
  <c r="U4102" i="1"/>
  <c r="V4102" i="1"/>
  <c r="W4102" i="1"/>
  <c r="X4102" i="1"/>
  <c r="Y4102" i="1"/>
  <c r="Z4102" i="1"/>
  <c r="AB4102" i="1"/>
  <c r="AF4102" i="1"/>
  <c r="AI4102" i="1"/>
  <c r="H4103" i="1"/>
  <c r="AE4103" i="1"/>
  <c r="I4103" i="1"/>
  <c r="J4103" i="1"/>
  <c r="K4103" i="1"/>
  <c r="AC4103" i="1"/>
  <c r="AJ4102" i="1"/>
  <c r="AK4102" i="1"/>
  <c r="AM4102" i="1"/>
  <c r="BF4102" i="1"/>
  <c r="BG4102" i="1"/>
  <c r="T4103" i="1"/>
  <c r="U4103" i="1"/>
  <c r="V4103" i="1"/>
  <c r="W4103" i="1"/>
  <c r="X4103" i="1"/>
  <c r="Y4103" i="1"/>
  <c r="Z4103" i="1"/>
  <c r="AB4103" i="1"/>
  <c r="AF4103" i="1"/>
  <c r="AI4103" i="1"/>
  <c r="H4104" i="1"/>
  <c r="AE4104" i="1"/>
  <c r="I4104" i="1"/>
  <c r="J4104" i="1"/>
  <c r="K4104" i="1"/>
  <c r="AC4104" i="1"/>
  <c r="AJ4103" i="1"/>
  <c r="AK4103" i="1"/>
  <c r="AM4103" i="1"/>
  <c r="BF4103" i="1"/>
  <c r="BG4103" i="1"/>
  <c r="T4104" i="1"/>
  <c r="U4104" i="1"/>
  <c r="V4104" i="1"/>
  <c r="W4104" i="1"/>
  <c r="X4104" i="1"/>
  <c r="Y4104" i="1"/>
  <c r="Z4104" i="1"/>
  <c r="AB4104" i="1"/>
  <c r="AF4104" i="1"/>
  <c r="AI4104" i="1"/>
  <c r="H4105" i="1"/>
  <c r="AE4105" i="1"/>
  <c r="I4105" i="1"/>
  <c r="J4105" i="1"/>
  <c r="K4105" i="1"/>
  <c r="AC4105" i="1"/>
  <c r="AJ4104" i="1"/>
  <c r="AK4104" i="1"/>
  <c r="AM4104" i="1"/>
  <c r="BF4104" i="1"/>
  <c r="BG4104" i="1"/>
  <c r="T4105" i="1"/>
  <c r="U4105" i="1"/>
  <c r="V4105" i="1"/>
  <c r="W4105" i="1"/>
  <c r="X4105" i="1"/>
  <c r="Y4105" i="1"/>
  <c r="Z4105" i="1"/>
  <c r="AB4105" i="1"/>
  <c r="AF4105" i="1"/>
  <c r="AI4105" i="1"/>
  <c r="H4106" i="1"/>
  <c r="AE4106" i="1"/>
  <c r="I4106" i="1"/>
  <c r="J4106" i="1"/>
  <c r="K4106" i="1"/>
  <c r="AC4106" i="1"/>
  <c r="AJ4105" i="1"/>
  <c r="AK4105" i="1"/>
  <c r="AM4105" i="1"/>
  <c r="BF4105" i="1"/>
  <c r="BG4105" i="1"/>
  <c r="T4106" i="1"/>
  <c r="U4106" i="1"/>
  <c r="V4106" i="1"/>
  <c r="W4106" i="1"/>
  <c r="X4106" i="1"/>
  <c r="Y4106" i="1"/>
  <c r="Z4106" i="1"/>
  <c r="AB4106" i="1"/>
  <c r="AF4106" i="1"/>
  <c r="AI4106" i="1"/>
  <c r="H4107" i="1"/>
  <c r="AE4107" i="1"/>
  <c r="I4107" i="1"/>
  <c r="J4107" i="1"/>
  <c r="K4107" i="1"/>
  <c r="AC4107" i="1"/>
  <c r="AJ4106" i="1"/>
  <c r="AK4106" i="1"/>
  <c r="AM4106" i="1"/>
  <c r="BF4106" i="1"/>
  <c r="BG4106" i="1"/>
  <c r="T4107" i="1"/>
  <c r="U4107" i="1"/>
  <c r="V4107" i="1"/>
  <c r="W4107" i="1"/>
  <c r="X4107" i="1"/>
  <c r="Y4107" i="1"/>
  <c r="Z4107" i="1"/>
  <c r="AB4107" i="1"/>
  <c r="AF4107" i="1"/>
  <c r="AI4107" i="1"/>
  <c r="H4108" i="1"/>
  <c r="AE4108" i="1"/>
  <c r="I4108" i="1"/>
  <c r="J4108" i="1"/>
  <c r="K4108" i="1"/>
  <c r="AC4108" i="1"/>
  <c r="AJ4107" i="1"/>
  <c r="AK4107" i="1"/>
  <c r="AM4107" i="1"/>
  <c r="BF4107" i="1"/>
  <c r="BG4107" i="1"/>
  <c r="T4108" i="1"/>
  <c r="U4108" i="1"/>
  <c r="V4108" i="1"/>
  <c r="W4108" i="1"/>
  <c r="X4108" i="1"/>
  <c r="Y4108" i="1"/>
  <c r="Z4108" i="1"/>
  <c r="AB4108" i="1"/>
  <c r="AF4108" i="1"/>
  <c r="AI4108" i="1"/>
  <c r="H4109" i="1"/>
  <c r="AE4109" i="1"/>
  <c r="I4109" i="1"/>
  <c r="J4109" i="1"/>
  <c r="K4109" i="1"/>
  <c r="AC4109" i="1"/>
  <c r="AJ4108" i="1"/>
  <c r="AK4108" i="1"/>
  <c r="AM4108" i="1"/>
  <c r="BF4108" i="1"/>
  <c r="BG4108" i="1"/>
  <c r="T4109" i="1"/>
  <c r="U4109" i="1"/>
  <c r="V4109" i="1"/>
  <c r="W4109" i="1"/>
  <c r="X4109" i="1"/>
  <c r="Y4109" i="1"/>
  <c r="Z4109" i="1"/>
  <c r="AB4109" i="1"/>
  <c r="AF4109" i="1"/>
  <c r="AI4109" i="1"/>
  <c r="H4110" i="1"/>
  <c r="AE4110" i="1"/>
  <c r="I4110" i="1"/>
  <c r="J4110" i="1"/>
  <c r="K4110" i="1"/>
  <c r="AC4110" i="1"/>
  <c r="AJ4109" i="1"/>
  <c r="AK4109" i="1"/>
  <c r="AM4109" i="1"/>
  <c r="BF4109" i="1"/>
  <c r="BG4109" i="1"/>
  <c r="T4110" i="1"/>
  <c r="U4110" i="1"/>
  <c r="V4110" i="1"/>
  <c r="W4110" i="1"/>
  <c r="X4110" i="1"/>
  <c r="Y4110" i="1"/>
  <c r="Z4110" i="1"/>
  <c r="AB4110" i="1"/>
  <c r="AF4110" i="1"/>
  <c r="AI4110" i="1"/>
  <c r="H4111" i="1"/>
  <c r="AE4111" i="1"/>
  <c r="I4111" i="1"/>
  <c r="J4111" i="1"/>
  <c r="K4111" i="1"/>
  <c r="AC4111" i="1"/>
  <c r="AJ4110" i="1"/>
  <c r="AK4110" i="1"/>
  <c r="AM4110" i="1"/>
  <c r="BF4110" i="1"/>
  <c r="BG4110" i="1"/>
  <c r="T4111" i="1"/>
  <c r="U4111" i="1"/>
  <c r="V4111" i="1"/>
  <c r="W4111" i="1"/>
  <c r="X4111" i="1"/>
  <c r="Y4111" i="1"/>
  <c r="Z4111" i="1"/>
  <c r="AB4111" i="1"/>
  <c r="AF4111" i="1"/>
  <c r="AI4111" i="1"/>
  <c r="H4112" i="1"/>
  <c r="AE4112" i="1"/>
  <c r="I4112" i="1"/>
  <c r="J4112" i="1"/>
  <c r="K4112" i="1"/>
  <c r="AC4112" i="1"/>
  <c r="AJ4111" i="1"/>
  <c r="AK4111" i="1"/>
  <c r="AM4111" i="1"/>
  <c r="BF4111" i="1"/>
  <c r="BG4111" i="1"/>
  <c r="T4112" i="1"/>
  <c r="U4112" i="1"/>
  <c r="V4112" i="1"/>
  <c r="W4112" i="1"/>
  <c r="X4112" i="1"/>
  <c r="Y4112" i="1"/>
  <c r="Z4112" i="1"/>
  <c r="AB4112" i="1"/>
  <c r="AF4112" i="1"/>
  <c r="AI4112" i="1"/>
  <c r="H4113" i="1"/>
  <c r="AE4113" i="1"/>
  <c r="I4113" i="1"/>
  <c r="J4113" i="1"/>
  <c r="K4113" i="1"/>
  <c r="AC4113" i="1"/>
  <c r="AJ4112" i="1"/>
  <c r="AK4112" i="1"/>
  <c r="AM4112" i="1"/>
  <c r="BF4112" i="1"/>
  <c r="BG4112" i="1"/>
  <c r="T4113" i="1"/>
  <c r="U4113" i="1"/>
  <c r="V4113" i="1"/>
  <c r="W4113" i="1"/>
  <c r="X4113" i="1"/>
  <c r="Y4113" i="1"/>
  <c r="Z4113" i="1"/>
  <c r="AB4113" i="1"/>
  <c r="AF4113" i="1"/>
  <c r="AI4113" i="1"/>
  <c r="H4114" i="1"/>
  <c r="AE4114" i="1"/>
  <c r="I4114" i="1"/>
  <c r="J4114" i="1"/>
  <c r="K4114" i="1"/>
  <c r="AC4114" i="1"/>
  <c r="AJ4113" i="1"/>
  <c r="AK4113" i="1"/>
  <c r="AM4113" i="1"/>
  <c r="BF4113" i="1"/>
  <c r="BG4113" i="1"/>
  <c r="T4114" i="1"/>
  <c r="U4114" i="1"/>
  <c r="V4114" i="1"/>
  <c r="W4114" i="1"/>
  <c r="X4114" i="1"/>
  <c r="Y4114" i="1"/>
  <c r="Z4114" i="1"/>
  <c r="AB4114" i="1"/>
  <c r="AF4114" i="1"/>
  <c r="AI4114" i="1"/>
  <c r="H4115" i="1"/>
  <c r="AE4115" i="1"/>
  <c r="I4115" i="1"/>
  <c r="J4115" i="1"/>
  <c r="K4115" i="1"/>
  <c r="AC4115" i="1"/>
  <c r="AJ4114" i="1"/>
  <c r="AK4114" i="1"/>
  <c r="AM4114" i="1"/>
  <c r="BF4114" i="1"/>
  <c r="BG4114" i="1"/>
  <c r="T4115" i="1"/>
  <c r="U4115" i="1"/>
  <c r="V4115" i="1"/>
  <c r="W4115" i="1"/>
  <c r="X4115" i="1"/>
  <c r="Y4115" i="1"/>
  <c r="Z4115" i="1"/>
  <c r="AB4115" i="1"/>
  <c r="AF4115" i="1"/>
  <c r="AI4115" i="1"/>
  <c r="AE4116" i="1"/>
  <c r="AC4116" i="1"/>
  <c r="AJ4115" i="1"/>
  <c r="AK4115" i="1"/>
  <c r="AM4115" i="1"/>
  <c r="BF4115" i="1"/>
  <c r="BG4115" i="1"/>
  <c r="T4116" i="1"/>
  <c r="U4116" i="1"/>
  <c r="V4116" i="1"/>
  <c r="W4116" i="1"/>
  <c r="X4116" i="1"/>
  <c r="Y4116" i="1"/>
  <c r="Z4116" i="1"/>
  <c r="AB4116" i="1"/>
  <c r="AF4116" i="1"/>
  <c r="AI4116" i="1"/>
  <c r="AE4117" i="1"/>
  <c r="AC4117" i="1"/>
  <c r="AJ4116" i="1"/>
  <c r="AK4116" i="1"/>
  <c r="AM4116" i="1"/>
  <c r="BF4116" i="1"/>
  <c r="BG4116" i="1"/>
  <c r="T4117" i="1"/>
  <c r="U4117" i="1"/>
  <c r="V4117" i="1"/>
  <c r="W4117" i="1"/>
  <c r="X4117" i="1"/>
  <c r="Y4117" i="1"/>
  <c r="Z4117" i="1"/>
  <c r="AB4117" i="1"/>
  <c r="AF4117" i="1"/>
  <c r="AI4117" i="1"/>
  <c r="H4118" i="1"/>
  <c r="AE4118" i="1"/>
  <c r="I4118" i="1"/>
  <c r="J4118" i="1"/>
  <c r="K4118" i="1"/>
  <c r="AC4118" i="1"/>
  <c r="AJ4117" i="1"/>
  <c r="AK4117" i="1"/>
  <c r="AM4117" i="1"/>
  <c r="BG4117" i="1"/>
  <c r="T4118" i="1"/>
  <c r="U4118" i="1"/>
  <c r="V4118" i="1"/>
  <c r="W4118" i="1"/>
  <c r="X4118" i="1"/>
  <c r="Y4118" i="1"/>
  <c r="Z4118" i="1"/>
  <c r="AB4118" i="1"/>
  <c r="AF4118" i="1"/>
  <c r="AI4118" i="1"/>
  <c r="H4119" i="1"/>
  <c r="AE4119" i="1"/>
  <c r="I4119" i="1"/>
  <c r="J4119" i="1"/>
  <c r="K4119" i="1"/>
  <c r="AC4119" i="1"/>
  <c r="AJ4118" i="1"/>
  <c r="AK4118" i="1"/>
  <c r="AM4118" i="1"/>
  <c r="BF4118" i="1"/>
  <c r="BG4118" i="1"/>
  <c r="T4119" i="1"/>
  <c r="U4119" i="1"/>
  <c r="V4119" i="1"/>
  <c r="W4119" i="1"/>
  <c r="X4119" i="1"/>
  <c r="Y4119" i="1"/>
  <c r="Z4119" i="1"/>
  <c r="AB4119" i="1"/>
  <c r="AF4119" i="1"/>
  <c r="AI4119" i="1"/>
  <c r="AE4120" i="1"/>
  <c r="AC4120" i="1"/>
  <c r="AJ4119" i="1"/>
  <c r="AK4119" i="1"/>
  <c r="AM4119" i="1"/>
  <c r="BF4119" i="1"/>
  <c r="BG4119" i="1"/>
  <c r="T4120" i="1"/>
  <c r="U4120" i="1"/>
  <c r="V4120" i="1"/>
  <c r="W4120" i="1"/>
  <c r="X4120" i="1"/>
  <c r="Y4120" i="1"/>
  <c r="Z4120" i="1"/>
  <c r="AB4120" i="1"/>
  <c r="AF4120" i="1"/>
  <c r="AI4120" i="1"/>
  <c r="AE4121" i="1"/>
  <c r="AC4121" i="1"/>
  <c r="AJ4120" i="1"/>
  <c r="AK4120" i="1"/>
  <c r="AM4120" i="1"/>
  <c r="BF4120" i="1"/>
  <c r="BG4120" i="1"/>
  <c r="T4121" i="1"/>
  <c r="U4121" i="1"/>
  <c r="V4121" i="1"/>
  <c r="W4121" i="1"/>
  <c r="X4121" i="1"/>
  <c r="Y4121" i="1"/>
  <c r="Z4121" i="1"/>
  <c r="AB4121" i="1"/>
  <c r="AF4121" i="1"/>
  <c r="AI4121" i="1"/>
  <c r="H4122" i="1"/>
  <c r="AE4122" i="1"/>
  <c r="I4122" i="1"/>
  <c r="J4122" i="1"/>
  <c r="K4122" i="1"/>
  <c r="AC4122" i="1"/>
  <c r="AJ4121" i="1"/>
  <c r="AK4121" i="1"/>
  <c r="AM4121" i="1"/>
  <c r="BG4121" i="1"/>
  <c r="T4122" i="1"/>
  <c r="U4122" i="1"/>
  <c r="V4122" i="1"/>
  <c r="W4122" i="1"/>
  <c r="X4122" i="1"/>
  <c r="Y4122" i="1"/>
  <c r="Z4122" i="1"/>
  <c r="AB4122" i="1"/>
  <c r="AF4122" i="1"/>
  <c r="AI4122" i="1"/>
  <c r="AE4123" i="1"/>
  <c r="AC4123" i="1"/>
  <c r="AJ4122" i="1"/>
  <c r="AK4122" i="1"/>
  <c r="AM4122" i="1"/>
  <c r="BF4122" i="1"/>
  <c r="BG4122" i="1"/>
  <c r="T4123" i="1"/>
  <c r="U4123" i="1"/>
  <c r="V4123" i="1"/>
  <c r="W4123" i="1"/>
  <c r="X4123" i="1"/>
  <c r="Y4123" i="1"/>
  <c r="Z4123" i="1"/>
  <c r="AB4123" i="1"/>
  <c r="AF4123" i="1"/>
  <c r="AI4123" i="1"/>
  <c r="AE4124" i="1"/>
  <c r="AC4124" i="1"/>
  <c r="AJ4123" i="1"/>
  <c r="AK4123" i="1"/>
  <c r="AM4123" i="1"/>
  <c r="BF4123" i="1"/>
  <c r="BG4123" i="1"/>
  <c r="T4124" i="1"/>
  <c r="U4124" i="1"/>
  <c r="V4124" i="1"/>
  <c r="W4124" i="1"/>
  <c r="X4124" i="1"/>
  <c r="Y4124" i="1"/>
  <c r="Z4124" i="1"/>
  <c r="AB4124" i="1"/>
  <c r="AF4124" i="1"/>
  <c r="AI4124" i="1"/>
  <c r="H4125" i="1"/>
  <c r="AE4125" i="1"/>
  <c r="I4125" i="1"/>
  <c r="J4125" i="1"/>
  <c r="K4125" i="1"/>
  <c r="AC4125" i="1"/>
  <c r="AJ4124" i="1"/>
  <c r="AK4124" i="1"/>
  <c r="AM4124" i="1"/>
  <c r="BG4124" i="1"/>
  <c r="T4125" i="1"/>
  <c r="U4125" i="1"/>
  <c r="V4125" i="1"/>
  <c r="W4125" i="1"/>
  <c r="X4125" i="1"/>
  <c r="Y4125" i="1"/>
  <c r="Z4125" i="1"/>
  <c r="AB4125" i="1"/>
  <c r="AF4125" i="1"/>
  <c r="AI4125" i="1"/>
  <c r="AE4126" i="1"/>
  <c r="AC4126" i="1"/>
  <c r="AJ4125" i="1"/>
  <c r="AK4125" i="1"/>
  <c r="AM4125" i="1"/>
  <c r="BF4125" i="1"/>
  <c r="BG4125" i="1"/>
  <c r="T4126" i="1"/>
  <c r="U4126" i="1"/>
  <c r="V4126" i="1"/>
  <c r="W4126" i="1"/>
  <c r="X4126" i="1"/>
  <c r="Y4126" i="1"/>
  <c r="Z4126" i="1"/>
  <c r="AB4126" i="1"/>
  <c r="AF4126" i="1"/>
  <c r="AI4126" i="1"/>
  <c r="AE4127" i="1"/>
  <c r="AC4127" i="1"/>
  <c r="AJ4126" i="1"/>
  <c r="AK4126" i="1"/>
  <c r="AM4126" i="1"/>
  <c r="BF4126" i="1"/>
  <c r="BG4126" i="1"/>
  <c r="T4127" i="1"/>
  <c r="U4127" i="1"/>
  <c r="V4127" i="1"/>
  <c r="W4127" i="1"/>
  <c r="X4127" i="1"/>
  <c r="Y4127" i="1"/>
  <c r="Z4127" i="1"/>
  <c r="AB4127" i="1"/>
  <c r="AF4127" i="1"/>
  <c r="AI4127" i="1"/>
  <c r="H4128" i="1"/>
  <c r="AE4128" i="1"/>
  <c r="I4128" i="1"/>
  <c r="J4128" i="1"/>
  <c r="K4128" i="1"/>
  <c r="AC4128" i="1"/>
  <c r="AJ4127" i="1"/>
  <c r="AK4127" i="1"/>
  <c r="AM4127" i="1"/>
  <c r="BG4127" i="1"/>
  <c r="T4128" i="1"/>
  <c r="U4128" i="1"/>
  <c r="V4128" i="1"/>
  <c r="W4128" i="1"/>
  <c r="X4128" i="1"/>
  <c r="Y4128" i="1"/>
  <c r="Z4128" i="1"/>
  <c r="AB4128" i="1"/>
  <c r="AF4128" i="1"/>
  <c r="AI4128" i="1"/>
  <c r="H4129" i="1"/>
  <c r="AE4129" i="1"/>
  <c r="I4129" i="1"/>
  <c r="J4129" i="1"/>
  <c r="K4129" i="1"/>
  <c r="AC4129" i="1"/>
  <c r="AJ4128" i="1"/>
  <c r="AK4128" i="1"/>
  <c r="AM4128" i="1"/>
  <c r="BF4128" i="1"/>
  <c r="BG4128" i="1"/>
  <c r="T4129" i="1"/>
  <c r="U4129" i="1"/>
  <c r="V4129" i="1"/>
  <c r="W4129" i="1"/>
  <c r="X4129" i="1"/>
  <c r="Y4129" i="1"/>
  <c r="Z4129" i="1"/>
  <c r="AB4129" i="1"/>
  <c r="AF4129" i="1"/>
  <c r="AI4129" i="1"/>
  <c r="H4130" i="1"/>
  <c r="AE4130" i="1"/>
  <c r="I4130" i="1"/>
  <c r="J4130" i="1"/>
  <c r="K4130" i="1"/>
  <c r="AC4130" i="1"/>
  <c r="AJ4129" i="1"/>
  <c r="AK4129" i="1"/>
  <c r="AM4129" i="1"/>
  <c r="BF4129" i="1"/>
  <c r="BG4129" i="1"/>
  <c r="T4130" i="1"/>
  <c r="U4130" i="1"/>
  <c r="V4130" i="1"/>
  <c r="W4130" i="1"/>
  <c r="X4130" i="1"/>
  <c r="Y4130" i="1"/>
  <c r="Z4130" i="1"/>
  <c r="AB4130" i="1"/>
  <c r="AF4130" i="1"/>
  <c r="AI4130" i="1"/>
  <c r="AE4131" i="1"/>
  <c r="AC4131" i="1"/>
  <c r="AJ4130" i="1"/>
  <c r="AK4130" i="1"/>
  <c r="AM4130" i="1"/>
  <c r="BF4130" i="1"/>
  <c r="BG4130" i="1"/>
  <c r="T4131" i="1"/>
  <c r="U4131" i="1"/>
  <c r="V4131" i="1"/>
  <c r="W4131" i="1"/>
  <c r="X4131" i="1"/>
  <c r="Y4131" i="1"/>
  <c r="Z4131" i="1"/>
  <c r="AB4131" i="1"/>
  <c r="AF4131" i="1"/>
  <c r="AI4131" i="1"/>
  <c r="AE4132" i="1"/>
  <c r="AC4132" i="1"/>
  <c r="AJ4131" i="1"/>
  <c r="AK4131" i="1"/>
  <c r="AM4131" i="1"/>
  <c r="BF4131" i="1"/>
  <c r="BG4131" i="1"/>
  <c r="T4132" i="1"/>
  <c r="U4132" i="1"/>
  <c r="V4132" i="1"/>
  <c r="W4132" i="1"/>
  <c r="X4132" i="1"/>
  <c r="Y4132" i="1"/>
  <c r="Z4132" i="1"/>
  <c r="AB4132" i="1"/>
  <c r="AF4132" i="1"/>
  <c r="AI4132" i="1"/>
  <c r="H4133" i="1"/>
  <c r="AE4133" i="1"/>
  <c r="I4133" i="1"/>
  <c r="J4133" i="1"/>
  <c r="K4133" i="1"/>
  <c r="AC4133" i="1"/>
  <c r="AJ4132" i="1"/>
  <c r="AK4132" i="1"/>
  <c r="AM4132" i="1"/>
  <c r="BG4132" i="1"/>
  <c r="T4133" i="1"/>
  <c r="U4133" i="1"/>
  <c r="V4133" i="1"/>
  <c r="W4133" i="1"/>
  <c r="X4133" i="1"/>
  <c r="Y4133" i="1"/>
  <c r="Z4133" i="1"/>
  <c r="AB4133" i="1"/>
  <c r="AF4133" i="1"/>
  <c r="AI4133" i="1"/>
  <c r="H4134" i="1"/>
  <c r="AE4134" i="1"/>
  <c r="I4134" i="1"/>
  <c r="J4134" i="1"/>
  <c r="K4134" i="1"/>
  <c r="AC4134" i="1"/>
  <c r="AJ4133" i="1"/>
  <c r="AK4133" i="1"/>
  <c r="AM4133" i="1"/>
  <c r="BF4133" i="1"/>
  <c r="BG4133" i="1"/>
  <c r="T4134" i="1"/>
  <c r="U4134" i="1"/>
  <c r="V4134" i="1"/>
  <c r="W4134" i="1"/>
  <c r="X4134" i="1"/>
  <c r="Y4134" i="1"/>
  <c r="Z4134" i="1"/>
  <c r="AB4134" i="1"/>
  <c r="AF4134" i="1"/>
  <c r="AI4134" i="1"/>
  <c r="H4135" i="1"/>
  <c r="AE4135" i="1"/>
  <c r="I4135" i="1"/>
  <c r="J4135" i="1"/>
  <c r="K4135" i="1"/>
  <c r="AC4135" i="1"/>
  <c r="AJ4134" i="1"/>
  <c r="AK4134" i="1"/>
  <c r="AM4134" i="1"/>
  <c r="BF4134" i="1"/>
  <c r="BG4134" i="1"/>
  <c r="T4135" i="1"/>
  <c r="U4135" i="1"/>
  <c r="V4135" i="1"/>
  <c r="W4135" i="1"/>
  <c r="X4135" i="1"/>
  <c r="Y4135" i="1"/>
  <c r="Z4135" i="1"/>
  <c r="AB4135" i="1"/>
  <c r="AF4135" i="1"/>
  <c r="AI4135" i="1"/>
  <c r="H4136" i="1"/>
  <c r="AE4136" i="1"/>
  <c r="I4136" i="1"/>
  <c r="J4136" i="1"/>
  <c r="K4136" i="1"/>
  <c r="AC4136" i="1"/>
  <c r="AJ4135" i="1"/>
  <c r="AK4135" i="1"/>
  <c r="AM4135" i="1"/>
  <c r="BF4135" i="1"/>
  <c r="BG4135" i="1"/>
  <c r="T4136" i="1"/>
  <c r="U4136" i="1"/>
  <c r="V4136" i="1"/>
  <c r="W4136" i="1"/>
  <c r="X4136" i="1"/>
  <c r="Y4136" i="1"/>
  <c r="Z4136" i="1"/>
  <c r="AB4136" i="1"/>
  <c r="AF4136" i="1"/>
  <c r="AI4136" i="1"/>
  <c r="AE4137" i="1"/>
  <c r="AC4137" i="1"/>
  <c r="AJ4136" i="1"/>
  <c r="AK4136" i="1"/>
  <c r="AM4136" i="1"/>
  <c r="BF4136" i="1"/>
  <c r="BG4136" i="1"/>
  <c r="T4137" i="1"/>
  <c r="U4137" i="1"/>
  <c r="V4137" i="1"/>
  <c r="W4137" i="1"/>
  <c r="X4137" i="1"/>
  <c r="Y4137" i="1"/>
  <c r="Z4137" i="1"/>
  <c r="AB4137" i="1"/>
  <c r="AF4137" i="1"/>
  <c r="AI4137" i="1"/>
  <c r="AE4138" i="1"/>
  <c r="AC4138" i="1"/>
  <c r="AJ4137" i="1"/>
  <c r="AK4137" i="1"/>
  <c r="AM4137" i="1"/>
  <c r="BF4137" i="1"/>
  <c r="BG4137" i="1"/>
  <c r="T4138" i="1"/>
  <c r="U4138" i="1"/>
  <c r="V4138" i="1"/>
  <c r="W4138" i="1"/>
  <c r="X4138" i="1"/>
  <c r="Y4138" i="1"/>
  <c r="Z4138" i="1"/>
  <c r="AB4138" i="1"/>
  <c r="AF4138" i="1"/>
  <c r="AI4138" i="1"/>
  <c r="H4139" i="1"/>
  <c r="AE4139" i="1"/>
  <c r="I4139" i="1"/>
  <c r="J4139" i="1"/>
  <c r="K4139" i="1"/>
  <c r="AC4139" i="1"/>
  <c r="AJ4138" i="1"/>
  <c r="AK4138" i="1"/>
  <c r="AM4138" i="1"/>
  <c r="BG4138" i="1"/>
  <c r="T4139" i="1"/>
  <c r="U4139" i="1"/>
  <c r="V4139" i="1"/>
  <c r="W4139" i="1"/>
  <c r="X4139" i="1"/>
  <c r="Y4139" i="1"/>
  <c r="Z4139" i="1"/>
  <c r="AB4139" i="1"/>
  <c r="AF4139" i="1"/>
  <c r="AI4139" i="1"/>
  <c r="H4140" i="1"/>
  <c r="AE4140" i="1"/>
  <c r="I4140" i="1"/>
  <c r="J4140" i="1"/>
  <c r="K4140" i="1"/>
  <c r="AC4140" i="1"/>
  <c r="AJ4139" i="1"/>
  <c r="AK4139" i="1"/>
  <c r="AM4139" i="1"/>
  <c r="BF4139" i="1"/>
  <c r="BG4139" i="1"/>
  <c r="T4140" i="1"/>
  <c r="U4140" i="1"/>
  <c r="V4140" i="1"/>
  <c r="W4140" i="1"/>
  <c r="X4140" i="1"/>
  <c r="Y4140" i="1"/>
  <c r="Z4140" i="1"/>
  <c r="AB4140" i="1"/>
  <c r="AF4140" i="1"/>
  <c r="AI4140" i="1"/>
  <c r="H4141" i="1"/>
  <c r="AE4141" i="1"/>
  <c r="I4141" i="1"/>
  <c r="J4141" i="1"/>
  <c r="K4141" i="1"/>
  <c r="AC4141" i="1"/>
  <c r="AJ4140" i="1"/>
  <c r="AK4140" i="1"/>
  <c r="AM4140" i="1"/>
  <c r="BF4140" i="1"/>
  <c r="BG4140" i="1"/>
  <c r="T4141" i="1"/>
  <c r="U4141" i="1"/>
  <c r="V4141" i="1"/>
  <c r="W4141" i="1"/>
  <c r="X4141" i="1"/>
  <c r="Y4141" i="1"/>
  <c r="Z4141" i="1"/>
  <c r="AB4141" i="1"/>
  <c r="AF4141" i="1"/>
  <c r="AI4141" i="1"/>
  <c r="AE4142" i="1"/>
  <c r="AC4142" i="1"/>
  <c r="AJ4141" i="1"/>
  <c r="AK4141" i="1"/>
  <c r="AM4141" i="1"/>
  <c r="BF4141" i="1"/>
  <c r="BG4141" i="1"/>
  <c r="T4142" i="1"/>
  <c r="U4142" i="1"/>
  <c r="V4142" i="1"/>
  <c r="W4142" i="1"/>
  <c r="X4142" i="1"/>
  <c r="Y4142" i="1"/>
  <c r="Z4142" i="1"/>
  <c r="AB4142" i="1"/>
  <c r="AF4142" i="1"/>
  <c r="AI4142" i="1"/>
  <c r="AE4143" i="1"/>
  <c r="AC4143" i="1"/>
  <c r="AJ4142" i="1"/>
  <c r="AK4142" i="1"/>
  <c r="AM4142" i="1"/>
  <c r="BF4142" i="1"/>
  <c r="BG4142" i="1"/>
  <c r="T4143" i="1"/>
  <c r="U4143" i="1"/>
  <c r="V4143" i="1"/>
  <c r="W4143" i="1"/>
  <c r="X4143" i="1"/>
  <c r="Y4143" i="1"/>
  <c r="Z4143" i="1"/>
  <c r="AB4143" i="1"/>
  <c r="AF4143" i="1"/>
  <c r="AI4143" i="1"/>
  <c r="H4144" i="1"/>
  <c r="AE4144" i="1"/>
  <c r="I4144" i="1"/>
  <c r="J4144" i="1"/>
  <c r="K4144" i="1"/>
  <c r="AC4144" i="1"/>
  <c r="AJ4143" i="1"/>
  <c r="AK4143" i="1"/>
  <c r="AM4143" i="1"/>
  <c r="BG4143" i="1"/>
  <c r="T4144" i="1"/>
  <c r="U4144" i="1"/>
  <c r="V4144" i="1"/>
  <c r="W4144" i="1"/>
  <c r="X4144" i="1"/>
  <c r="Y4144" i="1"/>
  <c r="Z4144" i="1"/>
  <c r="AB4144" i="1"/>
  <c r="AF4144" i="1"/>
  <c r="AI4144" i="1"/>
  <c r="H4145" i="1"/>
  <c r="AE4145" i="1"/>
  <c r="I4145" i="1"/>
  <c r="J4145" i="1"/>
  <c r="K4145" i="1"/>
  <c r="AC4145" i="1"/>
  <c r="AJ4144" i="1"/>
  <c r="AK4144" i="1"/>
  <c r="AM4144" i="1"/>
  <c r="BF4144" i="1"/>
  <c r="BG4144" i="1"/>
  <c r="T4145" i="1"/>
  <c r="U4145" i="1"/>
  <c r="V4145" i="1"/>
  <c r="W4145" i="1"/>
  <c r="X4145" i="1"/>
  <c r="Y4145" i="1"/>
  <c r="Z4145" i="1"/>
  <c r="AB4145" i="1"/>
  <c r="AF4145" i="1"/>
  <c r="AI4145" i="1"/>
  <c r="H4146" i="1"/>
  <c r="AE4146" i="1"/>
  <c r="I4146" i="1"/>
  <c r="J4146" i="1"/>
  <c r="K4146" i="1"/>
  <c r="AC4146" i="1"/>
  <c r="AJ4145" i="1"/>
  <c r="AK4145" i="1"/>
  <c r="AM4145" i="1"/>
  <c r="BF4145" i="1"/>
  <c r="BG4145" i="1"/>
  <c r="T4146" i="1"/>
  <c r="U4146" i="1"/>
  <c r="V4146" i="1"/>
  <c r="W4146" i="1"/>
  <c r="X4146" i="1"/>
  <c r="Y4146" i="1"/>
  <c r="Z4146" i="1"/>
  <c r="AB4146" i="1"/>
  <c r="AF4146" i="1"/>
  <c r="AI4146" i="1"/>
  <c r="H4147" i="1"/>
  <c r="AE4147" i="1"/>
  <c r="I4147" i="1"/>
  <c r="J4147" i="1"/>
  <c r="K4147" i="1"/>
  <c r="AC4147" i="1"/>
  <c r="AJ4146" i="1"/>
  <c r="AK4146" i="1"/>
  <c r="AM4146" i="1"/>
  <c r="BF4146" i="1"/>
  <c r="BG4146" i="1"/>
  <c r="T4147" i="1"/>
  <c r="U4147" i="1"/>
  <c r="V4147" i="1"/>
  <c r="W4147" i="1"/>
  <c r="X4147" i="1"/>
  <c r="Y4147" i="1"/>
  <c r="Z4147" i="1"/>
  <c r="AB4147" i="1"/>
  <c r="AF4147" i="1"/>
  <c r="AI4147" i="1"/>
  <c r="H4148" i="1"/>
  <c r="AE4148" i="1"/>
  <c r="I4148" i="1"/>
  <c r="J4148" i="1"/>
  <c r="K4148" i="1"/>
  <c r="AC4148" i="1"/>
  <c r="AJ4147" i="1"/>
  <c r="AK4147" i="1"/>
  <c r="AM4147" i="1"/>
  <c r="BF4147" i="1"/>
  <c r="BG4147" i="1"/>
  <c r="T4148" i="1"/>
  <c r="U4148" i="1"/>
  <c r="V4148" i="1"/>
  <c r="W4148" i="1"/>
  <c r="X4148" i="1"/>
  <c r="Y4148" i="1"/>
  <c r="Z4148" i="1"/>
  <c r="AB4148" i="1"/>
  <c r="AF4148" i="1"/>
  <c r="AI4148" i="1"/>
  <c r="AE4149" i="1"/>
  <c r="AC4149" i="1"/>
  <c r="AJ4148" i="1"/>
  <c r="AK4148" i="1"/>
  <c r="AM4148" i="1"/>
  <c r="BF4148" i="1"/>
  <c r="BG4148" i="1"/>
  <c r="T4149" i="1"/>
  <c r="U4149" i="1"/>
  <c r="V4149" i="1"/>
  <c r="W4149" i="1"/>
  <c r="X4149" i="1"/>
  <c r="Y4149" i="1"/>
  <c r="Z4149" i="1"/>
  <c r="AB4149" i="1"/>
  <c r="AF4149" i="1"/>
  <c r="AI4149" i="1"/>
  <c r="AE4150" i="1"/>
  <c r="AC4150" i="1"/>
  <c r="AJ4149" i="1"/>
  <c r="AK4149" i="1"/>
  <c r="AM4149" i="1"/>
  <c r="BF4149" i="1"/>
  <c r="BG4149" i="1"/>
  <c r="T4150" i="1"/>
  <c r="U4150" i="1"/>
  <c r="V4150" i="1"/>
  <c r="W4150" i="1"/>
  <c r="X4150" i="1"/>
  <c r="Y4150" i="1"/>
  <c r="Z4150" i="1"/>
  <c r="AB4150" i="1"/>
  <c r="AF4150" i="1"/>
  <c r="AI4150" i="1"/>
  <c r="H4151" i="1"/>
  <c r="AE4151" i="1"/>
  <c r="I4151" i="1"/>
  <c r="J4151" i="1"/>
  <c r="K4151" i="1"/>
  <c r="AC4151" i="1"/>
  <c r="AJ4150" i="1"/>
  <c r="AK4150" i="1"/>
  <c r="AM4150" i="1"/>
  <c r="BG4150" i="1"/>
  <c r="T4151" i="1"/>
  <c r="U4151" i="1"/>
  <c r="V4151" i="1"/>
  <c r="W4151" i="1"/>
  <c r="X4151" i="1"/>
  <c r="Y4151" i="1"/>
  <c r="Z4151" i="1"/>
  <c r="AB4151" i="1"/>
  <c r="AF4151" i="1"/>
  <c r="AI4151" i="1"/>
  <c r="H4152" i="1"/>
  <c r="AE4152" i="1"/>
  <c r="I4152" i="1"/>
  <c r="J4152" i="1"/>
  <c r="K4152" i="1"/>
  <c r="AC4152" i="1"/>
  <c r="AJ4151" i="1"/>
  <c r="AK4151" i="1"/>
  <c r="AM4151" i="1"/>
  <c r="BF4151" i="1"/>
  <c r="BG4151" i="1"/>
  <c r="T4152" i="1"/>
  <c r="U4152" i="1"/>
  <c r="V4152" i="1"/>
  <c r="W4152" i="1"/>
  <c r="X4152" i="1"/>
  <c r="Y4152" i="1"/>
  <c r="Z4152" i="1"/>
  <c r="AB4152" i="1"/>
  <c r="AF4152" i="1"/>
  <c r="AI4152" i="1"/>
  <c r="AE4153" i="1"/>
  <c r="AC4153" i="1"/>
  <c r="AJ4152" i="1"/>
  <c r="AK4152" i="1"/>
  <c r="AM4152" i="1"/>
  <c r="BF4152" i="1"/>
  <c r="BG4152" i="1"/>
  <c r="T4153" i="1"/>
  <c r="U4153" i="1"/>
  <c r="V4153" i="1"/>
  <c r="W4153" i="1"/>
  <c r="X4153" i="1"/>
  <c r="Y4153" i="1"/>
  <c r="Z4153" i="1"/>
  <c r="AB4153" i="1"/>
  <c r="AF4153" i="1"/>
  <c r="AI4153" i="1"/>
  <c r="AE4154" i="1"/>
  <c r="AC4154" i="1"/>
  <c r="AJ4153" i="1"/>
  <c r="AK4153" i="1"/>
  <c r="AM4153" i="1"/>
  <c r="BF4153" i="1"/>
  <c r="BG4153" i="1"/>
  <c r="T4154" i="1"/>
  <c r="U4154" i="1"/>
  <c r="V4154" i="1"/>
  <c r="W4154" i="1"/>
  <c r="X4154" i="1"/>
  <c r="Y4154" i="1"/>
  <c r="Z4154" i="1"/>
  <c r="AB4154" i="1"/>
  <c r="AF4154" i="1"/>
  <c r="AI4154" i="1"/>
  <c r="H4155" i="1"/>
  <c r="AE4155" i="1"/>
  <c r="I4155" i="1"/>
  <c r="J4155" i="1"/>
  <c r="K4155" i="1"/>
  <c r="AC4155" i="1"/>
  <c r="AJ4154" i="1"/>
  <c r="AK4154" i="1"/>
  <c r="AM4154" i="1"/>
  <c r="BG4154" i="1"/>
  <c r="T4155" i="1"/>
  <c r="U4155" i="1"/>
  <c r="V4155" i="1"/>
  <c r="W4155" i="1"/>
  <c r="X4155" i="1"/>
  <c r="Y4155" i="1"/>
  <c r="Z4155" i="1"/>
  <c r="AB4155" i="1"/>
  <c r="AF4155" i="1"/>
  <c r="AI4155" i="1"/>
  <c r="H4156" i="1"/>
  <c r="AE4156" i="1"/>
  <c r="I4156" i="1"/>
  <c r="J4156" i="1"/>
  <c r="K4156" i="1"/>
  <c r="AC4156" i="1"/>
  <c r="AJ4155" i="1"/>
  <c r="AK4155" i="1"/>
  <c r="AM4155" i="1"/>
  <c r="BF4155" i="1"/>
  <c r="BG4155" i="1"/>
  <c r="T4156" i="1"/>
  <c r="U4156" i="1"/>
  <c r="V4156" i="1"/>
  <c r="W4156" i="1"/>
  <c r="X4156" i="1"/>
  <c r="Y4156" i="1"/>
  <c r="Z4156" i="1"/>
  <c r="AB4156" i="1"/>
  <c r="AF4156" i="1"/>
  <c r="AI4156" i="1"/>
  <c r="H4157" i="1"/>
  <c r="AE4157" i="1"/>
  <c r="I4157" i="1"/>
  <c r="J4157" i="1"/>
  <c r="K4157" i="1"/>
  <c r="AC4157" i="1"/>
  <c r="AJ4156" i="1"/>
  <c r="AK4156" i="1"/>
  <c r="AM4156" i="1"/>
  <c r="BF4156" i="1"/>
  <c r="BG4156" i="1"/>
  <c r="T4157" i="1"/>
  <c r="U4157" i="1"/>
  <c r="V4157" i="1"/>
  <c r="W4157" i="1"/>
  <c r="X4157" i="1"/>
  <c r="Y4157" i="1"/>
  <c r="Z4157" i="1"/>
  <c r="AB4157" i="1"/>
  <c r="AF4157" i="1"/>
  <c r="AI4157" i="1"/>
  <c r="H4158" i="1"/>
  <c r="AE4158" i="1"/>
  <c r="I4158" i="1"/>
  <c r="J4158" i="1"/>
  <c r="K4158" i="1"/>
  <c r="AC4158" i="1"/>
  <c r="AJ4157" i="1"/>
  <c r="AK4157" i="1"/>
  <c r="AM4157" i="1"/>
  <c r="BF4157" i="1"/>
  <c r="BG4157" i="1"/>
  <c r="T4158" i="1"/>
  <c r="U4158" i="1"/>
  <c r="V4158" i="1"/>
  <c r="W4158" i="1"/>
  <c r="X4158" i="1"/>
  <c r="Y4158" i="1"/>
  <c r="Z4158" i="1"/>
  <c r="AB4158" i="1"/>
  <c r="AF4158" i="1"/>
  <c r="AI4158" i="1"/>
  <c r="H4159" i="1"/>
  <c r="AE4159" i="1"/>
  <c r="I4159" i="1"/>
  <c r="J4159" i="1"/>
  <c r="K4159" i="1"/>
  <c r="AC4159" i="1"/>
  <c r="AJ4158" i="1"/>
  <c r="AK4158" i="1"/>
  <c r="AM4158" i="1"/>
  <c r="BF4158" i="1"/>
  <c r="BG4158" i="1"/>
  <c r="T4159" i="1"/>
  <c r="U4159" i="1"/>
  <c r="V4159" i="1"/>
  <c r="W4159" i="1"/>
  <c r="X4159" i="1"/>
  <c r="Y4159" i="1"/>
  <c r="Z4159" i="1"/>
  <c r="AB4159" i="1"/>
  <c r="AF4159" i="1"/>
  <c r="AI4159" i="1"/>
  <c r="H4160" i="1"/>
  <c r="AE4160" i="1"/>
  <c r="I4160" i="1"/>
  <c r="J4160" i="1"/>
  <c r="K4160" i="1"/>
  <c r="AC4160" i="1"/>
  <c r="AJ4159" i="1"/>
  <c r="AK4159" i="1"/>
  <c r="AM4159" i="1"/>
  <c r="BF4159" i="1"/>
  <c r="BG4159" i="1"/>
  <c r="T4160" i="1"/>
  <c r="U4160" i="1"/>
  <c r="V4160" i="1"/>
  <c r="W4160" i="1"/>
  <c r="X4160" i="1"/>
  <c r="Y4160" i="1"/>
  <c r="Z4160" i="1"/>
  <c r="AB4160" i="1"/>
  <c r="AF4160" i="1"/>
  <c r="AI4160" i="1"/>
  <c r="H4161" i="1"/>
  <c r="AE4161" i="1"/>
  <c r="I4161" i="1"/>
  <c r="J4161" i="1"/>
  <c r="K4161" i="1"/>
  <c r="AC4161" i="1"/>
  <c r="AJ4160" i="1"/>
  <c r="AK4160" i="1"/>
  <c r="AM4160" i="1"/>
  <c r="BF4160" i="1"/>
  <c r="BG4160" i="1"/>
  <c r="T4161" i="1"/>
  <c r="U4161" i="1"/>
  <c r="V4161" i="1"/>
  <c r="W4161" i="1"/>
  <c r="X4161" i="1"/>
  <c r="Y4161" i="1"/>
  <c r="Z4161" i="1"/>
  <c r="AB4161" i="1"/>
  <c r="AF4161" i="1"/>
  <c r="AI4161" i="1"/>
  <c r="H4162" i="1"/>
  <c r="AE4162" i="1"/>
  <c r="I4162" i="1"/>
  <c r="J4162" i="1"/>
  <c r="K4162" i="1"/>
  <c r="AC4162" i="1"/>
  <c r="AJ4161" i="1"/>
  <c r="AK4161" i="1"/>
  <c r="AM4161" i="1"/>
  <c r="BF4161" i="1"/>
  <c r="BG4161" i="1"/>
  <c r="T4162" i="1"/>
  <c r="U4162" i="1"/>
  <c r="V4162" i="1"/>
  <c r="W4162" i="1"/>
  <c r="X4162" i="1"/>
  <c r="Y4162" i="1"/>
  <c r="Z4162" i="1"/>
  <c r="AB4162" i="1"/>
  <c r="AF4162" i="1"/>
  <c r="AI4162" i="1"/>
  <c r="H4163" i="1"/>
  <c r="AE4163" i="1"/>
  <c r="I4163" i="1"/>
  <c r="J4163" i="1"/>
  <c r="K4163" i="1"/>
  <c r="AC4163" i="1"/>
  <c r="AJ4162" i="1"/>
  <c r="AK4162" i="1"/>
  <c r="AM4162" i="1"/>
  <c r="BF4162" i="1"/>
  <c r="BG4162" i="1"/>
  <c r="T4163" i="1"/>
  <c r="U4163" i="1"/>
  <c r="V4163" i="1"/>
  <c r="W4163" i="1"/>
  <c r="X4163" i="1"/>
  <c r="Y4163" i="1"/>
  <c r="Z4163" i="1"/>
  <c r="AB4163" i="1"/>
  <c r="AF4163" i="1"/>
  <c r="AI4163" i="1"/>
  <c r="H4164" i="1"/>
  <c r="AE4164" i="1"/>
  <c r="I4164" i="1"/>
  <c r="J4164" i="1"/>
  <c r="K4164" i="1"/>
  <c r="AC4164" i="1"/>
  <c r="AJ4163" i="1"/>
  <c r="AK4163" i="1"/>
  <c r="AM4163" i="1"/>
  <c r="BF4163" i="1"/>
  <c r="BG4163" i="1"/>
  <c r="T4164" i="1"/>
  <c r="U4164" i="1"/>
  <c r="V4164" i="1"/>
  <c r="W4164" i="1"/>
  <c r="X4164" i="1"/>
  <c r="Y4164" i="1"/>
  <c r="Z4164" i="1"/>
  <c r="AB4164" i="1"/>
  <c r="AF4164" i="1"/>
  <c r="AI4164" i="1"/>
  <c r="H4165" i="1"/>
  <c r="AE4165" i="1"/>
  <c r="I4165" i="1"/>
  <c r="J4165" i="1"/>
  <c r="K4165" i="1"/>
  <c r="AC4165" i="1"/>
  <c r="AJ4164" i="1"/>
  <c r="AK4164" i="1"/>
  <c r="AM4164" i="1"/>
  <c r="BF4164" i="1"/>
  <c r="BG4164" i="1"/>
  <c r="T4165" i="1"/>
  <c r="U4165" i="1"/>
  <c r="V4165" i="1"/>
  <c r="W4165" i="1"/>
  <c r="X4165" i="1"/>
  <c r="Y4165" i="1"/>
  <c r="Z4165" i="1"/>
  <c r="AB4165" i="1"/>
  <c r="AF4165" i="1"/>
  <c r="AI4165" i="1"/>
  <c r="H4166" i="1"/>
  <c r="AE4166" i="1"/>
  <c r="I4166" i="1"/>
  <c r="J4166" i="1"/>
  <c r="K4166" i="1"/>
  <c r="AC4166" i="1"/>
  <c r="AJ4165" i="1"/>
  <c r="AK4165" i="1"/>
  <c r="AM4165" i="1"/>
  <c r="BF4165" i="1"/>
  <c r="BG4165" i="1"/>
  <c r="T4166" i="1"/>
  <c r="U4166" i="1"/>
  <c r="V4166" i="1"/>
  <c r="W4166" i="1"/>
  <c r="X4166" i="1"/>
  <c r="Y4166" i="1"/>
  <c r="Z4166" i="1"/>
  <c r="AB4166" i="1"/>
  <c r="AF4166" i="1"/>
  <c r="AI4166" i="1"/>
  <c r="H4167" i="1"/>
  <c r="AE4167" i="1"/>
  <c r="I4167" i="1"/>
  <c r="J4167" i="1"/>
  <c r="K4167" i="1"/>
  <c r="AC4167" i="1"/>
  <c r="AJ4166" i="1"/>
  <c r="AK4166" i="1"/>
  <c r="AM4166" i="1"/>
  <c r="BF4166" i="1"/>
  <c r="BG4166" i="1"/>
  <c r="T4167" i="1"/>
  <c r="U4167" i="1"/>
  <c r="V4167" i="1"/>
  <c r="W4167" i="1"/>
  <c r="X4167" i="1"/>
  <c r="Y4167" i="1"/>
  <c r="Z4167" i="1"/>
  <c r="AB4167" i="1"/>
  <c r="AF4167" i="1"/>
  <c r="AI4167" i="1"/>
  <c r="H4168" i="1"/>
  <c r="AE4168" i="1"/>
  <c r="I4168" i="1"/>
  <c r="J4168" i="1"/>
  <c r="K4168" i="1"/>
  <c r="AC4168" i="1"/>
  <c r="AJ4167" i="1"/>
  <c r="AK4167" i="1"/>
  <c r="AM4167" i="1"/>
  <c r="BF4167" i="1"/>
  <c r="BG4167" i="1"/>
  <c r="T4168" i="1"/>
  <c r="U4168" i="1"/>
  <c r="V4168" i="1"/>
  <c r="W4168" i="1"/>
  <c r="X4168" i="1"/>
  <c r="Y4168" i="1"/>
  <c r="Z4168" i="1"/>
  <c r="AB4168" i="1"/>
  <c r="AF4168" i="1"/>
  <c r="AI4168" i="1"/>
  <c r="H4169" i="1"/>
  <c r="AE4169" i="1"/>
  <c r="I4169" i="1"/>
  <c r="J4169" i="1"/>
  <c r="K4169" i="1"/>
  <c r="AC4169" i="1"/>
  <c r="AJ4168" i="1"/>
  <c r="AK4168" i="1"/>
  <c r="AM4168" i="1"/>
  <c r="BF4168" i="1"/>
  <c r="BG4168" i="1"/>
  <c r="T4169" i="1"/>
  <c r="U4169" i="1"/>
  <c r="V4169" i="1"/>
  <c r="W4169" i="1"/>
  <c r="X4169" i="1"/>
  <c r="Y4169" i="1"/>
  <c r="Z4169" i="1"/>
  <c r="AB4169" i="1"/>
  <c r="AF4169" i="1"/>
  <c r="AI4169" i="1"/>
  <c r="AE4170" i="1"/>
  <c r="AC4170" i="1"/>
  <c r="AJ4169" i="1"/>
  <c r="AK4169" i="1"/>
  <c r="AM4169" i="1"/>
  <c r="BF4169" i="1"/>
  <c r="BG4169" i="1"/>
  <c r="T4170" i="1"/>
  <c r="U4170" i="1"/>
  <c r="V4170" i="1"/>
  <c r="W4170" i="1"/>
  <c r="X4170" i="1"/>
  <c r="Y4170" i="1"/>
  <c r="Z4170" i="1"/>
  <c r="AB4170" i="1"/>
  <c r="AF4170" i="1"/>
  <c r="AI4170" i="1"/>
  <c r="AE4171" i="1"/>
  <c r="AC4171" i="1"/>
  <c r="AJ4170" i="1"/>
  <c r="AK4170" i="1"/>
  <c r="AM4170" i="1"/>
  <c r="BF4170" i="1"/>
  <c r="BG4170" i="1"/>
  <c r="T4171" i="1"/>
  <c r="U4171" i="1"/>
  <c r="V4171" i="1"/>
  <c r="W4171" i="1"/>
  <c r="X4171" i="1"/>
  <c r="Y4171" i="1"/>
  <c r="Z4171" i="1"/>
  <c r="AB4171" i="1"/>
  <c r="AF4171" i="1"/>
  <c r="AI4171" i="1"/>
  <c r="H4172" i="1"/>
  <c r="AE4172" i="1"/>
  <c r="I4172" i="1"/>
  <c r="J4172" i="1"/>
  <c r="K4172" i="1"/>
  <c r="AC4172" i="1"/>
  <c r="AJ4171" i="1"/>
  <c r="AK4171" i="1"/>
  <c r="AM4171" i="1"/>
  <c r="BG4171" i="1"/>
  <c r="T4172" i="1"/>
  <c r="U4172" i="1"/>
  <c r="V4172" i="1"/>
  <c r="W4172" i="1"/>
  <c r="X4172" i="1"/>
  <c r="Y4172" i="1"/>
  <c r="Z4172" i="1"/>
  <c r="AB4172" i="1"/>
  <c r="AF4172" i="1"/>
  <c r="AI4172" i="1"/>
  <c r="AE4173" i="1"/>
  <c r="AC4173" i="1"/>
  <c r="AJ4172" i="1"/>
  <c r="AK4172" i="1"/>
  <c r="AM4172" i="1"/>
  <c r="BF4172" i="1"/>
  <c r="BG4172" i="1"/>
  <c r="T4173" i="1"/>
  <c r="U4173" i="1"/>
  <c r="V4173" i="1"/>
  <c r="W4173" i="1"/>
  <c r="X4173" i="1"/>
  <c r="Y4173" i="1"/>
  <c r="Z4173" i="1"/>
  <c r="AB4173" i="1"/>
  <c r="AF4173" i="1"/>
  <c r="AI4173" i="1"/>
  <c r="AE4174" i="1"/>
  <c r="AC4174" i="1"/>
  <c r="AJ4173" i="1"/>
  <c r="AK4173" i="1"/>
  <c r="AM4173" i="1"/>
  <c r="BF4173" i="1"/>
  <c r="BG4173" i="1"/>
  <c r="T4174" i="1"/>
  <c r="U4174" i="1"/>
  <c r="V4174" i="1"/>
  <c r="W4174" i="1"/>
  <c r="X4174" i="1"/>
  <c r="Y4174" i="1"/>
  <c r="Z4174" i="1"/>
  <c r="AB4174" i="1"/>
  <c r="AF4174" i="1"/>
  <c r="AI4174" i="1"/>
  <c r="H4175" i="1"/>
  <c r="AE4175" i="1"/>
  <c r="I4175" i="1"/>
  <c r="J4175" i="1"/>
  <c r="K4175" i="1"/>
  <c r="AC4175" i="1"/>
  <c r="AJ4174" i="1"/>
  <c r="AK4174" i="1"/>
  <c r="AM4174" i="1"/>
  <c r="BG4174" i="1"/>
  <c r="T4175" i="1"/>
  <c r="U4175" i="1"/>
  <c r="V4175" i="1"/>
  <c r="W4175" i="1"/>
  <c r="X4175" i="1"/>
  <c r="Y4175" i="1"/>
  <c r="Z4175" i="1"/>
  <c r="AB4175" i="1"/>
  <c r="AF4175" i="1"/>
  <c r="AI4175" i="1"/>
  <c r="H4176" i="1"/>
  <c r="AE4176" i="1"/>
  <c r="I4176" i="1"/>
  <c r="J4176" i="1"/>
  <c r="K4176" i="1"/>
  <c r="AC4176" i="1"/>
  <c r="AJ4175" i="1"/>
  <c r="AK4175" i="1"/>
  <c r="AM4175" i="1"/>
  <c r="BF4175" i="1"/>
  <c r="BG4175" i="1"/>
  <c r="T4176" i="1"/>
  <c r="U4176" i="1"/>
  <c r="V4176" i="1"/>
  <c r="W4176" i="1"/>
  <c r="X4176" i="1"/>
  <c r="Y4176" i="1"/>
  <c r="Z4176" i="1"/>
  <c r="AB4176" i="1"/>
  <c r="AF4176" i="1"/>
  <c r="AI4176" i="1"/>
  <c r="H4177" i="1"/>
  <c r="AE4177" i="1"/>
  <c r="I4177" i="1"/>
  <c r="J4177" i="1"/>
  <c r="K4177" i="1"/>
  <c r="AC4177" i="1"/>
  <c r="AJ4176" i="1"/>
  <c r="AK4176" i="1"/>
  <c r="AM4176" i="1"/>
  <c r="BF4176" i="1"/>
  <c r="BG4176" i="1"/>
  <c r="T4177" i="1"/>
  <c r="U4177" i="1"/>
  <c r="V4177" i="1"/>
  <c r="W4177" i="1"/>
  <c r="X4177" i="1"/>
  <c r="Y4177" i="1"/>
  <c r="Z4177" i="1"/>
  <c r="AB4177" i="1"/>
  <c r="AF4177" i="1"/>
  <c r="AI4177" i="1"/>
  <c r="AE4178" i="1"/>
  <c r="AC4178" i="1"/>
  <c r="AJ4177" i="1"/>
  <c r="AK4177" i="1"/>
  <c r="AM4177" i="1"/>
  <c r="BF4177" i="1"/>
  <c r="BG4177" i="1"/>
  <c r="T4178" i="1"/>
  <c r="U4178" i="1"/>
  <c r="V4178" i="1"/>
  <c r="W4178" i="1"/>
  <c r="X4178" i="1"/>
  <c r="Y4178" i="1"/>
  <c r="Z4178" i="1"/>
  <c r="AB4178" i="1"/>
  <c r="AF4178" i="1"/>
  <c r="AI4178" i="1"/>
  <c r="AE4179" i="1"/>
  <c r="AC4179" i="1"/>
  <c r="AJ4178" i="1"/>
  <c r="AK4178" i="1"/>
  <c r="AM4178" i="1"/>
  <c r="BF4178" i="1"/>
  <c r="BG4178" i="1"/>
  <c r="T4179" i="1"/>
  <c r="U4179" i="1"/>
  <c r="V4179" i="1"/>
  <c r="W4179" i="1"/>
  <c r="X4179" i="1"/>
  <c r="Y4179" i="1"/>
  <c r="Z4179" i="1"/>
  <c r="AB4179" i="1"/>
  <c r="AF4179" i="1"/>
  <c r="AI4179" i="1"/>
  <c r="AE4180" i="1"/>
  <c r="AC4180" i="1"/>
  <c r="AJ4179" i="1"/>
  <c r="AK4179" i="1"/>
  <c r="AM4179" i="1"/>
  <c r="BF4179" i="1"/>
  <c r="BG4179" i="1"/>
  <c r="T4180" i="1"/>
  <c r="U4180" i="1"/>
  <c r="V4180" i="1"/>
  <c r="W4180" i="1"/>
  <c r="X4180" i="1"/>
  <c r="Y4180" i="1"/>
  <c r="Z4180" i="1"/>
  <c r="AB4180" i="1"/>
  <c r="AF4180" i="1"/>
  <c r="AI4180" i="1"/>
  <c r="H4181" i="1"/>
  <c r="AE4181" i="1"/>
  <c r="I4181" i="1"/>
  <c r="J4181" i="1"/>
  <c r="K4181" i="1"/>
  <c r="AC4181" i="1"/>
  <c r="AJ4180" i="1"/>
  <c r="AK4180" i="1"/>
  <c r="AM4180" i="1"/>
  <c r="BG4180" i="1"/>
  <c r="T4181" i="1"/>
  <c r="U4181" i="1"/>
  <c r="V4181" i="1"/>
  <c r="W4181" i="1"/>
  <c r="X4181" i="1"/>
  <c r="Y4181" i="1"/>
  <c r="Z4181" i="1"/>
  <c r="AB4181" i="1"/>
  <c r="AF4181" i="1"/>
  <c r="AI4181" i="1"/>
  <c r="AE4182" i="1"/>
  <c r="AC4182" i="1"/>
  <c r="AJ4181" i="1"/>
  <c r="AK4181" i="1"/>
  <c r="AM4181" i="1"/>
  <c r="BF4181" i="1"/>
  <c r="BG4181" i="1"/>
  <c r="T4182" i="1"/>
  <c r="U4182" i="1"/>
  <c r="V4182" i="1"/>
  <c r="W4182" i="1"/>
  <c r="X4182" i="1"/>
  <c r="Y4182" i="1"/>
  <c r="Z4182" i="1"/>
  <c r="AB4182" i="1"/>
  <c r="AF4182" i="1"/>
  <c r="AI4182" i="1"/>
  <c r="AE4183" i="1"/>
  <c r="AC4183" i="1"/>
  <c r="AJ4182" i="1"/>
  <c r="AK4182" i="1"/>
  <c r="AM4182" i="1"/>
  <c r="BF4182" i="1"/>
  <c r="BG4182" i="1"/>
  <c r="T4183" i="1"/>
  <c r="U4183" i="1"/>
  <c r="V4183" i="1"/>
  <c r="W4183" i="1"/>
  <c r="X4183" i="1"/>
  <c r="Y4183" i="1"/>
  <c r="Z4183" i="1"/>
  <c r="AB4183" i="1"/>
  <c r="AF4183" i="1"/>
  <c r="AI4183" i="1"/>
  <c r="AE4184" i="1"/>
  <c r="AC4184" i="1"/>
  <c r="AJ4183" i="1"/>
  <c r="AK4183" i="1"/>
  <c r="AM4183" i="1"/>
  <c r="BF4183" i="1"/>
  <c r="BG4183" i="1"/>
  <c r="T4184" i="1"/>
  <c r="U4184" i="1"/>
  <c r="V4184" i="1"/>
  <c r="W4184" i="1"/>
  <c r="X4184" i="1"/>
  <c r="Y4184" i="1"/>
  <c r="Z4184" i="1"/>
  <c r="AB4184" i="1"/>
  <c r="AF4184" i="1"/>
  <c r="AI4184" i="1"/>
  <c r="H4185" i="1"/>
  <c r="AE4185" i="1"/>
  <c r="I4185" i="1"/>
  <c r="J4185" i="1"/>
  <c r="K4185" i="1"/>
  <c r="AC4185" i="1"/>
  <c r="AJ4184" i="1"/>
  <c r="AK4184" i="1"/>
  <c r="AM4184" i="1"/>
  <c r="BG4184" i="1"/>
  <c r="T4185" i="1"/>
  <c r="U4185" i="1"/>
  <c r="V4185" i="1"/>
  <c r="W4185" i="1"/>
  <c r="X4185" i="1"/>
  <c r="Y4185" i="1"/>
  <c r="Z4185" i="1"/>
  <c r="AB4185" i="1"/>
  <c r="AF4185" i="1"/>
  <c r="AI4185" i="1"/>
  <c r="H4186" i="1"/>
  <c r="AE4186" i="1"/>
  <c r="I4186" i="1"/>
  <c r="J4186" i="1"/>
  <c r="K4186" i="1"/>
  <c r="AC4186" i="1"/>
  <c r="AJ4185" i="1"/>
  <c r="AK4185" i="1"/>
  <c r="AM4185" i="1"/>
  <c r="BF4185" i="1"/>
  <c r="BG4185" i="1"/>
  <c r="T4186" i="1"/>
  <c r="U4186" i="1"/>
  <c r="V4186" i="1"/>
  <c r="W4186" i="1"/>
  <c r="X4186" i="1"/>
  <c r="Y4186" i="1"/>
  <c r="Z4186" i="1"/>
  <c r="AB4186" i="1"/>
  <c r="AF4186" i="1"/>
  <c r="AI4186" i="1"/>
  <c r="AE4187" i="1"/>
  <c r="AC4187" i="1"/>
  <c r="AJ4186" i="1"/>
  <c r="AK4186" i="1"/>
  <c r="AM4186" i="1"/>
  <c r="BF4186" i="1"/>
  <c r="BG4186" i="1"/>
  <c r="T4187" i="1"/>
  <c r="U4187" i="1"/>
  <c r="V4187" i="1"/>
  <c r="W4187" i="1"/>
  <c r="X4187" i="1"/>
  <c r="Y4187" i="1"/>
  <c r="Z4187" i="1"/>
  <c r="AB4187" i="1"/>
  <c r="AF4187" i="1"/>
  <c r="AI4187" i="1"/>
  <c r="AE4188" i="1"/>
  <c r="AC4188" i="1"/>
  <c r="AJ4187" i="1"/>
  <c r="AK4187" i="1"/>
  <c r="AM4187" i="1"/>
  <c r="BF4187" i="1"/>
  <c r="BG4187" i="1"/>
  <c r="T4188" i="1"/>
  <c r="U4188" i="1"/>
  <c r="V4188" i="1"/>
  <c r="W4188" i="1"/>
  <c r="X4188" i="1"/>
  <c r="Y4188" i="1"/>
  <c r="Z4188" i="1"/>
  <c r="AB4188" i="1"/>
  <c r="AF4188" i="1"/>
  <c r="AI4188" i="1"/>
  <c r="H4189" i="1"/>
  <c r="AE4189" i="1"/>
  <c r="I4189" i="1"/>
  <c r="J4189" i="1"/>
  <c r="K4189" i="1"/>
  <c r="AC4189" i="1"/>
  <c r="AJ4188" i="1"/>
  <c r="AK4188" i="1"/>
  <c r="AM4188" i="1"/>
  <c r="BG4188" i="1"/>
  <c r="T4189" i="1"/>
  <c r="U4189" i="1"/>
  <c r="V4189" i="1"/>
  <c r="W4189" i="1"/>
  <c r="X4189" i="1"/>
  <c r="Y4189" i="1"/>
  <c r="Z4189" i="1"/>
  <c r="AB4189" i="1"/>
  <c r="AF4189" i="1"/>
  <c r="AI4189" i="1"/>
  <c r="H4190" i="1"/>
  <c r="AE4190" i="1"/>
  <c r="I4190" i="1"/>
  <c r="J4190" i="1"/>
  <c r="K4190" i="1"/>
  <c r="AC4190" i="1"/>
  <c r="AJ4189" i="1"/>
  <c r="AK4189" i="1"/>
  <c r="AM4189" i="1"/>
  <c r="BF4189" i="1"/>
  <c r="BG4189" i="1"/>
  <c r="T4190" i="1"/>
  <c r="U4190" i="1"/>
  <c r="V4190" i="1"/>
  <c r="W4190" i="1"/>
  <c r="X4190" i="1"/>
  <c r="Y4190" i="1"/>
  <c r="Z4190" i="1"/>
  <c r="AB4190" i="1"/>
  <c r="AF4190" i="1"/>
  <c r="AI4190" i="1"/>
  <c r="AE4191" i="1"/>
  <c r="AC4191" i="1"/>
  <c r="AJ4190" i="1"/>
  <c r="AK4190" i="1"/>
  <c r="AM4190" i="1"/>
  <c r="BF4190" i="1"/>
  <c r="BG4190" i="1"/>
  <c r="T4191" i="1"/>
  <c r="U4191" i="1"/>
  <c r="V4191" i="1"/>
  <c r="W4191" i="1"/>
  <c r="X4191" i="1"/>
  <c r="Y4191" i="1"/>
  <c r="Z4191" i="1"/>
  <c r="AB4191" i="1"/>
  <c r="AF4191" i="1"/>
  <c r="AI4191" i="1"/>
  <c r="AE4192" i="1"/>
  <c r="AC4192" i="1"/>
  <c r="AJ4191" i="1"/>
  <c r="AK4191" i="1"/>
  <c r="AM4191" i="1"/>
  <c r="BF4191" i="1"/>
  <c r="BG4191" i="1"/>
  <c r="T4192" i="1"/>
  <c r="U4192" i="1"/>
  <c r="V4192" i="1"/>
  <c r="W4192" i="1"/>
  <c r="X4192" i="1"/>
  <c r="Y4192" i="1"/>
  <c r="Z4192" i="1"/>
  <c r="AB4192" i="1"/>
  <c r="AF4192" i="1"/>
  <c r="AI4192" i="1"/>
  <c r="H4193" i="1"/>
  <c r="AE4193" i="1"/>
  <c r="I4193" i="1"/>
  <c r="J4193" i="1"/>
  <c r="K4193" i="1"/>
  <c r="AC4193" i="1"/>
  <c r="AJ4192" i="1"/>
  <c r="AK4192" i="1"/>
  <c r="AM4192" i="1"/>
  <c r="BG4192" i="1"/>
  <c r="T4193" i="1"/>
  <c r="U4193" i="1"/>
  <c r="V4193" i="1"/>
  <c r="W4193" i="1"/>
  <c r="X4193" i="1"/>
  <c r="Y4193" i="1"/>
  <c r="Z4193" i="1"/>
  <c r="AB4193" i="1"/>
  <c r="AF4193" i="1"/>
  <c r="AI4193" i="1"/>
  <c r="AE4194" i="1"/>
  <c r="AC4194" i="1"/>
  <c r="AJ4193" i="1"/>
  <c r="AK4193" i="1"/>
  <c r="AM4193" i="1"/>
  <c r="BF4193" i="1"/>
  <c r="BG4193" i="1"/>
  <c r="T4194" i="1"/>
  <c r="U4194" i="1"/>
  <c r="V4194" i="1"/>
  <c r="W4194" i="1"/>
  <c r="X4194" i="1"/>
  <c r="Y4194" i="1"/>
  <c r="Z4194" i="1"/>
  <c r="AB4194" i="1"/>
  <c r="AF4194" i="1"/>
  <c r="AI4194" i="1"/>
  <c r="AE4195" i="1"/>
  <c r="AC4195" i="1"/>
  <c r="AJ4194" i="1"/>
  <c r="AK4194" i="1"/>
  <c r="AM4194" i="1"/>
  <c r="BF4194" i="1"/>
  <c r="BG4194" i="1"/>
  <c r="T4195" i="1"/>
  <c r="U4195" i="1"/>
  <c r="V4195" i="1"/>
  <c r="W4195" i="1"/>
  <c r="X4195" i="1"/>
  <c r="Y4195" i="1"/>
  <c r="Z4195" i="1"/>
  <c r="AB4195" i="1"/>
  <c r="AF4195" i="1"/>
  <c r="AI4195" i="1"/>
  <c r="H4196" i="1"/>
  <c r="AE4196" i="1"/>
  <c r="I4196" i="1"/>
  <c r="J4196" i="1"/>
  <c r="K4196" i="1"/>
  <c r="AC4196" i="1"/>
  <c r="AJ4195" i="1"/>
  <c r="AK4195" i="1"/>
  <c r="AM4195" i="1"/>
  <c r="BG4195" i="1"/>
  <c r="T4196" i="1"/>
  <c r="U4196" i="1"/>
  <c r="V4196" i="1"/>
  <c r="W4196" i="1"/>
  <c r="X4196" i="1"/>
  <c r="Y4196" i="1"/>
  <c r="Z4196" i="1"/>
  <c r="AB4196" i="1"/>
  <c r="AF4196" i="1"/>
  <c r="AI4196" i="1"/>
  <c r="H4197" i="1"/>
  <c r="AE4197" i="1"/>
  <c r="I4197" i="1"/>
  <c r="J4197" i="1"/>
  <c r="K4197" i="1"/>
  <c r="AC4197" i="1"/>
  <c r="AJ4196" i="1"/>
  <c r="AK4196" i="1"/>
  <c r="AM4196" i="1"/>
  <c r="BF4196" i="1"/>
  <c r="BG4196" i="1"/>
  <c r="T4197" i="1"/>
  <c r="U4197" i="1"/>
  <c r="V4197" i="1"/>
  <c r="W4197" i="1"/>
  <c r="X4197" i="1"/>
  <c r="Y4197" i="1"/>
  <c r="Z4197" i="1"/>
  <c r="AB4197" i="1"/>
  <c r="AF4197" i="1"/>
  <c r="AI4197" i="1"/>
  <c r="H4198" i="1"/>
  <c r="AE4198" i="1"/>
  <c r="I4198" i="1"/>
  <c r="J4198" i="1"/>
  <c r="K4198" i="1"/>
  <c r="AC4198" i="1"/>
  <c r="AJ4197" i="1"/>
  <c r="AK4197" i="1"/>
  <c r="AM4197" i="1"/>
  <c r="BF4197" i="1"/>
  <c r="BG4197" i="1"/>
  <c r="T4198" i="1"/>
  <c r="U4198" i="1"/>
  <c r="V4198" i="1"/>
  <c r="W4198" i="1"/>
  <c r="X4198" i="1"/>
  <c r="Y4198" i="1"/>
  <c r="Z4198" i="1"/>
  <c r="AB4198" i="1"/>
  <c r="AF4198" i="1"/>
  <c r="AI4198" i="1"/>
  <c r="AE4199" i="1"/>
  <c r="AC4199" i="1"/>
  <c r="AJ4198" i="1"/>
  <c r="AK4198" i="1"/>
  <c r="AM4198" i="1"/>
  <c r="BF4198" i="1"/>
  <c r="BG4198" i="1"/>
  <c r="T4199" i="1"/>
  <c r="U4199" i="1"/>
  <c r="V4199" i="1"/>
  <c r="W4199" i="1"/>
  <c r="X4199" i="1"/>
  <c r="Y4199" i="1"/>
  <c r="Z4199" i="1"/>
  <c r="AB4199" i="1"/>
  <c r="AF4199" i="1"/>
  <c r="AI4199" i="1"/>
  <c r="AE4200" i="1"/>
  <c r="AC4200" i="1"/>
  <c r="AJ4199" i="1"/>
  <c r="AK4199" i="1"/>
  <c r="AM4199" i="1"/>
  <c r="BF4199" i="1"/>
  <c r="BG4199" i="1"/>
  <c r="T4200" i="1"/>
  <c r="U4200" i="1"/>
  <c r="V4200" i="1"/>
  <c r="W4200" i="1"/>
  <c r="X4200" i="1"/>
  <c r="Y4200" i="1"/>
  <c r="Z4200" i="1"/>
  <c r="AB4200" i="1"/>
  <c r="AF4200" i="1"/>
  <c r="AI4200" i="1"/>
  <c r="AE4201" i="1"/>
  <c r="AC4201" i="1"/>
  <c r="AJ4200" i="1"/>
  <c r="AK4200" i="1"/>
  <c r="AM4200" i="1"/>
  <c r="BF4200" i="1"/>
  <c r="BG4200" i="1"/>
  <c r="T4201" i="1"/>
  <c r="U4201" i="1"/>
  <c r="V4201" i="1"/>
  <c r="W4201" i="1"/>
  <c r="X4201" i="1"/>
  <c r="Y4201" i="1"/>
  <c r="Z4201" i="1"/>
  <c r="AB4201" i="1"/>
  <c r="AF4201" i="1"/>
  <c r="AI4201" i="1"/>
  <c r="H4202" i="1"/>
  <c r="AE4202" i="1"/>
  <c r="I4202" i="1"/>
  <c r="J4202" i="1"/>
  <c r="K4202" i="1"/>
  <c r="AC4202" i="1"/>
  <c r="AJ4201" i="1"/>
  <c r="AK4201" i="1"/>
  <c r="AM4201" i="1"/>
  <c r="BG4201" i="1"/>
  <c r="T4202" i="1"/>
  <c r="U4202" i="1"/>
  <c r="V4202" i="1"/>
  <c r="W4202" i="1"/>
  <c r="X4202" i="1"/>
  <c r="Y4202" i="1"/>
  <c r="Z4202" i="1"/>
  <c r="AB4202" i="1"/>
  <c r="AF4202" i="1"/>
  <c r="AI4202" i="1"/>
  <c r="AE4203" i="1"/>
  <c r="AC4203" i="1"/>
  <c r="AJ4202" i="1"/>
  <c r="AK4202" i="1"/>
  <c r="AM4202" i="1"/>
  <c r="BF4202" i="1"/>
  <c r="BG4202" i="1"/>
  <c r="T4203" i="1"/>
  <c r="U4203" i="1"/>
  <c r="V4203" i="1"/>
  <c r="W4203" i="1"/>
  <c r="X4203" i="1"/>
  <c r="Y4203" i="1"/>
  <c r="Z4203" i="1"/>
  <c r="AB4203" i="1"/>
  <c r="AF4203" i="1"/>
  <c r="AI4203" i="1"/>
  <c r="AE4204" i="1"/>
  <c r="AC4204" i="1"/>
  <c r="AJ4203" i="1"/>
  <c r="AK4203" i="1"/>
  <c r="AM4203" i="1"/>
  <c r="BF4203" i="1"/>
  <c r="BG4203" i="1"/>
  <c r="T4204" i="1"/>
  <c r="U4204" i="1"/>
  <c r="V4204" i="1"/>
  <c r="W4204" i="1"/>
  <c r="X4204" i="1"/>
  <c r="Y4204" i="1"/>
  <c r="Z4204" i="1"/>
  <c r="AB4204" i="1"/>
  <c r="AF4204" i="1"/>
  <c r="AI4204" i="1"/>
  <c r="AE4205" i="1"/>
  <c r="AC4205" i="1"/>
  <c r="AJ4204" i="1"/>
  <c r="AK4204" i="1"/>
  <c r="AM4204" i="1"/>
  <c r="BF4204" i="1"/>
  <c r="BG4204" i="1"/>
  <c r="T4205" i="1"/>
  <c r="U4205" i="1"/>
  <c r="V4205" i="1"/>
  <c r="W4205" i="1"/>
  <c r="X4205" i="1"/>
  <c r="Y4205" i="1"/>
  <c r="Z4205" i="1"/>
  <c r="AB4205" i="1"/>
  <c r="AF4205" i="1"/>
  <c r="AI4205" i="1"/>
  <c r="H4206" i="1"/>
  <c r="AE4206" i="1"/>
  <c r="I4206" i="1"/>
  <c r="J4206" i="1"/>
  <c r="K4206" i="1"/>
  <c r="AC4206" i="1"/>
  <c r="AJ4205" i="1"/>
  <c r="AK4205" i="1"/>
  <c r="AM4205" i="1"/>
  <c r="BG4205" i="1"/>
  <c r="T4206" i="1"/>
  <c r="U4206" i="1"/>
  <c r="V4206" i="1"/>
  <c r="W4206" i="1"/>
  <c r="X4206" i="1"/>
  <c r="Y4206" i="1"/>
  <c r="Z4206" i="1"/>
  <c r="AB4206" i="1"/>
  <c r="AF4206" i="1"/>
  <c r="AI4206" i="1"/>
  <c r="AE4207" i="1"/>
  <c r="AC4207" i="1"/>
  <c r="AJ4206" i="1"/>
  <c r="AK4206" i="1"/>
  <c r="AM4206" i="1"/>
  <c r="BF4206" i="1"/>
  <c r="BG4206" i="1"/>
  <c r="T4207" i="1"/>
  <c r="U4207" i="1"/>
  <c r="V4207" i="1"/>
  <c r="W4207" i="1"/>
  <c r="X4207" i="1"/>
  <c r="Y4207" i="1"/>
  <c r="Z4207" i="1"/>
  <c r="AB4207" i="1"/>
  <c r="AF4207" i="1"/>
  <c r="AI4207" i="1"/>
  <c r="AE4208" i="1"/>
  <c r="AC4208" i="1"/>
  <c r="AJ4207" i="1"/>
  <c r="AK4207" i="1"/>
  <c r="AM4207" i="1"/>
  <c r="BF4207" i="1"/>
  <c r="BG4207" i="1"/>
  <c r="T4208" i="1"/>
  <c r="U4208" i="1"/>
  <c r="V4208" i="1"/>
  <c r="W4208" i="1"/>
  <c r="X4208" i="1"/>
  <c r="Y4208" i="1"/>
  <c r="Z4208" i="1"/>
  <c r="AB4208" i="1"/>
  <c r="AF4208" i="1"/>
  <c r="AI4208" i="1"/>
  <c r="AE4209" i="1"/>
  <c r="AC4209" i="1"/>
  <c r="AJ4208" i="1"/>
  <c r="AK4208" i="1"/>
  <c r="AM4208" i="1"/>
  <c r="BF4208" i="1"/>
  <c r="BG4208" i="1"/>
  <c r="T4209" i="1"/>
  <c r="U4209" i="1"/>
  <c r="V4209" i="1"/>
  <c r="W4209" i="1"/>
  <c r="X4209" i="1"/>
  <c r="Y4209" i="1"/>
  <c r="Z4209" i="1"/>
  <c r="AB4209" i="1"/>
  <c r="AF4209" i="1"/>
  <c r="AI4209" i="1"/>
  <c r="H4210" i="1"/>
  <c r="AE4210" i="1"/>
  <c r="I4210" i="1"/>
  <c r="J4210" i="1"/>
  <c r="K4210" i="1"/>
  <c r="AC4210" i="1"/>
  <c r="AJ4209" i="1"/>
  <c r="AK4209" i="1"/>
  <c r="AM4209" i="1"/>
  <c r="BG4209" i="1"/>
  <c r="T4210" i="1"/>
  <c r="U4210" i="1"/>
  <c r="V4210" i="1"/>
  <c r="W4210" i="1"/>
  <c r="X4210" i="1"/>
  <c r="Y4210" i="1"/>
  <c r="Z4210" i="1"/>
  <c r="AB4210" i="1"/>
  <c r="AF4210" i="1"/>
  <c r="AI4210" i="1"/>
  <c r="AE4211" i="1"/>
  <c r="AC4211" i="1"/>
  <c r="AJ4210" i="1"/>
  <c r="AK4210" i="1"/>
  <c r="AM4210" i="1"/>
  <c r="BF4210" i="1"/>
  <c r="BG4210" i="1"/>
  <c r="T4211" i="1"/>
  <c r="U4211" i="1"/>
  <c r="V4211" i="1"/>
  <c r="W4211" i="1"/>
  <c r="X4211" i="1"/>
  <c r="Y4211" i="1"/>
  <c r="Z4211" i="1"/>
  <c r="AB4211" i="1"/>
  <c r="AF4211" i="1"/>
  <c r="AI4211" i="1"/>
  <c r="AE4212" i="1"/>
  <c r="AC4212" i="1"/>
  <c r="AJ4211" i="1"/>
  <c r="AK4211" i="1"/>
  <c r="AM4211" i="1"/>
  <c r="BF4211" i="1"/>
  <c r="BG4211" i="1"/>
  <c r="T4212" i="1"/>
  <c r="U4212" i="1"/>
  <c r="V4212" i="1"/>
  <c r="W4212" i="1"/>
  <c r="X4212" i="1"/>
  <c r="Y4212" i="1"/>
  <c r="Z4212" i="1"/>
  <c r="AB4212" i="1"/>
  <c r="AF4212" i="1"/>
  <c r="AI4212" i="1"/>
  <c r="H4213" i="1"/>
  <c r="AE4213" i="1"/>
  <c r="I4213" i="1"/>
  <c r="J4213" i="1"/>
  <c r="K4213" i="1"/>
  <c r="AC4213" i="1"/>
  <c r="AJ4212" i="1"/>
  <c r="AK4212" i="1"/>
  <c r="AM4212" i="1"/>
  <c r="BG4212" i="1"/>
  <c r="T4213" i="1"/>
  <c r="U4213" i="1"/>
  <c r="V4213" i="1"/>
  <c r="W4213" i="1"/>
  <c r="X4213" i="1"/>
  <c r="Y4213" i="1"/>
  <c r="Z4213" i="1"/>
  <c r="AB4213" i="1"/>
  <c r="AF4213" i="1"/>
  <c r="AI4213" i="1"/>
  <c r="AE4214" i="1"/>
  <c r="AC4214" i="1"/>
  <c r="AJ4213" i="1"/>
  <c r="AK4213" i="1"/>
  <c r="AM4213" i="1"/>
  <c r="BF4213" i="1"/>
  <c r="BG4213" i="1"/>
  <c r="T4214" i="1"/>
  <c r="U4214" i="1"/>
  <c r="V4214" i="1"/>
  <c r="W4214" i="1"/>
  <c r="X4214" i="1"/>
  <c r="Y4214" i="1"/>
  <c r="Z4214" i="1"/>
  <c r="AB4214" i="1"/>
  <c r="AF4214" i="1"/>
  <c r="AI4214" i="1"/>
  <c r="AE4215" i="1"/>
  <c r="AC4215" i="1"/>
  <c r="AJ4214" i="1"/>
  <c r="AK4214" i="1"/>
  <c r="AM4214" i="1"/>
  <c r="BF4214" i="1"/>
  <c r="BG4214" i="1"/>
  <c r="T4215" i="1"/>
  <c r="U4215" i="1"/>
  <c r="V4215" i="1"/>
  <c r="W4215" i="1"/>
  <c r="X4215" i="1"/>
  <c r="Y4215" i="1"/>
  <c r="Z4215" i="1"/>
  <c r="AB4215" i="1"/>
  <c r="AF4215" i="1"/>
  <c r="AI4215" i="1"/>
  <c r="AE4216" i="1"/>
  <c r="AC4216" i="1"/>
  <c r="AJ4215" i="1"/>
  <c r="AK4215" i="1"/>
  <c r="AM4215" i="1"/>
  <c r="BF4215" i="1"/>
  <c r="BG4215" i="1"/>
  <c r="T4216" i="1"/>
  <c r="U4216" i="1"/>
  <c r="V4216" i="1"/>
  <c r="W4216" i="1"/>
  <c r="X4216" i="1"/>
  <c r="Y4216" i="1"/>
  <c r="Z4216" i="1"/>
  <c r="AB4216" i="1"/>
  <c r="AF4216" i="1"/>
  <c r="AI4216" i="1"/>
  <c r="AE4217" i="1"/>
  <c r="AC4217" i="1"/>
  <c r="AJ4216" i="1"/>
  <c r="AK4216" i="1"/>
  <c r="AM4216" i="1"/>
  <c r="BF4216" i="1"/>
  <c r="BG4216" i="1"/>
  <c r="T4217" i="1"/>
  <c r="U4217" i="1"/>
  <c r="V4217" i="1"/>
  <c r="W4217" i="1"/>
  <c r="X4217" i="1"/>
  <c r="Y4217" i="1"/>
  <c r="Z4217" i="1"/>
  <c r="AB4217" i="1"/>
  <c r="AF4217" i="1"/>
  <c r="AI4217" i="1"/>
  <c r="H4218" i="1"/>
  <c r="AE4218" i="1"/>
  <c r="I4218" i="1"/>
  <c r="J4218" i="1"/>
  <c r="K4218" i="1"/>
  <c r="AC4218" i="1"/>
  <c r="AJ4217" i="1"/>
  <c r="AK4217" i="1"/>
  <c r="AM4217" i="1"/>
  <c r="BG4217" i="1"/>
  <c r="T4218" i="1"/>
  <c r="U4218" i="1"/>
  <c r="V4218" i="1"/>
  <c r="W4218" i="1"/>
  <c r="X4218" i="1"/>
  <c r="Y4218" i="1"/>
  <c r="Z4218" i="1"/>
  <c r="AB4218" i="1"/>
  <c r="AF4218" i="1"/>
  <c r="AI4218" i="1"/>
  <c r="AE4219" i="1"/>
  <c r="AC4219" i="1"/>
  <c r="AJ4218" i="1"/>
  <c r="AK4218" i="1"/>
  <c r="AM4218" i="1"/>
  <c r="BF4218" i="1"/>
  <c r="BG4218" i="1"/>
  <c r="T4219" i="1"/>
  <c r="U4219" i="1"/>
  <c r="V4219" i="1"/>
  <c r="W4219" i="1"/>
  <c r="X4219" i="1"/>
  <c r="Y4219" i="1"/>
  <c r="Z4219" i="1"/>
  <c r="AB4219" i="1"/>
  <c r="AF4219" i="1"/>
  <c r="AI4219" i="1"/>
  <c r="AE4220" i="1"/>
  <c r="AC4220" i="1"/>
  <c r="AJ4219" i="1"/>
  <c r="AK4219" i="1"/>
  <c r="AM4219" i="1"/>
  <c r="BF4219" i="1"/>
  <c r="BG4219" i="1"/>
  <c r="T4220" i="1"/>
  <c r="U4220" i="1"/>
  <c r="V4220" i="1"/>
  <c r="W4220" i="1"/>
  <c r="X4220" i="1"/>
  <c r="Y4220" i="1"/>
  <c r="Z4220" i="1"/>
  <c r="AB4220" i="1"/>
  <c r="AF4220" i="1"/>
  <c r="AI4220" i="1"/>
  <c r="H4221" i="1"/>
  <c r="AE4221" i="1"/>
  <c r="I4221" i="1"/>
  <c r="J4221" i="1"/>
  <c r="K4221" i="1"/>
  <c r="AC4221" i="1"/>
  <c r="AJ4220" i="1"/>
  <c r="AK4220" i="1"/>
  <c r="AM4220" i="1"/>
  <c r="BG4220" i="1"/>
  <c r="T4221" i="1"/>
  <c r="U4221" i="1"/>
  <c r="V4221" i="1"/>
  <c r="W4221" i="1"/>
  <c r="X4221" i="1"/>
  <c r="Y4221" i="1"/>
  <c r="Z4221" i="1"/>
  <c r="AB4221" i="1"/>
  <c r="AF4221" i="1"/>
  <c r="AI4221" i="1"/>
  <c r="H4222" i="1"/>
  <c r="AE4222" i="1"/>
  <c r="I4222" i="1"/>
  <c r="J4222" i="1"/>
  <c r="K4222" i="1"/>
  <c r="AC4222" i="1"/>
  <c r="AJ4221" i="1"/>
  <c r="AK4221" i="1"/>
  <c r="AM4221" i="1"/>
  <c r="BF4221" i="1"/>
  <c r="BG4221" i="1"/>
  <c r="T4222" i="1"/>
  <c r="U4222" i="1"/>
  <c r="V4222" i="1"/>
  <c r="W4222" i="1"/>
  <c r="X4222" i="1"/>
  <c r="Y4222" i="1"/>
  <c r="Z4222" i="1"/>
  <c r="AB4222" i="1"/>
  <c r="AF4222" i="1"/>
  <c r="AI4222" i="1"/>
  <c r="H4223" i="1"/>
  <c r="AE4223" i="1"/>
  <c r="I4223" i="1"/>
  <c r="J4223" i="1"/>
  <c r="K4223" i="1"/>
  <c r="AC4223" i="1"/>
  <c r="AJ4222" i="1"/>
  <c r="AK4222" i="1"/>
  <c r="AM4222" i="1"/>
  <c r="BF4222" i="1"/>
  <c r="BG4222" i="1"/>
  <c r="T4223" i="1"/>
  <c r="U4223" i="1"/>
  <c r="V4223" i="1"/>
  <c r="W4223" i="1"/>
  <c r="X4223" i="1"/>
  <c r="Y4223" i="1"/>
  <c r="Z4223" i="1"/>
  <c r="AB4223" i="1"/>
  <c r="AF4223" i="1"/>
  <c r="AI4223" i="1"/>
  <c r="H4224" i="1"/>
  <c r="AE4224" i="1"/>
  <c r="I4224" i="1"/>
  <c r="J4224" i="1"/>
  <c r="K4224" i="1"/>
  <c r="AC4224" i="1"/>
  <c r="AJ4223" i="1"/>
  <c r="AK4223" i="1"/>
  <c r="AM4223" i="1"/>
  <c r="BF4223" i="1"/>
  <c r="BG4223" i="1"/>
  <c r="T4224" i="1"/>
  <c r="U4224" i="1"/>
  <c r="V4224" i="1"/>
  <c r="W4224" i="1"/>
  <c r="X4224" i="1"/>
  <c r="Y4224" i="1"/>
  <c r="Z4224" i="1"/>
  <c r="AB4224" i="1"/>
  <c r="AF4224" i="1"/>
  <c r="AI4224" i="1"/>
  <c r="AE4225" i="1"/>
  <c r="AC4225" i="1"/>
  <c r="AJ4224" i="1"/>
  <c r="AK4224" i="1"/>
  <c r="AM4224" i="1"/>
  <c r="BF4224" i="1"/>
  <c r="BG4224" i="1"/>
  <c r="T4225" i="1"/>
  <c r="U4225" i="1"/>
  <c r="V4225" i="1"/>
  <c r="W4225" i="1"/>
  <c r="X4225" i="1"/>
  <c r="Y4225" i="1"/>
  <c r="Z4225" i="1"/>
  <c r="AB4225" i="1"/>
  <c r="AF4225" i="1"/>
  <c r="AI4225" i="1"/>
  <c r="AE4226" i="1"/>
  <c r="AC4226" i="1"/>
  <c r="AJ4225" i="1"/>
  <c r="AK4225" i="1"/>
  <c r="AM4225" i="1"/>
  <c r="BF4225" i="1"/>
  <c r="BG4225" i="1"/>
  <c r="T4226" i="1"/>
  <c r="U4226" i="1"/>
  <c r="V4226" i="1"/>
  <c r="W4226" i="1"/>
  <c r="X4226" i="1"/>
  <c r="Y4226" i="1"/>
  <c r="Z4226" i="1"/>
  <c r="AB4226" i="1"/>
  <c r="AF4226" i="1"/>
  <c r="AI4226" i="1"/>
  <c r="H4227" i="1"/>
  <c r="AE4227" i="1"/>
  <c r="I4227" i="1"/>
  <c r="J4227" i="1"/>
  <c r="K4227" i="1"/>
  <c r="AC4227" i="1"/>
  <c r="AJ4226" i="1"/>
  <c r="AK4226" i="1"/>
  <c r="AM4226" i="1"/>
  <c r="BG4226" i="1"/>
  <c r="T4227" i="1"/>
  <c r="U4227" i="1"/>
  <c r="V4227" i="1"/>
  <c r="W4227" i="1"/>
  <c r="X4227" i="1"/>
  <c r="Y4227" i="1"/>
  <c r="Z4227" i="1"/>
  <c r="AB4227" i="1"/>
  <c r="AF4227" i="1"/>
  <c r="AI4227" i="1"/>
  <c r="AE4228" i="1"/>
  <c r="AC4228" i="1"/>
  <c r="AJ4227" i="1"/>
  <c r="AK4227" i="1"/>
  <c r="AM4227" i="1"/>
  <c r="BF4227" i="1"/>
  <c r="BG4227" i="1"/>
  <c r="T4228" i="1"/>
  <c r="U4228" i="1"/>
  <c r="V4228" i="1"/>
  <c r="W4228" i="1"/>
  <c r="X4228" i="1"/>
  <c r="Y4228" i="1"/>
  <c r="Z4228" i="1"/>
  <c r="AB4228" i="1"/>
  <c r="AF4228" i="1"/>
  <c r="AI4228" i="1"/>
  <c r="AE4229" i="1"/>
  <c r="AC4229" i="1"/>
  <c r="AJ4228" i="1"/>
  <c r="AK4228" i="1"/>
  <c r="AM4228" i="1"/>
  <c r="BF4228" i="1"/>
  <c r="BG4228" i="1"/>
  <c r="T4229" i="1"/>
  <c r="U4229" i="1"/>
  <c r="V4229" i="1"/>
  <c r="W4229" i="1"/>
  <c r="X4229" i="1"/>
  <c r="Y4229" i="1"/>
  <c r="Z4229" i="1"/>
  <c r="AB4229" i="1"/>
  <c r="AF4229" i="1"/>
  <c r="AI4229" i="1"/>
  <c r="AE4230" i="1"/>
  <c r="AC4230" i="1"/>
  <c r="AJ4229" i="1"/>
  <c r="AK4229" i="1"/>
  <c r="AM4229" i="1"/>
  <c r="BF4229" i="1"/>
  <c r="BG4229" i="1"/>
  <c r="T4230" i="1"/>
  <c r="U4230" i="1"/>
  <c r="V4230" i="1"/>
  <c r="W4230" i="1"/>
  <c r="X4230" i="1"/>
  <c r="Y4230" i="1"/>
  <c r="Z4230" i="1"/>
  <c r="AB4230" i="1"/>
  <c r="AF4230" i="1"/>
  <c r="AI4230" i="1"/>
  <c r="AE4231" i="1"/>
  <c r="AC4231" i="1"/>
  <c r="AJ4230" i="1"/>
  <c r="AK4230" i="1"/>
  <c r="AM4230" i="1"/>
  <c r="BF4230" i="1"/>
  <c r="BG4230" i="1"/>
  <c r="T4231" i="1"/>
  <c r="U4231" i="1"/>
  <c r="V4231" i="1"/>
  <c r="W4231" i="1"/>
  <c r="X4231" i="1"/>
  <c r="Y4231" i="1"/>
  <c r="Z4231" i="1"/>
  <c r="AB4231" i="1"/>
  <c r="AF4231" i="1"/>
  <c r="AI4231" i="1"/>
  <c r="H4232" i="1"/>
  <c r="AE4232" i="1"/>
  <c r="I4232" i="1"/>
  <c r="J4232" i="1"/>
  <c r="K4232" i="1"/>
  <c r="AC4232" i="1"/>
  <c r="AJ4231" i="1"/>
  <c r="AK4231" i="1"/>
  <c r="AM4231" i="1"/>
  <c r="BG4231" i="1"/>
  <c r="T4232" i="1"/>
  <c r="U4232" i="1"/>
  <c r="V4232" i="1"/>
  <c r="W4232" i="1"/>
  <c r="X4232" i="1"/>
  <c r="Y4232" i="1"/>
  <c r="Z4232" i="1"/>
  <c r="AB4232" i="1"/>
  <c r="AF4232" i="1"/>
  <c r="AI4232" i="1"/>
  <c r="H4233" i="1"/>
  <c r="AE4233" i="1"/>
  <c r="I4233" i="1"/>
  <c r="J4233" i="1"/>
  <c r="K4233" i="1"/>
  <c r="AC4233" i="1"/>
  <c r="AJ4232" i="1"/>
  <c r="AK4232" i="1"/>
  <c r="AM4232" i="1"/>
  <c r="BF4232" i="1"/>
  <c r="BG4232" i="1"/>
  <c r="T4233" i="1"/>
  <c r="U4233" i="1"/>
  <c r="V4233" i="1"/>
  <c r="W4233" i="1"/>
  <c r="X4233" i="1"/>
  <c r="Y4233" i="1"/>
  <c r="Z4233" i="1"/>
  <c r="AB4233" i="1"/>
  <c r="AF4233" i="1"/>
  <c r="AI4233" i="1"/>
  <c r="AE4234" i="1"/>
  <c r="AC4234" i="1"/>
  <c r="AJ4233" i="1"/>
  <c r="AK4233" i="1"/>
  <c r="AM4233" i="1"/>
  <c r="BF4233" i="1"/>
  <c r="BG4233" i="1"/>
  <c r="T4234" i="1"/>
  <c r="U4234" i="1"/>
  <c r="V4234" i="1"/>
  <c r="W4234" i="1"/>
  <c r="X4234" i="1"/>
  <c r="Y4234" i="1"/>
  <c r="Z4234" i="1"/>
  <c r="AB4234" i="1"/>
  <c r="AF4234" i="1"/>
  <c r="AI4234" i="1"/>
  <c r="AE4235" i="1"/>
  <c r="AC4235" i="1"/>
  <c r="AJ4234" i="1"/>
  <c r="AK4234" i="1"/>
  <c r="AM4234" i="1"/>
  <c r="BF4234" i="1"/>
  <c r="BG4234" i="1"/>
  <c r="T4235" i="1"/>
  <c r="U4235" i="1"/>
  <c r="V4235" i="1"/>
  <c r="W4235" i="1"/>
  <c r="X4235" i="1"/>
  <c r="Y4235" i="1"/>
  <c r="Z4235" i="1"/>
  <c r="AB4235" i="1"/>
  <c r="AF4235" i="1"/>
  <c r="AI4235" i="1"/>
  <c r="H4236" i="1"/>
  <c r="AE4236" i="1"/>
  <c r="I4236" i="1"/>
  <c r="J4236" i="1"/>
  <c r="K4236" i="1"/>
  <c r="AC4236" i="1"/>
  <c r="AJ4235" i="1"/>
  <c r="AK4235" i="1"/>
  <c r="AM4235" i="1"/>
  <c r="BG4235" i="1"/>
  <c r="T4236" i="1"/>
  <c r="U4236" i="1"/>
  <c r="V4236" i="1"/>
  <c r="W4236" i="1"/>
  <c r="X4236" i="1"/>
  <c r="Y4236" i="1"/>
  <c r="Z4236" i="1"/>
  <c r="AB4236" i="1"/>
  <c r="AF4236" i="1"/>
  <c r="AI4236" i="1"/>
  <c r="H4237" i="1"/>
  <c r="AE4237" i="1"/>
  <c r="I4237" i="1"/>
  <c r="J4237" i="1"/>
  <c r="K4237" i="1"/>
  <c r="AC4237" i="1"/>
  <c r="AJ4236" i="1"/>
  <c r="AK4236" i="1"/>
  <c r="AM4236" i="1"/>
  <c r="BF4236" i="1"/>
  <c r="BG4236" i="1"/>
  <c r="T4237" i="1"/>
  <c r="U4237" i="1"/>
  <c r="V4237" i="1"/>
  <c r="W4237" i="1"/>
  <c r="X4237" i="1"/>
  <c r="Y4237" i="1"/>
  <c r="Z4237" i="1"/>
  <c r="AB4237" i="1"/>
  <c r="AF4237" i="1"/>
  <c r="AI4237" i="1"/>
  <c r="AE4238" i="1"/>
  <c r="AC4238" i="1"/>
  <c r="AJ4237" i="1"/>
  <c r="AK4237" i="1"/>
  <c r="AM4237" i="1"/>
  <c r="BF4237" i="1"/>
  <c r="BG4237" i="1"/>
  <c r="T4238" i="1"/>
  <c r="U4238" i="1"/>
  <c r="V4238" i="1"/>
  <c r="W4238" i="1"/>
  <c r="X4238" i="1"/>
  <c r="Y4238" i="1"/>
  <c r="Z4238" i="1"/>
  <c r="AB4238" i="1"/>
  <c r="AF4238" i="1"/>
  <c r="AI4238" i="1"/>
  <c r="AE4239" i="1"/>
  <c r="AC4239" i="1"/>
  <c r="AJ4238" i="1"/>
  <c r="AK4238" i="1"/>
  <c r="AM4238" i="1"/>
  <c r="BF4238" i="1"/>
  <c r="BG4238" i="1"/>
  <c r="T4239" i="1"/>
  <c r="U4239" i="1"/>
  <c r="V4239" i="1"/>
  <c r="W4239" i="1"/>
  <c r="X4239" i="1"/>
  <c r="Y4239" i="1"/>
  <c r="Z4239" i="1"/>
  <c r="AB4239" i="1"/>
  <c r="AF4239" i="1"/>
  <c r="AI4239" i="1"/>
  <c r="H4240" i="1"/>
  <c r="AE4240" i="1"/>
  <c r="I4240" i="1"/>
  <c r="J4240" i="1"/>
  <c r="K4240" i="1"/>
  <c r="AC4240" i="1"/>
  <c r="AJ4239" i="1"/>
  <c r="AK4239" i="1"/>
  <c r="AM4239" i="1"/>
  <c r="BG4239" i="1"/>
  <c r="T4240" i="1"/>
  <c r="U4240" i="1"/>
  <c r="V4240" i="1"/>
  <c r="W4240" i="1"/>
  <c r="X4240" i="1"/>
  <c r="Y4240" i="1"/>
  <c r="Z4240" i="1"/>
  <c r="AB4240" i="1"/>
  <c r="AF4240" i="1"/>
  <c r="AI4240" i="1"/>
  <c r="AE4241" i="1"/>
  <c r="AC4241" i="1"/>
  <c r="AJ4240" i="1"/>
  <c r="AK4240" i="1"/>
  <c r="AM4240" i="1"/>
  <c r="BF4240" i="1"/>
  <c r="BG4240" i="1"/>
  <c r="T4241" i="1"/>
  <c r="U4241" i="1"/>
  <c r="V4241" i="1"/>
  <c r="W4241" i="1"/>
  <c r="X4241" i="1"/>
  <c r="Y4241" i="1"/>
  <c r="Z4241" i="1"/>
  <c r="AB4241" i="1"/>
  <c r="AF4241" i="1"/>
  <c r="AI4241" i="1"/>
  <c r="AE4242" i="1"/>
  <c r="AC4242" i="1"/>
  <c r="AJ4241" i="1"/>
  <c r="AK4241" i="1"/>
  <c r="AM4241" i="1"/>
  <c r="BF4241" i="1"/>
  <c r="BG4241" i="1"/>
  <c r="T4242" i="1"/>
  <c r="U4242" i="1"/>
  <c r="V4242" i="1"/>
  <c r="W4242" i="1"/>
  <c r="X4242" i="1"/>
  <c r="Y4242" i="1"/>
  <c r="Z4242" i="1"/>
  <c r="AB4242" i="1"/>
  <c r="AF4242" i="1"/>
  <c r="AI4242" i="1"/>
  <c r="H4243" i="1"/>
  <c r="AE4243" i="1"/>
  <c r="I4243" i="1"/>
  <c r="J4243" i="1"/>
  <c r="K4243" i="1"/>
  <c r="AC4243" i="1"/>
  <c r="AJ4242" i="1"/>
  <c r="AK4242" i="1"/>
  <c r="AM4242" i="1"/>
  <c r="BG4242" i="1"/>
  <c r="T4243" i="1"/>
  <c r="U4243" i="1"/>
  <c r="V4243" i="1"/>
  <c r="W4243" i="1"/>
  <c r="X4243" i="1"/>
  <c r="Y4243" i="1"/>
  <c r="Z4243" i="1"/>
  <c r="AB4243" i="1"/>
  <c r="AF4243" i="1"/>
  <c r="AI4243" i="1"/>
  <c r="AE4244" i="1"/>
  <c r="AC4244" i="1"/>
  <c r="AJ4243" i="1"/>
  <c r="AK4243" i="1"/>
  <c r="AM4243" i="1"/>
  <c r="BF4243" i="1"/>
  <c r="BG4243" i="1"/>
  <c r="T4244" i="1"/>
  <c r="U4244" i="1"/>
  <c r="V4244" i="1"/>
  <c r="W4244" i="1"/>
  <c r="X4244" i="1"/>
  <c r="Y4244" i="1"/>
  <c r="Z4244" i="1"/>
  <c r="AB4244" i="1"/>
  <c r="AF4244" i="1"/>
  <c r="AI4244" i="1"/>
  <c r="AE4245" i="1"/>
  <c r="AC4245" i="1"/>
  <c r="AJ4244" i="1"/>
  <c r="AK4244" i="1"/>
  <c r="AM4244" i="1"/>
  <c r="BF4244" i="1"/>
  <c r="BG4244" i="1"/>
  <c r="T4245" i="1"/>
  <c r="U4245" i="1"/>
  <c r="V4245" i="1"/>
  <c r="W4245" i="1"/>
  <c r="X4245" i="1"/>
  <c r="Y4245" i="1"/>
  <c r="Z4245" i="1"/>
  <c r="AB4245" i="1"/>
  <c r="AF4245" i="1"/>
  <c r="AI4245" i="1"/>
  <c r="H4246" i="1"/>
  <c r="AE4246" i="1"/>
  <c r="I4246" i="1"/>
  <c r="J4246" i="1"/>
  <c r="K4246" i="1"/>
  <c r="AC4246" i="1"/>
  <c r="AJ4245" i="1"/>
  <c r="AK4245" i="1"/>
  <c r="AM4245" i="1"/>
  <c r="BG4245" i="1"/>
  <c r="T4246" i="1"/>
  <c r="U4246" i="1"/>
  <c r="V4246" i="1"/>
  <c r="W4246" i="1"/>
  <c r="X4246" i="1"/>
  <c r="Y4246" i="1"/>
  <c r="Z4246" i="1"/>
  <c r="AB4246" i="1"/>
  <c r="AF4246" i="1"/>
  <c r="AI4246" i="1"/>
  <c r="AE4247" i="1"/>
  <c r="AC4247" i="1"/>
  <c r="AJ4246" i="1"/>
  <c r="AK4246" i="1"/>
  <c r="AM4246" i="1"/>
  <c r="BF4246" i="1"/>
  <c r="BG4246" i="1"/>
  <c r="T4247" i="1"/>
  <c r="U4247" i="1"/>
  <c r="V4247" i="1"/>
  <c r="W4247" i="1"/>
  <c r="X4247" i="1"/>
  <c r="Y4247" i="1"/>
  <c r="Z4247" i="1"/>
  <c r="AB4247" i="1"/>
  <c r="AF4247" i="1"/>
  <c r="AI4247" i="1"/>
  <c r="AE4248" i="1"/>
  <c r="AC4248" i="1"/>
  <c r="AJ4247" i="1"/>
  <c r="AK4247" i="1"/>
  <c r="AM4247" i="1"/>
  <c r="BF4247" i="1"/>
  <c r="BG4247" i="1"/>
  <c r="T4248" i="1"/>
  <c r="U4248" i="1"/>
  <c r="V4248" i="1"/>
  <c r="W4248" i="1"/>
  <c r="X4248" i="1"/>
  <c r="Y4248" i="1"/>
  <c r="Z4248" i="1"/>
  <c r="AB4248" i="1"/>
  <c r="AF4248" i="1"/>
  <c r="AI4248" i="1"/>
  <c r="H4249" i="1"/>
  <c r="AE4249" i="1"/>
  <c r="I4249" i="1"/>
  <c r="J4249" i="1"/>
  <c r="K4249" i="1"/>
  <c r="AC4249" i="1"/>
  <c r="AJ4248" i="1"/>
  <c r="AK4248" i="1"/>
  <c r="AM4248" i="1"/>
  <c r="BG4248" i="1"/>
  <c r="T4249" i="1"/>
  <c r="U4249" i="1"/>
  <c r="V4249" i="1"/>
  <c r="W4249" i="1"/>
  <c r="X4249" i="1"/>
  <c r="Y4249" i="1"/>
  <c r="Z4249" i="1"/>
  <c r="AB4249" i="1"/>
  <c r="AF4249" i="1"/>
  <c r="AI4249" i="1"/>
  <c r="AE4250" i="1"/>
  <c r="AC4250" i="1"/>
  <c r="AJ4249" i="1"/>
  <c r="AK4249" i="1"/>
  <c r="AM4249" i="1"/>
  <c r="BF4249" i="1"/>
  <c r="BG4249" i="1"/>
  <c r="T4250" i="1"/>
  <c r="U4250" i="1"/>
  <c r="V4250" i="1"/>
  <c r="W4250" i="1"/>
  <c r="X4250" i="1"/>
  <c r="Y4250" i="1"/>
  <c r="Z4250" i="1"/>
  <c r="AB4250" i="1"/>
  <c r="AF4250" i="1"/>
  <c r="AI4250" i="1"/>
  <c r="AE4251" i="1"/>
  <c r="AC4251" i="1"/>
  <c r="AJ4250" i="1"/>
  <c r="AK4250" i="1"/>
  <c r="AM4250" i="1"/>
  <c r="BF4250" i="1"/>
  <c r="BG4250" i="1"/>
  <c r="T4251" i="1"/>
  <c r="U4251" i="1"/>
  <c r="V4251" i="1"/>
  <c r="W4251" i="1"/>
  <c r="X4251" i="1"/>
  <c r="Y4251" i="1"/>
  <c r="Z4251" i="1"/>
  <c r="AB4251" i="1"/>
  <c r="AF4251" i="1"/>
  <c r="AI4251" i="1"/>
  <c r="H4252" i="1"/>
  <c r="AE4252" i="1"/>
  <c r="I4252" i="1"/>
  <c r="J4252" i="1"/>
  <c r="K4252" i="1"/>
  <c r="AC4252" i="1"/>
  <c r="AJ4251" i="1"/>
  <c r="AK4251" i="1"/>
  <c r="AM4251" i="1"/>
  <c r="BG4251" i="1"/>
  <c r="T4252" i="1"/>
  <c r="U4252" i="1"/>
  <c r="V4252" i="1"/>
  <c r="W4252" i="1"/>
  <c r="X4252" i="1"/>
  <c r="Y4252" i="1"/>
  <c r="Z4252" i="1"/>
  <c r="AB4252" i="1"/>
  <c r="AF4252" i="1"/>
  <c r="AI4252" i="1"/>
  <c r="AE4253" i="1"/>
  <c r="AC4253" i="1"/>
  <c r="AJ4252" i="1"/>
  <c r="AK4252" i="1"/>
  <c r="AM4252" i="1"/>
  <c r="BF4252" i="1"/>
  <c r="BG4252" i="1"/>
  <c r="T4253" i="1"/>
  <c r="U4253" i="1"/>
  <c r="V4253" i="1"/>
  <c r="W4253" i="1"/>
  <c r="X4253" i="1"/>
  <c r="Y4253" i="1"/>
  <c r="Z4253" i="1"/>
  <c r="AB4253" i="1"/>
  <c r="AF4253" i="1"/>
  <c r="AI4253" i="1"/>
  <c r="AE4254" i="1"/>
  <c r="AC4254" i="1"/>
  <c r="AJ4253" i="1"/>
  <c r="AK4253" i="1"/>
  <c r="AM4253" i="1"/>
  <c r="BF4253" i="1"/>
  <c r="BG4253" i="1"/>
  <c r="T4254" i="1"/>
  <c r="U4254" i="1"/>
  <c r="V4254" i="1"/>
  <c r="W4254" i="1"/>
  <c r="X4254" i="1"/>
  <c r="Y4254" i="1"/>
  <c r="Z4254" i="1"/>
  <c r="AB4254" i="1"/>
  <c r="AF4254" i="1"/>
  <c r="AI4254" i="1"/>
  <c r="H4255" i="1"/>
  <c r="AE4255" i="1"/>
  <c r="I4255" i="1"/>
  <c r="J4255" i="1"/>
  <c r="K4255" i="1"/>
  <c r="AC4255" i="1"/>
  <c r="AJ4254" i="1"/>
  <c r="AK4254" i="1"/>
  <c r="AM4254" i="1"/>
  <c r="BG4254" i="1"/>
  <c r="T4255" i="1"/>
  <c r="U4255" i="1"/>
  <c r="V4255" i="1"/>
  <c r="W4255" i="1"/>
  <c r="X4255" i="1"/>
  <c r="Y4255" i="1"/>
  <c r="Z4255" i="1"/>
  <c r="AB4255" i="1"/>
  <c r="AF4255" i="1"/>
  <c r="AI4255" i="1"/>
  <c r="H4256" i="1"/>
  <c r="AE4256" i="1"/>
  <c r="I4256" i="1"/>
  <c r="J4256" i="1"/>
  <c r="K4256" i="1"/>
  <c r="AC4256" i="1"/>
  <c r="AJ4255" i="1"/>
  <c r="AK4255" i="1"/>
  <c r="AM4255" i="1"/>
  <c r="BF4255" i="1"/>
  <c r="BG4255" i="1"/>
  <c r="T4256" i="1"/>
  <c r="U4256" i="1"/>
  <c r="V4256" i="1"/>
  <c r="W4256" i="1"/>
  <c r="X4256" i="1"/>
  <c r="Y4256" i="1"/>
  <c r="Z4256" i="1"/>
  <c r="AB4256" i="1"/>
  <c r="AF4256" i="1"/>
  <c r="AI4256" i="1"/>
  <c r="H4257" i="1"/>
  <c r="AE4257" i="1"/>
  <c r="I4257" i="1"/>
  <c r="J4257" i="1"/>
  <c r="K4257" i="1"/>
  <c r="AC4257" i="1"/>
  <c r="AJ4256" i="1"/>
  <c r="AK4256" i="1"/>
  <c r="AM4256" i="1"/>
  <c r="BF4256" i="1"/>
  <c r="BG4256" i="1"/>
  <c r="T4257" i="1"/>
  <c r="U4257" i="1"/>
  <c r="V4257" i="1"/>
  <c r="W4257" i="1"/>
  <c r="X4257" i="1"/>
  <c r="Y4257" i="1"/>
  <c r="Z4257" i="1"/>
  <c r="AB4257" i="1"/>
  <c r="AF4257" i="1"/>
  <c r="AI4257" i="1"/>
  <c r="AE4258" i="1"/>
  <c r="AC4258" i="1"/>
  <c r="AJ4257" i="1"/>
  <c r="AK4257" i="1"/>
  <c r="AM4257" i="1"/>
  <c r="BF4257" i="1"/>
  <c r="BG4257" i="1"/>
  <c r="T4258" i="1"/>
  <c r="U4258" i="1"/>
  <c r="V4258" i="1"/>
  <c r="W4258" i="1"/>
  <c r="X4258" i="1"/>
  <c r="Y4258" i="1"/>
  <c r="Z4258" i="1"/>
  <c r="AB4258" i="1"/>
  <c r="AF4258" i="1"/>
  <c r="AI4258" i="1"/>
  <c r="AE4259" i="1"/>
  <c r="AC4259" i="1"/>
  <c r="AJ4258" i="1"/>
  <c r="AK4258" i="1"/>
  <c r="AM4258" i="1"/>
  <c r="BF4258" i="1"/>
  <c r="BG4258" i="1"/>
  <c r="T4259" i="1"/>
  <c r="U4259" i="1"/>
  <c r="V4259" i="1"/>
  <c r="W4259" i="1"/>
  <c r="X4259" i="1"/>
  <c r="Y4259" i="1"/>
  <c r="Z4259" i="1"/>
  <c r="AB4259" i="1"/>
  <c r="AF4259" i="1"/>
  <c r="AI4259" i="1"/>
  <c r="H4260" i="1"/>
  <c r="AE4260" i="1"/>
  <c r="I4260" i="1"/>
  <c r="J4260" i="1"/>
  <c r="K4260" i="1"/>
  <c r="AC4260" i="1"/>
  <c r="AJ4259" i="1"/>
  <c r="AK4259" i="1"/>
  <c r="AM4259" i="1"/>
  <c r="BG4259" i="1"/>
  <c r="T4260" i="1"/>
  <c r="U4260" i="1"/>
  <c r="V4260" i="1"/>
  <c r="W4260" i="1"/>
  <c r="X4260" i="1"/>
  <c r="Y4260" i="1"/>
  <c r="Z4260" i="1"/>
  <c r="AB4260" i="1"/>
  <c r="AF4260" i="1"/>
  <c r="AI4260" i="1"/>
  <c r="AE4261" i="1"/>
  <c r="AC4261" i="1"/>
  <c r="AJ4260" i="1"/>
  <c r="AK4260" i="1"/>
  <c r="AM4260" i="1"/>
  <c r="BF4260" i="1"/>
  <c r="BG4260" i="1"/>
  <c r="T4261" i="1"/>
  <c r="U4261" i="1"/>
  <c r="V4261" i="1"/>
  <c r="W4261" i="1"/>
  <c r="X4261" i="1"/>
  <c r="Y4261" i="1"/>
  <c r="Z4261" i="1"/>
  <c r="AB4261" i="1"/>
  <c r="AF4261" i="1"/>
  <c r="AI4261" i="1"/>
  <c r="AE4262" i="1"/>
  <c r="AC4262" i="1"/>
  <c r="AJ4261" i="1"/>
  <c r="AK4261" i="1"/>
  <c r="AM4261" i="1"/>
  <c r="BF4261" i="1"/>
  <c r="BG4261" i="1"/>
  <c r="T4262" i="1"/>
  <c r="U4262" i="1"/>
  <c r="V4262" i="1"/>
  <c r="W4262" i="1"/>
  <c r="X4262" i="1"/>
  <c r="Y4262" i="1"/>
  <c r="Z4262" i="1"/>
  <c r="AB4262" i="1"/>
  <c r="AF4262" i="1"/>
  <c r="AI4262" i="1"/>
  <c r="AE4263" i="1"/>
  <c r="AC4263" i="1"/>
  <c r="AJ4262" i="1"/>
  <c r="AK4262" i="1"/>
  <c r="AM4262" i="1"/>
  <c r="BF4262" i="1"/>
  <c r="BG4262" i="1"/>
  <c r="T4263" i="1"/>
  <c r="U4263" i="1"/>
  <c r="V4263" i="1"/>
  <c r="W4263" i="1"/>
  <c r="X4263" i="1"/>
  <c r="Y4263" i="1"/>
  <c r="Z4263" i="1"/>
  <c r="AB4263" i="1"/>
  <c r="AF4263" i="1"/>
  <c r="AI4263" i="1"/>
  <c r="H4264" i="1"/>
  <c r="AE4264" i="1"/>
  <c r="I4264" i="1"/>
  <c r="J4264" i="1"/>
  <c r="K4264" i="1"/>
  <c r="AC4264" i="1"/>
  <c r="AJ4263" i="1"/>
  <c r="AK4263" i="1"/>
  <c r="AM4263" i="1"/>
  <c r="BG4263" i="1"/>
  <c r="T4264" i="1"/>
  <c r="U4264" i="1"/>
  <c r="V4264" i="1"/>
  <c r="W4264" i="1"/>
  <c r="X4264" i="1"/>
  <c r="Y4264" i="1"/>
  <c r="Z4264" i="1"/>
  <c r="AB4264" i="1"/>
  <c r="AF4264" i="1"/>
  <c r="AI4264" i="1"/>
  <c r="AE4265" i="1"/>
  <c r="AC4265" i="1"/>
  <c r="AJ4264" i="1"/>
  <c r="AK4264" i="1"/>
  <c r="AM4264" i="1"/>
  <c r="BF4264" i="1"/>
  <c r="BG4264" i="1"/>
  <c r="T4265" i="1"/>
  <c r="U4265" i="1"/>
  <c r="V4265" i="1"/>
  <c r="W4265" i="1"/>
  <c r="X4265" i="1"/>
  <c r="Y4265" i="1"/>
  <c r="Z4265" i="1"/>
  <c r="AB4265" i="1"/>
  <c r="AF4265" i="1"/>
  <c r="AI4265" i="1"/>
  <c r="AE4266" i="1"/>
  <c r="AC4266" i="1"/>
  <c r="AJ4265" i="1"/>
  <c r="AK4265" i="1"/>
  <c r="AM4265" i="1"/>
  <c r="BF4265" i="1"/>
  <c r="BG4265" i="1"/>
  <c r="T4266" i="1"/>
  <c r="U4266" i="1"/>
  <c r="V4266" i="1"/>
  <c r="W4266" i="1"/>
  <c r="X4266" i="1"/>
  <c r="Y4266" i="1"/>
  <c r="Z4266" i="1"/>
  <c r="AB4266" i="1"/>
  <c r="AF4266" i="1"/>
  <c r="AI4266" i="1"/>
  <c r="AE4267" i="1"/>
  <c r="AC4267" i="1"/>
  <c r="AJ4266" i="1"/>
  <c r="AK4266" i="1"/>
  <c r="AM4266" i="1"/>
  <c r="BF4266" i="1"/>
  <c r="BG4266" i="1"/>
  <c r="T4267" i="1"/>
  <c r="U4267" i="1"/>
  <c r="V4267" i="1"/>
  <c r="W4267" i="1"/>
  <c r="X4267" i="1"/>
  <c r="Y4267" i="1"/>
  <c r="Z4267" i="1"/>
  <c r="AB4267" i="1"/>
  <c r="AF4267" i="1"/>
  <c r="AI4267" i="1"/>
  <c r="H4268" i="1"/>
  <c r="AE4268" i="1"/>
  <c r="I4268" i="1"/>
  <c r="J4268" i="1"/>
  <c r="K4268" i="1"/>
  <c r="AC4268" i="1"/>
  <c r="AJ4267" i="1"/>
  <c r="AK4267" i="1"/>
  <c r="AM4267" i="1"/>
  <c r="BG4267" i="1"/>
  <c r="T4268" i="1"/>
  <c r="U4268" i="1"/>
  <c r="V4268" i="1"/>
  <c r="W4268" i="1"/>
  <c r="X4268" i="1"/>
  <c r="Y4268" i="1"/>
  <c r="Z4268" i="1"/>
  <c r="AB4268" i="1"/>
  <c r="AF4268" i="1"/>
  <c r="AI4268" i="1"/>
  <c r="AE4269" i="1"/>
  <c r="AC4269" i="1"/>
  <c r="AJ4268" i="1"/>
  <c r="AK4268" i="1"/>
  <c r="AM4268" i="1"/>
  <c r="BF4268" i="1"/>
  <c r="BG4268" i="1"/>
  <c r="T4269" i="1"/>
  <c r="U4269" i="1"/>
  <c r="V4269" i="1"/>
  <c r="W4269" i="1"/>
  <c r="X4269" i="1"/>
  <c r="Y4269" i="1"/>
  <c r="Z4269" i="1"/>
  <c r="AB4269" i="1"/>
  <c r="AF4269" i="1"/>
  <c r="AI4269" i="1"/>
  <c r="AE4270" i="1"/>
  <c r="AC4270" i="1"/>
  <c r="AJ4269" i="1"/>
  <c r="AK4269" i="1"/>
  <c r="AM4269" i="1"/>
  <c r="BF4269" i="1"/>
  <c r="BG4269" i="1"/>
  <c r="T4270" i="1"/>
  <c r="U4270" i="1"/>
  <c r="V4270" i="1"/>
  <c r="W4270" i="1"/>
  <c r="X4270" i="1"/>
  <c r="Y4270" i="1"/>
  <c r="Z4270" i="1"/>
  <c r="AB4270" i="1"/>
  <c r="AF4270" i="1"/>
  <c r="AI4270" i="1"/>
  <c r="H4271" i="1"/>
  <c r="AE4271" i="1"/>
  <c r="I4271" i="1"/>
  <c r="J4271" i="1"/>
  <c r="K4271" i="1"/>
  <c r="AC4271" i="1"/>
  <c r="AJ4270" i="1"/>
  <c r="AK4270" i="1"/>
  <c r="AM4270" i="1"/>
  <c r="BG4270" i="1"/>
  <c r="T4271" i="1"/>
  <c r="U4271" i="1"/>
  <c r="V4271" i="1"/>
  <c r="W4271" i="1"/>
  <c r="X4271" i="1"/>
  <c r="Y4271" i="1"/>
  <c r="Z4271" i="1"/>
  <c r="AB4271" i="1"/>
  <c r="AF4271" i="1"/>
  <c r="AI4271" i="1"/>
  <c r="AE4272" i="1"/>
  <c r="AC4272" i="1"/>
  <c r="AJ4271" i="1"/>
  <c r="AK4271" i="1"/>
  <c r="AM4271" i="1"/>
  <c r="BF4271" i="1"/>
  <c r="BG4271" i="1"/>
  <c r="T4272" i="1"/>
  <c r="U4272" i="1"/>
  <c r="V4272" i="1"/>
  <c r="W4272" i="1"/>
  <c r="X4272" i="1"/>
  <c r="Y4272" i="1"/>
  <c r="Z4272" i="1"/>
  <c r="AB4272" i="1"/>
  <c r="AF4272" i="1"/>
  <c r="AI4272" i="1"/>
  <c r="AE4273" i="1"/>
  <c r="AC4273" i="1"/>
  <c r="AJ4272" i="1"/>
  <c r="AK4272" i="1"/>
  <c r="AM4272" i="1"/>
  <c r="BF4272" i="1"/>
  <c r="BG4272" i="1"/>
  <c r="T4273" i="1"/>
  <c r="U4273" i="1"/>
  <c r="V4273" i="1"/>
  <c r="W4273" i="1"/>
  <c r="X4273" i="1"/>
  <c r="Y4273" i="1"/>
  <c r="Z4273" i="1"/>
  <c r="AB4273" i="1"/>
  <c r="AF4273" i="1"/>
  <c r="AI4273" i="1"/>
  <c r="H4274" i="1"/>
  <c r="AE4274" i="1"/>
  <c r="I4274" i="1"/>
  <c r="J4274" i="1"/>
  <c r="K4274" i="1"/>
  <c r="AC4274" i="1"/>
  <c r="AJ4273" i="1"/>
  <c r="AK4273" i="1"/>
  <c r="AM4273" i="1"/>
  <c r="BG4273" i="1"/>
  <c r="T4274" i="1"/>
  <c r="U4274" i="1"/>
  <c r="V4274" i="1"/>
  <c r="W4274" i="1"/>
  <c r="X4274" i="1"/>
  <c r="Y4274" i="1"/>
  <c r="Z4274" i="1"/>
  <c r="AB4274" i="1"/>
  <c r="AF4274" i="1"/>
  <c r="AI4274" i="1"/>
  <c r="AE4275" i="1"/>
  <c r="AC4275" i="1"/>
  <c r="AJ4274" i="1"/>
  <c r="AK4274" i="1"/>
  <c r="AM4274" i="1"/>
  <c r="BF4274" i="1"/>
  <c r="BG4274" i="1"/>
  <c r="T4275" i="1"/>
  <c r="U4275" i="1"/>
  <c r="V4275" i="1"/>
  <c r="W4275" i="1"/>
  <c r="X4275" i="1"/>
  <c r="Y4275" i="1"/>
  <c r="Z4275" i="1"/>
  <c r="AB4275" i="1"/>
  <c r="AF4275" i="1"/>
  <c r="AI4275" i="1"/>
  <c r="AE4276" i="1"/>
  <c r="AC4276" i="1"/>
  <c r="AJ4275" i="1"/>
  <c r="AK4275" i="1"/>
  <c r="AM4275" i="1"/>
  <c r="BF4275" i="1"/>
  <c r="BG4275" i="1"/>
  <c r="T4276" i="1"/>
  <c r="U4276" i="1"/>
  <c r="V4276" i="1"/>
  <c r="W4276" i="1"/>
  <c r="X4276" i="1"/>
  <c r="Y4276" i="1"/>
  <c r="Z4276" i="1"/>
  <c r="AB4276" i="1"/>
  <c r="AF4276" i="1"/>
  <c r="AI4276" i="1"/>
  <c r="AE4277" i="1"/>
  <c r="AC4277" i="1"/>
  <c r="AJ4276" i="1"/>
  <c r="AK4276" i="1"/>
  <c r="AM4276" i="1"/>
  <c r="BF4276" i="1"/>
  <c r="BG4276" i="1"/>
  <c r="T4277" i="1"/>
  <c r="U4277" i="1"/>
  <c r="V4277" i="1"/>
  <c r="W4277" i="1"/>
  <c r="X4277" i="1"/>
  <c r="Y4277" i="1"/>
  <c r="Z4277" i="1"/>
  <c r="AB4277" i="1"/>
  <c r="AF4277" i="1"/>
  <c r="AI4277" i="1"/>
  <c r="H4278" i="1"/>
  <c r="AE4278" i="1"/>
  <c r="I4278" i="1"/>
  <c r="J4278" i="1"/>
  <c r="K4278" i="1"/>
  <c r="AC4278" i="1"/>
  <c r="AJ4277" i="1"/>
  <c r="AK4277" i="1"/>
  <c r="AM4277" i="1"/>
  <c r="BG4277" i="1"/>
  <c r="T4278" i="1"/>
  <c r="U4278" i="1"/>
  <c r="V4278" i="1"/>
  <c r="W4278" i="1"/>
  <c r="X4278" i="1"/>
  <c r="Y4278" i="1"/>
  <c r="Z4278" i="1"/>
  <c r="AB4278" i="1"/>
  <c r="AF4278" i="1"/>
  <c r="AI4278" i="1"/>
  <c r="AE4279" i="1"/>
  <c r="AC4279" i="1"/>
  <c r="AJ4278" i="1"/>
  <c r="AK4278" i="1"/>
  <c r="AM4278" i="1"/>
  <c r="BF4278" i="1"/>
  <c r="BG4278" i="1"/>
  <c r="T4279" i="1"/>
  <c r="U4279" i="1"/>
  <c r="V4279" i="1"/>
  <c r="W4279" i="1"/>
  <c r="X4279" i="1"/>
  <c r="Y4279" i="1"/>
  <c r="Z4279" i="1"/>
  <c r="AB4279" i="1"/>
  <c r="AF4279" i="1"/>
  <c r="AI4279" i="1"/>
  <c r="AE4280" i="1"/>
  <c r="AC4280" i="1"/>
  <c r="AJ4279" i="1"/>
  <c r="AK4279" i="1"/>
  <c r="AM4279" i="1"/>
  <c r="BF4279" i="1"/>
  <c r="BG4279" i="1"/>
  <c r="T4280" i="1"/>
  <c r="U4280" i="1"/>
  <c r="V4280" i="1"/>
  <c r="W4280" i="1"/>
  <c r="X4280" i="1"/>
  <c r="Y4280" i="1"/>
  <c r="Z4280" i="1"/>
  <c r="AB4280" i="1"/>
  <c r="AF4280" i="1"/>
  <c r="AI4280" i="1"/>
  <c r="AE4281" i="1"/>
  <c r="AC4281" i="1"/>
  <c r="AJ4280" i="1"/>
  <c r="AK4280" i="1"/>
  <c r="AM4280" i="1"/>
  <c r="BF4280" i="1"/>
  <c r="BG4280" i="1"/>
  <c r="T4281" i="1"/>
  <c r="U4281" i="1"/>
  <c r="V4281" i="1"/>
  <c r="W4281" i="1"/>
  <c r="X4281" i="1"/>
  <c r="Y4281" i="1"/>
  <c r="Z4281" i="1"/>
  <c r="AB4281" i="1"/>
  <c r="AF4281" i="1"/>
  <c r="AI4281" i="1"/>
  <c r="H4282" i="1"/>
  <c r="AE4282" i="1"/>
  <c r="I4282" i="1"/>
  <c r="J4282" i="1"/>
  <c r="K4282" i="1"/>
  <c r="AC4282" i="1"/>
  <c r="AJ4281" i="1"/>
  <c r="AK4281" i="1"/>
  <c r="AM4281" i="1"/>
  <c r="BG4281" i="1"/>
  <c r="T4282" i="1"/>
  <c r="U4282" i="1"/>
  <c r="V4282" i="1"/>
  <c r="W4282" i="1"/>
  <c r="X4282" i="1"/>
  <c r="Y4282" i="1"/>
  <c r="Z4282" i="1"/>
  <c r="AB4282" i="1"/>
  <c r="AF4282" i="1"/>
  <c r="AI4282" i="1"/>
  <c r="AE4283" i="1"/>
  <c r="AC4283" i="1"/>
  <c r="AJ4282" i="1"/>
  <c r="AK4282" i="1"/>
  <c r="AM4282" i="1"/>
  <c r="BF4282" i="1"/>
  <c r="BG4282" i="1"/>
  <c r="T4283" i="1"/>
  <c r="U4283" i="1"/>
  <c r="V4283" i="1"/>
  <c r="W4283" i="1"/>
  <c r="X4283" i="1"/>
  <c r="Y4283" i="1"/>
  <c r="Z4283" i="1"/>
  <c r="AB4283" i="1"/>
  <c r="AF4283" i="1"/>
  <c r="AI4283" i="1"/>
  <c r="AE4284" i="1"/>
  <c r="AC4284" i="1"/>
  <c r="AJ4283" i="1"/>
  <c r="AK4283" i="1"/>
  <c r="AM4283" i="1"/>
  <c r="BF4283" i="1"/>
  <c r="BG4283" i="1"/>
  <c r="T4284" i="1"/>
  <c r="U4284" i="1"/>
  <c r="V4284" i="1"/>
  <c r="W4284" i="1"/>
  <c r="X4284" i="1"/>
  <c r="Y4284" i="1"/>
  <c r="Z4284" i="1"/>
  <c r="AB4284" i="1"/>
  <c r="AF4284" i="1"/>
  <c r="AI4284" i="1"/>
  <c r="H4285" i="1"/>
  <c r="AE4285" i="1"/>
  <c r="I4285" i="1"/>
  <c r="J4285" i="1"/>
  <c r="K4285" i="1"/>
  <c r="AC4285" i="1"/>
  <c r="AJ4284" i="1"/>
  <c r="AK4284" i="1"/>
  <c r="AM4284" i="1"/>
  <c r="BG4284" i="1"/>
  <c r="T4285" i="1"/>
  <c r="U4285" i="1"/>
  <c r="V4285" i="1"/>
  <c r="W4285" i="1"/>
  <c r="X4285" i="1"/>
  <c r="Y4285" i="1"/>
  <c r="Z4285" i="1"/>
  <c r="AB4285" i="1"/>
  <c r="AF4285" i="1"/>
  <c r="AI4285" i="1"/>
  <c r="H4286" i="1"/>
  <c r="AE4286" i="1"/>
  <c r="I4286" i="1"/>
  <c r="J4286" i="1"/>
  <c r="K4286" i="1"/>
  <c r="AC4286" i="1"/>
  <c r="AJ4285" i="1"/>
  <c r="AK4285" i="1"/>
  <c r="AM4285" i="1"/>
  <c r="BF4285" i="1"/>
  <c r="BG4285" i="1"/>
  <c r="T4286" i="1"/>
  <c r="U4286" i="1"/>
  <c r="V4286" i="1"/>
  <c r="W4286" i="1"/>
  <c r="X4286" i="1"/>
  <c r="Y4286" i="1"/>
  <c r="Z4286" i="1"/>
  <c r="AB4286" i="1"/>
  <c r="AF4286" i="1"/>
  <c r="AI4286" i="1"/>
  <c r="H4287" i="1"/>
  <c r="AE4287" i="1"/>
  <c r="I4287" i="1"/>
  <c r="J4287" i="1"/>
  <c r="K4287" i="1"/>
  <c r="AC4287" i="1"/>
  <c r="AJ4286" i="1"/>
  <c r="AK4286" i="1"/>
  <c r="AM4286" i="1"/>
  <c r="BF4286" i="1"/>
  <c r="BG4286" i="1"/>
  <c r="T4287" i="1"/>
  <c r="U4287" i="1"/>
  <c r="V4287" i="1"/>
  <c r="W4287" i="1"/>
  <c r="X4287" i="1"/>
  <c r="Y4287" i="1"/>
  <c r="Z4287" i="1"/>
  <c r="AB4287" i="1"/>
  <c r="AF4287" i="1"/>
  <c r="AI4287" i="1"/>
  <c r="H4288" i="1"/>
  <c r="AE4288" i="1"/>
  <c r="I4288" i="1"/>
  <c r="J4288" i="1"/>
  <c r="K4288" i="1"/>
  <c r="AC4288" i="1"/>
  <c r="AJ4287" i="1"/>
  <c r="AK4287" i="1"/>
  <c r="AM4287" i="1"/>
  <c r="BF4287" i="1"/>
  <c r="BG4287" i="1"/>
  <c r="T4288" i="1"/>
  <c r="U4288" i="1"/>
  <c r="V4288" i="1"/>
  <c r="W4288" i="1"/>
  <c r="X4288" i="1"/>
  <c r="Y4288" i="1"/>
  <c r="Z4288" i="1"/>
  <c r="AB4288" i="1"/>
  <c r="AF4288" i="1"/>
  <c r="AI4288" i="1"/>
  <c r="H4289" i="1"/>
  <c r="AE4289" i="1"/>
  <c r="I4289" i="1"/>
  <c r="J4289" i="1"/>
  <c r="K4289" i="1"/>
  <c r="AC4289" i="1"/>
  <c r="AJ4288" i="1"/>
  <c r="AK4288" i="1"/>
  <c r="AM4288" i="1"/>
  <c r="BF4288" i="1"/>
  <c r="BG4288" i="1"/>
  <c r="T4289" i="1"/>
  <c r="U4289" i="1"/>
  <c r="V4289" i="1"/>
  <c r="W4289" i="1"/>
  <c r="X4289" i="1"/>
  <c r="Y4289" i="1"/>
  <c r="Z4289" i="1"/>
  <c r="AB4289" i="1"/>
  <c r="AF4289" i="1"/>
  <c r="AI4289" i="1"/>
  <c r="H4290" i="1"/>
  <c r="AE4290" i="1"/>
  <c r="I4290" i="1"/>
  <c r="J4290" i="1"/>
  <c r="K4290" i="1"/>
  <c r="AC4290" i="1"/>
  <c r="AJ4289" i="1"/>
  <c r="AK4289" i="1"/>
  <c r="AM4289" i="1"/>
  <c r="BF4289" i="1"/>
  <c r="BG4289" i="1"/>
  <c r="T4290" i="1"/>
  <c r="U4290" i="1"/>
  <c r="V4290" i="1"/>
  <c r="W4290" i="1"/>
  <c r="X4290" i="1"/>
  <c r="Y4290" i="1"/>
  <c r="Z4290" i="1"/>
  <c r="AB4290" i="1"/>
  <c r="AF4290" i="1"/>
  <c r="AI4290" i="1"/>
  <c r="H4291" i="1"/>
  <c r="AE4291" i="1"/>
  <c r="I4291" i="1"/>
  <c r="J4291" i="1"/>
  <c r="K4291" i="1"/>
  <c r="AC4291" i="1"/>
  <c r="AJ4290" i="1"/>
  <c r="AK4290" i="1"/>
  <c r="AM4290" i="1"/>
  <c r="BF4290" i="1"/>
  <c r="BG4290" i="1"/>
  <c r="T4291" i="1"/>
  <c r="U4291" i="1"/>
  <c r="V4291" i="1"/>
  <c r="W4291" i="1"/>
  <c r="X4291" i="1"/>
  <c r="Y4291" i="1"/>
  <c r="Z4291" i="1"/>
  <c r="AB4291" i="1"/>
  <c r="AF4291" i="1"/>
  <c r="AI4291" i="1"/>
  <c r="H4292" i="1"/>
  <c r="AE4292" i="1"/>
  <c r="I4292" i="1"/>
  <c r="J4292" i="1"/>
  <c r="K4292" i="1"/>
  <c r="AC4292" i="1"/>
  <c r="AJ4291" i="1"/>
  <c r="AK4291" i="1"/>
  <c r="AM4291" i="1"/>
  <c r="BF4291" i="1"/>
  <c r="BG4291" i="1"/>
  <c r="T4292" i="1"/>
  <c r="U4292" i="1"/>
  <c r="V4292" i="1"/>
  <c r="W4292" i="1"/>
  <c r="X4292" i="1"/>
  <c r="Y4292" i="1"/>
  <c r="Z4292" i="1"/>
  <c r="AB4292" i="1"/>
  <c r="AF4292" i="1"/>
  <c r="AI4292" i="1"/>
  <c r="H4293" i="1"/>
  <c r="AE4293" i="1"/>
  <c r="I4293" i="1"/>
  <c r="J4293" i="1"/>
  <c r="K4293" i="1"/>
  <c r="AC4293" i="1"/>
  <c r="AJ4292" i="1"/>
  <c r="AK4292" i="1"/>
  <c r="AM4292" i="1"/>
  <c r="BF4292" i="1"/>
  <c r="BG4292" i="1"/>
  <c r="T4293" i="1"/>
  <c r="U4293" i="1"/>
  <c r="V4293" i="1"/>
  <c r="W4293" i="1"/>
  <c r="X4293" i="1"/>
  <c r="Y4293" i="1"/>
  <c r="Z4293" i="1"/>
  <c r="AB4293" i="1"/>
  <c r="AF4293" i="1"/>
  <c r="AI4293" i="1"/>
  <c r="H4294" i="1"/>
  <c r="AE4294" i="1"/>
  <c r="I4294" i="1"/>
  <c r="J4294" i="1"/>
  <c r="K4294" i="1"/>
  <c r="AC4294" i="1"/>
  <c r="AJ4293" i="1"/>
  <c r="AK4293" i="1"/>
  <c r="AM4293" i="1"/>
  <c r="BF4293" i="1"/>
  <c r="BG4293" i="1"/>
  <c r="T4294" i="1"/>
  <c r="U4294" i="1"/>
  <c r="V4294" i="1"/>
  <c r="W4294" i="1"/>
  <c r="X4294" i="1"/>
  <c r="Y4294" i="1"/>
  <c r="Z4294" i="1"/>
  <c r="AB4294" i="1"/>
  <c r="AF4294" i="1"/>
  <c r="AI4294" i="1"/>
  <c r="H4295" i="1"/>
  <c r="AE4295" i="1"/>
  <c r="I4295" i="1"/>
  <c r="J4295" i="1"/>
  <c r="K4295" i="1"/>
  <c r="AC4295" i="1"/>
  <c r="AJ4294" i="1"/>
  <c r="AK4294" i="1"/>
  <c r="AM4294" i="1"/>
  <c r="BF4294" i="1"/>
  <c r="BG4294" i="1"/>
  <c r="T4295" i="1"/>
  <c r="U4295" i="1"/>
  <c r="V4295" i="1"/>
  <c r="W4295" i="1"/>
  <c r="X4295" i="1"/>
  <c r="Y4295" i="1"/>
  <c r="Z4295" i="1"/>
  <c r="AB4295" i="1"/>
  <c r="AF4295" i="1"/>
  <c r="AI4295" i="1"/>
  <c r="H4296" i="1"/>
  <c r="AE4296" i="1"/>
  <c r="I4296" i="1"/>
  <c r="J4296" i="1"/>
  <c r="K4296" i="1"/>
  <c r="AC4296" i="1"/>
  <c r="AJ4295" i="1"/>
  <c r="AK4295" i="1"/>
  <c r="AM4295" i="1"/>
  <c r="BF4295" i="1"/>
  <c r="BG4295" i="1"/>
  <c r="T4296" i="1"/>
  <c r="U4296" i="1"/>
  <c r="V4296" i="1"/>
  <c r="W4296" i="1"/>
  <c r="X4296" i="1"/>
  <c r="Y4296" i="1"/>
  <c r="Z4296" i="1"/>
  <c r="AB4296" i="1"/>
  <c r="AF4296" i="1"/>
  <c r="AI4296" i="1"/>
  <c r="AE4297" i="1"/>
  <c r="AC4297" i="1"/>
  <c r="AJ4296" i="1"/>
  <c r="AK4296" i="1"/>
  <c r="AM4296" i="1"/>
  <c r="BF4296" i="1"/>
  <c r="BG4296" i="1"/>
  <c r="T4297" i="1"/>
  <c r="U4297" i="1"/>
  <c r="V4297" i="1"/>
  <c r="W4297" i="1"/>
  <c r="X4297" i="1"/>
  <c r="Y4297" i="1"/>
  <c r="Z4297" i="1"/>
  <c r="AB4297" i="1"/>
  <c r="AF4297" i="1"/>
  <c r="AI4297" i="1"/>
  <c r="AE4298" i="1"/>
  <c r="AC4298" i="1"/>
  <c r="AJ4297" i="1"/>
  <c r="AK4297" i="1"/>
  <c r="AM4297" i="1"/>
  <c r="BF4297" i="1"/>
  <c r="BG4297" i="1"/>
  <c r="T4298" i="1"/>
  <c r="U4298" i="1"/>
  <c r="V4298" i="1"/>
  <c r="W4298" i="1"/>
  <c r="X4298" i="1"/>
  <c r="Y4298" i="1"/>
  <c r="Z4298" i="1"/>
  <c r="AB4298" i="1"/>
  <c r="AF4298" i="1"/>
  <c r="AI4298" i="1"/>
  <c r="H4299" i="1"/>
  <c r="AE4299" i="1"/>
  <c r="I4299" i="1"/>
  <c r="J4299" i="1"/>
  <c r="K4299" i="1"/>
  <c r="AC4299" i="1"/>
  <c r="AJ4298" i="1"/>
  <c r="AK4298" i="1"/>
  <c r="AM4298" i="1"/>
  <c r="BG4298" i="1"/>
  <c r="T4299" i="1"/>
  <c r="U4299" i="1"/>
  <c r="V4299" i="1"/>
  <c r="W4299" i="1"/>
  <c r="X4299" i="1"/>
  <c r="Y4299" i="1"/>
  <c r="Z4299" i="1"/>
  <c r="AB4299" i="1"/>
  <c r="AF4299" i="1"/>
  <c r="AI4299" i="1"/>
  <c r="AE4300" i="1"/>
  <c r="AC4300" i="1"/>
  <c r="AJ4299" i="1"/>
  <c r="AK4299" i="1"/>
  <c r="AM4299" i="1"/>
  <c r="BF4299" i="1"/>
  <c r="BG4299" i="1"/>
  <c r="T4300" i="1"/>
  <c r="U4300" i="1"/>
  <c r="V4300" i="1"/>
  <c r="W4300" i="1"/>
  <c r="X4300" i="1"/>
  <c r="Y4300" i="1"/>
  <c r="Z4300" i="1"/>
  <c r="AB4300" i="1"/>
  <c r="AF4300" i="1"/>
  <c r="AI4300" i="1"/>
  <c r="AE4301" i="1"/>
  <c r="AC4301" i="1"/>
  <c r="AJ4300" i="1"/>
  <c r="AK4300" i="1"/>
  <c r="AM4300" i="1"/>
  <c r="BF4300" i="1"/>
  <c r="BG4300" i="1"/>
  <c r="T4301" i="1"/>
  <c r="U4301" i="1"/>
  <c r="V4301" i="1"/>
  <c r="W4301" i="1"/>
  <c r="X4301" i="1"/>
  <c r="Y4301" i="1"/>
  <c r="Z4301" i="1"/>
  <c r="AB4301" i="1"/>
  <c r="AF4301" i="1"/>
  <c r="AI4301" i="1"/>
  <c r="H4302" i="1"/>
  <c r="AE4302" i="1"/>
  <c r="I4302" i="1"/>
  <c r="J4302" i="1"/>
  <c r="K4302" i="1"/>
  <c r="AC4302" i="1"/>
  <c r="AJ4301" i="1"/>
  <c r="AK4301" i="1"/>
  <c r="AM4301" i="1"/>
  <c r="BG4301" i="1"/>
  <c r="T4302" i="1"/>
  <c r="U4302" i="1"/>
  <c r="V4302" i="1"/>
  <c r="W4302" i="1"/>
  <c r="X4302" i="1"/>
  <c r="Y4302" i="1"/>
  <c r="Z4302" i="1"/>
  <c r="AB4302" i="1"/>
  <c r="AF4302" i="1"/>
  <c r="AI4302" i="1"/>
  <c r="AE4303" i="1"/>
  <c r="AC4303" i="1"/>
  <c r="AJ4302" i="1"/>
  <c r="AK4302" i="1"/>
  <c r="AM4302" i="1"/>
  <c r="BF4302" i="1"/>
  <c r="BG4302" i="1"/>
  <c r="T4303" i="1"/>
  <c r="U4303" i="1"/>
  <c r="V4303" i="1"/>
  <c r="W4303" i="1"/>
  <c r="X4303" i="1"/>
  <c r="Y4303" i="1"/>
  <c r="Z4303" i="1"/>
  <c r="AB4303" i="1"/>
  <c r="AF4303" i="1"/>
  <c r="AI4303" i="1"/>
  <c r="AE4304" i="1"/>
  <c r="AC4304" i="1"/>
  <c r="AJ4303" i="1"/>
  <c r="AK4303" i="1"/>
  <c r="AM4303" i="1"/>
  <c r="BF4303" i="1"/>
  <c r="BG4303" i="1"/>
  <c r="T4304" i="1"/>
  <c r="U4304" i="1"/>
  <c r="V4304" i="1"/>
  <c r="W4304" i="1"/>
  <c r="X4304" i="1"/>
  <c r="Y4304" i="1"/>
  <c r="Z4304" i="1"/>
  <c r="AB4304" i="1"/>
  <c r="AF4304" i="1"/>
  <c r="AI4304" i="1"/>
  <c r="H4305" i="1"/>
  <c r="AE4305" i="1"/>
  <c r="I4305" i="1"/>
  <c r="J4305" i="1"/>
  <c r="K4305" i="1"/>
  <c r="AC4305" i="1"/>
  <c r="AJ4304" i="1"/>
  <c r="AK4304" i="1"/>
  <c r="AM4304" i="1"/>
  <c r="BG4304" i="1"/>
  <c r="T4305" i="1"/>
  <c r="U4305" i="1"/>
  <c r="V4305" i="1"/>
  <c r="W4305" i="1"/>
  <c r="X4305" i="1"/>
  <c r="Y4305" i="1"/>
  <c r="Z4305" i="1"/>
  <c r="AB4305" i="1"/>
  <c r="AF4305" i="1"/>
  <c r="AI4305" i="1"/>
  <c r="H4306" i="1"/>
  <c r="AE4306" i="1"/>
  <c r="I4306" i="1"/>
  <c r="J4306" i="1"/>
  <c r="K4306" i="1"/>
  <c r="AC4306" i="1"/>
  <c r="AJ4305" i="1"/>
  <c r="AK4305" i="1"/>
  <c r="AM4305" i="1"/>
  <c r="BF4305" i="1"/>
  <c r="BG4305" i="1"/>
  <c r="T4306" i="1"/>
  <c r="U4306" i="1"/>
  <c r="V4306" i="1"/>
  <c r="W4306" i="1"/>
  <c r="X4306" i="1"/>
  <c r="Y4306" i="1"/>
  <c r="Z4306" i="1"/>
  <c r="AB4306" i="1"/>
  <c r="AF4306" i="1"/>
  <c r="AI4306" i="1"/>
  <c r="H4307" i="1"/>
  <c r="AE4307" i="1"/>
  <c r="I4307" i="1"/>
  <c r="J4307" i="1"/>
  <c r="K4307" i="1"/>
  <c r="AC4307" i="1"/>
  <c r="AJ4306" i="1"/>
  <c r="AK4306" i="1"/>
  <c r="AM4306" i="1"/>
  <c r="BF4306" i="1"/>
  <c r="BG4306" i="1"/>
  <c r="T4307" i="1"/>
  <c r="U4307" i="1"/>
  <c r="V4307" i="1"/>
  <c r="W4307" i="1"/>
  <c r="X4307" i="1"/>
  <c r="Y4307" i="1"/>
  <c r="Z4307" i="1"/>
  <c r="AB4307" i="1"/>
  <c r="AF4307" i="1"/>
  <c r="AI4307" i="1"/>
  <c r="H4308" i="1"/>
  <c r="AE4308" i="1"/>
  <c r="I4308" i="1"/>
  <c r="J4308" i="1"/>
  <c r="K4308" i="1"/>
  <c r="AC4308" i="1"/>
  <c r="AJ4307" i="1"/>
  <c r="AK4307" i="1"/>
  <c r="AM4307" i="1"/>
  <c r="BF4307" i="1"/>
  <c r="BG4307" i="1"/>
  <c r="T4308" i="1"/>
  <c r="U4308" i="1"/>
  <c r="V4308" i="1"/>
  <c r="W4308" i="1"/>
  <c r="X4308" i="1"/>
  <c r="Y4308" i="1"/>
  <c r="Z4308" i="1"/>
  <c r="AB4308" i="1"/>
  <c r="AF4308" i="1"/>
  <c r="AI4308" i="1"/>
  <c r="H4309" i="1"/>
  <c r="AE4309" i="1"/>
  <c r="I4309" i="1"/>
  <c r="J4309" i="1"/>
  <c r="K4309" i="1"/>
  <c r="AC4309" i="1"/>
  <c r="AJ4308" i="1"/>
  <c r="AK4308" i="1"/>
  <c r="AM4308" i="1"/>
  <c r="BF4308" i="1"/>
  <c r="BG4308" i="1"/>
  <c r="T4309" i="1"/>
  <c r="U4309" i="1"/>
  <c r="V4309" i="1"/>
  <c r="W4309" i="1"/>
  <c r="X4309" i="1"/>
  <c r="Y4309" i="1"/>
  <c r="Z4309" i="1"/>
  <c r="AB4309" i="1"/>
  <c r="AF4309" i="1"/>
  <c r="AI4309" i="1"/>
  <c r="H4310" i="1"/>
  <c r="AE4310" i="1"/>
  <c r="I4310" i="1"/>
  <c r="J4310" i="1"/>
  <c r="K4310" i="1"/>
  <c r="AC4310" i="1"/>
  <c r="AJ4309" i="1"/>
  <c r="AK4309" i="1"/>
  <c r="AM4309" i="1"/>
  <c r="BF4309" i="1"/>
  <c r="BG4309" i="1"/>
  <c r="T4310" i="1"/>
  <c r="U4310" i="1"/>
  <c r="V4310" i="1"/>
  <c r="W4310" i="1"/>
  <c r="X4310" i="1"/>
  <c r="Y4310" i="1"/>
  <c r="Z4310" i="1"/>
  <c r="AB4310" i="1"/>
  <c r="AF4310" i="1"/>
  <c r="AI4310" i="1"/>
  <c r="H4311" i="1"/>
  <c r="AE4311" i="1"/>
  <c r="I4311" i="1"/>
  <c r="J4311" i="1"/>
  <c r="K4311" i="1"/>
  <c r="AC4311" i="1"/>
  <c r="AJ4310" i="1"/>
  <c r="AK4310" i="1"/>
  <c r="AM4310" i="1"/>
  <c r="BF4310" i="1"/>
  <c r="BG4310" i="1"/>
  <c r="T4311" i="1"/>
  <c r="U4311" i="1"/>
  <c r="V4311" i="1"/>
  <c r="W4311" i="1"/>
  <c r="X4311" i="1"/>
  <c r="Y4311" i="1"/>
  <c r="Z4311" i="1"/>
  <c r="AB4311" i="1"/>
  <c r="AF4311" i="1"/>
  <c r="AI4311" i="1"/>
  <c r="H4312" i="1"/>
  <c r="AE4312" i="1"/>
  <c r="I4312" i="1"/>
  <c r="J4312" i="1"/>
  <c r="K4312" i="1"/>
  <c r="AC4312" i="1"/>
  <c r="AJ4311" i="1"/>
  <c r="AK4311" i="1"/>
  <c r="AM4311" i="1"/>
  <c r="BF4311" i="1"/>
  <c r="BG4311" i="1"/>
  <c r="T4312" i="1"/>
  <c r="U4312" i="1"/>
  <c r="V4312" i="1"/>
  <c r="W4312" i="1"/>
  <c r="X4312" i="1"/>
  <c r="Y4312" i="1"/>
  <c r="Z4312" i="1"/>
  <c r="AB4312" i="1"/>
  <c r="AF4312" i="1"/>
  <c r="AI4312" i="1"/>
  <c r="H4313" i="1"/>
  <c r="AE4313" i="1"/>
  <c r="I4313" i="1"/>
  <c r="J4313" i="1"/>
  <c r="K4313" i="1"/>
  <c r="AC4313" i="1"/>
  <c r="AJ4312" i="1"/>
  <c r="AK4312" i="1"/>
  <c r="AM4312" i="1"/>
  <c r="BF4312" i="1"/>
  <c r="BG4312" i="1"/>
  <c r="T4313" i="1"/>
  <c r="U4313" i="1"/>
  <c r="V4313" i="1"/>
  <c r="W4313" i="1"/>
  <c r="X4313" i="1"/>
  <c r="Y4313" i="1"/>
  <c r="Z4313" i="1"/>
  <c r="AB4313" i="1"/>
  <c r="AF4313" i="1"/>
  <c r="AI4313" i="1"/>
  <c r="AE4314" i="1"/>
  <c r="AC4314" i="1"/>
  <c r="AJ4313" i="1"/>
  <c r="AK4313" i="1"/>
  <c r="AM4313" i="1"/>
  <c r="BF4313" i="1"/>
  <c r="BG4313" i="1"/>
  <c r="T4314" i="1"/>
  <c r="U4314" i="1"/>
  <c r="V4314" i="1"/>
  <c r="W4314" i="1"/>
  <c r="X4314" i="1"/>
  <c r="Y4314" i="1"/>
  <c r="Z4314" i="1"/>
  <c r="AB4314" i="1"/>
  <c r="AF4314" i="1"/>
  <c r="AI4314" i="1"/>
  <c r="AE4315" i="1"/>
  <c r="AC4315" i="1"/>
  <c r="AJ4314" i="1"/>
  <c r="AK4314" i="1"/>
  <c r="AM4314" i="1"/>
  <c r="BF4314" i="1"/>
  <c r="BG4314" i="1"/>
  <c r="T4315" i="1"/>
  <c r="U4315" i="1"/>
  <c r="V4315" i="1"/>
  <c r="W4315" i="1"/>
  <c r="X4315" i="1"/>
  <c r="Y4315" i="1"/>
  <c r="Z4315" i="1"/>
  <c r="AB4315" i="1"/>
  <c r="AF4315" i="1"/>
  <c r="AI4315" i="1"/>
  <c r="H4316" i="1"/>
  <c r="AE4316" i="1"/>
  <c r="I4316" i="1"/>
  <c r="J4316" i="1"/>
  <c r="K4316" i="1"/>
  <c r="AC4316" i="1"/>
  <c r="AJ4315" i="1"/>
  <c r="AK4315" i="1"/>
  <c r="AM4315" i="1"/>
  <c r="BG4315" i="1"/>
  <c r="T4316" i="1"/>
  <c r="U4316" i="1"/>
  <c r="V4316" i="1"/>
  <c r="W4316" i="1"/>
  <c r="X4316" i="1"/>
  <c r="Y4316" i="1"/>
  <c r="Z4316" i="1"/>
  <c r="AB4316" i="1"/>
  <c r="AF4316" i="1"/>
  <c r="AI4316" i="1"/>
  <c r="AE4317" i="1"/>
  <c r="AC4317" i="1"/>
  <c r="AJ4316" i="1"/>
  <c r="AK4316" i="1"/>
  <c r="AM4316" i="1"/>
  <c r="BF4316" i="1"/>
  <c r="BG4316" i="1"/>
  <c r="T4317" i="1"/>
  <c r="U4317" i="1"/>
  <c r="V4317" i="1"/>
  <c r="W4317" i="1"/>
  <c r="X4317" i="1"/>
  <c r="Y4317" i="1"/>
  <c r="Z4317" i="1"/>
  <c r="AB4317" i="1"/>
  <c r="AF4317" i="1"/>
  <c r="AI4317" i="1"/>
  <c r="AE4318" i="1"/>
  <c r="AC4318" i="1"/>
  <c r="AJ4317" i="1"/>
  <c r="AK4317" i="1"/>
  <c r="AM4317" i="1"/>
  <c r="BF4317" i="1"/>
  <c r="BG4317" i="1"/>
  <c r="T4318" i="1"/>
  <c r="U4318" i="1"/>
  <c r="V4318" i="1"/>
  <c r="W4318" i="1"/>
  <c r="X4318" i="1"/>
  <c r="Y4318" i="1"/>
  <c r="Z4318" i="1"/>
  <c r="AB4318" i="1"/>
  <c r="AF4318" i="1"/>
  <c r="AI4318" i="1"/>
  <c r="H4319" i="1"/>
  <c r="AE4319" i="1"/>
  <c r="I4319" i="1"/>
  <c r="J4319" i="1"/>
  <c r="K4319" i="1"/>
  <c r="AC4319" i="1"/>
  <c r="AJ4318" i="1"/>
  <c r="AK4318" i="1"/>
  <c r="AM4318" i="1"/>
  <c r="BG4318" i="1"/>
  <c r="T4319" i="1"/>
  <c r="U4319" i="1"/>
  <c r="V4319" i="1"/>
  <c r="W4319" i="1"/>
  <c r="X4319" i="1"/>
  <c r="Y4319" i="1"/>
  <c r="Z4319" i="1"/>
  <c r="AB4319" i="1"/>
  <c r="AF4319" i="1"/>
  <c r="AI4319" i="1"/>
  <c r="H4320" i="1"/>
  <c r="AE4320" i="1"/>
  <c r="I4320" i="1"/>
  <c r="J4320" i="1"/>
  <c r="K4320" i="1"/>
  <c r="AC4320" i="1"/>
  <c r="AJ4319" i="1"/>
  <c r="AK4319" i="1"/>
  <c r="AM4319" i="1"/>
  <c r="BF4319" i="1"/>
  <c r="BG4319" i="1"/>
  <c r="T4320" i="1"/>
  <c r="U4320" i="1"/>
  <c r="V4320" i="1"/>
  <c r="W4320" i="1"/>
  <c r="X4320" i="1"/>
  <c r="Y4320" i="1"/>
  <c r="Z4320" i="1"/>
  <c r="AB4320" i="1"/>
  <c r="AF4320" i="1"/>
  <c r="AI4320" i="1"/>
  <c r="H4321" i="1"/>
  <c r="AE4321" i="1"/>
  <c r="I4321" i="1"/>
  <c r="J4321" i="1"/>
  <c r="K4321" i="1"/>
  <c r="AC4321" i="1"/>
  <c r="AJ4320" i="1"/>
  <c r="AK4320" i="1"/>
  <c r="AM4320" i="1"/>
  <c r="BF4320" i="1"/>
  <c r="BG4320" i="1"/>
  <c r="T4321" i="1"/>
  <c r="U4321" i="1"/>
  <c r="V4321" i="1"/>
  <c r="W4321" i="1"/>
  <c r="X4321" i="1"/>
  <c r="Y4321" i="1"/>
  <c r="Z4321" i="1"/>
  <c r="AB4321" i="1"/>
  <c r="AF4321" i="1"/>
  <c r="AI4321" i="1"/>
  <c r="AE4322" i="1"/>
  <c r="AC4322" i="1"/>
  <c r="AJ4321" i="1"/>
  <c r="AK4321" i="1"/>
  <c r="AM4321" i="1"/>
  <c r="BF4321" i="1"/>
  <c r="BG4321" i="1"/>
  <c r="T4322" i="1"/>
  <c r="U4322" i="1"/>
  <c r="V4322" i="1"/>
  <c r="W4322" i="1"/>
  <c r="X4322" i="1"/>
  <c r="Y4322" i="1"/>
  <c r="Z4322" i="1"/>
  <c r="AB4322" i="1"/>
  <c r="AF4322" i="1"/>
  <c r="AI4322" i="1"/>
  <c r="AE4323" i="1"/>
  <c r="AC4323" i="1"/>
  <c r="AJ4322" i="1"/>
  <c r="AK4322" i="1"/>
  <c r="AM4322" i="1"/>
  <c r="BF4322" i="1"/>
  <c r="BG4322" i="1"/>
  <c r="T4323" i="1"/>
  <c r="U4323" i="1"/>
  <c r="V4323" i="1"/>
  <c r="W4323" i="1"/>
  <c r="X4323" i="1"/>
  <c r="Y4323" i="1"/>
  <c r="Z4323" i="1"/>
  <c r="AB4323" i="1"/>
  <c r="AF4323" i="1"/>
  <c r="AI4323" i="1"/>
  <c r="H4324" i="1"/>
  <c r="AE4324" i="1"/>
  <c r="I4324" i="1"/>
  <c r="J4324" i="1"/>
  <c r="K4324" i="1"/>
  <c r="AC4324" i="1"/>
  <c r="AJ4323" i="1"/>
  <c r="AK4323" i="1"/>
  <c r="AM4323" i="1"/>
  <c r="BG4323" i="1"/>
  <c r="T4324" i="1"/>
  <c r="U4324" i="1"/>
  <c r="V4324" i="1"/>
  <c r="W4324" i="1"/>
  <c r="X4324" i="1"/>
  <c r="Y4324" i="1"/>
  <c r="Z4324" i="1"/>
  <c r="AB4324" i="1"/>
  <c r="AF4324" i="1"/>
  <c r="AI4324" i="1"/>
  <c r="AE4325" i="1"/>
  <c r="AC4325" i="1"/>
  <c r="AJ4324" i="1"/>
  <c r="AK4324" i="1"/>
  <c r="AM4324" i="1"/>
  <c r="BF4324" i="1"/>
  <c r="BG4324" i="1"/>
  <c r="T4325" i="1"/>
  <c r="U4325" i="1"/>
  <c r="V4325" i="1"/>
  <c r="W4325" i="1"/>
  <c r="X4325" i="1"/>
  <c r="Y4325" i="1"/>
  <c r="Z4325" i="1"/>
  <c r="AB4325" i="1"/>
  <c r="AF4325" i="1"/>
  <c r="AI4325" i="1"/>
  <c r="AE4326" i="1"/>
  <c r="AC4326" i="1"/>
  <c r="AJ4325" i="1"/>
  <c r="AK4325" i="1"/>
  <c r="AM4325" i="1"/>
  <c r="BF4325" i="1"/>
  <c r="BG4325" i="1"/>
  <c r="T4326" i="1"/>
  <c r="U4326" i="1"/>
  <c r="V4326" i="1"/>
  <c r="W4326" i="1"/>
  <c r="X4326" i="1"/>
  <c r="Y4326" i="1"/>
  <c r="Z4326" i="1"/>
  <c r="AB4326" i="1"/>
  <c r="AF4326" i="1"/>
  <c r="AI4326" i="1"/>
  <c r="H4327" i="1"/>
  <c r="AE4327" i="1"/>
  <c r="I4327" i="1"/>
  <c r="J4327" i="1"/>
  <c r="K4327" i="1"/>
  <c r="AC4327" i="1"/>
  <c r="AJ4326" i="1"/>
  <c r="AK4326" i="1"/>
  <c r="AM4326" i="1"/>
  <c r="BG4326" i="1"/>
  <c r="T4327" i="1"/>
  <c r="U4327" i="1"/>
  <c r="V4327" i="1"/>
  <c r="W4327" i="1"/>
  <c r="X4327" i="1"/>
  <c r="Y4327" i="1"/>
  <c r="Z4327" i="1"/>
  <c r="AB4327" i="1"/>
  <c r="AF4327" i="1"/>
  <c r="AI4327" i="1"/>
  <c r="H4328" i="1"/>
  <c r="AE4328" i="1"/>
  <c r="I4328" i="1"/>
  <c r="J4328" i="1"/>
  <c r="K4328" i="1"/>
  <c r="AC4328" i="1"/>
  <c r="AJ4327" i="1"/>
  <c r="AK4327" i="1"/>
  <c r="AM4327" i="1"/>
  <c r="BF4327" i="1"/>
  <c r="BG4327" i="1"/>
  <c r="T4328" i="1"/>
  <c r="U4328" i="1"/>
  <c r="V4328" i="1"/>
  <c r="W4328" i="1"/>
  <c r="X4328" i="1"/>
  <c r="Y4328" i="1"/>
  <c r="Z4328" i="1"/>
  <c r="AB4328" i="1"/>
  <c r="AF4328" i="1"/>
  <c r="AI4328" i="1"/>
  <c r="AE4329" i="1"/>
  <c r="AC4329" i="1"/>
  <c r="AJ4328" i="1"/>
  <c r="AK4328" i="1"/>
  <c r="AM4328" i="1"/>
  <c r="BF4328" i="1"/>
  <c r="BG4328" i="1"/>
  <c r="T4329" i="1"/>
  <c r="U4329" i="1"/>
  <c r="V4329" i="1"/>
  <c r="W4329" i="1"/>
  <c r="X4329" i="1"/>
  <c r="Y4329" i="1"/>
  <c r="Z4329" i="1"/>
  <c r="AB4329" i="1"/>
  <c r="AF4329" i="1"/>
  <c r="AI4329" i="1"/>
  <c r="AE4330" i="1"/>
  <c r="AC4330" i="1"/>
  <c r="AJ4329" i="1"/>
  <c r="AK4329" i="1"/>
  <c r="AM4329" i="1"/>
  <c r="BF4329" i="1"/>
  <c r="BG4329" i="1"/>
  <c r="T4330" i="1"/>
  <c r="U4330" i="1"/>
  <c r="V4330" i="1"/>
  <c r="W4330" i="1"/>
  <c r="X4330" i="1"/>
  <c r="Y4330" i="1"/>
  <c r="Z4330" i="1"/>
  <c r="AB4330" i="1"/>
  <c r="AF4330" i="1"/>
  <c r="AI4330" i="1"/>
  <c r="H4331" i="1"/>
  <c r="AE4331" i="1"/>
  <c r="I4331" i="1"/>
  <c r="J4331" i="1"/>
  <c r="K4331" i="1"/>
  <c r="AC4331" i="1"/>
  <c r="AJ4330" i="1"/>
  <c r="AK4330" i="1"/>
  <c r="AM4330" i="1"/>
  <c r="BG4330" i="1"/>
  <c r="T4331" i="1"/>
  <c r="U4331" i="1"/>
  <c r="V4331" i="1"/>
  <c r="W4331" i="1"/>
  <c r="X4331" i="1"/>
  <c r="Y4331" i="1"/>
  <c r="Z4331" i="1"/>
  <c r="AB4331" i="1"/>
  <c r="AF4331" i="1"/>
  <c r="AI4331" i="1"/>
  <c r="AE4332" i="1"/>
  <c r="AC4332" i="1"/>
  <c r="AJ4331" i="1"/>
  <c r="AK4331" i="1"/>
  <c r="AM4331" i="1"/>
  <c r="BF4331" i="1"/>
  <c r="BG4331" i="1"/>
  <c r="T4332" i="1"/>
  <c r="U4332" i="1"/>
  <c r="V4332" i="1"/>
  <c r="W4332" i="1"/>
  <c r="X4332" i="1"/>
  <c r="Y4332" i="1"/>
  <c r="Z4332" i="1"/>
  <c r="AB4332" i="1"/>
  <c r="AF4332" i="1"/>
  <c r="AI4332" i="1"/>
  <c r="AE4333" i="1"/>
  <c r="AC4333" i="1"/>
  <c r="AJ4332" i="1"/>
  <c r="AK4332" i="1"/>
  <c r="AM4332" i="1"/>
  <c r="BF4332" i="1"/>
  <c r="BG4332" i="1"/>
  <c r="T4333" i="1"/>
  <c r="U4333" i="1"/>
  <c r="V4333" i="1"/>
  <c r="W4333" i="1"/>
  <c r="X4333" i="1"/>
  <c r="Y4333" i="1"/>
  <c r="Z4333" i="1"/>
  <c r="AB4333" i="1"/>
  <c r="AF4333" i="1"/>
  <c r="AI4333" i="1"/>
  <c r="H4334" i="1"/>
  <c r="AE4334" i="1"/>
  <c r="I4334" i="1"/>
  <c r="J4334" i="1"/>
  <c r="K4334" i="1"/>
  <c r="AC4334" i="1"/>
  <c r="AJ4333" i="1"/>
  <c r="AK4333" i="1"/>
  <c r="AM4333" i="1"/>
  <c r="BG4333" i="1"/>
  <c r="T4334" i="1"/>
  <c r="U4334" i="1"/>
  <c r="V4334" i="1"/>
  <c r="W4334" i="1"/>
  <c r="X4334" i="1"/>
  <c r="Y4334" i="1"/>
  <c r="Z4334" i="1"/>
  <c r="AB4334" i="1"/>
  <c r="AF4334" i="1"/>
  <c r="AI4334" i="1"/>
  <c r="AE4335" i="1"/>
  <c r="AC4335" i="1"/>
  <c r="AJ4334" i="1"/>
  <c r="AK4334" i="1"/>
  <c r="AM4334" i="1"/>
  <c r="BF4334" i="1"/>
  <c r="BG4334" i="1"/>
  <c r="T4335" i="1"/>
  <c r="U4335" i="1"/>
  <c r="V4335" i="1"/>
  <c r="W4335" i="1"/>
  <c r="X4335" i="1"/>
  <c r="Y4335" i="1"/>
  <c r="Z4335" i="1"/>
  <c r="AB4335" i="1"/>
  <c r="AF4335" i="1"/>
  <c r="AI4335" i="1"/>
  <c r="AE4336" i="1"/>
  <c r="AC4336" i="1"/>
  <c r="AJ4335" i="1"/>
  <c r="AK4335" i="1"/>
  <c r="AM4335" i="1"/>
  <c r="BF4335" i="1"/>
  <c r="BG4335" i="1"/>
  <c r="T4336" i="1"/>
  <c r="U4336" i="1"/>
  <c r="V4336" i="1"/>
  <c r="W4336" i="1"/>
  <c r="X4336" i="1"/>
  <c r="Y4336" i="1"/>
  <c r="Z4336" i="1"/>
  <c r="AB4336" i="1"/>
  <c r="AF4336" i="1"/>
  <c r="AI4336" i="1"/>
  <c r="H4337" i="1"/>
  <c r="AE4337" i="1"/>
  <c r="I4337" i="1"/>
  <c r="J4337" i="1"/>
  <c r="K4337" i="1"/>
  <c r="AC4337" i="1"/>
  <c r="AJ4336" i="1"/>
  <c r="AK4336" i="1"/>
  <c r="AM4336" i="1"/>
  <c r="BG4336" i="1"/>
  <c r="T4337" i="1"/>
  <c r="U4337" i="1"/>
  <c r="V4337" i="1"/>
  <c r="W4337" i="1"/>
  <c r="X4337" i="1"/>
  <c r="Y4337" i="1"/>
  <c r="Z4337" i="1"/>
  <c r="AB4337" i="1"/>
  <c r="AF4337" i="1"/>
  <c r="AI4337" i="1"/>
  <c r="H4338" i="1"/>
  <c r="AE4338" i="1"/>
  <c r="I4338" i="1"/>
  <c r="J4338" i="1"/>
  <c r="K4338" i="1"/>
  <c r="AC4338" i="1"/>
  <c r="AJ4337" i="1"/>
  <c r="AK4337" i="1"/>
  <c r="AM4337" i="1"/>
  <c r="BF4337" i="1"/>
  <c r="BG4337" i="1"/>
  <c r="T4338" i="1"/>
  <c r="U4338" i="1"/>
  <c r="V4338" i="1"/>
  <c r="W4338" i="1"/>
  <c r="X4338" i="1"/>
  <c r="Y4338" i="1"/>
  <c r="Z4338" i="1"/>
  <c r="AB4338" i="1"/>
  <c r="AF4338" i="1"/>
  <c r="AI4338" i="1"/>
  <c r="H4339" i="1"/>
  <c r="AE4339" i="1"/>
  <c r="I4339" i="1"/>
  <c r="J4339" i="1"/>
  <c r="K4339" i="1"/>
  <c r="AC4339" i="1"/>
  <c r="AJ4338" i="1"/>
  <c r="AK4338" i="1"/>
  <c r="AM4338" i="1"/>
  <c r="BF4338" i="1"/>
  <c r="BG4338" i="1"/>
  <c r="T4339" i="1"/>
  <c r="U4339" i="1"/>
  <c r="V4339" i="1"/>
  <c r="W4339" i="1"/>
  <c r="X4339" i="1"/>
  <c r="Y4339" i="1"/>
  <c r="Z4339" i="1"/>
  <c r="AB4339" i="1"/>
  <c r="AF4339" i="1"/>
  <c r="AI4339" i="1"/>
  <c r="H4340" i="1"/>
  <c r="AE4340" i="1"/>
  <c r="I4340" i="1"/>
  <c r="J4340" i="1"/>
  <c r="K4340" i="1"/>
  <c r="AC4340" i="1"/>
  <c r="AJ4339" i="1"/>
  <c r="AK4339" i="1"/>
  <c r="AM4339" i="1"/>
  <c r="BF4339" i="1"/>
  <c r="BG4339" i="1"/>
  <c r="T4340" i="1"/>
  <c r="U4340" i="1"/>
  <c r="V4340" i="1"/>
  <c r="W4340" i="1"/>
  <c r="X4340" i="1"/>
  <c r="Y4340" i="1"/>
  <c r="Z4340" i="1"/>
  <c r="AB4340" i="1"/>
  <c r="AF4340" i="1"/>
  <c r="AI4340" i="1"/>
  <c r="H4341" i="1"/>
  <c r="AE4341" i="1"/>
  <c r="I4341" i="1"/>
  <c r="J4341" i="1"/>
  <c r="K4341" i="1"/>
  <c r="AC4341" i="1"/>
  <c r="AJ4340" i="1"/>
  <c r="AK4340" i="1"/>
  <c r="AM4340" i="1"/>
  <c r="BF4340" i="1"/>
  <c r="BG4340" i="1"/>
  <c r="T4341" i="1"/>
  <c r="U4341" i="1"/>
  <c r="V4341" i="1"/>
  <c r="W4341" i="1"/>
  <c r="X4341" i="1"/>
  <c r="Y4341" i="1"/>
  <c r="Z4341" i="1"/>
  <c r="AB4341" i="1"/>
  <c r="AF4341" i="1"/>
  <c r="AI4341" i="1"/>
  <c r="AE4342" i="1"/>
  <c r="AC4342" i="1"/>
  <c r="AJ4341" i="1"/>
  <c r="AK4341" i="1"/>
  <c r="AM4341" i="1"/>
  <c r="BF4341" i="1"/>
  <c r="BG4341" i="1"/>
  <c r="T4342" i="1"/>
  <c r="U4342" i="1"/>
  <c r="V4342" i="1"/>
  <c r="W4342" i="1"/>
  <c r="X4342" i="1"/>
  <c r="Y4342" i="1"/>
  <c r="Z4342" i="1"/>
  <c r="AB4342" i="1"/>
  <c r="AF4342" i="1"/>
  <c r="AI4342" i="1"/>
  <c r="AE4343" i="1"/>
  <c r="AC4343" i="1"/>
  <c r="AJ4342" i="1"/>
  <c r="AK4342" i="1"/>
  <c r="AM4342" i="1"/>
  <c r="BF4342" i="1"/>
  <c r="BG4342" i="1"/>
  <c r="T4343" i="1"/>
  <c r="U4343" i="1"/>
  <c r="V4343" i="1"/>
  <c r="W4343" i="1"/>
  <c r="X4343" i="1"/>
  <c r="Y4343" i="1"/>
  <c r="Z4343" i="1"/>
  <c r="AB4343" i="1"/>
  <c r="AF4343" i="1"/>
  <c r="AI4343" i="1"/>
  <c r="H4344" i="1"/>
  <c r="AE4344" i="1"/>
  <c r="I4344" i="1"/>
  <c r="J4344" i="1"/>
  <c r="K4344" i="1"/>
  <c r="AC4344" i="1"/>
  <c r="AJ4343" i="1"/>
  <c r="AK4343" i="1"/>
  <c r="AM4343" i="1"/>
  <c r="BG4343" i="1"/>
  <c r="T4344" i="1"/>
  <c r="U4344" i="1"/>
  <c r="V4344" i="1"/>
  <c r="W4344" i="1"/>
  <c r="X4344" i="1"/>
  <c r="Y4344" i="1"/>
  <c r="Z4344" i="1"/>
  <c r="AB4344" i="1"/>
  <c r="AF4344" i="1"/>
  <c r="AI4344" i="1"/>
  <c r="AE4345" i="1"/>
  <c r="AC4345" i="1"/>
  <c r="AJ4344" i="1"/>
  <c r="AK4344" i="1"/>
  <c r="AM4344" i="1"/>
  <c r="BF4344" i="1"/>
  <c r="BG4344" i="1"/>
  <c r="T4345" i="1"/>
  <c r="U4345" i="1"/>
  <c r="V4345" i="1"/>
  <c r="W4345" i="1"/>
  <c r="X4345" i="1"/>
  <c r="Y4345" i="1"/>
  <c r="Z4345" i="1"/>
  <c r="AB4345" i="1"/>
  <c r="AF4345" i="1"/>
  <c r="AI4345" i="1"/>
  <c r="AE4346" i="1"/>
  <c r="AC4346" i="1"/>
  <c r="AJ4345" i="1"/>
  <c r="AK4345" i="1"/>
  <c r="AM4345" i="1"/>
  <c r="BF4345" i="1"/>
  <c r="BG4345" i="1"/>
  <c r="T4346" i="1"/>
  <c r="U4346" i="1"/>
  <c r="V4346" i="1"/>
  <c r="W4346" i="1"/>
  <c r="X4346" i="1"/>
  <c r="Y4346" i="1"/>
  <c r="Z4346" i="1"/>
  <c r="AB4346" i="1"/>
  <c r="AF4346" i="1"/>
  <c r="AI4346" i="1"/>
  <c r="H4347" i="1"/>
  <c r="AE4347" i="1"/>
  <c r="I4347" i="1"/>
  <c r="J4347" i="1"/>
  <c r="K4347" i="1"/>
  <c r="AC4347" i="1"/>
  <c r="AJ4346" i="1"/>
  <c r="AK4346" i="1"/>
  <c r="AM4346" i="1"/>
  <c r="BG4346" i="1"/>
  <c r="T4347" i="1"/>
  <c r="U4347" i="1"/>
  <c r="V4347" i="1"/>
  <c r="W4347" i="1"/>
  <c r="X4347" i="1"/>
  <c r="Y4347" i="1"/>
  <c r="Z4347" i="1"/>
  <c r="AB4347" i="1"/>
  <c r="AF4347" i="1"/>
  <c r="AI4347" i="1"/>
  <c r="H4348" i="1"/>
  <c r="AE4348" i="1"/>
  <c r="I4348" i="1"/>
  <c r="J4348" i="1"/>
  <c r="K4348" i="1"/>
  <c r="AC4348" i="1"/>
  <c r="AJ4347" i="1"/>
  <c r="AK4347" i="1"/>
  <c r="AM4347" i="1"/>
  <c r="BF4347" i="1"/>
  <c r="BG4347" i="1"/>
  <c r="T4348" i="1"/>
  <c r="U4348" i="1"/>
  <c r="V4348" i="1"/>
  <c r="W4348" i="1"/>
  <c r="X4348" i="1"/>
  <c r="Y4348" i="1"/>
  <c r="Z4348" i="1"/>
  <c r="AB4348" i="1"/>
  <c r="AF4348" i="1"/>
  <c r="AI4348" i="1"/>
  <c r="H4349" i="1"/>
  <c r="AE4349" i="1"/>
  <c r="I4349" i="1"/>
  <c r="J4349" i="1"/>
  <c r="K4349" i="1"/>
  <c r="AC4349" i="1"/>
  <c r="AJ4348" i="1"/>
  <c r="AK4348" i="1"/>
  <c r="AM4348" i="1"/>
  <c r="BF4348" i="1"/>
  <c r="BG4348" i="1"/>
  <c r="T4349" i="1"/>
  <c r="U4349" i="1"/>
  <c r="V4349" i="1"/>
  <c r="W4349" i="1"/>
  <c r="X4349" i="1"/>
  <c r="Y4349" i="1"/>
  <c r="Z4349" i="1"/>
  <c r="AB4349" i="1"/>
  <c r="AF4349" i="1"/>
  <c r="AI4349" i="1"/>
  <c r="H4350" i="1"/>
  <c r="AE4350" i="1"/>
  <c r="I4350" i="1"/>
  <c r="J4350" i="1"/>
  <c r="K4350" i="1"/>
  <c r="AC4350" i="1"/>
  <c r="AJ4349" i="1"/>
  <c r="AK4349" i="1"/>
  <c r="AM4349" i="1"/>
  <c r="BF4349" i="1"/>
  <c r="BG4349" i="1"/>
  <c r="T4350" i="1"/>
  <c r="U4350" i="1"/>
  <c r="V4350" i="1"/>
  <c r="W4350" i="1"/>
  <c r="X4350" i="1"/>
  <c r="Y4350" i="1"/>
  <c r="Z4350" i="1"/>
  <c r="AB4350" i="1"/>
  <c r="AF4350" i="1"/>
  <c r="AI4350" i="1"/>
  <c r="AE4351" i="1"/>
  <c r="AC4351" i="1"/>
  <c r="AJ4350" i="1"/>
  <c r="AK4350" i="1"/>
  <c r="AM4350" i="1"/>
  <c r="BF4350" i="1"/>
  <c r="BG4350" i="1"/>
  <c r="T4351" i="1"/>
  <c r="U4351" i="1"/>
  <c r="V4351" i="1"/>
  <c r="W4351" i="1"/>
  <c r="X4351" i="1"/>
  <c r="Y4351" i="1"/>
  <c r="Z4351" i="1"/>
  <c r="AB4351" i="1"/>
  <c r="AF4351" i="1"/>
  <c r="AI4351" i="1"/>
  <c r="AE4352" i="1"/>
  <c r="AC4352" i="1"/>
  <c r="AJ4351" i="1"/>
  <c r="AK4351" i="1"/>
  <c r="AM4351" i="1"/>
  <c r="BF4351" i="1"/>
  <c r="BG4351" i="1"/>
  <c r="T4352" i="1"/>
  <c r="U4352" i="1"/>
  <c r="V4352" i="1"/>
  <c r="W4352" i="1"/>
  <c r="X4352" i="1"/>
  <c r="Y4352" i="1"/>
  <c r="Z4352" i="1"/>
  <c r="AB4352" i="1"/>
  <c r="AF4352" i="1"/>
  <c r="AI4352" i="1"/>
  <c r="H4353" i="1"/>
  <c r="AE4353" i="1"/>
  <c r="I4353" i="1"/>
  <c r="J4353" i="1"/>
  <c r="K4353" i="1"/>
  <c r="AC4353" i="1"/>
  <c r="AJ4352" i="1"/>
  <c r="AK4352" i="1"/>
  <c r="AM4352" i="1"/>
  <c r="BG4352" i="1"/>
  <c r="T4353" i="1"/>
  <c r="U4353" i="1"/>
  <c r="V4353" i="1"/>
  <c r="W4353" i="1"/>
  <c r="X4353" i="1"/>
  <c r="Y4353" i="1"/>
  <c r="Z4353" i="1"/>
  <c r="AB4353" i="1"/>
  <c r="AF4353" i="1"/>
  <c r="AI4353" i="1"/>
  <c r="H4354" i="1"/>
  <c r="AE4354" i="1"/>
  <c r="I4354" i="1"/>
  <c r="J4354" i="1"/>
  <c r="K4354" i="1"/>
  <c r="AC4354" i="1"/>
  <c r="AJ4353" i="1"/>
  <c r="AK4353" i="1"/>
  <c r="AM4353" i="1"/>
  <c r="BF4353" i="1"/>
  <c r="BG4353" i="1"/>
  <c r="T4354" i="1"/>
  <c r="U4354" i="1"/>
  <c r="V4354" i="1"/>
  <c r="W4354" i="1"/>
  <c r="X4354" i="1"/>
  <c r="Y4354" i="1"/>
  <c r="Z4354" i="1"/>
  <c r="AB4354" i="1"/>
  <c r="AF4354" i="1"/>
  <c r="AI4354" i="1"/>
  <c r="AE4355" i="1"/>
  <c r="AC4355" i="1"/>
  <c r="AJ4354" i="1"/>
  <c r="AK4354" i="1"/>
  <c r="AM4354" i="1"/>
  <c r="BF4354" i="1"/>
  <c r="BG4354" i="1"/>
  <c r="T4355" i="1"/>
  <c r="U4355" i="1"/>
  <c r="V4355" i="1"/>
  <c r="W4355" i="1"/>
  <c r="X4355" i="1"/>
  <c r="Y4355" i="1"/>
  <c r="Z4355" i="1"/>
  <c r="AB4355" i="1"/>
  <c r="AF4355" i="1"/>
  <c r="AI4355" i="1"/>
  <c r="AE4356" i="1"/>
  <c r="AC4356" i="1"/>
  <c r="AJ4355" i="1"/>
  <c r="AK4355" i="1"/>
  <c r="AM4355" i="1"/>
  <c r="BF4355" i="1"/>
  <c r="BG4355" i="1"/>
  <c r="T4356" i="1"/>
  <c r="U4356" i="1"/>
  <c r="V4356" i="1"/>
  <c r="W4356" i="1"/>
  <c r="X4356" i="1"/>
  <c r="Y4356" i="1"/>
  <c r="Z4356" i="1"/>
  <c r="AB4356" i="1"/>
  <c r="AF4356" i="1"/>
  <c r="AI4356" i="1"/>
  <c r="H4357" i="1"/>
  <c r="AE4357" i="1"/>
  <c r="I4357" i="1"/>
  <c r="J4357" i="1"/>
  <c r="K4357" i="1"/>
  <c r="AC4357" i="1"/>
  <c r="AJ4356" i="1"/>
  <c r="AK4356" i="1"/>
  <c r="AM4356" i="1"/>
  <c r="BG4356" i="1"/>
  <c r="T4357" i="1"/>
  <c r="U4357" i="1"/>
  <c r="V4357" i="1"/>
  <c r="W4357" i="1"/>
  <c r="X4357" i="1"/>
  <c r="Y4357" i="1"/>
  <c r="Z4357" i="1"/>
  <c r="AB4357" i="1"/>
  <c r="AF4357" i="1"/>
  <c r="AI4357" i="1"/>
  <c r="H4358" i="1"/>
  <c r="AE4358" i="1"/>
  <c r="I4358" i="1"/>
  <c r="J4358" i="1"/>
  <c r="K4358" i="1"/>
  <c r="AC4358" i="1"/>
  <c r="AJ4357" i="1"/>
  <c r="AK4357" i="1"/>
  <c r="AM4357" i="1"/>
  <c r="BF4357" i="1"/>
  <c r="BG4357" i="1"/>
  <c r="T4358" i="1"/>
  <c r="U4358" i="1"/>
  <c r="V4358" i="1"/>
  <c r="W4358" i="1"/>
  <c r="X4358" i="1"/>
  <c r="Y4358" i="1"/>
  <c r="Z4358" i="1"/>
  <c r="AB4358" i="1"/>
  <c r="AF4358" i="1"/>
  <c r="AI4358" i="1"/>
  <c r="H4359" i="1"/>
  <c r="AE4359" i="1"/>
  <c r="I4359" i="1"/>
  <c r="J4359" i="1"/>
  <c r="K4359" i="1"/>
  <c r="AC4359" i="1"/>
  <c r="AJ4358" i="1"/>
  <c r="AK4358" i="1"/>
  <c r="AM4358" i="1"/>
  <c r="BF4358" i="1"/>
  <c r="BG4358" i="1"/>
  <c r="T4359" i="1"/>
  <c r="U4359" i="1"/>
  <c r="V4359" i="1"/>
  <c r="W4359" i="1"/>
  <c r="X4359" i="1"/>
  <c r="Y4359" i="1"/>
  <c r="Z4359" i="1"/>
  <c r="AB4359" i="1"/>
  <c r="AF4359" i="1"/>
  <c r="AI4359" i="1"/>
  <c r="H4360" i="1"/>
  <c r="AE4360" i="1"/>
  <c r="I4360" i="1"/>
  <c r="J4360" i="1"/>
  <c r="K4360" i="1"/>
  <c r="AC4360" i="1"/>
  <c r="AJ4359" i="1"/>
  <c r="AK4359" i="1"/>
  <c r="AM4359" i="1"/>
  <c r="BF4359" i="1"/>
  <c r="BG4359" i="1"/>
  <c r="T4360" i="1"/>
  <c r="U4360" i="1"/>
  <c r="V4360" i="1"/>
  <c r="W4360" i="1"/>
  <c r="X4360" i="1"/>
  <c r="Y4360" i="1"/>
  <c r="Z4360" i="1"/>
  <c r="AB4360" i="1"/>
  <c r="AF4360" i="1"/>
  <c r="AI4360" i="1"/>
  <c r="AE4361" i="1"/>
  <c r="AC4361" i="1"/>
  <c r="AJ4360" i="1"/>
  <c r="AK4360" i="1"/>
  <c r="AM4360" i="1"/>
  <c r="BF4360" i="1"/>
  <c r="BG4360" i="1"/>
  <c r="T4361" i="1"/>
  <c r="U4361" i="1"/>
  <c r="V4361" i="1"/>
  <c r="W4361" i="1"/>
  <c r="X4361" i="1"/>
  <c r="Y4361" i="1"/>
  <c r="Z4361" i="1"/>
  <c r="AB4361" i="1"/>
  <c r="AF4361" i="1"/>
  <c r="AI4361" i="1"/>
  <c r="AE4362" i="1"/>
  <c r="AC4362" i="1"/>
  <c r="AJ4361" i="1"/>
  <c r="AK4361" i="1"/>
  <c r="AM4361" i="1"/>
  <c r="BF4361" i="1"/>
  <c r="BG4361" i="1"/>
  <c r="T4362" i="1"/>
  <c r="U4362" i="1"/>
  <c r="V4362" i="1"/>
  <c r="W4362" i="1"/>
  <c r="X4362" i="1"/>
  <c r="Y4362" i="1"/>
  <c r="Z4362" i="1"/>
  <c r="AB4362" i="1"/>
  <c r="AF4362" i="1"/>
  <c r="AI4362" i="1"/>
  <c r="H4363" i="1"/>
  <c r="AE4363" i="1"/>
  <c r="I4363" i="1"/>
  <c r="J4363" i="1"/>
  <c r="K4363" i="1"/>
  <c r="AC4363" i="1"/>
  <c r="AJ4362" i="1"/>
  <c r="AK4362" i="1"/>
  <c r="AM4362" i="1"/>
  <c r="BG4362" i="1"/>
  <c r="T4363" i="1"/>
  <c r="U4363" i="1"/>
  <c r="V4363" i="1"/>
  <c r="W4363" i="1"/>
  <c r="X4363" i="1"/>
  <c r="Y4363" i="1"/>
  <c r="Z4363" i="1"/>
  <c r="AB4363" i="1"/>
  <c r="AF4363" i="1"/>
  <c r="AI4363" i="1"/>
  <c r="AE4364" i="1"/>
  <c r="AC4364" i="1"/>
  <c r="AJ4363" i="1"/>
  <c r="AK4363" i="1"/>
  <c r="AM4363" i="1"/>
  <c r="BF4363" i="1"/>
  <c r="BG4363" i="1"/>
  <c r="T4364" i="1"/>
  <c r="U4364" i="1"/>
  <c r="V4364" i="1"/>
  <c r="W4364" i="1"/>
  <c r="X4364" i="1"/>
  <c r="Y4364" i="1"/>
  <c r="Z4364" i="1"/>
  <c r="AB4364" i="1"/>
  <c r="AF4364" i="1"/>
  <c r="AI4364" i="1"/>
  <c r="AE4365" i="1"/>
  <c r="AC4365" i="1"/>
  <c r="AJ4364" i="1"/>
  <c r="AK4364" i="1"/>
  <c r="AM4364" i="1"/>
  <c r="BF4364" i="1"/>
  <c r="BG4364" i="1"/>
  <c r="T4365" i="1"/>
  <c r="U4365" i="1"/>
  <c r="V4365" i="1"/>
  <c r="W4365" i="1"/>
  <c r="X4365" i="1"/>
  <c r="Y4365" i="1"/>
  <c r="Z4365" i="1"/>
  <c r="AB4365" i="1"/>
  <c r="AF4365" i="1"/>
  <c r="AI4365" i="1"/>
  <c r="AE4366" i="1"/>
  <c r="AC4366" i="1"/>
  <c r="AJ4365" i="1"/>
  <c r="AK4365" i="1"/>
  <c r="AM4365" i="1"/>
  <c r="BF4365" i="1"/>
  <c r="BG4365" i="1"/>
  <c r="T4366" i="1"/>
  <c r="U4366" i="1"/>
  <c r="V4366" i="1"/>
  <c r="W4366" i="1"/>
  <c r="X4366" i="1"/>
  <c r="Y4366" i="1"/>
  <c r="Z4366" i="1"/>
  <c r="AB4366" i="1"/>
  <c r="AF4366" i="1"/>
  <c r="AI4366" i="1"/>
  <c r="AE4367" i="1"/>
  <c r="AC4367" i="1"/>
  <c r="AJ4366" i="1"/>
  <c r="AK4366" i="1"/>
  <c r="AM4366" i="1"/>
  <c r="BF4366" i="1"/>
  <c r="BG4366" i="1"/>
  <c r="T4367" i="1"/>
  <c r="U4367" i="1"/>
  <c r="V4367" i="1"/>
  <c r="W4367" i="1"/>
  <c r="X4367" i="1"/>
  <c r="Y4367" i="1"/>
  <c r="Z4367" i="1"/>
  <c r="AB4367" i="1"/>
  <c r="AF4367" i="1"/>
  <c r="AI4367" i="1"/>
  <c r="H4368" i="1"/>
  <c r="AE4368" i="1"/>
  <c r="I4368" i="1"/>
  <c r="J4368" i="1"/>
  <c r="K4368" i="1"/>
  <c r="AC4368" i="1"/>
  <c r="AJ4367" i="1"/>
  <c r="AK4367" i="1"/>
  <c r="AM4367" i="1"/>
  <c r="BG4367" i="1"/>
  <c r="T4368" i="1"/>
  <c r="U4368" i="1"/>
  <c r="V4368" i="1"/>
  <c r="W4368" i="1"/>
  <c r="X4368" i="1"/>
  <c r="Y4368" i="1"/>
  <c r="Z4368" i="1"/>
  <c r="AB4368" i="1"/>
  <c r="AF4368" i="1"/>
  <c r="AI4368" i="1"/>
  <c r="AE4369" i="1"/>
  <c r="AC4369" i="1"/>
  <c r="AJ4368" i="1"/>
  <c r="AK4368" i="1"/>
  <c r="AM4368" i="1"/>
  <c r="BF4368" i="1"/>
  <c r="BG4368" i="1"/>
  <c r="T4369" i="1"/>
  <c r="U4369" i="1"/>
  <c r="V4369" i="1"/>
  <c r="W4369" i="1"/>
  <c r="X4369" i="1"/>
  <c r="Y4369" i="1"/>
  <c r="Z4369" i="1"/>
  <c r="AB4369" i="1"/>
  <c r="AF4369" i="1"/>
  <c r="AI4369" i="1"/>
  <c r="AE4370" i="1"/>
  <c r="AC4370" i="1"/>
  <c r="AJ4369" i="1"/>
  <c r="AK4369" i="1"/>
  <c r="AM4369" i="1"/>
  <c r="BF4369" i="1"/>
  <c r="BG4369" i="1"/>
  <c r="T4370" i="1"/>
  <c r="U4370" i="1"/>
  <c r="V4370" i="1"/>
  <c r="W4370" i="1"/>
  <c r="X4370" i="1"/>
  <c r="Y4370" i="1"/>
  <c r="Z4370" i="1"/>
  <c r="AB4370" i="1"/>
  <c r="AF4370" i="1"/>
  <c r="AI4370" i="1"/>
  <c r="H4371" i="1"/>
  <c r="AE4371" i="1"/>
  <c r="I4371" i="1"/>
  <c r="J4371" i="1"/>
  <c r="K4371" i="1"/>
  <c r="AC4371" i="1"/>
  <c r="AJ4370" i="1"/>
  <c r="AK4370" i="1"/>
  <c r="AM4370" i="1"/>
  <c r="BG4370" i="1"/>
  <c r="T4371" i="1"/>
  <c r="U4371" i="1"/>
  <c r="V4371" i="1"/>
  <c r="W4371" i="1"/>
  <c r="X4371" i="1"/>
  <c r="Y4371" i="1"/>
  <c r="Z4371" i="1"/>
  <c r="AB4371" i="1"/>
  <c r="AF4371" i="1"/>
  <c r="AI4371" i="1"/>
  <c r="AE4372" i="1"/>
  <c r="AC4372" i="1"/>
  <c r="AJ4371" i="1"/>
  <c r="AK4371" i="1"/>
  <c r="AM4371" i="1"/>
  <c r="BF4371" i="1"/>
  <c r="BG4371" i="1"/>
  <c r="T4372" i="1"/>
  <c r="U4372" i="1"/>
  <c r="V4372" i="1"/>
  <c r="W4372" i="1"/>
  <c r="X4372" i="1"/>
  <c r="Y4372" i="1"/>
  <c r="Z4372" i="1"/>
  <c r="AB4372" i="1"/>
  <c r="AF4372" i="1"/>
  <c r="AI4372" i="1"/>
  <c r="AE4373" i="1"/>
  <c r="AC4373" i="1"/>
  <c r="AJ4372" i="1"/>
  <c r="AK4372" i="1"/>
  <c r="AM4372" i="1"/>
  <c r="BF4372" i="1"/>
  <c r="BG4372" i="1"/>
  <c r="T4373" i="1"/>
  <c r="U4373" i="1"/>
  <c r="V4373" i="1"/>
  <c r="W4373" i="1"/>
  <c r="X4373" i="1"/>
  <c r="Y4373" i="1"/>
  <c r="Z4373" i="1"/>
  <c r="AB4373" i="1"/>
  <c r="AF4373" i="1"/>
  <c r="AI4373" i="1"/>
  <c r="H4374" i="1"/>
  <c r="AE4374" i="1"/>
  <c r="I4374" i="1"/>
  <c r="J4374" i="1"/>
  <c r="K4374" i="1"/>
  <c r="AC4374" i="1"/>
  <c r="AJ4373" i="1"/>
  <c r="AK4373" i="1"/>
  <c r="AM4373" i="1"/>
  <c r="BG4373" i="1"/>
  <c r="T4374" i="1"/>
  <c r="U4374" i="1"/>
  <c r="V4374" i="1"/>
  <c r="W4374" i="1"/>
  <c r="X4374" i="1"/>
  <c r="Y4374" i="1"/>
  <c r="Z4374" i="1"/>
  <c r="AB4374" i="1"/>
  <c r="AF4374" i="1"/>
  <c r="AI4374" i="1"/>
  <c r="AE4375" i="1"/>
  <c r="AC4375" i="1"/>
  <c r="AJ4374" i="1"/>
  <c r="AK4374" i="1"/>
  <c r="AM4374" i="1"/>
  <c r="BF4374" i="1"/>
  <c r="BG4374" i="1"/>
  <c r="T4375" i="1"/>
  <c r="U4375" i="1"/>
  <c r="V4375" i="1"/>
  <c r="W4375" i="1"/>
  <c r="X4375" i="1"/>
  <c r="Y4375" i="1"/>
  <c r="Z4375" i="1"/>
  <c r="AB4375" i="1"/>
  <c r="AF4375" i="1"/>
  <c r="AI4375" i="1"/>
  <c r="AE4376" i="1"/>
  <c r="AC4376" i="1"/>
  <c r="AJ4375" i="1"/>
  <c r="AK4375" i="1"/>
  <c r="AM4375" i="1"/>
  <c r="BF4375" i="1"/>
  <c r="BG4375" i="1"/>
  <c r="T4376" i="1"/>
  <c r="U4376" i="1"/>
  <c r="V4376" i="1"/>
  <c r="W4376" i="1"/>
  <c r="X4376" i="1"/>
  <c r="Y4376" i="1"/>
  <c r="Z4376" i="1"/>
  <c r="AB4376" i="1"/>
  <c r="AF4376" i="1"/>
  <c r="AI4376" i="1"/>
  <c r="H4377" i="1"/>
  <c r="AE4377" i="1"/>
  <c r="I4377" i="1"/>
  <c r="J4377" i="1"/>
  <c r="K4377" i="1"/>
  <c r="AC4377" i="1"/>
  <c r="AJ4376" i="1"/>
  <c r="AK4376" i="1"/>
  <c r="AM4376" i="1"/>
  <c r="BG4376" i="1"/>
  <c r="T4377" i="1"/>
  <c r="U4377" i="1"/>
  <c r="V4377" i="1"/>
  <c r="W4377" i="1"/>
  <c r="X4377" i="1"/>
  <c r="Y4377" i="1"/>
  <c r="Z4377" i="1"/>
  <c r="AB4377" i="1"/>
  <c r="AF4377" i="1"/>
  <c r="AI4377" i="1"/>
  <c r="AE4378" i="1"/>
  <c r="AC4378" i="1"/>
  <c r="AJ4377" i="1"/>
  <c r="AK4377" i="1"/>
  <c r="AM4377" i="1"/>
  <c r="BF4377" i="1"/>
  <c r="BG4377" i="1"/>
  <c r="T4378" i="1"/>
  <c r="U4378" i="1"/>
  <c r="V4378" i="1"/>
  <c r="W4378" i="1"/>
  <c r="X4378" i="1"/>
  <c r="Y4378" i="1"/>
  <c r="Z4378" i="1"/>
  <c r="AB4378" i="1"/>
  <c r="AF4378" i="1"/>
  <c r="AI4378" i="1"/>
  <c r="AE4379" i="1"/>
  <c r="AC4379" i="1"/>
  <c r="AJ4378" i="1"/>
  <c r="AK4378" i="1"/>
  <c r="AM4378" i="1"/>
  <c r="BF4378" i="1"/>
  <c r="BG4378" i="1"/>
  <c r="T4379" i="1"/>
  <c r="U4379" i="1"/>
  <c r="V4379" i="1"/>
  <c r="W4379" i="1"/>
  <c r="X4379" i="1"/>
  <c r="Y4379" i="1"/>
  <c r="Z4379" i="1"/>
  <c r="AB4379" i="1"/>
  <c r="AF4379" i="1"/>
  <c r="AI4379" i="1"/>
  <c r="H4380" i="1"/>
  <c r="AE4380" i="1"/>
  <c r="I4380" i="1"/>
  <c r="J4380" i="1"/>
  <c r="K4380" i="1"/>
  <c r="AC4380" i="1"/>
  <c r="AJ4379" i="1"/>
  <c r="AK4379" i="1"/>
  <c r="AM4379" i="1"/>
  <c r="BG4379" i="1"/>
  <c r="T4380" i="1"/>
  <c r="U4380" i="1"/>
  <c r="V4380" i="1"/>
  <c r="W4380" i="1"/>
  <c r="X4380" i="1"/>
  <c r="Y4380" i="1"/>
  <c r="Z4380" i="1"/>
  <c r="AB4380" i="1"/>
  <c r="AF4380" i="1"/>
  <c r="AI4380" i="1"/>
  <c r="AE4381" i="1"/>
  <c r="AC4381" i="1"/>
  <c r="AJ4380" i="1"/>
  <c r="AK4380" i="1"/>
  <c r="AM4380" i="1"/>
  <c r="BF4380" i="1"/>
  <c r="BG4380" i="1"/>
  <c r="T4381" i="1"/>
  <c r="U4381" i="1"/>
  <c r="V4381" i="1"/>
  <c r="W4381" i="1"/>
  <c r="X4381" i="1"/>
  <c r="Y4381" i="1"/>
  <c r="Z4381" i="1"/>
  <c r="AB4381" i="1"/>
  <c r="AF4381" i="1"/>
  <c r="AI4381" i="1"/>
  <c r="AE4382" i="1"/>
  <c r="AC4382" i="1"/>
  <c r="AJ4381" i="1"/>
  <c r="AK4381" i="1"/>
  <c r="AM4381" i="1"/>
  <c r="BF4381" i="1"/>
  <c r="BG4381" i="1"/>
  <c r="T4382" i="1"/>
  <c r="U4382" i="1"/>
  <c r="V4382" i="1"/>
  <c r="W4382" i="1"/>
  <c r="X4382" i="1"/>
  <c r="Y4382" i="1"/>
  <c r="Z4382" i="1"/>
  <c r="AB4382" i="1"/>
  <c r="AF4382" i="1"/>
  <c r="AI4382" i="1"/>
  <c r="H4383" i="1"/>
  <c r="AE4383" i="1"/>
  <c r="I4383" i="1"/>
  <c r="J4383" i="1"/>
  <c r="K4383" i="1"/>
  <c r="AC4383" i="1"/>
  <c r="AJ4382" i="1"/>
  <c r="AK4382" i="1"/>
  <c r="AM4382" i="1"/>
  <c r="BG4382" i="1"/>
  <c r="T4383" i="1"/>
  <c r="U4383" i="1"/>
  <c r="V4383" i="1"/>
  <c r="W4383" i="1"/>
  <c r="X4383" i="1"/>
  <c r="Y4383" i="1"/>
  <c r="Z4383" i="1"/>
  <c r="AB4383" i="1"/>
  <c r="AF4383" i="1"/>
  <c r="AI4383" i="1"/>
  <c r="H4384" i="1"/>
  <c r="AE4384" i="1"/>
  <c r="I4384" i="1"/>
  <c r="J4384" i="1"/>
  <c r="K4384" i="1"/>
  <c r="AC4384" i="1"/>
  <c r="AJ4383" i="1"/>
  <c r="AK4383" i="1"/>
  <c r="AM4383" i="1"/>
  <c r="BF4383" i="1"/>
  <c r="BG4383" i="1"/>
  <c r="T4384" i="1"/>
  <c r="U4384" i="1"/>
  <c r="V4384" i="1"/>
  <c r="W4384" i="1"/>
  <c r="X4384" i="1"/>
  <c r="Y4384" i="1"/>
  <c r="Z4384" i="1"/>
  <c r="AB4384" i="1"/>
  <c r="AF4384" i="1"/>
  <c r="AI4384" i="1"/>
  <c r="AE4385" i="1"/>
  <c r="AC4385" i="1"/>
  <c r="AJ4384" i="1"/>
  <c r="AK4384" i="1"/>
  <c r="AM4384" i="1"/>
  <c r="BF4384" i="1"/>
  <c r="BG4384" i="1"/>
  <c r="T4385" i="1"/>
  <c r="U4385" i="1"/>
  <c r="V4385" i="1"/>
  <c r="W4385" i="1"/>
  <c r="X4385" i="1"/>
  <c r="Y4385" i="1"/>
  <c r="Z4385" i="1"/>
  <c r="AB4385" i="1"/>
  <c r="AF4385" i="1"/>
  <c r="AI4385" i="1"/>
  <c r="AE4386" i="1"/>
  <c r="AC4386" i="1"/>
  <c r="AJ4385" i="1"/>
  <c r="AK4385" i="1"/>
  <c r="AM4385" i="1"/>
  <c r="BF4385" i="1"/>
  <c r="BG4385" i="1"/>
  <c r="T4386" i="1"/>
  <c r="U4386" i="1"/>
  <c r="V4386" i="1"/>
  <c r="W4386" i="1"/>
  <c r="X4386" i="1"/>
  <c r="Y4386" i="1"/>
  <c r="Z4386" i="1"/>
  <c r="AB4386" i="1"/>
  <c r="AF4386" i="1"/>
  <c r="AI4386" i="1"/>
  <c r="AE4387" i="1"/>
  <c r="AC4387" i="1"/>
  <c r="AJ4386" i="1"/>
  <c r="AK4386" i="1"/>
  <c r="AM4386" i="1"/>
  <c r="BF4386" i="1"/>
  <c r="BG4386" i="1"/>
  <c r="T4387" i="1"/>
  <c r="U4387" i="1"/>
  <c r="V4387" i="1"/>
  <c r="W4387" i="1"/>
  <c r="X4387" i="1"/>
  <c r="Y4387" i="1"/>
  <c r="Z4387" i="1"/>
  <c r="AB4387" i="1"/>
  <c r="AF4387" i="1"/>
  <c r="AI4387" i="1"/>
  <c r="H4388" i="1"/>
  <c r="AE4388" i="1"/>
  <c r="I4388" i="1"/>
  <c r="J4388" i="1"/>
  <c r="K4388" i="1"/>
  <c r="AC4388" i="1"/>
  <c r="AJ4387" i="1"/>
  <c r="AK4387" i="1"/>
  <c r="AM4387" i="1"/>
  <c r="BG4387" i="1"/>
  <c r="T4388" i="1"/>
  <c r="U4388" i="1"/>
  <c r="V4388" i="1"/>
  <c r="W4388" i="1"/>
  <c r="X4388" i="1"/>
  <c r="Y4388" i="1"/>
  <c r="Z4388" i="1"/>
  <c r="AB4388" i="1"/>
  <c r="AF4388" i="1"/>
  <c r="AI4388" i="1"/>
  <c r="AE4389" i="1"/>
  <c r="AC4389" i="1"/>
  <c r="AJ4388" i="1"/>
  <c r="AK4388" i="1"/>
  <c r="AM4388" i="1"/>
  <c r="BF4388" i="1"/>
  <c r="BG4388" i="1"/>
  <c r="T4389" i="1"/>
  <c r="U4389" i="1"/>
  <c r="V4389" i="1"/>
  <c r="W4389" i="1"/>
  <c r="X4389" i="1"/>
  <c r="Y4389" i="1"/>
  <c r="Z4389" i="1"/>
  <c r="AB4389" i="1"/>
  <c r="AF4389" i="1"/>
  <c r="AI4389" i="1"/>
  <c r="AE4390" i="1"/>
  <c r="AC4390" i="1"/>
  <c r="AJ4389" i="1"/>
  <c r="AK4389" i="1"/>
  <c r="AM4389" i="1"/>
  <c r="BF4389" i="1"/>
  <c r="BG4389" i="1"/>
  <c r="T4390" i="1"/>
  <c r="U4390" i="1"/>
  <c r="V4390" i="1"/>
  <c r="W4390" i="1"/>
  <c r="X4390" i="1"/>
  <c r="Y4390" i="1"/>
  <c r="Z4390" i="1"/>
  <c r="AB4390" i="1"/>
  <c r="AF4390" i="1"/>
  <c r="AI4390" i="1"/>
  <c r="AE4391" i="1"/>
  <c r="AC4391" i="1"/>
  <c r="AJ4390" i="1"/>
  <c r="AK4390" i="1"/>
  <c r="AM4390" i="1"/>
  <c r="BF4390" i="1"/>
  <c r="BG4390" i="1"/>
  <c r="T4391" i="1"/>
  <c r="U4391" i="1"/>
  <c r="V4391" i="1"/>
  <c r="W4391" i="1"/>
  <c r="X4391" i="1"/>
  <c r="Y4391" i="1"/>
  <c r="Z4391" i="1"/>
  <c r="AB4391" i="1"/>
  <c r="AF4391" i="1"/>
  <c r="AI4391" i="1"/>
  <c r="AE4392" i="1"/>
  <c r="AC4392" i="1"/>
  <c r="AJ4391" i="1"/>
  <c r="AK4391" i="1"/>
  <c r="AM4391" i="1"/>
  <c r="BF4391" i="1"/>
  <c r="BG4391" i="1"/>
  <c r="T4392" i="1"/>
  <c r="U4392" i="1"/>
  <c r="V4392" i="1"/>
  <c r="W4392" i="1"/>
  <c r="X4392" i="1"/>
  <c r="Y4392" i="1"/>
  <c r="Z4392" i="1"/>
  <c r="AB4392" i="1"/>
  <c r="AF4392" i="1"/>
  <c r="AI4392" i="1"/>
  <c r="H4393" i="1"/>
  <c r="AE4393" i="1"/>
  <c r="I4393" i="1"/>
  <c r="J4393" i="1"/>
  <c r="K4393" i="1"/>
  <c r="AC4393" i="1"/>
  <c r="AJ4392" i="1"/>
  <c r="AK4392" i="1"/>
  <c r="AM4392" i="1"/>
  <c r="BG4392" i="1"/>
  <c r="T4393" i="1"/>
  <c r="U4393" i="1"/>
  <c r="V4393" i="1"/>
  <c r="W4393" i="1"/>
  <c r="X4393" i="1"/>
  <c r="Y4393" i="1"/>
  <c r="Z4393" i="1"/>
  <c r="AB4393" i="1"/>
  <c r="AF4393" i="1"/>
  <c r="AI4393" i="1"/>
  <c r="H4394" i="1"/>
  <c r="AE4394" i="1"/>
  <c r="I4394" i="1"/>
  <c r="J4394" i="1"/>
  <c r="K4394" i="1"/>
  <c r="AC4394" i="1"/>
  <c r="AJ4393" i="1"/>
  <c r="AK4393" i="1"/>
  <c r="AM4393" i="1"/>
  <c r="BF4393" i="1"/>
  <c r="BG4393" i="1"/>
  <c r="T4394" i="1"/>
  <c r="U4394" i="1"/>
  <c r="V4394" i="1"/>
  <c r="W4394" i="1"/>
  <c r="X4394" i="1"/>
  <c r="Y4394" i="1"/>
  <c r="Z4394" i="1"/>
  <c r="AB4394" i="1"/>
  <c r="AF4394" i="1"/>
  <c r="AI4394" i="1"/>
  <c r="AE4395" i="1"/>
  <c r="AC4395" i="1"/>
  <c r="AJ4394" i="1"/>
  <c r="AK4394" i="1"/>
  <c r="AM4394" i="1"/>
  <c r="BF4394" i="1"/>
  <c r="BG4394" i="1"/>
  <c r="T4395" i="1"/>
  <c r="U4395" i="1"/>
  <c r="V4395" i="1"/>
  <c r="W4395" i="1"/>
  <c r="X4395" i="1"/>
  <c r="Y4395" i="1"/>
  <c r="Z4395" i="1"/>
  <c r="AB4395" i="1"/>
  <c r="AF4395" i="1"/>
  <c r="AI4395" i="1"/>
  <c r="AE4396" i="1"/>
  <c r="AC4396" i="1"/>
  <c r="AJ4395" i="1"/>
  <c r="AK4395" i="1"/>
  <c r="AM4395" i="1"/>
  <c r="BF4395" i="1"/>
  <c r="BG4395" i="1"/>
  <c r="T4396" i="1"/>
  <c r="U4396" i="1"/>
  <c r="V4396" i="1"/>
  <c r="W4396" i="1"/>
  <c r="X4396" i="1"/>
  <c r="Y4396" i="1"/>
  <c r="Z4396" i="1"/>
  <c r="AB4396" i="1"/>
  <c r="AF4396" i="1"/>
  <c r="AI4396" i="1"/>
  <c r="H4397" i="1"/>
  <c r="AE4397" i="1"/>
  <c r="I4397" i="1"/>
  <c r="J4397" i="1"/>
  <c r="K4397" i="1"/>
  <c r="AC4397" i="1"/>
  <c r="AJ4396" i="1"/>
  <c r="AK4396" i="1"/>
  <c r="AM4396" i="1"/>
  <c r="BG4396" i="1"/>
  <c r="T4397" i="1"/>
  <c r="U4397" i="1"/>
  <c r="V4397" i="1"/>
  <c r="W4397" i="1"/>
  <c r="X4397" i="1"/>
  <c r="Y4397" i="1"/>
  <c r="Z4397" i="1"/>
  <c r="AB4397" i="1"/>
  <c r="AF4397" i="1"/>
  <c r="AI4397" i="1"/>
  <c r="AE4398" i="1"/>
  <c r="AC4398" i="1"/>
  <c r="AJ4397" i="1"/>
  <c r="AK4397" i="1"/>
  <c r="AM4397" i="1"/>
  <c r="BF4397" i="1"/>
  <c r="BG4397" i="1"/>
  <c r="T4398" i="1"/>
  <c r="U4398" i="1"/>
  <c r="V4398" i="1"/>
  <c r="W4398" i="1"/>
  <c r="X4398" i="1"/>
  <c r="Y4398" i="1"/>
  <c r="Z4398" i="1"/>
  <c r="AB4398" i="1"/>
  <c r="AF4398" i="1"/>
  <c r="AI4398" i="1"/>
  <c r="AE4399" i="1"/>
  <c r="AC4399" i="1"/>
  <c r="AJ4398" i="1"/>
  <c r="AK4398" i="1"/>
  <c r="AM4398" i="1"/>
  <c r="BF4398" i="1"/>
  <c r="BG4398" i="1"/>
  <c r="T4399" i="1"/>
  <c r="U4399" i="1"/>
  <c r="V4399" i="1"/>
  <c r="W4399" i="1"/>
  <c r="X4399" i="1"/>
  <c r="Y4399" i="1"/>
  <c r="Z4399" i="1"/>
  <c r="AB4399" i="1"/>
  <c r="AF4399" i="1"/>
  <c r="AI4399" i="1"/>
  <c r="H4400" i="1"/>
  <c r="AE4400" i="1"/>
  <c r="I4400" i="1"/>
  <c r="J4400" i="1"/>
  <c r="K4400" i="1"/>
  <c r="AC4400" i="1"/>
  <c r="AJ4399" i="1"/>
  <c r="AK4399" i="1"/>
  <c r="AM4399" i="1"/>
  <c r="BG4399" i="1"/>
  <c r="T4400" i="1"/>
  <c r="U4400" i="1"/>
  <c r="V4400" i="1"/>
  <c r="W4400" i="1"/>
  <c r="X4400" i="1"/>
  <c r="Y4400" i="1"/>
  <c r="Z4400" i="1"/>
  <c r="AB4400" i="1"/>
  <c r="AF4400" i="1"/>
  <c r="AI4400" i="1"/>
  <c r="AE4401" i="1"/>
  <c r="AC4401" i="1"/>
  <c r="AJ4400" i="1"/>
  <c r="AK4400" i="1"/>
  <c r="AM4400" i="1"/>
  <c r="BF4400" i="1"/>
  <c r="BG4400" i="1"/>
  <c r="T4401" i="1"/>
  <c r="U4401" i="1"/>
  <c r="V4401" i="1"/>
  <c r="W4401" i="1"/>
  <c r="X4401" i="1"/>
  <c r="Y4401" i="1"/>
  <c r="Z4401" i="1"/>
  <c r="AB4401" i="1"/>
  <c r="AF4401" i="1"/>
  <c r="AI4401" i="1"/>
  <c r="AE4402" i="1"/>
  <c r="AC4402" i="1"/>
  <c r="AJ4401" i="1"/>
  <c r="AK4401" i="1"/>
  <c r="AM4401" i="1"/>
  <c r="BF4401" i="1"/>
  <c r="BG4401" i="1"/>
  <c r="T4402" i="1"/>
  <c r="U4402" i="1"/>
  <c r="V4402" i="1"/>
  <c r="W4402" i="1"/>
  <c r="X4402" i="1"/>
  <c r="Y4402" i="1"/>
  <c r="Z4402" i="1"/>
  <c r="AB4402" i="1"/>
  <c r="AF4402" i="1"/>
  <c r="AI4402" i="1"/>
  <c r="AE4403" i="1"/>
  <c r="AC4403" i="1"/>
  <c r="AJ4402" i="1"/>
  <c r="AK4402" i="1"/>
  <c r="AM4402" i="1"/>
  <c r="BF4402" i="1"/>
  <c r="BG4402" i="1"/>
  <c r="T4403" i="1"/>
  <c r="U4403" i="1"/>
  <c r="V4403" i="1"/>
  <c r="W4403" i="1"/>
  <c r="X4403" i="1"/>
  <c r="Y4403" i="1"/>
  <c r="Z4403" i="1"/>
  <c r="AB4403" i="1"/>
  <c r="AF4403" i="1"/>
  <c r="AI4403" i="1"/>
  <c r="AE4404" i="1"/>
  <c r="AC4404" i="1"/>
  <c r="AJ4403" i="1"/>
  <c r="AK4403" i="1"/>
  <c r="AM4403" i="1"/>
  <c r="BF4403" i="1"/>
  <c r="BG4403" i="1"/>
  <c r="T860" i="1"/>
  <c r="U860" i="1"/>
  <c r="V860" i="1"/>
  <c r="W860" i="1"/>
  <c r="X860" i="1"/>
  <c r="Y860" i="1"/>
  <c r="Z860" i="1"/>
  <c r="AB860" i="1"/>
  <c r="AF860" i="1"/>
  <c r="AI860" i="1"/>
  <c r="H861" i="1"/>
  <c r="AE861" i="1"/>
  <c r="I861" i="1"/>
  <c r="J861" i="1"/>
  <c r="K861" i="1"/>
  <c r="AC861" i="1"/>
  <c r="AJ860" i="1"/>
  <c r="AK860" i="1"/>
  <c r="AM860" i="1"/>
  <c r="BG860" i="1"/>
  <c r="T861" i="1"/>
  <c r="U861" i="1"/>
  <c r="V861" i="1"/>
  <c r="W861" i="1"/>
  <c r="X861" i="1"/>
  <c r="Y861" i="1"/>
  <c r="Z861" i="1"/>
  <c r="AB861" i="1"/>
  <c r="AF861" i="1"/>
  <c r="AI861" i="1"/>
  <c r="AE862" i="1"/>
  <c r="AC862" i="1"/>
  <c r="AJ861" i="1"/>
  <c r="AK861" i="1"/>
  <c r="AM861" i="1"/>
  <c r="BF861" i="1"/>
  <c r="BG861" i="1"/>
  <c r="T862" i="1"/>
  <c r="U862" i="1"/>
  <c r="V862" i="1"/>
  <c r="W862" i="1"/>
  <c r="X862" i="1"/>
  <c r="Y862" i="1"/>
  <c r="Z862" i="1"/>
  <c r="AB862" i="1"/>
  <c r="AF862" i="1"/>
  <c r="AI862" i="1"/>
  <c r="AJ862" i="1"/>
  <c r="AK862" i="1"/>
  <c r="AM862" i="1"/>
  <c r="BF862" i="1"/>
  <c r="BG862" i="1"/>
  <c r="T4404" i="1"/>
  <c r="U4404" i="1"/>
  <c r="V4404" i="1"/>
  <c r="W4404" i="1"/>
  <c r="X4404" i="1"/>
  <c r="Y4404" i="1"/>
  <c r="Z4404" i="1"/>
  <c r="AB4404" i="1"/>
  <c r="AF4404" i="1"/>
  <c r="AI4404" i="1"/>
  <c r="H4405" i="1"/>
  <c r="AE4405" i="1"/>
  <c r="I4405" i="1"/>
  <c r="J4405" i="1"/>
  <c r="K4405" i="1"/>
  <c r="AC4405" i="1"/>
  <c r="AJ4404" i="1"/>
  <c r="AK4404" i="1"/>
  <c r="AM4404" i="1"/>
  <c r="BG4404" i="1"/>
  <c r="T4405" i="1"/>
  <c r="U4405" i="1"/>
  <c r="V4405" i="1"/>
  <c r="W4405" i="1"/>
  <c r="X4405" i="1"/>
  <c r="Y4405" i="1"/>
  <c r="Z4405" i="1"/>
  <c r="AB4405" i="1"/>
  <c r="AF4405" i="1"/>
  <c r="AI4405" i="1"/>
  <c r="AE4406" i="1"/>
  <c r="AC4406" i="1"/>
  <c r="AJ4405" i="1"/>
  <c r="AK4405" i="1"/>
  <c r="AM4405" i="1"/>
  <c r="BF4405" i="1"/>
  <c r="BG4405" i="1"/>
  <c r="T4406" i="1"/>
  <c r="U4406" i="1"/>
  <c r="V4406" i="1"/>
  <c r="W4406" i="1"/>
  <c r="X4406" i="1"/>
  <c r="Y4406" i="1"/>
  <c r="Z4406" i="1"/>
  <c r="AB4406" i="1"/>
  <c r="AF4406" i="1"/>
  <c r="AI4406" i="1"/>
  <c r="AE4407" i="1"/>
  <c r="AC4407" i="1"/>
  <c r="AJ4406" i="1"/>
  <c r="AK4406" i="1"/>
  <c r="AM4406" i="1"/>
  <c r="BF4406" i="1"/>
  <c r="BG4406" i="1"/>
  <c r="T4407" i="1"/>
  <c r="U4407" i="1"/>
  <c r="V4407" i="1"/>
  <c r="W4407" i="1"/>
  <c r="X4407" i="1"/>
  <c r="Y4407" i="1"/>
  <c r="Z4407" i="1"/>
  <c r="AB4407" i="1"/>
  <c r="AF4407" i="1"/>
  <c r="AI4407" i="1"/>
  <c r="H4408" i="1"/>
  <c r="AE4408" i="1"/>
  <c r="I4408" i="1"/>
  <c r="J4408" i="1"/>
  <c r="K4408" i="1"/>
  <c r="AC4408" i="1"/>
  <c r="AJ4407" i="1"/>
  <c r="AK4407" i="1"/>
  <c r="AM4407" i="1"/>
  <c r="BG4407" i="1"/>
  <c r="T4408" i="1"/>
  <c r="U4408" i="1"/>
  <c r="V4408" i="1"/>
  <c r="W4408" i="1"/>
  <c r="X4408" i="1"/>
  <c r="Y4408" i="1"/>
  <c r="Z4408" i="1"/>
  <c r="AB4408" i="1"/>
  <c r="AF4408" i="1"/>
  <c r="AI4408" i="1"/>
  <c r="H4409" i="1"/>
  <c r="AE4409" i="1"/>
  <c r="I4409" i="1"/>
  <c r="J4409" i="1"/>
  <c r="K4409" i="1"/>
  <c r="AC4409" i="1"/>
  <c r="AJ4408" i="1"/>
  <c r="AK4408" i="1"/>
  <c r="AM4408" i="1"/>
  <c r="BF4408" i="1"/>
  <c r="BG4408" i="1"/>
  <c r="T4409" i="1"/>
  <c r="U4409" i="1"/>
  <c r="V4409" i="1"/>
  <c r="W4409" i="1"/>
  <c r="X4409" i="1"/>
  <c r="Y4409" i="1"/>
  <c r="Z4409" i="1"/>
  <c r="AB4409" i="1"/>
  <c r="AF4409" i="1"/>
  <c r="AI4409" i="1"/>
  <c r="AE4410" i="1"/>
  <c r="AC4410" i="1"/>
  <c r="AJ4409" i="1"/>
  <c r="AK4409" i="1"/>
  <c r="AM4409" i="1"/>
  <c r="BF4409" i="1"/>
  <c r="BG4409" i="1"/>
  <c r="T4410" i="1"/>
  <c r="U4410" i="1"/>
  <c r="V4410" i="1"/>
  <c r="W4410" i="1"/>
  <c r="X4410" i="1"/>
  <c r="Y4410" i="1"/>
  <c r="Z4410" i="1"/>
  <c r="AB4410" i="1"/>
  <c r="AF4410" i="1"/>
  <c r="AI4410" i="1"/>
  <c r="AE4411" i="1"/>
  <c r="AC4411" i="1"/>
  <c r="AJ4410" i="1"/>
  <c r="AK4410" i="1"/>
  <c r="AM4410" i="1"/>
  <c r="BF4410" i="1"/>
  <c r="BG4410" i="1"/>
  <c r="T4411" i="1"/>
  <c r="U4411" i="1"/>
  <c r="V4411" i="1"/>
  <c r="W4411" i="1"/>
  <c r="X4411" i="1"/>
  <c r="Y4411" i="1"/>
  <c r="Z4411" i="1"/>
  <c r="AB4411" i="1"/>
  <c r="AF4411" i="1"/>
  <c r="AI4411" i="1"/>
  <c r="H4412" i="1"/>
  <c r="AE4412" i="1"/>
  <c r="I4412" i="1"/>
  <c r="J4412" i="1"/>
  <c r="K4412" i="1"/>
  <c r="AC4412" i="1"/>
  <c r="AJ4411" i="1"/>
  <c r="AK4411" i="1"/>
  <c r="AM4411" i="1"/>
  <c r="BG4411" i="1"/>
  <c r="T4412" i="1"/>
  <c r="U4412" i="1"/>
  <c r="V4412" i="1"/>
  <c r="W4412" i="1"/>
  <c r="X4412" i="1"/>
  <c r="Y4412" i="1"/>
  <c r="Z4412" i="1"/>
  <c r="AB4412" i="1"/>
  <c r="AF4412" i="1"/>
  <c r="AI4412" i="1"/>
  <c r="AE4413" i="1"/>
  <c r="AC4413" i="1"/>
  <c r="AJ4412" i="1"/>
  <c r="AK4412" i="1"/>
  <c r="AM4412" i="1"/>
  <c r="BF4412" i="1"/>
  <c r="BG4412" i="1"/>
  <c r="T4413" i="1"/>
  <c r="U4413" i="1"/>
  <c r="V4413" i="1"/>
  <c r="W4413" i="1"/>
  <c r="X4413" i="1"/>
  <c r="Y4413" i="1"/>
  <c r="Z4413" i="1"/>
  <c r="AB4413" i="1"/>
  <c r="AF4413" i="1"/>
  <c r="AI4413" i="1"/>
  <c r="AE4414" i="1"/>
  <c r="AC4414" i="1"/>
  <c r="AJ4413" i="1"/>
  <c r="AK4413" i="1"/>
  <c r="AM4413" i="1"/>
  <c r="BF4413" i="1"/>
  <c r="BG4413" i="1"/>
  <c r="T4414" i="1"/>
  <c r="U4414" i="1"/>
  <c r="V4414" i="1"/>
  <c r="W4414" i="1"/>
  <c r="X4414" i="1"/>
  <c r="Y4414" i="1"/>
  <c r="Z4414" i="1"/>
  <c r="AB4414" i="1"/>
  <c r="AF4414" i="1"/>
  <c r="AI4414" i="1"/>
  <c r="AE4415" i="1"/>
  <c r="AC4415" i="1"/>
  <c r="AJ4414" i="1"/>
  <c r="AK4414" i="1"/>
  <c r="AM4414" i="1"/>
  <c r="BF4414" i="1"/>
  <c r="BG4414" i="1"/>
  <c r="T4415" i="1"/>
  <c r="U4415" i="1"/>
  <c r="V4415" i="1"/>
  <c r="W4415" i="1"/>
  <c r="X4415" i="1"/>
  <c r="Y4415" i="1"/>
  <c r="Z4415" i="1"/>
  <c r="AB4415" i="1"/>
  <c r="AF4415" i="1"/>
  <c r="AI4415" i="1"/>
  <c r="AJ4415" i="1"/>
  <c r="AK4415" i="1"/>
  <c r="AM4415" i="1"/>
  <c r="X4434" i="1"/>
  <c r="J11" i="1" a="1"/>
  <c r="J11" i="1"/>
  <c r="J12" i="1" a="1"/>
  <c r="J12" i="1"/>
  <c r="J13" i="1" a="1"/>
  <c r="J13" i="1"/>
  <c r="J4434" i="1"/>
  <c r="J4419" i="1"/>
  <c r="K4419" i="1"/>
  <c r="K4423" i="1"/>
  <c r="I4443" i="1"/>
  <c r="A3" i="2"/>
  <c r="B3" i="2"/>
  <c r="H4420" i="1"/>
  <c r="N13" i="1"/>
  <c r="G10" i="1"/>
  <c r="Z11" i="1"/>
  <c r="Z12" i="1"/>
  <c r="Z13" i="1"/>
  <c r="Z4416" i="1"/>
  <c r="W4434" i="1"/>
  <c r="G4417" i="1"/>
  <c r="N17" i="1"/>
  <c r="A4415" i="1"/>
  <c r="BF4415" i="1"/>
  <c r="BG4415" i="1"/>
  <c r="M4412" i="1"/>
  <c r="M4409" i="1"/>
  <c r="M4408" i="1"/>
  <c r="M4405" i="1"/>
  <c r="M861" i="1"/>
  <c r="M4400" i="1"/>
  <c r="M4397" i="1"/>
  <c r="M4394" i="1"/>
  <c r="M4393" i="1"/>
  <c r="M4388" i="1"/>
  <c r="M4384" i="1"/>
  <c r="M4383" i="1"/>
  <c r="M4380" i="1"/>
  <c r="M4377" i="1"/>
  <c r="M4374" i="1"/>
  <c r="M4371" i="1"/>
  <c r="M4368" i="1"/>
  <c r="M4363" i="1"/>
  <c r="M4360" i="1"/>
  <c r="M4359" i="1"/>
  <c r="M4358" i="1"/>
  <c r="M4357" i="1"/>
  <c r="M4354" i="1"/>
  <c r="M4353" i="1"/>
  <c r="M4350" i="1"/>
  <c r="M4349" i="1"/>
  <c r="M4348" i="1"/>
  <c r="M4347" i="1"/>
  <c r="M4344" i="1"/>
  <c r="M4341" i="1"/>
  <c r="M4340" i="1"/>
  <c r="M4339" i="1"/>
  <c r="M4338" i="1"/>
  <c r="M4337" i="1"/>
  <c r="M4334" i="1"/>
  <c r="M4331" i="1"/>
  <c r="M4328" i="1"/>
  <c r="M4327" i="1"/>
  <c r="M4324" i="1"/>
  <c r="M4321" i="1"/>
  <c r="M4320" i="1"/>
  <c r="M4319" i="1"/>
  <c r="M4316" i="1"/>
  <c r="M4313" i="1"/>
  <c r="M4312" i="1"/>
  <c r="M4311" i="1"/>
  <c r="M4310" i="1"/>
  <c r="M4309" i="1"/>
  <c r="M4308" i="1"/>
  <c r="M4307" i="1"/>
  <c r="M4306" i="1"/>
  <c r="M4305" i="1"/>
  <c r="M4302" i="1"/>
  <c r="M4299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2" i="1"/>
  <c r="M4278" i="1"/>
  <c r="M4274" i="1"/>
  <c r="M4271" i="1"/>
  <c r="M4268" i="1"/>
  <c r="M4264" i="1"/>
  <c r="M4260" i="1"/>
  <c r="M4257" i="1"/>
  <c r="M4256" i="1"/>
  <c r="M4255" i="1"/>
  <c r="M4252" i="1"/>
  <c r="M4249" i="1"/>
  <c r="M4246" i="1"/>
  <c r="M4243" i="1"/>
  <c r="M4240" i="1"/>
  <c r="M4237" i="1"/>
  <c r="M4236" i="1"/>
  <c r="M4233" i="1"/>
  <c r="M4232" i="1"/>
  <c r="M4227" i="1"/>
  <c r="M4224" i="1"/>
  <c r="M4223" i="1"/>
  <c r="M4222" i="1"/>
  <c r="M4221" i="1"/>
  <c r="M4218" i="1"/>
  <c r="M4213" i="1"/>
  <c r="M4210" i="1"/>
  <c r="M4206" i="1"/>
  <c r="M4202" i="1"/>
  <c r="M4198" i="1"/>
  <c r="M4197" i="1"/>
  <c r="M4196" i="1"/>
  <c r="M4193" i="1"/>
  <c r="M4190" i="1"/>
  <c r="M4189" i="1"/>
  <c r="M4186" i="1"/>
  <c r="M4185" i="1"/>
  <c r="M4181" i="1"/>
  <c r="M4177" i="1"/>
  <c r="M4176" i="1"/>
  <c r="M4175" i="1"/>
  <c r="M4172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2" i="1"/>
  <c r="M4151" i="1"/>
  <c r="M4148" i="1"/>
  <c r="M4147" i="1"/>
  <c r="M4146" i="1"/>
  <c r="M4145" i="1"/>
  <c r="M4144" i="1"/>
  <c r="M4141" i="1"/>
  <c r="M4140" i="1"/>
  <c r="M4139" i="1"/>
  <c r="M4136" i="1"/>
  <c r="M4135" i="1"/>
  <c r="M4134" i="1"/>
  <c r="M4133" i="1"/>
  <c r="M4130" i="1"/>
  <c r="M4129" i="1"/>
  <c r="M4128" i="1"/>
  <c r="M4125" i="1"/>
  <c r="M4122" i="1"/>
  <c r="M4119" i="1"/>
  <c r="M4118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89" i="1"/>
  <c r="M4086" i="1"/>
  <c r="M4083" i="1"/>
  <c r="M4082" i="1"/>
  <c r="M4079" i="1"/>
  <c r="M4076" i="1"/>
  <c r="M4075" i="1"/>
  <c r="M4072" i="1"/>
  <c r="M4069" i="1"/>
  <c r="M4066" i="1"/>
  <c r="M4065" i="1"/>
  <c r="M4064" i="1"/>
  <c r="M4063" i="1"/>
  <c r="M4060" i="1"/>
  <c r="M4057" i="1"/>
  <c r="M4056" i="1"/>
  <c r="M4055" i="1"/>
  <c r="M4054" i="1"/>
  <c r="M4053" i="1"/>
  <c r="M4052" i="1"/>
  <c r="M4051" i="1"/>
  <c r="M4050" i="1"/>
  <c r="M4047" i="1"/>
  <c r="M4046" i="1"/>
  <c r="M4045" i="1"/>
  <c r="M4044" i="1"/>
  <c r="M4041" i="1"/>
  <c r="M4038" i="1"/>
  <c r="M4037" i="1"/>
  <c r="M4036" i="1"/>
  <c r="M4035" i="1"/>
  <c r="M4032" i="1"/>
  <c r="M4031" i="1"/>
  <c r="M4030" i="1"/>
  <c r="M4027" i="1"/>
  <c r="M4024" i="1"/>
  <c r="M4023" i="1"/>
  <c r="M4022" i="1"/>
  <c r="M4018" i="1"/>
  <c r="M4015" i="1"/>
  <c r="M4012" i="1"/>
  <c r="M4011" i="1"/>
  <c r="M4007" i="1"/>
  <c r="M4003" i="1"/>
  <c r="M4000" i="1"/>
  <c r="M3999" i="1"/>
  <c r="M3996" i="1"/>
  <c r="M3993" i="1"/>
  <c r="M3992" i="1"/>
  <c r="M3989" i="1"/>
  <c r="M3988" i="1"/>
  <c r="M3987" i="1"/>
  <c r="M3984" i="1"/>
  <c r="M3983" i="1"/>
  <c r="M3982" i="1"/>
  <c r="M3979" i="1"/>
  <c r="M3978" i="1"/>
  <c r="M3973" i="1"/>
  <c r="M3970" i="1"/>
  <c r="M3969" i="1"/>
  <c r="M3968" i="1"/>
  <c r="M3965" i="1"/>
  <c r="M3962" i="1"/>
  <c r="M3958" i="1"/>
  <c r="M3955" i="1"/>
  <c r="M3951" i="1"/>
  <c r="M3948" i="1"/>
  <c r="M3945" i="1"/>
  <c r="M3944" i="1"/>
  <c r="M3943" i="1"/>
  <c r="M3942" i="1"/>
  <c r="M3941" i="1"/>
  <c r="M3938" i="1"/>
  <c r="M3935" i="1"/>
  <c r="M3934" i="1"/>
  <c r="M3931" i="1"/>
  <c r="M3930" i="1"/>
  <c r="M3929" i="1"/>
  <c r="M3928" i="1"/>
  <c r="M3925" i="1"/>
  <c r="M3924" i="1"/>
  <c r="M3923" i="1"/>
  <c r="M3922" i="1"/>
  <c r="M3919" i="1"/>
  <c r="M3915" i="1"/>
  <c r="M3911" i="1"/>
  <c r="M3908" i="1"/>
  <c r="M3905" i="1"/>
  <c r="M3902" i="1"/>
  <c r="M3899" i="1"/>
  <c r="M3898" i="1"/>
  <c r="M3897" i="1"/>
  <c r="M3894" i="1"/>
  <c r="M3891" i="1"/>
  <c r="M3890" i="1"/>
  <c r="M3887" i="1"/>
  <c r="M3886" i="1"/>
  <c r="M3885" i="1"/>
  <c r="M3882" i="1"/>
  <c r="M3879" i="1"/>
  <c r="M3876" i="1"/>
  <c r="M3872" i="1"/>
  <c r="M3868" i="1"/>
  <c r="M3867" i="1"/>
  <c r="M3863" i="1"/>
  <c r="M3859" i="1"/>
  <c r="M3856" i="1"/>
  <c r="M3853" i="1"/>
  <c r="M3849" i="1"/>
  <c r="M3846" i="1"/>
  <c r="M3842" i="1"/>
  <c r="M3839" i="1"/>
  <c r="M3836" i="1"/>
  <c r="M3832" i="1"/>
  <c r="M3828" i="1"/>
  <c r="M3825" i="1"/>
  <c r="M3822" i="1"/>
  <c r="M3821" i="1"/>
  <c r="M3820" i="1"/>
  <c r="M3819" i="1"/>
  <c r="M3815" i="1"/>
  <c r="M3811" i="1"/>
  <c r="M3810" i="1"/>
  <c r="M3807" i="1"/>
  <c r="M3806" i="1"/>
  <c r="M3803" i="1"/>
  <c r="M3799" i="1"/>
  <c r="M3798" i="1"/>
  <c r="M3795" i="1"/>
  <c r="M3792" i="1"/>
  <c r="M3791" i="1"/>
  <c r="M3790" i="1"/>
  <c r="M3789" i="1"/>
  <c r="M3784" i="1"/>
  <c r="M3783" i="1"/>
  <c r="M3779" i="1"/>
  <c r="M3776" i="1"/>
  <c r="M3773" i="1"/>
  <c r="M3772" i="1"/>
  <c r="M3771" i="1"/>
  <c r="M3768" i="1"/>
  <c r="M3765" i="1"/>
  <c r="M3761" i="1"/>
  <c r="M3758" i="1"/>
  <c r="M3755" i="1"/>
  <c r="M3754" i="1"/>
  <c r="M3751" i="1"/>
  <c r="M3750" i="1"/>
  <c r="M3746" i="1"/>
  <c r="M3743" i="1"/>
  <c r="M3742" i="1"/>
  <c r="M3739" i="1"/>
  <c r="M3738" i="1"/>
  <c r="M3737" i="1"/>
  <c r="M3736" i="1"/>
  <c r="M3733" i="1"/>
  <c r="M3730" i="1"/>
  <c r="M3729" i="1"/>
  <c r="M3726" i="1"/>
  <c r="M3725" i="1"/>
  <c r="M3724" i="1"/>
  <c r="M3721" i="1"/>
  <c r="M3720" i="1"/>
  <c r="M3717" i="1"/>
  <c r="M3714" i="1"/>
  <c r="M3711" i="1"/>
  <c r="M3708" i="1"/>
  <c r="M3705" i="1"/>
  <c r="M3702" i="1"/>
  <c r="M3701" i="1"/>
  <c r="M3700" i="1"/>
  <c r="M3697" i="1"/>
  <c r="M3696" i="1"/>
  <c r="M3695" i="1"/>
  <c r="M3692" i="1"/>
  <c r="M3691" i="1"/>
  <c r="M3690" i="1"/>
  <c r="M3687" i="1"/>
  <c r="M3686" i="1"/>
  <c r="M3683" i="1"/>
  <c r="M3680" i="1"/>
  <c r="M3677" i="1"/>
  <c r="M3674" i="1"/>
  <c r="M3671" i="1"/>
  <c r="M3668" i="1"/>
  <c r="M3665" i="1"/>
  <c r="M3664" i="1"/>
  <c r="M3660" i="1"/>
  <c r="M3656" i="1"/>
  <c r="M3655" i="1"/>
  <c r="M3651" i="1"/>
  <c r="M3650" i="1"/>
  <c r="M3649" i="1"/>
  <c r="M3648" i="1"/>
  <c r="M3645" i="1"/>
  <c r="M3644" i="1"/>
  <c r="M3641" i="1"/>
  <c r="M3638" i="1"/>
  <c r="M3637" i="1"/>
  <c r="M3634" i="1"/>
  <c r="M3631" i="1"/>
  <c r="M3628" i="1"/>
  <c r="M3625" i="1"/>
  <c r="M3624" i="1"/>
  <c r="M3621" i="1"/>
  <c r="M3618" i="1"/>
  <c r="M3617" i="1"/>
  <c r="M3616" i="1"/>
  <c r="M3613" i="1"/>
  <c r="M3610" i="1"/>
  <c r="M3609" i="1"/>
  <c r="M3608" i="1"/>
  <c r="M3605" i="1"/>
  <c r="M3602" i="1"/>
  <c r="M3599" i="1"/>
  <c r="M3598" i="1"/>
  <c r="M3595" i="1"/>
  <c r="M3592" i="1"/>
  <c r="M3591" i="1"/>
  <c r="M3588" i="1"/>
  <c r="M3585" i="1"/>
  <c r="M3582" i="1"/>
  <c r="M3579" i="1"/>
  <c r="M3576" i="1"/>
  <c r="M3573" i="1"/>
  <c r="M3570" i="1"/>
  <c r="M3567" i="1"/>
  <c r="M3564" i="1"/>
  <c r="M3561" i="1"/>
  <c r="M3558" i="1"/>
  <c r="M3555" i="1"/>
  <c r="M3552" i="1"/>
  <c r="M3549" i="1"/>
  <c r="M3546" i="1"/>
  <c r="M3543" i="1"/>
  <c r="M3540" i="1"/>
  <c r="M3537" i="1"/>
  <c r="M3534" i="1"/>
  <c r="M3531" i="1"/>
  <c r="M3528" i="1"/>
  <c r="M3525" i="1"/>
  <c r="M3522" i="1"/>
  <c r="M3519" i="1"/>
  <c r="M3514" i="1"/>
  <c r="M3513" i="1"/>
  <c r="M3510" i="1"/>
  <c r="M3507" i="1"/>
  <c r="M3504" i="1"/>
  <c r="M3501" i="1"/>
  <c r="M3500" i="1"/>
  <c r="M3499" i="1"/>
  <c r="M3498" i="1"/>
  <c r="M3495" i="1"/>
  <c r="M3492" i="1"/>
  <c r="M3491" i="1"/>
  <c r="M3488" i="1"/>
  <c r="M3487" i="1"/>
  <c r="M3484" i="1"/>
  <c r="M3481" i="1"/>
  <c r="M3480" i="1"/>
  <c r="M3477" i="1"/>
  <c r="M3476" i="1"/>
  <c r="M3475" i="1"/>
  <c r="M3470" i="1"/>
  <c r="M3466" i="1"/>
  <c r="M3465" i="1"/>
  <c r="M3464" i="1"/>
  <c r="M3460" i="1"/>
  <c r="M3457" i="1"/>
  <c r="M3456" i="1"/>
  <c r="M3455" i="1"/>
  <c r="M3454" i="1"/>
  <c r="M3451" i="1"/>
  <c r="M3450" i="1"/>
  <c r="M3449" i="1"/>
  <c r="M3448" i="1"/>
  <c r="M3447" i="1"/>
  <c r="M3444" i="1"/>
  <c r="M3443" i="1"/>
  <c r="M3440" i="1"/>
  <c r="M3439" i="1"/>
  <c r="M3438" i="1"/>
  <c r="M3437" i="1"/>
  <c r="M3436" i="1"/>
  <c r="M3433" i="1"/>
  <c r="M3430" i="1"/>
  <c r="M3429" i="1"/>
  <c r="M3428" i="1"/>
  <c r="M3425" i="1"/>
  <c r="M3422" i="1"/>
  <c r="M3419" i="1"/>
  <c r="M3416" i="1"/>
  <c r="M3415" i="1"/>
  <c r="M3414" i="1"/>
  <c r="M3411" i="1"/>
  <c r="M3410" i="1"/>
  <c r="M3407" i="1"/>
  <c r="M3406" i="1"/>
  <c r="M3405" i="1"/>
  <c r="M3404" i="1"/>
  <c r="M3401" i="1"/>
  <c r="M3400" i="1"/>
  <c r="M3397" i="1"/>
  <c r="M3394" i="1"/>
  <c r="M3393" i="1"/>
  <c r="M3392" i="1"/>
  <c r="M3391" i="1"/>
  <c r="M3388" i="1"/>
  <c r="M3385" i="1"/>
  <c r="M3384" i="1"/>
  <c r="M3381" i="1"/>
  <c r="M3380" i="1"/>
  <c r="M3379" i="1"/>
  <c r="M3378" i="1"/>
  <c r="M3377" i="1"/>
  <c r="M3373" i="1"/>
  <c r="M3369" i="1"/>
  <c r="M3368" i="1"/>
  <c r="M3364" i="1"/>
  <c r="M3360" i="1"/>
  <c r="M3359" i="1"/>
  <c r="M3356" i="1"/>
  <c r="M3355" i="1"/>
  <c r="M3351" i="1"/>
  <c r="M3347" i="1"/>
  <c r="M3346" i="1"/>
  <c r="M3342" i="1"/>
  <c r="M3341" i="1"/>
  <c r="M3338" i="1"/>
  <c r="M3337" i="1"/>
  <c r="M3334" i="1"/>
  <c r="M3333" i="1"/>
  <c r="M3330" i="1"/>
  <c r="M3329" i="1"/>
  <c r="M3326" i="1"/>
  <c r="M3323" i="1"/>
  <c r="M3320" i="1"/>
  <c r="M3317" i="1"/>
  <c r="M3316" i="1"/>
  <c r="M3312" i="1"/>
  <c r="M3309" i="1"/>
  <c r="M3305" i="1"/>
  <c r="M3304" i="1"/>
  <c r="M3300" i="1"/>
  <c r="M3297" i="1"/>
  <c r="M3293" i="1"/>
  <c r="M3290" i="1"/>
  <c r="M3287" i="1"/>
  <c r="M3283" i="1"/>
  <c r="M3279" i="1"/>
  <c r="M3276" i="1"/>
  <c r="M3275" i="1"/>
  <c r="M3274" i="1"/>
  <c r="M3273" i="1"/>
  <c r="M3270" i="1"/>
  <c r="M3267" i="1"/>
  <c r="M3266" i="1"/>
  <c r="M3263" i="1"/>
  <c r="M3260" i="1"/>
  <c r="M3259" i="1"/>
  <c r="M3258" i="1"/>
  <c r="M3257" i="1"/>
  <c r="M3256" i="1"/>
  <c r="M3255" i="1"/>
  <c r="M3251" i="1"/>
  <c r="M3250" i="1"/>
  <c r="M3247" i="1"/>
  <c r="M3244" i="1"/>
  <c r="M3243" i="1"/>
  <c r="M3242" i="1"/>
  <c r="M3239" i="1"/>
  <c r="M3236" i="1"/>
  <c r="M3232" i="1"/>
  <c r="M3231" i="1"/>
  <c r="M3230" i="1"/>
  <c r="M3227" i="1"/>
  <c r="M3224" i="1"/>
  <c r="M3223" i="1"/>
  <c r="M3220" i="1"/>
  <c r="M3216" i="1"/>
  <c r="M3213" i="1"/>
  <c r="M3208" i="1"/>
  <c r="M3204" i="1"/>
  <c r="M3201" i="1"/>
  <c r="M3200" i="1"/>
  <c r="M3197" i="1"/>
  <c r="M3196" i="1"/>
  <c r="M3195" i="1"/>
  <c r="M3194" i="1"/>
  <c r="M3193" i="1"/>
  <c r="M3192" i="1"/>
  <c r="M3191" i="1"/>
  <c r="M3190" i="1"/>
  <c r="M3187" i="1"/>
  <c r="M3184" i="1"/>
  <c r="M3183" i="1"/>
  <c r="M3182" i="1"/>
  <c r="M3181" i="1"/>
  <c r="M3180" i="1"/>
  <c r="M3179" i="1"/>
  <c r="M3178" i="1"/>
  <c r="M3175" i="1"/>
  <c r="M3174" i="1"/>
  <c r="M3171" i="1"/>
  <c r="M3170" i="1"/>
  <c r="M3169" i="1"/>
  <c r="M3168" i="1"/>
  <c r="M3167" i="1"/>
  <c r="M3166" i="1"/>
  <c r="M3165" i="1"/>
  <c r="M3164" i="1"/>
  <c r="M3163" i="1"/>
  <c r="M3160" i="1"/>
  <c r="M3157" i="1"/>
  <c r="M3156" i="1"/>
  <c r="M3155" i="1"/>
  <c r="M3154" i="1"/>
  <c r="M3153" i="1"/>
  <c r="M3152" i="1"/>
  <c r="M3151" i="1"/>
  <c r="M3150" i="1"/>
  <c r="M3149" i="1"/>
  <c r="M3145" i="1"/>
  <c r="M3144" i="1"/>
  <c r="M3143" i="1"/>
  <c r="M3140" i="1"/>
  <c r="M3139" i="1"/>
  <c r="M3138" i="1"/>
  <c r="M3137" i="1"/>
  <c r="M3133" i="1"/>
  <c r="M3128" i="1"/>
  <c r="M3125" i="1"/>
  <c r="M3124" i="1"/>
  <c r="M3123" i="1"/>
  <c r="M3120" i="1"/>
  <c r="M3116" i="1"/>
  <c r="M3115" i="1"/>
  <c r="M3111" i="1"/>
  <c r="M3107" i="1"/>
  <c r="M3104" i="1"/>
  <c r="M3103" i="1"/>
  <c r="M3100" i="1"/>
  <c r="M3097" i="1"/>
  <c r="M3096" i="1"/>
  <c r="M3095" i="1"/>
  <c r="M3092" i="1"/>
  <c r="M3091" i="1"/>
  <c r="M3090" i="1"/>
  <c r="M3087" i="1"/>
  <c r="M3086" i="1"/>
  <c r="M3085" i="1"/>
  <c r="M3084" i="1"/>
  <c r="M3081" i="1"/>
  <c r="M3080" i="1"/>
  <c r="M3079" i="1"/>
  <c r="M3078" i="1"/>
  <c r="M3077" i="1"/>
  <c r="M3074" i="1"/>
  <c r="M3071" i="1"/>
  <c r="M3068" i="1"/>
  <c r="M3067" i="1"/>
  <c r="M3062" i="1"/>
  <c r="M3061" i="1"/>
  <c r="M3058" i="1"/>
  <c r="M3055" i="1"/>
  <c r="M3054" i="1"/>
  <c r="M3053" i="1"/>
  <c r="M3052" i="1"/>
  <c r="M3051" i="1"/>
  <c r="M3050" i="1"/>
  <c r="M3049" i="1"/>
  <c r="M3048" i="1"/>
  <c r="M3044" i="1"/>
  <c r="M3041" i="1"/>
  <c r="M3040" i="1"/>
  <c r="M3039" i="1"/>
  <c r="M3038" i="1"/>
  <c r="M3037" i="1"/>
  <c r="M3033" i="1"/>
  <c r="M3029" i="1"/>
  <c r="M3026" i="1"/>
  <c r="M3023" i="1"/>
  <c r="M3020" i="1"/>
  <c r="M3019" i="1"/>
  <c r="M3016" i="1"/>
  <c r="M3015" i="1"/>
  <c r="M3012" i="1"/>
  <c r="M3011" i="1"/>
  <c r="M3010" i="1"/>
  <c r="M3009" i="1"/>
  <c r="M3008" i="1"/>
  <c r="M3004" i="1"/>
  <c r="M3000" i="1"/>
  <c r="M2999" i="1"/>
  <c r="M2998" i="1"/>
  <c r="M2997" i="1"/>
  <c r="M2996" i="1"/>
  <c r="M2993" i="1"/>
  <c r="M2990" i="1"/>
  <c r="M2989" i="1"/>
  <c r="M2988" i="1"/>
  <c r="M2985" i="1"/>
  <c r="M2984" i="1"/>
  <c r="M2980" i="1"/>
  <c r="M2976" i="1"/>
  <c r="M2973" i="1"/>
  <c r="M2972" i="1"/>
  <c r="M2971" i="1"/>
  <c r="M2970" i="1"/>
  <c r="M2967" i="1"/>
  <c r="M2966" i="1"/>
  <c r="M2965" i="1"/>
  <c r="M2964" i="1"/>
  <c r="M2961" i="1"/>
  <c r="M2957" i="1"/>
  <c r="M2954" i="1"/>
  <c r="M2953" i="1"/>
  <c r="M2950" i="1"/>
  <c r="M2947" i="1"/>
  <c r="M2946" i="1"/>
  <c r="M2945" i="1"/>
  <c r="M2944" i="1"/>
  <c r="M2943" i="1"/>
  <c r="M2942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1" i="1"/>
  <c r="M2918" i="1"/>
  <c r="M2917" i="1"/>
  <c r="M2914" i="1"/>
  <c r="M2913" i="1"/>
  <c r="M2912" i="1"/>
  <c r="M2909" i="1"/>
  <c r="M2906" i="1"/>
  <c r="M2905" i="1"/>
  <c r="M2904" i="1"/>
  <c r="M2903" i="1"/>
  <c r="M2902" i="1"/>
  <c r="M2899" i="1"/>
  <c r="M2896" i="1"/>
  <c r="M2893" i="1"/>
  <c r="M2890" i="1"/>
  <c r="M2889" i="1"/>
  <c r="M2886" i="1"/>
  <c r="M2885" i="1"/>
  <c r="M2882" i="1"/>
  <c r="M2879" i="1"/>
  <c r="M2876" i="1"/>
  <c r="M2873" i="1"/>
  <c r="M2872" i="1"/>
  <c r="M2869" i="1"/>
  <c r="M2868" i="1"/>
  <c r="M2865" i="1"/>
  <c r="M2864" i="1"/>
  <c r="M2863" i="1"/>
  <c r="M2862" i="1"/>
  <c r="M2861" i="1"/>
  <c r="M2860" i="1"/>
  <c r="M2859" i="1"/>
  <c r="M2856" i="1"/>
  <c r="M2855" i="1"/>
  <c r="M2854" i="1"/>
  <c r="M2853" i="1"/>
  <c r="M2852" i="1"/>
  <c r="M2849" i="1"/>
  <c r="M2848" i="1"/>
  <c r="M2847" i="1"/>
  <c r="M2846" i="1"/>
  <c r="M2845" i="1"/>
  <c r="M2844" i="1"/>
  <c r="M2843" i="1"/>
  <c r="M2840" i="1"/>
  <c r="M2839" i="1"/>
  <c r="M2838" i="1"/>
  <c r="M2837" i="1"/>
  <c r="M2836" i="1"/>
  <c r="M2835" i="1"/>
  <c r="M2834" i="1"/>
  <c r="M2833" i="1"/>
  <c r="M2832" i="1"/>
  <c r="M2831" i="1"/>
  <c r="M2830" i="1"/>
  <c r="M2827" i="1"/>
  <c r="M2826" i="1"/>
  <c r="M2825" i="1"/>
  <c r="M2824" i="1"/>
  <c r="M2821" i="1"/>
  <c r="M2820" i="1"/>
  <c r="M2817" i="1"/>
  <c r="M2814" i="1"/>
  <c r="M2811" i="1"/>
  <c r="M2810" i="1"/>
  <c r="M2809" i="1"/>
  <c r="M2806" i="1"/>
  <c r="M2803" i="1"/>
  <c r="M2800" i="1"/>
  <c r="M2799" i="1"/>
  <c r="M2798" i="1"/>
  <c r="M2797" i="1"/>
  <c r="M2794" i="1"/>
  <c r="M2791" i="1"/>
  <c r="M2790" i="1"/>
  <c r="M2789" i="1"/>
  <c r="M2784" i="1"/>
  <c r="M2783" i="1"/>
  <c r="M2780" i="1"/>
  <c r="M2776" i="1"/>
  <c r="M2773" i="1"/>
  <c r="M2772" i="1"/>
  <c r="M2771" i="1"/>
  <c r="M2768" i="1"/>
  <c r="M2767" i="1"/>
  <c r="M2764" i="1"/>
  <c r="M2761" i="1"/>
  <c r="M2760" i="1"/>
  <c r="M2759" i="1"/>
  <c r="M2756" i="1"/>
  <c r="M2755" i="1"/>
  <c r="M2752" i="1"/>
  <c r="M2749" i="1"/>
  <c r="M2748" i="1"/>
  <c r="M2745" i="1"/>
  <c r="M2744" i="1"/>
  <c r="M2743" i="1"/>
  <c r="M2740" i="1"/>
  <c r="M2739" i="1"/>
  <c r="M2738" i="1"/>
  <c r="M2737" i="1"/>
  <c r="M2736" i="1"/>
  <c r="M2735" i="1"/>
  <c r="M2734" i="1"/>
  <c r="M2733" i="1"/>
  <c r="M2730" i="1"/>
  <c r="M2726" i="1"/>
  <c r="M2725" i="1"/>
  <c r="M2722" i="1"/>
  <c r="M2721" i="1"/>
  <c r="M2717" i="1"/>
  <c r="M2716" i="1"/>
  <c r="M2715" i="1"/>
  <c r="M2714" i="1"/>
  <c r="M2713" i="1"/>
  <c r="M2712" i="1"/>
  <c r="M2709" i="1"/>
  <c r="M2708" i="1"/>
  <c r="M2707" i="1"/>
  <c r="M2703" i="1"/>
  <c r="M2702" i="1"/>
  <c r="M2699" i="1"/>
  <c r="M2698" i="1"/>
  <c r="M2694" i="1"/>
  <c r="M2693" i="1"/>
  <c r="M2689" i="1"/>
  <c r="M2688" i="1"/>
  <c r="M2687" i="1"/>
  <c r="M2686" i="1"/>
  <c r="M2685" i="1"/>
  <c r="M2684" i="1"/>
  <c r="M2681" i="1"/>
  <c r="M2680" i="1"/>
  <c r="M2679" i="1"/>
  <c r="M2678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59" i="1"/>
  <c r="M2656" i="1"/>
  <c r="M2655" i="1"/>
  <c r="M2652" i="1"/>
  <c r="M2649" i="1"/>
  <c r="M2648" i="1"/>
  <c r="M2647" i="1"/>
  <c r="M2644" i="1"/>
  <c r="M2643" i="1"/>
  <c r="M2642" i="1"/>
  <c r="M2639" i="1"/>
  <c r="M2638" i="1"/>
  <c r="M2634" i="1"/>
  <c r="M2631" i="1"/>
  <c r="M2630" i="1"/>
  <c r="M2626" i="1"/>
  <c r="M2622" i="1"/>
  <c r="M2621" i="1"/>
  <c r="M2618" i="1"/>
  <c r="M2615" i="1"/>
  <c r="M2614" i="1"/>
  <c r="M2611" i="1"/>
  <c r="M2608" i="1"/>
  <c r="M2607" i="1"/>
  <c r="M2604" i="1"/>
  <c r="M2603" i="1"/>
  <c r="M2600" i="1"/>
  <c r="M2599" i="1"/>
  <c r="M2598" i="1"/>
  <c r="M2597" i="1"/>
  <c r="M2596" i="1"/>
  <c r="M2595" i="1"/>
  <c r="M2594" i="1"/>
  <c r="M2593" i="1"/>
  <c r="M2590" i="1"/>
  <c r="M2589" i="1"/>
  <c r="M2588" i="1"/>
  <c r="M2587" i="1"/>
  <c r="M2586" i="1"/>
  <c r="M2585" i="1"/>
  <c r="M2584" i="1"/>
  <c r="M2583" i="1"/>
  <c r="M2582" i="1"/>
  <c r="M2579" i="1"/>
  <c r="M2578" i="1"/>
  <c r="M2577" i="1"/>
  <c r="M2576" i="1"/>
  <c r="M2573" i="1"/>
  <c r="M2572" i="1"/>
  <c r="M2571" i="1"/>
  <c r="M2570" i="1"/>
  <c r="M2569" i="1"/>
  <c r="M2566" i="1"/>
  <c r="M2565" i="1"/>
  <c r="M2564" i="1"/>
  <c r="M2561" i="1"/>
  <c r="M2560" i="1"/>
  <c r="M2559" i="1"/>
  <c r="M2558" i="1"/>
  <c r="M2557" i="1"/>
  <c r="M2556" i="1"/>
  <c r="M2555" i="1"/>
  <c r="M2554" i="1"/>
  <c r="M2551" i="1"/>
  <c r="M2550" i="1"/>
  <c r="M2549" i="1"/>
  <c r="M2546" i="1"/>
  <c r="M2545" i="1"/>
  <c r="M2544" i="1"/>
  <c r="M2541" i="1"/>
  <c r="M2538" i="1"/>
  <c r="M2537" i="1"/>
  <c r="M2534" i="1"/>
  <c r="M2531" i="1"/>
  <c r="M2530" i="1"/>
  <c r="M2529" i="1"/>
  <c r="M2526" i="1"/>
  <c r="M2525" i="1"/>
  <c r="M2524" i="1"/>
  <c r="M2523" i="1"/>
  <c r="M2520" i="1"/>
  <c r="M2519" i="1"/>
  <c r="M2516" i="1"/>
  <c r="M2513" i="1"/>
  <c r="M2512" i="1"/>
  <c r="M2509" i="1"/>
  <c r="M2508" i="1"/>
  <c r="M2507" i="1"/>
  <c r="M2502" i="1"/>
  <c r="M2501" i="1"/>
  <c r="M2500" i="1"/>
  <c r="M2499" i="1"/>
  <c r="M2498" i="1"/>
  <c r="M2495" i="1"/>
  <c r="M2494" i="1"/>
  <c r="M2491" i="1"/>
  <c r="M2490" i="1"/>
  <c r="M2489" i="1"/>
  <c r="M2488" i="1"/>
  <c r="M2487" i="1"/>
  <c r="M2484" i="1"/>
  <c r="M2483" i="1"/>
  <c r="M2482" i="1"/>
  <c r="M2479" i="1"/>
  <c r="M2478" i="1"/>
  <c r="M2475" i="1"/>
  <c r="M2474" i="1"/>
  <c r="M2471" i="1"/>
  <c r="M2470" i="1"/>
  <c r="M2469" i="1"/>
  <c r="M2468" i="1"/>
  <c r="M2465" i="1"/>
  <c r="M2464" i="1"/>
  <c r="M2463" i="1"/>
  <c r="M2460" i="1"/>
  <c r="M2457" i="1"/>
  <c r="M2456" i="1"/>
  <c r="M2453" i="1"/>
  <c r="M2450" i="1"/>
  <c r="M2449" i="1"/>
  <c r="M2448" i="1"/>
  <c r="M2447" i="1"/>
  <c r="M2446" i="1"/>
  <c r="M2445" i="1"/>
  <c r="M2442" i="1"/>
  <c r="M2441" i="1"/>
  <c r="M2438" i="1"/>
  <c r="M2435" i="1"/>
  <c r="M2432" i="1"/>
  <c r="M2431" i="1"/>
  <c r="M2430" i="1"/>
  <c r="M2429" i="1"/>
  <c r="M2426" i="1"/>
  <c r="M2425" i="1"/>
  <c r="M2424" i="1"/>
  <c r="M2423" i="1"/>
  <c r="M2422" i="1"/>
  <c r="M2419" i="1"/>
  <c r="M2416" i="1"/>
  <c r="M2413" i="1"/>
  <c r="M2410" i="1"/>
  <c r="M2409" i="1"/>
  <c r="M2408" i="1"/>
  <c r="M2407" i="1"/>
  <c r="M2406" i="1"/>
  <c r="M2403" i="1"/>
  <c r="M2400" i="1"/>
  <c r="M2397" i="1"/>
  <c r="M2396" i="1"/>
  <c r="M2392" i="1"/>
  <c r="M2387" i="1"/>
  <c r="M2386" i="1"/>
  <c r="M2383" i="1"/>
  <c r="M2382" i="1"/>
  <c r="M2381" i="1"/>
  <c r="M2380" i="1"/>
  <c r="M2376" i="1"/>
  <c r="M2373" i="1"/>
  <c r="M2369" i="1"/>
  <c r="M2368" i="1"/>
  <c r="M2367" i="1"/>
  <c r="M2364" i="1"/>
  <c r="M2363" i="1"/>
  <c r="M2362" i="1"/>
  <c r="M2361" i="1"/>
  <c r="M2360" i="1"/>
  <c r="M2359" i="1"/>
  <c r="M2358" i="1"/>
  <c r="M2355" i="1"/>
  <c r="M2354" i="1"/>
  <c r="M2353" i="1"/>
  <c r="M2350" i="1"/>
  <c r="M2349" i="1"/>
  <c r="M2346" i="1"/>
  <c r="M2345" i="1"/>
  <c r="M2342" i="1"/>
  <c r="M2339" i="1"/>
  <c r="M2335" i="1"/>
  <c r="M2334" i="1"/>
  <c r="M2333" i="1"/>
  <c r="M2332" i="1"/>
  <c r="M2331" i="1"/>
  <c r="M2330" i="1"/>
  <c r="M2329" i="1"/>
  <c r="M2328" i="1"/>
  <c r="M2325" i="1"/>
  <c r="M2324" i="1"/>
  <c r="M2321" i="1"/>
  <c r="M2318" i="1"/>
  <c r="M2317" i="1"/>
  <c r="M2316" i="1"/>
  <c r="M2313" i="1"/>
  <c r="M2312" i="1"/>
  <c r="M2311" i="1"/>
  <c r="M2308" i="1"/>
  <c r="M2307" i="1"/>
  <c r="M2304" i="1"/>
  <c r="M2303" i="1"/>
  <c r="M2300" i="1"/>
  <c r="M2297" i="1"/>
  <c r="M2296" i="1"/>
  <c r="M2293" i="1"/>
  <c r="M2290" i="1"/>
  <c r="M2287" i="1"/>
  <c r="M2286" i="1"/>
  <c r="M2285" i="1"/>
  <c r="M2284" i="1"/>
  <c r="M2283" i="1"/>
  <c r="M2282" i="1"/>
  <c r="M2281" i="1"/>
  <c r="M2280" i="1"/>
  <c r="M2277" i="1"/>
  <c r="M2276" i="1"/>
  <c r="M2275" i="1"/>
  <c r="M2274" i="1"/>
  <c r="M2273" i="1"/>
  <c r="M2272" i="1"/>
  <c r="M2271" i="1"/>
  <c r="M2270" i="1"/>
  <c r="M2269" i="1"/>
  <c r="M2266" i="1"/>
  <c r="M2263" i="1"/>
  <c r="M2262" i="1"/>
  <c r="M2261" i="1"/>
  <c r="M2260" i="1"/>
  <c r="M2259" i="1"/>
  <c r="M2256" i="1"/>
  <c r="M2253" i="1"/>
  <c r="M2252" i="1"/>
  <c r="M2249" i="1"/>
  <c r="M2246" i="1"/>
  <c r="M2245" i="1"/>
  <c r="M2244" i="1"/>
  <c r="M2243" i="1"/>
  <c r="M2242" i="1"/>
  <c r="M2241" i="1"/>
  <c r="M2238" i="1"/>
  <c r="M2235" i="1"/>
  <c r="M2234" i="1"/>
  <c r="M2231" i="1"/>
  <c r="M2228" i="1"/>
  <c r="M2225" i="1"/>
  <c r="M2222" i="1"/>
  <c r="M2221" i="1"/>
  <c r="M2220" i="1"/>
  <c r="M2219" i="1"/>
  <c r="M2218" i="1"/>
  <c r="M2217" i="1"/>
  <c r="M2216" i="1"/>
  <c r="M2215" i="1"/>
  <c r="M2214" i="1"/>
  <c r="M2213" i="1"/>
  <c r="M2212" i="1"/>
  <c r="M2209" i="1"/>
  <c r="M2208" i="1"/>
  <c r="M2207" i="1"/>
  <c r="M2206" i="1"/>
  <c r="M2205" i="1"/>
  <c r="M2204" i="1"/>
  <c r="M2201" i="1"/>
  <c r="M2200" i="1"/>
  <c r="M2199" i="1"/>
  <c r="M2198" i="1"/>
  <c r="M2197" i="1"/>
  <c r="M2196" i="1"/>
  <c r="M2195" i="1"/>
  <c r="M2194" i="1"/>
  <c r="M2193" i="1"/>
  <c r="M2192" i="1"/>
  <c r="M2189" i="1"/>
  <c r="M2186" i="1"/>
  <c r="M2185" i="1"/>
  <c r="M2184" i="1"/>
  <c r="M2183" i="1"/>
  <c r="M2182" i="1"/>
  <c r="M2179" i="1"/>
  <c r="M2178" i="1"/>
  <c r="M2177" i="1"/>
  <c r="M2174" i="1"/>
  <c r="M2173" i="1"/>
  <c r="M2170" i="1"/>
  <c r="M2167" i="1"/>
  <c r="M2164" i="1"/>
  <c r="M2163" i="1"/>
  <c r="M2162" i="1"/>
  <c r="M2161" i="1"/>
  <c r="M2160" i="1"/>
  <c r="M2159" i="1"/>
  <c r="M2158" i="1"/>
  <c r="M2157" i="1"/>
  <c r="M2156" i="1"/>
  <c r="M2153" i="1"/>
  <c r="M2152" i="1"/>
  <c r="M2151" i="1"/>
  <c r="M2150" i="1"/>
  <c r="M2149" i="1"/>
  <c r="M2148" i="1"/>
  <c r="M2147" i="1"/>
  <c r="M2146" i="1"/>
  <c r="M2145" i="1"/>
  <c r="M2144" i="1"/>
  <c r="M2143" i="1"/>
  <c r="M2140" i="1"/>
  <c r="M2139" i="1"/>
  <c r="M2138" i="1"/>
  <c r="M2137" i="1"/>
  <c r="M2136" i="1"/>
  <c r="M2135" i="1"/>
  <c r="M2132" i="1"/>
  <c r="M2131" i="1"/>
  <c r="M2130" i="1"/>
  <c r="M2129" i="1"/>
  <c r="M2128" i="1"/>
  <c r="M2127" i="1"/>
  <c r="M2126" i="1"/>
  <c r="M2123" i="1"/>
  <c r="M2122" i="1"/>
  <c r="M2121" i="1"/>
  <c r="M2118" i="1"/>
  <c r="M2117" i="1"/>
  <c r="M2116" i="1"/>
  <c r="M2113" i="1"/>
  <c r="M2112" i="1"/>
  <c r="M2109" i="1"/>
  <c r="M2108" i="1"/>
  <c r="M2107" i="1"/>
  <c r="M2102" i="1"/>
  <c r="M2099" i="1"/>
  <c r="M2095" i="1"/>
  <c r="M2092" i="1"/>
  <c r="M2091" i="1"/>
  <c r="M2088" i="1"/>
  <c r="M2085" i="1"/>
  <c r="M2082" i="1"/>
  <c r="M2079" i="1"/>
  <c r="M2076" i="1"/>
  <c r="M2075" i="1"/>
  <c r="M2074" i="1"/>
  <c r="M2071" i="1"/>
  <c r="M2070" i="1"/>
  <c r="M2069" i="1"/>
  <c r="M2068" i="1"/>
  <c r="M2067" i="1"/>
  <c r="M2066" i="1"/>
  <c r="M2063" i="1"/>
  <c r="M2060" i="1"/>
  <c r="M2059" i="1"/>
  <c r="M2056" i="1"/>
  <c r="M2055" i="1"/>
  <c r="M2052" i="1"/>
  <c r="M2049" i="1"/>
  <c r="M2048" i="1"/>
  <c r="M2045" i="1"/>
  <c r="M2044" i="1"/>
  <c r="M2043" i="1"/>
  <c r="M2042" i="1"/>
  <c r="M2039" i="1"/>
  <c r="M2038" i="1"/>
  <c r="M2037" i="1"/>
  <c r="M2036" i="1"/>
  <c r="M2035" i="1"/>
  <c r="M2032" i="1"/>
  <c r="M2031" i="1"/>
  <c r="M2030" i="1"/>
  <c r="M2029" i="1"/>
  <c r="M2028" i="1"/>
  <c r="M2027" i="1"/>
  <c r="M2026" i="1"/>
  <c r="M2023" i="1"/>
  <c r="M2020" i="1"/>
  <c r="M2017" i="1"/>
  <c r="M2016" i="1"/>
  <c r="M2015" i="1"/>
  <c r="M2014" i="1"/>
  <c r="M2013" i="1"/>
  <c r="M2012" i="1"/>
  <c r="M2011" i="1"/>
  <c r="M2008" i="1"/>
  <c r="M2005" i="1"/>
  <c r="M2002" i="1"/>
  <c r="M1999" i="1"/>
  <c r="M1998" i="1"/>
  <c r="M1997" i="1"/>
  <c r="M1996" i="1"/>
  <c r="M1993" i="1"/>
  <c r="M1990" i="1"/>
  <c r="M1987" i="1"/>
  <c r="M1986" i="1"/>
  <c r="M1983" i="1"/>
  <c r="M1980" i="1"/>
  <c r="M1977" i="1"/>
  <c r="M1974" i="1"/>
  <c r="M1973" i="1"/>
  <c r="M1972" i="1"/>
  <c r="M1971" i="1"/>
  <c r="M1970" i="1"/>
  <c r="M1967" i="1"/>
  <c r="M1966" i="1"/>
  <c r="M1965" i="1"/>
  <c r="M1962" i="1"/>
  <c r="M1961" i="1"/>
  <c r="M1960" i="1"/>
  <c r="M1957" i="1"/>
  <c r="M1956" i="1"/>
  <c r="M1953" i="1"/>
  <c r="M1952" i="1"/>
  <c r="M1951" i="1"/>
  <c r="M1948" i="1"/>
  <c r="M1945" i="1"/>
  <c r="M1942" i="1"/>
  <c r="M1939" i="1"/>
  <c r="M1936" i="1"/>
  <c r="M1935" i="1"/>
  <c r="M1932" i="1"/>
  <c r="M1929" i="1"/>
  <c r="M1926" i="1"/>
  <c r="M1923" i="1"/>
  <c r="M1920" i="1"/>
  <c r="M1917" i="1"/>
  <c r="M1916" i="1"/>
  <c r="M1915" i="1"/>
  <c r="M1914" i="1"/>
  <c r="M1910" i="1"/>
  <c r="M1909" i="1"/>
  <c r="M1908" i="1"/>
  <c r="M1907" i="1"/>
  <c r="M1906" i="1"/>
  <c r="M1903" i="1"/>
  <c r="M1900" i="1"/>
  <c r="M1897" i="1"/>
  <c r="M1896" i="1"/>
  <c r="M1893" i="1"/>
  <c r="M1890" i="1"/>
  <c r="M1889" i="1"/>
  <c r="M1886" i="1"/>
  <c r="M1883" i="1"/>
  <c r="M1880" i="1"/>
  <c r="M1877" i="1"/>
  <c r="M1876" i="1"/>
  <c r="M1873" i="1"/>
  <c r="M1870" i="1"/>
  <c r="M1867" i="1"/>
  <c r="M1866" i="1"/>
  <c r="M1863" i="1"/>
  <c r="M1860" i="1"/>
  <c r="M1857" i="1"/>
  <c r="M1853" i="1"/>
  <c r="M1850" i="1"/>
  <c r="M1847" i="1"/>
  <c r="M1846" i="1"/>
  <c r="M1843" i="1"/>
  <c r="M1842" i="1"/>
  <c r="M1839" i="1"/>
  <c r="M1835" i="1"/>
  <c r="M1831" i="1"/>
  <c r="M1828" i="1"/>
  <c r="M1824" i="1"/>
  <c r="M1823" i="1"/>
  <c r="M1820" i="1"/>
  <c r="M1817" i="1"/>
  <c r="M1814" i="1"/>
  <c r="M1813" i="1"/>
  <c r="M1812" i="1"/>
  <c r="M1811" i="1"/>
  <c r="M1807" i="1"/>
  <c r="M1804" i="1"/>
  <c r="M1803" i="1"/>
  <c r="M1802" i="1"/>
  <c r="M1798" i="1"/>
  <c r="M1797" i="1"/>
  <c r="M1794" i="1"/>
  <c r="M1793" i="1"/>
  <c r="M1790" i="1"/>
  <c r="M1787" i="1"/>
  <c r="M1784" i="1"/>
  <c r="M1783" i="1"/>
  <c r="M1782" i="1"/>
  <c r="M1781" i="1"/>
  <c r="M1777" i="1"/>
  <c r="M1774" i="1"/>
  <c r="M1771" i="1"/>
  <c r="M1768" i="1"/>
  <c r="M1765" i="1"/>
  <c r="M1762" i="1"/>
  <c r="M1759" i="1"/>
  <c r="M1756" i="1"/>
  <c r="M1753" i="1"/>
  <c r="M1750" i="1"/>
  <c r="M1747" i="1"/>
  <c r="M1744" i="1"/>
  <c r="M1741" i="1"/>
  <c r="M1738" i="1"/>
  <c r="M1734" i="1"/>
  <c r="M1731" i="1"/>
  <c r="M1728" i="1"/>
  <c r="M1727" i="1"/>
  <c r="M1726" i="1"/>
  <c r="M1725" i="1"/>
  <c r="M1722" i="1"/>
  <c r="M1719" i="1"/>
  <c r="M1714" i="1"/>
  <c r="M1710" i="1"/>
  <c r="M1707" i="1"/>
  <c r="M1704" i="1"/>
  <c r="M1701" i="1"/>
  <c r="M1700" i="1"/>
  <c r="M1699" i="1"/>
  <c r="M1698" i="1"/>
  <c r="M1695" i="1"/>
  <c r="M1692" i="1"/>
  <c r="M1689" i="1"/>
  <c r="M1688" i="1"/>
  <c r="M1685" i="1"/>
  <c r="M1684" i="1"/>
  <c r="M1683" i="1"/>
  <c r="M1682" i="1"/>
  <c r="M1681" i="1"/>
  <c r="M1680" i="1"/>
  <c r="M1676" i="1"/>
  <c r="M1675" i="1"/>
  <c r="M1672" i="1"/>
  <c r="M1668" i="1"/>
  <c r="M1667" i="1"/>
  <c r="M1664" i="1"/>
  <c r="M1663" i="1"/>
  <c r="M1662" i="1"/>
  <c r="M1661" i="1"/>
  <c r="M1660" i="1"/>
  <c r="M1657" i="1"/>
  <c r="M1654" i="1"/>
  <c r="M1653" i="1"/>
  <c r="M1650" i="1"/>
  <c r="M1649" i="1"/>
  <c r="M1648" i="1"/>
  <c r="M1645" i="1"/>
  <c r="M1642" i="1"/>
  <c r="M1641" i="1"/>
  <c r="M1640" i="1"/>
  <c r="M1636" i="1"/>
  <c r="M1635" i="1"/>
  <c r="M1632" i="1"/>
  <c r="M1628" i="1"/>
  <c r="M1627" i="1"/>
  <c r="M1626" i="1"/>
  <c r="M1622" i="1"/>
  <c r="M1619" i="1"/>
  <c r="M1616" i="1"/>
  <c r="M1615" i="1"/>
  <c r="M1614" i="1"/>
  <c r="M1610" i="1"/>
  <c r="M1609" i="1"/>
  <c r="M1605" i="1"/>
  <c r="M1601" i="1"/>
  <c r="M1597" i="1"/>
  <c r="M1593" i="1"/>
  <c r="M1592" i="1"/>
  <c r="M1591" i="1"/>
  <c r="M1590" i="1"/>
  <c r="M1585" i="1"/>
  <c r="M1582" i="1"/>
  <c r="M1581" i="1"/>
  <c r="M1578" i="1"/>
  <c r="M1574" i="1"/>
  <c r="M1570" i="1"/>
  <c r="M1567" i="1"/>
  <c r="M1563" i="1"/>
  <c r="M1559" i="1"/>
  <c r="M1556" i="1"/>
  <c r="M1553" i="1"/>
  <c r="M1550" i="1"/>
  <c r="M1547" i="1"/>
  <c r="M1544" i="1"/>
  <c r="M1541" i="1"/>
  <c r="M1536" i="1"/>
  <c r="M1533" i="1"/>
  <c r="M1532" i="1"/>
  <c r="M1528" i="1"/>
  <c r="M1527" i="1"/>
  <c r="M1526" i="1"/>
  <c r="M1525" i="1"/>
  <c r="M1522" i="1"/>
  <c r="M1521" i="1"/>
  <c r="M1520" i="1"/>
  <c r="M1517" i="1"/>
  <c r="M1516" i="1"/>
  <c r="M1515" i="1"/>
  <c r="M1514" i="1"/>
  <c r="M1513" i="1"/>
  <c r="M1510" i="1"/>
  <c r="M1509" i="1"/>
  <c r="M1508" i="1"/>
  <c r="M1507" i="1"/>
  <c r="M1506" i="1"/>
  <c r="M1503" i="1"/>
  <c r="M1502" i="1"/>
  <c r="M1499" i="1"/>
  <c r="M1498" i="1"/>
  <c r="M1497" i="1"/>
  <c r="M1494" i="1"/>
  <c r="M1493" i="1"/>
  <c r="M1492" i="1"/>
  <c r="M1491" i="1"/>
  <c r="M1488" i="1"/>
  <c r="M1485" i="1"/>
  <c r="M1481" i="1"/>
  <c r="M1477" i="1"/>
  <c r="M1474" i="1"/>
  <c r="M1470" i="1"/>
  <c r="M1467" i="1"/>
  <c r="M1464" i="1"/>
  <c r="M1461" i="1"/>
  <c r="M1458" i="1"/>
  <c r="M1454" i="1"/>
  <c r="M1450" i="1"/>
  <c r="M1449" i="1"/>
  <c r="M1445" i="1"/>
  <c r="M1444" i="1"/>
  <c r="M1439" i="1"/>
  <c r="M1436" i="1"/>
  <c r="M1432" i="1"/>
  <c r="M1428" i="1"/>
  <c r="M1425" i="1"/>
  <c r="M1424" i="1"/>
  <c r="M1421" i="1"/>
  <c r="M1420" i="1"/>
  <c r="M1419" i="1"/>
  <c r="M1418" i="1"/>
  <c r="M1417" i="1"/>
  <c r="M1414" i="1"/>
  <c r="M1413" i="1"/>
  <c r="M1409" i="1"/>
  <c r="M1408" i="1"/>
  <c r="M1407" i="1"/>
  <c r="M1403" i="1"/>
  <c r="M1400" i="1"/>
  <c r="M1396" i="1"/>
  <c r="M1393" i="1"/>
  <c r="M1390" i="1"/>
  <c r="M1389" i="1"/>
  <c r="M1385" i="1"/>
  <c r="M1384" i="1"/>
  <c r="M1381" i="1"/>
  <c r="M1378" i="1"/>
  <c r="M1374" i="1"/>
  <c r="M1371" i="1"/>
  <c r="M1367" i="1"/>
  <c r="M1364" i="1"/>
  <c r="M1361" i="1"/>
  <c r="M1360" i="1"/>
  <c r="M1359" i="1"/>
  <c r="M1356" i="1"/>
  <c r="M1355" i="1"/>
  <c r="M1354" i="1"/>
  <c r="M1353" i="1"/>
  <c r="M1350" i="1"/>
  <c r="M1349" i="1"/>
  <c r="M1348" i="1"/>
  <c r="M1345" i="1"/>
  <c r="M1342" i="1"/>
  <c r="M1341" i="1"/>
  <c r="M1338" i="1"/>
  <c r="M1337" i="1"/>
  <c r="M1334" i="1"/>
  <c r="M1331" i="1"/>
  <c r="M1330" i="1"/>
  <c r="M1329" i="1"/>
  <c r="M1326" i="1"/>
  <c r="M1325" i="1"/>
  <c r="M1324" i="1"/>
  <c r="M1323" i="1"/>
  <c r="M1320" i="1"/>
  <c r="M1317" i="1"/>
  <c r="M1316" i="1"/>
  <c r="M1313" i="1"/>
  <c r="M1312" i="1"/>
  <c r="M1311" i="1"/>
  <c r="M1308" i="1"/>
  <c r="M1305" i="1"/>
  <c r="M1304" i="1"/>
  <c r="M1303" i="1"/>
  <c r="M1302" i="1"/>
  <c r="M1301" i="1"/>
  <c r="M1298" i="1"/>
  <c r="M1295" i="1"/>
  <c r="M1291" i="1"/>
  <c r="M1290" i="1"/>
  <c r="M1287" i="1"/>
  <c r="M1284" i="1"/>
  <c r="M1281" i="1"/>
  <c r="M1278" i="1"/>
  <c r="M1275" i="1"/>
  <c r="M1271" i="1"/>
  <c r="M1267" i="1"/>
  <c r="M1264" i="1"/>
  <c r="M1263" i="1"/>
  <c r="M1260" i="1"/>
  <c r="M1257" i="1"/>
  <c r="M1256" i="1"/>
  <c r="M1252" i="1"/>
  <c r="M1249" i="1"/>
  <c r="M1245" i="1"/>
  <c r="M1241" i="1"/>
  <c r="M1240" i="1"/>
  <c r="M1239" i="1"/>
  <c r="M1235" i="1"/>
  <c r="M1231" i="1"/>
  <c r="M1230" i="1"/>
  <c r="M1229" i="1"/>
  <c r="M1226" i="1"/>
  <c r="M1225" i="1"/>
  <c r="M1224" i="1"/>
  <c r="M1223" i="1"/>
  <c r="M1222" i="1"/>
  <c r="M1219" i="1"/>
  <c r="M1218" i="1"/>
  <c r="M1217" i="1"/>
  <c r="M1216" i="1"/>
  <c r="M1215" i="1"/>
  <c r="M1214" i="1"/>
  <c r="M1211" i="1"/>
  <c r="M1210" i="1"/>
  <c r="M1209" i="1"/>
  <c r="M1206" i="1"/>
  <c r="M1203" i="1"/>
  <c r="M1202" i="1"/>
  <c r="M1201" i="1"/>
  <c r="M1200" i="1"/>
  <c r="M1199" i="1"/>
  <c r="M1198" i="1"/>
  <c r="M1195" i="1"/>
  <c r="M1194" i="1"/>
  <c r="M1193" i="1"/>
  <c r="M1192" i="1"/>
  <c r="M1188" i="1"/>
  <c r="M1187" i="1"/>
  <c r="M1183" i="1"/>
  <c r="M1180" i="1"/>
  <c r="M1179" i="1"/>
  <c r="M1178" i="1"/>
  <c r="M1177" i="1"/>
  <c r="M1176" i="1"/>
  <c r="M1175" i="1"/>
  <c r="M1174" i="1"/>
  <c r="M1173" i="1"/>
  <c r="M1172" i="1"/>
  <c r="M1169" i="1"/>
  <c r="M1168" i="1"/>
  <c r="M1164" i="1"/>
  <c r="M1163" i="1"/>
  <c r="M1160" i="1"/>
  <c r="M1157" i="1"/>
  <c r="M1156" i="1"/>
  <c r="M1155" i="1"/>
  <c r="M1154" i="1"/>
  <c r="M1153" i="1"/>
  <c r="M1152" i="1"/>
  <c r="M1151" i="1"/>
  <c r="M1150" i="1"/>
  <c r="M1149" i="1"/>
  <c r="M1148" i="1"/>
  <c r="M1145" i="1"/>
  <c r="M1142" i="1"/>
  <c r="M1139" i="1"/>
  <c r="M1138" i="1"/>
  <c r="M1135" i="1"/>
  <c r="M1132" i="1"/>
  <c r="M1131" i="1"/>
  <c r="M1128" i="1"/>
  <c r="M1127" i="1"/>
  <c r="M1126" i="1"/>
  <c r="M1123" i="1"/>
  <c r="M1120" i="1"/>
  <c r="M1119" i="1"/>
  <c r="M1116" i="1"/>
  <c r="M1115" i="1"/>
  <c r="M1114" i="1"/>
  <c r="M1111" i="1"/>
  <c r="M1110" i="1"/>
  <c r="M1107" i="1"/>
  <c r="M1106" i="1"/>
  <c r="M1103" i="1"/>
  <c r="M1102" i="1"/>
  <c r="M1101" i="1"/>
  <c r="M1100" i="1"/>
  <c r="M1099" i="1"/>
  <c r="M1098" i="1"/>
  <c r="M1097" i="1"/>
  <c r="M1094" i="1"/>
  <c r="M1093" i="1"/>
  <c r="M1090" i="1"/>
  <c r="M1087" i="1"/>
  <c r="M1083" i="1"/>
  <c r="M1079" i="1"/>
  <c r="M1078" i="1"/>
  <c r="M1077" i="1"/>
  <c r="M1074" i="1"/>
  <c r="M1073" i="1"/>
  <c r="M1072" i="1"/>
  <c r="M1071" i="1"/>
  <c r="M1068" i="1"/>
  <c r="M1067" i="1"/>
  <c r="M1064" i="1"/>
  <c r="M1063" i="1"/>
  <c r="M1060" i="1"/>
  <c r="M1059" i="1"/>
  <c r="M1056" i="1"/>
  <c r="M1055" i="1"/>
  <c r="M1052" i="1"/>
  <c r="M1051" i="1"/>
  <c r="M1048" i="1"/>
  <c r="M1047" i="1"/>
  <c r="M1046" i="1"/>
  <c r="M1043" i="1"/>
  <c r="M1040" i="1"/>
  <c r="M1039" i="1"/>
  <c r="M1036" i="1"/>
  <c r="M1033" i="1"/>
  <c r="M1032" i="1"/>
  <c r="M1031" i="1"/>
  <c r="M1028" i="1"/>
  <c r="M1027" i="1"/>
  <c r="M1026" i="1"/>
  <c r="M1025" i="1"/>
  <c r="M1024" i="1"/>
  <c r="M1021" i="1"/>
  <c r="M1020" i="1"/>
  <c r="M1019" i="1"/>
  <c r="M1016" i="1"/>
  <c r="M1013" i="1"/>
  <c r="M1012" i="1"/>
  <c r="M1011" i="1"/>
  <c r="M1010" i="1"/>
  <c r="M1007" i="1"/>
  <c r="M1004" i="1"/>
  <c r="M1003" i="1"/>
  <c r="M1002" i="1"/>
  <c r="M999" i="1"/>
  <c r="M998" i="1"/>
  <c r="M995" i="1"/>
  <c r="M992" i="1"/>
  <c r="M991" i="1"/>
  <c r="M988" i="1"/>
  <c r="M987" i="1"/>
  <c r="M984" i="1"/>
  <c r="M983" i="1"/>
  <c r="M980" i="1"/>
  <c r="M979" i="1"/>
  <c r="M978" i="1"/>
  <c r="M975" i="1"/>
  <c r="M972" i="1"/>
  <c r="M971" i="1"/>
  <c r="M970" i="1"/>
  <c r="M967" i="1"/>
  <c r="M966" i="1"/>
  <c r="M965" i="1"/>
  <c r="M962" i="1"/>
  <c r="M961" i="1"/>
  <c r="M958" i="1"/>
  <c r="M957" i="1"/>
  <c r="M956" i="1"/>
  <c r="M955" i="1"/>
  <c r="M954" i="1"/>
  <c r="M953" i="1"/>
  <c r="M949" i="1"/>
  <c r="M946" i="1"/>
  <c r="M943" i="1"/>
  <c r="M942" i="1"/>
  <c r="M941" i="1"/>
  <c r="M938" i="1"/>
  <c r="M935" i="1"/>
  <c r="M932" i="1"/>
  <c r="M931" i="1"/>
  <c r="M930" i="1"/>
  <c r="M929" i="1"/>
  <c r="M926" i="1"/>
  <c r="M923" i="1"/>
  <c r="M920" i="1"/>
  <c r="M919" i="1"/>
  <c r="M918" i="1"/>
  <c r="M917" i="1"/>
  <c r="M914" i="1"/>
  <c r="M913" i="1"/>
  <c r="M912" i="1"/>
  <c r="M911" i="1"/>
  <c r="M910" i="1"/>
  <c r="M907" i="1"/>
  <c r="M903" i="1"/>
  <c r="M900" i="1"/>
  <c r="M896" i="1"/>
  <c r="M893" i="1"/>
  <c r="M892" i="1"/>
  <c r="M891" i="1"/>
  <c r="M888" i="1"/>
  <c r="M887" i="1"/>
  <c r="M886" i="1"/>
  <c r="M885" i="1"/>
  <c r="M884" i="1"/>
  <c r="M881" i="1"/>
  <c r="M880" i="1"/>
  <c r="M879" i="1"/>
  <c r="M876" i="1"/>
  <c r="M875" i="1"/>
  <c r="M874" i="1"/>
  <c r="M871" i="1"/>
  <c r="M870" i="1"/>
  <c r="M869" i="1"/>
  <c r="M866" i="1"/>
  <c r="M865" i="1"/>
  <c r="M864" i="1"/>
  <c r="M857" i="1"/>
  <c r="M853" i="1"/>
  <c r="M850" i="1"/>
  <c r="M847" i="1"/>
  <c r="M846" i="1"/>
  <c r="M845" i="1"/>
  <c r="M844" i="1"/>
  <c r="M843" i="1"/>
  <c r="M840" i="1"/>
  <c r="M839" i="1"/>
  <c r="M838" i="1"/>
  <c r="M834" i="1"/>
  <c r="M831" i="1"/>
  <c r="M828" i="1"/>
  <c r="M825" i="1"/>
  <c r="M822" i="1"/>
  <c r="M818" i="1"/>
  <c r="M815" i="1"/>
  <c r="M812" i="1"/>
  <c r="M809" i="1"/>
  <c r="M806" i="1"/>
  <c r="M802" i="1"/>
  <c r="M799" i="1"/>
  <c r="M795" i="1"/>
  <c r="M792" i="1"/>
  <c r="M789" i="1"/>
  <c r="M786" i="1"/>
  <c r="M785" i="1"/>
  <c r="M784" i="1"/>
  <c r="M783" i="1"/>
  <c r="M780" i="1"/>
  <c r="M777" i="1"/>
  <c r="M776" i="1"/>
  <c r="M773" i="1"/>
  <c r="M770" i="1"/>
  <c r="M769" i="1"/>
  <c r="M768" i="1"/>
  <c r="M767" i="1"/>
  <c r="M766" i="1"/>
  <c r="M765" i="1"/>
  <c r="M764" i="1"/>
  <c r="M763" i="1"/>
  <c r="M760" i="1"/>
  <c r="M757" i="1"/>
  <c r="M754" i="1"/>
  <c r="M753" i="1"/>
  <c r="M750" i="1"/>
  <c r="M747" i="1"/>
  <c r="M746" i="1"/>
  <c r="M745" i="1"/>
  <c r="M742" i="1"/>
  <c r="M739" i="1"/>
  <c r="M738" i="1"/>
  <c r="M737" i="1"/>
  <c r="M736" i="1"/>
  <c r="M735" i="1"/>
  <c r="M734" i="1"/>
  <c r="M733" i="1"/>
  <c r="M732" i="1"/>
  <c r="M729" i="1"/>
  <c r="M726" i="1"/>
  <c r="M723" i="1"/>
  <c r="M722" i="1"/>
  <c r="M721" i="1"/>
  <c r="M718" i="1"/>
  <c r="M715" i="1"/>
  <c r="M714" i="1"/>
  <c r="M713" i="1"/>
  <c r="M710" i="1"/>
  <c r="M709" i="1"/>
  <c r="M708" i="1"/>
  <c r="M705" i="1"/>
  <c r="M702" i="1"/>
  <c r="M701" i="1"/>
  <c r="M700" i="1"/>
  <c r="M697" i="1"/>
  <c r="M694" i="1"/>
  <c r="M693" i="1"/>
  <c r="M690" i="1"/>
  <c r="M687" i="1"/>
  <c r="M686" i="1"/>
  <c r="M685" i="1"/>
  <c r="M682" i="1"/>
  <c r="M679" i="1"/>
  <c r="M676" i="1"/>
  <c r="M675" i="1"/>
  <c r="M674" i="1"/>
  <c r="M673" i="1"/>
  <c r="M670" i="1"/>
  <c r="M667" i="1"/>
  <c r="M664" i="1"/>
  <c r="M663" i="1"/>
  <c r="M662" i="1"/>
  <c r="M661" i="1"/>
  <c r="M658" i="1"/>
  <c r="M655" i="1"/>
  <c r="M652" i="1"/>
  <c r="M648" i="1"/>
  <c r="M645" i="1"/>
  <c r="M644" i="1"/>
  <c r="M643" i="1"/>
  <c r="M642" i="1"/>
  <c r="M641" i="1"/>
  <c r="M640" i="1"/>
  <c r="M639" i="1"/>
  <c r="M635" i="1"/>
  <c r="M632" i="1"/>
  <c r="M631" i="1"/>
  <c r="M630" i="1"/>
  <c r="M629" i="1"/>
  <c r="M625" i="1"/>
  <c r="M620" i="1"/>
  <c r="M617" i="1"/>
  <c r="M616" i="1"/>
  <c r="M613" i="1"/>
  <c r="M610" i="1"/>
  <c r="M607" i="1"/>
  <c r="M606" i="1"/>
  <c r="M605" i="1"/>
  <c r="M604" i="1"/>
  <c r="M601" i="1"/>
  <c r="M598" i="1"/>
  <c r="M597" i="1"/>
  <c r="M594" i="1"/>
  <c r="M591" i="1"/>
  <c r="M590" i="1"/>
  <c r="M589" i="1"/>
  <c r="M588" i="1"/>
  <c r="M587" i="1"/>
  <c r="M584" i="1"/>
  <c r="M583" i="1"/>
  <c r="M582" i="1"/>
  <c r="M581" i="1"/>
  <c r="M578" i="1"/>
  <c r="M575" i="1"/>
  <c r="M572" i="1"/>
  <c r="M569" i="1"/>
  <c r="M566" i="1"/>
  <c r="M565" i="1"/>
  <c r="M564" i="1"/>
  <c r="M563" i="1"/>
  <c r="M562" i="1"/>
  <c r="M561" i="1"/>
  <c r="M557" i="1"/>
  <c r="M554" i="1"/>
  <c r="M553" i="1"/>
  <c r="M550" i="1"/>
  <c r="M549" i="1"/>
  <c r="M548" i="1"/>
  <c r="M545" i="1"/>
  <c r="M544" i="1"/>
  <c r="M541" i="1"/>
  <c r="M538" i="1"/>
  <c r="M537" i="1"/>
  <c r="M534" i="1"/>
  <c r="M531" i="1"/>
  <c r="M528" i="1"/>
  <c r="M525" i="1"/>
  <c r="M522" i="1"/>
  <c r="M519" i="1"/>
  <c r="M516" i="1"/>
  <c r="M513" i="1"/>
  <c r="M512" i="1"/>
  <c r="M509" i="1"/>
  <c r="M508" i="1"/>
  <c r="M505" i="1"/>
  <c r="M504" i="1"/>
  <c r="M501" i="1"/>
  <c r="M500" i="1"/>
  <c r="M499" i="1"/>
  <c r="M496" i="1"/>
  <c r="M493" i="1"/>
  <c r="M490" i="1"/>
  <c r="M489" i="1"/>
  <c r="M486" i="1"/>
  <c r="M482" i="1"/>
  <c r="M481" i="1"/>
  <c r="M477" i="1"/>
  <c r="M476" i="1"/>
  <c r="M475" i="1"/>
  <c r="M474" i="1"/>
  <c r="M471" i="1"/>
  <c r="M470" i="1"/>
  <c r="M466" i="1"/>
  <c r="M465" i="1"/>
  <c r="M462" i="1"/>
  <c r="M461" i="1"/>
  <c r="M457" i="1"/>
  <c r="M454" i="1"/>
  <c r="M451" i="1"/>
  <c r="M446" i="1"/>
  <c r="M445" i="1"/>
  <c r="M444" i="1"/>
  <c r="M443" i="1"/>
  <c r="M442" i="1"/>
  <c r="M439" i="1"/>
  <c r="M436" i="1"/>
  <c r="M435" i="1"/>
  <c r="M434" i="1"/>
  <c r="M431" i="1"/>
  <c r="M427" i="1"/>
  <c r="M424" i="1"/>
  <c r="M421" i="1"/>
  <c r="M417" i="1"/>
  <c r="M414" i="1"/>
  <c r="M413" i="1"/>
  <c r="M409" i="1"/>
  <c r="M408" i="1"/>
  <c r="M407" i="1"/>
  <c r="M406" i="1"/>
  <c r="M402" i="1"/>
  <c r="M401" i="1"/>
  <c r="M400" i="1"/>
  <c r="M397" i="1"/>
  <c r="M394" i="1"/>
  <c r="M391" i="1"/>
  <c r="M387" i="1"/>
  <c r="M383" i="1"/>
  <c r="M379" i="1"/>
  <c r="M375" i="1"/>
  <c r="M372" i="1"/>
  <c r="M371" i="1"/>
  <c r="M370" i="1"/>
  <c r="M369" i="1"/>
  <c r="M368" i="1"/>
  <c r="M367" i="1"/>
  <c r="M366" i="1"/>
  <c r="M365" i="1"/>
  <c r="M364" i="1"/>
  <c r="M360" i="1"/>
  <c r="M356" i="1"/>
  <c r="M353" i="1"/>
  <c r="M350" i="1"/>
  <c r="M347" i="1"/>
  <c r="M346" i="1"/>
  <c r="M342" i="1"/>
  <c r="M341" i="1"/>
  <c r="M338" i="1"/>
  <c r="M337" i="1"/>
  <c r="M333" i="1"/>
  <c r="M330" i="1"/>
  <c r="M327" i="1"/>
  <c r="M324" i="1"/>
  <c r="M321" i="1"/>
  <c r="M317" i="1"/>
  <c r="M314" i="1"/>
  <c r="M310" i="1"/>
  <c r="M307" i="1"/>
  <c r="M306" i="1"/>
  <c r="M305" i="1"/>
  <c r="M304" i="1"/>
  <c r="M301" i="1"/>
  <c r="M300" i="1"/>
  <c r="M296" i="1"/>
  <c r="M295" i="1"/>
  <c r="M292" i="1"/>
  <c r="M289" i="1"/>
  <c r="M288" i="1"/>
  <c r="M284" i="1"/>
  <c r="M280" i="1"/>
  <c r="M277" i="1"/>
  <c r="M276" i="1"/>
  <c r="M275" i="1"/>
  <c r="M272" i="1"/>
  <c r="M271" i="1"/>
  <c r="M270" i="1"/>
  <c r="M269" i="1"/>
  <c r="M266" i="1"/>
  <c r="M265" i="1"/>
  <c r="M264" i="1"/>
  <c r="M261" i="1"/>
  <c r="M258" i="1"/>
  <c r="M255" i="1"/>
  <c r="M254" i="1"/>
  <c r="M253" i="1"/>
  <c r="M252" i="1"/>
  <c r="M251" i="1"/>
  <c r="M248" i="1"/>
  <c r="M245" i="1"/>
  <c r="M244" i="1"/>
  <c r="M241" i="1"/>
  <c r="M240" i="1"/>
  <c r="M239" i="1"/>
  <c r="M238" i="1"/>
  <c r="M237" i="1"/>
  <c r="M234" i="1"/>
  <c r="M233" i="1"/>
  <c r="M232" i="1"/>
  <c r="M231" i="1"/>
  <c r="M230" i="1"/>
  <c r="M229" i="1"/>
  <c r="M228" i="1"/>
  <c r="M227" i="1"/>
  <c r="M224" i="1"/>
  <c r="M223" i="1"/>
  <c r="M222" i="1"/>
  <c r="M219" i="1"/>
  <c r="M216" i="1"/>
  <c r="M213" i="1"/>
  <c r="M210" i="1"/>
  <c r="M209" i="1"/>
  <c r="M208" i="1"/>
  <c r="M205" i="1"/>
  <c r="M204" i="1"/>
  <c r="M201" i="1"/>
  <c r="M200" i="1"/>
  <c r="M197" i="1"/>
  <c r="M194" i="1"/>
  <c r="M191" i="1"/>
  <c r="M190" i="1"/>
  <c r="M189" i="1"/>
  <c r="M188" i="1"/>
  <c r="M185" i="1"/>
  <c r="M182" i="1"/>
  <c r="M179" i="1"/>
  <c r="M178" i="1"/>
  <c r="M175" i="1"/>
  <c r="M172" i="1"/>
  <c r="M169" i="1"/>
  <c r="M168" i="1"/>
  <c r="M167" i="1"/>
  <c r="M166" i="1"/>
  <c r="M165" i="1"/>
  <c r="M164" i="1"/>
  <c r="M161" i="1"/>
  <c r="M160" i="1"/>
  <c r="M157" i="1"/>
  <c r="M156" i="1"/>
  <c r="M153" i="1"/>
  <c r="M152" i="1"/>
  <c r="M151" i="1"/>
  <c r="M150" i="1"/>
  <c r="M147" i="1"/>
  <c r="M144" i="1"/>
  <c r="M141" i="1"/>
  <c r="M138" i="1"/>
  <c r="M135" i="1"/>
  <c r="M132" i="1"/>
  <c r="M131" i="1"/>
  <c r="M130" i="1"/>
  <c r="M129" i="1"/>
  <c r="M126" i="1"/>
  <c r="M125" i="1"/>
  <c r="M124" i="1"/>
  <c r="M123" i="1"/>
  <c r="M122" i="1"/>
  <c r="M121" i="1"/>
  <c r="M120" i="1"/>
  <c r="M119" i="1"/>
  <c r="M118" i="1"/>
  <c r="M115" i="1"/>
  <c r="M114" i="1"/>
  <c r="M111" i="1"/>
  <c r="M110" i="1"/>
  <c r="M109" i="1"/>
  <c r="M108" i="1"/>
  <c r="M107" i="1"/>
  <c r="M106" i="1"/>
  <c r="M105" i="1"/>
  <c r="M104" i="1"/>
  <c r="M103" i="1"/>
  <c r="M99" i="1"/>
  <c r="M98" i="1"/>
  <c r="M97" i="1"/>
  <c r="M96" i="1"/>
  <c r="M95" i="1"/>
  <c r="M94" i="1"/>
  <c r="M93" i="1"/>
  <c r="M90" i="1"/>
  <c r="M87" i="1"/>
  <c r="M84" i="1"/>
  <c r="M83" i="1"/>
  <c r="M82" i="1"/>
  <c r="M81" i="1"/>
  <c r="M78" i="1"/>
  <c r="M77" i="1"/>
  <c r="M76" i="1"/>
  <c r="M75" i="1"/>
  <c r="M74" i="1"/>
  <c r="M73" i="1"/>
  <c r="M70" i="1"/>
  <c r="M69" i="1"/>
  <c r="M65" i="1"/>
  <c r="M61" i="1"/>
  <c r="M58" i="1"/>
  <c r="M57" i="1"/>
  <c r="M56" i="1"/>
  <c r="M55" i="1"/>
  <c r="M52" i="1"/>
  <c r="M49" i="1"/>
  <c r="M48" i="1"/>
  <c r="M47" i="1"/>
  <c r="M44" i="1"/>
  <c r="M43" i="1"/>
  <c r="M42" i="1"/>
  <c r="M39" i="1"/>
  <c r="M38" i="1"/>
  <c r="M37" i="1"/>
  <c r="M34" i="1"/>
  <c r="M33" i="1"/>
  <c r="M30" i="1"/>
  <c r="M27" i="1"/>
  <c r="M26" i="1"/>
  <c r="M23" i="1"/>
  <c r="M22" i="1"/>
  <c r="M19" i="1"/>
  <c r="Q5" i="1" a="1"/>
  <c r="Q5" i="1"/>
  <c r="Y4434" i="1"/>
  <c r="M4423" i="1"/>
  <c r="AG4425" i="1"/>
  <c r="AB4417" i="1"/>
  <c r="AC4417" i="1"/>
  <c r="AE12" i="1"/>
  <c r="AI12" i="1"/>
  <c r="AE13" i="1"/>
  <c r="AI13" i="1"/>
  <c r="AJ4416" i="1"/>
  <c r="M3" i="2"/>
  <c r="N3" i="2"/>
  <c r="AE4422" i="1"/>
  <c r="M4416" i="1"/>
  <c r="I9" i="1"/>
  <c r="H9" i="1"/>
  <c r="J4423" i="1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BB11" i="1"/>
  <c r="BA11" i="1"/>
  <c r="AZ11" i="1"/>
  <c r="AW11" i="1"/>
  <c r="BB10" i="1"/>
  <c r="BA10" i="1"/>
  <c r="AZ10" i="1"/>
  <c r="AW10" i="1"/>
  <c r="BB9" i="1"/>
  <c r="BA9" i="1"/>
  <c r="AZ9" i="1"/>
  <c r="AW9" i="1"/>
  <c r="BB8" i="1"/>
  <c r="BA8" i="1"/>
  <c r="AZ8" i="1"/>
  <c r="AW8" i="1"/>
  <c r="AW7" i="1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Z4475" i="1"/>
  <c r="Z4474" i="1"/>
  <c r="A4438" i="1"/>
  <c r="D4437" i="1"/>
  <c r="A4437" i="1"/>
  <c r="A4433" i="1"/>
  <c r="C2" i="1"/>
  <c r="AC5" i="1"/>
  <c r="AB3" i="1"/>
  <c r="Z6" i="1"/>
  <c r="J4" i="1"/>
  <c r="D5" i="1"/>
  <c r="AF6" i="1"/>
  <c r="AE6" i="1"/>
  <c r="AD6" i="1"/>
  <c r="AK12" i="1"/>
  <c r="AJ13" i="1"/>
  <c r="AK13" i="1"/>
  <c r="BF14" i="1"/>
  <c r="BF15" i="1"/>
  <c r="BF16" i="1"/>
  <c r="B10" i="1"/>
  <c r="B4421" i="1"/>
  <c r="B4420" i="1"/>
  <c r="B4419" i="1"/>
  <c r="J4425" i="1"/>
  <c r="Z4420" i="1"/>
  <c r="Z4419" i="1"/>
  <c r="H4421" i="1"/>
  <c r="H4419" i="1"/>
  <c r="H10" i="1"/>
  <c r="N7" i="1"/>
  <c r="AA4424" i="1"/>
  <c r="AF4424" i="1"/>
  <c r="K4425" i="1"/>
  <c r="E4420" i="1"/>
  <c r="G4418" i="1"/>
  <c r="A4418" i="1"/>
  <c r="K4420" i="1"/>
  <c r="K4421" i="1"/>
  <c r="K4424" i="1"/>
  <c r="AK4416" i="1"/>
  <c r="AF4421" i="1"/>
  <c r="AF4423" i="1"/>
  <c r="AG4424" i="1"/>
  <c r="AB4" i="1"/>
  <c r="AJ2" i="1"/>
  <c r="K10" i="1"/>
  <c r="I10" i="1"/>
  <c r="AF9" i="1"/>
  <c r="AD9" i="1"/>
  <c r="S9" i="1"/>
  <c r="N9" i="1"/>
  <c r="AB8" i="1"/>
  <c r="BF4417" i="1"/>
  <c r="BF4416" i="1"/>
  <c r="AM4416" i="1"/>
  <c r="O2" i="1" a="1"/>
  <c r="I13" i="1" a="1"/>
  <c r="R3" i="1" a="1"/>
  <c r="P2" i="1" a="1"/>
  <c r="R4" i="1" a="1"/>
  <c r="D12" i="1" a="1"/>
  <c r="A12" i="1" a="1"/>
  <c r="A11" i="1" a="1"/>
  <c r="P5" i="1" a="1"/>
  <c r="O4" i="1" a="1"/>
  <c r="I11" i="1" a="1"/>
  <c r="S5" i="1" a="1"/>
  <c r="K12" i="1" a="1"/>
  <c r="R5" i="1" a="1"/>
  <c r="S3" i="1" a="1"/>
  <c r="N4" i="1" a="1"/>
  <c r="D13" i="1" a="1"/>
  <c r="O5" i="1" a="1"/>
  <c r="S2" i="1" a="1"/>
  <c r="C12" i="1" a="1"/>
  <c r="F11" i="1" a="1"/>
  <c r="F13" i="1" a="1"/>
  <c r="N5" i="1" a="1"/>
  <c r="N3" i="1" a="1"/>
  <c r="S4" i="1" a="1"/>
  <c r="P4" i="1" a="1"/>
  <c r="K11" i="1" a="1"/>
  <c r="C13" i="1" a="1"/>
  <c r="P3" i="1" a="1"/>
  <c r="I12" i="1" a="1"/>
  <c r="Q2" i="1" a="1"/>
  <c r="O3" i="1" a="1"/>
  <c r="F12" i="1" a="1"/>
  <c r="C11" i="1" a="1"/>
  <c r="Q4" i="1" a="1"/>
  <c r="Q3" i="1" a="1"/>
  <c r="R2" i="1" a="1"/>
  <c r="D11" i="1" a="1"/>
  <c r="AM12" i="1"/>
  <c r="U4434" i="1"/>
  <c r="B4424" i="1"/>
  <c r="AB13" i="1"/>
  <c r="V4434" i="1"/>
  <c r="B4425" i="1"/>
  <c r="AM13" i="1"/>
  <c r="A12" i="1"/>
  <c r="BG13" i="1"/>
  <c r="A1" i="1" a="1"/>
  <c r="A1" i="1"/>
  <c r="F13" i="1"/>
  <c r="D12" i="1"/>
  <c r="O2" i="1"/>
  <c r="Q3" i="1"/>
  <c r="Q4" i="1"/>
  <c r="O3" i="1"/>
  <c r="C11" i="1"/>
  <c r="C13" i="1"/>
  <c r="C12" i="1"/>
  <c r="P2" i="1"/>
  <c r="R3" i="1"/>
  <c r="R4" i="1"/>
  <c r="S5" i="1"/>
  <c r="I12" i="1"/>
  <c r="O4" i="1"/>
  <c r="Q2" i="1"/>
  <c r="S3" i="1"/>
  <c r="S4" i="1"/>
  <c r="K11" i="1"/>
  <c r="N5" i="1"/>
  <c r="D13" i="1"/>
  <c r="S2" i="1"/>
  <c r="R2" i="1"/>
  <c r="I11" i="1"/>
  <c r="O5" i="1"/>
  <c r="K12" i="1"/>
  <c r="N3" i="1"/>
  <c r="N4" i="1"/>
  <c r="F11" i="1"/>
  <c r="P5" i="1"/>
  <c r="D11" i="1"/>
  <c r="R5" i="1"/>
  <c r="I13" i="1"/>
  <c r="F12" i="1"/>
  <c r="A11" i="1"/>
  <c r="P3" i="1"/>
  <c r="P4" i="1"/>
  <c r="N2" i="1" a="1"/>
  <c r="K5" i="1"/>
  <c r="N2" i="1"/>
  <c r="AC13" i="1"/>
  <c r="AJ12" i="1"/>
  <c r="BF13" i="1"/>
  <c r="AF4426" i="1"/>
  <c r="AF4427" i="1"/>
  <c r="AF4428" i="1"/>
  <c r="J4420" i="1"/>
  <c r="J4421" i="1"/>
  <c r="I4419" i="1"/>
  <c r="I4420" i="1"/>
  <c r="I4421" i="1"/>
  <c r="D4422" i="1"/>
  <c r="J8" i="1"/>
  <c r="H3" i="1"/>
  <c r="M2" i="1"/>
  <c r="L4436" i="1"/>
  <c r="AC8" i="1"/>
  <c r="I4417" i="1"/>
  <c r="I2" i="1"/>
  <c r="AB2" i="1"/>
  <c r="AF4425" i="1"/>
  <c r="AA4427" i="1"/>
  <c r="AF4420" i="1"/>
  <c r="AB5" i="1"/>
  <c r="A4422" i="1"/>
  <c r="K4443" i="1"/>
  <c r="AG4442" i="1"/>
  <c r="AA4425" i="1"/>
  <c r="N6" i="1"/>
  <c r="K3" i="1"/>
  <c r="Z4422" i="1"/>
  <c r="AJ5" i="1"/>
  <c r="AC3" i="1"/>
  <c r="AC4" i="1"/>
  <c r="H4426" i="1"/>
  <c r="F4426" i="1"/>
  <c r="K4426" i="1"/>
  <c r="D4424" i="1"/>
  <c r="AJ4" i="1"/>
  <c r="K4" i="1"/>
  <c r="I4422" i="1"/>
  <c r="L4430" i="1"/>
  <c r="H4422" i="1"/>
  <c r="J4422" i="1"/>
  <c r="L4431" i="1"/>
  <c r="L4429" i="1"/>
  <c r="A4419" i="1"/>
  <c r="AG4443" i="1"/>
  <c r="AL11" i="1"/>
  <c r="AN11" i="1"/>
  <c r="K4427" i="1"/>
  <c r="K4428" i="1"/>
  <c r="E4425" i="1"/>
  <c r="AF442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<sst xmlns="http://schemas.openxmlformats.org/spreadsheetml/2006/main" count="17295" uniqueCount="5922">
  <si>
    <t>Gallon Pot Size Chart</t>
  </si>
  <si>
    <t xml:space="preserve">N </t>
  </si>
  <si>
    <t>GRAND TOTAL</t>
  </si>
  <si>
    <r>
      <t xml:space="preserve">page manually updated </t>
    </r>
    <r>
      <rPr>
        <b/>
        <sz val="10"/>
        <rFont val="Arial"/>
        <family val="2"/>
      </rPr>
      <t xml:space="preserve"> ‣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please excuse any errors  ‣</t>
    </r>
    <r>
      <rPr>
        <sz val="10"/>
        <rFont val="Arial"/>
        <family val="2"/>
      </rPr>
      <t xml:space="preserve">  fact check</t>
    </r>
  </si>
  <si>
    <t>← go to categories</t>
  </si>
  <si>
    <t xml:space="preserve">T </t>
  </si>
  <si>
    <t xml:space="preserve">E </t>
  </si>
  <si>
    <t xml:space="preserve">R </t>
  </si>
  <si>
    <t>Sales Tax</t>
  </si>
  <si>
    <t>Guaranteed</t>
  </si>
  <si>
    <t>18"</t>
  </si>
  <si>
    <t>5'</t>
  </si>
  <si>
    <t>4'</t>
  </si>
  <si>
    <t>3'</t>
  </si>
  <si>
    <t>7'</t>
  </si>
  <si>
    <t>12"</t>
  </si>
  <si>
    <t>24"</t>
  </si>
  <si>
    <t>10'</t>
  </si>
  <si>
    <t>36"</t>
  </si>
  <si>
    <t>28"</t>
  </si>
  <si>
    <t>21"</t>
  </si>
  <si>
    <t>38"</t>
  </si>
  <si>
    <t>32"</t>
  </si>
  <si>
    <t>6'</t>
  </si>
  <si>
    <t>34"</t>
  </si>
  <si>
    <t>8'</t>
  </si>
  <si>
    <t>26"</t>
  </si>
  <si>
    <t>3"</t>
  </si>
  <si>
    <t>four</t>
  </si>
  <si>
    <t>18 in</t>
  </si>
  <si>
    <t>one</t>
  </si>
  <si>
    <t>15 in</t>
  </si>
  <si>
    <t xml:space="preserve"> </t>
  </si>
  <si>
    <t>Pot:</t>
  </si>
  <si>
    <t>Fee:</t>
  </si>
  <si>
    <t>4" (in a flat)</t>
  </si>
  <si>
    <t>one quart</t>
  </si>
  <si>
    <t>four quart</t>
  </si>
  <si>
    <t>1 gallon</t>
  </si>
  <si>
    <t>2 gallon</t>
  </si>
  <si>
    <t>yards planting SOIL</t>
  </si>
  <si>
    <t>3 gallon</t>
  </si>
  <si>
    <t>yards wood MULCH</t>
  </si>
  <si>
    <t>5 gallon</t>
  </si>
  <si>
    <t>7 gallon</t>
  </si>
  <si>
    <t>10 gallon</t>
  </si>
  <si>
    <t>15 gallon</t>
  </si>
  <si>
    <t>20 gallon</t>
  </si>
  <si>
    <t>25 gallon</t>
  </si>
  <si>
    <t>30 gallon</t>
  </si>
  <si>
    <t>45 gallon</t>
  </si>
  <si>
    <t>65 gallon</t>
  </si>
  <si>
    <t>95 gallon</t>
  </si>
  <si>
    <t>100 gallon</t>
  </si>
  <si>
    <t>PLANTING ADVICE</t>
  </si>
  <si>
    <t xml:space="preserve">    Plant it high, rarely die</t>
  </si>
  <si>
    <t xml:space="preserve">   Plant it low, rarely grow</t>
  </si>
  <si>
    <t>1.</t>
  </si>
  <si>
    <t>2.</t>
  </si>
  <si>
    <t xml:space="preserve">Place pot in position, as a template. </t>
  </si>
  <si>
    <t>3.</t>
  </si>
  <si>
    <t>4.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</si>
  <si>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</si>
  <si>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</si>
  <si>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</si>
  <si>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</si>
  <si>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</si>
  <si>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</si>
  <si>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</si>
  <si>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</si>
  <si>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</si>
  <si>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</si>
  <si>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11.</t>
  </si>
  <si>
    <t>12.</t>
  </si>
  <si>
    <t>Spread more soil.</t>
  </si>
  <si>
    <t>13.</t>
  </si>
  <si>
    <t>14.</t>
  </si>
  <si>
    <t>Tamp all firmly into place.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</si>
  <si>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</si>
  <si>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</si>
  <si>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</si>
  <si>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</si>
  <si>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</si>
  <si>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</si>
  <si>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</si>
  <si>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</si>
  <si>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</si>
  <si>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</si>
  <si>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</si>
  <si>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</si>
  <si>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</si>
  <si>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</si>
  <si>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</si>
  <si>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</si>
  <si>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</si>
  <si>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</si>
  <si>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</si>
  <si>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</si>
  <si>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</si>
  <si>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</si>
  <si>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TWO YEAR 50% WARRANTY</t>
  </si>
  <si>
    <t>Your accrued Volume Discount is then deducted.</t>
  </si>
  <si>
    <t>No tax for warranty plants.</t>
  </si>
  <si>
    <t>No-fault. No reason needed.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</si>
  <si>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</si>
  <si>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</si>
  <si>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</si>
  <si>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</si>
  <si>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</si>
  <si>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</si>
  <si>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</si>
  <si>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</si>
  <si>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</si>
  <si>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</si>
  <si>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</si>
  <si>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</si>
  <si>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</si>
  <si>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</si>
  <si>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</si>
  <si>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</si>
  <si>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</si>
  <si>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</si>
  <si>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</si>
  <si>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</si>
  <si>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</si>
  <si>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</si>
  <si>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</si>
  <si>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</si>
  <si>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 xml:space="preserve">      McGee’s Crossroads, Cleveland, Clayton, Riverwood, Archer Lodge &amp; Flower’s Plantation.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</si>
  <si>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</si>
  <si>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</si>
  <si>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 $3.25 per mile (ONE-WAY only) past boundary line.</t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</si>
  <si>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</si>
  <si>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t>22"</t>
  </si>
  <si>
    <t>42"</t>
  </si>
  <si>
    <t>No returns after 7 days.</t>
  </si>
  <si>
    <t xml:space="preserve">Mileage fee applies each trip outside of the </t>
  </si>
  <si>
    <t>Total Plants:</t>
  </si>
  <si>
    <t xml:space="preserve">Sod is dug for planting hole only. </t>
  </si>
  <si>
    <t xml:space="preserve">Removal &amp; disposal of existing plants not included. </t>
  </si>
  <si>
    <t>Ample mulch spread around plants, not entire bed.</t>
  </si>
  <si>
    <t>if YOU feel hot, your plants are hot. Don't forget them.</t>
  </si>
  <si>
    <t xml:space="preserve">Sod dig &amp; disposal past edge of hole not included. </t>
  </si>
  <si>
    <t>Keep soil &amp; mulch off top center of rootball, so plant can breathe.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</si>
  <si>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</si>
  <si>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</si>
  <si>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</si>
  <si>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</si>
  <si>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</si>
  <si>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</si>
  <si>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</si>
  <si>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</si>
  <si>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For other than above reasons, 20% cancel fee applies.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</si>
  <si>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</si>
  <si>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</si>
  <si>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</si>
  <si>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</si>
  <si>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</si>
  <si>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</si>
  <si>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</si>
  <si>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</si>
  <si>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</si>
  <si>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</si>
  <si>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</si>
  <si>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</si>
  <si>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</si>
  <si>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</si>
  <si>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</si>
  <si>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</si>
  <si>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</si>
  <si>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</si>
  <si>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</si>
  <si>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more about pots in website FAQ: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</si>
  <si>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</si>
  <si>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</si>
  <si>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</si>
  <si>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t xml:space="preserve"> Cancellation Fee</t>
  </si>
  <si>
    <t>Mike did it</t>
  </si>
  <si>
    <t xml:space="preserve">      No fee while driving the Eastern Triangle Area.</t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</si>
  <si>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</si>
  <si>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</si>
  <si>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</si>
  <si>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</si>
  <si>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FAQ</t>
  </si>
  <si>
    <t xml:space="preserve">     If plant is under-sized, or not of reasonable quality, you may reject upon delivery. </t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</si>
  <si>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</si>
  <si>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</si>
  <si>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</si>
  <si>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</si>
  <si>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'gallon' is the nominal size of the black plastic pot your plants arrive in (not true gallons). No Balled &amp; Burlapped (B&amp;B) sales.</t>
  </si>
  <si>
    <t xml:space="preserve"> Trees2Go Discount Table (automatic)</t>
  </si>
  <si>
    <t>32 in</t>
  </si>
  <si>
    <t xml:space="preserve">All materials above &amp; labor included in Planting Fees. </t>
  </si>
  <si>
    <t>Plants installed with an 'elevated' method.</t>
  </si>
  <si>
    <t>Tree staking rarely needed, and not included.</t>
  </si>
  <si>
    <t>If requested at planting, $3 per gallon of container size.</t>
  </si>
  <si>
    <t>If post-staking needed, $2 per gallon of container size.</t>
  </si>
  <si>
    <t>Tree straightening service included for 2 years.</t>
  </si>
  <si>
    <t>13"</t>
  </si>
  <si>
    <t>44"</t>
  </si>
  <si>
    <t xml:space="preserve">      From top of county: NC39 South to NC42, then a straight line through Wilson's Mills, going</t>
  </si>
  <si>
    <t xml:space="preserve">      across Interstate 40 right at Elevation Road, then straight on out to about Denning Road.</t>
  </si>
  <si>
    <t>48"</t>
  </si>
  <si>
    <t>11"</t>
  </si>
  <si>
    <t>16"</t>
  </si>
  <si>
    <t>Customer Responsibilities:</t>
  </si>
  <si>
    <t>Buy replacement plant of the same pot size or less.</t>
  </si>
  <si>
    <t>Dig up and dispose of dead plant.</t>
  </si>
  <si>
    <t>Reinstall new plant.</t>
  </si>
  <si>
    <t>One warranty per plant.</t>
  </si>
  <si>
    <t>Prevent drowning (most common cause of death in NC)</t>
  </si>
  <si>
    <t>Usually brown triple-shred - other types upon request.</t>
  </si>
  <si>
    <t>23"</t>
  </si>
  <si>
    <t>Quality is</t>
  </si>
  <si>
    <t xml:space="preserve">     Poor plants will be replaced or refunded. </t>
  </si>
  <si>
    <t>14"</t>
  </si>
  <si>
    <t>17"</t>
  </si>
  <si>
    <t>19"</t>
  </si>
  <si>
    <t>27"</t>
  </si>
  <si>
    <t>29"</t>
  </si>
  <si>
    <t>31"</t>
  </si>
  <si>
    <t>33"</t>
  </si>
  <si>
    <t>37"</t>
  </si>
  <si>
    <t>39"</t>
  </si>
  <si>
    <t>41"</t>
  </si>
  <si>
    <t>43"</t>
  </si>
  <si>
    <t>47"</t>
  </si>
  <si>
    <t>– water roots gently, using a wide-mouth nozzle.</t>
  </si>
  <si>
    <t>Clear planting area of debris, DO NOT rototill area.</t>
  </si>
  <si>
    <t>Dig, but NOT AS DEEP AS ROOTBALL. Place diggings around top edge of hole.</t>
  </si>
  <si>
    <t>Add mulch to mound as needed, as time takes a toll.</t>
  </si>
  <si>
    <t xml:space="preserve">Repair mound as needed. Animals, people, and weather take a toll. </t>
  </si>
  <si>
    <t>Foliage often outgrows stem. Give it a solid haircut! Shear maybe 1/3 of foliage away.</t>
  </si>
  <si>
    <t>It should straighten up with weight taken off. It will be stronger, and will regain stature fast.</t>
  </si>
  <si>
    <t>– water more or less as needed, as ground gets saturated. Watch for runoff.</t>
  </si>
  <si>
    <r>
      <t xml:space="preserve">If plant stays too </t>
    </r>
    <r>
      <rPr>
        <b/>
        <sz val="11"/>
        <color rgb="FF333333"/>
        <rFont val="Arial"/>
        <family val="2"/>
      </rPr>
      <t>WET</t>
    </r>
    <r>
      <rPr>
        <sz val="11"/>
        <color rgb="FF333333"/>
        <rFont val="Arial"/>
        <family val="2"/>
      </rPr>
      <t>: plant dies from inside-out (losing inner foliage).</t>
    </r>
  </si>
  <si>
    <r>
      <t xml:space="preserve">If plant stays too </t>
    </r>
    <r>
      <rPr>
        <b/>
        <sz val="11"/>
        <color rgb="FF333333"/>
        <rFont val="Arial"/>
        <family val="2"/>
      </rPr>
      <t>DRY</t>
    </r>
    <r>
      <rPr>
        <sz val="11"/>
        <color rgb="FF333333"/>
        <rFont val="Arial"/>
        <family val="2"/>
      </rPr>
      <t>: plant dies from top-down (losing foliage at tips).</t>
    </r>
  </si>
  <si>
    <r>
      <t>Reduce frequency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</si>
  <si>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t>Choose any new plant, same size/price or less. OK to pay for upsize.</t>
  </si>
  <si>
    <r>
      <t>IF IN DOUBT,</t>
    </r>
    <r>
      <rPr>
        <sz val="11"/>
        <color rgb="FF333333"/>
        <rFont val="Arial"/>
        <family val="2"/>
      </rPr>
      <t xml:space="preserve"> check moisture level with finger (or a moisture meter).</t>
    </r>
  </si>
  <si>
    <t>Mark edge of hole, about 2" to 3" from side of pot.</t>
  </si>
  <si>
    <t>Elevate plant about 1/4 above grade (lower if a moisture-loving plant).</t>
  </si>
  <si>
    <t>Spread about a 2" layer of hardwood mulch (3" max).</t>
  </si>
  <si>
    <t>©2025 Trees2Go.com LLC</t>
  </si>
  <si>
    <t>Edison serves same area.</t>
  </si>
  <si>
    <t>919-249-6670</t>
  </si>
  <si>
    <t>Edison is a separate business, quoted gratis.</t>
  </si>
  <si>
    <t>Feel free to contact Edison anytime to discuss.</t>
  </si>
  <si>
    <t xml:space="preserve">What Edison calls 'Planting Method', </t>
  </si>
  <si>
    <t>Edison Landscaping Responsibilities:</t>
  </si>
  <si>
    <t>← ← far left</t>
  </si>
  <si>
    <t>Edisonscapes.com</t>
  </si>
  <si>
    <t>Feel free to hire Edison directly, for anything.</t>
  </si>
  <si>
    <r>
      <t>Try a garden store formula, maybe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</si>
  <si>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Example:</t>
  </si>
  <si>
    <t>($600 level reached).</t>
  </si>
  <si>
    <t>($800 level surpassed).</t>
  </si>
  <si>
    <t>Discount never expires, even if you move.</t>
  </si>
  <si>
    <t>Pot</t>
  </si>
  <si>
    <t xml:space="preserve"> Fee</t>
  </si>
  <si>
    <r>
      <rPr>
        <sz val="9.5"/>
        <color rgb="FF002060"/>
        <rFont val="Gadugi"/>
        <family val="2"/>
      </rPr>
      <t xml:space="preserve">Total of </t>
    </r>
    <r>
      <rPr>
        <b/>
        <sz val="9.5"/>
        <color rgb="FF002060"/>
        <rFont val="Gadugi"/>
        <family val="2"/>
      </rPr>
      <t>Planting Amounts Paid:</t>
    </r>
  </si>
  <si>
    <t xml:space="preserve">Trees2Go calls 'Planting Advice' - see tab ↙ </t>
  </si>
  <si>
    <t xml:space="preserve"> Edison Discount Table (automatic)</t>
  </si>
  <si>
    <t>Discount:</t>
  </si>
  <si>
    <t xml:space="preserve"> Edison 2 Year 100% Warranty</t>
  </si>
  <si>
    <t xml:space="preserve"> Edison General Notes</t>
  </si>
  <si>
    <t>Edison uses this same table, but calculates separately.</t>
  </si>
  <si>
    <t>⇐ See Table at left.</t>
  </si>
  <si>
    <t>sources G1-G6</t>
  </si>
  <si>
    <t>Edison Planting Fees</t>
  </si>
  <si>
    <t>Extra mulching on request, usually $110/yard.</t>
  </si>
  <si>
    <t>after installation is complete.</t>
  </si>
  <si>
    <t>Send deposit(s) as needed.</t>
  </si>
  <si>
    <t>Prices assume normal soil, easy access, mild slopes, no stumps. Difficulty fee applies as needed.</t>
  </si>
  <si>
    <t>T2G will email data to Edison, upon order.</t>
  </si>
  <si>
    <t>Trees2Go and Edison Landscaping partner for turn-key plant installation. Trees2Go quotes Edison planting, but we each bill independently. Feel free to contact Edison directly for their wide repertoire of services beyond planting.</t>
  </si>
  <si>
    <t xml:space="preserve">Substantial soil Buyed to raise plant above grade. </t>
  </si>
  <si>
    <t>Rooting hormone, fertilizer &amp; watering gel Buyed.</t>
  </si>
  <si>
    <t>If outside Eastern Triangle area, Buy mileage fee.</t>
  </si>
  <si>
    <r>
      <rPr>
        <b/>
        <sz val="12"/>
        <color theme="1"/>
        <rFont val="Arial"/>
        <family val="2"/>
      </rPr>
      <t>Optional:</t>
    </r>
    <r>
      <rPr>
        <sz val="12"/>
        <color theme="1"/>
        <rFont val="Arial"/>
        <family val="2"/>
      </rPr>
      <t xml:space="preserve"> add rooting hormone in trench and/or long-term fertilizer in trench.</t>
    </r>
  </si>
  <si>
    <r>
      <t>Edison Landscaping uses LESCO</t>
    </r>
    <r>
      <rPr>
        <vertAlign val="superscript"/>
        <sz val="10"/>
        <color theme="1"/>
        <rFont val="Arial"/>
        <family val="2"/>
      </rPr>
      <t>®</t>
    </r>
    <r>
      <rPr>
        <sz val="12"/>
        <color theme="1"/>
        <rFont val="Arial"/>
        <family val="2"/>
      </rPr>
      <t xml:space="preserve"> Carbon Pro</t>
    </r>
    <r>
      <rPr>
        <vertAlign val="superscript"/>
        <sz val="10"/>
        <color theme="1"/>
        <rFont val="Arial"/>
        <family val="2"/>
      </rPr>
      <t>™</t>
    </r>
    <r>
      <rPr>
        <sz val="12"/>
        <color theme="1"/>
        <rFont val="Arial"/>
        <family val="2"/>
      </rPr>
      <t>-G soil amendment.</t>
    </r>
  </si>
  <si>
    <t xml:space="preserve"> Free Delivery Eastern Triangle Area of North Carolina +100 miles (for a fee)</t>
  </si>
  <si>
    <t>811? Y/N⇨</t>
  </si>
  <si>
    <t xml:space="preserve"> Trees2Go Price Details</t>
  </si>
  <si>
    <t xml:space="preserve"> Edison Landscaping Price Details</t>
  </si>
  <si>
    <t>Subtotals:</t>
  </si>
  <si>
    <t>WITH Tax</t>
  </si>
  <si>
    <t>A</t>
  </si>
  <si>
    <t xml:space="preserve"> With Tax</t>
  </si>
  <si>
    <t>Abelia = Abelia</t>
  </si>
  <si>
    <t>4920 Mial Plantation Rd, Raleigh NC 27610</t>
  </si>
  <si>
    <t>gallon</t>
  </si>
  <si>
    <t>Buy</t>
  </si>
  <si>
    <t>G6</t>
  </si>
  <si>
    <t>N</t>
  </si>
  <si>
    <t>KEY TO BRANDS:</t>
  </si>
  <si>
    <t>Mature</t>
  </si>
  <si>
    <t>Height</t>
  </si>
  <si>
    <t>x Width</t>
  </si>
  <si>
    <t>G4</t>
  </si>
  <si>
    <t>Cedrus atlantica 'Glauca'</t>
  </si>
  <si>
    <t>Blue Atlas Cedar</t>
  </si>
  <si>
    <t>60'×40'</t>
  </si>
  <si>
    <t>Cedrus deodara</t>
  </si>
  <si>
    <t>Deodar Cedar</t>
  </si>
  <si>
    <t>Chamaecyparis obtusa 'Crippsii'</t>
  </si>
  <si>
    <t>Golden Hinoki Cypress</t>
  </si>
  <si>
    <t>20'×10'</t>
  </si>
  <si>
    <t>Qty 50, 1.5-2ft HT</t>
  </si>
  <si>
    <t>G3</t>
  </si>
  <si>
    <t>G1</t>
  </si>
  <si>
    <t>G5</t>
  </si>
  <si>
    <t>Chamaecyparis obtusa 'Gracilis'</t>
  </si>
  <si>
    <t>Slender Hinoki Cypress</t>
  </si>
  <si>
    <t>Chamaecyparis obtusa 'Kosteri'</t>
  </si>
  <si>
    <t>Koster's Cypress</t>
  </si>
  <si>
    <t>Cryptomeria japonica 'Black Dragon'</t>
  </si>
  <si>
    <t>Black Dragon Cryptomeria</t>
  </si>
  <si>
    <t>10'×6'</t>
  </si>
  <si>
    <t>Cryptomeria japonica 'Gyokuryu'</t>
  </si>
  <si>
    <t>Gyokuryu Japanese Cedar</t>
  </si>
  <si>
    <t>Cryptomeria japonica 'Radicans'</t>
  </si>
  <si>
    <t>Radicans Cryptomeria</t>
  </si>
  <si>
    <t>Cupressus sempervirens</t>
  </si>
  <si>
    <t>Italian Cypress</t>
  </si>
  <si>
    <t>30'×20'</t>
  </si>
  <si>
    <t>20'×8'</t>
  </si>
  <si>
    <t>20'×15'</t>
  </si>
  <si>
    <t>4-5' h</t>
  </si>
  <si>
    <t>G2</t>
  </si>
  <si>
    <t>12'×8'</t>
  </si>
  <si>
    <t>15'×10'</t>
  </si>
  <si>
    <t>7-8' ht</t>
  </si>
  <si>
    <t>15'×12'</t>
  </si>
  <si>
    <t>25'×12'</t>
  </si>
  <si>
    <t>24-30"</t>
  </si>
  <si>
    <t>30-36"</t>
  </si>
  <si>
    <t>15"</t>
  </si>
  <si>
    <t>quart</t>
  </si>
  <si>
    <t>15'×6'</t>
  </si>
  <si>
    <t>10'×4'</t>
  </si>
  <si>
    <t>18-21"</t>
  </si>
  <si>
    <t>40'×30'</t>
  </si>
  <si>
    <t>50'×40'</t>
  </si>
  <si>
    <t>70'×40'</t>
  </si>
  <si>
    <t>15-18"</t>
  </si>
  <si>
    <t>21-24"</t>
  </si>
  <si>
    <t>15'×8'</t>
  </si>
  <si>
    <t>8'×5'</t>
  </si>
  <si>
    <t>White bloom</t>
  </si>
  <si>
    <t>Creamy White bloom</t>
  </si>
  <si>
    <t>B</t>
  </si>
  <si>
    <t>C</t>
  </si>
  <si>
    <t>D</t>
  </si>
  <si>
    <t>E</t>
  </si>
  <si>
    <t>F</t>
  </si>
  <si>
    <t>G</t>
  </si>
  <si>
    <t>go to top</t>
  </si>
  <si>
    <t>Fagus = Beech</t>
  </si>
  <si>
    <t>Acanthus = Bear's Breeches</t>
  </si>
  <si>
    <t>Amsonia = Bluestar</t>
  </si>
  <si>
    <t>Aesculus = Buckeye</t>
  </si>
  <si>
    <t>Ajuga = Carpet Bugle</t>
  </si>
  <si>
    <t>Aspidistra = Cast Iron Plant</t>
  </si>
  <si>
    <t>Aronia = Chokeberry</t>
  </si>
  <si>
    <t>Astilbe = False Goat's Beard</t>
  </si>
  <si>
    <t>Agastache = Hummingbird Mint</t>
  </si>
  <si>
    <t>Acer = Maple</t>
  </si>
  <si>
    <t>Ardisia = Marlberry</t>
  </si>
  <si>
    <t>Asimina = PawPaw</t>
  </si>
  <si>
    <t>Amelanchier = Serviceberry</t>
  </si>
  <si>
    <t>Aralia = Spikenard</t>
  </si>
  <si>
    <t>Acorus = Sweet Flag</t>
  </si>
  <si>
    <t>Achillea = Yarrow</t>
  </si>
  <si>
    <t>Berberis = Barberry</t>
  </si>
  <si>
    <t>Buxus = Boxwood</t>
  </si>
  <si>
    <t>Buddleia = Butterfly Bush</t>
  </si>
  <si>
    <t>Bignonia = Crossvine</t>
  </si>
  <si>
    <t>Baptisia = False Indigo</t>
  </si>
  <si>
    <t>Betula = River Birch</t>
  </si>
  <si>
    <t>Callicarpa = Beautyberry</t>
  </si>
  <si>
    <t>Caryopteris = Bluebeard</t>
  </si>
  <si>
    <t>Cephalanthus = Buttonbush</t>
  </si>
  <si>
    <t>Camellia = Camellia</t>
  </si>
  <si>
    <t>Campsis = Trumpet Vine</t>
  </si>
  <si>
    <t>Canna = Canna</t>
  </si>
  <si>
    <t>Cedrus = Cedar</t>
  </si>
  <si>
    <t>Chaste = Chaste Tree</t>
  </si>
  <si>
    <t>Clematis = Clematis Vine</t>
  </si>
  <si>
    <t>Cornus = Dogwood</t>
  </si>
  <si>
    <t>Chamaecyparis = False Cypress</t>
  </si>
  <si>
    <t>Chionanthus = Fringe Tree</t>
  </si>
  <si>
    <t>Crataegus = Hawthorn</t>
  </si>
  <si>
    <t>Cyrtomium = Holly Fern</t>
  </si>
  <si>
    <t>Cryptomeria = Japanese Cedar</t>
  </si>
  <si>
    <t>Citrofortunella = Panama Orange</t>
  </si>
  <si>
    <t>Cercis = Redbud</t>
  </si>
  <si>
    <t>Calamagrostis = Reed Grass</t>
  </si>
  <si>
    <t>Cotoneaster = Rockspray</t>
  </si>
  <si>
    <t>Carex = Sedge Grass</t>
  </si>
  <si>
    <t>Clethra = Summersweet</t>
  </si>
  <si>
    <t>Calycanthus = Sweetshrub</t>
  </si>
  <si>
    <t>Coreopsis = Tickseed</t>
  </si>
  <si>
    <t>Corylopsis = Winter Hazel</t>
  </si>
  <si>
    <t>Cladrastis = Yellowwood</t>
  </si>
  <si>
    <t>Chimonanthus = Wintersweet</t>
  </si>
  <si>
    <t>Citrus Trifoliata = Trifoliate Orange</t>
  </si>
  <si>
    <t>Corylus = Filbert</t>
  </si>
  <si>
    <t>Diervilla = Bush Honeysuckle</t>
  </si>
  <si>
    <t>Dianthus = Dianthus</t>
  </si>
  <si>
    <t>Distylium = Distylium</t>
  </si>
  <si>
    <t>Delosperma = Ice Plant</t>
  </si>
  <si>
    <t>Danae = Poet's Laurel</t>
  </si>
  <si>
    <t>Disporopsis = Solomon's Seal</t>
  </si>
  <si>
    <t>Daphne = Winter Daphne</t>
  </si>
  <si>
    <t>Echinacea = Coneflower</t>
  </si>
  <si>
    <t>Euonymus = Euonymus</t>
  </si>
  <si>
    <t>Eriobotrya = Loquat</t>
  </si>
  <si>
    <t>Edgeworthia = Paperbush</t>
  </si>
  <si>
    <t>Elaeagnus = Silverthorn</t>
  </si>
  <si>
    <t>Ficus = Fig</t>
  </si>
  <si>
    <t>Fothergilla = Fothergilla</t>
  </si>
  <si>
    <t>Forsythia = Golden Bells</t>
  </si>
  <si>
    <t>Farfugium = Leopard Plant</t>
  </si>
  <si>
    <t>Cupressus = Italian Cypress</t>
  </si>
  <si>
    <t>Dryopteris = Autumn Fern</t>
  </si>
  <si>
    <t>15-18" h</t>
  </si>
  <si>
    <t>Acer Palmatum = Japanese Maple</t>
  </si>
  <si>
    <t>Albizia = Mimosa Tree</t>
  </si>
  <si>
    <t>Cotinus = Smokebush &amp; Smoke Tree</t>
  </si>
  <si>
    <t>Deep Green foliage</t>
  </si>
  <si>
    <t>Dark Green foliage</t>
  </si>
  <si>
    <t>Green foliage</t>
  </si>
  <si>
    <t>Bright Green foliage</t>
  </si>
  <si>
    <t>Carpinus = Hornbeam, Ironwood, Musclewood, Water Beech</t>
  </si>
  <si>
    <t>Cedrus atlantica 'Horstmann'</t>
  </si>
  <si>
    <t>Horstmann Blue Atlas Cedar</t>
  </si>
  <si>
    <t>Horstmann makes a fine architectural specimen. Minimal pruning and year-round color</t>
  </si>
  <si>
    <t>Blue-Green needles</t>
  </si>
  <si>
    <t>3-3.5' ht x2.5-3' sp</t>
  </si>
  <si>
    <t>Rich Green foliage</t>
  </si>
  <si>
    <t>Blue Atlas Cedar has a dramatic presence. Emits an aromatic oil that is a natural insect deterrent</t>
  </si>
  <si>
    <t>Blue-Gray-Green needles</t>
  </si>
  <si>
    <t>Golden-Yellow foliage</t>
  </si>
  <si>
    <t>40'×20'</t>
  </si>
  <si>
    <t>50'×6'</t>
  </si>
  <si>
    <t>Silvery-Blue foliage</t>
  </si>
  <si>
    <t>Olive-Green foliage</t>
  </si>
  <si>
    <t>Deodar is "the most graceful cedar". Distinctive pyramidal form, with pendulous branches often reaching the ground</t>
  </si>
  <si>
    <t>3.5-5' x 3-3.5' | very nice | great color</t>
  </si>
  <si>
    <t>Slender Hinoki known for it's distinctive, open, graceful, and somewhat irregular shape. Slow grower</t>
  </si>
  <si>
    <t>Koster's is a Hinoki type. Shell-like foliage and a unique, irregularly branched, conical form lend great texture and interest</t>
  </si>
  <si>
    <t>Gyokuryu prized for its dense, naturally broad form and its excellent ability to maintain good color right through cold winters</t>
  </si>
  <si>
    <t>Italian Cypress is classic mediterranean style, but roots can't withstand our hurricanes ~ consider the Taylo  &amp; Trautman Junipers</t>
  </si>
  <si>
    <t>20-24"</t>
  </si>
  <si>
    <t>Silvery-Blue-Green needles</t>
  </si>
  <si>
    <t>Steel Blue needles</t>
  </si>
  <si>
    <t>Maples</t>
  </si>
  <si>
    <t>go to Edison Landscaping at top of page</t>
  </si>
  <si>
    <r>
      <t xml:space="preserve">   </t>
    </r>
    <r>
      <rPr>
        <sz val="9"/>
        <color rgb="FF002060"/>
        <rFont val="Arial"/>
        <family val="2"/>
      </rPr>
      <t>maybe</t>
    </r>
    <r>
      <rPr>
        <b/>
        <sz val="9"/>
        <color rgb="FF002060"/>
        <rFont val="Arial"/>
        <family val="2"/>
      </rPr>
      <t xml:space="preserve"> Mix 'n Match </t>
    </r>
    <r>
      <rPr>
        <sz val="9"/>
        <color rgb="FF002060"/>
        <rFont val="Arial"/>
        <family val="2"/>
      </rPr>
      <t>~ choose any combination of Trees2Go delivery and Edison planting</t>
    </r>
  </si>
  <si>
    <r>
      <t xml:space="preserve"> </t>
    </r>
    <r>
      <rPr>
        <sz val="9"/>
        <color rgb="FF974706"/>
        <rFont val="Arial"/>
        <family val="2"/>
      </rPr>
      <t xml:space="preserve"> </t>
    </r>
    <r>
      <rPr>
        <b/>
        <sz val="11"/>
        <color rgb="FF974706"/>
        <rFont val="Arial"/>
        <family val="2"/>
      </rPr>
      <t>⇩</t>
    </r>
    <r>
      <rPr>
        <sz val="9"/>
        <color rgb="FF002060"/>
        <rFont val="Arial"/>
        <family val="2"/>
      </rPr>
      <t xml:space="preserve">  type </t>
    </r>
    <r>
      <rPr>
        <sz val="10"/>
        <color rgb="FF974706"/>
        <rFont val="Arial"/>
        <family val="2"/>
      </rPr>
      <t>'</t>
    </r>
    <r>
      <rPr>
        <b/>
        <sz val="10"/>
        <color rgb="FF974706"/>
        <rFont val="Arial"/>
        <family val="2"/>
      </rPr>
      <t>me</t>
    </r>
    <r>
      <rPr>
        <sz val="10"/>
        <color rgb="FF974706"/>
        <rFont val="Arial"/>
        <family val="2"/>
      </rPr>
      <t>'</t>
    </r>
    <r>
      <rPr>
        <sz val="9"/>
        <color rgb="FF002060"/>
        <rFont val="Arial"/>
        <family val="2"/>
      </rPr>
      <t xml:space="preserve"> on each self-plant</t>
    </r>
  </si>
  <si>
    <r>
      <rPr>
        <b/>
        <sz val="9"/>
        <color rgb="FF002060"/>
        <rFont val="Arial"/>
        <family val="2"/>
      </rPr>
      <t>↙</t>
    </r>
    <r>
      <rPr>
        <sz val="9"/>
        <color rgb="FF002060"/>
        <rFont val="Arial"/>
        <family val="2"/>
      </rPr>
      <t xml:space="preserve"> '</t>
    </r>
    <r>
      <rPr>
        <b/>
        <sz val="9"/>
        <color rgb="FF002060"/>
        <rFont val="Arial"/>
        <family val="2"/>
      </rPr>
      <t>me</t>
    </r>
    <r>
      <rPr>
        <sz val="9"/>
        <color rgb="FF002060"/>
        <rFont val="Arial"/>
        <family val="2"/>
      </rPr>
      <t>' works with '</t>
    </r>
    <r>
      <rPr>
        <b/>
        <sz val="9"/>
        <color rgb="FF002060"/>
        <rFont val="Arial"/>
        <family val="2"/>
      </rPr>
      <t>yes</t>
    </r>
    <r>
      <rPr>
        <sz val="9"/>
        <color rgb="FF002060"/>
        <rFont val="Arial"/>
        <family val="2"/>
      </rPr>
      <t xml:space="preserve">' </t>
    </r>
    <r>
      <rPr>
        <b/>
        <sz val="9"/>
        <color rgb="FF002060"/>
        <rFont val="Arial"/>
        <family val="2"/>
      </rPr>
      <t>↖</t>
    </r>
    <r>
      <rPr>
        <sz val="9"/>
        <color rgb="FF002060"/>
        <rFont val="Arial"/>
        <family val="2"/>
      </rPr>
      <t xml:space="preserve">
You can install some &amp; have Edison install some.</t>
    </r>
  </si>
  <si>
    <r>
      <rPr>
        <b/>
        <sz val="10"/>
        <color theme="1"/>
        <rFont val="Arial"/>
        <family val="2"/>
      </rPr>
      <t>Caliper</t>
    </r>
    <r>
      <rPr>
        <sz val="10"/>
        <color theme="1"/>
        <rFont val="Arial"/>
        <family val="2"/>
      </rPr>
      <t xml:space="preserve"> = Diameter of stem (6" up)        </t>
    </r>
    <r>
      <rPr>
        <b/>
        <sz val="10"/>
        <color theme="1"/>
        <rFont val="Arial"/>
        <family val="2"/>
      </rPr>
      <t>Standard</t>
    </r>
    <r>
      <rPr>
        <sz val="10"/>
        <color theme="1"/>
        <rFont val="Arial"/>
        <family val="2"/>
      </rPr>
      <t xml:space="preserve"> = both Single Stem and Tree Form</t>
    </r>
  </si>
  <si>
    <r>
      <t xml:space="preserve">No 'buy' button, but </t>
    </r>
    <r>
      <rPr>
        <b/>
        <sz val="10"/>
        <color theme="1"/>
        <rFont val="Arial"/>
        <family val="2"/>
      </rPr>
      <t>this page can be an Order Form</t>
    </r>
    <r>
      <rPr>
        <sz val="10"/>
        <color theme="1"/>
        <rFont val="Arial"/>
        <family val="2"/>
      </rPr>
      <t xml:space="preserve"> ⇾ email or share copy of doc ⇾ </t>
    </r>
    <r>
      <rPr>
        <b/>
        <sz val="10"/>
        <color rgb="FF0070CC"/>
        <rFont val="Arial"/>
        <family val="2"/>
      </rPr>
      <t>FILE SHARE NOT REQUIRED</t>
    </r>
    <r>
      <rPr>
        <sz val="10"/>
        <color theme="1"/>
        <rFont val="Arial"/>
        <family val="2"/>
      </rPr>
      <t>, especially if just a few plants.</t>
    </r>
  </si>
  <si>
    <r>
      <rPr>
        <b/>
        <sz val="10"/>
        <rFont val="Arial"/>
        <family val="2"/>
      </rPr>
      <t xml:space="preserve"> Evergreen:</t>
    </r>
    <r>
      <rPr>
        <sz val="10"/>
        <rFont val="Arial"/>
        <family val="2"/>
      </rPr>
      <t xml:space="preserve"> keeps foliage year-round</t>
    </r>
  </si>
  <si>
    <r>
      <rPr>
        <b/>
        <sz val="10"/>
        <rFont val="Arial"/>
        <family val="2"/>
      </rPr>
      <t xml:space="preserve">Deciduous: </t>
    </r>
    <r>
      <rPr>
        <sz val="10"/>
        <rFont val="Arial"/>
        <family val="2"/>
      </rPr>
      <t>foliage drops off every fall</t>
    </r>
  </si>
  <si>
    <r>
      <rPr>
        <b/>
        <sz val="10"/>
        <color theme="1"/>
        <rFont val="Arial"/>
        <family val="2"/>
      </rPr>
      <t>Share Price it, or just your whims &amp; wants, along with name, delivery address, and best phone</t>
    </r>
    <r>
      <rPr>
        <sz val="10"/>
        <color theme="1"/>
        <rFont val="Arial"/>
        <family val="2"/>
      </rPr>
      <t>:</t>
    </r>
    <r>
      <rPr>
        <b/>
        <sz val="10"/>
        <color theme="1"/>
        <rFont val="Arial"/>
        <family val="2"/>
      </rPr>
      <t xml:space="preserve"> Shop@Trees2Go.com</t>
    </r>
    <r>
      <rPr>
        <sz val="10"/>
        <color theme="1"/>
        <rFont val="Arial"/>
        <family val="2"/>
      </rPr>
      <t xml:space="preserve"> - get a custom quote back fast.</t>
    </r>
  </si>
  <si>
    <r>
      <t xml:space="preserve">sorry, no visitors </t>
    </r>
    <r>
      <rPr>
        <sz val="9"/>
        <color theme="1"/>
        <rFont val="Segoe UI Emoji"/>
        <family val="2"/>
      </rPr>
      <t>🔷</t>
    </r>
    <r>
      <rPr>
        <sz val="9"/>
        <color theme="1"/>
        <rFont val="Arial"/>
        <family val="2"/>
      </rPr>
      <t xml:space="preserve"> plants are at growers</t>
    </r>
  </si>
  <si>
    <r>
      <t xml:space="preserve">Pay </t>
    </r>
    <r>
      <rPr>
        <b/>
        <sz val="9.5"/>
        <color theme="1"/>
        <rFont val="Arial"/>
        <family val="2"/>
      </rPr>
      <t>Trees2Go</t>
    </r>
    <r>
      <rPr>
        <sz val="9.5"/>
        <color theme="1"/>
        <rFont val="Arial"/>
        <family val="2"/>
      </rPr>
      <t xml:space="preserve"> at delivery.</t>
    </r>
  </si>
  <si>
    <r>
      <t xml:space="preserve">Pay </t>
    </r>
    <r>
      <rPr>
        <b/>
        <sz val="9.5"/>
        <color theme="1"/>
        <rFont val="Arial"/>
        <family val="2"/>
      </rPr>
      <t>Edison</t>
    </r>
    <r>
      <rPr>
        <sz val="9.5"/>
        <color theme="1"/>
        <rFont val="Arial"/>
        <family val="2"/>
      </rPr>
      <t xml:space="preserve"> balance 7 days</t>
    </r>
  </si>
  <si>
    <r>
      <rPr>
        <b/>
        <sz val="10"/>
        <color rgb="FF9900FF"/>
        <rFont val="Arial"/>
        <family val="2"/>
      </rPr>
      <t xml:space="preserve"> </t>
    </r>
    <r>
      <rPr>
        <b/>
        <sz val="12"/>
        <color rgb="FF9900FF"/>
        <rFont val="Arial"/>
        <family val="2"/>
      </rPr>
      <t>E</t>
    </r>
    <r>
      <rPr>
        <b/>
        <sz val="10"/>
        <color rgb="FF9900FF"/>
        <rFont val="Arial"/>
        <family val="2"/>
      </rPr>
      <t xml:space="preserve">  # to Buy</t>
    </r>
  </si>
  <si>
    <t>Golden Hinoki is a dramatic mix of Yellow &amp; Green feathery foliage. optimal color in full sun. Slow grower</t>
  </si>
  <si>
    <t>Black Dragon foliage emerges Bright Green, then changes from Dark Green to near Black in winter. optimal with afternoon shade</t>
  </si>
  <si>
    <t xml:space="preserve"> No Tax  </t>
  </si>
  <si>
    <t>Gelsemium = Jessamine Vine</t>
  </si>
  <si>
    <t>Ginkgo = Maidenhair Tree</t>
  </si>
  <si>
    <t>50'×30'</t>
  </si>
  <si>
    <t>Gordlinia = Mountain Gordlinia</t>
  </si>
  <si>
    <t>Gordlinia grandiflora</t>
  </si>
  <si>
    <t>Mountain Gordlinia</t>
  </si>
  <si>
    <t>30'×15'</t>
  </si>
  <si>
    <t>H</t>
  </si>
  <si>
    <t>Hamamelis = Arizona Cypress</t>
  </si>
  <si>
    <t>Helleborus = Lenten Rose</t>
  </si>
  <si>
    <t>Hemerocallis = Daylily</t>
  </si>
  <si>
    <t>Heptacodium = Seven-son Flower Tree</t>
  </si>
  <si>
    <t>Hesperocyparis = Arizona Cypress</t>
  </si>
  <si>
    <t>Hesperocyparis arizonica 'Midlothian BB'</t>
  </si>
  <si>
    <t>Blue Steel Arizona Cypress</t>
  </si>
  <si>
    <t>Silvery Blue foliage</t>
  </si>
  <si>
    <t>Blue Steel is a striking, upright evergreen conifer admired for its intense Steel-Blue foliage and exceptional drought tolerance</t>
  </si>
  <si>
    <t>Hesperocyparis arizonica 'Quick Frost'</t>
  </si>
  <si>
    <t>Quick Frost Arizona Cypress</t>
  </si>
  <si>
    <t>35'×20'</t>
  </si>
  <si>
    <t>Quick Frost grows fast, is good for dry sites, and it's foliage is fragrant when crushed</t>
  </si>
  <si>
    <t>Hesperocyparis glabra 'Blue Ice'</t>
  </si>
  <si>
    <t>Blue Ice Arizona Cypress</t>
  </si>
  <si>
    <t>3-4' h | great color</t>
  </si>
  <si>
    <t>Blue Ice is a striking, upright evergreen celebrated for its brilliant powdery-blue foliage and beautiful exfoliating bark</t>
  </si>
  <si>
    <t>Heucherella = Foamy Bells</t>
  </si>
  <si>
    <t>Hibiscus = Hardy Hibiscus, Rose of Sharon, and Rose Mallow</t>
  </si>
  <si>
    <t>Hosta = Plantain Lily</t>
  </si>
  <si>
    <t>Hyd. = Bigleaf, Climbing, Hardy, Mountain, Oakleaf, and Smooth Hydrangea</t>
  </si>
  <si>
    <t>Hypericum = St. John's Wort</t>
  </si>
  <si>
    <t>I</t>
  </si>
  <si>
    <t>Ilex = Holly</t>
  </si>
  <si>
    <t>Ilex 'Conaf' PP#9487Exp.</t>
  </si>
  <si>
    <t>Qty 100, 5-5.5ft HT</t>
  </si>
  <si>
    <t>Oak Leaf named for shape of leaves, like an Oak leaf. Self-pollinates, so no male is required. Pyramidal shape</t>
  </si>
  <si>
    <t>Ilex 'Conin' PP#9486Exp.</t>
  </si>
  <si>
    <t>20'×12'</t>
  </si>
  <si>
    <t>9-10' ht x 3-4' sp</t>
  </si>
  <si>
    <t>18-24" h | very nice</t>
  </si>
  <si>
    <t>Ilex crenata 'Sky Pencil'</t>
  </si>
  <si>
    <t>Sky Pencil Holly</t>
  </si>
  <si>
    <t>8'×3'</t>
  </si>
  <si>
    <t>18-20" h | great for pot ups</t>
  </si>
  <si>
    <t>Nice, 1.5ft HT</t>
  </si>
  <si>
    <t>30-36" h | very nice</t>
  </si>
  <si>
    <t>Nice 40, 3-3.5ft HT</t>
  </si>
  <si>
    <t>Nice Qty 60, 6ft HT</t>
  </si>
  <si>
    <t xml:space="preserve">5-6' ht x 16-22" sp </t>
  </si>
  <si>
    <t>Dark Green folaige</t>
  </si>
  <si>
    <t>Nice, 3ft HT</t>
  </si>
  <si>
    <t>Ilex 'Magiana' PP#14418</t>
  </si>
  <si>
    <t>Acadiana foliage is very tightly branched. Heavy Orange-Red fruit set. Self-pollinating</t>
  </si>
  <si>
    <t>Ilex 'Magland' PP#14417</t>
  </si>
  <si>
    <t>4.5-8' h | sheared tight = 4.5-5' h | unsheared for spec = 6.5-8' h</t>
  </si>
  <si>
    <t>Oakland has very oak leaf-shaped leaves. 'Perfect' flowers are both male &amp; female &amp; able to pollinate other Hollies</t>
  </si>
  <si>
    <t>Ilex 'Mary Nell'</t>
  </si>
  <si>
    <t>Mary Nell Holly</t>
  </si>
  <si>
    <t>Mary Nell's spiny foliage defends itself well. Requires a male pollinator for good berry set</t>
  </si>
  <si>
    <t>Ilex 'Nellie R. Stevens' PP#8537Exp.</t>
  </si>
  <si>
    <t>Nellie Stevens Holly</t>
  </si>
  <si>
    <t>25'×15'</t>
  </si>
  <si>
    <t>Glossy Dark Green leaf</t>
  </si>
  <si>
    <t>36-42"</t>
  </si>
  <si>
    <t>4-5' h | very nice</t>
  </si>
  <si>
    <t>6-7' h</t>
  </si>
  <si>
    <t>8-9' ht x 3-5' sp</t>
  </si>
  <si>
    <t>Nellies are all female, but able to self-pollinate. Plant with an Ilex cornuta male to increase berry set</t>
  </si>
  <si>
    <t>Ilex 'Whoa Nellie'</t>
  </si>
  <si>
    <t>Whoa Nellie Holly</t>
  </si>
  <si>
    <t>Ilex x aquipernyi 'Dragon Slayer'</t>
  </si>
  <si>
    <t>Dragon Slayer Holly</t>
  </si>
  <si>
    <t>Dragon Slayer's Scarlet heavy set of berries persist into winter, providing there is a male pollicator</t>
  </si>
  <si>
    <t>Ilex x attenuata 'Nasa'</t>
  </si>
  <si>
    <t>Nasa Holly</t>
  </si>
  <si>
    <t>3-4.5' h | native cultivar</t>
  </si>
  <si>
    <t>4-5.5' h | native cultivar</t>
  </si>
  <si>
    <t>Nasa Holly has good berry set with male pollinator (like 'James Swan' or other attenuate)</t>
  </si>
  <si>
    <t>Ilex x latifolia 'Miss Patricia'</t>
  </si>
  <si>
    <t>Miss Patricia Holly</t>
  </si>
  <si>
    <t>4-5' ht x 24-28" sp</t>
  </si>
  <si>
    <t>Qty 50 Nice Full , 4ft HT</t>
  </si>
  <si>
    <t>3.5-4.5' h | very nice</t>
  </si>
  <si>
    <t>5-6' h | very nice, thick</t>
  </si>
  <si>
    <t>Illicium = Anise Tree</t>
  </si>
  <si>
    <t>Iris = Iris</t>
  </si>
  <si>
    <t>Itea = Virginia Sweetspire</t>
  </si>
  <si>
    <t>J</t>
  </si>
  <si>
    <t>Jasminium = Jasmine</t>
  </si>
  <si>
    <t>Juniperus = Juniper</t>
  </si>
  <si>
    <t>Juniperus chinensis 'Blue Point'</t>
  </si>
  <si>
    <t>Blue Point Juniper</t>
  </si>
  <si>
    <t>Blue-Green foliage</t>
  </si>
  <si>
    <t>Juniperus chinensis 'Spartan'</t>
  </si>
  <si>
    <t>Spartan Juniper</t>
  </si>
  <si>
    <t>20'×5'</t>
  </si>
  <si>
    <t>4.5-5' h | very nice</t>
  </si>
  <si>
    <t>Juniperus chinensis 'Torulosa'</t>
  </si>
  <si>
    <t>Hollywood Juniper</t>
  </si>
  <si>
    <t>Juniperus chinensis 'Trautman'</t>
  </si>
  <si>
    <t>Trautman Juniper</t>
  </si>
  <si>
    <t>15'×5'</t>
  </si>
  <si>
    <t>Juniperus virginiana 'Brodie'</t>
  </si>
  <si>
    <t>Brodie Juniper</t>
  </si>
  <si>
    <t>25'×8'</t>
  </si>
  <si>
    <t>Juniperus virginiana 'Taylor'</t>
  </si>
  <si>
    <t>Taylor Juniper</t>
  </si>
  <si>
    <t>25'×4'</t>
  </si>
  <si>
    <t>Silver-Blue-Green foliage</t>
  </si>
  <si>
    <t>9-9.5' ht</t>
  </si>
  <si>
    <t>L</t>
  </si>
  <si>
    <t>Lagerstroemia = Crape Myrtle</t>
  </si>
  <si>
    <t>20'×18'</t>
  </si>
  <si>
    <t>Lantana = Common Lantana</t>
  </si>
  <si>
    <t>Lespedeza = Bush Clover</t>
  </si>
  <si>
    <t>Ligustrum = Ligustrum</t>
  </si>
  <si>
    <t>Liquidambar = Sweetgum</t>
  </si>
  <si>
    <t>Liriodendron = Tulip Poplar</t>
  </si>
  <si>
    <t>Liriope = Border Grass, Lilyturf, Monkey Grass, and Spider Grass</t>
  </si>
  <si>
    <t>Lonicera = Honeysuckle</t>
  </si>
  <si>
    <t>Loropetalum = Fringe Flower</t>
  </si>
  <si>
    <t>Loropetalum chin. var. r. 'Zhuzhou Fuchsia'</t>
  </si>
  <si>
    <t>Zhuzhou Loropetalum</t>
  </si>
  <si>
    <t>Lysimachia = Money Wort</t>
  </si>
  <si>
    <t>M</t>
  </si>
  <si>
    <t>Magnolia = Magnolia</t>
  </si>
  <si>
    <t>Magnolia grandiflora 'Bracken's Brown Beauty' PP#5520Exp.</t>
  </si>
  <si>
    <t>Bracken's Brown Beauty Magnolia</t>
  </si>
  <si>
    <t>Magnolia grandiflora 'Kay Parris'</t>
  </si>
  <si>
    <t>Kay Parris Magnolia</t>
  </si>
  <si>
    <t>30'×10'</t>
  </si>
  <si>
    <t>Magnolia grandiflora 'Little Gem'</t>
  </si>
  <si>
    <t>Little Gem Magnolia</t>
  </si>
  <si>
    <t>6-7' h | very nice | bud/bloom</t>
  </si>
  <si>
    <t>8-9' ht x 3-4' sp</t>
  </si>
  <si>
    <t>Magnolia grandiflora 'Southern Charm' PP#13049</t>
  </si>
  <si>
    <t>4' h | very nice | bud/bloom</t>
  </si>
  <si>
    <t>5-6' h | very nice | bud/bloom</t>
  </si>
  <si>
    <t>5-6' h | do not match</t>
  </si>
  <si>
    <t>Magnolia laevifolia 'Inspiration'</t>
  </si>
  <si>
    <t>Inspiration Magnolia</t>
  </si>
  <si>
    <t>Inspiration more cold hardy. Purple accent on flowers sets it apart from other Magnolia</t>
  </si>
  <si>
    <t>Magnolia michelia 'Coppertallica'</t>
  </si>
  <si>
    <t>Coppertallica Magnolia</t>
  </si>
  <si>
    <t>Coppertallica named for it's metallic copper undersides. Fragrant bloome with Yellow stamens and a Red eye</t>
  </si>
  <si>
    <t>Mahonia = Grape Holly</t>
  </si>
  <si>
    <t>Mangave = Mangave</t>
  </si>
  <si>
    <t>Metasequoia = Dawn Redwood</t>
  </si>
  <si>
    <t>Microbiota = Russian Arborvitae</t>
  </si>
  <si>
    <t>Miscanthus = Maiden Grass</t>
  </si>
  <si>
    <t>Monarda = Bee Balm</t>
  </si>
  <si>
    <t>Muhlenbergia = Muhly Grass</t>
  </si>
  <si>
    <t>Myrica = Wax Myrtle</t>
  </si>
  <si>
    <t>Myrica cerifera</t>
  </si>
  <si>
    <t>Wax Myrtle</t>
  </si>
  <si>
    <t>42-48"</t>
  </si>
  <si>
    <t>6-9' h | few matching left | native</t>
  </si>
  <si>
    <t>Nassella = Feather Grass</t>
  </si>
  <si>
    <t>Nepeta = Catmint</t>
  </si>
  <si>
    <t>Nyssa = Tupelo</t>
  </si>
  <si>
    <t>O</t>
  </si>
  <si>
    <t>Oenothera = Gaura</t>
  </si>
  <si>
    <t>Ophiopogon = Mondo Grass</t>
  </si>
  <si>
    <t>Osmanthus = Tea Olive</t>
  </si>
  <si>
    <t>Osmanthus fragrans</t>
  </si>
  <si>
    <t>Fragrant Tea Olive</t>
  </si>
  <si>
    <t>Qty 7 ok, 3.5-4ft HT</t>
  </si>
  <si>
    <t>4-4.5' h | very nice</t>
  </si>
  <si>
    <t>Fragrant Tea Olive is very aromatic, starting with blooms in late winter, then sporadically over summer</t>
  </si>
  <si>
    <t>Osmanthus x fortunei</t>
  </si>
  <si>
    <t>Fortune's Osmanthus</t>
  </si>
  <si>
    <t>3-3.5' h | very nice</t>
  </si>
  <si>
    <t>Nice, 4ft HT</t>
  </si>
  <si>
    <t>Fortune's is very aromatic in late summer. Toothed foliage. Drought and shade tolerant</t>
  </si>
  <si>
    <t>Osmanthus x fortunei 'Carl Wheeler'</t>
  </si>
  <si>
    <t>Carl Wheeler Tea Olive</t>
  </si>
  <si>
    <t>Carl Wheeler is exceptionally more fragrant, and, more cold hardy thean other Tea Olive</t>
  </si>
  <si>
    <t>Osmanthus x fortunei 'Fruitlandii'</t>
  </si>
  <si>
    <t>Fruitlandii Tea Olive</t>
  </si>
  <si>
    <t>Fruitlandii has abundant fall blooming fragrant flowers that perist into winter</t>
  </si>
  <si>
    <t>Osmunda = Cinnamon Fern</t>
  </si>
  <si>
    <t>P</t>
  </si>
  <si>
    <t>Paeonia = Peony</t>
  </si>
  <si>
    <t>Panicum = Switchgrass</t>
  </si>
  <si>
    <t>Parrotia = Persian Ironwood</t>
  </si>
  <si>
    <t>25'×10'</t>
  </si>
  <si>
    <t>Pennisetum = Fountain Grass</t>
  </si>
  <si>
    <t>Persea = Swamp Bay</t>
  </si>
  <si>
    <t>Persea palustris 'Hannah Creek'</t>
  </si>
  <si>
    <t>Hannah Creek Swamp Bay Tree</t>
  </si>
  <si>
    <t>Phlox = Phlox</t>
  </si>
  <si>
    <t>Picea = Spruce</t>
  </si>
  <si>
    <t>Picea orientalis 'Skylands'</t>
  </si>
  <si>
    <t>Skylands Oriental Spruce</t>
  </si>
  <si>
    <t>50'×15'</t>
  </si>
  <si>
    <t>Golden-Green needles</t>
  </si>
  <si>
    <t>Skyland's needles emerge a dramatic yellow-green, along with Red pollen cones and Purple seed cones. Grows fast for a Spruce</t>
  </si>
  <si>
    <t>Pieris = Andromeda</t>
  </si>
  <si>
    <t>Pinus = Pine</t>
  </si>
  <si>
    <t>Pinus densiflora 'Burke's Red Variegated'</t>
  </si>
  <si>
    <t>Burke's Red Pine</t>
  </si>
  <si>
    <t>Variegated needles</t>
  </si>
  <si>
    <t>Burke's is a rare Pine with Red, Pink, and Creamy White bands in needles. Great winter interest.</t>
  </si>
  <si>
    <t>Pinus koraiensis 'Oculis Draconis'</t>
  </si>
  <si>
    <t>Dragon Eye Korean Pine</t>
  </si>
  <si>
    <t>Dragon Eye named for the Blue-Green needles banded with Creamy Yellow, creating a "dragon's=eye" effect</t>
  </si>
  <si>
    <t>Dark Green needles</t>
  </si>
  <si>
    <t>Pinus palustris</t>
  </si>
  <si>
    <t>Longleaf Pine</t>
  </si>
  <si>
    <t>70'×35'</t>
  </si>
  <si>
    <t>Green needles</t>
  </si>
  <si>
    <t>Longleaf is state tree of NC (Dogwood is state flower). Cones are the largest of any Pine around here</t>
  </si>
  <si>
    <t>Pinus taeda</t>
  </si>
  <si>
    <t>Loblolly Pine</t>
  </si>
  <si>
    <t>Pinus thunbergii</t>
  </si>
  <si>
    <t>Japanese Black Pine</t>
  </si>
  <si>
    <t>60'×30'</t>
  </si>
  <si>
    <t>Japanese Black Pine is more irregular in form than other fine, making it a nice specimen or bonsai</t>
  </si>
  <si>
    <t>Pinus thunbergii 'Thunderhead'</t>
  </si>
  <si>
    <t>Thunderhead Japanese Black Pine</t>
  </si>
  <si>
    <t>Deep Green needles</t>
  </si>
  <si>
    <t>Thunderhead is grown for it's dramatic appearance, looking 'windswept' even in non-windy areas</t>
  </si>
  <si>
    <t>Pinus virginiana</t>
  </si>
  <si>
    <t>Virginia Pine</t>
  </si>
  <si>
    <t>Virginiana Pine sports a 'rough' appearance, with short, twisted needles. Tolerates poor soils</t>
  </si>
  <si>
    <t>Pistachia = Pistachio</t>
  </si>
  <si>
    <t>Pittosporum = Pittosporum</t>
  </si>
  <si>
    <t>18-20"</t>
  </si>
  <si>
    <t>Poliothyrsis = Chinese Pearlbloom</t>
  </si>
  <si>
    <t>Polygonatum = Solomon's Seal</t>
  </si>
  <si>
    <t>Polystichum = Painted Fern</t>
  </si>
  <si>
    <t>Prunus = Apricot, Cherry, Peach, and Plum</t>
  </si>
  <si>
    <t>Pseudolarix = Golden Larch</t>
  </si>
  <si>
    <t>Punica = Pomegranate</t>
  </si>
  <si>
    <t>Q</t>
  </si>
  <si>
    <t>Quercus = Oak</t>
  </si>
  <si>
    <t>Quercus ilex</t>
  </si>
  <si>
    <t>Holly Oak</t>
  </si>
  <si>
    <t>60'×50'</t>
  </si>
  <si>
    <t>Holly Oak named for foliage resembling Holly. Highly tolerant of poor growing conditions. Very long lived</t>
  </si>
  <si>
    <t>Quercus virginiana</t>
  </si>
  <si>
    <t>Southern Live Oak</t>
  </si>
  <si>
    <t>80'×100'</t>
  </si>
  <si>
    <t>R</t>
  </si>
  <si>
    <t>Rhod. = Azalea</t>
  </si>
  <si>
    <t>Fuchsia-Pink bloom</t>
  </si>
  <si>
    <t>Robinia = Locust</t>
  </si>
  <si>
    <t>Rohdea = Sacred Lady</t>
  </si>
  <si>
    <t>Rosa = Rose</t>
  </si>
  <si>
    <t>Rubus = Blackberry, Raspberry</t>
  </si>
  <si>
    <t>Rudbeckia = Black-eyed Susan</t>
  </si>
  <si>
    <t>Ruscus = Butcher's Broom</t>
  </si>
  <si>
    <t>S</t>
  </si>
  <si>
    <t>Salix = Willow</t>
  </si>
  <si>
    <t>Salvia = Sage</t>
  </si>
  <si>
    <t>Sambucus = Elderberry</t>
  </si>
  <si>
    <t>Sarcococca = Sweet Box</t>
  </si>
  <si>
    <t>Schizachyrium = Little Bluestem Grass</t>
  </si>
  <si>
    <t>Schizophragma = False Hydrangea Vine</t>
  </si>
  <si>
    <t>Sedum = Stonecrop</t>
  </si>
  <si>
    <t>Selaginella = Spikemoss</t>
  </si>
  <si>
    <t>Sequoia = Redwood</t>
  </si>
  <si>
    <t>Sequoia sempervirens 'Inman Select'</t>
  </si>
  <si>
    <t>Inman Select Coast Redwood</t>
  </si>
  <si>
    <t>50'×20'</t>
  </si>
  <si>
    <t>Sorbaria = False Spirea</t>
  </si>
  <si>
    <t>Spiraea = Spiraea</t>
  </si>
  <si>
    <t>Stewartia = Mountain Camellia</t>
  </si>
  <si>
    <t>Styrax = Snowbell</t>
  </si>
  <si>
    <t>Symphyotrichum = Aster</t>
  </si>
  <si>
    <t>Syringa = Lilac</t>
  </si>
  <si>
    <t>T</t>
  </si>
  <si>
    <t>Taxodium = Cypress</t>
  </si>
  <si>
    <t>Taxus cuspidata PP#TACU</t>
  </si>
  <si>
    <t>Japanese Yew</t>
  </si>
  <si>
    <t>1.5-2ft HT</t>
  </si>
  <si>
    <t>Japanese Yew is not a true Yew, but very similar. It is low maintenance, durable, and tolerant of poor conditions</t>
  </si>
  <si>
    <t>Ternstroemia = Cleyera</t>
  </si>
  <si>
    <t>Thuja = Arborvitae</t>
  </si>
  <si>
    <t>Thuja occidentalis 'American Pillar' PP#20209</t>
  </si>
  <si>
    <t>American Pillar Arborvitae</t>
  </si>
  <si>
    <t>25'×5'</t>
  </si>
  <si>
    <t>7-8' ht x 2.5' sp</t>
  </si>
  <si>
    <t>10-11' ht x 4-4.5' sp</t>
  </si>
  <si>
    <t>American Pillar is very fast growing, with a tight form, and a stronger root system than similar narrow plants</t>
  </si>
  <si>
    <t>Thuja occidentalis 'Art Boe' PP#22174</t>
  </si>
  <si>
    <t>Thuja occidentalis 'DeGroot's Spire'</t>
  </si>
  <si>
    <t>DeGroot's Spire Arborvitae</t>
  </si>
  <si>
    <t>24-36" h</t>
  </si>
  <si>
    <t>36" h | very nice</t>
  </si>
  <si>
    <t>5' h | single-stem, very nice</t>
  </si>
  <si>
    <t>DeGroot's is indeed like a Spire, with just a 3' width if maintained as a Single Stem. And lovely whorled foliage!</t>
  </si>
  <si>
    <t>Thuja occidentalis 'King of Brabant' PP#29678</t>
  </si>
  <si>
    <t>Thuja occidentalis 'Lilshreckthu' PP#33785</t>
  </si>
  <si>
    <t>Emerald-Green foliage</t>
  </si>
  <si>
    <t>5-6' ht x 20-24" sp</t>
  </si>
  <si>
    <t>Emerald Squeeze is similar to Emerald Arborvitae, with durable color that lasts through winter without bronzing</t>
  </si>
  <si>
    <t>Thuja occidentalis 'RutThu5' PP#35180</t>
  </si>
  <si>
    <t>3.5-4.5' ht x 22-28" sp</t>
  </si>
  <si>
    <t>Thuja occidentalis 'Smaragd'</t>
  </si>
  <si>
    <t>Emerald Arborvitae</t>
  </si>
  <si>
    <t>Topiary Tree form Nice, Standard, 4ft HT</t>
  </si>
  <si>
    <t>Spiral 3, 3.5-4ft HT</t>
  </si>
  <si>
    <t>4-5' ht x 2-2.5</t>
  </si>
  <si>
    <t>Thuja occidentalis 'SMNTOO' PP#34292</t>
  </si>
  <si>
    <t>20'×2'</t>
  </si>
  <si>
    <t>Sting is an exceptionally narrow, columnar evergreen prized for its sword-like silhouette and rich foliage that holds its color year-round</t>
  </si>
  <si>
    <t>Thuja occidentalis 'SMTOYB' PP#25388</t>
  </si>
  <si>
    <t>Powdered Gold Arborvitae</t>
  </si>
  <si>
    <t>Powdered Gold is a compact evergreen with vibrant Golden foliage that adds year-round color. Aromatic foliage when crushed</t>
  </si>
  <si>
    <t>Thuja occidentalis 'Yellow Ribbon'</t>
  </si>
  <si>
    <t>Yellow Ribbon Arborvitae</t>
  </si>
  <si>
    <t>Yellow Ribbon foliage emerges Yellow-Orange in spring, than matures to Medium Green. Foliage has a mild cedar-like aroma when crushed</t>
  </si>
  <si>
    <t>Thuja plicata '4EVER' PP#19267</t>
  </si>
  <si>
    <t>18'×5'</t>
  </si>
  <si>
    <t>15-18" h | great color</t>
  </si>
  <si>
    <t>Thuja plicata 'De Rakt' PP#19926</t>
  </si>
  <si>
    <t>Green foliage, Yellow tips</t>
  </si>
  <si>
    <t>Thuja plicata 'Green Giant'</t>
  </si>
  <si>
    <t>Green Giant Arborvitae</t>
  </si>
  <si>
    <t>50'×16'</t>
  </si>
  <si>
    <t>3ft HT</t>
  </si>
  <si>
    <t>6.5ft HT</t>
  </si>
  <si>
    <t>5-6' h</t>
  </si>
  <si>
    <t>Qty 50, 7-8ft HT</t>
  </si>
  <si>
    <t>9.5-10.5' ht x 4.5-5.5'sp</t>
  </si>
  <si>
    <t>Thuja plicata x standishii 'Bonafide' PP#34073</t>
  </si>
  <si>
    <t>Thujopsis = Hiba Arborvitae</t>
  </si>
  <si>
    <t>Thujopsis dolabrata 'Jurassic Park'</t>
  </si>
  <si>
    <t>Jurassic Park Thujopsis</t>
  </si>
  <si>
    <t>Trachelospermum = Confederate Jasmine</t>
  </si>
  <si>
    <t>Trachycarpus = Windmill Palm</t>
  </si>
  <si>
    <t>Trachycarpus fortunei</t>
  </si>
  <si>
    <t>Windmill Palm, Chusan Palm</t>
  </si>
  <si>
    <t>Deep Green fronds</t>
  </si>
  <si>
    <t>Tradescantia = Spiderwort</t>
  </si>
  <si>
    <t>Tsuga = Hemlock</t>
  </si>
  <si>
    <t>U</t>
  </si>
  <si>
    <t>Ulmus = Elm</t>
  </si>
  <si>
    <t>V</t>
  </si>
  <si>
    <t>Verbascum = Mullein</t>
  </si>
  <si>
    <t>Verbena = Vervain</t>
  </si>
  <si>
    <t>Veronica = Speedwell</t>
  </si>
  <si>
    <t>Viburnum = Arrowwood</t>
  </si>
  <si>
    <t>Viburnum awabuki 'Chindo' PP#36488</t>
  </si>
  <si>
    <t>Chindo Viburnum</t>
  </si>
  <si>
    <t xml:space="preserve">5-6' ht x 4-4.5' sp </t>
  </si>
  <si>
    <t>W</t>
  </si>
  <si>
    <t>Weigela = Weigela</t>
  </si>
  <si>
    <t>Wisteria = Wisteria</t>
  </si>
  <si>
    <t>Y</t>
  </si>
  <si>
    <t>Yucca = Adam's Needle</t>
  </si>
  <si>
    <t>Z</t>
  </si>
  <si>
    <t>Zelkova = Japanese Elm</t>
  </si>
  <si>
    <t>Cedrus atlantica 'Fastigiata'</t>
  </si>
  <si>
    <t>Columnar Blue Atlas Cedar</t>
  </si>
  <si>
    <t>40'×15'</t>
  </si>
  <si>
    <t>Blue Point maintains a dense, pyramidal form, with very little pruning. Reddish-Brown bark slightly peels with age. Sun/heat/drought tolerant</t>
  </si>
  <si>
    <t>Spartan maintains a dense, narrow shape without shearing. Sun/heat/drought tolerant</t>
  </si>
  <si>
    <t>Trautman coloration holds fast though extreme heat or cold. Excellent substitute for Italian Cypress. Sun/heat/drought tolerant</t>
  </si>
  <si>
    <t>18'×12'</t>
  </si>
  <si>
    <t>Chindo offers glossy “mirror” leaves, fragrant spring blooms, and showy Red fruit on a fast, pyramidal form</t>
  </si>
  <si>
    <t>Radicans is a fast grower. Foliage scent pleasant when crushed. Peeling bark. Foliage bronzes in winter more than Yoshino</t>
  </si>
  <si>
    <t>Robin Holly foliage emerges Maroon, then turns Dark Green. All female ~ requires a nearby male to set berries</t>
  </si>
  <si>
    <t>Hollywood offers windswept look with twisted, sculptural branches. Native to Japan, but named due to heavy planting in Los Angeles area</t>
  </si>
  <si>
    <t>Brodie is tough and drought tolerant. Reddish-brown bark peels in thin strips. Sun/heat/drought tolerant</t>
  </si>
  <si>
    <t>Taylor is a great sub for Italian Cypress, with stronger roots. Aromatic foliage. Mild winter Bronzing. Sun/heat/drought tolerant</t>
  </si>
  <si>
    <t>Qty 40 nice, 2.5ft HT</t>
  </si>
  <si>
    <t>4.5-5’ | B Grade - reduced price</t>
  </si>
  <si>
    <t>6-7' h x 2' at base | good color</t>
  </si>
  <si>
    <t>6-8' h | very nice</t>
  </si>
  <si>
    <t>Qty 50, 5-6ft HT</t>
  </si>
  <si>
    <t>3.5-4' h | gold new growth</t>
  </si>
  <si>
    <t>3' h | very nice</t>
  </si>
  <si>
    <t>5-6' h | very nice</t>
  </si>
  <si>
    <t>Magnolia 'Eternal Spring'</t>
  </si>
  <si>
    <t>Eternal Spring Magnolia</t>
  </si>
  <si>
    <t>5-5.5' h | very nice | bud/bloom</t>
  </si>
  <si>
    <t>6-7' h | thin | do not match | B Grade - reduced price</t>
  </si>
  <si>
    <t>Full to the ground | B Grade</t>
  </si>
  <si>
    <t>3.5-4' h | very nice</t>
  </si>
  <si>
    <t>Qty 300, 2ft HT</t>
  </si>
  <si>
    <t>5-5.5' h | very nice | native</t>
  </si>
  <si>
    <t>18-24" h | very nice &amp; thick</t>
  </si>
  <si>
    <t>24-30" h | thin</t>
  </si>
  <si>
    <t>6-7' h | native</t>
  </si>
  <si>
    <t>Qty 50 Nice, 3-4ft HT</t>
  </si>
  <si>
    <t>3-4' h | very nice</t>
  </si>
  <si>
    <t>4.5-5ft HT</t>
  </si>
  <si>
    <t>Qty 100, Nice, 2.5ft HT</t>
  </si>
  <si>
    <t>150 Nice , 3-4ft HT</t>
  </si>
  <si>
    <t>4ft HT</t>
  </si>
  <si>
    <t>24-30" x 12" | great color</t>
  </si>
  <si>
    <t>6' h | very nice</t>
  </si>
  <si>
    <t>7' tall</t>
  </si>
  <si>
    <t>Qty 20, 32-36 in ht</t>
  </si>
  <si>
    <t>5ft HT</t>
  </si>
  <si>
    <r>
      <t xml:space="preserve">Native to SE U.S. = </t>
    </r>
    <r>
      <rPr>
        <b/>
        <sz val="16"/>
        <rFont val="Arial"/>
        <family val="2"/>
      </rPr>
      <t>N</t>
    </r>
    <r>
      <rPr>
        <b/>
        <sz val="9"/>
        <rFont val="Arial"/>
        <family val="2"/>
      </rPr>
      <t xml:space="preserve"> </t>
    </r>
  </si>
  <si>
    <t>Search: CTRL+F (Win)  •  ⌘+F (Mac)</t>
  </si>
  <si>
    <t>Sky Pencil are all female, requiring a male Holly to bear the Black fruit. Protect from wind &amp; late day sun</t>
  </si>
  <si>
    <t>White bloom, Pink base</t>
  </si>
  <si>
    <t>Eternal Spring is a very floriferous, with fragrant semi-double blooms along the stems. Lush wavy foliage</t>
  </si>
  <si>
    <t>Miss Patricia foliage is large, glossy, and dense. Heavy Red berry set. Fast grower. Smooth gray bark roughens with age, does not exfoliate</t>
  </si>
  <si>
    <t>Emerald is named for it's year-round color, with little winter bronzing</t>
  </si>
  <si>
    <t>Zhuzhou Loropetalum is tall, upright, and vase-shpaed, with intense Purple foliage. Fringe-like flowers bloom periodically after spring</t>
  </si>
  <si>
    <t>Green Giant grows fast, keeps a narrow profile, and stays dense to the ground. Some winter bronzing, like most Arborvitae. Best alternate to Leyland Cypress</t>
  </si>
  <si>
    <r>
      <rPr>
        <b/>
        <sz val="9"/>
        <color rgb="FF000000"/>
        <rFont val="Arial Black"/>
        <family val="2"/>
      </rPr>
      <t>BEFORE Tax</t>
    </r>
    <r>
      <rPr>
        <b/>
        <sz val="9"/>
        <color rgb="FF000000"/>
        <rFont val="Arial Narrow"/>
        <family val="2"/>
      </rPr>
      <t xml:space="preserve"> </t>
    </r>
  </si>
  <si>
    <r>
      <rPr>
        <b/>
        <sz val="9"/>
        <color rgb="FF002060"/>
        <rFont val="Arial Black"/>
        <family val="2"/>
      </rPr>
      <t>BEFORE</t>
    </r>
    <r>
      <rPr>
        <b/>
        <sz val="9.5"/>
        <color rgb="FF002060"/>
        <rFont val="Arial"/>
        <family val="2"/>
      </rPr>
      <t xml:space="preserve"> Discount:</t>
    </r>
  </si>
  <si>
    <r>
      <rPr>
        <b/>
        <sz val="9"/>
        <color rgb="FF002060"/>
        <rFont val="Arial Black"/>
        <family val="2"/>
      </rPr>
      <t>AFTER</t>
    </r>
    <r>
      <rPr>
        <b/>
        <sz val="9.5"/>
        <color rgb="FF002060"/>
        <rFont val="Arial"/>
        <family val="2"/>
      </rPr>
      <t xml:space="preserve"> Discount:</t>
    </r>
  </si>
  <si>
    <r>
      <t>Edison Planting Total</t>
    </r>
    <r>
      <rPr>
        <b/>
        <sz val="9.5"/>
        <color rgb="FF002060"/>
        <rFont val="Arial"/>
        <family val="2"/>
      </rPr>
      <t>:</t>
    </r>
  </si>
  <si>
    <t>Aucuba = Aucuba, Japanese Laurel</t>
  </si>
  <si>
    <t>12-15" (8/1)</t>
  </si>
  <si>
    <t>Nandina = Nandina</t>
  </si>
  <si>
    <t>pruned 28" (8/14)</t>
  </si>
  <si>
    <t>4-4.5' ht. x 22-24" sp.</t>
  </si>
  <si>
    <t>8-9' ht x 3-3.5' sp</t>
  </si>
  <si>
    <t>10-12' ht x 4-5' sp</t>
  </si>
  <si>
    <r>
      <t>Trees2Go Delivery Total</t>
    </r>
    <r>
      <rPr>
        <b/>
        <sz val="9.5"/>
        <color theme="1"/>
        <rFont val="Arial"/>
        <family val="2"/>
      </rPr>
      <t>:</t>
    </r>
  </si>
  <si>
    <r>
      <rPr>
        <sz val="9.5"/>
        <color theme="1"/>
        <rFont val="Arial"/>
        <family val="2"/>
      </rPr>
      <t xml:space="preserve">balance if paid by </t>
    </r>
    <r>
      <rPr>
        <b/>
        <sz val="9"/>
        <color theme="1"/>
        <rFont val="Arial Black"/>
        <family val="2"/>
      </rPr>
      <t>Credit Card</t>
    </r>
    <r>
      <rPr>
        <b/>
        <sz val="9.5"/>
        <color theme="1"/>
        <rFont val="Arial"/>
        <family val="2"/>
      </rPr>
      <t>:</t>
    </r>
  </si>
  <si>
    <r>
      <t>if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Cash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Check</t>
    </r>
    <r>
      <rPr>
        <sz val="9.5"/>
        <color theme="1"/>
        <rFont val="Arial"/>
        <family val="2"/>
      </rPr>
      <t xml:space="preserve"> or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Venmo</t>
    </r>
    <r>
      <rPr>
        <b/>
        <sz val="9.5"/>
        <color theme="1"/>
        <rFont val="Arial"/>
        <family val="2"/>
      </rPr>
      <t xml:space="preserve"> </t>
    </r>
    <r>
      <rPr>
        <sz val="9.5"/>
        <color theme="1"/>
        <rFont val="Arial"/>
        <family val="2"/>
      </rPr>
      <t xml:space="preserve">= </t>
    </r>
    <r>
      <rPr>
        <b/>
        <sz val="9.5"/>
        <color theme="1"/>
        <rFont val="Arial"/>
        <family val="2"/>
      </rPr>
      <t>2% off:</t>
    </r>
  </si>
  <si>
    <r>
      <t>BB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Bushel and Berry</t>
    </r>
    <r>
      <rPr>
        <b/>
        <vertAlign val="superscript"/>
        <sz val="9"/>
        <color theme="0"/>
        <rFont val="Arial"/>
        <family val="2"/>
      </rPr>
      <t>®</t>
    </r>
  </si>
  <si>
    <r>
      <t>FE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First Editions</t>
    </r>
    <r>
      <rPr>
        <b/>
        <vertAlign val="superscript"/>
        <sz val="9"/>
        <color theme="0"/>
        <rFont val="Arial"/>
        <family val="2"/>
      </rPr>
      <t>®</t>
    </r>
  </si>
  <si>
    <r>
      <t>SB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Sugar Buzz</t>
    </r>
    <r>
      <rPr>
        <b/>
        <vertAlign val="superscript"/>
        <sz val="9"/>
        <color theme="0"/>
        <rFont val="Arial"/>
        <family val="2"/>
      </rPr>
      <t>®</t>
    </r>
  </si>
  <si>
    <r>
      <t>BC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Butterfly Candy</t>
    </r>
    <r>
      <rPr>
        <b/>
        <vertAlign val="superscript"/>
        <sz val="9"/>
        <color theme="0"/>
        <rFont val="Arial"/>
        <family val="2"/>
      </rPr>
      <t>®</t>
    </r>
  </si>
  <si>
    <r>
      <t>FP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Flutterby Petite</t>
    </r>
    <r>
      <rPr>
        <b/>
        <vertAlign val="superscript"/>
        <sz val="9"/>
        <color theme="0"/>
        <rFont val="Arial"/>
        <family val="2"/>
      </rPr>
      <t>®</t>
    </r>
  </si>
  <si>
    <r>
      <t>WP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Wedding Party</t>
    </r>
    <r>
      <rPr>
        <b/>
        <vertAlign val="superscript"/>
        <sz val="9"/>
        <color theme="0"/>
        <rFont val="Arial"/>
        <family val="2"/>
      </rPr>
      <t>®</t>
    </r>
  </si>
  <si>
    <r>
      <t>BE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Bloomin’ Easy</t>
    </r>
    <r>
      <rPr>
        <b/>
        <vertAlign val="superscript"/>
        <sz val="9"/>
        <color theme="0"/>
        <rFont val="Arial"/>
        <family val="2"/>
      </rPr>
      <t>®</t>
    </r>
  </si>
  <si>
    <r>
      <t>DP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Double Play</t>
    </r>
    <r>
      <rPr>
        <b/>
        <vertAlign val="superscript"/>
        <sz val="9"/>
        <color theme="0"/>
        <rFont val="Arial"/>
        <family val="2"/>
      </rPr>
      <t>®</t>
    </r>
  </si>
  <si>
    <r>
      <t>L&amp;B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Lo &amp; Behold</t>
    </r>
    <r>
      <rPr>
        <b/>
        <vertAlign val="superscript"/>
        <sz val="9"/>
        <color theme="0"/>
        <rFont val="Arial"/>
        <family val="2"/>
      </rPr>
      <t>®</t>
    </r>
  </si>
  <si>
    <r>
      <t>ES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Endless Summer</t>
    </r>
    <r>
      <rPr>
        <b/>
        <vertAlign val="superscript"/>
        <sz val="9"/>
        <color theme="0"/>
        <rFont val="Arial"/>
        <family val="2"/>
      </rPr>
      <t>®</t>
    </r>
  </si>
  <si>
    <r>
      <t>PS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Proven Selections</t>
    </r>
    <r>
      <rPr>
        <b/>
        <vertAlign val="superscript"/>
        <sz val="9"/>
        <color theme="0"/>
        <rFont val="Arial"/>
        <family val="2"/>
      </rPr>
      <t>®</t>
    </r>
  </si>
  <si>
    <t>Columnar Blue Atlas is low maintenance, heat/humidity resistant, and long-lived</t>
  </si>
  <si>
    <t>&amp; other notes</t>
  </si>
  <si>
    <t xml:space="preserve">   Retail Price</t>
  </si>
  <si>
    <t>Fatshedera = Tree Ivy</t>
  </si>
  <si>
    <t>Fatsia = Japanese Aralia</t>
  </si>
  <si>
    <t>Hesperocyparis arizonica</t>
  </si>
  <si>
    <t>6-7' x 3-3.5' | great color</t>
  </si>
  <si>
    <t>Arizona Cypress' bluish-green coloring makes it a standout</t>
  </si>
  <si>
    <t>Chaenomeles = Flowering Quince</t>
  </si>
  <si>
    <t>Qty 200, 5-6ft HT</t>
  </si>
  <si>
    <t>20-24" h | very nice | native</t>
  </si>
  <si>
    <t>pruned 20" (8/19)</t>
  </si>
  <si>
    <t>3.5-4' h | very nice | native</t>
  </si>
  <si>
    <t>18" h | very nice | great for pot up</t>
  </si>
  <si>
    <t>Planting Service:</t>
  </si>
  <si>
    <t>Ready May 2026</t>
  </si>
  <si>
    <t>New Crop; Ht 4-4.5'; NICE</t>
  </si>
  <si>
    <t>Ht 5.5-6' now; NICE</t>
  </si>
  <si>
    <t>Ht 4-4.5'; Very Nice</t>
  </si>
  <si>
    <t>Ht 6-7'; Nice</t>
  </si>
  <si>
    <t>Ready October 15th</t>
  </si>
  <si>
    <t>Ht 5.5'; Nice</t>
  </si>
  <si>
    <t>New crop; Ht 6.5'-7' now; Look Great; Great Color</t>
  </si>
  <si>
    <t>Ht 9-9.5'; Cal 2.25-2.5"; Very nice</t>
  </si>
  <si>
    <t>(Slow Grower); Ht 40-42" now; Very nice</t>
  </si>
  <si>
    <t>(Slow Grower); Ht 44-48" now; Very nice; (Next crop October 15th)</t>
  </si>
  <si>
    <t>Slow Grower; Ht 5.5-6' now; NICE</t>
  </si>
  <si>
    <t>New crop; Staked; Ht 3.5-4'; Sheared; NICE</t>
  </si>
  <si>
    <t>Ht 4-5'; NICE (Next crop October 15th)</t>
  </si>
  <si>
    <t>Ht 7-8'; Very nice</t>
  </si>
  <si>
    <t>Ready September 15th</t>
  </si>
  <si>
    <t>Ht 4.5-5'; Look good</t>
  </si>
  <si>
    <t>New crop; Ht 30-32"; Very nice</t>
  </si>
  <si>
    <t>Ready May 2026 (projected)</t>
  </si>
  <si>
    <t>Ht 4.5'; Fast Upright form; Very nice</t>
  </si>
  <si>
    <t>Ready December</t>
  </si>
  <si>
    <t>Ht 5.5-6'; Nice</t>
  </si>
  <si>
    <t>Ht 36-38"; Full; Very Nice (Next Crop July 15th)</t>
  </si>
  <si>
    <t>Ht 3-3.5'; Very Nice; Staked</t>
  </si>
  <si>
    <t>Ht 5-5.5'; Look good</t>
  </si>
  <si>
    <t>Young crop; Ht 5.5' now; Average (Next crop December)</t>
  </si>
  <si>
    <t>Ht 5.5'; Sheared; Staked; Full; NICE</t>
  </si>
  <si>
    <t>Ht 7-8' now; Sheared; Full; NICE</t>
  </si>
  <si>
    <t>STD Cone; Overall Ht 8'; Clear trunk to 24"; Top sheared cone</t>
  </si>
  <si>
    <t>Ht 5'; Sheared; Full; Very nice</t>
  </si>
  <si>
    <t>Ht 8.5-9' (Don't Match Exactly)</t>
  </si>
  <si>
    <t>Ht 4.5' now; Very nice</t>
  </si>
  <si>
    <t>Ht 4-4.5'; Very nice</t>
  </si>
  <si>
    <t>New crop; Ht 4-4.5'; Sheared; Nice</t>
  </si>
  <si>
    <t>Ht 5.5-6'; NICE; Sheared; Very full</t>
  </si>
  <si>
    <t>New crop; Ht 7-7.5' now x base width 4.5'; Sheared; NICE</t>
  </si>
  <si>
    <t>Ht 6'; Look good</t>
  </si>
  <si>
    <t>Ht 32-36"; Sheared; Full; NICE (Better with next flush)</t>
  </si>
  <si>
    <t>Ht 4.5-5'; Look good (Next crop October)</t>
  </si>
  <si>
    <t>Ht 3.5-4'; Nice; Sheared; Full</t>
  </si>
  <si>
    <t>New young crop; Ht 4.5' now; NICE; Full; Sheared (Next crop October 15th)</t>
  </si>
  <si>
    <t>Ht 3.5' now; Very nice (Next crop October 15th)</t>
  </si>
  <si>
    <t>Ht 5-5.5' staked; Nice</t>
  </si>
  <si>
    <t>Ht 6.5-7'; Full; Nice</t>
  </si>
  <si>
    <t>Oriental Pom Pom; Ht 5.5-6.5' now; Nice Specimens</t>
  </si>
  <si>
    <t>New crop; Ht 4.5-5' now; NICE (Next Crop May 2026)</t>
  </si>
  <si>
    <t>Spiral; Ht 7-7.5' now; Average</t>
  </si>
  <si>
    <t>Standard: Overall Ht 6.5-7'; Clear trunk to 32-34"; NICE</t>
  </si>
  <si>
    <t>Tree Form; Ht 6-7'; Very nice</t>
  </si>
  <si>
    <t>Staked Single Trunk Tree Form; Ready June 2026</t>
  </si>
  <si>
    <t>New crop; Ht 7.5-8'; NICE</t>
  </si>
  <si>
    <t>Ht 4.5'; NICE</t>
  </si>
  <si>
    <t>Ht 8-8.5' now; Look good</t>
  </si>
  <si>
    <t>New crop; Ht 7.5'-8'; Narrow; Look Good</t>
  </si>
  <si>
    <t>Espalier; Ht 6-6.5' x Wd 3.5-4' on trellis; NICE</t>
  </si>
  <si>
    <t>Ht 4-4.5'; NICE</t>
  </si>
  <si>
    <t>Espalier; Ht 5-5.5' x Wd 30-32" on trellis; Look good</t>
  </si>
  <si>
    <t>Young new crop; Ht 6.5-7'</t>
  </si>
  <si>
    <t>Espalier; Ht 6-6.5' tall trellis; Look Good</t>
  </si>
  <si>
    <t>Ht 11-12'; Full; Nice; Sheared; Average to good fullness (Next crop July 2026)</t>
  </si>
  <si>
    <t>Ht 4.5-5'; Very nice</t>
  </si>
  <si>
    <t>Espalier; New Young Crop; Ht 5.5' x Wd 28-32" on trellis; Very nice</t>
  </si>
  <si>
    <t>MSTF; Ht 6' now; Good</t>
  </si>
  <si>
    <t>Single Stem; Ht 6-6.5' now; Nice)</t>
  </si>
  <si>
    <t>Ht 4.5-5.5'; Nice (Next crop November)</t>
  </si>
  <si>
    <t>Ht 5.5-6'; Good</t>
  </si>
  <si>
    <t>Ht 7'; Nice</t>
  </si>
  <si>
    <t>Ht 40-42"; Nice</t>
  </si>
  <si>
    <t>Ht 4-4.5' now</t>
  </si>
  <si>
    <t>Ht 36-37" now; Full; NICE</t>
  </si>
  <si>
    <t>Ht 3.5' now; Look good</t>
  </si>
  <si>
    <t>Ht 4-4.5'; Full; Good (Tall; Narrow)</t>
  </si>
  <si>
    <t>Staked; Ht 7-8'; Very nice (Native Cultivar)</t>
  </si>
  <si>
    <t>Ready February 2026</t>
  </si>
  <si>
    <t>Ht 34-36"; Okay</t>
  </si>
  <si>
    <t>Ht 3.5-4' now; Nice; Good color</t>
  </si>
  <si>
    <t>Ht 6-6.5' now; Very nice; Great color</t>
  </si>
  <si>
    <t>New crop; Ht 3.5-4'; Lightly rooted; NICE</t>
  </si>
  <si>
    <t>Ht 7'-8'; Open non-uniform shapes; Good</t>
  </si>
  <si>
    <t>Ht 32-36" x Wd 28-30" now; Nice (Next crop Oct 15th)</t>
  </si>
  <si>
    <t>Ready Spring 2026</t>
  </si>
  <si>
    <t>Ht 4-5' Nice; Full</t>
  </si>
  <si>
    <t>Ht 7-8'; Good Buffer Material; Not for Specimens</t>
  </si>
  <si>
    <t>Ht 5.5-6.5' now; Okay</t>
  </si>
  <si>
    <t>New crop; Ht 7.5-8'; Look good</t>
  </si>
  <si>
    <t>Heat and cold tolerant sequoia; Ht 6-7'; Okay</t>
  </si>
  <si>
    <t>Ht 10-11'; Average fullness; Light at bottom; Looks Good</t>
  </si>
  <si>
    <t>Proven Winner pot; Ht 4.5' - tipping 5'; Nice</t>
  </si>
  <si>
    <t>Ht 4-4.5'; Very Nice (Proven Winner Pot)</t>
  </si>
  <si>
    <t>Ht 4-4.5'; Good</t>
  </si>
  <si>
    <t>Ht 46-48"; Good</t>
  </si>
  <si>
    <t>Ht 46-48"; Very nice</t>
  </si>
  <si>
    <t>Ht 4.5'; Little light around bottoms, still good</t>
  </si>
  <si>
    <t>Ht 4.5-5' now; NICE</t>
  </si>
  <si>
    <t>Spiral; Ht 3.5-4.5' now; Nice (Next Crop June)</t>
  </si>
  <si>
    <t>Ht 5.5-6'; Very Nice (Next crop Sept.-October 1st)</t>
  </si>
  <si>
    <t>Overall Ht 5-5.5'; Okay (Standard with Top Cone Pruned)</t>
  </si>
  <si>
    <t>Spiral; Ht 5.5-6'; Nice (Next crop October- 38)</t>
  </si>
  <si>
    <t>Ht 6.5-7'; Very Nice</t>
  </si>
  <si>
    <t>3-ball Tiered; Ht 4' now; Very nice</t>
  </si>
  <si>
    <t>Spiral: Ht 6.5'-7; Nice</t>
  </si>
  <si>
    <t>Ht 44-46"; Butterfly Topiary; Great Specimen</t>
  </si>
  <si>
    <t>Ht 44-46"; Flower Topiary; Great Specimen</t>
  </si>
  <si>
    <t>Ht 42-48"; NICE, Good Color</t>
  </si>
  <si>
    <t>Ht 4-4.5'; Okay (Next crop September)</t>
  </si>
  <si>
    <t>Ready in December</t>
  </si>
  <si>
    <t>Ht 5.5-6.5' now; Nice</t>
  </si>
  <si>
    <t>Ht 8.5-9'; Look good;</t>
  </si>
  <si>
    <t>New crop; Ht tipping 10.5' x Wd at base 5-5.5'; NICE</t>
  </si>
  <si>
    <t>Ht 4.5-5' now; Very NICE</t>
  </si>
  <si>
    <t>Ht 36-38" now; Flushing; Full; NICE</t>
  </si>
  <si>
    <t>Ht 6-6.5' now; NICE (Next crop October)</t>
  </si>
  <si>
    <t>Ht 5' now; Good fullness; NICE (Green Upright Atlas Cedar)</t>
  </si>
  <si>
    <r>
      <t xml:space="preserve"> </t>
    </r>
    <r>
      <rPr>
        <b/>
        <sz val="9"/>
        <color rgb="FF001946"/>
        <rFont val="Arial"/>
        <family val="2"/>
      </rPr>
      <t>Price it by</t>
    </r>
    <r>
      <rPr>
        <b/>
        <sz val="11"/>
        <color rgb="FF001946"/>
        <rFont val="Arial"/>
        <family val="2"/>
      </rPr>
      <t xml:space="preserve"> </t>
    </r>
    <r>
      <rPr>
        <b/>
        <sz val="10"/>
        <color rgb="FFF72585"/>
        <rFont val="Arial Black"/>
        <family val="2"/>
      </rPr>
      <t>LATIN</t>
    </r>
    <r>
      <rPr>
        <b/>
        <sz val="10"/>
        <color rgb="FF001946"/>
        <rFont val="Arial Narrow"/>
        <family val="2"/>
      </rPr>
      <t xml:space="preserve"> </t>
    </r>
  </si>
  <si>
    <r>
      <t xml:space="preserve">⛏️ </t>
    </r>
    <r>
      <rPr>
        <sz val="9.5"/>
        <color theme="0"/>
        <rFont val="Arial Black"/>
        <family val="2"/>
      </rPr>
      <t>Edison Landscaping Planting (ELP) OPTION</t>
    </r>
    <r>
      <rPr>
        <b/>
        <sz val="9.5"/>
        <color theme="0"/>
        <rFont val="Arial"/>
        <family val="2"/>
      </rPr>
      <t xml:space="preserve">  ⛏️</t>
    </r>
  </si>
  <si>
    <r>
      <rPr>
        <i/>
        <sz val="8"/>
        <color rgb="FF0000FF"/>
        <rFont val="Arial Black"/>
        <family val="2"/>
      </rPr>
      <t>Want Planting?</t>
    </r>
    <r>
      <rPr>
        <b/>
        <i/>
        <sz val="9"/>
        <color rgb="FF0000FF"/>
        <rFont val="Arial"/>
        <family val="2"/>
      </rPr>
      <t xml:space="preserve"> </t>
    </r>
    <r>
      <rPr>
        <i/>
        <sz val="9"/>
        <color rgb="FF0000FF"/>
        <rFont val="Arial"/>
        <family val="2"/>
      </rPr>
      <t>Consider</t>
    </r>
    <r>
      <rPr>
        <sz val="9"/>
        <color rgb="FF0000FF"/>
        <rFont val="Arial"/>
        <family val="2"/>
      </rPr>
      <t xml:space="preserve"> hiring </t>
    </r>
    <r>
      <rPr>
        <sz val="9"/>
        <color rgb="FF0000FF"/>
        <rFont val="Arial Black"/>
        <family val="2"/>
      </rPr>
      <t>Edison</t>
    </r>
    <r>
      <rPr>
        <b/>
        <i/>
        <sz val="9"/>
        <color rgb="FF0000FF"/>
        <rFont val="Arial"/>
        <family val="2"/>
      </rPr>
      <t xml:space="preserve"> </t>
    </r>
    <r>
      <rPr>
        <b/>
        <sz val="9"/>
        <color rgb="FF0000FF"/>
        <rFont val="Arial"/>
        <family val="2"/>
      </rPr>
      <t>►</t>
    </r>
    <r>
      <rPr>
        <b/>
        <i/>
        <sz val="9"/>
        <color rgb="FF0000FF"/>
        <rFont val="Arial"/>
        <family val="2"/>
      </rPr>
      <t xml:space="preserve">  </t>
    </r>
  </si>
  <si>
    <t xml:space="preserve"> Bulk Material (planter brings):</t>
  </si>
  <si>
    <r>
      <t xml:space="preserve">Total of </t>
    </r>
    <r>
      <rPr>
        <sz val="9"/>
        <rFont val="Arial Black"/>
        <family val="2"/>
      </rPr>
      <t>Delivery Amounts Paid</t>
    </r>
    <r>
      <rPr>
        <b/>
        <sz val="10"/>
        <rFont val="Gadugi"/>
        <family val="2"/>
      </rPr>
      <t>:</t>
    </r>
  </si>
  <si>
    <t xml:space="preserve">         ►order history builds Volume Discount◄  </t>
  </si>
  <si>
    <t xml:space="preserve">  ©2025 Trees2Go.com LLC  </t>
  </si>
  <si>
    <r>
      <t xml:space="preserve">                Add the </t>
    </r>
    <r>
      <rPr>
        <b/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BEFORE</t>
    </r>
    <r>
      <rPr>
        <sz val="9"/>
        <color rgb="FF000000"/>
        <rFont val="Arial Black"/>
        <family val="2"/>
      </rPr>
      <t xml:space="preserve"> </t>
    </r>
    <r>
      <rPr>
        <b/>
        <sz val="9"/>
        <color rgb="FF000000"/>
        <rFont val="Arial Black"/>
        <family val="2"/>
      </rPr>
      <t>Discount</t>
    </r>
    <r>
      <rPr>
        <sz val="9"/>
        <color rgb="FF000000"/>
        <rFont val="Arial Black"/>
        <family val="2"/>
      </rPr>
      <t xml:space="preserve">, </t>
    </r>
    <r>
      <rPr>
        <b/>
        <sz val="9"/>
        <color rgb="FF000000"/>
        <rFont val="Arial Black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</si>
  <si>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r>
      <t xml:space="preserve">                plus the </t>
    </r>
    <r>
      <rPr>
        <b/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</si>
  <si>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rFont val="Arial"/>
        <family val="2"/>
      </rPr>
      <t xml:space="preserve">plus the </t>
    </r>
    <r>
      <rPr>
        <sz val="10"/>
        <color rgb="FF00B0F0"/>
        <rFont val="Arial Black"/>
        <family val="2"/>
      </rPr>
      <t>blue number</t>
    </r>
    <r>
      <rPr>
        <sz val="9.5"/>
        <rFont val="Arial"/>
        <family val="2"/>
      </rPr>
      <t>, above (</t>
    </r>
    <r>
      <rPr>
        <b/>
        <sz val="9"/>
        <rFont val="Arial Black"/>
        <family val="2"/>
      </rPr>
      <t>Delivery Amounts Paid</t>
    </r>
    <r>
      <rPr>
        <sz val="9.5"/>
        <rFont val="Arial"/>
        <family val="2"/>
      </rPr>
      <t>) =</t>
    </r>
  </si>
  <si>
    <r>
      <t xml:space="preserve">Over $200 = </t>
    </r>
    <r>
      <rPr>
        <sz val="8.5"/>
        <color rgb="FF1A5917"/>
        <rFont val="Arial Black"/>
        <family val="2"/>
      </rPr>
      <t>1% Volume Discount</t>
    </r>
  </si>
  <si>
    <r>
      <t>Discount </t>
    </r>
    <r>
      <rPr>
        <sz val="9"/>
        <color rgb="FF592A03"/>
        <rFont val="Arial Black"/>
        <family val="2"/>
      </rPr>
      <t>builds</t>
    </r>
    <r>
      <rPr>
        <sz val="9"/>
        <color rgb="FF592A03"/>
        <rFont val="Arial"/>
        <family val="2"/>
      </rPr>
      <t> over orders.</t>
    </r>
  </si>
  <si>
    <r>
      <t xml:space="preserve">Over $300 = </t>
    </r>
    <r>
      <rPr>
        <sz val="8.5"/>
        <color rgb="FF1A5917"/>
        <rFont val="Arial Black"/>
        <family val="2"/>
      </rPr>
      <t>2%</t>
    </r>
  </si>
  <si>
    <r>
      <rPr>
        <sz val="8.5"/>
        <color theme="1"/>
        <rFont val="Arial Black"/>
        <family val="2"/>
      </rPr>
      <t xml:space="preserve">Over $400 = </t>
    </r>
    <r>
      <rPr>
        <sz val="8.5"/>
        <color rgb="FF1A5917"/>
        <rFont val="Arial Black"/>
        <family val="2"/>
      </rPr>
      <t>3%</t>
    </r>
  </si>
  <si>
    <r>
      <rPr>
        <sz val="9"/>
        <color rgb="FF592A03"/>
        <rFont val="Arial Black"/>
        <family val="2"/>
      </rPr>
      <t>First</t>
    </r>
    <r>
      <rPr>
        <sz val="9"/>
        <color rgb="FF592A03"/>
        <rFont val="Arial"/>
        <family val="2"/>
      </rPr>
      <t> $300 order is 2% off.</t>
    </r>
  </si>
  <si>
    <r>
      <rPr>
        <sz val="8.5"/>
        <color theme="1"/>
        <rFont val="Arial Black"/>
        <family val="2"/>
      </rPr>
      <t xml:space="preserve">Over $600 = </t>
    </r>
    <r>
      <rPr>
        <sz val="8.5"/>
        <color rgb="FF1A5917"/>
        <rFont val="Arial Black"/>
        <family val="2"/>
      </rPr>
      <t>4%</t>
    </r>
  </si>
  <si>
    <r>
      <rPr>
        <sz val="9"/>
        <color rgb="FF592A03"/>
        <rFont val="Arial Black"/>
        <family val="2"/>
      </rPr>
      <t>Second</t>
    </r>
    <r>
      <rPr>
        <sz val="9"/>
        <color rgb="FF592A03"/>
        <rFont val="Arial"/>
        <family val="2"/>
      </rPr>
      <t> $300 order gets 4% off</t>
    </r>
  </si>
  <si>
    <r>
      <rPr>
        <sz val="8.5"/>
        <color theme="1"/>
        <rFont val="Arial Black"/>
        <family val="2"/>
      </rPr>
      <t xml:space="preserve">Over $800 = </t>
    </r>
    <r>
      <rPr>
        <sz val="8.5"/>
        <color rgb="FF1A5917"/>
        <rFont val="Arial Black"/>
        <family val="2"/>
      </rPr>
      <t>5%</t>
    </r>
  </si>
  <si>
    <r>
      <rPr>
        <sz val="8.5"/>
        <color theme="1"/>
        <rFont val="Arial Black"/>
        <family val="2"/>
      </rPr>
      <t>Over $1000 =</t>
    </r>
    <r>
      <rPr>
        <sz val="8.5"/>
        <color theme="1" tint="0.499984740745262"/>
        <rFont val="Arial Black"/>
        <family val="2"/>
      </rPr>
      <t xml:space="preserve"> </t>
    </r>
    <r>
      <rPr>
        <sz val="8.5"/>
        <color rgb="FF1A5917"/>
        <rFont val="Arial Black"/>
        <family val="2"/>
      </rPr>
      <t>6%</t>
    </r>
  </si>
  <si>
    <r>
      <rPr>
        <sz val="9"/>
        <color rgb="FF592A03"/>
        <rFont val="Arial Black"/>
        <family val="2"/>
      </rPr>
      <t>Third</t>
    </r>
    <r>
      <rPr>
        <sz val="9"/>
        <color rgb="FF592A03"/>
        <rFont val="Arial"/>
        <family val="2"/>
      </rPr>
      <t> $300 order gets 5% off</t>
    </r>
  </si>
  <si>
    <r>
      <rPr>
        <sz val="8.5"/>
        <color theme="1"/>
        <rFont val="Arial Black"/>
        <family val="2"/>
      </rPr>
      <t xml:space="preserve">Over $1700 = </t>
    </r>
    <r>
      <rPr>
        <sz val="8.5"/>
        <color rgb="FF1A5917"/>
        <rFont val="Arial Black"/>
        <family val="2"/>
      </rPr>
      <t>7%</t>
    </r>
  </si>
  <si>
    <r>
      <rPr>
        <sz val="8.5"/>
        <color theme="1"/>
        <rFont val="Arial Black"/>
        <family val="2"/>
      </rPr>
      <t xml:space="preserve">Over $2500 = </t>
    </r>
    <r>
      <rPr>
        <sz val="8.5"/>
        <color rgb="FF1A5917"/>
        <rFont val="Arial Black"/>
        <family val="2"/>
      </rPr>
      <t>8%</t>
    </r>
  </si>
  <si>
    <r>
      <rPr>
        <sz val="8.5"/>
        <color theme="1"/>
        <rFont val="Arial Black"/>
        <family val="2"/>
      </rPr>
      <t xml:space="preserve">Over $3700 = </t>
    </r>
    <r>
      <rPr>
        <sz val="8.5"/>
        <color rgb="FF1A5917"/>
        <rFont val="Arial Black"/>
        <family val="2"/>
      </rPr>
      <t>9%</t>
    </r>
  </si>
  <si>
    <r>
      <rPr>
        <sz val="8.5"/>
        <color theme="1"/>
        <rFont val="Arial Black"/>
        <family val="2"/>
      </rPr>
      <t xml:space="preserve">Over $5000 = </t>
    </r>
    <r>
      <rPr>
        <sz val="8.5"/>
        <color rgb="FF1A5917"/>
        <rFont val="Arial Black"/>
        <family val="2"/>
      </rPr>
      <t>10%</t>
    </r>
  </si>
  <si>
    <r>
      <t xml:space="preserve">   If less than 48 hours cancel notice:</t>
    </r>
    <r>
      <rPr>
        <sz val="9"/>
        <rFont val="Arial"/>
        <family val="2"/>
      </rPr>
      <t xml:space="preserve"> 20% cancellation fee applies</t>
    </r>
  </si>
  <si>
    <t xml:space="preserve">       (want to prevent plants from every moving, even at growers)</t>
  </si>
  <si>
    <t xml:space="preserve"> 2 Year+ 50% Warranty</t>
  </si>
  <si>
    <r>
      <t xml:space="preserve">   Buy the </t>
    </r>
    <r>
      <rPr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BEFORE Discount</t>
    </r>
    <r>
      <rPr>
        <sz val="10"/>
        <color indexed="8"/>
        <rFont val="Gadugi"/>
        <family val="2"/>
      </rPr>
      <t xml:space="preserve">), </t>
    </r>
  </si>
  <si>
    <r>
      <t xml:space="preserve">   plus the </t>
    </r>
    <r>
      <rPr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</si>
  <si>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t xml:space="preserve">plus </t>
    </r>
    <r>
      <rPr>
        <sz val="10"/>
        <color rgb="FF00B0F0"/>
        <rFont val="Arial Black"/>
        <family val="2"/>
      </rPr>
      <t>blue number</t>
    </r>
    <r>
      <rPr>
        <sz val="10"/>
        <color indexed="8"/>
        <rFont val="Gadugi"/>
        <family val="2"/>
      </rPr>
      <t xml:space="preserve"> (</t>
    </r>
    <r>
      <rPr>
        <sz val="9"/>
        <color rgb="FF000000"/>
        <rFont val="Arial Black"/>
        <family val="2"/>
      </rPr>
      <t>Planting Amounts Paid</t>
    </r>
    <r>
      <rPr>
        <sz val="10"/>
        <color indexed="8"/>
        <rFont val="Gadugi"/>
        <family val="2"/>
      </rPr>
      <t>) =</t>
    </r>
  </si>
  <si>
    <t xml:space="preserve">    NW Johnston County:</t>
  </si>
  <si>
    <r>
      <rPr>
        <b/>
        <sz val="9"/>
        <rFont val="Arial Black"/>
        <family val="2"/>
      </rPr>
      <t xml:space="preserve">    Johnston boundary:</t>
    </r>
    <r>
      <rPr>
        <sz val="9"/>
        <rFont val="Arial Black"/>
        <family val="2"/>
      </rPr>
      <t xml:space="preserve">
</t>
    </r>
  </si>
  <si>
    <t xml:space="preserve">    up to 100 MILES past:</t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</si>
  <si>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</si>
  <si>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7-day Health Check period reveals issues. </t>
    </r>
  </si>
  <si>
    <r>
      <rPr>
        <sz val="9.5"/>
        <color rgb="FF002060"/>
        <rFont val="Arial"/>
        <family val="2"/>
      </rPr>
      <t>balance due 7 days after completion</t>
    </r>
    <r>
      <rPr>
        <b/>
        <sz val="9.5"/>
        <color rgb="FF002060"/>
        <rFont val="Arial"/>
        <family val="2"/>
      </rPr>
      <t>:</t>
    </r>
  </si>
  <si>
    <t>Discount applies to planting fees only, not any extras.</t>
  </si>
  <si>
    <t>3% credit card fee will be added for projects over $5000.</t>
  </si>
  <si>
    <t>Abelia chinensis 'Abesrpras' PP#33516</t>
  </si>
  <si>
    <t>4'×3'</t>
  </si>
  <si>
    <t>qty 30, 1ft Spr</t>
  </si>
  <si>
    <t>Raspberry Perfection's fragrant blooms persist as Dark Pink sepals for months. Reddish winter tint</t>
  </si>
  <si>
    <t>Abelia x grandiflora 'Canyon Creek'</t>
  </si>
  <si>
    <t>Canyon Creek Abelia</t>
  </si>
  <si>
    <t>4'×5'</t>
  </si>
  <si>
    <t>Pink to White bloom</t>
  </si>
  <si>
    <t>Qty 300 Nice, 1.5ft Spr</t>
  </si>
  <si>
    <t>Canyon Creel foliage emerges Coppery-Yellow, matuures to Green, then Bronze in fall. Light fragrance</t>
  </si>
  <si>
    <t>Abelia x grandiflora 'Edward Goucher'</t>
  </si>
  <si>
    <t>Edward Goucher Abelia</t>
  </si>
  <si>
    <t>5'×5'</t>
  </si>
  <si>
    <t>Lavender-Pink bloom</t>
  </si>
  <si>
    <t>qty 200 nice, 1.25ft Spr</t>
  </si>
  <si>
    <t>Edward Goucher has variegated foliage on graceful arching stems. May Bronze in fall. Light fragrance</t>
  </si>
  <si>
    <t>Abelia x grandiflora 'Frosty'</t>
  </si>
  <si>
    <t>Frosty Abelia</t>
  </si>
  <si>
    <t>3'×4'</t>
  </si>
  <si>
    <t>White bloom, hint of Pink</t>
  </si>
  <si>
    <t>12-15" x 18-20" | bud/bloom |JCRA Choice Plant</t>
  </si>
  <si>
    <t>Frosty admired for its striking variegated foliage. Purple fall color lingers into winter. Light fragrance</t>
  </si>
  <si>
    <t>Abelia x grandiflora 'Hopleys' PP#20682P2</t>
  </si>
  <si>
    <t>Light Pink to White</t>
  </si>
  <si>
    <t>15-18" spread (8/7)</t>
  </si>
  <si>
    <t>Abelia x grandiflora 'Kaleidoscope' PP#16988</t>
  </si>
  <si>
    <t>Kaleidoscope Abelia</t>
  </si>
  <si>
    <t>White bloom, Pink buds</t>
  </si>
  <si>
    <t>12-15" x 18-20" | bud/bloom</t>
  </si>
  <si>
    <t>8"x12-15"</t>
  </si>
  <si>
    <t>12-15" ht x 15-18" sp</t>
  </si>
  <si>
    <t>Kaleidoscope foliage emerges Yellow-Lime, matures to Golden Yellow, then Orange-Red fall. Longest-blooming. Fragrant</t>
  </si>
  <si>
    <t>Abelia x grandiflora 'Little Richard'</t>
  </si>
  <si>
    <t>Little Richard Abelia</t>
  </si>
  <si>
    <t>3'×3'</t>
  </si>
  <si>
    <t>Qty 200, 1.25ft HT, 1.5ft Spr</t>
  </si>
  <si>
    <t>Little Richard foliage is Green with Copper edges, then changes to Bronze-Red hue in fall. Blooms May to frost. Fragrant</t>
  </si>
  <si>
    <t>Abelia x grandiflora 'Radiance' PP#21929</t>
  </si>
  <si>
    <t>Radiance Abelia</t>
  </si>
  <si>
    <t>6" x 10-12" | young crop</t>
  </si>
  <si>
    <t>8-10"x15" (8/7)</t>
  </si>
  <si>
    <t>18-20" ht x 30-36" sp</t>
  </si>
  <si>
    <t>Radiance has vivd variegated foliage. Wine-Red stems contrast with the Green-Yellow foliage. Fragrant flowers</t>
  </si>
  <si>
    <t>Abelia x grandiflora 'Rhabpe22' PP#34885</t>
  </si>
  <si>
    <t>8-10"x15-18" (8/7)</t>
  </si>
  <si>
    <t>Abelia x grandiflora 'Rose Creek'</t>
  </si>
  <si>
    <t>Rose Creek Abelia</t>
  </si>
  <si>
    <t>White bloom, Rosy sepals</t>
  </si>
  <si>
    <t>12in sprd young qty 30</t>
  </si>
  <si>
    <t>15-18"15-18" (8/7)</t>
  </si>
  <si>
    <t>10-12"x12-15"</t>
  </si>
  <si>
    <t>Rose Creek has glossy foliage that shifts from Pink to Purple-Green, then Bronzy in the winter. Mild fragrance</t>
  </si>
  <si>
    <t>Abelia x grandiflora 'SRPabeper' PP#30954</t>
  </si>
  <si>
    <t>Peach Perfection Abelia</t>
  </si>
  <si>
    <t>4'×4'</t>
  </si>
  <si>
    <t>Qty 30</t>
  </si>
  <si>
    <t>5'×3'</t>
  </si>
  <si>
    <t>Acanthus mollis Bear's Breeches</t>
  </si>
  <si>
    <t>Bear's Breeches</t>
  </si>
  <si>
    <t>White, Purple bracts</t>
  </si>
  <si>
    <t>Acer buergerianum</t>
  </si>
  <si>
    <t>Trident Red Maple</t>
  </si>
  <si>
    <t>35'×30'</t>
  </si>
  <si>
    <t>Glossy Green foliage</t>
  </si>
  <si>
    <t>Ht 7.5-8'; Very nice; Cal 1-1.25"</t>
  </si>
  <si>
    <t>10' x 1.5-1.75"C</t>
  </si>
  <si>
    <t>Trident named for the shape of it's leaves, with 3 forward-facing lobes. Exfoliating bark. Vibrant Red-Orange-Yellow fall foliage</t>
  </si>
  <si>
    <t>Acer griseum</t>
  </si>
  <si>
    <t>Paperbark Maple</t>
  </si>
  <si>
    <t>30'×25'</t>
  </si>
  <si>
    <t>Ht 7-8'; Cal 1-1.25"; Very Nice</t>
  </si>
  <si>
    <t>Ht 8-8.5'; Cal 1.25+"; Very Nice</t>
  </si>
  <si>
    <t>Ht 7-7.5'; Cal 1.5-1.75" now; Nice</t>
  </si>
  <si>
    <t>Ht 7.5-8'; Cal 2"; Nice</t>
  </si>
  <si>
    <t>Ht 9.5'; Cal 2.5-2.75"; Very Nice</t>
  </si>
  <si>
    <t>Acer japonicum 'Aconitifolium'</t>
  </si>
  <si>
    <t>Full Moon Japanese Maple</t>
  </si>
  <si>
    <t>15'×15'</t>
  </si>
  <si>
    <t>Ht 4'; Very nice</t>
  </si>
  <si>
    <t>Ht 6-6.5' ; Cal 1.75-2"; Nice</t>
  </si>
  <si>
    <t>Ht 7.5', Cal 3.5"; Very Nice</t>
  </si>
  <si>
    <t>Full Moon named for stunning fall display of fiery shades of Scarlet, Orange, and Crimson</t>
  </si>
  <si>
    <t>Acer japonicum 'Rising Sun'</t>
  </si>
  <si>
    <t>Rising Sun Japanese Maple</t>
  </si>
  <si>
    <t>Ht 5.5-6' now; NICE (A little tip burn)</t>
  </si>
  <si>
    <t>Rising Sun foliage emerges a vibrant chartreuse with Orange-Red margins, then Green, then vibrant Orange-Red-Yellow fall</t>
  </si>
  <si>
    <t>Acer laevigatum 'Hóng Lóng'</t>
  </si>
  <si>
    <t>Red Dragon Smooth Maple</t>
  </si>
  <si>
    <t>25'×20'</t>
  </si>
  <si>
    <t>7-8' ht x 1-1.5" C</t>
  </si>
  <si>
    <t>Red Dragon foliage emerges a brilliant, fiery red, maturing to Green, then fall shades of Yellow-Orang-Red</t>
  </si>
  <si>
    <t>Acer palmatum</t>
  </si>
  <si>
    <t>Green Seedling Japanese Maple</t>
  </si>
  <si>
    <t>25'×25'</t>
  </si>
  <si>
    <t>Ht 5-5.5' now; Nice</t>
  </si>
  <si>
    <t>Ht 6.5-7.5'; Cal 1.25-1.5"; Nice</t>
  </si>
  <si>
    <t>Ht 7.5-8.5'; Cal 2.25-2.5"; Very Nice</t>
  </si>
  <si>
    <t>12-14' x 8'</t>
  </si>
  <si>
    <t>Ht 9.5-10'; Cal 3-3.5" now; Nice</t>
  </si>
  <si>
    <t>Ht 9'; Cal 2.75-3"; Very Nice (Next crop Spring 26')</t>
  </si>
  <si>
    <t>Multi-stem; Ht 6.5-7.5'; Canopy width 7'; Combined caliper 6.5-7"; NICE</t>
  </si>
  <si>
    <t>Green Seedling are grown from seed, so Mature Height, Width, and other characteristics will vary widely.</t>
  </si>
  <si>
    <t>Acer palmatum 'Bloodgood'</t>
  </si>
  <si>
    <t>Bloodgood Japanese Maple</t>
  </si>
  <si>
    <t>20'×20'</t>
  </si>
  <si>
    <t>Red-Purple foliage</t>
  </si>
  <si>
    <t>Ht 4.5-5'; Full; Nice</t>
  </si>
  <si>
    <t>Ht 6-6.5' now; Very Nice</t>
  </si>
  <si>
    <t>Ht 6.5-7.5'; Cal 1.25-1.5"; Very Nice</t>
  </si>
  <si>
    <t>6-7.5' h | 1.25-1.5" cal.</t>
  </si>
  <si>
    <t>Ht 8-8.5'; Cal 1.75-2"; Very Nice (Next crop June 2025)</t>
  </si>
  <si>
    <t>Ht 9-10' now; Low branched; Cal 2-2.25"; Not Uniform; Okay</t>
  </si>
  <si>
    <t>Ht 9'; Cal 2.25-2.5"; Okay</t>
  </si>
  <si>
    <t>Bloodgood can tolerate full sun better than most J. Maples, and is less messy. Vibrant Crimson-Red fall foliage</t>
  </si>
  <si>
    <t>Acer palmatum 'Butterfly'</t>
  </si>
  <si>
    <t>Butterfly Japanese Maple</t>
  </si>
  <si>
    <t>Variegated foliage</t>
  </si>
  <si>
    <t>Ht 6.5'; Cal 2"; NICE</t>
  </si>
  <si>
    <t>Butterfly's variegated foliage is green with creamy White to Pink edges. Twisted, irregular foliage adds interest</t>
  </si>
  <si>
    <t>Acer palmatum 'Emperor I'</t>
  </si>
  <si>
    <t>Emperor 1 Japanese Maple</t>
  </si>
  <si>
    <t>Reddish-Purple bloom</t>
  </si>
  <si>
    <t>Ht 6-6.5'; Cal 1.25-1.5"; Very Nice</t>
  </si>
  <si>
    <t>Ht 7.5-8.5'; Cal 1.5-1.75"; Nice</t>
  </si>
  <si>
    <t>New Young crop; Ht 9-10'; Cal 2.25-2.5"; NICE; Single trunk branched at 32-34"</t>
  </si>
  <si>
    <t>12-16' h; 2-3" cal. | needs flush</t>
  </si>
  <si>
    <t>Emperor 1 is rich Dark Red in summer turning Brilliant Scarlet in fall</t>
  </si>
  <si>
    <t>Acer palmatum 'Fireglow'</t>
  </si>
  <si>
    <t>Fireglow Japanese Maple</t>
  </si>
  <si>
    <t>Burgundy-Red foliage</t>
  </si>
  <si>
    <t>New crop; Ht 4.5-5'; Nice</t>
  </si>
  <si>
    <t>New crop; Ht 6'; NICE</t>
  </si>
  <si>
    <t>Ht 5.5-6'; NICE (Next crop May- 55)</t>
  </si>
  <si>
    <t>Ready May 26'</t>
  </si>
  <si>
    <t>Fireglow foliage startss Burgundy, then Purple~Scarlet~Crimson in fall. Named for glow seen looking up from below</t>
  </si>
  <si>
    <t>Acer palmatum 'Kashima'</t>
  </si>
  <si>
    <t>Kashima Japanese Maple</t>
  </si>
  <si>
    <t>5'×6'</t>
  </si>
  <si>
    <t>Green foliage, Red margins</t>
  </si>
  <si>
    <t>Top Grafted on STD (Overall Ht 4.5'; Clear trunk to 30-32"; Canopy width 36-38"; Very nice)</t>
  </si>
  <si>
    <t>Kashima known for it's coloration in the foliage. Yellow to Orage-Red in fall. Popular for bonsai</t>
  </si>
  <si>
    <t>Acer palmatum 'Kashima Yatsubusa'</t>
  </si>
  <si>
    <t>Kashima Yatsubusa Japanese Maple</t>
  </si>
  <si>
    <t>Top Grafted; Overall Ht 4.5'; Clear trunk to 32"; Top width 3.5'; Very nice</t>
  </si>
  <si>
    <t>Kashima Yatsubusa foliage is Red tinted in spring, maturing to Green, then brilliant Golden-Orange to Red in fall</t>
  </si>
  <si>
    <t>Acer palmatum 'Mikawa Yatsubusa'</t>
  </si>
  <si>
    <t>Mikawa Yatsubusa Japanese Maple</t>
  </si>
  <si>
    <t>6'×6'</t>
  </si>
  <si>
    <t>Ht 48-52" now; NICE (Next crop November)</t>
  </si>
  <si>
    <t>Mikawa foliage emerges light green, darkens, then orange-yellow in autumn. More heat tolerant than most J. Maple</t>
  </si>
  <si>
    <t>Acer palmatum 'Nuresagi'</t>
  </si>
  <si>
    <t>Nuresagi Japanese Maple</t>
  </si>
  <si>
    <t>Deep Purple-Red foliage</t>
  </si>
  <si>
    <t>Ht 6-6.5'; Very nice</t>
  </si>
  <si>
    <t>Nuresagi foliage foliage emerges Reddish-Pruple, turns hauntingly dark for summer, then Brilliant Scarlet-Red in fall</t>
  </si>
  <si>
    <t>Acer palmatum 'Okushimo'</t>
  </si>
  <si>
    <t>Okushimo Japanese Maple</t>
  </si>
  <si>
    <t>New crop; Ht 5-5.5'; Low branched; Very nice</t>
  </si>
  <si>
    <t>Okushimo known for it's distinctive rolled leaf edges. Reddish tint to new growth on summer green foliage, turning Yellow to Gold to Orange in fall</t>
  </si>
  <si>
    <t>Acer palmatum 'Purple Ghost'</t>
  </si>
  <si>
    <t>Purple Ghost Japanese Maple</t>
  </si>
  <si>
    <t>12'×10'</t>
  </si>
  <si>
    <t>Red-Purple-Green foliage</t>
  </si>
  <si>
    <t>New crop; Ht 4-4.5'; NICE</t>
  </si>
  <si>
    <t>Ready June 2026</t>
  </si>
  <si>
    <t>Ready May/June 2026</t>
  </si>
  <si>
    <t>Young crop; Ht 8.5'-9'; Cal 1.75"-2"</t>
  </si>
  <si>
    <t>Purple Ghost is named for it's skeletal appearance in the foliage. A stunner. Foliage turns fiery Orange to Crimson-Red in fall</t>
  </si>
  <si>
    <t>Acer palmatum 'Rhode Island Red'</t>
  </si>
  <si>
    <t>Rhode Island Red Japanese Maple</t>
  </si>
  <si>
    <t>6'×8'</t>
  </si>
  <si>
    <t>Ready October</t>
  </si>
  <si>
    <t>Ht 22-23" x Wd 28-29"; NICE</t>
  </si>
  <si>
    <t>Rhode Island Red known for intense Red foliage thoughout season, turning Scarlet in fall. Named after the Rhode Island Red chicken</t>
  </si>
  <si>
    <t>Acer palmatum 'Ryusen' PP#18501</t>
  </si>
  <si>
    <t>Ryusen Weeping Japanese Maple</t>
  </si>
  <si>
    <t>10'×8'</t>
  </si>
  <si>
    <t>Ht 5-5.5'; Cal 1.5-1.75"; Very Nice (Next crop October)</t>
  </si>
  <si>
    <t>Ht 5.5-6'; Cal 2.25-2.5"; Very Nice: Specimens; Full to ground</t>
  </si>
  <si>
    <t>Ryusen offers a stunning weeping form with vibrant, persistent Red foliage that culminates in Brilliant Scarlet fall color</t>
  </si>
  <si>
    <t>Acer palmatum 'Sango-kaku'</t>
  </si>
  <si>
    <t>Coral Bark Japanese Maple</t>
  </si>
  <si>
    <t>Green foliage, Red edges</t>
  </si>
  <si>
    <t>6-7'</t>
  </si>
  <si>
    <t>New Crop; Ht 5.5-6'; NICE</t>
  </si>
  <si>
    <t>Ht 8'; Cal 1.75-2"; Nice (Next Crop October)</t>
  </si>
  <si>
    <t>Ht 10-10.5'; Cal 2.75"; Nice</t>
  </si>
  <si>
    <t>Acer palmatum 'Scolopendrifolium Rubrum'</t>
  </si>
  <si>
    <t>Red Threadleaf Japanese Maple</t>
  </si>
  <si>
    <t>Bronzy-Reddish-Green foliage</t>
  </si>
  <si>
    <t>Ht 9-10'; Cal 4-4.25; Okay (Foliage Variations)</t>
  </si>
  <si>
    <t>Red Threadleaf named for exceptionally fine, deeply dissected foliage. Leaves emrge fiery red, then a vibrant Scarlet-Crimson-Orange fall</t>
  </si>
  <si>
    <t>Acer palmatum 'Shaina'</t>
  </si>
  <si>
    <t>Shaina Japanese Maple</t>
  </si>
  <si>
    <t>8'×8'</t>
  </si>
  <si>
    <t>Maroon-Red foliage</t>
  </si>
  <si>
    <t>STD; Top Grafted at 32"; Overall Ht 4.5-5'; Top width 34-36"; Very nice</t>
  </si>
  <si>
    <t>Shaina's foliage emerges bright Purple-Red, deepens over the summer, then brilliant Crimson-Red in fall</t>
  </si>
  <si>
    <t>Acer palmatum 'Sharp's Pygmy'</t>
  </si>
  <si>
    <t>Sharp's Pygmy Japanese Maple</t>
  </si>
  <si>
    <t>5'×4'</t>
  </si>
  <si>
    <t>Medium Green foliage</t>
  </si>
  <si>
    <t>STD; Overall Ht 52"; Clear Trunk to 30"; Top Spread 24"; Nice</t>
  </si>
  <si>
    <t>Ht 22-23" x Wd 24-26" now; Nice</t>
  </si>
  <si>
    <t>Sharp's Pygmy foliage emerges bright Chartreuse in spring, Leaf margins are Orange to Purple. Turns Orange to Scalet-Red in autumn</t>
  </si>
  <si>
    <t>Acer palmatum 'Sherwood Flame'</t>
  </si>
  <si>
    <t>Sherwood Flame Japanese Maple</t>
  </si>
  <si>
    <t>Ht 5-5.6'; Nice</t>
  </si>
  <si>
    <t>Sherwood Flame named for it's exceptionally strong and consistent red foliage all through growing season, turning fiery Scarlet-Red in fall</t>
  </si>
  <si>
    <t>Acer palmatum 'Shirazz'</t>
  </si>
  <si>
    <t>Shirazz Japanese Maple</t>
  </si>
  <si>
    <t>Green-Pink-Creamy White foliage</t>
  </si>
  <si>
    <t>Ht 4.5-5' now; Tops not uniform; Okay (Next crop Spring 26')</t>
  </si>
  <si>
    <t>Shirazz known for kaleidoscopic foliage that shifts colors through the season. Scarlet to Crimson-Red fall foliage</t>
  </si>
  <si>
    <t>Acer palmatum 'Shishigashira'</t>
  </si>
  <si>
    <t>Lion's Head Japanese Maple</t>
  </si>
  <si>
    <t>New crop; Young; Ht 24" now (very slow grower)</t>
  </si>
  <si>
    <t>Ht 4.5-5' now; Very nice</t>
  </si>
  <si>
    <t>Ht 5.5-6'; Cal 2.5"; Nice</t>
  </si>
  <si>
    <t>Lion's Head named for dense tufts of curled leaves resembling a lion's mane. Late fall coloring is Gold-Orange-Crimson</t>
  </si>
  <si>
    <t>Acer palmatum 'Sister Ghost'</t>
  </si>
  <si>
    <t>Sister Ghost Japanese Maple</t>
  </si>
  <si>
    <t>13'×10'</t>
  </si>
  <si>
    <t>New crop; Ht 38-42"; Look good</t>
  </si>
  <si>
    <t>Sister Ghost named for it's ghostly appearance of dark Green veins on soft White to Pale Yellow foliage. Glowing Yellow-Orange to Coral in fall</t>
  </si>
  <si>
    <t>Acer palmatum 'Tiger Rose'</t>
  </si>
  <si>
    <t>Tiger Rose Japanese Maple</t>
  </si>
  <si>
    <t>Variegated Pink-Chartreuse</t>
  </si>
  <si>
    <t>Ht 5'; Nice</t>
  </si>
  <si>
    <t>Tiger Rose named for prominent Green veins in foliage, resembling Tiger stripes. Leaves matures to Green with pastel tones, then Gold &amp; soft Coral in the fall</t>
  </si>
  <si>
    <t>Acer palmatum 'Tobiosho'</t>
  </si>
  <si>
    <t>Tobiosho Japanese Maple</t>
  </si>
  <si>
    <t>15'×20'</t>
  </si>
  <si>
    <t>Ht 5' now; NICE</t>
  </si>
  <si>
    <t>Ht 6-6.5'; Cal 1.75-2"; NICE</t>
  </si>
  <si>
    <t>Tobiosho is a fast grower with vibrant green foliage that transforms into brilliant gold and orange in the fall</t>
  </si>
  <si>
    <t>Acer palmatum 'Tsukasa Silhouette'</t>
  </si>
  <si>
    <t>Tsukasa Silhouette Japanese Maple</t>
  </si>
  <si>
    <t>20'×6'</t>
  </si>
  <si>
    <t>Ht 5-5.5'; Very Nice (Next crop Spring 26' - 220)</t>
  </si>
  <si>
    <t>Ht. 8.5-9'; cal 2.25-2.5"; Very Nice</t>
  </si>
  <si>
    <t>Tsukasa foliage emerges bright Chartreuse with Pink edges. Good resistance to leaf scorch. Turns Crimson to Orange-Red in fall</t>
  </si>
  <si>
    <t>Acer palmatum 'Twombly's Red Sentinel'</t>
  </si>
  <si>
    <t>Twombly's Red Sentinel Japanese Maple</t>
  </si>
  <si>
    <t>Deep Burgundy foliage</t>
  </si>
  <si>
    <t>Ht 5.5-6' now; Very Nice</t>
  </si>
  <si>
    <t>Ht 5.5-6'; Very Nice</t>
  </si>
  <si>
    <t>Ht 6.5-7.5'; cal 2.25"; Very Nice (All low branched)</t>
  </si>
  <si>
    <t>Twombly's Red Sentinel named for distinct narrow, upright form and brilliant foliage, turning fiery Scarlet in fall</t>
  </si>
  <si>
    <t>Acer palmatum var. dis. 'Inaba Shidare'</t>
  </si>
  <si>
    <t>Inaba Shidara Japanese Maple</t>
  </si>
  <si>
    <t>10'×15'</t>
  </si>
  <si>
    <t>Ht 36-38" x Wd 48-54" now; Okay</t>
  </si>
  <si>
    <t>Inaba Shidara offers lace-like foliage that holds its color through summer and transforms into fiery Crimson in the fall</t>
  </si>
  <si>
    <t>Acer palmatum var. dis. 'Lemon Lime Lace'</t>
  </si>
  <si>
    <t>Lemon Lime Lace Japanese Maple</t>
  </si>
  <si>
    <t>8'×10'</t>
  </si>
  <si>
    <t>Lime-Green foliage</t>
  </si>
  <si>
    <t>Young crop; Ht 28" x Wd 22-23"; Still young</t>
  </si>
  <si>
    <t>Lemon Lime Lace is a multicolor standout that turns Golden Yellow to Orange in the fall</t>
  </si>
  <si>
    <t>Acer palmatum var. dis. 'Red Dragon'</t>
  </si>
  <si>
    <t>Red Dragon Japanese Maple</t>
  </si>
  <si>
    <t>Red Dragon is only J. Maple with non-dissected leaf in a weeping form. Turns fiery Orange-Red in fall</t>
  </si>
  <si>
    <t>Acer palmatum var. dis. 'Seiryu'</t>
  </si>
  <si>
    <t>Seiryu Japanese Maple</t>
  </si>
  <si>
    <t>Ht 5-5.5' now; Very nice; Most Low branched; Very Full; NICE</t>
  </si>
  <si>
    <t>Ht 8-8.5'; Very Nice; Caliper 2-2.5" (Next crop July 26')</t>
  </si>
  <si>
    <t>Ht 8-8.5'; Cal 3" (Low branched at 12" and 6'+ width); Very Nice</t>
  </si>
  <si>
    <t>Seiryu is a unique upright (non-weeping) cultivar with a dissected leaf. Foliage turns Gold-Orange-Crimson in the fall</t>
  </si>
  <si>
    <t>Acer palmatum var. dis. 'Tamukeyama'</t>
  </si>
  <si>
    <t>Tamukeyama Cutleaf Japanese Maple</t>
  </si>
  <si>
    <t>8'×12'</t>
  </si>
  <si>
    <t>Dark Burgundy foliage</t>
  </si>
  <si>
    <t>Ht 30-36" x Wd 30-32"; Very Nice</t>
  </si>
  <si>
    <t>Ht 3.5-4.5' x Wd 32-34"; Staked; Very Nice</t>
  </si>
  <si>
    <t>Ht 3.5-4.5' x Wd 36-42"; Nice</t>
  </si>
  <si>
    <t>Ht 3.5-4' x Wd 3.5-4.5'; Very Nice</t>
  </si>
  <si>
    <t>Tall; Ht 5.5-6.5'; Branched low; Spread 4' plus; Nice</t>
  </si>
  <si>
    <t>Super High Canopy (Overall Ht 5.5'; Top Spread; 4-4.5' now)</t>
  </si>
  <si>
    <t>Tamukeyama foliage emerges Crimson-Red, holds color through summer, turning bright Scarlet in fall. Deep red bark. Very heat-tolerant</t>
  </si>
  <si>
    <t>Acer palmatum var. dis. 'Viridis'</t>
  </si>
  <si>
    <t>Viridis Cutleaf Japanese Maple</t>
  </si>
  <si>
    <t>Ht 32-38" x Top Width 30-34"; Nice</t>
  </si>
  <si>
    <t>Ht 32-34 x Wd 34-38"; Nice</t>
  </si>
  <si>
    <t>New crop; Ht 34-36" x Wd 32-36"; NICE</t>
  </si>
  <si>
    <t>3-3.5'</t>
  </si>
  <si>
    <t>Ht 42-44" x Wd 4.5-5'; Very Nice</t>
  </si>
  <si>
    <t>Viridis Cutleaf stuns with bright green, lacy foliage and brilliant fall color that glows gold and crimson</t>
  </si>
  <si>
    <t>Acer palmatum var. dis. 'Waterfall'</t>
  </si>
  <si>
    <t>Waterfall Japanese Maple</t>
  </si>
  <si>
    <t>10'×12'</t>
  </si>
  <si>
    <t>New crop; Ht 42-46" x Wd 32-36"; Look good</t>
  </si>
  <si>
    <t>Ht 32-46" x Wd 40-48"; Very Nice</t>
  </si>
  <si>
    <t>Waterfall foliage emerges Bright Green with Red tips, holds summer Green well, then Golden Yellow with streaks of Orange-Red in fall.  Resembles a waterfall</t>
  </si>
  <si>
    <t>Acer palmatum 'Winter's Columnar Red'</t>
  </si>
  <si>
    <t>Winter's Columnar Red Japanese Maple</t>
  </si>
  <si>
    <t>12'×4'</t>
  </si>
  <si>
    <t>Ht. 5-5.5'; Nice</t>
  </si>
  <si>
    <t>Winter's Columnar Red known for narrow columnar form and dynamic Red foliage that deepens through summer and culminates in brilliant Crimson fall color</t>
  </si>
  <si>
    <t>Acer rubrum 'Brandywine'</t>
  </si>
  <si>
    <t>Brandywine Red Maple</t>
  </si>
  <si>
    <t>45'×40'</t>
  </si>
  <si>
    <t>Green foliage, Bluish undersides</t>
  </si>
  <si>
    <t>Ht 8-8.5' now; Cal 1-1.25"; Very Nice</t>
  </si>
  <si>
    <t>1.25-1.5" cal.; 8-10' h | very nice</t>
  </si>
  <si>
    <t>Ht 9'; Cal 1.25-1.5"; NICE</t>
  </si>
  <si>
    <t>Ht 11-12; Cal 2.25-2.5"; Look good (Next crop November- 180)</t>
  </si>
  <si>
    <t>8-9' ht x 1.25-1.5"c</t>
  </si>
  <si>
    <t>Acer rubrum 'Frank Jr.' PP#16769</t>
  </si>
  <si>
    <t>45'×30'</t>
  </si>
  <si>
    <t>Ht 11-12'; Cal 2-2.25"; Very Nice (Next crop December)</t>
  </si>
  <si>
    <t>Acer rubrum 'Katicole' PP#21076</t>
  </si>
  <si>
    <t>Green foliage, Red cast</t>
  </si>
  <si>
    <t>Ht 10-11'; Cal 2.25-2.5"; Thin foliage now</t>
  </si>
  <si>
    <t>Acer rubrum 'October Glory' PP#2116Exp.</t>
  </si>
  <si>
    <t>Ht 8.5-9'; Cal 1"; NICE</t>
  </si>
  <si>
    <t>Ht 8.5-9'; Cal 1.25-1.5"; NICE</t>
  </si>
  <si>
    <t>Ht 10-11'; Cal 1.75-2"' Nice (Next crop Nov. 240)</t>
  </si>
  <si>
    <t>Acer rubrum 'Sun Valley'</t>
  </si>
  <si>
    <t>Sun Valley Red Maple</t>
  </si>
  <si>
    <t>35'×25'</t>
  </si>
  <si>
    <t>Ht 7.5-8'; Cal 1-1.25"; NICE</t>
  </si>
  <si>
    <t>Ht 9-10'; Cal 1.25-1.5"; NICE</t>
  </si>
  <si>
    <t>Ht 10-11'; Cal 2-2.25" now; Nice</t>
  </si>
  <si>
    <t>10-12' ht x 1-1.25"c</t>
  </si>
  <si>
    <t>Acer saccharum 'Legacy' PP#4979Exp.</t>
  </si>
  <si>
    <t>Dark Green, leathery foliage</t>
  </si>
  <si>
    <t>Ht 6-7'; Look good</t>
  </si>
  <si>
    <t>Ht 8-9'; Cal 1.25" plus; NICE</t>
  </si>
  <si>
    <t>Ht 9-10'; Cal 1.75-2" now; Nice</t>
  </si>
  <si>
    <t>Acer x pseudosieboldianum 'IsFirFl'</t>
  </si>
  <si>
    <t>Ht 6'; Cal 1.5"; NICE</t>
  </si>
  <si>
    <t>Achillea millefolium 'FLORACHR01' PP#31620</t>
  </si>
  <si>
    <t>12"×12"</t>
  </si>
  <si>
    <t>Rosy-Pink bloom, Yellow center</t>
  </si>
  <si>
    <t>Acorus calamus 'Variegatus'</t>
  </si>
  <si>
    <t>Variegated Sweet Flag</t>
  </si>
  <si>
    <t>3'×2'</t>
  </si>
  <si>
    <t>White-Yellow stripes</t>
  </si>
  <si>
    <t>Qty 200</t>
  </si>
  <si>
    <t>Acorus gramineus 'Minimus Aureus'</t>
  </si>
  <si>
    <t>Dwarf Golden Sweet Flag</t>
  </si>
  <si>
    <t>4"×12"</t>
  </si>
  <si>
    <t>4" Flat of 18</t>
  </si>
  <si>
    <t>Acorus gramineus 'Ogon'</t>
  </si>
  <si>
    <t>Ogon Sweet Flag</t>
  </si>
  <si>
    <t>qty 1800</t>
  </si>
  <si>
    <t>Aesculus parviflora</t>
  </si>
  <si>
    <t>Bottlebrush Buckeye</t>
  </si>
  <si>
    <t>12'×15'</t>
  </si>
  <si>
    <t>White bloom, Red stamen</t>
  </si>
  <si>
    <t>Ready Oct 15th</t>
  </si>
  <si>
    <t>Aesculus pavia</t>
  </si>
  <si>
    <t>Red Buckeye</t>
  </si>
  <si>
    <t>Red-Orange bloom</t>
  </si>
  <si>
    <t>New crop; Ht 26-28"; Typical seasonal Aesculus foliage now</t>
  </si>
  <si>
    <t>Single Trunk Tree Form; Ht 6'-6.5' now; Very NICE</t>
  </si>
  <si>
    <t>3-4'</t>
  </si>
  <si>
    <t>Agastache 'TNAGAPDB' PP#28950</t>
  </si>
  <si>
    <t>14"×14"</t>
  </si>
  <si>
    <t>Dark Violet-Blue bloom</t>
  </si>
  <si>
    <t>Dark Blue has a compact, bushy habit and a continuous summer-to-fall display flowers</t>
  </si>
  <si>
    <t>Agastache 'TNAGAPL' PP#30530</t>
  </si>
  <si>
    <t>14"×15"</t>
  </si>
  <si>
    <t>Agave americana</t>
  </si>
  <si>
    <t>Century Plant</t>
  </si>
  <si>
    <t>6'×10'</t>
  </si>
  <si>
    <t>Greenish-Yellow bloom</t>
  </si>
  <si>
    <t>Agave lophantha 'Splendida'</t>
  </si>
  <si>
    <t>2'×3'</t>
  </si>
  <si>
    <t>Agave parryi 'JC Raulston'</t>
  </si>
  <si>
    <t>Yellow bloom</t>
  </si>
  <si>
    <t>Ajuga reptans 'Black Scallop' PP#15815</t>
  </si>
  <si>
    <t>Black Scallop Bugleweed</t>
  </si>
  <si>
    <t>5"×24"</t>
  </si>
  <si>
    <t>Violet bloom</t>
  </si>
  <si>
    <t>flat</t>
  </si>
  <si>
    <t>Ajuga reptans 'Valfredda'</t>
  </si>
  <si>
    <t>Chocolate Chip Bugleweed</t>
  </si>
  <si>
    <t>3"×9"</t>
  </si>
  <si>
    <t>Purple bloom</t>
  </si>
  <si>
    <t>fills pot; very nice</t>
  </si>
  <si>
    <t>Albizia julibrissin 'Evey's Pride'</t>
  </si>
  <si>
    <t>Evey's Pride Mimosa Tree</t>
  </si>
  <si>
    <t>20'×25'</t>
  </si>
  <si>
    <t>Rich Pink bloom</t>
  </si>
  <si>
    <t>Evey's Pride Reddish=Purple foliage and umbrella shape lend a tropical airy feel. Can be invasive</t>
  </si>
  <si>
    <t>Albizia julibrissin 'NCAJ1' PP#25813</t>
  </si>
  <si>
    <t>Pink bloom</t>
  </si>
  <si>
    <t>Chocoate Fountain foliage emerges btonze-greem, then mature to purple. Fragrant blooms. Can be invasive</t>
  </si>
  <si>
    <t>Albizia julibrissin 'Pos1'</t>
  </si>
  <si>
    <t>Tropical Dream Mimosa Tree</t>
  </si>
  <si>
    <t>16'×20'</t>
  </si>
  <si>
    <t>Pink fluffy bloom</t>
  </si>
  <si>
    <t>Tropical Dream blooms all through summer. Feathery fern‑like foliage turns vibrant Yellow in fall</t>
  </si>
  <si>
    <t>Albizia julibrissin 'Summer Chocolate'</t>
  </si>
  <si>
    <t>Summer Chocolate Mimosa Tree</t>
  </si>
  <si>
    <t>Ht 6' now; NICE</t>
  </si>
  <si>
    <t>Summer Chocolate has rich Burgundy foliage, fragrant blooms, and a graceful tropical canopy</t>
  </si>
  <si>
    <t>Alocasia 'Portora'</t>
  </si>
  <si>
    <t>Portora Elephant Ear</t>
  </si>
  <si>
    <t>8'×6'</t>
  </si>
  <si>
    <t>Green &amp; Purple foliage</t>
  </si>
  <si>
    <t>Amelanchier 'Autumn Brilliance' PP#5717Exp.</t>
  </si>
  <si>
    <t>Multi-stem; Ht 4.5-5'; NICE</t>
  </si>
  <si>
    <t>B Grade | Multi-stem | reduced price</t>
  </si>
  <si>
    <t>Multi-stem; Ht 7.5-8' now; Very NICE</t>
  </si>
  <si>
    <t>.75-1" cal. | 8-9' h | native cultivar</t>
  </si>
  <si>
    <t>Single Trunk; Ht 8-8.5'; Cal 1-1.25" now; Very Nice (Next crop Sept- 700)</t>
  </si>
  <si>
    <t>Multi-Stem; Ht 7.5-8'; Good</t>
  </si>
  <si>
    <t>Amelanchier 'Glenn Form' PP#9092Exp.</t>
  </si>
  <si>
    <t>Ht 7-8'; Limbed up; to head Ht 3-4'; Cal 1.25"; NICE</t>
  </si>
  <si>
    <t>Amsonia 'Starstruck' PP#32246</t>
  </si>
  <si>
    <t>Blue Star Amsonia</t>
  </si>
  <si>
    <t>30"×36"</t>
  </si>
  <si>
    <t>Light Blue bloom</t>
  </si>
  <si>
    <t>Aralia cordata 'Sun King'</t>
  </si>
  <si>
    <t>Sun King Aralia</t>
  </si>
  <si>
    <t>Ardisia japonica</t>
  </si>
  <si>
    <t>Japanese Ardisia</t>
  </si>
  <si>
    <t>12"×36"</t>
  </si>
  <si>
    <t>Aronia arbutifolia</t>
  </si>
  <si>
    <t>Red Chokeberry</t>
  </si>
  <si>
    <t>White to Pale Pink bloom</t>
  </si>
  <si>
    <t>Single Stem Tree Form; Ht 6.5-7' now- Tops trimmed, flushing</t>
  </si>
  <si>
    <t>Aronia arbutifolia 'Brilliantissima'</t>
  </si>
  <si>
    <t>Brilliant Red Chokeberry</t>
  </si>
  <si>
    <t>Aronia melanocarpa 'SMNAMPEM' PP#34116</t>
  </si>
  <si>
    <t>6'×4'</t>
  </si>
  <si>
    <t>15-18" (7/17)</t>
  </si>
  <si>
    <t>Aronia melanocarpa 'UCONNAM165' PP#28789</t>
  </si>
  <si>
    <t>30"×42"</t>
  </si>
  <si>
    <t>15" x 18-20" | very nice | native cultivar</t>
  </si>
  <si>
    <t>12-15" ht x 18-20" sp</t>
  </si>
  <si>
    <t>Asimina triloba</t>
  </si>
  <si>
    <t>Pawpaw Tree</t>
  </si>
  <si>
    <t>30'×30'</t>
  </si>
  <si>
    <t>3-3.5' h | native</t>
  </si>
  <si>
    <t>3-5.5' tall | very nice | native</t>
  </si>
  <si>
    <t>Aspidistra elatior</t>
  </si>
  <si>
    <t>Cast Iron Plant</t>
  </si>
  <si>
    <t>30"×24"</t>
  </si>
  <si>
    <t>6-8 bibs</t>
  </si>
  <si>
    <t>Aspidistra elatior 'Tiny Tank'</t>
  </si>
  <si>
    <t>18"×36"</t>
  </si>
  <si>
    <t>Ht 12-14" now; Look Good (Next crop October)</t>
  </si>
  <si>
    <t>24"×24"</t>
  </si>
  <si>
    <t>Astilbe chinensis 'Visions in White' PP#18965</t>
  </si>
  <si>
    <t>Visions in White Astilbe</t>
  </si>
  <si>
    <t>12"×24"</t>
  </si>
  <si>
    <t>Astilbe x arendsii 'Brautschleier'</t>
  </si>
  <si>
    <t>Bridal Veil Astilbe</t>
  </si>
  <si>
    <t>Astilbe x arendsii 'Fanal'</t>
  </si>
  <si>
    <t>Fanal Astilbe</t>
  </si>
  <si>
    <t>Crimson Red bloom</t>
  </si>
  <si>
    <t>18"×24"</t>
  </si>
  <si>
    <t>Aucuba japonica 'Hosoba Hoshifu'</t>
  </si>
  <si>
    <t>Hosoba Hoshifu Aucuba</t>
  </si>
  <si>
    <t>6'×5'</t>
  </si>
  <si>
    <t>Green &amp; Gold foliage</t>
  </si>
  <si>
    <t>10-12"</t>
  </si>
  <si>
    <t>Hosoba Hoshifu is female cultivar with narrow, Gold-speckled leaves and bright red berries if pollinated. Durable, highly shade-tolerant, and fairly rabbit resistant</t>
  </si>
  <si>
    <t>Aucuba japonica 'Marmorata'</t>
  </si>
  <si>
    <t>Marmorata Aucuba</t>
  </si>
  <si>
    <t>15-18" x 15" | great color</t>
  </si>
  <si>
    <t>3-4' h | do not match</t>
  </si>
  <si>
    <t>Marmorata is a variegated female  with Gold-splashed foliage and ornamental red berries, if pollinated. Durable, highly shade-tolerant, and fairly rabbit resistant</t>
  </si>
  <si>
    <t>Aucuba japonica 'Rozannie'</t>
  </si>
  <si>
    <t>Rozannie Aucuba</t>
  </si>
  <si>
    <t>Forest Green foliage</t>
  </si>
  <si>
    <t>Ht 16-18"; Very nice</t>
  </si>
  <si>
    <t>Rozannie is a compact, self-fertile female cultivar with lustrous dark foliage and persistent Red berries. Durable, highly shade-tolerant, and fairly rabbit resistant</t>
  </si>
  <si>
    <t>Aucuba japonica 'Variegata'</t>
  </si>
  <si>
    <t>Gold Dust Aucuba</t>
  </si>
  <si>
    <t>18" x 15-18" | very nice</t>
  </si>
  <si>
    <t>Gold Dust is a female cultivar with Yellow-speckled foliage and ornamental Red berries, if pollinated. Durable, highly shade-tolerant, and fairly rabbit resistant</t>
  </si>
  <si>
    <t xml:space="preserve">Native to Southeastern U.S. = N </t>
  </si>
  <si>
    <t>Baptisia 'American Goldfinch' PP#30478</t>
  </si>
  <si>
    <t>American Goldfinch False Indigo</t>
  </si>
  <si>
    <t>Golden Yellow bloom</t>
  </si>
  <si>
    <t>pruned</t>
  </si>
  <si>
    <t>American Goldfinch' is notable for its vibrant blooms held on strong stems and its dense, bushy habit with attractive Blue-Green foliage</t>
  </si>
  <si>
    <t>Baptisia 'Burgundy Blast' PP#34689</t>
  </si>
  <si>
    <t>Burgundy Blast False Indigo</t>
  </si>
  <si>
    <t>Wine Purple bloom, Yellow hue</t>
  </si>
  <si>
    <t>Burgundy Blast has spires of blooms in late spring over Blue-Green foliage, followed by showy seed pods</t>
  </si>
  <si>
    <t>Baptisia 'Pink Lemonade' PP#30669</t>
  </si>
  <si>
    <t>Pink Lemonade False Indigo</t>
  </si>
  <si>
    <t>Yellow bloom ages to Purple</t>
  </si>
  <si>
    <t>Berberis thunbergii 'Aurea'</t>
  </si>
  <si>
    <t>Golden Barberry</t>
  </si>
  <si>
    <t>Spring 2026</t>
  </si>
  <si>
    <t>Golden Barberry is sharp, beware. Foliage emerges bright yellow, then turns to a green late summer</t>
  </si>
  <si>
    <t>Berberis thunbergii 'Crimson Pygmy'</t>
  </si>
  <si>
    <t>Crimson Pygmy Barberry</t>
  </si>
  <si>
    <t>Nice , Qty 100</t>
  </si>
  <si>
    <t>Crimson Pygmy is sharp, beware. Known for it's intense crimson foliage, not the flowers. Bright red berries in fall</t>
  </si>
  <si>
    <t>Betula nigra 'BNMTF'</t>
  </si>
  <si>
    <t>40'×35'</t>
  </si>
  <si>
    <t>Multi-stem (3); Ht 8-8.5' now; Very nice</t>
  </si>
  <si>
    <t>Betula nigra 'Little King'</t>
  </si>
  <si>
    <t>Little King Dwarf River Birch</t>
  </si>
  <si>
    <t>12'×12'</t>
  </si>
  <si>
    <t>3 trunk; Ht 32-36"; Very Nice</t>
  </si>
  <si>
    <t>3 trunk; Ht 4' now; Very nice</t>
  </si>
  <si>
    <t>Multi-Stem; Ht 3.5-4' x Wd 32-36" now; Nice</t>
  </si>
  <si>
    <t>Ht 4.5-5' x Wd 4-4.5'; Very nice; Nice specimens</t>
  </si>
  <si>
    <t>Bignonia 'Tangerine Beauty' PP#3262Exp.</t>
  </si>
  <si>
    <t>Tangerine Beauty Cross-Vine</t>
  </si>
  <si>
    <t>30'×9'</t>
  </si>
  <si>
    <t>Tangerine bloom</t>
  </si>
  <si>
    <t>Tangerine Beauty' trumpet-shaped flowers are fragrant and very showy (finest in full sun). May defoliate in freeze</t>
  </si>
  <si>
    <t>Buddleia 'Balchrylu' PP#33842</t>
  </si>
  <si>
    <t>2.5'×2'</t>
  </si>
  <si>
    <t>Violet-Blue bloom, Orange eye</t>
  </si>
  <si>
    <t>Buddleia 'Boscranz' PP#25730</t>
  </si>
  <si>
    <t>Raspberry -Red bloom, Yellow eye</t>
  </si>
  <si>
    <t>pruned 12" (8/7)</t>
  </si>
  <si>
    <t>Buddleia 'BotEx 001' PP#34515</t>
  </si>
  <si>
    <t>Grape-Purple bloom</t>
  </si>
  <si>
    <t>Buddleia davidii</t>
  </si>
  <si>
    <t>Butterfly Bush</t>
  </si>
  <si>
    <t>Bloom varies</t>
  </si>
  <si>
    <t>Dapper(R) Pink Butterfly dwarf, 1.25ft Spr</t>
  </si>
  <si>
    <t>Butterfly Bush has Green foliage.  All BB bloom summer to frost, on new wood, so cut back hard late winter</t>
  </si>
  <si>
    <t>Buddleia davidii 'Black Knight'</t>
  </si>
  <si>
    <t>Black Knight Butterfly Bush</t>
  </si>
  <si>
    <t>Deep Purple bloom</t>
  </si>
  <si>
    <t>24-28" (8/7)</t>
  </si>
  <si>
    <t>3' ht</t>
  </si>
  <si>
    <t>Buddleia davidii 'Buddaplav' PP#33625</t>
  </si>
  <si>
    <t>Light Purple bloom, Orange eye</t>
  </si>
  <si>
    <t>Qty 100</t>
  </si>
  <si>
    <t>Buddleia davidii 'Condappin' PP#35922</t>
  </si>
  <si>
    <t>Bubblegum Pink bloom</t>
  </si>
  <si>
    <t>Buddleia davidii 'Dapconwhi' PP#35566</t>
  </si>
  <si>
    <t>Pure White bloom, Yellow-Orange eye</t>
  </si>
  <si>
    <t>10-12"x12-15", blooms (8/7)</t>
  </si>
  <si>
    <t>Buddleia davidii 'Petite Indigo'</t>
  </si>
  <si>
    <t>Petite Indigo Butterfly Bush</t>
  </si>
  <si>
    <t>Deep Indigo bloom, Orange-Yellow eye</t>
  </si>
  <si>
    <t>Qty 70, 2ft HT</t>
  </si>
  <si>
    <t>Petite Indigo has Gray-Green foliage and a fragrance.  All BB bloom summer to frost, on new wood, so cut back hard late winter</t>
  </si>
  <si>
    <t>Buddleia davidii 'Raspberry Eyes'</t>
  </si>
  <si>
    <t>Raspberry Eyes Butterfly Bush</t>
  </si>
  <si>
    <t>Pink bloom, Raspberry eye</t>
  </si>
  <si>
    <t>Raspberry Eyes has Gray-Green foliage and a fragrance.  All BB bloom summer to frost, on new wood, so cut back hard late winter</t>
  </si>
  <si>
    <t>Buddleia davidii 'Royal Red'</t>
  </si>
  <si>
    <t>Royal Red Butterfly Bush</t>
  </si>
  <si>
    <t>Magenta-Red bloom, Orange eye</t>
  </si>
  <si>
    <t>qty 50</t>
  </si>
  <si>
    <t>Royal Red has Gray-Green foliage and a fragrance.  All BB bloom summer to frost, on new wood, so cut back hard late winter</t>
  </si>
  <si>
    <t>Buddleia davidii 'SRPbudroy' PP#33161</t>
  </si>
  <si>
    <t>Royal Purple bloom, orange eye</t>
  </si>
  <si>
    <t>Buddleia 'Miss Molly' PP#23425</t>
  </si>
  <si>
    <t>Miss Molly Butterfly Bush</t>
  </si>
  <si>
    <t>Sangria-Red-Pink bloom</t>
  </si>
  <si>
    <t>18-24" h | bud/bloom</t>
  </si>
  <si>
    <t>Miss Molly has Gray-Green foliage and a fragrance. All BB bloom summer to frost, on new wood, so cut back hard late winter</t>
  </si>
  <si>
    <t>Buddleia 'Pink Cascade II' PP#35438</t>
  </si>
  <si>
    <t>Pink Cascade II Butterfly Bush</t>
  </si>
  <si>
    <t>Pink bloom, Orange-Gold eye</t>
  </si>
  <si>
    <t>pruned 10" (8/7)</t>
  </si>
  <si>
    <t>Pink Cascade II has Green foliage and a fragrance. All BB bloom summer to frost, on new wood, so cut back hard late winter</t>
  </si>
  <si>
    <t>Buddleia 'Podaras #13' PP#22177</t>
  </si>
  <si>
    <t>Fuschia-Pink bloom, Gold eye</t>
  </si>
  <si>
    <t>16-18" ht x 12-15" sp</t>
  </si>
  <si>
    <t>Buddleia 'PODARASNGA 9-15' PPAF</t>
  </si>
  <si>
    <t>Purple bloom, White &amp; Yellw eyes</t>
  </si>
  <si>
    <t>8-10", blooms (8/7)</t>
  </si>
  <si>
    <t>8-10"x12-15"</t>
  </si>
  <si>
    <t>Buddleia 'Purple Haze' PP#24514</t>
  </si>
  <si>
    <t>3'×5'</t>
  </si>
  <si>
    <t>Purple-Blue bloom, Orange eye</t>
  </si>
  <si>
    <t>Buddleia 'SMNBDB' PP#33565</t>
  </si>
  <si>
    <t>2'×2.5'</t>
  </si>
  <si>
    <t>Taffy-Pink bloom</t>
  </si>
  <si>
    <t>12" x 15-18" | bud/bloom</t>
  </si>
  <si>
    <t>Buddleia 'SMNBDBT' PP#28794</t>
  </si>
  <si>
    <t>True-Blue bloom. Yellow-Orange eye</t>
  </si>
  <si>
    <t>Ht 12-15"; Good</t>
  </si>
  <si>
    <t>8-10"x12, blooms (8/19)</t>
  </si>
  <si>
    <t>Buddleia 'SMNBDL' PP#30236</t>
  </si>
  <si>
    <t>Amethyst bloom, Yellow eye</t>
  </si>
  <si>
    <t>10"x10-12", blooms (8/7)</t>
  </si>
  <si>
    <t>Buddleia x weyeriana 'Honeycomb'</t>
  </si>
  <si>
    <t>Honeycomb Butterfly Bush</t>
  </si>
  <si>
    <t>7'×5'</t>
  </si>
  <si>
    <t>Golden-Yellow bloom, Orange eye</t>
  </si>
  <si>
    <t>Honeycomb has Green foliage and a fragrance. All BB bloom summer to frost, on new wood, so cut back hard late winter</t>
  </si>
  <si>
    <t>Buxus microphyla koreana 'Wintergreen'</t>
  </si>
  <si>
    <t>Wintergreen Boxwood</t>
  </si>
  <si>
    <t>16-18 in ht. Qty 50</t>
  </si>
  <si>
    <t>18-20" x 18-20" very nice</t>
  </si>
  <si>
    <t>Ht 21" x Wd 17-18"; Full; Very Nice</t>
  </si>
  <si>
    <t>Ht 26" x Wd 32" now; NICE</t>
  </si>
  <si>
    <t>Wintergreen is cold-hardy, maintaining its vibrant green color throughout the winter. Slow-growing, dense, and ideal for hedges and borders</t>
  </si>
  <si>
    <t>Buxus microphylla japonica 'Gregem' PP#21159</t>
  </si>
  <si>
    <t>16-18" ht x 16-18"</t>
  </si>
  <si>
    <t>Buxus microphylla 'John Baldwin'</t>
  </si>
  <si>
    <t>John Baldwin Boxwood</t>
  </si>
  <si>
    <t>John Baldwin flushes Blue-Green. Maintains conical shape naturally. Very cold tolerant. Slow-growing, dense, and ideal for hedges and borders</t>
  </si>
  <si>
    <t>Buxus microphylla 'Little Missy'</t>
  </si>
  <si>
    <t>Little Missy Boxwood</t>
  </si>
  <si>
    <t>Young Crop; Ht 12-13" x Wd 11-12"; Look Good' Lightly rooted (Next crop October)</t>
  </si>
  <si>
    <t>Little Missy is prized for its rounded habit and maintaining Green color through winter. Slow-growing, dense, and ideal for hedges and borders</t>
  </si>
  <si>
    <t>Buxus microphylla 'Peergold' PP#16052</t>
  </si>
  <si>
    <t>Golden Dream Boxwood</t>
  </si>
  <si>
    <t>Green &amp; Yellow foliage</t>
  </si>
  <si>
    <t>Ht 13-15" x Wd 15-16"; Sheared; Full; Good color</t>
  </si>
  <si>
    <t>Golden Dream has vivid Golden-edged foliage and a naturally rounded habit. Slow-growing, dense, and ideal for hedges and borders</t>
  </si>
  <si>
    <t>Buxus microphylla var. japonica 'Unraveled'</t>
  </si>
  <si>
    <t>Unraveled Boxwood</t>
  </si>
  <si>
    <t>4'×7'</t>
  </si>
  <si>
    <t>15" w | JCRA Choice Plant</t>
  </si>
  <si>
    <t>Ht 28-30" x Wd 30-34"; Nice; Various shapes</t>
  </si>
  <si>
    <t>Unraveled stands out as a Boxwood with its rare weeping form., Very versatile, for containers, bonsai, or cascading garden edges</t>
  </si>
  <si>
    <t>Buxus microphylla 'Winter Gem'</t>
  </si>
  <si>
    <t>Winter Gem Boxwood</t>
  </si>
  <si>
    <t>18-20" (8/7)</t>
  </si>
  <si>
    <t>Inconsistent</t>
  </si>
  <si>
    <t>18-24" ht x 24-26" sp</t>
  </si>
  <si>
    <t>Ht 18-20" x Wd 18-19"; NICE (Next crop December)</t>
  </si>
  <si>
    <t>Winter Gem is one of the cold-hardiest of boxwoods. Minmimal winter Bronzing. Slow-growing, dense, and ideal for hedges and borders</t>
  </si>
  <si>
    <t>Buxus 'SB 108' PP#28888</t>
  </si>
  <si>
    <t>20-22" ht x 18-20" sp</t>
  </si>
  <si>
    <t>Buxus 'SB 300' PP#32421</t>
  </si>
  <si>
    <t>20-24" ht x 22-26" sp</t>
  </si>
  <si>
    <t>Buxus sempervirens</t>
  </si>
  <si>
    <t>Common Boxwood</t>
  </si>
  <si>
    <t>B/B potted into 20 gal pot; Ht 36" now; NICE</t>
  </si>
  <si>
    <t>Common Boxwood long used in formal gardens for it's tolerance of shearing/shaping. Slow-growing, dense, and ideal for hedges and borders</t>
  </si>
  <si>
    <t>Buxus sempervirens 'Dee Runk'</t>
  </si>
  <si>
    <t>Dee Runk Boxwood</t>
  </si>
  <si>
    <t>10'×3'</t>
  </si>
  <si>
    <t>9-10 in. ht</t>
  </si>
  <si>
    <t>18" h</t>
  </si>
  <si>
    <t>Ready November</t>
  </si>
  <si>
    <t>B/B in 20 gal pot; Ht 4.5'+; NICE</t>
  </si>
  <si>
    <t>Dee Runk maintains vertical structure with minimal pruning. Good disease resistance. Slow-growing, dense, and ideal for hedges and borders</t>
  </si>
  <si>
    <t>Buxus sempervirens 'Variegata'</t>
  </si>
  <si>
    <t>Variegated English Boxwood</t>
  </si>
  <si>
    <t>Dark Green &amp; White</t>
  </si>
  <si>
    <t>Ht 24" x Wd 16-17"; Okay</t>
  </si>
  <si>
    <t>Variegated English has Creamy-White margins on leaves. Mild winter bronzing. Slow-growing, dense, and ideal for hedges and borders</t>
  </si>
  <si>
    <t>Buxus x 'Conrowe' PP#19924</t>
  </si>
  <si>
    <t>Buxus x 'Green Mountain'</t>
  </si>
  <si>
    <t>Green Mountain Boxwood</t>
  </si>
  <si>
    <t>2-ball Topiary; Ht 3'; Good</t>
  </si>
  <si>
    <t>Green Mountain is rather cold hardy, and Bronzes less in winter. Upright, pyramidal form. Slow-growing, dense, and ideal for hedges and borders</t>
  </si>
  <si>
    <t>Buxus x 'Green Velvet'</t>
  </si>
  <si>
    <t>Green Velvet Boxwood</t>
  </si>
  <si>
    <t>Ht 14-16" x Wd 18-20" now; Flushing, Very Nice</t>
  </si>
  <si>
    <t>Green Velvet is cold-hardy, naturally rounded, and has excellent winter color retention. Slow-growing, dense, and ideal for hedges and borders</t>
  </si>
  <si>
    <t>Calamagrostis x acutiflora 'Karl Foerster'</t>
  </si>
  <si>
    <t>Karl Foerster Reed Grass</t>
  </si>
  <si>
    <t>6'×3'</t>
  </si>
  <si>
    <t>Karl Foerster feathery plumes emerge Purplish-Pink, mature to Golden Tan, then last from early summer through winter</t>
  </si>
  <si>
    <t>Callicarpa americana</t>
  </si>
  <si>
    <t>American Beautyberry</t>
  </si>
  <si>
    <t>Qty 160 Nice, 2ft HT</t>
  </si>
  <si>
    <t>12-15"x15"</t>
  </si>
  <si>
    <t>2-2.5' ht &amp; sp</t>
  </si>
  <si>
    <t>Callicarpa americana 'Welch's Pink'</t>
  </si>
  <si>
    <t>Welch's Pink American Beautyberry</t>
  </si>
  <si>
    <t>Pink to light Lavendar</t>
  </si>
  <si>
    <t>Calycanthus 'Aphrodite' PP#24014</t>
  </si>
  <si>
    <t>Aphrodite Sweetshrub</t>
  </si>
  <si>
    <t>Red bloom</t>
  </si>
  <si>
    <t>24-30" x 20-24" | native cultivar</t>
  </si>
  <si>
    <t>Ht 26"-30"; Very Nice</t>
  </si>
  <si>
    <t>4' h | native cultivar</t>
  </si>
  <si>
    <t>MSTF; Ht 6' now; NICE</t>
  </si>
  <si>
    <t>Calycanthus 'SMNCAF' PP#33550</t>
  </si>
  <si>
    <t>Burgundy-Red bloom</t>
  </si>
  <si>
    <t>Ht 17-18"; NICE</t>
  </si>
  <si>
    <t>Camellia 'Autumn Spirit'</t>
  </si>
  <si>
    <t>Autumn Spirit Camellia</t>
  </si>
  <si>
    <t>Ht 24-26" x Wd 24"; NICE; Very full</t>
  </si>
  <si>
    <t>Camellia 'Crimson Candles'</t>
  </si>
  <si>
    <t>Crimson Candles Camellia</t>
  </si>
  <si>
    <t>Rose-Pink single bloom</t>
  </si>
  <si>
    <t>3-3.5'ht x 20-24" sp</t>
  </si>
  <si>
    <t>Crimson Candles named for its striking elongated buds that resemble candles</t>
  </si>
  <si>
    <t>Camellia japonica 'April Remembered'</t>
  </si>
  <si>
    <t>Pink, Creamy center</t>
  </si>
  <si>
    <t>April Remembered dazzles with long-lasting blooms, glossy evergreen foliage, and exceptional cold hardiness</t>
  </si>
  <si>
    <t>Camellia japonica 'April Tryst'</t>
  </si>
  <si>
    <t>April Tryst Camellia</t>
  </si>
  <si>
    <t>Rich Red bloom</t>
  </si>
  <si>
    <t>18-24'' ht x 18-24" sp</t>
  </si>
  <si>
    <t>Espalier (Trellis); Ht 46" x Wd 26"; on trellis now; NICE</t>
  </si>
  <si>
    <t>2.5-3' ht x 18-22" sp</t>
  </si>
  <si>
    <t>April Tryst is one of the most cold-hardy of C. japonica cultivars, blooming in March–May. Fragrant flowers.</t>
  </si>
  <si>
    <t>Camellia japonica 'Debutante'</t>
  </si>
  <si>
    <t>Debutante Camellia</t>
  </si>
  <si>
    <t>Light Pink bloom</t>
  </si>
  <si>
    <t>Camellia japonica 'Glen 40'</t>
  </si>
  <si>
    <t>Glen 40 Camellia</t>
  </si>
  <si>
    <t>Deep Red Doublr bloom</t>
  </si>
  <si>
    <t>18-20" (7/17)</t>
  </si>
  <si>
    <t>Glen 40 offers velvety red blooms from winter through mid-spring, with a dense habit and elegant foliage</t>
  </si>
  <si>
    <t>Camellia japonica 'Greensboro Red'</t>
  </si>
  <si>
    <t>Greensboro Red Camellia</t>
  </si>
  <si>
    <t>Qty 60, 1.5-2ft HT</t>
  </si>
  <si>
    <t>Qty 30, 2.5ft HT</t>
  </si>
  <si>
    <t>Camellia japonica 'Kramer's Supreme'</t>
  </si>
  <si>
    <t>Kramer's Supreme Japanese Camellia</t>
  </si>
  <si>
    <t>Rosy-Red bloom</t>
  </si>
  <si>
    <t>Qty 15</t>
  </si>
  <si>
    <t>Camellia japonica 'Mrs. Lyman Clarke'</t>
  </si>
  <si>
    <t>Mrs. Lyman Clarke Camellia</t>
  </si>
  <si>
    <t>12'×7'</t>
  </si>
  <si>
    <t>Soft Pink bloom</t>
  </si>
  <si>
    <t>Qty 20, 2.5-3ft HT</t>
  </si>
  <si>
    <t>Mrs. Lyman Clarke offers multi-toned blooms from late winter to early spring. The anemone-style flowers are excellent for cutting</t>
  </si>
  <si>
    <t>Camellia japonica 'Professor Sargent'</t>
  </si>
  <si>
    <t>Professor Sargent Camellia</t>
  </si>
  <si>
    <t>Crimson-Red bloom</t>
  </si>
  <si>
    <t>Ht 34-36"; NICE</t>
  </si>
  <si>
    <t>Ht 38-40"; Look Good</t>
  </si>
  <si>
    <t>New young crop; Ht 32-34" x Wd 24-26"; Lightly rooted</t>
  </si>
  <si>
    <t>Professor Sargent is known for its abundant peony-like blooms that provide striking winter and early spring color</t>
  </si>
  <si>
    <t>Camellia japonica 'Spellbound'</t>
  </si>
  <si>
    <t>Spellbound Camellia</t>
  </si>
  <si>
    <t>Coral-Pink bloom</t>
  </si>
  <si>
    <t>36" ht x 24" sp</t>
  </si>
  <si>
    <t>Spellbound blooms from December to March. Its upright habit matures into a rounded form. The flowers are excellent for cutting</t>
  </si>
  <si>
    <t>Camellia sasanqua 'Asakura'</t>
  </si>
  <si>
    <t>Asakura Camellia</t>
  </si>
  <si>
    <t>White bloom, Pink blush</t>
  </si>
  <si>
    <t>Asakura has soft White blooms tinged with Pink, opening in early fall,  fading to pure White. Upright habit and glossy foliage</t>
  </si>
  <si>
    <t>Camellia sasanqua 'Autumn Delight'</t>
  </si>
  <si>
    <t>Autumn Delight Camellia</t>
  </si>
  <si>
    <t>Ht 30-32" now; NICE; Full</t>
  </si>
  <si>
    <t>Camellia sasanqua 'Autumn Rocket'</t>
  </si>
  <si>
    <t>Autumn Rocket Camellia</t>
  </si>
  <si>
    <t>White bloom, Yellow centers</t>
  </si>
  <si>
    <t>5-5.5' ht x 18-20" sp</t>
  </si>
  <si>
    <t>6-7' ht x 24-26" sp</t>
  </si>
  <si>
    <t>Autumn Rocket produces anemone-style blooms from Pinkish buds in fall, atop glossy foliage in a columnar form. Mild fragrance</t>
  </si>
  <si>
    <t>Camellia sasanqua 'Cleopatra'</t>
  </si>
  <si>
    <t>Cleopatra Camellia</t>
  </si>
  <si>
    <t>Qty 1, 3ft HT</t>
  </si>
  <si>
    <t>Cleopatra blooms from fall into winter with glossy evergreen foliage and graceful upright form. Notably pleasant light fragrance</t>
  </si>
  <si>
    <t>Camellia sasanqua 'Green 02-003' PP#24538</t>
  </si>
  <si>
    <t>12"x15" (8/7)</t>
  </si>
  <si>
    <t>15-18" ht x 18-24"sp</t>
  </si>
  <si>
    <t>Ht 36-40" x Wd 30-34"; NICE</t>
  </si>
  <si>
    <t>October Magic Ruby has double blooms and super glossy Olive-Green foliage, blooming heavily in fall with a soft, compact form</t>
  </si>
  <si>
    <t>Camellia sasanqua 'Green 08-052' PP#30386</t>
  </si>
  <si>
    <t>Espalier (Trellis); Ht 32-34"; Good fullness</t>
  </si>
  <si>
    <t>October Magic Crimson N' Clover blooms for up to nine weeks in fall, with lush dark Green foliage and striking Reddish new growth</t>
  </si>
  <si>
    <t>Camellia sasanqua 'Green 94-035' PP#20465</t>
  </si>
  <si>
    <t>Orchid-Pink blooms</t>
  </si>
  <si>
    <t>15" x 15" | very nice</t>
  </si>
  <si>
    <t>Ht 26-29" x Wd 22-24" now; FULL</t>
  </si>
  <si>
    <t>28-32" ht x 15-18"sp</t>
  </si>
  <si>
    <t>October Magic Orchid has fragrant Blush-Pink blooms with Orchid highlights and glossy evergreen foliage, blooming profusely in fall</t>
  </si>
  <si>
    <t>Camellia sasanqua 'Green S99-016' PP#24887</t>
  </si>
  <si>
    <t>Camellia sasanqua 'Hana Jiman'</t>
  </si>
  <si>
    <t>Hana Jiman Camellia</t>
  </si>
  <si>
    <t>White bloom, Pink margins</t>
  </si>
  <si>
    <t>Summer 2024</t>
  </si>
  <si>
    <t>Hana Jiman offers stunning semi-double flowers from late fall into winter. Glossy, dark green foliage</t>
  </si>
  <si>
    <t>Camellia sasanqua 'Kanjiro'</t>
  </si>
  <si>
    <t>Kanjiro Camellia</t>
  </si>
  <si>
    <t>Rose-Pink bloom</t>
  </si>
  <si>
    <t>2ft HT</t>
  </si>
  <si>
    <t>Ht 34-35" now; Very full; NICE</t>
  </si>
  <si>
    <t>2.5-3' x 24-28" sp</t>
  </si>
  <si>
    <t>Espalier (Trellis); Ht 44-46" x Wd 22-23" on trellis; Full; NICE</t>
  </si>
  <si>
    <t>3-3.5' ht x 20-24" sp</t>
  </si>
  <si>
    <t>Young New crop; Ht 4-4.5'; Look good</t>
  </si>
  <si>
    <t>Camellia sasanqua 'Mine-No-Yuki'</t>
  </si>
  <si>
    <t xml:space="preserve">White Doves Camellia </t>
  </si>
  <si>
    <t>Camellia sasanqua 'Shishigashira'</t>
  </si>
  <si>
    <t>Shishigashira Camellia</t>
  </si>
  <si>
    <t>5'×8'</t>
  </si>
  <si>
    <t>15-18" x 20-24" | very nice</t>
  </si>
  <si>
    <t>15-18" ht x 15-18" sp</t>
  </si>
  <si>
    <t>Shishigashira translates to 'Lion's Head', with a double bloom and a yellow center</t>
  </si>
  <si>
    <t>Camellia sasanqua 'Slim N' Trim'</t>
  </si>
  <si>
    <t>Slim N' Trim Camellia Camellia</t>
  </si>
  <si>
    <t>8'×4'</t>
  </si>
  <si>
    <t>Slim N' Trim has a narrow, upright form ideal for tight spaces, producing bright Pink blooms that light up the fall garden</t>
  </si>
  <si>
    <t>Camellia sasanqua 'Sparkling Burgundy'</t>
  </si>
  <si>
    <t>Sparkling Burgundy Camellia</t>
  </si>
  <si>
    <t>Burgundy-Rose bloom</t>
  </si>
  <si>
    <t>Ht 28-30" x Wd 24-26" now; NICE; Full; Buds</t>
  </si>
  <si>
    <t>Camellia sasanqua 'TDN 1116' PP#14213</t>
  </si>
  <si>
    <t>Red bloom, Yellow stamen</t>
  </si>
  <si>
    <t>(formerly Hot Flash) Ht 18-19" x Wd 25-28"; Very nice</t>
  </si>
  <si>
    <t>Bella Rouge is a slow-to-moderate growing shrub with stunning Red semi-double blooms in the fall and winter</t>
  </si>
  <si>
    <t>Camellia sasanqua 'William Lanier Hunt'</t>
  </si>
  <si>
    <t>William Lanier Hunt Camellia</t>
  </si>
  <si>
    <t>Pink bloom, Golden stamen</t>
  </si>
  <si>
    <t>Qty 2 nice 32 in ht</t>
  </si>
  <si>
    <t>William Lanier Hunt offers a profusion of peony-like blooms in mid-fall, with new Burgundy foliage maturing to glossy Green</t>
  </si>
  <si>
    <t>Camellia sasanqua 'Yuletide'</t>
  </si>
  <si>
    <t>Yuletide Camellia</t>
  </si>
  <si>
    <t>12-15"</t>
  </si>
  <si>
    <t>30-36" ht x 24-28" sp</t>
  </si>
  <si>
    <t xml:space="preserve">3.5-4.5' ht &amp; 24"-36"sp </t>
  </si>
  <si>
    <t>Camellia 'Survivor'</t>
  </si>
  <si>
    <t>Survivor Camellia</t>
  </si>
  <si>
    <t>White bloom, Yellow stamen</t>
  </si>
  <si>
    <t>New crop; Ht 28-30" now; NICE; Full</t>
  </si>
  <si>
    <t>Camellia 'Winter's Joy'</t>
  </si>
  <si>
    <t>Winter's Joy Camellia</t>
  </si>
  <si>
    <t>8'×7'</t>
  </si>
  <si>
    <t>Rose bloom, Yellow stamen</t>
  </si>
  <si>
    <t>Ht 32"; Full; Buds</t>
  </si>
  <si>
    <t>Camellia 'Winter's Snowman'</t>
  </si>
  <si>
    <t>Winter's Snowman Camellia</t>
  </si>
  <si>
    <t>10'×7'</t>
  </si>
  <si>
    <t>15-18" (8/7)</t>
  </si>
  <si>
    <t>Ht 36-38" now; Very nice</t>
  </si>
  <si>
    <t>Winter’s Snowman features fragrant blooms, Wine-Red new foliage, and exceptional cold hardiness</t>
  </si>
  <si>
    <t>Camellia x 'Maroon Mist'</t>
  </si>
  <si>
    <t>Maroon Mist Camellia</t>
  </si>
  <si>
    <t>Maroon-Red bloom</t>
  </si>
  <si>
    <t>Young crop; Ht 30-32"; Some buds; Look good</t>
  </si>
  <si>
    <t>Maroon Mist has single to semi-double blooms with bright Golden centers atop glossy evergreen foliage. Early spring bloom</t>
  </si>
  <si>
    <t>Camellia x vernalis 'Christmas Candy'</t>
  </si>
  <si>
    <t>Christmas Candy Camellia</t>
  </si>
  <si>
    <t>Pink bloom, Yellow stamen</t>
  </si>
  <si>
    <t>Christmas Candy dazzles with abundant winter blooms and variable picotee edges, carpeting the ground with petals</t>
  </si>
  <si>
    <t>Camellia x vernalis 'Christmas Carol'</t>
  </si>
  <si>
    <t>Red bloom, White edges</t>
  </si>
  <si>
    <t>Campsis x tagliabuana 'Fire' PP#23917</t>
  </si>
  <si>
    <t>Campsis x tagliabuana 'Kudian' PP#24008</t>
  </si>
  <si>
    <t>Canna indica 'Happy Emily'</t>
  </si>
  <si>
    <t>Canna indica 'Happy Julia'</t>
  </si>
  <si>
    <t>Canna x generalis 'Australia'</t>
  </si>
  <si>
    <t>Australia Canna Lily</t>
  </si>
  <si>
    <t>Up 22-28"; NICE (Burgundy foliage)</t>
  </si>
  <si>
    <t>Canna x generalis 'Bengal Tiger'</t>
  </si>
  <si>
    <t>Bengal Tiger Canna Lily</t>
  </si>
  <si>
    <t>Orange bloom</t>
  </si>
  <si>
    <t>Up 34-40"; NICE; Buds/Blooms (Variegated foliage)</t>
  </si>
  <si>
    <t>Canna x generalis 'Phasion' PP#10569</t>
  </si>
  <si>
    <t>Up 18-24"; NICE; Buds/Blooms (Variegated foliage)</t>
  </si>
  <si>
    <t>Carex oshimensis 'ET CRX01' PP#26199</t>
  </si>
  <si>
    <t>Feather Falls Sedge</t>
  </si>
  <si>
    <t>Green foliage, White edges</t>
  </si>
  <si>
    <t>Carex oshimensis 'Evergold'</t>
  </si>
  <si>
    <t>12"×18"</t>
  </si>
  <si>
    <t>Yellow, Green margins</t>
  </si>
  <si>
    <t>Carex oshimensis 'Moon Falls' PP#35022</t>
  </si>
  <si>
    <t>White-Gold foliage, Green margins</t>
  </si>
  <si>
    <t>Carex testacea 'Prairie Fire'</t>
  </si>
  <si>
    <t>Prairie Fire Olive-Green leaves with Bright Bronze to Orange to Red highlights. Much less spreading than other Carex</t>
  </si>
  <si>
    <t>Carpinus betulus 'Fastigiata'</t>
  </si>
  <si>
    <t>Upright Hornbeam</t>
  </si>
  <si>
    <t>40'×25'</t>
  </si>
  <si>
    <t>Ht 7-7.5'; Nice</t>
  </si>
  <si>
    <t>Ht 8.5-9.5'; Cal 1.5"; Nice; Branch Ht 2.5-4' (specify height requested)</t>
  </si>
  <si>
    <t>Ht 10-11'; Cal 2-2.25"; Canopy Ht 32-42"; NICE</t>
  </si>
  <si>
    <t>Carpinus caroliniana</t>
  </si>
  <si>
    <t>American Hornbeam</t>
  </si>
  <si>
    <t>.5" cal. | 5' h</t>
  </si>
  <si>
    <t>Ht 7.5-8.5'; Cal 1.5"; Good (Next crop May 26')</t>
  </si>
  <si>
    <t>1.5" cal.; 8-9' h</t>
  </si>
  <si>
    <t>10-12' ht x 1"c</t>
  </si>
  <si>
    <t>Carpinus caroliniana 'Aztec Fire'</t>
  </si>
  <si>
    <t>Aztec Fire Hornbeam</t>
  </si>
  <si>
    <t>Ht 9.5-10'; Cal 1.25"; Nice</t>
  </si>
  <si>
    <t>Carpinus caroliniana 'JN Select A' PP#29969</t>
  </si>
  <si>
    <t>Fire King Hornbeam</t>
  </si>
  <si>
    <t>Caryopteris x clandonensis 'Bluesurf'</t>
  </si>
  <si>
    <t>Sapphire Blue bloom</t>
  </si>
  <si>
    <t>Cedrus atlantica 'Glauca Pendula'</t>
  </si>
  <si>
    <t>Weeping Blue Atlas Cedar</t>
  </si>
  <si>
    <t>Bluish-Green needles</t>
  </si>
  <si>
    <t>Serpentine; New Crop; Ht 3-3.5'; Look Good (Next crop November)</t>
  </si>
  <si>
    <t>Serpentine; Ready November</t>
  </si>
  <si>
    <t>Serpentine; Ht 5-5.5' now; NICE (Next crop November)</t>
  </si>
  <si>
    <t>Weeping Blue Atlas steel-blue needles makes for a dramatic specimen. Will spill over a wall</t>
  </si>
  <si>
    <t>Cedrus deodara 'Feelin' Blue'</t>
  </si>
  <si>
    <t>Feelin' Blue Deodar Cedar</t>
  </si>
  <si>
    <t>3'×10'</t>
  </si>
  <si>
    <t>Staked; Ht 4-4.5'; Good</t>
  </si>
  <si>
    <t>Ht 38-46"; Staked; Look good!</t>
  </si>
  <si>
    <t>Ht 15-16" x Wd 32-34"; NICE</t>
  </si>
  <si>
    <t>Standard; Overall Ht 32-40"; Graft at 18-22"; Nice</t>
  </si>
  <si>
    <t>Feelin' Blue is the lowest grower of all Deodar. Great for rock gardens, containers, or cascading over walls</t>
  </si>
  <si>
    <t>Cedrus deodara 'Prostrate Beauty'</t>
  </si>
  <si>
    <t>Prostrate Beauty Deodar Cedar</t>
  </si>
  <si>
    <t>4'×8'</t>
  </si>
  <si>
    <t>Ht 14-16" x Wd 24-26" now; NICE (Next Crop Sept.)</t>
  </si>
  <si>
    <t>Ht. 14-16" x Wd. 28-30"; NICE</t>
  </si>
  <si>
    <t>Top Grafted Standard; Overall Ht 30-36" clear trunk to 16"; Very nice</t>
  </si>
  <si>
    <t>Prostrate Beauty is a silvery 'true blue'.  Let it drape around features or down a wall. Prune leader to keep about 2' tall</t>
  </si>
  <si>
    <t>Cephalanthus occidentalis</t>
  </si>
  <si>
    <t>Common Buttonbush</t>
  </si>
  <si>
    <t>20-24" (7/11)</t>
  </si>
  <si>
    <t>Cephalanthus occidentalis 'Bailoptics' PP#29475</t>
  </si>
  <si>
    <t>Cephalotaxus harringtonia</t>
  </si>
  <si>
    <t>Japanese Plum Yew</t>
  </si>
  <si>
    <t>Single Stem TF; Ht 4.5'; Very nice (Next crop October)</t>
  </si>
  <si>
    <t>All Plum Yews have fine-textured foliage with brown, scaly bark. Slow growing, heat and shade tolerant</t>
  </si>
  <si>
    <t>Cephalotaxus harringtonia 'Duke Gardens'</t>
  </si>
  <si>
    <t>Duke Gardens Japanese Plum Yew</t>
  </si>
  <si>
    <t>Ht 24" x Wd 25-26"; NICE (Next crop May- 500)</t>
  </si>
  <si>
    <t>Cephalotaxus harringtonia 'Fastigiata'</t>
  </si>
  <si>
    <t>Upright Japanese Plum Yew</t>
  </si>
  <si>
    <t>10'×5'</t>
  </si>
  <si>
    <t>Ht 38-42"; Very Nice (Next crop ready June 26')</t>
  </si>
  <si>
    <t>3-3.5' ht x 1-1.5' sp</t>
  </si>
  <si>
    <t>4.5-5' ht x 18-20"sp</t>
  </si>
  <si>
    <t>Cephalotaxus harringtonia 'Fritz Huber'</t>
  </si>
  <si>
    <t>Fritz Huber Japanese Plum Yew</t>
  </si>
  <si>
    <t>Emerald Green foliage</t>
  </si>
  <si>
    <t>Cephalotaxus harringtonia 'Golden Dragon'</t>
  </si>
  <si>
    <t>Ht 15-16" x Wd 24-26"; NICE</t>
  </si>
  <si>
    <t>Cephalotaxus harringtonia 'Hedgehog'</t>
  </si>
  <si>
    <t>Hedgehog Plum Yew</t>
  </si>
  <si>
    <t>Lime Green &amp; Green foliage</t>
  </si>
  <si>
    <t>8" x 10"</t>
  </si>
  <si>
    <t>Ht 18-22" x Wd 23-24"; Nice (Next Crop Fall - 330)</t>
  </si>
  <si>
    <t>Ready October (Ht 18-20" x Wd 22-24" now; Need to finish)</t>
  </si>
  <si>
    <t>Ht 30-32" x Wd 34-36"; Nice</t>
  </si>
  <si>
    <t>Cephalotaxus harringtonia 'Korean Gold'</t>
  </si>
  <si>
    <t>Korean Gold Japanese Plum Yew</t>
  </si>
  <si>
    <t>Grren &amp; Gold foliage</t>
  </si>
  <si>
    <t>Ht 22-23" now; Gold colored Fastigiata (Some light sun scold)</t>
  </si>
  <si>
    <t>Cephalotaxus harringtonia 'Plania'</t>
  </si>
  <si>
    <t>10-12" (7/21)</t>
  </si>
  <si>
    <t>Cephalotaxus harringtonia 'Prostrata'</t>
  </si>
  <si>
    <t>Prostrate Japanese Plum Yew</t>
  </si>
  <si>
    <t>3'×6'</t>
  </si>
  <si>
    <t>15-18" spread</t>
  </si>
  <si>
    <t>10-12" ht x 24-26" sp</t>
  </si>
  <si>
    <t>New crop; Ht 13-15" x Wd 24-26"; Look good</t>
  </si>
  <si>
    <t>Cephalotaxus harringtonia 'Tightwad'</t>
  </si>
  <si>
    <t>Tightwad Japanese Plum Yew</t>
  </si>
  <si>
    <t>NEW (Compact "Dwarf" Ceph. prostrata); Ht 8-10" x Wd 18-20"; Very full</t>
  </si>
  <si>
    <t>Cephalotaxus harringtonia var. drupacea</t>
  </si>
  <si>
    <t>Drupacea Japanese Plum Yew</t>
  </si>
  <si>
    <t>10'×10'</t>
  </si>
  <si>
    <t>Cercis canadensis</t>
  </si>
  <si>
    <t>Eastern Redbud</t>
  </si>
  <si>
    <t>30'×35'</t>
  </si>
  <si>
    <t>7-8'</t>
  </si>
  <si>
    <t>8-9'</t>
  </si>
  <si>
    <t>Ht 8'; Cal .75"-1"; Nice</t>
  </si>
  <si>
    <t>Ht 8-8.5'; Cal 1.25"; NICE (Next crop October)</t>
  </si>
  <si>
    <t>Ht 8-8.5'; Cal 1.25-1.5" now; NICE</t>
  </si>
  <si>
    <t>Eastern Redbud is a classic harbinger of spring in the NC forest</t>
  </si>
  <si>
    <t>Cercis canadensis 'Alley Cat'</t>
  </si>
  <si>
    <t>Alley Cat Eastern Redbud</t>
  </si>
  <si>
    <t>Ht 5'-5.5'; Very Nice</t>
  </si>
  <si>
    <t>Ht 6'-7'; Very Nice</t>
  </si>
  <si>
    <t>Alley Cat has a variegated green &amp; white foliage, for interest after pink blooms are done in early spring.</t>
  </si>
  <si>
    <t>Cercis canadensis 'Covey' PP#10328</t>
  </si>
  <si>
    <t>Ht 5.5' now; Very Nice</t>
  </si>
  <si>
    <t>New crop; Ht 6' now; NICE</t>
  </si>
  <si>
    <t>Cercis canadensis 'Forest Pansy' PP#2556Exp.</t>
  </si>
  <si>
    <t>Forest Pansy Redbud</t>
  </si>
  <si>
    <t>Rosy-Pink bloom</t>
  </si>
  <si>
    <t>Ht 6.5-7' now; NICE</t>
  </si>
  <si>
    <t>New crop; Ht 6'-6.5' now; Nice</t>
  </si>
  <si>
    <t>Cercis canadensis 'Hearts of Gold' PP#17740</t>
  </si>
  <si>
    <t>Hearts of Gold Eastern Redbud</t>
  </si>
  <si>
    <t>Ht 6.5'-7'; Nice</t>
  </si>
  <si>
    <t>Hearts of Gold has heart-shaped, Chartreuse-Gold leaves that hold their color all summer. New foliage that has an Orange-Red tint</t>
  </si>
  <si>
    <t>Cercis canadensis 'JN100'</t>
  </si>
  <si>
    <t>Magenta-Pink bloom</t>
  </si>
  <si>
    <t>New crop; Ht 7' now; Very nice</t>
  </si>
  <si>
    <t>Young Crop; Ht 7.5' now; Cal 1-1.25"</t>
  </si>
  <si>
    <t>Cercis canadensis 'JN16' PP#28627</t>
  </si>
  <si>
    <t>Ht 5.5-6.5' now; Very nice</t>
  </si>
  <si>
    <t>Ht 7-7.5'; NICE</t>
  </si>
  <si>
    <t>Cercis canadensis 'JN21' PP#32138</t>
  </si>
  <si>
    <t>Oklahoma Sparkler Redbud</t>
  </si>
  <si>
    <t>Ht 6.5-7' now; A little thin; Okay</t>
  </si>
  <si>
    <t>Oklahoma Sparkler named for it's sparkling dark Burgundy to Green to Purple foliage, turning Yellow to Tan in the fall</t>
  </si>
  <si>
    <t>Cercis canadensis 'JN7'</t>
  </si>
  <si>
    <t>Pink-Purple bloom</t>
  </si>
  <si>
    <t>Ht 6-7' now; NICE</t>
  </si>
  <si>
    <t>Ready October (Ht 7-7.5')</t>
  </si>
  <si>
    <t>Cercis canadensis 'Merlot' PP#22297</t>
  </si>
  <si>
    <t>Merlot Redbud</t>
  </si>
  <si>
    <t>Merlot foliage is color of wine by same name. Keeps color longer than most Redbuds.</t>
  </si>
  <si>
    <t>Cercis canadensis 'NC2014-5' PP#35079</t>
  </si>
  <si>
    <t>Cercis canadensis 'NC2015-12' PP#31658</t>
  </si>
  <si>
    <t>4-4.5'</t>
  </si>
  <si>
    <t>Ht 5.5'; NICE</t>
  </si>
  <si>
    <t>Ht 5-5.5'; Very Nice</t>
  </si>
  <si>
    <t>Golden Falls foliage tinged with orange in spring, then a bright gold that persists all season</t>
  </si>
  <si>
    <t>Cercis canadensis 'NC2017-6' PP#35279</t>
  </si>
  <si>
    <t>Rosy=Purple Bloom</t>
  </si>
  <si>
    <t>Ht 42-46" now; Very Nice</t>
  </si>
  <si>
    <t>New crop; Ht 32-40" now; NICE</t>
  </si>
  <si>
    <t>Ht 4-5'; Average</t>
  </si>
  <si>
    <t>Cercis canadensis 'NCCC1' PP#27712</t>
  </si>
  <si>
    <t>Carolina Sweetheart's variegated foliage very colorful, with shades of pink, red, white, purple, and green</t>
  </si>
  <si>
    <t>Cercis canadensis 'Pink Heartbreaker' PP#23043</t>
  </si>
  <si>
    <t>Ht 5-5.5' now; NICE</t>
  </si>
  <si>
    <t>Pink Heartbreaker foliage changes from red to green over season. Rambling brancshes are less formal</t>
  </si>
  <si>
    <t>Cercis canadensis 'Pink Pom Poms' PP#27630</t>
  </si>
  <si>
    <t>Pink Pom Poms Redbud</t>
  </si>
  <si>
    <t>Pink Pom Poms produces a heavy bloomset of double-pink flowers. Sterile, so no seed heads</t>
  </si>
  <si>
    <t>Cercis canadensis 'Purple Rain'</t>
  </si>
  <si>
    <t>Purple Rain Weeping Redbud</t>
  </si>
  <si>
    <t>Rosey-Pink bloom</t>
  </si>
  <si>
    <t>Ht 4.5-5' now; Nice</t>
  </si>
  <si>
    <t>Ht 36-42''; Look Good</t>
  </si>
  <si>
    <t>Purple Rain has cascading blooms and dramatic Purple foliage that shifts from Dark Purple to Purple-Green to Bright Yellow in fall</t>
  </si>
  <si>
    <t>Cercis canadensis 'RNI-RCC3' PP#34213</t>
  </si>
  <si>
    <t>Midnight Express has a straighter trunk than most redbuds. Deep burgundy foliage lasts longer than 'Forest Pansy'.</t>
  </si>
  <si>
    <t>Cercis canadensis 'Ruby Falls' PP#22097</t>
  </si>
  <si>
    <t>Ruby Falls Weeping Redbud</t>
  </si>
  <si>
    <t>7'×6'</t>
  </si>
  <si>
    <t>Dark Rose bloom</t>
  </si>
  <si>
    <t>Ruby Falls heart-shaped foliage starts maroon, then burgundy, then matures to green in late summer</t>
  </si>
  <si>
    <t>Cercis canadensis 'Seirb' PP#32895</t>
  </si>
  <si>
    <t>Ht. 36-40"; Nice; Unique zig zag trunk and branches (LIMIT OF 3)</t>
  </si>
  <si>
    <t>Ht 6-6.5'; Very nice; Unique zig zag trunk and branches</t>
  </si>
  <si>
    <t>Cercis canadensis 'Vanilla Twist' PP#22744</t>
  </si>
  <si>
    <t>Vanilla Twist Weeping Redbud</t>
  </si>
  <si>
    <t>Ht 6-6.5'; Look good</t>
  </si>
  <si>
    <t>Vanilla Twist named for being only Redbud with White bloom, not for any fragrance. Dramatic look. Zigzagging branches</t>
  </si>
  <si>
    <t>Cercis canadensis 'Whitewater' PP#23998</t>
  </si>
  <si>
    <t>Whitewater Weeping Redbud</t>
  </si>
  <si>
    <t>Rose-Purple bloom</t>
  </si>
  <si>
    <t>New crop; Green/White Variegated Foliage; Ht 4-4.5'; Nice</t>
  </si>
  <si>
    <t>Green/White Variegated Foliage; Ht 4.5'-5.5'; Very Nice</t>
  </si>
  <si>
    <t>Whitewater heart-shaped foliage emerges white with green flecks, matures to green with white flecks</t>
  </si>
  <si>
    <t>Cercis chinensis 'Don Egolf'</t>
  </si>
  <si>
    <t>Don Egolf Redbud</t>
  </si>
  <si>
    <t>Pink-Mauve bloom</t>
  </si>
  <si>
    <t>Single stem; Ht 36-38"; NICE</t>
  </si>
  <si>
    <t>Multi-Stem; Ht 28-32" now; Very nice</t>
  </si>
  <si>
    <t>Multi-stem; Ht 42-46"; Very nice</t>
  </si>
  <si>
    <t>Multi-stem; Ready November</t>
  </si>
  <si>
    <t>Don Egolf is slow growing and very disease resistant</t>
  </si>
  <si>
    <t>Cercis chinensis 'Kay's Early Hope' PP#22097</t>
  </si>
  <si>
    <t>Kay's Early Hope Redbud</t>
  </si>
  <si>
    <t>Pinkish Lavender bloom</t>
  </si>
  <si>
    <t>Ht 3.5'-4' now; Single Trunk; Nice</t>
  </si>
  <si>
    <t>Ht 4.5-5'; Single Trunk; Very nice</t>
  </si>
  <si>
    <t>Named after Kay Yow, NCSU Women's Basketball Coach. Blooms same time as tournament. From JC Raulston</t>
  </si>
  <si>
    <t>Chaenomeles speciosa 'Scarff's Red'</t>
  </si>
  <si>
    <t>Scarff's Red Flowering Quince</t>
  </si>
  <si>
    <t>Scarff's Red has a profusion of showy flowers that appear on bare branches in early spring. Dense, thorny habit that makes it an effective barrier plant</t>
  </si>
  <si>
    <t>Chamaecyparis obtusa 'Compacta'</t>
  </si>
  <si>
    <t>Compact Hinoki Cypress</t>
  </si>
  <si>
    <t>Compact Hinoki offers elegant, slow-growing structure with lush, fan-like foliage and a tidy habit</t>
  </si>
  <si>
    <t>Chamaecyparis obtusa 'Compacta Superba'</t>
  </si>
  <si>
    <t>Compacta Superba Cypress</t>
  </si>
  <si>
    <t>New Crop; Ht 16-17" x Wd 18-19"; Nice</t>
  </si>
  <si>
    <t>Compacta Superba has rich, layered foliage with a refined pyramidal form, offering structure and subtle bluish tones</t>
  </si>
  <si>
    <t>Chamaecyparis obtusa 'Conschlecht' PP#24666</t>
  </si>
  <si>
    <t>Chartreuse to lime green</t>
  </si>
  <si>
    <t>Ht 32-36" x Wd 30-32"; Very Nice; Great Color</t>
  </si>
  <si>
    <t>Ht 4' x Wd 4-4.5' now; Very Nice</t>
  </si>
  <si>
    <t>Chamaecyparis obtusa 'Fernspray Gold'</t>
  </si>
  <si>
    <t>Golden Fernspray Cypress</t>
  </si>
  <si>
    <t>Standard; Overall Ht 36-38"; Top grafted on 16" STD.; top width 28-32" now; NICE</t>
  </si>
  <si>
    <t>Golden Fernspray has arching sprays that mimic fern fronds, glowing Gold in sun, deepening to copper in winter</t>
  </si>
  <si>
    <t>Chamaecyparis obtusa 'Filicoides'</t>
  </si>
  <si>
    <t>Fernspray Cypress</t>
  </si>
  <si>
    <t>Ht 30-34"; Look good</t>
  </si>
  <si>
    <t>Fernspray has arching branches with lush, fern-like texture, and rich color that endures through winter with minimal bronzing</t>
  </si>
  <si>
    <t>Chamaecyparis obtusa 'Lutea Compacta'</t>
  </si>
  <si>
    <t>Compact Golden Cypress</t>
  </si>
  <si>
    <t>New crop; Ht 26-28"; Full; Great color; NICE</t>
  </si>
  <si>
    <t>Compact Golden offers a luminous Golden accent with gently twisting sprays and a compact, upright habit</t>
  </si>
  <si>
    <t>Chamaecyparis obtusa 'Nana Gracilis'</t>
  </si>
  <si>
    <t>Dwarf Hinoki Cypress</t>
  </si>
  <si>
    <t>Ht 15-16"; Very Nice</t>
  </si>
  <si>
    <t>Ht 24-27"; Nice (Next Crop December)</t>
  </si>
  <si>
    <t>Standard; Overall Ht 42-44"; Clear trunk to 24-28"; Top spread 24"; Nice</t>
  </si>
  <si>
    <t>Dwarf Hinoki is a slow-grower, with unique shell-like sprays that create a graceful, layered texture</t>
  </si>
  <si>
    <t>Chamaecyparis obtusa 'Nana Lutea'</t>
  </si>
  <si>
    <t>Golden Dwarf Hinoki Cypress</t>
  </si>
  <si>
    <t>Ht 18-23" now; Very Nice</t>
  </si>
  <si>
    <t>Standard (Top Grafted); Young Crop; Overall Ht 32-34"; Clear Trunk to 20"' Top Spread 15-16"; NICE (Next crop December)</t>
  </si>
  <si>
    <t>Golden Dwarf Hinoki forms a compact, rounded mound of finely layered Golden foliage, with Green interior</t>
  </si>
  <si>
    <t>Chamaecyparis obtusa 'Spirited'</t>
  </si>
  <si>
    <t>Spirited Cypress</t>
  </si>
  <si>
    <t>Ht 36-37" now; Full; Okay</t>
  </si>
  <si>
    <t>Spirited has vibrant, lace-like Golden foliage in a compact pyramidal form. Best color in full sun</t>
  </si>
  <si>
    <t>Chamaecyparis obtusa 'Tetragona Aurea'</t>
  </si>
  <si>
    <t>Golden Fernleaf Cypress</t>
  </si>
  <si>
    <t>Tree Form; Ht 6-6.5'; Okay; Summer look</t>
  </si>
  <si>
    <t>Multi Stem and Single Stem Tree Forms; Ready November 15th</t>
  </si>
  <si>
    <t>Golden Fernleaf has stiff, four-angled feathery sprays that resemble fern fronds, glowing Golden in sun, Green toward interior</t>
  </si>
  <si>
    <t>Chamaecyparis obtusa 'Verdoni'</t>
  </si>
  <si>
    <t>Verdoni Cypress</t>
  </si>
  <si>
    <t>Ht 28-32" x Wd 18-22"; Good Color; Nice</t>
  </si>
  <si>
    <t>Verdoni Cypress forms a dense, conical shape with vivid Golden foliage that holds its color well, with a Bronze winter cast</t>
  </si>
  <si>
    <t>Chamaecyparis pisifera 'Filifera Aureovariegata'</t>
  </si>
  <si>
    <t>Golden Variegated Sawara Cypress</t>
  </si>
  <si>
    <t>Ht 6' x Wd 6-7' now; Look Good; Unique fleets of yellow/white in foliage</t>
  </si>
  <si>
    <t>Chamaecyparis pisifera 'Golden Mop'</t>
  </si>
  <si>
    <t>Gold Mop Cypress</t>
  </si>
  <si>
    <t>Qty 80 Nice, 1.5ft Spr</t>
  </si>
  <si>
    <t>12-15" x 18" | good color</t>
  </si>
  <si>
    <t>Ht 18-20" x Wd 36-38" now; Very nice (Next crop October 15th)</t>
  </si>
  <si>
    <t>Standard; Overall Ht 34-38"; Clear trunk to 17-18"; Top width 32-34"; Very Nice (Next crop December)</t>
  </si>
  <si>
    <t>Ht 4.5-5.5' x Wd 4-4.5'; Nice</t>
  </si>
  <si>
    <t>4-5' x 3-4'</t>
  </si>
  <si>
    <t>Pom Pom; Ready May 2026</t>
  </si>
  <si>
    <t>Gold Mop has vibrant, thread-like foliage that creates a shaggy, mop-like mound, with year-round color</t>
  </si>
  <si>
    <t>Chamaecyparis pisifera 'King's Gold'</t>
  </si>
  <si>
    <t>King's Gold Threadleaf Cypress</t>
  </si>
  <si>
    <t>8-10" ht x 14-16" sp</t>
  </si>
  <si>
    <t>Chamaecyparis pisifera 'Vintage Gold' PP#16418</t>
  </si>
  <si>
    <t>Vintage Gold Cypress</t>
  </si>
  <si>
    <t>8-10" ht x 12-15" sp</t>
  </si>
  <si>
    <t>Vintage Gold has delicate, thread-like foliage that glows with a rich Golden color , then a Bronze tint in colder weather</t>
  </si>
  <si>
    <t>Chaste agnus-castus 'Lecompte'</t>
  </si>
  <si>
    <t>Lecompte Chaste Tree</t>
  </si>
  <si>
    <t>Lavendar-Blue bloom</t>
  </si>
  <si>
    <t>Lecompte has aromatic, sage-scented foliage. Very low water needs once established</t>
  </si>
  <si>
    <t>Chaste agnus-castus 'Shoal Creek'</t>
  </si>
  <si>
    <t>Shoal Creek Chaste Tree</t>
  </si>
  <si>
    <t>3' h | bud/bloom</t>
  </si>
  <si>
    <t>4-5' h | bud/bloom</t>
  </si>
  <si>
    <t>Ht 4'; Nice</t>
  </si>
  <si>
    <t>5-5.5ft HT</t>
  </si>
  <si>
    <t>Ht 4.5-5'; Okay</t>
  </si>
  <si>
    <t>6-7' ht x 5.5-6' sp</t>
  </si>
  <si>
    <t>4.5-5.5' tall | very nice | bud/bloom</t>
  </si>
  <si>
    <t>Shoal Creek, like most Chaste, has a long bloom season. Foliage &amp; blooms are especially fragrant</t>
  </si>
  <si>
    <t>Chaste 'Bailtexone' PP#30283</t>
  </si>
  <si>
    <t>Purple blooms &amp; foliage</t>
  </si>
  <si>
    <t>20-24" (7/24)</t>
  </si>
  <si>
    <t>Flip Side is named for the olive-green-mauve leaves, purple below. Any breeze will expose this as a purple plant</t>
  </si>
  <si>
    <t>Chimonanthus praecox</t>
  </si>
  <si>
    <t>Fragrant Wintersweet</t>
  </si>
  <si>
    <t>14'×12'</t>
  </si>
  <si>
    <t>Ht 32-34"; Very nice; Flushing from tip prune</t>
  </si>
  <si>
    <t>Single Trunk Tree Form; Ht 4.5-5'; Very nice</t>
  </si>
  <si>
    <t>Fragrant Wintersweet has intensely sweet, lemony-scented blooms that appear on bare branches in mid to late winter, then Dark Green foliage</t>
  </si>
  <si>
    <t>Chionanthus pygmaeus</t>
  </si>
  <si>
    <t>Pygmy Fringetree</t>
  </si>
  <si>
    <t>Single Trunk TF (Grafted Clone); Ht 5.5-6'; Awesome; Clear trunk to 36"</t>
  </si>
  <si>
    <t>MS (Grafted Clone); Ht 4.5-5'; Nice; More Shrubby</t>
  </si>
  <si>
    <t>Single Trunk Tree Form; Ht 6.5-7' now; Very nice</t>
  </si>
  <si>
    <t xml:space="preserve">5.5-6' x 3-4' sp .75-1"c </t>
  </si>
  <si>
    <t>Pygmy is endangered, so plant if you can. Fragrant. Yellow-Green summer foliage follow by Golden tones in the fall</t>
  </si>
  <si>
    <t>Chionanthus retusus</t>
  </si>
  <si>
    <t>Chinese Fringetree</t>
  </si>
  <si>
    <t>New crop; Ht 6-7'; Very nice</t>
  </si>
  <si>
    <t>1-1.25" cal. | Single-stem | 7-8' h</t>
  </si>
  <si>
    <t>Ht 7.5-8.5'; Cal. 1.25-1.5"; Very NICE</t>
  </si>
  <si>
    <t>7-8' ht x 1.5-1.75"c</t>
  </si>
  <si>
    <t>Fringetree blooms May/June. Fragrant blooms will fall to ground, looking like a snowfall</t>
  </si>
  <si>
    <t>Chionanthus retusus 'China Doll'</t>
  </si>
  <si>
    <t>China Doll Fringetree</t>
  </si>
  <si>
    <t>Snow White bloom</t>
  </si>
  <si>
    <t>Ht 5-6' now; Okay; (Trunks slight crooks)(Next crop October 1st)</t>
  </si>
  <si>
    <t>China Doll blooms earlier than native fringetree, for a longer season</t>
  </si>
  <si>
    <t>Chionanthus retusus 'China Snow'</t>
  </si>
  <si>
    <t>China Snow Fringetree</t>
  </si>
  <si>
    <t>Pure White bloom</t>
  </si>
  <si>
    <t>Ht 7.5-8'; Okay</t>
  </si>
  <si>
    <t>Shrub Form; Low Branched; Ht 4.5-5'; Flushing from prune</t>
  </si>
  <si>
    <t>China Snow exceptionally heavy. Bark exfoliates to a Cinnamon-Brown inner bark</t>
  </si>
  <si>
    <t>Chionanthus retusus 'Tokyo Tower'</t>
  </si>
  <si>
    <t>Tokyo Tower Fringetree</t>
  </si>
  <si>
    <t>2-3' h</t>
  </si>
  <si>
    <t>5.5-6' h | very nice</t>
  </si>
  <si>
    <t>Ht 6-6.5'; NICE</t>
  </si>
  <si>
    <t>Tokyo Tower has abundant fluffy flowers. Blueberry-like fruit. Foliage turns bright yellow in fall. Exfoliating bark</t>
  </si>
  <si>
    <t>Chionanthus virginicus</t>
  </si>
  <si>
    <t>White Fringetree</t>
  </si>
  <si>
    <t>Multi-Stem; Ht 34-38"; NICE</t>
  </si>
  <si>
    <t>Standard (Tree Form - Single Trunk); Ready May 2026</t>
  </si>
  <si>
    <t>6-7' ht</t>
  </si>
  <si>
    <t>Chionanthus virginicus 'Spring Fleecing'</t>
  </si>
  <si>
    <t>Spring Fleecing White Fringetree</t>
  </si>
  <si>
    <t>4-5.5.5' ht - 1"c</t>
  </si>
  <si>
    <t>Citrofortunella x mitis</t>
  </si>
  <si>
    <t>Calamondin Orange</t>
  </si>
  <si>
    <t>Calamondin continuously produces small, round, intensely tart fruit like a miniature orange.Entire fruit, peel and all, is edible. Self pollinates</t>
  </si>
  <si>
    <t>Citrus trifoliata 'Flying Dragon'</t>
  </si>
  <si>
    <t>Flying Dragon Orange Tree</t>
  </si>
  <si>
    <t>New crop; Ht 32-34"; NICE</t>
  </si>
  <si>
    <t>Standard; New crop; Ht 5.5-6' now; Clear trunk to 18-24"; Nice</t>
  </si>
  <si>
    <t>Standard; Ht 6'; Clear trunk to 22-24"; Narrow tops 20" wide; Full; Nice</t>
  </si>
  <si>
    <t>Flying Dragon grown for its wild twisted branches and big thorns. Small fruit is sour, but edible. Self pollinates</t>
  </si>
  <si>
    <t>Cladrastis kentukea</t>
  </si>
  <si>
    <t>Kentucky Yellowwood</t>
  </si>
  <si>
    <t>50'×55'</t>
  </si>
  <si>
    <t>Ht 6.5-7.5'; NICE</t>
  </si>
  <si>
    <t>Kentucky Yellowwood has spectaular bloom, but may take 8-10 years to start, then blooms heavily only every 2-3 years</t>
  </si>
  <si>
    <t>Clematis 'Henryi'</t>
  </si>
  <si>
    <t>15'×3'</t>
  </si>
  <si>
    <t>Clematis 'Niobe'</t>
  </si>
  <si>
    <t>Clethra alnifolia 'Hummingbird'</t>
  </si>
  <si>
    <t>Hummingbird Summersweet</t>
  </si>
  <si>
    <t>Clethra alnifolia 'Novacleein' PP#27590</t>
  </si>
  <si>
    <t>36" h | very nice | native cultivar</t>
  </si>
  <si>
    <t>Clethra alnifolia 'Ruby Spice'</t>
  </si>
  <si>
    <t>Ruby Spice Summersweet</t>
  </si>
  <si>
    <t>Clethra alnifolia 'Sixteen Candles'</t>
  </si>
  <si>
    <t>Sixteen Candles Summersweet</t>
  </si>
  <si>
    <t>Colocasia esculenta 'Black Coral' PP#23896</t>
  </si>
  <si>
    <t>Jet-Black foliage</t>
  </si>
  <si>
    <t>Coreopsis 'Baluptowed' PP#28865</t>
  </si>
  <si>
    <t>Coreopsis 'Daybreak' PP#27138</t>
  </si>
  <si>
    <t>Daybreak Tickseed</t>
  </si>
  <si>
    <t>Coreopsis 'Jethro Tull' PP#18798</t>
  </si>
  <si>
    <t>Coreopsis 'Red Satin' PP#25736</t>
  </si>
  <si>
    <t>Coreopsis verticillata 'Moonbeam'</t>
  </si>
  <si>
    <t>Moonbeam Tickseed</t>
  </si>
  <si>
    <t>Lemon-Yellow bloom</t>
  </si>
  <si>
    <t>Moonbeam, like all Coreopsis, withstands high heat and humidity once established</t>
  </si>
  <si>
    <t>Coreopsis verticillata 'Zagreb'</t>
  </si>
  <si>
    <t>Zagreb Tickseed</t>
  </si>
  <si>
    <t>Cornus 'KN30-8' PP#16309</t>
  </si>
  <si>
    <t>Venus Dogwood</t>
  </si>
  <si>
    <t>18'×24'</t>
  </si>
  <si>
    <t>Ht 4.5'; Very Nice</t>
  </si>
  <si>
    <t>Venus is a vigorous grower, is rather disease resistant, and has very large flowers. Decorative red fruit in the fall</t>
  </si>
  <si>
    <t>Cornus kousa</t>
  </si>
  <si>
    <t>Kousa Dogwood</t>
  </si>
  <si>
    <t>Multi stem; Ready May 2026</t>
  </si>
  <si>
    <t>Ready October (Ht 8'-8.5'; Cal 1.5")</t>
  </si>
  <si>
    <t>Kousa has a lovely spring show, layered branches, and jigsaw-like bark</t>
  </si>
  <si>
    <t>Cornus kousa 'Galzam' PP#15788</t>
  </si>
  <si>
    <t>Ht 5'-5.5'; Nice</t>
  </si>
  <si>
    <t>Galilean sports extra-large flowers. Late summer fruit resembles raspberiies. Exfoliating gray bark</t>
  </si>
  <si>
    <t>Cornus kousa 'Greensleeves'</t>
  </si>
  <si>
    <t>Greensleeves Kousa Dogwood</t>
  </si>
  <si>
    <t>Green morphs to White</t>
  </si>
  <si>
    <t>5-6' h | 1-1.25" cal.</t>
  </si>
  <si>
    <t>Greensleeves is an improved Kousa type that grows faster &amp; fuller. Dark green foliage turns Reddish-Purple in fall</t>
  </si>
  <si>
    <t>Cornus kousa 'JN6' PP#28936</t>
  </si>
  <si>
    <t>Creamy Wihite bloom</t>
  </si>
  <si>
    <t>Ht 4-4.5'; Nice</t>
  </si>
  <si>
    <t>Ht 5.5'; Nice (Next Crop October- 80)</t>
  </si>
  <si>
    <t>Cornus kousa 'KN144-2' PP#26211</t>
  </si>
  <si>
    <t>Rosy Teacups Dogwood</t>
  </si>
  <si>
    <t>Rosy Pink bloom</t>
  </si>
  <si>
    <t>New crop; Ht 4.5-5'; NICE</t>
  </si>
  <si>
    <t>Rosy Teacups produces large blooms, in a large bloom set. Glossy green foliage turns striking red in fall</t>
  </si>
  <si>
    <t>Cornus kousa 'National'</t>
  </si>
  <si>
    <t>National Kousa Dogwood</t>
  </si>
  <si>
    <t>3.5-4'</t>
  </si>
  <si>
    <t>Ht 6-6.5'; Very nice; Flushing from light prune</t>
  </si>
  <si>
    <t>National is vigorous and vase-shaped. Birds enjoy the large showy red fruit</t>
  </si>
  <si>
    <t>Cornus kousa 'Rutpink' PP#28311</t>
  </si>
  <si>
    <t>Fuchsia bloom</t>
  </si>
  <si>
    <t>Ht 4.5-5'; NICE</t>
  </si>
  <si>
    <t>Ht 5-5.5' now; Very NICE</t>
  </si>
  <si>
    <t>Scarlet Fire is very showy, very long blooming (up to 8 weeks), and rather disease resistant</t>
  </si>
  <si>
    <t>Cornus kousa 'Satomi'</t>
  </si>
  <si>
    <t>Satomi Pink Kousa Dogwood</t>
  </si>
  <si>
    <t>Young new crop; Ht 5.5-6'; Lightly rooted</t>
  </si>
  <si>
    <t>Satomi has showy clusters of blooms in spring. Purplish-to-brick-red fall foliage. Exfoliating bark is nice</t>
  </si>
  <si>
    <t>Cornus kousa 'Snow Tower'</t>
  </si>
  <si>
    <t>Cornus sericea 'Baileyi'</t>
  </si>
  <si>
    <t>Bailey Red Twig Dogwood</t>
  </si>
  <si>
    <t>20-24" (8/14)</t>
  </si>
  <si>
    <t>36" h | native cultivar</t>
  </si>
  <si>
    <t>Cornus stolonifera 'Farrow' PP#18523</t>
  </si>
  <si>
    <t>18-20" (8/14)</t>
  </si>
  <si>
    <t>Cornus x elwinortonii 'Starlight'</t>
  </si>
  <si>
    <t>Starlight Dogwood</t>
  </si>
  <si>
    <t>Ht 5-6'; Nice</t>
  </si>
  <si>
    <t>Ht 7-7.5' now; NICE</t>
  </si>
  <si>
    <t>Starlight is a sturdy Dogwood, with good drought tolerance, and good insect and disease resistance</t>
  </si>
  <si>
    <t>Cornus x florida 'Retgen' PP#7207Exp.</t>
  </si>
  <si>
    <t>Stellar Pink's dark green foliage turns purplish-red in the fall. Produces no fruit</t>
  </si>
  <si>
    <t>Cornus x rutgersensis 'Celestial Shadow'</t>
  </si>
  <si>
    <t>Ht 5-5.5'; Very nice</t>
  </si>
  <si>
    <t>Ht 7'; Cal 1.25-1.75"; Nice</t>
  </si>
  <si>
    <t>Cornus x rutgersensis 'Rutdan' PP#7204Exp.</t>
  </si>
  <si>
    <t>Ht 6'; Very nice (Next crop Sept. 15th)</t>
  </si>
  <si>
    <t>Corylopsis spicata 'Golden Spring' PP#13821</t>
  </si>
  <si>
    <t>Yellow to Chartreuse bloom</t>
  </si>
  <si>
    <t>Tree Form Single Trunk; Ht 48-54" now; Some leaf burn; Reflushing now</t>
  </si>
  <si>
    <t>Golden Spring has fragrant late-winter bloom, vivid Golden-Chartreuse spring leaves, and warm Butter-Gold fall color. Best located in bright shade</t>
  </si>
  <si>
    <t>Corylus avellana 'Burgundy Lace' PP#28216</t>
  </si>
  <si>
    <t>Burgundy Lace Filbert</t>
  </si>
  <si>
    <t>Single Trunk Tree Form; Ht 9.5-10'; Cal 1.25-1.5"; NICE (Next crop November)</t>
  </si>
  <si>
    <t>Burgundy Lace is notable for its finely dissected, lace-like foliage that holds its color well, gradually turning Green, then Yellow-Gold in fall</t>
  </si>
  <si>
    <t>Corylus avellana 'Red Dragon' PP#20694</t>
  </si>
  <si>
    <t>Red Dragon Contorted Filbert</t>
  </si>
  <si>
    <t>Dark Burgundy-Red foliage</t>
  </si>
  <si>
    <t>Ht 28-32" x Wd 24-26"; Nice</t>
  </si>
  <si>
    <t>Ht 28-32" x Wd 30-36"; NICE</t>
  </si>
  <si>
    <t>Red Dragon known for twisted Burgundy stems. Foliage Bronzes by late season, then Yellow-Copper in fall. Showy Red winter catkins,</t>
  </si>
  <si>
    <t>Cotinus coggygria 'Royal Purple'</t>
  </si>
  <si>
    <t>Royal Purple Smoke Tree</t>
  </si>
  <si>
    <t>Pink "smoke"</t>
  </si>
  <si>
    <t>Ht 4.5-5' now (Next crop October)</t>
  </si>
  <si>
    <t>Royal Purple combines rich, maroon-red foliage (turning redder in fall) with large feathery 'smoky' flower plumes</t>
  </si>
  <si>
    <t>Cotinus coggygria 'Velveteeny' PP#30328</t>
  </si>
  <si>
    <t>Soft Pink-Mauve "smoke"</t>
  </si>
  <si>
    <t>Cotinus coggygria 'Winecraft Black' PP#30216</t>
  </si>
  <si>
    <t>Pink-Violet "smoke"</t>
  </si>
  <si>
    <t>Cotoneaster dammeri 'Coral Beauty'</t>
  </si>
  <si>
    <t>Coral Beauty Cotoneaster</t>
  </si>
  <si>
    <t>2'×6'</t>
  </si>
  <si>
    <t>Coral Beauty blooms followed by ornamental coral-red berries, against finely textured foliage</t>
  </si>
  <si>
    <t>Cotoneaster salicifolius</t>
  </si>
  <si>
    <t>Willow Leaf Cotoneaster</t>
  </si>
  <si>
    <t>3'×8'</t>
  </si>
  <si>
    <t>Willow Leaf foliage resembles a Willow. Scarlet-red berries after bloom. Reddish-Purple winter foliage</t>
  </si>
  <si>
    <t>Crataegus viridis 'Winter King'</t>
  </si>
  <si>
    <t>Winter King Green Hawthorne</t>
  </si>
  <si>
    <t>Ht 8-8.5'; Branched at 4.5-5.5'; Cal 1.25"; Very nice</t>
  </si>
  <si>
    <t>Winter King sports abundant persistent red berries, distinctive Silvery-Grey exfoliating bark, and Yellow-Purplish-Red fall foliage</t>
  </si>
  <si>
    <t>Cryptomeria japonica 'Globosa Nana'</t>
  </si>
  <si>
    <t>Globosa Nana Cryptomeria</t>
  </si>
  <si>
    <t xml:space="preserve">20-24" ht x 28-32" sp </t>
  </si>
  <si>
    <t>Ht 19-20" x Wd 23-24"; Very Nice</t>
  </si>
  <si>
    <t>Globosa Nana grows naturally into a dense, dome shape. Bluish-green foliage turns rusty-red in winter</t>
  </si>
  <si>
    <t>Cyrtomium falcatum 'Rochfordianum'</t>
  </si>
  <si>
    <t>Japanese Holly Fern</t>
  </si>
  <si>
    <t>Cyrtomium fortunei</t>
  </si>
  <si>
    <t>Fortune's Holly Fern</t>
  </si>
  <si>
    <t>Danae racemosa</t>
  </si>
  <si>
    <t>Poet's Laurel</t>
  </si>
  <si>
    <t>Young crop; Ht 11-12"; Lightly rooted</t>
  </si>
  <si>
    <t>12-14" ht x 10-12" sp</t>
  </si>
  <si>
    <t>Poet's Laurel has graceful, arching stems and lance-shaped foliage. Small, Yellowish-Green flowers. Orange-Red berries</t>
  </si>
  <si>
    <t>Daphne odora 'Aureomarginata'</t>
  </si>
  <si>
    <t>Variegated Winter Daphne</t>
  </si>
  <si>
    <t>4'×6'</t>
  </si>
  <si>
    <t>Purplish-Pink</t>
  </si>
  <si>
    <t>6-10"</t>
  </si>
  <si>
    <t>Winter Daphne is named as such due to late flowers.</t>
  </si>
  <si>
    <t>Delosperma cooperi</t>
  </si>
  <si>
    <t>Ice Plant</t>
  </si>
  <si>
    <t>Ice Plant is named for it's cold hardiness. Long bloom period makes this a great groundcover</t>
  </si>
  <si>
    <t>Dianthus 'Holkahoripink' PP#21016</t>
  </si>
  <si>
    <t>8"×14"</t>
  </si>
  <si>
    <t>Bright Pink bloom</t>
  </si>
  <si>
    <t>Dianthus 'Holkahoriscarlet' PP#28558</t>
  </si>
  <si>
    <t>Fuschsia-Red bloom</t>
  </si>
  <si>
    <t>Dianthus 'KonD1335K' PP#32362</t>
  </si>
  <si>
    <t>8"×12"</t>
  </si>
  <si>
    <t>Deep Red bloom</t>
  </si>
  <si>
    <t>Diaspyros virginiana L.</t>
  </si>
  <si>
    <t>Common Persimmon</t>
  </si>
  <si>
    <t>60'×35'</t>
  </si>
  <si>
    <t>White to Yellow bloom</t>
  </si>
  <si>
    <t>Ht 8-9' now; Look good</t>
  </si>
  <si>
    <t>Common Persimmon fruit is orange &amp; sweet. Fragrant blooms. Requires both male and female plants to set fruit</t>
  </si>
  <si>
    <t>Diervilla sessilifolia 'Firefly' PP#33978</t>
  </si>
  <si>
    <t>Bright Yellow trumpet</t>
  </si>
  <si>
    <t>10"x12" (8/7)</t>
  </si>
  <si>
    <t>Diervilla splendens 'Nightglow' PP#28060</t>
  </si>
  <si>
    <t>Disporopsis pernyi</t>
  </si>
  <si>
    <t>Evergreen Solomon's Seal</t>
  </si>
  <si>
    <t>18"×18"</t>
  </si>
  <si>
    <t>Ht 14-15"; Full; Very Nice; Great for mass plantings (Next crop in October)</t>
  </si>
  <si>
    <t>Distylium 'BLDY01' PP#32816</t>
  </si>
  <si>
    <t>10-12"x12"</t>
  </si>
  <si>
    <t>Distylium 'BLDY02' PP#32785</t>
  </si>
  <si>
    <t>12-15"x15-18", inconsistent</t>
  </si>
  <si>
    <t>Distylium 'PIIDIST-I' PP#24410</t>
  </si>
  <si>
    <t>20-24" (8/7)</t>
  </si>
  <si>
    <t>18-24” | very nice</t>
  </si>
  <si>
    <t>24-30” h | very nice</t>
  </si>
  <si>
    <t>Ht 3-3.5' now; Very nice</t>
  </si>
  <si>
    <t>Distylium 'PIIDIST-II' PP#24409</t>
  </si>
  <si>
    <t>Matte Blue-Green foliage</t>
  </si>
  <si>
    <t>12" x 15-18" | very nice</t>
  </si>
  <si>
    <t>36" x 42" | very nice</t>
  </si>
  <si>
    <t>Blue Cascade foliage emerges Purplsh-Bronze. Small Reddish-Maroon flowers appear late winter to early spring. Heat and drought tolerant</t>
  </si>
  <si>
    <t>Distylium 'PIIDIST-III' PP#25304</t>
  </si>
  <si>
    <t>12"x12-15"</t>
  </si>
  <si>
    <t>Distylium 'PIIDIST-IV' PP#25984</t>
  </si>
  <si>
    <t>Glossy Dark Green foliage</t>
  </si>
  <si>
    <t>18-24” x 20”</t>
  </si>
  <si>
    <t>Ht 4-4.5' now; Very Nice</t>
  </si>
  <si>
    <t>4-5'</t>
  </si>
  <si>
    <t>Single Trunk Tree Form; Ht 7-8'; NICE</t>
  </si>
  <si>
    <t>Linebacker has Reddish spring flush. Subtle Red late-winter flowers. Heat and drought tolerant. Good sub for Cherry Laurel</t>
  </si>
  <si>
    <t>Distylium 'PIIDIST-V' PP#27631</t>
  </si>
  <si>
    <t>12-15” x 18-20” | very nice</t>
  </si>
  <si>
    <t>Ht 16-18" x Wd 20-21"; Very nice</t>
  </si>
  <si>
    <t>Distylium 'PIIDIST-VI' PP#29779</t>
  </si>
  <si>
    <t>10-12"x15" (7/31)</t>
  </si>
  <si>
    <t>18-20” w | very nice</t>
  </si>
  <si>
    <t>15-18" ht x 30-36" sp</t>
  </si>
  <si>
    <t>Distylium 'Vintage Jade' PP#23128</t>
  </si>
  <si>
    <t>8-10"x15-18" (8/14)</t>
  </si>
  <si>
    <t>18" sp</t>
  </si>
  <si>
    <t>Ht 12-14" x Wd 24-26"; NICE</t>
  </si>
  <si>
    <t>Ht 34-36" x Wd 42" now; Average (Better with flush)</t>
  </si>
  <si>
    <t>Dryopteris erythrosora</t>
  </si>
  <si>
    <t>Autumn Fern</t>
  </si>
  <si>
    <t>2'×2'</t>
  </si>
  <si>
    <t>Dark Green fronds</t>
  </si>
  <si>
    <t>New crop; Ht 13-14"; Look good</t>
  </si>
  <si>
    <t>Dryopteris erythrosora 'Brilliance'</t>
  </si>
  <si>
    <t>Brilliance Autumn Fern</t>
  </si>
  <si>
    <t>SALE</t>
  </si>
  <si>
    <t xml:space="preserve">  </t>
  </si>
  <si>
    <t>Echinacea 'Balsomold' PP#30115</t>
  </si>
  <si>
    <t>20"×24"</t>
  </si>
  <si>
    <t>Golden-Yellow bloom</t>
  </si>
  <si>
    <t>Granada Gold, like most Echinacea, is a source of food for birds - just don't deadhead the flowers</t>
  </si>
  <si>
    <t>Echinacea 'Balsomsed' PP#23105</t>
  </si>
  <si>
    <t>Echinacea 'Panama Red' PP#33620</t>
  </si>
  <si>
    <t>Echinacea purpurea 'Cheyenne Spirit' PP#7982110</t>
  </si>
  <si>
    <t>Cheyenne Spirit Coneflower</t>
  </si>
  <si>
    <t>Multi-color bloom</t>
  </si>
  <si>
    <t>Echinacea purpurea 'Gold' PP#35322</t>
  </si>
  <si>
    <t>Echinacea purpurea 'PAS702917' PP#7982110</t>
  </si>
  <si>
    <t>Edgeworthia chrysantha</t>
  </si>
  <si>
    <t>Paperbush</t>
  </si>
  <si>
    <t>3.5-4' ht x 2.5-3' sp</t>
  </si>
  <si>
    <t>Creamy Yellow bloom</t>
  </si>
  <si>
    <t>Elaeagnus pungens 'Fruitlandii'</t>
  </si>
  <si>
    <t>Fruitland Elaeagnus</t>
  </si>
  <si>
    <t>Fruitland has Silvery-backed foliage and small, very fragrant Creamy White fall flowers. Tough shrub. Birds  adore the Red fruits</t>
  </si>
  <si>
    <t>Elaeagnus x ebbingei</t>
  </si>
  <si>
    <t>Ebbing's Silverberry Elaeagnus</t>
  </si>
  <si>
    <t>Green &amp; Silver foliage</t>
  </si>
  <si>
    <t>Ebbing's is thornless, with Silver-Gray undersides to foliage. Very fragrant small Creamy White fall blooms. Birds adore red fruit</t>
  </si>
  <si>
    <t>Eriobotrya japonica</t>
  </si>
  <si>
    <t>Loquat, Japanese Plum</t>
  </si>
  <si>
    <t xml:space="preserve">6-7' ht </t>
  </si>
  <si>
    <t>Loquat flesh is succulent, sweet, tangy, and tastes like mix of peach, citrus &amp; mild mango. Fragrant blooms</t>
  </si>
  <si>
    <t>Euonymus japonicus 'Aureo-marginatus'</t>
  </si>
  <si>
    <t>Golden Euonymus</t>
  </si>
  <si>
    <t>Dark Green &amp; Yellow</t>
  </si>
  <si>
    <t>Golden Euonymus has vibrant Yellow-edges against Dark Green foliage. Small Greenish-White sping blooms. Tidy upright habit. Can be sheared</t>
  </si>
  <si>
    <t>Euonymus japonicus 'Green Spire'</t>
  </si>
  <si>
    <t>Greenspire Euonymus</t>
  </si>
  <si>
    <t>Ht 28-32" now; NICE</t>
  </si>
  <si>
    <t>Ht 36"; Good</t>
  </si>
  <si>
    <t>Greenspire grows dense and irregular. Can be hedged. Small Greenish-White sping blooms.</t>
  </si>
  <si>
    <t>Euonymus kiautschovicus 'Manhattan'</t>
  </si>
  <si>
    <t>Manhattan Euonymus</t>
  </si>
  <si>
    <t>Qty 100 nice, 2ft HT, 2ft Spr</t>
  </si>
  <si>
    <t>Manhattan is a vigorous grower, valued for its dense, upright habit and its tolerance for pruning. Inconspicuous, small Greenish-White flowers</t>
  </si>
  <si>
    <t>Fagus grandifolia</t>
  </si>
  <si>
    <t>American Beech</t>
  </si>
  <si>
    <t>70'×50'</t>
  </si>
  <si>
    <t>New crop; Ht 6-6.5' now; Nice</t>
  </si>
  <si>
    <t>New crop; Ht 6-6.5'; NICE; Cal 1"</t>
  </si>
  <si>
    <t>Ready July 2026</t>
  </si>
  <si>
    <t>American Beech has a wide canopy that holds onto much of its Golden-Bronze fall foliage well into the new year</t>
  </si>
  <si>
    <t>Farfugium japonicum</t>
  </si>
  <si>
    <t>Leopard Plant</t>
  </si>
  <si>
    <t>22-24" ht x 22-24" sp</t>
  </si>
  <si>
    <t>Fargesia rufa 'Sunset Glow'</t>
  </si>
  <si>
    <t>Sunset Glow Clumping Bamboo</t>
  </si>
  <si>
    <t>Green &amp; Orange-Red</t>
  </si>
  <si>
    <t>Ht 15-16" now; Very nice</t>
  </si>
  <si>
    <t>Sunset Glow is a clumping type, non-invasive. Its Orange-Red cane sheaths add vivid contrast to the Green culms, Very cold-hardy</t>
  </si>
  <si>
    <t>Fatshedera lizei</t>
  </si>
  <si>
    <t>Aralia Ivy Tree</t>
  </si>
  <si>
    <t>Aralia Ivy Tree has tropical-like large, glossy, lobed evergreen leaves. Can be grown as either a shrub or a climbing vine, with support</t>
  </si>
  <si>
    <t>Fatsia japonica</t>
  </si>
  <si>
    <t>Japanese Fatsia</t>
  </si>
  <si>
    <t>Ficus carica 'Brown Turkey'</t>
  </si>
  <si>
    <t>Brown Turkey Fig</t>
  </si>
  <si>
    <t>Brown Turkey fruit is Purple-Brown with Pink-Amber flesh.Very tasty. Self-pollinating, it will double-crop in good conditions</t>
  </si>
  <si>
    <t>Ficus carica 'MAJOAM' PP#27929</t>
  </si>
  <si>
    <t>Little Miss Figgy Fig</t>
  </si>
  <si>
    <t>Little Miss makes a great option for containerized growing in a tight space. Sweet, deep Burgundy fruit. Self-pollinating, 2 crops per year</t>
  </si>
  <si>
    <t>Ficus pumila</t>
  </si>
  <si>
    <t>Creeping Fig</t>
  </si>
  <si>
    <t>6"×6'</t>
  </si>
  <si>
    <t>Creeping Fig stays quite low as a groundcover, growing indifinitely. If allowed, it will climb as high as support structure</t>
  </si>
  <si>
    <t>Qty 70 Lynwood Gold, 2.5ft HT</t>
  </si>
  <si>
    <t>Forsythia x intermedia 'Lynwood Variety'</t>
  </si>
  <si>
    <t>Lynwood Gold Forsythia</t>
  </si>
  <si>
    <t>9'×9'</t>
  </si>
  <si>
    <t>3-4' ht x 26-38" sp</t>
  </si>
  <si>
    <t>Lynnwood Gold is a smaller 'Border Forsythia'. Dark green foliage replaces blooms, turning gold to purple in fall</t>
  </si>
  <si>
    <t>Fothergilla gardenii</t>
  </si>
  <si>
    <t>Dwarf Fothergilla</t>
  </si>
  <si>
    <t>15" x 15-18" | very nice | native</t>
  </si>
  <si>
    <t>Fothergilla gardenii x major 'Mount Airy'</t>
  </si>
  <si>
    <t>Mount Airy Fothergilla</t>
  </si>
  <si>
    <t>22-24" ht x 18-24" sp</t>
  </si>
  <si>
    <t>Gardenia jasminoides 'August Beauty'</t>
  </si>
  <si>
    <t>August Beauty Gardenia</t>
  </si>
  <si>
    <t>Fall 2026 young, 1ft HT, 1.25ft Spr</t>
  </si>
  <si>
    <t>August Beauty is named for it's 3-month bloom cycle, reaching into August. Fragrant</t>
  </si>
  <si>
    <t>Gardenia jasminoides 'Double Mint' PP#23507</t>
  </si>
  <si>
    <t>Gardenia jasminoides 'Frostproof'</t>
  </si>
  <si>
    <t>Frostproof Gardenia</t>
  </si>
  <si>
    <t>15-18" x 15-18" | bud/bloom</t>
  </si>
  <si>
    <t xml:space="preserve">18-22" ht x 20-22" sp </t>
  </si>
  <si>
    <t>Frostproof resists late spring frosts. Fragrant blooms are more abundant than other Gardenia</t>
  </si>
  <si>
    <t>Gardenia jasminoides 'Kleim's Hardy'</t>
  </si>
  <si>
    <t>Kleim's Hardy Gardenia</t>
  </si>
  <si>
    <t>Qty 50 young , 1ft HT, 1-1.25ft Spr</t>
  </si>
  <si>
    <t>Kleim's Hardy is cold-resistant, fragrant, and has a traditional gardenia 'look' (unlike skinny foliage of  'Frostproof')</t>
  </si>
  <si>
    <t>Gardenia jasminoides 'Radicans'</t>
  </si>
  <si>
    <t>Trailing Dwarf Gardenia</t>
  </si>
  <si>
    <t>2'×4'</t>
  </si>
  <si>
    <t>12"x15-18"</t>
  </si>
  <si>
    <t>12-15" w | bud/bloom</t>
  </si>
  <si>
    <t>Trailing Dwarf blooms in spring, then sporadically in summer, with fragrant, double flowers. Orange fall fruit</t>
  </si>
  <si>
    <t>Gardenia 'Leefive' PP#32516</t>
  </si>
  <si>
    <t>Diamond Spire Gardenia</t>
  </si>
  <si>
    <t>4'×2'</t>
  </si>
  <si>
    <t>24-26" ht x 20-26" sp</t>
  </si>
  <si>
    <t>Diamond Spire is noted for it's more columnar shape and unique rounded foliage</t>
  </si>
  <si>
    <t>Bright Yellow bloom</t>
  </si>
  <si>
    <t>Gelsemium sempervirens</t>
  </si>
  <si>
    <t>Carolina Jessamine Vine</t>
  </si>
  <si>
    <t>Gelsemium sempervirens 'Margarita'</t>
  </si>
  <si>
    <t>Margarita Carolina Jessamine Vine</t>
  </si>
  <si>
    <t>Margarita is notable for its excellent cold hardiness. Fragrant, somewhat larger, trumpet-shaped flowers appear in early spring</t>
  </si>
  <si>
    <t>Ginkgo biloba 'Autumn Gold'</t>
  </si>
  <si>
    <t>Autumn Gold Ginkgo</t>
  </si>
  <si>
    <t>Ht 6-7' now; Full tops; Nice</t>
  </si>
  <si>
    <t>1" cal. | 6-7' h</t>
  </si>
  <si>
    <t>Ht 7-8'; Cal 1.0-1.25"; Nice</t>
  </si>
  <si>
    <t>8-9' ht x 1-1.5"c</t>
  </si>
  <si>
    <t>Ht 8.5-9.5'; Cal 1.75-2"; Nice</t>
  </si>
  <si>
    <t>Autumn Gold named for brilliant Golden Yellow fall color. All are male, so less mess/stink. Slow-growing, but long-lived (1000+ years)</t>
  </si>
  <si>
    <t>Ginkgo biloba 'Jade Butterflies'</t>
  </si>
  <si>
    <t>Jade Butterflies Ginkgo</t>
  </si>
  <si>
    <t>Jade-Green foliage</t>
  </si>
  <si>
    <t>Ht 4.5-5'; Nice; Slow Grower</t>
  </si>
  <si>
    <t>Nice Specimens; Cone shaped; Unique; Ht 6.5' now; Branched low</t>
  </si>
  <si>
    <t>Jade is named for butterfly-shaped leaf. All male clones, not stinky or messy. Vibrant Golden-Yellow fall foliage</t>
  </si>
  <si>
    <t>Ginkgo biloba 'JFS-UGA2' PP#32171</t>
  </si>
  <si>
    <t>45'×25'</t>
  </si>
  <si>
    <t>Ht 8-8.5'; Cal 1.5"+; Look Good</t>
  </si>
  <si>
    <t>Golden Colonnade named for it's Yellow fall foliage &amp; a narrow form. Foliage will drop all at once, for a Golden carpet. All male, so no stinky fruit</t>
  </si>
  <si>
    <t>Ginkgo biloba 'Mariken'</t>
  </si>
  <si>
    <t>Mariken Dwarf Ginkgo</t>
  </si>
  <si>
    <t>Chartreuse to Green foliage</t>
  </si>
  <si>
    <t>New crop; Ht 40-44"; Look good</t>
  </si>
  <si>
    <t>Mariken Dwarf are all male, so no messy fruit. Distinctive fan-shpaed leaves and great Golden fall color</t>
  </si>
  <si>
    <t>Ginkgo biloba 'Princeton Sentry' PP#2720Exp.</t>
  </si>
  <si>
    <t>50'×25'</t>
  </si>
  <si>
    <t>5.5-6'</t>
  </si>
  <si>
    <t>Ht 6-6.5'; Nice (Next Crop June 15th - July 1st)</t>
  </si>
  <si>
    <t>Ht 8-8.5'; Cal 1.5"; Okay/average</t>
  </si>
  <si>
    <t>Princeton Sentry are all male (less mess, not stiky). Named for columnar growth. Fan-shaped leaves turn vibrant Yellow in fall</t>
  </si>
  <si>
    <t>Ginkgo biloba 'Saratoga'</t>
  </si>
  <si>
    <t>Saratoga Ginkgo</t>
  </si>
  <si>
    <t>Ht. 4-4.5'; Look Good (Next Crop November)</t>
  </si>
  <si>
    <t>Saratogaare all male, so no messy fruit. Foliage more deeply-cut, finger-like, among Ginkgos. Rich, Golde-Yellow fall coloration</t>
  </si>
  <si>
    <t>Ginkgo biloba 'Troll'</t>
  </si>
  <si>
    <t>Troll Ginkgo</t>
  </si>
  <si>
    <t>Troll foliage emerges light Green. Yellow-Gold in fall. All male, so no stinky fruit</t>
  </si>
  <si>
    <t>Hamamelis vernalis</t>
  </si>
  <si>
    <t>Ozark Witch Hazel</t>
  </si>
  <si>
    <t>Yellow-Gold bloom</t>
  </si>
  <si>
    <t>Ht 6' now; Good</t>
  </si>
  <si>
    <t>Hamamelis x intermedia 'Arnold Promise'</t>
  </si>
  <si>
    <t>Arnold Promise Witch Hazel</t>
  </si>
  <si>
    <t>Ht 34-40"; Very nice</t>
  </si>
  <si>
    <t>STD (Top Grafted on Standard); Graft at 34"; Overall Ht 5-5.5'; NICE</t>
  </si>
  <si>
    <t>Projected Ready November</t>
  </si>
  <si>
    <t>Hamamelis x intermedia 'Diane'</t>
  </si>
  <si>
    <t>Diane Witch Hazel</t>
  </si>
  <si>
    <t>Coppery-Red bloom</t>
  </si>
  <si>
    <t>Hamamelis x intermedia 'Sunburst' PP#17355</t>
  </si>
  <si>
    <t>Sunburst Witch Hazel</t>
  </si>
  <si>
    <t>Helleborus 'French Kiss'</t>
  </si>
  <si>
    <t>White bloom, Pink accents</t>
  </si>
  <si>
    <t>All Hellebores are clump-forming perennials with leathery foliage. They are long-lived, cold/shade tolerant, and bloom late winter to spring</t>
  </si>
  <si>
    <t>Helleborus 'Paris in Pink'</t>
  </si>
  <si>
    <t>Helleborus 'Romantic Getaway'</t>
  </si>
  <si>
    <t>White-Pale Pink bloom</t>
  </si>
  <si>
    <t>Helleborus 'True Love'</t>
  </si>
  <si>
    <t>Helleborus 'Wedding Bells'</t>
  </si>
  <si>
    <t>White bloom, Green hue</t>
  </si>
  <si>
    <t>Helleborus x ballardiae 'Coseb 710' PP#21063</t>
  </si>
  <si>
    <t>Soft Pink, Rose with age</t>
  </si>
  <si>
    <t>15-18" w | very nice</t>
  </si>
  <si>
    <t>Helleborus x ericsmithii 'COSEH 730'</t>
  </si>
  <si>
    <t>White bloom, Pink backs</t>
  </si>
  <si>
    <t>Helleborus x glandorfensis 'COSEH 4200' PP#28297</t>
  </si>
  <si>
    <t>Rose-Pink, darker with age</t>
  </si>
  <si>
    <t>Helleborus x glandorfensis 'COSEH 4800' PP#28296</t>
  </si>
  <si>
    <t>Deep Crimson bloom</t>
  </si>
  <si>
    <t>Helleborus x glandorfensis 'COSEH 5100'</t>
  </si>
  <si>
    <t>White bloom, Burgundy edge</t>
  </si>
  <si>
    <t>Helleborus x glandorfensis 'COSEH 5400' PP#32384</t>
  </si>
  <si>
    <t>Pink bloom, ages to Dark Rose</t>
  </si>
  <si>
    <t>Helleborus x glandorfensis 'Early Rose' PP#28294</t>
  </si>
  <si>
    <t>Soft Rose, age to Deep Rose</t>
  </si>
  <si>
    <t>Helleborus x glandorfensis 'Ice N' Roses Brunello' PP#32871</t>
  </si>
  <si>
    <t>Burgundy-Wine bloom</t>
  </si>
  <si>
    <t>Helleborus x hybridus 'Pine Knot Strain'</t>
  </si>
  <si>
    <t>Pine Knot Lenten Rose</t>
  </si>
  <si>
    <t>White, Pink, Red, more…</t>
  </si>
  <si>
    <t>Hemerocallis 'Happy Returns'</t>
  </si>
  <si>
    <t>Happy Returns Daylily</t>
  </si>
  <si>
    <t>Lemon Yellow bloom</t>
  </si>
  <si>
    <t>Qty 1700</t>
  </si>
  <si>
    <t>QTY DISCOUNT</t>
  </si>
  <si>
    <t>Hemerocallis 'Pardon Me'</t>
  </si>
  <si>
    <t>Pardon Me Daylily</t>
  </si>
  <si>
    <t>Red bloom, Lime throat</t>
  </si>
  <si>
    <t>Hemerocallis 'Purple d'Oro'</t>
  </si>
  <si>
    <t>Purple d'Oro Daylily</t>
  </si>
  <si>
    <t>Purple, Yellow throat</t>
  </si>
  <si>
    <t>Qty 1800</t>
  </si>
  <si>
    <t>Hemerocallis 'Ruby Stella'</t>
  </si>
  <si>
    <t>Ruby Stella Daylily</t>
  </si>
  <si>
    <t>Hemerocallis 'Stella d'Oro'</t>
  </si>
  <si>
    <t>Stella d'Oro Daylily</t>
  </si>
  <si>
    <t>Heptacodium miconioides</t>
  </si>
  <si>
    <t>Seven-Son Flower Tree</t>
  </si>
  <si>
    <t>Ht 7-8'; Look Good</t>
  </si>
  <si>
    <t>Ht 8-9'; Cal 1.25-1.5"; Very nice; Bud/blooms</t>
  </si>
  <si>
    <t>Ht 9-10'; Cal 1.5-1.75"; Nice</t>
  </si>
  <si>
    <t>Seven-Son's fragrant July blooms are followed by cherry red sepals (around old blooms). Bark exfoliates nicely</t>
  </si>
  <si>
    <t>Heptacodium miconioides 'SMNHMRF' PP#30763</t>
  </si>
  <si>
    <t>Single Trunk Tree Form; Ht 5-6'; NICE (Next crop September)</t>
  </si>
  <si>
    <t>Heucherella 'Buttered Rum' PP#25040</t>
  </si>
  <si>
    <t>Buttered Rum Foamy Bells</t>
  </si>
  <si>
    <t>10"×15"</t>
  </si>
  <si>
    <t>Caramel-Orange foliage</t>
  </si>
  <si>
    <t>Heucherella 'Solar Eclipse' PP#23647</t>
  </si>
  <si>
    <t>Solar Eclipse Foamy Bells</t>
  </si>
  <si>
    <t>12"×16"</t>
  </si>
  <si>
    <t>Reddish-Brown, Lime edges</t>
  </si>
  <si>
    <t>Hibanobambusa tranquillans 'Shiroshima'</t>
  </si>
  <si>
    <t>Shiroshima Bamboo</t>
  </si>
  <si>
    <t>16'×∞</t>
  </si>
  <si>
    <t>Green &amp; Cream foliage</t>
  </si>
  <si>
    <t>Great Variegated Bamboo; Flushing from prune; Ht 28-34"; NICE</t>
  </si>
  <si>
    <t>Hibiscus ‘Holy Grail’ PP#31478</t>
  </si>
  <si>
    <t>Dark burgundy/green foliage; Large red flowers; Ht 28-30" x Wd 30-32"; Bud/Boom</t>
  </si>
  <si>
    <t>Hibiscus moscheutos 'Starry Starry Night' PP#27901</t>
  </si>
  <si>
    <t>Starry Starry Night Hardy Hibiscus</t>
  </si>
  <si>
    <t>Pink bloom, deeper eye</t>
  </si>
  <si>
    <t>blooms (7/24)</t>
  </si>
  <si>
    <t>Dark burgundy/green foliage; Large pink flowers; Ht 28-30" x Wd 30-32"; Bud/Boom</t>
  </si>
  <si>
    <t>Hibiscus syriacus 'Gandini Santiago' PP#25568</t>
  </si>
  <si>
    <t>16'×5'</t>
  </si>
  <si>
    <t>Rich Purple bloom, Red ey</t>
  </si>
  <si>
    <t>30-36" h | bud/bloom</t>
  </si>
  <si>
    <t>3-3.5' h | bud/bloom</t>
  </si>
  <si>
    <t>Hibiscus syriacus 'Minfren'</t>
  </si>
  <si>
    <t>White bloom, Purple-Red eye</t>
  </si>
  <si>
    <t>Hibiscus syriacus 'Woodbridge'</t>
  </si>
  <si>
    <t>Woodbridge Rose of Sharon</t>
  </si>
  <si>
    <t>Rose-Pink bloom, Red eye</t>
  </si>
  <si>
    <t>Hosta 'Amazone'</t>
  </si>
  <si>
    <t>Amazone Hosta</t>
  </si>
  <si>
    <t>white center w/ dark green margins</t>
  </si>
  <si>
    <t>Hosta 'August Moon'</t>
  </si>
  <si>
    <t>August Moon Hosta</t>
  </si>
  <si>
    <t>Hosta 'Blue Cadet'</t>
  </si>
  <si>
    <t>Blue Cadet Hosta</t>
  </si>
  <si>
    <t>Lavender bloom</t>
  </si>
  <si>
    <t>small blue leaf</t>
  </si>
  <si>
    <t>Hosta 'Blue Mouse Ears'</t>
  </si>
  <si>
    <t>Blue Mouse Ears Hosta</t>
  </si>
  <si>
    <t>mini blue leaf</t>
  </si>
  <si>
    <t>Hosta 'First Frost'</t>
  </si>
  <si>
    <t>First Frost Hosta</t>
  </si>
  <si>
    <t>Hosta Fortunei 'Albomarginata'</t>
  </si>
  <si>
    <t>Silver Crown Hosta</t>
  </si>
  <si>
    <t>Qty 1000</t>
  </si>
  <si>
    <t>Hosta 'Golden Tiara'</t>
  </si>
  <si>
    <t>Golden Tiara Hosta</t>
  </si>
  <si>
    <t>variegated gold</t>
  </si>
  <si>
    <t>Hosta 'Guacamole'</t>
  </si>
  <si>
    <t>Guacamole Hosta</t>
  </si>
  <si>
    <t>White-Lavender bloom</t>
  </si>
  <si>
    <t>Hosta 'Guardian Angel'</t>
  </si>
  <si>
    <t>Guardian Angel Hosta</t>
  </si>
  <si>
    <t>Hosta 'June'</t>
  </si>
  <si>
    <t>June Hosta</t>
  </si>
  <si>
    <t>Hosta 'Minuteman'</t>
  </si>
  <si>
    <t>Minuteman Hosta</t>
  </si>
  <si>
    <t>variegated cream</t>
  </si>
  <si>
    <t>Hosta 'Stained Glass'</t>
  </si>
  <si>
    <t>Stained Glass Hosta</t>
  </si>
  <si>
    <t>Pale Lavender bloom</t>
  </si>
  <si>
    <t>Hosta 'Sum &amp; Substance'</t>
  </si>
  <si>
    <t>Sum &amp; Substance Hosta</t>
  </si>
  <si>
    <t>large green leaf</t>
  </si>
  <si>
    <t>wavy var. leaf</t>
  </si>
  <si>
    <t>Hosta x sieboldiana 'Blue Angel'</t>
  </si>
  <si>
    <t>Blue Angel Hosta</t>
  </si>
  <si>
    <t>Hosta x sieboldiana 'Patriot'</t>
  </si>
  <si>
    <t>Patriot Hosta</t>
  </si>
  <si>
    <t>Var. cream margin</t>
  </si>
  <si>
    <t>Hyd. anomala petiolaris</t>
  </si>
  <si>
    <t>Climbing Hydrangea</t>
  </si>
  <si>
    <t>40'×6'</t>
  </si>
  <si>
    <t>24-30" (7/31)</t>
  </si>
  <si>
    <t>Tri-pod Staked; Ht 42-44"; Very Nice (Next Crop November)</t>
  </si>
  <si>
    <t>Espalier: Ht. 36" x Wd. 24" on Trellis; Nice</t>
  </si>
  <si>
    <t>Espalier; New Crop; Ht 32-36 x Wd 30-32 on trellis; Still Young</t>
  </si>
  <si>
    <t>Climbing has Dark Green foliage. "Climbing" Hydrangea is a vine, with Lacecap flowers on old wood. Exfoliating bark</t>
  </si>
  <si>
    <t>Hyd. arborescens 'SMNHRL' PP#34418</t>
  </si>
  <si>
    <t>Tourmaline Green bloom, pink hue</t>
  </si>
  <si>
    <t>SALE 15-18" (8/14)</t>
  </si>
  <si>
    <t>Hyd. macrophylla 'Bailmacfive' PP#30359</t>
  </si>
  <si>
    <t>Raspberry Red-Purple</t>
  </si>
  <si>
    <t>10-12"x12-15" (8/14)</t>
  </si>
  <si>
    <t>Hyd. macrophylla 'Bailmacseven' PP#34544</t>
  </si>
  <si>
    <t>Cranberry to Purple bloom</t>
  </si>
  <si>
    <t>Hyd. macrophylla 'Bailmacsix' PP#33703</t>
  </si>
  <si>
    <t>Blue to Pink bloom</t>
  </si>
  <si>
    <t>12"x15" (8/1)</t>
  </si>
  <si>
    <t>Hyd. macrophylla 'Bailmer' PP#15298</t>
  </si>
  <si>
    <t>Pale Blue to Soft Pink bloom</t>
  </si>
  <si>
    <t>15"x12-15" (8/14)</t>
  </si>
  <si>
    <t>Hyd. macrophylla 'Dancing Snow' PP#21052</t>
  </si>
  <si>
    <t>Wedding Gown Bigleaf Hydrangea</t>
  </si>
  <si>
    <t>Hyd. macrophylla 'Hokomaburlac' PPAF</t>
  </si>
  <si>
    <t>Cherry-Red bloom ages to Purple</t>
  </si>
  <si>
    <t>Hyd. macrophylla 'Hokomagrito' PP#35207</t>
  </si>
  <si>
    <t>Lime-Green bloom ages to White</t>
  </si>
  <si>
    <t>Hyd. macrophylla 'Hortmafarfa' PP#32164</t>
  </si>
  <si>
    <t>Pink to Blue bloom</t>
  </si>
  <si>
    <t>12-15" (8/1) *aluminum sulfate</t>
  </si>
  <si>
    <t>Hyd. macrophylla 'Hortmagitri' PP#30044</t>
  </si>
  <si>
    <t>Dark Cherry-Red bloom</t>
  </si>
  <si>
    <t>Hyd. macrophylla 'Hydrsrpdow' PP#29836P2</t>
  </si>
  <si>
    <t>10-12"x15"</t>
  </si>
  <si>
    <t>Qty 30, 1ft HT, 1.5ft Spr</t>
  </si>
  <si>
    <t>Hyd. macrophylla 'Lady In Red' PP#15175</t>
  </si>
  <si>
    <t>Lady In Red Bigleaf Hydrangea</t>
  </si>
  <si>
    <t>Qty 30, 1.25ft HT, 1.5ft Spr</t>
  </si>
  <si>
    <t>Qty 7 Nice, 2ft HT, 2.5ft Spr</t>
  </si>
  <si>
    <t>Hyd. macrophylla 'Lindsey Ann' PP#26249</t>
  </si>
  <si>
    <t>Pink to Violet to Blue bloom</t>
  </si>
  <si>
    <t>10-12"x12" (8/14)</t>
  </si>
  <si>
    <t>24-28" ht x 28-32" sp</t>
  </si>
  <si>
    <t>Hyd. macrophylla 'McKay' PP#28757</t>
  </si>
  <si>
    <t>Qty 3</t>
  </si>
  <si>
    <t>Hyd. macrophylla 'Penny Mac' PP#14527</t>
  </si>
  <si>
    <t>Penny Mac Bigleaf Hydrangea</t>
  </si>
  <si>
    <t>Qty 100 Nice, 1.5ft HT, 2ft Spr</t>
  </si>
  <si>
    <t>18-24" x 20-24" | few blooms</t>
  </si>
  <si>
    <t xml:space="preserve">22-26" ht x 28-34" sp </t>
  </si>
  <si>
    <t>Hyd. macrophylla 'PIIHM-1' PP#20176</t>
  </si>
  <si>
    <t>Hyd. macrophylla 'PIIHM-II' PP#25566</t>
  </si>
  <si>
    <t>15" (8/14)</t>
  </si>
  <si>
    <t>Hyd. macrophylla 'QUFU' PP#26426</t>
  </si>
  <si>
    <t>Bicolor Pink &amp; Green bloom</t>
  </si>
  <si>
    <t>Hyd. paniculata 'Bailpanone' PP#32549</t>
  </si>
  <si>
    <t>Little Hottie Hydrangea</t>
  </si>
  <si>
    <t>White bloom ages to Pink</t>
  </si>
  <si>
    <t>Ht 17-18" x Wd 18-19"; Very nice (Next crop September)</t>
  </si>
  <si>
    <t>Ht. 28" x Wd. 24"; Nice; Full</t>
  </si>
  <si>
    <t>Little Hottie has Green foliage. All "Hardy" Hydrangea have cone-shaped flowers on new wood. Flowers change color with age. Extremely cold-hardy</t>
  </si>
  <si>
    <t>Hyd. paniculata 'Bokomabou' PPAF</t>
  </si>
  <si>
    <t>15-18", blooms (8/14)</t>
  </si>
  <si>
    <t>Hyd. paniculata 'Bokrathirteen' PP#21778</t>
  </si>
  <si>
    <t>Sweet Summer Hydrangea</t>
  </si>
  <si>
    <t>Sweet Summer has Green foliage. All "Hardy" Hydrangea have cone-shaped flowers on new wood. Flowers change color with age. Extremely cold-hardy</t>
  </si>
  <si>
    <t>Hyd. paniculata 'Bulk' PP#16812</t>
  </si>
  <si>
    <t>Tree Form; Ht 4.5'; Recently pruned; Good</t>
  </si>
  <si>
    <t>Tree Form; Overall Ht 5.5'; Canopy Spread 30-32"; NICE; Recently pruned</t>
  </si>
  <si>
    <t>6'ht x .75-1"c</t>
  </si>
  <si>
    <t>Hyd. paniculata 'Hpopr013' PP#27472</t>
  </si>
  <si>
    <t>Hyd. paniculata 'HYLV17522' PPAF</t>
  </si>
  <si>
    <t>White-Lime ages to Pink</t>
  </si>
  <si>
    <t>15-18"x15"</t>
  </si>
  <si>
    <t>Hyd. paniculata 'ILVOBO' PP#22782</t>
  </si>
  <si>
    <t>Qty 15 Cut back</t>
  </si>
  <si>
    <t>Hyd. paniculata 'Jane' PP#22330</t>
  </si>
  <si>
    <t>Lime Green ages to Pink</t>
  </si>
  <si>
    <t>15", blooms (8/14)</t>
  </si>
  <si>
    <t>15" x 18" | very nice | bud/bloom</t>
  </si>
  <si>
    <t>3' ht &amp; sp</t>
  </si>
  <si>
    <t>3-4' ht &amp; sp</t>
  </si>
  <si>
    <t>Hyd. paniculata 'Kolmakilima' PP#29853</t>
  </si>
  <si>
    <t>15-18" (8/14)</t>
  </si>
  <si>
    <t>Hyd. paniculata 'LeeP1' PP#28973</t>
  </si>
  <si>
    <t>pruned 9" (8/20)</t>
  </si>
  <si>
    <t>Hyd. paniculata 'Limelight' PP#12874</t>
  </si>
  <si>
    <t>Lime Green ages to White</t>
  </si>
  <si>
    <t>Qty 50, 2.5ft HT</t>
  </si>
  <si>
    <t>Ht 32"; Full</t>
  </si>
  <si>
    <t>Single Stem Tree Form, 5.5ft HT</t>
  </si>
  <si>
    <t>Multi-stem Tree Form; Ht 6.5-7'; Canopy spread 4'</t>
  </si>
  <si>
    <t>Hyd. paniculata 'Pan1782hydr' PP#35658</t>
  </si>
  <si>
    <t>Qty 100 compact Paniculata</t>
  </si>
  <si>
    <t>30" h | bud/bloom | strong stems</t>
  </si>
  <si>
    <t>Hyd. paniculata 'Renhy' PP#20670</t>
  </si>
  <si>
    <t>White ages to Pink-Red</t>
  </si>
  <si>
    <t>Qty 20, 3ft HT</t>
  </si>
  <si>
    <t>Ht 36-40"; Very full; Tight</t>
  </si>
  <si>
    <t>Tree Form Qty 3 , 3.5ft HT</t>
  </si>
  <si>
    <t>Hyd. paniculata 'SMHPFL' PP#25135</t>
  </si>
  <si>
    <t>Ht 32-34"; Very full; NICE</t>
  </si>
  <si>
    <t>Hyd. paniculata 'SMHPLQF' USPP 25,136</t>
  </si>
  <si>
    <t>20-24" x 20-24" | very nice | bud/bloom</t>
  </si>
  <si>
    <t>Hyd. paniculata 'SMNHPK' PP#32512</t>
  </si>
  <si>
    <t>22-26" x 24-26" sp</t>
  </si>
  <si>
    <t>Hyd. paniculata 'SMNHPM' PP#32513</t>
  </si>
  <si>
    <t>Hyd. paniculata 'SMNHPPH' PP#32511</t>
  </si>
  <si>
    <t>15-18" (8/1)</t>
  </si>
  <si>
    <t>30-34" ht x 34-36" sp</t>
  </si>
  <si>
    <t>6' ht x 1"C</t>
  </si>
  <si>
    <t>Hyd. quercifolia '1925querrep' PP#35796</t>
  </si>
  <si>
    <t>Hyd. quercifolia 'Alice'</t>
  </si>
  <si>
    <t>Alice Oakleaf Hydrangea</t>
  </si>
  <si>
    <t>Hyd. quercifolia 'Flemygea' PP#4458Exp.</t>
  </si>
  <si>
    <t>Snow Queen Oakleaf Hydrangea</t>
  </si>
  <si>
    <t>Hyd. quercifolia 'Oakann1588' PP#36030</t>
  </si>
  <si>
    <t>Hyd. quercifolia 'PIIHQ-I' PP#25319</t>
  </si>
  <si>
    <t>15-18" (7/24)</t>
  </si>
  <si>
    <t>Hyd. serrata 'JPD01' PP#33412</t>
  </si>
  <si>
    <t>Hot Pink to Purple bloom</t>
  </si>
  <si>
    <t>15" (8/1)</t>
  </si>
  <si>
    <t>Hyd. serrata 'MAKD' PP#24842</t>
  </si>
  <si>
    <t>18-20" x 24" | very nice | few blooms</t>
  </si>
  <si>
    <t>Hypericum frondosum 'Sunburst'</t>
  </si>
  <si>
    <t>Sunburst St. John's Wort</t>
  </si>
  <si>
    <t>12" x 12" | young crop | 12-15" x 12-15" | native cultivar</t>
  </si>
  <si>
    <t>Sunburst's large blooms look great against Blue-tinged Green foliage &amp; exfoliating Cinnamon-Brown bark</t>
  </si>
  <si>
    <t>Hypericum patalum 'Sungold'</t>
  </si>
  <si>
    <t>Sungold St. John's Wort</t>
  </si>
  <si>
    <t>Sungold has a profusion of flowers with prominent stamens that bloom over a long period, from summer into fall. Green foliage</t>
  </si>
  <si>
    <t>Ilex 'Cherry Bomb'</t>
  </si>
  <si>
    <t>Cherry Bomb Holly</t>
  </si>
  <si>
    <t>Ht 32-36" now; Very nice</t>
  </si>
  <si>
    <t>Ht 3.5-4'; Very Nice; Full; Good berry set</t>
  </si>
  <si>
    <t>New crop; Ht 4.5-5'; Conical shape; NICE</t>
  </si>
  <si>
    <t>Cherry Bomb best if kept pruned to about 5' tall. Abundant Red berries from fall through spring</t>
  </si>
  <si>
    <t>Ilex cornuta 'Burfordii'</t>
  </si>
  <si>
    <t>Burford Holly</t>
  </si>
  <si>
    <t>Qty 30 Tree Form Nice , 3.5-4ft HT</t>
  </si>
  <si>
    <t>Multi-stem Tree Form; Ht 5-5.5' now; Nice; Full (Next crop November)</t>
  </si>
  <si>
    <t>Multi-stem Tree Form; Ht 7.5' now - Great Structure; Canopy width 5'; Very nice</t>
  </si>
  <si>
    <t>Burford Holly has a heavy display of bright Red berries and ability to be shaped into hedges or small specimen trees</t>
  </si>
  <si>
    <t>Ilex cornuta 'Burfordii Nana'</t>
  </si>
  <si>
    <t>Dwarf Burford Holly</t>
  </si>
  <si>
    <t>Qty 200, 1.25-1.5ft HT</t>
  </si>
  <si>
    <t>15-18" x 12-15" | very nice</t>
  </si>
  <si>
    <t>Qty 400 nice , 2-2.5ft HT</t>
  </si>
  <si>
    <t>30-36" h</t>
  </si>
  <si>
    <t>Nice 300, 2.5ft HT, 3ft Spr</t>
  </si>
  <si>
    <t>Dwarf Burford springtime flower clusters are fragrant, somewhat showy. Self-pollinates for Bright Red berries in winter</t>
  </si>
  <si>
    <t>Ilex cornuta 'Carissa'</t>
  </si>
  <si>
    <t>Carissa Holly</t>
  </si>
  <si>
    <t>12-15"x15-18"</t>
  </si>
  <si>
    <t>8-10" x 15" | very nice</t>
  </si>
  <si>
    <t>Carissa are sharp. Use to keep kids &amp; pets out of an area. Fragrant, showy blooms are followed by Bright Red berries</t>
  </si>
  <si>
    <t>Ilex cornuta 'Needlepoint'</t>
  </si>
  <si>
    <t>Needlepoint Holly</t>
  </si>
  <si>
    <t>24-30" x 24" | very nice</t>
  </si>
  <si>
    <t>Qty 250, Nice, 2.5-3ft HT</t>
  </si>
  <si>
    <t>30-36” h | Very nice</t>
  </si>
  <si>
    <t>Qty 150 nice, 2.5-3ft HT</t>
  </si>
  <si>
    <t>NEw crop; Ht 42-46"; Full; NICE</t>
  </si>
  <si>
    <t>Ht 4' x Wd 36-38"; Look good</t>
  </si>
  <si>
    <t>Needlepoint is named for the prickly foliage, not the overall form. The most prolific berry producer. Self-pollinates</t>
  </si>
  <si>
    <t>Ilex crenata 'Compacta'</t>
  </si>
  <si>
    <t>Compacta Japanese Holly</t>
  </si>
  <si>
    <t>12" x 12" | great for pot ups</t>
  </si>
  <si>
    <t>Qty 500, 1.5-2ft Spr</t>
  </si>
  <si>
    <t>26-32" ht x 24-28" sp</t>
  </si>
  <si>
    <t>24" x 24" | very nice</t>
  </si>
  <si>
    <t>Qty 250 nice , 1.5-2ft HT, 2.5ft Spr</t>
  </si>
  <si>
    <t>24-30" x 30" | very nice</t>
  </si>
  <si>
    <t>10.left old crop, 200 new, 2ft HT, 2.5ft Spr</t>
  </si>
  <si>
    <t>Compacta is optimal in full sun, as a hedge or foundation plant. Good substitute for Boxwood</t>
  </si>
  <si>
    <t>Ilex crenata 'Drops of Gold' PP#14420</t>
  </si>
  <si>
    <t>Drops of Gold Holly</t>
  </si>
  <si>
    <t>Yellow+Green foliage</t>
  </si>
  <si>
    <t>Ht 21-22" x Wd 24-25"; NICE; Good gold color</t>
  </si>
  <si>
    <t>Drops of Gold has striking Golden-Yellow new foliage that provides a beautiful contrast to its Dark Green mature leaves</t>
  </si>
  <si>
    <t>Ilex crenata 'Excelsa Schwoebel'</t>
  </si>
  <si>
    <t>Excelsa Schwoebel Holly</t>
  </si>
  <si>
    <t>Excelsa Schwoebel is a vigorous, upright grower with a narrow, pyramidal form and small, glossy leaves</t>
  </si>
  <si>
    <t>Ilex crenata 'Golden Soft Touch'</t>
  </si>
  <si>
    <t>Golden Soft Touch Holly</t>
  </si>
  <si>
    <t>Green, Yellow edges</t>
  </si>
  <si>
    <t>15” | great color</t>
  </si>
  <si>
    <t>Golden Soft Touch foliage emerge Golden-Green. It is indeed soft to the touch. Not drought tolerant</t>
  </si>
  <si>
    <t>Ilex crenata 'Helleri'</t>
  </si>
  <si>
    <t>Helleri Holly</t>
  </si>
  <si>
    <t>10-12"x18-20" (8/14)</t>
  </si>
  <si>
    <t>15-18" w</t>
  </si>
  <si>
    <t>Helleri is naturally a nice shape, with no pruning. All female ~ requires a male for better blooms &amp; Black berries</t>
  </si>
  <si>
    <t>Ilex crenata 'Hoogendorn'</t>
  </si>
  <si>
    <t>Hoogendorn Holly</t>
  </si>
  <si>
    <t>10-12"x10" (8/1)</t>
  </si>
  <si>
    <t>Hoogendorn is a cold-hardy, fine-textured evergreen with graceful spreading form and glossy foliage</t>
  </si>
  <si>
    <t>Ilex crenata 'Shiro-fukurin'</t>
  </si>
  <si>
    <t>Snowflake Holly</t>
  </si>
  <si>
    <t>Dark Greem, White edge</t>
  </si>
  <si>
    <t>New crop; Conical pruned; Ht 28-32"; NICE</t>
  </si>
  <si>
    <t>Snowflake has striking variegated foliage with creamy white margins, glossy texture, and black fruit on pollinated female plants</t>
  </si>
  <si>
    <t>Ilex crenata 'Soft Touch'</t>
  </si>
  <si>
    <t>Soft Touch Holly</t>
  </si>
  <si>
    <t>Nice Qty 1000, 1-1.25ft Spr</t>
  </si>
  <si>
    <t>15" spread (8/1)</t>
  </si>
  <si>
    <t>150 Nice 24-26 in sprd</t>
  </si>
  <si>
    <t>15" x 24" | very nice</t>
  </si>
  <si>
    <t>Soft Touch is indeed soft to the touch. Deep green foliage with a silver mid-vein. Lustrous black berries in fall</t>
  </si>
  <si>
    <t>Ilex crenata 'Steeds'</t>
  </si>
  <si>
    <t>Steeds Holly</t>
  </si>
  <si>
    <t>30"</t>
  </si>
  <si>
    <t>22-24" ht x 12-15" sp</t>
  </si>
  <si>
    <t>24-30" h | pyramidal | very nice</t>
  </si>
  <si>
    <t>4.5-5' h | sheared pyramidally | very nice | 5.5' x 2.5' | unsheared</t>
  </si>
  <si>
    <t>4-5' ht x 3.5-4 sp</t>
  </si>
  <si>
    <t>Steeds is a dense, lustrous, upright pyramidal shrub that shears well. Tiny flowers produce showy black winter berries</t>
  </si>
  <si>
    <t>Ilex 'EN5' PPAF</t>
  </si>
  <si>
    <t>Ht 4.5-5'; Very full; NICE; Great new Holly</t>
  </si>
  <si>
    <t>Ilex 'EN-6' PPAF</t>
  </si>
  <si>
    <t>Dark Blue-Green</t>
  </si>
  <si>
    <t>Ht 4.5'; Very full; NICE</t>
  </si>
  <si>
    <t>Ilex 'EN-7' PPAF</t>
  </si>
  <si>
    <t>Ht 3.5-4';Very full</t>
  </si>
  <si>
    <t>Ilex glabra 'Shamrock'</t>
  </si>
  <si>
    <t>Shamrock Inkberry Holly</t>
  </si>
  <si>
    <t>20-24" ht x 15-18" sp</t>
  </si>
  <si>
    <t>36" h | thin on bottom</t>
  </si>
  <si>
    <t>Ilex glabra 'SMNIGAB17' PP#27554</t>
  </si>
  <si>
    <t>10" x 10-12"</t>
  </si>
  <si>
    <t>Ilex 'HL10-90' PP#14477</t>
  </si>
  <si>
    <t>Christmas Jewel Holly</t>
  </si>
  <si>
    <t>3.5-4' h</t>
  </si>
  <si>
    <t>Ht 30-32"; Sheared; Nice Conical Shape</t>
  </si>
  <si>
    <t>5-5.5' h | very nice</t>
  </si>
  <si>
    <t>Ht 4-4.5'; NICE; Good berry set (Next crop October 15th)</t>
  </si>
  <si>
    <t>5.5'6' h | very nice</t>
  </si>
  <si>
    <t>Christmas Jewel has painless blunt spines. Self-pollinating female produces large berries by Christmas</t>
  </si>
  <si>
    <t>Ilex integra x latifolia 'Screen Play' PP#27524</t>
  </si>
  <si>
    <t>30'×12'</t>
  </si>
  <si>
    <t>Green, Bronze tinge</t>
  </si>
  <si>
    <t>Ht 44-48" now; Full; VERY NICE</t>
  </si>
  <si>
    <t>Ilex 'Magden' PP#30451</t>
  </si>
  <si>
    <t>Golden Oakland Holly</t>
  </si>
  <si>
    <t>Green-Yellow variegated</t>
  </si>
  <si>
    <t>Ht 3-3.5'; Nice; Good Color</t>
  </si>
  <si>
    <t>Ht 5-5.5'; Great foliage; Very Nice; Sheared Full</t>
  </si>
  <si>
    <t>Ilex 'RutHol1' PP#23905</t>
  </si>
  <si>
    <t>12'×6'</t>
  </si>
  <si>
    <t>2-Ball Topiary; Ready Spring 2026</t>
  </si>
  <si>
    <t>Multi Stem Tree Form; Ht 6.5-7'; NICE</t>
  </si>
  <si>
    <t>Spiral; Ht 6-7'; Very Nice</t>
  </si>
  <si>
    <t>Ht 7-7.5'; Base width 4-5'; Nice</t>
  </si>
  <si>
    <t>Ilex verticillata 'Apollo'</t>
  </si>
  <si>
    <t>Apollo Winterberry Holly</t>
  </si>
  <si>
    <t>3' h | male pollinator | native cultivar</t>
  </si>
  <si>
    <t>Ilex verticillata 'Southern Gentleman'</t>
  </si>
  <si>
    <t>Southern Gentleman Winterberry Holly</t>
  </si>
  <si>
    <t>24" h | male pollinator | native cultivar</t>
  </si>
  <si>
    <t>24-28" ht x 18-24" sp</t>
  </si>
  <si>
    <t>Ilex verticillata 'Winter Red' PP#4146Exp.</t>
  </si>
  <si>
    <t>Winter Red Winterberry Holly</t>
  </si>
  <si>
    <t>20-24" h |female | native cultivar</t>
  </si>
  <si>
    <t>Ilex vomitoria 'Nana'</t>
  </si>
  <si>
    <t>Dwarf Yaupon Holly</t>
  </si>
  <si>
    <t>Ilex vomitoria 'Pendula'</t>
  </si>
  <si>
    <t>Weeping Yaupon Holly</t>
  </si>
  <si>
    <t>Bright Red berries</t>
  </si>
  <si>
    <t>Ht 5.5-6'; Staked; Leader tied; Very nice</t>
  </si>
  <si>
    <t>Ht 8' staked; Good leader; NICE</t>
  </si>
  <si>
    <t>Ilex vomitoria 'Schillings Dwarf'</t>
  </si>
  <si>
    <t>Schillings Dwarf Yaupon Holly</t>
  </si>
  <si>
    <t>8-10"x12-15" (8/1)</t>
  </si>
  <si>
    <t>8-10" x 18-20" | very nice | native cultivar</t>
  </si>
  <si>
    <t>20-24" w | very nice | native cultivar</t>
  </si>
  <si>
    <t>Illicium anisatum 'Murasaki-no-Sato' PP#26864</t>
  </si>
  <si>
    <t>7'×4'</t>
  </si>
  <si>
    <t>Forest Green &amp; Purple foliage</t>
  </si>
  <si>
    <t>Young new crop; Ht 11-12" x Wd 14-15"; Great red new growth</t>
  </si>
  <si>
    <t>Illicium 'Moonbeam'</t>
  </si>
  <si>
    <t>Moonbeam Anise Tree</t>
  </si>
  <si>
    <t>Ht 20-24" now; NICE</t>
  </si>
  <si>
    <t>Illicium 'NCIH1' PP#29939</t>
  </si>
  <si>
    <t>Scorpio Anise Tree</t>
  </si>
  <si>
    <t>Young 12-15in ht and sprd</t>
  </si>
  <si>
    <t>Illicium 'NCIH2' PP#29938</t>
  </si>
  <si>
    <t>New crop; Ht 13-14"; Good</t>
  </si>
  <si>
    <t>Illicium parviflorum</t>
  </si>
  <si>
    <t>Hardy Anise Tree</t>
  </si>
  <si>
    <t>24-28"</t>
  </si>
  <si>
    <t>Qty 200, 3ft HT</t>
  </si>
  <si>
    <t>5-5.5' ht x 3-3.5' sp</t>
  </si>
  <si>
    <t>Illicium parviflorum 'Florida Sunshine' PP#28887</t>
  </si>
  <si>
    <t>Florida Sunshine Anise Tree</t>
  </si>
  <si>
    <t>Chartreuse foliage</t>
  </si>
  <si>
    <t>Qty 50</t>
  </si>
  <si>
    <t>24-30" h</t>
  </si>
  <si>
    <t>2.5-3' ht &amp; sp</t>
  </si>
  <si>
    <t>Illicium 'Woodland Ruby'</t>
  </si>
  <si>
    <t>Woodland Ruby Anise Tree</t>
  </si>
  <si>
    <t>Purple-Red bloom</t>
  </si>
  <si>
    <t>New Young Crop; Ht 18"-20" now; Look Good; Still flushing</t>
  </si>
  <si>
    <t>15-18" x 15" | bud/bloom</t>
  </si>
  <si>
    <t>24" x 24" | bud/bloom</t>
  </si>
  <si>
    <t>Iris ensata 'Variegata'</t>
  </si>
  <si>
    <t>Variegated Japanese Iris</t>
  </si>
  <si>
    <t>Ht 20-28"; Full; Very nice</t>
  </si>
  <si>
    <t>Iris x robusta'Gerald Darby'</t>
  </si>
  <si>
    <t>Blue Flag Iris</t>
  </si>
  <si>
    <t>Itea virginica 'Henry's Garnet'</t>
  </si>
  <si>
    <t>Henry's Garnet Virginia Sweetspire</t>
  </si>
  <si>
    <t>6'×7'</t>
  </si>
  <si>
    <t>20-24" ht x 18-22" sp</t>
  </si>
  <si>
    <t>Itea virginica 'Sprich' PP#10988</t>
  </si>
  <si>
    <t>18-22" ht x 15-18" sp</t>
  </si>
  <si>
    <t>Jasminum nudiflorum</t>
  </si>
  <si>
    <t>Winter Jasmine</t>
  </si>
  <si>
    <t>18-24" ht &amp; sp</t>
  </si>
  <si>
    <t>Winter Jasmine is notable for its profusion unscented flowers that appear on its bare Green stems in late winter. Can be trailing vine with tying/support</t>
  </si>
  <si>
    <t>Juniperus × pfitzeriana 'Glauca'</t>
  </si>
  <si>
    <t>Blue Pfitzer Juniper</t>
  </si>
  <si>
    <t>Blue-Gray foliage</t>
  </si>
  <si>
    <t>Pom Pom; Ht 24-28" x Wd 4'; Low, wide spreading; 3-5 Pom Poms per plant; Nice</t>
  </si>
  <si>
    <t>Ht 34-36" x Wd 4-4.5'; Some scarring on trunk; Okay</t>
  </si>
  <si>
    <t>Blue Pfitzer has scale foliage that turns Plum-Purple in winter. Arching, layered habit. Sun/heat/drought tolerant</t>
  </si>
  <si>
    <t>Juniperus × pfitzeriana 'Mint Julep'</t>
  </si>
  <si>
    <t>Mint-Green foliage</t>
  </si>
  <si>
    <t>Pom Pom; Ht 46-48" x Wd 6.5-7' now; 7 Pom Poms per plant; Specimens</t>
  </si>
  <si>
    <t>Juniperus chinensis 'Angelica Blue'</t>
  </si>
  <si>
    <t>Angelica Blue Juniper</t>
  </si>
  <si>
    <t>24" w | great color | very nice</t>
  </si>
  <si>
    <t>Angelica Blue's vivid Steel-Blue foliage intensifies in fall. Arching branches. Exfoliating bark. Sun/heat/drought tolerant</t>
  </si>
  <si>
    <t>Juniperus chinensis 'Gold Lace' PP#8202Exp.</t>
  </si>
  <si>
    <t>Gold Lace Juniper</t>
  </si>
  <si>
    <t>Gold Lace fills a space with it's soft, lacy texture. Gets brighter Yellow in summer, then Golder in fall. Sun/heat/drought tolerant</t>
  </si>
  <si>
    <t>Juniperus chinensis 'San Jose'</t>
  </si>
  <si>
    <t>San Jose Juniper</t>
  </si>
  <si>
    <t>18"×8'</t>
  </si>
  <si>
    <t>Sage- to Blue-Green</t>
  </si>
  <si>
    <t>PomPom; Ht 32-33"; Very Nice</t>
  </si>
  <si>
    <t>San Jose foliage holds color and toughness in the hot &amp; dry. Attractive winter bronzing. Sun/heat/drought tolerant</t>
  </si>
  <si>
    <t>Juniperus chinensis 'Saybrook Gold' PP#5014Exp.</t>
  </si>
  <si>
    <t>Saybrook Gold Juniper</t>
  </si>
  <si>
    <t>15"x12-15"</t>
  </si>
  <si>
    <t>Saybrook Gold has a soft, lacy texture. Bright Yellow in summer, Bronzy fall/winter. Sun/heat/drought tolerant</t>
  </si>
  <si>
    <t>Juniperus chinensis var. sargentii</t>
  </si>
  <si>
    <t>Sargent's Juniper</t>
  </si>
  <si>
    <t>2'×10'</t>
  </si>
  <si>
    <t>Sargent’s sprawls into tough, erosion-controlling carpet. Aromatic, exfoliating bark. Winter bronzing. Sun/heat/drought tolerant</t>
  </si>
  <si>
    <t>Juniperus conferta 'All Gold'</t>
  </si>
  <si>
    <t>All Gold Juniper</t>
  </si>
  <si>
    <t>12"×8'</t>
  </si>
  <si>
    <t>Qty 2 Nice, 1.5ft Spr</t>
  </si>
  <si>
    <t>Staked; Ht 26-28" x Wd 24" now; Nice (Next crop November)</t>
  </si>
  <si>
    <t>All Gold's vibrant foliage that turns light Bronze in winter, with soft, flexible stems and exfoliating bark. Sun/heat/drought tolerant</t>
  </si>
  <si>
    <t>Juniperus conferta 'Blue Pacific'</t>
  </si>
  <si>
    <t>Blue Pacific Juniper</t>
  </si>
  <si>
    <t>24-28" sp</t>
  </si>
  <si>
    <t>Qty 50, 1-1.25ft Spr</t>
  </si>
  <si>
    <t>new crop = 15-18" w | older crop = 24" w</t>
  </si>
  <si>
    <t>Blue Pacific (AKA 'Shore Juniper') will grow on almost anything. Dense foliage is aromatic. Sun/heat/drought tolerant</t>
  </si>
  <si>
    <t>Juniperus conferta 'sPg-3-O16'</t>
  </si>
  <si>
    <t>Golden Pacific Juniper</t>
  </si>
  <si>
    <t>15"×8'</t>
  </si>
  <si>
    <t>Golden Pacific Juniper is a vigorous &amp; low-spreading with a soft, vivid foliage that intensifies with sun. Sun/heat/drought tolerant</t>
  </si>
  <si>
    <t>Juniperus horizontalis 'Bar Harbor'</t>
  </si>
  <si>
    <t>Bar Harbor Juniper</t>
  </si>
  <si>
    <t>Blue-Gray-Green foliage</t>
  </si>
  <si>
    <t>18-20" spread (8/1)</t>
  </si>
  <si>
    <t>Bar Harbor is a cold-hardy, mat-forming male. Soft foliage turns Purplish in winter. Sun/heat/drought tolerant</t>
  </si>
  <si>
    <t>Juniperus horizontalis 'Plumosa Compacta'</t>
  </si>
  <si>
    <t>Andorra Juniper</t>
  </si>
  <si>
    <t>18"×6'</t>
  </si>
  <si>
    <t>Andorra is compact &amp; finely textured with soft foliage that turns Plum-Purple in winter. Sun/heat/drought tolerant</t>
  </si>
  <si>
    <t>Juniperus horizontalis 'Wiltonii' PP#16607</t>
  </si>
  <si>
    <t>Blue Rug Juniper</t>
  </si>
  <si>
    <t>6"×8'</t>
  </si>
  <si>
    <t>Silver-Blue foliage</t>
  </si>
  <si>
    <t>Blue Rug spreads into a tight carpet that bronzes in winter. Bluish-Green-Black cones. All femaie. Sun/heat/drought tolerant</t>
  </si>
  <si>
    <t>Juniperus procumbens 'Nana'</t>
  </si>
  <si>
    <t>Dwarf Japanese Garden Juniper</t>
  </si>
  <si>
    <t>SALE, 20-24" spread (8/14)</t>
  </si>
  <si>
    <t>18-20" w | very nice</t>
  </si>
  <si>
    <t>Standard; Ht 30-32" x Wd 36"; Spread 36" Weeping down to ground; NICE (Next crop May 2026)</t>
  </si>
  <si>
    <t>Sculptured; Serpentine trunk with layered Pom Poms; Ht 3.5' now; SUPER NICE</t>
  </si>
  <si>
    <t>Dwarf Japanese Garden foliage emerges Green, then matures to Blue-Green. Purple winter tinge. Sun/heat/drought tolerant</t>
  </si>
  <si>
    <t>Juniperus squamata 'Blue Star'</t>
  </si>
  <si>
    <t>Blue Star Juniper</t>
  </si>
  <si>
    <t>STD (Top Grafted) Overall Ht 30-34" now; Clear Trunk to 18"; Top Width 20-22"; Very Nice</t>
  </si>
  <si>
    <t>STD (Top Grafted) Overall Ht 30-32" now; Clear Trunk to 12-14"; Top Width 28-30"; Very Nice (Next crop November)</t>
  </si>
  <si>
    <t>Blue Star Juniper features dense, star-shaped needles and striking foliage with scaly bark. Sun/heat/drought tolerant</t>
  </si>
  <si>
    <t>Juniperus virginiana 'Grey Owl'</t>
  </si>
  <si>
    <t>Grey Owl Juniper</t>
  </si>
  <si>
    <t>Silvery-Gray foliage</t>
  </si>
  <si>
    <t>12-15"x15-18" (7/31)</t>
  </si>
  <si>
    <t>Grey Owl is a female, producing blue berry-like cones. Arching branches of Silver-Gray foliage. Sun/heat/drought tolerant</t>
  </si>
  <si>
    <t>Juniperus x pfitzeriana 'Daub's Frosted'</t>
  </si>
  <si>
    <t>Daub's Frosted Juniper</t>
  </si>
  <si>
    <t>Blue-Green, Yellow tips</t>
  </si>
  <si>
    <t>Pom Pom; Ht 33-36" x Wd 40-42"; NICE</t>
  </si>
  <si>
    <t>Sculptured Serpentine Trunk with Pom Pom; New, Young Crop Ht 36-38" NICE (Next Crop May 2026)</t>
  </si>
  <si>
    <t>Daub’s Frosted creates a bright two-toned carpet—Gold-tipped over Blue-Green. Exfoliating bark. Sun/heat/drought tolerant</t>
  </si>
  <si>
    <t>Juniperus x pfitzeriana 'Sea Green'</t>
  </si>
  <si>
    <t>Sea Green Juniper</t>
  </si>
  <si>
    <t>Minty-Green foliage</t>
  </si>
  <si>
    <t>2-ball Topiary; Ht 46" now; Look Good</t>
  </si>
  <si>
    <t>New crop; Ht 28-36" x Spread 3.5-4'; 3-4 pompoms per plant; NICE</t>
  </si>
  <si>
    <t>LOW; New Crop; Ht 20-28" x Wd 4-4.5' now; 4-6 pom poms per plant; Very Nice</t>
  </si>
  <si>
    <t>Sea Green resembles waves, with fountain-like branches. Winter bronzing and Blue cones (on females). Sun/heat/drought tol.</t>
  </si>
  <si>
    <t>Lagerstroemia 'Autaugaville Purple'</t>
  </si>
  <si>
    <t>Autaugaville Purple Crape Myrtle</t>
  </si>
  <si>
    <t>Multi-stem; Ht 5.5-6'; Great Structure; Very nice</t>
  </si>
  <si>
    <t>Standard; Ht 7-7.5'; Very nice (Next crop September- 120)</t>
  </si>
  <si>
    <t>6-7' ht - 1"c multistem</t>
  </si>
  <si>
    <t>Autaugaville blooms all summer, turning to orange-red fall foliage</t>
  </si>
  <si>
    <t>Lagerstroemia 'BAILLAGONE' PP#30360</t>
  </si>
  <si>
    <t>24" h | bud/bloom</t>
  </si>
  <si>
    <t>3-4' h | bud/bloom | great color</t>
  </si>
  <si>
    <t>Lagerstroemia hybrid '1Li' PP#28065</t>
  </si>
  <si>
    <t>Ht 4.5-5' now; NICE; Full</t>
  </si>
  <si>
    <t>Shell Pink is a Black Diamond brand, named for the Dark Purple bloom, almost black foliage</t>
  </si>
  <si>
    <t>Lagerstroemia indica 'Catawba'</t>
  </si>
  <si>
    <t>Catawba Crape Myrtle</t>
  </si>
  <si>
    <t>Dark Purple bloom</t>
  </si>
  <si>
    <t>Qty 50, 3.5-4ft HT</t>
  </si>
  <si>
    <t>Fall 2025</t>
  </si>
  <si>
    <t>Catawba foliage is bright green, then turns to vibrant orange-red in fall. Multi-colored bark</t>
  </si>
  <si>
    <t>Lagerstroemia indica 'Miss Frances'</t>
  </si>
  <si>
    <t>Miss Frances Crape Myrtle</t>
  </si>
  <si>
    <t>Red bloom, Yellow center</t>
  </si>
  <si>
    <t>5-5.5' h</t>
  </si>
  <si>
    <t>Multi-stem; Ht 4.5-5'; Good structure; Good</t>
  </si>
  <si>
    <t>Multi-stem; Ht 6.5-7' now; Good Structure</t>
  </si>
  <si>
    <t>7-8' ht - 1-1.25"c  multistem</t>
  </si>
  <si>
    <t>Miss Frances blooms from June to August, then displays a nice maroon fall foliage</t>
  </si>
  <si>
    <t>Lagerstroemia indica 'Twilight'</t>
  </si>
  <si>
    <t>Twilight Crape Myrtle</t>
  </si>
  <si>
    <t>Qty 30, 6ft HT</t>
  </si>
  <si>
    <t>Qty 40, 5.5-6ft HT</t>
  </si>
  <si>
    <t>Qty 35, 5.5-6ft HT</t>
  </si>
  <si>
    <t>Twilight has the deepest purple bloom displays among crape myrtles. Exfoliating bark has patches of Cinnamon-Pink tones</t>
  </si>
  <si>
    <t>Lagerstroemia indica 'Whit II' PP#10296</t>
  </si>
  <si>
    <t>Top Grafted on 32" Std (Natchez Understock); Overall Ht 5-5.5'; NICE</t>
  </si>
  <si>
    <t>Dynamite looks like an explosion, with a little white mixed into the mainly red blooms</t>
  </si>
  <si>
    <t>Lagerstroemia indica 'Whit III' PP#10319</t>
  </si>
  <si>
    <t>Magenta Pink bloom</t>
  </si>
  <si>
    <t>Top Grafted on 32" STD (Natchez Understock) Overall Ht 5.5-6' now; Nice</t>
  </si>
  <si>
    <t>Standard (Top Grafted); Natchez Understock; Ht 7-7.5' now; Clear trunk to 32"; NICE</t>
  </si>
  <si>
    <t>Pink Velour foliage starts deep wine red, turns purplish-green, then orange-brown in fall. Grey-brown bark exfoliates</t>
  </si>
  <si>
    <t>Lagerstroemia indica 'Whit X' PP#22085</t>
  </si>
  <si>
    <t>Cherry-Red bloom</t>
  </si>
  <si>
    <t>Standard; Top Grafted on 32" Standard (Natchez Understock); Ht 5'; Nice</t>
  </si>
  <si>
    <t>Lagerstroemia indica x fauriei 'Acoma'</t>
  </si>
  <si>
    <t>Acoma Crape Myrtle</t>
  </si>
  <si>
    <t>Multi-stem; Ht 6'; Great Structure; NICE</t>
  </si>
  <si>
    <t>Qty 45, 4-4.5ft HT</t>
  </si>
  <si>
    <t>Acoma foliage is green, with red/orange highlights. Red/purple foliage in fall. Grey bark exfoliates</t>
  </si>
  <si>
    <t>Lagerstroemia indica x fauriei 'Biloxi'</t>
  </si>
  <si>
    <t>Biloxi Crape Myrtle</t>
  </si>
  <si>
    <t>Multi-stem; Ht 8.5-9'; Great Structure; NICE</t>
  </si>
  <si>
    <t>Standard; Ht 10' Cal 1.5-1.75"; NICE</t>
  </si>
  <si>
    <t>Standard; Ht 12-13'; Cal 2.25"; Branch height at 5'; NICE</t>
  </si>
  <si>
    <t>Biloxi has dark green foliage, emerging coppery-bronze in spring. Oval leaves turn orange in fall</t>
  </si>
  <si>
    <t>Lagerstroemia indica x fauriei 'Natchez'</t>
  </si>
  <si>
    <t>Natchez Crape Myrtle</t>
  </si>
  <si>
    <t>Qty 100, 3.5ft HT</t>
  </si>
  <si>
    <t>Multi, 8ft HT</t>
  </si>
  <si>
    <t>Multi-stem; Ht 7.5-8'; Very nice</t>
  </si>
  <si>
    <t>Standard; Overall Ht 8-8.5'; Clear trunk 4.5-5'; Cal 1.5-1.75"; NICE (Next crop October- 150)</t>
  </si>
  <si>
    <t>Qty 130, Multi, 8ft HT</t>
  </si>
  <si>
    <t>Multi-stem; Ht 8-8.5'; Great Structure; Very nice</t>
  </si>
  <si>
    <t>Standard; Overall Ht 8.5-9'; Branched at 4-4.5'; Cal 2-2.25"</t>
  </si>
  <si>
    <t>Natchez' cinnamon bark is considered the finest of the Crape Myrtles</t>
  </si>
  <si>
    <t>Lagerstroemia indica x fauriei 'Sioux'</t>
  </si>
  <si>
    <t>Sioux Crape Myrtle</t>
  </si>
  <si>
    <t>Dark Pink bloom</t>
  </si>
  <si>
    <t>Qty 45, Multi, 6.5-7.5ft HT</t>
  </si>
  <si>
    <t>8-10’ h | bud/bloom</t>
  </si>
  <si>
    <t>Qty 64, Multi, 6.5-7ft HT</t>
  </si>
  <si>
    <t>Sioux foliage emerges dark green, then turns to shades of red &amp; purple in fall. Bark exfoliates to dark brown</t>
  </si>
  <si>
    <t>Lagerstroemia indica x fauriei 'Tonto'</t>
  </si>
  <si>
    <t>Tonto Crape Myrtle</t>
  </si>
  <si>
    <t>Qty 50, 4-4.5ft HT</t>
  </si>
  <si>
    <t>7.5-9’ h | bud/bloom</t>
  </si>
  <si>
    <t>Multi-stem; Ht 6.5-7'; NICE structure</t>
  </si>
  <si>
    <t>Standard; Ht 6.5-7' now; Very nice; Good tops</t>
  </si>
  <si>
    <t>Spring 2026, Multi</t>
  </si>
  <si>
    <t>Tonto foliage is dark green, dull red to purple in fall. Beige bark exfoliates</t>
  </si>
  <si>
    <t>Lagerstroemia indica x fauriei 'Tuscarora'</t>
  </si>
  <si>
    <t>Tuscarora Crape Myrtle</t>
  </si>
  <si>
    <t>Watermelon Red bloom</t>
  </si>
  <si>
    <t>Qty 15, Multi, 7ft HT</t>
  </si>
  <si>
    <t>Qty 100, Multi, 7ft HT</t>
  </si>
  <si>
    <t>6.5-7.5' x 1/2"c</t>
  </si>
  <si>
    <t>Tuscarora has one of the longest blooming seasons of any crape myrtle. Grey bark</t>
  </si>
  <si>
    <t>Lagerstroemia indica x fauriel 'Muskogee'</t>
  </si>
  <si>
    <t>Muskogee Crape Myrtle</t>
  </si>
  <si>
    <t>qty 100, 3.5ft HT</t>
  </si>
  <si>
    <t>Multi-stem; New crop; Ht 7-7.5'; NICE</t>
  </si>
  <si>
    <t>8-9.5’ h | very nice | bud/bloom</t>
  </si>
  <si>
    <t>Standard; Ht 8'; Cal 1.5"; Nice; Clear trunk 4.5-5'</t>
  </si>
  <si>
    <t>Qty 140, Multi, 8ft HT</t>
  </si>
  <si>
    <t>Multi-stem; Ht 8.5-9' now; Nice; Great Structure</t>
  </si>
  <si>
    <t>12-14’ h | bud/bloom</t>
  </si>
  <si>
    <t>12-14’ h | single-stem | bud/bloom</t>
  </si>
  <si>
    <t>Muskogee &amp; Natchez are twins, with identical size, shape and bloom periods. Plant them together for a show</t>
  </si>
  <si>
    <t>Lagerstroemia 'JM1' PP#31585</t>
  </si>
  <si>
    <t>Colorama Scarlet Crape Myrtle</t>
  </si>
  <si>
    <t>Multi-stem; Ht 4.5-5'; Great structure; Very nice</t>
  </si>
  <si>
    <t>Multi-stem: Ht 6.5-7' Now; Heavy Structure; NICE</t>
  </si>
  <si>
    <t>8’ h | very nice | bud/bloom</t>
  </si>
  <si>
    <t>Standard; Ht 7-7.5'; Cal 1-1.25"; Very nice</t>
  </si>
  <si>
    <t>Qty 30, 5.5-6ft HT</t>
  </si>
  <si>
    <t>Multi-stem; Ht 14'; Combined Caliper 4.75-5"; NICE</t>
  </si>
  <si>
    <t>Colorama foliage emerges deep green, then turns to shades of orange &amp; red in fall. Bark exfoliates to grey-brown</t>
  </si>
  <si>
    <t>Lagerstroemia 'JM4' PP#31534</t>
  </si>
  <si>
    <t>Single Trunk STD; Ht 8-8.5'; Very nice</t>
  </si>
  <si>
    <t>Lagerstroemia 'PIILAG B5' PP#25476</t>
  </si>
  <si>
    <t>Scarlet Red bloom</t>
  </si>
  <si>
    <t>Standard; Top Graft on 32" STD (Natchez Understock); Overall Ht 5.5-6'; Nice</t>
  </si>
  <si>
    <t>Standard (Top Grafted; Natchez Understock); Ht 6.5'; Clear trunk to 3'; NICE</t>
  </si>
  <si>
    <t>Lagerstroemia 'PIILAG-V' PP#25925</t>
  </si>
  <si>
    <t>4' h | bud/bloom</t>
  </si>
  <si>
    <t>Midnight Magic has a purple-maroon foliage that really shows off the blooms</t>
  </si>
  <si>
    <t>Lagerstroemia 'Purple Magic' PP#28906</t>
  </si>
  <si>
    <t>Purple Magic Crape Myrtle</t>
  </si>
  <si>
    <t>18-20” h | bud/bloom</t>
  </si>
  <si>
    <t>Purple Magic foliage is a glossy red/green, turning orange/red in fall. Tan bark exfoliates</t>
  </si>
  <si>
    <t>Lagerstroemia 'Sarah's Favorite'</t>
  </si>
  <si>
    <t>Sarah's Favorite' Crape Myrtle</t>
  </si>
  <si>
    <t>Multi-stem; Ht 6' now; NICE</t>
  </si>
  <si>
    <t>Sarah's Favorite' Dark Green foliage turns Gold to Orange-Red in fall. Bark exfoliates to Tan-Cinnamon. Hardier than Natchez</t>
  </si>
  <si>
    <t>Lagerstroemia 'SMNLIJ' PP#33292</t>
  </si>
  <si>
    <t>20-24" h | bud/bloom</t>
  </si>
  <si>
    <t>Lantana camara 'Miss Huff'</t>
  </si>
  <si>
    <t>Miss Huff Lantana</t>
  </si>
  <si>
    <t>Orange-Pink-Yellow bloom</t>
  </si>
  <si>
    <t>20-22"ht  x 24-26"sp</t>
  </si>
  <si>
    <t>Miss Huff is the most cold hardy Lantana. May be evergreen in warm climates; an annual in cold climes</t>
  </si>
  <si>
    <t>Lespedeza thunbergii 'Little Volcano'</t>
  </si>
  <si>
    <t>Little Volcano Bush Clover</t>
  </si>
  <si>
    <t>Magenta-Purple bloom</t>
  </si>
  <si>
    <t>Little Volcano is a non-invasive, late-blooming shrub with cascading stems and vibrant pea-like flowers. Green foliage turns Yellow-Gold in fall</t>
  </si>
  <si>
    <t>Leucanthemum x superbum 'Whoops-a-Daisy' PP#27259</t>
  </si>
  <si>
    <t>Whoops-a-Daisy Shasta Daisy</t>
  </si>
  <si>
    <t>Ligustrum japonicum</t>
  </si>
  <si>
    <t>Wax Leaf Privet</t>
  </si>
  <si>
    <t>Qty 300, 2.5-3ft HT</t>
  </si>
  <si>
    <t>Qty 100 Nice, 3-3.5ft HT</t>
  </si>
  <si>
    <t>Wax Leaf grows fast, and a little wild-looking, but take a hedge well, like all Privet, Fragran flower over Dark Green foliage</t>
  </si>
  <si>
    <t>Ligustrum japonicum 'Coriaceum'</t>
  </si>
  <si>
    <t>Leatherleaf Privet</t>
  </si>
  <si>
    <t>Ht 42-46"; Full; Nice</t>
  </si>
  <si>
    <t>Leatherleaf has exceptionally thick, leathery, and concave Dark Green leaves. Dark berries. Slow grower</t>
  </si>
  <si>
    <t>Ligustrum japonicum 'Davidson Hardy'</t>
  </si>
  <si>
    <t>Davidson Hardy Privet</t>
  </si>
  <si>
    <t>Ht 5' x Wd 32-33"; Look good</t>
  </si>
  <si>
    <t>MSTF; Ht 5-5.5' now; Very nice and great structure!</t>
  </si>
  <si>
    <t>STD; Single Trunk; Ht 5-5.5' now; Look Good</t>
  </si>
  <si>
    <t>Davidson Hardy is a cold-hardy Privet selection known for its glossy Dark Green foliage, fragrant blooms, and tolerance to heat and drought</t>
  </si>
  <si>
    <t>Ligustrum japonicum 'East Bay'</t>
  </si>
  <si>
    <t>Eastbay Privet</t>
  </si>
  <si>
    <t>28-30"</t>
  </si>
  <si>
    <t>Eastbay fragrant blooms appear in May. Salt, sun, shade and hedging tolerant</t>
  </si>
  <si>
    <t>Ligustrum japonicum 'Howardi'</t>
  </si>
  <si>
    <t>Howard Privet</t>
  </si>
  <si>
    <t>Qty 20, 2ft HT</t>
  </si>
  <si>
    <t>Qty 20 , 3.5-4ft HT</t>
  </si>
  <si>
    <t>Howard foliage emerges Golden-Yellow, turning Dark Green with Yellow variegation. Bluish-Black berries</t>
  </si>
  <si>
    <t>Ligustrum japonicum 'Jack Frost'</t>
  </si>
  <si>
    <t>Jack Frost Privet</t>
  </si>
  <si>
    <t>Jack Frost Privet stands out with its variegated foliage—waxy Green leaves edged in Creamy White. Fragrant flowers</t>
  </si>
  <si>
    <t>Ligustrum japonicum 'Recurvifolium'</t>
  </si>
  <si>
    <t>Wavy Leaf Privet</t>
  </si>
  <si>
    <t>28-30" (8/1)</t>
  </si>
  <si>
    <t>30-36" x 18-20" | very nice</t>
  </si>
  <si>
    <t>30-36 ht x 20-24" sp</t>
  </si>
  <si>
    <t>36-40"</t>
  </si>
  <si>
    <t>Nice Qty 200</t>
  </si>
  <si>
    <t>Fall 2025, 4ft HT</t>
  </si>
  <si>
    <t>Multi-stem Tree Form; Ht 5-5.5' now; Full; Nice; Heavy Tops</t>
  </si>
  <si>
    <t>3-ball; Ht 5.5-6' now; NICE (Next crop Sept. 15th- 75)</t>
  </si>
  <si>
    <t>Standard; New young crop; Ht 5'; Canopy Wd 32-34"; 34" clear trunk; Very Nice</t>
  </si>
  <si>
    <t>Multi-stem Tree Form; Ready Sept.15th-October 1st</t>
  </si>
  <si>
    <t>Multi-stem Tree Form; Ht 5.5' x Canopy Wd 5'; Very nice; Sheared</t>
  </si>
  <si>
    <t>Wavy Leaf  named for distinctive rippled Dark Green folaige. Will grow fairly dense even in part shade. Fragrant bloom</t>
  </si>
  <si>
    <t>Ligustrum japonicum 'Rotundifolium'</t>
  </si>
  <si>
    <t>Curly Leaf Privet</t>
  </si>
  <si>
    <t>Qty 30, 1-1.25ft HT</t>
  </si>
  <si>
    <t>2-2.5ft HT</t>
  </si>
  <si>
    <t>Curly Leaf blooms late spring to early summer. Curled foliage resembles a Jade plant. Dark Green foliage</t>
  </si>
  <si>
    <t>Ligustrum sinense 'Sunshine' PP#20379</t>
  </si>
  <si>
    <t>Sunshine Privet</t>
  </si>
  <si>
    <t>8-10" (8/1)</t>
  </si>
  <si>
    <t>18" x 18-20" | great color | very nice</t>
  </si>
  <si>
    <t>4-4.5' h | single stem patio tree</t>
  </si>
  <si>
    <t>Sunshine looks great against black fences. Blue/black berries are relished by birds. May defoliate in cold winters</t>
  </si>
  <si>
    <t>Liquidambar styraciflua 'Slender Silhouette'</t>
  </si>
  <si>
    <t>Slender Silhouette Sweetgum</t>
  </si>
  <si>
    <t>50'×8'</t>
  </si>
  <si>
    <t>Ht 7-8' now; NICE</t>
  </si>
  <si>
    <t>Ht 12-14'; Cal. 1.5"; NICE (Next crop September 15th)</t>
  </si>
  <si>
    <t>Liriodendron tulipfera 'Little Volunteer' PP#19581</t>
  </si>
  <si>
    <t>Little Volunteer Tulip Tree</t>
  </si>
  <si>
    <t>Yellow bloom with Orange band</t>
  </si>
  <si>
    <t>Ht 8'; Cal .75"; Look Nice</t>
  </si>
  <si>
    <t>Ht 9-10'; Cal 1.5"; Look nice</t>
  </si>
  <si>
    <t>Liriodendron tulipifera</t>
  </si>
  <si>
    <t>Tulip Poplar</t>
  </si>
  <si>
    <t>85'×50'</t>
  </si>
  <si>
    <t>Ht 10'; Cal 1.5"; NICE</t>
  </si>
  <si>
    <t>1.5" cal. | 9-10' h | native</t>
  </si>
  <si>
    <t>Liriope muscari 'Big Blue'</t>
  </si>
  <si>
    <t>Big Blue Liriope</t>
  </si>
  <si>
    <t>Lilac-Purple bloom</t>
  </si>
  <si>
    <t>Liriope muscari 'Variegata'</t>
  </si>
  <si>
    <t>Variegated Liriope</t>
  </si>
  <si>
    <t>Violet-Purple bloom</t>
  </si>
  <si>
    <t>Qty 600</t>
  </si>
  <si>
    <t>fills pot | good color | bud/bloom</t>
  </si>
  <si>
    <t>Lonicera nitida 'Golden Glow' PP#26598</t>
  </si>
  <si>
    <t>12-15" spread</t>
  </si>
  <si>
    <t>Lonicera sempervirens 'Major Wheeler'</t>
  </si>
  <si>
    <t>Major Wheeler Coral Honeysuckle</t>
  </si>
  <si>
    <t>Coral-Red-Orange bloom</t>
  </si>
  <si>
    <t>Major Wheeler is a vine know for its extended flowering period of bright blooms, and its low-maintenance, non-seeding nature. Blue-Green foliage yellows in fall</t>
  </si>
  <si>
    <t>Loropetalum chin. var. r. 'Chang Nian Hong'</t>
  </si>
  <si>
    <t>Cherry Red bloom</t>
  </si>
  <si>
    <t>Ht 15-16" x Wd 17-18"; Nice</t>
  </si>
  <si>
    <t>Ever Red named for it's deepest Red bloom of all Loropetalum. Fringe-like flowers bloom periodically against Deep Purple foliage</t>
  </si>
  <si>
    <t>Loropetalum chin. var. r. 'Dark Fire'</t>
  </si>
  <si>
    <t>Dark Fire Loropetalum</t>
  </si>
  <si>
    <t>Reddish Pink bloom</t>
  </si>
  <si>
    <t>15" x 10" | good for pot up</t>
  </si>
  <si>
    <t>New crop; Ht 15-18"; Look good; Tops Pruned lightly</t>
  </si>
  <si>
    <t>18-20" x 20" | very nice</t>
  </si>
  <si>
    <t>Qty 200, 1.5-2ft HT</t>
  </si>
  <si>
    <t>18-24" x 30-36"</t>
  </si>
  <si>
    <t>Tree Form; Ht 6-6.5'; Very nice</t>
  </si>
  <si>
    <t>Dark Fire named for very Deep Plum-Dark Purple foliage. Fringe-like flowers bloom periodically after spring</t>
  </si>
  <si>
    <t>Loropetalum chin. var. r. 'Daruma'</t>
  </si>
  <si>
    <t>Daruma Loropetalum</t>
  </si>
  <si>
    <t>Neon-Pink bloom</t>
  </si>
  <si>
    <t>Patio Tree; Ht 20-22" now with canopy spread 21-22"; Okay</t>
  </si>
  <si>
    <t>Daruma is a compact sport of Ruby Loropetalum.  Deep Ruby-Red foliage. Fringe-like flowers bloom periodically after spring</t>
  </si>
  <si>
    <t>Loropetalum chin. var. r. 'Kurobijin' PP#23176</t>
  </si>
  <si>
    <t>Cerise Charm Loropetalum</t>
  </si>
  <si>
    <t>Pinkish-Red bloom</t>
  </si>
  <si>
    <t>Ht 19-20" x Wd 24-26"; Very nice</t>
  </si>
  <si>
    <t>Cerise Charm has Deep Plum-colored foliage. Fringe-like flowers bloom periodically after spring</t>
  </si>
  <si>
    <t>Loropetalum chin. var. r. 'PIILC-I'  PP#25534</t>
  </si>
  <si>
    <t>10"x15-18" (8/14)</t>
  </si>
  <si>
    <t>10"x12-15"</t>
  </si>
  <si>
    <t>Loropetalum chin. var. r. 'PIILC-III' PP#25471</t>
  </si>
  <si>
    <t>18-20" w | nice</t>
  </si>
  <si>
    <t>Ht 18-20" x Wd 20-22"; Look good</t>
  </si>
  <si>
    <t>Purple Daydream has Deep Burgundy-Purple foliage. Fringe-like flowers bloom periodically after spring</t>
  </si>
  <si>
    <t>Loropetalum chin. var. r. 'Plum Gorgeous' PPAF</t>
  </si>
  <si>
    <t>Deep Plum-Purple bloom</t>
  </si>
  <si>
    <t>10-12"x12" (8/1)</t>
  </si>
  <si>
    <t>Loropetalum chin. var. r. 'Ruby'</t>
  </si>
  <si>
    <t>Ruby Loropetalum</t>
  </si>
  <si>
    <t>Ruby has foliage that shifts from Ruby-Red to Bronze-Green. Fringe-like flowers bloom periodically after spring</t>
  </si>
  <si>
    <t>Loropetalum chin. var. r. 'Shang-hi' PP#18331</t>
  </si>
  <si>
    <t>20-24"x15"</t>
  </si>
  <si>
    <t>15-18"x15-18", inconsistent (8/1)</t>
  </si>
  <si>
    <t>Ht 13-15" x Wd 16-18"; Very nice (Southern Living branded pot)</t>
  </si>
  <si>
    <t>Lysimachia alfredii 'Night Light' PP#33931</t>
  </si>
  <si>
    <t>Night Light Moneywort</t>
  </si>
  <si>
    <t>10"×24"</t>
  </si>
  <si>
    <t>Green-Purple-Silver foliage</t>
  </si>
  <si>
    <t>Lysimachia nummularia 'Aurea'</t>
  </si>
  <si>
    <t>Creeping Jenny</t>
  </si>
  <si>
    <t>9"×48"</t>
  </si>
  <si>
    <t>Magnolia 'Betty'</t>
  </si>
  <si>
    <t>Betty Magnolia</t>
  </si>
  <si>
    <t>3-3.5’ x 2’</t>
  </si>
  <si>
    <t>5.5-6' h</t>
  </si>
  <si>
    <t>Betty has large cup-like flowers, up to 8" across. Part of 'Little Girl' series, for compact size and later blooming</t>
  </si>
  <si>
    <t>Magnolia 'Blushing Belle'</t>
  </si>
  <si>
    <t>Blushing Belle Magnolia</t>
  </si>
  <si>
    <t>Blushing Belle has very large, fragrant flowers that bloom later, after the frost</t>
  </si>
  <si>
    <t>Magnolia 'Butterflies' PP#7456Exp.</t>
  </si>
  <si>
    <t>Butterflies Magnolia</t>
  </si>
  <si>
    <t>Ht 5.5-6' now; Very nice</t>
  </si>
  <si>
    <t>Ht 6'-7' now; Very Nice</t>
  </si>
  <si>
    <t>Butterflies named for strong upright bloom that truly resembles butterflies. Frangrant blooms are excellent color</t>
  </si>
  <si>
    <t>Magnolia 'Galaxy'</t>
  </si>
  <si>
    <t>Galaxy Magnolia</t>
  </si>
  <si>
    <t>Single Trunk; Ht 6.5-7.5' now</t>
  </si>
  <si>
    <t>Single Trunk; Ht 7'; Nice</t>
  </si>
  <si>
    <t>Single Trunk; Ht 8.5-9'; Cal 1.25-1.5"; Nice</t>
  </si>
  <si>
    <t>Galaxy blooms mid-spring, on otherwise bare branches. Fragrant</t>
  </si>
  <si>
    <t>Magnolia 'Genie' PP#20748</t>
  </si>
  <si>
    <t>Genie Magnolia</t>
  </si>
  <si>
    <t>13'×6'</t>
  </si>
  <si>
    <t>Dark Burgundy-Purple</t>
  </si>
  <si>
    <t>Ht 4.5-5'; Nice (Next Crop October)</t>
  </si>
  <si>
    <t>Genie known for incredible dark tulip-shaped flowers. Likely rebloomer, with good cold hardiness</t>
  </si>
  <si>
    <t>Magnolia 'Gold Star'</t>
  </si>
  <si>
    <t>Gold Star Magnolia</t>
  </si>
  <si>
    <t>Pale Yellow bloom</t>
  </si>
  <si>
    <t>Gold Star is fast growing, with a unifom pyramidal habit. Fragrant flowers are quite beautiful</t>
  </si>
  <si>
    <t>Magnolia liliiflora 'Jane'</t>
  </si>
  <si>
    <t>Jane Magnolia</t>
  </si>
  <si>
    <t>Single Stem Tree Form; New Crop; Ht 5.5' now; Nice</t>
  </si>
  <si>
    <t>Ht 5-5.5' now; Look good; Full</t>
  </si>
  <si>
    <t>Jane is one of the 8 'Little Girl' Magnolias developed in the 1950s to bloom later in season, avoiding frost damage</t>
  </si>
  <si>
    <t>Magnolia 'NCMX1' PP#29218</t>
  </si>
  <si>
    <t>Ht 6-7'; Nice (Fragrant Flowers)</t>
  </si>
  <si>
    <t>Ht 8-9' now; Nice</t>
  </si>
  <si>
    <t>Magnolia 'Shirazz'</t>
  </si>
  <si>
    <t>Shirazz Magnolia</t>
  </si>
  <si>
    <t>Shirazz known for it's early-season, incredibly deep, rich Burgundy-Purple blooms. Petals are broad &amp; glossy, with light Pink-White interiors</t>
  </si>
  <si>
    <t>Magnolia sieboldii</t>
  </si>
  <si>
    <t>Oyama Magnolia</t>
  </si>
  <si>
    <t>White bloom, Crimson center</t>
  </si>
  <si>
    <t>Magnolia sieboldii 'Colossus'</t>
  </si>
  <si>
    <t>Colossus Oyama Magnolia</t>
  </si>
  <si>
    <t>White bloom, Red-Pink eye</t>
  </si>
  <si>
    <t>"New" New crop; Ht 4.5'-5'; Nice</t>
  </si>
  <si>
    <t>Magnolia stellata 'Royal Star'</t>
  </si>
  <si>
    <t>Royal Star Magnolia</t>
  </si>
  <si>
    <t>Ht 3.5-4'; NICE</t>
  </si>
  <si>
    <t>Single Trunk Tree Form; New crop; Ht 5-5.5' now; NICE</t>
  </si>
  <si>
    <t>Royal Star has slightly larger and showier flowers than Star Magnolia. Fragrant blooms 2 weeks later, to avoid frost</t>
  </si>
  <si>
    <t>Magnolia 'Sunsation'</t>
  </si>
  <si>
    <t>Sunsation Magnolia</t>
  </si>
  <si>
    <t>Yellow, Rosey at base</t>
  </si>
  <si>
    <t>Ht 4'-5'; Nice</t>
  </si>
  <si>
    <t>Sunsation boasts fragrant, upward-facing flowers, blooming reliably later in spring. Foliage turns Yellow in fall</t>
  </si>
  <si>
    <t>Magnolia 'Tinkerbell'</t>
  </si>
  <si>
    <t>Tinkerbell Magnolia</t>
  </si>
  <si>
    <t>Dark Magenta bloom</t>
  </si>
  <si>
    <t>Ready April/May 2026</t>
  </si>
  <si>
    <t>Tinkerbell features tulip-shaped, fragrant Magenta blooms with Pale Pink centers in early spring, then reblooms sporadically</t>
  </si>
  <si>
    <t>Magnolia virginiana</t>
  </si>
  <si>
    <t>Sweetbay Magnolia</t>
  </si>
  <si>
    <t>7-8' ht x 4-5' sp</t>
  </si>
  <si>
    <t>Magnolia virginiana 'Jim Wilson' PP#12065</t>
  </si>
  <si>
    <t>Moonglow Magnolia</t>
  </si>
  <si>
    <t>New crop; Single Stem; Ht 6'; Nice</t>
  </si>
  <si>
    <t>Multi-stem; Ht 5.5-6.5' now; Very Nice</t>
  </si>
  <si>
    <t>Single stem: Ht 8-8.5'; Cal 1-1.25"; NICE</t>
  </si>
  <si>
    <t>Multi-stem; Ready June 2026</t>
  </si>
  <si>
    <t>Magnolia 'Vulcan'</t>
  </si>
  <si>
    <t>Vulcan Magnolia</t>
  </si>
  <si>
    <t>Magenta-Ruby Red</t>
  </si>
  <si>
    <t>Ht 7-7.5' now; Nice</t>
  </si>
  <si>
    <t>Vulcan known for massive fragrant blooms up to 12″ across. Golden-Yellow fall foliage</t>
  </si>
  <si>
    <t>Magnolia x brooklynensis 'Judy Zuk'</t>
  </si>
  <si>
    <t>Judy Zuk Magnolia</t>
  </si>
  <si>
    <t>Yellow-Apricot-Purple</t>
  </si>
  <si>
    <t>1.5-1.75" cal | 9-10' h | very nice</t>
  </si>
  <si>
    <t>Ht 9'; Cal 1.75"; Very Nice (Next Crop June 2026)</t>
  </si>
  <si>
    <t>Judy Zuk noted for it's truly unique and exotic flower coloration, giving it a real tropical feel</t>
  </si>
  <si>
    <t>Magnolia x brooklynensis 'Lois'</t>
  </si>
  <si>
    <t>Lois Magnolia</t>
  </si>
  <si>
    <t>Ht 4.5'+; Very Nice</t>
  </si>
  <si>
    <t>Ht 6-7'; Very nice</t>
  </si>
  <si>
    <t>Lois grown for beautiful, clear Yellow flowers. Late blooming, to avoid frost</t>
  </si>
  <si>
    <t>Magnolia x brooklynensis 'Yellow Bird'</t>
  </si>
  <si>
    <t>Yellow Bird Magnolia</t>
  </si>
  <si>
    <t>Canary-Yellow bloom</t>
  </si>
  <si>
    <t>Yellow Bird dazzles in late spring with fragrant goblet-shaped yellow blossoms that open with the foliage</t>
  </si>
  <si>
    <t>Magnolia x figo 'Serendipity'</t>
  </si>
  <si>
    <t>Serendipity Magnolia</t>
  </si>
  <si>
    <t>30-36" h | JCRA Choice Plant | very nice | few blooms</t>
  </si>
  <si>
    <t>Ht 3.5-4' x Wd 24-28" now; Nice; Look good</t>
  </si>
  <si>
    <t>4-4.5' h | very nice | JCRA Choice Plant | few blooms</t>
  </si>
  <si>
    <t>Tree Form; Ht 5-5.5'; Very nice</t>
  </si>
  <si>
    <t>5-5.5' tall | very nice | JCRA Choice Plant | few blooms</t>
  </si>
  <si>
    <t>5' ht x 3-4' sp</t>
  </si>
  <si>
    <t>Ht 4'-4.5'; Look Nice</t>
  </si>
  <si>
    <t>Tree Form; Ht 5.5-6'; NICE</t>
  </si>
  <si>
    <t>MSTF; Ht 5'-5.5' now; Very Nice (Next crop November)</t>
  </si>
  <si>
    <t>5.5-6' x 3.5-4'  | JCRA Choice Plant | bud/bloom</t>
  </si>
  <si>
    <t>MSTF; Ht 5.5-6'; Very nice</t>
  </si>
  <si>
    <t>Serendipity &amp; Stellar Ruby formerly known as banana shrubs. Blooms smell like bananas, late spring to summer</t>
  </si>
  <si>
    <t>Magnolia x figo 'Stellar Ruby' PP#29778</t>
  </si>
  <si>
    <t>Stellar Ruby Magnolia</t>
  </si>
  <si>
    <t>Ruby bloom</t>
  </si>
  <si>
    <t>30" x 20" | very nice | few buds</t>
  </si>
  <si>
    <t>PATIO TREE; Overall Ht 4-4.5'; Clear trunk to 24"; Very nice</t>
  </si>
  <si>
    <t>4-5’ h | very nice, few buds</t>
  </si>
  <si>
    <t>Stellar Ruby is vigorous &amp; hardy. Blooms &amp; reblooms from early spring through summer</t>
  </si>
  <si>
    <t>Magnolia x loebneri 'Ballerina'</t>
  </si>
  <si>
    <t>Ballerina Magnolia</t>
  </si>
  <si>
    <t>White, Pink blush</t>
  </si>
  <si>
    <t>Ht 6-6.5'; Nice</t>
  </si>
  <si>
    <t>Ballerina blooms early in spring, before foliage, with notably large fragrant flowers. Cold hardy plant</t>
  </si>
  <si>
    <t>Magnolia x loebneri 'Wildcat'</t>
  </si>
  <si>
    <t>Wildcat Magnolia</t>
  </si>
  <si>
    <t>Ht 6-7'; Nice; Full; Limbed up MS Tree Form</t>
  </si>
  <si>
    <t>Wildcat Magnolia known for showstopper spring bloom of fragrant, fully double pom-pom blossoms, all atop a compact, gray-barked stem. Cold hardy</t>
  </si>
  <si>
    <t>Mahonia bealei</t>
  </si>
  <si>
    <t>Leatherleaf Mahonia</t>
  </si>
  <si>
    <t>22-26" ht &amp; sp</t>
  </si>
  <si>
    <t>Leatherleaf has fragrant late winter Yellow blooms and striking Blue-Black fruit clusters above holly-like foliage</t>
  </si>
  <si>
    <t>Mahonia confusa 'Narihira'</t>
  </si>
  <si>
    <t>Narihira Mahonia</t>
  </si>
  <si>
    <t>Ht 20-24"; NICE</t>
  </si>
  <si>
    <t>15-18" x 15" | very nice</t>
  </si>
  <si>
    <t>Narihira has elegant, bamboo-like foliage and fragrant Yellow winter flowers followed by Blue-Purple berries</t>
  </si>
  <si>
    <t>Mahonia eurybracteata 'Soft Caress' PP#20183</t>
  </si>
  <si>
    <t>Soft Caress Mahonia</t>
  </si>
  <si>
    <t>10-12" (8/1)</t>
  </si>
  <si>
    <t>15-18" ht x 18-24" sp</t>
  </si>
  <si>
    <t>Soft Caress named for being thornless. Bright Yellow late winter blooms, followed by Light Blue berries. Purple winter cast</t>
  </si>
  <si>
    <t>Mahonia hybrid 'NCMH2' PP#34443</t>
  </si>
  <si>
    <t>Groovy Glow Mahonia</t>
  </si>
  <si>
    <t>Young, 1-1.25ft Spr</t>
  </si>
  <si>
    <t>Navajo Princess Mangave</t>
  </si>
  <si>
    <t>15"×20"</t>
  </si>
  <si>
    <t>Navajo Princess forms a crisp, symmetrical rosette with wide Creamy White margins, Blue-Green centers, and Light Purple freckles</t>
  </si>
  <si>
    <t>Metasequoia glyptostroboides</t>
  </si>
  <si>
    <t>Dawn Redwood</t>
  </si>
  <si>
    <t>90'×25'</t>
  </si>
  <si>
    <t>Emerald-Green needles</t>
  </si>
  <si>
    <t>Ht 8-9'; Cal 1.25"</t>
  </si>
  <si>
    <t>9-10'ht - 2.5"C</t>
  </si>
  <si>
    <t>Metasequoia 'Ogon'</t>
  </si>
  <si>
    <t>Gold Rush Dawn Redwood</t>
  </si>
  <si>
    <t>70'×25'</t>
  </si>
  <si>
    <t>Golden-Yellow needles</t>
  </si>
  <si>
    <t>New Crop; Ht 8-9'; Cal 1.25"; Nice</t>
  </si>
  <si>
    <t>Ht 11'; Cal 2.25-2.75"; Good (Don't all match)</t>
  </si>
  <si>
    <t>Metasequoia 'Soul Fire' PP#32580</t>
  </si>
  <si>
    <t>Soul Fire Dawn Redwood</t>
  </si>
  <si>
    <t>18'×15'</t>
  </si>
  <si>
    <t>Chartreuse needles</t>
  </si>
  <si>
    <t>Ht 7'; NICE</t>
  </si>
  <si>
    <t>Metasequoia 'WAH-08AG' PP#29472</t>
  </si>
  <si>
    <t>Ht 7-8' now; Cal. 1-1.25"; Very Nice (Next crop October)</t>
  </si>
  <si>
    <t>8-9’ h | 1.5” cal | great color</t>
  </si>
  <si>
    <t>Ht 8-8.5' now; Cal 1.75"; Nice</t>
  </si>
  <si>
    <t>10-12’ h | 2-2.25” | great color</t>
  </si>
  <si>
    <t>Microbiota decussata</t>
  </si>
  <si>
    <t>Siberian Cypress</t>
  </si>
  <si>
    <t>18"×12"</t>
  </si>
  <si>
    <t>Standard; New crop; Overall Ht 26-28" with top spread 26-28"; NICE</t>
  </si>
  <si>
    <t>Siberian Cypress is notable for its graceful, feathery, fan-like evergreen foliage that turns a handsome Bronze-Purple in winter</t>
  </si>
  <si>
    <t>Miscanthus sinensis 'Adagio' PP#28849</t>
  </si>
  <si>
    <t>Dwarf Maiden Grass</t>
  </si>
  <si>
    <t>Silvery-Green blades &amp; White midrib</t>
  </si>
  <si>
    <t>Ht 23-24"</t>
  </si>
  <si>
    <t>Dwarf Maiden plumes emerge Bronze-Pink, then fade to White. Foliage turns Orange-Gold-Burgundy in fall</t>
  </si>
  <si>
    <t>Miscanthus sinensis 'Gracillimus'</t>
  </si>
  <si>
    <t>Gracillimus Maiden Grass</t>
  </si>
  <si>
    <t>Gracillimus' Coppery to Reddish-Bronze plumes appear late summer, then change to Silvery-Tan. Almost evergreen</t>
  </si>
  <si>
    <t>Miscanthus sinensis 'Little Zebra' PP#13008</t>
  </si>
  <si>
    <t>Little Zebra Grass</t>
  </si>
  <si>
    <t>Green blades &amp; Yellow bands</t>
  </si>
  <si>
    <t>Little Zebra named for it's zebra-like foliage. Reddish-Purple plumes fade to a Creamy-Tan in winter</t>
  </si>
  <si>
    <t>Miscanthus sinensis 'Morning Light'</t>
  </si>
  <si>
    <t>Morning Light Maiden Grass</t>
  </si>
  <si>
    <t>Silvery-Green &amp; White margins</t>
  </si>
  <si>
    <t>Morning Light has Coppery-Red plumes in late summer to fall, maturing to Gold-Orange, then Silvery-Tan in winter</t>
  </si>
  <si>
    <t>Miscanthus sinensis 'NCMS2B' PP#29460</t>
  </si>
  <si>
    <t>Bandwidth Maiden Grass</t>
  </si>
  <si>
    <t>Green blades &amp; Gold bands</t>
  </si>
  <si>
    <t>Bandwidth has Copper-Red plumes aging to Silvery-Tan, turning straw colored in winter. Bred at NCSU to be non-invasive</t>
  </si>
  <si>
    <t>Miscanthus sinensis 'Variegatus'</t>
  </si>
  <si>
    <t>Variegated Maiden Grass</t>
  </si>
  <si>
    <t>Green blades &amp; White stripes</t>
  </si>
  <si>
    <t>Qty 25, 3.5ft HT</t>
  </si>
  <si>
    <t>Variegated Maiden Grass has bold vertical striping. Reddish-Pink plumes mature to Silvery-White, then Tan-Beige in winter</t>
  </si>
  <si>
    <t>Monarda didyma 'Blue Moon' PP#29549</t>
  </si>
  <si>
    <t>Muhlenbergia capillaris</t>
  </si>
  <si>
    <t>Pink Muhly Grass</t>
  </si>
  <si>
    <t>Pink to Pinkish-Red bloom</t>
  </si>
  <si>
    <t>Pink Muhly has thread-like, Dark Blue-Green foliage, supporting the blooms from September to November</t>
  </si>
  <si>
    <t>Muhlenbergia capillaris 'White Cloud'</t>
  </si>
  <si>
    <t>White Cloud Muhly Grass</t>
  </si>
  <si>
    <t>Soft White bloom</t>
  </si>
  <si>
    <t>White Cloud named for Ivory plumes that 'float' above Blue-Green foliage, blooming slightly later than Pink Muhly</t>
  </si>
  <si>
    <t>Myrica cerifera 'Adcock's Dwarf'</t>
  </si>
  <si>
    <t>Adcock's Dwarf Wax Myrtle</t>
  </si>
  <si>
    <t>Myrica cerifera 'Strawberry Shortcake'</t>
  </si>
  <si>
    <t>Strawberry Shortcake Wax Myrtle</t>
  </si>
  <si>
    <t>Nandina domestica</t>
  </si>
  <si>
    <t>Nandina, Heavenly Bamboo</t>
  </si>
  <si>
    <t>30-36" ht &amp; sp</t>
  </si>
  <si>
    <t>Nandina has graceful, bamboo-like texture and brilliant Red berries that persist. Red-Burgundy winter foliage. May spread</t>
  </si>
  <si>
    <t>Nandina domestica 'AKA' PP#19916</t>
  </si>
  <si>
    <t>Soft Green foliage</t>
  </si>
  <si>
    <t>Blush Pink foliage emerges Bright Pink to Red, maturing to Soft Green with Pink highlights. Minimal berries, so less spreading issues</t>
  </si>
  <si>
    <t>Nandina domestica 'Alba'</t>
  </si>
  <si>
    <t>Yellow-Berried Nandina</t>
  </si>
  <si>
    <t>Bluish-Green foliage</t>
  </si>
  <si>
    <t>30-36"ht x 24-28" sp</t>
  </si>
  <si>
    <t>Yellow-Berried has White spring blooms, Red-Purple fall/winter foliage, and distinctive Golden berries in winter. May spread</t>
  </si>
  <si>
    <t>Nandina domestica 'Firepower' PP#20288</t>
  </si>
  <si>
    <t>Firepower Nandina</t>
  </si>
  <si>
    <t>12-15" x 12-15" | good color</t>
  </si>
  <si>
    <t>12-15" ht x 10-12" sp</t>
  </si>
  <si>
    <t>Firepower named for it's brilliant Red fall/winter foliage. Red-tinged summer foliage. Sterile, so no spreading issues</t>
  </si>
  <si>
    <t>Nandina domestica 'Gulf Stream' PP#5656Exp.</t>
  </si>
  <si>
    <t>Gulf Stream Nandina</t>
  </si>
  <si>
    <t>Qty 60 Nice, 1-1.25ft HT, 1.25ft Spr</t>
  </si>
  <si>
    <t>18” x 15” | thin</t>
  </si>
  <si>
    <t>Gulf Stream foliage emerges Bronze-Red. Vibrant Orange-Red in fall, then Brilliant Red, Bronze, and Purple in winter. Few berries, so leas spreading</t>
  </si>
  <si>
    <t>Nandina domestica 'Harbour Dwarf'</t>
  </si>
  <si>
    <t>Harbour Dwarf Nandina</t>
  </si>
  <si>
    <t>Qty 70, 1-1.5ft Spr</t>
  </si>
  <si>
    <t>15" spread</t>
  </si>
  <si>
    <t>Ht 14" x Wd 22-24"; Nice</t>
  </si>
  <si>
    <t>Harbour Dwarf foliage emerges with Bronzy-Red tints. Burgundy-Red fall color turns Deep Red to Maroon. Minimal fruiting, but will spread by rhizomes</t>
  </si>
  <si>
    <t>Nandina domestica 'Lemon Lime' PP#24749</t>
  </si>
  <si>
    <t>Lemon Lime Nandina</t>
  </si>
  <si>
    <t>12-15" (8/14)</t>
  </si>
  <si>
    <t>15" x 15" | good color | thin</t>
  </si>
  <si>
    <t>SALE 12-15"</t>
  </si>
  <si>
    <t>Lemon Lime is unique with it's bright Lime-Charteuse hue. It does not turn red in winter, as most Nandina do. Minimal berries, so less spreading</t>
  </si>
  <si>
    <t>Nandina domestica 'Monum'</t>
  </si>
  <si>
    <t>Plum Passion Nandina</t>
  </si>
  <si>
    <t>Purple-Plum foliage</t>
  </si>
  <si>
    <t>Ht 4.5-5' now; Look good</t>
  </si>
  <si>
    <t>Plum Passion known for deep, saturated color, that deepens to Rich Burgundy-Purple in fall/winter. Sparse berries for less spreading</t>
  </si>
  <si>
    <t>Nandina domestica 'Murasaki' PP#21391</t>
  </si>
  <si>
    <t>Green &amp; Red foliage</t>
  </si>
  <si>
    <t>15-18" spread (8/1)</t>
  </si>
  <si>
    <t>12"x15"</t>
  </si>
  <si>
    <t>Flirt foliage seems to 'wink' at you as the Bright Red topside interplays with the Green underside. Holds color in fall/winter. Sterile, but will spread by rhizomes</t>
  </si>
  <si>
    <t>Nandina domestica 'Seika' PP#21891</t>
  </si>
  <si>
    <t>Obsession foliage emerges with a Brilliant Red color and maintains its striking hue for a long duration. Red-Burgundy in fall/winter. Few berries, so less spreading</t>
  </si>
  <si>
    <t>Nassella tenuissima</t>
  </si>
  <si>
    <t>Mexican Feather Grass</t>
  </si>
  <si>
    <t>Yellow to Brown bloom</t>
  </si>
  <si>
    <t>Mexican Feather silvery thread-like foliage in late spring, turning golden brown toward fall</t>
  </si>
  <si>
    <t>Nepeta x faassenii 'Walker's Low'</t>
  </si>
  <si>
    <t>Walker's Low Catmint</t>
  </si>
  <si>
    <t>Violet Blue bloom</t>
  </si>
  <si>
    <t>Walker's Low is not quite as enticing as 'cataria' Catmint, but cats still crazy for the fragrance</t>
  </si>
  <si>
    <t>Nyssa sylvatica</t>
  </si>
  <si>
    <t>Black Tupelo</t>
  </si>
  <si>
    <t>native seedling cut-off | 5-6' h | .75" cal.</t>
  </si>
  <si>
    <t>Nyssa sylvatica 'NSUHH' PP#22951</t>
  </si>
  <si>
    <t>New crop; Ht 7-7.5' now; NICE</t>
  </si>
  <si>
    <t>Ht 9-10; Cal 1-1.25"; Very nice</t>
  </si>
  <si>
    <t>12-14' ht x 1.75"c</t>
  </si>
  <si>
    <t>Nyssa Sylvatica 'The James' PP#29473</t>
  </si>
  <si>
    <t>10-12'ht x -1.75-2"c</t>
  </si>
  <si>
    <t>Oenothera lindheimeri 'Baltinrose' PP#14635</t>
  </si>
  <si>
    <t>Ophiopogon japonicus 'Nana' PP#15627</t>
  </si>
  <si>
    <t>Dwarf Black Mondo Grass</t>
  </si>
  <si>
    <t>6"×6"</t>
  </si>
  <si>
    <t>Lavender-White</t>
  </si>
  <si>
    <t>Qty 2000</t>
  </si>
  <si>
    <t>young crop</t>
  </si>
  <si>
    <t>Ophiopogon planiscapus 'Nigrescens'</t>
  </si>
  <si>
    <t>Black Mondo Grass</t>
  </si>
  <si>
    <t>12"×15"</t>
  </si>
  <si>
    <t>Pink-Lilac bloom</t>
  </si>
  <si>
    <t>Ht 8-9"; Look good</t>
  </si>
  <si>
    <t>Osmanthus heterophyllus 'Goshiki'</t>
  </si>
  <si>
    <t>Goshiki Osmanthus</t>
  </si>
  <si>
    <t>Ht 12-13" x Wd 15-16"; Very nice (Next crop October 15th)</t>
  </si>
  <si>
    <t>28-30" ht x 18-24" sp</t>
  </si>
  <si>
    <t>3-3.5' ht x 26-30" sp</t>
  </si>
  <si>
    <t>Multi Stem Tree Form (Ht 6' now); NICE</t>
  </si>
  <si>
    <t>Goshiki is Japanese for '5 colors'. Foliage emerges pink/red, turns green, with white, gold and bronze variegation</t>
  </si>
  <si>
    <t>Osmanthus heterophyllus 'Gulftide'</t>
  </si>
  <si>
    <t>Gulftide Osmanthus</t>
  </si>
  <si>
    <t xml:space="preserve">5-6' ht x 18-24" sp </t>
  </si>
  <si>
    <t xml:space="preserve">5.5-6.5' ht x 3-4' sp </t>
  </si>
  <si>
    <t>Gulftide has dense, spiney foliage that screens well. Small flowers are hard to see in fall, but rather fragrant</t>
  </si>
  <si>
    <t>Osmanthus heterophyllus 'Kaori Hime' PP#12083</t>
  </si>
  <si>
    <t>Fragrant Princess Tea Olive</t>
  </si>
  <si>
    <t>Ht 16-18"; Full; NICE</t>
  </si>
  <si>
    <t>10-12" x 10-12" | very nice | JCRA Choice Plant</t>
  </si>
  <si>
    <t>JCRA Choice</t>
  </si>
  <si>
    <t>Ready May 15th-June 1st</t>
  </si>
  <si>
    <t>Fragrant Princess has 'intensly' fragrant flowers in the fall. Will flower even as a tiny plant</t>
  </si>
  <si>
    <t>Osmanthus heterophyllus 'Variegatus'</t>
  </si>
  <si>
    <t>Variegated False Holly</t>
  </si>
  <si>
    <t>Nice, Qty 15</t>
  </si>
  <si>
    <t>Variegated False Holly features holly-like evergreen foliage edged in Creamy White and intensely fragrant flowers in fall</t>
  </si>
  <si>
    <t>Osmunda cinnamomea</t>
  </si>
  <si>
    <t>Cinnamon Fern</t>
  </si>
  <si>
    <t>Paeonia 'Bartzella'</t>
  </si>
  <si>
    <t>Bartzella Itoh Peony</t>
  </si>
  <si>
    <t>Paeonia lactiflora 'Paladin'</t>
  </si>
  <si>
    <t>Paladin Peony</t>
  </si>
  <si>
    <t>Panicum virgatum 'Heavy Metal'</t>
  </si>
  <si>
    <t>Heavy Metal Switchgrass</t>
  </si>
  <si>
    <t>Metallic Blue-Green blades</t>
  </si>
  <si>
    <t>Panicum virgatum 'Northwind'</t>
  </si>
  <si>
    <t>Northwind Switchgrass</t>
  </si>
  <si>
    <t>Olive-Blue-Green blades</t>
  </si>
  <si>
    <t>Panicum virgatum 'Red Flame' PP#35213</t>
  </si>
  <si>
    <t>Red Flame Switchgrass</t>
  </si>
  <si>
    <t>Blue-Green blades</t>
  </si>
  <si>
    <t>Panicum virgatum 'Shenandoah'</t>
  </si>
  <si>
    <t>Shenandoah Switchgrass</t>
  </si>
  <si>
    <t>Steely blue-green blades, Red hue</t>
  </si>
  <si>
    <t>Parrotia persica</t>
  </si>
  <si>
    <t>Persian Parrotia</t>
  </si>
  <si>
    <t>Ht 9-9.5'; Cal 1-1.25"; NICE</t>
  </si>
  <si>
    <t>Persian Parrotia small flowers appear early. Foliage emerges Red-Purple, to summer Green, to vibrant Yellow-Orange-Burgundy in fall. Bark exfoliates nicely</t>
  </si>
  <si>
    <t>Parrotia persica 'JLColumnar' PP#24951</t>
  </si>
  <si>
    <t>Ht 9-9.5'; Cal 1.5" now; Nice</t>
  </si>
  <si>
    <t>Parrotia persica 'Pendula'</t>
  </si>
  <si>
    <t>Weeping Persian Parrotia</t>
  </si>
  <si>
    <t>Small Red blooms</t>
  </si>
  <si>
    <t>Ht 6-6.5'; Cal 2.75-3"; Nice</t>
  </si>
  <si>
    <t>Weeping Persian Parrotia known for late‑winter flowers, glowing fall foliage, and striking mosaic-patterned exfoliating bark</t>
  </si>
  <si>
    <t>Parrotia persica 'Vanessa'</t>
  </si>
  <si>
    <t>Vanessa Persian Parrotia</t>
  </si>
  <si>
    <t>28'×14'</t>
  </si>
  <si>
    <t>Ht 10'; Cal 1.5-1.75"; NICE (Next crop July 2026)</t>
  </si>
  <si>
    <t>Vanessa foliage emerges Reddish-Purple, then Green summer, then brilliant Yelow-Orange-Red in fall. Bark exfoliates Gray-Tan-Green</t>
  </si>
  <si>
    <t>Pennisetum alopecuroides 'Cassian'</t>
  </si>
  <si>
    <t>Cassian Fountain Grass</t>
  </si>
  <si>
    <t>Green blades</t>
  </si>
  <si>
    <t>Nice Qty 700</t>
  </si>
  <si>
    <t>Cassian Fountain has soft Creamy-Pink bottlebrush blooms. Gold-Red-Orange fall color turns Beige-Tan in winter</t>
  </si>
  <si>
    <t>Pennisetum alopecuroides 'Hameln'</t>
  </si>
  <si>
    <t>Dwarf Fountain Grass</t>
  </si>
  <si>
    <t>Dwarf Fountain has arching Creamy-Tan-Pinkish Bottlebrush plumes. Blades turn Yellow-Orange in fall, then Tan-Beige</t>
  </si>
  <si>
    <t>Pennisetum alopecuroides 'Little Bunny'</t>
  </si>
  <si>
    <t>Little Bunny Fountain Grass</t>
  </si>
  <si>
    <t>Little Bunny has early, fluffy, Pale White to Tan bottlebrush-like plumes. Blades turn Yellow-Orange, then Tan-Beige in winter</t>
  </si>
  <si>
    <t>Pennisetum orientale 'Karley Rose' PP#12909</t>
  </si>
  <si>
    <t>Karley Rose Fountain Grass</t>
  </si>
  <si>
    <t>Karley Rose known for it's stunning Rose-Pink plumes. Blades turns Yellow-Bronze in fall, then Tan-Beige for winter</t>
  </si>
  <si>
    <t>Phlox paniculata 'Glamour Girl' PP#25778</t>
  </si>
  <si>
    <t>Glamour Girl Phlox</t>
  </si>
  <si>
    <t>6"×24"</t>
  </si>
  <si>
    <t>Coral Pink bloom</t>
  </si>
  <si>
    <t>Phlox subulata 'Fort Hill'</t>
  </si>
  <si>
    <t>Fort Hill Creeping Phlox</t>
  </si>
  <si>
    <t>Fort Hill blooms from mid spring to early summer, atop bright green, needle-like foliage</t>
  </si>
  <si>
    <t>Phlox 'Violet Pinwheels' PP#25884</t>
  </si>
  <si>
    <t>Violet Pinwheels Creeping Phlox</t>
  </si>
  <si>
    <t>6"×36"</t>
  </si>
  <si>
    <t>Violet Pinwheels is notable for its vibrant, star-shaped flowers with distinct, "pinwheel" petals</t>
  </si>
  <si>
    <t>Phyllostachys aurea</t>
  </si>
  <si>
    <t>Golden Bamboo</t>
  </si>
  <si>
    <t>30'×∞</t>
  </si>
  <si>
    <t>Golden-Yellow culms</t>
  </si>
  <si>
    <t>Ht 6'; NICE</t>
  </si>
  <si>
    <t>Phyllostachys nigra</t>
  </si>
  <si>
    <t>Black Bamboo</t>
  </si>
  <si>
    <t>20'×∞</t>
  </si>
  <si>
    <t>Green culms age to Black</t>
  </si>
  <si>
    <t>Ht 7-8'; Nice; Winter Look</t>
  </si>
  <si>
    <t>Pieris japonica 'Planow'</t>
  </si>
  <si>
    <t>Mountain Snow Japanese Pieris</t>
  </si>
  <si>
    <t>Pieris japonica 'Temple Bells'</t>
  </si>
  <si>
    <t>Temple Bells Pieris</t>
  </si>
  <si>
    <t>Pinus mugo var. pumilio</t>
  </si>
  <si>
    <t>Mugo Pine</t>
  </si>
  <si>
    <t>5'×10'</t>
  </si>
  <si>
    <t>8-10"x12" (8/1)</t>
  </si>
  <si>
    <t>Mugo is very durable and tolerant of cold, wind, and urban pollution</t>
  </si>
  <si>
    <t>Pistacia chinensis</t>
  </si>
  <si>
    <t>Chinese Pistachio</t>
  </si>
  <si>
    <t>35'×35'</t>
  </si>
  <si>
    <t>1" cal. | 9-10' h</t>
  </si>
  <si>
    <t>Chinese Pistachio is gawky to start, but matures to a gorgeous, tough tree. Orange-Crimson fall. Tap root</t>
  </si>
  <si>
    <t>Pittosporum tobira 'CNI Three' PP#16188</t>
  </si>
  <si>
    <t>8-10" spread (8/1)</t>
  </si>
  <si>
    <t>Podocarpus macrophyllus 'Maki'</t>
  </si>
  <si>
    <t>Maki Podocarpus</t>
  </si>
  <si>
    <t>Maki is dense, upright, and drought tolerant. Needle-like foliage is fragrant when crushed. Smooth Gray-Brown bark lightly fissures with age</t>
  </si>
  <si>
    <t>Podocarpus macrophyllus 'Miu' PP#28582</t>
  </si>
  <si>
    <t>Green &amp; White foliage</t>
  </si>
  <si>
    <t>Poliothyrsis sinensis</t>
  </si>
  <si>
    <t>Chinese Pearlbloom</t>
  </si>
  <si>
    <t>Ht 9-9.5'; Cal 2"; Look Good</t>
  </si>
  <si>
    <t>Chinese Pearlbloom valued for it's late-summer blooms (resembling pearls), when other plants are done. Bark exfoliates</t>
  </si>
  <si>
    <t>Polygonatum odoratum var. pluriflorum 'Variegatum'</t>
  </si>
  <si>
    <t>Variegated Solomon's Seal</t>
  </si>
  <si>
    <t>Polystichum polyblepharum</t>
  </si>
  <si>
    <t>Tassel Fern</t>
  </si>
  <si>
    <t>Prunus cerasifera 'Krauter Vesuvius'</t>
  </si>
  <si>
    <t>Krauter Vesuvius Purple Leaf Plum</t>
  </si>
  <si>
    <t>Ht 9-10' now; Cal. 1.25"; Very NICE</t>
  </si>
  <si>
    <t>New crop; Ht 8-9'; Cal 1-1.25" now; Nice</t>
  </si>
  <si>
    <t>Ht 10-11' now; Cal 1.75"; Good</t>
  </si>
  <si>
    <t>Krauter Vesuvius is the most colorful of plums, with a Dark Purple bloom-black summer foliage. May produce small fruit</t>
  </si>
  <si>
    <t>Prunus 'First Lady'</t>
  </si>
  <si>
    <t>First Lady Flowering Cherry</t>
  </si>
  <si>
    <t>Rose Pink bloom</t>
  </si>
  <si>
    <t>9-10'ht 1-1.25"c</t>
  </si>
  <si>
    <t>First Lady has abundant flowers, cold-hardiness, and an upright, narrow form that fits anywhere</t>
  </si>
  <si>
    <t>Prunus glandulosa 'Rosea'</t>
  </si>
  <si>
    <t>Dwarf Flowering Almond</t>
  </si>
  <si>
    <t>Prunus laurocerasus 'Schipkaensis'</t>
  </si>
  <si>
    <t>Skip Laurel</t>
  </si>
  <si>
    <t>4-4.5' ht x 3-4' sp</t>
  </si>
  <si>
    <t>Ht 3.5-4' now; NICE</t>
  </si>
  <si>
    <t>SALE 5.5-6'</t>
  </si>
  <si>
    <t>Ht 5-6' now; Look good</t>
  </si>
  <si>
    <t>Prunus mume 'Kobai'</t>
  </si>
  <si>
    <t>Kobai Flowering Apricot</t>
  </si>
  <si>
    <t>Ht 7-7.5'; Very nice</t>
  </si>
  <si>
    <t>Ht 11-12'; Cal 3-3.5"; Nice</t>
  </si>
  <si>
    <t>Kobai's fragrant, long-lasting blooms appear as early as January, even in freezing weather. Fruit inedible</t>
  </si>
  <si>
    <t>Prunus mume 'Peggy Clarke'</t>
  </si>
  <si>
    <t>Peggy Clarke Apricot</t>
  </si>
  <si>
    <t>Ht 6'-6.5'; Nice</t>
  </si>
  <si>
    <t>Ht 7-8'; Cal 1"; Very nice; Full tops</t>
  </si>
  <si>
    <t>7-8' ht x 1-1.25"c</t>
  </si>
  <si>
    <t>Ht 11-12'; Cal 3.75-4"; Nice</t>
  </si>
  <si>
    <t>Prunus 'NCPH1' PP#27579</t>
  </si>
  <si>
    <t>12'×20'</t>
  </si>
  <si>
    <t>Ht 5-6'; Very nice</t>
  </si>
  <si>
    <t>Bottom bud; Ht 7-7.5'; Branching starts around 3'; Very nice</t>
  </si>
  <si>
    <t>Prunus persica 'Corinthian Pink'</t>
  </si>
  <si>
    <t>Corinthian Pink Flowering Peach</t>
  </si>
  <si>
    <t>Corinthian Pink has Purple foliage in a tight, upright columnr form. Non-edible fruit good for wildlife</t>
  </si>
  <si>
    <t>Prunus persica 'Corinthian White' PP#11493</t>
  </si>
  <si>
    <t>Corinthian White Flowering Peach</t>
  </si>
  <si>
    <t>Ht 7'-7.5' now; Nice</t>
  </si>
  <si>
    <t>Prunus persica 'NC Peach-6' PP#34261</t>
  </si>
  <si>
    <t>Patio Tree: 18" STD; Overall Ht 36; Very nice</t>
  </si>
  <si>
    <t>Ruby Ruffle developed at JC Raulston Arboretum. Burgundy foliage with wavy edges. Self-pollinating</t>
  </si>
  <si>
    <t>Prunus serrulata 'Snow Goose'</t>
  </si>
  <si>
    <t>Snow Goose Cherry</t>
  </si>
  <si>
    <t>Ht 8'; Looks Good; Not Heavy Caliper</t>
  </si>
  <si>
    <t>10-12'ht x 1.5"c</t>
  </si>
  <si>
    <t>Snow Goose bark is coppery red and peels. Dark foliage. Fast growing. Finest blooms in full sun</t>
  </si>
  <si>
    <t>Prunus subhirtella 'Pendula Plena Rosea'</t>
  </si>
  <si>
    <t>Double Pink Weeping Cherry</t>
  </si>
  <si>
    <t>Pink Double blooms later (escaping frost) and longer than other weeping Cherry</t>
  </si>
  <si>
    <t>Prunus x incamp 'Okame'</t>
  </si>
  <si>
    <t>Okame Cherry</t>
  </si>
  <si>
    <t>7-8' ht x 1.25"c</t>
  </si>
  <si>
    <t>10-12' ht x 1.5-1.75"c</t>
  </si>
  <si>
    <t>Okame bloom early spring. Mild fragrance. Nice winter structure. A Washington, D.C. tree (with 'Yoshino')</t>
  </si>
  <si>
    <t>Prunus x subhirtella 'Autumnalis'</t>
  </si>
  <si>
    <t>Autumnalis Higan Cherry</t>
  </si>
  <si>
    <t>Ht 8-9'; Cal 1-1.25"; Very NICE</t>
  </si>
  <si>
    <t>Ready October 15th-November 1st</t>
  </si>
  <si>
    <t>Autumnalis known for mutilple blooms - in spring, and in mild winters. Long-lived among Cheery, will weep with old age</t>
  </si>
  <si>
    <t>Prunus x subhirtella 'Snofozam' PP#6739Exp.</t>
  </si>
  <si>
    <t>Ht 6-6.5'; Very Nice</t>
  </si>
  <si>
    <t>Top Grafted at 48"; Overall Ht 5.5' now; Cal 1.25-1.5"; Nice</t>
  </si>
  <si>
    <t>Top Grafted at 60-64"; Ht 6-6.5'; Cal 1.25-1.5"; Nice</t>
  </si>
  <si>
    <t>Serpentine; Ht 5-5.5' x Wd 3-3.5'; Very nice</t>
  </si>
  <si>
    <t>Snow Fountains starts with fragrant flowers on pink buds, then dark green foliage, turning-yellow to orange in fall</t>
  </si>
  <si>
    <t>Prunus x yedoensis</t>
  </si>
  <si>
    <t>Yoshino Cherry</t>
  </si>
  <si>
    <t>White to Pink bloom</t>
  </si>
  <si>
    <t>New crop; Ht 6.57'; NICE</t>
  </si>
  <si>
    <t>Yoshino bloom early spring. Nice winter structure. Washington, D.C. tree (with 'Okame')</t>
  </si>
  <si>
    <t>Prunus x yedoensis 'Akebono'</t>
  </si>
  <si>
    <t>Akebono Yoshino Cherry</t>
  </si>
  <si>
    <t>35'×40'</t>
  </si>
  <si>
    <t>Soft Pink to White bloom</t>
  </si>
  <si>
    <t>10'ht 1-1.5"c</t>
  </si>
  <si>
    <t>Akebono known for especially nice bloom in early spring. Fast grower. Name means "Daybreak" in Japanese</t>
  </si>
  <si>
    <t>Pseudolarix amabilis</t>
  </si>
  <si>
    <t>Golden Larch</t>
  </si>
  <si>
    <t>Bright Green needles</t>
  </si>
  <si>
    <t>Ht 16-18'; Cal 5"; Nice</t>
  </si>
  <si>
    <t>Punica granatum</t>
  </si>
  <si>
    <t>Pomegranate</t>
  </si>
  <si>
    <t>Pomegrnate may stay evergreen in warmer climates. Self-pollinates, but better with cross-pollination</t>
  </si>
  <si>
    <t>Quercus alba</t>
  </si>
  <si>
    <t>White Oak</t>
  </si>
  <si>
    <t>90'×90'</t>
  </si>
  <si>
    <t>Ht 7-8'; Nice</t>
  </si>
  <si>
    <t>Ht 8.5-9'; Cal 1.25"; NICE (Next crop November)</t>
  </si>
  <si>
    <t>Ht 10-11'; Cal 2"; look good</t>
  </si>
  <si>
    <t>White Oak have very few surface roots, making it better for lawns (except for the acorns!). Long-lived, up to 500 years</t>
  </si>
  <si>
    <t>Quercus bicolor</t>
  </si>
  <si>
    <t>Swamp White Oak</t>
  </si>
  <si>
    <t>60'×60'</t>
  </si>
  <si>
    <t>Ht 8'; Nice</t>
  </si>
  <si>
    <t>Ht 9'; Cal 1.5"; NICE (Next crop October)</t>
  </si>
  <si>
    <t>Quercus lyrata</t>
  </si>
  <si>
    <t>Overcup Oak</t>
  </si>
  <si>
    <t>Ht 9-10'; Cal 1.5"; NICE</t>
  </si>
  <si>
    <t>10-12' ht x 1.75-2" c</t>
  </si>
  <si>
    <t>Quercus nuttallii</t>
  </si>
  <si>
    <t>Nuttall Oak</t>
  </si>
  <si>
    <t>Ht 8.5-9'; Cal 1.5"; Nice</t>
  </si>
  <si>
    <t>Ht 12'; cal 2-2.25"; NICE</t>
  </si>
  <si>
    <t>Quercus palustris</t>
  </si>
  <si>
    <t>Pin Oak</t>
  </si>
  <si>
    <t>8-9' ht x 1.5-1.75"c</t>
  </si>
  <si>
    <t>Quercus phellos</t>
  </si>
  <si>
    <t>Willow Oak</t>
  </si>
  <si>
    <t>Ht 8.5-9'; Cal 1.25-1.5"; Very nice</t>
  </si>
  <si>
    <t>10-12' ht x 1.75-2"c</t>
  </si>
  <si>
    <t>Ht 11-12'; Cal 2.25"; NICE</t>
  </si>
  <si>
    <t>Quercus rubra</t>
  </si>
  <si>
    <t>Northern Red Oak</t>
  </si>
  <si>
    <t>75'×60'</t>
  </si>
  <si>
    <t>Ht 10-11'; Cal 2.25''; Look Nice</t>
  </si>
  <si>
    <t>Northern Red Oak is a durable legacy tree, possibly living over 200 years. Fast growing, for an Oak. Red to Russet fall color</t>
  </si>
  <si>
    <t>Quercus shumardii</t>
  </si>
  <si>
    <t>Shumard Oak</t>
  </si>
  <si>
    <t>70'×60'</t>
  </si>
  <si>
    <t>Ht 9-10'; Cal 1.5-1.75"; Okay; Narrow habit</t>
  </si>
  <si>
    <t>Quercus x warei 'Long' PP#12673</t>
  </si>
  <si>
    <t>60'×25'</t>
  </si>
  <si>
    <t>Ht 9-10'; Cal 1-1.25"; Very Nice</t>
  </si>
  <si>
    <t>Ht 11-12'; Cal 2-2.25"; Very Nice</t>
  </si>
  <si>
    <t>Rhod. 'Carror'</t>
  </si>
  <si>
    <t>Carror Azalea</t>
  </si>
  <si>
    <t>rich Pink bloom</t>
  </si>
  <si>
    <t>Carror is a hardy and disease-resistant hybrid noted for its heavy spring bloom of semi-double flowers. Bred at NCSU</t>
  </si>
  <si>
    <t>Rhod. 'Charles Loomis'</t>
  </si>
  <si>
    <t>Charles Loomis' Rhododendron</t>
  </si>
  <si>
    <t>Pink buds open to White</t>
  </si>
  <si>
    <t>2.5-3.5' ht &amp; sp</t>
  </si>
  <si>
    <t>Charles Loomis' is exceptionally heat- and sun-tolerant, able to thrive in Southern climates</t>
  </si>
  <si>
    <t>Rhod. 'Delaware Valley White'</t>
  </si>
  <si>
    <t>Delaware Valley White Azalea</t>
  </si>
  <si>
    <t>pure White bloom</t>
  </si>
  <si>
    <t>Delaware Valley White Azalea offers pristine spring blooms and attractive green foliage</t>
  </si>
  <si>
    <t>4'×4.5'</t>
  </si>
  <si>
    <t>12-15"x15", blooms (8/14)</t>
  </si>
  <si>
    <t>All Encores are repeat bloomers, in spring, late summer, and fall. Dark Green foliage, with a Reddish-Bronzy winter cast</t>
  </si>
  <si>
    <t>3'×3.5'</t>
  </si>
  <si>
    <t>Reddish-Orange bloom</t>
  </si>
  <si>
    <t>10-12"x15", blooms (8/14)</t>
  </si>
  <si>
    <t>4.5'×4'</t>
  </si>
  <si>
    <t>Royal Purple bloom</t>
  </si>
  <si>
    <t>18-20", blooms (8/14)</t>
  </si>
  <si>
    <t>2.5'×3'</t>
  </si>
  <si>
    <t>Coral Pink, Fuchsia center</t>
  </si>
  <si>
    <t>Lavender-Purple bloom</t>
  </si>
  <si>
    <t>White +Purple stripes</t>
  </si>
  <si>
    <t>Pink +dark Pink freckles</t>
  </si>
  <si>
    <t>Pink +dark Pink throat</t>
  </si>
  <si>
    <t>10-12"x18" (8/1)</t>
  </si>
  <si>
    <t>pale Pink +dark Pink throat</t>
  </si>
  <si>
    <t>12-15"x10-12", good for landscape (4/17)</t>
  </si>
  <si>
    <t>3.5'×4'</t>
  </si>
  <si>
    <t>15"x12-15", blooms (8/1)</t>
  </si>
  <si>
    <t>pure White, Yellow throat</t>
  </si>
  <si>
    <t>10-12"x12-15" (8/1)</t>
  </si>
  <si>
    <t>White, rare Purple stripes</t>
  </si>
  <si>
    <t>15-18", blooms</t>
  </si>
  <si>
    <t>true Red bloom</t>
  </si>
  <si>
    <t>bright Red bloom</t>
  </si>
  <si>
    <t>half-rooted, 12-15"x10" (8/1)</t>
  </si>
  <si>
    <t>Coral-Pink, White margins</t>
  </si>
  <si>
    <t>12-15"x10-12" (8/1)</t>
  </si>
  <si>
    <t>Rhod. eriocarpum 'Gumpo Pink'</t>
  </si>
  <si>
    <t>Pink Gumpo Azalea</t>
  </si>
  <si>
    <t>light Pink bloom</t>
  </si>
  <si>
    <t>8-10"x15-18"</t>
  </si>
  <si>
    <t>12” x 24” | bud/bloom</t>
  </si>
  <si>
    <t>Pink (and White) Gumpo flower late spring. Foliage fills out first, often creating peek-a-boo blooms</t>
  </si>
  <si>
    <t>Rhod. eriocarpum 'Gumpo White'</t>
  </si>
  <si>
    <t>White Gumpo Azalea</t>
  </si>
  <si>
    <t>White (and Pink) Gumpo are semi-evergreen, so they may go bare in colder winters</t>
  </si>
  <si>
    <t>Rhod. 'George Tabor'</t>
  </si>
  <si>
    <t>George Tabor Azalea</t>
  </si>
  <si>
    <t>Lavender-Pink with a darker blotch</t>
  </si>
  <si>
    <t>George Tabor is a classic Southern Indica hybrid known for its prolific display of very large, showy flowers in the spring</t>
  </si>
  <si>
    <t>Rhod. 'Girard's Crimson'</t>
  </si>
  <si>
    <t>Girard's Crimson Azalea</t>
  </si>
  <si>
    <t>Crimson-Red, vivid Red blotch</t>
  </si>
  <si>
    <t>Girard's Crimson h glossy deep Green foliage with Copper-Red winter tones. Large spring flowers. Cold-hardy</t>
  </si>
  <si>
    <t>Rhod. 'Glacier'</t>
  </si>
  <si>
    <t>White, feint Green blotch</t>
  </si>
  <si>
    <t>Qty 75, 1.25-1.5ft HT</t>
  </si>
  <si>
    <t>Glacier Azalea has luminous spring blooms with a Green flush, tiered branching, and glossy foliage emerging Coppery-Bronze in spring</t>
  </si>
  <si>
    <t>Rhod. 'Hardy Gardenia'</t>
  </si>
  <si>
    <t>Hardy Gardenia Azalea</t>
  </si>
  <si>
    <t>Pure White, Chartreuse freckles</t>
  </si>
  <si>
    <t>15" x 18-20" | thin</t>
  </si>
  <si>
    <t>Hardy Gardenia named for fragrant semi-double White flowers that mimic true gardenias. Cold-hardy. Minimal pruning</t>
  </si>
  <si>
    <t>Rhod. indicum 'Coral Bells'</t>
  </si>
  <si>
    <t>Coral Bells Azalea</t>
  </si>
  <si>
    <t>Coral=Pink bloom</t>
  </si>
  <si>
    <t>15" x 18"</t>
  </si>
  <si>
    <t>Coral Bells named for trumpet-shaped flowers. Dense, mounding habit with Glossy Green foliage that turns Burgundy in fall</t>
  </si>
  <si>
    <t>Rhod. indicum 'Formosa'</t>
  </si>
  <si>
    <t>Formosa Azalea</t>
  </si>
  <si>
    <t>Lavender-Purple +darker blotch</t>
  </si>
  <si>
    <t>Qty 60</t>
  </si>
  <si>
    <t>18-20" x 20-24"</t>
  </si>
  <si>
    <t>Formosa widely planted in NC. Trumpet flowers. Vigorous, upright habit with coarse foliage and dense branching</t>
  </si>
  <si>
    <t>Rhod. 'Mangetsu'</t>
  </si>
  <si>
    <t>Mangetsu Azalea</t>
  </si>
  <si>
    <t>White bloom, Purple margins</t>
  </si>
  <si>
    <t>Mangetsu is a compact, tiered evergreen cultivar with delicate bi-color blooms that appear in spring and sporadically in fall</t>
  </si>
  <si>
    <t>Rhod. 'Mrs. G.G. Gerbing'</t>
  </si>
  <si>
    <t>GG Gerbing Azalea</t>
  </si>
  <si>
    <t>18-24" ht x 26-30"sp</t>
  </si>
  <si>
    <t>GG Gerbing Azalea is a vigorous, heat-tolerant Southern Indica cultivar known for its profuse blooms</t>
  </si>
  <si>
    <t>Rhod. 'NCRX2' PP#31898</t>
  </si>
  <si>
    <t>Black Hat named for its uniquely dark, Deep Purple foliage, contrasted by its very long lasting blooms</t>
  </si>
  <si>
    <t>Rhod. 'NCRX9' PP#35072</t>
  </si>
  <si>
    <t>Hot Pink bloom</t>
  </si>
  <si>
    <t>Perfecto Mundo Epic Pink will re-bloom reliably from spring until frost. Very cold-hardy and heat-tolerant</t>
  </si>
  <si>
    <t>Rhod. 'Pink Ruffles'</t>
  </si>
  <si>
    <t>Soft Pink, darker spotting</t>
  </si>
  <si>
    <t>15 -18 Qty 75 nice</t>
  </si>
  <si>
    <t>Pink Ruffles puts out ruffled spring flowers, plus a limited repeat in the fall. Upright habit</t>
  </si>
  <si>
    <t>Rhod. 'RLH2-3P8-2' PP#31116</t>
  </si>
  <si>
    <t>Blush Pink bloom</t>
  </si>
  <si>
    <t xml:space="preserve">18-22"  ht &amp; sp </t>
  </si>
  <si>
    <t>Rhod. satsuki 'Chinzan'</t>
  </si>
  <si>
    <t>Chinzan Azalea</t>
  </si>
  <si>
    <t>Salmon-Pink bloom</t>
  </si>
  <si>
    <t>Chinzan is a compact Satsuki cultivar  with a tidy mounding habit. Reblooms lightly in late summer</t>
  </si>
  <si>
    <t>Rhod. 'Wolfpack Red'</t>
  </si>
  <si>
    <t>NC State Red bloom</t>
  </si>
  <si>
    <t>Qty 15, 1-1.5ft HT</t>
  </si>
  <si>
    <t>Wolfpack is a great homage to NCSU, and was indeed released by NCSU. Foliage turns Coppery-Bronze in fall</t>
  </si>
  <si>
    <t>Rhod. x carla 'Sunglow'</t>
  </si>
  <si>
    <t>Reddish-Pink bloom</t>
  </si>
  <si>
    <t>Qty 50, 1.25-1.5ft HT</t>
  </si>
  <si>
    <t>16-18" x 18-20"</t>
  </si>
  <si>
    <t>Qty 6 , 2.5ft HT</t>
  </si>
  <si>
    <t>Sunglow  is a vigorous Carla that flowers mid-season and persists into early summer. Upright form and dense foliage</t>
  </si>
  <si>
    <t>Robinia pseudoacacia 'Lace Lady' PP#9771Exp.</t>
  </si>
  <si>
    <t>New crop; Top Grafted on 18" STD; Ht 4.5-5'; Very NICE</t>
  </si>
  <si>
    <t>Ht 7.5' Cal 1.25"; Very Nice</t>
  </si>
  <si>
    <t>Twisty Baby is a contortionist, with crooked stems and curled foliage. Fragrant blooms</t>
  </si>
  <si>
    <t>Rohdea japonica</t>
  </si>
  <si>
    <t>Sacred Lily</t>
  </si>
  <si>
    <t>Sacred Lily is notable for its tough, strap-like, evergreen foliage that forms a beautiful clump and its persistent Red berries</t>
  </si>
  <si>
    <t>Rosa banksiae 'Lutea'</t>
  </si>
  <si>
    <t>Lady Banks Climbing Rose</t>
  </si>
  <si>
    <t>24-30" (7/24)</t>
  </si>
  <si>
    <t>Lady Banks is great on a trellis or black metal fence. Thornless. Slight fragrance. Glossy Green foliage and thorns (rabbits may still nibble)</t>
  </si>
  <si>
    <t>Rosa 'CA 29' PP#22435</t>
  </si>
  <si>
    <t>Yellow bloom, Red edges</t>
  </si>
  <si>
    <t>First Editions; Ht 15-16" x Wd 16-18"; NICE; Bud/Bloom</t>
  </si>
  <si>
    <t>Campfire named for bloom echoing a campfire. Deadhead as needed. Nearly thornless (rabbits may still nibble). Cut back annually</t>
  </si>
  <si>
    <t>Rosa 'KORcarmsis' PP#33406</t>
  </si>
  <si>
    <t>Raspberry-Pink bloom</t>
  </si>
  <si>
    <t>Rosa 'KORmarzau' PP#28991</t>
  </si>
  <si>
    <t>Creamy Apricot-Pink bloom</t>
  </si>
  <si>
    <t>Rosa 'Meidelweis' PP#17841</t>
  </si>
  <si>
    <t>White bloom, hint of Pink inner</t>
  </si>
  <si>
    <t>Rosa 'Meidevi' PP#35825</t>
  </si>
  <si>
    <t>Buttery-Yellow, fading to Cream</t>
  </si>
  <si>
    <t>15" spread, blooms (8/29)</t>
  </si>
  <si>
    <t>Rosa 'Meidrifora' PP#19148</t>
  </si>
  <si>
    <t>Coral-Orange bloom</t>
  </si>
  <si>
    <t>Rosa 'Meifranjin' PP#33507</t>
  </si>
  <si>
    <t>Rosa 'Meigalpio' PP#17877</t>
  </si>
  <si>
    <t>pruned 13" spread (8/19)</t>
  </si>
  <si>
    <t>10-12" x 15-18" | bud/bloom</t>
  </si>
  <si>
    <t>Rosa 'Meiggili' PP#18542</t>
  </si>
  <si>
    <t>Peach bloom</t>
  </si>
  <si>
    <t>15" w | bud/bloom</t>
  </si>
  <si>
    <t>Rosa 'Meijocos' PP#18874</t>
  </si>
  <si>
    <t>Pink, White center bloom</t>
  </si>
  <si>
    <t>Rosa 'Meikaquinz' PP#30572</t>
  </si>
  <si>
    <t>Rosa 'Meilpiquet' PP#35452</t>
  </si>
  <si>
    <t>Bright Yellow, darker center</t>
  </si>
  <si>
    <t>pruned 10" (8/19)</t>
  </si>
  <si>
    <t>Rosa 'Meinostair' PP#28659</t>
  </si>
  <si>
    <t>Salmon-Pink-Apricot bloom</t>
  </si>
  <si>
    <t>pruned 14" (8/19)</t>
  </si>
  <si>
    <t>Rosa 'Meiswetdom' PP#21612</t>
  </si>
  <si>
    <t>Pastel Pink bloom</t>
  </si>
  <si>
    <t>Rosa 'Meizonbla' PP#35630</t>
  </si>
  <si>
    <t>Peachy-Pink to Apricot bloom</t>
  </si>
  <si>
    <t>Rosa 'Meizorland' PP#28054</t>
  </si>
  <si>
    <t>Bright White bloom</t>
  </si>
  <si>
    <t>Rosa 'Novarospop' PP#24773</t>
  </si>
  <si>
    <t>Yellow to White to Pink bloom</t>
  </si>
  <si>
    <t>15" w | bud/bloom | 15-18" w | bud/bloom</t>
  </si>
  <si>
    <t>Ht 11-12" x Wd 15-16";Good</t>
  </si>
  <si>
    <t>Rosa 'Radral' PP#19803</t>
  </si>
  <si>
    <t>Brick Orange-Coral bloom</t>
  </si>
  <si>
    <t>pruned 12" (8/19)</t>
  </si>
  <si>
    <t>Rosa 'Radslam' PP#35826</t>
  </si>
  <si>
    <t>Warm Orange-Pink bloom</t>
  </si>
  <si>
    <t>Rosa 'Radtko' PP#16202</t>
  </si>
  <si>
    <t>Ht 18-22"; NICE (Flushing from prune)</t>
  </si>
  <si>
    <t>18-24" x 20-24" | bud/bloom | very nice</t>
  </si>
  <si>
    <t>Rosa 'Radtkopink' PP#18507</t>
  </si>
  <si>
    <t>Rosa 'SRPylwko' PP#35465</t>
  </si>
  <si>
    <t>Rubus 'APF-236T' PP#27032</t>
  </si>
  <si>
    <t>Baby Cakes are thornless, producing large berries in first year. May produce twice per season. Self-pollinating</t>
  </si>
  <si>
    <t>Rubus idaeus 'NR7' PP#22141</t>
  </si>
  <si>
    <t>Shortcake is thornless, producing full size vanilla flavored berries. No staking needed. Self-pollinating</t>
  </si>
  <si>
    <t>Rubus 'Ponca' PP#33330</t>
  </si>
  <si>
    <t>24-30" h | upright &amp; thornless | 24-36" h | upright &amp; thornless | sweet berries</t>
  </si>
  <si>
    <t>Rubus rolfei</t>
  </si>
  <si>
    <t>Creeping Raspberry</t>
  </si>
  <si>
    <t>Creeping Raspberry fruit is edible, but rather tiny, and not flavorful, Plant can replace lawn, taking light foot traffic</t>
  </si>
  <si>
    <t>Rudbeckia 'American Gold Rush' PP#28498</t>
  </si>
  <si>
    <t>American Gold Rush Black-Eyed Susan</t>
  </si>
  <si>
    <t>Rudbeckia fulgida 'Early Bird Gold' PP#20286</t>
  </si>
  <si>
    <t>Early Bird Gold Black Eyed Susan</t>
  </si>
  <si>
    <t>Rudbeckia fulgida var.sullivantii 'Goldsturm'</t>
  </si>
  <si>
    <t>Goldsturm Black-Eyed Susan</t>
  </si>
  <si>
    <t>Rudbeckia hirta 'Cherry Brandy' PP#28498</t>
  </si>
  <si>
    <t>Cherry Brandy Black-Eyed Susan</t>
  </si>
  <si>
    <t>24"×16"</t>
  </si>
  <si>
    <t>Ruscus aculeatus</t>
  </si>
  <si>
    <t>Butcher's Broom</t>
  </si>
  <si>
    <t>Ht 24-26" now; Very Nice; Great for shade</t>
  </si>
  <si>
    <t>20-22"ht x 12-15" sp</t>
  </si>
  <si>
    <t>Butcher’s Broom has tough, spiny-tipped stems and showy Red winter berries. Once used in broom-making</t>
  </si>
  <si>
    <t>Salix babylonica</t>
  </si>
  <si>
    <t>Weeping Willow</t>
  </si>
  <si>
    <t>50'×50'</t>
  </si>
  <si>
    <t>Light Green foliage</t>
  </si>
  <si>
    <t>New crop; Ht 9'; NICE (Next crop October)</t>
  </si>
  <si>
    <t>Ht 9'; Cal 1.25"; Very Nice, Lightly Rooted</t>
  </si>
  <si>
    <t>Ht 12-14'; Cal 2.25-2.5"; Very Nice</t>
  </si>
  <si>
    <t>Ht 12'; Cal 3.25-3.5" now; Good</t>
  </si>
  <si>
    <t>Salix caprea 'Pendula'</t>
  </si>
  <si>
    <t>Weeping Pussy Willow</t>
  </si>
  <si>
    <t>Ht 4-4.5'; Limb-up Single Stem; Nice; Good</t>
  </si>
  <si>
    <t>Salix matsudana x S. alba 'Scarlet Curls'</t>
  </si>
  <si>
    <t>Scarlet Curls Willow</t>
  </si>
  <si>
    <t>Ht 7-8'; Very Nice</t>
  </si>
  <si>
    <t>Salvia hybrida 'Novasalpur' PP#28717</t>
  </si>
  <si>
    <t>Salvia microphylla 'Hot Lips'</t>
  </si>
  <si>
    <t>Hot Lips Salvia</t>
  </si>
  <si>
    <t>Salvia nemorosa 'May Night'</t>
  </si>
  <si>
    <t>May Night Salvia</t>
  </si>
  <si>
    <t>Sambucus canadensis 'Blonde Envy'</t>
  </si>
  <si>
    <t>Blonde Envy Elderberry</t>
  </si>
  <si>
    <t>7'×8'</t>
  </si>
  <si>
    <t>Selection of Elderberry/Native: Gold Foliage; (Ht 28"-30" now)</t>
  </si>
  <si>
    <t>Sarcococca confusa</t>
  </si>
  <si>
    <t>Sweet Box</t>
  </si>
  <si>
    <t>15-18"ht x 12-15"sp</t>
  </si>
  <si>
    <t>15-18" x 18"</t>
  </si>
  <si>
    <t>Sarcococca hookeriana</t>
  </si>
  <si>
    <t>Himalayan Sweet Box</t>
  </si>
  <si>
    <t>White bloom, Pink tinge</t>
  </si>
  <si>
    <t>12"x12"</t>
  </si>
  <si>
    <t>Himalayan perfumes shady winter gardens with intensely fragrant spidery blooms, then sets Blue-Black berries. Green foliage</t>
  </si>
  <si>
    <t>Sarcococca hookeriana 'Purplerij1'</t>
  </si>
  <si>
    <t>Pink &amp; White, Red tips</t>
  </si>
  <si>
    <t>8-10" x 10-12" | very nice</t>
  </si>
  <si>
    <t>Sasaella masamuneana 'Albostriata'</t>
  </si>
  <si>
    <t>White-Striped Dwarf Bamboo</t>
  </si>
  <si>
    <t>3'×∞</t>
  </si>
  <si>
    <t>New crop; Ht 8-10"; A little thin</t>
  </si>
  <si>
    <t>White-Striped Dwarf is a runner, forming a dense mat. Striking Green-and-White striped foliage and Red-to-Green culms. Cold-hardy</t>
  </si>
  <si>
    <t>Schizachyrium scoparium</t>
  </si>
  <si>
    <t>Little Bluestem Grass</t>
  </si>
  <si>
    <t>Blue-Green blades, Silvery tones</t>
  </si>
  <si>
    <t>Little Bluestem has Silvery-White fluffy seedheads that persist. Coppery-Red fall color gives way to Tan stems</t>
  </si>
  <si>
    <t>Schizachyrium scoparium 'Standing Ovation' PP#25202</t>
  </si>
  <si>
    <t>Standing Ovation Little Bluestem Grass</t>
  </si>
  <si>
    <t>Blue-Green blades, Red tips</t>
  </si>
  <si>
    <t>Standing Ovation has Silvery-White fluffy seedheadsl, Fiery Red, Orange, Burgundy, and Purple fall color</t>
  </si>
  <si>
    <t>Schizachyrium scoparium 'The Blues'</t>
  </si>
  <si>
    <t>The Blues Little Bluestem Grass</t>
  </si>
  <si>
    <t>Blue-Green blades, Silvery hue</t>
  </si>
  <si>
    <t>The Blues has Silvery-White fluffy seedheads. Blades turn fiery Purple-Orange in fall, then Burgundy-Purple</t>
  </si>
  <si>
    <t>Schizophragma hydrangeoides 'Minsens' PPAF</t>
  </si>
  <si>
    <t>30'×7'</t>
  </si>
  <si>
    <t>Marbled Rose-Pink bloom</t>
  </si>
  <si>
    <t>Schizophragma hydrangeoides 'Minsnow3' PP#31720</t>
  </si>
  <si>
    <t>Sedum 'Blue Pearl' PPAF</t>
  </si>
  <si>
    <t>Blue Pearl Sedum</t>
  </si>
  <si>
    <t>8"×18"</t>
  </si>
  <si>
    <t>Blue-Plum foliage</t>
  </si>
  <si>
    <t>Blue Pearl features intense Smoky Blue foliage on Red stems with vivid Pink blooms in late summer. Semi-evergreen</t>
  </si>
  <si>
    <t>Sedum 'Night Embers' PP#29211</t>
  </si>
  <si>
    <t>Night Embers Stonecrop</t>
  </si>
  <si>
    <t>26"×26"</t>
  </si>
  <si>
    <t>Black-Purple foliage</t>
  </si>
  <si>
    <t>Night Embers has sultry foliage and glowing Mauve-Pink blooms from late summer to fall</t>
  </si>
  <si>
    <t>Sedum rupestre 'Angelina'</t>
  </si>
  <si>
    <t>Angelina Sedum</t>
  </si>
  <si>
    <t>Chartreuse to Golden foliage</t>
  </si>
  <si>
    <t>Angelina Sedum forms a vivid Chartreuse mat that turns Copper-Orange in fall. Yellow summer blooms. Semi-evergreen</t>
  </si>
  <si>
    <t>Selaginella braunii</t>
  </si>
  <si>
    <t>Arborvitae Fern</t>
  </si>
  <si>
    <t>Ht 13-15" x Wd 18-20"; Very nice</t>
  </si>
  <si>
    <t>Sorbaria sorbifolia 'Bococot' PP#33639</t>
  </si>
  <si>
    <t>Spiraea japonica 'Conspiyet'</t>
  </si>
  <si>
    <t>Qty 40</t>
  </si>
  <si>
    <t>Spiraea japonica 'DAVCOP01' PP#31996</t>
  </si>
  <si>
    <t>12"x15" (8/14)</t>
  </si>
  <si>
    <t>Spiraea japonica 'Golden Jack' PPAF</t>
  </si>
  <si>
    <t>Spiraea japonica 'Lemon Princess'</t>
  </si>
  <si>
    <t>Qty 70, 1.5-2ft Spr</t>
  </si>
  <si>
    <t>10-12" ht 15-18" sp</t>
  </si>
  <si>
    <t>Spiraea japonica 'Little Princess'</t>
  </si>
  <si>
    <t>Spiraea japonica 'Matgold' PP#28876</t>
  </si>
  <si>
    <t>Spiraea japonica 'NCSX1' PP#28313</t>
  </si>
  <si>
    <t>Red-Purple bloom</t>
  </si>
  <si>
    <t>16-18" ht x 18" sp</t>
  </si>
  <si>
    <t>Spiraea japonica 'NCSX2' PP#30953</t>
  </si>
  <si>
    <t>Red-Purple-Pink bloom</t>
  </si>
  <si>
    <t>12"x10-12" (8/14)</t>
  </si>
  <si>
    <t>Spiraea japonica 'Odessa' PP#28508</t>
  </si>
  <si>
    <t>Candy-Pink bloom</t>
  </si>
  <si>
    <t>Spiraea x bumalda 'Walbuma' PP#9363Exp.</t>
  </si>
  <si>
    <t>Stewartia pseudocamellia</t>
  </si>
  <si>
    <t>Japanese Stewartia</t>
  </si>
  <si>
    <t>Styrax japonicus</t>
  </si>
  <si>
    <t>Japanese Snowbell</t>
  </si>
  <si>
    <t>Ht 5.5-6' now; NICE (Next crop October)</t>
  </si>
  <si>
    <t>Ht 6-7'; Very Nice; Cal 1.25"</t>
  </si>
  <si>
    <t>9-10' ht x 1.5-1.75"c</t>
  </si>
  <si>
    <t>Styrax japonicus 'Evening Light' PP#24168</t>
  </si>
  <si>
    <t>Evening Light Japanese Snowbell</t>
  </si>
  <si>
    <t>Ht 6-7'; NICE</t>
  </si>
  <si>
    <t>Ht 7.5-8'; NICE</t>
  </si>
  <si>
    <t>Styrax japonicus 'Fragrant Fountain' PP#19664</t>
  </si>
  <si>
    <t>Fragrant Fountain Japanese Snowbell</t>
  </si>
  <si>
    <t>Ht 3.5-5.5'; Staked; Very nice</t>
  </si>
  <si>
    <t>Ht 4.5' now; Look good</t>
  </si>
  <si>
    <t>Styrax japonicus 'JFS 6SJ' PP#34817</t>
  </si>
  <si>
    <t>Ht 3.5-4.5'; Very Nice (New Weeping Dark Leaf Snowbell)</t>
  </si>
  <si>
    <t>Styrax japonicus 'JLWeeping' PP#23755</t>
  </si>
  <si>
    <t>Pale Pink bloom</t>
  </si>
  <si>
    <t>Ht 4.5-5.5'; Very nice</t>
  </si>
  <si>
    <t>Ht 5.5'; Very nice</t>
  </si>
  <si>
    <t>Ht 6.5' now; Very Nice</t>
  </si>
  <si>
    <t>Ht 6.5-7' now; Cal 1.75"; Very Nice; Weeping</t>
  </si>
  <si>
    <t>Styrax japonicus 'Pink Chimes'</t>
  </si>
  <si>
    <t>Pink Chimes Japanese Snowbell</t>
  </si>
  <si>
    <t>Symphyotrichum novae-angliae 'Grape Crush' PP#33612</t>
  </si>
  <si>
    <t>Grape Crush New England Aster</t>
  </si>
  <si>
    <t>Symphyotrichum novae-angliae 'Pink Crush' PP#33628</t>
  </si>
  <si>
    <t>Pink Crush New England Aster</t>
  </si>
  <si>
    <t>Syringa × pubescens 'SMNSPTP' PP#35123</t>
  </si>
  <si>
    <t>Pale Purple-Pink bloom</t>
  </si>
  <si>
    <t>Syringa 'Grecrimdoll' PP#10680</t>
  </si>
  <si>
    <t>Ht 26-28"; Full; NICE</t>
  </si>
  <si>
    <t>Crimson Doll Green foliage turns Yellow in fall. Fragrant. Smooth tan bark</t>
  </si>
  <si>
    <t>Syringa pubescens subsp. patula 'Miss Kim'</t>
  </si>
  <si>
    <t>Miss Kim Lilac</t>
  </si>
  <si>
    <t>9'×7'</t>
  </si>
  <si>
    <t>Ht 24-28" now; Nice; Full</t>
  </si>
  <si>
    <t>Standard; Overall Ht 5.5' grafted at 3'; NICE</t>
  </si>
  <si>
    <t>Miss Kim dark green foliage turns burgundy in fall. Fragrant</t>
  </si>
  <si>
    <t>Syringa 'SMNSPH' PP#35934</t>
  </si>
  <si>
    <t>Soft Pink to Purple bloom</t>
  </si>
  <si>
    <t>Ballet is intensely fragrant, one of the strongest rebloomers, with flowers on old and new wood. Green foliage to leaf drop</t>
  </si>
  <si>
    <t>Taxodium ascendens 'Debonair'</t>
  </si>
  <si>
    <t>Ht 10-10.5'; Cal 2-2.25"; Nice</t>
  </si>
  <si>
    <t>Ht 9'; Cal 2.5-2.75" now; NICE</t>
  </si>
  <si>
    <t>Taxodium distichum</t>
  </si>
  <si>
    <t xml:space="preserve">Bald Cypress </t>
  </si>
  <si>
    <t>70'×30'</t>
  </si>
  <si>
    <t>Light Green needles</t>
  </si>
  <si>
    <t>Ht 7.5-8' now; Cal 1-1.25"; Good</t>
  </si>
  <si>
    <t>Ht 9-10'; Cal 1.5-1.75"; Nice (Next crop October)</t>
  </si>
  <si>
    <t>8-9' h | 1.75" cal.</t>
  </si>
  <si>
    <t>Taxodium distichum 'Cascade Falls' PP#12296</t>
  </si>
  <si>
    <t>Cascade Falls Bald Cypress</t>
  </si>
  <si>
    <t>12'×5'</t>
  </si>
  <si>
    <t>Ht 6' now; Staked; Very Nice</t>
  </si>
  <si>
    <t>Sculptured; New crop; Ht 5-6'; Nice Specimens</t>
  </si>
  <si>
    <t>Taxodium distichum 'Jim's Little Guy' PP#12296</t>
  </si>
  <si>
    <t>Jim's Little Guy Bald Cypress</t>
  </si>
  <si>
    <t>Ht 6-6.5'; Cal. 1.5";Nice</t>
  </si>
  <si>
    <t>Taxodium distichum 'PCN Select'</t>
  </si>
  <si>
    <t>Panther Select Bald Cypress</t>
  </si>
  <si>
    <t>Our own selection of Bald Cypress; New Crop; Ht 9'; Cal 2" now; Nice</t>
  </si>
  <si>
    <t>Taxodium distichum 'Secrest'</t>
  </si>
  <si>
    <t>Secrest Bald Cypress</t>
  </si>
  <si>
    <t>Ht 7.5'; Cal 2.25"; Very Nice</t>
  </si>
  <si>
    <t>Ternstroemia gymnanthera</t>
  </si>
  <si>
    <t>Japanese Cleyera</t>
  </si>
  <si>
    <t>Ht 48-52" x Wd 30-32"; Full; Nice</t>
  </si>
  <si>
    <t>Cleyera foliage emerges Deep Red, turning Blue-Green, then Burgundy fall. Small White fragrant blooms. Small fruit</t>
  </si>
  <si>
    <t>Ternstroemia gymnanthera 'Copper Crown'</t>
  </si>
  <si>
    <t>Copper Crown Cleyera</t>
  </si>
  <si>
    <t>Ht 42" x Wd 26-28"; NICE</t>
  </si>
  <si>
    <t>Copper Crown has vibrant foliage that transitions from Coppery-Red to Glossy Green, then Burgundy in fall. Small White bloom</t>
  </si>
  <si>
    <t>Ternstroemia gymnanthera 'Hunny Bun' PP#20787</t>
  </si>
  <si>
    <t>Golden-Orange foliage</t>
  </si>
  <si>
    <t>New; Soft Gold Colored Foliage; Ht 18-20" x Wd 28-30"</t>
  </si>
  <si>
    <t>Thuja occidentalis 'Anna van Vloten' PP#25868</t>
  </si>
  <si>
    <t>8" x 6-8"</t>
  </si>
  <si>
    <t>Anna's Magic Ball foliage turns extra Golden in full sun. Very little if any Bronzing in winter</t>
  </si>
  <si>
    <t>Thuja occidentalis 'Bobozam'</t>
  </si>
  <si>
    <t>Ht 20-21" x Wd 28-30"; Very Nice</t>
  </si>
  <si>
    <t>16-18" x 16-18"sp</t>
  </si>
  <si>
    <t>Ht 26"x Wd 36-38"; Very Nice</t>
  </si>
  <si>
    <t>Thuja occidentalis 'Concesarini' PP#24013</t>
  </si>
  <si>
    <t>Sage-Green foliage</t>
  </si>
  <si>
    <t>12" x 18-20" | very nice</t>
  </si>
  <si>
    <t>Pancake named for its unique, flattened, pancake-like habit.  Foliage turns Bluish-Bronze in winter</t>
  </si>
  <si>
    <t>Thuja occidentalis 'Congabe' PP#19009</t>
  </si>
  <si>
    <t>Golden-Orange-Red foliage</t>
  </si>
  <si>
    <t>New crop; Ht 9-10" x Wd 12-14"; Nice</t>
  </si>
  <si>
    <t>Ht 15-16" x Wd 20-21" now; Very nice</t>
  </si>
  <si>
    <t>15-18" x 24" | great color</t>
  </si>
  <si>
    <t>Fire Chief is known for distinctive color shifts, from bright Gold in spring, to Orange in summer, to Red in fall</t>
  </si>
  <si>
    <t>Thuja occidentalis 'Golden Globe'</t>
  </si>
  <si>
    <t>Golden Globe Arborvitae</t>
  </si>
  <si>
    <t>Ht 26-28" x Wd 26-28"; Nice; Full; Good Color; Little light around bottoms</t>
  </si>
  <si>
    <t>Golden Globe is a dwarf, globe-shaped shrub prized for its dense, fine-textured foliage that holds it's bright color throughout the year</t>
  </si>
  <si>
    <t>Thuja occidentalis 'Hetz Midget'</t>
  </si>
  <si>
    <t>Hetz Midget Arborvitae</t>
  </si>
  <si>
    <t>Qty 200 nice, 1-1.25ft HT, 1ft Spr</t>
  </si>
  <si>
    <t>Nice Qty 150, 1.5ft HT, 1.5ft Spr</t>
  </si>
  <si>
    <t>Hetz Midget globe-shaped shrub with fine-textured foliage and a naturally rounded form that requires little to no shearing</t>
  </si>
  <si>
    <t>Thuja occidentalis 'Little Giant'</t>
  </si>
  <si>
    <t>Little Giant Arborvitae</t>
  </si>
  <si>
    <t>18" x 15-18" | great shape | very nice</t>
  </si>
  <si>
    <t>Little Giant forms a dense, perfectly round globe of soft foliage, requiring little to no pruning. Color holds through winter</t>
  </si>
  <si>
    <t>Thuja occidentalis 'Little Sprout' PP#20354</t>
  </si>
  <si>
    <t>Little Sprout Arborvitae</t>
  </si>
  <si>
    <t>Our own compact sport of Green Giant; Ht 5-5.5'</t>
  </si>
  <si>
    <t>Our own compact sport of Green Giant; Ht 44-50"; Stocky, Full; NICE</t>
  </si>
  <si>
    <t>Little Sprout offers tidy, globe-shaped greenery with year-round color and minimal upkeep. Reddish-Brown bark does not exfoliate</t>
  </si>
  <si>
    <t>Thuja occidentalis 'RutThu3' PP#35206</t>
  </si>
  <si>
    <t>Lemon-Yellow foliage</t>
  </si>
  <si>
    <t>First Editions; Ht 22-24"; Great Color</t>
  </si>
  <si>
    <t>Thuja occidentalis 'SMNTOBAB' PP#30761</t>
  </si>
  <si>
    <t>Ht 20-21" x Wd 19-20"; Very Nice</t>
  </si>
  <si>
    <t>Ht 20-21" x Wd 20-21"; Good</t>
  </si>
  <si>
    <t>Thuja occidentalis 'Sunkist'</t>
  </si>
  <si>
    <t>Sunkist Arborvitae</t>
  </si>
  <si>
    <t>12 in. Ht &amp; sprd</t>
  </si>
  <si>
    <t>Ht 24-26" x Wd 23-25" now; Good color; Bottoms Thin</t>
  </si>
  <si>
    <t>Ht 32" x Wd 30"; Good color; Bottoms thin</t>
  </si>
  <si>
    <t>Sunkist is Green/Lemon-Yellow in the spring, turning more Golden for fall/winter</t>
  </si>
  <si>
    <t>Thuja orientalis 'Franky Boy'</t>
  </si>
  <si>
    <t>Franky Boy Chinese Arborvitae</t>
  </si>
  <si>
    <t>New crop; Ht 17-18"; Nice</t>
  </si>
  <si>
    <t>New/Unique; Ht 24-26"; Nice</t>
  </si>
  <si>
    <t>Standard; Top Grafted; Overall Ht tipping 4'; Clear trunk to 18"; Super nice</t>
  </si>
  <si>
    <t>Franky Boy has grass-like foliage and pendulous texture for a unique ornamental presence. Warm Bronze in winter</t>
  </si>
  <si>
    <t>Thuja plicata 'Whipcord'</t>
  </si>
  <si>
    <t>Whipcord Western Red Cedar</t>
  </si>
  <si>
    <t>STD; Ht 28-32" now; Look Nice (Next crop April 2026)</t>
  </si>
  <si>
    <t>Whipcord captivates with its rope-like green foliage and sculptural mounding form. Reddish-brown, fibrous bark may peel in strips at maturity</t>
  </si>
  <si>
    <t>Trachelospermum asiaticum</t>
  </si>
  <si>
    <t>Asiatic Jasmine Vine</t>
  </si>
  <si>
    <t>12"×12'</t>
  </si>
  <si>
    <t>Asiatic jasmine forms a durable, evergreen carpet that can be invasive. Will climb if supported. Creamy Yellow, lightly fragrant blooms</t>
  </si>
  <si>
    <t>Trachelospermum asiaticum 'HOSNS'</t>
  </si>
  <si>
    <t>Green &amp; White variegation</t>
  </si>
  <si>
    <t>Snow-N-Summer known for it's tricolor foliage, emerging White, then variegated. Can be invasive. Can be trained to climb up a trellis</t>
  </si>
  <si>
    <t>Trachelospermum asiaticum 'Summer Sunset'</t>
  </si>
  <si>
    <t>Summer Sunset Asiatic Jasmine Vine</t>
  </si>
  <si>
    <t>Multicolor foliage</t>
  </si>
  <si>
    <t>Trachelospermum jasminoides</t>
  </si>
  <si>
    <t>Confederate Jasmine Vine</t>
  </si>
  <si>
    <t>24"×10'</t>
  </si>
  <si>
    <t>3-4' Staked</t>
  </si>
  <si>
    <t>Confederate (AKA 'Star') Jasmine has shiny foliage that is attractive even after the fragrant Creamy White blooms pass. Will climb with support</t>
  </si>
  <si>
    <t>Tradescantia x andersoniana 'Sweet Kate' PP#12078</t>
  </si>
  <si>
    <t>Sweet Kate Purple Heart</t>
  </si>
  <si>
    <t>Blue-Purple bloom</t>
  </si>
  <si>
    <t>Tsuga canadensis 'Gentsch White'</t>
  </si>
  <si>
    <t>Gentsch White Canadian Hemlock</t>
  </si>
  <si>
    <t>Green needles, White tips</t>
  </si>
  <si>
    <t>Ready December (Ht 4' now)</t>
  </si>
  <si>
    <t>Tsuga canadensis 'Moon Frost'</t>
  </si>
  <si>
    <t>Moon Frost Canadian Hemlock</t>
  </si>
  <si>
    <t>Ulmus alata 'Lace Parasol'</t>
  </si>
  <si>
    <t>Lace Parasol Winged Elm</t>
  </si>
  <si>
    <t>Ht 6-7' x Spread 7-8'; Cal 3.5-3.75"; Very Nice; Specimens</t>
  </si>
  <si>
    <t>Original Lace Parasol moved to JC Raulston Arboretum. Dramatic look, even in winter, with winged bark. Vivid Yellow fall foliage</t>
  </si>
  <si>
    <t>Ulmus americana 'Princeton'</t>
  </si>
  <si>
    <t>Princeton Elm</t>
  </si>
  <si>
    <t>Ht 8-8.5'; Cal. .75"; NICE (Next crop Oct. 15th-Nov. 1- 130)</t>
  </si>
  <si>
    <t>Ready October 15th - November 1st</t>
  </si>
  <si>
    <t xml:space="preserve">12-15' ht x 2"c </t>
  </si>
  <si>
    <t>Vac. ashei 'Powderblue'</t>
  </si>
  <si>
    <t>Powderblue Blueberry</t>
  </si>
  <si>
    <t>18” x 15”</t>
  </si>
  <si>
    <t>Vac. ashei 'Tifblue'</t>
  </si>
  <si>
    <t>Tifblue Blueberry</t>
  </si>
  <si>
    <t>White to pale Pink bloom</t>
  </si>
  <si>
    <t>24-30” x 24-28”</t>
  </si>
  <si>
    <t>Vac. corymbosum 'Climax'</t>
  </si>
  <si>
    <t>Climax Blueberry</t>
  </si>
  <si>
    <t>Vac. corymbosum 'Premier'</t>
  </si>
  <si>
    <t>Premier Blueberry</t>
  </si>
  <si>
    <t>Vac. corymbosum 'ZF06-043' PP#23325</t>
  </si>
  <si>
    <t>Vac. corymbosum 'ZF06-079' PP#23336</t>
  </si>
  <si>
    <t>Vac. corymbosum 'ZF08-095' PP#25467</t>
  </si>
  <si>
    <t>Vac. darrowii 'Rosa's Blush'</t>
  </si>
  <si>
    <t>Rosa's Blush Dwarf Blueberry</t>
  </si>
  <si>
    <t>Pale Pink to White bloom</t>
  </si>
  <si>
    <t>Ht 14-15" x Wd 14-15"; Look good</t>
  </si>
  <si>
    <t>15" x 18-20" | native cultivar</t>
  </si>
  <si>
    <t>Vac. hybrid 'FC12-187' PP#32185</t>
  </si>
  <si>
    <t>Verbascum 'Southern Charm'</t>
  </si>
  <si>
    <t>Southern Charm Verbascum</t>
  </si>
  <si>
    <t>Peach, Pink, Lavender, Yellow blooms</t>
  </si>
  <si>
    <t>Southern Charm delivers vertical elegance with Pastel flower spikes and Silvery foliage. Excellent flowers for cutting</t>
  </si>
  <si>
    <t>Verbena canadensis 'Homestead Hot Pink' PP#34360</t>
  </si>
  <si>
    <t>Homestead Hot Pink Verbena</t>
  </si>
  <si>
    <t>Homestead' Hot Pink bloom, like other Verbena, has star-shaped flowers that bloom May through frost.</t>
  </si>
  <si>
    <t>Verbena canadensis 'Homestead Purple'</t>
  </si>
  <si>
    <t>Homestead Purple Verbena</t>
  </si>
  <si>
    <t>Homestead Purple, like other Verbena, wil spill over an edge. Inconspicuous fruit.</t>
  </si>
  <si>
    <t>Verbena x hybrida 'Balendred' PP#26132</t>
  </si>
  <si>
    <t>Veronica peduncularis 'Georgia Blue'</t>
  </si>
  <si>
    <t>Georgia Blue Speedwell</t>
  </si>
  <si>
    <t>Viburnum carlesii</t>
  </si>
  <si>
    <t>Koreanspice viburnum</t>
  </si>
  <si>
    <t>Pink buds open White</t>
  </si>
  <si>
    <t>Koreanspice known for incredibly fragrant flower clusters that bloom in early spring, and its attractive Reddish-Purple fall foliage</t>
  </si>
  <si>
    <t>Viburnum dentatum 'Christom' PP#16889P3</t>
  </si>
  <si>
    <t>7'×7'</t>
  </si>
  <si>
    <t>30" (8/1)</t>
  </si>
  <si>
    <t>Viburnum macrocephalum</t>
  </si>
  <si>
    <t>Chinese Snowball Viburnum</t>
  </si>
  <si>
    <t>30-36" h x 20-24" w | very nice | bud/bloom</t>
  </si>
  <si>
    <t>24-30" x 24"</t>
  </si>
  <si>
    <t>Ht 44-48" x Wd 24-25"; Nice; Light pruned; Flushing nice</t>
  </si>
  <si>
    <t>Single Stem Tree Form; Ht 5.5'-6' now; Very Nice</t>
  </si>
  <si>
    <t>3.5-4.5' x 3' | very nice</t>
  </si>
  <si>
    <t>New crop; Ht 4-4.5'; Look good</t>
  </si>
  <si>
    <t>Chinese Snowbal has striking snowball-like clusters of flowers, up to 8" diameter. May stay evergreen in mild winters</t>
  </si>
  <si>
    <t>Viburnum 'Nantucket'</t>
  </si>
  <si>
    <t>Nantucket Viburnum</t>
  </si>
  <si>
    <t>Ht 24-30"; NICE; Buds</t>
  </si>
  <si>
    <t>Nantucket offers mildly fragrant, showy spring snowballs on glossy semi-evergreen foliage, with strong heat tolerance</t>
  </si>
  <si>
    <t>Viburnum obovatum 'Raulston Hardy'</t>
  </si>
  <si>
    <t>Raulston Hardy Viburnum</t>
  </si>
  <si>
    <t>14-16" ht x 18-22" sp</t>
  </si>
  <si>
    <t>Viburnum opulus 'Roseum'</t>
  </si>
  <si>
    <t>European Snowball Viburnum</t>
  </si>
  <si>
    <t>Green to White bloom</t>
  </si>
  <si>
    <t>Standard (Tree Form); Overall Ht 6-6.5'; Clear trunk to 36"; NICE</t>
  </si>
  <si>
    <t>Viburnum opulus 'Sterile'</t>
  </si>
  <si>
    <t>Eastern Snowball Viburnum</t>
  </si>
  <si>
    <t>15" x 15"</t>
  </si>
  <si>
    <t>Viburnum plicatum 'Mariesii'</t>
  </si>
  <si>
    <t>Doublefile Viburnum</t>
  </si>
  <si>
    <t>20-24"x15-18" (8/14)</t>
  </si>
  <si>
    <t>Doublefile has tiered horizontal branching, great spring lacecap blooms, and Red-to-Burgundy fall foliage.</t>
  </si>
  <si>
    <t>Viburnum plicatum 'PIIVIB-II' PP#28958</t>
  </si>
  <si>
    <t>White bloom, Green tinge</t>
  </si>
  <si>
    <t>Viburnum plicatum 'Shasta'</t>
  </si>
  <si>
    <t>Shasta Viburnum</t>
  </si>
  <si>
    <t>nice, 2.5-3ft HT</t>
  </si>
  <si>
    <t>Ht 4.5'; Very Full; Nice</t>
  </si>
  <si>
    <t>32-36" ht x 28-32" sp</t>
  </si>
  <si>
    <t>Shasta has large flower clusters in spring, followed by attractive red fruit, maturing to black, which birds love</t>
  </si>
  <si>
    <t>Viburnum prunifolium 'Dark Tower'</t>
  </si>
  <si>
    <t>Single Trunk Tree Form; Ht 6.5' now; Very nice</t>
  </si>
  <si>
    <t>Viburnum 'sPg-3-024'</t>
  </si>
  <si>
    <t>Ht 16-18" x Wd 16-17"; Look Good</t>
  </si>
  <si>
    <t>12-15" x 18-20" | very nice</t>
  </si>
  <si>
    <t>Ht 19-20" x Wd 24-26"; NICE</t>
  </si>
  <si>
    <t>Moonlit Lace has fragrant spring flowers. Glossy, Green foliage (on Burgundy stems) turns Burgundy in fall</t>
  </si>
  <si>
    <t>Viburnum tinus 'Compactum'</t>
  </si>
  <si>
    <t>Spring Bouquet Viburnum</t>
  </si>
  <si>
    <t>Pink fades to White</t>
  </si>
  <si>
    <t xml:space="preserve">20-24" ht x 16-20" sp </t>
  </si>
  <si>
    <t>Spring Bouquet honey-scented blooms give way to attractive Lavender/Blue berries</t>
  </si>
  <si>
    <t>Viburnum tinus 'Lisarose' PP#22816</t>
  </si>
  <si>
    <t>Pink buds open Whiter</t>
  </si>
  <si>
    <t>18-24" h x 15-18" | very nice</t>
  </si>
  <si>
    <t>Viburnum x burkwoodii</t>
  </si>
  <si>
    <t>Burkwood Viburnum</t>
  </si>
  <si>
    <t>Fall 2025, Snowy River(TM)</t>
  </si>
  <si>
    <t>Burkwood known for its intensely fragrant spring blooms, handsome dark foliage, and reliable berry display</t>
  </si>
  <si>
    <t>Weigela florida 'Bokraspiwi' PP#23781</t>
  </si>
  <si>
    <t>Hot Pink to Magenta bloom</t>
  </si>
  <si>
    <t>Weigela florida 'SMNWFBGV' PP#34297</t>
  </si>
  <si>
    <t>Red-Pink to Magenta bloom</t>
  </si>
  <si>
    <t>pruned 13" (8/19)</t>
  </si>
  <si>
    <t>Weigela florida 'Verweig9' PP#35146</t>
  </si>
  <si>
    <t>Weigela 'Slingco 2' PP#26841</t>
  </si>
  <si>
    <t>Deep Maroon-Red bloom</t>
  </si>
  <si>
    <t>10-12"x8-10"</t>
  </si>
  <si>
    <t>Weigela 'Spring 2' PP#30185</t>
  </si>
  <si>
    <t>Weigela 'ZR1' PP#30065</t>
  </si>
  <si>
    <t>True Red bloom</t>
  </si>
  <si>
    <t>pruned 12" spread (8/19)</t>
  </si>
  <si>
    <t>15" x 15" | native cultivar</t>
  </si>
  <si>
    <t>Wisteria frutescens 'Amethyst Falls'</t>
  </si>
  <si>
    <t>Amethyst Falls Wisteria</t>
  </si>
  <si>
    <t>Yucca filamentosa 'Color Guard' PP#9393Exp.</t>
  </si>
  <si>
    <t>Color Guard Yucca</t>
  </si>
  <si>
    <t>Ivory bloom</t>
  </si>
  <si>
    <t>16-18"h x 18-24"sp</t>
  </si>
  <si>
    <t>Color Guard has sword-like leaves with Bright Yellow centers and Green margins. Tall summer flower spikes</t>
  </si>
  <si>
    <t>Yucca filamentosa 'Excalibur'</t>
  </si>
  <si>
    <t>Excalibur Yucca</t>
  </si>
  <si>
    <t>Excalibur Yucca has sword-like, Blue-Green foliage and tall spikes of bell-shaped flowers</t>
  </si>
  <si>
    <t>Yucca gloriosa 'Variegata'</t>
  </si>
  <si>
    <t>Variegated Yucca</t>
  </si>
  <si>
    <t>Variegated Yucca (AKA Spanish Dagger) sword-like foliage is Blue-Green, with Creamy-Yellow margins. Tall blooms</t>
  </si>
  <si>
    <t>Zelkova serrata 'Burgundy Vase'</t>
  </si>
  <si>
    <t>Burgundy Vase Zelkova</t>
  </si>
  <si>
    <t>Ht 10-11'; Cal 1.5-1.75"; NICE</t>
  </si>
  <si>
    <t>Burgundy Vase named for plant shape, and, distinctive fall color, turning a rich Burgundy-Red. Initial grey bark exfoliates to Orange-Brown-Grey</t>
  </si>
  <si>
    <t>Zelkova serrata 'Goblin' PP#5080Exp.</t>
  </si>
  <si>
    <t>Goblin Dwarf Zelkova</t>
  </si>
  <si>
    <t>Ht 4'-5'; Good; Lightly rooted</t>
  </si>
  <si>
    <t>Ht 6-6.5'; Cal 1.75-2"; Nice (Dwarf Zelkova)</t>
  </si>
  <si>
    <t>Goblin's narrow Green leaves turn Orange-Yellow to Reddish-Purple in fall. Bark exfoliates to Orange-Red inner layer</t>
  </si>
  <si>
    <t>Zelkova serrata 'Green Vase'</t>
  </si>
  <si>
    <t>Green Vase Zelkova</t>
  </si>
  <si>
    <t xml:space="preserve">12-14' ht - 2"c </t>
  </si>
  <si>
    <t>Green Vase has a Narrow form and low maintenance (some stick litter). Orange-Bronze to Coppery fall foliage. Bark exfoliates to Orange-Brown</t>
  </si>
  <si>
    <t>PW® = Proven Winners®</t>
  </si>
  <si>
    <t>RH® = Royal Hawaiian®</t>
  </si>
  <si>
    <r>
      <t>HGC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Helleborus Gold Collection</t>
    </r>
    <r>
      <rPr>
        <b/>
        <vertAlign val="superscript"/>
        <sz val="9"/>
        <color theme="0"/>
        <rFont val="Arial"/>
        <family val="2"/>
      </rPr>
      <t>®</t>
    </r>
  </si>
  <si>
    <r>
      <t>HOH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Head Over Heels</t>
    </r>
    <r>
      <rPr>
        <b/>
        <vertAlign val="superscript"/>
        <sz val="9"/>
        <color theme="0"/>
        <rFont val="Arial"/>
        <family val="2"/>
      </rPr>
      <t>®</t>
    </r>
  </si>
  <si>
    <r>
      <t>GG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Garden Gems</t>
    </r>
    <r>
      <rPr>
        <b/>
        <vertAlign val="superscript"/>
        <sz val="9"/>
        <color theme="0"/>
        <rFont val="Arial"/>
        <family val="2"/>
      </rPr>
      <t>®</t>
    </r>
  </si>
  <si>
    <t>18-24' ht x 20-24" sp</t>
  </si>
  <si>
    <t>5-6' h | 1.25" cal. | young crop | 6-8' h | 1.25-1.5" cal.</t>
  </si>
  <si>
    <t>4-4.5' h | 1-1.25" cal. | young crop</t>
  </si>
  <si>
    <t>Tall; Ht 6.5'-7' now</t>
  </si>
  <si>
    <t>4-6.5' ht x 1"c</t>
  </si>
  <si>
    <t>Single Trunk Tree Form; Ht 5'-5.5' now; Very NICE- typical Aesculus foliage now</t>
  </si>
  <si>
    <t>Ht 7-8'; Okay; SALE PRICE</t>
  </si>
  <si>
    <t>Single Trunk; Ht 7' now and flushing</t>
  </si>
  <si>
    <t>6' ht x 3.5-4.5' sp</t>
  </si>
  <si>
    <t>10-15" ht x 18-20" sp</t>
  </si>
  <si>
    <t>Ready October 15-November 1st</t>
  </si>
  <si>
    <t>8-9' ht multi-stem 1" c</t>
  </si>
  <si>
    <t>28-30" ht x 28-30" sp</t>
  </si>
  <si>
    <t>8-10" x 15-18" | very nice | bud/bloom</t>
  </si>
  <si>
    <t>10" x 15-18" | bud/bloom | very nice</t>
  </si>
  <si>
    <t>18-24" ht x 16-20" sp</t>
  </si>
  <si>
    <t>24" ht x 22-24" sp</t>
  </si>
  <si>
    <t>3' ht. &amp; sp.</t>
  </si>
  <si>
    <t>Ht 30-32" now</t>
  </si>
  <si>
    <t>Ht 3.5' x Wd 3.5' now</t>
  </si>
  <si>
    <t>3' ht x 20-24" sp</t>
  </si>
  <si>
    <t>24-28" ht x 24" sp</t>
  </si>
  <si>
    <t>3' ht x 24-30" sp</t>
  </si>
  <si>
    <t>28-36" h | very nice | buds</t>
  </si>
  <si>
    <t>18" x 15" | very nice | full of buds</t>
  </si>
  <si>
    <t>3-4' h | very nice | full of buds</t>
  </si>
  <si>
    <t>3' ht x 20-26" sp</t>
  </si>
  <si>
    <t>15"x15", blooms (9/3)</t>
  </si>
  <si>
    <t>Ht 18-19" x Wd 19-20" now</t>
  </si>
  <si>
    <t>12-15" ht x 28-30" sp</t>
  </si>
  <si>
    <t xml:space="preserve">15-18 ht x 22-25"sp </t>
  </si>
  <si>
    <t>Ht 6'</t>
  </si>
  <si>
    <t>4-5' h | very nice | JCRA Choice Plant | 4.5-5' h | JCRA Choice Plant</t>
  </si>
  <si>
    <t>Ht 18-24"</t>
  </si>
  <si>
    <t>4-6'ht x 28-36" sp</t>
  </si>
  <si>
    <t>10-12"x15-18"</t>
  </si>
  <si>
    <t>Multi-Stem Tree Form; Ready September 15th (Ht 5.5' now; Nice)</t>
  </si>
  <si>
    <t>Multi-Stem; Ht 4-4.5'</t>
  </si>
  <si>
    <t>Single Trunk TF; Ht 6-7' now; NICE</t>
  </si>
  <si>
    <t>.5" cal | 5-5.5' h | native cultivar</t>
  </si>
  <si>
    <t>24-28" ht x 24-28" sp</t>
  </si>
  <si>
    <t>NICE; Ht 4-4.5' now</t>
  </si>
  <si>
    <t>Ht 8.5-9', cal 1.25"; NICE</t>
  </si>
  <si>
    <t>Ht 40-42" now; Full; NICE</t>
  </si>
  <si>
    <t>Dianthus 'KonD1014K3' PP#30246</t>
  </si>
  <si>
    <t>Mountain Frost Pink blooms in spring, then continually until fall. Fragrant</t>
  </si>
  <si>
    <t>Ht 15-16" x Wd 26-28" now</t>
  </si>
  <si>
    <t>3-4' ht x 36-42" sp</t>
  </si>
  <si>
    <t>Gardenia jasminoides 'Leeone', PP#21983</t>
  </si>
  <si>
    <t>15-18" ht x 20-24" sp</t>
  </si>
  <si>
    <t>22-24" ht &amp; sp</t>
  </si>
  <si>
    <t>24-28" ht x 15-18" sp</t>
  </si>
  <si>
    <t>28-36" ht &amp; 24-28" sp</t>
  </si>
  <si>
    <t>3-4 ht &amp; sp</t>
  </si>
  <si>
    <t>Hyd. paniculata 'SMNHPH' PP#33207</t>
  </si>
  <si>
    <t>Lime Green ages to Pink-Red</t>
  </si>
  <si>
    <t>18-24" x 18" | bud/bloom</t>
  </si>
  <si>
    <t>15-18" x 15-18" | very nice | bud/bloom</t>
  </si>
  <si>
    <t>24 x 20" | very nice | bud/bloom</t>
  </si>
  <si>
    <t>3' ht x 36-46" sp</t>
  </si>
  <si>
    <t>3-3.5'" ht &amp; sp</t>
  </si>
  <si>
    <t xml:space="preserve">12-15" ht x 18-24" sp </t>
  </si>
  <si>
    <t>22-28"ht x 15-18" sp</t>
  </si>
  <si>
    <t>2-3 ht x 32-36" sp</t>
  </si>
  <si>
    <t>6-7 ht x 3-4.5' sp</t>
  </si>
  <si>
    <t xml:space="preserve">5.5-6" ht x 28-36" sp </t>
  </si>
  <si>
    <t>10-12" x 10" | young crop</t>
  </si>
  <si>
    <t>24" h | young crop / lightly rooted</t>
  </si>
  <si>
    <t xml:space="preserve">4-5' ht x 2.5-3.5' sp </t>
  </si>
  <si>
    <t>3-3.5' h | B Grade - reduced price | 30-36" h</t>
  </si>
  <si>
    <t xml:space="preserve">5-6' ht x 24-28" sp </t>
  </si>
  <si>
    <t>5.5' ht</t>
  </si>
  <si>
    <t>4.5-5' ht x 3.5-4' sp</t>
  </si>
  <si>
    <t>18-24"ht x 18-24"</t>
  </si>
  <si>
    <t>Loropetalum chin. var. r. 'Peack' PP#18441</t>
  </si>
  <si>
    <t>2'×5'</t>
  </si>
  <si>
    <t>18-20" spread</t>
  </si>
  <si>
    <t>Purple Pixie will weep nicely. Let it fall out of a pot or over a wall. Fringe-like flowers bloom periodically against Deep Purple foliage</t>
  </si>
  <si>
    <t>12-15" ht x 18-24" sp</t>
  </si>
  <si>
    <t xml:space="preserve">8-9' ht x 3' sp </t>
  </si>
  <si>
    <t>6' ht x 3' sp</t>
  </si>
  <si>
    <t>4-5' ht x 3-5' sp</t>
  </si>
  <si>
    <t xml:space="preserve">3' ht x 24" sp </t>
  </si>
  <si>
    <t>8-9' x 4' sp x 3"C</t>
  </si>
  <si>
    <t>SALE 36-42"</t>
  </si>
  <si>
    <t>3" ht x 3" sp</t>
  </si>
  <si>
    <t>5-6' ht x 30-36" sp</t>
  </si>
  <si>
    <t>5-6' ht x 3-4' sp</t>
  </si>
  <si>
    <t>Ht 7' now; NICE</t>
  </si>
  <si>
    <t>SALE 18-20"</t>
  </si>
  <si>
    <t>2-2.5' ht x 28-30" sp</t>
  </si>
  <si>
    <t xml:space="preserve">15-18" ht x 18-24" sp </t>
  </si>
  <si>
    <t xml:space="preserve">24" ht x 36-38" sp </t>
  </si>
  <si>
    <t>8"x8-10", blooms (9/3)</t>
  </si>
  <si>
    <t>Ready September 15th (Ht 8-8.5'; Cal 1.5-1.75") Tops Pruned: Flushing</t>
  </si>
  <si>
    <t>12-15" x 18-20" | great color</t>
  </si>
  <si>
    <t>1-1.25" cal. | 8-9' h | good color</t>
  </si>
  <si>
    <t>1.25-1.5" cal. | 6-6.5' h | very nice</t>
  </si>
  <si>
    <t>15-18", blooms (9/3)</t>
  </si>
  <si>
    <t>4' ht &amp; sp</t>
  </si>
  <si>
    <t>4' ht x 18-24" sp</t>
  </si>
  <si>
    <t>nice, mature ht 25ft qty 30, Full / Low Branched, 5.5ft HT</t>
  </si>
  <si>
    <t>3-3.5' ht x 18-24" sp</t>
  </si>
  <si>
    <t xml:space="preserve">6' ht x 2.5-3.5' sp </t>
  </si>
  <si>
    <t>Ht 7-7.5' now; Very nice</t>
  </si>
  <si>
    <t>6-7' x 5-6' sp</t>
  </si>
  <si>
    <t>Ht 10-12" x Wd 23-26"; NICE</t>
  </si>
  <si>
    <t>Miss Lemon dazzles with vibrant Golden-Yellow and Green variegated foliage, turning Purplish-Bronze in fall. Fragrant</t>
  </si>
  <si>
    <t>Suntastic Peach foliage emerges a vibrant Peach-Orange-Golden-then bright Green-Yellow-Gold margins. Fragrant</t>
  </si>
  <si>
    <t>Peach Perfection has fiery new foliage, then shades of Peach, Orange, and Green, then Bronze-Purple fall tones. Fragrant</t>
  </si>
  <si>
    <t>First Flame named for fiery shades of Orange and Red in the fall. Bred for cold resistance</t>
  </si>
  <si>
    <t>Milly Rock Rose, like all Yarrow, has bright foliage from late spring to fall. Spicy, herbal foliage scent</t>
  </si>
  <si>
    <t>Poquito Lavender is bred for compact form, prolific flowering, and exceptional heat and drought tolerance. Green Minty foliage</t>
  </si>
  <si>
    <t>Tiny Tank forms dense, dwarf clumps of dark, subtly speckled leaves—an almost indestructible plant. Sparse Creamy-Purple flowers</t>
  </si>
  <si>
    <t>Chrysalis Blue has Grey-Green foliage.  All BB bloom summer to frost, on new wood, so cut back hard late winter</t>
  </si>
  <si>
    <t>CranRazz has Gray-Green foliage and a fragrance. All BB bloom summer to frost, on new wood, so cut back hard late winter</t>
  </si>
  <si>
    <t>Li'l Grape has Green foliage and a sweet fragrance. All BB bloom summer to frost, on new wood, so cut back hard late winter</t>
  </si>
  <si>
    <t>Dapper Lavender has Gray-Green foliage and a fragrance. All BB bloom summer to frost, on new wood, so cut back hard late winter</t>
  </si>
  <si>
    <t>Dapper Pink has Green foliage and a fragrance.  All BB bloom summer to frost, on new wood, so cut back hard late winter</t>
  </si>
  <si>
    <t>Dapper White has Grey-Green foliage and a sweet fragrance.  All BB bloom summer to frost, on new wood, so cut back hard late winter</t>
  </si>
  <si>
    <t>RoyalRazz has Green foliage and a sweet fragrance. All BB bloom summer to frost, on new wood, so cut back hard late winter</t>
  </si>
  <si>
    <t>Tutti Fruitti has Gray-Green foliage and a fragrance. All BB bloom summer to frost, on new wood, so cut back hard late winter</t>
  </si>
  <si>
    <t>Blueberry Pie has Green foliage and a fragrance. All BB bloom summer to frost, on new wood, so cut back hard late winter</t>
  </si>
  <si>
    <t>Purple Haze has Silvery-Green foliage and is non-invasive.  All BB bloom summer to frost, on new wood, so cut back hard late winter</t>
  </si>
  <si>
    <t>Pugster Blue has Green foliage and a fragrance. All BB bloom summer to frost, on new wood, so cut back hard late winter</t>
  </si>
  <si>
    <t>Baby Gem keeps its glossy Bright Green foliage year-round. Cold/heat tolerant. Slow-growing, dense, and ideal for hedges and borders</t>
  </si>
  <si>
    <t>Independence has strong resistance to Boxwood Blight/Leafminer. Minimal bronzing. Slow-growing, dense, and ideal for hedges and borders</t>
  </si>
  <si>
    <t>Freedom has strong resistance to Boxwood Blight/Leafminer. Minimal bronzing. Slow-growing, dense, and ideal for hedges and borders</t>
  </si>
  <si>
    <t>Christmas Carol  is known for its graceful, semi-weeping habit and beautiful bell-shaped flowers that bloom from fall into early winter</t>
  </si>
  <si>
    <t>24"×28"</t>
  </si>
  <si>
    <t>Bright Yellow bloom, Orange speckles</t>
  </si>
  <si>
    <t>24"×18"</t>
  </si>
  <si>
    <t>Tangerine-Orange bloom</t>
  </si>
  <si>
    <t>Scarlet-Red bloom</t>
  </si>
  <si>
    <t>Sapphire Surf Bluebeard delivers vivid late-summer blooms, aromatic foliage, and a compact form</t>
  </si>
  <si>
    <t>Lavender Twist has cascading blooms before leaf‑out atop twisted pendulous branches, Green foliage turns Yellow in fall</t>
  </si>
  <si>
    <t>Hearts A'fire Redbud foliage that emerges a Deep Red and retains its vibrant color throughout the summer</t>
  </si>
  <si>
    <t>Black Pearl known for it's exceptionally dark foliage, that holds it's color well through the growing season</t>
  </si>
  <si>
    <t>Cercis canadensis 'JN2' PP#21451</t>
  </si>
  <si>
    <t>Rosy-Purple bloom</t>
  </si>
  <si>
    <t>Ht 5.5' now; Look good</t>
  </si>
  <si>
    <t>Ht 7-7.5'; flushing</t>
  </si>
  <si>
    <t>Rising Sun foliage is gold and yellow, then lime-green, looking like a sun on it's path across the sky</t>
  </si>
  <si>
    <t>Sparkling Wine named for shimmering, variegated new foliage, emerging with an Orange-Red hue, that holds well through summer</t>
  </si>
  <si>
    <t>Ready late September</t>
  </si>
  <si>
    <t>New crop; Ht 7.5'-8'; Nice</t>
  </si>
  <si>
    <t>Ht 6.5-7'; NICE</t>
  </si>
  <si>
    <t>Zig Zag is distinguished by its unique zigzagging branch structure, which provides exceptional winter interest. Foliage turns Yellow in fall</t>
  </si>
  <si>
    <t>Night Light offers vivid Golden foliage that transitions to Bronze in winter, keeping Green highlights deep within</t>
  </si>
  <si>
    <t>Cornus florida 'Super Princess'</t>
  </si>
  <si>
    <t>Super Princess Dogwood</t>
  </si>
  <si>
    <t>Super Princess is bred for extra-large white bracts, vigorous growth, and brilliant Red to Burgundy fall color</t>
  </si>
  <si>
    <t>Blue Ray named for unique Blue-Green foliage. Vibrant Red-Burgundy fall. Tan to Olive exfoliating bark</t>
  </si>
  <si>
    <t>Snow Tower foliage is Dark Green, turning Reddish-Purple to Scarlet in fall. Exfoliating bark</t>
  </si>
  <si>
    <t>Ht 6.5'; Very Nice</t>
  </si>
  <si>
    <t>Celestial Shadow bright yellow foliage variegated with deep green centers. Rather sun-tolerant dogwood</t>
  </si>
  <si>
    <t>Cornus x rutgersensis 'Rutcan' PP#7210Exp.</t>
  </si>
  <si>
    <t>Constellation has a vigorous habit and profuse blooming. Good resistance to anthracnose and borers</t>
  </si>
  <si>
    <t>Celestial known for prolific blooms of large, long lasting flowers. Dark Green foliage turns Purple-Red in fall</t>
  </si>
  <si>
    <t>Velveteeny has saturated Burgundy foliage, Pink “smoke” in summer, and vivid Red-Orange fall color</t>
  </si>
  <si>
    <t>Winecraft Black foliage emerges Rich Purple, turning near-Black in summer, then Fiery Orange-Red fall color</t>
  </si>
  <si>
    <t>Kahori means "fragrance" in Japanese, reflecting it's strong seet-spicy scent</t>
  </si>
  <si>
    <t>Kahori series plants are bred for heat tolerance, compact form, and nonstop blooming. Flowers are great for cutting</t>
  </si>
  <si>
    <t>Mountain Frost Red Garnet blankets compact Silver mounds with spicy-fragrant, heat-holdfast blooms from spring into fall</t>
  </si>
  <si>
    <t>Bayou Bliss has Deep Burgundy-Red new growth and subtle Red late-winter blooms. Good boxwood alternative. Heat and drought tolerant</t>
  </si>
  <si>
    <t>Cast in Bronze foliage emergess Bronzy-Maroon. Subtle Reddish late winter blooms. Compact upright habit. Heat and drought tolerant</t>
  </si>
  <si>
    <t>Emerald Heights offers a dense, neat habit with glossy foliage and subtle Red late-winter blooms. Heat and drought tolerant</t>
  </si>
  <si>
    <t>Coppertone named for Coppery spring flush, matures to cool blue-green summer tones, then rich winter Purples. Heat and drought tolerant</t>
  </si>
  <si>
    <t>Cinnamon Girl named for look of Plum-Purple new foliage against Blue-Green summer foliage. Subtle Red winter blooms. Heat/drought tol.</t>
  </si>
  <si>
    <t>Swing Low jbiwb for low-growing, cascading habit. Small Reddish-Maroon flowers late winter to early spring. Heat/drought tolerant</t>
  </si>
  <si>
    <t>Vintage Jade offers a layered, spreading habit with subtle Maroon winter blooms. Heat and drought tolerant</t>
  </si>
  <si>
    <t>Double Mint is a rebloomer, delivering waves of highly fragrant, double flowers from spring through fall. Glossy Dark Green foliage</t>
  </si>
  <si>
    <t>Jubilation has exceptionally fragrant,  semi-double flowers that bloom in both spring and a second flush in the fall</t>
  </si>
  <si>
    <t>Hamamelis virginiana 'Little Prospect''</t>
  </si>
  <si>
    <t>Little Prospect Witch Hazel</t>
  </si>
  <si>
    <t>Temple of Bloom offers fragrant blooms, vivid red sepals, and exfoliating bark for striking multi-season interest</t>
  </si>
  <si>
    <t>Carolina Sapphire Cypress</t>
  </si>
  <si>
    <t>20"×26"</t>
  </si>
  <si>
    <t>24"×48"</t>
  </si>
  <si>
    <t>Pale Lavender to White</t>
  </si>
  <si>
    <t>20"×36"</t>
  </si>
  <si>
    <t>24"×36"</t>
  </si>
  <si>
    <t>16"×38"</t>
  </si>
  <si>
    <t>30"×48"</t>
  </si>
  <si>
    <t>16"×30"</t>
  </si>
  <si>
    <t>Hosta undulata 'Variegata'</t>
  </si>
  <si>
    <t>Variegated Wavy Leaf Hosta</t>
  </si>
  <si>
    <t>Lavender-Blue bloom</t>
  </si>
  <si>
    <t>Bouncy has Green foliage. All "Hardy" Hydrangea have cone-shaped flowers on new wood. Flowers change color with age. Extremely cold-hardy</t>
  </si>
  <si>
    <t>Quick Fire has Green foliage. All "Hardy" Hydrangea have cone-shaped flowers on new wood. Flowers change color with age. Extremely cold-hardy</t>
  </si>
  <si>
    <t>Candelabra has Green foliage. All "Hardy" Hydrangea have cone-shaped flowers on new wood. Flowers change color with age. Extremely cold-hardy</t>
  </si>
  <si>
    <t>Dragon Baby has Green foliage. All "Hardy" Hydrangea have cone-shaped flowers on new wood. Flowers change color with age. Extremely cold-hardy</t>
  </si>
  <si>
    <t>Bobo has Green foliage. All "Hardy" Hydrangea have cone-shaped flowers on new wood. Flowers change color with age. Extremely cold-hardy</t>
  </si>
  <si>
    <t>Little Lime has Green foliage. All "Hardy" Hydrangea have cone-shaped flowers on new wood. Flowers change color with age. Extremely cold-hardy</t>
  </si>
  <si>
    <t>Moonrock has Green foliage. All "Hardy" Hydrangea have cone-shaped flowers on new wood. Flowers change color with age. Extremely cold-hardy</t>
  </si>
  <si>
    <t>White Wedding has Green foliage. All "Hardy" Hydrangea have cone-shaped flowers on new wood. Flowers change color with age. Extremely cold-hardy</t>
  </si>
  <si>
    <t>Limelight has Green foliage. All "Hardy" Hydrangea have cone-shaped flowers on new wood. Flowers change color with age. Extremely cold-hardy</t>
  </si>
  <si>
    <t>Sweet Starlight has Green foliage. All "Hardy" Hydrangea have cone-shaped flowers on new wood. Flowers change color with age. Extremely cold-hardy</t>
  </si>
  <si>
    <t>Vanilla Strawberry has Green foliage. All "Hardy" Hydrangea have cone-shaped flowers on new wood. Flowers change color with age. Extremely cold-hardy</t>
  </si>
  <si>
    <t>Fire Light has Green foliage. All "Hardy" Hydrangea have cone-shaped flowers on new wood. Flowers change color with age. Extremely cold-hardy</t>
  </si>
  <si>
    <t>Little Quick Fire has Green foliage. All "Hardy" Hydrangea have cone-shaped flowers on new wood. Flowers change color with age. Extremely cold-hardy</t>
  </si>
  <si>
    <t>Little Lime Punch has Green foliage. All "Hardy" Hydrangea have cone-shaped flowers on new wood. Flowers change color with age. Extremely cold-hardy</t>
  </si>
  <si>
    <t>Fire Light Tidbit has Green foliage. All "Hardy" Hydrangea have cone-shaped flowers on new wood. Flowers change color with age. Extremely cold-hardy</t>
  </si>
  <si>
    <t>Quick Fire Fab has Green foliage. All "Hardy" Hydrangea have cone-shaped flowers on new wood. Flowers change color with age. Extremely cold-hardy</t>
  </si>
  <si>
    <t>Limelight Prime has Dark Green foliage. All "Hardy" Hydrangea have cone-shaped flowers on new wood. Flowers change color with age. Extremely cold-hardy</t>
  </si>
  <si>
    <t>My Lady Red Holly foliage emerges striking Copper-Red. Heat/cold tolerant. Bright Red berries if pollinated</t>
  </si>
  <si>
    <t>Monarch Holly has a dense conical form, Good cold/heat tolerance from its red and blue holly parentage. Brilliant Red fall berries</t>
  </si>
  <si>
    <t>Crown Point Holly is a striking, columnar evergreen with elongated foliage and a compact habit.Berries if pollinated</t>
  </si>
  <si>
    <t>Screen Play features glossy, spineless Bronze-tinged foliage and abundant Red berries in winter</t>
  </si>
  <si>
    <t>Golden Oakland has striking Golden variegated foliage with oak-like leaves, offering bold year-round color</t>
  </si>
  <si>
    <t>Purple Glaze new growth emerges Deep Burgundy, gradually turning Dark Green. Small Creamy-White blooms, often with Pink streaks</t>
  </si>
  <si>
    <t>Mint Julep Juniper has finely textured foliage on arching branches forming a fountain-like mound. Sun/heat/drought tolerant</t>
  </si>
  <si>
    <t>Lunar Magic is named for the contrast of the pure White bloom against the dark Maroon foliage (deep Green late season)</t>
  </si>
  <si>
    <t>Double Dynamite bred for sterility, instead producing intense double blooms for a very long time</t>
  </si>
  <si>
    <t>Thunderstruck 'White Lightning' named for foliage that turns from Green to dark Burgundy-Black by fall.</t>
  </si>
  <si>
    <t>Enduring Summer Red named for exceptionally long blooming period, with excellent mildew resistance</t>
  </si>
  <si>
    <t>Center Stage Coral is quite showy with striking dark, near black foliage contrating with bright flowers</t>
  </si>
  <si>
    <t>Thunderbolt Box has glowing Golden foliage and a dense, mounding habit. It tolerates pruning, serving as a vibrant alternative to boxwood</t>
  </si>
  <si>
    <t>Crimson Fire has Deep Burgundy-Red foliage. Fringe-like flowers bloom periodically after spring</t>
  </si>
  <si>
    <t>Plum Gorgeous offers bold Purple foliage. Fringe-like flowers bloom periodically after spring</t>
  </si>
  <si>
    <t>Purple Diamond has Deep Burgundy-Purple foliage. Fringe-like flowers bloom peridically after spring</t>
  </si>
  <si>
    <t>Mercury is semi-evergreen, keeping it's foliage in mild winter. Late bloomer avoids frost damage</t>
  </si>
  <si>
    <t>Groovy Glow named for Burgundy to Purple winter hues and Orange-Yellow winter blooms. Burgundy spring foliage</t>
  </si>
  <si>
    <t>Persian Spire small flowers appear early. Foliage emerges Purple-Green, turns Green-Burgundy edges, then Yellow-Orange-Red in fall. Bark exfoliates</t>
  </si>
  <si>
    <t>Ht 8'-8.5'; Cal 1.5"; Average at best (buffer material)</t>
  </si>
  <si>
    <t>Mojo dense, variegated foliage adds a consistent splash of color. Fragrant Creamy-White spring blooms smell like Orange blossoms</t>
  </si>
  <si>
    <t>Roman Candle has a striking upright form and brilliant Creamy-White new growth that contrasts beautifully against mature Green foliage</t>
  </si>
  <si>
    <t>Pink Cascade enchants with its waterfall-like pink blooms and graceful weeping form. Foliage turns Red-Gold in fall</t>
  </si>
  <si>
    <t>Ever After Pink flowers from spring through fall, with high cold and heat tolerance. Tidy habit and good pollinator appeal</t>
  </si>
  <si>
    <t>Raspberry Cupcake has raspberry/lemony fragrance. Deadhead as needed. Thorny (rabbits may still nibble). Cut back annually</t>
  </si>
  <si>
    <t>Bliss Parfuma has intensly fruity fragrance and up to 120  petals. Deadhead as needed. Thorny (rabbits may still nibble). Cut back annually</t>
  </si>
  <si>
    <t>Bolero has intensly traditional fragrance, hints of tropical fruit. Deadhead as needed. Thorny (rabbits may still nibble). Cut back annually</t>
  </si>
  <si>
    <t>Drift Roses bloom all summer and don't need deadheading, Glossy Green foliage and thorns (rabbits may still nibble). Cut back annually</t>
  </si>
  <si>
    <t>Peach has a mild fragrance. Drift Roses bloom all summer, without deadheading, Glossy Green foliage and thorns (rabbits may still nibble)</t>
  </si>
  <si>
    <t>Moonlight Romantica has a honey and fresh fruit fragrance. Deadhead as needed. Thorny (rabbits may still nibble). Cut back annually</t>
  </si>
  <si>
    <t>Lemon Sunblaze blooms are "tiny works of art". Subtle fragrance. Deadhead as needed. Thorny (rabbits may still nibble). Cut back annually</t>
  </si>
  <si>
    <t>Sweet Mademoiselle blooms repeatedly, with a strong fruity fragrance. Deadhead as needed. Thorny (rabbits may still nibble). Cut back annually</t>
  </si>
  <si>
    <t>Sweet has a mild fragrance. Drift Roses bloom all summer, without deadheading, Glossy Green foliage and thorns (rabbits may still nibble)</t>
  </si>
  <si>
    <t>Peach Sunblaze blooms repeatedly from spring to frost. Deadhead as needed. Thorny (rabbits may still nibble). Cut back annually</t>
  </si>
  <si>
    <t>Knock Out bloom all summer and don't need deadheading. Glossy Green foliage and thorns (rabbits may still nibble). Cut back annually</t>
  </si>
  <si>
    <t>Taste of Heaven delivers exceptionally sweet, early fruit on thornless upright canes. Self-pollinating</t>
  </si>
  <si>
    <t>24"×42"</t>
  </si>
  <si>
    <t>Golden-Yellow ray, Dark eye</t>
  </si>
  <si>
    <t>American Gold Rush blooms from midsummer to frost. Bred for increaset heat &amp; disease resistance</t>
  </si>
  <si>
    <t>Goldsturm has large, long-lasting flowers that create a "gold storm" of color from mid-summer through fall</t>
  </si>
  <si>
    <t>Cherry-Red ray, Dark eye</t>
  </si>
  <si>
    <t>Yellow to Copper-Red rays, Dark eye</t>
  </si>
  <si>
    <t>Solar Sisters offers warm, vibrant flowers colors,  summer to frost, then fiery color shifts that intensify as nights cool</t>
  </si>
  <si>
    <t>Purple flower spikes</t>
  </si>
  <si>
    <t>Arctic Blaze was bred for strong stems, vivid color, an extended bloom in hot climates, and cold-hardiness</t>
  </si>
  <si>
    <t>36"×36"</t>
  </si>
  <si>
    <t>Red &amp; White flower</t>
  </si>
  <si>
    <t>Hot Lips displays blooms from spring to frost, shifting color with lower temps. Leaves have a scent of blackcurrant</t>
  </si>
  <si>
    <t>Indigo flower spikes</t>
  </si>
  <si>
    <t xml:space="preserve">May Night blooms very early (late spring). Aromatic Dark Green foliage. Will rebloom with deadheading
</t>
  </si>
  <si>
    <t>Rose Sensation has showy lacecap flowers that bloom in summer, Golden fall foliage, and exfoliating Coppery-colored bark that provides winter interest</t>
  </si>
  <si>
    <t>Flirty Girl blankets sturdy supports with fragrant lacecaps on old wood. Purple-tinged spring foliage turns Rich Green, then Yellow in fall . Exfoliating bark</t>
  </si>
  <si>
    <t>Taxodium distichum 'Peve Minaret'</t>
  </si>
  <si>
    <t>Peve Minaret Dwarf Bald Cypress</t>
  </si>
  <si>
    <t>Feathery Green needles</t>
  </si>
  <si>
    <t>Ht 32-38" now; Look good</t>
  </si>
  <si>
    <t>Ht 8-9' now; Cal 2.25"; Very nice</t>
  </si>
  <si>
    <t>Hunny Bun has fine-textured foliage that glows. New growth Coppery-Bronze.  Small, fragrant, Creamy-White flower</t>
  </si>
  <si>
    <t>North Pole Arborvitae will bronze out in winter much less than similar Arborvitae</t>
  </si>
  <si>
    <t>Mr. Bowling Ball forms a naturally round, dense globe of fine-textured foliage, requiring little to no pruning to maintain its neat shape</t>
  </si>
  <si>
    <t>Thuja occidentalis 'Jantar' PP#22296</t>
  </si>
  <si>
    <t>Jantar Gold Arborvitae</t>
  </si>
  <si>
    <t>15'×4'</t>
  </si>
  <si>
    <t>Ht 38-40"; Okay</t>
  </si>
  <si>
    <t>Jantar' means "amber" in Polish (it's origin), which describes it's winter hue. Denser foliage than other Arborvitae</t>
  </si>
  <si>
    <t>Private Jet grows fast, stays tight and narrow, has improved winter color, and resists disease better</t>
  </si>
  <si>
    <t>Lemon Burst holds it's bold Golden foliage year-round. Green interior. Resists common needle blight</t>
  </si>
  <si>
    <t>Tall Guy has fragrant, fan-like foliage offer year-round structure with minimal maintenance</t>
  </si>
  <si>
    <t>Tator Tot has fragrant, fan-like foliage</t>
  </si>
  <si>
    <t>Ulmus parvifolia 'BSNUPF' PP#17655</t>
  </si>
  <si>
    <t>Everclear has a narrow form that fits in more places. Very resistant to Dutch Elm disease. Yellow-Brown fall foliage</t>
  </si>
  <si>
    <t>Opening Day shows off baseball-sized blooms, deeply pleated foliage, amd a rich Cabernet-Red fall color</t>
  </si>
  <si>
    <t>Shades of Pink has dark glossy Green foliage, Blush-Pink spring blooms, Red stems, and subtle Burgundy fall tones</t>
  </si>
  <si>
    <t>Pink Lemonade has bicolor flower spikes that shift hues, supported by Charcoal stems and persistent seed pods</t>
  </si>
  <si>
    <t>Pugster Amethyst has Green foliage and a fragrance. All BB bloom on new wood, so cut back hard late winter</t>
  </si>
  <si>
    <t>Gordo has veryy large, scalloped leaves and high tolerance to heat, drought, and pests. Slow-growing, dense, and ideal for hedges and borders</t>
  </si>
  <si>
    <t>Japanese Fatsia is notable for its large, tropical-looking, glossy Dark Green foliage, for bold texture and year-round interest in shaded gardens</t>
  </si>
  <si>
    <t>Carolina Jessamine has very early, fragrant, trumpet-shaped flowers that bloom in late winter to early spring. Vigorous foliage</t>
  </si>
  <si>
    <t>Buttered Rum has vibrant, ruffled foliage that holds a rich, glowing color, gradually turning Rose-Red. Dainty White blooms</t>
  </si>
  <si>
    <t>Solar Eclipse has bold, scalloped foliage that holds its color through heat/humidity. Small White 'bell' flowers late spring</t>
  </si>
  <si>
    <t>Purple Pillar has Green foliage. "Rose of Sharon" Hibiscus have trumpet-shaped flowers on new wood. Woody stems remain</t>
  </si>
  <si>
    <t>Bali has Green foliage. "Rose of Sharon" Hibiscus have trumpet-shaped flowers on new wood. Woody stems remain</t>
  </si>
  <si>
    <t>Woodbridge has Dark Green foliage. "Rose of Sharon" Hib. have trumpet-shaped flowers on new wood. Woody stems remain</t>
  </si>
  <si>
    <t>Early Bird Gold named for its very early bloom time, with continuous show of flowers from late spring through fall</t>
  </si>
  <si>
    <t>Cherry Brandy has unique Cherry-Red petals with a Black eye, a departure from the typical yellow of Susans</t>
  </si>
  <si>
    <t>SWEET &amp; LO has jasmine-scented late-winter/early-spring blooms, Purple stems, and glossy evergreen leaves. Will spread</t>
  </si>
  <si>
    <t>Yeti has Bright Green foliage, turning Yellow-Orange in fall. Summer bloom, on new wood, so prune late winter</t>
  </si>
  <si>
    <t>Northern Lights foliage emerges Bright Red, shifts to Yellow, and matures to Green. Summer bloom, on new wood, so prune late winter</t>
  </si>
  <si>
    <t>Poprocks Pineapple has Chartreuse to Yellow foliage, turning Fiery Red in fall. Summer bloom, on new wood, so prune late winter</t>
  </si>
  <si>
    <t>Lemon Princess has Lemon Yellow to Chartreuse foliage, some Orange-Red tones in fall. Summer bloom, on new wood, so prune late winter</t>
  </si>
  <si>
    <t>Little Princess has Mint Green foliage, with some Reddish-Bronze-Copper tones in fall. Summer bloom, on new wood, so prune late winter</t>
  </si>
  <si>
    <t>Rainbow Fizz has shifting Copper to Green to Gold foliage, with Orange-Red fall tones. Summer bloom, on new wood, so prune late winter</t>
  </si>
  <si>
    <t>Candy Corn foliage emerges Candy-Apple Red, shifts to Bright Yellow, then Orange-Red fall.  Summer bloom, on new wood, so prune late winter</t>
  </si>
  <si>
    <t>Poprocks Petite reblooms a lot, against Rich Green foliage, with Yellow-Copper-Red fall tones.  Summer bloom, on new wood, so prune late winter</t>
  </si>
  <si>
    <t>Purpink has intensely fragrant, tubular flowers, reblooming from spring into fall. Green foliage yellows in fall</t>
  </si>
  <si>
    <t>Spilled Wine has Deep Purple foliage, holding color to leaf drop. Trumpet-shaped flowers on old wood—prune right after spring bloom</t>
  </si>
  <si>
    <t>Vinho Verde has minimal bloom. Lime Green foliage, edged with Near-Black margins, all the way to leaf drop. Trumpet-shaped flowers on old wood—prune right after spring bloom</t>
  </si>
  <si>
    <t>Midnight Sun has blazing Orange-to-Red foliage, all the way to leaf drop. Trumpet-shaped flowers on old wood—prune right after spring bloom</t>
  </si>
  <si>
    <t>Maroon Swoon has Deep Green foliage, subtle Bronzing in fall. Trumpet-shaped flowers on old wood—prune right after spring bloom</t>
  </si>
  <si>
    <t>Stunner Weigela has Dark Purple foliage, Burgundy hue in fall . Trumpet-shaped flowers on old wood—prune right after spring bloom</t>
  </si>
  <si>
    <t>Electric Love has Deep Purple foliage, subtle Bronzing in fall. Trumpet-shaped flowers on old wood—prune right after spring bloom</t>
  </si>
  <si>
    <t>Creamy-White bloom</t>
  </si>
  <si>
    <t>16"×20"</t>
  </si>
  <si>
    <t>Bright Yellow rays, Red eye</t>
  </si>
  <si>
    <t>UPTICK Yellow &amp; Red has a vigorous, compact habit and long-lasting, large bicolored flowers, providing continuous color from late spring to fall</t>
  </si>
  <si>
    <t>Orange-Red center, Yellow rim</t>
  </si>
  <si>
    <t>Daybreak has striking, bicolored flowers, providing a long season of brilliant color, with no deadheading required</t>
  </si>
  <si>
    <t>18"×20"</t>
  </si>
  <si>
    <t>Jethro Tull is a sun-loving rebloomer with unique fluted Golden petals that flower from early summer to fall</t>
  </si>
  <si>
    <t>Ruby-Red rays, Golden eye</t>
  </si>
  <si>
    <t>Red Satin known for its vivid, daisy-like flowers that are produced continuously from early summer through fall</t>
  </si>
  <si>
    <t>Lemon-Yellow rays</t>
  </si>
  <si>
    <t>Golden-Yellow rays, Dark Yellow eye</t>
  </si>
  <si>
    <t>Zagreb has finely textured, thread-like foliage, which creates an airy, lacy mound, and a prolific display of cheerful flowers from summer to fall</t>
  </si>
  <si>
    <t>42"×24"</t>
  </si>
  <si>
    <t>Violet-Blue bloom</t>
  </si>
  <si>
    <t>Ballerina Rose named for graceful, butterfly-like, flowers that dance on slender stems from spring until frost. Dark Burgundy-Green foliage</t>
  </si>
  <si>
    <t>Green fronds</t>
  </si>
  <si>
    <t>Carmine-Red bloom</t>
  </si>
  <si>
    <t>Paladin has large, fragrant, and stunning double blooms that stand out brilliantly in the late spring garden</t>
  </si>
  <si>
    <t>72"×36"</t>
  </si>
  <si>
    <t>72"×48"</t>
  </si>
  <si>
    <t>24"×22"</t>
  </si>
  <si>
    <t>Sombrero Red offers spicy, non-fading Red blooms with overlapping petals and compact form;</t>
  </si>
  <si>
    <t>Fire-engine Red bloom</t>
  </si>
  <si>
    <t>Panama Red has Vivid Red blooms with dark centers,  continuously from summer until fall</t>
  </si>
  <si>
    <t>Cheyenne Spirit is a mix of Pink, Purple, Scarlet, Yellow, Gold, Orange and Cream flowers</t>
  </si>
  <si>
    <t>Deep Rose-Purple bloom</t>
  </si>
  <si>
    <t>36"×72"</t>
  </si>
  <si>
    <t>48"×36"</t>
  </si>
  <si>
    <t>36"×24"</t>
  </si>
  <si>
    <t>12"×6'</t>
  </si>
  <si>
    <t>2'×1.5'</t>
  </si>
  <si>
    <t>1.5'×2.5'</t>
  </si>
  <si>
    <t>1.5'×1.5</t>
  </si>
  <si>
    <t>Deep Grape-Purple bloom</t>
  </si>
  <si>
    <t>24"×30"</t>
  </si>
  <si>
    <t>1.5'×36'</t>
  </si>
  <si>
    <t>12"×30"</t>
  </si>
  <si>
    <t>Bright Red, Deep Red eye</t>
  </si>
  <si>
    <t>EnduraScape Red delivers nonstop blooms with heat and cold tolerance, mildew resistance, and vigorous spreading habit</t>
  </si>
  <si>
    <t>6"×30"</t>
  </si>
  <si>
    <t>Rich Blue, Pearly White eye</t>
  </si>
  <si>
    <t>Georgia Blue is notable for its vigorous, low-growing evergreen mat of foliage that turns a beautiful Bronze-Purple in cooler weather</t>
  </si>
  <si>
    <t>1.5'×1.5'</t>
  </si>
  <si>
    <r>
      <rPr>
        <b/>
        <sz val="9"/>
        <color rgb="FF6B2B00"/>
        <rFont val="Arial"/>
        <family val="2"/>
      </rPr>
      <t xml:space="preserve"> serving the </t>
    </r>
    <r>
      <rPr>
        <b/>
        <u/>
        <sz val="10"/>
        <color rgb="FF6B2B00"/>
        <rFont val="Arial"/>
        <family val="2"/>
      </rPr>
      <t>Eastern Triangle Area</t>
    </r>
    <r>
      <rPr>
        <b/>
        <sz val="12"/>
        <color rgb="FF6B2B00"/>
        <rFont val="Arial"/>
        <family val="2"/>
      </rPr>
      <t>+</t>
    </r>
  </si>
  <si>
    <t>Black Knight has Dark Green foliage, Whitish undersides, and a sweet fragrance. All BB bloom summer to frost, on new wood</t>
  </si>
  <si>
    <t>Red-Orange bloom, Yellow eye</t>
  </si>
  <si>
    <t>Summer Jazz Fire is a compact, well-behaved vine that is perfect for small spaces and containers. Blooms late spring into fall</t>
  </si>
  <si>
    <t>Henryi Clematis Vine</t>
  </si>
  <si>
    <t>Henryi is known as the largest of the white clematis. Prune Clematis often for optimal flower set</t>
  </si>
  <si>
    <t>Niobe Clematis Vine</t>
  </si>
  <si>
    <t>Deep Ruby-Red bloom</t>
  </si>
  <si>
    <t>Niobedazzles with large, velvety blooms and Golden stamens, blooming from late spring through summer; fluffy seed heads follow</t>
  </si>
  <si>
    <t>Echinacea 'Balsomador' PP#26639</t>
  </si>
  <si>
    <t>Adobe Orange bloom</t>
  </si>
  <si>
    <t>Sombrero Adobe Orange is notable for its vibrant, non-fading Orange petals and its long bloom season</t>
  </si>
  <si>
    <t>Guatemala Gold is notable for its vibrant blooms that do not fade, providing a long season of brilliant color</t>
  </si>
  <si>
    <t>PowWow Wild Berry produces of vibrant, wild berry-colored blooms that last from late spring until fall</t>
  </si>
  <si>
    <t>Ruby-Red, Yellow throat</t>
  </si>
  <si>
    <t>Ruby Stella has slightly fragrant flowers that bloom consistently from early summer until frost without the need for deadheading</t>
  </si>
  <si>
    <t>15"×18"</t>
  </si>
  <si>
    <t>Bright White bloom, Yellow eye</t>
  </si>
  <si>
    <t>Whoops-a-Daisy forms a tidy mound of Dark Green foliage topped with abundant, fluffy blooms from early to midsummer</t>
  </si>
  <si>
    <t>Big Blue forms lush, arching clumps of Dark Green foliage with late-summer flower spikes and shiny Black berries</t>
  </si>
  <si>
    <t>Variegated Liriope has Green plus Creamy-edged foliage, and flower spikes in late summer, followed by Black berries</t>
  </si>
  <si>
    <t>White bloom, Green tips</t>
  </si>
  <si>
    <t>Light Pink bloom, Dark Pink sepals</t>
  </si>
  <si>
    <t>Sango Kaku means "coral pillars". Great foliage color in the summer, then Yellow-Red_Orange in fall. Bark is a stunner in winter-time</t>
  </si>
  <si>
    <t>Green foliage, Red petioles</t>
  </si>
  <si>
    <t>plants priced here</t>
  </si>
  <si>
    <t>Agave = Agave &amp; Century Plant</t>
  </si>
  <si>
    <t>Century Plant has an architectural rosette of succulent, Blue-Green foliage. Blooms just once with a 15'-30' towering stalk at the end of its life</t>
  </si>
  <si>
    <t>Center Stripe Agave</t>
  </si>
  <si>
    <t>Center Stripe has Dark Green foliage and a bold Yellow stripe. Blooms just once with a 10'-12' towering stalk at the end of its life</t>
  </si>
  <si>
    <t>JC Raulston Agave</t>
  </si>
  <si>
    <t>Alocasia = 1 of 2 Elephant Ear types (see also Colocasia)</t>
  </si>
  <si>
    <t>Pugster Pink has Green foliage and fragrant, oversize blooms. All BB bloom summer to frost, on new wood, so cut back hard late winter</t>
  </si>
  <si>
    <t>Cephalotaxus = Plum Yew  (Taxus = true Yew)</t>
  </si>
  <si>
    <t>Colocasia = 1 of 2 Elephant Ear types (see also Alocasia)</t>
  </si>
  <si>
    <t>Fargesia = 1 of 5 Bamboo types (true clumper, non-invasive)</t>
  </si>
  <si>
    <t>Hibanobambusa = 1 of 5 Bamboo types (slow runner, by rhizome)</t>
  </si>
  <si>
    <t>Phyllostachys = 1 of 5 Bamboo types (fast runner, by rhizome)</t>
  </si>
  <si>
    <t>Podocarpus = Podocarpus (aka "Shrub Yew")</t>
  </si>
  <si>
    <t>Sasaella = 1 of 5 Bamboo types (slow runner, by rhizome)</t>
  </si>
  <si>
    <t>Magic Carpet has Golden-Yellow foliage &amp; Red tips. Russet to Orange-Red in fall. Non-Japanese, blooms on old wood, prune right after bloom</t>
  </si>
  <si>
    <t>Taxus = true Yew  (Cephalotaxus = Japanese Yew)</t>
  </si>
  <si>
    <t>Vac. = Blueberry (Vaccinium)</t>
  </si>
  <si>
    <t>Qty 50, 1.5ft Spr</t>
  </si>
  <si>
    <t>16-17" x 24-26" | bud/bloom</t>
  </si>
  <si>
    <t>18-24in sun 20-24" shade</t>
  </si>
  <si>
    <t>Agave parryi var. truncata</t>
  </si>
  <si>
    <t>Barrell Agave</t>
  </si>
  <si>
    <t>Barrell Agave has sculptural, artichoke-like rosettes with Reddish spines. Blooms just once with an 8'-12' towering stalk at the end of its life</t>
  </si>
  <si>
    <t>16-18" ht ht 12-15" Flowers</t>
  </si>
  <si>
    <t>118"ht 'ht 20-24"'sp</t>
  </si>
  <si>
    <t>pruned 13"</t>
  </si>
  <si>
    <t>blooms (9/9)</t>
  </si>
  <si>
    <t>Ht 13-14" x Wd 14-16"; Pruned; Ready October 15th</t>
  </si>
  <si>
    <t>Ht 6-7'</t>
  </si>
  <si>
    <t>4.5-5.5' tall | MS, bush form | bud/bloom</t>
  </si>
  <si>
    <t>10-15-20" yellow and red flowers</t>
  </si>
  <si>
    <t>Ht 7'; Look good</t>
  </si>
  <si>
    <t>16-18" ht flowers 12-15" summer</t>
  </si>
  <si>
    <t>28-30" sp 28-30" sp; native</t>
  </si>
  <si>
    <t>28-30" 28-30" ht; native</t>
  </si>
  <si>
    <t>10-15-20" ht x 1-2' sp</t>
  </si>
  <si>
    <t>Qty 20, 1.5-2ft HT</t>
  </si>
  <si>
    <t>16-18" ht vergreen 12-15" climber</t>
  </si>
  <si>
    <t>18-24x ' Male cultivar 20-24" ht. x 20-30';  Male cultivar - no fruit</t>
  </si>
  <si>
    <t>18-24lined with raspberry 20-24" veins</t>
  </si>
  <si>
    <t>10-15-20" to</t>
  </si>
  <si>
    <t>18-24with a red 20-24" center</t>
  </si>
  <si>
    <t>18-24flowers 20-24" flowers</t>
  </si>
  <si>
    <t>10-15-20" single</t>
  </si>
  <si>
    <t>16-18 with picotee edgesx 15-18" edges</t>
  </si>
  <si>
    <t>16-18 and white Flowersx 15-18" Flowers</t>
  </si>
  <si>
    <t>16-18 to rose-pinkx 15-18" pink</t>
  </si>
  <si>
    <t>10-15-20" flower</t>
  </si>
  <si>
    <t>10-15-20" and</t>
  </si>
  <si>
    <t>10-15-3' ht x-20" ht</t>
  </si>
  <si>
    <t>blooms, 18-20" (9/9)</t>
  </si>
  <si>
    <t>Qty 40 Nice, 1.25-1.5ft HT</t>
  </si>
  <si>
    <t>qty 5, 2ft Spr</t>
  </si>
  <si>
    <t>Qty 100 nice, 4-5ft HT</t>
  </si>
  <si>
    <t>Qty 80 Nice , 5.5-6ft HT</t>
  </si>
  <si>
    <t>Ht 4.5-5'; Thin (light at the bottom)</t>
  </si>
  <si>
    <t>Multi-Stem; Ready November</t>
  </si>
  <si>
    <t>Multi-stem; Ht 7-7.5'; Very nice</t>
  </si>
  <si>
    <t>18-24&amp; 20-24" ht &amp; sp</t>
  </si>
  <si>
    <t>18-24small 20-24" succulant</t>
  </si>
  <si>
    <t>13-18"ht blooms 20-24"'ht</t>
  </si>
  <si>
    <t>28-30" 28-30" '</t>
  </si>
  <si>
    <t>116-24" ht x 18-15" blooms 15-18" blooms</t>
  </si>
  <si>
    <t>14-18"ht ht 20-24"clumps</t>
  </si>
  <si>
    <t>18-24flowers 20-24" ht</t>
  </si>
  <si>
    <t>16-18 x 2-3' spx 15-18" sp</t>
  </si>
  <si>
    <t>16-18 x 2-2.5' spx 15-18" sp</t>
  </si>
  <si>
    <t>13-18"ht grows 20-24"native</t>
  </si>
  <si>
    <t>18-24'ht ' 20-24" w/ flower</t>
  </si>
  <si>
    <t>16-18" ht ' 12-15" w/ flower</t>
  </si>
  <si>
    <t>16-18 bloom,deer resistantx 15-18" resistant</t>
  </si>
  <si>
    <t>Pennisetum purpureum 'Princesss Caroline' PP#21464</t>
  </si>
  <si>
    <t>Princess Carolina Purple Fountain Grass</t>
  </si>
  <si>
    <t>Purple-Maroon blades</t>
  </si>
  <si>
    <t>Princess Caroline offers unrivaled texture and heat tolerance. Rare, Reddish blooms. Blade color deepens to Rich Burgundy-Purple in fall</t>
  </si>
  <si>
    <t>16-18" ht purple 12-15" native</t>
  </si>
  <si>
    <t>1foliage, 18"ht foliage 20-24"'</t>
  </si>
  <si>
    <t>Up to 12-18" now; Nice; Starting dormency</t>
  </si>
  <si>
    <t>blooms, 10"x12-15"</t>
  </si>
  <si>
    <t>10-12" ht &amp; sp</t>
  </si>
  <si>
    <t>8-10” x 12-15” | bud/bloom</t>
  </si>
  <si>
    <t>16-18" ht fruit 12-15" winter</t>
  </si>
  <si>
    <t>15" spread, blooms</t>
  </si>
  <si>
    <t>10-15-20" yellow flowers, dark brown center</t>
  </si>
  <si>
    <t>18-24' ht &amp; sp Pink and 20-24" ht &amp; sp, Pink and white flowers</t>
  </si>
  <si>
    <t>9-12" ht &amp; flowers</t>
  </si>
  <si>
    <t>18-24grows height 20-24" flowers</t>
  </si>
  <si>
    <t>8-12" ht &amp; h &amp; sp. North American Native</t>
  </si>
  <si>
    <t>16-18 North x 15-18" sp. North American Native</t>
  </si>
  <si>
    <t>16-18" ht growing 12-15" foliage</t>
  </si>
  <si>
    <t>15" (9/9)</t>
  </si>
  <si>
    <t>10-12" w | young crop | 12" x 15" | very nice</t>
  </si>
  <si>
    <t>10-12" w | great color | 10-12" w | great color | young crop</t>
  </si>
  <si>
    <t>18" x 18" | nice</t>
  </si>
  <si>
    <t>16-18" ht Groundcover 12-15" Flowers</t>
  </si>
  <si>
    <t>9-12" ht &amp; Flowers</t>
  </si>
  <si>
    <t>28-30" 28-30" Flowers</t>
  </si>
  <si>
    <t>15-18"ht purple 20-24"h, light pink to purple blooms; native</t>
  </si>
  <si>
    <t>28-30" flowers 28-30" native</t>
  </si>
  <si>
    <t>124-18"ht purple 20-24"native</t>
  </si>
  <si>
    <t>118-18"ht blue 20-24"native</t>
  </si>
  <si>
    <r>
      <rPr>
        <sz val="10"/>
        <color theme="0"/>
        <rFont val="Arial"/>
        <family val="2"/>
      </rPr>
      <t>sorted by</t>
    </r>
    <r>
      <rPr>
        <sz val="12"/>
        <color theme="0"/>
        <rFont val="Arial"/>
        <family val="2"/>
      </rPr>
      <t xml:space="preserve">  </t>
    </r>
    <r>
      <rPr>
        <sz val="12"/>
        <color rgb="FFF84294"/>
        <rFont val="Arial Black"/>
        <family val="2"/>
      </rPr>
      <t>LATIN NAME</t>
    </r>
    <r>
      <rPr>
        <sz val="12"/>
        <color theme="0"/>
        <rFont val="Arial"/>
        <family val="2"/>
      </rPr>
      <t xml:space="preserve">. </t>
    </r>
    <r>
      <rPr>
        <sz val="10"/>
        <color theme="0"/>
        <rFont val="Arial"/>
        <family val="2"/>
      </rPr>
      <t xml:space="preserve"> Find  </t>
    </r>
    <r>
      <rPr>
        <sz val="11"/>
        <color rgb="FFC4FAFF"/>
        <rFont val="Arial Black"/>
        <family val="2"/>
      </rPr>
      <t>PLANT GROUPS</t>
    </r>
    <r>
      <rPr>
        <sz val="10"/>
        <color theme="0"/>
        <rFont val="Arial"/>
        <family val="2"/>
      </rPr>
      <t xml:space="preserve"> just below</t>
    </r>
    <r>
      <rPr>
        <b/>
        <sz val="14"/>
        <color theme="0"/>
        <rFont val="Arial"/>
        <family val="2"/>
      </rPr>
      <t xml:space="preserve">  </t>
    </r>
    <r>
      <rPr>
        <sz val="12"/>
        <color theme="0"/>
        <rFont val="Arial Black"/>
        <family val="2"/>
      </rPr>
      <t>⇓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 </t>
    </r>
    <r>
      <rPr>
        <sz val="9"/>
        <color theme="0"/>
        <rFont val="Arial Black"/>
        <family val="2"/>
      </rPr>
      <t xml:space="preserve">or </t>
    </r>
    <r>
      <rPr>
        <sz val="9"/>
        <color rgb="FFD5D5E3"/>
        <rFont val="Arial Black"/>
        <family val="2"/>
      </rPr>
      <t>Search anything</t>
    </r>
    <r>
      <rPr>
        <sz val="9"/>
        <color theme="0"/>
        <rFont val="Arial Black"/>
        <family val="2"/>
      </rPr>
      <t xml:space="preserve"> </t>
    </r>
    <r>
      <rPr>
        <b/>
        <sz val="16"/>
        <color theme="0"/>
        <rFont val="Arial"/>
        <family val="2"/>
      </rPr>
      <t xml:space="preserve"> </t>
    </r>
    <r>
      <rPr>
        <sz val="12"/>
        <color theme="0"/>
        <rFont val="Arial Black"/>
        <family val="2"/>
      </rPr>
      <t>⇒</t>
    </r>
  </si>
  <si>
    <t>Aesculus x neglecta 'Erythroblastos'</t>
  </si>
  <si>
    <t>Sunrise Buckeye</t>
  </si>
  <si>
    <t>Ht 2.5'-3'; Nice; Typical Aesculus foliage now</t>
  </si>
  <si>
    <t>JC Raulston is cold-hardy, with Blue-Gray rosettes and fierce spines. Blooms just once with a 10'-12' towering stalk at the end of its life</t>
  </si>
  <si>
    <t>Agave 'Sharkskin'</t>
  </si>
  <si>
    <t>Sharkskin Agave</t>
  </si>
  <si>
    <t>Yellow-Green bloom</t>
  </si>
  <si>
    <t>Celtis occidentalis</t>
  </si>
  <si>
    <t>Common Hackberry</t>
  </si>
  <si>
    <t>Ht 7'-7.5'</t>
  </si>
  <si>
    <t>Cercis canadensis 'NC2016-2' PP#31260</t>
  </si>
  <si>
    <t>Ht 6-7'; Cal .75-1"; Very nice</t>
  </si>
  <si>
    <t>Flame Thrower boasts a stunning display of color throughout the season. Developed at JC Raulston Arboretum</t>
  </si>
  <si>
    <t>Cercis canadensis 'Traveller'</t>
  </si>
  <si>
    <t>Traveller Weeping Redbud</t>
  </si>
  <si>
    <t>6'×12'</t>
  </si>
  <si>
    <t>Ht 46-54" now; Very nice</t>
  </si>
  <si>
    <t>Ht 5' now; Very nice</t>
  </si>
  <si>
    <t>Cercis canadensis 'Velvet Hearts'</t>
  </si>
  <si>
    <t>Velvet Hearts Redbud</t>
  </si>
  <si>
    <t>Rosy Pink to Magenta bloom</t>
  </si>
  <si>
    <t>New; Ht 5.5'-6' now; Very Nice</t>
  </si>
  <si>
    <t>Ht 7.5'-8'; Cal .75"-1" now</t>
  </si>
  <si>
    <t>Velvet Hearts has vivid Reddish-Purple foliage with glowing Red undersides, turning clear Yellow in fall. Very early spring blooms</t>
  </si>
  <si>
    <t>Corylopsis pauciflora</t>
  </si>
  <si>
    <t>Buttercup Winterhazel</t>
  </si>
  <si>
    <t>Buttercup has fragrant, bell-shaped blooms on bare branches in late winter, followed by Bronze-tinged foliage and smooth Reddish bark</t>
  </si>
  <si>
    <t>Golden Spring Winterhazel</t>
  </si>
  <si>
    <t>Corylus avellana 'Contorta'</t>
  </si>
  <si>
    <t>Harry Lauder’s Walking Stick</t>
  </si>
  <si>
    <t>Ready Nov. 1st (young)</t>
  </si>
  <si>
    <t>Harry Lauder's Walking Stick is noted for its severely twisted and contorted stems, especially when covered in showy, pendulous catkins in winter</t>
  </si>
  <si>
    <t>Ginkgo biloba 'Ross Moore Weeping Wonder'</t>
  </si>
  <si>
    <t>Weeping Wonder Ginkgo</t>
  </si>
  <si>
    <t>Weeping Wonder is a unique weeping ginkgo cultivar with a graceful, strongly pendulous habit and excellent Golden-Yellow fall color</t>
  </si>
  <si>
    <t>Fuchsia-Red to Magenta bloom</t>
  </si>
  <si>
    <t>Magnolia 'Cleopatra'</t>
  </si>
  <si>
    <t>Cleopatra Magnolia</t>
  </si>
  <si>
    <t>Purple-Burgundy bloom</t>
  </si>
  <si>
    <t>Ht 6.5-7'; Nice</t>
  </si>
  <si>
    <t>Cleopatra has abundant, large, goblet-shaped, flowers that have a Metallic sheen and often rebloom in summer</t>
  </si>
  <si>
    <t>Magnolia virginiana 'Green Shadow'</t>
  </si>
  <si>
    <t>Green Shadow Magnolia</t>
  </si>
  <si>
    <t>30'×18'</t>
  </si>
  <si>
    <t>Single stem; Ht 6-7' now; NICE</t>
  </si>
  <si>
    <t>Magnolia x 'Patience'</t>
  </si>
  <si>
    <t>Little Mimi Magnolia</t>
  </si>
  <si>
    <t>"New" Young crop; Ht 36-38"</t>
  </si>
  <si>
    <t>Little Mimi is noted for its sweet-scented flowers that bloom in spring and sporadically through the summer</t>
  </si>
  <si>
    <t>Osmanthus fragrans 'Quinnan Guifei'</t>
  </si>
  <si>
    <t>Noble Lady Tea Olive</t>
  </si>
  <si>
    <t>Ht 32-36" now</t>
  </si>
  <si>
    <t>Noble Lady foliage flushes Deep Pink, then fades to Pale Pink and Creamy White before maturing to Green. Intensely fragrant blooms</t>
  </si>
  <si>
    <t>Parrotia persica 'Golden Bell Tower'</t>
  </si>
  <si>
    <t>Golden Bell Tower Persian Parrotia</t>
  </si>
  <si>
    <t>Golden Bell Tower has a storm-resistant columnar form, exfoliating bark revealing Pink tones, and consistent Golden-Apricot fall color</t>
  </si>
  <si>
    <t>Prunus mume 'Bonita'</t>
  </si>
  <si>
    <t>Bonita Flowering Apricot</t>
  </si>
  <si>
    <t>New crop; Ht 6'-6.5'; Very Nice</t>
  </si>
  <si>
    <t>Bonita is valued for its delicate and highly fragrant flowers that appear on bare branches in late winter. Yellow to Orange fall foliage</t>
  </si>
  <si>
    <t>Peggy Clarke known for spectacular and early winter bloom, one of the first trees to flower. Sweet clove-like fragrance. Fruit is quite bitter</t>
  </si>
  <si>
    <t>Prunus mume 'Yuh-Hwa'</t>
  </si>
  <si>
    <t>Yuh-Hwa Japanese Apricot</t>
  </si>
  <si>
    <t>Ht 6.5'-7'; Very Nice</t>
  </si>
  <si>
    <t>Yuh-Hwa brings rich fragrance and Rosy double blossoms on bare branches in late winter</t>
  </si>
  <si>
    <t>Styrax americanus 'Baby Blue'</t>
  </si>
  <si>
    <t>Baby Blue American Snowbell</t>
  </si>
  <si>
    <t>Ht 4-4.5'; Okay</t>
  </si>
  <si>
    <t>Styrax japonicus 'RNI-RIXRED' PP#35353</t>
  </si>
  <si>
    <t>18'×8'</t>
  </si>
  <si>
    <t>Viburnum × 'Yardline'</t>
  </si>
  <si>
    <t>Yardline has fragrant spring blooms, glossy foliage, and a narrow upright habit. Red berries if a pollinator like V. awabuki is nearby</t>
  </si>
  <si>
    <t>Summer Jazz Gold has trumpet blooms with Fiery Orange throats from midsummer to fall. Bred for reduced invasiveness</t>
  </si>
  <si>
    <t>New crop; Ht 5.5' now</t>
  </si>
  <si>
    <t>Ht 6-7'; NICE; Lightly rooted</t>
  </si>
  <si>
    <t>Young crop; Ht 7-8" x Wd 11-12"</t>
  </si>
  <si>
    <t>Ht 7" x Wd 9"; NICE</t>
  </si>
  <si>
    <t>Ht 7-8" x Wd 10-12"</t>
  </si>
  <si>
    <t>Ht 8.5-9'; Cal 1.5"; NICE</t>
  </si>
  <si>
    <t>Single; Ht 8.5'; Cal 1.75"; Okay</t>
  </si>
  <si>
    <t>Upright grower; New crop; Ht 28-30" now</t>
  </si>
  <si>
    <t>Single Trunk Tree Form; Ready Spring 2026 (May)</t>
  </si>
  <si>
    <t>Autumn Spirit offers vibrant late-season double blooms atop glossy evergreen foliage</t>
  </si>
  <si>
    <t>New crop; Ht 34-36"; NICE; Buds</t>
  </si>
  <si>
    <t>Bright Red bloom</t>
  </si>
  <si>
    <t>Ht 32-34" now; Look good</t>
  </si>
  <si>
    <t>Espalier; Ready November</t>
  </si>
  <si>
    <t>Greensboro Red boasts striking, semi-double blooms adorning glossy evergreen foliage. Mid to late spring bloom</t>
  </si>
  <si>
    <t>White bloom, Pink edges</t>
  </si>
  <si>
    <t>Autumn Delight has elegant double blooms from early to late fall, with glossy evergreen foliage and a refined upright habit</t>
  </si>
  <si>
    <t>Soft Pink, Yellow stamen</t>
  </si>
  <si>
    <t>Camellia sasanqua 'Cotton Candy'</t>
  </si>
  <si>
    <t>Cotton Candy Camellia</t>
  </si>
  <si>
    <t>Shrub Form; New crop; Ht 5-5.5' x Wd 3-3.5'; Nice</t>
  </si>
  <si>
    <t>MSTF; Ht 5.5'; Very nice; Full; Buds</t>
  </si>
  <si>
    <t>Cotton Candy' has abundant, semi-double, clear Pink flowers that appear from late fall to early winter</t>
  </si>
  <si>
    <t>Ruby-Red bloom</t>
  </si>
  <si>
    <t>Crimson-Red, Yellow eye</t>
  </si>
  <si>
    <t>October Magic Ivory has glossy dark Green foliage and is known for its prolific, slightly fragrant double blooms and upright form</t>
  </si>
  <si>
    <t>Ht 16-18" x Wd 23-24"; NICE; Lightly rooted</t>
  </si>
  <si>
    <t>Espalier; Ht 4-4.5' x Wd 30" on trellis; Look good; Buds</t>
  </si>
  <si>
    <t>Ht 32-34"; NICE; Buds</t>
  </si>
  <si>
    <t>Ht 3.5-4' x Wd 24"; NICE; Buds</t>
  </si>
  <si>
    <t>Ht 4.5'+ x Wd 32-36" now; Nice; Buds</t>
  </si>
  <si>
    <t>Multi-stem Tree Form; Ht 4.5-5' now; Buds</t>
  </si>
  <si>
    <t>Camellia sasanqua 'Yume'</t>
  </si>
  <si>
    <t>Yume Camellia</t>
  </si>
  <si>
    <t>Pink &amp; White bloom</t>
  </si>
  <si>
    <t>New crop; Ht 15-16" x Wd 23-24"; Full; Buds</t>
  </si>
  <si>
    <t>Ready October 15th (Ht 30-32" now)</t>
  </si>
  <si>
    <t>Ht 8' now; Cal 1.25"; Look good</t>
  </si>
  <si>
    <t>Standard; Ready April</t>
  </si>
  <si>
    <t>Cercis canadensis ‘JN31’ PPAF</t>
  </si>
  <si>
    <t>Ht 7'-7.5'; Cal 1"; Look Nice</t>
  </si>
  <si>
    <t>Rise &amp; Shine has Apricot-to-Gold heart-shaped leaves that mature to Chartreuse, then Blaze Orange in fall</t>
  </si>
  <si>
    <t>Ht 7-7.5'; Good</t>
  </si>
  <si>
    <t>Emerald named for it's rich Emerald-Green foliage. Bred at NCSU</t>
  </si>
  <si>
    <t>Amethyst is first compact Redbud with Red-Purple foliage. Holds foliage color through summer heat</t>
  </si>
  <si>
    <t>Traveller has zig-zag branches and heart-shaped leaves that emerge Coppery and finish with Yellow to Copppery-Orange Fall color</t>
  </si>
  <si>
    <t>SS/MS Tree Form; Ready late October</t>
  </si>
  <si>
    <t>Pale Yellow, Maroon eye</t>
  </si>
  <si>
    <t>Ht 6'; Very nice</t>
  </si>
  <si>
    <t>Multi-Stem; Ht 34-36"; Good</t>
  </si>
  <si>
    <t>Ht 5-5.5'; NICE; Buds</t>
  </si>
  <si>
    <t>Ready October 1st (Ht 7-7.5' now)</t>
  </si>
  <si>
    <t>Ht 6-6.5' now; Lightly rooted</t>
  </si>
  <si>
    <t>Ready November 1st</t>
  </si>
  <si>
    <t>Ht 6-6.5' now; Nice</t>
  </si>
  <si>
    <t>Ht 7' now; Cal 1.25"; NICE</t>
  </si>
  <si>
    <t>Ht 9' now; Cal 1.25"; NICE</t>
  </si>
  <si>
    <t>Ht 15-16" x Wd 24-28"; NICE; Buds</t>
  </si>
  <si>
    <t>Young crop; Ht 6.5-7'; Look good</t>
  </si>
  <si>
    <t>Standard Cone Topiary; Ht 7.5' now; Clear trunk to 42"</t>
  </si>
  <si>
    <t>Standard/Tree Form; Ht 4.5' now</t>
  </si>
  <si>
    <t>Ht 12" x Wd 22-24"; NICE; Foliage Changing</t>
  </si>
  <si>
    <t>Ht 30-32"; Nice; Bloomed out</t>
  </si>
  <si>
    <t>Tree Form; Overall Ht 4'; Clear trunk to 26"; Top Width 22-23"</t>
  </si>
  <si>
    <t>Tree Form: Ht. 5', Clear Trunk to 32:; Top Spread 28-30"; Nice</t>
  </si>
  <si>
    <t>Tree Form; Ready October 15th (Ht 5.5' now)</t>
  </si>
  <si>
    <t>Pruned 12"</t>
  </si>
  <si>
    <t>Ht 24"; Full; Poor Foliage; Pruned 12"</t>
  </si>
  <si>
    <t>Ht 30-32"; Full; NICE</t>
  </si>
  <si>
    <t>Conical; Sheared; Ht 30-32"; NICE</t>
  </si>
  <si>
    <t>Ht 5.5-6'; Full; Very nice</t>
  </si>
  <si>
    <t>Young new crop; Ht 4-4.5'; Good</t>
  </si>
  <si>
    <t>Spiral; Ready October 15th (Ht 4.5')</t>
  </si>
  <si>
    <t>Emerald Colonnade is dense and bright, with no berries. All male, they can pollinate female Hollies. Minimal shearing needed</t>
  </si>
  <si>
    <t>Ilex 'RutHol5' PP#35169</t>
  </si>
  <si>
    <t>Ht 4.5' now</t>
  </si>
  <si>
    <t>Ruby Colonnade foliage emerges a Deep Ruby-Red before maturing to a Glossy Dark Green. All male, they can pollinate female Hollies</t>
  </si>
  <si>
    <t>New crop; Ht 4' now; Look good</t>
  </si>
  <si>
    <t>Multi-stem; Ht 9'; Great Structure; Combined caliper 3.75-4"</t>
  </si>
  <si>
    <t>New crop; Ht 16-17"; Full; NICE (Next crop October- 500)</t>
  </si>
  <si>
    <t>New crop; Ht 24-26" x Wd 24-26"; Look Good</t>
  </si>
  <si>
    <t>Ht 7-7.5'</t>
  </si>
  <si>
    <t>Single stem; Ht 7'; Look good- still flushing from prune</t>
  </si>
  <si>
    <t>MSTF; Ht 5-5.5'; Look good</t>
  </si>
  <si>
    <t>Ht 3.5-4'; Good</t>
  </si>
  <si>
    <t>Ht 5' now; Starting leaf drop</t>
  </si>
  <si>
    <t>Single Stem Tree Form; Ht 6.5-7' now</t>
  </si>
  <si>
    <t>Multi-stem: Ht 6.5-7'; NICE</t>
  </si>
  <si>
    <t>Ht 4'; Good</t>
  </si>
  <si>
    <t>Ht 4.5'; Flushing from prune; okay</t>
  </si>
  <si>
    <t>Ht 14-16" now; Nice</t>
  </si>
  <si>
    <t>Ht 20-22" x Wd 18-20"; NICE</t>
  </si>
  <si>
    <t>New crop; Ht 5'-5.5' now; Lightly rooted</t>
  </si>
  <si>
    <t>Ht 6'; light roots now; NICE</t>
  </si>
  <si>
    <t>Ht 16-17"; Good color</t>
  </si>
  <si>
    <t>Ready November (Projected)</t>
  </si>
  <si>
    <t>Ht 5.5'-6'</t>
  </si>
  <si>
    <t>(Top Grafted) Ht 6'; Cal 1.25"</t>
  </si>
  <si>
    <t>New young crop; Ht 9'; Cal 1.25"</t>
  </si>
  <si>
    <t>Spring 2026 (May)</t>
  </si>
  <si>
    <t>Soft Pink</t>
  </si>
  <si>
    <t>Lemon Princess Japanese Spirea</t>
  </si>
  <si>
    <t>Little Princess Japanese Spirea</t>
  </si>
  <si>
    <t>Spirea prunifolia 'Plena'</t>
  </si>
  <si>
    <t>Bridal Wreath Spirea</t>
  </si>
  <si>
    <t>Ht 4'; Look good</t>
  </si>
  <si>
    <t>Bridal Wreath has graceful arching branches covered in double blooms each spring, with brilliant Tangerine-Orange fall color</t>
  </si>
  <si>
    <t>Ht 5-5.5'; Light roots; Very nice</t>
  </si>
  <si>
    <t>New crop; Ht 7-7.5'; Cal 1-1.25"</t>
  </si>
  <si>
    <t>Spiral; Ht 6.5'; NICE</t>
  </si>
  <si>
    <t>New crop; Ht 5-5.5'</t>
  </si>
  <si>
    <t>Young crop; Ht 14-16" x Wd 23-24" now</t>
  </si>
  <si>
    <t>Ht 9'-10'; Cal 1.25"+; Nice (Next Crop 100)</t>
  </si>
  <si>
    <t>Ht 12'; Cal 1.75"; NICE</t>
  </si>
  <si>
    <t>Ht 5' now; Full; NICE</t>
  </si>
  <si>
    <t>Ht 28-30"; Very Nice</t>
  </si>
  <si>
    <t>Ready October 15th (Ht 24" x Wd 24")</t>
  </si>
  <si>
    <t>Ht 30-32" x Wd 24-26"; Nice;Buds</t>
  </si>
  <si>
    <t>Spiral; Ht 8.5-9' now; Nice</t>
  </si>
  <si>
    <t>Ht 48-52"; Nice (Korean)</t>
  </si>
  <si>
    <t>Sharkskin has deeply channeled, stiff Gray-Green foliage. Blooms just once with a 12'-15' towering stalk at the end of its life</t>
  </si>
  <si>
    <t>Cast Iron Plant named for its very tough nature: it thrives in deep shade, tolerates drought, and shrugs off neglect. Sparse Purple-Brown flowers</t>
  </si>
  <si>
    <t>Carex oshimensis 'Everillo' PP#21002</t>
  </si>
  <si>
    <t>Chartreuse bloom</t>
  </si>
  <si>
    <t>Bartzella has very large, semi-double to double flowers with a subtle Red flare, on strong stems that do not require staking. Vigorous growth</t>
  </si>
  <si>
    <t>Pennisetum hybrid 'Regal Princess' PP#25517</t>
  </si>
  <si>
    <t>Regal Princess Purple Fountain Grass</t>
  </si>
  <si>
    <t>Burgundy-Purple blades</t>
  </si>
  <si>
    <t>Regal Princess has infrequent Rosy-Purple bottlebrush plumes. Thrives in heat and sun. Blades maintain Dark Purple tones into fall before dying back</t>
  </si>
  <si>
    <t>Doozie reblooms without deadheading. Red summer foliage matures to Green, Reddish fall. Summer blooms, on new wood, so prune late winter</t>
  </si>
  <si>
    <t>Summer Sunset paints beds with Orange-to-Gold variegation that settles to Glossy Green, forming a fragrant, durable evergreen carpet. Will climb with support</t>
  </si>
  <si>
    <t>Ht 30-32"; Full; Nice; Buds</t>
  </si>
  <si>
    <r>
      <t>☀</t>
    </r>
    <r>
      <rPr>
        <sz val="9"/>
        <rFont val="Arial Narrow"/>
        <family val="2"/>
      </rPr>
      <t>Full Sun</t>
    </r>
  </si>
  <si>
    <r>
      <t>☀</t>
    </r>
    <r>
      <rPr>
        <sz val="9"/>
        <color theme="1"/>
        <rFont val="Arial Narrow"/>
        <family val="2"/>
      </rPr>
      <t>Full Sun</t>
    </r>
  </si>
  <si>
    <r>
      <t>☀☁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</si>
  <si>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☀☁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</si>
  <si>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A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rarely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</si>
  <si>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</si>
  <si>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☀</t>
    </r>
    <r>
      <rPr>
        <sz val="9"/>
        <rFont val="Segoe UI Emoji"/>
        <family val="2"/>
      </rPr>
      <t>🌤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Pt Shade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</si>
  <si>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seldom harm</t>
    </r>
  </si>
  <si>
    <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</si>
  <si>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☀</t>
    </r>
    <r>
      <rPr>
        <sz val="9"/>
        <color theme="1"/>
        <rFont val="Segoe UI Emoji"/>
        <family val="2"/>
      </rPr>
      <t>🌤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Pt Shade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</si>
  <si>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</si>
  <si>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</si>
  <si>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🌤</t>
    </r>
    <r>
      <rPr>
        <sz val="9"/>
        <color theme="1"/>
        <rFont val="Arial Narrow"/>
        <family val="2"/>
      </rPr>
      <t>Part Shade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</si>
  <si>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</si>
  <si>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</si>
  <si>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repel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\</t>
    </r>
    <r>
      <rPr>
        <sz val="9"/>
        <color theme="1"/>
        <rFont val="Segoe UI Emoji"/>
        <family val="2"/>
      </rPr>
      <t>🐇</t>
    </r>
    <r>
      <rPr>
        <sz val="9"/>
        <color theme="1"/>
        <rFont val="Arial"/>
        <family val="2"/>
      </rPr>
      <t>skip</t>
    </r>
    <r>
      <rPr>
        <sz val="9"/>
        <color theme="1"/>
        <rFont val="Segoe UI Emoji"/>
        <family val="2"/>
      </rPr>
      <t>🚫</t>
    </r>
  </si>
  <si>
    <r>
      <t>🌤</t>
    </r>
    <r>
      <rPr>
        <sz val="12"/>
        <color theme="1"/>
        <rFont val="Segoe UI Emoji"/>
        <family val="2"/>
      </rPr>
      <t>☁</t>
    </r>
    <r>
      <rPr>
        <sz val="9"/>
        <color theme="1"/>
        <rFont val="Arial Narrow"/>
        <family val="2"/>
      </rPr>
      <t>Pt 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</si>
  <si>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</si>
  <si>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</si>
  <si>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</si>
  <si>
    <r>
      <t>🌤</t>
    </r>
    <r>
      <rPr>
        <sz val="12"/>
        <rFont val="Segoe UI Emoji"/>
        <family val="2"/>
      </rPr>
      <t>☁</t>
    </r>
    <r>
      <rPr>
        <sz val="9"/>
        <rFont val="Arial Narrow"/>
        <family val="2"/>
      </rPr>
      <t>Pt 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</si>
  <si>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</si>
  <si>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</si>
  <si>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</si>
  <si>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C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occasionally harm</t>
    </r>
  </si>
  <si>
    <r>
      <t>🐦</t>
    </r>
    <r>
      <rPr>
        <sz val="9"/>
        <rFont val="Arial"/>
        <family val="2"/>
      </rPr>
      <t xml:space="preserve">birds </t>
    </r>
    <r>
      <rPr>
        <sz val="11"/>
        <rFont val="Segoe UI Emoji"/>
        <family val="2"/>
      </rPr>
      <t>❤❤❤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</si>
  <si>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</si>
  <si>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</si>
  <si>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</si>
  <si>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</si>
  <si>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B</t>
    </r>
    <r>
      <rPr>
        <sz val="9"/>
        <rFont val="Segoe UI Emoji"/>
        <family val="2"/>
      </rPr>
      <t>🦌</t>
    </r>
    <r>
      <rPr>
        <sz val="9"/>
        <rFont val="Arial"/>
        <family val="2"/>
      </rPr>
      <t>seldom harm</t>
    </r>
  </si>
  <si>
    <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</si>
  <si>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</si>
  <si>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</si>
  <si>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🌤</t>
    </r>
    <r>
      <rPr>
        <sz val="9"/>
        <rFont val="Arial Narrow"/>
        <family val="2"/>
      </rPr>
      <t>Part Shade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</si>
  <si>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</si>
  <si>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</si>
  <si>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</si>
  <si>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</si>
  <si>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</si>
  <si>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</si>
  <si>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</si>
  <si>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</si>
  <si>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</si>
  <si>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</si>
  <si>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</si>
  <si>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D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frequently harm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</si>
  <si>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</si>
  <si>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</si>
  <si>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</si>
  <si>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</si>
  <si>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🐦🦋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</si>
  <si>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</si>
  <si>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</si>
  <si>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</si>
  <si>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</si>
  <si>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</si>
  <si>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</si>
  <si>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</si>
  <si>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</si>
  <si>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</si>
  <si>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</si>
  <si>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</si>
  <si>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</si>
  <si>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</si>
  <si>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</si>
  <si>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</si>
  <si>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</si>
  <si>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</si>
  <si>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🐦🦋</t>
    </r>
    <r>
      <rPr>
        <sz val="11"/>
        <rFont val="Segoe UI Emoji"/>
        <family val="2"/>
      </rPr>
      <t>❤</t>
    </r>
  </si>
  <si>
    <r>
      <t>🐦</t>
    </r>
    <r>
      <rPr>
        <sz val="11"/>
        <rFont val="Segoe UI Emoji"/>
        <family val="2"/>
      </rPr>
      <t>❤</t>
    </r>
  </si>
  <si>
    <r>
      <t>🐦</t>
    </r>
    <r>
      <rPr>
        <sz val="11"/>
        <color theme="1"/>
        <rFont val="Segoe UI Emoji"/>
        <family val="2"/>
      </rPr>
      <t>❤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</si>
  <si>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</si>
  <si>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Bear’s Breeches features lush, dramatic foliage and towering flower spikes that add bold texture and classic elegance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</si>
  <si>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Paperbark bark exfoliates from Copper-Orange in summer to Red-Brown through the winter. Orange to Scarlet 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</si>
  <si>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Brandywine are all male (seedless, less messy). Known for long lasting, brilliant Deep Reddish-Purple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</si>
  <si>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Redpointe created for it's straight, slender form. Vigorous grower. Foliage emerges Burgundy. Brilliant Red-Purple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</si>
  <si>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Summer Sensation offers vibrant Orange-Red new spring growth and brilliant Scarlet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</si>
  <si>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October Glory are all female. Very late and long lasting fall display is an intense Orange to Reddish-Purple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</si>
  <si>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Sun Valley are all male (seedless, less messy). Showy Red bloom. Long-lasting Orange-Red fall colors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</si>
  <si>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Legacy is the only Sugar Maple for the south. Can be tapped for syrup. Brilliant Gold-Orange-Red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</si>
  <si>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Variegated Sweet Flag is great for standing water. Will spread by rhizomes. Foliage citrus/spice smell when crushed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</si>
  <si>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Dwarf Golden forms a dense, Golden carpet of aromatic foliage (sweet/spicy) that lights up damp, shady spots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</si>
  <si>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Ogon shows off vibrant foliage with soft arching texture. Foliage emits spicy-sweet scent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</si>
  <si>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Bottlebrush has bottlebrush-like fragrant flower spikes. Will spread. Foliage turns Golden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</si>
  <si>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Buckeye known for early flower display, with Yellow throat. "Buckeyes" refers to the seeds (poisonous)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</si>
  <si>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Sunrise known for Flamingo-Pink spring foliage that matures to Green, then ignites in fall with Orange and 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</si>
  <si>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Black Scallop's fragrant blooms showy above a bed of glossy, near-Black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</si>
  <si>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Chocolate Chip named for Chocolate-Brown hue in winter, after more of a Chocolate-Purple-Green summer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</si>
  <si>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Portora is prized for its enormous, upward facing, glossy leaves with bold veining that bring a dramatic, architectural, tropical look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</si>
  <si>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Brilliance (and all seviceberry) are great for attracting birds. Edible fruit can make tasty jelly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</si>
  <si>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Rainbow Pillar' edible fruit starts green, changes to red, then ripens to purple. Pick before birds take it 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</si>
  <si>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Star has delicate clusters of spring flowers. Feathery vibrant Green foliage, then Brilliant Gold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</si>
  <si>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 King Aralia feels tropical, with glowing Chartreuse foliage, airy late-summer blooms and Glossy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</si>
  <si>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Japanese ardisia carpets shady beds with glossy leaves and White-Pink flowers, followed by Red berries. May spread invasively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</si>
  <si>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Chokeberry has clusters of flowers in spring, Brilliant Red fall foliage, and persistent Bright Red berries through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</si>
  <si>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Brilliant Red has superior Red fall color and larger, more numerous glossy berries than Red Chokeberry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</si>
  <si>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Snowfire valued for its spring flowers, brilliant Red fall foliage, and persistent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</si>
  <si>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Mound has a frothy spring bloom, Glossy Black fruit, and Glossy Green foliage with a showy 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</si>
  <si>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Pawpaw fruit taste like delicious cross of banana &amp; mango. Fragrant. Does not self-pollinate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</si>
  <si>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Visions in White Astilbe offers elegant midsummer flower plumes above Bronze-Green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</si>
  <si>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Bridal Veil named for look of clouds of White plumes above glossy, ferny foliage in early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</si>
  <si>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Fanal, like other Astilbe, are low maintenance, shade tolerant, and resistant to deer/rabbits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</si>
  <si>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Dura-Heat named for ability to withstand our intense heat. Yellow fall foliage.  Multi Stem, unless noted otherwise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</si>
  <si>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Little King has Creamy-White to Salmon-Pink to Reddish-Brown peeling bark. Yellow fall foliage.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</si>
  <si>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Beautyberry has vivid Purple berries that are edible raw to humans, but not tasty. Mainly for jelly or wine.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</si>
  <si>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Welch's Pink similar to other Beautyberry, except the Pink-Lavendar berries against bare stems in fall and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</si>
  <si>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Aphrodite is known for it's enormous, long-lasting flowers. Fruity fragrance. More fragrant with high heat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</si>
  <si>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Simply Scentsational has strong fruity fragrance of pineapple, strawberry, and banana on blooms from late spring through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</si>
  <si>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Debutante Camellia has frilly peony-style blooms from late winter to early spring, against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</si>
  <si>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Kramer's Supreme has a delightful fragrance, which is not common. Golden stamens. Dark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</si>
  <si>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Kanjiro Camellia has a light, subtle fragrance. Blooms profusely in the fall and early winter with semi-double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</si>
  <si>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White Doves brings serene elegance to fall and winter gardens with its fragrant blooms and graceful form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</si>
  <si>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Sparkling Burgundy offers beautiful, fragrant flowers in late fall and early winter on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</si>
  <si>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Yuletide named for it's reliable blooms at Christmas time. Few plants offer pollination opportunity at this time of year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</si>
  <si>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Yume known for its long and heavy blooming period from fall into winter, featuring fragrant, bicolored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</si>
  <si>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Survivor is named for its extreme cold-hardiness and dependable blooming even after harsh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</si>
  <si>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Winter's Joy is a cold-hardy, late-fall blooming shrub known for its self-cleaning flowers that drop neatly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</si>
  <si>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Emily will bloom continuously, with self-cleaning flowers. Variegated Green-and-Yellow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</si>
  <si>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Julia will bloom continuously, with self-cleaning flowers. Plum to Deep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</si>
  <si>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Australiais known for its dramatic, large, deep Purplish-Black leaves and brilliant flowers, giving tropical feel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</si>
  <si>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Bengal Tiger foliage is a striking Green and Yellow striping, with a Maroon edge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</si>
  <si>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Tropicanna Phasion sports Red, Pink, Yellow &amp; Green stripes on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</si>
  <si>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Feather Falls delivers bold variegation and cascading form with hybrid vigor, thriving in shade or sun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</si>
  <si>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Evergold Sedge brings year-round color with its graceful, arching variegated foliage — Creamy Yellow centers with Deep Green margins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</si>
  <si>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EverColor Everillo is prized for its brilliant Golden-Yellow foliage, providing a sunny, year-round glow to a shady garden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</si>
  <si>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Moon Falls features graceful, creamy-variegated foliage and a soft cascading form. Like most Carex, tolerant of urban conditions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</si>
  <si>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European Hornbeam develops a distinctive smooth, grey, rippling bark. Very tolerant of poor growing conditions. Yellow to Orange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</si>
  <si>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American Hornbeam is a very durable, beneficial tree. Yellow-Orange-Red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</si>
  <si>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Aztec Fire named for it's vivd red new growth and vibrant red-to-orange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</si>
  <si>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 King named for exceptionally brilliant Fiery Orange to Deep Red fall foliage.Great cold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</si>
  <si>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Common Hackberry is a highly adaptable, tough shade tree with distinctive corky, warty bark that adds winter interest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</si>
  <si>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Common Buttonbush produces unique globe-shaped blooms, great for pollinators. 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</si>
  <si>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Fiber Optics features dazzling spherical blooms resembling fiber optic bursts, followed by seed heads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</si>
  <si>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Pansy foliage emerges Red-Purple, then turns shades of Orange-Bronze-Red-Purple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</si>
  <si>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Variegated Sawara has gracefully mounded, thread-like foliage splashed with Gold and Cream, with Green interior tones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</si>
  <si>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King’s Gold stands out for its bright, thread-like foliage that resists fading even in hot, humid conditions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</si>
  <si>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White Fringetree blooms late spring. Mild fragrance. Olive-like fruit ripens late summer for birds/wildlife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</si>
  <si>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Spring Fleecing boasts heavy bloom of large, fragrant, lacy flowers. Male-only, so no messy fruit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</si>
  <si>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Hummingbird, like all Clethra, is known for blooming in shady areas, after other plants finish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</si>
  <si>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Sparkler has twisted flower spikes with a spicy clove-like fragrance from early to late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</si>
  <si>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Ruby Spice, like all Clethra, has long-lasting flower spikes and fragrance, mid to late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</si>
  <si>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Sixteen Candles has upright, candle-like flower spikes in mid to late summer, with a sweet fragrance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</si>
  <si>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Black Coral sports dramatic, dark, heart-shaped leaves with a strong tropical feel. Will die back in winter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</si>
  <si>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Bailey (and other Red Twig) are known for their bright red winter stems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</si>
  <si>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Arctic Fire (and other Red Twig) are known for their bright red winter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</si>
  <si>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Holly Fern selected for its bold, holly-like leaflets and robust vase-shaped habit.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</si>
  <si>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Fortune’s Holly Fern has bold, architectural fronds that resemble holly leaves. Tolerant of drier soils. 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</si>
  <si>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Firefly named for contrast of bloom and foliage, from Reddish-Purple emergence to Green to Red-Orange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</si>
  <si>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Nightglow named for contrast of bloom and deep Burgundy, near Black foliage, turning Scarlet to Crimson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</si>
  <si>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Solomon's Seal has arching stems, Purple-speckled at the base, leathery leaves, and Creamy White to Pale Green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</si>
  <si>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Fern foliage emerges Copper-Red to Orange-Pink, then mature to a lush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</si>
  <si>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Brilliance foliage emerge a particularlay vivid Copper-Orange-Red, then mature to a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</si>
  <si>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Paperbush foliage is a narrow Bluish-Green, turning Soft Yellow in fall. Silvery flowers appear on bare stems in late season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</si>
  <si>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Leopard Plant has large, glossy foliage with bold Golden-Yellow spots, giving a tropical feel. Cheerful Yellow blooms in fall.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</si>
  <si>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Dwarf Fothergilla has honey-scented bottlebrush-like blooms against Blue-Green foliage. Fiery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</si>
  <si>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 Airy's honey-scented, bottle-brush flowers emerge before Blue-Green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</si>
  <si>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Gordlinia is semi-evergreen. Long lasting blooms are large and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</si>
  <si>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Ozark Witch Hazel is one of the first plants to bloom in late winter. Fragrant, spidery flowers and excellent Yellow-Gold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</si>
  <si>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Prospect has nice variegated foliage. Dainty blooms appear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</si>
  <si>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Arnold Promise reaches upward with flowers from late winter to early spring.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</si>
  <si>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Diane has spectacular spidery flowers that bloom in late winter, providing an eye-catching display against its bare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</si>
  <si>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Sunburst explodes with blooms in the cold of late winter, pairing vivid flowers with bright Yellow-Orange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</si>
  <si>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All Hellebores are clump-forming, with leathery foliage. Long-lived, cold/shade tolerant, and bloom late winter to spring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</si>
  <si>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Happy Returns is a cutivar of Stella d'Oro, for brighter blooms. Slightly fragrant.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</si>
  <si>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Pardon Me has a rich, velvety texture to the bloom, with a fragrance. Repeat bloomers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</si>
  <si>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Purple d'Oro is a cultivar of Stella d'Oro. Repeat bloomer, June to frost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</si>
  <si>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Stella is the longest blooming of all Daylily, starting early, through frost.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</si>
  <si>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Shiroshima is a running type. Large variegated leaves can reach 10 inches long, giving a tropical feel. Leaf tips may blush Purple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</si>
  <si>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Holy Grail has Deep Burgundy, near-Black foliage. "Hardy" Hibiscus have giant tropical blooms (up to 12")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</si>
  <si>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Starry Starry Night's near-Black foliage. "Hardy" Hibiscus have giant tropical blooms (to 12")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</si>
  <si>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Amazone foliage forms a neat, medium clump with Dark-Green margins &amp; Snow-White centers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</si>
  <si>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August Moon Hosta has deeply ribbed, Chartreuse leaves that gradually brighten to a Golden-Yellow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</si>
  <si>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Cadet foliage fades from Blue-Green to Green, and then to Yellow before dormancy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</si>
  <si>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Mouse named for small Blue-Grey foliage with a slight curl that looks like mouse ears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</si>
  <si>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First Frost named for "frosted" look of powdery Blue-Green leaf centers and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</si>
  <si>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Silver Crown known for its large, Green, heart-shaped leaves with a striking,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</si>
  <si>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Tiara Hosta has cheerful, heart-shaped leaves with a striking Golden-Yellow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</si>
  <si>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Guacamole has large, glossy, leaves with Avacado foliage &amp; darker Green margin. Higly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</si>
  <si>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Guardian Angel leaves shift from misty Blue-Green to Creamy-centered variegation through the season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</si>
  <si>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June foliage emerges with a Chartreuse center bordered by a striking Blue-Green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</si>
  <si>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Minuteman has large, heart-shaped, Dark Green leaves with a crisp, wide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</si>
  <si>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Stained Glass named for Golden-Yellow leaves with wide, Dark Green margins. Fragrant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</si>
  <si>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Sum &amp; Substance is the largest Hosta. Heart-shaped, Chartreuse-to-Golden-Yellow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</si>
  <si>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Variegated Wavy Leaf has a unique White-to-Cream center that twists as it grows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</si>
  <si>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Angel known for its immense size and large, deeply veined, powdery Blue-Green leaves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</si>
  <si>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Patriot has bold, Dark Green, heart-shaped leaves with a very wide, clean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</si>
  <si>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Sublime has Dark Green foliage. All "Smooth" Hydrangea have mophead/lacecap flowers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</si>
  <si>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Crush has Forest green foliage, turning Burgundy-Red in fall.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</si>
  <si>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Eclipse has Dark Purple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</si>
  <si>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Pop Star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</si>
  <si>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Endless Summer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</si>
  <si>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Wedding Gown has Dark Green foliage. Bloom unaffected by soil pH.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</si>
  <si>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Cherry-Go-Round has Dark Green foliage.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</si>
  <si>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Grin &amp; Tonic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</si>
  <si>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Starfield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</si>
  <si>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Heart Throb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</si>
  <si>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Double Down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</si>
  <si>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Lady In Red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</si>
  <si>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L.A. Driamin'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</si>
  <si>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 Explosion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</si>
  <si>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Penny Mac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</si>
  <si>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Twist-N-Shout has Dark Green foliage with vivd Red stems.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</si>
  <si>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Bloomstruck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</si>
  <si>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Tilt-A-Swirl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</si>
  <si>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Autumn Reprise has Green foliage, Wine-Red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</si>
  <si>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Alice has Green foliage, Maroon-Purple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</si>
  <si>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Snow Queen has Green foliage,Mahogany-Red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</si>
  <si>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Li'l Annie has Green foliage, Burgundy-Bronze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</si>
  <si>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Jetstream has Dark Green foliage, Orange-Red-Burgundy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</si>
  <si>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Dynamo has Blackish-Green foliage, deepening in fall. All "Mountain" have Lacecap blooms on old and new wood. Flowers change color with 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</si>
  <si>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Tiny Tuff Stuff has Green foliage, Burgundy in fall. All "Mountain" have Lacecap blooms on old and new wood. Flowers change color with 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</si>
  <si>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Shamrock are all female, so require a male plant for pea-size Black winter berries. Suckers less than other Inkberry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</si>
  <si>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Gem Box named for being great alternate to Boxwood. Naturally rounded. Small black berries if a male nearby. Tolerant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</si>
  <si>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Apollo Winterberry is a rare male pollinator, prized for its ability to fertilize female winterberry holly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</si>
  <si>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Gentleman is a rare male pollinator. Optimal for verticilatta, maybe worth a try on other species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</si>
  <si>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Winter Red has a heavy, long lasting, fruit set. Needs pollinator, like 'Southern Gentleman' or 'Apollo'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</si>
  <si>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Yaupon has brittle, close-knit branches. Good for hedges. Small flowers &amp; berries often hidden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</si>
  <si>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Weeping Yaupon is grown for elegant weeping form. Thornless. Foliage can be used to make Tea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</si>
  <si>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Schillings Dwarf is male, but not a good pollinator. Considered a good alternative to Boxwwod, with no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</si>
  <si>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Whoa Nellie known for it's bright golden new foliage, contrasting with mature green foliage behind 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</si>
  <si>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Moonbeam has luminous Yellow star-shaped blooms that look great against the Dark Green aromatic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</si>
  <si>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Scorpio's Deep Reddish-Pink new growth contrasts nicely with its mature Dark Green foliage. Red, star-shaped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</si>
  <si>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Orion features fragrant White starry blooms, aromatic evergreen foliage, and was bred at NC State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</si>
  <si>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Hardy Anise provides a consistent backdrop of rich Green color year-round. Licorice scent is offensive to deer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</si>
  <si>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Florida Sunshine's luminous Chartreuse foliage intensifies to Brilliant Yellow in fall. Small, Yellowish-Green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</si>
  <si>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Woodland Ruby fragrant spring to mid-summer. Parts of plant toxic ~ Anise spice made from 'Illicium verum' only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</si>
  <si>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Varigated J. Iris grown for it's stalks: a stunning, vertical, Green &amp; White variegation. Summer blooms are a bonus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</si>
  <si>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Flag Iris is notable for its striking dark Purple new foliage in spring. Tall and upright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</si>
  <si>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Henry's has large bottlebrushr flowers and better fall color than other Sweetspire. Fragrant blooms spring to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</si>
  <si>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Henry is a dwarf cultivar, with arching branches that adorn with blooms late spring into summer.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</si>
  <si>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Slender Silhouette's Dark Green foliage turns Yellow-Red-Orange in fall. Gumballs, but not as many as Sweetgum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</si>
  <si>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Volunteer bring Tulip trees to anyone's backyard with it's smaller form. Now we can see the blooms!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</si>
  <si>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Tulip Poplar is named for both the tulip-like flower and the tulip-shaped leaf. Fast grower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</si>
  <si>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 Light foliage emerges Bright Green then forms a dense, colorful groundcover with glowing dark foliage and sunny Yellow flowers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</si>
  <si>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Creeping Jenny is your easiest yellow groundcover. Occasional summer blooms. Will spread, so contain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</si>
  <si>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Bracken's is more winter hardy ~ all Magnolia grandiflora foliage dark green, with light brown fuzzy undersides ~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</si>
  <si>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Kay Parris is  sturdier under snow loads than Little Gem.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</si>
  <si>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Little Gem is not as little as people might think.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</si>
  <si>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Teddy Bear is named for it's larger, rounder foliage, like a big soft Teddy Bear.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</si>
  <si>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Oyama's late blooming, fragrant flowers are pendulous, showing off color in center. Green foliage turns Golden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</si>
  <si>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Colossus Oyama named for its very large, fragrant, downward-facing blooms. Attractive Yellow fall coloration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</si>
  <si>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Sweetbay's lemon-scented blooms appear sporadically through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</si>
  <si>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Shadow has lemon-scented blooms, glossy foliage with shimmering Silver undersides, and strong cold tolerance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</si>
  <si>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Moonglow has Lemony fragrant blooms mid-spring. Dark Green leaves are Silvery-Green below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</si>
  <si>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Dawn Redwood is endangered (once thought extinct). Have a large, slightly moist, place to grow? Red-Bronze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</si>
  <si>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 Rush named for vivd Golden-Yellow foliage all summer. Orange-Bronze fall foliage. Fast grower. Tolerant of poor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</si>
  <si>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Soul Fire needles emerge Lime-Green with Rosy-Orange tips, turn Chartreuse, then Golden-Apricot in fall. Burn resistant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</si>
  <si>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Amber Glow is a more compact size of Dawn Redwood, an endangered species. Named for it's stunning Amber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</si>
  <si>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Moon bred for excellent resistance to powdery mildew. Fragrant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</si>
  <si>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Wax Myrtle is a fast grower, for poor conditions. Fragrant foliage/berries. Semi-evergreen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</si>
  <si>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Adcock's Dwarf introduced by local Adcock's Nursery. Pleasant citrus smell when foliage crushed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</si>
  <si>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Strawberry Shortcake is a dwarf sport of 'Suwanee Elf'. Fragrant folisge is deer/rabbit repellent.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</si>
  <si>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Tupelo is loved by birds. Fall foliage shows off shades of Scarlet-Orange-Yellow, often with Purple highlights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</si>
  <si>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Gable named for narrow, upright, habit. Small, Dark Blue-Black fruit (drupes). Fiery Scarlet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</si>
  <si>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Fire named for intense Red-Orange fall display. Small, Dark Blue-Black fruit. "Alligaotor Hide"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</si>
  <si>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Black Mondo has very black foliage. Good grass substitute, as it tolerates foot traffic. Purple winter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</si>
  <si>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Black Mondo has blackest foliage of all perrenials. Grass substitute, as it tolerates foot traffic. Purple winter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</si>
  <si>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Cinnamon fern sends up striking Cinnamon-Brown fertile fronds among tall Green fronds in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</si>
  <si>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Heavy Metal has Pink-tinged panicles aging to beige. Blades turn Orange-Yellow in fall,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</si>
  <si>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Northwind has airy Golden-Green panicles in late summer. Blades mature to Yellow-Tan,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</si>
  <si>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Flame blades turn Wine-Red by summer’s end, topped by airy Reddish panicles. Blades Tan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</si>
  <si>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Shenandoah plumes Reddish-Pink. Blades turn Red-Burgundy, then Violet-Purple-Red, Beige into winter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</si>
  <si>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Hannah Creek aromatic foliage can substitute for bay leaf in cooking. Interesting, thick, furrowed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</si>
  <si>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Glamour Girl blooms from mid spring to early summer, atop Dark Purple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</si>
  <si>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(AKA 'Fishpole') Bamboo is an aggressive running type - WARNING - plant in a restrained area or it will overwhelm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</si>
  <si>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Bamboo is a runner - needs containment. Green shoots turn Jet-Black in 1 to 3 years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</si>
  <si>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Snow most cold/heat tolerant Pieris. Bell-shaped flowers on pendulous branches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</si>
  <si>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Temple Bells' fragrant flowers emerge late winter to early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</si>
  <si>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Loblolly is a rare Pine that tolerates wet, clay soils. Also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</si>
  <si>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Variegated Solomon’s Seal has graceful arching stems, Creamy-edged foliage, and dangling, fragrant spring flowers, followed by Blue-Black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</si>
  <si>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Tassel stayss lush &amp; Dark Green year-round. Named for backward-flipping new fronds, resembling a tassel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</si>
  <si>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Flowering Almond is notable for its profusion of delicate carnation-like, double flowers that appear on bare stems in early spring.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</si>
  <si>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Skip foliage is dark green on top, light green on bottom. Fragrant flowers are followed by small black drupes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</si>
  <si>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Corinthian White is notable for its very narrow, upright columnar form.  Green foliage turns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</si>
  <si>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Larch named for it's brilliant fall color. Soft, feathery needles. Less tolerant of pollution than other conifers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</si>
  <si>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Swamp White Oak has few surface roots, making it good for lawns (except for acorns!). Yellow to Russet-Red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</si>
  <si>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Overcup is named for the bur-like acorn cup enclosing most of the nut. Yellow-Orange-Red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</si>
  <si>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Nuttall is a dull, but versatile tree, tolerating a wide variety of soils &amp; growing conditions. Red to Crimson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</si>
  <si>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 Oak named for broken branch stubs, not leaf shape (do not confuse with Willow Oak). Red-Bronze-Brown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</si>
  <si>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Willow Oak named for it's willow-like leaves (do not confuse with Pin Oak). Yellow to Copper-Brown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</si>
  <si>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Shumard is fast growing, tolerant of poor conditions, and has great Red-Orange fall color. Acorns take 25 years to appear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</si>
  <si>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Southern Live Oak may lose foliage in cold winter. Often grows Spanish moss (safe for tree). Long lived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</si>
  <si>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Regal Prince is a cross of English Oak &amp; Swamp White Oak. Strong central leader. Golden Bronze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</si>
  <si>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Weeping Willow should be planted well away from septic/water lines. Golden-Yellow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</si>
  <si>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Weeping Pussy Willow named for the springtime fuzzy gray catkins that feel like kittens. 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</si>
  <si>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Scarlet Curls is great year-round, with contorted stems and Scarlet Red new wood, turning Yellow. 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</si>
  <si>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Blonde Envy has edible Purple-Black berries if pollinated. Fragrant. Bright Yellow foliage in sun, Chartreuse in less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</si>
  <si>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 Box is a winter bloomer. Tiny flowers have a great sweet vanilla fragrance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</si>
  <si>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Arborvitae Fern is notable for its finely textured, lacy evergreen foliage that resembles a miniature fern. Not a true fern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</si>
  <si>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Inman Select better than other Redwood in the Southeast, as it tolerates cold and high humidity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</si>
  <si>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Cherry on Top is a vigorous, fern-leaved shrub with frothy summer blooms, followed by long-lasting Bright Cherry-Red seed bracts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</si>
  <si>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Japanese Stewartia noted for camellia-like flowers, Orange-Red-Purple fall foliage, and Gray=Brown-Otange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</si>
  <si>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Baby Blue named for striking Silvery-Blue new growth, turning more Blue-Green. Fragrant, bell-shaped spring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</si>
  <si>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Snowbell has pendulous clusters of fragrant bell-shaped flowers. Don't confuse with Snowball Viburnum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</si>
  <si>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Evening Light known for purple foliage and an upright, vase-shaped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</si>
  <si>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Fragrant Fountain has cascading fragrant blooms and graceful weeping branches. Foliage is Deep Green,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</si>
  <si>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Nightfall has cascading Purple foliage and fragrant bell-shaped blooms. Foliage turns Green over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</si>
  <si>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Marley's Pink has a light sweet cotton candy fragrance, blooming in May &amp; June. Orange to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</si>
  <si>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Chimes has pendulous clusters of fragrant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</si>
  <si>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Starway to Heaven has abundant, fragrant, bell-shaped flowers and striking new Red foliage, turning Burgundy-Purple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</si>
  <si>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Grape Crush is notable for its numerous, late-season flowers that completely cover the plant in fall, and strong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</si>
  <si>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Pink Crush has very late-season flowers that bloom in abundance, and a strong, compact habit that requires no staking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</si>
  <si>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Debonair known for rall, columnar shape and fine, delicate foliage. Less prone to grow 'knees' in drier soils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</si>
  <si>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Bald Cypress is the classic swamp tree, turning Copper-Red in the fall. It withstands dry to wet, heavy to light soils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</si>
  <si>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Cascade Falls needles emerge Bright Green, then Sage Green, then Orange-Copper in fall. Red-Brown exfoliating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</si>
  <si>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Jim's Little Guy mimics it's much larger siblings, with form, look, texture, and stateliness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</si>
  <si>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Panther Select bred for improved vigor and pyramidal form. Bright, feathery needles turn Rich Bronze to Copper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</si>
  <si>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Peve Minaret foliage is feathery dark green, rust color in fall. Chestnut-red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</si>
  <si>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Secrest is a unique dwarf of the Bald Cypress. Slow grower. Feathery needles turn Golde to Burnt-Orange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</si>
  <si>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Forever Goldy maintains year-round color better than any other similar Arborvitae. Reddish-brown bark exfoliates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</si>
  <si>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Sugar &amp; Spice has scented, soft, feathery variegated foliage that retains color through winter. Pyramidal form. Improved heat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</si>
  <si>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Bonafide is an exceptionally narrow, dense evergreen admired for its vibrant foliage that resists winter bronzing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</si>
  <si>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Jurassic Park named for it's scale-like foliage and Silvery-White undersides to needles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</si>
  <si>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Windmill is the sturdiest of palms for our zone, able to withstand low temperatures and snow loads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</si>
  <si>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Sweet Kate, aka "Spiderwort", has a chartreuse/lime foliage that is a standout even without the mid-season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</si>
  <si>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Gentsch White features striking Creamy White-tipped foliage that intensifies in fall and winter. Slow growing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</si>
  <si>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Moon Frost features Frosty White new growth that blushes Pink in winter, with a compact globe form and finely textured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</si>
  <si>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Princeton Elm is best replacemnt for classic American Elm (most lost to Dutch Elm disease). Yellow-Orange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</si>
  <si>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Powderblue produces mid/late-season large, light-blue, sweet berries. Pollinate with Tifblue, Premier. Burgundy-Orange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</si>
  <si>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Tifblue is mid/late season producer of sweet/tart berries. Pollinate with Powderblue, Climax. Most cold hardy.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</si>
  <si>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Climax produces early large, dark berries. Great pollinator, but needs cross-pollination of Premier or Tifblue.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</si>
  <si>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Premier is mid-season producer of large, light-blue, tasty berries. Pollinate with Climax, Tifblue, Powderblue.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</si>
  <si>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Peach Sorbet is mid-season sweet, tasty berries. Self pollinating. Foliage emerges Peach, Pink, and Orange, then 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</si>
  <si>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Pink Icing is mid-season large, sweet berries. Self-pollinating. Mild fragrance. Foliage emerges Pink-Blue-Deep Green. Turquoise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</si>
  <si>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BerryBux is mid-season small, sweet berries. Pollinate with Peach Sorbet, Pink Icing. May retain Red fall foliage in mild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</si>
  <si>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Rosa's Blush is late season small, sweet berries. Partially self-fertile, but pollinate with Peach Sorbet. Colorful foliage all year long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</si>
  <si>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Midnight Cascade is long, mid/late-season sweet berries. Pollinate with Peach Sorbet, Pink Icing. Cascades. Burgundy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</si>
  <si>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Muffin has vibrant Purple-Red foliage, turning Gold in fall. Intense Blue berries, if pollinated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</si>
  <si>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Raulston Hardy is durable, with Glossy Green foliage, many White flowers in spring, and then black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</si>
  <si>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European Snowball has large, sterile snowball blooms that age from Green to White to Blush-Pink. Sterile, so no fruit. Orange-Red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</si>
  <si>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Eastern Snowball delivers a profusion of showy, sterile snowball-shaped blooms and vivid Red-Purple fall foliage. Sterile, so no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</si>
  <si>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Dark Tower named for Deep Reddish-Purple foliage in upright, narrow form. Maroon to Wine-Red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</si>
  <si>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Amethyst Falls is less aggressive than Asian Wisteria. Flowers 2 to 3 years after planting. Fragrant</t>
    </r>
  </si>
  <si>
    <r>
      <t>Raspberry Perfection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Abelia</t>
    </r>
  </si>
  <si>
    <r>
      <t>Miss Lemon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Abelia</t>
    </r>
  </si>
  <si>
    <r>
      <t>Suntastic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Peach Abelia</t>
    </r>
  </si>
  <si>
    <r>
      <t>Redpointe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Maple</t>
    </r>
  </si>
  <si>
    <r>
      <t>Summer Sensation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Maple</t>
    </r>
  </si>
  <si>
    <r>
      <t>October Glory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Maple</t>
    </r>
  </si>
  <si>
    <r>
      <t>Legacy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Sugar Maple</t>
    </r>
  </si>
  <si>
    <r>
      <t>First Flame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Maple</t>
    </r>
  </si>
  <si>
    <r>
      <t>Milly Rock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Rose Yarrow</t>
    </r>
  </si>
  <si>
    <r>
      <t>Poquito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Dark Blue Hummingbird Mint</t>
    </r>
  </si>
  <si>
    <r>
      <t>Poquito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Lavender Hummingbird Mint</t>
    </r>
  </si>
  <si>
    <r>
      <t>Chocolate Fountain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Mimosa</t>
    </r>
  </si>
  <si>
    <r>
      <t>Autumn Brilliance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Serviceberry</t>
    </r>
  </si>
  <si>
    <r>
      <t>Rainbow Pillar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Serviceberry</t>
    </r>
  </si>
  <si>
    <r>
      <t>Tiny Tank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Dwarf Cast Iron Plant</t>
    </r>
  </si>
  <si>
    <r>
      <t>Dura-Heat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River Birch</t>
    </r>
  </si>
  <si>
    <r>
      <t>Chrysalis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Blue Butterfly Bush</t>
    </r>
  </si>
  <si>
    <r>
      <t>CranRazz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Butterfly Bush</t>
    </r>
  </si>
  <si>
    <r>
      <t>Dapper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Lavender Butterfly Bush</t>
    </r>
  </si>
  <si>
    <r>
      <t>Dapper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Pink Butterfly Bush</t>
    </r>
  </si>
  <si>
    <r>
      <t>Dapper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White Butterfly Bush</t>
    </r>
  </si>
  <si>
    <r>
      <t>RoyalRazz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Butterfly Bush</t>
    </r>
  </si>
  <si>
    <r>
      <t>Tutti Fruitti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Butterfly Bush</t>
    </r>
  </si>
  <si>
    <r>
      <t>Blueberry Pie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Butterfly Bush</t>
    </r>
  </si>
  <si>
    <r>
      <t>Pugster Pink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Butterfly Bush</t>
    </r>
  </si>
  <si>
    <r>
      <t>Pugster Blue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Butterfly Bush</t>
    </r>
  </si>
  <si>
    <r>
      <t>Pugster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Amethyst Butterfly Bush</t>
    </r>
  </si>
  <si>
    <r>
      <t>Baby Gem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Boxwood</t>
    </r>
  </si>
  <si>
    <r>
      <t>NewGen Independence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Boxwood</t>
    </r>
  </si>
  <si>
    <r>
      <t>NewGen Freedom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Boxwood</t>
    </r>
  </si>
  <si>
    <r>
      <t>Gordo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Big Leaf Boxwood</t>
    </r>
  </si>
  <si>
    <r>
      <t>Simply Scentsational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Sweetshrub</t>
    </r>
  </si>
  <si>
    <r>
      <t>Ice Angels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April Remembered Camellia</t>
    </r>
  </si>
  <si>
    <r>
      <t>October Magic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Ruby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</si>
  <si>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October Magic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Crimson N' Clover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</si>
  <si>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October Magic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Orchid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</si>
  <si>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October Magic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Ivory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</si>
  <si>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Bella Rouge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</si>
  <si>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Christmas Carol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</si>
  <si>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Summer Jazz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Fire Trumpet Vine</t>
    </r>
  </si>
  <si>
    <r>
      <t>Summer Jazz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Gold Trumpet Vine</t>
    </r>
  </si>
  <si>
    <r>
      <t>Canna LilySol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Happy Emily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Canna Lily</t>
    </r>
  </si>
  <si>
    <r>
      <t>Canna LilySol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Happy Julia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Canna Lily</t>
    </r>
  </si>
  <si>
    <r>
      <t>TropiCanna Lily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Phasion Canna Lily</t>
    </r>
  </si>
  <si>
    <r>
      <t>Moon Falls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Sedge</t>
    </r>
  </si>
  <si>
    <r>
      <t>Prairie Fire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Sedge</t>
    </r>
  </si>
  <si>
    <r>
      <t>Sapphire Surf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Bluebeard</t>
    </r>
  </si>
  <si>
    <r>
      <t>Golden Dragon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Japanese Plum Yew</t>
    </r>
  </si>
  <si>
    <r>
      <t>Yewtopia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Plum Yew</t>
    </r>
  </si>
  <si>
    <r>
      <t>Lavender Twist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Weeping Redbud</t>
    </r>
  </si>
  <si>
    <r>
      <t>Hearts A'fire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Redbud</t>
    </r>
  </si>
  <si>
    <r>
      <t>Black Pearl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Redbud</t>
    </r>
  </si>
  <si>
    <r>
      <t>The Rising Sun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Redbud</t>
    </r>
  </si>
  <si>
    <r>
      <t>Rise &amp; Shine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Redbud</t>
    </r>
  </si>
  <si>
    <r>
      <t>Sparkling Wine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Redbud</t>
    </r>
  </si>
  <si>
    <r>
      <t>Golden Falls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Weeping Redbud</t>
    </r>
  </si>
  <si>
    <r>
      <t>Flame Thrower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Redbud</t>
    </r>
  </si>
  <si>
    <r>
      <t>Carolina Sweetheart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Redbud</t>
    </r>
  </si>
  <si>
    <r>
      <t>Pink Heartbreaker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Weeping Redbud</t>
    </r>
  </si>
  <si>
    <r>
      <t>Midnight Express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Redbud</t>
    </r>
  </si>
  <si>
    <r>
      <t>Zig Zag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Redbud</t>
    </r>
  </si>
  <si>
    <r>
      <t>Night Light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Cypress</t>
    </r>
  </si>
  <si>
    <r>
      <t>Flip Side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Chaste Tree</t>
    </r>
  </si>
  <si>
    <r>
      <t>Summer Sparkler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Summersweet</t>
    </r>
  </si>
  <si>
    <r>
      <t>UPTICK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Yellow &amp; Red Tickseed</t>
    </r>
  </si>
  <si>
    <r>
      <t>Jethro Tull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Tickseed</t>
    </r>
  </si>
  <si>
    <r>
      <t>PermaThread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 Satin Tickseed</t>
    </r>
  </si>
  <si>
    <r>
      <t>Galilean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Kousa Dogwood</t>
    </r>
  </si>
  <si>
    <r>
      <t>Blue Ray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Kousa Dogwood</t>
    </r>
  </si>
  <si>
    <r>
      <t>Scarlet Fire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Kousa Dogwood</t>
    </r>
  </si>
  <si>
    <r>
      <t>Snow Tower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Kousa Dogwood</t>
    </r>
  </si>
  <si>
    <r>
      <t>Arctic 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Twig Dogwood</t>
    </r>
  </si>
  <si>
    <r>
      <t>Stellar Pink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Dogwood</t>
    </r>
  </si>
  <si>
    <r>
      <t>Celestial Shadow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Dogwood</t>
    </r>
  </si>
  <si>
    <r>
      <t>Constellation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Dogwood</t>
    </r>
  </si>
  <si>
    <r>
      <t>Celestial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Dogwood</t>
    </r>
  </si>
  <si>
    <r>
      <t>Velveteeny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Dwarf Purple Smokebush</t>
    </r>
  </si>
  <si>
    <r>
      <t>Winecraft Black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Smokebush</t>
    </r>
  </si>
  <si>
    <r>
      <t>Kahori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Pink Dianthus</t>
    </r>
  </si>
  <si>
    <r>
      <t>Kahori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Scarlet Dianthus</t>
    </r>
  </si>
  <si>
    <r>
      <t>Bayou Bliss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Distylium</t>
    </r>
  </si>
  <si>
    <r>
      <t>Cast in Bronze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</t>
    </r>
  </si>
  <si>
    <r>
      <t>Vintage Jade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</t>
    </r>
  </si>
  <si>
    <r>
      <t>Sombrero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Adobe Orange Coneflower</t>
    </r>
  </si>
  <si>
    <r>
      <t>Sombrero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Granada Gold Coneflower</t>
    </r>
  </si>
  <si>
    <r>
      <t>Sombrero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Coneflower</t>
    </r>
  </si>
  <si>
    <r>
      <t>Guatemala Gold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Coneflower</t>
    </r>
  </si>
  <si>
    <r>
      <t>PowWow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Wild Berry Coneflower</t>
    </r>
  </si>
  <si>
    <r>
      <t>Jubilation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Gardenia</t>
    </r>
  </si>
  <si>
    <r>
      <t>Golden Colonnade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Ginkgo</t>
    </r>
  </si>
  <si>
    <r>
      <t>Princeton Sentry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Ginkgo</t>
    </r>
  </si>
  <si>
    <r>
      <t>Honeymoon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French Kiss Lenten Rose</t>
    </r>
  </si>
  <si>
    <r>
      <t>Honeymoon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Paris in Pink Lenten Rose</t>
    </r>
  </si>
  <si>
    <r>
      <t>Honeymoon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Romantic Getaway Lenten Rose</t>
    </r>
  </si>
  <si>
    <r>
      <t>HGC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Pink Frost Lenten Rose</t>
    </r>
  </si>
  <si>
    <r>
      <t>HGC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Champion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</si>
  <si>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Rose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</si>
  <si>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Red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</si>
  <si>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Dark Picotee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</si>
  <si>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Rosado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</si>
  <si>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Early Rose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</si>
  <si>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Brunello Lenten Rose</t>
    </r>
  </si>
  <si>
    <r>
      <t>Temple of Bloom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Seven-Son Flower Tree</t>
    </r>
  </si>
  <si>
    <r>
      <t>Purple Pillar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 of Sharon</t>
    </r>
  </si>
  <si>
    <r>
      <t>Bali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Rose of Sharon</t>
    </r>
  </si>
  <si>
    <r>
      <t>Eclipse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</t>
    </r>
  </si>
  <si>
    <r>
      <t>Pop Star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Bigleaf Hydrangea</t>
    </r>
  </si>
  <si>
    <r>
      <t>Cherry-Go-Round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Bigleaf Hydrangea</t>
    </r>
  </si>
  <si>
    <r>
      <t>Grin &amp; Tonic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Bigleaf Hydrangea</t>
    </r>
  </si>
  <si>
    <r>
      <t>Starfield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Hydrangea</t>
    </r>
  </si>
  <si>
    <r>
      <t>Heart Throb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</si>
  <si>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Double Down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</t>
    </r>
  </si>
  <si>
    <r>
      <t>L.A. Dreamin'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</t>
    </r>
  </si>
  <si>
    <r>
      <t>Cherry Explosion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Bigleaf Hydrangea</t>
    </r>
  </si>
  <si>
    <r>
      <t>Bouncy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</si>
  <si>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Quick 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</si>
  <si>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Dragon Baby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</si>
  <si>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Bobo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Hardy Hydrangea</t>
    </r>
  </si>
  <si>
    <r>
      <t>Moonrock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</si>
  <si>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White Wedding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</si>
  <si>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Limelight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</si>
  <si>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Sweet Starlight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</si>
  <si>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Vanilla Strawberry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</si>
  <si>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Fire Light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</si>
  <si>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Little Quick 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</si>
  <si>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Fire Light Tidbit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</si>
  <si>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Quick Fire Fab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</si>
  <si>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Autumn Reprise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Oakleaf Hydrangea</t>
    </r>
  </si>
  <si>
    <r>
      <t>Li'l Annie Oakleaf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</si>
  <si>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Jetstream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Oakleaf Hydrangea</t>
    </r>
  </si>
  <si>
    <r>
      <t>Pink Dynamo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Mountain Hydrangea</t>
    </r>
  </si>
  <si>
    <r>
      <t>Tiny Tuff Stuff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Mountain Hydrangea</t>
    </r>
  </si>
  <si>
    <r>
      <t>Oak Leaf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</si>
  <si>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Robin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</si>
  <si>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My Lady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</si>
  <si>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Monarch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</si>
  <si>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Crown Point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</si>
  <si>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Gem Box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Inkberry Holly</t>
    </r>
  </si>
  <si>
    <r>
      <t>Screen Play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</si>
  <si>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Acadiana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</si>
  <si>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Oakland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</si>
  <si>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Emerald Colonnade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Holly</t>
    </r>
  </si>
  <si>
    <r>
      <t>Ruby Colonnade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Holly</t>
    </r>
  </si>
  <si>
    <r>
      <t>Purple Glaze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Anise Tree</t>
    </r>
  </si>
  <si>
    <r>
      <t>Orion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Anise Tree</t>
    </r>
  </si>
  <si>
    <r>
      <t>Mint Julep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Juniper</t>
    </r>
  </si>
  <si>
    <r>
      <t>Black Diamond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Shell Pink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Crape Myrtle</t>
    </r>
  </si>
  <si>
    <r>
      <t>Dynamite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Crape Myrtle</t>
    </r>
  </si>
  <si>
    <r>
      <t>Pink Velour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Crape Myrtle</t>
    </r>
  </si>
  <si>
    <r>
      <t>Double Dynamite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Crape Myrtle</t>
    </r>
  </si>
  <si>
    <r>
      <t>Thunderstruck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'White Lightning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>' Crape Myrtle</t>
    </r>
  </si>
  <si>
    <r>
      <t>Enduring Summer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 Crape Myrtle</t>
    </r>
  </si>
  <si>
    <r>
      <t>Midnight Magic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Crape Myrtle</t>
    </r>
  </si>
  <si>
    <r>
      <t>Center Stage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Coral Crape Myrtle</t>
    </r>
  </si>
  <si>
    <r>
      <t>Thunderbolt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Box Honeysuckle</t>
    </r>
  </si>
  <si>
    <r>
      <t>Ever Red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Loropetalum</t>
    </r>
  </si>
  <si>
    <r>
      <t>Purple Pixie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Loropetalum</t>
    </r>
  </si>
  <si>
    <r>
      <t>Crimson Fire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Loropetalum</t>
    </r>
  </si>
  <si>
    <r>
      <t>Purple Daydream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Loropetalum</t>
    </r>
  </si>
  <si>
    <r>
      <t>Plum Gorgeous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Loropetalum</t>
    </r>
  </si>
  <si>
    <r>
      <t>Purple Diamond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Loropetalum</t>
    </r>
  </si>
  <si>
    <r>
      <t>Teddy Bear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Magnolia</t>
    </r>
  </si>
  <si>
    <r>
      <t>Mercury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Magnolia</t>
    </r>
  </si>
  <si>
    <r>
      <t>Mangave 'Navajo Princess' PP#31136 Mad About Mangave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Collection</t>
    </r>
  </si>
  <si>
    <r>
      <t>Amber Glow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Dawn Redwood</t>
    </r>
  </si>
  <si>
    <r>
      <t>Blush Pink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Nandina</t>
    </r>
  </si>
  <si>
    <r>
      <t>Flirt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Nandina</t>
    </r>
  </si>
  <si>
    <r>
      <t>Obsession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Nandina</t>
    </r>
  </si>
  <si>
    <r>
      <t>Green Gable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Tupelo</t>
    </r>
  </si>
  <si>
    <r>
      <t>Forest Fire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Tupelo</t>
    </r>
  </si>
  <si>
    <r>
      <t>Ballerina Rose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Gaura</t>
    </r>
  </si>
  <si>
    <r>
      <t>Persian Spire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Parrotia</t>
    </r>
  </si>
  <si>
    <r>
      <t>Mojo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Pittosporum</t>
    </r>
  </si>
  <si>
    <r>
      <t>Roman Candle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Podocarpus</t>
    </r>
  </si>
  <si>
    <r>
      <t>Pink Cascade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Flowering Cherry</t>
    </r>
  </si>
  <si>
    <r>
      <t>Ruby Ruffle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Patio Peach</t>
    </r>
  </si>
  <si>
    <r>
      <t>Snow Fountains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Weeping Cherry</t>
    </r>
  </si>
  <si>
    <r>
      <t>Regal Prince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Oak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</si>
  <si>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'Conlea' PP#10438</t>
    </r>
  </si>
  <si>
    <r>
      <t>Autumn Rouge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</si>
  <si>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'Conleb' PP#10581</t>
    </r>
  </si>
  <si>
    <r>
      <t>Autumn Embers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</si>
  <si>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'Conlec' PP#10580</t>
    </r>
  </si>
  <si>
    <r>
      <t>Autumn Royalty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</si>
  <si>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'Conled' PP#10568</t>
    </r>
  </si>
  <si>
    <r>
      <t>Autumn Coral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</si>
  <si>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'Conlee' PP#10567</t>
    </r>
  </si>
  <si>
    <r>
      <t>Autumn Amethyst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</si>
  <si>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'Conlef' PP#10579</t>
    </r>
  </si>
  <si>
    <r>
      <t>Autumn Cheer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</si>
  <si>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'Conlep' PP#12133</t>
    </r>
  </si>
  <si>
    <r>
      <t>Autumn Twist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</si>
  <si>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'Conles' PP#12109</t>
    </r>
  </si>
  <si>
    <r>
      <t>Autumn Empress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</si>
  <si>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'Conlet' PP#12111</t>
    </r>
  </si>
  <si>
    <r>
      <t>Autumn Carnival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</si>
  <si>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'Roblec' PP#15339</t>
    </r>
  </si>
  <si>
    <r>
      <t>Autumn Carnation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</si>
  <si>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'Robled' PP#15862</t>
    </r>
  </si>
  <si>
    <r>
      <t>Autumn Chiffon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</si>
  <si>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'Roblee' PP#15077</t>
    </r>
  </si>
  <si>
    <r>
      <t>Autumn Sangria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</si>
  <si>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'Roblef' PP#16184</t>
    </r>
  </si>
  <si>
    <r>
      <t>Autumn Sundance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</si>
  <si>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'Robleg' PP#15227</t>
    </r>
  </si>
  <si>
    <r>
      <t>Autumn Angel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</si>
  <si>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'Robles' PP#22762</t>
    </r>
  </si>
  <si>
    <r>
      <t>Autumn Lilac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</si>
  <si>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'Roblev' PP#25046</t>
    </r>
  </si>
  <si>
    <r>
      <t>Autumn Ivory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</si>
  <si>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'Roblex' PP#25073</t>
    </r>
  </si>
  <si>
    <r>
      <t>Autumn Lily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</si>
  <si>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'Roblez' PP#28279</t>
    </r>
  </si>
  <si>
    <r>
      <t>Autumn Fire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</si>
  <si>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'Robleza' PP#29770</t>
    </r>
  </si>
  <si>
    <r>
      <t>Autumn Bonfire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</si>
  <si>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'Roblezd' PP#32967</t>
    </r>
  </si>
  <si>
    <r>
      <t>Autumn Majesty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</si>
  <si>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'Robleze' PP#32506</t>
    </r>
  </si>
  <si>
    <r>
      <t>Autumn Starburst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</si>
  <si>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Twisty Baby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Black Locust</t>
    </r>
  </si>
  <si>
    <r>
      <t>Campfire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Hybrid Tea Rose</t>
    </r>
  </si>
  <si>
    <r>
      <t>Raspberry Cupcake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Hybrid Tea Rose</t>
    </r>
  </si>
  <si>
    <r>
      <t>Bliss Parfuma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</si>
  <si>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Bolero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Rose</t>
    </r>
  </si>
  <si>
    <r>
      <t>Buttercream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</si>
  <si>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Coral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</si>
  <si>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Blushing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</si>
  <si>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Red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</si>
  <si>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Peach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</si>
  <si>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Pink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</si>
  <si>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Moonlight Romantica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Hybrid Tea Rose</t>
    </r>
  </si>
  <si>
    <r>
      <t>Lemon Sunblaze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</si>
  <si>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Sweet Mademoiselle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Hybrid Tea Rose</t>
    </r>
  </si>
  <si>
    <r>
      <t>Sweet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</si>
  <si>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Peach Sunblaze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Miniature Rose</t>
    </r>
  </si>
  <si>
    <r>
      <t>White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</si>
  <si>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Popcorn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</si>
  <si>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Coral Double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</si>
  <si>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Orange Glow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</si>
  <si>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Red Double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</si>
  <si>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Pink Double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</si>
  <si>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Easy Bee-zy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</si>
  <si>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Taste of Heaven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Blackberry</t>
    </r>
  </si>
  <si>
    <r>
      <t>Rudbeckia hirta Solar Sisters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PPAF</t>
    </r>
  </si>
  <si>
    <r>
      <t>Solar Sisters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Black-Eyed Susan</t>
    </r>
  </si>
  <si>
    <r>
      <t>Rose Sensation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False Hydrangea Vine</t>
    </r>
  </si>
  <si>
    <r>
      <t>Cherry on Top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Sorbaria</t>
    </r>
  </si>
  <si>
    <r>
      <t>Yeti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Japanese Spirea</t>
    </r>
  </si>
  <si>
    <r>
      <t>Empire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Northern Lights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Japanese Spirea</t>
    </r>
  </si>
  <si>
    <r>
      <t>Poprocks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Pineapple Japanese Spirea</t>
    </r>
  </si>
  <si>
    <r>
      <t>Rainbow Fizz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Japanese Spirea</t>
    </r>
  </si>
  <si>
    <r>
      <t>Doozie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Japanese Spirea</t>
    </r>
  </si>
  <si>
    <r>
      <t>Poprocks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Petite Japanese Spirea</t>
    </r>
  </si>
  <si>
    <r>
      <t>Magic Carpet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Spirea</t>
    </r>
  </si>
  <si>
    <r>
      <t>Nightfall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Japanese Snowbell</t>
    </r>
  </si>
  <si>
    <r>
      <t>Marley's Pink Parasol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Japanese Snowbell</t>
    </r>
  </si>
  <si>
    <r>
      <t>Crimson Doll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Lilac</t>
    </r>
  </si>
  <si>
    <r>
      <t>Bloomerang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Ballet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Lilac</t>
    </r>
  </si>
  <si>
    <r>
      <t>Debonair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Pond Cypress</t>
    </r>
  </si>
  <si>
    <r>
      <t>Hunny Bun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Cleyera</t>
    </r>
  </si>
  <si>
    <r>
      <t>Anna's Magic Ball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</t>
    </r>
  </si>
  <si>
    <r>
      <t>Mr. Bowling Ball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</si>
  <si>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Pancake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</si>
  <si>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Fire Chief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</si>
  <si>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Private Jet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</si>
  <si>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Emerald Squeeze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</si>
  <si>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Lemon Burst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</t>
    </r>
  </si>
  <si>
    <r>
      <t>Tall Guy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</t>
    </r>
  </si>
  <si>
    <r>
      <t>Forever Goldy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</si>
  <si>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Sugar and Spice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</t>
    </r>
  </si>
  <si>
    <r>
      <t>Bonafide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</si>
  <si>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Snow-N-Summer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Asiatic Jasmine Vine</t>
    </r>
  </si>
  <si>
    <r>
      <t>Everclear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Lacebark Elm</t>
    </r>
  </si>
  <si>
    <r>
      <t>Peach Sorbet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Blueberry</t>
    </r>
  </si>
  <si>
    <r>
      <t>BerryBux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Blueberry</t>
    </r>
  </si>
  <si>
    <r>
      <t>Midnight Cascade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Blueberry</t>
    </r>
  </si>
  <si>
    <r>
      <t>EnduraScape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 Verbena</t>
    </r>
  </si>
  <si>
    <r>
      <t>Yardline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Viburnum</t>
    </r>
  </si>
  <si>
    <r>
      <t>Blue Muffin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Arrowwood Viburnum</t>
    </r>
  </si>
  <si>
    <r>
      <t>Opening Day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Doublefile Viburnum</t>
    </r>
  </si>
  <si>
    <r>
      <t>Dark Tower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Blackhaw Viburnum</t>
    </r>
  </si>
  <si>
    <r>
      <t>Moonlit Lace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Viburnum</t>
    </r>
  </si>
  <si>
    <r>
      <t>Shades of Pink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Viburnum</t>
    </r>
  </si>
  <si>
    <r>
      <t>Spilled Wine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</t>
    </r>
  </si>
  <si>
    <r>
      <t>Electric Love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</t>
    </r>
  </si>
  <si>
    <r>
      <t>Low Scape Snowfire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Chokeberry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</si>
  <si>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Low Scape Mound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Aronia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</si>
  <si>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Li'l Grape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Butterfly Bush (</t>
    </r>
    <r>
      <rPr>
        <sz val="8"/>
        <color rgb="FF682826"/>
        <rFont val="Arial Narrow"/>
        <family val="2"/>
      </rPr>
      <t>BC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</si>
  <si>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Purple Haze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Butterfly Bush (</t>
    </r>
    <r>
      <rPr>
        <sz val="8"/>
        <color rgb="FF682826"/>
        <rFont val="Arial Narrow"/>
        <family val="2"/>
      </rPr>
      <t>L&amp;B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</si>
  <si>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Evergold Sedge (</t>
    </r>
    <r>
      <rPr>
        <sz val="8"/>
        <color rgb="FF003200"/>
        <rFont val="Arial Narrow"/>
        <family val="2"/>
      </rPr>
      <t>EverColor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</si>
  <si>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Everillo Sedge (</t>
    </r>
    <r>
      <rPr>
        <sz val="8"/>
        <color rgb="FF003200"/>
        <rFont val="Arial Narrow"/>
        <family val="2"/>
      </rPr>
      <t>EverColor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</si>
  <si>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Fiber Optics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Buttonbush (</t>
    </r>
    <r>
      <rPr>
        <sz val="8"/>
        <color rgb="FF682826"/>
        <rFont val="Arial Narrow"/>
        <family val="2"/>
      </rPr>
      <t>FE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</si>
  <si>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Emerald Redbud (</t>
    </r>
    <r>
      <rPr>
        <sz val="8"/>
        <color rgb="FF682826"/>
        <rFont val="Arial Narrow"/>
        <family val="2"/>
      </rPr>
      <t>GG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</si>
  <si>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Amethyst Redbud (</t>
    </r>
    <r>
      <rPr>
        <sz val="8"/>
        <color rgb="FF682826"/>
        <rFont val="Arial Narrow"/>
        <family val="2"/>
      </rPr>
      <t>GG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</si>
  <si>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Black Coral Elephant Ear (</t>
    </r>
    <r>
      <rPr>
        <sz val="8"/>
        <color rgb="FF682826"/>
        <rFont val="Arial Narrow"/>
        <family val="2"/>
      </rPr>
      <t>RH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</si>
  <si>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Mountain Frost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Pink Carpet Dianthus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</si>
  <si>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Mountain Frost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Red Garnet Dianthus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</si>
  <si>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Firefly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Bush Honeysuckle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</si>
  <si>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Nightglow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Bush Honeysuckle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</si>
  <si>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Emerald Heights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</si>
  <si>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Blue Cascade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</si>
  <si>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Coppertone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Distyllium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</si>
  <si>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Linebacker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</si>
  <si>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Cinnamon Girl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</si>
  <si>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Swing Low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</si>
  <si>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Panama Red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Coneflower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</si>
  <si>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Double Mint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Gardenia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</si>
  <si>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True Love Lenten Rose (</t>
    </r>
    <r>
      <rPr>
        <sz val="8"/>
        <color rgb="FF003200"/>
        <rFont val="Arial Narrow"/>
        <family val="2"/>
      </rPr>
      <t>WP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</si>
  <si>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Wedding Bells Lenten Rose (</t>
    </r>
    <r>
      <rPr>
        <sz val="8"/>
        <color rgb="FF003200"/>
        <rFont val="Arial Narrow"/>
        <family val="2"/>
      </rPr>
      <t>WP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</si>
  <si>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Holy Grail Hardy Hibiscus (</t>
    </r>
    <r>
      <rPr>
        <sz val="8"/>
        <color rgb="FF682826"/>
        <rFont val="Arial Narrow"/>
        <family val="2"/>
      </rPr>
      <t>Summerific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</si>
  <si>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Invincibelle Sublime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Smooth Hydrangea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</si>
  <si>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Summer Crush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</si>
  <si>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Endless Summer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</si>
  <si>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Twist-N-Shout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</si>
  <si>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Bloomstruck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</si>
  <si>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Tilt-A-Swirl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</si>
  <si>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Candelabra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</si>
  <si>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Little Lime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</si>
  <si>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Little Lime Punch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</si>
  <si>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Limelight Prime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</si>
  <si>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Little Henry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Virginia Sweetspire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</si>
  <si>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Lunar Magic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Crape Myrtle (</t>
    </r>
    <r>
      <rPr>
        <sz val="8"/>
        <color rgb="FF682826"/>
        <rFont val="Arial Narrow"/>
        <family val="2"/>
      </rPr>
      <t>FE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</si>
  <si>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Blue Moon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Bee Balm (</t>
    </r>
    <r>
      <rPr>
        <sz val="8"/>
        <color rgb="FF682826"/>
        <rFont val="Arial Narrow"/>
        <family val="2"/>
      </rPr>
      <t>SB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</si>
  <si>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Glacier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</si>
  <si>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Black Hat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</si>
  <si>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Perfecto Mundo Epic Pink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</si>
  <si>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Pink Ruffles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</si>
  <si>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Ever After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Pink Reblooming Azalea (</t>
    </r>
    <r>
      <rPr>
        <sz val="8"/>
        <color rgb="FF003200"/>
        <rFont val="Arial Narrow"/>
        <family val="2"/>
      </rPr>
      <t>BE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</si>
  <si>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Wolfpack Red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</si>
  <si>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Sunglow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</si>
  <si>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Baby Cakes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Blackberry (</t>
    </r>
    <r>
      <rPr>
        <sz val="8"/>
        <color rgb="FF682826"/>
        <rFont val="Arial Narrow"/>
        <family val="2"/>
      </rPr>
      <t>BB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</si>
  <si>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Raspberry Shortcake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Raspberry (</t>
    </r>
    <r>
      <rPr>
        <sz val="8"/>
        <color rgb="FF682826"/>
        <rFont val="Arial Narrow"/>
        <family val="2"/>
      </rPr>
      <t>BB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</si>
  <si>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Arctic Blaze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Purple Salvia (</t>
    </r>
    <r>
      <rPr>
        <sz val="8"/>
        <color rgb="FF682826"/>
        <rFont val="Arial Narrow"/>
        <family val="2"/>
      </rPr>
      <t>PS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</si>
  <si>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SWEET &amp; LO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Sweet Box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</si>
  <si>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Flirty Girl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False Hydrangea Vine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</si>
  <si>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Candy Corn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Japanese Spirea (</t>
    </r>
    <r>
      <rPr>
        <sz val="8"/>
        <color rgb="FF682826"/>
        <rFont val="Arial Narrow"/>
        <family val="2"/>
      </rPr>
      <t>DP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</si>
  <si>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Starway to Heaven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Japanese Snowbell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</si>
  <si>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Bloomerang Purpink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Lilac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</si>
  <si>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North Pole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</si>
  <si>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Tater Tot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</si>
  <si>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Sting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</si>
  <si>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Pink Icing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Blueberry (</t>
    </r>
    <r>
      <rPr>
        <sz val="8"/>
        <color rgb="FF682826"/>
        <rFont val="Arial Narrow"/>
        <family val="2"/>
      </rPr>
      <t>BB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</si>
  <si>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Vinho Verde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</si>
  <si>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Midnight Sun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Weigela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</si>
  <si>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Maroon Swoon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</si>
  <si>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Stunner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</si>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</sst>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&quot;$&quot;#,##0"/>
    <numFmt numFmtId="166" formatCode="0.0"/>
  </numFmts>
  <fonts count="38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9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0"/>
      <name val="Arial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10"/>
      <color indexed="8"/>
      <name val="Gadugi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sz val="10.5"/>
      <name val="Gadugi"/>
      <family val="2"/>
    </font>
    <font>
      <vertAlign val="superscript"/>
      <sz val="10"/>
      <color theme="1"/>
      <name val="Arial"/>
      <family val="2"/>
    </font>
    <font>
      <i/>
      <sz val="10"/>
      <color indexed="8"/>
      <name val="Calibri"/>
      <family val="2"/>
      <scheme val="minor"/>
    </font>
    <font>
      <b/>
      <sz val="10.5"/>
      <color theme="1"/>
      <name val="Arial"/>
      <family val="2"/>
    </font>
    <font>
      <sz val="10"/>
      <color rgb="FF000000"/>
      <name val="Arial"/>
      <family val="2"/>
    </font>
    <font>
      <b/>
      <sz val="10.5"/>
      <color rgb="FF4D0E5E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sz val="10"/>
      <color rgb="FF0000FF"/>
      <name val="Arial"/>
      <family val="2"/>
    </font>
    <font>
      <b/>
      <sz val="9"/>
      <color theme="0"/>
      <name val="Arial"/>
      <family val="2"/>
    </font>
    <font>
      <i/>
      <sz val="9"/>
      <color rgb="FF000000"/>
      <name val="Arial"/>
      <family val="2"/>
    </font>
    <font>
      <b/>
      <sz val="10.5"/>
      <color indexed="8"/>
      <name val="Gadug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sz val="9.5"/>
      <color theme="5" tint="-0.249977111117893"/>
      <name val="Arial"/>
      <family val="2"/>
    </font>
    <font>
      <b/>
      <sz val="10"/>
      <color theme="1" tint="0.249977111117893"/>
      <name val="Arial"/>
      <family val="2"/>
    </font>
    <font>
      <b/>
      <sz val="10"/>
      <color theme="1" tint="0.14999847407452621"/>
      <name val="Gadugi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 tint="0.14999847407452621"/>
      <name val="Arial"/>
      <family val="2"/>
    </font>
    <font>
      <b/>
      <sz val="10.5"/>
      <color rgb="FF208420"/>
      <name val="Gadugi"/>
      <family val="2"/>
    </font>
    <font>
      <sz val="10.5"/>
      <color rgb="FF000000"/>
      <name val="Calibri"/>
      <family val="2"/>
      <scheme val="minor"/>
    </font>
    <font>
      <sz val="10.5"/>
      <color rgb="FF9900FF"/>
      <name val="Calibri"/>
      <family val="2"/>
      <scheme val="minor"/>
    </font>
    <font>
      <b/>
      <sz val="10.5"/>
      <color rgb="FF9900FF"/>
      <name val="Arial"/>
      <family val="2"/>
    </font>
    <font>
      <sz val="10.5"/>
      <color rgb="FF9900FF"/>
      <name val="Arial"/>
      <family val="2"/>
    </font>
    <font>
      <sz val="10"/>
      <color theme="9" tint="-0.499984740745262"/>
      <name val="Arial"/>
      <family val="2"/>
    </font>
    <font>
      <sz val="10.5"/>
      <color theme="9" tint="-0.499984740745262"/>
      <name val="Arial"/>
      <family val="2"/>
    </font>
    <font>
      <b/>
      <u/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10"/>
      <color rgb="FF002060"/>
      <name val="Arial"/>
      <family val="2"/>
    </font>
    <font>
      <b/>
      <sz val="10.5"/>
      <color rgb="FF002060"/>
      <name val="Calibri"/>
      <family val="2"/>
    </font>
    <font>
      <b/>
      <sz val="9.5"/>
      <color rgb="FF8D4305"/>
      <name val="Gadugi"/>
      <family val="2"/>
    </font>
    <font>
      <b/>
      <i/>
      <sz val="9"/>
      <color rgb="FF8D4305"/>
      <name val="Arial"/>
      <family val="2"/>
    </font>
    <font>
      <b/>
      <sz val="9.5"/>
      <color rgb="FF002060"/>
      <name val="Arial"/>
      <family val="2"/>
    </font>
    <font>
      <sz val="9.5"/>
      <color rgb="FF002060"/>
      <name val="Arial"/>
      <family val="2"/>
    </font>
    <font>
      <i/>
      <sz val="9.5"/>
      <color rgb="FF002060"/>
      <name val="Arial"/>
      <family val="2"/>
    </font>
    <font>
      <sz val="9.5"/>
      <color rgb="FF002060"/>
      <name val="Gadugi"/>
      <family val="2"/>
    </font>
    <font>
      <b/>
      <sz val="9.5"/>
      <color rgb="FF002060"/>
      <name val="Gadugi"/>
      <family val="2"/>
    </font>
    <font>
      <u/>
      <sz val="10"/>
      <color rgb="FF0000FF"/>
      <name val="Arial"/>
      <family val="2"/>
    </font>
    <font>
      <sz val="11"/>
      <color rgb="FF002D86"/>
      <name val="Calibri"/>
      <family val="2"/>
      <scheme val="minor"/>
    </font>
    <font>
      <b/>
      <u/>
      <sz val="9"/>
      <color rgb="FF002D86"/>
      <name val="Arial"/>
      <family val="2"/>
    </font>
    <font>
      <sz val="10"/>
      <color rgb="FF66FFFF"/>
      <name val="Arial"/>
      <family val="2"/>
    </font>
    <font>
      <sz val="10.5"/>
      <color rgb="FF5F4878"/>
      <name val="Calibri"/>
      <family val="2"/>
      <scheme val="minor"/>
    </font>
    <font>
      <b/>
      <sz val="10.5"/>
      <color rgb="FF5F4878"/>
      <name val="Calibri"/>
      <family val="2"/>
      <scheme val="minor"/>
    </font>
    <font>
      <b/>
      <u/>
      <sz val="9"/>
      <color rgb="FF6B2B00"/>
      <name val="Arial"/>
      <family val="2"/>
    </font>
    <font>
      <b/>
      <sz val="9"/>
      <color rgb="FF6B2B00"/>
      <name val="Arial"/>
      <family val="2"/>
    </font>
    <font>
      <b/>
      <u/>
      <sz val="10"/>
      <color rgb="FF6B2B00"/>
      <name val="Arial"/>
      <family val="2"/>
    </font>
    <font>
      <b/>
      <sz val="12"/>
      <color rgb="FF6B2B00"/>
      <name val="Arial"/>
      <family val="2"/>
    </font>
    <font>
      <b/>
      <sz val="10"/>
      <color rgb="FF974706"/>
      <name val="Arial Black"/>
      <family val="2"/>
    </font>
    <font>
      <sz val="10"/>
      <color rgb="FF002D86"/>
      <name val="Calibri"/>
      <family val="2"/>
      <scheme val="minor"/>
    </font>
    <font>
      <sz val="11"/>
      <color rgb="FF002F8E"/>
      <name val="Calibri"/>
      <family val="2"/>
      <scheme val="minor"/>
    </font>
    <font>
      <b/>
      <i/>
      <sz val="10"/>
      <color rgb="FF002F8E"/>
      <name val="Arial"/>
      <family val="2"/>
    </font>
    <font>
      <b/>
      <i/>
      <sz val="10.5"/>
      <color rgb="FF002F8E"/>
      <name val="Arial"/>
      <family val="2"/>
    </font>
    <font>
      <b/>
      <sz val="11"/>
      <color rgb="FF002F8E"/>
      <name val="Calibri"/>
      <family val="2"/>
      <scheme val="minor"/>
    </font>
    <font>
      <b/>
      <sz val="11"/>
      <color rgb="FF006DAA"/>
      <name val="Calibri"/>
      <family val="2"/>
      <scheme val="minor"/>
    </font>
    <font>
      <b/>
      <sz val="10"/>
      <color theme="9" tint="-0.499984740745262"/>
      <name val="Aptos Black"/>
      <family val="2"/>
    </font>
    <font>
      <i/>
      <sz val="10"/>
      <color theme="9" tint="-0.499984740745262"/>
      <name val="Arial"/>
      <family val="2"/>
    </font>
    <font>
      <b/>
      <sz val="10"/>
      <color theme="5" tint="-0.249977111117893"/>
      <name val="Gadugi"/>
      <family val="2"/>
    </font>
    <font>
      <b/>
      <i/>
      <sz val="10.5"/>
      <color theme="0"/>
      <name val="Calibri"/>
      <family val="2"/>
    </font>
    <font>
      <i/>
      <sz val="10"/>
      <color theme="0"/>
      <name val="Arial"/>
      <family val="2"/>
    </font>
    <font>
      <b/>
      <sz val="9.5"/>
      <color theme="0"/>
      <name val="Arial"/>
      <family val="2"/>
    </font>
    <font>
      <sz val="9.5"/>
      <color theme="0"/>
      <name val="Arial"/>
      <family val="2"/>
    </font>
    <font>
      <i/>
      <sz val="9.5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rgb="FF0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9"/>
      <color rgb="FF122B4A"/>
      <name val="Arial"/>
      <family val="2"/>
    </font>
    <font>
      <b/>
      <i/>
      <sz val="9"/>
      <color theme="10"/>
      <name val="Arial"/>
      <family val="2"/>
    </font>
    <font>
      <sz val="11"/>
      <color rgb="FFFFF3FF"/>
      <name val="Calibri"/>
      <family val="2"/>
      <scheme val="minor"/>
    </font>
    <font>
      <sz val="10"/>
      <color rgb="FFFFF3FF"/>
      <name val="Arial"/>
      <family val="2"/>
    </font>
    <font>
      <sz val="9"/>
      <color rgb="FFFFF3FF"/>
      <name val="Arial"/>
      <family val="2"/>
    </font>
    <font>
      <sz val="10"/>
      <color indexed="8"/>
      <name val="Arial Narrow"/>
      <family val="2"/>
    </font>
    <font>
      <b/>
      <sz val="10.5"/>
      <color theme="0"/>
      <name val="Bahnschrift SemiCondensed"/>
      <family val="2"/>
    </font>
    <font>
      <sz val="10"/>
      <color theme="1"/>
      <name val="Arial Narrow"/>
      <family val="2"/>
    </font>
    <font>
      <b/>
      <u/>
      <sz val="10"/>
      <color theme="1"/>
      <name val="Arial"/>
      <family val="2"/>
    </font>
    <font>
      <b/>
      <sz val="10"/>
      <color rgb="FF974706"/>
      <name val="Arial"/>
      <family val="2"/>
    </font>
    <font>
      <sz val="9"/>
      <color rgb="FFCD6209"/>
      <name val="Calibri"/>
      <family val="2"/>
      <scheme val="minor"/>
    </font>
    <font>
      <sz val="10"/>
      <color rgb="FFD8E4BC"/>
      <name val="Arial Narrow"/>
      <family val="2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sz val="10"/>
      <color rgb="FF002F8E"/>
      <name val="Arial Narrow"/>
      <family val="2"/>
    </font>
    <font>
      <sz val="10"/>
      <color theme="0"/>
      <name val="Arial Narrow"/>
      <family val="2"/>
    </font>
    <font>
      <sz val="10"/>
      <color rgb="FF5F4878"/>
      <name val="Arial Narrow"/>
      <family val="2"/>
    </font>
    <font>
      <b/>
      <sz val="10"/>
      <color rgb="FF000000"/>
      <name val="Arial"/>
      <family val="2"/>
    </font>
    <font>
      <i/>
      <sz val="10"/>
      <color theme="1"/>
      <name val="Arial Narrow"/>
      <family val="2"/>
    </font>
    <font>
      <i/>
      <sz val="11"/>
      <color theme="0"/>
      <name val="Calibri"/>
      <family val="2"/>
      <scheme val="minor"/>
    </font>
    <font>
      <sz val="10"/>
      <color rgb="FF003200"/>
      <name val="Arial Narrow"/>
      <family val="2"/>
    </font>
    <font>
      <b/>
      <u/>
      <sz val="10"/>
      <color rgb="FF0000FF"/>
      <name val="Arial"/>
      <family val="2"/>
    </font>
    <font>
      <sz val="12"/>
      <name val="Arial Narrow"/>
      <family val="2"/>
    </font>
    <font>
      <b/>
      <sz val="11"/>
      <color rgb="FF000000"/>
      <name val="Arial"/>
      <family val="2"/>
    </font>
    <font>
      <sz val="9"/>
      <name val="Arial"/>
      <family val="2"/>
    </font>
    <font>
      <i/>
      <sz val="9"/>
      <color rgb="FF0000FF"/>
      <name val="Arial"/>
      <family val="2"/>
    </font>
    <font>
      <b/>
      <sz val="10"/>
      <color rgb="FF002D86"/>
      <name val="Arial"/>
      <family val="2"/>
    </font>
    <font>
      <b/>
      <sz val="10"/>
      <color rgb="FFFFFF00"/>
      <name val="Arial Narrow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.5"/>
      <color theme="1"/>
      <name val="Arial"/>
      <family val="2"/>
    </font>
    <font>
      <b/>
      <sz val="11"/>
      <color theme="1"/>
      <name val="Arial"/>
      <family val="2"/>
    </font>
    <font>
      <b/>
      <i/>
      <sz val="10.5"/>
      <color theme="6" tint="-0.499984740745262"/>
      <name val="Arial"/>
      <family val="2"/>
    </font>
    <font>
      <b/>
      <sz val="10.5"/>
      <color rgb="FFFFFF00"/>
      <name val="Arial"/>
      <family val="2"/>
    </font>
    <font>
      <b/>
      <sz val="14"/>
      <color rgb="FFFFFF00"/>
      <name val="Arial"/>
      <family val="2"/>
    </font>
    <font>
      <b/>
      <sz val="11"/>
      <color rgb="FF9900FF"/>
      <name val="Arial"/>
      <family val="2"/>
    </font>
    <font>
      <b/>
      <sz val="9.5"/>
      <color rgb="FF8D4305"/>
      <name val="Arial"/>
      <family val="2"/>
    </font>
    <font>
      <b/>
      <i/>
      <sz val="10"/>
      <color rgb="FF00B0F0"/>
      <name val="Arial"/>
      <family val="2"/>
    </font>
    <font>
      <sz val="11"/>
      <color theme="1"/>
      <name val="Arial"/>
      <family val="2"/>
    </font>
    <font>
      <b/>
      <sz val="9.5"/>
      <color theme="1"/>
      <name val="Arial"/>
      <family val="2"/>
    </font>
    <font>
      <sz val="11"/>
      <color rgb="FFEEECE2"/>
      <name val="Arial"/>
      <family val="2"/>
    </font>
    <font>
      <sz val="10"/>
      <color rgb="FF005400"/>
      <name val="Arial"/>
      <family val="2"/>
    </font>
    <font>
      <b/>
      <sz val="11"/>
      <color rgb="FF6B2B00"/>
      <name val="Arial"/>
      <family val="2"/>
    </font>
    <font>
      <b/>
      <sz val="9"/>
      <color rgb="FF002D86"/>
      <name val="Arial"/>
      <family val="2"/>
    </font>
    <font>
      <b/>
      <sz val="11"/>
      <color rgb="FF980000"/>
      <name val="Arial"/>
      <family val="2"/>
    </font>
    <font>
      <b/>
      <i/>
      <sz val="10"/>
      <color theme="0"/>
      <name val="Arial"/>
      <family val="2"/>
    </font>
    <font>
      <b/>
      <sz val="11"/>
      <color rgb="FF66FFFF"/>
      <name val="Arial"/>
      <family val="2"/>
    </font>
    <font>
      <b/>
      <i/>
      <sz val="11"/>
      <color rgb="FF66FFFF"/>
      <name val="Arial"/>
      <family val="2"/>
    </font>
    <font>
      <b/>
      <sz val="10"/>
      <color rgb="FFFF4BFF"/>
      <name val="Arial"/>
      <family val="2"/>
    </font>
    <font>
      <sz val="10"/>
      <color rgb="FF002D86"/>
      <name val="Arial"/>
      <family val="2"/>
    </font>
    <font>
      <b/>
      <u/>
      <sz val="10"/>
      <color rgb="FF002D86"/>
      <name val="Arial"/>
      <family val="2"/>
    </font>
    <font>
      <b/>
      <u/>
      <sz val="10"/>
      <color theme="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sz val="9"/>
      <color rgb="FF974706"/>
      <name val="Arial"/>
      <family val="2"/>
    </font>
    <font>
      <b/>
      <sz val="11"/>
      <color rgb="FF974706"/>
      <name val="Arial"/>
      <family val="2"/>
    </font>
    <font>
      <sz val="10"/>
      <color rgb="FF974706"/>
      <name val="Arial"/>
      <family val="2"/>
    </font>
    <font>
      <b/>
      <sz val="9"/>
      <color theme="1" tint="0.14999847407452621"/>
      <name val="Arial"/>
      <family val="2"/>
    </font>
    <font>
      <b/>
      <sz val="12"/>
      <color theme="0"/>
      <name val="Arial"/>
      <family val="2"/>
    </font>
    <font>
      <b/>
      <sz val="10"/>
      <color rgb="FF0070CC"/>
      <name val="Arial"/>
      <family val="2"/>
    </font>
    <font>
      <i/>
      <sz val="11"/>
      <color theme="1"/>
      <name val="Arial"/>
      <family val="2"/>
    </font>
    <font>
      <b/>
      <sz val="11"/>
      <color rgb="FF002060"/>
      <name val="Arial"/>
      <family val="2"/>
    </font>
    <font>
      <b/>
      <sz val="9"/>
      <color rgb="FF7030A0"/>
      <name val="Arial"/>
      <family val="2"/>
    </font>
    <font>
      <b/>
      <sz val="10"/>
      <color rgb="FFFF0000"/>
      <name val="Arial"/>
      <family val="2"/>
    </font>
    <font>
      <u/>
      <sz val="9"/>
      <color theme="0"/>
      <name val="Arial"/>
      <family val="2"/>
    </font>
    <font>
      <b/>
      <sz val="9"/>
      <color rgb="FF9900FF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sz val="9.5"/>
      <color theme="5" tint="-0.249977111117893"/>
      <name val="Arial"/>
      <family val="2"/>
    </font>
    <font>
      <b/>
      <sz val="9.5"/>
      <color indexed="8"/>
      <name val="Arial"/>
      <family val="2"/>
    </font>
    <font>
      <sz val="11"/>
      <color theme="2"/>
      <name val="Arial"/>
      <family val="2"/>
    </font>
    <font>
      <b/>
      <sz val="10"/>
      <color rgb="FF208420"/>
      <name val="Arial"/>
      <family val="2"/>
    </font>
    <font>
      <b/>
      <sz val="10"/>
      <color rgb="FF765995"/>
      <name val="Arial Narrow"/>
      <family val="2"/>
    </font>
    <font>
      <sz val="10"/>
      <color theme="1" tint="0.249977111117893"/>
      <name val="Arial Narrow"/>
      <family val="2"/>
    </font>
    <font>
      <b/>
      <sz val="9"/>
      <color theme="3" tint="-0.249977111117893"/>
      <name val="Arial"/>
      <family val="2"/>
    </font>
    <font>
      <sz val="9"/>
      <color theme="3" tint="-0.249977111117893"/>
      <name val="Arial"/>
      <family val="2"/>
    </font>
    <font>
      <sz val="9"/>
      <color rgb="FF9900FF"/>
      <name val="Arial"/>
      <family val="2"/>
    </font>
    <font>
      <sz val="9"/>
      <color theme="3" tint="-0.499984740745262"/>
      <name val="Arial"/>
      <family val="2"/>
    </font>
    <font>
      <b/>
      <sz val="10"/>
      <color rgb="FFE26B0A"/>
      <name val="Arial"/>
      <family val="2"/>
    </font>
    <font>
      <b/>
      <sz val="10"/>
      <color rgb="FFEEECE2"/>
      <name val="Arial"/>
      <family val="2"/>
    </font>
    <font>
      <sz val="9"/>
      <color indexed="8"/>
      <name val="Arial"/>
      <family val="2"/>
    </font>
    <font>
      <b/>
      <sz val="12"/>
      <color theme="3" tint="-0.249977111117893"/>
      <name val="Arial"/>
      <family val="2"/>
    </font>
    <font>
      <b/>
      <sz val="10.5"/>
      <color indexed="8"/>
      <name val="Arial"/>
      <family val="2"/>
    </font>
    <font>
      <sz val="11"/>
      <color indexed="8"/>
      <name val="Arial"/>
      <family val="2"/>
    </font>
    <font>
      <b/>
      <sz val="9"/>
      <name val="Arial"/>
      <family val="2"/>
    </font>
    <font>
      <b/>
      <sz val="10"/>
      <color rgb="FF00B0F0"/>
      <name val="Arial"/>
      <family val="2"/>
    </font>
    <font>
      <b/>
      <sz val="9"/>
      <color rgb="FF00B0F0"/>
      <name val="Arial"/>
      <family val="2"/>
    </font>
    <font>
      <sz val="9"/>
      <color rgb="FF122B4A"/>
      <name val="Arial"/>
      <family val="2"/>
    </font>
    <font>
      <i/>
      <sz val="9"/>
      <color rgb="FF122B4A"/>
      <name val="Arial"/>
      <family val="2"/>
    </font>
    <font>
      <i/>
      <sz val="9"/>
      <color rgb="FFFF0000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11"/>
      <color rgb="FF002060"/>
      <name val="Arial"/>
      <family val="2"/>
    </font>
    <font>
      <b/>
      <sz val="10.5"/>
      <color rgb="FFFFFFCC"/>
      <name val="Arial"/>
      <family val="2"/>
    </font>
    <font>
      <b/>
      <sz val="10.5"/>
      <color rgb="FF99FF99"/>
      <name val="Arial"/>
      <family val="2"/>
    </font>
    <font>
      <i/>
      <sz val="10"/>
      <color rgb="FFE5E2D3"/>
      <name val="Arial"/>
      <family val="2"/>
    </font>
    <font>
      <b/>
      <sz val="11"/>
      <color rgb="FFFFF3FF"/>
      <name val="Arial"/>
      <family val="2"/>
    </font>
    <font>
      <b/>
      <sz val="12"/>
      <color rgb="FFFFF3FF"/>
      <name val="Arial"/>
      <family val="2"/>
    </font>
    <font>
      <b/>
      <sz val="12"/>
      <name val="Arial"/>
      <family val="2"/>
    </font>
    <font>
      <sz val="11"/>
      <color rgb="FFFFF3FF"/>
      <name val="Arial"/>
      <family val="2"/>
    </font>
    <font>
      <b/>
      <sz val="9"/>
      <color rgb="FF000000"/>
      <name val="Arial"/>
      <family val="2"/>
    </font>
    <font>
      <sz val="11"/>
      <color theme="1" tint="0.499984740745262"/>
      <name val="Arial"/>
      <family val="2"/>
    </font>
    <font>
      <b/>
      <sz val="9"/>
      <color indexed="8"/>
      <name val="Arial"/>
      <family val="2"/>
    </font>
    <font>
      <sz val="9"/>
      <color theme="0"/>
      <name val="Arial"/>
      <family val="2"/>
    </font>
    <font>
      <sz val="9"/>
      <color rgb="FF592A03"/>
      <name val="Arial"/>
      <family val="2"/>
    </font>
    <font>
      <b/>
      <sz val="11"/>
      <color theme="9" tint="-0.499984740745262"/>
      <name val="Arial"/>
      <family val="2"/>
    </font>
    <font>
      <b/>
      <i/>
      <sz val="9"/>
      <color rgb="FFF0EA00"/>
      <name val="Arial"/>
      <family val="2"/>
    </font>
    <font>
      <sz val="11"/>
      <color theme="9" tint="-0.499984740745262"/>
      <name val="Arial"/>
      <family val="2"/>
    </font>
    <font>
      <i/>
      <sz val="9"/>
      <color rgb="FFE5E2D3"/>
      <name val="Arial"/>
      <family val="2"/>
    </font>
    <font>
      <sz val="11"/>
      <color rgb="FFE5E2D3"/>
      <name val="Arial"/>
      <family val="2"/>
    </font>
    <font>
      <b/>
      <sz val="11"/>
      <color rgb="FF002F8E"/>
      <name val="Arial"/>
      <family val="2"/>
    </font>
    <font>
      <sz val="9"/>
      <color theme="1" tint="0.499984740745262"/>
      <name val="Arial"/>
      <family val="2"/>
    </font>
    <font>
      <i/>
      <sz val="9"/>
      <color rgb="FF002060"/>
      <name val="Arial"/>
      <family val="2"/>
    </font>
    <font>
      <b/>
      <sz val="11"/>
      <color theme="1" tint="0.499984740745262"/>
      <name val="Arial"/>
      <family val="2"/>
    </font>
    <font>
      <b/>
      <sz val="9"/>
      <color rgb="FF0000FF"/>
      <name val="Arial"/>
      <family val="2"/>
    </font>
    <font>
      <b/>
      <i/>
      <sz val="9"/>
      <color rgb="FF0000FF"/>
      <name val="Arial"/>
      <family val="2"/>
    </font>
    <font>
      <b/>
      <i/>
      <sz val="9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9.5"/>
      <color rgb="FF002F8E"/>
      <name val="Arial"/>
      <family val="2"/>
    </font>
    <font>
      <b/>
      <i/>
      <sz val="9.5"/>
      <color rgb="FF002F8E"/>
      <name val="Arial Narrow"/>
      <family val="2"/>
    </font>
    <font>
      <sz val="9"/>
      <color rgb="FFFF00CC"/>
      <name val="Arial Narrow"/>
      <family val="2"/>
    </font>
    <font>
      <b/>
      <sz val="10.5"/>
      <color rgb="FF9900FF"/>
      <name val="Arial Narrow"/>
      <family val="2"/>
    </font>
    <font>
      <b/>
      <sz val="10"/>
      <color rgb="FF9900FF"/>
      <name val="Arial Narrow"/>
      <family val="2"/>
    </font>
    <font>
      <b/>
      <sz val="10"/>
      <color rgb="FFD8E4BC"/>
      <name val="Arial Narrow"/>
      <family val="2"/>
    </font>
    <font>
      <sz val="10"/>
      <name val="Arial Narrow"/>
      <family val="2"/>
    </font>
    <font>
      <b/>
      <sz val="10"/>
      <color rgb="FF974706"/>
      <name val="Aptos Black"/>
      <family val="2"/>
    </font>
    <font>
      <sz val="10"/>
      <color rgb="FFE6EED6"/>
      <name val="Arial Narrow"/>
      <family val="2"/>
    </font>
    <font>
      <sz val="10"/>
      <color rgb="FFE6EED6"/>
      <name val="Arial"/>
      <family val="2"/>
    </font>
    <font>
      <sz val="9"/>
      <color theme="1"/>
      <name val="Segoe UI Emoji"/>
      <family val="2"/>
    </font>
    <font>
      <i/>
      <sz val="9.5"/>
      <color theme="1"/>
      <name val="Arial"/>
      <family val="2"/>
    </font>
    <font>
      <b/>
      <sz val="12"/>
      <color rgb="FF9900FF"/>
      <name val="Arial"/>
      <family val="2"/>
    </font>
    <font>
      <b/>
      <sz val="14"/>
      <color theme="1"/>
      <name val="Arial"/>
      <family val="2"/>
    </font>
    <font>
      <sz val="9"/>
      <color theme="1"/>
      <name val="Arial Narrow"/>
      <family val="2"/>
    </font>
    <font>
      <b/>
      <i/>
      <sz val="11"/>
      <color rgb="FFC4FAFF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u/>
      <sz val="11"/>
      <color theme="8" tint="0.79998168889431442"/>
      <name val="Calibri"/>
      <family val="2"/>
      <scheme val="minor"/>
    </font>
    <font>
      <b/>
      <sz val="10"/>
      <color rgb="FFC4FAFF"/>
      <name val="Calibri"/>
      <family val="2"/>
      <scheme val="minor"/>
    </font>
    <font>
      <b/>
      <i/>
      <sz val="10"/>
      <color rgb="FF002D86"/>
      <name val="Arial Narrow"/>
      <family val="2"/>
    </font>
    <font>
      <b/>
      <sz val="10"/>
      <name val="Arial Narrow"/>
      <family val="2"/>
    </font>
    <font>
      <sz val="11"/>
      <color rgb="FFE6EED6"/>
      <name val="Calibri"/>
      <family val="2"/>
      <scheme val="minor"/>
    </font>
    <font>
      <b/>
      <sz val="10.5"/>
      <color theme="1" tint="0.14999847407452621"/>
      <name val="Arial"/>
      <family val="2"/>
    </font>
    <font>
      <b/>
      <sz val="10"/>
      <color rgb="FF004800"/>
      <name val="Arial"/>
      <family val="2"/>
    </font>
    <font>
      <i/>
      <sz val="9"/>
      <color indexed="8"/>
      <name val="Arial"/>
      <family val="2"/>
    </font>
    <font>
      <b/>
      <sz val="36"/>
      <color theme="0"/>
      <name val="Arial"/>
      <family val="2"/>
    </font>
    <font>
      <b/>
      <sz val="16"/>
      <name val="Arial"/>
      <family val="2"/>
    </font>
    <font>
      <b/>
      <sz val="9"/>
      <color rgb="FFC4FAFF"/>
      <name val="Arial"/>
      <family val="2"/>
    </font>
    <font>
      <b/>
      <sz val="10.5"/>
      <color rgb="FF974706"/>
      <name val="Arial Black"/>
      <family val="2"/>
    </font>
    <font>
      <b/>
      <sz val="9"/>
      <color rgb="FF000000"/>
      <name val="Arial Black"/>
      <family val="2"/>
    </font>
    <font>
      <b/>
      <sz val="9"/>
      <color rgb="FF000000"/>
      <name val="Arial Narrow"/>
      <family val="2"/>
    </font>
    <font>
      <b/>
      <sz val="9"/>
      <color theme="1"/>
      <name val="Arial Black"/>
      <family val="2"/>
    </font>
    <font>
      <b/>
      <sz val="9.5"/>
      <color theme="1"/>
      <name val="Arial Black"/>
      <family val="2"/>
    </font>
    <font>
      <b/>
      <sz val="9"/>
      <color rgb="FF002060"/>
      <name val="Arial Black"/>
      <family val="2"/>
    </font>
    <font>
      <b/>
      <sz val="9.5"/>
      <color rgb="FF002060"/>
      <name val="Arial Black"/>
      <family val="2"/>
    </font>
    <font>
      <b/>
      <sz val="11"/>
      <color rgb="FFC4FAFF"/>
      <name val="Arial Black"/>
      <family val="2"/>
    </font>
    <font>
      <b/>
      <sz val="36"/>
      <color theme="0"/>
      <name val="Arial Black"/>
      <family val="2"/>
    </font>
    <font>
      <b/>
      <sz val="10"/>
      <color theme="1"/>
      <name val="Arial Black"/>
      <family val="2"/>
    </font>
    <font>
      <b/>
      <sz val="10"/>
      <color rgb="FF000000"/>
      <name val="Arial Black"/>
      <family val="2"/>
    </font>
    <font>
      <sz val="11"/>
      <color theme="2" tint="-9.9978637043366805E-2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Arial Black"/>
      <family val="2"/>
    </font>
    <font>
      <sz val="9"/>
      <color rgb="FF002D86"/>
      <name val="Arial"/>
      <family val="2"/>
    </font>
    <font>
      <b/>
      <sz val="11"/>
      <color rgb="FFA7F5FF"/>
      <name val="Arial"/>
      <family val="2"/>
    </font>
    <font>
      <b/>
      <sz val="9"/>
      <color rgb="FFF8EDEC"/>
      <name val="Arial"/>
      <family val="2"/>
    </font>
    <font>
      <b/>
      <sz val="10"/>
      <color rgb="FF001946"/>
      <name val="Arial Black"/>
      <family val="2"/>
    </font>
    <font>
      <b/>
      <sz val="9.5"/>
      <color rgb="FF00408A"/>
      <name val="Arial"/>
      <family val="2"/>
    </font>
    <font>
      <b/>
      <sz val="9"/>
      <color rgb="FF5D168A"/>
      <name val="Arial"/>
      <family val="2"/>
    </font>
    <font>
      <b/>
      <sz val="9.5"/>
      <color rgb="FF00408A"/>
      <name val="Arial Narrow"/>
      <family val="2"/>
    </font>
    <font>
      <b/>
      <sz val="10"/>
      <color rgb="FF00408A"/>
      <name val="Arial"/>
      <family val="2"/>
    </font>
    <font>
      <b/>
      <sz val="16"/>
      <color theme="0"/>
      <name val="Arial"/>
      <family val="2"/>
    </font>
    <font>
      <b/>
      <sz val="9"/>
      <color rgb="FF001946"/>
      <name val="Arial Narrow"/>
      <family val="2"/>
    </font>
    <font>
      <b/>
      <sz val="9"/>
      <color rgb="FF001946"/>
      <name val="Arial"/>
      <family val="2"/>
    </font>
    <font>
      <b/>
      <sz val="10"/>
      <color rgb="FF001946"/>
      <name val="Arial Narrow"/>
      <family val="2"/>
    </font>
    <font>
      <b/>
      <i/>
      <sz val="9.5"/>
      <color rgb="FF4CC9F0"/>
      <name val="Arial"/>
      <family val="2"/>
    </font>
    <font>
      <b/>
      <sz val="10"/>
      <color rgb="FFF72585"/>
      <name val="Arial Black"/>
      <family val="2"/>
    </font>
    <font>
      <sz val="9"/>
      <color rgb="FFFFC343"/>
      <name val="Arial Black"/>
      <family val="2"/>
    </font>
    <font>
      <b/>
      <sz val="11"/>
      <color rgb="FF001946"/>
      <name val="Arial"/>
      <family val="2"/>
    </font>
    <font>
      <sz val="9"/>
      <color rgb="FFFFFFE1"/>
      <name val="Arial Black"/>
      <family val="2"/>
    </font>
    <font>
      <sz val="9"/>
      <color rgb="FFFFFFCC"/>
      <name val="Arial Black"/>
      <family val="2"/>
    </font>
    <font>
      <sz val="12"/>
      <color theme="0"/>
      <name val="Arial"/>
      <family val="2"/>
    </font>
    <font>
      <sz val="12"/>
      <color theme="0"/>
      <name val="Arial Black"/>
      <family val="2"/>
    </font>
    <font>
      <sz val="9"/>
      <color theme="0"/>
      <name val="Arial Black"/>
      <family val="2"/>
    </font>
    <font>
      <sz val="9.5"/>
      <color theme="0"/>
      <name val="Arial Black"/>
      <family val="2"/>
    </font>
    <font>
      <sz val="8"/>
      <color rgb="FFFFFF00"/>
      <name val="Arial Narrow"/>
      <family val="2"/>
    </font>
    <font>
      <sz val="9"/>
      <color rgb="FFFFFF00"/>
      <name val="Arial"/>
      <family val="2"/>
    </font>
    <font>
      <sz val="10"/>
      <color rgb="FFC4FAFF"/>
      <name val="Arial Black"/>
      <family val="2"/>
    </font>
    <font>
      <i/>
      <sz val="9"/>
      <color rgb="FFBC00BC"/>
      <name val="Arial Narrow"/>
      <family val="2"/>
    </font>
    <font>
      <i/>
      <sz val="8"/>
      <color rgb="FF0B2A3A"/>
      <name val="Arial Black"/>
      <family val="2"/>
    </font>
    <font>
      <b/>
      <sz val="9"/>
      <color rgb="FF005250"/>
      <name val="Arial Black"/>
      <family val="2"/>
    </font>
    <font>
      <b/>
      <u/>
      <sz val="9"/>
      <color theme="10"/>
      <name val="Arial Black"/>
      <family val="2"/>
    </font>
    <font>
      <b/>
      <sz val="14"/>
      <color theme="0"/>
      <name val="Arial"/>
      <family val="2"/>
    </font>
    <font>
      <i/>
      <sz val="8"/>
      <color rgb="FF0000FF"/>
      <name val="Arial Black"/>
      <family val="2"/>
    </font>
    <font>
      <sz val="9"/>
      <color rgb="FF0000FF"/>
      <name val="Arial Black"/>
      <family val="2"/>
    </font>
    <font>
      <u/>
      <sz val="10"/>
      <color theme="10"/>
      <name val="Arial Black"/>
      <family val="2"/>
    </font>
    <font>
      <sz val="9"/>
      <name val="Arial Black"/>
      <family val="2"/>
    </font>
    <font>
      <u/>
      <sz val="9"/>
      <color theme="10"/>
      <name val="Arial Black"/>
      <family val="2"/>
    </font>
    <font>
      <sz val="9"/>
      <color indexed="8"/>
      <name val="Arial Black"/>
      <family val="2"/>
    </font>
    <font>
      <sz val="9"/>
      <color theme="1"/>
      <name val="Arial Black"/>
      <family val="2"/>
    </font>
    <font>
      <b/>
      <sz val="9"/>
      <name val="Arial Black"/>
      <family val="2"/>
    </font>
    <font>
      <b/>
      <sz val="10"/>
      <name val="Gadugi"/>
      <family val="2"/>
    </font>
    <font>
      <sz val="11"/>
      <color rgb="FF003CB4"/>
      <name val="Arial Black"/>
      <family val="2"/>
    </font>
    <font>
      <b/>
      <sz val="10"/>
      <color rgb="FF208420"/>
      <name val="Arial Black"/>
      <family val="2"/>
    </font>
    <font>
      <sz val="9"/>
      <color rgb="FF000000"/>
      <name val="Arial Black"/>
      <family val="2"/>
    </font>
    <font>
      <sz val="9.5"/>
      <color indexed="8"/>
      <name val="Arial"/>
      <family val="2"/>
    </font>
    <font>
      <b/>
      <sz val="10"/>
      <color rgb="FFE26B0A"/>
      <name val="Arial Black"/>
      <family val="2"/>
    </font>
    <font>
      <b/>
      <sz val="9.5"/>
      <name val="Arial"/>
      <family val="2"/>
    </font>
    <font>
      <sz val="9.5"/>
      <name val="Arial"/>
      <family val="2"/>
    </font>
    <font>
      <sz val="10"/>
      <color rgb="FF00B0F0"/>
      <name val="Arial Black"/>
      <family val="2"/>
    </font>
    <font>
      <sz val="8.5"/>
      <color theme="1"/>
      <name val="Arial Black"/>
      <family val="2"/>
    </font>
    <font>
      <sz val="8.5"/>
      <color rgb="FF1A5917"/>
      <name val="Arial Black"/>
      <family val="2"/>
    </font>
    <font>
      <sz val="9"/>
      <color rgb="FF592A03"/>
      <name val="Arial Black"/>
      <family val="2"/>
    </font>
    <font>
      <u/>
      <sz val="9"/>
      <color rgb="FF592A03"/>
      <name val="Arial Black"/>
      <family val="2"/>
    </font>
    <font>
      <sz val="8.5"/>
      <color theme="1" tint="0.499984740745262"/>
      <name val="Arial Black"/>
      <family val="2"/>
    </font>
    <font>
      <sz val="10"/>
      <color rgb="FF002F8E"/>
      <name val="Arial Black"/>
      <family val="2"/>
    </font>
    <font>
      <sz val="8"/>
      <color theme="1"/>
      <name val="Arial Black"/>
      <family val="2"/>
    </font>
    <font>
      <sz val="11"/>
      <color rgb="FF304FEC"/>
      <name val="Arial Black"/>
      <family val="2"/>
    </font>
    <font>
      <b/>
      <sz val="11"/>
      <color rgb="FF304FEC"/>
      <name val="Arial Black"/>
      <family val="2"/>
    </font>
    <font>
      <sz val="9"/>
      <color rgb="FF002060"/>
      <name val="Arial Black"/>
      <family val="2"/>
    </font>
    <font>
      <u/>
      <sz val="10"/>
      <color rgb="FF002060"/>
      <name val="Arial Black"/>
      <family val="2"/>
    </font>
    <font>
      <sz val="10"/>
      <color rgb="FF002060"/>
      <name val="Arial Black"/>
      <family val="2"/>
    </font>
    <font>
      <sz val="11"/>
      <color rgb="FF003BB0"/>
      <name val="Arial Black"/>
      <family val="2"/>
    </font>
    <font>
      <sz val="10"/>
      <color rgb="FF208420"/>
      <name val="Arial Black"/>
      <family val="2"/>
    </font>
    <font>
      <sz val="10"/>
      <color rgb="FFE26B0A"/>
      <name val="Arial Black"/>
      <family val="2"/>
    </font>
    <font>
      <sz val="9.5"/>
      <color theme="1"/>
      <name val="Arial Black"/>
      <family val="2"/>
    </font>
    <font>
      <b/>
      <sz val="10.5"/>
      <color rgb="FF423204"/>
      <name val="Arial"/>
      <family val="2"/>
    </font>
    <font>
      <i/>
      <sz val="8.5"/>
      <color rgb="FF002060"/>
      <name val="Arial"/>
      <family val="2"/>
    </font>
    <font>
      <b/>
      <sz val="10"/>
      <color rgb="FF6E2A28"/>
      <name val="Arial"/>
      <family val="2"/>
    </font>
    <font>
      <sz val="10"/>
      <color rgb="FF682826"/>
      <name val="Arial Narrow"/>
      <family val="2"/>
    </font>
    <font>
      <sz val="12"/>
      <color theme="1"/>
      <name val="Arial Narrow"/>
      <family val="2"/>
    </font>
    <font>
      <b/>
      <sz val="14"/>
      <name val="Arial"/>
      <family val="2"/>
    </font>
    <font>
      <sz val="10"/>
      <color rgb="FFFDE9D9"/>
      <name val="Arial Narrow"/>
      <family val="2"/>
    </font>
    <font>
      <sz val="10"/>
      <color rgb="FFFDE9D9"/>
      <name val="Arial"/>
      <family val="2"/>
    </font>
    <font>
      <i/>
      <sz val="10"/>
      <color indexed="8"/>
      <name val="Arial Narrow"/>
      <family val="2"/>
    </font>
    <font>
      <sz val="11"/>
      <color theme="1"/>
      <name val="Arial Narrow"/>
      <family val="2"/>
    </font>
    <font>
      <b/>
      <sz val="11"/>
      <color rgb="FF9900FF"/>
      <name val="Arial Narrow"/>
      <family val="2"/>
    </font>
    <font>
      <sz val="10.5"/>
      <color rgb="FF9900FF"/>
      <name val="Arial Narrow"/>
      <family val="2"/>
    </font>
    <font>
      <sz val="11"/>
      <name val="Arial"/>
      <family val="2"/>
    </font>
    <font>
      <b/>
      <sz val="9"/>
      <color rgb="FF632523"/>
      <name val="Arial"/>
      <family val="2"/>
    </font>
    <font>
      <sz val="11"/>
      <color rgb="FF632523"/>
      <name val="Calibri"/>
      <family val="2"/>
      <scheme val="minor"/>
    </font>
    <font>
      <b/>
      <u/>
      <sz val="10"/>
      <color rgb="FF632523"/>
      <name val="Arial"/>
      <family val="2"/>
    </font>
    <font>
      <sz val="9"/>
      <color rgb="FF632523"/>
      <name val="Arial"/>
      <family val="2"/>
    </font>
    <font>
      <sz val="11"/>
      <color rgb="FFC4FAFF"/>
      <name val="Arial Black"/>
      <family val="2"/>
    </font>
    <font>
      <sz val="9"/>
      <color rgb="FFD5D5E3"/>
      <name val="Arial Black"/>
      <family val="2"/>
    </font>
    <font>
      <sz val="12"/>
      <color rgb="FFF84294"/>
      <name val="Arial Black"/>
      <family val="2"/>
    </font>
    <font>
      <b/>
      <sz val="10.5"/>
      <color rgb="FF9900FF"/>
      <name val="Bahnschrift SemiCondensed"/>
      <family val="2"/>
    </font>
    <font>
      <sz val="11"/>
      <color rgb="FF9900FF"/>
      <name val="Calibri"/>
      <family val="2"/>
    </font>
    <font>
      <b/>
      <u/>
      <sz val="11.5"/>
      <color rgb="FF0000FF"/>
      <name val="Arial Narrow"/>
      <family val="2"/>
    </font>
    <font>
      <sz val="9"/>
      <name val="Arial Narrow"/>
      <family val="2"/>
    </font>
    <font>
      <sz val="12"/>
      <name val="Segoe UI Emoji"/>
      <family val="2"/>
    </font>
    <font>
      <sz val="11"/>
      <color theme="1"/>
      <name val="Segoe UI Emoji"/>
      <family val="2"/>
    </font>
    <font>
      <sz val="9"/>
      <name val="Segoe UI Emoji"/>
      <family val="2"/>
    </font>
    <font>
      <sz val="12"/>
      <color theme="1"/>
      <name val="Segoe UI Emoji"/>
      <family val="2"/>
    </font>
    <font>
      <sz val="11"/>
      <name val="Segoe UI Emoji"/>
      <family val="2"/>
    </font>
    <font>
      <sz val="9"/>
      <color indexed="8"/>
      <name val="Segoe UI Emoji"/>
      <family val="2"/>
    </font>
    <font>
      <vertAlign val="superscript"/>
      <sz val="10"/>
      <color rgb="FF003200"/>
      <name val="Arial Narrow"/>
      <family val="2"/>
    </font>
    <font>
      <vertAlign val="superscript"/>
      <sz val="10"/>
      <color rgb="FF682826"/>
      <name val="Arial Narrow"/>
      <family val="2"/>
    </font>
    <font>
      <b/>
      <vertAlign val="superscript"/>
      <sz val="10"/>
      <color rgb="FF004800"/>
      <name val="Arial"/>
      <family val="2"/>
    </font>
    <font>
      <b/>
      <vertAlign val="superscript"/>
      <sz val="10"/>
      <color rgb="FF6E2A28"/>
      <name val="Arial"/>
      <family val="2"/>
    </font>
    <font>
      <sz val="8"/>
      <color rgb="FF682826"/>
      <name val="Arial Narrow"/>
      <family val="2"/>
    </font>
    <font>
      <vertAlign val="superscript"/>
      <sz val="8"/>
      <color rgb="FF682826"/>
      <name val="Arial Narrow"/>
      <family val="2"/>
    </font>
    <font>
      <sz val="8"/>
      <color rgb="FF003200"/>
      <name val="Arial Narrow"/>
      <family val="2"/>
    </font>
    <font>
      <vertAlign val="superscript"/>
      <sz val="8"/>
      <color rgb="FF003200"/>
      <name val="Arial Narrow"/>
      <family val="2"/>
    </font>
  </fonts>
  <fills count="4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EEECE2"/>
        <bgColor indexed="64"/>
      </patternFill>
    </fill>
    <fill>
      <patternFill patternType="solid">
        <fgColor rgb="FFE7FFFF"/>
        <bgColor indexed="64"/>
      </patternFill>
    </fill>
    <fill>
      <patternFill patternType="solid">
        <fgColor rgb="FF007B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74D6F4"/>
        <bgColor indexed="64"/>
      </patternFill>
    </fill>
    <fill>
      <patternFill patternType="solid">
        <fgColor rgb="FF002F8E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D9DFF7"/>
        <bgColor indexed="64"/>
      </patternFill>
    </fill>
    <fill>
      <patternFill patternType="solid">
        <fgColor rgb="FFEEF1F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3579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D0DFAF"/>
        <bgColor indexed="64"/>
      </patternFill>
    </fill>
    <fill>
      <patternFill patternType="solid">
        <fgColor rgb="FFE6EED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36609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6D5207"/>
        <bgColor indexed="64"/>
      </patternFill>
    </fill>
    <fill>
      <patternFill patternType="solid">
        <fgColor rgb="FFDEFFF4"/>
        <bgColor indexed="64"/>
      </patternFill>
    </fill>
    <fill>
      <patternFill patternType="solid">
        <fgColor rgb="FFA7F5FF"/>
        <bgColor indexed="64"/>
      </patternFill>
    </fill>
    <fill>
      <patternFill patternType="solid">
        <fgColor rgb="FFFFC34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7575A3"/>
        <bgColor indexed="64"/>
      </patternFill>
    </fill>
    <fill>
      <patternFill patternType="solid">
        <fgColor theme="9" tint="-0.249977111117893"/>
        <bgColor indexed="64"/>
      </patternFill>
    </fill>
  </fills>
  <borders count="47">
    <border>
      <left/>
      <right/>
      <top/>
      <bottom/>
      <diagonal/>
    </border>
    <border>
      <left/>
      <right style="thick">
        <color rgb="FFEEECE2"/>
      </right>
      <top/>
      <bottom/>
      <diagonal/>
    </border>
    <border>
      <left/>
      <right/>
      <top/>
      <bottom style="thick">
        <color rgb="FF99FF99"/>
      </bottom>
      <diagonal/>
    </border>
    <border>
      <left/>
      <right style="thick">
        <color rgb="FF99FF99"/>
      </right>
      <top/>
      <bottom/>
      <diagonal/>
    </border>
    <border>
      <left/>
      <right style="thick">
        <color rgb="FFFFFFCC"/>
      </right>
      <top/>
      <bottom style="thick">
        <color rgb="FFFFFFCC"/>
      </bottom>
      <diagonal/>
    </border>
    <border>
      <left/>
      <right style="thick">
        <color rgb="FFFFFFCC"/>
      </right>
      <top/>
      <bottom/>
      <diagonal/>
    </border>
    <border>
      <left/>
      <right/>
      <top/>
      <bottom style="thick">
        <color rgb="FFFFFFCC"/>
      </bottom>
      <diagonal/>
    </border>
    <border>
      <left/>
      <right/>
      <top style="thick">
        <color rgb="FFFFFFCC"/>
      </top>
      <bottom style="thick">
        <color rgb="FFFFFFCC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thick">
        <color rgb="FF7030A0"/>
      </top>
      <bottom style="thick">
        <color rgb="FF7030A0"/>
      </bottom>
      <diagonal/>
    </border>
    <border>
      <left/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7030A0"/>
      </left>
      <right/>
      <top style="thick">
        <color rgb="FF7030A0"/>
      </top>
      <bottom style="thick">
        <color rgb="FFCC7722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medium">
        <color rgb="FF005400"/>
      </bottom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/>
      <right/>
      <top style="medium">
        <color rgb="FF974706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 style="thick">
        <color rgb="FF1D1B10"/>
      </right>
      <top/>
      <bottom/>
      <diagonal/>
    </border>
    <border>
      <left style="thick">
        <color rgb="FF1D1B10"/>
      </left>
      <right/>
      <top/>
      <bottom/>
      <diagonal/>
    </border>
    <border>
      <left style="thick">
        <color rgb="FF007BB8"/>
      </left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rgb="FF007BB8"/>
      </left>
      <right/>
      <top style="thick">
        <color rgb="FF007BB8"/>
      </top>
      <bottom style="thick">
        <color rgb="FF007BB8"/>
      </bottom>
      <diagonal/>
    </border>
    <border>
      <left/>
      <right style="thick">
        <color rgb="FF007BB8"/>
      </right>
      <top style="thick">
        <color rgb="FF007BB8"/>
      </top>
      <bottom style="thick">
        <color rgb="FF007BB8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864">
    <xf numFmtId="0" fontId="0" fillId="0" borderId="0" xfId="0"/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21" fillId="4" borderId="0" xfId="0" applyFont="1" applyFill="1" applyAlignment="1">
      <alignment horizontal="right" wrapText="1"/>
    </xf>
    <xf numFmtId="0" fontId="0" fillId="4" borderId="0" xfId="0" applyFill="1"/>
    <xf numFmtId="165" fontId="1" fillId="4" borderId="0" xfId="0" applyNumberFormat="1" applyFont="1" applyFill="1" applyAlignment="1">
      <alignment wrapText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1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 wrapText="1"/>
    </xf>
    <xf numFmtId="0" fontId="8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8" fillId="4" borderId="0" xfId="0" applyFont="1" applyFill="1"/>
    <xf numFmtId="0" fontId="6" fillId="4" borderId="0" xfId="0" applyFont="1" applyFill="1" applyAlignment="1">
      <alignment horizontal="right"/>
    </xf>
    <xf numFmtId="9" fontId="6" fillId="4" borderId="0" xfId="0" applyNumberFormat="1" applyFont="1" applyFill="1"/>
    <xf numFmtId="9" fontId="6" fillId="4" borderId="0" xfId="0" applyNumberFormat="1" applyFont="1" applyFill="1" applyAlignment="1">
      <alignment horizontal="left"/>
    </xf>
    <xf numFmtId="0" fontId="2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0" fillId="0" borderId="0" xfId="0" quotePrefix="1" applyFont="1" applyAlignment="1">
      <alignment horizontal="left"/>
    </xf>
    <xf numFmtId="0" fontId="31" fillId="3" borderId="0" xfId="0" applyFont="1" applyFill="1" applyAlignment="1">
      <alignment vertical="center"/>
    </xf>
    <xf numFmtId="0" fontId="1" fillId="5" borderId="0" xfId="0" applyFont="1" applyFill="1" applyAlignment="1">
      <alignment wrapText="1"/>
    </xf>
    <xf numFmtId="0" fontId="3" fillId="5" borderId="0" xfId="0" applyFont="1" applyFill="1" applyAlignment="1" applyProtection="1">
      <alignment horizontal="right" vertical="center"/>
      <protection locked="0"/>
    </xf>
    <xf numFmtId="164" fontId="3" fillId="5" borderId="0" xfId="0" applyNumberFormat="1" applyFont="1" applyFill="1" applyAlignment="1" applyProtection="1">
      <alignment horizontal="left" vertical="center"/>
      <protection locked="0"/>
    </xf>
    <xf numFmtId="0" fontId="21" fillId="5" borderId="0" xfId="0" applyFont="1" applyFill="1" applyAlignment="1">
      <alignment wrapText="1"/>
    </xf>
    <xf numFmtId="0" fontId="6" fillId="5" borderId="0" xfId="0" applyFont="1" applyFill="1" applyAlignment="1" applyProtection="1">
      <alignment horizontal="right" vertical="center"/>
      <protection locked="0"/>
    </xf>
    <xf numFmtId="0" fontId="6" fillId="5" borderId="0" xfId="0" applyFont="1" applyFill="1" applyAlignment="1" applyProtection="1">
      <alignment horizontal="left" vertical="center"/>
      <protection locked="0"/>
    </xf>
    <xf numFmtId="0" fontId="21" fillId="5" borderId="0" xfId="0" applyFont="1" applyFill="1" applyAlignment="1">
      <alignment horizontal="right" wrapText="1"/>
    </xf>
    <xf numFmtId="9" fontId="6" fillId="5" borderId="0" xfId="0" applyNumberFormat="1" applyFont="1" applyFill="1" applyAlignment="1">
      <alignment horizontal="left"/>
    </xf>
    <xf numFmtId="165" fontId="1" fillId="5" borderId="0" xfId="0" applyNumberFormat="1" applyFont="1" applyFill="1" applyAlignment="1">
      <alignment wrapText="1"/>
    </xf>
    <xf numFmtId="9" fontId="4" fillId="5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right" vertical="center"/>
    </xf>
    <xf numFmtId="0" fontId="31" fillId="0" borderId="0" xfId="0" applyFont="1"/>
    <xf numFmtId="0" fontId="30" fillId="0" borderId="0" xfId="0" applyFont="1" applyAlignment="1">
      <alignment horizontal="left"/>
    </xf>
    <xf numFmtId="0" fontId="0" fillId="3" borderId="0" xfId="0" applyFill="1"/>
    <xf numFmtId="0" fontId="28" fillId="3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7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 vertical="center"/>
    </xf>
    <xf numFmtId="9" fontId="25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28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0" fontId="0" fillId="0" borderId="0" xfId="0" applyProtection="1">
      <protection locked="0"/>
    </xf>
    <xf numFmtId="0" fontId="0" fillId="28" borderId="0" xfId="0" applyFill="1" applyProtection="1">
      <protection locked="0"/>
    </xf>
    <xf numFmtId="0" fontId="32" fillId="27" borderId="0" xfId="1" applyFont="1" applyFill="1" applyAlignment="1" applyProtection="1">
      <alignment horizontal="center" vertical="center"/>
      <protection locked="0"/>
    </xf>
    <xf numFmtId="0" fontId="120" fillId="27" borderId="0" xfId="0" applyFont="1" applyFill="1" applyProtection="1">
      <protection locked="0"/>
    </xf>
    <xf numFmtId="0" fontId="0" fillId="27" borderId="0" xfId="0" applyFill="1" applyProtection="1">
      <protection locked="0"/>
    </xf>
    <xf numFmtId="0" fontId="38" fillId="13" borderId="0" xfId="1" quotePrefix="1" applyFont="1" applyFill="1" applyBorder="1" applyAlignment="1" applyProtection="1">
      <alignment horizontal="right" vertical="center"/>
      <protection locked="0"/>
    </xf>
    <xf numFmtId="0" fontId="63" fillId="16" borderId="0" xfId="0" applyFont="1" applyFill="1" applyAlignment="1" applyProtection="1">
      <alignment horizontal="left" vertical="center"/>
      <protection locked="0"/>
    </xf>
    <xf numFmtId="0" fontId="32" fillId="27" borderId="0" xfId="1" applyFont="1" applyFill="1" applyAlignment="1" applyProtection="1">
      <alignment horizontal="right" vertical="center"/>
      <protection locked="0"/>
    </xf>
    <xf numFmtId="0" fontId="93" fillId="13" borderId="0" xfId="1" applyFont="1" applyFill="1" applyBorder="1" applyAlignment="1" applyProtection="1">
      <alignment horizontal="left" vertical="center"/>
      <protection locked="0"/>
    </xf>
    <xf numFmtId="0" fontId="8" fillId="16" borderId="0" xfId="0" applyFont="1" applyFill="1" applyAlignment="1" applyProtection="1">
      <alignment horizontal="left" vertical="center"/>
      <protection locked="0"/>
    </xf>
    <xf numFmtId="0" fontId="54" fillId="16" borderId="0" xfId="0" applyFont="1" applyFill="1" applyAlignment="1" applyProtection="1">
      <alignment vertical="center"/>
      <protection locked="0"/>
    </xf>
    <xf numFmtId="0" fontId="3" fillId="16" borderId="0" xfId="0" applyFont="1" applyFill="1" applyAlignment="1" applyProtection="1">
      <alignment horizontal="left" vertical="center"/>
      <protection locked="0"/>
    </xf>
    <xf numFmtId="0" fontId="8" fillId="16" borderId="0" xfId="0" applyFont="1" applyFill="1" applyAlignment="1" applyProtection="1">
      <alignment vertical="center"/>
      <protection locked="0"/>
    </xf>
    <xf numFmtId="0" fontId="65" fillId="16" borderId="0" xfId="0" applyFont="1" applyFill="1" applyAlignment="1" applyProtection="1">
      <alignment horizontal="left" vertical="center"/>
      <protection locked="0"/>
    </xf>
    <xf numFmtId="0" fontId="13" fillId="0" borderId="0" xfId="0" applyFont="1" applyProtection="1">
      <protection locked="0"/>
    </xf>
    <xf numFmtId="0" fontId="105" fillId="3" borderId="0" xfId="0" applyFont="1" applyFill="1" applyProtection="1">
      <protection locked="0"/>
    </xf>
    <xf numFmtId="0" fontId="106" fillId="3" borderId="0" xfId="0" applyFont="1" applyFill="1" applyAlignment="1" applyProtection="1">
      <alignment horizontal="center"/>
      <protection locked="0"/>
    </xf>
    <xf numFmtId="0" fontId="106" fillId="3" borderId="0" xfId="0" applyFont="1" applyFill="1" applyProtection="1">
      <protection locked="0"/>
    </xf>
    <xf numFmtId="0" fontId="107" fillId="3" borderId="0" xfId="0" applyFont="1" applyFill="1" applyProtection="1">
      <protection locked="0"/>
    </xf>
    <xf numFmtId="0" fontId="7" fillId="0" borderId="0" xfId="0" applyFont="1" applyAlignment="1" applyProtection="1">
      <alignment horizontal="right"/>
      <protection locked="0"/>
    </xf>
    <xf numFmtId="0" fontId="76" fillId="0" borderId="0" xfId="0" applyFont="1" applyAlignment="1" applyProtection="1">
      <alignment horizontal="center" vertical="center"/>
      <protection locked="0"/>
    </xf>
    <xf numFmtId="0" fontId="7" fillId="27" borderId="0" xfId="0" applyFont="1" applyFill="1" applyProtection="1">
      <protection locked="0"/>
    </xf>
    <xf numFmtId="0" fontId="13" fillId="30" borderId="0" xfId="0" applyFont="1" applyFill="1" applyProtection="1">
      <protection locked="0"/>
    </xf>
    <xf numFmtId="0" fontId="13" fillId="30" borderId="0" xfId="0" applyFont="1" applyFill="1" applyAlignment="1" applyProtection="1">
      <alignment horizontal="left"/>
      <protection locked="0"/>
    </xf>
    <xf numFmtId="9" fontId="128" fillId="30" borderId="0" xfId="0" applyNumberFormat="1" applyFont="1" applyFill="1" applyAlignment="1" applyProtection="1">
      <alignment horizontal="center" vertical="center"/>
      <protection locked="0"/>
    </xf>
    <xf numFmtId="164" fontId="110" fillId="6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0" fontId="70" fillId="28" borderId="0" xfId="0" quotePrefix="1" applyFont="1" applyFill="1" applyAlignment="1" applyProtection="1">
      <alignment horizontal="left" vertical="center" wrapText="1"/>
      <protection locked="0"/>
    </xf>
    <xf numFmtId="0" fontId="70" fillId="28" borderId="0" xfId="0" quotePrefix="1" applyFont="1" applyFill="1" applyAlignment="1" applyProtection="1">
      <alignment vertical="center" wrapText="1"/>
      <protection locked="0"/>
    </xf>
    <xf numFmtId="0" fontId="71" fillId="28" borderId="0" xfId="0" applyFont="1" applyFill="1" applyAlignment="1" applyProtection="1">
      <alignment horizontal="left" vertical="center"/>
      <protection locked="0"/>
    </xf>
    <xf numFmtId="0" fontId="71" fillId="28" borderId="0" xfId="0" applyFont="1" applyFill="1" applyAlignment="1" applyProtection="1">
      <alignment horizontal="center" vertical="center"/>
      <protection locked="0"/>
    </xf>
    <xf numFmtId="0" fontId="70" fillId="28" borderId="0" xfId="0" applyFont="1" applyFill="1" applyAlignment="1" applyProtection="1">
      <alignment horizontal="center" vertical="center"/>
      <protection locked="0"/>
    </xf>
    <xf numFmtId="0" fontId="70" fillId="28" borderId="0" xfId="0" applyFont="1" applyFill="1" applyAlignment="1" applyProtection="1">
      <alignment horizontal="right" vertical="center"/>
      <protection locked="0"/>
    </xf>
    <xf numFmtId="0" fontId="74" fillId="28" borderId="0" xfId="0" applyFont="1" applyFill="1" applyAlignment="1" applyProtection="1">
      <alignment horizontal="right" vertical="center"/>
      <protection locked="0"/>
    </xf>
    <xf numFmtId="0" fontId="40" fillId="28" borderId="0" xfId="0" applyFont="1" applyFill="1" applyAlignment="1" applyProtection="1">
      <alignment horizontal="right" vertical="center"/>
      <protection locked="0"/>
    </xf>
    <xf numFmtId="0" fontId="97" fillId="28" borderId="0" xfId="0" applyFont="1" applyFill="1" applyAlignment="1" applyProtection="1">
      <alignment horizontal="left" vertical="center"/>
      <protection locked="0"/>
    </xf>
    <xf numFmtId="0" fontId="138" fillId="28" borderId="0" xfId="0" applyFont="1" applyFill="1" applyAlignment="1" applyProtection="1">
      <alignment horizontal="right" vertical="center"/>
      <protection locked="0"/>
    </xf>
    <xf numFmtId="0" fontId="98" fillId="28" borderId="0" xfId="0" applyFont="1" applyFill="1" applyAlignment="1" applyProtection="1">
      <alignment horizontal="right" vertical="center"/>
      <protection locked="0"/>
    </xf>
    <xf numFmtId="0" fontId="119" fillId="28" borderId="0" xfId="0" quotePrefix="1" applyFont="1" applyFill="1" applyAlignment="1" applyProtection="1">
      <alignment horizontal="left" vertical="center"/>
      <protection locked="0"/>
    </xf>
    <xf numFmtId="0" fontId="70" fillId="28" borderId="0" xfId="0" quotePrefix="1" applyFont="1" applyFill="1" applyAlignment="1" applyProtection="1">
      <alignment horizontal="left" vertical="center"/>
      <protection locked="0"/>
    </xf>
    <xf numFmtId="0" fontId="121" fillId="28" borderId="0" xfId="0" quotePrefix="1" applyFont="1" applyFill="1" applyAlignment="1" applyProtection="1">
      <alignment horizontal="right" vertical="center"/>
      <protection locked="0"/>
    </xf>
    <xf numFmtId="0" fontId="7" fillId="28" borderId="0" xfId="0" quotePrefix="1" applyFont="1" applyFill="1" applyAlignment="1" applyProtection="1">
      <alignment horizontal="left" vertical="center"/>
      <protection locked="0"/>
    </xf>
    <xf numFmtId="0" fontId="113" fillId="28" borderId="0" xfId="0" quotePrefix="1" applyFont="1" applyFill="1" applyAlignment="1" applyProtection="1">
      <alignment horizontal="right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0" borderId="0" xfId="0" applyAlignment="1" applyProtection="1">
      <alignment vertical="top" wrapText="1"/>
      <protection locked="0"/>
    </xf>
    <xf numFmtId="0" fontId="0" fillId="3" borderId="0" xfId="0" applyFill="1" applyAlignment="1" applyProtection="1">
      <alignment vertical="center"/>
      <protection locked="0"/>
    </xf>
    <xf numFmtId="0" fontId="13" fillId="3" borderId="0" xfId="0" applyFont="1" applyFill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7" fillId="0" borderId="0" xfId="0" applyFont="1" applyAlignment="1" applyProtection="1">
      <alignment vertical="center"/>
      <protection locked="0"/>
    </xf>
    <xf numFmtId="4" fontId="72" fillId="7" borderId="0" xfId="0" applyNumberFormat="1" applyFont="1" applyFill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85" fillId="10" borderId="0" xfId="0" quotePrefix="1" applyFont="1" applyFill="1" applyAlignment="1" applyProtection="1">
      <alignment vertical="center"/>
      <protection locked="0"/>
    </xf>
    <xf numFmtId="0" fontId="32" fillId="14" borderId="0" xfId="1" quotePrefix="1" applyFont="1" applyFill="1" applyAlignment="1" applyProtection="1">
      <alignment horizontal="center" vertical="center" wrapText="1"/>
      <protection locked="0"/>
    </xf>
    <xf numFmtId="0" fontId="32" fillId="14" borderId="0" xfId="1" applyFont="1" applyFill="1" applyAlignment="1" applyProtection="1">
      <alignment horizontal="center" vertical="center"/>
      <protection locked="0"/>
    </xf>
    <xf numFmtId="0" fontId="130" fillId="14" borderId="0" xfId="1" quotePrefix="1" applyFont="1" applyFill="1" applyAlignment="1" applyProtection="1">
      <alignment horizontal="center" vertical="center" wrapText="1"/>
      <protection locked="0"/>
    </xf>
    <xf numFmtId="164" fontId="68" fillId="7" borderId="0" xfId="0" quotePrefix="1" applyNumberFormat="1" applyFont="1" applyFill="1" applyAlignment="1" applyProtection="1">
      <alignment horizontal="center"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32" fillId="14" borderId="0" xfId="1" applyFont="1" applyFill="1" applyAlignment="1" applyProtection="1">
      <alignment vertical="center"/>
      <protection locked="0"/>
    </xf>
    <xf numFmtId="164" fontId="84" fillId="4" borderId="0" xfId="0" applyNumberFormat="1" applyFont="1" applyFill="1" applyAlignment="1" applyProtection="1">
      <alignment horizontal="left" vertical="top"/>
      <protection locked="0"/>
    </xf>
    <xf numFmtId="164" fontId="20" fillId="3" borderId="0" xfId="0" applyNumberFormat="1" applyFont="1" applyFill="1" applyAlignment="1" applyProtection="1">
      <alignment horizontal="right" vertical="center"/>
      <protection locked="0"/>
    </xf>
    <xf numFmtId="4" fontId="111" fillId="8" borderId="0" xfId="0" applyNumberFormat="1" applyFont="1" applyFill="1" applyAlignment="1" applyProtection="1">
      <alignment horizontal="right" vertical="center"/>
      <protection locked="0"/>
    </xf>
    <xf numFmtId="4" fontId="111" fillId="8" borderId="0" xfId="0" applyNumberFormat="1" applyFont="1" applyFill="1" applyAlignment="1" applyProtection="1">
      <alignment horizontal="left" vertical="center"/>
      <protection locked="0"/>
    </xf>
    <xf numFmtId="0" fontId="111" fillId="8" borderId="0" xfId="0" applyFont="1" applyFill="1" applyAlignment="1" applyProtection="1">
      <alignment vertical="center"/>
      <protection locked="0"/>
    </xf>
    <xf numFmtId="0" fontId="8" fillId="8" borderId="0" xfId="0" applyFont="1" applyFill="1" applyAlignment="1" applyProtection="1">
      <alignment vertical="center"/>
      <protection locked="0"/>
    </xf>
    <xf numFmtId="3" fontId="20" fillId="6" borderId="0" xfId="0" applyNumberFormat="1" applyFont="1" applyFill="1" applyAlignment="1" applyProtection="1">
      <alignment horizontal="left" vertical="center" wrapText="1"/>
      <protection locked="0"/>
    </xf>
    <xf numFmtId="0" fontId="78" fillId="6" borderId="0" xfId="0" applyFont="1" applyFill="1" applyAlignment="1" applyProtection="1">
      <alignment horizontal="right" vertical="center"/>
      <protection locked="0"/>
    </xf>
    <xf numFmtId="0" fontId="13" fillId="31" borderId="0" xfId="0" applyFont="1" applyFill="1" applyProtection="1">
      <protection locked="0"/>
    </xf>
    <xf numFmtId="0" fontId="20" fillId="0" borderId="0" xfId="0" applyFont="1" applyAlignment="1" applyProtection="1">
      <alignment horizontal="left" vertical="center" wrapText="1"/>
      <protection locked="0"/>
    </xf>
    <xf numFmtId="0" fontId="78" fillId="6" borderId="0" xfId="0" applyFont="1" applyFill="1" applyAlignment="1" applyProtection="1">
      <alignment horizontal="center" vertical="center"/>
      <protection locked="0"/>
    </xf>
    <xf numFmtId="0" fontId="39" fillId="31" borderId="0" xfId="0" applyFont="1" applyFill="1" applyAlignment="1" applyProtection="1">
      <alignment horizontal="right"/>
      <protection locked="0"/>
    </xf>
    <xf numFmtId="0" fontId="39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7" fillId="0" borderId="0" xfId="0" applyFont="1" applyAlignment="1" applyProtection="1">
      <alignment vertical="center"/>
      <protection locked="0"/>
    </xf>
    <xf numFmtId="0" fontId="57" fillId="3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24" fillId="0" borderId="0" xfId="0" applyFont="1" applyAlignment="1" applyProtection="1">
      <alignment vertical="center"/>
      <protection locked="0"/>
    </xf>
    <xf numFmtId="164" fontId="37" fillId="3" borderId="0" xfId="0" applyNumberFormat="1" applyFont="1" applyFill="1" applyAlignment="1" applyProtection="1">
      <alignment horizontal="right" vertical="center"/>
      <protection locked="0"/>
    </xf>
    <xf numFmtId="0" fontId="13" fillId="3" borderId="0" xfId="0" applyFont="1" applyFill="1" applyAlignment="1" applyProtection="1">
      <alignment horizontal="center" vertical="center"/>
      <protection locked="0"/>
    </xf>
    <xf numFmtId="4" fontId="36" fillId="3" borderId="0" xfId="0" applyNumberFormat="1" applyFont="1" applyFill="1" applyAlignment="1" applyProtection="1">
      <alignment vertical="center"/>
      <protection locked="0"/>
    </xf>
    <xf numFmtId="0" fontId="36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105" fillId="3" borderId="0" xfId="0" applyFont="1" applyFill="1" applyAlignment="1" applyProtection="1">
      <alignment vertical="center"/>
      <protection locked="0"/>
    </xf>
    <xf numFmtId="0" fontId="108" fillId="3" borderId="0" xfId="0" applyFont="1" applyFill="1" applyAlignment="1" applyProtection="1">
      <alignment vertical="center"/>
      <protection locked="0"/>
    </xf>
    <xf numFmtId="9" fontId="107" fillId="3" borderId="0" xfId="0" quotePrefix="1" applyNumberFormat="1" applyFont="1" applyFill="1" applyAlignment="1" applyProtection="1">
      <alignment horizontal="right" vertical="center"/>
      <protection locked="0"/>
    </xf>
    <xf numFmtId="164" fontId="107" fillId="3" borderId="0" xfId="0" applyNumberFormat="1" applyFont="1" applyFill="1" applyAlignment="1" applyProtection="1">
      <alignment vertical="center"/>
      <protection locked="0"/>
    </xf>
    <xf numFmtId="4" fontId="36" fillId="3" borderId="0" xfId="0" applyNumberFormat="1" applyFont="1" applyFill="1" applyAlignment="1" applyProtection="1">
      <alignment horizontal="left" vertical="center"/>
      <protection locked="0"/>
    </xf>
    <xf numFmtId="2" fontId="0" fillId="3" borderId="0" xfId="0" applyNumberFormat="1" applyFill="1" applyAlignment="1" applyProtection="1">
      <alignment vertical="center"/>
      <protection locked="0"/>
    </xf>
    <xf numFmtId="0" fontId="114" fillId="3" borderId="0" xfId="0" applyFont="1" applyFill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2" fontId="0" fillId="0" borderId="0" xfId="0" applyNumberFormat="1" applyAlignment="1" applyProtection="1">
      <alignment vertical="center"/>
      <protection locked="0"/>
    </xf>
    <xf numFmtId="0" fontId="22" fillId="3" borderId="0" xfId="0" applyFont="1" applyFill="1" applyAlignment="1" applyProtection="1">
      <alignment vertical="center"/>
      <protection locked="0"/>
    </xf>
    <xf numFmtId="0" fontId="75" fillId="0" borderId="0" xfId="0" applyFont="1" applyAlignment="1" applyProtection="1">
      <alignment vertical="center"/>
      <protection locked="0"/>
    </xf>
    <xf numFmtId="0" fontId="12" fillId="3" borderId="0" xfId="1" quotePrefix="1" applyFont="1" applyFill="1" applyAlignment="1" applyProtection="1">
      <alignment vertical="center"/>
      <protection locked="0"/>
    </xf>
    <xf numFmtId="0" fontId="42" fillId="3" borderId="0" xfId="1" quotePrefix="1" applyFont="1" applyFill="1" applyAlignment="1" applyProtection="1">
      <alignment vertical="center"/>
      <protection locked="0"/>
    </xf>
    <xf numFmtId="2" fontId="124" fillId="0" borderId="0" xfId="0" applyNumberFormat="1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3" borderId="0" xfId="0" quotePrefix="1" applyFont="1" applyFill="1" applyAlignment="1" applyProtection="1">
      <alignment vertical="center" wrapText="1"/>
      <protection locked="0"/>
    </xf>
    <xf numFmtId="0" fontId="10" fillId="3" borderId="0" xfId="0" applyFont="1" applyFill="1" applyAlignment="1" applyProtection="1">
      <alignment vertical="center"/>
      <protection locked="0"/>
    </xf>
    <xf numFmtId="0" fontId="52" fillId="3" borderId="0" xfId="0" quotePrefix="1" applyFont="1" applyFill="1" applyAlignment="1" applyProtection="1">
      <alignment horizontal="right"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4" fontId="22" fillId="0" borderId="0" xfId="0" applyNumberFormat="1" applyFont="1" applyAlignment="1" applyProtection="1">
      <alignment horizontal="left" vertical="center"/>
      <protection locked="0"/>
    </xf>
    <xf numFmtId="4" fontId="22" fillId="3" borderId="0" xfId="0" applyNumberFormat="1" applyFont="1" applyFill="1" applyAlignment="1" applyProtection="1">
      <alignment horizontal="left" vertical="center"/>
      <protection locked="0"/>
    </xf>
    <xf numFmtId="4" fontId="66" fillId="3" borderId="0" xfId="0" applyNumberFormat="1" applyFont="1" applyFill="1" applyAlignment="1" applyProtection="1">
      <alignment vertical="center"/>
      <protection locked="0"/>
    </xf>
    <xf numFmtId="0" fontId="39" fillId="0" borderId="0" xfId="0" applyFont="1" applyAlignment="1" applyProtection="1">
      <alignment horizontal="center" vertical="center"/>
      <protection locked="0"/>
    </xf>
    <xf numFmtId="0" fontId="58" fillId="3" borderId="0" xfId="0" applyFont="1" applyFill="1" applyAlignment="1" applyProtection="1">
      <alignment horizontal="center" vertical="center"/>
      <protection locked="0" hidden="1"/>
    </xf>
    <xf numFmtId="0" fontId="141" fillId="31" borderId="0" xfId="0" applyFont="1" applyFill="1" applyAlignment="1">
      <alignment horizontal="right"/>
    </xf>
    <xf numFmtId="0" fontId="0" fillId="0" borderId="0" xfId="0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39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49" fillId="28" borderId="0" xfId="0" quotePrefix="1" applyFont="1" applyFill="1" applyAlignment="1" applyProtection="1">
      <alignment horizontal="left" vertical="center"/>
      <protection locked="0"/>
    </xf>
    <xf numFmtId="4" fontId="151" fillId="7" borderId="0" xfId="0" applyNumberFormat="1" applyFont="1" applyFill="1" applyAlignment="1" applyProtection="1">
      <alignment horizontal="center" vertical="top"/>
      <protection locked="0" hidden="1"/>
    </xf>
    <xf numFmtId="0" fontId="18" fillId="2" borderId="0" xfId="0" applyFont="1" applyFill="1" applyAlignment="1" applyProtection="1">
      <alignment vertical="center"/>
      <protection locked="0" hidden="1"/>
    </xf>
    <xf numFmtId="0" fontId="13" fillId="2" borderId="0" xfId="0" applyFont="1" applyFill="1" applyAlignment="1" applyProtection="1">
      <alignment vertical="center"/>
      <protection locked="0" hidden="1"/>
    </xf>
    <xf numFmtId="0" fontId="150" fillId="2" borderId="0" xfId="0" applyFont="1" applyFill="1" applyAlignment="1" applyProtection="1">
      <alignment horizontal="center" vertical="center"/>
      <protection locked="0" hidden="1"/>
    </xf>
    <xf numFmtId="4" fontId="150" fillId="2" borderId="0" xfId="0" applyNumberFormat="1" applyFont="1" applyFill="1" applyAlignment="1" applyProtection="1">
      <alignment vertical="center"/>
      <protection locked="0" hidden="1"/>
    </xf>
    <xf numFmtId="0" fontId="150" fillId="2" borderId="0" xfId="0" applyFont="1" applyFill="1" applyAlignment="1" applyProtection="1">
      <alignment vertical="center"/>
      <protection locked="0" hidden="1"/>
    </xf>
    <xf numFmtId="0" fontId="18" fillId="16" borderId="0" xfId="0" applyFont="1" applyFill="1" applyAlignment="1" applyProtection="1">
      <alignment vertical="center"/>
      <protection locked="0" hidden="1"/>
    </xf>
    <xf numFmtId="0" fontId="8" fillId="13" borderId="0" xfId="0" applyFont="1" applyFill="1" applyAlignment="1" applyProtection="1">
      <alignment vertical="center"/>
      <protection locked="0" hidden="1"/>
    </xf>
    <xf numFmtId="0" fontId="8" fillId="13" borderId="0" xfId="0" applyFont="1" applyFill="1" applyAlignment="1" applyProtection="1">
      <alignment horizontal="left" vertical="center"/>
      <protection locked="0" hidden="1"/>
    </xf>
    <xf numFmtId="0" fontId="160" fillId="13" borderId="0" xfId="0" applyFont="1" applyFill="1" applyAlignment="1" applyProtection="1">
      <alignment horizontal="left" vertical="center"/>
      <protection locked="0" hidden="1"/>
    </xf>
    <xf numFmtId="0" fontId="162" fillId="13" borderId="0" xfId="0" applyFont="1" applyFill="1" applyAlignment="1" applyProtection="1">
      <alignment vertical="center"/>
      <protection hidden="1"/>
    </xf>
    <xf numFmtId="0" fontId="160" fillId="13" borderId="0" xfId="0" applyFont="1" applyFill="1" applyAlignment="1" applyProtection="1">
      <alignment vertical="center"/>
      <protection hidden="1"/>
    </xf>
    <xf numFmtId="0" fontId="95" fillId="17" borderId="0" xfId="1" applyFont="1" applyFill="1" applyBorder="1" applyAlignment="1" applyProtection="1">
      <alignment horizontal="right" vertical="center"/>
      <protection locked="0" hidden="1"/>
    </xf>
    <xf numFmtId="0" fontId="166" fillId="13" borderId="0" xfId="0" applyFont="1" applyFill="1" applyAlignment="1" applyProtection="1">
      <alignment vertical="center"/>
      <protection locked="0" hidden="1"/>
    </xf>
    <xf numFmtId="0" fontId="42" fillId="13" borderId="0" xfId="1" applyFont="1" applyFill="1" applyBorder="1" applyAlignment="1" applyProtection="1">
      <alignment horizontal="center" vertical="center"/>
      <protection locked="0" hidden="1"/>
    </xf>
    <xf numFmtId="0" fontId="157" fillId="13" borderId="0" xfId="0" applyFont="1" applyFill="1" applyAlignment="1" applyProtection="1">
      <alignment vertical="center"/>
      <protection locked="0" hidden="1"/>
    </xf>
    <xf numFmtId="3" fontId="96" fillId="19" borderId="0" xfId="0" applyNumberFormat="1" applyFont="1" applyFill="1" applyAlignment="1" applyProtection="1">
      <alignment horizontal="left" vertical="center" wrapText="1"/>
      <protection locked="0" hidden="1"/>
    </xf>
    <xf numFmtId="0" fontId="168" fillId="19" borderId="0" xfId="0" applyFont="1" applyFill="1" applyAlignment="1" applyProtection="1">
      <alignment vertical="center"/>
      <protection locked="0" hidden="1"/>
    </xf>
    <xf numFmtId="0" fontId="169" fillId="19" borderId="0" xfId="0" applyFont="1" applyFill="1" applyAlignment="1" applyProtection="1">
      <alignment horizontal="right" vertical="center"/>
      <protection locked="0" hidden="1"/>
    </xf>
    <xf numFmtId="0" fontId="20" fillId="32" borderId="0" xfId="0" applyFont="1" applyFill="1" applyAlignment="1" applyProtection="1">
      <alignment horizontal="center" vertical="center"/>
      <protection locked="0" hidden="1"/>
    </xf>
    <xf numFmtId="164" fontId="46" fillId="32" borderId="0" xfId="0" applyNumberFormat="1" applyFont="1" applyFill="1" applyAlignment="1" applyProtection="1">
      <alignment vertical="center"/>
      <protection locked="0" hidden="1"/>
    </xf>
    <xf numFmtId="164" fontId="46" fillId="32" borderId="0" xfId="0" applyNumberFormat="1" applyFont="1" applyFill="1" applyAlignment="1" applyProtection="1">
      <alignment horizontal="right" vertical="center"/>
      <protection locked="0" hidden="1"/>
    </xf>
    <xf numFmtId="164" fontId="148" fillId="17" borderId="0" xfId="0" quotePrefix="1" applyNumberFormat="1" applyFont="1" applyFill="1" applyAlignment="1" applyProtection="1">
      <alignment horizontal="left"/>
      <protection locked="0" hidden="1"/>
    </xf>
    <xf numFmtId="0" fontId="171" fillId="17" borderId="0" xfId="0" applyFont="1" applyFill="1" applyAlignment="1" applyProtection="1">
      <alignment horizontal="center" vertical="center"/>
      <protection locked="0" hidden="1"/>
    </xf>
    <xf numFmtId="164" fontId="165" fillId="17" borderId="0" xfId="0" quotePrefix="1" applyNumberFormat="1" applyFont="1" applyFill="1" applyAlignment="1" applyProtection="1">
      <alignment horizontal="left" vertical="center"/>
      <protection locked="0" hidden="1"/>
    </xf>
    <xf numFmtId="0" fontId="46" fillId="17" borderId="0" xfId="0" applyFont="1" applyFill="1" applyAlignment="1" applyProtection="1">
      <alignment horizontal="right" vertical="center"/>
      <protection locked="0" hidden="1"/>
    </xf>
    <xf numFmtId="0" fontId="171" fillId="17" borderId="0" xfId="0" applyFont="1" applyFill="1" applyAlignment="1" applyProtection="1">
      <alignment horizontal="right" vertical="center"/>
      <protection locked="0" hidden="1"/>
    </xf>
    <xf numFmtId="0" fontId="172" fillId="17" borderId="0" xfId="1" applyFont="1" applyFill="1" applyBorder="1" applyAlignment="1" applyProtection="1">
      <alignment horizontal="left" vertical="center"/>
      <protection locked="0" hidden="1"/>
    </xf>
    <xf numFmtId="0" fontId="172" fillId="17" borderId="0" xfId="1" applyFont="1" applyFill="1" applyBorder="1" applyAlignment="1" applyProtection="1">
      <alignment horizontal="center" vertical="center"/>
      <protection locked="0" hidden="1"/>
    </xf>
    <xf numFmtId="2" fontId="130" fillId="17" borderId="0" xfId="1" applyNumberFormat="1" applyFont="1" applyFill="1" applyBorder="1" applyAlignment="1" applyProtection="1">
      <alignment horizontal="left" vertical="center"/>
      <protection locked="0" hidden="1"/>
    </xf>
    <xf numFmtId="0" fontId="173" fillId="17" borderId="0" xfId="1" applyNumberFormat="1" applyFont="1" applyFill="1" applyBorder="1" applyAlignment="1" applyProtection="1">
      <alignment horizontal="left" vertical="center"/>
      <protection locked="0" hidden="1"/>
    </xf>
    <xf numFmtId="0" fontId="104" fillId="17" borderId="0" xfId="0" applyFont="1" applyFill="1" applyAlignment="1" applyProtection="1">
      <alignment vertical="center"/>
      <protection locked="0" hidden="1"/>
    </xf>
    <xf numFmtId="0" fontId="104" fillId="17" borderId="0" xfId="0" applyFont="1" applyFill="1" applyAlignment="1" applyProtection="1">
      <alignment horizontal="center" vertical="center"/>
      <protection locked="0" hidden="1"/>
    </xf>
    <xf numFmtId="0" fontId="94" fillId="17" borderId="0" xfId="0" applyFont="1" applyFill="1" applyAlignment="1" applyProtection="1">
      <alignment horizontal="center" vertical="center"/>
      <protection locked="0" hidden="1"/>
    </xf>
    <xf numFmtId="0" fontId="94" fillId="17" borderId="0" xfId="0" applyFont="1" applyFill="1" applyAlignment="1" applyProtection="1">
      <alignment vertical="center"/>
      <protection locked="0" hidden="1"/>
    </xf>
    <xf numFmtId="0" fontId="174" fillId="10" borderId="0" xfId="0" quotePrefix="1" applyFont="1" applyFill="1" applyAlignment="1" applyProtection="1">
      <alignment vertical="center"/>
      <protection locked="0" hidden="1"/>
    </xf>
    <xf numFmtId="0" fontId="84" fillId="10" borderId="0" xfId="0" quotePrefix="1" applyFont="1" applyFill="1" applyAlignment="1" applyProtection="1">
      <alignment vertical="center"/>
      <protection locked="0" hidden="1"/>
    </xf>
    <xf numFmtId="0" fontId="150" fillId="16" borderId="0" xfId="0" applyFont="1" applyFill="1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left" vertical="center"/>
      <protection locked="0" hidden="1"/>
    </xf>
    <xf numFmtId="4" fontId="179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80" fillId="18" borderId="0" xfId="0" applyFont="1" applyFill="1" applyAlignment="1" applyProtection="1">
      <alignment vertical="center"/>
      <protection locked="0"/>
    </xf>
    <xf numFmtId="0" fontId="5" fillId="16" borderId="0" xfId="1" applyFill="1" applyAlignment="1" applyProtection="1">
      <alignment horizontal="left" vertical="center"/>
      <protection locked="0" hidden="1"/>
    </xf>
    <xf numFmtId="0" fontId="29" fillId="13" borderId="0" xfId="0" applyFont="1" applyFill="1" applyAlignment="1" applyProtection="1">
      <alignment horizontal="right" vertical="center"/>
      <protection locked="0" hidden="1"/>
    </xf>
    <xf numFmtId="4" fontId="7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8" fillId="13" borderId="0" xfId="0" quotePrefix="1" applyFont="1" applyFill="1" applyAlignment="1" applyProtection="1">
      <alignment horizontal="left" vertical="center"/>
      <protection locked="0" hidden="1"/>
    </xf>
    <xf numFmtId="0" fontId="23" fillId="13" borderId="0" xfId="0" applyFont="1" applyFill="1" applyAlignment="1" applyProtection="1">
      <alignment horizontal="right" vertical="center"/>
      <protection locked="0" hidden="1"/>
    </xf>
    <xf numFmtId="0" fontId="5" fillId="13" borderId="0" xfId="1" applyFill="1" applyAlignment="1" applyProtection="1">
      <alignment horizontal="right" vertical="center"/>
      <protection locked="0" hidden="1"/>
    </xf>
    <xf numFmtId="0" fontId="13" fillId="16" borderId="0" xfId="0" applyFont="1" applyFill="1" applyAlignment="1" applyProtection="1">
      <alignment vertical="center"/>
      <protection locked="0" hidden="1"/>
    </xf>
    <xf numFmtId="164" fontId="37" fillId="7" borderId="0" xfId="0" applyNumberFormat="1" applyFont="1" applyFill="1" applyAlignment="1" applyProtection="1">
      <alignment horizontal="right" vertical="center"/>
      <protection locked="0" hidden="1"/>
    </xf>
    <xf numFmtId="4" fontId="153" fillId="7" borderId="0" xfId="0" applyNumberFormat="1" applyFont="1" applyFill="1" applyAlignment="1" applyProtection="1">
      <alignment horizontal="center" vertical="center"/>
      <protection locked="0" hidden="1"/>
    </xf>
    <xf numFmtId="0" fontId="49" fillId="16" borderId="0" xfId="1" applyFont="1" applyFill="1" applyAlignment="1" applyProtection="1">
      <alignment horizontal="right" vertical="center"/>
      <protection locked="0" hidden="1"/>
    </xf>
    <xf numFmtId="4" fontId="23" fillId="7" borderId="0" xfId="0" quotePrefix="1" applyNumberFormat="1" applyFont="1" applyFill="1" applyAlignment="1" applyProtection="1">
      <alignment horizontal="center" vertical="center"/>
      <protection locked="0" hidden="1"/>
    </xf>
    <xf numFmtId="4" fontId="7" fillId="7" borderId="0" xfId="0" applyNumberFormat="1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4" fontId="7" fillId="3" borderId="0" xfId="0" applyNumberFormat="1" applyFont="1" applyFill="1" applyAlignment="1" applyProtection="1">
      <alignment horizontal="center" vertical="center"/>
      <protection locked="0" hidden="1"/>
    </xf>
    <xf numFmtId="0" fontId="160" fillId="0" borderId="0" xfId="0" applyFont="1" applyProtection="1">
      <protection locked="0" hidden="1"/>
    </xf>
    <xf numFmtId="0" fontId="160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top" wrapText="1"/>
      <protection locked="0" hidden="1"/>
    </xf>
    <xf numFmtId="0" fontId="182" fillId="0" borderId="0" xfId="0" applyFont="1" applyAlignment="1" applyProtection="1">
      <alignment horizontal="center" vertical="center"/>
      <protection locked="0" hidden="1"/>
    </xf>
    <xf numFmtId="4" fontId="160" fillId="7" borderId="0" xfId="0" applyNumberFormat="1" applyFont="1" applyFill="1" applyAlignment="1" applyProtection="1">
      <alignment vertical="center"/>
      <protection locked="0" hidden="1"/>
    </xf>
    <xf numFmtId="0" fontId="160" fillId="6" borderId="0" xfId="0" applyFont="1" applyFill="1" applyAlignment="1" applyProtection="1">
      <alignment vertical="center"/>
      <protection locked="0" hidden="1"/>
    </xf>
    <xf numFmtId="0" fontId="89" fillId="5" borderId="0" xfId="0" applyFont="1" applyFill="1" applyAlignment="1" applyProtection="1">
      <alignment vertical="center"/>
      <protection locked="0" hidden="1"/>
    </xf>
    <xf numFmtId="0" fontId="160" fillId="5" borderId="0" xfId="0" applyFont="1" applyFill="1" applyAlignment="1" applyProtection="1">
      <alignment vertical="center"/>
      <protection locked="0" hidden="1"/>
    </xf>
    <xf numFmtId="0" fontId="42" fillId="6" borderId="0" xfId="1" quotePrefix="1" applyFont="1" applyFill="1" applyAlignment="1" applyProtection="1">
      <alignment horizontal="center" vertical="center"/>
      <protection locked="0" hidden="1"/>
    </xf>
    <xf numFmtId="0" fontId="160" fillId="6" borderId="0" xfId="0" applyFont="1" applyFill="1" applyAlignment="1" applyProtection="1">
      <alignment horizontal="right" vertical="center"/>
      <protection locked="0" hidden="1"/>
    </xf>
    <xf numFmtId="0" fontId="185" fillId="5" borderId="0" xfId="1" applyFont="1" applyFill="1" applyAlignment="1" applyProtection="1">
      <alignment horizontal="center" vertical="top" wrapText="1"/>
      <protection locked="0" hidden="1"/>
    </xf>
    <xf numFmtId="0" fontId="150" fillId="0" borderId="0" xfId="0" applyFont="1" applyAlignment="1" applyProtection="1">
      <alignment vertical="center"/>
      <protection locked="0" hidden="1"/>
    </xf>
    <xf numFmtId="0" fontId="186" fillId="0" borderId="0" xfId="0" applyFont="1" applyAlignment="1" applyProtection="1">
      <alignment vertical="center"/>
      <protection locked="0" hidden="1"/>
    </xf>
    <xf numFmtId="164" fontId="72" fillId="7" borderId="0" xfId="0" quotePrefix="1" applyNumberFormat="1" applyFont="1" applyFill="1" applyAlignment="1" applyProtection="1">
      <alignment horizontal="center" vertical="center"/>
      <protection locked="0"/>
    </xf>
    <xf numFmtId="0" fontId="160" fillId="13" borderId="0" xfId="0" applyFont="1" applyFill="1" applyAlignment="1" applyProtection="1">
      <alignment vertical="center"/>
      <protection locked="0" hidden="1"/>
    </xf>
    <xf numFmtId="0" fontId="150" fillId="13" borderId="0" xfId="0" applyFont="1" applyFill="1" applyAlignment="1" applyProtection="1">
      <alignment vertical="center"/>
      <protection locked="0" hidden="1"/>
    </xf>
    <xf numFmtId="0" fontId="58" fillId="13" borderId="0" xfId="0" applyFont="1" applyFill="1" applyAlignment="1" applyProtection="1">
      <alignment vertical="center"/>
      <protection locked="0" hidden="1"/>
    </xf>
    <xf numFmtId="164" fontId="210" fillId="13" borderId="1" xfId="0" applyNumberFormat="1" applyFont="1" applyFill="1" applyBorder="1" applyAlignment="1" applyProtection="1">
      <alignment horizontal="right" vertical="center"/>
      <protection locked="0" hidden="1"/>
    </xf>
    <xf numFmtId="0" fontId="210" fillId="13" borderId="1" xfId="0" applyFont="1" applyFill="1" applyBorder="1" applyAlignment="1" applyProtection="1">
      <alignment horizontal="right" vertical="center"/>
      <protection locked="0" hidden="1"/>
    </xf>
    <xf numFmtId="2" fontId="0" fillId="3" borderId="0" xfId="0" applyNumberForma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vertical="center"/>
      <protection locked="0" hidden="1"/>
    </xf>
    <xf numFmtId="0" fontId="34" fillId="3" borderId="0" xfId="0" applyFont="1" applyFill="1" applyAlignment="1" applyProtection="1">
      <alignment vertical="center" wrapText="1"/>
      <protection locked="0" hidden="1"/>
    </xf>
    <xf numFmtId="0" fontId="211" fillId="3" borderId="0" xfId="0" applyFont="1" applyFill="1" applyAlignment="1" applyProtection="1">
      <alignment vertical="center" wrapText="1"/>
      <protection locked="0" hidden="1"/>
    </xf>
    <xf numFmtId="164" fontId="44" fillId="13" borderId="0" xfId="0" applyNumberFormat="1" applyFont="1" applyFill="1" applyAlignment="1" applyProtection="1">
      <alignment horizontal="center" vertical="center"/>
      <protection locked="0" hidden="1"/>
    </xf>
    <xf numFmtId="164" fontId="187" fillId="13" borderId="0" xfId="0" applyNumberFormat="1" applyFont="1" applyFill="1" applyAlignment="1" applyProtection="1">
      <alignment horizontal="right" vertical="center"/>
      <protection locked="0" hidden="1"/>
    </xf>
    <xf numFmtId="3" fontId="58" fillId="3" borderId="0" xfId="0" applyNumberFormat="1" applyFont="1" applyFill="1" applyAlignment="1" applyProtection="1">
      <alignment horizontal="center" vertical="center"/>
      <protection locked="0" hidden="1"/>
    </xf>
    <xf numFmtId="164" fontId="109" fillId="13" borderId="0" xfId="0" applyNumberFormat="1" applyFont="1" applyFill="1" applyAlignment="1" applyProtection="1">
      <alignment horizontal="left" vertical="center"/>
      <protection locked="0" hidden="1"/>
    </xf>
    <xf numFmtId="0" fontId="0" fillId="13" borderId="0" xfId="0" applyFill="1" applyAlignment="1" applyProtection="1">
      <alignment vertical="center"/>
      <protection locked="0" hidden="1"/>
    </xf>
    <xf numFmtId="0" fontId="56" fillId="13" borderId="0" xfId="0" applyFont="1" applyFill="1" applyAlignment="1" applyProtection="1">
      <alignment vertical="center"/>
      <protection locked="0" hidden="1"/>
    </xf>
    <xf numFmtId="164" fontId="112" fillId="13" borderId="0" xfId="0" quotePrefix="1" applyNumberFormat="1" applyFont="1" applyFill="1" applyAlignment="1" applyProtection="1">
      <alignment vertical="center"/>
      <protection locked="0" hidden="1"/>
    </xf>
    <xf numFmtId="0" fontId="188" fillId="13" borderId="0" xfId="0" applyFont="1" applyFill="1" applyAlignment="1" applyProtection="1">
      <alignment horizontal="center" vertical="center"/>
      <protection locked="0" hidden="1"/>
    </xf>
    <xf numFmtId="0" fontId="189" fillId="13" borderId="0" xfId="0" applyFont="1" applyFill="1" applyAlignment="1" applyProtection="1">
      <alignment vertical="center"/>
      <protection locked="0" hidden="1"/>
    </xf>
    <xf numFmtId="164" fontId="190" fillId="13" borderId="0" xfId="0" applyNumberFormat="1" applyFont="1" applyFill="1" applyAlignment="1" applyProtection="1">
      <alignment horizontal="right" vertical="center"/>
      <protection locked="0" hidden="1"/>
    </xf>
    <xf numFmtId="9" fontId="190" fillId="13" borderId="0" xfId="0" applyNumberFormat="1" applyFont="1" applyFill="1" applyAlignment="1" applyProtection="1">
      <alignment horizontal="left" vertical="center"/>
      <protection locked="0" hidden="1"/>
    </xf>
    <xf numFmtId="0" fontId="192" fillId="13" borderId="0" xfId="0" applyFont="1" applyFill="1" applyAlignment="1" applyProtection="1">
      <alignment horizontal="center" vertical="center"/>
      <protection locked="0" hidden="1"/>
    </xf>
    <xf numFmtId="164" fontId="127" fillId="13" borderId="0" xfId="0" applyNumberFormat="1" applyFont="1" applyFill="1" applyAlignment="1" applyProtection="1">
      <alignment horizontal="left" vertical="center"/>
      <protection locked="0" hidden="1"/>
    </xf>
    <xf numFmtId="164" fontId="193" fillId="3" borderId="0" xfId="0" applyNumberFormat="1" applyFont="1" applyFill="1" applyAlignment="1" applyProtection="1">
      <alignment horizontal="left" vertical="center"/>
      <protection locked="0" hidden="1"/>
    </xf>
    <xf numFmtId="9" fontId="12" fillId="3" borderId="0" xfId="0" applyNumberFormat="1" applyFont="1" applyFill="1" applyAlignment="1" applyProtection="1">
      <alignment horizontal="left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195" fillId="13" borderId="0" xfId="0" quotePrefix="1" applyFont="1" applyFill="1" applyAlignment="1" applyProtection="1">
      <alignment horizontal="left" vertical="center"/>
      <protection locked="0" hidden="1"/>
    </xf>
    <xf numFmtId="0" fontId="129" fillId="13" borderId="0" xfId="0" applyFont="1" applyFill="1" applyAlignment="1" applyProtection="1">
      <alignment horizontal="center" vertical="center"/>
      <protection locked="0" hidden="1"/>
    </xf>
    <xf numFmtId="0" fontId="135" fillId="13" borderId="0" xfId="0" applyFont="1" applyFill="1" applyAlignment="1" applyProtection="1">
      <alignment vertical="center"/>
      <protection locked="0" hidden="1"/>
    </xf>
    <xf numFmtId="0" fontId="129" fillId="13" borderId="0" xfId="0" applyFont="1" applyFill="1" applyAlignment="1" applyProtection="1">
      <alignment vertical="center"/>
      <protection locked="0" hidden="1"/>
    </xf>
    <xf numFmtId="164" fontId="140" fillId="13" borderId="0" xfId="0" applyNumberFormat="1" applyFont="1" applyFill="1" applyAlignment="1" applyProtection="1">
      <alignment horizontal="right" vertical="center"/>
      <protection locked="0" hidden="1"/>
    </xf>
    <xf numFmtId="164" fontId="129" fillId="13" borderId="0" xfId="0" applyNumberFormat="1" applyFont="1" applyFill="1" applyAlignment="1" applyProtection="1">
      <alignment horizontal="left" vertical="center"/>
      <protection locked="0" hidden="1"/>
    </xf>
    <xf numFmtId="164" fontId="135" fillId="13" borderId="0" xfId="0" applyNumberFormat="1" applyFont="1" applyFill="1" applyAlignment="1" applyProtection="1">
      <alignment horizontal="right" vertical="center"/>
      <protection locked="0" hidden="1"/>
    </xf>
    <xf numFmtId="0" fontId="196" fillId="13" borderId="0" xfId="0" applyFont="1" applyFill="1" applyAlignment="1" applyProtection="1">
      <alignment horizontal="center" vertical="center"/>
      <protection locked="0" hidden="1"/>
    </xf>
    <xf numFmtId="0" fontId="196" fillId="13" borderId="0" xfId="0" quotePrefix="1" applyFont="1" applyFill="1" applyAlignment="1" applyProtection="1">
      <alignment horizontal="right" vertical="center"/>
      <protection locked="0" hidden="1"/>
    </xf>
    <xf numFmtId="0" fontId="197" fillId="13" borderId="0" xfId="0" applyFont="1" applyFill="1" applyAlignment="1" applyProtection="1">
      <alignment vertical="center"/>
      <protection locked="0" hidden="1"/>
    </xf>
    <xf numFmtId="0" fontId="198" fillId="13" borderId="0" xfId="0" applyFont="1" applyFill="1" applyAlignment="1" applyProtection="1">
      <alignment vertical="center"/>
      <protection locked="0" hidden="1"/>
    </xf>
    <xf numFmtId="164" fontId="199" fillId="13" borderId="0" xfId="0" applyNumberFormat="1" applyFont="1" applyFill="1" applyAlignment="1" applyProtection="1">
      <alignment horizontal="left" vertical="center"/>
      <protection locked="0" hidden="1"/>
    </xf>
    <xf numFmtId="164" fontId="199" fillId="13" borderId="0" xfId="0" applyNumberFormat="1" applyFont="1" applyFill="1" applyAlignment="1" applyProtection="1">
      <alignment horizontal="right" vertical="center"/>
      <protection locked="0" hidden="1"/>
    </xf>
    <xf numFmtId="164" fontId="200" fillId="3" borderId="0" xfId="0" applyNumberFormat="1" applyFont="1" applyFill="1" applyAlignment="1" applyProtection="1">
      <alignment horizontal="left" vertical="center"/>
      <protection locked="0" hidden="1"/>
    </xf>
    <xf numFmtId="166" fontId="2" fillId="3" borderId="0" xfId="0" applyNumberFormat="1" applyFont="1" applyFill="1" applyAlignment="1" applyProtection="1">
      <alignment horizontal="right" vertical="center"/>
      <protection locked="0" hidden="1"/>
    </xf>
    <xf numFmtId="0" fontId="202" fillId="13" borderId="0" xfId="0" applyFont="1" applyFill="1" applyAlignment="1" applyProtection="1">
      <alignment vertical="center"/>
      <protection locked="0" hidden="1"/>
    </xf>
    <xf numFmtId="0" fontId="61" fillId="13" borderId="0" xfId="0" applyFont="1" applyFill="1" applyAlignment="1" applyProtection="1">
      <alignment vertical="center"/>
      <protection locked="0" hidden="1"/>
    </xf>
    <xf numFmtId="0" fontId="203" fillId="13" borderId="0" xfId="0" applyFont="1" applyFill="1" applyAlignment="1" applyProtection="1">
      <alignment horizontal="center" vertical="center"/>
      <protection locked="0" hidden="1"/>
    </xf>
    <xf numFmtId="0" fontId="187" fillId="13" borderId="0" xfId="0" applyFont="1" applyFill="1" applyAlignment="1" applyProtection="1">
      <alignment vertical="center"/>
      <protection locked="0" hidden="1"/>
    </xf>
    <xf numFmtId="0" fontId="205" fillId="13" borderId="0" xfId="0" applyFont="1" applyFill="1" applyAlignment="1" applyProtection="1">
      <alignment horizontal="center" vertical="center"/>
      <protection locked="0" hidden="1"/>
    </xf>
    <xf numFmtId="164" fontId="162" fillId="13" borderId="0" xfId="0" applyNumberFormat="1" applyFont="1" applyFill="1" applyAlignment="1" applyProtection="1">
      <alignment horizontal="center" vertical="center"/>
      <protection locked="0" hidden="1"/>
    </xf>
    <xf numFmtId="164" fontId="146" fillId="13" borderId="0" xfId="0" applyNumberFormat="1" applyFont="1" applyFill="1" applyAlignment="1" applyProtection="1">
      <alignment horizontal="right" vertical="center"/>
      <protection locked="0" hidden="1"/>
    </xf>
    <xf numFmtId="0" fontId="202" fillId="13" borderId="0" xfId="0" applyFont="1" applyFill="1" applyAlignment="1" applyProtection="1">
      <alignment horizontal="left" vertical="center"/>
      <protection locked="0" hidden="1"/>
    </xf>
    <xf numFmtId="0" fontId="202" fillId="13" borderId="0" xfId="0" quotePrefix="1" applyFont="1" applyFill="1" applyAlignment="1" applyProtection="1">
      <alignment horizontal="right" vertical="center"/>
      <protection locked="0" hidden="1"/>
    </xf>
    <xf numFmtId="0" fontId="153" fillId="13" borderId="0" xfId="0" quotePrefix="1" applyFont="1" applyFill="1" applyAlignment="1" applyProtection="1">
      <alignment vertical="center"/>
      <protection locked="0" hidden="1"/>
    </xf>
    <xf numFmtId="0" fontId="162" fillId="13" borderId="0" xfId="0" applyFont="1" applyFill="1" applyAlignment="1" applyProtection="1">
      <alignment horizontal="center" vertical="center"/>
      <protection locked="0" hidden="1"/>
    </xf>
    <xf numFmtId="0" fontId="1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horizontal="left" vertical="center"/>
      <protection locked="0" hidden="1"/>
    </xf>
    <xf numFmtId="164" fontId="146" fillId="13" borderId="0" xfId="0" quotePrefix="1" applyNumberFormat="1" applyFont="1" applyFill="1" applyAlignment="1" applyProtection="1">
      <alignment horizontal="right" vertical="center"/>
      <protection locked="0" hidden="1"/>
    </xf>
    <xf numFmtId="164" fontId="208" fillId="13" borderId="0" xfId="0" applyNumberFormat="1" applyFont="1" applyFill="1" applyAlignment="1" applyProtection="1">
      <alignment horizontal="left" vertical="center"/>
      <protection locked="0"/>
    </xf>
    <xf numFmtId="0" fontId="150" fillId="13" borderId="0" xfId="0" quotePrefix="1" applyFont="1" applyFill="1" applyAlignment="1" applyProtection="1">
      <alignment horizontal="center" vertical="center"/>
      <protection locked="0" hidden="1"/>
    </xf>
    <xf numFmtId="0" fontId="202" fillId="13" borderId="0" xfId="0" applyFont="1" applyFill="1" applyAlignment="1" applyProtection="1">
      <alignment horizontal="center" vertical="center"/>
      <protection locked="0" hidden="1"/>
    </xf>
    <xf numFmtId="0" fontId="150" fillId="13" borderId="0" xfId="0" applyFont="1" applyFill="1" applyAlignment="1" applyProtection="1">
      <alignment horizontal="center" vertical="center"/>
      <protection locked="0" hidden="1"/>
    </xf>
    <xf numFmtId="1" fontId="187" fillId="13" borderId="0" xfId="0" applyNumberFormat="1" applyFont="1" applyFill="1" applyAlignment="1" applyProtection="1">
      <alignment horizontal="right" vertical="center"/>
      <protection locked="0" hidden="1"/>
    </xf>
    <xf numFmtId="0" fontId="152" fillId="13" borderId="0" xfId="0" quotePrefix="1" applyFont="1" applyFill="1" applyAlignment="1" applyProtection="1">
      <alignment horizontal="right" vertical="center"/>
      <protection locked="0" hidden="1"/>
    </xf>
    <xf numFmtId="0" fontId="209" fillId="13" borderId="0" xfId="0" quotePrefix="1" applyFont="1" applyFill="1" applyAlignment="1" applyProtection="1">
      <alignment vertical="center"/>
      <protection locked="0" hidden="1"/>
    </xf>
    <xf numFmtId="0" fontId="209" fillId="13" borderId="0" xfId="0" quotePrefix="1" applyFont="1" applyFill="1" applyAlignment="1" applyProtection="1">
      <alignment horizontal="right" vertical="center"/>
      <protection locked="0" hidden="1"/>
    </xf>
    <xf numFmtId="0" fontId="209" fillId="13" borderId="0" xfId="0" applyFont="1" applyFill="1" applyAlignment="1" applyProtection="1">
      <alignment vertical="center"/>
      <protection locked="0" hidden="1"/>
    </xf>
    <xf numFmtId="164" fontId="122" fillId="13" borderId="35" xfId="0" applyNumberFormat="1" applyFont="1" applyFill="1" applyBorder="1" applyAlignment="1" applyProtection="1">
      <alignment horizontal="right" vertical="center"/>
      <protection locked="0" hidden="1"/>
    </xf>
    <xf numFmtId="166" fontId="187" fillId="13" borderId="0" xfId="0" applyNumberFormat="1" applyFont="1" applyFill="1" applyAlignment="1" applyProtection="1">
      <alignment horizontal="right" vertical="center"/>
      <protection locked="0" hidden="1"/>
    </xf>
    <xf numFmtId="0" fontId="198" fillId="13" borderId="0" xfId="0" applyFont="1" applyFill="1" applyAlignment="1" applyProtection="1">
      <alignment horizontal="left" vertical="top"/>
      <protection locked="0" hidden="1"/>
    </xf>
    <xf numFmtId="0" fontId="209" fillId="13" borderId="0" xfId="0" applyFont="1" applyFill="1" applyAlignment="1" applyProtection="1">
      <alignment horizontal="left" vertical="top"/>
      <protection locked="0" hidden="1"/>
    </xf>
    <xf numFmtId="164" fontId="209" fillId="13" borderId="0" xfId="0" applyNumberFormat="1" applyFont="1" applyFill="1" applyAlignment="1" applyProtection="1">
      <alignment horizontal="left" vertical="center"/>
      <protection locked="0" hidden="1"/>
    </xf>
    <xf numFmtId="0" fontId="150" fillId="13" borderId="0" xfId="0" quotePrefix="1" applyFont="1" applyFill="1" applyAlignment="1" applyProtection="1">
      <alignment vertical="center"/>
      <protection locked="0" hidden="1"/>
    </xf>
    <xf numFmtId="0" fontId="126" fillId="13" borderId="0" xfId="0" applyFont="1" applyFill="1" applyAlignment="1" applyProtection="1">
      <alignment horizontal="left" vertical="top"/>
      <protection locked="0" hidden="1"/>
    </xf>
    <xf numFmtId="0" fontId="122" fillId="13" borderId="35" xfId="0" applyFont="1" applyFill="1" applyBorder="1" applyAlignment="1" applyProtection="1">
      <alignment horizontal="right" vertical="center"/>
      <protection locked="0" hidden="1"/>
    </xf>
    <xf numFmtId="0" fontId="175" fillId="17" borderId="0" xfId="0" applyFont="1" applyFill="1" applyAlignment="1" applyProtection="1">
      <alignment vertical="center"/>
      <protection locked="0" hidden="1"/>
    </xf>
    <xf numFmtId="0" fontId="160" fillId="17" borderId="0" xfId="0" applyFont="1" applyFill="1" applyAlignment="1" applyProtection="1">
      <alignment vertical="center"/>
      <protection locked="0" hidden="1"/>
    </xf>
    <xf numFmtId="164" fontId="35" fillId="17" borderId="0" xfId="0" applyNumberFormat="1" applyFont="1" applyFill="1" applyAlignment="1" applyProtection="1">
      <alignment vertical="center"/>
      <protection locked="0" hidden="1"/>
    </xf>
    <xf numFmtId="0" fontId="212" fillId="17" borderId="0" xfId="0" applyFont="1" applyFill="1" applyAlignment="1" applyProtection="1">
      <alignment vertical="center"/>
      <protection locked="0" hidden="1"/>
    </xf>
    <xf numFmtId="0" fontId="175" fillId="17" borderId="0" xfId="0" applyFont="1" applyFill="1" applyAlignment="1" applyProtection="1">
      <alignment horizontal="center" vertical="center"/>
      <protection locked="0" hidden="1"/>
    </xf>
    <xf numFmtId="0" fontId="8" fillId="17" borderId="0" xfId="0" quotePrefix="1" applyFont="1" applyFill="1" applyAlignment="1" applyProtection="1">
      <alignment vertical="center"/>
      <protection locked="0" hidden="1"/>
    </xf>
    <xf numFmtId="0" fontId="160" fillId="17" borderId="0" xfId="0" applyFont="1" applyFill="1" applyAlignment="1" applyProtection="1">
      <alignment horizontal="center" vertical="center"/>
      <protection locked="0" hidden="1"/>
    </xf>
    <xf numFmtId="0" fontId="213" fillId="17" borderId="0" xfId="0" applyFont="1" applyFill="1" applyAlignment="1" applyProtection="1">
      <alignment vertical="center"/>
      <protection locked="0" hidden="1"/>
    </xf>
    <xf numFmtId="9" fontId="84" fillId="3" borderId="3" xfId="0" applyNumberFormat="1" applyFont="1" applyFill="1" applyBorder="1" applyAlignment="1" applyProtection="1">
      <alignment horizontal="left" vertical="center"/>
      <protection locked="0" hidden="1"/>
    </xf>
    <xf numFmtId="0" fontId="84" fillId="3" borderId="0" xfId="0" applyFont="1" applyFill="1" applyAlignment="1" applyProtection="1">
      <alignment horizontal="left" vertical="center"/>
      <protection locked="0" hidden="1"/>
    </xf>
    <xf numFmtId="164" fontId="84" fillId="3" borderId="0" xfId="0" applyNumberFormat="1" applyFont="1" applyFill="1" applyAlignment="1" applyProtection="1">
      <alignment horizontal="left" vertical="center"/>
      <protection locked="0" hidden="1"/>
    </xf>
    <xf numFmtId="164" fontId="207" fillId="3" borderId="2" xfId="0" applyNumberFormat="1" applyFont="1" applyFill="1" applyBorder="1" applyAlignment="1" applyProtection="1">
      <alignment horizontal="left" vertical="center"/>
      <protection locked="0" hidden="1"/>
    </xf>
    <xf numFmtId="0" fontId="214" fillId="17" borderId="0" xfId="0" applyFont="1" applyFill="1" applyAlignment="1" applyProtection="1">
      <alignment vertical="center"/>
      <protection locked="0" hidden="1"/>
    </xf>
    <xf numFmtId="0" fontId="12" fillId="17" borderId="0" xfId="0" applyFont="1" applyFill="1" applyAlignment="1" applyProtection="1">
      <alignment horizontal="left" vertical="center"/>
      <protection locked="0" hidden="1"/>
    </xf>
    <xf numFmtId="0" fontId="153" fillId="17" borderId="0" xfId="0" applyFont="1" applyFill="1" applyAlignment="1" applyProtection="1">
      <alignment horizontal="right" vertical="center"/>
      <protection locked="0" hidden="1"/>
    </xf>
    <xf numFmtId="164" fontId="215" fillId="17" borderId="0" xfId="0" applyNumberFormat="1" applyFont="1" applyFill="1" applyAlignment="1" applyProtection="1">
      <alignment vertical="center"/>
      <protection locked="0" hidden="1"/>
    </xf>
    <xf numFmtId="0" fontId="216" fillId="17" borderId="0" xfId="0" quotePrefix="1" applyFont="1" applyFill="1" applyAlignment="1" applyProtection="1">
      <alignment vertical="center"/>
      <protection locked="0" hidden="1"/>
    </xf>
    <xf numFmtId="0" fontId="145" fillId="17" borderId="0" xfId="0" applyFont="1" applyFill="1" applyAlignment="1" applyProtection="1">
      <alignment horizontal="right" vertical="center"/>
      <protection locked="0" hidden="1"/>
    </xf>
    <xf numFmtId="0" fontId="42" fillId="17" borderId="0" xfId="1" applyFont="1" applyFill="1" applyAlignment="1" applyProtection="1">
      <alignment horizontal="right" vertical="center"/>
      <protection locked="0" hidden="1"/>
    </xf>
    <xf numFmtId="0" fontId="143" fillId="17" borderId="2" xfId="1" applyFont="1" applyFill="1" applyBorder="1" applyAlignment="1" applyProtection="1">
      <alignment horizontal="right" vertical="center"/>
      <protection locked="0" hidden="1"/>
    </xf>
    <xf numFmtId="0" fontId="32" fillId="17" borderId="0" xfId="1" quotePrefix="1" applyFont="1" applyFill="1" applyAlignment="1" applyProtection="1">
      <alignment vertical="center"/>
      <protection locked="0" hidden="1"/>
    </xf>
    <xf numFmtId="0" fontId="175" fillId="17" borderId="0" xfId="0" applyFont="1" applyFill="1" applyAlignment="1" applyProtection="1">
      <alignment horizontal="right" vertical="center"/>
      <protection locked="0" hidden="1"/>
    </xf>
    <xf numFmtId="0" fontId="175" fillId="17" borderId="2" xfId="0" applyFont="1" applyFill="1" applyBorder="1" applyAlignment="1" applyProtection="1">
      <alignment vertical="center"/>
      <protection locked="0" hidden="1"/>
    </xf>
    <xf numFmtId="0" fontId="175" fillId="17" borderId="2" xfId="0" applyFont="1" applyFill="1" applyBorder="1" applyAlignment="1" applyProtection="1">
      <alignment horizontal="right" vertical="center"/>
      <protection locked="0" hidden="1"/>
    </xf>
    <xf numFmtId="164" fontId="175" fillId="17" borderId="0" xfId="0" applyNumberFormat="1" applyFont="1" applyFill="1" applyAlignment="1" applyProtection="1">
      <alignment horizontal="left" vertical="center"/>
      <protection locked="0" hidden="1"/>
    </xf>
    <xf numFmtId="164" fontId="175" fillId="17" borderId="2" xfId="0" applyNumberFormat="1" applyFont="1" applyFill="1" applyBorder="1" applyAlignment="1" applyProtection="1">
      <alignment horizontal="left" vertical="center"/>
      <protection locked="0" hidden="1"/>
    </xf>
    <xf numFmtId="4" fontId="160" fillId="17" borderId="0" xfId="0" applyNumberFormat="1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8" fillId="0" borderId="0" xfId="0" applyFont="1" applyAlignment="1" applyProtection="1">
      <alignment vertical="center"/>
      <protection locked="0" hidden="1"/>
    </xf>
    <xf numFmtId="164" fontId="76" fillId="0" borderId="0" xfId="0" applyNumberFormat="1" applyFont="1" applyAlignment="1" applyProtection="1">
      <alignment horizontal="center" vertical="center"/>
      <protection locked="0" hidden="1"/>
    </xf>
    <xf numFmtId="0" fontId="125" fillId="0" borderId="0" xfId="0" applyFont="1" applyAlignment="1" applyProtection="1">
      <alignment horizontal="left" vertical="center"/>
      <protection locked="0" hidden="1"/>
    </xf>
    <xf numFmtId="0" fontId="125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46" fillId="3" borderId="0" xfId="0" applyFont="1" applyFill="1" applyAlignment="1" applyProtection="1">
      <alignment horizontal="center" vertical="center" wrapText="1"/>
      <protection locked="0" hidden="1"/>
    </xf>
    <xf numFmtId="0" fontId="15" fillId="3" borderId="0" xfId="0" quotePrefix="1" applyFont="1" applyFill="1" applyAlignment="1" applyProtection="1">
      <alignment vertical="center"/>
      <protection locked="0" hidden="1"/>
    </xf>
    <xf numFmtId="0" fontId="20" fillId="3" borderId="0" xfId="0" quotePrefix="1" applyFont="1" applyFill="1" applyAlignment="1" applyProtection="1">
      <alignment vertical="center"/>
      <protection locked="0" hidden="1"/>
    </xf>
    <xf numFmtId="0" fontId="14" fillId="3" borderId="0" xfId="0" quotePrefix="1" applyFont="1" applyFill="1" applyAlignment="1" applyProtection="1">
      <alignment vertical="center"/>
      <protection locked="0" hidden="1"/>
    </xf>
    <xf numFmtId="2" fontId="8" fillId="3" borderId="0" xfId="0" quotePrefix="1" applyNumberFormat="1" applyFont="1" applyFill="1" applyAlignment="1" applyProtection="1">
      <alignment vertical="center"/>
      <protection locked="0"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0" fontId="64" fillId="3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217" fillId="3" borderId="0" xfId="0" applyFont="1" applyFill="1" applyAlignment="1" applyProtection="1">
      <alignment horizontal="center" vertical="center"/>
      <protection locked="0" hidden="1"/>
    </xf>
    <xf numFmtId="0" fontId="124" fillId="0" borderId="0" xfId="0" applyFont="1" applyAlignment="1" applyProtection="1">
      <alignment vertical="center"/>
      <protection locked="0" hidden="1"/>
    </xf>
    <xf numFmtId="0" fontId="124" fillId="3" borderId="0" xfId="0" applyFont="1" applyFill="1" applyAlignment="1" applyProtection="1">
      <alignment vertical="center"/>
      <protection locked="0" hidden="1"/>
    </xf>
    <xf numFmtId="0" fontId="45" fillId="3" borderId="0" xfId="1" quotePrefix="1" applyFont="1" applyFill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locked="0" hidden="1"/>
    </xf>
    <xf numFmtId="0" fontId="32" fillId="3" borderId="0" xfId="1" applyFont="1" applyFill="1" applyBorder="1" applyAlignment="1" applyProtection="1">
      <alignment vertical="center"/>
      <protection locked="0" hidden="1"/>
    </xf>
    <xf numFmtId="0" fontId="32" fillId="3" borderId="0" xfId="1" applyFont="1" applyFill="1" applyBorder="1" applyAlignment="1" applyProtection="1">
      <alignment horizontal="center" vertical="center"/>
      <protection locked="0" hidden="1"/>
    </xf>
    <xf numFmtId="0" fontId="58" fillId="3" borderId="0" xfId="0" applyFont="1" applyFill="1" applyAlignment="1" applyProtection="1">
      <alignment vertical="center"/>
      <protection locked="0" hidden="1"/>
    </xf>
    <xf numFmtId="0" fontId="75" fillId="3" borderId="0" xfId="0" applyFont="1" applyFill="1" applyAlignment="1" applyProtection="1">
      <alignment vertical="center"/>
      <protection locked="0" hidden="1"/>
    </xf>
    <xf numFmtId="0" fontId="45" fillId="0" borderId="0" xfId="1" applyFont="1" applyAlignment="1" applyProtection="1">
      <alignment horizontal="left" vertical="center"/>
      <protection locked="0" hidden="1"/>
    </xf>
    <xf numFmtId="2" fontId="0" fillId="0" borderId="0" xfId="0" applyNumberFormat="1" applyAlignment="1" applyProtection="1">
      <alignment vertical="center"/>
      <protection locked="0" hidden="1"/>
    </xf>
    <xf numFmtId="0" fontId="184" fillId="6" borderId="0" xfId="0" quotePrefix="1" applyFont="1" applyFill="1" applyAlignment="1" applyProtection="1">
      <alignment vertical="center"/>
      <protection locked="0" hidden="1"/>
    </xf>
    <xf numFmtId="0" fontId="219" fillId="13" borderId="0" xfId="0" quotePrefix="1" applyFont="1" applyFill="1" applyAlignment="1" applyProtection="1">
      <alignment horizontal="left" vertical="center"/>
      <protection locked="0" hidden="1"/>
    </xf>
    <xf numFmtId="0" fontId="220" fillId="13" borderId="0" xfId="0" quotePrefix="1" applyFont="1" applyFill="1" applyAlignment="1" applyProtection="1">
      <alignment horizontal="left" vertical="center"/>
      <protection locked="0" hidden="1"/>
    </xf>
    <xf numFmtId="0" fontId="180" fillId="3" borderId="0" xfId="0" quotePrefix="1" applyFont="1" applyFill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1" fillId="13" borderId="0" xfId="0" quotePrefix="1" applyFont="1" applyFill="1" applyAlignment="1" applyProtection="1">
      <alignment horizontal="left" vertical="center"/>
      <protection locked="0" hidden="1"/>
    </xf>
    <xf numFmtId="0" fontId="160" fillId="13" borderId="0" xfId="0" applyFont="1" applyFill="1" applyAlignment="1" applyProtection="1">
      <alignment horizontal="center" vertical="center"/>
      <protection locked="0" hidden="1"/>
    </xf>
    <xf numFmtId="0" fontId="77" fillId="13" borderId="0" xfId="0" applyFont="1" applyFill="1" applyAlignment="1" applyProtection="1">
      <alignment vertical="center"/>
      <protection locked="0" hidden="1"/>
    </xf>
    <xf numFmtId="0" fontId="221" fillId="13" borderId="0" xfId="0" applyFont="1" applyFill="1" applyAlignment="1" applyProtection="1">
      <alignment vertical="center"/>
      <protection locked="0" hidden="1"/>
    </xf>
    <xf numFmtId="0" fontId="153" fillId="13" borderId="0" xfId="0" applyFont="1" applyFill="1" applyAlignment="1" applyProtection="1">
      <alignment vertical="center"/>
      <protection locked="0" hidden="1"/>
    </xf>
    <xf numFmtId="0" fontId="223" fillId="13" borderId="0" xfId="0" quotePrefix="1" applyFont="1" applyFill="1" applyAlignment="1" applyProtection="1">
      <alignment horizontal="right" vertical="center"/>
      <protection locked="0" hidden="1"/>
    </xf>
    <xf numFmtId="0" fontId="160" fillId="13" borderId="0" xfId="0" applyFont="1" applyFill="1" applyAlignment="1" applyProtection="1">
      <alignment horizontal="right" vertical="center"/>
      <protection locked="0" hidden="1"/>
    </xf>
    <xf numFmtId="0" fontId="157" fillId="13" borderId="0" xfId="0" applyFont="1" applyFill="1" applyAlignment="1" applyProtection="1">
      <alignment horizontal="right" vertical="center"/>
      <protection locked="0" hidden="1"/>
    </xf>
    <xf numFmtId="0" fontId="18" fillId="13" borderId="0" xfId="0" quotePrefix="1" applyFont="1" applyFill="1" applyAlignment="1" applyProtection="1">
      <alignment horizontal="right" vertical="center"/>
      <protection locked="0" hidden="1"/>
    </xf>
    <xf numFmtId="9" fontId="53" fillId="3" borderId="0" xfId="0" applyNumberFormat="1" applyFont="1" applyFill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left" vertical="center"/>
      <protection locked="0" hidden="1"/>
    </xf>
    <xf numFmtId="0" fontId="13" fillId="3" borderId="0" xfId="0" applyFont="1" applyFill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vertical="center"/>
      <protection locked="0" hidden="1"/>
    </xf>
    <xf numFmtId="0" fontId="224" fillId="6" borderId="6" xfId="0" quotePrefix="1" applyFont="1" applyFill="1" applyBorder="1" applyAlignment="1" applyProtection="1">
      <alignment vertical="center"/>
      <protection locked="0" hidden="1"/>
    </xf>
    <xf numFmtId="0" fontId="224" fillId="6" borderId="4" xfId="0" quotePrefix="1" applyFont="1" applyFill="1" applyBorder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vertical="center"/>
      <protection locked="0" hidden="1"/>
    </xf>
    <xf numFmtId="0" fontId="20" fillId="13" borderId="0" xfId="0" applyFont="1" applyFill="1" applyAlignment="1" applyProtection="1">
      <alignment horizontal="center" vertical="center"/>
      <protection locked="0" hidden="1"/>
    </xf>
    <xf numFmtId="0" fontId="3" fillId="13" borderId="0" xfId="0" applyFont="1" applyFill="1" applyAlignment="1" applyProtection="1">
      <alignment horizontal="center" vertical="center"/>
      <protection locked="0" hidden="1"/>
    </xf>
    <xf numFmtId="0" fontId="157" fillId="13" borderId="0" xfId="0" applyFont="1" applyFill="1" applyAlignment="1" applyProtection="1">
      <alignment horizontal="center" vertical="center"/>
      <protection locked="0" hidden="1"/>
    </xf>
    <xf numFmtId="164" fontId="157" fillId="13" borderId="0" xfId="0" applyNumberFormat="1" applyFont="1" applyFill="1" applyAlignment="1" applyProtection="1">
      <alignment horizontal="center" vertical="center"/>
      <protection locked="0" hidden="1"/>
    </xf>
    <xf numFmtId="0" fontId="18" fillId="13" borderId="0" xfId="0" applyFont="1" applyFill="1" applyAlignment="1" applyProtection="1">
      <alignment vertical="center"/>
      <protection locked="0" hidden="1"/>
    </xf>
    <xf numFmtId="0" fontId="16" fillId="13" borderId="0" xfId="0" applyFont="1" applyFill="1" applyAlignment="1" applyProtection="1">
      <alignment horizontal="left" vertical="center"/>
      <protection locked="0" hidden="1"/>
    </xf>
    <xf numFmtId="0" fontId="202" fillId="3" borderId="0" xfId="0" quotePrefix="1" applyFont="1" applyFill="1" applyAlignment="1" applyProtection="1">
      <alignment horizontal="left" vertical="center"/>
      <protection locked="0" hidden="1"/>
    </xf>
    <xf numFmtId="0" fontId="225" fillId="3" borderId="0" xfId="0" quotePrefix="1" applyFont="1" applyFill="1" applyAlignment="1" applyProtection="1">
      <alignment horizontal="left" vertical="center"/>
      <protection locked="0" hidden="1"/>
    </xf>
    <xf numFmtId="0" fontId="226" fillId="13" borderId="0" xfId="0" applyFont="1" applyFill="1" applyAlignment="1" applyProtection="1">
      <alignment vertical="center"/>
      <protection locked="0" hidden="1"/>
    </xf>
    <xf numFmtId="0" fontId="78" fillId="13" borderId="0" xfId="0" applyFont="1" applyFill="1" applyAlignment="1" applyProtection="1">
      <alignment horizontal="center" vertical="center"/>
      <protection locked="0" hidden="1"/>
    </xf>
    <xf numFmtId="0" fontId="227" fillId="13" borderId="0" xfId="0" applyFont="1" applyFill="1" applyAlignment="1" applyProtection="1">
      <alignment horizontal="center" vertical="center"/>
      <protection locked="0" hidden="1"/>
    </xf>
    <xf numFmtId="164" fontId="227" fillId="13" borderId="0" xfId="0" applyNumberFormat="1" applyFont="1" applyFill="1" applyAlignment="1" applyProtection="1">
      <alignment horizontal="center" vertical="center"/>
      <protection locked="0" hidden="1"/>
    </xf>
    <xf numFmtId="0" fontId="79" fillId="13" borderId="0" xfId="0" applyFont="1" applyFill="1" applyAlignment="1" applyProtection="1">
      <alignment vertical="center"/>
      <protection locked="0" hidden="1"/>
    </xf>
    <xf numFmtId="0" fontId="184" fillId="5" borderId="0" xfId="0" quotePrefix="1" applyFont="1" applyFill="1" applyAlignment="1" applyProtection="1">
      <alignment vertical="center"/>
      <protection locked="0" hidden="1"/>
    </xf>
    <xf numFmtId="0" fontId="229" fillId="13" borderId="0" xfId="0" applyFont="1" applyFill="1" applyAlignment="1" applyProtection="1">
      <alignment horizontal="center" vertical="center"/>
      <protection locked="0" hidden="1"/>
    </xf>
    <xf numFmtId="9" fontId="81" fillId="13" borderId="0" xfId="0" applyNumberFormat="1" applyFont="1" applyFill="1" applyAlignment="1" applyProtection="1">
      <alignment horizontal="center" vertical="center"/>
      <protection locked="0" hidden="1"/>
    </xf>
    <xf numFmtId="0" fontId="81" fillId="13" borderId="0" xfId="0" quotePrefix="1" applyFont="1" applyFill="1" applyAlignment="1" applyProtection="1">
      <alignment horizontal="center" vertical="center"/>
      <protection locked="0" hidden="1"/>
    </xf>
    <xf numFmtId="0" fontId="227" fillId="13" borderId="0" xfId="0" applyFont="1" applyFill="1" applyAlignment="1" applyProtection="1">
      <alignment vertical="center"/>
      <protection locked="0" hidden="1"/>
    </xf>
    <xf numFmtId="0" fontId="115" fillId="3" borderId="0" xfId="0" applyFont="1" applyFill="1" applyAlignment="1" applyProtection="1">
      <alignment vertical="center"/>
      <protection locked="0" hidden="1"/>
    </xf>
    <xf numFmtId="0" fontId="78" fillId="13" borderId="0" xfId="0" applyFont="1" applyFill="1" applyAlignment="1" applyProtection="1">
      <alignment horizontal="center" vertical="center" wrapText="1"/>
      <protection locked="0" hidden="1"/>
    </xf>
    <xf numFmtId="0" fontId="83" fillId="13" borderId="0" xfId="0" quotePrefix="1" applyFont="1" applyFill="1" applyAlignment="1" applyProtection="1">
      <alignment horizontal="center" vertical="center"/>
      <protection locked="0" hidden="1"/>
    </xf>
    <xf numFmtId="0" fontId="116" fillId="3" borderId="0" xfId="0" applyFont="1" applyFill="1" applyAlignment="1" applyProtection="1">
      <alignment vertical="center"/>
      <protection locked="0" hidden="1"/>
    </xf>
    <xf numFmtId="0" fontId="81" fillId="13" borderId="0" xfId="0" applyFont="1" applyFill="1" applyAlignment="1" applyProtection="1">
      <alignment horizontal="center" vertical="center"/>
      <protection locked="0" hidden="1"/>
    </xf>
    <xf numFmtId="9" fontId="81" fillId="13" borderId="0" xfId="0" applyNumberFormat="1" applyFont="1" applyFill="1" applyAlignment="1" applyProtection="1">
      <alignment horizontal="left" vertical="center"/>
      <protection locked="0" hidden="1"/>
    </xf>
    <xf numFmtId="0" fontId="43" fillId="13" borderId="0" xfId="0" applyFont="1" applyFill="1" applyAlignment="1" applyProtection="1">
      <alignment horizontal="center" vertical="center"/>
      <protection locked="0" hidden="1"/>
    </xf>
    <xf numFmtId="0" fontId="160" fillId="0" borderId="0" xfId="0" applyFont="1" applyAlignment="1" applyProtection="1">
      <alignment horizontal="left" vertical="center"/>
      <protection locked="0" hidden="1"/>
    </xf>
    <xf numFmtId="0" fontId="160" fillId="0" borderId="0" xfId="0" applyFont="1" applyProtection="1">
      <protection locked="0"/>
    </xf>
    <xf numFmtId="0" fontId="230" fillId="3" borderId="0" xfId="0" applyFont="1" applyFill="1" applyAlignment="1" applyProtection="1">
      <alignment horizontal="center" vertical="center"/>
      <protection locked="0" hidden="1"/>
    </xf>
    <xf numFmtId="0" fontId="231" fillId="3" borderId="0" xfId="0" applyFont="1" applyFill="1" applyAlignment="1" applyProtection="1">
      <alignment horizontal="center" vertical="center"/>
      <protection locked="0" hidden="1"/>
    </xf>
    <xf numFmtId="164" fontId="58" fillId="3" borderId="0" xfId="0" applyNumberFormat="1" applyFont="1" applyFill="1" applyAlignment="1" applyProtection="1">
      <alignment horizontal="left" vertical="center"/>
      <protection locked="0" hidden="1"/>
    </xf>
    <xf numFmtId="0" fontId="157" fillId="3" borderId="0" xfId="0" applyFont="1" applyFill="1" applyAlignment="1" applyProtection="1">
      <alignment vertical="center"/>
      <protection locked="0" hidden="1"/>
    </xf>
    <xf numFmtId="0" fontId="77" fillId="3" borderId="0" xfId="0" applyFont="1" applyFill="1" applyAlignment="1" applyProtection="1">
      <alignment vertical="center"/>
      <protection locked="0" hidden="1"/>
    </xf>
    <xf numFmtId="0" fontId="221" fillId="3" borderId="0" xfId="0" applyFont="1" applyFill="1" applyAlignment="1" applyProtection="1">
      <alignment vertical="center"/>
      <protection locked="0" hidden="1"/>
    </xf>
    <xf numFmtId="0" fontId="153" fillId="0" borderId="0" xfId="0" applyFont="1" applyAlignment="1" applyProtection="1">
      <alignment vertical="center"/>
      <protection locked="0" hidden="1"/>
    </xf>
    <xf numFmtId="0" fontId="35" fillId="3" borderId="0" xfId="0" applyFont="1" applyFill="1" applyAlignment="1" applyProtection="1">
      <alignment vertical="center"/>
      <protection locked="0" hidden="1"/>
    </xf>
    <xf numFmtId="0" fontId="232" fillId="13" borderId="0" xfId="0" quotePrefix="1" applyFont="1" applyFill="1" applyAlignment="1" applyProtection="1">
      <alignment horizontal="left" vertical="center"/>
      <protection locked="0" hidden="1"/>
    </xf>
    <xf numFmtId="0" fontId="232" fillId="13" borderId="0" xfId="0" quotePrefix="1" applyFont="1" applyFill="1" applyAlignment="1" applyProtection="1">
      <alignment vertical="center"/>
      <protection locked="0" hidden="1"/>
    </xf>
    <xf numFmtId="0" fontId="218" fillId="13" borderId="0" xfId="0" quotePrefix="1" applyFont="1" applyFill="1" applyAlignment="1" applyProtection="1">
      <alignment horizontal="left" vertical="center"/>
      <protection locked="0" hidden="1"/>
    </xf>
    <xf numFmtId="0" fontId="12" fillId="13" borderId="0" xfId="0" applyFont="1" applyFill="1" applyAlignment="1" applyProtection="1">
      <alignment horizontal="left" vertical="center"/>
      <protection locked="0" hidden="1"/>
    </xf>
    <xf numFmtId="0" fontId="233" fillId="13" borderId="0" xfId="0" applyFont="1" applyFill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horizontal="center" vertical="center"/>
      <protection locked="0" hidden="1"/>
    </xf>
    <xf numFmtId="0" fontId="125" fillId="13" borderId="0" xfId="0" applyFont="1" applyFill="1" applyAlignment="1" applyProtection="1">
      <alignment vertical="center"/>
      <protection locked="0" hidden="1"/>
    </xf>
    <xf numFmtId="0" fontId="146" fillId="13" borderId="0" xfId="0" applyFont="1" applyFill="1" applyAlignment="1" applyProtection="1">
      <alignment vertical="center"/>
      <protection locked="0" hidden="1"/>
    </xf>
    <xf numFmtId="164" fontId="90" fillId="3" borderId="0" xfId="0" applyNumberFormat="1" applyFont="1" applyFill="1" applyAlignment="1" applyProtection="1">
      <alignment vertical="center"/>
      <protection locked="0" hidden="1"/>
    </xf>
    <xf numFmtId="0" fontId="117" fillId="3" borderId="0" xfId="0" applyFont="1" applyFill="1" applyAlignment="1" applyProtection="1">
      <alignment vertical="center"/>
      <protection locked="0" hidden="1"/>
    </xf>
    <xf numFmtId="0" fontId="235" fillId="13" borderId="0" xfId="0" applyFont="1" applyFill="1" applyAlignment="1" applyProtection="1">
      <alignment horizontal="center" vertical="center"/>
      <protection locked="0" hidden="1"/>
    </xf>
    <xf numFmtId="164" fontId="146" fillId="13" borderId="0" xfId="0" applyNumberFormat="1" applyFont="1" applyFill="1" applyAlignment="1" applyProtection="1">
      <alignment horizontal="left" vertical="center"/>
      <protection locked="0" hidden="1"/>
    </xf>
    <xf numFmtId="164" fontId="192" fillId="13" borderId="0" xfId="0" applyNumberFormat="1" applyFont="1" applyFill="1" applyAlignment="1" applyProtection="1">
      <alignment horizontal="left" vertical="center"/>
      <protection locked="0" hidden="1"/>
    </xf>
    <xf numFmtId="164" fontId="192" fillId="13" borderId="0" xfId="0" applyNumberFormat="1" applyFont="1" applyFill="1" applyAlignment="1" applyProtection="1">
      <alignment horizontal="center" vertical="center"/>
      <protection locked="0" hidden="1"/>
    </xf>
    <xf numFmtId="164" fontId="157" fillId="13" borderId="0" xfId="0" applyNumberFormat="1" applyFont="1" applyFill="1" applyAlignment="1" applyProtection="1">
      <alignment horizontal="left" vertical="center"/>
      <protection locked="0" hidden="1"/>
    </xf>
    <xf numFmtId="0" fontId="221" fillId="13" borderId="0" xfId="0" applyFont="1" applyFill="1" applyAlignment="1" applyProtection="1">
      <alignment horizontal="center" vertical="center"/>
      <protection locked="0" hidden="1"/>
    </xf>
    <xf numFmtId="0" fontId="150" fillId="13" borderId="0" xfId="0" applyFont="1" applyFill="1" applyAlignment="1" applyProtection="1">
      <alignment horizontal="left" vertical="center"/>
      <protection locked="0" hidden="1"/>
    </xf>
    <xf numFmtId="164" fontId="150" fillId="13" borderId="0" xfId="0" applyNumberFormat="1" applyFont="1" applyFill="1" applyAlignment="1" applyProtection="1">
      <alignment horizontal="left" vertical="center"/>
      <protection locked="0" hidden="1"/>
    </xf>
    <xf numFmtId="0" fontId="153" fillId="13" borderId="0" xfId="0" applyFont="1" applyFill="1" applyAlignment="1" applyProtection="1">
      <alignment horizontal="left" vertical="center"/>
      <protection locked="0" hidden="1"/>
    </xf>
    <xf numFmtId="0" fontId="153" fillId="13" borderId="0" xfId="0" applyFont="1" applyFill="1" applyAlignment="1" applyProtection="1">
      <alignment horizontal="center" vertical="center"/>
      <protection locked="0" hidden="1"/>
    </xf>
    <xf numFmtId="0" fontId="157" fillId="13" borderId="0" xfId="0" applyFont="1" applyFill="1" applyAlignment="1" applyProtection="1">
      <alignment horizontal="left" vertical="center"/>
      <protection locked="0" hidden="1"/>
    </xf>
    <xf numFmtId="0" fontId="76" fillId="13" borderId="0" xfId="0" applyFont="1" applyFill="1" applyAlignment="1" applyProtection="1">
      <alignment horizontal="left" vertical="center"/>
      <protection locked="0" hidden="1"/>
    </xf>
    <xf numFmtId="0" fontId="218" fillId="13" borderId="0" xfId="0" applyFont="1" applyFill="1" applyAlignment="1" applyProtection="1">
      <alignment horizontal="left" vertical="center"/>
      <protection locked="0" hidden="1"/>
    </xf>
    <xf numFmtId="0" fontId="23" fillId="3" borderId="0" xfId="0" applyFont="1" applyFill="1" applyAlignment="1" applyProtection="1">
      <alignment vertical="center" wrapText="1"/>
      <protection locked="0" hidden="1"/>
    </xf>
    <xf numFmtId="2" fontId="23" fillId="3" borderId="0" xfId="0" applyNumberFormat="1" applyFont="1" applyFill="1" applyAlignment="1" applyProtection="1">
      <alignment vertical="center" wrapText="1"/>
      <protection locked="0" hidden="1"/>
    </xf>
    <xf numFmtId="9" fontId="186" fillId="3" borderId="0" xfId="1" applyNumberFormat="1" applyFont="1" applyFill="1" applyBorder="1" applyAlignment="1" applyProtection="1">
      <alignment vertical="center"/>
      <protection locked="0" hidden="1"/>
    </xf>
    <xf numFmtId="164" fontId="59" fillId="17" borderId="0" xfId="0" applyNumberFormat="1" applyFont="1" applyFill="1" applyAlignment="1" applyProtection="1">
      <alignment horizontal="center" vertical="center"/>
      <protection locked="0" hidden="1"/>
    </xf>
    <xf numFmtId="164" fontId="236" fillId="17" borderId="0" xfId="0" applyNumberFormat="1" applyFont="1" applyFill="1" applyAlignment="1" applyProtection="1">
      <alignment horizontal="center" vertical="center"/>
      <protection locked="0" hidden="1"/>
    </xf>
    <xf numFmtId="0" fontId="126" fillId="17" borderId="0" xfId="0" applyFont="1" applyFill="1" applyAlignment="1" applyProtection="1">
      <alignment horizontal="left" vertical="center"/>
      <protection locked="0" hidden="1"/>
    </xf>
    <xf numFmtId="0" fontId="126" fillId="17" borderId="0" xfId="0" applyFont="1" applyFill="1" applyAlignment="1" applyProtection="1">
      <alignment vertical="center"/>
      <protection locked="0" hidden="1"/>
    </xf>
    <xf numFmtId="0" fontId="237" fillId="17" borderId="0" xfId="0" quotePrefix="1" applyFont="1" applyFill="1" applyAlignment="1" applyProtection="1">
      <alignment horizontal="right" vertical="center"/>
      <protection locked="0" hidden="1"/>
    </xf>
    <xf numFmtId="0" fontId="147" fillId="17" borderId="0" xfId="0" quotePrefix="1" applyFont="1" applyFill="1" applyAlignment="1" applyProtection="1">
      <alignment horizontal="left" vertical="center"/>
      <protection locked="0" hidden="1"/>
    </xf>
    <xf numFmtId="0" fontId="239" fillId="17" borderId="0" xfId="0" applyFont="1" applyFill="1" applyAlignment="1" applyProtection="1">
      <alignment horizontal="center" vertical="center"/>
      <protection locked="0" hidden="1"/>
    </xf>
    <xf numFmtId="0" fontId="240" fillId="17" borderId="0" xfId="0" applyFont="1" applyFill="1" applyAlignment="1" applyProtection="1">
      <alignment horizontal="center" vertical="center"/>
      <protection locked="0" hidden="1"/>
    </xf>
    <xf numFmtId="0" fontId="240" fillId="17" borderId="0" xfId="0" applyFont="1" applyFill="1" applyAlignment="1" applyProtection="1">
      <alignment vertical="center"/>
      <protection locked="0" hidden="1"/>
    </xf>
    <xf numFmtId="0" fontId="240" fillId="17" borderId="0" xfId="0" applyFont="1" applyFill="1" applyAlignment="1" applyProtection="1">
      <alignment horizontal="right" vertical="center"/>
      <protection locked="0" hidden="1"/>
    </xf>
    <xf numFmtId="2" fontId="48" fillId="17" borderId="0" xfId="0" applyNumberFormat="1" applyFont="1" applyFill="1" applyAlignment="1" applyProtection="1">
      <alignment horizontal="right" vertical="center"/>
      <protection locked="0" hidden="1"/>
    </xf>
    <xf numFmtId="0" fontId="241" fillId="17" borderId="0" xfId="0" quotePrefix="1" applyFont="1" applyFill="1" applyAlignment="1" applyProtection="1">
      <alignment horizontal="right" vertical="center"/>
      <protection locked="0" hidden="1"/>
    </xf>
    <xf numFmtId="0" fontId="242" fillId="17" borderId="0" xfId="0" applyFont="1" applyFill="1" applyAlignment="1" applyProtection="1">
      <alignment vertical="center"/>
      <protection locked="0" hidden="1"/>
    </xf>
    <xf numFmtId="0" fontId="243" fillId="3" borderId="0" xfId="0" applyFont="1" applyFill="1" applyAlignment="1" applyProtection="1">
      <alignment horizontal="right"/>
      <protection locked="0"/>
    </xf>
    <xf numFmtId="9" fontId="243" fillId="13" borderId="0" xfId="0" applyNumberFormat="1" applyFont="1" applyFill="1" applyAlignment="1" applyProtection="1">
      <alignment horizontal="right" vertical="center"/>
      <protection locked="0" hidden="1"/>
    </xf>
    <xf numFmtId="0" fontId="0" fillId="0" borderId="0" xfId="0" applyAlignment="1">
      <alignment vertical="center"/>
    </xf>
    <xf numFmtId="0" fontId="255" fillId="0" borderId="0" xfId="0" applyFont="1" applyAlignment="1" applyProtection="1">
      <alignment horizontal="center" vertical="center"/>
      <protection locked="0" hidden="1"/>
    </xf>
    <xf numFmtId="0" fontId="255" fillId="3" borderId="0" xfId="0" applyFont="1" applyFill="1" applyAlignment="1" applyProtection="1">
      <alignment horizontal="center" vertical="center"/>
      <protection locked="0" hidden="1"/>
    </xf>
    <xf numFmtId="0" fontId="0" fillId="0" borderId="36" xfId="0" applyBorder="1" applyAlignment="1" applyProtection="1">
      <alignment vertical="center"/>
      <protection locked="0" hidden="1"/>
    </xf>
    <xf numFmtId="0" fontId="206" fillId="3" borderId="34" xfId="0" quotePrefix="1" applyFont="1" applyFill="1" applyBorder="1" applyAlignment="1" applyProtection="1">
      <alignment horizontal="right"/>
      <protection hidden="1"/>
    </xf>
    <xf numFmtId="0" fontId="3" fillId="34" borderId="33" xfId="2" applyFont="1" applyFill="1" applyBorder="1" applyAlignment="1" applyProtection="1">
      <alignment vertical="center"/>
      <protection locked="0"/>
    </xf>
    <xf numFmtId="0" fontId="142" fillId="34" borderId="37" xfId="2" applyFont="1" applyFill="1" applyBorder="1" applyAlignment="1" applyProtection="1">
      <alignment vertical="center"/>
      <protection locked="0"/>
    </xf>
    <xf numFmtId="0" fontId="3" fillId="34" borderId="37" xfId="2" applyFont="1" applyFill="1" applyBorder="1" applyAlignment="1" applyProtection="1">
      <alignment vertical="center"/>
      <protection locked="0"/>
    </xf>
    <xf numFmtId="0" fontId="245" fillId="34" borderId="37" xfId="2" applyFont="1" applyFill="1" applyBorder="1" applyAlignment="1" applyProtection="1">
      <alignment vertical="center"/>
      <protection locked="0"/>
    </xf>
    <xf numFmtId="0" fontId="144" fillId="34" borderId="37" xfId="0" applyFont="1" applyFill="1" applyBorder="1" applyAlignment="1" applyProtection="1">
      <alignment horizontal="right" vertical="center"/>
      <protection locked="0"/>
    </xf>
    <xf numFmtId="0" fontId="150" fillId="34" borderId="37" xfId="0" applyFont="1" applyFill="1" applyBorder="1" applyAlignment="1" applyProtection="1">
      <alignment horizontal="left" vertical="center"/>
      <protection locked="0"/>
    </xf>
    <xf numFmtId="0" fontId="8" fillId="34" borderId="37" xfId="0" applyFont="1" applyFill="1" applyBorder="1" applyAlignment="1" applyProtection="1">
      <alignment horizontal="left" vertical="center"/>
      <protection locked="0"/>
    </xf>
    <xf numFmtId="0" fontId="256" fillId="34" borderId="37" xfId="0" applyFont="1" applyFill="1" applyBorder="1" applyAlignment="1" applyProtection="1">
      <alignment horizontal="right" vertical="center"/>
      <protection locked="0"/>
    </xf>
    <xf numFmtId="0" fontId="8" fillId="35" borderId="0" xfId="0" applyFont="1" applyFill="1" applyAlignment="1" applyProtection="1">
      <alignment vertical="center"/>
      <protection locked="0"/>
    </xf>
    <xf numFmtId="0" fontId="129" fillId="35" borderId="0" xfId="0" applyFont="1" applyFill="1" applyAlignment="1" applyProtection="1">
      <alignment horizontal="left" vertical="center"/>
      <protection locked="0"/>
    </xf>
    <xf numFmtId="0" fontId="257" fillId="35" borderId="0" xfId="0" applyFont="1" applyFill="1" applyAlignment="1" applyProtection="1">
      <alignment horizontal="left" vertical="center" wrapText="1"/>
      <protection locked="0"/>
    </xf>
    <xf numFmtId="0" fontId="1" fillId="35" borderId="0" xfId="0" applyFont="1" applyFill="1" applyAlignment="1" applyProtection="1">
      <alignment horizontal="center" vertical="center"/>
      <protection locked="0"/>
    </xf>
    <xf numFmtId="164" fontId="1" fillId="35" borderId="0" xfId="0" applyNumberFormat="1" applyFont="1" applyFill="1" applyAlignment="1" applyProtection="1">
      <alignment horizontal="left" vertical="center"/>
      <protection locked="0"/>
    </xf>
    <xf numFmtId="9" fontId="247" fillId="35" borderId="0" xfId="0" applyNumberFormat="1" applyFont="1" applyFill="1" applyAlignment="1" applyProtection="1">
      <alignment horizontal="center" vertical="center"/>
      <protection locked="0"/>
    </xf>
    <xf numFmtId="0" fontId="58" fillId="36" borderId="0" xfId="0" applyFont="1" applyFill="1" applyAlignment="1" applyProtection="1">
      <alignment horizontal="center" vertical="center"/>
      <protection locked="0"/>
    </xf>
    <xf numFmtId="164" fontId="251" fillId="35" borderId="0" xfId="0" applyNumberFormat="1" applyFont="1" applyFill="1" applyAlignment="1" applyProtection="1">
      <alignment horizontal="left" vertical="center"/>
      <protection locked="0"/>
    </xf>
    <xf numFmtId="164" fontId="58" fillId="36" borderId="0" xfId="2" applyNumberFormat="1" applyFont="1" applyFill="1" applyAlignment="1" applyProtection="1">
      <alignment vertical="center"/>
      <protection locked="0"/>
    </xf>
    <xf numFmtId="9" fontId="246" fillId="37" borderId="0" xfId="0" applyNumberFormat="1" applyFont="1" applyFill="1" applyAlignment="1" applyProtection="1">
      <alignment horizontal="center" vertical="center"/>
      <protection locked="0"/>
    </xf>
    <xf numFmtId="164" fontId="247" fillId="37" borderId="0" xfId="0" applyNumberFormat="1" applyFont="1" applyFill="1" applyAlignment="1" applyProtection="1">
      <alignment horizontal="left" vertical="center"/>
      <protection locked="0"/>
    </xf>
    <xf numFmtId="164" fontId="247" fillId="37" borderId="0" xfId="0" applyNumberFormat="1" applyFont="1" applyFill="1" applyAlignment="1" applyProtection="1">
      <alignment horizontal="center" vertical="center"/>
      <protection locked="0"/>
    </xf>
    <xf numFmtId="164" fontId="133" fillId="37" borderId="0" xfId="0" applyNumberFormat="1" applyFont="1" applyFill="1" applyAlignment="1" applyProtection="1">
      <alignment horizontal="left" vertical="center"/>
      <protection locked="0"/>
    </xf>
    <xf numFmtId="164" fontId="248" fillId="37" borderId="0" xfId="0" applyNumberFormat="1" applyFont="1" applyFill="1" applyAlignment="1" applyProtection="1">
      <alignment horizontal="left" vertical="center"/>
      <protection locked="0"/>
    </xf>
    <xf numFmtId="2" fontId="137" fillId="37" borderId="0" xfId="0" applyNumberFormat="1" applyFont="1" applyFill="1" applyAlignment="1" applyProtection="1">
      <alignment horizontal="left" vertical="center" wrapText="1"/>
      <protection locked="0"/>
    </xf>
    <xf numFmtId="0" fontId="249" fillId="37" borderId="0" xfId="0" applyFont="1" applyFill="1" applyAlignment="1" applyProtection="1">
      <alignment horizontal="center" vertical="center" wrapText="1"/>
      <protection locked="0"/>
    </xf>
    <xf numFmtId="2" fontId="137" fillId="37" borderId="0" xfId="0" applyNumberFormat="1" applyFont="1" applyFill="1" applyAlignment="1" applyProtection="1">
      <alignment horizontal="left" vertical="center"/>
      <protection locked="0"/>
    </xf>
    <xf numFmtId="0" fontId="160" fillId="37" borderId="0" xfId="0" applyFont="1" applyFill="1" applyAlignment="1" applyProtection="1">
      <alignment horizontal="right" vertical="center"/>
      <protection locked="0"/>
    </xf>
    <xf numFmtId="9" fontId="128" fillId="30" borderId="0" xfId="0" applyNumberFormat="1" applyFont="1" applyFill="1" applyAlignment="1" applyProtection="1">
      <alignment horizontal="center"/>
      <protection locked="0"/>
    </xf>
    <xf numFmtId="0" fontId="258" fillId="30" borderId="0" xfId="1" applyFont="1" applyFill="1" applyAlignment="1" applyProtection="1">
      <alignment horizontal="left"/>
      <protection locked="0"/>
    </xf>
    <xf numFmtId="0" fontId="259" fillId="30" borderId="0" xfId="1" applyFont="1" applyFill="1" applyAlignment="1" applyProtection="1">
      <alignment horizontal="left"/>
      <protection locked="0"/>
    </xf>
    <xf numFmtId="164" fontId="262" fillId="17" borderId="0" xfId="0" applyNumberFormat="1" applyFont="1" applyFill="1" applyAlignment="1" applyProtection="1">
      <alignment horizontal="right" vertical="center"/>
      <protection locked="0" hidden="1"/>
    </xf>
    <xf numFmtId="0" fontId="135" fillId="3" borderId="18" xfId="0" applyFont="1" applyFill="1" applyBorder="1" applyAlignment="1" applyProtection="1">
      <alignment horizontal="right" vertical="center"/>
      <protection locked="0" hidden="1"/>
    </xf>
    <xf numFmtId="0" fontId="13" fillId="38" borderId="0" xfId="0" applyFont="1" applyFill="1" applyProtection="1">
      <protection locked="0"/>
    </xf>
    <xf numFmtId="0" fontId="13" fillId="38" borderId="0" xfId="0" applyFont="1" applyFill="1" applyAlignment="1" applyProtection="1">
      <alignment vertical="center" wrapText="1"/>
      <protection locked="0"/>
    </xf>
    <xf numFmtId="0" fontId="261" fillId="38" borderId="0" xfId="0" applyFont="1" applyFill="1" applyAlignment="1" applyProtection="1">
      <alignment horizontal="right"/>
      <protection locked="0"/>
    </xf>
    <xf numFmtId="0" fontId="0" fillId="39" borderId="0" xfId="0" applyFill="1"/>
    <xf numFmtId="0" fontId="264" fillId="13" borderId="0" xfId="0" applyFont="1" applyFill="1" applyAlignment="1" applyProtection="1">
      <alignment vertical="center"/>
      <protection locked="0" hidden="1"/>
    </xf>
    <xf numFmtId="4" fontId="265" fillId="7" borderId="0" xfId="0" quotePrefix="1" applyNumberFormat="1" applyFont="1" applyFill="1" applyAlignment="1" applyProtection="1">
      <alignment horizontal="center" vertical="center"/>
      <protection locked="0" hidden="1"/>
    </xf>
    <xf numFmtId="0" fontId="266" fillId="34" borderId="33" xfId="2" applyFont="1" applyFill="1" applyBorder="1" applyAlignment="1" applyProtection="1">
      <alignment horizontal="left" vertical="center"/>
      <protection locked="0"/>
    </xf>
    <xf numFmtId="0" fontId="267" fillId="37" borderId="0" xfId="0" applyFont="1" applyFill="1" applyAlignment="1" applyProtection="1">
      <alignment horizontal="left" vertical="center"/>
      <protection locked="0"/>
    </xf>
    <xf numFmtId="0" fontId="270" fillId="38" borderId="0" xfId="0" applyFont="1" applyFill="1" applyAlignment="1" applyProtection="1">
      <alignment horizontal="right"/>
      <protection locked="0"/>
    </xf>
    <xf numFmtId="0" fontId="150" fillId="39" borderId="0" xfId="0" applyFont="1" applyFill="1"/>
    <xf numFmtId="0" fontId="206" fillId="39" borderId="34" xfId="0" quotePrefix="1" applyFont="1" applyFill="1" applyBorder="1" applyAlignment="1" applyProtection="1">
      <alignment horizontal="right"/>
      <protection hidden="1"/>
    </xf>
    <xf numFmtId="0" fontId="1" fillId="0" borderId="0" xfId="0" applyFont="1" applyAlignment="1" applyProtection="1">
      <alignment horizontal="left" vertical="center"/>
      <protection locked="0" hidden="1"/>
    </xf>
    <xf numFmtId="164" fontId="271" fillId="4" borderId="0" xfId="0" applyNumberFormat="1" applyFont="1" applyFill="1" applyAlignment="1" applyProtection="1">
      <alignment horizontal="left" vertical="center"/>
      <protection locked="0"/>
    </xf>
    <xf numFmtId="0" fontId="222" fillId="13" borderId="0" xfId="0" applyFont="1" applyFill="1" applyAlignment="1" applyProtection="1">
      <alignment horizontal="right" vertical="center"/>
      <protection locked="0" hidden="1"/>
    </xf>
    <xf numFmtId="10" fontId="224" fillId="13" borderId="0" xfId="0" applyNumberFormat="1" applyFont="1" applyFill="1" applyAlignment="1" applyProtection="1">
      <alignment horizontal="left" vertical="center"/>
      <protection locked="0" hidden="1"/>
    </xf>
    <xf numFmtId="0" fontId="272" fillId="13" borderId="0" xfId="0" applyFont="1" applyFill="1" applyAlignment="1" applyProtection="1">
      <alignment horizontal="left" vertical="center"/>
      <protection locked="0" hidden="1"/>
    </xf>
    <xf numFmtId="0" fontId="274" fillId="13" borderId="0" xfId="0" applyFont="1" applyFill="1" applyAlignment="1" applyProtection="1">
      <alignment horizontal="right" vertical="center"/>
      <protection locked="0" hidden="1"/>
    </xf>
    <xf numFmtId="0" fontId="275" fillId="13" borderId="0" xfId="0" quotePrefix="1" applyFont="1" applyFill="1" applyAlignment="1" applyProtection="1">
      <alignment horizontal="right" vertical="center"/>
      <protection locked="0" hidden="1"/>
    </xf>
    <xf numFmtId="0" fontId="278" fillId="30" borderId="0" xfId="0" applyFont="1" applyFill="1" applyAlignment="1" applyProtection="1">
      <alignment horizontal="left" vertical="center"/>
      <protection locked="0"/>
    </xf>
    <xf numFmtId="0" fontId="279" fillId="38" borderId="0" xfId="0" applyFont="1" applyFill="1" applyAlignment="1" applyProtection="1">
      <alignment vertical="center"/>
      <protection locked="0"/>
    </xf>
    <xf numFmtId="0" fontId="281" fillId="3" borderId="18" xfId="0" applyFont="1" applyFill="1" applyBorder="1" applyAlignment="1" applyProtection="1">
      <alignment horizontal="left" vertical="center"/>
      <protection locked="0" hidden="1"/>
    </xf>
    <xf numFmtId="0" fontId="282" fillId="13" borderId="0" xfId="0" applyFont="1" applyFill="1" applyAlignment="1" applyProtection="1">
      <alignment vertical="center"/>
      <protection locked="0" hidden="1"/>
    </xf>
    <xf numFmtId="0" fontId="164" fillId="22" borderId="21" xfId="0" applyFont="1" applyFill="1" applyBorder="1" applyAlignment="1" applyProtection="1">
      <alignment horizontal="right" vertical="center"/>
      <protection locked="0"/>
    </xf>
    <xf numFmtId="0" fontId="148" fillId="17" borderId="0" xfId="0" applyFont="1" applyFill="1" applyAlignment="1" applyProtection="1">
      <alignment horizontal="right" vertical="center"/>
      <protection locked="0" hidden="1"/>
    </xf>
    <xf numFmtId="0" fontId="32" fillId="14" borderId="0" xfId="1" quotePrefix="1" applyFont="1" applyFill="1" applyAlignment="1" applyProtection="1">
      <alignment horizontal="right" vertical="center" wrapText="1"/>
      <protection locked="0"/>
    </xf>
    <xf numFmtId="0" fontId="13" fillId="31" borderId="0" xfId="0" applyFont="1" applyFill="1" applyAlignment="1" applyProtection="1">
      <alignment horizontal="right"/>
      <protection locked="0"/>
    </xf>
    <xf numFmtId="0" fontId="39" fillId="30" borderId="0" xfId="0" applyFont="1" applyFill="1" applyAlignment="1" applyProtection="1">
      <alignment horizontal="right"/>
      <protection locked="0"/>
    </xf>
    <xf numFmtId="164" fontId="134" fillId="37" borderId="0" xfId="0" applyNumberFormat="1" applyFont="1" applyFill="1" applyAlignment="1" applyProtection="1">
      <alignment horizontal="right" vertical="center"/>
      <protection locked="0"/>
    </xf>
    <xf numFmtId="0" fontId="13" fillId="3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2" fillId="13" borderId="35" xfId="0" applyFont="1" applyFill="1" applyBorder="1" applyAlignment="1" applyProtection="1">
      <alignment horizontal="right" vertical="center"/>
      <protection locked="0" hidden="1"/>
    </xf>
    <xf numFmtId="164" fontId="73" fillId="13" borderId="35" xfId="0" applyNumberFormat="1" applyFont="1" applyFill="1" applyBorder="1" applyAlignment="1" applyProtection="1">
      <alignment horizontal="right" vertical="center"/>
      <protection locked="0" hidden="1"/>
    </xf>
    <xf numFmtId="164" fontId="50" fillId="13" borderId="35" xfId="0" applyNumberFormat="1" applyFont="1" applyFill="1" applyBorder="1" applyAlignment="1" applyProtection="1">
      <alignment horizontal="right" vertical="center"/>
      <protection locked="0" hidden="1"/>
    </xf>
    <xf numFmtId="164" fontId="62" fillId="13" borderId="35" xfId="0" applyNumberFormat="1" applyFont="1" applyFill="1" applyBorder="1" applyAlignment="1" applyProtection="1">
      <alignment horizontal="right" vertical="center"/>
      <protection locked="0" hidden="1"/>
    </xf>
    <xf numFmtId="0" fontId="135" fillId="13" borderId="35" xfId="0" applyFont="1" applyFill="1" applyBorder="1" applyAlignment="1" applyProtection="1">
      <alignment horizontal="right" vertical="center"/>
      <protection locked="0" hidden="1"/>
    </xf>
    <xf numFmtId="0" fontId="201" fillId="13" borderId="35" xfId="0" applyFont="1" applyFill="1" applyBorder="1" applyAlignment="1" applyProtection="1">
      <alignment horizontal="right" vertical="center" wrapText="1"/>
      <protection locked="0" hidden="1"/>
    </xf>
    <xf numFmtId="164" fontId="204" fillId="13" borderId="35" xfId="0" applyNumberFormat="1" applyFont="1" applyFill="1" applyBorder="1" applyAlignment="1" applyProtection="1">
      <alignment horizontal="right" vertical="center"/>
      <protection locked="0" hidden="1"/>
    </xf>
    <xf numFmtId="0" fontId="7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238" fillId="17" borderId="0" xfId="0" quotePrefix="1" applyFont="1" applyFill="1" applyAlignment="1" applyProtection="1">
      <alignment horizontal="right" vertical="center"/>
      <protection locked="0" hidden="1"/>
    </xf>
    <xf numFmtId="0" fontId="2" fillId="0" borderId="0" xfId="0" applyFont="1" applyAlignment="1" applyProtection="1">
      <alignment horizontal="right" vertical="center"/>
      <protection locked="0" hidden="1"/>
    </xf>
    <xf numFmtId="164" fontId="2" fillId="3" borderId="0" xfId="0" applyNumberFormat="1" applyFont="1" applyFill="1" applyAlignment="1" applyProtection="1">
      <alignment horizontal="right" vertical="center"/>
      <protection locked="0" hidden="1"/>
    </xf>
    <xf numFmtId="0" fontId="123" fillId="0" borderId="0" xfId="1" applyFont="1" applyAlignment="1" applyProtection="1">
      <alignment horizontal="right" vertical="center"/>
      <protection locked="0" hidden="1"/>
    </xf>
    <xf numFmtId="0" fontId="220" fillId="13" borderId="0" xfId="0" quotePrefix="1" applyFont="1" applyFill="1" applyAlignment="1" applyProtection="1">
      <alignment horizontal="right" vertical="center"/>
      <protection locked="0" hidden="1"/>
    </xf>
    <xf numFmtId="0" fontId="153" fillId="0" borderId="0" xfId="0" applyFont="1" applyAlignment="1" applyProtection="1">
      <alignment horizontal="right" vertical="center"/>
      <protection locked="0" hidden="1"/>
    </xf>
    <xf numFmtId="0" fontId="137" fillId="31" borderId="0" xfId="0" applyFont="1" applyFill="1" applyAlignment="1" applyProtection="1">
      <alignment horizontal="right"/>
      <protection locked="0"/>
    </xf>
    <xf numFmtId="164" fontId="248" fillId="37" borderId="0" xfId="0" applyNumberFormat="1" applyFont="1" applyFill="1" applyAlignment="1" applyProtection="1">
      <alignment horizontal="right" vertical="center"/>
      <protection locked="0"/>
    </xf>
    <xf numFmtId="0" fontId="136" fillId="0" borderId="0" xfId="0" applyFont="1" applyAlignment="1" applyProtection="1">
      <alignment horizontal="right" vertical="center"/>
      <protection locked="0"/>
    </xf>
    <xf numFmtId="0" fontId="191" fillId="13" borderId="1" xfId="0" applyFont="1" applyFill="1" applyBorder="1" applyAlignment="1" applyProtection="1">
      <alignment horizontal="right" vertical="center"/>
      <protection locked="0" hidden="1"/>
    </xf>
    <xf numFmtId="0" fontId="129" fillId="13" borderId="0" xfId="0" applyFont="1" applyFill="1" applyAlignment="1" applyProtection="1">
      <alignment horizontal="right" vertical="center"/>
      <protection locked="0" hidden="1"/>
    </xf>
    <xf numFmtId="0" fontId="135" fillId="0" borderId="0" xfId="0" applyFont="1" applyAlignment="1" applyProtection="1">
      <alignment horizontal="right" vertical="center"/>
      <protection locked="0"/>
    </xf>
    <xf numFmtId="0" fontId="134" fillId="0" borderId="0" xfId="0" applyFont="1" applyAlignment="1" applyProtection="1">
      <alignment horizontal="right" vertical="center"/>
      <protection locked="0"/>
    </xf>
    <xf numFmtId="0" fontId="134" fillId="0" borderId="0" xfId="0" applyFont="1" applyAlignment="1" applyProtection="1">
      <alignment horizontal="right" vertical="center"/>
      <protection locked="0" hidden="1"/>
    </xf>
    <xf numFmtId="164" fontId="134" fillId="3" borderId="0" xfId="0" applyNumberFormat="1" applyFont="1" applyFill="1" applyAlignment="1" applyProtection="1">
      <alignment horizontal="right" vertical="center"/>
      <protection locked="0" hidden="1"/>
    </xf>
    <xf numFmtId="0" fontId="4" fillId="13" borderId="0" xfId="0" quotePrefix="1" applyFont="1" applyFill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right" vertical="center"/>
      <protection locked="0" hidden="1"/>
    </xf>
    <xf numFmtId="0" fontId="60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top" wrapText="1"/>
      <protection locked="0" hidden="1"/>
    </xf>
    <xf numFmtId="0" fontId="13" fillId="3" borderId="0" xfId="0" applyFont="1" applyFill="1"/>
    <xf numFmtId="0" fontId="13" fillId="3" borderId="0" xfId="0" applyFont="1" applyFill="1" applyAlignment="1" applyProtection="1">
      <alignment horizontal="right" vertical="center"/>
      <protection locked="0" hidden="1"/>
    </xf>
    <xf numFmtId="0" fontId="144" fillId="34" borderId="37" xfId="2" applyFont="1" applyFill="1" applyBorder="1" applyAlignment="1" applyProtection="1">
      <alignment horizontal="right" vertical="center"/>
      <protection locked="0"/>
    </xf>
    <xf numFmtId="0" fontId="260" fillId="30" borderId="0" xfId="1" applyFont="1" applyFill="1" applyAlignment="1" applyProtection="1">
      <alignment horizontal="left"/>
      <protection locked="0"/>
    </xf>
    <xf numFmtId="0" fontId="0" fillId="38" borderId="0" xfId="0" applyFill="1" applyProtection="1">
      <protection locked="0"/>
    </xf>
    <xf numFmtId="0" fontId="284" fillId="18" borderId="0" xfId="0" applyFont="1" applyFill="1" applyAlignment="1" applyProtection="1">
      <alignment vertical="center"/>
      <protection locked="0"/>
    </xf>
    <xf numFmtId="164" fontId="53" fillId="3" borderId="38" xfId="0" quotePrefix="1" applyNumberFormat="1" applyFont="1" applyFill="1" applyBorder="1" applyAlignment="1" applyProtection="1">
      <alignment horizontal="center" vertical="center"/>
      <protection locked="0" hidden="1"/>
    </xf>
    <xf numFmtId="0" fontId="286" fillId="42" borderId="0" xfId="0" quotePrefix="1" applyFont="1" applyFill="1" applyAlignment="1" applyProtection="1">
      <alignment vertical="center"/>
      <protection locked="0" hidden="1"/>
    </xf>
    <xf numFmtId="0" fontId="2" fillId="42" borderId="0" xfId="0" quotePrefix="1" applyFont="1" applyFill="1" applyAlignment="1" applyProtection="1">
      <alignment vertical="center"/>
      <protection locked="0" hidden="1"/>
    </xf>
    <xf numFmtId="0" fontId="8" fillId="42" borderId="0" xfId="0" applyFont="1" applyFill="1" applyAlignment="1" applyProtection="1">
      <alignment vertical="center"/>
      <protection locked="0" hidden="1"/>
    </xf>
    <xf numFmtId="0" fontId="8" fillId="42" borderId="0" xfId="0" applyFont="1" applyFill="1" applyAlignment="1" applyProtection="1">
      <alignment horizontal="left" vertical="center"/>
      <protection locked="0" hidden="1"/>
    </xf>
    <xf numFmtId="0" fontId="0" fillId="42" borderId="0" xfId="0" applyFill="1" applyProtection="1">
      <protection locked="0" hidden="1"/>
    </xf>
    <xf numFmtId="0" fontId="67" fillId="42" borderId="0" xfId="0" applyFont="1" applyFill="1" applyAlignment="1" applyProtection="1">
      <alignment vertical="center"/>
      <protection locked="0" hidden="1"/>
    </xf>
    <xf numFmtId="0" fontId="289" fillId="42" borderId="0" xfId="0" quotePrefix="1" applyFont="1" applyFill="1" applyAlignment="1" applyProtection="1">
      <alignment vertical="center"/>
      <protection locked="0" hidden="1"/>
    </xf>
    <xf numFmtId="0" fontId="289" fillId="42" borderId="0" xfId="0" applyFont="1" applyFill="1" applyAlignment="1" applyProtection="1">
      <alignment horizontal="center" vertical="center"/>
      <protection locked="0" hidden="1"/>
    </xf>
    <xf numFmtId="0" fontId="0" fillId="42" borderId="0" xfId="0" applyFill="1" applyAlignment="1" applyProtection="1">
      <alignment horizontal="center"/>
      <protection locked="0" hidden="1"/>
    </xf>
    <xf numFmtId="0" fontId="57" fillId="42" borderId="0" xfId="0" applyFont="1" applyFill="1" applyAlignment="1" applyProtection="1">
      <alignment horizontal="right"/>
      <protection locked="0" hidden="1"/>
    </xf>
    <xf numFmtId="0" fontId="48" fillId="42" borderId="0" xfId="0" quotePrefix="1" applyFont="1" applyFill="1" applyAlignment="1" applyProtection="1">
      <alignment horizontal="center" vertical="center"/>
      <protection locked="0" hidden="1"/>
    </xf>
    <xf numFmtId="0" fontId="289" fillId="42" borderId="0" xfId="0" quotePrefix="1" applyFont="1" applyFill="1" applyAlignment="1" applyProtection="1">
      <alignment horizontal="center" vertical="center"/>
      <protection locked="0" hidden="1"/>
    </xf>
    <xf numFmtId="0" fontId="289" fillId="42" borderId="0" xfId="0" quotePrefix="1" applyFont="1" applyFill="1" applyAlignment="1" applyProtection="1">
      <alignment horizontal="left" vertical="center"/>
      <protection hidden="1"/>
    </xf>
    <xf numFmtId="0" fontId="132" fillId="42" borderId="0" xfId="0" applyFont="1" applyFill="1" applyAlignment="1" applyProtection="1">
      <alignment vertical="center"/>
      <protection locked="0" hidden="1"/>
    </xf>
    <xf numFmtId="0" fontId="290" fillId="42" borderId="0" xfId="0" quotePrefix="1" applyFont="1" applyFill="1" applyAlignment="1" applyProtection="1">
      <alignment horizontal="right" vertical="center"/>
      <protection locked="0" hidden="1"/>
    </xf>
    <xf numFmtId="0" fontId="291" fillId="42" borderId="0" xfId="0" quotePrefix="1" applyFont="1" applyFill="1" applyAlignment="1" applyProtection="1">
      <alignment horizontal="left" vertical="center"/>
      <protection locked="0" hidden="1"/>
    </xf>
    <xf numFmtId="0" fontId="289" fillId="42" borderId="0" xfId="0" quotePrefix="1" applyFont="1" applyFill="1" applyAlignment="1" applyProtection="1">
      <alignment horizontal="left" vertical="center"/>
      <protection locked="0" hidden="1"/>
    </xf>
    <xf numFmtId="0" fontId="292" fillId="42" borderId="0" xfId="0" quotePrefix="1" applyFont="1" applyFill="1" applyAlignment="1" applyProtection="1">
      <alignment horizontal="right" vertical="center"/>
      <protection locked="0" hidden="1"/>
    </xf>
    <xf numFmtId="0" fontId="87" fillId="42" borderId="0" xfId="0" quotePrefix="1" applyFont="1" applyFill="1" applyAlignment="1" applyProtection="1">
      <alignment horizontal="left" vertical="center"/>
      <protection locked="0" hidden="1"/>
    </xf>
    <xf numFmtId="0" fontId="297" fillId="42" borderId="0" xfId="0" quotePrefix="1" applyFont="1" applyFill="1" applyAlignment="1" applyProtection="1">
      <alignment horizontal="center" vertical="center"/>
      <protection locked="0" hidden="1"/>
    </xf>
    <xf numFmtId="0" fontId="299" fillId="40" borderId="0" xfId="0" applyFont="1" applyFill="1" applyAlignment="1" applyProtection="1">
      <alignment horizontal="center" vertical="center"/>
      <protection hidden="1"/>
    </xf>
    <xf numFmtId="0" fontId="307" fillId="21" borderId="0" xfId="0" quotePrefix="1" applyFont="1" applyFill="1" applyAlignment="1" applyProtection="1">
      <alignment horizontal="right" vertical="center"/>
      <protection locked="0" hidden="1"/>
    </xf>
    <xf numFmtId="0" fontId="308" fillId="19" borderId="0" xfId="0" quotePrefix="1" applyFont="1" applyFill="1" applyAlignment="1" applyProtection="1">
      <alignment horizontal="right" vertical="center"/>
      <protection locked="0" hidden="1"/>
    </xf>
    <xf numFmtId="0" fontId="309" fillId="30" borderId="23" xfId="0" quotePrefix="1" applyFont="1" applyFill="1" applyBorder="1" applyAlignment="1" applyProtection="1">
      <alignment horizontal="right"/>
      <protection locked="0"/>
    </xf>
    <xf numFmtId="0" fontId="311" fillId="42" borderId="0" xfId="0" quotePrefix="1" applyFont="1" applyFill="1" applyAlignment="1" applyProtection="1">
      <alignment horizontal="right" vertical="center"/>
      <protection locked="0" hidden="1"/>
    </xf>
    <xf numFmtId="0" fontId="312" fillId="13" borderId="0" xfId="1" applyFont="1" applyFill="1" applyBorder="1" applyAlignment="1" applyProtection="1">
      <alignment horizontal="right" vertical="center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164" fontId="59" fillId="3" borderId="0" xfId="0" applyNumberFormat="1" applyFont="1" applyFill="1" applyAlignment="1" applyProtection="1">
      <alignment vertical="center"/>
      <protection locked="0" hidden="1"/>
    </xf>
    <xf numFmtId="164" fontId="318" fillId="3" borderId="0" xfId="0" applyNumberFormat="1" applyFont="1" applyFill="1" applyAlignment="1" applyProtection="1">
      <alignment horizontal="left" vertical="center"/>
      <protection locked="0" hidden="1"/>
    </xf>
    <xf numFmtId="9" fontId="319" fillId="3" borderId="0" xfId="1" applyNumberFormat="1" applyFont="1" applyFill="1" applyBorder="1" applyAlignment="1" applyProtection="1">
      <alignment horizontal="center" vertical="center"/>
      <protection locked="0" hidden="1"/>
    </xf>
    <xf numFmtId="0" fontId="320" fillId="0" borderId="0" xfId="0" applyFont="1" applyAlignment="1" applyProtection="1">
      <alignment horizontal="left" vertical="center"/>
      <protection locked="0" hidden="1"/>
    </xf>
    <xf numFmtId="0" fontId="321" fillId="13" borderId="0" xfId="0" quotePrefix="1" applyFont="1" applyFill="1" applyAlignment="1" applyProtection="1">
      <alignment horizontal="left" vertical="center"/>
      <protection locked="0" hidden="1"/>
    </xf>
    <xf numFmtId="0" fontId="319" fillId="3" borderId="0" xfId="1" applyFont="1" applyFill="1" applyAlignment="1" applyProtection="1">
      <alignment vertical="center"/>
      <protection locked="0" hidden="1"/>
    </xf>
    <xf numFmtId="0" fontId="321" fillId="13" borderId="0" xfId="0" quotePrefix="1" applyFont="1" applyFill="1" applyAlignment="1" applyProtection="1">
      <alignment horizontal="center" vertical="center"/>
      <protection locked="0" hidden="1"/>
    </xf>
    <xf numFmtId="0" fontId="327" fillId="13" borderId="0" xfId="0" quotePrefix="1" applyFont="1" applyFill="1" applyAlignment="1" applyProtection="1">
      <alignment horizontal="left" vertical="center"/>
      <protection hidden="1"/>
    </xf>
    <xf numFmtId="0" fontId="329" fillId="13" borderId="0" xfId="0" quotePrefix="1" applyFont="1" applyFill="1" applyAlignment="1" applyProtection="1">
      <alignment horizontal="right" vertical="center"/>
      <protection locked="0" hidden="1"/>
    </xf>
    <xf numFmtId="164" fontId="139" fillId="3" borderId="0" xfId="0" applyNumberFormat="1" applyFont="1" applyFill="1" applyAlignment="1" applyProtection="1">
      <alignment horizontal="left" vertical="center"/>
      <protection locked="0" hidden="1"/>
    </xf>
    <xf numFmtId="0" fontId="332" fillId="13" borderId="0" xfId="0" applyFont="1" applyFill="1" applyAlignment="1" applyProtection="1">
      <alignment vertical="center"/>
      <protection locked="0" hidden="1"/>
    </xf>
    <xf numFmtId="0" fontId="332" fillId="13" borderId="0" xfId="0" applyFont="1" applyFill="1" applyAlignment="1" applyProtection="1">
      <alignment horizontal="left" vertical="center"/>
      <protection locked="0" hidden="1"/>
    </xf>
    <xf numFmtId="0" fontId="335" fillId="13" borderId="0" xfId="0" applyFont="1" applyFill="1" applyAlignment="1" applyProtection="1">
      <alignment vertical="center"/>
      <protection locked="0" hidden="1"/>
    </xf>
    <xf numFmtId="0" fontId="336" fillId="13" borderId="0" xfId="0" applyFont="1" applyFill="1" applyAlignment="1" applyProtection="1">
      <alignment horizontal="left" vertical="center"/>
      <protection locked="0" hidden="1"/>
    </xf>
    <xf numFmtId="0" fontId="337" fillId="13" borderId="0" xfId="0" quotePrefix="1" applyFont="1" applyFill="1" applyAlignment="1" applyProtection="1">
      <alignment horizontal="left" vertical="center"/>
      <protection locked="0" hidden="1"/>
    </xf>
    <xf numFmtId="0" fontId="321" fillId="13" borderId="0" xfId="0" applyFont="1" applyFill="1" applyAlignment="1" applyProtection="1">
      <alignment horizontal="left" vertical="center"/>
      <protection locked="0" hidden="1"/>
    </xf>
    <xf numFmtId="164" fontId="318" fillId="13" borderId="0" xfId="0" applyNumberFormat="1" applyFont="1" applyFill="1" applyAlignment="1" applyProtection="1">
      <alignment horizontal="left" vertical="center"/>
      <protection locked="0" hidden="1"/>
    </xf>
    <xf numFmtId="0" fontId="338" fillId="13" borderId="0" xfId="0" applyFont="1" applyFill="1" applyAlignment="1" applyProtection="1">
      <alignment horizontal="center" vertical="center"/>
      <protection locked="0" hidden="1"/>
    </xf>
    <xf numFmtId="0" fontId="342" fillId="17" borderId="0" xfId="0" applyFont="1" applyFill="1" applyAlignment="1" applyProtection="1">
      <alignment horizontal="right" vertical="center"/>
      <protection locked="0" hidden="1"/>
    </xf>
    <xf numFmtId="164" fontId="343" fillId="17" borderId="0" xfId="0" applyNumberFormat="1" applyFont="1" applyFill="1" applyAlignment="1" applyProtection="1">
      <alignment horizontal="left" vertical="center"/>
      <protection locked="0" hidden="1"/>
    </xf>
    <xf numFmtId="4" fontId="342" fillId="17" borderId="0" xfId="0" quotePrefix="1" applyNumberFormat="1" applyFont="1" applyFill="1" applyAlignment="1" applyProtection="1">
      <alignment horizontal="left" vertical="center"/>
      <protection locked="0" hidden="1"/>
    </xf>
    <xf numFmtId="0" fontId="344" fillId="6" borderId="0" xfId="0" quotePrefix="1" applyFont="1" applyFill="1" applyAlignment="1" applyProtection="1">
      <alignment vertical="center"/>
      <protection locked="0" hidden="1"/>
    </xf>
    <xf numFmtId="0" fontId="320" fillId="6" borderId="6" xfId="0" quotePrefix="1" applyFont="1" applyFill="1" applyBorder="1" applyAlignment="1" applyProtection="1">
      <alignment vertical="center"/>
      <protection locked="0" hidden="1"/>
    </xf>
    <xf numFmtId="0" fontId="202" fillId="6" borderId="6" xfId="0" quotePrefix="1" applyFont="1" applyFill="1" applyBorder="1" applyAlignment="1" applyProtection="1">
      <alignment vertical="center"/>
      <protection locked="0" hidden="1"/>
    </xf>
    <xf numFmtId="0" fontId="321" fillId="6" borderId="6" xfId="0" quotePrefix="1" applyFont="1" applyFill="1" applyBorder="1" applyAlignment="1" applyProtection="1">
      <alignment horizontal="right" vertical="center"/>
      <protection locked="0" hidden="1"/>
    </xf>
    <xf numFmtId="0" fontId="344" fillId="5" borderId="0" xfId="0" quotePrefix="1" applyFont="1" applyFill="1" applyAlignment="1" applyProtection="1">
      <alignment vertical="center"/>
      <protection locked="0"/>
    </xf>
    <xf numFmtId="164" fontId="318" fillId="13" borderId="0" xfId="0" quotePrefix="1" applyNumberFormat="1" applyFont="1" applyFill="1" applyAlignment="1" applyProtection="1">
      <alignment horizontal="left" vertical="center"/>
      <protection locked="0" hidden="1"/>
    </xf>
    <xf numFmtId="164" fontId="348" fillId="43" borderId="37" xfId="0" applyNumberFormat="1" applyFont="1" applyFill="1" applyBorder="1" applyAlignment="1" applyProtection="1">
      <alignment horizontal="center" vertical="center"/>
      <protection locked="0"/>
    </xf>
    <xf numFmtId="0" fontId="350" fillId="45" borderId="33" xfId="2" applyFont="1" applyFill="1" applyBorder="1" applyAlignment="1" applyProtection="1">
      <alignment horizontal="left" vertical="center"/>
      <protection locked="0"/>
    </xf>
    <xf numFmtId="0" fontId="3" fillId="45" borderId="33" xfId="2" applyFont="1" applyFill="1" applyBorder="1" applyAlignment="1" applyProtection="1">
      <alignment vertical="center"/>
      <protection locked="0"/>
    </xf>
    <xf numFmtId="0" fontId="351" fillId="45" borderId="37" xfId="2" applyFont="1" applyFill="1" applyBorder="1" applyAlignment="1" applyProtection="1">
      <alignment vertical="center"/>
      <protection locked="0"/>
    </xf>
    <xf numFmtId="0" fontId="3" fillId="45" borderId="37" xfId="2" applyFont="1" applyFill="1" applyBorder="1" applyAlignment="1" applyProtection="1">
      <alignment vertical="center"/>
      <protection locked="0"/>
    </xf>
    <xf numFmtId="0" fontId="245" fillId="45" borderId="33" xfId="0" applyFont="1" applyFill="1" applyBorder="1" applyAlignment="1" applyProtection="1">
      <alignment vertical="center"/>
      <protection locked="0"/>
    </xf>
    <xf numFmtId="0" fontId="129" fillId="45" borderId="33" xfId="0" applyFont="1" applyFill="1" applyBorder="1" applyAlignment="1" applyProtection="1">
      <alignment vertical="center"/>
      <protection locked="0"/>
    </xf>
    <xf numFmtId="0" fontId="352" fillId="45" borderId="33" xfId="0" applyFont="1" applyFill="1" applyBorder="1" applyAlignment="1" applyProtection="1">
      <alignment horizontal="right" vertical="center"/>
      <protection locked="0"/>
    </xf>
    <xf numFmtId="0" fontId="150" fillId="45" borderId="37" xfId="0" applyFont="1" applyFill="1" applyBorder="1" applyAlignment="1" applyProtection="1">
      <alignment horizontal="left" vertical="center"/>
      <protection locked="0"/>
    </xf>
    <xf numFmtId="0" fontId="8" fillId="45" borderId="33" xfId="0" applyFont="1" applyFill="1" applyBorder="1" applyAlignment="1" applyProtection="1">
      <alignment horizontal="left" vertical="center"/>
      <protection locked="0"/>
    </xf>
    <xf numFmtId="164" fontId="3" fillId="45" borderId="33" xfId="0" applyNumberFormat="1" applyFont="1" applyFill="1" applyBorder="1" applyAlignment="1" applyProtection="1">
      <alignment horizontal="right" vertical="center"/>
      <protection locked="0"/>
    </xf>
    <xf numFmtId="164" fontId="353" fillId="45" borderId="33" xfId="0" applyNumberFormat="1" applyFont="1" applyFill="1" applyBorder="1" applyAlignment="1" applyProtection="1">
      <alignment horizontal="right" vertical="center"/>
      <protection locked="0"/>
    </xf>
    <xf numFmtId="0" fontId="8" fillId="11" borderId="0" xfId="0" applyFont="1" applyFill="1" applyAlignment="1" applyProtection="1">
      <alignment vertical="center"/>
      <protection locked="0"/>
    </xf>
    <xf numFmtId="0" fontId="129" fillId="11" borderId="0" xfId="0" applyFont="1" applyFill="1" applyAlignment="1" applyProtection="1">
      <alignment horizontal="left" vertical="center"/>
      <protection locked="0"/>
    </xf>
    <xf numFmtId="0" fontId="257" fillId="11" borderId="0" xfId="0" applyFont="1" applyFill="1" applyAlignment="1" applyProtection="1">
      <alignment horizontal="left" vertical="center" wrapText="1"/>
      <protection locked="0"/>
    </xf>
    <xf numFmtId="0" fontId="1" fillId="11" borderId="0" xfId="0" applyFont="1" applyFill="1" applyAlignment="1" applyProtection="1">
      <alignment horizontal="center" vertical="center"/>
      <protection locked="0"/>
    </xf>
    <xf numFmtId="164" fontId="1" fillId="11" borderId="0" xfId="0" applyNumberFormat="1" applyFont="1" applyFill="1" applyAlignment="1" applyProtection="1">
      <alignment horizontal="left" vertical="center"/>
      <protection locked="0"/>
    </xf>
    <xf numFmtId="9" fontId="247" fillId="11" borderId="0" xfId="0" applyNumberFormat="1" applyFont="1" applyFill="1" applyAlignment="1" applyProtection="1">
      <alignment horizontal="center" vertical="center"/>
      <protection locked="0"/>
    </xf>
    <xf numFmtId="164" fontId="354" fillId="11" borderId="0" xfId="0" applyNumberFormat="1" applyFont="1" applyFill="1" applyAlignment="1" applyProtection="1">
      <alignment horizontal="left" vertical="center"/>
      <protection locked="0"/>
    </xf>
    <xf numFmtId="0" fontId="267" fillId="46" borderId="0" xfId="0" applyFont="1" applyFill="1" applyAlignment="1" applyProtection="1">
      <alignment horizontal="left" vertical="center"/>
      <protection locked="0"/>
    </xf>
    <xf numFmtId="0" fontId="356" fillId="46" borderId="0" xfId="0" applyFont="1" applyFill="1" applyAlignment="1" applyProtection="1">
      <alignment horizontal="left" vertical="center"/>
      <protection locked="0"/>
    </xf>
    <xf numFmtId="0" fontId="357" fillId="46" borderId="0" xfId="0" applyFont="1" applyFill="1" applyAlignment="1" applyProtection="1">
      <alignment horizontal="center" vertical="center"/>
      <protection locked="0"/>
    </xf>
    <xf numFmtId="0" fontId="358" fillId="46" borderId="0" xfId="0" applyFont="1" applyFill="1" applyAlignment="1" applyProtection="1">
      <alignment vertical="center"/>
      <protection locked="0"/>
    </xf>
    <xf numFmtId="0" fontId="358" fillId="46" borderId="0" xfId="0" applyFont="1" applyFill="1" applyAlignment="1" applyProtection="1">
      <alignment horizontal="center" vertical="center"/>
      <protection locked="0"/>
    </xf>
    <xf numFmtId="0" fontId="359" fillId="46" borderId="0" xfId="0" applyFont="1" applyFill="1" applyAlignment="1" applyProtection="1">
      <alignment vertical="center"/>
      <protection locked="0"/>
    </xf>
    <xf numFmtId="0" fontId="129" fillId="46" borderId="0" xfId="0" applyFont="1" applyFill="1" applyAlignment="1" applyProtection="1">
      <alignment vertical="center"/>
      <protection locked="0"/>
    </xf>
    <xf numFmtId="164" fontId="127" fillId="46" borderId="0" xfId="0" applyNumberFormat="1" applyFont="1" applyFill="1" applyAlignment="1" applyProtection="1">
      <alignment horizontal="left" vertical="center"/>
      <protection locked="0"/>
    </xf>
    <xf numFmtId="164" fontId="134" fillId="46" borderId="0" xfId="0" applyNumberFormat="1" applyFont="1" applyFill="1" applyAlignment="1" applyProtection="1">
      <alignment horizontal="left" vertical="center"/>
      <protection locked="0"/>
    </xf>
    <xf numFmtId="164" fontId="134" fillId="46" borderId="0" xfId="0" applyNumberFormat="1" applyFont="1" applyFill="1" applyAlignment="1" applyProtection="1">
      <alignment horizontal="right" vertical="center"/>
      <protection locked="0"/>
    </xf>
    <xf numFmtId="0" fontId="360" fillId="46" borderId="0" xfId="0" applyFont="1" applyFill="1" applyAlignment="1" applyProtection="1">
      <alignment horizontal="right" vertical="center"/>
      <protection locked="0"/>
    </xf>
    <xf numFmtId="0" fontId="13" fillId="0" borderId="0" xfId="0" applyFont="1" applyAlignment="1" applyProtection="1">
      <alignment vertical="top" wrapText="1"/>
      <protection locked="0" hidden="1"/>
    </xf>
    <xf numFmtId="0" fontId="363" fillId="0" borderId="0" xfId="0" applyFont="1" applyAlignment="1" applyProtection="1">
      <alignment vertical="center"/>
      <protection locked="0" hidden="1"/>
    </xf>
    <xf numFmtId="0" fontId="364" fillId="0" borderId="0" xfId="0" applyFont="1" applyAlignment="1" applyProtection="1">
      <alignment vertical="center"/>
      <protection locked="0" hidden="1"/>
    </xf>
    <xf numFmtId="0" fontId="364" fillId="3" borderId="0" xfId="0" applyFont="1" applyFill="1" applyAlignment="1" applyProtection="1">
      <alignment vertical="center"/>
      <protection locked="0" hidden="1"/>
    </xf>
    <xf numFmtId="0" fontId="362" fillId="0" borderId="0" xfId="0" applyFont="1" applyAlignment="1" applyProtection="1">
      <alignment vertical="top" wrapText="1"/>
      <protection locked="0" hidden="1"/>
    </xf>
    <xf numFmtId="0" fontId="361" fillId="0" borderId="0" xfId="0" applyFont="1" applyAlignment="1" applyProtection="1">
      <alignment vertical="center"/>
      <protection locked="0" hidden="1"/>
    </xf>
    <xf numFmtId="0" fontId="361" fillId="3" borderId="0" xfId="0" applyFont="1" applyFill="1" applyAlignment="1" applyProtection="1">
      <alignment vertical="center"/>
      <protection locked="0" hidden="1"/>
    </xf>
    <xf numFmtId="0" fontId="361" fillId="3" borderId="0" xfId="1" quotePrefix="1" applyFont="1" applyFill="1" applyAlignment="1" applyProtection="1">
      <alignment vertical="top"/>
      <protection locked="0" hidden="1"/>
    </xf>
    <xf numFmtId="0" fontId="158" fillId="42" borderId="0" xfId="0" quotePrefix="1" applyFont="1" applyFill="1" applyAlignment="1" applyProtection="1">
      <alignment horizontal="left" vertical="center"/>
      <protection locked="0"/>
    </xf>
    <xf numFmtId="0" fontId="161" fillId="42" borderId="0" xfId="0" quotePrefix="1" applyFont="1" applyFill="1" applyAlignment="1" applyProtection="1">
      <alignment horizontal="left" vertical="center"/>
      <protection locked="0"/>
    </xf>
    <xf numFmtId="0" fontId="86" fillId="42" borderId="0" xfId="0" quotePrefix="1" applyFont="1" applyFill="1" applyAlignment="1" applyProtection="1">
      <alignment horizontal="left" vertical="center"/>
      <protection locked="0"/>
    </xf>
    <xf numFmtId="0" fontId="289" fillId="42" borderId="0" xfId="0" quotePrefix="1" applyFont="1" applyFill="1" applyAlignment="1" applyProtection="1">
      <alignment horizontal="left" vertical="center"/>
      <protection locked="0"/>
    </xf>
    <xf numFmtId="0" fontId="0" fillId="44" borderId="0" xfId="0" applyFill="1"/>
    <xf numFmtId="0" fontId="0" fillId="44" borderId="42" xfId="0" applyFill="1" applyBorder="1" applyAlignment="1">
      <alignment horizontal="center"/>
    </xf>
    <xf numFmtId="0" fontId="35" fillId="44" borderId="0" xfId="0" quotePrefix="1" applyFont="1" applyFill="1" applyAlignment="1" applyProtection="1">
      <alignment vertical="center"/>
      <protection locked="0" hidden="1"/>
    </xf>
    <xf numFmtId="0" fontId="35" fillId="44" borderId="42" xfId="0" quotePrefix="1" applyFont="1" applyFill="1" applyBorder="1" applyAlignment="1" applyProtection="1">
      <alignment vertical="center"/>
      <protection locked="0" hidden="1"/>
    </xf>
    <xf numFmtId="0" fontId="154" fillId="44" borderId="43" xfId="0" quotePrefix="1" applyFont="1" applyFill="1" applyBorder="1" applyAlignment="1" applyProtection="1">
      <alignment horizontal="right"/>
      <protection locked="0" hidden="1"/>
    </xf>
    <xf numFmtId="0" fontId="155" fillId="44" borderId="0" xfId="0" applyFont="1" applyFill="1" applyAlignment="1" applyProtection="1">
      <alignment horizontal="left" vertical="center"/>
      <protection locked="0" hidden="1"/>
    </xf>
    <xf numFmtId="0" fontId="156" fillId="44" borderId="0" xfId="0" applyFont="1" applyFill="1" applyAlignment="1" applyProtection="1">
      <alignment horizontal="left" vertical="center"/>
      <protection locked="0" hidden="1"/>
    </xf>
    <xf numFmtId="0" fontId="0" fillId="44" borderId="43" xfId="0" applyFill="1" applyBorder="1" applyAlignment="1" applyProtection="1">
      <alignment horizontal="center"/>
      <protection locked="0" hidden="1"/>
    </xf>
    <xf numFmtId="0" fontId="0" fillId="44" borderId="0" xfId="0" applyFill="1" applyAlignment="1" applyProtection="1">
      <alignment vertical="center"/>
      <protection locked="0" hidden="1"/>
    </xf>
    <xf numFmtId="0" fontId="35" fillId="44" borderId="0" xfId="0" quotePrefix="1" applyFont="1" applyFill="1" applyAlignment="1" applyProtection="1">
      <alignment horizontal="right" vertical="center"/>
      <protection locked="0" hidden="1"/>
    </xf>
    <xf numFmtId="0" fontId="0" fillId="44" borderId="43" xfId="0" applyFill="1" applyBorder="1" applyAlignment="1" applyProtection="1">
      <alignment vertical="center"/>
      <protection locked="0" hidden="1"/>
    </xf>
    <xf numFmtId="0" fontId="55" fillId="44" borderId="0" xfId="0" applyFont="1" applyFill="1" applyAlignment="1" applyProtection="1">
      <alignment horizontal="left" vertical="center"/>
      <protection locked="0" hidden="1"/>
    </xf>
    <xf numFmtId="9" fontId="302" fillId="29" borderId="0" xfId="0" applyNumberFormat="1" applyFont="1" applyFill="1" applyAlignment="1" applyProtection="1">
      <alignment horizontal="right" vertical="center"/>
      <protection locked="0" hidden="1"/>
    </xf>
    <xf numFmtId="164" fontId="302" fillId="25" borderId="0" xfId="0" applyNumberFormat="1" applyFont="1" applyFill="1" applyAlignment="1" applyProtection="1">
      <alignment horizontal="right" vertical="center"/>
      <protection locked="0" hidden="1"/>
    </xf>
    <xf numFmtId="0" fontId="69" fillId="44" borderId="43" xfId="0" applyFont="1" applyFill="1" applyBorder="1" applyAlignment="1" applyProtection="1">
      <alignment vertical="center"/>
      <protection locked="0" hidden="1"/>
    </xf>
    <xf numFmtId="0" fontId="302" fillId="25" borderId="0" xfId="0" applyFont="1" applyFill="1" applyAlignment="1" applyProtection="1">
      <alignment horizontal="right" vertical="center"/>
      <protection locked="0" hidden="1"/>
    </xf>
    <xf numFmtId="0" fontId="285" fillId="10" borderId="0" xfId="0" applyFont="1" applyFill="1" applyAlignment="1" applyProtection="1">
      <alignment horizontal="right"/>
      <protection locked="0" hidden="1"/>
    </xf>
    <xf numFmtId="0" fontId="103" fillId="4" borderId="0" xfId="0" applyFont="1" applyFill="1" applyAlignment="1" applyProtection="1">
      <alignment horizontal="center" vertical="center"/>
      <protection locked="0" hidden="1"/>
    </xf>
    <xf numFmtId="0" fontId="45" fillId="0" borderId="0" xfId="1" applyFont="1" applyAlignment="1" applyProtection="1">
      <alignment horizontal="left" vertical="center"/>
      <protection hidden="1"/>
    </xf>
    <xf numFmtId="0" fontId="321" fillId="3" borderId="0" xfId="0" applyFont="1" applyFill="1" applyAlignment="1" applyProtection="1">
      <alignment vertical="center"/>
      <protection locked="0" hidden="1"/>
    </xf>
    <xf numFmtId="0" fontId="118" fillId="48" borderId="44" xfId="0" applyFont="1" applyFill="1" applyBorder="1" applyAlignment="1" applyProtection="1">
      <alignment horizontal="right" vertical="center"/>
      <protection locked="0" hidden="1"/>
    </xf>
    <xf numFmtId="0" fontId="46" fillId="15" borderId="46" xfId="0" applyFont="1" applyFill="1" applyBorder="1" applyAlignment="1" applyProtection="1">
      <alignment vertical="center"/>
      <protection locked="0" hidden="1"/>
    </xf>
    <xf numFmtId="0" fontId="365" fillId="30" borderId="0" xfId="0" applyFont="1" applyFill="1" applyAlignment="1" applyProtection="1">
      <alignment horizontal="left" vertical="center"/>
      <protection locked="0"/>
    </xf>
    <xf numFmtId="0" fontId="305" fillId="15" borderId="45" xfId="0" applyFont="1" applyFill="1" applyBorder="1" applyAlignment="1" applyProtection="1">
      <alignment horizontal="left" vertical="center"/>
      <protection locked="0" hidden="1"/>
    </xf>
    <xf numFmtId="9" fontId="368" fillId="35" borderId="0" xfId="0" quotePrefix="1" applyNumberFormat="1" applyFont="1" applyFill="1" applyAlignment="1" applyProtection="1">
      <alignment horizontal="left" vertical="center"/>
      <protection locked="0"/>
    </xf>
    <xf numFmtId="164" fontId="2" fillId="36" borderId="0" xfId="0" applyNumberFormat="1" applyFont="1" applyFill="1" applyAlignment="1" applyProtection="1">
      <alignment horizontal="left" vertical="center"/>
      <protection locked="0"/>
    </xf>
    <xf numFmtId="0" fontId="369" fillId="36" borderId="0" xfId="2" applyNumberFormat="1" applyFont="1" applyFill="1" applyAlignment="1" applyProtection="1">
      <protection locked="0"/>
    </xf>
    <xf numFmtId="9" fontId="368" fillId="11" borderId="0" xfId="0" quotePrefix="1" applyNumberFormat="1" applyFont="1" applyFill="1" applyAlignment="1" applyProtection="1">
      <alignment horizontal="left" vertical="center"/>
      <protection locked="0"/>
    </xf>
    <xf numFmtId="0" fontId="370" fillId="34" borderId="37" xfId="2" applyFont="1" applyFill="1" applyBorder="1" applyAlignment="1" applyProtection="1">
      <alignment horizontal="right" vertical="center"/>
      <protection locked="0"/>
    </xf>
    <xf numFmtId="0" fontId="370" fillId="45" borderId="33" xfId="2" applyFont="1" applyFill="1" applyBorder="1" applyAlignment="1" applyProtection="1">
      <alignment horizontal="right" vertical="center"/>
      <protection locked="0"/>
    </xf>
    <xf numFmtId="0" fontId="153" fillId="34" borderId="37" xfId="2" applyFont="1" applyFill="1" applyBorder="1" applyAlignment="1" applyProtection="1">
      <alignment horizontal="left" vertical="center"/>
      <protection locked="0"/>
    </xf>
    <xf numFmtId="0" fontId="153" fillId="45" borderId="33" xfId="2" applyFont="1" applyFill="1" applyBorder="1" applyAlignment="1" applyProtection="1">
      <alignment horizontal="left" vertical="center"/>
      <protection locked="0"/>
    </xf>
    <xf numFmtId="0" fontId="150" fillId="37" borderId="0" xfId="0" applyFont="1" applyFill="1" applyAlignment="1" applyProtection="1">
      <alignment horizontal="right" vertical="center"/>
      <protection locked="0"/>
    </xf>
    <xf numFmtId="0" fontId="146" fillId="46" borderId="0" xfId="0" applyFont="1" applyFill="1" applyAlignment="1" applyProtection="1">
      <alignment horizontal="right" vertical="center"/>
      <protection locked="0"/>
    </xf>
    <xf numFmtId="0" fontId="372" fillId="34" borderId="37" xfId="0" applyFont="1" applyFill="1" applyBorder="1" applyAlignment="1" applyProtection="1">
      <alignment horizontal="right" vertical="center"/>
      <protection locked="0"/>
    </xf>
    <xf numFmtId="0" fontId="253" fillId="37" borderId="0" xfId="0" applyFont="1" applyFill="1" applyAlignment="1" applyProtection="1">
      <alignment horizontal="right" vertical="center"/>
      <protection locked="0"/>
    </xf>
    <xf numFmtId="0" fontId="375" fillId="45" borderId="33" xfId="0" applyFont="1" applyFill="1" applyBorder="1" applyAlignment="1" applyProtection="1">
      <alignment horizontal="right" vertical="center"/>
      <protection locked="0"/>
    </xf>
    <xf numFmtId="0" fontId="374" fillId="46" borderId="0" xfId="0" applyFont="1" applyFill="1" applyAlignment="1" applyProtection="1">
      <alignment horizontal="right" vertical="center"/>
      <protection locked="0"/>
    </xf>
    <xf numFmtId="0" fontId="253" fillId="45" borderId="33" xfId="0" applyFont="1" applyFill="1" applyBorder="1" applyAlignment="1" applyProtection="1">
      <alignment horizontal="right" vertical="center"/>
      <protection locked="0"/>
    </xf>
    <xf numFmtId="0" fontId="374" fillId="34" borderId="37" xfId="0" applyFont="1" applyFill="1" applyBorder="1" applyAlignment="1" applyProtection="1">
      <alignment horizontal="right" vertical="center"/>
      <protection locked="0"/>
    </xf>
    <xf numFmtId="0" fontId="202" fillId="46" borderId="0" xfId="0" applyFont="1" applyFill="1" applyAlignment="1" applyProtection="1">
      <alignment horizontal="left" vertical="center"/>
      <protection locked="0"/>
    </xf>
    <xf numFmtId="0" fontId="202" fillId="37" borderId="0" xfId="0" applyFont="1" applyFill="1" applyAlignment="1" applyProtection="1">
      <alignment horizontal="left" vertical="center"/>
      <protection locked="0"/>
    </xf>
    <xf numFmtId="0" fontId="3" fillId="34" borderId="33" xfId="2" applyFont="1" applyFill="1" applyBorder="1" applyAlignment="1" applyProtection="1">
      <alignment vertical="center" wrapText="1"/>
      <protection locked="0"/>
    </xf>
    <xf numFmtId="9" fontId="246" fillId="37" borderId="0" xfId="0" applyNumberFormat="1" applyFont="1" applyFill="1" applyAlignment="1" applyProtection="1">
      <alignment horizontal="center" vertical="center" wrapText="1"/>
      <protection locked="0"/>
    </xf>
    <xf numFmtId="0" fontId="13" fillId="30" borderId="0" xfId="0" applyFont="1" applyFill="1" applyAlignment="1" applyProtection="1">
      <alignment horizontal="left" wrapText="1"/>
      <protection locked="0"/>
    </xf>
    <xf numFmtId="0" fontId="3" fillId="45" borderId="33" xfId="2" applyFont="1" applyFill="1" applyBorder="1" applyAlignment="1" applyProtection="1">
      <alignment vertical="center" wrapText="1"/>
      <protection locked="0"/>
    </xf>
    <xf numFmtId="0" fontId="357" fillId="46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164" fontId="250" fillId="6" borderId="0" xfId="0" applyNumberFormat="1" applyFont="1" applyFill="1" applyAlignment="1" applyProtection="1">
      <alignment horizontal="left" vertical="center"/>
      <protection locked="0"/>
    </xf>
    <xf numFmtId="0" fontId="78" fillId="6" borderId="0" xfId="0" applyFont="1" applyFill="1" applyAlignment="1" applyProtection="1">
      <alignment horizontal="center" vertical="center"/>
      <protection locked="0"/>
    </xf>
    <xf numFmtId="4" fontId="111" fillId="8" borderId="0" xfId="0" applyNumberFormat="1" applyFont="1" applyFill="1" applyAlignment="1" applyProtection="1">
      <alignment horizontal="right" vertical="center"/>
      <protection locked="0"/>
    </xf>
    <xf numFmtId="164" fontId="252" fillId="35" borderId="0" xfId="0" applyNumberFormat="1" applyFont="1" applyFill="1" applyAlignment="1" applyProtection="1">
      <alignment horizontal="left" vertical="center"/>
      <protection locked="0"/>
    </xf>
    <xf numFmtId="164" fontId="355" fillId="11" borderId="0" xfId="0" applyNumberFormat="1" applyFont="1" applyFill="1" applyAlignment="1" applyProtection="1">
      <alignment horizontal="left" vertical="center"/>
      <protection locked="0"/>
    </xf>
    <xf numFmtId="0" fontId="175" fillId="5" borderId="0" xfId="0" applyFont="1" applyFill="1" applyAlignment="1" applyProtection="1">
      <alignment horizontal="center" vertical="center"/>
      <protection locked="0" hidden="1"/>
    </xf>
    <xf numFmtId="0" fontId="45" fillId="0" borderId="0" xfId="1" applyFont="1" applyAlignment="1" applyProtection="1">
      <alignment horizontal="left" vertical="center"/>
      <protection locked="0" hidden="1"/>
    </xf>
    <xf numFmtId="0" fontId="175" fillId="17" borderId="0" xfId="0" quotePrefix="1" applyFont="1" applyFill="1" applyAlignment="1" applyProtection="1">
      <alignment horizontal="right" vertical="center"/>
      <protection locked="0" hidden="1"/>
    </xf>
    <xf numFmtId="0" fontId="175" fillId="17" borderId="3" xfId="0" quotePrefix="1" applyFont="1" applyFill="1" applyBorder="1" applyAlignment="1" applyProtection="1">
      <alignment horizontal="right" vertical="center"/>
      <protection locked="0" hidden="1"/>
    </xf>
    <xf numFmtId="0" fontId="88" fillId="17" borderId="0" xfId="0" applyFont="1" applyFill="1" applyAlignment="1" applyProtection="1">
      <alignment horizontal="right" vertical="center"/>
      <protection locked="0" hidden="1"/>
    </xf>
    <xf numFmtId="0" fontId="88" fillId="17" borderId="3" xfId="0" applyFont="1" applyFill="1" applyBorder="1" applyAlignment="1" applyProtection="1">
      <alignment horizontal="right" vertical="center"/>
      <protection locked="0" hidden="1"/>
    </xf>
    <xf numFmtId="0" fontId="152" fillId="23" borderId="34" xfId="0" applyFont="1" applyFill="1" applyBorder="1" applyAlignment="1" applyProtection="1">
      <alignment horizontal="center" vertical="center"/>
      <protection locked="0" hidden="1"/>
    </xf>
    <xf numFmtId="0" fontId="152" fillId="23" borderId="0" xfId="0" applyFont="1" applyFill="1" applyAlignment="1" applyProtection="1">
      <alignment horizontal="center" vertical="center"/>
      <protection locked="0" hidden="1"/>
    </xf>
    <xf numFmtId="0" fontId="88" fillId="17" borderId="0" xfId="0" quotePrefix="1" applyFont="1" applyFill="1" applyAlignment="1" applyProtection="1">
      <alignment horizontal="right" vertical="center"/>
      <protection locked="0" hidden="1"/>
    </xf>
    <xf numFmtId="0" fontId="88" fillId="17" borderId="3" xfId="0" quotePrefix="1" applyFont="1" applyFill="1" applyBorder="1" applyAlignment="1" applyProtection="1">
      <alignment horizontal="right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164" fontId="175" fillId="5" borderId="0" xfId="0" applyNumberFormat="1" applyFont="1" applyFill="1" applyAlignment="1" applyProtection="1">
      <alignment horizontal="center" vertical="center"/>
      <protection locked="0" hidden="1"/>
    </xf>
    <xf numFmtId="164" fontId="341" fillId="5" borderId="0" xfId="0" applyNumberFormat="1" applyFont="1" applyFill="1" applyAlignment="1" applyProtection="1">
      <alignment horizontal="center" vertical="center"/>
      <protection locked="0" hidden="1"/>
    </xf>
    <xf numFmtId="0" fontId="45" fillId="0" borderId="0" xfId="1" applyFont="1" applyAlignment="1" applyProtection="1">
      <alignment horizontal="left" vertical="center"/>
      <protection hidden="1"/>
    </xf>
    <xf numFmtId="0" fontId="147" fillId="0" borderId="0" xfId="1" quotePrefix="1" applyFont="1" applyFill="1" applyAlignment="1" applyProtection="1">
      <alignment horizontal="center"/>
      <protection locked="0"/>
    </xf>
    <xf numFmtId="164" fontId="222" fillId="3" borderId="6" xfId="0" applyNumberFormat="1" applyFont="1" applyFill="1" applyBorder="1" applyAlignment="1" applyProtection="1">
      <alignment horizontal="left" vertical="center"/>
      <protection locked="0"/>
    </xf>
    <xf numFmtId="164" fontId="222" fillId="3" borderId="4" xfId="0" applyNumberFormat="1" applyFont="1" applyFill="1" applyBorder="1" applyAlignment="1" applyProtection="1">
      <alignment horizontal="left" vertical="center"/>
      <protection locked="0"/>
    </xf>
    <xf numFmtId="0" fontId="206" fillId="6" borderId="0" xfId="0" quotePrefix="1" applyFont="1" applyFill="1" applyAlignment="1" applyProtection="1">
      <alignment horizontal="left" vertical="center"/>
      <protection locked="0" hidden="1"/>
    </xf>
    <xf numFmtId="0" fontId="206" fillId="6" borderId="5" xfId="0" quotePrefix="1" applyFont="1" applyFill="1" applyBorder="1" applyAlignment="1" applyProtection="1">
      <alignment horizontal="left" vertical="center"/>
      <protection locked="0" hidden="1"/>
    </xf>
    <xf numFmtId="0" fontId="349" fillId="17" borderId="0" xfId="0" quotePrefix="1" applyFont="1" applyFill="1" applyAlignment="1" applyProtection="1">
      <alignment horizontal="center" vertical="center"/>
      <protection locked="0" hidden="1"/>
    </xf>
    <xf numFmtId="9" fontId="18" fillId="3" borderId="7" xfId="0" applyNumberFormat="1" applyFont="1" applyFill="1" applyBorder="1" applyAlignment="1" applyProtection="1">
      <alignment horizontal="left" vertical="center"/>
      <protection locked="0" hidden="1"/>
    </xf>
    <xf numFmtId="0" fontId="202" fillId="6" borderId="0" xfId="0" quotePrefix="1" applyFont="1" applyFill="1" applyAlignment="1" applyProtection="1">
      <alignment horizontal="left" vertical="center"/>
      <protection locked="0" hidden="1"/>
    </xf>
    <xf numFmtId="0" fontId="202" fillId="6" borderId="5" xfId="0" quotePrefix="1" applyFont="1" applyFill="1" applyBorder="1" applyAlignment="1" applyProtection="1">
      <alignment horizontal="left" vertical="center"/>
      <protection locked="0" hidden="1"/>
    </xf>
    <xf numFmtId="0" fontId="146" fillId="13" borderId="0" xfId="0" quotePrefix="1" applyFont="1" applyFill="1" applyAlignment="1" applyProtection="1">
      <alignment horizontal="right" vertical="center"/>
      <protection locked="0" hidden="1"/>
    </xf>
    <xf numFmtId="0" fontId="324" fillId="13" borderId="0" xfId="0" quotePrefix="1" applyFont="1" applyFill="1" applyAlignment="1" applyProtection="1">
      <alignment horizontal="left" vertical="center"/>
      <protection locked="0" hidden="1"/>
    </xf>
    <xf numFmtId="0" fontId="32" fillId="14" borderId="0" xfId="1" quotePrefix="1" applyFont="1" applyFill="1" applyAlignment="1" applyProtection="1">
      <alignment horizontal="center" vertical="center"/>
      <protection locked="0"/>
    </xf>
    <xf numFmtId="0" fontId="308" fillId="19" borderId="0" xfId="0" quotePrefix="1" applyFont="1" applyFill="1" applyAlignment="1" applyProtection="1">
      <alignment horizontal="left" vertical="center"/>
      <protection locked="0" hidden="1"/>
    </xf>
    <xf numFmtId="0" fontId="32" fillId="14" borderId="0" xfId="1" applyFont="1" applyFill="1" applyAlignment="1" applyProtection="1">
      <alignment horizontal="center" vertical="center"/>
      <protection locked="0"/>
    </xf>
    <xf numFmtId="0" fontId="32" fillId="14" borderId="0" xfId="1" quotePrefix="1" applyFont="1" applyFill="1" applyAlignment="1" applyProtection="1">
      <alignment horizontal="center" vertical="center" wrapText="1"/>
      <protection locked="0"/>
    </xf>
    <xf numFmtId="0" fontId="170" fillId="13" borderId="0" xfId="0" applyFont="1" applyFill="1" applyAlignment="1" applyProtection="1">
      <alignment vertical="center"/>
      <protection locked="0" hidden="1"/>
    </xf>
    <xf numFmtId="0" fontId="290" fillId="42" borderId="0" xfId="0" applyFont="1" applyFill="1" applyAlignment="1" applyProtection="1">
      <alignment horizontal="right" vertical="center"/>
      <protection locked="0" hidden="1"/>
    </xf>
    <xf numFmtId="0" fontId="184" fillId="6" borderId="0" xfId="1" applyFont="1" applyFill="1" applyAlignment="1" applyProtection="1">
      <alignment horizontal="center" vertical="center"/>
      <protection locked="0"/>
    </xf>
    <xf numFmtId="164" fontId="110" fillId="6" borderId="0" xfId="0" applyNumberFormat="1" applyFont="1" applyFill="1" applyAlignment="1" applyProtection="1">
      <alignment horizontal="left" vertical="center"/>
      <protection locked="0"/>
    </xf>
    <xf numFmtId="0" fontId="165" fillId="6" borderId="0" xfId="0" applyFont="1" applyFill="1" applyAlignment="1" applyProtection="1">
      <alignment horizontal="center" vertical="top"/>
      <protection locked="0" hidden="1"/>
    </xf>
    <xf numFmtId="4" fontId="36" fillId="3" borderId="0" xfId="0" applyNumberFormat="1" applyFont="1" applyFill="1" applyAlignment="1" applyProtection="1">
      <alignment horizontal="left" vertical="center"/>
      <protection locked="0"/>
    </xf>
    <xf numFmtId="0" fontId="263" fillId="13" borderId="11" xfId="0" applyFont="1" applyFill="1" applyBorder="1" applyAlignment="1" applyProtection="1">
      <alignment horizontal="right" vertical="center"/>
      <protection locked="0" hidden="1"/>
    </xf>
    <xf numFmtId="0" fontId="263" fillId="13" borderId="0" xfId="0" applyFont="1" applyFill="1" applyAlignment="1" applyProtection="1">
      <alignment horizontal="right" vertical="center"/>
      <protection locked="0"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0" fontId="194" fillId="13" borderId="0" xfId="0" quotePrefix="1" applyFont="1" applyFill="1" applyAlignment="1" applyProtection="1">
      <alignment horizontal="right" vertical="center"/>
      <protection locked="0" hidden="1"/>
    </xf>
    <xf numFmtId="0" fontId="194" fillId="13" borderId="0" xfId="0" quotePrefix="1" applyFont="1" applyFill="1" applyAlignment="1" applyProtection="1">
      <alignment vertical="center"/>
      <protection locked="0" hidden="1"/>
    </xf>
    <xf numFmtId="9" fontId="206" fillId="13" borderId="0" xfId="0" applyNumberFormat="1" applyFont="1" applyFill="1" applyAlignment="1" applyProtection="1">
      <alignment horizontal="right" vertical="center"/>
      <protection locked="0" hidden="1"/>
    </xf>
    <xf numFmtId="0" fontId="337" fillId="13" borderId="0" xfId="0" quotePrefix="1" applyFont="1" applyFill="1" applyAlignment="1" applyProtection="1">
      <alignment horizontal="left" vertical="center"/>
      <protection locked="0" hidden="1"/>
    </xf>
    <xf numFmtId="0" fontId="82" fillId="13" borderId="0" xfId="1" applyFont="1" applyFill="1" applyAlignment="1" applyProtection="1">
      <alignment vertical="center"/>
      <protection locked="0" hidden="1"/>
    </xf>
    <xf numFmtId="0" fontId="340" fillId="20" borderId="0" xfId="0" applyFont="1" applyFill="1" applyAlignment="1" applyProtection="1">
      <alignment horizontal="center" vertical="center"/>
      <protection locked="0" hidden="1"/>
    </xf>
    <xf numFmtId="0" fontId="152" fillId="23" borderId="34" xfId="0" applyFont="1" applyFill="1" applyBorder="1" applyAlignment="1" applyProtection="1">
      <alignment horizontal="center" vertical="center" wrapText="1"/>
      <protection locked="0" hidden="1"/>
    </xf>
    <xf numFmtId="0" fontId="152" fillId="23" borderId="0" xfId="0" applyFont="1" applyFill="1" applyAlignment="1" applyProtection="1">
      <alignment horizontal="center" vertical="center" wrapText="1"/>
      <protection locked="0" hidden="1"/>
    </xf>
    <xf numFmtId="0" fontId="202" fillId="6" borderId="0" xfId="0" quotePrefix="1" applyFont="1" applyFill="1" applyAlignment="1" applyProtection="1">
      <alignment horizontal="right" vertical="center"/>
      <protection locked="0" hidden="1"/>
    </xf>
    <xf numFmtId="0" fontId="276" fillId="17" borderId="0" xfId="0" applyFont="1" applyFill="1" applyAlignment="1" applyProtection="1">
      <alignment horizontal="center" vertical="center"/>
      <protection locked="0" hidden="1"/>
    </xf>
    <xf numFmtId="0" fontId="305" fillId="21" borderId="11" xfId="0" applyFont="1" applyFill="1" applyBorder="1" applyAlignment="1" applyProtection="1">
      <alignment horizontal="center" vertical="center"/>
      <protection locked="0" hidden="1"/>
    </xf>
    <xf numFmtId="0" fontId="305" fillId="21" borderId="0" xfId="0" applyFont="1" applyFill="1" applyAlignment="1" applyProtection="1">
      <alignment horizontal="center" vertical="center"/>
      <protection locked="0" hidden="1"/>
    </xf>
    <xf numFmtId="0" fontId="305" fillId="21" borderId="12" xfId="0" applyFont="1" applyFill="1" applyBorder="1" applyAlignment="1" applyProtection="1">
      <alignment horizontal="center" vertical="center"/>
      <protection locked="0" hidden="1"/>
    </xf>
    <xf numFmtId="0" fontId="20" fillId="21" borderId="13" xfId="1" applyFont="1" applyFill="1" applyBorder="1" applyAlignment="1" applyProtection="1">
      <alignment horizontal="center" vertical="center"/>
      <protection locked="0" hidden="1"/>
    </xf>
    <xf numFmtId="0" fontId="20" fillId="21" borderId="14" xfId="1" applyFont="1" applyFill="1" applyBorder="1" applyAlignment="1" applyProtection="1">
      <alignment vertical="center"/>
      <protection locked="0" hidden="1"/>
    </xf>
    <xf numFmtId="0" fontId="20" fillId="21" borderId="15" xfId="1" applyFont="1" applyFill="1" applyBorder="1" applyAlignment="1" applyProtection="1">
      <alignment horizontal="center" vertical="center"/>
      <protection locked="0" hidden="1"/>
    </xf>
    <xf numFmtId="164" fontId="193" fillId="3" borderId="0" xfId="0" applyNumberFormat="1" applyFont="1" applyFill="1" applyAlignment="1" applyProtection="1">
      <alignment horizontal="left" vertical="center"/>
      <protection locked="0" hidden="1"/>
    </xf>
    <xf numFmtId="0" fontId="228" fillId="9" borderId="0" xfId="0" applyFont="1" applyFill="1" applyAlignment="1" applyProtection="1">
      <alignment horizontal="center" vertical="center" wrapText="1"/>
      <protection locked="0" hidden="1"/>
    </xf>
    <xf numFmtId="0" fontId="228" fillId="9" borderId="0" xfId="0" quotePrefix="1" applyFont="1" applyFill="1" applyAlignment="1" applyProtection="1">
      <alignment horizontal="center" vertical="center" wrapText="1"/>
      <protection locked="0" hidden="1"/>
    </xf>
    <xf numFmtId="164" fontId="174" fillId="5" borderId="0" xfId="0" applyNumberFormat="1" applyFont="1" applyFill="1" applyAlignment="1" applyProtection="1">
      <alignment horizontal="center" vertical="center"/>
      <protection locked="0" hidden="1"/>
    </xf>
    <xf numFmtId="0" fontId="277" fillId="17" borderId="0" xfId="0" quotePrefix="1" applyFont="1" applyFill="1" applyAlignment="1" applyProtection="1">
      <alignment horizontal="right" vertical="center"/>
      <protection locked="0" hidden="1"/>
    </xf>
    <xf numFmtId="0" fontId="277" fillId="17" borderId="3" xfId="0" quotePrefix="1" applyFont="1" applyFill="1" applyBorder="1" applyAlignment="1" applyProtection="1">
      <alignment horizontal="right" vertical="center"/>
      <protection locked="0" hidden="1"/>
    </xf>
    <xf numFmtId="0" fontId="339" fillId="20" borderId="0" xfId="0" applyFont="1" applyFill="1" applyAlignment="1" applyProtection="1">
      <alignment horizontal="center" vertical="center"/>
      <protection locked="0" hidden="1"/>
    </xf>
    <xf numFmtId="0" fontId="161" fillId="13" borderId="0" xfId="0" applyFont="1" applyFill="1" applyAlignment="1" applyProtection="1">
      <alignment horizontal="right" vertical="center"/>
      <protection locked="0" hidden="1"/>
    </xf>
    <xf numFmtId="0" fontId="20" fillId="21" borderId="8" xfId="0" applyFont="1" applyFill="1" applyBorder="1" applyAlignment="1" applyProtection="1">
      <alignment horizontal="center" vertical="center"/>
      <protection locked="0" hidden="1"/>
    </xf>
    <xf numFmtId="0" fontId="20" fillId="21" borderId="9" xfId="0" applyFont="1" applyFill="1" applyBorder="1" applyAlignment="1" applyProtection="1">
      <alignment horizontal="center" vertical="center"/>
      <protection locked="0" hidden="1"/>
    </xf>
    <xf numFmtId="0" fontId="20" fillId="21" borderId="10" xfId="0" applyFont="1" applyFill="1" applyBorder="1" applyAlignment="1" applyProtection="1">
      <alignment horizontal="center" vertical="center"/>
      <protection locked="0" hidden="1"/>
    </xf>
    <xf numFmtId="0" fontId="5" fillId="13" borderId="0" xfId="1" applyFill="1" applyAlignment="1" applyProtection="1">
      <alignment horizontal="left" vertical="center"/>
      <protection locked="0" hidden="1"/>
    </xf>
    <xf numFmtId="0" fontId="5" fillId="13" borderId="0" xfId="1" applyFill="1" applyAlignment="1" applyProtection="1">
      <alignment horizontal="right" vertical="center"/>
      <protection locked="0" hidden="1"/>
    </xf>
    <xf numFmtId="0" fontId="3" fillId="13" borderId="0" xfId="0" quotePrefix="1" applyFont="1" applyFill="1" applyAlignment="1" applyProtection="1">
      <alignment horizontal="left" vertical="center"/>
      <protection locked="0"/>
    </xf>
    <xf numFmtId="0" fontId="3" fillId="13" borderId="0" xfId="0" applyFont="1" applyFill="1" applyAlignment="1" applyProtection="1">
      <alignment horizontal="right" vertical="center"/>
      <protection locked="0"/>
    </xf>
    <xf numFmtId="0" fontId="284" fillId="18" borderId="0" xfId="0" applyFont="1" applyFill="1" applyAlignment="1" applyProtection="1">
      <alignment vertical="center" wrapText="1"/>
      <protection locked="0"/>
    </xf>
    <xf numFmtId="0" fontId="280" fillId="3" borderId="20" xfId="1" quotePrefix="1" applyFont="1" applyFill="1" applyBorder="1" applyAlignment="1" applyProtection="1">
      <alignment horizontal="center" vertical="center"/>
      <protection locked="0" hidden="1"/>
    </xf>
    <xf numFmtId="0" fontId="280" fillId="3" borderId="19" xfId="1" applyFont="1" applyFill="1" applyBorder="1" applyAlignment="1" applyProtection="1">
      <alignment horizontal="center" vertical="center"/>
      <protection locked="0" hidden="1"/>
    </xf>
    <xf numFmtId="0" fontId="183" fillId="6" borderId="0" xfId="0" quotePrefix="1" applyFont="1" applyFill="1" applyAlignment="1" applyProtection="1">
      <alignment horizontal="center" vertical="center" wrapText="1"/>
      <protection locked="0" hidden="1"/>
    </xf>
    <xf numFmtId="0" fontId="167" fillId="33" borderId="0" xfId="1" applyFont="1" applyFill="1" applyBorder="1" applyAlignment="1" applyProtection="1">
      <alignment horizontal="center"/>
      <protection locked="0" hidden="1"/>
    </xf>
    <xf numFmtId="0" fontId="12" fillId="13" borderId="0" xfId="0" applyFont="1" applyFill="1" applyAlignment="1" applyProtection="1">
      <alignment horizontal="center" vertical="center"/>
      <protection locked="0" hidden="1"/>
    </xf>
    <xf numFmtId="0" fontId="32" fillId="6" borderId="0" xfId="1" quotePrefix="1" applyFont="1" applyFill="1" applyAlignment="1" applyProtection="1">
      <alignment horizontal="center" vertical="center"/>
      <protection locked="0" hidden="1"/>
    </xf>
    <xf numFmtId="0" fontId="307" fillId="21" borderId="0" xfId="0" quotePrefix="1" applyFont="1" applyFill="1" applyAlignment="1" applyProtection="1">
      <alignment horizontal="left" vertical="center"/>
      <protection locked="0" hidden="1"/>
    </xf>
    <xf numFmtId="0" fontId="8" fillId="13" borderId="0" xfId="0" applyFont="1" applyFill="1" applyAlignment="1" applyProtection="1">
      <alignment horizontal="center" vertical="center"/>
      <protection locked="0" hidden="1"/>
    </xf>
    <xf numFmtId="0" fontId="310" fillId="42" borderId="0" xfId="0" applyFont="1" applyFill="1" applyAlignment="1" applyProtection="1">
      <alignment horizontal="right" vertical="center"/>
      <protection hidden="1"/>
    </xf>
    <xf numFmtId="0" fontId="99" fillId="22" borderId="16" xfId="1" quotePrefix="1" applyFont="1" applyFill="1" applyBorder="1" applyAlignment="1" applyProtection="1">
      <protection locked="0" hidden="1"/>
    </xf>
    <xf numFmtId="0" fontId="99" fillId="22" borderId="17" xfId="1" quotePrefix="1" applyFont="1" applyFill="1" applyBorder="1" applyAlignment="1" applyProtection="1">
      <protection locked="0" hidden="1"/>
    </xf>
    <xf numFmtId="0" fontId="3" fillId="11" borderId="0" xfId="1" applyFont="1" applyFill="1" applyBorder="1" applyAlignment="1" applyProtection="1">
      <alignment horizontal="center" vertical="center"/>
      <protection locked="0" hidden="1"/>
    </xf>
    <xf numFmtId="0" fontId="3" fillId="12" borderId="0" xfId="1" applyFont="1" applyFill="1" applyBorder="1" applyAlignment="1" applyProtection="1">
      <alignment horizontal="center" vertical="center"/>
      <protection locked="0" hidden="1"/>
    </xf>
    <xf numFmtId="0" fontId="289" fillId="42" borderId="43" xfId="0" quotePrefix="1" applyFont="1" applyFill="1" applyBorder="1" applyAlignment="1" applyProtection="1">
      <alignment horizontal="center" vertical="center"/>
      <protection locked="0" hidden="1"/>
    </xf>
    <xf numFmtId="0" fontId="289" fillId="42" borderId="0" xfId="0" quotePrefix="1" applyFont="1" applyFill="1" applyAlignment="1" applyProtection="1">
      <alignment horizontal="center" vertical="center"/>
      <protection locked="0" hidden="1"/>
    </xf>
    <xf numFmtId="0" fontId="115" fillId="19" borderId="0" xfId="0" quotePrefix="1" applyFont="1" applyFill="1" applyAlignment="1" applyProtection="1">
      <alignment horizontal="center" vertical="center"/>
      <protection locked="0" hidden="1"/>
    </xf>
    <xf numFmtId="0" fontId="285" fillId="10" borderId="0" xfId="0" applyFont="1" applyFill="1" applyAlignment="1" applyProtection="1">
      <alignment horizontal="left" vertical="center"/>
      <protection locked="0" hidden="1"/>
    </xf>
    <xf numFmtId="0" fontId="285" fillId="10" borderId="42" xfId="0" applyFont="1" applyFill="1" applyBorder="1" applyAlignment="1" applyProtection="1">
      <alignment horizontal="left" vertical="center"/>
      <protection locked="0" hidden="1"/>
    </xf>
    <xf numFmtId="0" fontId="165" fillId="17" borderId="0" xfId="0" applyFont="1" applyFill="1" applyAlignment="1" applyProtection="1">
      <alignment horizontal="left" vertical="center"/>
      <protection locked="0" hidden="1"/>
    </xf>
    <xf numFmtId="0" fontId="225" fillId="47" borderId="22" xfId="0" applyFont="1" applyFill="1" applyBorder="1" applyAlignment="1" applyProtection="1">
      <alignment horizontal="center" vertical="center" wrapText="1"/>
      <protection locked="0" hidden="1"/>
    </xf>
    <xf numFmtId="0" fontId="46" fillId="40" borderId="0" xfId="0" applyFont="1" applyFill="1" applyAlignment="1" applyProtection="1">
      <alignment horizontal="center" vertical="center"/>
      <protection locked="0"/>
    </xf>
    <xf numFmtId="0" fontId="163" fillId="13" borderId="0" xfId="1" applyFont="1" applyFill="1" applyBorder="1" applyAlignment="1" applyProtection="1">
      <alignment horizontal="center" vertical="center"/>
      <protection hidden="1"/>
    </xf>
    <xf numFmtId="0" fontId="163" fillId="13" borderId="32" xfId="1" applyFont="1" applyFill="1" applyBorder="1" applyAlignment="1" applyProtection="1">
      <alignment horizontal="center" vertical="center"/>
      <protection hidden="1"/>
    </xf>
    <xf numFmtId="0" fontId="157" fillId="0" borderId="0" xfId="0" applyFont="1" applyAlignment="1" applyProtection="1">
      <alignment horizontal="left" vertical="center"/>
      <protection locked="0" hidden="1"/>
    </xf>
    <xf numFmtId="0" fontId="288" fillId="41" borderId="39" xfId="0" applyFont="1" applyFill="1" applyBorder="1" applyAlignment="1" applyProtection="1">
      <alignment horizontal="center" vertical="center"/>
      <protection locked="0" hidden="1"/>
    </xf>
    <xf numFmtId="0" fontId="294" fillId="41" borderId="40" xfId="0" applyFont="1" applyFill="1" applyBorder="1" applyAlignment="1" applyProtection="1">
      <alignment horizontal="center" vertical="center"/>
      <protection locked="0" hidden="1"/>
    </xf>
    <xf numFmtId="0" fontId="294" fillId="41" borderId="41" xfId="0" applyFont="1" applyFill="1" applyBorder="1" applyAlignment="1" applyProtection="1">
      <alignment horizontal="center" vertical="center"/>
      <protection locked="0" hidden="1"/>
    </xf>
    <xf numFmtId="0" fontId="158" fillId="42" borderId="0" xfId="0" applyFont="1" applyFill="1" applyAlignment="1" applyProtection="1">
      <alignment horizontal="center" vertical="center"/>
      <protection locked="0" hidden="1"/>
    </xf>
    <xf numFmtId="164" fontId="301" fillId="26" borderId="0" xfId="0" applyNumberFormat="1" applyFont="1" applyFill="1" applyAlignment="1" applyProtection="1">
      <alignment horizontal="left" vertical="center"/>
      <protection locked="0" hidden="1"/>
    </xf>
    <xf numFmtId="9" fontId="301" fillId="26" borderId="0" xfId="0" applyNumberFormat="1" applyFont="1" applyFill="1" applyAlignment="1" applyProtection="1">
      <alignment horizontal="left" vertical="center"/>
      <protection locked="0"/>
    </xf>
    <xf numFmtId="0" fontId="158" fillId="42" borderId="0" xfId="0" quotePrefix="1" applyFont="1" applyFill="1" applyAlignment="1" applyProtection="1">
      <alignment horizontal="center" vertical="center"/>
      <protection locked="0" hidden="1"/>
    </xf>
    <xf numFmtId="0" fontId="287" fillId="44" borderId="0" xfId="0" applyFont="1" applyFill="1" applyAlignment="1" applyProtection="1">
      <alignment horizontal="left" vertical="center"/>
      <protection locked="0" hidden="1"/>
    </xf>
    <xf numFmtId="0" fontId="184" fillId="6" borderId="0" xfId="1" applyFont="1" applyFill="1" applyAlignment="1" applyProtection="1">
      <alignment horizontal="left" vertical="center"/>
      <protection locked="0"/>
    </xf>
    <xf numFmtId="0" fontId="175" fillId="4" borderId="0" xfId="0" quotePrefix="1" applyFont="1" applyFill="1" applyAlignment="1" applyProtection="1">
      <alignment horizontal="left"/>
      <protection locked="0" hidden="1"/>
    </xf>
    <xf numFmtId="0" fontId="148" fillId="6" borderId="0" xfId="0" applyFont="1" applyFill="1" applyAlignment="1" applyProtection="1">
      <alignment horizontal="center" vertical="center"/>
      <protection locked="0" hidden="1"/>
    </xf>
    <xf numFmtId="0" fontId="35" fillId="44" borderId="0" xfId="0" quotePrefix="1" applyFont="1" applyFill="1" applyAlignment="1" applyProtection="1">
      <alignment horizontal="left" vertical="center"/>
      <protection locked="0" hidden="1"/>
    </xf>
    <xf numFmtId="0" fontId="313" fillId="13" borderId="0" xfId="1" applyFont="1" applyFill="1" applyBorder="1" applyAlignment="1" applyProtection="1">
      <alignment horizontal="left" vertical="center"/>
      <protection locked="0" hidden="1"/>
    </xf>
    <xf numFmtId="0" fontId="159" fillId="42" borderId="0" xfId="0" applyFont="1" applyFill="1" applyAlignment="1" applyProtection="1">
      <alignment horizontal="center"/>
      <protection locked="0" hidden="1"/>
    </xf>
    <xf numFmtId="0" fontId="301" fillId="26" borderId="0" xfId="0" applyFont="1" applyFill="1" applyAlignment="1" applyProtection="1">
      <alignment horizontal="left" vertical="center"/>
      <protection locked="0" hidden="1"/>
    </xf>
    <xf numFmtId="164" fontId="175" fillId="4" borderId="25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24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26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27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0" xfId="0" quotePrefix="1" applyNumberFormat="1" applyFont="1" applyFill="1" applyAlignment="1" applyProtection="1">
      <alignment horizontal="center" vertical="center" wrapText="1"/>
      <protection locked="0"/>
    </xf>
    <xf numFmtId="164" fontId="175" fillId="4" borderId="28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29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30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31" xfId="0" quotePrefix="1" applyNumberFormat="1" applyFont="1" applyFill="1" applyBorder="1" applyAlignment="1" applyProtection="1">
      <alignment horizontal="center" vertical="center" wrapText="1"/>
      <protection locked="0"/>
    </xf>
    <xf numFmtId="0" fontId="268" fillId="31" borderId="0" xfId="0" applyFont="1" applyFill="1" applyAlignment="1" applyProtection="1">
      <alignment horizontal="left" vertical="center"/>
      <protection locked="0"/>
    </xf>
    <xf numFmtId="0" fontId="344" fillId="5" borderId="0" xfId="0" applyFont="1" applyFill="1" applyAlignment="1" applyProtection="1">
      <alignment horizontal="left" vertical="center"/>
      <protection locked="0" hidden="1"/>
    </xf>
    <xf numFmtId="164" fontId="243" fillId="13" borderId="0" xfId="0" applyNumberFormat="1" applyFont="1" applyFill="1" applyAlignment="1" applyProtection="1">
      <alignment horizontal="left" vertical="center"/>
      <protection locked="0" hidden="1"/>
    </xf>
    <xf numFmtId="164" fontId="244" fillId="13" borderId="0" xfId="0" applyNumberFormat="1" applyFont="1" applyFill="1" applyAlignment="1" applyProtection="1">
      <alignment horizontal="left" vertical="center"/>
      <protection locked="0" hidden="1"/>
    </xf>
    <xf numFmtId="164" fontId="243" fillId="13" borderId="35" xfId="0" applyNumberFormat="1" applyFont="1" applyFill="1" applyBorder="1" applyAlignment="1" applyProtection="1">
      <alignment horizontal="left" vertical="center"/>
      <protection locked="0" hidden="1"/>
    </xf>
    <xf numFmtId="0" fontId="88" fillId="6" borderId="0" xfId="0" applyFont="1" applyFill="1" applyAlignment="1" applyProtection="1">
      <alignment horizontal="center" vertical="center"/>
      <protection locked="0"/>
    </xf>
    <xf numFmtId="164" fontId="4" fillId="3" borderId="0" xfId="0" applyNumberFormat="1" applyFont="1" applyFill="1" applyAlignment="1" applyProtection="1">
      <alignment horizontal="left" vertical="center"/>
      <protection locked="0" hidden="1"/>
    </xf>
    <xf numFmtId="0" fontId="5" fillId="3" borderId="0" xfId="1" quotePrefix="1" applyFill="1" applyAlignment="1" applyProtection="1">
      <alignment horizontal="center" vertical="center"/>
      <protection locked="0"/>
    </xf>
    <xf numFmtId="0" fontId="32" fillId="17" borderId="0" xfId="1" quotePrefix="1" applyFont="1" applyFill="1" applyAlignment="1" applyProtection="1">
      <alignment horizontal="center" vertical="center"/>
      <protection locked="0" hidden="1"/>
    </xf>
    <xf numFmtId="0" fontId="341" fillId="17" borderId="0" xfId="0" quotePrefix="1" applyFont="1" applyFill="1" applyAlignment="1" applyProtection="1">
      <alignment horizontal="left" vertical="center"/>
      <protection locked="0" hidden="1"/>
    </xf>
    <xf numFmtId="164" fontId="234" fillId="5" borderId="0" xfId="0" applyNumberFormat="1" applyFont="1" applyFill="1" applyAlignment="1" applyProtection="1">
      <alignment horizontal="center" vertical="center"/>
      <protection locked="0" hidden="1"/>
    </xf>
    <xf numFmtId="0" fontId="254" fillId="24" borderId="34" xfId="0" applyFont="1" applyFill="1" applyBorder="1" applyAlignment="1" applyProtection="1">
      <alignment horizontal="center" vertical="center" wrapText="1"/>
      <protection locked="0" hidden="1"/>
    </xf>
    <xf numFmtId="0" fontId="254" fillId="24" borderId="0" xfId="0" applyFont="1" applyFill="1" applyAlignment="1" applyProtection="1">
      <alignment horizontal="center" vertical="center" wrapText="1"/>
      <protection locked="0" hidden="1"/>
    </xf>
    <xf numFmtId="0" fontId="174" fillId="17" borderId="2" xfId="0" quotePrefix="1" applyFont="1" applyFill="1" applyBorder="1" applyAlignment="1" applyProtection="1">
      <alignment horizontal="right" vertical="center"/>
      <protection locked="0" hidden="1"/>
    </xf>
    <xf numFmtId="0" fontId="175" fillId="6" borderId="0" xfId="0" applyFont="1" applyFill="1" applyAlignment="1" applyProtection="1">
      <alignment horizontal="center" vertical="center"/>
      <protection locked="0" hidden="1"/>
    </xf>
    <xf numFmtId="0" fontId="80" fillId="13" borderId="0" xfId="1" applyFont="1" applyFill="1" applyAlignment="1" applyProtection="1">
      <alignment horizontal="left" vertical="center"/>
      <protection locked="0" hidden="1"/>
    </xf>
    <xf numFmtId="164" fontId="4" fillId="13" borderId="0" xfId="0" applyNumberFormat="1" applyFont="1" applyFill="1" applyAlignment="1" applyProtection="1">
      <alignment horizontal="right" vertical="center"/>
      <protection locked="0" hidden="1"/>
    </xf>
    <xf numFmtId="0" fontId="317" fillId="3" borderId="0" xfId="1" applyFont="1" applyFill="1" applyAlignment="1" applyProtection="1">
      <alignment horizontal="center" vertical="center"/>
      <protection locked="0" hidden="1"/>
    </xf>
    <xf numFmtId="9" fontId="175" fillId="17" borderId="0" xfId="0" quotePrefix="1" applyNumberFormat="1" applyFont="1" applyFill="1" applyAlignment="1" applyProtection="1">
      <alignment horizontal="right" vertical="center"/>
      <protection locked="0" hidden="1"/>
    </xf>
    <xf numFmtId="164" fontId="200" fillId="3" borderId="0" xfId="0" applyNumberFormat="1" applyFont="1" applyFill="1" applyAlignment="1" applyProtection="1">
      <alignment horizontal="left" vertical="center"/>
      <protection locked="0" hidden="1"/>
    </xf>
    <xf numFmtId="0" fontId="28" fillId="0" borderId="0" xfId="0" applyFont="1" applyAlignment="1">
      <alignment vertical="center"/>
    </xf>
    <xf numFmtId="0" fontId="0" fillId="0" borderId="0" xfId="0"/>
    <xf numFmtId="0" fontId="28" fillId="3" borderId="0" xfId="0" applyFont="1" applyFill="1" applyAlignment="1">
      <alignment vertical="center" wrapText="1"/>
    </xf>
    <xf numFmtId="0" fontId="0" fillId="3" borderId="0" xfId="0" applyFill="1"/>
    <xf numFmtId="0" fontId="32" fillId="3" borderId="0" xfId="1" applyFont="1" applyFill="1" applyAlignment="1" applyProtection="1">
      <alignment horizontal="left" vertical="center"/>
      <protection hidden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3">
    <cellStyle name="Hyperlink" xfId="1" builtinId="8"/>
    <cellStyle name="Hyperlink 2" xfId="2" xr:uid="{9C33437B-8A13-485C-B3E1-83535D8EC052}"/>
    <cellStyle name="Normal" xfId="0" builtinId="0"/>
  </cellStyles>
  <dxfs count="22"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 val="0"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8D72A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2D86"/>
      </font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F84294"/>
      <color rgb="FFF72585"/>
      <color rgb="FF1D1B10"/>
      <color rgb="FFD5D5E3"/>
      <color rgb="FFBCBCD2"/>
      <color rgb="FF666699"/>
      <color rgb="FFC4FAFF"/>
      <color rgb="FF632523"/>
      <color rgb="FFBC00BC"/>
      <color rgb="FFC800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eciduousDescription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3.jpeg"/><Relationship Id="rId5" Type="http://schemas.openxmlformats.org/officeDocument/2006/relationships/hyperlink" Target="#Trees2Go_Price_Details"/><Relationship Id="rId4" Type="http://schemas.openxmlformats.org/officeDocument/2006/relationships/hyperlink" Target="#EvergreenDescription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151388</xdr:colOff>
      <xdr:row>4429</xdr:row>
      <xdr:rowOff>131634</xdr:rowOff>
    </xdr:from>
    <xdr:to>
      <xdr:col>29</xdr:col>
      <xdr:colOff>274361</xdr:colOff>
      <xdr:row>4434</xdr:row>
      <xdr:rowOff>18714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11F2226-A1F7-4037-9018-4C7FA71DB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2503" y="997772807"/>
          <a:ext cx="1529743" cy="693042"/>
        </a:xfrm>
        <a:prstGeom prst="rect">
          <a:avLst/>
        </a:prstGeom>
      </xdr:spPr>
    </xdr:pic>
    <xdr:clientData/>
  </xdr:twoCellAnchor>
  <xdr:twoCellAnchor>
    <xdr:from>
      <xdr:col>7</xdr:col>
      <xdr:colOff>446943</xdr:colOff>
      <xdr:row>4485</xdr:row>
      <xdr:rowOff>73270</xdr:rowOff>
    </xdr:from>
    <xdr:to>
      <xdr:col>11</xdr:col>
      <xdr:colOff>234226</xdr:colOff>
      <xdr:row>4488</xdr:row>
      <xdr:rowOff>18406</xdr:rowOff>
    </xdr:to>
    <xdr:pic>
      <xdr:nvPicPr>
        <xdr:cNvPr id="9" name="Picture 8" descr="Trees2Go.com logo.&#10;T2G is abbreviation.">
          <a:extLst>
            <a:ext uri="{FF2B5EF4-FFF2-40B4-BE49-F238E27FC236}">
              <a16:creationId xmlns:a16="http://schemas.microsoft.com/office/drawing/2014/main" id="{D3B36D3C-7ADC-475B-BC6E-9A5DBA46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289" y="832660847"/>
          <a:ext cx="1934072" cy="42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F22C5-27AF-4C95-BA41-009D4AB31B65}"/>
            </a:ext>
          </a:extLst>
        </xdr:cNvPr>
        <xdr:cNvSpPr txBox="1"/>
      </xdr:nvSpPr>
      <xdr:spPr>
        <a:xfrm>
          <a:off x="18375313" y="19637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0A677ED-D31E-41F1-857A-AD0BB9B648FE}"/>
            </a:ext>
          </a:extLst>
        </xdr:cNvPr>
        <xdr:cNvSpPr txBox="1"/>
      </xdr:nvSpPr>
      <xdr:spPr>
        <a:xfrm>
          <a:off x="23412450" y="197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5</xdr:col>
      <xdr:colOff>114299</xdr:colOff>
      <xdr:row>7</xdr:row>
      <xdr:rowOff>0</xdr:rowOff>
    </xdr:from>
    <xdr:to>
      <xdr:col>9</xdr:col>
      <xdr:colOff>38099</xdr:colOff>
      <xdr:row>8</xdr:row>
      <xdr:rowOff>19812</xdr:rowOff>
    </xdr:to>
    <xdr:sp macro="" textlink="">
      <xdr:nvSpPr>
        <xdr:cNvPr id="17" name="Rectangle: Rounded Corners 16">
          <a:hlinkClick xmlns:r="http://schemas.openxmlformats.org/officeDocument/2006/relationships" r:id="rId3" tooltip="Deciduous plants lose their foliage each fall, and then grow all-new foliage around spring-time."/>
          <a:extLst>
            <a:ext uri="{FF2B5EF4-FFF2-40B4-BE49-F238E27FC236}">
              <a16:creationId xmlns:a16="http://schemas.microsoft.com/office/drawing/2014/main" id="{D9CF1011-AB5C-4F27-8F54-4E35551F0CA4}"/>
            </a:ext>
          </a:extLst>
        </xdr:cNvPr>
        <xdr:cNvSpPr/>
      </xdr:nvSpPr>
      <xdr:spPr>
        <a:xfrm>
          <a:off x="3343274" y="1504950"/>
          <a:ext cx="1571625" cy="210312"/>
        </a:xfrm>
        <a:prstGeom prst="roundRect">
          <a:avLst/>
        </a:prstGeom>
        <a:solidFill>
          <a:srgbClr val="FDE2CB"/>
        </a:solidFill>
        <a:ln w="57150">
          <a:solidFill>
            <a:schemeClr val="accent2">
              <a:lumMod val="75000"/>
            </a:schemeClr>
          </a:solidFill>
        </a:ln>
        <a:effectLst>
          <a:glow rad="12700">
            <a:srgbClr val="F9AD6F">
              <a:alpha val="20000"/>
            </a:srgbClr>
          </a:glow>
          <a:softEdge rad="508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DECIDUOUS</a:t>
          </a:r>
          <a:r>
            <a:rPr lang="en-US" sz="900" b="1" baseline="0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 in peach</a:t>
          </a:r>
          <a:endParaRPr lang="en-US" sz="900" b="1">
            <a:solidFill>
              <a:srgbClr val="6E2A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438150</xdr:colOff>
      <xdr:row>6</xdr:row>
      <xdr:rowOff>266699</xdr:rowOff>
    </xdr:from>
    <xdr:to>
      <xdr:col>4</xdr:col>
      <xdr:colOff>514349</xdr:colOff>
      <xdr:row>8</xdr:row>
      <xdr:rowOff>19811</xdr:rowOff>
    </xdr:to>
    <xdr:sp macro="" textlink="">
      <xdr:nvSpPr>
        <xdr:cNvPr id="18" name="Rectangle: Rounded Corners 17">
          <a:hlinkClick xmlns:r="http://schemas.openxmlformats.org/officeDocument/2006/relationships" r:id="rId4" tooltip="Evergreen plants retain their foliage year-round. Includes 'Semi-Evergreen', which lose foliage when new leaves push the old off, but appear Evergreen most all the time. Colder winters may cause temporary defoliation."/>
          <a:extLst>
            <a:ext uri="{FF2B5EF4-FFF2-40B4-BE49-F238E27FC236}">
              <a16:creationId xmlns:a16="http://schemas.microsoft.com/office/drawing/2014/main" id="{C6ECCC55-559E-461E-9DC8-3404A7123CAC}"/>
            </a:ext>
          </a:extLst>
        </xdr:cNvPr>
        <xdr:cNvSpPr/>
      </xdr:nvSpPr>
      <xdr:spPr>
        <a:xfrm>
          <a:off x="1057275" y="1504949"/>
          <a:ext cx="2038349" cy="210312"/>
        </a:xfrm>
        <a:prstGeom prst="roundRect">
          <a:avLst/>
        </a:prstGeom>
        <a:solidFill>
          <a:srgbClr val="D9E5BD"/>
        </a:solidFill>
        <a:ln w="57150">
          <a:solidFill>
            <a:srgbClr val="003E00"/>
          </a:solidFill>
        </a:ln>
        <a:effectLst>
          <a:glow rad="12700">
            <a:schemeClr val="accent3">
              <a:satMod val="175000"/>
              <a:alpha val="20000"/>
            </a:schemeClr>
          </a:glow>
          <a:softEdge rad="635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EVERGREEN</a:t>
          </a:r>
          <a:r>
            <a:rPr lang="en-US" sz="900" b="1" baseline="0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  plants in green</a:t>
          </a:r>
          <a:endParaRPr lang="en-US" sz="900" b="1">
            <a:solidFill>
              <a:srgbClr val="003E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26" name="KeepInitialHeight">
          <a:extLst>
            <a:ext uri="{FF2B5EF4-FFF2-40B4-BE49-F238E27FC236}">
              <a16:creationId xmlns:a16="http://schemas.microsoft.com/office/drawing/2014/main" id="{87FBDD46-8679-4619-8CF4-3372BF7AB4DC}"/>
            </a:ext>
          </a:extLst>
        </xdr:cNvPr>
        <xdr:cNvSpPr/>
      </xdr:nvSpPr>
      <xdr:spPr>
        <a:xfrm>
          <a:off x="1008784" y="960293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50" b="1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Initial</a:t>
          </a:r>
          <a:r>
            <a:rPr lang="en-US" sz="950" b="1" baseline="0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 Height</a:t>
          </a:r>
          <a:endParaRPr lang="en-US" sz="950" b="1">
            <a:solidFill>
              <a:srgbClr val="66FF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181840</xdr:colOff>
      <xdr:row>4</xdr:row>
      <xdr:rowOff>8659</xdr:rowOff>
    </xdr:from>
    <xdr:to>
      <xdr:col>9</xdr:col>
      <xdr:colOff>506556</xdr:colOff>
      <xdr:row>5</xdr:row>
      <xdr:rowOff>14720</xdr:rowOff>
    </xdr:to>
    <xdr:sp macro="" textlink="">
      <xdr:nvSpPr>
        <xdr:cNvPr id="27" name="KeepPriceDetails" descr="go to Trees2Go Price Details near bottom">
          <a:hlinkClick xmlns:r="http://schemas.openxmlformats.org/officeDocument/2006/relationships" r:id="rId5" tooltip="go to Trees2Go Price Details near bottom of page"/>
          <a:extLst>
            <a:ext uri="{FF2B5EF4-FFF2-40B4-BE49-F238E27FC236}">
              <a16:creationId xmlns:a16="http://schemas.microsoft.com/office/drawing/2014/main" id="{30028CE8-0E6D-40B7-A8DF-EB851D46D69A}"/>
            </a:ext>
          </a:extLst>
        </xdr:cNvPr>
        <xdr:cNvSpPr/>
      </xdr:nvSpPr>
      <xdr:spPr>
        <a:xfrm>
          <a:off x="4477615" y="951634"/>
          <a:ext cx="905741" cy="158461"/>
        </a:xfrm>
        <a:prstGeom prst="roundRect">
          <a:avLst/>
        </a:prstGeom>
        <a:solidFill>
          <a:srgbClr val="C0B3D1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FF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8" name="KeepInitialHeight">
          <a:extLst>
            <a:ext uri="{FF2B5EF4-FFF2-40B4-BE49-F238E27FC236}">
              <a16:creationId xmlns:a16="http://schemas.microsoft.com/office/drawing/2014/main" id="{E5503403-AE7E-4583-B204-A3B0B4B70DE6}"/>
            </a:ext>
          </a:extLst>
        </xdr:cNvPr>
        <xdr:cNvSpPr/>
      </xdr:nvSpPr>
      <xdr:spPr>
        <a:xfrm>
          <a:off x="1008784" y="950768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00" b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Initial</a:t>
          </a:r>
          <a:r>
            <a:rPr lang="en-US" sz="900" b="0" baseline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 Height</a:t>
          </a:r>
          <a:endParaRPr lang="en-US" sz="900" b="0">
            <a:solidFill>
              <a:srgbClr val="FFC343"/>
            </a:solidFill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19051</xdr:colOff>
      <xdr:row>2</xdr:row>
      <xdr:rowOff>133350</xdr:rowOff>
    </xdr:from>
    <xdr:to>
      <xdr:col>2</xdr:col>
      <xdr:colOff>133350</xdr:colOff>
      <xdr:row>6</xdr:row>
      <xdr:rowOff>38099</xdr:rowOff>
    </xdr:to>
    <xdr:sp macro="" textlink="">
      <xdr:nvSpPr>
        <xdr:cNvPr id="11" name="KeepGrower">
          <a:extLst>
            <a:ext uri="{FF2B5EF4-FFF2-40B4-BE49-F238E27FC236}">
              <a16:creationId xmlns:a16="http://schemas.microsoft.com/office/drawing/2014/main" id="{A58D5F85-C6E6-4ECC-B426-A7C812E05C33}"/>
            </a:ext>
          </a:extLst>
        </xdr:cNvPr>
        <xdr:cNvSpPr/>
      </xdr:nvSpPr>
      <xdr:spPr>
        <a:xfrm>
          <a:off x="19051" y="762000"/>
          <a:ext cx="733424" cy="5143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Latin</a:t>
          </a:r>
          <a:r>
            <a:rPr lang="en-US" sz="950" b="1" baseline="0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 Name &amp; Pot Size</a:t>
          </a:r>
          <a:endParaRPr lang="en-US" sz="950" b="1">
            <a:solidFill>
              <a:srgbClr val="00408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544285</xdr:colOff>
      <xdr:row>1</xdr:row>
      <xdr:rowOff>76872</xdr:rowOff>
    </xdr:from>
    <xdr:to>
      <xdr:col>5</xdr:col>
      <xdr:colOff>135560</xdr:colOff>
      <xdr:row>4</xdr:row>
      <xdr:rowOff>94946</xdr:rowOff>
    </xdr:to>
    <xdr:pic>
      <xdr:nvPicPr>
        <xdr:cNvPr id="12" name="KeepTrees2Go" descr="Trees2Go.com logo.&#10;T2G is abbreviation.">
          <a:extLst>
            <a:ext uri="{FF2B5EF4-FFF2-40B4-BE49-F238E27FC236}">
              <a16:creationId xmlns:a16="http://schemas.microsoft.com/office/drawing/2014/main" id="{0794FD82-1FF0-46E7-9296-3A84F85D2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410" y="553122"/>
          <a:ext cx="2201125" cy="47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1465489</xdr:colOff>
      <xdr:row>4</xdr:row>
      <xdr:rowOff>114301</xdr:rowOff>
    </xdr:from>
    <xdr:to>
      <xdr:col>4</xdr:col>
      <xdr:colOff>219074</xdr:colOff>
      <xdr:row>6</xdr:row>
      <xdr:rowOff>28575</xdr:rowOff>
    </xdr:to>
    <xdr:sp macro="" textlink="">
      <xdr:nvSpPr>
        <xdr:cNvPr id="13" name="KeepGrower">
          <a:extLst>
            <a:ext uri="{FF2B5EF4-FFF2-40B4-BE49-F238E27FC236}">
              <a16:creationId xmlns:a16="http://schemas.microsoft.com/office/drawing/2014/main" id="{F09005E6-7AA0-41F6-AC3C-54FE4EE61707}"/>
            </a:ext>
          </a:extLst>
        </xdr:cNvPr>
        <xdr:cNvSpPr/>
      </xdr:nvSpPr>
      <xdr:spPr>
        <a:xfrm>
          <a:off x="2084614" y="1047751"/>
          <a:ext cx="715735" cy="2190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Grower</a:t>
          </a:r>
        </a:p>
      </xdr:txBody>
    </xdr:sp>
    <xdr:clientData/>
  </xdr:twoCellAnchor>
  <xdr:twoCellAnchor>
    <xdr:from>
      <xdr:col>8</xdr:col>
      <xdr:colOff>181840</xdr:colOff>
      <xdr:row>3</xdr:row>
      <xdr:rowOff>151534</xdr:rowOff>
    </xdr:from>
    <xdr:to>
      <xdr:col>9</xdr:col>
      <xdr:colOff>506556</xdr:colOff>
      <xdr:row>5</xdr:row>
      <xdr:rowOff>5195</xdr:rowOff>
    </xdr:to>
    <xdr:sp macro="" textlink="">
      <xdr:nvSpPr>
        <xdr:cNvPr id="14" name="KeepPriceDetails" descr="go to Trees2Go Price Details near bottom">
          <a:hlinkClick xmlns:r="http://schemas.openxmlformats.org/officeDocument/2006/relationships" r:id="rId5" tooltip="go to Trees2Go Price Details near bottom of page"/>
          <a:extLst>
            <a:ext uri="{FF2B5EF4-FFF2-40B4-BE49-F238E27FC236}">
              <a16:creationId xmlns:a16="http://schemas.microsoft.com/office/drawing/2014/main" id="{83AFA7E8-1AEC-4B16-AE71-4F9EB58A5734}"/>
            </a:ext>
          </a:extLst>
        </xdr:cNvPr>
        <xdr:cNvSpPr/>
      </xdr:nvSpPr>
      <xdr:spPr>
        <a:xfrm>
          <a:off x="4477615" y="932584"/>
          <a:ext cx="905741" cy="158461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323947</xdr:colOff>
      <xdr:row>4431</xdr:row>
      <xdr:rowOff>108259</xdr:rowOff>
    </xdr:from>
    <xdr:to>
      <xdr:col>2</xdr:col>
      <xdr:colOff>1148685</xdr:colOff>
      <xdr:row>4436</xdr:row>
      <xdr:rowOff>123595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411C7-35D7-4C08-B70D-74177853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943072" y="996208947"/>
          <a:ext cx="824738" cy="809087"/>
        </a:xfrm>
        <a:prstGeom prst="rect">
          <a:avLst/>
        </a:prstGeom>
      </xdr:spPr>
    </xdr:pic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563F0F2-E3FA-4949-A7B3-438F46D65A85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2895B16-D2C0-4DF1-8A8D-96D513E4C586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0E854F0-6B6F-41F6-8D0A-4EBF4F3D8714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30</xdr:col>
      <xdr:colOff>314325</xdr:colOff>
      <xdr:row>1</xdr:row>
      <xdr:rowOff>19050</xdr:rowOff>
    </xdr:from>
    <xdr:to>
      <xdr:col>33</xdr:col>
      <xdr:colOff>376363</xdr:colOff>
      <xdr:row>4</xdr:row>
      <xdr:rowOff>138213</xdr:rowOff>
    </xdr:to>
    <xdr:pic>
      <xdr:nvPicPr>
        <xdr:cNvPr id="5" name="EdisonBox">
          <a:extLst>
            <a:ext uri="{FF2B5EF4-FFF2-40B4-BE49-F238E27FC236}">
              <a16:creationId xmlns:a16="http://schemas.microsoft.com/office/drawing/2014/main" id="{A721DB9C-B0C9-42B7-A438-D3D49E0F3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677525" y="495300"/>
          <a:ext cx="1252663" cy="576363"/>
        </a:xfrm>
        <a:prstGeom prst="rect">
          <a:avLst/>
        </a:prstGeom>
        <a:noFill/>
        <a:ln>
          <a:noFill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2</xdr:row>
      <xdr:rowOff>9525</xdr:rowOff>
    </xdr:from>
    <xdr:to>
      <xdr:col>4</xdr:col>
      <xdr:colOff>457226</xdr:colOff>
      <xdr:row>16</xdr:row>
      <xdr:rowOff>3</xdr:rowOff>
    </xdr:to>
    <xdr:pic>
      <xdr:nvPicPr>
        <xdr:cNvPr id="3" name="KeepPlantingPicture">
          <a:extLst>
            <a:ext uri="{FF2B5EF4-FFF2-40B4-BE49-F238E27FC236}">
              <a16:creationId xmlns:a16="http://schemas.microsoft.com/office/drawing/2014/main" id="{56E21B47-266C-4571-B276-92FFDC1F4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925" y="390525"/>
          <a:ext cx="3914801" cy="2657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ike@Trees2Go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trees2go.com/faq/" TargetMode="External"/><Relationship Id="rId7" Type="http://schemas.openxmlformats.org/officeDocument/2006/relationships/hyperlink" Target="https://www.edisonscapes.com/" TargetMode="External"/><Relationship Id="rId12" Type="http://schemas.openxmlformats.org/officeDocument/2006/relationships/hyperlink" Target="https://www.trees2go.com/faq/" TargetMode="External"/><Relationship Id="rId2" Type="http://schemas.openxmlformats.org/officeDocument/2006/relationships/hyperlink" Target="https://nc811.org/safe-digging-process/" TargetMode="External"/><Relationship Id="rId1" Type="http://schemas.openxmlformats.org/officeDocument/2006/relationships/hyperlink" Target="https://www.edisonscapes.com/" TargetMode="External"/><Relationship Id="rId6" Type="http://schemas.openxmlformats.org/officeDocument/2006/relationships/hyperlink" Target="https://www.edisonscapes.com/" TargetMode="External"/><Relationship Id="rId11" Type="http://schemas.openxmlformats.org/officeDocument/2006/relationships/hyperlink" Target="mailto:Shop@Trees2Go.com" TargetMode="External"/><Relationship Id="rId5" Type="http://schemas.openxmlformats.org/officeDocument/2006/relationships/hyperlink" Target="https://www.edisonscapes.com/" TargetMode="External"/><Relationship Id="rId10" Type="http://schemas.openxmlformats.org/officeDocument/2006/relationships/hyperlink" Target="mailto:Shop@Trees2Go.com" TargetMode="External"/><Relationship Id="rId4" Type="http://schemas.openxmlformats.org/officeDocument/2006/relationships/hyperlink" Target="https://www.trees2go.com/sources/" TargetMode="External"/><Relationship Id="rId9" Type="http://schemas.openxmlformats.org/officeDocument/2006/relationships/hyperlink" Target="mailto:Shop@Trees2Go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BP5590"/>
  <sheetViews>
    <sheetView showGridLines="0" tabSelected="1" zoomScaleNormal="100" workbookViewId="0">
      <pane ySplit="6" topLeftCell="A7" activePane="bottomLeft" state="frozen"/>
      <selection pane="bottomLeft" activeCell="A4" sqref="A4:B4"/>
    </sheetView>
  </sheetViews>
  <sheetFormatPr defaultColWidth="9.140625" defaultRowHeight="15" x14ac:dyDescent="0.25"/>
  <cols>
    <col min="1" max="1" width="4.5703125" style="78" customWidth="1"/>
    <col min="2" max="2" width="4.7109375" style="125" customWidth="1"/>
    <col min="3" max="3" width="25.7109375" style="78" customWidth="1"/>
    <col min="4" max="4" width="3.7109375" style="124" customWidth="1"/>
    <col min="5" max="5" width="9.7109375" style="124" customWidth="1"/>
    <col min="6" max="6" width="4.28515625" style="126" customWidth="1"/>
    <col min="7" max="7" width="4.140625" style="127" customWidth="1"/>
    <col min="8" max="8" width="7.5703125" style="71" customWidth="1"/>
    <col min="9" max="9" width="8.7109375" style="129" customWidth="1"/>
    <col min="10" max="10" width="8.28515625" style="129" customWidth="1"/>
    <col min="11" max="11" width="7.7109375" style="100" customWidth="1"/>
    <col min="12" max="12" width="4.42578125" style="551" customWidth="1"/>
    <col min="13" max="13" width="1.42578125" style="538" customWidth="1"/>
    <col min="14" max="14" width="6.85546875" style="158" customWidth="1"/>
    <col min="15" max="15" width="4.85546875" style="142" customWidth="1"/>
    <col min="16" max="16" width="4.85546875" style="125" customWidth="1"/>
    <col min="17" max="18" width="4.85546875" style="143" customWidth="1"/>
    <col min="19" max="19" width="4.85546875" style="125" customWidth="1"/>
    <col min="20" max="20" width="0.28515625" style="109" customWidth="1"/>
    <col min="21" max="22" width="0.28515625" style="144" customWidth="1"/>
    <col min="23" max="24" width="0.28515625" style="78" customWidth="1"/>
    <col min="25" max="25" width="0.28515625" style="102" customWidth="1"/>
    <col min="26" max="26" width="0.5703125" style="78" customWidth="1"/>
    <col min="27" max="27" width="1" style="78" customWidth="1"/>
    <col min="28" max="28" width="12.42578125" style="124" customWidth="1"/>
    <col min="29" max="29" width="8.7109375" style="124" customWidth="1"/>
    <col min="30" max="30" width="4.85546875" style="78" customWidth="1"/>
    <col min="31" max="31" width="5.140625" style="124" customWidth="1"/>
    <col min="32" max="32" width="11.85546875" style="124" customWidth="1"/>
    <col min="33" max="33" width="0.85546875" style="95" customWidth="1"/>
    <col min="34" max="34" width="8.28515625" style="95" customWidth="1"/>
    <col min="35" max="35" width="2" style="95" customWidth="1"/>
    <col min="36" max="36" width="13.7109375" style="154" customWidth="1"/>
    <col min="37" max="37" width="2" style="78" customWidth="1"/>
    <col min="38" max="38" width="14" style="78" customWidth="1"/>
    <col min="39" max="39" width="9.28515625" style="78" customWidth="1"/>
    <col min="40" max="40" width="13" style="78" customWidth="1"/>
    <col min="41" max="41" width="2" style="78" customWidth="1"/>
    <col min="42" max="42" width="1.85546875" style="78" customWidth="1"/>
    <col min="43" max="43" width="2.5703125" style="78" customWidth="1"/>
    <col min="44" max="44" width="4.28515625" style="78" customWidth="1"/>
    <col min="45" max="45" width="15.85546875" style="78" customWidth="1"/>
    <col min="46" max="46" width="14.28515625" style="78" customWidth="1"/>
    <col min="47" max="48" width="1.42578125" style="78" customWidth="1"/>
    <col min="49" max="49" width="11.140625" style="78" customWidth="1"/>
    <col min="50" max="50" width="6.140625" style="78" customWidth="1"/>
    <col min="51" max="51" width="5" style="78" customWidth="1"/>
    <col min="52" max="52" width="21.7109375" style="78" customWidth="1"/>
    <col min="53" max="53" width="30.28515625" style="78" customWidth="1"/>
    <col min="54" max="54" width="21.7109375" style="78" customWidth="1"/>
    <col min="55" max="55" width="20.85546875" style="78" customWidth="1"/>
    <col min="56" max="56" width="2.140625" style="78" customWidth="1"/>
    <col min="57" max="57" width="5.85546875" style="78" customWidth="1"/>
    <col min="58" max="58" width="11.28515625" style="78" customWidth="1"/>
    <col min="59" max="59" width="6.140625" style="102" customWidth="1"/>
    <col min="60" max="16384" width="9.140625" style="78"/>
  </cols>
  <sheetData>
    <row r="1" spans="1:68" ht="12" customHeight="1" thickBot="1" x14ac:dyDescent="0.3">
      <c r="A1" s="167" t="str" cm="1">
        <f t="array" aca="1" ref="A1" ca="1">"Your 'Buy' choices by row: "&amp;_xlfn.TEXTJOIN(",",TRUE,IF(G12:G4413&gt;0,ROW(G12:G4413)&amp;BG12:BG4413,""))</f>
        <v xml:space="preserve">Your 'Buy' choices by row: </v>
      </c>
      <c r="B1" s="79"/>
      <c r="C1" s="80"/>
      <c r="D1" s="81"/>
      <c r="E1" s="82"/>
      <c r="F1" s="83"/>
      <c r="G1" s="84"/>
      <c r="H1" s="85"/>
      <c r="I1" s="167"/>
      <c r="J1" s="86"/>
      <c r="K1" s="87"/>
      <c r="L1" s="88"/>
      <c r="M1" s="89"/>
      <c r="N1" s="90"/>
      <c r="O1" s="91"/>
      <c r="P1" s="91"/>
      <c r="Q1" s="91"/>
      <c r="R1" s="91"/>
      <c r="S1" s="92"/>
      <c r="T1" s="91"/>
      <c r="U1" s="93"/>
      <c r="V1" s="93"/>
      <c r="W1" s="91"/>
      <c r="X1" s="52"/>
      <c r="Y1" s="94"/>
      <c r="Z1" s="668"/>
      <c r="AA1" s="669"/>
      <c r="AB1" s="670"/>
      <c r="AC1" s="664"/>
      <c r="AD1" s="664"/>
      <c r="AE1" s="664"/>
      <c r="AF1" s="664"/>
      <c r="AG1" s="664"/>
      <c r="AH1" s="665"/>
      <c r="AI1" s="171"/>
      <c r="AJ1" s="172"/>
      <c r="AK1" s="173"/>
      <c r="AL1" s="174"/>
      <c r="AM1" s="205"/>
      <c r="AN1" s="169"/>
      <c r="AO1" s="205"/>
      <c r="AP1" s="205"/>
      <c r="AQ1" s="205"/>
      <c r="AR1" s="205"/>
      <c r="AS1" s="169"/>
      <c r="AT1" s="169"/>
      <c r="AU1" s="169"/>
      <c r="AV1" s="169"/>
      <c r="AW1" s="169"/>
      <c r="AX1" s="205"/>
      <c r="AY1" s="205"/>
      <c r="AZ1" s="205"/>
      <c r="BA1" s="173"/>
      <c r="BB1" s="173"/>
      <c r="BC1" s="173"/>
      <c r="BD1" s="173"/>
      <c r="BE1" s="173"/>
      <c r="BF1" s="173"/>
      <c r="BG1" s="170"/>
      <c r="BH1" s="161"/>
      <c r="BI1" s="161"/>
      <c r="BJ1" s="161"/>
      <c r="BK1" s="161"/>
      <c r="BL1" s="161"/>
      <c r="BM1" s="161"/>
      <c r="BN1" s="161"/>
      <c r="BO1" s="161"/>
      <c r="BP1" s="161"/>
    </row>
    <row r="2" spans="1:68" ht="12" customHeight="1" thickBot="1" x14ac:dyDescent="0.3">
      <c r="A2" s="566" t="s">
        <v>5921</v>
      </c>
      <c r="B2" s="567"/>
      <c r="C2" s="590" t="str">
        <f>IF(EnterMiles&gt;0,"free delivery to edge of area       ","free local delivery       ")</f>
        <v xml:space="preserve">free local delivery       </v>
      </c>
      <c r="D2" s="811" t="s">
        <v>1032</v>
      </c>
      <c r="E2" s="812"/>
      <c r="F2" s="813"/>
      <c r="G2" s="810" t="s">
        <v>470</v>
      </c>
      <c r="H2" s="810"/>
      <c r="I2" s="795" t="str">
        <f>IF(AND(PriceitQODC="Price it",MSTryEO="try"),"save your choices in a copy of Price it ",IF(AND(PriceitQODC=" Price it by TYPE ",MSTryEO="try"),"save your choices in a copy of Price it",IF(AND(PriceitQODC=" Price it by Latin ",MSTryEO="try"),"save your choices in a copy of Price it",IF(AND(PriceitQODC=" Price it by Common",MSTryEO="try"),"save your choices in a copy of Price it",IF(AND(MSTryEO="MS",TotalPlantsG=0),"please click 'Enable Editing' at top       ",IF(AND(MSTryEO="MS",TotalPlantsG&gt;0),"share choices to Shop@Trees2Go.com",IF(AND(MSTryEO="eo",TotalPlantsG&lt;10),"'Edit Workbook' &gt; 'File' &gt; 'Create a Copy'",IF(AND(MSTryEO="eo",TotalPlantsG&gt;10),"share choices to Shop@Trees2Go.com",IF(MileageFeeNoConcatenate&gt;0,CONCATENATE("includes $",MileageFeeNoConcatenate," mileage fee  "),IF(PriceitQODC="Quote","Check ↖ your ↙ data carefully              ",IF(PriceitQODC="Order","Please re-check order carefully          ",IF(PriceitQODC="Delivered","Accrued Discount will apply next order",IF(PriceitQODC="Completed","Accrued Discount will apply next order",IF(TotalPlantsG&gt;10,"share choices to Shop@Trees2Go.com","share choices to Shop@Trees2Go.com"))))))))))))))</f>
        <v xml:space="preserve">please click 'Enable Editing' at top       </v>
      </c>
      <c r="J2" s="795"/>
      <c r="K2" s="795"/>
      <c r="L2" s="795"/>
      <c r="M2" s="585" t="str">
        <f>IF(MSTryEO="try","⇖",IF(AND(MSTryEO="MS",TotalPlantsG=0),"",IF(AND(MSTryEO="MS",TotalPlantsG&gt;0),"",IF(AND(MSTryEO="eo",TotalPlantsG=0),"",IF(AND(MSTryEO="eo",TotalPlantsG&gt;0),"",IF(MileageFeeNoConcatenate&gt;0,CONCATENATE(""),IF(PriceitQODC="Quote","",IF(PriceitQODC="Order","",IF(PriceitQODC="Delivered","↙",IF(PriceitQODC="Completed","↙",IF(TotalPlantsG&gt;0,"",IF(PriceitQODC="","",""))))))))))))</f>
        <v/>
      </c>
      <c r="N2" s="53" t="str" cm="1">
        <f t="array" aca="1" ref="N2" ca="1">_xlfn.IFNA(HYPERLINK("#" &amp; ADDRESS(MATCH("A", INDIRECT("A12:A4162"), 0) + ROW(INDIRECT("A12")) - 1, 1), "A"), "")</f>
        <v>A</v>
      </c>
      <c r="O2" s="53" t="str" cm="1">
        <f t="array" aca="1" ref="O2" ca="1">_xlfn.IFNA(HYPERLINK("#" &amp; ADDRESS(MATCH("B", INDIRECT("A16:A4162"), 0) + ROW(INDIRECT("A16")) - 1, 1), "B"), "")</f>
        <v>B</v>
      </c>
      <c r="P2" s="53" t="str" cm="1">
        <f t="array" aca="1" ref="P2" ca="1">_xlfn.IFNA(HYPERLINK("#" &amp; ADDRESS(MATCH("C", INDIRECT("A16:A4162"), 0) + ROW(INDIRECT("A16")) - 1, 1), "C"), "")</f>
        <v>C</v>
      </c>
      <c r="Q2" s="53" t="str" cm="1">
        <f t="array" aca="1" ref="Q2" ca="1">_xlfn.IFNA(HYPERLINK("#" &amp; ADDRESS(MATCH("D", INDIRECT("A16:A4162"), 0) + ROW(INDIRECT("A16")) - 1, 1), "D"), "")</f>
        <v>D</v>
      </c>
      <c r="R2" s="53" t="str" cm="1">
        <f t="array" aca="1" ref="R2" ca="1">_xlfn.IFNA(HYPERLINK("#" &amp; ADDRESS(MATCH("E", INDIRECT("A16:A4162"), 0) + ROW(INDIRECT("A16")) - 1, 1), "E"), "")</f>
        <v>E</v>
      </c>
      <c r="S2" s="53" t="str" cm="1">
        <f t="array" aca="1" ref="S2" ca="1">_xlfn.IFNA(HYPERLINK("#" &amp; ADDRESS(MATCH("F", INDIRECT("A16:A4162"), 0) + ROW(INDIRECT("A16")) - 1, 1), "F"), "")</f>
        <v>F</v>
      </c>
      <c r="T2" s="54"/>
      <c r="U2" s="72"/>
      <c r="V2" s="72"/>
      <c r="W2" s="72"/>
      <c r="X2" s="55"/>
      <c r="Y2" s="55"/>
      <c r="Z2" s="671"/>
      <c r="AA2" s="672"/>
      <c r="AB2" s="673" t="str">
        <f>IF(PlantingTotalHeader=0,"OPTIONAL",IF(OR(PlanterYesMe="yes",PlanterYesMe="y"),"Bring in",IF(OR(PlanterYesMe="No",PlanterYesMe="N",PlanterYesMe="me"),"Pass on","OPTIONAL")))</f>
        <v>OPTIONAL</v>
      </c>
      <c r="AC2" s="822" t="s">
        <v>918</v>
      </c>
      <c r="AD2" s="822"/>
      <c r="AE2" s="822"/>
      <c r="AF2" s="666"/>
      <c r="AG2" s="666"/>
      <c r="AH2" s="667"/>
      <c r="AI2" s="206"/>
      <c r="AJ2" s="207" t="str">
        <f>IF(PlanterYesMe="","if Trees2Go+Edison",IF(AND(T2G_Delivery_Total&gt;0,PlantingTotalHeader=0),"T2G DELIVERY",IF(OR(PlanterYesMe="yes",PlanterYesMe="y"),"Trees2Go+Edison",IF(PlanterYesMe="","Trees2Go+Edison","T2G DELIVERY "))))</f>
        <v>if Trees2Go+Edison</v>
      </c>
      <c r="AK2" s="206"/>
      <c r="AL2" s="564" t="s">
        <v>164</v>
      </c>
      <c r="AM2" s="208"/>
      <c r="AN2" s="208"/>
      <c r="AO2" s="208"/>
      <c r="AP2" s="208"/>
      <c r="AQ2" s="208"/>
      <c r="AR2" s="208"/>
      <c r="AS2" s="208"/>
      <c r="AT2" s="56"/>
      <c r="AU2" s="57"/>
      <c r="AV2" s="209"/>
      <c r="AW2" s="786" t="s">
        <v>165</v>
      </c>
      <c r="AX2" s="786"/>
      <c r="AY2" s="786"/>
      <c r="AZ2" s="786"/>
      <c r="BA2" s="786"/>
      <c r="BB2" s="175"/>
      <c r="BC2" s="210" t="s">
        <v>172</v>
      </c>
      <c r="BD2" s="782" t="s">
        <v>0</v>
      </c>
      <c r="BE2" s="782"/>
      <c r="BF2" s="782"/>
      <c r="BG2" s="170"/>
      <c r="BH2" s="161"/>
      <c r="BI2" s="161"/>
      <c r="BJ2"/>
      <c r="BK2" s="161"/>
      <c r="BL2" s="161"/>
      <c r="BM2" s="161"/>
      <c r="BN2" s="161"/>
      <c r="BO2" s="161"/>
      <c r="BP2" s="161"/>
    </row>
    <row r="3" spans="1:68" ht="12" customHeight="1" x14ac:dyDescent="0.25">
      <c r="A3" s="568"/>
      <c r="B3" s="569"/>
      <c r="C3" s="570"/>
      <c r="D3" s="574"/>
      <c r="E3" s="574"/>
      <c r="F3" s="575"/>
      <c r="G3" s="466" t="s">
        <v>1</v>
      </c>
      <c r="H3" s="747" t="str">
        <f>IF(NoWarrantyDiscount&gt;0,"T2G Discount+Warranty Delete:",IF(TotalPlantsG&gt;0,"Trees2Go Discount:","Trees2Go Discount:"))</f>
        <v>Trees2Go Discount:</v>
      </c>
      <c r="I3" s="747"/>
      <c r="J3" s="747"/>
      <c r="K3" s="816">
        <f ca="1">IF(NoWarrantyDiscount&gt;0,CONCATENATE((+'Discount Lookup'!B3)*100,"+",(NoWarrantyDiscount*100)+(BonusDiscount*100),"=",(+'Discount Lookup'!B3)*100+(NoWarrantyDiscount*100)+(BonusDiscount*100),"%"),(+'Discount Lookup'!B3)+BonusDiscount)</f>
        <v>0</v>
      </c>
      <c r="L3" s="816"/>
      <c r="M3" s="583"/>
      <c r="N3" s="58" t="str" cm="1">
        <f t="array" aca="1" ref="N3" ca="1">_xlfn.IFNA(HYPERLINK("#" &amp; ADDRESS(MATCH("G", INDIRECT("A16:A4162"), 0) + ROW(INDIRECT("A16")) - 1, 1), "G"), "")</f>
        <v>G</v>
      </c>
      <c r="O3" s="58" t="str" cm="1">
        <f t="array" aca="1" ref="O3" ca="1">_xlfn.IFNA(HYPERLINK("#" &amp; ADDRESS(MATCH("H", INDIRECT("A16:A4162"), 0) + ROW(INDIRECT("A16")) - 1, 1), "H"), "")</f>
        <v>H</v>
      </c>
      <c r="P3" s="58" t="str" cm="1">
        <f t="array" aca="1" ref="P3" ca="1">_xlfn.IFNA(HYPERLINK("#" &amp; ADDRESS(MATCH("I", INDIRECT("A16:A4162"), 0) + ROW(INDIRECT("A16")) - 1, 1), "I"), "")</f>
        <v>I</v>
      </c>
      <c r="Q3" s="58" t="str" cm="1">
        <f t="array" aca="1" ref="Q3" ca="1">_xlfn.IFNA(HYPERLINK("#" &amp; ADDRESS(MATCH("J", INDIRECT("A16:A4162"), 0) + ROW(INDIRECT("A16")) - 1, 1), "J"), "")</f>
        <v>J</v>
      </c>
      <c r="R3" s="58" t="str" cm="1">
        <f t="array" aca="1" ref="R3" ca="1">_xlfn.IFNA(HYPERLINK("#" &amp; ADDRESS(MATCH("L", INDIRECT("A16:A4162"), 0) + ROW(INDIRECT("A16")) - 1, 1), "L"), "")</f>
        <v>L</v>
      </c>
      <c r="S3" s="58" t="str" cm="1">
        <f t="array" aca="1" ref="S3" ca="1">_xlfn.IFNA(HYPERLINK("#" &amp; ADDRESS(MATCH("M", INDIRECT("A16:A4162"), 0) + ROW(INDIRECT("A16")) - 1, 1), "M"), "")</f>
        <v>M</v>
      </c>
      <c r="T3" s="54"/>
      <c r="U3" s="72"/>
      <c r="V3" s="72"/>
      <c r="W3" s="72"/>
      <c r="X3" s="55"/>
      <c r="Y3" s="55"/>
      <c r="Z3" s="674"/>
      <c r="AA3" s="675"/>
      <c r="AB3" s="676">
        <f>IF(PlantingIndicatorMsg="",(+'Discount Lookup'!N3),IF(PlantingIndicatorMsg="Planting",(+'Discount Lookup'!N3),IF(PlantingIndicatorMsg&gt;0,CONCATENATE((+'Discount Lookup'!N3)*100,"+",PlantingIndicatorMsg*100,"=",(+'Discount Lookup'!N3)*100+PlantingIndicatorMsg*100,"%"),(+'Discount Lookup'!N3))))</f>
        <v>0</v>
      </c>
      <c r="AC3" s="818" t="str">
        <f>IF(MileageFeeMessage="Extra Discount for Warranty Delete","Discount+Warranty Delete","Edison Discount")</f>
        <v>Edison Discount</v>
      </c>
      <c r="AD3" s="818"/>
      <c r="AE3" s="818"/>
      <c r="AF3" s="666"/>
      <c r="AG3" s="666"/>
      <c r="AH3" s="667"/>
      <c r="AI3" s="206"/>
      <c r="AJ3" s="506" t="s">
        <v>2</v>
      </c>
      <c r="AK3" s="206"/>
      <c r="AL3" s="785" t="s">
        <v>3</v>
      </c>
      <c r="AM3" s="785"/>
      <c r="AN3" s="785"/>
      <c r="AO3" s="785"/>
      <c r="AP3" s="785"/>
      <c r="AQ3" s="785"/>
      <c r="AR3" s="785"/>
      <c r="AS3" s="785"/>
      <c r="AT3" s="59" t="s">
        <v>268</v>
      </c>
      <c r="AU3" s="60"/>
      <c r="AV3" s="61"/>
      <c r="AW3" s="212" t="s">
        <v>189</v>
      </c>
      <c r="AX3" s="213"/>
      <c r="AY3" s="213"/>
      <c r="AZ3" s="213"/>
      <c r="BA3" s="213"/>
      <c r="BB3" s="213"/>
      <c r="BC3" s="213"/>
      <c r="BD3" s="213"/>
      <c r="BE3" s="783" t="s">
        <v>4</v>
      </c>
      <c r="BF3" s="783"/>
      <c r="BG3" s="215"/>
      <c r="BH3" s="161"/>
      <c r="BI3" s="161"/>
      <c r="BJ3" s="161"/>
      <c r="BK3" s="161"/>
      <c r="BL3" s="161"/>
      <c r="BM3" s="161"/>
      <c r="BN3" s="161"/>
      <c r="BO3" s="161"/>
      <c r="BP3" s="161"/>
    </row>
    <row r="4" spans="1:68" ht="12" customHeight="1" x14ac:dyDescent="0.25">
      <c r="A4" s="817"/>
      <c r="B4" s="817"/>
      <c r="C4" s="571"/>
      <c r="D4" s="576"/>
      <c r="E4" s="574"/>
      <c r="F4" s="575"/>
      <c r="G4" s="466" t="s">
        <v>5</v>
      </c>
      <c r="H4" s="586" t="s">
        <v>296</v>
      </c>
      <c r="I4" s="579"/>
      <c r="J4" s="580" t="str">
        <f>IF(NoWarrantyDiscount&gt;0,"T2G Total, 2 discounts:","T2G Delivery Total:")</f>
        <v>T2G Delivery Total:</v>
      </c>
      <c r="K4" s="815">
        <f ca="1">IF(D2="Delivered","(see below)",IF(D2="Completed","(see below)",T2GDeliveryTotal))</f>
        <v>0</v>
      </c>
      <c r="L4" s="815"/>
      <c r="M4" s="583"/>
      <c r="N4" s="53" t="str" cm="1">
        <f t="array" aca="1" ref="N4" ca="1">_xlfn.IFNA(HYPERLINK("#" &amp; ADDRESS(MATCH("N", INDIRECT("A16:A4162"), 0) + ROW(INDIRECT("A16")) - 1, 1), "N"), "")</f>
        <v>N</v>
      </c>
      <c r="O4" s="53" t="str" cm="1">
        <f t="array" aca="1" ref="O4" ca="1">_xlfn.IFNA(HYPERLINK("#" &amp; ADDRESS(MATCH("O", INDIRECT("A16:A4162"), 0) + ROW(INDIRECT("A16")) - 1, 1), "O"), "")</f>
        <v>O</v>
      </c>
      <c r="P4" s="53" t="str" cm="1">
        <f t="array" aca="1" ref="P4" ca="1">_xlfn.IFNA(HYPERLINK("#" &amp; ADDRESS(MATCH("P", INDIRECT("A16:A4162"), 0) + ROW(INDIRECT("A16")) - 1, 1), "P"), "")</f>
        <v>P</v>
      </c>
      <c r="Q4" s="53" t="str" cm="1">
        <f t="array" aca="1" ref="Q4" ca="1">_xlfn.IFNA(HYPERLINK("#" &amp; ADDRESS(MATCH("Q", INDIRECT("A16:A4162"), 0) + ROW(INDIRECT("A16")) - 1, 1), "Q"), "")</f>
        <v>Q</v>
      </c>
      <c r="R4" s="53" t="str" cm="1">
        <f t="array" aca="1" ref="R4" ca="1">_xlfn.IFNA(HYPERLINK("#" &amp; ADDRESS(MATCH("R", INDIRECT("A16:A4162"), 0) + ROW(INDIRECT("A16")) - 1, 1), "R"), "")</f>
        <v>R</v>
      </c>
      <c r="S4" s="53" t="str" cm="1">
        <f t="array" aca="1" ref="S4" ca="1">_xlfn.IFNA(HYPERLINK("#" &amp; ADDRESS(MATCH("S", INDIRECT("A16:A4162"), 0) + ROW(INDIRECT("A16")) - 1, 1), "S"), "")</f>
        <v>S</v>
      </c>
      <c r="T4" s="54"/>
      <c r="U4" s="72"/>
      <c r="V4" s="72"/>
      <c r="W4" s="72"/>
      <c r="X4" s="55"/>
      <c r="Y4" s="55"/>
      <c r="Z4" s="674"/>
      <c r="AA4" s="672"/>
      <c r="AB4" s="677">
        <f>IF(SumPlantsYPlanting=0,0,IF(PlanterYesMe="",SumPlantingFees-SumPlantingFees*PlanterDiscount+PlanterMileageNoConcatenate+DifficultyFeeNoConcatenate,IF(OR(PlanterYesMe="yes",PlanterYesMe="y"),SumPlantingFees-SumPlantingFees*PlanterDiscount+PlanterMileageNoConcatenate+DifficultyFeeNoConcatenate,0)))</f>
        <v>0</v>
      </c>
      <c r="AC4" s="818" t="str">
        <f>IF(MileageFeeMessage="Extra Discount for Warranty Delete","ELP Total with 2 Discounts","Edison Planting Total")</f>
        <v>Edison Planting Total</v>
      </c>
      <c r="AD4" s="818"/>
      <c r="AE4" s="818"/>
      <c r="AF4" s="666"/>
      <c r="AG4" s="666"/>
      <c r="AH4" s="667"/>
      <c r="AI4" s="216"/>
      <c r="AJ4" s="565">
        <f ca="1">T2G_Delivery_Total+PlantingTotalHeader</f>
        <v>0</v>
      </c>
      <c r="AK4" s="217"/>
      <c r="AL4" s="791" t="s">
        <v>166</v>
      </c>
      <c r="AM4" s="791"/>
      <c r="AN4" s="791"/>
      <c r="AO4" s="791"/>
      <c r="AP4" s="791"/>
      <c r="AQ4" s="791"/>
      <c r="AR4" s="791"/>
      <c r="AS4" s="791"/>
      <c r="AT4" s="791"/>
      <c r="AU4" s="62"/>
      <c r="AV4" s="218"/>
      <c r="AW4" s="784" t="s">
        <v>168</v>
      </c>
      <c r="AX4" s="784"/>
      <c r="AY4" s="784"/>
      <c r="AZ4" s="784"/>
      <c r="BA4" s="784"/>
      <c r="BB4" s="784"/>
      <c r="BC4" s="784"/>
      <c r="BD4" s="784"/>
      <c r="BE4" s="784"/>
      <c r="BF4" s="214" t="s">
        <v>250</v>
      </c>
      <c r="BG4" s="170"/>
      <c r="BH4" s="161"/>
      <c r="BI4" s="161"/>
      <c r="BJ4" s="161"/>
      <c r="BK4" s="161"/>
      <c r="BL4" s="161"/>
      <c r="BM4" s="161"/>
      <c r="BN4" s="161"/>
      <c r="BO4" s="161"/>
      <c r="BP4" s="161"/>
    </row>
    <row r="5" spans="1:68" ht="12" customHeight="1" x14ac:dyDescent="0.25">
      <c r="A5" s="814"/>
      <c r="B5" s="814"/>
      <c r="C5" s="569"/>
      <c r="D5" s="824" t="str">
        <f>IF(PriceitQODC="Delivered","Thank You!",IF(PriceitQODC="Completed","Thank You!",""))</f>
        <v/>
      </c>
      <c r="E5" s="824"/>
      <c r="F5" s="824"/>
      <c r="G5" s="466" t="s">
        <v>6</v>
      </c>
      <c r="H5" s="586" t="s">
        <v>297</v>
      </c>
      <c r="I5" s="567"/>
      <c r="J5" s="567"/>
      <c r="K5" s="825" t="str">
        <f>CONCATENATE(TotalPlantsG,IF(TotalPlantsG=1," Plant"," Plants"))</f>
        <v>0 Plants</v>
      </c>
      <c r="L5" s="825"/>
      <c r="M5" s="583"/>
      <c r="N5" s="58" t="str" cm="1">
        <f t="array" aca="1" ref="N5" ca="1">_xlfn.IFNA(HYPERLINK("#" &amp; ADDRESS(MATCH("T", INDIRECT("A16:A4367"), 0) + ROW(INDIRECT("A16")) - 1, 1), "T"), "")</f>
        <v>T</v>
      </c>
      <c r="O5" s="58" t="str" cm="1">
        <f t="array" aca="1" ref="O5" ca="1">_xlfn.IFNA(HYPERLINK("#" &amp; ADDRESS(MATCH("U", INDIRECT("A16:A4367"), 0) + ROW(INDIRECT("A16")) - 1, 1), "U"), "")</f>
        <v>U</v>
      </c>
      <c r="P5" s="58" t="str" cm="1">
        <f t="array" aca="1" ref="P5" ca="1">_xlfn.IFNA(HYPERLINK("#" &amp; ADDRESS(MATCH("V", INDIRECT("A16:A4367"), 0) + ROW(INDIRECT("A16")) - 1, 1), "V"), "")</f>
        <v>V</v>
      </c>
      <c r="Q5" s="58" t="str" cm="1">
        <f t="array" aca="1" ref="Q5" ca="1">_xlfn.IFNA(HYPERLINK("#" &amp; ADDRESS(MATCH("W", INDIRECT("A16:A4600"), 0) + ROW(INDIRECT("A16")) - 1, 1), "W"), "")</f>
        <v>W</v>
      </c>
      <c r="R5" s="58" t="str" cm="1">
        <f t="array" aca="1" ref="R5" ca="1">_xlfn.IFNA(HYPERLINK("#" &amp; ADDRESS(MATCH("Y", INDIRECT("A16:A4500"), 0) + ROW(INDIRECT("A16")) - 1, 1), "Y"), "")</f>
        <v>Y</v>
      </c>
      <c r="S5" s="58" t="str" cm="1">
        <f t="array" aca="1" ref="S5" ca="1">_xlfn.IFNA(HYPERLINK("#" &amp; ADDRESS(MATCH("Z", INDIRECT("A16:A4500"), 0) + ROW(INDIRECT("A16")) - 1, 1), "Z"), "")</f>
        <v>Z</v>
      </c>
      <c r="T5" s="54"/>
      <c r="U5" s="72"/>
      <c r="V5" s="72"/>
      <c r="W5" s="72"/>
      <c r="X5" s="55"/>
      <c r="Y5" s="55"/>
      <c r="Z5" s="678"/>
      <c r="AA5" s="675"/>
      <c r="AB5" s="679" t="str">
        <f>IF(PlanterYesMe="",CONCATENATE(SumPlantsYPlanting,IF(SumPlantsYPlanting=1," Plant"," Plants")),IF(OR(PlanterYesMe="yes",PlanterYesMe="y"),CONCATENATE(SumPlantsYPlanting,IF(SumPlantsYPlanting=1," Plant"," Plants")),"0 Plants"))</f>
        <v>0 Plants</v>
      </c>
      <c r="AC5" s="818" t="str">
        <f>IF(OR(PlanterYesMe="No",PlanterYesMe="N",PlanterYesMe="me"),"Installed by Edison",IF(OR(PlanterYesMe="yes",PlanterYesMe="y"),"for Edison to Install","Quoted with Planting"))</f>
        <v>Quoted with Planting</v>
      </c>
      <c r="AD5" s="818"/>
      <c r="AE5" s="818"/>
      <c r="AF5" s="666"/>
      <c r="AG5" s="666"/>
      <c r="AH5" s="667"/>
      <c r="AI5" s="216"/>
      <c r="AJ5" s="219" t="str">
        <f ca="1">IF(T2GDiscount=0,"with tax &amp; discount",IF(PlanterDiscountHeader="0%","with tax &amp; discount",IF(PlanterDiscountHeader=0,"with tax &amp; discount","with tax &amp; discounts")))</f>
        <v>with tax &amp; discount</v>
      </c>
      <c r="AK5" s="220"/>
      <c r="AL5" s="794" t="s">
        <v>462</v>
      </c>
      <c r="AM5" s="794"/>
      <c r="AN5" s="794"/>
      <c r="AO5" s="794"/>
      <c r="AP5" s="794"/>
      <c r="AQ5" s="794"/>
      <c r="AR5" s="794"/>
      <c r="AS5" s="794"/>
      <c r="AT5" s="794"/>
      <c r="AU5" s="62"/>
      <c r="AV5" s="63"/>
      <c r="AW5" s="212" t="s">
        <v>463</v>
      </c>
      <c r="AX5" s="176"/>
      <c r="AY5" s="176"/>
      <c r="AZ5" s="176"/>
      <c r="BA5" s="176"/>
      <c r="BB5" s="176"/>
      <c r="BC5" s="176"/>
      <c r="BD5" s="176"/>
      <c r="BE5" s="176"/>
      <c r="BF5" s="176"/>
      <c r="BG5" s="170"/>
      <c r="BH5" s="161"/>
      <c r="BI5" s="161"/>
      <c r="BJ5" s="161"/>
      <c r="BK5" s="161"/>
      <c r="BL5" s="161"/>
      <c r="BM5" s="161"/>
      <c r="BN5" s="161"/>
      <c r="BO5" s="161"/>
      <c r="BP5" s="161"/>
    </row>
    <row r="6" spans="1:68" ht="12" customHeight="1" x14ac:dyDescent="0.2">
      <c r="A6" s="572"/>
      <c r="B6" s="572"/>
      <c r="C6" s="573" t="s">
        <v>905</v>
      </c>
      <c r="D6" s="577"/>
      <c r="E6" s="578" t="s">
        <v>906</v>
      </c>
      <c r="F6" s="578"/>
      <c r="G6" s="467" t="s">
        <v>7</v>
      </c>
      <c r="H6" s="578" t="s">
        <v>298</v>
      </c>
      <c r="I6" s="581" t="s">
        <v>473</v>
      </c>
      <c r="J6" s="581" t="s">
        <v>8</v>
      </c>
      <c r="K6" s="582" t="s">
        <v>288</v>
      </c>
      <c r="L6" s="583"/>
      <c r="M6" s="584"/>
      <c r="N6" s="663" t="str">
        <f ca="1">IF(BeforeDiscountWithTax&gt;200,"Subtotals with Tax &amp; Discount"," go to First Letter ↑ of latin name")</f>
        <v xml:space="preserve"> go to First Letter ↑ of latin name</v>
      </c>
      <c r="O6" s="660"/>
      <c r="P6" s="660"/>
      <c r="Q6" s="660"/>
      <c r="R6" s="660"/>
      <c r="S6" s="660"/>
      <c r="T6" s="660"/>
      <c r="U6" s="661"/>
      <c r="V6" s="661"/>
      <c r="W6" s="660"/>
      <c r="X6" s="662"/>
      <c r="Y6" s="662"/>
      <c r="Z6" s="800" t="str">
        <f>IF(PlanterYesMe="","Optional Planting Fees",IF(OR(PlanterYesMe="No",PlanterYesMe="N",PlanterYesMe="me"),"Optional Planting Fees",IF(PlanterDiscountHeader&gt;0,"Edison Fees w/discount","Edison Planting Fees")))</f>
        <v>Optional Planting Fees</v>
      </c>
      <c r="AA6" s="801"/>
      <c r="AB6" s="801"/>
      <c r="AC6" s="801"/>
      <c r="AD6" s="680" t="str">
        <f>IF(OR(PlanterYesMe="yes",PlanterYesMe="y"),"type",IF(PlanterYesMe="","type",""))</f>
        <v>type</v>
      </c>
      <c r="AE6" s="681" t="str">
        <f>IF(OR(PlanterYesMe="yes",PlanterYesMe="y"),"'me'",IF(PlanterYesMe="","'me'","No"))</f>
        <v>'me'</v>
      </c>
      <c r="AF6" s="803" t="str">
        <f>IF(OR(PlanterYesMe="yes",PlanterYesMe="y"),"over 'ELP' to self-plant any",IF(PlanterYesMe="","by any plant, to self-plant","planting requested"))</f>
        <v>by any plant, to self-plant</v>
      </c>
      <c r="AG6" s="803"/>
      <c r="AH6" s="804"/>
      <c r="AI6" s="221"/>
      <c r="AJ6" s="211" t="s">
        <v>285</v>
      </c>
      <c r="AK6" s="222"/>
      <c r="AL6" s="799" t="s">
        <v>464</v>
      </c>
      <c r="AM6" s="799"/>
      <c r="AN6" s="799"/>
      <c r="AO6" s="799"/>
      <c r="AP6" s="799"/>
      <c r="AQ6" s="798" t="s">
        <v>465</v>
      </c>
      <c r="AR6" s="798"/>
      <c r="AS6" s="798"/>
      <c r="AT6" s="798"/>
      <c r="AU6" s="64"/>
      <c r="AV6" s="63"/>
      <c r="AW6" s="212" t="s">
        <v>466</v>
      </c>
      <c r="AX6" s="176"/>
      <c r="AY6" s="176"/>
      <c r="AZ6" s="176"/>
      <c r="BA6" s="176"/>
      <c r="BB6" s="176"/>
      <c r="BC6" s="176"/>
      <c r="BD6" s="176"/>
      <c r="BE6" s="176"/>
      <c r="BF6" s="176"/>
      <c r="BG6" s="170"/>
      <c r="BH6" s="161"/>
      <c r="BI6" s="161"/>
      <c r="BJ6" s="161"/>
      <c r="BK6" s="161"/>
      <c r="BL6" s="161"/>
      <c r="BM6" s="161"/>
      <c r="BN6" s="161"/>
      <c r="BO6" s="161"/>
      <c r="BP6" s="161"/>
    </row>
    <row r="7" spans="1:68" s="96" customFormat="1" ht="21" customHeight="1" thickBot="1" x14ac:dyDescent="0.25">
      <c r="A7" s="807" t="s">
        <v>5034</v>
      </c>
      <c r="B7" s="807"/>
      <c r="C7" s="807"/>
      <c r="D7" s="807"/>
      <c r="E7" s="807"/>
      <c r="F7" s="807"/>
      <c r="G7" s="807"/>
      <c r="H7" s="807"/>
      <c r="I7" s="807"/>
      <c r="J7" s="807"/>
      <c r="K7" s="807"/>
      <c r="L7" s="807"/>
      <c r="M7" s="807"/>
      <c r="N7" s="806" t="str">
        <f>IF(MSTryEO="try","to Search ~ first click within embed ~ CTRL+F (Win)  •  ⌘+F (Mac)","Search: CTRL+F (Win)  •  ⌘+F (Mac)")</f>
        <v>Search: CTRL+F (Win)  •  ⌘+F (Mac)</v>
      </c>
      <c r="O7" s="806"/>
      <c r="P7" s="806"/>
      <c r="Q7" s="806"/>
      <c r="R7" s="806"/>
      <c r="S7" s="806"/>
      <c r="T7" s="806"/>
      <c r="U7" s="806"/>
      <c r="V7" s="806"/>
      <c r="W7" s="806"/>
      <c r="X7" s="806"/>
      <c r="Y7" s="806"/>
      <c r="Z7" s="802" t="s">
        <v>1033</v>
      </c>
      <c r="AA7" s="802"/>
      <c r="AB7" s="802"/>
      <c r="AC7" s="802"/>
      <c r="AD7" s="802"/>
      <c r="AE7" s="802"/>
      <c r="AF7" s="802"/>
      <c r="AG7" s="802"/>
      <c r="AH7" s="802"/>
      <c r="AI7" s="223"/>
      <c r="AJ7" s="168"/>
      <c r="AK7" s="224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6"/>
      <c r="AW7" s="653" t="str">
        <f>IF(OR(MSTryEO="eo",MSTryEO="ms",MSTryEO="try"),BA7,"")</f>
        <v>KEY TO BRANDS:</v>
      </c>
      <c r="AX7" s="654"/>
      <c r="AY7" s="654"/>
      <c r="AZ7" s="655"/>
      <c r="BA7" s="236" t="s">
        <v>295</v>
      </c>
      <c r="BB7" s="656"/>
      <c r="BC7" s="652"/>
      <c r="BD7" s="652"/>
      <c r="BE7" s="652"/>
      <c r="BF7" s="652"/>
      <c r="BG7" s="652"/>
      <c r="BH7" s="652"/>
      <c r="BI7" s="652"/>
      <c r="BJ7" s="652"/>
      <c r="BK7" s="652"/>
      <c r="BL7" s="652"/>
      <c r="BM7" s="652"/>
      <c r="BN7" s="652"/>
      <c r="BO7" s="225"/>
      <c r="BP7" s="225"/>
    </row>
    <row r="8" spans="1:68" ht="15" customHeight="1" thickTop="1" thickBot="1" x14ac:dyDescent="0.3">
      <c r="A8" s="178"/>
      <c r="B8" s="179"/>
      <c r="C8" s="179"/>
      <c r="D8" s="179"/>
      <c r="E8" s="179"/>
      <c r="F8" s="179"/>
      <c r="G8" s="179"/>
      <c r="H8" s="179"/>
      <c r="I8" s="179"/>
      <c r="J8" s="808" t="str">
        <f>IF(PriceitQODC="Quote","choose ANY options",IF(PriceitQODC="Order","919-266-7939",IF(PriceitQODC="Delivered","Shop@Trees2Go.com",IF(PriceitQODC="Completed","Shop@Trees2Go.com",IF(TotalPlantsG&gt;0,"","")))))</f>
        <v/>
      </c>
      <c r="K8" s="808"/>
      <c r="L8" s="809"/>
      <c r="M8" s="523"/>
      <c r="N8" s="796" t="s">
        <v>4907</v>
      </c>
      <c r="O8" s="796"/>
      <c r="P8" s="796"/>
      <c r="Q8" s="796"/>
      <c r="R8" s="796"/>
      <c r="S8" s="796"/>
      <c r="T8" s="796"/>
      <c r="U8" s="796"/>
      <c r="V8" s="796"/>
      <c r="W8" s="796"/>
      <c r="X8" s="796"/>
      <c r="Y8" s="796"/>
      <c r="Z8" s="796"/>
      <c r="AA8" s="797"/>
      <c r="AB8" s="180" t="str">
        <f>IF(COUNTIF($A$13:$A$4413,"")&gt;100,"Edison Fees","Edison Fees")</f>
        <v>Edison Fees</v>
      </c>
      <c r="AC8" s="805" t="str">
        <f>IF(T2GPreviousAmountsPaid&gt;0,(IF(OR(PlanterYesMe="No",PlanterYesMe="N",PlanterYesMe="me")," (clear out box ⇩ to see optional fees) ","    ** accrued Edison discount applied **")),IF(OR(PlanterYesMe="yes",PlanterYesMe="y"),"Edison copied in upon final T2G Order",IF(OR(PlanterYesMe="No",PlanterYesMe="N",PlanterYesMe="me"),"  (clear out box ⇩ to see optional fees) ",IF(TotalPlantsG&gt;10,"DECREASE as Edison Discount INCREASES","appear as Trees2Go 'Buy' choices made"))))</f>
        <v>appear as Trees2Go 'Buy' choices made</v>
      </c>
      <c r="AD8" s="805"/>
      <c r="AE8" s="805"/>
      <c r="AF8" s="805"/>
      <c r="AG8" s="805"/>
      <c r="AH8" s="805"/>
      <c r="AI8" s="227"/>
      <c r="AJ8" s="228"/>
      <c r="AK8" s="224"/>
      <c r="AL8" s="792" t="s">
        <v>251</v>
      </c>
      <c r="AM8" s="792"/>
      <c r="AN8" s="792"/>
      <c r="AO8" s="229"/>
      <c r="AP8" s="229"/>
      <c r="AQ8" s="230" t="s">
        <v>246</v>
      </c>
      <c r="AR8" s="231"/>
      <c r="AS8" s="231"/>
      <c r="AT8" s="231"/>
      <c r="AU8" s="231"/>
      <c r="AV8" s="162"/>
      <c r="AW8" s="657" t="str">
        <f>IF(OR(MSTryEO="eo",MSTryEO="ms",MSTryEO="try"),BC8,"")</f>
        <v>BB® = Bushel and Berry®</v>
      </c>
      <c r="AX8" s="657"/>
      <c r="AY8" s="658"/>
      <c r="AZ8" s="657" t="str">
        <f>IF(OR(MSTryEO="eo",MSTryEO="ms",MSTryEO="try"),BE8,"")</f>
        <v>ES® = Endless Summer®</v>
      </c>
      <c r="BA8" s="657" t="str">
        <f>IF(OR(MSTryEO="eo",MSTryEO="ms",MSTryEO="try"),BH8,"")</f>
        <v>HGC® = Helleborus Gold Collection®</v>
      </c>
      <c r="BB8" s="657" t="str">
        <f>IF(OR(MSTryEO="eo",MSTryEO="ms",MSTryEO="try"),BL8,"")</f>
        <v>PW® = Proven Winners®</v>
      </c>
      <c r="BC8" s="557" t="s">
        <v>893</v>
      </c>
      <c r="BD8" s="164"/>
      <c r="BE8" s="557" t="s">
        <v>902</v>
      </c>
      <c r="BF8" s="558"/>
      <c r="BG8" s="558"/>
      <c r="BH8" s="557" t="s">
        <v>4554</v>
      </c>
      <c r="BI8" s="558"/>
      <c r="BJ8" s="558"/>
      <c r="BK8" s="559"/>
      <c r="BL8" s="557" t="s">
        <v>4552</v>
      </c>
      <c r="BM8" s="558"/>
      <c r="BN8" s="559"/>
      <c r="BO8" s="161"/>
      <c r="BP8" s="161"/>
    </row>
    <row r="9" spans="1:68" ht="15" customHeight="1" thickTop="1" thickBot="1" x14ac:dyDescent="0.3">
      <c r="A9" s="181"/>
      <c r="B9" s="177"/>
      <c r="C9" s="182"/>
      <c r="D9" s="182"/>
      <c r="E9" s="182"/>
      <c r="F9" s="183"/>
      <c r="G9" s="182"/>
      <c r="H9" s="591" t="str">
        <f>IF(NoWarrantyDiscount&gt;0,"NO WARRANTY APPLIES ~ Initial Quality is",IF(PriceitQODC="Order","IF ANY CHANGES NEEDED TO ORDER, please notify right away!","2-Year+, no-fault, 50% OFF Warranty applies ~ Initial Quality is"))</f>
        <v>2-Year+, no-fault, 50% OFF Warranty applies ~ Initial Quality is</v>
      </c>
      <c r="I9" s="823" t="str">
        <f>IF(PriceitQODC="Order","","Guaranteed")</f>
        <v>Guaranteed</v>
      </c>
      <c r="J9" s="823"/>
      <c r="K9" s="587" t="s">
        <v>282</v>
      </c>
      <c r="L9" s="787"/>
      <c r="M9" s="788"/>
      <c r="N9" s="793" t="str">
        <f>IF(OR(Utilities="n",Utilities="no"),"no utilities locate needed this time",IF(AND(OR(PlanterYesMe="No",PlanterYesMe="N",PlanterYesMe="me"),OR(Utilities="y",Utilities="yes")),"customer contact 10 days ahead ⇒",IF(AND(OR(PlanterYesMe="No",PlanterYesMe="N",PlanterYesMe="me"),OR(Utilities="y",Utilities="yes")),"customer contact 10 days ahead ⇒",IF(AND(OR(PlanterYesMe="No",PlanterYesMe="N",PlanterYesMe="me"),Utilities=""),"customer contacts 811 as needed ⇒",IF(AND(OR(Utilities="y",Utilities="yes"),OR(PlanterYesMe="yes",PlanterYesMe="y")),"Edison will contact 811 upon Order",IF(AND(OR(Utilities="y",Utilities="yes"),PlanterYesMe=""),"Edison will contact if Edison plants",IF(AND(Utilities="",OR(PlanterYesMe="yes",PlanterYesMe="y")),"⇦ tell Edison if 811 locate needed","⇦ Need free public utilities locate?")))))))</f>
        <v>⇦ Need free public utilities locate?</v>
      </c>
      <c r="O9" s="793"/>
      <c r="P9" s="793"/>
      <c r="Q9" s="793"/>
      <c r="R9" s="793"/>
      <c r="S9" s="790" t="str">
        <f>IF(Utilities="n","",IF(Utilities="no","","811"))</f>
        <v>811</v>
      </c>
      <c r="T9" s="790"/>
      <c r="U9" s="790"/>
      <c r="V9" s="790"/>
      <c r="W9" s="790"/>
      <c r="X9" s="790"/>
      <c r="Y9" s="790"/>
      <c r="Z9" s="184"/>
      <c r="AA9" s="184"/>
      <c r="AB9" s="185"/>
      <c r="AC9" s="186"/>
      <c r="AD9" s="588" t="str">
        <f>IF(PlanterYesMe="yes","Edison install is a",IF(PlanterYesMe="y","Edison planting noted",IF(PlanterYesMe="No","no Edison, all by me ",IF(PlanterYesMe="N","no Edison, all by me ",IF(PlanterYesMe="me","no Edison, all by","type 'yes' if ANY Edison ⇒")))))</f>
        <v>type 'yes' if ANY Edison ⇒</v>
      </c>
      <c r="AE9" s="521"/>
      <c r="AF9" s="743" t="str">
        <f>IF(OR(PlanterYesMe="No",PlanterYesMe="N",PlanterYesMe="me"),"⇐ type 'yes' for Edison","⇐ type 'no' if NO Edison")</f>
        <v>⇐ type 'no' if NO Edison</v>
      </c>
      <c r="AG9" s="743"/>
      <c r="AH9" s="743"/>
      <c r="AJ9" s="101"/>
      <c r="AL9" s="789" t="s">
        <v>245</v>
      </c>
      <c r="AM9" s="789"/>
      <c r="AN9" s="789"/>
      <c r="AO9" s="232"/>
      <c r="AP9" s="232"/>
      <c r="AQ9" s="230" t="s">
        <v>274</v>
      </c>
      <c r="AR9" s="231"/>
      <c r="AS9" s="231"/>
      <c r="AT9" s="231"/>
      <c r="AU9" s="231"/>
      <c r="AV9" s="97"/>
      <c r="AW9" s="657" t="str">
        <f>IF(OR(MSTryEO="eo",MSTryEO="ms",MSTryEO="try"),BC9,"")</f>
        <v>BC® = Butterfly Candy®</v>
      </c>
      <c r="AX9" s="657"/>
      <c r="AY9" s="658"/>
      <c r="AZ9" s="657" t="str">
        <f>IF(OR(MSTryEO="eo",MSTryEO="ms",MSTryEO="try"),BE9,"")</f>
        <v>FE® = First Editions®</v>
      </c>
      <c r="BA9" s="657" t="str">
        <f>IF(OR(MSTryEO="eo",MSTryEO="ms",MSTryEO="try"),BH9,"")</f>
        <v>HOH® = Head Over Heels®</v>
      </c>
      <c r="BB9" s="657" t="str">
        <f>IF(OR(MSTryEO="eo",MSTryEO="ms",MSTryEO="try"),BL9,"")</f>
        <v>RH® = Royal Hawaiian®</v>
      </c>
      <c r="BC9" s="557" t="s">
        <v>896</v>
      </c>
      <c r="BD9" s="164"/>
      <c r="BE9" s="557" t="s">
        <v>894</v>
      </c>
      <c r="BF9" s="164"/>
      <c r="BG9" s="164"/>
      <c r="BH9" s="557" t="s">
        <v>4555</v>
      </c>
      <c r="BI9" s="164"/>
      <c r="BJ9" s="164"/>
      <c r="BK9" s="559"/>
      <c r="BL9" s="557" t="s">
        <v>4553</v>
      </c>
      <c r="BM9" s="560"/>
      <c r="BN9" s="559"/>
    </row>
    <row r="10" spans="1:68" ht="14.1" customHeight="1" thickTop="1" x14ac:dyDescent="0.25">
      <c r="A10" s="522"/>
      <c r="B10" s="746" t="str">
        <f>IF(OR(PriceitQODC=" Price it by TYPE ",PriceitQODC=" Price it by Common",PriceitQODC=" Price it by Latin "),"LARGE SCREEN RECOMMENDED",IF(PriceitQODC="Quote","LARGE SCREEN RECOMMENDED",IF(PriceitQODC="Order","",IF(PriceitQODC="Delivered","",""))))</f>
        <v>LARGE SCREEN RECOMMENDED</v>
      </c>
      <c r="C10" s="746"/>
      <c r="D10" s="746"/>
      <c r="E10" s="187"/>
      <c r="F10" s="188"/>
      <c r="G10" s="189" t="str">
        <f>IF(OR(PlanterYesMe="No",PlanterYesMe="N",PlanterYesMe="me"),"Delivery-only.",IF(OR(PlanterYesMe="yes",PlanterYesMe="y"),"Install requested.","want planting?"))</f>
        <v>want planting?</v>
      </c>
      <c r="H10" s="499" t="str">
        <f>IF(OR(PlanterYesMe="No",PlanterYesMe="N",PlanterYesMe="me"),"Pass on",IF(OR(PlanterYesMe="yes",PlanterYesMe="y"),"Bring in","Consider"))</f>
        <v>Consider</v>
      </c>
      <c r="I10" s="190" t="str">
        <f>IF(OR(PlanterYesMe="No",PlanterYesMe="N",PlanterYesMe="me"),"Edison's Planting","Edison Planting ►")</f>
        <v>Edison Planting ►</v>
      </c>
      <c r="J10" s="191"/>
      <c r="K10" s="192" t="str">
        <f>IF(OR(PlanterYesMe="No",PlanterYesMe="N",PlanterYesMe="me"),"service"," ENTER Quantities ↙↙ to see OPTIONAL Edison Planting fees ↘↘")</f>
        <v xml:space="preserve"> ENTER Quantities ↙↙ to see OPTIONAL Edison Planting fees ↘↘</v>
      </c>
      <c r="L10" s="524"/>
      <c r="M10" s="524"/>
      <c r="N10" s="193"/>
      <c r="O10" s="194"/>
      <c r="P10" s="195"/>
      <c r="Q10" s="195"/>
      <c r="R10" s="195"/>
      <c r="S10" s="195"/>
      <c r="T10" s="196"/>
      <c r="U10" s="197"/>
      <c r="V10" s="197"/>
      <c r="W10" s="195"/>
      <c r="X10" s="195"/>
      <c r="Y10" s="198"/>
      <c r="Z10" s="195"/>
      <c r="AA10" s="199"/>
      <c r="AB10" s="200"/>
      <c r="AC10" s="201"/>
      <c r="AD10" s="202"/>
      <c r="AE10" s="203" t="s">
        <v>459</v>
      </c>
      <c r="AF10" s="204"/>
      <c r="AG10" s="204"/>
      <c r="AH10" s="204"/>
      <c r="AI10" s="103"/>
      <c r="AJ10" s="103"/>
      <c r="AK10" s="103"/>
      <c r="AL10" s="204"/>
      <c r="AM10" s="204"/>
      <c r="AN10" s="204"/>
      <c r="AO10" s="233"/>
      <c r="AP10" s="229"/>
      <c r="AQ10" s="230" t="s">
        <v>247</v>
      </c>
      <c r="AR10" s="231"/>
      <c r="AS10" s="231"/>
      <c r="AT10" s="231"/>
      <c r="AU10" s="231"/>
      <c r="AV10" s="97"/>
      <c r="AW10" s="657" t="str">
        <f>IF(OR(MSTryEO="eo",MSTryEO="ms",MSTryEO="try"),BC10,"")</f>
        <v>BE® = Bloomin’ Easy®</v>
      </c>
      <c r="AX10" s="657"/>
      <c r="AY10" s="658"/>
      <c r="AZ10" s="657" t="str">
        <f>IF(OR(MSTryEO="eo",MSTryEO="ms",MSTryEO="try"),BE10,"")</f>
        <v>FP® = Flutterby Petite®</v>
      </c>
      <c r="BA10" s="657" t="str">
        <f>IF(OR(MSTryEO="eo",MSTryEO="ms",MSTryEO="try"),BH10,"")</f>
        <v>L&amp;B® = Lo &amp; Behold®</v>
      </c>
      <c r="BB10" s="657" t="str">
        <f>IF(OR(MSTryEO="eo",MSTryEO="ms",MSTryEO="try"),BL10,"")</f>
        <v>SB® = Sugar Buzz®</v>
      </c>
      <c r="BC10" s="557" t="s">
        <v>899</v>
      </c>
      <c r="BD10" s="164"/>
      <c r="BE10" s="557" t="s">
        <v>897</v>
      </c>
      <c r="BF10" s="164"/>
      <c r="BG10" s="164"/>
      <c r="BH10" s="557" t="s">
        <v>901</v>
      </c>
      <c r="BI10" s="164"/>
      <c r="BJ10" s="164"/>
      <c r="BK10" s="164"/>
      <c r="BL10" s="557" t="s">
        <v>895</v>
      </c>
      <c r="BM10" s="560"/>
      <c r="BN10" s="559"/>
    </row>
    <row r="11" spans="1:68" ht="14.1" customHeight="1" x14ac:dyDescent="0.25">
      <c r="A11" s="745" t="str" cm="1">
        <f t="array" aca="1" ref="A11" ca="1">_xlfn.IFNA(HYPERLINK("#" &amp; ADDRESS(MATCH("RHOD.*", INDIRECT("A20:A4400"), 0) + ROW(INDIRECT("A20")) - 1, 1), "Azalea"), "")</f>
        <v>Azalea</v>
      </c>
      <c r="B11" s="745"/>
      <c r="C11" s="105" t="str" cm="1">
        <f t="array" aca="1" ref="C11" ca="1">_xlfn.IFNA(HYPERLINK("#" &amp; ADDRESS(MATCH("PRUNUS*", INDIRECT("A20:A4400"), 0) + ROW(INDIRECT("A20")) - 1, 1), "Apricot, Cherry, Plum"), "")</f>
        <v>Apricot, Cherry, Plum</v>
      </c>
      <c r="D11" s="745" t="str" cm="1">
        <f t="array" aca="1" ref="D11" ca="1">_xlfn.IFNA(HYPERLINK("#" &amp; ADDRESS(MATCH("THUJA*", INDIRECT("A20:A4400"), 0) + ROW(INDIRECT("A20")) - 1, 1), "Arborvitae"), "")</f>
        <v>Arborvitae</v>
      </c>
      <c r="E11" s="745"/>
      <c r="F11" s="744" t="str" cm="1">
        <f t="array" aca="1" ref="F11" ca="1">_xlfn.IFNA(HYPERLINK("#" &amp; ADDRESS(MATCH("Vac.*", INDIRECT("A20:A4400"), 0) + ROW(INDIRECT("A20")) - 1, 1), "Blueberry"), "")</f>
        <v>Blueberry</v>
      </c>
      <c r="G11" s="744"/>
      <c r="H11" s="744"/>
      <c r="I11" s="105" t="str" cm="1">
        <f t="array" aca="1" ref="I11" ca="1">_xlfn.IFNA(HYPERLINK("#" &amp; ADDRESS(MATCH("BUXUS*", INDIRECT("A20:A4400"), 0) + ROW(INDIRECT("A20")) - 1, 1), "Boxwood"), "")</f>
        <v>Boxwood</v>
      </c>
      <c r="J11" s="105" t="str" cm="1">
        <f t="array" aca="1" ref="J11" ca="1">_xlfn.IFNA(HYPERLINK("#" &amp; ADDRESS(MATCH("FICUS*", INDIRECT("A20:A4400"), 0) + ROW(INDIRECT("A20")) - 1, 1), "Fig"), "")</f>
        <v>Fig</v>
      </c>
      <c r="K11" s="744" t="str" cm="1">
        <f t="array" aca="1" ref="K11" ca="1">_xlfn.IFNA(HYPERLINK("#" &amp; ADDRESS(MATCH("CORNUS*", INDIRECT("A20:A4400"), 0) + ROW(INDIRECT("A20")) - 1, 1), "Dogwood"), "")</f>
        <v>Dogwood</v>
      </c>
      <c r="L11" s="744"/>
      <c r="M11" s="744"/>
      <c r="N11" s="104"/>
      <c r="O11" s="104"/>
      <c r="P11" s="104"/>
      <c r="Q11" s="104"/>
      <c r="R11" s="104"/>
      <c r="S11" s="104"/>
      <c r="T11" s="104"/>
      <c r="U11" s="106"/>
      <c r="V11" s="106"/>
      <c r="W11" s="104"/>
      <c r="X11" s="104"/>
      <c r="Y11" s="104"/>
      <c r="Z11" s="821" t="str">
        <f>IF(OR(PlanterYesMe="No",PlanterYesMe="N",PlanterYesMe="me"),"No planting",IF(OR(PlanterYesMe="yes",PlanterYesMe="y"),"Edison Planting Fees",IF(PlanterYesMe="","optional Edison Planting","")))</f>
        <v>optional Edison Planting</v>
      </c>
      <c r="AA11" s="821"/>
      <c r="AB11" s="821"/>
      <c r="AC11" s="821"/>
      <c r="AD11" s="821"/>
      <c r="AE11" s="820" t="s">
        <v>460</v>
      </c>
      <c r="AF11" s="820"/>
      <c r="AG11" s="820"/>
      <c r="AH11" s="820"/>
      <c r="AJ11" s="107"/>
      <c r="AK11" s="108"/>
      <c r="AL11" s="748" t="str">
        <f ca="1">IF(PlantsPricedHere&gt;100,"⇩ Edison Details","↙ Edison Details")</f>
        <v>⇩ Edison Details</v>
      </c>
      <c r="AM11" s="748"/>
      <c r="AN11" s="819" t="str">
        <f ca="1">IF(PlantsPricedHere&gt;100,"⇩ Edison Notes","↙ Edison Notes")</f>
        <v>⇩ Edison Notes</v>
      </c>
      <c r="AO11" s="819"/>
      <c r="AP11" s="234"/>
      <c r="AQ11" s="230" t="s">
        <v>252</v>
      </c>
      <c r="AR11" s="231"/>
      <c r="AS11" s="231"/>
      <c r="AT11" s="231"/>
      <c r="AU11" s="231"/>
      <c r="AW11" s="657" t="str">
        <f>IF(OR(MSTryEO="eo",MSTryEO="ms",MSTryEO="try"),BC11,"")</f>
        <v>DP® = Double Play®</v>
      </c>
      <c r="AX11" s="657"/>
      <c r="AY11" s="659"/>
      <c r="AZ11" s="657" t="str">
        <f>IF(OR(MSTryEO="eo",MSTryEO="ms",MSTryEO="try"),BE11,"")</f>
        <v>GG® = Garden Gems®</v>
      </c>
      <c r="BA11" s="657" t="str">
        <f>IF(OR(MSTryEO="eo",MSTryEO="ms",MSTryEO="try"),BH11,"")</f>
        <v>PS® = Proven Selections®</v>
      </c>
      <c r="BB11" s="657" t="str">
        <f>IF(OR(MSTryEO="eo",MSTryEO="ms",MSTryEO="try"),BL11,"")</f>
        <v>WP® = Wedding Party®</v>
      </c>
      <c r="BC11" s="557" t="s">
        <v>900</v>
      </c>
      <c r="BD11" s="164"/>
      <c r="BE11" s="557" t="s">
        <v>4556</v>
      </c>
      <c r="BF11" s="164"/>
      <c r="BG11" s="164"/>
      <c r="BH11" s="557" t="s">
        <v>903</v>
      </c>
      <c r="BI11" s="164"/>
      <c r="BJ11" s="164"/>
      <c r="BK11" s="164"/>
      <c r="BL11" s="557" t="s">
        <v>898</v>
      </c>
      <c r="BM11" s="560"/>
      <c r="BN11" s="559"/>
    </row>
    <row r="12" spans="1:68" ht="15" customHeight="1" x14ac:dyDescent="0.25">
      <c r="A12" s="745" t="str" cm="1">
        <f t="array" aca="1" ref="A12" ca="1">_xlfn.IFNA(HYPERLINK("#" &amp; ADDRESS(MATCH("Hemerocallis*", INDIRECT("A20:A4400"), 0) + ROW(INDIRECT("A20")) - 1, 1), "Daylily"), "")</f>
        <v>Daylily</v>
      </c>
      <c r="B12" s="745"/>
      <c r="C12" s="104" t="str" cm="1">
        <f t="array" aca="1" ref="C12" ca="1">_xlfn.IFNA(HYPERLINK("#" &amp; ADDRESS(MATCH("Buddleia*", INDIRECT("A20:A4400"), 0) + ROW(INDIRECT("A20")) - 1, 1), "Butterfly Bushes"), "")</f>
        <v>Butterfly Bushes</v>
      </c>
      <c r="D12" s="745" t="str" cm="1">
        <f t="array" aca="1" ref="D12" ca="1">_xlfn.IFNA(HYPERLINK("#" &amp; ADDRESS(MATCH("Lagerstroemia*", INDIRECT("A20:A4400"), 0) + ROW(INDIRECT("A20")) - 1, 1), "Crape Myrtle"), "")</f>
        <v>Crape Myrtle</v>
      </c>
      <c r="E12" s="745"/>
      <c r="F12" s="744" t="str" cm="1">
        <f t="array" aca="1" ref="F12" ca="1">_xlfn.IFNA(HYPERLINK("#" &amp; ADDRESS(MATCH("Betula*", INDIRECT("A20:A4400"), 0) + ROW(INDIRECT("A20")) - 1, 1), "River Birch"), "")</f>
        <v>River Birch</v>
      </c>
      <c r="G12" s="744"/>
      <c r="H12" s="744"/>
      <c r="I12" s="105" t="str" cm="1">
        <f t="array" aca="1" ref="I12" ca="1">_xlfn.IFNA(HYPERLINK("#" &amp; ADDRESS(MATCH("Cercis*", INDIRECT("A20:A4400"), 0) + ROW(INDIRECT("A20")) - 1, 1), "Redbud"), "")</f>
        <v>Redbud</v>
      </c>
      <c r="J12" s="105" t="str" cm="1">
        <f t="array" aca="1" ref="J12" ca="1">_xlfn.IFNA(HYPERLINK("#" &amp; ADDRESS(MATCH("Ilex*", INDIRECT("A20:A4400"), 0) + ROW(INDIRECT("A20")) - 1, 1), "Holly"), "")</f>
        <v>Holly</v>
      </c>
      <c r="K12" s="745" t="str" cm="1">
        <f t="array" aca="1" ref="K12" ca="1">_xlfn.IFNA(HYPERLINK("#" &amp; ADDRESS(MATCH("Ligustrum*", INDIRECT("A20:A4400"), 0) + ROW(INDIRECT("A20")) - 1, 1), "Privet"), "")</f>
        <v>Privet</v>
      </c>
      <c r="L12" s="745"/>
      <c r="M12" s="525"/>
      <c r="N12" s="104"/>
      <c r="O12" s="104"/>
      <c r="P12" s="110"/>
      <c r="Q12" s="110"/>
      <c r="R12" s="104"/>
      <c r="S12" s="104"/>
      <c r="T12" s="104"/>
      <c r="U12" s="106"/>
      <c r="V12" s="106"/>
      <c r="W12" s="104"/>
      <c r="X12" s="104"/>
      <c r="Y12" s="104"/>
      <c r="Z12" s="750" t="str">
        <f>IF(OR(PlanterYesMe="No",PlanterYesMe="N",PlanterYesMe="me")," erase 'me' to see fees ⇗",IF(OR(PlanterYesMe="yes",PlanterYesMe="y"),"~ includes Edison Discount ~",IF(PlanterYesMe="","~ includes Edison Discount ~","")))</f>
        <v>~ includes Edison Discount ~</v>
      </c>
      <c r="AA12" s="750"/>
      <c r="AB12" s="750"/>
      <c r="AC12" s="750"/>
      <c r="AD12" s="750"/>
      <c r="AE12" s="111" t="str">
        <f t="shared" ref="AE12" si="0">IF(H12="credit","",IF(G12=0,"",IF(OR(PlanterYesMe="No",PlanterYesMe="N",PlanterYesMe="me"),"me",IF(H12="warranty","free",IF(OR(PlanterYesMe="yes",PlanterYesMe="y"),"ELP","")))))</f>
        <v/>
      </c>
      <c r="AF12" s="826" t="s">
        <v>461</v>
      </c>
      <c r="AG12" s="827"/>
      <c r="AH12" s="828"/>
      <c r="AI12" s="112">
        <f>IF(H12="credit",0,IF(AE12="free",0,IF(AE12="me",0,IF(G12&gt;0,(VLOOKUP(#REF!,'Discount Lookup'!J:K,2)*G12),0))))</f>
        <v>0</v>
      </c>
      <c r="AJ12" s="237" t="str">
        <f t="shared" ref="AJ12" ca="1" si="1">IF(AND(ISREF(H12),H12="credit"),"",IF(AND(AND(OFFSET(G12,0,0)=0,OFFSET(G12,1,0)&gt;0,ISNUMBER(OFFSET(AC12,1,0)),OFFSET(AC12,1,0)&gt;0),OR(PlanterYesMe="yes",PlanterYesMe="y")),"T2G+ELP=",IF(AND(OFFSET(G12,0,0)=0,OFFSET(G12,1,0)&gt;0,ISNUMBER(OFFSET(AC12,1,0)),OFFSET(AC12,1,0)&gt;0),"if T2G+ELP=",IF(AND(OFFSET(G12,0,0)=0,OFFSET(G12,1,0)&gt;0),"T2G Subtotal",IF(H12="credit","",IF(G12=0,"",IF(AE12="free",(K12*(1-T2GDiscount)),IF(OR(PlanterYesMe="No",PlanterYesMe="N",PlanterYesMe="me"),(K12*(1-T2GDiscount)),IF(OR(AE12="me",AE12="T2G"),(K12*(1-T2GDiscount)),(K12*(1-T2GDiscount))+AC12)))))))))</f>
        <v/>
      </c>
      <c r="AK12" s="714" t="str">
        <f t="shared" ref="AK12" si="2">IF(H12="credit","",IF(G12=0,"",IF(OR(AE12="me",AE12="T2G"),"  delivery-only",IF(OR(PlanterYesMe="No",PlanterYesMe="N",PlanterYesMe="me"),"  delivery-only",CONCATENATE(" $",ROUND(AJ12/G12,2)," each")))))</f>
        <v/>
      </c>
      <c r="AL12" s="714"/>
      <c r="AM12" s="114" t="str">
        <f t="shared" ref="AM12" si="3">IF(H12="credit","",IF(AE12="free","      ~ discounts included, no tax or planting fee applies ~",IF(G12=0,"",IF(OR(PlanterYesMe="No",PlanterYesMe="N",PlanterYesMe="me"),CONCATENATE(" $",ROUND(AJ12/G12,2)," per plant, with tax &amp; discount"),IF(OR(AE12="me",AE12="T2G"),CONCATENATE(" $",ROUND(AJ12/G12,2)," per plant, with tax &amp; discount"),CONCATENATE("= $",ROUND((K12*(1-T2GDiscount))/G12,2)," per plant + $",AC12/G12,(" per planting      ~ includes tax &amp; discounts ~")))))))</f>
        <v/>
      </c>
      <c r="AN12" s="115"/>
      <c r="AO12" s="116"/>
      <c r="AP12" s="116"/>
      <c r="AQ12" s="116"/>
      <c r="AR12" s="116"/>
      <c r="AS12" s="116"/>
      <c r="AT12" s="116"/>
      <c r="AU12" s="116"/>
      <c r="AW12" s="161"/>
      <c r="AX12" s="161"/>
      <c r="AY12" s="162"/>
      <c r="AZ12" s="161"/>
      <c r="BA12" s="161"/>
      <c r="BB12" s="166"/>
      <c r="BC12" s="384"/>
      <c r="BD12" s="384"/>
      <c r="BE12" s="384"/>
      <c r="BF12" s="384"/>
      <c r="BG12" s="384"/>
      <c r="BH12" s="384"/>
      <c r="BI12" s="384"/>
      <c r="BJ12" s="384"/>
      <c r="BK12" s="384"/>
      <c r="BL12" s="384"/>
      <c r="BM12" s="384"/>
      <c r="BN12" s="384"/>
    </row>
    <row r="13" spans="1:68" s="51" customFormat="1" x14ac:dyDescent="0.25">
      <c r="A13" s="742" t="s">
        <v>457</v>
      </c>
      <c r="B13" s="742"/>
      <c r="C13" s="104" t="str" cm="1">
        <f t="array" aca="1" ref="C13" ca="1">_xlfn.IFNA(HYPERLINK("#" &amp; ADDRESS(MATCH("Acer Palmatum*", INDIRECT("A20:A4400"), 0) + ROW(INDIRECT("A20")) - 1, 1), "Japanese Maples"), "")</f>
        <v>Japanese Maples</v>
      </c>
      <c r="D13" s="745" t="str" cm="1">
        <f t="array" aca="1" ref="D13" ca="1">_xlfn.IFNA(HYPERLINK("#" &amp; ADDRESS(MATCH("Amelanchier*", INDIRECT("A20:A4400"), 0) + ROW(INDIRECT("A20")) - 1, 1), "Serviceberry"), "")</f>
        <v>Serviceberry</v>
      </c>
      <c r="E13" s="745"/>
      <c r="F13" s="744" t="str" cm="1">
        <f t="array" aca="1" ref="F13" ca="1">_xlfn.IFNA(HYPERLINK("#" &amp; ADDRESS(MATCH("Cephalotaxus*", INDIRECT("A20:A4400"), 0) + ROW(INDIRECT("A20")) - 1, 1), "Plum Yew"), "")</f>
        <v>Plum Yew</v>
      </c>
      <c r="G13" s="744"/>
      <c r="H13" s="744"/>
      <c r="I13" s="105" t="str" cm="1">
        <f t="array" aca="1" ref="I13" ca="1">_xlfn.IFNA(HYPERLINK("#" &amp; ADDRESS(MATCH("Podocarpus*", INDIRECT("A20:A4400"), 0) + ROW(INDIRECT("A20")) - 1, 1), "Yew"), "")</f>
        <v>Yew</v>
      </c>
      <c r="J13" s="105" t="str" cm="1">
        <f t="array" aca="1" ref="J13" ca="1">_xlfn.IFNA(HYPERLINK("#" &amp; ADDRESS(MATCH("Quercus*", INDIRECT("A20:A4400"), 0) + ROW(INDIRECT("A20")) - 1, 1), "Oaks"), "")</f>
        <v>Oaks</v>
      </c>
      <c r="K13" s="745"/>
      <c r="L13" s="745"/>
      <c r="M13" s="525"/>
      <c r="N13" s="104" t="str">
        <f ca="1">IF(AND(G13&gt;0,E13=0),"WARNING - no PRICE inserted",IF(H13="free","FREE ~ no charge this plant",IF(H13="credit",CONCATENATE("   -$",ROUND(K13*(1-T2GDiscount)*-1,2),"CREDIT after discount"),IF(T2GDiscount=0,"",IF(G13=0,"",IF(F13="Buy",CONCATENATE("   $",ROUND(K13*(1-T2GDiscount),2)," with ",(T2GDiscount*100),"% discount"),CONCATENATE("$",ROUND(K13*(1-T2GDiscount),2)," with ",((T2GDiscount*100+F13*100)-(T2GDiscount*100*F13)),IF(F13&gt;0,"% discounts",IF(NoWarrantyDiscount&gt;0,"% discounts","% discount")))))))))</f>
        <v/>
      </c>
      <c r="O13" s="104"/>
      <c r="P13" s="104"/>
      <c r="Q13" s="104"/>
      <c r="R13" s="104"/>
      <c r="S13" s="104"/>
      <c r="T13" s="104"/>
      <c r="U13" s="106"/>
      <c r="V13" s="106"/>
      <c r="W13" s="104"/>
      <c r="X13" s="104"/>
      <c r="Y13" s="104"/>
      <c r="Z13" s="117">
        <f>IF(H13="credit",G13,0)</f>
        <v>0</v>
      </c>
      <c r="AA13" s="118"/>
      <c r="AB13" s="118" t="str">
        <f>IF(AE13="T2G","by Trees2Go",IF(H13="credit","CREDIT only ~",IF(AND(K13="",AE13=OR(PlanterYesMe="No",PlanterYesMe="N",PlanterYesMe="me")),"not THIS line⇨",IF(AND(K13="images",AE13="me"),"not THIS line⇨",IF(H13="credit","",IF(G13=0,"",IF(AE13="me","",IF(OR(PlanterYesMe="No",PlanterYesMe="N",PlanterYesMe="me"),"",IF(AE13="free","warranty",IF(OR(PlanterYesMe="yes",PlanterYesMe="y"),"Edison install:","to install:"))))))))))</f>
        <v/>
      </c>
      <c r="AC13" s="749" t="str">
        <f ca="1">IF(AE13="T2G","no charge",IF(AND(OR(PlanterYesMe="No",PlanterYesMe="N",PlanterYesMe="me"),H13=""),"",IF(H13="credit","NO install",IF(AND(K13="",AE13="me"),"EACH row",IF(AND(K13="images",AE13="me"),"EACH row",IF(D13="","",IF(H13="credit","",IF(AE13="free","re-planting",IF(AE13="me","   not ELP, by",IF(AND(OR(PlanterYesMe="Yes",PlanterYesMe="Y"),G13&gt;0),(VLOOKUP(A12,'Discount Lookup'!J:K,2)*G13*(1-PlanterDiscount)*(1+PlanterDifficultyPercentage)),IF(AE13="ELP",(VLOOKUP(A12,'Discount Lookup'!J:K,2)*G13*(1-PlanterDiscount)*(1+PlanterDifficultyPercentage)),IF(AE13="free","re-planting",IF(G13=0,"",IF(PlanterYesMe="",IF(AE13="me","   not ELP, by",IF(AE13="",IF(G13&gt;0,(VLOOKUP(A12,'Discount Lookup'!J:K,2)*G13*(1-PlanterDiscount)*(1+PlanterDifficultyPercentage)),""),"")),"   not ELP, by"))))))))))))))</f>
        <v/>
      </c>
      <c r="AD13" s="749"/>
      <c r="AE13" s="111" t="str">
        <f>IF(H13="credit","",IF(G13=0,"",IF(OR(PlanterYesMe="No",PlanterYesMe="N",PlanterYesMe="me"),"me",IF(H13="warranty","free",IF(OR(PlanterYesMe="yes",PlanterYesMe="y"),"ELP","")))))</f>
        <v/>
      </c>
      <c r="AF13" s="829"/>
      <c r="AG13" s="830"/>
      <c r="AH13" s="831"/>
      <c r="AI13" s="112">
        <f>IF(H13="credit",0,IF(AE13="free",0,IF(AE13="me",0,IF(G13&gt;0,(VLOOKUP(A12,'Discount Lookup'!J:K,2)*G13),0))))</f>
        <v>0</v>
      </c>
      <c r="AJ13" s="237" t="str">
        <f ca="1">IF(AND(ISREF(H13),H13="credit"),"",IF(AND(AND(OFFSET(G13,0,0)=0,OFFSET(G13,1,0)&gt;0,ISNUMBER(OFFSET(AC13,1,0)),OFFSET(AC13,1,0)&gt;0),OR(PlanterYesMe="yes",PlanterYesMe="y")),"T2G+ELP=",IF(AND(OFFSET(G13,0,0)=0,OFFSET(G13,1,0)&gt;0,ISNUMBER(OFFSET(AC13,1,0)),OFFSET(AC13,1,0)&gt;0),"if T2G+ELP=",IF(AND(OFFSET(G13,0,0)=0,OFFSET(G13,1,0)&gt;0),"T2G Subtotal",IF(H13="credit","",IF(G13=0,"",IF(AE13="free",(K13*(1-T2GDiscount)),IF(OR(PlanterYesMe="No",PlanterYesMe="N",PlanterYesMe="me"),(K13*(1-T2GDiscount)),IF(OR(AE13="me",AE13="T2G"),(K13*(1-T2GDiscount)),(K13*(1-T2GDiscount))+AC13)))))))))</f>
        <v/>
      </c>
      <c r="AK13" s="714" t="str">
        <f>IF(H13="credit","",IF(G13=0,"",IF(OR(AE13="me",AE13="T2G"),"  delivery-only",IF(OR(PlanterYesMe="No",PlanterYesMe="N",PlanterYesMe="me"),"  delivery-only",CONCATENATE(" $",ROUND(AJ13/G13,2)," each")))))</f>
        <v/>
      </c>
      <c r="AL13" s="714"/>
      <c r="AM13" s="114" t="str">
        <f>IF(H13="credit","",IF(AE13="free","      ~ discounts included, no tax or planting fee applies ~",IF(G13=0,"",IF(OR(PlanterYesMe="No",PlanterYesMe="N",PlanterYesMe="me"),CONCATENATE(" $",ROUND(AJ13/G13,2)," per plant, with tax &amp; discount"),IF(OR(AE13="me",AE13="T2G"),CONCATENATE(" $",ROUND(AJ13/G13,2)," per plant, with tax &amp; discount"),CONCATENATE("= $",ROUND((K13*(1-T2GDiscount))/G13,2)," per plant + $",AC13/G13,(" per planting      ~ includes tax &amp; discounts ~")))))))</f>
        <v/>
      </c>
      <c r="AN13" s="115"/>
      <c r="AO13" s="116"/>
      <c r="AP13" s="116"/>
      <c r="AQ13" s="116"/>
      <c r="AR13" s="116"/>
      <c r="AS13" s="116"/>
      <c r="AT13" s="116"/>
      <c r="AU13" s="116"/>
      <c r="AV13" s="78"/>
      <c r="AW13" s="78"/>
      <c r="AX13" s="78"/>
      <c r="AY13" s="78"/>
      <c r="AZ13" s="78"/>
      <c r="BA13" s="78"/>
      <c r="BB13" s="109"/>
      <c r="BC13" s="109"/>
      <c r="BD13" s="109"/>
      <c r="BE13" s="109"/>
      <c r="BF13" s="102" t="str">
        <f t="shared" ref="BF13:BF16" ca="1" si="4">"https://www.google.com/search?tbm=isch&amp;q=" &amp; _xlfn.ENCODEURL($A13 &amp; " " &amp; $D13)</f>
        <v>https://www.google.com/search?tbm=isch&amp;q=Maples%20Serviceberry</v>
      </c>
      <c r="BG13" s="102" t="str">
        <f ca="1">IF(ISTEXT(A12),LEFT(A12,1),BG12)</f>
        <v>D</v>
      </c>
      <c r="BH13" s="65"/>
      <c r="BI13" s="65"/>
      <c r="BJ13" s="65"/>
      <c r="BK13" s="65"/>
      <c r="BL13" s="99"/>
      <c r="BM13" s="99"/>
      <c r="BN13" s="99"/>
    </row>
    <row r="14" spans="1:68" s="51" customFormat="1" x14ac:dyDescent="0.25">
      <c r="A14" s="835" t="s">
        <v>287</v>
      </c>
      <c r="B14" s="835"/>
      <c r="C14" s="119"/>
      <c r="D14" s="119"/>
      <c r="E14" s="119"/>
      <c r="F14" s="119"/>
      <c r="G14" s="119"/>
      <c r="H14" s="119"/>
      <c r="I14" s="119"/>
      <c r="J14" s="119"/>
      <c r="K14" s="160"/>
      <c r="L14" s="546"/>
      <c r="M14" s="526"/>
      <c r="N14" s="119"/>
      <c r="O14" s="104"/>
      <c r="P14" s="104"/>
      <c r="Q14" s="104"/>
      <c r="R14" s="104"/>
      <c r="S14" s="104"/>
      <c r="T14" s="104"/>
      <c r="U14" s="106"/>
      <c r="V14" s="106"/>
      <c r="W14" s="104"/>
      <c r="X14" s="104"/>
      <c r="Y14" s="120"/>
      <c r="Z14" s="117"/>
      <c r="AA14" s="118"/>
      <c r="AB14" s="118"/>
      <c r="AC14" s="76"/>
      <c r="AD14" s="76"/>
      <c r="AE14" s="111"/>
      <c r="AF14" s="832"/>
      <c r="AG14" s="833"/>
      <c r="AH14" s="834"/>
      <c r="AI14" s="112"/>
      <c r="AJ14" s="237"/>
      <c r="AK14" s="113"/>
      <c r="AL14" s="113"/>
      <c r="AM14" s="114"/>
      <c r="AN14" s="115"/>
      <c r="AO14" s="116"/>
      <c r="AP14" s="116"/>
      <c r="AQ14" s="116"/>
      <c r="AR14" s="116"/>
      <c r="AS14" s="116"/>
      <c r="AT14" s="116"/>
      <c r="AU14" s="116"/>
      <c r="AV14" s="78"/>
      <c r="AW14" s="78"/>
      <c r="AX14" s="78"/>
      <c r="AY14" s="97"/>
      <c r="AZ14" s="100"/>
      <c r="BA14" s="78"/>
      <c r="BB14" s="109"/>
      <c r="BC14" s="109"/>
      <c r="BD14" s="109"/>
      <c r="BE14" s="109"/>
      <c r="BF14" s="102" t="str">
        <f t="shared" si="4"/>
        <v>https://www.google.com/search?tbm=isch&amp;q=A%20</v>
      </c>
      <c r="BG14" s="102"/>
      <c r="BH14" s="65"/>
      <c r="BI14" s="65"/>
      <c r="BJ14" s="65"/>
      <c r="BK14" s="65"/>
      <c r="BL14" s="99"/>
      <c r="BM14" s="99"/>
      <c r="BN14" s="99"/>
    </row>
    <row r="15" spans="1:68" s="51" customFormat="1" x14ac:dyDescent="0.25">
      <c r="A15" s="835"/>
      <c r="B15" s="835"/>
      <c r="C15" s="119"/>
      <c r="D15" s="119"/>
      <c r="E15" s="119"/>
      <c r="F15" s="119"/>
      <c r="G15" s="119"/>
      <c r="H15" s="119"/>
      <c r="I15" s="119"/>
      <c r="J15" s="119"/>
      <c r="K15" s="119"/>
      <c r="L15" s="546"/>
      <c r="M15" s="526"/>
      <c r="N15" s="119"/>
      <c r="O15" s="104"/>
      <c r="P15" s="104"/>
      <c r="Q15" s="104"/>
      <c r="R15" s="104"/>
      <c r="S15" s="104"/>
      <c r="T15" s="104"/>
      <c r="U15" s="106"/>
      <c r="V15" s="106"/>
      <c r="W15" s="104"/>
      <c r="X15" s="104"/>
      <c r="Y15" s="120"/>
      <c r="Z15" s="117"/>
      <c r="AA15" s="118"/>
      <c r="AB15" s="118"/>
      <c r="AC15" s="76"/>
      <c r="AD15" s="76"/>
      <c r="AE15" s="111"/>
      <c r="AF15" s="121"/>
      <c r="AG15" s="121"/>
      <c r="AH15" s="121"/>
      <c r="AI15" s="112"/>
      <c r="AJ15" s="237"/>
      <c r="AK15" s="113"/>
      <c r="AL15" s="113"/>
      <c r="AM15" s="114"/>
      <c r="AN15" s="115"/>
      <c r="AO15" s="116"/>
      <c r="AP15" s="116"/>
      <c r="AQ15" s="116"/>
      <c r="AR15" s="116"/>
      <c r="AS15" s="116"/>
      <c r="AT15" s="116"/>
      <c r="AU15" s="116"/>
      <c r="AV15" s="78"/>
      <c r="AW15" s="78"/>
      <c r="AX15" s="78"/>
      <c r="AY15" s="97"/>
      <c r="AZ15" s="97"/>
      <c r="BA15" s="78"/>
      <c r="BB15" s="109"/>
      <c r="BC15" s="109"/>
      <c r="BD15" s="109"/>
      <c r="BE15" s="109"/>
      <c r="BF15" s="102" t="str">
        <f t="shared" si="4"/>
        <v>https://www.google.com/search?tbm=isch&amp;q=%20</v>
      </c>
      <c r="BG15" s="102"/>
      <c r="BH15" s="65"/>
      <c r="BI15" s="65"/>
      <c r="BJ15" s="65"/>
      <c r="BK15" s="65"/>
      <c r="BL15" s="99"/>
      <c r="BM15" s="99"/>
      <c r="BN15" s="99"/>
    </row>
    <row r="16" spans="1:68" s="51" customFormat="1" ht="6" customHeight="1" x14ac:dyDescent="0.25">
      <c r="A16" s="835"/>
      <c r="B16" s="835"/>
      <c r="C16" s="119"/>
      <c r="D16" s="119"/>
      <c r="E16" s="119"/>
      <c r="F16" s="119"/>
      <c r="G16" s="119"/>
      <c r="H16" s="119"/>
      <c r="I16" s="119"/>
      <c r="J16" s="119"/>
      <c r="K16" s="122"/>
      <c r="L16" s="546"/>
      <c r="M16" s="122"/>
      <c r="N16" s="119"/>
      <c r="Q16" s="77"/>
      <c r="T16" s="65"/>
      <c r="W16" s="65"/>
      <c r="X16" s="65"/>
      <c r="Y16" s="120"/>
      <c r="Z16" s="117"/>
      <c r="AA16" s="118"/>
      <c r="AB16" s="118"/>
      <c r="AC16" s="76"/>
      <c r="AD16" s="76"/>
      <c r="AE16" s="111"/>
      <c r="AF16" s="121"/>
      <c r="AG16" s="121"/>
      <c r="AH16" s="121"/>
      <c r="AI16" s="112"/>
      <c r="AJ16" s="237"/>
      <c r="AK16" s="113"/>
      <c r="AL16" s="113"/>
      <c r="AM16" s="114"/>
      <c r="AN16" s="115"/>
      <c r="AO16" s="116"/>
      <c r="AP16" s="116"/>
      <c r="AQ16" s="116"/>
      <c r="AR16" s="116"/>
      <c r="AS16" s="116"/>
      <c r="AT16" s="116"/>
      <c r="AU16" s="116"/>
      <c r="AV16" s="78"/>
      <c r="AW16" s="78"/>
      <c r="AX16" s="78"/>
      <c r="AY16" s="97"/>
      <c r="AZ16" s="97"/>
      <c r="BA16" s="78"/>
      <c r="BB16" s="109"/>
      <c r="BC16" s="109"/>
      <c r="BD16" s="109"/>
      <c r="BE16" s="109"/>
      <c r="BF16" s="102" t="str">
        <f t="shared" si="4"/>
        <v>https://www.google.com/search?tbm=isch&amp;q=%20</v>
      </c>
      <c r="BG16" s="102"/>
      <c r="BH16" s="65"/>
      <c r="BI16" s="65"/>
      <c r="BJ16" s="65"/>
      <c r="BK16" s="65"/>
      <c r="BL16" s="99"/>
      <c r="BM16" s="99"/>
      <c r="BN16" s="99"/>
    </row>
    <row r="17" spans="1:66" s="51" customFormat="1" ht="21" thickBot="1" x14ac:dyDescent="0.35">
      <c r="A17" s="686" t="s">
        <v>289</v>
      </c>
      <c r="B17" s="73"/>
      <c r="C17" s="74"/>
      <c r="D17" s="73"/>
      <c r="E17" s="73"/>
      <c r="F17" s="75"/>
      <c r="G17" s="73"/>
      <c r="H17" s="73"/>
      <c r="I17" s="73"/>
      <c r="J17" s="73"/>
      <c r="K17" s="75"/>
      <c r="L17" s="529"/>
      <c r="M17" s="527"/>
      <c r="N17" s="589" t="str">
        <f>IF(PriceitQODC="Quote","TRY Images ↓   ",IF(PriceitQODC="Order","",IF(PriceitQODC="Delivered","",IF(PriceitQODC="Completed","",IF(TotalPlantsG&gt;0,"TRY Images ↓   ","↙ TRY 'Buy 0'  and 'Images' ↓   ")))))</f>
        <v xml:space="preserve">↙ TRY 'Buy 0'  and 'Images' ↓   </v>
      </c>
      <c r="S17" s="469" t="s">
        <v>870</v>
      </c>
      <c r="T17" s="102">
        <f t="shared" ref="T17:T80" si="5">E17*G17</f>
        <v>0</v>
      </c>
      <c r="U17" s="78" t="str">
        <f>IF(NOT(ISNUMBER(G17)), "", VLOOKUP(A17,'Discount Lookup'!D:E,2,FALSE)*G17)</f>
        <v/>
      </c>
      <c r="V17" s="78" t="str">
        <f>IF(NOT(ISNUMBER(G17)), "", VLOOKUP(A17,'Discount Lookup'!G:H,2,FALSE)*G17)</f>
        <v/>
      </c>
      <c r="W17" s="102">
        <f t="shared" ref="W17:W80" si="6">IF(H17="credit",0,E17*(SalesTaxPercentage)*G17)</f>
        <v>0</v>
      </c>
      <c r="X17" s="102">
        <f t="shared" ref="X17:X80" si="7">I17</f>
        <v>0</v>
      </c>
      <c r="Y17" s="120" t="b">
        <f t="shared" ref="Y17:Y80" si="8">IF(AE17="T2G",0,IF(H17="credit",0,IF(G17&gt;0,IF(AE17="me","",G17))))</f>
        <v>0</v>
      </c>
      <c r="Z17" s="117">
        <f t="shared" ref="Z17:Z80" si="9">IF(H17="credit",G17,0)</f>
        <v>0</v>
      </c>
      <c r="AA17" s="118"/>
      <c r="AB17" s="118" t="str">
        <f t="shared" ref="AB17:AB80" si="10">IF(AE17="T2G","by Trees2Go",IF(H17="credit","CREDIT only ~",IF(AND(K17="",AE17=OR(PlanterYesMe="No",PlanterYesMe="N",PlanterYesMe="me")),"not THIS line⇨",IF(AND(K17="images",AE17="me"),"not THIS line⇨",IF(H17="credit","",IF(G17=0,"",IF(AE17="me","",IF(OR(PlanterYesMe="No",PlanterYesMe="N",PlanterYesMe="me"),"",IF(AE17="free","warranty",IF(OR(PlanterYesMe="yes",PlanterYesMe="y"),"Edison install:","to install:"))))))))))</f>
        <v/>
      </c>
      <c r="AC17" s="712" t="str">
        <f>IF(AE17="T2G","no charge",IF(AND(OR(PlanterYesMe="No",PlanterYesMe="N",PlanterYesMe="me"),H17=""),"",IF(H17="credit","NO install",IF(AND(K17="",AE17="me"),"EACH row",IF(AND(K17="images",AE17="me"),"EACH row",IF(D17="","",IF(H17="credit","",IF(AE17="free","re-planting",IF(AE17="me","   not ELP, by",IF(AND(OR(PlanterYesMe="Yes",PlanterYesMe="Y"),G17&gt;0),(VLOOKUP(A17,'Discount Lookup'!J:K,2)*G17*(1-PlanterDiscount)*(1+PlanterDifficultyPercentage)),IF(AE17="ELP",(VLOOKUP(A17,'Discount Lookup'!J:K,2)*G17*(1-PlanterDiscount)*(1+PlanterDifficultyPercentage)),IF(AE17="free","re-planting",IF(G17=0,"",IF(PlanterYesMe="",IF(AE17="me","   not ELP, by",IF(AE17="",IF(G17&gt;0,(VLOOKUP(A17,'Discount Lookup'!J:K,2)*G17*(1-PlanterDiscount)*(1+PlanterDifficultyPercentage)),""),"")),"   not ELP, by"))))))))))))))</f>
        <v/>
      </c>
      <c r="AD17" s="712"/>
      <c r="AE17" s="513" t="str">
        <f t="shared" ref="AE17:AE80" si="11">IF(H17="credit","",IF(G17=0,"",IF(OR(PlanterYesMe="No",PlanterYesMe="N",PlanterYesMe="me"),"me",IF(H17="warranty","free",IF(OR(PlanterYesMe="yes",PlanterYesMe="y"),"ELP","")))))</f>
        <v/>
      </c>
      <c r="AF17" s="713" t="str">
        <f t="shared" ref="AF17:AF80" si="12">IF(OR(PlanterYesMe="No",PlanterYesMe="N",PlanterYesMe="me"),"",IF(H17="credit","",IF(G17&gt;0,(CONCATENATE((G17)," quantity, ",(A17)," ",B17)),"")))</f>
        <v/>
      </c>
      <c r="AG17" s="713"/>
      <c r="AH17" s="713"/>
      <c r="AI17" s="112">
        <f>IF(H17="credit",0,IF(AE17="free",0,IF(AE17="me",0,IF(G17&gt;0,(VLOOKUP(A17,'Discount Lookup'!J:K,2)*G17),0))))</f>
        <v>0</v>
      </c>
      <c r="AJ17" s="107" t="str">
        <f t="shared" ref="AJ17:AJ80" ca="1" si="13">IF(AND(ISREF(H17),H17="credit"),"",IF(AND(AND(OFFSET(G17,0,0)=0,OFFSET(G17,1,0)&gt;0,ISNUMBER(OFFSET(AC17,1,0)),OFFSET(AC17,1,0)&gt;0),OR(PlanterYesMe="yes",PlanterYesMe="y")),"T2G+ELP=",IF(AND(OFFSET(G17,0,0)=0,OFFSET(G17,1,0)&gt;0,ISNUMBER(OFFSET(AC17,1,0)),OFFSET(AC17,1,0)&gt;0),"if T2G+ELP=",IF(AND(OFFSET(G17,0,0)=0,OFFSET(G17,1,0)&gt;0),"T2G Subtotal",IF(H17="credit","",IF(G17=0,"",IF(AE17="free",(K17*(1-T2GDiscount)),IF(OR(PlanterYesMe="No",PlanterYesMe="N",PlanterYesMe="me"),(K17*(1-T2GDiscount)),IF(OR(AE17="me",AE17="T2G"),(K17*(1-T2GDiscount)),(K17*(1-T2GDiscount))+AC17)))))))))</f>
        <v/>
      </c>
      <c r="AK17" s="714" t="str">
        <f t="shared" ref="AK17:AK80" si="14">IF(H17="credit","",IF(G17=0,"",IF(OR(AE17="me",AE17="T2G"),"  delivery-only",IF(OR(PlanterYesMe="No",PlanterYesMe="N",PlanterYesMe="me"),"  delivery-only",CONCATENATE(" $",ROUND(AJ17/G17,2)," each")))))</f>
        <v/>
      </c>
      <c r="AL17" s="714"/>
      <c r="AM17" s="114" t="str">
        <f t="shared" ref="AM17:AM80" si="15">IF(H17="credit","",IF(AE17="free","      ~ discounts included, no tax or planting fee applies ~",IF(G17=0,"",IF(OR(PlanterYesMe="No",PlanterYesMe="N",PlanterYesMe="me"),CONCATENATE(" $",ROUND(AJ17/G17,2)," per plant, with tax &amp; discount"),IF(OR(AE17="me",AE17="T2G"),CONCATENATE(" $",ROUND(AJ17/G17,2)," per plant, with tax &amp; discount"),CONCATENATE("= $",ROUND((K17*(1-T2GDiscount))/G17,2)," per plant + $",AC17/G17,(" per planting      ~ includes tax &amp; discounts ~")))))))</f>
        <v/>
      </c>
      <c r="AN17" s="115"/>
      <c r="AO17" s="116"/>
      <c r="AP17" s="116"/>
      <c r="AQ17" s="116"/>
      <c r="AR17" s="116"/>
      <c r="AS17" s="116"/>
      <c r="AT17" s="116"/>
      <c r="AU17" s="116"/>
      <c r="AV17" s="78"/>
      <c r="AW17" s="102"/>
      <c r="AX17" s="78"/>
      <c r="AY17" s="78"/>
      <c r="AZ17" s="78"/>
      <c r="BA17" s="78"/>
      <c r="BB17" s="78"/>
      <c r="BC17" s="78"/>
      <c r="BD17" s="78"/>
      <c r="BE17" s="465"/>
      <c r="BF17" s="165" t="str">
        <f t="shared" ref="BF17:BF80" si="16">"https://www.google.com/search?tbm=isch&amp;q=" &amp; _xlfn.ENCODEURL($A17 &amp; " " &amp; $D17)</f>
        <v>https://www.google.com/search?tbm=isch&amp;q=Abelia%20%3D%20Abelia%20</v>
      </c>
      <c r="BG17" s="165" t="str">
        <f t="shared" ref="BG17:BG80" si="17">IF(ISTEXT(A17),LEFT(A17,1),BG16)</f>
        <v>A</v>
      </c>
      <c r="BH17" s="65"/>
      <c r="BI17" s="65"/>
      <c r="BJ17" s="65"/>
      <c r="BK17" s="65"/>
      <c r="BL17" s="99"/>
      <c r="BM17" s="99"/>
      <c r="BN17" s="99"/>
    </row>
    <row r="18" spans="1:66" s="51" customFormat="1" ht="18" x14ac:dyDescent="0.25">
      <c r="A18" s="507" t="s">
        <v>1070</v>
      </c>
      <c r="B18" s="470"/>
      <c r="C18" s="706"/>
      <c r="D18" s="471" t="s">
        <v>5574</v>
      </c>
      <c r="E18" s="472"/>
      <c r="F18" s="472"/>
      <c r="G18" s="472"/>
      <c r="H18" s="622" t="s">
        <v>1071</v>
      </c>
      <c r="I18" s="473" t="s">
        <v>4929</v>
      </c>
      <c r="J18" s="472"/>
      <c r="K18" s="472"/>
      <c r="L18" s="561"/>
      <c r="M18" s="698" t="s">
        <v>5240</v>
      </c>
      <c r="N18" s="692" t="str">
        <f>IF(AND(ISTEXT($A18), ISERROR($A18+0)), HYPERLINK($BF18, "Images"), "")</f>
        <v>Images</v>
      </c>
      <c r="O18" s="694" t="s">
        <v>5244</v>
      </c>
      <c r="P18" s="475"/>
      <c r="Q18" s="476"/>
      <c r="R18" s="476"/>
      <c r="S18" s="477"/>
      <c r="T18" s="102">
        <f t="shared" si="5"/>
        <v>0</v>
      </c>
      <c r="U18" s="78" t="str">
        <f>IF(NOT(ISNUMBER(G18)), "", VLOOKUP(A18,'Discount Lookup'!D:E,2,FALSE)*G18)</f>
        <v/>
      </c>
      <c r="V18" s="78" t="str">
        <f>IF(NOT(ISNUMBER(G18)), "", VLOOKUP(A18,'Discount Lookup'!G:H,2,FALSE)*G18)</f>
        <v/>
      </c>
      <c r="W18" s="102">
        <f t="shared" si="6"/>
        <v>0</v>
      </c>
      <c r="X18" s="102" t="str">
        <f t="shared" si="7"/>
        <v>Light Pink bloom, Dark Pink sepals</v>
      </c>
      <c r="Y18" s="120" t="b">
        <f t="shared" si="8"/>
        <v>0</v>
      </c>
      <c r="Z18" s="117">
        <f t="shared" si="9"/>
        <v>0</v>
      </c>
      <c r="AA18" s="118"/>
      <c r="AB18" s="118" t="str">
        <f t="shared" si="10"/>
        <v/>
      </c>
      <c r="AC18" s="712" t="str">
        <f>IF(AE18="T2G","no charge",IF(AND(OR(PlanterYesMe="No",PlanterYesMe="N",PlanterYesMe="me"),H18=""),"",IF(H18="credit","NO install",IF(AND(K18="",AE18="me"),"EACH row",IF(AND(K18="images",AE18="me"),"EACH row",IF(D18="","",IF(H18="credit","",IF(AE18="free","re-planting",IF(AE18="me","   not ELP, by",IF(AND(OR(PlanterYesMe="Yes",PlanterYesMe="Y"),G18&gt;0),(VLOOKUP(A18,'Discount Lookup'!J:K,2)*G18*(1-PlanterDiscount)*(1+PlanterDifficultyPercentage)),IF(AE18="ELP",(VLOOKUP(A18,'Discount Lookup'!J:K,2)*G18*(1-PlanterDiscount)*(1+PlanterDifficultyPercentage)),IF(AE18="free","re-planting",IF(G18=0,"",IF(PlanterYesMe="",IF(AE18="me","   not ELP, by",IF(AE18="",IF(G18&gt;0,(VLOOKUP(A18,'Discount Lookup'!J:K,2)*G18*(1-PlanterDiscount)*(1+PlanterDifficultyPercentage)),""),"")),"   not ELP, by"))))))))))))))</f>
        <v/>
      </c>
      <c r="AD18" s="712"/>
      <c r="AE18" s="513" t="str">
        <f t="shared" si="11"/>
        <v/>
      </c>
      <c r="AF18" s="713" t="str">
        <f t="shared" si="12"/>
        <v/>
      </c>
      <c r="AG18" s="713"/>
      <c r="AH18" s="713"/>
      <c r="AI18" s="112">
        <f>IF(H18="credit",0,IF(AE18="free",0,IF(AE18="me",0,IF(G18&gt;0,(VLOOKUP(A18,'Discount Lookup'!J:K,2)*G18),0))))</f>
        <v>0</v>
      </c>
      <c r="AJ18" s="107" t="str">
        <f t="shared" ca="1" si="13"/>
        <v/>
      </c>
      <c r="AK18" s="714" t="str">
        <f t="shared" si="14"/>
        <v/>
      </c>
      <c r="AL18" s="714"/>
      <c r="AM18" s="114" t="str">
        <f t="shared" si="15"/>
        <v/>
      </c>
      <c r="AN18" s="115"/>
      <c r="AO18" s="116"/>
      <c r="AP18" s="116"/>
      <c r="AQ18" s="116"/>
      <c r="AR18" s="116"/>
      <c r="AS18" s="116"/>
      <c r="AT18" s="116"/>
      <c r="AU18" s="116"/>
      <c r="AV18" s="78"/>
      <c r="AW18" s="102"/>
      <c r="AX18" s="78"/>
      <c r="AY18" s="78"/>
      <c r="AZ18" s="78"/>
      <c r="BA18" s="78"/>
      <c r="BB18" s="78"/>
      <c r="BC18" s="78"/>
      <c r="BD18" s="78"/>
      <c r="BE18" s="465"/>
      <c r="BF18" s="165" t="str">
        <f t="shared" si="16"/>
        <v>https://www.google.com/search?tbm=isch&amp;q=Abelia%20chinensis%20%27Abesrpras%27%20PP%2333516%20Raspberry%20Perfection%E2%84%A2%20Abelia</v>
      </c>
      <c r="BG18" s="165" t="str">
        <f t="shared" si="17"/>
        <v>A</v>
      </c>
      <c r="BH18" s="65"/>
      <c r="BI18" s="65"/>
      <c r="BJ18" s="65"/>
      <c r="BK18" s="65"/>
      <c r="BL18" s="99"/>
      <c r="BM18" s="99"/>
      <c r="BN18" s="99"/>
    </row>
    <row r="19" spans="1:66" s="51" customFormat="1" ht="15.75" x14ac:dyDescent="0.25">
      <c r="A19" s="478">
        <v>3</v>
      </c>
      <c r="B19" s="479" t="s">
        <v>291</v>
      </c>
      <c r="C19" s="480" t="s">
        <v>1072</v>
      </c>
      <c r="D19" s="481" t="s">
        <v>309</v>
      </c>
      <c r="E19" s="482">
        <v>26.95</v>
      </c>
      <c r="F19" s="483" t="s">
        <v>292</v>
      </c>
      <c r="G19" s="484">
        <v>0</v>
      </c>
      <c r="H19" s="688" t="str">
        <f>IF(G19=0,"",IF(F19="Buy",IF(G19=1,"plant","plants"),IF(F19&gt;0.01,"warranty","Error")))</f>
        <v/>
      </c>
      <c r="I19" s="485">
        <f>IF(H19="free",0,IF(H19="credit",((E19*(F19))*G19*-1),IF(F19="Buy",(E19*G19),((E19*(1-F19))*G19))))</f>
        <v>0</v>
      </c>
      <c r="J19" s="485">
        <f>IF(H19="warranty",0,(I19*(_xlfn.SINGLE(SalesTaxPercentage))))</f>
        <v>0</v>
      </c>
      <c r="K19" s="715">
        <f t="shared" ref="K19" si="18">I19+J19</f>
        <v>0</v>
      </c>
      <c r="L19" s="715"/>
      <c r="M19" s="689" t="str">
        <f ca="1">IF(AND(G19&gt;0,E19=0),"WARNING - no PRICE inserted",IF(H19="free","FREE ~ no charge this plant",IF(H19="credit",CONCATENATE("-$",ROUND(K19*(1-_xlfn.SINGLE(T2GDiscount))*-1,2)," CREDIT after discount"),IF(_xlfn.SINGLE(T2GDiscount)=0,"",IF(G19=0,"",IF(F19="Buy",CONCATENATE("$",ROUND(K19*(1-_xlfn.SINGLE(T2GDiscount)),2)," with ",(_xlfn.SINGLE(T2GDiscount)*100),"% discount"),CONCATENATE("$",ROUND(K19*(1-_xlfn.SINGLE(T2GDiscount)),2)," with ",((_xlfn.SINGLE(T2GDiscount)*100+F19*100)-(_xlfn.SINGLE(T2GDiscount)*100*F19)),IF(F19&gt;0,"% discounts",IF(_xlfn.SINGLE(NoWarrantyDiscount)&gt;0,"% discounts","% discount")))))))))</f>
        <v/>
      </c>
      <c r="N19" s="690"/>
      <c r="O19" s="486"/>
      <c r="P19" s="486"/>
      <c r="Q19" s="486"/>
      <c r="R19" s="486"/>
      <c r="S19" s="486"/>
      <c r="T19" s="102">
        <f t="shared" si="5"/>
        <v>0</v>
      </c>
      <c r="U19" s="78">
        <f>IF(NOT(ISNUMBER(G19)), "", VLOOKUP(A19,'Discount Lookup'!D:E,2,FALSE)*G19)</f>
        <v>0</v>
      </c>
      <c r="V19" s="78">
        <f>IF(NOT(ISNUMBER(G19)), "", VLOOKUP(A19,'Discount Lookup'!G:H,2,FALSE)*G19)</f>
        <v>0</v>
      </c>
      <c r="W19" s="102">
        <f t="shared" si="6"/>
        <v>0</v>
      </c>
      <c r="X19" s="102">
        <f t="shared" si="7"/>
        <v>0</v>
      </c>
      <c r="Y19" s="120" t="b">
        <f t="shared" si="8"/>
        <v>0</v>
      </c>
      <c r="Z19" s="117">
        <f t="shared" si="9"/>
        <v>0</v>
      </c>
      <c r="AA19" s="118"/>
      <c r="AB19" s="118" t="str">
        <f t="shared" si="10"/>
        <v/>
      </c>
      <c r="AC19" s="712" t="str">
        <f>IF(AE19="T2G","no charge",IF(AND(OR(PlanterYesMe="No",PlanterYesMe="N",PlanterYesMe="me"),H19=""),"",IF(H19="credit","NO install",IF(AND(K19="",AE19="me"),"EACH row",IF(AND(K19="images",AE19="me"),"EACH row",IF(D19="","",IF(H19="credit","",IF(AE19="free","re-planting",IF(AE19="me","   not ELP, by",IF(AND(OR(PlanterYesMe="Yes",PlanterYesMe="Y"),G19&gt;0),(VLOOKUP(A19,'Discount Lookup'!J:K,2)*G19*(1-PlanterDiscount)*(1+PlanterDifficultyPercentage)),IF(AE19="ELP",(VLOOKUP(A19,'Discount Lookup'!J:K,2)*G19*(1-PlanterDiscount)*(1+PlanterDifficultyPercentage)),IF(AE19="free","re-planting",IF(G19=0,"",IF(PlanterYesMe="",IF(AE19="me","   not ELP, by",IF(AE19="",IF(G19&gt;0,(VLOOKUP(A19,'Discount Lookup'!J:K,2)*G19*(1-PlanterDiscount)*(1+PlanterDifficultyPercentage)),""),"")),"   not ELP, by"))))))))))))))</f>
        <v/>
      </c>
      <c r="AD19" s="712"/>
      <c r="AE19" s="513" t="str">
        <f t="shared" si="11"/>
        <v/>
      </c>
      <c r="AF19" s="713" t="str">
        <f t="shared" si="12"/>
        <v/>
      </c>
      <c r="AG19" s="713"/>
      <c r="AH19" s="713"/>
      <c r="AI19" s="112">
        <f>IF(H19="credit",0,IF(AE19="free",0,IF(AE19="me",0,IF(G19&gt;0,(VLOOKUP(A19,'Discount Lookup'!J:K,2)*G19),0))))</f>
        <v>0</v>
      </c>
      <c r="AJ19" s="107" t="str">
        <f t="shared" ca="1" si="13"/>
        <v/>
      </c>
      <c r="AK19" s="714" t="str">
        <f t="shared" si="14"/>
        <v/>
      </c>
      <c r="AL19" s="714"/>
      <c r="AM19" s="114" t="str">
        <f t="shared" si="15"/>
        <v/>
      </c>
      <c r="AN19" s="115"/>
      <c r="AO19" s="116"/>
      <c r="AP19" s="116"/>
      <c r="AQ19" s="116"/>
      <c r="AR19" s="116"/>
      <c r="AS19" s="116"/>
      <c r="AT19" s="116"/>
      <c r="AU19" s="116"/>
      <c r="AV19" s="78"/>
      <c r="AW19" s="102"/>
      <c r="AX19" s="78"/>
      <c r="AY19" s="78"/>
      <c r="AZ19" s="78"/>
      <c r="BA19" s="78"/>
      <c r="BB19" s="78"/>
      <c r="BC19" s="78"/>
      <c r="BD19" s="78"/>
      <c r="BE19" s="465"/>
      <c r="BF19" s="165" t="str">
        <f t="shared" si="16"/>
        <v>https://www.google.com/search?tbm=isch&amp;q=3%20G3</v>
      </c>
      <c r="BG19" s="165" t="str">
        <f t="shared" si="17"/>
        <v>A</v>
      </c>
      <c r="BH19" s="65"/>
      <c r="BI19" s="65"/>
      <c r="BJ19" s="65"/>
      <c r="BK19" s="65"/>
      <c r="BL19" s="99"/>
      <c r="BM19" s="99"/>
      <c r="BN19" s="99"/>
    </row>
    <row r="20" spans="1:66" s="51" customFormat="1" ht="17.25" thickBot="1" x14ac:dyDescent="0.3">
      <c r="A20" s="508" t="s">
        <v>1073</v>
      </c>
      <c r="B20" s="487"/>
      <c r="C20" s="707"/>
      <c r="D20" s="487"/>
      <c r="E20" s="487"/>
      <c r="F20" s="488"/>
      <c r="G20" s="489"/>
      <c r="H20" s="487"/>
      <c r="I20" s="490"/>
      <c r="J20" s="490"/>
      <c r="K20" s="491"/>
      <c r="L20" s="547"/>
      <c r="M20" s="528"/>
      <c r="N20" s="492"/>
      <c r="O20" s="493"/>
      <c r="P20" s="494"/>
      <c r="Q20" s="492"/>
      <c r="R20" s="492"/>
      <c r="S20" s="699" t="s">
        <v>5245</v>
      </c>
      <c r="T20" s="102">
        <f t="shared" si="5"/>
        <v>0</v>
      </c>
      <c r="U20" s="78" t="str">
        <f>IF(NOT(ISNUMBER(G20)), "", VLOOKUP(A20,'Discount Lookup'!D:E,2,FALSE)*G20)</f>
        <v/>
      </c>
      <c r="V20" s="78" t="str">
        <f>IF(NOT(ISNUMBER(G20)), "", VLOOKUP(A20,'Discount Lookup'!G:H,2,FALSE)*G20)</f>
        <v/>
      </c>
      <c r="W20" s="102">
        <f t="shared" si="6"/>
        <v>0</v>
      </c>
      <c r="X20" s="102">
        <f t="shared" si="7"/>
        <v>0</v>
      </c>
      <c r="Y20" s="120" t="b">
        <f t="shared" si="8"/>
        <v>0</v>
      </c>
      <c r="Z20" s="117">
        <f t="shared" si="9"/>
        <v>0</v>
      </c>
      <c r="AA20" s="118"/>
      <c r="AB20" s="118" t="str">
        <f t="shared" si="10"/>
        <v/>
      </c>
      <c r="AC20" s="712" t="str">
        <f>IF(AE20="T2G","no charge",IF(AND(OR(PlanterYesMe="No",PlanterYesMe="N",PlanterYesMe="me"),H20=""),"",IF(H20="credit","NO install",IF(AND(K20="",AE20="me"),"EACH row",IF(AND(K20="images",AE20="me"),"EACH row",IF(D20="","",IF(H20="credit","",IF(AE20="free","re-planting",IF(AE20="me","   not ELP, by",IF(AND(OR(PlanterYesMe="Yes",PlanterYesMe="Y"),G20&gt;0),(VLOOKUP(A20,'Discount Lookup'!J:K,2)*G20*(1-PlanterDiscount)*(1+PlanterDifficultyPercentage)),IF(AE20="ELP",(VLOOKUP(A20,'Discount Lookup'!J:K,2)*G20*(1-PlanterDiscount)*(1+PlanterDifficultyPercentage)),IF(AE20="free","re-planting",IF(G20=0,"",IF(PlanterYesMe="",IF(AE20="me","   not ELP, by",IF(AE20="",IF(G20&gt;0,(VLOOKUP(A20,'Discount Lookup'!J:K,2)*G20*(1-PlanterDiscount)*(1+PlanterDifficultyPercentage)),""),"")),"   not ELP, by"))))))))))))))</f>
        <v/>
      </c>
      <c r="AD20" s="712"/>
      <c r="AE20" s="513" t="str">
        <f t="shared" si="11"/>
        <v/>
      </c>
      <c r="AF20" s="713" t="str">
        <f t="shared" si="12"/>
        <v/>
      </c>
      <c r="AG20" s="713"/>
      <c r="AH20" s="713"/>
      <c r="AI20" s="112">
        <f>IF(H20="credit",0,IF(AE20="free",0,IF(AE20="me",0,IF(G20&gt;0,(VLOOKUP(A20,'Discount Lookup'!J:K,2)*G20),0))))</f>
        <v>0</v>
      </c>
      <c r="AJ20" s="107" t="str">
        <f t="shared" ca="1" si="13"/>
        <v/>
      </c>
      <c r="AK20" s="714" t="str">
        <f t="shared" si="14"/>
        <v/>
      </c>
      <c r="AL20" s="714"/>
      <c r="AM20" s="114" t="str">
        <f t="shared" si="15"/>
        <v/>
      </c>
      <c r="AN20" s="115"/>
      <c r="AO20" s="116"/>
      <c r="AP20" s="116"/>
      <c r="AQ20" s="116"/>
      <c r="AR20" s="116"/>
      <c r="AS20" s="116"/>
      <c r="AT20" s="116"/>
      <c r="AU20" s="116"/>
      <c r="AV20" s="78"/>
      <c r="AW20" s="102"/>
      <c r="AX20" s="78"/>
      <c r="AY20" s="78"/>
      <c r="AZ20" s="78"/>
      <c r="BA20" s="78"/>
      <c r="BB20" s="78"/>
      <c r="BC20" s="78"/>
      <c r="BD20" s="78"/>
      <c r="BE20" s="465"/>
      <c r="BF20" s="165" t="str">
        <f t="shared" si="16"/>
        <v>https://www.google.com/search?tbm=isch&amp;q=Raspberry%20Perfection%27s%20fragrant%20blooms%20persist%20as%20Dark%20Pink%20sepals%20for%20months.%20Reddish%20winter%20tint%20</v>
      </c>
      <c r="BG20" s="165" t="str">
        <f t="shared" si="17"/>
        <v>R</v>
      </c>
      <c r="BH20" s="65"/>
      <c r="BI20" s="65"/>
      <c r="BJ20" s="65"/>
      <c r="BK20" s="65"/>
      <c r="BL20" s="99"/>
      <c r="BM20" s="99"/>
      <c r="BN20" s="99"/>
    </row>
    <row r="21" spans="1:66" s="51" customFormat="1" ht="18" x14ac:dyDescent="0.25">
      <c r="A21" s="507" t="s">
        <v>1074</v>
      </c>
      <c r="B21" s="470"/>
      <c r="C21" s="706"/>
      <c r="D21" s="471" t="s">
        <v>1075</v>
      </c>
      <c r="E21" s="472"/>
      <c r="F21" s="472"/>
      <c r="G21" s="472"/>
      <c r="H21" s="622" t="s">
        <v>1076</v>
      </c>
      <c r="I21" s="473" t="s">
        <v>1077</v>
      </c>
      <c r="J21" s="472"/>
      <c r="K21" s="472"/>
      <c r="L21" s="561"/>
      <c r="M21" s="698" t="s">
        <v>5246</v>
      </c>
      <c r="N21" s="692" t="str">
        <f>IF(AND(ISTEXT($A21), ISERROR($A21+0)), HYPERLINK($BF21, "Images"), "")</f>
        <v>Images</v>
      </c>
      <c r="O21" s="694" t="s">
        <v>5244</v>
      </c>
      <c r="P21" s="475"/>
      <c r="Q21" s="476"/>
      <c r="R21" s="476"/>
      <c r="S21" s="477"/>
      <c r="T21" s="102">
        <f t="shared" si="5"/>
        <v>0</v>
      </c>
      <c r="U21" s="78" t="str">
        <f>IF(NOT(ISNUMBER(G21)), "", VLOOKUP(A21,'Discount Lookup'!D:E,2,FALSE)*G21)</f>
        <v/>
      </c>
      <c r="V21" s="78" t="str">
        <f>IF(NOT(ISNUMBER(G21)), "", VLOOKUP(A21,'Discount Lookup'!G:H,2,FALSE)*G21)</f>
        <v/>
      </c>
      <c r="W21" s="102">
        <f t="shared" si="6"/>
        <v>0</v>
      </c>
      <c r="X21" s="102" t="str">
        <f t="shared" si="7"/>
        <v>Pink to White bloom</v>
      </c>
      <c r="Y21" s="120" t="b">
        <f t="shared" si="8"/>
        <v>0</v>
      </c>
      <c r="Z21" s="117">
        <f t="shared" si="9"/>
        <v>0</v>
      </c>
      <c r="AA21" s="118"/>
      <c r="AB21" s="118" t="str">
        <f t="shared" si="10"/>
        <v/>
      </c>
      <c r="AC21" s="712" t="str">
        <f>IF(AE21="T2G","no charge",IF(AND(OR(PlanterYesMe="No",PlanterYesMe="N",PlanterYesMe="me"),H21=""),"",IF(H21="credit","NO install",IF(AND(K21="",AE21="me"),"EACH row",IF(AND(K21="images",AE21="me"),"EACH row",IF(D21="","",IF(H21="credit","",IF(AE21="free","re-planting",IF(AE21="me","   not ELP, by",IF(AND(OR(PlanterYesMe="Yes",PlanterYesMe="Y"),G21&gt;0),(VLOOKUP(A21,'Discount Lookup'!J:K,2)*G21*(1-PlanterDiscount)*(1+PlanterDifficultyPercentage)),IF(AE21="ELP",(VLOOKUP(A21,'Discount Lookup'!J:K,2)*G21*(1-PlanterDiscount)*(1+PlanterDifficultyPercentage)),IF(AE21="free","re-planting",IF(G21=0,"",IF(PlanterYesMe="",IF(AE21="me","   not ELP, by",IF(AE21="",IF(G21&gt;0,(VLOOKUP(A21,'Discount Lookup'!J:K,2)*G21*(1-PlanterDiscount)*(1+PlanterDifficultyPercentage)),""),"")),"   not ELP, by"))))))))))))))</f>
        <v/>
      </c>
      <c r="AD21" s="712"/>
      <c r="AE21" s="513" t="str">
        <f t="shared" si="11"/>
        <v/>
      </c>
      <c r="AF21" s="713" t="str">
        <f t="shared" si="12"/>
        <v/>
      </c>
      <c r="AG21" s="713"/>
      <c r="AH21" s="713"/>
      <c r="AI21" s="112">
        <f>IF(H21="credit",0,IF(AE21="free",0,IF(AE21="me",0,IF(G21&gt;0,(VLOOKUP(A21,'Discount Lookup'!J:K,2)*G21),0))))</f>
        <v>0</v>
      </c>
      <c r="AJ21" s="107" t="str">
        <f t="shared" ca="1" si="13"/>
        <v/>
      </c>
      <c r="AK21" s="714" t="str">
        <f t="shared" si="14"/>
        <v/>
      </c>
      <c r="AL21" s="714"/>
      <c r="AM21" s="114" t="str">
        <f t="shared" si="15"/>
        <v/>
      </c>
      <c r="AN21" s="115"/>
      <c r="AO21" s="116"/>
      <c r="AP21" s="116"/>
      <c r="AQ21" s="116"/>
      <c r="AR21" s="116"/>
      <c r="AS21" s="116"/>
      <c r="AT21" s="116"/>
      <c r="AU21" s="116"/>
      <c r="AV21" s="78"/>
      <c r="AW21" s="102"/>
      <c r="AX21" s="78"/>
      <c r="AY21" s="78"/>
      <c r="AZ21" s="78"/>
      <c r="BA21" s="78"/>
      <c r="BB21" s="78"/>
      <c r="BC21" s="78"/>
      <c r="BD21" s="78"/>
      <c r="BE21" s="465"/>
      <c r="BF21" s="165" t="str">
        <f t="shared" si="16"/>
        <v>https://www.google.com/search?tbm=isch&amp;q=Abelia%20x%20grandiflora%20%27Canyon%20Creek%27%20Canyon%20Creek%20Abelia</v>
      </c>
      <c r="BG21" s="165" t="str">
        <f t="shared" si="17"/>
        <v>A</v>
      </c>
      <c r="BH21" s="65"/>
      <c r="BI21" s="65"/>
      <c r="BJ21" s="65"/>
      <c r="BK21" s="65"/>
      <c r="BL21" s="99"/>
      <c r="BM21" s="99"/>
      <c r="BN21" s="99"/>
    </row>
    <row r="22" spans="1:66" s="51" customFormat="1" ht="15.75" x14ac:dyDescent="0.25">
      <c r="A22" s="478">
        <v>3</v>
      </c>
      <c r="B22" s="479" t="s">
        <v>291</v>
      </c>
      <c r="C22" s="480" t="s">
        <v>1078</v>
      </c>
      <c r="D22" s="481" t="s">
        <v>309</v>
      </c>
      <c r="E22" s="482">
        <v>22.95</v>
      </c>
      <c r="F22" s="483" t="s">
        <v>292</v>
      </c>
      <c r="G22" s="484">
        <v>0</v>
      </c>
      <c r="H22" s="688" t="str">
        <f>IF(G22=0,"",IF(F22="Buy",IF(G22=1,"plant","plants"),IF(F22&gt;0.01,"warranty","Error")))</f>
        <v/>
      </c>
      <c r="I22" s="485">
        <f>IF(H22="free",0,IF(H22="credit",((E22*(F22))*G22*-1),IF(F22="Buy",(E22*G22),((E22*(1-F22))*G22))))</f>
        <v>0</v>
      </c>
      <c r="J22" s="485">
        <f>IF(H22="warranty",0,(I22*(_xlfn.SINGLE(SalesTaxPercentage))))</f>
        <v>0</v>
      </c>
      <c r="K22" s="715">
        <f t="shared" ref="K22" si="19">I22+J22</f>
        <v>0</v>
      </c>
      <c r="L22" s="715"/>
      <c r="M22" s="689" t="str">
        <f ca="1">IF(AND(G22&gt;0,E22=0),"WARNING - no PRICE inserted",IF(H22="free","FREE ~ no charge this plant",IF(H22="credit",CONCATENATE("-$",ROUND(K22*(1-_xlfn.SINGLE(T2GDiscount))*-1,2)," CREDIT after discount"),IF(_xlfn.SINGLE(T2GDiscount)=0,"",IF(G22=0,"",IF(F22="Buy",CONCATENATE("$",ROUND(K22*(1-_xlfn.SINGLE(T2GDiscount)),2)," with ",(_xlfn.SINGLE(T2GDiscount)*100),"% discount"),CONCATENATE("$",ROUND(K22*(1-_xlfn.SINGLE(T2GDiscount)),2)," with ",((_xlfn.SINGLE(T2GDiscount)*100+F22*100)-(_xlfn.SINGLE(T2GDiscount)*100*F22)),IF(F22&gt;0,"% discounts",IF(_xlfn.SINGLE(NoWarrantyDiscount)&gt;0,"% discounts","% discount")))))))))</f>
        <v/>
      </c>
      <c r="N22" s="690"/>
      <c r="O22" s="486"/>
      <c r="P22" s="486"/>
      <c r="Q22" s="486"/>
      <c r="R22" s="486"/>
      <c r="S22" s="486"/>
      <c r="T22" s="102">
        <f t="shared" si="5"/>
        <v>0</v>
      </c>
      <c r="U22" s="78">
        <f>IF(NOT(ISNUMBER(G22)), "", VLOOKUP(A22,'Discount Lookup'!D:E,2,FALSE)*G22)</f>
        <v>0</v>
      </c>
      <c r="V22" s="78">
        <f>IF(NOT(ISNUMBER(G22)), "", VLOOKUP(A22,'Discount Lookup'!G:H,2,FALSE)*G22)</f>
        <v>0</v>
      </c>
      <c r="W22" s="102">
        <f t="shared" si="6"/>
        <v>0</v>
      </c>
      <c r="X22" s="102">
        <f t="shared" si="7"/>
        <v>0</v>
      </c>
      <c r="Y22" s="120" t="b">
        <f t="shared" si="8"/>
        <v>0</v>
      </c>
      <c r="Z22" s="117">
        <f t="shared" si="9"/>
        <v>0</v>
      </c>
      <c r="AA22" s="118"/>
      <c r="AB22" s="118" t="str">
        <f t="shared" si="10"/>
        <v/>
      </c>
      <c r="AC22" s="712" t="str">
        <f>IF(AE22="T2G","no charge",IF(AND(OR(PlanterYesMe="No",PlanterYesMe="N",PlanterYesMe="me"),H22=""),"",IF(H22="credit","NO install",IF(AND(K22="",AE22="me"),"EACH row",IF(AND(K22="images",AE22="me"),"EACH row",IF(D22="","",IF(H22="credit","",IF(AE22="free","re-planting",IF(AE22="me","   not ELP, by",IF(AND(OR(PlanterYesMe="Yes",PlanterYesMe="Y"),G22&gt;0),(VLOOKUP(A22,'Discount Lookup'!J:K,2)*G22*(1-PlanterDiscount)*(1+PlanterDifficultyPercentage)),IF(AE22="ELP",(VLOOKUP(A22,'Discount Lookup'!J:K,2)*G22*(1-PlanterDiscount)*(1+PlanterDifficultyPercentage)),IF(AE22="free","re-planting",IF(G22=0,"",IF(PlanterYesMe="",IF(AE22="me","   not ELP, by",IF(AE22="",IF(G22&gt;0,(VLOOKUP(A22,'Discount Lookup'!J:K,2)*G22*(1-PlanterDiscount)*(1+PlanterDifficultyPercentage)),""),"")),"   not ELP, by"))))))))))))))</f>
        <v/>
      </c>
      <c r="AD22" s="712"/>
      <c r="AE22" s="513" t="str">
        <f t="shared" si="11"/>
        <v/>
      </c>
      <c r="AF22" s="713" t="str">
        <f t="shared" si="12"/>
        <v/>
      </c>
      <c r="AG22" s="713"/>
      <c r="AH22" s="713"/>
      <c r="AI22" s="112">
        <f>IF(H22="credit",0,IF(AE22="free",0,IF(AE22="me",0,IF(G22&gt;0,(VLOOKUP(A22,'Discount Lookup'!J:K,2)*G22),0))))</f>
        <v>0</v>
      </c>
      <c r="AJ22" s="107" t="str">
        <f t="shared" ca="1" si="13"/>
        <v/>
      </c>
      <c r="AK22" s="714" t="str">
        <f t="shared" si="14"/>
        <v/>
      </c>
      <c r="AL22" s="714"/>
      <c r="AM22" s="114" t="str">
        <f t="shared" si="15"/>
        <v/>
      </c>
      <c r="AN22" s="115"/>
      <c r="AO22" s="116"/>
      <c r="AP22" s="116"/>
      <c r="AQ22" s="116"/>
      <c r="AR22" s="116"/>
      <c r="AS22" s="116"/>
      <c r="AT22" s="116"/>
      <c r="AU22" s="116"/>
      <c r="AV22" s="78"/>
      <c r="AW22" s="102"/>
      <c r="AX22" s="78"/>
      <c r="AY22" s="78"/>
      <c r="AZ22" s="78"/>
      <c r="BA22" s="78"/>
      <c r="BB22" s="78"/>
      <c r="BC22" s="78"/>
      <c r="BD22" s="78"/>
      <c r="BE22" s="465"/>
      <c r="BF22" s="165" t="str">
        <f t="shared" si="16"/>
        <v>https://www.google.com/search?tbm=isch&amp;q=3%20G3</v>
      </c>
      <c r="BG22" s="165" t="str">
        <f t="shared" si="17"/>
        <v>A</v>
      </c>
      <c r="BH22" s="65"/>
      <c r="BI22" s="65"/>
      <c r="BJ22" s="65"/>
      <c r="BK22" s="65"/>
      <c r="BL22" s="99"/>
      <c r="BM22" s="99"/>
      <c r="BN22" s="99"/>
    </row>
    <row r="23" spans="1:66" s="51" customFormat="1" ht="15.75" x14ac:dyDescent="0.25">
      <c r="A23" s="478">
        <v>3</v>
      </c>
      <c r="B23" s="479" t="s">
        <v>291</v>
      </c>
      <c r="C23" s="480"/>
      <c r="D23" s="481" t="s">
        <v>310</v>
      </c>
      <c r="E23" s="482">
        <v>25.95</v>
      </c>
      <c r="F23" s="483" t="s">
        <v>292</v>
      </c>
      <c r="G23" s="484">
        <v>0</v>
      </c>
      <c r="H23" s="688" t="str">
        <f>IF(G23=0,"",IF(F23="Buy",IF(G23=1,"plant","plants"),IF(F23&gt;0.01,"warranty","Error")))</f>
        <v/>
      </c>
      <c r="I23" s="485">
        <f>IF(H23="free",0,IF(H23="credit",((E23*(F23))*G23*-1),IF(F23="Buy",(E23*G23),((E23*(1-F23))*G23))))</f>
        <v>0</v>
      </c>
      <c r="J23" s="485">
        <f>IF(H23="warranty",0,(I23*(_xlfn.SINGLE(SalesTaxPercentage))))</f>
        <v>0</v>
      </c>
      <c r="K23" s="715">
        <f t="shared" ref="K23" si="20">I23+J23</f>
        <v>0</v>
      </c>
      <c r="L23" s="715"/>
      <c r="M23" s="689" t="str">
        <f ca="1">IF(AND(G23&gt;0,E23=0),"WARNING - no PRICE inserted",IF(H23="free","FREE ~ no charge this plant",IF(H23="credit",CONCATENATE("-$",ROUND(K23*(1-_xlfn.SINGLE(T2GDiscount))*-1,2)," CREDIT after discount"),IF(_xlfn.SINGLE(T2GDiscount)=0,"",IF(G23=0,"",IF(F23="Buy",CONCATENATE("$",ROUND(K23*(1-_xlfn.SINGLE(T2GDiscount)),2)," with ",(_xlfn.SINGLE(T2GDiscount)*100),"% discount"),CONCATENATE("$",ROUND(K23*(1-_xlfn.SINGLE(T2GDiscount)),2)," with ",((_xlfn.SINGLE(T2GDiscount)*100+F23*100)-(_xlfn.SINGLE(T2GDiscount)*100*F23)),IF(F23&gt;0,"% discounts",IF(_xlfn.SINGLE(NoWarrantyDiscount)&gt;0,"% discounts","% discount")))))))))</f>
        <v/>
      </c>
      <c r="N23" s="690"/>
      <c r="O23" s="486"/>
      <c r="P23" s="486"/>
      <c r="Q23" s="486"/>
      <c r="R23" s="486"/>
      <c r="S23" s="486"/>
      <c r="T23" s="102">
        <f t="shared" si="5"/>
        <v>0</v>
      </c>
      <c r="U23" s="78">
        <f>IF(NOT(ISNUMBER(G23)), "", VLOOKUP(A23,'Discount Lookup'!D:E,2,FALSE)*G23)</f>
        <v>0</v>
      </c>
      <c r="V23" s="78">
        <f>IF(NOT(ISNUMBER(G23)), "", VLOOKUP(A23,'Discount Lookup'!G:H,2,FALSE)*G23)</f>
        <v>0</v>
      </c>
      <c r="W23" s="102">
        <f t="shared" si="6"/>
        <v>0</v>
      </c>
      <c r="X23" s="102">
        <f t="shared" si="7"/>
        <v>0</v>
      </c>
      <c r="Y23" s="120" t="b">
        <f t="shared" si="8"/>
        <v>0</v>
      </c>
      <c r="Z23" s="117">
        <f t="shared" si="9"/>
        <v>0</v>
      </c>
      <c r="AA23" s="118"/>
      <c r="AB23" s="118" t="str">
        <f t="shared" si="10"/>
        <v/>
      </c>
      <c r="AC23" s="712" t="str">
        <f>IF(AE23="T2G","no charge",IF(AND(OR(PlanterYesMe="No",PlanterYesMe="N",PlanterYesMe="me"),H23=""),"",IF(H23="credit","NO install",IF(AND(K23="",AE23="me"),"EACH row",IF(AND(K23="images",AE23="me"),"EACH row",IF(D23="","",IF(H23="credit","",IF(AE23="free","re-planting",IF(AE23="me","   not ELP, by",IF(AND(OR(PlanterYesMe="Yes",PlanterYesMe="Y"),G23&gt;0),(VLOOKUP(A23,'Discount Lookup'!J:K,2)*G23*(1-PlanterDiscount)*(1+PlanterDifficultyPercentage)),IF(AE23="ELP",(VLOOKUP(A23,'Discount Lookup'!J:K,2)*G23*(1-PlanterDiscount)*(1+PlanterDifficultyPercentage)),IF(AE23="free","re-planting",IF(G23=0,"",IF(PlanterYesMe="",IF(AE23="me","   not ELP, by",IF(AE23="",IF(G23&gt;0,(VLOOKUP(A23,'Discount Lookup'!J:K,2)*G23*(1-PlanterDiscount)*(1+PlanterDifficultyPercentage)),""),"")),"   not ELP, by"))))))))))))))</f>
        <v/>
      </c>
      <c r="AD23" s="712"/>
      <c r="AE23" s="513" t="str">
        <f t="shared" si="11"/>
        <v/>
      </c>
      <c r="AF23" s="713" t="str">
        <f t="shared" si="12"/>
        <v/>
      </c>
      <c r="AG23" s="713"/>
      <c r="AH23" s="713"/>
      <c r="AI23" s="112">
        <f>IF(H23="credit",0,IF(AE23="free",0,IF(AE23="me",0,IF(G23&gt;0,(VLOOKUP(A23,'Discount Lookup'!J:K,2)*G23),0))))</f>
        <v>0</v>
      </c>
      <c r="AJ23" s="107" t="str">
        <f t="shared" ca="1" si="13"/>
        <v/>
      </c>
      <c r="AK23" s="714" t="str">
        <f t="shared" si="14"/>
        <v/>
      </c>
      <c r="AL23" s="714"/>
      <c r="AM23" s="114" t="str">
        <f t="shared" si="15"/>
        <v/>
      </c>
      <c r="AN23" s="115"/>
      <c r="AO23" s="116"/>
      <c r="AP23" s="116"/>
      <c r="AQ23" s="116"/>
      <c r="AR23" s="116"/>
      <c r="AS23" s="116"/>
      <c r="AT23" s="116"/>
      <c r="AU23" s="116"/>
      <c r="AV23" s="78"/>
      <c r="AW23" s="102"/>
      <c r="AX23" s="78"/>
      <c r="AY23" s="78"/>
      <c r="AZ23" s="78"/>
      <c r="BA23" s="78"/>
      <c r="BB23" s="78"/>
      <c r="BC23" s="78"/>
      <c r="BD23" s="78"/>
      <c r="BE23" s="465"/>
      <c r="BF23" s="165" t="str">
        <f t="shared" si="16"/>
        <v>https://www.google.com/search?tbm=isch&amp;q=3%20G1</v>
      </c>
      <c r="BG23" s="165" t="str">
        <f t="shared" si="17"/>
        <v>A</v>
      </c>
      <c r="BH23" s="65"/>
      <c r="BI23" s="65"/>
      <c r="BJ23" s="65"/>
      <c r="BK23" s="65"/>
      <c r="BL23" s="99"/>
      <c r="BM23" s="99"/>
      <c r="BN23" s="99"/>
    </row>
    <row r="24" spans="1:66" s="51" customFormat="1" ht="17.25" thickBot="1" x14ac:dyDescent="0.3">
      <c r="A24" s="508" t="s">
        <v>1079</v>
      </c>
      <c r="B24" s="487"/>
      <c r="C24" s="707"/>
      <c r="D24" s="487"/>
      <c r="E24" s="487"/>
      <c r="F24" s="488"/>
      <c r="G24" s="489"/>
      <c r="H24" s="487"/>
      <c r="I24" s="490"/>
      <c r="J24" s="490"/>
      <c r="K24" s="491"/>
      <c r="L24" s="547"/>
      <c r="M24" s="528"/>
      <c r="N24" s="492"/>
      <c r="O24" s="493"/>
      <c r="P24" s="494"/>
      <c r="Q24" s="492"/>
      <c r="R24" s="492"/>
      <c r="S24" s="699" t="s">
        <v>5245</v>
      </c>
      <c r="T24" s="102">
        <f t="shared" si="5"/>
        <v>0</v>
      </c>
      <c r="U24" s="78" t="str">
        <f>IF(NOT(ISNUMBER(G24)), "", VLOOKUP(A24,'Discount Lookup'!D:E,2,FALSE)*G24)</f>
        <v/>
      </c>
      <c r="V24" s="78" t="str">
        <f>IF(NOT(ISNUMBER(G24)), "", VLOOKUP(A24,'Discount Lookup'!G:H,2,FALSE)*G24)</f>
        <v/>
      </c>
      <c r="W24" s="102">
        <f t="shared" si="6"/>
        <v>0</v>
      </c>
      <c r="X24" s="102">
        <f t="shared" si="7"/>
        <v>0</v>
      </c>
      <c r="Y24" s="120" t="b">
        <f t="shared" si="8"/>
        <v>0</v>
      </c>
      <c r="Z24" s="117">
        <f t="shared" si="9"/>
        <v>0</v>
      </c>
      <c r="AA24" s="118"/>
      <c r="AB24" s="118" t="str">
        <f t="shared" si="10"/>
        <v/>
      </c>
      <c r="AC24" s="712" t="str">
        <f>IF(AE24="T2G","no charge",IF(AND(OR(PlanterYesMe="No",PlanterYesMe="N",PlanterYesMe="me"),H24=""),"",IF(H24="credit","NO install",IF(AND(K24="",AE24="me"),"EACH row",IF(AND(K24="images",AE24="me"),"EACH row",IF(D24="","",IF(H24="credit","",IF(AE24="free","re-planting",IF(AE24="me","   not ELP, by",IF(AND(OR(PlanterYesMe="Yes",PlanterYesMe="Y"),G24&gt;0),(VLOOKUP(A24,'Discount Lookup'!J:K,2)*G24*(1-PlanterDiscount)*(1+PlanterDifficultyPercentage)),IF(AE24="ELP",(VLOOKUP(A24,'Discount Lookup'!J:K,2)*G24*(1-PlanterDiscount)*(1+PlanterDifficultyPercentage)),IF(AE24="free","re-planting",IF(G24=0,"",IF(PlanterYesMe="",IF(AE24="me","   not ELP, by",IF(AE24="",IF(G24&gt;0,(VLOOKUP(A24,'Discount Lookup'!J:K,2)*G24*(1-PlanterDiscount)*(1+PlanterDifficultyPercentage)),""),"")),"   not ELP, by"))))))))))))))</f>
        <v/>
      </c>
      <c r="AD24" s="712"/>
      <c r="AE24" s="513" t="str">
        <f t="shared" si="11"/>
        <v/>
      </c>
      <c r="AF24" s="713" t="str">
        <f t="shared" si="12"/>
        <v/>
      </c>
      <c r="AG24" s="713"/>
      <c r="AH24" s="713"/>
      <c r="AI24" s="112">
        <f>IF(H24="credit",0,IF(AE24="free",0,IF(AE24="me",0,IF(G24&gt;0,(VLOOKUP(A24,'Discount Lookup'!J:K,2)*G24),0))))</f>
        <v>0</v>
      </c>
      <c r="AJ24" s="107" t="str">
        <f t="shared" ca="1" si="13"/>
        <v/>
      </c>
      <c r="AK24" s="714" t="str">
        <f t="shared" si="14"/>
        <v/>
      </c>
      <c r="AL24" s="714"/>
      <c r="AM24" s="114" t="str">
        <f t="shared" si="15"/>
        <v/>
      </c>
      <c r="AN24" s="115"/>
      <c r="AO24" s="116"/>
      <c r="AP24" s="116"/>
      <c r="AQ24" s="116"/>
      <c r="AR24" s="116"/>
      <c r="AS24" s="116"/>
      <c r="AT24" s="116"/>
      <c r="AU24" s="116"/>
      <c r="AV24" s="78"/>
      <c r="AW24" s="102"/>
      <c r="AX24" s="78"/>
      <c r="AY24" s="78"/>
      <c r="AZ24" s="78"/>
      <c r="BA24" s="78"/>
      <c r="BB24" s="78"/>
      <c r="BC24" s="78"/>
      <c r="BD24" s="78"/>
      <c r="BE24" s="465"/>
      <c r="BF24" s="165" t="str">
        <f t="shared" si="16"/>
        <v>https://www.google.com/search?tbm=isch&amp;q=Canyon%20Creel%20foliage%20emerges%20Coppery-Yellow%2C%20matuures%20to%20Green%2C%20then%20Bronze%20in%20fall.%20Light%20fragrance%20</v>
      </c>
      <c r="BG24" s="165" t="str">
        <f t="shared" si="17"/>
        <v>C</v>
      </c>
      <c r="BH24" s="65"/>
      <c r="BI24" s="65"/>
      <c r="BJ24" s="65"/>
      <c r="BK24" s="65"/>
      <c r="BL24" s="99"/>
      <c r="BM24" s="99"/>
      <c r="BN24" s="99"/>
    </row>
    <row r="25" spans="1:66" s="51" customFormat="1" ht="18" x14ac:dyDescent="0.25">
      <c r="A25" s="507" t="s">
        <v>1080</v>
      </c>
      <c r="B25" s="470"/>
      <c r="C25" s="706"/>
      <c r="D25" s="471" t="s">
        <v>1081</v>
      </c>
      <c r="E25" s="472"/>
      <c r="F25" s="472"/>
      <c r="G25" s="472"/>
      <c r="H25" s="622" t="s">
        <v>1082</v>
      </c>
      <c r="I25" s="473" t="s">
        <v>1083</v>
      </c>
      <c r="J25" s="472"/>
      <c r="K25" s="472"/>
      <c r="L25" s="561"/>
      <c r="M25" s="698" t="s">
        <v>5246</v>
      </c>
      <c r="N25" s="692" t="str">
        <f>IF(AND(ISTEXT($A25), ISERROR($A25+0)), HYPERLINK($BF25, "Images"), "")</f>
        <v>Images</v>
      </c>
      <c r="O25" s="694" t="s">
        <v>5247</v>
      </c>
      <c r="P25" s="475"/>
      <c r="Q25" s="476"/>
      <c r="R25" s="476"/>
      <c r="S25" s="477"/>
      <c r="T25" s="102">
        <f t="shared" si="5"/>
        <v>0</v>
      </c>
      <c r="U25" s="78" t="str">
        <f>IF(NOT(ISNUMBER(G25)), "", VLOOKUP(A25,'Discount Lookup'!D:E,2,FALSE)*G25)</f>
        <v/>
      </c>
      <c r="V25" s="78" t="str">
        <f>IF(NOT(ISNUMBER(G25)), "", VLOOKUP(A25,'Discount Lookup'!G:H,2,FALSE)*G25)</f>
        <v/>
      </c>
      <c r="W25" s="102">
        <f t="shared" si="6"/>
        <v>0</v>
      </c>
      <c r="X25" s="102" t="str">
        <f t="shared" si="7"/>
        <v>Lavender-Pink bloom</v>
      </c>
      <c r="Y25" s="120" t="b">
        <f t="shared" si="8"/>
        <v>0</v>
      </c>
      <c r="Z25" s="117">
        <f t="shared" si="9"/>
        <v>0</v>
      </c>
      <c r="AA25" s="118"/>
      <c r="AB25" s="118" t="str">
        <f t="shared" si="10"/>
        <v/>
      </c>
      <c r="AC25" s="712" t="str">
        <f>IF(AE25="T2G","no charge",IF(AND(OR(PlanterYesMe="No",PlanterYesMe="N",PlanterYesMe="me"),H25=""),"",IF(H25="credit","NO install",IF(AND(K25="",AE25="me"),"EACH row",IF(AND(K25="images",AE25="me"),"EACH row",IF(D25="","",IF(H25="credit","",IF(AE25="free","re-planting",IF(AE25="me","   not ELP, by",IF(AND(OR(PlanterYesMe="Yes",PlanterYesMe="Y"),G25&gt;0),(VLOOKUP(A25,'Discount Lookup'!J:K,2)*G25*(1-PlanterDiscount)*(1+PlanterDifficultyPercentage)),IF(AE25="ELP",(VLOOKUP(A25,'Discount Lookup'!J:K,2)*G25*(1-PlanterDiscount)*(1+PlanterDifficultyPercentage)),IF(AE25="free","re-planting",IF(G25=0,"",IF(PlanterYesMe="",IF(AE25="me","   not ELP, by",IF(AE25="",IF(G25&gt;0,(VLOOKUP(A25,'Discount Lookup'!J:K,2)*G25*(1-PlanterDiscount)*(1+PlanterDifficultyPercentage)),""),"")),"   not ELP, by"))))))))))))))</f>
        <v/>
      </c>
      <c r="AD25" s="712"/>
      <c r="AE25" s="513" t="str">
        <f t="shared" si="11"/>
        <v/>
      </c>
      <c r="AF25" s="713" t="str">
        <f t="shared" si="12"/>
        <v/>
      </c>
      <c r="AG25" s="713"/>
      <c r="AH25" s="713"/>
      <c r="AI25" s="112">
        <f>IF(H25="credit",0,IF(AE25="free",0,IF(AE25="me",0,IF(G25&gt;0,(VLOOKUP(A25,'Discount Lookup'!J:K,2)*G25),0))))</f>
        <v>0</v>
      </c>
      <c r="AJ25" s="107" t="str">
        <f t="shared" ca="1" si="13"/>
        <v/>
      </c>
      <c r="AK25" s="714" t="str">
        <f t="shared" si="14"/>
        <v/>
      </c>
      <c r="AL25" s="714"/>
      <c r="AM25" s="114" t="str">
        <f t="shared" si="15"/>
        <v/>
      </c>
      <c r="AN25" s="115"/>
      <c r="AO25" s="116"/>
      <c r="AP25" s="116"/>
      <c r="AQ25" s="116"/>
      <c r="AR25" s="116"/>
      <c r="AS25" s="116"/>
      <c r="AT25" s="116"/>
      <c r="AU25" s="116"/>
      <c r="AV25" s="78"/>
      <c r="AW25" s="102"/>
      <c r="AX25" s="78"/>
      <c r="AY25" s="78"/>
      <c r="AZ25" s="78"/>
      <c r="BA25" s="78"/>
      <c r="BB25" s="78"/>
      <c r="BC25" s="78"/>
      <c r="BD25" s="78"/>
      <c r="BE25" s="465"/>
      <c r="BF25" s="165" t="str">
        <f t="shared" si="16"/>
        <v>https://www.google.com/search?tbm=isch&amp;q=Abelia%20x%20grandiflora%20%27Edward%20Goucher%27%20Edward%20Goucher%20Abelia</v>
      </c>
      <c r="BG25" s="165" t="str">
        <f t="shared" si="17"/>
        <v>A</v>
      </c>
      <c r="BH25" s="65"/>
      <c r="BI25" s="65"/>
      <c r="BJ25" s="65"/>
      <c r="BK25" s="65"/>
      <c r="BL25" s="99"/>
      <c r="BM25" s="99"/>
      <c r="BN25" s="99"/>
    </row>
    <row r="26" spans="1:66" s="51" customFormat="1" ht="15.75" x14ac:dyDescent="0.25">
      <c r="A26" s="478">
        <v>3</v>
      </c>
      <c r="B26" s="479" t="s">
        <v>291</v>
      </c>
      <c r="C26" s="480" t="s">
        <v>1084</v>
      </c>
      <c r="D26" s="481" t="s">
        <v>309</v>
      </c>
      <c r="E26" s="482">
        <v>22.95</v>
      </c>
      <c r="F26" s="483" t="s">
        <v>292</v>
      </c>
      <c r="G26" s="484">
        <v>0</v>
      </c>
      <c r="H26" s="688" t="str">
        <f>IF(G26=0,"",IF(F26="Buy",IF(G26=1,"plant","plants"),IF(F26&gt;0.01,"warranty","Error")))</f>
        <v/>
      </c>
      <c r="I26" s="485">
        <f>IF(H26="free",0,IF(H26="credit",((E26*(F26))*G26*-1),IF(F26="Buy",(E26*G26),((E26*(1-F26))*G26))))</f>
        <v>0</v>
      </c>
      <c r="J26" s="485">
        <f>IF(H26="warranty",0,(I26*(_xlfn.SINGLE(SalesTaxPercentage))))</f>
        <v>0</v>
      </c>
      <c r="K26" s="715">
        <f t="shared" ref="K26" si="21">I26+J26</f>
        <v>0</v>
      </c>
      <c r="L26" s="715"/>
      <c r="M26" s="689" t="str">
        <f ca="1">IF(AND(G26&gt;0,E26=0),"WARNING - no PRICE inserted",IF(H26="free","FREE ~ no charge this plant",IF(H26="credit",CONCATENATE("-$",ROUND(K26*(1-_xlfn.SINGLE(T2GDiscount))*-1,2)," CREDIT after discount"),IF(_xlfn.SINGLE(T2GDiscount)=0,"",IF(G26=0,"",IF(F26="Buy",CONCATENATE("$",ROUND(K26*(1-_xlfn.SINGLE(T2GDiscount)),2)," with ",(_xlfn.SINGLE(T2GDiscount)*100),"% discount"),CONCATENATE("$",ROUND(K26*(1-_xlfn.SINGLE(T2GDiscount)),2)," with ",((_xlfn.SINGLE(T2GDiscount)*100+F26*100)-(_xlfn.SINGLE(T2GDiscount)*100*F26)),IF(F26&gt;0,"% discounts",IF(_xlfn.SINGLE(NoWarrantyDiscount)&gt;0,"% discounts","% discount")))))))))</f>
        <v/>
      </c>
      <c r="N26" s="690"/>
      <c r="O26" s="486"/>
      <c r="P26" s="486"/>
      <c r="Q26" s="486"/>
      <c r="R26" s="486"/>
      <c r="S26" s="486"/>
      <c r="T26" s="102">
        <f t="shared" si="5"/>
        <v>0</v>
      </c>
      <c r="U26" s="78">
        <f>IF(NOT(ISNUMBER(G26)), "", VLOOKUP(A26,'Discount Lookup'!D:E,2,FALSE)*G26)</f>
        <v>0</v>
      </c>
      <c r="V26" s="78">
        <f>IF(NOT(ISNUMBER(G26)), "", VLOOKUP(A26,'Discount Lookup'!G:H,2,FALSE)*G26)</f>
        <v>0</v>
      </c>
      <c r="W26" s="102">
        <f t="shared" si="6"/>
        <v>0</v>
      </c>
      <c r="X26" s="102">
        <f t="shared" si="7"/>
        <v>0</v>
      </c>
      <c r="Y26" s="120" t="b">
        <f t="shared" si="8"/>
        <v>0</v>
      </c>
      <c r="Z26" s="117">
        <f t="shared" si="9"/>
        <v>0</v>
      </c>
      <c r="AA26" s="118"/>
      <c r="AB26" s="118" t="str">
        <f t="shared" si="10"/>
        <v/>
      </c>
      <c r="AC26" s="712" t="str">
        <f>IF(AE26="T2G","no charge",IF(AND(OR(PlanterYesMe="No",PlanterYesMe="N",PlanterYesMe="me"),H26=""),"",IF(H26="credit","NO install",IF(AND(K26="",AE26="me"),"EACH row",IF(AND(K26="images",AE26="me"),"EACH row",IF(D26="","",IF(H26="credit","",IF(AE26="free","re-planting",IF(AE26="me","   not ELP, by",IF(AND(OR(PlanterYesMe="Yes",PlanterYesMe="Y"),G26&gt;0),(VLOOKUP(A26,'Discount Lookup'!J:K,2)*G26*(1-PlanterDiscount)*(1+PlanterDifficultyPercentage)),IF(AE26="ELP",(VLOOKUP(A26,'Discount Lookup'!J:K,2)*G26*(1-PlanterDiscount)*(1+PlanterDifficultyPercentage)),IF(AE26="free","re-planting",IF(G26=0,"",IF(PlanterYesMe="",IF(AE26="me","   not ELP, by",IF(AE26="",IF(G26&gt;0,(VLOOKUP(A26,'Discount Lookup'!J:K,2)*G26*(1-PlanterDiscount)*(1+PlanterDifficultyPercentage)),""),"")),"   not ELP, by"))))))))))))))</f>
        <v/>
      </c>
      <c r="AD26" s="712"/>
      <c r="AE26" s="513" t="str">
        <f t="shared" si="11"/>
        <v/>
      </c>
      <c r="AF26" s="713" t="str">
        <f t="shared" si="12"/>
        <v/>
      </c>
      <c r="AG26" s="713"/>
      <c r="AH26" s="713"/>
      <c r="AI26" s="112">
        <f>IF(H26="credit",0,IF(AE26="free",0,IF(AE26="me",0,IF(G26&gt;0,(VLOOKUP(A26,'Discount Lookup'!J:K,2)*G26),0))))</f>
        <v>0</v>
      </c>
      <c r="AJ26" s="107" t="str">
        <f t="shared" ca="1" si="13"/>
        <v/>
      </c>
      <c r="AK26" s="714" t="str">
        <f t="shared" si="14"/>
        <v/>
      </c>
      <c r="AL26" s="714"/>
      <c r="AM26" s="114" t="str">
        <f t="shared" si="15"/>
        <v/>
      </c>
      <c r="AN26" s="115"/>
      <c r="AO26" s="116"/>
      <c r="AP26" s="116"/>
      <c r="AQ26" s="116"/>
      <c r="AR26" s="116"/>
      <c r="AS26" s="116"/>
      <c r="AT26" s="116"/>
      <c r="AU26" s="116"/>
      <c r="AV26" s="78"/>
      <c r="AW26" s="102"/>
      <c r="AX26" s="78"/>
      <c r="AY26" s="78"/>
      <c r="AZ26" s="78"/>
      <c r="BA26" s="78"/>
      <c r="BB26" s="78"/>
      <c r="BC26" s="78"/>
      <c r="BD26" s="78"/>
      <c r="BE26" s="465"/>
      <c r="BF26" s="165" t="str">
        <f t="shared" si="16"/>
        <v>https://www.google.com/search?tbm=isch&amp;q=3%20G3</v>
      </c>
      <c r="BG26" s="165" t="str">
        <f t="shared" si="17"/>
        <v>A</v>
      </c>
      <c r="BH26" s="65"/>
      <c r="BI26" s="65"/>
      <c r="BJ26" s="65"/>
      <c r="BK26" s="65"/>
      <c r="BL26" s="99"/>
      <c r="BM26" s="99"/>
      <c r="BN26" s="99"/>
    </row>
    <row r="27" spans="1:66" s="51" customFormat="1" ht="15.75" x14ac:dyDescent="0.25">
      <c r="A27" s="478">
        <v>3</v>
      </c>
      <c r="B27" s="479" t="s">
        <v>291</v>
      </c>
      <c r="C27" s="480"/>
      <c r="D27" s="481" t="s">
        <v>310</v>
      </c>
      <c r="E27" s="482">
        <v>25.95</v>
      </c>
      <c r="F27" s="483" t="s">
        <v>292</v>
      </c>
      <c r="G27" s="484">
        <v>0</v>
      </c>
      <c r="H27" s="688" t="str">
        <f>IF(G27=0,"",IF(F27="Buy",IF(G27=1,"plant","plants"),IF(F27&gt;0.01,"warranty","Error")))</f>
        <v/>
      </c>
      <c r="I27" s="485">
        <f>IF(H27="free",0,IF(H27="credit",((E27*(F27))*G27*-1),IF(F27="Buy",(E27*G27),((E27*(1-F27))*G27))))</f>
        <v>0</v>
      </c>
      <c r="J27" s="485">
        <f>IF(H27="warranty",0,(I27*(_xlfn.SINGLE(SalesTaxPercentage))))</f>
        <v>0</v>
      </c>
      <c r="K27" s="715">
        <f t="shared" ref="K27" si="22">I27+J27</f>
        <v>0</v>
      </c>
      <c r="L27" s="715"/>
      <c r="M27" s="689" t="str">
        <f ca="1">IF(AND(G27&gt;0,E27=0),"WARNING - no PRICE inserted",IF(H27="free","FREE ~ no charge this plant",IF(H27="credit",CONCATENATE("-$",ROUND(K27*(1-_xlfn.SINGLE(T2GDiscount))*-1,2)," CREDIT after discount"),IF(_xlfn.SINGLE(T2GDiscount)=0,"",IF(G27=0,"",IF(F27="Buy",CONCATENATE("$",ROUND(K27*(1-_xlfn.SINGLE(T2GDiscount)),2)," with ",(_xlfn.SINGLE(T2GDiscount)*100),"% discount"),CONCATENATE("$",ROUND(K27*(1-_xlfn.SINGLE(T2GDiscount)),2)," with ",((_xlfn.SINGLE(T2GDiscount)*100+F27*100)-(_xlfn.SINGLE(T2GDiscount)*100*F27)),IF(F27&gt;0,"% discounts",IF(_xlfn.SINGLE(NoWarrantyDiscount)&gt;0,"% discounts","% discount")))))))))</f>
        <v/>
      </c>
      <c r="N27" s="690"/>
      <c r="O27" s="486"/>
      <c r="P27" s="486"/>
      <c r="Q27" s="486"/>
      <c r="R27" s="486"/>
      <c r="S27" s="486"/>
      <c r="T27" s="102">
        <f t="shared" si="5"/>
        <v>0</v>
      </c>
      <c r="U27" s="78">
        <f>IF(NOT(ISNUMBER(G27)), "", VLOOKUP(A27,'Discount Lookup'!D:E,2,FALSE)*G27)</f>
        <v>0</v>
      </c>
      <c r="V27" s="78">
        <f>IF(NOT(ISNUMBER(G27)), "", VLOOKUP(A27,'Discount Lookup'!G:H,2,FALSE)*G27)</f>
        <v>0</v>
      </c>
      <c r="W27" s="102">
        <f t="shared" si="6"/>
        <v>0</v>
      </c>
      <c r="X27" s="102">
        <f t="shared" si="7"/>
        <v>0</v>
      </c>
      <c r="Y27" s="120" t="b">
        <f t="shared" si="8"/>
        <v>0</v>
      </c>
      <c r="Z27" s="117">
        <f t="shared" si="9"/>
        <v>0</v>
      </c>
      <c r="AA27" s="118"/>
      <c r="AB27" s="118" t="str">
        <f t="shared" si="10"/>
        <v/>
      </c>
      <c r="AC27" s="712" t="str">
        <f>IF(AE27="T2G","no charge",IF(AND(OR(PlanterYesMe="No",PlanterYesMe="N",PlanterYesMe="me"),H27=""),"",IF(H27="credit","NO install",IF(AND(K27="",AE27="me"),"EACH row",IF(AND(K27="images",AE27="me"),"EACH row",IF(D27="","",IF(H27="credit","",IF(AE27="free","re-planting",IF(AE27="me","   not ELP, by",IF(AND(OR(PlanterYesMe="Yes",PlanterYesMe="Y"),G27&gt;0),(VLOOKUP(A27,'Discount Lookup'!J:K,2)*G27*(1-PlanterDiscount)*(1+PlanterDifficultyPercentage)),IF(AE27="ELP",(VLOOKUP(A27,'Discount Lookup'!J:K,2)*G27*(1-PlanterDiscount)*(1+PlanterDifficultyPercentage)),IF(AE27="free","re-planting",IF(G27=0,"",IF(PlanterYesMe="",IF(AE27="me","   not ELP, by",IF(AE27="",IF(G27&gt;0,(VLOOKUP(A27,'Discount Lookup'!J:K,2)*G27*(1-PlanterDiscount)*(1+PlanterDifficultyPercentage)),""),"")),"   not ELP, by"))))))))))))))</f>
        <v/>
      </c>
      <c r="AD27" s="712"/>
      <c r="AE27" s="513" t="str">
        <f t="shared" si="11"/>
        <v/>
      </c>
      <c r="AF27" s="713" t="str">
        <f t="shared" si="12"/>
        <v/>
      </c>
      <c r="AG27" s="713"/>
      <c r="AH27" s="713"/>
      <c r="AI27" s="112">
        <f>IF(H27="credit",0,IF(AE27="free",0,IF(AE27="me",0,IF(G27&gt;0,(VLOOKUP(A27,'Discount Lookup'!J:K,2)*G27),0))))</f>
        <v>0</v>
      </c>
      <c r="AJ27" s="107" t="str">
        <f t="shared" ca="1" si="13"/>
        <v/>
      </c>
      <c r="AK27" s="714" t="str">
        <f t="shared" si="14"/>
        <v/>
      </c>
      <c r="AL27" s="714"/>
      <c r="AM27" s="114" t="str">
        <f t="shared" si="15"/>
        <v/>
      </c>
      <c r="AN27" s="115"/>
      <c r="AO27" s="116"/>
      <c r="AP27" s="116"/>
      <c r="AQ27" s="116"/>
      <c r="AR27" s="116"/>
      <c r="AS27" s="116"/>
      <c r="AT27" s="116"/>
      <c r="AU27" s="116"/>
      <c r="AV27" s="78"/>
      <c r="AW27" s="102"/>
      <c r="AX27" s="78"/>
      <c r="AY27" s="78"/>
      <c r="AZ27" s="78"/>
      <c r="BA27" s="78"/>
      <c r="BB27" s="78"/>
      <c r="BC27" s="78"/>
      <c r="BD27" s="78"/>
      <c r="BE27" s="465"/>
      <c r="BF27" s="165" t="str">
        <f t="shared" si="16"/>
        <v>https://www.google.com/search?tbm=isch&amp;q=3%20G1</v>
      </c>
      <c r="BG27" s="165" t="str">
        <f t="shared" si="17"/>
        <v>A</v>
      </c>
      <c r="BH27" s="65"/>
      <c r="BI27" s="65"/>
      <c r="BJ27" s="65"/>
      <c r="BK27" s="65"/>
      <c r="BL27" s="99"/>
      <c r="BM27" s="99"/>
      <c r="BN27" s="99"/>
    </row>
    <row r="28" spans="1:66" s="51" customFormat="1" ht="17.25" thickBot="1" x14ac:dyDescent="0.3">
      <c r="A28" s="508" t="s">
        <v>1085</v>
      </c>
      <c r="B28" s="487"/>
      <c r="C28" s="707"/>
      <c r="D28" s="487"/>
      <c r="E28" s="487"/>
      <c r="F28" s="488"/>
      <c r="G28" s="489"/>
      <c r="H28" s="487"/>
      <c r="I28" s="490"/>
      <c r="J28" s="490"/>
      <c r="K28" s="491"/>
      <c r="L28" s="547"/>
      <c r="M28" s="528"/>
      <c r="N28" s="492"/>
      <c r="O28" s="493"/>
      <c r="P28" s="494"/>
      <c r="Q28" s="492"/>
      <c r="R28" s="492"/>
      <c r="S28" s="699" t="s">
        <v>5248</v>
      </c>
      <c r="T28" s="102">
        <f t="shared" si="5"/>
        <v>0</v>
      </c>
      <c r="U28" s="78" t="str">
        <f>IF(NOT(ISNUMBER(G28)), "", VLOOKUP(A28,'Discount Lookup'!D:E,2,FALSE)*G28)</f>
        <v/>
      </c>
      <c r="V28" s="78" t="str">
        <f>IF(NOT(ISNUMBER(G28)), "", VLOOKUP(A28,'Discount Lookup'!G:H,2,FALSE)*G28)</f>
        <v/>
      </c>
      <c r="W28" s="102">
        <f t="shared" si="6"/>
        <v>0</v>
      </c>
      <c r="X28" s="102">
        <f t="shared" si="7"/>
        <v>0</v>
      </c>
      <c r="Y28" s="120" t="b">
        <f t="shared" si="8"/>
        <v>0</v>
      </c>
      <c r="Z28" s="117">
        <f t="shared" si="9"/>
        <v>0</v>
      </c>
      <c r="AA28" s="118"/>
      <c r="AB28" s="118" t="str">
        <f t="shared" si="10"/>
        <v/>
      </c>
      <c r="AC28" s="712" t="str">
        <f>IF(AE28="T2G","no charge",IF(AND(OR(PlanterYesMe="No",PlanterYesMe="N",PlanterYesMe="me"),H28=""),"",IF(H28="credit","NO install",IF(AND(K28="",AE28="me"),"EACH row",IF(AND(K28="images",AE28="me"),"EACH row",IF(D28="","",IF(H28="credit","",IF(AE28="free","re-planting",IF(AE28="me","   not ELP, by",IF(AND(OR(PlanterYesMe="Yes",PlanterYesMe="Y"),G28&gt;0),(VLOOKUP(A28,'Discount Lookup'!J:K,2)*G28*(1-PlanterDiscount)*(1+PlanterDifficultyPercentage)),IF(AE28="ELP",(VLOOKUP(A28,'Discount Lookup'!J:K,2)*G28*(1-PlanterDiscount)*(1+PlanterDifficultyPercentage)),IF(AE28="free","re-planting",IF(G28=0,"",IF(PlanterYesMe="",IF(AE28="me","   not ELP, by",IF(AE28="",IF(G28&gt;0,(VLOOKUP(A28,'Discount Lookup'!J:K,2)*G28*(1-PlanterDiscount)*(1+PlanterDifficultyPercentage)),""),"")),"   not ELP, by"))))))))))))))</f>
        <v/>
      </c>
      <c r="AD28" s="712"/>
      <c r="AE28" s="513" t="str">
        <f t="shared" si="11"/>
        <v/>
      </c>
      <c r="AF28" s="713" t="str">
        <f t="shared" si="12"/>
        <v/>
      </c>
      <c r="AG28" s="713"/>
      <c r="AH28" s="713"/>
      <c r="AI28" s="112">
        <f>IF(H28="credit",0,IF(AE28="free",0,IF(AE28="me",0,IF(G28&gt;0,(VLOOKUP(A28,'Discount Lookup'!J:K,2)*G28),0))))</f>
        <v>0</v>
      </c>
      <c r="AJ28" s="107" t="str">
        <f t="shared" ca="1" si="13"/>
        <v/>
      </c>
      <c r="AK28" s="714" t="str">
        <f t="shared" si="14"/>
        <v/>
      </c>
      <c r="AL28" s="714"/>
      <c r="AM28" s="114" t="str">
        <f t="shared" si="15"/>
        <v/>
      </c>
      <c r="AN28" s="115"/>
      <c r="AO28" s="116"/>
      <c r="AP28" s="116"/>
      <c r="AQ28" s="116"/>
      <c r="AR28" s="116"/>
      <c r="AS28" s="116"/>
      <c r="AT28" s="116"/>
      <c r="AU28" s="116"/>
      <c r="AV28" s="78"/>
      <c r="AW28" s="102"/>
      <c r="AX28" s="78"/>
      <c r="AY28" s="78"/>
      <c r="AZ28" s="78"/>
      <c r="BA28" s="78"/>
      <c r="BB28" s="78"/>
      <c r="BC28" s="78"/>
      <c r="BD28" s="78"/>
      <c r="BE28" s="465"/>
      <c r="BF28" s="165" t="str">
        <f t="shared" si="16"/>
        <v>https://www.google.com/search?tbm=isch&amp;q=Edward%20Goucher%20has%20variegated%20foliage%20on%20graceful%20arching%20stems.%20May%20Bronze%20in%20fall.%20Light%20fragrance%20</v>
      </c>
      <c r="BG28" s="165" t="str">
        <f t="shared" si="17"/>
        <v>E</v>
      </c>
      <c r="BH28" s="65"/>
      <c r="BI28" s="65"/>
      <c r="BJ28" s="65"/>
      <c r="BK28" s="65"/>
      <c r="BL28" s="99"/>
      <c r="BM28" s="99"/>
      <c r="BN28" s="99"/>
    </row>
    <row r="29" spans="1:66" s="51" customFormat="1" ht="18" x14ac:dyDescent="0.25">
      <c r="A29" s="507" t="s">
        <v>1086</v>
      </c>
      <c r="B29" s="470"/>
      <c r="C29" s="706"/>
      <c r="D29" s="471" t="s">
        <v>1087</v>
      </c>
      <c r="E29" s="472"/>
      <c r="F29" s="472"/>
      <c r="G29" s="472"/>
      <c r="H29" s="622" t="s">
        <v>1088</v>
      </c>
      <c r="I29" s="473" t="s">
        <v>1089</v>
      </c>
      <c r="J29" s="472"/>
      <c r="K29" s="472"/>
      <c r="L29" s="561"/>
      <c r="M29" s="698" t="s">
        <v>5246</v>
      </c>
      <c r="N29" s="692" t="str">
        <f>IF(AND(ISTEXT($A29), ISERROR($A29+0)), HYPERLINK($BF29, "Images"), "")</f>
        <v>Images</v>
      </c>
      <c r="O29" s="694" t="s">
        <v>5244</v>
      </c>
      <c r="P29" s="475"/>
      <c r="Q29" s="476"/>
      <c r="R29" s="476"/>
      <c r="S29" s="477"/>
      <c r="T29" s="102">
        <f t="shared" si="5"/>
        <v>0</v>
      </c>
      <c r="U29" s="78" t="str">
        <f>IF(NOT(ISNUMBER(G29)), "", VLOOKUP(A29,'Discount Lookup'!D:E,2,FALSE)*G29)</f>
        <v/>
      </c>
      <c r="V29" s="78" t="str">
        <f>IF(NOT(ISNUMBER(G29)), "", VLOOKUP(A29,'Discount Lookup'!G:H,2,FALSE)*G29)</f>
        <v/>
      </c>
      <c r="W29" s="102">
        <f t="shared" si="6"/>
        <v>0</v>
      </c>
      <c r="X29" s="102" t="str">
        <f t="shared" si="7"/>
        <v>White bloom, hint of Pink</v>
      </c>
      <c r="Y29" s="120" t="b">
        <f t="shared" si="8"/>
        <v>0</v>
      </c>
      <c r="Z29" s="117">
        <f t="shared" si="9"/>
        <v>0</v>
      </c>
      <c r="AA29" s="118"/>
      <c r="AB29" s="118" t="str">
        <f t="shared" si="10"/>
        <v/>
      </c>
      <c r="AC29" s="712" t="str">
        <f>IF(AE29="T2G","no charge",IF(AND(OR(PlanterYesMe="No",PlanterYesMe="N",PlanterYesMe="me"),H29=""),"",IF(H29="credit","NO install",IF(AND(K29="",AE29="me"),"EACH row",IF(AND(K29="images",AE29="me"),"EACH row",IF(D29="","",IF(H29="credit","",IF(AE29="free","re-planting",IF(AE29="me","   not ELP, by",IF(AND(OR(PlanterYesMe="Yes",PlanterYesMe="Y"),G29&gt;0),(VLOOKUP(A29,'Discount Lookup'!J:K,2)*G29*(1-PlanterDiscount)*(1+PlanterDifficultyPercentage)),IF(AE29="ELP",(VLOOKUP(A29,'Discount Lookup'!J:K,2)*G29*(1-PlanterDiscount)*(1+PlanterDifficultyPercentage)),IF(AE29="free","re-planting",IF(G29=0,"",IF(PlanterYesMe="",IF(AE29="me","   not ELP, by",IF(AE29="",IF(G29&gt;0,(VLOOKUP(A29,'Discount Lookup'!J:K,2)*G29*(1-PlanterDiscount)*(1+PlanterDifficultyPercentage)),""),"")),"   not ELP, by"))))))))))))))</f>
        <v/>
      </c>
      <c r="AD29" s="712"/>
      <c r="AE29" s="513" t="str">
        <f t="shared" si="11"/>
        <v/>
      </c>
      <c r="AF29" s="713" t="str">
        <f t="shared" si="12"/>
        <v/>
      </c>
      <c r="AG29" s="713"/>
      <c r="AH29" s="713"/>
      <c r="AI29" s="112">
        <f>IF(H29="credit",0,IF(AE29="free",0,IF(AE29="me",0,IF(G29&gt;0,(VLOOKUP(A29,'Discount Lookup'!J:K,2)*G29),0))))</f>
        <v>0</v>
      </c>
      <c r="AJ29" s="107" t="str">
        <f t="shared" ca="1" si="13"/>
        <v/>
      </c>
      <c r="AK29" s="714" t="str">
        <f t="shared" si="14"/>
        <v/>
      </c>
      <c r="AL29" s="714"/>
      <c r="AM29" s="114" t="str">
        <f t="shared" si="15"/>
        <v/>
      </c>
      <c r="AN29" s="115"/>
      <c r="AO29" s="116"/>
      <c r="AP29" s="116"/>
      <c r="AQ29" s="116"/>
      <c r="AR29" s="116"/>
      <c r="AS29" s="116"/>
      <c r="AT29" s="116"/>
      <c r="AU29" s="116"/>
      <c r="AV29" s="78"/>
      <c r="AW29" s="102"/>
      <c r="AX29" s="78"/>
      <c r="AY29" s="78"/>
      <c r="AZ29" s="78"/>
      <c r="BA29" s="78"/>
      <c r="BB29" s="78"/>
      <c r="BC29" s="78"/>
      <c r="BD29" s="78"/>
      <c r="BE29" s="465"/>
      <c r="BF29" s="165" t="str">
        <f t="shared" si="16"/>
        <v>https://www.google.com/search?tbm=isch&amp;q=Abelia%20x%20grandiflora%20%27Frosty%27%20Frosty%20Abelia</v>
      </c>
      <c r="BG29" s="165" t="str">
        <f t="shared" si="17"/>
        <v>A</v>
      </c>
      <c r="BH29" s="65"/>
      <c r="BI29" s="65"/>
      <c r="BJ29" s="65"/>
      <c r="BK29" s="65"/>
      <c r="BL29" s="99"/>
      <c r="BM29" s="99"/>
      <c r="BN29" s="99"/>
    </row>
    <row r="30" spans="1:66" s="51" customFormat="1" ht="27" x14ac:dyDescent="0.25">
      <c r="A30" s="478">
        <v>3</v>
      </c>
      <c r="B30" s="479" t="s">
        <v>291</v>
      </c>
      <c r="C30" s="480" t="s">
        <v>1090</v>
      </c>
      <c r="D30" s="481" t="s">
        <v>311</v>
      </c>
      <c r="E30" s="482">
        <v>35.950000000000003</v>
      </c>
      <c r="F30" s="483" t="s">
        <v>292</v>
      </c>
      <c r="G30" s="484">
        <v>0</v>
      </c>
      <c r="H30" s="688" t="str">
        <f>IF(G30=0,"",IF(F30="Buy",IF(G30=1,"plant","plants"),IF(F30&gt;0.01,"warranty","Error")))</f>
        <v/>
      </c>
      <c r="I30" s="485">
        <f>IF(H30="free",0,IF(H30="credit",((E30*(F30))*G30*-1),IF(F30="Buy",(E30*G30),((E30*(1-F30))*G30))))</f>
        <v>0</v>
      </c>
      <c r="J30" s="485">
        <f>IF(H30="warranty",0,(I30*(_xlfn.SINGLE(SalesTaxPercentage))))</f>
        <v>0</v>
      </c>
      <c r="K30" s="715">
        <f t="shared" ref="K30" si="23">I30+J30</f>
        <v>0</v>
      </c>
      <c r="L30" s="715"/>
      <c r="M30" s="689" t="str">
        <f ca="1">IF(AND(G30&gt;0,E30=0),"WARNING - no PRICE inserted",IF(H30="free","FREE ~ no charge this plant",IF(H30="credit",CONCATENATE("-$",ROUND(K30*(1-_xlfn.SINGLE(T2GDiscount))*-1,2)," CREDIT after discount"),IF(_xlfn.SINGLE(T2GDiscount)=0,"",IF(G30=0,"",IF(F30="Buy",CONCATENATE("$",ROUND(K30*(1-_xlfn.SINGLE(T2GDiscount)),2)," with ",(_xlfn.SINGLE(T2GDiscount)*100),"% discount"),CONCATENATE("$",ROUND(K30*(1-_xlfn.SINGLE(T2GDiscount)),2)," with ",((_xlfn.SINGLE(T2GDiscount)*100+F30*100)-(_xlfn.SINGLE(T2GDiscount)*100*F30)),IF(F30&gt;0,"% discounts",IF(_xlfn.SINGLE(NoWarrantyDiscount)&gt;0,"% discounts","% discount")))))))))</f>
        <v/>
      </c>
      <c r="N30" s="690"/>
      <c r="O30" s="486"/>
      <c r="P30" s="486"/>
      <c r="Q30" s="486"/>
      <c r="R30" s="486"/>
      <c r="S30" s="486"/>
      <c r="T30" s="102">
        <f t="shared" si="5"/>
        <v>0</v>
      </c>
      <c r="U30" s="78">
        <f>IF(NOT(ISNUMBER(G30)), "", VLOOKUP(A30,'Discount Lookup'!D:E,2,FALSE)*G30)</f>
        <v>0</v>
      </c>
      <c r="V30" s="78">
        <f>IF(NOT(ISNUMBER(G30)), "", VLOOKUP(A30,'Discount Lookup'!G:H,2,FALSE)*G30)</f>
        <v>0</v>
      </c>
      <c r="W30" s="102">
        <f t="shared" si="6"/>
        <v>0</v>
      </c>
      <c r="X30" s="102">
        <f t="shared" si="7"/>
        <v>0</v>
      </c>
      <c r="Y30" s="120" t="b">
        <f t="shared" si="8"/>
        <v>0</v>
      </c>
      <c r="Z30" s="117">
        <f t="shared" si="9"/>
        <v>0</v>
      </c>
      <c r="AA30" s="118"/>
      <c r="AB30" s="118" t="str">
        <f t="shared" si="10"/>
        <v/>
      </c>
      <c r="AC30" s="712" t="str">
        <f>IF(AE30="T2G","no charge",IF(AND(OR(PlanterYesMe="No",PlanterYesMe="N",PlanterYesMe="me"),H30=""),"",IF(H30="credit","NO install",IF(AND(K30="",AE30="me"),"EACH row",IF(AND(K30="images",AE30="me"),"EACH row",IF(D30="","",IF(H30="credit","",IF(AE30="free","re-planting",IF(AE30="me","   not ELP, by",IF(AND(OR(PlanterYesMe="Yes",PlanterYesMe="Y"),G30&gt;0),(VLOOKUP(A30,'Discount Lookup'!J:K,2)*G30*(1-PlanterDiscount)*(1+PlanterDifficultyPercentage)),IF(AE30="ELP",(VLOOKUP(A30,'Discount Lookup'!J:K,2)*G30*(1-PlanterDiscount)*(1+PlanterDifficultyPercentage)),IF(AE30="free","re-planting",IF(G30=0,"",IF(PlanterYesMe="",IF(AE30="me","   not ELP, by",IF(AE30="",IF(G30&gt;0,(VLOOKUP(A30,'Discount Lookup'!J:K,2)*G30*(1-PlanterDiscount)*(1+PlanterDifficultyPercentage)),""),"")),"   not ELP, by"))))))))))))))</f>
        <v/>
      </c>
      <c r="AD30" s="712"/>
      <c r="AE30" s="513" t="str">
        <f t="shared" si="11"/>
        <v/>
      </c>
      <c r="AF30" s="713" t="str">
        <f t="shared" si="12"/>
        <v/>
      </c>
      <c r="AG30" s="713"/>
      <c r="AH30" s="713"/>
      <c r="AI30" s="112">
        <f>IF(H30="credit",0,IF(AE30="free",0,IF(AE30="me",0,IF(G30&gt;0,(VLOOKUP(A30,'Discount Lookup'!J:K,2)*G30),0))))</f>
        <v>0</v>
      </c>
      <c r="AJ30" s="107" t="str">
        <f t="shared" ca="1" si="13"/>
        <v/>
      </c>
      <c r="AK30" s="714" t="str">
        <f t="shared" si="14"/>
        <v/>
      </c>
      <c r="AL30" s="714"/>
      <c r="AM30" s="114" t="str">
        <f t="shared" si="15"/>
        <v/>
      </c>
      <c r="AN30" s="115"/>
      <c r="AO30" s="116"/>
      <c r="AP30" s="116"/>
      <c r="AQ30" s="116"/>
      <c r="AR30" s="116"/>
      <c r="AS30" s="116"/>
      <c r="AT30" s="116"/>
      <c r="AU30" s="116"/>
      <c r="AV30" s="78"/>
      <c r="AW30" s="102"/>
      <c r="AX30" s="78"/>
      <c r="AY30" s="78"/>
      <c r="AZ30" s="78"/>
      <c r="BA30" s="78"/>
      <c r="BB30" s="78"/>
      <c r="BC30" s="78"/>
      <c r="BD30" s="78"/>
      <c r="BE30" s="465"/>
      <c r="BF30" s="165" t="str">
        <f t="shared" si="16"/>
        <v>https://www.google.com/search?tbm=isch&amp;q=3%20G5</v>
      </c>
      <c r="BG30" s="165" t="str">
        <f t="shared" si="17"/>
        <v>A</v>
      </c>
      <c r="BH30" s="65"/>
      <c r="BI30" s="65"/>
      <c r="BJ30" s="65"/>
      <c r="BK30" s="65"/>
      <c r="BL30" s="99"/>
      <c r="BM30" s="99"/>
      <c r="BN30" s="99"/>
    </row>
    <row r="31" spans="1:66" s="51" customFormat="1" ht="17.25" thickBot="1" x14ac:dyDescent="0.3">
      <c r="A31" s="508" t="s">
        <v>1091</v>
      </c>
      <c r="B31" s="487"/>
      <c r="C31" s="707"/>
      <c r="D31" s="487"/>
      <c r="E31" s="487"/>
      <c r="F31" s="488"/>
      <c r="G31" s="489"/>
      <c r="H31" s="487"/>
      <c r="I31" s="490"/>
      <c r="J31" s="490"/>
      <c r="K31" s="491"/>
      <c r="L31" s="547"/>
      <c r="M31" s="528"/>
      <c r="N31" s="492"/>
      <c r="O31" s="493"/>
      <c r="P31" s="494"/>
      <c r="Q31" s="492"/>
      <c r="R31" s="492"/>
      <c r="S31" s="699" t="s">
        <v>5248</v>
      </c>
      <c r="T31" s="102">
        <f t="shared" si="5"/>
        <v>0</v>
      </c>
      <c r="U31" s="78" t="str">
        <f>IF(NOT(ISNUMBER(G31)), "", VLOOKUP(A31,'Discount Lookup'!D:E,2,FALSE)*G31)</f>
        <v/>
      </c>
      <c r="V31" s="78" t="str">
        <f>IF(NOT(ISNUMBER(G31)), "", VLOOKUP(A31,'Discount Lookup'!G:H,2,FALSE)*G31)</f>
        <v/>
      </c>
      <c r="W31" s="102">
        <f t="shared" si="6"/>
        <v>0</v>
      </c>
      <c r="X31" s="102">
        <f t="shared" si="7"/>
        <v>0</v>
      </c>
      <c r="Y31" s="120" t="b">
        <f t="shared" si="8"/>
        <v>0</v>
      </c>
      <c r="Z31" s="117">
        <f t="shared" si="9"/>
        <v>0</v>
      </c>
      <c r="AA31" s="118"/>
      <c r="AB31" s="118" t="str">
        <f t="shared" si="10"/>
        <v/>
      </c>
      <c r="AC31" s="712" t="str">
        <f>IF(AE31="T2G","no charge",IF(AND(OR(PlanterYesMe="No",PlanterYesMe="N",PlanterYesMe="me"),H31=""),"",IF(H31="credit","NO install",IF(AND(K31="",AE31="me"),"EACH row",IF(AND(K31="images",AE31="me"),"EACH row",IF(D31="","",IF(H31="credit","",IF(AE31="free","re-planting",IF(AE31="me","   not ELP, by",IF(AND(OR(PlanterYesMe="Yes",PlanterYesMe="Y"),G31&gt;0),(VLOOKUP(A31,'Discount Lookup'!J:K,2)*G31*(1-PlanterDiscount)*(1+PlanterDifficultyPercentage)),IF(AE31="ELP",(VLOOKUP(A31,'Discount Lookup'!J:K,2)*G31*(1-PlanterDiscount)*(1+PlanterDifficultyPercentage)),IF(AE31="free","re-planting",IF(G31=0,"",IF(PlanterYesMe="",IF(AE31="me","   not ELP, by",IF(AE31="",IF(G31&gt;0,(VLOOKUP(A31,'Discount Lookup'!J:K,2)*G31*(1-PlanterDiscount)*(1+PlanterDifficultyPercentage)),""),"")),"   not ELP, by"))))))))))))))</f>
        <v/>
      </c>
      <c r="AD31" s="712"/>
      <c r="AE31" s="513" t="str">
        <f t="shared" si="11"/>
        <v/>
      </c>
      <c r="AF31" s="713" t="str">
        <f t="shared" si="12"/>
        <v/>
      </c>
      <c r="AG31" s="713"/>
      <c r="AH31" s="713"/>
      <c r="AI31" s="112">
        <f>IF(H31="credit",0,IF(AE31="free",0,IF(AE31="me",0,IF(G31&gt;0,(VLOOKUP(A31,'Discount Lookup'!J:K,2)*G31),0))))</f>
        <v>0</v>
      </c>
      <c r="AJ31" s="107" t="str">
        <f t="shared" ca="1" si="13"/>
        <v/>
      </c>
      <c r="AK31" s="714" t="str">
        <f t="shared" si="14"/>
        <v/>
      </c>
      <c r="AL31" s="714"/>
      <c r="AM31" s="114" t="str">
        <f t="shared" si="15"/>
        <v/>
      </c>
      <c r="AN31" s="115"/>
      <c r="AO31" s="116"/>
      <c r="AP31" s="116"/>
      <c r="AQ31" s="116"/>
      <c r="AR31" s="116"/>
      <c r="AS31" s="116"/>
      <c r="AT31" s="116"/>
      <c r="AU31" s="116"/>
      <c r="AV31" s="78"/>
      <c r="AW31" s="102"/>
      <c r="AX31" s="78"/>
      <c r="AY31" s="78"/>
      <c r="AZ31" s="78"/>
      <c r="BA31" s="78"/>
      <c r="BB31" s="78"/>
      <c r="BC31" s="78"/>
      <c r="BD31" s="78"/>
      <c r="BE31" s="465"/>
      <c r="BF31" s="165" t="str">
        <f t="shared" si="16"/>
        <v>https://www.google.com/search?tbm=isch&amp;q=Frosty%20admired%20for%20its%20striking%20variegated%20foliage.%20Purple%20fall%20color%20lingers%20into%20winter.%20Light%20fragrance%20</v>
      </c>
      <c r="BG31" s="165" t="str">
        <f t="shared" si="17"/>
        <v>F</v>
      </c>
      <c r="BH31" s="65"/>
      <c r="BI31" s="65"/>
      <c r="BJ31" s="65"/>
      <c r="BK31" s="65"/>
      <c r="BL31" s="99"/>
      <c r="BM31" s="99"/>
      <c r="BN31" s="99"/>
    </row>
    <row r="32" spans="1:66" s="51" customFormat="1" ht="18" x14ac:dyDescent="0.25">
      <c r="A32" s="507" t="s">
        <v>1092</v>
      </c>
      <c r="B32" s="470"/>
      <c r="C32" s="706"/>
      <c r="D32" s="471" t="s">
        <v>5575</v>
      </c>
      <c r="E32" s="472"/>
      <c r="F32" s="472"/>
      <c r="G32" s="472"/>
      <c r="H32" s="622" t="s">
        <v>1088</v>
      </c>
      <c r="I32" s="473" t="s">
        <v>1093</v>
      </c>
      <c r="J32" s="472"/>
      <c r="K32" s="472"/>
      <c r="L32" s="561"/>
      <c r="M32" s="698" t="s">
        <v>5246</v>
      </c>
      <c r="N32" s="692" t="str">
        <f>IF(AND(ISTEXT($A32), ISERROR($A32+0)), HYPERLINK($BF32, "Images"), "")</f>
        <v>Images</v>
      </c>
      <c r="O32" s="694" t="s">
        <v>5244</v>
      </c>
      <c r="P32" s="475"/>
      <c r="Q32" s="476"/>
      <c r="R32" s="476"/>
      <c r="S32" s="477"/>
      <c r="T32" s="102">
        <f t="shared" si="5"/>
        <v>0</v>
      </c>
      <c r="U32" s="78" t="str">
        <f>IF(NOT(ISNUMBER(G32)), "", VLOOKUP(A32,'Discount Lookup'!D:E,2,FALSE)*G32)</f>
        <v/>
      </c>
      <c r="V32" s="78" t="str">
        <f>IF(NOT(ISNUMBER(G32)), "", VLOOKUP(A32,'Discount Lookup'!G:H,2,FALSE)*G32)</f>
        <v/>
      </c>
      <c r="W32" s="102">
        <f t="shared" si="6"/>
        <v>0</v>
      </c>
      <c r="X32" s="102" t="str">
        <f t="shared" si="7"/>
        <v>Light Pink to White</v>
      </c>
      <c r="Y32" s="120" t="b">
        <f t="shared" si="8"/>
        <v>0</v>
      </c>
      <c r="Z32" s="117">
        <f t="shared" si="9"/>
        <v>0</v>
      </c>
      <c r="AA32" s="118"/>
      <c r="AB32" s="118" t="str">
        <f t="shared" si="10"/>
        <v/>
      </c>
      <c r="AC32" s="712" t="str">
        <f>IF(AE32="T2G","no charge",IF(AND(OR(PlanterYesMe="No",PlanterYesMe="N",PlanterYesMe="me"),H32=""),"",IF(H32="credit","NO install",IF(AND(K32="",AE32="me"),"EACH row",IF(AND(K32="images",AE32="me"),"EACH row",IF(D32="","",IF(H32="credit","",IF(AE32="free","re-planting",IF(AE32="me","   not ELP, by",IF(AND(OR(PlanterYesMe="Yes",PlanterYesMe="Y"),G32&gt;0),(VLOOKUP(A32,'Discount Lookup'!J:K,2)*G32*(1-PlanterDiscount)*(1+PlanterDifficultyPercentage)),IF(AE32="ELP",(VLOOKUP(A32,'Discount Lookup'!J:K,2)*G32*(1-PlanterDiscount)*(1+PlanterDifficultyPercentage)),IF(AE32="free","re-planting",IF(G32=0,"",IF(PlanterYesMe="",IF(AE32="me","   not ELP, by",IF(AE32="",IF(G32&gt;0,(VLOOKUP(A32,'Discount Lookup'!J:K,2)*G32*(1-PlanterDiscount)*(1+PlanterDifficultyPercentage)),""),"")),"   not ELP, by"))))))))))))))</f>
        <v/>
      </c>
      <c r="AD32" s="712"/>
      <c r="AE32" s="513" t="str">
        <f t="shared" si="11"/>
        <v/>
      </c>
      <c r="AF32" s="713" t="str">
        <f t="shared" si="12"/>
        <v/>
      </c>
      <c r="AG32" s="713"/>
      <c r="AH32" s="713"/>
      <c r="AI32" s="112">
        <f>IF(H32="credit",0,IF(AE32="free",0,IF(AE32="me",0,IF(G32&gt;0,(VLOOKUP(A32,'Discount Lookup'!J:K,2)*G32),0))))</f>
        <v>0</v>
      </c>
      <c r="AJ32" s="107" t="str">
        <f t="shared" ca="1" si="13"/>
        <v/>
      </c>
      <c r="AK32" s="714" t="str">
        <f t="shared" si="14"/>
        <v/>
      </c>
      <c r="AL32" s="714"/>
      <c r="AM32" s="114" t="str">
        <f t="shared" si="15"/>
        <v/>
      </c>
      <c r="AN32" s="115"/>
      <c r="AO32" s="116"/>
      <c r="AP32" s="116"/>
      <c r="AQ32" s="116"/>
      <c r="AR32" s="116"/>
      <c r="AS32" s="116"/>
      <c r="AT32" s="116"/>
      <c r="AU32" s="116"/>
      <c r="AV32" s="78"/>
      <c r="AW32" s="102"/>
      <c r="AX32" s="78"/>
      <c r="AY32" s="78"/>
      <c r="AZ32" s="78"/>
      <c r="BA32" s="78"/>
      <c r="BB32" s="78"/>
      <c r="BC32" s="78"/>
      <c r="BD32" s="78"/>
      <c r="BE32" s="465"/>
      <c r="BF32" s="165" t="str">
        <f t="shared" si="16"/>
        <v>https://www.google.com/search?tbm=isch&amp;q=Abelia%20x%20grandiflora%20%27Hopleys%27%20PP%2320682P2%20Miss%20Lemon%E2%84%A2%20Abelia</v>
      </c>
      <c r="BG32" s="165" t="str">
        <f t="shared" si="17"/>
        <v>A</v>
      </c>
      <c r="BH32" s="65"/>
      <c r="BI32" s="65"/>
      <c r="BJ32" s="65"/>
      <c r="BK32" s="65"/>
      <c r="BL32" s="99"/>
      <c r="BM32" s="99"/>
      <c r="BN32" s="99"/>
    </row>
    <row r="33" spans="1:66" s="51" customFormat="1" ht="15.75" x14ac:dyDescent="0.25">
      <c r="A33" s="478">
        <v>3</v>
      </c>
      <c r="B33" s="479" t="s">
        <v>291</v>
      </c>
      <c r="C33" s="480" t="s">
        <v>4950</v>
      </c>
      <c r="D33" s="481" t="s">
        <v>309</v>
      </c>
      <c r="E33" s="482">
        <v>26.95</v>
      </c>
      <c r="F33" s="483" t="s">
        <v>292</v>
      </c>
      <c r="G33" s="484">
        <v>0</v>
      </c>
      <c r="H33" s="688" t="str">
        <f>IF(G33=0,"",IF(F33="Buy",IF(G33=1,"plant","plants"),IF(F33&gt;0.01,"warranty","Error")))</f>
        <v/>
      </c>
      <c r="I33" s="485">
        <f>IF(H33="free",0,IF(H33="credit",((E33*(F33))*G33*-1),IF(F33="Buy",(E33*G33),((E33*(1-F33))*G33))))</f>
        <v>0</v>
      </c>
      <c r="J33" s="485">
        <f>IF(H33="warranty",0,(I33*(_xlfn.SINGLE(SalesTaxPercentage))))</f>
        <v>0</v>
      </c>
      <c r="K33" s="715">
        <f t="shared" ref="K33" si="24">I33+J33</f>
        <v>0</v>
      </c>
      <c r="L33" s="715"/>
      <c r="M33" s="689" t="str">
        <f ca="1">IF(AND(G33&gt;0,E33=0),"WARNING - no PRICE inserted",IF(H33="free","FREE ~ no charge this plant",IF(H33="credit",CONCATENATE("-$",ROUND(K33*(1-_xlfn.SINGLE(T2GDiscount))*-1,2)," CREDIT after discount"),IF(_xlfn.SINGLE(T2GDiscount)=0,"",IF(G33=0,"",IF(F33="Buy",CONCATENATE("$",ROUND(K33*(1-_xlfn.SINGLE(T2GDiscount)),2)," with ",(_xlfn.SINGLE(T2GDiscount)*100),"% discount"),CONCATENATE("$",ROUND(K33*(1-_xlfn.SINGLE(T2GDiscount)),2)," with ",((_xlfn.SINGLE(T2GDiscount)*100+F33*100)-(_xlfn.SINGLE(T2GDiscount)*100*F33)),IF(F33&gt;0,"% discounts",IF(_xlfn.SINGLE(NoWarrantyDiscount)&gt;0,"% discounts","% discount")))))))))</f>
        <v/>
      </c>
      <c r="N33" s="690"/>
      <c r="O33" s="486"/>
      <c r="P33" s="486"/>
      <c r="Q33" s="486"/>
      <c r="R33" s="486"/>
      <c r="S33" s="486"/>
      <c r="T33" s="102">
        <f t="shared" si="5"/>
        <v>0</v>
      </c>
      <c r="U33" s="78">
        <f>IF(NOT(ISNUMBER(G33)), "", VLOOKUP(A33,'Discount Lookup'!D:E,2,FALSE)*G33)</f>
        <v>0</v>
      </c>
      <c r="V33" s="78">
        <f>IF(NOT(ISNUMBER(G33)), "", VLOOKUP(A33,'Discount Lookup'!G:H,2,FALSE)*G33)</f>
        <v>0</v>
      </c>
      <c r="W33" s="102">
        <f t="shared" si="6"/>
        <v>0</v>
      </c>
      <c r="X33" s="102">
        <f t="shared" si="7"/>
        <v>0</v>
      </c>
      <c r="Y33" s="120" t="b">
        <f t="shared" si="8"/>
        <v>0</v>
      </c>
      <c r="Z33" s="117">
        <f t="shared" si="9"/>
        <v>0</v>
      </c>
      <c r="AA33" s="118"/>
      <c r="AB33" s="118" t="str">
        <f t="shared" si="10"/>
        <v/>
      </c>
      <c r="AC33" s="712" t="str">
        <f>IF(AE33="T2G","no charge",IF(AND(OR(PlanterYesMe="No",PlanterYesMe="N",PlanterYesMe="me"),H33=""),"",IF(H33="credit","NO install",IF(AND(K33="",AE33="me"),"EACH row",IF(AND(K33="images",AE33="me"),"EACH row",IF(D33="","",IF(H33="credit","",IF(AE33="free","re-planting",IF(AE33="me","   not ELP, by",IF(AND(OR(PlanterYesMe="Yes",PlanterYesMe="Y"),G33&gt;0),(VLOOKUP(A33,'Discount Lookup'!J:K,2)*G33*(1-PlanterDiscount)*(1+PlanterDifficultyPercentage)),IF(AE33="ELP",(VLOOKUP(A33,'Discount Lookup'!J:K,2)*G33*(1-PlanterDiscount)*(1+PlanterDifficultyPercentage)),IF(AE33="free","re-planting",IF(G33=0,"",IF(PlanterYesMe="",IF(AE33="me","   not ELP, by",IF(AE33="",IF(G33&gt;0,(VLOOKUP(A33,'Discount Lookup'!J:K,2)*G33*(1-PlanterDiscount)*(1+PlanterDifficultyPercentage)),""),"")),"   not ELP, by"))))))))))))))</f>
        <v/>
      </c>
      <c r="AD33" s="712"/>
      <c r="AE33" s="513" t="str">
        <f t="shared" si="11"/>
        <v/>
      </c>
      <c r="AF33" s="713" t="str">
        <f t="shared" si="12"/>
        <v/>
      </c>
      <c r="AG33" s="713"/>
      <c r="AH33" s="713"/>
      <c r="AI33" s="112">
        <f>IF(H33="credit",0,IF(AE33="free",0,IF(AE33="me",0,IF(G33&gt;0,(VLOOKUP(A33,'Discount Lookup'!J:K,2)*G33),0))))</f>
        <v>0</v>
      </c>
      <c r="AJ33" s="107" t="str">
        <f t="shared" ca="1" si="13"/>
        <v/>
      </c>
      <c r="AK33" s="714" t="str">
        <f t="shared" si="14"/>
        <v/>
      </c>
      <c r="AL33" s="714"/>
      <c r="AM33" s="114" t="str">
        <f t="shared" si="15"/>
        <v/>
      </c>
      <c r="AN33" s="115"/>
      <c r="AO33" s="116"/>
      <c r="AP33" s="116"/>
      <c r="AQ33" s="116"/>
      <c r="AR33" s="116"/>
      <c r="AS33" s="116"/>
      <c r="AT33" s="116"/>
      <c r="AU33" s="116"/>
      <c r="AV33" s="78"/>
      <c r="AW33" s="102"/>
      <c r="AX33" s="78"/>
      <c r="AY33" s="78"/>
      <c r="AZ33" s="78"/>
      <c r="BA33" s="78"/>
      <c r="BB33" s="78"/>
      <c r="BC33" s="78"/>
      <c r="BD33" s="78"/>
      <c r="BE33" s="465"/>
      <c r="BF33" s="165" t="str">
        <f t="shared" si="16"/>
        <v>https://www.google.com/search?tbm=isch&amp;q=3%20G3</v>
      </c>
      <c r="BG33" s="165" t="str">
        <f t="shared" si="17"/>
        <v>A</v>
      </c>
      <c r="BH33" s="65"/>
      <c r="BI33" s="65"/>
      <c r="BJ33" s="65"/>
      <c r="BK33" s="65"/>
      <c r="BL33" s="99"/>
      <c r="BM33" s="99"/>
      <c r="BN33" s="99"/>
    </row>
    <row r="34" spans="1:66" s="51" customFormat="1" ht="15.75" x14ac:dyDescent="0.25">
      <c r="A34" s="478">
        <v>3</v>
      </c>
      <c r="B34" s="479" t="s">
        <v>291</v>
      </c>
      <c r="C34" s="480" t="s">
        <v>1094</v>
      </c>
      <c r="D34" s="481" t="s">
        <v>329</v>
      </c>
      <c r="E34" s="482">
        <v>34.950000000000003</v>
      </c>
      <c r="F34" s="483" t="s">
        <v>292</v>
      </c>
      <c r="G34" s="484">
        <v>0</v>
      </c>
      <c r="H34" s="688" t="str">
        <f>IF(G34=0,"",IF(F34="Buy",IF(G34=1,"plant","plants"),IF(F34&gt;0.01,"warranty","Error")))</f>
        <v/>
      </c>
      <c r="I34" s="485">
        <f>IF(H34="free",0,IF(H34="credit",((E34*(F34))*G34*-1),IF(F34="Buy",(E34*G34),((E34*(1-F34))*G34))))</f>
        <v>0</v>
      </c>
      <c r="J34" s="485">
        <f>IF(H34="warranty",0,(I34*(_xlfn.SINGLE(SalesTaxPercentage))))</f>
        <v>0</v>
      </c>
      <c r="K34" s="715">
        <f t="shared" ref="K34" si="25">I34+J34</f>
        <v>0</v>
      </c>
      <c r="L34" s="715"/>
      <c r="M34" s="689" t="str">
        <f ca="1">IF(AND(G34&gt;0,E34=0),"WARNING - no PRICE inserted",IF(H34="free","FREE ~ no charge this plant",IF(H34="credit",CONCATENATE("-$",ROUND(K34*(1-_xlfn.SINGLE(T2GDiscount))*-1,2)," CREDIT after discount"),IF(_xlfn.SINGLE(T2GDiscount)=0,"",IF(G34=0,"",IF(F34="Buy",CONCATENATE("$",ROUND(K34*(1-_xlfn.SINGLE(T2GDiscount)),2)," with ",(_xlfn.SINGLE(T2GDiscount)*100),"% discount"),CONCATENATE("$",ROUND(K34*(1-_xlfn.SINGLE(T2GDiscount)),2)," with ",((_xlfn.SINGLE(T2GDiscount)*100+F34*100)-(_xlfn.SINGLE(T2GDiscount)*100*F34)),IF(F34&gt;0,"% discounts",IF(_xlfn.SINGLE(NoWarrantyDiscount)&gt;0,"% discounts","% discount")))))))))</f>
        <v/>
      </c>
      <c r="N34" s="690"/>
      <c r="O34" s="486"/>
      <c r="P34" s="486"/>
      <c r="Q34" s="486"/>
      <c r="R34" s="486"/>
      <c r="S34" s="486"/>
      <c r="T34" s="102">
        <f t="shared" si="5"/>
        <v>0</v>
      </c>
      <c r="U34" s="78">
        <f>IF(NOT(ISNUMBER(G34)), "", VLOOKUP(A34,'Discount Lookup'!D:E,2,FALSE)*G34)</f>
        <v>0</v>
      </c>
      <c r="V34" s="78">
        <f>IF(NOT(ISNUMBER(G34)), "", VLOOKUP(A34,'Discount Lookup'!G:H,2,FALSE)*G34)</f>
        <v>0</v>
      </c>
      <c r="W34" s="102">
        <f t="shared" si="6"/>
        <v>0</v>
      </c>
      <c r="X34" s="102">
        <f t="shared" si="7"/>
        <v>0</v>
      </c>
      <c r="Y34" s="120" t="b">
        <f t="shared" si="8"/>
        <v>0</v>
      </c>
      <c r="Z34" s="117">
        <f t="shared" si="9"/>
        <v>0</v>
      </c>
      <c r="AA34" s="118"/>
      <c r="AB34" s="118" t="str">
        <f t="shared" si="10"/>
        <v/>
      </c>
      <c r="AC34" s="712" t="str">
        <f>IF(AE34="T2G","no charge",IF(AND(OR(PlanterYesMe="No",PlanterYesMe="N",PlanterYesMe="me"),H34=""),"",IF(H34="credit","NO install",IF(AND(K34="",AE34="me"),"EACH row",IF(AND(K34="images",AE34="me"),"EACH row",IF(D34="","",IF(H34="credit","",IF(AE34="free","re-planting",IF(AE34="me","   not ELP, by",IF(AND(OR(PlanterYesMe="Yes",PlanterYesMe="Y"),G34&gt;0),(VLOOKUP(A34,'Discount Lookup'!J:K,2)*G34*(1-PlanterDiscount)*(1+PlanterDifficultyPercentage)),IF(AE34="ELP",(VLOOKUP(A34,'Discount Lookup'!J:K,2)*G34*(1-PlanterDiscount)*(1+PlanterDifficultyPercentage)),IF(AE34="free","re-planting",IF(G34=0,"",IF(PlanterYesMe="",IF(AE34="me","   not ELP, by",IF(AE34="",IF(G34&gt;0,(VLOOKUP(A34,'Discount Lookup'!J:K,2)*G34*(1-PlanterDiscount)*(1+PlanterDifficultyPercentage)),""),"")),"   not ELP, by"))))))))))))))</f>
        <v/>
      </c>
      <c r="AD34" s="712"/>
      <c r="AE34" s="513" t="str">
        <f t="shared" si="11"/>
        <v/>
      </c>
      <c r="AF34" s="713" t="str">
        <f t="shared" si="12"/>
        <v/>
      </c>
      <c r="AG34" s="713"/>
      <c r="AH34" s="713"/>
      <c r="AI34" s="112">
        <f>IF(H34="credit",0,IF(AE34="free",0,IF(AE34="me",0,IF(G34&gt;0,(VLOOKUP(A34,'Discount Lookup'!J:K,2)*G34),0))))</f>
        <v>0</v>
      </c>
      <c r="AJ34" s="107" t="str">
        <f t="shared" ca="1" si="13"/>
        <v/>
      </c>
      <c r="AK34" s="714" t="str">
        <f t="shared" si="14"/>
        <v/>
      </c>
      <c r="AL34" s="714"/>
      <c r="AM34" s="114" t="str">
        <f t="shared" si="15"/>
        <v/>
      </c>
      <c r="AN34" s="115"/>
      <c r="AO34" s="116"/>
      <c r="AP34" s="116"/>
      <c r="AQ34" s="116"/>
      <c r="AR34" s="116"/>
      <c r="AS34" s="116"/>
      <c r="AT34" s="116"/>
      <c r="AU34" s="116"/>
      <c r="AV34" s="78"/>
      <c r="AW34" s="102"/>
      <c r="AX34" s="78"/>
      <c r="AY34" s="78"/>
      <c r="AZ34" s="78"/>
      <c r="BA34" s="78"/>
      <c r="BB34" s="78"/>
      <c r="BC34" s="78"/>
      <c r="BD34" s="78"/>
      <c r="BE34" s="465"/>
      <c r="BF34" s="165" t="str">
        <f t="shared" si="16"/>
        <v>https://www.google.com/search?tbm=isch&amp;q=3%20G2</v>
      </c>
      <c r="BG34" s="165" t="str">
        <f t="shared" si="17"/>
        <v>A</v>
      </c>
      <c r="BH34" s="65"/>
      <c r="BI34" s="65"/>
      <c r="BJ34" s="65"/>
      <c r="BK34" s="65"/>
      <c r="BL34" s="99"/>
      <c r="BM34" s="99"/>
      <c r="BN34" s="99"/>
    </row>
    <row r="35" spans="1:66" s="51" customFormat="1" ht="17.25" thickBot="1" x14ac:dyDescent="0.3">
      <c r="A35" s="508" t="s">
        <v>4664</v>
      </c>
      <c r="B35" s="487"/>
      <c r="C35" s="707"/>
      <c r="D35" s="487"/>
      <c r="E35" s="487"/>
      <c r="F35" s="488"/>
      <c r="G35" s="489"/>
      <c r="H35" s="487"/>
      <c r="I35" s="490"/>
      <c r="J35" s="490"/>
      <c r="K35" s="491"/>
      <c r="L35" s="547"/>
      <c r="M35" s="528"/>
      <c r="N35" s="492"/>
      <c r="O35" s="493"/>
      <c r="P35" s="494"/>
      <c r="Q35" s="492"/>
      <c r="R35" s="492"/>
      <c r="S35" s="699" t="s">
        <v>5248</v>
      </c>
      <c r="T35" s="102">
        <f t="shared" si="5"/>
        <v>0</v>
      </c>
      <c r="U35" s="78" t="str">
        <f>IF(NOT(ISNUMBER(G35)), "", VLOOKUP(A35,'Discount Lookup'!D:E,2,FALSE)*G35)</f>
        <v/>
      </c>
      <c r="V35" s="78" t="str">
        <f>IF(NOT(ISNUMBER(G35)), "", VLOOKUP(A35,'Discount Lookup'!G:H,2,FALSE)*G35)</f>
        <v/>
      </c>
      <c r="W35" s="102">
        <f t="shared" si="6"/>
        <v>0</v>
      </c>
      <c r="X35" s="102">
        <f t="shared" si="7"/>
        <v>0</v>
      </c>
      <c r="Y35" s="120" t="b">
        <f t="shared" si="8"/>
        <v>0</v>
      </c>
      <c r="Z35" s="117">
        <f t="shared" si="9"/>
        <v>0</v>
      </c>
      <c r="AA35" s="118"/>
      <c r="AB35" s="118" t="str">
        <f t="shared" si="10"/>
        <v/>
      </c>
      <c r="AC35" s="712" t="str">
        <f>IF(AE35="T2G","no charge",IF(AND(OR(PlanterYesMe="No",PlanterYesMe="N",PlanterYesMe="me"),H35=""),"",IF(H35="credit","NO install",IF(AND(K35="",AE35="me"),"EACH row",IF(AND(K35="images",AE35="me"),"EACH row",IF(D35="","",IF(H35="credit","",IF(AE35="free","re-planting",IF(AE35="me","   not ELP, by",IF(AND(OR(PlanterYesMe="Yes",PlanterYesMe="Y"),G35&gt;0),(VLOOKUP(A35,'Discount Lookup'!J:K,2)*G35*(1-PlanterDiscount)*(1+PlanterDifficultyPercentage)),IF(AE35="ELP",(VLOOKUP(A35,'Discount Lookup'!J:K,2)*G35*(1-PlanterDiscount)*(1+PlanterDifficultyPercentage)),IF(AE35="free","re-planting",IF(G35=0,"",IF(PlanterYesMe="",IF(AE35="me","   not ELP, by",IF(AE35="",IF(G35&gt;0,(VLOOKUP(A35,'Discount Lookup'!J:K,2)*G35*(1-PlanterDiscount)*(1+PlanterDifficultyPercentage)),""),"")),"   not ELP, by"))))))))))))))</f>
        <v/>
      </c>
      <c r="AD35" s="712"/>
      <c r="AE35" s="513" t="str">
        <f t="shared" si="11"/>
        <v/>
      </c>
      <c r="AF35" s="713" t="str">
        <f t="shared" si="12"/>
        <v/>
      </c>
      <c r="AG35" s="713"/>
      <c r="AH35" s="713"/>
      <c r="AI35" s="112">
        <f>IF(H35="credit",0,IF(AE35="free",0,IF(AE35="me",0,IF(G35&gt;0,(VLOOKUP(A35,'Discount Lookup'!J:K,2)*G35),0))))</f>
        <v>0</v>
      </c>
      <c r="AJ35" s="107" t="str">
        <f t="shared" ca="1" si="13"/>
        <v/>
      </c>
      <c r="AK35" s="714" t="str">
        <f t="shared" si="14"/>
        <v/>
      </c>
      <c r="AL35" s="714"/>
      <c r="AM35" s="114" t="str">
        <f t="shared" si="15"/>
        <v/>
      </c>
      <c r="AN35" s="115"/>
      <c r="AO35" s="116"/>
      <c r="AP35" s="116"/>
      <c r="AQ35" s="116"/>
      <c r="AR35" s="116"/>
      <c r="AS35" s="116"/>
      <c r="AT35" s="116"/>
      <c r="AU35" s="116"/>
      <c r="AV35" s="78"/>
      <c r="AW35" s="102"/>
      <c r="AX35" s="78"/>
      <c r="AY35" s="78"/>
      <c r="AZ35" s="78"/>
      <c r="BA35" s="78"/>
      <c r="BB35" s="78"/>
      <c r="BC35" s="78"/>
      <c r="BD35" s="78"/>
      <c r="BE35" s="465"/>
      <c r="BF35" s="165" t="str">
        <f t="shared" si="16"/>
        <v>https://www.google.com/search?tbm=isch&amp;q=Miss%20Lemon%20dazzles%20with%20vibrant%20Golden-Yellow%20and%20Green%20variegated%20foliage%2C%20turning%20Purplish-Bronze%20in%20fall.%20Fragrant%20</v>
      </c>
      <c r="BG35" s="165" t="str">
        <f t="shared" si="17"/>
        <v>M</v>
      </c>
      <c r="BH35" s="65"/>
      <c r="BI35" s="65"/>
      <c r="BJ35" s="65"/>
      <c r="BK35" s="65"/>
      <c r="BL35" s="99"/>
      <c r="BM35" s="99"/>
      <c r="BN35" s="99"/>
    </row>
    <row r="36" spans="1:66" s="51" customFormat="1" ht="18" x14ac:dyDescent="0.25">
      <c r="A36" s="507" t="s">
        <v>1095</v>
      </c>
      <c r="B36" s="470"/>
      <c r="C36" s="706"/>
      <c r="D36" s="471" t="s">
        <v>1096</v>
      </c>
      <c r="E36" s="472"/>
      <c r="F36" s="472"/>
      <c r="G36" s="472"/>
      <c r="H36" s="622" t="s">
        <v>1088</v>
      </c>
      <c r="I36" s="473" t="s">
        <v>1097</v>
      </c>
      <c r="J36" s="472"/>
      <c r="K36" s="472"/>
      <c r="L36" s="561"/>
      <c r="M36" s="698" t="s">
        <v>5246</v>
      </c>
      <c r="N36" s="692" t="str">
        <f>IF(AND(ISTEXT($A36), ISERROR($A36+0)), HYPERLINK($BF36, "Images"), "")</f>
        <v>Images</v>
      </c>
      <c r="O36" s="694" t="s">
        <v>5247</v>
      </c>
      <c r="P36" s="475"/>
      <c r="Q36" s="476"/>
      <c r="R36" s="476"/>
      <c r="S36" s="477"/>
      <c r="T36" s="102">
        <f t="shared" si="5"/>
        <v>0</v>
      </c>
      <c r="U36" s="78" t="str">
        <f>IF(NOT(ISNUMBER(G36)), "", VLOOKUP(A36,'Discount Lookup'!D:E,2,FALSE)*G36)</f>
        <v/>
      </c>
      <c r="V36" s="78" t="str">
        <f>IF(NOT(ISNUMBER(G36)), "", VLOOKUP(A36,'Discount Lookup'!G:H,2,FALSE)*G36)</f>
        <v/>
      </c>
      <c r="W36" s="102">
        <f t="shared" si="6"/>
        <v>0</v>
      </c>
      <c r="X36" s="102" t="str">
        <f t="shared" si="7"/>
        <v>White bloom, Pink buds</v>
      </c>
      <c r="Y36" s="120" t="b">
        <f t="shared" si="8"/>
        <v>0</v>
      </c>
      <c r="Z36" s="117">
        <f t="shared" si="9"/>
        <v>0</v>
      </c>
      <c r="AA36" s="118"/>
      <c r="AB36" s="118" t="str">
        <f t="shared" si="10"/>
        <v/>
      </c>
      <c r="AC36" s="712" t="str">
        <f>IF(AE36="T2G","no charge",IF(AND(OR(PlanterYesMe="No",PlanterYesMe="N",PlanterYesMe="me"),H36=""),"",IF(H36="credit","NO install",IF(AND(K36="",AE36="me"),"EACH row",IF(AND(K36="images",AE36="me"),"EACH row",IF(D36="","",IF(H36="credit","",IF(AE36="free","re-planting",IF(AE36="me","   not ELP, by",IF(AND(OR(PlanterYesMe="Yes",PlanterYesMe="Y"),G36&gt;0),(VLOOKUP(A36,'Discount Lookup'!J:K,2)*G36*(1-PlanterDiscount)*(1+PlanterDifficultyPercentage)),IF(AE36="ELP",(VLOOKUP(A36,'Discount Lookup'!J:K,2)*G36*(1-PlanterDiscount)*(1+PlanterDifficultyPercentage)),IF(AE36="free","re-planting",IF(G36=0,"",IF(PlanterYesMe="",IF(AE36="me","   not ELP, by",IF(AE36="",IF(G36&gt;0,(VLOOKUP(A36,'Discount Lookup'!J:K,2)*G36*(1-PlanterDiscount)*(1+PlanterDifficultyPercentage)),""),"")),"   not ELP, by"))))))))))))))</f>
        <v/>
      </c>
      <c r="AD36" s="712"/>
      <c r="AE36" s="513" t="str">
        <f t="shared" si="11"/>
        <v/>
      </c>
      <c r="AF36" s="713" t="str">
        <f t="shared" si="12"/>
        <v/>
      </c>
      <c r="AG36" s="713"/>
      <c r="AH36" s="713"/>
      <c r="AI36" s="112">
        <f>IF(H36="credit",0,IF(AE36="free",0,IF(AE36="me",0,IF(G36&gt;0,(VLOOKUP(A36,'Discount Lookup'!J:K,2)*G36),0))))</f>
        <v>0</v>
      </c>
      <c r="AJ36" s="107" t="str">
        <f t="shared" ca="1" si="13"/>
        <v/>
      </c>
      <c r="AK36" s="714" t="str">
        <f t="shared" si="14"/>
        <v/>
      </c>
      <c r="AL36" s="714"/>
      <c r="AM36" s="114" t="str">
        <f t="shared" si="15"/>
        <v/>
      </c>
      <c r="AN36" s="115"/>
      <c r="AO36" s="116"/>
      <c r="AP36" s="116"/>
      <c r="AQ36" s="116"/>
      <c r="AR36" s="116"/>
      <c r="AS36" s="116"/>
      <c r="AT36" s="116"/>
      <c r="AU36" s="116"/>
      <c r="AV36" s="78"/>
      <c r="AW36" s="102"/>
      <c r="AX36" s="78"/>
      <c r="AY36" s="78"/>
      <c r="AZ36" s="78"/>
      <c r="BA36" s="78"/>
      <c r="BB36" s="78"/>
      <c r="BC36" s="78"/>
      <c r="BD36" s="78"/>
      <c r="BE36" s="465"/>
      <c r="BF36" s="165" t="str">
        <f t="shared" si="16"/>
        <v>https://www.google.com/search?tbm=isch&amp;q=Abelia%20x%20grandiflora%20%27Kaleidoscope%27%20PP%2316988%20Kaleidoscope%20Abelia</v>
      </c>
      <c r="BG36" s="165" t="str">
        <f t="shared" si="17"/>
        <v>A</v>
      </c>
      <c r="BH36" s="65"/>
      <c r="BI36" s="65"/>
      <c r="BJ36" s="65"/>
      <c r="BK36" s="65"/>
      <c r="BL36" s="99"/>
      <c r="BM36" s="99"/>
      <c r="BN36" s="99"/>
    </row>
    <row r="37" spans="1:66" s="51" customFormat="1" ht="15.75" x14ac:dyDescent="0.25">
      <c r="A37" s="478">
        <v>3</v>
      </c>
      <c r="B37" s="479" t="s">
        <v>291</v>
      </c>
      <c r="C37" s="480" t="s">
        <v>1098</v>
      </c>
      <c r="D37" s="481" t="s">
        <v>311</v>
      </c>
      <c r="E37" s="482">
        <v>36.950000000000003</v>
      </c>
      <c r="F37" s="483" t="s">
        <v>292</v>
      </c>
      <c r="G37" s="484">
        <v>0</v>
      </c>
      <c r="H37" s="688" t="str">
        <f>IF(G37=0,"",IF(F37="Buy",IF(G37=1,"plant","plants"),IF(F37&gt;0.01,"warranty","Error")))</f>
        <v/>
      </c>
      <c r="I37" s="485">
        <f>IF(H37="free",0,IF(H37="credit",((E37*(F37))*G37*-1),IF(F37="Buy",(E37*G37),((E37*(1-F37))*G37))))</f>
        <v>0</v>
      </c>
      <c r="J37" s="485">
        <f>IF(H37="warranty",0,(I37*(_xlfn.SINGLE(SalesTaxPercentage))))</f>
        <v>0</v>
      </c>
      <c r="K37" s="715">
        <f t="shared" ref="K37" si="26">I37+J37</f>
        <v>0</v>
      </c>
      <c r="L37" s="715"/>
      <c r="M37" s="689" t="str">
        <f ca="1">IF(AND(G37&gt;0,E37=0),"WARNING - no PRICE inserted",IF(H37="free","FREE ~ no charge this plant",IF(H37="credit",CONCATENATE("-$",ROUND(K37*(1-_xlfn.SINGLE(T2GDiscount))*-1,2)," CREDIT after discount"),IF(_xlfn.SINGLE(T2GDiscount)=0,"",IF(G37=0,"",IF(F37="Buy",CONCATENATE("$",ROUND(K37*(1-_xlfn.SINGLE(T2GDiscount)),2)," with ",(_xlfn.SINGLE(T2GDiscount)*100),"% discount"),CONCATENATE("$",ROUND(K37*(1-_xlfn.SINGLE(T2GDiscount)),2)," with ",((_xlfn.SINGLE(T2GDiscount)*100+F37*100)-(_xlfn.SINGLE(T2GDiscount)*100*F37)),IF(F37&gt;0,"% discounts",IF(_xlfn.SINGLE(NoWarrantyDiscount)&gt;0,"% discounts","% discount")))))))))</f>
        <v/>
      </c>
      <c r="N37" s="690"/>
      <c r="O37" s="486"/>
      <c r="P37" s="486"/>
      <c r="Q37" s="486"/>
      <c r="R37" s="486"/>
      <c r="S37" s="486"/>
      <c r="T37" s="102">
        <f t="shared" si="5"/>
        <v>0</v>
      </c>
      <c r="U37" s="78">
        <f>IF(NOT(ISNUMBER(G37)), "", VLOOKUP(A37,'Discount Lookup'!D:E,2,FALSE)*G37)</f>
        <v>0</v>
      </c>
      <c r="V37" s="78">
        <f>IF(NOT(ISNUMBER(G37)), "", VLOOKUP(A37,'Discount Lookup'!G:H,2,FALSE)*G37)</f>
        <v>0</v>
      </c>
      <c r="W37" s="102">
        <f t="shared" si="6"/>
        <v>0</v>
      </c>
      <c r="X37" s="102">
        <f t="shared" si="7"/>
        <v>0</v>
      </c>
      <c r="Y37" s="120" t="b">
        <f t="shared" si="8"/>
        <v>0</v>
      </c>
      <c r="Z37" s="117">
        <f t="shared" si="9"/>
        <v>0</v>
      </c>
      <c r="AA37" s="118"/>
      <c r="AB37" s="118" t="str">
        <f t="shared" si="10"/>
        <v/>
      </c>
      <c r="AC37" s="712" t="str">
        <f>IF(AE37="T2G","no charge",IF(AND(OR(PlanterYesMe="No",PlanterYesMe="N",PlanterYesMe="me"),H37=""),"",IF(H37="credit","NO install",IF(AND(K37="",AE37="me"),"EACH row",IF(AND(K37="images",AE37="me"),"EACH row",IF(D37="","",IF(H37="credit","",IF(AE37="free","re-planting",IF(AE37="me","   not ELP, by",IF(AND(OR(PlanterYesMe="Yes",PlanterYesMe="Y"),G37&gt;0),(VLOOKUP(A37,'Discount Lookup'!J:K,2)*G37*(1-PlanterDiscount)*(1+PlanterDifficultyPercentage)),IF(AE37="ELP",(VLOOKUP(A37,'Discount Lookup'!J:K,2)*G37*(1-PlanterDiscount)*(1+PlanterDifficultyPercentage)),IF(AE37="free","re-planting",IF(G37=0,"",IF(PlanterYesMe="",IF(AE37="me","   not ELP, by",IF(AE37="",IF(G37&gt;0,(VLOOKUP(A37,'Discount Lookup'!J:K,2)*G37*(1-PlanterDiscount)*(1+PlanterDifficultyPercentage)),""),"")),"   not ELP, by"))))))))))))))</f>
        <v/>
      </c>
      <c r="AD37" s="712"/>
      <c r="AE37" s="513" t="str">
        <f t="shared" si="11"/>
        <v/>
      </c>
      <c r="AF37" s="713" t="str">
        <f t="shared" si="12"/>
        <v/>
      </c>
      <c r="AG37" s="713"/>
      <c r="AH37" s="713"/>
      <c r="AI37" s="112">
        <f>IF(H37="credit",0,IF(AE37="free",0,IF(AE37="me",0,IF(G37&gt;0,(VLOOKUP(A37,'Discount Lookup'!J:K,2)*G37),0))))</f>
        <v>0</v>
      </c>
      <c r="AJ37" s="107" t="str">
        <f t="shared" ca="1" si="13"/>
        <v/>
      </c>
      <c r="AK37" s="714" t="str">
        <f t="shared" si="14"/>
        <v/>
      </c>
      <c r="AL37" s="714"/>
      <c r="AM37" s="114" t="str">
        <f t="shared" si="15"/>
        <v/>
      </c>
      <c r="AN37" s="115"/>
      <c r="AO37" s="116"/>
      <c r="AP37" s="116"/>
      <c r="AQ37" s="116"/>
      <c r="AR37" s="116"/>
      <c r="AS37" s="116"/>
      <c r="AT37" s="116"/>
      <c r="AU37" s="116"/>
      <c r="AV37" s="78"/>
      <c r="AW37" s="102"/>
      <c r="AX37" s="78"/>
      <c r="AY37" s="78"/>
      <c r="AZ37" s="78"/>
      <c r="BA37" s="78"/>
      <c r="BB37" s="78"/>
      <c r="BC37" s="78"/>
      <c r="BD37" s="78"/>
      <c r="BE37" s="465"/>
      <c r="BF37" s="165" t="str">
        <f t="shared" si="16"/>
        <v>https://www.google.com/search?tbm=isch&amp;q=3%20G5</v>
      </c>
      <c r="BG37" s="165" t="str">
        <f t="shared" si="17"/>
        <v>A</v>
      </c>
      <c r="BH37" s="65"/>
      <c r="BI37" s="65"/>
      <c r="BJ37" s="65"/>
      <c r="BK37" s="65"/>
      <c r="BL37" s="99"/>
      <c r="BM37" s="99"/>
      <c r="BN37" s="99"/>
    </row>
    <row r="38" spans="1:66" s="51" customFormat="1" ht="15.75" x14ac:dyDescent="0.25">
      <c r="A38" s="478">
        <v>3</v>
      </c>
      <c r="B38" s="479" t="s">
        <v>291</v>
      </c>
      <c r="C38" s="480" t="s">
        <v>1099</v>
      </c>
      <c r="D38" s="481" t="s">
        <v>329</v>
      </c>
      <c r="E38" s="482">
        <v>41.95</v>
      </c>
      <c r="F38" s="483" t="s">
        <v>292</v>
      </c>
      <c r="G38" s="484">
        <v>0</v>
      </c>
      <c r="H38" s="688" t="str">
        <f>IF(G38=0,"",IF(F38="Buy",IF(G38=1,"plant","plants"),IF(F38&gt;0.01,"warranty","Error")))</f>
        <v/>
      </c>
      <c r="I38" s="485">
        <f>IF(H38="free",0,IF(H38="credit",((E38*(F38))*G38*-1),IF(F38="Buy",(E38*G38),((E38*(1-F38))*G38))))</f>
        <v>0</v>
      </c>
      <c r="J38" s="485">
        <f>IF(H38="warranty",0,(I38*(_xlfn.SINGLE(SalesTaxPercentage))))</f>
        <v>0</v>
      </c>
      <c r="K38" s="715">
        <f t="shared" ref="K38" si="27">I38+J38</f>
        <v>0</v>
      </c>
      <c r="L38" s="715"/>
      <c r="M38" s="689" t="str">
        <f ca="1">IF(AND(G38&gt;0,E38=0),"WARNING - no PRICE inserted",IF(H38="free","FREE ~ no charge this plant",IF(H38="credit",CONCATENATE("-$",ROUND(K38*(1-_xlfn.SINGLE(T2GDiscount))*-1,2)," CREDIT after discount"),IF(_xlfn.SINGLE(T2GDiscount)=0,"",IF(G38=0,"",IF(F38="Buy",CONCATENATE("$",ROUND(K38*(1-_xlfn.SINGLE(T2GDiscount)),2)," with ",(_xlfn.SINGLE(T2GDiscount)*100),"% discount"),CONCATENATE("$",ROUND(K38*(1-_xlfn.SINGLE(T2GDiscount)),2)," with ",((_xlfn.SINGLE(T2GDiscount)*100+F38*100)-(_xlfn.SINGLE(T2GDiscount)*100*F38)),IF(F38&gt;0,"% discounts",IF(_xlfn.SINGLE(NoWarrantyDiscount)&gt;0,"% discounts","% discount")))))))))</f>
        <v/>
      </c>
      <c r="N38" s="690"/>
      <c r="O38" s="486"/>
      <c r="P38" s="486"/>
      <c r="Q38" s="486"/>
      <c r="R38" s="486"/>
      <c r="S38" s="486"/>
      <c r="T38" s="102">
        <f t="shared" si="5"/>
        <v>0</v>
      </c>
      <c r="U38" s="78">
        <f>IF(NOT(ISNUMBER(G38)), "", VLOOKUP(A38,'Discount Lookup'!D:E,2,FALSE)*G38)</f>
        <v>0</v>
      </c>
      <c r="V38" s="78">
        <f>IF(NOT(ISNUMBER(G38)), "", VLOOKUP(A38,'Discount Lookup'!G:H,2,FALSE)*G38)</f>
        <v>0</v>
      </c>
      <c r="W38" s="102">
        <f t="shared" si="6"/>
        <v>0</v>
      </c>
      <c r="X38" s="102">
        <f t="shared" si="7"/>
        <v>0</v>
      </c>
      <c r="Y38" s="120" t="b">
        <f t="shared" si="8"/>
        <v>0</v>
      </c>
      <c r="Z38" s="117">
        <f t="shared" si="9"/>
        <v>0</v>
      </c>
      <c r="AA38" s="118"/>
      <c r="AB38" s="118" t="str">
        <f t="shared" si="10"/>
        <v/>
      </c>
      <c r="AC38" s="712" t="str">
        <f>IF(AE38="T2G","no charge",IF(AND(OR(PlanterYesMe="No",PlanterYesMe="N",PlanterYesMe="me"),H38=""),"",IF(H38="credit","NO install",IF(AND(K38="",AE38="me"),"EACH row",IF(AND(K38="images",AE38="me"),"EACH row",IF(D38="","",IF(H38="credit","",IF(AE38="free","re-planting",IF(AE38="me","   not ELP, by",IF(AND(OR(PlanterYesMe="Yes",PlanterYesMe="Y"),G38&gt;0),(VLOOKUP(A38,'Discount Lookup'!J:K,2)*G38*(1-PlanterDiscount)*(1+PlanterDifficultyPercentage)),IF(AE38="ELP",(VLOOKUP(A38,'Discount Lookup'!J:K,2)*G38*(1-PlanterDiscount)*(1+PlanterDifficultyPercentage)),IF(AE38="free","re-planting",IF(G38=0,"",IF(PlanterYesMe="",IF(AE38="me","   not ELP, by",IF(AE38="",IF(G38&gt;0,(VLOOKUP(A38,'Discount Lookup'!J:K,2)*G38*(1-PlanterDiscount)*(1+PlanterDifficultyPercentage)),""),"")),"   not ELP, by"))))))))))))))</f>
        <v/>
      </c>
      <c r="AD38" s="712"/>
      <c r="AE38" s="513" t="str">
        <f t="shared" si="11"/>
        <v/>
      </c>
      <c r="AF38" s="713" t="str">
        <f t="shared" si="12"/>
        <v/>
      </c>
      <c r="AG38" s="713"/>
      <c r="AH38" s="713"/>
      <c r="AI38" s="112">
        <f>IF(H38="credit",0,IF(AE38="free",0,IF(AE38="me",0,IF(G38&gt;0,(VLOOKUP(A38,'Discount Lookup'!J:K,2)*G38),0))))</f>
        <v>0</v>
      </c>
      <c r="AJ38" s="107" t="str">
        <f t="shared" ca="1" si="13"/>
        <v/>
      </c>
      <c r="AK38" s="714" t="str">
        <f t="shared" si="14"/>
        <v/>
      </c>
      <c r="AL38" s="714"/>
      <c r="AM38" s="114" t="str">
        <f t="shared" si="15"/>
        <v/>
      </c>
      <c r="AN38" s="115"/>
      <c r="AO38" s="116"/>
      <c r="AP38" s="116"/>
      <c r="AQ38" s="116"/>
      <c r="AR38" s="116"/>
      <c r="AS38" s="116"/>
      <c r="AT38" s="116"/>
      <c r="AU38" s="116"/>
      <c r="AV38" s="78"/>
      <c r="AW38" s="102"/>
      <c r="AX38" s="78"/>
      <c r="AY38" s="78"/>
      <c r="AZ38" s="78"/>
      <c r="BA38" s="78"/>
      <c r="BB38" s="78"/>
      <c r="BC38" s="78"/>
      <c r="BD38" s="78"/>
      <c r="BE38" s="465"/>
      <c r="BF38" s="165" t="str">
        <f t="shared" si="16"/>
        <v>https://www.google.com/search?tbm=isch&amp;q=3%20G2</v>
      </c>
      <c r="BG38" s="165" t="str">
        <f t="shared" si="17"/>
        <v>A</v>
      </c>
      <c r="BH38" s="65"/>
      <c r="BI38" s="65"/>
      <c r="BJ38" s="65"/>
      <c r="BK38" s="65"/>
      <c r="BL38" s="99"/>
      <c r="BM38" s="99"/>
      <c r="BN38" s="99"/>
    </row>
    <row r="39" spans="1:66" s="51" customFormat="1" ht="15.75" x14ac:dyDescent="0.25">
      <c r="A39" s="478">
        <v>3</v>
      </c>
      <c r="B39" s="479" t="s">
        <v>291</v>
      </c>
      <c r="C39" s="480" t="s">
        <v>1100</v>
      </c>
      <c r="D39" s="481" t="s">
        <v>293</v>
      </c>
      <c r="E39" s="482">
        <v>56.95</v>
      </c>
      <c r="F39" s="483" t="s">
        <v>292</v>
      </c>
      <c r="G39" s="484">
        <v>0</v>
      </c>
      <c r="H39" s="688" t="str">
        <f>IF(G39=0,"",IF(F39="Buy",IF(G39=1,"plant","plants"),IF(F39&gt;0.01,"warranty","Error")))</f>
        <v/>
      </c>
      <c r="I39" s="485">
        <f>IF(H39="free",0,IF(H39="credit",((E39*(F39))*G39*-1),IF(F39="Buy",(E39*G39),((E39*(1-F39))*G39))))</f>
        <v>0</v>
      </c>
      <c r="J39" s="485">
        <f>IF(H39="warranty",0,(I39*(_xlfn.SINGLE(SalesTaxPercentage))))</f>
        <v>0</v>
      </c>
      <c r="K39" s="715">
        <f t="shared" ref="K39" si="28">I39+J39</f>
        <v>0</v>
      </c>
      <c r="L39" s="715"/>
      <c r="M39" s="689" t="str">
        <f ca="1">IF(AND(G39&gt;0,E39=0),"WARNING - no PRICE inserted",IF(H39="free","FREE ~ no charge this plant",IF(H39="credit",CONCATENATE("-$",ROUND(K39*(1-_xlfn.SINGLE(T2GDiscount))*-1,2)," CREDIT after discount"),IF(_xlfn.SINGLE(T2GDiscount)=0,"",IF(G39=0,"",IF(F39="Buy",CONCATENATE("$",ROUND(K39*(1-_xlfn.SINGLE(T2GDiscount)),2)," with ",(_xlfn.SINGLE(T2GDiscount)*100),"% discount"),CONCATENATE("$",ROUND(K39*(1-_xlfn.SINGLE(T2GDiscount)),2)," with ",((_xlfn.SINGLE(T2GDiscount)*100+F39*100)-(_xlfn.SINGLE(T2GDiscount)*100*F39)),IF(F39&gt;0,"% discounts",IF(_xlfn.SINGLE(NoWarrantyDiscount)&gt;0,"% discounts","% discount")))))))))</f>
        <v/>
      </c>
      <c r="N39" s="690"/>
      <c r="O39" s="486"/>
      <c r="P39" s="486"/>
      <c r="Q39" s="486"/>
      <c r="R39" s="486"/>
      <c r="S39" s="486"/>
      <c r="T39" s="102">
        <f t="shared" si="5"/>
        <v>0</v>
      </c>
      <c r="U39" s="78">
        <f>IF(NOT(ISNUMBER(G39)), "", VLOOKUP(A39,'Discount Lookup'!D:E,2,FALSE)*G39)</f>
        <v>0</v>
      </c>
      <c r="V39" s="78">
        <f>IF(NOT(ISNUMBER(G39)), "", VLOOKUP(A39,'Discount Lookup'!G:H,2,FALSE)*G39)</f>
        <v>0</v>
      </c>
      <c r="W39" s="102">
        <f t="shared" si="6"/>
        <v>0</v>
      </c>
      <c r="X39" s="102">
        <f t="shared" si="7"/>
        <v>0</v>
      </c>
      <c r="Y39" s="120" t="b">
        <f t="shared" si="8"/>
        <v>0</v>
      </c>
      <c r="Z39" s="117">
        <f t="shared" si="9"/>
        <v>0</v>
      </c>
      <c r="AA39" s="118"/>
      <c r="AB39" s="118" t="str">
        <f t="shared" si="10"/>
        <v/>
      </c>
      <c r="AC39" s="712" t="str">
        <f>IF(AE39="T2G","no charge",IF(AND(OR(PlanterYesMe="No",PlanterYesMe="N",PlanterYesMe="me"),H39=""),"",IF(H39="credit","NO install",IF(AND(K39="",AE39="me"),"EACH row",IF(AND(K39="images",AE39="me"),"EACH row",IF(D39="","",IF(H39="credit","",IF(AE39="free","re-planting",IF(AE39="me","   not ELP, by",IF(AND(OR(PlanterYesMe="Yes",PlanterYesMe="Y"),G39&gt;0),(VLOOKUP(A39,'Discount Lookup'!J:K,2)*G39*(1-PlanterDiscount)*(1+PlanterDifficultyPercentage)),IF(AE39="ELP",(VLOOKUP(A39,'Discount Lookup'!J:K,2)*G39*(1-PlanterDiscount)*(1+PlanterDifficultyPercentage)),IF(AE39="free","re-planting",IF(G39=0,"",IF(PlanterYesMe="",IF(AE39="me","   not ELP, by",IF(AE39="",IF(G39&gt;0,(VLOOKUP(A39,'Discount Lookup'!J:K,2)*G39*(1-PlanterDiscount)*(1+PlanterDifficultyPercentage)),""),"")),"   not ELP, by"))))))))))))))</f>
        <v/>
      </c>
      <c r="AD39" s="712"/>
      <c r="AE39" s="513" t="str">
        <f t="shared" si="11"/>
        <v/>
      </c>
      <c r="AF39" s="713" t="str">
        <f t="shared" si="12"/>
        <v/>
      </c>
      <c r="AG39" s="713"/>
      <c r="AH39" s="713"/>
      <c r="AI39" s="112">
        <f>IF(H39="credit",0,IF(AE39="free",0,IF(AE39="me",0,IF(G39&gt;0,(VLOOKUP(A39,'Discount Lookup'!J:K,2)*G39),0))))</f>
        <v>0</v>
      </c>
      <c r="AJ39" s="107" t="str">
        <f t="shared" ca="1" si="13"/>
        <v/>
      </c>
      <c r="AK39" s="714" t="str">
        <f t="shared" si="14"/>
        <v/>
      </c>
      <c r="AL39" s="714"/>
      <c r="AM39" s="114" t="str">
        <f t="shared" si="15"/>
        <v/>
      </c>
      <c r="AN39" s="115"/>
      <c r="AO39" s="116"/>
      <c r="AP39" s="116"/>
      <c r="AQ39" s="116"/>
      <c r="AR39" s="116"/>
      <c r="AS39" s="116"/>
      <c r="AT39" s="116"/>
      <c r="AU39" s="116"/>
      <c r="AV39" s="78"/>
      <c r="AW39" s="102"/>
      <c r="AX39" s="78"/>
      <c r="AY39" s="78"/>
      <c r="AZ39" s="78"/>
      <c r="BA39" s="78"/>
      <c r="BB39" s="78"/>
      <c r="BC39" s="78"/>
      <c r="BD39" s="78"/>
      <c r="BE39" s="465"/>
      <c r="BF39" s="165" t="str">
        <f t="shared" si="16"/>
        <v>https://www.google.com/search?tbm=isch&amp;q=3%20G6</v>
      </c>
      <c r="BG39" s="165" t="str">
        <f t="shared" si="17"/>
        <v>A</v>
      </c>
      <c r="BH39" s="65"/>
      <c r="BI39" s="65"/>
      <c r="BJ39" s="65"/>
      <c r="BK39" s="65"/>
      <c r="BL39" s="99"/>
      <c r="BM39" s="99"/>
      <c r="BN39" s="99"/>
    </row>
    <row r="40" spans="1:66" s="51" customFormat="1" ht="17.25" thickBot="1" x14ac:dyDescent="0.3">
      <c r="A40" s="508" t="s">
        <v>1101</v>
      </c>
      <c r="B40" s="487"/>
      <c r="C40" s="707"/>
      <c r="D40" s="487"/>
      <c r="E40" s="487"/>
      <c r="F40" s="488"/>
      <c r="G40" s="489"/>
      <c r="H40" s="487"/>
      <c r="I40" s="490"/>
      <c r="J40" s="490"/>
      <c r="K40" s="491"/>
      <c r="L40" s="547"/>
      <c r="M40" s="528"/>
      <c r="N40" s="492"/>
      <c r="O40" s="493"/>
      <c r="P40" s="494"/>
      <c r="Q40" s="492"/>
      <c r="R40" s="492"/>
      <c r="S40" s="699" t="s">
        <v>5248</v>
      </c>
      <c r="T40" s="102">
        <f t="shared" si="5"/>
        <v>0</v>
      </c>
      <c r="U40" s="78" t="str">
        <f>IF(NOT(ISNUMBER(G40)), "", VLOOKUP(A40,'Discount Lookup'!D:E,2,FALSE)*G40)</f>
        <v/>
      </c>
      <c r="V40" s="78" t="str">
        <f>IF(NOT(ISNUMBER(G40)), "", VLOOKUP(A40,'Discount Lookup'!G:H,2,FALSE)*G40)</f>
        <v/>
      </c>
      <c r="W40" s="102">
        <f t="shared" si="6"/>
        <v>0</v>
      </c>
      <c r="X40" s="102">
        <f t="shared" si="7"/>
        <v>0</v>
      </c>
      <c r="Y40" s="120" t="b">
        <f t="shared" si="8"/>
        <v>0</v>
      </c>
      <c r="Z40" s="117">
        <f t="shared" si="9"/>
        <v>0</v>
      </c>
      <c r="AA40" s="118"/>
      <c r="AB40" s="118" t="str">
        <f t="shared" si="10"/>
        <v/>
      </c>
      <c r="AC40" s="712" t="str">
        <f>IF(AE40="T2G","no charge",IF(AND(OR(PlanterYesMe="No",PlanterYesMe="N",PlanterYesMe="me"),H40=""),"",IF(H40="credit","NO install",IF(AND(K40="",AE40="me"),"EACH row",IF(AND(K40="images",AE40="me"),"EACH row",IF(D40="","",IF(H40="credit","",IF(AE40="free","re-planting",IF(AE40="me","   not ELP, by",IF(AND(OR(PlanterYesMe="Yes",PlanterYesMe="Y"),G40&gt;0),(VLOOKUP(A40,'Discount Lookup'!J:K,2)*G40*(1-PlanterDiscount)*(1+PlanterDifficultyPercentage)),IF(AE40="ELP",(VLOOKUP(A40,'Discount Lookup'!J:K,2)*G40*(1-PlanterDiscount)*(1+PlanterDifficultyPercentage)),IF(AE40="free","re-planting",IF(G40=0,"",IF(PlanterYesMe="",IF(AE40="me","   not ELP, by",IF(AE40="",IF(G40&gt;0,(VLOOKUP(A40,'Discount Lookup'!J:K,2)*G40*(1-PlanterDiscount)*(1+PlanterDifficultyPercentage)),""),"")),"   not ELP, by"))))))))))))))</f>
        <v/>
      </c>
      <c r="AD40" s="712"/>
      <c r="AE40" s="513" t="str">
        <f t="shared" si="11"/>
        <v/>
      </c>
      <c r="AF40" s="713" t="str">
        <f t="shared" si="12"/>
        <v/>
      </c>
      <c r="AG40" s="713"/>
      <c r="AH40" s="713"/>
      <c r="AI40" s="112">
        <f>IF(H40="credit",0,IF(AE40="free",0,IF(AE40="me",0,IF(G40&gt;0,(VLOOKUP(A40,'Discount Lookup'!J:K,2)*G40),0))))</f>
        <v>0</v>
      </c>
      <c r="AJ40" s="107" t="str">
        <f t="shared" ca="1" si="13"/>
        <v/>
      </c>
      <c r="AK40" s="714" t="str">
        <f t="shared" si="14"/>
        <v/>
      </c>
      <c r="AL40" s="714"/>
      <c r="AM40" s="114" t="str">
        <f t="shared" si="15"/>
        <v/>
      </c>
      <c r="AN40" s="115"/>
      <c r="AO40" s="116"/>
      <c r="AP40" s="116"/>
      <c r="AQ40" s="116"/>
      <c r="AR40" s="116"/>
      <c r="AS40" s="116"/>
      <c r="AT40" s="116"/>
      <c r="AU40" s="116"/>
      <c r="AV40" s="78"/>
      <c r="AW40" s="102"/>
      <c r="AX40" s="78"/>
      <c r="AY40" s="78"/>
      <c r="AZ40" s="78"/>
      <c r="BA40" s="78"/>
      <c r="BB40" s="78"/>
      <c r="BC40" s="78"/>
      <c r="BD40" s="78"/>
      <c r="BE40" s="465"/>
      <c r="BF40" s="165" t="str">
        <f t="shared" si="16"/>
        <v>https://www.google.com/search?tbm=isch&amp;q=Kaleidoscope%20foliage%20emerges%20Yellow-Lime%2C%20matures%20to%20Golden%20Yellow%2C%20then%20Orange-Red%20fall.%20Longest-blooming.%20Fragrant%20</v>
      </c>
      <c r="BG40" s="165" t="str">
        <f t="shared" si="17"/>
        <v>K</v>
      </c>
      <c r="BH40" s="65"/>
      <c r="BI40" s="65"/>
      <c r="BJ40" s="65"/>
      <c r="BK40" s="65"/>
      <c r="BL40" s="99"/>
      <c r="BM40" s="99"/>
      <c r="BN40" s="99"/>
    </row>
    <row r="41" spans="1:66" s="51" customFormat="1" ht="18" x14ac:dyDescent="0.25">
      <c r="A41" s="507" t="s">
        <v>1102</v>
      </c>
      <c r="B41" s="470"/>
      <c r="C41" s="706"/>
      <c r="D41" s="471" t="s">
        <v>1103</v>
      </c>
      <c r="E41" s="472"/>
      <c r="F41" s="472"/>
      <c r="G41" s="472"/>
      <c r="H41" s="622" t="s">
        <v>1104</v>
      </c>
      <c r="I41" s="473" t="s">
        <v>349</v>
      </c>
      <c r="J41" s="472"/>
      <c r="K41" s="472"/>
      <c r="L41" s="561"/>
      <c r="M41" s="698" t="s">
        <v>5246</v>
      </c>
      <c r="N41" s="692" t="str">
        <f>IF(AND(ISTEXT($A41), ISERROR($A41+0)), HYPERLINK($BF41, "Images"), "")</f>
        <v>Images</v>
      </c>
      <c r="O41" s="694" t="s">
        <v>5247</v>
      </c>
      <c r="P41" s="475"/>
      <c r="Q41" s="476"/>
      <c r="R41" s="476"/>
      <c r="S41" s="477"/>
      <c r="T41" s="102">
        <f t="shared" si="5"/>
        <v>0</v>
      </c>
      <c r="U41" s="78" t="str">
        <f>IF(NOT(ISNUMBER(G41)), "", VLOOKUP(A41,'Discount Lookup'!D:E,2,FALSE)*G41)</f>
        <v/>
      </c>
      <c r="V41" s="78" t="str">
        <f>IF(NOT(ISNUMBER(G41)), "", VLOOKUP(A41,'Discount Lookup'!G:H,2,FALSE)*G41)</f>
        <v/>
      </c>
      <c r="W41" s="102">
        <f t="shared" si="6"/>
        <v>0</v>
      </c>
      <c r="X41" s="102" t="str">
        <f t="shared" si="7"/>
        <v>White bloom</v>
      </c>
      <c r="Y41" s="120" t="b">
        <f t="shared" si="8"/>
        <v>0</v>
      </c>
      <c r="Z41" s="117">
        <f t="shared" si="9"/>
        <v>0</v>
      </c>
      <c r="AA41" s="118"/>
      <c r="AB41" s="118" t="str">
        <f t="shared" si="10"/>
        <v/>
      </c>
      <c r="AC41" s="712" t="str">
        <f>IF(AE41="T2G","no charge",IF(AND(OR(PlanterYesMe="No",PlanterYesMe="N",PlanterYesMe="me"),H41=""),"",IF(H41="credit","NO install",IF(AND(K41="",AE41="me"),"EACH row",IF(AND(K41="images",AE41="me"),"EACH row",IF(D41="","",IF(H41="credit","",IF(AE41="free","re-planting",IF(AE41="me","   not ELP, by",IF(AND(OR(PlanterYesMe="Yes",PlanterYesMe="Y"),G41&gt;0),(VLOOKUP(A41,'Discount Lookup'!J:K,2)*G41*(1-PlanterDiscount)*(1+PlanterDifficultyPercentage)),IF(AE41="ELP",(VLOOKUP(A41,'Discount Lookup'!J:K,2)*G41*(1-PlanterDiscount)*(1+PlanterDifficultyPercentage)),IF(AE41="free","re-planting",IF(G41=0,"",IF(PlanterYesMe="",IF(AE41="me","   not ELP, by",IF(AE41="",IF(G41&gt;0,(VLOOKUP(A41,'Discount Lookup'!J:K,2)*G41*(1-PlanterDiscount)*(1+PlanterDifficultyPercentage)),""),"")),"   not ELP, by"))))))))))))))</f>
        <v/>
      </c>
      <c r="AD41" s="712"/>
      <c r="AE41" s="513" t="str">
        <f t="shared" si="11"/>
        <v/>
      </c>
      <c r="AF41" s="713" t="str">
        <f t="shared" si="12"/>
        <v/>
      </c>
      <c r="AG41" s="713"/>
      <c r="AH41" s="713"/>
      <c r="AI41" s="112">
        <f>IF(H41="credit",0,IF(AE41="free",0,IF(AE41="me",0,IF(G41&gt;0,(VLOOKUP(A41,'Discount Lookup'!J:K,2)*G41),0))))</f>
        <v>0</v>
      </c>
      <c r="AJ41" s="107" t="str">
        <f t="shared" ca="1" si="13"/>
        <v/>
      </c>
      <c r="AK41" s="714" t="str">
        <f t="shared" si="14"/>
        <v/>
      </c>
      <c r="AL41" s="714"/>
      <c r="AM41" s="114" t="str">
        <f t="shared" si="15"/>
        <v/>
      </c>
      <c r="AN41" s="115"/>
      <c r="AO41" s="116"/>
      <c r="AP41" s="116"/>
      <c r="AQ41" s="116"/>
      <c r="AR41" s="116"/>
      <c r="AS41" s="116"/>
      <c r="AT41" s="116"/>
      <c r="AU41" s="116"/>
      <c r="AV41" s="78"/>
      <c r="AW41" s="102"/>
      <c r="AX41" s="78"/>
      <c r="AY41" s="78"/>
      <c r="AZ41" s="78"/>
      <c r="BA41" s="78"/>
      <c r="BB41" s="78"/>
      <c r="BC41" s="78"/>
      <c r="BD41" s="78"/>
      <c r="BE41" s="465"/>
      <c r="BF41" s="165" t="str">
        <f t="shared" si="16"/>
        <v>https://www.google.com/search?tbm=isch&amp;q=Abelia%20x%20grandiflora%20%27Little%20Richard%27%20Little%20Richard%20Abelia</v>
      </c>
      <c r="BG41" s="165" t="str">
        <f t="shared" si="17"/>
        <v>A</v>
      </c>
      <c r="BH41" s="65"/>
      <c r="BI41" s="65"/>
      <c r="BJ41" s="65"/>
      <c r="BK41" s="65"/>
      <c r="BL41" s="99"/>
      <c r="BM41" s="99"/>
      <c r="BN41" s="99"/>
    </row>
    <row r="42" spans="1:66" s="51" customFormat="1" ht="15.75" x14ac:dyDescent="0.25">
      <c r="A42" s="478">
        <v>3</v>
      </c>
      <c r="B42" s="479" t="s">
        <v>291</v>
      </c>
      <c r="C42" s="480" t="s">
        <v>1105</v>
      </c>
      <c r="D42" s="481" t="s">
        <v>309</v>
      </c>
      <c r="E42" s="482">
        <v>22.95</v>
      </c>
      <c r="F42" s="483" t="s">
        <v>292</v>
      </c>
      <c r="G42" s="484">
        <v>0</v>
      </c>
      <c r="H42" s="688" t="str">
        <f>IF(G42=0,"",IF(F42="Buy",IF(G42=1,"plant","plants"),IF(F42&gt;0.01,"warranty","Error")))</f>
        <v/>
      </c>
      <c r="I42" s="485">
        <f>IF(H42="free",0,IF(H42="credit",((E42*(F42))*G42*-1),IF(F42="Buy",(E42*G42),((E42*(1-F42))*G42))))</f>
        <v>0</v>
      </c>
      <c r="J42" s="485">
        <f>IF(H42="warranty",0,(I42*(_xlfn.SINGLE(SalesTaxPercentage))))</f>
        <v>0</v>
      </c>
      <c r="K42" s="715">
        <f t="shared" ref="K42" si="29">I42+J42</f>
        <v>0</v>
      </c>
      <c r="L42" s="715"/>
      <c r="M42" s="689" t="str">
        <f ca="1">IF(AND(G42&gt;0,E42=0),"WARNING - no PRICE inserted",IF(H42="free","FREE ~ no charge this plant",IF(H42="credit",CONCATENATE("-$",ROUND(K42*(1-_xlfn.SINGLE(T2GDiscount))*-1,2)," CREDIT after discount"),IF(_xlfn.SINGLE(T2GDiscount)=0,"",IF(G42=0,"",IF(F42="Buy",CONCATENATE("$",ROUND(K42*(1-_xlfn.SINGLE(T2GDiscount)),2)," with ",(_xlfn.SINGLE(T2GDiscount)*100),"% discount"),CONCATENATE("$",ROUND(K42*(1-_xlfn.SINGLE(T2GDiscount)),2)," with ",((_xlfn.SINGLE(T2GDiscount)*100+F42*100)-(_xlfn.SINGLE(T2GDiscount)*100*F42)),IF(F42&gt;0,"% discounts",IF(_xlfn.SINGLE(NoWarrantyDiscount)&gt;0,"% discounts","% discount")))))))))</f>
        <v/>
      </c>
      <c r="N42" s="690"/>
      <c r="O42" s="486"/>
      <c r="P42" s="486"/>
      <c r="Q42" s="486"/>
      <c r="R42" s="486"/>
      <c r="S42" s="486"/>
      <c r="T42" s="102">
        <f t="shared" si="5"/>
        <v>0</v>
      </c>
      <c r="U42" s="78">
        <f>IF(NOT(ISNUMBER(G42)), "", VLOOKUP(A42,'Discount Lookup'!D:E,2,FALSE)*G42)</f>
        <v>0</v>
      </c>
      <c r="V42" s="78">
        <f>IF(NOT(ISNUMBER(G42)), "", VLOOKUP(A42,'Discount Lookup'!G:H,2,FALSE)*G42)</f>
        <v>0</v>
      </c>
      <c r="W42" s="102">
        <f t="shared" si="6"/>
        <v>0</v>
      </c>
      <c r="X42" s="102">
        <f t="shared" si="7"/>
        <v>0</v>
      </c>
      <c r="Y42" s="120" t="b">
        <f t="shared" si="8"/>
        <v>0</v>
      </c>
      <c r="Z42" s="117">
        <f t="shared" si="9"/>
        <v>0</v>
      </c>
      <c r="AA42" s="118"/>
      <c r="AB42" s="118" t="str">
        <f t="shared" si="10"/>
        <v/>
      </c>
      <c r="AC42" s="712" t="str">
        <f>IF(AE42="T2G","no charge",IF(AND(OR(PlanterYesMe="No",PlanterYesMe="N",PlanterYesMe="me"),H42=""),"",IF(H42="credit","NO install",IF(AND(K42="",AE42="me"),"EACH row",IF(AND(K42="images",AE42="me"),"EACH row",IF(D42="","",IF(H42="credit","",IF(AE42="free","re-planting",IF(AE42="me","   not ELP, by",IF(AND(OR(PlanterYesMe="Yes",PlanterYesMe="Y"),G42&gt;0),(VLOOKUP(A42,'Discount Lookup'!J:K,2)*G42*(1-PlanterDiscount)*(1+PlanterDifficultyPercentage)),IF(AE42="ELP",(VLOOKUP(A42,'Discount Lookup'!J:K,2)*G42*(1-PlanterDiscount)*(1+PlanterDifficultyPercentage)),IF(AE42="free","re-planting",IF(G42=0,"",IF(PlanterYesMe="",IF(AE42="me","   not ELP, by",IF(AE42="",IF(G42&gt;0,(VLOOKUP(A42,'Discount Lookup'!J:K,2)*G42*(1-PlanterDiscount)*(1+PlanterDifficultyPercentage)),""),"")),"   not ELP, by"))))))))))))))</f>
        <v/>
      </c>
      <c r="AD42" s="712"/>
      <c r="AE42" s="513" t="str">
        <f t="shared" si="11"/>
        <v/>
      </c>
      <c r="AF42" s="713" t="str">
        <f t="shared" si="12"/>
        <v/>
      </c>
      <c r="AG42" s="713"/>
      <c r="AH42" s="713"/>
      <c r="AI42" s="112">
        <f>IF(H42="credit",0,IF(AE42="free",0,IF(AE42="me",0,IF(G42&gt;0,(VLOOKUP(A42,'Discount Lookup'!J:K,2)*G42),0))))</f>
        <v>0</v>
      </c>
      <c r="AJ42" s="107" t="str">
        <f t="shared" ca="1" si="13"/>
        <v/>
      </c>
      <c r="AK42" s="714" t="str">
        <f t="shared" si="14"/>
        <v/>
      </c>
      <c r="AL42" s="714"/>
      <c r="AM42" s="114" t="str">
        <f t="shared" si="15"/>
        <v/>
      </c>
      <c r="AN42" s="115"/>
      <c r="AO42" s="116"/>
      <c r="AP42" s="116"/>
      <c r="AQ42" s="116"/>
      <c r="AR42" s="116"/>
      <c r="AS42" s="116"/>
      <c r="AT42" s="116"/>
      <c r="AU42" s="116"/>
      <c r="AV42" s="78"/>
      <c r="AW42" s="102"/>
      <c r="AX42" s="78"/>
      <c r="AY42" s="78"/>
      <c r="AZ42" s="78"/>
      <c r="BA42" s="78"/>
      <c r="BB42" s="78"/>
      <c r="BC42" s="78"/>
      <c r="BD42" s="78"/>
      <c r="BE42" s="465"/>
      <c r="BF42" s="165" t="str">
        <f t="shared" si="16"/>
        <v>https://www.google.com/search?tbm=isch&amp;q=3%20G3</v>
      </c>
      <c r="BG42" s="165" t="str">
        <f t="shared" si="17"/>
        <v>A</v>
      </c>
      <c r="BH42" s="65"/>
      <c r="BI42" s="65"/>
      <c r="BJ42" s="65"/>
      <c r="BK42" s="65"/>
      <c r="BL42" s="99"/>
      <c r="BM42" s="99"/>
      <c r="BN42" s="99"/>
    </row>
    <row r="43" spans="1:66" s="51" customFormat="1" ht="15.75" x14ac:dyDescent="0.25">
      <c r="A43" s="478">
        <v>3</v>
      </c>
      <c r="B43" s="479" t="s">
        <v>291</v>
      </c>
      <c r="C43" s="480" t="s">
        <v>10</v>
      </c>
      <c r="D43" s="481" t="s">
        <v>310</v>
      </c>
      <c r="E43" s="482">
        <v>25.95</v>
      </c>
      <c r="F43" s="483" t="s">
        <v>292</v>
      </c>
      <c r="G43" s="484">
        <v>0</v>
      </c>
      <c r="H43" s="688" t="str">
        <f>IF(G43=0,"",IF(F43="Buy",IF(G43=1,"plant","plants"),IF(F43&gt;0.01,"warranty","Error")))</f>
        <v/>
      </c>
      <c r="I43" s="485">
        <f>IF(H43="free",0,IF(H43="credit",((E43*(F43))*G43*-1),IF(F43="Buy",(E43*G43),((E43*(1-F43))*G43))))</f>
        <v>0</v>
      </c>
      <c r="J43" s="485">
        <f>IF(H43="warranty",0,(I43*(_xlfn.SINGLE(SalesTaxPercentage))))</f>
        <v>0</v>
      </c>
      <c r="K43" s="715">
        <f t="shared" ref="K43" si="30">I43+J43</f>
        <v>0</v>
      </c>
      <c r="L43" s="715"/>
      <c r="M43" s="689" t="str">
        <f ca="1">IF(AND(G43&gt;0,E43=0),"WARNING - no PRICE inserted",IF(H43="free","FREE ~ no charge this plant",IF(H43="credit",CONCATENATE("-$",ROUND(K43*(1-_xlfn.SINGLE(T2GDiscount))*-1,2)," CREDIT after discount"),IF(_xlfn.SINGLE(T2GDiscount)=0,"",IF(G43=0,"",IF(F43="Buy",CONCATENATE("$",ROUND(K43*(1-_xlfn.SINGLE(T2GDiscount)),2)," with ",(_xlfn.SINGLE(T2GDiscount)*100),"% discount"),CONCATENATE("$",ROUND(K43*(1-_xlfn.SINGLE(T2GDiscount)),2)," with ",((_xlfn.SINGLE(T2GDiscount)*100+F43*100)-(_xlfn.SINGLE(T2GDiscount)*100*F43)),IF(F43&gt;0,"% discounts",IF(_xlfn.SINGLE(NoWarrantyDiscount)&gt;0,"% discounts","% discount")))))))))</f>
        <v/>
      </c>
      <c r="N43" s="690"/>
      <c r="O43" s="486"/>
      <c r="P43" s="486"/>
      <c r="Q43" s="486"/>
      <c r="R43" s="486"/>
      <c r="S43" s="486"/>
      <c r="T43" s="102">
        <f t="shared" si="5"/>
        <v>0</v>
      </c>
      <c r="U43" s="78">
        <f>IF(NOT(ISNUMBER(G43)), "", VLOOKUP(A43,'Discount Lookup'!D:E,2,FALSE)*G43)</f>
        <v>0</v>
      </c>
      <c r="V43" s="78">
        <f>IF(NOT(ISNUMBER(G43)), "", VLOOKUP(A43,'Discount Lookup'!G:H,2,FALSE)*G43)</f>
        <v>0</v>
      </c>
      <c r="W43" s="102">
        <f t="shared" si="6"/>
        <v>0</v>
      </c>
      <c r="X43" s="102">
        <f t="shared" si="7"/>
        <v>0</v>
      </c>
      <c r="Y43" s="120" t="b">
        <f t="shared" si="8"/>
        <v>0</v>
      </c>
      <c r="Z43" s="117">
        <f t="shared" si="9"/>
        <v>0</v>
      </c>
      <c r="AA43" s="118"/>
      <c r="AB43" s="118" t="str">
        <f t="shared" si="10"/>
        <v/>
      </c>
      <c r="AC43" s="712" t="str">
        <f>IF(AE43="T2G","no charge",IF(AND(OR(PlanterYesMe="No",PlanterYesMe="N",PlanterYesMe="me"),H43=""),"",IF(H43="credit","NO install",IF(AND(K43="",AE43="me"),"EACH row",IF(AND(K43="images",AE43="me"),"EACH row",IF(D43="","",IF(H43="credit","",IF(AE43="free","re-planting",IF(AE43="me","   not ELP, by",IF(AND(OR(PlanterYesMe="Yes",PlanterYesMe="Y"),G43&gt;0),(VLOOKUP(A43,'Discount Lookup'!J:K,2)*G43*(1-PlanterDiscount)*(1+PlanterDifficultyPercentage)),IF(AE43="ELP",(VLOOKUP(A43,'Discount Lookup'!J:K,2)*G43*(1-PlanterDiscount)*(1+PlanterDifficultyPercentage)),IF(AE43="free","re-planting",IF(G43=0,"",IF(PlanterYesMe="",IF(AE43="me","   not ELP, by",IF(AE43="",IF(G43&gt;0,(VLOOKUP(A43,'Discount Lookup'!J:K,2)*G43*(1-PlanterDiscount)*(1+PlanterDifficultyPercentage)),""),"")),"   not ELP, by"))))))))))))))</f>
        <v/>
      </c>
      <c r="AD43" s="712"/>
      <c r="AE43" s="513" t="str">
        <f t="shared" si="11"/>
        <v/>
      </c>
      <c r="AF43" s="713" t="str">
        <f t="shared" si="12"/>
        <v/>
      </c>
      <c r="AG43" s="713"/>
      <c r="AH43" s="713"/>
      <c r="AI43" s="112">
        <f>IF(H43="credit",0,IF(AE43="free",0,IF(AE43="me",0,IF(G43&gt;0,(VLOOKUP(A43,'Discount Lookup'!J:K,2)*G43),0))))</f>
        <v>0</v>
      </c>
      <c r="AJ43" s="107" t="str">
        <f t="shared" ca="1" si="13"/>
        <v/>
      </c>
      <c r="AK43" s="714" t="str">
        <f t="shared" si="14"/>
        <v/>
      </c>
      <c r="AL43" s="714"/>
      <c r="AM43" s="114" t="str">
        <f t="shared" si="15"/>
        <v/>
      </c>
      <c r="AN43" s="115"/>
      <c r="AO43" s="116"/>
      <c r="AP43" s="116"/>
      <c r="AQ43" s="116"/>
      <c r="AR43" s="116"/>
      <c r="AS43" s="116"/>
      <c r="AT43" s="116"/>
      <c r="AU43" s="116"/>
      <c r="AV43" s="78"/>
      <c r="AW43" s="102"/>
      <c r="AX43" s="78"/>
      <c r="AY43" s="78"/>
      <c r="AZ43" s="78"/>
      <c r="BA43" s="78"/>
      <c r="BB43" s="78"/>
      <c r="BC43" s="78"/>
      <c r="BD43" s="78"/>
      <c r="BE43" s="465"/>
      <c r="BF43" s="165" t="str">
        <f t="shared" si="16"/>
        <v>https://www.google.com/search?tbm=isch&amp;q=3%20G1</v>
      </c>
      <c r="BG43" s="165" t="str">
        <f t="shared" si="17"/>
        <v>A</v>
      </c>
      <c r="BH43" s="65"/>
      <c r="BI43" s="65"/>
      <c r="BJ43" s="65"/>
      <c r="BK43" s="65"/>
      <c r="BL43" s="99"/>
      <c r="BM43" s="99"/>
      <c r="BN43" s="99"/>
    </row>
    <row r="44" spans="1:66" s="51" customFormat="1" ht="15.75" x14ac:dyDescent="0.25">
      <c r="A44" s="478">
        <v>3</v>
      </c>
      <c r="B44" s="479" t="s">
        <v>291</v>
      </c>
      <c r="C44" s="480" t="s">
        <v>4951</v>
      </c>
      <c r="D44" s="481" t="s">
        <v>311</v>
      </c>
      <c r="E44" s="482">
        <v>27.95</v>
      </c>
      <c r="F44" s="483" t="s">
        <v>292</v>
      </c>
      <c r="G44" s="484">
        <v>0</v>
      </c>
      <c r="H44" s="688" t="str">
        <f>IF(G44=0,"",IF(F44="Buy",IF(G44=1,"plant","plants"),IF(F44&gt;0.01,"warranty","Error")))</f>
        <v/>
      </c>
      <c r="I44" s="485">
        <f>IF(H44="free",0,IF(H44="credit",((E44*(F44))*G44*-1),IF(F44="Buy",(E44*G44),((E44*(1-F44))*G44))))</f>
        <v>0</v>
      </c>
      <c r="J44" s="485">
        <f>IF(H44="warranty",0,(I44*(_xlfn.SINGLE(SalesTaxPercentage))))</f>
        <v>0</v>
      </c>
      <c r="K44" s="715">
        <f t="shared" ref="K44" si="31">I44+J44</f>
        <v>0</v>
      </c>
      <c r="L44" s="715"/>
      <c r="M44" s="689" t="str">
        <f ca="1">IF(AND(G44&gt;0,E44=0),"WARNING - no PRICE inserted",IF(H44="free","FREE ~ no charge this plant",IF(H44="credit",CONCATENATE("-$",ROUND(K44*(1-_xlfn.SINGLE(T2GDiscount))*-1,2)," CREDIT after discount"),IF(_xlfn.SINGLE(T2GDiscount)=0,"",IF(G44=0,"",IF(F44="Buy",CONCATENATE("$",ROUND(K44*(1-_xlfn.SINGLE(T2GDiscount)),2)," with ",(_xlfn.SINGLE(T2GDiscount)*100),"% discount"),CONCATENATE("$",ROUND(K44*(1-_xlfn.SINGLE(T2GDiscount)),2)," with ",((_xlfn.SINGLE(T2GDiscount)*100+F44*100)-(_xlfn.SINGLE(T2GDiscount)*100*F44)),IF(F44&gt;0,"% discounts",IF(_xlfn.SINGLE(NoWarrantyDiscount)&gt;0,"% discounts","% discount")))))))))</f>
        <v/>
      </c>
      <c r="N44" s="690"/>
      <c r="O44" s="486"/>
      <c r="P44" s="486"/>
      <c r="Q44" s="486"/>
      <c r="R44" s="486"/>
      <c r="S44" s="486"/>
      <c r="T44" s="102">
        <f t="shared" si="5"/>
        <v>0</v>
      </c>
      <c r="U44" s="78">
        <f>IF(NOT(ISNUMBER(G44)), "", VLOOKUP(A44,'Discount Lookup'!D:E,2,FALSE)*G44)</f>
        <v>0</v>
      </c>
      <c r="V44" s="78">
        <f>IF(NOT(ISNUMBER(G44)), "", VLOOKUP(A44,'Discount Lookup'!G:H,2,FALSE)*G44)</f>
        <v>0</v>
      </c>
      <c r="W44" s="102">
        <f t="shared" si="6"/>
        <v>0</v>
      </c>
      <c r="X44" s="102">
        <f t="shared" si="7"/>
        <v>0</v>
      </c>
      <c r="Y44" s="120" t="b">
        <f t="shared" si="8"/>
        <v>0</v>
      </c>
      <c r="Z44" s="117">
        <f t="shared" si="9"/>
        <v>0</v>
      </c>
      <c r="AA44" s="118"/>
      <c r="AB44" s="118" t="str">
        <f t="shared" si="10"/>
        <v/>
      </c>
      <c r="AC44" s="712" t="str">
        <f>IF(AE44="T2G","no charge",IF(AND(OR(PlanterYesMe="No",PlanterYesMe="N",PlanterYesMe="me"),H44=""),"",IF(H44="credit","NO install",IF(AND(K44="",AE44="me"),"EACH row",IF(AND(K44="images",AE44="me"),"EACH row",IF(D44="","",IF(H44="credit","",IF(AE44="free","re-planting",IF(AE44="me","   not ELP, by",IF(AND(OR(PlanterYesMe="Yes",PlanterYesMe="Y"),G44&gt;0),(VLOOKUP(A44,'Discount Lookup'!J:K,2)*G44*(1-PlanterDiscount)*(1+PlanterDifficultyPercentage)),IF(AE44="ELP",(VLOOKUP(A44,'Discount Lookup'!J:K,2)*G44*(1-PlanterDiscount)*(1+PlanterDifficultyPercentage)),IF(AE44="free","re-planting",IF(G44=0,"",IF(PlanterYesMe="",IF(AE44="me","   not ELP, by",IF(AE44="",IF(G44&gt;0,(VLOOKUP(A44,'Discount Lookup'!J:K,2)*G44*(1-PlanterDiscount)*(1+PlanterDifficultyPercentage)),""),"")),"   not ELP, by"))))))))))))))</f>
        <v/>
      </c>
      <c r="AD44" s="712"/>
      <c r="AE44" s="513" t="str">
        <f t="shared" si="11"/>
        <v/>
      </c>
      <c r="AF44" s="713" t="str">
        <f t="shared" si="12"/>
        <v/>
      </c>
      <c r="AG44" s="713"/>
      <c r="AH44" s="713"/>
      <c r="AI44" s="112">
        <f>IF(H44="credit",0,IF(AE44="free",0,IF(AE44="me",0,IF(G44&gt;0,(VLOOKUP(A44,'Discount Lookup'!J:K,2)*G44),0))))</f>
        <v>0</v>
      </c>
      <c r="AJ44" s="107" t="str">
        <f t="shared" ca="1" si="13"/>
        <v/>
      </c>
      <c r="AK44" s="714" t="str">
        <f t="shared" si="14"/>
        <v/>
      </c>
      <c r="AL44" s="714"/>
      <c r="AM44" s="114" t="str">
        <f t="shared" si="15"/>
        <v/>
      </c>
      <c r="AN44" s="115"/>
      <c r="AO44" s="116"/>
      <c r="AP44" s="116"/>
      <c r="AQ44" s="116"/>
      <c r="AR44" s="116"/>
      <c r="AS44" s="116"/>
      <c r="AT44" s="116"/>
      <c r="AU44" s="116"/>
      <c r="AV44" s="78"/>
      <c r="AW44" s="102"/>
      <c r="AX44" s="78"/>
      <c r="AY44" s="78"/>
      <c r="AZ44" s="78"/>
      <c r="BA44" s="78"/>
      <c r="BB44" s="78"/>
      <c r="BC44" s="78"/>
      <c r="BD44" s="78"/>
      <c r="BE44" s="465"/>
      <c r="BF44" s="165" t="str">
        <f t="shared" si="16"/>
        <v>https://www.google.com/search?tbm=isch&amp;q=3%20G5</v>
      </c>
      <c r="BG44" s="165" t="str">
        <f t="shared" si="17"/>
        <v>A</v>
      </c>
      <c r="BH44" s="65"/>
      <c r="BI44" s="65"/>
      <c r="BJ44" s="65"/>
      <c r="BK44" s="65"/>
      <c r="BL44" s="99"/>
      <c r="BM44" s="99"/>
      <c r="BN44" s="99"/>
    </row>
    <row r="45" spans="1:66" s="51" customFormat="1" ht="17.25" thickBot="1" x14ac:dyDescent="0.3">
      <c r="A45" s="508" t="s">
        <v>1106</v>
      </c>
      <c r="B45" s="487"/>
      <c r="C45" s="707"/>
      <c r="D45" s="487"/>
      <c r="E45" s="487"/>
      <c r="F45" s="488"/>
      <c r="G45" s="489"/>
      <c r="H45" s="487"/>
      <c r="I45" s="490"/>
      <c r="J45" s="490"/>
      <c r="K45" s="491"/>
      <c r="L45" s="547"/>
      <c r="M45" s="528"/>
      <c r="N45" s="492"/>
      <c r="O45" s="493"/>
      <c r="P45" s="494"/>
      <c r="Q45" s="492"/>
      <c r="R45" s="492"/>
      <c r="S45" s="699" t="s">
        <v>5248</v>
      </c>
      <c r="T45" s="102">
        <f t="shared" si="5"/>
        <v>0</v>
      </c>
      <c r="U45" s="78" t="str">
        <f>IF(NOT(ISNUMBER(G45)), "", VLOOKUP(A45,'Discount Lookup'!D:E,2,FALSE)*G45)</f>
        <v/>
      </c>
      <c r="V45" s="78" t="str">
        <f>IF(NOT(ISNUMBER(G45)), "", VLOOKUP(A45,'Discount Lookup'!G:H,2,FALSE)*G45)</f>
        <v/>
      </c>
      <c r="W45" s="102">
        <f t="shared" si="6"/>
        <v>0</v>
      </c>
      <c r="X45" s="102">
        <f t="shared" si="7"/>
        <v>0</v>
      </c>
      <c r="Y45" s="120" t="b">
        <f t="shared" si="8"/>
        <v>0</v>
      </c>
      <c r="Z45" s="117">
        <f t="shared" si="9"/>
        <v>0</v>
      </c>
      <c r="AA45" s="118"/>
      <c r="AB45" s="118" t="str">
        <f t="shared" si="10"/>
        <v/>
      </c>
      <c r="AC45" s="712" t="str">
        <f>IF(AE45="T2G","no charge",IF(AND(OR(PlanterYesMe="No",PlanterYesMe="N",PlanterYesMe="me"),H45=""),"",IF(H45="credit","NO install",IF(AND(K45="",AE45="me"),"EACH row",IF(AND(K45="images",AE45="me"),"EACH row",IF(D45="","",IF(H45="credit","",IF(AE45="free","re-planting",IF(AE45="me","   not ELP, by",IF(AND(OR(PlanterYesMe="Yes",PlanterYesMe="Y"),G45&gt;0),(VLOOKUP(A45,'Discount Lookup'!J:K,2)*G45*(1-PlanterDiscount)*(1+PlanterDifficultyPercentage)),IF(AE45="ELP",(VLOOKUP(A45,'Discount Lookup'!J:K,2)*G45*(1-PlanterDiscount)*(1+PlanterDifficultyPercentage)),IF(AE45="free","re-planting",IF(G45=0,"",IF(PlanterYesMe="",IF(AE45="me","   not ELP, by",IF(AE45="",IF(G45&gt;0,(VLOOKUP(A45,'Discount Lookup'!J:K,2)*G45*(1-PlanterDiscount)*(1+PlanterDifficultyPercentage)),""),"")),"   not ELP, by"))))))))))))))</f>
        <v/>
      </c>
      <c r="AD45" s="712"/>
      <c r="AE45" s="513" t="str">
        <f t="shared" si="11"/>
        <v/>
      </c>
      <c r="AF45" s="713" t="str">
        <f t="shared" si="12"/>
        <v/>
      </c>
      <c r="AG45" s="713"/>
      <c r="AH45" s="713"/>
      <c r="AI45" s="112">
        <f>IF(H45="credit",0,IF(AE45="free",0,IF(AE45="me",0,IF(G45&gt;0,(VLOOKUP(A45,'Discount Lookup'!J:K,2)*G45),0))))</f>
        <v>0</v>
      </c>
      <c r="AJ45" s="107" t="str">
        <f t="shared" ca="1" si="13"/>
        <v/>
      </c>
      <c r="AK45" s="714" t="str">
        <f t="shared" si="14"/>
        <v/>
      </c>
      <c r="AL45" s="714"/>
      <c r="AM45" s="114" t="str">
        <f t="shared" si="15"/>
        <v/>
      </c>
      <c r="AN45" s="115"/>
      <c r="AO45" s="116"/>
      <c r="AP45" s="116"/>
      <c r="AQ45" s="116"/>
      <c r="AR45" s="116"/>
      <c r="AS45" s="116"/>
      <c r="AT45" s="116"/>
      <c r="AU45" s="116"/>
      <c r="AV45" s="78"/>
      <c r="AW45" s="102"/>
      <c r="AX45" s="78"/>
      <c r="AY45" s="78"/>
      <c r="AZ45" s="78"/>
      <c r="BA45" s="78"/>
      <c r="BB45" s="78"/>
      <c r="BC45" s="78"/>
      <c r="BD45" s="78"/>
      <c r="BE45" s="465"/>
      <c r="BF45" s="165" t="str">
        <f t="shared" si="16"/>
        <v>https://www.google.com/search?tbm=isch&amp;q=Little%20Richard%20foliage%20is%20Green%20with%20Copper%20edges%2C%20then%20changes%20to%20Bronze-Red%20hue%20in%20fall.%20Blooms%20May%20to%20frost.%20Fragrant%20</v>
      </c>
      <c r="BG45" s="165" t="str">
        <f t="shared" si="17"/>
        <v>L</v>
      </c>
      <c r="BH45" s="65"/>
      <c r="BI45" s="65"/>
      <c r="BJ45" s="65"/>
      <c r="BK45" s="65"/>
      <c r="BL45" s="99"/>
      <c r="BM45" s="99"/>
      <c r="BN45" s="99"/>
    </row>
    <row r="46" spans="1:66" s="51" customFormat="1" ht="18" x14ac:dyDescent="0.25">
      <c r="A46" s="507" t="s">
        <v>1107</v>
      </c>
      <c r="B46" s="470"/>
      <c r="C46" s="706"/>
      <c r="D46" s="471" t="s">
        <v>1108</v>
      </c>
      <c r="E46" s="472"/>
      <c r="F46" s="472"/>
      <c r="G46" s="472"/>
      <c r="H46" s="622" t="s">
        <v>1088</v>
      </c>
      <c r="I46" s="473" t="s">
        <v>349</v>
      </c>
      <c r="J46" s="472"/>
      <c r="K46" s="472"/>
      <c r="L46" s="561"/>
      <c r="M46" s="698" t="s">
        <v>5246</v>
      </c>
      <c r="N46" s="692" t="str">
        <f>IF(AND(ISTEXT($A46), ISERROR($A46+0)), HYPERLINK($BF46, "Images"), "")</f>
        <v>Images</v>
      </c>
      <c r="O46" s="694" t="s">
        <v>5244</v>
      </c>
      <c r="P46" s="475"/>
      <c r="Q46" s="476"/>
      <c r="R46" s="476"/>
      <c r="S46" s="477"/>
      <c r="T46" s="102">
        <f t="shared" si="5"/>
        <v>0</v>
      </c>
      <c r="U46" s="78" t="str">
        <f>IF(NOT(ISNUMBER(G46)), "", VLOOKUP(A46,'Discount Lookup'!D:E,2,FALSE)*G46)</f>
        <v/>
      </c>
      <c r="V46" s="78" t="str">
        <f>IF(NOT(ISNUMBER(G46)), "", VLOOKUP(A46,'Discount Lookup'!G:H,2,FALSE)*G46)</f>
        <v/>
      </c>
      <c r="W46" s="102">
        <f t="shared" si="6"/>
        <v>0</v>
      </c>
      <c r="X46" s="102" t="str">
        <f t="shared" si="7"/>
        <v>White bloom</v>
      </c>
      <c r="Y46" s="120" t="b">
        <f t="shared" si="8"/>
        <v>0</v>
      </c>
      <c r="Z46" s="117">
        <f t="shared" si="9"/>
        <v>0</v>
      </c>
      <c r="AA46" s="118"/>
      <c r="AB46" s="118" t="str">
        <f t="shared" si="10"/>
        <v/>
      </c>
      <c r="AC46" s="712" t="str">
        <f>IF(AE46="T2G","no charge",IF(AND(OR(PlanterYesMe="No",PlanterYesMe="N",PlanterYesMe="me"),H46=""),"",IF(H46="credit","NO install",IF(AND(K46="",AE46="me"),"EACH row",IF(AND(K46="images",AE46="me"),"EACH row",IF(D46="","",IF(H46="credit","",IF(AE46="free","re-planting",IF(AE46="me","   not ELP, by",IF(AND(OR(PlanterYesMe="Yes",PlanterYesMe="Y"),G46&gt;0),(VLOOKUP(A46,'Discount Lookup'!J:K,2)*G46*(1-PlanterDiscount)*(1+PlanterDifficultyPercentage)),IF(AE46="ELP",(VLOOKUP(A46,'Discount Lookup'!J:K,2)*G46*(1-PlanterDiscount)*(1+PlanterDifficultyPercentage)),IF(AE46="free","re-planting",IF(G46=0,"",IF(PlanterYesMe="",IF(AE46="me","   not ELP, by",IF(AE46="",IF(G46&gt;0,(VLOOKUP(A46,'Discount Lookup'!J:K,2)*G46*(1-PlanterDiscount)*(1+PlanterDifficultyPercentage)),""),"")),"   not ELP, by"))))))))))))))</f>
        <v/>
      </c>
      <c r="AD46" s="712"/>
      <c r="AE46" s="513" t="str">
        <f t="shared" si="11"/>
        <v/>
      </c>
      <c r="AF46" s="713" t="str">
        <f t="shared" si="12"/>
        <v/>
      </c>
      <c r="AG46" s="713"/>
      <c r="AH46" s="713"/>
      <c r="AI46" s="112">
        <f>IF(H46="credit",0,IF(AE46="free",0,IF(AE46="me",0,IF(G46&gt;0,(VLOOKUP(A46,'Discount Lookup'!J:K,2)*G46),0))))</f>
        <v>0</v>
      </c>
      <c r="AJ46" s="107" t="str">
        <f t="shared" ca="1" si="13"/>
        <v/>
      </c>
      <c r="AK46" s="714" t="str">
        <f t="shared" si="14"/>
        <v/>
      </c>
      <c r="AL46" s="714"/>
      <c r="AM46" s="114" t="str">
        <f t="shared" si="15"/>
        <v/>
      </c>
      <c r="AN46" s="115"/>
      <c r="AO46" s="116"/>
      <c r="AP46" s="116"/>
      <c r="AQ46" s="116"/>
      <c r="AR46" s="116"/>
      <c r="AS46" s="116"/>
      <c r="AT46" s="116"/>
      <c r="AU46" s="116"/>
      <c r="AV46" s="78"/>
      <c r="AW46" s="102"/>
      <c r="AX46" s="78"/>
      <c r="AY46" s="78"/>
      <c r="AZ46" s="78"/>
      <c r="BA46" s="78"/>
      <c r="BB46" s="78"/>
      <c r="BC46" s="78"/>
      <c r="BD46" s="78"/>
      <c r="BE46" s="465"/>
      <c r="BF46" s="165" t="str">
        <f t="shared" si="16"/>
        <v>https://www.google.com/search?tbm=isch&amp;q=Abelia%20x%20grandiflora%20%27Radiance%27%20PP%2321929%20Radiance%20Abelia</v>
      </c>
      <c r="BG46" s="165" t="str">
        <f t="shared" si="17"/>
        <v>A</v>
      </c>
      <c r="BH46" s="65"/>
      <c r="BI46" s="65"/>
      <c r="BJ46" s="65"/>
      <c r="BK46" s="65"/>
      <c r="BL46" s="99"/>
      <c r="BM46" s="99"/>
      <c r="BN46" s="99"/>
    </row>
    <row r="47" spans="1:66" s="51" customFormat="1" ht="15.75" x14ac:dyDescent="0.25">
      <c r="A47" s="478">
        <v>3</v>
      </c>
      <c r="B47" s="479" t="s">
        <v>291</v>
      </c>
      <c r="C47" s="480" t="s">
        <v>1109</v>
      </c>
      <c r="D47" s="481" t="s">
        <v>311</v>
      </c>
      <c r="E47" s="482">
        <v>36.950000000000003</v>
      </c>
      <c r="F47" s="483" t="s">
        <v>292</v>
      </c>
      <c r="G47" s="484">
        <v>0</v>
      </c>
      <c r="H47" s="688" t="str">
        <f>IF(G47=0,"",IF(F47="Buy",IF(G47=1,"plant","plants"),IF(F47&gt;0.01,"warranty","Error")))</f>
        <v/>
      </c>
      <c r="I47" s="485">
        <f>IF(H47="free",0,IF(H47="credit",((E47*(F47))*G47*-1),IF(F47="Buy",(E47*G47),((E47*(1-F47))*G47))))</f>
        <v>0</v>
      </c>
      <c r="J47" s="485">
        <f>IF(H47="warranty",0,(I47*(_xlfn.SINGLE(SalesTaxPercentage))))</f>
        <v>0</v>
      </c>
      <c r="K47" s="715">
        <f t="shared" ref="K47" si="32">I47+J47</f>
        <v>0</v>
      </c>
      <c r="L47" s="715"/>
      <c r="M47" s="689" t="str">
        <f ca="1">IF(AND(G47&gt;0,E47=0),"WARNING - no PRICE inserted",IF(H47="free","FREE ~ no charge this plant",IF(H47="credit",CONCATENATE("-$",ROUND(K47*(1-_xlfn.SINGLE(T2GDiscount))*-1,2)," CREDIT after discount"),IF(_xlfn.SINGLE(T2GDiscount)=0,"",IF(G47=0,"",IF(F47="Buy",CONCATENATE("$",ROUND(K47*(1-_xlfn.SINGLE(T2GDiscount)),2)," with ",(_xlfn.SINGLE(T2GDiscount)*100),"% discount"),CONCATENATE("$",ROUND(K47*(1-_xlfn.SINGLE(T2GDiscount)),2)," with ",((_xlfn.SINGLE(T2GDiscount)*100+F47*100)-(_xlfn.SINGLE(T2GDiscount)*100*F47)),IF(F47&gt;0,"% discounts",IF(_xlfn.SINGLE(NoWarrantyDiscount)&gt;0,"% discounts","% discount")))))))))</f>
        <v/>
      </c>
      <c r="N47" s="690"/>
      <c r="O47" s="486"/>
      <c r="P47" s="486"/>
      <c r="Q47" s="486"/>
      <c r="R47" s="486"/>
      <c r="S47" s="486"/>
      <c r="T47" s="102">
        <f t="shared" si="5"/>
        <v>0</v>
      </c>
      <c r="U47" s="78">
        <f>IF(NOT(ISNUMBER(G47)), "", VLOOKUP(A47,'Discount Lookup'!D:E,2,FALSE)*G47)</f>
        <v>0</v>
      </c>
      <c r="V47" s="78">
        <f>IF(NOT(ISNUMBER(G47)), "", VLOOKUP(A47,'Discount Lookup'!G:H,2,FALSE)*G47)</f>
        <v>0</v>
      </c>
      <c r="W47" s="102">
        <f t="shared" si="6"/>
        <v>0</v>
      </c>
      <c r="X47" s="102">
        <f t="shared" si="7"/>
        <v>0</v>
      </c>
      <c r="Y47" s="120" t="b">
        <f t="shared" si="8"/>
        <v>0</v>
      </c>
      <c r="Z47" s="117">
        <f t="shared" si="9"/>
        <v>0</v>
      </c>
      <c r="AA47" s="118"/>
      <c r="AB47" s="118" t="str">
        <f t="shared" si="10"/>
        <v/>
      </c>
      <c r="AC47" s="712" t="str">
        <f>IF(AE47="T2G","no charge",IF(AND(OR(PlanterYesMe="No",PlanterYesMe="N",PlanterYesMe="me"),H47=""),"",IF(H47="credit","NO install",IF(AND(K47="",AE47="me"),"EACH row",IF(AND(K47="images",AE47="me"),"EACH row",IF(D47="","",IF(H47="credit","",IF(AE47="free","re-planting",IF(AE47="me","   not ELP, by",IF(AND(OR(PlanterYesMe="Yes",PlanterYesMe="Y"),G47&gt;0),(VLOOKUP(A47,'Discount Lookup'!J:K,2)*G47*(1-PlanterDiscount)*(1+PlanterDifficultyPercentage)),IF(AE47="ELP",(VLOOKUP(A47,'Discount Lookup'!J:K,2)*G47*(1-PlanterDiscount)*(1+PlanterDifficultyPercentage)),IF(AE47="free","re-planting",IF(G47=0,"",IF(PlanterYesMe="",IF(AE47="me","   not ELP, by",IF(AE47="",IF(G47&gt;0,(VLOOKUP(A47,'Discount Lookup'!J:K,2)*G47*(1-PlanterDiscount)*(1+PlanterDifficultyPercentage)),""),"")),"   not ELP, by"))))))))))))))</f>
        <v/>
      </c>
      <c r="AD47" s="712"/>
      <c r="AE47" s="513" t="str">
        <f t="shared" si="11"/>
        <v/>
      </c>
      <c r="AF47" s="713" t="str">
        <f t="shared" si="12"/>
        <v/>
      </c>
      <c r="AG47" s="713"/>
      <c r="AH47" s="713"/>
      <c r="AI47" s="112">
        <f>IF(H47="credit",0,IF(AE47="free",0,IF(AE47="me",0,IF(G47&gt;0,(VLOOKUP(A47,'Discount Lookup'!J:K,2)*G47),0))))</f>
        <v>0</v>
      </c>
      <c r="AJ47" s="107" t="str">
        <f t="shared" ca="1" si="13"/>
        <v/>
      </c>
      <c r="AK47" s="714" t="str">
        <f t="shared" si="14"/>
        <v/>
      </c>
      <c r="AL47" s="714"/>
      <c r="AM47" s="114" t="str">
        <f t="shared" si="15"/>
        <v/>
      </c>
      <c r="AN47" s="115"/>
      <c r="AO47" s="116"/>
      <c r="AP47" s="116"/>
      <c r="AQ47" s="116"/>
      <c r="AR47" s="116"/>
      <c r="AS47" s="116"/>
      <c r="AT47" s="116"/>
      <c r="AU47" s="116"/>
      <c r="AV47" s="78"/>
      <c r="AW47" s="102"/>
      <c r="AX47" s="78"/>
      <c r="AY47" s="78"/>
      <c r="AZ47" s="78"/>
      <c r="BA47" s="78"/>
      <c r="BB47" s="78"/>
      <c r="BC47" s="78"/>
      <c r="BD47" s="78"/>
      <c r="BE47" s="465"/>
      <c r="BF47" s="165" t="str">
        <f t="shared" si="16"/>
        <v>https://www.google.com/search?tbm=isch&amp;q=3%20G5</v>
      </c>
      <c r="BG47" s="165" t="str">
        <f t="shared" si="17"/>
        <v>A</v>
      </c>
      <c r="BH47" s="65"/>
      <c r="BI47" s="65"/>
      <c r="BJ47" s="65"/>
      <c r="BK47" s="65"/>
      <c r="BL47" s="99"/>
      <c r="BM47" s="99"/>
      <c r="BN47" s="99"/>
    </row>
    <row r="48" spans="1:66" s="51" customFormat="1" ht="15.75" x14ac:dyDescent="0.25">
      <c r="A48" s="478">
        <v>3</v>
      </c>
      <c r="B48" s="479" t="s">
        <v>291</v>
      </c>
      <c r="C48" s="480" t="s">
        <v>1110</v>
      </c>
      <c r="D48" s="481" t="s">
        <v>329</v>
      </c>
      <c r="E48" s="482">
        <v>41.95</v>
      </c>
      <c r="F48" s="483" t="s">
        <v>292</v>
      </c>
      <c r="G48" s="484">
        <v>0</v>
      </c>
      <c r="H48" s="688" t="str">
        <f>IF(G48=0,"",IF(F48="Buy",IF(G48=1,"plant","plants"),IF(F48&gt;0.01,"warranty","Error")))</f>
        <v/>
      </c>
      <c r="I48" s="485">
        <f>IF(H48="free",0,IF(H48="credit",((E48*(F48))*G48*-1),IF(F48="Buy",(E48*G48),((E48*(1-F48))*G48))))</f>
        <v>0</v>
      </c>
      <c r="J48" s="485">
        <f>IF(H48="warranty",0,(I48*(_xlfn.SINGLE(SalesTaxPercentage))))</f>
        <v>0</v>
      </c>
      <c r="K48" s="715">
        <f t="shared" ref="K48" si="33">I48+J48</f>
        <v>0</v>
      </c>
      <c r="L48" s="715"/>
      <c r="M48" s="689" t="str">
        <f ca="1">IF(AND(G48&gt;0,E48=0),"WARNING - no PRICE inserted",IF(H48="free","FREE ~ no charge this plant",IF(H48="credit",CONCATENATE("-$",ROUND(K48*(1-_xlfn.SINGLE(T2GDiscount))*-1,2)," CREDIT after discount"),IF(_xlfn.SINGLE(T2GDiscount)=0,"",IF(G48=0,"",IF(F48="Buy",CONCATENATE("$",ROUND(K48*(1-_xlfn.SINGLE(T2GDiscount)),2)," with ",(_xlfn.SINGLE(T2GDiscount)*100),"% discount"),CONCATENATE("$",ROUND(K48*(1-_xlfn.SINGLE(T2GDiscount)),2)," with ",((_xlfn.SINGLE(T2GDiscount)*100+F48*100)-(_xlfn.SINGLE(T2GDiscount)*100*F48)),IF(F48&gt;0,"% discounts",IF(_xlfn.SINGLE(NoWarrantyDiscount)&gt;0,"% discounts","% discount")))))))))</f>
        <v/>
      </c>
      <c r="N48" s="690"/>
      <c r="O48" s="486"/>
      <c r="P48" s="486"/>
      <c r="Q48" s="486"/>
      <c r="R48" s="486"/>
      <c r="S48" s="486"/>
      <c r="T48" s="102">
        <f t="shared" si="5"/>
        <v>0</v>
      </c>
      <c r="U48" s="78">
        <f>IF(NOT(ISNUMBER(G48)), "", VLOOKUP(A48,'Discount Lookup'!D:E,2,FALSE)*G48)</f>
        <v>0</v>
      </c>
      <c r="V48" s="78">
        <f>IF(NOT(ISNUMBER(G48)), "", VLOOKUP(A48,'Discount Lookup'!G:H,2,FALSE)*G48)</f>
        <v>0</v>
      </c>
      <c r="W48" s="102">
        <f t="shared" si="6"/>
        <v>0</v>
      </c>
      <c r="X48" s="102">
        <f t="shared" si="7"/>
        <v>0</v>
      </c>
      <c r="Y48" s="120" t="b">
        <f t="shared" si="8"/>
        <v>0</v>
      </c>
      <c r="Z48" s="117">
        <f t="shared" si="9"/>
        <v>0</v>
      </c>
      <c r="AA48" s="118"/>
      <c r="AB48" s="118" t="str">
        <f t="shared" si="10"/>
        <v/>
      </c>
      <c r="AC48" s="712" t="str">
        <f>IF(AE48="T2G","no charge",IF(AND(OR(PlanterYesMe="No",PlanterYesMe="N",PlanterYesMe="me"),H48=""),"",IF(H48="credit","NO install",IF(AND(K48="",AE48="me"),"EACH row",IF(AND(K48="images",AE48="me"),"EACH row",IF(D48="","",IF(H48="credit","",IF(AE48="free","re-planting",IF(AE48="me","   not ELP, by",IF(AND(OR(PlanterYesMe="Yes",PlanterYesMe="Y"),G48&gt;0),(VLOOKUP(A48,'Discount Lookup'!J:K,2)*G48*(1-PlanterDiscount)*(1+PlanterDifficultyPercentage)),IF(AE48="ELP",(VLOOKUP(A48,'Discount Lookup'!J:K,2)*G48*(1-PlanterDiscount)*(1+PlanterDifficultyPercentage)),IF(AE48="free","re-planting",IF(G48=0,"",IF(PlanterYesMe="",IF(AE48="me","   not ELP, by",IF(AE48="",IF(G48&gt;0,(VLOOKUP(A48,'Discount Lookup'!J:K,2)*G48*(1-PlanterDiscount)*(1+PlanterDifficultyPercentage)),""),"")),"   not ELP, by"))))))))))))))</f>
        <v/>
      </c>
      <c r="AD48" s="712"/>
      <c r="AE48" s="513" t="str">
        <f t="shared" si="11"/>
        <v/>
      </c>
      <c r="AF48" s="713" t="str">
        <f t="shared" si="12"/>
        <v/>
      </c>
      <c r="AG48" s="713"/>
      <c r="AH48" s="713"/>
      <c r="AI48" s="112">
        <f>IF(H48="credit",0,IF(AE48="free",0,IF(AE48="me",0,IF(G48&gt;0,(VLOOKUP(A48,'Discount Lookup'!J:K,2)*G48),0))))</f>
        <v>0</v>
      </c>
      <c r="AJ48" s="107" t="str">
        <f t="shared" ca="1" si="13"/>
        <v/>
      </c>
      <c r="AK48" s="714" t="str">
        <f t="shared" si="14"/>
        <v/>
      </c>
      <c r="AL48" s="714"/>
      <c r="AM48" s="114" t="str">
        <f t="shared" si="15"/>
        <v/>
      </c>
      <c r="AN48" s="115"/>
      <c r="AO48" s="116"/>
      <c r="AP48" s="116"/>
      <c r="AQ48" s="116"/>
      <c r="AR48" s="116"/>
      <c r="AS48" s="116"/>
      <c r="AT48" s="116"/>
      <c r="AU48" s="116"/>
      <c r="AV48" s="78"/>
      <c r="AW48" s="102"/>
      <c r="AX48" s="78"/>
      <c r="AY48" s="78"/>
      <c r="AZ48" s="78"/>
      <c r="BA48" s="78"/>
      <c r="BB48" s="78"/>
      <c r="BC48" s="78"/>
      <c r="BD48" s="78"/>
      <c r="BE48" s="465"/>
      <c r="BF48" s="165" t="str">
        <f t="shared" si="16"/>
        <v>https://www.google.com/search?tbm=isch&amp;q=3%20G2</v>
      </c>
      <c r="BG48" s="165" t="str">
        <f t="shared" si="17"/>
        <v>A</v>
      </c>
      <c r="BH48" s="65"/>
      <c r="BI48" s="65"/>
      <c r="BJ48" s="65"/>
      <c r="BK48" s="65"/>
      <c r="BL48" s="99"/>
      <c r="BM48" s="99"/>
      <c r="BN48" s="99"/>
    </row>
    <row r="49" spans="1:66" s="51" customFormat="1" ht="15.75" x14ac:dyDescent="0.25">
      <c r="A49" s="478">
        <v>3</v>
      </c>
      <c r="B49" s="479" t="s">
        <v>291</v>
      </c>
      <c r="C49" s="480" t="s">
        <v>1111</v>
      </c>
      <c r="D49" s="481" t="s">
        <v>293</v>
      </c>
      <c r="E49" s="482">
        <v>56.95</v>
      </c>
      <c r="F49" s="483" t="s">
        <v>292</v>
      </c>
      <c r="G49" s="484">
        <v>0</v>
      </c>
      <c r="H49" s="688" t="str">
        <f>IF(G49=0,"",IF(F49="Buy",IF(G49=1,"plant","plants"),IF(F49&gt;0.01,"warranty","Error")))</f>
        <v/>
      </c>
      <c r="I49" s="485">
        <f>IF(H49="free",0,IF(H49="credit",((E49*(F49))*G49*-1),IF(F49="Buy",(E49*G49),((E49*(1-F49))*G49))))</f>
        <v>0</v>
      </c>
      <c r="J49" s="485">
        <f>IF(H49="warranty",0,(I49*(_xlfn.SINGLE(SalesTaxPercentage))))</f>
        <v>0</v>
      </c>
      <c r="K49" s="715">
        <f t="shared" ref="K49" si="34">I49+J49</f>
        <v>0</v>
      </c>
      <c r="L49" s="715"/>
      <c r="M49" s="689" t="str">
        <f ca="1">IF(AND(G49&gt;0,E49=0),"WARNING - no PRICE inserted",IF(H49="free","FREE ~ no charge this plant",IF(H49="credit",CONCATENATE("-$",ROUND(K49*(1-_xlfn.SINGLE(T2GDiscount))*-1,2)," CREDIT after discount"),IF(_xlfn.SINGLE(T2GDiscount)=0,"",IF(G49=0,"",IF(F49="Buy",CONCATENATE("$",ROUND(K49*(1-_xlfn.SINGLE(T2GDiscount)),2)," with ",(_xlfn.SINGLE(T2GDiscount)*100),"% discount"),CONCATENATE("$",ROUND(K49*(1-_xlfn.SINGLE(T2GDiscount)),2)," with ",((_xlfn.SINGLE(T2GDiscount)*100+F49*100)-(_xlfn.SINGLE(T2GDiscount)*100*F49)),IF(F49&gt;0,"% discounts",IF(_xlfn.SINGLE(NoWarrantyDiscount)&gt;0,"% discounts","% discount")))))))))</f>
        <v/>
      </c>
      <c r="N49" s="690"/>
      <c r="O49" s="486"/>
      <c r="P49" s="486"/>
      <c r="Q49" s="486"/>
      <c r="R49" s="486"/>
      <c r="S49" s="486"/>
      <c r="T49" s="102">
        <f t="shared" si="5"/>
        <v>0</v>
      </c>
      <c r="U49" s="78">
        <f>IF(NOT(ISNUMBER(G49)), "", VLOOKUP(A49,'Discount Lookup'!D:E,2,FALSE)*G49)</f>
        <v>0</v>
      </c>
      <c r="V49" s="78">
        <f>IF(NOT(ISNUMBER(G49)), "", VLOOKUP(A49,'Discount Lookup'!G:H,2,FALSE)*G49)</f>
        <v>0</v>
      </c>
      <c r="W49" s="102">
        <f t="shared" si="6"/>
        <v>0</v>
      </c>
      <c r="X49" s="102">
        <f t="shared" si="7"/>
        <v>0</v>
      </c>
      <c r="Y49" s="120" t="b">
        <f t="shared" si="8"/>
        <v>0</v>
      </c>
      <c r="Z49" s="117">
        <f t="shared" si="9"/>
        <v>0</v>
      </c>
      <c r="AA49" s="118"/>
      <c r="AB49" s="118" t="str">
        <f t="shared" si="10"/>
        <v/>
      </c>
      <c r="AC49" s="712" t="str">
        <f>IF(AE49="T2G","no charge",IF(AND(OR(PlanterYesMe="No",PlanterYesMe="N",PlanterYesMe="me"),H49=""),"",IF(H49="credit","NO install",IF(AND(K49="",AE49="me"),"EACH row",IF(AND(K49="images",AE49="me"),"EACH row",IF(D49="","",IF(H49="credit","",IF(AE49="free","re-planting",IF(AE49="me","   not ELP, by",IF(AND(OR(PlanterYesMe="Yes",PlanterYesMe="Y"),G49&gt;0),(VLOOKUP(A49,'Discount Lookup'!J:K,2)*G49*(1-PlanterDiscount)*(1+PlanterDifficultyPercentage)),IF(AE49="ELP",(VLOOKUP(A49,'Discount Lookup'!J:K,2)*G49*(1-PlanterDiscount)*(1+PlanterDifficultyPercentage)),IF(AE49="free","re-planting",IF(G49=0,"",IF(PlanterYesMe="",IF(AE49="me","   not ELP, by",IF(AE49="",IF(G49&gt;0,(VLOOKUP(A49,'Discount Lookup'!J:K,2)*G49*(1-PlanterDiscount)*(1+PlanterDifficultyPercentage)),""),"")),"   not ELP, by"))))))))))))))</f>
        <v/>
      </c>
      <c r="AD49" s="712"/>
      <c r="AE49" s="513" t="str">
        <f t="shared" si="11"/>
        <v/>
      </c>
      <c r="AF49" s="713" t="str">
        <f t="shared" si="12"/>
        <v/>
      </c>
      <c r="AG49" s="713"/>
      <c r="AH49" s="713"/>
      <c r="AI49" s="112">
        <f>IF(H49="credit",0,IF(AE49="free",0,IF(AE49="me",0,IF(G49&gt;0,(VLOOKUP(A49,'Discount Lookup'!J:K,2)*G49),0))))</f>
        <v>0</v>
      </c>
      <c r="AJ49" s="107" t="str">
        <f t="shared" ca="1" si="13"/>
        <v/>
      </c>
      <c r="AK49" s="714" t="str">
        <f t="shared" si="14"/>
        <v/>
      </c>
      <c r="AL49" s="714"/>
      <c r="AM49" s="114" t="str">
        <f t="shared" si="15"/>
        <v/>
      </c>
      <c r="AN49" s="115"/>
      <c r="AO49" s="116"/>
      <c r="AP49" s="116"/>
      <c r="AQ49" s="116"/>
      <c r="AR49" s="116"/>
      <c r="AS49" s="116"/>
      <c r="AT49" s="116"/>
      <c r="AU49" s="116"/>
      <c r="AV49" s="78"/>
      <c r="AW49" s="102"/>
      <c r="AX49" s="78"/>
      <c r="AY49" s="78"/>
      <c r="AZ49" s="78"/>
      <c r="BA49" s="78"/>
      <c r="BB49" s="78"/>
      <c r="BC49" s="78"/>
      <c r="BD49" s="78"/>
      <c r="BE49" s="465"/>
      <c r="BF49" s="165" t="str">
        <f t="shared" si="16"/>
        <v>https://www.google.com/search?tbm=isch&amp;q=3%20G6</v>
      </c>
      <c r="BG49" s="165" t="str">
        <f t="shared" si="17"/>
        <v>A</v>
      </c>
      <c r="BH49" s="65"/>
      <c r="BI49" s="65"/>
      <c r="BJ49" s="65"/>
      <c r="BK49" s="65"/>
      <c r="BL49" s="99"/>
      <c r="BM49" s="99"/>
      <c r="BN49" s="99"/>
    </row>
    <row r="50" spans="1:66" s="51" customFormat="1" ht="17.25" thickBot="1" x14ac:dyDescent="0.3">
      <c r="A50" s="508" t="s">
        <v>1112</v>
      </c>
      <c r="B50" s="487"/>
      <c r="C50" s="707"/>
      <c r="D50" s="487"/>
      <c r="E50" s="487"/>
      <c r="F50" s="488"/>
      <c r="G50" s="489"/>
      <c r="H50" s="487"/>
      <c r="I50" s="490"/>
      <c r="J50" s="490"/>
      <c r="K50" s="491"/>
      <c r="L50" s="547"/>
      <c r="M50" s="528"/>
      <c r="N50" s="492"/>
      <c r="O50" s="493"/>
      <c r="P50" s="494"/>
      <c r="Q50" s="492"/>
      <c r="R50" s="492"/>
      <c r="S50" s="699" t="s">
        <v>5248</v>
      </c>
      <c r="T50" s="102">
        <f t="shared" si="5"/>
        <v>0</v>
      </c>
      <c r="U50" s="78" t="str">
        <f>IF(NOT(ISNUMBER(G50)), "", VLOOKUP(A50,'Discount Lookup'!D:E,2,FALSE)*G50)</f>
        <v/>
      </c>
      <c r="V50" s="78" t="str">
        <f>IF(NOT(ISNUMBER(G50)), "", VLOOKUP(A50,'Discount Lookup'!G:H,2,FALSE)*G50)</f>
        <v/>
      </c>
      <c r="W50" s="102">
        <f t="shared" si="6"/>
        <v>0</v>
      </c>
      <c r="X50" s="102">
        <f t="shared" si="7"/>
        <v>0</v>
      </c>
      <c r="Y50" s="120" t="b">
        <f t="shared" si="8"/>
        <v>0</v>
      </c>
      <c r="Z50" s="117">
        <f t="shared" si="9"/>
        <v>0</v>
      </c>
      <c r="AA50" s="118"/>
      <c r="AB50" s="118" t="str">
        <f t="shared" si="10"/>
        <v/>
      </c>
      <c r="AC50" s="712" t="str">
        <f>IF(AE50="T2G","no charge",IF(AND(OR(PlanterYesMe="No",PlanterYesMe="N",PlanterYesMe="me"),H50=""),"",IF(H50="credit","NO install",IF(AND(K50="",AE50="me"),"EACH row",IF(AND(K50="images",AE50="me"),"EACH row",IF(D50="","",IF(H50="credit","",IF(AE50="free","re-planting",IF(AE50="me","   not ELP, by",IF(AND(OR(PlanterYesMe="Yes",PlanterYesMe="Y"),G50&gt;0),(VLOOKUP(A50,'Discount Lookup'!J:K,2)*G50*(1-PlanterDiscount)*(1+PlanterDifficultyPercentage)),IF(AE50="ELP",(VLOOKUP(A50,'Discount Lookup'!J:K,2)*G50*(1-PlanterDiscount)*(1+PlanterDifficultyPercentage)),IF(AE50="free","re-planting",IF(G50=0,"",IF(PlanterYesMe="",IF(AE50="me","   not ELP, by",IF(AE50="",IF(G50&gt;0,(VLOOKUP(A50,'Discount Lookup'!J:K,2)*G50*(1-PlanterDiscount)*(1+PlanterDifficultyPercentage)),""),"")),"   not ELP, by"))))))))))))))</f>
        <v/>
      </c>
      <c r="AD50" s="712"/>
      <c r="AE50" s="513" t="str">
        <f t="shared" si="11"/>
        <v/>
      </c>
      <c r="AF50" s="713" t="str">
        <f t="shared" si="12"/>
        <v/>
      </c>
      <c r="AG50" s="713"/>
      <c r="AH50" s="713"/>
      <c r="AI50" s="112">
        <f>IF(H50="credit",0,IF(AE50="free",0,IF(AE50="me",0,IF(G50&gt;0,(VLOOKUP(A50,'Discount Lookup'!J:K,2)*G50),0))))</f>
        <v>0</v>
      </c>
      <c r="AJ50" s="107" t="str">
        <f t="shared" ca="1" si="13"/>
        <v/>
      </c>
      <c r="AK50" s="714" t="str">
        <f t="shared" si="14"/>
        <v/>
      </c>
      <c r="AL50" s="714"/>
      <c r="AM50" s="114" t="str">
        <f t="shared" si="15"/>
        <v/>
      </c>
      <c r="AN50" s="115"/>
      <c r="AO50" s="116"/>
      <c r="AP50" s="116"/>
      <c r="AQ50" s="116"/>
      <c r="AR50" s="116"/>
      <c r="AS50" s="116"/>
      <c r="AT50" s="116"/>
      <c r="AU50" s="116"/>
      <c r="AV50" s="78"/>
      <c r="AW50" s="102"/>
      <c r="AX50" s="78"/>
      <c r="AY50" s="78"/>
      <c r="AZ50" s="78"/>
      <c r="BA50" s="78"/>
      <c r="BB50" s="78"/>
      <c r="BC50" s="78"/>
      <c r="BD50" s="78"/>
      <c r="BE50" s="465"/>
      <c r="BF50" s="165" t="str">
        <f t="shared" si="16"/>
        <v>https://www.google.com/search?tbm=isch&amp;q=Radiance%20has%20vivd%20variegated%20foliage.%20Wine-Red%20stems%20contrast%20with%20the%20Green-Yellow%20foliage.%20Fragrant%20flowers%20</v>
      </c>
      <c r="BG50" s="165" t="str">
        <f t="shared" si="17"/>
        <v>R</v>
      </c>
      <c r="BH50" s="65"/>
      <c r="BI50" s="65"/>
      <c r="BJ50" s="65"/>
      <c r="BK50" s="65"/>
      <c r="BL50" s="99"/>
      <c r="BM50" s="99"/>
      <c r="BN50" s="99"/>
    </row>
    <row r="51" spans="1:66" s="51" customFormat="1" ht="18" x14ac:dyDescent="0.25">
      <c r="A51" s="507" t="s">
        <v>1113</v>
      </c>
      <c r="B51" s="470"/>
      <c r="C51" s="706"/>
      <c r="D51" s="471" t="s">
        <v>5576</v>
      </c>
      <c r="E51" s="472"/>
      <c r="F51" s="472"/>
      <c r="G51" s="472"/>
      <c r="H51" s="622" t="s">
        <v>1104</v>
      </c>
      <c r="I51" s="473" t="s">
        <v>1089</v>
      </c>
      <c r="J51" s="472"/>
      <c r="K51" s="472"/>
      <c r="L51" s="561"/>
      <c r="M51" s="698" t="s">
        <v>5240</v>
      </c>
      <c r="N51" s="692" t="str">
        <f>IF(AND(ISTEXT($A51), ISERROR($A51+0)), HYPERLINK($BF51, "Images"), "")</f>
        <v>Images</v>
      </c>
      <c r="O51" s="694" t="s">
        <v>5244</v>
      </c>
      <c r="P51" s="475"/>
      <c r="Q51" s="476"/>
      <c r="R51" s="476"/>
      <c r="S51" s="477"/>
      <c r="T51" s="102">
        <f t="shared" si="5"/>
        <v>0</v>
      </c>
      <c r="U51" s="78" t="str">
        <f>IF(NOT(ISNUMBER(G51)), "", VLOOKUP(A51,'Discount Lookup'!D:E,2,FALSE)*G51)</f>
        <v/>
      </c>
      <c r="V51" s="78" t="str">
        <f>IF(NOT(ISNUMBER(G51)), "", VLOOKUP(A51,'Discount Lookup'!G:H,2,FALSE)*G51)</f>
        <v/>
      </c>
      <c r="W51" s="102">
        <f t="shared" si="6"/>
        <v>0</v>
      </c>
      <c r="X51" s="102" t="str">
        <f t="shared" si="7"/>
        <v>White bloom, hint of Pink</v>
      </c>
      <c r="Y51" s="120" t="b">
        <f t="shared" si="8"/>
        <v>0</v>
      </c>
      <c r="Z51" s="117">
        <f t="shared" si="9"/>
        <v>0</v>
      </c>
      <c r="AA51" s="118"/>
      <c r="AB51" s="118" t="str">
        <f t="shared" si="10"/>
        <v/>
      </c>
      <c r="AC51" s="712" t="str">
        <f>IF(AE51="T2G","no charge",IF(AND(OR(PlanterYesMe="No",PlanterYesMe="N",PlanterYesMe="me"),H51=""),"",IF(H51="credit","NO install",IF(AND(K51="",AE51="me"),"EACH row",IF(AND(K51="images",AE51="me"),"EACH row",IF(D51="","",IF(H51="credit","",IF(AE51="free","re-planting",IF(AE51="me","   not ELP, by",IF(AND(OR(PlanterYesMe="Yes",PlanterYesMe="Y"),G51&gt;0),(VLOOKUP(A51,'Discount Lookup'!J:K,2)*G51*(1-PlanterDiscount)*(1+PlanterDifficultyPercentage)),IF(AE51="ELP",(VLOOKUP(A51,'Discount Lookup'!J:K,2)*G51*(1-PlanterDiscount)*(1+PlanterDifficultyPercentage)),IF(AE51="free","re-planting",IF(G51=0,"",IF(PlanterYesMe="",IF(AE51="me","   not ELP, by",IF(AE51="",IF(G51&gt;0,(VLOOKUP(A51,'Discount Lookup'!J:K,2)*G51*(1-PlanterDiscount)*(1+PlanterDifficultyPercentage)),""),"")),"   not ELP, by"))))))))))))))</f>
        <v/>
      </c>
      <c r="AD51" s="712"/>
      <c r="AE51" s="513" t="str">
        <f t="shared" si="11"/>
        <v/>
      </c>
      <c r="AF51" s="713" t="str">
        <f t="shared" si="12"/>
        <v/>
      </c>
      <c r="AG51" s="713"/>
      <c r="AH51" s="713"/>
      <c r="AI51" s="112">
        <f>IF(H51="credit",0,IF(AE51="free",0,IF(AE51="me",0,IF(G51&gt;0,(VLOOKUP(A51,'Discount Lookup'!J:K,2)*G51),0))))</f>
        <v>0</v>
      </c>
      <c r="AJ51" s="107" t="str">
        <f t="shared" ca="1" si="13"/>
        <v/>
      </c>
      <c r="AK51" s="714" t="str">
        <f t="shared" si="14"/>
        <v/>
      </c>
      <c r="AL51" s="714"/>
      <c r="AM51" s="114" t="str">
        <f t="shared" si="15"/>
        <v/>
      </c>
      <c r="AN51" s="115"/>
      <c r="AO51" s="116"/>
      <c r="AP51" s="116"/>
      <c r="AQ51" s="116"/>
      <c r="AR51" s="116"/>
      <c r="AS51" s="116"/>
      <c r="AT51" s="116"/>
      <c r="AU51" s="116"/>
      <c r="AV51" s="78"/>
      <c r="AW51" s="102"/>
      <c r="AX51" s="78"/>
      <c r="AY51" s="78"/>
      <c r="AZ51" s="78"/>
      <c r="BA51" s="78"/>
      <c r="BB51" s="78"/>
      <c r="BC51" s="78"/>
      <c r="BD51" s="78"/>
      <c r="BE51" s="465"/>
      <c r="BF51" s="165" t="str">
        <f t="shared" si="16"/>
        <v>https://www.google.com/search?tbm=isch&amp;q=Abelia%20x%20grandiflora%20%27Rhabpe22%27%20PP%2334885%20Suntastic%C2%AE%20Peach%20Abelia</v>
      </c>
      <c r="BG51" s="165" t="str">
        <f t="shared" si="17"/>
        <v>A</v>
      </c>
      <c r="BH51" s="65"/>
      <c r="BI51" s="65"/>
      <c r="BJ51" s="65"/>
      <c r="BK51" s="65"/>
      <c r="BL51" s="99"/>
      <c r="BM51" s="99"/>
      <c r="BN51" s="99"/>
    </row>
    <row r="52" spans="1:66" s="51" customFormat="1" ht="15.75" x14ac:dyDescent="0.25">
      <c r="A52" s="478">
        <v>3</v>
      </c>
      <c r="B52" s="479" t="s">
        <v>291</v>
      </c>
      <c r="C52" s="480" t="s">
        <v>1114</v>
      </c>
      <c r="D52" s="481" t="s">
        <v>329</v>
      </c>
      <c r="E52" s="482">
        <v>30.95</v>
      </c>
      <c r="F52" s="483" t="s">
        <v>292</v>
      </c>
      <c r="G52" s="484">
        <v>0</v>
      </c>
      <c r="H52" s="688" t="str">
        <f>IF(G52=0,"",IF(F52="Buy",IF(G52=1,"plant","plants"),IF(F52&gt;0.01,"warranty","Error")))</f>
        <v/>
      </c>
      <c r="I52" s="485">
        <f>IF(H52="free",0,IF(H52="credit",((E52*(F52))*G52*-1),IF(F52="Buy",(E52*G52),((E52*(1-F52))*G52))))</f>
        <v>0</v>
      </c>
      <c r="J52" s="485">
        <f>IF(H52="warranty",0,(I52*(_xlfn.SINGLE(SalesTaxPercentage))))</f>
        <v>0</v>
      </c>
      <c r="K52" s="715">
        <f t="shared" ref="K52" si="35">I52+J52</f>
        <v>0</v>
      </c>
      <c r="L52" s="715"/>
      <c r="M52" s="689" t="str">
        <f ca="1">IF(AND(G52&gt;0,E52=0),"WARNING - no PRICE inserted",IF(H52="free","FREE ~ no charge this plant",IF(H52="credit",CONCATENATE("-$",ROUND(K52*(1-_xlfn.SINGLE(T2GDiscount))*-1,2)," CREDIT after discount"),IF(_xlfn.SINGLE(T2GDiscount)=0,"",IF(G52=0,"",IF(F52="Buy",CONCATENATE("$",ROUND(K52*(1-_xlfn.SINGLE(T2GDiscount)),2)," with ",(_xlfn.SINGLE(T2GDiscount)*100),"% discount"),CONCATENATE("$",ROUND(K52*(1-_xlfn.SINGLE(T2GDiscount)),2)," with ",((_xlfn.SINGLE(T2GDiscount)*100+F52*100)-(_xlfn.SINGLE(T2GDiscount)*100*F52)),IF(F52&gt;0,"% discounts",IF(_xlfn.SINGLE(NoWarrantyDiscount)&gt;0,"% discounts","% discount")))))))))</f>
        <v/>
      </c>
      <c r="N52" s="690"/>
      <c r="O52" s="486"/>
      <c r="P52" s="486"/>
      <c r="Q52" s="486"/>
      <c r="R52" s="486"/>
      <c r="S52" s="486"/>
      <c r="T52" s="102">
        <f t="shared" si="5"/>
        <v>0</v>
      </c>
      <c r="U52" s="78">
        <f>IF(NOT(ISNUMBER(G52)), "", VLOOKUP(A52,'Discount Lookup'!D:E,2,FALSE)*G52)</f>
        <v>0</v>
      </c>
      <c r="V52" s="78">
        <f>IF(NOT(ISNUMBER(G52)), "", VLOOKUP(A52,'Discount Lookup'!G:H,2,FALSE)*G52)</f>
        <v>0</v>
      </c>
      <c r="W52" s="102">
        <f t="shared" si="6"/>
        <v>0</v>
      </c>
      <c r="X52" s="102">
        <f t="shared" si="7"/>
        <v>0</v>
      </c>
      <c r="Y52" s="120" t="b">
        <f t="shared" si="8"/>
        <v>0</v>
      </c>
      <c r="Z52" s="117">
        <f t="shared" si="9"/>
        <v>0</v>
      </c>
      <c r="AA52" s="118"/>
      <c r="AB52" s="118" t="str">
        <f t="shared" si="10"/>
        <v/>
      </c>
      <c r="AC52" s="712" t="str">
        <f>IF(AE52="T2G","no charge",IF(AND(OR(PlanterYesMe="No",PlanterYesMe="N",PlanterYesMe="me"),H52=""),"",IF(H52="credit","NO install",IF(AND(K52="",AE52="me"),"EACH row",IF(AND(K52="images",AE52="me"),"EACH row",IF(D52="","",IF(H52="credit","",IF(AE52="free","re-planting",IF(AE52="me","   not ELP, by",IF(AND(OR(PlanterYesMe="Yes",PlanterYesMe="Y"),G52&gt;0),(VLOOKUP(A52,'Discount Lookup'!J:K,2)*G52*(1-PlanterDiscount)*(1+PlanterDifficultyPercentage)),IF(AE52="ELP",(VLOOKUP(A52,'Discount Lookup'!J:K,2)*G52*(1-PlanterDiscount)*(1+PlanterDifficultyPercentage)),IF(AE52="free","re-planting",IF(G52=0,"",IF(PlanterYesMe="",IF(AE52="me","   not ELP, by",IF(AE52="",IF(G52&gt;0,(VLOOKUP(A52,'Discount Lookup'!J:K,2)*G52*(1-PlanterDiscount)*(1+PlanterDifficultyPercentage)),""),"")),"   not ELP, by"))))))))))))))</f>
        <v/>
      </c>
      <c r="AD52" s="712"/>
      <c r="AE52" s="513" t="str">
        <f t="shared" si="11"/>
        <v/>
      </c>
      <c r="AF52" s="713" t="str">
        <f t="shared" si="12"/>
        <v/>
      </c>
      <c r="AG52" s="713"/>
      <c r="AH52" s="713"/>
      <c r="AI52" s="112">
        <f>IF(H52="credit",0,IF(AE52="free",0,IF(AE52="me",0,IF(G52&gt;0,(VLOOKUP(A52,'Discount Lookup'!J:K,2)*G52),0))))</f>
        <v>0</v>
      </c>
      <c r="AJ52" s="107" t="str">
        <f t="shared" ca="1" si="13"/>
        <v/>
      </c>
      <c r="AK52" s="714" t="str">
        <f t="shared" si="14"/>
        <v/>
      </c>
      <c r="AL52" s="714"/>
      <c r="AM52" s="114" t="str">
        <f t="shared" si="15"/>
        <v/>
      </c>
      <c r="AN52" s="115"/>
      <c r="AO52" s="116"/>
      <c r="AP52" s="116"/>
      <c r="AQ52" s="116"/>
      <c r="AR52" s="116"/>
      <c r="AS52" s="116"/>
      <c r="AT52" s="116"/>
      <c r="AU52" s="116"/>
      <c r="AV52" s="78"/>
      <c r="AW52" s="102"/>
      <c r="AX52" s="78"/>
      <c r="AY52" s="78"/>
      <c r="AZ52" s="78"/>
      <c r="BA52" s="78"/>
      <c r="BB52" s="78"/>
      <c r="BC52" s="78"/>
      <c r="BD52" s="78"/>
      <c r="BE52" s="465"/>
      <c r="BF52" s="165" t="str">
        <f t="shared" si="16"/>
        <v>https://www.google.com/search?tbm=isch&amp;q=3%20G2</v>
      </c>
      <c r="BG52" s="165" t="str">
        <f t="shared" si="17"/>
        <v>A</v>
      </c>
      <c r="BH52" s="65"/>
      <c r="BI52" s="65"/>
      <c r="BJ52" s="65"/>
      <c r="BK52" s="65"/>
      <c r="BL52" s="99"/>
      <c r="BM52" s="99"/>
      <c r="BN52" s="99"/>
    </row>
    <row r="53" spans="1:66" s="51" customFormat="1" ht="17.25" thickBot="1" x14ac:dyDescent="0.3">
      <c r="A53" s="508" t="s">
        <v>4665</v>
      </c>
      <c r="B53" s="487"/>
      <c r="C53" s="707"/>
      <c r="D53" s="487"/>
      <c r="E53" s="487"/>
      <c r="F53" s="488"/>
      <c r="G53" s="489"/>
      <c r="H53" s="487"/>
      <c r="I53" s="490"/>
      <c r="J53" s="490"/>
      <c r="K53" s="491"/>
      <c r="L53" s="547"/>
      <c r="M53" s="528"/>
      <c r="N53" s="492"/>
      <c r="O53" s="493"/>
      <c r="P53" s="494"/>
      <c r="Q53" s="492"/>
      <c r="R53" s="492"/>
      <c r="S53" s="699" t="s">
        <v>5248</v>
      </c>
      <c r="T53" s="102">
        <f t="shared" si="5"/>
        <v>0</v>
      </c>
      <c r="U53" s="78" t="str">
        <f>IF(NOT(ISNUMBER(G53)), "", VLOOKUP(A53,'Discount Lookup'!D:E,2,FALSE)*G53)</f>
        <v/>
      </c>
      <c r="V53" s="78" t="str">
        <f>IF(NOT(ISNUMBER(G53)), "", VLOOKUP(A53,'Discount Lookup'!G:H,2,FALSE)*G53)</f>
        <v/>
      </c>
      <c r="W53" s="102">
        <f t="shared" si="6"/>
        <v>0</v>
      </c>
      <c r="X53" s="102">
        <f t="shared" si="7"/>
        <v>0</v>
      </c>
      <c r="Y53" s="120" t="b">
        <f t="shared" si="8"/>
        <v>0</v>
      </c>
      <c r="Z53" s="117">
        <f t="shared" si="9"/>
        <v>0</v>
      </c>
      <c r="AA53" s="118"/>
      <c r="AB53" s="118" t="str">
        <f t="shared" si="10"/>
        <v/>
      </c>
      <c r="AC53" s="712" t="str">
        <f>IF(AE53="T2G","no charge",IF(AND(OR(PlanterYesMe="No",PlanterYesMe="N",PlanterYesMe="me"),H53=""),"",IF(H53="credit","NO install",IF(AND(K53="",AE53="me"),"EACH row",IF(AND(K53="images",AE53="me"),"EACH row",IF(D53="","",IF(H53="credit","",IF(AE53="free","re-planting",IF(AE53="me","   not ELP, by",IF(AND(OR(PlanterYesMe="Yes",PlanterYesMe="Y"),G53&gt;0),(VLOOKUP(A53,'Discount Lookup'!J:K,2)*G53*(1-PlanterDiscount)*(1+PlanterDifficultyPercentage)),IF(AE53="ELP",(VLOOKUP(A53,'Discount Lookup'!J:K,2)*G53*(1-PlanterDiscount)*(1+PlanterDifficultyPercentage)),IF(AE53="free","re-planting",IF(G53=0,"",IF(PlanterYesMe="",IF(AE53="me","   not ELP, by",IF(AE53="",IF(G53&gt;0,(VLOOKUP(A53,'Discount Lookup'!J:K,2)*G53*(1-PlanterDiscount)*(1+PlanterDifficultyPercentage)),""),"")),"   not ELP, by"))))))))))))))</f>
        <v/>
      </c>
      <c r="AD53" s="712"/>
      <c r="AE53" s="513" t="str">
        <f t="shared" si="11"/>
        <v/>
      </c>
      <c r="AF53" s="713" t="str">
        <f t="shared" si="12"/>
        <v/>
      </c>
      <c r="AG53" s="713"/>
      <c r="AH53" s="713"/>
      <c r="AI53" s="112">
        <f>IF(H53="credit",0,IF(AE53="free",0,IF(AE53="me",0,IF(G53&gt;0,(VLOOKUP(A53,'Discount Lookup'!J:K,2)*G53),0))))</f>
        <v>0</v>
      </c>
      <c r="AJ53" s="107" t="str">
        <f t="shared" ca="1" si="13"/>
        <v/>
      </c>
      <c r="AK53" s="714" t="str">
        <f t="shared" si="14"/>
        <v/>
      </c>
      <c r="AL53" s="714"/>
      <c r="AM53" s="114" t="str">
        <f t="shared" si="15"/>
        <v/>
      </c>
      <c r="AN53" s="115"/>
      <c r="AO53" s="116"/>
      <c r="AP53" s="116"/>
      <c r="AQ53" s="116"/>
      <c r="AR53" s="116"/>
      <c r="AS53" s="116"/>
      <c r="AT53" s="116"/>
      <c r="AU53" s="116"/>
      <c r="AV53" s="78"/>
      <c r="AW53" s="102"/>
      <c r="AX53" s="78"/>
      <c r="AY53" s="78"/>
      <c r="AZ53" s="78"/>
      <c r="BA53" s="78"/>
      <c r="BB53" s="78"/>
      <c r="BC53" s="78"/>
      <c r="BD53" s="78"/>
      <c r="BE53" s="465"/>
      <c r="BF53" s="165" t="str">
        <f t="shared" si="16"/>
        <v>https://www.google.com/search?tbm=isch&amp;q=Suntastic%20Peach%20foliage%20emerges%20a%20vibrant%20Peach-Orange-Golden-then%20bright%20Green-Yellow-Gold%20margins.%20Fragrant%20</v>
      </c>
      <c r="BG53" s="165" t="str">
        <f t="shared" si="17"/>
        <v>S</v>
      </c>
      <c r="BH53" s="65"/>
      <c r="BI53" s="65"/>
      <c r="BJ53" s="65"/>
      <c r="BK53" s="65"/>
      <c r="BL53" s="99"/>
      <c r="BM53" s="99"/>
      <c r="BN53" s="99"/>
    </row>
    <row r="54" spans="1:66" s="51" customFormat="1" ht="18" x14ac:dyDescent="0.25">
      <c r="A54" s="507" t="s">
        <v>1115</v>
      </c>
      <c r="B54" s="470"/>
      <c r="C54" s="706"/>
      <c r="D54" s="471" t="s">
        <v>1116</v>
      </c>
      <c r="E54" s="472"/>
      <c r="F54" s="472"/>
      <c r="G54" s="472"/>
      <c r="H54" s="622" t="s">
        <v>1088</v>
      </c>
      <c r="I54" s="473" t="s">
        <v>1117</v>
      </c>
      <c r="J54" s="472"/>
      <c r="K54" s="472"/>
      <c r="L54" s="561"/>
      <c r="M54" s="698" t="s">
        <v>5246</v>
      </c>
      <c r="N54" s="692" t="str">
        <f>IF(AND(ISTEXT($A54), ISERROR($A54+0)), HYPERLINK($BF54, "Images"), "")</f>
        <v>Images</v>
      </c>
      <c r="O54" s="694" t="s">
        <v>5244</v>
      </c>
      <c r="P54" s="475"/>
      <c r="Q54" s="476"/>
      <c r="R54" s="476"/>
      <c r="S54" s="477"/>
      <c r="T54" s="102">
        <f t="shared" si="5"/>
        <v>0</v>
      </c>
      <c r="U54" s="78" t="str">
        <f>IF(NOT(ISNUMBER(G54)), "", VLOOKUP(A54,'Discount Lookup'!D:E,2,FALSE)*G54)</f>
        <v/>
      </c>
      <c r="V54" s="78" t="str">
        <f>IF(NOT(ISNUMBER(G54)), "", VLOOKUP(A54,'Discount Lookup'!G:H,2,FALSE)*G54)</f>
        <v/>
      </c>
      <c r="W54" s="102">
        <f t="shared" si="6"/>
        <v>0</v>
      </c>
      <c r="X54" s="102" t="str">
        <f t="shared" si="7"/>
        <v>White bloom, Rosy sepals</v>
      </c>
      <c r="Y54" s="120" t="b">
        <f t="shared" si="8"/>
        <v>0</v>
      </c>
      <c r="Z54" s="117">
        <f t="shared" si="9"/>
        <v>0</v>
      </c>
      <c r="AA54" s="118"/>
      <c r="AB54" s="118" t="str">
        <f t="shared" si="10"/>
        <v/>
      </c>
      <c r="AC54" s="712" t="str">
        <f>IF(AE54="T2G","no charge",IF(AND(OR(PlanterYesMe="No",PlanterYesMe="N",PlanterYesMe="me"),H54=""),"",IF(H54="credit","NO install",IF(AND(K54="",AE54="me"),"EACH row",IF(AND(K54="images",AE54="me"),"EACH row",IF(D54="","",IF(H54="credit","",IF(AE54="free","re-planting",IF(AE54="me","   not ELP, by",IF(AND(OR(PlanterYesMe="Yes",PlanterYesMe="Y"),G54&gt;0),(VLOOKUP(A54,'Discount Lookup'!J:K,2)*G54*(1-PlanterDiscount)*(1+PlanterDifficultyPercentage)),IF(AE54="ELP",(VLOOKUP(A54,'Discount Lookup'!J:K,2)*G54*(1-PlanterDiscount)*(1+PlanterDifficultyPercentage)),IF(AE54="free","re-planting",IF(G54=0,"",IF(PlanterYesMe="",IF(AE54="me","   not ELP, by",IF(AE54="",IF(G54&gt;0,(VLOOKUP(A54,'Discount Lookup'!J:K,2)*G54*(1-PlanterDiscount)*(1+PlanterDifficultyPercentage)),""),"")),"   not ELP, by"))))))))))))))</f>
        <v/>
      </c>
      <c r="AD54" s="712"/>
      <c r="AE54" s="513" t="str">
        <f t="shared" si="11"/>
        <v/>
      </c>
      <c r="AF54" s="713" t="str">
        <f t="shared" si="12"/>
        <v/>
      </c>
      <c r="AG54" s="713"/>
      <c r="AH54" s="713"/>
      <c r="AI54" s="112">
        <f>IF(H54="credit",0,IF(AE54="free",0,IF(AE54="me",0,IF(G54&gt;0,(VLOOKUP(A54,'Discount Lookup'!J:K,2)*G54),0))))</f>
        <v>0</v>
      </c>
      <c r="AJ54" s="107" t="str">
        <f t="shared" ca="1" si="13"/>
        <v/>
      </c>
      <c r="AK54" s="714" t="str">
        <f t="shared" si="14"/>
        <v/>
      </c>
      <c r="AL54" s="714"/>
      <c r="AM54" s="114" t="str">
        <f t="shared" si="15"/>
        <v/>
      </c>
      <c r="AN54" s="115"/>
      <c r="AO54" s="116"/>
      <c r="AP54" s="116"/>
      <c r="AQ54" s="116"/>
      <c r="AR54" s="116"/>
      <c r="AS54" s="116"/>
      <c r="AT54" s="116"/>
      <c r="AU54" s="116"/>
      <c r="AV54" s="78"/>
      <c r="AW54" s="102"/>
      <c r="AX54" s="78"/>
      <c r="AY54" s="78"/>
      <c r="AZ54" s="78"/>
      <c r="BA54" s="78"/>
      <c r="BB54" s="78"/>
      <c r="BC54" s="78"/>
      <c r="BD54" s="78"/>
      <c r="BE54" s="465"/>
      <c r="BF54" s="165" t="str">
        <f t="shared" si="16"/>
        <v>https://www.google.com/search?tbm=isch&amp;q=Abelia%20x%20grandiflora%20%27Rose%20Creek%27%20Rose%20Creek%20Abelia</v>
      </c>
      <c r="BG54" s="165" t="str">
        <f t="shared" si="17"/>
        <v>A</v>
      </c>
      <c r="BH54" s="65"/>
      <c r="BI54" s="65"/>
      <c r="BJ54" s="65"/>
      <c r="BK54" s="65"/>
      <c r="BL54" s="99"/>
      <c r="BM54" s="99"/>
      <c r="BN54" s="99"/>
    </row>
    <row r="55" spans="1:66" s="51" customFormat="1" ht="15.75" x14ac:dyDescent="0.25">
      <c r="A55" s="478">
        <v>3</v>
      </c>
      <c r="B55" s="479" t="s">
        <v>291</v>
      </c>
      <c r="C55" s="480" t="s">
        <v>1118</v>
      </c>
      <c r="D55" s="481" t="s">
        <v>309</v>
      </c>
      <c r="E55" s="482">
        <v>22.95</v>
      </c>
      <c r="F55" s="483" t="s">
        <v>292</v>
      </c>
      <c r="G55" s="484">
        <v>0</v>
      </c>
      <c r="H55" s="688" t="str">
        <f>IF(G55=0,"",IF(F55="Buy",IF(G55=1,"plant","plants"),IF(F55&gt;0.01,"warranty","Error")))</f>
        <v/>
      </c>
      <c r="I55" s="485">
        <f>IF(H55="free",0,IF(H55="credit",((E55*(F55))*G55*-1),IF(F55="Buy",(E55*G55),((E55*(1-F55))*G55))))</f>
        <v>0</v>
      </c>
      <c r="J55" s="485">
        <f>IF(H55="warranty",0,(I55*(_xlfn.SINGLE(SalesTaxPercentage))))</f>
        <v>0</v>
      </c>
      <c r="K55" s="715">
        <f t="shared" ref="K55" si="36">I55+J55</f>
        <v>0</v>
      </c>
      <c r="L55" s="715"/>
      <c r="M55" s="689" t="str">
        <f ca="1">IF(AND(G55&gt;0,E55=0),"WARNING - no PRICE inserted",IF(H55="free","FREE ~ no charge this plant",IF(H55="credit",CONCATENATE("-$",ROUND(K55*(1-_xlfn.SINGLE(T2GDiscount))*-1,2)," CREDIT after discount"),IF(_xlfn.SINGLE(T2GDiscount)=0,"",IF(G55=0,"",IF(F55="Buy",CONCATENATE("$",ROUND(K55*(1-_xlfn.SINGLE(T2GDiscount)),2)," with ",(_xlfn.SINGLE(T2GDiscount)*100),"% discount"),CONCATENATE("$",ROUND(K55*(1-_xlfn.SINGLE(T2GDiscount)),2)," with ",((_xlfn.SINGLE(T2GDiscount)*100+F55*100)-(_xlfn.SINGLE(T2GDiscount)*100*F55)),IF(F55&gt;0,"% discounts",IF(_xlfn.SINGLE(NoWarrantyDiscount)&gt;0,"% discounts","% discount")))))))))</f>
        <v/>
      </c>
      <c r="N55" s="690"/>
      <c r="O55" s="486"/>
      <c r="P55" s="486"/>
      <c r="Q55" s="486"/>
      <c r="R55" s="486"/>
      <c r="S55" s="486"/>
      <c r="T55" s="102">
        <f t="shared" si="5"/>
        <v>0</v>
      </c>
      <c r="U55" s="78">
        <f>IF(NOT(ISNUMBER(G55)), "", VLOOKUP(A55,'Discount Lookup'!D:E,2,FALSE)*G55)</f>
        <v>0</v>
      </c>
      <c r="V55" s="78">
        <f>IF(NOT(ISNUMBER(G55)), "", VLOOKUP(A55,'Discount Lookup'!G:H,2,FALSE)*G55)</f>
        <v>0</v>
      </c>
      <c r="W55" s="102">
        <f t="shared" si="6"/>
        <v>0</v>
      </c>
      <c r="X55" s="102">
        <f t="shared" si="7"/>
        <v>0</v>
      </c>
      <c r="Y55" s="120" t="b">
        <f t="shared" si="8"/>
        <v>0</v>
      </c>
      <c r="Z55" s="117">
        <f t="shared" si="9"/>
        <v>0</v>
      </c>
      <c r="AA55" s="118"/>
      <c r="AB55" s="118" t="str">
        <f t="shared" si="10"/>
        <v/>
      </c>
      <c r="AC55" s="712" t="str">
        <f>IF(AE55="T2G","no charge",IF(AND(OR(PlanterYesMe="No",PlanterYesMe="N",PlanterYesMe="me"),H55=""),"",IF(H55="credit","NO install",IF(AND(K55="",AE55="me"),"EACH row",IF(AND(K55="images",AE55="me"),"EACH row",IF(D55="","",IF(H55="credit","",IF(AE55="free","re-planting",IF(AE55="me","   not ELP, by",IF(AND(OR(PlanterYesMe="Yes",PlanterYesMe="Y"),G55&gt;0),(VLOOKUP(A55,'Discount Lookup'!J:K,2)*G55*(1-PlanterDiscount)*(1+PlanterDifficultyPercentage)),IF(AE55="ELP",(VLOOKUP(A55,'Discount Lookup'!J:K,2)*G55*(1-PlanterDiscount)*(1+PlanterDifficultyPercentage)),IF(AE55="free","re-planting",IF(G55=0,"",IF(PlanterYesMe="",IF(AE55="me","   not ELP, by",IF(AE55="",IF(G55&gt;0,(VLOOKUP(A55,'Discount Lookup'!J:K,2)*G55*(1-PlanterDiscount)*(1+PlanterDifficultyPercentage)),""),"")),"   not ELP, by"))))))))))))))</f>
        <v/>
      </c>
      <c r="AD55" s="712"/>
      <c r="AE55" s="513" t="str">
        <f t="shared" si="11"/>
        <v/>
      </c>
      <c r="AF55" s="713" t="str">
        <f t="shared" si="12"/>
        <v/>
      </c>
      <c r="AG55" s="713"/>
      <c r="AH55" s="713"/>
      <c r="AI55" s="112">
        <f>IF(H55="credit",0,IF(AE55="free",0,IF(AE55="me",0,IF(G55&gt;0,(VLOOKUP(A55,'Discount Lookup'!J:K,2)*G55),0))))</f>
        <v>0</v>
      </c>
      <c r="AJ55" s="107" t="str">
        <f t="shared" ca="1" si="13"/>
        <v/>
      </c>
      <c r="AK55" s="714" t="str">
        <f t="shared" si="14"/>
        <v/>
      </c>
      <c r="AL55" s="714"/>
      <c r="AM55" s="114" t="str">
        <f t="shared" si="15"/>
        <v/>
      </c>
      <c r="AN55" s="115"/>
      <c r="AO55" s="116"/>
      <c r="AP55" s="116"/>
      <c r="AQ55" s="116"/>
      <c r="AR55" s="116"/>
      <c r="AS55" s="116"/>
      <c r="AT55" s="116"/>
      <c r="AU55" s="116"/>
      <c r="AV55" s="78"/>
      <c r="AW55" s="102"/>
      <c r="AX55" s="78"/>
      <c r="AY55" s="78"/>
      <c r="AZ55" s="78"/>
      <c r="BA55" s="78"/>
      <c r="BB55" s="78"/>
      <c r="BC55" s="78"/>
      <c r="BD55" s="78"/>
      <c r="BE55" s="465"/>
      <c r="BF55" s="165" t="str">
        <f t="shared" si="16"/>
        <v>https://www.google.com/search?tbm=isch&amp;q=3%20G3</v>
      </c>
      <c r="BG55" s="165" t="str">
        <f t="shared" si="17"/>
        <v>A</v>
      </c>
      <c r="BH55" s="65"/>
      <c r="BI55" s="65"/>
      <c r="BJ55" s="65"/>
      <c r="BK55" s="65"/>
      <c r="BL55" s="99"/>
      <c r="BM55" s="99"/>
      <c r="BN55" s="99"/>
    </row>
    <row r="56" spans="1:66" s="51" customFormat="1" ht="15.75" x14ac:dyDescent="0.25">
      <c r="A56" s="478">
        <v>3</v>
      </c>
      <c r="B56" s="479" t="s">
        <v>291</v>
      </c>
      <c r="C56" s="480" t="s">
        <v>337</v>
      </c>
      <c r="D56" s="481" t="s">
        <v>310</v>
      </c>
      <c r="E56" s="482">
        <v>25.95</v>
      </c>
      <c r="F56" s="483" t="s">
        <v>292</v>
      </c>
      <c r="G56" s="484">
        <v>0</v>
      </c>
      <c r="H56" s="688" t="str">
        <f>IF(G56=0,"",IF(F56="Buy",IF(G56=1,"plant","plants"),IF(F56&gt;0.01,"warranty","Error")))</f>
        <v/>
      </c>
      <c r="I56" s="485">
        <f>IF(H56="free",0,IF(H56="credit",((E56*(F56))*G56*-1),IF(F56="Buy",(E56*G56),((E56*(1-F56))*G56))))</f>
        <v>0</v>
      </c>
      <c r="J56" s="485">
        <f>IF(H56="warranty",0,(I56*(_xlfn.SINGLE(SalesTaxPercentage))))</f>
        <v>0</v>
      </c>
      <c r="K56" s="715">
        <f t="shared" ref="K56" si="37">I56+J56</f>
        <v>0</v>
      </c>
      <c r="L56" s="715"/>
      <c r="M56" s="689" t="str">
        <f ca="1">IF(AND(G56&gt;0,E56=0),"WARNING - no PRICE inserted",IF(H56="free","FREE ~ no charge this plant",IF(H56="credit",CONCATENATE("-$",ROUND(K56*(1-_xlfn.SINGLE(T2GDiscount))*-1,2)," CREDIT after discount"),IF(_xlfn.SINGLE(T2GDiscount)=0,"",IF(G56=0,"",IF(F56="Buy",CONCATENATE("$",ROUND(K56*(1-_xlfn.SINGLE(T2GDiscount)),2)," with ",(_xlfn.SINGLE(T2GDiscount)*100),"% discount"),CONCATENATE("$",ROUND(K56*(1-_xlfn.SINGLE(T2GDiscount)),2)," with ",((_xlfn.SINGLE(T2GDiscount)*100+F56*100)-(_xlfn.SINGLE(T2GDiscount)*100*F56)),IF(F56&gt;0,"% discounts",IF(_xlfn.SINGLE(NoWarrantyDiscount)&gt;0,"% discounts","% discount")))))))))</f>
        <v/>
      </c>
      <c r="N56" s="690"/>
      <c r="O56" s="486"/>
      <c r="P56" s="486"/>
      <c r="Q56" s="486"/>
      <c r="R56" s="486"/>
      <c r="S56" s="486"/>
      <c r="T56" s="102">
        <f t="shared" si="5"/>
        <v>0</v>
      </c>
      <c r="U56" s="78">
        <f>IF(NOT(ISNUMBER(G56)), "", VLOOKUP(A56,'Discount Lookup'!D:E,2,FALSE)*G56)</f>
        <v>0</v>
      </c>
      <c r="V56" s="78">
        <f>IF(NOT(ISNUMBER(G56)), "", VLOOKUP(A56,'Discount Lookup'!G:H,2,FALSE)*G56)</f>
        <v>0</v>
      </c>
      <c r="W56" s="102">
        <f t="shared" si="6"/>
        <v>0</v>
      </c>
      <c r="X56" s="102">
        <f t="shared" si="7"/>
        <v>0</v>
      </c>
      <c r="Y56" s="120" t="b">
        <f t="shared" si="8"/>
        <v>0</v>
      </c>
      <c r="Z56" s="117">
        <f t="shared" si="9"/>
        <v>0</v>
      </c>
      <c r="AA56" s="118"/>
      <c r="AB56" s="118" t="str">
        <f t="shared" si="10"/>
        <v/>
      </c>
      <c r="AC56" s="712" t="str">
        <f>IF(AE56="T2G","no charge",IF(AND(OR(PlanterYesMe="No",PlanterYesMe="N",PlanterYesMe="me"),H56=""),"",IF(H56="credit","NO install",IF(AND(K56="",AE56="me"),"EACH row",IF(AND(K56="images",AE56="me"),"EACH row",IF(D56="","",IF(H56="credit","",IF(AE56="free","re-planting",IF(AE56="me","   not ELP, by",IF(AND(OR(PlanterYesMe="Yes",PlanterYesMe="Y"),G56&gt;0),(VLOOKUP(A56,'Discount Lookup'!J:K,2)*G56*(1-PlanterDiscount)*(1+PlanterDifficultyPercentage)),IF(AE56="ELP",(VLOOKUP(A56,'Discount Lookup'!J:K,2)*G56*(1-PlanterDiscount)*(1+PlanterDifficultyPercentage)),IF(AE56="free","re-planting",IF(G56=0,"",IF(PlanterYesMe="",IF(AE56="me","   not ELP, by",IF(AE56="",IF(G56&gt;0,(VLOOKUP(A56,'Discount Lookup'!J:K,2)*G56*(1-PlanterDiscount)*(1+PlanterDifficultyPercentage)),""),"")),"   not ELP, by"))))))))))))))</f>
        <v/>
      </c>
      <c r="AD56" s="712"/>
      <c r="AE56" s="513" t="str">
        <f t="shared" si="11"/>
        <v/>
      </c>
      <c r="AF56" s="713" t="str">
        <f t="shared" si="12"/>
        <v/>
      </c>
      <c r="AG56" s="713"/>
      <c r="AH56" s="713"/>
      <c r="AI56" s="112">
        <f>IF(H56="credit",0,IF(AE56="free",0,IF(AE56="me",0,IF(G56&gt;0,(VLOOKUP(A56,'Discount Lookup'!J:K,2)*G56),0))))</f>
        <v>0</v>
      </c>
      <c r="AJ56" s="107" t="str">
        <f t="shared" ca="1" si="13"/>
        <v/>
      </c>
      <c r="AK56" s="714" t="str">
        <f t="shared" si="14"/>
        <v/>
      </c>
      <c r="AL56" s="714"/>
      <c r="AM56" s="114" t="str">
        <f t="shared" si="15"/>
        <v/>
      </c>
      <c r="AN56" s="115"/>
      <c r="AO56" s="116"/>
      <c r="AP56" s="116"/>
      <c r="AQ56" s="116"/>
      <c r="AR56" s="116"/>
      <c r="AS56" s="116"/>
      <c r="AT56" s="116"/>
      <c r="AU56" s="116"/>
      <c r="AV56" s="78"/>
      <c r="AW56" s="102"/>
      <c r="AX56" s="78"/>
      <c r="AY56" s="78"/>
      <c r="AZ56" s="78"/>
      <c r="BA56" s="78"/>
      <c r="BB56" s="78"/>
      <c r="BC56" s="78"/>
      <c r="BD56" s="78"/>
      <c r="BE56" s="465"/>
      <c r="BF56" s="165" t="str">
        <f t="shared" si="16"/>
        <v>https://www.google.com/search?tbm=isch&amp;q=3%20G1</v>
      </c>
      <c r="BG56" s="165" t="str">
        <f t="shared" si="17"/>
        <v>A</v>
      </c>
      <c r="BH56" s="65"/>
      <c r="BI56" s="65"/>
      <c r="BJ56" s="65"/>
      <c r="BK56" s="65"/>
      <c r="BL56" s="99"/>
      <c r="BM56" s="99"/>
      <c r="BN56" s="99"/>
    </row>
    <row r="57" spans="1:66" s="51" customFormat="1" ht="15.75" x14ac:dyDescent="0.25">
      <c r="A57" s="478">
        <v>3</v>
      </c>
      <c r="B57" s="479" t="s">
        <v>291</v>
      </c>
      <c r="C57" s="480" t="s">
        <v>1119</v>
      </c>
      <c r="D57" s="481" t="s">
        <v>329</v>
      </c>
      <c r="E57" s="482">
        <v>28.95</v>
      </c>
      <c r="F57" s="483" t="s">
        <v>292</v>
      </c>
      <c r="G57" s="484">
        <v>0</v>
      </c>
      <c r="H57" s="688" t="str">
        <f>IF(G57=0,"",IF(F57="Buy",IF(G57=1,"plant","plants"),IF(F57&gt;0.01,"warranty","Error")))</f>
        <v/>
      </c>
      <c r="I57" s="485">
        <f>IF(H57="free",0,IF(H57="credit",((E57*(F57))*G57*-1),IF(F57="Buy",(E57*G57),((E57*(1-F57))*G57))))</f>
        <v>0</v>
      </c>
      <c r="J57" s="485">
        <f>IF(H57="warranty",0,(I57*(_xlfn.SINGLE(SalesTaxPercentage))))</f>
        <v>0</v>
      </c>
      <c r="K57" s="715">
        <f t="shared" ref="K57" si="38">I57+J57</f>
        <v>0</v>
      </c>
      <c r="L57" s="715"/>
      <c r="M57" s="689" t="str">
        <f ca="1">IF(AND(G57&gt;0,E57=0),"WARNING - no PRICE inserted",IF(H57="free","FREE ~ no charge this plant",IF(H57="credit",CONCATENATE("-$",ROUND(K57*(1-_xlfn.SINGLE(T2GDiscount))*-1,2)," CREDIT after discount"),IF(_xlfn.SINGLE(T2GDiscount)=0,"",IF(G57=0,"",IF(F57="Buy",CONCATENATE("$",ROUND(K57*(1-_xlfn.SINGLE(T2GDiscount)),2)," with ",(_xlfn.SINGLE(T2GDiscount)*100),"% discount"),CONCATENATE("$",ROUND(K57*(1-_xlfn.SINGLE(T2GDiscount)),2)," with ",((_xlfn.SINGLE(T2GDiscount)*100+F57*100)-(_xlfn.SINGLE(T2GDiscount)*100*F57)),IF(F57&gt;0,"% discounts",IF(_xlfn.SINGLE(NoWarrantyDiscount)&gt;0,"% discounts","% discount")))))))))</f>
        <v/>
      </c>
      <c r="N57" s="690"/>
      <c r="O57" s="486"/>
      <c r="P57" s="486"/>
      <c r="Q57" s="486"/>
      <c r="R57" s="486"/>
      <c r="S57" s="486"/>
      <c r="T57" s="102">
        <f t="shared" si="5"/>
        <v>0</v>
      </c>
      <c r="U57" s="78">
        <f>IF(NOT(ISNUMBER(G57)), "", VLOOKUP(A57,'Discount Lookup'!D:E,2,FALSE)*G57)</f>
        <v>0</v>
      </c>
      <c r="V57" s="78">
        <f>IF(NOT(ISNUMBER(G57)), "", VLOOKUP(A57,'Discount Lookup'!G:H,2,FALSE)*G57)</f>
        <v>0</v>
      </c>
      <c r="W57" s="102">
        <f t="shared" si="6"/>
        <v>0</v>
      </c>
      <c r="X57" s="102">
        <f t="shared" si="7"/>
        <v>0</v>
      </c>
      <c r="Y57" s="120" t="b">
        <f t="shared" si="8"/>
        <v>0</v>
      </c>
      <c r="Z57" s="117">
        <f t="shared" si="9"/>
        <v>0</v>
      </c>
      <c r="AA57" s="118"/>
      <c r="AB57" s="118" t="str">
        <f t="shared" si="10"/>
        <v/>
      </c>
      <c r="AC57" s="712" t="str">
        <f>IF(AE57="T2G","no charge",IF(AND(OR(PlanterYesMe="No",PlanterYesMe="N",PlanterYesMe="me"),H57=""),"",IF(H57="credit","NO install",IF(AND(K57="",AE57="me"),"EACH row",IF(AND(K57="images",AE57="me"),"EACH row",IF(D57="","",IF(H57="credit","",IF(AE57="free","re-planting",IF(AE57="me","   not ELP, by",IF(AND(OR(PlanterYesMe="Yes",PlanterYesMe="Y"),G57&gt;0),(VLOOKUP(A57,'Discount Lookup'!J:K,2)*G57*(1-PlanterDiscount)*(1+PlanterDifficultyPercentage)),IF(AE57="ELP",(VLOOKUP(A57,'Discount Lookup'!J:K,2)*G57*(1-PlanterDiscount)*(1+PlanterDifficultyPercentage)),IF(AE57="free","re-planting",IF(G57=0,"",IF(PlanterYesMe="",IF(AE57="me","   not ELP, by",IF(AE57="",IF(G57&gt;0,(VLOOKUP(A57,'Discount Lookup'!J:K,2)*G57*(1-PlanterDiscount)*(1+PlanterDifficultyPercentage)),""),"")),"   not ELP, by"))))))))))))))</f>
        <v/>
      </c>
      <c r="AD57" s="712"/>
      <c r="AE57" s="513" t="str">
        <f t="shared" si="11"/>
        <v/>
      </c>
      <c r="AF57" s="713" t="str">
        <f t="shared" si="12"/>
        <v/>
      </c>
      <c r="AG57" s="713"/>
      <c r="AH57" s="713"/>
      <c r="AI57" s="112">
        <f>IF(H57="credit",0,IF(AE57="free",0,IF(AE57="me",0,IF(G57&gt;0,(VLOOKUP(A57,'Discount Lookup'!J:K,2)*G57),0))))</f>
        <v>0</v>
      </c>
      <c r="AJ57" s="107" t="str">
        <f t="shared" ca="1" si="13"/>
        <v/>
      </c>
      <c r="AK57" s="714" t="str">
        <f t="shared" si="14"/>
        <v/>
      </c>
      <c r="AL57" s="714"/>
      <c r="AM57" s="114" t="str">
        <f t="shared" si="15"/>
        <v/>
      </c>
      <c r="AN57" s="115"/>
      <c r="AO57" s="116"/>
      <c r="AP57" s="116"/>
      <c r="AQ57" s="116"/>
      <c r="AR57" s="116"/>
      <c r="AS57" s="116"/>
      <c r="AT57" s="116"/>
      <c r="AU57" s="116"/>
      <c r="AV57" s="78"/>
      <c r="AW57" s="102"/>
      <c r="AX57" s="78"/>
      <c r="AY57" s="78"/>
      <c r="AZ57" s="78"/>
      <c r="BA57" s="78"/>
      <c r="BB57" s="78"/>
      <c r="BC57" s="78"/>
      <c r="BD57" s="78"/>
      <c r="BE57" s="465"/>
      <c r="BF57" s="165" t="str">
        <f t="shared" si="16"/>
        <v>https://www.google.com/search?tbm=isch&amp;q=3%20G2</v>
      </c>
      <c r="BG57" s="165" t="str">
        <f t="shared" si="17"/>
        <v>A</v>
      </c>
      <c r="BH57" s="65"/>
      <c r="BI57" s="65"/>
      <c r="BJ57" s="65"/>
      <c r="BK57" s="65"/>
      <c r="BL57" s="99"/>
      <c r="BM57" s="99"/>
      <c r="BN57" s="99"/>
    </row>
    <row r="58" spans="1:66" s="51" customFormat="1" ht="15.75" x14ac:dyDescent="0.25">
      <c r="A58" s="478">
        <v>3</v>
      </c>
      <c r="B58" s="479" t="s">
        <v>291</v>
      </c>
      <c r="C58" s="480" t="s">
        <v>4557</v>
      </c>
      <c r="D58" s="481" t="s">
        <v>293</v>
      </c>
      <c r="E58" s="482">
        <v>28.95</v>
      </c>
      <c r="F58" s="483" t="s">
        <v>292</v>
      </c>
      <c r="G58" s="484">
        <v>0</v>
      </c>
      <c r="H58" s="688" t="str">
        <f>IF(G58=0,"",IF(F58="Buy",IF(G58=1,"plant","plants"),IF(F58&gt;0.01,"warranty","Error")))</f>
        <v/>
      </c>
      <c r="I58" s="485">
        <f>IF(H58="free",0,IF(H58="credit",((E58*(F58))*G58*-1),IF(F58="Buy",(E58*G58),((E58*(1-F58))*G58))))</f>
        <v>0</v>
      </c>
      <c r="J58" s="485">
        <f>IF(H58="warranty",0,(I58*(_xlfn.SINGLE(SalesTaxPercentage))))</f>
        <v>0</v>
      </c>
      <c r="K58" s="715">
        <f t="shared" ref="K58" si="39">I58+J58</f>
        <v>0</v>
      </c>
      <c r="L58" s="715"/>
      <c r="M58" s="689" t="str">
        <f ca="1">IF(AND(G58&gt;0,E58=0),"WARNING - no PRICE inserted",IF(H58="free","FREE ~ no charge this plant",IF(H58="credit",CONCATENATE("-$",ROUND(K58*(1-_xlfn.SINGLE(T2GDiscount))*-1,2)," CREDIT after discount"),IF(_xlfn.SINGLE(T2GDiscount)=0,"",IF(G58=0,"",IF(F58="Buy",CONCATENATE("$",ROUND(K58*(1-_xlfn.SINGLE(T2GDiscount)),2)," with ",(_xlfn.SINGLE(T2GDiscount)*100),"% discount"),CONCATENATE("$",ROUND(K58*(1-_xlfn.SINGLE(T2GDiscount)),2)," with ",((_xlfn.SINGLE(T2GDiscount)*100+F58*100)-(_xlfn.SINGLE(T2GDiscount)*100*F58)),IF(F58&gt;0,"% discounts",IF(_xlfn.SINGLE(NoWarrantyDiscount)&gt;0,"% discounts","% discount")))))))))</f>
        <v/>
      </c>
      <c r="N58" s="690"/>
      <c r="O58" s="486"/>
      <c r="P58" s="486"/>
      <c r="Q58" s="486"/>
      <c r="R58" s="486"/>
      <c r="S58" s="486"/>
      <c r="T58" s="102">
        <f t="shared" si="5"/>
        <v>0</v>
      </c>
      <c r="U58" s="78">
        <f>IF(NOT(ISNUMBER(G58)), "", VLOOKUP(A58,'Discount Lookup'!D:E,2,FALSE)*G58)</f>
        <v>0</v>
      </c>
      <c r="V58" s="78">
        <f>IF(NOT(ISNUMBER(G58)), "", VLOOKUP(A58,'Discount Lookup'!G:H,2,FALSE)*G58)</f>
        <v>0</v>
      </c>
      <c r="W58" s="102">
        <f t="shared" si="6"/>
        <v>0</v>
      </c>
      <c r="X58" s="102">
        <f t="shared" si="7"/>
        <v>0</v>
      </c>
      <c r="Y58" s="120" t="b">
        <f t="shared" si="8"/>
        <v>0</v>
      </c>
      <c r="Z58" s="117">
        <f t="shared" si="9"/>
        <v>0</v>
      </c>
      <c r="AA58" s="118"/>
      <c r="AB58" s="118" t="str">
        <f t="shared" si="10"/>
        <v/>
      </c>
      <c r="AC58" s="712" t="str">
        <f>IF(AE58="T2G","no charge",IF(AND(OR(PlanterYesMe="No",PlanterYesMe="N",PlanterYesMe="me"),H58=""),"",IF(H58="credit","NO install",IF(AND(K58="",AE58="me"),"EACH row",IF(AND(K58="images",AE58="me"),"EACH row",IF(D58="","",IF(H58="credit","",IF(AE58="free","re-planting",IF(AE58="me","   not ELP, by",IF(AND(OR(PlanterYesMe="Yes",PlanterYesMe="Y"),G58&gt;0),(VLOOKUP(A58,'Discount Lookup'!J:K,2)*G58*(1-PlanterDiscount)*(1+PlanterDifficultyPercentage)),IF(AE58="ELP",(VLOOKUP(A58,'Discount Lookup'!J:K,2)*G58*(1-PlanterDiscount)*(1+PlanterDifficultyPercentage)),IF(AE58="free","re-planting",IF(G58=0,"",IF(PlanterYesMe="",IF(AE58="me","   not ELP, by",IF(AE58="",IF(G58&gt;0,(VLOOKUP(A58,'Discount Lookup'!J:K,2)*G58*(1-PlanterDiscount)*(1+PlanterDifficultyPercentage)),""),"")),"   not ELP, by"))))))))))))))</f>
        <v/>
      </c>
      <c r="AD58" s="712"/>
      <c r="AE58" s="513" t="str">
        <f t="shared" si="11"/>
        <v/>
      </c>
      <c r="AF58" s="713" t="str">
        <f t="shared" si="12"/>
        <v/>
      </c>
      <c r="AG58" s="713"/>
      <c r="AH58" s="713"/>
      <c r="AI58" s="112">
        <f>IF(H58="credit",0,IF(AE58="free",0,IF(AE58="me",0,IF(G58&gt;0,(VLOOKUP(A58,'Discount Lookup'!J:K,2)*G58),0))))</f>
        <v>0</v>
      </c>
      <c r="AJ58" s="107" t="str">
        <f t="shared" ca="1" si="13"/>
        <v/>
      </c>
      <c r="AK58" s="714" t="str">
        <f t="shared" si="14"/>
        <v/>
      </c>
      <c r="AL58" s="714"/>
      <c r="AM58" s="114" t="str">
        <f t="shared" si="15"/>
        <v/>
      </c>
      <c r="AN58" s="115"/>
      <c r="AO58" s="116"/>
      <c r="AP58" s="116"/>
      <c r="AQ58" s="116"/>
      <c r="AR58" s="116"/>
      <c r="AS58" s="116"/>
      <c r="AT58" s="116"/>
      <c r="AU58" s="116"/>
      <c r="AV58" s="78"/>
      <c r="AW58" s="102"/>
      <c r="AX58" s="78"/>
      <c r="AY58" s="78"/>
      <c r="AZ58" s="78"/>
      <c r="BA58" s="78"/>
      <c r="BB58" s="78"/>
      <c r="BC58" s="78"/>
      <c r="BD58" s="78"/>
      <c r="BE58" s="465"/>
      <c r="BF58" s="165" t="str">
        <f t="shared" si="16"/>
        <v>https://www.google.com/search?tbm=isch&amp;q=3%20G6</v>
      </c>
      <c r="BG58" s="165" t="str">
        <f t="shared" si="17"/>
        <v>A</v>
      </c>
      <c r="BH58" s="65"/>
      <c r="BI58" s="65"/>
      <c r="BJ58" s="65"/>
      <c r="BK58" s="65"/>
      <c r="BL58" s="99"/>
      <c r="BM58" s="99"/>
      <c r="BN58" s="99"/>
    </row>
    <row r="59" spans="1:66" s="51" customFormat="1" ht="17.25" thickBot="1" x14ac:dyDescent="0.3">
      <c r="A59" s="508" t="s">
        <v>1121</v>
      </c>
      <c r="B59" s="487"/>
      <c r="C59" s="707"/>
      <c r="D59" s="487"/>
      <c r="E59" s="487"/>
      <c r="F59" s="488"/>
      <c r="G59" s="489"/>
      <c r="H59" s="487"/>
      <c r="I59" s="490"/>
      <c r="J59" s="490"/>
      <c r="K59" s="491"/>
      <c r="L59" s="547"/>
      <c r="M59" s="528"/>
      <c r="N59" s="492"/>
      <c r="O59" s="493"/>
      <c r="P59" s="494"/>
      <c r="Q59" s="492"/>
      <c r="R59" s="492"/>
      <c r="S59" s="699" t="s">
        <v>5248</v>
      </c>
      <c r="T59" s="102">
        <f t="shared" si="5"/>
        <v>0</v>
      </c>
      <c r="U59" s="78" t="str">
        <f>IF(NOT(ISNUMBER(G59)), "", VLOOKUP(A59,'Discount Lookup'!D:E,2,FALSE)*G59)</f>
        <v/>
      </c>
      <c r="V59" s="78" t="str">
        <f>IF(NOT(ISNUMBER(G59)), "", VLOOKUP(A59,'Discount Lookup'!G:H,2,FALSE)*G59)</f>
        <v/>
      </c>
      <c r="W59" s="102">
        <f t="shared" si="6"/>
        <v>0</v>
      </c>
      <c r="X59" s="102">
        <f t="shared" si="7"/>
        <v>0</v>
      </c>
      <c r="Y59" s="120" t="b">
        <f t="shared" si="8"/>
        <v>0</v>
      </c>
      <c r="Z59" s="117">
        <f t="shared" si="9"/>
        <v>0</v>
      </c>
      <c r="AA59" s="118"/>
      <c r="AB59" s="118" t="str">
        <f t="shared" si="10"/>
        <v/>
      </c>
      <c r="AC59" s="712" t="str">
        <f>IF(AE59="T2G","no charge",IF(AND(OR(PlanterYesMe="No",PlanterYesMe="N",PlanterYesMe="me"),H59=""),"",IF(H59="credit","NO install",IF(AND(K59="",AE59="me"),"EACH row",IF(AND(K59="images",AE59="me"),"EACH row",IF(D59="","",IF(H59="credit","",IF(AE59="free","re-planting",IF(AE59="me","   not ELP, by",IF(AND(OR(PlanterYesMe="Yes",PlanterYesMe="Y"),G59&gt;0),(VLOOKUP(A59,'Discount Lookup'!J:K,2)*G59*(1-PlanterDiscount)*(1+PlanterDifficultyPercentage)),IF(AE59="ELP",(VLOOKUP(A59,'Discount Lookup'!J:K,2)*G59*(1-PlanterDiscount)*(1+PlanterDifficultyPercentage)),IF(AE59="free","re-planting",IF(G59=0,"",IF(PlanterYesMe="",IF(AE59="me","   not ELP, by",IF(AE59="",IF(G59&gt;0,(VLOOKUP(A59,'Discount Lookup'!J:K,2)*G59*(1-PlanterDiscount)*(1+PlanterDifficultyPercentage)),""),"")),"   not ELP, by"))))))))))))))</f>
        <v/>
      </c>
      <c r="AD59" s="712"/>
      <c r="AE59" s="513" t="str">
        <f t="shared" si="11"/>
        <v/>
      </c>
      <c r="AF59" s="713" t="str">
        <f t="shared" si="12"/>
        <v/>
      </c>
      <c r="AG59" s="713"/>
      <c r="AH59" s="713"/>
      <c r="AI59" s="112">
        <f>IF(H59="credit",0,IF(AE59="free",0,IF(AE59="me",0,IF(G59&gt;0,(VLOOKUP(A59,'Discount Lookup'!J:K,2)*G59),0))))</f>
        <v>0</v>
      </c>
      <c r="AJ59" s="107" t="str">
        <f t="shared" ca="1" si="13"/>
        <v/>
      </c>
      <c r="AK59" s="714" t="str">
        <f t="shared" si="14"/>
        <v/>
      </c>
      <c r="AL59" s="714"/>
      <c r="AM59" s="114" t="str">
        <f t="shared" si="15"/>
        <v/>
      </c>
      <c r="AN59" s="115"/>
      <c r="AO59" s="116"/>
      <c r="AP59" s="116"/>
      <c r="AQ59" s="116"/>
      <c r="AR59" s="116"/>
      <c r="AS59" s="116"/>
      <c r="AT59" s="116"/>
      <c r="AU59" s="116"/>
      <c r="AV59" s="78"/>
      <c r="AW59" s="102"/>
      <c r="AX59" s="78"/>
      <c r="AY59" s="78"/>
      <c r="AZ59" s="78"/>
      <c r="BA59" s="78"/>
      <c r="BB59" s="78"/>
      <c r="BC59" s="78"/>
      <c r="BD59" s="78"/>
      <c r="BE59" s="465"/>
      <c r="BF59" s="165" t="str">
        <f t="shared" si="16"/>
        <v>https://www.google.com/search?tbm=isch&amp;q=Rose%20Creek%20has%20glossy%20foliage%20that%20shifts%20from%20Pink%20to%20Purple-Green%2C%20then%20Bronzy%20in%20the%20winter.%20Mild%20fragrance%20</v>
      </c>
      <c r="BG59" s="165" t="str">
        <f t="shared" si="17"/>
        <v>R</v>
      </c>
      <c r="BH59" s="65"/>
      <c r="BI59" s="65"/>
      <c r="BJ59" s="65"/>
      <c r="BK59" s="65"/>
      <c r="BL59" s="99"/>
      <c r="BM59" s="99"/>
      <c r="BN59" s="99"/>
    </row>
    <row r="60" spans="1:66" s="51" customFormat="1" ht="18" x14ac:dyDescent="0.25">
      <c r="A60" s="507" t="s">
        <v>1122</v>
      </c>
      <c r="B60" s="470"/>
      <c r="C60" s="706"/>
      <c r="D60" s="471" t="s">
        <v>1123</v>
      </c>
      <c r="E60" s="472"/>
      <c r="F60" s="472"/>
      <c r="G60" s="472"/>
      <c r="H60" s="622" t="s">
        <v>1124</v>
      </c>
      <c r="I60" s="473" t="s">
        <v>1093</v>
      </c>
      <c r="J60" s="472"/>
      <c r="K60" s="472"/>
      <c r="L60" s="561"/>
      <c r="M60" s="698" t="s">
        <v>5246</v>
      </c>
      <c r="N60" s="692" t="str">
        <f>IF(AND(ISTEXT($A60), ISERROR($A60+0)), HYPERLINK($BF60, "Images"), "")</f>
        <v>Images</v>
      </c>
      <c r="O60" s="694" t="s">
        <v>5244</v>
      </c>
      <c r="P60" s="475"/>
      <c r="Q60" s="476"/>
      <c r="R60" s="476"/>
      <c r="S60" s="477"/>
      <c r="T60" s="102">
        <f t="shared" si="5"/>
        <v>0</v>
      </c>
      <c r="U60" s="78" t="str">
        <f>IF(NOT(ISNUMBER(G60)), "", VLOOKUP(A60,'Discount Lookup'!D:E,2,FALSE)*G60)</f>
        <v/>
      </c>
      <c r="V60" s="78" t="str">
        <f>IF(NOT(ISNUMBER(G60)), "", VLOOKUP(A60,'Discount Lookup'!G:H,2,FALSE)*G60)</f>
        <v/>
      </c>
      <c r="W60" s="102">
        <f t="shared" si="6"/>
        <v>0</v>
      </c>
      <c r="X60" s="102" t="str">
        <f t="shared" si="7"/>
        <v>Light Pink to White</v>
      </c>
      <c r="Y60" s="120" t="b">
        <f t="shared" si="8"/>
        <v>0</v>
      </c>
      <c r="Z60" s="117">
        <f t="shared" si="9"/>
        <v>0</v>
      </c>
      <c r="AA60" s="118"/>
      <c r="AB60" s="118" t="str">
        <f t="shared" si="10"/>
        <v/>
      </c>
      <c r="AC60" s="712" t="str">
        <f>IF(AE60="T2G","no charge",IF(AND(OR(PlanterYesMe="No",PlanterYesMe="N",PlanterYesMe="me"),H60=""),"",IF(H60="credit","NO install",IF(AND(K60="",AE60="me"),"EACH row",IF(AND(K60="images",AE60="me"),"EACH row",IF(D60="","",IF(H60="credit","",IF(AE60="free","re-planting",IF(AE60="me","   not ELP, by",IF(AND(OR(PlanterYesMe="Yes",PlanterYesMe="Y"),G60&gt;0),(VLOOKUP(A60,'Discount Lookup'!J:K,2)*G60*(1-PlanterDiscount)*(1+PlanterDifficultyPercentage)),IF(AE60="ELP",(VLOOKUP(A60,'Discount Lookup'!J:K,2)*G60*(1-PlanterDiscount)*(1+PlanterDifficultyPercentage)),IF(AE60="free","re-planting",IF(G60=0,"",IF(PlanterYesMe="",IF(AE60="me","   not ELP, by",IF(AE60="",IF(G60&gt;0,(VLOOKUP(A60,'Discount Lookup'!J:K,2)*G60*(1-PlanterDiscount)*(1+PlanterDifficultyPercentage)),""),"")),"   not ELP, by"))))))))))))))</f>
        <v/>
      </c>
      <c r="AD60" s="712"/>
      <c r="AE60" s="513" t="str">
        <f t="shared" si="11"/>
        <v/>
      </c>
      <c r="AF60" s="713" t="str">
        <f t="shared" si="12"/>
        <v/>
      </c>
      <c r="AG60" s="713"/>
      <c r="AH60" s="713"/>
      <c r="AI60" s="112">
        <f>IF(H60="credit",0,IF(AE60="free",0,IF(AE60="me",0,IF(G60&gt;0,(VLOOKUP(A60,'Discount Lookup'!J:K,2)*G60),0))))</f>
        <v>0</v>
      </c>
      <c r="AJ60" s="107" t="str">
        <f t="shared" ca="1" si="13"/>
        <v/>
      </c>
      <c r="AK60" s="714" t="str">
        <f t="shared" si="14"/>
        <v/>
      </c>
      <c r="AL60" s="714"/>
      <c r="AM60" s="114" t="str">
        <f t="shared" si="15"/>
        <v/>
      </c>
      <c r="AN60" s="115"/>
      <c r="AO60" s="116"/>
      <c r="AP60" s="116"/>
      <c r="AQ60" s="116"/>
      <c r="AR60" s="116"/>
      <c r="AS60" s="116"/>
      <c r="AT60" s="116"/>
      <c r="AU60" s="116"/>
      <c r="AV60" s="78"/>
      <c r="AW60" s="102"/>
      <c r="AX60" s="78"/>
      <c r="AY60" s="78"/>
      <c r="AZ60" s="78"/>
      <c r="BA60" s="78"/>
      <c r="BB60" s="78"/>
      <c r="BC60" s="78"/>
      <c r="BD60" s="78"/>
      <c r="BE60" s="465"/>
      <c r="BF60" s="165" t="str">
        <f t="shared" si="16"/>
        <v>https://www.google.com/search?tbm=isch&amp;q=Abelia%20x%20grandiflora%20%27SRPabeper%27%20PP%2330954%20Peach%20Perfection%20Abelia</v>
      </c>
      <c r="BG60" s="165" t="str">
        <f t="shared" si="17"/>
        <v>A</v>
      </c>
      <c r="BH60" s="65"/>
      <c r="BI60" s="65"/>
      <c r="BJ60" s="65"/>
      <c r="BK60" s="65"/>
      <c r="BL60" s="99"/>
      <c r="BM60" s="99"/>
      <c r="BN60" s="99"/>
    </row>
    <row r="61" spans="1:66" s="51" customFormat="1" ht="15.75" x14ac:dyDescent="0.25">
      <c r="A61" s="478">
        <v>3</v>
      </c>
      <c r="B61" s="479" t="s">
        <v>291</v>
      </c>
      <c r="C61" s="480" t="s">
        <v>1125</v>
      </c>
      <c r="D61" s="481" t="s">
        <v>309</v>
      </c>
      <c r="E61" s="482">
        <v>27.95</v>
      </c>
      <c r="F61" s="483" t="s">
        <v>292</v>
      </c>
      <c r="G61" s="484">
        <v>0</v>
      </c>
      <c r="H61" s="688" t="str">
        <f>IF(G61=0,"",IF(F61="Buy",IF(G61=1,"plant","plants"),IF(F61&gt;0.01,"warranty","Error")))</f>
        <v/>
      </c>
      <c r="I61" s="485">
        <f>IF(H61="free",0,IF(H61="credit",((E61*(F61))*G61*-1),IF(F61="Buy",(E61*G61),((E61*(1-F61))*G61))))</f>
        <v>0</v>
      </c>
      <c r="J61" s="485">
        <f>IF(H61="warranty",0,(I61*(_xlfn.SINGLE(SalesTaxPercentage))))</f>
        <v>0</v>
      </c>
      <c r="K61" s="715">
        <f t="shared" ref="K61" si="40">I61+J61</f>
        <v>0</v>
      </c>
      <c r="L61" s="715"/>
      <c r="M61" s="689" t="str">
        <f ca="1">IF(AND(G61&gt;0,E61=0),"WARNING - no PRICE inserted",IF(H61="free","FREE ~ no charge this plant",IF(H61="credit",CONCATENATE("-$",ROUND(K61*(1-_xlfn.SINGLE(T2GDiscount))*-1,2)," CREDIT after discount"),IF(_xlfn.SINGLE(T2GDiscount)=0,"",IF(G61=0,"",IF(F61="Buy",CONCATENATE("$",ROUND(K61*(1-_xlfn.SINGLE(T2GDiscount)),2)," with ",(_xlfn.SINGLE(T2GDiscount)*100),"% discount"),CONCATENATE("$",ROUND(K61*(1-_xlfn.SINGLE(T2GDiscount)),2)," with ",((_xlfn.SINGLE(T2GDiscount)*100+F61*100)-(_xlfn.SINGLE(T2GDiscount)*100*F61)),IF(F61&gt;0,"% discounts",IF(_xlfn.SINGLE(NoWarrantyDiscount)&gt;0,"% discounts","% discount")))))))))</f>
        <v/>
      </c>
      <c r="N61" s="690"/>
      <c r="O61" s="486"/>
      <c r="P61" s="486"/>
      <c r="Q61" s="486"/>
      <c r="R61" s="486"/>
      <c r="S61" s="486"/>
      <c r="T61" s="102">
        <f t="shared" si="5"/>
        <v>0</v>
      </c>
      <c r="U61" s="78">
        <f>IF(NOT(ISNUMBER(G61)), "", VLOOKUP(A61,'Discount Lookup'!D:E,2,FALSE)*G61)</f>
        <v>0</v>
      </c>
      <c r="V61" s="78">
        <f>IF(NOT(ISNUMBER(G61)), "", VLOOKUP(A61,'Discount Lookup'!G:H,2,FALSE)*G61)</f>
        <v>0</v>
      </c>
      <c r="W61" s="102">
        <f t="shared" si="6"/>
        <v>0</v>
      </c>
      <c r="X61" s="102">
        <f t="shared" si="7"/>
        <v>0</v>
      </c>
      <c r="Y61" s="120" t="b">
        <f t="shared" si="8"/>
        <v>0</v>
      </c>
      <c r="Z61" s="117">
        <f t="shared" si="9"/>
        <v>0</v>
      </c>
      <c r="AA61" s="118"/>
      <c r="AB61" s="118" t="str">
        <f t="shared" si="10"/>
        <v/>
      </c>
      <c r="AC61" s="712" t="str">
        <f>IF(AE61="T2G","no charge",IF(AND(OR(PlanterYesMe="No",PlanterYesMe="N",PlanterYesMe="me"),H61=""),"",IF(H61="credit","NO install",IF(AND(K61="",AE61="me"),"EACH row",IF(AND(K61="images",AE61="me"),"EACH row",IF(D61="","",IF(H61="credit","",IF(AE61="free","re-planting",IF(AE61="me","   not ELP, by",IF(AND(OR(PlanterYesMe="Yes",PlanterYesMe="Y"),G61&gt;0),(VLOOKUP(A61,'Discount Lookup'!J:K,2)*G61*(1-PlanterDiscount)*(1+PlanterDifficultyPercentage)),IF(AE61="ELP",(VLOOKUP(A61,'Discount Lookup'!J:K,2)*G61*(1-PlanterDiscount)*(1+PlanterDifficultyPercentage)),IF(AE61="free","re-planting",IF(G61=0,"",IF(PlanterYesMe="",IF(AE61="me","   not ELP, by",IF(AE61="",IF(G61&gt;0,(VLOOKUP(A61,'Discount Lookup'!J:K,2)*G61*(1-PlanterDiscount)*(1+PlanterDifficultyPercentage)),""),"")),"   not ELP, by"))))))))))))))</f>
        <v/>
      </c>
      <c r="AD61" s="712"/>
      <c r="AE61" s="513" t="str">
        <f t="shared" si="11"/>
        <v/>
      </c>
      <c r="AF61" s="713" t="str">
        <f t="shared" si="12"/>
        <v/>
      </c>
      <c r="AG61" s="713"/>
      <c r="AH61" s="713"/>
      <c r="AI61" s="112">
        <f>IF(H61="credit",0,IF(AE61="free",0,IF(AE61="me",0,IF(G61&gt;0,(VLOOKUP(A61,'Discount Lookup'!J:K,2)*G61),0))))</f>
        <v>0</v>
      </c>
      <c r="AJ61" s="107" t="str">
        <f t="shared" ca="1" si="13"/>
        <v/>
      </c>
      <c r="AK61" s="714" t="str">
        <f t="shared" si="14"/>
        <v/>
      </c>
      <c r="AL61" s="714"/>
      <c r="AM61" s="114" t="str">
        <f t="shared" si="15"/>
        <v/>
      </c>
      <c r="AN61" s="115"/>
      <c r="AO61" s="116"/>
      <c r="AP61" s="116"/>
      <c r="AQ61" s="116"/>
      <c r="AR61" s="116"/>
      <c r="AS61" s="116"/>
      <c r="AT61" s="116"/>
      <c r="AU61" s="116"/>
      <c r="AV61" s="78"/>
      <c r="AW61" s="102"/>
      <c r="AX61" s="78"/>
      <c r="AY61" s="78"/>
      <c r="AZ61" s="78"/>
      <c r="BA61" s="78"/>
      <c r="BB61" s="78"/>
      <c r="BC61" s="78"/>
      <c r="BD61" s="78"/>
      <c r="BE61" s="465"/>
      <c r="BF61" s="165" t="str">
        <f t="shared" si="16"/>
        <v>https://www.google.com/search?tbm=isch&amp;q=3%20G3</v>
      </c>
      <c r="BG61" s="165" t="str">
        <f t="shared" si="17"/>
        <v>A</v>
      </c>
      <c r="BH61" s="65"/>
      <c r="BI61" s="65"/>
      <c r="BJ61" s="65"/>
      <c r="BK61" s="65"/>
      <c r="BL61" s="99"/>
      <c r="BM61" s="99"/>
      <c r="BN61" s="99"/>
    </row>
    <row r="62" spans="1:66" s="51" customFormat="1" ht="16.5" x14ac:dyDescent="0.25">
      <c r="A62" s="508" t="s">
        <v>4666</v>
      </c>
      <c r="B62" s="487"/>
      <c r="C62" s="707"/>
      <c r="D62" s="487"/>
      <c r="E62" s="487"/>
      <c r="F62" s="488"/>
      <c r="G62" s="489"/>
      <c r="H62" s="487"/>
      <c r="I62" s="490"/>
      <c r="J62" s="490"/>
      <c r="K62" s="491"/>
      <c r="L62" s="547"/>
      <c r="M62" s="528"/>
      <c r="N62" s="492"/>
      <c r="O62" s="493"/>
      <c r="P62" s="494"/>
      <c r="Q62" s="492"/>
      <c r="R62" s="492"/>
      <c r="S62" s="699" t="s">
        <v>5248</v>
      </c>
      <c r="T62" s="102">
        <f t="shared" si="5"/>
        <v>0</v>
      </c>
      <c r="U62" s="78" t="str">
        <f>IF(NOT(ISNUMBER(G62)), "", VLOOKUP(A62,'Discount Lookup'!D:E,2,FALSE)*G62)</f>
        <v/>
      </c>
      <c r="V62" s="78" t="str">
        <f>IF(NOT(ISNUMBER(G62)), "", VLOOKUP(A62,'Discount Lookup'!G:H,2,FALSE)*G62)</f>
        <v/>
      </c>
      <c r="W62" s="102">
        <f t="shared" si="6"/>
        <v>0</v>
      </c>
      <c r="X62" s="102">
        <f t="shared" si="7"/>
        <v>0</v>
      </c>
      <c r="Y62" s="120" t="b">
        <f t="shared" si="8"/>
        <v>0</v>
      </c>
      <c r="Z62" s="117">
        <f t="shared" si="9"/>
        <v>0</v>
      </c>
      <c r="AA62" s="118"/>
      <c r="AB62" s="118" t="str">
        <f t="shared" si="10"/>
        <v/>
      </c>
      <c r="AC62" s="712" t="str">
        <f>IF(AE62="T2G","no charge",IF(AND(OR(PlanterYesMe="No",PlanterYesMe="N",PlanterYesMe="me"),H62=""),"",IF(H62="credit","NO install",IF(AND(K62="",AE62="me"),"EACH row",IF(AND(K62="images",AE62="me"),"EACH row",IF(D62="","",IF(H62="credit","",IF(AE62="free","re-planting",IF(AE62="me","   not ELP, by",IF(AND(OR(PlanterYesMe="Yes",PlanterYesMe="Y"),G62&gt;0),(VLOOKUP(A62,'Discount Lookup'!J:K,2)*G62*(1-PlanterDiscount)*(1+PlanterDifficultyPercentage)),IF(AE62="ELP",(VLOOKUP(A62,'Discount Lookup'!J:K,2)*G62*(1-PlanterDiscount)*(1+PlanterDifficultyPercentage)),IF(AE62="free","re-planting",IF(G62=0,"",IF(PlanterYesMe="",IF(AE62="me","   not ELP, by",IF(AE62="",IF(G62&gt;0,(VLOOKUP(A62,'Discount Lookup'!J:K,2)*G62*(1-PlanterDiscount)*(1+PlanterDifficultyPercentage)),""),"")),"   not ELP, by"))))))))))))))</f>
        <v/>
      </c>
      <c r="AD62" s="712"/>
      <c r="AE62" s="513" t="str">
        <f t="shared" si="11"/>
        <v/>
      </c>
      <c r="AF62" s="713" t="str">
        <f t="shared" si="12"/>
        <v/>
      </c>
      <c r="AG62" s="713"/>
      <c r="AH62" s="713"/>
      <c r="AI62" s="112">
        <f>IF(H62="credit",0,IF(AE62="free",0,IF(AE62="me",0,IF(G62&gt;0,(VLOOKUP(A62,'Discount Lookup'!J:K,2)*G62),0))))</f>
        <v>0</v>
      </c>
      <c r="AJ62" s="107" t="str">
        <f t="shared" ca="1" si="13"/>
        <v/>
      </c>
      <c r="AK62" s="714" t="str">
        <f t="shared" si="14"/>
        <v/>
      </c>
      <c r="AL62" s="714"/>
      <c r="AM62" s="114" t="str">
        <f t="shared" si="15"/>
        <v/>
      </c>
      <c r="AN62" s="115"/>
      <c r="AO62" s="116"/>
      <c r="AP62" s="116"/>
      <c r="AQ62" s="116"/>
      <c r="AR62" s="116"/>
      <c r="AS62" s="116"/>
      <c r="AT62" s="116"/>
      <c r="AU62" s="116"/>
      <c r="AV62" s="78"/>
      <c r="AW62" s="102"/>
      <c r="AX62" s="78"/>
      <c r="AY62" s="78"/>
      <c r="AZ62" s="78"/>
      <c r="BA62" s="78"/>
      <c r="BB62" s="78"/>
      <c r="BC62" s="78"/>
      <c r="BD62" s="78"/>
      <c r="BE62" s="465"/>
      <c r="BF62" s="165" t="str">
        <f t="shared" si="16"/>
        <v>https://www.google.com/search?tbm=isch&amp;q=Peach%20Perfection%20has%20fiery%20new%20foliage%2C%20then%20shades%20of%20Peach%2C%20Orange%2C%20and%20Green%2C%20then%20Bronze-Purple%20fall%20tones.%20Fragrant%20</v>
      </c>
      <c r="BG62" s="165" t="str">
        <f t="shared" si="17"/>
        <v>P</v>
      </c>
      <c r="BH62" s="65"/>
      <c r="BI62" s="65"/>
      <c r="BJ62" s="65"/>
      <c r="BK62" s="65"/>
      <c r="BL62" s="99"/>
      <c r="BM62" s="99"/>
      <c r="BN62" s="99"/>
    </row>
    <row r="63" spans="1:66" s="51" customFormat="1" ht="19.5" thickBot="1" x14ac:dyDescent="0.3">
      <c r="A63" s="686" t="s">
        <v>359</v>
      </c>
      <c r="B63" s="73"/>
      <c r="C63" s="708"/>
      <c r="D63" s="73"/>
      <c r="E63" s="73"/>
      <c r="F63" s="496"/>
      <c r="G63" s="73"/>
      <c r="H63" s="73"/>
      <c r="I63" s="73"/>
      <c r="J63" s="497" t="s">
        <v>357</v>
      </c>
      <c r="K63" s="498"/>
      <c r="L63" s="562"/>
      <c r="M63" s="73"/>
      <c r="N63"/>
      <c r="O63"/>
      <c r="P63"/>
      <c r="Q63"/>
      <c r="R63"/>
      <c r="S63"/>
      <c r="T63" s="102">
        <f t="shared" si="5"/>
        <v>0</v>
      </c>
      <c r="U63" s="78" t="str">
        <f>IF(NOT(ISNUMBER(G63)), "", VLOOKUP(A63,'Discount Lookup'!D:E,2,FALSE)*G63)</f>
        <v/>
      </c>
      <c r="V63" s="78" t="str">
        <f>IF(NOT(ISNUMBER(G63)), "", VLOOKUP(A63,'Discount Lookup'!G:H,2,FALSE)*G63)</f>
        <v/>
      </c>
      <c r="W63" s="102">
        <f t="shared" si="6"/>
        <v>0</v>
      </c>
      <c r="X63" s="102">
        <f t="shared" si="7"/>
        <v>0</v>
      </c>
      <c r="Y63" s="120" t="b">
        <f t="shared" si="8"/>
        <v>0</v>
      </c>
      <c r="Z63" s="117">
        <f t="shared" si="9"/>
        <v>0</v>
      </c>
      <c r="AA63" s="118"/>
      <c r="AB63" s="118" t="str">
        <f t="shared" si="10"/>
        <v/>
      </c>
      <c r="AC63" s="712" t="str">
        <f>IF(AE63="T2G","no charge",IF(AND(OR(PlanterYesMe="No",PlanterYesMe="N",PlanterYesMe="me"),H63=""),"",IF(H63="credit","NO install",IF(AND(K63="",AE63="me"),"EACH row",IF(AND(K63="images",AE63="me"),"EACH row",IF(D63="","",IF(H63="credit","",IF(AE63="free","re-planting",IF(AE63="me","   not ELP, by",IF(AND(OR(PlanterYesMe="Yes",PlanterYesMe="Y"),G63&gt;0),(VLOOKUP(A63,'Discount Lookup'!J:K,2)*G63*(1-PlanterDiscount)*(1+PlanterDifficultyPercentage)),IF(AE63="ELP",(VLOOKUP(A63,'Discount Lookup'!J:K,2)*G63*(1-PlanterDiscount)*(1+PlanterDifficultyPercentage)),IF(AE63="free","re-planting",IF(G63=0,"",IF(PlanterYesMe="",IF(AE63="me","   not ELP, by",IF(AE63="",IF(G63&gt;0,(VLOOKUP(A63,'Discount Lookup'!J:K,2)*G63*(1-PlanterDiscount)*(1+PlanterDifficultyPercentage)),""),"")),"   not ELP, by"))))))))))))))</f>
        <v/>
      </c>
      <c r="AD63" s="712"/>
      <c r="AE63" s="513" t="str">
        <f t="shared" si="11"/>
        <v/>
      </c>
      <c r="AF63" s="713" t="str">
        <f t="shared" si="12"/>
        <v/>
      </c>
      <c r="AG63" s="713"/>
      <c r="AH63" s="713"/>
      <c r="AI63" s="112">
        <f>IF(H63="credit",0,IF(AE63="free",0,IF(AE63="me",0,IF(G63&gt;0,(VLOOKUP(A63,'Discount Lookup'!J:K,2)*G63),0))))</f>
        <v>0</v>
      </c>
      <c r="AJ63" s="107" t="str">
        <f t="shared" ca="1" si="13"/>
        <v/>
      </c>
      <c r="AK63" s="714" t="str">
        <f t="shared" si="14"/>
        <v/>
      </c>
      <c r="AL63" s="714"/>
      <c r="AM63" s="114" t="str">
        <f t="shared" si="15"/>
        <v/>
      </c>
      <c r="AN63" s="115"/>
      <c r="AO63" s="116"/>
      <c r="AP63" s="116"/>
      <c r="AQ63" s="116"/>
      <c r="AR63" s="116"/>
      <c r="AS63" s="116"/>
      <c r="AT63" s="116"/>
      <c r="AU63" s="116"/>
      <c r="AV63" s="78"/>
      <c r="AW63" s="102"/>
      <c r="AX63" s="78"/>
      <c r="AY63" s="78"/>
      <c r="AZ63" s="78"/>
      <c r="BA63" s="78"/>
      <c r="BB63" s="78"/>
      <c r="BC63" s="78"/>
      <c r="BD63" s="78"/>
      <c r="BE63" s="465"/>
      <c r="BF63" s="165" t="str">
        <f t="shared" si="16"/>
        <v>https://www.google.com/search?tbm=isch&amp;q=Acanthus%20%3D%20Bear%27s%20Breeches%20</v>
      </c>
      <c r="BG63" s="165" t="str">
        <f t="shared" si="17"/>
        <v>A</v>
      </c>
      <c r="BH63" s="65"/>
      <c r="BI63" s="65"/>
      <c r="BJ63" s="65"/>
      <c r="BK63" s="65"/>
      <c r="BL63" s="99"/>
      <c r="BM63" s="99"/>
      <c r="BN63" s="99"/>
    </row>
    <row r="64" spans="1:66" s="51" customFormat="1" ht="18" x14ac:dyDescent="0.25">
      <c r="A64" s="623" t="s">
        <v>1127</v>
      </c>
      <c r="B64" s="624"/>
      <c r="C64" s="709"/>
      <c r="D64" s="625" t="s">
        <v>1128</v>
      </c>
      <c r="E64" s="626"/>
      <c r="F64" s="626"/>
      <c r="G64" s="626"/>
      <c r="H64" s="622" t="s">
        <v>1071</v>
      </c>
      <c r="I64" s="627" t="s">
        <v>1129</v>
      </c>
      <c r="J64" s="628"/>
      <c r="K64" s="628"/>
      <c r="L64" s="629"/>
      <c r="M64" s="700" t="s">
        <v>5249</v>
      </c>
      <c r="N64" s="693" t="str">
        <f>IF(AND(ISTEXT($A64), ISERROR($A64+0)), HYPERLINK($BF64, "Images"), "")</f>
        <v>Images</v>
      </c>
      <c r="O64" s="695" t="s">
        <v>5244</v>
      </c>
      <c r="P64" s="630"/>
      <c r="Q64" s="631"/>
      <c r="R64" s="632"/>
      <c r="S64" s="633"/>
      <c r="T64" s="102">
        <f t="shared" si="5"/>
        <v>0</v>
      </c>
      <c r="U64" s="78" t="str">
        <f>IF(NOT(ISNUMBER(G64)), "", VLOOKUP(A64,'Discount Lookup'!D:E,2,FALSE)*G64)</f>
        <v/>
      </c>
      <c r="V64" s="78" t="str">
        <f>IF(NOT(ISNUMBER(G64)), "", VLOOKUP(A64,'Discount Lookup'!G:H,2,FALSE)*G64)</f>
        <v/>
      </c>
      <c r="W64" s="102">
        <f t="shared" si="6"/>
        <v>0</v>
      </c>
      <c r="X64" s="102" t="str">
        <f t="shared" si="7"/>
        <v>White, Purple bracts</v>
      </c>
      <c r="Y64" s="120" t="b">
        <f t="shared" si="8"/>
        <v>0</v>
      </c>
      <c r="Z64" s="117">
        <f t="shared" si="9"/>
        <v>0</v>
      </c>
      <c r="AA64" s="118"/>
      <c r="AB64" s="118" t="str">
        <f t="shared" si="10"/>
        <v/>
      </c>
      <c r="AC64" s="712" t="str">
        <f>IF(AE64="T2G","no charge",IF(AND(OR(PlanterYesMe="No",PlanterYesMe="N",PlanterYesMe="me"),H64=""),"",IF(H64="credit","NO install",IF(AND(K64="",AE64="me"),"EACH row",IF(AND(K64="images",AE64="me"),"EACH row",IF(D64="","",IF(H64="credit","",IF(AE64="free","re-planting",IF(AE64="me","   not ELP, by",IF(AND(OR(PlanterYesMe="Yes",PlanterYesMe="Y"),G64&gt;0),(VLOOKUP(A64,'Discount Lookup'!J:K,2)*G64*(1-PlanterDiscount)*(1+PlanterDifficultyPercentage)),IF(AE64="ELP",(VLOOKUP(A64,'Discount Lookup'!J:K,2)*G64*(1-PlanterDiscount)*(1+PlanterDifficultyPercentage)),IF(AE64="free","re-planting",IF(G64=0,"",IF(PlanterYesMe="",IF(AE64="me","   not ELP, by",IF(AE64="",IF(G64&gt;0,(VLOOKUP(A64,'Discount Lookup'!J:K,2)*G64*(1-PlanterDiscount)*(1+PlanterDifficultyPercentage)),""),"")),"   not ELP, by"))))))))))))))</f>
        <v/>
      </c>
      <c r="AD64" s="712"/>
      <c r="AE64" s="513" t="str">
        <f t="shared" si="11"/>
        <v/>
      </c>
      <c r="AF64" s="713" t="str">
        <f t="shared" si="12"/>
        <v/>
      </c>
      <c r="AG64" s="713"/>
      <c r="AH64" s="713"/>
      <c r="AI64" s="112">
        <f>IF(H64="credit",0,IF(AE64="free",0,IF(AE64="me",0,IF(G64&gt;0,(VLOOKUP(A64,'Discount Lookup'!J:K,2)*G64),0))))</f>
        <v>0</v>
      </c>
      <c r="AJ64" s="107" t="str">
        <f t="shared" ca="1" si="13"/>
        <v/>
      </c>
      <c r="AK64" s="714" t="str">
        <f t="shared" si="14"/>
        <v/>
      </c>
      <c r="AL64" s="714"/>
      <c r="AM64" s="114" t="str">
        <f t="shared" si="15"/>
        <v/>
      </c>
      <c r="AN64" s="115"/>
      <c r="AO64" s="116"/>
      <c r="AP64" s="116"/>
      <c r="AQ64" s="116"/>
      <c r="AR64" s="116"/>
      <c r="AS64" s="116"/>
      <c r="AT64" s="116"/>
      <c r="AU64" s="116"/>
      <c r="AV64" s="78"/>
      <c r="AW64" s="102"/>
      <c r="AX64" s="78"/>
      <c r="AY64" s="78"/>
      <c r="AZ64" s="78"/>
      <c r="BA64" s="78"/>
      <c r="BB64" s="78"/>
      <c r="BC64" s="78"/>
      <c r="BD64" s="78"/>
      <c r="BE64" s="465"/>
      <c r="BF64" s="165" t="str">
        <f t="shared" si="16"/>
        <v>https://www.google.com/search?tbm=isch&amp;q=Acanthus%20mollis%20Bear%27s%20Breeches%20Bear%27s%20Breeches</v>
      </c>
      <c r="BG64" s="165" t="str">
        <f t="shared" si="17"/>
        <v>A</v>
      </c>
      <c r="BH64" s="65"/>
      <c r="BI64" s="65"/>
      <c r="BJ64" s="65"/>
      <c r="BK64" s="65"/>
      <c r="BL64" s="99"/>
      <c r="BM64" s="99"/>
      <c r="BN64" s="99"/>
    </row>
    <row r="65" spans="1:66" s="51" customFormat="1" ht="15.75" x14ac:dyDescent="0.25">
      <c r="A65" s="634">
        <v>7</v>
      </c>
      <c r="B65" s="635" t="s">
        <v>291</v>
      </c>
      <c r="C65" s="636"/>
      <c r="D65" s="637" t="s">
        <v>293</v>
      </c>
      <c r="E65" s="638">
        <v>131.94999999999999</v>
      </c>
      <c r="F65" s="639" t="s">
        <v>292</v>
      </c>
      <c r="G65" s="484">
        <v>0</v>
      </c>
      <c r="H65" s="691" t="str">
        <f>IF(G65=0,"",IF(F65="Buy",IF(G65=1,"plant","plants"),IF(F65&gt;0.01,"warranty","Error")))</f>
        <v/>
      </c>
      <c r="I65" s="640">
        <f>IF(H65="free",0,IF(H65="credit",((E65*(F65))*G65*-1),IF(F65="Buy",(E65*G65),((E65*(1-F65))*G65))))</f>
        <v>0</v>
      </c>
      <c r="J65" s="640">
        <f>IF(H65="warranty",0,(I65*(_xlfn.SINGLE(SalesTaxPercentage))))</f>
        <v>0</v>
      </c>
      <c r="K65" s="716">
        <f t="shared" ref="K65" si="41">I65+J65</f>
        <v>0</v>
      </c>
      <c r="L65" s="716"/>
      <c r="M65" s="689" t="str">
        <f ca="1">IF(AND(G65&gt;0,E65=0),"WARNING - no PRICE inserted",IF(H65="free","FREE ~ no charge this plant",IF(H65="credit",CONCATENATE("-$",ROUND(K65*(1-_xlfn.SINGLE(T2GDiscount))*-1,2)," CREDIT after discount"),IF(_xlfn.SINGLE(T2GDiscount)=0,"",IF(G65=0,"",IF(F65="Buy",CONCATENATE("$",ROUND(K65*(1-_xlfn.SINGLE(T2GDiscount)),2)," with ",(_xlfn.SINGLE(T2GDiscount)*100),"% discount"),CONCATENATE("$",ROUND(K65*(1-_xlfn.SINGLE(T2GDiscount)),2)," with ",((_xlfn.SINGLE(T2GDiscount)*100+F65*100)-(_xlfn.SINGLE(T2GDiscount)*100*F65)),IF(F65&gt;0,"% discounts",IF(_xlfn.SINGLE(NoWarrantyDiscount)&gt;0,"% discounts","% discount")))))))))</f>
        <v/>
      </c>
      <c r="N65" s="690"/>
      <c r="O65" s="486"/>
      <c r="P65" s="486"/>
      <c r="Q65" s="486"/>
      <c r="R65" s="486"/>
      <c r="S65" s="486"/>
      <c r="T65" s="102">
        <f t="shared" si="5"/>
        <v>0</v>
      </c>
      <c r="U65" s="78">
        <f>IF(NOT(ISNUMBER(G65)), "", VLOOKUP(A65,'Discount Lookup'!D:E,2,FALSE)*G65)</f>
        <v>0</v>
      </c>
      <c r="V65" s="78">
        <f>IF(NOT(ISNUMBER(G65)), "", VLOOKUP(A65,'Discount Lookup'!G:H,2,FALSE)*G65)</f>
        <v>0</v>
      </c>
      <c r="W65" s="102">
        <f t="shared" si="6"/>
        <v>0</v>
      </c>
      <c r="X65" s="102">
        <f t="shared" si="7"/>
        <v>0</v>
      </c>
      <c r="Y65" s="120" t="b">
        <f t="shared" si="8"/>
        <v>0</v>
      </c>
      <c r="Z65" s="117">
        <f t="shared" si="9"/>
        <v>0</v>
      </c>
      <c r="AA65" s="118"/>
      <c r="AB65" s="118" t="str">
        <f t="shared" si="10"/>
        <v/>
      </c>
      <c r="AC65" s="712" t="str">
        <f>IF(AE65="T2G","no charge",IF(AND(OR(PlanterYesMe="No",PlanterYesMe="N",PlanterYesMe="me"),H65=""),"",IF(H65="credit","NO install",IF(AND(K65="",AE65="me"),"EACH row",IF(AND(K65="images",AE65="me"),"EACH row",IF(D65="","",IF(H65="credit","",IF(AE65="free","re-planting",IF(AE65="me","   not ELP, by",IF(AND(OR(PlanterYesMe="Yes",PlanterYesMe="Y"),G65&gt;0),(VLOOKUP(A65,'Discount Lookup'!J:K,2)*G65*(1-PlanterDiscount)*(1+PlanterDifficultyPercentage)),IF(AE65="ELP",(VLOOKUP(A65,'Discount Lookup'!J:K,2)*G65*(1-PlanterDiscount)*(1+PlanterDifficultyPercentage)),IF(AE65="free","re-planting",IF(G65=0,"",IF(PlanterYesMe="",IF(AE65="me","   not ELP, by",IF(AE65="",IF(G65&gt;0,(VLOOKUP(A65,'Discount Lookup'!J:K,2)*G65*(1-PlanterDiscount)*(1+PlanterDifficultyPercentage)),""),"")),"   not ELP, by"))))))))))))))</f>
        <v/>
      </c>
      <c r="AD65" s="712"/>
      <c r="AE65" s="513" t="str">
        <f t="shared" si="11"/>
        <v/>
      </c>
      <c r="AF65" s="713" t="str">
        <f t="shared" si="12"/>
        <v/>
      </c>
      <c r="AG65" s="713"/>
      <c r="AH65" s="713"/>
      <c r="AI65" s="112">
        <f>IF(H65="credit",0,IF(AE65="free",0,IF(AE65="me",0,IF(G65&gt;0,(VLOOKUP(A65,'Discount Lookup'!J:K,2)*G65),0))))</f>
        <v>0</v>
      </c>
      <c r="AJ65" s="107" t="str">
        <f t="shared" ca="1" si="13"/>
        <v/>
      </c>
      <c r="AK65" s="714" t="str">
        <f t="shared" si="14"/>
        <v/>
      </c>
      <c r="AL65" s="714"/>
      <c r="AM65" s="114" t="str">
        <f t="shared" si="15"/>
        <v/>
      </c>
      <c r="AN65" s="115"/>
      <c r="AO65" s="116"/>
      <c r="AP65" s="116"/>
      <c r="AQ65" s="116"/>
      <c r="AR65" s="116"/>
      <c r="AS65" s="116"/>
      <c r="AT65" s="116"/>
      <c r="AU65" s="116"/>
      <c r="AV65" s="78"/>
      <c r="AW65" s="102"/>
      <c r="AX65" s="78"/>
      <c r="AY65" s="78"/>
      <c r="AZ65" s="78"/>
      <c r="BA65" s="78"/>
      <c r="BB65" s="78"/>
      <c r="BC65" s="78"/>
      <c r="BD65" s="78"/>
      <c r="BE65" s="465"/>
      <c r="BF65" s="165" t="str">
        <f t="shared" si="16"/>
        <v>https://www.google.com/search?tbm=isch&amp;q=7%20G6</v>
      </c>
      <c r="BG65" s="165" t="str">
        <f t="shared" si="17"/>
        <v>A</v>
      </c>
      <c r="BH65" s="65"/>
      <c r="BI65" s="65"/>
      <c r="BJ65" s="65"/>
      <c r="BK65" s="65"/>
      <c r="BL65" s="99"/>
      <c r="BM65" s="99"/>
      <c r="BN65" s="99"/>
    </row>
    <row r="66" spans="1:66" s="51" customFormat="1" ht="16.5" x14ac:dyDescent="0.25">
      <c r="A66" s="704" t="s">
        <v>5313</v>
      </c>
      <c r="B66" s="642"/>
      <c r="C66" s="710"/>
      <c r="D66" s="643"/>
      <c r="E66" s="643"/>
      <c r="F66" s="644"/>
      <c r="G66" s="645"/>
      <c r="H66" s="646"/>
      <c r="I66" s="647"/>
      <c r="J66" s="648"/>
      <c r="K66" s="649"/>
      <c r="L66" s="650"/>
      <c r="M66" s="650"/>
      <c r="N66" s="644"/>
      <c r="O66" s="644"/>
      <c r="P66" s="644"/>
      <c r="Q66" s="644"/>
      <c r="R66" s="644"/>
      <c r="S66" s="701" t="s">
        <v>5250</v>
      </c>
      <c r="T66" s="102">
        <f t="shared" si="5"/>
        <v>0</v>
      </c>
      <c r="U66" s="78" t="str">
        <f>IF(NOT(ISNUMBER(G66)), "", VLOOKUP(A66,'Discount Lookup'!D:E,2,FALSE)*G66)</f>
        <v/>
      </c>
      <c r="V66" s="78" t="str">
        <f>IF(NOT(ISNUMBER(G66)), "", VLOOKUP(A66,'Discount Lookup'!G:H,2,FALSE)*G66)</f>
        <v/>
      </c>
      <c r="W66" s="102">
        <f t="shared" si="6"/>
        <v>0</v>
      </c>
      <c r="X66" s="102">
        <f t="shared" si="7"/>
        <v>0</v>
      </c>
      <c r="Y66" s="120" t="b">
        <f t="shared" si="8"/>
        <v>0</v>
      </c>
      <c r="Z66" s="117">
        <f t="shared" si="9"/>
        <v>0</v>
      </c>
      <c r="AA66" s="118"/>
      <c r="AB66" s="118" t="str">
        <f t="shared" si="10"/>
        <v/>
      </c>
      <c r="AC66" s="712" t="str">
        <f>IF(AE66="T2G","no charge",IF(AND(OR(PlanterYesMe="No",PlanterYesMe="N",PlanterYesMe="me"),H66=""),"",IF(H66="credit","NO install",IF(AND(K66="",AE66="me"),"EACH row",IF(AND(K66="images",AE66="me"),"EACH row",IF(D66="","",IF(H66="credit","",IF(AE66="free","re-planting",IF(AE66="me","   not ELP, by",IF(AND(OR(PlanterYesMe="Yes",PlanterYesMe="Y"),G66&gt;0),(VLOOKUP(A66,'Discount Lookup'!J:K,2)*G66*(1-PlanterDiscount)*(1+PlanterDifficultyPercentage)),IF(AE66="ELP",(VLOOKUP(A66,'Discount Lookup'!J:K,2)*G66*(1-PlanterDiscount)*(1+PlanterDifficultyPercentage)),IF(AE66="free","re-planting",IF(G66=0,"",IF(PlanterYesMe="",IF(AE66="me","   not ELP, by",IF(AE66="",IF(G66&gt;0,(VLOOKUP(A66,'Discount Lookup'!J:K,2)*G66*(1-PlanterDiscount)*(1+PlanterDifficultyPercentage)),""),"")),"   not ELP, by"))))))))))))))</f>
        <v/>
      </c>
      <c r="AD66" s="712"/>
      <c r="AE66" s="513" t="str">
        <f t="shared" si="11"/>
        <v/>
      </c>
      <c r="AF66" s="713" t="str">
        <f t="shared" si="12"/>
        <v/>
      </c>
      <c r="AG66" s="713"/>
      <c r="AH66" s="713"/>
      <c r="AI66" s="112">
        <f>IF(H66="credit",0,IF(AE66="free",0,IF(AE66="me",0,IF(G66&gt;0,(VLOOKUP(A66,'Discount Lookup'!J:K,2)*G66),0))))</f>
        <v>0</v>
      </c>
      <c r="AJ66" s="107" t="str">
        <f t="shared" ca="1" si="13"/>
        <v/>
      </c>
      <c r="AK66" s="714" t="str">
        <f t="shared" si="14"/>
        <v/>
      </c>
      <c r="AL66" s="714"/>
      <c r="AM66" s="114" t="str">
        <f t="shared" si="15"/>
        <v/>
      </c>
      <c r="AN66" s="115"/>
      <c r="AO66" s="116"/>
      <c r="AP66" s="116"/>
      <c r="AQ66" s="116"/>
      <c r="AR66" s="116"/>
      <c r="AS66" s="116"/>
      <c r="AT66" s="116"/>
      <c r="AU66" s="116"/>
      <c r="AV66" s="78"/>
      <c r="AW66" s="102"/>
      <c r="AX66" s="78"/>
      <c r="AY66" s="78"/>
      <c r="AZ66" s="78"/>
      <c r="BA66" s="78"/>
      <c r="BB66" s="78"/>
      <c r="BC66" s="78"/>
      <c r="BD66" s="78"/>
      <c r="BE66" s="465"/>
      <c r="BF66" s="165" t="str">
        <f t="shared" si="16"/>
        <v>https://www.google.com/search?tbm=isch&amp;q=moist%20sites%F0%9F%92%A7GOOD%2C%20Bear%E2%80%99s%20Breeches%20features%20lush%2C%20dramatic%20foliage%20and%20towering%20flower%20spikes%20that%20add%20bold%20texture%20and%20classic%20elegance%20</v>
      </c>
      <c r="BG66" s="165" t="str">
        <f t="shared" si="17"/>
        <v>m</v>
      </c>
      <c r="BH66" s="65"/>
      <c r="BI66" s="65"/>
      <c r="BJ66" s="65"/>
      <c r="BK66" s="65"/>
      <c r="BL66" s="99"/>
      <c r="BM66" s="99"/>
      <c r="BN66" s="99"/>
    </row>
    <row r="67" spans="1:66" s="51" customFormat="1" ht="19.5" thickBot="1" x14ac:dyDescent="0.3">
      <c r="A67" s="686" t="s">
        <v>367</v>
      </c>
      <c r="B67" s="73"/>
      <c r="C67" s="708"/>
      <c r="D67" s="73"/>
      <c r="E67" s="73"/>
      <c r="F67" s="496"/>
      <c r="G67" s="73"/>
      <c r="H67" s="73"/>
      <c r="I67" s="73"/>
      <c r="J67" s="497" t="s">
        <v>357</v>
      </c>
      <c r="K67" s="498"/>
      <c r="L67" s="562"/>
      <c r="M67" s="73"/>
      <c r="N67"/>
      <c r="O67"/>
      <c r="P67"/>
      <c r="Q67"/>
      <c r="R67"/>
      <c r="S67"/>
      <c r="T67" s="102">
        <f t="shared" si="5"/>
        <v>0</v>
      </c>
      <c r="U67" s="78" t="str">
        <f>IF(NOT(ISNUMBER(G67)), "", VLOOKUP(A67,'Discount Lookup'!D:E,2,FALSE)*G67)</f>
        <v/>
      </c>
      <c r="V67" s="78" t="str">
        <f>IF(NOT(ISNUMBER(G67)), "", VLOOKUP(A67,'Discount Lookup'!G:H,2,FALSE)*G67)</f>
        <v/>
      </c>
      <c r="W67" s="102">
        <f t="shared" si="6"/>
        <v>0</v>
      </c>
      <c r="X67" s="102">
        <f t="shared" si="7"/>
        <v>0</v>
      </c>
      <c r="Y67" s="120" t="b">
        <f t="shared" si="8"/>
        <v>0</v>
      </c>
      <c r="Z67" s="117">
        <f t="shared" si="9"/>
        <v>0</v>
      </c>
      <c r="AA67" s="118"/>
      <c r="AB67" s="118" t="str">
        <f t="shared" si="10"/>
        <v/>
      </c>
      <c r="AC67" s="712" t="str">
        <f>IF(AE67="T2G","no charge",IF(AND(OR(PlanterYesMe="No",PlanterYesMe="N",PlanterYesMe="me"),H67=""),"",IF(H67="credit","NO install",IF(AND(K67="",AE67="me"),"EACH row",IF(AND(K67="images",AE67="me"),"EACH row",IF(D67="","",IF(H67="credit","",IF(AE67="free","re-planting",IF(AE67="me","   not ELP, by",IF(AND(OR(PlanterYesMe="Yes",PlanterYesMe="Y"),G67&gt;0),(VLOOKUP(A67,'Discount Lookup'!J:K,2)*G67*(1-PlanterDiscount)*(1+PlanterDifficultyPercentage)),IF(AE67="ELP",(VLOOKUP(A67,'Discount Lookup'!J:K,2)*G67*(1-PlanterDiscount)*(1+PlanterDifficultyPercentage)),IF(AE67="free","re-planting",IF(G67=0,"",IF(PlanterYesMe="",IF(AE67="me","   not ELP, by",IF(AE67="",IF(G67&gt;0,(VLOOKUP(A67,'Discount Lookup'!J:K,2)*G67*(1-PlanterDiscount)*(1+PlanterDifficultyPercentage)),""),"")),"   not ELP, by"))))))))))))))</f>
        <v/>
      </c>
      <c r="AD67" s="712"/>
      <c r="AE67" s="513" t="str">
        <f t="shared" si="11"/>
        <v/>
      </c>
      <c r="AF67" s="713" t="str">
        <f t="shared" si="12"/>
        <v/>
      </c>
      <c r="AG67" s="713"/>
      <c r="AH67" s="713"/>
      <c r="AI67" s="112">
        <f>IF(H67="credit",0,IF(AE67="free",0,IF(AE67="me",0,IF(G67&gt;0,(VLOOKUP(A67,'Discount Lookup'!J:K,2)*G67),0))))</f>
        <v>0</v>
      </c>
      <c r="AJ67" s="107" t="str">
        <f t="shared" ca="1" si="13"/>
        <v/>
      </c>
      <c r="AK67" s="714" t="str">
        <f t="shared" si="14"/>
        <v/>
      </c>
      <c r="AL67" s="714"/>
      <c r="AM67" s="114" t="str">
        <f t="shared" si="15"/>
        <v/>
      </c>
      <c r="AN67" s="115"/>
      <c r="AO67" s="116"/>
      <c r="AP67" s="116"/>
      <c r="AQ67" s="116"/>
      <c r="AR67" s="116"/>
      <c r="AS67" s="116"/>
      <c r="AT67" s="116"/>
      <c r="AU67" s="116"/>
      <c r="AV67" s="78"/>
      <c r="AW67" s="102"/>
      <c r="AX67" s="78"/>
      <c r="AY67" s="78"/>
      <c r="AZ67" s="78"/>
      <c r="BA67" s="78"/>
      <c r="BB67" s="78"/>
      <c r="BC67" s="78"/>
      <c r="BD67" s="78"/>
      <c r="BE67" s="465"/>
      <c r="BF67" s="165" t="str">
        <f t="shared" si="16"/>
        <v>https://www.google.com/search?tbm=isch&amp;q=Acer%20%3D%20Maple%20</v>
      </c>
      <c r="BG67" s="165" t="str">
        <f t="shared" si="17"/>
        <v>A</v>
      </c>
      <c r="BH67" s="65"/>
      <c r="BI67" s="65"/>
      <c r="BJ67" s="65"/>
      <c r="BK67" s="65"/>
      <c r="BL67" s="99"/>
      <c r="BM67" s="99"/>
      <c r="BN67" s="99"/>
    </row>
    <row r="68" spans="1:66" s="51" customFormat="1" ht="18" x14ac:dyDescent="0.25">
      <c r="A68" s="623" t="s">
        <v>1130</v>
      </c>
      <c r="B68" s="624"/>
      <c r="C68" s="709"/>
      <c r="D68" s="625" t="s">
        <v>1131</v>
      </c>
      <c r="E68" s="626"/>
      <c r="F68" s="626"/>
      <c r="G68" s="626"/>
      <c r="H68" s="622" t="s">
        <v>1132</v>
      </c>
      <c r="I68" s="627" t="s">
        <v>1133</v>
      </c>
      <c r="J68" s="628"/>
      <c r="K68" s="628"/>
      <c r="L68" s="629"/>
      <c r="M68" s="700" t="s">
        <v>5249</v>
      </c>
      <c r="N68" s="693" t="str">
        <f>IF(AND(ISTEXT($A68), ISERROR($A68+0)), HYPERLINK($BF68, "Images"), "")</f>
        <v>Images</v>
      </c>
      <c r="O68" s="695" t="s">
        <v>5247</v>
      </c>
      <c r="P68" s="630"/>
      <c r="Q68" s="631"/>
      <c r="R68" s="632"/>
      <c r="S68" s="633"/>
      <c r="T68" s="102">
        <f t="shared" si="5"/>
        <v>0</v>
      </c>
      <c r="U68" s="78" t="str">
        <f>IF(NOT(ISNUMBER(G68)), "", VLOOKUP(A68,'Discount Lookup'!D:E,2,FALSE)*G68)</f>
        <v/>
      </c>
      <c r="V68" s="78" t="str">
        <f>IF(NOT(ISNUMBER(G68)), "", VLOOKUP(A68,'Discount Lookup'!G:H,2,FALSE)*G68)</f>
        <v/>
      </c>
      <c r="W68" s="102">
        <f t="shared" si="6"/>
        <v>0</v>
      </c>
      <c r="X68" s="102" t="str">
        <f t="shared" si="7"/>
        <v>Glossy Green foliage</v>
      </c>
      <c r="Y68" s="120" t="b">
        <f t="shared" si="8"/>
        <v>0</v>
      </c>
      <c r="Z68" s="117">
        <f t="shared" si="9"/>
        <v>0</v>
      </c>
      <c r="AA68" s="118"/>
      <c r="AB68" s="118" t="str">
        <f t="shared" si="10"/>
        <v/>
      </c>
      <c r="AC68" s="712" t="str">
        <f>IF(AE68="T2G","no charge",IF(AND(OR(PlanterYesMe="No",PlanterYesMe="N",PlanterYesMe="me"),H68=""),"",IF(H68="credit","NO install",IF(AND(K68="",AE68="me"),"EACH row",IF(AND(K68="images",AE68="me"),"EACH row",IF(D68="","",IF(H68="credit","",IF(AE68="free","re-planting",IF(AE68="me","   not ELP, by",IF(AND(OR(PlanterYesMe="Yes",PlanterYesMe="Y"),G68&gt;0),(VLOOKUP(A68,'Discount Lookup'!J:K,2)*G68*(1-PlanterDiscount)*(1+PlanterDifficultyPercentage)),IF(AE68="ELP",(VLOOKUP(A68,'Discount Lookup'!J:K,2)*G68*(1-PlanterDiscount)*(1+PlanterDifficultyPercentage)),IF(AE68="free","re-planting",IF(G68=0,"",IF(PlanterYesMe="",IF(AE68="me","   not ELP, by",IF(AE68="",IF(G68&gt;0,(VLOOKUP(A68,'Discount Lookup'!J:K,2)*G68*(1-PlanterDiscount)*(1+PlanterDifficultyPercentage)),""),"")),"   not ELP, by"))))))))))))))</f>
        <v/>
      </c>
      <c r="AD68" s="712"/>
      <c r="AE68" s="513" t="str">
        <f t="shared" si="11"/>
        <v/>
      </c>
      <c r="AF68" s="713" t="str">
        <f t="shared" si="12"/>
        <v/>
      </c>
      <c r="AG68" s="713"/>
      <c r="AH68" s="713"/>
      <c r="AI68" s="112">
        <f>IF(H68="credit",0,IF(AE68="free",0,IF(AE68="me",0,IF(G68&gt;0,(VLOOKUP(A68,'Discount Lookup'!J:K,2)*G68),0))))</f>
        <v>0</v>
      </c>
      <c r="AJ68" s="107" t="str">
        <f t="shared" ca="1" si="13"/>
        <v/>
      </c>
      <c r="AK68" s="714" t="str">
        <f t="shared" si="14"/>
        <v/>
      </c>
      <c r="AL68" s="714"/>
      <c r="AM68" s="114" t="str">
        <f t="shared" si="15"/>
        <v/>
      </c>
      <c r="AN68" s="115"/>
      <c r="AO68" s="116"/>
      <c r="AP68" s="116"/>
      <c r="AQ68" s="116"/>
      <c r="AR68" s="116"/>
      <c r="AS68" s="116"/>
      <c r="AT68" s="116"/>
      <c r="AU68" s="116"/>
      <c r="AV68" s="78"/>
      <c r="AW68" s="102"/>
      <c r="AX68" s="78"/>
      <c r="AY68" s="78"/>
      <c r="AZ68" s="78"/>
      <c r="BA68" s="78"/>
      <c r="BB68" s="78"/>
      <c r="BC68" s="78"/>
      <c r="BD68" s="78"/>
      <c r="BE68" s="465"/>
      <c r="BF68" s="165" t="str">
        <f t="shared" si="16"/>
        <v>https://www.google.com/search?tbm=isch&amp;q=Acer%20buergerianum%20Trident%20Red%20Maple</v>
      </c>
      <c r="BG68" s="165" t="str">
        <f t="shared" si="17"/>
        <v>A</v>
      </c>
      <c r="BH68" s="65"/>
      <c r="BI68" s="65"/>
      <c r="BJ68" s="65"/>
      <c r="BK68" s="65"/>
      <c r="BL68" s="99"/>
      <c r="BM68" s="99"/>
      <c r="BN68" s="99"/>
    </row>
    <row r="69" spans="1:66" s="51" customFormat="1" ht="15.75" x14ac:dyDescent="0.25">
      <c r="A69" s="634">
        <v>15</v>
      </c>
      <c r="B69" s="635" t="s">
        <v>291</v>
      </c>
      <c r="C69" s="636" t="s">
        <v>1134</v>
      </c>
      <c r="D69" s="637" t="s">
        <v>299</v>
      </c>
      <c r="E69" s="638">
        <v>192.95</v>
      </c>
      <c r="F69" s="639" t="s">
        <v>292</v>
      </c>
      <c r="G69" s="484">
        <v>0</v>
      </c>
      <c r="H69" s="691" t="str">
        <f>IF(G69=0,"",IF(F69="Buy",IF(G69=1,"plant","plants"),IF(F69&gt;0.01,"warranty","Error")))</f>
        <v/>
      </c>
      <c r="I69" s="640">
        <f>IF(H69="free",0,IF(H69="credit",((E69*(F69))*G69*-1),IF(F69="Buy",(E69*G69),((E69*(1-F69))*G69))))</f>
        <v>0</v>
      </c>
      <c r="J69" s="640">
        <f>IF(H69="warranty",0,(I69*(_xlfn.SINGLE(SalesTaxPercentage))))</f>
        <v>0</v>
      </c>
      <c r="K69" s="716">
        <f t="shared" ref="K69" si="42">I69+J69</f>
        <v>0</v>
      </c>
      <c r="L69" s="716"/>
      <c r="M69" s="689" t="str">
        <f ca="1">IF(AND(G69&gt;0,E69=0),"WARNING - no PRICE inserted",IF(H69="free","FREE ~ no charge this plant",IF(H69="credit",CONCATENATE("-$",ROUND(K69*(1-_xlfn.SINGLE(T2GDiscount))*-1,2)," CREDIT after discount"),IF(_xlfn.SINGLE(T2GDiscount)=0,"",IF(G69=0,"",IF(F69="Buy",CONCATENATE("$",ROUND(K69*(1-_xlfn.SINGLE(T2GDiscount)),2)," with ",(_xlfn.SINGLE(T2GDiscount)*100),"% discount"),CONCATENATE("$",ROUND(K69*(1-_xlfn.SINGLE(T2GDiscount)),2)," with ",((_xlfn.SINGLE(T2GDiscount)*100+F69*100)-(_xlfn.SINGLE(T2GDiscount)*100*F69)),IF(F69&gt;0,"% discounts",IF(_xlfn.SINGLE(NoWarrantyDiscount)&gt;0,"% discounts","% discount")))))))))</f>
        <v/>
      </c>
      <c r="N69" s="690"/>
      <c r="O69" s="486"/>
      <c r="P69" s="486"/>
      <c r="Q69" s="486"/>
      <c r="R69" s="486"/>
      <c r="S69" s="486"/>
      <c r="T69" s="102">
        <f t="shared" si="5"/>
        <v>0</v>
      </c>
      <c r="U69" s="78">
        <f>IF(NOT(ISNUMBER(G69)), "", VLOOKUP(A69,'Discount Lookup'!D:E,2,FALSE)*G69)</f>
        <v>0</v>
      </c>
      <c r="V69" s="78">
        <f>IF(NOT(ISNUMBER(G69)), "", VLOOKUP(A69,'Discount Lookup'!G:H,2,FALSE)*G69)</f>
        <v>0</v>
      </c>
      <c r="W69" s="102">
        <f t="shared" si="6"/>
        <v>0</v>
      </c>
      <c r="X69" s="102">
        <f t="shared" si="7"/>
        <v>0</v>
      </c>
      <c r="Y69" s="120" t="b">
        <f t="shared" si="8"/>
        <v>0</v>
      </c>
      <c r="Z69" s="117">
        <f t="shared" si="9"/>
        <v>0</v>
      </c>
      <c r="AA69" s="118"/>
      <c r="AB69" s="118" t="str">
        <f t="shared" si="10"/>
        <v/>
      </c>
      <c r="AC69" s="712" t="str">
        <f>IF(AE69="T2G","no charge",IF(AND(OR(PlanterYesMe="No",PlanterYesMe="N",PlanterYesMe="me"),H69=""),"",IF(H69="credit","NO install",IF(AND(K69="",AE69="me"),"EACH row",IF(AND(K69="images",AE69="me"),"EACH row",IF(D69="","",IF(H69="credit","",IF(AE69="free","re-planting",IF(AE69="me","   not ELP, by",IF(AND(OR(PlanterYesMe="Yes",PlanterYesMe="Y"),G69&gt;0),(VLOOKUP(A69,'Discount Lookup'!J:K,2)*G69*(1-PlanterDiscount)*(1+PlanterDifficultyPercentage)),IF(AE69="ELP",(VLOOKUP(A69,'Discount Lookup'!J:K,2)*G69*(1-PlanterDiscount)*(1+PlanterDifficultyPercentage)),IF(AE69="free","re-planting",IF(G69=0,"",IF(PlanterYesMe="",IF(AE69="me","   not ELP, by",IF(AE69="",IF(G69&gt;0,(VLOOKUP(A69,'Discount Lookup'!J:K,2)*G69*(1-PlanterDiscount)*(1+PlanterDifficultyPercentage)),""),"")),"   not ELP, by"))))))))))))))</f>
        <v/>
      </c>
      <c r="AD69" s="712"/>
      <c r="AE69" s="513" t="str">
        <f t="shared" si="11"/>
        <v/>
      </c>
      <c r="AF69" s="713" t="str">
        <f t="shared" si="12"/>
        <v/>
      </c>
      <c r="AG69" s="713"/>
      <c r="AH69" s="713"/>
      <c r="AI69" s="112">
        <f>IF(H69="credit",0,IF(AE69="free",0,IF(AE69="me",0,IF(G69&gt;0,(VLOOKUP(A69,'Discount Lookup'!J:K,2)*G69),0))))</f>
        <v>0</v>
      </c>
      <c r="AJ69" s="107" t="str">
        <f t="shared" ca="1" si="13"/>
        <v/>
      </c>
      <c r="AK69" s="714" t="str">
        <f t="shared" si="14"/>
        <v/>
      </c>
      <c r="AL69" s="714"/>
      <c r="AM69" s="114" t="str">
        <f t="shared" si="15"/>
        <v/>
      </c>
      <c r="AN69" s="115"/>
      <c r="AO69" s="116"/>
      <c r="AP69" s="116"/>
      <c r="AQ69" s="116"/>
      <c r="AR69" s="116"/>
      <c r="AS69" s="116"/>
      <c r="AT69" s="116"/>
      <c r="AU69" s="116"/>
      <c r="AV69" s="78"/>
      <c r="AW69" s="102"/>
      <c r="AX69" s="78"/>
      <c r="AY69" s="78"/>
      <c r="AZ69" s="78"/>
      <c r="BA69" s="78"/>
      <c r="BB69" s="78"/>
      <c r="BC69" s="78"/>
      <c r="BD69" s="78"/>
      <c r="BE69" s="465"/>
      <c r="BF69" s="165" t="str">
        <f t="shared" si="16"/>
        <v>https://www.google.com/search?tbm=isch&amp;q=15%20G4</v>
      </c>
      <c r="BG69" s="165" t="str">
        <f t="shared" si="17"/>
        <v>A</v>
      </c>
      <c r="BH69" s="65"/>
      <c r="BI69" s="65"/>
      <c r="BJ69" s="65"/>
      <c r="BK69" s="65"/>
      <c r="BL69" s="99"/>
      <c r="BM69" s="99"/>
      <c r="BN69" s="99"/>
    </row>
    <row r="70" spans="1:66" s="51" customFormat="1" ht="15.75" x14ac:dyDescent="0.25">
      <c r="A70" s="634">
        <v>25</v>
      </c>
      <c r="B70" s="635" t="s">
        <v>291</v>
      </c>
      <c r="C70" s="636" t="s">
        <v>1135</v>
      </c>
      <c r="D70" s="637" t="s">
        <v>293</v>
      </c>
      <c r="E70" s="638">
        <v>377.95</v>
      </c>
      <c r="F70" s="639" t="s">
        <v>292</v>
      </c>
      <c r="G70" s="484">
        <v>0</v>
      </c>
      <c r="H70" s="691" t="str">
        <f>IF(G70=0,"",IF(F70="Buy",IF(G70=1,"plant","plants"),IF(F70&gt;0.01,"warranty","Error")))</f>
        <v/>
      </c>
      <c r="I70" s="640">
        <f>IF(H70="free",0,IF(H70="credit",((E70*(F70))*G70*-1),IF(F70="Buy",(E70*G70),((E70*(1-F70))*G70))))</f>
        <v>0</v>
      </c>
      <c r="J70" s="640">
        <f>IF(H70="warranty",0,(I70*(_xlfn.SINGLE(SalesTaxPercentage))))</f>
        <v>0</v>
      </c>
      <c r="K70" s="716">
        <f t="shared" ref="K70" si="43">I70+J70</f>
        <v>0</v>
      </c>
      <c r="L70" s="716"/>
      <c r="M70" s="689" t="str">
        <f ca="1">IF(AND(G70&gt;0,E70=0),"WARNING - no PRICE inserted",IF(H70="free","FREE ~ no charge this plant",IF(H70="credit",CONCATENATE("-$",ROUND(K70*(1-_xlfn.SINGLE(T2GDiscount))*-1,2)," CREDIT after discount"),IF(_xlfn.SINGLE(T2GDiscount)=0,"",IF(G70=0,"",IF(F70="Buy",CONCATENATE("$",ROUND(K70*(1-_xlfn.SINGLE(T2GDiscount)),2)," with ",(_xlfn.SINGLE(T2GDiscount)*100),"% discount"),CONCATENATE("$",ROUND(K70*(1-_xlfn.SINGLE(T2GDiscount)),2)," with ",((_xlfn.SINGLE(T2GDiscount)*100+F70*100)-(_xlfn.SINGLE(T2GDiscount)*100*F70)),IF(F70&gt;0,"% discounts",IF(_xlfn.SINGLE(NoWarrantyDiscount)&gt;0,"% discounts","% discount")))))))))</f>
        <v/>
      </c>
      <c r="N70" s="690"/>
      <c r="O70" s="486"/>
      <c r="P70" s="486"/>
      <c r="Q70" s="486"/>
      <c r="R70" s="486"/>
      <c r="S70" s="486"/>
      <c r="T70" s="102">
        <f t="shared" si="5"/>
        <v>0</v>
      </c>
      <c r="U70" s="78">
        <f>IF(NOT(ISNUMBER(G70)), "", VLOOKUP(A70,'Discount Lookup'!D:E,2,FALSE)*G70)</f>
        <v>0</v>
      </c>
      <c r="V70" s="78">
        <f>IF(NOT(ISNUMBER(G70)), "", VLOOKUP(A70,'Discount Lookup'!G:H,2,FALSE)*G70)</f>
        <v>0</v>
      </c>
      <c r="W70" s="102">
        <f t="shared" si="6"/>
        <v>0</v>
      </c>
      <c r="X70" s="102">
        <f t="shared" si="7"/>
        <v>0</v>
      </c>
      <c r="Y70" s="120" t="b">
        <f t="shared" si="8"/>
        <v>0</v>
      </c>
      <c r="Z70" s="117">
        <f t="shared" si="9"/>
        <v>0</v>
      </c>
      <c r="AA70" s="118"/>
      <c r="AB70" s="118" t="str">
        <f t="shared" si="10"/>
        <v/>
      </c>
      <c r="AC70" s="712" t="str">
        <f>IF(AE70="T2G","no charge",IF(AND(OR(PlanterYesMe="No",PlanterYesMe="N",PlanterYesMe="me"),H70=""),"",IF(H70="credit","NO install",IF(AND(K70="",AE70="me"),"EACH row",IF(AND(K70="images",AE70="me"),"EACH row",IF(D70="","",IF(H70="credit","",IF(AE70="free","re-planting",IF(AE70="me","   not ELP, by",IF(AND(OR(PlanterYesMe="Yes",PlanterYesMe="Y"),G70&gt;0),(VLOOKUP(A70,'Discount Lookup'!J:K,2)*G70*(1-PlanterDiscount)*(1+PlanterDifficultyPercentage)),IF(AE70="ELP",(VLOOKUP(A70,'Discount Lookup'!J:K,2)*G70*(1-PlanterDiscount)*(1+PlanterDifficultyPercentage)),IF(AE70="free","re-planting",IF(G70=0,"",IF(PlanterYesMe="",IF(AE70="me","   not ELP, by",IF(AE70="",IF(G70&gt;0,(VLOOKUP(A70,'Discount Lookup'!J:K,2)*G70*(1-PlanterDiscount)*(1+PlanterDifficultyPercentage)),""),"")),"   not ELP, by"))))))))))))))</f>
        <v/>
      </c>
      <c r="AD70" s="712"/>
      <c r="AE70" s="513" t="str">
        <f t="shared" si="11"/>
        <v/>
      </c>
      <c r="AF70" s="713" t="str">
        <f t="shared" si="12"/>
        <v/>
      </c>
      <c r="AG70" s="713"/>
      <c r="AH70" s="713"/>
      <c r="AI70" s="112">
        <f>IF(H70="credit",0,IF(AE70="free",0,IF(AE70="me",0,IF(G70&gt;0,(VLOOKUP(A70,'Discount Lookup'!J:K,2)*G70),0))))</f>
        <v>0</v>
      </c>
      <c r="AJ70" s="107" t="str">
        <f t="shared" ca="1" si="13"/>
        <v/>
      </c>
      <c r="AK70" s="714" t="str">
        <f t="shared" si="14"/>
        <v/>
      </c>
      <c r="AL70" s="714"/>
      <c r="AM70" s="114" t="str">
        <f t="shared" si="15"/>
        <v/>
      </c>
      <c r="AN70" s="115"/>
      <c r="AO70" s="116"/>
      <c r="AP70" s="116"/>
      <c r="AQ70" s="116"/>
      <c r="AR70" s="116"/>
      <c r="AS70" s="116"/>
      <c r="AT70" s="116"/>
      <c r="AU70" s="116"/>
      <c r="AV70" s="78"/>
      <c r="AW70" s="102"/>
      <c r="AX70" s="78"/>
      <c r="AY70" s="78"/>
      <c r="AZ70" s="78"/>
      <c r="BA70" s="78"/>
      <c r="BB70" s="78"/>
      <c r="BC70" s="78"/>
      <c r="BD70" s="78"/>
      <c r="BE70" s="465"/>
      <c r="BF70" s="165" t="str">
        <f t="shared" si="16"/>
        <v>https://www.google.com/search?tbm=isch&amp;q=25%20G6</v>
      </c>
      <c r="BG70" s="165" t="str">
        <f t="shared" si="17"/>
        <v>A</v>
      </c>
      <c r="BH70" s="65"/>
      <c r="BI70" s="65"/>
      <c r="BJ70" s="65"/>
      <c r="BK70" s="65"/>
      <c r="BL70" s="99"/>
      <c r="BM70" s="99"/>
      <c r="BN70" s="99"/>
    </row>
    <row r="71" spans="1:66" s="51" customFormat="1" ht="17.25" thickBot="1" x14ac:dyDescent="0.3">
      <c r="A71" s="641" t="s">
        <v>1136</v>
      </c>
      <c r="B71" s="642"/>
      <c r="C71" s="710"/>
      <c r="D71" s="643"/>
      <c r="E71" s="643"/>
      <c r="F71" s="644"/>
      <c r="G71" s="645"/>
      <c r="H71" s="646"/>
      <c r="I71" s="647"/>
      <c r="J71" s="648"/>
      <c r="K71" s="649"/>
      <c r="L71" s="650"/>
      <c r="M71" s="650"/>
      <c r="N71" s="644"/>
      <c r="O71" s="644"/>
      <c r="P71" s="644"/>
      <c r="Q71" s="644"/>
      <c r="R71" s="644"/>
      <c r="S71" s="651"/>
      <c r="T71" s="102">
        <f t="shared" si="5"/>
        <v>0</v>
      </c>
      <c r="U71" s="78" t="str">
        <f>IF(NOT(ISNUMBER(G71)), "", VLOOKUP(A71,'Discount Lookup'!D:E,2,FALSE)*G71)</f>
        <v/>
      </c>
      <c r="V71" s="78" t="str">
        <f>IF(NOT(ISNUMBER(G71)), "", VLOOKUP(A71,'Discount Lookup'!G:H,2,FALSE)*G71)</f>
        <v/>
      </c>
      <c r="W71" s="102">
        <f t="shared" si="6"/>
        <v>0</v>
      </c>
      <c r="X71" s="102">
        <f t="shared" si="7"/>
        <v>0</v>
      </c>
      <c r="Y71" s="120" t="b">
        <f t="shared" si="8"/>
        <v>0</v>
      </c>
      <c r="Z71" s="117">
        <f t="shared" si="9"/>
        <v>0</v>
      </c>
      <c r="AA71" s="118"/>
      <c r="AB71" s="118" t="str">
        <f t="shared" si="10"/>
        <v/>
      </c>
      <c r="AC71" s="712" t="str">
        <f>IF(AE71="T2G","no charge",IF(AND(OR(PlanterYesMe="No",PlanterYesMe="N",PlanterYesMe="me"),H71=""),"",IF(H71="credit","NO install",IF(AND(K71="",AE71="me"),"EACH row",IF(AND(K71="images",AE71="me"),"EACH row",IF(D71="","",IF(H71="credit","",IF(AE71="free","re-planting",IF(AE71="me","   not ELP, by",IF(AND(OR(PlanterYesMe="Yes",PlanterYesMe="Y"),G71&gt;0),(VLOOKUP(A71,'Discount Lookup'!J:K,2)*G71*(1-PlanterDiscount)*(1+PlanterDifficultyPercentage)),IF(AE71="ELP",(VLOOKUP(A71,'Discount Lookup'!J:K,2)*G71*(1-PlanterDiscount)*(1+PlanterDifficultyPercentage)),IF(AE71="free","re-planting",IF(G71=0,"",IF(PlanterYesMe="",IF(AE71="me","   not ELP, by",IF(AE71="",IF(G71&gt;0,(VLOOKUP(A71,'Discount Lookup'!J:K,2)*G71*(1-PlanterDiscount)*(1+PlanterDifficultyPercentage)),""),"")),"   not ELP, by"))))))))))))))</f>
        <v/>
      </c>
      <c r="AD71" s="712"/>
      <c r="AE71" s="513" t="str">
        <f t="shared" si="11"/>
        <v/>
      </c>
      <c r="AF71" s="713" t="str">
        <f t="shared" si="12"/>
        <v/>
      </c>
      <c r="AG71" s="713"/>
      <c r="AH71" s="713"/>
      <c r="AI71" s="112">
        <f>IF(H71="credit",0,IF(AE71="free",0,IF(AE71="me",0,IF(G71&gt;0,(VLOOKUP(A71,'Discount Lookup'!J:K,2)*G71),0))))</f>
        <v>0</v>
      </c>
      <c r="AJ71" s="107" t="str">
        <f t="shared" ca="1" si="13"/>
        <v/>
      </c>
      <c r="AK71" s="714" t="str">
        <f t="shared" si="14"/>
        <v/>
      </c>
      <c r="AL71" s="714"/>
      <c r="AM71" s="114" t="str">
        <f t="shared" si="15"/>
        <v/>
      </c>
      <c r="AN71" s="115"/>
      <c r="AO71" s="116"/>
      <c r="AP71" s="116"/>
      <c r="AQ71" s="116"/>
      <c r="AR71" s="116"/>
      <c r="AS71" s="116"/>
      <c r="AT71" s="116"/>
      <c r="AU71" s="116"/>
      <c r="AV71" s="78"/>
      <c r="AW71" s="102"/>
      <c r="AX71" s="78"/>
      <c r="AY71" s="78"/>
      <c r="AZ71" s="78"/>
      <c r="BA71" s="78"/>
      <c r="BB71" s="78"/>
      <c r="BC71" s="78"/>
      <c r="BD71" s="78"/>
      <c r="BE71" s="465"/>
      <c r="BF71" s="165" t="str">
        <f t="shared" si="16"/>
        <v>https://www.google.com/search?tbm=isch&amp;q=Trident%20named%20for%20the%20shape%20of%20it%27s%20leaves%2C%20with%203%20forward-facing%20lobes.%20Exfoliating%20bark.%20Vibrant%20Red-Orange-Yellow%20fall%20foliage%20</v>
      </c>
      <c r="BG71" s="165" t="str">
        <f t="shared" si="17"/>
        <v>T</v>
      </c>
      <c r="BH71" s="65"/>
      <c r="BI71" s="65"/>
      <c r="BJ71" s="65"/>
      <c r="BK71" s="65"/>
      <c r="BL71" s="99"/>
      <c r="BM71" s="99"/>
      <c r="BN71" s="99"/>
    </row>
    <row r="72" spans="1:66" s="51" customFormat="1" ht="18" x14ac:dyDescent="0.25">
      <c r="A72" s="623" t="s">
        <v>1137</v>
      </c>
      <c r="B72" s="624"/>
      <c r="C72" s="709"/>
      <c r="D72" s="625" t="s">
        <v>1138</v>
      </c>
      <c r="E72" s="626"/>
      <c r="F72" s="626"/>
      <c r="G72" s="626"/>
      <c r="H72" s="622" t="s">
        <v>1139</v>
      </c>
      <c r="I72" s="627" t="s">
        <v>432</v>
      </c>
      <c r="J72" s="628"/>
      <c r="K72" s="628"/>
      <c r="L72" s="629"/>
      <c r="M72" s="700" t="s">
        <v>5241</v>
      </c>
      <c r="N72" s="693" t="str">
        <f>IF(AND(ISTEXT($A72), ISERROR($A72+0)), HYPERLINK($BF72, "Images"), "")</f>
        <v>Images</v>
      </c>
      <c r="O72" s="695" t="s">
        <v>5247</v>
      </c>
      <c r="P72" s="630"/>
      <c r="Q72" s="631"/>
      <c r="R72" s="632"/>
      <c r="S72" s="633" t="s">
        <v>294</v>
      </c>
      <c r="T72" s="102">
        <f t="shared" si="5"/>
        <v>0</v>
      </c>
      <c r="U72" s="78" t="str">
        <f>IF(NOT(ISNUMBER(G72)), "", VLOOKUP(A72,'Discount Lookup'!D:E,2,FALSE)*G72)</f>
        <v/>
      </c>
      <c r="V72" s="78" t="str">
        <f>IF(NOT(ISNUMBER(G72)), "", VLOOKUP(A72,'Discount Lookup'!G:H,2,FALSE)*G72)</f>
        <v/>
      </c>
      <c r="W72" s="102">
        <f t="shared" si="6"/>
        <v>0</v>
      </c>
      <c r="X72" s="102" t="str">
        <f t="shared" si="7"/>
        <v>Green foliage</v>
      </c>
      <c r="Y72" s="120" t="b">
        <f t="shared" si="8"/>
        <v>0</v>
      </c>
      <c r="Z72" s="117">
        <f t="shared" si="9"/>
        <v>0</v>
      </c>
      <c r="AA72" s="118"/>
      <c r="AB72" s="118" t="str">
        <f t="shared" si="10"/>
        <v/>
      </c>
      <c r="AC72" s="712" t="str">
        <f>IF(AE72="T2G","no charge",IF(AND(OR(PlanterYesMe="No",PlanterYesMe="N",PlanterYesMe="me"),H72=""),"",IF(H72="credit","NO install",IF(AND(K72="",AE72="me"),"EACH row",IF(AND(K72="images",AE72="me"),"EACH row",IF(D72="","",IF(H72="credit","",IF(AE72="free","re-planting",IF(AE72="me","   not ELP, by",IF(AND(OR(PlanterYesMe="Yes",PlanterYesMe="Y"),G72&gt;0),(VLOOKUP(A72,'Discount Lookup'!J:K,2)*G72*(1-PlanterDiscount)*(1+PlanterDifficultyPercentage)),IF(AE72="ELP",(VLOOKUP(A72,'Discount Lookup'!J:K,2)*G72*(1-PlanterDiscount)*(1+PlanterDifficultyPercentage)),IF(AE72="free","re-planting",IF(G72=0,"",IF(PlanterYesMe="",IF(AE72="me","   not ELP, by",IF(AE72="",IF(G72&gt;0,(VLOOKUP(A72,'Discount Lookup'!J:K,2)*G72*(1-PlanterDiscount)*(1+PlanterDifficultyPercentage)),""),"")),"   not ELP, by"))))))))))))))</f>
        <v/>
      </c>
      <c r="AD72" s="712"/>
      <c r="AE72" s="513" t="str">
        <f t="shared" si="11"/>
        <v/>
      </c>
      <c r="AF72" s="713" t="str">
        <f t="shared" si="12"/>
        <v/>
      </c>
      <c r="AG72" s="713"/>
      <c r="AH72" s="713"/>
      <c r="AI72" s="112">
        <f>IF(H72="credit",0,IF(AE72="free",0,IF(AE72="me",0,IF(G72&gt;0,(VLOOKUP(A72,'Discount Lookup'!J:K,2)*G72),0))))</f>
        <v>0</v>
      </c>
      <c r="AJ72" s="107" t="str">
        <f t="shared" ca="1" si="13"/>
        <v/>
      </c>
      <c r="AK72" s="714" t="str">
        <f t="shared" si="14"/>
        <v/>
      </c>
      <c r="AL72" s="714"/>
      <c r="AM72" s="114" t="str">
        <f t="shared" si="15"/>
        <v/>
      </c>
      <c r="AN72" s="115"/>
      <c r="AO72" s="116"/>
      <c r="AP72" s="116"/>
      <c r="AQ72" s="116"/>
      <c r="AR72" s="116"/>
      <c r="AS72" s="116"/>
      <c r="AT72" s="116"/>
      <c r="AU72" s="116"/>
      <c r="AV72" s="78"/>
      <c r="AW72" s="102"/>
      <c r="AX72" s="78"/>
      <c r="AY72" s="78"/>
      <c r="AZ72" s="78"/>
      <c r="BA72" s="78"/>
      <c r="BB72" s="78"/>
      <c r="BC72" s="78"/>
      <c r="BD72" s="78"/>
      <c r="BE72" s="465"/>
      <c r="BF72" s="165" t="str">
        <f t="shared" si="16"/>
        <v>https://www.google.com/search?tbm=isch&amp;q=Acer%20griseum%20Paperbark%20Maple</v>
      </c>
      <c r="BG72" s="165" t="str">
        <f t="shared" si="17"/>
        <v>A</v>
      </c>
      <c r="BH72" s="65"/>
      <c r="BI72" s="65"/>
      <c r="BJ72" s="65"/>
      <c r="BK72" s="65"/>
      <c r="BL72" s="99"/>
      <c r="BM72" s="99"/>
      <c r="BN72" s="99"/>
    </row>
    <row r="73" spans="1:66" s="51" customFormat="1" ht="15.75" x14ac:dyDescent="0.25">
      <c r="A73" s="634">
        <v>7</v>
      </c>
      <c r="B73" s="635" t="s">
        <v>291</v>
      </c>
      <c r="C73" s="636" t="s">
        <v>943</v>
      </c>
      <c r="D73" s="637" t="s">
        <v>299</v>
      </c>
      <c r="E73" s="638">
        <v>155.94999999999999</v>
      </c>
      <c r="F73" s="639" t="s">
        <v>292</v>
      </c>
      <c r="G73" s="484">
        <v>0</v>
      </c>
      <c r="H73" s="691" t="str">
        <f t="shared" ref="H73:H78" si="44">IF(G73=0,"",IF(F73="Buy",IF(G73=1,"plant","plants"),IF(F73&gt;0.01,"warranty","Error")))</f>
        <v/>
      </c>
      <c r="I73" s="640">
        <f t="shared" ref="I73:I78" si="45">IF(H73="free",0,IF(H73="credit",((E73*(F73))*G73*-1),IF(F73="Buy",(E73*G73),((E73*(1-F73))*G73))))</f>
        <v>0</v>
      </c>
      <c r="J73" s="640">
        <f t="shared" ref="J73:J78" si="46">IF(H73="warranty",0,(I73*(_xlfn.SINGLE(SalesTaxPercentage))))</f>
        <v>0</v>
      </c>
      <c r="K73" s="716">
        <f t="shared" ref="K73" si="47">I73+J73</f>
        <v>0</v>
      </c>
      <c r="L73" s="716"/>
      <c r="M73" s="689" t="str">
        <f t="shared" ref="M73:M78" ca="1" si="48">IF(AND(G73&gt;0,E73=0),"WARNING - no PRICE inserted",IF(H73="free","FREE ~ no charge this plant",IF(H73="credit",CONCATENATE("-$",ROUND(K73*(1-_xlfn.SINGLE(T2GDiscount))*-1,2)," CREDIT after discount"),IF(_xlfn.SINGLE(T2GDiscount)=0,"",IF(G73=0,"",IF(F73="Buy",CONCATENATE("$",ROUND(K73*(1-_xlfn.SINGLE(T2GDiscount)),2)," with ",(_xlfn.SINGLE(T2GDiscount)*100),"% discount"),CONCATENATE("$",ROUND(K73*(1-_xlfn.SINGLE(T2GDiscount)),2)," with ",((_xlfn.SINGLE(T2GDiscount)*100+F73*100)-(_xlfn.SINGLE(T2GDiscount)*100*F73)),IF(F73&gt;0,"% discounts",IF(_xlfn.SINGLE(NoWarrantyDiscount)&gt;0,"% discounts","% discount")))))))))</f>
        <v/>
      </c>
      <c r="N73" s="690"/>
      <c r="O73" s="486"/>
      <c r="P73" s="486"/>
      <c r="Q73" s="486"/>
      <c r="R73" s="486"/>
      <c r="S73" s="486"/>
      <c r="T73" s="102">
        <f t="shared" si="5"/>
        <v>0</v>
      </c>
      <c r="U73" s="78">
        <f>IF(NOT(ISNUMBER(G73)), "", VLOOKUP(A73,'Discount Lookup'!D:E,2,FALSE)*G73)</f>
        <v>0</v>
      </c>
      <c r="V73" s="78">
        <f>IF(NOT(ISNUMBER(G73)), "", VLOOKUP(A73,'Discount Lookup'!G:H,2,FALSE)*G73)</f>
        <v>0</v>
      </c>
      <c r="W73" s="102">
        <f t="shared" si="6"/>
        <v>0</v>
      </c>
      <c r="X73" s="102">
        <f t="shared" si="7"/>
        <v>0</v>
      </c>
      <c r="Y73" s="120" t="b">
        <f t="shared" si="8"/>
        <v>0</v>
      </c>
      <c r="Z73" s="117">
        <f t="shared" si="9"/>
        <v>0</v>
      </c>
      <c r="AA73" s="118"/>
      <c r="AB73" s="118" t="str">
        <f t="shared" si="10"/>
        <v/>
      </c>
      <c r="AC73" s="712" t="str">
        <f>IF(AE73="T2G","no charge",IF(AND(OR(PlanterYesMe="No",PlanterYesMe="N",PlanterYesMe="me"),H73=""),"",IF(H73="credit","NO install",IF(AND(K73="",AE73="me"),"EACH row",IF(AND(K73="images",AE73="me"),"EACH row",IF(D73="","",IF(H73="credit","",IF(AE73="free","re-planting",IF(AE73="me","   not ELP, by",IF(AND(OR(PlanterYesMe="Yes",PlanterYesMe="Y"),G73&gt;0),(VLOOKUP(A73,'Discount Lookup'!J:K,2)*G73*(1-PlanterDiscount)*(1+PlanterDifficultyPercentage)),IF(AE73="ELP",(VLOOKUP(A73,'Discount Lookup'!J:K,2)*G73*(1-PlanterDiscount)*(1+PlanterDifficultyPercentage)),IF(AE73="free","re-planting",IF(G73=0,"",IF(PlanterYesMe="",IF(AE73="me","   not ELP, by",IF(AE73="",IF(G73&gt;0,(VLOOKUP(A73,'Discount Lookup'!J:K,2)*G73*(1-PlanterDiscount)*(1+PlanterDifficultyPercentage)),""),"")),"   not ELP, by"))))))))))))))</f>
        <v/>
      </c>
      <c r="AD73" s="712"/>
      <c r="AE73" s="513" t="str">
        <f t="shared" si="11"/>
        <v/>
      </c>
      <c r="AF73" s="713" t="str">
        <f t="shared" si="12"/>
        <v/>
      </c>
      <c r="AG73" s="713"/>
      <c r="AH73" s="713"/>
      <c r="AI73" s="112">
        <f>IF(H73="credit",0,IF(AE73="free",0,IF(AE73="me",0,IF(G73&gt;0,(VLOOKUP(A73,'Discount Lookup'!J:K,2)*G73),0))))</f>
        <v>0</v>
      </c>
      <c r="AJ73" s="107" t="str">
        <f t="shared" ca="1" si="13"/>
        <v/>
      </c>
      <c r="AK73" s="714" t="str">
        <f t="shared" si="14"/>
        <v/>
      </c>
      <c r="AL73" s="714"/>
      <c r="AM73" s="114" t="str">
        <f t="shared" si="15"/>
        <v/>
      </c>
      <c r="AN73" s="115"/>
      <c r="AO73" s="116"/>
      <c r="AP73" s="116"/>
      <c r="AQ73" s="116"/>
      <c r="AR73" s="116"/>
      <c r="AS73" s="116"/>
      <c r="AT73" s="116"/>
      <c r="AU73" s="116"/>
      <c r="AV73" s="78"/>
      <c r="AW73" s="102"/>
      <c r="AX73" s="78"/>
      <c r="AY73" s="78"/>
      <c r="AZ73" s="78"/>
      <c r="BA73" s="78"/>
      <c r="BB73" s="78"/>
      <c r="BC73" s="78"/>
      <c r="BD73" s="78"/>
      <c r="BE73" s="465"/>
      <c r="BF73" s="165" t="str">
        <f t="shared" si="16"/>
        <v>https://www.google.com/search?tbm=isch&amp;q=7%20G4</v>
      </c>
      <c r="BG73" s="165" t="str">
        <f t="shared" si="17"/>
        <v>A</v>
      </c>
      <c r="BH73" s="65"/>
      <c r="BI73" s="65"/>
      <c r="BJ73" s="65"/>
      <c r="BK73" s="65"/>
      <c r="BL73" s="99"/>
      <c r="BM73" s="99"/>
      <c r="BN73" s="99"/>
    </row>
    <row r="74" spans="1:66" s="51" customFormat="1" ht="15.75" x14ac:dyDescent="0.25">
      <c r="A74" s="634">
        <v>10</v>
      </c>
      <c r="B74" s="635" t="s">
        <v>291</v>
      </c>
      <c r="C74" s="636" t="s">
        <v>1140</v>
      </c>
      <c r="D74" s="637" t="s">
        <v>299</v>
      </c>
      <c r="E74" s="638">
        <v>252.95</v>
      </c>
      <c r="F74" s="639" t="s">
        <v>292</v>
      </c>
      <c r="G74" s="484">
        <v>0</v>
      </c>
      <c r="H74" s="691" t="str">
        <f t="shared" si="44"/>
        <v/>
      </c>
      <c r="I74" s="640">
        <f t="shared" si="45"/>
        <v>0</v>
      </c>
      <c r="J74" s="640">
        <f t="shared" si="46"/>
        <v>0</v>
      </c>
      <c r="K74" s="716">
        <f t="shared" ref="K74" si="49">I74+J74</f>
        <v>0</v>
      </c>
      <c r="L74" s="716"/>
      <c r="M74" s="689" t="str">
        <f t="shared" ca="1" si="48"/>
        <v/>
      </c>
      <c r="N74" s="690"/>
      <c r="O74" s="486"/>
      <c r="P74" s="486"/>
      <c r="Q74" s="486"/>
      <c r="R74" s="486"/>
      <c r="S74" s="486"/>
      <c r="T74" s="102">
        <f t="shared" si="5"/>
        <v>0</v>
      </c>
      <c r="U74" s="78">
        <f>IF(NOT(ISNUMBER(G74)), "", VLOOKUP(A74,'Discount Lookup'!D:E,2,FALSE)*G74)</f>
        <v>0</v>
      </c>
      <c r="V74" s="78">
        <f>IF(NOT(ISNUMBER(G74)), "", VLOOKUP(A74,'Discount Lookup'!G:H,2,FALSE)*G74)</f>
        <v>0</v>
      </c>
      <c r="W74" s="102">
        <f t="shared" si="6"/>
        <v>0</v>
      </c>
      <c r="X74" s="102">
        <f t="shared" si="7"/>
        <v>0</v>
      </c>
      <c r="Y74" s="120" t="b">
        <f t="shared" si="8"/>
        <v>0</v>
      </c>
      <c r="Z74" s="117">
        <f t="shared" si="9"/>
        <v>0</v>
      </c>
      <c r="AA74" s="118"/>
      <c r="AB74" s="118" t="str">
        <f t="shared" si="10"/>
        <v/>
      </c>
      <c r="AC74" s="712" t="str">
        <f>IF(AE74="T2G","no charge",IF(AND(OR(PlanterYesMe="No",PlanterYesMe="N",PlanterYesMe="me"),H74=""),"",IF(H74="credit","NO install",IF(AND(K74="",AE74="me"),"EACH row",IF(AND(K74="images",AE74="me"),"EACH row",IF(D74="","",IF(H74="credit","",IF(AE74="free","re-planting",IF(AE74="me","   not ELP, by",IF(AND(OR(PlanterYesMe="Yes",PlanterYesMe="Y"),G74&gt;0),(VLOOKUP(A74,'Discount Lookup'!J:K,2)*G74*(1-PlanterDiscount)*(1+PlanterDifficultyPercentage)),IF(AE74="ELP",(VLOOKUP(A74,'Discount Lookup'!J:K,2)*G74*(1-PlanterDiscount)*(1+PlanterDifficultyPercentage)),IF(AE74="free","re-planting",IF(G74=0,"",IF(PlanterYesMe="",IF(AE74="me","   not ELP, by",IF(AE74="",IF(G74&gt;0,(VLOOKUP(A74,'Discount Lookup'!J:K,2)*G74*(1-PlanterDiscount)*(1+PlanterDifficultyPercentage)),""),"")),"   not ELP, by"))))))))))))))</f>
        <v/>
      </c>
      <c r="AD74" s="712"/>
      <c r="AE74" s="513" t="str">
        <f t="shared" si="11"/>
        <v/>
      </c>
      <c r="AF74" s="713" t="str">
        <f t="shared" si="12"/>
        <v/>
      </c>
      <c r="AG74" s="713"/>
      <c r="AH74" s="713"/>
      <c r="AI74" s="112">
        <f>IF(H74="credit",0,IF(AE74="free",0,IF(AE74="me",0,IF(G74&gt;0,(VLOOKUP(A74,'Discount Lookup'!J:K,2)*G74),0))))</f>
        <v>0</v>
      </c>
      <c r="AJ74" s="107" t="str">
        <f t="shared" ca="1" si="13"/>
        <v/>
      </c>
      <c r="AK74" s="714" t="str">
        <f t="shared" si="14"/>
        <v/>
      </c>
      <c r="AL74" s="714"/>
      <c r="AM74" s="114" t="str">
        <f t="shared" si="15"/>
        <v/>
      </c>
      <c r="AN74" s="115"/>
      <c r="AO74" s="116"/>
      <c r="AP74" s="116"/>
      <c r="AQ74" s="116"/>
      <c r="AR74" s="116"/>
      <c r="AS74" s="116"/>
      <c r="AT74" s="116"/>
      <c r="AU74" s="116"/>
      <c r="AV74" s="78"/>
      <c r="AW74" s="102"/>
      <c r="AX74" s="78"/>
      <c r="AY74" s="78"/>
      <c r="AZ74" s="78"/>
      <c r="BA74" s="78"/>
      <c r="BB74" s="78"/>
      <c r="BC74" s="78"/>
      <c r="BD74" s="78"/>
      <c r="BE74" s="465"/>
      <c r="BF74" s="165" t="str">
        <f t="shared" si="16"/>
        <v>https://www.google.com/search?tbm=isch&amp;q=10%20G4</v>
      </c>
      <c r="BG74" s="165" t="str">
        <f t="shared" si="17"/>
        <v>A</v>
      </c>
      <c r="BH74" s="65"/>
      <c r="BI74" s="65"/>
      <c r="BJ74" s="65"/>
      <c r="BK74" s="65"/>
      <c r="BL74" s="99"/>
      <c r="BM74" s="99"/>
      <c r="BN74" s="99"/>
    </row>
    <row r="75" spans="1:66" s="51" customFormat="1" ht="15.75" x14ac:dyDescent="0.25">
      <c r="A75" s="634">
        <v>15</v>
      </c>
      <c r="B75" s="635" t="s">
        <v>291</v>
      </c>
      <c r="C75" s="636" t="s">
        <v>1141</v>
      </c>
      <c r="D75" s="637" t="s">
        <v>299</v>
      </c>
      <c r="E75" s="638">
        <v>339.95</v>
      </c>
      <c r="F75" s="639" t="s">
        <v>292</v>
      </c>
      <c r="G75" s="484">
        <v>0</v>
      </c>
      <c r="H75" s="691" t="str">
        <f t="shared" si="44"/>
        <v/>
      </c>
      <c r="I75" s="640">
        <f t="shared" si="45"/>
        <v>0</v>
      </c>
      <c r="J75" s="640">
        <f t="shared" si="46"/>
        <v>0</v>
      </c>
      <c r="K75" s="716">
        <f t="shared" ref="K75" si="50">I75+J75</f>
        <v>0</v>
      </c>
      <c r="L75" s="716"/>
      <c r="M75" s="689" t="str">
        <f t="shared" ca="1" si="48"/>
        <v/>
      </c>
      <c r="N75" s="690"/>
      <c r="O75" s="486"/>
      <c r="P75" s="486"/>
      <c r="Q75" s="486"/>
      <c r="R75" s="486"/>
      <c r="S75" s="486"/>
      <c r="T75" s="102">
        <f t="shared" si="5"/>
        <v>0</v>
      </c>
      <c r="U75" s="78">
        <f>IF(NOT(ISNUMBER(G75)), "", VLOOKUP(A75,'Discount Lookup'!D:E,2,FALSE)*G75)</f>
        <v>0</v>
      </c>
      <c r="V75" s="78">
        <f>IF(NOT(ISNUMBER(G75)), "", VLOOKUP(A75,'Discount Lookup'!G:H,2,FALSE)*G75)</f>
        <v>0</v>
      </c>
      <c r="W75" s="102">
        <f t="shared" si="6"/>
        <v>0</v>
      </c>
      <c r="X75" s="102">
        <f t="shared" si="7"/>
        <v>0</v>
      </c>
      <c r="Y75" s="120" t="b">
        <f t="shared" si="8"/>
        <v>0</v>
      </c>
      <c r="Z75" s="117">
        <f t="shared" si="9"/>
        <v>0</v>
      </c>
      <c r="AA75" s="118"/>
      <c r="AB75" s="118" t="str">
        <f t="shared" si="10"/>
        <v/>
      </c>
      <c r="AC75" s="712" t="str">
        <f>IF(AE75="T2G","no charge",IF(AND(OR(PlanterYesMe="No",PlanterYesMe="N",PlanterYesMe="me"),H75=""),"",IF(H75="credit","NO install",IF(AND(K75="",AE75="me"),"EACH row",IF(AND(K75="images",AE75="me"),"EACH row",IF(D75="","",IF(H75="credit","",IF(AE75="free","re-planting",IF(AE75="me","   not ELP, by",IF(AND(OR(PlanterYesMe="Yes",PlanterYesMe="Y"),G75&gt;0),(VLOOKUP(A75,'Discount Lookup'!J:K,2)*G75*(1-PlanterDiscount)*(1+PlanterDifficultyPercentage)),IF(AE75="ELP",(VLOOKUP(A75,'Discount Lookup'!J:K,2)*G75*(1-PlanterDiscount)*(1+PlanterDifficultyPercentage)),IF(AE75="free","re-planting",IF(G75=0,"",IF(PlanterYesMe="",IF(AE75="me","   not ELP, by",IF(AE75="",IF(G75&gt;0,(VLOOKUP(A75,'Discount Lookup'!J:K,2)*G75*(1-PlanterDiscount)*(1+PlanterDifficultyPercentage)),""),"")),"   not ELP, by"))))))))))))))</f>
        <v/>
      </c>
      <c r="AD75" s="712"/>
      <c r="AE75" s="513" t="str">
        <f t="shared" si="11"/>
        <v/>
      </c>
      <c r="AF75" s="713" t="str">
        <f t="shared" si="12"/>
        <v/>
      </c>
      <c r="AG75" s="713"/>
      <c r="AH75" s="713"/>
      <c r="AI75" s="112">
        <f>IF(H75="credit",0,IF(AE75="free",0,IF(AE75="me",0,IF(G75&gt;0,(VLOOKUP(A75,'Discount Lookup'!J:K,2)*G75),0))))</f>
        <v>0</v>
      </c>
      <c r="AJ75" s="107" t="str">
        <f t="shared" ca="1" si="13"/>
        <v/>
      </c>
      <c r="AK75" s="714" t="str">
        <f t="shared" si="14"/>
        <v/>
      </c>
      <c r="AL75" s="714"/>
      <c r="AM75" s="114" t="str">
        <f t="shared" si="15"/>
        <v/>
      </c>
      <c r="AN75" s="115"/>
      <c r="AO75" s="116"/>
      <c r="AP75" s="116"/>
      <c r="AQ75" s="116"/>
      <c r="AR75" s="116"/>
      <c r="AS75" s="116"/>
      <c r="AT75" s="116"/>
      <c r="AU75" s="116"/>
      <c r="AV75" s="78"/>
      <c r="AW75" s="102"/>
      <c r="AX75" s="78"/>
      <c r="AY75" s="78"/>
      <c r="AZ75" s="78"/>
      <c r="BA75" s="78"/>
      <c r="BB75" s="78"/>
      <c r="BC75" s="78"/>
      <c r="BD75" s="78"/>
      <c r="BE75" s="465"/>
      <c r="BF75" s="165" t="str">
        <f t="shared" si="16"/>
        <v>https://www.google.com/search?tbm=isch&amp;q=15%20G4</v>
      </c>
      <c r="BG75" s="165" t="str">
        <f t="shared" si="17"/>
        <v>A</v>
      </c>
      <c r="BH75" s="65"/>
      <c r="BI75" s="65"/>
      <c r="BJ75" s="65"/>
      <c r="BK75" s="65"/>
      <c r="BL75" s="99"/>
      <c r="BM75" s="99"/>
      <c r="BN75" s="99"/>
    </row>
    <row r="76" spans="1:66" s="51" customFormat="1" ht="15.75" x14ac:dyDescent="0.25">
      <c r="A76" s="634">
        <v>25</v>
      </c>
      <c r="B76" s="635" t="s">
        <v>291</v>
      </c>
      <c r="C76" s="636" t="s">
        <v>1142</v>
      </c>
      <c r="D76" s="637" t="s">
        <v>299</v>
      </c>
      <c r="E76" s="638">
        <v>631.95000000000005</v>
      </c>
      <c r="F76" s="639" t="s">
        <v>292</v>
      </c>
      <c r="G76" s="484">
        <v>0</v>
      </c>
      <c r="H76" s="691" t="str">
        <f t="shared" si="44"/>
        <v/>
      </c>
      <c r="I76" s="640">
        <f t="shared" si="45"/>
        <v>0</v>
      </c>
      <c r="J76" s="640">
        <f t="shared" si="46"/>
        <v>0</v>
      </c>
      <c r="K76" s="716">
        <f t="shared" ref="K76" si="51">I76+J76</f>
        <v>0</v>
      </c>
      <c r="L76" s="716"/>
      <c r="M76" s="689" t="str">
        <f t="shared" ca="1" si="48"/>
        <v/>
      </c>
      <c r="N76" s="690"/>
      <c r="O76" s="486"/>
      <c r="P76" s="486"/>
      <c r="Q76" s="486"/>
      <c r="R76" s="486"/>
      <c r="S76" s="486"/>
      <c r="T76" s="102">
        <f t="shared" si="5"/>
        <v>0</v>
      </c>
      <c r="U76" s="78">
        <f>IF(NOT(ISNUMBER(G76)), "", VLOOKUP(A76,'Discount Lookup'!D:E,2,FALSE)*G76)</f>
        <v>0</v>
      </c>
      <c r="V76" s="78">
        <f>IF(NOT(ISNUMBER(G76)), "", VLOOKUP(A76,'Discount Lookup'!G:H,2,FALSE)*G76)</f>
        <v>0</v>
      </c>
      <c r="W76" s="102">
        <f t="shared" si="6"/>
        <v>0</v>
      </c>
      <c r="X76" s="102">
        <f t="shared" si="7"/>
        <v>0</v>
      </c>
      <c r="Y76" s="120" t="b">
        <f t="shared" si="8"/>
        <v>0</v>
      </c>
      <c r="Z76" s="117">
        <f t="shared" si="9"/>
        <v>0</v>
      </c>
      <c r="AA76" s="118"/>
      <c r="AB76" s="118" t="str">
        <f t="shared" si="10"/>
        <v/>
      </c>
      <c r="AC76" s="712" t="str">
        <f>IF(AE76="T2G","no charge",IF(AND(OR(PlanterYesMe="No",PlanterYesMe="N",PlanterYesMe="me"),H76=""),"",IF(H76="credit","NO install",IF(AND(K76="",AE76="me"),"EACH row",IF(AND(K76="images",AE76="me"),"EACH row",IF(D76="","",IF(H76="credit","",IF(AE76="free","re-planting",IF(AE76="me","   not ELP, by",IF(AND(OR(PlanterYesMe="Yes",PlanterYesMe="Y"),G76&gt;0),(VLOOKUP(A76,'Discount Lookup'!J:K,2)*G76*(1-PlanterDiscount)*(1+PlanterDifficultyPercentage)),IF(AE76="ELP",(VLOOKUP(A76,'Discount Lookup'!J:K,2)*G76*(1-PlanterDiscount)*(1+PlanterDifficultyPercentage)),IF(AE76="free","re-planting",IF(G76=0,"",IF(PlanterYesMe="",IF(AE76="me","   not ELP, by",IF(AE76="",IF(G76&gt;0,(VLOOKUP(A76,'Discount Lookup'!J:K,2)*G76*(1-PlanterDiscount)*(1+PlanterDifficultyPercentage)),""),"")),"   not ELP, by"))))))))))))))</f>
        <v/>
      </c>
      <c r="AD76" s="712"/>
      <c r="AE76" s="513" t="str">
        <f t="shared" si="11"/>
        <v/>
      </c>
      <c r="AF76" s="713" t="str">
        <f t="shared" si="12"/>
        <v/>
      </c>
      <c r="AG76" s="713"/>
      <c r="AH76" s="713"/>
      <c r="AI76" s="112">
        <f>IF(H76="credit",0,IF(AE76="free",0,IF(AE76="me",0,IF(G76&gt;0,(VLOOKUP(A76,'Discount Lookup'!J:K,2)*G76),0))))</f>
        <v>0</v>
      </c>
      <c r="AJ76" s="107" t="str">
        <f t="shared" ca="1" si="13"/>
        <v/>
      </c>
      <c r="AK76" s="714" t="str">
        <f t="shared" si="14"/>
        <v/>
      </c>
      <c r="AL76" s="714"/>
      <c r="AM76" s="114" t="str">
        <f t="shared" si="15"/>
        <v/>
      </c>
      <c r="AN76" s="115"/>
      <c r="AO76" s="116"/>
      <c r="AP76" s="116"/>
      <c r="AQ76" s="116"/>
      <c r="AR76" s="116"/>
      <c r="AS76" s="116"/>
      <c r="AT76" s="116"/>
      <c r="AU76" s="116"/>
      <c r="AV76" s="78"/>
      <c r="AW76" s="102"/>
      <c r="AX76" s="78"/>
      <c r="AY76" s="78"/>
      <c r="AZ76" s="78"/>
      <c r="BA76" s="78"/>
      <c r="BB76" s="78"/>
      <c r="BC76" s="78"/>
      <c r="BD76" s="78"/>
      <c r="BE76" s="465"/>
      <c r="BF76" s="165" t="str">
        <f t="shared" si="16"/>
        <v>https://www.google.com/search?tbm=isch&amp;q=25%20G4</v>
      </c>
      <c r="BG76" s="165" t="str">
        <f t="shared" si="17"/>
        <v>A</v>
      </c>
      <c r="BH76" s="65"/>
      <c r="BI76" s="65"/>
      <c r="BJ76" s="65"/>
      <c r="BK76" s="65"/>
      <c r="BL76" s="99"/>
      <c r="BM76" s="99"/>
      <c r="BN76" s="99"/>
    </row>
    <row r="77" spans="1:66" s="51" customFormat="1" ht="15.75" x14ac:dyDescent="0.25">
      <c r="A77" s="634">
        <v>45</v>
      </c>
      <c r="B77" s="635" t="s">
        <v>291</v>
      </c>
      <c r="C77" s="636" t="s">
        <v>1143</v>
      </c>
      <c r="D77" s="637" t="s">
        <v>299</v>
      </c>
      <c r="E77" s="638">
        <v>797.95</v>
      </c>
      <c r="F77" s="639" t="s">
        <v>292</v>
      </c>
      <c r="G77" s="484">
        <v>0</v>
      </c>
      <c r="H77" s="691" t="str">
        <f t="shared" si="44"/>
        <v/>
      </c>
      <c r="I77" s="640">
        <f t="shared" si="45"/>
        <v>0</v>
      </c>
      <c r="J77" s="640">
        <f t="shared" si="46"/>
        <v>0</v>
      </c>
      <c r="K77" s="716">
        <f t="shared" ref="K77" si="52">I77+J77</f>
        <v>0</v>
      </c>
      <c r="L77" s="716"/>
      <c r="M77" s="689" t="str">
        <f t="shared" ca="1" si="48"/>
        <v/>
      </c>
      <c r="N77" s="690"/>
      <c r="O77" s="486"/>
      <c r="P77" s="486"/>
      <c r="Q77" s="486"/>
      <c r="R77" s="486"/>
      <c r="S77" s="486"/>
      <c r="T77" s="102">
        <f t="shared" si="5"/>
        <v>0</v>
      </c>
      <c r="U77" s="78">
        <f>IF(NOT(ISNUMBER(G77)), "", VLOOKUP(A77,'Discount Lookup'!D:E,2,FALSE)*G77)</f>
        <v>0</v>
      </c>
      <c r="V77" s="78">
        <f>IF(NOT(ISNUMBER(G77)), "", VLOOKUP(A77,'Discount Lookup'!G:H,2,FALSE)*G77)</f>
        <v>0</v>
      </c>
      <c r="W77" s="102">
        <f t="shared" si="6"/>
        <v>0</v>
      </c>
      <c r="X77" s="102">
        <f t="shared" si="7"/>
        <v>0</v>
      </c>
      <c r="Y77" s="120" t="b">
        <f t="shared" si="8"/>
        <v>0</v>
      </c>
      <c r="Z77" s="117">
        <f t="shared" si="9"/>
        <v>0</v>
      </c>
      <c r="AA77" s="118"/>
      <c r="AB77" s="118" t="str">
        <f t="shared" si="10"/>
        <v/>
      </c>
      <c r="AC77" s="712" t="str">
        <f>IF(AE77="T2G","no charge",IF(AND(OR(PlanterYesMe="No",PlanterYesMe="N",PlanterYesMe="me"),H77=""),"",IF(H77="credit","NO install",IF(AND(K77="",AE77="me"),"EACH row",IF(AND(K77="images",AE77="me"),"EACH row",IF(D77="","",IF(H77="credit","",IF(AE77="free","re-planting",IF(AE77="me","   not ELP, by",IF(AND(OR(PlanterYesMe="Yes",PlanterYesMe="Y"),G77&gt;0),(VLOOKUP(A77,'Discount Lookup'!J:K,2)*G77*(1-PlanterDiscount)*(1+PlanterDifficultyPercentage)),IF(AE77="ELP",(VLOOKUP(A77,'Discount Lookup'!J:K,2)*G77*(1-PlanterDiscount)*(1+PlanterDifficultyPercentage)),IF(AE77="free","re-planting",IF(G77=0,"",IF(PlanterYesMe="",IF(AE77="me","   not ELP, by",IF(AE77="",IF(G77&gt;0,(VLOOKUP(A77,'Discount Lookup'!J:K,2)*G77*(1-PlanterDiscount)*(1+PlanterDifficultyPercentage)),""),"")),"   not ELP, by"))))))))))))))</f>
        <v/>
      </c>
      <c r="AD77" s="712"/>
      <c r="AE77" s="513" t="str">
        <f t="shared" si="11"/>
        <v/>
      </c>
      <c r="AF77" s="713" t="str">
        <f t="shared" si="12"/>
        <v/>
      </c>
      <c r="AG77" s="713"/>
      <c r="AH77" s="713"/>
      <c r="AI77" s="112">
        <f>IF(H77="credit",0,IF(AE77="free",0,IF(AE77="me",0,IF(G77&gt;0,(VLOOKUP(A77,'Discount Lookup'!J:K,2)*G77),0))))</f>
        <v>0</v>
      </c>
      <c r="AJ77" s="107" t="str">
        <f t="shared" ca="1" si="13"/>
        <v/>
      </c>
      <c r="AK77" s="714" t="str">
        <f t="shared" si="14"/>
        <v/>
      </c>
      <c r="AL77" s="714"/>
      <c r="AM77" s="114" t="str">
        <f t="shared" si="15"/>
        <v/>
      </c>
      <c r="AN77" s="115"/>
      <c r="AO77" s="116"/>
      <c r="AP77" s="116"/>
      <c r="AQ77" s="116"/>
      <c r="AR77" s="116"/>
      <c r="AS77" s="116"/>
      <c r="AT77" s="116"/>
      <c r="AU77" s="116"/>
      <c r="AV77" s="78"/>
      <c r="AW77" s="102"/>
      <c r="AX77" s="78"/>
      <c r="AY77" s="78"/>
      <c r="AZ77" s="78"/>
      <c r="BA77" s="78"/>
      <c r="BB77" s="78"/>
      <c r="BC77" s="78"/>
      <c r="BD77" s="78"/>
      <c r="BE77" s="465"/>
      <c r="BF77" s="165" t="str">
        <f t="shared" si="16"/>
        <v>https://www.google.com/search?tbm=isch&amp;q=45%20G4</v>
      </c>
      <c r="BG77" s="165" t="str">
        <f t="shared" si="17"/>
        <v>A</v>
      </c>
      <c r="BH77" s="65"/>
      <c r="BI77" s="65"/>
      <c r="BJ77" s="65"/>
      <c r="BK77" s="65"/>
      <c r="BL77" s="99"/>
      <c r="BM77" s="99"/>
      <c r="BN77" s="99"/>
    </row>
    <row r="78" spans="1:66" s="51" customFormat="1" ht="15.75" x14ac:dyDescent="0.25">
      <c r="A78" s="634">
        <v>95</v>
      </c>
      <c r="B78" s="635" t="s">
        <v>291</v>
      </c>
      <c r="C78" s="636" t="s">
        <v>1144</v>
      </c>
      <c r="D78" s="637" t="s">
        <v>299</v>
      </c>
      <c r="E78" s="638">
        <v>1186.95</v>
      </c>
      <c r="F78" s="639" t="s">
        <v>292</v>
      </c>
      <c r="G78" s="484">
        <v>0</v>
      </c>
      <c r="H78" s="691" t="str">
        <f t="shared" si="44"/>
        <v/>
      </c>
      <c r="I78" s="640">
        <f t="shared" si="45"/>
        <v>0</v>
      </c>
      <c r="J78" s="640">
        <f t="shared" si="46"/>
        <v>0</v>
      </c>
      <c r="K78" s="716">
        <f t="shared" ref="K78" si="53">I78+J78</f>
        <v>0</v>
      </c>
      <c r="L78" s="716"/>
      <c r="M78" s="689" t="str">
        <f t="shared" ca="1" si="48"/>
        <v/>
      </c>
      <c r="N78" s="690"/>
      <c r="O78" s="486"/>
      <c r="P78" s="486"/>
      <c r="Q78" s="486"/>
      <c r="R78" s="486"/>
      <c r="S78" s="486"/>
      <c r="T78" s="102">
        <f t="shared" si="5"/>
        <v>0</v>
      </c>
      <c r="U78" s="78">
        <f>IF(NOT(ISNUMBER(G78)), "", VLOOKUP(A78,'Discount Lookup'!D:E,2,FALSE)*G78)</f>
        <v>0</v>
      </c>
      <c r="V78" s="78">
        <f>IF(NOT(ISNUMBER(G78)), "", VLOOKUP(A78,'Discount Lookup'!G:H,2,FALSE)*G78)</f>
        <v>0</v>
      </c>
      <c r="W78" s="102">
        <f t="shared" si="6"/>
        <v>0</v>
      </c>
      <c r="X78" s="102">
        <f t="shared" si="7"/>
        <v>0</v>
      </c>
      <c r="Y78" s="120" t="b">
        <f t="shared" si="8"/>
        <v>0</v>
      </c>
      <c r="Z78" s="117">
        <f t="shared" si="9"/>
        <v>0</v>
      </c>
      <c r="AA78" s="118"/>
      <c r="AB78" s="118" t="str">
        <f t="shared" si="10"/>
        <v/>
      </c>
      <c r="AC78" s="712" t="str">
        <f>IF(AE78="T2G","no charge",IF(AND(OR(PlanterYesMe="No",PlanterYesMe="N",PlanterYesMe="me"),H78=""),"",IF(H78="credit","NO install",IF(AND(K78="",AE78="me"),"EACH row",IF(AND(K78="images",AE78="me"),"EACH row",IF(D78="","",IF(H78="credit","",IF(AE78="free","re-planting",IF(AE78="me","   not ELP, by",IF(AND(OR(PlanterYesMe="Yes",PlanterYesMe="Y"),G78&gt;0),(VLOOKUP(A78,'Discount Lookup'!J:K,2)*G78*(1-PlanterDiscount)*(1+PlanterDifficultyPercentage)),IF(AE78="ELP",(VLOOKUP(A78,'Discount Lookup'!J:K,2)*G78*(1-PlanterDiscount)*(1+PlanterDifficultyPercentage)),IF(AE78="free","re-planting",IF(G78=0,"",IF(PlanterYesMe="",IF(AE78="me","   not ELP, by",IF(AE78="",IF(G78&gt;0,(VLOOKUP(A78,'Discount Lookup'!J:K,2)*G78*(1-PlanterDiscount)*(1+PlanterDifficultyPercentage)),""),"")),"   not ELP, by"))))))))))))))</f>
        <v/>
      </c>
      <c r="AD78" s="712"/>
      <c r="AE78" s="513" t="str">
        <f t="shared" si="11"/>
        <v/>
      </c>
      <c r="AF78" s="713" t="str">
        <f t="shared" si="12"/>
        <v/>
      </c>
      <c r="AG78" s="713"/>
      <c r="AH78" s="713"/>
      <c r="AI78" s="112">
        <f>IF(H78="credit",0,IF(AE78="free",0,IF(AE78="me",0,IF(G78&gt;0,(VLOOKUP(A78,'Discount Lookup'!J:K,2)*G78),0))))</f>
        <v>0</v>
      </c>
      <c r="AJ78" s="107" t="str">
        <f t="shared" ca="1" si="13"/>
        <v/>
      </c>
      <c r="AK78" s="714" t="str">
        <f t="shared" si="14"/>
        <v/>
      </c>
      <c r="AL78" s="714"/>
      <c r="AM78" s="114" t="str">
        <f t="shared" si="15"/>
        <v/>
      </c>
      <c r="AN78" s="115"/>
      <c r="AO78" s="116"/>
      <c r="AP78" s="116"/>
      <c r="AQ78" s="116"/>
      <c r="AR78" s="116"/>
      <c r="AS78" s="116"/>
      <c r="AT78" s="116"/>
      <c r="AU78" s="116"/>
      <c r="AV78" s="78"/>
      <c r="AW78" s="102"/>
      <c r="AX78" s="78"/>
      <c r="AY78" s="78"/>
      <c r="AZ78" s="78"/>
      <c r="BA78" s="78"/>
      <c r="BB78" s="78"/>
      <c r="BC78" s="78"/>
      <c r="BD78" s="78"/>
      <c r="BE78" s="465"/>
      <c r="BF78" s="165" t="str">
        <f t="shared" si="16"/>
        <v>https://www.google.com/search?tbm=isch&amp;q=95%20G4</v>
      </c>
      <c r="BG78" s="165" t="str">
        <f t="shared" si="17"/>
        <v>A</v>
      </c>
      <c r="BH78" s="65"/>
      <c r="BI78" s="65"/>
      <c r="BJ78" s="65"/>
      <c r="BK78" s="65"/>
      <c r="BL78" s="99"/>
      <c r="BM78" s="99"/>
      <c r="BN78" s="99"/>
    </row>
    <row r="79" spans="1:66" s="51" customFormat="1" ht="17.25" thickBot="1" x14ac:dyDescent="0.3">
      <c r="A79" s="704" t="s">
        <v>5314</v>
      </c>
      <c r="B79" s="642"/>
      <c r="C79" s="710"/>
      <c r="D79" s="643"/>
      <c r="E79" s="643"/>
      <c r="F79" s="644"/>
      <c r="G79" s="645"/>
      <c r="H79" s="646"/>
      <c r="I79" s="647"/>
      <c r="J79" s="648"/>
      <c r="K79" s="649"/>
      <c r="L79" s="650"/>
      <c r="M79" s="650"/>
      <c r="N79" s="644"/>
      <c r="O79" s="644"/>
      <c r="P79" s="644"/>
      <c r="Q79" s="644"/>
      <c r="R79" s="644"/>
      <c r="S79" s="701" t="s">
        <v>5251</v>
      </c>
      <c r="T79" s="102">
        <f t="shared" si="5"/>
        <v>0</v>
      </c>
      <c r="U79" s="78" t="str">
        <f>IF(NOT(ISNUMBER(G79)), "", VLOOKUP(A79,'Discount Lookup'!D:E,2,FALSE)*G79)</f>
        <v/>
      </c>
      <c r="V79" s="78" t="str">
        <f>IF(NOT(ISNUMBER(G79)), "", VLOOKUP(A79,'Discount Lookup'!G:H,2,FALSE)*G79)</f>
        <v/>
      </c>
      <c r="W79" s="102">
        <f t="shared" si="6"/>
        <v>0</v>
      </c>
      <c r="X79" s="102">
        <f t="shared" si="7"/>
        <v>0</v>
      </c>
      <c r="Y79" s="120" t="b">
        <f t="shared" si="8"/>
        <v>0</v>
      </c>
      <c r="Z79" s="117">
        <f t="shared" si="9"/>
        <v>0</v>
      </c>
      <c r="AA79" s="118"/>
      <c r="AB79" s="118" t="str">
        <f t="shared" si="10"/>
        <v/>
      </c>
      <c r="AC79" s="712" t="str">
        <f>IF(AE79="T2G","no charge",IF(AND(OR(PlanterYesMe="No",PlanterYesMe="N",PlanterYesMe="me"),H79=""),"",IF(H79="credit","NO install",IF(AND(K79="",AE79="me"),"EACH row",IF(AND(K79="images",AE79="me"),"EACH row",IF(D79="","",IF(H79="credit","",IF(AE79="free","re-planting",IF(AE79="me","   not ELP, by",IF(AND(OR(PlanterYesMe="Yes",PlanterYesMe="Y"),G79&gt;0),(VLOOKUP(A79,'Discount Lookup'!J:K,2)*G79*(1-PlanterDiscount)*(1+PlanterDifficultyPercentage)),IF(AE79="ELP",(VLOOKUP(A79,'Discount Lookup'!J:K,2)*G79*(1-PlanterDiscount)*(1+PlanterDifficultyPercentage)),IF(AE79="free","re-planting",IF(G79=0,"",IF(PlanterYesMe="",IF(AE79="me","   not ELP, by",IF(AE79="",IF(G79&gt;0,(VLOOKUP(A79,'Discount Lookup'!J:K,2)*G79*(1-PlanterDiscount)*(1+PlanterDifficultyPercentage)),""),"")),"   not ELP, by"))))))))))))))</f>
        <v/>
      </c>
      <c r="AD79" s="712"/>
      <c r="AE79" s="513" t="str">
        <f t="shared" si="11"/>
        <v/>
      </c>
      <c r="AF79" s="713" t="str">
        <f t="shared" si="12"/>
        <v/>
      </c>
      <c r="AG79" s="713"/>
      <c r="AH79" s="713"/>
      <c r="AI79" s="112">
        <f>IF(H79="credit",0,IF(AE79="free",0,IF(AE79="me",0,IF(G79&gt;0,(VLOOKUP(A79,'Discount Lookup'!J:K,2)*G79),0))))</f>
        <v>0</v>
      </c>
      <c r="AJ79" s="107" t="str">
        <f t="shared" ca="1" si="13"/>
        <v/>
      </c>
      <c r="AK79" s="714" t="str">
        <f t="shared" si="14"/>
        <v/>
      </c>
      <c r="AL79" s="714"/>
      <c r="AM79" s="114" t="str">
        <f t="shared" si="15"/>
        <v/>
      </c>
      <c r="AN79" s="115"/>
      <c r="AO79" s="116"/>
      <c r="AP79" s="116"/>
      <c r="AQ79" s="116"/>
      <c r="AR79" s="116"/>
      <c r="AS79" s="116"/>
      <c r="AT79" s="116"/>
      <c r="AU79" s="116"/>
      <c r="AV79" s="78"/>
      <c r="AW79" s="102"/>
      <c r="AX79" s="78"/>
      <c r="AY79" s="78"/>
      <c r="AZ79" s="78"/>
      <c r="BA79" s="78"/>
      <c r="BB79" s="78"/>
      <c r="BC79" s="78"/>
      <c r="BD79" s="78"/>
      <c r="BE79" s="465"/>
      <c r="BF79" s="165" t="str">
        <f t="shared" si="16"/>
        <v>https://www.google.com/search?tbm=isch&amp;q=wet%20sites%F0%9F%92%A7OK%2C%20Paperbark%20bark%20exfoliates%20from%20Copper-Orange%20in%20summer%20to%20Red-Brown%20through%20the%20winter.%20Orange%20to%20Scarlet%20Red%20fall%20foliage%20</v>
      </c>
      <c r="BG79" s="165" t="str">
        <f t="shared" si="17"/>
        <v>w</v>
      </c>
      <c r="BH79" s="65"/>
      <c r="BI79" s="65"/>
      <c r="BJ79" s="65"/>
      <c r="BK79" s="65"/>
      <c r="BL79" s="99"/>
      <c r="BM79" s="99"/>
      <c r="BN79" s="99"/>
    </row>
    <row r="80" spans="1:66" s="51" customFormat="1" ht="18" x14ac:dyDescent="0.25">
      <c r="A80" s="623" t="s">
        <v>1145</v>
      </c>
      <c r="B80" s="624"/>
      <c r="C80" s="709"/>
      <c r="D80" s="625" t="s">
        <v>1146</v>
      </c>
      <c r="E80" s="626"/>
      <c r="F80" s="626"/>
      <c r="G80" s="626"/>
      <c r="H80" s="622" t="s">
        <v>1147</v>
      </c>
      <c r="I80" s="627" t="s">
        <v>432</v>
      </c>
      <c r="J80" s="628"/>
      <c r="K80" s="628"/>
      <c r="L80" s="629"/>
      <c r="M80" s="702" t="s">
        <v>5252</v>
      </c>
      <c r="N80" s="693" t="str">
        <f>IF(AND(ISTEXT($A80), ISERROR($A80+0)), HYPERLINK($BF80, "Images"), "")</f>
        <v>Images</v>
      </c>
      <c r="O80" s="695" t="s">
        <v>5247</v>
      </c>
      <c r="P80" s="630"/>
      <c r="Q80" s="631"/>
      <c r="R80" s="632"/>
      <c r="S80" s="633"/>
      <c r="T80" s="102">
        <f t="shared" si="5"/>
        <v>0</v>
      </c>
      <c r="U80" s="78" t="str">
        <f>IF(NOT(ISNUMBER(G80)), "", VLOOKUP(A80,'Discount Lookup'!D:E,2,FALSE)*G80)</f>
        <v/>
      </c>
      <c r="V80" s="78" t="str">
        <f>IF(NOT(ISNUMBER(G80)), "", VLOOKUP(A80,'Discount Lookup'!G:H,2,FALSE)*G80)</f>
        <v/>
      </c>
      <c r="W80" s="102">
        <f t="shared" si="6"/>
        <v>0</v>
      </c>
      <c r="X80" s="102" t="str">
        <f t="shared" si="7"/>
        <v>Green foliage</v>
      </c>
      <c r="Y80" s="120" t="b">
        <f t="shared" si="8"/>
        <v>0</v>
      </c>
      <c r="Z80" s="117">
        <f t="shared" si="9"/>
        <v>0</v>
      </c>
      <c r="AA80" s="118"/>
      <c r="AB80" s="118" t="str">
        <f t="shared" si="10"/>
        <v/>
      </c>
      <c r="AC80" s="712" t="str">
        <f>IF(AE80="T2G","no charge",IF(AND(OR(PlanterYesMe="No",PlanterYesMe="N",PlanterYesMe="me"),H80=""),"",IF(H80="credit","NO install",IF(AND(K80="",AE80="me"),"EACH row",IF(AND(K80="images",AE80="me"),"EACH row",IF(D80="","",IF(H80="credit","",IF(AE80="free","re-planting",IF(AE80="me","   not ELP, by",IF(AND(OR(PlanterYesMe="Yes",PlanterYesMe="Y"),G80&gt;0),(VLOOKUP(A80,'Discount Lookup'!J:K,2)*G80*(1-PlanterDiscount)*(1+PlanterDifficultyPercentage)),IF(AE80="ELP",(VLOOKUP(A80,'Discount Lookup'!J:K,2)*G80*(1-PlanterDiscount)*(1+PlanterDifficultyPercentage)),IF(AE80="free","re-planting",IF(G80=0,"",IF(PlanterYesMe="",IF(AE80="me","   not ELP, by",IF(AE80="",IF(G80&gt;0,(VLOOKUP(A80,'Discount Lookup'!J:K,2)*G80*(1-PlanterDiscount)*(1+PlanterDifficultyPercentage)),""),"")),"   not ELP, by"))))))))))))))</f>
        <v/>
      </c>
      <c r="AD80" s="712"/>
      <c r="AE80" s="513" t="str">
        <f t="shared" si="11"/>
        <v/>
      </c>
      <c r="AF80" s="713" t="str">
        <f t="shared" si="12"/>
        <v/>
      </c>
      <c r="AG80" s="713"/>
      <c r="AH80" s="713"/>
      <c r="AI80" s="112">
        <f>IF(H80="credit",0,IF(AE80="free",0,IF(AE80="me",0,IF(G80&gt;0,(VLOOKUP(A80,'Discount Lookup'!J:K,2)*G80),0))))</f>
        <v>0</v>
      </c>
      <c r="AJ80" s="107" t="str">
        <f t="shared" ca="1" si="13"/>
        <v/>
      </c>
      <c r="AK80" s="714" t="str">
        <f t="shared" si="14"/>
        <v/>
      </c>
      <c r="AL80" s="714"/>
      <c r="AM80" s="114" t="str">
        <f t="shared" si="15"/>
        <v/>
      </c>
      <c r="AN80" s="115"/>
      <c r="AO80" s="116"/>
      <c r="AP80" s="116"/>
      <c r="AQ80" s="116"/>
      <c r="AR80" s="116"/>
      <c r="AS80" s="116"/>
      <c r="AT80" s="116"/>
      <c r="AU80" s="116"/>
      <c r="AV80" s="78"/>
      <c r="AW80" s="102"/>
      <c r="AX80" s="78"/>
      <c r="AY80" s="78"/>
      <c r="AZ80" s="78"/>
      <c r="BA80" s="78"/>
      <c r="BB80" s="78"/>
      <c r="BC80" s="78"/>
      <c r="BD80" s="78"/>
      <c r="BE80" s="465"/>
      <c r="BF80" s="165" t="str">
        <f t="shared" si="16"/>
        <v>https://www.google.com/search?tbm=isch&amp;q=Acer%20japonicum%20%27Aconitifolium%27%20Full%20Moon%20Japanese%20Maple</v>
      </c>
      <c r="BG80" s="165" t="str">
        <f t="shared" si="17"/>
        <v>A</v>
      </c>
      <c r="BH80" s="65"/>
      <c r="BI80" s="65"/>
      <c r="BJ80" s="65"/>
      <c r="BK80" s="65"/>
      <c r="BL80" s="99"/>
      <c r="BM80" s="99"/>
      <c r="BN80" s="99"/>
    </row>
    <row r="81" spans="1:66" s="51" customFormat="1" ht="15.75" x14ac:dyDescent="0.25">
      <c r="A81" s="634">
        <v>7</v>
      </c>
      <c r="B81" s="635" t="s">
        <v>291</v>
      </c>
      <c r="C81" s="636" t="s">
        <v>1148</v>
      </c>
      <c r="D81" s="637" t="s">
        <v>299</v>
      </c>
      <c r="E81" s="638">
        <v>247.95</v>
      </c>
      <c r="F81" s="639" t="s">
        <v>292</v>
      </c>
      <c r="G81" s="484">
        <v>0</v>
      </c>
      <c r="H81" s="691" t="str">
        <f>IF(G81=0,"",IF(F81="Buy",IF(G81=1,"plant","plants"),IF(F81&gt;0.01,"warranty","Error")))</f>
        <v/>
      </c>
      <c r="I81" s="640">
        <f>IF(H81="free",0,IF(H81="credit",((E81*(F81))*G81*-1),IF(F81="Buy",(E81*G81),((E81*(1-F81))*G81))))</f>
        <v>0</v>
      </c>
      <c r="J81" s="640">
        <f>IF(H81="warranty",0,(I81*(_xlfn.SINGLE(SalesTaxPercentage))))</f>
        <v>0</v>
      </c>
      <c r="K81" s="716">
        <f t="shared" ref="K81" si="54">I81+J81</f>
        <v>0</v>
      </c>
      <c r="L81" s="716"/>
      <c r="M81" s="689" t="str">
        <f ca="1">IF(AND(G81&gt;0,E81=0),"WARNING - no PRICE inserted",IF(H81="free","FREE ~ no charge this plant",IF(H81="credit",CONCATENATE("-$",ROUND(K81*(1-_xlfn.SINGLE(T2GDiscount))*-1,2)," CREDIT after discount"),IF(_xlfn.SINGLE(T2GDiscount)=0,"",IF(G81=0,"",IF(F81="Buy",CONCATENATE("$",ROUND(K81*(1-_xlfn.SINGLE(T2GDiscount)),2)," with ",(_xlfn.SINGLE(T2GDiscount)*100),"% discount"),CONCATENATE("$",ROUND(K81*(1-_xlfn.SINGLE(T2GDiscount)),2)," with ",((_xlfn.SINGLE(T2GDiscount)*100+F81*100)-(_xlfn.SINGLE(T2GDiscount)*100*F81)),IF(F81&gt;0,"% discounts",IF(_xlfn.SINGLE(NoWarrantyDiscount)&gt;0,"% discounts","% discount")))))))))</f>
        <v/>
      </c>
      <c r="N81" s="690"/>
      <c r="O81" s="486"/>
      <c r="P81" s="486"/>
      <c r="Q81" s="486"/>
      <c r="R81" s="486"/>
      <c r="S81" s="486"/>
      <c r="T81" s="102">
        <f t="shared" ref="T81:T144" si="55">E81*G81</f>
        <v>0</v>
      </c>
      <c r="U81" s="78">
        <f>IF(NOT(ISNUMBER(G81)), "", VLOOKUP(A81,'Discount Lookup'!D:E,2,FALSE)*G81)</f>
        <v>0</v>
      </c>
      <c r="V81" s="78">
        <f>IF(NOT(ISNUMBER(G81)), "", VLOOKUP(A81,'Discount Lookup'!G:H,2,FALSE)*G81)</f>
        <v>0</v>
      </c>
      <c r="W81" s="102">
        <f t="shared" ref="W81:W144" si="56">IF(H81="credit",0,E81*(SalesTaxPercentage)*G81)</f>
        <v>0</v>
      </c>
      <c r="X81" s="102">
        <f t="shared" ref="X81:X144" si="57">I81</f>
        <v>0</v>
      </c>
      <c r="Y81" s="120" t="b">
        <f t="shared" ref="Y81:Y144" si="58">IF(AE81="T2G",0,IF(H81="credit",0,IF(G81&gt;0,IF(AE81="me","",G81))))</f>
        <v>0</v>
      </c>
      <c r="Z81" s="117">
        <f t="shared" ref="Z81:Z144" si="59">IF(H81="credit",G81,0)</f>
        <v>0</v>
      </c>
      <c r="AA81" s="118"/>
      <c r="AB81" s="118" t="str">
        <f t="shared" ref="AB81:AB144" si="60">IF(AE81="T2G","by Trees2Go",IF(H81="credit","CREDIT only ~",IF(AND(K81="",AE81=OR(PlanterYesMe="No",PlanterYesMe="N",PlanterYesMe="me")),"not THIS line⇨",IF(AND(K81="images",AE81="me"),"not THIS line⇨",IF(H81="credit","",IF(G81=0,"",IF(AE81="me","",IF(OR(PlanterYesMe="No",PlanterYesMe="N",PlanterYesMe="me"),"",IF(AE81="free","warranty",IF(OR(PlanterYesMe="yes",PlanterYesMe="y"),"Edison install:","to install:"))))))))))</f>
        <v/>
      </c>
      <c r="AC81" s="712" t="str">
        <f>IF(AE81="T2G","no charge",IF(AND(OR(PlanterYesMe="No",PlanterYesMe="N",PlanterYesMe="me"),H81=""),"",IF(H81="credit","NO install",IF(AND(K81="",AE81="me"),"EACH row",IF(AND(K81="images",AE81="me"),"EACH row",IF(D81="","",IF(H81="credit","",IF(AE81="free","re-planting",IF(AE81="me","   not ELP, by",IF(AND(OR(PlanterYesMe="Yes",PlanterYesMe="Y"),G81&gt;0),(VLOOKUP(A81,'Discount Lookup'!J:K,2)*G81*(1-PlanterDiscount)*(1+PlanterDifficultyPercentage)),IF(AE81="ELP",(VLOOKUP(A81,'Discount Lookup'!J:K,2)*G81*(1-PlanterDiscount)*(1+PlanterDifficultyPercentage)),IF(AE81="free","re-planting",IF(G81=0,"",IF(PlanterYesMe="",IF(AE81="me","   not ELP, by",IF(AE81="",IF(G81&gt;0,(VLOOKUP(A81,'Discount Lookup'!J:K,2)*G81*(1-PlanterDiscount)*(1+PlanterDifficultyPercentage)),""),"")),"   not ELP, by"))))))))))))))</f>
        <v/>
      </c>
      <c r="AD81" s="712"/>
      <c r="AE81" s="513" t="str">
        <f t="shared" ref="AE81:AE144" si="61">IF(H81="credit","",IF(G81=0,"",IF(OR(PlanterYesMe="No",PlanterYesMe="N",PlanterYesMe="me"),"me",IF(H81="warranty","free",IF(OR(PlanterYesMe="yes",PlanterYesMe="y"),"ELP","")))))</f>
        <v/>
      </c>
      <c r="AF81" s="713" t="str">
        <f t="shared" ref="AF81:AF144" si="62">IF(OR(PlanterYesMe="No",PlanterYesMe="N",PlanterYesMe="me"),"",IF(H81="credit","",IF(G81&gt;0,(CONCATENATE((G81)," quantity, ",(A81)," ",B81)),"")))</f>
        <v/>
      </c>
      <c r="AG81" s="713"/>
      <c r="AH81" s="713"/>
      <c r="AI81" s="112">
        <f>IF(H81="credit",0,IF(AE81="free",0,IF(AE81="me",0,IF(G81&gt;0,(VLOOKUP(A81,'Discount Lookup'!J:K,2)*G81),0))))</f>
        <v>0</v>
      </c>
      <c r="AJ81" s="107" t="str">
        <f t="shared" ref="AJ81:AJ144" ca="1" si="63">IF(AND(ISREF(H81),H81="credit"),"",IF(AND(AND(OFFSET(G81,0,0)=0,OFFSET(G81,1,0)&gt;0,ISNUMBER(OFFSET(AC81,1,0)),OFFSET(AC81,1,0)&gt;0),OR(PlanterYesMe="yes",PlanterYesMe="y")),"T2G+ELP=",IF(AND(OFFSET(G81,0,0)=0,OFFSET(G81,1,0)&gt;0,ISNUMBER(OFFSET(AC81,1,0)),OFFSET(AC81,1,0)&gt;0),"if T2G+ELP=",IF(AND(OFFSET(G81,0,0)=0,OFFSET(G81,1,0)&gt;0),"T2G Subtotal",IF(H81="credit","",IF(G81=0,"",IF(AE81="free",(K81*(1-T2GDiscount)),IF(OR(PlanterYesMe="No",PlanterYesMe="N",PlanterYesMe="me"),(K81*(1-T2GDiscount)),IF(OR(AE81="me",AE81="T2G"),(K81*(1-T2GDiscount)),(K81*(1-T2GDiscount))+AC81)))))))))</f>
        <v/>
      </c>
      <c r="AK81" s="714" t="str">
        <f t="shared" ref="AK81:AK144" si="64">IF(H81="credit","",IF(G81=0,"",IF(OR(AE81="me",AE81="T2G"),"  delivery-only",IF(OR(PlanterYesMe="No",PlanterYesMe="N",PlanterYesMe="me"),"  delivery-only",CONCATENATE(" $",ROUND(AJ81/G81,2)," each")))))</f>
        <v/>
      </c>
      <c r="AL81" s="714"/>
      <c r="AM81" s="114" t="str">
        <f t="shared" ref="AM81:AM144" si="65">IF(H81="credit","",IF(AE81="free","      ~ discounts included, no tax or planting fee applies ~",IF(G81=0,"",IF(OR(PlanterYesMe="No",PlanterYesMe="N",PlanterYesMe="me"),CONCATENATE(" $",ROUND(AJ81/G81,2)," per plant, with tax &amp; discount"),IF(OR(AE81="me",AE81="T2G"),CONCATENATE(" $",ROUND(AJ81/G81,2)," per plant, with tax &amp; discount"),CONCATENATE("= $",ROUND((K81*(1-T2GDiscount))/G81,2)," per plant + $",AC81/G81,(" per planting      ~ includes tax &amp; discounts ~")))))))</f>
        <v/>
      </c>
      <c r="AN81" s="115"/>
      <c r="AO81" s="116"/>
      <c r="AP81" s="116"/>
      <c r="AQ81" s="116"/>
      <c r="AR81" s="116"/>
      <c r="AS81" s="116"/>
      <c r="AT81" s="116"/>
      <c r="AU81" s="116"/>
      <c r="AV81" s="78"/>
      <c r="AW81" s="102"/>
      <c r="AX81" s="78"/>
      <c r="AY81" s="78"/>
      <c r="AZ81" s="78"/>
      <c r="BA81" s="78"/>
      <c r="BB81" s="78"/>
      <c r="BC81" s="78"/>
      <c r="BD81" s="78"/>
      <c r="BE81" s="465"/>
      <c r="BF81" s="165" t="str">
        <f t="shared" ref="BF81:BF144" si="66">"https://www.google.com/search?tbm=isch&amp;q=" &amp; _xlfn.ENCODEURL($A81 &amp; " " &amp; $D81)</f>
        <v>https://www.google.com/search?tbm=isch&amp;q=7%20G4</v>
      </c>
      <c r="BG81" s="165" t="str">
        <f t="shared" ref="BG81:BG144" si="67">IF(ISTEXT(A81),LEFT(A81,1),BG80)</f>
        <v>A</v>
      </c>
      <c r="BH81" s="65"/>
      <c r="BI81" s="65"/>
      <c r="BJ81" s="65"/>
      <c r="BK81" s="65"/>
      <c r="BL81" s="99"/>
      <c r="BM81" s="99"/>
      <c r="BN81" s="99"/>
    </row>
    <row r="82" spans="1:66" s="51" customFormat="1" ht="15.75" x14ac:dyDescent="0.25">
      <c r="A82" s="634">
        <v>25</v>
      </c>
      <c r="B82" s="635" t="s">
        <v>291</v>
      </c>
      <c r="C82" s="636" t="s">
        <v>919</v>
      </c>
      <c r="D82" s="637" t="s">
        <v>299</v>
      </c>
      <c r="E82" s="638">
        <v>869.95</v>
      </c>
      <c r="F82" s="639" t="s">
        <v>292</v>
      </c>
      <c r="G82" s="484">
        <v>0</v>
      </c>
      <c r="H82" s="691" t="str">
        <f>IF(G82=0,"",IF(F82="Buy",IF(G82=1,"plant","plants"),IF(F82&gt;0.01,"warranty","Error")))</f>
        <v/>
      </c>
      <c r="I82" s="640">
        <f>IF(H82="free",0,IF(H82="credit",((E82*(F82))*G82*-1),IF(F82="Buy",(E82*G82),((E82*(1-F82))*G82))))</f>
        <v>0</v>
      </c>
      <c r="J82" s="640">
        <f>IF(H82="warranty",0,(I82*(_xlfn.SINGLE(SalesTaxPercentage))))</f>
        <v>0</v>
      </c>
      <c r="K82" s="716">
        <f t="shared" ref="K82" si="68">I82+J82</f>
        <v>0</v>
      </c>
      <c r="L82" s="716"/>
      <c r="M82" s="689" t="str">
        <f ca="1">IF(AND(G82&gt;0,E82=0),"WARNING - no PRICE inserted",IF(H82="free","FREE ~ no charge this plant",IF(H82="credit",CONCATENATE("-$",ROUND(K82*(1-_xlfn.SINGLE(T2GDiscount))*-1,2)," CREDIT after discount"),IF(_xlfn.SINGLE(T2GDiscount)=0,"",IF(G82=0,"",IF(F82="Buy",CONCATENATE("$",ROUND(K82*(1-_xlfn.SINGLE(T2GDiscount)),2)," with ",(_xlfn.SINGLE(T2GDiscount)*100),"% discount"),CONCATENATE("$",ROUND(K82*(1-_xlfn.SINGLE(T2GDiscount)),2)," with ",((_xlfn.SINGLE(T2GDiscount)*100+F82*100)-(_xlfn.SINGLE(T2GDiscount)*100*F82)),IF(F82&gt;0,"% discounts",IF(_xlfn.SINGLE(NoWarrantyDiscount)&gt;0,"% discounts","% discount")))))))))</f>
        <v/>
      </c>
      <c r="N82" s="690"/>
      <c r="O82" s="486"/>
      <c r="P82" s="486"/>
      <c r="Q82" s="486"/>
      <c r="R82" s="486"/>
      <c r="S82" s="486"/>
      <c r="T82" s="102">
        <f t="shared" si="55"/>
        <v>0</v>
      </c>
      <c r="U82" s="78">
        <f>IF(NOT(ISNUMBER(G82)), "", VLOOKUP(A82,'Discount Lookup'!D:E,2,FALSE)*G82)</f>
        <v>0</v>
      </c>
      <c r="V82" s="78">
        <f>IF(NOT(ISNUMBER(G82)), "", VLOOKUP(A82,'Discount Lookup'!G:H,2,FALSE)*G82)</f>
        <v>0</v>
      </c>
      <c r="W82" s="102">
        <f t="shared" si="56"/>
        <v>0</v>
      </c>
      <c r="X82" s="102">
        <f t="shared" si="57"/>
        <v>0</v>
      </c>
      <c r="Y82" s="120" t="b">
        <f t="shared" si="58"/>
        <v>0</v>
      </c>
      <c r="Z82" s="117">
        <f t="shared" si="59"/>
        <v>0</v>
      </c>
      <c r="AA82" s="118"/>
      <c r="AB82" s="118" t="str">
        <f t="shared" si="60"/>
        <v/>
      </c>
      <c r="AC82" s="712" t="str">
        <f>IF(AE82="T2G","no charge",IF(AND(OR(PlanterYesMe="No",PlanterYesMe="N",PlanterYesMe="me"),H82=""),"",IF(H82="credit","NO install",IF(AND(K82="",AE82="me"),"EACH row",IF(AND(K82="images",AE82="me"),"EACH row",IF(D82="","",IF(H82="credit","",IF(AE82="free","re-planting",IF(AE82="me","   not ELP, by",IF(AND(OR(PlanterYesMe="Yes",PlanterYesMe="Y"),G82&gt;0),(VLOOKUP(A82,'Discount Lookup'!J:K,2)*G82*(1-PlanterDiscount)*(1+PlanterDifficultyPercentage)),IF(AE82="ELP",(VLOOKUP(A82,'Discount Lookup'!J:K,2)*G82*(1-PlanterDiscount)*(1+PlanterDifficultyPercentage)),IF(AE82="free","re-planting",IF(G82=0,"",IF(PlanterYesMe="",IF(AE82="me","   not ELP, by",IF(AE82="",IF(G82&gt;0,(VLOOKUP(A82,'Discount Lookup'!J:K,2)*G82*(1-PlanterDiscount)*(1+PlanterDifficultyPercentage)),""),"")),"   not ELP, by"))))))))))))))</f>
        <v/>
      </c>
      <c r="AD82" s="712"/>
      <c r="AE82" s="513" t="str">
        <f t="shared" si="61"/>
        <v/>
      </c>
      <c r="AF82" s="713" t="str">
        <f t="shared" si="62"/>
        <v/>
      </c>
      <c r="AG82" s="713"/>
      <c r="AH82" s="713"/>
      <c r="AI82" s="112">
        <f>IF(H82="credit",0,IF(AE82="free",0,IF(AE82="me",0,IF(G82&gt;0,(VLOOKUP(A82,'Discount Lookup'!J:K,2)*G82),0))))</f>
        <v>0</v>
      </c>
      <c r="AJ82" s="107" t="str">
        <f t="shared" ca="1" si="63"/>
        <v/>
      </c>
      <c r="AK82" s="714" t="str">
        <f t="shared" si="64"/>
        <v/>
      </c>
      <c r="AL82" s="714"/>
      <c r="AM82" s="114" t="str">
        <f t="shared" si="65"/>
        <v/>
      </c>
      <c r="AN82" s="115"/>
      <c r="AO82" s="116"/>
      <c r="AP82" s="116"/>
      <c r="AQ82" s="116"/>
      <c r="AR82" s="116"/>
      <c r="AS82" s="116"/>
      <c r="AT82" s="116"/>
      <c r="AU82" s="116"/>
      <c r="AV82" s="78"/>
      <c r="AW82" s="102"/>
      <c r="AX82" s="78"/>
      <c r="AY82" s="78"/>
      <c r="AZ82" s="78"/>
      <c r="BA82" s="78"/>
      <c r="BB82" s="78"/>
      <c r="BC82" s="78"/>
      <c r="BD82" s="78"/>
      <c r="BE82" s="465"/>
      <c r="BF82" s="165" t="str">
        <f t="shared" si="66"/>
        <v>https://www.google.com/search?tbm=isch&amp;q=25%20G4</v>
      </c>
      <c r="BG82" s="165" t="str">
        <f t="shared" si="67"/>
        <v>A</v>
      </c>
      <c r="BH82" s="65"/>
      <c r="BI82" s="65"/>
      <c r="BJ82" s="65"/>
      <c r="BK82" s="65"/>
      <c r="BL82" s="99"/>
      <c r="BM82" s="99"/>
      <c r="BN82" s="99"/>
    </row>
    <row r="83" spans="1:66" s="51" customFormat="1" ht="15.75" x14ac:dyDescent="0.25">
      <c r="A83" s="634">
        <v>45</v>
      </c>
      <c r="B83" s="635" t="s">
        <v>291</v>
      </c>
      <c r="C83" s="636" t="s">
        <v>1149</v>
      </c>
      <c r="D83" s="637" t="s">
        <v>299</v>
      </c>
      <c r="E83" s="638">
        <v>1053.95</v>
      </c>
      <c r="F83" s="639" t="s">
        <v>292</v>
      </c>
      <c r="G83" s="484">
        <v>0</v>
      </c>
      <c r="H83" s="691" t="str">
        <f>IF(G83=0,"",IF(F83="Buy",IF(G83=1,"plant","plants"),IF(F83&gt;0.01,"warranty","Error")))</f>
        <v/>
      </c>
      <c r="I83" s="640">
        <f>IF(H83="free",0,IF(H83="credit",((E83*(F83))*G83*-1),IF(F83="Buy",(E83*G83),((E83*(1-F83))*G83))))</f>
        <v>0</v>
      </c>
      <c r="J83" s="640">
        <f>IF(H83="warranty",0,(I83*(_xlfn.SINGLE(SalesTaxPercentage))))</f>
        <v>0</v>
      </c>
      <c r="K83" s="716">
        <f t="shared" ref="K83" si="69">I83+J83</f>
        <v>0</v>
      </c>
      <c r="L83" s="716"/>
      <c r="M83" s="689" t="str">
        <f ca="1">IF(AND(G83&gt;0,E83=0),"WARNING - no PRICE inserted",IF(H83="free","FREE ~ no charge this plant",IF(H83="credit",CONCATENATE("-$",ROUND(K83*(1-_xlfn.SINGLE(T2GDiscount))*-1,2)," CREDIT after discount"),IF(_xlfn.SINGLE(T2GDiscount)=0,"",IF(G83=0,"",IF(F83="Buy",CONCATENATE("$",ROUND(K83*(1-_xlfn.SINGLE(T2GDiscount)),2)," with ",(_xlfn.SINGLE(T2GDiscount)*100),"% discount"),CONCATENATE("$",ROUND(K83*(1-_xlfn.SINGLE(T2GDiscount)),2)," with ",((_xlfn.SINGLE(T2GDiscount)*100+F83*100)-(_xlfn.SINGLE(T2GDiscount)*100*F83)),IF(F83&gt;0,"% discounts",IF(_xlfn.SINGLE(NoWarrantyDiscount)&gt;0,"% discounts","% discount")))))))))</f>
        <v/>
      </c>
      <c r="N83" s="690"/>
      <c r="O83" s="486"/>
      <c r="P83" s="486"/>
      <c r="Q83" s="486"/>
      <c r="R83" s="486"/>
      <c r="S83" s="486"/>
      <c r="T83" s="102">
        <f t="shared" si="55"/>
        <v>0</v>
      </c>
      <c r="U83" s="78">
        <f>IF(NOT(ISNUMBER(G83)), "", VLOOKUP(A83,'Discount Lookup'!D:E,2,FALSE)*G83)</f>
        <v>0</v>
      </c>
      <c r="V83" s="78">
        <f>IF(NOT(ISNUMBER(G83)), "", VLOOKUP(A83,'Discount Lookup'!G:H,2,FALSE)*G83)</f>
        <v>0</v>
      </c>
      <c r="W83" s="102">
        <f t="shared" si="56"/>
        <v>0</v>
      </c>
      <c r="X83" s="102">
        <f t="shared" si="57"/>
        <v>0</v>
      </c>
      <c r="Y83" s="120" t="b">
        <f t="shared" si="58"/>
        <v>0</v>
      </c>
      <c r="Z83" s="117">
        <f t="shared" si="59"/>
        <v>0</v>
      </c>
      <c r="AA83" s="118"/>
      <c r="AB83" s="118" t="str">
        <f t="shared" si="60"/>
        <v/>
      </c>
      <c r="AC83" s="712" t="str">
        <f>IF(AE83="T2G","no charge",IF(AND(OR(PlanterYesMe="No",PlanterYesMe="N",PlanterYesMe="me"),H83=""),"",IF(H83="credit","NO install",IF(AND(K83="",AE83="me"),"EACH row",IF(AND(K83="images",AE83="me"),"EACH row",IF(D83="","",IF(H83="credit","",IF(AE83="free","re-planting",IF(AE83="me","   not ELP, by",IF(AND(OR(PlanterYesMe="Yes",PlanterYesMe="Y"),G83&gt;0),(VLOOKUP(A83,'Discount Lookup'!J:K,2)*G83*(1-PlanterDiscount)*(1+PlanterDifficultyPercentage)),IF(AE83="ELP",(VLOOKUP(A83,'Discount Lookup'!J:K,2)*G83*(1-PlanterDiscount)*(1+PlanterDifficultyPercentage)),IF(AE83="free","re-planting",IF(G83=0,"",IF(PlanterYesMe="",IF(AE83="me","   not ELP, by",IF(AE83="",IF(G83&gt;0,(VLOOKUP(A83,'Discount Lookup'!J:K,2)*G83*(1-PlanterDiscount)*(1+PlanterDifficultyPercentage)),""),"")),"   not ELP, by"))))))))))))))</f>
        <v/>
      </c>
      <c r="AD83" s="712"/>
      <c r="AE83" s="513" t="str">
        <f t="shared" si="61"/>
        <v/>
      </c>
      <c r="AF83" s="713" t="str">
        <f t="shared" si="62"/>
        <v/>
      </c>
      <c r="AG83" s="713"/>
      <c r="AH83" s="713"/>
      <c r="AI83" s="112">
        <f>IF(H83="credit",0,IF(AE83="free",0,IF(AE83="me",0,IF(G83&gt;0,(VLOOKUP(A83,'Discount Lookup'!J:K,2)*G83),0))))</f>
        <v>0</v>
      </c>
      <c r="AJ83" s="107" t="str">
        <f t="shared" ca="1" si="63"/>
        <v/>
      </c>
      <c r="AK83" s="714" t="str">
        <f t="shared" si="64"/>
        <v/>
      </c>
      <c r="AL83" s="714"/>
      <c r="AM83" s="114" t="str">
        <f t="shared" si="65"/>
        <v/>
      </c>
      <c r="AN83" s="115"/>
      <c r="AO83" s="116"/>
      <c r="AP83" s="116"/>
      <c r="AQ83" s="116"/>
      <c r="AR83" s="116"/>
      <c r="AS83" s="116"/>
      <c r="AT83" s="116"/>
      <c r="AU83" s="116"/>
      <c r="AV83" s="78"/>
      <c r="AW83" s="102"/>
      <c r="AX83" s="78"/>
      <c r="AY83" s="78"/>
      <c r="AZ83" s="78"/>
      <c r="BA83" s="78"/>
      <c r="BB83" s="78"/>
      <c r="BC83" s="78"/>
      <c r="BD83" s="78"/>
      <c r="BE83" s="465"/>
      <c r="BF83" s="165" t="str">
        <f t="shared" si="66"/>
        <v>https://www.google.com/search?tbm=isch&amp;q=45%20G4</v>
      </c>
      <c r="BG83" s="165" t="str">
        <f t="shared" si="67"/>
        <v>A</v>
      </c>
      <c r="BH83" s="65"/>
      <c r="BI83" s="65"/>
      <c r="BJ83" s="65"/>
      <c r="BK83" s="65"/>
      <c r="BL83" s="99"/>
      <c r="BM83" s="99"/>
      <c r="BN83" s="99"/>
    </row>
    <row r="84" spans="1:66" s="51" customFormat="1" ht="15.75" x14ac:dyDescent="0.25">
      <c r="A84" s="634">
        <v>65</v>
      </c>
      <c r="B84" s="635" t="s">
        <v>291</v>
      </c>
      <c r="C84" s="636" t="s">
        <v>1150</v>
      </c>
      <c r="D84" s="637" t="s">
        <v>299</v>
      </c>
      <c r="E84" s="638">
        <v>1609.95</v>
      </c>
      <c r="F84" s="639" t="s">
        <v>292</v>
      </c>
      <c r="G84" s="484">
        <v>0</v>
      </c>
      <c r="H84" s="691" t="str">
        <f>IF(G84=0,"",IF(F84="Buy",IF(G84=1,"plant","plants"),IF(F84&gt;0.01,"warranty","Error")))</f>
        <v/>
      </c>
      <c r="I84" s="640">
        <f>IF(H84="free",0,IF(H84="credit",((E84*(F84))*G84*-1),IF(F84="Buy",(E84*G84),((E84*(1-F84))*G84))))</f>
        <v>0</v>
      </c>
      <c r="J84" s="640">
        <f>IF(H84="warranty",0,(I84*(_xlfn.SINGLE(SalesTaxPercentage))))</f>
        <v>0</v>
      </c>
      <c r="K84" s="716">
        <f t="shared" ref="K84" si="70">I84+J84</f>
        <v>0</v>
      </c>
      <c r="L84" s="716"/>
      <c r="M84" s="689" t="str">
        <f ca="1">IF(AND(G84&gt;0,E84=0),"WARNING - no PRICE inserted",IF(H84="free","FREE ~ no charge this plant",IF(H84="credit",CONCATENATE("-$",ROUND(K84*(1-_xlfn.SINGLE(T2GDiscount))*-1,2)," CREDIT after discount"),IF(_xlfn.SINGLE(T2GDiscount)=0,"",IF(G84=0,"",IF(F84="Buy",CONCATENATE("$",ROUND(K84*(1-_xlfn.SINGLE(T2GDiscount)),2)," with ",(_xlfn.SINGLE(T2GDiscount)*100),"% discount"),CONCATENATE("$",ROUND(K84*(1-_xlfn.SINGLE(T2GDiscount)),2)," with ",((_xlfn.SINGLE(T2GDiscount)*100+F84*100)-(_xlfn.SINGLE(T2GDiscount)*100*F84)),IF(F84&gt;0,"% discounts",IF(_xlfn.SINGLE(NoWarrantyDiscount)&gt;0,"% discounts","% discount")))))))))</f>
        <v/>
      </c>
      <c r="N84" s="690"/>
      <c r="O84" s="486"/>
      <c r="P84" s="486"/>
      <c r="Q84" s="486"/>
      <c r="R84" s="486"/>
      <c r="S84" s="486"/>
      <c r="T84" s="102">
        <f t="shared" si="55"/>
        <v>0</v>
      </c>
      <c r="U84" s="78">
        <f>IF(NOT(ISNUMBER(G84)), "", VLOOKUP(A84,'Discount Lookup'!D:E,2,FALSE)*G84)</f>
        <v>0</v>
      </c>
      <c r="V84" s="78">
        <f>IF(NOT(ISNUMBER(G84)), "", VLOOKUP(A84,'Discount Lookup'!G:H,2,FALSE)*G84)</f>
        <v>0</v>
      </c>
      <c r="W84" s="102">
        <f t="shared" si="56"/>
        <v>0</v>
      </c>
      <c r="X84" s="102">
        <f t="shared" si="57"/>
        <v>0</v>
      </c>
      <c r="Y84" s="120" t="b">
        <f t="shared" si="58"/>
        <v>0</v>
      </c>
      <c r="Z84" s="117">
        <f t="shared" si="59"/>
        <v>0</v>
      </c>
      <c r="AA84" s="118"/>
      <c r="AB84" s="118" t="str">
        <f t="shared" si="60"/>
        <v/>
      </c>
      <c r="AC84" s="712" t="str">
        <f>IF(AE84="T2G","no charge",IF(AND(OR(PlanterYesMe="No",PlanterYesMe="N",PlanterYesMe="me"),H84=""),"",IF(H84="credit","NO install",IF(AND(K84="",AE84="me"),"EACH row",IF(AND(K84="images",AE84="me"),"EACH row",IF(D84="","",IF(H84="credit","",IF(AE84="free","re-planting",IF(AE84="me","   not ELP, by",IF(AND(OR(PlanterYesMe="Yes",PlanterYesMe="Y"),G84&gt;0),(VLOOKUP(A84,'Discount Lookup'!J:K,2)*G84*(1-PlanterDiscount)*(1+PlanterDifficultyPercentage)),IF(AE84="ELP",(VLOOKUP(A84,'Discount Lookup'!J:K,2)*G84*(1-PlanterDiscount)*(1+PlanterDifficultyPercentage)),IF(AE84="free","re-planting",IF(G84=0,"",IF(PlanterYesMe="",IF(AE84="me","   not ELP, by",IF(AE84="",IF(G84&gt;0,(VLOOKUP(A84,'Discount Lookup'!J:K,2)*G84*(1-PlanterDiscount)*(1+PlanterDifficultyPercentage)),""),"")),"   not ELP, by"))))))))))))))</f>
        <v/>
      </c>
      <c r="AD84" s="712"/>
      <c r="AE84" s="513" t="str">
        <f t="shared" si="61"/>
        <v/>
      </c>
      <c r="AF84" s="713" t="str">
        <f t="shared" si="62"/>
        <v/>
      </c>
      <c r="AG84" s="713"/>
      <c r="AH84" s="713"/>
      <c r="AI84" s="112">
        <f>IF(H84="credit",0,IF(AE84="free",0,IF(AE84="me",0,IF(G84&gt;0,(VLOOKUP(A84,'Discount Lookup'!J:K,2)*G84),0))))</f>
        <v>0</v>
      </c>
      <c r="AJ84" s="107" t="str">
        <f t="shared" ca="1" si="63"/>
        <v/>
      </c>
      <c r="AK84" s="714" t="str">
        <f t="shared" si="64"/>
        <v/>
      </c>
      <c r="AL84" s="714"/>
      <c r="AM84" s="114" t="str">
        <f t="shared" si="65"/>
        <v/>
      </c>
      <c r="AN84" s="115"/>
      <c r="AO84" s="116"/>
      <c r="AP84" s="116"/>
      <c r="AQ84" s="116"/>
      <c r="AR84" s="116"/>
      <c r="AS84" s="116"/>
      <c r="AT84" s="116"/>
      <c r="AU84" s="116"/>
      <c r="AV84" s="78"/>
      <c r="AW84" s="102"/>
      <c r="AX84" s="78"/>
      <c r="AY84" s="78"/>
      <c r="AZ84" s="78"/>
      <c r="BA84" s="78"/>
      <c r="BB84" s="78"/>
      <c r="BC84" s="78"/>
      <c r="BD84" s="78"/>
      <c r="BE84" s="465"/>
      <c r="BF84" s="165" t="str">
        <f t="shared" si="66"/>
        <v>https://www.google.com/search?tbm=isch&amp;q=65%20G4</v>
      </c>
      <c r="BG84" s="165" t="str">
        <f t="shared" si="67"/>
        <v>A</v>
      </c>
      <c r="BH84" s="65"/>
      <c r="BI84" s="65"/>
      <c r="BJ84" s="65"/>
      <c r="BK84" s="65"/>
      <c r="BL84" s="99"/>
      <c r="BM84" s="99"/>
      <c r="BN84" s="99"/>
    </row>
    <row r="85" spans="1:66" s="51" customFormat="1" ht="17.25" thickBot="1" x14ac:dyDescent="0.3">
      <c r="A85" s="641" t="s">
        <v>1151</v>
      </c>
      <c r="B85" s="642"/>
      <c r="C85" s="710"/>
      <c r="D85" s="643"/>
      <c r="E85" s="643"/>
      <c r="F85" s="644"/>
      <c r="G85" s="645"/>
      <c r="H85" s="646"/>
      <c r="I85" s="647"/>
      <c r="J85" s="648"/>
      <c r="K85" s="649"/>
      <c r="L85" s="650"/>
      <c r="M85" s="650"/>
      <c r="N85" s="644"/>
      <c r="O85" s="644"/>
      <c r="P85" s="644"/>
      <c r="Q85" s="644"/>
      <c r="R85" s="644"/>
      <c r="S85" s="651"/>
      <c r="T85" s="102">
        <f t="shared" si="55"/>
        <v>0</v>
      </c>
      <c r="U85" s="78" t="str">
        <f>IF(NOT(ISNUMBER(G85)), "", VLOOKUP(A85,'Discount Lookup'!D:E,2,FALSE)*G85)</f>
        <v/>
      </c>
      <c r="V85" s="78" t="str">
        <f>IF(NOT(ISNUMBER(G85)), "", VLOOKUP(A85,'Discount Lookup'!G:H,2,FALSE)*G85)</f>
        <v/>
      </c>
      <c r="W85" s="102">
        <f t="shared" si="56"/>
        <v>0</v>
      </c>
      <c r="X85" s="102">
        <f t="shared" si="57"/>
        <v>0</v>
      </c>
      <c r="Y85" s="120" t="b">
        <f t="shared" si="58"/>
        <v>0</v>
      </c>
      <c r="Z85" s="117">
        <f t="shared" si="59"/>
        <v>0</v>
      </c>
      <c r="AA85" s="118"/>
      <c r="AB85" s="118" t="str">
        <f t="shared" si="60"/>
        <v/>
      </c>
      <c r="AC85" s="712" t="str">
        <f>IF(AE85="T2G","no charge",IF(AND(OR(PlanterYesMe="No",PlanterYesMe="N",PlanterYesMe="me"),H85=""),"",IF(H85="credit","NO install",IF(AND(K85="",AE85="me"),"EACH row",IF(AND(K85="images",AE85="me"),"EACH row",IF(D85="","",IF(H85="credit","",IF(AE85="free","re-planting",IF(AE85="me","   not ELP, by",IF(AND(OR(PlanterYesMe="Yes",PlanterYesMe="Y"),G85&gt;0),(VLOOKUP(A85,'Discount Lookup'!J:K,2)*G85*(1-PlanterDiscount)*(1+PlanterDifficultyPercentage)),IF(AE85="ELP",(VLOOKUP(A85,'Discount Lookup'!J:K,2)*G85*(1-PlanterDiscount)*(1+PlanterDifficultyPercentage)),IF(AE85="free","re-planting",IF(G85=0,"",IF(PlanterYesMe="",IF(AE85="me","   not ELP, by",IF(AE85="",IF(G85&gt;0,(VLOOKUP(A85,'Discount Lookup'!J:K,2)*G85*(1-PlanterDiscount)*(1+PlanterDifficultyPercentage)),""),"")),"   not ELP, by"))))))))))))))</f>
        <v/>
      </c>
      <c r="AD85" s="712"/>
      <c r="AE85" s="513" t="str">
        <f t="shared" si="61"/>
        <v/>
      </c>
      <c r="AF85" s="713" t="str">
        <f t="shared" si="62"/>
        <v/>
      </c>
      <c r="AG85" s="713"/>
      <c r="AH85" s="713"/>
      <c r="AI85" s="112">
        <f>IF(H85="credit",0,IF(AE85="free",0,IF(AE85="me",0,IF(G85&gt;0,(VLOOKUP(A85,'Discount Lookup'!J:K,2)*G85),0))))</f>
        <v>0</v>
      </c>
      <c r="AJ85" s="107" t="str">
        <f t="shared" ca="1" si="63"/>
        <v/>
      </c>
      <c r="AK85" s="714" t="str">
        <f t="shared" si="64"/>
        <v/>
      </c>
      <c r="AL85" s="714"/>
      <c r="AM85" s="114" t="str">
        <f t="shared" si="65"/>
        <v/>
      </c>
      <c r="AN85" s="115"/>
      <c r="AO85" s="116"/>
      <c r="AP85" s="116"/>
      <c r="AQ85" s="116"/>
      <c r="AR85" s="116"/>
      <c r="AS85" s="116"/>
      <c r="AT85" s="116"/>
      <c r="AU85" s="116"/>
      <c r="AV85" s="78"/>
      <c r="AW85" s="102"/>
      <c r="AX85" s="78"/>
      <c r="AY85" s="78"/>
      <c r="AZ85" s="78"/>
      <c r="BA85" s="78"/>
      <c r="BB85" s="78"/>
      <c r="BC85" s="78"/>
      <c r="BD85" s="78"/>
      <c r="BE85" s="465"/>
      <c r="BF85" s="165" t="str">
        <f t="shared" si="66"/>
        <v>https://www.google.com/search?tbm=isch&amp;q=Full%20Moon%20named%20for%20stunning%20fall%20display%20of%20fiery%20shades%20of%20Scarlet%2C%20Orange%2C%20and%20Crimson%20</v>
      </c>
      <c r="BG85" s="165" t="str">
        <f t="shared" si="67"/>
        <v>F</v>
      </c>
      <c r="BH85" s="65"/>
      <c r="BI85" s="65"/>
      <c r="BJ85" s="65"/>
      <c r="BK85" s="65"/>
      <c r="BL85" s="99"/>
      <c r="BM85" s="99"/>
      <c r="BN85" s="99"/>
    </row>
    <row r="86" spans="1:66" s="51" customFormat="1" ht="18" x14ac:dyDescent="0.25">
      <c r="A86" s="623" t="s">
        <v>1152</v>
      </c>
      <c r="B86" s="624"/>
      <c r="C86" s="709"/>
      <c r="D86" s="625" t="s">
        <v>1153</v>
      </c>
      <c r="E86" s="626"/>
      <c r="F86" s="626"/>
      <c r="G86" s="626"/>
      <c r="H86" s="622" t="s">
        <v>333</v>
      </c>
      <c r="I86" s="627" t="s">
        <v>432</v>
      </c>
      <c r="J86" s="628"/>
      <c r="K86" s="628"/>
      <c r="L86" s="629"/>
      <c r="M86" s="702" t="s">
        <v>5252</v>
      </c>
      <c r="N86" s="693" t="str">
        <f>IF(AND(ISTEXT($A86), ISERROR($A86+0)), HYPERLINK($BF86, "Images"), "")</f>
        <v>Images</v>
      </c>
      <c r="O86" s="695" t="s">
        <v>5247</v>
      </c>
      <c r="P86" s="630"/>
      <c r="Q86" s="631"/>
      <c r="R86" s="632"/>
      <c r="S86" s="633"/>
      <c r="T86" s="102">
        <f t="shared" si="55"/>
        <v>0</v>
      </c>
      <c r="U86" s="78" t="str">
        <f>IF(NOT(ISNUMBER(G86)), "", VLOOKUP(A86,'Discount Lookup'!D:E,2,FALSE)*G86)</f>
        <v/>
      </c>
      <c r="V86" s="78" t="str">
        <f>IF(NOT(ISNUMBER(G86)), "", VLOOKUP(A86,'Discount Lookup'!G:H,2,FALSE)*G86)</f>
        <v/>
      </c>
      <c r="W86" s="102">
        <f t="shared" si="56"/>
        <v>0</v>
      </c>
      <c r="X86" s="102" t="str">
        <f t="shared" si="57"/>
        <v>Green foliage</v>
      </c>
      <c r="Y86" s="120" t="b">
        <f t="shared" si="58"/>
        <v>0</v>
      </c>
      <c r="Z86" s="117">
        <f t="shared" si="59"/>
        <v>0</v>
      </c>
      <c r="AA86" s="118"/>
      <c r="AB86" s="118" t="str">
        <f t="shared" si="60"/>
        <v/>
      </c>
      <c r="AC86" s="712" t="str">
        <f>IF(AE86="T2G","no charge",IF(AND(OR(PlanterYesMe="No",PlanterYesMe="N",PlanterYesMe="me"),H86=""),"",IF(H86="credit","NO install",IF(AND(K86="",AE86="me"),"EACH row",IF(AND(K86="images",AE86="me"),"EACH row",IF(D86="","",IF(H86="credit","",IF(AE86="free","re-planting",IF(AE86="me","   not ELP, by",IF(AND(OR(PlanterYesMe="Yes",PlanterYesMe="Y"),G86&gt;0),(VLOOKUP(A86,'Discount Lookup'!J:K,2)*G86*(1-PlanterDiscount)*(1+PlanterDifficultyPercentage)),IF(AE86="ELP",(VLOOKUP(A86,'Discount Lookup'!J:K,2)*G86*(1-PlanterDiscount)*(1+PlanterDifficultyPercentage)),IF(AE86="free","re-planting",IF(G86=0,"",IF(PlanterYesMe="",IF(AE86="me","   not ELP, by",IF(AE86="",IF(G86&gt;0,(VLOOKUP(A86,'Discount Lookup'!J:K,2)*G86*(1-PlanterDiscount)*(1+PlanterDifficultyPercentage)),""),"")),"   not ELP, by"))))))))))))))</f>
        <v/>
      </c>
      <c r="AD86" s="712"/>
      <c r="AE86" s="513" t="str">
        <f t="shared" si="61"/>
        <v/>
      </c>
      <c r="AF86" s="713" t="str">
        <f t="shared" si="62"/>
        <v/>
      </c>
      <c r="AG86" s="713"/>
      <c r="AH86" s="713"/>
      <c r="AI86" s="112">
        <f>IF(H86="credit",0,IF(AE86="free",0,IF(AE86="me",0,IF(G86&gt;0,(VLOOKUP(A86,'Discount Lookup'!J:K,2)*G86),0))))</f>
        <v>0</v>
      </c>
      <c r="AJ86" s="107" t="str">
        <f t="shared" ca="1" si="63"/>
        <v/>
      </c>
      <c r="AK86" s="714" t="str">
        <f t="shared" si="64"/>
        <v/>
      </c>
      <c r="AL86" s="714"/>
      <c r="AM86" s="114" t="str">
        <f t="shared" si="65"/>
        <v/>
      </c>
      <c r="AN86" s="115"/>
      <c r="AO86" s="116"/>
      <c r="AP86" s="116"/>
      <c r="AQ86" s="116"/>
      <c r="AR86" s="116"/>
      <c r="AS86" s="116"/>
      <c r="AT86" s="116"/>
      <c r="AU86" s="116"/>
      <c r="AV86" s="78"/>
      <c r="AW86" s="102"/>
      <c r="AX86" s="78"/>
      <c r="AY86" s="78"/>
      <c r="AZ86" s="78"/>
      <c r="BA86" s="78"/>
      <c r="BB86" s="78"/>
      <c r="BC86" s="78"/>
      <c r="BD86" s="78"/>
      <c r="BE86" s="465"/>
      <c r="BF86" s="165" t="str">
        <f t="shared" si="66"/>
        <v>https://www.google.com/search?tbm=isch&amp;q=Acer%20japonicum%20%27Rising%20Sun%27%20Rising%20Sun%20Japanese%20Maple</v>
      </c>
      <c r="BG86" s="165" t="str">
        <f t="shared" si="67"/>
        <v>A</v>
      </c>
      <c r="BH86" s="65"/>
      <c r="BI86" s="65"/>
      <c r="BJ86" s="65"/>
      <c r="BK86" s="65"/>
      <c r="BL86" s="99"/>
      <c r="BM86" s="99"/>
      <c r="BN86" s="99"/>
    </row>
    <row r="87" spans="1:66" s="51" customFormat="1" ht="15.75" x14ac:dyDescent="0.25">
      <c r="A87" s="634">
        <v>15</v>
      </c>
      <c r="B87" s="635" t="s">
        <v>291</v>
      </c>
      <c r="C87" s="636" t="s">
        <v>1154</v>
      </c>
      <c r="D87" s="637" t="s">
        <v>299</v>
      </c>
      <c r="E87" s="638">
        <v>424.95</v>
      </c>
      <c r="F87" s="639" t="s">
        <v>292</v>
      </c>
      <c r="G87" s="484">
        <v>0</v>
      </c>
      <c r="H87" s="691" t="str">
        <f>IF(G87=0,"",IF(F87="Buy",IF(G87=1,"plant","plants"),IF(F87&gt;0.01,"warranty","Error")))</f>
        <v/>
      </c>
      <c r="I87" s="640">
        <f>IF(H87="free",0,IF(H87="credit",((E87*(F87))*G87*-1),IF(F87="Buy",(E87*G87),((E87*(1-F87))*G87))))</f>
        <v>0</v>
      </c>
      <c r="J87" s="640">
        <f>IF(H87="warranty",0,(I87*(_xlfn.SINGLE(SalesTaxPercentage))))</f>
        <v>0</v>
      </c>
      <c r="K87" s="716">
        <f t="shared" ref="K87" si="71">I87+J87</f>
        <v>0</v>
      </c>
      <c r="L87" s="716"/>
      <c r="M87" s="689" t="str">
        <f ca="1">IF(AND(G87&gt;0,E87=0),"WARNING - no PRICE inserted",IF(H87="free","FREE ~ no charge this plant",IF(H87="credit",CONCATENATE("-$",ROUND(K87*(1-_xlfn.SINGLE(T2GDiscount))*-1,2)," CREDIT after discount"),IF(_xlfn.SINGLE(T2GDiscount)=0,"",IF(G87=0,"",IF(F87="Buy",CONCATENATE("$",ROUND(K87*(1-_xlfn.SINGLE(T2GDiscount)),2)," with ",(_xlfn.SINGLE(T2GDiscount)*100),"% discount"),CONCATENATE("$",ROUND(K87*(1-_xlfn.SINGLE(T2GDiscount)),2)," with ",((_xlfn.SINGLE(T2GDiscount)*100+F87*100)-(_xlfn.SINGLE(T2GDiscount)*100*F87)),IF(F87&gt;0,"% discounts",IF(_xlfn.SINGLE(NoWarrantyDiscount)&gt;0,"% discounts","% discount")))))))))</f>
        <v/>
      </c>
      <c r="N87" s="690"/>
      <c r="O87" s="486"/>
      <c r="P87" s="486"/>
      <c r="Q87" s="486"/>
      <c r="R87" s="486"/>
      <c r="S87" s="486"/>
      <c r="T87" s="102">
        <f t="shared" si="55"/>
        <v>0</v>
      </c>
      <c r="U87" s="78">
        <f>IF(NOT(ISNUMBER(G87)), "", VLOOKUP(A87,'Discount Lookup'!D:E,2,FALSE)*G87)</f>
        <v>0</v>
      </c>
      <c r="V87" s="78">
        <f>IF(NOT(ISNUMBER(G87)), "", VLOOKUP(A87,'Discount Lookup'!G:H,2,FALSE)*G87)</f>
        <v>0</v>
      </c>
      <c r="W87" s="102">
        <f t="shared" si="56"/>
        <v>0</v>
      </c>
      <c r="X87" s="102">
        <f t="shared" si="57"/>
        <v>0</v>
      </c>
      <c r="Y87" s="120" t="b">
        <f t="shared" si="58"/>
        <v>0</v>
      </c>
      <c r="Z87" s="117">
        <f t="shared" si="59"/>
        <v>0</v>
      </c>
      <c r="AA87" s="118"/>
      <c r="AB87" s="118" t="str">
        <f t="shared" si="60"/>
        <v/>
      </c>
      <c r="AC87" s="712" t="str">
        <f>IF(AE87="T2G","no charge",IF(AND(OR(PlanterYesMe="No",PlanterYesMe="N",PlanterYesMe="me"),H87=""),"",IF(H87="credit","NO install",IF(AND(K87="",AE87="me"),"EACH row",IF(AND(K87="images",AE87="me"),"EACH row",IF(D87="","",IF(H87="credit","",IF(AE87="free","re-planting",IF(AE87="me","   not ELP, by",IF(AND(OR(PlanterYesMe="Yes",PlanterYesMe="Y"),G87&gt;0),(VLOOKUP(A87,'Discount Lookup'!J:K,2)*G87*(1-PlanterDiscount)*(1+PlanterDifficultyPercentage)),IF(AE87="ELP",(VLOOKUP(A87,'Discount Lookup'!J:K,2)*G87*(1-PlanterDiscount)*(1+PlanterDifficultyPercentage)),IF(AE87="free","re-planting",IF(G87=0,"",IF(PlanterYesMe="",IF(AE87="me","   not ELP, by",IF(AE87="",IF(G87&gt;0,(VLOOKUP(A87,'Discount Lookup'!J:K,2)*G87*(1-PlanterDiscount)*(1+PlanterDifficultyPercentage)),""),"")),"   not ELP, by"))))))))))))))</f>
        <v/>
      </c>
      <c r="AD87" s="712"/>
      <c r="AE87" s="513" t="str">
        <f t="shared" si="61"/>
        <v/>
      </c>
      <c r="AF87" s="713" t="str">
        <f t="shared" si="62"/>
        <v/>
      </c>
      <c r="AG87" s="713"/>
      <c r="AH87" s="713"/>
      <c r="AI87" s="112">
        <f>IF(H87="credit",0,IF(AE87="free",0,IF(AE87="me",0,IF(G87&gt;0,(VLOOKUP(A87,'Discount Lookup'!J:K,2)*G87),0))))</f>
        <v>0</v>
      </c>
      <c r="AJ87" s="107" t="str">
        <f t="shared" ca="1" si="63"/>
        <v/>
      </c>
      <c r="AK87" s="714" t="str">
        <f t="shared" si="64"/>
        <v/>
      </c>
      <c r="AL87" s="714"/>
      <c r="AM87" s="114" t="str">
        <f t="shared" si="65"/>
        <v/>
      </c>
      <c r="AN87" s="115"/>
      <c r="AO87" s="116"/>
      <c r="AP87" s="116"/>
      <c r="AQ87" s="116"/>
      <c r="AR87" s="116"/>
      <c r="AS87" s="116"/>
      <c r="AT87" s="116"/>
      <c r="AU87" s="116"/>
      <c r="AV87" s="78"/>
      <c r="AW87" s="102"/>
      <c r="AX87" s="78"/>
      <c r="AY87" s="78"/>
      <c r="AZ87" s="78"/>
      <c r="BA87" s="78"/>
      <c r="BB87" s="78"/>
      <c r="BC87" s="78"/>
      <c r="BD87" s="78"/>
      <c r="BE87" s="465"/>
      <c r="BF87" s="165" t="str">
        <f t="shared" si="66"/>
        <v>https://www.google.com/search?tbm=isch&amp;q=15%20G4</v>
      </c>
      <c r="BG87" s="165" t="str">
        <f t="shared" si="67"/>
        <v>A</v>
      </c>
      <c r="BH87" s="65"/>
      <c r="BI87" s="65"/>
      <c r="BJ87" s="65"/>
      <c r="BK87" s="65"/>
      <c r="BL87" s="99"/>
      <c r="BM87" s="99"/>
      <c r="BN87" s="99"/>
    </row>
    <row r="88" spans="1:66" s="51" customFormat="1" ht="17.25" thickBot="1" x14ac:dyDescent="0.3">
      <c r="A88" s="641" t="s">
        <v>1155</v>
      </c>
      <c r="B88" s="642"/>
      <c r="C88" s="710"/>
      <c r="D88" s="643"/>
      <c r="E88" s="643"/>
      <c r="F88" s="644"/>
      <c r="G88" s="645"/>
      <c r="H88" s="646"/>
      <c r="I88" s="647"/>
      <c r="J88" s="648"/>
      <c r="K88" s="649"/>
      <c r="L88" s="650"/>
      <c r="M88" s="650"/>
      <c r="N88" s="644"/>
      <c r="O88" s="644"/>
      <c r="P88" s="644"/>
      <c r="Q88" s="644"/>
      <c r="R88" s="644"/>
      <c r="S88" s="651"/>
      <c r="T88" s="102">
        <f t="shared" si="55"/>
        <v>0</v>
      </c>
      <c r="U88" s="78" t="str">
        <f>IF(NOT(ISNUMBER(G88)), "", VLOOKUP(A88,'Discount Lookup'!D:E,2,FALSE)*G88)</f>
        <v/>
      </c>
      <c r="V88" s="78" t="str">
        <f>IF(NOT(ISNUMBER(G88)), "", VLOOKUP(A88,'Discount Lookup'!G:H,2,FALSE)*G88)</f>
        <v/>
      </c>
      <c r="W88" s="102">
        <f t="shared" si="56"/>
        <v>0</v>
      </c>
      <c r="X88" s="102">
        <f t="shared" si="57"/>
        <v>0</v>
      </c>
      <c r="Y88" s="120" t="b">
        <f t="shared" si="58"/>
        <v>0</v>
      </c>
      <c r="Z88" s="117">
        <f t="shared" si="59"/>
        <v>0</v>
      </c>
      <c r="AA88" s="118"/>
      <c r="AB88" s="118" t="str">
        <f t="shared" si="60"/>
        <v/>
      </c>
      <c r="AC88" s="712" t="str">
        <f>IF(AE88="T2G","no charge",IF(AND(OR(PlanterYesMe="No",PlanterYesMe="N",PlanterYesMe="me"),H88=""),"",IF(H88="credit","NO install",IF(AND(K88="",AE88="me"),"EACH row",IF(AND(K88="images",AE88="me"),"EACH row",IF(D88="","",IF(H88="credit","",IF(AE88="free","re-planting",IF(AE88="me","   not ELP, by",IF(AND(OR(PlanterYesMe="Yes",PlanterYesMe="Y"),G88&gt;0),(VLOOKUP(A88,'Discount Lookup'!J:K,2)*G88*(1-PlanterDiscount)*(1+PlanterDifficultyPercentage)),IF(AE88="ELP",(VLOOKUP(A88,'Discount Lookup'!J:K,2)*G88*(1-PlanterDiscount)*(1+PlanterDifficultyPercentage)),IF(AE88="free","re-planting",IF(G88=0,"",IF(PlanterYesMe="",IF(AE88="me","   not ELP, by",IF(AE88="",IF(G88&gt;0,(VLOOKUP(A88,'Discount Lookup'!J:K,2)*G88*(1-PlanterDiscount)*(1+PlanterDifficultyPercentage)),""),"")),"   not ELP, by"))))))))))))))</f>
        <v/>
      </c>
      <c r="AD88" s="712"/>
      <c r="AE88" s="513" t="str">
        <f t="shared" si="61"/>
        <v/>
      </c>
      <c r="AF88" s="713" t="str">
        <f t="shared" si="62"/>
        <v/>
      </c>
      <c r="AG88" s="713"/>
      <c r="AH88" s="713"/>
      <c r="AI88" s="112">
        <f>IF(H88="credit",0,IF(AE88="free",0,IF(AE88="me",0,IF(G88&gt;0,(VLOOKUP(A88,'Discount Lookup'!J:K,2)*G88),0))))</f>
        <v>0</v>
      </c>
      <c r="AJ88" s="107" t="str">
        <f t="shared" ca="1" si="63"/>
        <v/>
      </c>
      <c r="AK88" s="714" t="str">
        <f t="shared" si="64"/>
        <v/>
      </c>
      <c r="AL88" s="714"/>
      <c r="AM88" s="114" t="str">
        <f t="shared" si="65"/>
        <v/>
      </c>
      <c r="AN88" s="115"/>
      <c r="AO88" s="116"/>
      <c r="AP88" s="116"/>
      <c r="AQ88" s="116"/>
      <c r="AR88" s="116"/>
      <c r="AS88" s="116"/>
      <c r="AT88" s="116"/>
      <c r="AU88" s="116"/>
      <c r="AV88" s="78"/>
      <c r="AW88" s="102"/>
      <c r="AX88" s="78"/>
      <c r="AY88" s="78"/>
      <c r="AZ88" s="78"/>
      <c r="BA88" s="78"/>
      <c r="BB88" s="78"/>
      <c r="BC88" s="78"/>
      <c r="BD88" s="78"/>
      <c r="BE88" s="465"/>
      <c r="BF88" s="165" t="str">
        <f t="shared" si="66"/>
        <v>https://www.google.com/search?tbm=isch&amp;q=Rising%20Sun%20foliage%20emerges%20a%20vibrant%20chartreuse%20with%20Orange-Red%20margins%2C%20then%20Green%2C%20then%20vibrant%20Orange-Red-Yellow%20fall%20</v>
      </c>
      <c r="BG88" s="165" t="str">
        <f t="shared" si="67"/>
        <v>R</v>
      </c>
      <c r="BH88" s="65"/>
      <c r="BI88" s="65"/>
      <c r="BJ88" s="65"/>
      <c r="BK88" s="65"/>
      <c r="BL88" s="99"/>
      <c r="BM88" s="99"/>
      <c r="BN88" s="99"/>
    </row>
    <row r="89" spans="1:66" s="51" customFormat="1" ht="18" x14ac:dyDescent="0.25">
      <c r="A89" s="623" t="s">
        <v>1156</v>
      </c>
      <c r="B89" s="624"/>
      <c r="C89" s="709"/>
      <c r="D89" s="625" t="s">
        <v>1157</v>
      </c>
      <c r="E89" s="626"/>
      <c r="F89" s="626"/>
      <c r="G89" s="626"/>
      <c r="H89" s="622" t="s">
        <v>1158</v>
      </c>
      <c r="I89" s="627" t="s">
        <v>432</v>
      </c>
      <c r="J89" s="628"/>
      <c r="K89" s="628"/>
      <c r="L89" s="629"/>
      <c r="M89" s="702" t="s">
        <v>5252</v>
      </c>
      <c r="N89" s="693" t="str">
        <f>IF(AND(ISTEXT($A89), ISERROR($A89+0)), HYPERLINK($BF89, "Images"), "")</f>
        <v>Images</v>
      </c>
      <c r="O89" s="695" t="s">
        <v>5247</v>
      </c>
      <c r="P89" s="630"/>
      <c r="Q89" s="631"/>
      <c r="R89" s="632"/>
      <c r="S89" s="633"/>
      <c r="T89" s="102">
        <f t="shared" si="55"/>
        <v>0</v>
      </c>
      <c r="U89" s="78" t="str">
        <f>IF(NOT(ISNUMBER(G89)), "", VLOOKUP(A89,'Discount Lookup'!D:E,2,FALSE)*G89)</f>
        <v/>
      </c>
      <c r="V89" s="78" t="str">
        <f>IF(NOT(ISNUMBER(G89)), "", VLOOKUP(A89,'Discount Lookup'!G:H,2,FALSE)*G89)</f>
        <v/>
      </c>
      <c r="W89" s="102">
        <f t="shared" si="56"/>
        <v>0</v>
      </c>
      <c r="X89" s="102" t="str">
        <f t="shared" si="57"/>
        <v>Green foliage</v>
      </c>
      <c r="Y89" s="120" t="b">
        <f t="shared" si="58"/>
        <v>0</v>
      </c>
      <c r="Z89" s="117">
        <f t="shared" si="59"/>
        <v>0</v>
      </c>
      <c r="AA89" s="118"/>
      <c r="AB89" s="118" t="str">
        <f t="shared" si="60"/>
        <v/>
      </c>
      <c r="AC89" s="712" t="str">
        <f>IF(AE89="T2G","no charge",IF(AND(OR(PlanterYesMe="No",PlanterYesMe="N",PlanterYesMe="me"),H89=""),"",IF(H89="credit","NO install",IF(AND(K89="",AE89="me"),"EACH row",IF(AND(K89="images",AE89="me"),"EACH row",IF(D89="","",IF(H89="credit","",IF(AE89="free","re-planting",IF(AE89="me","   not ELP, by",IF(AND(OR(PlanterYesMe="Yes",PlanterYesMe="Y"),G89&gt;0),(VLOOKUP(A89,'Discount Lookup'!J:K,2)*G89*(1-PlanterDiscount)*(1+PlanterDifficultyPercentage)),IF(AE89="ELP",(VLOOKUP(A89,'Discount Lookup'!J:K,2)*G89*(1-PlanterDiscount)*(1+PlanterDifficultyPercentage)),IF(AE89="free","re-planting",IF(G89=0,"",IF(PlanterYesMe="",IF(AE89="me","   not ELP, by",IF(AE89="",IF(G89&gt;0,(VLOOKUP(A89,'Discount Lookup'!J:K,2)*G89*(1-PlanterDiscount)*(1+PlanterDifficultyPercentage)),""),"")),"   not ELP, by"))))))))))))))</f>
        <v/>
      </c>
      <c r="AD89" s="712"/>
      <c r="AE89" s="513" t="str">
        <f t="shared" si="61"/>
        <v/>
      </c>
      <c r="AF89" s="713" t="str">
        <f t="shared" si="62"/>
        <v/>
      </c>
      <c r="AG89" s="713"/>
      <c r="AH89" s="713"/>
      <c r="AI89" s="112">
        <f>IF(H89="credit",0,IF(AE89="free",0,IF(AE89="me",0,IF(G89&gt;0,(VLOOKUP(A89,'Discount Lookup'!J:K,2)*G89),0))))</f>
        <v>0</v>
      </c>
      <c r="AJ89" s="107" t="str">
        <f t="shared" ca="1" si="63"/>
        <v/>
      </c>
      <c r="AK89" s="714" t="str">
        <f t="shared" si="64"/>
        <v/>
      </c>
      <c r="AL89" s="714"/>
      <c r="AM89" s="114" t="str">
        <f t="shared" si="65"/>
        <v/>
      </c>
      <c r="AN89" s="115"/>
      <c r="AO89" s="116"/>
      <c r="AP89" s="116"/>
      <c r="AQ89" s="116"/>
      <c r="AR89" s="116"/>
      <c r="AS89" s="116"/>
      <c r="AT89" s="116"/>
      <c r="AU89" s="116"/>
      <c r="AV89" s="78"/>
      <c r="AW89" s="102"/>
      <c r="AX89" s="78"/>
      <c r="AY89" s="78"/>
      <c r="AZ89" s="78"/>
      <c r="BA89" s="78"/>
      <c r="BB89" s="78"/>
      <c r="BC89" s="78"/>
      <c r="BD89" s="78"/>
      <c r="BE89" s="465"/>
      <c r="BF89" s="165" t="str">
        <f t="shared" si="66"/>
        <v>https://www.google.com/search?tbm=isch&amp;q=Acer%20laevigatum%20%27H%C3%B3ng%20L%C3%B3ng%27%20Red%20Dragon%20Smooth%20Maple</v>
      </c>
      <c r="BG89" s="165" t="str">
        <f t="shared" si="67"/>
        <v>A</v>
      </c>
      <c r="BH89" s="65"/>
      <c r="BI89" s="65"/>
      <c r="BJ89" s="65"/>
      <c r="BK89" s="65"/>
      <c r="BL89" s="99"/>
      <c r="BM89" s="99"/>
      <c r="BN89" s="99"/>
    </row>
    <row r="90" spans="1:66" s="51" customFormat="1" ht="15.75" x14ac:dyDescent="0.25">
      <c r="A90" s="634">
        <v>25</v>
      </c>
      <c r="B90" s="635" t="s">
        <v>291</v>
      </c>
      <c r="C90" s="636" t="s">
        <v>1159</v>
      </c>
      <c r="D90" s="637" t="s">
        <v>293</v>
      </c>
      <c r="E90" s="638">
        <v>628.95000000000005</v>
      </c>
      <c r="F90" s="639" t="s">
        <v>292</v>
      </c>
      <c r="G90" s="484">
        <v>0</v>
      </c>
      <c r="H90" s="691" t="str">
        <f>IF(G90=0,"",IF(F90="Buy",IF(G90=1,"plant","plants"),IF(F90&gt;0.01,"warranty","Error")))</f>
        <v/>
      </c>
      <c r="I90" s="640">
        <f>IF(H90="free",0,IF(H90="credit",((E90*(F90))*G90*-1),IF(F90="Buy",(E90*G90),((E90*(1-F90))*G90))))</f>
        <v>0</v>
      </c>
      <c r="J90" s="640">
        <f>IF(H90="warranty",0,(I90*(_xlfn.SINGLE(SalesTaxPercentage))))</f>
        <v>0</v>
      </c>
      <c r="K90" s="716">
        <f t="shared" ref="K90" si="72">I90+J90</f>
        <v>0</v>
      </c>
      <c r="L90" s="716"/>
      <c r="M90" s="689" t="str">
        <f ca="1">IF(AND(G90&gt;0,E90=0),"WARNING - no PRICE inserted",IF(H90="free","FREE ~ no charge this plant",IF(H90="credit",CONCATENATE("-$",ROUND(K90*(1-_xlfn.SINGLE(T2GDiscount))*-1,2)," CREDIT after discount"),IF(_xlfn.SINGLE(T2GDiscount)=0,"",IF(G90=0,"",IF(F90="Buy",CONCATENATE("$",ROUND(K90*(1-_xlfn.SINGLE(T2GDiscount)),2)," with ",(_xlfn.SINGLE(T2GDiscount)*100),"% discount"),CONCATENATE("$",ROUND(K90*(1-_xlfn.SINGLE(T2GDiscount)),2)," with ",((_xlfn.SINGLE(T2GDiscount)*100+F90*100)-(_xlfn.SINGLE(T2GDiscount)*100*F90)),IF(F90&gt;0,"% discounts",IF(_xlfn.SINGLE(NoWarrantyDiscount)&gt;0,"% discounts","% discount")))))))))</f>
        <v/>
      </c>
      <c r="N90" s="690"/>
      <c r="O90" s="486"/>
      <c r="P90" s="486"/>
      <c r="Q90" s="486"/>
      <c r="R90" s="486"/>
      <c r="S90" s="486"/>
      <c r="T90" s="102">
        <f t="shared" si="55"/>
        <v>0</v>
      </c>
      <c r="U90" s="78">
        <f>IF(NOT(ISNUMBER(G90)), "", VLOOKUP(A90,'Discount Lookup'!D:E,2,FALSE)*G90)</f>
        <v>0</v>
      </c>
      <c r="V90" s="78">
        <f>IF(NOT(ISNUMBER(G90)), "", VLOOKUP(A90,'Discount Lookup'!G:H,2,FALSE)*G90)</f>
        <v>0</v>
      </c>
      <c r="W90" s="102">
        <f t="shared" si="56"/>
        <v>0</v>
      </c>
      <c r="X90" s="102">
        <f t="shared" si="57"/>
        <v>0</v>
      </c>
      <c r="Y90" s="120" t="b">
        <f t="shared" si="58"/>
        <v>0</v>
      </c>
      <c r="Z90" s="117">
        <f t="shared" si="59"/>
        <v>0</v>
      </c>
      <c r="AA90" s="118"/>
      <c r="AB90" s="118" t="str">
        <f t="shared" si="60"/>
        <v/>
      </c>
      <c r="AC90" s="712" t="str">
        <f>IF(AE90="T2G","no charge",IF(AND(OR(PlanterYesMe="No",PlanterYesMe="N",PlanterYesMe="me"),H90=""),"",IF(H90="credit","NO install",IF(AND(K90="",AE90="me"),"EACH row",IF(AND(K90="images",AE90="me"),"EACH row",IF(D90="","",IF(H90="credit","",IF(AE90="free","re-planting",IF(AE90="me","   not ELP, by",IF(AND(OR(PlanterYesMe="Yes",PlanterYesMe="Y"),G90&gt;0),(VLOOKUP(A90,'Discount Lookup'!J:K,2)*G90*(1-PlanterDiscount)*(1+PlanterDifficultyPercentage)),IF(AE90="ELP",(VLOOKUP(A90,'Discount Lookup'!J:K,2)*G90*(1-PlanterDiscount)*(1+PlanterDifficultyPercentage)),IF(AE90="free","re-planting",IF(G90=0,"",IF(PlanterYesMe="",IF(AE90="me","   not ELP, by",IF(AE90="",IF(G90&gt;0,(VLOOKUP(A90,'Discount Lookup'!J:K,2)*G90*(1-PlanterDiscount)*(1+PlanterDifficultyPercentage)),""),"")),"   not ELP, by"))))))))))))))</f>
        <v/>
      </c>
      <c r="AD90" s="712"/>
      <c r="AE90" s="513" t="str">
        <f t="shared" si="61"/>
        <v/>
      </c>
      <c r="AF90" s="713" t="str">
        <f t="shared" si="62"/>
        <v/>
      </c>
      <c r="AG90" s="713"/>
      <c r="AH90" s="713"/>
      <c r="AI90" s="112">
        <f>IF(H90="credit",0,IF(AE90="free",0,IF(AE90="me",0,IF(G90&gt;0,(VLOOKUP(A90,'Discount Lookup'!J:K,2)*G90),0))))</f>
        <v>0</v>
      </c>
      <c r="AJ90" s="107" t="str">
        <f t="shared" ca="1" si="63"/>
        <v/>
      </c>
      <c r="AK90" s="714" t="str">
        <f t="shared" si="64"/>
        <v/>
      </c>
      <c r="AL90" s="714"/>
      <c r="AM90" s="114" t="str">
        <f t="shared" si="65"/>
        <v/>
      </c>
      <c r="AN90" s="115"/>
      <c r="AO90" s="116"/>
      <c r="AP90" s="116"/>
      <c r="AQ90" s="116"/>
      <c r="AR90" s="116"/>
      <c r="AS90" s="116"/>
      <c r="AT90" s="116"/>
      <c r="AU90" s="116"/>
      <c r="AV90" s="78"/>
      <c r="AW90" s="102"/>
      <c r="AX90" s="78"/>
      <c r="AY90" s="78"/>
      <c r="AZ90" s="78"/>
      <c r="BA90" s="78"/>
      <c r="BB90" s="78"/>
      <c r="BC90" s="78"/>
      <c r="BD90" s="78"/>
      <c r="BE90" s="465"/>
      <c r="BF90" s="165" t="str">
        <f t="shared" si="66"/>
        <v>https://www.google.com/search?tbm=isch&amp;q=25%20G6</v>
      </c>
      <c r="BG90" s="165" t="str">
        <f t="shared" si="67"/>
        <v>A</v>
      </c>
      <c r="BH90" s="65"/>
      <c r="BI90" s="65"/>
      <c r="BJ90" s="65"/>
      <c r="BK90" s="65"/>
      <c r="BL90" s="99"/>
      <c r="BM90" s="99"/>
      <c r="BN90" s="99"/>
    </row>
    <row r="91" spans="1:66" s="51" customFormat="1" ht="17.25" thickBot="1" x14ac:dyDescent="0.3">
      <c r="A91" s="641" t="s">
        <v>1160</v>
      </c>
      <c r="B91" s="642"/>
      <c r="C91" s="710"/>
      <c r="D91" s="643"/>
      <c r="E91" s="643"/>
      <c r="F91" s="644"/>
      <c r="G91" s="645"/>
      <c r="H91" s="646"/>
      <c r="I91" s="647"/>
      <c r="J91" s="648"/>
      <c r="K91" s="649"/>
      <c r="L91" s="650"/>
      <c r="M91" s="650"/>
      <c r="N91" s="644"/>
      <c r="O91" s="644"/>
      <c r="P91" s="644"/>
      <c r="Q91" s="644"/>
      <c r="R91" s="644"/>
      <c r="S91" s="651"/>
      <c r="T91" s="102">
        <f t="shared" si="55"/>
        <v>0</v>
      </c>
      <c r="U91" s="78" t="str">
        <f>IF(NOT(ISNUMBER(G91)), "", VLOOKUP(A91,'Discount Lookup'!D:E,2,FALSE)*G91)</f>
        <v/>
      </c>
      <c r="V91" s="78" t="str">
        <f>IF(NOT(ISNUMBER(G91)), "", VLOOKUP(A91,'Discount Lookup'!G:H,2,FALSE)*G91)</f>
        <v/>
      </c>
      <c r="W91" s="102">
        <f t="shared" si="56"/>
        <v>0</v>
      </c>
      <c r="X91" s="102">
        <f t="shared" si="57"/>
        <v>0</v>
      </c>
      <c r="Y91" s="120" t="b">
        <f t="shared" si="58"/>
        <v>0</v>
      </c>
      <c r="Z91" s="117">
        <f t="shared" si="59"/>
        <v>0</v>
      </c>
      <c r="AA91" s="118"/>
      <c r="AB91" s="118" t="str">
        <f t="shared" si="60"/>
        <v/>
      </c>
      <c r="AC91" s="712" t="str">
        <f>IF(AE91="T2G","no charge",IF(AND(OR(PlanterYesMe="No",PlanterYesMe="N",PlanterYesMe="me"),H91=""),"",IF(H91="credit","NO install",IF(AND(K91="",AE91="me"),"EACH row",IF(AND(K91="images",AE91="me"),"EACH row",IF(D91="","",IF(H91="credit","",IF(AE91="free","re-planting",IF(AE91="me","   not ELP, by",IF(AND(OR(PlanterYesMe="Yes",PlanterYesMe="Y"),G91&gt;0),(VLOOKUP(A91,'Discount Lookup'!J:K,2)*G91*(1-PlanterDiscount)*(1+PlanterDifficultyPercentage)),IF(AE91="ELP",(VLOOKUP(A91,'Discount Lookup'!J:K,2)*G91*(1-PlanterDiscount)*(1+PlanterDifficultyPercentage)),IF(AE91="free","re-planting",IF(G91=0,"",IF(PlanterYesMe="",IF(AE91="me","   not ELP, by",IF(AE91="",IF(G91&gt;0,(VLOOKUP(A91,'Discount Lookup'!J:K,2)*G91*(1-PlanterDiscount)*(1+PlanterDifficultyPercentage)),""),"")),"   not ELP, by"))))))))))))))</f>
        <v/>
      </c>
      <c r="AD91" s="712"/>
      <c r="AE91" s="513" t="str">
        <f t="shared" si="61"/>
        <v/>
      </c>
      <c r="AF91" s="713" t="str">
        <f t="shared" si="62"/>
        <v/>
      </c>
      <c r="AG91" s="713"/>
      <c r="AH91" s="713"/>
      <c r="AI91" s="112">
        <f>IF(H91="credit",0,IF(AE91="free",0,IF(AE91="me",0,IF(G91&gt;0,(VLOOKUP(A91,'Discount Lookup'!J:K,2)*G91),0))))</f>
        <v>0</v>
      </c>
      <c r="AJ91" s="107" t="str">
        <f t="shared" ca="1" si="63"/>
        <v/>
      </c>
      <c r="AK91" s="714" t="str">
        <f t="shared" si="64"/>
        <v/>
      </c>
      <c r="AL91" s="714"/>
      <c r="AM91" s="114" t="str">
        <f t="shared" si="65"/>
        <v/>
      </c>
      <c r="AN91" s="115"/>
      <c r="AO91" s="116"/>
      <c r="AP91" s="116"/>
      <c r="AQ91" s="116"/>
      <c r="AR91" s="116"/>
      <c r="AS91" s="116"/>
      <c r="AT91" s="116"/>
      <c r="AU91" s="116"/>
      <c r="AV91" s="78"/>
      <c r="AW91" s="102"/>
      <c r="AX91" s="78"/>
      <c r="AY91" s="78"/>
      <c r="AZ91" s="78"/>
      <c r="BA91" s="78"/>
      <c r="BB91" s="78"/>
      <c r="BC91" s="78"/>
      <c r="BD91" s="78"/>
      <c r="BE91" s="465"/>
      <c r="BF91" s="165" t="str">
        <f t="shared" si="66"/>
        <v>https://www.google.com/search?tbm=isch&amp;q=Red%20Dragon%20foliage%20emerges%20a%20brilliant%2C%20fiery%20red%2C%20maturing%20to%20Green%2C%20then%20fall%20shades%20of%20Yellow-Orang-Red%20</v>
      </c>
      <c r="BG91" s="165" t="str">
        <f t="shared" si="67"/>
        <v>R</v>
      </c>
      <c r="BH91" s="65"/>
      <c r="BI91" s="65"/>
      <c r="BJ91" s="65"/>
      <c r="BK91" s="65"/>
      <c r="BL91" s="99"/>
      <c r="BM91" s="99"/>
      <c r="BN91" s="99"/>
    </row>
    <row r="92" spans="1:66" s="51" customFormat="1" ht="18" x14ac:dyDescent="0.25">
      <c r="A92" s="623" t="s">
        <v>1161</v>
      </c>
      <c r="B92" s="624"/>
      <c r="C92" s="709"/>
      <c r="D92" s="625" t="s">
        <v>1162</v>
      </c>
      <c r="E92" s="626"/>
      <c r="F92" s="626"/>
      <c r="G92" s="626"/>
      <c r="H92" s="622" t="s">
        <v>1163</v>
      </c>
      <c r="I92" s="627" t="s">
        <v>432</v>
      </c>
      <c r="J92" s="628"/>
      <c r="K92" s="628"/>
      <c r="L92" s="629"/>
      <c r="M92" s="702" t="s">
        <v>5252</v>
      </c>
      <c r="N92" s="693" t="str">
        <f>IF(AND(ISTEXT($A92), ISERROR($A92+0)), HYPERLINK($BF92, "Images"), "")</f>
        <v>Images</v>
      </c>
      <c r="O92" s="695" t="s">
        <v>5247</v>
      </c>
      <c r="P92" s="630"/>
      <c r="Q92" s="631"/>
      <c r="R92" s="632"/>
      <c r="S92" s="633"/>
      <c r="T92" s="102">
        <f t="shared" si="55"/>
        <v>0</v>
      </c>
      <c r="U92" s="78" t="str">
        <f>IF(NOT(ISNUMBER(G92)), "", VLOOKUP(A92,'Discount Lookup'!D:E,2,FALSE)*G92)</f>
        <v/>
      </c>
      <c r="V92" s="78" t="str">
        <f>IF(NOT(ISNUMBER(G92)), "", VLOOKUP(A92,'Discount Lookup'!G:H,2,FALSE)*G92)</f>
        <v/>
      </c>
      <c r="W92" s="102">
        <f t="shared" si="56"/>
        <v>0</v>
      </c>
      <c r="X92" s="102" t="str">
        <f t="shared" si="57"/>
        <v>Green foliage</v>
      </c>
      <c r="Y92" s="120" t="b">
        <f t="shared" si="58"/>
        <v>0</v>
      </c>
      <c r="Z92" s="117">
        <f t="shared" si="59"/>
        <v>0</v>
      </c>
      <c r="AA92" s="118"/>
      <c r="AB92" s="118" t="str">
        <f t="shared" si="60"/>
        <v/>
      </c>
      <c r="AC92" s="712" t="str">
        <f>IF(AE92="T2G","no charge",IF(AND(OR(PlanterYesMe="No",PlanterYesMe="N",PlanterYesMe="me"),H92=""),"",IF(H92="credit","NO install",IF(AND(K92="",AE92="me"),"EACH row",IF(AND(K92="images",AE92="me"),"EACH row",IF(D92="","",IF(H92="credit","",IF(AE92="free","re-planting",IF(AE92="me","   not ELP, by",IF(AND(OR(PlanterYesMe="Yes",PlanterYesMe="Y"),G92&gt;0),(VLOOKUP(A92,'Discount Lookup'!J:K,2)*G92*(1-PlanterDiscount)*(1+PlanterDifficultyPercentage)),IF(AE92="ELP",(VLOOKUP(A92,'Discount Lookup'!J:K,2)*G92*(1-PlanterDiscount)*(1+PlanterDifficultyPercentage)),IF(AE92="free","re-planting",IF(G92=0,"",IF(PlanterYesMe="",IF(AE92="me","   not ELP, by",IF(AE92="",IF(G92&gt;0,(VLOOKUP(A92,'Discount Lookup'!J:K,2)*G92*(1-PlanterDiscount)*(1+PlanterDifficultyPercentage)),""),"")),"   not ELP, by"))))))))))))))</f>
        <v/>
      </c>
      <c r="AD92" s="712"/>
      <c r="AE92" s="513" t="str">
        <f t="shared" si="61"/>
        <v/>
      </c>
      <c r="AF92" s="713" t="str">
        <f t="shared" si="62"/>
        <v/>
      </c>
      <c r="AG92" s="713"/>
      <c r="AH92" s="713"/>
      <c r="AI92" s="112">
        <f>IF(H92="credit",0,IF(AE92="free",0,IF(AE92="me",0,IF(G92&gt;0,(VLOOKUP(A92,'Discount Lookup'!J:K,2)*G92),0))))</f>
        <v>0</v>
      </c>
      <c r="AJ92" s="107" t="str">
        <f t="shared" ca="1" si="63"/>
        <v/>
      </c>
      <c r="AK92" s="714" t="str">
        <f t="shared" si="64"/>
        <v/>
      </c>
      <c r="AL92" s="714"/>
      <c r="AM92" s="114" t="str">
        <f t="shared" si="65"/>
        <v/>
      </c>
      <c r="AN92" s="115"/>
      <c r="AO92" s="116"/>
      <c r="AP92" s="116"/>
      <c r="AQ92" s="116"/>
      <c r="AR92" s="116"/>
      <c r="AS92" s="116"/>
      <c r="AT92" s="116"/>
      <c r="AU92" s="116"/>
      <c r="AV92" s="78"/>
      <c r="AW92" s="102"/>
      <c r="AX92" s="78"/>
      <c r="AY92" s="78"/>
      <c r="AZ92" s="78"/>
      <c r="BA92" s="78"/>
      <c r="BB92" s="78"/>
      <c r="BC92" s="78"/>
      <c r="BD92" s="78"/>
      <c r="BE92" s="465"/>
      <c r="BF92" s="165" t="str">
        <f t="shared" si="66"/>
        <v>https://www.google.com/search?tbm=isch&amp;q=Acer%20palmatum%20Green%20Seedling%20Japanese%20Maple</v>
      </c>
      <c r="BG92" s="165" t="str">
        <f t="shared" si="67"/>
        <v>A</v>
      </c>
      <c r="BH92" s="65"/>
      <c r="BI92" s="65"/>
      <c r="BJ92" s="65"/>
      <c r="BK92" s="65"/>
      <c r="BL92" s="99"/>
      <c r="BM92" s="99"/>
      <c r="BN92" s="99"/>
    </row>
    <row r="93" spans="1:66" s="51" customFormat="1" ht="15.75" x14ac:dyDescent="0.25">
      <c r="A93" s="634">
        <v>7</v>
      </c>
      <c r="B93" s="635" t="s">
        <v>291</v>
      </c>
      <c r="C93" s="636" t="s">
        <v>1164</v>
      </c>
      <c r="D93" s="637" t="s">
        <v>299</v>
      </c>
      <c r="E93" s="638">
        <v>132.94999999999999</v>
      </c>
      <c r="F93" s="639" t="s">
        <v>292</v>
      </c>
      <c r="G93" s="484">
        <v>0</v>
      </c>
      <c r="H93" s="691" t="str">
        <f t="shared" ref="H93:H99" si="73">IF(G93=0,"",IF(F93="Buy",IF(G93=1,"plant","plants"),IF(F93&gt;0.01,"warranty","Error")))</f>
        <v/>
      </c>
      <c r="I93" s="640">
        <f t="shared" ref="I93:I99" si="74">IF(H93="free",0,IF(H93="credit",((E93*(F93))*G93*-1),IF(F93="Buy",(E93*G93),((E93*(1-F93))*G93))))</f>
        <v>0</v>
      </c>
      <c r="J93" s="640">
        <f t="shared" ref="J93:J99" si="75">IF(H93="warranty",0,(I93*(_xlfn.SINGLE(SalesTaxPercentage))))</f>
        <v>0</v>
      </c>
      <c r="K93" s="716">
        <f t="shared" ref="K93" si="76">I93+J93</f>
        <v>0</v>
      </c>
      <c r="L93" s="716"/>
      <c r="M93" s="689" t="str">
        <f t="shared" ref="M93:M99" ca="1" si="77">IF(AND(G93&gt;0,E93=0),"WARNING - no PRICE inserted",IF(H93="free","FREE ~ no charge this plant",IF(H93="credit",CONCATENATE("-$",ROUND(K93*(1-_xlfn.SINGLE(T2GDiscount))*-1,2)," CREDIT after discount"),IF(_xlfn.SINGLE(T2GDiscount)=0,"",IF(G93=0,"",IF(F93="Buy",CONCATENATE("$",ROUND(K93*(1-_xlfn.SINGLE(T2GDiscount)),2)," with ",(_xlfn.SINGLE(T2GDiscount)*100),"% discount"),CONCATENATE("$",ROUND(K93*(1-_xlfn.SINGLE(T2GDiscount)),2)," with ",((_xlfn.SINGLE(T2GDiscount)*100+F93*100)-(_xlfn.SINGLE(T2GDiscount)*100*F93)),IF(F93&gt;0,"% discounts",IF(_xlfn.SINGLE(NoWarrantyDiscount)&gt;0,"% discounts","% discount")))))))))</f>
        <v/>
      </c>
      <c r="N93" s="690"/>
      <c r="O93" s="486"/>
      <c r="P93" s="486"/>
      <c r="Q93" s="486"/>
      <c r="R93" s="486"/>
      <c r="S93" s="486"/>
      <c r="T93" s="102">
        <f t="shared" si="55"/>
        <v>0</v>
      </c>
      <c r="U93" s="78">
        <f>IF(NOT(ISNUMBER(G93)), "", VLOOKUP(A93,'Discount Lookup'!D:E,2,FALSE)*G93)</f>
        <v>0</v>
      </c>
      <c r="V93" s="78">
        <f>IF(NOT(ISNUMBER(G93)), "", VLOOKUP(A93,'Discount Lookup'!G:H,2,FALSE)*G93)</f>
        <v>0</v>
      </c>
      <c r="W93" s="102">
        <f t="shared" si="56"/>
        <v>0</v>
      </c>
      <c r="X93" s="102">
        <f t="shared" si="57"/>
        <v>0</v>
      </c>
      <c r="Y93" s="120" t="b">
        <f t="shared" si="58"/>
        <v>0</v>
      </c>
      <c r="Z93" s="117">
        <f t="shared" si="59"/>
        <v>0</v>
      </c>
      <c r="AA93" s="118"/>
      <c r="AB93" s="118" t="str">
        <f t="shared" si="60"/>
        <v/>
      </c>
      <c r="AC93" s="712" t="str">
        <f>IF(AE93="T2G","no charge",IF(AND(OR(PlanterYesMe="No",PlanterYesMe="N",PlanterYesMe="me"),H93=""),"",IF(H93="credit","NO install",IF(AND(K93="",AE93="me"),"EACH row",IF(AND(K93="images",AE93="me"),"EACH row",IF(D93="","",IF(H93="credit","",IF(AE93="free","re-planting",IF(AE93="me","   not ELP, by",IF(AND(OR(PlanterYesMe="Yes",PlanterYesMe="Y"),G93&gt;0),(VLOOKUP(A93,'Discount Lookup'!J:K,2)*G93*(1-PlanterDiscount)*(1+PlanterDifficultyPercentage)),IF(AE93="ELP",(VLOOKUP(A93,'Discount Lookup'!J:K,2)*G93*(1-PlanterDiscount)*(1+PlanterDifficultyPercentage)),IF(AE93="free","re-planting",IF(G93=0,"",IF(PlanterYesMe="",IF(AE93="me","   not ELP, by",IF(AE93="",IF(G93&gt;0,(VLOOKUP(A93,'Discount Lookup'!J:K,2)*G93*(1-PlanterDiscount)*(1+PlanterDifficultyPercentage)),""),"")),"   not ELP, by"))))))))))))))</f>
        <v/>
      </c>
      <c r="AD93" s="712"/>
      <c r="AE93" s="513" t="str">
        <f t="shared" si="61"/>
        <v/>
      </c>
      <c r="AF93" s="713" t="str">
        <f t="shared" si="62"/>
        <v/>
      </c>
      <c r="AG93" s="713"/>
      <c r="AH93" s="713"/>
      <c r="AI93" s="112">
        <f>IF(H93="credit",0,IF(AE93="free",0,IF(AE93="me",0,IF(G93&gt;0,(VLOOKUP(A93,'Discount Lookup'!J:K,2)*G93),0))))</f>
        <v>0</v>
      </c>
      <c r="AJ93" s="107" t="str">
        <f t="shared" ca="1" si="63"/>
        <v/>
      </c>
      <c r="AK93" s="714" t="str">
        <f t="shared" si="64"/>
        <v/>
      </c>
      <c r="AL93" s="714"/>
      <c r="AM93" s="114" t="str">
        <f t="shared" si="65"/>
        <v/>
      </c>
      <c r="AN93" s="115"/>
      <c r="AO93" s="116"/>
      <c r="AP93" s="116"/>
      <c r="AQ93" s="116"/>
      <c r="AR93" s="116"/>
      <c r="AS93" s="116"/>
      <c r="AT93" s="116"/>
      <c r="AU93" s="116"/>
      <c r="AV93" s="78"/>
      <c r="AW93" s="102"/>
      <c r="AX93" s="78"/>
      <c r="AY93" s="78"/>
      <c r="AZ93" s="78"/>
      <c r="BA93" s="78"/>
      <c r="BB93" s="78"/>
      <c r="BC93" s="78"/>
      <c r="BD93" s="78"/>
      <c r="BE93" s="465"/>
      <c r="BF93" s="165" t="str">
        <f t="shared" si="66"/>
        <v>https://www.google.com/search?tbm=isch&amp;q=7%20G4</v>
      </c>
      <c r="BG93" s="165" t="str">
        <f t="shared" si="67"/>
        <v>A</v>
      </c>
      <c r="BH93" s="65"/>
      <c r="BI93" s="65"/>
      <c r="BJ93" s="65"/>
      <c r="BK93" s="65"/>
      <c r="BL93" s="99"/>
      <c r="BM93" s="99"/>
      <c r="BN93" s="99"/>
    </row>
    <row r="94" spans="1:66" s="51" customFormat="1" ht="15.75" x14ac:dyDescent="0.25">
      <c r="A94" s="634">
        <v>15</v>
      </c>
      <c r="B94" s="635" t="s">
        <v>291</v>
      </c>
      <c r="C94" s="636" t="s">
        <v>1165</v>
      </c>
      <c r="D94" s="637" t="s">
        <v>299</v>
      </c>
      <c r="E94" s="638">
        <v>293.95</v>
      </c>
      <c r="F94" s="639" t="s">
        <v>292</v>
      </c>
      <c r="G94" s="484">
        <v>0</v>
      </c>
      <c r="H94" s="691" t="str">
        <f t="shared" si="73"/>
        <v/>
      </c>
      <c r="I94" s="640">
        <f t="shared" si="74"/>
        <v>0</v>
      </c>
      <c r="J94" s="640">
        <f t="shared" si="75"/>
        <v>0</v>
      </c>
      <c r="K94" s="716">
        <f t="shared" ref="K94" si="78">I94+J94</f>
        <v>0</v>
      </c>
      <c r="L94" s="716"/>
      <c r="M94" s="689" t="str">
        <f t="shared" ca="1" si="77"/>
        <v/>
      </c>
      <c r="N94" s="690"/>
      <c r="O94" s="486"/>
      <c r="P94" s="486"/>
      <c r="Q94" s="486"/>
      <c r="R94" s="486"/>
      <c r="S94" s="486"/>
      <c r="T94" s="102">
        <f t="shared" si="55"/>
        <v>0</v>
      </c>
      <c r="U94" s="78">
        <f>IF(NOT(ISNUMBER(G94)), "", VLOOKUP(A94,'Discount Lookup'!D:E,2,FALSE)*G94)</f>
        <v>0</v>
      </c>
      <c r="V94" s="78">
        <f>IF(NOT(ISNUMBER(G94)), "", VLOOKUP(A94,'Discount Lookup'!G:H,2,FALSE)*G94)</f>
        <v>0</v>
      </c>
      <c r="W94" s="102">
        <f t="shared" si="56"/>
        <v>0</v>
      </c>
      <c r="X94" s="102">
        <f t="shared" si="57"/>
        <v>0</v>
      </c>
      <c r="Y94" s="120" t="b">
        <f t="shared" si="58"/>
        <v>0</v>
      </c>
      <c r="Z94" s="117">
        <f t="shared" si="59"/>
        <v>0</v>
      </c>
      <c r="AA94" s="118"/>
      <c r="AB94" s="118" t="str">
        <f t="shared" si="60"/>
        <v/>
      </c>
      <c r="AC94" s="712" t="str">
        <f>IF(AE94="T2G","no charge",IF(AND(OR(PlanterYesMe="No",PlanterYesMe="N",PlanterYesMe="me"),H94=""),"",IF(H94="credit","NO install",IF(AND(K94="",AE94="me"),"EACH row",IF(AND(K94="images",AE94="me"),"EACH row",IF(D94="","",IF(H94="credit","",IF(AE94="free","re-planting",IF(AE94="me","   not ELP, by",IF(AND(OR(PlanterYesMe="Yes",PlanterYesMe="Y"),G94&gt;0),(VLOOKUP(A94,'Discount Lookup'!J:K,2)*G94*(1-PlanterDiscount)*(1+PlanterDifficultyPercentage)),IF(AE94="ELP",(VLOOKUP(A94,'Discount Lookup'!J:K,2)*G94*(1-PlanterDiscount)*(1+PlanterDifficultyPercentage)),IF(AE94="free","re-planting",IF(G94=0,"",IF(PlanterYesMe="",IF(AE94="me","   not ELP, by",IF(AE94="",IF(G94&gt;0,(VLOOKUP(A94,'Discount Lookup'!J:K,2)*G94*(1-PlanterDiscount)*(1+PlanterDifficultyPercentage)),""),"")),"   not ELP, by"))))))))))))))</f>
        <v/>
      </c>
      <c r="AD94" s="712"/>
      <c r="AE94" s="513" t="str">
        <f t="shared" si="61"/>
        <v/>
      </c>
      <c r="AF94" s="713" t="str">
        <f t="shared" si="62"/>
        <v/>
      </c>
      <c r="AG94" s="713"/>
      <c r="AH94" s="713"/>
      <c r="AI94" s="112">
        <f>IF(H94="credit",0,IF(AE94="free",0,IF(AE94="me",0,IF(G94&gt;0,(VLOOKUP(A94,'Discount Lookup'!J:K,2)*G94),0))))</f>
        <v>0</v>
      </c>
      <c r="AJ94" s="107" t="str">
        <f t="shared" ca="1" si="63"/>
        <v/>
      </c>
      <c r="AK94" s="714" t="str">
        <f t="shared" si="64"/>
        <v/>
      </c>
      <c r="AL94" s="714"/>
      <c r="AM94" s="114" t="str">
        <f t="shared" si="65"/>
        <v/>
      </c>
      <c r="AN94" s="115"/>
      <c r="AO94" s="116"/>
      <c r="AP94" s="116"/>
      <c r="AQ94" s="116"/>
      <c r="AR94" s="116"/>
      <c r="AS94" s="116"/>
      <c r="AT94" s="116"/>
      <c r="AU94" s="116"/>
      <c r="AV94" s="78"/>
      <c r="AW94" s="102"/>
      <c r="AX94" s="78"/>
      <c r="AY94" s="78"/>
      <c r="AZ94" s="78"/>
      <c r="BA94" s="78"/>
      <c r="BB94" s="78"/>
      <c r="BC94" s="78"/>
      <c r="BD94" s="78"/>
      <c r="BE94" s="465"/>
      <c r="BF94" s="165" t="str">
        <f t="shared" si="66"/>
        <v>https://www.google.com/search?tbm=isch&amp;q=15%20G4</v>
      </c>
      <c r="BG94" s="165" t="str">
        <f t="shared" si="67"/>
        <v>A</v>
      </c>
      <c r="BH94" s="65"/>
      <c r="BI94" s="65"/>
      <c r="BJ94" s="65"/>
      <c r="BK94" s="65"/>
      <c r="BL94" s="99"/>
      <c r="BM94" s="99"/>
      <c r="BN94" s="99"/>
    </row>
    <row r="95" spans="1:66" s="51" customFormat="1" ht="15.75" x14ac:dyDescent="0.25">
      <c r="A95" s="634">
        <v>25</v>
      </c>
      <c r="B95" s="635" t="s">
        <v>291</v>
      </c>
      <c r="C95" s="636" t="s">
        <v>1166</v>
      </c>
      <c r="D95" s="637" t="s">
        <v>299</v>
      </c>
      <c r="E95" s="638">
        <v>559.95000000000005</v>
      </c>
      <c r="F95" s="639" t="s">
        <v>292</v>
      </c>
      <c r="G95" s="484">
        <v>0</v>
      </c>
      <c r="H95" s="691" t="str">
        <f t="shared" si="73"/>
        <v/>
      </c>
      <c r="I95" s="640">
        <f t="shared" si="74"/>
        <v>0</v>
      </c>
      <c r="J95" s="640">
        <f t="shared" si="75"/>
        <v>0</v>
      </c>
      <c r="K95" s="716">
        <f t="shared" ref="K95" si="79">I95+J95</f>
        <v>0</v>
      </c>
      <c r="L95" s="716"/>
      <c r="M95" s="689" t="str">
        <f t="shared" ca="1" si="77"/>
        <v/>
      </c>
      <c r="N95" s="690"/>
      <c r="O95" s="486"/>
      <c r="P95" s="486"/>
      <c r="Q95" s="486"/>
      <c r="R95" s="486"/>
      <c r="S95" s="486"/>
      <c r="T95" s="102">
        <f t="shared" si="55"/>
        <v>0</v>
      </c>
      <c r="U95" s="78">
        <f>IF(NOT(ISNUMBER(G95)), "", VLOOKUP(A95,'Discount Lookup'!D:E,2,FALSE)*G95)</f>
        <v>0</v>
      </c>
      <c r="V95" s="78">
        <f>IF(NOT(ISNUMBER(G95)), "", VLOOKUP(A95,'Discount Lookup'!G:H,2,FALSE)*G95)</f>
        <v>0</v>
      </c>
      <c r="W95" s="102">
        <f t="shared" si="56"/>
        <v>0</v>
      </c>
      <c r="X95" s="102">
        <f t="shared" si="57"/>
        <v>0</v>
      </c>
      <c r="Y95" s="120" t="b">
        <f t="shared" si="58"/>
        <v>0</v>
      </c>
      <c r="Z95" s="117">
        <f t="shared" si="59"/>
        <v>0</v>
      </c>
      <c r="AA95" s="118"/>
      <c r="AB95" s="118" t="str">
        <f t="shared" si="60"/>
        <v/>
      </c>
      <c r="AC95" s="712" t="str">
        <f>IF(AE95="T2G","no charge",IF(AND(OR(PlanterYesMe="No",PlanterYesMe="N",PlanterYesMe="me"),H95=""),"",IF(H95="credit","NO install",IF(AND(K95="",AE95="me"),"EACH row",IF(AND(K95="images",AE95="me"),"EACH row",IF(D95="","",IF(H95="credit","",IF(AE95="free","re-planting",IF(AE95="me","   not ELP, by",IF(AND(OR(PlanterYesMe="Yes",PlanterYesMe="Y"),G95&gt;0),(VLOOKUP(A95,'Discount Lookup'!J:K,2)*G95*(1-PlanterDiscount)*(1+PlanterDifficultyPercentage)),IF(AE95="ELP",(VLOOKUP(A95,'Discount Lookup'!J:K,2)*G95*(1-PlanterDiscount)*(1+PlanterDifficultyPercentage)),IF(AE95="free","re-planting",IF(G95=0,"",IF(PlanterYesMe="",IF(AE95="me","   not ELP, by",IF(AE95="",IF(G95&gt;0,(VLOOKUP(A95,'Discount Lookup'!J:K,2)*G95*(1-PlanterDiscount)*(1+PlanterDifficultyPercentage)),""),"")),"   not ELP, by"))))))))))))))</f>
        <v/>
      </c>
      <c r="AD95" s="712"/>
      <c r="AE95" s="513" t="str">
        <f t="shared" si="61"/>
        <v/>
      </c>
      <c r="AF95" s="713" t="str">
        <f t="shared" si="62"/>
        <v/>
      </c>
      <c r="AG95" s="713"/>
      <c r="AH95" s="713"/>
      <c r="AI95" s="112">
        <f>IF(H95="credit",0,IF(AE95="free",0,IF(AE95="me",0,IF(G95&gt;0,(VLOOKUP(A95,'Discount Lookup'!J:K,2)*G95),0))))</f>
        <v>0</v>
      </c>
      <c r="AJ95" s="107" t="str">
        <f t="shared" ca="1" si="63"/>
        <v/>
      </c>
      <c r="AK95" s="714" t="str">
        <f t="shared" si="64"/>
        <v/>
      </c>
      <c r="AL95" s="714"/>
      <c r="AM95" s="114" t="str">
        <f t="shared" si="65"/>
        <v/>
      </c>
      <c r="AN95" s="115"/>
      <c r="AO95" s="116"/>
      <c r="AP95" s="116"/>
      <c r="AQ95" s="116"/>
      <c r="AR95" s="116"/>
      <c r="AS95" s="116"/>
      <c r="AT95" s="116"/>
      <c r="AU95" s="116"/>
      <c r="AV95" s="78"/>
      <c r="AW95" s="102"/>
      <c r="AX95" s="78"/>
      <c r="AY95" s="78"/>
      <c r="AZ95" s="78"/>
      <c r="BA95" s="78"/>
      <c r="BB95" s="78"/>
      <c r="BC95" s="78"/>
      <c r="BD95" s="78"/>
      <c r="BE95" s="465"/>
      <c r="BF95" s="165" t="str">
        <f t="shared" si="66"/>
        <v>https://www.google.com/search?tbm=isch&amp;q=25%20G4</v>
      </c>
      <c r="BG95" s="165" t="str">
        <f t="shared" si="67"/>
        <v>A</v>
      </c>
      <c r="BH95" s="65"/>
      <c r="BI95" s="65"/>
      <c r="BJ95" s="65"/>
      <c r="BK95" s="65"/>
      <c r="BL95" s="99"/>
      <c r="BM95" s="99"/>
      <c r="BN95" s="99"/>
    </row>
    <row r="96" spans="1:66" s="51" customFormat="1" ht="15.75" x14ac:dyDescent="0.25">
      <c r="A96" s="634">
        <v>100</v>
      </c>
      <c r="B96" s="635" t="s">
        <v>291</v>
      </c>
      <c r="C96" s="636" t="s">
        <v>1167</v>
      </c>
      <c r="D96" s="637" t="s">
        <v>311</v>
      </c>
      <c r="E96" s="638">
        <v>919.95</v>
      </c>
      <c r="F96" s="639" t="s">
        <v>292</v>
      </c>
      <c r="G96" s="484">
        <v>0</v>
      </c>
      <c r="H96" s="691" t="str">
        <f t="shared" si="73"/>
        <v/>
      </c>
      <c r="I96" s="640">
        <f t="shared" si="74"/>
        <v>0</v>
      </c>
      <c r="J96" s="640">
        <f t="shared" si="75"/>
        <v>0</v>
      </c>
      <c r="K96" s="716">
        <f t="shared" ref="K96" si="80">I96+J96</f>
        <v>0</v>
      </c>
      <c r="L96" s="716"/>
      <c r="M96" s="689" t="str">
        <f t="shared" ca="1" si="77"/>
        <v/>
      </c>
      <c r="N96" s="690"/>
      <c r="O96" s="486"/>
      <c r="P96" s="486"/>
      <c r="Q96" s="486"/>
      <c r="R96" s="486"/>
      <c r="S96" s="486"/>
      <c r="T96" s="102">
        <f t="shared" si="55"/>
        <v>0</v>
      </c>
      <c r="U96" s="78">
        <f>IF(NOT(ISNUMBER(G96)), "", VLOOKUP(A96,'Discount Lookup'!D:E,2,FALSE)*G96)</f>
        <v>0</v>
      </c>
      <c r="V96" s="78">
        <f>IF(NOT(ISNUMBER(G96)), "", VLOOKUP(A96,'Discount Lookup'!G:H,2,FALSE)*G96)</f>
        <v>0</v>
      </c>
      <c r="W96" s="102">
        <f t="shared" si="56"/>
        <v>0</v>
      </c>
      <c r="X96" s="102">
        <f t="shared" si="57"/>
        <v>0</v>
      </c>
      <c r="Y96" s="120" t="b">
        <f t="shared" si="58"/>
        <v>0</v>
      </c>
      <c r="Z96" s="117">
        <f t="shared" si="59"/>
        <v>0</v>
      </c>
      <c r="AA96" s="118"/>
      <c r="AB96" s="118" t="str">
        <f t="shared" si="60"/>
        <v/>
      </c>
      <c r="AC96" s="712" t="str">
        <f>IF(AE96="T2G","no charge",IF(AND(OR(PlanterYesMe="No",PlanterYesMe="N",PlanterYesMe="me"),H96=""),"",IF(H96="credit","NO install",IF(AND(K96="",AE96="me"),"EACH row",IF(AND(K96="images",AE96="me"),"EACH row",IF(D96="","",IF(H96="credit","",IF(AE96="free","re-planting",IF(AE96="me","   not ELP, by",IF(AND(OR(PlanterYesMe="Yes",PlanterYesMe="Y"),G96&gt;0),(VLOOKUP(A96,'Discount Lookup'!J:K,2)*G96*(1-PlanterDiscount)*(1+PlanterDifficultyPercentage)),IF(AE96="ELP",(VLOOKUP(A96,'Discount Lookup'!J:K,2)*G96*(1-PlanterDiscount)*(1+PlanterDifficultyPercentage)),IF(AE96="free","re-planting",IF(G96=0,"",IF(PlanterYesMe="",IF(AE96="me","   not ELP, by",IF(AE96="",IF(G96&gt;0,(VLOOKUP(A96,'Discount Lookup'!J:K,2)*G96*(1-PlanterDiscount)*(1+PlanterDifficultyPercentage)),""),"")),"   not ELP, by"))))))))))))))</f>
        <v/>
      </c>
      <c r="AD96" s="712"/>
      <c r="AE96" s="513" t="str">
        <f t="shared" si="61"/>
        <v/>
      </c>
      <c r="AF96" s="713" t="str">
        <f t="shared" si="62"/>
        <v/>
      </c>
      <c r="AG96" s="713"/>
      <c r="AH96" s="713"/>
      <c r="AI96" s="112">
        <f>IF(H96="credit",0,IF(AE96="free",0,IF(AE96="me",0,IF(G96&gt;0,(VLOOKUP(A96,'Discount Lookup'!J:K,2)*G96),0))))</f>
        <v>0</v>
      </c>
      <c r="AJ96" s="107" t="str">
        <f t="shared" ca="1" si="63"/>
        <v/>
      </c>
      <c r="AK96" s="714" t="str">
        <f t="shared" si="64"/>
        <v/>
      </c>
      <c r="AL96" s="714"/>
      <c r="AM96" s="114" t="str">
        <f t="shared" si="65"/>
        <v/>
      </c>
      <c r="AN96" s="115"/>
      <c r="AO96" s="116"/>
      <c r="AP96" s="116"/>
      <c r="AQ96" s="116"/>
      <c r="AR96" s="116"/>
      <c r="AS96" s="116"/>
      <c r="AT96" s="116"/>
      <c r="AU96" s="116"/>
      <c r="AV96" s="78"/>
      <c r="AW96" s="102"/>
      <c r="AX96" s="78"/>
      <c r="AY96" s="78"/>
      <c r="AZ96" s="78"/>
      <c r="BA96" s="78"/>
      <c r="BB96" s="78"/>
      <c r="BC96" s="78"/>
      <c r="BD96" s="78"/>
      <c r="BE96" s="465"/>
      <c r="BF96" s="165" t="str">
        <f t="shared" si="66"/>
        <v>https://www.google.com/search?tbm=isch&amp;q=100%20G5</v>
      </c>
      <c r="BG96" s="165" t="str">
        <f t="shared" si="67"/>
        <v>A</v>
      </c>
      <c r="BH96" s="65"/>
      <c r="BI96" s="65"/>
      <c r="BJ96" s="65"/>
      <c r="BK96" s="65"/>
      <c r="BL96" s="99"/>
      <c r="BM96" s="99"/>
      <c r="BN96" s="99"/>
    </row>
    <row r="97" spans="1:66" s="51" customFormat="1" ht="15.75" x14ac:dyDescent="0.25">
      <c r="A97" s="634">
        <v>65</v>
      </c>
      <c r="B97" s="635" t="s">
        <v>291</v>
      </c>
      <c r="C97" s="636" t="s">
        <v>1168</v>
      </c>
      <c r="D97" s="637" t="s">
        <v>299</v>
      </c>
      <c r="E97" s="638">
        <v>937.95</v>
      </c>
      <c r="F97" s="639" t="s">
        <v>292</v>
      </c>
      <c r="G97" s="484">
        <v>0</v>
      </c>
      <c r="H97" s="691" t="str">
        <f t="shared" si="73"/>
        <v/>
      </c>
      <c r="I97" s="640">
        <f t="shared" si="74"/>
        <v>0</v>
      </c>
      <c r="J97" s="640">
        <f t="shared" si="75"/>
        <v>0</v>
      </c>
      <c r="K97" s="716">
        <f t="shared" ref="K97" si="81">I97+J97</f>
        <v>0</v>
      </c>
      <c r="L97" s="716"/>
      <c r="M97" s="689" t="str">
        <f t="shared" ca="1" si="77"/>
        <v/>
      </c>
      <c r="N97" s="690"/>
      <c r="O97" s="486"/>
      <c r="P97" s="486"/>
      <c r="Q97" s="486"/>
      <c r="R97" s="486"/>
      <c r="S97" s="486"/>
      <c r="T97" s="102">
        <f t="shared" si="55"/>
        <v>0</v>
      </c>
      <c r="U97" s="78">
        <f>IF(NOT(ISNUMBER(G97)), "", VLOOKUP(A97,'Discount Lookup'!D:E,2,FALSE)*G97)</f>
        <v>0</v>
      </c>
      <c r="V97" s="78">
        <f>IF(NOT(ISNUMBER(G97)), "", VLOOKUP(A97,'Discount Lookup'!G:H,2,FALSE)*G97)</f>
        <v>0</v>
      </c>
      <c r="W97" s="102">
        <f t="shared" si="56"/>
        <v>0</v>
      </c>
      <c r="X97" s="102">
        <f t="shared" si="57"/>
        <v>0</v>
      </c>
      <c r="Y97" s="120" t="b">
        <f t="shared" si="58"/>
        <v>0</v>
      </c>
      <c r="Z97" s="117">
        <f t="shared" si="59"/>
        <v>0</v>
      </c>
      <c r="AA97" s="118"/>
      <c r="AB97" s="118" t="str">
        <f t="shared" si="60"/>
        <v/>
      </c>
      <c r="AC97" s="712" t="str">
        <f>IF(AE97="T2G","no charge",IF(AND(OR(PlanterYesMe="No",PlanterYesMe="N",PlanterYesMe="me"),H97=""),"",IF(H97="credit","NO install",IF(AND(K97="",AE97="me"),"EACH row",IF(AND(K97="images",AE97="me"),"EACH row",IF(D97="","",IF(H97="credit","",IF(AE97="free","re-planting",IF(AE97="me","   not ELP, by",IF(AND(OR(PlanterYesMe="Yes",PlanterYesMe="Y"),G97&gt;0),(VLOOKUP(A97,'Discount Lookup'!J:K,2)*G97*(1-PlanterDiscount)*(1+PlanterDifficultyPercentage)),IF(AE97="ELP",(VLOOKUP(A97,'Discount Lookup'!J:K,2)*G97*(1-PlanterDiscount)*(1+PlanterDifficultyPercentage)),IF(AE97="free","re-planting",IF(G97=0,"",IF(PlanterYesMe="",IF(AE97="me","   not ELP, by",IF(AE97="",IF(G97&gt;0,(VLOOKUP(A97,'Discount Lookup'!J:K,2)*G97*(1-PlanterDiscount)*(1+PlanterDifficultyPercentage)),""),"")),"   not ELP, by"))))))))))))))</f>
        <v/>
      </c>
      <c r="AD97" s="712"/>
      <c r="AE97" s="513" t="str">
        <f t="shared" si="61"/>
        <v/>
      </c>
      <c r="AF97" s="713" t="str">
        <f t="shared" si="62"/>
        <v/>
      </c>
      <c r="AG97" s="713"/>
      <c r="AH97" s="713"/>
      <c r="AI97" s="112">
        <f>IF(H97="credit",0,IF(AE97="free",0,IF(AE97="me",0,IF(G97&gt;0,(VLOOKUP(A97,'Discount Lookup'!J:K,2)*G97),0))))</f>
        <v>0</v>
      </c>
      <c r="AJ97" s="107" t="str">
        <f t="shared" ca="1" si="63"/>
        <v/>
      </c>
      <c r="AK97" s="714" t="str">
        <f t="shared" si="64"/>
        <v/>
      </c>
      <c r="AL97" s="714"/>
      <c r="AM97" s="114" t="str">
        <f t="shared" si="65"/>
        <v/>
      </c>
      <c r="AN97" s="115"/>
      <c r="AO97" s="116"/>
      <c r="AP97" s="116"/>
      <c r="AQ97" s="116"/>
      <c r="AR97" s="116"/>
      <c r="AS97" s="116"/>
      <c r="AT97" s="116"/>
      <c r="AU97" s="116"/>
      <c r="AV97" s="78"/>
      <c r="AW97" s="102"/>
      <c r="AX97" s="78"/>
      <c r="AY97" s="78"/>
      <c r="AZ97" s="78"/>
      <c r="BA97" s="78"/>
      <c r="BB97" s="78"/>
      <c r="BC97" s="78"/>
      <c r="BD97" s="78"/>
      <c r="BE97" s="465"/>
      <c r="BF97" s="165" t="str">
        <f t="shared" si="66"/>
        <v>https://www.google.com/search?tbm=isch&amp;q=65%20G4</v>
      </c>
      <c r="BG97" s="165" t="str">
        <f t="shared" si="67"/>
        <v>A</v>
      </c>
      <c r="BH97" s="65"/>
      <c r="BI97" s="65"/>
      <c r="BJ97" s="65"/>
      <c r="BK97" s="65"/>
      <c r="BL97" s="99"/>
      <c r="BM97" s="99"/>
      <c r="BN97" s="99"/>
    </row>
    <row r="98" spans="1:66" s="51" customFormat="1" ht="27" x14ac:dyDescent="0.25">
      <c r="A98" s="634">
        <v>95</v>
      </c>
      <c r="B98" s="635" t="s">
        <v>291</v>
      </c>
      <c r="C98" s="636" t="s">
        <v>1169</v>
      </c>
      <c r="D98" s="637" t="s">
        <v>299</v>
      </c>
      <c r="E98" s="638">
        <v>1098.95</v>
      </c>
      <c r="F98" s="639" t="s">
        <v>292</v>
      </c>
      <c r="G98" s="484">
        <v>0</v>
      </c>
      <c r="H98" s="691" t="str">
        <f t="shared" si="73"/>
        <v/>
      </c>
      <c r="I98" s="640">
        <f t="shared" si="74"/>
        <v>0</v>
      </c>
      <c r="J98" s="640">
        <f t="shared" si="75"/>
        <v>0</v>
      </c>
      <c r="K98" s="716">
        <f t="shared" ref="K98" si="82">I98+J98</f>
        <v>0</v>
      </c>
      <c r="L98" s="716"/>
      <c r="M98" s="689" t="str">
        <f t="shared" ca="1" si="77"/>
        <v/>
      </c>
      <c r="N98" s="690"/>
      <c r="O98" s="486"/>
      <c r="P98" s="486"/>
      <c r="Q98" s="486"/>
      <c r="R98" s="486"/>
      <c r="S98" s="486"/>
      <c r="T98" s="102">
        <f t="shared" si="55"/>
        <v>0</v>
      </c>
      <c r="U98" s="78">
        <f>IF(NOT(ISNUMBER(G98)), "", VLOOKUP(A98,'Discount Lookup'!D:E,2,FALSE)*G98)</f>
        <v>0</v>
      </c>
      <c r="V98" s="78">
        <f>IF(NOT(ISNUMBER(G98)), "", VLOOKUP(A98,'Discount Lookup'!G:H,2,FALSE)*G98)</f>
        <v>0</v>
      </c>
      <c r="W98" s="102">
        <f t="shared" si="56"/>
        <v>0</v>
      </c>
      <c r="X98" s="102">
        <f t="shared" si="57"/>
        <v>0</v>
      </c>
      <c r="Y98" s="120" t="b">
        <f t="shared" si="58"/>
        <v>0</v>
      </c>
      <c r="Z98" s="117">
        <f t="shared" si="59"/>
        <v>0</v>
      </c>
      <c r="AA98" s="118"/>
      <c r="AB98" s="118" t="str">
        <f t="shared" si="60"/>
        <v/>
      </c>
      <c r="AC98" s="712" t="str">
        <f>IF(AE98="T2G","no charge",IF(AND(OR(PlanterYesMe="No",PlanterYesMe="N",PlanterYesMe="me"),H98=""),"",IF(H98="credit","NO install",IF(AND(K98="",AE98="me"),"EACH row",IF(AND(K98="images",AE98="me"),"EACH row",IF(D98="","",IF(H98="credit","",IF(AE98="free","re-planting",IF(AE98="me","   not ELP, by",IF(AND(OR(PlanterYesMe="Yes",PlanterYesMe="Y"),G98&gt;0),(VLOOKUP(A98,'Discount Lookup'!J:K,2)*G98*(1-PlanterDiscount)*(1+PlanterDifficultyPercentage)),IF(AE98="ELP",(VLOOKUP(A98,'Discount Lookup'!J:K,2)*G98*(1-PlanterDiscount)*(1+PlanterDifficultyPercentage)),IF(AE98="free","re-planting",IF(G98=0,"",IF(PlanterYesMe="",IF(AE98="me","   not ELP, by",IF(AE98="",IF(G98&gt;0,(VLOOKUP(A98,'Discount Lookup'!J:K,2)*G98*(1-PlanterDiscount)*(1+PlanterDifficultyPercentage)),""),"")),"   not ELP, by"))))))))))))))</f>
        <v/>
      </c>
      <c r="AD98" s="712"/>
      <c r="AE98" s="513" t="str">
        <f t="shared" si="61"/>
        <v/>
      </c>
      <c r="AF98" s="713" t="str">
        <f t="shared" si="62"/>
        <v/>
      </c>
      <c r="AG98" s="713"/>
      <c r="AH98" s="713"/>
      <c r="AI98" s="112">
        <f>IF(H98="credit",0,IF(AE98="free",0,IF(AE98="me",0,IF(G98&gt;0,(VLOOKUP(A98,'Discount Lookup'!J:K,2)*G98),0))))</f>
        <v>0</v>
      </c>
      <c r="AJ98" s="107" t="str">
        <f t="shared" ca="1" si="63"/>
        <v/>
      </c>
      <c r="AK98" s="714" t="str">
        <f t="shared" si="64"/>
        <v/>
      </c>
      <c r="AL98" s="714"/>
      <c r="AM98" s="114" t="str">
        <f t="shared" si="65"/>
        <v/>
      </c>
      <c r="AN98" s="115"/>
      <c r="AO98" s="116"/>
      <c r="AP98" s="116"/>
      <c r="AQ98" s="116"/>
      <c r="AR98" s="116"/>
      <c r="AS98" s="116"/>
      <c r="AT98" s="116"/>
      <c r="AU98" s="116"/>
      <c r="AV98" s="78"/>
      <c r="AW98" s="102"/>
      <c r="AX98" s="78"/>
      <c r="AY98" s="78"/>
      <c r="AZ98" s="78"/>
      <c r="BA98" s="78"/>
      <c r="BB98" s="78"/>
      <c r="BC98" s="78"/>
      <c r="BD98" s="78"/>
      <c r="BE98" s="465"/>
      <c r="BF98" s="165" t="str">
        <f t="shared" si="66"/>
        <v>https://www.google.com/search?tbm=isch&amp;q=95%20G4</v>
      </c>
      <c r="BG98" s="165" t="str">
        <f t="shared" si="67"/>
        <v>A</v>
      </c>
      <c r="BH98" s="65"/>
      <c r="BI98" s="65"/>
      <c r="BJ98" s="65"/>
      <c r="BK98" s="65"/>
      <c r="BL98" s="99"/>
      <c r="BM98" s="99"/>
      <c r="BN98" s="99"/>
    </row>
    <row r="99" spans="1:66" s="51" customFormat="1" ht="27" x14ac:dyDescent="0.25">
      <c r="A99" s="634">
        <v>65</v>
      </c>
      <c r="B99" s="635" t="s">
        <v>291</v>
      </c>
      <c r="C99" s="636" t="s">
        <v>1170</v>
      </c>
      <c r="D99" s="637" t="s">
        <v>299</v>
      </c>
      <c r="E99" s="638">
        <v>1147.95</v>
      </c>
      <c r="F99" s="639" t="s">
        <v>292</v>
      </c>
      <c r="G99" s="484">
        <v>0</v>
      </c>
      <c r="H99" s="691" t="str">
        <f t="shared" si="73"/>
        <v/>
      </c>
      <c r="I99" s="640">
        <f t="shared" si="74"/>
        <v>0</v>
      </c>
      <c r="J99" s="640">
        <f t="shared" si="75"/>
        <v>0</v>
      </c>
      <c r="K99" s="716">
        <f t="shared" ref="K99" si="83">I99+J99</f>
        <v>0</v>
      </c>
      <c r="L99" s="716"/>
      <c r="M99" s="689" t="str">
        <f t="shared" ca="1" si="77"/>
        <v/>
      </c>
      <c r="N99" s="690"/>
      <c r="O99" s="486"/>
      <c r="P99" s="486"/>
      <c r="Q99" s="486"/>
      <c r="R99" s="486"/>
      <c r="S99" s="486"/>
      <c r="T99" s="102">
        <f t="shared" si="55"/>
        <v>0</v>
      </c>
      <c r="U99" s="78">
        <f>IF(NOT(ISNUMBER(G99)), "", VLOOKUP(A99,'Discount Lookup'!D:E,2,FALSE)*G99)</f>
        <v>0</v>
      </c>
      <c r="V99" s="78">
        <f>IF(NOT(ISNUMBER(G99)), "", VLOOKUP(A99,'Discount Lookup'!G:H,2,FALSE)*G99)</f>
        <v>0</v>
      </c>
      <c r="W99" s="102">
        <f t="shared" si="56"/>
        <v>0</v>
      </c>
      <c r="X99" s="102">
        <f t="shared" si="57"/>
        <v>0</v>
      </c>
      <c r="Y99" s="120" t="b">
        <f t="shared" si="58"/>
        <v>0</v>
      </c>
      <c r="Z99" s="117">
        <f t="shared" si="59"/>
        <v>0</v>
      </c>
      <c r="AA99" s="118"/>
      <c r="AB99" s="118" t="str">
        <f t="shared" si="60"/>
        <v/>
      </c>
      <c r="AC99" s="712" t="str">
        <f>IF(AE99="T2G","no charge",IF(AND(OR(PlanterYesMe="No",PlanterYesMe="N",PlanterYesMe="me"),H99=""),"",IF(H99="credit","NO install",IF(AND(K99="",AE99="me"),"EACH row",IF(AND(K99="images",AE99="me"),"EACH row",IF(D99="","",IF(H99="credit","",IF(AE99="free","re-planting",IF(AE99="me","   not ELP, by",IF(AND(OR(PlanterYesMe="Yes",PlanterYesMe="Y"),G99&gt;0),(VLOOKUP(A99,'Discount Lookup'!J:K,2)*G99*(1-PlanterDiscount)*(1+PlanterDifficultyPercentage)),IF(AE99="ELP",(VLOOKUP(A99,'Discount Lookup'!J:K,2)*G99*(1-PlanterDiscount)*(1+PlanterDifficultyPercentage)),IF(AE99="free","re-planting",IF(G99=0,"",IF(PlanterYesMe="",IF(AE99="me","   not ELP, by",IF(AE99="",IF(G99&gt;0,(VLOOKUP(A99,'Discount Lookup'!J:K,2)*G99*(1-PlanterDiscount)*(1+PlanterDifficultyPercentage)),""),"")),"   not ELP, by"))))))))))))))</f>
        <v/>
      </c>
      <c r="AD99" s="712"/>
      <c r="AE99" s="513" t="str">
        <f t="shared" si="61"/>
        <v/>
      </c>
      <c r="AF99" s="713" t="str">
        <f t="shared" si="62"/>
        <v/>
      </c>
      <c r="AG99" s="713"/>
      <c r="AH99" s="713"/>
      <c r="AI99" s="112">
        <f>IF(H99="credit",0,IF(AE99="free",0,IF(AE99="me",0,IF(G99&gt;0,(VLOOKUP(A99,'Discount Lookup'!J:K,2)*G99),0))))</f>
        <v>0</v>
      </c>
      <c r="AJ99" s="107" t="str">
        <f t="shared" ca="1" si="63"/>
        <v/>
      </c>
      <c r="AK99" s="714" t="str">
        <f t="shared" si="64"/>
        <v/>
      </c>
      <c r="AL99" s="714"/>
      <c r="AM99" s="114" t="str">
        <f t="shared" si="65"/>
        <v/>
      </c>
      <c r="AN99" s="115"/>
      <c r="AO99" s="116"/>
      <c r="AP99" s="116"/>
      <c r="AQ99" s="116"/>
      <c r="AR99" s="116"/>
      <c r="AS99" s="116"/>
      <c r="AT99" s="116"/>
      <c r="AU99" s="116"/>
      <c r="AV99" s="78"/>
      <c r="AW99" s="102"/>
      <c r="AX99" s="78"/>
      <c r="AY99" s="78"/>
      <c r="AZ99" s="78"/>
      <c r="BA99" s="78"/>
      <c r="BB99" s="78"/>
      <c r="BC99" s="78"/>
      <c r="BD99" s="78"/>
      <c r="BE99" s="465"/>
      <c r="BF99" s="165" t="str">
        <f t="shared" si="66"/>
        <v>https://www.google.com/search?tbm=isch&amp;q=65%20G4</v>
      </c>
      <c r="BG99" s="165" t="str">
        <f t="shared" si="67"/>
        <v>A</v>
      </c>
      <c r="BH99" s="65"/>
      <c r="BI99" s="65"/>
      <c r="BJ99" s="65"/>
      <c r="BK99" s="65"/>
      <c r="BL99" s="99"/>
      <c r="BM99" s="99"/>
      <c r="BN99" s="99"/>
    </row>
    <row r="100" spans="1:66" s="51" customFormat="1" ht="16.5" x14ac:dyDescent="0.25">
      <c r="A100" s="641" t="s">
        <v>1171</v>
      </c>
      <c r="B100" s="642"/>
      <c r="C100" s="710"/>
      <c r="D100" s="643"/>
      <c r="E100" s="643"/>
      <c r="F100" s="644"/>
      <c r="G100" s="645"/>
      <c r="H100" s="646"/>
      <c r="I100" s="647"/>
      <c r="J100" s="648"/>
      <c r="K100" s="649"/>
      <c r="L100" s="650"/>
      <c r="M100" s="650"/>
      <c r="N100" s="644"/>
      <c r="O100" s="644"/>
      <c r="P100" s="644"/>
      <c r="Q100" s="644"/>
      <c r="R100" s="644"/>
      <c r="S100" s="651"/>
      <c r="T100" s="102">
        <f t="shared" si="55"/>
        <v>0</v>
      </c>
      <c r="U100" s="78" t="str">
        <f>IF(NOT(ISNUMBER(G100)), "", VLOOKUP(A100,'Discount Lookup'!D:E,2,FALSE)*G100)</f>
        <v/>
      </c>
      <c r="V100" s="78" t="str">
        <f>IF(NOT(ISNUMBER(G100)), "", VLOOKUP(A100,'Discount Lookup'!G:H,2,FALSE)*G100)</f>
        <v/>
      </c>
      <c r="W100" s="102">
        <f t="shared" si="56"/>
        <v>0</v>
      </c>
      <c r="X100" s="102">
        <f t="shared" si="57"/>
        <v>0</v>
      </c>
      <c r="Y100" s="120" t="b">
        <f t="shared" si="58"/>
        <v>0</v>
      </c>
      <c r="Z100" s="117">
        <f t="shared" si="59"/>
        <v>0</v>
      </c>
      <c r="AA100" s="118"/>
      <c r="AB100" s="118" t="str">
        <f t="shared" si="60"/>
        <v/>
      </c>
      <c r="AC100" s="712" t="str">
        <f>IF(AE100="T2G","no charge",IF(AND(OR(PlanterYesMe="No",PlanterYesMe="N",PlanterYesMe="me"),H100=""),"",IF(H100="credit","NO install",IF(AND(K100="",AE100="me"),"EACH row",IF(AND(K100="images",AE100="me"),"EACH row",IF(D100="","",IF(H100="credit","",IF(AE100="free","re-planting",IF(AE100="me","   not ELP, by",IF(AND(OR(PlanterYesMe="Yes",PlanterYesMe="Y"),G100&gt;0),(VLOOKUP(A100,'Discount Lookup'!J:K,2)*G100*(1-PlanterDiscount)*(1+PlanterDifficultyPercentage)),IF(AE100="ELP",(VLOOKUP(A100,'Discount Lookup'!J:K,2)*G100*(1-PlanterDiscount)*(1+PlanterDifficultyPercentage)),IF(AE100="free","re-planting",IF(G100=0,"",IF(PlanterYesMe="",IF(AE100="me","   not ELP, by",IF(AE100="",IF(G100&gt;0,(VLOOKUP(A100,'Discount Lookup'!J:K,2)*G100*(1-PlanterDiscount)*(1+PlanterDifficultyPercentage)),""),"")),"   not ELP, by"))))))))))))))</f>
        <v/>
      </c>
      <c r="AD100" s="712"/>
      <c r="AE100" s="513" t="str">
        <f t="shared" si="61"/>
        <v/>
      </c>
      <c r="AF100" s="713" t="str">
        <f t="shared" si="62"/>
        <v/>
      </c>
      <c r="AG100" s="713"/>
      <c r="AH100" s="713"/>
      <c r="AI100" s="112">
        <f>IF(H100="credit",0,IF(AE100="free",0,IF(AE100="me",0,IF(G100&gt;0,(VLOOKUP(A100,'Discount Lookup'!J:K,2)*G100),0))))</f>
        <v>0</v>
      </c>
      <c r="AJ100" s="107" t="str">
        <f t="shared" ca="1" si="63"/>
        <v/>
      </c>
      <c r="AK100" s="714" t="str">
        <f t="shared" si="64"/>
        <v/>
      </c>
      <c r="AL100" s="714"/>
      <c r="AM100" s="114" t="str">
        <f t="shared" si="65"/>
        <v/>
      </c>
      <c r="AN100" s="115"/>
      <c r="AO100" s="116"/>
      <c r="AP100" s="116"/>
      <c r="AQ100" s="116"/>
      <c r="AR100" s="116"/>
      <c r="AS100" s="116"/>
      <c r="AT100" s="116"/>
      <c r="AU100" s="116"/>
      <c r="AV100" s="78"/>
      <c r="AW100" s="102"/>
      <c r="AX100" s="78"/>
      <c r="AY100" s="78"/>
      <c r="AZ100" s="78"/>
      <c r="BA100" s="78"/>
      <c r="BB100" s="78"/>
      <c r="BC100" s="78"/>
      <c r="BD100" s="78"/>
      <c r="BE100" s="465"/>
      <c r="BF100" s="165" t="str">
        <f t="shared" si="66"/>
        <v>https://www.google.com/search?tbm=isch&amp;q=Green%20Seedling%20are%20grown%20from%20seed%2C%20so%20Mature%20Height%2C%20Width%2C%20and%20other%20characteristics%20will%20vary%20widely.%20</v>
      </c>
      <c r="BG100" s="165" t="str">
        <f t="shared" si="67"/>
        <v>G</v>
      </c>
      <c r="BH100" s="65"/>
      <c r="BI100" s="65"/>
      <c r="BJ100" s="65"/>
      <c r="BK100" s="65"/>
      <c r="BL100" s="99"/>
      <c r="BM100" s="99"/>
      <c r="BN100" s="99"/>
    </row>
    <row r="101" spans="1:66" s="51" customFormat="1" ht="19.5" thickBot="1" x14ac:dyDescent="0.3">
      <c r="A101" s="686" t="s">
        <v>427</v>
      </c>
      <c r="B101" s="73"/>
      <c r="C101" s="708"/>
      <c r="D101" s="73"/>
      <c r="E101" s="73"/>
      <c r="F101" s="496"/>
      <c r="G101" s="73"/>
      <c r="H101" s="73"/>
      <c r="I101" s="73"/>
      <c r="J101" s="497" t="s">
        <v>357</v>
      </c>
      <c r="K101" s="498"/>
      <c r="L101" s="562"/>
      <c r="M101" s="73"/>
      <c r="N101"/>
      <c r="O101"/>
      <c r="P101"/>
      <c r="Q101"/>
      <c r="R101"/>
      <c r="S101"/>
      <c r="T101" s="102">
        <f t="shared" si="55"/>
        <v>0</v>
      </c>
      <c r="U101" s="78" t="str">
        <f>IF(NOT(ISNUMBER(G101)), "", VLOOKUP(A101,'Discount Lookup'!D:E,2,FALSE)*G101)</f>
        <v/>
      </c>
      <c r="V101" s="78" t="str">
        <f>IF(NOT(ISNUMBER(G101)), "", VLOOKUP(A101,'Discount Lookup'!G:H,2,FALSE)*G101)</f>
        <v/>
      </c>
      <c r="W101" s="102">
        <f t="shared" si="56"/>
        <v>0</v>
      </c>
      <c r="X101" s="102">
        <f t="shared" si="57"/>
        <v>0</v>
      </c>
      <c r="Y101" s="120" t="b">
        <f t="shared" si="58"/>
        <v>0</v>
      </c>
      <c r="Z101" s="117">
        <f t="shared" si="59"/>
        <v>0</v>
      </c>
      <c r="AA101" s="118"/>
      <c r="AB101" s="118" t="str">
        <f t="shared" si="60"/>
        <v/>
      </c>
      <c r="AC101" s="712" t="str">
        <f>IF(AE101="T2G","no charge",IF(AND(OR(PlanterYesMe="No",PlanterYesMe="N",PlanterYesMe="me"),H101=""),"",IF(H101="credit","NO install",IF(AND(K101="",AE101="me"),"EACH row",IF(AND(K101="images",AE101="me"),"EACH row",IF(D101="","",IF(H101="credit","",IF(AE101="free","re-planting",IF(AE101="me","   not ELP, by",IF(AND(OR(PlanterYesMe="Yes",PlanterYesMe="Y"),G101&gt;0),(VLOOKUP(A101,'Discount Lookup'!J:K,2)*G101*(1-PlanterDiscount)*(1+PlanterDifficultyPercentage)),IF(AE101="ELP",(VLOOKUP(A101,'Discount Lookup'!J:K,2)*G101*(1-PlanterDiscount)*(1+PlanterDifficultyPercentage)),IF(AE101="free","re-planting",IF(G101=0,"",IF(PlanterYesMe="",IF(AE101="me","   not ELP, by",IF(AE101="",IF(G101&gt;0,(VLOOKUP(A101,'Discount Lookup'!J:K,2)*G101*(1-PlanterDiscount)*(1+PlanterDifficultyPercentage)),""),"")),"   not ELP, by"))))))))))))))</f>
        <v/>
      </c>
      <c r="AD101" s="712"/>
      <c r="AE101" s="513" t="str">
        <f t="shared" si="61"/>
        <v/>
      </c>
      <c r="AF101" s="713" t="str">
        <f t="shared" si="62"/>
        <v/>
      </c>
      <c r="AG101" s="713"/>
      <c r="AH101" s="713"/>
      <c r="AI101" s="112">
        <f>IF(H101="credit",0,IF(AE101="free",0,IF(AE101="me",0,IF(G101&gt;0,(VLOOKUP(A101,'Discount Lookup'!J:K,2)*G101),0))))</f>
        <v>0</v>
      </c>
      <c r="AJ101" s="107" t="str">
        <f t="shared" ca="1" si="63"/>
        <v/>
      </c>
      <c r="AK101" s="714" t="str">
        <f t="shared" si="64"/>
        <v/>
      </c>
      <c r="AL101" s="714"/>
      <c r="AM101" s="114" t="str">
        <f t="shared" si="65"/>
        <v/>
      </c>
      <c r="AN101" s="115"/>
      <c r="AO101" s="116"/>
      <c r="AP101" s="116"/>
      <c r="AQ101" s="116"/>
      <c r="AR101" s="116"/>
      <c r="AS101" s="116"/>
      <c r="AT101" s="116"/>
      <c r="AU101" s="116"/>
      <c r="AV101" s="78"/>
      <c r="AW101" s="102"/>
      <c r="AX101" s="78"/>
      <c r="AY101" s="78"/>
      <c r="AZ101" s="78"/>
      <c r="BA101" s="78"/>
      <c r="BB101" s="78"/>
      <c r="BC101" s="78"/>
      <c r="BD101" s="78"/>
      <c r="BE101" s="465"/>
      <c r="BF101" s="165" t="str">
        <f t="shared" si="66"/>
        <v>https://www.google.com/search?tbm=isch&amp;q=Acer%20Palmatum%20%3D%20Japanese%20Maple%20</v>
      </c>
      <c r="BG101" s="165" t="str">
        <f t="shared" si="67"/>
        <v>A</v>
      </c>
      <c r="BH101" s="65"/>
      <c r="BI101" s="65"/>
      <c r="BJ101" s="65"/>
      <c r="BK101" s="65"/>
      <c r="BL101" s="99"/>
      <c r="BM101" s="99"/>
      <c r="BN101" s="99"/>
    </row>
    <row r="102" spans="1:66" s="51" customFormat="1" ht="18" x14ac:dyDescent="0.25">
      <c r="A102" s="623" t="s">
        <v>1172</v>
      </c>
      <c r="B102" s="624"/>
      <c r="C102" s="709"/>
      <c r="D102" s="625" t="s">
        <v>1173</v>
      </c>
      <c r="E102" s="626"/>
      <c r="F102" s="626"/>
      <c r="G102" s="626"/>
      <c r="H102" s="622" t="s">
        <v>1174</v>
      </c>
      <c r="I102" s="627" t="s">
        <v>1175</v>
      </c>
      <c r="J102" s="628"/>
      <c r="K102" s="628"/>
      <c r="L102" s="629"/>
      <c r="M102" s="700" t="s">
        <v>5249</v>
      </c>
      <c r="N102" s="693" t="str">
        <f>IF(AND(ISTEXT($A102), ISERROR($A102+0)), HYPERLINK($BF102, "Images"), "")</f>
        <v>Images</v>
      </c>
      <c r="O102" s="695" t="s">
        <v>5247</v>
      </c>
      <c r="P102" s="630"/>
      <c r="Q102" s="631"/>
      <c r="R102" s="632"/>
      <c r="S102" s="633"/>
      <c r="T102" s="102">
        <f t="shared" si="55"/>
        <v>0</v>
      </c>
      <c r="U102" s="78" t="str">
        <f>IF(NOT(ISNUMBER(G102)), "", VLOOKUP(A102,'Discount Lookup'!D:E,2,FALSE)*G102)</f>
        <v/>
      </c>
      <c r="V102" s="78" t="str">
        <f>IF(NOT(ISNUMBER(G102)), "", VLOOKUP(A102,'Discount Lookup'!G:H,2,FALSE)*G102)</f>
        <v/>
      </c>
      <c r="W102" s="102">
        <f t="shared" si="56"/>
        <v>0</v>
      </c>
      <c r="X102" s="102" t="str">
        <f t="shared" si="57"/>
        <v>Red-Purple foliage</v>
      </c>
      <c r="Y102" s="120" t="b">
        <f t="shared" si="58"/>
        <v>0</v>
      </c>
      <c r="Z102" s="117">
        <f t="shared" si="59"/>
        <v>0</v>
      </c>
      <c r="AA102" s="118"/>
      <c r="AB102" s="118" t="str">
        <f t="shared" si="60"/>
        <v/>
      </c>
      <c r="AC102" s="712" t="str">
        <f>IF(AE102="T2G","no charge",IF(AND(OR(PlanterYesMe="No",PlanterYesMe="N",PlanterYesMe="me"),H102=""),"",IF(H102="credit","NO install",IF(AND(K102="",AE102="me"),"EACH row",IF(AND(K102="images",AE102="me"),"EACH row",IF(D102="","",IF(H102="credit","",IF(AE102="free","re-planting",IF(AE102="me","   not ELP, by",IF(AND(OR(PlanterYesMe="Yes",PlanterYesMe="Y"),G102&gt;0),(VLOOKUP(A102,'Discount Lookup'!J:K,2)*G102*(1-PlanterDiscount)*(1+PlanterDifficultyPercentage)),IF(AE102="ELP",(VLOOKUP(A102,'Discount Lookup'!J:K,2)*G102*(1-PlanterDiscount)*(1+PlanterDifficultyPercentage)),IF(AE102="free","re-planting",IF(G102=0,"",IF(PlanterYesMe="",IF(AE102="me","   not ELP, by",IF(AE102="",IF(G102&gt;0,(VLOOKUP(A102,'Discount Lookup'!J:K,2)*G102*(1-PlanterDiscount)*(1+PlanterDifficultyPercentage)),""),"")),"   not ELP, by"))))))))))))))</f>
        <v/>
      </c>
      <c r="AD102" s="712"/>
      <c r="AE102" s="513" t="str">
        <f t="shared" si="61"/>
        <v/>
      </c>
      <c r="AF102" s="713" t="str">
        <f t="shared" si="62"/>
        <v/>
      </c>
      <c r="AG102" s="713"/>
      <c r="AH102" s="713"/>
      <c r="AI102" s="112">
        <f>IF(H102="credit",0,IF(AE102="free",0,IF(AE102="me",0,IF(G102&gt;0,(VLOOKUP(A102,'Discount Lookup'!J:K,2)*G102),0))))</f>
        <v>0</v>
      </c>
      <c r="AJ102" s="107" t="str">
        <f t="shared" ca="1" si="63"/>
        <v/>
      </c>
      <c r="AK102" s="714" t="str">
        <f t="shared" si="64"/>
        <v/>
      </c>
      <c r="AL102" s="714"/>
      <c r="AM102" s="114" t="str">
        <f t="shared" si="65"/>
        <v/>
      </c>
      <c r="AN102" s="115"/>
      <c r="AO102" s="116"/>
      <c r="AP102" s="116"/>
      <c r="AQ102" s="116"/>
      <c r="AR102" s="116"/>
      <c r="AS102" s="116"/>
      <c r="AT102" s="116"/>
      <c r="AU102" s="116"/>
      <c r="AV102" s="78"/>
      <c r="AW102" s="102"/>
      <c r="AX102" s="78"/>
      <c r="AY102" s="78"/>
      <c r="AZ102" s="78"/>
      <c r="BA102" s="78"/>
      <c r="BB102" s="78"/>
      <c r="BC102" s="78"/>
      <c r="BD102" s="78"/>
      <c r="BE102" s="465"/>
      <c r="BF102" s="165" t="str">
        <f t="shared" si="66"/>
        <v>https://www.google.com/search?tbm=isch&amp;q=Acer%20palmatum%20%27Bloodgood%27%20Bloodgood%20Japanese%20Maple</v>
      </c>
      <c r="BG102" s="165" t="str">
        <f t="shared" si="67"/>
        <v>A</v>
      </c>
      <c r="BH102" s="65"/>
      <c r="BI102" s="65"/>
      <c r="BJ102" s="65"/>
      <c r="BK102" s="65"/>
      <c r="BL102" s="99"/>
      <c r="BM102" s="99"/>
      <c r="BN102" s="99"/>
    </row>
    <row r="103" spans="1:66" s="51" customFormat="1" ht="15.75" x14ac:dyDescent="0.25">
      <c r="A103" s="634">
        <v>7</v>
      </c>
      <c r="B103" s="635" t="s">
        <v>291</v>
      </c>
      <c r="C103" s="636" t="s">
        <v>1176</v>
      </c>
      <c r="D103" s="637" t="s">
        <v>299</v>
      </c>
      <c r="E103" s="638">
        <v>201.95</v>
      </c>
      <c r="F103" s="639" t="s">
        <v>292</v>
      </c>
      <c r="G103" s="484">
        <v>0</v>
      </c>
      <c r="H103" s="691" t="str">
        <f t="shared" ref="H103:H111" si="84">IF(G103=0,"",IF(F103="Buy",IF(G103=1,"plant","plants"),IF(F103&gt;0.01,"warranty","Error")))</f>
        <v/>
      </c>
      <c r="I103" s="640">
        <f t="shared" ref="I103:I111" si="85">IF(H103="free",0,IF(H103="credit",((E103*(F103))*G103*-1),IF(F103="Buy",(E103*G103),((E103*(1-F103))*G103))))</f>
        <v>0</v>
      </c>
      <c r="J103" s="640">
        <f t="shared" ref="J103:J111" si="86">IF(H103="warranty",0,(I103*(_xlfn.SINGLE(SalesTaxPercentage))))</f>
        <v>0</v>
      </c>
      <c r="K103" s="716">
        <f t="shared" ref="K103" si="87">I103+J103</f>
        <v>0</v>
      </c>
      <c r="L103" s="716"/>
      <c r="M103" s="689" t="str">
        <f t="shared" ref="M103:M111" ca="1" si="88">IF(AND(G103&gt;0,E103=0),"WARNING - no PRICE inserted",IF(H103="free","FREE ~ no charge this plant",IF(H103="credit",CONCATENATE("-$",ROUND(K103*(1-_xlfn.SINGLE(T2GDiscount))*-1,2)," CREDIT after discount"),IF(_xlfn.SINGLE(T2GDiscount)=0,"",IF(G103=0,"",IF(F103="Buy",CONCATENATE("$",ROUND(K103*(1-_xlfn.SINGLE(T2GDiscount)),2)," with ",(_xlfn.SINGLE(T2GDiscount)*100),"% discount"),CONCATENATE("$",ROUND(K103*(1-_xlfn.SINGLE(T2GDiscount)),2)," with ",((_xlfn.SINGLE(T2GDiscount)*100+F103*100)-(_xlfn.SINGLE(T2GDiscount)*100*F103)),IF(F103&gt;0,"% discounts",IF(_xlfn.SINGLE(NoWarrantyDiscount)&gt;0,"% discounts","% discount")))))))))</f>
        <v/>
      </c>
      <c r="N103" s="690"/>
      <c r="O103" s="486"/>
      <c r="P103" s="486"/>
      <c r="Q103" s="486"/>
      <c r="R103" s="486"/>
      <c r="S103" s="486"/>
      <c r="T103" s="102">
        <f t="shared" si="55"/>
        <v>0</v>
      </c>
      <c r="U103" s="78">
        <f>IF(NOT(ISNUMBER(G103)), "", VLOOKUP(A103,'Discount Lookup'!D:E,2,FALSE)*G103)</f>
        <v>0</v>
      </c>
      <c r="V103" s="78">
        <f>IF(NOT(ISNUMBER(G103)), "", VLOOKUP(A103,'Discount Lookup'!G:H,2,FALSE)*G103)</f>
        <v>0</v>
      </c>
      <c r="W103" s="102">
        <f t="shared" si="56"/>
        <v>0</v>
      </c>
      <c r="X103" s="102">
        <f t="shared" si="57"/>
        <v>0</v>
      </c>
      <c r="Y103" s="120" t="b">
        <f t="shared" si="58"/>
        <v>0</v>
      </c>
      <c r="Z103" s="117">
        <f t="shared" si="59"/>
        <v>0</v>
      </c>
      <c r="AA103" s="118"/>
      <c r="AB103" s="118" t="str">
        <f t="shared" si="60"/>
        <v/>
      </c>
      <c r="AC103" s="712" t="str">
        <f>IF(AE103="T2G","no charge",IF(AND(OR(PlanterYesMe="No",PlanterYesMe="N",PlanterYesMe="me"),H103=""),"",IF(H103="credit","NO install",IF(AND(K103="",AE103="me"),"EACH row",IF(AND(K103="images",AE103="me"),"EACH row",IF(D103="","",IF(H103="credit","",IF(AE103="free","re-planting",IF(AE103="me","   not ELP, by",IF(AND(OR(PlanterYesMe="Yes",PlanterYesMe="Y"),G103&gt;0),(VLOOKUP(A103,'Discount Lookup'!J:K,2)*G103*(1-PlanterDiscount)*(1+PlanterDifficultyPercentage)),IF(AE103="ELP",(VLOOKUP(A103,'Discount Lookup'!J:K,2)*G103*(1-PlanterDiscount)*(1+PlanterDifficultyPercentage)),IF(AE103="free","re-planting",IF(G103=0,"",IF(PlanterYesMe="",IF(AE103="me","   not ELP, by",IF(AE103="",IF(G103&gt;0,(VLOOKUP(A103,'Discount Lookup'!J:K,2)*G103*(1-PlanterDiscount)*(1+PlanterDifficultyPercentage)),""),"")),"   not ELP, by"))))))))))))))</f>
        <v/>
      </c>
      <c r="AD103" s="712"/>
      <c r="AE103" s="513" t="str">
        <f t="shared" si="61"/>
        <v/>
      </c>
      <c r="AF103" s="713" t="str">
        <f t="shared" si="62"/>
        <v/>
      </c>
      <c r="AG103" s="713"/>
      <c r="AH103" s="713"/>
      <c r="AI103" s="112">
        <f>IF(H103="credit",0,IF(AE103="free",0,IF(AE103="me",0,IF(G103&gt;0,(VLOOKUP(A103,'Discount Lookup'!J:K,2)*G103),0))))</f>
        <v>0</v>
      </c>
      <c r="AJ103" s="107" t="str">
        <f t="shared" ca="1" si="63"/>
        <v/>
      </c>
      <c r="AK103" s="714" t="str">
        <f t="shared" si="64"/>
        <v/>
      </c>
      <c r="AL103" s="714"/>
      <c r="AM103" s="114" t="str">
        <f t="shared" si="65"/>
        <v/>
      </c>
      <c r="AN103" s="115"/>
      <c r="AO103" s="116"/>
      <c r="AP103" s="116"/>
      <c r="AQ103" s="116"/>
      <c r="AR103" s="116"/>
      <c r="AS103" s="116"/>
      <c r="AT103" s="116"/>
      <c r="AU103" s="116"/>
      <c r="AV103" s="78"/>
      <c r="AW103" s="102"/>
      <c r="AX103" s="78"/>
      <c r="AY103" s="78"/>
      <c r="AZ103" s="78"/>
      <c r="BA103" s="78"/>
      <c r="BB103" s="78"/>
      <c r="BC103" s="78"/>
      <c r="BD103" s="78"/>
      <c r="BE103" s="465"/>
      <c r="BF103" s="165" t="str">
        <f t="shared" si="66"/>
        <v>https://www.google.com/search?tbm=isch&amp;q=7%20G4</v>
      </c>
      <c r="BG103" s="165" t="str">
        <f t="shared" si="67"/>
        <v>A</v>
      </c>
      <c r="BH103" s="65"/>
      <c r="BI103" s="65"/>
      <c r="BJ103" s="65"/>
      <c r="BK103" s="65"/>
      <c r="BL103" s="99"/>
      <c r="BM103" s="99"/>
      <c r="BN103" s="99"/>
    </row>
    <row r="104" spans="1:66" s="51" customFormat="1" ht="15.75" x14ac:dyDescent="0.25">
      <c r="A104" s="634">
        <v>10</v>
      </c>
      <c r="B104" s="635" t="s">
        <v>291</v>
      </c>
      <c r="C104" s="636" t="s">
        <v>1177</v>
      </c>
      <c r="D104" s="637" t="s">
        <v>299</v>
      </c>
      <c r="E104" s="638">
        <v>299.95</v>
      </c>
      <c r="F104" s="639" t="s">
        <v>292</v>
      </c>
      <c r="G104" s="484">
        <v>0</v>
      </c>
      <c r="H104" s="691" t="str">
        <f t="shared" si="84"/>
        <v/>
      </c>
      <c r="I104" s="640">
        <f t="shared" si="85"/>
        <v>0</v>
      </c>
      <c r="J104" s="640">
        <f t="shared" si="86"/>
        <v>0</v>
      </c>
      <c r="K104" s="716">
        <f t="shared" ref="K104" si="89">I104+J104</f>
        <v>0</v>
      </c>
      <c r="L104" s="716"/>
      <c r="M104" s="689" t="str">
        <f t="shared" ca="1" si="88"/>
        <v/>
      </c>
      <c r="N104" s="690"/>
      <c r="O104" s="486"/>
      <c r="P104" s="486"/>
      <c r="Q104" s="486"/>
      <c r="R104" s="486"/>
      <c r="S104" s="486"/>
      <c r="T104" s="102">
        <f t="shared" si="55"/>
        <v>0</v>
      </c>
      <c r="U104" s="78">
        <f>IF(NOT(ISNUMBER(G104)), "", VLOOKUP(A104,'Discount Lookup'!D:E,2,FALSE)*G104)</f>
        <v>0</v>
      </c>
      <c r="V104" s="78">
        <f>IF(NOT(ISNUMBER(G104)), "", VLOOKUP(A104,'Discount Lookup'!G:H,2,FALSE)*G104)</f>
        <v>0</v>
      </c>
      <c r="W104" s="102">
        <f t="shared" si="56"/>
        <v>0</v>
      </c>
      <c r="X104" s="102">
        <f t="shared" si="57"/>
        <v>0</v>
      </c>
      <c r="Y104" s="120" t="b">
        <f t="shared" si="58"/>
        <v>0</v>
      </c>
      <c r="Z104" s="117">
        <f t="shared" si="59"/>
        <v>0</v>
      </c>
      <c r="AA104" s="118"/>
      <c r="AB104" s="118" t="str">
        <f t="shared" si="60"/>
        <v/>
      </c>
      <c r="AC104" s="712" t="str">
        <f>IF(AE104="T2G","no charge",IF(AND(OR(PlanterYesMe="No",PlanterYesMe="N",PlanterYesMe="me"),H104=""),"",IF(H104="credit","NO install",IF(AND(K104="",AE104="me"),"EACH row",IF(AND(K104="images",AE104="me"),"EACH row",IF(D104="","",IF(H104="credit","",IF(AE104="free","re-planting",IF(AE104="me","   not ELP, by",IF(AND(OR(PlanterYesMe="Yes",PlanterYesMe="Y"),G104&gt;0),(VLOOKUP(A104,'Discount Lookup'!J:K,2)*G104*(1-PlanterDiscount)*(1+PlanterDifficultyPercentage)),IF(AE104="ELP",(VLOOKUP(A104,'Discount Lookup'!J:K,2)*G104*(1-PlanterDiscount)*(1+PlanterDifficultyPercentage)),IF(AE104="free","re-planting",IF(G104=0,"",IF(PlanterYesMe="",IF(AE104="me","   not ELP, by",IF(AE104="",IF(G104&gt;0,(VLOOKUP(A104,'Discount Lookup'!J:K,2)*G104*(1-PlanterDiscount)*(1+PlanterDifficultyPercentage)),""),"")),"   not ELP, by"))))))))))))))</f>
        <v/>
      </c>
      <c r="AD104" s="712"/>
      <c r="AE104" s="513" t="str">
        <f t="shared" si="61"/>
        <v/>
      </c>
      <c r="AF104" s="713" t="str">
        <f t="shared" si="62"/>
        <v/>
      </c>
      <c r="AG104" s="713"/>
      <c r="AH104" s="713"/>
      <c r="AI104" s="112">
        <f>IF(H104="credit",0,IF(AE104="free",0,IF(AE104="me",0,IF(G104&gt;0,(VLOOKUP(A104,'Discount Lookup'!J:K,2)*G104),0))))</f>
        <v>0</v>
      </c>
      <c r="AJ104" s="107" t="str">
        <f t="shared" ca="1" si="63"/>
        <v/>
      </c>
      <c r="AK104" s="714" t="str">
        <f t="shared" si="64"/>
        <v/>
      </c>
      <c r="AL104" s="714"/>
      <c r="AM104" s="114" t="str">
        <f t="shared" si="65"/>
        <v/>
      </c>
      <c r="AN104" s="115"/>
      <c r="AO104" s="116"/>
      <c r="AP104" s="116"/>
      <c r="AQ104" s="116"/>
      <c r="AR104" s="116"/>
      <c r="AS104" s="116"/>
      <c r="AT104" s="116"/>
      <c r="AU104" s="116"/>
      <c r="AV104" s="78"/>
      <c r="AW104" s="102"/>
      <c r="AX104" s="78"/>
      <c r="AY104" s="78"/>
      <c r="AZ104" s="78"/>
      <c r="BA104" s="78"/>
      <c r="BB104" s="78"/>
      <c r="BC104" s="78"/>
      <c r="BD104" s="78"/>
      <c r="BE104" s="465"/>
      <c r="BF104" s="165" t="str">
        <f t="shared" si="66"/>
        <v>https://www.google.com/search?tbm=isch&amp;q=10%20G4</v>
      </c>
      <c r="BG104" s="165" t="str">
        <f t="shared" si="67"/>
        <v>A</v>
      </c>
      <c r="BH104" s="65"/>
      <c r="BI104" s="65"/>
      <c r="BJ104" s="65"/>
      <c r="BK104" s="65"/>
      <c r="BL104" s="99"/>
      <c r="BM104" s="99"/>
      <c r="BN104" s="99"/>
    </row>
    <row r="105" spans="1:66" s="51" customFormat="1" ht="15.75" x14ac:dyDescent="0.25">
      <c r="A105" s="634">
        <v>10</v>
      </c>
      <c r="B105" s="635" t="s">
        <v>291</v>
      </c>
      <c r="C105" s="636" t="s">
        <v>23</v>
      </c>
      <c r="D105" s="637" t="s">
        <v>329</v>
      </c>
      <c r="E105" s="638">
        <v>355.95</v>
      </c>
      <c r="F105" s="639" t="s">
        <v>292</v>
      </c>
      <c r="G105" s="484">
        <v>0</v>
      </c>
      <c r="H105" s="691" t="str">
        <f t="shared" si="84"/>
        <v/>
      </c>
      <c r="I105" s="640">
        <f t="shared" si="85"/>
        <v>0</v>
      </c>
      <c r="J105" s="640">
        <f t="shared" si="86"/>
        <v>0</v>
      </c>
      <c r="K105" s="716">
        <f t="shared" ref="K105" si="90">I105+J105</f>
        <v>0</v>
      </c>
      <c r="L105" s="716"/>
      <c r="M105" s="689" t="str">
        <f t="shared" ca="1" si="88"/>
        <v/>
      </c>
      <c r="N105" s="690"/>
      <c r="O105" s="486"/>
      <c r="P105" s="486"/>
      <c r="Q105" s="486"/>
      <c r="R105" s="486"/>
      <c r="S105" s="486"/>
      <c r="T105" s="102">
        <f t="shared" si="55"/>
        <v>0</v>
      </c>
      <c r="U105" s="78">
        <f>IF(NOT(ISNUMBER(G105)), "", VLOOKUP(A105,'Discount Lookup'!D:E,2,FALSE)*G105)</f>
        <v>0</v>
      </c>
      <c r="V105" s="78">
        <f>IF(NOT(ISNUMBER(G105)), "", VLOOKUP(A105,'Discount Lookup'!G:H,2,FALSE)*G105)</f>
        <v>0</v>
      </c>
      <c r="W105" s="102">
        <f t="shared" si="56"/>
        <v>0</v>
      </c>
      <c r="X105" s="102">
        <f t="shared" si="57"/>
        <v>0</v>
      </c>
      <c r="Y105" s="120" t="b">
        <f t="shared" si="58"/>
        <v>0</v>
      </c>
      <c r="Z105" s="117">
        <f t="shared" si="59"/>
        <v>0</v>
      </c>
      <c r="AA105" s="118"/>
      <c r="AB105" s="118" t="str">
        <f t="shared" si="60"/>
        <v/>
      </c>
      <c r="AC105" s="712" t="str">
        <f>IF(AE105="T2G","no charge",IF(AND(OR(PlanterYesMe="No",PlanterYesMe="N",PlanterYesMe="me"),H105=""),"",IF(H105="credit","NO install",IF(AND(K105="",AE105="me"),"EACH row",IF(AND(K105="images",AE105="me"),"EACH row",IF(D105="","",IF(H105="credit","",IF(AE105="free","re-planting",IF(AE105="me","   not ELP, by",IF(AND(OR(PlanterYesMe="Yes",PlanterYesMe="Y"),G105&gt;0),(VLOOKUP(A105,'Discount Lookup'!J:K,2)*G105*(1-PlanterDiscount)*(1+PlanterDifficultyPercentage)),IF(AE105="ELP",(VLOOKUP(A105,'Discount Lookup'!J:K,2)*G105*(1-PlanterDiscount)*(1+PlanterDifficultyPercentage)),IF(AE105="free","re-planting",IF(G105=0,"",IF(PlanterYesMe="",IF(AE105="me","   not ELP, by",IF(AE105="",IF(G105&gt;0,(VLOOKUP(A105,'Discount Lookup'!J:K,2)*G105*(1-PlanterDiscount)*(1+PlanterDifficultyPercentage)),""),"")),"   not ELP, by"))))))))))))))</f>
        <v/>
      </c>
      <c r="AD105" s="712"/>
      <c r="AE105" s="513" t="str">
        <f t="shared" si="61"/>
        <v/>
      </c>
      <c r="AF105" s="713" t="str">
        <f t="shared" si="62"/>
        <v/>
      </c>
      <c r="AG105" s="713"/>
      <c r="AH105" s="713"/>
      <c r="AI105" s="112">
        <f>IF(H105="credit",0,IF(AE105="free",0,IF(AE105="me",0,IF(G105&gt;0,(VLOOKUP(A105,'Discount Lookup'!J:K,2)*G105),0))))</f>
        <v>0</v>
      </c>
      <c r="AJ105" s="107" t="str">
        <f t="shared" ca="1" si="63"/>
        <v/>
      </c>
      <c r="AK105" s="714" t="str">
        <f t="shared" si="64"/>
        <v/>
      </c>
      <c r="AL105" s="714"/>
      <c r="AM105" s="114" t="str">
        <f t="shared" si="65"/>
        <v/>
      </c>
      <c r="AN105" s="115"/>
      <c r="AO105" s="116"/>
      <c r="AP105" s="116"/>
      <c r="AQ105" s="116"/>
      <c r="AR105" s="116"/>
      <c r="AS105" s="116"/>
      <c r="AT105" s="116"/>
      <c r="AU105" s="116"/>
      <c r="AV105" s="78"/>
      <c r="AW105" s="102"/>
      <c r="AX105" s="78"/>
      <c r="AY105" s="78"/>
      <c r="AZ105" s="78"/>
      <c r="BA105" s="78"/>
      <c r="BB105" s="78"/>
      <c r="BC105" s="78"/>
      <c r="BD105" s="78"/>
      <c r="BE105" s="465"/>
      <c r="BF105" s="165" t="str">
        <f t="shared" si="66"/>
        <v>https://www.google.com/search?tbm=isch&amp;q=10%20G2</v>
      </c>
      <c r="BG105" s="165" t="str">
        <f t="shared" si="67"/>
        <v>A</v>
      </c>
      <c r="BH105" s="65"/>
      <c r="BI105" s="65"/>
      <c r="BJ105" s="65"/>
      <c r="BK105" s="65"/>
      <c r="BL105" s="99"/>
      <c r="BM105" s="99"/>
      <c r="BN105" s="99"/>
    </row>
    <row r="106" spans="1:66" s="51" customFormat="1" ht="15.75" x14ac:dyDescent="0.25">
      <c r="A106" s="634">
        <v>15</v>
      </c>
      <c r="B106" s="635" t="s">
        <v>291</v>
      </c>
      <c r="C106" s="636" t="s">
        <v>1178</v>
      </c>
      <c r="D106" s="637" t="s">
        <v>299</v>
      </c>
      <c r="E106" s="638">
        <v>378.95</v>
      </c>
      <c r="F106" s="639" t="s">
        <v>292</v>
      </c>
      <c r="G106" s="484">
        <v>0</v>
      </c>
      <c r="H106" s="691" t="str">
        <f t="shared" si="84"/>
        <v/>
      </c>
      <c r="I106" s="640">
        <f t="shared" si="85"/>
        <v>0</v>
      </c>
      <c r="J106" s="640">
        <f t="shared" si="86"/>
        <v>0</v>
      </c>
      <c r="K106" s="716">
        <f t="shared" ref="K106" si="91">I106+J106</f>
        <v>0</v>
      </c>
      <c r="L106" s="716"/>
      <c r="M106" s="689" t="str">
        <f t="shared" ca="1" si="88"/>
        <v/>
      </c>
      <c r="N106" s="690"/>
      <c r="O106" s="486"/>
      <c r="P106" s="486"/>
      <c r="Q106" s="486"/>
      <c r="R106" s="486"/>
      <c r="S106" s="486"/>
      <c r="T106" s="102">
        <f t="shared" si="55"/>
        <v>0</v>
      </c>
      <c r="U106" s="78">
        <f>IF(NOT(ISNUMBER(G106)), "", VLOOKUP(A106,'Discount Lookup'!D:E,2,FALSE)*G106)</f>
        <v>0</v>
      </c>
      <c r="V106" s="78">
        <f>IF(NOT(ISNUMBER(G106)), "", VLOOKUP(A106,'Discount Lookup'!G:H,2,FALSE)*G106)</f>
        <v>0</v>
      </c>
      <c r="W106" s="102">
        <f t="shared" si="56"/>
        <v>0</v>
      </c>
      <c r="X106" s="102">
        <f t="shared" si="57"/>
        <v>0</v>
      </c>
      <c r="Y106" s="120" t="b">
        <f t="shared" si="58"/>
        <v>0</v>
      </c>
      <c r="Z106" s="117">
        <f t="shared" si="59"/>
        <v>0</v>
      </c>
      <c r="AA106" s="118"/>
      <c r="AB106" s="118" t="str">
        <f t="shared" si="60"/>
        <v/>
      </c>
      <c r="AC106" s="712" t="str">
        <f>IF(AE106="T2G","no charge",IF(AND(OR(PlanterYesMe="No",PlanterYesMe="N",PlanterYesMe="me"),H106=""),"",IF(H106="credit","NO install",IF(AND(K106="",AE106="me"),"EACH row",IF(AND(K106="images",AE106="me"),"EACH row",IF(D106="","",IF(H106="credit","",IF(AE106="free","re-planting",IF(AE106="me","   not ELP, by",IF(AND(OR(PlanterYesMe="Yes",PlanterYesMe="Y"),G106&gt;0),(VLOOKUP(A106,'Discount Lookup'!J:K,2)*G106*(1-PlanterDiscount)*(1+PlanterDifficultyPercentage)),IF(AE106="ELP",(VLOOKUP(A106,'Discount Lookup'!J:K,2)*G106*(1-PlanterDiscount)*(1+PlanterDifficultyPercentage)),IF(AE106="free","re-planting",IF(G106=0,"",IF(PlanterYesMe="",IF(AE106="me","   not ELP, by",IF(AE106="",IF(G106&gt;0,(VLOOKUP(A106,'Discount Lookup'!J:K,2)*G106*(1-PlanterDiscount)*(1+PlanterDifficultyPercentage)),""),"")),"   not ELP, by"))))))))))))))</f>
        <v/>
      </c>
      <c r="AD106" s="712"/>
      <c r="AE106" s="513" t="str">
        <f t="shared" si="61"/>
        <v/>
      </c>
      <c r="AF106" s="713" t="str">
        <f t="shared" si="62"/>
        <v/>
      </c>
      <c r="AG106" s="713"/>
      <c r="AH106" s="713"/>
      <c r="AI106" s="112">
        <f>IF(H106="credit",0,IF(AE106="free",0,IF(AE106="me",0,IF(G106&gt;0,(VLOOKUP(A106,'Discount Lookup'!J:K,2)*G106),0))))</f>
        <v>0</v>
      </c>
      <c r="AJ106" s="107" t="str">
        <f t="shared" ca="1" si="63"/>
        <v/>
      </c>
      <c r="AK106" s="714" t="str">
        <f t="shared" si="64"/>
        <v/>
      </c>
      <c r="AL106" s="714"/>
      <c r="AM106" s="114" t="str">
        <f t="shared" si="65"/>
        <v/>
      </c>
      <c r="AN106" s="115"/>
      <c r="AO106" s="116"/>
      <c r="AP106" s="116"/>
      <c r="AQ106" s="116"/>
      <c r="AR106" s="116"/>
      <c r="AS106" s="116"/>
      <c r="AT106" s="116"/>
      <c r="AU106" s="116"/>
      <c r="AV106" s="78"/>
      <c r="AW106" s="102"/>
      <c r="AX106" s="78"/>
      <c r="AY106" s="78"/>
      <c r="AZ106" s="78"/>
      <c r="BA106" s="78"/>
      <c r="BB106" s="78"/>
      <c r="BC106" s="78"/>
      <c r="BD106" s="78"/>
      <c r="BE106" s="465"/>
      <c r="BF106" s="165" t="str">
        <f t="shared" si="66"/>
        <v>https://www.google.com/search?tbm=isch&amp;q=15%20G4</v>
      </c>
      <c r="BG106" s="165" t="str">
        <f t="shared" si="67"/>
        <v>A</v>
      </c>
      <c r="BH106" s="65"/>
      <c r="BI106" s="65"/>
      <c r="BJ106" s="65"/>
      <c r="BK106" s="65"/>
      <c r="BL106" s="99"/>
      <c r="BM106" s="99"/>
      <c r="BN106" s="99"/>
    </row>
    <row r="107" spans="1:66" s="51" customFormat="1" ht="15.75" x14ac:dyDescent="0.25">
      <c r="A107" s="634">
        <v>15</v>
      </c>
      <c r="B107" s="635" t="s">
        <v>291</v>
      </c>
      <c r="C107" s="636" t="s">
        <v>1179</v>
      </c>
      <c r="D107" s="637" t="s">
        <v>311</v>
      </c>
      <c r="E107" s="638">
        <v>419.95</v>
      </c>
      <c r="F107" s="639" t="s">
        <v>292</v>
      </c>
      <c r="G107" s="484">
        <v>0</v>
      </c>
      <c r="H107" s="691" t="str">
        <f t="shared" si="84"/>
        <v/>
      </c>
      <c r="I107" s="640">
        <f t="shared" si="85"/>
        <v>0</v>
      </c>
      <c r="J107" s="640">
        <f t="shared" si="86"/>
        <v>0</v>
      </c>
      <c r="K107" s="716">
        <f t="shared" ref="K107" si="92">I107+J107</f>
        <v>0</v>
      </c>
      <c r="L107" s="716"/>
      <c r="M107" s="689" t="str">
        <f t="shared" ca="1" si="88"/>
        <v/>
      </c>
      <c r="N107" s="690"/>
      <c r="O107" s="486"/>
      <c r="P107" s="486"/>
      <c r="Q107" s="486"/>
      <c r="R107" s="486"/>
      <c r="S107" s="486"/>
      <c r="T107" s="102">
        <f t="shared" si="55"/>
        <v>0</v>
      </c>
      <c r="U107" s="78">
        <f>IF(NOT(ISNUMBER(G107)), "", VLOOKUP(A107,'Discount Lookup'!D:E,2,FALSE)*G107)</f>
        <v>0</v>
      </c>
      <c r="V107" s="78">
        <f>IF(NOT(ISNUMBER(G107)), "", VLOOKUP(A107,'Discount Lookup'!G:H,2,FALSE)*G107)</f>
        <v>0</v>
      </c>
      <c r="W107" s="102">
        <f t="shared" si="56"/>
        <v>0</v>
      </c>
      <c r="X107" s="102">
        <f t="shared" si="57"/>
        <v>0</v>
      </c>
      <c r="Y107" s="120" t="b">
        <f t="shared" si="58"/>
        <v>0</v>
      </c>
      <c r="Z107" s="117">
        <f t="shared" si="59"/>
        <v>0</v>
      </c>
      <c r="AA107" s="118"/>
      <c r="AB107" s="118" t="str">
        <f t="shared" si="60"/>
        <v/>
      </c>
      <c r="AC107" s="712" t="str">
        <f>IF(AE107="T2G","no charge",IF(AND(OR(PlanterYesMe="No",PlanterYesMe="N",PlanterYesMe="me"),H107=""),"",IF(H107="credit","NO install",IF(AND(K107="",AE107="me"),"EACH row",IF(AND(K107="images",AE107="me"),"EACH row",IF(D107="","",IF(H107="credit","",IF(AE107="free","re-planting",IF(AE107="me","   not ELP, by",IF(AND(OR(PlanterYesMe="Yes",PlanterYesMe="Y"),G107&gt;0),(VLOOKUP(A107,'Discount Lookup'!J:K,2)*G107*(1-PlanterDiscount)*(1+PlanterDifficultyPercentage)),IF(AE107="ELP",(VLOOKUP(A107,'Discount Lookup'!J:K,2)*G107*(1-PlanterDiscount)*(1+PlanterDifficultyPercentage)),IF(AE107="free","re-planting",IF(G107=0,"",IF(PlanterYesMe="",IF(AE107="me","   not ELP, by",IF(AE107="",IF(G107&gt;0,(VLOOKUP(A107,'Discount Lookup'!J:K,2)*G107*(1-PlanterDiscount)*(1+PlanterDifficultyPercentage)),""),"")),"   not ELP, by"))))))))))))))</f>
        <v/>
      </c>
      <c r="AD107" s="712"/>
      <c r="AE107" s="513" t="str">
        <f t="shared" si="61"/>
        <v/>
      </c>
      <c r="AF107" s="713" t="str">
        <f t="shared" si="62"/>
        <v/>
      </c>
      <c r="AG107" s="713"/>
      <c r="AH107" s="713"/>
      <c r="AI107" s="112">
        <f>IF(H107="credit",0,IF(AE107="free",0,IF(AE107="me",0,IF(G107&gt;0,(VLOOKUP(A107,'Discount Lookup'!J:K,2)*G107),0))))</f>
        <v>0</v>
      </c>
      <c r="AJ107" s="107" t="str">
        <f t="shared" ca="1" si="63"/>
        <v/>
      </c>
      <c r="AK107" s="714" t="str">
        <f t="shared" si="64"/>
        <v/>
      </c>
      <c r="AL107" s="714"/>
      <c r="AM107" s="114" t="str">
        <f t="shared" si="65"/>
        <v/>
      </c>
      <c r="AN107" s="115"/>
      <c r="AO107" s="116"/>
      <c r="AP107" s="116"/>
      <c r="AQ107" s="116"/>
      <c r="AR107" s="116"/>
      <c r="AS107" s="116"/>
      <c r="AT107" s="116"/>
      <c r="AU107" s="116"/>
      <c r="AV107" s="78"/>
      <c r="AW107" s="102"/>
      <c r="AX107" s="78"/>
      <c r="AY107" s="78"/>
      <c r="AZ107" s="78"/>
      <c r="BA107" s="78"/>
      <c r="BB107" s="78"/>
      <c r="BC107" s="78"/>
      <c r="BD107" s="78"/>
      <c r="BE107" s="465"/>
      <c r="BF107" s="165" t="str">
        <f t="shared" si="66"/>
        <v>https://www.google.com/search?tbm=isch&amp;q=15%20G5</v>
      </c>
      <c r="BG107" s="165" t="str">
        <f t="shared" si="67"/>
        <v>A</v>
      </c>
      <c r="BH107" s="65"/>
      <c r="BI107" s="65"/>
      <c r="BJ107" s="65"/>
      <c r="BK107" s="65"/>
      <c r="BL107" s="99"/>
      <c r="BM107" s="99"/>
      <c r="BN107" s="99"/>
    </row>
    <row r="108" spans="1:66" s="51" customFormat="1" ht="27" x14ac:dyDescent="0.25">
      <c r="A108" s="634">
        <v>25</v>
      </c>
      <c r="B108" s="635" t="s">
        <v>291</v>
      </c>
      <c r="C108" s="636" t="s">
        <v>1180</v>
      </c>
      <c r="D108" s="637" t="s">
        <v>299</v>
      </c>
      <c r="E108" s="638">
        <v>790.95</v>
      </c>
      <c r="F108" s="639" t="s">
        <v>292</v>
      </c>
      <c r="G108" s="484">
        <v>0</v>
      </c>
      <c r="H108" s="691" t="str">
        <f t="shared" si="84"/>
        <v/>
      </c>
      <c r="I108" s="640">
        <f t="shared" si="85"/>
        <v>0</v>
      </c>
      <c r="J108" s="640">
        <f t="shared" si="86"/>
        <v>0</v>
      </c>
      <c r="K108" s="716">
        <f t="shared" ref="K108" si="93">I108+J108</f>
        <v>0</v>
      </c>
      <c r="L108" s="716"/>
      <c r="M108" s="689" t="str">
        <f t="shared" ca="1" si="88"/>
        <v/>
      </c>
      <c r="N108" s="690"/>
      <c r="O108" s="486"/>
      <c r="P108" s="486"/>
      <c r="Q108" s="486"/>
      <c r="R108" s="486"/>
      <c r="S108" s="486"/>
      <c r="T108" s="102">
        <f t="shared" si="55"/>
        <v>0</v>
      </c>
      <c r="U108" s="78">
        <f>IF(NOT(ISNUMBER(G108)), "", VLOOKUP(A108,'Discount Lookup'!D:E,2,FALSE)*G108)</f>
        <v>0</v>
      </c>
      <c r="V108" s="78">
        <f>IF(NOT(ISNUMBER(G108)), "", VLOOKUP(A108,'Discount Lookup'!G:H,2,FALSE)*G108)</f>
        <v>0</v>
      </c>
      <c r="W108" s="102">
        <f t="shared" si="56"/>
        <v>0</v>
      </c>
      <c r="X108" s="102">
        <f t="shared" si="57"/>
        <v>0</v>
      </c>
      <c r="Y108" s="120" t="b">
        <f t="shared" si="58"/>
        <v>0</v>
      </c>
      <c r="Z108" s="117">
        <f t="shared" si="59"/>
        <v>0</v>
      </c>
      <c r="AA108" s="118"/>
      <c r="AB108" s="118" t="str">
        <f t="shared" si="60"/>
        <v/>
      </c>
      <c r="AC108" s="712" t="str">
        <f>IF(AE108="T2G","no charge",IF(AND(OR(PlanterYesMe="No",PlanterYesMe="N",PlanterYesMe="me"),H108=""),"",IF(H108="credit","NO install",IF(AND(K108="",AE108="me"),"EACH row",IF(AND(K108="images",AE108="me"),"EACH row",IF(D108="","",IF(H108="credit","",IF(AE108="free","re-planting",IF(AE108="me","   not ELP, by",IF(AND(OR(PlanterYesMe="Yes",PlanterYesMe="Y"),G108&gt;0),(VLOOKUP(A108,'Discount Lookup'!J:K,2)*G108*(1-PlanterDiscount)*(1+PlanterDifficultyPercentage)),IF(AE108="ELP",(VLOOKUP(A108,'Discount Lookup'!J:K,2)*G108*(1-PlanterDiscount)*(1+PlanterDifficultyPercentage)),IF(AE108="free","re-planting",IF(G108=0,"",IF(PlanterYesMe="",IF(AE108="me","   not ELP, by",IF(AE108="",IF(G108&gt;0,(VLOOKUP(A108,'Discount Lookup'!J:K,2)*G108*(1-PlanterDiscount)*(1+PlanterDifficultyPercentage)),""),"")),"   not ELP, by"))))))))))))))</f>
        <v/>
      </c>
      <c r="AD108" s="712"/>
      <c r="AE108" s="513" t="str">
        <f t="shared" si="61"/>
        <v/>
      </c>
      <c r="AF108" s="713" t="str">
        <f t="shared" si="62"/>
        <v/>
      </c>
      <c r="AG108" s="713"/>
      <c r="AH108" s="713"/>
      <c r="AI108" s="112">
        <f>IF(H108="credit",0,IF(AE108="free",0,IF(AE108="me",0,IF(G108&gt;0,(VLOOKUP(A108,'Discount Lookup'!J:K,2)*G108),0))))</f>
        <v>0</v>
      </c>
      <c r="AJ108" s="107" t="str">
        <f t="shared" ca="1" si="63"/>
        <v/>
      </c>
      <c r="AK108" s="714" t="str">
        <f t="shared" si="64"/>
        <v/>
      </c>
      <c r="AL108" s="714"/>
      <c r="AM108" s="114" t="str">
        <f t="shared" si="65"/>
        <v/>
      </c>
      <c r="AN108" s="115"/>
      <c r="AO108" s="116"/>
      <c r="AP108" s="116"/>
      <c r="AQ108" s="116"/>
      <c r="AR108" s="116"/>
      <c r="AS108" s="116"/>
      <c r="AT108" s="116"/>
      <c r="AU108" s="116"/>
      <c r="AV108" s="78"/>
      <c r="AW108" s="102"/>
      <c r="AX108" s="78"/>
      <c r="AY108" s="78"/>
      <c r="AZ108" s="78"/>
      <c r="BA108" s="78"/>
      <c r="BB108" s="78"/>
      <c r="BC108" s="78"/>
      <c r="BD108" s="78"/>
      <c r="BE108" s="465"/>
      <c r="BF108" s="165" t="str">
        <f t="shared" si="66"/>
        <v>https://www.google.com/search?tbm=isch&amp;q=25%20G4</v>
      </c>
      <c r="BG108" s="165" t="str">
        <f t="shared" si="67"/>
        <v>A</v>
      </c>
      <c r="BH108" s="65"/>
      <c r="BI108" s="65"/>
      <c r="BJ108" s="65"/>
      <c r="BK108" s="65"/>
      <c r="BL108" s="99"/>
      <c r="BM108" s="99"/>
      <c r="BN108" s="99"/>
    </row>
    <row r="109" spans="1:66" s="51" customFormat="1" ht="27" x14ac:dyDescent="0.25">
      <c r="A109" s="634">
        <v>45</v>
      </c>
      <c r="B109" s="635" t="s">
        <v>291</v>
      </c>
      <c r="C109" s="636" t="s">
        <v>1181</v>
      </c>
      <c r="D109" s="637" t="s">
        <v>299</v>
      </c>
      <c r="E109" s="638">
        <v>1064.95</v>
      </c>
      <c r="F109" s="639" t="s">
        <v>292</v>
      </c>
      <c r="G109" s="484">
        <v>0</v>
      </c>
      <c r="H109" s="691" t="str">
        <f t="shared" si="84"/>
        <v/>
      </c>
      <c r="I109" s="640">
        <f t="shared" si="85"/>
        <v>0</v>
      </c>
      <c r="J109" s="640">
        <f t="shared" si="86"/>
        <v>0</v>
      </c>
      <c r="K109" s="716">
        <f t="shared" ref="K109" si="94">I109+J109</f>
        <v>0</v>
      </c>
      <c r="L109" s="716"/>
      <c r="M109" s="689" t="str">
        <f t="shared" ca="1" si="88"/>
        <v/>
      </c>
      <c r="N109" s="690"/>
      <c r="O109" s="486"/>
      <c r="P109" s="486"/>
      <c r="Q109" s="486"/>
      <c r="R109" s="486"/>
      <c r="S109" s="486"/>
      <c r="T109" s="102">
        <f t="shared" si="55"/>
        <v>0</v>
      </c>
      <c r="U109" s="78">
        <f>IF(NOT(ISNUMBER(G109)), "", VLOOKUP(A109,'Discount Lookup'!D:E,2,FALSE)*G109)</f>
        <v>0</v>
      </c>
      <c r="V109" s="78">
        <f>IF(NOT(ISNUMBER(G109)), "", VLOOKUP(A109,'Discount Lookup'!G:H,2,FALSE)*G109)</f>
        <v>0</v>
      </c>
      <c r="W109" s="102">
        <f t="shared" si="56"/>
        <v>0</v>
      </c>
      <c r="X109" s="102">
        <f t="shared" si="57"/>
        <v>0</v>
      </c>
      <c r="Y109" s="120" t="b">
        <f t="shared" si="58"/>
        <v>0</v>
      </c>
      <c r="Z109" s="117">
        <f t="shared" si="59"/>
        <v>0</v>
      </c>
      <c r="AA109" s="118"/>
      <c r="AB109" s="118" t="str">
        <f t="shared" si="60"/>
        <v/>
      </c>
      <c r="AC109" s="712" t="str">
        <f>IF(AE109="T2G","no charge",IF(AND(OR(PlanterYesMe="No",PlanterYesMe="N",PlanterYesMe="me"),H109=""),"",IF(H109="credit","NO install",IF(AND(K109="",AE109="me"),"EACH row",IF(AND(K109="images",AE109="me"),"EACH row",IF(D109="","",IF(H109="credit","",IF(AE109="free","re-planting",IF(AE109="me","   not ELP, by",IF(AND(OR(PlanterYesMe="Yes",PlanterYesMe="Y"),G109&gt;0),(VLOOKUP(A109,'Discount Lookup'!J:K,2)*G109*(1-PlanterDiscount)*(1+PlanterDifficultyPercentage)),IF(AE109="ELP",(VLOOKUP(A109,'Discount Lookup'!J:K,2)*G109*(1-PlanterDiscount)*(1+PlanterDifficultyPercentage)),IF(AE109="free","re-planting",IF(G109=0,"",IF(PlanterYesMe="",IF(AE109="me","   not ELP, by",IF(AE109="",IF(G109&gt;0,(VLOOKUP(A109,'Discount Lookup'!J:K,2)*G109*(1-PlanterDiscount)*(1+PlanterDifficultyPercentage)),""),"")),"   not ELP, by"))))))))))))))</f>
        <v/>
      </c>
      <c r="AD109" s="712"/>
      <c r="AE109" s="513" t="str">
        <f t="shared" si="61"/>
        <v/>
      </c>
      <c r="AF109" s="713" t="str">
        <f t="shared" si="62"/>
        <v/>
      </c>
      <c r="AG109" s="713"/>
      <c r="AH109" s="713"/>
      <c r="AI109" s="112">
        <f>IF(H109="credit",0,IF(AE109="free",0,IF(AE109="me",0,IF(G109&gt;0,(VLOOKUP(A109,'Discount Lookup'!J:K,2)*G109),0))))</f>
        <v>0</v>
      </c>
      <c r="AJ109" s="107" t="str">
        <f t="shared" ca="1" si="63"/>
        <v/>
      </c>
      <c r="AK109" s="714" t="str">
        <f t="shared" si="64"/>
        <v/>
      </c>
      <c r="AL109" s="714"/>
      <c r="AM109" s="114" t="str">
        <f t="shared" si="65"/>
        <v/>
      </c>
      <c r="AN109" s="115"/>
      <c r="AO109" s="116"/>
      <c r="AP109" s="116"/>
      <c r="AQ109" s="116"/>
      <c r="AR109" s="116"/>
      <c r="AS109" s="116"/>
      <c r="AT109" s="116"/>
      <c r="AU109" s="116"/>
      <c r="AV109" s="78"/>
      <c r="AW109" s="102"/>
      <c r="AX109" s="78"/>
      <c r="AY109" s="78"/>
      <c r="AZ109" s="78"/>
      <c r="BA109" s="78"/>
      <c r="BB109" s="78"/>
      <c r="BC109" s="78"/>
      <c r="BD109" s="78"/>
      <c r="BE109" s="465"/>
      <c r="BF109" s="165" t="str">
        <f t="shared" si="66"/>
        <v>https://www.google.com/search?tbm=isch&amp;q=45%20G4</v>
      </c>
      <c r="BG109" s="165" t="str">
        <f t="shared" si="67"/>
        <v>A</v>
      </c>
      <c r="BH109" s="65"/>
      <c r="BI109" s="65"/>
      <c r="BJ109" s="65"/>
      <c r="BK109" s="65"/>
      <c r="BL109" s="99"/>
      <c r="BM109" s="99"/>
      <c r="BN109" s="99"/>
    </row>
    <row r="110" spans="1:66" s="51" customFormat="1" ht="15.75" x14ac:dyDescent="0.25">
      <c r="A110" s="634">
        <v>65</v>
      </c>
      <c r="B110" s="635" t="s">
        <v>291</v>
      </c>
      <c r="C110" s="636" t="s">
        <v>1182</v>
      </c>
      <c r="D110" s="637" t="s">
        <v>299</v>
      </c>
      <c r="E110" s="638">
        <v>1334.95</v>
      </c>
      <c r="F110" s="639" t="s">
        <v>292</v>
      </c>
      <c r="G110" s="484">
        <v>0</v>
      </c>
      <c r="H110" s="691" t="str">
        <f t="shared" si="84"/>
        <v/>
      </c>
      <c r="I110" s="640">
        <f t="shared" si="85"/>
        <v>0</v>
      </c>
      <c r="J110" s="640">
        <f t="shared" si="86"/>
        <v>0</v>
      </c>
      <c r="K110" s="716">
        <f t="shared" ref="K110" si="95">I110+J110</f>
        <v>0</v>
      </c>
      <c r="L110" s="716"/>
      <c r="M110" s="689" t="str">
        <f t="shared" ca="1" si="88"/>
        <v/>
      </c>
      <c r="N110" s="690"/>
      <c r="O110" s="486"/>
      <c r="P110" s="486"/>
      <c r="Q110" s="486"/>
      <c r="R110" s="486"/>
      <c r="S110" s="486"/>
      <c r="T110" s="102">
        <f t="shared" si="55"/>
        <v>0</v>
      </c>
      <c r="U110" s="78">
        <f>IF(NOT(ISNUMBER(G110)), "", VLOOKUP(A110,'Discount Lookup'!D:E,2,FALSE)*G110)</f>
        <v>0</v>
      </c>
      <c r="V110" s="78">
        <f>IF(NOT(ISNUMBER(G110)), "", VLOOKUP(A110,'Discount Lookup'!G:H,2,FALSE)*G110)</f>
        <v>0</v>
      </c>
      <c r="W110" s="102">
        <f t="shared" si="56"/>
        <v>0</v>
      </c>
      <c r="X110" s="102">
        <f t="shared" si="57"/>
        <v>0</v>
      </c>
      <c r="Y110" s="120" t="b">
        <f t="shared" si="58"/>
        <v>0</v>
      </c>
      <c r="Z110" s="117">
        <f t="shared" si="59"/>
        <v>0</v>
      </c>
      <c r="AA110" s="118"/>
      <c r="AB110" s="118" t="str">
        <f t="shared" si="60"/>
        <v/>
      </c>
      <c r="AC110" s="712" t="str">
        <f>IF(AE110="T2G","no charge",IF(AND(OR(PlanterYesMe="No",PlanterYesMe="N",PlanterYesMe="me"),H110=""),"",IF(H110="credit","NO install",IF(AND(K110="",AE110="me"),"EACH row",IF(AND(K110="images",AE110="me"),"EACH row",IF(D110="","",IF(H110="credit","",IF(AE110="free","re-planting",IF(AE110="me","   not ELP, by",IF(AND(OR(PlanterYesMe="Yes",PlanterYesMe="Y"),G110&gt;0),(VLOOKUP(A110,'Discount Lookup'!J:K,2)*G110*(1-PlanterDiscount)*(1+PlanterDifficultyPercentage)),IF(AE110="ELP",(VLOOKUP(A110,'Discount Lookup'!J:K,2)*G110*(1-PlanterDiscount)*(1+PlanterDifficultyPercentage)),IF(AE110="free","re-planting",IF(G110=0,"",IF(PlanterYesMe="",IF(AE110="me","   not ELP, by",IF(AE110="",IF(G110&gt;0,(VLOOKUP(A110,'Discount Lookup'!J:K,2)*G110*(1-PlanterDiscount)*(1+PlanterDifficultyPercentage)),""),"")),"   not ELP, by"))))))))))))))</f>
        <v/>
      </c>
      <c r="AD110" s="712"/>
      <c r="AE110" s="513" t="str">
        <f t="shared" si="61"/>
        <v/>
      </c>
      <c r="AF110" s="713" t="str">
        <f t="shared" si="62"/>
        <v/>
      </c>
      <c r="AG110" s="713"/>
      <c r="AH110" s="713"/>
      <c r="AI110" s="112">
        <f>IF(H110="credit",0,IF(AE110="free",0,IF(AE110="me",0,IF(G110&gt;0,(VLOOKUP(A110,'Discount Lookup'!J:K,2)*G110),0))))</f>
        <v>0</v>
      </c>
      <c r="AJ110" s="107" t="str">
        <f t="shared" ca="1" si="63"/>
        <v/>
      </c>
      <c r="AK110" s="714" t="str">
        <f t="shared" si="64"/>
        <v/>
      </c>
      <c r="AL110" s="714"/>
      <c r="AM110" s="114" t="str">
        <f t="shared" si="65"/>
        <v/>
      </c>
      <c r="AN110" s="115"/>
      <c r="AO110" s="116"/>
      <c r="AP110" s="116"/>
      <c r="AQ110" s="116"/>
      <c r="AR110" s="116"/>
      <c r="AS110" s="116"/>
      <c r="AT110" s="116"/>
      <c r="AU110" s="116"/>
      <c r="AV110" s="78"/>
      <c r="AW110" s="102"/>
      <c r="AX110" s="78"/>
      <c r="AY110" s="78"/>
      <c r="AZ110" s="78"/>
      <c r="BA110" s="78"/>
      <c r="BB110" s="78"/>
      <c r="BC110" s="78"/>
      <c r="BD110" s="78"/>
      <c r="BE110" s="465"/>
      <c r="BF110" s="165" t="str">
        <f t="shared" si="66"/>
        <v>https://www.google.com/search?tbm=isch&amp;q=65%20G4</v>
      </c>
      <c r="BG110" s="165" t="str">
        <f t="shared" si="67"/>
        <v>A</v>
      </c>
      <c r="BH110" s="65"/>
      <c r="BI110" s="65"/>
      <c r="BJ110" s="65"/>
      <c r="BK110" s="65"/>
      <c r="BL110" s="99"/>
      <c r="BM110" s="99"/>
      <c r="BN110" s="99"/>
    </row>
    <row r="111" spans="1:66" s="51" customFormat="1" ht="15.75" x14ac:dyDescent="0.25">
      <c r="A111" s="634">
        <v>100</v>
      </c>
      <c r="B111" s="635" t="s">
        <v>291</v>
      </c>
      <c r="C111" s="636" t="s">
        <v>919</v>
      </c>
      <c r="D111" s="637" t="s">
        <v>299</v>
      </c>
      <c r="E111" s="638">
        <v>1816.95</v>
      </c>
      <c r="F111" s="639" t="s">
        <v>292</v>
      </c>
      <c r="G111" s="484">
        <v>0</v>
      </c>
      <c r="H111" s="691" t="str">
        <f t="shared" si="84"/>
        <v/>
      </c>
      <c r="I111" s="640">
        <f t="shared" si="85"/>
        <v>0</v>
      </c>
      <c r="J111" s="640">
        <f t="shared" si="86"/>
        <v>0</v>
      </c>
      <c r="K111" s="716">
        <f t="shared" ref="K111" si="96">I111+J111</f>
        <v>0</v>
      </c>
      <c r="L111" s="716"/>
      <c r="M111" s="689" t="str">
        <f t="shared" ca="1" si="88"/>
        <v/>
      </c>
      <c r="N111" s="690"/>
      <c r="O111" s="486"/>
      <c r="P111" s="486"/>
      <c r="Q111" s="486"/>
      <c r="R111" s="486"/>
      <c r="S111" s="486"/>
      <c r="T111" s="102">
        <f t="shared" si="55"/>
        <v>0</v>
      </c>
      <c r="U111" s="78">
        <f>IF(NOT(ISNUMBER(G111)), "", VLOOKUP(A111,'Discount Lookup'!D:E,2,FALSE)*G111)</f>
        <v>0</v>
      </c>
      <c r="V111" s="78">
        <f>IF(NOT(ISNUMBER(G111)), "", VLOOKUP(A111,'Discount Lookup'!G:H,2,FALSE)*G111)</f>
        <v>0</v>
      </c>
      <c r="W111" s="102">
        <f t="shared" si="56"/>
        <v>0</v>
      </c>
      <c r="X111" s="102">
        <f t="shared" si="57"/>
        <v>0</v>
      </c>
      <c r="Y111" s="120" t="b">
        <f t="shared" si="58"/>
        <v>0</v>
      </c>
      <c r="Z111" s="117">
        <f t="shared" si="59"/>
        <v>0</v>
      </c>
      <c r="AA111" s="118"/>
      <c r="AB111" s="118" t="str">
        <f t="shared" si="60"/>
        <v/>
      </c>
      <c r="AC111" s="712" t="str">
        <f>IF(AE111="T2G","no charge",IF(AND(OR(PlanterYesMe="No",PlanterYesMe="N",PlanterYesMe="me"),H111=""),"",IF(H111="credit","NO install",IF(AND(K111="",AE111="me"),"EACH row",IF(AND(K111="images",AE111="me"),"EACH row",IF(D111="","",IF(H111="credit","",IF(AE111="free","re-planting",IF(AE111="me","   not ELP, by",IF(AND(OR(PlanterYesMe="Yes",PlanterYesMe="Y"),G111&gt;0),(VLOOKUP(A111,'Discount Lookup'!J:K,2)*G111*(1-PlanterDiscount)*(1+PlanterDifficultyPercentage)),IF(AE111="ELP",(VLOOKUP(A111,'Discount Lookup'!J:K,2)*G111*(1-PlanterDiscount)*(1+PlanterDifficultyPercentage)),IF(AE111="free","re-planting",IF(G111=0,"",IF(PlanterYesMe="",IF(AE111="me","   not ELP, by",IF(AE111="",IF(G111&gt;0,(VLOOKUP(A111,'Discount Lookup'!J:K,2)*G111*(1-PlanterDiscount)*(1+PlanterDifficultyPercentage)),""),"")),"   not ELP, by"))))))))))))))</f>
        <v/>
      </c>
      <c r="AD111" s="712"/>
      <c r="AE111" s="513" t="str">
        <f t="shared" si="61"/>
        <v/>
      </c>
      <c r="AF111" s="713" t="str">
        <f t="shared" si="62"/>
        <v/>
      </c>
      <c r="AG111" s="713"/>
      <c r="AH111" s="713"/>
      <c r="AI111" s="112">
        <f>IF(H111="credit",0,IF(AE111="free",0,IF(AE111="me",0,IF(G111&gt;0,(VLOOKUP(A111,'Discount Lookup'!J:K,2)*G111),0))))</f>
        <v>0</v>
      </c>
      <c r="AJ111" s="107" t="str">
        <f t="shared" ca="1" si="63"/>
        <v/>
      </c>
      <c r="AK111" s="714" t="str">
        <f t="shared" si="64"/>
        <v/>
      </c>
      <c r="AL111" s="714"/>
      <c r="AM111" s="114" t="str">
        <f t="shared" si="65"/>
        <v/>
      </c>
      <c r="AN111" s="115"/>
      <c r="AO111" s="116"/>
      <c r="AP111" s="116"/>
      <c r="AQ111" s="116"/>
      <c r="AR111" s="116"/>
      <c r="AS111" s="116"/>
      <c r="AT111" s="116"/>
      <c r="AU111" s="116"/>
      <c r="AV111" s="78"/>
      <c r="AW111" s="102"/>
      <c r="AX111" s="78"/>
      <c r="AY111" s="78"/>
      <c r="AZ111" s="78"/>
      <c r="BA111" s="78"/>
      <c r="BB111" s="78"/>
      <c r="BC111" s="78"/>
      <c r="BD111" s="78"/>
      <c r="BE111" s="465"/>
      <c r="BF111" s="165" t="str">
        <f t="shared" si="66"/>
        <v>https://www.google.com/search?tbm=isch&amp;q=100%20G4</v>
      </c>
      <c r="BG111" s="165" t="str">
        <f t="shared" si="67"/>
        <v>A</v>
      </c>
      <c r="BH111" s="65"/>
      <c r="BI111" s="65"/>
      <c r="BJ111" s="65"/>
      <c r="BK111" s="65"/>
      <c r="BL111" s="99"/>
      <c r="BM111" s="99"/>
      <c r="BN111" s="99"/>
    </row>
    <row r="112" spans="1:66" s="51" customFormat="1" ht="17.25" thickBot="1" x14ac:dyDescent="0.3">
      <c r="A112" s="641" t="s">
        <v>1183</v>
      </c>
      <c r="B112" s="642"/>
      <c r="C112" s="710"/>
      <c r="D112" s="643"/>
      <c r="E112" s="643"/>
      <c r="F112" s="644"/>
      <c r="G112" s="645"/>
      <c r="H112" s="646"/>
      <c r="I112" s="647"/>
      <c r="J112" s="648"/>
      <c r="K112" s="649"/>
      <c r="L112" s="650"/>
      <c r="M112" s="650"/>
      <c r="N112" s="644"/>
      <c r="O112" s="644"/>
      <c r="P112" s="644"/>
      <c r="Q112" s="644"/>
      <c r="R112" s="644"/>
      <c r="S112" s="651"/>
      <c r="T112" s="102">
        <f t="shared" si="55"/>
        <v>0</v>
      </c>
      <c r="U112" s="78" t="str">
        <f>IF(NOT(ISNUMBER(G112)), "", VLOOKUP(A112,'Discount Lookup'!D:E,2,FALSE)*G112)</f>
        <v/>
      </c>
      <c r="V112" s="78" t="str">
        <f>IF(NOT(ISNUMBER(G112)), "", VLOOKUP(A112,'Discount Lookup'!G:H,2,FALSE)*G112)</f>
        <v/>
      </c>
      <c r="W112" s="102">
        <f t="shared" si="56"/>
        <v>0</v>
      </c>
      <c r="X112" s="102">
        <f t="shared" si="57"/>
        <v>0</v>
      </c>
      <c r="Y112" s="120" t="b">
        <f t="shared" si="58"/>
        <v>0</v>
      </c>
      <c r="Z112" s="117">
        <f t="shared" si="59"/>
        <v>0</v>
      </c>
      <c r="AA112" s="118"/>
      <c r="AB112" s="118" t="str">
        <f t="shared" si="60"/>
        <v/>
      </c>
      <c r="AC112" s="712" t="str">
        <f>IF(AE112="T2G","no charge",IF(AND(OR(PlanterYesMe="No",PlanterYesMe="N",PlanterYesMe="me"),H112=""),"",IF(H112="credit","NO install",IF(AND(K112="",AE112="me"),"EACH row",IF(AND(K112="images",AE112="me"),"EACH row",IF(D112="","",IF(H112="credit","",IF(AE112="free","re-planting",IF(AE112="me","   not ELP, by",IF(AND(OR(PlanterYesMe="Yes",PlanterYesMe="Y"),G112&gt;0),(VLOOKUP(A112,'Discount Lookup'!J:K,2)*G112*(1-PlanterDiscount)*(1+PlanterDifficultyPercentage)),IF(AE112="ELP",(VLOOKUP(A112,'Discount Lookup'!J:K,2)*G112*(1-PlanterDiscount)*(1+PlanterDifficultyPercentage)),IF(AE112="free","re-planting",IF(G112=0,"",IF(PlanterYesMe="",IF(AE112="me","   not ELP, by",IF(AE112="",IF(G112&gt;0,(VLOOKUP(A112,'Discount Lookup'!J:K,2)*G112*(1-PlanterDiscount)*(1+PlanterDifficultyPercentage)),""),"")),"   not ELP, by"))))))))))))))</f>
        <v/>
      </c>
      <c r="AD112" s="712"/>
      <c r="AE112" s="513" t="str">
        <f t="shared" si="61"/>
        <v/>
      </c>
      <c r="AF112" s="713" t="str">
        <f t="shared" si="62"/>
        <v/>
      </c>
      <c r="AG112" s="713"/>
      <c r="AH112" s="713"/>
      <c r="AI112" s="112">
        <f>IF(H112="credit",0,IF(AE112="free",0,IF(AE112="me",0,IF(G112&gt;0,(VLOOKUP(A112,'Discount Lookup'!J:K,2)*G112),0))))</f>
        <v>0</v>
      </c>
      <c r="AJ112" s="107" t="str">
        <f t="shared" ca="1" si="63"/>
        <v/>
      </c>
      <c r="AK112" s="714" t="str">
        <f t="shared" si="64"/>
        <v/>
      </c>
      <c r="AL112" s="714"/>
      <c r="AM112" s="114" t="str">
        <f t="shared" si="65"/>
        <v/>
      </c>
      <c r="AN112" s="115"/>
      <c r="AO112" s="116"/>
      <c r="AP112" s="116"/>
      <c r="AQ112" s="116"/>
      <c r="AR112" s="116"/>
      <c r="AS112" s="116"/>
      <c r="AT112" s="116"/>
      <c r="AU112" s="116"/>
      <c r="AV112" s="78"/>
      <c r="AW112" s="102"/>
      <c r="AX112" s="78"/>
      <c r="AY112" s="78"/>
      <c r="AZ112" s="78"/>
      <c r="BA112" s="78"/>
      <c r="BB112" s="78"/>
      <c r="BC112" s="78"/>
      <c r="BD112" s="78"/>
      <c r="BE112" s="465"/>
      <c r="BF112" s="165" t="str">
        <f t="shared" si="66"/>
        <v>https://www.google.com/search?tbm=isch&amp;q=Bloodgood%20can%20tolerate%20full%20sun%20better%20than%20most%20J.%20Maples%2C%20and%20is%20less%20messy.%20Vibrant%20Crimson-Red%20fall%20foliage%20</v>
      </c>
      <c r="BG112" s="165" t="str">
        <f t="shared" si="67"/>
        <v>B</v>
      </c>
      <c r="BH112" s="65"/>
      <c r="BI112" s="65"/>
      <c r="BJ112" s="65"/>
      <c r="BK112" s="65"/>
      <c r="BL112" s="99"/>
      <c r="BM112" s="99"/>
      <c r="BN112" s="99"/>
    </row>
    <row r="113" spans="1:66" s="51" customFormat="1" ht="18" x14ac:dyDescent="0.25">
      <c r="A113" s="623" t="s">
        <v>1184</v>
      </c>
      <c r="B113" s="624"/>
      <c r="C113" s="709"/>
      <c r="D113" s="625" t="s">
        <v>1185</v>
      </c>
      <c r="E113" s="626"/>
      <c r="F113" s="626"/>
      <c r="G113" s="626"/>
      <c r="H113" s="622" t="s">
        <v>330</v>
      </c>
      <c r="I113" s="627" t="s">
        <v>1186</v>
      </c>
      <c r="J113" s="628"/>
      <c r="K113" s="628"/>
      <c r="L113" s="629"/>
      <c r="M113" s="700" t="s">
        <v>5249</v>
      </c>
      <c r="N113" s="693" t="str">
        <f>IF(AND(ISTEXT($A113), ISERROR($A113+0)), HYPERLINK($BF113, "Images"), "")</f>
        <v>Images</v>
      </c>
      <c r="O113" s="695" t="s">
        <v>5247</v>
      </c>
      <c r="P113" s="630"/>
      <c r="Q113" s="631"/>
      <c r="R113" s="632"/>
      <c r="S113" s="633"/>
      <c r="T113" s="102">
        <f t="shared" si="55"/>
        <v>0</v>
      </c>
      <c r="U113" s="78" t="str">
        <f>IF(NOT(ISNUMBER(G113)), "", VLOOKUP(A113,'Discount Lookup'!D:E,2,FALSE)*G113)</f>
        <v/>
      </c>
      <c r="V113" s="78" t="str">
        <f>IF(NOT(ISNUMBER(G113)), "", VLOOKUP(A113,'Discount Lookup'!G:H,2,FALSE)*G113)</f>
        <v/>
      </c>
      <c r="W113" s="102">
        <f t="shared" si="56"/>
        <v>0</v>
      </c>
      <c r="X113" s="102" t="str">
        <f t="shared" si="57"/>
        <v>Variegated foliage</v>
      </c>
      <c r="Y113" s="120" t="b">
        <f t="shared" si="58"/>
        <v>0</v>
      </c>
      <c r="Z113" s="117">
        <f t="shared" si="59"/>
        <v>0</v>
      </c>
      <c r="AA113" s="118"/>
      <c r="AB113" s="118" t="str">
        <f t="shared" si="60"/>
        <v/>
      </c>
      <c r="AC113" s="712" t="str">
        <f>IF(AE113="T2G","no charge",IF(AND(OR(PlanterYesMe="No",PlanterYesMe="N",PlanterYesMe="me"),H113=""),"",IF(H113="credit","NO install",IF(AND(K113="",AE113="me"),"EACH row",IF(AND(K113="images",AE113="me"),"EACH row",IF(D113="","",IF(H113="credit","",IF(AE113="free","re-planting",IF(AE113="me","   not ELP, by",IF(AND(OR(PlanterYesMe="Yes",PlanterYesMe="Y"),G113&gt;0),(VLOOKUP(A113,'Discount Lookup'!J:K,2)*G113*(1-PlanterDiscount)*(1+PlanterDifficultyPercentage)),IF(AE113="ELP",(VLOOKUP(A113,'Discount Lookup'!J:K,2)*G113*(1-PlanterDiscount)*(1+PlanterDifficultyPercentage)),IF(AE113="free","re-planting",IF(G113=0,"",IF(PlanterYesMe="",IF(AE113="me","   not ELP, by",IF(AE113="",IF(G113&gt;0,(VLOOKUP(A113,'Discount Lookup'!J:K,2)*G113*(1-PlanterDiscount)*(1+PlanterDifficultyPercentage)),""),"")),"   not ELP, by"))))))))))))))</f>
        <v/>
      </c>
      <c r="AD113" s="712"/>
      <c r="AE113" s="513" t="str">
        <f t="shared" si="61"/>
        <v/>
      </c>
      <c r="AF113" s="713" t="str">
        <f t="shared" si="62"/>
        <v/>
      </c>
      <c r="AG113" s="713"/>
      <c r="AH113" s="713"/>
      <c r="AI113" s="112">
        <f>IF(H113="credit",0,IF(AE113="free",0,IF(AE113="me",0,IF(G113&gt;0,(VLOOKUP(A113,'Discount Lookup'!J:K,2)*G113),0))))</f>
        <v>0</v>
      </c>
      <c r="AJ113" s="107" t="str">
        <f t="shared" ca="1" si="63"/>
        <v/>
      </c>
      <c r="AK113" s="714" t="str">
        <f t="shared" si="64"/>
        <v/>
      </c>
      <c r="AL113" s="714"/>
      <c r="AM113" s="114" t="str">
        <f t="shared" si="65"/>
        <v/>
      </c>
      <c r="AN113" s="115"/>
      <c r="AO113" s="116"/>
      <c r="AP113" s="116"/>
      <c r="AQ113" s="116"/>
      <c r="AR113" s="116"/>
      <c r="AS113" s="116"/>
      <c r="AT113" s="116"/>
      <c r="AU113" s="116"/>
      <c r="AV113" s="78"/>
      <c r="AW113" s="102"/>
      <c r="AX113" s="78"/>
      <c r="AY113" s="78"/>
      <c r="AZ113" s="78"/>
      <c r="BA113" s="78"/>
      <c r="BB113" s="78"/>
      <c r="BC113" s="78"/>
      <c r="BD113" s="78"/>
      <c r="BE113" s="465"/>
      <c r="BF113" s="165" t="str">
        <f t="shared" si="66"/>
        <v>https://www.google.com/search?tbm=isch&amp;q=Acer%20palmatum%20%27Butterfly%27%20Butterfly%20Japanese%20Maple</v>
      </c>
      <c r="BG113" s="165" t="str">
        <f t="shared" si="67"/>
        <v>A</v>
      </c>
      <c r="BH113" s="65"/>
      <c r="BI113" s="65"/>
      <c r="BJ113" s="65"/>
      <c r="BK113" s="65"/>
      <c r="BL113" s="99"/>
      <c r="BM113" s="99"/>
      <c r="BN113" s="99"/>
    </row>
    <row r="114" spans="1:66" s="51" customFormat="1" ht="15.75" x14ac:dyDescent="0.25">
      <c r="A114" s="634">
        <v>7</v>
      </c>
      <c r="B114" s="635" t="s">
        <v>291</v>
      </c>
      <c r="C114" s="636" t="s">
        <v>920</v>
      </c>
      <c r="D114" s="637" t="s">
        <v>299</v>
      </c>
      <c r="E114" s="638">
        <v>339.95</v>
      </c>
      <c r="F114" s="639" t="s">
        <v>292</v>
      </c>
      <c r="G114" s="484">
        <v>0</v>
      </c>
      <c r="H114" s="691" t="str">
        <f>IF(G114=0,"",IF(F114="Buy",IF(G114=1,"plant","plants"),IF(F114&gt;0.01,"warranty","Error")))</f>
        <v/>
      </c>
      <c r="I114" s="640">
        <f>IF(H114="free",0,IF(H114="credit",((E114*(F114))*G114*-1),IF(F114="Buy",(E114*G114),((E114*(1-F114))*G114))))</f>
        <v>0</v>
      </c>
      <c r="J114" s="640">
        <f>IF(H114="warranty",0,(I114*(_xlfn.SINGLE(SalesTaxPercentage))))</f>
        <v>0</v>
      </c>
      <c r="K114" s="716">
        <f t="shared" ref="K114" si="97">I114+J114</f>
        <v>0</v>
      </c>
      <c r="L114" s="716"/>
      <c r="M114" s="689" t="str">
        <f ca="1">IF(AND(G114&gt;0,E114=0),"WARNING - no PRICE inserted",IF(H114="free","FREE ~ no charge this plant",IF(H114="credit",CONCATENATE("-$",ROUND(K114*(1-_xlfn.SINGLE(T2GDiscount))*-1,2)," CREDIT after discount"),IF(_xlfn.SINGLE(T2GDiscount)=0,"",IF(G114=0,"",IF(F114="Buy",CONCATENATE("$",ROUND(K114*(1-_xlfn.SINGLE(T2GDiscount)),2)," with ",(_xlfn.SINGLE(T2GDiscount)*100),"% discount"),CONCATENATE("$",ROUND(K114*(1-_xlfn.SINGLE(T2GDiscount)),2)," with ",((_xlfn.SINGLE(T2GDiscount)*100+F114*100)-(_xlfn.SINGLE(T2GDiscount)*100*F114)),IF(F114&gt;0,"% discounts",IF(_xlfn.SINGLE(NoWarrantyDiscount)&gt;0,"% discounts","% discount")))))))))</f>
        <v/>
      </c>
      <c r="N114" s="690"/>
      <c r="O114" s="486"/>
      <c r="P114" s="486"/>
      <c r="Q114" s="486"/>
      <c r="R114" s="486"/>
      <c r="S114" s="486"/>
      <c r="T114" s="102">
        <f t="shared" si="55"/>
        <v>0</v>
      </c>
      <c r="U114" s="78">
        <f>IF(NOT(ISNUMBER(G114)), "", VLOOKUP(A114,'Discount Lookup'!D:E,2,FALSE)*G114)</f>
        <v>0</v>
      </c>
      <c r="V114" s="78">
        <f>IF(NOT(ISNUMBER(G114)), "", VLOOKUP(A114,'Discount Lookup'!G:H,2,FALSE)*G114)</f>
        <v>0</v>
      </c>
      <c r="W114" s="102">
        <f t="shared" si="56"/>
        <v>0</v>
      </c>
      <c r="X114" s="102">
        <f t="shared" si="57"/>
        <v>0</v>
      </c>
      <c r="Y114" s="120" t="b">
        <f t="shared" si="58"/>
        <v>0</v>
      </c>
      <c r="Z114" s="117">
        <f t="shared" si="59"/>
        <v>0</v>
      </c>
      <c r="AA114" s="118"/>
      <c r="AB114" s="118" t="str">
        <f t="shared" si="60"/>
        <v/>
      </c>
      <c r="AC114" s="712" t="str">
        <f>IF(AE114="T2G","no charge",IF(AND(OR(PlanterYesMe="No",PlanterYesMe="N",PlanterYesMe="me"),H114=""),"",IF(H114="credit","NO install",IF(AND(K114="",AE114="me"),"EACH row",IF(AND(K114="images",AE114="me"),"EACH row",IF(D114="","",IF(H114="credit","",IF(AE114="free","re-planting",IF(AE114="me","   not ELP, by",IF(AND(OR(PlanterYesMe="Yes",PlanterYesMe="Y"),G114&gt;0),(VLOOKUP(A114,'Discount Lookup'!J:K,2)*G114*(1-PlanterDiscount)*(1+PlanterDifficultyPercentage)),IF(AE114="ELP",(VLOOKUP(A114,'Discount Lookup'!J:K,2)*G114*(1-PlanterDiscount)*(1+PlanterDifficultyPercentage)),IF(AE114="free","re-planting",IF(G114=0,"",IF(PlanterYesMe="",IF(AE114="me","   not ELP, by",IF(AE114="",IF(G114&gt;0,(VLOOKUP(A114,'Discount Lookup'!J:K,2)*G114*(1-PlanterDiscount)*(1+PlanterDifficultyPercentage)),""),"")),"   not ELP, by"))))))))))))))</f>
        <v/>
      </c>
      <c r="AD114" s="712"/>
      <c r="AE114" s="513" t="str">
        <f t="shared" si="61"/>
        <v/>
      </c>
      <c r="AF114" s="713" t="str">
        <f t="shared" si="62"/>
        <v/>
      </c>
      <c r="AG114" s="713"/>
      <c r="AH114" s="713"/>
      <c r="AI114" s="112">
        <f>IF(H114="credit",0,IF(AE114="free",0,IF(AE114="me",0,IF(G114&gt;0,(VLOOKUP(A114,'Discount Lookup'!J:K,2)*G114),0))))</f>
        <v>0</v>
      </c>
      <c r="AJ114" s="107" t="str">
        <f t="shared" ca="1" si="63"/>
        <v/>
      </c>
      <c r="AK114" s="714" t="str">
        <f t="shared" si="64"/>
        <v/>
      </c>
      <c r="AL114" s="714"/>
      <c r="AM114" s="114" t="str">
        <f t="shared" si="65"/>
        <v/>
      </c>
      <c r="AN114" s="115"/>
      <c r="AO114" s="116"/>
      <c r="AP114" s="116"/>
      <c r="AQ114" s="116"/>
      <c r="AR114" s="116"/>
      <c r="AS114" s="116"/>
      <c r="AT114" s="116"/>
      <c r="AU114" s="116"/>
      <c r="AV114" s="78"/>
      <c r="AW114" s="102"/>
      <c r="AX114" s="78"/>
      <c r="AY114" s="78"/>
      <c r="AZ114" s="78"/>
      <c r="BA114" s="78"/>
      <c r="BB114" s="78"/>
      <c r="BC114" s="78"/>
      <c r="BD114" s="78"/>
      <c r="BE114" s="465"/>
      <c r="BF114" s="165" t="str">
        <f t="shared" si="66"/>
        <v>https://www.google.com/search?tbm=isch&amp;q=7%20G4</v>
      </c>
      <c r="BG114" s="165" t="str">
        <f t="shared" si="67"/>
        <v>A</v>
      </c>
      <c r="BH114" s="65"/>
      <c r="BI114" s="65"/>
      <c r="BJ114" s="65"/>
      <c r="BK114" s="65"/>
      <c r="BL114" s="99"/>
      <c r="BM114" s="99"/>
      <c r="BN114" s="99"/>
    </row>
    <row r="115" spans="1:66" s="51" customFormat="1" ht="15.75" x14ac:dyDescent="0.25">
      <c r="A115" s="634">
        <v>25</v>
      </c>
      <c r="B115" s="635" t="s">
        <v>291</v>
      </c>
      <c r="C115" s="636" t="s">
        <v>1187</v>
      </c>
      <c r="D115" s="637" t="s">
        <v>299</v>
      </c>
      <c r="E115" s="638">
        <v>790.95</v>
      </c>
      <c r="F115" s="639" t="s">
        <v>292</v>
      </c>
      <c r="G115" s="484">
        <v>0</v>
      </c>
      <c r="H115" s="691" t="str">
        <f>IF(G115=0,"",IF(F115="Buy",IF(G115=1,"plant","plants"),IF(F115&gt;0.01,"warranty","Error")))</f>
        <v/>
      </c>
      <c r="I115" s="640">
        <f>IF(H115="free",0,IF(H115="credit",((E115*(F115))*G115*-1),IF(F115="Buy",(E115*G115),((E115*(1-F115))*G115))))</f>
        <v>0</v>
      </c>
      <c r="J115" s="640">
        <f>IF(H115="warranty",0,(I115*(_xlfn.SINGLE(SalesTaxPercentage))))</f>
        <v>0</v>
      </c>
      <c r="K115" s="716">
        <f t="shared" ref="K115" si="98">I115+J115</f>
        <v>0</v>
      </c>
      <c r="L115" s="716"/>
      <c r="M115" s="689" t="str">
        <f ca="1">IF(AND(G115&gt;0,E115=0),"WARNING - no PRICE inserted",IF(H115="free","FREE ~ no charge this plant",IF(H115="credit",CONCATENATE("-$",ROUND(K115*(1-_xlfn.SINGLE(T2GDiscount))*-1,2)," CREDIT after discount"),IF(_xlfn.SINGLE(T2GDiscount)=0,"",IF(G115=0,"",IF(F115="Buy",CONCATENATE("$",ROUND(K115*(1-_xlfn.SINGLE(T2GDiscount)),2)," with ",(_xlfn.SINGLE(T2GDiscount)*100),"% discount"),CONCATENATE("$",ROUND(K115*(1-_xlfn.SINGLE(T2GDiscount)),2)," with ",((_xlfn.SINGLE(T2GDiscount)*100+F115*100)-(_xlfn.SINGLE(T2GDiscount)*100*F115)),IF(F115&gt;0,"% discounts",IF(_xlfn.SINGLE(NoWarrantyDiscount)&gt;0,"% discounts","% discount")))))))))</f>
        <v/>
      </c>
      <c r="N115" s="690"/>
      <c r="O115" s="486"/>
      <c r="P115" s="486"/>
      <c r="Q115" s="486"/>
      <c r="R115" s="486"/>
      <c r="S115" s="486"/>
      <c r="T115" s="102">
        <f t="shared" si="55"/>
        <v>0</v>
      </c>
      <c r="U115" s="78">
        <f>IF(NOT(ISNUMBER(G115)), "", VLOOKUP(A115,'Discount Lookup'!D:E,2,FALSE)*G115)</f>
        <v>0</v>
      </c>
      <c r="V115" s="78">
        <f>IF(NOT(ISNUMBER(G115)), "", VLOOKUP(A115,'Discount Lookup'!G:H,2,FALSE)*G115)</f>
        <v>0</v>
      </c>
      <c r="W115" s="102">
        <f t="shared" si="56"/>
        <v>0</v>
      </c>
      <c r="X115" s="102">
        <f t="shared" si="57"/>
        <v>0</v>
      </c>
      <c r="Y115" s="120" t="b">
        <f t="shared" si="58"/>
        <v>0</v>
      </c>
      <c r="Z115" s="117">
        <f t="shared" si="59"/>
        <v>0</v>
      </c>
      <c r="AA115" s="118"/>
      <c r="AB115" s="118" t="str">
        <f t="shared" si="60"/>
        <v/>
      </c>
      <c r="AC115" s="712" t="str">
        <f>IF(AE115="T2G","no charge",IF(AND(OR(PlanterYesMe="No",PlanterYesMe="N",PlanterYesMe="me"),H115=""),"",IF(H115="credit","NO install",IF(AND(K115="",AE115="me"),"EACH row",IF(AND(K115="images",AE115="me"),"EACH row",IF(D115="","",IF(H115="credit","",IF(AE115="free","re-planting",IF(AE115="me","   not ELP, by",IF(AND(OR(PlanterYesMe="Yes",PlanterYesMe="Y"),G115&gt;0),(VLOOKUP(A115,'Discount Lookup'!J:K,2)*G115*(1-PlanterDiscount)*(1+PlanterDifficultyPercentage)),IF(AE115="ELP",(VLOOKUP(A115,'Discount Lookup'!J:K,2)*G115*(1-PlanterDiscount)*(1+PlanterDifficultyPercentage)),IF(AE115="free","re-planting",IF(G115=0,"",IF(PlanterYesMe="",IF(AE115="me","   not ELP, by",IF(AE115="",IF(G115&gt;0,(VLOOKUP(A115,'Discount Lookup'!J:K,2)*G115*(1-PlanterDiscount)*(1+PlanterDifficultyPercentage)),""),"")),"   not ELP, by"))))))))))))))</f>
        <v/>
      </c>
      <c r="AD115" s="712"/>
      <c r="AE115" s="513" t="str">
        <f t="shared" si="61"/>
        <v/>
      </c>
      <c r="AF115" s="713" t="str">
        <f t="shared" si="62"/>
        <v/>
      </c>
      <c r="AG115" s="713"/>
      <c r="AH115" s="713"/>
      <c r="AI115" s="112">
        <f>IF(H115="credit",0,IF(AE115="free",0,IF(AE115="me",0,IF(G115&gt;0,(VLOOKUP(A115,'Discount Lookup'!J:K,2)*G115),0))))</f>
        <v>0</v>
      </c>
      <c r="AJ115" s="107" t="str">
        <f t="shared" ca="1" si="63"/>
        <v/>
      </c>
      <c r="AK115" s="714" t="str">
        <f t="shared" si="64"/>
        <v/>
      </c>
      <c r="AL115" s="714"/>
      <c r="AM115" s="114" t="str">
        <f t="shared" si="65"/>
        <v/>
      </c>
      <c r="AN115" s="115"/>
      <c r="AO115" s="116"/>
      <c r="AP115" s="116"/>
      <c r="AQ115" s="116"/>
      <c r="AR115" s="116"/>
      <c r="AS115" s="116"/>
      <c r="AT115" s="116"/>
      <c r="AU115" s="116"/>
      <c r="AV115" s="78"/>
      <c r="AW115" s="102"/>
      <c r="AX115" s="78"/>
      <c r="AY115" s="78"/>
      <c r="AZ115" s="78"/>
      <c r="BA115" s="78"/>
      <c r="BB115" s="78"/>
      <c r="BC115" s="78"/>
      <c r="BD115" s="78"/>
      <c r="BE115" s="465"/>
      <c r="BF115" s="165" t="str">
        <f t="shared" si="66"/>
        <v>https://www.google.com/search?tbm=isch&amp;q=25%20G4</v>
      </c>
      <c r="BG115" s="165" t="str">
        <f t="shared" si="67"/>
        <v>A</v>
      </c>
      <c r="BH115" s="65"/>
      <c r="BI115" s="65"/>
      <c r="BJ115" s="65"/>
      <c r="BK115" s="65"/>
      <c r="BL115" s="99"/>
      <c r="BM115" s="99"/>
      <c r="BN115" s="99"/>
    </row>
    <row r="116" spans="1:66" s="51" customFormat="1" ht="17.25" thickBot="1" x14ac:dyDescent="0.3">
      <c r="A116" s="641" t="s">
        <v>1188</v>
      </c>
      <c r="B116" s="642"/>
      <c r="C116" s="710"/>
      <c r="D116" s="643"/>
      <c r="E116" s="643"/>
      <c r="F116" s="644"/>
      <c r="G116" s="645"/>
      <c r="H116" s="646"/>
      <c r="I116" s="647"/>
      <c r="J116" s="648"/>
      <c r="K116" s="649"/>
      <c r="L116" s="650"/>
      <c r="M116" s="650"/>
      <c r="N116" s="644"/>
      <c r="O116" s="644"/>
      <c r="P116" s="644"/>
      <c r="Q116" s="644"/>
      <c r="R116" s="644"/>
      <c r="S116" s="651"/>
      <c r="T116" s="102">
        <f t="shared" si="55"/>
        <v>0</v>
      </c>
      <c r="U116" s="78" t="str">
        <f>IF(NOT(ISNUMBER(G116)), "", VLOOKUP(A116,'Discount Lookup'!D:E,2,FALSE)*G116)</f>
        <v/>
      </c>
      <c r="V116" s="78" t="str">
        <f>IF(NOT(ISNUMBER(G116)), "", VLOOKUP(A116,'Discount Lookup'!G:H,2,FALSE)*G116)</f>
        <v/>
      </c>
      <c r="W116" s="102">
        <f t="shared" si="56"/>
        <v>0</v>
      </c>
      <c r="X116" s="102">
        <f t="shared" si="57"/>
        <v>0</v>
      </c>
      <c r="Y116" s="120" t="b">
        <f t="shared" si="58"/>
        <v>0</v>
      </c>
      <c r="Z116" s="117">
        <f t="shared" si="59"/>
        <v>0</v>
      </c>
      <c r="AA116" s="118"/>
      <c r="AB116" s="118" t="str">
        <f t="shared" si="60"/>
        <v/>
      </c>
      <c r="AC116" s="712" t="str">
        <f>IF(AE116="T2G","no charge",IF(AND(OR(PlanterYesMe="No",PlanterYesMe="N",PlanterYesMe="me"),H116=""),"",IF(H116="credit","NO install",IF(AND(K116="",AE116="me"),"EACH row",IF(AND(K116="images",AE116="me"),"EACH row",IF(D116="","",IF(H116="credit","",IF(AE116="free","re-planting",IF(AE116="me","   not ELP, by",IF(AND(OR(PlanterYesMe="Yes",PlanterYesMe="Y"),G116&gt;0),(VLOOKUP(A116,'Discount Lookup'!J:K,2)*G116*(1-PlanterDiscount)*(1+PlanterDifficultyPercentage)),IF(AE116="ELP",(VLOOKUP(A116,'Discount Lookup'!J:K,2)*G116*(1-PlanterDiscount)*(1+PlanterDifficultyPercentage)),IF(AE116="free","re-planting",IF(G116=0,"",IF(PlanterYesMe="",IF(AE116="me","   not ELP, by",IF(AE116="",IF(G116&gt;0,(VLOOKUP(A116,'Discount Lookup'!J:K,2)*G116*(1-PlanterDiscount)*(1+PlanterDifficultyPercentage)),""),"")),"   not ELP, by"))))))))))))))</f>
        <v/>
      </c>
      <c r="AD116" s="712"/>
      <c r="AE116" s="513" t="str">
        <f t="shared" si="61"/>
        <v/>
      </c>
      <c r="AF116" s="713" t="str">
        <f t="shared" si="62"/>
        <v/>
      </c>
      <c r="AG116" s="713"/>
      <c r="AH116" s="713"/>
      <c r="AI116" s="112">
        <f>IF(H116="credit",0,IF(AE116="free",0,IF(AE116="me",0,IF(G116&gt;0,(VLOOKUP(A116,'Discount Lookup'!J:K,2)*G116),0))))</f>
        <v>0</v>
      </c>
      <c r="AJ116" s="107" t="str">
        <f t="shared" ca="1" si="63"/>
        <v/>
      </c>
      <c r="AK116" s="714" t="str">
        <f t="shared" si="64"/>
        <v/>
      </c>
      <c r="AL116" s="714"/>
      <c r="AM116" s="114" t="str">
        <f t="shared" si="65"/>
        <v/>
      </c>
      <c r="AN116" s="115"/>
      <c r="AO116" s="116"/>
      <c r="AP116" s="116"/>
      <c r="AQ116" s="116"/>
      <c r="AR116" s="116"/>
      <c r="AS116" s="116"/>
      <c r="AT116" s="116"/>
      <c r="AU116" s="116"/>
      <c r="AV116" s="78"/>
      <c r="AW116" s="102"/>
      <c r="AX116" s="78"/>
      <c r="AY116" s="78"/>
      <c r="AZ116" s="78"/>
      <c r="BA116" s="78"/>
      <c r="BB116" s="78"/>
      <c r="BC116" s="78"/>
      <c r="BD116" s="78"/>
      <c r="BE116" s="465"/>
      <c r="BF116" s="165" t="str">
        <f t="shared" si="66"/>
        <v>https://www.google.com/search?tbm=isch&amp;q=Butterfly%27s%20variegated%20foliage%20is%20green%20with%20creamy%20White%20to%20Pink%20edges.%20Twisted%2C%20irregular%20foliage%20adds%20interest%20</v>
      </c>
      <c r="BG116" s="165" t="str">
        <f t="shared" si="67"/>
        <v>B</v>
      </c>
      <c r="BH116" s="65"/>
      <c r="BI116" s="65"/>
      <c r="BJ116" s="65"/>
      <c r="BK116" s="65"/>
      <c r="BL116" s="99"/>
      <c r="BM116" s="99"/>
      <c r="BN116" s="99"/>
    </row>
    <row r="117" spans="1:66" s="51" customFormat="1" ht="18" x14ac:dyDescent="0.25">
      <c r="A117" s="623" t="s">
        <v>1189</v>
      </c>
      <c r="B117" s="624"/>
      <c r="C117" s="709"/>
      <c r="D117" s="625" t="s">
        <v>1190</v>
      </c>
      <c r="E117" s="626"/>
      <c r="F117" s="626"/>
      <c r="G117" s="626"/>
      <c r="H117" s="622" t="s">
        <v>1147</v>
      </c>
      <c r="I117" s="627" t="s">
        <v>1191</v>
      </c>
      <c r="J117" s="628"/>
      <c r="K117" s="628"/>
      <c r="L117" s="629"/>
      <c r="M117" s="700" t="s">
        <v>5249</v>
      </c>
      <c r="N117" s="693" t="str">
        <f>IF(AND(ISTEXT($A117), ISERROR($A117+0)), HYPERLINK($BF117, "Images"), "")</f>
        <v>Images</v>
      </c>
      <c r="O117" s="695" t="s">
        <v>5247</v>
      </c>
      <c r="P117" s="630"/>
      <c r="Q117" s="631"/>
      <c r="R117" s="632"/>
      <c r="S117" s="633"/>
      <c r="T117" s="102">
        <f t="shared" si="55"/>
        <v>0</v>
      </c>
      <c r="U117" s="78" t="str">
        <f>IF(NOT(ISNUMBER(G117)), "", VLOOKUP(A117,'Discount Lookup'!D:E,2,FALSE)*G117)</f>
        <v/>
      </c>
      <c r="V117" s="78" t="str">
        <f>IF(NOT(ISNUMBER(G117)), "", VLOOKUP(A117,'Discount Lookup'!G:H,2,FALSE)*G117)</f>
        <v/>
      </c>
      <c r="W117" s="102">
        <f t="shared" si="56"/>
        <v>0</v>
      </c>
      <c r="X117" s="102" t="str">
        <f t="shared" si="57"/>
        <v>Reddish-Purple bloom</v>
      </c>
      <c r="Y117" s="120" t="b">
        <f t="shared" si="58"/>
        <v>0</v>
      </c>
      <c r="Z117" s="117">
        <f t="shared" si="59"/>
        <v>0</v>
      </c>
      <c r="AA117" s="118"/>
      <c r="AB117" s="118" t="str">
        <f t="shared" si="60"/>
        <v/>
      </c>
      <c r="AC117" s="712" t="str">
        <f>IF(AE117="T2G","no charge",IF(AND(OR(PlanterYesMe="No",PlanterYesMe="N",PlanterYesMe="me"),H117=""),"",IF(H117="credit","NO install",IF(AND(K117="",AE117="me"),"EACH row",IF(AND(K117="images",AE117="me"),"EACH row",IF(D117="","",IF(H117="credit","",IF(AE117="free","re-planting",IF(AE117="me","   not ELP, by",IF(AND(OR(PlanterYesMe="Yes",PlanterYesMe="Y"),G117&gt;0),(VLOOKUP(A117,'Discount Lookup'!J:K,2)*G117*(1-PlanterDiscount)*(1+PlanterDifficultyPercentage)),IF(AE117="ELP",(VLOOKUP(A117,'Discount Lookup'!J:K,2)*G117*(1-PlanterDiscount)*(1+PlanterDifficultyPercentage)),IF(AE117="free","re-planting",IF(G117=0,"",IF(PlanterYesMe="",IF(AE117="me","   not ELP, by",IF(AE117="",IF(G117&gt;0,(VLOOKUP(A117,'Discount Lookup'!J:K,2)*G117*(1-PlanterDiscount)*(1+PlanterDifficultyPercentage)),""),"")),"   not ELP, by"))))))))))))))</f>
        <v/>
      </c>
      <c r="AD117" s="712"/>
      <c r="AE117" s="513" t="str">
        <f t="shared" si="61"/>
        <v/>
      </c>
      <c r="AF117" s="713" t="str">
        <f t="shared" si="62"/>
        <v/>
      </c>
      <c r="AG117" s="713"/>
      <c r="AH117" s="713"/>
      <c r="AI117" s="112">
        <f>IF(H117="credit",0,IF(AE117="free",0,IF(AE117="me",0,IF(G117&gt;0,(VLOOKUP(A117,'Discount Lookup'!J:K,2)*G117),0))))</f>
        <v>0</v>
      </c>
      <c r="AJ117" s="107" t="str">
        <f t="shared" ca="1" si="63"/>
        <v/>
      </c>
      <c r="AK117" s="714" t="str">
        <f t="shared" si="64"/>
        <v/>
      </c>
      <c r="AL117" s="714"/>
      <c r="AM117" s="114" t="str">
        <f t="shared" si="65"/>
        <v/>
      </c>
      <c r="AN117" s="115"/>
      <c r="AO117" s="116"/>
      <c r="AP117" s="116"/>
      <c r="AQ117" s="116"/>
      <c r="AR117" s="116"/>
      <c r="AS117" s="116"/>
      <c r="AT117" s="116"/>
      <c r="AU117" s="116"/>
      <c r="AV117" s="78"/>
      <c r="AW117" s="102"/>
      <c r="AX117" s="78"/>
      <c r="AY117" s="78"/>
      <c r="AZ117" s="78"/>
      <c r="BA117" s="78"/>
      <c r="BB117" s="78"/>
      <c r="BC117" s="78"/>
      <c r="BD117" s="78"/>
      <c r="BE117" s="465"/>
      <c r="BF117" s="165" t="str">
        <f t="shared" si="66"/>
        <v>https://www.google.com/search?tbm=isch&amp;q=Acer%20palmatum%20%27Emperor%20I%27%20Emperor%201%20Japanese%20Maple</v>
      </c>
      <c r="BG117" s="165" t="str">
        <f t="shared" si="67"/>
        <v>A</v>
      </c>
      <c r="BH117" s="65"/>
      <c r="BI117" s="65"/>
      <c r="BJ117" s="65"/>
      <c r="BK117" s="65"/>
      <c r="BL117" s="99"/>
      <c r="BM117" s="99"/>
      <c r="BN117" s="99"/>
    </row>
    <row r="118" spans="1:66" s="51" customFormat="1" ht="15.75" x14ac:dyDescent="0.25">
      <c r="A118" s="634">
        <v>7</v>
      </c>
      <c r="B118" s="635" t="s">
        <v>291</v>
      </c>
      <c r="C118" s="636" t="s">
        <v>921</v>
      </c>
      <c r="D118" s="637" t="s">
        <v>299</v>
      </c>
      <c r="E118" s="638">
        <v>201.95</v>
      </c>
      <c r="F118" s="639" t="s">
        <v>292</v>
      </c>
      <c r="G118" s="484">
        <v>0</v>
      </c>
      <c r="H118" s="691" t="str">
        <f t="shared" ref="H118:H126" si="99">IF(G118=0,"",IF(F118="Buy",IF(G118=1,"plant","plants"),IF(F118&gt;0.01,"warranty","Error")))</f>
        <v/>
      </c>
      <c r="I118" s="640">
        <f t="shared" ref="I118:I126" si="100">IF(H118="free",0,IF(H118="credit",((E118*(F118))*G118*-1),IF(F118="Buy",(E118*G118),((E118*(1-F118))*G118))))</f>
        <v>0</v>
      </c>
      <c r="J118" s="640">
        <f t="shared" ref="J118:J126" si="101">IF(H118="warranty",0,(I118*(_xlfn.SINGLE(SalesTaxPercentage))))</f>
        <v>0</v>
      </c>
      <c r="K118" s="716">
        <f t="shared" ref="K118" si="102">I118+J118</f>
        <v>0</v>
      </c>
      <c r="L118" s="716"/>
      <c r="M118" s="689" t="str">
        <f t="shared" ref="M118:M126" ca="1" si="103">IF(AND(G118&gt;0,E118=0),"WARNING - no PRICE inserted",IF(H118="free","FREE ~ no charge this plant",IF(H118="credit",CONCATENATE("-$",ROUND(K118*(1-_xlfn.SINGLE(T2GDiscount))*-1,2)," CREDIT after discount"),IF(_xlfn.SINGLE(T2GDiscount)=0,"",IF(G118=0,"",IF(F118="Buy",CONCATENATE("$",ROUND(K118*(1-_xlfn.SINGLE(T2GDiscount)),2)," with ",(_xlfn.SINGLE(T2GDiscount)*100),"% discount"),CONCATENATE("$",ROUND(K118*(1-_xlfn.SINGLE(T2GDiscount)),2)," with ",((_xlfn.SINGLE(T2GDiscount)*100+F118*100)-(_xlfn.SINGLE(T2GDiscount)*100*F118)),IF(F118&gt;0,"% discounts",IF(_xlfn.SINGLE(NoWarrantyDiscount)&gt;0,"% discounts","% discount")))))))))</f>
        <v/>
      </c>
      <c r="N118" s="690"/>
      <c r="O118" s="486"/>
      <c r="P118" s="486"/>
      <c r="Q118" s="486"/>
      <c r="R118" s="486"/>
      <c r="S118" s="486"/>
      <c r="T118" s="102">
        <f t="shared" si="55"/>
        <v>0</v>
      </c>
      <c r="U118" s="78">
        <f>IF(NOT(ISNUMBER(G118)), "", VLOOKUP(A118,'Discount Lookup'!D:E,2,FALSE)*G118)</f>
        <v>0</v>
      </c>
      <c r="V118" s="78">
        <f>IF(NOT(ISNUMBER(G118)), "", VLOOKUP(A118,'Discount Lookup'!G:H,2,FALSE)*G118)</f>
        <v>0</v>
      </c>
      <c r="W118" s="102">
        <f t="shared" si="56"/>
        <v>0</v>
      </c>
      <c r="X118" s="102">
        <f t="shared" si="57"/>
        <v>0</v>
      </c>
      <c r="Y118" s="120" t="b">
        <f t="shared" si="58"/>
        <v>0</v>
      </c>
      <c r="Z118" s="117">
        <f t="shared" si="59"/>
        <v>0</v>
      </c>
      <c r="AA118" s="118"/>
      <c r="AB118" s="118" t="str">
        <f t="shared" si="60"/>
        <v/>
      </c>
      <c r="AC118" s="712" t="str">
        <f>IF(AE118="T2G","no charge",IF(AND(OR(PlanterYesMe="No",PlanterYesMe="N",PlanterYesMe="me"),H118=""),"",IF(H118="credit","NO install",IF(AND(K118="",AE118="me"),"EACH row",IF(AND(K118="images",AE118="me"),"EACH row",IF(D118="","",IF(H118="credit","",IF(AE118="free","re-planting",IF(AE118="me","   not ELP, by",IF(AND(OR(PlanterYesMe="Yes",PlanterYesMe="Y"),G118&gt;0),(VLOOKUP(A118,'Discount Lookup'!J:K,2)*G118*(1-PlanterDiscount)*(1+PlanterDifficultyPercentage)),IF(AE118="ELP",(VLOOKUP(A118,'Discount Lookup'!J:K,2)*G118*(1-PlanterDiscount)*(1+PlanterDifficultyPercentage)),IF(AE118="free","re-planting",IF(G118=0,"",IF(PlanterYesMe="",IF(AE118="me","   not ELP, by",IF(AE118="",IF(G118&gt;0,(VLOOKUP(A118,'Discount Lookup'!J:K,2)*G118*(1-PlanterDiscount)*(1+PlanterDifficultyPercentage)),""),"")),"   not ELP, by"))))))))))))))</f>
        <v/>
      </c>
      <c r="AD118" s="712"/>
      <c r="AE118" s="513" t="str">
        <f t="shared" si="61"/>
        <v/>
      </c>
      <c r="AF118" s="713" t="str">
        <f t="shared" si="62"/>
        <v/>
      </c>
      <c r="AG118" s="713"/>
      <c r="AH118" s="713"/>
      <c r="AI118" s="112">
        <f>IF(H118="credit",0,IF(AE118="free",0,IF(AE118="me",0,IF(G118&gt;0,(VLOOKUP(A118,'Discount Lookup'!J:K,2)*G118),0))))</f>
        <v>0</v>
      </c>
      <c r="AJ118" s="107" t="str">
        <f t="shared" ca="1" si="63"/>
        <v/>
      </c>
      <c r="AK118" s="714" t="str">
        <f t="shared" si="64"/>
        <v/>
      </c>
      <c r="AL118" s="714"/>
      <c r="AM118" s="114" t="str">
        <f t="shared" si="65"/>
        <v/>
      </c>
      <c r="AN118" s="115"/>
      <c r="AO118" s="116"/>
      <c r="AP118" s="116"/>
      <c r="AQ118" s="116"/>
      <c r="AR118" s="116"/>
      <c r="AS118" s="116"/>
      <c r="AT118" s="116"/>
      <c r="AU118" s="116"/>
      <c r="AV118" s="78"/>
      <c r="AW118" s="102"/>
      <c r="AX118" s="78"/>
      <c r="AY118" s="78"/>
      <c r="AZ118" s="78"/>
      <c r="BA118" s="78"/>
      <c r="BB118" s="78"/>
      <c r="BC118" s="78"/>
      <c r="BD118" s="78"/>
      <c r="BE118" s="465"/>
      <c r="BF118" s="165" t="str">
        <f t="shared" si="66"/>
        <v>https://www.google.com/search?tbm=isch&amp;q=7%20G4</v>
      </c>
      <c r="BG118" s="165" t="str">
        <f t="shared" si="67"/>
        <v>A</v>
      </c>
      <c r="BH118" s="65"/>
      <c r="BI118" s="65"/>
      <c r="BJ118" s="65"/>
      <c r="BK118" s="65"/>
      <c r="BL118" s="99"/>
      <c r="BM118" s="99"/>
      <c r="BN118" s="99"/>
    </row>
    <row r="119" spans="1:66" s="51" customFormat="1" ht="15.75" x14ac:dyDescent="0.25">
      <c r="A119" s="634">
        <v>7</v>
      </c>
      <c r="B119" s="635" t="s">
        <v>291</v>
      </c>
      <c r="C119" s="636"/>
      <c r="D119" s="637" t="s">
        <v>311</v>
      </c>
      <c r="E119" s="638">
        <v>217.95</v>
      </c>
      <c r="F119" s="639" t="s">
        <v>292</v>
      </c>
      <c r="G119" s="484">
        <v>0</v>
      </c>
      <c r="H119" s="691" t="str">
        <f t="shared" si="99"/>
        <v/>
      </c>
      <c r="I119" s="640">
        <f t="shared" si="100"/>
        <v>0</v>
      </c>
      <c r="J119" s="640">
        <f t="shared" si="101"/>
        <v>0</v>
      </c>
      <c r="K119" s="716">
        <f t="shared" ref="K119" si="104">I119+J119</f>
        <v>0</v>
      </c>
      <c r="L119" s="716"/>
      <c r="M119" s="689" t="str">
        <f t="shared" ca="1" si="103"/>
        <v/>
      </c>
      <c r="N119" s="690"/>
      <c r="O119" s="486"/>
      <c r="P119" s="486"/>
      <c r="Q119" s="486"/>
      <c r="R119" s="486"/>
      <c r="S119" s="486"/>
      <c r="T119" s="102">
        <f t="shared" si="55"/>
        <v>0</v>
      </c>
      <c r="U119" s="78">
        <f>IF(NOT(ISNUMBER(G119)), "", VLOOKUP(A119,'Discount Lookup'!D:E,2,FALSE)*G119)</f>
        <v>0</v>
      </c>
      <c r="V119" s="78">
        <f>IF(NOT(ISNUMBER(G119)), "", VLOOKUP(A119,'Discount Lookup'!G:H,2,FALSE)*G119)</f>
        <v>0</v>
      </c>
      <c r="W119" s="102">
        <f t="shared" si="56"/>
        <v>0</v>
      </c>
      <c r="X119" s="102">
        <f t="shared" si="57"/>
        <v>0</v>
      </c>
      <c r="Y119" s="120" t="b">
        <f t="shared" si="58"/>
        <v>0</v>
      </c>
      <c r="Z119" s="117">
        <f t="shared" si="59"/>
        <v>0</v>
      </c>
      <c r="AA119" s="118"/>
      <c r="AB119" s="118" t="str">
        <f t="shared" si="60"/>
        <v/>
      </c>
      <c r="AC119" s="712" t="str">
        <f>IF(AE119="T2G","no charge",IF(AND(OR(PlanterYesMe="No",PlanterYesMe="N",PlanterYesMe="me"),H119=""),"",IF(H119="credit","NO install",IF(AND(K119="",AE119="me"),"EACH row",IF(AND(K119="images",AE119="me"),"EACH row",IF(D119="","",IF(H119="credit","",IF(AE119="free","re-planting",IF(AE119="me","   not ELP, by",IF(AND(OR(PlanterYesMe="Yes",PlanterYesMe="Y"),G119&gt;0),(VLOOKUP(A119,'Discount Lookup'!J:K,2)*G119*(1-PlanterDiscount)*(1+PlanterDifficultyPercentage)),IF(AE119="ELP",(VLOOKUP(A119,'Discount Lookup'!J:K,2)*G119*(1-PlanterDiscount)*(1+PlanterDifficultyPercentage)),IF(AE119="free","re-planting",IF(G119=0,"",IF(PlanterYesMe="",IF(AE119="me","   not ELP, by",IF(AE119="",IF(G119&gt;0,(VLOOKUP(A119,'Discount Lookup'!J:K,2)*G119*(1-PlanterDiscount)*(1+PlanterDifficultyPercentage)),""),"")),"   not ELP, by"))))))))))))))</f>
        <v/>
      </c>
      <c r="AD119" s="712"/>
      <c r="AE119" s="513" t="str">
        <f t="shared" si="61"/>
        <v/>
      </c>
      <c r="AF119" s="713" t="str">
        <f t="shared" si="62"/>
        <v/>
      </c>
      <c r="AG119" s="713"/>
      <c r="AH119" s="713"/>
      <c r="AI119" s="112">
        <f>IF(H119="credit",0,IF(AE119="free",0,IF(AE119="me",0,IF(G119&gt;0,(VLOOKUP(A119,'Discount Lookup'!J:K,2)*G119),0))))</f>
        <v>0</v>
      </c>
      <c r="AJ119" s="107" t="str">
        <f t="shared" ca="1" si="63"/>
        <v/>
      </c>
      <c r="AK119" s="714" t="str">
        <f t="shared" si="64"/>
        <v/>
      </c>
      <c r="AL119" s="714"/>
      <c r="AM119" s="114" t="str">
        <f t="shared" si="65"/>
        <v/>
      </c>
      <c r="AN119" s="115"/>
      <c r="AO119" s="116"/>
      <c r="AP119" s="116"/>
      <c r="AQ119" s="116"/>
      <c r="AR119" s="116"/>
      <c r="AS119" s="116"/>
      <c r="AT119" s="116"/>
      <c r="AU119" s="116"/>
      <c r="AV119" s="78"/>
      <c r="AW119" s="102"/>
      <c r="AX119" s="78"/>
      <c r="AY119" s="78"/>
      <c r="AZ119" s="78"/>
      <c r="BA119" s="78"/>
      <c r="BB119" s="78"/>
      <c r="BC119" s="78"/>
      <c r="BD119" s="78"/>
      <c r="BE119" s="465"/>
      <c r="BF119" s="165" t="str">
        <f t="shared" si="66"/>
        <v>https://www.google.com/search?tbm=isch&amp;q=7%20G5</v>
      </c>
      <c r="BG119" s="165" t="str">
        <f t="shared" si="67"/>
        <v>A</v>
      </c>
      <c r="BH119" s="65"/>
      <c r="BI119" s="65"/>
      <c r="BJ119" s="65"/>
      <c r="BK119" s="65"/>
      <c r="BL119" s="99"/>
      <c r="BM119" s="99"/>
      <c r="BN119" s="99"/>
    </row>
    <row r="120" spans="1:66" s="51" customFormat="1" ht="15.75" x14ac:dyDescent="0.25">
      <c r="A120" s="634">
        <v>10</v>
      </c>
      <c r="B120" s="635" t="s">
        <v>291</v>
      </c>
      <c r="C120" s="636" t="s">
        <v>5108</v>
      </c>
      <c r="D120" s="637" t="s">
        <v>299</v>
      </c>
      <c r="E120" s="638">
        <v>309.95</v>
      </c>
      <c r="F120" s="639" t="s">
        <v>292</v>
      </c>
      <c r="G120" s="484">
        <v>0</v>
      </c>
      <c r="H120" s="691" t="str">
        <f t="shared" si="99"/>
        <v/>
      </c>
      <c r="I120" s="640">
        <f t="shared" si="100"/>
        <v>0</v>
      </c>
      <c r="J120" s="640">
        <f t="shared" si="101"/>
        <v>0</v>
      </c>
      <c r="K120" s="716">
        <f t="shared" ref="K120" si="105">I120+J120</f>
        <v>0</v>
      </c>
      <c r="L120" s="716"/>
      <c r="M120" s="689" t="str">
        <f t="shared" ca="1" si="103"/>
        <v/>
      </c>
      <c r="N120" s="690"/>
      <c r="O120" s="486"/>
      <c r="P120" s="486"/>
      <c r="Q120" s="486"/>
      <c r="R120" s="486"/>
      <c r="S120" s="486"/>
      <c r="T120" s="102">
        <f t="shared" si="55"/>
        <v>0</v>
      </c>
      <c r="U120" s="78">
        <f>IF(NOT(ISNUMBER(G120)), "", VLOOKUP(A120,'Discount Lookup'!D:E,2,FALSE)*G120)</f>
        <v>0</v>
      </c>
      <c r="V120" s="78">
        <f>IF(NOT(ISNUMBER(G120)), "", VLOOKUP(A120,'Discount Lookup'!G:H,2,FALSE)*G120)</f>
        <v>0</v>
      </c>
      <c r="W120" s="102">
        <f t="shared" si="56"/>
        <v>0</v>
      </c>
      <c r="X120" s="102">
        <f t="shared" si="57"/>
        <v>0</v>
      </c>
      <c r="Y120" s="120" t="b">
        <f t="shared" si="58"/>
        <v>0</v>
      </c>
      <c r="Z120" s="117">
        <f t="shared" si="59"/>
        <v>0</v>
      </c>
      <c r="AA120" s="118"/>
      <c r="AB120" s="118" t="str">
        <f t="shared" si="60"/>
        <v/>
      </c>
      <c r="AC120" s="712" t="str">
        <f>IF(AE120="T2G","no charge",IF(AND(OR(PlanterYesMe="No",PlanterYesMe="N",PlanterYesMe="me"),H120=""),"",IF(H120="credit","NO install",IF(AND(K120="",AE120="me"),"EACH row",IF(AND(K120="images",AE120="me"),"EACH row",IF(D120="","",IF(H120="credit","",IF(AE120="free","re-planting",IF(AE120="me","   not ELP, by",IF(AND(OR(PlanterYesMe="Yes",PlanterYesMe="Y"),G120&gt;0),(VLOOKUP(A120,'Discount Lookup'!J:K,2)*G120*(1-PlanterDiscount)*(1+PlanterDifficultyPercentage)),IF(AE120="ELP",(VLOOKUP(A120,'Discount Lookup'!J:K,2)*G120*(1-PlanterDiscount)*(1+PlanterDifficultyPercentage)),IF(AE120="free","re-planting",IF(G120=0,"",IF(PlanterYesMe="",IF(AE120="me","   not ELP, by",IF(AE120="",IF(G120&gt;0,(VLOOKUP(A120,'Discount Lookup'!J:K,2)*G120*(1-PlanterDiscount)*(1+PlanterDifficultyPercentage)),""),"")),"   not ELP, by"))))))))))))))</f>
        <v/>
      </c>
      <c r="AD120" s="712"/>
      <c r="AE120" s="513" t="str">
        <f t="shared" si="61"/>
        <v/>
      </c>
      <c r="AF120" s="713" t="str">
        <f t="shared" si="62"/>
        <v/>
      </c>
      <c r="AG120" s="713"/>
      <c r="AH120" s="713"/>
      <c r="AI120" s="112">
        <f>IF(H120="credit",0,IF(AE120="free",0,IF(AE120="me",0,IF(G120&gt;0,(VLOOKUP(A120,'Discount Lookup'!J:K,2)*G120),0))))</f>
        <v>0</v>
      </c>
      <c r="AJ120" s="107" t="str">
        <f t="shared" ca="1" si="63"/>
        <v/>
      </c>
      <c r="AK120" s="714" t="str">
        <f t="shared" si="64"/>
        <v/>
      </c>
      <c r="AL120" s="714"/>
      <c r="AM120" s="114" t="str">
        <f t="shared" si="65"/>
        <v/>
      </c>
      <c r="AN120" s="115"/>
      <c r="AO120" s="116"/>
      <c r="AP120" s="116"/>
      <c r="AQ120" s="116"/>
      <c r="AR120" s="116"/>
      <c r="AS120" s="116"/>
      <c r="AT120" s="116"/>
      <c r="AU120" s="116"/>
      <c r="AV120" s="78"/>
      <c r="AW120" s="102"/>
      <c r="AX120" s="78"/>
      <c r="AY120" s="78"/>
      <c r="AZ120" s="78"/>
      <c r="BA120" s="78"/>
      <c r="BB120" s="78"/>
      <c r="BC120" s="78"/>
      <c r="BD120" s="78"/>
      <c r="BE120" s="465"/>
      <c r="BF120" s="165" t="str">
        <f t="shared" si="66"/>
        <v>https://www.google.com/search?tbm=isch&amp;q=10%20G4</v>
      </c>
      <c r="BG120" s="165" t="str">
        <f t="shared" si="67"/>
        <v>A</v>
      </c>
      <c r="BH120" s="65"/>
      <c r="BI120" s="65"/>
      <c r="BJ120" s="65"/>
      <c r="BK120" s="65"/>
      <c r="BL120" s="99"/>
      <c r="BM120" s="99"/>
      <c r="BN120" s="99"/>
    </row>
    <row r="121" spans="1:66" s="51" customFormat="1" ht="15.75" x14ac:dyDescent="0.25">
      <c r="A121" s="634">
        <v>10</v>
      </c>
      <c r="B121" s="635" t="s">
        <v>291</v>
      </c>
      <c r="C121" s="636"/>
      <c r="D121" s="637" t="s">
        <v>329</v>
      </c>
      <c r="E121" s="638">
        <v>355.95</v>
      </c>
      <c r="F121" s="639" t="s">
        <v>292</v>
      </c>
      <c r="G121" s="484">
        <v>0</v>
      </c>
      <c r="H121" s="691" t="str">
        <f t="shared" si="99"/>
        <v/>
      </c>
      <c r="I121" s="640">
        <f t="shared" si="100"/>
        <v>0</v>
      </c>
      <c r="J121" s="640">
        <f t="shared" si="101"/>
        <v>0</v>
      </c>
      <c r="K121" s="716">
        <f t="shared" ref="K121" si="106">I121+J121</f>
        <v>0</v>
      </c>
      <c r="L121" s="716"/>
      <c r="M121" s="689" t="str">
        <f t="shared" ca="1" si="103"/>
        <v/>
      </c>
      <c r="N121" s="690"/>
      <c r="O121" s="486"/>
      <c r="P121" s="486"/>
      <c r="Q121" s="486"/>
      <c r="R121" s="486"/>
      <c r="S121" s="486"/>
      <c r="T121" s="102">
        <f t="shared" si="55"/>
        <v>0</v>
      </c>
      <c r="U121" s="78">
        <f>IF(NOT(ISNUMBER(G121)), "", VLOOKUP(A121,'Discount Lookup'!D:E,2,FALSE)*G121)</f>
        <v>0</v>
      </c>
      <c r="V121" s="78">
        <f>IF(NOT(ISNUMBER(G121)), "", VLOOKUP(A121,'Discount Lookup'!G:H,2,FALSE)*G121)</f>
        <v>0</v>
      </c>
      <c r="W121" s="102">
        <f t="shared" si="56"/>
        <v>0</v>
      </c>
      <c r="X121" s="102">
        <f t="shared" si="57"/>
        <v>0</v>
      </c>
      <c r="Y121" s="120" t="b">
        <f t="shared" si="58"/>
        <v>0</v>
      </c>
      <c r="Z121" s="117">
        <f t="shared" si="59"/>
        <v>0</v>
      </c>
      <c r="AA121" s="118"/>
      <c r="AB121" s="118" t="str">
        <f t="shared" si="60"/>
        <v/>
      </c>
      <c r="AC121" s="712" t="str">
        <f>IF(AE121="T2G","no charge",IF(AND(OR(PlanterYesMe="No",PlanterYesMe="N",PlanterYesMe="me"),H121=""),"",IF(H121="credit","NO install",IF(AND(K121="",AE121="me"),"EACH row",IF(AND(K121="images",AE121="me"),"EACH row",IF(D121="","",IF(H121="credit","",IF(AE121="free","re-planting",IF(AE121="me","   not ELP, by",IF(AND(OR(PlanterYesMe="Yes",PlanterYesMe="Y"),G121&gt;0),(VLOOKUP(A121,'Discount Lookup'!J:K,2)*G121*(1-PlanterDiscount)*(1+PlanterDifficultyPercentage)),IF(AE121="ELP",(VLOOKUP(A121,'Discount Lookup'!J:K,2)*G121*(1-PlanterDiscount)*(1+PlanterDifficultyPercentage)),IF(AE121="free","re-planting",IF(G121=0,"",IF(PlanterYesMe="",IF(AE121="me","   not ELP, by",IF(AE121="",IF(G121&gt;0,(VLOOKUP(A121,'Discount Lookup'!J:K,2)*G121*(1-PlanterDiscount)*(1+PlanterDifficultyPercentage)),""),"")),"   not ELP, by"))))))))))))))</f>
        <v/>
      </c>
      <c r="AD121" s="712"/>
      <c r="AE121" s="513" t="str">
        <f t="shared" si="61"/>
        <v/>
      </c>
      <c r="AF121" s="713" t="str">
        <f t="shared" si="62"/>
        <v/>
      </c>
      <c r="AG121" s="713"/>
      <c r="AH121" s="713"/>
      <c r="AI121" s="112">
        <f>IF(H121="credit",0,IF(AE121="free",0,IF(AE121="me",0,IF(G121&gt;0,(VLOOKUP(A121,'Discount Lookup'!J:K,2)*G121),0))))</f>
        <v>0</v>
      </c>
      <c r="AJ121" s="107" t="str">
        <f t="shared" ca="1" si="63"/>
        <v/>
      </c>
      <c r="AK121" s="714" t="str">
        <f t="shared" si="64"/>
        <v/>
      </c>
      <c r="AL121" s="714"/>
      <c r="AM121" s="114" t="str">
        <f t="shared" si="65"/>
        <v/>
      </c>
      <c r="AN121" s="115"/>
      <c r="AO121" s="116"/>
      <c r="AP121" s="116"/>
      <c r="AQ121" s="116"/>
      <c r="AR121" s="116"/>
      <c r="AS121" s="116"/>
      <c r="AT121" s="116"/>
      <c r="AU121" s="116"/>
      <c r="AV121" s="78"/>
      <c r="AW121" s="102"/>
      <c r="AX121" s="78"/>
      <c r="AY121" s="78"/>
      <c r="AZ121" s="78"/>
      <c r="BA121" s="78"/>
      <c r="BB121" s="78"/>
      <c r="BC121" s="78"/>
      <c r="BD121" s="78"/>
      <c r="BE121" s="465"/>
      <c r="BF121" s="165" t="str">
        <f t="shared" si="66"/>
        <v>https://www.google.com/search?tbm=isch&amp;q=10%20G2</v>
      </c>
      <c r="BG121" s="165" t="str">
        <f t="shared" si="67"/>
        <v>A</v>
      </c>
      <c r="BH121" s="65"/>
      <c r="BI121" s="65"/>
      <c r="BJ121" s="65"/>
      <c r="BK121" s="65"/>
      <c r="BL121" s="99"/>
      <c r="BM121" s="99"/>
      <c r="BN121" s="99"/>
    </row>
    <row r="122" spans="1:66" s="51" customFormat="1" ht="15.75" x14ac:dyDescent="0.25">
      <c r="A122" s="634">
        <v>15</v>
      </c>
      <c r="B122" s="635" t="s">
        <v>291</v>
      </c>
      <c r="C122" s="636" t="s">
        <v>1192</v>
      </c>
      <c r="D122" s="637" t="s">
        <v>299</v>
      </c>
      <c r="E122" s="638">
        <v>390.95</v>
      </c>
      <c r="F122" s="639" t="s">
        <v>292</v>
      </c>
      <c r="G122" s="484">
        <v>0</v>
      </c>
      <c r="H122" s="691" t="str">
        <f t="shared" si="99"/>
        <v/>
      </c>
      <c r="I122" s="640">
        <f t="shared" si="100"/>
        <v>0</v>
      </c>
      <c r="J122" s="640">
        <f t="shared" si="101"/>
        <v>0</v>
      </c>
      <c r="K122" s="716">
        <f t="shared" ref="K122" si="107">I122+J122</f>
        <v>0</v>
      </c>
      <c r="L122" s="716"/>
      <c r="M122" s="689" t="str">
        <f t="shared" ca="1" si="103"/>
        <v/>
      </c>
      <c r="N122" s="690"/>
      <c r="O122" s="486"/>
      <c r="P122" s="486"/>
      <c r="Q122" s="486"/>
      <c r="R122" s="486"/>
      <c r="S122" s="486"/>
      <c r="T122" s="102">
        <f t="shared" si="55"/>
        <v>0</v>
      </c>
      <c r="U122" s="78">
        <f>IF(NOT(ISNUMBER(G122)), "", VLOOKUP(A122,'Discount Lookup'!D:E,2,FALSE)*G122)</f>
        <v>0</v>
      </c>
      <c r="V122" s="78">
        <f>IF(NOT(ISNUMBER(G122)), "", VLOOKUP(A122,'Discount Lookup'!G:H,2,FALSE)*G122)</f>
        <v>0</v>
      </c>
      <c r="W122" s="102">
        <f t="shared" si="56"/>
        <v>0</v>
      </c>
      <c r="X122" s="102">
        <f t="shared" si="57"/>
        <v>0</v>
      </c>
      <c r="Y122" s="120" t="b">
        <f t="shared" si="58"/>
        <v>0</v>
      </c>
      <c r="Z122" s="117">
        <f t="shared" si="59"/>
        <v>0</v>
      </c>
      <c r="AA122" s="118"/>
      <c r="AB122" s="118" t="str">
        <f t="shared" si="60"/>
        <v/>
      </c>
      <c r="AC122" s="712" t="str">
        <f>IF(AE122="T2G","no charge",IF(AND(OR(PlanterYesMe="No",PlanterYesMe="N",PlanterYesMe="me"),H122=""),"",IF(H122="credit","NO install",IF(AND(K122="",AE122="me"),"EACH row",IF(AND(K122="images",AE122="me"),"EACH row",IF(D122="","",IF(H122="credit","",IF(AE122="free","re-planting",IF(AE122="me","   not ELP, by",IF(AND(OR(PlanterYesMe="Yes",PlanterYesMe="Y"),G122&gt;0),(VLOOKUP(A122,'Discount Lookup'!J:K,2)*G122*(1-PlanterDiscount)*(1+PlanterDifficultyPercentage)),IF(AE122="ELP",(VLOOKUP(A122,'Discount Lookup'!J:K,2)*G122*(1-PlanterDiscount)*(1+PlanterDifficultyPercentage)),IF(AE122="free","re-planting",IF(G122=0,"",IF(PlanterYesMe="",IF(AE122="me","   not ELP, by",IF(AE122="",IF(G122&gt;0,(VLOOKUP(A122,'Discount Lookup'!J:K,2)*G122*(1-PlanterDiscount)*(1+PlanterDifficultyPercentage)),""),"")),"   not ELP, by"))))))))))))))</f>
        <v/>
      </c>
      <c r="AD122" s="712"/>
      <c r="AE122" s="513" t="str">
        <f t="shared" si="61"/>
        <v/>
      </c>
      <c r="AF122" s="713" t="str">
        <f t="shared" si="62"/>
        <v/>
      </c>
      <c r="AG122" s="713"/>
      <c r="AH122" s="713"/>
      <c r="AI122" s="112">
        <f>IF(H122="credit",0,IF(AE122="free",0,IF(AE122="me",0,IF(G122&gt;0,(VLOOKUP(A122,'Discount Lookup'!J:K,2)*G122),0))))</f>
        <v>0</v>
      </c>
      <c r="AJ122" s="107" t="str">
        <f t="shared" ca="1" si="63"/>
        <v/>
      </c>
      <c r="AK122" s="714" t="str">
        <f t="shared" si="64"/>
        <v/>
      </c>
      <c r="AL122" s="714"/>
      <c r="AM122" s="114" t="str">
        <f t="shared" si="65"/>
        <v/>
      </c>
      <c r="AN122" s="115"/>
      <c r="AO122" s="116"/>
      <c r="AP122" s="116"/>
      <c r="AQ122" s="116"/>
      <c r="AR122" s="116"/>
      <c r="AS122" s="116"/>
      <c r="AT122" s="116"/>
      <c r="AU122" s="116"/>
      <c r="AV122" s="78"/>
      <c r="AW122" s="102"/>
      <c r="AX122" s="78"/>
      <c r="AY122" s="78"/>
      <c r="AZ122" s="78"/>
      <c r="BA122" s="78"/>
      <c r="BB122" s="78"/>
      <c r="BC122" s="78"/>
      <c r="BD122" s="78"/>
      <c r="BE122" s="465"/>
      <c r="BF122" s="165" t="str">
        <f t="shared" si="66"/>
        <v>https://www.google.com/search?tbm=isch&amp;q=15%20G4</v>
      </c>
      <c r="BG122" s="165" t="str">
        <f t="shared" si="67"/>
        <v>A</v>
      </c>
      <c r="BH122" s="65"/>
      <c r="BI122" s="65"/>
      <c r="BJ122" s="65"/>
      <c r="BK122" s="65"/>
      <c r="BL122" s="99"/>
      <c r="BM122" s="99"/>
      <c r="BN122" s="99"/>
    </row>
    <row r="123" spans="1:66" s="51" customFormat="1" ht="27" x14ac:dyDescent="0.25">
      <c r="A123" s="634">
        <v>15</v>
      </c>
      <c r="B123" s="635" t="s">
        <v>291</v>
      </c>
      <c r="C123" s="636" t="s">
        <v>4558</v>
      </c>
      <c r="D123" s="637" t="s">
        <v>311</v>
      </c>
      <c r="E123" s="638">
        <v>419.95</v>
      </c>
      <c r="F123" s="639" t="s">
        <v>292</v>
      </c>
      <c r="G123" s="484">
        <v>0</v>
      </c>
      <c r="H123" s="691" t="str">
        <f t="shared" si="99"/>
        <v/>
      </c>
      <c r="I123" s="640">
        <f t="shared" si="100"/>
        <v>0</v>
      </c>
      <c r="J123" s="640">
        <f t="shared" si="101"/>
        <v>0</v>
      </c>
      <c r="K123" s="716">
        <f t="shared" ref="K123" si="108">I123+J123</f>
        <v>0</v>
      </c>
      <c r="L123" s="716"/>
      <c r="M123" s="689" t="str">
        <f t="shared" ca="1" si="103"/>
        <v/>
      </c>
      <c r="N123" s="690"/>
      <c r="O123" s="486"/>
      <c r="P123" s="486"/>
      <c r="Q123" s="486"/>
      <c r="R123" s="486"/>
      <c r="S123" s="486"/>
      <c r="T123" s="102">
        <f t="shared" si="55"/>
        <v>0</v>
      </c>
      <c r="U123" s="78">
        <f>IF(NOT(ISNUMBER(G123)), "", VLOOKUP(A123,'Discount Lookup'!D:E,2,FALSE)*G123)</f>
        <v>0</v>
      </c>
      <c r="V123" s="78">
        <f>IF(NOT(ISNUMBER(G123)), "", VLOOKUP(A123,'Discount Lookup'!G:H,2,FALSE)*G123)</f>
        <v>0</v>
      </c>
      <c r="W123" s="102">
        <f t="shared" si="56"/>
        <v>0</v>
      </c>
      <c r="X123" s="102">
        <f t="shared" si="57"/>
        <v>0</v>
      </c>
      <c r="Y123" s="120" t="b">
        <f t="shared" si="58"/>
        <v>0</v>
      </c>
      <c r="Z123" s="117">
        <f t="shared" si="59"/>
        <v>0</v>
      </c>
      <c r="AA123" s="118"/>
      <c r="AB123" s="118" t="str">
        <f t="shared" si="60"/>
        <v/>
      </c>
      <c r="AC123" s="712" t="str">
        <f>IF(AE123="T2G","no charge",IF(AND(OR(PlanterYesMe="No",PlanterYesMe="N",PlanterYesMe="me"),H123=""),"",IF(H123="credit","NO install",IF(AND(K123="",AE123="me"),"EACH row",IF(AND(K123="images",AE123="me"),"EACH row",IF(D123="","",IF(H123="credit","",IF(AE123="free","re-planting",IF(AE123="me","   not ELP, by",IF(AND(OR(PlanterYesMe="Yes",PlanterYesMe="Y"),G123&gt;0),(VLOOKUP(A123,'Discount Lookup'!J:K,2)*G123*(1-PlanterDiscount)*(1+PlanterDifficultyPercentage)),IF(AE123="ELP",(VLOOKUP(A123,'Discount Lookup'!J:K,2)*G123*(1-PlanterDiscount)*(1+PlanterDifficultyPercentage)),IF(AE123="free","re-planting",IF(G123=0,"",IF(PlanterYesMe="",IF(AE123="me","   not ELP, by",IF(AE123="",IF(G123&gt;0,(VLOOKUP(A123,'Discount Lookup'!J:K,2)*G123*(1-PlanterDiscount)*(1+PlanterDifficultyPercentage)),""),"")),"   not ELP, by"))))))))))))))</f>
        <v/>
      </c>
      <c r="AD123" s="712"/>
      <c r="AE123" s="513" t="str">
        <f t="shared" si="61"/>
        <v/>
      </c>
      <c r="AF123" s="713" t="str">
        <f t="shared" si="62"/>
        <v/>
      </c>
      <c r="AG123" s="713"/>
      <c r="AH123" s="713"/>
      <c r="AI123" s="112">
        <f>IF(H123="credit",0,IF(AE123="free",0,IF(AE123="me",0,IF(G123&gt;0,(VLOOKUP(A123,'Discount Lookup'!J:K,2)*G123),0))))</f>
        <v>0</v>
      </c>
      <c r="AJ123" s="107" t="str">
        <f t="shared" ca="1" si="63"/>
        <v/>
      </c>
      <c r="AK123" s="714" t="str">
        <f t="shared" si="64"/>
        <v/>
      </c>
      <c r="AL123" s="714"/>
      <c r="AM123" s="114" t="str">
        <f t="shared" si="65"/>
        <v/>
      </c>
      <c r="AN123" s="115"/>
      <c r="AO123" s="116"/>
      <c r="AP123" s="116"/>
      <c r="AQ123" s="116"/>
      <c r="AR123" s="116"/>
      <c r="AS123" s="116"/>
      <c r="AT123" s="116"/>
      <c r="AU123" s="116"/>
      <c r="AV123" s="78"/>
      <c r="AW123" s="102"/>
      <c r="AX123" s="78"/>
      <c r="AY123" s="78"/>
      <c r="AZ123" s="78"/>
      <c r="BA123" s="78"/>
      <c r="BB123" s="78"/>
      <c r="BC123" s="78"/>
      <c r="BD123" s="78"/>
      <c r="BE123" s="465"/>
      <c r="BF123" s="165" t="str">
        <f t="shared" si="66"/>
        <v>https://www.google.com/search?tbm=isch&amp;q=15%20G5</v>
      </c>
      <c r="BG123" s="165" t="str">
        <f t="shared" si="67"/>
        <v>A</v>
      </c>
      <c r="BH123" s="65"/>
      <c r="BI123" s="65"/>
      <c r="BJ123" s="65"/>
      <c r="BK123" s="65"/>
      <c r="BL123" s="99"/>
      <c r="BM123" s="99"/>
      <c r="BN123" s="99"/>
    </row>
    <row r="124" spans="1:66" s="51" customFormat="1" ht="15.75" x14ac:dyDescent="0.25">
      <c r="A124" s="634">
        <v>25</v>
      </c>
      <c r="B124" s="635" t="s">
        <v>291</v>
      </c>
      <c r="C124" s="636" t="s">
        <v>1193</v>
      </c>
      <c r="D124" s="637" t="s">
        <v>299</v>
      </c>
      <c r="E124" s="638">
        <v>790.95</v>
      </c>
      <c r="F124" s="639" t="s">
        <v>292</v>
      </c>
      <c r="G124" s="484">
        <v>0</v>
      </c>
      <c r="H124" s="691" t="str">
        <f t="shared" si="99"/>
        <v/>
      </c>
      <c r="I124" s="640">
        <f t="shared" si="100"/>
        <v>0</v>
      </c>
      <c r="J124" s="640">
        <f t="shared" si="101"/>
        <v>0</v>
      </c>
      <c r="K124" s="716">
        <f t="shared" ref="K124" si="109">I124+J124</f>
        <v>0</v>
      </c>
      <c r="L124" s="716"/>
      <c r="M124" s="689" t="str">
        <f t="shared" ca="1" si="103"/>
        <v/>
      </c>
      <c r="N124" s="690"/>
      <c r="O124" s="486"/>
      <c r="P124" s="486"/>
      <c r="Q124" s="486"/>
      <c r="R124" s="486"/>
      <c r="S124" s="486"/>
      <c r="T124" s="102">
        <f t="shared" si="55"/>
        <v>0</v>
      </c>
      <c r="U124" s="78">
        <f>IF(NOT(ISNUMBER(G124)), "", VLOOKUP(A124,'Discount Lookup'!D:E,2,FALSE)*G124)</f>
        <v>0</v>
      </c>
      <c r="V124" s="78">
        <f>IF(NOT(ISNUMBER(G124)), "", VLOOKUP(A124,'Discount Lookup'!G:H,2,FALSE)*G124)</f>
        <v>0</v>
      </c>
      <c r="W124" s="102">
        <f t="shared" si="56"/>
        <v>0</v>
      </c>
      <c r="X124" s="102">
        <f t="shared" si="57"/>
        <v>0</v>
      </c>
      <c r="Y124" s="120" t="b">
        <f t="shared" si="58"/>
        <v>0</v>
      </c>
      <c r="Z124" s="117">
        <f t="shared" si="59"/>
        <v>0</v>
      </c>
      <c r="AA124" s="118"/>
      <c r="AB124" s="118" t="str">
        <f t="shared" si="60"/>
        <v/>
      </c>
      <c r="AC124" s="712" t="str">
        <f>IF(AE124="T2G","no charge",IF(AND(OR(PlanterYesMe="No",PlanterYesMe="N",PlanterYesMe="me"),H124=""),"",IF(H124="credit","NO install",IF(AND(K124="",AE124="me"),"EACH row",IF(AND(K124="images",AE124="me"),"EACH row",IF(D124="","",IF(H124="credit","",IF(AE124="free","re-planting",IF(AE124="me","   not ELP, by",IF(AND(OR(PlanterYesMe="Yes",PlanterYesMe="Y"),G124&gt;0),(VLOOKUP(A124,'Discount Lookup'!J:K,2)*G124*(1-PlanterDiscount)*(1+PlanterDifficultyPercentage)),IF(AE124="ELP",(VLOOKUP(A124,'Discount Lookup'!J:K,2)*G124*(1-PlanterDiscount)*(1+PlanterDifficultyPercentage)),IF(AE124="free","re-planting",IF(G124=0,"",IF(PlanterYesMe="",IF(AE124="me","   not ELP, by",IF(AE124="",IF(G124&gt;0,(VLOOKUP(A124,'Discount Lookup'!J:K,2)*G124*(1-PlanterDiscount)*(1+PlanterDifficultyPercentage)),""),"")),"   not ELP, by"))))))))))))))</f>
        <v/>
      </c>
      <c r="AD124" s="712"/>
      <c r="AE124" s="513" t="str">
        <f t="shared" si="61"/>
        <v/>
      </c>
      <c r="AF124" s="713" t="str">
        <f t="shared" si="62"/>
        <v/>
      </c>
      <c r="AG124" s="713"/>
      <c r="AH124" s="713"/>
      <c r="AI124" s="112">
        <f>IF(H124="credit",0,IF(AE124="free",0,IF(AE124="me",0,IF(G124&gt;0,(VLOOKUP(A124,'Discount Lookup'!J:K,2)*G124),0))))</f>
        <v>0</v>
      </c>
      <c r="AJ124" s="107" t="str">
        <f t="shared" ca="1" si="63"/>
        <v/>
      </c>
      <c r="AK124" s="714" t="str">
        <f t="shared" si="64"/>
        <v/>
      </c>
      <c r="AL124" s="714"/>
      <c r="AM124" s="114" t="str">
        <f t="shared" si="65"/>
        <v/>
      </c>
      <c r="AN124" s="115"/>
      <c r="AO124" s="116"/>
      <c r="AP124" s="116"/>
      <c r="AQ124" s="116"/>
      <c r="AR124" s="116"/>
      <c r="AS124" s="116"/>
      <c r="AT124" s="116"/>
      <c r="AU124" s="116"/>
      <c r="AV124" s="78"/>
      <c r="AW124" s="102"/>
      <c r="AX124" s="78"/>
      <c r="AY124" s="78"/>
      <c r="AZ124" s="78"/>
      <c r="BA124" s="78"/>
      <c r="BB124" s="78"/>
      <c r="BC124" s="78"/>
      <c r="BD124" s="78"/>
      <c r="BE124" s="465"/>
      <c r="BF124" s="165" t="str">
        <f t="shared" si="66"/>
        <v>https://www.google.com/search?tbm=isch&amp;q=25%20G4</v>
      </c>
      <c r="BG124" s="165" t="str">
        <f t="shared" si="67"/>
        <v>A</v>
      </c>
      <c r="BH124" s="65"/>
      <c r="BI124" s="65"/>
      <c r="BJ124" s="65"/>
      <c r="BK124" s="65"/>
      <c r="BL124" s="99"/>
      <c r="BM124" s="99"/>
      <c r="BN124" s="99"/>
    </row>
    <row r="125" spans="1:66" s="51" customFormat="1" ht="40.5" x14ac:dyDescent="0.25">
      <c r="A125" s="634">
        <v>65</v>
      </c>
      <c r="B125" s="635" t="s">
        <v>291</v>
      </c>
      <c r="C125" s="636" t="s">
        <v>1194</v>
      </c>
      <c r="D125" s="637" t="s">
        <v>299</v>
      </c>
      <c r="E125" s="638">
        <v>1334.95</v>
      </c>
      <c r="F125" s="639" t="s">
        <v>292</v>
      </c>
      <c r="G125" s="484">
        <v>0</v>
      </c>
      <c r="H125" s="691" t="str">
        <f t="shared" si="99"/>
        <v/>
      </c>
      <c r="I125" s="640">
        <f t="shared" si="100"/>
        <v>0</v>
      </c>
      <c r="J125" s="640">
        <f t="shared" si="101"/>
        <v>0</v>
      </c>
      <c r="K125" s="716">
        <f t="shared" ref="K125" si="110">I125+J125</f>
        <v>0</v>
      </c>
      <c r="L125" s="716"/>
      <c r="M125" s="689" t="str">
        <f t="shared" ca="1" si="103"/>
        <v/>
      </c>
      <c r="N125" s="690"/>
      <c r="O125" s="486"/>
      <c r="P125" s="486"/>
      <c r="Q125" s="486"/>
      <c r="R125" s="486"/>
      <c r="S125" s="486"/>
      <c r="T125" s="102">
        <f t="shared" si="55"/>
        <v>0</v>
      </c>
      <c r="U125" s="78">
        <f>IF(NOT(ISNUMBER(G125)), "", VLOOKUP(A125,'Discount Lookup'!D:E,2,FALSE)*G125)</f>
        <v>0</v>
      </c>
      <c r="V125" s="78">
        <f>IF(NOT(ISNUMBER(G125)), "", VLOOKUP(A125,'Discount Lookup'!G:H,2,FALSE)*G125)</f>
        <v>0</v>
      </c>
      <c r="W125" s="102">
        <f t="shared" si="56"/>
        <v>0</v>
      </c>
      <c r="X125" s="102">
        <f t="shared" si="57"/>
        <v>0</v>
      </c>
      <c r="Y125" s="120" t="b">
        <f t="shared" si="58"/>
        <v>0</v>
      </c>
      <c r="Z125" s="117">
        <f t="shared" si="59"/>
        <v>0</v>
      </c>
      <c r="AA125" s="118"/>
      <c r="AB125" s="118" t="str">
        <f t="shared" si="60"/>
        <v/>
      </c>
      <c r="AC125" s="712" t="str">
        <f>IF(AE125="T2G","no charge",IF(AND(OR(PlanterYesMe="No",PlanterYesMe="N",PlanterYesMe="me"),H125=""),"",IF(H125="credit","NO install",IF(AND(K125="",AE125="me"),"EACH row",IF(AND(K125="images",AE125="me"),"EACH row",IF(D125="","",IF(H125="credit","",IF(AE125="free","re-planting",IF(AE125="me","   not ELP, by",IF(AND(OR(PlanterYesMe="Yes",PlanterYesMe="Y"),G125&gt;0),(VLOOKUP(A125,'Discount Lookup'!J:K,2)*G125*(1-PlanterDiscount)*(1+PlanterDifficultyPercentage)),IF(AE125="ELP",(VLOOKUP(A125,'Discount Lookup'!J:K,2)*G125*(1-PlanterDiscount)*(1+PlanterDifficultyPercentage)),IF(AE125="free","re-planting",IF(G125=0,"",IF(PlanterYesMe="",IF(AE125="me","   not ELP, by",IF(AE125="",IF(G125&gt;0,(VLOOKUP(A125,'Discount Lookup'!J:K,2)*G125*(1-PlanterDiscount)*(1+PlanterDifficultyPercentage)),""),"")),"   not ELP, by"))))))))))))))</f>
        <v/>
      </c>
      <c r="AD125" s="712"/>
      <c r="AE125" s="513" t="str">
        <f t="shared" si="61"/>
        <v/>
      </c>
      <c r="AF125" s="713" t="str">
        <f t="shared" si="62"/>
        <v/>
      </c>
      <c r="AG125" s="713"/>
      <c r="AH125" s="713"/>
      <c r="AI125" s="112">
        <f>IF(H125="credit",0,IF(AE125="free",0,IF(AE125="me",0,IF(G125&gt;0,(VLOOKUP(A125,'Discount Lookup'!J:K,2)*G125),0))))</f>
        <v>0</v>
      </c>
      <c r="AJ125" s="107" t="str">
        <f t="shared" ca="1" si="63"/>
        <v/>
      </c>
      <c r="AK125" s="714" t="str">
        <f t="shared" si="64"/>
        <v/>
      </c>
      <c r="AL125" s="714"/>
      <c r="AM125" s="114" t="str">
        <f t="shared" si="65"/>
        <v/>
      </c>
      <c r="AN125" s="115"/>
      <c r="AO125" s="116"/>
      <c r="AP125" s="116"/>
      <c r="AQ125" s="116"/>
      <c r="AR125" s="116"/>
      <c r="AS125" s="116"/>
      <c r="AT125" s="116"/>
      <c r="AU125" s="116"/>
      <c r="AV125" s="78"/>
      <c r="AW125" s="102"/>
      <c r="AX125" s="78"/>
      <c r="AY125" s="78"/>
      <c r="AZ125" s="78"/>
      <c r="BA125" s="78"/>
      <c r="BB125" s="78"/>
      <c r="BC125" s="78"/>
      <c r="BD125" s="78"/>
      <c r="BE125" s="465"/>
      <c r="BF125" s="165" t="str">
        <f t="shared" si="66"/>
        <v>https://www.google.com/search?tbm=isch&amp;q=65%20G4</v>
      </c>
      <c r="BG125" s="165" t="str">
        <f t="shared" si="67"/>
        <v>A</v>
      </c>
      <c r="BH125" s="65"/>
      <c r="BI125" s="65"/>
      <c r="BJ125" s="65"/>
      <c r="BK125" s="65"/>
      <c r="BL125" s="99"/>
      <c r="BM125" s="99"/>
      <c r="BN125" s="99"/>
    </row>
    <row r="126" spans="1:66" s="51" customFormat="1" ht="15.75" x14ac:dyDescent="0.25">
      <c r="A126" s="634">
        <v>100</v>
      </c>
      <c r="B126" s="635" t="s">
        <v>291</v>
      </c>
      <c r="C126" s="636" t="s">
        <v>1195</v>
      </c>
      <c r="D126" s="637" t="s">
        <v>311</v>
      </c>
      <c r="E126" s="638">
        <v>1579.95</v>
      </c>
      <c r="F126" s="639" t="s">
        <v>292</v>
      </c>
      <c r="G126" s="484">
        <v>0</v>
      </c>
      <c r="H126" s="691" t="str">
        <f t="shared" si="99"/>
        <v/>
      </c>
      <c r="I126" s="640">
        <f t="shared" si="100"/>
        <v>0</v>
      </c>
      <c r="J126" s="640">
        <f t="shared" si="101"/>
        <v>0</v>
      </c>
      <c r="K126" s="716">
        <f t="shared" ref="K126" si="111">I126+J126</f>
        <v>0</v>
      </c>
      <c r="L126" s="716"/>
      <c r="M126" s="689" t="str">
        <f t="shared" ca="1" si="103"/>
        <v/>
      </c>
      <c r="N126" s="690"/>
      <c r="O126" s="486"/>
      <c r="P126" s="486"/>
      <c r="Q126" s="486"/>
      <c r="R126" s="486"/>
      <c r="S126" s="486"/>
      <c r="T126" s="102">
        <f t="shared" si="55"/>
        <v>0</v>
      </c>
      <c r="U126" s="78">
        <f>IF(NOT(ISNUMBER(G126)), "", VLOOKUP(A126,'Discount Lookup'!D:E,2,FALSE)*G126)</f>
        <v>0</v>
      </c>
      <c r="V126" s="78">
        <f>IF(NOT(ISNUMBER(G126)), "", VLOOKUP(A126,'Discount Lookup'!G:H,2,FALSE)*G126)</f>
        <v>0</v>
      </c>
      <c r="W126" s="102">
        <f t="shared" si="56"/>
        <v>0</v>
      </c>
      <c r="X126" s="102">
        <f t="shared" si="57"/>
        <v>0</v>
      </c>
      <c r="Y126" s="120" t="b">
        <f t="shared" si="58"/>
        <v>0</v>
      </c>
      <c r="Z126" s="117">
        <f t="shared" si="59"/>
        <v>0</v>
      </c>
      <c r="AA126" s="118"/>
      <c r="AB126" s="118" t="str">
        <f t="shared" si="60"/>
        <v/>
      </c>
      <c r="AC126" s="712" t="str">
        <f>IF(AE126="T2G","no charge",IF(AND(OR(PlanterYesMe="No",PlanterYesMe="N",PlanterYesMe="me"),H126=""),"",IF(H126="credit","NO install",IF(AND(K126="",AE126="me"),"EACH row",IF(AND(K126="images",AE126="me"),"EACH row",IF(D126="","",IF(H126="credit","",IF(AE126="free","re-planting",IF(AE126="me","   not ELP, by",IF(AND(OR(PlanterYesMe="Yes",PlanterYesMe="Y"),G126&gt;0),(VLOOKUP(A126,'Discount Lookup'!J:K,2)*G126*(1-PlanterDiscount)*(1+PlanterDifficultyPercentage)),IF(AE126="ELP",(VLOOKUP(A126,'Discount Lookup'!J:K,2)*G126*(1-PlanterDiscount)*(1+PlanterDifficultyPercentage)),IF(AE126="free","re-planting",IF(G126=0,"",IF(PlanterYesMe="",IF(AE126="me","   not ELP, by",IF(AE126="",IF(G126&gt;0,(VLOOKUP(A126,'Discount Lookup'!J:K,2)*G126*(1-PlanterDiscount)*(1+PlanterDifficultyPercentage)),""),"")),"   not ELP, by"))))))))))))))</f>
        <v/>
      </c>
      <c r="AD126" s="712"/>
      <c r="AE126" s="513" t="str">
        <f t="shared" si="61"/>
        <v/>
      </c>
      <c r="AF126" s="713" t="str">
        <f t="shared" si="62"/>
        <v/>
      </c>
      <c r="AG126" s="713"/>
      <c r="AH126" s="713"/>
      <c r="AI126" s="112">
        <f>IF(H126="credit",0,IF(AE126="free",0,IF(AE126="me",0,IF(G126&gt;0,(VLOOKUP(A126,'Discount Lookup'!J:K,2)*G126),0))))</f>
        <v>0</v>
      </c>
      <c r="AJ126" s="107" t="str">
        <f t="shared" ca="1" si="63"/>
        <v/>
      </c>
      <c r="AK126" s="714" t="str">
        <f t="shared" si="64"/>
        <v/>
      </c>
      <c r="AL126" s="714"/>
      <c r="AM126" s="114" t="str">
        <f t="shared" si="65"/>
        <v/>
      </c>
      <c r="AN126" s="115"/>
      <c r="AO126" s="116"/>
      <c r="AP126" s="116"/>
      <c r="AQ126" s="116"/>
      <c r="AR126" s="116"/>
      <c r="AS126" s="116"/>
      <c r="AT126" s="116"/>
      <c r="AU126" s="116"/>
      <c r="AV126" s="78"/>
      <c r="AW126" s="102"/>
      <c r="AX126" s="78"/>
      <c r="AY126" s="78"/>
      <c r="AZ126" s="78"/>
      <c r="BA126" s="78"/>
      <c r="BB126" s="78"/>
      <c r="BC126" s="78"/>
      <c r="BD126" s="78"/>
      <c r="BE126" s="465"/>
      <c r="BF126" s="165" t="str">
        <f t="shared" si="66"/>
        <v>https://www.google.com/search?tbm=isch&amp;q=100%20G5</v>
      </c>
      <c r="BG126" s="165" t="str">
        <f t="shared" si="67"/>
        <v>A</v>
      </c>
      <c r="BH126" s="65"/>
      <c r="BI126" s="65"/>
      <c r="BJ126" s="65"/>
      <c r="BK126" s="65"/>
      <c r="BL126" s="99"/>
      <c r="BM126" s="99"/>
      <c r="BN126" s="99"/>
    </row>
    <row r="127" spans="1:66" s="51" customFormat="1" ht="17.25" thickBot="1" x14ac:dyDescent="0.3">
      <c r="A127" s="641" t="s">
        <v>1196</v>
      </c>
      <c r="B127" s="642"/>
      <c r="C127" s="710"/>
      <c r="D127" s="643"/>
      <c r="E127" s="643"/>
      <c r="F127" s="644"/>
      <c r="G127" s="645"/>
      <c r="H127" s="646"/>
      <c r="I127" s="647"/>
      <c r="J127" s="648"/>
      <c r="K127" s="649"/>
      <c r="L127" s="650"/>
      <c r="M127" s="650"/>
      <c r="N127" s="644"/>
      <c r="O127" s="644"/>
      <c r="P127" s="644"/>
      <c r="Q127" s="644"/>
      <c r="R127" s="644"/>
      <c r="S127" s="651"/>
      <c r="T127" s="102">
        <f t="shared" si="55"/>
        <v>0</v>
      </c>
      <c r="U127" s="78" t="str">
        <f>IF(NOT(ISNUMBER(G127)), "", VLOOKUP(A127,'Discount Lookup'!D:E,2,FALSE)*G127)</f>
        <v/>
      </c>
      <c r="V127" s="78" t="str">
        <f>IF(NOT(ISNUMBER(G127)), "", VLOOKUP(A127,'Discount Lookup'!G:H,2,FALSE)*G127)</f>
        <v/>
      </c>
      <c r="W127" s="102">
        <f t="shared" si="56"/>
        <v>0</v>
      </c>
      <c r="X127" s="102">
        <f t="shared" si="57"/>
        <v>0</v>
      </c>
      <c r="Y127" s="120" t="b">
        <f t="shared" si="58"/>
        <v>0</v>
      </c>
      <c r="Z127" s="117">
        <f t="shared" si="59"/>
        <v>0</v>
      </c>
      <c r="AA127" s="118"/>
      <c r="AB127" s="118" t="str">
        <f t="shared" si="60"/>
        <v/>
      </c>
      <c r="AC127" s="712" t="str">
        <f>IF(AE127="T2G","no charge",IF(AND(OR(PlanterYesMe="No",PlanterYesMe="N",PlanterYesMe="me"),H127=""),"",IF(H127="credit","NO install",IF(AND(K127="",AE127="me"),"EACH row",IF(AND(K127="images",AE127="me"),"EACH row",IF(D127="","",IF(H127="credit","",IF(AE127="free","re-planting",IF(AE127="me","   not ELP, by",IF(AND(OR(PlanterYesMe="Yes",PlanterYesMe="Y"),G127&gt;0),(VLOOKUP(A127,'Discount Lookup'!J:K,2)*G127*(1-PlanterDiscount)*(1+PlanterDifficultyPercentage)),IF(AE127="ELP",(VLOOKUP(A127,'Discount Lookup'!J:K,2)*G127*(1-PlanterDiscount)*(1+PlanterDifficultyPercentage)),IF(AE127="free","re-planting",IF(G127=0,"",IF(PlanterYesMe="",IF(AE127="me","   not ELP, by",IF(AE127="",IF(G127&gt;0,(VLOOKUP(A127,'Discount Lookup'!J:K,2)*G127*(1-PlanterDiscount)*(1+PlanterDifficultyPercentage)),""),"")),"   not ELP, by"))))))))))))))</f>
        <v/>
      </c>
      <c r="AD127" s="712"/>
      <c r="AE127" s="513" t="str">
        <f t="shared" si="61"/>
        <v/>
      </c>
      <c r="AF127" s="713" t="str">
        <f t="shared" si="62"/>
        <v/>
      </c>
      <c r="AG127" s="713"/>
      <c r="AH127" s="713"/>
      <c r="AI127" s="112">
        <f>IF(H127="credit",0,IF(AE127="free",0,IF(AE127="me",0,IF(G127&gt;0,(VLOOKUP(A127,'Discount Lookup'!J:K,2)*G127),0))))</f>
        <v>0</v>
      </c>
      <c r="AJ127" s="107" t="str">
        <f t="shared" ca="1" si="63"/>
        <v/>
      </c>
      <c r="AK127" s="714" t="str">
        <f t="shared" si="64"/>
        <v/>
      </c>
      <c r="AL127" s="714"/>
      <c r="AM127" s="114" t="str">
        <f t="shared" si="65"/>
        <v/>
      </c>
      <c r="AN127" s="115"/>
      <c r="AO127" s="116"/>
      <c r="AP127" s="116"/>
      <c r="AQ127" s="116"/>
      <c r="AR127" s="116"/>
      <c r="AS127" s="116"/>
      <c r="AT127" s="116"/>
      <c r="AU127" s="116"/>
      <c r="AV127" s="78"/>
      <c r="AW127" s="102"/>
      <c r="AX127" s="78"/>
      <c r="AY127" s="78"/>
      <c r="AZ127" s="78"/>
      <c r="BA127" s="78"/>
      <c r="BB127" s="78"/>
      <c r="BC127" s="78"/>
      <c r="BD127" s="78"/>
      <c r="BE127" s="465"/>
      <c r="BF127" s="165" t="str">
        <f t="shared" si="66"/>
        <v>https://www.google.com/search?tbm=isch&amp;q=Emperor%201%20is%20rich%20Dark%20Red%20in%20summer%20turning%20Brilliant%20Scarlet%20in%20fall%20</v>
      </c>
      <c r="BG127" s="165" t="str">
        <f t="shared" si="67"/>
        <v>E</v>
      </c>
      <c r="BH127" s="65"/>
      <c r="BI127" s="65"/>
      <c r="BJ127" s="65"/>
      <c r="BK127" s="65"/>
      <c r="BL127" s="99"/>
      <c r="BM127" s="99"/>
      <c r="BN127" s="99"/>
    </row>
    <row r="128" spans="1:66" s="51" customFormat="1" ht="18" x14ac:dyDescent="0.25">
      <c r="A128" s="623" t="s">
        <v>1197</v>
      </c>
      <c r="B128" s="624"/>
      <c r="C128" s="709"/>
      <c r="D128" s="625" t="s">
        <v>1198</v>
      </c>
      <c r="E128" s="626"/>
      <c r="F128" s="626"/>
      <c r="G128" s="626"/>
      <c r="H128" s="622" t="s">
        <v>1147</v>
      </c>
      <c r="I128" s="627" t="s">
        <v>1199</v>
      </c>
      <c r="J128" s="628"/>
      <c r="K128" s="628"/>
      <c r="L128" s="629"/>
      <c r="M128" s="700" t="s">
        <v>5249</v>
      </c>
      <c r="N128" s="693" t="str">
        <f>IF(AND(ISTEXT($A128), ISERROR($A128+0)), HYPERLINK($BF128, "Images"), "")</f>
        <v>Images</v>
      </c>
      <c r="O128" s="695" t="s">
        <v>5247</v>
      </c>
      <c r="P128" s="630"/>
      <c r="Q128" s="631"/>
      <c r="R128" s="632"/>
      <c r="S128" s="633"/>
      <c r="T128" s="102">
        <f t="shared" si="55"/>
        <v>0</v>
      </c>
      <c r="U128" s="78" t="str">
        <f>IF(NOT(ISNUMBER(G128)), "", VLOOKUP(A128,'Discount Lookup'!D:E,2,FALSE)*G128)</f>
        <v/>
      </c>
      <c r="V128" s="78" t="str">
        <f>IF(NOT(ISNUMBER(G128)), "", VLOOKUP(A128,'Discount Lookup'!G:H,2,FALSE)*G128)</f>
        <v/>
      </c>
      <c r="W128" s="102">
        <f t="shared" si="56"/>
        <v>0</v>
      </c>
      <c r="X128" s="102" t="str">
        <f t="shared" si="57"/>
        <v>Burgundy-Red foliage</v>
      </c>
      <c r="Y128" s="120" t="b">
        <f t="shared" si="58"/>
        <v>0</v>
      </c>
      <c r="Z128" s="117">
        <f t="shared" si="59"/>
        <v>0</v>
      </c>
      <c r="AA128" s="118"/>
      <c r="AB128" s="118" t="str">
        <f t="shared" si="60"/>
        <v/>
      </c>
      <c r="AC128" s="712" t="str">
        <f>IF(AE128="T2G","no charge",IF(AND(OR(PlanterYesMe="No",PlanterYesMe="N",PlanterYesMe="me"),H128=""),"",IF(H128="credit","NO install",IF(AND(K128="",AE128="me"),"EACH row",IF(AND(K128="images",AE128="me"),"EACH row",IF(D128="","",IF(H128="credit","",IF(AE128="free","re-planting",IF(AE128="me","   not ELP, by",IF(AND(OR(PlanterYesMe="Yes",PlanterYesMe="Y"),G128&gt;0),(VLOOKUP(A128,'Discount Lookup'!J:K,2)*G128*(1-PlanterDiscount)*(1+PlanterDifficultyPercentage)),IF(AE128="ELP",(VLOOKUP(A128,'Discount Lookup'!J:K,2)*G128*(1-PlanterDiscount)*(1+PlanterDifficultyPercentage)),IF(AE128="free","re-planting",IF(G128=0,"",IF(PlanterYesMe="",IF(AE128="me","   not ELP, by",IF(AE128="",IF(G128&gt;0,(VLOOKUP(A128,'Discount Lookup'!J:K,2)*G128*(1-PlanterDiscount)*(1+PlanterDifficultyPercentage)),""),"")),"   not ELP, by"))))))))))))))</f>
        <v/>
      </c>
      <c r="AD128" s="712"/>
      <c r="AE128" s="513" t="str">
        <f t="shared" si="61"/>
        <v/>
      </c>
      <c r="AF128" s="713" t="str">
        <f t="shared" si="62"/>
        <v/>
      </c>
      <c r="AG128" s="713"/>
      <c r="AH128" s="713"/>
      <c r="AI128" s="112">
        <f>IF(H128="credit",0,IF(AE128="free",0,IF(AE128="me",0,IF(G128&gt;0,(VLOOKUP(A128,'Discount Lookup'!J:K,2)*G128),0))))</f>
        <v>0</v>
      </c>
      <c r="AJ128" s="107" t="str">
        <f t="shared" ca="1" si="63"/>
        <v/>
      </c>
      <c r="AK128" s="714" t="str">
        <f t="shared" si="64"/>
        <v/>
      </c>
      <c r="AL128" s="714"/>
      <c r="AM128" s="114" t="str">
        <f t="shared" si="65"/>
        <v/>
      </c>
      <c r="AN128" s="115"/>
      <c r="AO128" s="116"/>
      <c r="AP128" s="116"/>
      <c r="AQ128" s="116"/>
      <c r="AR128" s="116"/>
      <c r="AS128" s="116"/>
      <c r="AT128" s="116"/>
      <c r="AU128" s="116"/>
      <c r="AV128" s="78"/>
      <c r="AW128" s="102"/>
      <c r="AX128" s="78"/>
      <c r="AY128" s="78"/>
      <c r="AZ128" s="78"/>
      <c r="BA128" s="78"/>
      <c r="BB128" s="78"/>
      <c r="BC128" s="78"/>
      <c r="BD128" s="78"/>
      <c r="BE128" s="465"/>
      <c r="BF128" s="165" t="str">
        <f t="shared" si="66"/>
        <v>https://www.google.com/search?tbm=isch&amp;q=Acer%20palmatum%20%27Fireglow%27%20Fireglow%20Japanese%20Maple</v>
      </c>
      <c r="BG128" s="165" t="str">
        <f t="shared" si="67"/>
        <v>A</v>
      </c>
      <c r="BH128" s="65"/>
      <c r="BI128" s="65"/>
      <c r="BJ128" s="65"/>
      <c r="BK128" s="65"/>
      <c r="BL128" s="99"/>
      <c r="BM128" s="99"/>
      <c r="BN128" s="99"/>
    </row>
    <row r="129" spans="1:66" s="51" customFormat="1" ht="15.75" x14ac:dyDescent="0.25">
      <c r="A129" s="634">
        <v>7</v>
      </c>
      <c r="B129" s="635" t="s">
        <v>291</v>
      </c>
      <c r="C129" s="636" t="s">
        <v>1200</v>
      </c>
      <c r="D129" s="637" t="s">
        <v>299</v>
      </c>
      <c r="E129" s="638">
        <v>210.95</v>
      </c>
      <c r="F129" s="639" t="s">
        <v>292</v>
      </c>
      <c r="G129" s="484">
        <v>0</v>
      </c>
      <c r="H129" s="691" t="str">
        <f>IF(G129=0,"",IF(F129="Buy",IF(G129=1,"plant","plants"),IF(F129&gt;0.01,"warranty","Error")))</f>
        <v/>
      </c>
      <c r="I129" s="640">
        <f>IF(H129="free",0,IF(H129="credit",((E129*(F129))*G129*-1),IF(F129="Buy",(E129*G129),((E129*(1-F129))*G129))))</f>
        <v>0</v>
      </c>
      <c r="J129" s="640">
        <f>IF(H129="warranty",0,(I129*(_xlfn.SINGLE(SalesTaxPercentage))))</f>
        <v>0</v>
      </c>
      <c r="K129" s="716">
        <f t="shared" ref="K129" si="112">I129+J129</f>
        <v>0</v>
      </c>
      <c r="L129" s="716"/>
      <c r="M129" s="689" t="str">
        <f ca="1">IF(AND(G129&gt;0,E129=0),"WARNING - no PRICE inserted",IF(H129="free","FREE ~ no charge this plant",IF(H129="credit",CONCATENATE("-$",ROUND(K129*(1-_xlfn.SINGLE(T2GDiscount))*-1,2)," CREDIT after discount"),IF(_xlfn.SINGLE(T2GDiscount)=0,"",IF(G129=0,"",IF(F129="Buy",CONCATENATE("$",ROUND(K129*(1-_xlfn.SINGLE(T2GDiscount)),2)," with ",(_xlfn.SINGLE(T2GDiscount)*100),"% discount"),CONCATENATE("$",ROUND(K129*(1-_xlfn.SINGLE(T2GDiscount)),2)," with ",((_xlfn.SINGLE(T2GDiscount)*100+F129*100)-(_xlfn.SINGLE(T2GDiscount)*100*F129)),IF(F129&gt;0,"% discounts",IF(_xlfn.SINGLE(NoWarrantyDiscount)&gt;0,"% discounts","% discount")))))))))</f>
        <v/>
      </c>
      <c r="N129" s="690"/>
      <c r="O129" s="486"/>
      <c r="P129" s="486"/>
      <c r="Q129" s="486"/>
      <c r="R129" s="486"/>
      <c r="S129" s="486"/>
      <c r="T129" s="102">
        <f t="shared" si="55"/>
        <v>0</v>
      </c>
      <c r="U129" s="78">
        <f>IF(NOT(ISNUMBER(G129)), "", VLOOKUP(A129,'Discount Lookup'!D:E,2,FALSE)*G129)</f>
        <v>0</v>
      </c>
      <c r="V129" s="78">
        <f>IF(NOT(ISNUMBER(G129)), "", VLOOKUP(A129,'Discount Lookup'!G:H,2,FALSE)*G129)</f>
        <v>0</v>
      </c>
      <c r="W129" s="102">
        <f t="shared" si="56"/>
        <v>0</v>
      </c>
      <c r="X129" s="102">
        <f t="shared" si="57"/>
        <v>0</v>
      </c>
      <c r="Y129" s="120" t="b">
        <f t="shared" si="58"/>
        <v>0</v>
      </c>
      <c r="Z129" s="117">
        <f t="shared" si="59"/>
        <v>0</v>
      </c>
      <c r="AA129" s="118"/>
      <c r="AB129" s="118" t="str">
        <f t="shared" si="60"/>
        <v/>
      </c>
      <c r="AC129" s="712" t="str">
        <f>IF(AE129="T2G","no charge",IF(AND(OR(PlanterYesMe="No",PlanterYesMe="N",PlanterYesMe="me"),H129=""),"",IF(H129="credit","NO install",IF(AND(K129="",AE129="me"),"EACH row",IF(AND(K129="images",AE129="me"),"EACH row",IF(D129="","",IF(H129="credit","",IF(AE129="free","re-planting",IF(AE129="me","   not ELP, by",IF(AND(OR(PlanterYesMe="Yes",PlanterYesMe="Y"),G129&gt;0),(VLOOKUP(A129,'Discount Lookup'!J:K,2)*G129*(1-PlanterDiscount)*(1+PlanterDifficultyPercentage)),IF(AE129="ELP",(VLOOKUP(A129,'Discount Lookup'!J:K,2)*G129*(1-PlanterDiscount)*(1+PlanterDifficultyPercentage)),IF(AE129="free","re-planting",IF(G129=0,"",IF(PlanterYesMe="",IF(AE129="me","   not ELP, by",IF(AE129="",IF(G129&gt;0,(VLOOKUP(A129,'Discount Lookup'!J:K,2)*G129*(1-PlanterDiscount)*(1+PlanterDifficultyPercentage)),""),"")),"   not ELP, by"))))))))))))))</f>
        <v/>
      </c>
      <c r="AD129" s="712"/>
      <c r="AE129" s="513" t="str">
        <f t="shared" si="61"/>
        <v/>
      </c>
      <c r="AF129" s="713" t="str">
        <f t="shared" si="62"/>
        <v/>
      </c>
      <c r="AG129" s="713"/>
      <c r="AH129" s="713"/>
      <c r="AI129" s="112">
        <f>IF(H129="credit",0,IF(AE129="free",0,IF(AE129="me",0,IF(G129&gt;0,(VLOOKUP(A129,'Discount Lookup'!J:K,2)*G129),0))))</f>
        <v>0</v>
      </c>
      <c r="AJ129" s="107" t="str">
        <f t="shared" ca="1" si="63"/>
        <v/>
      </c>
      <c r="AK129" s="714" t="str">
        <f t="shared" si="64"/>
        <v/>
      </c>
      <c r="AL129" s="714"/>
      <c r="AM129" s="114" t="str">
        <f t="shared" si="65"/>
        <v/>
      </c>
      <c r="AN129" s="115"/>
      <c r="AO129" s="116"/>
      <c r="AP129" s="116"/>
      <c r="AQ129" s="116"/>
      <c r="AR129" s="116"/>
      <c r="AS129" s="116"/>
      <c r="AT129" s="116"/>
      <c r="AU129" s="116"/>
      <c r="AV129" s="78"/>
      <c r="AW129" s="102"/>
      <c r="AX129" s="78"/>
      <c r="AY129" s="78"/>
      <c r="AZ129" s="78"/>
      <c r="BA129" s="78"/>
      <c r="BB129" s="78"/>
      <c r="BC129" s="78"/>
      <c r="BD129" s="78"/>
      <c r="BE129" s="465"/>
      <c r="BF129" s="165" t="str">
        <f t="shared" si="66"/>
        <v>https://www.google.com/search?tbm=isch&amp;q=7%20G4</v>
      </c>
      <c r="BG129" s="165" t="str">
        <f t="shared" si="67"/>
        <v>A</v>
      </c>
      <c r="BH129" s="65"/>
      <c r="BI129" s="65"/>
      <c r="BJ129" s="65"/>
      <c r="BK129" s="65"/>
      <c r="BL129" s="99"/>
      <c r="BM129" s="99"/>
      <c r="BN129" s="99"/>
    </row>
    <row r="130" spans="1:66" s="51" customFormat="1" ht="15.75" x14ac:dyDescent="0.25">
      <c r="A130" s="634">
        <v>10</v>
      </c>
      <c r="B130" s="635" t="s">
        <v>291</v>
      </c>
      <c r="C130" s="636" t="s">
        <v>1201</v>
      </c>
      <c r="D130" s="637" t="s">
        <v>299</v>
      </c>
      <c r="E130" s="638">
        <v>309.95</v>
      </c>
      <c r="F130" s="639" t="s">
        <v>292</v>
      </c>
      <c r="G130" s="484">
        <v>0</v>
      </c>
      <c r="H130" s="691" t="str">
        <f>IF(G130=0,"",IF(F130="Buy",IF(G130=1,"plant","plants"),IF(F130&gt;0.01,"warranty","Error")))</f>
        <v/>
      </c>
      <c r="I130" s="640">
        <f>IF(H130="free",0,IF(H130="credit",((E130*(F130))*G130*-1),IF(F130="Buy",(E130*G130),((E130*(1-F130))*G130))))</f>
        <v>0</v>
      </c>
      <c r="J130" s="640">
        <f>IF(H130="warranty",0,(I130*(_xlfn.SINGLE(SalesTaxPercentage))))</f>
        <v>0</v>
      </c>
      <c r="K130" s="716">
        <f t="shared" ref="K130" si="113">I130+J130</f>
        <v>0</v>
      </c>
      <c r="L130" s="716"/>
      <c r="M130" s="689" t="str">
        <f ca="1">IF(AND(G130&gt;0,E130=0),"WARNING - no PRICE inserted",IF(H130="free","FREE ~ no charge this plant",IF(H130="credit",CONCATENATE("-$",ROUND(K130*(1-_xlfn.SINGLE(T2GDiscount))*-1,2)," CREDIT after discount"),IF(_xlfn.SINGLE(T2GDiscount)=0,"",IF(G130=0,"",IF(F130="Buy",CONCATENATE("$",ROUND(K130*(1-_xlfn.SINGLE(T2GDiscount)),2)," with ",(_xlfn.SINGLE(T2GDiscount)*100),"% discount"),CONCATENATE("$",ROUND(K130*(1-_xlfn.SINGLE(T2GDiscount)),2)," with ",((_xlfn.SINGLE(T2GDiscount)*100+F130*100)-(_xlfn.SINGLE(T2GDiscount)*100*F130)),IF(F130&gt;0,"% discounts",IF(_xlfn.SINGLE(NoWarrantyDiscount)&gt;0,"% discounts","% discount")))))))))</f>
        <v/>
      </c>
      <c r="N130" s="690"/>
      <c r="O130" s="486"/>
      <c r="P130" s="486"/>
      <c r="Q130" s="486"/>
      <c r="R130" s="486"/>
      <c r="S130" s="486"/>
      <c r="T130" s="102">
        <f t="shared" si="55"/>
        <v>0</v>
      </c>
      <c r="U130" s="78">
        <f>IF(NOT(ISNUMBER(G130)), "", VLOOKUP(A130,'Discount Lookup'!D:E,2,FALSE)*G130)</f>
        <v>0</v>
      </c>
      <c r="V130" s="78">
        <f>IF(NOT(ISNUMBER(G130)), "", VLOOKUP(A130,'Discount Lookup'!G:H,2,FALSE)*G130)</f>
        <v>0</v>
      </c>
      <c r="W130" s="102">
        <f t="shared" si="56"/>
        <v>0</v>
      </c>
      <c r="X130" s="102">
        <f t="shared" si="57"/>
        <v>0</v>
      </c>
      <c r="Y130" s="120" t="b">
        <f t="shared" si="58"/>
        <v>0</v>
      </c>
      <c r="Z130" s="117">
        <f t="shared" si="59"/>
        <v>0</v>
      </c>
      <c r="AA130" s="118"/>
      <c r="AB130" s="118" t="str">
        <f t="shared" si="60"/>
        <v/>
      </c>
      <c r="AC130" s="712" t="str">
        <f>IF(AE130="T2G","no charge",IF(AND(OR(PlanterYesMe="No",PlanterYesMe="N",PlanterYesMe="me"),H130=""),"",IF(H130="credit","NO install",IF(AND(K130="",AE130="me"),"EACH row",IF(AND(K130="images",AE130="me"),"EACH row",IF(D130="","",IF(H130="credit","",IF(AE130="free","re-planting",IF(AE130="me","   not ELP, by",IF(AND(OR(PlanterYesMe="Yes",PlanterYesMe="Y"),G130&gt;0),(VLOOKUP(A130,'Discount Lookup'!J:K,2)*G130*(1-PlanterDiscount)*(1+PlanterDifficultyPercentage)),IF(AE130="ELP",(VLOOKUP(A130,'Discount Lookup'!J:K,2)*G130*(1-PlanterDiscount)*(1+PlanterDifficultyPercentage)),IF(AE130="free","re-planting",IF(G130=0,"",IF(PlanterYesMe="",IF(AE130="me","   not ELP, by",IF(AE130="",IF(G130&gt;0,(VLOOKUP(A130,'Discount Lookup'!J:K,2)*G130*(1-PlanterDiscount)*(1+PlanterDifficultyPercentage)),""),"")),"   not ELP, by"))))))))))))))</f>
        <v/>
      </c>
      <c r="AD130" s="712"/>
      <c r="AE130" s="513" t="str">
        <f t="shared" si="61"/>
        <v/>
      </c>
      <c r="AF130" s="713" t="str">
        <f t="shared" si="62"/>
        <v/>
      </c>
      <c r="AG130" s="713"/>
      <c r="AH130" s="713"/>
      <c r="AI130" s="112">
        <f>IF(H130="credit",0,IF(AE130="free",0,IF(AE130="me",0,IF(G130&gt;0,(VLOOKUP(A130,'Discount Lookup'!J:K,2)*G130),0))))</f>
        <v>0</v>
      </c>
      <c r="AJ130" s="107" t="str">
        <f t="shared" ca="1" si="63"/>
        <v/>
      </c>
      <c r="AK130" s="714" t="str">
        <f t="shared" si="64"/>
        <v/>
      </c>
      <c r="AL130" s="714"/>
      <c r="AM130" s="114" t="str">
        <f t="shared" si="65"/>
        <v/>
      </c>
      <c r="AN130" s="115"/>
      <c r="AO130" s="116"/>
      <c r="AP130" s="116"/>
      <c r="AQ130" s="116"/>
      <c r="AR130" s="116"/>
      <c r="AS130" s="116"/>
      <c r="AT130" s="116"/>
      <c r="AU130" s="116"/>
      <c r="AV130" s="78"/>
      <c r="AW130" s="102"/>
      <c r="AX130" s="78"/>
      <c r="AY130" s="78"/>
      <c r="AZ130" s="78"/>
      <c r="BA130" s="78"/>
      <c r="BB130" s="78"/>
      <c r="BC130" s="78"/>
      <c r="BD130" s="78"/>
      <c r="BE130" s="465"/>
      <c r="BF130" s="165" t="str">
        <f t="shared" si="66"/>
        <v>https://www.google.com/search?tbm=isch&amp;q=10%20G4</v>
      </c>
      <c r="BG130" s="165" t="str">
        <f t="shared" si="67"/>
        <v>A</v>
      </c>
      <c r="BH130" s="65"/>
      <c r="BI130" s="65"/>
      <c r="BJ130" s="65"/>
      <c r="BK130" s="65"/>
      <c r="BL130" s="99"/>
      <c r="BM130" s="99"/>
      <c r="BN130" s="99"/>
    </row>
    <row r="131" spans="1:66" s="51" customFormat="1" ht="15.75" x14ac:dyDescent="0.25">
      <c r="A131" s="634">
        <v>15</v>
      </c>
      <c r="B131" s="635" t="s">
        <v>291</v>
      </c>
      <c r="C131" s="636" t="s">
        <v>1202</v>
      </c>
      <c r="D131" s="637" t="s">
        <v>299</v>
      </c>
      <c r="E131" s="638">
        <v>390.95</v>
      </c>
      <c r="F131" s="639" t="s">
        <v>292</v>
      </c>
      <c r="G131" s="484">
        <v>0</v>
      </c>
      <c r="H131" s="691" t="str">
        <f>IF(G131=0,"",IF(F131="Buy",IF(G131=1,"plant","plants"),IF(F131&gt;0.01,"warranty","Error")))</f>
        <v/>
      </c>
      <c r="I131" s="640">
        <f>IF(H131="free",0,IF(H131="credit",((E131*(F131))*G131*-1),IF(F131="Buy",(E131*G131),((E131*(1-F131))*G131))))</f>
        <v>0</v>
      </c>
      <c r="J131" s="640">
        <f>IF(H131="warranty",0,(I131*(_xlfn.SINGLE(SalesTaxPercentage))))</f>
        <v>0</v>
      </c>
      <c r="K131" s="716">
        <f t="shared" ref="K131" si="114">I131+J131</f>
        <v>0</v>
      </c>
      <c r="L131" s="716"/>
      <c r="M131" s="689" t="str">
        <f ca="1">IF(AND(G131&gt;0,E131=0),"WARNING - no PRICE inserted",IF(H131="free","FREE ~ no charge this plant",IF(H131="credit",CONCATENATE("-$",ROUND(K131*(1-_xlfn.SINGLE(T2GDiscount))*-1,2)," CREDIT after discount"),IF(_xlfn.SINGLE(T2GDiscount)=0,"",IF(G131=0,"",IF(F131="Buy",CONCATENATE("$",ROUND(K131*(1-_xlfn.SINGLE(T2GDiscount)),2)," with ",(_xlfn.SINGLE(T2GDiscount)*100),"% discount"),CONCATENATE("$",ROUND(K131*(1-_xlfn.SINGLE(T2GDiscount)),2)," with ",((_xlfn.SINGLE(T2GDiscount)*100+F131*100)-(_xlfn.SINGLE(T2GDiscount)*100*F131)),IF(F131&gt;0,"% discounts",IF(_xlfn.SINGLE(NoWarrantyDiscount)&gt;0,"% discounts","% discount")))))))))</f>
        <v/>
      </c>
      <c r="N131" s="690"/>
      <c r="O131" s="486"/>
      <c r="P131" s="486"/>
      <c r="Q131" s="486"/>
      <c r="R131" s="486"/>
      <c r="S131" s="486"/>
      <c r="T131" s="102">
        <f t="shared" si="55"/>
        <v>0</v>
      </c>
      <c r="U131" s="78">
        <f>IF(NOT(ISNUMBER(G131)), "", VLOOKUP(A131,'Discount Lookup'!D:E,2,FALSE)*G131)</f>
        <v>0</v>
      </c>
      <c r="V131" s="78">
        <f>IF(NOT(ISNUMBER(G131)), "", VLOOKUP(A131,'Discount Lookup'!G:H,2,FALSE)*G131)</f>
        <v>0</v>
      </c>
      <c r="W131" s="102">
        <f t="shared" si="56"/>
        <v>0</v>
      </c>
      <c r="X131" s="102">
        <f t="shared" si="57"/>
        <v>0</v>
      </c>
      <c r="Y131" s="120" t="b">
        <f t="shared" si="58"/>
        <v>0</v>
      </c>
      <c r="Z131" s="117">
        <f t="shared" si="59"/>
        <v>0</v>
      </c>
      <c r="AA131" s="118"/>
      <c r="AB131" s="118" t="str">
        <f t="shared" si="60"/>
        <v/>
      </c>
      <c r="AC131" s="712" t="str">
        <f>IF(AE131="T2G","no charge",IF(AND(OR(PlanterYesMe="No",PlanterYesMe="N",PlanterYesMe="me"),H131=""),"",IF(H131="credit","NO install",IF(AND(K131="",AE131="me"),"EACH row",IF(AND(K131="images",AE131="me"),"EACH row",IF(D131="","",IF(H131="credit","",IF(AE131="free","re-planting",IF(AE131="me","   not ELP, by",IF(AND(OR(PlanterYesMe="Yes",PlanterYesMe="Y"),G131&gt;0),(VLOOKUP(A131,'Discount Lookup'!J:K,2)*G131*(1-PlanterDiscount)*(1+PlanterDifficultyPercentage)),IF(AE131="ELP",(VLOOKUP(A131,'Discount Lookup'!J:K,2)*G131*(1-PlanterDiscount)*(1+PlanterDifficultyPercentage)),IF(AE131="free","re-planting",IF(G131=0,"",IF(PlanterYesMe="",IF(AE131="me","   not ELP, by",IF(AE131="",IF(G131&gt;0,(VLOOKUP(A131,'Discount Lookup'!J:K,2)*G131*(1-PlanterDiscount)*(1+PlanterDifficultyPercentage)),""),"")),"   not ELP, by"))))))))))))))</f>
        <v/>
      </c>
      <c r="AD131" s="712"/>
      <c r="AE131" s="513" t="str">
        <f t="shared" si="61"/>
        <v/>
      </c>
      <c r="AF131" s="713" t="str">
        <f t="shared" si="62"/>
        <v/>
      </c>
      <c r="AG131" s="713"/>
      <c r="AH131" s="713"/>
      <c r="AI131" s="112">
        <f>IF(H131="credit",0,IF(AE131="free",0,IF(AE131="me",0,IF(G131&gt;0,(VLOOKUP(A131,'Discount Lookup'!J:K,2)*G131),0))))</f>
        <v>0</v>
      </c>
      <c r="AJ131" s="107" t="str">
        <f t="shared" ca="1" si="63"/>
        <v/>
      </c>
      <c r="AK131" s="714" t="str">
        <f t="shared" si="64"/>
        <v/>
      </c>
      <c r="AL131" s="714"/>
      <c r="AM131" s="114" t="str">
        <f t="shared" si="65"/>
        <v/>
      </c>
      <c r="AN131" s="115"/>
      <c r="AO131" s="116"/>
      <c r="AP131" s="116"/>
      <c r="AQ131" s="116"/>
      <c r="AR131" s="116"/>
      <c r="AS131" s="116"/>
      <c r="AT131" s="116"/>
      <c r="AU131" s="116"/>
      <c r="AV131" s="78"/>
      <c r="AW131" s="102"/>
      <c r="AX131" s="78"/>
      <c r="AY131" s="78"/>
      <c r="AZ131" s="78"/>
      <c r="BA131" s="78"/>
      <c r="BB131" s="78"/>
      <c r="BC131" s="78"/>
      <c r="BD131" s="78"/>
      <c r="BE131" s="465"/>
      <c r="BF131" s="165" t="str">
        <f t="shared" si="66"/>
        <v>https://www.google.com/search?tbm=isch&amp;q=15%20G4</v>
      </c>
      <c r="BG131" s="165" t="str">
        <f t="shared" si="67"/>
        <v>A</v>
      </c>
      <c r="BH131" s="65"/>
      <c r="BI131" s="65"/>
      <c r="BJ131" s="65"/>
      <c r="BK131" s="65"/>
      <c r="BL131" s="99"/>
      <c r="BM131" s="99"/>
      <c r="BN131" s="99"/>
    </row>
    <row r="132" spans="1:66" s="51" customFormat="1" ht="15.75" x14ac:dyDescent="0.25">
      <c r="A132" s="634">
        <v>25</v>
      </c>
      <c r="B132" s="635" t="s">
        <v>291</v>
      </c>
      <c r="C132" s="636" t="s">
        <v>1203</v>
      </c>
      <c r="D132" s="637" t="s">
        <v>299</v>
      </c>
      <c r="E132" s="638">
        <v>812.95</v>
      </c>
      <c r="F132" s="639" t="s">
        <v>292</v>
      </c>
      <c r="G132" s="484">
        <v>0</v>
      </c>
      <c r="H132" s="691" t="str">
        <f>IF(G132=0,"",IF(F132="Buy",IF(G132=1,"plant","plants"),IF(F132&gt;0.01,"warranty","Error")))</f>
        <v/>
      </c>
      <c r="I132" s="640">
        <f>IF(H132="free",0,IF(H132="credit",((E132*(F132))*G132*-1),IF(F132="Buy",(E132*G132),((E132*(1-F132))*G132))))</f>
        <v>0</v>
      </c>
      <c r="J132" s="640">
        <f>IF(H132="warranty",0,(I132*(_xlfn.SINGLE(SalesTaxPercentage))))</f>
        <v>0</v>
      </c>
      <c r="K132" s="716">
        <f t="shared" ref="K132" si="115">I132+J132</f>
        <v>0</v>
      </c>
      <c r="L132" s="716"/>
      <c r="M132" s="689" t="str">
        <f ca="1">IF(AND(G132&gt;0,E132=0),"WARNING - no PRICE inserted",IF(H132="free","FREE ~ no charge this plant",IF(H132="credit",CONCATENATE("-$",ROUND(K132*(1-_xlfn.SINGLE(T2GDiscount))*-1,2)," CREDIT after discount"),IF(_xlfn.SINGLE(T2GDiscount)=0,"",IF(G132=0,"",IF(F132="Buy",CONCATENATE("$",ROUND(K132*(1-_xlfn.SINGLE(T2GDiscount)),2)," with ",(_xlfn.SINGLE(T2GDiscount)*100),"% discount"),CONCATENATE("$",ROUND(K132*(1-_xlfn.SINGLE(T2GDiscount)),2)," with ",((_xlfn.SINGLE(T2GDiscount)*100+F132*100)-(_xlfn.SINGLE(T2GDiscount)*100*F132)),IF(F132&gt;0,"% discounts",IF(_xlfn.SINGLE(NoWarrantyDiscount)&gt;0,"% discounts","% discount")))))))))</f>
        <v/>
      </c>
      <c r="N132" s="690"/>
      <c r="O132" s="486"/>
      <c r="P132" s="486"/>
      <c r="Q132" s="486"/>
      <c r="R132" s="486"/>
      <c r="S132" s="486"/>
      <c r="T132" s="102">
        <f t="shared" si="55"/>
        <v>0</v>
      </c>
      <c r="U132" s="78">
        <f>IF(NOT(ISNUMBER(G132)), "", VLOOKUP(A132,'Discount Lookup'!D:E,2,FALSE)*G132)</f>
        <v>0</v>
      </c>
      <c r="V132" s="78">
        <f>IF(NOT(ISNUMBER(G132)), "", VLOOKUP(A132,'Discount Lookup'!G:H,2,FALSE)*G132)</f>
        <v>0</v>
      </c>
      <c r="W132" s="102">
        <f t="shared" si="56"/>
        <v>0</v>
      </c>
      <c r="X132" s="102">
        <f t="shared" si="57"/>
        <v>0</v>
      </c>
      <c r="Y132" s="120" t="b">
        <f t="shared" si="58"/>
        <v>0</v>
      </c>
      <c r="Z132" s="117">
        <f t="shared" si="59"/>
        <v>0</v>
      </c>
      <c r="AA132" s="118"/>
      <c r="AB132" s="118" t="str">
        <f t="shared" si="60"/>
        <v/>
      </c>
      <c r="AC132" s="712" t="str">
        <f>IF(AE132="T2G","no charge",IF(AND(OR(PlanterYesMe="No",PlanterYesMe="N",PlanterYesMe="me"),H132=""),"",IF(H132="credit","NO install",IF(AND(K132="",AE132="me"),"EACH row",IF(AND(K132="images",AE132="me"),"EACH row",IF(D132="","",IF(H132="credit","",IF(AE132="free","re-planting",IF(AE132="me","   not ELP, by",IF(AND(OR(PlanterYesMe="Yes",PlanterYesMe="Y"),G132&gt;0),(VLOOKUP(A132,'Discount Lookup'!J:K,2)*G132*(1-PlanterDiscount)*(1+PlanterDifficultyPercentage)),IF(AE132="ELP",(VLOOKUP(A132,'Discount Lookup'!J:K,2)*G132*(1-PlanterDiscount)*(1+PlanterDifficultyPercentage)),IF(AE132="free","re-planting",IF(G132=0,"",IF(PlanterYesMe="",IF(AE132="me","   not ELP, by",IF(AE132="",IF(G132&gt;0,(VLOOKUP(A132,'Discount Lookup'!J:K,2)*G132*(1-PlanterDiscount)*(1+PlanterDifficultyPercentage)),""),"")),"   not ELP, by"))))))))))))))</f>
        <v/>
      </c>
      <c r="AD132" s="712"/>
      <c r="AE132" s="513" t="str">
        <f t="shared" si="61"/>
        <v/>
      </c>
      <c r="AF132" s="713" t="str">
        <f t="shared" si="62"/>
        <v/>
      </c>
      <c r="AG132" s="713"/>
      <c r="AH132" s="713"/>
      <c r="AI132" s="112">
        <f>IF(H132="credit",0,IF(AE132="free",0,IF(AE132="me",0,IF(G132&gt;0,(VLOOKUP(A132,'Discount Lookup'!J:K,2)*G132),0))))</f>
        <v>0</v>
      </c>
      <c r="AJ132" s="107" t="str">
        <f t="shared" ca="1" si="63"/>
        <v/>
      </c>
      <c r="AK132" s="714" t="str">
        <f t="shared" si="64"/>
        <v/>
      </c>
      <c r="AL132" s="714"/>
      <c r="AM132" s="114" t="str">
        <f t="shared" si="65"/>
        <v/>
      </c>
      <c r="AN132" s="115"/>
      <c r="AO132" s="116"/>
      <c r="AP132" s="116"/>
      <c r="AQ132" s="116"/>
      <c r="AR132" s="116"/>
      <c r="AS132" s="116"/>
      <c r="AT132" s="116"/>
      <c r="AU132" s="116"/>
      <c r="AV132" s="78"/>
      <c r="AW132" s="102"/>
      <c r="AX132" s="78"/>
      <c r="AY132" s="78"/>
      <c r="AZ132" s="78"/>
      <c r="BA132" s="78"/>
      <c r="BB132" s="78"/>
      <c r="BC132" s="78"/>
      <c r="BD132" s="78"/>
      <c r="BE132" s="465"/>
      <c r="BF132" s="165" t="str">
        <f t="shared" si="66"/>
        <v>https://www.google.com/search?tbm=isch&amp;q=25%20G4</v>
      </c>
      <c r="BG132" s="165" t="str">
        <f t="shared" si="67"/>
        <v>A</v>
      </c>
      <c r="BH132" s="65"/>
      <c r="BI132" s="65"/>
      <c r="BJ132" s="65"/>
      <c r="BK132" s="65"/>
      <c r="BL132" s="99"/>
      <c r="BM132" s="99"/>
      <c r="BN132" s="99"/>
    </row>
    <row r="133" spans="1:66" s="51" customFormat="1" ht="17.25" thickBot="1" x14ac:dyDescent="0.3">
      <c r="A133" s="641" t="s">
        <v>1204</v>
      </c>
      <c r="B133" s="642"/>
      <c r="C133" s="710"/>
      <c r="D133" s="643"/>
      <c r="E133" s="643"/>
      <c r="F133" s="644"/>
      <c r="G133" s="645"/>
      <c r="H133" s="646"/>
      <c r="I133" s="647"/>
      <c r="J133" s="648"/>
      <c r="K133" s="649"/>
      <c r="L133" s="650"/>
      <c r="M133" s="650"/>
      <c r="N133" s="644"/>
      <c r="O133" s="644"/>
      <c r="P133" s="644"/>
      <c r="Q133" s="644"/>
      <c r="R133" s="644"/>
      <c r="S133" s="651"/>
      <c r="T133" s="102">
        <f t="shared" si="55"/>
        <v>0</v>
      </c>
      <c r="U133" s="78" t="str">
        <f>IF(NOT(ISNUMBER(G133)), "", VLOOKUP(A133,'Discount Lookup'!D:E,2,FALSE)*G133)</f>
        <v/>
      </c>
      <c r="V133" s="78" t="str">
        <f>IF(NOT(ISNUMBER(G133)), "", VLOOKUP(A133,'Discount Lookup'!G:H,2,FALSE)*G133)</f>
        <v/>
      </c>
      <c r="W133" s="102">
        <f t="shared" si="56"/>
        <v>0</v>
      </c>
      <c r="X133" s="102">
        <f t="shared" si="57"/>
        <v>0</v>
      </c>
      <c r="Y133" s="120" t="b">
        <f t="shared" si="58"/>
        <v>0</v>
      </c>
      <c r="Z133" s="117">
        <f t="shared" si="59"/>
        <v>0</v>
      </c>
      <c r="AA133" s="118"/>
      <c r="AB133" s="118" t="str">
        <f t="shared" si="60"/>
        <v/>
      </c>
      <c r="AC133" s="712" t="str">
        <f>IF(AE133="T2G","no charge",IF(AND(OR(PlanterYesMe="No",PlanterYesMe="N",PlanterYesMe="me"),H133=""),"",IF(H133="credit","NO install",IF(AND(K133="",AE133="me"),"EACH row",IF(AND(K133="images",AE133="me"),"EACH row",IF(D133="","",IF(H133="credit","",IF(AE133="free","re-planting",IF(AE133="me","   not ELP, by",IF(AND(OR(PlanterYesMe="Yes",PlanterYesMe="Y"),G133&gt;0),(VLOOKUP(A133,'Discount Lookup'!J:K,2)*G133*(1-PlanterDiscount)*(1+PlanterDifficultyPercentage)),IF(AE133="ELP",(VLOOKUP(A133,'Discount Lookup'!J:K,2)*G133*(1-PlanterDiscount)*(1+PlanterDifficultyPercentage)),IF(AE133="free","re-planting",IF(G133=0,"",IF(PlanterYesMe="",IF(AE133="me","   not ELP, by",IF(AE133="",IF(G133&gt;0,(VLOOKUP(A133,'Discount Lookup'!J:K,2)*G133*(1-PlanterDiscount)*(1+PlanterDifficultyPercentage)),""),"")),"   not ELP, by"))))))))))))))</f>
        <v/>
      </c>
      <c r="AD133" s="712"/>
      <c r="AE133" s="513" t="str">
        <f t="shared" si="61"/>
        <v/>
      </c>
      <c r="AF133" s="713" t="str">
        <f t="shared" si="62"/>
        <v/>
      </c>
      <c r="AG133" s="713"/>
      <c r="AH133" s="713"/>
      <c r="AI133" s="112">
        <f>IF(H133="credit",0,IF(AE133="free",0,IF(AE133="me",0,IF(G133&gt;0,(VLOOKUP(A133,'Discount Lookup'!J:K,2)*G133),0))))</f>
        <v>0</v>
      </c>
      <c r="AJ133" s="107" t="str">
        <f t="shared" ca="1" si="63"/>
        <v/>
      </c>
      <c r="AK133" s="714" t="str">
        <f t="shared" si="64"/>
        <v/>
      </c>
      <c r="AL133" s="714"/>
      <c r="AM133" s="114" t="str">
        <f t="shared" si="65"/>
        <v/>
      </c>
      <c r="AN133" s="115"/>
      <c r="AO133" s="116"/>
      <c r="AP133" s="116"/>
      <c r="AQ133" s="116"/>
      <c r="AR133" s="116"/>
      <c r="AS133" s="116"/>
      <c r="AT133" s="116"/>
      <c r="AU133" s="116"/>
      <c r="AV133" s="78"/>
      <c r="AW133" s="102"/>
      <c r="AX133" s="78"/>
      <c r="AY133" s="78"/>
      <c r="AZ133" s="78"/>
      <c r="BA133" s="78"/>
      <c r="BB133" s="78"/>
      <c r="BC133" s="78"/>
      <c r="BD133" s="78"/>
      <c r="BE133" s="465"/>
      <c r="BF133" s="165" t="str">
        <f t="shared" si="66"/>
        <v>https://www.google.com/search?tbm=isch&amp;q=Fireglow%20foliage%20startss%20Burgundy%2C%20then%20Purple%7EScarlet%7ECrimson%20in%20fall.%20Named%20for%20glow%20seen%20looking%20up%20from%20below%20</v>
      </c>
      <c r="BG133" s="165" t="str">
        <f t="shared" si="67"/>
        <v>F</v>
      </c>
      <c r="BH133" s="65"/>
      <c r="BI133" s="65"/>
      <c r="BJ133" s="65"/>
      <c r="BK133" s="65"/>
      <c r="BL133" s="99"/>
      <c r="BM133" s="99"/>
      <c r="BN133" s="99"/>
    </row>
    <row r="134" spans="1:66" s="51" customFormat="1" ht="18" x14ac:dyDescent="0.25">
      <c r="A134" s="623" t="s">
        <v>1205</v>
      </c>
      <c r="B134" s="624"/>
      <c r="C134" s="709"/>
      <c r="D134" s="625" t="s">
        <v>1206</v>
      </c>
      <c r="E134" s="626"/>
      <c r="F134" s="626"/>
      <c r="G134" s="626"/>
      <c r="H134" s="622" t="s">
        <v>1207</v>
      </c>
      <c r="I134" s="627" t="s">
        <v>1208</v>
      </c>
      <c r="J134" s="628"/>
      <c r="K134" s="628"/>
      <c r="L134" s="629"/>
      <c r="M134" s="702" t="s">
        <v>5252</v>
      </c>
      <c r="N134" s="693" t="str">
        <f>IF(AND(ISTEXT($A134), ISERROR($A134+0)), HYPERLINK($BF134, "Images"), "")</f>
        <v>Images</v>
      </c>
      <c r="O134" s="695" t="s">
        <v>5247</v>
      </c>
      <c r="P134" s="630"/>
      <c r="Q134" s="631"/>
      <c r="R134" s="632"/>
      <c r="S134" s="633"/>
      <c r="T134" s="102">
        <f t="shared" si="55"/>
        <v>0</v>
      </c>
      <c r="U134" s="78" t="str">
        <f>IF(NOT(ISNUMBER(G134)), "", VLOOKUP(A134,'Discount Lookup'!D:E,2,FALSE)*G134)</f>
        <v/>
      </c>
      <c r="V134" s="78" t="str">
        <f>IF(NOT(ISNUMBER(G134)), "", VLOOKUP(A134,'Discount Lookup'!G:H,2,FALSE)*G134)</f>
        <v/>
      </c>
      <c r="W134" s="102">
        <f t="shared" si="56"/>
        <v>0</v>
      </c>
      <c r="X134" s="102" t="str">
        <f t="shared" si="57"/>
        <v>Green foliage, Red margins</v>
      </c>
      <c r="Y134" s="120" t="b">
        <f t="shared" si="58"/>
        <v>0</v>
      </c>
      <c r="Z134" s="117">
        <f t="shared" si="59"/>
        <v>0</v>
      </c>
      <c r="AA134" s="118"/>
      <c r="AB134" s="118" t="str">
        <f t="shared" si="60"/>
        <v/>
      </c>
      <c r="AC134" s="712" t="str">
        <f>IF(AE134="T2G","no charge",IF(AND(OR(PlanterYesMe="No",PlanterYesMe="N",PlanterYesMe="me"),H134=""),"",IF(H134="credit","NO install",IF(AND(K134="",AE134="me"),"EACH row",IF(AND(K134="images",AE134="me"),"EACH row",IF(D134="","",IF(H134="credit","",IF(AE134="free","re-planting",IF(AE134="me","   not ELP, by",IF(AND(OR(PlanterYesMe="Yes",PlanterYesMe="Y"),G134&gt;0),(VLOOKUP(A134,'Discount Lookup'!J:K,2)*G134*(1-PlanterDiscount)*(1+PlanterDifficultyPercentage)),IF(AE134="ELP",(VLOOKUP(A134,'Discount Lookup'!J:K,2)*G134*(1-PlanterDiscount)*(1+PlanterDifficultyPercentage)),IF(AE134="free","re-planting",IF(G134=0,"",IF(PlanterYesMe="",IF(AE134="me","   not ELP, by",IF(AE134="",IF(G134&gt;0,(VLOOKUP(A134,'Discount Lookup'!J:K,2)*G134*(1-PlanterDiscount)*(1+PlanterDifficultyPercentage)),""),"")),"   not ELP, by"))))))))))))))</f>
        <v/>
      </c>
      <c r="AD134" s="712"/>
      <c r="AE134" s="513" t="str">
        <f t="shared" si="61"/>
        <v/>
      </c>
      <c r="AF134" s="713" t="str">
        <f t="shared" si="62"/>
        <v/>
      </c>
      <c r="AG134" s="713"/>
      <c r="AH134" s="713"/>
      <c r="AI134" s="112">
        <f>IF(H134="credit",0,IF(AE134="free",0,IF(AE134="me",0,IF(G134&gt;0,(VLOOKUP(A134,'Discount Lookup'!J:K,2)*G134),0))))</f>
        <v>0</v>
      </c>
      <c r="AJ134" s="107" t="str">
        <f t="shared" ca="1" si="63"/>
        <v/>
      </c>
      <c r="AK134" s="714" t="str">
        <f t="shared" si="64"/>
        <v/>
      </c>
      <c r="AL134" s="714"/>
      <c r="AM134" s="114" t="str">
        <f t="shared" si="65"/>
        <v/>
      </c>
      <c r="AN134" s="115"/>
      <c r="AO134" s="116"/>
      <c r="AP134" s="116"/>
      <c r="AQ134" s="116"/>
      <c r="AR134" s="116"/>
      <c r="AS134" s="116"/>
      <c r="AT134" s="116"/>
      <c r="AU134" s="116"/>
      <c r="AV134" s="78"/>
      <c r="AW134" s="102"/>
      <c r="AX134" s="78"/>
      <c r="AY134" s="78"/>
      <c r="AZ134" s="78"/>
      <c r="BA134" s="78"/>
      <c r="BB134" s="78"/>
      <c r="BC134" s="78"/>
      <c r="BD134" s="78"/>
      <c r="BE134" s="465"/>
      <c r="BF134" s="165" t="str">
        <f t="shared" si="66"/>
        <v>https://www.google.com/search?tbm=isch&amp;q=Acer%20palmatum%20%27Kashima%27%20Kashima%20Japanese%20Maple</v>
      </c>
      <c r="BG134" s="165" t="str">
        <f t="shared" si="67"/>
        <v>A</v>
      </c>
      <c r="BH134" s="65"/>
      <c r="BI134" s="65"/>
      <c r="BJ134" s="65"/>
      <c r="BK134" s="65"/>
      <c r="BL134" s="99"/>
      <c r="BM134" s="99"/>
      <c r="BN134" s="99"/>
    </row>
    <row r="135" spans="1:66" s="51" customFormat="1" ht="40.5" x14ac:dyDescent="0.25">
      <c r="A135" s="634">
        <v>10</v>
      </c>
      <c r="B135" s="635" t="s">
        <v>291</v>
      </c>
      <c r="C135" s="636" t="s">
        <v>1209</v>
      </c>
      <c r="D135" s="637" t="s">
        <v>299</v>
      </c>
      <c r="E135" s="638">
        <v>284.95</v>
      </c>
      <c r="F135" s="639" t="s">
        <v>292</v>
      </c>
      <c r="G135" s="484">
        <v>0</v>
      </c>
      <c r="H135" s="691" t="str">
        <f>IF(G135=0,"",IF(F135="Buy",IF(G135=1,"plant","plants"),IF(F135&gt;0.01,"warranty","Error")))</f>
        <v/>
      </c>
      <c r="I135" s="640">
        <f>IF(H135="free",0,IF(H135="credit",((E135*(F135))*G135*-1),IF(F135="Buy",(E135*G135),((E135*(1-F135))*G135))))</f>
        <v>0</v>
      </c>
      <c r="J135" s="640">
        <f>IF(H135="warranty",0,(I135*(_xlfn.SINGLE(SalesTaxPercentage))))</f>
        <v>0</v>
      </c>
      <c r="K135" s="716">
        <f t="shared" ref="K135" si="116">I135+J135</f>
        <v>0</v>
      </c>
      <c r="L135" s="716"/>
      <c r="M135" s="689" t="str">
        <f ca="1">IF(AND(G135&gt;0,E135=0),"WARNING - no PRICE inserted",IF(H135="free","FREE ~ no charge this plant",IF(H135="credit",CONCATENATE("-$",ROUND(K135*(1-_xlfn.SINGLE(T2GDiscount))*-1,2)," CREDIT after discount"),IF(_xlfn.SINGLE(T2GDiscount)=0,"",IF(G135=0,"",IF(F135="Buy",CONCATENATE("$",ROUND(K135*(1-_xlfn.SINGLE(T2GDiscount)),2)," with ",(_xlfn.SINGLE(T2GDiscount)*100),"% discount"),CONCATENATE("$",ROUND(K135*(1-_xlfn.SINGLE(T2GDiscount)),2)," with ",((_xlfn.SINGLE(T2GDiscount)*100+F135*100)-(_xlfn.SINGLE(T2GDiscount)*100*F135)),IF(F135&gt;0,"% discounts",IF(_xlfn.SINGLE(NoWarrantyDiscount)&gt;0,"% discounts","% discount")))))))))</f>
        <v/>
      </c>
      <c r="N135" s="690"/>
      <c r="O135" s="486"/>
      <c r="P135" s="486"/>
      <c r="Q135" s="486"/>
      <c r="R135" s="486"/>
      <c r="S135" s="486"/>
      <c r="T135" s="102">
        <f t="shared" si="55"/>
        <v>0</v>
      </c>
      <c r="U135" s="78">
        <f>IF(NOT(ISNUMBER(G135)), "", VLOOKUP(A135,'Discount Lookup'!D:E,2,FALSE)*G135)</f>
        <v>0</v>
      </c>
      <c r="V135" s="78">
        <f>IF(NOT(ISNUMBER(G135)), "", VLOOKUP(A135,'Discount Lookup'!G:H,2,FALSE)*G135)</f>
        <v>0</v>
      </c>
      <c r="W135" s="102">
        <f t="shared" si="56"/>
        <v>0</v>
      </c>
      <c r="X135" s="102">
        <f t="shared" si="57"/>
        <v>0</v>
      </c>
      <c r="Y135" s="120" t="b">
        <f t="shared" si="58"/>
        <v>0</v>
      </c>
      <c r="Z135" s="117">
        <f t="shared" si="59"/>
        <v>0</v>
      </c>
      <c r="AA135" s="118"/>
      <c r="AB135" s="118" t="str">
        <f t="shared" si="60"/>
        <v/>
      </c>
      <c r="AC135" s="712" t="str">
        <f>IF(AE135="T2G","no charge",IF(AND(OR(PlanterYesMe="No",PlanterYesMe="N",PlanterYesMe="me"),H135=""),"",IF(H135="credit","NO install",IF(AND(K135="",AE135="me"),"EACH row",IF(AND(K135="images",AE135="me"),"EACH row",IF(D135="","",IF(H135="credit","",IF(AE135="free","re-planting",IF(AE135="me","   not ELP, by",IF(AND(OR(PlanterYesMe="Yes",PlanterYesMe="Y"),G135&gt;0),(VLOOKUP(A135,'Discount Lookup'!J:K,2)*G135*(1-PlanterDiscount)*(1+PlanterDifficultyPercentage)),IF(AE135="ELP",(VLOOKUP(A135,'Discount Lookup'!J:K,2)*G135*(1-PlanterDiscount)*(1+PlanterDifficultyPercentage)),IF(AE135="free","re-planting",IF(G135=0,"",IF(PlanterYesMe="",IF(AE135="me","   not ELP, by",IF(AE135="",IF(G135&gt;0,(VLOOKUP(A135,'Discount Lookup'!J:K,2)*G135*(1-PlanterDiscount)*(1+PlanterDifficultyPercentage)),""),"")),"   not ELP, by"))))))))))))))</f>
        <v/>
      </c>
      <c r="AD135" s="712"/>
      <c r="AE135" s="513" t="str">
        <f t="shared" si="61"/>
        <v/>
      </c>
      <c r="AF135" s="713" t="str">
        <f t="shared" si="62"/>
        <v/>
      </c>
      <c r="AG135" s="713"/>
      <c r="AH135" s="713"/>
      <c r="AI135" s="112">
        <f>IF(H135="credit",0,IF(AE135="free",0,IF(AE135="me",0,IF(G135&gt;0,(VLOOKUP(A135,'Discount Lookup'!J:K,2)*G135),0))))</f>
        <v>0</v>
      </c>
      <c r="AJ135" s="107" t="str">
        <f t="shared" ca="1" si="63"/>
        <v/>
      </c>
      <c r="AK135" s="714" t="str">
        <f t="shared" si="64"/>
        <v/>
      </c>
      <c r="AL135" s="714"/>
      <c r="AM135" s="114" t="str">
        <f t="shared" si="65"/>
        <v/>
      </c>
      <c r="AN135" s="115"/>
      <c r="AO135" s="116"/>
      <c r="AP135" s="116"/>
      <c r="AQ135" s="116"/>
      <c r="AR135" s="116"/>
      <c r="AS135" s="116"/>
      <c r="AT135" s="116"/>
      <c r="AU135" s="116"/>
      <c r="AV135" s="78"/>
      <c r="AW135" s="102"/>
      <c r="AX135" s="78"/>
      <c r="AY135" s="78"/>
      <c r="AZ135" s="78"/>
      <c r="BA135" s="78"/>
      <c r="BB135" s="78"/>
      <c r="BC135" s="78"/>
      <c r="BD135" s="78"/>
      <c r="BE135" s="465"/>
      <c r="BF135" s="165" t="str">
        <f t="shared" si="66"/>
        <v>https://www.google.com/search?tbm=isch&amp;q=10%20G4</v>
      </c>
      <c r="BG135" s="165" t="str">
        <f t="shared" si="67"/>
        <v>A</v>
      </c>
      <c r="BH135" s="65"/>
      <c r="BI135" s="65"/>
      <c r="BJ135" s="65"/>
      <c r="BK135" s="65"/>
      <c r="BL135" s="99"/>
      <c r="BM135" s="99"/>
      <c r="BN135" s="99"/>
    </row>
    <row r="136" spans="1:66" s="51" customFormat="1" ht="17.25" thickBot="1" x14ac:dyDescent="0.3">
      <c r="A136" s="641" t="s">
        <v>1210</v>
      </c>
      <c r="B136" s="642"/>
      <c r="C136" s="710"/>
      <c r="D136" s="643"/>
      <c r="E136" s="643"/>
      <c r="F136" s="644"/>
      <c r="G136" s="645"/>
      <c r="H136" s="646"/>
      <c r="I136" s="647"/>
      <c r="J136" s="648"/>
      <c r="K136" s="649"/>
      <c r="L136" s="650"/>
      <c r="M136" s="650"/>
      <c r="N136" s="644"/>
      <c r="O136" s="644"/>
      <c r="P136" s="644"/>
      <c r="Q136" s="644"/>
      <c r="R136" s="644"/>
      <c r="S136" s="651"/>
      <c r="T136" s="102">
        <f t="shared" si="55"/>
        <v>0</v>
      </c>
      <c r="U136" s="78" t="str">
        <f>IF(NOT(ISNUMBER(G136)), "", VLOOKUP(A136,'Discount Lookup'!D:E,2,FALSE)*G136)</f>
        <v/>
      </c>
      <c r="V136" s="78" t="str">
        <f>IF(NOT(ISNUMBER(G136)), "", VLOOKUP(A136,'Discount Lookup'!G:H,2,FALSE)*G136)</f>
        <v/>
      </c>
      <c r="W136" s="102">
        <f t="shared" si="56"/>
        <v>0</v>
      </c>
      <c r="X136" s="102">
        <f t="shared" si="57"/>
        <v>0</v>
      </c>
      <c r="Y136" s="120" t="b">
        <f t="shared" si="58"/>
        <v>0</v>
      </c>
      <c r="Z136" s="117">
        <f t="shared" si="59"/>
        <v>0</v>
      </c>
      <c r="AA136" s="118"/>
      <c r="AB136" s="118" t="str">
        <f t="shared" si="60"/>
        <v/>
      </c>
      <c r="AC136" s="712" t="str">
        <f>IF(AE136="T2G","no charge",IF(AND(OR(PlanterYesMe="No",PlanterYesMe="N",PlanterYesMe="me"),H136=""),"",IF(H136="credit","NO install",IF(AND(K136="",AE136="me"),"EACH row",IF(AND(K136="images",AE136="me"),"EACH row",IF(D136="","",IF(H136="credit","",IF(AE136="free","re-planting",IF(AE136="me","   not ELP, by",IF(AND(OR(PlanterYesMe="Yes",PlanterYesMe="Y"),G136&gt;0),(VLOOKUP(A136,'Discount Lookup'!J:K,2)*G136*(1-PlanterDiscount)*(1+PlanterDifficultyPercentage)),IF(AE136="ELP",(VLOOKUP(A136,'Discount Lookup'!J:K,2)*G136*(1-PlanterDiscount)*(1+PlanterDifficultyPercentage)),IF(AE136="free","re-planting",IF(G136=0,"",IF(PlanterYesMe="",IF(AE136="me","   not ELP, by",IF(AE136="",IF(G136&gt;0,(VLOOKUP(A136,'Discount Lookup'!J:K,2)*G136*(1-PlanterDiscount)*(1+PlanterDifficultyPercentage)),""),"")),"   not ELP, by"))))))))))))))</f>
        <v/>
      </c>
      <c r="AD136" s="712"/>
      <c r="AE136" s="513" t="str">
        <f t="shared" si="61"/>
        <v/>
      </c>
      <c r="AF136" s="713" t="str">
        <f t="shared" si="62"/>
        <v/>
      </c>
      <c r="AG136" s="713"/>
      <c r="AH136" s="713"/>
      <c r="AI136" s="112">
        <f>IF(H136="credit",0,IF(AE136="free",0,IF(AE136="me",0,IF(G136&gt;0,(VLOOKUP(A136,'Discount Lookup'!J:K,2)*G136),0))))</f>
        <v>0</v>
      </c>
      <c r="AJ136" s="107" t="str">
        <f t="shared" ca="1" si="63"/>
        <v/>
      </c>
      <c r="AK136" s="714" t="str">
        <f t="shared" si="64"/>
        <v/>
      </c>
      <c r="AL136" s="714"/>
      <c r="AM136" s="114" t="str">
        <f t="shared" si="65"/>
        <v/>
      </c>
      <c r="AN136" s="115"/>
      <c r="AO136" s="116"/>
      <c r="AP136" s="116"/>
      <c r="AQ136" s="116"/>
      <c r="AR136" s="116"/>
      <c r="AS136" s="116"/>
      <c r="AT136" s="116"/>
      <c r="AU136" s="116"/>
      <c r="AV136" s="78"/>
      <c r="AW136" s="102"/>
      <c r="AX136" s="78"/>
      <c r="AY136" s="78"/>
      <c r="AZ136" s="78"/>
      <c r="BA136" s="78"/>
      <c r="BB136" s="78"/>
      <c r="BC136" s="78"/>
      <c r="BD136" s="78"/>
      <c r="BE136" s="465"/>
      <c r="BF136" s="165" t="str">
        <f t="shared" si="66"/>
        <v>https://www.google.com/search?tbm=isch&amp;q=Kashima%20known%20for%20it%27s%20coloration%20in%20the%20foliage.%20Yellow%20to%20Orage-Red%20in%20fall.%20Popular%20for%20bonsai%20</v>
      </c>
      <c r="BG136" s="165" t="str">
        <f t="shared" si="67"/>
        <v>K</v>
      </c>
      <c r="BH136" s="65"/>
      <c r="BI136" s="65"/>
      <c r="BJ136" s="65"/>
      <c r="BK136" s="65"/>
      <c r="BL136" s="99"/>
      <c r="BM136" s="99"/>
      <c r="BN136" s="99"/>
    </row>
    <row r="137" spans="1:66" s="51" customFormat="1" ht="18" x14ac:dyDescent="0.25">
      <c r="A137" s="623" t="s">
        <v>1211</v>
      </c>
      <c r="B137" s="624"/>
      <c r="C137" s="709"/>
      <c r="D137" s="625" t="s">
        <v>1212</v>
      </c>
      <c r="E137" s="626"/>
      <c r="F137" s="626"/>
      <c r="G137" s="626"/>
      <c r="H137" s="622" t="s">
        <v>1076</v>
      </c>
      <c r="I137" s="627" t="s">
        <v>432</v>
      </c>
      <c r="J137" s="628"/>
      <c r="K137" s="628"/>
      <c r="L137" s="629"/>
      <c r="M137" s="702" t="s">
        <v>5252</v>
      </c>
      <c r="N137" s="693" t="str">
        <f>IF(AND(ISTEXT($A137), ISERROR($A137+0)), HYPERLINK($BF137, "Images"), "")</f>
        <v>Images</v>
      </c>
      <c r="O137" s="695" t="s">
        <v>5247</v>
      </c>
      <c r="P137" s="630"/>
      <c r="Q137" s="631"/>
      <c r="R137" s="632"/>
      <c r="S137" s="633"/>
      <c r="T137" s="102">
        <f t="shared" si="55"/>
        <v>0</v>
      </c>
      <c r="U137" s="78" t="str">
        <f>IF(NOT(ISNUMBER(G137)), "", VLOOKUP(A137,'Discount Lookup'!D:E,2,FALSE)*G137)</f>
        <v/>
      </c>
      <c r="V137" s="78" t="str">
        <f>IF(NOT(ISNUMBER(G137)), "", VLOOKUP(A137,'Discount Lookup'!G:H,2,FALSE)*G137)</f>
        <v/>
      </c>
      <c r="W137" s="102">
        <f t="shared" si="56"/>
        <v>0</v>
      </c>
      <c r="X137" s="102" t="str">
        <f t="shared" si="57"/>
        <v>Green foliage</v>
      </c>
      <c r="Y137" s="120" t="b">
        <f t="shared" si="58"/>
        <v>0</v>
      </c>
      <c r="Z137" s="117">
        <f t="shared" si="59"/>
        <v>0</v>
      </c>
      <c r="AA137" s="118"/>
      <c r="AB137" s="118" t="str">
        <f t="shared" si="60"/>
        <v/>
      </c>
      <c r="AC137" s="712" t="str">
        <f>IF(AE137="T2G","no charge",IF(AND(OR(PlanterYesMe="No",PlanterYesMe="N",PlanterYesMe="me"),H137=""),"",IF(H137="credit","NO install",IF(AND(K137="",AE137="me"),"EACH row",IF(AND(K137="images",AE137="me"),"EACH row",IF(D137="","",IF(H137="credit","",IF(AE137="free","re-planting",IF(AE137="me","   not ELP, by",IF(AND(OR(PlanterYesMe="Yes",PlanterYesMe="Y"),G137&gt;0),(VLOOKUP(A137,'Discount Lookup'!J:K,2)*G137*(1-PlanterDiscount)*(1+PlanterDifficultyPercentage)),IF(AE137="ELP",(VLOOKUP(A137,'Discount Lookup'!J:K,2)*G137*(1-PlanterDiscount)*(1+PlanterDifficultyPercentage)),IF(AE137="free","re-planting",IF(G137=0,"",IF(PlanterYesMe="",IF(AE137="me","   not ELP, by",IF(AE137="",IF(G137&gt;0,(VLOOKUP(A137,'Discount Lookup'!J:K,2)*G137*(1-PlanterDiscount)*(1+PlanterDifficultyPercentage)),""),"")),"   not ELP, by"))))))))))))))</f>
        <v/>
      </c>
      <c r="AD137" s="712"/>
      <c r="AE137" s="513" t="str">
        <f t="shared" si="61"/>
        <v/>
      </c>
      <c r="AF137" s="713" t="str">
        <f t="shared" si="62"/>
        <v/>
      </c>
      <c r="AG137" s="713"/>
      <c r="AH137" s="713"/>
      <c r="AI137" s="112">
        <f>IF(H137="credit",0,IF(AE137="free",0,IF(AE137="me",0,IF(G137&gt;0,(VLOOKUP(A137,'Discount Lookup'!J:K,2)*G137),0))))</f>
        <v>0</v>
      </c>
      <c r="AJ137" s="107" t="str">
        <f t="shared" ca="1" si="63"/>
        <v/>
      </c>
      <c r="AK137" s="714" t="str">
        <f t="shared" si="64"/>
        <v/>
      </c>
      <c r="AL137" s="714"/>
      <c r="AM137" s="114" t="str">
        <f t="shared" si="65"/>
        <v/>
      </c>
      <c r="AN137" s="115"/>
      <c r="AO137" s="116"/>
      <c r="AP137" s="116"/>
      <c r="AQ137" s="116"/>
      <c r="AR137" s="116"/>
      <c r="AS137" s="116"/>
      <c r="AT137" s="116"/>
      <c r="AU137" s="116"/>
      <c r="AV137" s="78"/>
      <c r="AW137" s="102"/>
      <c r="AX137" s="78"/>
      <c r="AY137" s="78"/>
      <c r="AZ137" s="78"/>
      <c r="BA137" s="78"/>
      <c r="BB137" s="78"/>
      <c r="BC137" s="78"/>
      <c r="BD137" s="78"/>
      <c r="BE137" s="465"/>
      <c r="BF137" s="165" t="str">
        <f t="shared" si="66"/>
        <v>https://www.google.com/search?tbm=isch&amp;q=Acer%20palmatum%20%27Kashima%20Yatsubusa%27%20Kashima%20Yatsubusa%20Japanese%20Maple</v>
      </c>
      <c r="BG137" s="165" t="str">
        <f t="shared" si="67"/>
        <v>A</v>
      </c>
      <c r="BH137" s="65"/>
      <c r="BI137" s="65"/>
      <c r="BJ137" s="65"/>
      <c r="BK137" s="65"/>
      <c r="BL137" s="99"/>
      <c r="BM137" s="99"/>
      <c r="BN137" s="99"/>
    </row>
    <row r="138" spans="1:66" s="51" customFormat="1" ht="27" x14ac:dyDescent="0.25">
      <c r="A138" s="634">
        <v>15</v>
      </c>
      <c r="B138" s="635" t="s">
        <v>291</v>
      </c>
      <c r="C138" s="636" t="s">
        <v>1213</v>
      </c>
      <c r="D138" s="637" t="s">
        <v>299</v>
      </c>
      <c r="E138" s="638">
        <v>424.95</v>
      </c>
      <c r="F138" s="639" t="s">
        <v>292</v>
      </c>
      <c r="G138" s="484">
        <v>0</v>
      </c>
      <c r="H138" s="691" t="str">
        <f>IF(G138=0,"",IF(F138="Buy",IF(G138=1,"plant","plants"),IF(F138&gt;0.01,"warranty","Error")))</f>
        <v/>
      </c>
      <c r="I138" s="640">
        <f>IF(H138="free",0,IF(H138="credit",((E138*(F138))*G138*-1),IF(F138="Buy",(E138*G138),((E138*(1-F138))*G138))))</f>
        <v>0</v>
      </c>
      <c r="J138" s="640">
        <f>IF(H138="warranty",0,(I138*(_xlfn.SINGLE(SalesTaxPercentage))))</f>
        <v>0</v>
      </c>
      <c r="K138" s="716">
        <f t="shared" ref="K138" si="117">I138+J138</f>
        <v>0</v>
      </c>
      <c r="L138" s="716"/>
      <c r="M138" s="689" t="str">
        <f ca="1">IF(AND(G138&gt;0,E138=0),"WARNING - no PRICE inserted",IF(H138="free","FREE ~ no charge this plant",IF(H138="credit",CONCATENATE("-$",ROUND(K138*(1-_xlfn.SINGLE(T2GDiscount))*-1,2)," CREDIT after discount"),IF(_xlfn.SINGLE(T2GDiscount)=0,"",IF(G138=0,"",IF(F138="Buy",CONCATENATE("$",ROUND(K138*(1-_xlfn.SINGLE(T2GDiscount)),2)," with ",(_xlfn.SINGLE(T2GDiscount)*100),"% discount"),CONCATENATE("$",ROUND(K138*(1-_xlfn.SINGLE(T2GDiscount)),2)," with ",((_xlfn.SINGLE(T2GDiscount)*100+F138*100)-(_xlfn.SINGLE(T2GDiscount)*100*F138)),IF(F138&gt;0,"% discounts",IF(_xlfn.SINGLE(NoWarrantyDiscount)&gt;0,"% discounts","% discount")))))))))</f>
        <v/>
      </c>
      <c r="N138" s="690"/>
      <c r="O138" s="486"/>
      <c r="P138" s="486"/>
      <c r="Q138" s="486"/>
      <c r="R138" s="486"/>
      <c r="S138" s="486"/>
      <c r="T138" s="102">
        <f t="shared" si="55"/>
        <v>0</v>
      </c>
      <c r="U138" s="78">
        <f>IF(NOT(ISNUMBER(G138)), "", VLOOKUP(A138,'Discount Lookup'!D:E,2,FALSE)*G138)</f>
        <v>0</v>
      </c>
      <c r="V138" s="78">
        <f>IF(NOT(ISNUMBER(G138)), "", VLOOKUP(A138,'Discount Lookup'!G:H,2,FALSE)*G138)</f>
        <v>0</v>
      </c>
      <c r="W138" s="102">
        <f t="shared" si="56"/>
        <v>0</v>
      </c>
      <c r="X138" s="102">
        <f t="shared" si="57"/>
        <v>0</v>
      </c>
      <c r="Y138" s="120" t="b">
        <f t="shared" si="58"/>
        <v>0</v>
      </c>
      <c r="Z138" s="117">
        <f t="shared" si="59"/>
        <v>0</v>
      </c>
      <c r="AA138" s="118"/>
      <c r="AB138" s="118" t="str">
        <f t="shared" si="60"/>
        <v/>
      </c>
      <c r="AC138" s="712" t="str">
        <f>IF(AE138="T2G","no charge",IF(AND(OR(PlanterYesMe="No",PlanterYesMe="N",PlanterYesMe="me"),H138=""),"",IF(H138="credit","NO install",IF(AND(K138="",AE138="me"),"EACH row",IF(AND(K138="images",AE138="me"),"EACH row",IF(D138="","",IF(H138="credit","",IF(AE138="free","re-planting",IF(AE138="me","   not ELP, by",IF(AND(OR(PlanterYesMe="Yes",PlanterYesMe="Y"),G138&gt;0),(VLOOKUP(A138,'Discount Lookup'!J:K,2)*G138*(1-PlanterDiscount)*(1+PlanterDifficultyPercentage)),IF(AE138="ELP",(VLOOKUP(A138,'Discount Lookup'!J:K,2)*G138*(1-PlanterDiscount)*(1+PlanterDifficultyPercentage)),IF(AE138="free","re-planting",IF(G138=0,"",IF(PlanterYesMe="",IF(AE138="me","   not ELP, by",IF(AE138="",IF(G138&gt;0,(VLOOKUP(A138,'Discount Lookup'!J:K,2)*G138*(1-PlanterDiscount)*(1+PlanterDifficultyPercentage)),""),"")),"   not ELP, by"))))))))))))))</f>
        <v/>
      </c>
      <c r="AD138" s="712"/>
      <c r="AE138" s="513" t="str">
        <f t="shared" si="61"/>
        <v/>
      </c>
      <c r="AF138" s="713" t="str">
        <f t="shared" si="62"/>
        <v/>
      </c>
      <c r="AG138" s="713"/>
      <c r="AH138" s="713"/>
      <c r="AI138" s="112">
        <f>IF(H138="credit",0,IF(AE138="free",0,IF(AE138="me",0,IF(G138&gt;0,(VLOOKUP(A138,'Discount Lookup'!J:K,2)*G138),0))))</f>
        <v>0</v>
      </c>
      <c r="AJ138" s="107" t="str">
        <f t="shared" ca="1" si="63"/>
        <v/>
      </c>
      <c r="AK138" s="714" t="str">
        <f t="shared" si="64"/>
        <v/>
      </c>
      <c r="AL138" s="714"/>
      <c r="AM138" s="114" t="str">
        <f t="shared" si="65"/>
        <v/>
      </c>
      <c r="AN138" s="115"/>
      <c r="AO138" s="116"/>
      <c r="AP138" s="116"/>
      <c r="AQ138" s="116"/>
      <c r="AR138" s="116"/>
      <c r="AS138" s="116"/>
      <c r="AT138" s="116"/>
      <c r="AU138" s="116"/>
      <c r="AV138" s="78"/>
      <c r="AW138" s="102"/>
      <c r="AX138" s="78"/>
      <c r="AY138" s="78"/>
      <c r="AZ138" s="78"/>
      <c r="BA138" s="78"/>
      <c r="BB138" s="78"/>
      <c r="BC138" s="78"/>
      <c r="BD138" s="78"/>
      <c r="BE138" s="465"/>
      <c r="BF138" s="165" t="str">
        <f t="shared" si="66"/>
        <v>https://www.google.com/search?tbm=isch&amp;q=15%20G4</v>
      </c>
      <c r="BG138" s="165" t="str">
        <f t="shared" si="67"/>
        <v>A</v>
      </c>
      <c r="BH138" s="65"/>
      <c r="BI138" s="65"/>
      <c r="BJ138" s="65"/>
      <c r="BK138" s="65"/>
      <c r="BL138" s="99"/>
      <c r="BM138" s="99"/>
      <c r="BN138" s="99"/>
    </row>
    <row r="139" spans="1:66" s="51" customFormat="1" ht="17.25" thickBot="1" x14ac:dyDescent="0.3">
      <c r="A139" s="641" t="s">
        <v>1214</v>
      </c>
      <c r="B139" s="642"/>
      <c r="C139" s="710"/>
      <c r="D139" s="643"/>
      <c r="E139" s="643"/>
      <c r="F139" s="644"/>
      <c r="G139" s="645"/>
      <c r="H139" s="646"/>
      <c r="I139" s="647"/>
      <c r="J139" s="648"/>
      <c r="K139" s="649"/>
      <c r="L139" s="650"/>
      <c r="M139" s="650"/>
      <c r="N139" s="644"/>
      <c r="O139" s="644"/>
      <c r="P139" s="644"/>
      <c r="Q139" s="644"/>
      <c r="R139" s="644"/>
      <c r="S139" s="651"/>
      <c r="T139" s="102">
        <f t="shared" si="55"/>
        <v>0</v>
      </c>
      <c r="U139" s="78" t="str">
        <f>IF(NOT(ISNUMBER(G139)), "", VLOOKUP(A139,'Discount Lookup'!D:E,2,FALSE)*G139)</f>
        <v/>
      </c>
      <c r="V139" s="78" t="str">
        <f>IF(NOT(ISNUMBER(G139)), "", VLOOKUP(A139,'Discount Lookup'!G:H,2,FALSE)*G139)</f>
        <v/>
      </c>
      <c r="W139" s="102">
        <f t="shared" si="56"/>
        <v>0</v>
      </c>
      <c r="X139" s="102">
        <f t="shared" si="57"/>
        <v>0</v>
      </c>
      <c r="Y139" s="120" t="b">
        <f t="shared" si="58"/>
        <v>0</v>
      </c>
      <c r="Z139" s="117">
        <f t="shared" si="59"/>
        <v>0</v>
      </c>
      <c r="AA139" s="118"/>
      <c r="AB139" s="118" t="str">
        <f t="shared" si="60"/>
        <v/>
      </c>
      <c r="AC139" s="712" t="str">
        <f>IF(AE139="T2G","no charge",IF(AND(OR(PlanterYesMe="No",PlanterYesMe="N",PlanterYesMe="me"),H139=""),"",IF(H139="credit","NO install",IF(AND(K139="",AE139="me"),"EACH row",IF(AND(K139="images",AE139="me"),"EACH row",IF(D139="","",IF(H139="credit","",IF(AE139="free","re-planting",IF(AE139="me","   not ELP, by",IF(AND(OR(PlanterYesMe="Yes",PlanterYesMe="Y"),G139&gt;0),(VLOOKUP(A139,'Discount Lookup'!J:K,2)*G139*(1-PlanterDiscount)*(1+PlanterDifficultyPercentage)),IF(AE139="ELP",(VLOOKUP(A139,'Discount Lookup'!J:K,2)*G139*(1-PlanterDiscount)*(1+PlanterDifficultyPercentage)),IF(AE139="free","re-planting",IF(G139=0,"",IF(PlanterYesMe="",IF(AE139="me","   not ELP, by",IF(AE139="",IF(G139&gt;0,(VLOOKUP(A139,'Discount Lookup'!J:K,2)*G139*(1-PlanterDiscount)*(1+PlanterDifficultyPercentage)),""),"")),"   not ELP, by"))))))))))))))</f>
        <v/>
      </c>
      <c r="AD139" s="712"/>
      <c r="AE139" s="513" t="str">
        <f t="shared" si="61"/>
        <v/>
      </c>
      <c r="AF139" s="713" t="str">
        <f t="shared" si="62"/>
        <v/>
      </c>
      <c r="AG139" s="713"/>
      <c r="AH139" s="713"/>
      <c r="AI139" s="112">
        <f>IF(H139="credit",0,IF(AE139="free",0,IF(AE139="me",0,IF(G139&gt;0,(VLOOKUP(A139,'Discount Lookup'!J:K,2)*G139),0))))</f>
        <v>0</v>
      </c>
      <c r="AJ139" s="107" t="str">
        <f t="shared" ca="1" si="63"/>
        <v/>
      </c>
      <c r="AK139" s="714" t="str">
        <f t="shared" si="64"/>
        <v/>
      </c>
      <c r="AL139" s="714"/>
      <c r="AM139" s="114" t="str">
        <f t="shared" si="65"/>
        <v/>
      </c>
      <c r="AN139" s="115"/>
      <c r="AO139" s="116"/>
      <c r="AP139" s="116"/>
      <c r="AQ139" s="116"/>
      <c r="AR139" s="116"/>
      <c r="AS139" s="116"/>
      <c r="AT139" s="116"/>
      <c r="AU139" s="116"/>
      <c r="AV139" s="78"/>
      <c r="AW139" s="102"/>
      <c r="AX139" s="78"/>
      <c r="AY139" s="78"/>
      <c r="AZ139" s="78"/>
      <c r="BA139" s="78"/>
      <c r="BB139" s="78"/>
      <c r="BC139" s="78"/>
      <c r="BD139" s="78"/>
      <c r="BE139" s="465"/>
      <c r="BF139" s="165" t="str">
        <f t="shared" si="66"/>
        <v>https://www.google.com/search?tbm=isch&amp;q=Kashima%20Yatsubusa%20foliage%20is%20Red%20tinted%20in%20spring%2C%20maturing%20to%20Green%2C%20then%20brilliant%20Golden-Orange%20to%20Red%20in%20fall%20</v>
      </c>
      <c r="BG139" s="165" t="str">
        <f t="shared" si="67"/>
        <v>K</v>
      </c>
      <c r="BH139" s="65"/>
      <c r="BI139" s="65"/>
      <c r="BJ139" s="65"/>
      <c r="BK139" s="65"/>
      <c r="BL139" s="99"/>
      <c r="BM139" s="99"/>
      <c r="BN139" s="99"/>
    </row>
    <row r="140" spans="1:66" s="51" customFormat="1" ht="18" x14ac:dyDescent="0.25">
      <c r="A140" s="623" t="s">
        <v>1215</v>
      </c>
      <c r="B140" s="624"/>
      <c r="C140" s="709"/>
      <c r="D140" s="625" t="s">
        <v>1216</v>
      </c>
      <c r="E140" s="626"/>
      <c r="F140" s="626"/>
      <c r="G140" s="626"/>
      <c r="H140" s="622" t="s">
        <v>1217</v>
      </c>
      <c r="I140" s="627" t="s">
        <v>432</v>
      </c>
      <c r="J140" s="628"/>
      <c r="K140" s="628"/>
      <c r="L140" s="629"/>
      <c r="M140" s="700" t="s">
        <v>5249</v>
      </c>
      <c r="N140" s="693" t="str">
        <f>IF(AND(ISTEXT($A140), ISERROR($A140+0)), HYPERLINK($BF140, "Images"), "")</f>
        <v>Images</v>
      </c>
      <c r="O140" s="695" t="s">
        <v>5247</v>
      </c>
      <c r="P140" s="630"/>
      <c r="Q140" s="631"/>
      <c r="R140" s="632"/>
      <c r="S140" s="633"/>
      <c r="T140" s="102">
        <f t="shared" si="55"/>
        <v>0</v>
      </c>
      <c r="U140" s="78" t="str">
        <f>IF(NOT(ISNUMBER(G140)), "", VLOOKUP(A140,'Discount Lookup'!D:E,2,FALSE)*G140)</f>
        <v/>
      </c>
      <c r="V140" s="78" t="str">
        <f>IF(NOT(ISNUMBER(G140)), "", VLOOKUP(A140,'Discount Lookup'!G:H,2,FALSE)*G140)</f>
        <v/>
      </c>
      <c r="W140" s="102">
        <f t="shared" si="56"/>
        <v>0</v>
      </c>
      <c r="X140" s="102" t="str">
        <f t="shared" si="57"/>
        <v>Green foliage</v>
      </c>
      <c r="Y140" s="120" t="b">
        <f t="shared" si="58"/>
        <v>0</v>
      </c>
      <c r="Z140" s="117">
        <f t="shared" si="59"/>
        <v>0</v>
      </c>
      <c r="AA140" s="118"/>
      <c r="AB140" s="118" t="str">
        <f t="shared" si="60"/>
        <v/>
      </c>
      <c r="AC140" s="712" t="str">
        <f>IF(AE140="T2G","no charge",IF(AND(OR(PlanterYesMe="No",PlanterYesMe="N",PlanterYesMe="me"),H140=""),"",IF(H140="credit","NO install",IF(AND(K140="",AE140="me"),"EACH row",IF(AND(K140="images",AE140="me"),"EACH row",IF(D140="","",IF(H140="credit","",IF(AE140="free","re-planting",IF(AE140="me","   not ELP, by",IF(AND(OR(PlanterYesMe="Yes",PlanterYesMe="Y"),G140&gt;0),(VLOOKUP(A140,'Discount Lookup'!J:K,2)*G140*(1-PlanterDiscount)*(1+PlanterDifficultyPercentage)),IF(AE140="ELP",(VLOOKUP(A140,'Discount Lookup'!J:K,2)*G140*(1-PlanterDiscount)*(1+PlanterDifficultyPercentage)),IF(AE140="free","re-planting",IF(G140=0,"",IF(PlanterYesMe="",IF(AE140="me","   not ELP, by",IF(AE140="",IF(G140&gt;0,(VLOOKUP(A140,'Discount Lookup'!J:K,2)*G140*(1-PlanterDiscount)*(1+PlanterDifficultyPercentage)),""),"")),"   not ELP, by"))))))))))))))</f>
        <v/>
      </c>
      <c r="AD140" s="712"/>
      <c r="AE140" s="513" t="str">
        <f t="shared" si="61"/>
        <v/>
      </c>
      <c r="AF140" s="713" t="str">
        <f t="shared" si="62"/>
        <v/>
      </c>
      <c r="AG140" s="713"/>
      <c r="AH140" s="713"/>
      <c r="AI140" s="112">
        <f>IF(H140="credit",0,IF(AE140="free",0,IF(AE140="me",0,IF(G140&gt;0,(VLOOKUP(A140,'Discount Lookup'!J:K,2)*G140),0))))</f>
        <v>0</v>
      </c>
      <c r="AJ140" s="107" t="str">
        <f t="shared" ca="1" si="63"/>
        <v/>
      </c>
      <c r="AK140" s="714" t="str">
        <f t="shared" si="64"/>
        <v/>
      </c>
      <c r="AL140" s="714"/>
      <c r="AM140" s="114" t="str">
        <f t="shared" si="65"/>
        <v/>
      </c>
      <c r="AN140" s="115"/>
      <c r="AO140" s="116"/>
      <c r="AP140" s="116"/>
      <c r="AQ140" s="116"/>
      <c r="AR140" s="116"/>
      <c r="AS140" s="116"/>
      <c r="AT140" s="116"/>
      <c r="AU140" s="116"/>
      <c r="AV140" s="78"/>
      <c r="AW140" s="102"/>
      <c r="AX140" s="78"/>
      <c r="AY140" s="78"/>
      <c r="AZ140" s="78"/>
      <c r="BA140" s="78"/>
      <c r="BB140" s="78"/>
      <c r="BC140" s="78"/>
      <c r="BD140" s="78"/>
      <c r="BE140" s="465"/>
      <c r="BF140" s="165" t="str">
        <f t="shared" si="66"/>
        <v>https://www.google.com/search?tbm=isch&amp;q=Acer%20palmatum%20%27Mikawa%20Yatsubusa%27%20Mikawa%20Yatsubusa%20Japanese%20Maple</v>
      </c>
      <c r="BG140" s="165" t="str">
        <f t="shared" si="67"/>
        <v>A</v>
      </c>
      <c r="BH140" s="65"/>
      <c r="BI140" s="65"/>
      <c r="BJ140" s="65"/>
      <c r="BK140" s="65"/>
      <c r="BL140" s="99"/>
      <c r="BM140" s="99"/>
      <c r="BN140" s="99"/>
    </row>
    <row r="141" spans="1:66" s="51" customFormat="1" ht="27" x14ac:dyDescent="0.25">
      <c r="A141" s="634">
        <v>20</v>
      </c>
      <c r="B141" s="635" t="s">
        <v>291</v>
      </c>
      <c r="C141" s="636" t="s">
        <v>1218</v>
      </c>
      <c r="D141" s="637" t="s">
        <v>299</v>
      </c>
      <c r="E141" s="638">
        <v>631.95000000000005</v>
      </c>
      <c r="F141" s="639" t="s">
        <v>292</v>
      </c>
      <c r="G141" s="484">
        <v>0</v>
      </c>
      <c r="H141" s="691" t="str">
        <f>IF(G141=0,"",IF(F141="Buy",IF(G141=1,"plant","plants"),IF(F141&gt;0.01,"warranty","Error")))</f>
        <v/>
      </c>
      <c r="I141" s="640">
        <f>IF(H141="free",0,IF(H141="credit",((E141*(F141))*G141*-1),IF(F141="Buy",(E141*G141),((E141*(1-F141))*G141))))</f>
        <v>0</v>
      </c>
      <c r="J141" s="640">
        <f>IF(H141="warranty",0,(I141*(_xlfn.SINGLE(SalesTaxPercentage))))</f>
        <v>0</v>
      </c>
      <c r="K141" s="716">
        <f t="shared" ref="K141" si="118">I141+J141</f>
        <v>0</v>
      </c>
      <c r="L141" s="716"/>
      <c r="M141" s="689" t="str">
        <f ca="1">IF(AND(G141&gt;0,E141=0),"WARNING - no PRICE inserted",IF(H141="free","FREE ~ no charge this plant",IF(H141="credit",CONCATENATE("-$",ROUND(K141*(1-_xlfn.SINGLE(T2GDiscount))*-1,2)," CREDIT after discount"),IF(_xlfn.SINGLE(T2GDiscount)=0,"",IF(G141=0,"",IF(F141="Buy",CONCATENATE("$",ROUND(K141*(1-_xlfn.SINGLE(T2GDiscount)),2)," with ",(_xlfn.SINGLE(T2GDiscount)*100),"% discount"),CONCATENATE("$",ROUND(K141*(1-_xlfn.SINGLE(T2GDiscount)),2)," with ",((_xlfn.SINGLE(T2GDiscount)*100+F141*100)-(_xlfn.SINGLE(T2GDiscount)*100*F141)),IF(F141&gt;0,"% discounts",IF(_xlfn.SINGLE(NoWarrantyDiscount)&gt;0,"% discounts","% discount")))))))))</f>
        <v/>
      </c>
      <c r="N141" s="690"/>
      <c r="O141" s="486"/>
      <c r="P141" s="486"/>
      <c r="Q141" s="486"/>
      <c r="R141" s="486"/>
      <c r="S141" s="486"/>
      <c r="T141" s="102">
        <f t="shared" si="55"/>
        <v>0</v>
      </c>
      <c r="U141" s="78">
        <f>IF(NOT(ISNUMBER(G141)), "", VLOOKUP(A141,'Discount Lookup'!D:E,2,FALSE)*G141)</f>
        <v>0</v>
      </c>
      <c r="V141" s="78">
        <f>IF(NOT(ISNUMBER(G141)), "", VLOOKUP(A141,'Discount Lookup'!G:H,2,FALSE)*G141)</f>
        <v>0</v>
      </c>
      <c r="W141" s="102">
        <f t="shared" si="56"/>
        <v>0</v>
      </c>
      <c r="X141" s="102">
        <f t="shared" si="57"/>
        <v>0</v>
      </c>
      <c r="Y141" s="120" t="b">
        <f t="shared" si="58"/>
        <v>0</v>
      </c>
      <c r="Z141" s="117">
        <f t="shared" si="59"/>
        <v>0</v>
      </c>
      <c r="AA141" s="118"/>
      <c r="AB141" s="118" t="str">
        <f t="shared" si="60"/>
        <v/>
      </c>
      <c r="AC141" s="712" t="str">
        <f>IF(AE141="T2G","no charge",IF(AND(OR(PlanterYesMe="No",PlanterYesMe="N",PlanterYesMe="me"),H141=""),"",IF(H141="credit","NO install",IF(AND(K141="",AE141="me"),"EACH row",IF(AND(K141="images",AE141="me"),"EACH row",IF(D141="","",IF(H141="credit","",IF(AE141="free","re-planting",IF(AE141="me","   not ELP, by",IF(AND(OR(PlanterYesMe="Yes",PlanterYesMe="Y"),G141&gt;0),(VLOOKUP(A141,'Discount Lookup'!J:K,2)*G141*(1-PlanterDiscount)*(1+PlanterDifficultyPercentage)),IF(AE141="ELP",(VLOOKUP(A141,'Discount Lookup'!J:K,2)*G141*(1-PlanterDiscount)*(1+PlanterDifficultyPercentage)),IF(AE141="free","re-planting",IF(G141=0,"",IF(PlanterYesMe="",IF(AE141="me","   not ELP, by",IF(AE141="",IF(G141&gt;0,(VLOOKUP(A141,'Discount Lookup'!J:K,2)*G141*(1-PlanterDiscount)*(1+PlanterDifficultyPercentage)),""),"")),"   not ELP, by"))))))))))))))</f>
        <v/>
      </c>
      <c r="AD141" s="712"/>
      <c r="AE141" s="513" t="str">
        <f t="shared" si="61"/>
        <v/>
      </c>
      <c r="AF141" s="713" t="str">
        <f t="shared" si="62"/>
        <v/>
      </c>
      <c r="AG141" s="713"/>
      <c r="AH141" s="713"/>
      <c r="AI141" s="112">
        <f>IF(H141="credit",0,IF(AE141="free",0,IF(AE141="me",0,IF(G141&gt;0,(VLOOKUP(A141,'Discount Lookup'!J:K,2)*G141),0))))</f>
        <v>0</v>
      </c>
      <c r="AJ141" s="107" t="str">
        <f t="shared" ca="1" si="63"/>
        <v/>
      </c>
      <c r="AK141" s="714" t="str">
        <f t="shared" si="64"/>
        <v/>
      </c>
      <c r="AL141" s="714"/>
      <c r="AM141" s="114" t="str">
        <f t="shared" si="65"/>
        <v/>
      </c>
      <c r="AN141" s="115"/>
      <c r="AO141" s="116"/>
      <c r="AP141" s="116"/>
      <c r="AQ141" s="116"/>
      <c r="AR141" s="116"/>
      <c r="AS141" s="116"/>
      <c r="AT141" s="116"/>
      <c r="AU141" s="116"/>
      <c r="AV141" s="78"/>
      <c r="AW141" s="102"/>
      <c r="AX141" s="78"/>
      <c r="AY141" s="78"/>
      <c r="AZ141" s="78"/>
      <c r="BA141" s="78"/>
      <c r="BB141" s="78"/>
      <c r="BC141" s="78"/>
      <c r="BD141" s="78"/>
      <c r="BE141" s="465"/>
      <c r="BF141" s="165" t="str">
        <f t="shared" si="66"/>
        <v>https://www.google.com/search?tbm=isch&amp;q=20%20G4</v>
      </c>
      <c r="BG141" s="165" t="str">
        <f t="shared" si="67"/>
        <v>A</v>
      </c>
      <c r="BH141" s="65"/>
      <c r="BI141" s="65"/>
      <c r="BJ141" s="65"/>
      <c r="BK141" s="65"/>
      <c r="BL141" s="99"/>
      <c r="BM141" s="99"/>
      <c r="BN141" s="99"/>
    </row>
    <row r="142" spans="1:66" s="51" customFormat="1" ht="17.25" thickBot="1" x14ac:dyDescent="0.3">
      <c r="A142" s="641" t="s">
        <v>1219</v>
      </c>
      <c r="B142" s="642"/>
      <c r="C142" s="710"/>
      <c r="D142" s="643"/>
      <c r="E142" s="643"/>
      <c r="F142" s="644"/>
      <c r="G142" s="645"/>
      <c r="H142" s="646"/>
      <c r="I142" s="647"/>
      <c r="J142" s="648"/>
      <c r="K142" s="649"/>
      <c r="L142" s="650"/>
      <c r="M142" s="650"/>
      <c r="N142" s="644"/>
      <c r="O142" s="644"/>
      <c r="P142" s="644"/>
      <c r="Q142" s="644"/>
      <c r="R142" s="644"/>
      <c r="S142" s="651"/>
      <c r="T142" s="102">
        <f t="shared" si="55"/>
        <v>0</v>
      </c>
      <c r="U142" s="78" t="str">
        <f>IF(NOT(ISNUMBER(G142)), "", VLOOKUP(A142,'Discount Lookup'!D:E,2,FALSE)*G142)</f>
        <v/>
      </c>
      <c r="V142" s="78" t="str">
        <f>IF(NOT(ISNUMBER(G142)), "", VLOOKUP(A142,'Discount Lookup'!G:H,2,FALSE)*G142)</f>
        <v/>
      </c>
      <c r="W142" s="102">
        <f t="shared" si="56"/>
        <v>0</v>
      </c>
      <c r="X142" s="102">
        <f t="shared" si="57"/>
        <v>0</v>
      </c>
      <c r="Y142" s="120" t="b">
        <f t="shared" si="58"/>
        <v>0</v>
      </c>
      <c r="Z142" s="117">
        <f t="shared" si="59"/>
        <v>0</v>
      </c>
      <c r="AA142" s="118"/>
      <c r="AB142" s="118" t="str">
        <f t="shared" si="60"/>
        <v/>
      </c>
      <c r="AC142" s="712" t="str">
        <f>IF(AE142="T2G","no charge",IF(AND(OR(PlanterYesMe="No",PlanterYesMe="N",PlanterYesMe="me"),H142=""),"",IF(H142="credit","NO install",IF(AND(K142="",AE142="me"),"EACH row",IF(AND(K142="images",AE142="me"),"EACH row",IF(D142="","",IF(H142="credit","",IF(AE142="free","re-planting",IF(AE142="me","   not ELP, by",IF(AND(OR(PlanterYesMe="Yes",PlanterYesMe="Y"),G142&gt;0),(VLOOKUP(A142,'Discount Lookup'!J:K,2)*G142*(1-PlanterDiscount)*(1+PlanterDifficultyPercentage)),IF(AE142="ELP",(VLOOKUP(A142,'Discount Lookup'!J:K,2)*G142*(1-PlanterDiscount)*(1+PlanterDifficultyPercentage)),IF(AE142="free","re-planting",IF(G142=0,"",IF(PlanterYesMe="",IF(AE142="me","   not ELP, by",IF(AE142="",IF(G142&gt;0,(VLOOKUP(A142,'Discount Lookup'!J:K,2)*G142*(1-PlanterDiscount)*(1+PlanterDifficultyPercentage)),""),"")),"   not ELP, by"))))))))))))))</f>
        <v/>
      </c>
      <c r="AD142" s="712"/>
      <c r="AE142" s="513" t="str">
        <f t="shared" si="61"/>
        <v/>
      </c>
      <c r="AF142" s="713" t="str">
        <f t="shared" si="62"/>
        <v/>
      </c>
      <c r="AG142" s="713"/>
      <c r="AH142" s="713"/>
      <c r="AI142" s="112">
        <f>IF(H142="credit",0,IF(AE142="free",0,IF(AE142="me",0,IF(G142&gt;0,(VLOOKUP(A142,'Discount Lookup'!J:K,2)*G142),0))))</f>
        <v>0</v>
      </c>
      <c r="AJ142" s="107" t="str">
        <f t="shared" ca="1" si="63"/>
        <v/>
      </c>
      <c r="AK142" s="714" t="str">
        <f t="shared" si="64"/>
        <v/>
      </c>
      <c r="AL142" s="714"/>
      <c r="AM142" s="114" t="str">
        <f t="shared" si="65"/>
        <v/>
      </c>
      <c r="AN142" s="115"/>
      <c r="AO142" s="116"/>
      <c r="AP142" s="116"/>
      <c r="AQ142" s="116"/>
      <c r="AR142" s="116"/>
      <c r="AS142" s="116"/>
      <c r="AT142" s="116"/>
      <c r="AU142" s="116"/>
      <c r="AV142" s="78"/>
      <c r="AW142" s="102"/>
      <c r="AX142" s="78"/>
      <c r="AY142" s="78"/>
      <c r="AZ142" s="78"/>
      <c r="BA142" s="78"/>
      <c r="BB142" s="78"/>
      <c r="BC142" s="78"/>
      <c r="BD142" s="78"/>
      <c r="BE142" s="465"/>
      <c r="BF142" s="165" t="str">
        <f t="shared" si="66"/>
        <v>https://www.google.com/search?tbm=isch&amp;q=Mikawa%20foliage%20emerges%20light%20green%2C%20darkens%2C%20then%20orange-yellow%20in%20autumn.%20More%20heat%20tolerant%20than%20most%20J.%20Maple%20</v>
      </c>
      <c r="BG142" s="165" t="str">
        <f t="shared" si="67"/>
        <v>M</v>
      </c>
      <c r="BH142" s="65"/>
      <c r="BI142" s="65"/>
      <c r="BJ142" s="65"/>
      <c r="BK142" s="65"/>
      <c r="BL142" s="99"/>
      <c r="BM142" s="99"/>
      <c r="BN142" s="99"/>
    </row>
    <row r="143" spans="1:66" s="51" customFormat="1" ht="18" x14ac:dyDescent="0.25">
      <c r="A143" s="623" t="s">
        <v>1220</v>
      </c>
      <c r="B143" s="624"/>
      <c r="C143" s="709"/>
      <c r="D143" s="625" t="s">
        <v>1221</v>
      </c>
      <c r="E143" s="626"/>
      <c r="F143" s="626"/>
      <c r="G143" s="626"/>
      <c r="H143" s="622" t="s">
        <v>327</v>
      </c>
      <c r="I143" s="627" t="s">
        <v>1222</v>
      </c>
      <c r="J143" s="628"/>
      <c r="K143" s="628"/>
      <c r="L143" s="629"/>
      <c r="M143" s="702" t="s">
        <v>5252</v>
      </c>
      <c r="N143" s="693" t="str">
        <f>IF(AND(ISTEXT($A143), ISERROR($A143+0)), HYPERLINK($BF143, "Images"), "")</f>
        <v>Images</v>
      </c>
      <c r="O143" s="695" t="s">
        <v>5247</v>
      </c>
      <c r="P143" s="630"/>
      <c r="Q143" s="631"/>
      <c r="R143" s="632"/>
      <c r="S143" s="633"/>
      <c r="T143" s="102">
        <f t="shared" si="55"/>
        <v>0</v>
      </c>
      <c r="U143" s="78" t="str">
        <f>IF(NOT(ISNUMBER(G143)), "", VLOOKUP(A143,'Discount Lookup'!D:E,2,FALSE)*G143)</f>
        <v/>
      </c>
      <c r="V143" s="78" t="str">
        <f>IF(NOT(ISNUMBER(G143)), "", VLOOKUP(A143,'Discount Lookup'!G:H,2,FALSE)*G143)</f>
        <v/>
      </c>
      <c r="W143" s="102">
        <f t="shared" si="56"/>
        <v>0</v>
      </c>
      <c r="X143" s="102" t="str">
        <f t="shared" si="57"/>
        <v>Deep Purple-Red foliage</v>
      </c>
      <c r="Y143" s="120" t="b">
        <f t="shared" si="58"/>
        <v>0</v>
      </c>
      <c r="Z143" s="117">
        <f t="shared" si="59"/>
        <v>0</v>
      </c>
      <c r="AA143" s="118"/>
      <c r="AB143" s="118" t="str">
        <f t="shared" si="60"/>
        <v/>
      </c>
      <c r="AC143" s="712" t="str">
        <f>IF(AE143="T2G","no charge",IF(AND(OR(PlanterYesMe="No",PlanterYesMe="N",PlanterYesMe="me"),H143=""),"",IF(H143="credit","NO install",IF(AND(K143="",AE143="me"),"EACH row",IF(AND(K143="images",AE143="me"),"EACH row",IF(D143="","",IF(H143="credit","",IF(AE143="free","re-planting",IF(AE143="me","   not ELP, by",IF(AND(OR(PlanterYesMe="Yes",PlanterYesMe="Y"),G143&gt;0),(VLOOKUP(A143,'Discount Lookup'!J:K,2)*G143*(1-PlanterDiscount)*(1+PlanterDifficultyPercentage)),IF(AE143="ELP",(VLOOKUP(A143,'Discount Lookup'!J:K,2)*G143*(1-PlanterDiscount)*(1+PlanterDifficultyPercentage)),IF(AE143="free","re-planting",IF(G143=0,"",IF(PlanterYesMe="",IF(AE143="me","   not ELP, by",IF(AE143="",IF(G143&gt;0,(VLOOKUP(A143,'Discount Lookup'!J:K,2)*G143*(1-PlanterDiscount)*(1+PlanterDifficultyPercentage)),""),"")),"   not ELP, by"))))))))))))))</f>
        <v/>
      </c>
      <c r="AD143" s="712"/>
      <c r="AE143" s="513" t="str">
        <f t="shared" si="61"/>
        <v/>
      </c>
      <c r="AF143" s="713" t="str">
        <f t="shared" si="62"/>
        <v/>
      </c>
      <c r="AG143" s="713"/>
      <c r="AH143" s="713"/>
      <c r="AI143" s="112">
        <f>IF(H143="credit",0,IF(AE143="free",0,IF(AE143="me",0,IF(G143&gt;0,(VLOOKUP(A143,'Discount Lookup'!J:K,2)*G143),0))))</f>
        <v>0</v>
      </c>
      <c r="AJ143" s="107" t="str">
        <f t="shared" ca="1" si="63"/>
        <v/>
      </c>
      <c r="AK143" s="714" t="str">
        <f t="shared" si="64"/>
        <v/>
      </c>
      <c r="AL143" s="714"/>
      <c r="AM143" s="114" t="str">
        <f t="shared" si="65"/>
        <v/>
      </c>
      <c r="AN143" s="115"/>
      <c r="AO143" s="116"/>
      <c r="AP143" s="116"/>
      <c r="AQ143" s="116"/>
      <c r="AR143" s="116"/>
      <c r="AS143" s="116"/>
      <c r="AT143" s="116"/>
      <c r="AU143" s="116"/>
      <c r="AV143" s="78"/>
      <c r="AW143" s="102"/>
      <c r="AX143" s="78"/>
      <c r="AY143" s="78"/>
      <c r="AZ143" s="78"/>
      <c r="BA143" s="78"/>
      <c r="BB143" s="78"/>
      <c r="BC143" s="78"/>
      <c r="BD143" s="78"/>
      <c r="BE143" s="465"/>
      <c r="BF143" s="165" t="str">
        <f t="shared" si="66"/>
        <v>https://www.google.com/search?tbm=isch&amp;q=Acer%20palmatum%20%27Nuresagi%27%20Nuresagi%20Japanese%20Maple</v>
      </c>
      <c r="BG143" s="165" t="str">
        <f t="shared" si="67"/>
        <v>A</v>
      </c>
      <c r="BH143" s="65"/>
      <c r="BI143" s="65"/>
      <c r="BJ143" s="65"/>
      <c r="BK143" s="65"/>
      <c r="BL143" s="99"/>
      <c r="BM143" s="99"/>
      <c r="BN143" s="99"/>
    </row>
    <row r="144" spans="1:66" s="51" customFormat="1" ht="15.75" x14ac:dyDescent="0.25">
      <c r="A144" s="634">
        <v>15</v>
      </c>
      <c r="B144" s="635" t="s">
        <v>291</v>
      </c>
      <c r="C144" s="636" t="s">
        <v>1223</v>
      </c>
      <c r="D144" s="637" t="s">
        <v>299</v>
      </c>
      <c r="E144" s="638">
        <v>378.95</v>
      </c>
      <c r="F144" s="639" t="s">
        <v>292</v>
      </c>
      <c r="G144" s="484">
        <v>0</v>
      </c>
      <c r="H144" s="691" t="str">
        <f>IF(G144=0,"",IF(F144="Buy",IF(G144=1,"plant","plants"),IF(F144&gt;0.01,"warranty","Error")))</f>
        <v/>
      </c>
      <c r="I144" s="640">
        <f>IF(H144="free",0,IF(H144="credit",((E144*(F144))*G144*-1),IF(F144="Buy",(E144*G144),((E144*(1-F144))*G144))))</f>
        <v>0</v>
      </c>
      <c r="J144" s="640">
        <f>IF(H144="warranty",0,(I144*(_xlfn.SINGLE(SalesTaxPercentage))))</f>
        <v>0</v>
      </c>
      <c r="K144" s="716">
        <f t="shared" ref="K144" si="119">I144+J144</f>
        <v>0</v>
      </c>
      <c r="L144" s="716"/>
      <c r="M144" s="689" t="str">
        <f ca="1">IF(AND(G144&gt;0,E144=0),"WARNING - no PRICE inserted",IF(H144="free","FREE ~ no charge this plant",IF(H144="credit",CONCATENATE("-$",ROUND(K144*(1-_xlfn.SINGLE(T2GDiscount))*-1,2)," CREDIT after discount"),IF(_xlfn.SINGLE(T2GDiscount)=0,"",IF(G144=0,"",IF(F144="Buy",CONCATENATE("$",ROUND(K144*(1-_xlfn.SINGLE(T2GDiscount)),2)," with ",(_xlfn.SINGLE(T2GDiscount)*100),"% discount"),CONCATENATE("$",ROUND(K144*(1-_xlfn.SINGLE(T2GDiscount)),2)," with ",((_xlfn.SINGLE(T2GDiscount)*100+F144*100)-(_xlfn.SINGLE(T2GDiscount)*100*F144)),IF(F144&gt;0,"% discounts",IF(_xlfn.SINGLE(NoWarrantyDiscount)&gt;0,"% discounts","% discount")))))))))</f>
        <v/>
      </c>
      <c r="N144" s="690"/>
      <c r="O144" s="486"/>
      <c r="P144" s="486"/>
      <c r="Q144" s="486"/>
      <c r="R144" s="486"/>
      <c r="S144" s="486"/>
      <c r="T144" s="102">
        <f t="shared" si="55"/>
        <v>0</v>
      </c>
      <c r="U144" s="78">
        <f>IF(NOT(ISNUMBER(G144)), "", VLOOKUP(A144,'Discount Lookup'!D:E,2,FALSE)*G144)</f>
        <v>0</v>
      </c>
      <c r="V144" s="78">
        <f>IF(NOT(ISNUMBER(G144)), "", VLOOKUP(A144,'Discount Lookup'!G:H,2,FALSE)*G144)</f>
        <v>0</v>
      </c>
      <c r="W144" s="102">
        <f t="shared" si="56"/>
        <v>0</v>
      </c>
      <c r="X144" s="102">
        <f t="shared" si="57"/>
        <v>0</v>
      </c>
      <c r="Y144" s="120" t="b">
        <f t="shared" si="58"/>
        <v>0</v>
      </c>
      <c r="Z144" s="117">
        <f t="shared" si="59"/>
        <v>0</v>
      </c>
      <c r="AA144" s="118"/>
      <c r="AB144" s="118" t="str">
        <f t="shared" si="60"/>
        <v/>
      </c>
      <c r="AC144" s="712" t="str">
        <f>IF(AE144="T2G","no charge",IF(AND(OR(PlanterYesMe="No",PlanterYesMe="N",PlanterYesMe="me"),H144=""),"",IF(H144="credit","NO install",IF(AND(K144="",AE144="me"),"EACH row",IF(AND(K144="images",AE144="me"),"EACH row",IF(D144="","",IF(H144="credit","",IF(AE144="free","re-planting",IF(AE144="me","   not ELP, by",IF(AND(OR(PlanterYesMe="Yes",PlanterYesMe="Y"),G144&gt;0),(VLOOKUP(A144,'Discount Lookup'!J:K,2)*G144*(1-PlanterDiscount)*(1+PlanterDifficultyPercentage)),IF(AE144="ELP",(VLOOKUP(A144,'Discount Lookup'!J:K,2)*G144*(1-PlanterDiscount)*(1+PlanterDifficultyPercentage)),IF(AE144="free","re-planting",IF(G144=0,"",IF(PlanterYesMe="",IF(AE144="me","   not ELP, by",IF(AE144="",IF(G144&gt;0,(VLOOKUP(A144,'Discount Lookup'!J:K,2)*G144*(1-PlanterDiscount)*(1+PlanterDifficultyPercentage)),""),"")),"   not ELP, by"))))))))))))))</f>
        <v/>
      </c>
      <c r="AD144" s="712"/>
      <c r="AE144" s="513" t="str">
        <f t="shared" si="61"/>
        <v/>
      </c>
      <c r="AF144" s="713" t="str">
        <f t="shared" si="62"/>
        <v/>
      </c>
      <c r="AG144" s="713"/>
      <c r="AH144" s="713"/>
      <c r="AI144" s="112">
        <f>IF(H144="credit",0,IF(AE144="free",0,IF(AE144="me",0,IF(G144&gt;0,(VLOOKUP(A144,'Discount Lookup'!J:K,2)*G144),0))))</f>
        <v>0</v>
      </c>
      <c r="AJ144" s="107" t="str">
        <f t="shared" ca="1" si="63"/>
        <v/>
      </c>
      <c r="AK144" s="714" t="str">
        <f t="shared" si="64"/>
        <v/>
      </c>
      <c r="AL144" s="714"/>
      <c r="AM144" s="114" t="str">
        <f t="shared" si="65"/>
        <v/>
      </c>
      <c r="AN144" s="115"/>
      <c r="AO144" s="116"/>
      <c r="AP144" s="116"/>
      <c r="AQ144" s="116"/>
      <c r="AR144" s="116"/>
      <c r="AS144" s="116"/>
      <c r="AT144" s="116"/>
      <c r="AU144" s="116"/>
      <c r="AV144" s="78"/>
      <c r="AW144" s="102"/>
      <c r="AX144" s="78"/>
      <c r="AY144" s="78"/>
      <c r="AZ144" s="78"/>
      <c r="BA144" s="78"/>
      <c r="BB144" s="78"/>
      <c r="BC144" s="78"/>
      <c r="BD144" s="78"/>
      <c r="BE144" s="465"/>
      <c r="BF144" s="165" t="str">
        <f t="shared" si="66"/>
        <v>https://www.google.com/search?tbm=isch&amp;q=15%20G4</v>
      </c>
      <c r="BG144" s="165" t="str">
        <f t="shared" si="67"/>
        <v>A</v>
      </c>
      <c r="BH144" s="65"/>
      <c r="BI144" s="65"/>
      <c r="BJ144" s="65"/>
      <c r="BK144" s="65"/>
      <c r="BL144" s="99"/>
      <c r="BM144" s="99"/>
      <c r="BN144" s="99"/>
    </row>
    <row r="145" spans="1:66" s="51" customFormat="1" ht="17.25" thickBot="1" x14ac:dyDescent="0.3">
      <c r="A145" s="641" t="s">
        <v>1224</v>
      </c>
      <c r="B145" s="642"/>
      <c r="C145" s="710"/>
      <c r="D145" s="643"/>
      <c r="E145" s="643"/>
      <c r="F145" s="644"/>
      <c r="G145" s="645"/>
      <c r="H145" s="646"/>
      <c r="I145" s="647"/>
      <c r="J145" s="648"/>
      <c r="K145" s="649"/>
      <c r="L145" s="650"/>
      <c r="M145" s="650"/>
      <c r="N145" s="644"/>
      <c r="O145" s="644"/>
      <c r="P145" s="644"/>
      <c r="Q145" s="644"/>
      <c r="R145" s="644"/>
      <c r="S145" s="651"/>
      <c r="T145" s="102">
        <f t="shared" ref="T145:T208" si="120">E145*G145</f>
        <v>0</v>
      </c>
      <c r="U145" s="78" t="str">
        <f>IF(NOT(ISNUMBER(G145)), "", VLOOKUP(A145,'Discount Lookup'!D:E,2,FALSE)*G145)</f>
        <v/>
      </c>
      <c r="V145" s="78" t="str">
        <f>IF(NOT(ISNUMBER(G145)), "", VLOOKUP(A145,'Discount Lookup'!G:H,2,FALSE)*G145)</f>
        <v/>
      </c>
      <c r="W145" s="102">
        <f t="shared" ref="W145:W208" si="121">IF(H145="credit",0,E145*(SalesTaxPercentage)*G145)</f>
        <v>0</v>
      </c>
      <c r="X145" s="102">
        <f t="shared" ref="X145:X208" si="122">I145</f>
        <v>0</v>
      </c>
      <c r="Y145" s="120" t="b">
        <f t="shared" ref="Y145:Y208" si="123">IF(AE145="T2G",0,IF(H145="credit",0,IF(G145&gt;0,IF(AE145="me","",G145))))</f>
        <v>0</v>
      </c>
      <c r="Z145" s="117">
        <f t="shared" ref="Z145:Z208" si="124">IF(H145="credit",G145,0)</f>
        <v>0</v>
      </c>
      <c r="AA145" s="118"/>
      <c r="AB145" s="118" t="str">
        <f t="shared" ref="AB145:AB208" si="125">IF(AE145="T2G","by Trees2Go",IF(H145="credit","CREDIT only ~",IF(AND(K145="",AE145=OR(PlanterYesMe="No",PlanterYesMe="N",PlanterYesMe="me")),"not THIS line⇨",IF(AND(K145="images",AE145="me"),"not THIS line⇨",IF(H145="credit","",IF(G145=0,"",IF(AE145="me","",IF(OR(PlanterYesMe="No",PlanterYesMe="N",PlanterYesMe="me"),"",IF(AE145="free","warranty",IF(OR(PlanterYesMe="yes",PlanterYesMe="y"),"Edison install:","to install:"))))))))))</f>
        <v/>
      </c>
      <c r="AC145" s="712" t="str">
        <f>IF(AE145="T2G","no charge",IF(AND(OR(PlanterYesMe="No",PlanterYesMe="N",PlanterYesMe="me"),H145=""),"",IF(H145="credit","NO install",IF(AND(K145="",AE145="me"),"EACH row",IF(AND(K145="images",AE145="me"),"EACH row",IF(D145="","",IF(H145="credit","",IF(AE145="free","re-planting",IF(AE145="me","   not ELP, by",IF(AND(OR(PlanterYesMe="Yes",PlanterYesMe="Y"),G145&gt;0),(VLOOKUP(A145,'Discount Lookup'!J:K,2)*G145*(1-PlanterDiscount)*(1+PlanterDifficultyPercentage)),IF(AE145="ELP",(VLOOKUP(A145,'Discount Lookup'!J:K,2)*G145*(1-PlanterDiscount)*(1+PlanterDifficultyPercentage)),IF(AE145="free","re-planting",IF(G145=0,"",IF(PlanterYesMe="",IF(AE145="me","   not ELP, by",IF(AE145="",IF(G145&gt;0,(VLOOKUP(A145,'Discount Lookup'!J:K,2)*G145*(1-PlanterDiscount)*(1+PlanterDifficultyPercentage)),""),"")),"   not ELP, by"))))))))))))))</f>
        <v/>
      </c>
      <c r="AD145" s="712"/>
      <c r="AE145" s="513" t="str">
        <f t="shared" ref="AE145:AE208" si="126">IF(H145="credit","",IF(G145=0,"",IF(OR(PlanterYesMe="No",PlanterYesMe="N",PlanterYesMe="me"),"me",IF(H145="warranty","free",IF(OR(PlanterYesMe="yes",PlanterYesMe="y"),"ELP","")))))</f>
        <v/>
      </c>
      <c r="AF145" s="713" t="str">
        <f t="shared" ref="AF145:AF208" si="127">IF(OR(PlanterYesMe="No",PlanterYesMe="N",PlanterYesMe="me"),"",IF(H145="credit","",IF(G145&gt;0,(CONCATENATE((G145)," quantity, ",(A145)," ",B145)),"")))</f>
        <v/>
      </c>
      <c r="AG145" s="713"/>
      <c r="AH145" s="713"/>
      <c r="AI145" s="112">
        <f>IF(H145="credit",0,IF(AE145="free",0,IF(AE145="me",0,IF(G145&gt;0,(VLOOKUP(A145,'Discount Lookup'!J:K,2)*G145),0))))</f>
        <v>0</v>
      </c>
      <c r="AJ145" s="107" t="str">
        <f t="shared" ref="AJ145:AJ208" ca="1" si="128">IF(AND(ISREF(H145),H145="credit"),"",IF(AND(AND(OFFSET(G145,0,0)=0,OFFSET(G145,1,0)&gt;0,ISNUMBER(OFFSET(AC145,1,0)),OFFSET(AC145,1,0)&gt;0),OR(PlanterYesMe="yes",PlanterYesMe="y")),"T2G+ELP=",IF(AND(OFFSET(G145,0,0)=0,OFFSET(G145,1,0)&gt;0,ISNUMBER(OFFSET(AC145,1,0)),OFFSET(AC145,1,0)&gt;0),"if T2G+ELP=",IF(AND(OFFSET(G145,0,0)=0,OFFSET(G145,1,0)&gt;0),"T2G Subtotal",IF(H145="credit","",IF(G145=0,"",IF(AE145="free",(K145*(1-T2GDiscount)),IF(OR(PlanterYesMe="No",PlanterYesMe="N",PlanterYesMe="me"),(K145*(1-T2GDiscount)),IF(OR(AE145="me",AE145="T2G"),(K145*(1-T2GDiscount)),(K145*(1-T2GDiscount))+AC145)))))))))</f>
        <v/>
      </c>
      <c r="AK145" s="714" t="str">
        <f t="shared" ref="AK145:AK208" si="129">IF(H145="credit","",IF(G145=0,"",IF(OR(AE145="me",AE145="T2G"),"  delivery-only",IF(OR(PlanterYesMe="No",PlanterYesMe="N",PlanterYesMe="me"),"  delivery-only",CONCATENATE(" $",ROUND(AJ145/G145,2)," each")))))</f>
        <v/>
      </c>
      <c r="AL145" s="714"/>
      <c r="AM145" s="114" t="str">
        <f t="shared" ref="AM145:AM208" si="130">IF(H145="credit","",IF(AE145="free","      ~ discounts included, no tax or planting fee applies ~",IF(G145=0,"",IF(OR(PlanterYesMe="No",PlanterYesMe="N",PlanterYesMe="me"),CONCATENATE(" $",ROUND(AJ145/G145,2)," per plant, with tax &amp; discount"),IF(OR(AE145="me",AE145="T2G"),CONCATENATE(" $",ROUND(AJ145/G145,2)," per plant, with tax &amp; discount"),CONCATENATE("= $",ROUND((K145*(1-T2GDiscount))/G145,2)," per plant + $",AC145/G145,(" per planting      ~ includes tax &amp; discounts ~")))))))</f>
        <v/>
      </c>
      <c r="AN145" s="115"/>
      <c r="AO145" s="116"/>
      <c r="AP145" s="116"/>
      <c r="AQ145" s="116"/>
      <c r="AR145" s="116"/>
      <c r="AS145" s="116"/>
      <c r="AT145" s="116"/>
      <c r="AU145" s="116"/>
      <c r="AV145" s="78"/>
      <c r="AW145" s="102"/>
      <c r="AX145" s="78"/>
      <c r="AY145" s="78"/>
      <c r="AZ145" s="78"/>
      <c r="BA145" s="78"/>
      <c r="BB145" s="78"/>
      <c r="BC145" s="78"/>
      <c r="BD145" s="78"/>
      <c r="BE145" s="465"/>
      <c r="BF145" s="165" t="str">
        <f t="shared" ref="BF145:BF208" si="131">"https://www.google.com/search?tbm=isch&amp;q=" &amp; _xlfn.ENCODEURL($A145 &amp; " " &amp; $D145)</f>
        <v>https://www.google.com/search?tbm=isch&amp;q=Nuresagi%20foliage%20foliage%20emerges%20Reddish-Pruple%2C%20turns%20hauntingly%20dark%20for%20summer%2C%20then%20Brilliant%20Scarlet-Red%20in%20fall%20</v>
      </c>
      <c r="BG145" s="165" t="str">
        <f t="shared" ref="BG145:BG208" si="132">IF(ISTEXT(A145),LEFT(A145,1),BG144)</f>
        <v>N</v>
      </c>
      <c r="BH145" s="65"/>
      <c r="BI145" s="65"/>
      <c r="BJ145" s="65"/>
      <c r="BK145" s="65"/>
      <c r="BL145" s="99"/>
      <c r="BM145" s="99"/>
      <c r="BN145" s="99"/>
    </row>
    <row r="146" spans="1:66" s="51" customFormat="1" ht="18" x14ac:dyDescent="0.25">
      <c r="A146" s="623" t="s">
        <v>1225</v>
      </c>
      <c r="B146" s="624"/>
      <c r="C146" s="709"/>
      <c r="D146" s="625" t="s">
        <v>1226</v>
      </c>
      <c r="E146" s="626"/>
      <c r="F146" s="626"/>
      <c r="G146" s="626"/>
      <c r="H146" s="622" t="s">
        <v>331</v>
      </c>
      <c r="I146" s="627" t="s">
        <v>432</v>
      </c>
      <c r="J146" s="628"/>
      <c r="K146" s="628"/>
      <c r="L146" s="629"/>
      <c r="M146" s="702" t="s">
        <v>5252</v>
      </c>
      <c r="N146" s="693" t="str">
        <f>IF(AND(ISTEXT($A146), ISERROR($A146+0)), HYPERLINK($BF146, "Images"), "")</f>
        <v>Images</v>
      </c>
      <c r="O146" s="695" t="s">
        <v>5247</v>
      </c>
      <c r="P146" s="630"/>
      <c r="Q146" s="631"/>
      <c r="R146" s="632"/>
      <c r="S146" s="633"/>
      <c r="T146" s="102">
        <f t="shared" si="120"/>
        <v>0</v>
      </c>
      <c r="U146" s="78" t="str">
        <f>IF(NOT(ISNUMBER(G146)), "", VLOOKUP(A146,'Discount Lookup'!D:E,2,FALSE)*G146)</f>
        <v/>
      </c>
      <c r="V146" s="78" t="str">
        <f>IF(NOT(ISNUMBER(G146)), "", VLOOKUP(A146,'Discount Lookup'!G:H,2,FALSE)*G146)</f>
        <v/>
      </c>
      <c r="W146" s="102">
        <f t="shared" si="121"/>
        <v>0</v>
      </c>
      <c r="X146" s="102" t="str">
        <f t="shared" si="122"/>
        <v>Green foliage</v>
      </c>
      <c r="Y146" s="120" t="b">
        <f t="shared" si="123"/>
        <v>0</v>
      </c>
      <c r="Z146" s="117">
        <f t="shared" si="124"/>
        <v>0</v>
      </c>
      <c r="AA146" s="118"/>
      <c r="AB146" s="118" t="str">
        <f t="shared" si="125"/>
        <v/>
      </c>
      <c r="AC146" s="712" t="str">
        <f>IF(AE146="T2G","no charge",IF(AND(OR(PlanterYesMe="No",PlanterYesMe="N",PlanterYesMe="me"),H146=""),"",IF(H146="credit","NO install",IF(AND(K146="",AE146="me"),"EACH row",IF(AND(K146="images",AE146="me"),"EACH row",IF(D146="","",IF(H146="credit","",IF(AE146="free","re-planting",IF(AE146="me","   not ELP, by",IF(AND(OR(PlanterYesMe="Yes",PlanterYesMe="Y"),G146&gt;0),(VLOOKUP(A146,'Discount Lookup'!J:K,2)*G146*(1-PlanterDiscount)*(1+PlanterDifficultyPercentage)),IF(AE146="ELP",(VLOOKUP(A146,'Discount Lookup'!J:K,2)*G146*(1-PlanterDiscount)*(1+PlanterDifficultyPercentage)),IF(AE146="free","re-planting",IF(G146=0,"",IF(PlanterYesMe="",IF(AE146="me","   not ELP, by",IF(AE146="",IF(G146&gt;0,(VLOOKUP(A146,'Discount Lookup'!J:K,2)*G146*(1-PlanterDiscount)*(1+PlanterDifficultyPercentage)),""),"")),"   not ELP, by"))))))))))))))</f>
        <v/>
      </c>
      <c r="AD146" s="712"/>
      <c r="AE146" s="513" t="str">
        <f t="shared" si="126"/>
        <v/>
      </c>
      <c r="AF146" s="713" t="str">
        <f t="shared" si="127"/>
        <v/>
      </c>
      <c r="AG146" s="713"/>
      <c r="AH146" s="713"/>
      <c r="AI146" s="112">
        <f>IF(H146="credit",0,IF(AE146="free",0,IF(AE146="me",0,IF(G146&gt;0,(VLOOKUP(A146,'Discount Lookup'!J:K,2)*G146),0))))</f>
        <v>0</v>
      </c>
      <c r="AJ146" s="107" t="str">
        <f t="shared" ca="1" si="128"/>
        <v/>
      </c>
      <c r="AK146" s="714" t="str">
        <f t="shared" si="129"/>
        <v/>
      </c>
      <c r="AL146" s="714"/>
      <c r="AM146" s="114" t="str">
        <f t="shared" si="130"/>
        <v/>
      </c>
      <c r="AN146" s="115"/>
      <c r="AO146" s="116"/>
      <c r="AP146" s="116"/>
      <c r="AQ146" s="116"/>
      <c r="AR146" s="116"/>
      <c r="AS146" s="116"/>
      <c r="AT146" s="116"/>
      <c r="AU146" s="116"/>
      <c r="AV146" s="78"/>
      <c r="AW146" s="102"/>
      <c r="AX146" s="78"/>
      <c r="AY146" s="78"/>
      <c r="AZ146" s="78"/>
      <c r="BA146" s="78"/>
      <c r="BB146" s="78"/>
      <c r="BC146" s="78"/>
      <c r="BD146" s="78"/>
      <c r="BE146" s="465"/>
      <c r="BF146" s="165" t="str">
        <f t="shared" si="131"/>
        <v>https://www.google.com/search?tbm=isch&amp;q=Acer%20palmatum%20%27Okushimo%27%20Okushimo%20Japanese%20Maple</v>
      </c>
      <c r="BG146" s="165" t="str">
        <f t="shared" si="132"/>
        <v>A</v>
      </c>
      <c r="BH146" s="65"/>
      <c r="BI146" s="65"/>
      <c r="BJ146" s="65"/>
      <c r="BK146" s="65"/>
      <c r="BL146" s="99"/>
      <c r="BM146" s="99"/>
      <c r="BN146" s="99"/>
    </row>
    <row r="147" spans="1:66" s="51" customFormat="1" ht="27" x14ac:dyDescent="0.25">
      <c r="A147" s="634">
        <v>15</v>
      </c>
      <c r="B147" s="635" t="s">
        <v>291</v>
      </c>
      <c r="C147" s="636" t="s">
        <v>1227</v>
      </c>
      <c r="D147" s="637" t="s">
        <v>299</v>
      </c>
      <c r="E147" s="638">
        <v>385.95</v>
      </c>
      <c r="F147" s="639" t="s">
        <v>292</v>
      </c>
      <c r="G147" s="484">
        <v>0</v>
      </c>
      <c r="H147" s="691" t="str">
        <f>IF(G147=0,"",IF(F147="Buy",IF(G147=1,"plant","plants"),IF(F147&gt;0.01,"warranty","Error")))</f>
        <v/>
      </c>
      <c r="I147" s="640">
        <f>IF(H147="free",0,IF(H147="credit",((E147*(F147))*G147*-1),IF(F147="Buy",(E147*G147),((E147*(1-F147))*G147))))</f>
        <v>0</v>
      </c>
      <c r="J147" s="640">
        <f>IF(H147="warranty",0,(I147*(_xlfn.SINGLE(SalesTaxPercentage))))</f>
        <v>0</v>
      </c>
      <c r="K147" s="716">
        <f t="shared" ref="K147" si="133">I147+J147</f>
        <v>0</v>
      </c>
      <c r="L147" s="716"/>
      <c r="M147" s="689" t="str">
        <f ca="1">IF(AND(G147&gt;0,E147=0),"WARNING - no PRICE inserted",IF(H147="free","FREE ~ no charge this plant",IF(H147="credit",CONCATENATE("-$",ROUND(K147*(1-_xlfn.SINGLE(T2GDiscount))*-1,2)," CREDIT after discount"),IF(_xlfn.SINGLE(T2GDiscount)=0,"",IF(G147=0,"",IF(F147="Buy",CONCATENATE("$",ROUND(K147*(1-_xlfn.SINGLE(T2GDiscount)),2)," with ",(_xlfn.SINGLE(T2GDiscount)*100),"% discount"),CONCATENATE("$",ROUND(K147*(1-_xlfn.SINGLE(T2GDiscount)),2)," with ",((_xlfn.SINGLE(T2GDiscount)*100+F147*100)-(_xlfn.SINGLE(T2GDiscount)*100*F147)),IF(F147&gt;0,"% discounts",IF(_xlfn.SINGLE(NoWarrantyDiscount)&gt;0,"% discounts","% discount")))))))))</f>
        <v/>
      </c>
      <c r="N147" s="690"/>
      <c r="O147" s="486"/>
      <c r="P147" s="486"/>
      <c r="Q147" s="486"/>
      <c r="R147" s="486"/>
      <c r="S147" s="486"/>
      <c r="T147" s="102">
        <f t="shared" si="120"/>
        <v>0</v>
      </c>
      <c r="U147" s="78">
        <f>IF(NOT(ISNUMBER(G147)), "", VLOOKUP(A147,'Discount Lookup'!D:E,2,FALSE)*G147)</f>
        <v>0</v>
      </c>
      <c r="V147" s="78">
        <f>IF(NOT(ISNUMBER(G147)), "", VLOOKUP(A147,'Discount Lookup'!G:H,2,FALSE)*G147)</f>
        <v>0</v>
      </c>
      <c r="W147" s="102">
        <f t="shared" si="121"/>
        <v>0</v>
      </c>
      <c r="X147" s="102">
        <f t="shared" si="122"/>
        <v>0</v>
      </c>
      <c r="Y147" s="120" t="b">
        <f t="shared" si="123"/>
        <v>0</v>
      </c>
      <c r="Z147" s="117">
        <f t="shared" si="124"/>
        <v>0</v>
      </c>
      <c r="AA147" s="118"/>
      <c r="AB147" s="118" t="str">
        <f t="shared" si="125"/>
        <v/>
      </c>
      <c r="AC147" s="712" t="str">
        <f>IF(AE147="T2G","no charge",IF(AND(OR(PlanterYesMe="No",PlanterYesMe="N",PlanterYesMe="me"),H147=""),"",IF(H147="credit","NO install",IF(AND(K147="",AE147="me"),"EACH row",IF(AND(K147="images",AE147="me"),"EACH row",IF(D147="","",IF(H147="credit","",IF(AE147="free","re-planting",IF(AE147="me","   not ELP, by",IF(AND(OR(PlanterYesMe="Yes",PlanterYesMe="Y"),G147&gt;0),(VLOOKUP(A147,'Discount Lookup'!J:K,2)*G147*(1-PlanterDiscount)*(1+PlanterDifficultyPercentage)),IF(AE147="ELP",(VLOOKUP(A147,'Discount Lookup'!J:K,2)*G147*(1-PlanterDiscount)*(1+PlanterDifficultyPercentage)),IF(AE147="free","re-planting",IF(G147=0,"",IF(PlanterYesMe="",IF(AE147="me","   not ELP, by",IF(AE147="",IF(G147&gt;0,(VLOOKUP(A147,'Discount Lookup'!J:K,2)*G147*(1-PlanterDiscount)*(1+PlanterDifficultyPercentage)),""),"")),"   not ELP, by"))))))))))))))</f>
        <v/>
      </c>
      <c r="AD147" s="712"/>
      <c r="AE147" s="513" t="str">
        <f t="shared" si="126"/>
        <v/>
      </c>
      <c r="AF147" s="713" t="str">
        <f t="shared" si="127"/>
        <v/>
      </c>
      <c r="AG147" s="713"/>
      <c r="AH147" s="713"/>
      <c r="AI147" s="112">
        <f>IF(H147="credit",0,IF(AE147="free",0,IF(AE147="me",0,IF(G147&gt;0,(VLOOKUP(A147,'Discount Lookup'!J:K,2)*G147),0))))</f>
        <v>0</v>
      </c>
      <c r="AJ147" s="107" t="str">
        <f t="shared" ca="1" si="128"/>
        <v/>
      </c>
      <c r="AK147" s="714" t="str">
        <f t="shared" si="129"/>
        <v/>
      </c>
      <c r="AL147" s="714"/>
      <c r="AM147" s="114" t="str">
        <f t="shared" si="130"/>
        <v/>
      </c>
      <c r="AN147" s="115"/>
      <c r="AO147" s="116"/>
      <c r="AP147" s="116"/>
      <c r="AQ147" s="116"/>
      <c r="AR147" s="116"/>
      <c r="AS147" s="116"/>
      <c r="AT147" s="116"/>
      <c r="AU147" s="116"/>
      <c r="AV147" s="78"/>
      <c r="AW147" s="102"/>
      <c r="AX147" s="78"/>
      <c r="AY147" s="78"/>
      <c r="AZ147" s="78"/>
      <c r="BA147" s="78"/>
      <c r="BB147" s="78"/>
      <c r="BC147" s="78"/>
      <c r="BD147" s="78"/>
      <c r="BE147" s="465"/>
      <c r="BF147" s="165" t="str">
        <f t="shared" si="131"/>
        <v>https://www.google.com/search?tbm=isch&amp;q=15%20G4</v>
      </c>
      <c r="BG147" s="165" t="str">
        <f t="shared" si="132"/>
        <v>A</v>
      </c>
      <c r="BH147" s="65"/>
      <c r="BI147" s="65"/>
      <c r="BJ147" s="65"/>
      <c r="BK147" s="65"/>
      <c r="BL147" s="99"/>
      <c r="BM147" s="99"/>
      <c r="BN147" s="99"/>
    </row>
    <row r="148" spans="1:66" s="51" customFormat="1" ht="17.25" thickBot="1" x14ac:dyDescent="0.3">
      <c r="A148" s="641" t="s">
        <v>1228</v>
      </c>
      <c r="B148" s="642"/>
      <c r="C148" s="710"/>
      <c r="D148" s="643"/>
      <c r="E148" s="643"/>
      <c r="F148" s="644"/>
      <c r="G148" s="645"/>
      <c r="H148" s="646"/>
      <c r="I148" s="647"/>
      <c r="J148" s="648"/>
      <c r="K148" s="649"/>
      <c r="L148" s="650"/>
      <c r="M148" s="650"/>
      <c r="N148" s="644"/>
      <c r="O148" s="644"/>
      <c r="P148" s="644"/>
      <c r="Q148" s="644"/>
      <c r="R148" s="644"/>
      <c r="S148" s="651"/>
      <c r="T148" s="102">
        <f t="shared" si="120"/>
        <v>0</v>
      </c>
      <c r="U148" s="78" t="str">
        <f>IF(NOT(ISNUMBER(G148)), "", VLOOKUP(A148,'Discount Lookup'!D:E,2,FALSE)*G148)</f>
        <v/>
      </c>
      <c r="V148" s="78" t="str">
        <f>IF(NOT(ISNUMBER(G148)), "", VLOOKUP(A148,'Discount Lookup'!G:H,2,FALSE)*G148)</f>
        <v/>
      </c>
      <c r="W148" s="102">
        <f t="shared" si="121"/>
        <v>0</v>
      </c>
      <c r="X148" s="102">
        <f t="shared" si="122"/>
        <v>0</v>
      </c>
      <c r="Y148" s="120" t="b">
        <f t="shared" si="123"/>
        <v>0</v>
      </c>
      <c r="Z148" s="117">
        <f t="shared" si="124"/>
        <v>0</v>
      </c>
      <c r="AA148" s="118"/>
      <c r="AB148" s="118" t="str">
        <f t="shared" si="125"/>
        <v/>
      </c>
      <c r="AC148" s="712" t="str">
        <f>IF(AE148="T2G","no charge",IF(AND(OR(PlanterYesMe="No",PlanterYesMe="N",PlanterYesMe="me"),H148=""),"",IF(H148="credit","NO install",IF(AND(K148="",AE148="me"),"EACH row",IF(AND(K148="images",AE148="me"),"EACH row",IF(D148="","",IF(H148="credit","",IF(AE148="free","re-planting",IF(AE148="me","   not ELP, by",IF(AND(OR(PlanterYesMe="Yes",PlanterYesMe="Y"),G148&gt;0),(VLOOKUP(A148,'Discount Lookup'!J:K,2)*G148*(1-PlanterDiscount)*(1+PlanterDifficultyPercentage)),IF(AE148="ELP",(VLOOKUP(A148,'Discount Lookup'!J:K,2)*G148*(1-PlanterDiscount)*(1+PlanterDifficultyPercentage)),IF(AE148="free","re-planting",IF(G148=0,"",IF(PlanterYesMe="",IF(AE148="me","   not ELP, by",IF(AE148="",IF(G148&gt;0,(VLOOKUP(A148,'Discount Lookup'!J:K,2)*G148*(1-PlanterDiscount)*(1+PlanterDifficultyPercentage)),""),"")),"   not ELP, by"))))))))))))))</f>
        <v/>
      </c>
      <c r="AD148" s="712"/>
      <c r="AE148" s="513" t="str">
        <f t="shared" si="126"/>
        <v/>
      </c>
      <c r="AF148" s="713" t="str">
        <f t="shared" si="127"/>
        <v/>
      </c>
      <c r="AG148" s="713"/>
      <c r="AH148" s="713"/>
      <c r="AI148" s="112">
        <f>IF(H148="credit",0,IF(AE148="free",0,IF(AE148="me",0,IF(G148&gt;0,(VLOOKUP(A148,'Discount Lookup'!J:K,2)*G148),0))))</f>
        <v>0</v>
      </c>
      <c r="AJ148" s="107" t="str">
        <f t="shared" ca="1" si="128"/>
        <v/>
      </c>
      <c r="AK148" s="714" t="str">
        <f t="shared" si="129"/>
        <v/>
      </c>
      <c r="AL148" s="714"/>
      <c r="AM148" s="114" t="str">
        <f t="shared" si="130"/>
        <v/>
      </c>
      <c r="AN148" s="115"/>
      <c r="AO148" s="116"/>
      <c r="AP148" s="116"/>
      <c r="AQ148" s="116"/>
      <c r="AR148" s="116"/>
      <c r="AS148" s="116"/>
      <c r="AT148" s="116"/>
      <c r="AU148" s="116"/>
      <c r="AV148" s="78"/>
      <c r="AW148" s="102"/>
      <c r="AX148" s="78"/>
      <c r="AY148" s="78"/>
      <c r="AZ148" s="78"/>
      <c r="BA148" s="78"/>
      <c r="BB148" s="78"/>
      <c r="BC148" s="78"/>
      <c r="BD148" s="78"/>
      <c r="BE148" s="465"/>
      <c r="BF148" s="165" t="str">
        <f t="shared" si="131"/>
        <v>https://www.google.com/search?tbm=isch&amp;q=Okushimo%20known%20for%20it%27s%20distinctive%20rolled%20leaf%20edges.%20Reddish%20tint%20to%20new%20growth%20on%20summer%20green%20foliage%2C%20turning%20Yellow%20to%20Gold%20to%20Orange%20in%20fall%20</v>
      </c>
      <c r="BG148" s="165" t="str">
        <f t="shared" si="132"/>
        <v>O</v>
      </c>
      <c r="BH148" s="65"/>
      <c r="BI148" s="65"/>
      <c r="BJ148" s="65"/>
      <c r="BK148" s="65"/>
      <c r="BL148" s="99"/>
      <c r="BM148" s="99"/>
      <c r="BN148" s="99"/>
    </row>
    <row r="149" spans="1:66" s="51" customFormat="1" ht="18" x14ac:dyDescent="0.25">
      <c r="A149" s="623" t="s">
        <v>1229</v>
      </c>
      <c r="B149" s="624"/>
      <c r="C149" s="709"/>
      <c r="D149" s="625" t="s">
        <v>1230</v>
      </c>
      <c r="E149" s="626"/>
      <c r="F149" s="626"/>
      <c r="G149" s="626"/>
      <c r="H149" s="622" t="s">
        <v>1231</v>
      </c>
      <c r="I149" s="627" t="s">
        <v>1232</v>
      </c>
      <c r="J149" s="628"/>
      <c r="K149" s="628"/>
      <c r="L149" s="629"/>
      <c r="M149" s="700" t="s">
        <v>5249</v>
      </c>
      <c r="N149" s="693" t="str">
        <f>IF(AND(ISTEXT($A149), ISERROR($A149+0)), HYPERLINK($BF149, "Images"), "")</f>
        <v>Images</v>
      </c>
      <c r="O149" s="695" t="s">
        <v>5247</v>
      </c>
      <c r="P149" s="630"/>
      <c r="Q149" s="631"/>
      <c r="R149" s="632"/>
      <c r="S149" s="633"/>
      <c r="T149" s="102">
        <f t="shared" si="120"/>
        <v>0</v>
      </c>
      <c r="U149" s="78" t="str">
        <f>IF(NOT(ISNUMBER(G149)), "", VLOOKUP(A149,'Discount Lookup'!D:E,2,FALSE)*G149)</f>
        <v/>
      </c>
      <c r="V149" s="78" t="str">
        <f>IF(NOT(ISNUMBER(G149)), "", VLOOKUP(A149,'Discount Lookup'!G:H,2,FALSE)*G149)</f>
        <v/>
      </c>
      <c r="W149" s="102">
        <f t="shared" si="121"/>
        <v>0</v>
      </c>
      <c r="X149" s="102" t="str">
        <f t="shared" si="122"/>
        <v>Red-Purple-Green foliage</v>
      </c>
      <c r="Y149" s="120" t="b">
        <f t="shared" si="123"/>
        <v>0</v>
      </c>
      <c r="Z149" s="117">
        <f t="shared" si="124"/>
        <v>0</v>
      </c>
      <c r="AA149" s="118"/>
      <c r="AB149" s="118" t="str">
        <f t="shared" si="125"/>
        <v/>
      </c>
      <c r="AC149" s="712" t="str">
        <f>IF(AE149="T2G","no charge",IF(AND(OR(PlanterYesMe="No",PlanterYesMe="N",PlanterYesMe="me"),H149=""),"",IF(H149="credit","NO install",IF(AND(K149="",AE149="me"),"EACH row",IF(AND(K149="images",AE149="me"),"EACH row",IF(D149="","",IF(H149="credit","",IF(AE149="free","re-planting",IF(AE149="me","   not ELP, by",IF(AND(OR(PlanterYesMe="Yes",PlanterYesMe="Y"),G149&gt;0),(VLOOKUP(A149,'Discount Lookup'!J:K,2)*G149*(1-PlanterDiscount)*(1+PlanterDifficultyPercentage)),IF(AE149="ELP",(VLOOKUP(A149,'Discount Lookup'!J:K,2)*G149*(1-PlanterDiscount)*(1+PlanterDifficultyPercentage)),IF(AE149="free","re-planting",IF(G149=0,"",IF(PlanterYesMe="",IF(AE149="me","   not ELP, by",IF(AE149="",IF(G149&gt;0,(VLOOKUP(A149,'Discount Lookup'!J:K,2)*G149*(1-PlanterDiscount)*(1+PlanterDifficultyPercentage)),""),"")),"   not ELP, by"))))))))))))))</f>
        <v/>
      </c>
      <c r="AD149" s="712"/>
      <c r="AE149" s="513" t="str">
        <f t="shared" si="126"/>
        <v/>
      </c>
      <c r="AF149" s="713" t="str">
        <f t="shared" si="127"/>
        <v/>
      </c>
      <c r="AG149" s="713"/>
      <c r="AH149" s="713"/>
      <c r="AI149" s="112">
        <f>IF(H149="credit",0,IF(AE149="free",0,IF(AE149="me",0,IF(G149&gt;0,(VLOOKUP(A149,'Discount Lookup'!J:K,2)*G149),0))))</f>
        <v>0</v>
      </c>
      <c r="AJ149" s="107" t="str">
        <f t="shared" ca="1" si="128"/>
        <v/>
      </c>
      <c r="AK149" s="714" t="str">
        <f t="shared" si="129"/>
        <v/>
      </c>
      <c r="AL149" s="714"/>
      <c r="AM149" s="114" t="str">
        <f t="shared" si="130"/>
        <v/>
      </c>
      <c r="AN149" s="115"/>
      <c r="AO149" s="116"/>
      <c r="AP149" s="116"/>
      <c r="AQ149" s="116"/>
      <c r="AR149" s="116"/>
      <c r="AS149" s="116"/>
      <c r="AT149" s="116"/>
      <c r="AU149" s="116"/>
      <c r="AV149" s="78"/>
      <c r="AW149" s="102"/>
      <c r="AX149" s="78"/>
      <c r="AY149" s="78"/>
      <c r="AZ149" s="78"/>
      <c r="BA149" s="78"/>
      <c r="BB149" s="78"/>
      <c r="BC149" s="78"/>
      <c r="BD149" s="78"/>
      <c r="BE149" s="465"/>
      <c r="BF149" s="165" t="str">
        <f t="shared" si="131"/>
        <v>https://www.google.com/search?tbm=isch&amp;q=Acer%20palmatum%20%27Purple%20Ghost%27%20Purple%20Ghost%20Japanese%20Maple</v>
      </c>
      <c r="BG149" s="165" t="str">
        <f t="shared" si="132"/>
        <v>A</v>
      </c>
      <c r="BH149" s="65"/>
      <c r="BI149" s="65"/>
      <c r="BJ149" s="65"/>
      <c r="BK149" s="65"/>
      <c r="BL149" s="99"/>
      <c r="BM149" s="99"/>
      <c r="BN149" s="99"/>
    </row>
    <row r="150" spans="1:66" s="51" customFormat="1" ht="15.75" x14ac:dyDescent="0.25">
      <c r="A150" s="634">
        <v>7</v>
      </c>
      <c r="B150" s="635" t="s">
        <v>291</v>
      </c>
      <c r="C150" s="636" t="s">
        <v>1233</v>
      </c>
      <c r="D150" s="637" t="s">
        <v>299</v>
      </c>
      <c r="E150" s="638">
        <v>224.95</v>
      </c>
      <c r="F150" s="639" t="s">
        <v>292</v>
      </c>
      <c r="G150" s="484">
        <v>0</v>
      </c>
      <c r="H150" s="691" t="str">
        <f>IF(G150=0,"",IF(F150="Buy",IF(G150=1,"plant","plants"),IF(F150&gt;0.01,"warranty","Error")))</f>
        <v/>
      </c>
      <c r="I150" s="640">
        <f>IF(H150="free",0,IF(H150="credit",((E150*(F150))*G150*-1),IF(F150="Buy",(E150*G150),((E150*(1-F150))*G150))))</f>
        <v>0</v>
      </c>
      <c r="J150" s="640">
        <f>IF(H150="warranty",0,(I150*(_xlfn.SINGLE(SalesTaxPercentage))))</f>
        <v>0</v>
      </c>
      <c r="K150" s="716">
        <f t="shared" ref="K150" si="134">I150+J150</f>
        <v>0</v>
      </c>
      <c r="L150" s="716"/>
      <c r="M150" s="689" t="str">
        <f ca="1">IF(AND(G150&gt;0,E150=0),"WARNING - no PRICE inserted",IF(H150="free","FREE ~ no charge this plant",IF(H150="credit",CONCATENATE("-$",ROUND(K150*(1-_xlfn.SINGLE(T2GDiscount))*-1,2)," CREDIT after discount"),IF(_xlfn.SINGLE(T2GDiscount)=0,"",IF(G150=0,"",IF(F150="Buy",CONCATENATE("$",ROUND(K150*(1-_xlfn.SINGLE(T2GDiscount)),2)," with ",(_xlfn.SINGLE(T2GDiscount)*100),"% discount"),CONCATENATE("$",ROUND(K150*(1-_xlfn.SINGLE(T2GDiscount)),2)," with ",((_xlfn.SINGLE(T2GDiscount)*100+F150*100)-(_xlfn.SINGLE(T2GDiscount)*100*F150)),IF(F150&gt;0,"% discounts",IF(_xlfn.SINGLE(NoWarrantyDiscount)&gt;0,"% discounts","% discount")))))))))</f>
        <v/>
      </c>
      <c r="N150" s="690"/>
      <c r="O150" s="486"/>
      <c r="P150" s="486"/>
      <c r="Q150" s="486"/>
      <c r="R150" s="486"/>
      <c r="S150" s="486"/>
      <c r="T150" s="102">
        <f t="shared" si="120"/>
        <v>0</v>
      </c>
      <c r="U150" s="78">
        <f>IF(NOT(ISNUMBER(G150)), "", VLOOKUP(A150,'Discount Lookup'!D:E,2,FALSE)*G150)</f>
        <v>0</v>
      </c>
      <c r="V150" s="78">
        <f>IF(NOT(ISNUMBER(G150)), "", VLOOKUP(A150,'Discount Lookup'!G:H,2,FALSE)*G150)</f>
        <v>0</v>
      </c>
      <c r="W150" s="102">
        <f t="shared" si="121"/>
        <v>0</v>
      </c>
      <c r="X150" s="102">
        <f t="shared" si="122"/>
        <v>0</v>
      </c>
      <c r="Y150" s="120" t="b">
        <f t="shared" si="123"/>
        <v>0</v>
      </c>
      <c r="Z150" s="117">
        <f t="shared" si="124"/>
        <v>0</v>
      </c>
      <c r="AA150" s="118"/>
      <c r="AB150" s="118" t="str">
        <f t="shared" si="125"/>
        <v/>
      </c>
      <c r="AC150" s="712" t="str">
        <f>IF(AE150="T2G","no charge",IF(AND(OR(PlanterYesMe="No",PlanterYesMe="N",PlanterYesMe="me"),H150=""),"",IF(H150="credit","NO install",IF(AND(K150="",AE150="me"),"EACH row",IF(AND(K150="images",AE150="me"),"EACH row",IF(D150="","",IF(H150="credit","",IF(AE150="free","re-planting",IF(AE150="me","   not ELP, by",IF(AND(OR(PlanterYesMe="Yes",PlanterYesMe="Y"),G150&gt;0),(VLOOKUP(A150,'Discount Lookup'!J:K,2)*G150*(1-PlanterDiscount)*(1+PlanterDifficultyPercentage)),IF(AE150="ELP",(VLOOKUP(A150,'Discount Lookup'!J:K,2)*G150*(1-PlanterDiscount)*(1+PlanterDifficultyPercentage)),IF(AE150="free","re-planting",IF(G150=0,"",IF(PlanterYesMe="",IF(AE150="me","   not ELP, by",IF(AE150="",IF(G150&gt;0,(VLOOKUP(A150,'Discount Lookup'!J:K,2)*G150*(1-PlanterDiscount)*(1+PlanterDifficultyPercentage)),""),"")),"   not ELP, by"))))))))))))))</f>
        <v/>
      </c>
      <c r="AD150" s="712"/>
      <c r="AE150" s="513" t="str">
        <f t="shared" si="126"/>
        <v/>
      </c>
      <c r="AF150" s="713" t="str">
        <f t="shared" si="127"/>
        <v/>
      </c>
      <c r="AG150" s="713"/>
      <c r="AH150" s="713"/>
      <c r="AI150" s="112">
        <f>IF(H150="credit",0,IF(AE150="free",0,IF(AE150="me",0,IF(G150&gt;0,(VLOOKUP(A150,'Discount Lookup'!J:K,2)*G150),0))))</f>
        <v>0</v>
      </c>
      <c r="AJ150" s="107" t="str">
        <f t="shared" ca="1" si="128"/>
        <v/>
      </c>
      <c r="AK150" s="714" t="str">
        <f t="shared" si="129"/>
        <v/>
      </c>
      <c r="AL150" s="714"/>
      <c r="AM150" s="114" t="str">
        <f t="shared" si="130"/>
        <v/>
      </c>
      <c r="AN150" s="115"/>
      <c r="AO150" s="116"/>
      <c r="AP150" s="116"/>
      <c r="AQ150" s="116"/>
      <c r="AR150" s="116"/>
      <c r="AS150" s="116"/>
      <c r="AT150" s="116"/>
      <c r="AU150" s="116"/>
      <c r="AV150" s="78"/>
      <c r="AW150" s="102"/>
      <c r="AX150" s="78"/>
      <c r="AY150" s="78"/>
      <c r="AZ150" s="78"/>
      <c r="BA150" s="78"/>
      <c r="BB150" s="78"/>
      <c r="BC150" s="78"/>
      <c r="BD150" s="78"/>
      <c r="BE150" s="465"/>
      <c r="BF150" s="165" t="str">
        <f t="shared" si="131"/>
        <v>https://www.google.com/search?tbm=isch&amp;q=7%20G4</v>
      </c>
      <c r="BG150" s="165" t="str">
        <f t="shared" si="132"/>
        <v>A</v>
      </c>
      <c r="BH150" s="65"/>
      <c r="BI150" s="65"/>
      <c r="BJ150" s="65"/>
      <c r="BK150" s="65"/>
      <c r="BL150" s="99"/>
      <c r="BM150" s="99"/>
      <c r="BN150" s="99"/>
    </row>
    <row r="151" spans="1:66" s="51" customFormat="1" ht="15.75" x14ac:dyDescent="0.25">
      <c r="A151" s="634">
        <v>10</v>
      </c>
      <c r="B151" s="635" t="s">
        <v>291</v>
      </c>
      <c r="C151" s="636" t="s">
        <v>1234</v>
      </c>
      <c r="D151" s="637" t="s">
        <v>299</v>
      </c>
      <c r="E151" s="638">
        <v>309.95</v>
      </c>
      <c r="F151" s="639" t="s">
        <v>292</v>
      </c>
      <c r="G151" s="484">
        <v>0</v>
      </c>
      <c r="H151" s="691" t="str">
        <f>IF(G151=0,"",IF(F151="Buy",IF(G151=1,"plant","plants"),IF(F151&gt;0.01,"warranty","Error")))</f>
        <v/>
      </c>
      <c r="I151" s="640">
        <f>IF(H151="free",0,IF(H151="credit",((E151*(F151))*G151*-1),IF(F151="Buy",(E151*G151),((E151*(1-F151))*G151))))</f>
        <v>0</v>
      </c>
      <c r="J151" s="640">
        <f>IF(H151="warranty",0,(I151*(_xlfn.SINGLE(SalesTaxPercentage))))</f>
        <v>0</v>
      </c>
      <c r="K151" s="716">
        <f t="shared" ref="K151" si="135">I151+J151</f>
        <v>0</v>
      </c>
      <c r="L151" s="716"/>
      <c r="M151" s="689" t="str">
        <f ca="1">IF(AND(G151&gt;0,E151=0),"WARNING - no PRICE inserted",IF(H151="free","FREE ~ no charge this plant",IF(H151="credit",CONCATENATE("-$",ROUND(K151*(1-_xlfn.SINGLE(T2GDiscount))*-1,2)," CREDIT after discount"),IF(_xlfn.SINGLE(T2GDiscount)=0,"",IF(G151=0,"",IF(F151="Buy",CONCATENATE("$",ROUND(K151*(1-_xlfn.SINGLE(T2GDiscount)),2)," with ",(_xlfn.SINGLE(T2GDiscount)*100),"% discount"),CONCATENATE("$",ROUND(K151*(1-_xlfn.SINGLE(T2GDiscount)),2)," with ",((_xlfn.SINGLE(T2GDiscount)*100+F151*100)-(_xlfn.SINGLE(T2GDiscount)*100*F151)),IF(F151&gt;0,"% discounts",IF(_xlfn.SINGLE(NoWarrantyDiscount)&gt;0,"% discounts","% discount")))))))))</f>
        <v/>
      </c>
      <c r="N151" s="690"/>
      <c r="O151" s="486"/>
      <c r="P151" s="486"/>
      <c r="Q151" s="486"/>
      <c r="R151" s="486"/>
      <c r="S151" s="486"/>
      <c r="T151" s="102">
        <f t="shared" si="120"/>
        <v>0</v>
      </c>
      <c r="U151" s="78">
        <f>IF(NOT(ISNUMBER(G151)), "", VLOOKUP(A151,'Discount Lookup'!D:E,2,FALSE)*G151)</f>
        <v>0</v>
      </c>
      <c r="V151" s="78">
        <f>IF(NOT(ISNUMBER(G151)), "", VLOOKUP(A151,'Discount Lookup'!G:H,2,FALSE)*G151)</f>
        <v>0</v>
      </c>
      <c r="W151" s="102">
        <f t="shared" si="121"/>
        <v>0</v>
      </c>
      <c r="X151" s="102">
        <f t="shared" si="122"/>
        <v>0</v>
      </c>
      <c r="Y151" s="120" t="b">
        <f t="shared" si="123"/>
        <v>0</v>
      </c>
      <c r="Z151" s="117">
        <f t="shared" si="124"/>
        <v>0</v>
      </c>
      <c r="AA151" s="118"/>
      <c r="AB151" s="118" t="str">
        <f t="shared" si="125"/>
        <v/>
      </c>
      <c r="AC151" s="712" t="str">
        <f>IF(AE151="T2G","no charge",IF(AND(OR(PlanterYesMe="No",PlanterYesMe="N",PlanterYesMe="me"),H151=""),"",IF(H151="credit","NO install",IF(AND(K151="",AE151="me"),"EACH row",IF(AND(K151="images",AE151="me"),"EACH row",IF(D151="","",IF(H151="credit","",IF(AE151="free","re-planting",IF(AE151="me","   not ELP, by",IF(AND(OR(PlanterYesMe="Yes",PlanterYesMe="Y"),G151&gt;0),(VLOOKUP(A151,'Discount Lookup'!J:K,2)*G151*(1-PlanterDiscount)*(1+PlanterDifficultyPercentage)),IF(AE151="ELP",(VLOOKUP(A151,'Discount Lookup'!J:K,2)*G151*(1-PlanterDiscount)*(1+PlanterDifficultyPercentage)),IF(AE151="free","re-planting",IF(G151=0,"",IF(PlanterYesMe="",IF(AE151="me","   not ELP, by",IF(AE151="",IF(G151&gt;0,(VLOOKUP(A151,'Discount Lookup'!J:K,2)*G151*(1-PlanterDiscount)*(1+PlanterDifficultyPercentage)),""),"")),"   not ELP, by"))))))))))))))</f>
        <v/>
      </c>
      <c r="AD151" s="712"/>
      <c r="AE151" s="513" t="str">
        <f t="shared" si="126"/>
        <v/>
      </c>
      <c r="AF151" s="713" t="str">
        <f t="shared" si="127"/>
        <v/>
      </c>
      <c r="AG151" s="713"/>
      <c r="AH151" s="713"/>
      <c r="AI151" s="112">
        <f>IF(H151="credit",0,IF(AE151="free",0,IF(AE151="me",0,IF(G151&gt;0,(VLOOKUP(A151,'Discount Lookup'!J:K,2)*G151),0))))</f>
        <v>0</v>
      </c>
      <c r="AJ151" s="107" t="str">
        <f t="shared" ca="1" si="128"/>
        <v/>
      </c>
      <c r="AK151" s="714" t="str">
        <f t="shared" si="129"/>
        <v/>
      </c>
      <c r="AL151" s="714"/>
      <c r="AM151" s="114" t="str">
        <f t="shared" si="130"/>
        <v/>
      </c>
      <c r="AN151" s="115"/>
      <c r="AO151" s="116"/>
      <c r="AP151" s="116"/>
      <c r="AQ151" s="116"/>
      <c r="AR151" s="116"/>
      <c r="AS151" s="116"/>
      <c r="AT151" s="116"/>
      <c r="AU151" s="116"/>
      <c r="AV151" s="78"/>
      <c r="AW151" s="102"/>
      <c r="AX151" s="78"/>
      <c r="AY151" s="78"/>
      <c r="AZ151" s="78"/>
      <c r="BA151" s="78"/>
      <c r="BB151" s="78"/>
      <c r="BC151" s="78"/>
      <c r="BD151" s="78"/>
      <c r="BE151" s="465"/>
      <c r="BF151" s="165" t="str">
        <f t="shared" si="131"/>
        <v>https://www.google.com/search?tbm=isch&amp;q=10%20G4</v>
      </c>
      <c r="BG151" s="165" t="str">
        <f t="shared" si="132"/>
        <v>A</v>
      </c>
      <c r="BH151" s="65"/>
      <c r="BI151" s="65"/>
      <c r="BJ151" s="65"/>
      <c r="BK151" s="65"/>
      <c r="BL151" s="99"/>
      <c r="BM151" s="99"/>
      <c r="BN151" s="99"/>
    </row>
    <row r="152" spans="1:66" s="51" customFormat="1" ht="15.75" x14ac:dyDescent="0.25">
      <c r="A152" s="634">
        <v>15</v>
      </c>
      <c r="B152" s="635" t="s">
        <v>291</v>
      </c>
      <c r="C152" s="636" t="s">
        <v>1235</v>
      </c>
      <c r="D152" s="637" t="s">
        <v>299</v>
      </c>
      <c r="E152" s="638">
        <v>424.95</v>
      </c>
      <c r="F152" s="639" t="s">
        <v>292</v>
      </c>
      <c r="G152" s="484">
        <v>0</v>
      </c>
      <c r="H152" s="691" t="str">
        <f>IF(G152=0,"",IF(F152="Buy",IF(G152=1,"plant","plants"),IF(F152&gt;0.01,"warranty","Error")))</f>
        <v/>
      </c>
      <c r="I152" s="640">
        <f>IF(H152="free",0,IF(H152="credit",((E152*(F152))*G152*-1),IF(F152="Buy",(E152*G152),((E152*(1-F152))*G152))))</f>
        <v>0</v>
      </c>
      <c r="J152" s="640">
        <f>IF(H152="warranty",0,(I152*(_xlfn.SINGLE(SalesTaxPercentage))))</f>
        <v>0</v>
      </c>
      <c r="K152" s="716">
        <f t="shared" ref="K152" si="136">I152+J152</f>
        <v>0</v>
      </c>
      <c r="L152" s="716"/>
      <c r="M152" s="689" t="str">
        <f ca="1">IF(AND(G152&gt;0,E152=0),"WARNING - no PRICE inserted",IF(H152="free","FREE ~ no charge this plant",IF(H152="credit",CONCATENATE("-$",ROUND(K152*(1-_xlfn.SINGLE(T2GDiscount))*-1,2)," CREDIT after discount"),IF(_xlfn.SINGLE(T2GDiscount)=0,"",IF(G152=0,"",IF(F152="Buy",CONCATENATE("$",ROUND(K152*(1-_xlfn.SINGLE(T2GDiscount)),2)," with ",(_xlfn.SINGLE(T2GDiscount)*100),"% discount"),CONCATENATE("$",ROUND(K152*(1-_xlfn.SINGLE(T2GDiscount)),2)," with ",((_xlfn.SINGLE(T2GDiscount)*100+F152*100)-(_xlfn.SINGLE(T2GDiscount)*100*F152)),IF(F152&gt;0,"% discounts",IF(_xlfn.SINGLE(NoWarrantyDiscount)&gt;0,"% discounts","% discount")))))))))</f>
        <v/>
      </c>
      <c r="N152" s="690"/>
      <c r="O152" s="486"/>
      <c r="P152" s="486"/>
      <c r="Q152" s="486"/>
      <c r="R152" s="486"/>
      <c r="S152" s="486"/>
      <c r="T152" s="102">
        <f t="shared" si="120"/>
        <v>0</v>
      </c>
      <c r="U152" s="78">
        <f>IF(NOT(ISNUMBER(G152)), "", VLOOKUP(A152,'Discount Lookup'!D:E,2,FALSE)*G152)</f>
        <v>0</v>
      </c>
      <c r="V152" s="78">
        <f>IF(NOT(ISNUMBER(G152)), "", VLOOKUP(A152,'Discount Lookup'!G:H,2,FALSE)*G152)</f>
        <v>0</v>
      </c>
      <c r="W152" s="102">
        <f t="shared" si="121"/>
        <v>0</v>
      </c>
      <c r="X152" s="102">
        <f t="shared" si="122"/>
        <v>0</v>
      </c>
      <c r="Y152" s="120" t="b">
        <f t="shared" si="123"/>
        <v>0</v>
      </c>
      <c r="Z152" s="117">
        <f t="shared" si="124"/>
        <v>0</v>
      </c>
      <c r="AA152" s="118"/>
      <c r="AB152" s="118" t="str">
        <f t="shared" si="125"/>
        <v/>
      </c>
      <c r="AC152" s="712" t="str">
        <f>IF(AE152="T2G","no charge",IF(AND(OR(PlanterYesMe="No",PlanterYesMe="N",PlanterYesMe="me"),H152=""),"",IF(H152="credit","NO install",IF(AND(K152="",AE152="me"),"EACH row",IF(AND(K152="images",AE152="me"),"EACH row",IF(D152="","",IF(H152="credit","",IF(AE152="free","re-planting",IF(AE152="me","   not ELP, by",IF(AND(OR(PlanterYesMe="Yes",PlanterYesMe="Y"),G152&gt;0),(VLOOKUP(A152,'Discount Lookup'!J:K,2)*G152*(1-PlanterDiscount)*(1+PlanterDifficultyPercentage)),IF(AE152="ELP",(VLOOKUP(A152,'Discount Lookup'!J:K,2)*G152*(1-PlanterDiscount)*(1+PlanterDifficultyPercentage)),IF(AE152="free","re-planting",IF(G152=0,"",IF(PlanterYesMe="",IF(AE152="me","   not ELP, by",IF(AE152="",IF(G152&gt;0,(VLOOKUP(A152,'Discount Lookup'!J:K,2)*G152*(1-PlanterDiscount)*(1+PlanterDifficultyPercentage)),""),"")),"   not ELP, by"))))))))))))))</f>
        <v/>
      </c>
      <c r="AD152" s="712"/>
      <c r="AE152" s="513" t="str">
        <f t="shared" si="126"/>
        <v/>
      </c>
      <c r="AF152" s="713" t="str">
        <f t="shared" si="127"/>
        <v/>
      </c>
      <c r="AG152" s="713"/>
      <c r="AH152" s="713"/>
      <c r="AI152" s="112">
        <f>IF(H152="credit",0,IF(AE152="free",0,IF(AE152="me",0,IF(G152&gt;0,(VLOOKUP(A152,'Discount Lookup'!J:K,2)*G152),0))))</f>
        <v>0</v>
      </c>
      <c r="AJ152" s="107" t="str">
        <f t="shared" ca="1" si="128"/>
        <v/>
      </c>
      <c r="AK152" s="714" t="str">
        <f t="shared" si="129"/>
        <v/>
      </c>
      <c r="AL152" s="714"/>
      <c r="AM152" s="114" t="str">
        <f t="shared" si="130"/>
        <v/>
      </c>
      <c r="AN152" s="115"/>
      <c r="AO152" s="116"/>
      <c r="AP152" s="116"/>
      <c r="AQ152" s="116"/>
      <c r="AR152" s="116"/>
      <c r="AS152" s="116"/>
      <c r="AT152" s="116"/>
      <c r="AU152" s="116"/>
      <c r="AV152" s="78"/>
      <c r="AW152" s="102"/>
      <c r="AX152" s="78"/>
      <c r="AY152" s="78"/>
      <c r="AZ152" s="78"/>
      <c r="BA152" s="78"/>
      <c r="BB152" s="78"/>
      <c r="BC152" s="78"/>
      <c r="BD152" s="78"/>
      <c r="BE152" s="465"/>
      <c r="BF152" s="165" t="str">
        <f t="shared" si="131"/>
        <v>https://www.google.com/search?tbm=isch&amp;q=15%20G4</v>
      </c>
      <c r="BG152" s="165" t="str">
        <f t="shared" si="132"/>
        <v>A</v>
      </c>
      <c r="BH152" s="65"/>
      <c r="BI152" s="65"/>
      <c r="BJ152" s="65"/>
      <c r="BK152" s="65"/>
      <c r="BL152" s="99"/>
      <c r="BM152" s="99"/>
      <c r="BN152" s="99"/>
    </row>
    <row r="153" spans="1:66" s="51" customFormat="1" ht="15.75" x14ac:dyDescent="0.25">
      <c r="A153" s="634">
        <v>45</v>
      </c>
      <c r="B153" s="635" t="s">
        <v>291</v>
      </c>
      <c r="C153" s="636" t="s">
        <v>1236</v>
      </c>
      <c r="D153" s="637" t="s">
        <v>299</v>
      </c>
      <c r="E153" s="638">
        <v>1064.95</v>
      </c>
      <c r="F153" s="639" t="s">
        <v>292</v>
      </c>
      <c r="G153" s="484">
        <v>0</v>
      </c>
      <c r="H153" s="691" t="str">
        <f>IF(G153=0,"",IF(F153="Buy",IF(G153=1,"plant","plants"),IF(F153&gt;0.01,"warranty","Error")))</f>
        <v/>
      </c>
      <c r="I153" s="640">
        <f>IF(H153="free",0,IF(H153="credit",((E153*(F153))*G153*-1),IF(F153="Buy",(E153*G153),((E153*(1-F153))*G153))))</f>
        <v>0</v>
      </c>
      <c r="J153" s="640">
        <f>IF(H153="warranty",0,(I153*(_xlfn.SINGLE(SalesTaxPercentage))))</f>
        <v>0</v>
      </c>
      <c r="K153" s="716">
        <f t="shared" ref="K153" si="137">I153+J153</f>
        <v>0</v>
      </c>
      <c r="L153" s="716"/>
      <c r="M153" s="689" t="str">
        <f ca="1">IF(AND(G153&gt;0,E153=0),"WARNING - no PRICE inserted",IF(H153="free","FREE ~ no charge this plant",IF(H153="credit",CONCATENATE("-$",ROUND(K153*(1-_xlfn.SINGLE(T2GDiscount))*-1,2)," CREDIT after discount"),IF(_xlfn.SINGLE(T2GDiscount)=0,"",IF(G153=0,"",IF(F153="Buy",CONCATENATE("$",ROUND(K153*(1-_xlfn.SINGLE(T2GDiscount)),2)," with ",(_xlfn.SINGLE(T2GDiscount)*100),"% discount"),CONCATENATE("$",ROUND(K153*(1-_xlfn.SINGLE(T2GDiscount)),2)," with ",((_xlfn.SINGLE(T2GDiscount)*100+F153*100)-(_xlfn.SINGLE(T2GDiscount)*100*F153)),IF(F153&gt;0,"% discounts",IF(_xlfn.SINGLE(NoWarrantyDiscount)&gt;0,"% discounts","% discount")))))))))</f>
        <v/>
      </c>
      <c r="N153" s="690"/>
      <c r="O153" s="486"/>
      <c r="P153" s="486"/>
      <c r="Q153" s="486"/>
      <c r="R153" s="486"/>
      <c r="S153" s="486"/>
      <c r="T153" s="102">
        <f t="shared" si="120"/>
        <v>0</v>
      </c>
      <c r="U153" s="78">
        <f>IF(NOT(ISNUMBER(G153)), "", VLOOKUP(A153,'Discount Lookup'!D:E,2,FALSE)*G153)</f>
        <v>0</v>
      </c>
      <c r="V153" s="78">
        <f>IF(NOT(ISNUMBER(G153)), "", VLOOKUP(A153,'Discount Lookup'!G:H,2,FALSE)*G153)</f>
        <v>0</v>
      </c>
      <c r="W153" s="102">
        <f t="shared" si="121"/>
        <v>0</v>
      </c>
      <c r="X153" s="102">
        <f t="shared" si="122"/>
        <v>0</v>
      </c>
      <c r="Y153" s="120" t="b">
        <f t="shared" si="123"/>
        <v>0</v>
      </c>
      <c r="Z153" s="117">
        <f t="shared" si="124"/>
        <v>0</v>
      </c>
      <c r="AA153" s="118"/>
      <c r="AB153" s="118" t="str">
        <f t="shared" si="125"/>
        <v/>
      </c>
      <c r="AC153" s="712" t="str">
        <f>IF(AE153="T2G","no charge",IF(AND(OR(PlanterYesMe="No",PlanterYesMe="N",PlanterYesMe="me"),H153=""),"",IF(H153="credit","NO install",IF(AND(K153="",AE153="me"),"EACH row",IF(AND(K153="images",AE153="me"),"EACH row",IF(D153="","",IF(H153="credit","",IF(AE153="free","re-planting",IF(AE153="me","   not ELP, by",IF(AND(OR(PlanterYesMe="Yes",PlanterYesMe="Y"),G153&gt;0),(VLOOKUP(A153,'Discount Lookup'!J:K,2)*G153*(1-PlanterDiscount)*(1+PlanterDifficultyPercentage)),IF(AE153="ELP",(VLOOKUP(A153,'Discount Lookup'!J:K,2)*G153*(1-PlanterDiscount)*(1+PlanterDifficultyPercentage)),IF(AE153="free","re-planting",IF(G153=0,"",IF(PlanterYesMe="",IF(AE153="me","   not ELP, by",IF(AE153="",IF(G153&gt;0,(VLOOKUP(A153,'Discount Lookup'!J:K,2)*G153*(1-PlanterDiscount)*(1+PlanterDifficultyPercentage)),""),"")),"   not ELP, by"))))))))))))))</f>
        <v/>
      </c>
      <c r="AD153" s="712"/>
      <c r="AE153" s="513" t="str">
        <f t="shared" si="126"/>
        <v/>
      </c>
      <c r="AF153" s="713" t="str">
        <f t="shared" si="127"/>
        <v/>
      </c>
      <c r="AG153" s="713"/>
      <c r="AH153" s="713"/>
      <c r="AI153" s="112">
        <f>IF(H153="credit",0,IF(AE153="free",0,IF(AE153="me",0,IF(G153&gt;0,(VLOOKUP(A153,'Discount Lookup'!J:K,2)*G153),0))))</f>
        <v>0</v>
      </c>
      <c r="AJ153" s="107" t="str">
        <f t="shared" ca="1" si="128"/>
        <v/>
      </c>
      <c r="AK153" s="714" t="str">
        <f t="shared" si="129"/>
        <v/>
      </c>
      <c r="AL153" s="714"/>
      <c r="AM153" s="114" t="str">
        <f t="shared" si="130"/>
        <v/>
      </c>
      <c r="AN153" s="115"/>
      <c r="AO153" s="116"/>
      <c r="AP153" s="116"/>
      <c r="AQ153" s="116"/>
      <c r="AR153" s="116"/>
      <c r="AS153" s="116"/>
      <c r="AT153" s="116"/>
      <c r="AU153" s="116"/>
      <c r="AV153" s="78"/>
      <c r="AW153" s="102"/>
      <c r="AX153" s="78"/>
      <c r="AY153" s="78"/>
      <c r="AZ153" s="78"/>
      <c r="BA153" s="78"/>
      <c r="BB153" s="78"/>
      <c r="BC153" s="78"/>
      <c r="BD153" s="78"/>
      <c r="BE153" s="465"/>
      <c r="BF153" s="165" t="str">
        <f t="shared" si="131"/>
        <v>https://www.google.com/search?tbm=isch&amp;q=45%20G4</v>
      </c>
      <c r="BG153" s="165" t="str">
        <f t="shared" si="132"/>
        <v>A</v>
      </c>
      <c r="BH153" s="65"/>
      <c r="BI153" s="65"/>
      <c r="BJ153" s="65"/>
      <c r="BK153" s="65"/>
      <c r="BL153" s="99"/>
      <c r="BM153" s="99"/>
      <c r="BN153" s="99"/>
    </row>
    <row r="154" spans="1:66" s="51" customFormat="1" ht="17.25" thickBot="1" x14ac:dyDescent="0.3">
      <c r="A154" s="641" t="s">
        <v>1237</v>
      </c>
      <c r="B154" s="642"/>
      <c r="C154" s="710"/>
      <c r="D154" s="643"/>
      <c r="E154" s="643"/>
      <c r="F154" s="644"/>
      <c r="G154" s="645"/>
      <c r="H154" s="646"/>
      <c r="I154" s="647"/>
      <c r="J154" s="648"/>
      <c r="K154" s="649"/>
      <c r="L154" s="650"/>
      <c r="M154" s="650"/>
      <c r="N154" s="644"/>
      <c r="O154" s="644"/>
      <c r="P154" s="644"/>
      <c r="Q154" s="644"/>
      <c r="R154" s="644"/>
      <c r="S154" s="651"/>
      <c r="T154" s="102">
        <f t="shared" si="120"/>
        <v>0</v>
      </c>
      <c r="U154" s="78" t="str">
        <f>IF(NOT(ISNUMBER(G154)), "", VLOOKUP(A154,'Discount Lookup'!D:E,2,FALSE)*G154)</f>
        <v/>
      </c>
      <c r="V154" s="78" t="str">
        <f>IF(NOT(ISNUMBER(G154)), "", VLOOKUP(A154,'Discount Lookup'!G:H,2,FALSE)*G154)</f>
        <v/>
      </c>
      <c r="W154" s="102">
        <f t="shared" si="121"/>
        <v>0</v>
      </c>
      <c r="X154" s="102">
        <f t="shared" si="122"/>
        <v>0</v>
      </c>
      <c r="Y154" s="120" t="b">
        <f t="shared" si="123"/>
        <v>0</v>
      </c>
      <c r="Z154" s="117">
        <f t="shared" si="124"/>
        <v>0</v>
      </c>
      <c r="AA154" s="118"/>
      <c r="AB154" s="118" t="str">
        <f t="shared" si="125"/>
        <v/>
      </c>
      <c r="AC154" s="712" t="str">
        <f>IF(AE154="T2G","no charge",IF(AND(OR(PlanterYesMe="No",PlanterYesMe="N",PlanterYesMe="me"),H154=""),"",IF(H154="credit","NO install",IF(AND(K154="",AE154="me"),"EACH row",IF(AND(K154="images",AE154="me"),"EACH row",IF(D154="","",IF(H154="credit","",IF(AE154="free","re-planting",IF(AE154="me","   not ELP, by",IF(AND(OR(PlanterYesMe="Yes",PlanterYesMe="Y"),G154&gt;0),(VLOOKUP(A154,'Discount Lookup'!J:K,2)*G154*(1-PlanterDiscount)*(1+PlanterDifficultyPercentage)),IF(AE154="ELP",(VLOOKUP(A154,'Discount Lookup'!J:K,2)*G154*(1-PlanterDiscount)*(1+PlanterDifficultyPercentage)),IF(AE154="free","re-planting",IF(G154=0,"",IF(PlanterYesMe="",IF(AE154="me","   not ELP, by",IF(AE154="",IF(G154&gt;0,(VLOOKUP(A154,'Discount Lookup'!J:K,2)*G154*(1-PlanterDiscount)*(1+PlanterDifficultyPercentage)),""),"")),"   not ELP, by"))))))))))))))</f>
        <v/>
      </c>
      <c r="AD154" s="712"/>
      <c r="AE154" s="513" t="str">
        <f t="shared" si="126"/>
        <v/>
      </c>
      <c r="AF154" s="713" t="str">
        <f t="shared" si="127"/>
        <v/>
      </c>
      <c r="AG154" s="713"/>
      <c r="AH154" s="713"/>
      <c r="AI154" s="112">
        <f>IF(H154="credit",0,IF(AE154="free",0,IF(AE154="me",0,IF(G154&gt;0,(VLOOKUP(A154,'Discount Lookup'!J:K,2)*G154),0))))</f>
        <v>0</v>
      </c>
      <c r="AJ154" s="107" t="str">
        <f t="shared" ca="1" si="128"/>
        <v/>
      </c>
      <c r="AK154" s="714" t="str">
        <f t="shared" si="129"/>
        <v/>
      </c>
      <c r="AL154" s="714"/>
      <c r="AM154" s="114" t="str">
        <f t="shared" si="130"/>
        <v/>
      </c>
      <c r="AN154" s="115"/>
      <c r="AO154" s="116"/>
      <c r="AP154" s="116"/>
      <c r="AQ154" s="116"/>
      <c r="AR154" s="116"/>
      <c r="AS154" s="116"/>
      <c r="AT154" s="116"/>
      <c r="AU154" s="116"/>
      <c r="AV154" s="78"/>
      <c r="AW154" s="102"/>
      <c r="AX154" s="78"/>
      <c r="AY154" s="78"/>
      <c r="AZ154" s="78"/>
      <c r="BA154" s="78"/>
      <c r="BB154" s="78"/>
      <c r="BC154" s="78"/>
      <c r="BD154" s="78"/>
      <c r="BE154" s="465"/>
      <c r="BF154" s="165" t="str">
        <f t="shared" si="131"/>
        <v>https://www.google.com/search?tbm=isch&amp;q=Purple%20Ghost%20is%20named%20for%20it%27s%20skeletal%20appearance%20in%20the%20foliage.%20A%20stunner.%20Foliage%20turns%20fiery%20Orange%20to%20Crimson-Red%20in%20fall%20</v>
      </c>
      <c r="BG154" s="165" t="str">
        <f t="shared" si="132"/>
        <v>P</v>
      </c>
      <c r="BH154" s="65"/>
      <c r="BI154" s="65"/>
      <c r="BJ154" s="65"/>
      <c r="BK154" s="65"/>
      <c r="BL154" s="99"/>
      <c r="BM154" s="99"/>
      <c r="BN154" s="99"/>
    </row>
    <row r="155" spans="1:66" s="51" customFormat="1" ht="18" x14ac:dyDescent="0.25">
      <c r="A155" s="623" t="s">
        <v>1238</v>
      </c>
      <c r="B155" s="624"/>
      <c r="C155" s="709"/>
      <c r="D155" s="625" t="s">
        <v>1239</v>
      </c>
      <c r="E155" s="626"/>
      <c r="F155" s="626"/>
      <c r="G155" s="626"/>
      <c r="H155" s="622" t="s">
        <v>1240</v>
      </c>
      <c r="I155" s="627" t="s">
        <v>1199</v>
      </c>
      <c r="J155" s="628"/>
      <c r="K155" s="628"/>
      <c r="L155" s="629"/>
      <c r="M155" s="700" t="s">
        <v>5249</v>
      </c>
      <c r="N155" s="693" t="str">
        <f>IF(AND(ISTEXT($A155), ISERROR($A155+0)), HYPERLINK($BF155, "Images"), "")</f>
        <v>Images</v>
      </c>
      <c r="O155" s="695" t="s">
        <v>5247</v>
      </c>
      <c r="P155" s="630"/>
      <c r="Q155" s="631"/>
      <c r="R155" s="632"/>
      <c r="S155" s="633"/>
      <c r="T155" s="102">
        <f t="shared" si="120"/>
        <v>0</v>
      </c>
      <c r="U155" s="78" t="str">
        <f>IF(NOT(ISNUMBER(G155)), "", VLOOKUP(A155,'Discount Lookup'!D:E,2,FALSE)*G155)</f>
        <v/>
      </c>
      <c r="V155" s="78" t="str">
        <f>IF(NOT(ISNUMBER(G155)), "", VLOOKUP(A155,'Discount Lookup'!G:H,2,FALSE)*G155)</f>
        <v/>
      </c>
      <c r="W155" s="102">
        <f t="shared" si="121"/>
        <v>0</v>
      </c>
      <c r="X155" s="102" t="str">
        <f t="shared" si="122"/>
        <v>Burgundy-Red foliage</v>
      </c>
      <c r="Y155" s="120" t="b">
        <f t="shared" si="123"/>
        <v>0</v>
      </c>
      <c r="Z155" s="117">
        <f t="shared" si="124"/>
        <v>0</v>
      </c>
      <c r="AA155" s="118"/>
      <c r="AB155" s="118" t="str">
        <f t="shared" si="125"/>
        <v/>
      </c>
      <c r="AC155" s="712" t="str">
        <f>IF(AE155="T2G","no charge",IF(AND(OR(PlanterYesMe="No",PlanterYesMe="N",PlanterYesMe="me"),H155=""),"",IF(H155="credit","NO install",IF(AND(K155="",AE155="me"),"EACH row",IF(AND(K155="images",AE155="me"),"EACH row",IF(D155="","",IF(H155="credit","",IF(AE155="free","re-planting",IF(AE155="me","   not ELP, by",IF(AND(OR(PlanterYesMe="Yes",PlanterYesMe="Y"),G155&gt;0),(VLOOKUP(A155,'Discount Lookup'!J:K,2)*G155*(1-PlanterDiscount)*(1+PlanterDifficultyPercentage)),IF(AE155="ELP",(VLOOKUP(A155,'Discount Lookup'!J:K,2)*G155*(1-PlanterDiscount)*(1+PlanterDifficultyPercentage)),IF(AE155="free","re-planting",IF(G155=0,"",IF(PlanterYesMe="",IF(AE155="me","   not ELP, by",IF(AE155="",IF(G155&gt;0,(VLOOKUP(A155,'Discount Lookup'!J:K,2)*G155*(1-PlanterDiscount)*(1+PlanterDifficultyPercentage)),""),"")),"   not ELP, by"))))))))))))))</f>
        <v/>
      </c>
      <c r="AD155" s="712"/>
      <c r="AE155" s="513" t="str">
        <f t="shared" si="126"/>
        <v/>
      </c>
      <c r="AF155" s="713" t="str">
        <f t="shared" si="127"/>
        <v/>
      </c>
      <c r="AG155" s="713"/>
      <c r="AH155" s="713"/>
      <c r="AI155" s="112">
        <f>IF(H155="credit",0,IF(AE155="free",0,IF(AE155="me",0,IF(G155&gt;0,(VLOOKUP(A155,'Discount Lookup'!J:K,2)*G155),0))))</f>
        <v>0</v>
      </c>
      <c r="AJ155" s="107" t="str">
        <f t="shared" ca="1" si="128"/>
        <v/>
      </c>
      <c r="AK155" s="714" t="str">
        <f t="shared" si="129"/>
        <v/>
      </c>
      <c r="AL155" s="714"/>
      <c r="AM155" s="114" t="str">
        <f t="shared" si="130"/>
        <v/>
      </c>
      <c r="AN155" s="115"/>
      <c r="AO155" s="116"/>
      <c r="AP155" s="116"/>
      <c r="AQ155" s="116"/>
      <c r="AR155" s="116"/>
      <c r="AS155" s="116"/>
      <c r="AT155" s="116"/>
      <c r="AU155" s="116"/>
      <c r="AV155" s="78"/>
      <c r="AW155" s="102"/>
      <c r="AX155" s="78"/>
      <c r="AY155" s="78"/>
      <c r="AZ155" s="78"/>
      <c r="BA155" s="78"/>
      <c r="BB155" s="78"/>
      <c r="BC155" s="78"/>
      <c r="BD155" s="78"/>
      <c r="BE155" s="465"/>
      <c r="BF155" s="165" t="str">
        <f t="shared" si="131"/>
        <v>https://www.google.com/search?tbm=isch&amp;q=Acer%20palmatum%20%27Rhode%20Island%20Red%27%20Rhode%20Island%20Red%20Japanese%20Maple</v>
      </c>
      <c r="BG155" s="165" t="str">
        <f t="shared" si="132"/>
        <v>A</v>
      </c>
      <c r="BH155" s="65"/>
      <c r="BI155" s="65"/>
      <c r="BJ155" s="65"/>
      <c r="BK155" s="65"/>
      <c r="BL155" s="99"/>
      <c r="BM155" s="99"/>
      <c r="BN155" s="99"/>
    </row>
    <row r="156" spans="1:66" s="51" customFormat="1" ht="15.75" x14ac:dyDescent="0.25">
      <c r="A156" s="634">
        <v>7</v>
      </c>
      <c r="B156" s="635" t="s">
        <v>291</v>
      </c>
      <c r="C156" s="636" t="s">
        <v>1241</v>
      </c>
      <c r="D156" s="637" t="s">
        <v>299</v>
      </c>
      <c r="E156" s="638">
        <v>293.95</v>
      </c>
      <c r="F156" s="639" t="s">
        <v>292</v>
      </c>
      <c r="G156" s="484">
        <v>0</v>
      </c>
      <c r="H156" s="691" t="str">
        <f>IF(G156=0,"",IF(F156="Buy",IF(G156=1,"plant","plants"),IF(F156&gt;0.01,"warranty","Error")))</f>
        <v/>
      </c>
      <c r="I156" s="640">
        <f>IF(H156="free",0,IF(H156="credit",((E156*(F156))*G156*-1),IF(F156="Buy",(E156*G156),((E156*(1-F156))*G156))))</f>
        <v>0</v>
      </c>
      <c r="J156" s="640">
        <f>IF(H156="warranty",0,(I156*(_xlfn.SINGLE(SalesTaxPercentage))))</f>
        <v>0</v>
      </c>
      <c r="K156" s="716">
        <f t="shared" ref="K156" si="138">I156+J156</f>
        <v>0</v>
      </c>
      <c r="L156" s="716"/>
      <c r="M156" s="689" t="str">
        <f ca="1">IF(AND(G156&gt;0,E156=0),"WARNING - no PRICE inserted",IF(H156="free","FREE ~ no charge this plant",IF(H156="credit",CONCATENATE("-$",ROUND(K156*(1-_xlfn.SINGLE(T2GDiscount))*-1,2)," CREDIT after discount"),IF(_xlfn.SINGLE(T2GDiscount)=0,"",IF(G156=0,"",IF(F156="Buy",CONCATENATE("$",ROUND(K156*(1-_xlfn.SINGLE(T2GDiscount)),2)," with ",(_xlfn.SINGLE(T2GDiscount)*100),"% discount"),CONCATENATE("$",ROUND(K156*(1-_xlfn.SINGLE(T2GDiscount)),2)," with ",((_xlfn.SINGLE(T2GDiscount)*100+F156*100)-(_xlfn.SINGLE(T2GDiscount)*100*F156)),IF(F156&gt;0,"% discounts",IF(_xlfn.SINGLE(NoWarrantyDiscount)&gt;0,"% discounts","% discount")))))))))</f>
        <v/>
      </c>
      <c r="N156" s="690"/>
      <c r="O156" s="486"/>
      <c r="P156" s="486"/>
      <c r="Q156" s="486"/>
      <c r="R156" s="486"/>
      <c r="S156" s="486"/>
      <c r="T156" s="102">
        <f t="shared" si="120"/>
        <v>0</v>
      </c>
      <c r="U156" s="78">
        <f>IF(NOT(ISNUMBER(G156)), "", VLOOKUP(A156,'Discount Lookup'!D:E,2,FALSE)*G156)</f>
        <v>0</v>
      </c>
      <c r="V156" s="78">
        <f>IF(NOT(ISNUMBER(G156)), "", VLOOKUP(A156,'Discount Lookup'!G:H,2,FALSE)*G156)</f>
        <v>0</v>
      </c>
      <c r="W156" s="102">
        <f t="shared" si="121"/>
        <v>0</v>
      </c>
      <c r="X156" s="102">
        <f t="shared" si="122"/>
        <v>0</v>
      </c>
      <c r="Y156" s="120" t="b">
        <f t="shared" si="123"/>
        <v>0</v>
      </c>
      <c r="Z156" s="117">
        <f t="shared" si="124"/>
        <v>0</v>
      </c>
      <c r="AA156" s="118"/>
      <c r="AB156" s="118" t="str">
        <f t="shared" si="125"/>
        <v/>
      </c>
      <c r="AC156" s="712" t="str">
        <f>IF(AE156="T2G","no charge",IF(AND(OR(PlanterYesMe="No",PlanterYesMe="N",PlanterYesMe="me"),H156=""),"",IF(H156="credit","NO install",IF(AND(K156="",AE156="me"),"EACH row",IF(AND(K156="images",AE156="me"),"EACH row",IF(D156="","",IF(H156="credit","",IF(AE156="free","re-planting",IF(AE156="me","   not ELP, by",IF(AND(OR(PlanterYesMe="Yes",PlanterYesMe="Y"),G156&gt;0),(VLOOKUP(A156,'Discount Lookup'!J:K,2)*G156*(1-PlanterDiscount)*(1+PlanterDifficultyPercentage)),IF(AE156="ELP",(VLOOKUP(A156,'Discount Lookup'!J:K,2)*G156*(1-PlanterDiscount)*(1+PlanterDifficultyPercentage)),IF(AE156="free","re-planting",IF(G156=0,"",IF(PlanterYesMe="",IF(AE156="me","   not ELP, by",IF(AE156="",IF(G156&gt;0,(VLOOKUP(A156,'Discount Lookup'!J:K,2)*G156*(1-PlanterDiscount)*(1+PlanterDifficultyPercentage)),""),"")),"   not ELP, by"))))))))))))))</f>
        <v/>
      </c>
      <c r="AD156" s="712"/>
      <c r="AE156" s="513" t="str">
        <f t="shared" si="126"/>
        <v/>
      </c>
      <c r="AF156" s="713" t="str">
        <f t="shared" si="127"/>
        <v/>
      </c>
      <c r="AG156" s="713"/>
      <c r="AH156" s="713"/>
      <c r="AI156" s="112">
        <f>IF(H156="credit",0,IF(AE156="free",0,IF(AE156="me",0,IF(G156&gt;0,(VLOOKUP(A156,'Discount Lookup'!J:K,2)*G156),0))))</f>
        <v>0</v>
      </c>
      <c r="AJ156" s="107" t="str">
        <f t="shared" ca="1" si="128"/>
        <v/>
      </c>
      <c r="AK156" s="714" t="str">
        <f t="shared" si="129"/>
        <v/>
      </c>
      <c r="AL156" s="714"/>
      <c r="AM156" s="114" t="str">
        <f t="shared" si="130"/>
        <v/>
      </c>
      <c r="AN156" s="115"/>
      <c r="AO156" s="116"/>
      <c r="AP156" s="116"/>
      <c r="AQ156" s="116"/>
      <c r="AR156" s="116"/>
      <c r="AS156" s="116"/>
      <c r="AT156" s="116"/>
      <c r="AU156" s="116"/>
      <c r="AV156" s="78"/>
      <c r="AW156" s="102"/>
      <c r="AX156" s="78"/>
      <c r="AY156" s="78"/>
      <c r="AZ156" s="78"/>
      <c r="BA156" s="78"/>
      <c r="BB156" s="78"/>
      <c r="BC156" s="78"/>
      <c r="BD156" s="78"/>
      <c r="BE156" s="465"/>
      <c r="BF156" s="165" t="str">
        <f t="shared" si="131"/>
        <v>https://www.google.com/search?tbm=isch&amp;q=7%20G4</v>
      </c>
      <c r="BG156" s="165" t="str">
        <f t="shared" si="132"/>
        <v>A</v>
      </c>
      <c r="BH156" s="65"/>
      <c r="BI156" s="65"/>
      <c r="BJ156" s="65"/>
      <c r="BK156" s="65"/>
      <c r="BL156" s="99"/>
      <c r="BM156" s="99"/>
      <c r="BN156" s="99"/>
    </row>
    <row r="157" spans="1:66" s="51" customFormat="1" ht="15.75" x14ac:dyDescent="0.25">
      <c r="A157" s="634">
        <v>20</v>
      </c>
      <c r="B157" s="635" t="s">
        <v>291</v>
      </c>
      <c r="C157" s="636" t="s">
        <v>1242</v>
      </c>
      <c r="D157" s="637" t="s">
        <v>299</v>
      </c>
      <c r="E157" s="638">
        <v>541.95000000000005</v>
      </c>
      <c r="F157" s="639" t="s">
        <v>292</v>
      </c>
      <c r="G157" s="484">
        <v>0</v>
      </c>
      <c r="H157" s="691" t="str">
        <f>IF(G157=0,"",IF(F157="Buy",IF(G157=1,"plant","plants"),IF(F157&gt;0.01,"warranty","Error")))</f>
        <v/>
      </c>
      <c r="I157" s="640">
        <f>IF(H157="free",0,IF(H157="credit",((E157*(F157))*G157*-1),IF(F157="Buy",(E157*G157),((E157*(1-F157))*G157))))</f>
        <v>0</v>
      </c>
      <c r="J157" s="640">
        <f>IF(H157="warranty",0,(I157*(_xlfn.SINGLE(SalesTaxPercentage))))</f>
        <v>0</v>
      </c>
      <c r="K157" s="716">
        <f t="shared" ref="K157" si="139">I157+J157</f>
        <v>0</v>
      </c>
      <c r="L157" s="716"/>
      <c r="M157" s="689" t="str">
        <f ca="1">IF(AND(G157&gt;0,E157=0),"WARNING - no PRICE inserted",IF(H157="free","FREE ~ no charge this plant",IF(H157="credit",CONCATENATE("-$",ROUND(K157*(1-_xlfn.SINGLE(T2GDiscount))*-1,2)," CREDIT after discount"),IF(_xlfn.SINGLE(T2GDiscount)=0,"",IF(G157=0,"",IF(F157="Buy",CONCATENATE("$",ROUND(K157*(1-_xlfn.SINGLE(T2GDiscount)),2)," with ",(_xlfn.SINGLE(T2GDiscount)*100),"% discount"),CONCATENATE("$",ROUND(K157*(1-_xlfn.SINGLE(T2GDiscount)),2)," with ",((_xlfn.SINGLE(T2GDiscount)*100+F157*100)-(_xlfn.SINGLE(T2GDiscount)*100*F157)),IF(F157&gt;0,"% discounts",IF(_xlfn.SINGLE(NoWarrantyDiscount)&gt;0,"% discounts","% discount")))))))))</f>
        <v/>
      </c>
      <c r="N157" s="690"/>
      <c r="O157" s="486"/>
      <c r="P157" s="486"/>
      <c r="Q157" s="486"/>
      <c r="R157" s="486"/>
      <c r="S157" s="486"/>
      <c r="T157" s="102">
        <f t="shared" si="120"/>
        <v>0</v>
      </c>
      <c r="U157" s="78">
        <f>IF(NOT(ISNUMBER(G157)), "", VLOOKUP(A157,'Discount Lookup'!D:E,2,FALSE)*G157)</f>
        <v>0</v>
      </c>
      <c r="V157" s="78">
        <f>IF(NOT(ISNUMBER(G157)), "", VLOOKUP(A157,'Discount Lookup'!G:H,2,FALSE)*G157)</f>
        <v>0</v>
      </c>
      <c r="W157" s="102">
        <f t="shared" si="121"/>
        <v>0</v>
      </c>
      <c r="X157" s="102">
        <f t="shared" si="122"/>
        <v>0</v>
      </c>
      <c r="Y157" s="120" t="b">
        <f t="shared" si="123"/>
        <v>0</v>
      </c>
      <c r="Z157" s="117">
        <f t="shared" si="124"/>
        <v>0</v>
      </c>
      <c r="AA157" s="118"/>
      <c r="AB157" s="118" t="str">
        <f t="shared" si="125"/>
        <v/>
      </c>
      <c r="AC157" s="712" t="str">
        <f>IF(AE157="T2G","no charge",IF(AND(OR(PlanterYesMe="No",PlanterYesMe="N",PlanterYesMe="me"),H157=""),"",IF(H157="credit","NO install",IF(AND(K157="",AE157="me"),"EACH row",IF(AND(K157="images",AE157="me"),"EACH row",IF(D157="","",IF(H157="credit","",IF(AE157="free","re-planting",IF(AE157="me","   not ELP, by",IF(AND(OR(PlanterYesMe="Yes",PlanterYesMe="Y"),G157&gt;0),(VLOOKUP(A157,'Discount Lookup'!J:K,2)*G157*(1-PlanterDiscount)*(1+PlanterDifficultyPercentage)),IF(AE157="ELP",(VLOOKUP(A157,'Discount Lookup'!J:K,2)*G157*(1-PlanterDiscount)*(1+PlanterDifficultyPercentage)),IF(AE157="free","re-planting",IF(G157=0,"",IF(PlanterYesMe="",IF(AE157="me","   not ELP, by",IF(AE157="",IF(G157&gt;0,(VLOOKUP(A157,'Discount Lookup'!J:K,2)*G157*(1-PlanterDiscount)*(1+PlanterDifficultyPercentage)),""),"")),"   not ELP, by"))))))))))))))</f>
        <v/>
      </c>
      <c r="AD157" s="712"/>
      <c r="AE157" s="513" t="str">
        <f t="shared" si="126"/>
        <v/>
      </c>
      <c r="AF157" s="713" t="str">
        <f t="shared" si="127"/>
        <v/>
      </c>
      <c r="AG157" s="713"/>
      <c r="AH157" s="713"/>
      <c r="AI157" s="112">
        <f>IF(H157="credit",0,IF(AE157="free",0,IF(AE157="me",0,IF(G157&gt;0,(VLOOKUP(A157,'Discount Lookup'!J:K,2)*G157),0))))</f>
        <v>0</v>
      </c>
      <c r="AJ157" s="107" t="str">
        <f t="shared" ca="1" si="128"/>
        <v/>
      </c>
      <c r="AK157" s="714" t="str">
        <f t="shared" si="129"/>
        <v/>
      </c>
      <c r="AL157" s="714"/>
      <c r="AM157" s="114" t="str">
        <f t="shared" si="130"/>
        <v/>
      </c>
      <c r="AN157" s="115"/>
      <c r="AO157" s="116"/>
      <c r="AP157" s="116"/>
      <c r="AQ157" s="116"/>
      <c r="AR157" s="116"/>
      <c r="AS157" s="116"/>
      <c r="AT157" s="116"/>
      <c r="AU157" s="116"/>
      <c r="AV157" s="78"/>
      <c r="AW157" s="102"/>
      <c r="AX157" s="78"/>
      <c r="AY157" s="78"/>
      <c r="AZ157" s="78"/>
      <c r="BA157" s="78"/>
      <c r="BB157" s="78"/>
      <c r="BC157" s="78"/>
      <c r="BD157" s="78"/>
      <c r="BE157" s="465"/>
      <c r="BF157" s="165" t="str">
        <f t="shared" si="131"/>
        <v>https://www.google.com/search?tbm=isch&amp;q=20%20G4</v>
      </c>
      <c r="BG157" s="165" t="str">
        <f t="shared" si="132"/>
        <v>A</v>
      </c>
      <c r="BH157" s="65"/>
      <c r="BI157" s="65"/>
      <c r="BJ157" s="65"/>
      <c r="BK157" s="65"/>
      <c r="BL157" s="99"/>
      <c r="BM157" s="99"/>
      <c r="BN157" s="99"/>
    </row>
    <row r="158" spans="1:66" s="51" customFormat="1" ht="17.25" thickBot="1" x14ac:dyDescent="0.3">
      <c r="A158" s="641" t="s">
        <v>1243</v>
      </c>
      <c r="B158" s="642"/>
      <c r="C158" s="710"/>
      <c r="D158" s="643"/>
      <c r="E158" s="643"/>
      <c r="F158" s="644"/>
      <c r="G158" s="645"/>
      <c r="H158" s="646"/>
      <c r="I158" s="647"/>
      <c r="J158" s="648"/>
      <c r="K158" s="649"/>
      <c r="L158" s="650"/>
      <c r="M158" s="650"/>
      <c r="N158" s="644"/>
      <c r="O158" s="644"/>
      <c r="P158" s="644"/>
      <c r="Q158" s="644"/>
      <c r="R158" s="644"/>
      <c r="S158" s="651"/>
      <c r="T158" s="102">
        <f t="shared" si="120"/>
        <v>0</v>
      </c>
      <c r="U158" s="78" t="str">
        <f>IF(NOT(ISNUMBER(G158)), "", VLOOKUP(A158,'Discount Lookup'!D:E,2,FALSE)*G158)</f>
        <v/>
      </c>
      <c r="V158" s="78" t="str">
        <f>IF(NOT(ISNUMBER(G158)), "", VLOOKUP(A158,'Discount Lookup'!G:H,2,FALSE)*G158)</f>
        <v/>
      </c>
      <c r="W158" s="102">
        <f t="shared" si="121"/>
        <v>0</v>
      </c>
      <c r="X158" s="102">
        <f t="shared" si="122"/>
        <v>0</v>
      </c>
      <c r="Y158" s="120" t="b">
        <f t="shared" si="123"/>
        <v>0</v>
      </c>
      <c r="Z158" s="117">
        <f t="shared" si="124"/>
        <v>0</v>
      </c>
      <c r="AA158" s="118"/>
      <c r="AB158" s="118" t="str">
        <f t="shared" si="125"/>
        <v/>
      </c>
      <c r="AC158" s="712" t="str">
        <f>IF(AE158="T2G","no charge",IF(AND(OR(PlanterYesMe="No",PlanterYesMe="N",PlanterYesMe="me"),H158=""),"",IF(H158="credit","NO install",IF(AND(K158="",AE158="me"),"EACH row",IF(AND(K158="images",AE158="me"),"EACH row",IF(D158="","",IF(H158="credit","",IF(AE158="free","re-planting",IF(AE158="me","   not ELP, by",IF(AND(OR(PlanterYesMe="Yes",PlanterYesMe="Y"),G158&gt;0),(VLOOKUP(A158,'Discount Lookup'!J:K,2)*G158*(1-PlanterDiscount)*(1+PlanterDifficultyPercentage)),IF(AE158="ELP",(VLOOKUP(A158,'Discount Lookup'!J:K,2)*G158*(1-PlanterDiscount)*(1+PlanterDifficultyPercentage)),IF(AE158="free","re-planting",IF(G158=0,"",IF(PlanterYesMe="",IF(AE158="me","   not ELP, by",IF(AE158="",IF(G158&gt;0,(VLOOKUP(A158,'Discount Lookup'!J:K,2)*G158*(1-PlanterDiscount)*(1+PlanterDifficultyPercentage)),""),"")),"   not ELP, by"))))))))))))))</f>
        <v/>
      </c>
      <c r="AD158" s="712"/>
      <c r="AE158" s="513" t="str">
        <f t="shared" si="126"/>
        <v/>
      </c>
      <c r="AF158" s="713" t="str">
        <f t="shared" si="127"/>
        <v/>
      </c>
      <c r="AG158" s="713"/>
      <c r="AH158" s="713"/>
      <c r="AI158" s="112">
        <f>IF(H158="credit",0,IF(AE158="free",0,IF(AE158="me",0,IF(G158&gt;0,(VLOOKUP(A158,'Discount Lookup'!J:K,2)*G158),0))))</f>
        <v>0</v>
      </c>
      <c r="AJ158" s="107" t="str">
        <f t="shared" ca="1" si="128"/>
        <v/>
      </c>
      <c r="AK158" s="714" t="str">
        <f t="shared" si="129"/>
        <v/>
      </c>
      <c r="AL158" s="714"/>
      <c r="AM158" s="114" t="str">
        <f t="shared" si="130"/>
        <v/>
      </c>
      <c r="AN158" s="115"/>
      <c r="AO158" s="116"/>
      <c r="AP158" s="116"/>
      <c r="AQ158" s="116"/>
      <c r="AR158" s="116"/>
      <c r="AS158" s="116"/>
      <c r="AT158" s="116"/>
      <c r="AU158" s="116"/>
      <c r="AV158" s="78"/>
      <c r="AW158" s="102"/>
      <c r="AX158" s="78"/>
      <c r="AY158" s="78"/>
      <c r="AZ158" s="78"/>
      <c r="BA158" s="78"/>
      <c r="BB158" s="78"/>
      <c r="BC158" s="78"/>
      <c r="BD158" s="78"/>
      <c r="BE158" s="465"/>
      <c r="BF158" s="165" t="str">
        <f t="shared" si="131"/>
        <v>https://www.google.com/search?tbm=isch&amp;q=Rhode%20Island%20Red%20known%20for%20intense%20Red%20foliage%20thoughout%20season%2C%20turning%20Scarlet%20in%20fall.%20Named%20after%20the%20Rhode%20Island%20Red%20chicken%20</v>
      </c>
      <c r="BG158" s="165" t="str">
        <f t="shared" si="132"/>
        <v>R</v>
      </c>
      <c r="BH158" s="65"/>
      <c r="BI158" s="65"/>
      <c r="BJ158" s="65"/>
      <c r="BK158" s="65"/>
      <c r="BL158" s="99"/>
      <c r="BM158" s="99"/>
      <c r="BN158" s="99"/>
    </row>
    <row r="159" spans="1:66" s="51" customFormat="1" ht="18" x14ac:dyDescent="0.25">
      <c r="A159" s="623" t="s">
        <v>1244</v>
      </c>
      <c r="B159" s="624"/>
      <c r="C159" s="709"/>
      <c r="D159" s="625" t="s">
        <v>1245</v>
      </c>
      <c r="E159" s="626"/>
      <c r="F159" s="626"/>
      <c r="G159" s="626"/>
      <c r="H159" s="622" t="s">
        <v>1246</v>
      </c>
      <c r="I159" s="627" t="s">
        <v>1199</v>
      </c>
      <c r="J159" s="628"/>
      <c r="K159" s="628"/>
      <c r="L159" s="629"/>
      <c r="M159" s="700" t="s">
        <v>5249</v>
      </c>
      <c r="N159" s="693" t="str">
        <f>IF(AND(ISTEXT($A159), ISERROR($A159+0)), HYPERLINK($BF159, "Images"), "")</f>
        <v>Images</v>
      </c>
      <c r="O159" s="695" t="s">
        <v>5247</v>
      </c>
      <c r="P159" s="630"/>
      <c r="Q159" s="631"/>
      <c r="R159" s="632"/>
      <c r="S159" s="633"/>
      <c r="T159" s="102">
        <f t="shared" si="120"/>
        <v>0</v>
      </c>
      <c r="U159" s="78" t="str">
        <f>IF(NOT(ISNUMBER(G159)), "", VLOOKUP(A159,'Discount Lookup'!D:E,2,FALSE)*G159)</f>
        <v/>
      </c>
      <c r="V159" s="78" t="str">
        <f>IF(NOT(ISNUMBER(G159)), "", VLOOKUP(A159,'Discount Lookup'!G:H,2,FALSE)*G159)</f>
        <v/>
      </c>
      <c r="W159" s="102">
        <f t="shared" si="121"/>
        <v>0</v>
      </c>
      <c r="X159" s="102" t="str">
        <f t="shared" si="122"/>
        <v>Burgundy-Red foliage</v>
      </c>
      <c r="Y159" s="120" t="b">
        <f t="shared" si="123"/>
        <v>0</v>
      </c>
      <c r="Z159" s="117">
        <f t="shared" si="124"/>
        <v>0</v>
      </c>
      <c r="AA159" s="118"/>
      <c r="AB159" s="118" t="str">
        <f t="shared" si="125"/>
        <v/>
      </c>
      <c r="AC159" s="712" t="str">
        <f>IF(AE159="T2G","no charge",IF(AND(OR(PlanterYesMe="No",PlanterYesMe="N",PlanterYesMe="me"),H159=""),"",IF(H159="credit","NO install",IF(AND(K159="",AE159="me"),"EACH row",IF(AND(K159="images",AE159="me"),"EACH row",IF(D159="","",IF(H159="credit","",IF(AE159="free","re-planting",IF(AE159="me","   not ELP, by",IF(AND(OR(PlanterYesMe="Yes",PlanterYesMe="Y"),G159&gt;0),(VLOOKUP(A159,'Discount Lookup'!J:K,2)*G159*(1-PlanterDiscount)*(1+PlanterDifficultyPercentage)),IF(AE159="ELP",(VLOOKUP(A159,'Discount Lookup'!J:K,2)*G159*(1-PlanterDiscount)*(1+PlanterDifficultyPercentage)),IF(AE159="free","re-planting",IF(G159=0,"",IF(PlanterYesMe="",IF(AE159="me","   not ELP, by",IF(AE159="",IF(G159&gt;0,(VLOOKUP(A159,'Discount Lookup'!J:K,2)*G159*(1-PlanterDiscount)*(1+PlanterDifficultyPercentage)),""),"")),"   not ELP, by"))))))))))))))</f>
        <v/>
      </c>
      <c r="AD159" s="712"/>
      <c r="AE159" s="513" t="str">
        <f t="shared" si="126"/>
        <v/>
      </c>
      <c r="AF159" s="713" t="str">
        <f t="shared" si="127"/>
        <v/>
      </c>
      <c r="AG159" s="713"/>
      <c r="AH159" s="713"/>
      <c r="AI159" s="112">
        <f>IF(H159="credit",0,IF(AE159="free",0,IF(AE159="me",0,IF(G159&gt;0,(VLOOKUP(A159,'Discount Lookup'!J:K,2)*G159),0))))</f>
        <v>0</v>
      </c>
      <c r="AJ159" s="107" t="str">
        <f t="shared" ca="1" si="128"/>
        <v/>
      </c>
      <c r="AK159" s="714" t="str">
        <f t="shared" si="129"/>
        <v/>
      </c>
      <c r="AL159" s="714"/>
      <c r="AM159" s="114" t="str">
        <f t="shared" si="130"/>
        <v/>
      </c>
      <c r="AN159" s="115"/>
      <c r="AO159" s="116"/>
      <c r="AP159" s="116"/>
      <c r="AQ159" s="116"/>
      <c r="AR159" s="116"/>
      <c r="AS159" s="116"/>
      <c r="AT159" s="116"/>
      <c r="AU159" s="116"/>
      <c r="AV159" s="78"/>
      <c r="AW159" s="102"/>
      <c r="AX159" s="78"/>
      <c r="AY159" s="78"/>
      <c r="AZ159" s="78"/>
      <c r="BA159" s="78"/>
      <c r="BB159" s="78"/>
      <c r="BC159" s="78"/>
      <c r="BD159" s="78"/>
      <c r="BE159" s="465"/>
      <c r="BF159" s="165" t="str">
        <f t="shared" si="131"/>
        <v>https://www.google.com/search?tbm=isch&amp;q=Acer%20palmatum%20%27Ryusen%27%20PP%2318501%20Ryusen%20Weeping%20Japanese%20Maple</v>
      </c>
      <c r="BG159" s="165" t="str">
        <f t="shared" si="132"/>
        <v>A</v>
      </c>
      <c r="BH159" s="65"/>
      <c r="BI159" s="65"/>
      <c r="BJ159" s="65"/>
      <c r="BK159" s="65"/>
      <c r="BL159" s="99"/>
      <c r="BM159" s="99"/>
      <c r="BN159" s="99"/>
    </row>
    <row r="160" spans="1:66" s="51" customFormat="1" ht="27" x14ac:dyDescent="0.25">
      <c r="A160" s="634">
        <v>15</v>
      </c>
      <c r="B160" s="635" t="s">
        <v>291</v>
      </c>
      <c r="C160" s="636" t="s">
        <v>1247</v>
      </c>
      <c r="D160" s="637" t="s">
        <v>299</v>
      </c>
      <c r="E160" s="638">
        <v>401.95</v>
      </c>
      <c r="F160" s="639" t="s">
        <v>292</v>
      </c>
      <c r="G160" s="484">
        <v>0</v>
      </c>
      <c r="H160" s="691" t="str">
        <f>IF(G160=0,"",IF(F160="Buy",IF(G160=1,"plant","plants"),IF(F160&gt;0.01,"warranty","Error")))</f>
        <v/>
      </c>
      <c r="I160" s="640">
        <f>IF(H160="free",0,IF(H160="credit",((E160*(F160))*G160*-1),IF(F160="Buy",(E160*G160),((E160*(1-F160))*G160))))</f>
        <v>0</v>
      </c>
      <c r="J160" s="640">
        <f>IF(H160="warranty",0,(I160*(_xlfn.SINGLE(SalesTaxPercentage))))</f>
        <v>0</v>
      </c>
      <c r="K160" s="716">
        <f t="shared" ref="K160" si="140">I160+J160</f>
        <v>0</v>
      </c>
      <c r="L160" s="716"/>
      <c r="M160" s="689" t="str">
        <f ca="1">IF(AND(G160&gt;0,E160=0),"WARNING - no PRICE inserted",IF(H160="free","FREE ~ no charge this plant",IF(H160="credit",CONCATENATE("-$",ROUND(K160*(1-_xlfn.SINGLE(T2GDiscount))*-1,2)," CREDIT after discount"),IF(_xlfn.SINGLE(T2GDiscount)=0,"",IF(G160=0,"",IF(F160="Buy",CONCATENATE("$",ROUND(K160*(1-_xlfn.SINGLE(T2GDiscount)),2)," with ",(_xlfn.SINGLE(T2GDiscount)*100),"% discount"),CONCATENATE("$",ROUND(K160*(1-_xlfn.SINGLE(T2GDiscount)),2)," with ",((_xlfn.SINGLE(T2GDiscount)*100+F160*100)-(_xlfn.SINGLE(T2GDiscount)*100*F160)),IF(F160&gt;0,"% discounts",IF(_xlfn.SINGLE(NoWarrantyDiscount)&gt;0,"% discounts","% discount")))))))))</f>
        <v/>
      </c>
      <c r="N160" s="690"/>
      <c r="O160" s="486"/>
      <c r="P160" s="486"/>
      <c r="Q160" s="486"/>
      <c r="R160" s="486"/>
      <c r="S160" s="486"/>
      <c r="T160" s="102">
        <f t="shared" si="120"/>
        <v>0</v>
      </c>
      <c r="U160" s="78">
        <f>IF(NOT(ISNUMBER(G160)), "", VLOOKUP(A160,'Discount Lookup'!D:E,2,FALSE)*G160)</f>
        <v>0</v>
      </c>
      <c r="V160" s="78">
        <f>IF(NOT(ISNUMBER(G160)), "", VLOOKUP(A160,'Discount Lookup'!G:H,2,FALSE)*G160)</f>
        <v>0</v>
      </c>
      <c r="W160" s="102">
        <f t="shared" si="121"/>
        <v>0</v>
      </c>
      <c r="X160" s="102">
        <f t="shared" si="122"/>
        <v>0</v>
      </c>
      <c r="Y160" s="120" t="b">
        <f t="shared" si="123"/>
        <v>0</v>
      </c>
      <c r="Z160" s="117">
        <f t="shared" si="124"/>
        <v>0</v>
      </c>
      <c r="AA160" s="118"/>
      <c r="AB160" s="118" t="str">
        <f t="shared" si="125"/>
        <v/>
      </c>
      <c r="AC160" s="712" t="str">
        <f>IF(AE160="T2G","no charge",IF(AND(OR(PlanterYesMe="No",PlanterYesMe="N",PlanterYesMe="me"),H160=""),"",IF(H160="credit","NO install",IF(AND(K160="",AE160="me"),"EACH row",IF(AND(K160="images",AE160="me"),"EACH row",IF(D160="","",IF(H160="credit","",IF(AE160="free","re-planting",IF(AE160="me","   not ELP, by",IF(AND(OR(PlanterYesMe="Yes",PlanterYesMe="Y"),G160&gt;0),(VLOOKUP(A160,'Discount Lookup'!J:K,2)*G160*(1-PlanterDiscount)*(1+PlanterDifficultyPercentage)),IF(AE160="ELP",(VLOOKUP(A160,'Discount Lookup'!J:K,2)*G160*(1-PlanterDiscount)*(1+PlanterDifficultyPercentage)),IF(AE160="free","re-planting",IF(G160=0,"",IF(PlanterYesMe="",IF(AE160="me","   not ELP, by",IF(AE160="",IF(G160&gt;0,(VLOOKUP(A160,'Discount Lookup'!J:K,2)*G160*(1-PlanterDiscount)*(1+PlanterDifficultyPercentage)),""),"")),"   not ELP, by"))))))))))))))</f>
        <v/>
      </c>
      <c r="AD160" s="712"/>
      <c r="AE160" s="513" t="str">
        <f t="shared" si="126"/>
        <v/>
      </c>
      <c r="AF160" s="713" t="str">
        <f t="shared" si="127"/>
        <v/>
      </c>
      <c r="AG160" s="713"/>
      <c r="AH160" s="713"/>
      <c r="AI160" s="112">
        <f>IF(H160="credit",0,IF(AE160="free",0,IF(AE160="me",0,IF(G160&gt;0,(VLOOKUP(A160,'Discount Lookup'!J:K,2)*G160),0))))</f>
        <v>0</v>
      </c>
      <c r="AJ160" s="107" t="str">
        <f t="shared" ca="1" si="128"/>
        <v/>
      </c>
      <c r="AK160" s="714" t="str">
        <f t="shared" si="129"/>
        <v/>
      </c>
      <c r="AL160" s="714"/>
      <c r="AM160" s="114" t="str">
        <f t="shared" si="130"/>
        <v/>
      </c>
      <c r="AN160" s="115"/>
      <c r="AO160" s="116"/>
      <c r="AP160" s="116"/>
      <c r="AQ160" s="116"/>
      <c r="AR160" s="116"/>
      <c r="AS160" s="116"/>
      <c r="AT160" s="116"/>
      <c r="AU160" s="116"/>
      <c r="AV160" s="78"/>
      <c r="AW160" s="102"/>
      <c r="AX160" s="78"/>
      <c r="AY160" s="78"/>
      <c r="AZ160" s="78"/>
      <c r="BA160" s="78"/>
      <c r="BB160" s="78"/>
      <c r="BC160" s="78"/>
      <c r="BD160" s="78"/>
      <c r="BE160" s="465"/>
      <c r="BF160" s="165" t="str">
        <f t="shared" si="131"/>
        <v>https://www.google.com/search?tbm=isch&amp;q=15%20G4</v>
      </c>
      <c r="BG160" s="165" t="str">
        <f t="shared" si="132"/>
        <v>A</v>
      </c>
      <c r="BH160" s="65"/>
      <c r="BI160" s="65"/>
      <c r="BJ160" s="65"/>
      <c r="BK160" s="65"/>
      <c r="BL160" s="99"/>
      <c r="BM160" s="99"/>
      <c r="BN160" s="99"/>
    </row>
    <row r="161" spans="1:66" s="51" customFormat="1" ht="27" x14ac:dyDescent="0.25">
      <c r="A161" s="634">
        <v>25</v>
      </c>
      <c r="B161" s="635" t="s">
        <v>291</v>
      </c>
      <c r="C161" s="636" t="s">
        <v>1248</v>
      </c>
      <c r="D161" s="637" t="s">
        <v>299</v>
      </c>
      <c r="E161" s="638">
        <v>801.95</v>
      </c>
      <c r="F161" s="639" t="s">
        <v>292</v>
      </c>
      <c r="G161" s="484">
        <v>0</v>
      </c>
      <c r="H161" s="691" t="str">
        <f>IF(G161=0,"",IF(F161="Buy",IF(G161=1,"plant","plants"),IF(F161&gt;0.01,"warranty","Error")))</f>
        <v/>
      </c>
      <c r="I161" s="640">
        <f>IF(H161="free",0,IF(H161="credit",((E161*(F161))*G161*-1),IF(F161="Buy",(E161*G161),((E161*(1-F161))*G161))))</f>
        <v>0</v>
      </c>
      <c r="J161" s="640">
        <f>IF(H161="warranty",0,(I161*(_xlfn.SINGLE(SalesTaxPercentage))))</f>
        <v>0</v>
      </c>
      <c r="K161" s="716">
        <f t="shared" ref="K161" si="141">I161+J161</f>
        <v>0</v>
      </c>
      <c r="L161" s="716"/>
      <c r="M161" s="689" t="str">
        <f ca="1">IF(AND(G161&gt;0,E161=0),"WARNING - no PRICE inserted",IF(H161="free","FREE ~ no charge this plant",IF(H161="credit",CONCATENATE("-$",ROUND(K161*(1-_xlfn.SINGLE(T2GDiscount))*-1,2)," CREDIT after discount"),IF(_xlfn.SINGLE(T2GDiscount)=0,"",IF(G161=0,"",IF(F161="Buy",CONCATENATE("$",ROUND(K161*(1-_xlfn.SINGLE(T2GDiscount)),2)," with ",(_xlfn.SINGLE(T2GDiscount)*100),"% discount"),CONCATENATE("$",ROUND(K161*(1-_xlfn.SINGLE(T2GDiscount)),2)," with ",((_xlfn.SINGLE(T2GDiscount)*100+F161*100)-(_xlfn.SINGLE(T2GDiscount)*100*F161)),IF(F161&gt;0,"% discounts",IF(_xlfn.SINGLE(NoWarrantyDiscount)&gt;0,"% discounts","% discount")))))))))</f>
        <v/>
      </c>
      <c r="N161" s="690"/>
      <c r="O161" s="486"/>
      <c r="P161" s="486"/>
      <c r="Q161" s="486"/>
      <c r="R161" s="486"/>
      <c r="S161" s="486"/>
      <c r="T161" s="102">
        <f t="shared" si="120"/>
        <v>0</v>
      </c>
      <c r="U161" s="78">
        <f>IF(NOT(ISNUMBER(G161)), "", VLOOKUP(A161,'Discount Lookup'!D:E,2,FALSE)*G161)</f>
        <v>0</v>
      </c>
      <c r="V161" s="78">
        <f>IF(NOT(ISNUMBER(G161)), "", VLOOKUP(A161,'Discount Lookup'!G:H,2,FALSE)*G161)</f>
        <v>0</v>
      </c>
      <c r="W161" s="102">
        <f t="shared" si="121"/>
        <v>0</v>
      </c>
      <c r="X161" s="102">
        <f t="shared" si="122"/>
        <v>0</v>
      </c>
      <c r="Y161" s="120" t="b">
        <f t="shared" si="123"/>
        <v>0</v>
      </c>
      <c r="Z161" s="117">
        <f t="shared" si="124"/>
        <v>0</v>
      </c>
      <c r="AA161" s="118"/>
      <c r="AB161" s="118" t="str">
        <f t="shared" si="125"/>
        <v/>
      </c>
      <c r="AC161" s="712" t="str">
        <f>IF(AE161="T2G","no charge",IF(AND(OR(PlanterYesMe="No",PlanterYesMe="N",PlanterYesMe="me"),H161=""),"",IF(H161="credit","NO install",IF(AND(K161="",AE161="me"),"EACH row",IF(AND(K161="images",AE161="me"),"EACH row",IF(D161="","",IF(H161="credit","",IF(AE161="free","re-planting",IF(AE161="me","   not ELP, by",IF(AND(OR(PlanterYesMe="Yes",PlanterYesMe="Y"),G161&gt;0),(VLOOKUP(A161,'Discount Lookup'!J:K,2)*G161*(1-PlanterDiscount)*(1+PlanterDifficultyPercentage)),IF(AE161="ELP",(VLOOKUP(A161,'Discount Lookup'!J:K,2)*G161*(1-PlanterDiscount)*(1+PlanterDifficultyPercentage)),IF(AE161="free","re-planting",IF(G161=0,"",IF(PlanterYesMe="",IF(AE161="me","   not ELP, by",IF(AE161="",IF(G161&gt;0,(VLOOKUP(A161,'Discount Lookup'!J:K,2)*G161*(1-PlanterDiscount)*(1+PlanterDifficultyPercentage)),""),"")),"   not ELP, by"))))))))))))))</f>
        <v/>
      </c>
      <c r="AD161" s="712"/>
      <c r="AE161" s="513" t="str">
        <f t="shared" si="126"/>
        <v/>
      </c>
      <c r="AF161" s="713" t="str">
        <f t="shared" si="127"/>
        <v/>
      </c>
      <c r="AG161" s="713"/>
      <c r="AH161" s="713"/>
      <c r="AI161" s="112">
        <f>IF(H161="credit",0,IF(AE161="free",0,IF(AE161="me",0,IF(G161&gt;0,(VLOOKUP(A161,'Discount Lookup'!J:K,2)*G161),0))))</f>
        <v>0</v>
      </c>
      <c r="AJ161" s="107" t="str">
        <f t="shared" ca="1" si="128"/>
        <v/>
      </c>
      <c r="AK161" s="714" t="str">
        <f t="shared" si="129"/>
        <v/>
      </c>
      <c r="AL161" s="714"/>
      <c r="AM161" s="114" t="str">
        <f t="shared" si="130"/>
        <v/>
      </c>
      <c r="AN161" s="115"/>
      <c r="AO161" s="116"/>
      <c r="AP161" s="116"/>
      <c r="AQ161" s="116"/>
      <c r="AR161" s="116"/>
      <c r="AS161" s="116"/>
      <c r="AT161" s="116"/>
      <c r="AU161" s="116"/>
      <c r="AV161" s="78"/>
      <c r="AW161" s="102"/>
      <c r="AX161" s="78"/>
      <c r="AY161" s="78"/>
      <c r="AZ161" s="78"/>
      <c r="BA161" s="78"/>
      <c r="BB161" s="78"/>
      <c r="BC161" s="78"/>
      <c r="BD161" s="78"/>
      <c r="BE161" s="465"/>
      <c r="BF161" s="165" t="str">
        <f t="shared" si="131"/>
        <v>https://www.google.com/search?tbm=isch&amp;q=25%20G4</v>
      </c>
      <c r="BG161" s="165" t="str">
        <f t="shared" si="132"/>
        <v>A</v>
      </c>
      <c r="BH161" s="65"/>
      <c r="BI161" s="65"/>
      <c r="BJ161" s="65"/>
      <c r="BK161" s="65"/>
      <c r="BL161" s="99"/>
      <c r="BM161" s="99"/>
      <c r="BN161" s="99"/>
    </row>
    <row r="162" spans="1:66" s="51" customFormat="1" ht="17.25" thickBot="1" x14ac:dyDescent="0.3">
      <c r="A162" s="641" t="s">
        <v>1249</v>
      </c>
      <c r="B162" s="642"/>
      <c r="C162" s="710"/>
      <c r="D162" s="643"/>
      <c r="E162" s="643"/>
      <c r="F162" s="644"/>
      <c r="G162" s="645"/>
      <c r="H162" s="646"/>
      <c r="I162" s="647"/>
      <c r="J162" s="648"/>
      <c r="K162" s="649"/>
      <c r="L162" s="650"/>
      <c r="M162" s="650"/>
      <c r="N162" s="644"/>
      <c r="O162" s="644"/>
      <c r="P162" s="644"/>
      <c r="Q162" s="644"/>
      <c r="R162" s="644"/>
      <c r="S162" s="651"/>
      <c r="T162" s="102">
        <f t="shared" si="120"/>
        <v>0</v>
      </c>
      <c r="U162" s="78" t="str">
        <f>IF(NOT(ISNUMBER(G162)), "", VLOOKUP(A162,'Discount Lookup'!D:E,2,FALSE)*G162)</f>
        <v/>
      </c>
      <c r="V162" s="78" t="str">
        <f>IF(NOT(ISNUMBER(G162)), "", VLOOKUP(A162,'Discount Lookup'!G:H,2,FALSE)*G162)</f>
        <v/>
      </c>
      <c r="W162" s="102">
        <f t="shared" si="121"/>
        <v>0</v>
      </c>
      <c r="X162" s="102">
        <f t="shared" si="122"/>
        <v>0</v>
      </c>
      <c r="Y162" s="120" t="b">
        <f t="shared" si="123"/>
        <v>0</v>
      </c>
      <c r="Z162" s="117">
        <f t="shared" si="124"/>
        <v>0</v>
      </c>
      <c r="AA162" s="118"/>
      <c r="AB162" s="118" t="str">
        <f t="shared" si="125"/>
        <v/>
      </c>
      <c r="AC162" s="712" t="str">
        <f>IF(AE162="T2G","no charge",IF(AND(OR(PlanterYesMe="No",PlanterYesMe="N",PlanterYesMe="me"),H162=""),"",IF(H162="credit","NO install",IF(AND(K162="",AE162="me"),"EACH row",IF(AND(K162="images",AE162="me"),"EACH row",IF(D162="","",IF(H162="credit","",IF(AE162="free","re-planting",IF(AE162="me","   not ELP, by",IF(AND(OR(PlanterYesMe="Yes",PlanterYesMe="Y"),G162&gt;0),(VLOOKUP(A162,'Discount Lookup'!J:K,2)*G162*(1-PlanterDiscount)*(1+PlanterDifficultyPercentage)),IF(AE162="ELP",(VLOOKUP(A162,'Discount Lookup'!J:K,2)*G162*(1-PlanterDiscount)*(1+PlanterDifficultyPercentage)),IF(AE162="free","re-planting",IF(G162=0,"",IF(PlanterYesMe="",IF(AE162="me","   not ELP, by",IF(AE162="",IF(G162&gt;0,(VLOOKUP(A162,'Discount Lookup'!J:K,2)*G162*(1-PlanterDiscount)*(1+PlanterDifficultyPercentage)),""),"")),"   not ELP, by"))))))))))))))</f>
        <v/>
      </c>
      <c r="AD162" s="712"/>
      <c r="AE162" s="513" t="str">
        <f t="shared" si="126"/>
        <v/>
      </c>
      <c r="AF162" s="713" t="str">
        <f t="shared" si="127"/>
        <v/>
      </c>
      <c r="AG162" s="713"/>
      <c r="AH162" s="713"/>
      <c r="AI162" s="112">
        <f>IF(H162="credit",0,IF(AE162="free",0,IF(AE162="me",0,IF(G162&gt;0,(VLOOKUP(A162,'Discount Lookup'!J:K,2)*G162),0))))</f>
        <v>0</v>
      </c>
      <c r="AJ162" s="107" t="str">
        <f t="shared" ca="1" si="128"/>
        <v/>
      </c>
      <c r="AK162" s="714" t="str">
        <f t="shared" si="129"/>
        <v/>
      </c>
      <c r="AL162" s="714"/>
      <c r="AM162" s="114" t="str">
        <f t="shared" si="130"/>
        <v/>
      </c>
      <c r="AN162" s="115"/>
      <c r="AO162" s="116"/>
      <c r="AP162" s="116"/>
      <c r="AQ162" s="116"/>
      <c r="AR162" s="116"/>
      <c r="AS162" s="116"/>
      <c r="AT162" s="116"/>
      <c r="AU162" s="116"/>
      <c r="AV162" s="78"/>
      <c r="AW162" s="102"/>
      <c r="AX162" s="78"/>
      <c r="AY162" s="78"/>
      <c r="AZ162" s="78"/>
      <c r="BA162" s="78"/>
      <c r="BB162" s="78"/>
      <c r="BC162" s="78"/>
      <c r="BD162" s="78"/>
      <c r="BE162" s="465"/>
      <c r="BF162" s="165" t="str">
        <f t="shared" si="131"/>
        <v>https://www.google.com/search?tbm=isch&amp;q=Ryusen%20offers%20a%20stunning%20weeping%20form%20with%20vibrant%2C%20persistent%20Red%20foliage%20that%20culminates%20in%20Brilliant%20Scarlet%20fall%20color%20</v>
      </c>
      <c r="BG162" s="165" t="str">
        <f t="shared" si="132"/>
        <v>R</v>
      </c>
      <c r="BH162" s="65"/>
      <c r="BI162" s="65"/>
      <c r="BJ162" s="65"/>
      <c r="BK162" s="65"/>
      <c r="BL162" s="99"/>
      <c r="BM162" s="99"/>
      <c r="BN162" s="99"/>
    </row>
    <row r="163" spans="1:66" s="51" customFormat="1" ht="18" x14ac:dyDescent="0.25">
      <c r="A163" s="623" t="s">
        <v>1250</v>
      </c>
      <c r="B163" s="624"/>
      <c r="C163" s="709"/>
      <c r="D163" s="625" t="s">
        <v>1251</v>
      </c>
      <c r="E163" s="626"/>
      <c r="F163" s="626"/>
      <c r="G163" s="626"/>
      <c r="H163" s="622" t="s">
        <v>1158</v>
      </c>
      <c r="I163" s="627" t="s">
        <v>1252</v>
      </c>
      <c r="J163" s="628"/>
      <c r="K163" s="628"/>
      <c r="L163" s="629"/>
      <c r="M163" s="700" t="s">
        <v>5249</v>
      </c>
      <c r="N163" s="693" t="str">
        <f>IF(AND(ISTEXT($A163), ISERROR($A163+0)), HYPERLINK($BF163, "Images"), "")</f>
        <v>Images</v>
      </c>
      <c r="O163" s="695" t="s">
        <v>5247</v>
      </c>
      <c r="P163" s="630"/>
      <c r="Q163" s="631"/>
      <c r="R163" s="632"/>
      <c r="S163" s="633"/>
      <c r="T163" s="102">
        <f t="shared" si="120"/>
        <v>0</v>
      </c>
      <c r="U163" s="78" t="str">
        <f>IF(NOT(ISNUMBER(G163)), "", VLOOKUP(A163,'Discount Lookup'!D:E,2,FALSE)*G163)</f>
        <v/>
      </c>
      <c r="V163" s="78" t="str">
        <f>IF(NOT(ISNUMBER(G163)), "", VLOOKUP(A163,'Discount Lookup'!G:H,2,FALSE)*G163)</f>
        <v/>
      </c>
      <c r="W163" s="102">
        <f t="shared" si="121"/>
        <v>0</v>
      </c>
      <c r="X163" s="102" t="str">
        <f t="shared" si="122"/>
        <v>Green foliage, Red edges</v>
      </c>
      <c r="Y163" s="120" t="b">
        <f t="shared" si="123"/>
        <v>0</v>
      </c>
      <c r="Z163" s="117">
        <f t="shared" si="124"/>
        <v>0</v>
      </c>
      <c r="AA163" s="118"/>
      <c r="AB163" s="118" t="str">
        <f t="shared" si="125"/>
        <v/>
      </c>
      <c r="AC163" s="712" t="str">
        <f>IF(AE163="T2G","no charge",IF(AND(OR(PlanterYesMe="No",PlanterYesMe="N",PlanterYesMe="me"),H163=""),"",IF(H163="credit","NO install",IF(AND(K163="",AE163="me"),"EACH row",IF(AND(K163="images",AE163="me"),"EACH row",IF(D163="","",IF(H163="credit","",IF(AE163="free","re-planting",IF(AE163="me","   not ELP, by",IF(AND(OR(PlanterYesMe="Yes",PlanterYesMe="Y"),G163&gt;0),(VLOOKUP(A163,'Discount Lookup'!J:K,2)*G163*(1-PlanterDiscount)*(1+PlanterDifficultyPercentage)),IF(AE163="ELP",(VLOOKUP(A163,'Discount Lookup'!J:K,2)*G163*(1-PlanterDiscount)*(1+PlanterDifficultyPercentage)),IF(AE163="free","re-planting",IF(G163=0,"",IF(PlanterYesMe="",IF(AE163="me","   not ELP, by",IF(AE163="",IF(G163&gt;0,(VLOOKUP(A163,'Discount Lookup'!J:K,2)*G163*(1-PlanterDiscount)*(1+PlanterDifficultyPercentage)),""),"")),"   not ELP, by"))))))))))))))</f>
        <v/>
      </c>
      <c r="AD163" s="712"/>
      <c r="AE163" s="513" t="str">
        <f t="shared" si="126"/>
        <v/>
      </c>
      <c r="AF163" s="713" t="str">
        <f t="shared" si="127"/>
        <v/>
      </c>
      <c r="AG163" s="713"/>
      <c r="AH163" s="713"/>
      <c r="AI163" s="112">
        <f>IF(H163="credit",0,IF(AE163="free",0,IF(AE163="me",0,IF(G163&gt;0,(VLOOKUP(A163,'Discount Lookup'!J:K,2)*G163),0))))</f>
        <v>0</v>
      </c>
      <c r="AJ163" s="107" t="str">
        <f t="shared" ca="1" si="128"/>
        <v/>
      </c>
      <c r="AK163" s="714" t="str">
        <f t="shared" si="129"/>
        <v/>
      </c>
      <c r="AL163" s="714"/>
      <c r="AM163" s="114" t="str">
        <f t="shared" si="130"/>
        <v/>
      </c>
      <c r="AN163" s="115"/>
      <c r="AO163" s="116"/>
      <c r="AP163" s="116"/>
      <c r="AQ163" s="116"/>
      <c r="AR163" s="116"/>
      <c r="AS163" s="116"/>
      <c r="AT163" s="116"/>
      <c r="AU163" s="116"/>
      <c r="AV163" s="78"/>
      <c r="AW163" s="102"/>
      <c r="AX163" s="78"/>
      <c r="AY163" s="78"/>
      <c r="AZ163" s="78"/>
      <c r="BA163" s="78"/>
      <c r="BB163" s="78"/>
      <c r="BC163" s="78"/>
      <c r="BD163" s="78"/>
      <c r="BE163" s="465"/>
      <c r="BF163" s="165" t="str">
        <f t="shared" si="131"/>
        <v>https://www.google.com/search?tbm=isch&amp;q=Acer%20palmatum%20%27Sango-kaku%27%20Coral%20Bark%20Japanese%20Maple</v>
      </c>
      <c r="BG163" s="165" t="str">
        <f t="shared" si="132"/>
        <v>A</v>
      </c>
      <c r="BH163" s="65"/>
      <c r="BI163" s="65"/>
      <c r="BJ163" s="65"/>
      <c r="BK163" s="65"/>
      <c r="BL163" s="99"/>
      <c r="BM163" s="99"/>
      <c r="BN163" s="99"/>
    </row>
    <row r="164" spans="1:66" s="51" customFormat="1" ht="15.75" x14ac:dyDescent="0.25">
      <c r="A164" s="634">
        <v>7</v>
      </c>
      <c r="B164" s="635" t="s">
        <v>291</v>
      </c>
      <c r="C164" s="636"/>
      <c r="D164" s="637" t="s">
        <v>311</v>
      </c>
      <c r="E164" s="638">
        <v>217.95</v>
      </c>
      <c r="F164" s="639" t="s">
        <v>292</v>
      </c>
      <c r="G164" s="484">
        <v>0</v>
      </c>
      <c r="H164" s="691" t="str">
        <f t="shared" ref="H164:H169" si="142">IF(G164=0,"",IF(F164="Buy",IF(G164=1,"plant","plants"),IF(F164&gt;0.01,"warranty","Error")))</f>
        <v/>
      </c>
      <c r="I164" s="640">
        <f t="shared" ref="I164:I169" si="143">IF(H164="free",0,IF(H164="credit",((E164*(F164))*G164*-1),IF(F164="Buy",(E164*G164),((E164*(1-F164))*G164))))</f>
        <v>0</v>
      </c>
      <c r="J164" s="640">
        <f t="shared" ref="J164:J169" si="144">IF(H164="warranty",0,(I164*(_xlfn.SINGLE(SalesTaxPercentage))))</f>
        <v>0</v>
      </c>
      <c r="K164" s="716">
        <f t="shared" ref="K164" si="145">I164+J164</f>
        <v>0</v>
      </c>
      <c r="L164" s="716"/>
      <c r="M164" s="689" t="str">
        <f t="shared" ref="M164:M169" ca="1" si="146">IF(AND(G164&gt;0,E164=0),"WARNING - no PRICE inserted",IF(H164="free","FREE ~ no charge this plant",IF(H164="credit",CONCATENATE("-$",ROUND(K164*(1-_xlfn.SINGLE(T2GDiscount))*-1,2)," CREDIT after discount"),IF(_xlfn.SINGLE(T2GDiscount)=0,"",IF(G164=0,"",IF(F164="Buy",CONCATENATE("$",ROUND(K164*(1-_xlfn.SINGLE(T2GDiscount)),2)," with ",(_xlfn.SINGLE(T2GDiscount)*100),"% discount"),CONCATENATE("$",ROUND(K164*(1-_xlfn.SINGLE(T2GDiscount)),2)," with ",((_xlfn.SINGLE(T2GDiscount)*100+F164*100)-(_xlfn.SINGLE(T2GDiscount)*100*F164)),IF(F164&gt;0,"% discounts",IF(_xlfn.SINGLE(NoWarrantyDiscount)&gt;0,"% discounts","% discount")))))))))</f>
        <v/>
      </c>
      <c r="N164" s="690"/>
      <c r="O164" s="486"/>
      <c r="P164" s="486"/>
      <c r="Q164" s="486"/>
      <c r="R164" s="486"/>
      <c r="S164" s="486"/>
      <c r="T164" s="102">
        <f t="shared" si="120"/>
        <v>0</v>
      </c>
      <c r="U164" s="78">
        <f>IF(NOT(ISNUMBER(G164)), "", VLOOKUP(A164,'Discount Lookup'!D:E,2,FALSE)*G164)</f>
        <v>0</v>
      </c>
      <c r="V164" s="78">
        <f>IF(NOT(ISNUMBER(G164)), "", VLOOKUP(A164,'Discount Lookup'!G:H,2,FALSE)*G164)</f>
        <v>0</v>
      </c>
      <c r="W164" s="102">
        <f t="shared" si="121"/>
        <v>0</v>
      </c>
      <c r="X164" s="102">
        <f t="shared" si="122"/>
        <v>0</v>
      </c>
      <c r="Y164" s="120" t="b">
        <f t="shared" si="123"/>
        <v>0</v>
      </c>
      <c r="Z164" s="117">
        <f t="shared" si="124"/>
        <v>0</v>
      </c>
      <c r="AA164" s="118"/>
      <c r="AB164" s="118" t="str">
        <f t="shared" si="125"/>
        <v/>
      </c>
      <c r="AC164" s="712" t="str">
        <f>IF(AE164="T2G","no charge",IF(AND(OR(PlanterYesMe="No",PlanterYesMe="N",PlanterYesMe="me"),H164=""),"",IF(H164="credit","NO install",IF(AND(K164="",AE164="me"),"EACH row",IF(AND(K164="images",AE164="me"),"EACH row",IF(D164="","",IF(H164="credit","",IF(AE164="free","re-planting",IF(AE164="me","   not ELP, by",IF(AND(OR(PlanterYesMe="Yes",PlanterYesMe="Y"),G164&gt;0),(VLOOKUP(A164,'Discount Lookup'!J:K,2)*G164*(1-PlanterDiscount)*(1+PlanterDifficultyPercentage)),IF(AE164="ELP",(VLOOKUP(A164,'Discount Lookup'!J:K,2)*G164*(1-PlanterDiscount)*(1+PlanterDifficultyPercentage)),IF(AE164="free","re-planting",IF(G164=0,"",IF(PlanterYesMe="",IF(AE164="me","   not ELP, by",IF(AE164="",IF(G164&gt;0,(VLOOKUP(A164,'Discount Lookup'!J:K,2)*G164*(1-PlanterDiscount)*(1+PlanterDifficultyPercentage)),""),"")),"   not ELP, by"))))))))))))))</f>
        <v/>
      </c>
      <c r="AD164" s="712"/>
      <c r="AE164" s="513" t="str">
        <f t="shared" si="126"/>
        <v/>
      </c>
      <c r="AF164" s="713" t="str">
        <f t="shared" si="127"/>
        <v/>
      </c>
      <c r="AG164" s="713"/>
      <c r="AH164" s="713"/>
      <c r="AI164" s="112">
        <f>IF(H164="credit",0,IF(AE164="free",0,IF(AE164="me",0,IF(G164&gt;0,(VLOOKUP(A164,'Discount Lookup'!J:K,2)*G164),0))))</f>
        <v>0</v>
      </c>
      <c r="AJ164" s="107" t="str">
        <f t="shared" ca="1" si="128"/>
        <v/>
      </c>
      <c r="AK164" s="714" t="str">
        <f t="shared" si="129"/>
        <v/>
      </c>
      <c r="AL164" s="714"/>
      <c r="AM164" s="114" t="str">
        <f t="shared" si="130"/>
        <v/>
      </c>
      <c r="AN164" s="115"/>
      <c r="AO164" s="116"/>
      <c r="AP164" s="116"/>
      <c r="AQ164" s="116"/>
      <c r="AR164" s="116"/>
      <c r="AS164" s="116"/>
      <c r="AT164" s="116"/>
      <c r="AU164" s="116"/>
      <c r="AV164" s="78"/>
      <c r="AW164" s="102"/>
      <c r="AX164" s="78"/>
      <c r="AY164" s="78"/>
      <c r="AZ164" s="78"/>
      <c r="BA164" s="78"/>
      <c r="BB164" s="78"/>
      <c r="BC164" s="78"/>
      <c r="BD164" s="78"/>
      <c r="BE164" s="465"/>
      <c r="BF164" s="165" t="str">
        <f t="shared" si="131"/>
        <v>https://www.google.com/search?tbm=isch&amp;q=7%20G5</v>
      </c>
      <c r="BG164" s="165" t="str">
        <f t="shared" si="132"/>
        <v>A</v>
      </c>
      <c r="BH164" s="65"/>
      <c r="BI164" s="65"/>
      <c r="BJ164" s="65"/>
      <c r="BK164" s="65"/>
      <c r="BL164" s="99"/>
      <c r="BM164" s="99"/>
      <c r="BN164" s="99"/>
    </row>
    <row r="165" spans="1:66" s="51" customFormat="1" ht="15.75" x14ac:dyDescent="0.25">
      <c r="A165" s="634">
        <v>7</v>
      </c>
      <c r="B165" s="635" t="s">
        <v>291</v>
      </c>
      <c r="C165" s="636" t="s">
        <v>5109</v>
      </c>
      <c r="D165" s="637" t="s">
        <v>299</v>
      </c>
      <c r="E165" s="638">
        <v>224.95</v>
      </c>
      <c r="F165" s="639" t="s">
        <v>292</v>
      </c>
      <c r="G165" s="484">
        <v>0</v>
      </c>
      <c r="H165" s="691" t="str">
        <f t="shared" si="142"/>
        <v/>
      </c>
      <c r="I165" s="640">
        <f t="shared" si="143"/>
        <v>0</v>
      </c>
      <c r="J165" s="640">
        <f t="shared" si="144"/>
        <v>0</v>
      </c>
      <c r="K165" s="716">
        <f t="shared" ref="K165" si="147">I165+J165</f>
        <v>0</v>
      </c>
      <c r="L165" s="716"/>
      <c r="M165" s="689" t="str">
        <f t="shared" ca="1" si="146"/>
        <v/>
      </c>
      <c r="N165" s="690"/>
      <c r="O165" s="486"/>
      <c r="P165" s="486"/>
      <c r="Q165" s="486"/>
      <c r="R165" s="486"/>
      <c r="S165" s="486"/>
      <c r="T165" s="102">
        <f t="shared" si="120"/>
        <v>0</v>
      </c>
      <c r="U165" s="78">
        <f>IF(NOT(ISNUMBER(G165)), "", VLOOKUP(A165,'Discount Lookup'!D:E,2,FALSE)*G165)</f>
        <v>0</v>
      </c>
      <c r="V165" s="78">
        <f>IF(NOT(ISNUMBER(G165)), "", VLOOKUP(A165,'Discount Lookup'!G:H,2,FALSE)*G165)</f>
        <v>0</v>
      </c>
      <c r="W165" s="102">
        <f t="shared" si="121"/>
        <v>0</v>
      </c>
      <c r="X165" s="102">
        <f t="shared" si="122"/>
        <v>0</v>
      </c>
      <c r="Y165" s="120" t="b">
        <f t="shared" si="123"/>
        <v>0</v>
      </c>
      <c r="Z165" s="117">
        <f t="shared" si="124"/>
        <v>0</v>
      </c>
      <c r="AA165" s="118"/>
      <c r="AB165" s="118" t="str">
        <f t="shared" si="125"/>
        <v/>
      </c>
      <c r="AC165" s="712" t="str">
        <f>IF(AE165="T2G","no charge",IF(AND(OR(PlanterYesMe="No",PlanterYesMe="N",PlanterYesMe="me"),H165=""),"",IF(H165="credit","NO install",IF(AND(K165="",AE165="me"),"EACH row",IF(AND(K165="images",AE165="me"),"EACH row",IF(D165="","",IF(H165="credit","",IF(AE165="free","re-planting",IF(AE165="me","   not ELP, by",IF(AND(OR(PlanterYesMe="Yes",PlanterYesMe="Y"),G165&gt;0),(VLOOKUP(A165,'Discount Lookup'!J:K,2)*G165*(1-PlanterDiscount)*(1+PlanterDifficultyPercentage)),IF(AE165="ELP",(VLOOKUP(A165,'Discount Lookup'!J:K,2)*G165*(1-PlanterDiscount)*(1+PlanterDifficultyPercentage)),IF(AE165="free","re-planting",IF(G165=0,"",IF(PlanterYesMe="",IF(AE165="me","   not ELP, by",IF(AE165="",IF(G165&gt;0,(VLOOKUP(A165,'Discount Lookup'!J:K,2)*G165*(1-PlanterDiscount)*(1+PlanterDifficultyPercentage)),""),"")),"   not ELP, by"))))))))))))))</f>
        <v/>
      </c>
      <c r="AD165" s="712"/>
      <c r="AE165" s="513" t="str">
        <f t="shared" si="126"/>
        <v/>
      </c>
      <c r="AF165" s="713" t="str">
        <f t="shared" si="127"/>
        <v/>
      </c>
      <c r="AG165" s="713"/>
      <c r="AH165" s="713"/>
      <c r="AI165" s="112">
        <f>IF(H165="credit",0,IF(AE165="free",0,IF(AE165="me",0,IF(G165&gt;0,(VLOOKUP(A165,'Discount Lookup'!J:K,2)*G165),0))))</f>
        <v>0</v>
      </c>
      <c r="AJ165" s="107" t="str">
        <f t="shared" ca="1" si="128"/>
        <v/>
      </c>
      <c r="AK165" s="714" t="str">
        <f t="shared" si="129"/>
        <v/>
      </c>
      <c r="AL165" s="714"/>
      <c r="AM165" s="114" t="str">
        <f t="shared" si="130"/>
        <v/>
      </c>
      <c r="AN165" s="115"/>
      <c r="AO165" s="116"/>
      <c r="AP165" s="116"/>
      <c r="AQ165" s="116"/>
      <c r="AR165" s="116"/>
      <c r="AS165" s="116"/>
      <c r="AT165" s="116"/>
      <c r="AU165" s="116"/>
      <c r="AV165" s="78"/>
      <c r="AW165" s="102"/>
      <c r="AX165" s="78"/>
      <c r="AY165" s="78"/>
      <c r="AZ165" s="78"/>
      <c r="BA165" s="78"/>
      <c r="BB165" s="78"/>
      <c r="BC165" s="78"/>
      <c r="BD165" s="78"/>
      <c r="BE165" s="465"/>
      <c r="BF165" s="165" t="str">
        <f t="shared" si="131"/>
        <v>https://www.google.com/search?tbm=isch&amp;q=7%20G4</v>
      </c>
      <c r="BG165" s="165" t="str">
        <f t="shared" si="132"/>
        <v>A</v>
      </c>
      <c r="BH165" s="65"/>
      <c r="BI165" s="65"/>
      <c r="BJ165" s="65"/>
      <c r="BK165" s="65"/>
      <c r="BL165" s="99"/>
      <c r="BM165" s="99"/>
      <c r="BN165" s="99"/>
    </row>
    <row r="166" spans="1:66" s="51" customFormat="1" ht="15.75" x14ac:dyDescent="0.25">
      <c r="A166" s="634">
        <v>10</v>
      </c>
      <c r="B166" s="635" t="s">
        <v>291</v>
      </c>
      <c r="C166" s="636" t="s">
        <v>1253</v>
      </c>
      <c r="D166" s="637" t="s">
        <v>329</v>
      </c>
      <c r="E166" s="638">
        <v>355.95</v>
      </c>
      <c r="F166" s="639" t="s">
        <v>292</v>
      </c>
      <c r="G166" s="484">
        <v>0</v>
      </c>
      <c r="H166" s="691" t="str">
        <f t="shared" si="142"/>
        <v/>
      </c>
      <c r="I166" s="640">
        <f t="shared" si="143"/>
        <v>0</v>
      </c>
      <c r="J166" s="640">
        <f t="shared" si="144"/>
        <v>0</v>
      </c>
      <c r="K166" s="716">
        <f t="shared" ref="K166" si="148">I166+J166</f>
        <v>0</v>
      </c>
      <c r="L166" s="716"/>
      <c r="M166" s="689" t="str">
        <f t="shared" ca="1" si="146"/>
        <v/>
      </c>
      <c r="N166" s="690"/>
      <c r="O166" s="486"/>
      <c r="P166" s="486"/>
      <c r="Q166" s="486"/>
      <c r="R166" s="486"/>
      <c r="S166" s="486"/>
      <c r="T166" s="102">
        <f t="shared" si="120"/>
        <v>0</v>
      </c>
      <c r="U166" s="78">
        <f>IF(NOT(ISNUMBER(G166)), "", VLOOKUP(A166,'Discount Lookup'!D:E,2,FALSE)*G166)</f>
        <v>0</v>
      </c>
      <c r="V166" s="78">
        <f>IF(NOT(ISNUMBER(G166)), "", VLOOKUP(A166,'Discount Lookup'!G:H,2,FALSE)*G166)</f>
        <v>0</v>
      </c>
      <c r="W166" s="102">
        <f t="shared" si="121"/>
        <v>0</v>
      </c>
      <c r="X166" s="102">
        <f t="shared" si="122"/>
        <v>0</v>
      </c>
      <c r="Y166" s="120" t="b">
        <f t="shared" si="123"/>
        <v>0</v>
      </c>
      <c r="Z166" s="117">
        <f t="shared" si="124"/>
        <v>0</v>
      </c>
      <c r="AA166" s="118"/>
      <c r="AB166" s="118" t="str">
        <f t="shared" si="125"/>
        <v/>
      </c>
      <c r="AC166" s="712" t="str">
        <f>IF(AE166="T2G","no charge",IF(AND(OR(PlanterYesMe="No",PlanterYesMe="N",PlanterYesMe="me"),H166=""),"",IF(H166="credit","NO install",IF(AND(K166="",AE166="me"),"EACH row",IF(AND(K166="images",AE166="me"),"EACH row",IF(D166="","",IF(H166="credit","",IF(AE166="free","re-planting",IF(AE166="me","   not ELP, by",IF(AND(OR(PlanterYesMe="Yes",PlanterYesMe="Y"),G166&gt;0),(VLOOKUP(A166,'Discount Lookup'!J:K,2)*G166*(1-PlanterDiscount)*(1+PlanterDifficultyPercentage)),IF(AE166="ELP",(VLOOKUP(A166,'Discount Lookup'!J:K,2)*G166*(1-PlanterDiscount)*(1+PlanterDifficultyPercentage)),IF(AE166="free","re-planting",IF(G166=0,"",IF(PlanterYesMe="",IF(AE166="me","   not ELP, by",IF(AE166="",IF(G166&gt;0,(VLOOKUP(A166,'Discount Lookup'!J:K,2)*G166*(1-PlanterDiscount)*(1+PlanterDifficultyPercentage)),""),"")),"   not ELP, by"))))))))))))))</f>
        <v/>
      </c>
      <c r="AD166" s="712"/>
      <c r="AE166" s="513" t="str">
        <f t="shared" si="126"/>
        <v/>
      </c>
      <c r="AF166" s="713" t="str">
        <f t="shared" si="127"/>
        <v/>
      </c>
      <c r="AG166" s="713"/>
      <c r="AH166" s="713"/>
      <c r="AI166" s="112">
        <f>IF(H166="credit",0,IF(AE166="free",0,IF(AE166="me",0,IF(G166&gt;0,(VLOOKUP(A166,'Discount Lookup'!J:K,2)*G166),0))))</f>
        <v>0</v>
      </c>
      <c r="AJ166" s="107" t="str">
        <f t="shared" ca="1" si="128"/>
        <v/>
      </c>
      <c r="AK166" s="714" t="str">
        <f t="shared" si="129"/>
        <v/>
      </c>
      <c r="AL166" s="714"/>
      <c r="AM166" s="114" t="str">
        <f t="shared" si="130"/>
        <v/>
      </c>
      <c r="AN166" s="115"/>
      <c r="AO166" s="116"/>
      <c r="AP166" s="116"/>
      <c r="AQ166" s="116"/>
      <c r="AR166" s="116"/>
      <c r="AS166" s="116"/>
      <c r="AT166" s="116"/>
      <c r="AU166" s="116"/>
      <c r="AV166" s="78"/>
      <c r="AW166" s="102"/>
      <c r="AX166" s="78"/>
      <c r="AY166" s="78"/>
      <c r="AZ166" s="78"/>
      <c r="BA166" s="78"/>
      <c r="BB166" s="78"/>
      <c r="BC166" s="78"/>
      <c r="BD166" s="78"/>
      <c r="BE166" s="465"/>
      <c r="BF166" s="165" t="str">
        <f t="shared" si="131"/>
        <v>https://www.google.com/search?tbm=isch&amp;q=10%20G2</v>
      </c>
      <c r="BG166" s="165" t="str">
        <f t="shared" si="132"/>
        <v>A</v>
      </c>
      <c r="BH166" s="65"/>
      <c r="BI166" s="65"/>
      <c r="BJ166" s="65"/>
      <c r="BK166" s="65"/>
      <c r="BL166" s="99"/>
      <c r="BM166" s="99"/>
      <c r="BN166" s="99"/>
    </row>
    <row r="167" spans="1:66" s="51" customFormat="1" ht="15.75" x14ac:dyDescent="0.25">
      <c r="A167" s="634">
        <v>15</v>
      </c>
      <c r="B167" s="635" t="s">
        <v>291</v>
      </c>
      <c r="C167" s="636" t="s">
        <v>1254</v>
      </c>
      <c r="D167" s="637" t="s">
        <v>299</v>
      </c>
      <c r="E167" s="638">
        <v>390.95</v>
      </c>
      <c r="F167" s="639" t="s">
        <v>292</v>
      </c>
      <c r="G167" s="484">
        <v>0</v>
      </c>
      <c r="H167" s="691" t="str">
        <f t="shared" si="142"/>
        <v/>
      </c>
      <c r="I167" s="640">
        <f t="shared" si="143"/>
        <v>0</v>
      </c>
      <c r="J167" s="640">
        <f t="shared" si="144"/>
        <v>0</v>
      </c>
      <c r="K167" s="716">
        <f t="shared" ref="K167" si="149">I167+J167</f>
        <v>0</v>
      </c>
      <c r="L167" s="716"/>
      <c r="M167" s="689" t="str">
        <f t="shared" ca="1" si="146"/>
        <v/>
      </c>
      <c r="N167" s="690"/>
      <c r="O167" s="486"/>
      <c r="P167" s="486"/>
      <c r="Q167" s="486"/>
      <c r="R167" s="486"/>
      <c r="S167" s="486"/>
      <c r="T167" s="102">
        <f t="shared" si="120"/>
        <v>0</v>
      </c>
      <c r="U167" s="78">
        <f>IF(NOT(ISNUMBER(G167)), "", VLOOKUP(A167,'Discount Lookup'!D:E,2,FALSE)*G167)</f>
        <v>0</v>
      </c>
      <c r="V167" s="78">
        <f>IF(NOT(ISNUMBER(G167)), "", VLOOKUP(A167,'Discount Lookup'!G:H,2,FALSE)*G167)</f>
        <v>0</v>
      </c>
      <c r="W167" s="102">
        <f t="shared" si="121"/>
        <v>0</v>
      </c>
      <c r="X167" s="102">
        <f t="shared" si="122"/>
        <v>0</v>
      </c>
      <c r="Y167" s="120" t="b">
        <f t="shared" si="123"/>
        <v>0</v>
      </c>
      <c r="Z167" s="117">
        <f t="shared" si="124"/>
        <v>0</v>
      </c>
      <c r="AA167" s="118"/>
      <c r="AB167" s="118" t="str">
        <f t="shared" si="125"/>
        <v/>
      </c>
      <c r="AC167" s="712" t="str">
        <f>IF(AE167="T2G","no charge",IF(AND(OR(PlanterYesMe="No",PlanterYesMe="N",PlanterYesMe="me"),H167=""),"",IF(H167="credit","NO install",IF(AND(K167="",AE167="me"),"EACH row",IF(AND(K167="images",AE167="me"),"EACH row",IF(D167="","",IF(H167="credit","",IF(AE167="free","re-planting",IF(AE167="me","   not ELP, by",IF(AND(OR(PlanterYesMe="Yes",PlanterYesMe="Y"),G167&gt;0),(VLOOKUP(A167,'Discount Lookup'!J:K,2)*G167*(1-PlanterDiscount)*(1+PlanterDifficultyPercentage)),IF(AE167="ELP",(VLOOKUP(A167,'Discount Lookup'!J:K,2)*G167*(1-PlanterDiscount)*(1+PlanterDifficultyPercentage)),IF(AE167="free","re-planting",IF(G167=0,"",IF(PlanterYesMe="",IF(AE167="me","   not ELP, by",IF(AE167="",IF(G167&gt;0,(VLOOKUP(A167,'Discount Lookup'!J:K,2)*G167*(1-PlanterDiscount)*(1+PlanterDifficultyPercentage)),""),"")),"   not ELP, by"))))))))))))))</f>
        <v/>
      </c>
      <c r="AD167" s="712"/>
      <c r="AE167" s="513" t="str">
        <f t="shared" si="126"/>
        <v/>
      </c>
      <c r="AF167" s="713" t="str">
        <f t="shared" si="127"/>
        <v/>
      </c>
      <c r="AG167" s="713"/>
      <c r="AH167" s="713"/>
      <c r="AI167" s="112">
        <f>IF(H167="credit",0,IF(AE167="free",0,IF(AE167="me",0,IF(G167&gt;0,(VLOOKUP(A167,'Discount Lookup'!J:K,2)*G167),0))))</f>
        <v>0</v>
      </c>
      <c r="AJ167" s="107" t="str">
        <f t="shared" ca="1" si="128"/>
        <v/>
      </c>
      <c r="AK167" s="714" t="str">
        <f t="shared" si="129"/>
        <v/>
      </c>
      <c r="AL167" s="714"/>
      <c r="AM167" s="114" t="str">
        <f t="shared" si="130"/>
        <v/>
      </c>
      <c r="AN167" s="115"/>
      <c r="AO167" s="116"/>
      <c r="AP167" s="116"/>
      <c r="AQ167" s="116"/>
      <c r="AR167" s="116"/>
      <c r="AS167" s="116"/>
      <c r="AT167" s="116"/>
      <c r="AU167" s="116"/>
      <c r="AV167" s="78"/>
      <c r="AW167" s="102"/>
      <c r="AX167" s="78"/>
      <c r="AY167" s="78"/>
      <c r="AZ167" s="78"/>
      <c r="BA167" s="78"/>
      <c r="BB167" s="78"/>
      <c r="BC167" s="78"/>
      <c r="BD167" s="78"/>
      <c r="BE167" s="465"/>
      <c r="BF167" s="165" t="str">
        <f t="shared" si="131"/>
        <v>https://www.google.com/search?tbm=isch&amp;q=15%20G4</v>
      </c>
      <c r="BG167" s="165" t="str">
        <f t="shared" si="132"/>
        <v>A</v>
      </c>
      <c r="BH167" s="65"/>
      <c r="BI167" s="65"/>
      <c r="BJ167" s="65"/>
      <c r="BK167" s="65"/>
      <c r="BL167" s="99"/>
      <c r="BM167" s="99"/>
      <c r="BN167" s="99"/>
    </row>
    <row r="168" spans="1:66" s="51" customFormat="1" ht="27" x14ac:dyDescent="0.25">
      <c r="A168" s="634">
        <v>25</v>
      </c>
      <c r="B168" s="635" t="s">
        <v>291</v>
      </c>
      <c r="C168" s="636" t="s">
        <v>1255</v>
      </c>
      <c r="D168" s="637" t="s">
        <v>299</v>
      </c>
      <c r="E168" s="638">
        <v>790.95</v>
      </c>
      <c r="F168" s="639" t="s">
        <v>292</v>
      </c>
      <c r="G168" s="484">
        <v>0</v>
      </c>
      <c r="H168" s="691" t="str">
        <f t="shared" si="142"/>
        <v/>
      </c>
      <c r="I168" s="640">
        <f t="shared" si="143"/>
        <v>0</v>
      </c>
      <c r="J168" s="640">
        <f t="shared" si="144"/>
        <v>0</v>
      </c>
      <c r="K168" s="716">
        <f t="shared" ref="K168" si="150">I168+J168</f>
        <v>0</v>
      </c>
      <c r="L168" s="716"/>
      <c r="M168" s="689" t="str">
        <f t="shared" ca="1" si="146"/>
        <v/>
      </c>
      <c r="N168" s="690"/>
      <c r="O168" s="486"/>
      <c r="P168" s="486"/>
      <c r="Q168" s="486"/>
      <c r="R168" s="486"/>
      <c r="S168" s="486"/>
      <c r="T168" s="102">
        <f t="shared" si="120"/>
        <v>0</v>
      </c>
      <c r="U168" s="78">
        <f>IF(NOT(ISNUMBER(G168)), "", VLOOKUP(A168,'Discount Lookup'!D:E,2,FALSE)*G168)</f>
        <v>0</v>
      </c>
      <c r="V168" s="78">
        <f>IF(NOT(ISNUMBER(G168)), "", VLOOKUP(A168,'Discount Lookup'!G:H,2,FALSE)*G168)</f>
        <v>0</v>
      </c>
      <c r="W168" s="102">
        <f t="shared" si="121"/>
        <v>0</v>
      </c>
      <c r="X168" s="102">
        <f t="shared" si="122"/>
        <v>0</v>
      </c>
      <c r="Y168" s="120" t="b">
        <f t="shared" si="123"/>
        <v>0</v>
      </c>
      <c r="Z168" s="117">
        <f t="shared" si="124"/>
        <v>0</v>
      </c>
      <c r="AA168" s="118"/>
      <c r="AB168" s="118" t="str">
        <f t="shared" si="125"/>
        <v/>
      </c>
      <c r="AC168" s="712" t="str">
        <f>IF(AE168="T2G","no charge",IF(AND(OR(PlanterYesMe="No",PlanterYesMe="N",PlanterYesMe="me"),H168=""),"",IF(H168="credit","NO install",IF(AND(K168="",AE168="me"),"EACH row",IF(AND(K168="images",AE168="me"),"EACH row",IF(D168="","",IF(H168="credit","",IF(AE168="free","re-planting",IF(AE168="me","   not ELP, by",IF(AND(OR(PlanterYesMe="Yes",PlanterYesMe="Y"),G168&gt;0),(VLOOKUP(A168,'Discount Lookup'!J:K,2)*G168*(1-PlanterDiscount)*(1+PlanterDifficultyPercentage)),IF(AE168="ELP",(VLOOKUP(A168,'Discount Lookup'!J:K,2)*G168*(1-PlanterDiscount)*(1+PlanterDifficultyPercentage)),IF(AE168="free","re-planting",IF(G168=0,"",IF(PlanterYesMe="",IF(AE168="me","   not ELP, by",IF(AE168="",IF(G168&gt;0,(VLOOKUP(A168,'Discount Lookup'!J:K,2)*G168*(1-PlanterDiscount)*(1+PlanterDifficultyPercentage)),""),"")),"   not ELP, by"))))))))))))))</f>
        <v/>
      </c>
      <c r="AD168" s="712"/>
      <c r="AE168" s="513" t="str">
        <f t="shared" si="126"/>
        <v/>
      </c>
      <c r="AF168" s="713" t="str">
        <f t="shared" si="127"/>
        <v/>
      </c>
      <c r="AG168" s="713"/>
      <c r="AH168" s="713"/>
      <c r="AI168" s="112">
        <f>IF(H168="credit",0,IF(AE168="free",0,IF(AE168="me",0,IF(G168&gt;0,(VLOOKUP(A168,'Discount Lookup'!J:K,2)*G168),0))))</f>
        <v>0</v>
      </c>
      <c r="AJ168" s="107" t="str">
        <f t="shared" ca="1" si="128"/>
        <v/>
      </c>
      <c r="AK168" s="714" t="str">
        <f t="shared" si="129"/>
        <v/>
      </c>
      <c r="AL168" s="714"/>
      <c r="AM168" s="114" t="str">
        <f t="shared" si="130"/>
        <v/>
      </c>
      <c r="AN168" s="115"/>
      <c r="AO168" s="116"/>
      <c r="AP168" s="116"/>
      <c r="AQ168" s="116"/>
      <c r="AR168" s="116"/>
      <c r="AS168" s="116"/>
      <c r="AT168" s="116"/>
      <c r="AU168" s="116"/>
      <c r="AV168" s="78"/>
      <c r="AW168" s="102"/>
      <c r="AX168" s="78"/>
      <c r="AY168" s="78"/>
      <c r="AZ168" s="78"/>
      <c r="BA168" s="78"/>
      <c r="BB168" s="78"/>
      <c r="BC168" s="78"/>
      <c r="BD168" s="78"/>
      <c r="BE168" s="465"/>
      <c r="BF168" s="165" t="str">
        <f t="shared" si="131"/>
        <v>https://www.google.com/search?tbm=isch&amp;q=25%20G4</v>
      </c>
      <c r="BG168" s="165" t="str">
        <f t="shared" si="132"/>
        <v>A</v>
      </c>
      <c r="BH168" s="65"/>
      <c r="BI168" s="65"/>
      <c r="BJ168" s="65"/>
      <c r="BK168" s="65"/>
      <c r="BL168" s="99"/>
      <c r="BM168" s="99"/>
      <c r="BN168" s="99"/>
    </row>
    <row r="169" spans="1:66" s="51" customFormat="1" ht="15.75" x14ac:dyDescent="0.25">
      <c r="A169" s="634">
        <v>65</v>
      </c>
      <c r="B169" s="635" t="s">
        <v>291</v>
      </c>
      <c r="C169" s="636" t="s">
        <v>1256</v>
      </c>
      <c r="D169" s="637" t="s">
        <v>299</v>
      </c>
      <c r="E169" s="638">
        <v>1334.95</v>
      </c>
      <c r="F169" s="639" t="s">
        <v>292</v>
      </c>
      <c r="G169" s="484">
        <v>0</v>
      </c>
      <c r="H169" s="691" t="str">
        <f t="shared" si="142"/>
        <v/>
      </c>
      <c r="I169" s="640">
        <f t="shared" si="143"/>
        <v>0</v>
      </c>
      <c r="J169" s="640">
        <f t="shared" si="144"/>
        <v>0</v>
      </c>
      <c r="K169" s="716">
        <f t="shared" ref="K169" si="151">I169+J169</f>
        <v>0</v>
      </c>
      <c r="L169" s="716"/>
      <c r="M169" s="689" t="str">
        <f t="shared" ca="1" si="146"/>
        <v/>
      </c>
      <c r="N169" s="690"/>
      <c r="O169" s="486"/>
      <c r="P169" s="486"/>
      <c r="Q169" s="486"/>
      <c r="R169" s="486"/>
      <c r="S169" s="486"/>
      <c r="T169" s="102">
        <f t="shared" si="120"/>
        <v>0</v>
      </c>
      <c r="U169" s="78">
        <f>IF(NOT(ISNUMBER(G169)), "", VLOOKUP(A169,'Discount Lookup'!D:E,2,FALSE)*G169)</f>
        <v>0</v>
      </c>
      <c r="V169" s="78">
        <f>IF(NOT(ISNUMBER(G169)), "", VLOOKUP(A169,'Discount Lookup'!G:H,2,FALSE)*G169)</f>
        <v>0</v>
      </c>
      <c r="W169" s="102">
        <f t="shared" si="121"/>
        <v>0</v>
      </c>
      <c r="X169" s="102">
        <f t="shared" si="122"/>
        <v>0</v>
      </c>
      <c r="Y169" s="120" t="b">
        <f t="shared" si="123"/>
        <v>0</v>
      </c>
      <c r="Z169" s="117">
        <f t="shared" si="124"/>
        <v>0</v>
      </c>
      <c r="AA169" s="118"/>
      <c r="AB169" s="118" t="str">
        <f t="shared" si="125"/>
        <v/>
      </c>
      <c r="AC169" s="712" t="str">
        <f>IF(AE169="T2G","no charge",IF(AND(OR(PlanterYesMe="No",PlanterYesMe="N",PlanterYesMe="me"),H169=""),"",IF(H169="credit","NO install",IF(AND(K169="",AE169="me"),"EACH row",IF(AND(K169="images",AE169="me"),"EACH row",IF(D169="","",IF(H169="credit","",IF(AE169="free","re-planting",IF(AE169="me","   not ELP, by",IF(AND(OR(PlanterYesMe="Yes",PlanterYesMe="Y"),G169&gt;0),(VLOOKUP(A169,'Discount Lookup'!J:K,2)*G169*(1-PlanterDiscount)*(1+PlanterDifficultyPercentage)),IF(AE169="ELP",(VLOOKUP(A169,'Discount Lookup'!J:K,2)*G169*(1-PlanterDiscount)*(1+PlanterDifficultyPercentage)),IF(AE169="free","re-planting",IF(G169=0,"",IF(PlanterYesMe="",IF(AE169="me","   not ELP, by",IF(AE169="",IF(G169&gt;0,(VLOOKUP(A169,'Discount Lookup'!J:K,2)*G169*(1-PlanterDiscount)*(1+PlanterDifficultyPercentage)),""),"")),"   not ELP, by"))))))))))))))</f>
        <v/>
      </c>
      <c r="AD169" s="712"/>
      <c r="AE169" s="513" t="str">
        <f t="shared" si="126"/>
        <v/>
      </c>
      <c r="AF169" s="713" t="str">
        <f t="shared" si="127"/>
        <v/>
      </c>
      <c r="AG169" s="713"/>
      <c r="AH169" s="713"/>
      <c r="AI169" s="112">
        <f>IF(H169="credit",0,IF(AE169="free",0,IF(AE169="me",0,IF(G169&gt;0,(VLOOKUP(A169,'Discount Lookup'!J:K,2)*G169),0))))</f>
        <v>0</v>
      </c>
      <c r="AJ169" s="107" t="str">
        <f t="shared" ca="1" si="128"/>
        <v/>
      </c>
      <c r="AK169" s="714" t="str">
        <f t="shared" si="129"/>
        <v/>
      </c>
      <c r="AL169" s="714"/>
      <c r="AM169" s="114" t="str">
        <f t="shared" si="130"/>
        <v/>
      </c>
      <c r="AN169" s="115"/>
      <c r="AO169" s="116"/>
      <c r="AP169" s="116"/>
      <c r="AQ169" s="116"/>
      <c r="AR169" s="116"/>
      <c r="AS169" s="116"/>
      <c r="AT169" s="116"/>
      <c r="AU169" s="116"/>
      <c r="AV169" s="78"/>
      <c r="AW169" s="102"/>
      <c r="AX169" s="78"/>
      <c r="AY169" s="78"/>
      <c r="AZ169" s="78"/>
      <c r="BA169" s="78"/>
      <c r="BB169" s="78"/>
      <c r="BC169" s="78"/>
      <c r="BD169" s="78"/>
      <c r="BE169" s="465"/>
      <c r="BF169" s="165" t="str">
        <f t="shared" si="131"/>
        <v>https://www.google.com/search?tbm=isch&amp;q=65%20G4</v>
      </c>
      <c r="BG169" s="165" t="str">
        <f t="shared" si="132"/>
        <v>A</v>
      </c>
      <c r="BH169" s="65"/>
      <c r="BI169" s="65"/>
      <c r="BJ169" s="65"/>
      <c r="BK169" s="65"/>
      <c r="BL169" s="99"/>
      <c r="BM169" s="99"/>
      <c r="BN169" s="99"/>
    </row>
    <row r="170" spans="1:66" s="51" customFormat="1" ht="17.25" thickBot="1" x14ac:dyDescent="0.3">
      <c r="A170" s="641" t="s">
        <v>4930</v>
      </c>
      <c r="B170" s="642"/>
      <c r="C170" s="710"/>
      <c r="D170" s="643"/>
      <c r="E170" s="643"/>
      <c r="F170" s="644"/>
      <c r="G170" s="645"/>
      <c r="H170" s="646"/>
      <c r="I170" s="647"/>
      <c r="J170" s="648"/>
      <c r="K170" s="649"/>
      <c r="L170" s="650"/>
      <c r="M170" s="650"/>
      <c r="N170" s="644"/>
      <c r="O170" s="644"/>
      <c r="P170" s="644"/>
      <c r="Q170" s="644"/>
      <c r="R170" s="644"/>
      <c r="S170" s="651"/>
      <c r="T170" s="102">
        <f t="shared" si="120"/>
        <v>0</v>
      </c>
      <c r="U170" s="78" t="str">
        <f>IF(NOT(ISNUMBER(G170)), "", VLOOKUP(A170,'Discount Lookup'!D:E,2,FALSE)*G170)</f>
        <v/>
      </c>
      <c r="V170" s="78" t="str">
        <f>IF(NOT(ISNUMBER(G170)), "", VLOOKUP(A170,'Discount Lookup'!G:H,2,FALSE)*G170)</f>
        <v/>
      </c>
      <c r="W170" s="102">
        <f t="shared" si="121"/>
        <v>0</v>
      </c>
      <c r="X170" s="102">
        <f t="shared" si="122"/>
        <v>0</v>
      </c>
      <c r="Y170" s="120" t="b">
        <f t="shared" si="123"/>
        <v>0</v>
      </c>
      <c r="Z170" s="117">
        <f t="shared" si="124"/>
        <v>0</v>
      </c>
      <c r="AA170" s="118"/>
      <c r="AB170" s="118" t="str">
        <f t="shared" si="125"/>
        <v/>
      </c>
      <c r="AC170" s="712" t="str">
        <f>IF(AE170="T2G","no charge",IF(AND(OR(PlanterYesMe="No",PlanterYesMe="N",PlanterYesMe="me"),H170=""),"",IF(H170="credit","NO install",IF(AND(K170="",AE170="me"),"EACH row",IF(AND(K170="images",AE170="me"),"EACH row",IF(D170="","",IF(H170="credit","",IF(AE170="free","re-planting",IF(AE170="me","   not ELP, by",IF(AND(OR(PlanterYesMe="Yes",PlanterYesMe="Y"),G170&gt;0),(VLOOKUP(A170,'Discount Lookup'!J:K,2)*G170*(1-PlanterDiscount)*(1+PlanterDifficultyPercentage)),IF(AE170="ELP",(VLOOKUP(A170,'Discount Lookup'!J:K,2)*G170*(1-PlanterDiscount)*(1+PlanterDifficultyPercentage)),IF(AE170="free","re-planting",IF(G170=0,"",IF(PlanterYesMe="",IF(AE170="me","   not ELP, by",IF(AE170="",IF(G170&gt;0,(VLOOKUP(A170,'Discount Lookup'!J:K,2)*G170*(1-PlanterDiscount)*(1+PlanterDifficultyPercentage)),""),"")),"   not ELP, by"))))))))))))))</f>
        <v/>
      </c>
      <c r="AD170" s="712"/>
      <c r="AE170" s="513" t="str">
        <f t="shared" si="126"/>
        <v/>
      </c>
      <c r="AF170" s="713" t="str">
        <f t="shared" si="127"/>
        <v/>
      </c>
      <c r="AG170" s="713"/>
      <c r="AH170" s="713"/>
      <c r="AI170" s="112">
        <f>IF(H170="credit",0,IF(AE170="free",0,IF(AE170="me",0,IF(G170&gt;0,(VLOOKUP(A170,'Discount Lookup'!J:K,2)*G170),0))))</f>
        <v>0</v>
      </c>
      <c r="AJ170" s="107" t="str">
        <f t="shared" ca="1" si="128"/>
        <v/>
      </c>
      <c r="AK170" s="714" t="str">
        <f t="shared" si="129"/>
        <v/>
      </c>
      <c r="AL170" s="714"/>
      <c r="AM170" s="114" t="str">
        <f t="shared" si="130"/>
        <v/>
      </c>
      <c r="AN170" s="115"/>
      <c r="AO170" s="116"/>
      <c r="AP170" s="116"/>
      <c r="AQ170" s="116"/>
      <c r="AR170" s="116"/>
      <c r="AS170" s="116"/>
      <c r="AT170" s="116"/>
      <c r="AU170" s="116"/>
      <c r="AV170" s="78"/>
      <c r="AW170" s="102"/>
      <c r="AX170" s="78"/>
      <c r="AY170" s="78"/>
      <c r="AZ170" s="78"/>
      <c r="BA170" s="78"/>
      <c r="BB170" s="78"/>
      <c r="BC170" s="78"/>
      <c r="BD170" s="78"/>
      <c r="BE170" s="465"/>
      <c r="BF170" s="165" t="str">
        <f t="shared" si="131"/>
        <v>https://www.google.com/search?tbm=isch&amp;q=Sango%20Kaku%20means%20%22coral%20pillars%22.%20Great%20foliage%20color%20in%20the%20summer%2C%20then%20Yellow-Red_Orange%20in%20fall.%20Bark%20is%20a%20stunner%20in%20winter-time%20</v>
      </c>
      <c r="BG170" s="165" t="str">
        <f t="shared" si="132"/>
        <v>S</v>
      </c>
      <c r="BH170" s="65"/>
      <c r="BI170" s="65"/>
      <c r="BJ170" s="65"/>
      <c r="BK170" s="65"/>
      <c r="BL170" s="99"/>
      <c r="BM170" s="99"/>
      <c r="BN170" s="99"/>
    </row>
    <row r="171" spans="1:66" s="51" customFormat="1" ht="18" x14ac:dyDescent="0.25">
      <c r="A171" s="623" t="s">
        <v>1257</v>
      </c>
      <c r="B171" s="624"/>
      <c r="C171" s="709"/>
      <c r="D171" s="625" t="s">
        <v>1258</v>
      </c>
      <c r="E171" s="626"/>
      <c r="F171" s="626"/>
      <c r="G171" s="626"/>
      <c r="H171" s="622" t="s">
        <v>1231</v>
      </c>
      <c r="I171" s="627" t="s">
        <v>1259</v>
      </c>
      <c r="J171" s="628"/>
      <c r="K171" s="628"/>
      <c r="L171" s="629"/>
      <c r="M171" s="702" t="s">
        <v>5252</v>
      </c>
      <c r="N171" s="693" t="str">
        <f>IF(AND(ISTEXT($A171), ISERROR($A171+0)), HYPERLINK($BF171, "Images"), "")</f>
        <v>Images</v>
      </c>
      <c r="O171" s="695" t="s">
        <v>5247</v>
      </c>
      <c r="P171" s="630"/>
      <c r="Q171" s="631"/>
      <c r="R171" s="632"/>
      <c r="S171" s="633"/>
      <c r="T171" s="102">
        <f t="shared" si="120"/>
        <v>0</v>
      </c>
      <c r="U171" s="78" t="str">
        <f>IF(NOT(ISNUMBER(G171)), "", VLOOKUP(A171,'Discount Lookup'!D:E,2,FALSE)*G171)</f>
        <v/>
      </c>
      <c r="V171" s="78" t="str">
        <f>IF(NOT(ISNUMBER(G171)), "", VLOOKUP(A171,'Discount Lookup'!G:H,2,FALSE)*G171)</f>
        <v/>
      </c>
      <c r="W171" s="102">
        <f t="shared" si="121"/>
        <v>0</v>
      </c>
      <c r="X171" s="102" t="str">
        <f t="shared" si="122"/>
        <v>Bronzy-Reddish-Green foliage</v>
      </c>
      <c r="Y171" s="120" t="b">
        <f t="shared" si="123"/>
        <v>0</v>
      </c>
      <c r="Z171" s="117">
        <f t="shared" si="124"/>
        <v>0</v>
      </c>
      <c r="AA171" s="118"/>
      <c r="AB171" s="118" t="str">
        <f t="shared" si="125"/>
        <v/>
      </c>
      <c r="AC171" s="712" t="str">
        <f>IF(AE171="T2G","no charge",IF(AND(OR(PlanterYesMe="No",PlanterYesMe="N",PlanterYesMe="me"),H171=""),"",IF(H171="credit","NO install",IF(AND(K171="",AE171="me"),"EACH row",IF(AND(K171="images",AE171="me"),"EACH row",IF(D171="","",IF(H171="credit","",IF(AE171="free","re-planting",IF(AE171="me","   not ELP, by",IF(AND(OR(PlanterYesMe="Yes",PlanterYesMe="Y"),G171&gt;0),(VLOOKUP(A171,'Discount Lookup'!J:K,2)*G171*(1-PlanterDiscount)*(1+PlanterDifficultyPercentage)),IF(AE171="ELP",(VLOOKUP(A171,'Discount Lookup'!J:K,2)*G171*(1-PlanterDiscount)*(1+PlanterDifficultyPercentage)),IF(AE171="free","re-planting",IF(G171=0,"",IF(PlanterYesMe="",IF(AE171="me","   not ELP, by",IF(AE171="",IF(G171&gt;0,(VLOOKUP(A171,'Discount Lookup'!J:K,2)*G171*(1-PlanterDiscount)*(1+PlanterDifficultyPercentage)),""),"")),"   not ELP, by"))))))))))))))</f>
        <v/>
      </c>
      <c r="AD171" s="712"/>
      <c r="AE171" s="513" t="str">
        <f t="shared" si="126"/>
        <v/>
      </c>
      <c r="AF171" s="713" t="str">
        <f t="shared" si="127"/>
        <v/>
      </c>
      <c r="AG171" s="713"/>
      <c r="AH171" s="713"/>
      <c r="AI171" s="112">
        <f>IF(H171="credit",0,IF(AE171="free",0,IF(AE171="me",0,IF(G171&gt;0,(VLOOKUP(A171,'Discount Lookup'!J:K,2)*G171),0))))</f>
        <v>0</v>
      </c>
      <c r="AJ171" s="107" t="str">
        <f t="shared" ca="1" si="128"/>
        <v/>
      </c>
      <c r="AK171" s="714" t="str">
        <f t="shared" si="129"/>
        <v/>
      </c>
      <c r="AL171" s="714"/>
      <c r="AM171" s="114" t="str">
        <f t="shared" si="130"/>
        <v/>
      </c>
      <c r="AN171" s="115"/>
      <c r="AO171" s="116"/>
      <c r="AP171" s="116"/>
      <c r="AQ171" s="116"/>
      <c r="AR171" s="116"/>
      <c r="AS171" s="116"/>
      <c r="AT171" s="116"/>
      <c r="AU171" s="116"/>
      <c r="AV171" s="78"/>
      <c r="AW171" s="102"/>
      <c r="AX171" s="78"/>
      <c r="AY171" s="78"/>
      <c r="AZ171" s="78"/>
      <c r="BA171" s="78"/>
      <c r="BB171" s="78"/>
      <c r="BC171" s="78"/>
      <c r="BD171" s="78"/>
      <c r="BE171" s="465"/>
      <c r="BF171" s="165" t="str">
        <f t="shared" si="131"/>
        <v>https://www.google.com/search?tbm=isch&amp;q=Acer%20palmatum%20%27Scolopendrifolium%20Rubrum%27%20Red%20Threadleaf%20Japanese%20Maple</v>
      </c>
      <c r="BG171" s="165" t="str">
        <f t="shared" si="132"/>
        <v>A</v>
      </c>
      <c r="BH171" s="65"/>
      <c r="BI171" s="65"/>
      <c r="BJ171" s="65"/>
      <c r="BK171" s="65"/>
      <c r="BL171" s="99"/>
      <c r="BM171" s="99"/>
      <c r="BN171" s="99"/>
    </row>
    <row r="172" spans="1:66" s="51" customFormat="1" ht="27" x14ac:dyDescent="0.25">
      <c r="A172" s="634">
        <v>65</v>
      </c>
      <c r="B172" s="635" t="s">
        <v>291</v>
      </c>
      <c r="C172" s="636" t="s">
        <v>1260</v>
      </c>
      <c r="D172" s="637" t="s">
        <v>299</v>
      </c>
      <c r="E172" s="638">
        <v>1389.95</v>
      </c>
      <c r="F172" s="639" t="s">
        <v>292</v>
      </c>
      <c r="G172" s="484">
        <v>0</v>
      </c>
      <c r="H172" s="691" t="str">
        <f>IF(G172=0,"",IF(F172="Buy",IF(G172=1,"plant","plants"),IF(F172&gt;0.01,"warranty","Error")))</f>
        <v/>
      </c>
      <c r="I172" s="640">
        <f>IF(H172="free",0,IF(H172="credit",((E172*(F172))*G172*-1),IF(F172="Buy",(E172*G172),((E172*(1-F172))*G172))))</f>
        <v>0</v>
      </c>
      <c r="J172" s="640">
        <f>IF(H172="warranty",0,(I172*(_xlfn.SINGLE(SalesTaxPercentage))))</f>
        <v>0</v>
      </c>
      <c r="K172" s="716">
        <f t="shared" ref="K172" si="152">I172+J172</f>
        <v>0</v>
      </c>
      <c r="L172" s="716"/>
      <c r="M172" s="689" t="str">
        <f ca="1">IF(AND(G172&gt;0,E172=0),"WARNING - no PRICE inserted",IF(H172="free","FREE ~ no charge this plant",IF(H172="credit",CONCATENATE("-$",ROUND(K172*(1-_xlfn.SINGLE(T2GDiscount))*-1,2)," CREDIT after discount"),IF(_xlfn.SINGLE(T2GDiscount)=0,"",IF(G172=0,"",IF(F172="Buy",CONCATENATE("$",ROUND(K172*(1-_xlfn.SINGLE(T2GDiscount)),2)," with ",(_xlfn.SINGLE(T2GDiscount)*100),"% discount"),CONCATENATE("$",ROUND(K172*(1-_xlfn.SINGLE(T2GDiscount)),2)," with ",((_xlfn.SINGLE(T2GDiscount)*100+F172*100)-(_xlfn.SINGLE(T2GDiscount)*100*F172)),IF(F172&gt;0,"% discounts",IF(_xlfn.SINGLE(NoWarrantyDiscount)&gt;0,"% discounts","% discount")))))))))</f>
        <v/>
      </c>
      <c r="N172" s="690"/>
      <c r="O172" s="486"/>
      <c r="P172" s="486"/>
      <c r="Q172" s="486"/>
      <c r="R172" s="486"/>
      <c r="S172" s="486"/>
      <c r="T172" s="102">
        <f t="shared" si="120"/>
        <v>0</v>
      </c>
      <c r="U172" s="78">
        <f>IF(NOT(ISNUMBER(G172)), "", VLOOKUP(A172,'Discount Lookup'!D:E,2,FALSE)*G172)</f>
        <v>0</v>
      </c>
      <c r="V172" s="78">
        <f>IF(NOT(ISNUMBER(G172)), "", VLOOKUP(A172,'Discount Lookup'!G:H,2,FALSE)*G172)</f>
        <v>0</v>
      </c>
      <c r="W172" s="102">
        <f t="shared" si="121"/>
        <v>0</v>
      </c>
      <c r="X172" s="102">
        <f t="shared" si="122"/>
        <v>0</v>
      </c>
      <c r="Y172" s="120" t="b">
        <f t="shared" si="123"/>
        <v>0</v>
      </c>
      <c r="Z172" s="117">
        <f t="shared" si="124"/>
        <v>0</v>
      </c>
      <c r="AA172" s="118"/>
      <c r="AB172" s="118" t="str">
        <f t="shared" si="125"/>
        <v/>
      </c>
      <c r="AC172" s="712" t="str">
        <f>IF(AE172="T2G","no charge",IF(AND(OR(PlanterYesMe="No",PlanterYesMe="N",PlanterYesMe="me"),H172=""),"",IF(H172="credit","NO install",IF(AND(K172="",AE172="me"),"EACH row",IF(AND(K172="images",AE172="me"),"EACH row",IF(D172="","",IF(H172="credit","",IF(AE172="free","re-planting",IF(AE172="me","   not ELP, by",IF(AND(OR(PlanterYesMe="Yes",PlanterYesMe="Y"),G172&gt;0),(VLOOKUP(A172,'Discount Lookup'!J:K,2)*G172*(1-PlanterDiscount)*(1+PlanterDifficultyPercentage)),IF(AE172="ELP",(VLOOKUP(A172,'Discount Lookup'!J:K,2)*G172*(1-PlanterDiscount)*(1+PlanterDifficultyPercentage)),IF(AE172="free","re-planting",IF(G172=0,"",IF(PlanterYesMe="",IF(AE172="me","   not ELP, by",IF(AE172="",IF(G172&gt;0,(VLOOKUP(A172,'Discount Lookup'!J:K,2)*G172*(1-PlanterDiscount)*(1+PlanterDifficultyPercentage)),""),"")),"   not ELP, by"))))))))))))))</f>
        <v/>
      </c>
      <c r="AD172" s="712"/>
      <c r="AE172" s="513" t="str">
        <f t="shared" si="126"/>
        <v/>
      </c>
      <c r="AF172" s="713" t="str">
        <f t="shared" si="127"/>
        <v/>
      </c>
      <c r="AG172" s="713"/>
      <c r="AH172" s="713"/>
      <c r="AI172" s="112">
        <f>IF(H172="credit",0,IF(AE172="free",0,IF(AE172="me",0,IF(G172&gt;0,(VLOOKUP(A172,'Discount Lookup'!J:K,2)*G172),0))))</f>
        <v>0</v>
      </c>
      <c r="AJ172" s="107" t="str">
        <f t="shared" ca="1" si="128"/>
        <v/>
      </c>
      <c r="AK172" s="714" t="str">
        <f t="shared" si="129"/>
        <v/>
      </c>
      <c r="AL172" s="714"/>
      <c r="AM172" s="114" t="str">
        <f t="shared" si="130"/>
        <v/>
      </c>
      <c r="AN172" s="115"/>
      <c r="AO172" s="116"/>
      <c r="AP172" s="116"/>
      <c r="AQ172" s="116"/>
      <c r="AR172" s="116"/>
      <c r="AS172" s="116"/>
      <c r="AT172" s="116"/>
      <c r="AU172" s="116"/>
      <c r="AV172" s="78"/>
      <c r="AW172" s="102"/>
      <c r="AX172" s="78"/>
      <c r="AY172" s="78"/>
      <c r="AZ172" s="78"/>
      <c r="BA172" s="78"/>
      <c r="BB172" s="78"/>
      <c r="BC172" s="78"/>
      <c r="BD172" s="78"/>
      <c r="BE172" s="465"/>
      <c r="BF172" s="165" t="str">
        <f t="shared" si="131"/>
        <v>https://www.google.com/search?tbm=isch&amp;q=65%20G4</v>
      </c>
      <c r="BG172" s="165" t="str">
        <f t="shared" si="132"/>
        <v>A</v>
      </c>
      <c r="BH172" s="65"/>
      <c r="BI172" s="65"/>
      <c r="BJ172" s="65"/>
      <c r="BK172" s="65"/>
      <c r="BL172" s="99"/>
      <c r="BM172" s="99"/>
      <c r="BN172" s="99"/>
    </row>
    <row r="173" spans="1:66" s="51" customFormat="1" ht="17.25" thickBot="1" x14ac:dyDescent="0.3">
      <c r="A173" s="641" t="s">
        <v>1261</v>
      </c>
      <c r="B173" s="642"/>
      <c r="C173" s="710"/>
      <c r="D173" s="643"/>
      <c r="E173" s="643"/>
      <c r="F173" s="644"/>
      <c r="G173" s="645"/>
      <c r="H173" s="646"/>
      <c r="I173" s="647"/>
      <c r="J173" s="648"/>
      <c r="K173" s="649"/>
      <c r="L173" s="650"/>
      <c r="M173" s="650"/>
      <c r="N173" s="644"/>
      <c r="O173" s="644"/>
      <c r="P173" s="644"/>
      <c r="Q173" s="644"/>
      <c r="R173" s="644"/>
      <c r="S173" s="651"/>
      <c r="T173" s="102">
        <f t="shared" si="120"/>
        <v>0</v>
      </c>
      <c r="U173" s="78" t="str">
        <f>IF(NOT(ISNUMBER(G173)), "", VLOOKUP(A173,'Discount Lookup'!D:E,2,FALSE)*G173)</f>
        <v/>
      </c>
      <c r="V173" s="78" t="str">
        <f>IF(NOT(ISNUMBER(G173)), "", VLOOKUP(A173,'Discount Lookup'!G:H,2,FALSE)*G173)</f>
        <v/>
      </c>
      <c r="W173" s="102">
        <f t="shared" si="121"/>
        <v>0</v>
      </c>
      <c r="X173" s="102">
        <f t="shared" si="122"/>
        <v>0</v>
      </c>
      <c r="Y173" s="120" t="b">
        <f t="shared" si="123"/>
        <v>0</v>
      </c>
      <c r="Z173" s="117">
        <f t="shared" si="124"/>
        <v>0</v>
      </c>
      <c r="AA173" s="118"/>
      <c r="AB173" s="118" t="str">
        <f t="shared" si="125"/>
        <v/>
      </c>
      <c r="AC173" s="712" t="str">
        <f>IF(AE173="T2G","no charge",IF(AND(OR(PlanterYesMe="No",PlanterYesMe="N",PlanterYesMe="me"),H173=""),"",IF(H173="credit","NO install",IF(AND(K173="",AE173="me"),"EACH row",IF(AND(K173="images",AE173="me"),"EACH row",IF(D173="","",IF(H173="credit","",IF(AE173="free","re-planting",IF(AE173="me","   not ELP, by",IF(AND(OR(PlanterYesMe="Yes",PlanterYesMe="Y"),G173&gt;0),(VLOOKUP(A173,'Discount Lookup'!J:K,2)*G173*(1-PlanterDiscount)*(1+PlanterDifficultyPercentage)),IF(AE173="ELP",(VLOOKUP(A173,'Discount Lookup'!J:K,2)*G173*(1-PlanterDiscount)*(1+PlanterDifficultyPercentage)),IF(AE173="free","re-planting",IF(G173=0,"",IF(PlanterYesMe="",IF(AE173="me","   not ELP, by",IF(AE173="",IF(G173&gt;0,(VLOOKUP(A173,'Discount Lookup'!J:K,2)*G173*(1-PlanterDiscount)*(1+PlanterDifficultyPercentage)),""),"")),"   not ELP, by"))))))))))))))</f>
        <v/>
      </c>
      <c r="AD173" s="712"/>
      <c r="AE173" s="513" t="str">
        <f t="shared" si="126"/>
        <v/>
      </c>
      <c r="AF173" s="713" t="str">
        <f t="shared" si="127"/>
        <v/>
      </c>
      <c r="AG173" s="713"/>
      <c r="AH173" s="713"/>
      <c r="AI173" s="112">
        <f>IF(H173="credit",0,IF(AE173="free",0,IF(AE173="me",0,IF(G173&gt;0,(VLOOKUP(A173,'Discount Lookup'!J:K,2)*G173),0))))</f>
        <v>0</v>
      </c>
      <c r="AJ173" s="107" t="str">
        <f t="shared" ca="1" si="128"/>
        <v/>
      </c>
      <c r="AK173" s="714" t="str">
        <f t="shared" si="129"/>
        <v/>
      </c>
      <c r="AL173" s="714"/>
      <c r="AM173" s="114" t="str">
        <f t="shared" si="130"/>
        <v/>
      </c>
      <c r="AN173" s="115"/>
      <c r="AO173" s="116"/>
      <c r="AP173" s="116"/>
      <c r="AQ173" s="116"/>
      <c r="AR173" s="116"/>
      <c r="AS173" s="116"/>
      <c r="AT173" s="116"/>
      <c r="AU173" s="116"/>
      <c r="AV173" s="78"/>
      <c r="AW173" s="102"/>
      <c r="AX173" s="78"/>
      <c r="AY173" s="78"/>
      <c r="AZ173" s="78"/>
      <c r="BA173" s="78"/>
      <c r="BB173" s="78"/>
      <c r="BC173" s="78"/>
      <c r="BD173" s="78"/>
      <c r="BE173" s="465"/>
      <c r="BF173" s="165" t="str">
        <f t="shared" si="131"/>
        <v>https://www.google.com/search?tbm=isch&amp;q=Red%20Threadleaf%20named%20for%20exceptionally%20fine%2C%20deeply%20dissected%20foliage.%20Leaves%20emrge%20fiery%20red%2C%20then%20a%20vibrant%20Scarlet-Crimson-Orange%20fall%20</v>
      </c>
      <c r="BG173" s="165" t="str">
        <f t="shared" si="132"/>
        <v>R</v>
      </c>
      <c r="BH173" s="65"/>
      <c r="BI173" s="65"/>
      <c r="BJ173" s="65"/>
      <c r="BK173" s="65"/>
      <c r="BL173" s="99"/>
      <c r="BM173" s="99"/>
      <c r="BN173" s="99"/>
    </row>
    <row r="174" spans="1:66" s="51" customFormat="1" ht="18" x14ac:dyDescent="0.25">
      <c r="A174" s="623" t="s">
        <v>1262</v>
      </c>
      <c r="B174" s="624"/>
      <c r="C174" s="709"/>
      <c r="D174" s="625" t="s">
        <v>1263</v>
      </c>
      <c r="E174" s="626"/>
      <c r="F174" s="626"/>
      <c r="G174" s="626"/>
      <c r="H174" s="622" t="s">
        <v>1264</v>
      </c>
      <c r="I174" s="627" t="s">
        <v>1265</v>
      </c>
      <c r="J174" s="628"/>
      <c r="K174" s="628"/>
      <c r="L174" s="629"/>
      <c r="M174" s="700" t="s">
        <v>5249</v>
      </c>
      <c r="N174" s="693" t="str">
        <f>IF(AND(ISTEXT($A174), ISERROR($A174+0)), HYPERLINK($BF174, "Images"), "")</f>
        <v>Images</v>
      </c>
      <c r="O174" s="695" t="s">
        <v>5247</v>
      </c>
      <c r="P174" s="630"/>
      <c r="Q174" s="631"/>
      <c r="R174" s="632"/>
      <c r="S174" s="633"/>
      <c r="T174" s="102">
        <f t="shared" si="120"/>
        <v>0</v>
      </c>
      <c r="U174" s="78" t="str">
        <f>IF(NOT(ISNUMBER(G174)), "", VLOOKUP(A174,'Discount Lookup'!D:E,2,FALSE)*G174)</f>
        <v/>
      </c>
      <c r="V174" s="78" t="str">
        <f>IF(NOT(ISNUMBER(G174)), "", VLOOKUP(A174,'Discount Lookup'!G:H,2,FALSE)*G174)</f>
        <v/>
      </c>
      <c r="W174" s="102">
        <f t="shared" si="121"/>
        <v>0</v>
      </c>
      <c r="X174" s="102" t="str">
        <f t="shared" si="122"/>
        <v>Maroon-Red foliage</v>
      </c>
      <c r="Y174" s="120" t="b">
        <f t="shared" si="123"/>
        <v>0</v>
      </c>
      <c r="Z174" s="117">
        <f t="shared" si="124"/>
        <v>0</v>
      </c>
      <c r="AA174" s="118"/>
      <c r="AB174" s="118" t="str">
        <f t="shared" si="125"/>
        <v/>
      </c>
      <c r="AC174" s="712" t="str">
        <f>IF(AE174="T2G","no charge",IF(AND(OR(PlanterYesMe="No",PlanterYesMe="N",PlanterYesMe="me"),H174=""),"",IF(H174="credit","NO install",IF(AND(K174="",AE174="me"),"EACH row",IF(AND(K174="images",AE174="me"),"EACH row",IF(D174="","",IF(H174="credit","",IF(AE174="free","re-planting",IF(AE174="me","   not ELP, by",IF(AND(OR(PlanterYesMe="Yes",PlanterYesMe="Y"),G174&gt;0),(VLOOKUP(A174,'Discount Lookup'!J:K,2)*G174*(1-PlanterDiscount)*(1+PlanterDifficultyPercentage)),IF(AE174="ELP",(VLOOKUP(A174,'Discount Lookup'!J:K,2)*G174*(1-PlanterDiscount)*(1+PlanterDifficultyPercentage)),IF(AE174="free","re-planting",IF(G174=0,"",IF(PlanterYesMe="",IF(AE174="me","   not ELP, by",IF(AE174="",IF(G174&gt;0,(VLOOKUP(A174,'Discount Lookup'!J:K,2)*G174*(1-PlanterDiscount)*(1+PlanterDifficultyPercentage)),""),"")),"   not ELP, by"))))))))))))))</f>
        <v/>
      </c>
      <c r="AD174" s="712"/>
      <c r="AE174" s="513" t="str">
        <f t="shared" si="126"/>
        <v/>
      </c>
      <c r="AF174" s="713" t="str">
        <f t="shared" si="127"/>
        <v/>
      </c>
      <c r="AG174" s="713"/>
      <c r="AH174" s="713"/>
      <c r="AI174" s="112">
        <f>IF(H174="credit",0,IF(AE174="free",0,IF(AE174="me",0,IF(G174&gt;0,(VLOOKUP(A174,'Discount Lookup'!J:K,2)*G174),0))))</f>
        <v>0</v>
      </c>
      <c r="AJ174" s="107" t="str">
        <f t="shared" ca="1" si="128"/>
        <v/>
      </c>
      <c r="AK174" s="714" t="str">
        <f t="shared" si="129"/>
        <v/>
      </c>
      <c r="AL174" s="714"/>
      <c r="AM174" s="114" t="str">
        <f t="shared" si="130"/>
        <v/>
      </c>
      <c r="AN174" s="115"/>
      <c r="AO174" s="116"/>
      <c r="AP174" s="116"/>
      <c r="AQ174" s="116"/>
      <c r="AR174" s="116"/>
      <c r="AS174" s="116"/>
      <c r="AT174" s="116"/>
      <c r="AU174" s="116"/>
      <c r="AV174" s="78"/>
      <c r="AW174" s="102"/>
      <c r="AX174" s="78"/>
      <c r="AY174" s="78"/>
      <c r="AZ174" s="78"/>
      <c r="BA174" s="78"/>
      <c r="BB174" s="78"/>
      <c r="BC174" s="78"/>
      <c r="BD174" s="78"/>
      <c r="BE174" s="465"/>
      <c r="BF174" s="165" t="str">
        <f t="shared" si="131"/>
        <v>https://www.google.com/search?tbm=isch&amp;q=Acer%20palmatum%20%27Shaina%27%20Shaina%20Japanese%20Maple</v>
      </c>
      <c r="BG174" s="165" t="str">
        <f t="shared" si="132"/>
        <v>A</v>
      </c>
      <c r="BH174" s="65"/>
      <c r="BI174" s="65"/>
      <c r="BJ174" s="65"/>
      <c r="BK174" s="65"/>
      <c r="BL174" s="99"/>
      <c r="BM174" s="99"/>
      <c r="BN174" s="99"/>
    </row>
    <row r="175" spans="1:66" s="51" customFormat="1" ht="27" x14ac:dyDescent="0.25">
      <c r="A175" s="634">
        <v>10</v>
      </c>
      <c r="B175" s="635" t="s">
        <v>291</v>
      </c>
      <c r="C175" s="636" t="s">
        <v>1266</v>
      </c>
      <c r="D175" s="637" t="s">
        <v>299</v>
      </c>
      <c r="E175" s="638">
        <v>332.95</v>
      </c>
      <c r="F175" s="639" t="s">
        <v>292</v>
      </c>
      <c r="G175" s="484">
        <v>0</v>
      </c>
      <c r="H175" s="691" t="str">
        <f>IF(G175=0,"",IF(F175="Buy",IF(G175=1,"plant","plants"),IF(F175&gt;0.01,"warranty","Error")))</f>
        <v/>
      </c>
      <c r="I175" s="640">
        <f>IF(H175="free",0,IF(H175="credit",((E175*(F175))*G175*-1),IF(F175="Buy",(E175*G175),((E175*(1-F175))*G175))))</f>
        <v>0</v>
      </c>
      <c r="J175" s="640">
        <f>IF(H175="warranty",0,(I175*(_xlfn.SINGLE(SalesTaxPercentage))))</f>
        <v>0</v>
      </c>
      <c r="K175" s="716">
        <f t="shared" ref="K175" si="153">I175+J175</f>
        <v>0</v>
      </c>
      <c r="L175" s="716"/>
      <c r="M175" s="689" t="str">
        <f ca="1">IF(AND(G175&gt;0,E175=0),"WARNING - no PRICE inserted",IF(H175="free","FREE ~ no charge this plant",IF(H175="credit",CONCATENATE("-$",ROUND(K175*(1-_xlfn.SINGLE(T2GDiscount))*-1,2)," CREDIT after discount"),IF(_xlfn.SINGLE(T2GDiscount)=0,"",IF(G175=0,"",IF(F175="Buy",CONCATENATE("$",ROUND(K175*(1-_xlfn.SINGLE(T2GDiscount)),2)," with ",(_xlfn.SINGLE(T2GDiscount)*100),"% discount"),CONCATENATE("$",ROUND(K175*(1-_xlfn.SINGLE(T2GDiscount)),2)," with ",((_xlfn.SINGLE(T2GDiscount)*100+F175*100)-(_xlfn.SINGLE(T2GDiscount)*100*F175)),IF(F175&gt;0,"% discounts",IF(_xlfn.SINGLE(NoWarrantyDiscount)&gt;0,"% discounts","% discount")))))))))</f>
        <v/>
      </c>
      <c r="N175" s="690"/>
      <c r="O175" s="486"/>
      <c r="P175" s="486"/>
      <c r="Q175" s="486"/>
      <c r="R175" s="486"/>
      <c r="S175" s="486"/>
      <c r="T175" s="102">
        <f t="shared" si="120"/>
        <v>0</v>
      </c>
      <c r="U175" s="78">
        <f>IF(NOT(ISNUMBER(G175)), "", VLOOKUP(A175,'Discount Lookup'!D:E,2,FALSE)*G175)</f>
        <v>0</v>
      </c>
      <c r="V175" s="78">
        <f>IF(NOT(ISNUMBER(G175)), "", VLOOKUP(A175,'Discount Lookup'!G:H,2,FALSE)*G175)</f>
        <v>0</v>
      </c>
      <c r="W175" s="102">
        <f t="shared" si="121"/>
        <v>0</v>
      </c>
      <c r="X175" s="102">
        <f t="shared" si="122"/>
        <v>0</v>
      </c>
      <c r="Y175" s="120" t="b">
        <f t="shared" si="123"/>
        <v>0</v>
      </c>
      <c r="Z175" s="117">
        <f t="shared" si="124"/>
        <v>0</v>
      </c>
      <c r="AA175" s="118"/>
      <c r="AB175" s="118" t="str">
        <f t="shared" si="125"/>
        <v/>
      </c>
      <c r="AC175" s="712" t="str">
        <f>IF(AE175="T2G","no charge",IF(AND(OR(PlanterYesMe="No",PlanterYesMe="N",PlanterYesMe="me"),H175=""),"",IF(H175="credit","NO install",IF(AND(K175="",AE175="me"),"EACH row",IF(AND(K175="images",AE175="me"),"EACH row",IF(D175="","",IF(H175="credit","",IF(AE175="free","re-planting",IF(AE175="me","   not ELP, by",IF(AND(OR(PlanterYesMe="Yes",PlanterYesMe="Y"),G175&gt;0),(VLOOKUP(A175,'Discount Lookup'!J:K,2)*G175*(1-PlanterDiscount)*(1+PlanterDifficultyPercentage)),IF(AE175="ELP",(VLOOKUP(A175,'Discount Lookup'!J:K,2)*G175*(1-PlanterDiscount)*(1+PlanterDifficultyPercentage)),IF(AE175="free","re-planting",IF(G175=0,"",IF(PlanterYesMe="",IF(AE175="me","   not ELP, by",IF(AE175="",IF(G175&gt;0,(VLOOKUP(A175,'Discount Lookup'!J:K,2)*G175*(1-PlanterDiscount)*(1+PlanterDifficultyPercentage)),""),"")),"   not ELP, by"))))))))))))))</f>
        <v/>
      </c>
      <c r="AD175" s="712"/>
      <c r="AE175" s="513" t="str">
        <f t="shared" si="126"/>
        <v/>
      </c>
      <c r="AF175" s="713" t="str">
        <f t="shared" si="127"/>
        <v/>
      </c>
      <c r="AG175" s="713"/>
      <c r="AH175" s="713"/>
      <c r="AI175" s="112">
        <f>IF(H175="credit",0,IF(AE175="free",0,IF(AE175="me",0,IF(G175&gt;0,(VLOOKUP(A175,'Discount Lookup'!J:K,2)*G175),0))))</f>
        <v>0</v>
      </c>
      <c r="AJ175" s="107" t="str">
        <f t="shared" ca="1" si="128"/>
        <v/>
      </c>
      <c r="AK175" s="714" t="str">
        <f t="shared" si="129"/>
        <v/>
      </c>
      <c r="AL175" s="714"/>
      <c r="AM175" s="114" t="str">
        <f t="shared" si="130"/>
        <v/>
      </c>
      <c r="AN175" s="115"/>
      <c r="AO175" s="116"/>
      <c r="AP175" s="116"/>
      <c r="AQ175" s="116"/>
      <c r="AR175" s="116"/>
      <c r="AS175" s="116"/>
      <c r="AT175" s="116"/>
      <c r="AU175" s="116"/>
      <c r="AV175" s="78"/>
      <c r="AW175" s="102"/>
      <c r="AX175" s="78"/>
      <c r="AY175" s="78"/>
      <c r="AZ175" s="78"/>
      <c r="BA175" s="78"/>
      <c r="BB175" s="78"/>
      <c r="BC175" s="78"/>
      <c r="BD175" s="78"/>
      <c r="BE175" s="465"/>
      <c r="BF175" s="165" t="str">
        <f t="shared" si="131"/>
        <v>https://www.google.com/search?tbm=isch&amp;q=10%20G4</v>
      </c>
      <c r="BG175" s="165" t="str">
        <f t="shared" si="132"/>
        <v>A</v>
      </c>
      <c r="BH175" s="65"/>
      <c r="BI175" s="65"/>
      <c r="BJ175" s="65"/>
      <c r="BK175" s="65"/>
      <c r="BL175" s="99"/>
      <c r="BM175" s="99"/>
      <c r="BN175" s="99"/>
    </row>
    <row r="176" spans="1:66" s="51" customFormat="1" ht="17.25" thickBot="1" x14ac:dyDescent="0.3">
      <c r="A176" s="641" t="s">
        <v>1267</v>
      </c>
      <c r="B176" s="642"/>
      <c r="C176" s="710"/>
      <c r="D176" s="643"/>
      <c r="E176" s="643"/>
      <c r="F176" s="644"/>
      <c r="G176" s="645"/>
      <c r="H176" s="646"/>
      <c r="I176" s="647"/>
      <c r="J176" s="648"/>
      <c r="K176" s="649"/>
      <c r="L176" s="650"/>
      <c r="M176" s="650"/>
      <c r="N176" s="644"/>
      <c r="O176" s="644"/>
      <c r="P176" s="644"/>
      <c r="Q176" s="644"/>
      <c r="R176" s="644"/>
      <c r="S176" s="651"/>
      <c r="T176" s="102">
        <f t="shared" si="120"/>
        <v>0</v>
      </c>
      <c r="U176" s="78" t="str">
        <f>IF(NOT(ISNUMBER(G176)), "", VLOOKUP(A176,'Discount Lookup'!D:E,2,FALSE)*G176)</f>
        <v/>
      </c>
      <c r="V176" s="78" t="str">
        <f>IF(NOT(ISNUMBER(G176)), "", VLOOKUP(A176,'Discount Lookup'!G:H,2,FALSE)*G176)</f>
        <v/>
      </c>
      <c r="W176" s="102">
        <f t="shared" si="121"/>
        <v>0</v>
      </c>
      <c r="X176" s="102">
        <f t="shared" si="122"/>
        <v>0</v>
      </c>
      <c r="Y176" s="120" t="b">
        <f t="shared" si="123"/>
        <v>0</v>
      </c>
      <c r="Z176" s="117">
        <f t="shared" si="124"/>
        <v>0</v>
      </c>
      <c r="AA176" s="118"/>
      <c r="AB176" s="118" t="str">
        <f t="shared" si="125"/>
        <v/>
      </c>
      <c r="AC176" s="712" t="str">
        <f>IF(AE176="T2G","no charge",IF(AND(OR(PlanterYesMe="No",PlanterYesMe="N",PlanterYesMe="me"),H176=""),"",IF(H176="credit","NO install",IF(AND(K176="",AE176="me"),"EACH row",IF(AND(K176="images",AE176="me"),"EACH row",IF(D176="","",IF(H176="credit","",IF(AE176="free","re-planting",IF(AE176="me","   not ELP, by",IF(AND(OR(PlanterYesMe="Yes",PlanterYesMe="Y"),G176&gt;0),(VLOOKUP(A176,'Discount Lookup'!J:K,2)*G176*(1-PlanterDiscount)*(1+PlanterDifficultyPercentage)),IF(AE176="ELP",(VLOOKUP(A176,'Discount Lookup'!J:K,2)*G176*(1-PlanterDiscount)*(1+PlanterDifficultyPercentage)),IF(AE176="free","re-planting",IF(G176=0,"",IF(PlanterYesMe="",IF(AE176="me","   not ELP, by",IF(AE176="",IF(G176&gt;0,(VLOOKUP(A176,'Discount Lookup'!J:K,2)*G176*(1-PlanterDiscount)*(1+PlanterDifficultyPercentage)),""),"")),"   not ELP, by"))))))))))))))</f>
        <v/>
      </c>
      <c r="AD176" s="712"/>
      <c r="AE176" s="513" t="str">
        <f t="shared" si="126"/>
        <v/>
      </c>
      <c r="AF176" s="713" t="str">
        <f t="shared" si="127"/>
        <v/>
      </c>
      <c r="AG176" s="713"/>
      <c r="AH176" s="713"/>
      <c r="AI176" s="112">
        <f>IF(H176="credit",0,IF(AE176="free",0,IF(AE176="me",0,IF(G176&gt;0,(VLOOKUP(A176,'Discount Lookup'!J:K,2)*G176),0))))</f>
        <v>0</v>
      </c>
      <c r="AJ176" s="107" t="str">
        <f t="shared" ca="1" si="128"/>
        <v/>
      </c>
      <c r="AK176" s="714" t="str">
        <f t="shared" si="129"/>
        <v/>
      </c>
      <c r="AL176" s="714"/>
      <c r="AM176" s="114" t="str">
        <f t="shared" si="130"/>
        <v/>
      </c>
      <c r="AN176" s="115"/>
      <c r="AO176" s="116"/>
      <c r="AP176" s="116"/>
      <c r="AQ176" s="116"/>
      <c r="AR176" s="116"/>
      <c r="AS176" s="116"/>
      <c r="AT176" s="116"/>
      <c r="AU176" s="116"/>
      <c r="AV176" s="78"/>
      <c r="AW176" s="102"/>
      <c r="AX176" s="78"/>
      <c r="AY176" s="78"/>
      <c r="AZ176" s="78"/>
      <c r="BA176" s="78"/>
      <c r="BB176" s="78"/>
      <c r="BC176" s="78"/>
      <c r="BD176" s="78"/>
      <c r="BE176" s="465"/>
      <c r="BF176" s="165" t="str">
        <f t="shared" si="131"/>
        <v>https://www.google.com/search?tbm=isch&amp;q=Shaina%27s%20foliage%20emerges%20bright%20Purple-Red%2C%20deepens%20over%20the%20summer%2C%20then%20brilliant%20Crimson-Red%20in%20fall%20</v>
      </c>
      <c r="BG176" s="165" t="str">
        <f t="shared" si="132"/>
        <v>S</v>
      </c>
      <c r="BH176" s="65"/>
      <c r="BI176" s="65"/>
      <c r="BJ176" s="65"/>
      <c r="BK176" s="65"/>
      <c r="BL176" s="99"/>
      <c r="BM176" s="99"/>
      <c r="BN176" s="99"/>
    </row>
    <row r="177" spans="1:66" s="51" customFormat="1" ht="18" x14ac:dyDescent="0.25">
      <c r="A177" s="623" t="s">
        <v>1268</v>
      </c>
      <c r="B177" s="624"/>
      <c r="C177" s="709"/>
      <c r="D177" s="625" t="s">
        <v>1269</v>
      </c>
      <c r="E177" s="626"/>
      <c r="F177" s="626"/>
      <c r="G177" s="626"/>
      <c r="H177" s="622" t="s">
        <v>1270</v>
      </c>
      <c r="I177" s="627" t="s">
        <v>1271</v>
      </c>
      <c r="J177" s="628"/>
      <c r="K177" s="628"/>
      <c r="L177" s="629"/>
      <c r="M177" s="700" t="s">
        <v>5249</v>
      </c>
      <c r="N177" s="693" t="str">
        <f>IF(AND(ISTEXT($A177), ISERROR($A177+0)), HYPERLINK($BF177, "Images"), "")</f>
        <v>Images</v>
      </c>
      <c r="O177" s="695" t="s">
        <v>5247</v>
      </c>
      <c r="P177" s="630"/>
      <c r="Q177" s="631"/>
      <c r="R177" s="632"/>
      <c r="S177" s="633"/>
      <c r="T177" s="102">
        <f t="shared" si="120"/>
        <v>0</v>
      </c>
      <c r="U177" s="78" t="str">
        <f>IF(NOT(ISNUMBER(G177)), "", VLOOKUP(A177,'Discount Lookup'!D:E,2,FALSE)*G177)</f>
        <v/>
      </c>
      <c r="V177" s="78" t="str">
        <f>IF(NOT(ISNUMBER(G177)), "", VLOOKUP(A177,'Discount Lookup'!G:H,2,FALSE)*G177)</f>
        <v/>
      </c>
      <c r="W177" s="102">
        <f t="shared" si="121"/>
        <v>0</v>
      </c>
      <c r="X177" s="102" t="str">
        <f t="shared" si="122"/>
        <v>Medium Green foliage</v>
      </c>
      <c r="Y177" s="120" t="b">
        <f t="shared" si="123"/>
        <v>0</v>
      </c>
      <c r="Z177" s="117">
        <f t="shared" si="124"/>
        <v>0</v>
      </c>
      <c r="AA177" s="118"/>
      <c r="AB177" s="118" t="str">
        <f t="shared" si="125"/>
        <v/>
      </c>
      <c r="AC177" s="712" t="str">
        <f>IF(AE177="T2G","no charge",IF(AND(OR(PlanterYesMe="No",PlanterYesMe="N",PlanterYesMe="me"),H177=""),"",IF(H177="credit","NO install",IF(AND(K177="",AE177="me"),"EACH row",IF(AND(K177="images",AE177="me"),"EACH row",IF(D177="","",IF(H177="credit","",IF(AE177="free","re-planting",IF(AE177="me","   not ELP, by",IF(AND(OR(PlanterYesMe="Yes",PlanterYesMe="Y"),G177&gt;0),(VLOOKUP(A177,'Discount Lookup'!J:K,2)*G177*(1-PlanterDiscount)*(1+PlanterDifficultyPercentage)),IF(AE177="ELP",(VLOOKUP(A177,'Discount Lookup'!J:K,2)*G177*(1-PlanterDiscount)*(1+PlanterDifficultyPercentage)),IF(AE177="free","re-planting",IF(G177=0,"",IF(PlanterYesMe="",IF(AE177="me","   not ELP, by",IF(AE177="",IF(G177&gt;0,(VLOOKUP(A177,'Discount Lookup'!J:K,2)*G177*(1-PlanterDiscount)*(1+PlanterDifficultyPercentage)),""),"")),"   not ELP, by"))))))))))))))</f>
        <v/>
      </c>
      <c r="AD177" s="712"/>
      <c r="AE177" s="513" t="str">
        <f t="shared" si="126"/>
        <v/>
      </c>
      <c r="AF177" s="713" t="str">
        <f t="shared" si="127"/>
        <v/>
      </c>
      <c r="AG177" s="713"/>
      <c r="AH177" s="713"/>
      <c r="AI177" s="112">
        <f>IF(H177="credit",0,IF(AE177="free",0,IF(AE177="me",0,IF(G177&gt;0,(VLOOKUP(A177,'Discount Lookup'!J:K,2)*G177),0))))</f>
        <v>0</v>
      </c>
      <c r="AJ177" s="107" t="str">
        <f t="shared" ca="1" si="128"/>
        <v/>
      </c>
      <c r="AK177" s="714" t="str">
        <f t="shared" si="129"/>
        <v/>
      </c>
      <c r="AL177" s="714"/>
      <c r="AM177" s="114" t="str">
        <f t="shared" si="130"/>
        <v/>
      </c>
      <c r="AN177" s="115"/>
      <c r="AO177" s="116"/>
      <c r="AP177" s="116"/>
      <c r="AQ177" s="116"/>
      <c r="AR177" s="116"/>
      <c r="AS177" s="116"/>
      <c r="AT177" s="116"/>
      <c r="AU177" s="116"/>
      <c r="AV177" s="78"/>
      <c r="AW177" s="102"/>
      <c r="AX177" s="78"/>
      <c r="AY177" s="78"/>
      <c r="AZ177" s="78"/>
      <c r="BA177" s="78"/>
      <c r="BB177" s="78"/>
      <c r="BC177" s="78"/>
      <c r="BD177" s="78"/>
      <c r="BE177" s="465"/>
      <c r="BF177" s="165" t="str">
        <f t="shared" si="131"/>
        <v>https://www.google.com/search?tbm=isch&amp;q=Acer%20palmatum%20%27Sharp%27s%20Pygmy%27%20Sharp%27s%20Pygmy%20Japanese%20Maple</v>
      </c>
      <c r="BG177" s="165" t="str">
        <f t="shared" si="132"/>
        <v>A</v>
      </c>
      <c r="BH177" s="65"/>
      <c r="BI177" s="65"/>
      <c r="BJ177" s="65"/>
      <c r="BK177" s="65"/>
      <c r="BL177" s="99"/>
      <c r="BM177" s="99"/>
      <c r="BN177" s="99"/>
    </row>
    <row r="178" spans="1:66" s="51" customFormat="1" ht="27" x14ac:dyDescent="0.25">
      <c r="A178" s="634">
        <v>7</v>
      </c>
      <c r="B178" s="635" t="s">
        <v>291</v>
      </c>
      <c r="C178" s="636" t="s">
        <v>1272</v>
      </c>
      <c r="D178" s="637" t="s">
        <v>299</v>
      </c>
      <c r="E178" s="638">
        <v>316.95</v>
      </c>
      <c r="F178" s="639" t="s">
        <v>292</v>
      </c>
      <c r="G178" s="484">
        <v>0</v>
      </c>
      <c r="H178" s="691" t="str">
        <f>IF(G178=0,"",IF(F178="Buy",IF(G178=1,"plant","plants"),IF(F178&gt;0.01,"warranty","Error")))</f>
        <v/>
      </c>
      <c r="I178" s="640">
        <f>IF(H178="free",0,IF(H178="credit",((E178*(F178))*G178*-1),IF(F178="Buy",(E178*G178),((E178*(1-F178))*G178))))</f>
        <v>0</v>
      </c>
      <c r="J178" s="640">
        <f>IF(H178="warranty",0,(I178*(_xlfn.SINGLE(SalesTaxPercentage))))</f>
        <v>0</v>
      </c>
      <c r="K178" s="716">
        <f t="shared" ref="K178" si="154">I178+J178</f>
        <v>0</v>
      </c>
      <c r="L178" s="716"/>
      <c r="M178" s="689" t="str">
        <f ca="1">IF(AND(G178&gt;0,E178=0),"WARNING - no PRICE inserted",IF(H178="free","FREE ~ no charge this plant",IF(H178="credit",CONCATENATE("-$",ROUND(K178*(1-_xlfn.SINGLE(T2GDiscount))*-1,2)," CREDIT after discount"),IF(_xlfn.SINGLE(T2GDiscount)=0,"",IF(G178=0,"",IF(F178="Buy",CONCATENATE("$",ROUND(K178*(1-_xlfn.SINGLE(T2GDiscount)),2)," with ",(_xlfn.SINGLE(T2GDiscount)*100),"% discount"),CONCATENATE("$",ROUND(K178*(1-_xlfn.SINGLE(T2GDiscount)),2)," with ",((_xlfn.SINGLE(T2GDiscount)*100+F178*100)-(_xlfn.SINGLE(T2GDiscount)*100*F178)),IF(F178&gt;0,"% discounts",IF(_xlfn.SINGLE(NoWarrantyDiscount)&gt;0,"% discounts","% discount")))))))))</f>
        <v/>
      </c>
      <c r="N178" s="690"/>
      <c r="O178" s="486"/>
      <c r="P178" s="486"/>
      <c r="Q178" s="486"/>
      <c r="R178" s="486"/>
      <c r="S178" s="486"/>
      <c r="T178" s="102">
        <f t="shared" si="120"/>
        <v>0</v>
      </c>
      <c r="U178" s="78">
        <f>IF(NOT(ISNUMBER(G178)), "", VLOOKUP(A178,'Discount Lookup'!D:E,2,FALSE)*G178)</f>
        <v>0</v>
      </c>
      <c r="V178" s="78">
        <f>IF(NOT(ISNUMBER(G178)), "", VLOOKUP(A178,'Discount Lookup'!G:H,2,FALSE)*G178)</f>
        <v>0</v>
      </c>
      <c r="W178" s="102">
        <f t="shared" si="121"/>
        <v>0</v>
      </c>
      <c r="X178" s="102">
        <f t="shared" si="122"/>
        <v>0</v>
      </c>
      <c r="Y178" s="120" t="b">
        <f t="shared" si="123"/>
        <v>0</v>
      </c>
      <c r="Z178" s="117">
        <f t="shared" si="124"/>
        <v>0</v>
      </c>
      <c r="AA178" s="118"/>
      <c r="AB178" s="118" t="str">
        <f t="shared" si="125"/>
        <v/>
      </c>
      <c r="AC178" s="712" t="str">
        <f>IF(AE178="T2G","no charge",IF(AND(OR(PlanterYesMe="No",PlanterYesMe="N",PlanterYesMe="me"),H178=""),"",IF(H178="credit","NO install",IF(AND(K178="",AE178="me"),"EACH row",IF(AND(K178="images",AE178="me"),"EACH row",IF(D178="","",IF(H178="credit","",IF(AE178="free","re-planting",IF(AE178="me","   not ELP, by",IF(AND(OR(PlanterYesMe="Yes",PlanterYesMe="Y"),G178&gt;0),(VLOOKUP(A178,'Discount Lookup'!J:K,2)*G178*(1-PlanterDiscount)*(1+PlanterDifficultyPercentage)),IF(AE178="ELP",(VLOOKUP(A178,'Discount Lookup'!J:K,2)*G178*(1-PlanterDiscount)*(1+PlanterDifficultyPercentage)),IF(AE178="free","re-planting",IF(G178=0,"",IF(PlanterYesMe="",IF(AE178="me","   not ELP, by",IF(AE178="",IF(G178&gt;0,(VLOOKUP(A178,'Discount Lookup'!J:K,2)*G178*(1-PlanterDiscount)*(1+PlanterDifficultyPercentage)),""),"")),"   not ELP, by"))))))))))))))</f>
        <v/>
      </c>
      <c r="AD178" s="712"/>
      <c r="AE178" s="513" t="str">
        <f t="shared" si="126"/>
        <v/>
      </c>
      <c r="AF178" s="713" t="str">
        <f t="shared" si="127"/>
        <v/>
      </c>
      <c r="AG178" s="713"/>
      <c r="AH178" s="713"/>
      <c r="AI178" s="112">
        <f>IF(H178="credit",0,IF(AE178="free",0,IF(AE178="me",0,IF(G178&gt;0,(VLOOKUP(A178,'Discount Lookup'!J:K,2)*G178),0))))</f>
        <v>0</v>
      </c>
      <c r="AJ178" s="107" t="str">
        <f t="shared" ca="1" si="128"/>
        <v/>
      </c>
      <c r="AK178" s="714" t="str">
        <f t="shared" si="129"/>
        <v/>
      </c>
      <c r="AL178" s="714"/>
      <c r="AM178" s="114" t="str">
        <f t="shared" si="130"/>
        <v/>
      </c>
      <c r="AN178" s="115"/>
      <c r="AO178" s="116"/>
      <c r="AP178" s="116"/>
      <c r="AQ178" s="116"/>
      <c r="AR178" s="116"/>
      <c r="AS178" s="116"/>
      <c r="AT178" s="116"/>
      <c r="AU178" s="116"/>
      <c r="AV178" s="78"/>
      <c r="AW178" s="102"/>
      <c r="AX178" s="78"/>
      <c r="AY178" s="78"/>
      <c r="AZ178" s="78"/>
      <c r="BA178" s="78"/>
      <c r="BB178" s="78"/>
      <c r="BC178" s="78"/>
      <c r="BD178" s="78"/>
      <c r="BE178" s="465"/>
      <c r="BF178" s="165" t="str">
        <f t="shared" si="131"/>
        <v>https://www.google.com/search?tbm=isch&amp;q=7%20G4</v>
      </c>
      <c r="BG178" s="165" t="str">
        <f t="shared" si="132"/>
        <v>A</v>
      </c>
      <c r="BH178" s="65"/>
      <c r="BI178" s="65"/>
      <c r="BJ178" s="65"/>
      <c r="BK178" s="65"/>
      <c r="BL178" s="99"/>
      <c r="BM178" s="99"/>
      <c r="BN178" s="99"/>
    </row>
    <row r="179" spans="1:66" s="51" customFormat="1" ht="15.75" x14ac:dyDescent="0.25">
      <c r="A179" s="634">
        <v>7</v>
      </c>
      <c r="B179" s="635" t="s">
        <v>291</v>
      </c>
      <c r="C179" s="636" t="s">
        <v>1273</v>
      </c>
      <c r="D179" s="637" t="s">
        <v>299</v>
      </c>
      <c r="E179" s="638">
        <v>316.95</v>
      </c>
      <c r="F179" s="639" t="s">
        <v>292</v>
      </c>
      <c r="G179" s="484">
        <v>0</v>
      </c>
      <c r="H179" s="691" t="str">
        <f>IF(G179=0,"",IF(F179="Buy",IF(G179=1,"plant","plants"),IF(F179&gt;0.01,"warranty","Error")))</f>
        <v/>
      </c>
      <c r="I179" s="640">
        <f>IF(H179="free",0,IF(H179="credit",((E179*(F179))*G179*-1),IF(F179="Buy",(E179*G179),((E179*(1-F179))*G179))))</f>
        <v>0</v>
      </c>
      <c r="J179" s="640">
        <f>IF(H179="warranty",0,(I179*(_xlfn.SINGLE(SalesTaxPercentage))))</f>
        <v>0</v>
      </c>
      <c r="K179" s="716">
        <f t="shared" ref="K179" si="155">I179+J179</f>
        <v>0</v>
      </c>
      <c r="L179" s="716"/>
      <c r="M179" s="689" t="str">
        <f ca="1">IF(AND(G179&gt;0,E179=0),"WARNING - no PRICE inserted",IF(H179="free","FREE ~ no charge this plant",IF(H179="credit",CONCATENATE("-$",ROUND(K179*(1-_xlfn.SINGLE(T2GDiscount))*-1,2)," CREDIT after discount"),IF(_xlfn.SINGLE(T2GDiscount)=0,"",IF(G179=0,"",IF(F179="Buy",CONCATENATE("$",ROUND(K179*(1-_xlfn.SINGLE(T2GDiscount)),2)," with ",(_xlfn.SINGLE(T2GDiscount)*100),"% discount"),CONCATENATE("$",ROUND(K179*(1-_xlfn.SINGLE(T2GDiscount)),2)," with ",((_xlfn.SINGLE(T2GDiscount)*100+F179*100)-(_xlfn.SINGLE(T2GDiscount)*100*F179)),IF(F179&gt;0,"% discounts",IF(_xlfn.SINGLE(NoWarrantyDiscount)&gt;0,"% discounts","% discount")))))))))</f>
        <v/>
      </c>
      <c r="N179" s="690"/>
      <c r="O179" s="486"/>
      <c r="P179" s="486"/>
      <c r="Q179" s="486"/>
      <c r="R179" s="486"/>
      <c r="S179" s="486"/>
      <c r="T179" s="102">
        <f t="shared" si="120"/>
        <v>0</v>
      </c>
      <c r="U179" s="78">
        <f>IF(NOT(ISNUMBER(G179)), "", VLOOKUP(A179,'Discount Lookup'!D:E,2,FALSE)*G179)</f>
        <v>0</v>
      </c>
      <c r="V179" s="78">
        <f>IF(NOT(ISNUMBER(G179)), "", VLOOKUP(A179,'Discount Lookup'!G:H,2,FALSE)*G179)</f>
        <v>0</v>
      </c>
      <c r="W179" s="102">
        <f t="shared" si="121"/>
        <v>0</v>
      </c>
      <c r="X179" s="102">
        <f t="shared" si="122"/>
        <v>0</v>
      </c>
      <c r="Y179" s="120" t="b">
        <f t="shared" si="123"/>
        <v>0</v>
      </c>
      <c r="Z179" s="117">
        <f t="shared" si="124"/>
        <v>0</v>
      </c>
      <c r="AA179" s="118"/>
      <c r="AB179" s="118" t="str">
        <f t="shared" si="125"/>
        <v/>
      </c>
      <c r="AC179" s="712" t="str">
        <f>IF(AE179="T2G","no charge",IF(AND(OR(PlanterYesMe="No",PlanterYesMe="N",PlanterYesMe="me"),H179=""),"",IF(H179="credit","NO install",IF(AND(K179="",AE179="me"),"EACH row",IF(AND(K179="images",AE179="me"),"EACH row",IF(D179="","",IF(H179="credit","",IF(AE179="free","re-planting",IF(AE179="me","   not ELP, by",IF(AND(OR(PlanterYesMe="Yes",PlanterYesMe="Y"),G179&gt;0),(VLOOKUP(A179,'Discount Lookup'!J:K,2)*G179*(1-PlanterDiscount)*(1+PlanterDifficultyPercentage)),IF(AE179="ELP",(VLOOKUP(A179,'Discount Lookup'!J:K,2)*G179*(1-PlanterDiscount)*(1+PlanterDifficultyPercentage)),IF(AE179="free","re-planting",IF(G179=0,"",IF(PlanterYesMe="",IF(AE179="me","   not ELP, by",IF(AE179="",IF(G179&gt;0,(VLOOKUP(A179,'Discount Lookup'!J:K,2)*G179*(1-PlanterDiscount)*(1+PlanterDifficultyPercentage)),""),"")),"   not ELP, by"))))))))))))))</f>
        <v/>
      </c>
      <c r="AD179" s="712"/>
      <c r="AE179" s="513" t="str">
        <f t="shared" si="126"/>
        <v/>
      </c>
      <c r="AF179" s="713" t="str">
        <f t="shared" si="127"/>
        <v/>
      </c>
      <c r="AG179" s="713"/>
      <c r="AH179" s="713"/>
      <c r="AI179" s="112">
        <f>IF(H179="credit",0,IF(AE179="free",0,IF(AE179="me",0,IF(G179&gt;0,(VLOOKUP(A179,'Discount Lookup'!J:K,2)*G179),0))))</f>
        <v>0</v>
      </c>
      <c r="AJ179" s="107" t="str">
        <f t="shared" ca="1" si="128"/>
        <v/>
      </c>
      <c r="AK179" s="714" t="str">
        <f t="shared" si="129"/>
        <v/>
      </c>
      <c r="AL179" s="714"/>
      <c r="AM179" s="114" t="str">
        <f t="shared" si="130"/>
        <v/>
      </c>
      <c r="AN179" s="115"/>
      <c r="AO179" s="116"/>
      <c r="AP179" s="116"/>
      <c r="AQ179" s="116"/>
      <c r="AR179" s="116"/>
      <c r="AS179" s="116"/>
      <c r="AT179" s="116"/>
      <c r="AU179" s="116"/>
      <c r="AV179" s="78"/>
      <c r="AW179" s="102"/>
      <c r="AX179" s="78"/>
      <c r="AY179" s="78"/>
      <c r="AZ179" s="78"/>
      <c r="BA179" s="78"/>
      <c r="BB179" s="78"/>
      <c r="BC179" s="78"/>
      <c r="BD179" s="78"/>
      <c r="BE179" s="465"/>
      <c r="BF179" s="165" t="str">
        <f t="shared" si="131"/>
        <v>https://www.google.com/search?tbm=isch&amp;q=7%20G4</v>
      </c>
      <c r="BG179" s="165" t="str">
        <f t="shared" si="132"/>
        <v>A</v>
      </c>
      <c r="BH179" s="65"/>
      <c r="BI179" s="65"/>
      <c r="BJ179" s="65"/>
      <c r="BK179" s="65"/>
      <c r="BL179" s="99"/>
      <c r="BM179" s="99"/>
      <c r="BN179" s="99"/>
    </row>
    <row r="180" spans="1:66" s="51" customFormat="1" ht="17.25" thickBot="1" x14ac:dyDescent="0.3">
      <c r="A180" s="641" t="s">
        <v>1274</v>
      </c>
      <c r="B180" s="642"/>
      <c r="C180" s="710"/>
      <c r="D180" s="643"/>
      <c r="E180" s="643"/>
      <c r="F180" s="644"/>
      <c r="G180" s="645"/>
      <c r="H180" s="646"/>
      <c r="I180" s="647"/>
      <c r="J180" s="648"/>
      <c r="K180" s="649"/>
      <c r="L180" s="650"/>
      <c r="M180" s="650"/>
      <c r="N180" s="644"/>
      <c r="O180" s="644"/>
      <c r="P180" s="644"/>
      <c r="Q180" s="644"/>
      <c r="R180" s="644"/>
      <c r="S180" s="651"/>
      <c r="T180" s="102">
        <f t="shared" si="120"/>
        <v>0</v>
      </c>
      <c r="U180" s="78" t="str">
        <f>IF(NOT(ISNUMBER(G180)), "", VLOOKUP(A180,'Discount Lookup'!D:E,2,FALSE)*G180)</f>
        <v/>
      </c>
      <c r="V180" s="78" t="str">
        <f>IF(NOT(ISNUMBER(G180)), "", VLOOKUP(A180,'Discount Lookup'!G:H,2,FALSE)*G180)</f>
        <v/>
      </c>
      <c r="W180" s="102">
        <f t="shared" si="121"/>
        <v>0</v>
      </c>
      <c r="X180" s="102">
        <f t="shared" si="122"/>
        <v>0</v>
      </c>
      <c r="Y180" s="120" t="b">
        <f t="shared" si="123"/>
        <v>0</v>
      </c>
      <c r="Z180" s="117">
        <f t="shared" si="124"/>
        <v>0</v>
      </c>
      <c r="AA180" s="118"/>
      <c r="AB180" s="118" t="str">
        <f t="shared" si="125"/>
        <v/>
      </c>
      <c r="AC180" s="712" t="str">
        <f>IF(AE180="T2G","no charge",IF(AND(OR(PlanterYesMe="No",PlanterYesMe="N",PlanterYesMe="me"),H180=""),"",IF(H180="credit","NO install",IF(AND(K180="",AE180="me"),"EACH row",IF(AND(K180="images",AE180="me"),"EACH row",IF(D180="","",IF(H180="credit","",IF(AE180="free","re-planting",IF(AE180="me","   not ELP, by",IF(AND(OR(PlanterYesMe="Yes",PlanterYesMe="Y"),G180&gt;0),(VLOOKUP(A180,'Discount Lookup'!J:K,2)*G180*(1-PlanterDiscount)*(1+PlanterDifficultyPercentage)),IF(AE180="ELP",(VLOOKUP(A180,'Discount Lookup'!J:K,2)*G180*(1-PlanterDiscount)*(1+PlanterDifficultyPercentage)),IF(AE180="free","re-planting",IF(G180=0,"",IF(PlanterYesMe="",IF(AE180="me","   not ELP, by",IF(AE180="",IF(G180&gt;0,(VLOOKUP(A180,'Discount Lookup'!J:K,2)*G180*(1-PlanterDiscount)*(1+PlanterDifficultyPercentage)),""),"")),"   not ELP, by"))))))))))))))</f>
        <v/>
      </c>
      <c r="AD180" s="712"/>
      <c r="AE180" s="513" t="str">
        <f t="shared" si="126"/>
        <v/>
      </c>
      <c r="AF180" s="713" t="str">
        <f t="shared" si="127"/>
        <v/>
      </c>
      <c r="AG180" s="713"/>
      <c r="AH180" s="713"/>
      <c r="AI180" s="112">
        <f>IF(H180="credit",0,IF(AE180="free",0,IF(AE180="me",0,IF(G180&gt;0,(VLOOKUP(A180,'Discount Lookup'!J:K,2)*G180),0))))</f>
        <v>0</v>
      </c>
      <c r="AJ180" s="107" t="str">
        <f t="shared" ca="1" si="128"/>
        <v/>
      </c>
      <c r="AK180" s="714" t="str">
        <f t="shared" si="129"/>
        <v/>
      </c>
      <c r="AL180" s="714"/>
      <c r="AM180" s="114" t="str">
        <f t="shared" si="130"/>
        <v/>
      </c>
      <c r="AN180" s="115"/>
      <c r="AO180" s="116"/>
      <c r="AP180" s="116"/>
      <c r="AQ180" s="116"/>
      <c r="AR180" s="116"/>
      <c r="AS180" s="116"/>
      <c r="AT180" s="116"/>
      <c r="AU180" s="116"/>
      <c r="AV180" s="78"/>
      <c r="AW180" s="102"/>
      <c r="AX180" s="78"/>
      <c r="AY180" s="78"/>
      <c r="AZ180" s="78"/>
      <c r="BA180" s="78"/>
      <c r="BB180" s="78"/>
      <c r="BC180" s="78"/>
      <c r="BD180" s="78"/>
      <c r="BE180" s="465"/>
      <c r="BF180" s="165" t="str">
        <f t="shared" si="131"/>
        <v>https://www.google.com/search?tbm=isch&amp;q=Sharp%27s%20Pygmy%20foliage%20emerges%20bright%20Chartreuse%20in%20spring%2C%20Leaf%20margins%20are%20Orange%20to%20Purple.%20Turns%20Orange%20to%20Scalet-Red%20in%20autumn%20</v>
      </c>
      <c r="BG180" s="165" t="str">
        <f t="shared" si="132"/>
        <v>S</v>
      </c>
      <c r="BH180" s="65"/>
      <c r="BI180" s="65"/>
      <c r="BJ180" s="65"/>
      <c r="BK180" s="65"/>
      <c r="BL180" s="99"/>
      <c r="BM180" s="99"/>
      <c r="BN180" s="99"/>
    </row>
    <row r="181" spans="1:66" s="51" customFormat="1" ht="18" x14ac:dyDescent="0.25">
      <c r="A181" s="623" t="s">
        <v>1275</v>
      </c>
      <c r="B181" s="624"/>
      <c r="C181" s="709"/>
      <c r="D181" s="625" t="s">
        <v>1276</v>
      </c>
      <c r="E181" s="626"/>
      <c r="F181" s="626"/>
      <c r="G181" s="626"/>
      <c r="H181" s="622" t="s">
        <v>333</v>
      </c>
      <c r="I181" s="627" t="s">
        <v>1175</v>
      </c>
      <c r="J181" s="628"/>
      <c r="K181" s="628"/>
      <c r="L181" s="629"/>
      <c r="M181" s="700" t="s">
        <v>5249</v>
      </c>
      <c r="N181" s="693" t="str">
        <f>IF(AND(ISTEXT($A181), ISERROR($A181+0)), HYPERLINK($BF181, "Images"), "")</f>
        <v>Images</v>
      </c>
      <c r="O181" s="695" t="s">
        <v>5247</v>
      </c>
      <c r="P181" s="630"/>
      <c r="Q181" s="631"/>
      <c r="R181" s="632"/>
      <c r="S181" s="633"/>
      <c r="T181" s="102">
        <f t="shared" si="120"/>
        <v>0</v>
      </c>
      <c r="U181" s="78" t="str">
        <f>IF(NOT(ISNUMBER(G181)), "", VLOOKUP(A181,'Discount Lookup'!D:E,2,FALSE)*G181)</f>
        <v/>
      </c>
      <c r="V181" s="78" t="str">
        <f>IF(NOT(ISNUMBER(G181)), "", VLOOKUP(A181,'Discount Lookup'!G:H,2,FALSE)*G181)</f>
        <v/>
      </c>
      <c r="W181" s="102">
        <f t="shared" si="121"/>
        <v>0</v>
      </c>
      <c r="X181" s="102" t="str">
        <f t="shared" si="122"/>
        <v>Red-Purple foliage</v>
      </c>
      <c r="Y181" s="120" t="b">
        <f t="shared" si="123"/>
        <v>0</v>
      </c>
      <c r="Z181" s="117">
        <f t="shared" si="124"/>
        <v>0</v>
      </c>
      <c r="AA181" s="118"/>
      <c r="AB181" s="118" t="str">
        <f t="shared" si="125"/>
        <v/>
      </c>
      <c r="AC181" s="712" t="str">
        <f>IF(AE181="T2G","no charge",IF(AND(OR(PlanterYesMe="No",PlanterYesMe="N",PlanterYesMe="me"),H181=""),"",IF(H181="credit","NO install",IF(AND(K181="",AE181="me"),"EACH row",IF(AND(K181="images",AE181="me"),"EACH row",IF(D181="","",IF(H181="credit","",IF(AE181="free","re-planting",IF(AE181="me","   not ELP, by",IF(AND(OR(PlanterYesMe="Yes",PlanterYesMe="Y"),G181&gt;0),(VLOOKUP(A181,'Discount Lookup'!J:K,2)*G181*(1-PlanterDiscount)*(1+PlanterDifficultyPercentage)),IF(AE181="ELP",(VLOOKUP(A181,'Discount Lookup'!J:K,2)*G181*(1-PlanterDiscount)*(1+PlanterDifficultyPercentage)),IF(AE181="free","re-planting",IF(G181=0,"",IF(PlanterYesMe="",IF(AE181="me","   not ELP, by",IF(AE181="",IF(G181&gt;0,(VLOOKUP(A181,'Discount Lookup'!J:K,2)*G181*(1-PlanterDiscount)*(1+PlanterDifficultyPercentage)),""),"")),"   not ELP, by"))))))))))))))</f>
        <v/>
      </c>
      <c r="AD181" s="712"/>
      <c r="AE181" s="513" t="str">
        <f t="shared" si="126"/>
        <v/>
      </c>
      <c r="AF181" s="713" t="str">
        <f t="shared" si="127"/>
        <v/>
      </c>
      <c r="AG181" s="713"/>
      <c r="AH181" s="713"/>
      <c r="AI181" s="112">
        <f>IF(H181="credit",0,IF(AE181="free",0,IF(AE181="me",0,IF(G181&gt;0,(VLOOKUP(A181,'Discount Lookup'!J:K,2)*G181),0))))</f>
        <v>0</v>
      </c>
      <c r="AJ181" s="107" t="str">
        <f t="shared" ca="1" si="128"/>
        <v/>
      </c>
      <c r="AK181" s="714" t="str">
        <f t="shared" si="129"/>
        <v/>
      </c>
      <c r="AL181" s="714"/>
      <c r="AM181" s="114" t="str">
        <f t="shared" si="130"/>
        <v/>
      </c>
      <c r="AN181" s="115"/>
      <c r="AO181" s="116"/>
      <c r="AP181" s="116"/>
      <c r="AQ181" s="116"/>
      <c r="AR181" s="116"/>
      <c r="AS181" s="116"/>
      <c r="AT181" s="116"/>
      <c r="AU181" s="116"/>
      <c r="AV181" s="78"/>
      <c r="AW181" s="102"/>
      <c r="AX181" s="78"/>
      <c r="AY181" s="78"/>
      <c r="AZ181" s="78"/>
      <c r="BA181" s="78"/>
      <c r="BB181" s="78"/>
      <c r="BC181" s="78"/>
      <c r="BD181" s="78"/>
      <c r="BE181" s="465"/>
      <c r="BF181" s="165" t="str">
        <f t="shared" si="131"/>
        <v>https://www.google.com/search?tbm=isch&amp;q=Acer%20palmatum%20%27Sherwood%20Flame%27%20Sherwood%20Flame%20Japanese%20Maple</v>
      </c>
      <c r="BG181" s="165" t="str">
        <f t="shared" si="132"/>
        <v>A</v>
      </c>
      <c r="BH181" s="65"/>
      <c r="BI181" s="65"/>
      <c r="BJ181" s="65"/>
      <c r="BK181" s="65"/>
      <c r="BL181" s="99"/>
      <c r="BM181" s="99"/>
      <c r="BN181" s="99"/>
    </row>
    <row r="182" spans="1:66" s="51" customFormat="1" ht="15.75" x14ac:dyDescent="0.25">
      <c r="A182" s="634">
        <v>15</v>
      </c>
      <c r="B182" s="635" t="s">
        <v>291</v>
      </c>
      <c r="C182" s="636" t="s">
        <v>1277</v>
      </c>
      <c r="D182" s="637" t="s">
        <v>299</v>
      </c>
      <c r="E182" s="638">
        <v>378.95</v>
      </c>
      <c r="F182" s="639" t="s">
        <v>292</v>
      </c>
      <c r="G182" s="484">
        <v>0</v>
      </c>
      <c r="H182" s="691" t="str">
        <f>IF(G182=0,"",IF(F182="Buy",IF(G182=1,"plant","plants"),IF(F182&gt;0.01,"warranty","Error")))</f>
        <v/>
      </c>
      <c r="I182" s="640">
        <f>IF(H182="free",0,IF(H182="credit",((E182*(F182))*G182*-1),IF(F182="Buy",(E182*G182),((E182*(1-F182))*G182))))</f>
        <v>0</v>
      </c>
      <c r="J182" s="640">
        <f>IF(H182="warranty",0,(I182*(_xlfn.SINGLE(SalesTaxPercentage))))</f>
        <v>0</v>
      </c>
      <c r="K182" s="716">
        <f t="shared" ref="K182" si="156">I182+J182</f>
        <v>0</v>
      </c>
      <c r="L182" s="716"/>
      <c r="M182" s="689" t="str">
        <f ca="1">IF(AND(G182&gt;0,E182=0),"WARNING - no PRICE inserted",IF(H182="free","FREE ~ no charge this plant",IF(H182="credit",CONCATENATE("-$",ROUND(K182*(1-_xlfn.SINGLE(T2GDiscount))*-1,2)," CREDIT after discount"),IF(_xlfn.SINGLE(T2GDiscount)=0,"",IF(G182=0,"",IF(F182="Buy",CONCATENATE("$",ROUND(K182*(1-_xlfn.SINGLE(T2GDiscount)),2)," with ",(_xlfn.SINGLE(T2GDiscount)*100),"% discount"),CONCATENATE("$",ROUND(K182*(1-_xlfn.SINGLE(T2GDiscount)),2)," with ",((_xlfn.SINGLE(T2GDiscount)*100+F182*100)-(_xlfn.SINGLE(T2GDiscount)*100*F182)),IF(F182&gt;0,"% discounts",IF(_xlfn.SINGLE(NoWarrantyDiscount)&gt;0,"% discounts","% discount")))))))))</f>
        <v/>
      </c>
      <c r="N182" s="690"/>
      <c r="O182" s="486"/>
      <c r="P182" s="486"/>
      <c r="Q182" s="486"/>
      <c r="R182" s="486"/>
      <c r="S182" s="486"/>
      <c r="T182" s="102">
        <f t="shared" si="120"/>
        <v>0</v>
      </c>
      <c r="U182" s="78">
        <f>IF(NOT(ISNUMBER(G182)), "", VLOOKUP(A182,'Discount Lookup'!D:E,2,FALSE)*G182)</f>
        <v>0</v>
      </c>
      <c r="V182" s="78">
        <f>IF(NOT(ISNUMBER(G182)), "", VLOOKUP(A182,'Discount Lookup'!G:H,2,FALSE)*G182)</f>
        <v>0</v>
      </c>
      <c r="W182" s="102">
        <f t="shared" si="121"/>
        <v>0</v>
      </c>
      <c r="X182" s="102">
        <f t="shared" si="122"/>
        <v>0</v>
      </c>
      <c r="Y182" s="120" t="b">
        <f t="shared" si="123"/>
        <v>0</v>
      </c>
      <c r="Z182" s="117">
        <f t="shared" si="124"/>
        <v>0</v>
      </c>
      <c r="AA182" s="118"/>
      <c r="AB182" s="118" t="str">
        <f t="shared" si="125"/>
        <v/>
      </c>
      <c r="AC182" s="712" t="str">
        <f>IF(AE182="T2G","no charge",IF(AND(OR(PlanterYesMe="No",PlanterYesMe="N",PlanterYesMe="me"),H182=""),"",IF(H182="credit","NO install",IF(AND(K182="",AE182="me"),"EACH row",IF(AND(K182="images",AE182="me"),"EACH row",IF(D182="","",IF(H182="credit","",IF(AE182="free","re-planting",IF(AE182="me","   not ELP, by",IF(AND(OR(PlanterYesMe="Yes",PlanterYesMe="Y"),G182&gt;0),(VLOOKUP(A182,'Discount Lookup'!J:K,2)*G182*(1-PlanterDiscount)*(1+PlanterDifficultyPercentage)),IF(AE182="ELP",(VLOOKUP(A182,'Discount Lookup'!J:K,2)*G182*(1-PlanterDiscount)*(1+PlanterDifficultyPercentage)),IF(AE182="free","re-planting",IF(G182=0,"",IF(PlanterYesMe="",IF(AE182="me","   not ELP, by",IF(AE182="",IF(G182&gt;0,(VLOOKUP(A182,'Discount Lookup'!J:K,2)*G182*(1-PlanterDiscount)*(1+PlanterDifficultyPercentage)),""),"")),"   not ELP, by"))))))))))))))</f>
        <v/>
      </c>
      <c r="AD182" s="712"/>
      <c r="AE182" s="513" t="str">
        <f t="shared" si="126"/>
        <v/>
      </c>
      <c r="AF182" s="713" t="str">
        <f t="shared" si="127"/>
        <v/>
      </c>
      <c r="AG182" s="713"/>
      <c r="AH182" s="713"/>
      <c r="AI182" s="112">
        <f>IF(H182="credit",0,IF(AE182="free",0,IF(AE182="me",0,IF(G182&gt;0,(VLOOKUP(A182,'Discount Lookup'!J:K,2)*G182),0))))</f>
        <v>0</v>
      </c>
      <c r="AJ182" s="107" t="str">
        <f t="shared" ca="1" si="128"/>
        <v/>
      </c>
      <c r="AK182" s="714" t="str">
        <f t="shared" si="129"/>
        <v/>
      </c>
      <c r="AL182" s="714"/>
      <c r="AM182" s="114" t="str">
        <f t="shared" si="130"/>
        <v/>
      </c>
      <c r="AN182" s="115"/>
      <c r="AO182" s="116"/>
      <c r="AP182" s="116"/>
      <c r="AQ182" s="116"/>
      <c r="AR182" s="116"/>
      <c r="AS182" s="116"/>
      <c r="AT182" s="116"/>
      <c r="AU182" s="116"/>
      <c r="AV182" s="78"/>
      <c r="AW182" s="102"/>
      <c r="AX182" s="78"/>
      <c r="AY182" s="78"/>
      <c r="AZ182" s="78"/>
      <c r="BA182" s="78"/>
      <c r="BB182" s="78"/>
      <c r="BC182" s="78"/>
      <c r="BD182" s="78"/>
      <c r="BE182" s="465"/>
      <c r="BF182" s="165" t="str">
        <f t="shared" si="131"/>
        <v>https://www.google.com/search?tbm=isch&amp;q=15%20G4</v>
      </c>
      <c r="BG182" s="165" t="str">
        <f t="shared" si="132"/>
        <v>A</v>
      </c>
      <c r="BH182" s="65"/>
      <c r="BI182" s="65"/>
      <c r="BJ182" s="65"/>
      <c r="BK182" s="65"/>
      <c r="BL182" s="99"/>
      <c r="BM182" s="99"/>
      <c r="BN182" s="99"/>
    </row>
    <row r="183" spans="1:66" s="51" customFormat="1" ht="17.25" thickBot="1" x14ac:dyDescent="0.3">
      <c r="A183" s="641" t="s">
        <v>1278</v>
      </c>
      <c r="B183" s="642"/>
      <c r="C183" s="710"/>
      <c r="D183" s="643"/>
      <c r="E183" s="643"/>
      <c r="F183" s="644"/>
      <c r="G183" s="645"/>
      <c r="H183" s="646"/>
      <c r="I183" s="647"/>
      <c r="J183" s="648"/>
      <c r="K183" s="649"/>
      <c r="L183" s="650"/>
      <c r="M183" s="650"/>
      <c r="N183" s="644"/>
      <c r="O183" s="644"/>
      <c r="P183" s="644"/>
      <c r="Q183" s="644"/>
      <c r="R183" s="644"/>
      <c r="S183" s="651"/>
      <c r="T183" s="102">
        <f t="shared" si="120"/>
        <v>0</v>
      </c>
      <c r="U183" s="78" t="str">
        <f>IF(NOT(ISNUMBER(G183)), "", VLOOKUP(A183,'Discount Lookup'!D:E,2,FALSE)*G183)</f>
        <v/>
      </c>
      <c r="V183" s="78" t="str">
        <f>IF(NOT(ISNUMBER(G183)), "", VLOOKUP(A183,'Discount Lookup'!G:H,2,FALSE)*G183)</f>
        <v/>
      </c>
      <c r="W183" s="102">
        <f t="shared" si="121"/>
        <v>0</v>
      </c>
      <c r="X183" s="102">
        <f t="shared" si="122"/>
        <v>0</v>
      </c>
      <c r="Y183" s="120" t="b">
        <f t="shared" si="123"/>
        <v>0</v>
      </c>
      <c r="Z183" s="117">
        <f t="shared" si="124"/>
        <v>0</v>
      </c>
      <c r="AA183" s="118"/>
      <c r="AB183" s="118" t="str">
        <f t="shared" si="125"/>
        <v/>
      </c>
      <c r="AC183" s="712" t="str">
        <f>IF(AE183="T2G","no charge",IF(AND(OR(PlanterYesMe="No",PlanterYesMe="N",PlanterYesMe="me"),H183=""),"",IF(H183="credit","NO install",IF(AND(K183="",AE183="me"),"EACH row",IF(AND(K183="images",AE183="me"),"EACH row",IF(D183="","",IF(H183="credit","",IF(AE183="free","re-planting",IF(AE183="me","   not ELP, by",IF(AND(OR(PlanterYesMe="Yes",PlanterYesMe="Y"),G183&gt;0),(VLOOKUP(A183,'Discount Lookup'!J:K,2)*G183*(1-PlanterDiscount)*(1+PlanterDifficultyPercentage)),IF(AE183="ELP",(VLOOKUP(A183,'Discount Lookup'!J:K,2)*G183*(1-PlanterDiscount)*(1+PlanterDifficultyPercentage)),IF(AE183="free","re-planting",IF(G183=0,"",IF(PlanterYesMe="",IF(AE183="me","   not ELP, by",IF(AE183="",IF(G183&gt;0,(VLOOKUP(A183,'Discount Lookup'!J:K,2)*G183*(1-PlanterDiscount)*(1+PlanterDifficultyPercentage)),""),"")),"   not ELP, by"))))))))))))))</f>
        <v/>
      </c>
      <c r="AD183" s="712"/>
      <c r="AE183" s="513" t="str">
        <f t="shared" si="126"/>
        <v/>
      </c>
      <c r="AF183" s="713" t="str">
        <f t="shared" si="127"/>
        <v/>
      </c>
      <c r="AG183" s="713"/>
      <c r="AH183" s="713"/>
      <c r="AI183" s="112">
        <f>IF(H183="credit",0,IF(AE183="free",0,IF(AE183="me",0,IF(G183&gt;0,(VLOOKUP(A183,'Discount Lookup'!J:K,2)*G183),0))))</f>
        <v>0</v>
      </c>
      <c r="AJ183" s="107" t="str">
        <f t="shared" ca="1" si="128"/>
        <v/>
      </c>
      <c r="AK183" s="714" t="str">
        <f t="shared" si="129"/>
        <v/>
      </c>
      <c r="AL183" s="714"/>
      <c r="AM183" s="114" t="str">
        <f t="shared" si="130"/>
        <v/>
      </c>
      <c r="AN183" s="115"/>
      <c r="AO183" s="116"/>
      <c r="AP183" s="116"/>
      <c r="AQ183" s="116"/>
      <c r="AR183" s="116"/>
      <c r="AS183" s="116"/>
      <c r="AT183" s="116"/>
      <c r="AU183" s="116"/>
      <c r="AV183" s="78"/>
      <c r="AW183" s="102"/>
      <c r="AX183" s="78"/>
      <c r="AY183" s="78"/>
      <c r="AZ183" s="78"/>
      <c r="BA183" s="78"/>
      <c r="BB183" s="78"/>
      <c r="BC183" s="78"/>
      <c r="BD183" s="78"/>
      <c r="BE183" s="465"/>
      <c r="BF183" s="165" t="str">
        <f t="shared" si="131"/>
        <v>https://www.google.com/search?tbm=isch&amp;q=Sherwood%20Flame%20named%20for%20it%27s%20exceptionally%20strong%20and%20consistent%20red%20foliage%20all%20through%20growing%20season%2C%20turning%20fiery%20Scarlet-Red%20in%20fall%20</v>
      </c>
      <c r="BG183" s="165" t="str">
        <f t="shared" si="132"/>
        <v>S</v>
      </c>
      <c r="BH183" s="65"/>
      <c r="BI183" s="65"/>
      <c r="BJ183" s="65"/>
      <c r="BK183" s="65"/>
      <c r="BL183" s="99"/>
      <c r="BM183" s="99"/>
      <c r="BN183" s="99"/>
    </row>
    <row r="184" spans="1:66" s="51" customFormat="1" ht="18" x14ac:dyDescent="0.25">
      <c r="A184" s="623" t="s">
        <v>1279</v>
      </c>
      <c r="B184" s="624"/>
      <c r="C184" s="709"/>
      <c r="D184" s="625" t="s">
        <v>1280</v>
      </c>
      <c r="E184" s="626"/>
      <c r="F184" s="626"/>
      <c r="G184" s="626"/>
      <c r="H184" s="622" t="s">
        <v>333</v>
      </c>
      <c r="I184" s="627" t="s">
        <v>1281</v>
      </c>
      <c r="J184" s="628"/>
      <c r="K184" s="628"/>
      <c r="L184" s="629"/>
      <c r="M184" s="700" t="s">
        <v>5249</v>
      </c>
      <c r="N184" s="693" t="str">
        <f>IF(AND(ISTEXT($A184), ISERROR($A184+0)), HYPERLINK($BF184, "Images"), "")</f>
        <v>Images</v>
      </c>
      <c r="O184" s="695" t="s">
        <v>5247</v>
      </c>
      <c r="P184" s="630"/>
      <c r="Q184" s="631"/>
      <c r="R184" s="632"/>
      <c r="S184" s="633"/>
      <c r="T184" s="102">
        <f t="shared" si="120"/>
        <v>0</v>
      </c>
      <c r="U184" s="78" t="str">
        <f>IF(NOT(ISNUMBER(G184)), "", VLOOKUP(A184,'Discount Lookup'!D:E,2,FALSE)*G184)</f>
        <v/>
      </c>
      <c r="V184" s="78" t="str">
        <f>IF(NOT(ISNUMBER(G184)), "", VLOOKUP(A184,'Discount Lookup'!G:H,2,FALSE)*G184)</f>
        <v/>
      </c>
      <c r="W184" s="102">
        <f t="shared" si="121"/>
        <v>0</v>
      </c>
      <c r="X184" s="102" t="str">
        <f t="shared" si="122"/>
        <v>Green-Pink-Creamy White foliage</v>
      </c>
      <c r="Y184" s="120" t="b">
        <f t="shared" si="123"/>
        <v>0</v>
      </c>
      <c r="Z184" s="117">
        <f t="shared" si="124"/>
        <v>0</v>
      </c>
      <c r="AA184" s="118"/>
      <c r="AB184" s="118" t="str">
        <f t="shared" si="125"/>
        <v/>
      </c>
      <c r="AC184" s="712" t="str">
        <f>IF(AE184="T2G","no charge",IF(AND(OR(PlanterYesMe="No",PlanterYesMe="N",PlanterYesMe="me"),H184=""),"",IF(H184="credit","NO install",IF(AND(K184="",AE184="me"),"EACH row",IF(AND(K184="images",AE184="me"),"EACH row",IF(D184="","",IF(H184="credit","",IF(AE184="free","re-planting",IF(AE184="me","   not ELP, by",IF(AND(OR(PlanterYesMe="Yes",PlanterYesMe="Y"),G184&gt;0),(VLOOKUP(A184,'Discount Lookup'!J:K,2)*G184*(1-PlanterDiscount)*(1+PlanterDifficultyPercentage)),IF(AE184="ELP",(VLOOKUP(A184,'Discount Lookup'!J:K,2)*G184*(1-PlanterDiscount)*(1+PlanterDifficultyPercentage)),IF(AE184="free","re-planting",IF(G184=0,"",IF(PlanterYesMe="",IF(AE184="me","   not ELP, by",IF(AE184="",IF(G184&gt;0,(VLOOKUP(A184,'Discount Lookup'!J:K,2)*G184*(1-PlanterDiscount)*(1+PlanterDifficultyPercentage)),""),"")),"   not ELP, by"))))))))))))))</f>
        <v/>
      </c>
      <c r="AD184" s="712"/>
      <c r="AE184" s="513" t="str">
        <f t="shared" si="126"/>
        <v/>
      </c>
      <c r="AF184" s="713" t="str">
        <f t="shared" si="127"/>
        <v/>
      </c>
      <c r="AG184" s="713"/>
      <c r="AH184" s="713"/>
      <c r="AI184" s="112">
        <f>IF(H184="credit",0,IF(AE184="free",0,IF(AE184="me",0,IF(G184&gt;0,(VLOOKUP(A184,'Discount Lookup'!J:K,2)*G184),0))))</f>
        <v>0</v>
      </c>
      <c r="AJ184" s="107" t="str">
        <f t="shared" ca="1" si="128"/>
        <v/>
      </c>
      <c r="AK184" s="714" t="str">
        <f t="shared" si="129"/>
        <v/>
      </c>
      <c r="AL184" s="714"/>
      <c r="AM184" s="114" t="str">
        <f t="shared" si="130"/>
        <v/>
      </c>
      <c r="AN184" s="115"/>
      <c r="AO184" s="116"/>
      <c r="AP184" s="116"/>
      <c r="AQ184" s="116"/>
      <c r="AR184" s="116"/>
      <c r="AS184" s="116"/>
      <c r="AT184" s="116"/>
      <c r="AU184" s="116"/>
      <c r="AV184" s="78"/>
      <c r="AW184" s="102"/>
      <c r="AX184" s="78"/>
      <c r="AY184" s="78"/>
      <c r="AZ184" s="78"/>
      <c r="BA184" s="78"/>
      <c r="BB184" s="78"/>
      <c r="BC184" s="78"/>
      <c r="BD184" s="78"/>
      <c r="BE184" s="465"/>
      <c r="BF184" s="165" t="str">
        <f t="shared" si="131"/>
        <v>https://www.google.com/search?tbm=isch&amp;q=Acer%20palmatum%20%27Shirazz%27%20Shirazz%20Japanese%20Maple</v>
      </c>
      <c r="BG184" s="165" t="str">
        <f t="shared" si="132"/>
        <v>A</v>
      </c>
      <c r="BH184" s="65"/>
      <c r="BI184" s="65"/>
      <c r="BJ184" s="65"/>
      <c r="BK184" s="65"/>
      <c r="BL184" s="99"/>
      <c r="BM184" s="99"/>
      <c r="BN184" s="99"/>
    </row>
    <row r="185" spans="1:66" s="51" customFormat="1" ht="27" x14ac:dyDescent="0.25">
      <c r="A185" s="634">
        <v>15</v>
      </c>
      <c r="B185" s="635" t="s">
        <v>291</v>
      </c>
      <c r="C185" s="636" t="s">
        <v>1282</v>
      </c>
      <c r="D185" s="637" t="s">
        <v>299</v>
      </c>
      <c r="E185" s="638">
        <v>378.95</v>
      </c>
      <c r="F185" s="639" t="s">
        <v>292</v>
      </c>
      <c r="G185" s="484">
        <v>0</v>
      </c>
      <c r="H185" s="691" t="str">
        <f>IF(G185=0,"",IF(F185="Buy",IF(G185=1,"plant","plants"),IF(F185&gt;0.01,"warranty","Error")))</f>
        <v/>
      </c>
      <c r="I185" s="640">
        <f>IF(H185="free",0,IF(H185="credit",((E185*(F185))*G185*-1),IF(F185="Buy",(E185*G185),((E185*(1-F185))*G185))))</f>
        <v>0</v>
      </c>
      <c r="J185" s="640">
        <f>IF(H185="warranty",0,(I185*(_xlfn.SINGLE(SalesTaxPercentage))))</f>
        <v>0</v>
      </c>
      <c r="K185" s="716">
        <f t="shared" ref="K185" si="157">I185+J185</f>
        <v>0</v>
      </c>
      <c r="L185" s="716"/>
      <c r="M185" s="689" t="str">
        <f ca="1">IF(AND(G185&gt;0,E185=0),"WARNING - no PRICE inserted",IF(H185="free","FREE ~ no charge this plant",IF(H185="credit",CONCATENATE("-$",ROUND(K185*(1-_xlfn.SINGLE(T2GDiscount))*-1,2)," CREDIT after discount"),IF(_xlfn.SINGLE(T2GDiscount)=0,"",IF(G185=0,"",IF(F185="Buy",CONCATENATE("$",ROUND(K185*(1-_xlfn.SINGLE(T2GDiscount)),2)," with ",(_xlfn.SINGLE(T2GDiscount)*100),"% discount"),CONCATENATE("$",ROUND(K185*(1-_xlfn.SINGLE(T2GDiscount)),2)," with ",((_xlfn.SINGLE(T2GDiscount)*100+F185*100)-(_xlfn.SINGLE(T2GDiscount)*100*F185)),IF(F185&gt;0,"% discounts",IF(_xlfn.SINGLE(NoWarrantyDiscount)&gt;0,"% discounts","% discount")))))))))</f>
        <v/>
      </c>
      <c r="N185" s="690"/>
      <c r="O185" s="486"/>
      <c r="P185" s="486"/>
      <c r="Q185" s="486"/>
      <c r="R185" s="486"/>
      <c r="S185" s="486"/>
      <c r="T185" s="102">
        <f t="shared" si="120"/>
        <v>0</v>
      </c>
      <c r="U185" s="78">
        <f>IF(NOT(ISNUMBER(G185)), "", VLOOKUP(A185,'Discount Lookup'!D:E,2,FALSE)*G185)</f>
        <v>0</v>
      </c>
      <c r="V185" s="78">
        <f>IF(NOT(ISNUMBER(G185)), "", VLOOKUP(A185,'Discount Lookup'!G:H,2,FALSE)*G185)</f>
        <v>0</v>
      </c>
      <c r="W185" s="102">
        <f t="shared" si="121"/>
        <v>0</v>
      </c>
      <c r="X185" s="102">
        <f t="shared" si="122"/>
        <v>0</v>
      </c>
      <c r="Y185" s="120" t="b">
        <f t="shared" si="123"/>
        <v>0</v>
      </c>
      <c r="Z185" s="117">
        <f t="shared" si="124"/>
        <v>0</v>
      </c>
      <c r="AA185" s="118"/>
      <c r="AB185" s="118" t="str">
        <f t="shared" si="125"/>
        <v/>
      </c>
      <c r="AC185" s="712" t="str">
        <f>IF(AE185="T2G","no charge",IF(AND(OR(PlanterYesMe="No",PlanterYesMe="N",PlanterYesMe="me"),H185=""),"",IF(H185="credit","NO install",IF(AND(K185="",AE185="me"),"EACH row",IF(AND(K185="images",AE185="me"),"EACH row",IF(D185="","",IF(H185="credit","",IF(AE185="free","re-planting",IF(AE185="me","   not ELP, by",IF(AND(OR(PlanterYesMe="Yes",PlanterYesMe="Y"),G185&gt;0),(VLOOKUP(A185,'Discount Lookup'!J:K,2)*G185*(1-PlanterDiscount)*(1+PlanterDifficultyPercentage)),IF(AE185="ELP",(VLOOKUP(A185,'Discount Lookup'!J:K,2)*G185*(1-PlanterDiscount)*(1+PlanterDifficultyPercentage)),IF(AE185="free","re-planting",IF(G185=0,"",IF(PlanterYesMe="",IF(AE185="me","   not ELP, by",IF(AE185="",IF(G185&gt;0,(VLOOKUP(A185,'Discount Lookup'!J:K,2)*G185*(1-PlanterDiscount)*(1+PlanterDifficultyPercentage)),""),"")),"   not ELP, by"))))))))))))))</f>
        <v/>
      </c>
      <c r="AD185" s="712"/>
      <c r="AE185" s="513" t="str">
        <f t="shared" si="126"/>
        <v/>
      </c>
      <c r="AF185" s="713" t="str">
        <f t="shared" si="127"/>
        <v/>
      </c>
      <c r="AG185" s="713"/>
      <c r="AH185" s="713"/>
      <c r="AI185" s="112">
        <f>IF(H185="credit",0,IF(AE185="free",0,IF(AE185="me",0,IF(G185&gt;0,(VLOOKUP(A185,'Discount Lookup'!J:K,2)*G185),0))))</f>
        <v>0</v>
      </c>
      <c r="AJ185" s="107" t="str">
        <f t="shared" ca="1" si="128"/>
        <v/>
      </c>
      <c r="AK185" s="714" t="str">
        <f t="shared" si="129"/>
        <v/>
      </c>
      <c r="AL185" s="714"/>
      <c r="AM185" s="114" t="str">
        <f t="shared" si="130"/>
        <v/>
      </c>
      <c r="AN185" s="115"/>
      <c r="AO185" s="116"/>
      <c r="AP185" s="116"/>
      <c r="AQ185" s="116"/>
      <c r="AR185" s="116"/>
      <c r="AS185" s="116"/>
      <c r="AT185" s="116"/>
      <c r="AU185" s="116"/>
      <c r="AV185" s="78"/>
      <c r="AW185" s="102"/>
      <c r="AX185" s="78"/>
      <c r="AY185" s="78"/>
      <c r="AZ185" s="78"/>
      <c r="BA185" s="78"/>
      <c r="BB185" s="78"/>
      <c r="BC185" s="78"/>
      <c r="BD185" s="78"/>
      <c r="BE185" s="465"/>
      <c r="BF185" s="165" t="str">
        <f t="shared" si="131"/>
        <v>https://www.google.com/search?tbm=isch&amp;q=15%20G4</v>
      </c>
      <c r="BG185" s="165" t="str">
        <f t="shared" si="132"/>
        <v>A</v>
      </c>
      <c r="BH185" s="65"/>
      <c r="BI185" s="65"/>
      <c r="BJ185" s="65"/>
      <c r="BK185" s="65"/>
      <c r="BL185" s="99"/>
      <c r="BM185" s="99"/>
      <c r="BN185" s="99"/>
    </row>
    <row r="186" spans="1:66" s="51" customFormat="1" ht="17.25" thickBot="1" x14ac:dyDescent="0.3">
      <c r="A186" s="641" t="s">
        <v>1283</v>
      </c>
      <c r="B186" s="642"/>
      <c r="C186" s="710"/>
      <c r="D186" s="643"/>
      <c r="E186" s="643"/>
      <c r="F186" s="644"/>
      <c r="G186" s="645"/>
      <c r="H186" s="646"/>
      <c r="I186" s="647"/>
      <c r="J186" s="648"/>
      <c r="K186" s="649"/>
      <c r="L186" s="650"/>
      <c r="M186" s="650"/>
      <c r="N186" s="644"/>
      <c r="O186" s="644"/>
      <c r="P186" s="644"/>
      <c r="Q186" s="644"/>
      <c r="R186" s="644"/>
      <c r="S186" s="651"/>
      <c r="T186" s="102">
        <f t="shared" si="120"/>
        <v>0</v>
      </c>
      <c r="U186" s="78" t="str">
        <f>IF(NOT(ISNUMBER(G186)), "", VLOOKUP(A186,'Discount Lookup'!D:E,2,FALSE)*G186)</f>
        <v/>
      </c>
      <c r="V186" s="78" t="str">
        <f>IF(NOT(ISNUMBER(G186)), "", VLOOKUP(A186,'Discount Lookup'!G:H,2,FALSE)*G186)</f>
        <v/>
      </c>
      <c r="W186" s="102">
        <f t="shared" si="121"/>
        <v>0</v>
      </c>
      <c r="X186" s="102">
        <f t="shared" si="122"/>
        <v>0</v>
      </c>
      <c r="Y186" s="120" t="b">
        <f t="shared" si="123"/>
        <v>0</v>
      </c>
      <c r="Z186" s="117">
        <f t="shared" si="124"/>
        <v>0</v>
      </c>
      <c r="AA186" s="118"/>
      <c r="AB186" s="118" t="str">
        <f t="shared" si="125"/>
        <v/>
      </c>
      <c r="AC186" s="712" t="str">
        <f>IF(AE186="T2G","no charge",IF(AND(OR(PlanterYesMe="No",PlanterYesMe="N",PlanterYesMe="me"),H186=""),"",IF(H186="credit","NO install",IF(AND(K186="",AE186="me"),"EACH row",IF(AND(K186="images",AE186="me"),"EACH row",IF(D186="","",IF(H186="credit","",IF(AE186="free","re-planting",IF(AE186="me","   not ELP, by",IF(AND(OR(PlanterYesMe="Yes",PlanterYesMe="Y"),G186&gt;0),(VLOOKUP(A186,'Discount Lookup'!J:K,2)*G186*(1-PlanterDiscount)*(1+PlanterDifficultyPercentage)),IF(AE186="ELP",(VLOOKUP(A186,'Discount Lookup'!J:K,2)*G186*(1-PlanterDiscount)*(1+PlanterDifficultyPercentage)),IF(AE186="free","re-planting",IF(G186=0,"",IF(PlanterYesMe="",IF(AE186="me","   not ELP, by",IF(AE186="",IF(G186&gt;0,(VLOOKUP(A186,'Discount Lookup'!J:K,2)*G186*(1-PlanterDiscount)*(1+PlanterDifficultyPercentage)),""),"")),"   not ELP, by"))))))))))))))</f>
        <v/>
      </c>
      <c r="AD186" s="712"/>
      <c r="AE186" s="513" t="str">
        <f t="shared" si="126"/>
        <v/>
      </c>
      <c r="AF186" s="713" t="str">
        <f t="shared" si="127"/>
        <v/>
      </c>
      <c r="AG186" s="713"/>
      <c r="AH186" s="713"/>
      <c r="AI186" s="112">
        <f>IF(H186="credit",0,IF(AE186="free",0,IF(AE186="me",0,IF(G186&gt;0,(VLOOKUP(A186,'Discount Lookup'!J:K,2)*G186),0))))</f>
        <v>0</v>
      </c>
      <c r="AJ186" s="107" t="str">
        <f t="shared" ca="1" si="128"/>
        <v/>
      </c>
      <c r="AK186" s="714" t="str">
        <f t="shared" si="129"/>
        <v/>
      </c>
      <c r="AL186" s="714"/>
      <c r="AM186" s="114" t="str">
        <f t="shared" si="130"/>
        <v/>
      </c>
      <c r="AN186" s="115"/>
      <c r="AO186" s="116"/>
      <c r="AP186" s="116"/>
      <c r="AQ186" s="116"/>
      <c r="AR186" s="116"/>
      <c r="AS186" s="116"/>
      <c r="AT186" s="116"/>
      <c r="AU186" s="116"/>
      <c r="AV186" s="78"/>
      <c r="AW186" s="102"/>
      <c r="AX186" s="78"/>
      <c r="AY186" s="78"/>
      <c r="AZ186" s="78"/>
      <c r="BA186" s="78"/>
      <c r="BB186" s="78"/>
      <c r="BC186" s="78"/>
      <c r="BD186" s="78"/>
      <c r="BE186" s="465"/>
      <c r="BF186" s="165" t="str">
        <f t="shared" si="131"/>
        <v>https://www.google.com/search?tbm=isch&amp;q=Shirazz%20known%20for%20kaleidoscopic%20foliage%20that%20shifts%20colors%20through%20the%20season.%20Scarlet%20to%20Crimson-Red%20fall%20foliage%20</v>
      </c>
      <c r="BG186" s="165" t="str">
        <f t="shared" si="132"/>
        <v>S</v>
      </c>
      <c r="BH186" s="65"/>
      <c r="BI186" s="65"/>
      <c r="BJ186" s="65"/>
      <c r="BK186" s="65"/>
      <c r="BL186" s="99"/>
      <c r="BM186" s="99"/>
      <c r="BN186" s="99"/>
    </row>
    <row r="187" spans="1:66" s="51" customFormat="1" ht="18" x14ac:dyDescent="0.25">
      <c r="A187" s="623" t="s">
        <v>1284</v>
      </c>
      <c r="B187" s="624"/>
      <c r="C187" s="709"/>
      <c r="D187" s="625" t="s">
        <v>1285</v>
      </c>
      <c r="E187" s="626"/>
      <c r="F187" s="626"/>
      <c r="G187" s="626"/>
      <c r="H187" s="622" t="s">
        <v>333</v>
      </c>
      <c r="I187" s="627" t="s">
        <v>430</v>
      </c>
      <c r="J187" s="628"/>
      <c r="K187" s="628"/>
      <c r="L187" s="629"/>
      <c r="M187" s="700" t="s">
        <v>5249</v>
      </c>
      <c r="N187" s="693" t="str">
        <f>IF(AND(ISTEXT($A187), ISERROR($A187+0)), HYPERLINK($BF187, "Images"), "")</f>
        <v>Images</v>
      </c>
      <c r="O187" s="695" t="s">
        <v>5247</v>
      </c>
      <c r="P187" s="630"/>
      <c r="Q187" s="631"/>
      <c r="R187" s="632"/>
      <c r="S187" s="633"/>
      <c r="T187" s="102">
        <f t="shared" si="120"/>
        <v>0</v>
      </c>
      <c r="U187" s="78" t="str">
        <f>IF(NOT(ISNUMBER(G187)), "", VLOOKUP(A187,'Discount Lookup'!D:E,2,FALSE)*G187)</f>
        <v/>
      </c>
      <c r="V187" s="78" t="str">
        <f>IF(NOT(ISNUMBER(G187)), "", VLOOKUP(A187,'Discount Lookup'!G:H,2,FALSE)*G187)</f>
        <v/>
      </c>
      <c r="W187" s="102">
        <f t="shared" si="121"/>
        <v>0</v>
      </c>
      <c r="X187" s="102" t="str">
        <f t="shared" si="122"/>
        <v>Deep Green foliage</v>
      </c>
      <c r="Y187" s="120" t="b">
        <f t="shared" si="123"/>
        <v>0</v>
      </c>
      <c r="Z187" s="117">
        <f t="shared" si="124"/>
        <v>0</v>
      </c>
      <c r="AA187" s="118"/>
      <c r="AB187" s="118" t="str">
        <f t="shared" si="125"/>
        <v/>
      </c>
      <c r="AC187" s="712" t="str">
        <f>IF(AE187="T2G","no charge",IF(AND(OR(PlanterYesMe="No",PlanterYesMe="N",PlanterYesMe="me"),H187=""),"",IF(H187="credit","NO install",IF(AND(K187="",AE187="me"),"EACH row",IF(AND(K187="images",AE187="me"),"EACH row",IF(D187="","",IF(H187="credit","",IF(AE187="free","re-planting",IF(AE187="me","   not ELP, by",IF(AND(OR(PlanterYesMe="Yes",PlanterYesMe="Y"),G187&gt;0),(VLOOKUP(A187,'Discount Lookup'!J:K,2)*G187*(1-PlanterDiscount)*(1+PlanterDifficultyPercentage)),IF(AE187="ELP",(VLOOKUP(A187,'Discount Lookup'!J:K,2)*G187*(1-PlanterDiscount)*(1+PlanterDifficultyPercentage)),IF(AE187="free","re-planting",IF(G187=0,"",IF(PlanterYesMe="",IF(AE187="me","   not ELP, by",IF(AE187="",IF(G187&gt;0,(VLOOKUP(A187,'Discount Lookup'!J:K,2)*G187*(1-PlanterDiscount)*(1+PlanterDifficultyPercentage)),""),"")),"   not ELP, by"))))))))))))))</f>
        <v/>
      </c>
      <c r="AD187" s="712"/>
      <c r="AE187" s="513" t="str">
        <f t="shared" si="126"/>
        <v/>
      </c>
      <c r="AF187" s="713" t="str">
        <f t="shared" si="127"/>
        <v/>
      </c>
      <c r="AG187" s="713"/>
      <c r="AH187" s="713"/>
      <c r="AI187" s="112">
        <f>IF(H187="credit",0,IF(AE187="free",0,IF(AE187="me",0,IF(G187&gt;0,(VLOOKUP(A187,'Discount Lookup'!J:K,2)*G187),0))))</f>
        <v>0</v>
      </c>
      <c r="AJ187" s="107" t="str">
        <f t="shared" ca="1" si="128"/>
        <v/>
      </c>
      <c r="AK187" s="714" t="str">
        <f t="shared" si="129"/>
        <v/>
      </c>
      <c r="AL187" s="714"/>
      <c r="AM187" s="114" t="str">
        <f t="shared" si="130"/>
        <v/>
      </c>
      <c r="AN187" s="115"/>
      <c r="AO187" s="116"/>
      <c r="AP187" s="116"/>
      <c r="AQ187" s="116"/>
      <c r="AR187" s="116"/>
      <c r="AS187" s="116"/>
      <c r="AT187" s="116"/>
      <c r="AU187" s="116"/>
      <c r="AV187" s="78"/>
      <c r="AW187" s="102"/>
      <c r="AX187" s="78"/>
      <c r="AY187" s="78"/>
      <c r="AZ187" s="78"/>
      <c r="BA187" s="78"/>
      <c r="BB187" s="78"/>
      <c r="BC187" s="78"/>
      <c r="BD187" s="78"/>
      <c r="BE187" s="465"/>
      <c r="BF187" s="165" t="str">
        <f t="shared" si="131"/>
        <v>https://www.google.com/search?tbm=isch&amp;q=Acer%20palmatum%20%27Shishigashira%27%20Lion%27s%20Head%20Japanese%20Maple</v>
      </c>
      <c r="BG187" s="165" t="str">
        <f t="shared" si="132"/>
        <v>A</v>
      </c>
      <c r="BH187" s="65"/>
      <c r="BI187" s="65"/>
      <c r="BJ187" s="65"/>
      <c r="BK187" s="65"/>
      <c r="BL187" s="99"/>
      <c r="BM187" s="99"/>
      <c r="BN187" s="99"/>
    </row>
    <row r="188" spans="1:66" s="51" customFormat="1" ht="27" x14ac:dyDescent="0.25">
      <c r="A188" s="634">
        <v>7</v>
      </c>
      <c r="B188" s="635" t="s">
        <v>291</v>
      </c>
      <c r="C188" s="636" t="s">
        <v>1286</v>
      </c>
      <c r="D188" s="637" t="s">
        <v>299</v>
      </c>
      <c r="E188" s="638">
        <v>252.95</v>
      </c>
      <c r="F188" s="639" t="s">
        <v>292</v>
      </c>
      <c r="G188" s="484">
        <v>0</v>
      </c>
      <c r="H188" s="691" t="str">
        <f>IF(G188=0,"",IF(F188="Buy",IF(G188=1,"plant","plants"),IF(F188&gt;0.01,"warranty","Error")))</f>
        <v/>
      </c>
      <c r="I188" s="640">
        <f>IF(H188="free",0,IF(H188="credit",((E188*(F188))*G188*-1),IF(F188="Buy",(E188*G188),((E188*(1-F188))*G188))))</f>
        <v>0</v>
      </c>
      <c r="J188" s="640">
        <f>IF(H188="warranty",0,(I188*(_xlfn.SINGLE(SalesTaxPercentage))))</f>
        <v>0</v>
      </c>
      <c r="K188" s="716">
        <f t="shared" ref="K188" si="158">I188+J188</f>
        <v>0</v>
      </c>
      <c r="L188" s="716"/>
      <c r="M188" s="689" t="str">
        <f ca="1">IF(AND(G188&gt;0,E188=0),"WARNING - no PRICE inserted",IF(H188="free","FREE ~ no charge this plant",IF(H188="credit",CONCATENATE("-$",ROUND(K188*(1-_xlfn.SINGLE(T2GDiscount))*-1,2)," CREDIT after discount"),IF(_xlfn.SINGLE(T2GDiscount)=0,"",IF(G188=0,"",IF(F188="Buy",CONCATENATE("$",ROUND(K188*(1-_xlfn.SINGLE(T2GDiscount)),2)," with ",(_xlfn.SINGLE(T2GDiscount)*100),"% discount"),CONCATENATE("$",ROUND(K188*(1-_xlfn.SINGLE(T2GDiscount)),2)," with ",((_xlfn.SINGLE(T2GDiscount)*100+F188*100)-(_xlfn.SINGLE(T2GDiscount)*100*F188)),IF(F188&gt;0,"% discounts",IF(_xlfn.SINGLE(NoWarrantyDiscount)&gt;0,"% discounts","% discount")))))))))</f>
        <v/>
      </c>
      <c r="N188" s="690"/>
      <c r="O188" s="486"/>
      <c r="P188" s="486"/>
      <c r="Q188" s="486"/>
      <c r="R188" s="486"/>
      <c r="S188" s="486"/>
      <c r="T188" s="102">
        <f t="shared" si="120"/>
        <v>0</v>
      </c>
      <c r="U188" s="78">
        <f>IF(NOT(ISNUMBER(G188)), "", VLOOKUP(A188,'Discount Lookup'!D:E,2,FALSE)*G188)</f>
        <v>0</v>
      </c>
      <c r="V188" s="78">
        <f>IF(NOT(ISNUMBER(G188)), "", VLOOKUP(A188,'Discount Lookup'!G:H,2,FALSE)*G188)</f>
        <v>0</v>
      </c>
      <c r="W188" s="102">
        <f t="shared" si="121"/>
        <v>0</v>
      </c>
      <c r="X188" s="102">
        <f t="shared" si="122"/>
        <v>0</v>
      </c>
      <c r="Y188" s="120" t="b">
        <f t="shared" si="123"/>
        <v>0</v>
      </c>
      <c r="Z188" s="117">
        <f t="shared" si="124"/>
        <v>0</v>
      </c>
      <c r="AA188" s="118"/>
      <c r="AB188" s="118" t="str">
        <f t="shared" si="125"/>
        <v/>
      </c>
      <c r="AC188" s="712" t="str">
        <f>IF(AE188="T2G","no charge",IF(AND(OR(PlanterYesMe="No",PlanterYesMe="N",PlanterYesMe="me"),H188=""),"",IF(H188="credit","NO install",IF(AND(K188="",AE188="me"),"EACH row",IF(AND(K188="images",AE188="me"),"EACH row",IF(D188="","",IF(H188="credit","",IF(AE188="free","re-planting",IF(AE188="me","   not ELP, by",IF(AND(OR(PlanterYesMe="Yes",PlanterYesMe="Y"),G188&gt;0),(VLOOKUP(A188,'Discount Lookup'!J:K,2)*G188*(1-PlanterDiscount)*(1+PlanterDifficultyPercentage)),IF(AE188="ELP",(VLOOKUP(A188,'Discount Lookup'!J:K,2)*G188*(1-PlanterDiscount)*(1+PlanterDifficultyPercentage)),IF(AE188="free","re-planting",IF(G188=0,"",IF(PlanterYesMe="",IF(AE188="me","   not ELP, by",IF(AE188="",IF(G188&gt;0,(VLOOKUP(A188,'Discount Lookup'!J:K,2)*G188*(1-PlanterDiscount)*(1+PlanterDifficultyPercentage)),""),"")),"   not ELP, by"))))))))))))))</f>
        <v/>
      </c>
      <c r="AD188" s="712"/>
      <c r="AE188" s="513" t="str">
        <f t="shared" si="126"/>
        <v/>
      </c>
      <c r="AF188" s="713" t="str">
        <f t="shared" si="127"/>
        <v/>
      </c>
      <c r="AG188" s="713"/>
      <c r="AH188" s="713"/>
      <c r="AI188" s="112">
        <f>IF(H188="credit",0,IF(AE188="free",0,IF(AE188="me",0,IF(G188&gt;0,(VLOOKUP(A188,'Discount Lookup'!J:K,2)*G188),0))))</f>
        <v>0</v>
      </c>
      <c r="AJ188" s="107" t="str">
        <f t="shared" ca="1" si="128"/>
        <v/>
      </c>
      <c r="AK188" s="714" t="str">
        <f t="shared" si="129"/>
        <v/>
      </c>
      <c r="AL188" s="714"/>
      <c r="AM188" s="114" t="str">
        <f t="shared" si="130"/>
        <v/>
      </c>
      <c r="AN188" s="115"/>
      <c r="AO188" s="116"/>
      <c r="AP188" s="116"/>
      <c r="AQ188" s="116"/>
      <c r="AR188" s="116"/>
      <c r="AS188" s="116"/>
      <c r="AT188" s="116"/>
      <c r="AU188" s="116"/>
      <c r="AV188" s="78"/>
      <c r="AW188" s="102"/>
      <c r="AX188" s="78"/>
      <c r="AY188" s="78"/>
      <c r="AZ188" s="78"/>
      <c r="BA188" s="78"/>
      <c r="BB188" s="78"/>
      <c r="BC188" s="78"/>
      <c r="BD188" s="78"/>
      <c r="BE188" s="465"/>
      <c r="BF188" s="165" t="str">
        <f t="shared" si="131"/>
        <v>https://www.google.com/search?tbm=isch&amp;q=7%20G4</v>
      </c>
      <c r="BG188" s="165" t="str">
        <f t="shared" si="132"/>
        <v>A</v>
      </c>
      <c r="BH188" s="65"/>
      <c r="BI188" s="65"/>
      <c r="BJ188" s="65"/>
      <c r="BK188" s="65"/>
      <c r="BL188" s="99"/>
      <c r="BM188" s="99"/>
      <c r="BN188" s="99"/>
    </row>
    <row r="189" spans="1:66" s="51" customFormat="1" ht="15.75" x14ac:dyDescent="0.25">
      <c r="A189" s="634">
        <v>15</v>
      </c>
      <c r="B189" s="635" t="s">
        <v>291</v>
      </c>
      <c r="C189" s="636" t="s">
        <v>922</v>
      </c>
      <c r="D189" s="637" t="s">
        <v>299</v>
      </c>
      <c r="E189" s="638">
        <v>496.95</v>
      </c>
      <c r="F189" s="639" t="s">
        <v>292</v>
      </c>
      <c r="G189" s="484">
        <v>0</v>
      </c>
      <c r="H189" s="691" t="str">
        <f>IF(G189=0,"",IF(F189="Buy",IF(G189=1,"plant","plants"),IF(F189&gt;0.01,"warranty","Error")))</f>
        <v/>
      </c>
      <c r="I189" s="640">
        <f>IF(H189="free",0,IF(H189="credit",((E189*(F189))*G189*-1),IF(F189="Buy",(E189*G189),((E189*(1-F189))*G189))))</f>
        <v>0</v>
      </c>
      <c r="J189" s="640">
        <f>IF(H189="warranty",0,(I189*(_xlfn.SINGLE(SalesTaxPercentage))))</f>
        <v>0</v>
      </c>
      <c r="K189" s="716">
        <f t="shared" ref="K189" si="159">I189+J189</f>
        <v>0</v>
      </c>
      <c r="L189" s="716"/>
      <c r="M189" s="689" t="str">
        <f ca="1">IF(AND(G189&gt;0,E189=0),"WARNING - no PRICE inserted",IF(H189="free","FREE ~ no charge this plant",IF(H189="credit",CONCATENATE("-$",ROUND(K189*(1-_xlfn.SINGLE(T2GDiscount))*-1,2)," CREDIT after discount"),IF(_xlfn.SINGLE(T2GDiscount)=0,"",IF(G189=0,"",IF(F189="Buy",CONCATENATE("$",ROUND(K189*(1-_xlfn.SINGLE(T2GDiscount)),2)," with ",(_xlfn.SINGLE(T2GDiscount)*100),"% discount"),CONCATENATE("$",ROUND(K189*(1-_xlfn.SINGLE(T2GDiscount)),2)," with ",((_xlfn.SINGLE(T2GDiscount)*100+F189*100)-(_xlfn.SINGLE(T2GDiscount)*100*F189)),IF(F189&gt;0,"% discounts",IF(_xlfn.SINGLE(NoWarrantyDiscount)&gt;0,"% discounts","% discount")))))))))</f>
        <v/>
      </c>
      <c r="N189" s="690"/>
      <c r="O189" s="486"/>
      <c r="P189" s="486"/>
      <c r="Q189" s="486"/>
      <c r="R189" s="486"/>
      <c r="S189" s="486"/>
      <c r="T189" s="102">
        <f t="shared" si="120"/>
        <v>0</v>
      </c>
      <c r="U189" s="78">
        <f>IF(NOT(ISNUMBER(G189)), "", VLOOKUP(A189,'Discount Lookup'!D:E,2,FALSE)*G189)</f>
        <v>0</v>
      </c>
      <c r="V189" s="78">
        <f>IF(NOT(ISNUMBER(G189)), "", VLOOKUP(A189,'Discount Lookup'!G:H,2,FALSE)*G189)</f>
        <v>0</v>
      </c>
      <c r="W189" s="102">
        <f t="shared" si="121"/>
        <v>0</v>
      </c>
      <c r="X189" s="102">
        <f t="shared" si="122"/>
        <v>0</v>
      </c>
      <c r="Y189" s="120" t="b">
        <f t="shared" si="123"/>
        <v>0</v>
      </c>
      <c r="Z189" s="117">
        <f t="shared" si="124"/>
        <v>0</v>
      </c>
      <c r="AA189" s="118"/>
      <c r="AB189" s="118" t="str">
        <f t="shared" si="125"/>
        <v/>
      </c>
      <c r="AC189" s="712" t="str">
        <f>IF(AE189="T2G","no charge",IF(AND(OR(PlanterYesMe="No",PlanterYesMe="N",PlanterYesMe="me"),H189=""),"",IF(H189="credit","NO install",IF(AND(K189="",AE189="me"),"EACH row",IF(AND(K189="images",AE189="me"),"EACH row",IF(D189="","",IF(H189="credit","",IF(AE189="free","re-planting",IF(AE189="me","   not ELP, by",IF(AND(OR(PlanterYesMe="Yes",PlanterYesMe="Y"),G189&gt;0),(VLOOKUP(A189,'Discount Lookup'!J:K,2)*G189*(1-PlanterDiscount)*(1+PlanterDifficultyPercentage)),IF(AE189="ELP",(VLOOKUP(A189,'Discount Lookup'!J:K,2)*G189*(1-PlanterDiscount)*(1+PlanterDifficultyPercentage)),IF(AE189="free","re-planting",IF(G189=0,"",IF(PlanterYesMe="",IF(AE189="me","   not ELP, by",IF(AE189="",IF(G189&gt;0,(VLOOKUP(A189,'Discount Lookup'!J:K,2)*G189*(1-PlanterDiscount)*(1+PlanterDifficultyPercentage)),""),"")),"   not ELP, by"))))))))))))))</f>
        <v/>
      </c>
      <c r="AD189" s="712"/>
      <c r="AE189" s="513" t="str">
        <f t="shared" si="126"/>
        <v/>
      </c>
      <c r="AF189" s="713" t="str">
        <f t="shared" si="127"/>
        <v/>
      </c>
      <c r="AG189" s="713"/>
      <c r="AH189" s="713"/>
      <c r="AI189" s="112">
        <f>IF(H189="credit",0,IF(AE189="free",0,IF(AE189="me",0,IF(G189&gt;0,(VLOOKUP(A189,'Discount Lookup'!J:K,2)*G189),0))))</f>
        <v>0</v>
      </c>
      <c r="AJ189" s="107" t="str">
        <f t="shared" ca="1" si="128"/>
        <v/>
      </c>
      <c r="AK189" s="714" t="str">
        <f t="shared" si="129"/>
        <v/>
      </c>
      <c r="AL189" s="714"/>
      <c r="AM189" s="114" t="str">
        <f t="shared" si="130"/>
        <v/>
      </c>
      <c r="AN189" s="115"/>
      <c r="AO189" s="116"/>
      <c r="AP189" s="116"/>
      <c r="AQ189" s="116"/>
      <c r="AR189" s="116"/>
      <c r="AS189" s="116"/>
      <c r="AT189" s="116"/>
      <c r="AU189" s="116"/>
      <c r="AV189" s="78"/>
      <c r="AW189" s="102"/>
      <c r="AX189" s="78"/>
      <c r="AY189" s="78"/>
      <c r="AZ189" s="78"/>
      <c r="BA189" s="78"/>
      <c r="BB189" s="78"/>
      <c r="BC189" s="78"/>
      <c r="BD189" s="78"/>
      <c r="BE189" s="465"/>
      <c r="BF189" s="165" t="str">
        <f t="shared" si="131"/>
        <v>https://www.google.com/search?tbm=isch&amp;q=15%20G4</v>
      </c>
      <c r="BG189" s="165" t="str">
        <f t="shared" si="132"/>
        <v>A</v>
      </c>
      <c r="BH189" s="65"/>
      <c r="BI189" s="65"/>
      <c r="BJ189" s="65"/>
      <c r="BK189" s="65"/>
      <c r="BL189" s="99"/>
      <c r="BM189" s="99"/>
      <c r="BN189" s="99"/>
    </row>
    <row r="190" spans="1:66" s="51" customFormat="1" ht="15.75" x14ac:dyDescent="0.25">
      <c r="A190" s="634">
        <v>20</v>
      </c>
      <c r="B190" s="635" t="s">
        <v>291</v>
      </c>
      <c r="C190" s="636" t="s">
        <v>1287</v>
      </c>
      <c r="D190" s="637" t="s">
        <v>299</v>
      </c>
      <c r="E190" s="638">
        <v>586.95000000000005</v>
      </c>
      <c r="F190" s="639" t="s">
        <v>292</v>
      </c>
      <c r="G190" s="484">
        <v>0</v>
      </c>
      <c r="H190" s="691" t="str">
        <f>IF(G190=0,"",IF(F190="Buy",IF(G190=1,"plant","plants"),IF(F190&gt;0.01,"warranty","Error")))</f>
        <v/>
      </c>
      <c r="I190" s="640">
        <f>IF(H190="free",0,IF(H190="credit",((E190*(F190))*G190*-1),IF(F190="Buy",(E190*G190),((E190*(1-F190))*G190))))</f>
        <v>0</v>
      </c>
      <c r="J190" s="640">
        <f>IF(H190="warranty",0,(I190*(_xlfn.SINGLE(SalesTaxPercentage))))</f>
        <v>0</v>
      </c>
      <c r="K190" s="716">
        <f t="shared" ref="K190" si="160">I190+J190</f>
        <v>0</v>
      </c>
      <c r="L190" s="716"/>
      <c r="M190" s="689" t="str">
        <f ca="1">IF(AND(G190&gt;0,E190=0),"WARNING - no PRICE inserted",IF(H190="free","FREE ~ no charge this plant",IF(H190="credit",CONCATENATE("-$",ROUND(K190*(1-_xlfn.SINGLE(T2GDiscount))*-1,2)," CREDIT after discount"),IF(_xlfn.SINGLE(T2GDiscount)=0,"",IF(G190=0,"",IF(F190="Buy",CONCATENATE("$",ROUND(K190*(1-_xlfn.SINGLE(T2GDiscount)),2)," with ",(_xlfn.SINGLE(T2GDiscount)*100),"% discount"),CONCATENATE("$",ROUND(K190*(1-_xlfn.SINGLE(T2GDiscount)),2)," with ",((_xlfn.SINGLE(T2GDiscount)*100+F190*100)-(_xlfn.SINGLE(T2GDiscount)*100*F190)),IF(F190&gt;0,"% discounts",IF(_xlfn.SINGLE(NoWarrantyDiscount)&gt;0,"% discounts","% discount")))))))))</f>
        <v/>
      </c>
      <c r="N190" s="690"/>
      <c r="O190" s="486"/>
      <c r="P190" s="486"/>
      <c r="Q190" s="486"/>
      <c r="R190" s="486"/>
      <c r="S190" s="486"/>
      <c r="T190" s="102">
        <f t="shared" si="120"/>
        <v>0</v>
      </c>
      <c r="U190" s="78">
        <f>IF(NOT(ISNUMBER(G190)), "", VLOOKUP(A190,'Discount Lookup'!D:E,2,FALSE)*G190)</f>
        <v>0</v>
      </c>
      <c r="V190" s="78">
        <f>IF(NOT(ISNUMBER(G190)), "", VLOOKUP(A190,'Discount Lookup'!G:H,2,FALSE)*G190)</f>
        <v>0</v>
      </c>
      <c r="W190" s="102">
        <f t="shared" si="121"/>
        <v>0</v>
      </c>
      <c r="X190" s="102">
        <f t="shared" si="122"/>
        <v>0</v>
      </c>
      <c r="Y190" s="120" t="b">
        <f t="shared" si="123"/>
        <v>0</v>
      </c>
      <c r="Z190" s="117">
        <f t="shared" si="124"/>
        <v>0</v>
      </c>
      <c r="AA190" s="118"/>
      <c r="AB190" s="118" t="str">
        <f t="shared" si="125"/>
        <v/>
      </c>
      <c r="AC190" s="712" t="str">
        <f>IF(AE190="T2G","no charge",IF(AND(OR(PlanterYesMe="No",PlanterYesMe="N",PlanterYesMe="me"),H190=""),"",IF(H190="credit","NO install",IF(AND(K190="",AE190="me"),"EACH row",IF(AND(K190="images",AE190="me"),"EACH row",IF(D190="","",IF(H190="credit","",IF(AE190="free","re-planting",IF(AE190="me","   not ELP, by",IF(AND(OR(PlanterYesMe="Yes",PlanterYesMe="Y"),G190&gt;0),(VLOOKUP(A190,'Discount Lookup'!J:K,2)*G190*(1-PlanterDiscount)*(1+PlanterDifficultyPercentage)),IF(AE190="ELP",(VLOOKUP(A190,'Discount Lookup'!J:K,2)*G190*(1-PlanterDiscount)*(1+PlanterDifficultyPercentage)),IF(AE190="free","re-planting",IF(G190=0,"",IF(PlanterYesMe="",IF(AE190="me","   not ELP, by",IF(AE190="",IF(G190&gt;0,(VLOOKUP(A190,'Discount Lookup'!J:K,2)*G190*(1-PlanterDiscount)*(1+PlanterDifficultyPercentage)),""),"")),"   not ELP, by"))))))))))))))</f>
        <v/>
      </c>
      <c r="AD190" s="712"/>
      <c r="AE190" s="513" t="str">
        <f t="shared" si="126"/>
        <v/>
      </c>
      <c r="AF190" s="713" t="str">
        <f t="shared" si="127"/>
        <v/>
      </c>
      <c r="AG190" s="713"/>
      <c r="AH190" s="713"/>
      <c r="AI190" s="112">
        <f>IF(H190="credit",0,IF(AE190="free",0,IF(AE190="me",0,IF(G190&gt;0,(VLOOKUP(A190,'Discount Lookup'!J:K,2)*G190),0))))</f>
        <v>0</v>
      </c>
      <c r="AJ190" s="107" t="str">
        <f t="shared" ca="1" si="128"/>
        <v/>
      </c>
      <c r="AK190" s="714" t="str">
        <f t="shared" si="129"/>
        <v/>
      </c>
      <c r="AL190" s="714"/>
      <c r="AM190" s="114" t="str">
        <f t="shared" si="130"/>
        <v/>
      </c>
      <c r="AN190" s="115"/>
      <c r="AO190" s="116"/>
      <c r="AP190" s="116"/>
      <c r="AQ190" s="116"/>
      <c r="AR190" s="116"/>
      <c r="AS190" s="116"/>
      <c r="AT190" s="116"/>
      <c r="AU190" s="116"/>
      <c r="AV190" s="78"/>
      <c r="AW190" s="102"/>
      <c r="AX190" s="78"/>
      <c r="AY190" s="78"/>
      <c r="AZ190" s="78"/>
      <c r="BA190" s="78"/>
      <c r="BB190" s="78"/>
      <c r="BC190" s="78"/>
      <c r="BD190" s="78"/>
      <c r="BE190" s="465"/>
      <c r="BF190" s="165" t="str">
        <f t="shared" si="131"/>
        <v>https://www.google.com/search?tbm=isch&amp;q=20%20G4</v>
      </c>
      <c r="BG190" s="165" t="str">
        <f t="shared" si="132"/>
        <v>A</v>
      </c>
      <c r="BH190" s="65"/>
      <c r="BI190" s="65"/>
      <c r="BJ190" s="65"/>
      <c r="BK190" s="65"/>
      <c r="BL190" s="99"/>
      <c r="BM190" s="99"/>
      <c r="BN190" s="99"/>
    </row>
    <row r="191" spans="1:66" s="51" customFormat="1" ht="15.75" x14ac:dyDescent="0.25">
      <c r="A191" s="634">
        <v>25</v>
      </c>
      <c r="B191" s="635" t="s">
        <v>291</v>
      </c>
      <c r="C191" s="636" t="s">
        <v>1288</v>
      </c>
      <c r="D191" s="637" t="s">
        <v>299</v>
      </c>
      <c r="E191" s="638">
        <v>934.95</v>
      </c>
      <c r="F191" s="639" t="s">
        <v>292</v>
      </c>
      <c r="G191" s="484">
        <v>0</v>
      </c>
      <c r="H191" s="691" t="str">
        <f>IF(G191=0,"",IF(F191="Buy",IF(G191=1,"plant","plants"),IF(F191&gt;0.01,"warranty","Error")))</f>
        <v/>
      </c>
      <c r="I191" s="640">
        <f>IF(H191="free",0,IF(H191="credit",((E191*(F191))*G191*-1),IF(F191="Buy",(E191*G191),((E191*(1-F191))*G191))))</f>
        <v>0</v>
      </c>
      <c r="J191" s="640">
        <f>IF(H191="warranty",0,(I191*(_xlfn.SINGLE(SalesTaxPercentage))))</f>
        <v>0</v>
      </c>
      <c r="K191" s="716">
        <f t="shared" ref="K191" si="161">I191+J191</f>
        <v>0</v>
      </c>
      <c r="L191" s="716"/>
      <c r="M191" s="689" t="str">
        <f ca="1">IF(AND(G191&gt;0,E191=0),"WARNING - no PRICE inserted",IF(H191="free","FREE ~ no charge this plant",IF(H191="credit",CONCATENATE("-$",ROUND(K191*(1-_xlfn.SINGLE(T2GDiscount))*-1,2)," CREDIT after discount"),IF(_xlfn.SINGLE(T2GDiscount)=0,"",IF(G191=0,"",IF(F191="Buy",CONCATENATE("$",ROUND(K191*(1-_xlfn.SINGLE(T2GDiscount)),2)," with ",(_xlfn.SINGLE(T2GDiscount)*100),"% discount"),CONCATENATE("$",ROUND(K191*(1-_xlfn.SINGLE(T2GDiscount)),2)," with ",((_xlfn.SINGLE(T2GDiscount)*100+F191*100)-(_xlfn.SINGLE(T2GDiscount)*100*F191)),IF(F191&gt;0,"% discounts",IF(_xlfn.SINGLE(NoWarrantyDiscount)&gt;0,"% discounts","% discount")))))))))</f>
        <v/>
      </c>
      <c r="N191" s="690"/>
      <c r="O191" s="486"/>
      <c r="P191" s="486"/>
      <c r="Q191" s="486"/>
      <c r="R191" s="486"/>
      <c r="S191" s="486"/>
      <c r="T191" s="102">
        <f t="shared" si="120"/>
        <v>0</v>
      </c>
      <c r="U191" s="78">
        <f>IF(NOT(ISNUMBER(G191)), "", VLOOKUP(A191,'Discount Lookup'!D:E,2,FALSE)*G191)</f>
        <v>0</v>
      </c>
      <c r="V191" s="78">
        <f>IF(NOT(ISNUMBER(G191)), "", VLOOKUP(A191,'Discount Lookup'!G:H,2,FALSE)*G191)</f>
        <v>0</v>
      </c>
      <c r="W191" s="102">
        <f t="shared" si="121"/>
        <v>0</v>
      </c>
      <c r="X191" s="102">
        <f t="shared" si="122"/>
        <v>0</v>
      </c>
      <c r="Y191" s="120" t="b">
        <f t="shared" si="123"/>
        <v>0</v>
      </c>
      <c r="Z191" s="117">
        <f t="shared" si="124"/>
        <v>0</v>
      </c>
      <c r="AA191" s="118"/>
      <c r="AB191" s="118" t="str">
        <f t="shared" si="125"/>
        <v/>
      </c>
      <c r="AC191" s="712" t="str">
        <f>IF(AE191="T2G","no charge",IF(AND(OR(PlanterYesMe="No",PlanterYesMe="N",PlanterYesMe="me"),H191=""),"",IF(H191="credit","NO install",IF(AND(K191="",AE191="me"),"EACH row",IF(AND(K191="images",AE191="me"),"EACH row",IF(D191="","",IF(H191="credit","",IF(AE191="free","re-planting",IF(AE191="me","   not ELP, by",IF(AND(OR(PlanterYesMe="Yes",PlanterYesMe="Y"),G191&gt;0),(VLOOKUP(A191,'Discount Lookup'!J:K,2)*G191*(1-PlanterDiscount)*(1+PlanterDifficultyPercentage)),IF(AE191="ELP",(VLOOKUP(A191,'Discount Lookup'!J:K,2)*G191*(1-PlanterDiscount)*(1+PlanterDifficultyPercentage)),IF(AE191="free","re-planting",IF(G191=0,"",IF(PlanterYesMe="",IF(AE191="me","   not ELP, by",IF(AE191="",IF(G191&gt;0,(VLOOKUP(A191,'Discount Lookup'!J:K,2)*G191*(1-PlanterDiscount)*(1+PlanterDifficultyPercentage)),""),"")),"   not ELP, by"))))))))))))))</f>
        <v/>
      </c>
      <c r="AD191" s="712"/>
      <c r="AE191" s="513" t="str">
        <f t="shared" si="126"/>
        <v/>
      </c>
      <c r="AF191" s="713" t="str">
        <f t="shared" si="127"/>
        <v/>
      </c>
      <c r="AG191" s="713"/>
      <c r="AH191" s="713"/>
      <c r="AI191" s="112">
        <f>IF(H191="credit",0,IF(AE191="free",0,IF(AE191="me",0,IF(G191&gt;0,(VLOOKUP(A191,'Discount Lookup'!J:K,2)*G191),0))))</f>
        <v>0</v>
      </c>
      <c r="AJ191" s="107" t="str">
        <f t="shared" ca="1" si="128"/>
        <v/>
      </c>
      <c r="AK191" s="714" t="str">
        <f t="shared" si="129"/>
        <v/>
      </c>
      <c r="AL191" s="714"/>
      <c r="AM191" s="114" t="str">
        <f t="shared" si="130"/>
        <v/>
      </c>
      <c r="AN191" s="115"/>
      <c r="AO191" s="116"/>
      <c r="AP191" s="116"/>
      <c r="AQ191" s="116"/>
      <c r="AR191" s="116"/>
      <c r="AS191" s="116"/>
      <c r="AT191" s="116"/>
      <c r="AU191" s="116"/>
      <c r="AV191" s="78"/>
      <c r="AW191" s="102"/>
      <c r="AX191" s="78"/>
      <c r="AY191" s="78"/>
      <c r="AZ191" s="78"/>
      <c r="BA191" s="78"/>
      <c r="BB191" s="78"/>
      <c r="BC191" s="78"/>
      <c r="BD191" s="78"/>
      <c r="BE191" s="465"/>
      <c r="BF191" s="165" t="str">
        <f t="shared" si="131"/>
        <v>https://www.google.com/search?tbm=isch&amp;q=25%20G4</v>
      </c>
      <c r="BG191" s="165" t="str">
        <f t="shared" si="132"/>
        <v>A</v>
      </c>
      <c r="BH191" s="65"/>
      <c r="BI191" s="65"/>
      <c r="BJ191" s="65"/>
      <c r="BK191" s="65"/>
      <c r="BL191" s="99"/>
      <c r="BM191" s="99"/>
      <c r="BN191" s="99"/>
    </row>
    <row r="192" spans="1:66" s="51" customFormat="1" ht="17.25" thickBot="1" x14ac:dyDescent="0.3">
      <c r="A192" s="641" t="s">
        <v>1289</v>
      </c>
      <c r="B192" s="642"/>
      <c r="C192" s="710"/>
      <c r="D192" s="643"/>
      <c r="E192" s="643"/>
      <c r="F192" s="644"/>
      <c r="G192" s="645"/>
      <c r="H192" s="646"/>
      <c r="I192" s="647"/>
      <c r="J192" s="648"/>
      <c r="K192" s="649"/>
      <c r="L192" s="650"/>
      <c r="M192" s="650"/>
      <c r="N192" s="644"/>
      <c r="O192" s="644"/>
      <c r="P192" s="644"/>
      <c r="Q192" s="644"/>
      <c r="R192" s="644"/>
      <c r="S192" s="651"/>
      <c r="T192" s="102">
        <f t="shared" si="120"/>
        <v>0</v>
      </c>
      <c r="U192" s="78" t="str">
        <f>IF(NOT(ISNUMBER(G192)), "", VLOOKUP(A192,'Discount Lookup'!D:E,2,FALSE)*G192)</f>
        <v/>
      </c>
      <c r="V192" s="78" t="str">
        <f>IF(NOT(ISNUMBER(G192)), "", VLOOKUP(A192,'Discount Lookup'!G:H,2,FALSE)*G192)</f>
        <v/>
      </c>
      <c r="W192" s="102">
        <f t="shared" si="121"/>
        <v>0</v>
      </c>
      <c r="X192" s="102">
        <f t="shared" si="122"/>
        <v>0</v>
      </c>
      <c r="Y192" s="120" t="b">
        <f t="shared" si="123"/>
        <v>0</v>
      </c>
      <c r="Z192" s="117">
        <f t="shared" si="124"/>
        <v>0</v>
      </c>
      <c r="AA192" s="118"/>
      <c r="AB192" s="118" t="str">
        <f t="shared" si="125"/>
        <v/>
      </c>
      <c r="AC192" s="712" t="str">
        <f>IF(AE192="T2G","no charge",IF(AND(OR(PlanterYesMe="No",PlanterYesMe="N",PlanterYesMe="me"),H192=""),"",IF(H192="credit","NO install",IF(AND(K192="",AE192="me"),"EACH row",IF(AND(K192="images",AE192="me"),"EACH row",IF(D192="","",IF(H192="credit","",IF(AE192="free","re-planting",IF(AE192="me","   not ELP, by",IF(AND(OR(PlanterYesMe="Yes",PlanterYesMe="Y"),G192&gt;0),(VLOOKUP(A192,'Discount Lookup'!J:K,2)*G192*(1-PlanterDiscount)*(1+PlanterDifficultyPercentage)),IF(AE192="ELP",(VLOOKUP(A192,'Discount Lookup'!J:K,2)*G192*(1-PlanterDiscount)*(1+PlanterDifficultyPercentage)),IF(AE192="free","re-planting",IF(G192=0,"",IF(PlanterYesMe="",IF(AE192="me","   not ELP, by",IF(AE192="",IF(G192&gt;0,(VLOOKUP(A192,'Discount Lookup'!J:K,2)*G192*(1-PlanterDiscount)*(1+PlanterDifficultyPercentage)),""),"")),"   not ELP, by"))))))))))))))</f>
        <v/>
      </c>
      <c r="AD192" s="712"/>
      <c r="AE192" s="513" t="str">
        <f t="shared" si="126"/>
        <v/>
      </c>
      <c r="AF192" s="713" t="str">
        <f t="shared" si="127"/>
        <v/>
      </c>
      <c r="AG192" s="713"/>
      <c r="AH192" s="713"/>
      <c r="AI192" s="112">
        <f>IF(H192="credit",0,IF(AE192="free",0,IF(AE192="me",0,IF(G192&gt;0,(VLOOKUP(A192,'Discount Lookup'!J:K,2)*G192),0))))</f>
        <v>0</v>
      </c>
      <c r="AJ192" s="107" t="str">
        <f t="shared" ca="1" si="128"/>
        <v/>
      </c>
      <c r="AK192" s="714" t="str">
        <f t="shared" si="129"/>
        <v/>
      </c>
      <c r="AL192" s="714"/>
      <c r="AM192" s="114" t="str">
        <f t="shared" si="130"/>
        <v/>
      </c>
      <c r="AN192" s="115"/>
      <c r="AO192" s="116"/>
      <c r="AP192" s="116"/>
      <c r="AQ192" s="116"/>
      <c r="AR192" s="116"/>
      <c r="AS192" s="116"/>
      <c r="AT192" s="116"/>
      <c r="AU192" s="116"/>
      <c r="AV192" s="78"/>
      <c r="AW192" s="102"/>
      <c r="AX192" s="78"/>
      <c r="AY192" s="78"/>
      <c r="AZ192" s="78"/>
      <c r="BA192" s="78"/>
      <c r="BB192" s="78"/>
      <c r="BC192" s="78"/>
      <c r="BD192" s="78"/>
      <c r="BE192" s="465"/>
      <c r="BF192" s="165" t="str">
        <f t="shared" si="131"/>
        <v>https://www.google.com/search?tbm=isch&amp;q=Lion%27s%20Head%20named%20for%20dense%20tufts%20of%20curled%20leaves%20resembling%20a%20lion%27s%20mane.%20Late%20fall%20coloring%20is%20Gold-Orange-Crimson%20</v>
      </c>
      <c r="BG192" s="165" t="str">
        <f t="shared" si="132"/>
        <v>L</v>
      </c>
      <c r="BH192" s="65"/>
      <c r="BI192" s="65"/>
      <c r="BJ192" s="65"/>
      <c r="BK192" s="65"/>
      <c r="BL192" s="99"/>
      <c r="BM192" s="99"/>
      <c r="BN192" s="99"/>
    </row>
    <row r="193" spans="1:66" s="51" customFormat="1" ht="18" x14ac:dyDescent="0.25">
      <c r="A193" s="623" t="s">
        <v>1290</v>
      </c>
      <c r="B193" s="624"/>
      <c r="C193" s="709"/>
      <c r="D193" s="625" t="s">
        <v>1291</v>
      </c>
      <c r="E193" s="626"/>
      <c r="F193" s="626"/>
      <c r="G193" s="626"/>
      <c r="H193" s="622" t="s">
        <v>1292</v>
      </c>
      <c r="I193" s="627" t="s">
        <v>1186</v>
      </c>
      <c r="J193" s="628"/>
      <c r="K193" s="628"/>
      <c r="L193" s="629"/>
      <c r="M193" s="700" t="s">
        <v>5249</v>
      </c>
      <c r="N193" s="693" t="str">
        <f>IF(AND(ISTEXT($A193), ISERROR($A193+0)), HYPERLINK($BF193, "Images"), "")</f>
        <v>Images</v>
      </c>
      <c r="O193" s="695" t="s">
        <v>5247</v>
      </c>
      <c r="P193" s="630"/>
      <c r="Q193" s="631"/>
      <c r="R193" s="632"/>
      <c r="S193" s="633"/>
      <c r="T193" s="102">
        <f t="shared" si="120"/>
        <v>0</v>
      </c>
      <c r="U193" s="78" t="str">
        <f>IF(NOT(ISNUMBER(G193)), "", VLOOKUP(A193,'Discount Lookup'!D:E,2,FALSE)*G193)</f>
        <v/>
      </c>
      <c r="V193" s="78" t="str">
        <f>IF(NOT(ISNUMBER(G193)), "", VLOOKUP(A193,'Discount Lookup'!G:H,2,FALSE)*G193)</f>
        <v/>
      </c>
      <c r="W193" s="102">
        <f t="shared" si="121"/>
        <v>0</v>
      </c>
      <c r="X193" s="102" t="str">
        <f t="shared" si="122"/>
        <v>Variegated foliage</v>
      </c>
      <c r="Y193" s="120" t="b">
        <f t="shared" si="123"/>
        <v>0</v>
      </c>
      <c r="Z193" s="117">
        <f t="shared" si="124"/>
        <v>0</v>
      </c>
      <c r="AA193" s="118"/>
      <c r="AB193" s="118" t="str">
        <f t="shared" si="125"/>
        <v/>
      </c>
      <c r="AC193" s="712" t="str">
        <f>IF(AE193="T2G","no charge",IF(AND(OR(PlanterYesMe="No",PlanterYesMe="N",PlanterYesMe="me"),H193=""),"",IF(H193="credit","NO install",IF(AND(K193="",AE193="me"),"EACH row",IF(AND(K193="images",AE193="me"),"EACH row",IF(D193="","",IF(H193="credit","",IF(AE193="free","re-planting",IF(AE193="me","   not ELP, by",IF(AND(OR(PlanterYesMe="Yes",PlanterYesMe="Y"),G193&gt;0),(VLOOKUP(A193,'Discount Lookup'!J:K,2)*G193*(1-PlanterDiscount)*(1+PlanterDifficultyPercentage)),IF(AE193="ELP",(VLOOKUP(A193,'Discount Lookup'!J:K,2)*G193*(1-PlanterDiscount)*(1+PlanterDifficultyPercentage)),IF(AE193="free","re-planting",IF(G193=0,"",IF(PlanterYesMe="",IF(AE193="me","   not ELP, by",IF(AE193="",IF(G193&gt;0,(VLOOKUP(A193,'Discount Lookup'!J:K,2)*G193*(1-PlanterDiscount)*(1+PlanterDifficultyPercentage)),""),"")),"   not ELP, by"))))))))))))))</f>
        <v/>
      </c>
      <c r="AD193" s="712"/>
      <c r="AE193" s="513" t="str">
        <f t="shared" si="126"/>
        <v/>
      </c>
      <c r="AF193" s="713" t="str">
        <f t="shared" si="127"/>
        <v/>
      </c>
      <c r="AG193" s="713"/>
      <c r="AH193" s="713"/>
      <c r="AI193" s="112">
        <f>IF(H193="credit",0,IF(AE193="free",0,IF(AE193="me",0,IF(G193&gt;0,(VLOOKUP(A193,'Discount Lookup'!J:K,2)*G193),0))))</f>
        <v>0</v>
      </c>
      <c r="AJ193" s="107" t="str">
        <f t="shared" ca="1" si="128"/>
        <v/>
      </c>
      <c r="AK193" s="714" t="str">
        <f t="shared" si="129"/>
        <v/>
      </c>
      <c r="AL193" s="714"/>
      <c r="AM193" s="114" t="str">
        <f t="shared" si="130"/>
        <v/>
      </c>
      <c r="AN193" s="115"/>
      <c r="AO193" s="116"/>
      <c r="AP193" s="116"/>
      <c r="AQ193" s="116"/>
      <c r="AR193" s="116"/>
      <c r="AS193" s="116"/>
      <c r="AT193" s="116"/>
      <c r="AU193" s="116"/>
      <c r="AV193" s="78"/>
      <c r="AW193" s="102"/>
      <c r="AX193" s="78"/>
      <c r="AY193" s="78"/>
      <c r="AZ193" s="78"/>
      <c r="BA193" s="78"/>
      <c r="BB193" s="78"/>
      <c r="BC193" s="78"/>
      <c r="BD193" s="78"/>
      <c r="BE193" s="465"/>
      <c r="BF193" s="165" t="str">
        <f t="shared" si="131"/>
        <v>https://www.google.com/search?tbm=isch&amp;q=Acer%20palmatum%20%27Sister%20Ghost%27%20Sister%20Ghost%20Japanese%20Maple</v>
      </c>
      <c r="BG193" s="165" t="str">
        <f t="shared" si="132"/>
        <v>A</v>
      </c>
      <c r="BH193" s="65"/>
      <c r="BI193" s="65"/>
      <c r="BJ193" s="65"/>
      <c r="BK193" s="65"/>
      <c r="BL193" s="99"/>
      <c r="BM193" s="99"/>
      <c r="BN193" s="99"/>
    </row>
    <row r="194" spans="1:66" s="51" customFormat="1" ht="15.75" x14ac:dyDescent="0.25">
      <c r="A194" s="634">
        <v>7</v>
      </c>
      <c r="B194" s="635" t="s">
        <v>291</v>
      </c>
      <c r="C194" s="636" t="s">
        <v>1293</v>
      </c>
      <c r="D194" s="637" t="s">
        <v>299</v>
      </c>
      <c r="E194" s="638">
        <v>224.95</v>
      </c>
      <c r="F194" s="639" t="s">
        <v>292</v>
      </c>
      <c r="G194" s="484">
        <v>0</v>
      </c>
      <c r="H194" s="691" t="str">
        <f>IF(G194=0,"",IF(F194="Buy",IF(G194=1,"plant","plants"),IF(F194&gt;0.01,"warranty","Error")))</f>
        <v/>
      </c>
      <c r="I194" s="640">
        <f>IF(H194="free",0,IF(H194="credit",((E194*(F194))*G194*-1),IF(F194="Buy",(E194*G194),((E194*(1-F194))*G194))))</f>
        <v>0</v>
      </c>
      <c r="J194" s="640">
        <f>IF(H194="warranty",0,(I194*(_xlfn.SINGLE(SalesTaxPercentage))))</f>
        <v>0</v>
      </c>
      <c r="K194" s="716">
        <f t="shared" ref="K194" si="162">I194+J194</f>
        <v>0</v>
      </c>
      <c r="L194" s="716"/>
      <c r="M194" s="689" t="str">
        <f ca="1">IF(AND(G194&gt;0,E194=0),"WARNING - no PRICE inserted",IF(H194="free","FREE ~ no charge this plant",IF(H194="credit",CONCATENATE("-$",ROUND(K194*(1-_xlfn.SINGLE(T2GDiscount))*-1,2)," CREDIT after discount"),IF(_xlfn.SINGLE(T2GDiscount)=0,"",IF(G194=0,"",IF(F194="Buy",CONCATENATE("$",ROUND(K194*(1-_xlfn.SINGLE(T2GDiscount)),2)," with ",(_xlfn.SINGLE(T2GDiscount)*100),"% discount"),CONCATENATE("$",ROUND(K194*(1-_xlfn.SINGLE(T2GDiscount)),2)," with ",((_xlfn.SINGLE(T2GDiscount)*100+F194*100)-(_xlfn.SINGLE(T2GDiscount)*100*F194)),IF(F194&gt;0,"% discounts",IF(_xlfn.SINGLE(NoWarrantyDiscount)&gt;0,"% discounts","% discount")))))))))</f>
        <v/>
      </c>
      <c r="N194" s="690"/>
      <c r="O194" s="486"/>
      <c r="P194" s="486"/>
      <c r="Q194" s="486"/>
      <c r="R194" s="486"/>
      <c r="S194" s="486"/>
      <c r="T194" s="102">
        <f t="shared" si="120"/>
        <v>0</v>
      </c>
      <c r="U194" s="78">
        <f>IF(NOT(ISNUMBER(G194)), "", VLOOKUP(A194,'Discount Lookup'!D:E,2,FALSE)*G194)</f>
        <v>0</v>
      </c>
      <c r="V194" s="78">
        <f>IF(NOT(ISNUMBER(G194)), "", VLOOKUP(A194,'Discount Lookup'!G:H,2,FALSE)*G194)</f>
        <v>0</v>
      </c>
      <c r="W194" s="102">
        <f t="shared" si="121"/>
        <v>0</v>
      </c>
      <c r="X194" s="102">
        <f t="shared" si="122"/>
        <v>0</v>
      </c>
      <c r="Y194" s="120" t="b">
        <f t="shared" si="123"/>
        <v>0</v>
      </c>
      <c r="Z194" s="117">
        <f t="shared" si="124"/>
        <v>0</v>
      </c>
      <c r="AA194" s="118"/>
      <c r="AB194" s="118" t="str">
        <f t="shared" si="125"/>
        <v/>
      </c>
      <c r="AC194" s="712" t="str">
        <f>IF(AE194="T2G","no charge",IF(AND(OR(PlanterYesMe="No",PlanterYesMe="N",PlanterYesMe="me"),H194=""),"",IF(H194="credit","NO install",IF(AND(K194="",AE194="me"),"EACH row",IF(AND(K194="images",AE194="me"),"EACH row",IF(D194="","",IF(H194="credit","",IF(AE194="free","re-planting",IF(AE194="me","   not ELP, by",IF(AND(OR(PlanterYesMe="Yes",PlanterYesMe="Y"),G194&gt;0),(VLOOKUP(A194,'Discount Lookup'!J:K,2)*G194*(1-PlanterDiscount)*(1+PlanterDifficultyPercentage)),IF(AE194="ELP",(VLOOKUP(A194,'Discount Lookup'!J:K,2)*G194*(1-PlanterDiscount)*(1+PlanterDifficultyPercentage)),IF(AE194="free","re-planting",IF(G194=0,"",IF(PlanterYesMe="",IF(AE194="me","   not ELP, by",IF(AE194="",IF(G194&gt;0,(VLOOKUP(A194,'Discount Lookup'!J:K,2)*G194*(1-PlanterDiscount)*(1+PlanterDifficultyPercentage)),""),"")),"   not ELP, by"))))))))))))))</f>
        <v/>
      </c>
      <c r="AD194" s="712"/>
      <c r="AE194" s="513" t="str">
        <f t="shared" si="126"/>
        <v/>
      </c>
      <c r="AF194" s="713" t="str">
        <f t="shared" si="127"/>
        <v/>
      </c>
      <c r="AG194" s="713"/>
      <c r="AH194" s="713"/>
      <c r="AI194" s="112">
        <f>IF(H194="credit",0,IF(AE194="free",0,IF(AE194="me",0,IF(G194&gt;0,(VLOOKUP(A194,'Discount Lookup'!J:K,2)*G194),0))))</f>
        <v>0</v>
      </c>
      <c r="AJ194" s="107" t="str">
        <f t="shared" ca="1" si="128"/>
        <v/>
      </c>
      <c r="AK194" s="714" t="str">
        <f t="shared" si="129"/>
        <v/>
      </c>
      <c r="AL194" s="714"/>
      <c r="AM194" s="114" t="str">
        <f t="shared" si="130"/>
        <v/>
      </c>
      <c r="AN194" s="115"/>
      <c r="AO194" s="116"/>
      <c r="AP194" s="116"/>
      <c r="AQ194" s="116"/>
      <c r="AR194" s="116"/>
      <c r="AS194" s="116"/>
      <c r="AT194" s="116"/>
      <c r="AU194" s="116"/>
      <c r="AV194" s="78"/>
      <c r="AW194" s="102"/>
      <c r="AX194" s="78"/>
      <c r="AY194" s="78"/>
      <c r="AZ194" s="78"/>
      <c r="BA194" s="78"/>
      <c r="BB194" s="78"/>
      <c r="BC194" s="78"/>
      <c r="BD194" s="78"/>
      <c r="BE194" s="465"/>
      <c r="BF194" s="165" t="str">
        <f t="shared" si="131"/>
        <v>https://www.google.com/search?tbm=isch&amp;q=7%20G4</v>
      </c>
      <c r="BG194" s="165" t="str">
        <f t="shared" si="132"/>
        <v>A</v>
      </c>
      <c r="BH194" s="65"/>
      <c r="BI194" s="65"/>
      <c r="BJ194" s="65"/>
      <c r="BK194" s="65"/>
      <c r="BL194" s="99"/>
      <c r="BM194" s="99"/>
      <c r="BN194" s="99"/>
    </row>
    <row r="195" spans="1:66" s="51" customFormat="1" ht="17.25" thickBot="1" x14ac:dyDescent="0.3">
      <c r="A195" s="641" t="s">
        <v>1294</v>
      </c>
      <c r="B195" s="642"/>
      <c r="C195" s="710"/>
      <c r="D195" s="643"/>
      <c r="E195" s="643"/>
      <c r="F195" s="644"/>
      <c r="G195" s="645"/>
      <c r="H195" s="646"/>
      <c r="I195" s="647"/>
      <c r="J195" s="648"/>
      <c r="K195" s="649"/>
      <c r="L195" s="650"/>
      <c r="M195" s="650"/>
      <c r="N195" s="644"/>
      <c r="O195" s="644"/>
      <c r="P195" s="644"/>
      <c r="Q195" s="644"/>
      <c r="R195" s="644"/>
      <c r="S195" s="651"/>
      <c r="T195" s="102">
        <f t="shared" si="120"/>
        <v>0</v>
      </c>
      <c r="U195" s="78" t="str">
        <f>IF(NOT(ISNUMBER(G195)), "", VLOOKUP(A195,'Discount Lookup'!D:E,2,FALSE)*G195)</f>
        <v/>
      </c>
      <c r="V195" s="78" t="str">
        <f>IF(NOT(ISNUMBER(G195)), "", VLOOKUP(A195,'Discount Lookup'!G:H,2,FALSE)*G195)</f>
        <v/>
      </c>
      <c r="W195" s="102">
        <f t="shared" si="121"/>
        <v>0</v>
      </c>
      <c r="X195" s="102">
        <f t="shared" si="122"/>
        <v>0</v>
      </c>
      <c r="Y195" s="120" t="b">
        <f t="shared" si="123"/>
        <v>0</v>
      </c>
      <c r="Z195" s="117">
        <f t="shared" si="124"/>
        <v>0</v>
      </c>
      <c r="AA195" s="118"/>
      <c r="AB195" s="118" t="str">
        <f t="shared" si="125"/>
        <v/>
      </c>
      <c r="AC195" s="712" t="str">
        <f>IF(AE195="T2G","no charge",IF(AND(OR(PlanterYesMe="No",PlanterYesMe="N",PlanterYesMe="me"),H195=""),"",IF(H195="credit","NO install",IF(AND(K195="",AE195="me"),"EACH row",IF(AND(K195="images",AE195="me"),"EACH row",IF(D195="","",IF(H195="credit","",IF(AE195="free","re-planting",IF(AE195="me","   not ELP, by",IF(AND(OR(PlanterYesMe="Yes",PlanterYesMe="Y"),G195&gt;0),(VLOOKUP(A195,'Discount Lookup'!J:K,2)*G195*(1-PlanterDiscount)*(1+PlanterDifficultyPercentage)),IF(AE195="ELP",(VLOOKUP(A195,'Discount Lookup'!J:K,2)*G195*(1-PlanterDiscount)*(1+PlanterDifficultyPercentage)),IF(AE195="free","re-planting",IF(G195=0,"",IF(PlanterYesMe="",IF(AE195="me","   not ELP, by",IF(AE195="",IF(G195&gt;0,(VLOOKUP(A195,'Discount Lookup'!J:K,2)*G195*(1-PlanterDiscount)*(1+PlanterDifficultyPercentage)),""),"")),"   not ELP, by"))))))))))))))</f>
        <v/>
      </c>
      <c r="AD195" s="712"/>
      <c r="AE195" s="513" t="str">
        <f t="shared" si="126"/>
        <v/>
      </c>
      <c r="AF195" s="713" t="str">
        <f t="shared" si="127"/>
        <v/>
      </c>
      <c r="AG195" s="713"/>
      <c r="AH195" s="713"/>
      <c r="AI195" s="112">
        <f>IF(H195="credit",0,IF(AE195="free",0,IF(AE195="me",0,IF(G195&gt;0,(VLOOKUP(A195,'Discount Lookup'!J:K,2)*G195),0))))</f>
        <v>0</v>
      </c>
      <c r="AJ195" s="107" t="str">
        <f t="shared" ca="1" si="128"/>
        <v/>
      </c>
      <c r="AK195" s="714" t="str">
        <f t="shared" si="129"/>
        <v/>
      </c>
      <c r="AL195" s="714"/>
      <c r="AM195" s="114" t="str">
        <f t="shared" si="130"/>
        <v/>
      </c>
      <c r="AN195" s="115"/>
      <c r="AO195" s="116"/>
      <c r="AP195" s="116"/>
      <c r="AQ195" s="116"/>
      <c r="AR195" s="116"/>
      <c r="AS195" s="116"/>
      <c r="AT195" s="116"/>
      <c r="AU195" s="116"/>
      <c r="AV195" s="78"/>
      <c r="AW195" s="102"/>
      <c r="AX195" s="78"/>
      <c r="AY195" s="78"/>
      <c r="AZ195" s="78"/>
      <c r="BA195" s="78"/>
      <c r="BB195" s="78"/>
      <c r="BC195" s="78"/>
      <c r="BD195" s="78"/>
      <c r="BE195" s="465"/>
      <c r="BF195" s="165" t="str">
        <f t="shared" si="131"/>
        <v>https://www.google.com/search?tbm=isch&amp;q=Sister%20Ghost%20named%20for%20it%27s%20ghostly%20appearance%20of%20dark%20Green%20veins%20on%20soft%20White%20to%20Pale%20Yellow%20foliage.%20Glowing%20Yellow-Orange%20to%20Coral%20in%20fall%20</v>
      </c>
      <c r="BG195" s="165" t="str">
        <f t="shared" si="132"/>
        <v>S</v>
      </c>
      <c r="BH195" s="65"/>
      <c r="BI195" s="65"/>
      <c r="BJ195" s="65"/>
      <c r="BK195" s="65"/>
      <c r="BL195" s="99"/>
      <c r="BM195" s="99"/>
      <c r="BN195" s="99"/>
    </row>
    <row r="196" spans="1:66" s="51" customFormat="1" ht="18" x14ac:dyDescent="0.25">
      <c r="A196" s="623" t="s">
        <v>1295</v>
      </c>
      <c r="B196" s="624"/>
      <c r="C196" s="709"/>
      <c r="D196" s="625" t="s">
        <v>1296</v>
      </c>
      <c r="E196" s="626"/>
      <c r="F196" s="626"/>
      <c r="G196" s="626"/>
      <c r="H196" s="622" t="s">
        <v>1231</v>
      </c>
      <c r="I196" s="627" t="s">
        <v>1297</v>
      </c>
      <c r="J196" s="628"/>
      <c r="K196" s="628"/>
      <c r="L196" s="629"/>
      <c r="M196" s="702" t="s">
        <v>5252</v>
      </c>
      <c r="N196" s="693" t="str">
        <f>IF(AND(ISTEXT($A196), ISERROR($A196+0)), HYPERLINK($BF196, "Images"), "")</f>
        <v>Images</v>
      </c>
      <c r="O196" s="695" t="s">
        <v>5247</v>
      </c>
      <c r="P196" s="630"/>
      <c r="Q196" s="631"/>
      <c r="R196" s="632"/>
      <c r="S196" s="633"/>
      <c r="T196" s="102">
        <f t="shared" si="120"/>
        <v>0</v>
      </c>
      <c r="U196" s="78" t="str">
        <f>IF(NOT(ISNUMBER(G196)), "", VLOOKUP(A196,'Discount Lookup'!D:E,2,FALSE)*G196)</f>
        <v/>
      </c>
      <c r="V196" s="78" t="str">
        <f>IF(NOT(ISNUMBER(G196)), "", VLOOKUP(A196,'Discount Lookup'!G:H,2,FALSE)*G196)</f>
        <v/>
      </c>
      <c r="W196" s="102">
        <f t="shared" si="121"/>
        <v>0</v>
      </c>
      <c r="X196" s="102" t="str">
        <f t="shared" si="122"/>
        <v>Variegated Pink-Chartreuse</v>
      </c>
      <c r="Y196" s="120" t="b">
        <f t="shared" si="123"/>
        <v>0</v>
      </c>
      <c r="Z196" s="117">
        <f t="shared" si="124"/>
        <v>0</v>
      </c>
      <c r="AA196" s="118"/>
      <c r="AB196" s="118" t="str">
        <f t="shared" si="125"/>
        <v/>
      </c>
      <c r="AC196" s="712" t="str">
        <f>IF(AE196="T2G","no charge",IF(AND(OR(PlanterYesMe="No",PlanterYesMe="N",PlanterYesMe="me"),H196=""),"",IF(H196="credit","NO install",IF(AND(K196="",AE196="me"),"EACH row",IF(AND(K196="images",AE196="me"),"EACH row",IF(D196="","",IF(H196="credit","",IF(AE196="free","re-planting",IF(AE196="me","   not ELP, by",IF(AND(OR(PlanterYesMe="Yes",PlanterYesMe="Y"),G196&gt;0),(VLOOKUP(A196,'Discount Lookup'!J:K,2)*G196*(1-PlanterDiscount)*(1+PlanterDifficultyPercentage)),IF(AE196="ELP",(VLOOKUP(A196,'Discount Lookup'!J:K,2)*G196*(1-PlanterDiscount)*(1+PlanterDifficultyPercentage)),IF(AE196="free","re-planting",IF(G196=0,"",IF(PlanterYesMe="",IF(AE196="me","   not ELP, by",IF(AE196="",IF(G196&gt;0,(VLOOKUP(A196,'Discount Lookup'!J:K,2)*G196*(1-PlanterDiscount)*(1+PlanterDifficultyPercentage)),""),"")),"   not ELP, by"))))))))))))))</f>
        <v/>
      </c>
      <c r="AD196" s="712"/>
      <c r="AE196" s="513" t="str">
        <f t="shared" si="126"/>
        <v/>
      </c>
      <c r="AF196" s="713" t="str">
        <f t="shared" si="127"/>
        <v/>
      </c>
      <c r="AG196" s="713"/>
      <c r="AH196" s="713"/>
      <c r="AI196" s="112">
        <f>IF(H196="credit",0,IF(AE196="free",0,IF(AE196="me",0,IF(G196&gt;0,(VLOOKUP(A196,'Discount Lookup'!J:K,2)*G196),0))))</f>
        <v>0</v>
      </c>
      <c r="AJ196" s="107" t="str">
        <f t="shared" ca="1" si="128"/>
        <v/>
      </c>
      <c r="AK196" s="714" t="str">
        <f t="shared" si="129"/>
        <v/>
      </c>
      <c r="AL196" s="714"/>
      <c r="AM196" s="114" t="str">
        <f t="shared" si="130"/>
        <v/>
      </c>
      <c r="AN196" s="115"/>
      <c r="AO196" s="116"/>
      <c r="AP196" s="116"/>
      <c r="AQ196" s="116"/>
      <c r="AR196" s="116"/>
      <c r="AS196" s="116"/>
      <c r="AT196" s="116"/>
      <c r="AU196" s="116"/>
      <c r="AV196" s="78"/>
      <c r="AW196" s="102"/>
      <c r="AX196" s="78"/>
      <c r="AY196" s="78"/>
      <c r="AZ196" s="78"/>
      <c r="BA196" s="78"/>
      <c r="BB196" s="78"/>
      <c r="BC196" s="78"/>
      <c r="BD196" s="78"/>
      <c r="BE196" s="465"/>
      <c r="BF196" s="165" t="str">
        <f t="shared" si="131"/>
        <v>https://www.google.com/search?tbm=isch&amp;q=Acer%20palmatum%20%27Tiger%20Rose%27%20Tiger%20Rose%20Japanese%20Maple</v>
      </c>
      <c r="BG196" s="165" t="str">
        <f t="shared" si="132"/>
        <v>A</v>
      </c>
      <c r="BH196" s="65"/>
      <c r="BI196" s="65"/>
      <c r="BJ196" s="65"/>
      <c r="BK196" s="65"/>
      <c r="BL196" s="99"/>
      <c r="BM196" s="99"/>
      <c r="BN196" s="99"/>
    </row>
    <row r="197" spans="1:66" s="51" customFormat="1" ht="15.75" x14ac:dyDescent="0.25">
      <c r="A197" s="634">
        <v>25</v>
      </c>
      <c r="B197" s="635" t="s">
        <v>291</v>
      </c>
      <c r="C197" s="636" t="s">
        <v>1298</v>
      </c>
      <c r="D197" s="637" t="s">
        <v>299</v>
      </c>
      <c r="E197" s="638">
        <v>665.95</v>
      </c>
      <c r="F197" s="639" t="s">
        <v>292</v>
      </c>
      <c r="G197" s="484">
        <v>0</v>
      </c>
      <c r="H197" s="691" t="str">
        <f>IF(G197=0,"",IF(F197="Buy",IF(G197=1,"plant","plants"),IF(F197&gt;0.01,"warranty","Error")))</f>
        <v/>
      </c>
      <c r="I197" s="640">
        <f>IF(H197="free",0,IF(H197="credit",((E197*(F197))*G197*-1),IF(F197="Buy",(E197*G197),((E197*(1-F197))*G197))))</f>
        <v>0</v>
      </c>
      <c r="J197" s="640">
        <f>IF(H197="warranty",0,(I197*(_xlfn.SINGLE(SalesTaxPercentage))))</f>
        <v>0</v>
      </c>
      <c r="K197" s="716">
        <f t="shared" ref="K197" si="163">I197+J197</f>
        <v>0</v>
      </c>
      <c r="L197" s="716"/>
      <c r="M197" s="689" t="str">
        <f ca="1">IF(AND(G197&gt;0,E197=0),"WARNING - no PRICE inserted",IF(H197="free","FREE ~ no charge this plant",IF(H197="credit",CONCATENATE("-$",ROUND(K197*(1-_xlfn.SINGLE(T2GDiscount))*-1,2)," CREDIT after discount"),IF(_xlfn.SINGLE(T2GDiscount)=0,"",IF(G197=0,"",IF(F197="Buy",CONCATENATE("$",ROUND(K197*(1-_xlfn.SINGLE(T2GDiscount)),2)," with ",(_xlfn.SINGLE(T2GDiscount)*100),"% discount"),CONCATENATE("$",ROUND(K197*(1-_xlfn.SINGLE(T2GDiscount)),2)," with ",((_xlfn.SINGLE(T2GDiscount)*100+F197*100)-(_xlfn.SINGLE(T2GDiscount)*100*F197)),IF(F197&gt;0,"% discounts",IF(_xlfn.SINGLE(NoWarrantyDiscount)&gt;0,"% discounts","% discount")))))))))</f>
        <v/>
      </c>
      <c r="N197" s="690"/>
      <c r="O197" s="486"/>
      <c r="P197" s="486"/>
      <c r="Q197" s="486"/>
      <c r="R197" s="486"/>
      <c r="S197" s="486"/>
      <c r="T197" s="102">
        <f t="shared" si="120"/>
        <v>0</v>
      </c>
      <c r="U197" s="78">
        <f>IF(NOT(ISNUMBER(G197)), "", VLOOKUP(A197,'Discount Lookup'!D:E,2,FALSE)*G197)</f>
        <v>0</v>
      </c>
      <c r="V197" s="78">
        <f>IF(NOT(ISNUMBER(G197)), "", VLOOKUP(A197,'Discount Lookup'!G:H,2,FALSE)*G197)</f>
        <v>0</v>
      </c>
      <c r="W197" s="102">
        <f t="shared" si="121"/>
        <v>0</v>
      </c>
      <c r="X197" s="102">
        <f t="shared" si="122"/>
        <v>0</v>
      </c>
      <c r="Y197" s="120" t="b">
        <f t="shared" si="123"/>
        <v>0</v>
      </c>
      <c r="Z197" s="117">
        <f t="shared" si="124"/>
        <v>0</v>
      </c>
      <c r="AA197" s="118"/>
      <c r="AB197" s="118" t="str">
        <f t="shared" si="125"/>
        <v/>
      </c>
      <c r="AC197" s="712" t="str">
        <f>IF(AE197="T2G","no charge",IF(AND(OR(PlanterYesMe="No",PlanterYesMe="N",PlanterYesMe="me"),H197=""),"",IF(H197="credit","NO install",IF(AND(K197="",AE197="me"),"EACH row",IF(AND(K197="images",AE197="me"),"EACH row",IF(D197="","",IF(H197="credit","",IF(AE197="free","re-planting",IF(AE197="me","   not ELP, by",IF(AND(OR(PlanterYesMe="Yes",PlanterYesMe="Y"),G197&gt;0),(VLOOKUP(A197,'Discount Lookup'!J:K,2)*G197*(1-PlanterDiscount)*(1+PlanterDifficultyPercentage)),IF(AE197="ELP",(VLOOKUP(A197,'Discount Lookup'!J:K,2)*G197*(1-PlanterDiscount)*(1+PlanterDifficultyPercentage)),IF(AE197="free","re-planting",IF(G197=0,"",IF(PlanterYesMe="",IF(AE197="me","   not ELP, by",IF(AE197="",IF(G197&gt;0,(VLOOKUP(A197,'Discount Lookup'!J:K,2)*G197*(1-PlanterDiscount)*(1+PlanterDifficultyPercentage)),""),"")),"   not ELP, by"))))))))))))))</f>
        <v/>
      </c>
      <c r="AD197" s="712"/>
      <c r="AE197" s="513" t="str">
        <f t="shared" si="126"/>
        <v/>
      </c>
      <c r="AF197" s="713" t="str">
        <f t="shared" si="127"/>
        <v/>
      </c>
      <c r="AG197" s="713"/>
      <c r="AH197" s="713"/>
      <c r="AI197" s="112">
        <f>IF(H197="credit",0,IF(AE197="free",0,IF(AE197="me",0,IF(G197&gt;0,(VLOOKUP(A197,'Discount Lookup'!J:K,2)*G197),0))))</f>
        <v>0</v>
      </c>
      <c r="AJ197" s="107" t="str">
        <f t="shared" ca="1" si="128"/>
        <v/>
      </c>
      <c r="AK197" s="714" t="str">
        <f t="shared" si="129"/>
        <v/>
      </c>
      <c r="AL197" s="714"/>
      <c r="AM197" s="114" t="str">
        <f t="shared" si="130"/>
        <v/>
      </c>
      <c r="AN197" s="115"/>
      <c r="AO197" s="116"/>
      <c r="AP197" s="116"/>
      <c r="AQ197" s="116"/>
      <c r="AR197" s="116"/>
      <c r="AS197" s="116"/>
      <c r="AT197" s="116"/>
      <c r="AU197" s="116"/>
      <c r="AV197" s="78"/>
      <c r="AW197" s="102"/>
      <c r="AX197" s="78"/>
      <c r="AY197" s="78"/>
      <c r="AZ197" s="78"/>
      <c r="BA197" s="78"/>
      <c r="BB197" s="78"/>
      <c r="BC197" s="78"/>
      <c r="BD197" s="78"/>
      <c r="BE197" s="465"/>
      <c r="BF197" s="165" t="str">
        <f t="shared" si="131"/>
        <v>https://www.google.com/search?tbm=isch&amp;q=25%20G4</v>
      </c>
      <c r="BG197" s="165" t="str">
        <f t="shared" si="132"/>
        <v>A</v>
      </c>
      <c r="BH197" s="65"/>
      <c r="BI197" s="65"/>
      <c r="BJ197" s="65"/>
      <c r="BK197" s="65"/>
      <c r="BL197" s="99"/>
      <c r="BM197" s="99"/>
      <c r="BN197" s="99"/>
    </row>
    <row r="198" spans="1:66" s="51" customFormat="1" ht="17.25" thickBot="1" x14ac:dyDescent="0.3">
      <c r="A198" s="641" t="s">
        <v>1299</v>
      </c>
      <c r="B198" s="642"/>
      <c r="C198" s="710"/>
      <c r="D198" s="643"/>
      <c r="E198" s="643"/>
      <c r="F198" s="644"/>
      <c r="G198" s="645"/>
      <c r="H198" s="646"/>
      <c r="I198" s="647"/>
      <c r="J198" s="648"/>
      <c r="K198" s="649"/>
      <c r="L198" s="650"/>
      <c r="M198" s="650"/>
      <c r="N198" s="644"/>
      <c r="O198" s="644"/>
      <c r="P198" s="644"/>
      <c r="Q198" s="644"/>
      <c r="R198" s="644"/>
      <c r="S198" s="651"/>
      <c r="T198" s="102">
        <f t="shared" si="120"/>
        <v>0</v>
      </c>
      <c r="U198" s="78" t="str">
        <f>IF(NOT(ISNUMBER(G198)), "", VLOOKUP(A198,'Discount Lookup'!D:E,2,FALSE)*G198)</f>
        <v/>
      </c>
      <c r="V198" s="78" t="str">
        <f>IF(NOT(ISNUMBER(G198)), "", VLOOKUP(A198,'Discount Lookup'!G:H,2,FALSE)*G198)</f>
        <v/>
      </c>
      <c r="W198" s="102">
        <f t="shared" si="121"/>
        <v>0</v>
      </c>
      <c r="X198" s="102">
        <f t="shared" si="122"/>
        <v>0</v>
      </c>
      <c r="Y198" s="120" t="b">
        <f t="shared" si="123"/>
        <v>0</v>
      </c>
      <c r="Z198" s="117">
        <f t="shared" si="124"/>
        <v>0</v>
      </c>
      <c r="AA198" s="118"/>
      <c r="AB198" s="118" t="str">
        <f t="shared" si="125"/>
        <v/>
      </c>
      <c r="AC198" s="712" t="str">
        <f>IF(AE198="T2G","no charge",IF(AND(OR(PlanterYesMe="No",PlanterYesMe="N",PlanterYesMe="me"),H198=""),"",IF(H198="credit","NO install",IF(AND(K198="",AE198="me"),"EACH row",IF(AND(K198="images",AE198="me"),"EACH row",IF(D198="","",IF(H198="credit","",IF(AE198="free","re-planting",IF(AE198="me","   not ELP, by",IF(AND(OR(PlanterYesMe="Yes",PlanterYesMe="Y"),G198&gt;0),(VLOOKUP(A198,'Discount Lookup'!J:K,2)*G198*(1-PlanterDiscount)*(1+PlanterDifficultyPercentage)),IF(AE198="ELP",(VLOOKUP(A198,'Discount Lookup'!J:K,2)*G198*(1-PlanterDiscount)*(1+PlanterDifficultyPercentage)),IF(AE198="free","re-planting",IF(G198=0,"",IF(PlanterYesMe="",IF(AE198="me","   not ELP, by",IF(AE198="",IF(G198&gt;0,(VLOOKUP(A198,'Discount Lookup'!J:K,2)*G198*(1-PlanterDiscount)*(1+PlanterDifficultyPercentage)),""),"")),"   not ELP, by"))))))))))))))</f>
        <v/>
      </c>
      <c r="AD198" s="712"/>
      <c r="AE198" s="513" t="str">
        <f t="shared" si="126"/>
        <v/>
      </c>
      <c r="AF198" s="713" t="str">
        <f t="shared" si="127"/>
        <v/>
      </c>
      <c r="AG198" s="713"/>
      <c r="AH198" s="713"/>
      <c r="AI198" s="112">
        <f>IF(H198="credit",0,IF(AE198="free",0,IF(AE198="me",0,IF(G198&gt;0,(VLOOKUP(A198,'Discount Lookup'!J:K,2)*G198),0))))</f>
        <v>0</v>
      </c>
      <c r="AJ198" s="107" t="str">
        <f t="shared" ca="1" si="128"/>
        <v/>
      </c>
      <c r="AK198" s="714" t="str">
        <f t="shared" si="129"/>
        <v/>
      </c>
      <c r="AL198" s="714"/>
      <c r="AM198" s="114" t="str">
        <f t="shared" si="130"/>
        <v/>
      </c>
      <c r="AN198" s="115"/>
      <c r="AO198" s="116"/>
      <c r="AP198" s="116"/>
      <c r="AQ198" s="116"/>
      <c r="AR198" s="116"/>
      <c r="AS198" s="116"/>
      <c r="AT198" s="116"/>
      <c r="AU198" s="116"/>
      <c r="AV198" s="78"/>
      <c r="AW198" s="102"/>
      <c r="AX198" s="78"/>
      <c r="AY198" s="78"/>
      <c r="AZ198" s="78"/>
      <c r="BA198" s="78"/>
      <c r="BB198" s="78"/>
      <c r="BC198" s="78"/>
      <c r="BD198" s="78"/>
      <c r="BE198" s="465"/>
      <c r="BF198" s="165" t="str">
        <f t="shared" si="131"/>
        <v>https://www.google.com/search?tbm=isch&amp;q=Tiger%20Rose%20named%20for%20prominent%20Green%20veins%20in%20foliage%2C%20resembling%20Tiger%20stripes.%20Leaves%20matures%20to%20Green%20with%20pastel%20tones%2C%20then%20Gold%20%26%20soft%20Coral%20in%20the%20fall%20</v>
      </c>
      <c r="BG198" s="165" t="str">
        <f t="shared" si="132"/>
        <v>T</v>
      </c>
      <c r="BH198" s="65"/>
      <c r="BI198" s="65"/>
      <c r="BJ198" s="65"/>
      <c r="BK198" s="65"/>
      <c r="BL198" s="99"/>
      <c r="BM198" s="99"/>
      <c r="BN198" s="99"/>
    </row>
    <row r="199" spans="1:66" s="51" customFormat="1" ht="18" x14ac:dyDescent="0.25">
      <c r="A199" s="623" t="s">
        <v>1300</v>
      </c>
      <c r="B199" s="624"/>
      <c r="C199" s="709"/>
      <c r="D199" s="625" t="s">
        <v>1301</v>
      </c>
      <c r="E199" s="626"/>
      <c r="F199" s="626"/>
      <c r="G199" s="626"/>
      <c r="H199" s="622" t="s">
        <v>1302</v>
      </c>
      <c r="I199" s="627" t="s">
        <v>4931</v>
      </c>
      <c r="J199" s="628"/>
      <c r="K199" s="628"/>
      <c r="L199" s="629"/>
      <c r="M199" s="700" t="s">
        <v>5249</v>
      </c>
      <c r="N199" s="693" t="str">
        <f>IF(AND(ISTEXT($A199), ISERROR($A199+0)), HYPERLINK($BF199, "Images"), "")</f>
        <v>Images</v>
      </c>
      <c r="O199" s="695" t="s">
        <v>5247</v>
      </c>
      <c r="P199" s="630"/>
      <c r="Q199" s="631"/>
      <c r="R199" s="632"/>
      <c r="S199" s="633"/>
      <c r="T199" s="102">
        <f t="shared" si="120"/>
        <v>0</v>
      </c>
      <c r="U199" s="78" t="str">
        <f>IF(NOT(ISNUMBER(G199)), "", VLOOKUP(A199,'Discount Lookup'!D:E,2,FALSE)*G199)</f>
        <v/>
      </c>
      <c r="V199" s="78" t="str">
        <f>IF(NOT(ISNUMBER(G199)), "", VLOOKUP(A199,'Discount Lookup'!G:H,2,FALSE)*G199)</f>
        <v/>
      </c>
      <c r="W199" s="102">
        <f t="shared" si="121"/>
        <v>0</v>
      </c>
      <c r="X199" s="102" t="str">
        <f t="shared" si="122"/>
        <v>Green foliage, Red petioles</v>
      </c>
      <c r="Y199" s="120" t="b">
        <f t="shared" si="123"/>
        <v>0</v>
      </c>
      <c r="Z199" s="117">
        <f t="shared" si="124"/>
        <v>0</v>
      </c>
      <c r="AA199" s="118"/>
      <c r="AB199" s="118" t="str">
        <f t="shared" si="125"/>
        <v/>
      </c>
      <c r="AC199" s="712" t="str">
        <f>IF(AE199="T2G","no charge",IF(AND(OR(PlanterYesMe="No",PlanterYesMe="N",PlanterYesMe="me"),H199=""),"",IF(H199="credit","NO install",IF(AND(K199="",AE199="me"),"EACH row",IF(AND(K199="images",AE199="me"),"EACH row",IF(D199="","",IF(H199="credit","",IF(AE199="free","re-planting",IF(AE199="me","   not ELP, by",IF(AND(OR(PlanterYesMe="Yes",PlanterYesMe="Y"),G199&gt;0),(VLOOKUP(A199,'Discount Lookup'!J:K,2)*G199*(1-PlanterDiscount)*(1+PlanterDifficultyPercentage)),IF(AE199="ELP",(VLOOKUP(A199,'Discount Lookup'!J:K,2)*G199*(1-PlanterDiscount)*(1+PlanterDifficultyPercentage)),IF(AE199="free","re-planting",IF(G199=0,"",IF(PlanterYesMe="",IF(AE199="me","   not ELP, by",IF(AE199="",IF(G199&gt;0,(VLOOKUP(A199,'Discount Lookup'!J:K,2)*G199*(1-PlanterDiscount)*(1+PlanterDifficultyPercentage)),""),"")),"   not ELP, by"))))))))))))))</f>
        <v/>
      </c>
      <c r="AD199" s="712"/>
      <c r="AE199" s="513" t="str">
        <f t="shared" si="126"/>
        <v/>
      </c>
      <c r="AF199" s="713" t="str">
        <f t="shared" si="127"/>
        <v/>
      </c>
      <c r="AG199" s="713"/>
      <c r="AH199" s="713"/>
      <c r="AI199" s="112">
        <f>IF(H199="credit",0,IF(AE199="free",0,IF(AE199="me",0,IF(G199&gt;0,(VLOOKUP(A199,'Discount Lookup'!J:K,2)*G199),0))))</f>
        <v>0</v>
      </c>
      <c r="AJ199" s="107" t="str">
        <f t="shared" ca="1" si="128"/>
        <v/>
      </c>
      <c r="AK199" s="714" t="str">
        <f t="shared" si="129"/>
        <v/>
      </c>
      <c r="AL199" s="714"/>
      <c r="AM199" s="114" t="str">
        <f t="shared" si="130"/>
        <v/>
      </c>
      <c r="AN199" s="115"/>
      <c r="AO199" s="116"/>
      <c r="AP199" s="116"/>
      <c r="AQ199" s="116"/>
      <c r="AR199" s="116"/>
      <c r="AS199" s="116"/>
      <c r="AT199" s="116"/>
      <c r="AU199" s="116"/>
      <c r="AV199" s="78"/>
      <c r="AW199" s="102"/>
      <c r="AX199" s="78"/>
      <c r="AY199" s="78"/>
      <c r="AZ199" s="78"/>
      <c r="BA199" s="78"/>
      <c r="BB199" s="78"/>
      <c r="BC199" s="78"/>
      <c r="BD199" s="78"/>
      <c r="BE199" s="465"/>
      <c r="BF199" s="165" t="str">
        <f t="shared" si="131"/>
        <v>https://www.google.com/search?tbm=isch&amp;q=Acer%20palmatum%20%27Tobiosho%27%20Tobiosho%20Japanese%20Maple</v>
      </c>
      <c r="BG199" s="165" t="str">
        <f t="shared" si="132"/>
        <v>A</v>
      </c>
      <c r="BH199" s="65"/>
      <c r="BI199" s="65"/>
      <c r="BJ199" s="65"/>
      <c r="BK199" s="65"/>
      <c r="BL199" s="99"/>
      <c r="BM199" s="99"/>
      <c r="BN199" s="99"/>
    </row>
    <row r="200" spans="1:66" s="51" customFormat="1" ht="15.75" x14ac:dyDescent="0.25">
      <c r="A200" s="634">
        <v>7</v>
      </c>
      <c r="B200" s="635" t="s">
        <v>291</v>
      </c>
      <c r="C200" s="636" t="s">
        <v>1303</v>
      </c>
      <c r="D200" s="637" t="s">
        <v>299</v>
      </c>
      <c r="E200" s="638">
        <v>240.95</v>
      </c>
      <c r="F200" s="639" t="s">
        <v>292</v>
      </c>
      <c r="G200" s="484">
        <v>0</v>
      </c>
      <c r="H200" s="691" t="str">
        <f>IF(G200=0,"",IF(F200="Buy",IF(G200=1,"plant","plants"),IF(F200&gt;0.01,"warranty","Error")))</f>
        <v/>
      </c>
      <c r="I200" s="640">
        <f>IF(H200="free",0,IF(H200="credit",((E200*(F200))*G200*-1),IF(F200="Buy",(E200*G200),((E200*(1-F200))*G200))))</f>
        <v>0</v>
      </c>
      <c r="J200" s="640">
        <f>IF(H200="warranty",0,(I200*(_xlfn.SINGLE(SalesTaxPercentage))))</f>
        <v>0</v>
      </c>
      <c r="K200" s="716">
        <f t="shared" ref="K200" si="164">I200+J200</f>
        <v>0</v>
      </c>
      <c r="L200" s="716"/>
      <c r="M200" s="689" t="str">
        <f ca="1">IF(AND(G200&gt;0,E200=0),"WARNING - no PRICE inserted",IF(H200="free","FREE ~ no charge this plant",IF(H200="credit",CONCATENATE("-$",ROUND(K200*(1-_xlfn.SINGLE(T2GDiscount))*-1,2)," CREDIT after discount"),IF(_xlfn.SINGLE(T2GDiscount)=0,"",IF(G200=0,"",IF(F200="Buy",CONCATENATE("$",ROUND(K200*(1-_xlfn.SINGLE(T2GDiscount)),2)," with ",(_xlfn.SINGLE(T2GDiscount)*100),"% discount"),CONCATENATE("$",ROUND(K200*(1-_xlfn.SINGLE(T2GDiscount)),2)," with ",((_xlfn.SINGLE(T2GDiscount)*100+F200*100)-(_xlfn.SINGLE(T2GDiscount)*100*F200)),IF(F200&gt;0,"% discounts",IF(_xlfn.SINGLE(NoWarrantyDiscount)&gt;0,"% discounts","% discount")))))))))</f>
        <v/>
      </c>
      <c r="N200" s="690"/>
      <c r="O200" s="486"/>
      <c r="P200" s="486"/>
      <c r="Q200" s="486"/>
      <c r="R200" s="486"/>
      <c r="S200" s="486"/>
      <c r="T200" s="102">
        <f t="shared" si="120"/>
        <v>0</v>
      </c>
      <c r="U200" s="78">
        <f>IF(NOT(ISNUMBER(G200)), "", VLOOKUP(A200,'Discount Lookup'!D:E,2,FALSE)*G200)</f>
        <v>0</v>
      </c>
      <c r="V200" s="78">
        <f>IF(NOT(ISNUMBER(G200)), "", VLOOKUP(A200,'Discount Lookup'!G:H,2,FALSE)*G200)</f>
        <v>0</v>
      </c>
      <c r="W200" s="102">
        <f t="shared" si="121"/>
        <v>0</v>
      </c>
      <c r="X200" s="102">
        <f t="shared" si="122"/>
        <v>0</v>
      </c>
      <c r="Y200" s="120" t="b">
        <f t="shared" si="123"/>
        <v>0</v>
      </c>
      <c r="Z200" s="117">
        <f t="shared" si="124"/>
        <v>0</v>
      </c>
      <c r="AA200" s="118"/>
      <c r="AB200" s="118" t="str">
        <f t="shared" si="125"/>
        <v/>
      </c>
      <c r="AC200" s="712" t="str">
        <f>IF(AE200="T2G","no charge",IF(AND(OR(PlanterYesMe="No",PlanterYesMe="N",PlanterYesMe="me"),H200=""),"",IF(H200="credit","NO install",IF(AND(K200="",AE200="me"),"EACH row",IF(AND(K200="images",AE200="me"),"EACH row",IF(D200="","",IF(H200="credit","",IF(AE200="free","re-planting",IF(AE200="me","   not ELP, by",IF(AND(OR(PlanterYesMe="Yes",PlanterYesMe="Y"),G200&gt;0),(VLOOKUP(A200,'Discount Lookup'!J:K,2)*G200*(1-PlanterDiscount)*(1+PlanterDifficultyPercentage)),IF(AE200="ELP",(VLOOKUP(A200,'Discount Lookup'!J:K,2)*G200*(1-PlanterDiscount)*(1+PlanterDifficultyPercentage)),IF(AE200="free","re-planting",IF(G200=0,"",IF(PlanterYesMe="",IF(AE200="me","   not ELP, by",IF(AE200="",IF(G200&gt;0,(VLOOKUP(A200,'Discount Lookup'!J:K,2)*G200*(1-PlanterDiscount)*(1+PlanterDifficultyPercentage)),""),"")),"   not ELP, by"))))))))))))))</f>
        <v/>
      </c>
      <c r="AD200" s="712"/>
      <c r="AE200" s="513" t="str">
        <f t="shared" si="126"/>
        <v/>
      </c>
      <c r="AF200" s="713" t="str">
        <f t="shared" si="127"/>
        <v/>
      </c>
      <c r="AG200" s="713"/>
      <c r="AH200" s="713"/>
      <c r="AI200" s="112">
        <f>IF(H200="credit",0,IF(AE200="free",0,IF(AE200="me",0,IF(G200&gt;0,(VLOOKUP(A200,'Discount Lookup'!J:K,2)*G200),0))))</f>
        <v>0</v>
      </c>
      <c r="AJ200" s="107" t="str">
        <f t="shared" ca="1" si="128"/>
        <v/>
      </c>
      <c r="AK200" s="714" t="str">
        <f t="shared" si="129"/>
        <v/>
      </c>
      <c r="AL200" s="714"/>
      <c r="AM200" s="114" t="str">
        <f t="shared" si="130"/>
        <v/>
      </c>
      <c r="AN200" s="115"/>
      <c r="AO200" s="116"/>
      <c r="AP200" s="116"/>
      <c r="AQ200" s="116"/>
      <c r="AR200" s="116"/>
      <c r="AS200" s="116"/>
      <c r="AT200" s="116"/>
      <c r="AU200" s="116"/>
      <c r="AV200" s="78"/>
      <c r="AW200" s="102"/>
      <c r="AX200" s="78"/>
      <c r="AY200" s="78"/>
      <c r="AZ200" s="78"/>
      <c r="BA200" s="78"/>
      <c r="BB200" s="78"/>
      <c r="BC200" s="78"/>
      <c r="BD200" s="78"/>
      <c r="BE200" s="465"/>
      <c r="BF200" s="165" t="str">
        <f t="shared" si="131"/>
        <v>https://www.google.com/search?tbm=isch&amp;q=7%20G4</v>
      </c>
      <c r="BG200" s="165" t="str">
        <f t="shared" si="132"/>
        <v>A</v>
      </c>
      <c r="BH200" s="65"/>
      <c r="BI200" s="65"/>
      <c r="BJ200" s="65"/>
      <c r="BK200" s="65"/>
      <c r="BL200" s="99"/>
      <c r="BM200" s="99"/>
      <c r="BN200" s="99"/>
    </row>
    <row r="201" spans="1:66" s="51" customFormat="1" ht="15.75" x14ac:dyDescent="0.25">
      <c r="A201" s="634">
        <v>15</v>
      </c>
      <c r="B201" s="635" t="s">
        <v>291</v>
      </c>
      <c r="C201" s="636" t="s">
        <v>1304</v>
      </c>
      <c r="D201" s="637" t="s">
        <v>299</v>
      </c>
      <c r="E201" s="638">
        <v>408.95</v>
      </c>
      <c r="F201" s="639" t="s">
        <v>292</v>
      </c>
      <c r="G201" s="484">
        <v>0</v>
      </c>
      <c r="H201" s="691" t="str">
        <f>IF(G201=0,"",IF(F201="Buy",IF(G201=1,"plant","plants"),IF(F201&gt;0.01,"warranty","Error")))</f>
        <v/>
      </c>
      <c r="I201" s="640">
        <f>IF(H201="free",0,IF(H201="credit",((E201*(F201))*G201*-1),IF(F201="Buy",(E201*G201),((E201*(1-F201))*G201))))</f>
        <v>0</v>
      </c>
      <c r="J201" s="640">
        <f>IF(H201="warranty",0,(I201*(_xlfn.SINGLE(SalesTaxPercentage))))</f>
        <v>0</v>
      </c>
      <c r="K201" s="716">
        <f t="shared" ref="K201" si="165">I201+J201</f>
        <v>0</v>
      </c>
      <c r="L201" s="716"/>
      <c r="M201" s="689" t="str">
        <f ca="1">IF(AND(G201&gt;0,E201=0),"WARNING - no PRICE inserted",IF(H201="free","FREE ~ no charge this plant",IF(H201="credit",CONCATENATE("-$",ROUND(K201*(1-_xlfn.SINGLE(T2GDiscount))*-1,2)," CREDIT after discount"),IF(_xlfn.SINGLE(T2GDiscount)=0,"",IF(G201=0,"",IF(F201="Buy",CONCATENATE("$",ROUND(K201*(1-_xlfn.SINGLE(T2GDiscount)),2)," with ",(_xlfn.SINGLE(T2GDiscount)*100),"% discount"),CONCATENATE("$",ROUND(K201*(1-_xlfn.SINGLE(T2GDiscount)),2)," with ",((_xlfn.SINGLE(T2GDiscount)*100+F201*100)-(_xlfn.SINGLE(T2GDiscount)*100*F201)),IF(F201&gt;0,"% discounts",IF(_xlfn.SINGLE(NoWarrantyDiscount)&gt;0,"% discounts","% discount")))))))))</f>
        <v/>
      </c>
      <c r="N201" s="690"/>
      <c r="O201" s="486"/>
      <c r="P201" s="486"/>
      <c r="Q201" s="486"/>
      <c r="R201" s="486"/>
      <c r="S201" s="486"/>
      <c r="T201" s="102">
        <f t="shared" si="120"/>
        <v>0</v>
      </c>
      <c r="U201" s="78">
        <f>IF(NOT(ISNUMBER(G201)), "", VLOOKUP(A201,'Discount Lookup'!D:E,2,FALSE)*G201)</f>
        <v>0</v>
      </c>
      <c r="V201" s="78">
        <f>IF(NOT(ISNUMBER(G201)), "", VLOOKUP(A201,'Discount Lookup'!G:H,2,FALSE)*G201)</f>
        <v>0</v>
      </c>
      <c r="W201" s="102">
        <f t="shared" si="121"/>
        <v>0</v>
      </c>
      <c r="X201" s="102">
        <f t="shared" si="122"/>
        <v>0</v>
      </c>
      <c r="Y201" s="120" t="b">
        <f t="shared" si="123"/>
        <v>0</v>
      </c>
      <c r="Z201" s="117">
        <f t="shared" si="124"/>
        <v>0</v>
      </c>
      <c r="AA201" s="118"/>
      <c r="AB201" s="118" t="str">
        <f t="shared" si="125"/>
        <v/>
      </c>
      <c r="AC201" s="712" t="str">
        <f>IF(AE201="T2G","no charge",IF(AND(OR(PlanterYesMe="No",PlanterYesMe="N",PlanterYesMe="me"),H201=""),"",IF(H201="credit","NO install",IF(AND(K201="",AE201="me"),"EACH row",IF(AND(K201="images",AE201="me"),"EACH row",IF(D201="","",IF(H201="credit","",IF(AE201="free","re-planting",IF(AE201="me","   not ELP, by",IF(AND(OR(PlanterYesMe="Yes",PlanterYesMe="Y"),G201&gt;0),(VLOOKUP(A201,'Discount Lookup'!J:K,2)*G201*(1-PlanterDiscount)*(1+PlanterDifficultyPercentage)),IF(AE201="ELP",(VLOOKUP(A201,'Discount Lookup'!J:K,2)*G201*(1-PlanterDiscount)*(1+PlanterDifficultyPercentage)),IF(AE201="free","re-planting",IF(G201=0,"",IF(PlanterYesMe="",IF(AE201="me","   not ELP, by",IF(AE201="",IF(G201&gt;0,(VLOOKUP(A201,'Discount Lookup'!J:K,2)*G201*(1-PlanterDiscount)*(1+PlanterDifficultyPercentage)),""),"")),"   not ELP, by"))))))))))))))</f>
        <v/>
      </c>
      <c r="AD201" s="712"/>
      <c r="AE201" s="513" t="str">
        <f t="shared" si="126"/>
        <v/>
      </c>
      <c r="AF201" s="713" t="str">
        <f t="shared" si="127"/>
        <v/>
      </c>
      <c r="AG201" s="713"/>
      <c r="AH201" s="713"/>
      <c r="AI201" s="112">
        <f>IF(H201="credit",0,IF(AE201="free",0,IF(AE201="me",0,IF(G201&gt;0,(VLOOKUP(A201,'Discount Lookup'!J:K,2)*G201),0))))</f>
        <v>0</v>
      </c>
      <c r="AJ201" s="107" t="str">
        <f t="shared" ca="1" si="128"/>
        <v/>
      </c>
      <c r="AK201" s="714" t="str">
        <f t="shared" si="129"/>
        <v/>
      </c>
      <c r="AL201" s="714"/>
      <c r="AM201" s="114" t="str">
        <f t="shared" si="130"/>
        <v/>
      </c>
      <c r="AN201" s="115"/>
      <c r="AO201" s="116"/>
      <c r="AP201" s="116"/>
      <c r="AQ201" s="116"/>
      <c r="AR201" s="116"/>
      <c r="AS201" s="116"/>
      <c r="AT201" s="116"/>
      <c r="AU201" s="116"/>
      <c r="AV201" s="78"/>
      <c r="AW201" s="102"/>
      <c r="AX201" s="78"/>
      <c r="AY201" s="78"/>
      <c r="AZ201" s="78"/>
      <c r="BA201" s="78"/>
      <c r="BB201" s="78"/>
      <c r="BC201" s="78"/>
      <c r="BD201" s="78"/>
      <c r="BE201" s="465"/>
      <c r="BF201" s="165" t="str">
        <f t="shared" si="131"/>
        <v>https://www.google.com/search?tbm=isch&amp;q=15%20G4</v>
      </c>
      <c r="BG201" s="165" t="str">
        <f t="shared" si="132"/>
        <v>A</v>
      </c>
      <c r="BH201" s="65"/>
      <c r="BI201" s="65"/>
      <c r="BJ201" s="65"/>
      <c r="BK201" s="65"/>
      <c r="BL201" s="99"/>
      <c r="BM201" s="99"/>
      <c r="BN201" s="99"/>
    </row>
    <row r="202" spans="1:66" s="51" customFormat="1" ht="17.25" thickBot="1" x14ac:dyDescent="0.3">
      <c r="A202" s="641" t="s">
        <v>1305</v>
      </c>
      <c r="B202" s="642"/>
      <c r="C202" s="710"/>
      <c r="D202" s="643"/>
      <c r="E202" s="643"/>
      <c r="F202" s="644"/>
      <c r="G202" s="645"/>
      <c r="H202" s="646"/>
      <c r="I202" s="647"/>
      <c r="J202" s="648"/>
      <c r="K202" s="649"/>
      <c r="L202" s="650"/>
      <c r="M202" s="650"/>
      <c r="N202" s="644"/>
      <c r="O202" s="644"/>
      <c r="P202" s="644"/>
      <c r="Q202" s="644"/>
      <c r="R202" s="644"/>
      <c r="S202" s="651"/>
      <c r="T202" s="102">
        <f t="shared" si="120"/>
        <v>0</v>
      </c>
      <c r="U202" s="78" t="str">
        <f>IF(NOT(ISNUMBER(G202)), "", VLOOKUP(A202,'Discount Lookup'!D:E,2,FALSE)*G202)</f>
        <v/>
      </c>
      <c r="V202" s="78" t="str">
        <f>IF(NOT(ISNUMBER(G202)), "", VLOOKUP(A202,'Discount Lookup'!G:H,2,FALSE)*G202)</f>
        <v/>
      </c>
      <c r="W202" s="102">
        <f t="shared" si="121"/>
        <v>0</v>
      </c>
      <c r="X202" s="102">
        <f t="shared" si="122"/>
        <v>0</v>
      </c>
      <c r="Y202" s="120" t="b">
        <f t="shared" si="123"/>
        <v>0</v>
      </c>
      <c r="Z202" s="117">
        <f t="shared" si="124"/>
        <v>0</v>
      </c>
      <c r="AA202" s="118"/>
      <c r="AB202" s="118" t="str">
        <f t="shared" si="125"/>
        <v/>
      </c>
      <c r="AC202" s="712" t="str">
        <f>IF(AE202="T2G","no charge",IF(AND(OR(PlanterYesMe="No",PlanterYesMe="N",PlanterYesMe="me"),H202=""),"",IF(H202="credit","NO install",IF(AND(K202="",AE202="me"),"EACH row",IF(AND(K202="images",AE202="me"),"EACH row",IF(D202="","",IF(H202="credit","",IF(AE202="free","re-planting",IF(AE202="me","   not ELP, by",IF(AND(OR(PlanterYesMe="Yes",PlanterYesMe="Y"),G202&gt;0),(VLOOKUP(A202,'Discount Lookup'!J:K,2)*G202*(1-PlanterDiscount)*(1+PlanterDifficultyPercentage)),IF(AE202="ELP",(VLOOKUP(A202,'Discount Lookup'!J:K,2)*G202*(1-PlanterDiscount)*(1+PlanterDifficultyPercentage)),IF(AE202="free","re-planting",IF(G202=0,"",IF(PlanterYesMe="",IF(AE202="me","   not ELP, by",IF(AE202="",IF(G202&gt;0,(VLOOKUP(A202,'Discount Lookup'!J:K,2)*G202*(1-PlanterDiscount)*(1+PlanterDifficultyPercentage)),""),"")),"   not ELP, by"))))))))))))))</f>
        <v/>
      </c>
      <c r="AD202" s="712"/>
      <c r="AE202" s="513" t="str">
        <f t="shared" si="126"/>
        <v/>
      </c>
      <c r="AF202" s="713" t="str">
        <f t="shared" si="127"/>
        <v/>
      </c>
      <c r="AG202" s="713"/>
      <c r="AH202" s="713"/>
      <c r="AI202" s="112">
        <f>IF(H202="credit",0,IF(AE202="free",0,IF(AE202="me",0,IF(G202&gt;0,(VLOOKUP(A202,'Discount Lookup'!J:K,2)*G202),0))))</f>
        <v>0</v>
      </c>
      <c r="AJ202" s="107" t="str">
        <f t="shared" ca="1" si="128"/>
        <v/>
      </c>
      <c r="AK202" s="714" t="str">
        <f t="shared" si="129"/>
        <v/>
      </c>
      <c r="AL202" s="714"/>
      <c r="AM202" s="114" t="str">
        <f t="shared" si="130"/>
        <v/>
      </c>
      <c r="AN202" s="115"/>
      <c r="AO202" s="116"/>
      <c r="AP202" s="116"/>
      <c r="AQ202" s="116"/>
      <c r="AR202" s="116"/>
      <c r="AS202" s="116"/>
      <c r="AT202" s="116"/>
      <c r="AU202" s="116"/>
      <c r="AV202" s="78"/>
      <c r="AW202" s="102"/>
      <c r="AX202" s="78"/>
      <c r="AY202" s="78"/>
      <c r="AZ202" s="78"/>
      <c r="BA202" s="78"/>
      <c r="BB202" s="78"/>
      <c r="BC202" s="78"/>
      <c r="BD202" s="78"/>
      <c r="BE202" s="465"/>
      <c r="BF202" s="165" t="str">
        <f t="shared" si="131"/>
        <v>https://www.google.com/search?tbm=isch&amp;q=Tobiosho%20is%20a%20fast%20grower%20with%20vibrant%20green%20foliage%20that%20transforms%20into%20brilliant%20gold%20and%20orange%20in%20the%20fall%20</v>
      </c>
      <c r="BG202" s="165" t="str">
        <f t="shared" si="132"/>
        <v>T</v>
      </c>
      <c r="BH202" s="65"/>
      <c r="BI202" s="65"/>
      <c r="BJ202" s="65"/>
      <c r="BK202" s="65"/>
      <c r="BL202" s="99"/>
      <c r="BM202" s="99"/>
      <c r="BN202" s="99"/>
    </row>
    <row r="203" spans="1:66" s="51" customFormat="1" ht="18" x14ac:dyDescent="0.25">
      <c r="A203" s="623" t="s">
        <v>1306</v>
      </c>
      <c r="B203" s="624"/>
      <c r="C203" s="709"/>
      <c r="D203" s="625" t="s">
        <v>1307</v>
      </c>
      <c r="E203" s="626"/>
      <c r="F203" s="626"/>
      <c r="G203" s="626"/>
      <c r="H203" s="622" t="s">
        <v>1308</v>
      </c>
      <c r="I203" s="627" t="s">
        <v>440</v>
      </c>
      <c r="J203" s="628"/>
      <c r="K203" s="628"/>
      <c r="L203" s="629"/>
      <c r="M203" s="700" t="s">
        <v>5249</v>
      </c>
      <c r="N203" s="693" t="str">
        <f>IF(AND(ISTEXT($A203), ISERROR($A203+0)), HYPERLINK($BF203, "Images"), "")</f>
        <v>Images</v>
      </c>
      <c r="O203" s="695" t="s">
        <v>5247</v>
      </c>
      <c r="P203" s="630"/>
      <c r="Q203" s="631"/>
      <c r="R203" s="632"/>
      <c r="S203" s="633"/>
      <c r="T203" s="102">
        <f t="shared" si="120"/>
        <v>0</v>
      </c>
      <c r="U203" s="78" t="str">
        <f>IF(NOT(ISNUMBER(G203)), "", VLOOKUP(A203,'Discount Lookup'!D:E,2,FALSE)*G203)</f>
        <v/>
      </c>
      <c r="V203" s="78" t="str">
        <f>IF(NOT(ISNUMBER(G203)), "", VLOOKUP(A203,'Discount Lookup'!G:H,2,FALSE)*G203)</f>
        <v/>
      </c>
      <c r="W203" s="102">
        <f t="shared" si="121"/>
        <v>0</v>
      </c>
      <c r="X203" s="102" t="str">
        <f t="shared" si="122"/>
        <v>Rich Green foliage</v>
      </c>
      <c r="Y203" s="120" t="b">
        <f t="shared" si="123"/>
        <v>0</v>
      </c>
      <c r="Z203" s="117">
        <f t="shared" si="124"/>
        <v>0</v>
      </c>
      <c r="AA203" s="118"/>
      <c r="AB203" s="118" t="str">
        <f t="shared" si="125"/>
        <v/>
      </c>
      <c r="AC203" s="712" t="str">
        <f>IF(AE203="T2G","no charge",IF(AND(OR(PlanterYesMe="No",PlanterYesMe="N",PlanterYesMe="me"),H203=""),"",IF(H203="credit","NO install",IF(AND(K203="",AE203="me"),"EACH row",IF(AND(K203="images",AE203="me"),"EACH row",IF(D203="","",IF(H203="credit","",IF(AE203="free","re-planting",IF(AE203="me","   not ELP, by",IF(AND(OR(PlanterYesMe="Yes",PlanterYesMe="Y"),G203&gt;0),(VLOOKUP(A203,'Discount Lookup'!J:K,2)*G203*(1-PlanterDiscount)*(1+PlanterDifficultyPercentage)),IF(AE203="ELP",(VLOOKUP(A203,'Discount Lookup'!J:K,2)*G203*(1-PlanterDiscount)*(1+PlanterDifficultyPercentage)),IF(AE203="free","re-planting",IF(G203=0,"",IF(PlanterYesMe="",IF(AE203="me","   not ELP, by",IF(AE203="",IF(G203&gt;0,(VLOOKUP(A203,'Discount Lookup'!J:K,2)*G203*(1-PlanterDiscount)*(1+PlanterDifficultyPercentage)),""),"")),"   not ELP, by"))))))))))))))</f>
        <v/>
      </c>
      <c r="AD203" s="712"/>
      <c r="AE203" s="513" t="str">
        <f t="shared" si="126"/>
        <v/>
      </c>
      <c r="AF203" s="713" t="str">
        <f t="shared" si="127"/>
        <v/>
      </c>
      <c r="AG203" s="713"/>
      <c r="AH203" s="713"/>
      <c r="AI203" s="112">
        <f>IF(H203="credit",0,IF(AE203="free",0,IF(AE203="me",0,IF(G203&gt;0,(VLOOKUP(A203,'Discount Lookup'!J:K,2)*G203),0))))</f>
        <v>0</v>
      </c>
      <c r="AJ203" s="107" t="str">
        <f t="shared" ca="1" si="128"/>
        <v/>
      </c>
      <c r="AK203" s="714" t="str">
        <f t="shared" si="129"/>
        <v/>
      </c>
      <c r="AL203" s="714"/>
      <c r="AM203" s="114" t="str">
        <f t="shared" si="130"/>
        <v/>
      </c>
      <c r="AN203" s="115"/>
      <c r="AO203" s="116"/>
      <c r="AP203" s="116"/>
      <c r="AQ203" s="116"/>
      <c r="AR203" s="116"/>
      <c r="AS203" s="116"/>
      <c r="AT203" s="116"/>
      <c r="AU203" s="116"/>
      <c r="AV203" s="78"/>
      <c r="AW203" s="102"/>
      <c r="AX203" s="78"/>
      <c r="AY203" s="78"/>
      <c r="AZ203" s="78"/>
      <c r="BA203" s="78"/>
      <c r="BB203" s="78"/>
      <c r="BC203" s="78"/>
      <c r="BD203" s="78"/>
      <c r="BE203" s="465"/>
      <c r="BF203" s="165" t="str">
        <f t="shared" si="131"/>
        <v>https://www.google.com/search?tbm=isch&amp;q=Acer%20palmatum%20%27Tsukasa%20Silhouette%27%20Tsukasa%20Silhouette%20Japanese%20Maple</v>
      </c>
      <c r="BG203" s="165" t="str">
        <f t="shared" si="132"/>
        <v>A</v>
      </c>
      <c r="BH203" s="65"/>
      <c r="BI203" s="65"/>
      <c r="BJ203" s="65"/>
      <c r="BK203" s="65"/>
      <c r="BL203" s="99"/>
      <c r="BM203" s="99"/>
      <c r="BN203" s="99"/>
    </row>
    <row r="204" spans="1:66" s="51" customFormat="1" ht="27" x14ac:dyDescent="0.25">
      <c r="A204" s="634">
        <v>7</v>
      </c>
      <c r="B204" s="635" t="s">
        <v>291</v>
      </c>
      <c r="C204" s="636" t="s">
        <v>1309</v>
      </c>
      <c r="D204" s="637" t="s">
        <v>299</v>
      </c>
      <c r="E204" s="638">
        <v>215.95</v>
      </c>
      <c r="F204" s="639" t="s">
        <v>292</v>
      </c>
      <c r="G204" s="484">
        <v>0</v>
      </c>
      <c r="H204" s="691" t="str">
        <f>IF(G204=0,"",IF(F204="Buy",IF(G204=1,"plant","plants"),IF(F204&gt;0.01,"warranty","Error")))</f>
        <v/>
      </c>
      <c r="I204" s="640">
        <f>IF(H204="free",0,IF(H204="credit",((E204*(F204))*G204*-1),IF(F204="Buy",(E204*G204),((E204*(1-F204))*G204))))</f>
        <v>0</v>
      </c>
      <c r="J204" s="640">
        <f>IF(H204="warranty",0,(I204*(_xlfn.SINGLE(SalesTaxPercentage))))</f>
        <v>0</v>
      </c>
      <c r="K204" s="716">
        <f t="shared" ref="K204" si="166">I204+J204</f>
        <v>0</v>
      </c>
      <c r="L204" s="716"/>
      <c r="M204" s="689" t="str">
        <f ca="1">IF(AND(G204&gt;0,E204=0),"WARNING - no PRICE inserted",IF(H204="free","FREE ~ no charge this plant",IF(H204="credit",CONCATENATE("-$",ROUND(K204*(1-_xlfn.SINGLE(T2GDiscount))*-1,2)," CREDIT after discount"),IF(_xlfn.SINGLE(T2GDiscount)=0,"",IF(G204=0,"",IF(F204="Buy",CONCATENATE("$",ROUND(K204*(1-_xlfn.SINGLE(T2GDiscount)),2)," with ",(_xlfn.SINGLE(T2GDiscount)*100),"% discount"),CONCATENATE("$",ROUND(K204*(1-_xlfn.SINGLE(T2GDiscount)),2)," with ",((_xlfn.SINGLE(T2GDiscount)*100+F204*100)-(_xlfn.SINGLE(T2GDiscount)*100*F204)),IF(F204&gt;0,"% discounts",IF(_xlfn.SINGLE(NoWarrantyDiscount)&gt;0,"% discounts","% discount")))))))))</f>
        <v/>
      </c>
      <c r="N204" s="690"/>
      <c r="O204" s="486"/>
      <c r="P204" s="486"/>
      <c r="Q204" s="486"/>
      <c r="R204" s="486"/>
      <c r="S204" s="486"/>
      <c r="T204" s="102">
        <f t="shared" si="120"/>
        <v>0</v>
      </c>
      <c r="U204" s="78">
        <f>IF(NOT(ISNUMBER(G204)), "", VLOOKUP(A204,'Discount Lookup'!D:E,2,FALSE)*G204)</f>
        <v>0</v>
      </c>
      <c r="V204" s="78">
        <f>IF(NOT(ISNUMBER(G204)), "", VLOOKUP(A204,'Discount Lookup'!G:H,2,FALSE)*G204)</f>
        <v>0</v>
      </c>
      <c r="W204" s="102">
        <f t="shared" si="121"/>
        <v>0</v>
      </c>
      <c r="X204" s="102">
        <f t="shared" si="122"/>
        <v>0</v>
      </c>
      <c r="Y204" s="120" t="b">
        <f t="shared" si="123"/>
        <v>0</v>
      </c>
      <c r="Z204" s="117">
        <f t="shared" si="124"/>
        <v>0</v>
      </c>
      <c r="AA204" s="118"/>
      <c r="AB204" s="118" t="str">
        <f t="shared" si="125"/>
        <v/>
      </c>
      <c r="AC204" s="712" t="str">
        <f>IF(AE204="T2G","no charge",IF(AND(OR(PlanterYesMe="No",PlanterYesMe="N",PlanterYesMe="me"),H204=""),"",IF(H204="credit","NO install",IF(AND(K204="",AE204="me"),"EACH row",IF(AND(K204="images",AE204="me"),"EACH row",IF(D204="","",IF(H204="credit","",IF(AE204="free","re-planting",IF(AE204="me","   not ELP, by",IF(AND(OR(PlanterYesMe="Yes",PlanterYesMe="Y"),G204&gt;0),(VLOOKUP(A204,'Discount Lookup'!J:K,2)*G204*(1-PlanterDiscount)*(1+PlanterDifficultyPercentage)),IF(AE204="ELP",(VLOOKUP(A204,'Discount Lookup'!J:K,2)*G204*(1-PlanterDiscount)*(1+PlanterDifficultyPercentage)),IF(AE204="free","re-planting",IF(G204=0,"",IF(PlanterYesMe="",IF(AE204="me","   not ELP, by",IF(AE204="",IF(G204&gt;0,(VLOOKUP(A204,'Discount Lookup'!J:K,2)*G204*(1-PlanterDiscount)*(1+PlanterDifficultyPercentage)),""),"")),"   not ELP, by"))))))))))))))</f>
        <v/>
      </c>
      <c r="AD204" s="712"/>
      <c r="AE204" s="513" t="str">
        <f t="shared" si="126"/>
        <v/>
      </c>
      <c r="AF204" s="713" t="str">
        <f t="shared" si="127"/>
        <v/>
      </c>
      <c r="AG204" s="713"/>
      <c r="AH204" s="713"/>
      <c r="AI204" s="112">
        <f>IF(H204="credit",0,IF(AE204="free",0,IF(AE204="me",0,IF(G204&gt;0,(VLOOKUP(A204,'Discount Lookup'!J:K,2)*G204),0))))</f>
        <v>0</v>
      </c>
      <c r="AJ204" s="107" t="str">
        <f t="shared" ca="1" si="128"/>
        <v/>
      </c>
      <c r="AK204" s="714" t="str">
        <f t="shared" si="129"/>
        <v/>
      </c>
      <c r="AL204" s="714"/>
      <c r="AM204" s="114" t="str">
        <f t="shared" si="130"/>
        <v/>
      </c>
      <c r="AN204" s="115"/>
      <c r="AO204" s="116"/>
      <c r="AP204" s="116"/>
      <c r="AQ204" s="116"/>
      <c r="AR204" s="116"/>
      <c r="AS204" s="116"/>
      <c r="AT204" s="116"/>
      <c r="AU204" s="116"/>
      <c r="AV204" s="78"/>
      <c r="AW204" s="102"/>
      <c r="AX204" s="78"/>
      <c r="AY204" s="78"/>
      <c r="AZ204" s="78"/>
      <c r="BA204" s="78"/>
      <c r="BB204" s="78"/>
      <c r="BC204" s="78"/>
      <c r="BD204" s="78"/>
      <c r="BE204" s="465"/>
      <c r="BF204" s="165" t="str">
        <f t="shared" si="131"/>
        <v>https://www.google.com/search?tbm=isch&amp;q=7%20G4</v>
      </c>
      <c r="BG204" s="165" t="str">
        <f t="shared" si="132"/>
        <v>A</v>
      </c>
      <c r="BH204" s="65"/>
      <c r="BI204" s="65"/>
      <c r="BJ204" s="65"/>
      <c r="BK204" s="65"/>
      <c r="BL204" s="99"/>
      <c r="BM204" s="99"/>
      <c r="BN204" s="99"/>
    </row>
    <row r="205" spans="1:66" s="51" customFormat="1" ht="15.75" x14ac:dyDescent="0.25">
      <c r="A205" s="634">
        <v>25</v>
      </c>
      <c r="B205" s="635" t="s">
        <v>291</v>
      </c>
      <c r="C205" s="636" t="s">
        <v>1310</v>
      </c>
      <c r="D205" s="637" t="s">
        <v>299</v>
      </c>
      <c r="E205" s="638">
        <v>790.95</v>
      </c>
      <c r="F205" s="639" t="s">
        <v>292</v>
      </c>
      <c r="G205" s="484">
        <v>0</v>
      </c>
      <c r="H205" s="691" t="str">
        <f>IF(G205=0,"",IF(F205="Buy",IF(G205=1,"plant","plants"),IF(F205&gt;0.01,"warranty","Error")))</f>
        <v/>
      </c>
      <c r="I205" s="640">
        <f>IF(H205="free",0,IF(H205="credit",((E205*(F205))*G205*-1),IF(F205="Buy",(E205*G205),((E205*(1-F205))*G205))))</f>
        <v>0</v>
      </c>
      <c r="J205" s="640">
        <f>IF(H205="warranty",0,(I205*(_xlfn.SINGLE(SalesTaxPercentage))))</f>
        <v>0</v>
      </c>
      <c r="K205" s="716">
        <f t="shared" ref="K205" si="167">I205+J205</f>
        <v>0</v>
      </c>
      <c r="L205" s="716"/>
      <c r="M205" s="689" t="str">
        <f ca="1">IF(AND(G205&gt;0,E205=0),"WARNING - no PRICE inserted",IF(H205="free","FREE ~ no charge this plant",IF(H205="credit",CONCATENATE("-$",ROUND(K205*(1-_xlfn.SINGLE(T2GDiscount))*-1,2)," CREDIT after discount"),IF(_xlfn.SINGLE(T2GDiscount)=0,"",IF(G205=0,"",IF(F205="Buy",CONCATENATE("$",ROUND(K205*(1-_xlfn.SINGLE(T2GDiscount)),2)," with ",(_xlfn.SINGLE(T2GDiscount)*100),"% discount"),CONCATENATE("$",ROUND(K205*(1-_xlfn.SINGLE(T2GDiscount)),2)," with ",((_xlfn.SINGLE(T2GDiscount)*100+F205*100)-(_xlfn.SINGLE(T2GDiscount)*100*F205)),IF(F205&gt;0,"% discounts",IF(_xlfn.SINGLE(NoWarrantyDiscount)&gt;0,"% discounts","% discount")))))))))</f>
        <v/>
      </c>
      <c r="N205" s="690"/>
      <c r="O205" s="486"/>
      <c r="P205" s="486"/>
      <c r="Q205" s="486"/>
      <c r="R205" s="486"/>
      <c r="S205" s="486"/>
      <c r="T205" s="102">
        <f t="shared" si="120"/>
        <v>0</v>
      </c>
      <c r="U205" s="78">
        <f>IF(NOT(ISNUMBER(G205)), "", VLOOKUP(A205,'Discount Lookup'!D:E,2,FALSE)*G205)</f>
        <v>0</v>
      </c>
      <c r="V205" s="78">
        <f>IF(NOT(ISNUMBER(G205)), "", VLOOKUP(A205,'Discount Lookup'!G:H,2,FALSE)*G205)</f>
        <v>0</v>
      </c>
      <c r="W205" s="102">
        <f t="shared" si="121"/>
        <v>0</v>
      </c>
      <c r="X205" s="102">
        <f t="shared" si="122"/>
        <v>0</v>
      </c>
      <c r="Y205" s="120" t="b">
        <f t="shared" si="123"/>
        <v>0</v>
      </c>
      <c r="Z205" s="117">
        <f t="shared" si="124"/>
        <v>0</v>
      </c>
      <c r="AA205" s="118"/>
      <c r="AB205" s="118" t="str">
        <f t="shared" si="125"/>
        <v/>
      </c>
      <c r="AC205" s="712" t="str">
        <f>IF(AE205="T2G","no charge",IF(AND(OR(PlanterYesMe="No",PlanterYesMe="N",PlanterYesMe="me"),H205=""),"",IF(H205="credit","NO install",IF(AND(K205="",AE205="me"),"EACH row",IF(AND(K205="images",AE205="me"),"EACH row",IF(D205="","",IF(H205="credit","",IF(AE205="free","re-planting",IF(AE205="me","   not ELP, by",IF(AND(OR(PlanterYesMe="Yes",PlanterYesMe="Y"),G205&gt;0),(VLOOKUP(A205,'Discount Lookup'!J:K,2)*G205*(1-PlanterDiscount)*(1+PlanterDifficultyPercentage)),IF(AE205="ELP",(VLOOKUP(A205,'Discount Lookup'!J:K,2)*G205*(1-PlanterDiscount)*(1+PlanterDifficultyPercentage)),IF(AE205="free","re-planting",IF(G205=0,"",IF(PlanterYesMe="",IF(AE205="me","   not ELP, by",IF(AE205="",IF(G205&gt;0,(VLOOKUP(A205,'Discount Lookup'!J:K,2)*G205*(1-PlanterDiscount)*(1+PlanterDifficultyPercentage)),""),"")),"   not ELP, by"))))))))))))))</f>
        <v/>
      </c>
      <c r="AD205" s="712"/>
      <c r="AE205" s="513" t="str">
        <f t="shared" si="126"/>
        <v/>
      </c>
      <c r="AF205" s="713" t="str">
        <f t="shared" si="127"/>
        <v/>
      </c>
      <c r="AG205" s="713"/>
      <c r="AH205" s="713"/>
      <c r="AI205" s="112">
        <f>IF(H205="credit",0,IF(AE205="free",0,IF(AE205="me",0,IF(G205&gt;0,(VLOOKUP(A205,'Discount Lookup'!J:K,2)*G205),0))))</f>
        <v>0</v>
      </c>
      <c r="AJ205" s="107" t="str">
        <f t="shared" ca="1" si="128"/>
        <v/>
      </c>
      <c r="AK205" s="714" t="str">
        <f t="shared" si="129"/>
        <v/>
      </c>
      <c r="AL205" s="714"/>
      <c r="AM205" s="114" t="str">
        <f t="shared" si="130"/>
        <v/>
      </c>
      <c r="AN205" s="115"/>
      <c r="AO205" s="116"/>
      <c r="AP205" s="116"/>
      <c r="AQ205" s="116"/>
      <c r="AR205" s="116"/>
      <c r="AS205" s="116"/>
      <c r="AT205" s="116"/>
      <c r="AU205" s="116"/>
      <c r="AV205" s="78"/>
      <c r="AW205" s="102"/>
      <c r="AX205" s="78"/>
      <c r="AY205" s="78"/>
      <c r="AZ205" s="78"/>
      <c r="BA205" s="78"/>
      <c r="BB205" s="78"/>
      <c r="BC205" s="78"/>
      <c r="BD205" s="78"/>
      <c r="BE205" s="465"/>
      <c r="BF205" s="165" t="str">
        <f t="shared" si="131"/>
        <v>https://www.google.com/search?tbm=isch&amp;q=25%20G4</v>
      </c>
      <c r="BG205" s="165" t="str">
        <f t="shared" si="132"/>
        <v>A</v>
      </c>
      <c r="BH205" s="65"/>
      <c r="BI205" s="65"/>
      <c r="BJ205" s="65"/>
      <c r="BK205" s="65"/>
      <c r="BL205" s="99"/>
      <c r="BM205" s="99"/>
      <c r="BN205" s="99"/>
    </row>
    <row r="206" spans="1:66" s="51" customFormat="1" ht="17.25" thickBot="1" x14ac:dyDescent="0.3">
      <c r="A206" s="641" t="s">
        <v>1311</v>
      </c>
      <c r="B206" s="642"/>
      <c r="C206" s="710"/>
      <c r="D206" s="643"/>
      <c r="E206" s="643"/>
      <c r="F206" s="644"/>
      <c r="G206" s="645"/>
      <c r="H206" s="646"/>
      <c r="I206" s="647"/>
      <c r="J206" s="648"/>
      <c r="K206" s="649"/>
      <c r="L206" s="650"/>
      <c r="M206" s="650"/>
      <c r="N206" s="644"/>
      <c r="O206" s="644"/>
      <c r="P206" s="644"/>
      <c r="Q206" s="644"/>
      <c r="R206" s="644"/>
      <c r="S206" s="651"/>
      <c r="T206" s="102">
        <f t="shared" si="120"/>
        <v>0</v>
      </c>
      <c r="U206" s="78" t="str">
        <f>IF(NOT(ISNUMBER(G206)), "", VLOOKUP(A206,'Discount Lookup'!D:E,2,FALSE)*G206)</f>
        <v/>
      </c>
      <c r="V206" s="78" t="str">
        <f>IF(NOT(ISNUMBER(G206)), "", VLOOKUP(A206,'Discount Lookup'!G:H,2,FALSE)*G206)</f>
        <v/>
      </c>
      <c r="W206" s="102">
        <f t="shared" si="121"/>
        <v>0</v>
      </c>
      <c r="X206" s="102">
        <f t="shared" si="122"/>
        <v>0</v>
      </c>
      <c r="Y206" s="120" t="b">
        <f t="shared" si="123"/>
        <v>0</v>
      </c>
      <c r="Z206" s="117">
        <f t="shared" si="124"/>
        <v>0</v>
      </c>
      <c r="AA206" s="118"/>
      <c r="AB206" s="118" t="str">
        <f t="shared" si="125"/>
        <v/>
      </c>
      <c r="AC206" s="712" t="str">
        <f>IF(AE206="T2G","no charge",IF(AND(OR(PlanterYesMe="No",PlanterYesMe="N",PlanterYesMe="me"),H206=""),"",IF(H206="credit","NO install",IF(AND(K206="",AE206="me"),"EACH row",IF(AND(K206="images",AE206="me"),"EACH row",IF(D206="","",IF(H206="credit","",IF(AE206="free","re-planting",IF(AE206="me","   not ELP, by",IF(AND(OR(PlanterYesMe="Yes",PlanterYesMe="Y"),G206&gt;0),(VLOOKUP(A206,'Discount Lookup'!J:K,2)*G206*(1-PlanterDiscount)*(1+PlanterDifficultyPercentage)),IF(AE206="ELP",(VLOOKUP(A206,'Discount Lookup'!J:K,2)*G206*(1-PlanterDiscount)*(1+PlanterDifficultyPercentage)),IF(AE206="free","re-planting",IF(G206=0,"",IF(PlanterYesMe="",IF(AE206="me","   not ELP, by",IF(AE206="",IF(G206&gt;0,(VLOOKUP(A206,'Discount Lookup'!J:K,2)*G206*(1-PlanterDiscount)*(1+PlanterDifficultyPercentage)),""),"")),"   not ELP, by"))))))))))))))</f>
        <v/>
      </c>
      <c r="AD206" s="712"/>
      <c r="AE206" s="513" t="str">
        <f t="shared" si="126"/>
        <v/>
      </c>
      <c r="AF206" s="713" t="str">
        <f t="shared" si="127"/>
        <v/>
      </c>
      <c r="AG206" s="713"/>
      <c r="AH206" s="713"/>
      <c r="AI206" s="112">
        <f>IF(H206="credit",0,IF(AE206="free",0,IF(AE206="me",0,IF(G206&gt;0,(VLOOKUP(A206,'Discount Lookup'!J:K,2)*G206),0))))</f>
        <v>0</v>
      </c>
      <c r="AJ206" s="107" t="str">
        <f t="shared" ca="1" si="128"/>
        <v/>
      </c>
      <c r="AK206" s="714" t="str">
        <f t="shared" si="129"/>
        <v/>
      </c>
      <c r="AL206" s="714"/>
      <c r="AM206" s="114" t="str">
        <f t="shared" si="130"/>
        <v/>
      </c>
      <c r="AN206" s="115"/>
      <c r="AO206" s="116"/>
      <c r="AP206" s="116"/>
      <c r="AQ206" s="116"/>
      <c r="AR206" s="116"/>
      <c r="AS206" s="116"/>
      <c r="AT206" s="116"/>
      <c r="AU206" s="116"/>
      <c r="AV206" s="78"/>
      <c r="AW206" s="102"/>
      <c r="AX206" s="78"/>
      <c r="AY206" s="78"/>
      <c r="AZ206" s="78"/>
      <c r="BA206" s="78"/>
      <c r="BB206" s="78"/>
      <c r="BC206" s="78"/>
      <c r="BD206" s="78"/>
      <c r="BE206" s="465"/>
      <c r="BF206" s="165" t="str">
        <f t="shared" si="131"/>
        <v>https://www.google.com/search?tbm=isch&amp;q=Tsukasa%20foliage%20emerges%20bright%20Chartreuse%20with%20Pink%20edges.%20Good%20resistance%20to%20leaf%20scorch.%20Turns%20Crimson%20to%20Orange-Red%20in%20fall%20</v>
      </c>
      <c r="BG206" s="165" t="str">
        <f t="shared" si="132"/>
        <v>T</v>
      </c>
      <c r="BH206" s="65"/>
      <c r="BI206" s="65"/>
      <c r="BJ206" s="65"/>
      <c r="BK206" s="65"/>
      <c r="BL206" s="99"/>
      <c r="BM206" s="99"/>
      <c r="BN206" s="99"/>
    </row>
    <row r="207" spans="1:66" s="51" customFormat="1" ht="18" x14ac:dyDescent="0.25">
      <c r="A207" s="623" t="s">
        <v>1312</v>
      </c>
      <c r="B207" s="624"/>
      <c r="C207" s="709"/>
      <c r="D207" s="625" t="s">
        <v>1313</v>
      </c>
      <c r="E207" s="626"/>
      <c r="F207" s="626"/>
      <c r="G207" s="626"/>
      <c r="H207" s="622" t="s">
        <v>339</v>
      </c>
      <c r="I207" s="627" t="s">
        <v>1314</v>
      </c>
      <c r="J207" s="628"/>
      <c r="K207" s="628"/>
      <c r="L207" s="629"/>
      <c r="M207" s="700" t="s">
        <v>5249</v>
      </c>
      <c r="N207" s="693" t="str">
        <f>IF(AND(ISTEXT($A207), ISERROR($A207+0)), HYPERLINK($BF207, "Images"), "")</f>
        <v>Images</v>
      </c>
      <c r="O207" s="695" t="s">
        <v>5247</v>
      </c>
      <c r="P207" s="630"/>
      <c r="Q207" s="631"/>
      <c r="R207" s="632"/>
      <c r="S207" s="633"/>
      <c r="T207" s="102">
        <f t="shared" si="120"/>
        <v>0</v>
      </c>
      <c r="U207" s="78" t="str">
        <f>IF(NOT(ISNUMBER(G207)), "", VLOOKUP(A207,'Discount Lookup'!D:E,2,FALSE)*G207)</f>
        <v/>
      </c>
      <c r="V207" s="78" t="str">
        <f>IF(NOT(ISNUMBER(G207)), "", VLOOKUP(A207,'Discount Lookup'!G:H,2,FALSE)*G207)</f>
        <v/>
      </c>
      <c r="W207" s="102">
        <f t="shared" si="121"/>
        <v>0</v>
      </c>
      <c r="X207" s="102" t="str">
        <f t="shared" si="122"/>
        <v>Deep Burgundy foliage</v>
      </c>
      <c r="Y207" s="120" t="b">
        <f t="shared" si="123"/>
        <v>0</v>
      </c>
      <c r="Z207" s="117">
        <f t="shared" si="124"/>
        <v>0</v>
      </c>
      <c r="AA207" s="118"/>
      <c r="AB207" s="118" t="str">
        <f t="shared" si="125"/>
        <v/>
      </c>
      <c r="AC207" s="712" t="str">
        <f>IF(AE207="T2G","no charge",IF(AND(OR(PlanterYesMe="No",PlanterYesMe="N",PlanterYesMe="me"),H207=""),"",IF(H207="credit","NO install",IF(AND(K207="",AE207="me"),"EACH row",IF(AND(K207="images",AE207="me"),"EACH row",IF(D207="","",IF(H207="credit","",IF(AE207="free","re-planting",IF(AE207="me","   not ELP, by",IF(AND(OR(PlanterYesMe="Yes",PlanterYesMe="Y"),G207&gt;0),(VLOOKUP(A207,'Discount Lookup'!J:K,2)*G207*(1-PlanterDiscount)*(1+PlanterDifficultyPercentage)),IF(AE207="ELP",(VLOOKUP(A207,'Discount Lookup'!J:K,2)*G207*(1-PlanterDiscount)*(1+PlanterDifficultyPercentage)),IF(AE207="free","re-planting",IF(G207=0,"",IF(PlanterYesMe="",IF(AE207="me","   not ELP, by",IF(AE207="",IF(G207&gt;0,(VLOOKUP(A207,'Discount Lookup'!J:K,2)*G207*(1-PlanterDiscount)*(1+PlanterDifficultyPercentage)),""),"")),"   not ELP, by"))))))))))))))</f>
        <v/>
      </c>
      <c r="AD207" s="712"/>
      <c r="AE207" s="513" t="str">
        <f t="shared" si="126"/>
        <v/>
      </c>
      <c r="AF207" s="713" t="str">
        <f t="shared" si="127"/>
        <v/>
      </c>
      <c r="AG207" s="713"/>
      <c r="AH207" s="713"/>
      <c r="AI207" s="112">
        <f>IF(H207="credit",0,IF(AE207="free",0,IF(AE207="me",0,IF(G207&gt;0,(VLOOKUP(A207,'Discount Lookup'!J:K,2)*G207),0))))</f>
        <v>0</v>
      </c>
      <c r="AJ207" s="107" t="str">
        <f t="shared" ca="1" si="128"/>
        <v/>
      </c>
      <c r="AK207" s="714" t="str">
        <f t="shared" si="129"/>
        <v/>
      </c>
      <c r="AL207" s="714"/>
      <c r="AM207" s="114" t="str">
        <f t="shared" si="130"/>
        <v/>
      </c>
      <c r="AN207" s="115"/>
      <c r="AO207" s="116"/>
      <c r="AP207" s="116"/>
      <c r="AQ207" s="116"/>
      <c r="AR207" s="116"/>
      <c r="AS207" s="116"/>
      <c r="AT207" s="116"/>
      <c r="AU207" s="116"/>
      <c r="AV207" s="78"/>
      <c r="AW207" s="102"/>
      <c r="AX207" s="78"/>
      <c r="AY207" s="78"/>
      <c r="AZ207" s="78"/>
      <c r="BA207" s="78"/>
      <c r="BB207" s="78"/>
      <c r="BC207" s="78"/>
      <c r="BD207" s="78"/>
      <c r="BE207" s="465"/>
      <c r="BF207" s="165" t="str">
        <f t="shared" si="131"/>
        <v>https://www.google.com/search?tbm=isch&amp;q=Acer%20palmatum%20%27Twombly%27s%20Red%20Sentinel%27%20Twombly%27s%20Red%20Sentinel%20Japanese%20Maple</v>
      </c>
      <c r="BG207" s="165" t="str">
        <f t="shared" si="132"/>
        <v>A</v>
      </c>
      <c r="BH207" s="65"/>
      <c r="BI207" s="65"/>
      <c r="BJ207" s="65"/>
      <c r="BK207" s="65"/>
      <c r="BL207" s="99"/>
      <c r="BM207" s="99"/>
      <c r="BN207" s="99"/>
    </row>
    <row r="208" spans="1:66" s="51" customFormat="1" ht="15.75" x14ac:dyDescent="0.25">
      <c r="A208" s="634">
        <v>7</v>
      </c>
      <c r="B208" s="635" t="s">
        <v>291</v>
      </c>
      <c r="C208" s="636" t="s">
        <v>1315</v>
      </c>
      <c r="D208" s="637" t="s">
        <v>299</v>
      </c>
      <c r="E208" s="638">
        <v>215.95</v>
      </c>
      <c r="F208" s="639" t="s">
        <v>292</v>
      </c>
      <c r="G208" s="484">
        <v>0</v>
      </c>
      <c r="H208" s="691" t="str">
        <f>IF(G208=0,"",IF(F208="Buy",IF(G208=1,"plant","plants"),IF(F208&gt;0.01,"warranty","Error")))</f>
        <v/>
      </c>
      <c r="I208" s="640">
        <f>IF(H208="free",0,IF(H208="credit",((E208*(F208))*G208*-1),IF(F208="Buy",(E208*G208),((E208*(1-F208))*G208))))</f>
        <v>0</v>
      </c>
      <c r="J208" s="640">
        <f>IF(H208="warranty",0,(I208*(_xlfn.SINGLE(SalesTaxPercentage))))</f>
        <v>0</v>
      </c>
      <c r="K208" s="716">
        <f t="shared" ref="K208" si="168">I208+J208</f>
        <v>0</v>
      </c>
      <c r="L208" s="716"/>
      <c r="M208" s="689" t="str">
        <f ca="1">IF(AND(G208&gt;0,E208=0),"WARNING - no PRICE inserted",IF(H208="free","FREE ~ no charge this plant",IF(H208="credit",CONCATENATE("-$",ROUND(K208*(1-_xlfn.SINGLE(T2GDiscount))*-1,2)," CREDIT after discount"),IF(_xlfn.SINGLE(T2GDiscount)=0,"",IF(G208=0,"",IF(F208="Buy",CONCATENATE("$",ROUND(K208*(1-_xlfn.SINGLE(T2GDiscount)),2)," with ",(_xlfn.SINGLE(T2GDiscount)*100),"% discount"),CONCATENATE("$",ROUND(K208*(1-_xlfn.SINGLE(T2GDiscount)),2)," with ",((_xlfn.SINGLE(T2GDiscount)*100+F208*100)-(_xlfn.SINGLE(T2GDiscount)*100*F208)),IF(F208&gt;0,"% discounts",IF(_xlfn.SINGLE(NoWarrantyDiscount)&gt;0,"% discounts","% discount")))))))))</f>
        <v/>
      </c>
      <c r="N208" s="690"/>
      <c r="O208" s="486"/>
      <c r="P208" s="486"/>
      <c r="Q208" s="486"/>
      <c r="R208" s="486"/>
      <c r="S208" s="486"/>
      <c r="T208" s="102">
        <f t="shared" si="120"/>
        <v>0</v>
      </c>
      <c r="U208" s="78">
        <f>IF(NOT(ISNUMBER(G208)), "", VLOOKUP(A208,'Discount Lookup'!D:E,2,FALSE)*G208)</f>
        <v>0</v>
      </c>
      <c r="V208" s="78">
        <f>IF(NOT(ISNUMBER(G208)), "", VLOOKUP(A208,'Discount Lookup'!G:H,2,FALSE)*G208)</f>
        <v>0</v>
      </c>
      <c r="W208" s="102">
        <f t="shared" si="121"/>
        <v>0</v>
      </c>
      <c r="X208" s="102">
        <f t="shared" si="122"/>
        <v>0</v>
      </c>
      <c r="Y208" s="120" t="b">
        <f t="shared" si="123"/>
        <v>0</v>
      </c>
      <c r="Z208" s="117">
        <f t="shared" si="124"/>
        <v>0</v>
      </c>
      <c r="AA208" s="118"/>
      <c r="AB208" s="118" t="str">
        <f t="shared" si="125"/>
        <v/>
      </c>
      <c r="AC208" s="712" t="str">
        <f>IF(AE208="T2G","no charge",IF(AND(OR(PlanterYesMe="No",PlanterYesMe="N",PlanterYesMe="me"),H208=""),"",IF(H208="credit","NO install",IF(AND(K208="",AE208="me"),"EACH row",IF(AND(K208="images",AE208="me"),"EACH row",IF(D208="","",IF(H208="credit","",IF(AE208="free","re-planting",IF(AE208="me","   not ELP, by",IF(AND(OR(PlanterYesMe="Yes",PlanterYesMe="Y"),G208&gt;0),(VLOOKUP(A208,'Discount Lookup'!J:K,2)*G208*(1-PlanterDiscount)*(1+PlanterDifficultyPercentage)),IF(AE208="ELP",(VLOOKUP(A208,'Discount Lookup'!J:K,2)*G208*(1-PlanterDiscount)*(1+PlanterDifficultyPercentage)),IF(AE208="free","re-planting",IF(G208=0,"",IF(PlanterYesMe="",IF(AE208="me","   not ELP, by",IF(AE208="",IF(G208&gt;0,(VLOOKUP(A208,'Discount Lookup'!J:K,2)*G208*(1-PlanterDiscount)*(1+PlanterDifficultyPercentage)),""),"")),"   not ELP, by"))))))))))))))</f>
        <v/>
      </c>
      <c r="AD208" s="712"/>
      <c r="AE208" s="513" t="str">
        <f t="shared" si="126"/>
        <v/>
      </c>
      <c r="AF208" s="713" t="str">
        <f t="shared" si="127"/>
        <v/>
      </c>
      <c r="AG208" s="713"/>
      <c r="AH208" s="713"/>
      <c r="AI208" s="112">
        <f>IF(H208="credit",0,IF(AE208="free",0,IF(AE208="me",0,IF(G208&gt;0,(VLOOKUP(A208,'Discount Lookup'!J:K,2)*G208),0))))</f>
        <v>0</v>
      </c>
      <c r="AJ208" s="107" t="str">
        <f t="shared" ca="1" si="128"/>
        <v/>
      </c>
      <c r="AK208" s="714" t="str">
        <f t="shared" si="129"/>
        <v/>
      </c>
      <c r="AL208" s="714"/>
      <c r="AM208" s="114" t="str">
        <f t="shared" si="130"/>
        <v/>
      </c>
      <c r="AN208" s="115"/>
      <c r="AO208" s="116"/>
      <c r="AP208" s="116"/>
      <c r="AQ208" s="116"/>
      <c r="AR208" s="116"/>
      <c r="AS208" s="116"/>
      <c r="AT208" s="116"/>
      <c r="AU208" s="116"/>
      <c r="AV208" s="78"/>
      <c r="AW208" s="102"/>
      <c r="AX208" s="78"/>
      <c r="AY208" s="78"/>
      <c r="AZ208" s="78"/>
      <c r="BA208" s="78"/>
      <c r="BB208" s="78"/>
      <c r="BC208" s="78"/>
      <c r="BD208" s="78"/>
      <c r="BE208" s="465"/>
      <c r="BF208" s="165" t="str">
        <f t="shared" si="131"/>
        <v>https://www.google.com/search?tbm=isch&amp;q=7%20G4</v>
      </c>
      <c r="BG208" s="165" t="str">
        <f t="shared" si="132"/>
        <v>A</v>
      </c>
      <c r="BH208" s="65"/>
      <c r="BI208" s="65"/>
      <c r="BJ208" s="65"/>
      <c r="BK208" s="65"/>
      <c r="BL208" s="99"/>
      <c r="BM208" s="99"/>
      <c r="BN208" s="99"/>
    </row>
    <row r="209" spans="1:66" s="51" customFormat="1" ht="15.75" x14ac:dyDescent="0.25">
      <c r="A209" s="634">
        <v>15</v>
      </c>
      <c r="B209" s="635" t="s">
        <v>291</v>
      </c>
      <c r="C209" s="636" t="s">
        <v>1316</v>
      </c>
      <c r="D209" s="637" t="s">
        <v>299</v>
      </c>
      <c r="E209" s="638">
        <v>422.95</v>
      </c>
      <c r="F209" s="639" t="s">
        <v>292</v>
      </c>
      <c r="G209" s="484">
        <v>0</v>
      </c>
      <c r="H209" s="691" t="str">
        <f>IF(G209=0,"",IF(F209="Buy",IF(G209=1,"plant","plants"),IF(F209&gt;0.01,"warranty","Error")))</f>
        <v/>
      </c>
      <c r="I209" s="640">
        <f>IF(H209="free",0,IF(H209="credit",((E209*(F209))*G209*-1),IF(F209="Buy",(E209*G209),((E209*(1-F209))*G209))))</f>
        <v>0</v>
      </c>
      <c r="J209" s="640">
        <f>IF(H209="warranty",0,(I209*(_xlfn.SINGLE(SalesTaxPercentage))))</f>
        <v>0</v>
      </c>
      <c r="K209" s="716">
        <f t="shared" ref="K209" si="169">I209+J209</f>
        <v>0</v>
      </c>
      <c r="L209" s="716"/>
      <c r="M209" s="689" t="str">
        <f ca="1">IF(AND(G209&gt;0,E209=0),"WARNING - no PRICE inserted",IF(H209="free","FREE ~ no charge this plant",IF(H209="credit",CONCATENATE("-$",ROUND(K209*(1-_xlfn.SINGLE(T2GDiscount))*-1,2)," CREDIT after discount"),IF(_xlfn.SINGLE(T2GDiscount)=0,"",IF(G209=0,"",IF(F209="Buy",CONCATENATE("$",ROUND(K209*(1-_xlfn.SINGLE(T2GDiscount)),2)," with ",(_xlfn.SINGLE(T2GDiscount)*100),"% discount"),CONCATENATE("$",ROUND(K209*(1-_xlfn.SINGLE(T2GDiscount)),2)," with ",((_xlfn.SINGLE(T2GDiscount)*100+F209*100)-(_xlfn.SINGLE(T2GDiscount)*100*F209)),IF(F209&gt;0,"% discounts",IF(_xlfn.SINGLE(NoWarrantyDiscount)&gt;0,"% discounts","% discount")))))))))</f>
        <v/>
      </c>
      <c r="N209" s="690"/>
      <c r="O209" s="486"/>
      <c r="P209" s="486"/>
      <c r="Q209" s="486"/>
      <c r="R209" s="486"/>
      <c r="S209" s="486"/>
      <c r="T209" s="102">
        <f t="shared" ref="T209:T272" si="170">E209*G209</f>
        <v>0</v>
      </c>
      <c r="U209" s="78">
        <f>IF(NOT(ISNUMBER(G209)), "", VLOOKUP(A209,'Discount Lookup'!D:E,2,FALSE)*G209)</f>
        <v>0</v>
      </c>
      <c r="V209" s="78">
        <f>IF(NOT(ISNUMBER(G209)), "", VLOOKUP(A209,'Discount Lookup'!G:H,2,FALSE)*G209)</f>
        <v>0</v>
      </c>
      <c r="W209" s="102">
        <f t="shared" ref="W209:W272" si="171">IF(H209="credit",0,E209*(SalesTaxPercentage)*G209)</f>
        <v>0</v>
      </c>
      <c r="X209" s="102">
        <f t="shared" ref="X209:X272" si="172">I209</f>
        <v>0</v>
      </c>
      <c r="Y209" s="120" t="b">
        <f t="shared" ref="Y209:Y272" si="173">IF(AE209="T2G",0,IF(H209="credit",0,IF(G209&gt;0,IF(AE209="me","",G209))))</f>
        <v>0</v>
      </c>
      <c r="Z209" s="117">
        <f t="shared" ref="Z209:Z272" si="174">IF(H209="credit",G209,0)</f>
        <v>0</v>
      </c>
      <c r="AA209" s="118"/>
      <c r="AB209" s="118" t="str">
        <f t="shared" ref="AB209:AB272" si="175">IF(AE209="T2G","by Trees2Go",IF(H209="credit","CREDIT only ~",IF(AND(K209="",AE209=OR(PlanterYesMe="No",PlanterYesMe="N",PlanterYesMe="me")),"not THIS line⇨",IF(AND(K209="images",AE209="me"),"not THIS line⇨",IF(H209="credit","",IF(G209=0,"",IF(AE209="me","",IF(OR(PlanterYesMe="No",PlanterYesMe="N",PlanterYesMe="me"),"",IF(AE209="free","warranty",IF(OR(PlanterYesMe="yes",PlanterYesMe="y"),"Edison install:","to install:"))))))))))</f>
        <v/>
      </c>
      <c r="AC209" s="712" t="str">
        <f>IF(AE209="T2G","no charge",IF(AND(OR(PlanterYesMe="No",PlanterYesMe="N",PlanterYesMe="me"),H209=""),"",IF(H209="credit","NO install",IF(AND(K209="",AE209="me"),"EACH row",IF(AND(K209="images",AE209="me"),"EACH row",IF(D209="","",IF(H209="credit","",IF(AE209="free","re-planting",IF(AE209="me","   not ELP, by",IF(AND(OR(PlanterYesMe="Yes",PlanterYesMe="Y"),G209&gt;0),(VLOOKUP(A209,'Discount Lookup'!J:K,2)*G209*(1-PlanterDiscount)*(1+PlanterDifficultyPercentage)),IF(AE209="ELP",(VLOOKUP(A209,'Discount Lookup'!J:K,2)*G209*(1-PlanterDiscount)*(1+PlanterDifficultyPercentage)),IF(AE209="free","re-planting",IF(G209=0,"",IF(PlanterYesMe="",IF(AE209="me","   not ELP, by",IF(AE209="",IF(G209&gt;0,(VLOOKUP(A209,'Discount Lookup'!J:K,2)*G209*(1-PlanterDiscount)*(1+PlanterDifficultyPercentage)),""),"")),"   not ELP, by"))))))))))))))</f>
        <v/>
      </c>
      <c r="AD209" s="712"/>
      <c r="AE209" s="513" t="str">
        <f t="shared" ref="AE209:AE272" si="176">IF(H209="credit","",IF(G209=0,"",IF(OR(PlanterYesMe="No",PlanterYesMe="N",PlanterYesMe="me"),"me",IF(H209="warranty","free",IF(OR(PlanterYesMe="yes",PlanterYesMe="y"),"ELP","")))))</f>
        <v/>
      </c>
      <c r="AF209" s="713" t="str">
        <f t="shared" ref="AF209:AF272" si="177">IF(OR(PlanterYesMe="No",PlanterYesMe="N",PlanterYesMe="me"),"",IF(H209="credit","",IF(G209&gt;0,(CONCATENATE((G209)," quantity, ",(A209)," ",B209)),"")))</f>
        <v/>
      </c>
      <c r="AG209" s="713"/>
      <c r="AH209" s="713"/>
      <c r="AI209" s="112">
        <f>IF(H209="credit",0,IF(AE209="free",0,IF(AE209="me",0,IF(G209&gt;0,(VLOOKUP(A209,'Discount Lookup'!J:K,2)*G209),0))))</f>
        <v>0</v>
      </c>
      <c r="AJ209" s="107" t="str">
        <f t="shared" ref="AJ209:AJ272" ca="1" si="178">IF(AND(ISREF(H209),H209="credit"),"",IF(AND(AND(OFFSET(G209,0,0)=0,OFFSET(G209,1,0)&gt;0,ISNUMBER(OFFSET(AC209,1,0)),OFFSET(AC209,1,0)&gt;0),OR(PlanterYesMe="yes",PlanterYesMe="y")),"T2G+ELP=",IF(AND(OFFSET(G209,0,0)=0,OFFSET(G209,1,0)&gt;0,ISNUMBER(OFFSET(AC209,1,0)),OFFSET(AC209,1,0)&gt;0),"if T2G+ELP=",IF(AND(OFFSET(G209,0,0)=0,OFFSET(G209,1,0)&gt;0),"T2G Subtotal",IF(H209="credit","",IF(G209=0,"",IF(AE209="free",(K209*(1-T2GDiscount)),IF(OR(PlanterYesMe="No",PlanterYesMe="N",PlanterYesMe="me"),(K209*(1-T2GDiscount)),IF(OR(AE209="me",AE209="T2G"),(K209*(1-T2GDiscount)),(K209*(1-T2GDiscount))+AC209)))))))))</f>
        <v/>
      </c>
      <c r="AK209" s="714" t="str">
        <f t="shared" ref="AK209:AK272" si="179">IF(H209="credit","",IF(G209=0,"",IF(OR(AE209="me",AE209="T2G"),"  delivery-only",IF(OR(PlanterYesMe="No",PlanterYesMe="N",PlanterYesMe="me"),"  delivery-only",CONCATENATE(" $",ROUND(AJ209/G209,2)," each")))))</f>
        <v/>
      </c>
      <c r="AL209" s="714"/>
      <c r="AM209" s="114" t="str">
        <f t="shared" ref="AM209:AM272" si="180">IF(H209="credit","",IF(AE209="free","      ~ discounts included, no tax or planting fee applies ~",IF(G209=0,"",IF(OR(PlanterYesMe="No",PlanterYesMe="N",PlanterYesMe="me"),CONCATENATE(" $",ROUND(AJ209/G209,2)," per plant, with tax &amp; discount"),IF(OR(AE209="me",AE209="T2G"),CONCATENATE(" $",ROUND(AJ209/G209,2)," per plant, with tax &amp; discount"),CONCATENATE("= $",ROUND((K209*(1-T2GDiscount))/G209,2)," per plant + $",AC209/G209,(" per planting      ~ includes tax &amp; discounts ~")))))))</f>
        <v/>
      </c>
      <c r="AN209" s="115"/>
      <c r="AO209" s="116"/>
      <c r="AP209" s="116"/>
      <c r="AQ209" s="116"/>
      <c r="AR209" s="116"/>
      <c r="AS209" s="116"/>
      <c r="AT209" s="116"/>
      <c r="AU209" s="116"/>
      <c r="AV209" s="78"/>
      <c r="AW209" s="102"/>
      <c r="AX209" s="78"/>
      <c r="AY209" s="78"/>
      <c r="AZ209" s="78"/>
      <c r="BA209" s="78"/>
      <c r="BB209" s="78"/>
      <c r="BC209" s="78"/>
      <c r="BD209" s="78"/>
      <c r="BE209" s="465"/>
      <c r="BF209" s="165" t="str">
        <f t="shared" ref="BF209:BF272" si="181">"https://www.google.com/search?tbm=isch&amp;q=" &amp; _xlfn.ENCODEURL($A209 &amp; " " &amp; $D209)</f>
        <v>https://www.google.com/search?tbm=isch&amp;q=15%20G4</v>
      </c>
      <c r="BG209" s="165" t="str">
        <f t="shared" ref="BG209:BG272" si="182">IF(ISTEXT(A209),LEFT(A209,1),BG208)</f>
        <v>A</v>
      </c>
      <c r="BH209" s="65"/>
      <c r="BI209" s="65"/>
      <c r="BJ209" s="65"/>
      <c r="BK209" s="65"/>
      <c r="BL209" s="99"/>
      <c r="BM209" s="99"/>
      <c r="BN209" s="99"/>
    </row>
    <row r="210" spans="1:66" s="51" customFormat="1" ht="27" x14ac:dyDescent="0.25">
      <c r="A210" s="634">
        <v>25</v>
      </c>
      <c r="B210" s="635" t="s">
        <v>291</v>
      </c>
      <c r="C210" s="636" t="s">
        <v>1317</v>
      </c>
      <c r="D210" s="637" t="s">
        <v>299</v>
      </c>
      <c r="E210" s="638">
        <v>962.95</v>
      </c>
      <c r="F210" s="639" t="s">
        <v>292</v>
      </c>
      <c r="G210" s="484">
        <v>0</v>
      </c>
      <c r="H210" s="691" t="str">
        <f>IF(G210=0,"",IF(F210="Buy",IF(G210=1,"plant","plants"),IF(F210&gt;0.01,"warranty","Error")))</f>
        <v/>
      </c>
      <c r="I210" s="640">
        <f>IF(H210="free",0,IF(H210="credit",((E210*(F210))*G210*-1),IF(F210="Buy",(E210*G210),((E210*(1-F210))*G210))))</f>
        <v>0</v>
      </c>
      <c r="J210" s="640">
        <f>IF(H210="warranty",0,(I210*(_xlfn.SINGLE(SalesTaxPercentage))))</f>
        <v>0</v>
      </c>
      <c r="K210" s="716">
        <f t="shared" ref="K210" si="183">I210+J210</f>
        <v>0</v>
      </c>
      <c r="L210" s="716"/>
      <c r="M210" s="689" t="str">
        <f ca="1">IF(AND(G210&gt;0,E210=0),"WARNING - no PRICE inserted",IF(H210="free","FREE ~ no charge this plant",IF(H210="credit",CONCATENATE("-$",ROUND(K210*(1-_xlfn.SINGLE(T2GDiscount))*-1,2)," CREDIT after discount"),IF(_xlfn.SINGLE(T2GDiscount)=0,"",IF(G210=0,"",IF(F210="Buy",CONCATENATE("$",ROUND(K210*(1-_xlfn.SINGLE(T2GDiscount)),2)," with ",(_xlfn.SINGLE(T2GDiscount)*100),"% discount"),CONCATENATE("$",ROUND(K210*(1-_xlfn.SINGLE(T2GDiscount)),2)," with ",((_xlfn.SINGLE(T2GDiscount)*100+F210*100)-(_xlfn.SINGLE(T2GDiscount)*100*F210)),IF(F210&gt;0,"% discounts",IF(_xlfn.SINGLE(NoWarrantyDiscount)&gt;0,"% discounts","% discount")))))))))</f>
        <v/>
      </c>
      <c r="N210" s="690"/>
      <c r="O210" s="486"/>
      <c r="P210" s="486"/>
      <c r="Q210" s="486"/>
      <c r="R210" s="486"/>
      <c r="S210" s="486"/>
      <c r="T210" s="102">
        <f t="shared" si="170"/>
        <v>0</v>
      </c>
      <c r="U210" s="78">
        <f>IF(NOT(ISNUMBER(G210)), "", VLOOKUP(A210,'Discount Lookup'!D:E,2,FALSE)*G210)</f>
        <v>0</v>
      </c>
      <c r="V210" s="78">
        <f>IF(NOT(ISNUMBER(G210)), "", VLOOKUP(A210,'Discount Lookup'!G:H,2,FALSE)*G210)</f>
        <v>0</v>
      </c>
      <c r="W210" s="102">
        <f t="shared" si="171"/>
        <v>0</v>
      </c>
      <c r="X210" s="102">
        <f t="shared" si="172"/>
        <v>0</v>
      </c>
      <c r="Y210" s="120" t="b">
        <f t="shared" si="173"/>
        <v>0</v>
      </c>
      <c r="Z210" s="117">
        <f t="shared" si="174"/>
        <v>0</v>
      </c>
      <c r="AA210" s="118"/>
      <c r="AB210" s="118" t="str">
        <f t="shared" si="175"/>
        <v/>
      </c>
      <c r="AC210" s="712" t="str">
        <f>IF(AE210="T2G","no charge",IF(AND(OR(PlanterYesMe="No",PlanterYesMe="N",PlanterYesMe="me"),H210=""),"",IF(H210="credit","NO install",IF(AND(K210="",AE210="me"),"EACH row",IF(AND(K210="images",AE210="me"),"EACH row",IF(D210="","",IF(H210="credit","",IF(AE210="free","re-planting",IF(AE210="me","   not ELP, by",IF(AND(OR(PlanterYesMe="Yes",PlanterYesMe="Y"),G210&gt;0),(VLOOKUP(A210,'Discount Lookup'!J:K,2)*G210*(1-PlanterDiscount)*(1+PlanterDifficultyPercentage)),IF(AE210="ELP",(VLOOKUP(A210,'Discount Lookup'!J:K,2)*G210*(1-PlanterDiscount)*(1+PlanterDifficultyPercentage)),IF(AE210="free","re-planting",IF(G210=0,"",IF(PlanterYesMe="",IF(AE210="me","   not ELP, by",IF(AE210="",IF(G210&gt;0,(VLOOKUP(A210,'Discount Lookup'!J:K,2)*G210*(1-PlanterDiscount)*(1+PlanterDifficultyPercentage)),""),"")),"   not ELP, by"))))))))))))))</f>
        <v/>
      </c>
      <c r="AD210" s="712"/>
      <c r="AE210" s="513" t="str">
        <f t="shared" si="176"/>
        <v/>
      </c>
      <c r="AF210" s="713" t="str">
        <f t="shared" si="177"/>
        <v/>
      </c>
      <c r="AG210" s="713"/>
      <c r="AH210" s="713"/>
      <c r="AI210" s="112">
        <f>IF(H210="credit",0,IF(AE210="free",0,IF(AE210="me",0,IF(G210&gt;0,(VLOOKUP(A210,'Discount Lookup'!J:K,2)*G210),0))))</f>
        <v>0</v>
      </c>
      <c r="AJ210" s="107" t="str">
        <f t="shared" ca="1" si="178"/>
        <v/>
      </c>
      <c r="AK210" s="714" t="str">
        <f t="shared" si="179"/>
        <v/>
      </c>
      <c r="AL210" s="714"/>
      <c r="AM210" s="114" t="str">
        <f t="shared" si="180"/>
        <v/>
      </c>
      <c r="AN210" s="115"/>
      <c r="AO210" s="116"/>
      <c r="AP210" s="116"/>
      <c r="AQ210" s="116"/>
      <c r="AR210" s="116"/>
      <c r="AS210" s="116"/>
      <c r="AT210" s="116"/>
      <c r="AU210" s="116"/>
      <c r="AV210" s="78"/>
      <c r="AW210" s="102"/>
      <c r="AX210" s="78"/>
      <c r="AY210" s="78"/>
      <c r="AZ210" s="78"/>
      <c r="BA210" s="78"/>
      <c r="BB210" s="78"/>
      <c r="BC210" s="78"/>
      <c r="BD210" s="78"/>
      <c r="BE210" s="465"/>
      <c r="BF210" s="165" t="str">
        <f t="shared" si="181"/>
        <v>https://www.google.com/search?tbm=isch&amp;q=25%20G4</v>
      </c>
      <c r="BG210" s="165" t="str">
        <f t="shared" si="182"/>
        <v>A</v>
      </c>
      <c r="BH210" s="65"/>
      <c r="BI210" s="65"/>
      <c r="BJ210" s="65"/>
      <c r="BK210" s="65"/>
      <c r="BL210" s="99"/>
      <c r="BM210" s="99"/>
      <c r="BN210" s="99"/>
    </row>
    <row r="211" spans="1:66" s="51" customFormat="1" ht="17.25" thickBot="1" x14ac:dyDescent="0.3">
      <c r="A211" s="641" t="s">
        <v>1318</v>
      </c>
      <c r="B211" s="642"/>
      <c r="C211" s="710"/>
      <c r="D211" s="643"/>
      <c r="E211" s="643"/>
      <c r="F211" s="644"/>
      <c r="G211" s="645"/>
      <c r="H211" s="646"/>
      <c r="I211" s="647"/>
      <c r="J211" s="648"/>
      <c r="K211" s="649"/>
      <c r="L211" s="650"/>
      <c r="M211" s="650"/>
      <c r="N211" s="644"/>
      <c r="O211" s="644"/>
      <c r="P211" s="644"/>
      <c r="Q211" s="644"/>
      <c r="R211" s="644"/>
      <c r="S211" s="651"/>
      <c r="T211" s="102">
        <f t="shared" si="170"/>
        <v>0</v>
      </c>
      <c r="U211" s="78" t="str">
        <f>IF(NOT(ISNUMBER(G211)), "", VLOOKUP(A211,'Discount Lookup'!D:E,2,FALSE)*G211)</f>
        <v/>
      </c>
      <c r="V211" s="78" t="str">
        <f>IF(NOT(ISNUMBER(G211)), "", VLOOKUP(A211,'Discount Lookup'!G:H,2,FALSE)*G211)</f>
        <v/>
      </c>
      <c r="W211" s="102">
        <f t="shared" si="171"/>
        <v>0</v>
      </c>
      <c r="X211" s="102">
        <f t="shared" si="172"/>
        <v>0</v>
      </c>
      <c r="Y211" s="120" t="b">
        <f t="shared" si="173"/>
        <v>0</v>
      </c>
      <c r="Z211" s="117">
        <f t="shared" si="174"/>
        <v>0</v>
      </c>
      <c r="AA211" s="118"/>
      <c r="AB211" s="118" t="str">
        <f t="shared" si="175"/>
        <v/>
      </c>
      <c r="AC211" s="712" t="str">
        <f>IF(AE211="T2G","no charge",IF(AND(OR(PlanterYesMe="No",PlanterYesMe="N",PlanterYesMe="me"),H211=""),"",IF(H211="credit","NO install",IF(AND(K211="",AE211="me"),"EACH row",IF(AND(K211="images",AE211="me"),"EACH row",IF(D211="","",IF(H211="credit","",IF(AE211="free","re-planting",IF(AE211="me","   not ELP, by",IF(AND(OR(PlanterYesMe="Yes",PlanterYesMe="Y"),G211&gt;0),(VLOOKUP(A211,'Discount Lookup'!J:K,2)*G211*(1-PlanterDiscount)*(1+PlanterDifficultyPercentage)),IF(AE211="ELP",(VLOOKUP(A211,'Discount Lookup'!J:K,2)*G211*(1-PlanterDiscount)*(1+PlanterDifficultyPercentage)),IF(AE211="free","re-planting",IF(G211=0,"",IF(PlanterYesMe="",IF(AE211="me","   not ELP, by",IF(AE211="",IF(G211&gt;0,(VLOOKUP(A211,'Discount Lookup'!J:K,2)*G211*(1-PlanterDiscount)*(1+PlanterDifficultyPercentage)),""),"")),"   not ELP, by"))))))))))))))</f>
        <v/>
      </c>
      <c r="AD211" s="712"/>
      <c r="AE211" s="513" t="str">
        <f t="shared" si="176"/>
        <v/>
      </c>
      <c r="AF211" s="713" t="str">
        <f t="shared" si="177"/>
        <v/>
      </c>
      <c r="AG211" s="713"/>
      <c r="AH211" s="713"/>
      <c r="AI211" s="112">
        <f>IF(H211="credit",0,IF(AE211="free",0,IF(AE211="me",0,IF(G211&gt;0,(VLOOKUP(A211,'Discount Lookup'!J:K,2)*G211),0))))</f>
        <v>0</v>
      </c>
      <c r="AJ211" s="107" t="str">
        <f t="shared" ca="1" si="178"/>
        <v/>
      </c>
      <c r="AK211" s="714" t="str">
        <f t="shared" si="179"/>
        <v/>
      </c>
      <c r="AL211" s="714"/>
      <c r="AM211" s="114" t="str">
        <f t="shared" si="180"/>
        <v/>
      </c>
      <c r="AN211" s="115"/>
      <c r="AO211" s="116"/>
      <c r="AP211" s="116"/>
      <c r="AQ211" s="116"/>
      <c r="AR211" s="116"/>
      <c r="AS211" s="116"/>
      <c r="AT211" s="116"/>
      <c r="AU211" s="116"/>
      <c r="AV211" s="78"/>
      <c r="AW211" s="102"/>
      <c r="AX211" s="78"/>
      <c r="AY211" s="78"/>
      <c r="AZ211" s="78"/>
      <c r="BA211" s="78"/>
      <c r="BB211" s="78"/>
      <c r="BC211" s="78"/>
      <c r="BD211" s="78"/>
      <c r="BE211" s="465"/>
      <c r="BF211" s="165" t="str">
        <f t="shared" si="181"/>
        <v>https://www.google.com/search?tbm=isch&amp;q=Twombly%27s%20Red%20Sentinel%20named%20for%20distinct%20narrow%2C%20upright%20form%20and%20brilliant%20foliage%2C%20turning%20fiery%20Scarlet%20in%20fall%20</v>
      </c>
      <c r="BG211" s="165" t="str">
        <f t="shared" si="182"/>
        <v>T</v>
      </c>
      <c r="BH211" s="65"/>
      <c r="BI211" s="65"/>
      <c r="BJ211" s="65"/>
      <c r="BK211" s="65"/>
      <c r="BL211" s="99"/>
      <c r="BM211" s="99"/>
      <c r="BN211" s="99"/>
    </row>
    <row r="212" spans="1:66" s="51" customFormat="1" ht="18" x14ac:dyDescent="0.25">
      <c r="A212" s="623" t="s">
        <v>1319</v>
      </c>
      <c r="B212" s="624"/>
      <c r="C212" s="709"/>
      <c r="D212" s="625" t="s">
        <v>1320</v>
      </c>
      <c r="E212" s="626"/>
      <c r="F212" s="626"/>
      <c r="G212" s="626"/>
      <c r="H212" s="622" t="s">
        <v>1321</v>
      </c>
      <c r="I212" s="627" t="s">
        <v>1175</v>
      </c>
      <c r="J212" s="628"/>
      <c r="K212" s="628"/>
      <c r="L212" s="629"/>
      <c r="M212" s="700" t="s">
        <v>5249</v>
      </c>
      <c r="N212" s="693" t="str">
        <f>IF(AND(ISTEXT($A212), ISERROR($A212+0)), HYPERLINK($BF212, "Images"), "")</f>
        <v>Images</v>
      </c>
      <c r="O212" s="695" t="s">
        <v>5247</v>
      </c>
      <c r="P212" s="630"/>
      <c r="Q212" s="631"/>
      <c r="R212" s="632"/>
      <c r="S212" s="633"/>
      <c r="T212" s="102">
        <f t="shared" si="170"/>
        <v>0</v>
      </c>
      <c r="U212" s="78" t="str">
        <f>IF(NOT(ISNUMBER(G212)), "", VLOOKUP(A212,'Discount Lookup'!D:E,2,FALSE)*G212)</f>
        <v/>
      </c>
      <c r="V212" s="78" t="str">
        <f>IF(NOT(ISNUMBER(G212)), "", VLOOKUP(A212,'Discount Lookup'!G:H,2,FALSE)*G212)</f>
        <v/>
      </c>
      <c r="W212" s="102">
        <f t="shared" si="171"/>
        <v>0</v>
      </c>
      <c r="X212" s="102" t="str">
        <f t="shared" si="172"/>
        <v>Red-Purple foliage</v>
      </c>
      <c r="Y212" s="120" t="b">
        <f t="shared" si="173"/>
        <v>0</v>
      </c>
      <c r="Z212" s="117">
        <f t="shared" si="174"/>
        <v>0</v>
      </c>
      <c r="AA212" s="118"/>
      <c r="AB212" s="118" t="str">
        <f t="shared" si="175"/>
        <v/>
      </c>
      <c r="AC212" s="712" t="str">
        <f>IF(AE212="T2G","no charge",IF(AND(OR(PlanterYesMe="No",PlanterYesMe="N",PlanterYesMe="me"),H212=""),"",IF(H212="credit","NO install",IF(AND(K212="",AE212="me"),"EACH row",IF(AND(K212="images",AE212="me"),"EACH row",IF(D212="","",IF(H212="credit","",IF(AE212="free","re-planting",IF(AE212="me","   not ELP, by",IF(AND(OR(PlanterYesMe="Yes",PlanterYesMe="Y"),G212&gt;0),(VLOOKUP(A212,'Discount Lookup'!J:K,2)*G212*(1-PlanterDiscount)*(1+PlanterDifficultyPercentage)),IF(AE212="ELP",(VLOOKUP(A212,'Discount Lookup'!J:K,2)*G212*(1-PlanterDiscount)*(1+PlanterDifficultyPercentage)),IF(AE212="free","re-planting",IF(G212=0,"",IF(PlanterYesMe="",IF(AE212="me","   not ELP, by",IF(AE212="",IF(G212&gt;0,(VLOOKUP(A212,'Discount Lookup'!J:K,2)*G212*(1-PlanterDiscount)*(1+PlanterDifficultyPercentage)),""),"")),"   not ELP, by"))))))))))))))</f>
        <v/>
      </c>
      <c r="AD212" s="712"/>
      <c r="AE212" s="513" t="str">
        <f t="shared" si="176"/>
        <v/>
      </c>
      <c r="AF212" s="713" t="str">
        <f t="shared" si="177"/>
        <v/>
      </c>
      <c r="AG212" s="713"/>
      <c r="AH212" s="713"/>
      <c r="AI212" s="112">
        <f>IF(H212="credit",0,IF(AE212="free",0,IF(AE212="me",0,IF(G212&gt;0,(VLOOKUP(A212,'Discount Lookup'!J:K,2)*G212),0))))</f>
        <v>0</v>
      </c>
      <c r="AJ212" s="107" t="str">
        <f t="shared" ca="1" si="178"/>
        <v/>
      </c>
      <c r="AK212" s="714" t="str">
        <f t="shared" si="179"/>
        <v/>
      </c>
      <c r="AL212" s="714"/>
      <c r="AM212" s="114" t="str">
        <f t="shared" si="180"/>
        <v/>
      </c>
      <c r="AN212" s="115"/>
      <c r="AO212" s="116"/>
      <c r="AP212" s="116"/>
      <c r="AQ212" s="116"/>
      <c r="AR212" s="116"/>
      <c r="AS212" s="116"/>
      <c r="AT212" s="116"/>
      <c r="AU212" s="116"/>
      <c r="AV212" s="78"/>
      <c r="AW212" s="102"/>
      <c r="AX212" s="78"/>
      <c r="AY212" s="78"/>
      <c r="AZ212" s="78"/>
      <c r="BA212" s="78"/>
      <c r="BB212" s="78"/>
      <c r="BC212" s="78"/>
      <c r="BD212" s="78"/>
      <c r="BE212" s="465"/>
      <c r="BF212" s="165" t="str">
        <f t="shared" si="181"/>
        <v>https://www.google.com/search?tbm=isch&amp;q=Acer%20palmatum%20var.%20dis.%20%27Inaba%20Shidare%27%20Inaba%20Shidara%20Japanese%20Maple</v>
      </c>
      <c r="BG212" s="165" t="str">
        <f t="shared" si="182"/>
        <v>A</v>
      </c>
      <c r="BH212" s="65"/>
      <c r="BI212" s="65"/>
      <c r="BJ212" s="65"/>
      <c r="BK212" s="65"/>
      <c r="BL212" s="99"/>
      <c r="BM212" s="99"/>
      <c r="BN212" s="99"/>
    </row>
    <row r="213" spans="1:66" s="51" customFormat="1" ht="15.75" x14ac:dyDescent="0.25">
      <c r="A213" s="634">
        <v>25</v>
      </c>
      <c r="B213" s="635" t="s">
        <v>291</v>
      </c>
      <c r="C213" s="636" t="s">
        <v>1322</v>
      </c>
      <c r="D213" s="637" t="s">
        <v>299</v>
      </c>
      <c r="E213" s="638">
        <v>790.95</v>
      </c>
      <c r="F213" s="639" t="s">
        <v>292</v>
      </c>
      <c r="G213" s="484">
        <v>0</v>
      </c>
      <c r="H213" s="691" t="str">
        <f>IF(G213=0,"",IF(F213="Buy",IF(G213=1,"plant","plants"),IF(F213&gt;0.01,"warranty","Error")))</f>
        <v/>
      </c>
      <c r="I213" s="640">
        <f>IF(H213="free",0,IF(H213="credit",((E213*(F213))*G213*-1),IF(F213="Buy",(E213*G213),((E213*(1-F213))*G213))))</f>
        <v>0</v>
      </c>
      <c r="J213" s="640">
        <f>IF(H213="warranty",0,(I213*(_xlfn.SINGLE(SalesTaxPercentage))))</f>
        <v>0</v>
      </c>
      <c r="K213" s="716">
        <f t="shared" ref="K213" si="184">I213+J213</f>
        <v>0</v>
      </c>
      <c r="L213" s="716"/>
      <c r="M213" s="689" t="str">
        <f ca="1">IF(AND(G213&gt;0,E213=0),"WARNING - no PRICE inserted",IF(H213="free","FREE ~ no charge this plant",IF(H213="credit",CONCATENATE("-$",ROUND(K213*(1-_xlfn.SINGLE(T2GDiscount))*-1,2)," CREDIT after discount"),IF(_xlfn.SINGLE(T2GDiscount)=0,"",IF(G213=0,"",IF(F213="Buy",CONCATENATE("$",ROUND(K213*(1-_xlfn.SINGLE(T2GDiscount)),2)," with ",(_xlfn.SINGLE(T2GDiscount)*100),"% discount"),CONCATENATE("$",ROUND(K213*(1-_xlfn.SINGLE(T2GDiscount)),2)," with ",((_xlfn.SINGLE(T2GDiscount)*100+F213*100)-(_xlfn.SINGLE(T2GDiscount)*100*F213)),IF(F213&gt;0,"% discounts",IF(_xlfn.SINGLE(NoWarrantyDiscount)&gt;0,"% discounts","% discount")))))))))</f>
        <v/>
      </c>
      <c r="N213" s="690"/>
      <c r="O213" s="486"/>
      <c r="P213" s="486"/>
      <c r="Q213" s="486"/>
      <c r="R213" s="486"/>
      <c r="S213" s="486"/>
      <c r="T213" s="102">
        <f t="shared" si="170"/>
        <v>0</v>
      </c>
      <c r="U213" s="78">
        <f>IF(NOT(ISNUMBER(G213)), "", VLOOKUP(A213,'Discount Lookup'!D:E,2,FALSE)*G213)</f>
        <v>0</v>
      </c>
      <c r="V213" s="78">
        <f>IF(NOT(ISNUMBER(G213)), "", VLOOKUP(A213,'Discount Lookup'!G:H,2,FALSE)*G213)</f>
        <v>0</v>
      </c>
      <c r="W213" s="102">
        <f t="shared" si="171"/>
        <v>0</v>
      </c>
      <c r="X213" s="102">
        <f t="shared" si="172"/>
        <v>0</v>
      </c>
      <c r="Y213" s="120" t="b">
        <f t="shared" si="173"/>
        <v>0</v>
      </c>
      <c r="Z213" s="117">
        <f t="shared" si="174"/>
        <v>0</v>
      </c>
      <c r="AA213" s="118"/>
      <c r="AB213" s="118" t="str">
        <f t="shared" si="175"/>
        <v/>
      </c>
      <c r="AC213" s="712" t="str">
        <f>IF(AE213="T2G","no charge",IF(AND(OR(PlanterYesMe="No",PlanterYesMe="N",PlanterYesMe="me"),H213=""),"",IF(H213="credit","NO install",IF(AND(K213="",AE213="me"),"EACH row",IF(AND(K213="images",AE213="me"),"EACH row",IF(D213="","",IF(H213="credit","",IF(AE213="free","re-planting",IF(AE213="me","   not ELP, by",IF(AND(OR(PlanterYesMe="Yes",PlanterYesMe="Y"),G213&gt;0),(VLOOKUP(A213,'Discount Lookup'!J:K,2)*G213*(1-PlanterDiscount)*(1+PlanterDifficultyPercentage)),IF(AE213="ELP",(VLOOKUP(A213,'Discount Lookup'!J:K,2)*G213*(1-PlanterDiscount)*(1+PlanterDifficultyPercentage)),IF(AE213="free","re-planting",IF(G213=0,"",IF(PlanterYesMe="",IF(AE213="me","   not ELP, by",IF(AE213="",IF(G213&gt;0,(VLOOKUP(A213,'Discount Lookup'!J:K,2)*G213*(1-PlanterDiscount)*(1+PlanterDifficultyPercentage)),""),"")),"   not ELP, by"))))))))))))))</f>
        <v/>
      </c>
      <c r="AD213" s="712"/>
      <c r="AE213" s="513" t="str">
        <f t="shared" si="176"/>
        <v/>
      </c>
      <c r="AF213" s="713" t="str">
        <f t="shared" si="177"/>
        <v/>
      </c>
      <c r="AG213" s="713"/>
      <c r="AH213" s="713"/>
      <c r="AI213" s="112">
        <f>IF(H213="credit",0,IF(AE213="free",0,IF(AE213="me",0,IF(G213&gt;0,(VLOOKUP(A213,'Discount Lookup'!J:K,2)*G213),0))))</f>
        <v>0</v>
      </c>
      <c r="AJ213" s="107" t="str">
        <f t="shared" ca="1" si="178"/>
        <v/>
      </c>
      <c r="AK213" s="714" t="str">
        <f t="shared" si="179"/>
        <v/>
      </c>
      <c r="AL213" s="714"/>
      <c r="AM213" s="114" t="str">
        <f t="shared" si="180"/>
        <v/>
      </c>
      <c r="AN213" s="115"/>
      <c r="AO213" s="116"/>
      <c r="AP213" s="116"/>
      <c r="AQ213" s="116"/>
      <c r="AR213" s="116"/>
      <c r="AS213" s="116"/>
      <c r="AT213" s="116"/>
      <c r="AU213" s="116"/>
      <c r="AV213" s="78"/>
      <c r="AW213" s="102"/>
      <c r="AX213" s="78"/>
      <c r="AY213" s="78"/>
      <c r="AZ213" s="78"/>
      <c r="BA213" s="78"/>
      <c r="BB213" s="78"/>
      <c r="BC213" s="78"/>
      <c r="BD213" s="78"/>
      <c r="BE213" s="465"/>
      <c r="BF213" s="165" t="str">
        <f t="shared" si="181"/>
        <v>https://www.google.com/search?tbm=isch&amp;q=25%20G4</v>
      </c>
      <c r="BG213" s="165" t="str">
        <f t="shared" si="182"/>
        <v>A</v>
      </c>
      <c r="BH213" s="65"/>
      <c r="BI213" s="65"/>
      <c r="BJ213" s="65"/>
      <c r="BK213" s="65"/>
      <c r="BL213" s="99"/>
      <c r="BM213" s="99"/>
      <c r="BN213" s="99"/>
    </row>
    <row r="214" spans="1:66" s="51" customFormat="1" ht="17.25" thickBot="1" x14ac:dyDescent="0.3">
      <c r="A214" s="641" t="s">
        <v>1323</v>
      </c>
      <c r="B214" s="642"/>
      <c r="C214" s="710"/>
      <c r="D214" s="643"/>
      <c r="E214" s="643"/>
      <c r="F214" s="644"/>
      <c r="G214" s="645"/>
      <c r="H214" s="646"/>
      <c r="I214" s="647"/>
      <c r="J214" s="648"/>
      <c r="K214" s="649"/>
      <c r="L214" s="650"/>
      <c r="M214" s="650"/>
      <c r="N214" s="644"/>
      <c r="O214" s="644"/>
      <c r="P214" s="644"/>
      <c r="Q214" s="644"/>
      <c r="R214" s="644"/>
      <c r="S214" s="651"/>
      <c r="T214" s="102">
        <f t="shared" si="170"/>
        <v>0</v>
      </c>
      <c r="U214" s="78" t="str">
        <f>IF(NOT(ISNUMBER(G214)), "", VLOOKUP(A214,'Discount Lookup'!D:E,2,FALSE)*G214)</f>
        <v/>
      </c>
      <c r="V214" s="78" t="str">
        <f>IF(NOT(ISNUMBER(G214)), "", VLOOKUP(A214,'Discount Lookup'!G:H,2,FALSE)*G214)</f>
        <v/>
      </c>
      <c r="W214" s="102">
        <f t="shared" si="171"/>
        <v>0</v>
      </c>
      <c r="X214" s="102">
        <f t="shared" si="172"/>
        <v>0</v>
      </c>
      <c r="Y214" s="120" t="b">
        <f t="shared" si="173"/>
        <v>0</v>
      </c>
      <c r="Z214" s="117">
        <f t="shared" si="174"/>
        <v>0</v>
      </c>
      <c r="AA214" s="118"/>
      <c r="AB214" s="118" t="str">
        <f t="shared" si="175"/>
        <v/>
      </c>
      <c r="AC214" s="712" t="str">
        <f>IF(AE214="T2G","no charge",IF(AND(OR(PlanterYesMe="No",PlanterYesMe="N",PlanterYesMe="me"),H214=""),"",IF(H214="credit","NO install",IF(AND(K214="",AE214="me"),"EACH row",IF(AND(K214="images",AE214="me"),"EACH row",IF(D214="","",IF(H214="credit","",IF(AE214="free","re-planting",IF(AE214="me","   not ELP, by",IF(AND(OR(PlanterYesMe="Yes",PlanterYesMe="Y"),G214&gt;0),(VLOOKUP(A214,'Discount Lookup'!J:K,2)*G214*(1-PlanterDiscount)*(1+PlanterDifficultyPercentage)),IF(AE214="ELP",(VLOOKUP(A214,'Discount Lookup'!J:K,2)*G214*(1-PlanterDiscount)*(1+PlanterDifficultyPercentage)),IF(AE214="free","re-planting",IF(G214=0,"",IF(PlanterYesMe="",IF(AE214="me","   not ELP, by",IF(AE214="",IF(G214&gt;0,(VLOOKUP(A214,'Discount Lookup'!J:K,2)*G214*(1-PlanterDiscount)*(1+PlanterDifficultyPercentage)),""),"")),"   not ELP, by"))))))))))))))</f>
        <v/>
      </c>
      <c r="AD214" s="712"/>
      <c r="AE214" s="513" t="str">
        <f t="shared" si="176"/>
        <v/>
      </c>
      <c r="AF214" s="713" t="str">
        <f t="shared" si="177"/>
        <v/>
      </c>
      <c r="AG214" s="713"/>
      <c r="AH214" s="713"/>
      <c r="AI214" s="112">
        <f>IF(H214="credit",0,IF(AE214="free",0,IF(AE214="me",0,IF(G214&gt;0,(VLOOKUP(A214,'Discount Lookup'!J:K,2)*G214),0))))</f>
        <v>0</v>
      </c>
      <c r="AJ214" s="107" t="str">
        <f t="shared" ca="1" si="178"/>
        <v/>
      </c>
      <c r="AK214" s="714" t="str">
        <f t="shared" si="179"/>
        <v/>
      </c>
      <c r="AL214" s="714"/>
      <c r="AM214" s="114" t="str">
        <f t="shared" si="180"/>
        <v/>
      </c>
      <c r="AN214" s="115"/>
      <c r="AO214" s="116"/>
      <c r="AP214" s="116"/>
      <c r="AQ214" s="116"/>
      <c r="AR214" s="116"/>
      <c r="AS214" s="116"/>
      <c r="AT214" s="116"/>
      <c r="AU214" s="116"/>
      <c r="AV214" s="78"/>
      <c r="AW214" s="102"/>
      <c r="AX214" s="78"/>
      <c r="AY214" s="78"/>
      <c r="AZ214" s="78"/>
      <c r="BA214" s="78"/>
      <c r="BB214" s="78"/>
      <c r="BC214" s="78"/>
      <c r="BD214" s="78"/>
      <c r="BE214" s="465"/>
      <c r="BF214" s="165" t="str">
        <f t="shared" si="181"/>
        <v>https://www.google.com/search?tbm=isch&amp;q=Inaba%20Shidara%20offers%20lace-like%20foliage%20that%20holds%20its%20color%20through%20summer%20and%20transforms%20into%20fiery%20Crimson%20in%20the%20fall%20</v>
      </c>
      <c r="BG214" s="165" t="str">
        <f t="shared" si="182"/>
        <v>I</v>
      </c>
      <c r="BH214" s="65"/>
      <c r="BI214" s="65"/>
      <c r="BJ214" s="65"/>
      <c r="BK214" s="65"/>
      <c r="BL214" s="99"/>
      <c r="BM214" s="99"/>
      <c r="BN214" s="99"/>
    </row>
    <row r="215" spans="1:66" s="51" customFormat="1" ht="18" x14ac:dyDescent="0.25">
      <c r="A215" s="623" t="s">
        <v>1324</v>
      </c>
      <c r="B215" s="624"/>
      <c r="C215" s="709"/>
      <c r="D215" s="625" t="s">
        <v>1325</v>
      </c>
      <c r="E215" s="626"/>
      <c r="F215" s="626"/>
      <c r="G215" s="626"/>
      <c r="H215" s="622" t="s">
        <v>1326</v>
      </c>
      <c r="I215" s="627" t="s">
        <v>1327</v>
      </c>
      <c r="J215" s="628"/>
      <c r="K215" s="628"/>
      <c r="L215" s="629"/>
      <c r="M215" s="702" t="s">
        <v>5252</v>
      </c>
      <c r="N215" s="693" t="str">
        <f>IF(AND(ISTEXT($A215), ISERROR($A215+0)), HYPERLINK($BF215, "Images"), "")</f>
        <v>Images</v>
      </c>
      <c r="O215" s="695" t="s">
        <v>5247</v>
      </c>
      <c r="P215" s="630"/>
      <c r="Q215" s="631"/>
      <c r="R215" s="632"/>
      <c r="S215" s="633"/>
      <c r="T215" s="102">
        <f t="shared" si="170"/>
        <v>0</v>
      </c>
      <c r="U215" s="78" t="str">
        <f>IF(NOT(ISNUMBER(G215)), "", VLOOKUP(A215,'Discount Lookup'!D:E,2,FALSE)*G215)</f>
        <v/>
      </c>
      <c r="V215" s="78" t="str">
        <f>IF(NOT(ISNUMBER(G215)), "", VLOOKUP(A215,'Discount Lookup'!G:H,2,FALSE)*G215)</f>
        <v/>
      </c>
      <c r="W215" s="102">
        <f t="shared" si="171"/>
        <v>0</v>
      </c>
      <c r="X215" s="102" t="str">
        <f t="shared" si="172"/>
        <v>Lime-Green foliage</v>
      </c>
      <c r="Y215" s="120" t="b">
        <f t="shared" si="173"/>
        <v>0</v>
      </c>
      <c r="Z215" s="117">
        <f t="shared" si="174"/>
        <v>0</v>
      </c>
      <c r="AA215" s="118"/>
      <c r="AB215" s="118" t="str">
        <f t="shared" si="175"/>
        <v/>
      </c>
      <c r="AC215" s="712" t="str">
        <f>IF(AE215="T2G","no charge",IF(AND(OR(PlanterYesMe="No",PlanterYesMe="N",PlanterYesMe="me"),H215=""),"",IF(H215="credit","NO install",IF(AND(K215="",AE215="me"),"EACH row",IF(AND(K215="images",AE215="me"),"EACH row",IF(D215="","",IF(H215="credit","",IF(AE215="free","re-planting",IF(AE215="me","   not ELP, by",IF(AND(OR(PlanterYesMe="Yes",PlanterYesMe="Y"),G215&gt;0),(VLOOKUP(A215,'Discount Lookup'!J:K,2)*G215*(1-PlanterDiscount)*(1+PlanterDifficultyPercentage)),IF(AE215="ELP",(VLOOKUP(A215,'Discount Lookup'!J:K,2)*G215*(1-PlanterDiscount)*(1+PlanterDifficultyPercentage)),IF(AE215="free","re-planting",IF(G215=0,"",IF(PlanterYesMe="",IF(AE215="me","   not ELP, by",IF(AE215="",IF(G215&gt;0,(VLOOKUP(A215,'Discount Lookup'!J:K,2)*G215*(1-PlanterDiscount)*(1+PlanterDifficultyPercentage)),""),"")),"   not ELP, by"))))))))))))))</f>
        <v/>
      </c>
      <c r="AD215" s="712"/>
      <c r="AE215" s="513" t="str">
        <f t="shared" si="176"/>
        <v/>
      </c>
      <c r="AF215" s="713" t="str">
        <f t="shared" si="177"/>
        <v/>
      </c>
      <c r="AG215" s="713"/>
      <c r="AH215" s="713"/>
      <c r="AI215" s="112">
        <f>IF(H215="credit",0,IF(AE215="free",0,IF(AE215="me",0,IF(G215&gt;0,(VLOOKUP(A215,'Discount Lookup'!J:K,2)*G215),0))))</f>
        <v>0</v>
      </c>
      <c r="AJ215" s="107" t="str">
        <f t="shared" ca="1" si="178"/>
        <v/>
      </c>
      <c r="AK215" s="714" t="str">
        <f t="shared" si="179"/>
        <v/>
      </c>
      <c r="AL215" s="714"/>
      <c r="AM215" s="114" t="str">
        <f t="shared" si="180"/>
        <v/>
      </c>
      <c r="AN215" s="115"/>
      <c r="AO215" s="116"/>
      <c r="AP215" s="116"/>
      <c r="AQ215" s="116"/>
      <c r="AR215" s="116"/>
      <c r="AS215" s="116"/>
      <c r="AT215" s="116"/>
      <c r="AU215" s="116"/>
      <c r="AV215" s="78"/>
      <c r="AW215" s="102"/>
      <c r="AX215" s="78"/>
      <c r="AY215" s="78"/>
      <c r="AZ215" s="78"/>
      <c r="BA215" s="78"/>
      <c r="BB215" s="78"/>
      <c r="BC215" s="78"/>
      <c r="BD215" s="78"/>
      <c r="BE215" s="465"/>
      <c r="BF215" s="165" t="str">
        <f t="shared" si="181"/>
        <v>https://www.google.com/search?tbm=isch&amp;q=Acer%20palmatum%20var.%20dis.%20%27Lemon%20Lime%20Lace%27%20Lemon%20Lime%20Lace%20Japanese%20Maple</v>
      </c>
      <c r="BG215" s="165" t="str">
        <f t="shared" si="182"/>
        <v>A</v>
      </c>
      <c r="BH215" s="65"/>
      <c r="BI215" s="65"/>
      <c r="BJ215" s="65"/>
      <c r="BK215" s="65"/>
      <c r="BL215" s="99"/>
      <c r="BM215" s="99"/>
      <c r="BN215" s="99"/>
    </row>
    <row r="216" spans="1:66" s="51" customFormat="1" ht="27" x14ac:dyDescent="0.25">
      <c r="A216" s="634">
        <v>7</v>
      </c>
      <c r="B216" s="635" t="s">
        <v>291</v>
      </c>
      <c r="C216" s="636" t="s">
        <v>1328</v>
      </c>
      <c r="D216" s="637" t="s">
        <v>299</v>
      </c>
      <c r="E216" s="638">
        <v>224.95</v>
      </c>
      <c r="F216" s="639" t="s">
        <v>292</v>
      </c>
      <c r="G216" s="484">
        <v>0</v>
      </c>
      <c r="H216" s="691" t="str">
        <f>IF(G216=0,"",IF(F216="Buy",IF(G216=1,"plant","plants"),IF(F216&gt;0.01,"warranty","Error")))</f>
        <v/>
      </c>
      <c r="I216" s="640">
        <f>IF(H216="free",0,IF(H216="credit",((E216*(F216))*G216*-1),IF(F216="Buy",(E216*G216),((E216*(1-F216))*G216))))</f>
        <v>0</v>
      </c>
      <c r="J216" s="640">
        <f>IF(H216="warranty",0,(I216*(_xlfn.SINGLE(SalesTaxPercentage))))</f>
        <v>0</v>
      </c>
      <c r="K216" s="716">
        <f t="shared" ref="K216" si="185">I216+J216</f>
        <v>0</v>
      </c>
      <c r="L216" s="716"/>
      <c r="M216" s="689" t="str">
        <f ca="1">IF(AND(G216&gt;0,E216=0),"WARNING - no PRICE inserted",IF(H216="free","FREE ~ no charge this plant",IF(H216="credit",CONCATENATE("-$",ROUND(K216*(1-_xlfn.SINGLE(T2GDiscount))*-1,2)," CREDIT after discount"),IF(_xlfn.SINGLE(T2GDiscount)=0,"",IF(G216=0,"",IF(F216="Buy",CONCATENATE("$",ROUND(K216*(1-_xlfn.SINGLE(T2GDiscount)),2)," with ",(_xlfn.SINGLE(T2GDiscount)*100),"% discount"),CONCATENATE("$",ROUND(K216*(1-_xlfn.SINGLE(T2GDiscount)),2)," with ",((_xlfn.SINGLE(T2GDiscount)*100+F216*100)-(_xlfn.SINGLE(T2GDiscount)*100*F216)),IF(F216&gt;0,"% discounts",IF(_xlfn.SINGLE(NoWarrantyDiscount)&gt;0,"% discounts","% discount")))))))))</f>
        <v/>
      </c>
      <c r="N216" s="690"/>
      <c r="O216" s="486"/>
      <c r="P216" s="486"/>
      <c r="Q216" s="486"/>
      <c r="R216" s="486"/>
      <c r="S216" s="486"/>
      <c r="T216" s="102">
        <f t="shared" si="170"/>
        <v>0</v>
      </c>
      <c r="U216" s="78">
        <f>IF(NOT(ISNUMBER(G216)), "", VLOOKUP(A216,'Discount Lookup'!D:E,2,FALSE)*G216)</f>
        <v>0</v>
      </c>
      <c r="V216" s="78">
        <f>IF(NOT(ISNUMBER(G216)), "", VLOOKUP(A216,'Discount Lookup'!G:H,2,FALSE)*G216)</f>
        <v>0</v>
      </c>
      <c r="W216" s="102">
        <f t="shared" si="171"/>
        <v>0</v>
      </c>
      <c r="X216" s="102">
        <f t="shared" si="172"/>
        <v>0</v>
      </c>
      <c r="Y216" s="120" t="b">
        <f t="shared" si="173"/>
        <v>0</v>
      </c>
      <c r="Z216" s="117">
        <f t="shared" si="174"/>
        <v>0</v>
      </c>
      <c r="AA216" s="118"/>
      <c r="AB216" s="118" t="str">
        <f t="shared" si="175"/>
        <v/>
      </c>
      <c r="AC216" s="712" t="str">
        <f>IF(AE216="T2G","no charge",IF(AND(OR(PlanterYesMe="No",PlanterYesMe="N",PlanterYesMe="me"),H216=""),"",IF(H216="credit","NO install",IF(AND(K216="",AE216="me"),"EACH row",IF(AND(K216="images",AE216="me"),"EACH row",IF(D216="","",IF(H216="credit","",IF(AE216="free","re-planting",IF(AE216="me","   not ELP, by",IF(AND(OR(PlanterYesMe="Yes",PlanterYesMe="Y"),G216&gt;0),(VLOOKUP(A216,'Discount Lookup'!J:K,2)*G216*(1-PlanterDiscount)*(1+PlanterDifficultyPercentage)),IF(AE216="ELP",(VLOOKUP(A216,'Discount Lookup'!J:K,2)*G216*(1-PlanterDiscount)*(1+PlanterDifficultyPercentage)),IF(AE216="free","re-planting",IF(G216=0,"",IF(PlanterYesMe="",IF(AE216="me","   not ELP, by",IF(AE216="",IF(G216&gt;0,(VLOOKUP(A216,'Discount Lookup'!J:K,2)*G216*(1-PlanterDiscount)*(1+PlanterDifficultyPercentage)),""),"")),"   not ELP, by"))))))))))))))</f>
        <v/>
      </c>
      <c r="AD216" s="712"/>
      <c r="AE216" s="513" t="str">
        <f t="shared" si="176"/>
        <v/>
      </c>
      <c r="AF216" s="713" t="str">
        <f t="shared" si="177"/>
        <v/>
      </c>
      <c r="AG216" s="713"/>
      <c r="AH216" s="713"/>
      <c r="AI216" s="112">
        <f>IF(H216="credit",0,IF(AE216="free",0,IF(AE216="me",0,IF(G216&gt;0,(VLOOKUP(A216,'Discount Lookup'!J:K,2)*G216),0))))</f>
        <v>0</v>
      </c>
      <c r="AJ216" s="107" t="str">
        <f t="shared" ca="1" si="178"/>
        <v/>
      </c>
      <c r="AK216" s="714" t="str">
        <f t="shared" si="179"/>
        <v/>
      </c>
      <c r="AL216" s="714"/>
      <c r="AM216" s="114" t="str">
        <f t="shared" si="180"/>
        <v/>
      </c>
      <c r="AN216" s="115"/>
      <c r="AO216" s="116"/>
      <c r="AP216" s="116"/>
      <c r="AQ216" s="116"/>
      <c r="AR216" s="116"/>
      <c r="AS216" s="116"/>
      <c r="AT216" s="116"/>
      <c r="AU216" s="116"/>
      <c r="AV216" s="78"/>
      <c r="AW216" s="102"/>
      <c r="AX216" s="78"/>
      <c r="AY216" s="78"/>
      <c r="AZ216" s="78"/>
      <c r="BA216" s="78"/>
      <c r="BB216" s="78"/>
      <c r="BC216" s="78"/>
      <c r="BD216" s="78"/>
      <c r="BE216" s="465"/>
      <c r="BF216" s="165" t="str">
        <f t="shared" si="181"/>
        <v>https://www.google.com/search?tbm=isch&amp;q=7%20G4</v>
      </c>
      <c r="BG216" s="165" t="str">
        <f t="shared" si="182"/>
        <v>A</v>
      </c>
      <c r="BH216" s="65"/>
      <c r="BI216" s="65"/>
      <c r="BJ216" s="65"/>
      <c r="BK216" s="65"/>
      <c r="BL216" s="99"/>
      <c r="BM216" s="99"/>
      <c r="BN216" s="99"/>
    </row>
    <row r="217" spans="1:66" s="51" customFormat="1" ht="17.25" thickBot="1" x14ac:dyDescent="0.3">
      <c r="A217" s="641" t="s">
        <v>1329</v>
      </c>
      <c r="B217" s="642"/>
      <c r="C217" s="710"/>
      <c r="D217" s="643"/>
      <c r="E217" s="643"/>
      <c r="F217" s="644"/>
      <c r="G217" s="645"/>
      <c r="H217" s="646"/>
      <c r="I217" s="647"/>
      <c r="J217" s="648"/>
      <c r="K217" s="649"/>
      <c r="L217" s="650"/>
      <c r="M217" s="650"/>
      <c r="N217" s="644"/>
      <c r="O217" s="644"/>
      <c r="P217" s="644"/>
      <c r="Q217" s="644"/>
      <c r="R217" s="644"/>
      <c r="S217" s="651"/>
      <c r="T217" s="102">
        <f t="shared" si="170"/>
        <v>0</v>
      </c>
      <c r="U217" s="78" t="str">
        <f>IF(NOT(ISNUMBER(G217)), "", VLOOKUP(A217,'Discount Lookup'!D:E,2,FALSE)*G217)</f>
        <v/>
      </c>
      <c r="V217" s="78" t="str">
        <f>IF(NOT(ISNUMBER(G217)), "", VLOOKUP(A217,'Discount Lookup'!G:H,2,FALSE)*G217)</f>
        <v/>
      </c>
      <c r="W217" s="102">
        <f t="shared" si="171"/>
        <v>0</v>
      </c>
      <c r="X217" s="102">
        <f t="shared" si="172"/>
        <v>0</v>
      </c>
      <c r="Y217" s="120" t="b">
        <f t="shared" si="173"/>
        <v>0</v>
      </c>
      <c r="Z217" s="117">
        <f t="shared" si="174"/>
        <v>0</v>
      </c>
      <c r="AA217" s="118"/>
      <c r="AB217" s="118" t="str">
        <f t="shared" si="175"/>
        <v/>
      </c>
      <c r="AC217" s="712" t="str">
        <f>IF(AE217="T2G","no charge",IF(AND(OR(PlanterYesMe="No",PlanterYesMe="N",PlanterYesMe="me"),H217=""),"",IF(H217="credit","NO install",IF(AND(K217="",AE217="me"),"EACH row",IF(AND(K217="images",AE217="me"),"EACH row",IF(D217="","",IF(H217="credit","",IF(AE217="free","re-planting",IF(AE217="me","   not ELP, by",IF(AND(OR(PlanterYesMe="Yes",PlanterYesMe="Y"),G217&gt;0),(VLOOKUP(A217,'Discount Lookup'!J:K,2)*G217*(1-PlanterDiscount)*(1+PlanterDifficultyPercentage)),IF(AE217="ELP",(VLOOKUP(A217,'Discount Lookup'!J:K,2)*G217*(1-PlanterDiscount)*(1+PlanterDifficultyPercentage)),IF(AE217="free","re-planting",IF(G217=0,"",IF(PlanterYesMe="",IF(AE217="me","   not ELP, by",IF(AE217="",IF(G217&gt;0,(VLOOKUP(A217,'Discount Lookup'!J:K,2)*G217*(1-PlanterDiscount)*(1+PlanterDifficultyPercentage)),""),"")),"   not ELP, by"))))))))))))))</f>
        <v/>
      </c>
      <c r="AD217" s="712"/>
      <c r="AE217" s="513" t="str">
        <f t="shared" si="176"/>
        <v/>
      </c>
      <c r="AF217" s="713" t="str">
        <f t="shared" si="177"/>
        <v/>
      </c>
      <c r="AG217" s="713"/>
      <c r="AH217" s="713"/>
      <c r="AI217" s="112">
        <f>IF(H217="credit",0,IF(AE217="free",0,IF(AE217="me",0,IF(G217&gt;0,(VLOOKUP(A217,'Discount Lookup'!J:K,2)*G217),0))))</f>
        <v>0</v>
      </c>
      <c r="AJ217" s="107" t="str">
        <f t="shared" ca="1" si="178"/>
        <v/>
      </c>
      <c r="AK217" s="714" t="str">
        <f t="shared" si="179"/>
        <v/>
      </c>
      <c r="AL217" s="714"/>
      <c r="AM217" s="114" t="str">
        <f t="shared" si="180"/>
        <v/>
      </c>
      <c r="AN217" s="115"/>
      <c r="AO217" s="116"/>
      <c r="AP217" s="116"/>
      <c r="AQ217" s="116"/>
      <c r="AR217" s="116"/>
      <c r="AS217" s="116"/>
      <c r="AT217" s="116"/>
      <c r="AU217" s="116"/>
      <c r="AV217" s="78"/>
      <c r="AW217" s="102"/>
      <c r="AX217" s="78"/>
      <c r="AY217" s="78"/>
      <c r="AZ217" s="78"/>
      <c r="BA217" s="78"/>
      <c r="BB217" s="78"/>
      <c r="BC217" s="78"/>
      <c r="BD217" s="78"/>
      <c r="BE217" s="465"/>
      <c r="BF217" s="165" t="str">
        <f t="shared" si="181"/>
        <v>https://www.google.com/search?tbm=isch&amp;q=Lemon%20Lime%20Lace%20is%20a%20multicolor%20standout%20that%20turns%20Golden%20Yellow%20to%20Orange%20in%20the%20fall%20</v>
      </c>
      <c r="BG217" s="165" t="str">
        <f t="shared" si="182"/>
        <v>L</v>
      </c>
      <c r="BH217" s="65"/>
      <c r="BI217" s="65"/>
      <c r="BJ217" s="65"/>
      <c r="BK217" s="65"/>
      <c r="BL217" s="99"/>
      <c r="BM217" s="99"/>
      <c r="BN217" s="99"/>
    </row>
    <row r="218" spans="1:66" s="51" customFormat="1" ht="18" x14ac:dyDescent="0.25">
      <c r="A218" s="623" t="s">
        <v>1330</v>
      </c>
      <c r="B218" s="624"/>
      <c r="C218" s="709"/>
      <c r="D218" s="625" t="s">
        <v>1331</v>
      </c>
      <c r="E218" s="626"/>
      <c r="F218" s="626"/>
      <c r="G218" s="626"/>
      <c r="H218" s="622" t="s">
        <v>1246</v>
      </c>
      <c r="I218" s="627" t="s">
        <v>1199</v>
      </c>
      <c r="J218" s="628"/>
      <c r="K218" s="628"/>
      <c r="L218" s="629"/>
      <c r="M218" s="700" t="s">
        <v>5249</v>
      </c>
      <c r="N218" s="693" t="str">
        <f>IF(AND(ISTEXT($A218), ISERROR($A218+0)), HYPERLINK($BF218, "Images"), "")</f>
        <v>Images</v>
      </c>
      <c r="O218" s="695" t="s">
        <v>5247</v>
      </c>
      <c r="P218" s="630"/>
      <c r="Q218" s="631"/>
      <c r="R218" s="632"/>
      <c r="S218" s="633"/>
      <c r="T218" s="102">
        <f t="shared" si="170"/>
        <v>0</v>
      </c>
      <c r="U218" s="78" t="str">
        <f>IF(NOT(ISNUMBER(G218)), "", VLOOKUP(A218,'Discount Lookup'!D:E,2,FALSE)*G218)</f>
        <v/>
      </c>
      <c r="V218" s="78" t="str">
        <f>IF(NOT(ISNUMBER(G218)), "", VLOOKUP(A218,'Discount Lookup'!G:H,2,FALSE)*G218)</f>
        <v/>
      </c>
      <c r="W218" s="102">
        <f t="shared" si="171"/>
        <v>0</v>
      </c>
      <c r="X218" s="102" t="str">
        <f t="shared" si="172"/>
        <v>Burgundy-Red foliage</v>
      </c>
      <c r="Y218" s="120" t="b">
        <f t="shared" si="173"/>
        <v>0</v>
      </c>
      <c r="Z218" s="117">
        <f t="shared" si="174"/>
        <v>0</v>
      </c>
      <c r="AA218" s="118"/>
      <c r="AB218" s="118" t="str">
        <f t="shared" si="175"/>
        <v/>
      </c>
      <c r="AC218" s="712" t="str">
        <f>IF(AE218="T2G","no charge",IF(AND(OR(PlanterYesMe="No",PlanterYesMe="N",PlanterYesMe="me"),H218=""),"",IF(H218="credit","NO install",IF(AND(K218="",AE218="me"),"EACH row",IF(AND(K218="images",AE218="me"),"EACH row",IF(D218="","",IF(H218="credit","",IF(AE218="free","re-planting",IF(AE218="me","   not ELP, by",IF(AND(OR(PlanterYesMe="Yes",PlanterYesMe="Y"),G218&gt;0),(VLOOKUP(A218,'Discount Lookup'!J:K,2)*G218*(1-PlanterDiscount)*(1+PlanterDifficultyPercentage)),IF(AE218="ELP",(VLOOKUP(A218,'Discount Lookup'!J:K,2)*G218*(1-PlanterDiscount)*(1+PlanterDifficultyPercentage)),IF(AE218="free","re-planting",IF(G218=0,"",IF(PlanterYesMe="",IF(AE218="me","   not ELP, by",IF(AE218="",IF(G218&gt;0,(VLOOKUP(A218,'Discount Lookup'!J:K,2)*G218*(1-PlanterDiscount)*(1+PlanterDifficultyPercentage)),""),"")),"   not ELP, by"))))))))))))))</f>
        <v/>
      </c>
      <c r="AD218" s="712"/>
      <c r="AE218" s="513" t="str">
        <f t="shared" si="176"/>
        <v/>
      </c>
      <c r="AF218" s="713" t="str">
        <f t="shared" si="177"/>
        <v/>
      </c>
      <c r="AG218" s="713"/>
      <c r="AH218" s="713"/>
      <c r="AI218" s="112">
        <f>IF(H218="credit",0,IF(AE218="free",0,IF(AE218="me",0,IF(G218&gt;0,(VLOOKUP(A218,'Discount Lookup'!J:K,2)*G218),0))))</f>
        <v>0</v>
      </c>
      <c r="AJ218" s="107" t="str">
        <f t="shared" ca="1" si="178"/>
        <v/>
      </c>
      <c r="AK218" s="714" t="str">
        <f t="shared" si="179"/>
        <v/>
      </c>
      <c r="AL218" s="714"/>
      <c r="AM218" s="114" t="str">
        <f t="shared" si="180"/>
        <v/>
      </c>
      <c r="AN218" s="115"/>
      <c r="AO218" s="116"/>
      <c r="AP218" s="116"/>
      <c r="AQ218" s="116"/>
      <c r="AR218" s="116"/>
      <c r="AS218" s="116"/>
      <c r="AT218" s="116"/>
      <c r="AU218" s="116"/>
      <c r="AV218" s="78"/>
      <c r="AW218" s="102"/>
      <c r="AX218" s="78"/>
      <c r="AY218" s="78"/>
      <c r="AZ218" s="78"/>
      <c r="BA218" s="78"/>
      <c r="BB218" s="78"/>
      <c r="BC218" s="78"/>
      <c r="BD218" s="78"/>
      <c r="BE218" s="465"/>
      <c r="BF218" s="165" t="str">
        <f t="shared" si="181"/>
        <v>https://www.google.com/search?tbm=isch&amp;q=Acer%20palmatum%20var.%20dis.%20%27Red%20Dragon%27%20Red%20Dragon%20Japanese%20Maple</v>
      </c>
      <c r="BG218" s="165" t="str">
        <f t="shared" si="182"/>
        <v>A</v>
      </c>
      <c r="BH218" s="65"/>
      <c r="BI218" s="65"/>
      <c r="BJ218" s="65"/>
      <c r="BK218" s="65"/>
      <c r="BL218" s="99"/>
      <c r="BM218" s="99"/>
      <c r="BN218" s="99"/>
    </row>
    <row r="219" spans="1:66" s="51" customFormat="1" ht="15.75" x14ac:dyDescent="0.25">
      <c r="A219" s="634">
        <v>10</v>
      </c>
      <c r="B219" s="635" t="s">
        <v>291</v>
      </c>
      <c r="C219" s="636" t="s">
        <v>336</v>
      </c>
      <c r="D219" s="637" t="s">
        <v>329</v>
      </c>
      <c r="E219" s="638">
        <v>420.95</v>
      </c>
      <c r="F219" s="639" t="s">
        <v>292</v>
      </c>
      <c r="G219" s="484">
        <v>0</v>
      </c>
      <c r="H219" s="691" t="str">
        <f>IF(G219=0,"",IF(F219="Buy",IF(G219=1,"plant","plants"),IF(F219&gt;0.01,"warranty","Error")))</f>
        <v/>
      </c>
      <c r="I219" s="640">
        <f>IF(H219="free",0,IF(H219="credit",((E219*(F219))*G219*-1),IF(F219="Buy",(E219*G219),((E219*(1-F219))*G219))))</f>
        <v>0</v>
      </c>
      <c r="J219" s="640">
        <f>IF(H219="warranty",0,(I219*(_xlfn.SINGLE(SalesTaxPercentage))))</f>
        <v>0</v>
      </c>
      <c r="K219" s="716">
        <f t="shared" ref="K219" si="186">I219+J219</f>
        <v>0</v>
      </c>
      <c r="L219" s="716"/>
      <c r="M219" s="689" t="str">
        <f ca="1">IF(AND(G219&gt;0,E219=0),"WARNING - no PRICE inserted",IF(H219="free","FREE ~ no charge this plant",IF(H219="credit",CONCATENATE("-$",ROUND(K219*(1-_xlfn.SINGLE(T2GDiscount))*-1,2)," CREDIT after discount"),IF(_xlfn.SINGLE(T2GDiscount)=0,"",IF(G219=0,"",IF(F219="Buy",CONCATENATE("$",ROUND(K219*(1-_xlfn.SINGLE(T2GDiscount)),2)," with ",(_xlfn.SINGLE(T2GDiscount)*100),"% discount"),CONCATENATE("$",ROUND(K219*(1-_xlfn.SINGLE(T2GDiscount)),2)," with ",((_xlfn.SINGLE(T2GDiscount)*100+F219*100)-(_xlfn.SINGLE(T2GDiscount)*100*F219)),IF(F219&gt;0,"% discounts",IF(_xlfn.SINGLE(NoWarrantyDiscount)&gt;0,"% discounts","% discount")))))))))</f>
        <v/>
      </c>
      <c r="N219" s="690"/>
      <c r="O219" s="486"/>
      <c r="P219" s="486"/>
      <c r="Q219" s="486"/>
      <c r="R219" s="486"/>
      <c r="S219" s="486"/>
      <c r="T219" s="102">
        <f t="shared" si="170"/>
        <v>0</v>
      </c>
      <c r="U219" s="78">
        <f>IF(NOT(ISNUMBER(G219)), "", VLOOKUP(A219,'Discount Lookup'!D:E,2,FALSE)*G219)</f>
        <v>0</v>
      </c>
      <c r="V219" s="78">
        <f>IF(NOT(ISNUMBER(G219)), "", VLOOKUP(A219,'Discount Lookup'!G:H,2,FALSE)*G219)</f>
        <v>0</v>
      </c>
      <c r="W219" s="102">
        <f t="shared" si="171"/>
        <v>0</v>
      </c>
      <c r="X219" s="102">
        <f t="shared" si="172"/>
        <v>0</v>
      </c>
      <c r="Y219" s="120" t="b">
        <f t="shared" si="173"/>
        <v>0</v>
      </c>
      <c r="Z219" s="117">
        <f t="shared" si="174"/>
        <v>0</v>
      </c>
      <c r="AA219" s="118"/>
      <c r="AB219" s="118" t="str">
        <f t="shared" si="175"/>
        <v/>
      </c>
      <c r="AC219" s="712" t="str">
        <f>IF(AE219="T2G","no charge",IF(AND(OR(PlanterYesMe="No",PlanterYesMe="N",PlanterYesMe="me"),H219=""),"",IF(H219="credit","NO install",IF(AND(K219="",AE219="me"),"EACH row",IF(AND(K219="images",AE219="me"),"EACH row",IF(D219="","",IF(H219="credit","",IF(AE219="free","re-planting",IF(AE219="me","   not ELP, by",IF(AND(OR(PlanterYesMe="Yes",PlanterYesMe="Y"),G219&gt;0),(VLOOKUP(A219,'Discount Lookup'!J:K,2)*G219*(1-PlanterDiscount)*(1+PlanterDifficultyPercentage)),IF(AE219="ELP",(VLOOKUP(A219,'Discount Lookup'!J:K,2)*G219*(1-PlanterDiscount)*(1+PlanterDifficultyPercentage)),IF(AE219="free","re-planting",IF(G219=0,"",IF(PlanterYesMe="",IF(AE219="me","   not ELP, by",IF(AE219="",IF(G219&gt;0,(VLOOKUP(A219,'Discount Lookup'!J:K,2)*G219*(1-PlanterDiscount)*(1+PlanterDifficultyPercentage)),""),"")),"   not ELP, by"))))))))))))))</f>
        <v/>
      </c>
      <c r="AD219" s="712"/>
      <c r="AE219" s="513" t="str">
        <f t="shared" si="176"/>
        <v/>
      </c>
      <c r="AF219" s="713" t="str">
        <f t="shared" si="177"/>
        <v/>
      </c>
      <c r="AG219" s="713"/>
      <c r="AH219" s="713"/>
      <c r="AI219" s="112">
        <f>IF(H219="credit",0,IF(AE219="free",0,IF(AE219="me",0,IF(G219&gt;0,(VLOOKUP(A219,'Discount Lookup'!J:K,2)*G219),0))))</f>
        <v>0</v>
      </c>
      <c r="AJ219" s="107" t="str">
        <f t="shared" ca="1" si="178"/>
        <v/>
      </c>
      <c r="AK219" s="714" t="str">
        <f t="shared" si="179"/>
        <v/>
      </c>
      <c r="AL219" s="714"/>
      <c r="AM219" s="114" t="str">
        <f t="shared" si="180"/>
        <v/>
      </c>
      <c r="AN219" s="115"/>
      <c r="AO219" s="116"/>
      <c r="AP219" s="116"/>
      <c r="AQ219" s="116"/>
      <c r="AR219" s="116"/>
      <c r="AS219" s="116"/>
      <c r="AT219" s="116"/>
      <c r="AU219" s="116"/>
      <c r="AV219" s="78"/>
      <c r="AW219" s="102"/>
      <c r="AX219" s="78"/>
      <c r="AY219" s="78"/>
      <c r="AZ219" s="78"/>
      <c r="BA219" s="78"/>
      <c r="BB219" s="78"/>
      <c r="BC219" s="78"/>
      <c r="BD219" s="78"/>
      <c r="BE219" s="465"/>
      <c r="BF219" s="165" t="str">
        <f t="shared" si="181"/>
        <v>https://www.google.com/search?tbm=isch&amp;q=10%20G2</v>
      </c>
      <c r="BG219" s="165" t="str">
        <f t="shared" si="182"/>
        <v>A</v>
      </c>
      <c r="BH219" s="65"/>
      <c r="BI219" s="65"/>
      <c r="BJ219" s="65"/>
      <c r="BK219" s="65"/>
      <c r="BL219" s="99"/>
      <c r="BM219" s="99"/>
      <c r="BN219" s="99"/>
    </row>
    <row r="220" spans="1:66" s="51" customFormat="1" ht="17.25" thickBot="1" x14ac:dyDescent="0.3">
      <c r="A220" s="641" t="s">
        <v>1332</v>
      </c>
      <c r="B220" s="642"/>
      <c r="C220" s="710"/>
      <c r="D220" s="643"/>
      <c r="E220" s="643"/>
      <c r="F220" s="644"/>
      <c r="G220" s="645"/>
      <c r="H220" s="646"/>
      <c r="I220" s="647"/>
      <c r="J220" s="648"/>
      <c r="K220" s="649"/>
      <c r="L220" s="650"/>
      <c r="M220" s="650"/>
      <c r="N220" s="644"/>
      <c r="O220" s="644"/>
      <c r="P220" s="644"/>
      <c r="Q220" s="644"/>
      <c r="R220" s="644"/>
      <c r="S220" s="651"/>
      <c r="T220" s="102">
        <f t="shared" si="170"/>
        <v>0</v>
      </c>
      <c r="U220" s="78" t="str">
        <f>IF(NOT(ISNUMBER(G220)), "", VLOOKUP(A220,'Discount Lookup'!D:E,2,FALSE)*G220)</f>
        <v/>
      </c>
      <c r="V220" s="78" t="str">
        <f>IF(NOT(ISNUMBER(G220)), "", VLOOKUP(A220,'Discount Lookup'!G:H,2,FALSE)*G220)</f>
        <v/>
      </c>
      <c r="W220" s="102">
        <f t="shared" si="171"/>
        <v>0</v>
      </c>
      <c r="X220" s="102">
        <f t="shared" si="172"/>
        <v>0</v>
      </c>
      <c r="Y220" s="120" t="b">
        <f t="shared" si="173"/>
        <v>0</v>
      </c>
      <c r="Z220" s="117">
        <f t="shared" si="174"/>
        <v>0</v>
      </c>
      <c r="AA220" s="118"/>
      <c r="AB220" s="118" t="str">
        <f t="shared" si="175"/>
        <v/>
      </c>
      <c r="AC220" s="712" t="str">
        <f>IF(AE220="T2G","no charge",IF(AND(OR(PlanterYesMe="No",PlanterYesMe="N",PlanterYesMe="me"),H220=""),"",IF(H220="credit","NO install",IF(AND(K220="",AE220="me"),"EACH row",IF(AND(K220="images",AE220="me"),"EACH row",IF(D220="","",IF(H220="credit","",IF(AE220="free","re-planting",IF(AE220="me","   not ELP, by",IF(AND(OR(PlanterYesMe="Yes",PlanterYesMe="Y"),G220&gt;0),(VLOOKUP(A220,'Discount Lookup'!J:K,2)*G220*(1-PlanterDiscount)*(1+PlanterDifficultyPercentage)),IF(AE220="ELP",(VLOOKUP(A220,'Discount Lookup'!J:K,2)*G220*(1-PlanterDiscount)*(1+PlanterDifficultyPercentage)),IF(AE220="free","re-planting",IF(G220=0,"",IF(PlanterYesMe="",IF(AE220="me","   not ELP, by",IF(AE220="",IF(G220&gt;0,(VLOOKUP(A220,'Discount Lookup'!J:K,2)*G220*(1-PlanterDiscount)*(1+PlanterDifficultyPercentage)),""),"")),"   not ELP, by"))))))))))))))</f>
        <v/>
      </c>
      <c r="AD220" s="712"/>
      <c r="AE220" s="513" t="str">
        <f t="shared" si="176"/>
        <v/>
      </c>
      <c r="AF220" s="713" t="str">
        <f t="shared" si="177"/>
        <v/>
      </c>
      <c r="AG220" s="713"/>
      <c r="AH220" s="713"/>
      <c r="AI220" s="112">
        <f>IF(H220="credit",0,IF(AE220="free",0,IF(AE220="me",0,IF(G220&gt;0,(VLOOKUP(A220,'Discount Lookup'!J:K,2)*G220),0))))</f>
        <v>0</v>
      </c>
      <c r="AJ220" s="107" t="str">
        <f t="shared" ca="1" si="178"/>
        <v/>
      </c>
      <c r="AK220" s="714" t="str">
        <f t="shared" si="179"/>
        <v/>
      </c>
      <c r="AL220" s="714"/>
      <c r="AM220" s="114" t="str">
        <f t="shared" si="180"/>
        <v/>
      </c>
      <c r="AN220" s="115"/>
      <c r="AO220" s="116"/>
      <c r="AP220" s="116"/>
      <c r="AQ220" s="116"/>
      <c r="AR220" s="116"/>
      <c r="AS220" s="116"/>
      <c r="AT220" s="116"/>
      <c r="AU220" s="116"/>
      <c r="AV220" s="78"/>
      <c r="AW220" s="102"/>
      <c r="AX220" s="78"/>
      <c r="AY220" s="78"/>
      <c r="AZ220" s="78"/>
      <c r="BA220" s="78"/>
      <c r="BB220" s="78"/>
      <c r="BC220" s="78"/>
      <c r="BD220" s="78"/>
      <c r="BE220" s="465"/>
      <c r="BF220" s="165" t="str">
        <f t="shared" si="181"/>
        <v>https://www.google.com/search?tbm=isch&amp;q=Red%20Dragon%20is%20only%20J.%20Maple%20with%20non-dissected%20leaf%20in%20a%20weeping%20form.%20Turns%20fiery%20Orange-Red%20in%20fall%20</v>
      </c>
      <c r="BG220" s="165" t="str">
        <f t="shared" si="182"/>
        <v>R</v>
      </c>
      <c r="BH220" s="65"/>
      <c r="BI220" s="65"/>
      <c r="BJ220" s="65"/>
      <c r="BK220" s="65"/>
      <c r="BL220" s="99"/>
      <c r="BM220" s="99"/>
      <c r="BN220" s="99"/>
    </row>
    <row r="221" spans="1:66" s="51" customFormat="1" ht="18" x14ac:dyDescent="0.25">
      <c r="A221" s="623" t="s">
        <v>1333</v>
      </c>
      <c r="B221" s="624"/>
      <c r="C221" s="709"/>
      <c r="D221" s="625" t="s">
        <v>1334</v>
      </c>
      <c r="E221" s="626"/>
      <c r="F221" s="626"/>
      <c r="G221" s="626"/>
      <c r="H221" s="622" t="s">
        <v>333</v>
      </c>
      <c r="I221" s="627" t="s">
        <v>1252</v>
      </c>
      <c r="J221" s="628"/>
      <c r="K221" s="628"/>
      <c r="L221" s="629"/>
      <c r="M221" s="700" t="s">
        <v>5249</v>
      </c>
      <c r="N221" s="693" t="str">
        <f>IF(AND(ISTEXT($A221), ISERROR($A221+0)), HYPERLINK($BF221, "Images"), "")</f>
        <v>Images</v>
      </c>
      <c r="O221" s="695" t="s">
        <v>5247</v>
      </c>
      <c r="P221" s="630"/>
      <c r="Q221" s="631"/>
      <c r="R221" s="632"/>
      <c r="S221" s="633"/>
      <c r="T221" s="102">
        <f t="shared" si="170"/>
        <v>0</v>
      </c>
      <c r="U221" s="78" t="str">
        <f>IF(NOT(ISNUMBER(G221)), "", VLOOKUP(A221,'Discount Lookup'!D:E,2,FALSE)*G221)</f>
        <v/>
      </c>
      <c r="V221" s="78" t="str">
        <f>IF(NOT(ISNUMBER(G221)), "", VLOOKUP(A221,'Discount Lookup'!G:H,2,FALSE)*G221)</f>
        <v/>
      </c>
      <c r="W221" s="102">
        <f t="shared" si="171"/>
        <v>0</v>
      </c>
      <c r="X221" s="102" t="str">
        <f t="shared" si="172"/>
        <v>Green foliage, Red edges</v>
      </c>
      <c r="Y221" s="120" t="b">
        <f t="shared" si="173"/>
        <v>0</v>
      </c>
      <c r="Z221" s="117">
        <f t="shared" si="174"/>
        <v>0</v>
      </c>
      <c r="AA221" s="118"/>
      <c r="AB221" s="118" t="str">
        <f t="shared" si="175"/>
        <v/>
      </c>
      <c r="AC221" s="712" t="str">
        <f>IF(AE221="T2G","no charge",IF(AND(OR(PlanterYesMe="No",PlanterYesMe="N",PlanterYesMe="me"),H221=""),"",IF(H221="credit","NO install",IF(AND(K221="",AE221="me"),"EACH row",IF(AND(K221="images",AE221="me"),"EACH row",IF(D221="","",IF(H221="credit","",IF(AE221="free","re-planting",IF(AE221="me","   not ELP, by",IF(AND(OR(PlanterYesMe="Yes",PlanterYesMe="Y"),G221&gt;0),(VLOOKUP(A221,'Discount Lookup'!J:K,2)*G221*(1-PlanterDiscount)*(1+PlanterDifficultyPercentage)),IF(AE221="ELP",(VLOOKUP(A221,'Discount Lookup'!J:K,2)*G221*(1-PlanterDiscount)*(1+PlanterDifficultyPercentage)),IF(AE221="free","re-planting",IF(G221=0,"",IF(PlanterYesMe="",IF(AE221="me","   not ELP, by",IF(AE221="",IF(G221&gt;0,(VLOOKUP(A221,'Discount Lookup'!J:K,2)*G221*(1-PlanterDiscount)*(1+PlanterDifficultyPercentage)),""),"")),"   not ELP, by"))))))))))))))</f>
        <v/>
      </c>
      <c r="AD221" s="712"/>
      <c r="AE221" s="513" t="str">
        <f t="shared" si="176"/>
        <v/>
      </c>
      <c r="AF221" s="713" t="str">
        <f t="shared" si="177"/>
        <v/>
      </c>
      <c r="AG221" s="713"/>
      <c r="AH221" s="713"/>
      <c r="AI221" s="112">
        <f>IF(H221="credit",0,IF(AE221="free",0,IF(AE221="me",0,IF(G221&gt;0,(VLOOKUP(A221,'Discount Lookup'!J:K,2)*G221),0))))</f>
        <v>0</v>
      </c>
      <c r="AJ221" s="107" t="str">
        <f t="shared" ca="1" si="178"/>
        <v/>
      </c>
      <c r="AK221" s="714" t="str">
        <f t="shared" si="179"/>
        <v/>
      </c>
      <c r="AL221" s="714"/>
      <c r="AM221" s="114" t="str">
        <f t="shared" si="180"/>
        <v/>
      </c>
      <c r="AN221" s="115"/>
      <c r="AO221" s="116"/>
      <c r="AP221" s="116"/>
      <c r="AQ221" s="116"/>
      <c r="AR221" s="116"/>
      <c r="AS221" s="116"/>
      <c r="AT221" s="116"/>
      <c r="AU221" s="116"/>
      <c r="AV221" s="78"/>
      <c r="AW221" s="102"/>
      <c r="AX221" s="78"/>
      <c r="AY221" s="78"/>
      <c r="AZ221" s="78"/>
      <c r="BA221" s="78"/>
      <c r="BB221" s="78"/>
      <c r="BC221" s="78"/>
      <c r="BD221" s="78"/>
      <c r="BE221" s="465"/>
      <c r="BF221" s="165" t="str">
        <f t="shared" si="181"/>
        <v>https://www.google.com/search?tbm=isch&amp;q=Acer%20palmatum%20var.%20dis.%20%27Seiryu%27%20Seiryu%20Japanese%20Maple</v>
      </c>
      <c r="BG221" s="165" t="str">
        <f t="shared" si="182"/>
        <v>A</v>
      </c>
      <c r="BH221" s="65"/>
      <c r="BI221" s="65"/>
      <c r="BJ221" s="65"/>
      <c r="BK221" s="65"/>
      <c r="BL221" s="99"/>
      <c r="BM221" s="99"/>
      <c r="BN221" s="99"/>
    </row>
    <row r="222" spans="1:66" s="51" customFormat="1" ht="27" x14ac:dyDescent="0.25">
      <c r="A222" s="634">
        <v>15</v>
      </c>
      <c r="B222" s="635" t="s">
        <v>291</v>
      </c>
      <c r="C222" s="636" t="s">
        <v>1335</v>
      </c>
      <c r="D222" s="637" t="s">
        <v>299</v>
      </c>
      <c r="E222" s="638">
        <v>436.95</v>
      </c>
      <c r="F222" s="639" t="s">
        <v>292</v>
      </c>
      <c r="G222" s="484">
        <v>0</v>
      </c>
      <c r="H222" s="691" t="str">
        <f>IF(G222=0,"",IF(F222="Buy",IF(G222=1,"plant","plants"),IF(F222&gt;0.01,"warranty","Error")))</f>
        <v/>
      </c>
      <c r="I222" s="640">
        <f>IF(H222="free",0,IF(H222="credit",((E222*(F222))*G222*-1),IF(F222="Buy",(E222*G222),((E222*(1-F222))*G222))))</f>
        <v>0</v>
      </c>
      <c r="J222" s="640">
        <f>IF(H222="warranty",0,(I222*(_xlfn.SINGLE(SalesTaxPercentage))))</f>
        <v>0</v>
      </c>
      <c r="K222" s="716">
        <f t="shared" ref="K222" si="187">I222+J222</f>
        <v>0</v>
      </c>
      <c r="L222" s="716"/>
      <c r="M222" s="689" t="str">
        <f ca="1">IF(AND(G222&gt;0,E222=0),"WARNING - no PRICE inserted",IF(H222="free","FREE ~ no charge this plant",IF(H222="credit",CONCATENATE("-$",ROUND(K222*(1-_xlfn.SINGLE(T2GDiscount))*-1,2)," CREDIT after discount"),IF(_xlfn.SINGLE(T2GDiscount)=0,"",IF(G222=0,"",IF(F222="Buy",CONCATENATE("$",ROUND(K222*(1-_xlfn.SINGLE(T2GDiscount)),2)," with ",(_xlfn.SINGLE(T2GDiscount)*100),"% discount"),CONCATENATE("$",ROUND(K222*(1-_xlfn.SINGLE(T2GDiscount)),2)," with ",((_xlfn.SINGLE(T2GDiscount)*100+F222*100)-(_xlfn.SINGLE(T2GDiscount)*100*F222)),IF(F222&gt;0,"% discounts",IF(_xlfn.SINGLE(NoWarrantyDiscount)&gt;0,"% discounts","% discount")))))))))</f>
        <v/>
      </c>
      <c r="N222" s="690"/>
      <c r="O222" s="486"/>
      <c r="P222" s="486"/>
      <c r="Q222" s="486"/>
      <c r="R222" s="486"/>
      <c r="S222" s="486"/>
      <c r="T222" s="102">
        <f t="shared" si="170"/>
        <v>0</v>
      </c>
      <c r="U222" s="78">
        <f>IF(NOT(ISNUMBER(G222)), "", VLOOKUP(A222,'Discount Lookup'!D:E,2,FALSE)*G222)</f>
        <v>0</v>
      </c>
      <c r="V222" s="78">
        <f>IF(NOT(ISNUMBER(G222)), "", VLOOKUP(A222,'Discount Lookup'!G:H,2,FALSE)*G222)</f>
        <v>0</v>
      </c>
      <c r="W222" s="102">
        <f t="shared" si="171"/>
        <v>0</v>
      </c>
      <c r="X222" s="102">
        <f t="shared" si="172"/>
        <v>0</v>
      </c>
      <c r="Y222" s="120" t="b">
        <f t="shared" si="173"/>
        <v>0</v>
      </c>
      <c r="Z222" s="117">
        <f t="shared" si="174"/>
        <v>0</v>
      </c>
      <c r="AA222" s="118"/>
      <c r="AB222" s="118" t="str">
        <f t="shared" si="175"/>
        <v/>
      </c>
      <c r="AC222" s="712" t="str">
        <f>IF(AE222="T2G","no charge",IF(AND(OR(PlanterYesMe="No",PlanterYesMe="N",PlanterYesMe="me"),H222=""),"",IF(H222="credit","NO install",IF(AND(K222="",AE222="me"),"EACH row",IF(AND(K222="images",AE222="me"),"EACH row",IF(D222="","",IF(H222="credit","",IF(AE222="free","re-planting",IF(AE222="me","   not ELP, by",IF(AND(OR(PlanterYesMe="Yes",PlanterYesMe="Y"),G222&gt;0),(VLOOKUP(A222,'Discount Lookup'!J:K,2)*G222*(1-PlanterDiscount)*(1+PlanterDifficultyPercentage)),IF(AE222="ELP",(VLOOKUP(A222,'Discount Lookup'!J:K,2)*G222*(1-PlanterDiscount)*(1+PlanterDifficultyPercentage)),IF(AE222="free","re-planting",IF(G222=0,"",IF(PlanterYesMe="",IF(AE222="me","   not ELP, by",IF(AE222="",IF(G222&gt;0,(VLOOKUP(A222,'Discount Lookup'!J:K,2)*G222*(1-PlanterDiscount)*(1+PlanterDifficultyPercentage)),""),"")),"   not ELP, by"))))))))))))))</f>
        <v/>
      </c>
      <c r="AD222" s="712"/>
      <c r="AE222" s="513" t="str">
        <f t="shared" si="176"/>
        <v/>
      </c>
      <c r="AF222" s="713" t="str">
        <f t="shared" si="177"/>
        <v/>
      </c>
      <c r="AG222" s="713"/>
      <c r="AH222" s="713"/>
      <c r="AI222" s="112">
        <f>IF(H222="credit",0,IF(AE222="free",0,IF(AE222="me",0,IF(G222&gt;0,(VLOOKUP(A222,'Discount Lookup'!J:K,2)*G222),0))))</f>
        <v>0</v>
      </c>
      <c r="AJ222" s="107" t="str">
        <f t="shared" ca="1" si="178"/>
        <v/>
      </c>
      <c r="AK222" s="714" t="str">
        <f t="shared" si="179"/>
        <v/>
      </c>
      <c r="AL222" s="714"/>
      <c r="AM222" s="114" t="str">
        <f t="shared" si="180"/>
        <v/>
      </c>
      <c r="AN222" s="115"/>
      <c r="AO222" s="116"/>
      <c r="AP222" s="116"/>
      <c r="AQ222" s="116"/>
      <c r="AR222" s="116"/>
      <c r="AS222" s="116"/>
      <c r="AT222" s="116"/>
      <c r="AU222" s="116"/>
      <c r="AV222" s="78"/>
      <c r="AW222" s="102"/>
      <c r="AX222" s="78"/>
      <c r="AY222" s="78"/>
      <c r="AZ222" s="78"/>
      <c r="BA222" s="78"/>
      <c r="BB222" s="78"/>
      <c r="BC222" s="78"/>
      <c r="BD222" s="78"/>
      <c r="BE222" s="465"/>
      <c r="BF222" s="165" t="str">
        <f t="shared" si="181"/>
        <v>https://www.google.com/search?tbm=isch&amp;q=15%20G4</v>
      </c>
      <c r="BG222" s="165" t="str">
        <f t="shared" si="182"/>
        <v>A</v>
      </c>
      <c r="BH222" s="65"/>
      <c r="BI222" s="65"/>
      <c r="BJ222" s="65"/>
      <c r="BK222" s="65"/>
      <c r="BL222" s="99"/>
      <c r="BM222" s="99"/>
      <c r="BN222" s="99"/>
    </row>
    <row r="223" spans="1:66" s="51" customFormat="1" ht="27" x14ac:dyDescent="0.25">
      <c r="A223" s="634">
        <v>25</v>
      </c>
      <c r="B223" s="635" t="s">
        <v>291</v>
      </c>
      <c r="C223" s="636" t="s">
        <v>1336</v>
      </c>
      <c r="D223" s="637" t="s">
        <v>299</v>
      </c>
      <c r="E223" s="638">
        <v>869.95</v>
      </c>
      <c r="F223" s="639" t="s">
        <v>292</v>
      </c>
      <c r="G223" s="484">
        <v>0</v>
      </c>
      <c r="H223" s="691" t="str">
        <f>IF(G223=0,"",IF(F223="Buy",IF(G223=1,"plant","plants"),IF(F223&gt;0.01,"warranty","Error")))</f>
        <v/>
      </c>
      <c r="I223" s="640">
        <f>IF(H223="free",0,IF(H223="credit",((E223*(F223))*G223*-1),IF(F223="Buy",(E223*G223),((E223*(1-F223))*G223))))</f>
        <v>0</v>
      </c>
      <c r="J223" s="640">
        <f>IF(H223="warranty",0,(I223*(_xlfn.SINGLE(SalesTaxPercentage))))</f>
        <v>0</v>
      </c>
      <c r="K223" s="716">
        <f t="shared" ref="K223" si="188">I223+J223</f>
        <v>0</v>
      </c>
      <c r="L223" s="716"/>
      <c r="M223" s="689" t="str">
        <f ca="1">IF(AND(G223&gt;0,E223=0),"WARNING - no PRICE inserted",IF(H223="free","FREE ~ no charge this plant",IF(H223="credit",CONCATENATE("-$",ROUND(K223*(1-_xlfn.SINGLE(T2GDiscount))*-1,2)," CREDIT after discount"),IF(_xlfn.SINGLE(T2GDiscount)=0,"",IF(G223=0,"",IF(F223="Buy",CONCATENATE("$",ROUND(K223*(1-_xlfn.SINGLE(T2GDiscount)),2)," with ",(_xlfn.SINGLE(T2GDiscount)*100),"% discount"),CONCATENATE("$",ROUND(K223*(1-_xlfn.SINGLE(T2GDiscount)),2)," with ",((_xlfn.SINGLE(T2GDiscount)*100+F223*100)-(_xlfn.SINGLE(T2GDiscount)*100*F223)),IF(F223&gt;0,"% discounts",IF(_xlfn.SINGLE(NoWarrantyDiscount)&gt;0,"% discounts","% discount")))))))))</f>
        <v/>
      </c>
      <c r="N223" s="690"/>
      <c r="O223" s="486"/>
      <c r="P223" s="486"/>
      <c r="Q223" s="486"/>
      <c r="R223" s="486"/>
      <c r="S223" s="486"/>
      <c r="T223" s="102">
        <f t="shared" si="170"/>
        <v>0</v>
      </c>
      <c r="U223" s="78">
        <f>IF(NOT(ISNUMBER(G223)), "", VLOOKUP(A223,'Discount Lookup'!D:E,2,FALSE)*G223)</f>
        <v>0</v>
      </c>
      <c r="V223" s="78">
        <f>IF(NOT(ISNUMBER(G223)), "", VLOOKUP(A223,'Discount Lookup'!G:H,2,FALSE)*G223)</f>
        <v>0</v>
      </c>
      <c r="W223" s="102">
        <f t="shared" si="171"/>
        <v>0</v>
      </c>
      <c r="X223" s="102">
        <f t="shared" si="172"/>
        <v>0</v>
      </c>
      <c r="Y223" s="120" t="b">
        <f t="shared" si="173"/>
        <v>0</v>
      </c>
      <c r="Z223" s="117">
        <f t="shared" si="174"/>
        <v>0</v>
      </c>
      <c r="AA223" s="118"/>
      <c r="AB223" s="118" t="str">
        <f t="shared" si="175"/>
        <v/>
      </c>
      <c r="AC223" s="712" t="str">
        <f>IF(AE223="T2G","no charge",IF(AND(OR(PlanterYesMe="No",PlanterYesMe="N",PlanterYesMe="me"),H223=""),"",IF(H223="credit","NO install",IF(AND(K223="",AE223="me"),"EACH row",IF(AND(K223="images",AE223="me"),"EACH row",IF(D223="","",IF(H223="credit","",IF(AE223="free","re-planting",IF(AE223="me","   not ELP, by",IF(AND(OR(PlanterYesMe="Yes",PlanterYesMe="Y"),G223&gt;0),(VLOOKUP(A223,'Discount Lookup'!J:K,2)*G223*(1-PlanterDiscount)*(1+PlanterDifficultyPercentage)),IF(AE223="ELP",(VLOOKUP(A223,'Discount Lookup'!J:K,2)*G223*(1-PlanterDiscount)*(1+PlanterDifficultyPercentage)),IF(AE223="free","re-planting",IF(G223=0,"",IF(PlanterYesMe="",IF(AE223="me","   not ELP, by",IF(AE223="",IF(G223&gt;0,(VLOOKUP(A223,'Discount Lookup'!J:K,2)*G223*(1-PlanterDiscount)*(1+PlanterDifficultyPercentage)),""),"")),"   not ELP, by"))))))))))))))</f>
        <v/>
      </c>
      <c r="AD223" s="712"/>
      <c r="AE223" s="513" t="str">
        <f t="shared" si="176"/>
        <v/>
      </c>
      <c r="AF223" s="713" t="str">
        <f t="shared" si="177"/>
        <v/>
      </c>
      <c r="AG223" s="713"/>
      <c r="AH223" s="713"/>
      <c r="AI223" s="112">
        <f>IF(H223="credit",0,IF(AE223="free",0,IF(AE223="me",0,IF(G223&gt;0,(VLOOKUP(A223,'Discount Lookup'!J:K,2)*G223),0))))</f>
        <v>0</v>
      </c>
      <c r="AJ223" s="107" t="str">
        <f t="shared" ca="1" si="178"/>
        <v/>
      </c>
      <c r="AK223" s="714" t="str">
        <f t="shared" si="179"/>
        <v/>
      </c>
      <c r="AL223" s="714"/>
      <c r="AM223" s="114" t="str">
        <f t="shared" si="180"/>
        <v/>
      </c>
      <c r="AN223" s="115"/>
      <c r="AO223" s="116"/>
      <c r="AP223" s="116"/>
      <c r="AQ223" s="116"/>
      <c r="AR223" s="116"/>
      <c r="AS223" s="116"/>
      <c r="AT223" s="116"/>
      <c r="AU223" s="116"/>
      <c r="AV223" s="78"/>
      <c r="AW223" s="102"/>
      <c r="AX223" s="78"/>
      <c r="AY223" s="78"/>
      <c r="AZ223" s="78"/>
      <c r="BA223" s="78"/>
      <c r="BB223" s="78"/>
      <c r="BC223" s="78"/>
      <c r="BD223" s="78"/>
      <c r="BE223" s="465"/>
      <c r="BF223" s="165" t="str">
        <f t="shared" si="181"/>
        <v>https://www.google.com/search?tbm=isch&amp;q=25%20G4</v>
      </c>
      <c r="BG223" s="165" t="str">
        <f t="shared" si="182"/>
        <v>A</v>
      </c>
      <c r="BH223" s="65"/>
      <c r="BI223" s="65"/>
      <c r="BJ223" s="65"/>
      <c r="BK223" s="65"/>
      <c r="BL223" s="99"/>
      <c r="BM223" s="99"/>
      <c r="BN223" s="99"/>
    </row>
    <row r="224" spans="1:66" s="51" customFormat="1" ht="27" x14ac:dyDescent="0.25">
      <c r="A224" s="634">
        <v>95</v>
      </c>
      <c r="B224" s="635" t="s">
        <v>291</v>
      </c>
      <c r="C224" s="636" t="s">
        <v>1337</v>
      </c>
      <c r="D224" s="637" t="s">
        <v>299</v>
      </c>
      <c r="E224" s="638">
        <v>1692.95</v>
      </c>
      <c r="F224" s="639" t="s">
        <v>292</v>
      </c>
      <c r="G224" s="484">
        <v>0</v>
      </c>
      <c r="H224" s="691" t="str">
        <f>IF(G224=0,"",IF(F224="Buy",IF(G224=1,"plant","plants"),IF(F224&gt;0.01,"warranty","Error")))</f>
        <v/>
      </c>
      <c r="I224" s="640">
        <f>IF(H224="free",0,IF(H224="credit",((E224*(F224))*G224*-1),IF(F224="Buy",(E224*G224),((E224*(1-F224))*G224))))</f>
        <v>0</v>
      </c>
      <c r="J224" s="640">
        <f>IF(H224="warranty",0,(I224*(_xlfn.SINGLE(SalesTaxPercentage))))</f>
        <v>0</v>
      </c>
      <c r="K224" s="716">
        <f t="shared" ref="K224" si="189">I224+J224</f>
        <v>0</v>
      </c>
      <c r="L224" s="716"/>
      <c r="M224" s="689" t="str">
        <f ca="1">IF(AND(G224&gt;0,E224=0),"WARNING - no PRICE inserted",IF(H224="free","FREE ~ no charge this plant",IF(H224="credit",CONCATENATE("-$",ROUND(K224*(1-_xlfn.SINGLE(T2GDiscount))*-1,2)," CREDIT after discount"),IF(_xlfn.SINGLE(T2GDiscount)=0,"",IF(G224=0,"",IF(F224="Buy",CONCATENATE("$",ROUND(K224*(1-_xlfn.SINGLE(T2GDiscount)),2)," with ",(_xlfn.SINGLE(T2GDiscount)*100),"% discount"),CONCATENATE("$",ROUND(K224*(1-_xlfn.SINGLE(T2GDiscount)),2)," with ",((_xlfn.SINGLE(T2GDiscount)*100+F224*100)-(_xlfn.SINGLE(T2GDiscount)*100*F224)),IF(F224&gt;0,"% discounts",IF(_xlfn.SINGLE(NoWarrantyDiscount)&gt;0,"% discounts","% discount")))))))))</f>
        <v/>
      </c>
      <c r="N224" s="690"/>
      <c r="O224" s="486"/>
      <c r="P224" s="486"/>
      <c r="Q224" s="486"/>
      <c r="R224" s="486"/>
      <c r="S224" s="486"/>
      <c r="T224" s="102">
        <f t="shared" si="170"/>
        <v>0</v>
      </c>
      <c r="U224" s="78">
        <f>IF(NOT(ISNUMBER(G224)), "", VLOOKUP(A224,'Discount Lookup'!D:E,2,FALSE)*G224)</f>
        <v>0</v>
      </c>
      <c r="V224" s="78">
        <f>IF(NOT(ISNUMBER(G224)), "", VLOOKUP(A224,'Discount Lookup'!G:H,2,FALSE)*G224)</f>
        <v>0</v>
      </c>
      <c r="W224" s="102">
        <f t="shared" si="171"/>
        <v>0</v>
      </c>
      <c r="X224" s="102">
        <f t="shared" si="172"/>
        <v>0</v>
      </c>
      <c r="Y224" s="120" t="b">
        <f t="shared" si="173"/>
        <v>0</v>
      </c>
      <c r="Z224" s="117">
        <f t="shared" si="174"/>
        <v>0</v>
      </c>
      <c r="AA224" s="118"/>
      <c r="AB224" s="118" t="str">
        <f t="shared" si="175"/>
        <v/>
      </c>
      <c r="AC224" s="712" t="str">
        <f>IF(AE224="T2G","no charge",IF(AND(OR(PlanterYesMe="No",PlanterYesMe="N",PlanterYesMe="me"),H224=""),"",IF(H224="credit","NO install",IF(AND(K224="",AE224="me"),"EACH row",IF(AND(K224="images",AE224="me"),"EACH row",IF(D224="","",IF(H224="credit","",IF(AE224="free","re-planting",IF(AE224="me","   not ELP, by",IF(AND(OR(PlanterYesMe="Yes",PlanterYesMe="Y"),G224&gt;0),(VLOOKUP(A224,'Discount Lookup'!J:K,2)*G224*(1-PlanterDiscount)*(1+PlanterDifficultyPercentage)),IF(AE224="ELP",(VLOOKUP(A224,'Discount Lookup'!J:K,2)*G224*(1-PlanterDiscount)*(1+PlanterDifficultyPercentage)),IF(AE224="free","re-planting",IF(G224=0,"",IF(PlanterYesMe="",IF(AE224="me","   not ELP, by",IF(AE224="",IF(G224&gt;0,(VLOOKUP(A224,'Discount Lookup'!J:K,2)*G224*(1-PlanterDiscount)*(1+PlanterDifficultyPercentage)),""),"")),"   not ELP, by"))))))))))))))</f>
        <v/>
      </c>
      <c r="AD224" s="712"/>
      <c r="AE224" s="513" t="str">
        <f t="shared" si="176"/>
        <v/>
      </c>
      <c r="AF224" s="713" t="str">
        <f t="shared" si="177"/>
        <v/>
      </c>
      <c r="AG224" s="713"/>
      <c r="AH224" s="713"/>
      <c r="AI224" s="112">
        <f>IF(H224="credit",0,IF(AE224="free",0,IF(AE224="me",0,IF(G224&gt;0,(VLOOKUP(A224,'Discount Lookup'!J:K,2)*G224),0))))</f>
        <v>0</v>
      </c>
      <c r="AJ224" s="107" t="str">
        <f t="shared" ca="1" si="178"/>
        <v/>
      </c>
      <c r="AK224" s="714" t="str">
        <f t="shared" si="179"/>
        <v/>
      </c>
      <c r="AL224" s="714"/>
      <c r="AM224" s="114" t="str">
        <f t="shared" si="180"/>
        <v/>
      </c>
      <c r="AN224" s="115"/>
      <c r="AO224" s="116"/>
      <c r="AP224" s="116"/>
      <c r="AQ224" s="116"/>
      <c r="AR224" s="116"/>
      <c r="AS224" s="116"/>
      <c r="AT224" s="116"/>
      <c r="AU224" s="116"/>
      <c r="AV224" s="78"/>
      <c r="AW224" s="102"/>
      <c r="AX224" s="78"/>
      <c r="AY224" s="78"/>
      <c r="AZ224" s="78"/>
      <c r="BA224" s="78"/>
      <c r="BB224" s="78"/>
      <c r="BC224" s="78"/>
      <c r="BD224" s="78"/>
      <c r="BE224" s="465"/>
      <c r="BF224" s="165" t="str">
        <f t="shared" si="181"/>
        <v>https://www.google.com/search?tbm=isch&amp;q=95%20G4</v>
      </c>
      <c r="BG224" s="165" t="str">
        <f t="shared" si="182"/>
        <v>A</v>
      </c>
      <c r="BH224" s="65"/>
      <c r="BI224" s="65"/>
      <c r="BJ224" s="65"/>
      <c r="BK224" s="65"/>
      <c r="BL224" s="99"/>
      <c r="BM224" s="99"/>
      <c r="BN224" s="99"/>
    </row>
    <row r="225" spans="1:66" s="51" customFormat="1" ht="17.25" thickBot="1" x14ac:dyDescent="0.3">
      <c r="A225" s="641" t="s">
        <v>1338</v>
      </c>
      <c r="B225" s="642"/>
      <c r="C225" s="710"/>
      <c r="D225" s="643"/>
      <c r="E225" s="643"/>
      <c r="F225" s="644"/>
      <c r="G225" s="645"/>
      <c r="H225" s="646"/>
      <c r="I225" s="647"/>
      <c r="J225" s="648"/>
      <c r="K225" s="649"/>
      <c r="L225" s="650"/>
      <c r="M225" s="650"/>
      <c r="N225" s="644"/>
      <c r="O225" s="644"/>
      <c r="P225" s="644"/>
      <c r="Q225" s="644"/>
      <c r="R225" s="644"/>
      <c r="S225" s="651"/>
      <c r="T225" s="102">
        <f t="shared" si="170"/>
        <v>0</v>
      </c>
      <c r="U225" s="78" t="str">
        <f>IF(NOT(ISNUMBER(G225)), "", VLOOKUP(A225,'Discount Lookup'!D:E,2,FALSE)*G225)</f>
        <v/>
      </c>
      <c r="V225" s="78" t="str">
        <f>IF(NOT(ISNUMBER(G225)), "", VLOOKUP(A225,'Discount Lookup'!G:H,2,FALSE)*G225)</f>
        <v/>
      </c>
      <c r="W225" s="102">
        <f t="shared" si="171"/>
        <v>0</v>
      </c>
      <c r="X225" s="102">
        <f t="shared" si="172"/>
        <v>0</v>
      </c>
      <c r="Y225" s="120" t="b">
        <f t="shared" si="173"/>
        <v>0</v>
      </c>
      <c r="Z225" s="117">
        <f t="shared" si="174"/>
        <v>0</v>
      </c>
      <c r="AA225" s="118"/>
      <c r="AB225" s="118" t="str">
        <f t="shared" si="175"/>
        <v/>
      </c>
      <c r="AC225" s="712" t="str">
        <f>IF(AE225="T2G","no charge",IF(AND(OR(PlanterYesMe="No",PlanterYesMe="N",PlanterYesMe="me"),H225=""),"",IF(H225="credit","NO install",IF(AND(K225="",AE225="me"),"EACH row",IF(AND(K225="images",AE225="me"),"EACH row",IF(D225="","",IF(H225="credit","",IF(AE225="free","re-planting",IF(AE225="me","   not ELP, by",IF(AND(OR(PlanterYesMe="Yes",PlanterYesMe="Y"),G225&gt;0),(VLOOKUP(A225,'Discount Lookup'!J:K,2)*G225*(1-PlanterDiscount)*(1+PlanterDifficultyPercentage)),IF(AE225="ELP",(VLOOKUP(A225,'Discount Lookup'!J:K,2)*G225*(1-PlanterDiscount)*(1+PlanterDifficultyPercentage)),IF(AE225="free","re-planting",IF(G225=0,"",IF(PlanterYesMe="",IF(AE225="me","   not ELP, by",IF(AE225="",IF(G225&gt;0,(VLOOKUP(A225,'Discount Lookup'!J:K,2)*G225*(1-PlanterDiscount)*(1+PlanterDifficultyPercentage)),""),"")),"   not ELP, by"))))))))))))))</f>
        <v/>
      </c>
      <c r="AD225" s="712"/>
      <c r="AE225" s="513" t="str">
        <f t="shared" si="176"/>
        <v/>
      </c>
      <c r="AF225" s="713" t="str">
        <f t="shared" si="177"/>
        <v/>
      </c>
      <c r="AG225" s="713"/>
      <c r="AH225" s="713"/>
      <c r="AI225" s="112">
        <f>IF(H225="credit",0,IF(AE225="free",0,IF(AE225="me",0,IF(G225&gt;0,(VLOOKUP(A225,'Discount Lookup'!J:K,2)*G225),0))))</f>
        <v>0</v>
      </c>
      <c r="AJ225" s="107" t="str">
        <f t="shared" ca="1" si="178"/>
        <v/>
      </c>
      <c r="AK225" s="714" t="str">
        <f t="shared" si="179"/>
        <v/>
      </c>
      <c r="AL225" s="714"/>
      <c r="AM225" s="114" t="str">
        <f t="shared" si="180"/>
        <v/>
      </c>
      <c r="AN225" s="115"/>
      <c r="AO225" s="116"/>
      <c r="AP225" s="116"/>
      <c r="AQ225" s="116"/>
      <c r="AR225" s="116"/>
      <c r="AS225" s="116"/>
      <c r="AT225" s="116"/>
      <c r="AU225" s="116"/>
      <c r="AV225" s="78"/>
      <c r="AW225" s="102"/>
      <c r="AX225" s="78"/>
      <c r="AY225" s="78"/>
      <c r="AZ225" s="78"/>
      <c r="BA225" s="78"/>
      <c r="BB225" s="78"/>
      <c r="BC225" s="78"/>
      <c r="BD225" s="78"/>
      <c r="BE225" s="465"/>
      <c r="BF225" s="165" t="str">
        <f t="shared" si="181"/>
        <v>https://www.google.com/search?tbm=isch&amp;q=Seiryu%20is%20a%20unique%20upright%20%28non-weeping%29%20cultivar%20with%20a%20dissected%20leaf.%20Foliage%20turns%20Gold-Orange-Crimson%20in%20the%20fall%20</v>
      </c>
      <c r="BG225" s="165" t="str">
        <f t="shared" si="182"/>
        <v>S</v>
      </c>
      <c r="BH225" s="65"/>
      <c r="BI225" s="65"/>
      <c r="BJ225" s="65"/>
      <c r="BK225" s="65"/>
      <c r="BL225" s="99"/>
      <c r="BM225" s="99"/>
      <c r="BN225" s="99"/>
    </row>
    <row r="226" spans="1:66" s="51" customFormat="1" ht="18" x14ac:dyDescent="0.25">
      <c r="A226" s="623" t="s">
        <v>1339</v>
      </c>
      <c r="B226" s="624"/>
      <c r="C226" s="709"/>
      <c r="D226" s="625" t="s">
        <v>1340</v>
      </c>
      <c r="E226" s="626"/>
      <c r="F226" s="626"/>
      <c r="G226" s="626"/>
      <c r="H226" s="622" t="s">
        <v>1341</v>
      </c>
      <c r="I226" s="627" t="s">
        <v>1342</v>
      </c>
      <c r="J226" s="628"/>
      <c r="K226" s="628"/>
      <c r="L226" s="629"/>
      <c r="M226" s="700" t="s">
        <v>5249</v>
      </c>
      <c r="N226" s="693" t="str">
        <f>IF(AND(ISTEXT($A226), ISERROR($A226+0)), HYPERLINK($BF226, "Images"), "")</f>
        <v>Images</v>
      </c>
      <c r="O226" s="695" t="s">
        <v>5247</v>
      </c>
      <c r="P226" s="630"/>
      <c r="Q226" s="631"/>
      <c r="R226" s="632"/>
      <c r="S226" s="633"/>
      <c r="T226" s="102">
        <f t="shared" si="170"/>
        <v>0</v>
      </c>
      <c r="U226" s="78" t="str">
        <f>IF(NOT(ISNUMBER(G226)), "", VLOOKUP(A226,'Discount Lookup'!D:E,2,FALSE)*G226)</f>
        <v/>
      </c>
      <c r="V226" s="78" t="str">
        <f>IF(NOT(ISNUMBER(G226)), "", VLOOKUP(A226,'Discount Lookup'!G:H,2,FALSE)*G226)</f>
        <v/>
      </c>
      <c r="W226" s="102">
        <f t="shared" si="171"/>
        <v>0</v>
      </c>
      <c r="X226" s="102" t="str">
        <f t="shared" si="172"/>
        <v>Dark Burgundy foliage</v>
      </c>
      <c r="Y226" s="120" t="b">
        <f t="shared" si="173"/>
        <v>0</v>
      </c>
      <c r="Z226" s="117">
        <f t="shared" si="174"/>
        <v>0</v>
      </c>
      <c r="AA226" s="118"/>
      <c r="AB226" s="118" t="str">
        <f t="shared" si="175"/>
        <v/>
      </c>
      <c r="AC226" s="712" t="str">
        <f>IF(AE226="T2G","no charge",IF(AND(OR(PlanterYesMe="No",PlanterYesMe="N",PlanterYesMe="me"),H226=""),"",IF(H226="credit","NO install",IF(AND(K226="",AE226="me"),"EACH row",IF(AND(K226="images",AE226="me"),"EACH row",IF(D226="","",IF(H226="credit","",IF(AE226="free","re-planting",IF(AE226="me","   not ELP, by",IF(AND(OR(PlanterYesMe="Yes",PlanterYesMe="Y"),G226&gt;0),(VLOOKUP(A226,'Discount Lookup'!J:K,2)*G226*(1-PlanterDiscount)*(1+PlanterDifficultyPercentage)),IF(AE226="ELP",(VLOOKUP(A226,'Discount Lookup'!J:K,2)*G226*(1-PlanterDiscount)*(1+PlanterDifficultyPercentage)),IF(AE226="free","re-planting",IF(G226=0,"",IF(PlanterYesMe="",IF(AE226="me","   not ELP, by",IF(AE226="",IF(G226&gt;0,(VLOOKUP(A226,'Discount Lookup'!J:K,2)*G226*(1-PlanterDiscount)*(1+PlanterDifficultyPercentage)),""),"")),"   not ELP, by"))))))))))))))</f>
        <v/>
      </c>
      <c r="AD226" s="712"/>
      <c r="AE226" s="513" t="str">
        <f t="shared" si="176"/>
        <v/>
      </c>
      <c r="AF226" s="713" t="str">
        <f t="shared" si="177"/>
        <v/>
      </c>
      <c r="AG226" s="713"/>
      <c r="AH226" s="713"/>
      <c r="AI226" s="112">
        <f>IF(H226="credit",0,IF(AE226="free",0,IF(AE226="me",0,IF(G226&gt;0,(VLOOKUP(A226,'Discount Lookup'!J:K,2)*G226),0))))</f>
        <v>0</v>
      </c>
      <c r="AJ226" s="107" t="str">
        <f t="shared" ca="1" si="178"/>
        <v/>
      </c>
      <c r="AK226" s="714" t="str">
        <f t="shared" si="179"/>
        <v/>
      </c>
      <c r="AL226" s="714"/>
      <c r="AM226" s="114" t="str">
        <f t="shared" si="180"/>
        <v/>
      </c>
      <c r="AN226" s="115"/>
      <c r="AO226" s="116"/>
      <c r="AP226" s="116"/>
      <c r="AQ226" s="116"/>
      <c r="AR226" s="116"/>
      <c r="AS226" s="116"/>
      <c r="AT226" s="116"/>
      <c r="AU226" s="116"/>
      <c r="AV226" s="78"/>
      <c r="AW226" s="102"/>
      <c r="AX226" s="78"/>
      <c r="AY226" s="78"/>
      <c r="AZ226" s="78"/>
      <c r="BA226" s="78"/>
      <c r="BB226" s="78"/>
      <c r="BC226" s="78"/>
      <c r="BD226" s="78"/>
      <c r="BE226" s="465"/>
      <c r="BF226" s="165" t="str">
        <f t="shared" si="181"/>
        <v>https://www.google.com/search?tbm=isch&amp;q=Acer%20palmatum%20var.%20dis.%20%27Tamukeyama%27%20Tamukeyama%20Cutleaf%20Japanese%20Maple</v>
      </c>
      <c r="BG226" s="165" t="str">
        <f t="shared" si="182"/>
        <v>A</v>
      </c>
      <c r="BH226" s="65"/>
      <c r="BI226" s="65"/>
      <c r="BJ226" s="65"/>
      <c r="BK226" s="65"/>
      <c r="BL226" s="99"/>
      <c r="BM226" s="99"/>
      <c r="BN226" s="99"/>
    </row>
    <row r="227" spans="1:66" s="51" customFormat="1" ht="15.75" x14ac:dyDescent="0.25">
      <c r="A227" s="634">
        <v>7</v>
      </c>
      <c r="B227" s="635" t="s">
        <v>291</v>
      </c>
      <c r="C227" s="636" t="s">
        <v>4559</v>
      </c>
      <c r="D227" s="637" t="s">
        <v>311</v>
      </c>
      <c r="E227" s="638">
        <v>217.95</v>
      </c>
      <c r="F227" s="639" t="s">
        <v>292</v>
      </c>
      <c r="G227" s="484">
        <v>0</v>
      </c>
      <c r="H227" s="691" t="str">
        <f t="shared" ref="H227:H234" si="190">IF(G227=0,"",IF(F227="Buy",IF(G227=1,"plant","plants"),IF(F227&gt;0.01,"warranty","Error")))</f>
        <v/>
      </c>
      <c r="I227" s="640">
        <f t="shared" ref="I227:I234" si="191">IF(H227="free",0,IF(H227="credit",((E227*(F227))*G227*-1),IF(F227="Buy",(E227*G227),((E227*(1-F227))*G227))))</f>
        <v>0</v>
      </c>
      <c r="J227" s="640">
        <f t="shared" ref="J227:J234" si="192">IF(H227="warranty",0,(I227*(_xlfn.SINGLE(SalesTaxPercentage))))</f>
        <v>0</v>
      </c>
      <c r="K227" s="716">
        <f t="shared" ref="K227" si="193">I227+J227</f>
        <v>0</v>
      </c>
      <c r="L227" s="716"/>
      <c r="M227" s="689" t="str">
        <f t="shared" ref="M227:M234" ca="1" si="194">IF(AND(G227&gt;0,E227=0),"WARNING - no PRICE inserted",IF(H227="free","FREE ~ no charge this plant",IF(H227="credit",CONCATENATE("-$",ROUND(K227*(1-_xlfn.SINGLE(T2GDiscount))*-1,2)," CREDIT after discount"),IF(_xlfn.SINGLE(T2GDiscount)=0,"",IF(G227=0,"",IF(F227="Buy",CONCATENATE("$",ROUND(K227*(1-_xlfn.SINGLE(T2GDiscount)),2)," with ",(_xlfn.SINGLE(T2GDiscount)*100),"% discount"),CONCATENATE("$",ROUND(K227*(1-_xlfn.SINGLE(T2GDiscount)),2)," with ",((_xlfn.SINGLE(T2GDiscount)*100+F227*100)-(_xlfn.SINGLE(T2GDiscount)*100*F227)),IF(F227&gt;0,"% discounts",IF(_xlfn.SINGLE(NoWarrantyDiscount)&gt;0,"% discounts","% discount")))))))))</f>
        <v/>
      </c>
      <c r="N227" s="690"/>
      <c r="O227" s="486"/>
      <c r="P227" s="486"/>
      <c r="Q227" s="486"/>
      <c r="R227" s="486"/>
      <c r="S227" s="486"/>
      <c r="T227" s="102">
        <f t="shared" si="170"/>
        <v>0</v>
      </c>
      <c r="U227" s="78">
        <f>IF(NOT(ISNUMBER(G227)), "", VLOOKUP(A227,'Discount Lookup'!D:E,2,FALSE)*G227)</f>
        <v>0</v>
      </c>
      <c r="V227" s="78">
        <f>IF(NOT(ISNUMBER(G227)), "", VLOOKUP(A227,'Discount Lookup'!G:H,2,FALSE)*G227)</f>
        <v>0</v>
      </c>
      <c r="W227" s="102">
        <f t="shared" si="171"/>
        <v>0</v>
      </c>
      <c r="X227" s="102">
        <f t="shared" si="172"/>
        <v>0</v>
      </c>
      <c r="Y227" s="120" t="b">
        <f t="shared" si="173"/>
        <v>0</v>
      </c>
      <c r="Z227" s="117">
        <f t="shared" si="174"/>
        <v>0</v>
      </c>
      <c r="AA227" s="118"/>
      <c r="AB227" s="118" t="str">
        <f t="shared" si="175"/>
        <v/>
      </c>
      <c r="AC227" s="712" t="str">
        <f>IF(AE227="T2G","no charge",IF(AND(OR(PlanterYesMe="No",PlanterYesMe="N",PlanterYesMe="me"),H227=""),"",IF(H227="credit","NO install",IF(AND(K227="",AE227="me"),"EACH row",IF(AND(K227="images",AE227="me"),"EACH row",IF(D227="","",IF(H227="credit","",IF(AE227="free","re-planting",IF(AE227="me","   not ELP, by",IF(AND(OR(PlanterYesMe="Yes",PlanterYesMe="Y"),G227&gt;0),(VLOOKUP(A227,'Discount Lookup'!J:K,2)*G227*(1-PlanterDiscount)*(1+PlanterDifficultyPercentage)),IF(AE227="ELP",(VLOOKUP(A227,'Discount Lookup'!J:K,2)*G227*(1-PlanterDiscount)*(1+PlanterDifficultyPercentage)),IF(AE227="free","re-planting",IF(G227=0,"",IF(PlanterYesMe="",IF(AE227="me","   not ELP, by",IF(AE227="",IF(G227&gt;0,(VLOOKUP(A227,'Discount Lookup'!J:K,2)*G227*(1-PlanterDiscount)*(1+PlanterDifficultyPercentage)),""),"")),"   not ELP, by"))))))))))))))</f>
        <v/>
      </c>
      <c r="AD227" s="712"/>
      <c r="AE227" s="513" t="str">
        <f t="shared" si="176"/>
        <v/>
      </c>
      <c r="AF227" s="713" t="str">
        <f t="shared" si="177"/>
        <v/>
      </c>
      <c r="AG227" s="713"/>
      <c r="AH227" s="713"/>
      <c r="AI227" s="112">
        <f>IF(H227="credit",0,IF(AE227="free",0,IF(AE227="me",0,IF(G227&gt;0,(VLOOKUP(A227,'Discount Lookup'!J:K,2)*G227),0))))</f>
        <v>0</v>
      </c>
      <c r="AJ227" s="107" t="str">
        <f t="shared" ca="1" si="178"/>
        <v/>
      </c>
      <c r="AK227" s="714" t="str">
        <f t="shared" si="179"/>
        <v/>
      </c>
      <c r="AL227" s="714"/>
      <c r="AM227" s="114" t="str">
        <f t="shared" si="180"/>
        <v/>
      </c>
      <c r="AN227" s="115"/>
      <c r="AO227" s="116"/>
      <c r="AP227" s="116"/>
      <c r="AQ227" s="116"/>
      <c r="AR227" s="116"/>
      <c r="AS227" s="116"/>
      <c r="AT227" s="116"/>
      <c r="AU227" s="116"/>
      <c r="AV227" s="78"/>
      <c r="AW227" s="102"/>
      <c r="AX227" s="78"/>
      <c r="AY227" s="78"/>
      <c r="AZ227" s="78"/>
      <c r="BA227" s="78"/>
      <c r="BB227" s="78"/>
      <c r="BC227" s="78"/>
      <c r="BD227" s="78"/>
      <c r="BE227" s="465"/>
      <c r="BF227" s="165" t="str">
        <f t="shared" si="181"/>
        <v>https://www.google.com/search?tbm=isch&amp;q=7%20G5</v>
      </c>
      <c r="BG227" s="165" t="str">
        <f t="shared" si="182"/>
        <v>A</v>
      </c>
      <c r="BH227" s="65"/>
      <c r="BI227" s="65"/>
      <c r="BJ227" s="65"/>
      <c r="BK227" s="65"/>
      <c r="BL227" s="99"/>
      <c r="BM227" s="99"/>
      <c r="BN227" s="99"/>
    </row>
    <row r="228" spans="1:66" s="51" customFormat="1" ht="15.75" x14ac:dyDescent="0.25">
      <c r="A228" s="634">
        <v>7</v>
      </c>
      <c r="B228" s="635" t="s">
        <v>291</v>
      </c>
      <c r="C228" s="636" t="s">
        <v>1343</v>
      </c>
      <c r="D228" s="637" t="s">
        <v>299</v>
      </c>
      <c r="E228" s="638">
        <v>219.95</v>
      </c>
      <c r="F228" s="639" t="s">
        <v>292</v>
      </c>
      <c r="G228" s="484">
        <v>0</v>
      </c>
      <c r="H228" s="691" t="str">
        <f t="shared" si="190"/>
        <v/>
      </c>
      <c r="I228" s="640">
        <f t="shared" si="191"/>
        <v>0</v>
      </c>
      <c r="J228" s="640">
        <f t="shared" si="192"/>
        <v>0</v>
      </c>
      <c r="K228" s="716">
        <f t="shared" ref="K228" si="195">I228+J228</f>
        <v>0</v>
      </c>
      <c r="L228" s="716"/>
      <c r="M228" s="689" t="str">
        <f t="shared" ca="1" si="194"/>
        <v/>
      </c>
      <c r="N228" s="690"/>
      <c r="O228" s="486"/>
      <c r="P228" s="486"/>
      <c r="Q228" s="486"/>
      <c r="R228" s="486"/>
      <c r="S228" s="486"/>
      <c r="T228" s="102">
        <f t="shared" si="170"/>
        <v>0</v>
      </c>
      <c r="U228" s="78">
        <f>IF(NOT(ISNUMBER(G228)), "", VLOOKUP(A228,'Discount Lookup'!D:E,2,FALSE)*G228)</f>
        <v>0</v>
      </c>
      <c r="V228" s="78">
        <f>IF(NOT(ISNUMBER(G228)), "", VLOOKUP(A228,'Discount Lookup'!G:H,2,FALSE)*G228)</f>
        <v>0</v>
      </c>
      <c r="W228" s="102">
        <f t="shared" si="171"/>
        <v>0</v>
      </c>
      <c r="X228" s="102">
        <f t="shared" si="172"/>
        <v>0</v>
      </c>
      <c r="Y228" s="120" t="b">
        <f t="shared" si="173"/>
        <v>0</v>
      </c>
      <c r="Z228" s="117">
        <f t="shared" si="174"/>
        <v>0</v>
      </c>
      <c r="AA228" s="118"/>
      <c r="AB228" s="118" t="str">
        <f t="shared" si="175"/>
        <v/>
      </c>
      <c r="AC228" s="712" t="str">
        <f>IF(AE228="T2G","no charge",IF(AND(OR(PlanterYesMe="No",PlanterYesMe="N",PlanterYesMe="me"),H228=""),"",IF(H228="credit","NO install",IF(AND(K228="",AE228="me"),"EACH row",IF(AND(K228="images",AE228="me"),"EACH row",IF(D228="","",IF(H228="credit","",IF(AE228="free","re-planting",IF(AE228="me","   not ELP, by",IF(AND(OR(PlanterYesMe="Yes",PlanterYesMe="Y"),G228&gt;0),(VLOOKUP(A228,'Discount Lookup'!J:K,2)*G228*(1-PlanterDiscount)*(1+PlanterDifficultyPercentage)),IF(AE228="ELP",(VLOOKUP(A228,'Discount Lookup'!J:K,2)*G228*(1-PlanterDiscount)*(1+PlanterDifficultyPercentage)),IF(AE228="free","re-planting",IF(G228=0,"",IF(PlanterYesMe="",IF(AE228="me","   not ELP, by",IF(AE228="",IF(G228&gt;0,(VLOOKUP(A228,'Discount Lookup'!J:K,2)*G228*(1-PlanterDiscount)*(1+PlanterDifficultyPercentage)),""),"")),"   not ELP, by"))))))))))))))</f>
        <v/>
      </c>
      <c r="AD228" s="712"/>
      <c r="AE228" s="513" t="str">
        <f t="shared" si="176"/>
        <v/>
      </c>
      <c r="AF228" s="713" t="str">
        <f t="shared" si="177"/>
        <v/>
      </c>
      <c r="AG228" s="713"/>
      <c r="AH228" s="713"/>
      <c r="AI228" s="112">
        <f>IF(H228="credit",0,IF(AE228="free",0,IF(AE228="me",0,IF(G228&gt;0,(VLOOKUP(A228,'Discount Lookup'!J:K,2)*G228),0))))</f>
        <v>0</v>
      </c>
      <c r="AJ228" s="107" t="str">
        <f t="shared" ca="1" si="178"/>
        <v/>
      </c>
      <c r="AK228" s="714" t="str">
        <f t="shared" si="179"/>
        <v/>
      </c>
      <c r="AL228" s="714"/>
      <c r="AM228" s="114" t="str">
        <f t="shared" si="180"/>
        <v/>
      </c>
      <c r="AN228" s="115"/>
      <c r="AO228" s="116"/>
      <c r="AP228" s="116"/>
      <c r="AQ228" s="116"/>
      <c r="AR228" s="116"/>
      <c r="AS228" s="116"/>
      <c r="AT228" s="116"/>
      <c r="AU228" s="116"/>
      <c r="AV228" s="78"/>
      <c r="AW228" s="102"/>
      <c r="AX228" s="78"/>
      <c r="AY228" s="78"/>
      <c r="AZ228" s="78"/>
      <c r="BA228" s="78"/>
      <c r="BB228" s="78"/>
      <c r="BC228" s="78"/>
      <c r="BD228" s="78"/>
      <c r="BE228" s="465"/>
      <c r="BF228" s="165" t="str">
        <f t="shared" si="181"/>
        <v>https://www.google.com/search?tbm=isch&amp;q=7%20G4</v>
      </c>
      <c r="BG228" s="165" t="str">
        <f t="shared" si="182"/>
        <v>A</v>
      </c>
      <c r="BH228" s="65"/>
      <c r="BI228" s="65"/>
      <c r="BJ228" s="65"/>
      <c r="BK228" s="65"/>
      <c r="BL228" s="99"/>
      <c r="BM228" s="99"/>
      <c r="BN228" s="99"/>
    </row>
    <row r="229" spans="1:66" s="51" customFormat="1" ht="27" x14ac:dyDescent="0.25">
      <c r="A229" s="634">
        <v>10</v>
      </c>
      <c r="B229" s="635" t="s">
        <v>291</v>
      </c>
      <c r="C229" s="636" t="s">
        <v>1344</v>
      </c>
      <c r="D229" s="637" t="s">
        <v>299</v>
      </c>
      <c r="E229" s="638">
        <v>339.95</v>
      </c>
      <c r="F229" s="639" t="s">
        <v>292</v>
      </c>
      <c r="G229" s="484">
        <v>0</v>
      </c>
      <c r="H229" s="691" t="str">
        <f t="shared" si="190"/>
        <v/>
      </c>
      <c r="I229" s="640">
        <f t="shared" si="191"/>
        <v>0</v>
      </c>
      <c r="J229" s="640">
        <f t="shared" si="192"/>
        <v>0</v>
      </c>
      <c r="K229" s="716">
        <f t="shared" ref="K229" si="196">I229+J229</f>
        <v>0</v>
      </c>
      <c r="L229" s="716"/>
      <c r="M229" s="689" t="str">
        <f t="shared" ca="1" si="194"/>
        <v/>
      </c>
      <c r="N229" s="690"/>
      <c r="O229" s="486"/>
      <c r="P229" s="486"/>
      <c r="Q229" s="486"/>
      <c r="R229" s="486"/>
      <c r="S229" s="486"/>
      <c r="T229" s="102">
        <f t="shared" si="170"/>
        <v>0</v>
      </c>
      <c r="U229" s="78">
        <f>IF(NOT(ISNUMBER(G229)), "", VLOOKUP(A229,'Discount Lookup'!D:E,2,FALSE)*G229)</f>
        <v>0</v>
      </c>
      <c r="V229" s="78">
        <f>IF(NOT(ISNUMBER(G229)), "", VLOOKUP(A229,'Discount Lookup'!G:H,2,FALSE)*G229)</f>
        <v>0</v>
      </c>
      <c r="W229" s="102">
        <f t="shared" si="171"/>
        <v>0</v>
      </c>
      <c r="X229" s="102">
        <f t="shared" si="172"/>
        <v>0</v>
      </c>
      <c r="Y229" s="120" t="b">
        <f t="shared" si="173"/>
        <v>0</v>
      </c>
      <c r="Z229" s="117">
        <f t="shared" si="174"/>
        <v>0</v>
      </c>
      <c r="AA229" s="118"/>
      <c r="AB229" s="118" t="str">
        <f t="shared" si="175"/>
        <v/>
      </c>
      <c r="AC229" s="712" t="str">
        <f>IF(AE229="T2G","no charge",IF(AND(OR(PlanterYesMe="No",PlanterYesMe="N",PlanterYesMe="me"),H229=""),"",IF(H229="credit","NO install",IF(AND(K229="",AE229="me"),"EACH row",IF(AND(K229="images",AE229="me"),"EACH row",IF(D229="","",IF(H229="credit","",IF(AE229="free","re-planting",IF(AE229="me","   not ELP, by",IF(AND(OR(PlanterYesMe="Yes",PlanterYesMe="Y"),G229&gt;0),(VLOOKUP(A229,'Discount Lookup'!J:K,2)*G229*(1-PlanterDiscount)*(1+PlanterDifficultyPercentage)),IF(AE229="ELP",(VLOOKUP(A229,'Discount Lookup'!J:K,2)*G229*(1-PlanterDiscount)*(1+PlanterDifficultyPercentage)),IF(AE229="free","re-planting",IF(G229=0,"",IF(PlanterYesMe="",IF(AE229="me","   not ELP, by",IF(AE229="",IF(G229&gt;0,(VLOOKUP(A229,'Discount Lookup'!J:K,2)*G229*(1-PlanterDiscount)*(1+PlanterDifficultyPercentage)),""),"")),"   not ELP, by"))))))))))))))</f>
        <v/>
      </c>
      <c r="AD229" s="712"/>
      <c r="AE229" s="513" t="str">
        <f t="shared" si="176"/>
        <v/>
      </c>
      <c r="AF229" s="713" t="str">
        <f t="shared" si="177"/>
        <v/>
      </c>
      <c r="AG229" s="713"/>
      <c r="AH229" s="713"/>
      <c r="AI229" s="112">
        <f>IF(H229="credit",0,IF(AE229="free",0,IF(AE229="me",0,IF(G229&gt;0,(VLOOKUP(A229,'Discount Lookup'!J:K,2)*G229),0))))</f>
        <v>0</v>
      </c>
      <c r="AJ229" s="107" t="str">
        <f t="shared" ca="1" si="178"/>
        <v/>
      </c>
      <c r="AK229" s="714" t="str">
        <f t="shared" si="179"/>
        <v/>
      </c>
      <c r="AL229" s="714"/>
      <c r="AM229" s="114" t="str">
        <f t="shared" si="180"/>
        <v/>
      </c>
      <c r="AN229" s="115"/>
      <c r="AO229" s="116"/>
      <c r="AP229" s="116"/>
      <c r="AQ229" s="116"/>
      <c r="AR229" s="116"/>
      <c r="AS229" s="116"/>
      <c r="AT229" s="116"/>
      <c r="AU229" s="116"/>
      <c r="AV229" s="78"/>
      <c r="AW229" s="102"/>
      <c r="AX229" s="78"/>
      <c r="AY229" s="78"/>
      <c r="AZ229" s="78"/>
      <c r="BA229" s="78"/>
      <c r="BB229" s="78"/>
      <c r="BC229" s="78"/>
      <c r="BD229" s="78"/>
      <c r="BE229" s="465"/>
      <c r="BF229" s="165" t="str">
        <f t="shared" si="181"/>
        <v>https://www.google.com/search?tbm=isch&amp;q=10%20G4</v>
      </c>
      <c r="BG229" s="165" t="str">
        <f t="shared" si="182"/>
        <v>A</v>
      </c>
      <c r="BH229" s="65"/>
      <c r="BI229" s="65"/>
      <c r="BJ229" s="65"/>
      <c r="BK229" s="65"/>
      <c r="BL229" s="99"/>
      <c r="BM229" s="99"/>
      <c r="BN229" s="99"/>
    </row>
    <row r="230" spans="1:66" s="51" customFormat="1" ht="15.75" x14ac:dyDescent="0.25">
      <c r="A230" s="634">
        <v>15</v>
      </c>
      <c r="B230" s="635" t="s">
        <v>291</v>
      </c>
      <c r="C230" s="636" t="s">
        <v>1345</v>
      </c>
      <c r="D230" s="637" t="s">
        <v>299</v>
      </c>
      <c r="E230" s="638">
        <v>399.95</v>
      </c>
      <c r="F230" s="639" t="s">
        <v>292</v>
      </c>
      <c r="G230" s="484">
        <v>0</v>
      </c>
      <c r="H230" s="691" t="str">
        <f t="shared" si="190"/>
        <v/>
      </c>
      <c r="I230" s="640">
        <f t="shared" si="191"/>
        <v>0</v>
      </c>
      <c r="J230" s="640">
        <f t="shared" si="192"/>
        <v>0</v>
      </c>
      <c r="K230" s="716">
        <f t="shared" ref="K230" si="197">I230+J230</f>
        <v>0</v>
      </c>
      <c r="L230" s="716"/>
      <c r="M230" s="689" t="str">
        <f t="shared" ca="1" si="194"/>
        <v/>
      </c>
      <c r="N230" s="690"/>
      <c r="O230" s="486"/>
      <c r="P230" s="486"/>
      <c r="Q230" s="486"/>
      <c r="R230" s="486"/>
      <c r="S230" s="486"/>
      <c r="T230" s="102">
        <f t="shared" si="170"/>
        <v>0</v>
      </c>
      <c r="U230" s="78">
        <f>IF(NOT(ISNUMBER(G230)), "", VLOOKUP(A230,'Discount Lookup'!D:E,2,FALSE)*G230)</f>
        <v>0</v>
      </c>
      <c r="V230" s="78">
        <f>IF(NOT(ISNUMBER(G230)), "", VLOOKUP(A230,'Discount Lookup'!G:H,2,FALSE)*G230)</f>
        <v>0</v>
      </c>
      <c r="W230" s="102">
        <f t="shared" si="171"/>
        <v>0</v>
      </c>
      <c r="X230" s="102">
        <f t="shared" si="172"/>
        <v>0</v>
      </c>
      <c r="Y230" s="120" t="b">
        <f t="shared" si="173"/>
        <v>0</v>
      </c>
      <c r="Z230" s="117">
        <f t="shared" si="174"/>
        <v>0</v>
      </c>
      <c r="AA230" s="118"/>
      <c r="AB230" s="118" t="str">
        <f t="shared" si="175"/>
        <v/>
      </c>
      <c r="AC230" s="712" t="str">
        <f>IF(AE230="T2G","no charge",IF(AND(OR(PlanterYesMe="No",PlanterYesMe="N",PlanterYesMe="me"),H230=""),"",IF(H230="credit","NO install",IF(AND(K230="",AE230="me"),"EACH row",IF(AND(K230="images",AE230="me"),"EACH row",IF(D230="","",IF(H230="credit","",IF(AE230="free","re-planting",IF(AE230="me","   not ELP, by",IF(AND(OR(PlanterYesMe="Yes",PlanterYesMe="Y"),G230&gt;0),(VLOOKUP(A230,'Discount Lookup'!J:K,2)*G230*(1-PlanterDiscount)*(1+PlanterDifficultyPercentage)),IF(AE230="ELP",(VLOOKUP(A230,'Discount Lookup'!J:K,2)*G230*(1-PlanterDiscount)*(1+PlanterDifficultyPercentage)),IF(AE230="free","re-planting",IF(G230=0,"",IF(PlanterYesMe="",IF(AE230="me","   not ELP, by",IF(AE230="",IF(G230&gt;0,(VLOOKUP(A230,'Discount Lookup'!J:K,2)*G230*(1-PlanterDiscount)*(1+PlanterDifficultyPercentage)),""),"")),"   not ELP, by"))))))))))))))</f>
        <v/>
      </c>
      <c r="AD230" s="712"/>
      <c r="AE230" s="513" t="str">
        <f t="shared" si="176"/>
        <v/>
      </c>
      <c r="AF230" s="713" t="str">
        <f t="shared" si="177"/>
        <v/>
      </c>
      <c r="AG230" s="713"/>
      <c r="AH230" s="713"/>
      <c r="AI230" s="112">
        <f>IF(H230="credit",0,IF(AE230="free",0,IF(AE230="me",0,IF(G230&gt;0,(VLOOKUP(A230,'Discount Lookup'!J:K,2)*G230),0))))</f>
        <v>0</v>
      </c>
      <c r="AJ230" s="107" t="str">
        <f t="shared" ca="1" si="178"/>
        <v/>
      </c>
      <c r="AK230" s="714" t="str">
        <f t="shared" si="179"/>
        <v/>
      </c>
      <c r="AL230" s="714"/>
      <c r="AM230" s="114" t="str">
        <f t="shared" si="180"/>
        <v/>
      </c>
      <c r="AN230" s="115"/>
      <c r="AO230" s="116"/>
      <c r="AP230" s="116"/>
      <c r="AQ230" s="116"/>
      <c r="AR230" s="116"/>
      <c r="AS230" s="116"/>
      <c r="AT230" s="116"/>
      <c r="AU230" s="116"/>
      <c r="AV230" s="78"/>
      <c r="AW230" s="102"/>
      <c r="AX230" s="78"/>
      <c r="AY230" s="78"/>
      <c r="AZ230" s="78"/>
      <c r="BA230" s="78"/>
      <c r="BB230" s="78"/>
      <c r="BC230" s="78"/>
      <c r="BD230" s="78"/>
      <c r="BE230" s="465"/>
      <c r="BF230" s="165" t="str">
        <f t="shared" si="181"/>
        <v>https://www.google.com/search?tbm=isch&amp;q=15%20G4</v>
      </c>
      <c r="BG230" s="165" t="str">
        <f t="shared" si="182"/>
        <v>A</v>
      </c>
      <c r="BH230" s="65"/>
      <c r="BI230" s="65"/>
      <c r="BJ230" s="65"/>
      <c r="BK230" s="65"/>
      <c r="BL230" s="99"/>
      <c r="BM230" s="99"/>
      <c r="BN230" s="99"/>
    </row>
    <row r="231" spans="1:66" s="51" customFormat="1" ht="15.75" x14ac:dyDescent="0.25">
      <c r="A231" s="634">
        <v>15</v>
      </c>
      <c r="B231" s="635" t="s">
        <v>291</v>
      </c>
      <c r="C231" s="636" t="s">
        <v>4560</v>
      </c>
      <c r="D231" s="637" t="s">
        <v>299</v>
      </c>
      <c r="E231" s="638">
        <v>399.95</v>
      </c>
      <c r="F231" s="639" t="s">
        <v>292</v>
      </c>
      <c r="G231" s="484">
        <v>0</v>
      </c>
      <c r="H231" s="691" t="str">
        <f t="shared" si="190"/>
        <v/>
      </c>
      <c r="I231" s="640">
        <f t="shared" si="191"/>
        <v>0</v>
      </c>
      <c r="J231" s="640">
        <f t="shared" si="192"/>
        <v>0</v>
      </c>
      <c r="K231" s="716">
        <f t="shared" ref="K231" si="198">I231+J231</f>
        <v>0</v>
      </c>
      <c r="L231" s="716"/>
      <c r="M231" s="689" t="str">
        <f t="shared" ca="1" si="194"/>
        <v/>
      </c>
      <c r="N231" s="690"/>
      <c r="O231" s="486"/>
      <c r="P231" s="486"/>
      <c r="Q231" s="486"/>
      <c r="R231" s="486"/>
      <c r="S231" s="486"/>
      <c r="T231" s="102">
        <f t="shared" si="170"/>
        <v>0</v>
      </c>
      <c r="U231" s="78">
        <f>IF(NOT(ISNUMBER(G231)), "", VLOOKUP(A231,'Discount Lookup'!D:E,2,FALSE)*G231)</f>
        <v>0</v>
      </c>
      <c r="V231" s="78">
        <f>IF(NOT(ISNUMBER(G231)), "", VLOOKUP(A231,'Discount Lookup'!G:H,2,FALSE)*G231)</f>
        <v>0</v>
      </c>
      <c r="W231" s="102">
        <f t="shared" si="171"/>
        <v>0</v>
      </c>
      <c r="X231" s="102">
        <f t="shared" si="172"/>
        <v>0</v>
      </c>
      <c r="Y231" s="120" t="b">
        <f t="shared" si="173"/>
        <v>0</v>
      </c>
      <c r="Z231" s="117">
        <f t="shared" si="174"/>
        <v>0</v>
      </c>
      <c r="AA231" s="118"/>
      <c r="AB231" s="118" t="str">
        <f t="shared" si="175"/>
        <v/>
      </c>
      <c r="AC231" s="712" t="str">
        <f>IF(AE231="T2G","no charge",IF(AND(OR(PlanterYesMe="No",PlanterYesMe="N",PlanterYesMe="me"),H231=""),"",IF(H231="credit","NO install",IF(AND(K231="",AE231="me"),"EACH row",IF(AND(K231="images",AE231="me"),"EACH row",IF(D231="","",IF(H231="credit","",IF(AE231="free","re-planting",IF(AE231="me","   not ELP, by",IF(AND(OR(PlanterYesMe="Yes",PlanterYesMe="Y"),G231&gt;0),(VLOOKUP(A231,'Discount Lookup'!J:K,2)*G231*(1-PlanterDiscount)*(1+PlanterDifficultyPercentage)),IF(AE231="ELP",(VLOOKUP(A231,'Discount Lookup'!J:K,2)*G231*(1-PlanterDiscount)*(1+PlanterDifficultyPercentage)),IF(AE231="free","re-planting",IF(G231=0,"",IF(PlanterYesMe="",IF(AE231="me","   not ELP, by",IF(AE231="",IF(G231&gt;0,(VLOOKUP(A231,'Discount Lookup'!J:K,2)*G231*(1-PlanterDiscount)*(1+PlanterDifficultyPercentage)),""),"")),"   not ELP, by"))))))))))))))</f>
        <v/>
      </c>
      <c r="AD231" s="712"/>
      <c r="AE231" s="513" t="str">
        <f t="shared" si="176"/>
        <v/>
      </c>
      <c r="AF231" s="713" t="str">
        <f t="shared" si="177"/>
        <v/>
      </c>
      <c r="AG231" s="713"/>
      <c r="AH231" s="713"/>
      <c r="AI231" s="112">
        <f>IF(H231="credit",0,IF(AE231="free",0,IF(AE231="me",0,IF(G231&gt;0,(VLOOKUP(A231,'Discount Lookup'!J:K,2)*G231),0))))</f>
        <v>0</v>
      </c>
      <c r="AJ231" s="107" t="str">
        <f t="shared" ca="1" si="178"/>
        <v/>
      </c>
      <c r="AK231" s="714" t="str">
        <f t="shared" si="179"/>
        <v/>
      </c>
      <c r="AL231" s="714"/>
      <c r="AM231" s="114" t="str">
        <f t="shared" si="180"/>
        <v/>
      </c>
      <c r="AN231" s="115"/>
      <c r="AO231" s="116"/>
      <c r="AP231" s="116"/>
      <c r="AQ231" s="116"/>
      <c r="AR231" s="116"/>
      <c r="AS231" s="116"/>
      <c r="AT231" s="116"/>
      <c r="AU231" s="116"/>
      <c r="AV231" s="78"/>
      <c r="AW231" s="102"/>
      <c r="AX231" s="78"/>
      <c r="AY231" s="78"/>
      <c r="AZ231" s="78"/>
      <c r="BA231" s="78"/>
      <c r="BB231" s="78"/>
      <c r="BC231" s="78"/>
      <c r="BD231" s="78"/>
      <c r="BE231" s="465"/>
      <c r="BF231" s="165" t="str">
        <f t="shared" si="181"/>
        <v>https://www.google.com/search?tbm=isch&amp;q=15%20G4</v>
      </c>
      <c r="BG231" s="165" t="str">
        <f t="shared" si="182"/>
        <v>A</v>
      </c>
      <c r="BH231" s="65"/>
      <c r="BI231" s="65"/>
      <c r="BJ231" s="65"/>
      <c r="BK231" s="65"/>
      <c r="BL231" s="99"/>
      <c r="BM231" s="99"/>
      <c r="BN231" s="99"/>
    </row>
    <row r="232" spans="1:66" s="51" customFormat="1" ht="15.75" x14ac:dyDescent="0.25">
      <c r="A232" s="634">
        <v>25</v>
      </c>
      <c r="B232" s="635" t="s">
        <v>291</v>
      </c>
      <c r="C232" s="636" t="s">
        <v>1346</v>
      </c>
      <c r="D232" s="637" t="s">
        <v>299</v>
      </c>
      <c r="E232" s="638">
        <v>790.95</v>
      </c>
      <c r="F232" s="639" t="s">
        <v>292</v>
      </c>
      <c r="G232" s="484">
        <v>0</v>
      </c>
      <c r="H232" s="691" t="str">
        <f t="shared" si="190"/>
        <v/>
      </c>
      <c r="I232" s="640">
        <f t="shared" si="191"/>
        <v>0</v>
      </c>
      <c r="J232" s="640">
        <f t="shared" si="192"/>
        <v>0</v>
      </c>
      <c r="K232" s="716">
        <f t="shared" ref="K232" si="199">I232+J232</f>
        <v>0</v>
      </c>
      <c r="L232" s="716"/>
      <c r="M232" s="689" t="str">
        <f t="shared" ca="1" si="194"/>
        <v/>
      </c>
      <c r="N232" s="690"/>
      <c r="O232" s="486"/>
      <c r="P232" s="486"/>
      <c r="Q232" s="486"/>
      <c r="R232" s="486"/>
      <c r="S232" s="486"/>
      <c r="T232" s="102">
        <f t="shared" si="170"/>
        <v>0</v>
      </c>
      <c r="U232" s="78">
        <f>IF(NOT(ISNUMBER(G232)), "", VLOOKUP(A232,'Discount Lookup'!D:E,2,FALSE)*G232)</f>
        <v>0</v>
      </c>
      <c r="V232" s="78">
        <f>IF(NOT(ISNUMBER(G232)), "", VLOOKUP(A232,'Discount Lookup'!G:H,2,FALSE)*G232)</f>
        <v>0</v>
      </c>
      <c r="W232" s="102">
        <f t="shared" si="171"/>
        <v>0</v>
      </c>
      <c r="X232" s="102">
        <f t="shared" si="172"/>
        <v>0</v>
      </c>
      <c r="Y232" s="120" t="b">
        <f t="shared" si="173"/>
        <v>0</v>
      </c>
      <c r="Z232" s="117">
        <f t="shared" si="174"/>
        <v>0</v>
      </c>
      <c r="AA232" s="118"/>
      <c r="AB232" s="118" t="str">
        <f t="shared" si="175"/>
        <v/>
      </c>
      <c r="AC232" s="712" t="str">
        <f>IF(AE232="T2G","no charge",IF(AND(OR(PlanterYesMe="No",PlanterYesMe="N",PlanterYesMe="me"),H232=""),"",IF(H232="credit","NO install",IF(AND(K232="",AE232="me"),"EACH row",IF(AND(K232="images",AE232="me"),"EACH row",IF(D232="","",IF(H232="credit","",IF(AE232="free","re-planting",IF(AE232="me","   not ELP, by",IF(AND(OR(PlanterYesMe="Yes",PlanterYesMe="Y"),G232&gt;0),(VLOOKUP(A232,'Discount Lookup'!J:K,2)*G232*(1-PlanterDiscount)*(1+PlanterDifficultyPercentage)),IF(AE232="ELP",(VLOOKUP(A232,'Discount Lookup'!J:K,2)*G232*(1-PlanterDiscount)*(1+PlanterDifficultyPercentage)),IF(AE232="free","re-planting",IF(G232=0,"",IF(PlanterYesMe="",IF(AE232="me","   not ELP, by",IF(AE232="",IF(G232&gt;0,(VLOOKUP(A232,'Discount Lookup'!J:K,2)*G232*(1-PlanterDiscount)*(1+PlanterDifficultyPercentage)),""),"")),"   not ELP, by"))))))))))))))</f>
        <v/>
      </c>
      <c r="AD232" s="712"/>
      <c r="AE232" s="513" t="str">
        <f t="shared" si="176"/>
        <v/>
      </c>
      <c r="AF232" s="713" t="str">
        <f t="shared" si="177"/>
        <v/>
      </c>
      <c r="AG232" s="713"/>
      <c r="AH232" s="713"/>
      <c r="AI232" s="112">
        <f>IF(H232="credit",0,IF(AE232="free",0,IF(AE232="me",0,IF(G232&gt;0,(VLOOKUP(A232,'Discount Lookup'!J:K,2)*G232),0))))</f>
        <v>0</v>
      </c>
      <c r="AJ232" s="107" t="str">
        <f t="shared" ca="1" si="178"/>
        <v/>
      </c>
      <c r="AK232" s="714" t="str">
        <f t="shared" si="179"/>
        <v/>
      </c>
      <c r="AL232" s="714"/>
      <c r="AM232" s="114" t="str">
        <f t="shared" si="180"/>
        <v/>
      </c>
      <c r="AN232" s="115"/>
      <c r="AO232" s="116"/>
      <c r="AP232" s="116"/>
      <c r="AQ232" s="116"/>
      <c r="AR232" s="116"/>
      <c r="AS232" s="116"/>
      <c r="AT232" s="116"/>
      <c r="AU232" s="116"/>
      <c r="AV232" s="78"/>
      <c r="AW232" s="102"/>
      <c r="AX232" s="78"/>
      <c r="AY232" s="78"/>
      <c r="AZ232" s="78"/>
      <c r="BA232" s="78"/>
      <c r="BB232" s="78"/>
      <c r="BC232" s="78"/>
      <c r="BD232" s="78"/>
      <c r="BE232" s="465"/>
      <c r="BF232" s="165" t="str">
        <f t="shared" si="181"/>
        <v>https://www.google.com/search?tbm=isch&amp;q=25%20G4</v>
      </c>
      <c r="BG232" s="165" t="str">
        <f t="shared" si="182"/>
        <v>A</v>
      </c>
      <c r="BH232" s="65"/>
      <c r="BI232" s="65"/>
      <c r="BJ232" s="65"/>
      <c r="BK232" s="65"/>
      <c r="BL232" s="99"/>
      <c r="BM232" s="99"/>
      <c r="BN232" s="99"/>
    </row>
    <row r="233" spans="1:66" s="51" customFormat="1" ht="27" x14ac:dyDescent="0.25">
      <c r="A233" s="634">
        <v>25</v>
      </c>
      <c r="B233" s="635" t="s">
        <v>291</v>
      </c>
      <c r="C233" s="636" t="s">
        <v>1347</v>
      </c>
      <c r="D233" s="637" t="s">
        <v>299</v>
      </c>
      <c r="E233" s="638">
        <v>846.95</v>
      </c>
      <c r="F233" s="639" t="s">
        <v>292</v>
      </c>
      <c r="G233" s="484">
        <v>0</v>
      </c>
      <c r="H233" s="691" t="str">
        <f t="shared" si="190"/>
        <v/>
      </c>
      <c r="I233" s="640">
        <f t="shared" si="191"/>
        <v>0</v>
      </c>
      <c r="J233" s="640">
        <f t="shared" si="192"/>
        <v>0</v>
      </c>
      <c r="K233" s="716">
        <f t="shared" ref="K233" si="200">I233+J233</f>
        <v>0</v>
      </c>
      <c r="L233" s="716"/>
      <c r="M233" s="689" t="str">
        <f t="shared" ca="1" si="194"/>
        <v/>
      </c>
      <c r="N233" s="690"/>
      <c r="O233" s="486"/>
      <c r="P233" s="486"/>
      <c r="Q233" s="486"/>
      <c r="R233" s="486"/>
      <c r="S233" s="486"/>
      <c r="T233" s="102">
        <f t="shared" si="170"/>
        <v>0</v>
      </c>
      <c r="U233" s="78">
        <f>IF(NOT(ISNUMBER(G233)), "", VLOOKUP(A233,'Discount Lookup'!D:E,2,FALSE)*G233)</f>
        <v>0</v>
      </c>
      <c r="V233" s="78">
        <f>IF(NOT(ISNUMBER(G233)), "", VLOOKUP(A233,'Discount Lookup'!G:H,2,FALSE)*G233)</f>
        <v>0</v>
      </c>
      <c r="W233" s="102">
        <f t="shared" si="171"/>
        <v>0</v>
      </c>
      <c r="X233" s="102">
        <f t="shared" si="172"/>
        <v>0</v>
      </c>
      <c r="Y233" s="120" t="b">
        <f t="shared" si="173"/>
        <v>0</v>
      </c>
      <c r="Z233" s="117">
        <f t="shared" si="174"/>
        <v>0</v>
      </c>
      <c r="AA233" s="118"/>
      <c r="AB233" s="118" t="str">
        <f t="shared" si="175"/>
        <v/>
      </c>
      <c r="AC233" s="712" t="str">
        <f>IF(AE233="T2G","no charge",IF(AND(OR(PlanterYesMe="No",PlanterYesMe="N",PlanterYesMe="me"),H233=""),"",IF(H233="credit","NO install",IF(AND(K233="",AE233="me"),"EACH row",IF(AND(K233="images",AE233="me"),"EACH row",IF(D233="","",IF(H233="credit","",IF(AE233="free","re-planting",IF(AE233="me","   not ELP, by",IF(AND(OR(PlanterYesMe="Yes",PlanterYesMe="Y"),G233&gt;0),(VLOOKUP(A233,'Discount Lookup'!J:K,2)*G233*(1-PlanterDiscount)*(1+PlanterDifficultyPercentage)),IF(AE233="ELP",(VLOOKUP(A233,'Discount Lookup'!J:K,2)*G233*(1-PlanterDiscount)*(1+PlanterDifficultyPercentage)),IF(AE233="free","re-planting",IF(G233=0,"",IF(PlanterYesMe="",IF(AE233="me","   not ELP, by",IF(AE233="",IF(G233&gt;0,(VLOOKUP(A233,'Discount Lookup'!J:K,2)*G233*(1-PlanterDiscount)*(1+PlanterDifficultyPercentage)),""),"")),"   not ELP, by"))))))))))))))</f>
        <v/>
      </c>
      <c r="AD233" s="712"/>
      <c r="AE233" s="513" t="str">
        <f t="shared" si="176"/>
        <v/>
      </c>
      <c r="AF233" s="713" t="str">
        <f t="shared" si="177"/>
        <v/>
      </c>
      <c r="AG233" s="713"/>
      <c r="AH233" s="713"/>
      <c r="AI233" s="112">
        <f>IF(H233="credit",0,IF(AE233="free",0,IF(AE233="me",0,IF(G233&gt;0,(VLOOKUP(A233,'Discount Lookup'!J:K,2)*G233),0))))</f>
        <v>0</v>
      </c>
      <c r="AJ233" s="107" t="str">
        <f t="shared" ca="1" si="178"/>
        <v/>
      </c>
      <c r="AK233" s="714" t="str">
        <f t="shared" si="179"/>
        <v/>
      </c>
      <c r="AL233" s="714"/>
      <c r="AM233" s="114" t="str">
        <f t="shared" si="180"/>
        <v/>
      </c>
      <c r="AN233" s="115"/>
      <c r="AO233" s="116"/>
      <c r="AP233" s="116"/>
      <c r="AQ233" s="116"/>
      <c r="AR233" s="116"/>
      <c r="AS233" s="116"/>
      <c r="AT233" s="116"/>
      <c r="AU233" s="116"/>
      <c r="AV233" s="78"/>
      <c r="AW233" s="102"/>
      <c r="AX233" s="78"/>
      <c r="AY233" s="78"/>
      <c r="AZ233" s="78"/>
      <c r="BA233" s="78"/>
      <c r="BB233" s="78"/>
      <c r="BC233" s="78"/>
      <c r="BD233" s="78"/>
      <c r="BE233" s="465"/>
      <c r="BF233" s="165" t="str">
        <f t="shared" si="181"/>
        <v>https://www.google.com/search?tbm=isch&amp;q=25%20G4</v>
      </c>
      <c r="BG233" s="165" t="str">
        <f t="shared" si="182"/>
        <v>A</v>
      </c>
      <c r="BH233" s="65"/>
      <c r="BI233" s="65"/>
      <c r="BJ233" s="65"/>
      <c r="BK233" s="65"/>
      <c r="BL233" s="99"/>
      <c r="BM233" s="99"/>
      <c r="BN233" s="99"/>
    </row>
    <row r="234" spans="1:66" s="51" customFormat="1" ht="27" x14ac:dyDescent="0.25">
      <c r="A234" s="634">
        <v>25</v>
      </c>
      <c r="B234" s="635" t="s">
        <v>291</v>
      </c>
      <c r="C234" s="636" t="s">
        <v>1348</v>
      </c>
      <c r="D234" s="637" t="s">
        <v>299</v>
      </c>
      <c r="E234" s="638">
        <v>978.95</v>
      </c>
      <c r="F234" s="639" t="s">
        <v>292</v>
      </c>
      <c r="G234" s="484">
        <v>0</v>
      </c>
      <c r="H234" s="691" t="str">
        <f t="shared" si="190"/>
        <v/>
      </c>
      <c r="I234" s="640">
        <f t="shared" si="191"/>
        <v>0</v>
      </c>
      <c r="J234" s="640">
        <f t="shared" si="192"/>
        <v>0</v>
      </c>
      <c r="K234" s="716">
        <f t="shared" ref="K234" si="201">I234+J234</f>
        <v>0</v>
      </c>
      <c r="L234" s="716"/>
      <c r="M234" s="689" t="str">
        <f t="shared" ca="1" si="194"/>
        <v/>
      </c>
      <c r="N234" s="690"/>
      <c r="O234" s="486"/>
      <c r="P234" s="486"/>
      <c r="Q234" s="486"/>
      <c r="R234" s="486"/>
      <c r="S234" s="486"/>
      <c r="T234" s="102">
        <f t="shared" si="170"/>
        <v>0</v>
      </c>
      <c r="U234" s="78">
        <f>IF(NOT(ISNUMBER(G234)), "", VLOOKUP(A234,'Discount Lookup'!D:E,2,FALSE)*G234)</f>
        <v>0</v>
      </c>
      <c r="V234" s="78">
        <f>IF(NOT(ISNUMBER(G234)), "", VLOOKUP(A234,'Discount Lookup'!G:H,2,FALSE)*G234)</f>
        <v>0</v>
      </c>
      <c r="W234" s="102">
        <f t="shared" si="171"/>
        <v>0</v>
      </c>
      <c r="X234" s="102">
        <f t="shared" si="172"/>
        <v>0</v>
      </c>
      <c r="Y234" s="120" t="b">
        <f t="shared" si="173"/>
        <v>0</v>
      </c>
      <c r="Z234" s="117">
        <f t="shared" si="174"/>
        <v>0</v>
      </c>
      <c r="AA234" s="118"/>
      <c r="AB234" s="118" t="str">
        <f t="shared" si="175"/>
        <v/>
      </c>
      <c r="AC234" s="712" t="str">
        <f>IF(AE234="T2G","no charge",IF(AND(OR(PlanterYesMe="No",PlanterYesMe="N",PlanterYesMe="me"),H234=""),"",IF(H234="credit","NO install",IF(AND(K234="",AE234="me"),"EACH row",IF(AND(K234="images",AE234="me"),"EACH row",IF(D234="","",IF(H234="credit","",IF(AE234="free","re-planting",IF(AE234="me","   not ELP, by",IF(AND(OR(PlanterYesMe="Yes",PlanterYesMe="Y"),G234&gt;0),(VLOOKUP(A234,'Discount Lookup'!J:K,2)*G234*(1-PlanterDiscount)*(1+PlanterDifficultyPercentage)),IF(AE234="ELP",(VLOOKUP(A234,'Discount Lookup'!J:K,2)*G234*(1-PlanterDiscount)*(1+PlanterDifficultyPercentage)),IF(AE234="free","re-planting",IF(G234=0,"",IF(PlanterYesMe="",IF(AE234="me","   not ELP, by",IF(AE234="",IF(G234&gt;0,(VLOOKUP(A234,'Discount Lookup'!J:K,2)*G234*(1-PlanterDiscount)*(1+PlanterDifficultyPercentage)),""),"")),"   not ELP, by"))))))))))))))</f>
        <v/>
      </c>
      <c r="AD234" s="712"/>
      <c r="AE234" s="513" t="str">
        <f t="shared" si="176"/>
        <v/>
      </c>
      <c r="AF234" s="713" t="str">
        <f t="shared" si="177"/>
        <v/>
      </c>
      <c r="AG234" s="713"/>
      <c r="AH234" s="713"/>
      <c r="AI234" s="112">
        <f>IF(H234="credit",0,IF(AE234="free",0,IF(AE234="me",0,IF(G234&gt;0,(VLOOKUP(A234,'Discount Lookup'!J:K,2)*G234),0))))</f>
        <v>0</v>
      </c>
      <c r="AJ234" s="107" t="str">
        <f t="shared" ca="1" si="178"/>
        <v/>
      </c>
      <c r="AK234" s="714" t="str">
        <f t="shared" si="179"/>
        <v/>
      </c>
      <c r="AL234" s="714"/>
      <c r="AM234" s="114" t="str">
        <f t="shared" si="180"/>
        <v/>
      </c>
      <c r="AN234" s="115"/>
      <c r="AO234" s="116"/>
      <c r="AP234" s="116"/>
      <c r="AQ234" s="116"/>
      <c r="AR234" s="116"/>
      <c r="AS234" s="116"/>
      <c r="AT234" s="116"/>
      <c r="AU234" s="116"/>
      <c r="AV234" s="78"/>
      <c r="AW234" s="102"/>
      <c r="AX234" s="78"/>
      <c r="AY234" s="78"/>
      <c r="AZ234" s="78"/>
      <c r="BA234" s="78"/>
      <c r="BB234" s="78"/>
      <c r="BC234" s="78"/>
      <c r="BD234" s="78"/>
      <c r="BE234" s="465"/>
      <c r="BF234" s="165" t="str">
        <f t="shared" si="181"/>
        <v>https://www.google.com/search?tbm=isch&amp;q=25%20G4</v>
      </c>
      <c r="BG234" s="165" t="str">
        <f t="shared" si="182"/>
        <v>A</v>
      </c>
      <c r="BH234" s="65"/>
      <c r="BI234" s="65"/>
      <c r="BJ234" s="65"/>
      <c r="BK234" s="65"/>
      <c r="BL234" s="99"/>
      <c r="BM234" s="99"/>
      <c r="BN234" s="99"/>
    </row>
    <row r="235" spans="1:66" s="51" customFormat="1" ht="17.25" thickBot="1" x14ac:dyDescent="0.3">
      <c r="A235" s="641" t="s">
        <v>1349</v>
      </c>
      <c r="B235" s="642"/>
      <c r="C235" s="710"/>
      <c r="D235" s="643"/>
      <c r="E235" s="643"/>
      <c r="F235" s="644"/>
      <c r="G235" s="645"/>
      <c r="H235" s="646"/>
      <c r="I235" s="647"/>
      <c r="J235" s="648"/>
      <c r="K235" s="649"/>
      <c r="L235" s="650"/>
      <c r="M235" s="650"/>
      <c r="N235" s="644"/>
      <c r="O235" s="644"/>
      <c r="P235" s="644"/>
      <c r="Q235" s="644"/>
      <c r="R235" s="644"/>
      <c r="S235" s="651"/>
      <c r="T235" s="102">
        <f t="shared" si="170"/>
        <v>0</v>
      </c>
      <c r="U235" s="78" t="str">
        <f>IF(NOT(ISNUMBER(G235)), "", VLOOKUP(A235,'Discount Lookup'!D:E,2,FALSE)*G235)</f>
        <v/>
      </c>
      <c r="V235" s="78" t="str">
        <f>IF(NOT(ISNUMBER(G235)), "", VLOOKUP(A235,'Discount Lookup'!G:H,2,FALSE)*G235)</f>
        <v/>
      </c>
      <c r="W235" s="102">
        <f t="shared" si="171"/>
        <v>0</v>
      </c>
      <c r="X235" s="102">
        <f t="shared" si="172"/>
        <v>0</v>
      </c>
      <c r="Y235" s="120" t="b">
        <f t="shared" si="173"/>
        <v>0</v>
      </c>
      <c r="Z235" s="117">
        <f t="shared" si="174"/>
        <v>0</v>
      </c>
      <c r="AA235" s="118"/>
      <c r="AB235" s="118" t="str">
        <f t="shared" si="175"/>
        <v/>
      </c>
      <c r="AC235" s="712" t="str">
        <f>IF(AE235="T2G","no charge",IF(AND(OR(PlanterYesMe="No",PlanterYesMe="N",PlanterYesMe="me"),H235=""),"",IF(H235="credit","NO install",IF(AND(K235="",AE235="me"),"EACH row",IF(AND(K235="images",AE235="me"),"EACH row",IF(D235="","",IF(H235="credit","",IF(AE235="free","re-planting",IF(AE235="me","   not ELP, by",IF(AND(OR(PlanterYesMe="Yes",PlanterYesMe="Y"),G235&gt;0),(VLOOKUP(A235,'Discount Lookup'!J:K,2)*G235*(1-PlanterDiscount)*(1+PlanterDifficultyPercentage)),IF(AE235="ELP",(VLOOKUP(A235,'Discount Lookup'!J:K,2)*G235*(1-PlanterDiscount)*(1+PlanterDifficultyPercentage)),IF(AE235="free","re-planting",IF(G235=0,"",IF(PlanterYesMe="",IF(AE235="me","   not ELP, by",IF(AE235="",IF(G235&gt;0,(VLOOKUP(A235,'Discount Lookup'!J:K,2)*G235*(1-PlanterDiscount)*(1+PlanterDifficultyPercentage)),""),"")),"   not ELP, by"))))))))))))))</f>
        <v/>
      </c>
      <c r="AD235" s="712"/>
      <c r="AE235" s="513" t="str">
        <f t="shared" si="176"/>
        <v/>
      </c>
      <c r="AF235" s="713" t="str">
        <f t="shared" si="177"/>
        <v/>
      </c>
      <c r="AG235" s="713"/>
      <c r="AH235" s="713"/>
      <c r="AI235" s="112">
        <f>IF(H235="credit",0,IF(AE235="free",0,IF(AE235="me",0,IF(G235&gt;0,(VLOOKUP(A235,'Discount Lookup'!J:K,2)*G235),0))))</f>
        <v>0</v>
      </c>
      <c r="AJ235" s="107" t="str">
        <f t="shared" ca="1" si="178"/>
        <v/>
      </c>
      <c r="AK235" s="714" t="str">
        <f t="shared" si="179"/>
        <v/>
      </c>
      <c r="AL235" s="714"/>
      <c r="AM235" s="114" t="str">
        <f t="shared" si="180"/>
        <v/>
      </c>
      <c r="AN235" s="115"/>
      <c r="AO235" s="116"/>
      <c r="AP235" s="116"/>
      <c r="AQ235" s="116"/>
      <c r="AR235" s="116"/>
      <c r="AS235" s="116"/>
      <c r="AT235" s="116"/>
      <c r="AU235" s="116"/>
      <c r="AV235" s="78"/>
      <c r="AW235" s="102"/>
      <c r="AX235" s="78"/>
      <c r="AY235" s="78"/>
      <c r="AZ235" s="78"/>
      <c r="BA235" s="78"/>
      <c r="BB235" s="78"/>
      <c r="BC235" s="78"/>
      <c r="BD235" s="78"/>
      <c r="BE235" s="465"/>
      <c r="BF235" s="165" t="str">
        <f t="shared" si="181"/>
        <v>https://www.google.com/search?tbm=isch&amp;q=Tamukeyama%20foliage%20emerges%20Crimson-Red%2C%20holds%20color%20through%20summer%2C%20turning%20bright%20Scarlet%20in%20fall.%20Deep%20red%20bark.%20Very%20heat-tolerant%20</v>
      </c>
      <c r="BG235" s="165" t="str">
        <f t="shared" si="182"/>
        <v>T</v>
      </c>
      <c r="BH235" s="65"/>
      <c r="BI235" s="65"/>
      <c r="BJ235" s="65"/>
      <c r="BK235" s="65"/>
      <c r="BL235" s="99"/>
      <c r="BM235" s="99"/>
      <c r="BN235" s="99"/>
    </row>
    <row r="236" spans="1:66" s="51" customFormat="1" ht="18" x14ac:dyDescent="0.25">
      <c r="A236" s="623" t="s">
        <v>1350</v>
      </c>
      <c r="B236" s="624"/>
      <c r="C236" s="709"/>
      <c r="D236" s="625" t="s">
        <v>1351</v>
      </c>
      <c r="E236" s="626"/>
      <c r="F236" s="626"/>
      <c r="G236" s="626"/>
      <c r="H236" s="622" t="s">
        <v>1326</v>
      </c>
      <c r="I236" s="627" t="s">
        <v>433</v>
      </c>
      <c r="J236" s="628"/>
      <c r="K236" s="628"/>
      <c r="L236" s="629"/>
      <c r="M236" s="702" t="s">
        <v>5252</v>
      </c>
      <c r="N236" s="693" t="str">
        <f>IF(AND(ISTEXT($A236), ISERROR($A236+0)), HYPERLINK($BF236, "Images"), "")</f>
        <v>Images</v>
      </c>
      <c r="O236" s="695" t="s">
        <v>5247</v>
      </c>
      <c r="P236" s="630"/>
      <c r="Q236" s="631"/>
      <c r="R236" s="632"/>
      <c r="S236" s="633"/>
      <c r="T236" s="102">
        <f t="shared" si="170"/>
        <v>0</v>
      </c>
      <c r="U236" s="78" t="str">
        <f>IF(NOT(ISNUMBER(G236)), "", VLOOKUP(A236,'Discount Lookup'!D:E,2,FALSE)*G236)</f>
        <v/>
      </c>
      <c r="V236" s="78" t="str">
        <f>IF(NOT(ISNUMBER(G236)), "", VLOOKUP(A236,'Discount Lookup'!G:H,2,FALSE)*G236)</f>
        <v/>
      </c>
      <c r="W236" s="102">
        <f t="shared" si="171"/>
        <v>0</v>
      </c>
      <c r="X236" s="102" t="str">
        <f t="shared" si="172"/>
        <v>Bright Green foliage</v>
      </c>
      <c r="Y236" s="120" t="b">
        <f t="shared" si="173"/>
        <v>0</v>
      </c>
      <c r="Z236" s="117">
        <f t="shared" si="174"/>
        <v>0</v>
      </c>
      <c r="AA236" s="118"/>
      <c r="AB236" s="118" t="str">
        <f t="shared" si="175"/>
        <v/>
      </c>
      <c r="AC236" s="712" t="str">
        <f>IF(AE236="T2G","no charge",IF(AND(OR(PlanterYesMe="No",PlanterYesMe="N",PlanterYesMe="me"),H236=""),"",IF(H236="credit","NO install",IF(AND(K236="",AE236="me"),"EACH row",IF(AND(K236="images",AE236="me"),"EACH row",IF(D236="","",IF(H236="credit","",IF(AE236="free","re-planting",IF(AE236="me","   not ELP, by",IF(AND(OR(PlanterYesMe="Yes",PlanterYesMe="Y"),G236&gt;0),(VLOOKUP(A236,'Discount Lookup'!J:K,2)*G236*(1-PlanterDiscount)*(1+PlanterDifficultyPercentage)),IF(AE236="ELP",(VLOOKUP(A236,'Discount Lookup'!J:K,2)*G236*(1-PlanterDiscount)*(1+PlanterDifficultyPercentage)),IF(AE236="free","re-planting",IF(G236=0,"",IF(PlanterYesMe="",IF(AE236="me","   not ELP, by",IF(AE236="",IF(G236&gt;0,(VLOOKUP(A236,'Discount Lookup'!J:K,2)*G236*(1-PlanterDiscount)*(1+PlanterDifficultyPercentage)),""),"")),"   not ELP, by"))))))))))))))</f>
        <v/>
      </c>
      <c r="AD236" s="712"/>
      <c r="AE236" s="513" t="str">
        <f t="shared" si="176"/>
        <v/>
      </c>
      <c r="AF236" s="713" t="str">
        <f t="shared" si="177"/>
        <v/>
      </c>
      <c r="AG236" s="713"/>
      <c r="AH236" s="713"/>
      <c r="AI236" s="112">
        <f>IF(H236="credit",0,IF(AE236="free",0,IF(AE236="me",0,IF(G236&gt;0,(VLOOKUP(A236,'Discount Lookup'!J:K,2)*G236),0))))</f>
        <v>0</v>
      </c>
      <c r="AJ236" s="107" t="str">
        <f t="shared" ca="1" si="178"/>
        <v/>
      </c>
      <c r="AK236" s="714" t="str">
        <f t="shared" si="179"/>
        <v/>
      </c>
      <c r="AL236" s="714"/>
      <c r="AM236" s="114" t="str">
        <f t="shared" si="180"/>
        <v/>
      </c>
      <c r="AN236" s="115"/>
      <c r="AO236" s="116"/>
      <c r="AP236" s="116"/>
      <c r="AQ236" s="116"/>
      <c r="AR236" s="116"/>
      <c r="AS236" s="116"/>
      <c r="AT236" s="116"/>
      <c r="AU236" s="116"/>
      <c r="AV236" s="78"/>
      <c r="AW236" s="102"/>
      <c r="AX236" s="78"/>
      <c r="AY236" s="78"/>
      <c r="AZ236" s="78"/>
      <c r="BA236" s="78"/>
      <c r="BB236" s="78"/>
      <c r="BC236" s="78"/>
      <c r="BD236" s="78"/>
      <c r="BE236" s="465"/>
      <c r="BF236" s="165" t="str">
        <f t="shared" si="181"/>
        <v>https://www.google.com/search?tbm=isch&amp;q=Acer%20palmatum%20var.%20dis.%20%27Viridis%27%20Viridis%20Cutleaf%20Japanese%20Maple</v>
      </c>
      <c r="BG236" s="165" t="str">
        <f t="shared" si="182"/>
        <v>A</v>
      </c>
      <c r="BH236" s="65"/>
      <c r="BI236" s="65"/>
      <c r="BJ236" s="65"/>
      <c r="BK236" s="65"/>
      <c r="BL236" s="99"/>
      <c r="BM236" s="99"/>
      <c r="BN236" s="99"/>
    </row>
    <row r="237" spans="1:66" s="51" customFormat="1" ht="15.75" x14ac:dyDescent="0.25">
      <c r="A237" s="634">
        <v>7</v>
      </c>
      <c r="B237" s="635" t="s">
        <v>291</v>
      </c>
      <c r="C237" s="636" t="s">
        <v>1352</v>
      </c>
      <c r="D237" s="637" t="s">
        <v>299</v>
      </c>
      <c r="E237" s="638">
        <v>219.95</v>
      </c>
      <c r="F237" s="639" t="s">
        <v>292</v>
      </c>
      <c r="G237" s="484">
        <v>0</v>
      </c>
      <c r="H237" s="691" t="str">
        <f>IF(G237=0,"",IF(F237="Buy",IF(G237=1,"plant","plants"),IF(F237&gt;0.01,"warranty","Error")))</f>
        <v/>
      </c>
      <c r="I237" s="640">
        <f>IF(H237="free",0,IF(H237="credit",((E237*(F237))*G237*-1),IF(F237="Buy",(E237*G237),((E237*(1-F237))*G237))))</f>
        <v>0</v>
      </c>
      <c r="J237" s="640">
        <f>IF(H237="warranty",0,(I237*(_xlfn.SINGLE(SalesTaxPercentage))))</f>
        <v>0</v>
      </c>
      <c r="K237" s="716">
        <f t="shared" ref="K237" si="202">I237+J237</f>
        <v>0</v>
      </c>
      <c r="L237" s="716"/>
      <c r="M237" s="689" t="str">
        <f ca="1">IF(AND(G237&gt;0,E237=0),"WARNING - no PRICE inserted",IF(H237="free","FREE ~ no charge this plant",IF(H237="credit",CONCATENATE("-$",ROUND(K237*(1-_xlfn.SINGLE(T2GDiscount))*-1,2)," CREDIT after discount"),IF(_xlfn.SINGLE(T2GDiscount)=0,"",IF(G237=0,"",IF(F237="Buy",CONCATENATE("$",ROUND(K237*(1-_xlfn.SINGLE(T2GDiscount)),2)," with ",(_xlfn.SINGLE(T2GDiscount)*100),"% discount"),CONCATENATE("$",ROUND(K237*(1-_xlfn.SINGLE(T2GDiscount)),2)," with ",((_xlfn.SINGLE(T2GDiscount)*100+F237*100)-(_xlfn.SINGLE(T2GDiscount)*100*F237)),IF(F237&gt;0,"% discounts",IF(_xlfn.SINGLE(NoWarrantyDiscount)&gt;0,"% discounts","% discount")))))))))</f>
        <v/>
      </c>
      <c r="N237" s="690"/>
      <c r="O237" s="486"/>
      <c r="P237" s="486"/>
      <c r="Q237" s="486"/>
      <c r="R237" s="486"/>
      <c r="S237" s="486"/>
      <c r="T237" s="102">
        <f t="shared" si="170"/>
        <v>0</v>
      </c>
      <c r="U237" s="78">
        <f>IF(NOT(ISNUMBER(G237)), "", VLOOKUP(A237,'Discount Lookup'!D:E,2,FALSE)*G237)</f>
        <v>0</v>
      </c>
      <c r="V237" s="78">
        <f>IF(NOT(ISNUMBER(G237)), "", VLOOKUP(A237,'Discount Lookup'!G:H,2,FALSE)*G237)</f>
        <v>0</v>
      </c>
      <c r="W237" s="102">
        <f t="shared" si="171"/>
        <v>0</v>
      </c>
      <c r="X237" s="102">
        <f t="shared" si="172"/>
        <v>0</v>
      </c>
      <c r="Y237" s="120" t="b">
        <f t="shared" si="173"/>
        <v>0</v>
      </c>
      <c r="Z237" s="117">
        <f t="shared" si="174"/>
        <v>0</v>
      </c>
      <c r="AA237" s="118"/>
      <c r="AB237" s="118" t="str">
        <f t="shared" si="175"/>
        <v/>
      </c>
      <c r="AC237" s="712" t="str">
        <f>IF(AE237="T2G","no charge",IF(AND(OR(PlanterYesMe="No",PlanterYesMe="N",PlanterYesMe="me"),H237=""),"",IF(H237="credit","NO install",IF(AND(K237="",AE237="me"),"EACH row",IF(AND(K237="images",AE237="me"),"EACH row",IF(D237="","",IF(H237="credit","",IF(AE237="free","re-planting",IF(AE237="me","   not ELP, by",IF(AND(OR(PlanterYesMe="Yes",PlanterYesMe="Y"),G237&gt;0),(VLOOKUP(A237,'Discount Lookup'!J:K,2)*G237*(1-PlanterDiscount)*(1+PlanterDifficultyPercentage)),IF(AE237="ELP",(VLOOKUP(A237,'Discount Lookup'!J:K,2)*G237*(1-PlanterDiscount)*(1+PlanterDifficultyPercentage)),IF(AE237="free","re-planting",IF(G237=0,"",IF(PlanterYesMe="",IF(AE237="me","   not ELP, by",IF(AE237="",IF(G237&gt;0,(VLOOKUP(A237,'Discount Lookup'!J:K,2)*G237*(1-PlanterDiscount)*(1+PlanterDifficultyPercentage)),""),"")),"   not ELP, by"))))))))))))))</f>
        <v/>
      </c>
      <c r="AD237" s="712"/>
      <c r="AE237" s="513" t="str">
        <f t="shared" si="176"/>
        <v/>
      </c>
      <c r="AF237" s="713" t="str">
        <f t="shared" si="177"/>
        <v/>
      </c>
      <c r="AG237" s="713"/>
      <c r="AH237" s="713"/>
      <c r="AI237" s="112">
        <f>IF(H237="credit",0,IF(AE237="free",0,IF(AE237="me",0,IF(G237&gt;0,(VLOOKUP(A237,'Discount Lookup'!J:K,2)*G237),0))))</f>
        <v>0</v>
      </c>
      <c r="AJ237" s="107" t="str">
        <f t="shared" ca="1" si="178"/>
        <v/>
      </c>
      <c r="AK237" s="714" t="str">
        <f t="shared" si="179"/>
        <v/>
      </c>
      <c r="AL237" s="714"/>
      <c r="AM237" s="114" t="str">
        <f t="shared" si="180"/>
        <v/>
      </c>
      <c r="AN237" s="115"/>
      <c r="AO237" s="116"/>
      <c r="AP237" s="116"/>
      <c r="AQ237" s="116"/>
      <c r="AR237" s="116"/>
      <c r="AS237" s="116"/>
      <c r="AT237" s="116"/>
      <c r="AU237" s="116"/>
      <c r="AV237" s="78"/>
      <c r="AW237" s="102"/>
      <c r="AX237" s="78"/>
      <c r="AY237" s="78"/>
      <c r="AZ237" s="78"/>
      <c r="BA237" s="78"/>
      <c r="BB237" s="78"/>
      <c r="BC237" s="78"/>
      <c r="BD237" s="78"/>
      <c r="BE237" s="465"/>
      <c r="BF237" s="165" t="str">
        <f t="shared" si="181"/>
        <v>https://www.google.com/search?tbm=isch&amp;q=7%20G4</v>
      </c>
      <c r="BG237" s="165" t="str">
        <f t="shared" si="182"/>
        <v>A</v>
      </c>
      <c r="BH237" s="65"/>
      <c r="BI237" s="65"/>
      <c r="BJ237" s="65"/>
      <c r="BK237" s="65"/>
      <c r="BL237" s="99"/>
      <c r="BM237" s="99"/>
      <c r="BN237" s="99"/>
    </row>
    <row r="238" spans="1:66" s="51" customFormat="1" ht="15.75" x14ac:dyDescent="0.25">
      <c r="A238" s="634">
        <v>10</v>
      </c>
      <c r="B238" s="635" t="s">
        <v>291</v>
      </c>
      <c r="C238" s="636" t="s">
        <v>1353</v>
      </c>
      <c r="D238" s="637" t="s">
        <v>299</v>
      </c>
      <c r="E238" s="638">
        <v>307.95</v>
      </c>
      <c r="F238" s="639" t="s">
        <v>292</v>
      </c>
      <c r="G238" s="484">
        <v>0</v>
      </c>
      <c r="H238" s="691" t="str">
        <f>IF(G238=0,"",IF(F238="Buy",IF(G238=1,"plant","plants"),IF(F238&gt;0.01,"warranty","Error")))</f>
        <v/>
      </c>
      <c r="I238" s="640">
        <f>IF(H238="free",0,IF(H238="credit",((E238*(F238))*G238*-1),IF(F238="Buy",(E238*G238),((E238*(1-F238))*G238))))</f>
        <v>0</v>
      </c>
      <c r="J238" s="640">
        <f>IF(H238="warranty",0,(I238*(_xlfn.SINGLE(SalesTaxPercentage))))</f>
        <v>0</v>
      </c>
      <c r="K238" s="716">
        <f t="shared" ref="K238" si="203">I238+J238</f>
        <v>0</v>
      </c>
      <c r="L238" s="716"/>
      <c r="M238" s="689" t="str">
        <f ca="1">IF(AND(G238&gt;0,E238=0),"WARNING - no PRICE inserted",IF(H238="free","FREE ~ no charge this plant",IF(H238="credit",CONCATENATE("-$",ROUND(K238*(1-_xlfn.SINGLE(T2GDiscount))*-1,2)," CREDIT after discount"),IF(_xlfn.SINGLE(T2GDiscount)=0,"",IF(G238=0,"",IF(F238="Buy",CONCATENATE("$",ROUND(K238*(1-_xlfn.SINGLE(T2GDiscount)),2)," with ",(_xlfn.SINGLE(T2GDiscount)*100),"% discount"),CONCATENATE("$",ROUND(K238*(1-_xlfn.SINGLE(T2GDiscount)),2)," with ",((_xlfn.SINGLE(T2GDiscount)*100+F238*100)-(_xlfn.SINGLE(T2GDiscount)*100*F238)),IF(F238&gt;0,"% discounts",IF(_xlfn.SINGLE(NoWarrantyDiscount)&gt;0,"% discounts","% discount")))))))))</f>
        <v/>
      </c>
      <c r="N238" s="690"/>
      <c r="O238" s="486"/>
      <c r="P238" s="486"/>
      <c r="Q238" s="486"/>
      <c r="R238" s="486"/>
      <c r="S238" s="486"/>
      <c r="T238" s="102">
        <f t="shared" si="170"/>
        <v>0</v>
      </c>
      <c r="U238" s="78">
        <f>IF(NOT(ISNUMBER(G238)), "", VLOOKUP(A238,'Discount Lookup'!D:E,2,FALSE)*G238)</f>
        <v>0</v>
      </c>
      <c r="V238" s="78">
        <f>IF(NOT(ISNUMBER(G238)), "", VLOOKUP(A238,'Discount Lookup'!G:H,2,FALSE)*G238)</f>
        <v>0</v>
      </c>
      <c r="W238" s="102">
        <f t="shared" si="171"/>
        <v>0</v>
      </c>
      <c r="X238" s="102">
        <f t="shared" si="172"/>
        <v>0</v>
      </c>
      <c r="Y238" s="120" t="b">
        <f t="shared" si="173"/>
        <v>0</v>
      </c>
      <c r="Z238" s="117">
        <f t="shared" si="174"/>
        <v>0</v>
      </c>
      <c r="AA238" s="118"/>
      <c r="AB238" s="118" t="str">
        <f t="shared" si="175"/>
        <v/>
      </c>
      <c r="AC238" s="712" t="str">
        <f>IF(AE238="T2G","no charge",IF(AND(OR(PlanterYesMe="No",PlanterYesMe="N",PlanterYesMe="me"),H238=""),"",IF(H238="credit","NO install",IF(AND(K238="",AE238="me"),"EACH row",IF(AND(K238="images",AE238="me"),"EACH row",IF(D238="","",IF(H238="credit","",IF(AE238="free","re-planting",IF(AE238="me","   not ELP, by",IF(AND(OR(PlanterYesMe="Yes",PlanterYesMe="Y"),G238&gt;0),(VLOOKUP(A238,'Discount Lookup'!J:K,2)*G238*(1-PlanterDiscount)*(1+PlanterDifficultyPercentage)),IF(AE238="ELP",(VLOOKUP(A238,'Discount Lookup'!J:K,2)*G238*(1-PlanterDiscount)*(1+PlanterDifficultyPercentage)),IF(AE238="free","re-planting",IF(G238=0,"",IF(PlanterYesMe="",IF(AE238="me","   not ELP, by",IF(AE238="",IF(G238&gt;0,(VLOOKUP(A238,'Discount Lookup'!J:K,2)*G238*(1-PlanterDiscount)*(1+PlanterDifficultyPercentage)),""),"")),"   not ELP, by"))))))))))))))</f>
        <v/>
      </c>
      <c r="AD238" s="712"/>
      <c r="AE238" s="513" t="str">
        <f t="shared" si="176"/>
        <v/>
      </c>
      <c r="AF238" s="713" t="str">
        <f t="shared" si="177"/>
        <v/>
      </c>
      <c r="AG238" s="713"/>
      <c r="AH238" s="713"/>
      <c r="AI238" s="112">
        <f>IF(H238="credit",0,IF(AE238="free",0,IF(AE238="me",0,IF(G238&gt;0,(VLOOKUP(A238,'Discount Lookup'!J:K,2)*G238),0))))</f>
        <v>0</v>
      </c>
      <c r="AJ238" s="107" t="str">
        <f t="shared" ca="1" si="178"/>
        <v/>
      </c>
      <c r="AK238" s="714" t="str">
        <f t="shared" si="179"/>
        <v/>
      </c>
      <c r="AL238" s="714"/>
      <c r="AM238" s="114" t="str">
        <f t="shared" si="180"/>
        <v/>
      </c>
      <c r="AN238" s="115"/>
      <c r="AO238" s="116"/>
      <c r="AP238" s="116"/>
      <c r="AQ238" s="116"/>
      <c r="AR238" s="116"/>
      <c r="AS238" s="116"/>
      <c r="AT238" s="116"/>
      <c r="AU238" s="116"/>
      <c r="AV238" s="78"/>
      <c r="AW238" s="102"/>
      <c r="AX238" s="78"/>
      <c r="AY238" s="78"/>
      <c r="AZ238" s="78"/>
      <c r="BA238" s="78"/>
      <c r="BB238" s="78"/>
      <c r="BC238" s="78"/>
      <c r="BD238" s="78"/>
      <c r="BE238" s="465"/>
      <c r="BF238" s="165" t="str">
        <f t="shared" si="181"/>
        <v>https://www.google.com/search?tbm=isch&amp;q=10%20G4</v>
      </c>
      <c r="BG238" s="165" t="str">
        <f t="shared" si="182"/>
        <v>A</v>
      </c>
      <c r="BH238" s="65"/>
      <c r="BI238" s="65"/>
      <c r="BJ238" s="65"/>
      <c r="BK238" s="65"/>
      <c r="BL238" s="99"/>
      <c r="BM238" s="99"/>
      <c r="BN238" s="99"/>
    </row>
    <row r="239" spans="1:66" s="51" customFormat="1" ht="27" x14ac:dyDescent="0.25">
      <c r="A239" s="634">
        <v>15</v>
      </c>
      <c r="B239" s="635" t="s">
        <v>291</v>
      </c>
      <c r="C239" s="636" t="s">
        <v>1354</v>
      </c>
      <c r="D239" s="637" t="s">
        <v>299</v>
      </c>
      <c r="E239" s="638">
        <v>403.95</v>
      </c>
      <c r="F239" s="639" t="s">
        <v>292</v>
      </c>
      <c r="G239" s="484">
        <v>0</v>
      </c>
      <c r="H239" s="691" t="str">
        <f>IF(G239=0,"",IF(F239="Buy",IF(G239=1,"plant","plants"),IF(F239&gt;0.01,"warranty","Error")))</f>
        <v/>
      </c>
      <c r="I239" s="640">
        <f>IF(H239="free",0,IF(H239="credit",((E239*(F239))*G239*-1),IF(F239="Buy",(E239*G239),((E239*(1-F239))*G239))))</f>
        <v>0</v>
      </c>
      <c r="J239" s="640">
        <f>IF(H239="warranty",0,(I239*(_xlfn.SINGLE(SalesTaxPercentage))))</f>
        <v>0</v>
      </c>
      <c r="K239" s="716">
        <f t="shared" ref="K239" si="204">I239+J239</f>
        <v>0</v>
      </c>
      <c r="L239" s="716"/>
      <c r="M239" s="689" t="str">
        <f ca="1">IF(AND(G239&gt;0,E239=0),"WARNING - no PRICE inserted",IF(H239="free","FREE ~ no charge this plant",IF(H239="credit",CONCATENATE("-$",ROUND(K239*(1-_xlfn.SINGLE(T2GDiscount))*-1,2)," CREDIT after discount"),IF(_xlfn.SINGLE(T2GDiscount)=0,"",IF(G239=0,"",IF(F239="Buy",CONCATENATE("$",ROUND(K239*(1-_xlfn.SINGLE(T2GDiscount)),2)," with ",(_xlfn.SINGLE(T2GDiscount)*100),"% discount"),CONCATENATE("$",ROUND(K239*(1-_xlfn.SINGLE(T2GDiscount)),2)," with ",((_xlfn.SINGLE(T2GDiscount)*100+F239*100)-(_xlfn.SINGLE(T2GDiscount)*100*F239)),IF(F239&gt;0,"% discounts",IF(_xlfn.SINGLE(NoWarrantyDiscount)&gt;0,"% discounts","% discount")))))))))</f>
        <v/>
      </c>
      <c r="N239" s="690"/>
      <c r="O239" s="486"/>
      <c r="P239" s="486"/>
      <c r="Q239" s="486"/>
      <c r="R239" s="486"/>
      <c r="S239" s="486"/>
      <c r="T239" s="102">
        <f t="shared" si="170"/>
        <v>0</v>
      </c>
      <c r="U239" s="78">
        <f>IF(NOT(ISNUMBER(G239)), "", VLOOKUP(A239,'Discount Lookup'!D:E,2,FALSE)*G239)</f>
        <v>0</v>
      </c>
      <c r="V239" s="78">
        <f>IF(NOT(ISNUMBER(G239)), "", VLOOKUP(A239,'Discount Lookup'!G:H,2,FALSE)*G239)</f>
        <v>0</v>
      </c>
      <c r="W239" s="102">
        <f t="shared" si="171"/>
        <v>0</v>
      </c>
      <c r="X239" s="102">
        <f t="shared" si="172"/>
        <v>0</v>
      </c>
      <c r="Y239" s="120" t="b">
        <f t="shared" si="173"/>
        <v>0</v>
      </c>
      <c r="Z239" s="117">
        <f t="shared" si="174"/>
        <v>0</v>
      </c>
      <c r="AA239" s="118"/>
      <c r="AB239" s="118" t="str">
        <f t="shared" si="175"/>
        <v/>
      </c>
      <c r="AC239" s="712" t="str">
        <f>IF(AE239="T2G","no charge",IF(AND(OR(PlanterYesMe="No",PlanterYesMe="N",PlanterYesMe="me"),H239=""),"",IF(H239="credit","NO install",IF(AND(K239="",AE239="me"),"EACH row",IF(AND(K239="images",AE239="me"),"EACH row",IF(D239="","",IF(H239="credit","",IF(AE239="free","re-planting",IF(AE239="me","   not ELP, by",IF(AND(OR(PlanterYesMe="Yes",PlanterYesMe="Y"),G239&gt;0),(VLOOKUP(A239,'Discount Lookup'!J:K,2)*G239*(1-PlanterDiscount)*(1+PlanterDifficultyPercentage)),IF(AE239="ELP",(VLOOKUP(A239,'Discount Lookup'!J:K,2)*G239*(1-PlanterDiscount)*(1+PlanterDifficultyPercentage)),IF(AE239="free","re-planting",IF(G239=0,"",IF(PlanterYesMe="",IF(AE239="me","   not ELP, by",IF(AE239="",IF(G239&gt;0,(VLOOKUP(A239,'Discount Lookup'!J:K,2)*G239*(1-PlanterDiscount)*(1+PlanterDifficultyPercentage)),""),"")),"   not ELP, by"))))))))))))))</f>
        <v/>
      </c>
      <c r="AD239" s="712"/>
      <c r="AE239" s="513" t="str">
        <f t="shared" si="176"/>
        <v/>
      </c>
      <c r="AF239" s="713" t="str">
        <f t="shared" si="177"/>
        <v/>
      </c>
      <c r="AG239" s="713"/>
      <c r="AH239" s="713"/>
      <c r="AI239" s="112">
        <f>IF(H239="credit",0,IF(AE239="free",0,IF(AE239="me",0,IF(G239&gt;0,(VLOOKUP(A239,'Discount Lookup'!J:K,2)*G239),0))))</f>
        <v>0</v>
      </c>
      <c r="AJ239" s="107" t="str">
        <f t="shared" ca="1" si="178"/>
        <v/>
      </c>
      <c r="AK239" s="714" t="str">
        <f t="shared" si="179"/>
        <v/>
      </c>
      <c r="AL239" s="714"/>
      <c r="AM239" s="114" t="str">
        <f t="shared" si="180"/>
        <v/>
      </c>
      <c r="AN239" s="115"/>
      <c r="AO239" s="116"/>
      <c r="AP239" s="116"/>
      <c r="AQ239" s="116"/>
      <c r="AR239" s="116"/>
      <c r="AS239" s="116"/>
      <c r="AT239" s="116"/>
      <c r="AU239" s="116"/>
      <c r="AV239" s="78"/>
      <c r="AW239" s="102"/>
      <c r="AX239" s="78"/>
      <c r="AY239" s="78"/>
      <c r="AZ239" s="78"/>
      <c r="BA239" s="78"/>
      <c r="BB239" s="78"/>
      <c r="BC239" s="78"/>
      <c r="BD239" s="78"/>
      <c r="BE239" s="465"/>
      <c r="BF239" s="165" t="str">
        <f t="shared" si="181"/>
        <v>https://www.google.com/search?tbm=isch&amp;q=15%20G4</v>
      </c>
      <c r="BG239" s="165" t="str">
        <f t="shared" si="182"/>
        <v>A</v>
      </c>
      <c r="BH239" s="65"/>
      <c r="BI239" s="65"/>
      <c r="BJ239" s="65"/>
      <c r="BK239" s="65"/>
      <c r="BL239" s="99"/>
      <c r="BM239" s="99"/>
      <c r="BN239" s="99"/>
    </row>
    <row r="240" spans="1:66" s="51" customFormat="1" ht="15.75" x14ac:dyDescent="0.25">
      <c r="A240" s="634">
        <v>10</v>
      </c>
      <c r="B240" s="635" t="s">
        <v>291</v>
      </c>
      <c r="C240" s="636" t="s">
        <v>1355</v>
      </c>
      <c r="D240" s="637" t="s">
        <v>329</v>
      </c>
      <c r="E240" s="638">
        <v>452.95</v>
      </c>
      <c r="F240" s="639" t="s">
        <v>292</v>
      </c>
      <c r="G240" s="484">
        <v>0</v>
      </c>
      <c r="H240" s="691" t="str">
        <f>IF(G240=0,"",IF(F240="Buy",IF(G240=1,"plant","plants"),IF(F240&gt;0.01,"warranty","Error")))</f>
        <v/>
      </c>
      <c r="I240" s="640">
        <f>IF(H240="free",0,IF(H240="credit",((E240*(F240))*G240*-1),IF(F240="Buy",(E240*G240),((E240*(1-F240))*G240))))</f>
        <v>0</v>
      </c>
      <c r="J240" s="640">
        <f>IF(H240="warranty",0,(I240*(_xlfn.SINGLE(SalesTaxPercentage))))</f>
        <v>0</v>
      </c>
      <c r="K240" s="716">
        <f t="shared" ref="K240" si="205">I240+J240</f>
        <v>0</v>
      </c>
      <c r="L240" s="716"/>
      <c r="M240" s="689" t="str">
        <f ca="1">IF(AND(G240&gt;0,E240=0),"WARNING - no PRICE inserted",IF(H240="free","FREE ~ no charge this plant",IF(H240="credit",CONCATENATE("-$",ROUND(K240*(1-_xlfn.SINGLE(T2GDiscount))*-1,2)," CREDIT after discount"),IF(_xlfn.SINGLE(T2GDiscount)=0,"",IF(G240=0,"",IF(F240="Buy",CONCATENATE("$",ROUND(K240*(1-_xlfn.SINGLE(T2GDiscount)),2)," with ",(_xlfn.SINGLE(T2GDiscount)*100),"% discount"),CONCATENATE("$",ROUND(K240*(1-_xlfn.SINGLE(T2GDiscount)),2)," with ",((_xlfn.SINGLE(T2GDiscount)*100+F240*100)-(_xlfn.SINGLE(T2GDiscount)*100*F240)),IF(F240&gt;0,"% discounts",IF(_xlfn.SINGLE(NoWarrantyDiscount)&gt;0,"% discounts","% discount")))))))))</f>
        <v/>
      </c>
      <c r="N240" s="690"/>
      <c r="O240" s="486"/>
      <c r="P240" s="486"/>
      <c r="Q240" s="486"/>
      <c r="R240" s="486"/>
      <c r="S240" s="486"/>
      <c r="T240" s="102">
        <f t="shared" si="170"/>
        <v>0</v>
      </c>
      <c r="U240" s="78">
        <f>IF(NOT(ISNUMBER(G240)), "", VLOOKUP(A240,'Discount Lookup'!D:E,2,FALSE)*G240)</f>
        <v>0</v>
      </c>
      <c r="V240" s="78">
        <f>IF(NOT(ISNUMBER(G240)), "", VLOOKUP(A240,'Discount Lookup'!G:H,2,FALSE)*G240)</f>
        <v>0</v>
      </c>
      <c r="W240" s="102">
        <f t="shared" si="171"/>
        <v>0</v>
      </c>
      <c r="X240" s="102">
        <f t="shared" si="172"/>
        <v>0</v>
      </c>
      <c r="Y240" s="120" t="b">
        <f t="shared" si="173"/>
        <v>0</v>
      </c>
      <c r="Z240" s="117">
        <f t="shared" si="174"/>
        <v>0</v>
      </c>
      <c r="AA240" s="118"/>
      <c r="AB240" s="118" t="str">
        <f t="shared" si="175"/>
        <v/>
      </c>
      <c r="AC240" s="712" t="str">
        <f>IF(AE240="T2G","no charge",IF(AND(OR(PlanterYesMe="No",PlanterYesMe="N",PlanterYesMe="me"),H240=""),"",IF(H240="credit","NO install",IF(AND(K240="",AE240="me"),"EACH row",IF(AND(K240="images",AE240="me"),"EACH row",IF(D240="","",IF(H240="credit","",IF(AE240="free","re-planting",IF(AE240="me","   not ELP, by",IF(AND(OR(PlanterYesMe="Yes",PlanterYesMe="Y"),G240&gt;0),(VLOOKUP(A240,'Discount Lookup'!J:K,2)*G240*(1-PlanterDiscount)*(1+PlanterDifficultyPercentage)),IF(AE240="ELP",(VLOOKUP(A240,'Discount Lookup'!J:K,2)*G240*(1-PlanterDiscount)*(1+PlanterDifficultyPercentage)),IF(AE240="free","re-planting",IF(G240=0,"",IF(PlanterYesMe="",IF(AE240="me","   not ELP, by",IF(AE240="",IF(G240&gt;0,(VLOOKUP(A240,'Discount Lookup'!J:K,2)*G240*(1-PlanterDiscount)*(1+PlanterDifficultyPercentage)),""),"")),"   not ELP, by"))))))))))))))</f>
        <v/>
      </c>
      <c r="AD240" s="712"/>
      <c r="AE240" s="513" t="str">
        <f t="shared" si="176"/>
        <v/>
      </c>
      <c r="AF240" s="713" t="str">
        <f t="shared" si="177"/>
        <v/>
      </c>
      <c r="AG240" s="713"/>
      <c r="AH240" s="713"/>
      <c r="AI240" s="112">
        <f>IF(H240="credit",0,IF(AE240="free",0,IF(AE240="me",0,IF(G240&gt;0,(VLOOKUP(A240,'Discount Lookup'!J:K,2)*G240),0))))</f>
        <v>0</v>
      </c>
      <c r="AJ240" s="107" t="str">
        <f t="shared" ca="1" si="178"/>
        <v/>
      </c>
      <c r="AK240" s="714" t="str">
        <f t="shared" si="179"/>
        <v/>
      </c>
      <c r="AL240" s="714"/>
      <c r="AM240" s="114" t="str">
        <f t="shared" si="180"/>
        <v/>
      </c>
      <c r="AN240" s="115"/>
      <c r="AO240" s="116"/>
      <c r="AP240" s="116"/>
      <c r="AQ240" s="116"/>
      <c r="AR240" s="116"/>
      <c r="AS240" s="116"/>
      <c r="AT240" s="116"/>
      <c r="AU240" s="116"/>
      <c r="AV240" s="78"/>
      <c r="AW240" s="102"/>
      <c r="AX240" s="78"/>
      <c r="AY240" s="78"/>
      <c r="AZ240" s="78"/>
      <c r="BA240" s="78"/>
      <c r="BB240" s="78"/>
      <c r="BC240" s="78"/>
      <c r="BD240" s="78"/>
      <c r="BE240" s="465"/>
      <c r="BF240" s="165" t="str">
        <f t="shared" si="181"/>
        <v>https://www.google.com/search?tbm=isch&amp;q=10%20G2</v>
      </c>
      <c r="BG240" s="165" t="str">
        <f t="shared" si="182"/>
        <v>A</v>
      </c>
      <c r="BH240" s="65"/>
      <c r="BI240" s="65"/>
      <c r="BJ240" s="65"/>
      <c r="BK240" s="65"/>
      <c r="BL240" s="99"/>
      <c r="BM240" s="99"/>
      <c r="BN240" s="99"/>
    </row>
    <row r="241" spans="1:66" s="51" customFormat="1" ht="15.75" x14ac:dyDescent="0.25">
      <c r="A241" s="634">
        <v>25</v>
      </c>
      <c r="B241" s="635" t="s">
        <v>291</v>
      </c>
      <c r="C241" s="636" t="s">
        <v>1356</v>
      </c>
      <c r="D241" s="637" t="s">
        <v>299</v>
      </c>
      <c r="E241" s="638">
        <v>880.95</v>
      </c>
      <c r="F241" s="639" t="s">
        <v>292</v>
      </c>
      <c r="G241" s="484">
        <v>0</v>
      </c>
      <c r="H241" s="691" t="str">
        <f>IF(G241=0,"",IF(F241="Buy",IF(G241=1,"plant","plants"),IF(F241&gt;0.01,"warranty","Error")))</f>
        <v/>
      </c>
      <c r="I241" s="640">
        <f>IF(H241="free",0,IF(H241="credit",((E241*(F241))*G241*-1),IF(F241="Buy",(E241*G241),((E241*(1-F241))*G241))))</f>
        <v>0</v>
      </c>
      <c r="J241" s="640">
        <f>IF(H241="warranty",0,(I241*(_xlfn.SINGLE(SalesTaxPercentage))))</f>
        <v>0</v>
      </c>
      <c r="K241" s="716">
        <f t="shared" ref="K241" si="206">I241+J241</f>
        <v>0</v>
      </c>
      <c r="L241" s="716"/>
      <c r="M241" s="689" t="str">
        <f ca="1">IF(AND(G241&gt;0,E241=0),"WARNING - no PRICE inserted",IF(H241="free","FREE ~ no charge this plant",IF(H241="credit",CONCATENATE("-$",ROUND(K241*(1-_xlfn.SINGLE(T2GDiscount))*-1,2)," CREDIT after discount"),IF(_xlfn.SINGLE(T2GDiscount)=0,"",IF(G241=0,"",IF(F241="Buy",CONCATENATE("$",ROUND(K241*(1-_xlfn.SINGLE(T2GDiscount)),2)," with ",(_xlfn.SINGLE(T2GDiscount)*100),"% discount"),CONCATENATE("$",ROUND(K241*(1-_xlfn.SINGLE(T2GDiscount)),2)," with ",((_xlfn.SINGLE(T2GDiscount)*100+F241*100)-(_xlfn.SINGLE(T2GDiscount)*100*F241)),IF(F241&gt;0,"% discounts",IF(_xlfn.SINGLE(NoWarrantyDiscount)&gt;0,"% discounts","% discount")))))))))</f>
        <v/>
      </c>
      <c r="N241" s="690"/>
      <c r="O241" s="486"/>
      <c r="P241" s="486"/>
      <c r="Q241" s="486"/>
      <c r="R241" s="486"/>
      <c r="S241" s="486"/>
      <c r="T241" s="102">
        <f t="shared" si="170"/>
        <v>0</v>
      </c>
      <c r="U241" s="78">
        <f>IF(NOT(ISNUMBER(G241)), "", VLOOKUP(A241,'Discount Lookup'!D:E,2,FALSE)*G241)</f>
        <v>0</v>
      </c>
      <c r="V241" s="78">
        <f>IF(NOT(ISNUMBER(G241)), "", VLOOKUP(A241,'Discount Lookup'!G:H,2,FALSE)*G241)</f>
        <v>0</v>
      </c>
      <c r="W241" s="102">
        <f t="shared" si="171"/>
        <v>0</v>
      </c>
      <c r="X241" s="102">
        <f t="shared" si="172"/>
        <v>0</v>
      </c>
      <c r="Y241" s="120" t="b">
        <f t="shared" si="173"/>
        <v>0</v>
      </c>
      <c r="Z241" s="117">
        <f t="shared" si="174"/>
        <v>0</v>
      </c>
      <c r="AA241" s="118"/>
      <c r="AB241" s="118" t="str">
        <f t="shared" si="175"/>
        <v/>
      </c>
      <c r="AC241" s="712" t="str">
        <f>IF(AE241="T2G","no charge",IF(AND(OR(PlanterYesMe="No",PlanterYesMe="N",PlanterYesMe="me"),H241=""),"",IF(H241="credit","NO install",IF(AND(K241="",AE241="me"),"EACH row",IF(AND(K241="images",AE241="me"),"EACH row",IF(D241="","",IF(H241="credit","",IF(AE241="free","re-planting",IF(AE241="me","   not ELP, by",IF(AND(OR(PlanterYesMe="Yes",PlanterYesMe="Y"),G241&gt;0),(VLOOKUP(A241,'Discount Lookup'!J:K,2)*G241*(1-PlanterDiscount)*(1+PlanterDifficultyPercentage)),IF(AE241="ELP",(VLOOKUP(A241,'Discount Lookup'!J:K,2)*G241*(1-PlanterDiscount)*(1+PlanterDifficultyPercentage)),IF(AE241="free","re-planting",IF(G241=0,"",IF(PlanterYesMe="",IF(AE241="me","   not ELP, by",IF(AE241="",IF(G241&gt;0,(VLOOKUP(A241,'Discount Lookup'!J:K,2)*G241*(1-PlanterDiscount)*(1+PlanterDifficultyPercentage)),""),"")),"   not ELP, by"))))))))))))))</f>
        <v/>
      </c>
      <c r="AD241" s="712"/>
      <c r="AE241" s="513" t="str">
        <f t="shared" si="176"/>
        <v/>
      </c>
      <c r="AF241" s="713" t="str">
        <f t="shared" si="177"/>
        <v/>
      </c>
      <c r="AG241" s="713"/>
      <c r="AH241" s="713"/>
      <c r="AI241" s="112">
        <f>IF(H241="credit",0,IF(AE241="free",0,IF(AE241="me",0,IF(G241&gt;0,(VLOOKUP(A241,'Discount Lookup'!J:K,2)*G241),0))))</f>
        <v>0</v>
      </c>
      <c r="AJ241" s="107" t="str">
        <f t="shared" ca="1" si="178"/>
        <v/>
      </c>
      <c r="AK241" s="714" t="str">
        <f t="shared" si="179"/>
        <v/>
      </c>
      <c r="AL241" s="714"/>
      <c r="AM241" s="114" t="str">
        <f t="shared" si="180"/>
        <v/>
      </c>
      <c r="AN241" s="115"/>
      <c r="AO241" s="116"/>
      <c r="AP241" s="116"/>
      <c r="AQ241" s="116"/>
      <c r="AR241" s="116"/>
      <c r="AS241" s="116"/>
      <c r="AT241" s="116"/>
      <c r="AU241" s="116"/>
      <c r="AV241" s="78"/>
      <c r="AW241" s="102"/>
      <c r="AX241" s="78"/>
      <c r="AY241" s="78"/>
      <c r="AZ241" s="78"/>
      <c r="BA241" s="78"/>
      <c r="BB241" s="78"/>
      <c r="BC241" s="78"/>
      <c r="BD241" s="78"/>
      <c r="BE241" s="465"/>
      <c r="BF241" s="165" t="str">
        <f t="shared" si="181"/>
        <v>https://www.google.com/search?tbm=isch&amp;q=25%20G4</v>
      </c>
      <c r="BG241" s="165" t="str">
        <f t="shared" si="182"/>
        <v>A</v>
      </c>
      <c r="BH241" s="65"/>
      <c r="BI241" s="65"/>
      <c r="BJ241" s="65"/>
      <c r="BK241" s="65"/>
      <c r="BL241" s="99"/>
      <c r="BM241" s="99"/>
      <c r="BN241" s="99"/>
    </row>
    <row r="242" spans="1:66" s="51" customFormat="1" ht="17.25" thickBot="1" x14ac:dyDescent="0.3">
      <c r="A242" s="641" t="s">
        <v>1357</v>
      </c>
      <c r="B242" s="642"/>
      <c r="C242" s="710"/>
      <c r="D242" s="643"/>
      <c r="E242" s="643"/>
      <c r="F242" s="644"/>
      <c r="G242" s="645"/>
      <c r="H242" s="646"/>
      <c r="I242" s="647"/>
      <c r="J242" s="648"/>
      <c r="K242" s="649"/>
      <c r="L242" s="650"/>
      <c r="M242" s="650"/>
      <c r="N242" s="644"/>
      <c r="O242" s="644"/>
      <c r="P242" s="644"/>
      <c r="Q242" s="644"/>
      <c r="R242" s="644"/>
      <c r="S242" s="651"/>
      <c r="T242" s="102">
        <f t="shared" si="170"/>
        <v>0</v>
      </c>
      <c r="U242" s="78" t="str">
        <f>IF(NOT(ISNUMBER(G242)), "", VLOOKUP(A242,'Discount Lookup'!D:E,2,FALSE)*G242)</f>
        <v/>
      </c>
      <c r="V242" s="78" t="str">
        <f>IF(NOT(ISNUMBER(G242)), "", VLOOKUP(A242,'Discount Lookup'!G:H,2,FALSE)*G242)</f>
        <v/>
      </c>
      <c r="W242" s="102">
        <f t="shared" si="171"/>
        <v>0</v>
      </c>
      <c r="X242" s="102">
        <f t="shared" si="172"/>
        <v>0</v>
      </c>
      <c r="Y242" s="120" t="b">
        <f t="shared" si="173"/>
        <v>0</v>
      </c>
      <c r="Z242" s="117">
        <f t="shared" si="174"/>
        <v>0</v>
      </c>
      <c r="AA242" s="118"/>
      <c r="AB242" s="118" t="str">
        <f t="shared" si="175"/>
        <v/>
      </c>
      <c r="AC242" s="712" t="str">
        <f>IF(AE242="T2G","no charge",IF(AND(OR(PlanterYesMe="No",PlanterYesMe="N",PlanterYesMe="me"),H242=""),"",IF(H242="credit","NO install",IF(AND(K242="",AE242="me"),"EACH row",IF(AND(K242="images",AE242="me"),"EACH row",IF(D242="","",IF(H242="credit","",IF(AE242="free","re-planting",IF(AE242="me","   not ELP, by",IF(AND(OR(PlanterYesMe="Yes",PlanterYesMe="Y"),G242&gt;0),(VLOOKUP(A242,'Discount Lookup'!J:K,2)*G242*(1-PlanterDiscount)*(1+PlanterDifficultyPercentage)),IF(AE242="ELP",(VLOOKUP(A242,'Discount Lookup'!J:K,2)*G242*(1-PlanterDiscount)*(1+PlanterDifficultyPercentage)),IF(AE242="free","re-planting",IF(G242=0,"",IF(PlanterYesMe="",IF(AE242="me","   not ELP, by",IF(AE242="",IF(G242&gt;0,(VLOOKUP(A242,'Discount Lookup'!J:K,2)*G242*(1-PlanterDiscount)*(1+PlanterDifficultyPercentage)),""),"")),"   not ELP, by"))))))))))))))</f>
        <v/>
      </c>
      <c r="AD242" s="712"/>
      <c r="AE242" s="513" t="str">
        <f t="shared" si="176"/>
        <v/>
      </c>
      <c r="AF242" s="713" t="str">
        <f t="shared" si="177"/>
        <v/>
      </c>
      <c r="AG242" s="713"/>
      <c r="AH242" s="713"/>
      <c r="AI242" s="112">
        <f>IF(H242="credit",0,IF(AE242="free",0,IF(AE242="me",0,IF(G242&gt;0,(VLOOKUP(A242,'Discount Lookup'!J:K,2)*G242),0))))</f>
        <v>0</v>
      </c>
      <c r="AJ242" s="107" t="str">
        <f t="shared" ca="1" si="178"/>
        <v/>
      </c>
      <c r="AK242" s="714" t="str">
        <f t="shared" si="179"/>
        <v/>
      </c>
      <c r="AL242" s="714"/>
      <c r="AM242" s="114" t="str">
        <f t="shared" si="180"/>
        <v/>
      </c>
      <c r="AN242" s="115"/>
      <c r="AO242" s="116"/>
      <c r="AP242" s="116"/>
      <c r="AQ242" s="116"/>
      <c r="AR242" s="116"/>
      <c r="AS242" s="116"/>
      <c r="AT242" s="116"/>
      <c r="AU242" s="116"/>
      <c r="AV242" s="78"/>
      <c r="AW242" s="102"/>
      <c r="AX242" s="78"/>
      <c r="AY242" s="78"/>
      <c r="AZ242" s="78"/>
      <c r="BA242" s="78"/>
      <c r="BB242" s="78"/>
      <c r="BC242" s="78"/>
      <c r="BD242" s="78"/>
      <c r="BE242" s="465"/>
      <c r="BF242" s="165" t="str">
        <f t="shared" si="181"/>
        <v>https://www.google.com/search?tbm=isch&amp;q=Viridis%20Cutleaf%20stuns%20with%20bright%20green%2C%20lacy%20foliage%20and%20brilliant%20fall%20color%20that%20glows%20gold%20and%20crimson%20</v>
      </c>
      <c r="BG242" s="165" t="str">
        <f t="shared" si="182"/>
        <v>V</v>
      </c>
      <c r="BH242" s="65"/>
      <c r="BI242" s="65"/>
      <c r="BJ242" s="65"/>
      <c r="BK242" s="65"/>
      <c r="BL242" s="99"/>
      <c r="BM242" s="99"/>
      <c r="BN242" s="99"/>
    </row>
    <row r="243" spans="1:66" s="51" customFormat="1" ht="18" x14ac:dyDescent="0.25">
      <c r="A243" s="623" t="s">
        <v>1358</v>
      </c>
      <c r="B243" s="624"/>
      <c r="C243" s="709"/>
      <c r="D243" s="625" t="s">
        <v>1359</v>
      </c>
      <c r="E243" s="626"/>
      <c r="F243" s="626"/>
      <c r="G243" s="626"/>
      <c r="H243" s="622" t="s">
        <v>1360</v>
      </c>
      <c r="I243" s="627" t="s">
        <v>440</v>
      </c>
      <c r="J243" s="628"/>
      <c r="K243" s="628"/>
      <c r="L243" s="629"/>
      <c r="M243" s="700" t="s">
        <v>5249</v>
      </c>
      <c r="N243" s="693" t="str">
        <f>IF(AND(ISTEXT($A243), ISERROR($A243+0)), HYPERLINK($BF243, "Images"), "")</f>
        <v>Images</v>
      </c>
      <c r="O243" s="695" t="s">
        <v>5247</v>
      </c>
      <c r="P243" s="630"/>
      <c r="Q243" s="631"/>
      <c r="R243" s="632"/>
      <c r="S243" s="633"/>
      <c r="T243" s="102">
        <f t="shared" si="170"/>
        <v>0</v>
      </c>
      <c r="U243" s="78" t="str">
        <f>IF(NOT(ISNUMBER(G243)), "", VLOOKUP(A243,'Discount Lookup'!D:E,2,FALSE)*G243)</f>
        <v/>
      </c>
      <c r="V243" s="78" t="str">
        <f>IF(NOT(ISNUMBER(G243)), "", VLOOKUP(A243,'Discount Lookup'!G:H,2,FALSE)*G243)</f>
        <v/>
      </c>
      <c r="W243" s="102">
        <f t="shared" si="171"/>
        <v>0</v>
      </c>
      <c r="X243" s="102" t="str">
        <f t="shared" si="172"/>
        <v>Rich Green foliage</v>
      </c>
      <c r="Y243" s="120" t="b">
        <f t="shared" si="173"/>
        <v>0</v>
      </c>
      <c r="Z243" s="117">
        <f t="shared" si="174"/>
        <v>0</v>
      </c>
      <c r="AA243" s="118"/>
      <c r="AB243" s="118" t="str">
        <f t="shared" si="175"/>
        <v/>
      </c>
      <c r="AC243" s="712" t="str">
        <f>IF(AE243="T2G","no charge",IF(AND(OR(PlanterYesMe="No",PlanterYesMe="N",PlanterYesMe="me"),H243=""),"",IF(H243="credit","NO install",IF(AND(K243="",AE243="me"),"EACH row",IF(AND(K243="images",AE243="me"),"EACH row",IF(D243="","",IF(H243="credit","",IF(AE243="free","re-planting",IF(AE243="me","   not ELP, by",IF(AND(OR(PlanterYesMe="Yes",PlanterYesMe="Y"),G243&gt;0),(VLOOKUP(A243,'Discount Lookup'!J:K,2)*G243*(1-PlanterDiscount)*(1+PlanterDifficultyPercentage)),IF(AE243="ELP",(VLOOKUP(A243,'Discount Lookup'!J:K,2)*G243*(1-PlanterDiscount)*(1+PlanterDifficultyPercentage)),IF(AE243="free","re-planting",IF(G243=0,"",IF(PlanterYesMe="",IF(AE243="me","   not ELP, by",IF(AE243="",IF(G243&gt;0,(VLOOKUP(A243,'Discount Lookup'!J:K,2)*G243*(1-PlanterDiscount)*(1+PlanterDifficultyPercentage)),""),"")),"   not ELP, by"))))))))))))))</f>
        <v/>
      </c>
      <c r="AD243" s="712"/>
      <c r="AE243" s="513" t="str">
        <f t="shared" si="176"/>
        <v/>
      </c>
      <c r="AF243" s="713" t="str">
        <f t="shared" si="177"/>
        <v/>
      </c>
      <c r="AG243" s="713"/>
      <c r="AH243" s="713"/>
      <c r="AI243" s="112">
        <f>IF(H243="credit",0,IF(AE243="free",0,IF(AE243="me",0,IF(G243&gt;0,(VLOOKUP(A243,'Discount Lookup'!J:K,2)*G243),0))))</f>
        <v>0</v>
      </c>
      <c r="AJ243" s="107" t="str">
        <f t="shared" ca="1" si="178"/>
        <v/>
      </c>
      <c r="AK243" s="714" t="str">
        <f t="shared" si="179"/>
        <v/>
      </c>
      <c r="AL243" s="714"/>
      <c r="AM243" s="114" t="str">
        <f t="shared" si="180"/>
        <v/>
      </c>
      <c r="AN243" s="115"/>
      <c r="AO243" s="116"/>
      <c r="AP243" s="116"/>
      <c r="AQ243" s="116"/>
      <c r="AR243" s="116"/>
      <c r="AS243" s="116"/>
      <c r="AT243" s="116"/>
      <c r="AU243" s="116"/>
      <c r="AV243" s="78"/>
      <c r="AW243" s="102"/>
      <c r="AX243" s="78"/>
      <c r="AY243" s="78"/>
      <c r="AZ243" s="78"/>
      <c r="BA243" s="78"/>
      <c r="BB243" s="78"/>
      <c r="BC243" s="78"/>
      <c r="BD243" s="78"/>
      <c r="BE243" s="465"/>
      <c r="BF243" s="165" t="str">
        <f t="shared" si="181"/>
        <v>https://www.google.com/search?tbm=isch&amp;q=Acer%20palmatum%20var.%20dis.%20%27Waterfall%27%20Waterfall%20Japanese%20Maple</v>
      </c>
      <c r="BG243" s="165" t="str">
        <f t="shared" si="182"/>
        <v>A</v>
      </c>
      <c r="BH243" s="65"/>
      <c r="BI243" s="65"/>
      <c r="BJ243" s="65"/>
      <c r="BK243" s="65"/>
      <c r="BL243" s="99"/>
      <c r="BM243" s="99"/>
      <c r="BN243" s="99"/>
    </row>
    <row r="244" spans="1:66" s="51" customFormat="1" ht="27" x14ac:dyDescent="0.25">
      <c r="A244" s="634">
        <v>15</v>
      </c>
      <c r="B244" s="635" t="s">
        <v>291</v>
      </c>
      <c r="C244" s="636" t="s">
        <v>1361</v>
      </c>
      <c r="D244" s="637" t="s">
        <v>299</v>
      </c>
      <c r="E244" s="638">
        <v>403.95</v>
      </c>
      <c r="F244" s="639" t="s">
        <v>292</v>
      </c>
      <c r="G244" s="484">
        <v>0</v>
      </c>
      <c r="H244" s="691" t="str">
        <f>IF(G244=0,"",IF(F244="Buy",IF(G244=1,"plant","plants"),IF(F244&gt;0.01,"warranty","Error")))</f>
        <v/>
      </c>
      <c r="I244" s="640">
        <f>IF(H244="free",0,IF(H244="credit",((E244*(F244))*G244*-1),IF(F244="Buy",(E244*G244),((E244*(1-F244))*G244))))</f>
        <v>0</v>
      </c>
      <c r="J244" s="640">
        <f>IF(H244="warranty",0,(I244*(_xlfn.SINGLE(SalesTaxPercentage))))</f>
        <v>0</v>
      </c>
      <c r="K244" s="716">
        <f t="shared" ref="K244" si="207">I244+J244</f>
        <v>0</v>
      </c>
      <c r="L244" s="716"/>
      <c r="M244" s="689" t="str">
        <f ca="1">IF(AND(G244&gt;0,E244=0),"WARNING - no PRICE inserted",IF(H244="free","FREE ~ no charge this plant",IF(H244="credit",CONCATENATE("-$",ROUND(K244*(1-_xlfn.SINGLE(T2GDiscount))*-1,2)," CREDIT after discount"),IF(_xlfn.SINGLE(T2GDiscount)=0,"",IF(G244=0,"",IF(F244="Buy",CONCATENATE("$",ROUND(K244*(1-_xlfn.SINGLE(T2GDiscount)),2)," with ",(_xlfn.SINGLE(T2GDiscount)*100),"% discount"),CONCATENATE("$",ROUND(K244*(1-_xlfn.SINGLE(T2GDiscount)),2)," with ",((_xlfn.SINGLE(T2GDiscount)*100+F244*100)-(_xlfn.SINGLE(T2GDiscount)*100*F244)),IF(F244&gt;0,"% discounts",IF(_xlfn.SINGLE(NoWarrantyDiscount)&gt;0,"% discounts","% discount")))))))))</f>
        <v/>
      </c>
      <c r="N244" s="690"/>
      <c r="O244" s="486"/>
      <c r="P244" s="486"/>
      <c r="Q244" s="486"/>
      <c r="R244" s="486"/>
      <c r="S244" s="486"/>
      <c r="T244" s="102">
        <f t="shared" si="170"/>
        <v>0</v>
      </c>
      <c r="U244" s="78">
        <f>IF(NOT(ISNUMBER(G244)), "", VLOOKUP(A244,'Discount Lookup'!D:E,2,FALSE)*G244)</f>
        <v>0</v>
      </c>
      <c r="V244" s="78">
        <f>IF(NOT(ISNUMBER(G244)), "", VLOOKUP(A244,'Discount Lookup'!G:H,2,FALSE)*G244)</f>
        <v>0</v>
      </c>
      <c r="W244" s="102">
        <f t="shared" si="171"/>
        <v>0</v>
      </c>
      <c r="X244" s="102">
        <f t="shared" si="172"/>
        <v>0</v>
      </c>
      <c r="Y244" s="120" t="b">
        <f t="shared" si="173"/>
        <v>0</v>
      </c>
      <c r="Z244" s="117">
        <f t="shared" si="174"/>
        <v>0</v>
      </c>
      <c r="AA244" s="118"/>
      <c r="AB244" s="118" t="str">
        <f t="shared" si="175"/>
        <v/>
      </c>
      <c r="AC244" s="712" t="str">
        <f>IF(AE244="T2G","no charge",IF(AND(OR(PlanterYesMe="No",PlanterYesMe="N",PlanterYesMe="me"),H244=""),"",IF(H244="credit","NO install",IF(AND(K244="",AE244="me"),"EACH row",IF(AND(K244="images",AE244="me"),"EACH row",IF(D244="","",IF(H244="credit","",IF(AE244="free","re-planting",IF(AE244="me","   not ELP, by",IF(AND(OR(PlanterYesMe="Yes",PlanterYesMe="Y"),G244&gt;0),(VLOOKUP(A244,'Discount Lookup'!J:K,2)*G244*(1-PlanterDiscount)*(1+PlanterDifficultyPercentage)),IF(AE244="ELP",(VLOOKUP(A244,'Discount Lookup'!J:K,2)*G244*(1-PlanterDiscount)*(1+PlanterDifficultyPercentage)),IF(AE244="free","re-planting",IF(G244=0,"",IF(PlanterYesMe="",IF(AE244="me","   not ELP, by",IF(AE244="",IF(G244&gt;0,(VLOOKUP(A244,'Discount Lookup'!J:K,2)*G244*(1-PlanterDiscount)*(1+PlanterDifficultyPercentage)),""),"")),"   not ELP, by"))))))))))))))</f>
        <v/>
      </c>
      <c r="AD244" s="712"/>
      <c r="AE244" s="513" t="str">
        <f t="shared" si="176"/>
        <v/>
      </c>
      <c r="AF244" s="713" t="str">
        <f t="shared" si="177"/>
        <v/>
      </c>
      <c r="AG244" s="713"/>
      <c r="AH244" s="713"/>
      <c r="AI244" s="112">
        <f>IF(H244="credit",0,IF(AE244="free",0,IF(AE244="me",0,IF(G244&gt;0,(VLOOKUP(A244,'Discount Lookup'!J:K,2)*G244),0))))</f>
        <v>0</v>
      </c>
      <c r="AJ244" s="107" t="str">
        <f t="shared" ca="1" si="178"/>
        <v/>
      </c>
      <c r="AK244" s="714" t="str">
        <f t="shared" si="179"/>
        <v/>
      </c>
      <c r="AL244" s="714"/>
      <c r="AM244" s="114" t="str">
        <f t="shared" si="180"/>
        <v/>
      </c>
      <c r="AN244" s="115"/>
      <c r="AO244" s="116"/>
      <c r="AP244" s="116"/>
      <c r="AQ244" s="116"/>
      <c r="AR244" s="116"/>
      <c r="AS244" s="116"/>
      <c r="AT244" s="116"/>
      <c r="AU244" s="116"/>
      <c r="AV244" s="78"/>
      <c r="AW244" s="102"/>
      <c r="AX244" s="78"/>
      <c r="AY244" s="78"/>
      <c r="AZ244" s="78"/>
      <c r="BA244" s="78"/>
      <c r="BB244" s="78"/>
      <c r="BC244" s="78"/>
      <c r="BD244" s="78"/>
      <c r="BE244" s="465"/>
      <c r="BF244" s="165" t="str">
        <f t="shared" si="181"/>
        <v>https://www.google.com/search?tbm=isch&amp;q=15%20G4</v>
      </c>
      <c r="BG244" s="165" t="str">
        <f t="shared" si="182"/>
        <v>A</v>
      </c>
      <c r="BH244" s="65"/>
      <c r="BI244" s="65"/>
      <c r="BJ244" s="65"/>
      <c r="BK244" s="65"/>
      <c r="BL244" s="99"/>
      <c r="BM244" s="99"/>
      <c r="BN244" s="99"/>
    </row>
    <row r="245" spans="1:66" s="51" customFormat="1" ht="15.75" x14ac:dyDescent="0.25">
      <c r="A245" s="634">
        <v>25</v>
      </c>
      <c r="B245" s="635" t="s">
        <v>291</v>
      </c>
      <c r="C245" s="636" t="s">
        <v>1362</v>
      </c>
      <c r="D245" s="637" t="s">
        <v>299</v>
      </c>
      <c r="E245" s="638">
        <v>812.95</v>
      </c>
      <c r="F245" s="639" t="s">
        <v>292</v>
      </c>
      <c r="G245" s="484">
        <v>0</v>
      </c>
      <c r="H245" s="691" t="str">
        <f>IF(G245=0,"",IF(F245="Buy",IF(G245=1,"plant","plants"),IF(F245&gt;0.01,"warranty","Error")))</f>
        <v/>
      </c>
      <c r="I245" s="640">
        <f>IF(H245="free",0,IF(H245="credit",((E245*(F245))*G245*-1),IF(F245="Buy",(E245*G245),((E245*(1-F245))*G245))))</f>
        <v>0</v>
      </c>
      <c r="J245" s="640">
        <f>IF(H245="warranty",0,(I245*(_xlfn.SINGLE(SalesTaxPercentage))))</f>
        <v>0</v>
      </c>
      <c r="K245" s="716">
        <f t="shared" ref="K245" si="208">I245+J245</f>
        <v>0</v>
      </c>
      <c r="L245" s="716"/>
      <c r="M245" s="689" t="str">
        <f ca="1">IF(AND(G245&gt;0,E245=0),"WARNING - no PRICE inserted",IF(H245="free","FREE ~ no charge this plant",IF(H245="credit",CONCATENATE("-$",ROUND(K245*(1-_xlfn.SINGLE(T2GDiscount))*-1,2)," CREDIT after discount"),IF(_xlfn.SINGLE(T2GDiscount)=0,"",IF(G245=0,"",IF(F245="Buy",CONCATENATE("$",ROUND(K245*(1-_xlfn.SINGLE(T2GDiscount)),2)," with ",(_xlfn.SINGLE(T2GDiscount)*100),"% discount"),CONCATENATE("$",ROUND(K245*(1-_xlfn.SINGLE(T2GDiscount)),2)," with ",((_xlfn.SINGLE(T2GDiscount)*100+F245*100)-(_xlfn.SINGLE(T2GDiscount)*100*F245)),IF(F245&gt;0,"% discounts",IF(_xlfn.SINGLE(NoWarrantyDiscount)&gt;0,"% discounts","% discount")))))))))</f>
        <v/>
      </c>
      <c r="N245" s="690"/>
      <c r="O245" s="486"/>
      <c r="P245" s="486"/>
      <c r="Q245" s="486"/>
      <c r="R245" s="486"/>
      <c r="S245" s="486"/>
      <c r="T245" s="102">
        <f t="shared" si="170"/>
        <v>0</v>
      </c>
      <c r="U245" s="78">
        <f>IF(NOT(ISNUMBER(G245)), "", VLOOKUP(A245,'Discount Lookup'!D:E,2,FALSE)*G245)</f>
        <v>0</v>
      </c>
      <c r="V245" s="78">
        <f>IF(NOT(ISNUMBER(G245)), "", VLOOKUP(A245,'Discount Lookup'!G:H,2,FALSE)*G245)</f>
        <v>0</v>
      </c>
      <c r="W245" s="102">
        <f t="shared" si="171"/>
        <v>0</v>
      </c>
      <c r="X245" s="102">
        <f t="shared" si="172"/>
        <v>0</v>
      </c>
      <c r="Y245" s="120" t="b">
        <f t="shared" si="173"/>
        <v>0</v>
      </c>
      <c r="Z245" s="117">
        <f t="shared" si="174"/>
        <v>0</v>
      </c>
      <c r="AA245" s="118"/>
      <c r="AB245" s="118" t="str">
        <f t="shared" si="175"/>
        <v/>
      </c>
      <c r="AC245" s="712" t="str">
        <f>IF(AE245="T2G","no charge",IF(AND(OR(PlanterYesMe="No",PlanterYesMe="N",PlanterYesMe="me"),H245=""),"",IF(H245="credit","NO install",IF(AND(K245="",AE245="me"),"EACH row",IF(AND(K245="images",AE245="me"),"EACH row",IF(D245="","",IF(H245="credit","",IF(AE245="free","re-planting",IF(AE245="me","   not ELP, by",IF(AND(OR(PlanterYesMe="Yes",PlanterYesMe="Y"),G245&gt;0),(VLOOKUP(A245,'Discount Lookup'!J:K,2)*G245*(1-PlanterDiscount)*(1+PlanterDifficultyPercentage)),IF(AE245="ELP",(VLOOKUP(A245,'Discount Lookup'!J:K,2)*G245*(1-PlanterDiscount)*(1+PlanterDifficultyPercentage)),IF(AE245="free","re-planting",IF(G245=0,"",IF(PlanterYesMe="",IF(AE245="me","   not ELP, by",IF(AE245="",IF(G245&gt;0,(VLOOKUP(A245,'Discount Lookup'!J:K,2)*G245*(1-PlanterDiscount)*(1+PlanterDifficultyPercentage)),""),"")),"   not ELP, by"))))))))))))))</f>
        <v/>
      </c>
      <c r="AD245" s="712"/>
      <c r="AE245" s="513" t="str">
        <f t="shared" si="176"/>
        <v/>
      </c>
      <c r="AF245" s="713" t="str">
        <f t="shared" si="177"/>
        <v/>
      </c>
      <c r="AG245" s="713"/>
      <c r="AH245" s="713"/>
      <c r="AI245" s="112">
        <f>IF(H245="credit",0,IF(AE245="free",0,IF(AE245="me",0,IF(G245&gt;0,(VLOOKUP(A245,'Discount Lookup'!J:K,2)*G245),0))))</f>
        <v>0</v>
      </c>
      <c r="AJ245" s="107" t="str">
        <f t="shared" ca="1" si="178"/>
        <v/>
      </c>
      <c r="AK245" s="714" t="str">
        <f t="shared" si="179"/>
        <v/>
      </c>
      <c r="AL245" s="714"/>
      <c r="AM245" s="114" t="str">
        <f t="shared" si="180"/>
        <v/>
      </c>
      <c r="AN245" s="115"/>
      <c r="AO245" s="116"/>
      <c r="AP245" s="116"/>
      <c r="AQ245" s="116"/>
      <c r="AR245" s="116"/>
      <c r="AS245" s="116"/>
      <c r="AT245" s="116"/>
      <c r="AU245" s="116"/>
      <c r="AV245" s="78"/>
      <c r="AW245" s="102"/>
      <c r="AX245" s="78"/>
      <c r="AY245" s="78"/>
      <c r="AZ245" s="78"/>
      <c r="BA245" s="78"/>
      <c r="BB245" s="78"/>
      <c r="BC245" s="78"/>
      <c r="BD245" s="78"/>
      <c r="BE245" s="465"/>
      <c r="BF245" s="165" t="str">
        <f t="shared" si="181"/>
        <v>https://www.google.com/search?tbm=isch&amp;q=25%20G4</v>
      </c>
      <c r="BG245" s="165" t="str">
        <f t="shared" si="182"/>
        <v>A</v>
      </c>
      <c r="BH245" s="65"/>
      <c r="BI245" s="65"/>
      <c r="BJ245" s="65"/>
      <c r="BK245" s="65"/>
      <c r="BL245" s="99"/>
      <c r="BM245" s="99"/>
      <c r="BN245" s="99"/>
    </row>
    <row r="246" spans="1:66" s="51" customFormat="1" ht="17.25" thickBot="1" x14ac:dyDescent="0.3">
      <c r="A246" s="641" t="s">
        <v>1363</v>
      </c>
      <c r="B246" s="642"/>
      <c r="C246" s="710"/>
      <c r="D246" s="643"/>
      <c r="E246" s="643"/>
      <c r="F246" s="644"/>
      <c r="G246" s="645"/>
      <c r="H246" s="646"/>
      <c r="I246" s="647"/>
      <c r="J246" s="648"/>
      <c r="K246" s="649"/>
      <c r="L246" s="650"/>
      <c r="M246" s="650"/>
      <c r="N246" s="644"/>
      <c r="O246" s="644"/>
      <c r="P246" s="644"/>
      <c r="Q246" s="644"/>
      <c r="R246" s="644"/>
      <c r="S246" s="651"/>
      <c r="T246" s="102">
        <f t="shared" si="170"/>
        <v>0</v>
      </c>
      <c r="U246" s="78" t="str">
        <f>IF(NOT(ISNUMBER(G246)), "", VLOOKUP(A246,'Discount Lookup'!D:E,2,FALSE)*G246)</f>
        <v/>
      </c>
      <c r="V246" s="78" t="str">
        <f>IF(NOT(ISNUMBER(G246)), "", VLOOKUP(A246,'Discount Lookup'!G:H,2,FALSE)*G246)</f>
        <v/>
      </c>
      <c r="W246" s="102">
        <f t="shared" si="171"/>
        <v>0</v>
      </c>
      <c r="X246" s="102">
        <f t="shared" si="172"/>
        <v>0</v>
      </c>
      <c r="Y246" s="120" t="b">
        <f t="shared" si="173"/>
        <v>0</v>
      </c>
      <c r="Z246" s="117">
        <f t="shared" si="174"/>
        <v>0</v>
      </c>
      <c r="AA246" s="118"/>
      <c r="AB246" s="118" t="str">
        <f t="shared" si="175"/>
        <v/>
      </c>
      <c r="AC246" s="712" t="str">
        <f>IF(AE246="T2G","no charge",IF(AND(OR(PlanterYesMe="No",PlanterYesMe="N",PlanterYesMe="me"),H246=""),"",IF(H246="credit","NO install",IF(AND(K246="",AE246="me"),"EACH row",IF(AND(K246="images",AE246="me"),"EACH row",IF(D246="","",IF(H246="credit","",IF(AE246="free","re-planting",IF(AE246="me","   not ELP, by",IF(AND(OR(PlanterYesMe="Yes",PlanterYesMe="Y"),G246&gt;0),(VLOOKUP(A246,'Discount Lookup'!J:K,2)*G246*(1-PlanterDiscount)*(1+PlanterDifficultyPercentage)),IF(AE246="ELP",(VLOOKUP(A246,'Discount Lookup'!J:K,2)*G246*(1-PlanterDiscount)*(1+PlanterDifficultyPercentage)),IF(AE246="free","re-planting",IF(G246=0,"",IF(PlanterYesMe="",IF(AE246="me","   not ELP, by",IF(AE246="",IF(G246&gt;0,(VLOOKUP(A246,'Discount Lookup'!J:K,2)*G246*(1-PlanterDiscount)*(1+PlanterDifficultyPercentage)),""),"")),"   not ELP, by"))))))))))))))</f>
        <v/>
      </c>
      <c r="AD246" s="712"/>
      <c r="AE246" s="513" t="str">
        <f t="shared" si="176"/>
        <v/>
      </c>
      <c r="AF246" s="713" t="str">
        <f t="shared" si="177"/>
        <v/>
      </c>
      <c r="AG246" s="713"/>
      <c r="AH246" s="713"/>
      <c r="AI246" s="112">
        <f>IF(H246="credit",0,IF(AE246="free",0,IF(AE246="me",0,IF(G246&gt;0,(VLOOKUP(A246,'Discount Lookup'!J:K,2)*G246),0))))</f>
        <v>0</v>
      </c>
      <c r="AJ246" s="107" t="str">
        <f t="shared" ca="1" si="178"/>
        <v/>
      </c>
      <c r="AK246" s="714" t="str">
        <f t="shared" si="179"/>
        <v/>
      </c>
      <c r="AL246" s="714"/>
      <c r="AM246" s="114" t="str">
        <f t="shared" si="180"/>
        <v/>
      </c>
      <c r="AN246" s="115"/>
      <c r="AO246" s="116"/>
      <c r="AP246" s="116"/>
      <c r="AQ246" s="116"/>
      <c r="AR246" s="116"/>
      <c r="AS246" s="116"/>
      <c r="AT246" s="116"/>
      <c r="AU246" s="116"/>
      <c r="AV246" s="78"/>
      <c r="AW246" s="102"/>
      <c r="AX246" s="78"/>
      <c r="AY246" s="78"/>
      <c r="AZ246" s="78"/>
      <c r="BA246" s="78"/>
      <c r="BB246" s="78"/>
      <c r="BC246" s="78"/>
      <c r="BD246" s="78"/>
      <c r="BE246" s="465"/>
      <c r="BF246" s="165" t="str">
        <f t="shared" si="181"/>
        <v>https://www.google.com/search?tbm=isch&amp;q=Waterfall%20foliage%20emerges%20Bright%20Green%20with%20Red%20tips%2C%20holds%20summer%20Green%20well%2C%20then%20Golden%20Yellow%20with%20streaks%20of%20Orange-Red%20in%20fall.%20%20Resembles%20a%20waterfall%20</v>
      </c>
      <c r="BG246" s="165" t="str">
        <f t="shared" si="182"/>
        <v>W</v>
      </c>
      <c r="BH246" s="65"/>
      <c r="BI246" s="65"/>
      <c r="BJ246" s="65"/>
      <c r="BK246" s="65"/>
      <c r="BL246" s="99"/>
      <c r="BM246" s="99"/>
      <c r="BN246" s="99"/>
    </row>
    <row r="247" spans="1:66" s="51" customFormat="1" ht="18" x14ac:dyDescent="0.25">
      <c r="A247" s="623" t="s">
        <v>1364</v>
      </c>
      <c r="B247" s="624"/>
      <c r="C247" s="709"/>
      <c r="D247" s="625" t="s">
        <v>1365</v>
      </c>
      <c r="E247" s="626"/>
      <c r="F247" s="626"/>
      <c r="G247" s="626"/>
      <c r="H247" s="622" t="s">
        <v>1366</v>
      </c>
      <c r="I247" s="627" t="s">
        <v>1199</v>
      </c>
      <c r="J247" s="628"/>
      <c r="K247" s="628"/>
      <c r="L247" s="629"/>
      <c r="M247" s="700" t="s">
        <v>5249</v>
      </c>
      <c r="N247" s="693" t="str">
        <f>IF(AND(ISTEXT($A247), ISERROR($A247+0)), HYPERLINK($BF247, "Images"), "")</f>
        <v>Images</v>
      </c>
      <c r="O247" s="695" t="s">
        <v>5247</v>
      </c>
      <c r="P247" s="630"/>
      <c r="Q247" s="631"/>
      <c r="R247" s="632"/>
      <c r="S247" s="633"/>
      <c r="T247" s="102">
        <f t="shared" si="170"/>
        <v>0</v>
      </c>
      <c r="U247" s="78" t="str">
        <f>IF(NOT(ISNUMBER(G247)), "", VLOOKUP(A247,'Discount Lookup'!D:E,2,FALSE)*G247)</f>
        <v/>
      </c>
      <c r="V247" s="78" t="str">
        <f>IF(NOT(ISNUMBER(G247)), "", VLOOKUP(A247,'Discount Lookup'!G:H,2,FALSE)*G247)</f>
        <v/>
      </c>
      <c r="W247" s="102">
        <f t="shared" si="171"/>
        <v>0</v>
      </c>
      <c r="X247" s="102" t="str">
        <f t="shared" si="172"/>
        <v>Burgundy-Red foliage</v>
      </c>
      <c r="Y247" s="120" t="b">
        <f t="shared" si="173"/>
        <v>0</v>
      </c>
      <c r="Z247" s="117">
        <f t="shared" si="174"/>
        <v>0</v>
      </c>
      <c r="AA247" s="118"/>
      <c r="AB247" s="118" t="str">
        <f t="shared" si="175"/>
        <v/>
      </c>
      <c r="AC247" s="712" t="str">
        <f>IF(AE247="T2G","no charge",IF(AND(OR(PlanterYesMe="No",PlanterYesMe="N",PlanterYesMe="me"),H247=""),"",IF(H247="credit","NO install",IF(AND(K247="",AE247="me"),"EACH row",IF(AND(K247="images",AE247="me"),"EACH row",IF(D247="","",IF(H247="credit","",IF(AE247="free","re-planting",IF(AE247="me","   not ELP, by",IF(AND(OR(PlanterYesMe="Yes",PlanterYesMe="Y"),G247&gt;0),(VLOOKUP(A247,'Discount Lookup'!J:K,2)*G247*(1-PlanterDiscount)*(1+PlanterDifficultyPercentage)),IF(AE247="ELP",(VLOOKUP(A247,'Discount Lookup'!J:K,2)*G247*(1-PlanterDiscount)*(1+PlanterDifficultyPercentage)),IF(AE247="free","re-planting",IF(G247=0,"",IF(PlanterYesMe="",IF(AE247="me","   not ELP, by",IF(AE247="",IF(G247&gt;0,(VLOOKUP(A247,'Discount Lookup'!J:K,2)*G247*(1-PlanterDiscount)*(1+PlanterDifficultyPercentage)),""),"")),"   not ELP, by"))))))))))))))</f>
        <v/>
      </c>
      <c r="AD247" s="712"/>
      <c r="AE247" s="513" t="str">
        <f t="shared" si="176"/>
        <v/>
      </c>
      <c r="AF247" s="713" t="str">
        <f t="shared" si="177"/>
        <v/>
      </c>
      <c r="AG247" s="713"/>
      <c r="AH247" s="713"/>
      <c r="AI247" s="112">
        <f>IF(H247="credit",0,IF(AE247="free",0,IF(AE247="me",0,IF(G247&gt;0,(VLOOKUP(A247,'Discount Lookup'!J:K,2)*G247),0))))</f>
        <v>0</v>
      </c>
      <c r="AJ247" s="107" t="str">
        <f t="shared" ca="1" si="178"/>
        <v/>
      </c>
      <c r="AK247" s="714" t="str">
        <f t="shared" si="179"/>
        <v/>
      </c>
      <c r="AL247" s="714"/>
      <c r="AM247" s="114" t="str">
        <f t="shared" si="180"/>
        <v/>
      </c>
      <c r="AN247" s="115"/>
      <c r="AO247" s="116"/>
      <c r="AP247" s="116"/>
      <c r="AQ247" s="116"/>
      <c r="AR247" s="116"/>
      <c r="AS247" s="116"/>
      <c r="AT247" s="116"/>
      <c r="AU247" s="116"/>
      <c r="AV247" s="78"/>
      <c r="AW247" s="102"/>
      <c r="AX247" s="78"/>
      <c r="AY247" s="78"/>
      <c r="AZ247" s="78"/>
      <c r="BA247" s="78"/>
      <c r="BB247" s="78"/>
      <c r="BC247" s="78"/>
      <c r="BD247" s="78"/>
      <c r="BE247" s="465"/>
      <c r="BF247" s="165" t="str">
        <f t="shared" si="181"/>
        <v>https://www.google.com/search?tbm=isch&amp;q=Acer%20palmatum%20%27Winter%27s%20Columnar%20Red%27%20Winter%27s%20Columnar%20Red%20Japanese%20Maple</v>
      </c>
      <c r="BG247" s="165" t="str">
        <f t="shared" si="182"/>
        <v>A</v>
      </c>
      <c r="BH247" s="65"/>
      <c r="BI247" s="65"/>
      <c r="BJ247" s="65"/>
      <c r="BK247" s="65"/>
      <c r="BL247" s="99"/>
      <c r="BM247" s="99"/>
      <c r="BN247" s="99"/>
    </row>
    <row r="248" spans="1:66" s="51" customFormat="1" ht="15.75" x14ac:dyDescent="0.25">
      <c r="A248" s="634">
        <v>7</v>
      </c>
      <c r="B248" s="635" t="s">
        <v>291</v>
      </c>
      <c r="C248" s="636" t="s">
        <v>1367</v>
      </c>
      <c r="D248" s="637" t="s">
        <v>299</v>
      </c>
      <c r="E248" s="638">
        <v>224.95</v>
      </c>
      <c r="F248" s="639" t="s">
        <v>292</v>
      </c>
      <c r="G248" s="484">
        <v>0</v>
      </c>
      <c r="H248" s="691" t="str">
        <f>IF(G248=0,"",IF(F248="Buy",IF(G248=1,"plant","plants"),IF(F248&gt;0.01,"warranty","Error")))</f>
        <v/>
      </c>
      <c r="I248" s="640">
        <f>IF(H248="free",0,IF(H248="credit",((E248*(F248))*G248*-1),IF(F248="Buy",(E248*G248),((E248*(1-F248))*G248))))</f>
        <v>0</v>
      </c>
      <c r="J248" s="640">
        <f>IF(H248="warranty",0,(I248*(_xlfn.SINGLE(SalesTaxPercentage))))</f>
        <v>0</v>
      </c>
      <c r="K248" s="716">
        <f t="shared" ref="K248" si="209">I248+J248</f>
        <v>0</v>
      </c>
      <c r="L248" s="716"/>
      <c r="M248" s="689" t="str">
        <f ca="1">IF(AND(G248&gt;0,E248=0),"WARNING - no PRICE inserted",IF(H248="free","FREE ~ no charge this plant",IF(H248="credit",CONCATENATE("-$",ROUND(K248*(1-_xlfn.SINGLE(T2GDiscount))*-1,2)," CREDIT after discount"),IF(_xlfn.SINGLE(T2GDiscount)=0,"",IF(G248=0,"",IF(F248="Buy",CONCATENATE("$",ROUND(K248*(1-_xlfn.SINGLE(T2GDiscount)),2)," with ",(_xlfn.SINGLE(T2GDiscount)*100),"% discount"),CONCATENATE("$",ROUND(K248*(1-_xlfn.SINGLE(T2GDiscount)),2)," with ",((_xlfn.SINGLE(T2GDiscount)*100+F248*100)-(_xlfn.SINGLE(T2GDiscount)*100*F248)),IF(F248&gt;0,"% discounts",IF(_xlfn.SINGLE(NoWarrantyDiscount)&gt;0,"% discounts","% discount")))))))))</f>
        <v/>
      </c>
      <c r="N248" s="690"/>
      <c r="O248" s="486"/>
      <c r="P248" s="486"/>
      <c r="Q248" s="486"/>
      <c r="R248" s="486"/>
      <c r="S248" s="486"/>
      <c r="T248" s="102">
        <f t="shared" si="170"/>
        <v>0</v>
      </c>
      <c r="U248" s="78">
        <f>IF(NOT(ISNUMBER(G248)), "", VLOOKUP(A248,'Discount Lookup'!D:E,2,FALSE)*G248)</f>
        <v>0</v>
      </c>
      <c r="V248" s="78">
        <f>IF(NOT(ISNUMBER(G248)), "", VLOOKUP(A248,'Discount Lookup'!G:H,2,FALSE)*G248)</f>
        <v>0</v>
      </c>
      <c r="W248" s="102">
        <f t="shared" si="171"/>
        <v>0</v>
      </c>
      <c r="X248" s="102">
        <f t="shared" si="172"/>
        <v>0</v>
      </c>
      <c r="Y248" s="120" t="b">
        <f t="shared" si="173"/>
        <v>0</v>
      </c>
      <c r="Z248" s="117">
        <f t="shared" si="174"/>
        <v>0</v>
      </c>
      <c r="AA248" s="118"/>
      <c r="AB248" s="118" t="str">
        <f t="shared" si="175"/>
        <v/>
      </c>
      <c r="AC248" s="712" t="str">
        <f>IF(AE248="T2G","no charge",IF(AND(OR(PlanterYesMe="No",PlanterYesMe="N",PlanterYesMe="me"),H248=""),"",IF(H248="credit","NO install",IF(AND(K248="",AE248="me"),"EACH row",IF(AND(K248="images",AE248="me"),"EACH row",IF(D248="","",IF(H248="credit","",IF(AE248="free","re-planting",IF(AE248="me","   not ELP, by",IF(AND(OR(PlanterYesMe="Yes",PlanterYesMe="Y"),G248&gt;0),(VLOOKUP(A248,'Discount Lookup'!J:K,2)*G248*(1-PlanterDiscount)*(1+PlanterDifficultyPercentage)),IF(AE248="ELP",(VLOOKUP(A248,'Discount Lookup'!J:K,2)*G248*(1-PlanterDiscount)*(1+PlanterDifficultyPercentage)),IF(AE248="free","re-planting",IF(G248=0,"",IF(PlanterYesMe="",IF(AE248="me","   not ELP, by",IF(AE248="",IF(G248&gt;0,(VLOOKUP(A248,'Discount Lookup'!J:K,2)*G248*(1-PlanterDiscount)*(1+PlanterDifficultyPercentage)),""),"")),"   not ELP, by"))))))))))))))</f>
        <v/>
      </c>
      <c r="AD248" s="712"/>
      <c r="AE248" s="513" t="str">
        <f t="shared" si="176"/>
        <v/>
      </c>
      <c r="AF248" s="713" t="str">
        <f t="shared" si="177"/>
        <v/>
      </c>
      <c r="AG248" s="713"/>
      <c r="AH248" s="713"/>
      <c r="AI248" s="112">
        <f>IF(H248="credit",0,IF(AE248="free",0,IF(AE248="me",0,IF(G248&gt;0,(VLOOKUP(A248,'Discount Lookup'!J:K,2)*G248),0))))</f>
        <v>0</v>
      </c>
      <c r="AJ248" s="107" t="str">
        <f t="shared" ca="1" si="178"/>
        <v/>
      </c>
      <c r="AK248" s="714" t="str">
        <f t="shared" si="179"/>
        <v/>
      </c>
      <c r="AL248" s="714"/>
      <c r="AM248" s="114" t="str">
        <f t="shared" si="180"/>
        <v/>
      </c>
      <c r="AN248" s="115"/>
      <c r="AO248" s="116"/>
      <c r="AP248" s="116"/>
      <c r="AQ248" s="116"/>
      <c r="AR248" s="116"/>
      <c r="AS248" s="116"/>
      <c r="AT248" s="116"/>
      <c r="AU248" s="116"/>
      <c r="AV248" s="78"/>
      <c r="AW248" s="102"/>
      <c r="AX248" s="78"/>
      <c r="AY248" s="78"/>
      <c r="AZ248" s="78"/>
      <c r="BA248" s="78"/>
      <c r="BB248" s="78"/>
      <c r="BC248" s="78"/>
      <c r="BD248" s="78"/>
      <c r="BE248" s="465"/>
      <c r="BF248" s="165" t="str">
        <f t="shared" si="181"/>
        <v>https://www.google.com/search?tbm=isch&amp;q=7%20G4</v>
      </c>
      <c r="BG248" s="165" t="str">
        <f t="shared" si="182"/>
        <v>A</v>
      </c>
      <c r="BH248" s="65"/>
      <c r="BI248" s="65"/>
      <c r="BJ248" s="65"/>
      <c r="BK248" s="65"/>
      <c r="BL248" s="99"/>
      <c r="BM248" s="99"/>
      <c r="BN248" s="99"/>
    </row>
    <row r="249" spans="1:66" s="51" customFormat="1" ht="17.25" thickBot="1" x14ac:dyDescent="0.3">
      <c r="A249" s="641" t="s">
        <v>1368</v>
      </c>
      <c r="B249" s="642"/>
      <c r="C249" s="710"/>
      <c r="D249" s="643"/>
      <c r="E249" s="643"/>
      <c r="F249" s="644"/>
      <c r="G249" s="645"/>
      <c r="H249" s="646"/>
      <c r="I249" s="647"/>
      <c r="J249" s="648"/>
      <c r="K249" s="649"/>
      <c r="L249" s="650"/>
      <c r="M249" s="650"/>
      <c r="N249" s="644"/>
      <c r="O249" s="644"/>
      <c r="P249" s="644"/>
      <c r="Q249" s="644"/>
      <c r="R249" s="644"/>
      <c r="S249" s="651"/>
      <c r="T249" s="102">
        <f t="shared" si="170"/>
        <v>0</v>
      </c>
      <c r="U249" s="78" t="str">
        <f>IF(NOT(ISNUMBER(G249)), "", VLOOKUP(A249,'Discount Lookup'!D:E,2,FALSE)*G249)</f>
        <v/>
      </c>
      <c r="V249" s="78" t="str">
        <f>IF(NOT(ISNUMBER(G249)), "", VLOOKUP(A249,'Discount Lookup'!G:H,2,FALSE)*G249)</f>
        <v/>
      </c>
      <c r="W249" s="102">
        <f t="shared" si="171"/>
        <v>0</v>
      </c>
      <c r="X249" s="102">
        <f t="shared" si="172"/>
        <v>0</v>
      </c>
      <c r="Y249" s="120" t="b">
        <f t="shared" si="173"/>
        <v>0</v>
      </c>
      <c r="Z249" s="117">
        <f t="shared" si="174"/>
        <v>0</v>
      </c>
      <c r="AA249" s="118"/>
      <c r="AB249" s="118" t="str">
        <f t="shared" si="175"/>
        <v/>
      </c>
      <c r="AC249" s="712" t="str">
        <f>IF(AE249="T2G","no charge",IF(AND(OR(PlanterYesMe="No",PlanterYesMe="N",PlanterYesMe="me"),H249=""),"",IF(H249="credit","NO install",IF(AND(K249="",AE249="me"),"EACH row",IF(AND(K249="images",AE249="me"),"EACH row",IF(D249="","",IF(H249="credit","",IF(AE249="free","re-planting",IF(AE249="me","   not ELP, by",IF(AND(OR(PlanterYesMe="Yes",PlanterYesMe="Y"),G249&gt;0),(VLOOKUP(A249,'Discount Lookup'!J:K,2)*G249*(1-PlanterDiscount)*(1+PlanterDifficultyPercentage)),IF(AE249="ELP",(VLOOKUP(A249,'Discount Lookup'!J:K,2)*G249*(1-PlanterDiscount)*(1+PlanterDifficultyPercentage)),IF(AE249="free","re-planting",IF(G249=0,"",IF(PlanterYesMe="",IF(AE249="me","   not ELP, by",IF(AE249="",IF(G249&gt;0,(VLOOKUP(A249,'Discount Lookup'!J:K,2)*G249*(1-PlanterDiscount)*(1+PlanterDifficultyPercentage)),""),"")),"   not ELP, by"))))))))))))))</f>
        <v/>
      </c>
      <c r="AD249" s="712"/>
      <c r="AE249" s="513" t="str">
        <f t="shared" si="176"/>
        <v/>
      </c>
      <c r="AF249" s="713" t="str">
        <f t="shared" si="177"/>
        <v/>
      </c>
      <c r="AG249" s="713"/>
      <c r="AH249" s="713"/>
      <c r="AI249" s="112">
        <f>IF(H249="credit",0,IF(AE249="free",0,IF(AE249="me",0,IF(G249&gt;0,(VLOOKUP(A249,'Discount Lookup'!J:K,2)*G249),0))))</f>
        <v>0</v>
      </c>
      <c r="AJ249" s="107" t="str">
        <f t="shared" ca="1" si="178"/>
        <v/>
      </c>
      <c r="AK249" s="714" t="str">
        <f t="shared" si="179"/>
        <v/>
      </c>
      <c r="AL249" s="714"/>
      <c r="AM249" s="114" t="str">
        <f t="shared" si="180"/>
        <v/>
      </c>
      <c r="AN249" s="115"/>
      <c r="AO249" s="116"/>
      <c r="AP249" s="116"/>
      <c r="AQ249" s="116"/>
      <c r="AR249" s="116"/>
      <c r="AS249" s="116"/>
      <c r="AT249" s="116"/>
      <c r="AU249" s="116"/>
      <c r="AV249" s="78"/>
      <c r="AW249" s="102"/>
      <c r="AX249" s="78"/>
      <c r="AY249" s="78"/>
      <c r="AZ249" s="78"/>
      <c r="BA249" s="78"/>
      <c r="BB249" s="78"/>
      <c r="BC249" s="78"/>
      <c r="BD249" s="78"/>
      <c r="BE249" s="465"/>
      <c r="BF249" s="165" t="str">
        <f t="shared" si="181"/>
        <v>https://www.google.com/search?tbm=isch&amp;q=Winter%27s%20Columnar%20Red%20known%20for%20narrow%20columnar%20form%20and%20dynamic%20Red%20foliage%20that%20deepens%20through%20summer%20and%20culminates%20in%20brilliant%20Crimson%20fall%20color%20</v>
      </c>
      <c r="BG249" s="165" t="str">
        <f t="shared" si="182"/>
        <v>W</v>
      </c>
      <c r="BH249" s="65"/>
      <c r="BI249" s="65"/>
      <c r="BJ249" s="65"/>
      <c r="BK249" s="65"/>
      <c r="BL249" s="99"/>
      <c r="BM249" s="99"/>
      <c r="BN249" s="99"/>
    </row>
    <row r="250" spans="1:66" s="51" customFormat="1" ht="18" x14ac:dyDescent="0.25">
      <c r="A250" s="623" t="s">
        <v>1369</v>
      </c>
      <c r="B250" s="624"/>
      <c r="C250" s="709"/>
      <c r="D250" s="625" t="s">
        <v>1370</v>
      </c>
      <c r="E250" s="626"/>
      <c r="F250" s="626"/>
      <c r="G250" s="626"/>
      <c r="H250" s="622" t="s">
        <v>1371</v>
      </c>
      <c r="I250" s="627" t="s">
        <v>1372</v>
      </c>
      <c r="J250" s="628"/>
      <c r="K250" s="628"/>
      <c r="L250" s="629"/>
      <c r="M250" s="700" t="s">
        <v>5241</v>
      </c>
      <c r="N250" s="693" t="str">
        <f>IF(AND(ISTEXT($A250), ISERROR($A250+0)), HYPERLINK($BF250, "Images"), "")</f>
        <v>Images</v>
      </c>
      <c r="O250" s="695" t="s">
        <v>5247</v>
      </c>
      <c r="P250" s="630"/>
      <c r="Q250" s="631"/>
      <c r="R250" s="632"/>
      <c r="S250" s="633" t="s">
        <v>294</v>
      </c>
      <c r="T250" s="102">
        <f t="shared" si="170"/>
        <v>0</v>
      </c>
      <c r="U250" s="78" t="str">
        <f>IF(NOT(ISNUMBER(G250)), "", VLOOKUP(A250,'Discount Lookup'!D:E,2,FALSE)*G250)</f>
        <v/>
      </c>
      <c r="V250" s="78" t="str">
        <f>IF(NOT(ISNUMBER(G250)), "", VLOOKUP(A250,'Discount Lookup'!G:H,2,FALSE)*G250)</f>
        <v/>
      </c>
      <c r="W250" s="102">
        <f t="shared" si="171"/>
        <v>0</v>
      </c>
      <c r="X250" s="102" t="str">
        <f t="shared" si="172"/>
        <v>Green foliage, Bluish undersides</v>
      </c>
      <c r="Y250" s="120" t="b">
        <f t="shared" si="173"/>
        <v>0</v>
      </c>
      <c r="Z250" s="117">
        <f t="shared" si="174"/>
        <v>0</v>
      </c>
      <c r="AA250" s="118"/>
      <c r="AB250" s="118" t="str">
        <f t="shared" si="175"/>
        <v/>
      </c>
      <c r="AC250" s="712" t="str">
        <f>IF(AE250="T2G","no charge",IF(AND(OR(PlanterYesMe="No",PlanterYesMe="N",PlanterYesMe="me"),H250=""),"",IF(H250="credit","NO install",IF(AND(K250="",AE250="me"),"EACH row",IF(AND(K250="images",AE250="me"),"EACH row",IF(D250="","",IF(H250="credit","",IF(AE250="free","re-planting",IF(AE250="me","   not ELP, by",IF(AND(OR(PlanterYesMe="Yes",PlanterYesMe="Y"),G250&gt;0),(VLOOKUP(A250,'Discount Lookup'!J:K,2)*G250*(1-PlanterDiscount)*(1+PlanterDifficultyPercentage)),IF(AE250="ELP",(VLOOKUP(A250,'Discount Lookup'!J:K,2)*G250*(1-PlanterDiscount)*(1+PlanterDifficultyPercentage)),IF(AE250="free","re-planting",IF(G250=0,"",IF(PlanterYesMe="",IF(AE250="me","   not ELP, by",IF(AE250="",IF(G250&gt;0,(VLOOKUP(A250,'Discount Lookup'!J:K,2)*G250*(1-PlanterDiscount)*(1+PlanterDifficultyPercentage)),""),"")),"   not ELP, by"))))))))))))))</f>
        <v/>
      </c>
      <c r="AD250" s="712"/>
      <c r="AE250" s="513" t="str">
        <f t="shared" si="176"/>
        <v/>
      </c>
      <c r="AF250" s="713" t="str">
        <f t="shared" si="177"/>
        <v/>
      </c>
      <c r="AG250" s="713"/>
      <c r="AH250" s="713"/>
      <c r="AI250" s="112">
        <f>IF(H250="credit",0,IF(AE250="free",0,IF(AE250="me",0,IF(G250&gt;0,(VLOOKUP(A250,'Discount Lookup'!J:K,2)*G250),0))))</f>
        <v>0</v>
      </c>
      <c r="AJ250" s="107" t="str">
        <f t="shared" ca="1" si="178"/>
        <v/>
      </c>
      <c r="AK250" s="714" t="str">
        <f t="shared" si="179"/>
        <v/>
      </c>
      <c r="AL250" s="714"/>
      <c r="AM250" s="114" t="str">
        <f t="shared" si="180"/>
        <v/>
      </c>
      <c r="AN250" s="115"/>
      <c r="AO250" s="116"/>
      <c r="AP250" s="116"/>
      <c r="AQ250" s="116"/>
      <c r="AR250" s="116"/>
      <c r="AS250" s="116"/>
      <c r="AT250" s="116"/>
      <c r="AU250" s="116"/>
      <c r="AV250" s="78"/>
      <c r="AW250" s="102"/>
      <c r="AX250" s="78"/>
      <c r="AY250" s="78"/>
      <c r="AZ250" s="78"/>
      <c r="BA250" s="78"/>
      <c r="BB250" s="78"/>
      <c r="BC250" s="78"/>
      <c r="BD250" s="78"/>
      <c r="BE250" s="465"/>
      <c r="BF250" s="165" t="str">
        <f t="shared" si="181"/>
        <v>https://www.google.com/search?tbm=isch&amp;q=Acer%20rubrum%20%27Brandywine%27%20Brandywine%20Red%20Maple</v>
      </c>
      <c r="BG250" s="165" t="str">
        <f t="shared" si="182"/>
        <v>A</v>
      </c>
      <c r="BH250" s="65"/>
      <c r="BI250" s="65"/>
      <c r="BJ250" s="65"/>
      <c r="BK250" s="65"/>
      <c r="BL250" s="99"/>
      <c r="BM250" s="99"/>
      <c r="BN250" s="99"/>
    </row>
    <row r="251" spans="1:66" s="51" customFormat="1" ht="15.75" x14ac:dyDescent="0.25">
      <c r="A251" s="634">
        <v>7</v>
      </c>
      <c r="B251" s="635" t="s">
        <v>291</v>
      </c>
      <c r="C251" s="636" t="s">
        <v>1373</v>
      </c>
      <c r="D251" s="637" t="s">
        <v>299</v>
      </c>
      <c r="E251" s="638">
        <v>100.95</v>
      </c>
      <c r="F251" s="639" t="s">
        <v>292</v>
      </c>
      <c r="G251" s="484">
        <v>0</v>
      </c>
      <c r="H251" s="691" t="str">
        <f>IF(G251=0,"",IF(F251="Buy",IF(G251=1,"plant","plants"),IF(F251&gt;0.01,"warranty","Error")))</f>
        <v/>
      </c>
      <c r="I251" s="640">
        <f>IF(H251="free",0,IF(H251="credit",((E251*(F251))*G251*-1),IF(F251="Buy",(E251*G251),((E251*(1-F251))*G251))))</f>
        <v>0</v>
      </c>
      <c r="J251" s="640">
        <f>IF(H251="warranty",0,(I251*(_xlfn.SINGLE(SalesTaxPercentage))))</f>
        <v>0</v>
      </c>
      <c r="K251" s="716">
        <f t="shared" ref="K251" si="210">I251+J251</f>
        <v>0</v>
      </c>
      <c r="L251" s="716"/>
      <c r="M251" s="689" t="str">
        <f ca="1">IF(AND(G251&gt;0,E251=0),"WARNING - no PRICE inserted",IF(H251="free","FREE ~ no charge this plant",IF(H251="credit",CONCATENATE("-$",ROUND(K251*(1-_xlfn.SINGLE(T2GDiscount))*-1,2)," CREDIT after discount"),IF(_xlfn.SINGLE(T2GDiscount)=0,"",IF(G251=0,"",IF(F251="Buy",CONCATENATE("$",ROUND(K251*(1-_xlfn.SINGLE(T2GDiscount)),2)," with ",(_xlfn.SINGLE(T2GDiscount)*100),"% discount"),CONCATENATE("$",ROUND(K251*(1-_xlfn.SINGLE(T2GDiscount)),2)," with ",((_xlfn.SINGLE(T2GDiscount)*100+F251*100)-(_xlfn.SINGLE(T2GDiscount)*100*F251)),IF(F251&gt;0,"% discounts",IF(_xlfn.SINGLE(NoWarrantyDiscount)&gt;0,"% discounts","% discount")))))))))</f>
        <v/>
      </c>
      <c r="N251" s="690"/>
      <c r="O251" s="486"/>
      <c r="P251" s="486"/>
      <c r="Q251" s="486"/>
      <c r="R251" s="486"/>
      <c r="S251" s="486"/>
      <c r="T251" s="102">
        <f t="shared" si="170"/>
        <v>0</v>
      </c>
      <c r="U251" s="78">
        <f>IF(NOT(ISNUMBER(G251)), "", VLOOKUP(A251,'Discount Lookup'!D:E,2,FALSE)*G251)</f>
        <v>0</v>
      </c>
      <c r="V251" s="78">
        <f>IF(NOT(ISNUMBER(G251)), "", VLOOKUP(A251,'Discount Lookup'!G:H,2,FALSE)*G251)</f>
        <v>0</v>
      </c>
      <c r="W251" s="102">
        <f t="shared" si="171"/>
        <v>0</v>
      </c>
      <c r="X251" s="102">
        <f t="shared" si="172"/>
        <v>0</v>
      </c>
      <c r="Y251" s="120" t="b">
        <f t="shared" si="173"/>
        <v>0</v>
      </c>
      <c r="Z251" s="117">
        <f t="shared" si="174"/>
        <v>0</v>
      </c>
      <c r="AA251" s="118"/>
      <c r="AB251" s="118" t="str">
        <f t="shared" si="175"/>
        <v/>
      </c>
      <c r="AC251" s="712" t="str">
        <f>IF(AE251="T2G","no charge",IF(AND(OR(PlanterYesMe="No",PlanterYesMe="N",PlanterYesMe="me"),H251=""),"",IF(H251="credit","NO install",IF(AND(K251="",AE251="me"),"EACH row",IF(AND(K251="images",AE251="me"),"EACH row",IF(D251="","",IF(H251="credit","",IF(AE251="free","re-planting",IF(AE251="me","   not ELP, by",IF(AND(OR(PlanterYesMe="Yes",PlanterYesMe="Y"),G251&gt;0),(VLOOKUP(A251,'Discount Lookup'!J:K,2)*G251*(1-PlanterDiscount)*(1+PlanterDifficultyPercentage)),IF(AE251="ELP",(VLOOKUP(A251,'Discount Lookup'!J:K,2)*G251*(1-PlanterDiscount)*(1+PlanterDifficultyPercentage)),IF(AE251="free","re-planting",IF(G251=0,"",IF(PlanterYesMe="",IF(AE251="me","   not ELP, by",IF(AE251="",IF(G251&gt;0,(VLOOKUP(A251,'Discount Lookup'!J:K,2)*G251*(1-PlanterDiscount)*(1+PlanterDifficultyPercentage)),""),"")),"   not ELP, by"))))))))))))))</f>
        <v/>
      </c>
      <c r="AD251" s="712"/>
      <c r="AE251" s="513" t="str">
        <f t="shared" si="176"/>
        <v/>
      </c>
      <c r="AF251" s="713" t="str">
        <f t="shared" si="177"/>
        <v/>
      </c>
      <c r="AG251" s="713"/>
      <c r="AH251" s="713"/>
      <c r="AI251" s="112">
        <f>IF(H251="credit",0,IF(AE251="free",0,IF(AE251="me",0,IF(G251&gt;0,(VLOOKUP(A251,'Discount Lookup'!J:K,2)*G251),0))))</f>
        <v>0</v>
      </c>
      <c r="AJ251" s="107" t="str">
        <f t="shared" ca="1" si="178"/>
        <v/>
      </c>
      <c r="AK251" s="714" t="str">
        <f t="shared" si="179"/>
        <v/>
      </c>
      <c r="AL251" s="714"/>
      <c r="AM251" s="114" t="str">
        <f t="shared" si="180"/>
        <v/>
      </c>
      <c r="AN251" s="115"/>
      <c r="AO251" s="116"/>
      <c r="AP251" s="116"/>
      <c r="AQ251" s="116"/>
      <c r="AR251" s="116"/>
      <c r="AS251" s="116"/>
      <c r="AT251" s="116"/>
      <c r="AU251" s="116"/>
      <c r="AV251" s="78"/>
      <c r="AW251" s="102"/>
      <c r="AX251" s="78"/>
      <c r="AY251" s="78"/>
      <c r="AZ251" s="78"/>
      <c r="BA251" s="78"/>
      <c r="BB251" s="78"/>
      <c r="BC251" s="78"/>
      <c r="BD251" s="78"/>
      <c r="BE251" s="465"/>
      <c r="BF251" s="165" t="str">
        <f t="shared" si="181"/>
        <v>https://www.google.com/search?tbm=isch&amp;q=7%20G4</v>
      </c>
      <c r="BG251" s="165" t="str">
        <f t="shared" si="182"/>
        <v>A</v>
      </c>
      <c r="BH251" s="65"/>
      <c r="BI251" s="65"/>
      <c r="BJ251" s="65"/>
      <c r="BK251" s="65"/>
      <c r="BL251" s="99"/>
      <c r="BM251" s="99"/>
      <c r="BN251" s="99"/>
    </row>
    <row r="252" spans="1:66" s="51" customFormat="1" ht="15.75" x14ac:dyDescent="0.25">
      <c r="A252" s="634">
        <v>15</v>
      </c>
      <c r="B252" s="635" t="s">
        <v>291</v>
      </c>
      <c r="C252" s="636" t="s">
        <v>1374</v>
      </c>
      <c r="D252" s="637" t="s">
        <v>311</v>
      </c>
      <c r="E252" s="638">
        <v>160.94999999999999</v>
      </c>
      <c r="F252" s="639" t="s">
        <v>292</v>
      </c>
      <c r="G252" s="484">
        <v>0</v>
      </c>
      <c r="H252" s="691" t="str">
        <f>IF(G252=0,"",IF(F252="Buy",IF(G252=1,"plant","plants"),IF(F252&gt;0.01,"warranty","Error")))</f>
        <v/>
      </c>
      <c r="I252" s="640">
        <f>IF(H252="free",0,IF(H252="credit",((E252*(F252))*G252*-1),IF(F252="Buy",(E252*G252),((E252*(1-F252))*G252))))</f>
        <v>0</v>
      </c>
      <c r="J252" s="640">
        <f>IF(H252="warranty",0,(I252*(_xlfn.SINGLE(SalesTaxPercentage))))</f>
        <v>0</v>
      </c>
      <c r="K252" s="716">
        <f t="shared" ref="K252" si="211">I252+J252</f>
        <v>0</v>
      </c>
      <c r="L252" s="716"/>
      <c r="M252" s="689" t="str">
        <f ca="1">IF(AND(G252&gt;0,E252=0),"WARNING - no PRICE inserted",IF(H252="free","FREE ~ no charge this plant",IF(H252="credit",CONCATENATE("-$",ROUND(K252*(1-_xlfn.SINGLE(T2GDiscount))*-1,2)," CREDIT after discount"),IF(_xlfn.SINGLE(T2GDiscount)=0,"",IF(G252=0,"",IF(F252="Buy",CONCATENATE("$",ROUND(K252*(1-_xlfn.SINGLE(T2GDiscount)),2)," with ",(_xlfn.SINGLE(T2GDiscount)*100),"% discount"),CONCATENATE("$",ROUND(K252*(1-_xlfn.SINGLE(T2GDiscount)),2)," with ",((_xlfn.SINGLE(T2GDiscount)*100+F252*100)-(_xlfn.SINGLE(T2GDiscount)*100*F252)),IF(F252&gt;0,"% discounts",IF(_xlfn.SINGLE(NoWarrantyDiscount)&gt;0,"% discounts","% discount")))))))))</f>
        <v/>
      </c>
      <c r="N252" s="690"/>
      <c r="O252" s="486"/>
      <c r="P252" s="486"/>
      <c r="Q252" s="486"/>
      <c r="R252" s="486"/>
      <c r="S252" s="486"/>
      <c r="T252" s="102">
        <f t="shared" si="170"/>
        <v>0</v>
      </c>
      <c r="U252" s="78">
        <f>IF(NOT(ISNUMBER(G252)), "", VLOOKUP(A252,'Discount Lookup'!D:E,2,FALSE)*G252)</f>
        <v>0</v>
      </c>
      <c r="V252" s="78">
        <f>IF(NOT(ISNUMBER(G252)), "", VLOOKUP(A252,'Discount Lookup'!G:H,2,FALSE)*G252)</f>
        <v>0</v>
      </c>
      <c r="W252" s="102">
        <f t="shared" si="171"/>
        <v>0</v>
      </c>
      <c r="X252" s="102">
        <f t="shared" si="172"/>
        <v>0</v>
      </c>
      <c r="Y252" s="120" t="b">
        <f t="shared" si="173"/>
        <v>0</v>
      </c>
      <c r="Z252" s="117">
        <f t="shared" si="174"/>
        <v>0</v>
      </c>
      <c r="AA252" s="118"/>
      <c r="AB252" s="118" t="str">
        <f t="shared" si="175"/>
        <v/>
      </c>
      <c r="AC252" s="712" t="str">
        <f>IF(AE252="T2G","no charge",IF(AND(OR(PlanterYesMe="No",PlanterYesMe="N",PlanterYesMe="me"),H252=""),"",IF(H252="credit","NO install",IF(AND(K252="",AE252="me"),"EACH row",IF(AND(K252="images",AE252="me"),"EACH row",IF(D252="","",IF(H252="credit","",IF(AE252="free","re-planting",IF(AE252="me","   not ELP, by",IF(AND(OR(PlanterYesMe="Yes",PlanterYesMe="Y"),G252&gt;0),(VLOOKUP(A252,'Discount Lookup'!J:K,2)*G252*(1-PlanterDiscount)*(1+PlanterDifficultyPercentage)),IF(AE252="ELP",(VLOOKUP(A252,'Discount Lookup'!J:K,2)*G252*(1-PlanterDiscount)*(1+PlanterDifficultyPercentage)),IF(AE252="free","re-planting",IF(G252=0,"",IF(PlanterYesMe="",IF(AE252="me","   not ELP, by",IF(AE252="",IF(G252&gt;0,(VLOOKUP(A252,'Discount Lookup'!J:K,2)*G252*(1-PlanterDiscount)*(1+PlanterDifficultyPercentage)),""),"")),"   not ELP, by"))))))))))))))</f>
        <v/>
      </c>
      <c r="AD252" s="712"/>
      <c r="AE252" s="513" t="str">
        <f t="shared" si="176"/>
        <v/>
      </c>
      <c r="AF252" s="713" t="str">
        <f t="shared" si="177"/>
        <v/>
      </c>
      <c r="AG252" s="713"/>
      <c r="AH252" s="713"/>
      <c r="AI252" s="112">
        <f>IF(H252="credit",0,IF(AE252="free",0,IF(AE252="me",0,IF(G252&gt;0,(VLOOKUP(A252,'Discount Lookup'!J:K,2)*G252),0))))</f>
        <v>0</v>
      </c>
      <c r="AJ252" s="107" t="str">
        <f t="shared" ca="1" si="178"/>
        <v/>
      </c>
      <c r="AK252" s="714" t="str">
        <f t="shared" si="179"/>
        <v/>
      </c>
      <c r="AL252" s="714"/>
      <c r="AM252" s="114" t="str">
        <f t="shared" si="180"/>
        <v/>
      </c>
      <c r="AN252" s="115"/>
      <c r="AO252" s="116"/>
      <c r="AP252" s="116"/>
      <c r="AQ252" s="116"/>
      <c r="AR252" s="116"/>
      <c r="AS252" s="116"/>
      <c r="AT252" s="116"/>
      <c r="AU252" s="116"/>
      <c r="AV252" s="78"/>
      <c r="AW252" s="102"/>
      <c r="AX252" s="78"/>
      <c r="AY252" s="78"/>
      <c r="AZ252" s="78"/>
      <c r="BA252" s="78"/>
      <c r="BB252" s="78"/>
      <c r="BC252" s="78"/>
      <c r="BD252" s="78"/>
      <c r="BE252" s="465"/>
      <c r="BF252" s="165" t="str">
        <f t="shared" si="181"/>
        <v>https://www.google.com/search?tbm=isch&amp;q=15%20G5</v>
      </c>
      <c r="BG252" s="165" t="str">
        <f t="shared" si="182"/>
        <v>A</v>
      </c>
      <c r="BH252" s="65"/>
      <c r="BI252" s="65"/>
      <c r="BJ252" s="65"/>
      <c r="BK252" s="65"/>
      <c r="BL252" s="99"/>
      <c r="BM252" s="99"/>
      <c r="BN252" s="99"/>
    </row>
    <row r="253" spans="1:66" s="51" customFormat="1" ht="15.75" x14ac:dyDescent="0.25">
      <c r="A253" s="634">
        <v>15</v>
      </c>
      <c r="B253" s="635" t="s">
        <v>291</v>
      </c>
      <c r="C253" s="636" t="s">
        <v>1375</v>
      </c>
      <c r="D253" s="637" t="s">
        <v>299</v>
      </c>
      <c r="E253" s="638">
        <v>178.95</v>
      </c>
      <c r="F253" s="639" t="s">
        <v>292</v>
      </c>
      <c r="G253" s="484">
        <v>0</v>
      </c>
      <c r="H253" s="691" t="str">
        <f>IF(G253=0,"",IF(F253="Buy",IF(G253=1,"plant","plants"),IF(F253&gt;0.01,"warranty","Error")))</f>
        <v/>
      </c>
      <c r="I253" s="640">
        <f>IF(H253="free",0,IF(H253="credit",((E253*(F253))*G253*-1),IF(F253="Buy",(E253*G253),((E253*(1-F253))*G253))))</f>
        <v>0</v>
      </c>
      <c r="J253" s="640">
        <f>IF(H253="warranty",0,(I253*(_xlfn.SINGLE(SalesTaxPercentage))))</f>
        <v>0</v>
      </c>
      <c r="K253" s="716">
        <f t="shared" ref="K253" si="212">I253+J253</f>
        <v>0</v>
      </c>
      <c r="L253" s="716"/>
      <c r="M253" s="689" t="str">
        <f ca="1">IF(AND(G253&gt;0,E253=0),"WARNING - no PRICE inserted",IF(H253="free","FREE ~ no charge this plant",IF(H253="credit",CONCATENATE("-$",ROUND(K253*(1-_xlfn.SINGLE(T2GDiscount))*-1,2)," CREDIT after discount"),IF(_xlfn.SINGLE(T2GDiscount)=0,"",IF(G253=0,"",IF(F253="Buy",CONCATENATE("$",ROUND(K253*(1-_xlfn.SINGLE(T2GDiscount)),2)," with ",(_xlfn.SINGLE(T2GDiscount)*100),"% discount"),CONCATENATE("$",ROUND(K253*(1-_xlfn.SINGLE(T2GDiscount)),2)," with ",((_xlfn.SINGLE(T2GDiscount)*100+F253*100)-(_xlfn.SINGLE(T2GDiscount)*100*F253)),IF(F253&gt;0,"% discounts",IF(_xlfn.SINGLE(NoWarrantyDiscount)&gt;0,"% discounts","% discount")))))))))</f>
        <v/>
      </c>
      <c r="N253" s="690"/>
      <c r="O253" s="486"/>
      <c r="P253" s="486"/>
      <c r="Q253" s="486"/>
      <c r="R253" s="486"/>
      <c r="S253" s="486"/>
      <c r="T253" s="102">
        <f t="shared" si="170"/>
        <v>0</v>
      </c>
      <c r="U253" s="78">
        <f>IF(NOT(ISNUMBER(G253)), "", VLOOKUP(A253,'Discount Lookup'!D:E,2,FALSE)*G253)</f>
        <v>0</v>
      </c>
      <c r="V253" s="78">
        <f>IF(NOT(ISNUMBER(G253)), "", VLOOKUP(A253,'Discount Lookup'!G:H,2,FALSE)*G253)</f>
        <v>0</v>
      </c>
      <c r="W253" s="102">
        <f t="shared" si="171"/>
        <v>0</v>
      </c>
      <c r="X253" s="102">
        <f t="shared" si="172"/>
        <v>0</v>
      </c>
      <c r="Y253" s="120" t="b">
        <f t="shared" si="173"/>
        <v>0</v>
      </c>
      <c r="Z253" s="117">
        <f t="shared" si="174"/>
        <v>0</v>
      </c>
      <c r="AA253" s="118"/>
      <c r="AB253" s="118" t="str">
        <f t="shared" si="175"/>
        <v/>
      </c>
      <c r="AC253" s="712" t="str">
        <f>IF(AE253="T2G","no charge",IF(AND(OR(PlanterYesMe="No",PlanterYesMe="N",PlanterYesMe="me"),H253=""),"",IF(H253="credit","NO install",IF(AND(K253="",AE253="me"),"EACH row",IF(AND(K253="images",AE253="me"),"EACH row",IF(D253="","",IF(H253="credit","",IF(AE253="free","re-planting",IF(AE253="me","   not ELP, by",IF(AND(OR(PlanterYesMe="Yes",PlanterYesMe="Y"),G253&gt;0),(VLOOKUP(A253,'Discount Lookup'!J:K,2)*G253*(1-PlanterDiscount)*(1+PlanterDifficultyPercentage)),IF(AE253="ELP",(VLOOKUP(A253,'Discount Lookup'!J:K,2)*G253*(1-PlanterDiscount)*(1+PlanterDifficultyPercentage)),IF(AE253="free","re-planting",IF(G253=0,"",IF(PlanterYesMe="",IF(AE253="me","   not ELP, by",IF(AE253="",IF(G253&gt;0,(VLOOKUP(A253,'Discount Lookup'!J:K,2)*G253*(1-PlanterDiscount)*(1+PlanterDifficultyPercentage)),""),"")),"   not ELP, by"))))))))))))))</f>
        <v/>
      </c>
      <c r="AD253" s="712"/>
      <c r="AE253" s="513" t="str">
        <f t="shared" si="176"/>
        <v/>
      </c>
      <c r="AF253" s="713" t="str">
        <f t="shared" si="177"/>
        <v/>
      </c>
      <c r="AG253" s="713"/>
      <c r="AH253" s="713"/>
      <c r="AI253" s="112">
        <f>IF(H253="credit",0,IF(AE253="free",0,IF(AE253="me",0,IF(G253&gt;0,(VLOOKUP(A253,'Discount Lookup'!J:K,2)*G253),0))))</f>
        <v>0</v>
      </c>
      <c r="AJ253" s="107" t="str">
        <f t="shared" ca="1" si="178"/>
        <v/>
      </c>
      <c r="AK253" s="714" t="str">
        <f t="shared" si="179"/>
        <v/>
      </c>
      <c r="AL253" s="714"/>
      <c r="AM253" s="114" t="str">
        <f t="shared" si="180"/>
        <v/>
      </c>
      <c r="AN253" s="115"/>
      <c r="AO253" s="116"/>
      <c r="AP253" s="116"/>
      <c r="AQ253" s="116"/>
      <c r="AR253" s="116"/>
      <c r="AS253" s="116"/>
      <c r="AT253" s="116"/>
      <c r="AU253" s="116"/>
      <c r="AV253" s="78"/>
      <c r="AW253" s="102"/>
      <c r="AX253" s="78"/>
      <c r="AY253" s="78"/>
      <c r="AZ253" s="78"/>
      <c r="BA253" s="78"/>
      <c r="BB253" s="78"/>
      <c r="BC253" s="78"/>
      <c r="BD253" s="78"/>
      <c r="BE253" s="465"/>
      <c r="BF253" s="165" t="str">
        <f t="shared" si="181"/>
        <v>https://www.google.com/search?tbm=isch&amp;q=15%20G4</v>
      </c>
      <c r="BG253" s="165" t="str">
        <f t="shared" si="182"/>
        <v>A</v>
      </c>
      <c r="BH253" s="65"/>
      <c r="BI253" s="65"/>
      <c r="BJ253" s="65"/>
      <c r="BK253" s="65"/>
      <c r="BL253" s="99"/>
      <c r="BM253" s="99"/>
      <c r="BN253" s="99"/>
    </row>
    <row r="254" spans="1:66" s="51" customFormat="1" ht="27" x14ac:dyDescent="0.25">
      <c r="A254" s="634">
        <v>25</v>
      </c>
      <c r="B254" s="635" t="s">
        <v>291</v>
      </c>
      <c r="C254" s="636" t="s">
        <v>1376</v>
      </c>
      <c r="D254" s="637" t="s">
        <v>299</v>
      </c>
      <c r="E254" s="638">
        <v>293.95</v>
      </c>
      <c r="F254" s="639" t="s">
        <v>292</v>
      </c>
      <c r="G254" s="484">
        <v>0</v>
      </c>
      <c r="H254" s="691" t="str">
        <f>IF(G254=0,"",IF(F254="Buy",IF(G254=1,"plant","plants"),IF(F254&gt;0.01,"warranty","Error")))</f>
        <v/>
      </c>
      <c r="I254" s="640">
        <f>IF(H254="free",0,IF(H254="credit",((E254*(F254))*G254*-1),IF(F254="Buy",(E254*G254),((E254*(1-F254))*G254))))</f>
        <v>0</v>
      </c>
      <c r="J254" s="640">
        <f>IF(H254="warranty",0,(I254*(_xlfn.SINGLE(SalesTaxPercentage))))</f>
        <v>0</v>
      </c>
      <c r="K254" s="716">
        <f t="shared" ref="K254" si="213">I254+J254</f>
        <v>0</v>
      </c>
      <c r="L254" s="716"/>
      <c r="M254" s="689" t="str">
        <f ca="1">IF(AND(G254&gt;0,E254=0),"WARNING - no PRICE inserted",IF(H254="free","FREE ~ no charge this plant",IF(H254="credit",CONCATENATE("-$",ROUND(K254*(1-_xlfn.SINGLE(T2GDiscount))*-1,2)," CREDIT after discount"),IF(_xlfn.SINGLE(T2GDiscount)=0,"",IF(G254=0,"",IF(F254="Buy",CONCATENATE("$",ROUND(K254*(1-_xlfn.SINGLE(T2GDiscount)),2)," with ",(_xlfn.SINGLE(T2GDiscount)*100),"% discount"),CONCATENATE("$",ROUND(K254*(1-_xlfn.SINGLE(T2GDiscount)),2)," with ",((_xlfn.SINGLE(T2GDiscount)*100+F254*100)-(_xlfn.SINGLE(T2GDiscount)*100*F254)),IF(F254&gt;0,"% discounts",IF(_xlfn.SINGLE(NoWarrantyDiscount)&gt;0,"% discounts","% discount")))))))))</f>
        <v/>
      </c>
      <c r="N254" s="690"/>
      <c r="O254" s="486"/>
      <c r="P254" s="486"/>
      <c r="Q254" s="486"/>
      <c r="R254" s="486"/>
      <c r="S254" s="486"/>
      <c r="T254" s="102">
        <f t="shared" si="170"/>
        <v>0</v>
      </c>
      <c r="U254" s="78">
        <f>IF(NOT(ISNUMBER(G254)), "", VLOOKUP(A254,'Discount Lookup'!D:E,2,FALSE)*G254)</f>
        <v>0</v>
      </c>
      <c r="V254" s="78">
        <f>IF(NOT(ISNUMBER(G254)), "", VLOOKUP(A254,'Discount Lookup'!G:H,2,FALSE)*G254)</f>
        <v>0</v>
      </c>
      <c r="W254" s="102">
        <f t="shared" si="171"/>
        <v>0</v>
      </c>
      <c r="X254" s="102">
        <f t="shared" si="172"/>
        <v>0</v>
      </c>
      <c r="Y254" s="120" t="b">
        <f t="shared" si="173"/>
        <v>0</v>
      </c>
      <c r="Z254" s="117">
        <f t="shared" si="174"/>
        <v>0</v>
      </c>
      <c r="AA254" s="118"/>
      <c r="AB254" s="118" t="str">
        <f t="shared" si="175"/>
        <v/>
      </c>
      <c r="AC254" s="712" t="str">
        <f>IF(AE254="T2G","no charge",IF(AND(OR(PlanterYesMe="No",PlanterYesMe="N",PlanterYesMe="me"),H254=""),"",IF(H254="credit","NO install",IF(AND(K254="",AE254="me"),"EACH row",IF(AND(K254="images",AE254="me"),"EACH row",IF(D254="","",IF(H254="credit","",IF(AE254="free","re-planting",IF(AE254="me","   not ELP, by",IF(AND(OR(PlanterYesMe="Yes",PlanterYesMe="Y"),G254&gt;0),(VLOOKUP(A254,'Discount Lookup'!J:K,2)*G254*(1-PlanterDiscount)*(1+PlanterDifficultyPercentage)),IF(AE254="ELP",(VLOOKUP(A254,'Discount Lookup'!J:K,2)*G254*(1-PlanterDiscount)*(1+PlanterDifficultyPercentage)),IF(AE254="free","re-planting",IF(G254=0,"",IF(PlanterYesMe="",IF(AE254="me","   not ELP, by",IF(AE254="",IF(G254&gt;0,(VLOOKUP(A254,'Discount Lookup'!J:K,2)*G254*(1-PlanterDiscount)*(1+PlanterDifficultyPercentage)),""),"")),"   not ELP, by"))))))))))))))</f>
        <v/>
      </c>
      <c r="AD254" s="712"/>
      <c r="AE254" s="513" t="str">
        <f t="shared" si="176"/>
        <v/>
      </c>
      <c r="AF254" s="713" t="str">
        <f t="shared" si="177"/>
        <v/>
      </c>
      <c r="AG254" s="713"/>
      <c r="AH254" s="713"/>
      <c r="AI254" s="112">
        <f>IF(H254="credit",0,IF(AE254="free",0,IF(AE254="me",0,IF(G254&gt;0,(VLOOKUP(A254,'Discount Lookup'!J:K,2)*G254),0))))</f>
        <v>0</v>
      </c>
      <c r="AJ254" s="107" t="str">
        <f t="shared" ca="1" si="178"/>
        <v/>
      </c>
      <c r="AK254" s="714" t="str">
        <f t="shared" si="179"/>
        <v/>
      </c>
      <c r="AL254" s="714"/>
      <c r="AM254" s="114" t="str">
        <f t="shared" si="180"/>
        <v/>
      </c>
      <c r="AN254" s="115"/>
      <c r="AO254" s="116"/>
      <c r="AP254" s="116"/>
      <c r="AQ254" s="116"/>
      <c r="AR254" s="116"/>
      <c r="AS254" s="116"/>
      <c r="AT254" s="116"/>
      <c r="AU254" s="116"/>
      <c r="AV254" s="78"/>
      <c r="AW254" s="102"/>
      <c r="AX254" s="78"/>
      <c r="AY254" s="78"/>
      <c r="AZ254" s="78"/>
      <c r="BA254" s="78"/>
      <c r="BB254" s="78"/>
      <c r="BC254" s="78"/>
      <c r="BD254" s="78"/>
      <c r="BE254" s="465"/>
      <c r="BF254" s="165" t="str">
        <f t="shared" si="181"/>
        <v>https://www.google.com/search?tbm=isch&amp;q=25%20G4</v>
      </c>
      <c r="BG254" s="165" t="str">
        <f t="shared" si="182"/>
        <v>A</v>
      </c>
      <c r="BH254" s="65"/>
      <c r="BI254" s="65"/>
      <c r="BJ254" s="65"/>
      <c r="BK254" s="65"/>
      <c r="BL254" s="99"/>
      <c r="BM254" s="99"/>
      <c r="BN254" s="99"/>
    </row>
    <row r="255" spans="1:66" s="51" customFormat="1" ht="15.75" x14ac:dyDescent="0.25">
      <c r="A255" s="634">
        <v>25</v>
      </c>
      <c r="B255" s="635" t="s">
        <v>291</v>
      </c>
      <c r="C255" s="636" t="s">
        <v>1377</v>
      </c>
      <c r="D255" s="637" t="s">
        <v>293</v>
      </c>
      <c r="E255" s="638">
        <v>299.95</v>
      </c>
      <c r="F255" s="639" t="s">
        <v>292</v>
      </c>
      <c r="G255" s="484">
        <v>0</v>
      </c>
      <c r="H255" s="691" t="str">
        <f>IF(G255=0,"",IF(F255="Buy",IF(G255=1,"plant","plants"),IF(F255&gt;0.01,"warranty","Error")))</f>
        <v/>
      </c>
      <c r="I255" s="640">
        <f>IF(H255="free",0,IF(H255="credit",((E255*(F255))*G255*-1),IF(F255="Buy",(E255*G255),((E255*(1-F255))*G255))))</f>
        <v>0</v>
      </c>
      <c r="J255" s="640">
        <f>IF(H255="warranty",0,(I255*(_xlfn.SINGLE(SalesTaxPercentage))))</f>
        <v>0</v>
      </c>
      <c r="K255" s="716">
        <f t="shared" ref="K255" si="214">I255+J255</f>
        <v>0</v>
      </c>
      <c r="L255" s="716"/>
      <c r="M255" s="689" t="str">
        <f ca="1">IF(AND(G255&gt;0,E255=0),"WARNING - no PRICE inserted",IF(H255="free","FREE ~ no charge this plant",IF(H255="credit",CONCATENATE("-$",ROUND(K255*(1-_xlfn.SINGLE(T2GDiscount))*-1,2)," CREDIT after discount"),IF(_xlfn.SINGLE(T2GDiscount)=0,"",IF(G255=0,"",IF(F255="Buy",CONCATENATE("$",ROUND(K255*(1-_xlfn.SINGLE(T2GDiscount)),2)," with ",(_xlfn.SINGLE(T2GDiscount)*100),"% discount"),CONCATENATE("$",ROUND(K255*(1-_xlfn.SINGLE(T2GDiscount)),2)," with ",((_xlfn.SINGLE(T2GDiscount)*100+F255*100)-(_xlfn.SINGLE(T2GDiscount)*100*F255)),IF(F255&gt;0,"% discounts",IF(_xlfn.SINGLE(NoWarrantyDiscount)&gt;0,"% discounts","% discount")))))))))</f>
        <v/>
      </c>
      <c r="N255" s="690"/>
      <c r="O255" s="486"/>
      <c r="P255" s="486"/>
      <c r="Q255" s="486"/>
      <c r="R255" s="486"/>
      <c r="S255" s="486"/>
      <c r="T255" s="102">
        <f t="shared" si="170"/>
        <v>0</v>
      </c>
      <c r="U255" s="78">
        <f>IF(NOT(ISNUMBER(G255)), "", VLOOKUP(A255,'Discount Lookup'!D:E,2,FALSE)*G255)</f>
        <v>0</v>
      </c>
      <c r="V255" s="78">
        <f>IF(NOT(ISNUMBER(G255)), "", VLOOKUP(A255,'Discount Lookup'!G:H,2,FALSE)*G255)</f>
        <v>0</v>
      </c>
      <c r="W255" s="102">
        <f t="shared" si="171"/>
        <v>0</v>
      </c>
      <c r="X255" s="102">
        <f t="shared" si="172"/>
        <v>0</v>
      </c>
      <c r="Y255" s="120" t="b">
        <f t="shared" si="173"/>
        <v>0</v>
      </c>
      <c r="Z255" s="117">
        <f t="shared" si="174"/>
        <v>0</v>
      </c>
      <c r="AA255" s="118"/>
      <c r="AB255" s="118" t="str">
        <f t="shared" si="175"/>
        <v/>
      </c>
      <c r="AC255" s="712" t="str">
        <f>IF(AE255="T2G","no charge",IF(AND(OR(PlanterYesMe="No",PlanterYesMe="N",PlanterYesMe="me"),H255=""),"",IF(H255="credit","NO install",IF(AND(K255="",AE255="me"),"EACH row",IF(AND(K255="images",AE255="me"),"EACH row",IF(D255="","",IF(H255="credit","",IF(AE255="free","re-planting",IF(AE255="me","   not ELP, by",IF(AND(OR(PlanterYesMe="Yes",PlanterYesMe="Y"),G255&gt;0),(VLOOKUP(A255,'Discount Lookup'!J:K,2)*G255*(1-PlanterDiscount)*(1+PlanterDifficultyPercentage)),IF(AE255="ELP",(VLOOKUP(A255,'Discount Lookup'!J:K,2)*G255*(1-PlanterDiscount)*(1+PlanterDifficultyPercentage)),IF(AE255="free","re-planting",IF(G255=0,"",IF(PlanterYesMe="",IF(AE255="me","   not ELP, by",IF(AE255="",IF(G255&gt;0,(VLOOKUP(A255,'Discount Lookup'!J:K,2)*G255*(1-PlanterDiscount)*(1+PlanterDifficultyPercentage)),""),"")),"   not ELP, by"))))))))))))))</f>
        <v/>
      </c>
      <c r="AD255" s="712"/>
      <c r="AE255" s="513" t="str">
        <f t="shared" si="176"/>
        <v/>
      </c>
      <c r="AF255" s="713" t="str">
        <f t="shared" si="177"/>
        <v/>
      </c>
      <c r="AG255" s="713"/>
      <c r="AH255" s="713"/>
      <c r="AI255" s="112">
        <f>IF(H255="credit",0,IF(AE255="free",0,IF(AE255="me",0,IF(G255&gt;0,(VLOOKUP(A255,'Discount Lookup'!J:K,2)*G255),0))))</f>
        <v>0</v>
      </c>
      <c r="AJ255" s="107" t="str">
        <f t="shared" ca="1" si="178"/>
        <v/>
      </c>
      <c r="AK255" s="714" t="str">
        <f t="shared" si="179"/>
        <v/>
      </c>
      <c r="AL255" s="714"/>
      <c r="AM255" s="114" t="str">
        <f t="shared" si="180"/>
        <v/>
      </c>
      <c r="AN255" s="115"/>
      <c r="AO255" s="116"/>
      <c r="AP255" s="116"/>
      <c r="AQ255" s="116"/>
      <c r="AR255" s="116"/>
      <c r="AS255" s="116"/>
      <c r="AT255" s="116"/>
      <c r="AU255" s="116"/>
      <c r="AV255" s="78"/>
      <c r="AW255" s="102"/>
      <c r="AX255" s="78"/>
      <c r="AY255" s="78"/>
      <c r="AZ255" s="78"/>
      <c r="BA255" s="78"/>
      <c r="BB255" s="78"/>
      <c r="BC255" s="78"/>
      <c r="BD255" s="78"/>
      <c r="BE255" s="465"/>
      <c r="BF255" s="165" t="str">
        <f t="shared" si="181"/>
        <v>https://www.google.com/search?tbm=isch&amp;q=25%20G6</v>
      </c>
      <c r="BG255" s="165" t="str">
        <f t="shared" si="182"/>
        <v>A</v>
      </c>
      <c r="BH255" s="65"/>
      <c r="BI255" s="65"/>
      <c r="BJ255" s="65"/>
      <c r="BK255" s="65"/>
      <c r="BL255" s="99"/>
      <c r="BM255" s="99"/>
      <c r="BN255" s="99"/>
    </row>
    <row r="256" spans="1:66" s="51" customFormat="1" ht="17.25" thickBot="1" x14ac:dyDescent="0.3">
      <c r="A256" s="704" t="s">
        <v>5315</v>
      </c>
      <c r="B256" s="642"/>
      <c r="C256" s="710"/>
      <c r="D256" s="643"/>
      <c r="E256" s="643"/>
      <c r="F256" s="644"/>
      <c r="G256" s="645"/>
      <c r="H256" s="646"/>
      <c r="I256" s="647"/>
      <c r="J256" s="648"/>
      <c r="K256" s="649"/>
      <c r="L256" s="650"/>
      <c r="M256" s="650"/>
      <c r="N256" s="644"/>
      <c r="O256" s="644"/>
      <c r="P256" s="644"/>
      <c r="Q256" s="644"/>
      <c r="R256" s="644"/>
      <c r="S256" s="701" t="s">
        <v>5251</v>
      </c>
      <c r="T256" s="102">
        <f t="shared" si="170"/>
        <v>0</v>
      </c>
      <c r="U256" s="78" t="str">
        <f>IF(NOT(ISNUMBER(G256)), "", VLOOKUP(A256,'Discount Lookup'!D:E,2,FALSE)*G256)</f>
        <v/>
      </c>
      <c r="V256" s="78" t="str">
        <f>IF(NOT(ISNUMBER(G256)), "", VLOOKUP(A256,'Discount Lookup'!G:H,2,FALSE)*G256)</f>
        <v/>
      </c>
      <c r="W256" s="102">
        <f t="shared" si="171"/>
        <v>0</v>
      </c>
      <c r="X256" s="102">
        <f t="shared" si="172"/>
        <v>0</v>
      </c>
      <c r="Y256" s="120" t="b">
        <f t="shared" si="173"/>
        <v>0</v>
      </c>
      <c r="Z256" s="117">
        <f t="shared" si="174"/>
        <v>0</v>
      </c>
      <c r="AA256" s="118"/>
      <c r="AB256" s="118" t="str">
        <f t="shared" si="175"/>
        <v/>
      </c>
      <c r="AC256" s="712" t="str">
        <f>IF(AE256="T2G","no charge",IF(AND(OR(PlanterYesMe="No",PlanterYesMe="N",PlanterYesMe="me"),H256=""),"",IF(H256="credit","NO install",IF(AND(K256="",AE256="me"),"EACH row",IF(AND(K256="images",AE256="me"),"EACH row",IF(D256="","",IF(H256="credit","",IF(AE256="free","re-planting",IF(AE256="me","   not ELP, by",IF(AND(OR(PlanterYesMe="Yes",PlanterYesMe="Y"),G256&gt;0),(VLOOKUP(A256,'Discount Lookup'!J:K,2)*G256*(1-PlanterDiscount)*(1+PlanterDifficultyPercentage)),IF(AE256="ELP",(VLOOKUP(A256,'Discount Lookup'!J:K,2)*G256*(1-PlanterDiscount)*(1+PlanterDifficultyPercentage)),IF(AE256="free","re-planting",IF(G256=0,"",IF(PlanterYesMe="",IF(AE256="me","   not ELP, by",IF(AE256="",IF(G256&gt;0,(VLOOKUP(A256,'Discount Lookup'!J:K,2)*G256*(1-PlanterDiscount)*(1+PlanterDifficultyPercentage)),""),"")),"   not ELP, by"))))))))))))))</f>
        <v/>
      </c>
      <c r="AD256" s="712"/>
      <c r="AE256" s="513" t="str">
        <f t="shared" si="176"/>
        <v/>
      </c>
      <c r="AF256" s="713" t="str">
        <f t="shared" si="177"/>
        <v/>
      </c>
      <c r="AG256" s="713"/>
      <c r="AH256" s="713"/>
      <c r="AI256" s="112">
        <f>IF(H256="credit",0,IF(AE256="free",0,IF(AE256="me",0,IF(G256&gt;0,(VLOOKUP(A256,'Discount Lookup'!J:K,2)*G256),0))))</f>
        <v>0</v>
      </c>
      <c r="AJ256" s="107" t="str">
        <f t="shared" ca="1" si="178"/>
        <v/>
      </c>
      <c r="AK256" s="714" t="str">
        <f t="shared" si="179"/>
        <v/>
      </c>
      <c r="AL256" s="714"/>
      <c r="AM256" s="114" t="str">
        <f t="shared" si="180"/>
        <v/>
      </c>
      <c r="AN256" s="115"/>
      <c r="AO256" s="116"/>
      <c r="AP256" s="116"/>
      <c r="AQ256" s="116"/>
      <c r="AR256" s="116"/>
      <c r="AS256" s="116"/>
      <c r="AT256" s="116"/>
      <c r="AU256" s="116"/>
      <c r="AV256" s="78"/>
      <c r="AW256" s="102"/>
      <c r="AX256" s="78"/>
      <c r="AY256" s="78"/>
      <c r="AZ256" s="78"/>
      <c r="BA256" s="78"/>
      <c r="BB256" s="78"/>
      <c r="BC256" s="78"/>
      <c r="BD256" s="78"/>
      <c r="BE256" s="465"/>
      <c r="BF256" s="165" t="str">
        <f t="shared" si="181"/>
        <v>https://www.google.com/search?tbm=isch&amp;q=moist%20sites%F0%9F%92%A7BEST%2C%20Brandywine%20are%20all%20male%20%28seedless%2C%20less%20messy%29.%20Known%20for%20long%20lasting%2C%20brilliant%20Deep%20Reddish-Purple%20fall%20foliage%20</v>
      </c>
      <c r="BG256" s="165" t="str">
        <f t="shared" si="182"/>
        <v>m</v>
      </c>
      <c r="BH256" s="65"/>
      <c r="BI256" s="65"/>
      <c r="BJ256" s="65"/>
      <c r="BK256" s="65"/>
      <c r="BL256" s="99"/>
      <c r="BM256" s="99"/>
      <c r="BN256" s="99"/>
    </row>
    <row r="257" spans="1:66" s="51" customFormat="1" ht="18" x14ac:dyDescent="0.25">
      <c r="A257" s="623" t="s">
        <v>1378</v>
      </c>
      <c r="B257" s="624"/>
      <c r="C257" s="709"/>
      <c r="D257" s="625" t="s">
        <v>5577</v>
      </c>
      <c r="E257" s="626"/>
      <c r="F257" s="626"/>
      <c r="G257" s="626"/>
      <c r="H257" s="622" t="s">
        <v>1379</v>
      </c>
      <c r="I257" s="627" t="s">
        <v>431</v>
      </c>
      <c r="J257" s="628"/>
      <c r="K257" s="628"/>
      <c r="L257" s="629"/>
      <c r="M257" s="700" t="s">
        <v>5241</v>
      </c>
      <c r="N257" s="693" t="str">
        <f>IF(AND(ISTEXT($A257), ISERROR($A257+0)), HYPERLINK($BF257, "Images"), "")</f>
        <v>Images</v>
      </c>
      <c r="O257" s="695" t="s">
        <v>5247</v>
      </c>
      <c r="P257" s="630"/>
      <c r="Q257" s="631"/>
      <c r="R257" s="632"/>
      <c r="S257" s="633" t="s">
        <v>294</v>
      </c>
      <c r="T257" s="102">
        <f t="shared" si="170"/>
        <v>0</v>
      </c>
      <c r="U257" s="78" t="str">
        <f>IF(NOT(ISNUMBER(G257)), "", VLOOKUP(A257,'Discount Lookup'!D:E,2,FALSE)*G257)</f>
        <v/>
      </c>
      <c r="V257" s="78" t="str">
        <f>IF(NOT(ISNUMBER(G257)), "", VLOOKUP(A257,'Discount Lookup'!G:H,2,FALSE)*G257)</f>
        <v/>
      </c>
      <c r="W257" s="102">
        <f t="shared" si="171"/>
        <v>0</v>
      </c>
      <c r="X257" s="102" t="str">
        <f t="shared" si="172"/>
        <v>Dark Green foliage</v>
      </c>
      <c r="Y257" s="120" t="b">
        <f t="shared" si="173"/>
        <v>0</v>
      </c>
      <c r="Z257" s="117">
        <f t="shared" si="174"/>
        <v>0</v>
      </c>
      <c r="AA257" s="118"/>
      <c r="AB257" s="118" t="str">
        <f t="shared" si="175"/>
        <v/>
      </c>
      <c r="AC257" s="712" t="str">
        <f>IF(AE257="T2G","no charge",IF(AND(OR(PlanterYesMe="No",PlanterYesMe="N",PlanterYesMe="me"),H257=""),"",IF(H257="credit","NO install",IF(AND(K257="",AE257="me"),"EACH row",IF(AND(K257="images",AE257="me"),"EACH row",IF(D257="","",IF(H257="credit","",IF(AE257="free","re-planting",IF(AE257="me","   not ELP, by",IF(AND(OR(PlanterYesMe="Yes",PlanterYesMe="Y"),G257&gt;0),(VLOOKUP(A257,'Discount Lookup'!J:K,2)*G257*(1-PlanterDiscount)*(1+PlanterDifficultyPercentage)),IF(AE257="ELP",(VLOOKUP(A257,'Discount Lookup'!J:K,2)*G257*(1-PlanterDiscount)*(1+PlanterDifficultyPercentage)),IF(AE257="free","re-planting",IF(G257=0,"",IF(PlanterYesMe="",IF(AE257="me","   not ELP, by",IF(AE257="",IF(G257&gt;0,(VLOOKUP(A257,'Discount Lookup'!J:K,2)*G257*(1-PlanterDiscount)*(1+PlanterDifficultyPercentage)),""),"")),"   not ELP, by"))))))))))))))</f>
        <v/>
      </c>
      <c r="AD257" s="712"/>
      <c r="AE257" s="513" t="str">
        <f t="shared" si="176"/>
        <v/>
      </c>
      <c r="AF257" s="713" t="str">
        <f t="shared" si="177"/>
        <v/>
      </c>
      <c r="AG257" s="713"/>
      <c r="AH257" s="713"/>
      <c r="AI257" s="112">
        <f>IF(H257="credit",0,IF(AE257="free",0,IF(AE257="me",0,IF(G257&gt;0,(VLOOKUP(A257,'Discount Lookup'!J:K,2)*G257),0))))</f>
        <v>0</v>
      </c>
      <c r="AJ257" s="107" t="str">
        <f t="shared" ca="1" si="178"/>
        <v/>
      </c>
      <c r="AK257" s="714" t="str">
        <f t="shared" si="179"/>
        <v/>
      </c>
      <c r="AL257" s="714"/>
      <c r="AM257" s="114" t="str">
        <f t="shared" si="180"/>
        <v/>
      </c>
      <c r="AN257" s="115"/>
      <c r="AO257" s="116"/>
      <c r="AP257" s="116"/>
      <c r="AQ257" s="116"/>
      <c r="AR257" s="116"/>
      <c r="AS257" s="116"/>
      <c r="AT257" s="116"/>
      <c r="AU257" s="116"/>
      <c r="AV257" s="78"/>
      <c r="AW257" s="102"/>
      <c r="AX257" s="78"/>
      <c r="AY257" s="78"/>
      <c r="AZ257" s="78"/>
      <c r="BA257" s="78"/>
      <c r="BB257" s="78"/>
      <c r="BC257" s="78"/>
      <c r="BD257" s="78"/>
      <c r="BE257" s="465"/>
      <c r="BF257" s="165" t="str">
        <f t="shared" si="181"/>
        <v>https://www.google.com/search?tbm=isch&amp;q=Acer%20rubrum%20%27Frank%20Jr.%27%20PP%2316769%20Redpointe%C2%AE%20Red%20Maple</v>
      </c>
      <c r="BG257" s="165" t="str">
        <f t="shared" si="182"/>
        <v>A</v>
      </c>
      <c r="BH257" s="65"/>
      <c r="BI257" s="65"/>
      <c r="BJ257" s="65"/>
      <c r="BK257" s="65"/>
      <c r="BL257" s="99"/>
      <c r="BM257" s="99"/>
      <c r="BN257" s="99"/>
    </row>
    <row r="258" spans="1:66" s="51" customFormat="1" ht="27" x14ac:dyDescent="0.25">
      <c r="A258" s="634">
        <v>25</v>
      </c>
      <c r="B258" s="635" t="s">
        <v>291</v>
      </c>
      <c r="C258" s="636" t="s">
        <v>1380</v>
      </c>
      <c r="D258" s="637" t="s">
        <v>299</v>
      </c>
      <c r="E258" s="638">
        <v>293.95</v>
      </c>
      <c r="F258" s="639" t="s">
        <v>292</v>
      </c>
      <c r="G258" s="484">
        <v>0</v>
      </c>
      <c r="H258" s="691" t="str">
        <f>IF(G258=0,"",IF(F258="Buy",IF(G258=1,"plant","plants"),IF(F258&gt;0.01,"warranty","Error")))</f>
        <v/>
      </c>
      <c r="I258" s="640">
        <f>IF(H258="free",0,IF(H258="credit",((E258*(F258))*G258*-1),IF(F258="Buy",(E258*G258),((E258*(1-F258))*G258))))</f>
        <v>0</v>
      </c>
      <c r="J258" s="640">
        <f>IF(H258="warranty",0,(I258*(_xlfn.SINGLE(SalesTaxPercentage))))</f>
        <v>0</v>
      </c>
      <c r="K258" s="716">
        <f t="shared" ref="K258" si="215">I258+J258</f>
        <v>0</v>
      </c>
      <c r="L258" s="716"/>
      <c r="M258" s="689" t="str">
        <f ca="1">IF(AND(G258&gt;0,E258=0),"WARNING - no PRICE inserted",IF(H258="free","FREE ~ no charge this plant",IF(H258="credit",CONCATENATE("-$",ROUND(K258*(1-_xlfn.SINGLE(T2GDiscount))*-1,2)," CREDIT after discount"),IF(_xlfn.SINGLE(T2GDiscount)=0,"",IF(G258=0,"",IF(F258="Buy",CONCATENATE("$",ROUND(K258*(1-_xlfn.SINGLE(T2GDiscount)),2)," with ",(_xlfn.SINGLE(T2GDiscount)*100),"% discount"),CONCATENATE("$",ROUND(K258*(1-_xlfn.SINGLE(T2GDiscount)),2)," with ",((_xlfn.SINGLE(T2GDiscount)*100+F258*100)-(_xlfn.SINGLE(T2GDiscount)*100*F258)),IF(F258&gt;0,"% discounts",IF(_xlfn.SINGLE(NoWarrantyDiscount)&gt;0,"% discounts","% discount")))))))))</f>
        <v/>
      </c>
      <c r="N258" s="690"/>
      <c r="O258" s="486"/>
      <c r="P258" s="486"/>
      <c r="Q258" s="486"/>
      <c r="R258" s="486"/>
      <c r="S258" s="486"/>
      <c r="T258" s="102">
        <f t="shared" si="170"/>
        <v>0</v>
      </c>
      <c r="U258" s="78">
        <f>IF(NOT(ISNUMBER(G258)), "", VLOOKUP(A258,'Discount Lookup'!D:E,2,FALSE)*G258)</f>
        <v>0</v>
      </c>
      <c r="V258" s="78">
        <f>IF(NOT(ISNUMBER(G258)), "", VLOOKUP(A258,'Discount Lookup'!G:H,2,FALSE)*G258)</f>
        <v>0</v>
      </c>
      <c r="W258" s="102">
        <f t="shared" si="171"/>
        <v>0</v>
      </c>
      <c r="X258" s="102">
        <f t="shared" si="172"/>
        <v>0</v>
      </c>
      <c r="Y258" s="120" t="b">
        <f t="shared" si="173"/>
        <v>0</v>
      </c>
      <c r="Z258" s="117">
        <f t="shared" si="174"/>
        <v>0</v>
      </c>
      <c r="AA258" s="118"/>
      <c r="AB258" s="118" t="str">
        <f t="shared" si="175"/>
        <v/>
      </c>
      <c r="AC258" s="712" t="str">
        <f>IF(AE258="T2G","no charge",IF(AND(OR(PlanterYesMe="No",PlanterYesMe="N",PlanterYesMe="me"),H258=""),"",IF(H258="credit","NO install",IF(AND(K258="",AE258="me"),"EACH row",IF(AND(K258="images",AE258="me"),"EACH row",IF(D258="","",IF(H258="credit","",IF(AE258="free","re-planting",IF(AE258="me","   not ELP, by",IF(AND(OR(PlanterYesMe="Yes",PlanterYesMe="Y"),G258&gt;0),(VLOOKUP(A258,'Discount Lookup'!J:K,2)*G258*(1-PlanterDiscount)*(1+PlanterDifficultyPercentage)),IF(AE258="ELP",(VLOOKUP(A258,'Discount Lookup'!J:K,2)*G258*(1-PlanterDiscount)*(1+PlanterDifficultyPercentage)),IF(AE258="free","re-planting",IF(G258=0,"",IF(PlanterYesMe="",IF(AE258="me","   not ELP, by",IF(AE258="",IF(G258&gt;0,(VLOOKUP(A258,'Discount Lookup'!J:K,2)*G258*(1-PlanterDiscount)*(1+PlanterDifficultyPercentage)),""),"")),"   not ELP, by"))))))))))))))</f>
        <v/>
      </c>
      <c r="AD258" s="712"/>
      <c r="AE258" s="513" t="str">
        <f t="shared" si="176"/>
        <v/>
      </c>
      <c r="AF258" s="713" t="str">
        <f t="shared" si="177"/>
        <v/>
      </c>
      <c r="AG258" s="713"/>
      <c r="AH258" s="713"/>
      <c r="AI258" s="112">
        <f>IF(H258="credit",0,IF(AE258="free",0,IF(AE258="me",0,IF(G258&gt;0,(VLOOKUP(A258,'Discount Lookup'!J:K,2)*G258),0))))</f>
        <v>0</v>
      </c>
      <c r="AJ258" s="107" t="str">
        <f t="shared" ca="1" si="178"/>
        <v/>
      </c>
      <c r="AK258" s="714" t="str">
        <f t="shared" si="179"/>
        <v/>
      </c>
      <c r="AL258" s="714"/>
      <c r="AM258" s="114" t="str">
        <f t="shared" si="180"/>
        <v/>
      </c>
      <c r="AN258" s="115"/>
      <c r="AO258" s="116"/>
      <c r="AP258" s="116"/>
      <c r="AQ258" s="116"/>
      <c r="AR258" s="116"/>
      <c r="AS258" s="116"/>
      <c r="AT258" s="116"/>
      <c r="AU258" s="116"/>
      <c r="AV258" s="78"/>
      <c r="AW258" s="102"/>
      <c r="AX258" s="78"/>
      <c r="AY258" s="78"/>
      <c r="AZ258" s="78"/>
      <c r="BA258" s="78"/>
      <c r="BB258" s="78"/>
      <c r="BC258" s="78"/>
      <c r="BD258" s="78"/>
      <c r="BE258" s="465"/>
      <c r="BF258" s="165" t="str">
        <f t="shared" si="181"/>
        <v>https://www.google.com/search?tbm=isch&amp;q=25%20G4</v>
      </c>
      <c r="BG258" s="165" t="str">
        <f t="shared" si="182"/>
        <v>A</v>
      </c>
      <c r="BH258" s="65"/>
      <c r="BI258" s="65"/>
      <c r="BJ258" s="65"/>
      <c r="BK258" s="65"/>
      <c r="BL258" s="99"/>
      <c r="BM258" s="99"/>
      <c r="BN258" s="99"/>
    </row>
    <row r="259" spans="1:66" s="51" customFormat="1" ht="17.25" thickBot="1" x14ac:dyDescent="0.3">
      <c r="A259" s="704" t="s">
        <v>5316</v>
      </c>
      <c r="B259" s="642"/>
      <c r="C259" s="710"/>
      <c r="D259" s="643"/>
      <c r="E259" s="643"/>
      <c r="F259" s="644"/>
      <c r="G259" s="645"/>
      <c r="H259" s="646"/>
      <c r="I259" s="647"/>
      <c r="J259" s="648"/>
      <c r="K259" s="649"/>
      <c r="L259" s="650"/>
      <c r="M259" s="650"/>
      <c r="N259" s="644"/>
      <c r="O259" s="644"/>
      <c r="P259" s="644"/>
      <c r="Q259" s="644"/>
      <c r="R259" s="644"/>
      <c r="S259" s="701" t="s">
        <v>5251</v>
      </c>
      <c r="T259" s="102">
        <f t="shared" si="170"/>
        <v>0</v>
      </c>
      <c r="U259" s="78" t="str">
        <f>IF(NOT(ISNUMBER(G259)), "", VLOOKUP(A259,'Discount Lookup'!D:E,2,FALSE)*G259)</f>
        <v/>
      </c>
      <c r="V259" s="78" t="str">
        <f>IF(NOT(ISNUMBER(G259)), "", VLOOKUP(A259,'Discount Lookup'!G:H,2,FALSE)*G259)</f>
        <v/>
      </c>
      <c r="W259" s="102">
        <f t="shared" si="171"/>
        <v>0</v>
      </c>
      <c r="X259" s="102">
        <f t="shared" si="172"/>
        <v>0</v>
      </c>
      <c r="Y259" s="120" t="b">
        <f t="shared" si="173"/>
        <v>0</v>
      </c>
      <c r="Z259" s="117">
        <f t="shared" si="174"/>
        <v>0</v>
      </c>
      <c r="AA259" s="118"/>
      <c r="AB259" s="118" t="str">
        <f t="shared" si="175"/>
        <v/>
      </c>
      <c r="AC259" s="712" t="str">
        <f>IF(AE259="T2G","no charge",IF(AND(OR(PlanterYesMe="No",PlanterYesMe="N",PlanterYesMe="me"),H259=""),"",IF(H259="credit","NO install",IF(AND(K259="",AE259="me"),"EACH row",IF(AND(K259="images",AE259="me"),"EACH row",IF(D259="","",IF(H259="credit","",IF(AE259="free","re-planting",IF(AE259="me","   not ELP, by",IF(AND(OR(PlanterYesMe="Yes",PlanterYesMe="Y"),G259&gt;0),(VLOOKUP(A259,'Discount Lookup'!J:K,2)*G259*(1-PlanterDiscount)*(1+PlanterDifficultyPercentage)),IF(AE259="ELP",(VLOOKUP(A259,'Discount Lookup'!J:K,2)*G259*(1-PlanterDiscount)*(1+PlanterDifficultyPercentage)),IF(AE259="free","re-planting",IF(G259=0,"",IF(PlanterYesMe="",IF(AE259="me","   not ELP, by",IF(AE259="",IF(G259&gt;0,(VLOOKUP(A259,'Discount Lookup'!J:K,2)*G259*(1-PlanterDiscount)*(1+PlanterDifficultyPercentage)),""),"")),"   not ELP, by"))))))))))))))</f>
        <v/>
      </c>
      <c r="AD259" s="712"/>
      <c r="AE259" s="513" t="str">
        <f t="shared" si="176"/>
        <v/>
      </c>
      <c r="AF259" s="713" t="str">
        <f t="shared" si="177"/>
        <v/>
      </c>
      <c r="AG259" s="713"/>
      <c r="AH259" s="713"/>
      <c r="AI259" s="112">
        <f>IF(H259="credit",0,IF(AE259="free",0,IF(AE259="me",0,IF(G259&gt;0,(VLOOKUP(A259,'Discount Lookup'!J:K,2)*G259),0))))</f>
        <v>0</v>
      </c>
      <c r="AJ259" s="107" t="str">
        <f t="shared" ca="1" si="178"/>
        <v/>
      </c>
      <c r="AK259" s="714" t="str">
        <f t="shared" si="179"/>
        <v/>
      </c>
      <c r="AL259" s="714"/>
      <c r="AM259" s="114" t="str">
        <f t="shared" si="180"/>
        <v/>
      </c>
      <c r="AN259" s="115"/>
      <c r="AO259" s="116"/>
      <c r="AP259" s="116"/>
      <c r="AQ259" s="116"/>
      <c r="AR259" s="116"/>
      <c r="AS259" s="116"/>
      <c r="AT259" s="116"/>
      <c r="AU259" s="116"/>
      <c r="AV259" s="78"/>
      <c r="AW259" s="102"/>
      <c r="AX259" s="78"/>
      <c r="AY259" s="78"/>
      <c r="AZ259" s="78"/>
      <c r="BA259" s="78"/>
      <c r="BB259" s="78"/>
      <c r="BC259" s="78"/>
      <c r="BD259" s="78"/>
      <c r="BE259" s="465"/>
      <c r="BF259" s="165" t="str">
        <f t="shared" si="181"/>
        <v>https://www.google.com/search?tbm=isch&amp;q=moist%20sites%F0%9F%92%A7BEST%2C%20Redpointe%20created%20for%20it%27s%20straight%2C%20slender%20form.%20Vigorous%20grower.%20Foliage%20emerges%20Burgundy.%20Brilliant%20Red-Purple%20fall%20foliage%20</v>
      </c>
      <c r="BG259" s="165" t="str">
        <f t="shared" si="182"/>
        <v>m</v>
      </c>
      <c r="BH259" s="65"/>
      <c r="BI259" s="65"/>
      <c r="BJ259" s="65"/>
      <c r="BK259" s="65"/>
      <c r="BL259" s="99"/>
      <c r="BM259" s="99"/>
      <c r="BN259" s="99"/>
    </row>
    <row r="260" spans="1:66" s="51" customFormat="1" ht="18" x14ac:dyDescent="0.25">
      <c r="A260" s="623" t="s">
        <v>1381</v>
      </c>
      <c r="B260" s="624"/>
      <c r="C260" s="709"/>
      <c r="D260" s="625" t="s">
        <v>5578</v>
      </c>
      <c r="E260" s="626"/>
      <c r="F260" s="626"/>
      <c r="G260" s="626"/>
      <c r="H260" s="622" t="s">
        <v>342</v>
      </c>
      <c r="I260" s="627" t="s">
        <v>1382</v>
      </c>
      <c r="J260" s="628"/>
      <c r="K260" s="628"/>
      <c r="L260" s="629"/>
      <c r="M260" s="700" t="s">
        <v>5249</v>
      </c>
      <c r="N260" s="693" t="str">
        <f>IF(AND(ISTEXT($A260), ISERROR($A260+0)), HYPERLINK($BF260, "Images"), "")</f>
        <v>Images</v>
      </c>
      <c r="O260" s="695" t="s">
        <v>5247</v>
      </c>
      <c r="P260" s="630"/>
      <c r="Q260" s="631"/>
      <c r="R260" s="632"/>
      <c r="S260" s="633" t="s">
        <v>294</v>
      </c>
      <c r="T260" s="102">
        <f t="shared" si="170"/>
        <v>0</v>
      </c>
      <c r="U260" s="78" t="str">
        <f>IF(NOT(ISNUMBER(G260)), "", VLOOKUP(A260,'Discount Lookup'!D:E,2,FALSE)*G260)</f>
        <v/>
      </c>
      <c r="V260" s="78" t="str">
        <f>IF(NOT(ISNUMBER(G260)), "", VLOOKUP(A260,'Discount Lookup'!G:H,2,FALSE)*G260)</f>
        <v/>
      </c>
      <c r="W260" s="102">
        <f t="shared" si="171"/>
        <v>0</v>
      </c>
      <c r="X260" s="102" t="str">
        <f t="shared" si="172"/>
        <v>Green foliage, Red cast</v>
      </c>
      <c r="Y260" s="120" t="b">
        <f t="shared" si="173"/>
        <v>0</v>
      </c>
      <c r="Z260" s="117">
        <f t="shared" si="174"/>
        <v>0</v>
      </c>
      <c r="AA260" s="118"/>
      <c r="AB260" s="118" t="str">
        <f t="shared" si="175"/>
        <v/>
      </c>
      <c r="AC260" s="712" t="str">
        <f>IF(AE260="T2G","no charge",IF(AND(OR(PlanterYesMe="No",PlanterYesMe="N",PlanterYesMe="me"),H260=""),"",IF(H260="credit","NO install",IF(AND(K260="",AE260="me"),"EACH row",IF(AND(K260="images",AE260="me"),"EACH row",IF(D260="","",IF(H260="credit","",IF(AE260="free","re-planting",IF(AE260="me","   not ELP, by",IF(AND(OR(PlanterYesMe="Yes",PlanterYesMe="Y"),G260&gt;0),(VLOOKUP(A260,'Discount Lookup'!J:K,2)*G260*(1-PlanterDiscount)*(1+PlanterDifficultyPercentage)),IF(AE260="ELP",(VLOOKUP(A260,'Discount Lookup'!J:K,2)*G260*(1-PlanterDiscount)*(1+PlanterDifficultyPercentage)),IF(AE260="free","re-planting",IF(G260=0,"",IF(PlanterYesMe="",IF(AE260="me","   not ELP, by",IF(AE260="",IF(G260&gt;0,(VLOOKUP(A260,'Discount Lookup'!J:K,2)*G260*(1-PlanterDiscount)*(1+PlanterDifficultyPercentage)),""),"")),"   not ELP, by"))))))))))))))</f>
        <v/>
      </c>
      <c r="AD260" s="712"/>
      <c r="AE260" s="513" t="str">
        <f t="shared" si="176"/>
        <v/>
      </c>
      <c r="AF260" s="713" t="str">
        <f t="shared" si="177"/>
        <v/>
      </c>
      <c r="AG260" s="713"/>
      <c r="AH260" s="713"/>
      <c r="AI260" s="112">
        <f>IF(H260="credit",0,IF(AE260="free",0,IF(AE260="me",0,IF(G260&gt;0,(VLOOKUP(A260,'Discount Lookup'!J:K,2)*G260),0))))</f>
        <v>0</v>
      </c>
      <c r="AJ260" s="107" t="str">
        <f t="shared" ca="1" si="178"/>
        <v/>
      </c>
      <c r="AK260" s="714" t="str">
        <f t="shared" si="179"/>
        <v/>
      </c>
      <c r="AL260" s="714"/>
      <c r="AM260" s="114" t="str">
        <f t="shared" si="180"/>
        <v/>
      </c>
      <c r="AN260" s="115"/>
      <c r="AO260" s="116"/>
      <c r="AP260" s="116"/>
      <c r="AQ260" s="116"/>
      <c r="AR260" s="116"/>
      <c r="AS260" s="116"/>
      <c r="AT260" s="116"/>
      <c r="AU260" s="116"/>
      <c r="AV260" s="78"/>
      <c r="AW260" s="102"/>
      <c r="AX260" s="78"/>
      <c r="AY260" s="78"/>
      <c r="AZ260" s="78"/>
      <c r="BA260" s="78"/>
      <c r="BB260" s="78"/>
      <c r="BC260" s="78"/>
      <c r="BD260" s="78"/>
      <c r="BE260" s="465"/>
      <c r="BF260" s="165" t="str">
        <f t="shared" si="181"/>
        <v>https://www.google.com/search?tbm=isch&amp;q=Acer%20rubrum%20%27Katicole%27%20PP%2321076%20Summer%20Sensation%C2%AE%20Red%20Maple</v>
      </c>
      <c r="BG260" s="165" t="str">
        <f t="shared" si="182"/>
        <v>A</v>
      </c>
      <c r="BH260" s="65"/>
      <c r="BI260" s="65"/>
      <c r="BJ260" s="65"/>
      <c r="BK260" s="65"/>
      <c r="BL260" s="99"/>
      <c r="BM260" s="99"/>
      <c r="BN260" s="99"/>
    </row>
    <row r="261" spans="1:66" s="51" customFormat="1" ht="27" x14ac:dyDescent="0.25">
      <c r="A261" s="634">
        <v>25</v>
      </c>
      <c r="B261" s="635" t="s">
        <v>291</v>
      </c>
      <c r="C261" s="636" t="s">
        <v>1383</v>
      </c>
      <c r="D261" s="637" t="s">
        <v>299</v>
      </c>
      <c r="E261" s="638">
        <v>299.95</v>
      </c>
      <c r="F261" s="639" t="s">
        <v>292</v>
      </c>
      <c r="G261" s="484">
        <v>0</v>
      </c>
      <c r="H261" s="691" t="str">
        <f>IF(G261=0,"",IF(F261="Buy",IF(G261=1,"plant","plants"),IF(F261&gt;0.01,"warranty","Error")))</f>
        <v/>
      </c>
      <c r="I261" s="640">
        <f>IF(H261="free",0,IF(H261="credit",((E261*(F261))*G261*-1),IF(F261="Buy",(E261*G261),((E261*(1-F261))*G261))))</f>
        <v>0</v>
      </c>
      <c r="J261" s="640">
        <f>IF(H261="warranty",0,(I261*(_xlfn.SINGLE(SalesTaxPercentage))))</f>
        <v>0</v>
      </c>
      <c r="K261" s="716">
        <f t="shared" ref="K261" si="216">I261+J261</f>
        <v>0</v>
      </c>
      <c r="L261" s="716"/>
      <c r="M261" s="689" t="str">
        <f ca="1">IF(AND(G261&gt;0,E261=0),"WARNING - no PRICE inserted",IF(H261="free","FREE ~ no charge this plant",IF(H261="credit",CONCATENATE("-$",ROUND(K261*(1-_xlfn.SINGLE(T2GDiscount))*-1,2)," CREDIT after discount"),IF(_xlfn.SINGLE(T2GDiscount)=0,"",IF(G261=0,"",IF(F261="Buy",CONCATENATE("$",ROUND(K261*(1-_xlfn.SINGLE(T2GDiscount)),2)," with ",(_xlfn.SINGLE(T2GDiscount)*100),"% discount"),CONCATENATE("$",ROUND(K261*(1-_xlfn.SINGLE(T2GDiscount)),2)," with ",((_xlfn.SINGLE(T2GDiscount)*100+F261*100)-(_xlfn.SINGLE(T2GDiscount)*100*F261)),IF(F261&gt;0,"% discounts",IF(_xlfn.SINGLE(NoWarrantyDiscount)&gt;0,"% discounts","% discount")))))))))</f>
        <v/>
      </c>
      <c r="N261" s="690"/>
      <c r="O261" s="486"/>
      <c r="P261" s="486"/>
      <c r="Q261" s="486"/>
      <c r="R261" s="486"/>
      <c r="S261" s="486"/>
      <c r="T261" s="102">
        <f t="shared" si="170"/>
        <v>0</v>
      </c>
      <c r="U261" s="78">
        <f>IF(NOT(ISNUMBER(G261)), "", VLOOKUP(A261,'Discount Lookup'!D:E,2,FALSE)*G261)</f>
        <v>0</v>
      </c>
      <c r="V261" s="78">
        <f>IF(NOT(ISNUMBER(G261)), "", VLOOKUP(A261,'Discount Lookup'!G:H,2,FALSE)*G261)</f>
        <v>0</v>
      </c>
      <c r="W261" s="102">
        <f t="shared" si="171"/>
        <v>0</v>
      </c>
      <c r="X261" s="102">
        <f t="shared" si="172"/>
        <v>0</v>
      </c>
      <c r="Y261" s="120" t="b">
        <f t="shared" si="173"/>
        <v>0</v>
      </c>
      <c r="Z261" s="117">
        <f t="shared" si="174"/>
        <v>0</v>
      </c>
      <c r="AA261" s="118"/>
      <c r="AB261" s="118" t="str">
        <f t="shared" si="175"/>
        <v/>
      </c>
      <c r="AC261" s="712" t="str">
        <f>IF(AE261="T2G","no charge",IF(AND(OR(PlanterYesMe="No",PlanterYesMe="N",PlanterYesMe="me"),H261=""),"",IF(H261="credit","NO install",IF(AND(K261="",AE261="me"),"EACH row",IF(AND(K261="images",AE261="me"),"EACH row",IF(D261="","",IF(H261="credit","",IF(AE261="free","re-planting",IF(AE261="me","   not ELP, by",IF(AND(OR(PlanterYesMe="Yes",PlanterYesMe="Y"),G261&gt;0),(VLOOKUP(A261,'Discount Lookup'!J:K,2)*G261*(1-PlanterDiscount)*(1+PlanterDifficultyPercentage)),IF(AE261="ELP",(VLOOKUP(A261,'Discount Lookup'!J:K,2)*G261*(1-PlanterDiscount)*(1+PlanterDifficultyPercentage)),IF(AE261="free","re-planting",IF(G261=0,"",IF(PlanterYesMe="",IF(AE261="me","   not ELP, by",IF(AE261="",IF(G261&gt;0,(VLOOKUP(A261,'Discount Lookup'!J:K,2)*G261*(1-PlanterDiscount)*(1+PlanterDifficultyPercentage)),""),"")),"   not ELP, by"))))))))))))))</f>
        <v/>
      </c>
      <c r="AD261" s="712"/>
      <c r="AE261" s="513" t="str">
        <f t="shared" si="176"/>
        <v/>
      </c>
      <c r="AF261" s="713" t="str">
        <f t="shared" si="177"/>
        <v/>
      </c>
      <c r="AG261" s="713"/>
      <c r="AH261" s="713"/>
      <c r="AI261" s="112">
        <f>IF(H261="credit",0,IF(AE261="free",0,IF(AE261="me",0,IF(G261&gt;0,(VLOOKUP(A261,'Discount Lookup'!J:K,2)*G261),0))))</f>
        <v>0</v>
      </c>
      <c r="AJ261" s="107" t="str">
        <f t="shared" ca="1" si="178"/>
        <v/>
      </c>
      <c r="AK261" s="714" t="str">
        <f t="shared" si="179"/>
        <v/>
      </c>
      <c r="AL261" s="714"/>
      <c r="AM261" s="114" t="str">
        <f t="shared" si="180"/>
        <v/>
      </c>
      <c r="AN261" s="115"/>
      <c r="AO261" s="116"/>
      <c r="AP261" s="116"/>
      <c r="AQ261" s="116"/>
      <c r="AR261" s="116"/>
      <c r="AS261" s="116"/>
      <c r="AT261" s="116"/>
      <c r="AU261" s="116"/>
      <c r="AV261" s="78"/>
      <c r="AW261" s="102"/>
      <c r="AX261" s="78"/>
      <c r="AY261" s="78"/>
      <c r="AZ261" s="78"/>
      <c r="BA261" s="78"/>
      <c r="BB261" s="78"/>
      <c r="BC261" s="78"/>
      <c r="BD261" s="78"/>
      <c r="BE261" s="465"/>
      <c r="BF261" s="165" t="str">
        <f t="shared" si="181"/>
        <v>https://www.google.com/search?tbm=isch&amp;q=25%20G4</v>
      </c>
      <c r="BG261" s="165" t="str">
        <f t="shared" si="182"/>
        <v>A</v>
      </c>
      <c r="BH261" s="65"/>
      <c r="BI261" s="65"/>
      <c r="BJ261" s="65"/>
      <c r="BK261" s="65"/>
      <c r="BL261" s="99"/>
      <c r="BM261" s="99"/>
      <c r="BN261" s="99"/>
    </row>
    <row r="262" spans="1:66" s="51" customFormat="1" ht="17.25" thickBot="1" x14ac:dyDescent="0.3">
      <c r="A262" s="704" t="s">
        <v>5317</v>
      </c>
      <c r="B262" s="642"/>
      <c r="C262" s="710"/>
      <c r="D262" s="643"/>
      <c r="E262" s="643"/>
      <c r="F262" s="644"/>
      <c r="G262" s="645"/>
      <c r="H262" s="646"/>
      <c r="I262" s="647"/>
      <c r="J262" s="648"/>
      <c r="K262" s="649"/>
      <c r="L262" s="650"/>
      <c r="M262" s="650"/>
      <c r="N262" s="644"/>
      <c r="O262" s="644"/>
      <c r="P262" s="644"/>
      <c r="Q262" s="644"/>
      <c r="R262" s="644"/>
      <c r="S262" s="701" t="s">
        <v>5253</v>
      </c>
      <c r="T262" s="102">
        <f t="shared" si="170"/>
        <v>0</v>
      </c>
      <c r="U262" s="78" t="str">
        <f>IF(NOT(ISNUMBER(G262)), "", VLOOKUP(A262,'Discount Lookup'!D:E,2,FALSE)*G262)</f>
        <v/>
      </c>
      <c r="V262" s="78" t="str">
        <f>IF(NOT(ISNUMBER(G262)), "", VLOOKUP(A262,'Discount Lookup'!G:H,2,FALSE)*G262)</f>
        <v/>
      </c>
      <c r="W262" s="102">
        <f t="shared" si="171"/>
        <v>0</v>
      </c>
      <c r="X262" s="102">
        <f t="shared" si="172"/>
        <v>0</v>
      </c>
      <c r="Y262" s="120" t="b">
        <f t="shared" si="173"/>
        <v>0</v>
      </c>
      <c r="Z262" s="117">
        <f t="shared" si="174"/>
        <v>0</v>
      </c>
      <c r="AA262" s="118"/>
      <c r="AB262" s="118" t="str">
        <f t="shared" si="175"/>
        <v/>
      </c>
      <c r="AC262" s="712" t="str">
        <f>IF(AE262="T2G","no charge",IF(AND(OR(PlanterYesMe="No",PlanterYesMe="N",PlanterYesMe="me"),H262=""),"",IF(H262="credit","NO install",IF(AND(K262="",AE262="me"),"EACH row",IF(AND(K262="images",AE262="me"),"EACH row",IF(D262="","",IF(H262="credit","",IF(AE262="free","re-planting",IF(AE262="me","   not ELP, by",IF(AND(OR(PlanterYesMe="Yes",PlanterYesMe="Y"),G262&gt;0),(VLOOKUP(A262,'Discount Lookup'!J:K,2)*G262*(1-PlanterDiscount)*(1+PlanterDifficultyPercentage)),IF(AE262="ELP",(VLOOKUP(A262,'Discount Lookup'!J:K,2)*G262*(1-PlanterDiscount)*(1+PlanterDifficultyPercentage)),IF(AE262="free","re-planting",IF(G262=0,"",IF(PlanterYesMe="",IF(AE262="me","   not ELP, by",IF(AE262="",IF(G262&gt;0,(VLOOKUP(A262,'Discount Lookup'!J:K,2)*G262*(1-PlanterDiscount)*(1+PlanterDifficultyPercentage)),""),"")),"   not ELP, by"))))))))))))))</f>
        <v/>
      </c>
      <c r="AD262" s="712"/>
      <c r="AE262" s="513" t="str">
        <f t="shared" si="176"/>
        <v/>
      </c>
      <c r="AF262" s="713" t="str">
        <f t="shared" si="177"/>
        <v/>
      </c>
      <c r="AG262" s="713"/>
      <c r="AH262" s="713"/>
      <c r="AI262" s="112">
        <f>IF(H262="credit",0,IF(AE262="free",0,IF(AE262="me",0,IF(G262&gt;0,(VLOOKUP(A262,'Discount Lookup'!J:K,2)*G262),0))))</f>
        <v>0</v>
      </c>
      <c r="AJ262" s="107" t="str">
        <f t="shared" ca="1" si="178"/>
        <v/>
      </c>
      <c r="AK262" s="714" t="str">
        <f t="shared" si="179"/>
        <v/>
      </c>
      <c r="AL262" s="714"/>
      <c r="AM262" s="114" t="str">
        <f t="shared" si="180"/>
        <v/>
      </c>
      <c r="AN262" s="115"/>
      <c r="AO262" s="116"/>
      <c r="AP262" s="116"/>
      <c r="AQ262" s="116"/>
      <c r="AR262" s="116"/>
      <c r="AS262" s="116"/>
      <c r="AT262" s="116"/>
      <c r="AU262" s="116"/>
      <c r="AV262" s="78"/>
      <c r="AW262" s="102"/>
      <c r="AX262" s="78"/>
      <c r="AY262" s="78"/>
      <c r="AZ262" s="78"/>
      <c r="BA262" s="78"/>
      <c r="BB262" s="78"/>
      <c r="BC262" s="78"/>
      <c r="BD262" s="78"/>
      <c r="BE262" s="465"/>
      <c r="BF262" s="165" t="str">
        <f t="shared" si="181"/>
        <v>https://www.google.com/search?tbm=isch&amp;q=moist%20sites%F0%9F%92%A7BEST%2C%20Summer%20Sensation%20offers%20vibrant%20Orange-Red%20new%20spring%20growth%20and%20brilliant%20Scarlet%20fall%20foliage%20</v>
      </c>
      <c r="BG262" s="165" t="str">
        <f t="shared" si="182"/>
        <v>m</v>
      </c>
      <c r="BH262" s="65"/>
      <c r="BI262" s="65"/>
      <c r="BJ262" s="65"/>
      <c r="BK262" s="65"/>
      <c r="BL262" s="99"/>
      <c r="BM262" s="99"/>
      <c r="BN262" s="99"/>
    </row>
    <row r="263" spans="1:66" s="51" customFormat="1" ht="18" x14ac:dyDescent="0.25">
      <c r="A263" s="623" t="s">
        <v>1384</v>
      </c>
      <c r="B263" s="624"/>
      <c r="C263" s="709"/>
      <c r="D263" s="625" t="s">
        <v>5579</v>
      </c>
      <c r="E263" s="626"/>
      <c r="F263" s="626"/>
      <c r="G263" s="626"/>
      <c r="H263" s="622" t="s">
        <v>343</v>
      </c>
      <c r="I263" s="627" t="s">
        <v>431</v>
      </c>
      <c r="J263" s="628"/>
      <c r="K263" s="628"/>
      <c r="L263" s="629"/>
      <c r="M263" s="700" t="s">
        <v>5241</v>
      </c>
      <c r="N263" s="693" t="str">
        <f>IF(AND(ISTEXT($A263), ISERROR($A263+0)), HYPERLINK($BF263, "Images"), "")</f>
        <v>Images</v>
      </c>
      <c r="O263" s="695" t="s">
        <v>5247</v>
      </c>
      <c r="P263" s="630"/>
      <c r="Q263" s="631"/>
      <c r="R263" s="632"/>
      <c r="S263" s="633" t="s">
        <v>294</v>
      </c>
      <c r="T263" s="102">
        <f t="shared" si="170"/>
        <v>0</v>
      </c>
      <c r="U263" s="78" t="str">
        <f>IF(NOT(ISNUMBER(G263)), "", VLOOKUP(A263,'Discount Lookup'!D:E,2,FALSE)*G263)</f>
        <v/>
      </c>
      <c r="V263" s="78" t="str">
        <f>IF(NOT(ISNUMBER(G263)), "", VLOOKUP(A263,'Discount Lookup'!G:H,2,FALSE)*G263)</f>
        <v/>
      </c>
      <c r="W263" s="102">
        <f t="shared" si="171"/>
        <v>0</v>
      </c>
      <c r="X263" s="102" t="str">
        <f t="shared" si="172"/>
        <v>Dark Green foliage</v>
      </c>
      <c r="Y263" s="120" t="b">
        <f t="shared" si="173"/>
        <v>0</v>
      </c>
      <c r="Z263" s="117">
        <f t="shared" si="174"/>
        <v>0</v>
      </c>
      <c r="AA263" s="118"/>
      <c r="AB263" s="118" t="str">
        <f t="shared" si="175"/>
        <v/>
      </c>
      <c r="AC263" s="712" t="str">
        <f>IF(AE263="T2G","no charge",IF(AND(OR(PlanterYesMe="No",PlanterYesMe="N",PlanterYesMe="me"),H263=""),"",IF(H263="credit","NO install",IF(AND(K263="",AE263="me"),"EACH row",IF(AND(K263="images",AE263="me"),"EACH row",IF(D263="","",IF(H263="credit","",IF(AE263="free","re-planting",IF(AE263="me","   not ELP, by",IF(AND(OR(PlanterYesMe="Yes",PlanterYesMe="Y"),G263&gt;0),(VLOOKUP(A263,'Discount Lookup'!J:K,2)*G263*(1-PlanterDiscount)*(1+PlanterDifficultyPercentage)),IF(AE263="ELP",(VLOOKUP(A263,'Discount Lookup'!J:K,2)*G263*(1-PlanterDiscount)*(1+PlanterDifficultyPercentage)),IF(AE263="free","re-planting",IF(G263=0,"",IF(PlanterYesMe="",IF(AE263="me","   not ELP, by",IF(AE263="",IF(G263&gt;0,(VLOOKUP(A263,'Discount Lookup'!J:K,2)*G263*(1-PlanterDiscount)*(1+PlanterDifficultyPercentage)),""),"")),"   not ELP, by"))))))))))))))</f>
        <v/>
      </c>
      <c r="AD263" s="712"/>
      <c r="AE263" s="513" t="str">
        <f t="shared" si="176"/>
        <v/>
      </c>
      <c r="AF263" s="713" t="str">
        <f t="shared" si="177"/>
        <v/>
      </c>
      <c r="AG263" s="713"/>
      <c r="AH263" s="713"/>
      <c r="AI263" s="112">
        <f>IF(H263="credit",0,IF(AE263="free",0,IF(AE263="me",0,IF(G263&gt;0,(VLOOKUP(A263,'Discount Lookup'!J:K,2)*G263),0))))</f>
        <v>0</v>
      </c>
      <c r="AJ263" s="107" t="str">
        <f t="shared" ca="1" si="178"/>
        <v/>
      </c>
      <c r="AK263" s="714" t="str">
        <f t="shared" si="179"/>
        <v/>
      </c>
      <c r="AL263" s="714"/>
      <c r="AM263" s="114" t="str">
        <f t="shared" si="180"/>
        <v/>
      </c>
      <c r="AN263" s="115"/>
      <c r="AO263" s="116"/>
      <c r="AP263" s="116"/>
      <c r="AQ263" s="116"/>
      <c r="AR263" s="116"/>
      <c r="AS263" s="116"/>
      <c r="AT263" s="116"/>
      <c r="AU263" s="116"/>
      <c r="AV263" s="78"/>
      <c r="AW263" s="102"/>
      <c r="AX263" s="78"/>
      <c r="AY263" s="78"/>
      <c r="AZ263" s="78"/>
      <c r="BA263" s="78"/>
      <c r="BB263" s="78"/>
      <c r="BC263" s="78"/>
      <c r="BD263" s="78"/>
      <c r="BE263" s="465"/>
      <c r="BF263" s="165" t="str">
        <f t="shared" si="181"/>
        <v>https://www.google.com/search?tbm=isch&amp;q=Acer%20rubrum%20%27October%20Glory%27%20PP%232116Exp.%20October%20Glory%C2%AE%20Red%20Maple</v>
      </c>
      <c r="BG263" s="165" t="str">
        <f t="shared" si="182"/>
        <v>A</v>
      </c>
      <c r="BH263" s="65"/>
      <c r="BI263" s="65"/>
      <c r="BJ263" s="65"/>
      <c r="BK263" s="65"/>
      <c r="BL263" s="99"/>
      <c r="BM263" s="99"/>
      <c r="BN263" s="99"/>
    </row>
    <row r="264" spans="1:66" s="51" customFormat="1" ht="15.75" x14ac:dyDescent="0.25">
      <c r="A264" s="634">
        <v>7</v>
      </c>
      <c r="B264" s="635" t="s">
        <v>291</v>
      </c>
      <c r="C264" s="636" t="s">
        <v>1385</v>
      </c>
      <c r="D264" s="637" t="s">
        <v>299</v>
      </c>
      <c r="E264" s="638">
        <v>100.95</v>
      </c>
      <c r="F264" s="639" t="s">
        <v>292</v>
      </c>
      <c r="G264" s="484">
        <v>0</v>
      </c>
      <c r="H264" s="691" t="str">
        <f>IF(G264=0,"",IF(F264="Buy",IF(G264=1,"plant","plants"),IF(F264&gt;0.01,"warranty","Error")))</f>
        <v/>
      </c>
      <c r="I264" s="640">
        <f>IF(H264="free",0,IF(H264="credit",((E264*(F264))*G264*-1),IF(F264="Buy",(E264*G264),((E264*(1-F264))*G264))))</f>
        <v>0</v>
      </c>
      <c r="J264" s="640">
        <f>IF(H264="warranty",0,(I264*(_xlfn.SINGLE(SalesTaxPercentage))))</f>
        <v>0</v>
      </c>
      <c r="K264" s="716">
        <f t="shared" ref="K264" si="217">I264+J264</f>
        <v>0</v>
      </c>
      <c r="L264" s="716"/>
      <c r="M264" s="689" t="str">
        <f ca="1">IF(AND(G264&gt;0,E264=0),"WARNING - no PRICE inserted",IF(H264="free","FREE ~ no charge this plant",IF(H264="credit",CONCATENATE("-$",ROUND(K264*(1-_xlfn.SINGLE(T2GDiscount))*-1,2)," CREDIT after discount"),IF(_xlfn.SINGLE(T2GDiscount)=0,"",IF(G264=0,"",IF(F264="Buy",CONCATENATE("$",ROUND(K264*(1-_xlfn.SINGLE(T2GDiscount)),2)," with ",(_xlfn.SINGLE(T2GDiscount)*100),"% discount"),CONCATENATE("$",ROUND(K264*(1-_xlfn.SINGLE(T2GDiscount)),2)," with ",((_xlfn.SINGLE(T2GDiscount)*100+F264*100)-(_xlfn.SINGLE(T2GDiscount)*100*F264)),IF(F264&gt;0,"% discounts",IF(_xlfn.SINGLE(NoWarrantyDiscount)&gt;0,"% discounts","% discount")))))))))</f>
        <v/>
      </c>
      <c r="N264" s="690"/>
      <c r="O264" s="486"/>
      <c r="P264" s="486"/>
      <c r="Q264" s="486"/>
      <c r="R264" s="486"/>
      <c r="S264" s="486"/>
      <c r="T264" s="102">
        <f t="shared" si="170"/>
        <v>0</v>
      </c>
      <c r="U264" s="78">
        <f>IF(NOT(ISNUMBER(G264)), "", VLOOKUP(A264,'Discount Lookup'!D:E,2,FALSE)*G264)</f>
        <v>0</v>
      </c>
      <c r="V264" s="78">
        <f>IF(NOT(ISNUMBER(G264)), "", VLOOKUP(A264,'Discount Lookup'!G:H,2,FALSE)*G264)</f>
        <v>0</v>
      </c>
      <c r="W264" s="102">
        <f t="shared" si="171"/>
        <v>0</v>
      </c>
      <c r="X264" s="102">
        <f t="shared" si="172"/>
        <v>0</v>
      </c>
      <c r="Y264" s="120" t="b">
        <f t="shared" si="173"/>
        <v>0</v>
      </c>
      <c r="Z264" s="117">
        <f t="shared" si="174"/>
        <v>0</v>
      </c>
      <c r="AA264" s="118"/>
      <c r="AB264" s="118" t="str">
        <f t="shared" si="175"/>
        <v/>
      </c>
      <c r="AC264" s="712" t="str">
        <f>IF(AE264="T2G","no charge",IF(AND(OR(PlanterYesMe="No",PlanterYesMe="N",PlanterYesMe="me"),H264=""),"",IF(H264="credit","NO install",IF(AND(K264="",AE264="me"),"EACH row",IF(AND(K264="images",AE264="me"),"EACH row",IF(D264="","",IF(H264="credit","",IF(AE264="free","re-planting",IF(AE264="me","   not ELP, by",IF(AND(OR(PlanterYesMe="Yes",PlanterYesMe="Y"),G264&gt;0),(VLOOKUP(A264,'Discount Lookup'!J:K,2)*G264*(1-PlanterDiscount)*(1+PlanterDifficultyPercentage)),IF(AE264="ELP",(VLOOKUP(A264,'Discount Lookup'!J:K,2)*G264*(1-PlanterDiscount)*(1+PlanterDifficultyPercentage)),IF(AE264="free","re-planting",IF(G264=0,"",IF(PlanterYesMe="",IF(AE264="me","   not ELP, by",IF(AE264="",IF(G264&gt;0,(VLOOKUP(A264,'Discount Lookup'!J:K,2)*G264*(1-PlanterDiscount)*(1+PlanterDifficultyPercentage)),""),"")),"   not ELP, by"))))))))))))))</f>
        <v/>
      </c>
      <c r="AD264" s="712"/>
      <c r="AE264" s="513" t="str">
        <f t="shared" si="176"/>
        <v/>
      </c>
      <c r="AF264" s="713" t="str">
        <f t="shared" si="177"/>
        <v/>
      </c>
      <c r="AG264" s="713"/>
      <c r="AH264" s="713"/>
      <c r="AI264" s="112">
        <f>IF(H264="credit",0,IF(AE264="free",0,IF(AE264="me",0,IF(G264&gt;0,(VLOOKUP(A264,'Discount Lookup'!J:K,2)*G264),0))))</f>
        <v>0</v>
      </c>
      <c r="AJ264" s="107" t="str">
        <f t="shared" ca="1" si="178"/>
        <v/>
      </c>
      <c r="AK264" s="714" t="str">
        <f t="shared" si="179"/>
        <v/>
      </c>
      <c r="AL264" s="714"/>
      <c r="AM264" s="114" t="str">
        <f t="shared" si="180"/>
        <v/>
      </c>
      <c r="AN264" s="115"/>
      <c r="AO264" s="116"/>
      <c r="AP264" s="116"/>
      <c r="AQ264" s="116"/>
      <c r="AR264" s="116"/>
      <c r="AS264" s="116"/>
      <c r="AT264" s="116"/>
      <c r="AU264" s="116"/>
      <c r="AV264" s="78"/>
      <c r="AW264" s="102"/>
      <c r="AX264" s="78"/>
      <c r="AY264" s="78"/>
      <c r="AZ264" s="78"/>
      <c r="BA264" s="78"/>
      <c r="BB264" s="78"/>
      <c r="BC264" s="78"/>
      <c r="BD264" s="78"/>
      <c r="BE264" s="465"/>
      <c r="BF264" s="165" t="str">
        <f t="shared" si="181"/>
        <v>https://www.google.com/search?tbm=isch&amp;q=7%20G4</v>
      </c>
      <c r="BG264" s="165" t="str">
        <f t="shared" si="182"/>
        <v>A</v>
      </c>
      <c r="BH264" s="65"/>
      <c r="BI264" s="65"/>
      <c r="BJ264" s="65"/>
      <c r="BK264" s="65"/>
      <c r="BL264" s="99"/>
      <c r="BM264" s="99"/>
      <c r="BN264" s="99"/>
    </row>
    <row r="265" spans="1:66" s="51" customFormat="1" ht="15.75" x14ac:dyDescent="0.25">
      <c r="A265" s="634">
        <v>15</v>
      </c>
      <c r="B265" s="635" t="s">
        <v>291</v>
      </c>
      <c r="C265" s="636" t="s">
        <v>1386</v>
      </c>
      <c r="D265" s="637" t="s">
        <v>299</v>
      </c>
      <c r="E265" s="638">
        <v>178.95</v>
      </c>
      <c r="F265" s="639" t="s">
        <v>292</v>
      </c>
      <c r="G265" s="484">
        <v>0</v>
      </c>
      <c r="H265" s="691" t="str">
        <f>IF(G265=0,"",IF(F265="Buy",IF(G265=1,"plant","plants"),IF(F265&gt;0.01,"warranty","Error")))</f>
        <v/>
      </c>
      <c r="I265" s="640">
        <f>IF(H265="free",0,IF(H265="credit",((E265*(F265))*G265*-1),IF(F265="Buy",(E265*G265),((E265*(1-F265))*G265))))</f>
        <v>0</v>
      </c>
      <c r="J265" s="640">
        <f>IF(H265="warranty",0,(I265*(_xlfn.SINGLE(SalesTaxPercentage))))</f>
        <v>0</v>
      </c>
      <c r="K265" s="716">
        <f t="shared" ref="K265" si="218">I265+J265</f>
        <v>0</v>
      </c>
      <c r="L265" s="716"/>
      <c r="M265" s="689" t="str">
        <f ca="1">IF(AND(G265&gt;0,E265=0),"WARNING - no PRICE inserted",IF(H265="free","FREE ~ no charge this plant",IF(H265="credit",CONCATENATE("-$",ROUND(K265*(1-_xlfn.SINGLE(T2GDiscount))*-1,2)," CREDIT after discount"),IF(_xlfn.SINGLE(T2GDiscount)=0,"",IF(G265=0,"",IF(F265="Buy",CONCATENATE("$",ROUND(K265*(1-_xlfn.SINGLE(T2GDiscount)),2)," with ",(_xlfn.SINGLE(T2GDiscount)*100),"% discount"),CONCATENATE("$",ROUND(K265*(1-_xlfn.SINGLE(T2GDiscount)),2)," with ",((_xlfn.SINGLE(T2GDiscount)*100+F265*100)-(_xlfn.SINGLE(T2GDiscount)*100*F265)),IF(F265&gt;0,"% discounts",IF(_xlfn.SINGLE(NoWarrantyDiscount)&gt;0,"% discounts","% discount")))))))))</f>
        <v/>
      </c>
      <c r="N265" s="690"/>
      <c r="O265" s="486"/>
      <c r="P265" s="486"/>
      <c r="Q265" s="486"/>
      <c r="R265" s="486"/>
      <c r="S265" s="486"/>
      <c r="T265" s="102">
        <f t="shared" si="170"/>
        <v>0</v>
      </c>
      <c r="U265" s="78">
        <f>IF(NOT(ISNUMBER(G265)), "", VLOOKUP(A265,'Discount Lookup'!D:E,2,FALSE)*G265)</f>
        <v>0</v>
      </c>
      <c r="V265" s="78">
        <f>IF(NOT(ISNUMBER(G265)), "", VLOOKUP(A265,'Discount Lookup'!G:H,2,FALSE)*G265)</f>
        <v>0</v>
      </c>
      <c r="W265" s="102">
        <f t="shared" si="171"/>
        <v>0</v>
      </c>
      <c r="X265" s="102">
        <f t="shared" si="172"/>
        <v>0</v>
      </c>
      <c r="Y265" s="120" t="b">
        <f t="shared" si="173"/>
        <v>0</v>
      </c>
      <c r="Z265" s="117">
        <f t="shared" si="174"/>
        <v>0</v>
      </c>
      <c r="AA265" s="118"/>
      <c r="AB265" s="118" t="str">
        <f t="shared" si="175"/>
        <v/>
      </c>
      <c r="AC265" s="712" t="str">
        <f>IF(AE265="T2G","no charge",IF(AND(OR(PlanterYesMe="No",PlanterYesMe="N",PlanterYesMe="me"),H265=""),"",IF(H265="credit","NO install",IF(AND(K265="",AE265="me"),"EACH row",IF(AND(K265="images",AE265="me"),"EACH row",IF(D265="","",IF(H265="credit","",IF(AE265="free","re-planting",IF(AE265="me","   not ELP, by",IF(AND(OR(PlanterYesMe="Yes",PlanterYesMe="Y"),G265&gt;0),(VLOOKUP(A265,'Discount Lookup'!J:K,2)*G265*(1-PlanterDiscount)*(1+PlanterDifficultyPercentage)),IF(AE265="ELP",(VLOOKUP(A265,'Discount Lookup'!J:K,2)*G265*(1-PlanterDiscount)*(1+PlanterDifficultyPercentage)),IF(AE265="free","re-planting",IF(G265=0,"",IF(PlanterYesMe="",IF(AE265="me","   not ELP, by",IF(AE265="",IF(G265&gt;0,(VLOOKUP(A265,'Discount Lookup'!J:K,2)*G265*(1-PlanterDiscount)*(1+PlanterDifficultyPercentage)),""),"")),"   not ELP, by"))))))))))))))</f>
        <v/>
      </c>
      <c r="AD265" s="712"/>
      <c r="AE265" s="513" t="str">
        <f t="shared" si="176"/>
        <v/>
      </c>
      <c r="AF265" s="713" t="str">
        <f t="shared" si="177"/>
        <v/>
      </c>
      <c r="AG265" s="713"/>
      <c r="AH265" s="713"/>
      <c r="AI265" s="112">
        <f>IF(H265="credit",0,IF(AE265="free",0,IF(AE265="me",0,IF(G265&gt;0,(VLOOKUP(A265,'Discount Lookup'!J:K,2)*G265),0))))</f>
        <v>0</v>
      </c>
      <c r="AJ265" s="107" t="str">
        <f t="shared" ca="1" si="178"/>
        <v/>
      </c>
      <c r="AK265" s="714" t="str">
        <f t="shared" si="179"/>
        <v/>
      </c>
      <c r="AL265" s="714"/>
      <c r="AM265" s="114" t="str">
        <f t="shared" si="180"/>
        <v/>
      </c>
      <c r="AN265" s="115"/>
      <c r="AO265" s="116"/>
      <c r="AP265" s="116"/>
      <c r="AQ265" s="116"/>
      <c r="AR265" s="116"/>
      <c r="AS265" s="116"/>
      <c r="AT265" s="116"/>
      <c r="AU265" s="116"/>
      <c r="AV265" s="78"/>
      <c r="AW265" s="102"/>
      <c r="AX265" s="78"/>
      <c r="AY265" s="78"/>
      <c r="AZ265" s="78"/>
      <c r="BA265" s="78"/>
      <c r="BB265" s="78"/>
      <c r="BC265" s="78"/>
      <c r="BD265" s="78"/>
      <c r="BE265" s="465"/>
      <c r="BF265" s="165" t="str">
        <f t="shared" si="181"/>
        <v>https://www.google.com/search?tbm=isch&amp;q=15%20G4</v>
      </c>
      <c r="BG265" s="165" t="str">
        <f t="shared" si="182"/>
        <v>A</v>
      </c>
      <c r="BH265" s="65"/>
      <c r="BI265" s="65"/>
      <c r="BJ265" s="65"/>
      <c r="BK265" s="65"/>
      <c r="BL265" s="99"/>
      <c r="BM265" s="99"/>
      <c r="BN265" s="99"/>
    </row>
    <row r="266" spans="1:66" s="51" customFormat="1" ht="27" x14ac:dyDescent="0.25">
      <c r="A266" s="634">
        <v>25</v>
      </c>
      <c r="B266" s="635" t="s">
        <v>291</v>
      </c>
      <c r="C266" s="636" t="s">
        <v>1387</v>
      </c>
      <c r="D266" s="637" t="s">
        <v>299</v>
      </c>
      <c r="E266" s="638">
        <v>293.95</v>
      </c>
      <c r="F266" s="639" t="s">
        <v>292</v>
      </c>
      <c r="G266" s="484">
        <v>0</v>
      </c>
      <c r="H266" s="691" t="str">
        <f>IF(G266=0,"",IF(F266="Buy",IF(G266=1,"plant","plants"),IF(F266&gt;0.01,"warranty","Error")))</f>
        <v/>
      </c>
      <c r="I266" s="640">
        <f>IF(H266="free",0,IF(H266="credit",((E266*(F266))*G266*-1),IF(F266="Buy",(E266*G266),((E266*(1-F266))*G266))))</f>
        <v>0</v>
      </c>
      <c r="J266" s="640">
        <f>IF(H266="warranty",0,(I266*(_xlfn.SINGLE(SalesTaxPercentage))))</f>
        <v>0</v>
      </c>
      <c r="K266" s="716">
        <f t="shared" ref="K266" si="219">I266+J266</f>
        <v>0</v>
      </c>
      <c r="L266" s="716"/>
      <c r="M266" s="689" t="str">
        <f ca="1">IF(AND(G266&gt;0,E266=0),"WARNING - no PRICE inserted",IF(H266="free","FREE ~ no charge this plant",IF(H266="credit",CONCATENATE("-$",ROUND(K266*(1-_xlfn.SINGLE(T2GDiscount))*-1,2)," CREDIT after discount"),IF(_xlfn.SINGLE(T2GDiscount)=0,"",IF(G266=0,"",IF(F266="Buy",CONCATENATE("$",ROUND(K266*(1-_xlfn.SINGLE(T2GDiscount)),2)," with ",(_xlfn.SINGLE(T2GDiscount)*100),"% discount"),CONCATENATE("$",ROUND(K266*(1-_xlfn.SINGLE(T2GDiscount)),2)," with ",((_xlfn.SINGLE(T2GDiscount)*100+F266*100)-(_xlfn.SINGLE(T2GDiscount)*100*F266)),IF(F266&gt;0,"% discounts",IF(_xlfn.SINGLE(NoWarrantyDiscount)&gt;0,"% discounts","% discount")))))))))</f>
        <v/>
      </c>
      <c r="N266" s="690"/>
      <c r="O266" s="486"/>
      <c r="P266" s="486"/>
      <c r="Q266" s="486"/>
      <c r="R266" s="486"/>
      <c r="S266" s="486"/>
      <c r="T266" s="102">
        <f t="shared" si="170"/>
        <v>0</v>
      </c>
      <c r="U266" s="78">
        <f>IF(NOT(ISNUMBER(G266)), "", VLOOKUP(A266,'Discount Lookup'!D:E,2,FALSE)*G266)</f>
        <v>0</v>
      </c>
      <c r="V266" s="78">
        <f>IF(NOT(ISNUMBER(G266)), "", VLOOKUP(A266,'Discount Lookup'!G:H,2,FALSE)*G266)</f>
        <v>0</v>
      </c>
      <c r="W266" s="102">
        <f t="shared" si="171"/>
        <v>0</v>
      </c>
      <c r="X266" s="102">
        <f t="shared" si="172"/>
        <v>0</v>
      </c>
      <c r="Y266" s="120" t="b">
        <f t="shared" si="173"/>
        <v>0</v>
      </c>
      <c r="Z266" s="117">
        <f t="shared" si="174"/>
        <v>0</v>
      </c>
      <c r="AA266" s="118"/>
      <c r="AB266" s="118" t="str">
        <f t="shared" si="175"/>
        <v/>
      </c>
      <c r="AC266" s="712" t="str">
        <f>IF(AE266="T2G","no charge",IF(AND(OR(PlanterYesMe="No",PlanterYesMe="N",PlanterYesMe="me"),H266=""),"",IF(H266="credit","NO install",IF(AND(K266="",AE266="me"),"EACH row",IF(AND(K266="images",AE266="me"),"EACH row",IF(D266="","",IF(H266="credit","",IF(AE266="free","re-planting",IF(AE266="me","   not ELP, by",IF(AND(OR(PlanterYesMe="Yes",PlanterYesMe="Y"),G266&gt;0),(VLOOKUP(A266,'Discount Lookup'!J:K,2)*G266*(1-PlanterDiscount)*(1+PlanterDifficultyPercentage)),IF(AE266="ELP",(VLOOKUP(A266,'Discount Lookup'!J:K,2)*G266*(1-PlanterDiscount)*(1+PlanterDifficultyPercentage)),IF(AE266="free","re-planting",IF(G266=0,"",IF(PlanterYesMe="",IF(AE266="me","   not ELP, by",IF(AE266="",IF(G266&gt;0,(VLOOKUP(A266,'Discount Lookup'!J:K,2)*G266*(1-PlanterDiscount)*(1+PlanterDifficultyPercentage)),""),"")),"   not ELP, by"))))))))))))))</f>
        <v/>
      </c>
      <c r="AD266" s="712"/>
      <c r="AE266" s="513" t="str">
        <f t="shared" si="176"/>
        <v/>
      </c>
      <c r="AF266" s="713" t="str">
        <f t="shared" si="177"/>
        <v/>
      </c>
      <c r="AG266" s="713"/>
      <c r="AH266" s="713"/>
      <c r="AI266" s="112">
        <f>IF(H266="credit",0,IF(AE266="free",0,IF(AE266="me",0,IF(G266&gt;0,(VLOOKUP(A266,'Discount Lookup'!J:K,2)*G266),0))))</f>
        <v>0</v>
      </c>
      <c r="AJ266" s="107" t="str">
        <f t="shared" ca="1" si="178"/>
        <v/>
      </c>
      <c r="AK266" s="714" t="str">
        <f t="shared" si="179"/>
        <v/>
      </c>
      <c r="AL266" s="714"/>
      <c r="AM266" s="114" t="str">
        <f t="shared" si="180"/>
        <v/>
      </c>
      <c r="AN266" s="115"/>
      <c r="AO266" s="116"/>
      <c r="AP266" s="116"/>
      <c r="AQ266" s="116"/>
      <c r="AR266" s="116"/>
      <c r="AS266" s="116"/>
      <c r="AT266" s="116"/>
      <c r="AU266" s="116"/>
      <c r="AV266" s="78"/>
      <c r="AW266" s="102"/>
      <c r="AX266" s="78"/>
      <c r="AY266" s="78"/>
      <c r="AZ266" s="78"/>
      <c r="BA266" s="78"/>
      <c r="BB266" s="78"/>
      <c r="BC266" s="78"/>
      <c r="BD266" s="78"/>
      <c r="BE266" s="465"/>
      <c r="BF266" s="165" t="str">
        <f t="shared" si="181"/>
        <v>https://www.google.com/search?tbm=isch&amp;q=25%20G4</v>
      </c>
      <c r="BG266" s="165" t="str">
        <f t="shared" si="182"/>
        <v>A</v>
      </c>
      <c r="BH266" s="65"/>
      <c r="BI266" s="65"/>
      <c r="BJ266" s="65"/>
      <c r="BK266" s="65"/>
      <c r="BL266" s="99"/>
      <c r="BM266" s="99"/>
      <c r="BN266" s="99"/>
    </row>
    <row r="267" spans="1:66" s="51" customFormat="1" ht="17.25" thickBot="1" x14ac:dyDescent="0.3">
      <c r="A267" s="704" t="s">
        <v>5318</v>
      </c>
      <c r="B267" s="642"/>
      <c r="C267" s="710"/>
      <c r="D267" s="643"/>
      <c r="E267" s="643"/>
      <c r="F267" s="644"/>
      <c r="G267" s="645"/>
      <c r="H267" s="646"/>
      <c r="I267" s="647"/>
      <c r="J267" s="648"/>
      <c r="K267" s="649"/>
      <c r="L267" s="650"/>
      <c r="M267" s="650"/>
      <c r="N267" s="644"/>
      <c r="O267" s="644"/>
      <c r="P267" s="644"/>
      <c r="Q267" s="644"/>
      <c r="R267" s="644"/>
      <c r="S267" s="701" t="s">
        <v>5251</v>
      </c>
      <c r="T267" s="102">
        <f t="shared" si="170"/>
        <v>0</v>
      </c>
      <c r="U267" s="78" t="str">
        <f>IF(NOT(ISNUMBER(G267)), "", VLOOKUP(A267,'Discount Lookup'!D:E,2,FALSE)*G267)</f>
        <v/>
      </c>
      <c r="V267" s="78" t="str">
        <f>IF(NOT(ISNUMBER(G267)), "", VLOOKUP(A267,'Discount Lookup'!G:H,2,FALSE)*G267)</f>
        <v/>
      </c>
      <c r="W267" s="102">
        <f t="shared" si="171"/>
        <v>0</v>
      </c>
      <c r="X267" s="102">
        <f t="shared" si="172"/>
        <v>0</v>
      </c>
      <c r="Y267" s="120" t="b">
        <f t="shared" si="173"/>
        <v>0</v>
      </c>
      <c r="Z267" s="117">
        <f t="shared" si="174"/>
        <v>0</v>
      </c>
      <c r="AA267" s="118"/>
      <c r="AB267" s="118" t="str">
        <f t="shared" si="175"/>
        <v/>
      </c>
      <c r="AC267" s="712" t="str">
        <f>IF(AE267="T2G","no charge",IF(AND(OR(PlanterYesMe="No",PlanterYesMe="N",PlanterYesMe="me"),H267=""),"",IF(H267="credit","NO install",IF(AND(K267="",AE267="me"),"EACH row",IF(AND(K267="images",AE267="me"),"EACH row",IF(D267="","",IF(H267="credit","",IF(AE267="free","re-planting",IF(AE267="me","   not ELP, by",IF(AND(OR(PlanterYesMe="Yes",PlanterYesMe="Y"),G267&gt;0),(VLOOKUP(A267,'Discount Lookup'!J:K,2)*G267*(1-PlanterDiscount)*(1+PlanterDifficultyPercentage)),IF(AE267="ELP",(VLOOKUP(A267,'Discount Lookup'!J:K,2)*G267*(1-PlanterDiscount)*(1+PlanterDifficultyPercentage)),IF(AE267="free","re-planting",IF(G267=0,"",IF(PlanterYesMe="",IF(AE267="me","   not ELP, by",IF(AE267="",IF(G267&gt;0,(VLOOKUP(A267,'Discount Lookup'!J:K,2)*G267*(1-PlanterDiscount)*(1+PlanterDifficultyPercentage)),""),"")),"   not ELP, by"))))))))))))))</f>
        <v/>
      </c>
      <c r="AD267" s="712"/>
      <c r="AE267" s="513" t="str">
        <f t="shared" si="176"/>
        <v/>
      </c>
      <c r="AF267" s="713" t="str">
        <f t="shared" si="177"/>
        <v/>
      </c>
      <c r="AG267" s="713"/>
      <c r="AH267" s="713"/>
      <c r="AI267" s="112">
        <f>IF(H267="credit",0,IF(AE267="free",0,IF(AE267="me",0,IF(G267&gt;0,(VLOOKUP(A267,'Discount Lookup'!J:K,2)*G267),0))))</f>
        <v>0</v>
      </c>
      <c r="AJ267" s="107" t="str">
        <f t="shared" ca="1" si="178"/>
        <v/>
      </c>
      <c r="AK267" s="714" t="str">
        <f t="shared" si="179"/>
        <v/>
      </c>
      <c r="AL267" s="714"/>
      <c r="AM267" s="114" t="str">
        <f t="shared" si="180"/>
        <v/>
      </c>
      <c r="AN267" s="115"/>
      <c r="AO267" s="116"/>
      <c r="AP267" s="116"/>
      <c r="AQ267" s="116"/>
      <c r="AR267" s="116"/>
      <c r="AS267" s="116"/>
      <c r="AT267" s="116"/>
      <c r="AU267" s="116"/>
      <c r="AV267" s="78"/>
      <c r="AW267" s="102"/>
      <c r="AX267" s="78"/>
      <c r="AY267" s="78"/>
      <c r="AZ267" s="78"/>
      <c r="BA267" s="78"/>
      <c r="BB267" s="78"/>
      <c r="BC267" s="78"/>
      <c r="BD267" s="78"/>
      <c r="BE267" s="465"/>
      <c r="BF267" s="165" t="str">
        <f t="shared" si="181"/>
        <v>https://www.google.com/search?tbm=isch&amp;q=moist%20sites%F0%9F%92%A7BEST%2C%20October%20Glory%20are%20all%20female.%20Very%20late%20and%20long%20lasting%20fall%20display%20is%20an%20intense%20Orange%20to%20Reddish-Purple%20</v>
      </c>
      <c r="BG267" s="165" t="str">
        <f t="shared" si="182"/>
        <v>m</v>
      </c>
      <c r="BH267" s="65"/>
      <c r="BI267" s="65"/>
      <c r="BJ267" s="65"/>
      <c r="BK267" s="65"/>
      <c r="BL267" s="99"/>
      <c r="BM267" s="99"/>
      <c r="BN267" s="99"/>
    </row>
    <row r="268" spans="1:66" s="51" customFormat="1" ht="18" x14ac:dyDescent="0.25">
      <c r="A268" s="623" t="s">
        <v>1388</v>
      </c>
      <c r="B268" s="624"/>
      <c r="C268" s="709"/>
      <c r="D268" s="625" t="s">
        <v>1389</v>
      </c>
      <c r="E268" s="626"/>
      <c r="F268" s="626"/>
      <c r="G268" s="626"/>
      <c r="H268" s="622" t="s">
        <v>1390</v>
      </c>
      <c r="I268" s="627" t="s">
        <v>440</v>
      </c>
      <c r="J268" s="628"/>
      <c r="K268" s="628"/>
      <c r="L268" s="629"/>
      <c r="M268" s="700" t="s">
        <v>5241</v>
      </c>
      <c r="N268" s="693" t="str">
        <f>IF(AND(ISTEXT($A268), ISERROR($A268+0)), HYPERLINK($BF268, "Images"), "")</f>
        <v>Images</v>
      </c>
      <c r="O268" s="695" t="s">
        <v>5247</v>
      </c>
      <c r="P268" s="630"/>
      <c r="Q268" s="631"/>
      <c r="R268" s="632"/>
      <c r="S268" s="633" t="s">
        <v>294</v>
      </c>
      <c r="T268" s="102">
        <f t="shared" si="170"/>
        <v>0</v>
      </c>
      <c r="U268" s="78" t="str">
        <f>IF(NOT(ISNUMBER(G268)), "", VLOOKUP(A268,'Discount Lookup'!D:E,2,FALSE)*G268)</f>
        <v/>
      </c>
      <c r="V268" s="78" t="str">
        <f>IF(NOT(ISNUMBER(G268)), "", VLOOKUP(A268,'Discount Lookup'!G:H,2,FALSE)*G268)</f>
        <v/>
      </c>
      <c r="W268" s="102">
        <f t="shared" si="171"/>
        <v>0</v>
      </c>
      <c r="X268" s="102" t="str">
        <f t="shared" si="172"/>
        <v>Rich Green foliage</v>
      </c>
      <c r="Y268" s="120" t="b">
        <f t="shared" si="173"/>
        <v>0</v>
      </c>
      <c r="Z268" s="117">
        <f t="shared" si="174"/>
        <v>0</v>
      </c>
      <c r="AA268" s="118"/>
      <c r="AB268" s="118" t="str">
        <f t="shared" si="175"/>
        <v/>
      </c>
      <c r="AC268" s="712" t="str">
        <f>IF(AE268="T2G","no charge",IF(AND(OR(PlanterYesMe="No",PlanterYesMe="N",PlanterYesMe="me"),H268=""),"",IF(H268="credit","NO install",IF(AND(K268="",AE268="me"),"EACH row",IF(AND(K268="images",AE268="me"),"EACH row",IF(D268="","",IF(H268="credit","",IF(AE268="free","re-planting",IF(AE268="me","   not ELP, by",IF(AND(OR(PlanterYesMe="Yes",PlanterYesMe="Y"),G268&gt;0),(VLOOKUP(A268,'Discount Lookup'!J:K,2)*G268*(1-PlanterDiscount)*(1+PlanterDifficultyPercentage)),IF(AE268="ELP",(VLOOKUP(A268,'Discount Lookup'!J:K,2)*G268*(1-PlanterDiscount)*(1+PlanterDifficultyPercentage)),IF(AE268="free","re-planting",IF(G268=0,"",IF(PlanterYesMe="",IF(AE268="me","   not ELP, by",IF(AE268="",IF(G268&gt;0,(VLOOKUP(A268,'Discount Lookup'!J:K,2)*G268*(1-PlanterDiscount)*(1+PlanterDifficultyPercentage)),""),"")),"   not ELP, by"))))))))))))))</f>
        <v/>
      </c>
      <c r="AD268" s="712"/>
      <c r="AE268" s="513" t="str">
        <f t="shared" si="176"/>
        <v/>
      </c>
      <c r="AF268" s="713" t="str">
        <f t="shared" si="177"/>
        <v/>
      </c>
      <c r="AG268" s="713"/>
      <c r="AH268" s="713"/>
      <c r="AI268" s="112">
        <f>IF(H268="credit",0,IF(AE268="free",0,IF(AE268="me",0,IF(G268&gt;0,(VLOOKUP(A268,'Discount Lookup'!J:K,2)*G268),0))))</f>
        <v>0</v>
      </c>
      <c r="AJ268" s="107" t="str">
        <f t="shared" ca="1" si="178"/>
        <v/>
      </c>
      <c r="AK268" s="714" t="str">
        <f t="shared" si="179"/>
        <v/>
      </c>
      <c r="AL268" s="714"/>
      <c r="AM268" s="114" t="str">
        <f t="shared" si="180"/>
        <v/>
      </c>
      <c r="AN268" s="115"/>
      <c r="AO268" s="116"/>
      <c r="AP268" s="116"/>
      <c r="AQ268" s="116"/>
      <c r="AR268" s="116"/>
      <c r="AS268" s="116"/>
      <c r="AT268" s="116"/>
      <c r="AU268" s="116"/>
      <c r="AV268" s="78"/>
      <c r="AW268" s="102"/>
      <c r="AX268" s="78"/>
      <c r="AY268" s="78"/>
      <c r="AZ268" s="78"/>
      <c r="BA268" s="78"/>
      <c r="BB268" s="78"/>
      <c r="BC268" s="78"/>
      <c r="BD268" s="78"/>
      <c r="BE268" s="465"/>
      <c r="BF268" s="165" t="str">
        <f t="shared" si="181"/>
        <v>https://www.google.com/search?tbm=isch&amp;q=Acer%20rubrum%20%27Sun%20Valley%27%20Sun%20Valley%20Red%20Maple</v>
      </c>
      <c r="BG268" s="165" t="str">
        <f t="shared" si="182"/>
        <v>A</v>
      </c>
      <c r="BH268" s="65"/>
      <c r="BI268" s="65"/>
      <c r="BJ268" s="65"/>
      <c r="BK268" s="65"/>
      <c r="BL268" s="99"/>
      <c r="BM268" s="99"/>
      <c r="BN268" s="99"/>
    </row>
    <row r="269" spans="1:66" s="51" customFormat="1" ht="15.75" x14ac:dyDescent="0.25">
      <c r="A269" s="634">
        <v>7</v>
      </c>
      <c r="B269" s="635" t="s">
        <v>291</v>
      </c>
      <c r="C269" s="636" t="s">
        <v>1391</v>
      </c>
      <c r="D269" s="637" t="s">
        <v>299</v>
      </c>
      <c r="E269" s="638">
        <v>100.95</v>
      </c>
      <c r="F269" s="639" t="s">
        <v>292</v>
      </c>
      <c r="G269" s="484">
        <v>0</v>
      </c>
      <c r="H269" s="691" t="str">
        <f>IF(G269=0,"",IF(F269="Buy",IF(G269=1,"plant","plants"),IF(F269&gt;0.01,"warranty","Error")))</f>
        <v/>
      </c>
      <c r="I269" s="640">
        <f>IF(H269="free",0,IF(H269="credit",((E269*(F269))*G269*-1),IF(F269="Buy",(E269*G269),((E269*(1-F269))*G269))))</f>
        <v>0</v>
      </c>
      <c r="J269" s="640">
        <f>IF(H269="warranty",0,(I269*(_xlfn.SINGLE(SalesTaxPercentage))))</f>
        <v>0</v>
      </c>
      <c r="K269" s="716">
        <f t="shared" ref="K269" si="220">I269+J269</f>
        <v>0</v>
      </c>
      <c r="L269" s="716"/>
      <c r="M269" s="689" t="str">
        <f ca="1">IF(AND(G269&gt;0,E269=0),"WARNING - no PRICE inserted",IF(H269="free","FREE ~ no charge this plant",IF(H269="credit",CONCATENATE("-$",ROUND(K269*(1-_xlfn.SINGLE(T2GDiscount))*-1,2)," CREDIT after discount"),IF(_xlfn.SINGLE(T2GDiscount)=0,"",IF(G269=0,"",IF(F269="Buy",CONCATENATE("$",ROUND(K269*(1-_xlfn.SINGLE(T2GDiscount)),2)," with ",(_xlfn.SINGLE(T2GDiscount)*100),"% discount"),CONCATENATE("$",ROUND(K269*(1-_xlfn.SINGLE(T2GDiscount)),2)," with ",((_xlfn.SINGLE(T2GDiscount)*100+F269*100)-(_xlfn.SINGLE(T2GDiscount)*100*F269)),IF(F269&gt;0,"% discounts",IF(_xlfn.SINGLE(NoWarrantyDiscount)&gt;0,"% discounts","% discount")))))))))</f>
        <v/>
      </c>
      <c r="N269" s="690"/>
      <c r="O269" s="486"/>
      <c r="P269" s="486"/>
      <c r="Q269" s="486"/>
      <c r="R269" s="486"/>
      <c r="S269" s="486"/>
      <c r="T269" s="102">
        <f t="shared" si="170"/>
        <v>0</v>
      </c>
      <c r="U269" s="78">
        <f>IF(NOT(ISNUMBER(G269)), "", VLOOKUP(A269,'Discount Lookup'!D:E,2,FALSE)*G269)</f>
        <v>0</v>
      </c>
      <c r="V269" s="78">
        <f>IF(NOT(ISNUMBER(G269)), "", VLOOKUP(A269,'Discount Lookup'!G:H,2,FALSE)*G269)</f>
        <v>0</v>
      </c>
      <c r="W269" s="102">
        <f t="shared" si="171"/>
        <v>0</v>
      </c>
      <c r="X269" s="102">
        <f t="shared" si="172"/>
        <v>0</v>
      </c>
      <c r="Y269" s="120" t="b">
        <f t="shared" si="173"/>
        <v>0</v>
      </c>
      <c r="Z269" s="117">
        <f t="shared" si="174"/>
        <v>0</v>
      </c>
      <c r="AA269" s="118"/>
      <c r="AB269" s="118" t="str">
        <f t="shared" si="175"/>
        <v/>
      </c>
      <c r="AC269" s="712" t="str">
        <f>IF(AE269="T2G","no charge",IF(AND(OR(PlanterYesMe="No",PlanterYesMe="N",PlanterYesMe="me"),H269=""),"",IF(H269="credit","NO install",IF(AND(K269="",AE269="me"),"EACH row",IF(AND(K269="images",AE269="me"),"EACH row",IF(D269="","",IF(H269="credit","",IF(AE269="free","re-planting",IF(AE269="me","   not ELP, by",IF(AND(OR(PlanterYesMe="Yes",PlanterYesMe="Y"),G269&gt;0),(VLOOKUP(A269,'Discount Lookup'!J:K,2)*G269*(1-PlanterDiscount)*(1+PlanterDifficultyPercentage)),IF(AE269="ELP",(VLOOKUP(A269,'Discount Lookup'!J:K,2)*G269*(1-PlanterDiscount)*(1+PlanterDifficultyPercentage)),IF(AE269="free","re-planting",IF(G269=0,"",IF(PlanterYesMe="",IF(AE269="me","   not ELP, by",IF(AE269="",IF(G269&gt;0,(VLOOKUP(A269,'Discount Lookup'!J:K,2)*G269*(1-PlanterDiscount)*(1+PlanterDifficultyPercentage)),""),"")),"   not ELP, by"))))))))))))))</f>
        <v/>
      </c>
      <c r="AD269" s="712"/>
      <c r="AE269" s="513" t="str">
        <f t="shared" si="176"/>
        <v/>
      </c>
      <c r="AF269" s="713" t="str">
        <f t="shared" si="177"/>
        <v/>
      </c>
      <c r="AG269" s="713"/>
      <c r="AH269" s="713"/>
      <c r="AI269" s="112">
        <f>IF(H269="credit",0,IF(AE269="free",0,IF(AE269="me",0,IF(G269&gt;0,(VLOOKUP(A269,'Discount Lookup'!J:K,2)*G269),0))))</f>
        <v>0</v>
      </c>
      <c r="AJ269" s="107" t="str">
        <f t="shared" ca="1" si="178"/>
        <v/>
      </c>
      <c r="AK269" s="714" t="str">
        <f t="shared" si="179"/>
        <v/>
      </c>
      <c r="AL269" s="714"/>
      <c r="AM269" s="114" t="str">
        <f t="shared" si="180"/>
        <v/>
      </c>
      <c r="AN269" s="115"/>
      <c r="AO269" s="116"/>
      <c r="AP269" s="116"/>
      <c r="AQ269" s="116"/>
      <c r="AR269" s="116"/>
      <c r="AS269" s="116"/>
      <c r="AT269" s="116"/>
      <c r="AU269" s="116"/>
      <c r="AV269" s="78"/>
      <c r="AW269" s="102"/>
      <c r="AX269" s="78"/>
      <c r="AY269" s="78"/>
      <c r="AZ269" s="78"/>
      <c r="BA269" s="78"/>
      <c r="BB269" s="78"/>
      <c r="BC269" s="78"/>
      <c r="BD269" s="78"/>
      <c r="BE269" s="465"/>
      <c r="BF269" s="165" t="str">
        <f t="shared" si="181"/>
        <v>https://www.google.com/search?tbm=isch&amp;q=7%20G4</v>
      </c>
      <c r="BG269" s="165" t="str">
        <f t="shared" si="182"/>
        <v>A</v>
      </c>
      <c r="BH269" s="65"/>
      <c r="BI269" s="65"/>
      <c r="BJ269" s="65"/>
      <c r="BK269" s="65"/>
      <c r="BL269" s="99"/>
      <c r="BM269" s="99"/>
      <c r="BN269" s="99"/>
    </row>
    <row r="270" spans="1:66" s="51" customFormat="1" ht="15.75" x14ac:dyDescent="0.25">
      <c r="A270" s="634">
        <v>15</v>
      </c>
      <c r="B270" s="635" t="s">
        <v>291</v>
      </c>
      <c r="C270" s="636" t="s">
        <v>1392</v>
      </c>
      <c r="D270" s="637" t="s">
        <v>299</v>
      </c>
      <c r="E270" s="638">
        <v>178.95</v>
      </c>
      <c r="F270" s="639" t="s">
        <v>292</v>
      </c>
      <c r="G270" s="484">
        <v>0</v>
      </c>
      <c r="H270" s="691" t="str">
        <f>IF(G270=0,"",IF(F270="Buy",IF(G270=1,"plant","plants"),IF(F270&gt;0.01,"warranty","Error")))</f>
        <v/>
      </c>
      <c r="I270" s="640">
        <f>IF(H270="free",0,IF(H270="credit",((E270*(F270))*G270*-1),IF(F270="Buy",(E270*G270),((E270*(1-F270))*G270))))</f>
        <v>0</v>
      </c>
      <c r="J270" s="640">
        <f>IF(H270="warranty",0,(I270*(_xlfn.SINGLE(SalesTaxPercentage))))</f>
        <v>0</v>
      </c>
      <c r="K270" s="716">
        <f t="shared" ref="K270" si="221">I270+J270</f>
        <v>0</v>
      </c>
      <c r="L270" s="716"/>
      <c r="M270" s="689" t="str">
        <f ca="1">IF(AND(G270&gt;0,E270=0),"WARNING - no PRICE inserted",IF(H270="free","FREE ~ no charge this plant",IF(H270="credit",CONCATENATE("-$",ROUND(K270*(1-_xlfn.SINGLE(T2GDiscount))*-1,2)," CREDIT after discount"),IF(_xlfn.SINGLE(T2GDiscount)=0,"",IF(G270=0,"",IF(F270="Buy",CONCATENATE("$",ROUND(K270*(1-_xlfn.SINGLE(T2GDiscount)),2)," with ",(_xlfn.SINGLE(T2GDiscount)*100),"% discount"),CONCATENATE("$",ROUND(K270*(1-_xlfn.SINGLE(T2GDiscount)),2)," with ",((_xlfn.SINGLE(T2GDiscount)*100+F270*100)-(_xlfn.SINGLE(T2GDiscount)*100*F270)),IF(F270&gt;0,"% discounts",IF(_xlfn.SINGLE(NoWarrantyDiscount)&gt;0,"% discounts","% discount")))))))))</f>
        <v/>
      </c>
      <c r="N270" s="690"/>
      <c r="O270" s="486"/>
      <c r="P270" s="486"/>
      <c r="Q270" s="486"/>
      <c r="R270" s="486"/>
      <c r="S270" s="486"/>
      <c r="T270" s="102">
        <f t="shared" si="170"/>
        <v>0</v>
      </c>
      <c r="U270" s="78">
        <f>IF(NOT(ISNUMBER(G270)), "", VLOOKUP(A270,'Discount Lookup'!D:E,2,FALSE)*G270)</f>
        <v>0</v>
      </c>
      <c r="V270" s="78">
        <f>IF(NOT(ISNUMBER(G270)), "", VLOOKUP(A270,'Discount Lookup'!G:H,2,FALSE)*G270)</f>
        <v>0</v>
      </c>
      <c r="W270" s="102">
        <f t="shared" si="171"/>
        <v>0</v>
      </c>
      <c r="X270" s="102">
        <f t="shared" si="172"/>
        <v>0</v>
      </c>
      <c r="Y270" s="120" t="b">
        <f t="shared" si="173"/>
        <v>0</v>
      </c>
      <c r="Z270" s="117">
        <f t="shared" si="174"/>
        <v>0</v>
      </c>
      <c r="AA270" s="118"/>
      <c r="AB270" s="118" t="str">
        <f t="shared" si="175"/>
        <v/>
      </c>
      <c r="AC270" s="712" t="str">
        <f>IF(AE270="T2G","no charge",IF(AND(OR(PlanterYesMe="No",PlanterYesMe="N",PlanterYesMe="me"),H270=""),"",IF(H270="credit","NO install",IF(AND(K270="",AE270="me"),"EACH row",IF(AND(K270="images",AE270="me"),"EACH row",IF(D270="","",IF(H270="credit","",IF(AE270="free","re-planting",IF(AE270="me","   not ELP, by",IF(AND(OR(PlanterYesMe="Yes",PlanterYesMe="Y"),G270&gt;0),(VLOOKUP(A270,'Discount Lookup'!J:K,2)*G270*(1-PlanterDiscount)*(1+PlanterDifficultyPercentage)),IF(AE270="ELP",(VLOOKUP(A270,'Discount Lookup'!J:K,2)*G270*(1-PlanterDiscount)*(1+PlanterDifficultyPercentage)),IF(AE270="free","re-planting",IF(G270=0,"",IF(PlanterYesMe="",IF(AE270="me","   not ELP, by",IF(AE270="",IF(G270&gt;0,(VLOOKUP(A270,'Discount Lookup'!J:K,2)*G270*(1-PlanterDiscount)*(1+PlanterDifficultyPercentage)),""),"")),"   not ELP, by"))))))))))))))</f>
        <v/>
      </c>
      <c r="AD270" s="712"/>
      <c r="AE270" s="513" t="str">
        <f t="shared" si="176"/>
        <v/>
      </c>
      <c r="AF270" s="713" t="str">
        <f t="shared" si="177"/>
        <v/>
      </c>
      <c r="AG270" s="713"/>
      <c r="AH270" s="713"/>
      <c r="AI270" s="112">
        <f>IF(H270="credit",0,IF(AE270="free",0,IF(AE270="me",0,IF(G270&gt;0,(VLOOKUP(A270,'Discount Lookup'!J:K,2)*G270),0))))</f>
        <v>0</v>
      </c>
      <c r="AJ270" s="107" t="str">
        <f t="shared" ca="1" si="178"/>
        <v/>
      </c>
      <c r="AK270" s="714" t="str">
        <f t="shared" si="179"/>
        <v/>
      </c>
      <c r="AL270" s="714"/>
      <c r="AM270" s="114" t="str">
        <f t="shared" si="180"/>
        <v/>
      </c>
      <c r="AN270" s="115"/>
      <c r="AO270" s="116"/>
      <c r="AP270" s="116"/>
      <c r="AQ270" s="116"/>
      <c r="AR270" s="116"/>
      <c r="AS270" s="116"/>
      <c r="AT270" s="116"/>
      <c r="AU270" s="116"/>
      <c r="AV270" s="78"/>
      <c r="AW270" s="102"/>
      <c r="AX270" s="78"/>
      <c r="AY270" s="78"/>
      <c r="AZ270" s="78"/>
      <c r="BA270" s="78"/>
      <c r="BB270" s="78"/>
      <c r="BC270" s="78"/>
      <c r="BD270" s="78"/>
      <c r="BE270" s="465"/>
      <c r="BF270" s="165" t="str">
        <f t="shared" si="181"/>
        <v>https://www.google.com/search?tbm=isch&amp;q=15%20G4</v>
      </c>
      <c r="BG270" s="165" t="str">
        <f t="shared" si="182"/>
        <v>A</v>
      </c>
      <c r="BH270" s="65"/>
      <c r="BI270" s="65"/>
      <c r="BJ270" s="65"/>
      <c r="BK270" s="65"/>
      <c r="BL270" s="99"/>
      <c r="BM270" s="99"/>
      <c r="BN270" s="99"/>
    </row>
    <row r="271" spans="1:66" s="51" customFormat="1" ht="15.75" x14ac:dyDescent="0.25">
      <c r="A271" s="634">
        <v>25</v>
      </c>
      <c r="B271" s="635" t="s">
        <v>291</v>
      </c>
      <c r="C271" s="636" t="s">
        <v>1393</v>
      </c>
      <c r="D271" s="637" t="s">
        <v>299</v>
      </c>
      <c r="E271" s="638">
        <v>293.95</v>
      </c>
      <c r="F271" s="639" t="s">
        <v>292</v>
      </c>
      <c r="G271" s="484">
        <v>0</v>
      </c>
      <c r="H271" s="691" t="str">
        <f>IF(G271=0,"",IF(F271="Buy",IF(G271=1,"plant","plants"),IF(F271&gt;0.01,"warranty","Error")))</f>
        <v/>
      </c>
      <c r="I271" s="640">
        <f>IF(H271="free",0,IF(H271="credit",((E271*(F271))*G271*-1),IF(F271="Buy",(E271*G271),((E271*(1-F271))*G271))))</f>
        <v>0</v>
      </c>
      <c r="J271" s="640">
        <f>IF(H271="warranty",0,(I271*(_xlfn.SINGLE(SalesTaxPercentage))))</f>
        <v>0</v>
      </c>
      <c r="K271" s="716">
        <f t="shared" ref="K271" si="222">I271+J271</f>
        <v>0</v>
      </c>
      <c r="L271" s="716"/>
      <c r="M271" s="689" t="str">
        <f ca="1">IF(AND(G271&gt;0,E271=0),"WARNING - no PRICE inserted",IF(H271="free","FREE ~ no charge this plant",IF(H271="credit",CONCATENATE("-$",ROUND(K271*(1-_xlfn.SINGLE(T2GDiscount))*-1,2)," CREDIT after discount"),IF(_xlfn.SINGLE(T2GDiscount)=0,"",IF(G271=0,"",IF(F271="Buy",CONCATENATE("$",ROUND(K271*(1-_xlfn.SINGLE(T2GDiscount)),2)," with ",(_xlfn.SINGLE(T2GDiscount)*100),"% discount"),CONCATENATE("$",ROUND(K271*(1-_xlfn.SINGLE(T2GDiscount)),2)," with ",((_xlfn.SINGLE(T2GDiscount)*100+F271*100)-(_xlfn.SINGLE(T2GDiscount)*100*F271)),IF(F271&gt;0,"% discounts",IF(_xlfn.SINGLE(NoWarrantyDiscount)&gt;0,"% discounts","% discount")))))))))</f>
        <v/>
      </c>
      <c r="N271" s="690"/>
      <c r="O271" s="486"/>
      <c r="P271" s="486"/>
      <c r="Q271" s="486"/>
      <c r="R271" s="486"/>
      <c r="S271" s="486"/>
      <c r="T271" s="102">
        <f t="shared" si="170"/>
        <v>0</v>
      </c>
      <c r="U271" s="78">
        <f>IF(NOT(ISNUMBER(G271)), "", VLOOKUP(A271,'Discount Lookup'!D:E,2,FALSE)*G271)</f>
        <v>0</v>
      </c>
      <c r="V271" s="78">
        <f>IF(NOT(ISNUMBER(G271)), "", VLOOKUP(A271,'Discount Lookup'!G:H,2,FALSE)*G271)</f>
        <v>0</v>
      </c>
      <c r="W271" s="102">
        <f t="shared" si="171"/>
        <v>0</v>
      </c>
      <c r="X271" s="102">
        <f t="shared" si="172"/>
        <v>0</v>
      </c>
      <c r="Y271" s="120" t="b">
        <f t="shared" si="173"/>
        <v>0</v>
      </c>
      <c r="Z271" s="117">
        <f t="shared" si="174"/>
        <v>0</v>
      </c>
      <c r="AA271" s="118"/>
      <c r="AB271" s="118" t="str">
        <f t="shared" si="175"/>
        <v/>
      </c>
      <c r="AC271" s="712" t="str">
        <f>IF(AE271="T2G","no charge",IF(AND(OR(PlanterYesMe="No",PlanterYesMe="N",PlanterYesMe="me"),H271=""),"",IF(H271="credit","NO install",IF(AND(K271="",AE271="me"),"EACH row",IF(AND(K271="images",AE271="me"),"EACH row",IF(D271="","",IF(H271="credit","",IF(AE271="free","re-planting",IF(AE271="me","   not ELP, by",IF(AND(OR(PlanterYesMe="Yes",PlanterYesMe="Y"),G271&gt;0),(VLOOKUP(A271,'Discount Lookup'!J:K,2)*G271*(1-PlanterDiscount)*(1+PlanterDifficultyPercentage)),IF(AE271="ELP",(VLOOKUP(A271,'Discount Lookup'!J:K,2)*G271*(1-PlanterDiscount)*(1+PlanterDifficultyPercentage)),IF(AE271="free","re-planting",IF(G271=0,"",IF(PlanterYesMe="",IF(AE271="me","   not ELP, by",IF(AE271="",IF(G271&gt;0,(VLOOKUP(A271,'Discount Lookup'!J:K,2)*G271*(1-PlanterDiscount)*(1+PlanterDifficultyPercentage)),""),"")),"   not ELP, by"))))))))))))))</f>
        <v/>
      </c>
      <c r="AD271" s="712"/>
      <c r="AE271" s="513" t="str">
        <f t="shared" si="176"/>
        <v/>
      </c>
      <c r="AF271" s="713" t="str">
        <f t="shared" si="177"/>
        <v/>
      </c>
      <c r="AG271" s="713"/>
      <c r="AH271" s="713"/>
      <c r="AI271" s="112">
        <f>IF(H271="credit",0,IF(AE271="free",0,IF(AE271="me",0,IF(G271&gt;0,(VLOOKUP(A271,'Discount Lookup'!J:K,2)*G271),0))))</f>
        <v>0</v>
      </c>
      <c r="AJ271" s="107" t="str">
        <f t="shared" ca="1" si="178"/>
        <v/>
      </c>
      <c r="AK271" s="714" t="str">
        <f t="shared" si="179"/>
        <v/>
      </c>
      <c r="AL271" s="714"/>
      <c r="AM271" s="114" t="str">
        <f t="shared" si="180"/>
        <v/>
      </c>
      <c r="AN271" s="115"/>
      <c r="AO271" s="116"/>
      <c r="AP271" s="116"/>
      <c r="AQ271" s="116"/>
      <c r="AR271" s="116"/>
      <c r="AS271" s="116"/>
      <c r="AT271" s="116"/>
      <c r="AU271" s="116"/>
      <c r="AV271" s="78"/>
      <c r="AW271" s="102"/>
      <c r="AX271" s="78"/>
      <c r="AY271" s="78"/>
      <c r="AZ271" s="78"/>
      <c r="BA271" s="78"/>
      <c r="BB271" s="78"/>
      <c r="BC271" s="78"/>
      <c r="BD271" s="78"/>
      <c r="BE271" s="465"/>
      <c r="BF271" s="165" t="str">
        <f t="shared" si="181"/>
        <v>https://www.google.com/search?tbm=isch&amp;q=25%20G4</v>
      </c>
      <c r="BG271" s="165" t="str">
        <f t="shared" si="182"/>
        <v>A</v>
      </c>
      <c r="BH271" s="65"/>
      <c r="BI271" s="65"/>
      <c r="BJ271" s="65"/>
      <c r="BK271" s="65"/>
      <c r="BL271" s="99"/>
      <c r="BM271" s="99"/>
      <c r="BN271" s="99"/>
    </row>
    <row r="272" spans="1:66" s="51" customFormat="1" ht="15.75" x14ac:dyDescent="0.25">
      <c r="A272" s="634">
        <v>25</v>
      </c>
      <c r="B272" s="635" t="s">
        <v>291</v>
      </c>
      <c r="C272" s="636" t="s">
        <v>1394</v>
      </c>
      <c r="D272" s="637" t="s">
        <v>293</v>
      </c>
      <c r="E272" s="638">
        <v>299.95</v>
      </c>
      <c r="F272" s="639" t="s">
        <v>292</v>
      </c>
      <c r="G272" s="484">
        <v>0</v>
      </c>
      <c r="H272" s="691" t="str">
        <f>IF(G272=0,"",IF(F272="Buy",IF(G272=1,"plant","plants"),IF(F272&gt;0.01,"warranty","Error")))</f>
        <v/>
      </c>
      <c r="I272" s="640">
        <f>IF(H272="free",0,IF(H272="credit",((E272*(F272))*G272*-1),IF(F272="Buy",(E272*G272),((E272*(1-F272))*G272))))</f>
        <v>0</v>
      </c>
      <c r="J272" s="640">
        <f>IF(H272="warranty",0,(I272*(_xlfn.SINGLE(SalesTaxPercentage))))</f>
        <v>0</v>
      </c>
      <c r="K272" s="716">
        <f t="shared" ref="K272" si="223">I272+J272</f>
        <v>0</v>
      </c>
      <c r="L272" s="716"/>
      <c r="M272" s="689" t="str">
        <f ca="1">IF(AND(G272&gt;0,E272=0),"WARNING - no PRICE inserted",IF(H272="free","FREE ~ no charge this plant",IF(H272="credit",CONCATENATE("-$",ROUND(K272*(1-_xlfn.SINGLE(T2GDiscount))*-1,2)," CREDIT after discount"),IF(_xlfn.SINGLE(T2GDiscount)=0,"",IF(G272=0,"",IF(F272="Buy",CONCATENATE("$",ROUND(K272*(1-_xlfn.SINGLE(T2GDiscount)),2)," with ",(_xlfn.SINGLE(T2GDiscount)*100),"% discount"),CONCATENATE("$",ROUND(K272*(1-_xlfn.SINGLE(T2GDiscount)),2)," with ",((_xlfn.SINGLE(T2GDiscount)*100+F272*100)-(_xlfn.SINGLE(T2GDiscount)*100*F272)),IF(F272&gt;0,"% discounts",IF(_xlfn.SINGLE(NoWarrantyDiscount)&gt;0,"% discounts","% discount")))))))))</f>
        <v/>
      </c>
      <c r="N272" s="690"/>
      <c r="O272" s="486"/>
      <c r="P272" s="486"/>
      <c r="Q272" s="486"/>
      <c r="R272" s="486"/>
      <c r="S272" s="486"/>
      <c r="T272" s="102">
        <f t="shared" si="170"/>
        <v>0</v>
      </c>
      <c r="U272" s="78">
        <f>IF(NOT(ISNUMBER(G272)), "", VLOOKUP(A272,'Discount Lookup'!D:E,2,FALSE)*G272)</f>
        <v>0</v>
      </c>
      <c r="V272" s="78">
        <f>IF(NOT(ISNUMBER(G272)), "", VLOOKUP(A272,'Discount Lookup'!G:H,2,FALSE)*G272)</f>
        <v>0</v>
      </c>
      <c r="W272" s="102">
        <f t="shared" si="171"/>
        <v>0</v>
      </c>
      <c r="X272" s="102">
        <f t="shared" si="172"/>
        <v>0</v>
      </c>
      <c r="Y272" s="120" t="b">
        <f t="shared" si="173"/>
        <v>0</v>
      </c>
      <c r="Z272" s="117">
        <f t="shared" si="174"/>
        <v>0</v>
      </c>
      <c r="AA272" s="118"/>
      <c r="AB272" s="118" t="str">
        <f t="shared" si="175"/>
        <v/>
      </c>
      <c r="AC272" s="712" t="str">
        <f>IF(AE272="T2G","no charge",IF(AND(OR(PlanterYesMe="No",PlanterYesMe="N",PlanterYesMe="me"),H272=""),"",IF(H272="credit","NO install",IF(AND(K272="",AE272="me"),"EACH row",IF(AND(K272="images",AE272="me"),"EACH row",IF(D272="","",IF(H272="credit","",IF(AE272="free","re-planting",IF(AE272="me","   not ELP, by",IF(AND(OR(PlanterYesMe="Yes",PlanterYesMe="Y"),G272&gt;0),(VLOOKUP(A272,'Discount Lookup'!J:K,2)*G272*(1-PlanterDiscount)*(1+PlanterDifficultyPercentage)),IF(AE272="ELP",(VLOOKUP(A272,'Discount Lookup'!J:K,2)*G272*(1-PlanterDiscount)*(1+PlanterDifficultyPercentage)),IF(AE272="free","re-planting",IF(G272=0,"",IF(PlanterYesMe="",IF(AE272="me","   not ELP, by",IF(AE272="",IF(G272&gt;0,(VLOOKUP(A272,'Discount Lookup'!J:K,2)*G272*(1-PlanterDiscount)*(1+PlanterDifficultyPercentage)),""),"")),"   not ELP, by"))))))))))))))</f>
        <v/>
      </c>
      <c r="AD272" s="712"/>
      <c r="AE272" s="513" t="str">
        <f t="shared" si="176"/>
        <v/>
      </c>
      <c r="AF272" s="713" t="str">
        <f t="shared" si="177"/>
        <v/>
      </c>
      <c r="AG272" s="713"/>
      <c r="AH272" s="713"/>
      <c r="AI272" s="112">
        <f>IF(H272="credit",0,IF(AE272="free",0,IF(AE272="me",0,IF(G272&gt;0,(VLOOKUP(A272,'Discount Lookup'!J:K,2)*G272),0))))</f>
        <v>0</v>
      </c>
      <c r="AJ272" s="107" t="str">
        <f t="shared" ca="1" si="178"/>
        <v/>
      </c>
      <c r="AK272" s="714" t="str">
        <f t="shared" si="179"/>
        <v/>
      </c>
      <c r="AL272" s="714"/>
      <c r="AM272" s="114" t="str">
        <f t="shared" si="180"/>
        <v/>
      </c>
      <c r="AN272" s="115"/>
      <c r="AO272" s="116"/>
      <c r="AP272" s="116"/>
      <c r="AQ272" s="116"/>
      <c r="AR272" s="116"/>
      <c r="AS272" s="116"/>
      <c r="AT272" s="116"/>
      <c r="AU272" s="116"/>
      <c r="AV272" s="78"/>
      <c r="AW272" s="102"/>
      <c r="AX272" s="78"/>
      <c r="AY272" s="78"/>
      <c r="AZ272" s="78"/>
      <c r="BA272" s="78"/>
      <c r="BB272" s="78"/>
      <c r="BC272" s="78"/>
      <c r="BD272" s="78"/>
      <c r="BE272" s="465"/>
      <c r="BF272" s="165" t="str">
        <f t="shared" si="181"/>
        <v>https://www.google.com/search?tbm=isch&amp;q=25%20G6</v>
      </c>
      <c r="BG272" s="165" t="str">
        <f t="shared" si="182"/>
        <v>A</v>
      </c>
      <c r="BH272" s="65"/>
      <c r="BI272" s="65"/>
      <c r="BJ272" s="65"/>
      <c r="BK272" s="65"/>
      <c r="BL272" s="99"/>
      <c r="BM272" s="99"/>
      <c r="BN272" s="99"/>
    </row>
    <row r="273" spans="1:66" s="51" customFormat="1" ht="17.25" thickBot="1" x14ac:dyDescent="0.3">
      <c r="A273" s="704" t="s">
        <v>5319</v>
      </c>
      <c r="B273" s="642"/>
      <c r="C273" s="710"/>
      <c r="D273" s="643"/>
      <c r="E273" s="643"/>
      <c r="F273" s="644"/>
      <c r="G273" s="645"/>
      <c r="H273" s="646"/>
      <c r="I273" s="647"/>
      <c r="J273" s="648"/>
      <c r="K273" s="649"/>
      <c r="L273" s="650"/>
      <c r="M273" s="650"/>
      <c r="N273" s="644"/>
      <c r="O273" s="644"/>
      <c r="P273" s="644"/>
      <c r="Q273" s="644"/>
      <c r="R273" s="644"/>
      <c r="S273" s="701" t="s">
        <v>5251</v>
      </c>
      <c r="T273" s="102">
        <f t="shared" ref="T273:T336" si="224">E273*G273</f>
        <v>0</v>
      </c>
      <c r="U273" s="78" t="str">
        <f>IF(NOT(ISNUMBER(G273)), "", VLOOKUP(A273,'Discount Lookup'!D:E,2,FALSE)*G273)</f>
        <v/>
      </c>
      <c r="V273" s="78" t="str">
        <f>IF(NOT(ISNUMBER(G273)), "", VLOOKUP(A273,'Discount Lookup'!G:H,2,FALSE)*G273)</f>
        <v/>
      </c>
      <c r="W273" s="102">
        <f t="shared" ref="W273:W336" si="225">IF(H273="credit",0,E273*(SalesTaxPercentage)*G273)</f>
        <v>0</v>
      </c>
      <c r="X273" s="102">
        <f t="shared" ref="X273:X336" si="226">I273</f>
        <v>0</v>
      </c>
      <c r="Y273" s="120" t="b">
        <f t="shared" ref="Y273:Y336" si="227">IF(AE273="T2G",0,IF(H273="credit",0,IF(G273&gt;0,IF(AE273="me","",G273))))</f>
        <v>0</v>
      </c>
      <c r="Z273" s="117">
        <f t="shared" ref="Z273:Z336" si="228">IF(H273="credit",G273,0)</f>
        <v>0</v>
      </c>
      <c r="AA273" s="118"/>
      <c r="AB273" s="118" t="str">
        <f t="shared" ref="AB273:AB336" si="229">IF(AE273="T2G","by Trees2Go",IF(H273="credit","CREDIT only ~",IF(AND(K273="",AE273=OR(PlanterYesMe="No",PlanterYesMe="N",PlanterYesMe="me")),"not THIS line⇨",IF(AND(K273="images",AE273="me"),"not THIS line⇨",IF(H273="credit","",IF(G273=0,"",IF(AE273="me","",IF(OR(PlanterYesMe="No",PlanterYesMe="N",PlanterYesMe="me"),"",IF(AE273="free","warranty",IF(OR(PlanterYesMe="yes",PlanterYesMe="y"),"Edison install:","to install:"))))))))))</f>
        <v/>
      </c>
      <c r="AC273" s="712" t="str">
        <f>IF(AE273="T2G","no charge",IF(AND(OR(PlanterYesMe="No",PlanterYesMe="N",PlanterYesMe="me"),H273=""),"",IF(H273="credit","NO install",IF(AND(K273="",AE273="me"),"EACH row",IF(AND(K273="images",AE273="me"),"EACH row",IF(D273="","",IF(H273="credit","",IF(AE273="free","re-planting",IF(AE273="me","   not ELP, by",IF(AND(OR(PlanterYesMe="Yes",PlanterYesMe="Y"),G273&gt;0),(VLOOKUP(A273,'Discount Lookup'!J:K,2)*G273*(1-PlanterDiscount)*(1+PlanterDifficultyPercentage)),IF(AE273="ELP",(VLOOKUP(A273,'Discount Lookup'!J:K,2)*G273*(1-PlanterDiscount)*(1+PlanterDifficultyPercentage)),IF(AE273="free","re-planting",IF(G273=0,"",IF(PlanterYesMe="",IF(AE273="me","   not ELP, by",IF(AE273="",IF(G273&gt;0,(VLOOKUP(A273,'Discount Lookup'!J:K,2)*G273*(1-PlanterDiscount)*(1+PlanterDifficultyPercentage)),""),"")),"   not ELP, by"))))))))))))))</f>
        <v/>
      </c>
      <c r="AD273" s="712"/>
      <c r="AE273" s="513" t="str">
        <f t="shared" ref="AE273:AE336" si="230">IF(H273="credit","",IF(G273=0,"",IF(OR(PlanterYesMe="No",PlanterYesMe="N",PlanterYesMe="me"),"me",IF(H273="warranty","free",IF(OR(PlanterYesMe="yes",PlanterYesMe="y"),"ELP","")))))</f>
        <v/>
      </c>
      <c r="AF273" s="713" t="str">
        <f t="shared" ref="AF273:AF336" si="231">IF(OR(PlanterYesMe="No",PlanterYesMe="N",PlanterYesMe="me"),"",IF(H273="credit","",IF(G273&gt;0,(CONCATENATE((G273)," quantity, ",(A273)," ",B273)),"")))</f>
        <v/>
      </c>
      <c r="AG273" s="713"/>
      <c r="AH273" s="713"/>
      <c r="AI273" s="112">
        <f>IF(H273="credit",0,IF(AE273="free",0,IF(AE273="me",0,IF(G273&gt;0,(VLOOKUP(A273,'Discount Lookup'!J:K,2)*G273),0))))</f>
        <v>0</v>
      </c>
      <c r="AJ273" s="107" t="str">
        <f t="shared" ref="AJ273:AJ336" ca="1" si="232">IF(AND(ISREF(H273),H273="credit"),"",IF(AND(AND(OFFSET(G273,0,0)=0,OFFSET(G273,1,0)&gt;0,ISNUMBER(OFFSET(AC273,1,0)),OFFSET(AC273,1,0)&gt;0),OR(PlanterYesMe="yes",PlanterYesMe="y")),"T2G+ELP=",IF(AND(OFFSET(G273,0,0)=0,OFFSET(G273,1,0)&gt;0,ISNUMBER(OFFSET(AC273,1,0)),OFFSET(AC273,1,0)&gt;0),"if T2G+ELP=",IF(AND(OFFSET(G273,0,0)=0,OFFSET(G273,1,0)&gt;0),"T2G Subtotal",IF(H273="credit","",IF(G273=0,"",IF(AE273="free",(K273*(1-T2GDiscount)),IF(OR(PlanterYesMe="No",PlanterYesMe="N",PlanterYesMe="me"),(K273*(1-T2GDiscount)),IF(OR(AE273="me",AE273="T2G"),(K273*(1-T2GDiscount)),(K273*(1-T2GDiscount))+AC273)))))))))</f>
        <v/>
      </c>
      <c r="AK273" s="714" t="str">
        <f t="shared" ref="AK273:AK336" si="233">IF(H273="credit","",IF(G273=0,"",IF(OR(AE273="me",AE273="T2G"),"  delivery-only",IF(OR(PlanterYesMe="No",PlanterYesMe="N",PlanterYesMe="me"),"  delivery-only",CONCATENATE(" $",ROUND(AJ273/G273,2)," each")))))</f>
        <v/>
      </c>
      <c r="AL273" s="714"/>
      <c r="AM273" s="114" t="str">
        <f t="shared" ref="AM273:AM336" si="234">IF(H273="credit","",IF(AE273="free","      ~ discounts included, no tax or planting fee applies ~",IF(G273=0,"",IF(OR(PlanterYesMe="No",PlanterYesMe="N",PlanterYesMe="me"),CONCATENATE(" $",ROUND(AJ273/G273,2)," per plant, with tax &amp; discount"),IF(OR(AE273="me",AE273="T2G"),CONCATENATE(" $",ROUND(AJ273/G273,2)," per plant, with tax &amp; discount"),CONCATENATE("= $",ROUND((K273*(1-T2GDiscount))/G273,2)," per plant + $",AC273/G273,(" per planting      ~ includes tax &amp; discounts ~")))))))</f>
        <v/>
      </c>
      <c r="AN273" s="115"/>
      <c r="AO273" s="116"/>
      <c r="AP273" s="116"/>
      <c r="AQ273" s="116"/>
      <c r="AR273" s="116"/>
      <c r="AS273" s="116"/>
      <c r="AT273" s="116"/>
      <c r="AU273" s="116"/>
      <c r="AV273" s="78"/>
      <c r="AW273" s="102"/>
      <c r="AX273" s="78"/>
      <c r="AY273" s="78"/>
      <c r="AZ273" s="78"/>
      <c r="BA273" s="78"/>
      <c r="BB273" s="78"/>
      <c r="BC273" s="78"/>
      <c r="BD273" s="78"/>
      <c r="BE273" s="465"/>
      <c r="BF273" s="165" t="str">
        <f t="shared" ref="BF273:BF336" si="235">"https://www.google.com/search?tbm=isch&amp;q=" &amp; _xlfn.ENCODEURL($A273 &amp; " " &amp; $D273)</f>
        <v>https://www.google.com/search?tbm=isch&amp;q=moist%20sites%F0%9F%92%A7BEST%2C%20Sun%20Valley%20are%20all%20male%20%28seedless%2C%20less%20messy%29.%20Showy%20Red%20bloom.%20Long-lasting%20Orange-Red%20fall%20colors%20</v>
      </c>
      <c r="BG273" s="165" t="str">
        <f t="shared" ref="BG273:BG336" si="236">IF(ISTEXT(A273),LEFT(A273,1),BG272)</f>
        <v>m</v>
      </c>
      <c r="BH273" s="65"/>
      <c r="BI273" s="65"/>
      <c r="BJ273" s="65"/>
      <c r="BK273" s="65"/>
      <c r="BL273" s="99"/>
      <c r="BM273" s="99"/>
      <c r="BN273" s="99"/>
    </row>
    <row r="274" spans="1:66" s="51" customFormat="1" ht="18" x14ac:dyDescent="0.25">
      <c r="A274" s="623" t="s">
        <v>1395</v>
      </c>
      <c r="B274" s="624"/>
      <c r="C274" s="709"/>
      <c r="D274" s="625" t="s">
        <v>5580</v>
      </c>
      <c r="E274" s="626"/>
      <c r="F274" s="626"/>
      <c r="G274" s="626"/>
      <c r="H274" s="622" t="s">
        <v>343</v>
      </c>
      <c r="I274" s="627" t="s">
        <v>1396</v>
      </c>
      <c r="J274" s="628"/>
      <c r="K274" s="628"/>
      <c r="L274" s="629"/>
      <c r="M274" s="700" t="s">
        <v>5241</v>
      </c>
      <c r="N274" s="693" t="str">
        <f>IF(AND(ISTEXT($A274), ISERROR($A274+0)), HYPERLINK($BF274, "Images"), "")</f>
        <v>Images</v>
      </c>
      <c r="O274" s="695" t="s">
        <v>5247</v>
      </c>
      <c r="P274" s="630"/>
      <c r="Q274" s="631"/>
      <c r="R274" s="632"/>
      <c r="S274" s="633" t="s">
        <v>294</v>
      </c>
      <c r="T274" s="102">
        <f t="shared" si="224"/>
        <v>0</v>
      </c>
      <c r="U274" s="78" t="str">
        <f>IF(NOT(ISNUMBER(G274)), "", VLOOKUP(A274,'Discount Lookup'!D:E,2,FALSE)*G274)</f>
        <v/>
      </c>
      <c r="V274" s="78" t="str">
        <f>IF(NOT(ISNUMBER(G274)), "", VLOOKUP(A274,'Discount Lookup'!G:H,2,FALSE)*G274)</f>
        <v/>
      </c>
      <c r="W274" s="102">
        <f t="shared" si="225"/>
        <v>0</v>
      </c>
      <c r="X274" s="102" t="str">
        <f t="shared" si="226"/>
        <v>Dark Green, leathery foliage</v>
      </c>
      <c r="Y274" s="120" t="b">
        <f t="shared" si="227"/>
        <v>0</v>
      </c>
      <c r="Z274" s="117">
        <f t="shared" si="228"/>
        <v>0</v>
      </c>
      <c r="AA274" s="118"/>
      <c r="AB274" s="118" t="str">
        <f t="shared" si="229"/>
        <v/>
      </c>
      <c r="AC274" s="712" t="str">
        <f>IF(AE274="T2G","no charge",IF(AND(OR(PlanterYesMe="No",PlanterYesMe="N",PlanterYesMe="me"),H274=""),"",IF(H274="credit","NO install",IF(AND(K274="",AE274="me"),"EACH row",IF(AND(K274="images",AE274="me"),"EACH row",IF(D274="","",IF(H274="credit","",IF(AE274="free","re-planting",IF(AE274="me","   not ELP, by",IF(AND(OR(PlanterYesMe="Yes",PlanterYesMe="Y"),G274&gt;0),(VLOOKUP(A274,'Discount Lookup'!J:K,2)*G274*(1-PlanterDiscount)*(1+PlanterDifficultyPercentage)),IF(AE274="ELP",(VLOOKUP(A274,'Discount Lookup'!J:K,2)*G274*(1-PlanterDiscount)*(1+PlanterDifficultyPercentage)),IF(AE274="free","re-planting",IF(G274=0,"",IF(PlanterYesMe="",IF(AE274="me","   not ELP, by",IF(AE274="",IF(G274&gt;0,(VLOOKUP(A274,'Discount Lookup'!J:K,2)*G274*(1-PlanterDiscount)*(1+PlanterDifficultyPercentage)),""),"")),"   not ELP, by"))))))))))))))</f>
        <v/>
      </c>
      <c r="AD274" s="712"/>
      <c r="AE274" s="513" t="str">
        <f t="shared" si="230"/>
        <v/>
      </c>
      <c r="AF274" s="713" t="str">
        <f t="shared" si="231"/>
        <v/>
      </c>
      <c r="AG274" s="713"/>
      <c r="AH274" s="713"/>
      <c r="AI274" s="112">
        <f>IF(H274="credit",0,IF(AE274="free",0,IF(AE274="me",0,IF(G274&gt;0,(VLOOKUP(A274,'Discount Lookup'!J:K,2)*G274),0))))</f>
        <v>0</v>
      </c>
      <c r="AJ274" s="107" t="str">
        <f t="shared" ca="1" si="232"/>
        <v/>
      </c>
      <c r="AK274" s="714" t="str">
        <f t="shared" si="233"/>
        <v/>
      </c>
      <c r="AL274" s="714"/>
      <c r="AM274" s="114" t="str">
        <f t="shared" si="234"/>
        <v/>
      </c>
      <c r="AN274" s="115"/>
      <c r="AO274" s="116"/>
      <c r="AP274" s="116"/>
      <c r="AQ274" s="116"/>
      <c r="AR274" s="116"/>
      <c r="AS274" s="116"/>
      <c r="AT274" s="116"/>
      <c r="AU274" s="116"/>
      <c r="AV274" s="78"/>
      <c r="AW274" s="102"/>
      <c r="AX274" s="78"/>
      <c r="AY274" s="78"/>
      <c r="AZ274" s="78"/>
      <c r="BA274" s="78"/>
      <c r="BB274" s="78"/>
      <c r="BC274" s="78"/>
      <c r="BD274" s="78"/>
      <c r="BE274" s="465"/>
      <c r="BF274" s="165" t="str">
        <f t="shared" si="235"/>
        <v>https://www.google.com/search?tbm=isch&amp;q=Acer%20saccharum%20%27Legacy%27%20PP%234979Exp.%20Legacy%C2%AE%20Sugar%20Maple</v>
      </c>
      <c r="BG274" s="165" t="str">
        <f t="shared" si="236"/>
        <v>A</v>
      </c>
      <c r="BH274" s="65"/>
      <c r="BI274" s="65"/>
      <c r="BJ274" s="65"/>
      <c r="BK274" s="65"/>
      <c r="BL274" s="99"/>
      <c r="BM274" s="99"/>
      <c r="BN274" s="99"/>
    </row>
    <row r="275" spans="1:66" s="51" customFormat="1" ht="15.75" x14ac:dyDescent="0.25">
      <c r="A275" s="634">
        <v>7</v>
      </c>
      <c r="B275" s="635" t="s">
        <v>291</v>
      </c>
      <c r="C275" s="636" t="s">
        <v>1397</v>
      </c>
      <c r="D275" s="637" t="s">
        <v>299</v>
      </c>
      <c r="E275" s="638">
        <v>116.95</v>
      </c>
      <c r="F275" s="639" t="s">
        <v>292</v>
      </c>
      <c r="G275" s="484">
        <v>0</v>
      </c>
      <c r="H275" s="691" t="str">
        <f>IF(G275=0,"",IF(F275="Buy",IF(G275=1,"plant","plants"),IF(F275&gt;0.01,"warranty","Error")))</f>
        <v/>
      </c>
      <c r="I275" s="640">
        <f>IF(H275="free",0,IF(H275="credit",((E275*(F275))*G275*-1),IF(F275="Buy",(E275*G275),((E275*(1-F275))*G275))))</f>
        <v>0</v>
      </c>
      <c r="J275" s="640">
        <f>IF(H275="warranty",0,(I275*(_xlfn.SINGLE(SalesTaxPercentage))))</f>
        <v>0</v>
      </c>
      <c r="K275" s="716">
        <f t="shared" ref="K275" si="237">I275+J275</f>
        <v>0</v>
      </c>
      <c r="L275" s="716"/>
      <c r="M275" s="689" t="str">
        <f ca="1">IF(AND(G275&gt;0,E275=0),"WARNING - no PRICE inserted",IF(H275="free","FREE ~ no charge this plant",IF(H275="credit",CONCATENATE("-$",ROUND(K275*(1-_xlfn.SINGLE(T2GDiscount))*-1,2)," CREDIT after discount"),IF(_xlfn.SINGLE(T2GDiscount)=0,"",IF(G275=0,"",IF(F275="Buy",CONCATENATE("$",ROUND(K275*(1-_xlfn.SINGLE(T2GDiscount)),2)," with ",(_xlfn.SINGLE(T2GDiscount)*100),"% discount"),CONCATENATE("$",ROUND(K275*(1-_xlfn.SINGLE(T2GDiscount)),2)," with ",((_xlfn.SINGLE(T2GDiscount)*100+F275*100)-(_xlfn.SINGLE(T2GDiscount)*100*F275)),IF(F275&gt;0,"% discounts",IF(_xlfn.SINGLE(NoWarrantyDiscount)&gt;0,"% discounts","% discount")))))))))</f>
        <v/>
      </c>
      <c r="N275" s="690"/>
      <c r="O275" s="486"/>
      <c r="P275" s="486"/>
      <c r="Q275" s="486"/>
      <c r="R275" s="486"/>
      <c r="S275" s="486"/>
      <c r="T275" s="102">
        <f t="shared" si="224"/>
        <v>0</v>
      </c>
      <c r="U275" s="78">
        <f>IF(NOT(ISNUMBER(G275)), "", VLOOKUP(A275,'Discount Lookup'!D:E,2,FALSE)*G275)</f>
        <v>0</v>
      </c>
      <c r="V275" s="78">
        <f>IF(NOT(ISNUMBER(G275)), "", VLOOKUP(A275,'Discount Lookup'!G:H,2,FALSE)*G275)</f>
        <v>0</v>
      </c>
      <c r="W275" s="102">
        <f t="shared" si="225"/>
        <v>0</v>
      </c>
      <c r="X275" s="102">
        <f t="shared" si="226"/>
        <v>0</v>
      </c>
      <c r="Y275" s="120" t="b">
        <f t="shared" si="227"/>
        <v>0</v>
      </c>
      <c r="Z275" s="117">
        <f t="shared" si="228"/>
        <v>0</v>
      </c>
      <c r="AA275" s="118"/>
      <c r="AB275" s="118" t="str">
        <f t="shared" si="229"/>
        <v/>
      </c>
      <c r="AC275" s="712" t="str">
        <f>IF(AE275="T2G","no charge",IF(AND(OR(PlanterYesMe="No",PlanterYesMe="N",PlanterYesMe="me"),H275=""),"",IF(H275="credit","NO install",IF(AND(K275="",AE275="me"),"EACH row",IF(AND(K275="images",AE275="me"),"EACH row",IF(D275="","",IF(H275="credit","",IF(AE275="free","re-planting",IF(AE275="me","   not ELP, by",IF(AND(OR(PlanterYesMe="Yes",PlanterYesMe="Y"),G275&gt;0),(VLOOKUP(A275,'Discount Lookup'!J:K,2)*G275*(1-PlanterDiscount)*(1+PlanterDifficultyPercentage)),IF(AE275="ELP",(VLOOKUP(A275,'Discount Lookup'!J:K,2)*G275*(1-PlanterDiscount)*(1+PlanterDifficultyPercentage)),IF(AE275="free","re-planting",IF(G275=0,"",IF(PlanterYesMe="",IF(AE275="me","   not ELP, by",IF(AE275="",IF(G275&gt;0,(VLOOKUP(A275,'Discount Lookup'!J:K,2)*G275*(1-PlanterDiscount)*(1+PlanterDifficultyPercentage)),""),"")),"   not ELP, by"))))))))))))))</f>
        <v/>
      </c>
      <c r="AD275" s="712"/>
      <c r="AE275" s="513" t="str">
        <f t="shared" si="230"/>
        <v/>
      </c>
      <c r="AF275" s="713" t="str">
        <f t="shared" si="231"/>
        <v/>
      </c>
      <c r="AG275" s="713"/>
      <c r="AH275" s="713"/>
      <c r="AI275" s="112">
        <f>IF(H275="credit",0,IF(AE275="free",0,IF(AE275="me",0,IF(G275&gt;0,(VLOOKUP(A275,'Discount Lookup'!J:K,2)*G275),0))))</f>
        <v>0</v>
      </c>
      <c r="AJ275" s="107" t="str">
        <f t="shared" ca="1" si="232"/>
        <v/>
      </c>
      <c r="AK275" s="714" t="str">
        <f t="shared" si="233"/>
        <v/>
      </c>
      <c r="AL275" s="714"/>
      <c r="AM275" s="114" t="str">
        <f t="shared" si="234"/>
        <v/>
      </c>
      <c r="AN275" s="115"/>
      <c r="AO275" s="116"/>
      <c r="AP275" s="116"/>
      <c r="AQ275" s="116"/>
      <c r="AR275" s="116"/>
      <c r="AS275" s="116"/>
      <c r="AT275" s="116"/>
      <c r="AU275" s="116"/>
      <c r="AV275" s="78"/>
      <c r="AW275" s="102"/>
      <c r="AX275" s="78"/>
      <c r="AY275" s="78"/>
      <c r="AZ275" s="78"/>
      <c r="BA275" s="78"/>
      <c r="BB275" s="78"/>
      <c r="BC275" s="78"/>
      <c r="BD275" s="78"/>
      <c r="BE275" s="465"/>
      <c r="BF275" s="165" t="str">
        <f t="shared" si="235"/>
        <v>https://www.google.com/search?tbm=isch&amp;q=7%20G4</v>
      </c>
      <c r="BG275" s="165" t="str">
        <f t="shared" si="236"/>
        <v>A</v>
      </c>
      <c r="BH275" s="65"/>
      <c r="BI275" s="65"/>
      <c r="BJ275" s="65"/>
      <c r="BK275" s="65"/>
      <c r="BL275" s="99"/>
      <c r="BM275" s="99"/>
      <c r="BN275" s="99"/>
    </row>
    <row r="276" spans="1:66" s="51" customFormat="1" ht="15.75" x14ac:dyDescent="0.25">
      <c r="A276" s="634">
        <v>15</v>
      </c>
      <c r="B276" s="635" t="s">
        <v>291</v>
      </c>
      <c r="C276" s="636" t="s">
        <v>1398</v>
      </c>
      <c r="D276" s="637" t="s">
        <v>299</v>
      </c>
      <c r="E276" s="638">
        <v>187.95</v>
      </c>
      <c r="F276" s="639" t="s">
        <v>292</v>
      </c>
      <c r="G276" s="484">
        <v>0</v>
      </c>
      <c r="H276" s="691" t="str">
        <f>IF(G276=0,"",IF(F276="Buy",IF(G276=1,"plant","plants"),IF(F276&gt;0.01,"warranty","Error")))</f>
        <v/>
      </c>
      <c r="I276" s="640">
        <f>IF(H276="free",0,IF(H276="credit",((E276*(F276))*G276*-1),IF(F276="Buy",(E276*G276),((E276*(1-F276))*G276))))</f>
        <v>0</v>
      </c>
      <c r="J276" s="640">
        <f>IF(H276="warranty",0,(I276*(_xlfn.SINGLE(SalesTaxPercentage))))</f>
        <v>0</v>
      </c>
      <c r="K276" s="716">
        <f t="shared" ref="K276" si="238">I276+J276</f>
        <v>0</v>
      </c>
      <c r="L276" s="716"/>
      <c r="M276" s="689" t="str">
        <f ca="1">IF(AND(G276&gt;0,E276=0),"WARNING - no PRICE inserted",IF(H276="free","FREE ~ no charge this plant",IF(H276="credit",CONCATENATE("-$",ROUND(K276*(1-_xlfn.SINGLE(T2GDiscount))*-1,2)," CREDIT after discount"),IF(_xlfn.SINGLE(T2GDiscount)=0,"",IF(G276=0,"",IF(F276="Buy",CONCATENATE("$",ROUND(K276*(1-_xlfn.SINGLE(T2GDiscount)),2)," with ",(_xlfn.SINGLE(T2GDiscount)*100),"% discount"),CONCATENATE("$",ROUND(K276*(1-_xlfn.SINGLE(T2GDiscount)),2)," with ",((_xlfn.SINGLE(T2GDiscount)*100+F276*100)-(_xlfn.SINGLE(T2GDiscount)*100*F276)),IF(F276&gt;0,"% discounts",IF(_xlfn.SINGLE(NoWarrantyDiscount)&gt;0,"% discounts","% discount")))))))))</f>
        <v/>
      </c>
      <c r="N276" s="690"/>
      <c r="O276" s="486"/>
      <c r="P276" s="486"/>
      <c r="Q276" s="486"/>
      <c r="R276" s="486"/>
      <c r="S276" s="486"/>
      <c r="T276" s="102">
        <f t="shared" si="224"/>
        <v>0</v>
      </c>
      <c r="U276" s="78">
        <f>IF(NOT(ISNUMBER(G276)), "", VLOOKUP(A276,'Discount Lookup'!D:E,2,FALSE)*G276)</f>
        <v>0</v>
      </c>
      <c r="V276" s="78">
        <f>IF(NOT(ISNUMBER(G276)), "", VLOOKUP(A276,'Discount Lookup'!G:H,2,FALSE)*G276)</f>
        <v>0</v>
      </c>
      <c r="W276" s="102">
        <f t="shared" si="225"/>
        <v>0</v>
      </c>
      <c r="X276" s="102">
        <f t="shared" si="226"/>
        <v>0</v>
      </c>
      <c r="Y276" s="120" t="b">
        <f t="shared" si="227"/>
        <v>0</v>
      </c>
      <c r="Z276" s="117">
        <f t="shared" si="228"/>
        <v>0</v>
      </c>
      <c r="AA276" s="118"/>
      <c r="AB276" s="118" t="str">
        <f t="shared" si="229"/>
        <v/>
      </c>
      <c r="AC276" s="712" t="str">
        <f>IF(AE276="T2G","no charge",IF(AND(OR(PlanterYesMe="No",PlanterYesMe="N",PlanterYesMe="me"),H276=""),"",IF(H276="credit","NO install",IF(AND(K276="",AE276="me"),"EACH row",IF(AND(K276="images",AE276="me"),"EACH row",IF(D276="","",IF(H276="credit","",IF(AE276="free","re-planting",IF(AE276="me","   not ELP, by",IF(AND(OR(PlanterYesMe="Yes",PlanterYesMe="Y"),G276&gt;0),(VLOOKUP(A276,'Discount Lookup'!J:K,2)*G276*(1-PlanterDiscount)*(1+PlanterDifficultyPercentage)),IF(AE276="ELP",(VLOOKUP(A276,'Discount Lookup'!J:K,2)*G276*(1-PlanterDiscount)*(1+PlanterDifficultyPercentage)),IF(AE276="free","re-planting",IF(G276=0,"",IF(PlanterYesMe="",IF(AE276="me","   not ELP, by",IF(AE276="",IF(G276&gt;0,(VLOOKUP(A276,'Discount Lookup'!J:K,2)*G276*(1-PlanterDiscount)*(1+PlanterDifficultyPercentage)),""),"")),"   not ELP, by"))))))))))))))</f>
        <v/>
      </c>
      <c r="AD276" s="712"/>
      <c r="AE276" s="513" t="str">
        <f t="shared" si="230"/>
        <v/>
      </c>
      <c r="AF276" s="713" t="str">
        <f t="shared" si="231"/>
        <v/>
      </c>
      <c r="AG276" s="713"/>
      <c r="AH276" s="713"/>
      <c r="AI276" s="112">
        <f>IF(H276="credit",0,IF(AE276="free",0,IF(AE276="me",0,IF(G276&gt;0,(VLOOKUP(A276,'Discount Lookup'!J:K,2)*G276),0))))</f>
        <v>0</v>
      </c>
      <c r="AJ276" s="107" t="str">
        <f t="shared" ca="1" si="232"/>
        <v/>
      </c>
      <c r="AK276" s="714" t="str">
        <f t="shared" si="233"/>
        <v/>
      </c>
      <c r="AL276" s="714"/>
      <c r="AM276" s="114" t="str">
        <f t="shared" si="234"/>
        <v/>
      </c>
      <c r="AN276" s="115"/>
      <c r="AO276" s="116"/>
      <c r="AP276" s="116"/>
      <c r="AQ276" s="116"/>
      <c r="AR276" s="116"/>
      <c r="AS276" s="116"/>
      <c r="AT276" s="116"/>
      <c r="AU276" s="116"/>
      <c r="AV276" s="78"/>
      <c r="AW276" s="102"/>
      <c r="AX276" s="78"/>
      <c r="AY276" s="78"/>
      <c r="AZ276" s="78"/>
      <c r="BA276" s="78"/>
      <c r="BB276" s="78"/>
      <c r="BC276" s="78"/>
      <c r="BD276" s="78"/>
      <c r="BE276" s="465"/>
      <c r="BF276" s="165" t="str">
        <f t="shared" si="235"/>
        <v>https://www.google.com/search?tbm=isch&amp;q=15%20G4</v>
      </c>
      <c r="BG276" s="165" t="str">
        <f t="shared" si="236"/>
        <v>A</v>
      </c>
      <c r="BH276" s="65"/>
      <c r="BI276" s="65"/>
      <c r="BJ276" s="65"/>
      <c r="BK276" s="65"/>
      <c r="BL276" s="99"/>
      <c r="BM276" s="99"/>
      <c r="BN276" s="99"/>
    </row>
    <row r="277" spans="1:66" s="51" customFormat="1" ht="15.75" x14ac:dyDescent="0.25">
      <c r="A277" s="634">
        <v>25</v>
      </c>
      <c r="B277" s="635" t="s">
        <v>291</v>
      </c>
      <c r="C277" s="636" t="s">
        <v>1399</v>
      </c>
      <c r="D277" s="637" t="s">
        <v>299</v>
      </c>
      <c r="E277" s="638">
        <v>339.95</v>
      </c>
      <c r="F277" s="639" t="s">
        <v>292</v>
      </c>
      <c r="G277" s="484">
        <v>0</v>
      </c>
      <c r="H277" s="691" t="str">
        <f>IF(G277=0,"",IF(F277="Buy",IF(G277=1,"plant","plants"),IF(F277&gt;0.01,"warranty","Error")))</f>
        <v/>
      </c>
      <c r="I277" s="640">
        <f>IF(H277="free",0,IF(H277="credit",((E277*(F277))*G277*-1),IF(F277="Buy",(E277*G277),((E277*(1-F277))*G277))))</f>
        <v>0</v>
      </c>
      <c r="J277" s="640">
        <f>IF(H277="warranty",0,(I277*(_xlfn.SINGLE(SalesTaxPercentage))))</f>
        <v>0</v>
      </c>
      <c r="K277" s="716">
        <f t="shared" ref="K277" si="239">I277+J277</f>
        <v>0</v>
      </c>
      <c r="L277" s="716"/>
      <c r="M277" s="689" t="str">
        <f ca="1">IF(AND(G277&gt;0,E277=0),"WARNING - no PRICE inserted",IF(H277="free","FREE ~ no charge this plant",IF(H277="credit",CONCATENATE("-$",ROUND(K277*(1-_xlfn.SINGLE(T2GDiscount))*-1,2)," CREDIT after discount"),IF(_xlfn.SINGLE(T2GDiscount)=0,"",IF(G277=0,"",IF(F277="Buy",CONCATENATE("$",ROUND(K277*(1-_xlfn.SINGLE(T2GDiscount)),2)," with ",(_xlfn.SINGLE(T2GDiscount)*100),"% discount"),CONCATENATE("$",ROUND(K277*(1-_xlfn.SINGLE(T2GDiscount)),2)," with ",((_xlfn.SINGLE(T2GDiscount)*100+F277*100)-(_xlfn.SINGLE(T2GDiscount)*100*F277)),IF(F277&gt;0,"% discounts",IF(_xlfn.SINGLE(NoWarrantyDiscount)&gt;0,"% discounts","% discount")))))))))</f>
        <v/>
      </c>
      <c r="N277" s="690"/>
      <c r="O277" s="486"/>
      <c r="P277" s="486"/>
      <c r="Q277" s="486"/>
      <c r="R277" s="486"/>
      <c r="S277" s="486"/>
      <c r="T277" s="102">
        <f t="shared" si="224"/>
        <v>0</v>
      </c>
      <c r="U277" s="78">
        <f>IF(NOT(ISNUMBER(G277)), "", VLOOKUP(A277,'Discount Lookup'!D:E,2,FALSE)*G277)</f>
        <v>0</v>
      </c>
      <c r="V277" s="78">
        <f>IF(NOT(ISNUMBER(G277)), "", VLOOKUP(A277,'Discount Lookup'!G:H,2,FALSE)*G277)</f>
        <v>0</v>
      </c>
      <c r="W277" s="102">
        <f t="shared" si="225"/>
        <v>0</v>
      </c>
      <c r="X277" s="102">
        <f t="shared" si="226"/>
        <v>0</v>
      </c>
      <c r="Y277" s="120" t="b">
        <f t="shared" si="227"/>
        <v>0</v>
      </c>
      <c r="Z277" s="117">
        <f t="shared" si="228"/>
        <v>0</v>
      </c>
      <c r="AA277" s="118"/>
      <c r="AB277" s="118" t="str">
        <f t="shared" si="229"/>
        <v/>
      </c>
      <c r="AC277" s="712" t="str">
        <f>IF(AE277="T2G","no charge",IF(AND(OR(PlanterYesMe="No",PlanterYesMe="N",PlanterYesMe="me"),H277=""),"",IF(H277="credit","NO install",IF(AND(K277="",AE277="me"),"EACH row",IF(AND(K277="images",AE277="me"),"EACH row",IF(D277="","",IF(H277="credit","",IF(AE277="free","re-planting",IF(AE277="me","   not ELP, by",IF(AND(OR(PlanterYesMe="Yes",PlanterYesMe="Y"),G277&gt;0),(VLOOKUP(A277,'Discount Lookup'!J:K,2)*G277*(1-PlanterDiscount)*(1+PlanterDifficultyPercentage)),IF(AE277="ELP",(VLOOKUP(A277,'Discount Lookup'!J:K,2)*G277*(1-PlanterDiscount)*(1+PlanterDifficultyPercentage)),IF(AE277="free","re-planting",IF(G277=0,"",IF(PlanterYesMe="",IF(AE277="me","   not ELP, by",IF(AE277="",IF(G277&gt;0,(VLOOKUP(A277,'Discount Lookup'!J:K,2)*G277*(1-PlanterDiscount)*(1+PlanterDifficultyPercentage)),""),"")),"   not ELP, by"))))))))))))))</f>
        <v/>
      </c>
      <c r="AD277" s="712"/>
      <c r="AE277" s="513" t="str">
        <f t="shared" si="230"/>
        <v/>
      </c>
      <c r="AF277" s="713" t="str">
        <f t="shared" si="231"/>
        <v/>
      </c>
      <c r="AG277" s="713"/>
      <c r="AH277" s="713"/>
      <c r="AI277" s="112">
        <f>IF(H277="credit",0,IF(AE277="free",0,IF(AE277="me",0,IF(G277&gt;0,(VLOOKUP(A277,'Discount Lookup'!J:K,2)*G277),0))))</f>
        <v>0</v>
      </c>
      <c r="AJ277" s="107" t="str">
        <f t="shared" ca="1" si="232"/>
        <v/>
      </c>
      <c r="AK277" s="714" t="str">
        <f t="shared" si="233"/>
        <v/>
      </c>
      <c r="AL277" s="714"/>
      <c r="AM277" s="114" t="str">
        <f t="shared" si="234"/>
        <v/>
      </c>
      <c r="AN277" s="115"/>
      <c r="AO277" s="116"/>
      <c r="AP277" s="116"/>
      <c r="AQ277" s="116"/>
      <c r="AR277" s="116"/>
      <c r="AS277" s="116"/>
      <c r="AT277" s="116"/>
      <c r="AU277" s="116"/>
      <c r="AV277" s="78"/>
      <c r="AW277" s="102"/>
      <c r="AX277" s="78"/>
      <c r="AY277" s="78"/>
      <c r="AZ277" s="78"/>
      <c r="BA277" s="78"/>
      <c r="BB277" s="78"/>
      <c r="BC277" s="78"/>
      <c r="BD277" s="78"/>
      <c r="BE277" s="465"/>
      <c r="BF277" s="165" t="str">
        <f t="shared" si="235"/>
        <v>https://www.google.com/search?tbm=isch&amp;q=25%20G4</v>
      </c>
      <c r="BG277" s="165" t="str">
        <f t="shared" si="236"/>
        <v>A</v>
      </c>
      <c r="BH277" s="65"/>
      <c r="BI277" s="65"/>
      <c r="BJ277" s="65"/>
      <c r="BK277" s="65"/>
      <c r="BL277" s="99"/>
      <c r="BM277" s="99"/>
      <c r="BN277" s="99"/>
    </row>
    <row r="278" spans="1:66" s="51" customFormat="1" ht="17.25" thickBot="1" x14ac:dyDescent="0.3">
      <c r="A278" s="704" t="s">
        <v>5320</v>
      </c>
      <c r="B278" s="642"/>
      <c r="C278" s="710"/>
      <c r="D278" s="643"/>
      <c r="E278" s="643"/>
      <c r="F278" s="644"/>
      <c r="G278" s="645"/>
      <c r="H278" s="646"/>
      <c r="I278" s="647"/>
      <c r="J278" s="648"/>
      <c r="K278" s="649"/>
      <c r="L278" s="650"/>
      <c r="M278" s="650"/>
      <c r="N278" s="644"/>
      <c r="O278" s="644"/>
      <c r="P278" s="644"/>
      <c r="Q278" s="644"/>
      <c r="R278" s="644"/>
      <c r="S278" s="701" t="s">
        <v>5253</v>
      </c>
      <c r="T278" s="102">
        <f t="shared" si="224"/>
        <v>0</v>
      </c>
      <c r="U278" s="78" t="str">
        <f>IF(NOT(ISNUMBER(G278)), "", VLOOKUP(A278,'Discount Lookup'!D:E,2,FALSE)*G278)</f>
        <v/>
      </c>
      <c r="V278" s="78" t="str">
        <f>IF(NOT(ISNUMBER(G278)), "", VLOOKUP(A278,'Discount Lookup'!G:H,2,FALSE)*G278)</f>
        <v/>
      </c>
      <c r="W278" s="102">
        <f t="shared" si="225"/>
        <v>0</v>
      </c>
      <c r="X278" s="102">
        <f t="shared" si="226"/>
        <v>0</v>
      </c>
      <c r="Y278" s="120" t="b">
        <f t="shared" si="227"/>
        <v>0</v>
      </c>
      <c r="Z278" s="117">
        <f t="shared" si="228"/>
        <v>0</v>
      </c>
      <c r="AA278" s="118"/>
      <c r="AB278" s="118" t="str">
        <f t="shared" si="229"/>
        <v/>
      </c>
      <c r="AC278" s="712" t="str">
        <f>IF(AE278="T2G","no charge",IF(AND(OR(PlanterYesMe="No",PlanterYesMe="N",PlanterYesMe="me"),H278=""),"",IF(H278="credit","NO install",IF(AND(K278="",AE278="me"),"EACH row",IF(AND(K278="images",AE278="me"),"EACH row",IF(D278="","",IF(H278="credit","",IF(AE278="free","re-planting",IF(AE278="me","   not ELP, by",IF(AND(OR(PlanterYesMe="Yes",PlanterYesMe="Y"),G278&gt;0),(VLOOKUP(A278,'Discount Lookup'!J:K,2)*G278*(1-PlanterDiscount)*(1+PlanterDifficultyPercentage)),IF(AE278="ELP",(VLOOKUP(A278,'Discount Lookup'!J:K,2)*G278*(1-PlanterDiscount)*(1+PlanterDifficultyPercentage)),IF(AE278="free","re-planting",IF(G278=0,"",IF(PlanterYesMe="",IF(AE278="me","   not ELP, by",IF(AE278="",IF(G278&gt;0,(VLOOKUP(A278,'Discount Lookup'!J:K,2)*G278*(1-PlanterDiscount)*(1+PlanterDifficultyPercentage)),""),"")),"   not ELP, by"))))))))))))))</f>
        <v/>
      </c>
      <c r="AD278" s="712"/>
      <c r="AE278" s="513" t="str">
        <f t="shared" si="230"/>
        <v/>
      </c>
      <c r="AF278" s="713" t="str">
        <f t="shared" si="231"/>
        <v/>
      </c>
      <c r="AG278" s="713"/>
      <c r="AH278" s="713"/>
      <c r="AI278" s="112">
        <f>IF(H278="credit",0,IF(AE278="free",0,IF(AE278="me",0,IF(G278&gt;0,(VLOOKUP(A278,'Discount Lookup'!J:K,2)*G278),0))))</f>
        <v>0</v>
      </c>
      <c r="AJ278" s="107" t="str">
        <f t="shared" ca="1" si="232"/>
        <v/>
      </c>
      <c r="AK278" s="714" t="str">
        <f t="shared" si="233"/>
        <v/>
      </c>
      <c r="AL278" s="714"/>
      <c r="AM278" s="114" t="str">
        <f t="shared" si="234"/>
        <v/>
      </c>
      <c r="AN278" s="115"/>
      <c r="AO278" s="116"/>
      <c r="AP278" s="116"/>
      <c r="AQ278" s="116"/>
      <c r="AR278" s="116"/>
      <c r="AS278" s="116"/>
      <c r="AT278" s="116"/>
      <c r="AU278" s="116"/>
      <c r="AV278" s="78"/>
      <c r="AW278" s="102"/>
      <c r="AX278" s="78"/>
      <c r="AY278" s="78"/>
      <c r="AZ278" s="78"/>
      <c r="BA278" s="78"/>
      <c r="BB278" s="78"/>
      <c r="BC278" s="78"/>
      <c r="BD278" s="78"/>
      <c r="BE278" s="465"/>
      <c r="BF278" s="165" t="str">
        <f t="shared" si="235"/>
        <v>https://www.google.com/search?tbm=isch&amp;q=moist%20sites%F0%9F%92%A7GOOD%2C%20Legacy%20is%20the%20only%20Sugar%20Maple%20for%20the%20south.%20Can%20be%20tapped%20for%20syrup.%20Brilliant%20Gold-Orange-Red%20fall%20foliage%20</v>
      </c>
      <c r="BG278" s="165" t="str">
        <f t="shared" si="236"/>
        <v>m</v>
      </c>
      <c r="BH278" s="65"/>
      <c r="BI278" s="65"/>
      <c r="BJ278" s="65"/>
      <c r="BK278" s="65"/>
      <c r="BL278" s="99"/>
      <c r="BM278" s="99"/>
      <c r="BN278" s="99"/>
    </row>
    <row r="279" spans="1:66" s="51" customFormat="1" ht="18" x14ac:dyDescent="0.25">
      <c r="A279" s="623" t="s">
        <v>1400</v>
      </c>
      <c r="B279" s="624"/>
      <c r="C279" s="709"/>
      <c r="D279" s="625" t="s">
        <v>5581</v>
      </c>
      <c r="E279" s="626"/>
      <c r="F279" s="626"/>
      <c r="G279" s="626"/>
      <c r="H279" s="622" t="s">
        <v>327</v>
      </c>
      <c r="I279" s="627" t="s">
        <v>432</v>
      </c>
      <c r="J279" s="628"/>
      <c r="K279" s="628"/>
      <c r="L279" s="629"/>
      <c r="M279" s="700" t="s">
        <v>5241</v>
      </c>
      <c r="N279" s="693" t="str">
        <f>IF(AND(ISTEXT($A279), ISERROR($A279+0)), HYPERLINK($BF279, "Images"), "")</f>
        <v>Images</v>
      </c>
      <c r="O279" s="695" t="s">
        <v>5247</v>
      </c>
      <c r="P279" s="630"/>
      <c r="Q279" s="631"/>
      <c r="R279" s="632"/>
      <c r="S279" s="633"/>
      <c r="T279" s="102">
        <f t="shared" si="224"/>
        <v>0</v>
      </c>
      <c r="U279" s="78" t="str">
        <f>IF(NOT(ISNUMBER(G279)), "", VLOOKUP(A279,'Discount Lookup'!D:E,2,FALSE)*G279)</f>
        <v/>
      </c>
      <c r="V279" s="78" t="str">
        <f>IF(NOT(ISNUMBER(G279)), "", VLOOKUP(A279,'Discount Lookup'!G:H,2,FALSE)*G279)</f>
        <v/>
      </c>
      <c r="W279" s="102">
        <f t="shared" si="225"/>
        <v>0</v>
      </c>
      <c r="X279" s="102" t="str">
        <f t="shared" si="226"/>
        <v>Green foliage</v>
      </c>
      <c r="Y279" s="120" t="b">
        <f t="shared" si="227"/>
        <v>0</v>
      </c>
      <c r="Z279" s="117">
        <f t="shared" si="228"/>
        <v>0</v>
      </c>
      <c r="AA279" s="118"/>
      <c r="AB279" s="118" t="str">
        <f t="shared" si="229"/>
        <v/>
      </c>
      <c r="AC279" s="712" t="str">
        <f>IF(AE279="T2G","no charge",IF(AND(OR(PlanterYesMe="No",PlanterYesMe="N",PlanterYesMe="me"),H279=""),"",IF(H279="credit","NO install",IF(AND(K279="",AE279="me"),"EACH row",IF(AND(K279="images",AE279="me"),"EACH row",IF(D279="","",IF(H279="credit","",IF(AE279="free","re-planting",IF(AE279="me","   not ELP, by",IF(AND(OR(PlanterYesMe="Yes",PlanterYesMe="Y"),G279&gt;0),(VLOOKUP(A279,'Discount Lookup'!J:K,2)*G279*(1-PlanterDiscount)*(1+PlanterDifficultyPercentage)),IF(AE279="ELP",(VLOOKUP(A279,'Discount Lookup'!J:K,2)*G279*(1-PlanterDiscount)*(1+PlanterDifficultyPercentage)),IF(AE279="free","re-planting",IF(G279=0,"",IF(PlanterYesMe="",IF(AE279="me","   not ELP, by",IF(AE279="",IF(G279&gt;0,(VLOOKUP(A279,'Discount Lookup'!J:K,2)*G279*(1-PlanterDiscount)*(1+PlanterDifficultyPercentage)),""),"")),"   not ELP, by"))))))))))))))</f>
        <v/>
      </c>
      <c r="AD279" s="712"/>
      <c r="AE279" s="513" t="str">
        <f t="shared" si="230"/>
        <v/>
      </c>
      <c r="AF279" s="713" t="str">
        <f t="shared" si="231"/>
        <v/>
      </c>
      <c r="AG279" s="713"/>
      <c r="AH279" s="713"/>
      <c r="AI279" s="112">
        <f>IF(H279="credit",0,IF(AE279="free",0,IF(AE279="me",0,IF(G279&gt;0,(VLOOKUP(A279,'Discount Lookup'!J:K,2)*G279),0))))</f>
        <v>0</v>
      </c>
      <c r="AJ279" s="107" t="str">
        <f t="shared" ca="1" si="232"/>
        <v/>
      </c>
      <c r="AK279" s="714" t="str">
        <f t="shared" si="233"/>
        <v/>
      </c>
      <c r="AL279" s="714"/>
      <c r="AM279" s="114" t="str">
        <f t="shared" si="234"/>
        <v/>
      </c>
      <c r="AN279" s="115"/>
      <c r="AO279" s="116"/>
      <c r="AP279" s="116"/>
      <c r="AQ279" s="116"/>
      <c r="AR279" s="116"/>
      <c r="AS279" s="116"/>
      <c r="AT279" s="116"/>
      <c r="AU279" s="116"/>
      <c r="AV279" s="78"/>
      <c r="AW279" s="102"/>
      <c r="AX279" s="78"/>
      <c r="AY279" s="78"/>
      <c r="AZ279" s="78"/>
      <c r="BA279" s="78"/>
      <c r="BB279" s="78"/>
      <c r="BC279" s="78"/>
      <c r="BD279" s="78"/>
      <c r="BE279" s="465"/>
      <c r="BF279" s="165" t="str">
        <f t="shared" si="235"/>
        <v>https://www.google.com/search?tbm=isch&amp;q=Acer%20x%20pseudosieboldianum%20%27IsFirFl%27%20First%20Flame%C2%AE%20Maple</v>
      </c>
      <c r="BG279" s="165" t="str">
        <f t="shared" si="236"/>
        <v>A</v>
      </c>
      <c r="BH279" s="65"/>
      <c r="BI279" s="65"/>
      <c r="BJ279" s="65"/>
      <c r="BK279" s="65"/>
      <c r="BL279" s="99"/>
      <c r="BM279" s="99"/>
      <c r="BN279" s="99"/>
    </row>
    <row r="280" spans="1:66" s="51" customFormat="1" ht="15.75" x14ac:dyDescent="0.25">
      <c r="A280" s="634">
        <v>15</v>
      </c>
      <c r="B280" s="635" t="s">
        <v>291</v>
      </c>
      <c r="C280" s="636" t="s">
        <v>1401</v>
      </c>
      <c r="D280" s="637" t="s">
        <v>299</v>
      </c>
      <c r="E280" s="638">
        <v>454.95</v>
      </c>
      <c r="F280" s="639" t="s">
        <v>292</v>
      </c>
      <c r="G280" s="484">
        <v>0</v>
      </c>
      <c r="H280" s="691" t="str">
        <f>IF(G280=0,"",IF(F280="Buy",IF(G280=1,"plant","plants"),IF(F280&gt;0.01,"warranty","Error")))</f>
        <v/>
      </c>
      <c r="I280" s="640">
        <f>IF(H280="free",0,IF(H280="credit",((E280*(F280))*G280*-1),IF(F280="Buy",(E280*G280),((E280*(1-F280))*G280))))</f>
        <v>0</v>
      </c>
      <c r="J280" s="640">
        <f>IF(H280="warranty",0,(I280*(_xlfn.SINGLE(SalesTaxPercentage))))</f>
        <v>0</v>
      </c>
      <c r="K280" s="716">
        <f t="shared" ref="K280" si="240">I280+J280</f>
        <v>0</v>
      </c>
      <c r="L280" s="716"/>
      <c r="M280" s="689" t="str">
        <f ca="1">IF(AND(G280&gt;0,E280=0),"WARNING - no PRICE inserted",IF(H280="free","FREE ~ no charge this plant",IF(H280="credit",CONCATENATE("-$",ROUND(K280*(1-_xlfn.SINGLE(T2GDiscount))*-1,2)," CREDIT after discount"),IF(_xlfn.SINGLE(T2GDiscount)=0,"",IF(G280=0,"",IF(F280="Buy",CONCATENATE("$",ROUND(K280*(1-_xlfn.SINGLE(T2GDiscount)),2)," with ",(_xlfn.SINGLE(T2GDiscount)*100),"% discount"),CONCATENATE("$",ROUND(K280*(1-_xlfn.SINGLE(T2GDiscount)),2)," with ",((_xlfn.SINGLE(T2GDiscount)*100+F280*100)-(_xlfn.SINGLE(T2GDiscount)*100*F280)),IF(F280&gt;0,"% discounts",IF(_xlfn.SINGLE(NoWarrantyDiscount)&gt;0,"% discounts","% discount")))))))))</f>
        <v/>
      </c>
      <c r="N280" s="690"/>
      <c r="O280" s="486"/>
      <c r="P280" s="486"/>
      <c r="Q280" s="486"/>
      <c r="R280" s="486"/>
      <c r="S280" s="486"/>
      <c r="T280" s="102">
        <f t="shared" si="224"/>
        <v>0</v>
      </c>
      <c r="U280" s="78">
        <f>IF(NOT(ISNUMBER(G280)), "", VLOOKUP(A280,'Discount Lookup'!D:E,2,FALSE)*G280)</f>
        <v>0</v>
      </c>
      <c r="V280" s="78">
        <f>IF(NOT(ISNUMBER(G280)), "", VLOOKUP(A280,'Discount Lookup'!G:H,2,FALSE)*G280)</f>
        <v>0</v>
      </c>
      <c r="W280" s="102">
        <f t="shared" si="225"/>
        <v>0</v>
      </c>
      <c r="X280" s="102">
        <f t="shared" si="226"/>
        <v>0</v>
      </c>
      <c r="Y280" s="120" t="b">
        <f t="shared" si="227"/>
        <v>0</v>
      </c>
      <c r="Z280" s="117">
        <f t="shared" si="228"/>
        <v>0</v>
      </c>
      <c r="AA280" s="118"/>
      <c r="AB280" s="118" t="str">
        <f t="shared" si="229"/>
        <v/>
      </c>
      <c r="AC280" s="712" t="str">
        <f>IF(AE280="T2G","no charge",IF(AND(OR(PlanterYesMe="No",PlanterYesMe="N",PlanterYesMe="me"),H280=""),"",IF(H280="credit","NO install",IF(AND(K280="",AE280="me"),"EACH row",IF(AND(K280="images",AE280="me"),"EACH row",IF(D280="","",IF(H280="credit","",IF(AE280="free","re-planting",IF(AE280="me","   not ELP, by",IF(AND(OR(PlanterYesMe="Yes",PlanterYesMe="Y"),G280&gt;0),(VLOOKUP(A280,'Discount Lookup'!J:K,2)*G280*(1-PlanterDiscount)*(1+PlanterDifficultyPercentage)),IF(AE280="ELP",(VLOOKUP(A280,'Discount Lookup'!J:K,2)*G280*(1-PlanterDiscount)*(1+PlanterDifficultyPercentage)),IF(AE280="free","re-planting",IF(G280=0,"",IF(PlanterYesMe="",IF(AE280="me","   not ELP, by",IF(AE280="",IF(G280&gt;0,(VLOOKUP(A280,'Discount Lookup'!J:K,2)*G280*(1-PlanterDiscount)*(1+PlanterDifficultyPercentage)),""),"")),"   not ELP, by"))))))))))))))</f>
        <v/>
      </c>
      <c r="AD280" s="712"/>
      <c r="AE280" s="513" t="str">
        <f t="shared" si="230"/>
        <v/>
      </c>
      <c r="AF280" s="713" t="str">
        <f t="shared" si="231"/>
        <v/>
      </c>
      <c r="AG280" s="713"/>
      <c r="AH280" s="713"/>
      <c r="AI280" s="112">
        <f>IF(H280="credit",0,IF(AE280="free",0,IF(AE280="me",0,IF(G280&gt;0,(VLOOKUP(A280,'Discount Lookup'!J:K,2)*G280),0))))</f>
        <v>0</v>
      </c>
      <c r="AJ280" s="107" t="str">
        <f t="shared" ca="1" si="232"/>
        <v/>
      </c>
      <c r="AK280" s="714" t="str">
        <f t="shared" si="233"/>
        <v/>
      </c>
      <c r="AL280" s="714"/>
      <c r="AM280" s="114" t="str">
        <f t="shared" si="234"/>
        <v/>
      </c>
      <c r="AN280" s="115"/>
      <c r="AO280" s="116"/>
      <c r="AP280" s="116"/>
      <c r="AQ280" s="116"/>
      <c r="AR280" s="116"/>
      <c r="AS280" s="116"/>
      <c r="AT280" s="116"/>
      <c r="AU280" s="116"/>
      <c r="AV280" s="78"/>
      <c r="AW280" s="102"/>
      <c r="AX280" s="78"/>
      <c r="AY280" s="78"/>
      <c r="AZ280" s="78"/>
      <c r="BA280" s="78"/>
      <c r="BB280" s="78"/>
      <c r="BC280" s="78"/>
      <c r="BD280" s="78"/>
      <c r="BE280" s="465"/>
      <c r="BF280" s="165" t="str">
        <f t="shared" si="235"/>
        <v>https://www.google.com/search?tbm=isch&amp;q=15%20G4</v>
      </c>
      <c r="BG280" s="165" t="str">
        <f t="shared" si="236"/>
        <v>A</v>
      </c>
      <c r="BH280" s="65"/>
      <c r="BI280" s="65"/>
      <c r="BJ280" s="65"/>
      <c r="BK280" s="65"/>
      <c r="BL280" s="99"/>
      <c r="BM280" s="99"/>
      <c r="BN280" s="99"/>
    </row>
    <row r="281" spans="1:66" s="51" customFormat="1" ht="16.5" x14ac:dyDescent="0.25">
      <c r="A281" s="641" t="s">
        <v>4667</v>
      </c>
      <c r="B281" s="642"/>
      <c r="C281" s="710"/>
      <c r="D281" s="643"/>
      <c r="E281" s="643"/>
      <c r="F281" s="644"/>
      <c r="G281" s="645"/>
      <c r="H281" s="646"/>
      <c r="I281" s="647"/>
      <c r="J281" s="648"/>
      <c r="K281" s="649"/>
      <c r="L281" s="650"/>
      <c r="M281" s="650"/>
      <c r="N281" s="644"/>
      <c r="O281" s="644"/>
      <c r="P281" s="644"/>
      <c r="Q281" s="644"/>
      <c r="R281" s="644"/>
      <c r="S281" s="701" t="s">
        <v>5253</v>
      </c>
      <c r="T281" s="102">
        <f t="shared" si="224"/>
        <v>0</v>
      </c>
      <c r="U281" s="78" t="str">
        <f>IF(NOT(ISNUMBER(G281)), "", VLOOKUP(A281,'Discount Lookup'!D:E,2,FALSE)*G281)</f>
        <v/>
      </c>
      <c r="V281" s="78" t="str">
        <f>IF(NOT(ISNUMBER(G281)), "", VLOOKUP(A281,'Discount Lookup'!G:H,2,FALSE)*G281)</f>
        <v/>
      </c>
      <c r="W281" s="102">
        <f t="shared" si="225"/>
        <v>0</v>
      </c>
      <c r="X281" s="102">
        <f t="shared" si="226"/>
        <v>0</v>
      </c>
      <c r="Y281" s="120" t="b">
        <f t="shared" si="227"/>
        <v>0</v>
      </c>
      <c r="Z281" s="117">
        <f t="shared" si="228"/>
        <v>0</v>
      </c>
      <c r="AA281" s="118"/>
      <c r="AB281" s="118" t="str">
        <f t="shared" si="229"/>
        <v/>
      </c>
      <c r="AC281" s="712" t="str">
        <f>IF(AE281="T2G","no charge",IF(AND(OR(PlanterYesMe="No",PlanterYesMe="N",PlanterYesMe="me"),H281=""),"",IF(H281="credit","NO install",IF(AND(K281="",AE281="me"),"EACH row",IF(AND(K281="images",AE281="me"),"EACH row",IF(D281="","",IF(H281="credit","",IF(AE281="free","re-planting",IF(AE281="me","   not ELP, by",IF(AND(OR(PlanterYesMe="Yes",PlanterYesMe="Y"),G281&gt;0),(VLOOKUP(A281,'Discount Lookup'!J:K,2)*G281*(1-PlanterDiscount)*(1+PlanterDifficultyPercentage)),IF(AE281="ELP",(VLOOKUP(A281,'Discount Lookup'!J:K,2)*G281*(1-PlanterDiscount)*(1+PlanterDifficultyPercentage)),IF(AE281="free","re-planting",IF(G281=0,"",IF(PlanterYesMe="",IF(AE281="me","   not ELP, by",IF(AE281="",IF(G281&gt;0,(VLOOKUP(A281,'Discount Lookup'!J:K,2)*G281*(1-PlanterDiscount)*(1+PlanterDifficultyPercentage)),""),"")),"   not ELP, by"))))))))))))))</f>
        <v/>
      </c>
      <c r="AD281" s="712"/>
      <c r="AE281" s="513" t="str">
        <f t="shared" si="230"/>
        <v/>
      </c>
      <c r="AF281" s="713" t="str">
        <f t="shared" si="231"/>
        <v/>
      </c>
      <c r="AG281" s="713"/>
      <c r="AH281" s="713"/>
      <c r="AI281" s="112">
        <f>IF(H281="credit",0,IF(AE281="free",0,IF(AE281="me",0,IF(G281&gt;0,(VLOOKUP(A281,'Discount Lookup'!J:K,2)*G281),0))))</f>
        <v>0</v>
      </c>
      <c r="AJ281" s="107" t="str">
        <f t="shared" ca="1" si="232"/>
        <v/>
      </c>
      <c r="AK281" s="714" t="str">
        <f t="shared" si="233"/>
        <v/>
      </c>
      <c r="AL281" s="714"/>
      <c r="AM281" s="114" t="str">
        <f t="shared" si="234"/>
        <v/>
      </c>
      <c r="AN281" s="115"/>
      <c r="AO281" s="116"/>
      <c r="AP281" s="116"/>
      <c r="AQ281" s="116"/>
      <c r="AR281" s="116"/>
      <c r="AS281" s="116"/>
      <c r="AT281" s="116"/>
      <c r="AU281" s="116"/>
      <c r="AV281" s="78"/>
      <c r="AW281" s="102"/>
      <c r="AX281" s="78"/>
      <c r="AY281" s="78"/>
      <c r="AZ281" s="78"/>
      <c r="BA281" s="78"/>
      <c r="BB281" s="78"/>
      <c r="BC281" s="78"/>
      <c r="BD281" s="78"/>
      <c r="BE281" s="465"/>
      <c r="BF281" s="165" t="str">
        <f t="shared" si="235"/>
        <v>https://www.google.com/search?tbm=isch&amp;q=First%20Flame%20named%20for%20fiery%20shades%20of%20Orange%20and%20Red%20in%20the%20fall.%20Bred%20for%20cold%20resistance%20</v>
      </c>
      <c r="BG281" s="165" t="str">
        <f t="shared" si="236"/>
        <v>F</v>
      </c>
      <c r="BH281" s="65"/>
      <c r="BI281" s="65"/>
      <c r="BJ281" s="65"/>
      <c r="BK281" s="65"/>
      <c r="BL281" s="99"/>
      <c r="BM281" s="99"/>
      <c r="BN281" s="99"/>
    </row>
    <row r="282" spans="1:66" s="51" customFormat="1" ht="19.5" thickBot="1" x14ac:dyDescent="0.3">
      <c r="A282" s="686" t="s">
        <v>373</v>
      </c>
      <c r="B282" s="73"/>
      <c r="C282" s="708"/>
      <c r="D282" s="73"/>
      <c r="E282" s="73"/>
      <c r="F282" s="496"/>
      <c r="G282" s="73"/>
      <c r="H282" s="73"/>
      <c r="I282" s="73"/>
      <c r="J282" s="497" t="s">
        <v>357</v>
      </c>
      <c r="K282" s="498"/>
      <c r="L282" s="562"/>
      <c r="M282" s="73"/>
      <c r="N282"/>
      <c r="O282"/>
      <c r="P282"/>
      <c r="Q282"/>
      <c r="R282"/>
      <c r="S282"/>
      <c r="T282" s="102">
        <f t="shared" si="224"/>
        <v>0</v>
      </c>
      <c r="U282" s="78" t="str">
        <f>IF(NOT(ISNUMBER(G282)), "", VLOOKUP(A282,'Discount Lookup'!D:E,2,FALSE)*G282)</f>
        <v/>
      </c>
      <c r="V282" s="78" t="str">
        <f>IF(NOT(ISNUMBER(G282)), "", VLOOKUP(A282,'Discount Lookup'!G:H,2,FALSE)*G282)</f>
        <v/>
      </c>
      <c r="W282" s="102">
        <f t="shared" si="225"/>
        <v>0</v>
      </c>
      <c r="X282" s="102">
        <f t="shared" si="226"/>
        <v>0</v>
      </c>
      <c r="Y282" s="120" t="b">
        <f t="shared" si="227"/>
        <v>0</v>
      </c>
      <c r="Z282" s="117">
        <f t="shared" si="228"/>
        <v>0</v>
      </c>
      <c r="AA282" s="118"/>
      <c r="AB282" s="118" t="str">
        <f t="shared" si="229"/>
        <v/>
      </c>
      <c r="AC282" s="712" t="str">
        <f>IF(AE282="T2G","no charge",IF(AND(OR(PlanterYesMe="No",PlanterYesMe="N",PlanterYesMe="me"),H282=""),"",IF(H282="credit","NO install",IF(AND(K282="",AE282="me"),"EACH row",IF(AND(K282="images",AE282="me"),"EACH row",IF(D282="","",IF(H282="credit","",IF(AE282="free","re-planting",IF(AE282="me","   not ELP, by",IF(AND(OR(PlanterYesMe="Yes",PlanterYesMe="Y"),G282&gt;0),(VLOOKUP(A282,'Discount Lookup'!J:K,2)*G282*(1-PlanterDiscount)*(1+PlanterDifficultyPercentage)),IF(AE282="ELP",(VLOOKUP(A282,'Discount Lookup'!J:K,2)*G282*(1-PlanterDiscount)*(1+PlanterDifficultyPercentage)),IF(AE282="free","re-planting",IF(G282=0,"",IF(PlanterYesMe="",IF(AE282="me","   not ELP, by",IF(AE282="",IF(G282&gt;0,(VLOOKUP(A282,'Discount Lookup'!J:K,2)*G282*(1-PlanterDiscount)*(1+PlanterDifficultyPercentage)),""),"")),"   not ELP, by"))))))))))))))</f>
        <v/>
      </c>
      <c r="AD282" s="712"/>
      <c r="AE282" s="513" t="str">
        <f t="shared" si="230"/>
        <v/>
      </c>
      <c r="AF282" s="713" t="str">
        <f t="shared" si="231"/>
        <v/>
      </c>
      <c r="AG282" s="713"/>
      <c r="AH282" s="713"/>
      <c r="AI282" s="112">
        <f>IF(H282="credit",0,IF(AE282="free",0,IF(AE282="me",0,IF(G282&gt;0,(VLOOKUP(A282,'Discount Lookup'!J:K,2)*G282),0))))</f>
        <v>0</v>
      </c>
      <c r="AJ282" s="107" t="str">
        <f t="shared" ca="1" si="232"/>
        <v/>
      </c>
      <c r="AK282" s="714" t="str">
        <f t="shared" si="233"/>
        <v/>
      </c>
      <c r="AL282" s="714"/>
      <c r="AM282" s="114" t="str">
        <f t="shared" si="234"/>
        <v/>
      </c>
      <c r="AN282" s="115"/>
      <c r="AO282" s="116"/>
      <c r="AP282" s="116"/>
      <c r="AQ282" s="116"/>
      <c r="AR282" s="116"/>
      <c r="AS282" s="116"/>
      <c r="AT282" s="116"/>
      <c r="AU282" s="116"/>
      <c r="AV282" s="78"/>
      <c r="AW282" s="102"/>
      <c r="AX282" s="78"/>
      <c r="AY282" s="78"/>
      <c r="AZ282" s="78"/>
      <c r="BA282" s="78"/>
      <c r="BB282" s="78"/>
      <c r="BC282" s="78"/>
      <c r="BD282" s="78"/>
      <c r="BE282" s="465"/>
      <c r="BF282" s="165" t="str">
        <f t="shared" si="235"/>
        <v>https://www.google.com/search?tbm=isch&amp;q=Achillea%20%3D%20Yarrow%20</v>
      </c>
      <c r="BG282" s="165" t="str">
        <f t="shared" si="236"/>
        <v>A</v>
      </c>
      <c r="BH282" s="65"/>
      <c r="BI282" s="65"/>
      <c r="BJ282" s="65"/>
      <c r="BK282" s="65"/>
      <c r="BL282" s="99"/>
      <c r="BM282" s="99"/>
      <c r="BN282" s="99"/>
    </row>
    <row r="283" spans="1:66" s="51" customFormat="1" ht="18" x14ac:dyDescent="0.25">
      <c r="A283" s="623" t="s">
        <v>1402</v>
      </c>
      <c r="B283" s="624"/>
      <c r="C283" s="709"/>
      <c r="D283" s="625" t="s">
        <v>5582</v>
      </c>
      <c r="E283" s="626"/>
      <c r="F283" s="626"/>
      <c r="G283" s="626"/>
      <c r="H283" s="622" t="s">
        <v>1403</v>
      </c>
      <c r="I283" s="627" t="s">
        <v>1404</v>
      </c>
      <c r="J283" s="628"/>
      <c r="K283" s="628"/>
      <c r="L283" s="629"/>
      <c r="M283" s="700" t="s">
        <v>5241</v>
      </c>
      <c r="N283" s="693" t="str">
        <f>IF(AND(ISTEXT($A283), ISERROR($A283+0)), HYPERLINK($BF283, "Images"), "")</f>
        <v>Images</v>
      </c>
      <c r="O283" s="695" t="s">
        <v>5244</v>
      </c>
      <c r="P283" s="630"/>
      <c r="Q283" s="631"/>
      <c r="R283" s="632"/>
      <c r="S283" s="633"/>
      <c r="T283" s="102">
        <f t="shared" si="224"/>
        <v>0</v>
      </c>
      <c r="U283" s="78" t="str">
        <f>IF(NOT(ISNUMBER(G283)), "", VLOOKUP(A283,'Discount Lookup'!D:E,2,FALSE)*G283)</f>
        <v/>
      </c>
      <c r="V283" s="78" t="str">
        <f>IF(NOT(ISNUMBER(G283)), "", VLOOKUP(A283,'Discount Lookup'!G:H,2,FALSE)*G283)</f>
        <v/>
      </c>
      <c r="W283" s="102">
        <f t="shared" si="225"/>
        <v>0</v>
      </c>
      <c r="X283" s="102" t="str">
        <f t="shared" si="226"/>
        <v>Rosy-Pink bloom, Yellow center</v>
      </c>
      <c r="Y283" s="120" t="b">
        <f t="shared" si="227"/>
        <v>0</v>
      </c>
      <c r="Z283" s="117">
        <f t="shared" si="228"/>
        <v>0</v>
      </c>
      <c r="AA283" s="118"/>
      <c r="AB283" s="118" t="str">
        <f t="shared" si="229"/>
        <v/>
      </c>
      <c r="AC283" s="712" t="str">
        <f>IF(AE283="T2G","no charge",IF(AND(OR(PlanterYesMe="No",PlanterYesMe="N",PlanterYesMe="me"),H283=""),"",IF(H283="credit","NO install",IF(AND(K283="",AE283="me"),"EACH row",IF(AND(K283="images",AE283="me"),"EACH row",IF(D283="","",IF(H283="credit","",IF(AE283="free","re-planting",IF(AE283="me","   not ELP, by",IF(AND(OR(PlanterYesMe="Yes",PlanterYesMe="Y"),G283&gt;0),(VLOOKUP(A283,'Discount Lookup'!J:K,2)*G283*(1-PlanterDiscount)*(1+PlanterDifficultyPercentage)),IF(AE283="ELP",(VLOOKUP(A283,'Discount Lookup'!J:K,2)*G283*(1-PlanterDiscount)*(1+PlanterDifficultyPercentage)),IF(AE283="free","re-planting",IF(G283=0,"",IF(PlanterYesMe="",IF(AE283="me","   not ELP, by",IF(AE283="",IF(G283&gt;0,(VLOOKUP(A283,'Discount Lookup'!J:K,2)*G283*(1-PlanterDiscount)*(1+PlanterDifficultyPercentage)),""),"")),"   not ELP, by"))))))))))))))</f>
        <v/>
      </c>
      <c r="AD283" s="712"/>
      <c r="AE283" s="513" t="str">
        <f t="shared" si="230"/>
        <v/>
      </c>
      <c r="AF283" s="713" t="str">
        <f t="shared" si="231"/>
        <v/>
      </c>
      <c r="AG283" s="713"/>
      <c r="AH283" s="713"/>
      <c r="AI283" s="112">
        <f>IF(H283="credit",0,IF(AE283="free",0,IF(AE283="me",0,IF(G283&gt;0,(VLOOKUP(A283,'Discount Lookup'!J:K,2)*G283),0))))</f>
        <v>0</v>
      </c>
      <c r="AJ283" s="107" t="str">
        <f t="shared" ca="1" si="232"/>
        <v/>
      </c>
      <c r="AK283" s="714" t="str">
        <f t="shared" si="233"/>
        <v/>
      </c>
      <c r="AL283" s="714"/>
      <c r="AM283" s="114" t="str">
        <f t="shared" si="234"/>
        <v/>
      </c>
      <c r="AN283" s="115"/>
      <c r="AO283" s="116"/>
      <c r="AP283" s="116"/>
      <c r="AQ283" s="116"/>
      <c r="AR283" s="116"/>
      <c r="AS283" s="116"/>
      <c r="AT283" s="116"/>
      <c r="AU283" s="116"/>
      <c r="AV283" s="78"/>
      <c r="AW283" s="102"/>
      <c r="AX283" s="78"/>
      <c r="AY283" s="78"/>
      <c r="AZ283" s="78"/>
      <c r="BA283" s="78"/>
      <c r="BB283" s="78"/>
      <c r="BC283" s="78"/>
      <c r="BD283" s="78"/>
      <c r="BE283" s="465"/>
      <c r="BF283" s="165" t="str">
        <f t="shared" si="235"/>
        <v>https://www.google.com/search?tbm=isch&amp;q=Achillea%20millefolium%20%27FLORACHR01%27%20PP%2331620%20Milly%20Rock%E2%84%A2%20Rose%20Yarrow</v>
      </c>
      <c r="BG283" s="165" t="str">
        <f t="shared" si="236"/>
        <v>A</v>
      </c>
      <c r="BH283" s="65"/>
      <c r="BI283" s="65"/>
      <c r="BJ283" s="65"/>
      <c r="BK283" s="65"/>
      <c r="BL283" s="99"/>
      <c r="BM283" s="99"/>
      <c r="BN283" s="99"/>
    </row>
    <row r="284" spans="1:66" s="51" customFormat="1" ht="15.75" x14ac:dyDescent="0.25">
      <c r="A284" s="634">
        <v>1</v>
      </c>
      <c r="B284" s="635" t="s">
        <v>291</v>
      </c>
      <c r="C284" s="636"/>
      <c r="D284" s="637" t="s">
        <v>329</v>
      </c>
      <c r="E284" s="638">
        <v>12.95</v>
      </c>
      <c r="F284" s="639" t="s">
        <v>292</v>
      </c>
      <c r="G284" s="484">
        <v>0</v>
      </c>
      <c r="H284" s="691" t="str">
        <f>IF(G284=0,"",IF(F284="Buy",IF(G284=1,"plant","plants"),IF(F284&gt;0.01,"warranty","Error")))</f>
        <v/>
      </c>
      <c r="I284" s="640">
        <f>IF(H284="free",0,IF(H284="credit",((E284*(F284))*G284*-1),IF(F284="Buy",(E284*G284),((E284*(1-F284))*G284))))</f>
        <v>0</v>
      </c>
      <c r="J284" s="640">
        <f>IF(H284="warranty",0,(I284*(_xlfn.SINGLE(SalesTaxPercentage))))</f>
        <v>0</v>
      </c>
      <c r="K284" s="716">
        <f t="shared" ref="K284" si="241">I284+J284</f>
        <v>0</v>
      </c>
      <c r="L284" s="716"/>
      <c r="M284" s="689" t="str">
        <f ca="1">IF(AND(G284&gt;0,E284=0),"WARNING - no PRICE inserted",IF(H284="free","FREE ~ no charge this plant",IF(H284="credit",CONCATENATE("-$",ROUND(K284*(1-_xlfn.SINGLE(T2GDiscount))*-1,2)," CREDIT after discount"),IF(_xlfn.SINGLE(T2GDiscount)=0,"",IF(G284=0,"",IF(F284="Buy",CONCATENATE("$",ROUND(K284*(1-_xlfn.SINGLE(T2GDiscount)),2)," with ",(_xlfn.SINGLE(T2GDiscount)*100),"% discount"),CONCATENATE("$",ROUND(K284*(1-_xlfn.SINGLE(T2GDiscount)),2)," with ",((_xlfn.SINGLE(T2GDiscount)*100+F284*100)-(_xlfn.SINGLE(T2GDiscount)*100*F284)),IF(F284&gt;0,"% discounts",IF(_xlfn.SINGLE(NoWarrantyDiscount)&gt;0,"% discounts","% discount")))))))))</f>
        <v/>
      </c>
      <c r="N284" s="690"/>
      <c r="O284" s="486"/>
      <c r="P284" s="486"/>
      <c r="Q284" s="486"/>
      <c r="R284" s="486"/>
      <c r="S284" s="486"/>
      <c r="T284" s="102">
        <f t="shared" si="224"/>
        <v>0</v>
      </c>
      <c r="U284" s="78">
        <f>IF(NOT(ISNUMBER(G284)), "", VLOOKUP(A284,'Discount Lookup'!D:E,2,FALSE)*G284)</f>
        <v>0</v>
      </c>
      <c r="V284" s="78">
        <f>IF(NOT(ISNUMBER(G284)), "", VLOOKUP(A284,'Discount Lookup'!G:H,2,FALSE)*G284)</f>
        <v>0</v>
      </c>
      <c r="W284" s="102">
        <f t="shared" si="225"/>
        <v>0</v>
      </c>
      <c r="X284" s="102">
        <f t="shared" si="226"/>
        <v>0</v>
      </c>
      <c r="Y284" s="120" t="b">
        <f t="shared" si="227"/>
        <v>0</v>
      </c>
      <c r="Z284" s="117">
        <f t="shared" si="228"/>
        <v>0</v>
      </c>
      <c r="AA284" s="118"/>
      <c r="AB284" s="118" t="str">
        <f t="shared" si="229"/>
        <v/>
      </c>
      <c r="AC284" s="712" t="str">
        <f>IF(AE284="T2G","no charge",IF(AND(OR(PlanterYesMe="No",PlanterYesMe="N",PlanterYesMe="me"),H284=""),"",IF(H284="credit","NO install",IF(AND(K284="",AE284="me"),"EACH row",IF(AND(K284="images",AE284="me"),"EACH row",IF(D284="","",IF(H284="credit","",IF(AE284="free","re-planting",IF(AE284="me","   not ELP, by",IF(AND(OR(PlanterYesMe="Yes",PlanterYesMe="Y"),G284&gt;0),(VLOOKUP(A284,'Discount Lookup'!J:K,2)*G284*(1-PlanterDiscount)*(1+PlanterDifficultyPercentage)),IF(AE284="ELP",(VLOOKUP(A284,'Discount Lookup'!J:K,2)*G284*(1-PlanterDiscount)*(1+PlanterDifficultyPercentage)),IF(AE284="free","re-planting",IF(G284=0,"",IF(PlanterYesMe="",IF(AE284="me","   not ELP, by",IF(AE284="",IF(G284&gt;0,(VLOOKUP(A284,'Discount Lookup'!J:K,2)*G284*(1-PlanterDiscount)*(1+PlanterDifficultyPercentage)),""),"")),"   not ELP, by"))))))))))))))</f>
        <v/>
      </c>
      <c r="AD284" s="712"/>
      <c r="AE284" s="513" t="str">
        <f t="shared" si="230"/>
        <v/>
      </c>
      <c r="AF284" s="713" t="str">
        <f t="shared" si="231"/>
        <v/>
      </c>
      <c r="AG284" s="713"/>
      <c r="AH284" s="713"/>
      <c r="AI284" s="112">
        <f>IF(H284="credit",0,IF(AE284="free",0,IF(AE284="me",0,IF(G284&gt;0,(VLOOKUP(A284,'Discount Lookup'!J:K,2)*G284),0))))</f>
        <v>0</v>
      </c>
      <c r="AJ284" s="107" t="str">
        <f t="shared" ca="1" si="232"/>
        <v/>
      </c>
      <c r="AK284" s="714" t="str">
        <f t="shared" si="233"/>
        <v/>
      </c>
      <c r="AL284" s="714"/>
      <c r="AM284" s="114" t="str">
        <f t="shared" si="234"/>
        <v/>
      </c>
      <c r="AN284" s="115"/>
      <c r="AO284" s="116"/>
      <c r="AP284" s="116"/>
      <c r="AQ284" s="116"/>
      <c r="AR284" s="116"/>
      <c r="AS284" s="116"/>
      <c r="AT284" s="116"/>
      <c r="AU284" s="116"/>
      <c r="AV284" s="78"/>
      <c r="AW284" s="102"/>
      <c r="AX284" s="78"/>
      <c r="AY284" s="78"/>
      <c r="AZ284" s="78"/>
      <c r="BA284" s="78"/>
      <c r="BB284" s="78"/>
      <c r="BC284" s="78"/>
      <c r="BD284" s="78"/>
      <c r="BE284" s="465"/>
      <c r="BF284" s="165" t="str">
        <f t="shared" si="235"/>
        <v>https://www.google.com/search?tbm=isch&amp;q=1%20G2</v>
      </c>
      <c r="BG284" s="165" t="str">
        <f t="shared" si="236"/>
        <v>A</v>
      </c>
      <c r="BH284" s="65"/>
      <c r="BI284" s="65"/>
      <c r="BJ284" s="65"/>
      <c r="BK284" s="65"/>
      <c r="BL284" s="99"/>
      <c r="BM284" s="99"/>
      <c r="BN284" s="99"/>
    </row>
    <row r="285" spans="1:66" s="51" customFormat="1" ht="16.5" x14ac:dyDescent="0.25">
      <c r="A285" s="641" t="s">
        <v>4668</v>
      </c>
      <c r="B285" s="642"/>
      <c r="C285" s="710"/>
      <c r="D285" s="643"/>
      <c r="E285" s="643"/>
      <c r="F285" s="644"/>
      <c r="G285" s="645"/>
      <c r="H285" s="646"/>
      <c r="I285" s="647"/>
      <c r="J285" s="648"/>
      <c r="K285" s="649"/>
      <c r="L285" s="650"/>
      <c r="M285" s="650"/>
      <c r="N285" s="644"/>
      <c r="O285" s="644"/>
      <c r="P285" s="644"/>
      <c r="Q285" s="644"/>
      <c r="R285" s="644"/>
      <c r="S285" s="697" t="s">
        <v>5254</v>
      </c>
      <c r="T285" s="102">
        <f t="shared" si="224"/>
        <v>0</v>
      </c>
      <c r="U285" s="78" t="str">
        <f>IF(NOT(ISNUMBER(G285)), "", VLOOKUP(A285,'Discount Lookup'!D:E,2,FALSE)*G285)</f>
        <v/>
      </c>
      <c r="V285" s="78" t="str">
        <f>IF(NOT(ISNUMBER(G285)), "", VLOOKUP(A285,'Discount Lookup'!G:H,2,FALSE)*G285)</f>
        <v/>
      </c>
      <c r="W285" s="102">
        <f t="shared" si="225"/>
        <v>0</v>
      </c>
      <c r="X285" s="102">
        <f t="shared" si="226"/>
        <v>0</v>
      </c>
      <c r="Y285" s="120" t="b">
        <f t="shared" si="227"/>
        <v>0</v>
      </c>
      <c r="Z285" s="117">
        <f t="shared" si="228"/>
        <v>0</v>
      </c>
      <c r="AA285" s="118"/>
      <c r="AB285" s="118" t="str">
        <f t="shared" si="229"/>
        <v/>
      </c>
      <c r="AC285" s="712" t="str">
        <f>IF(AE285="T2G","no charge",IF(AND(OR(PlanterYesMe="No",PlanterYesMe="N",PlanterYesMe="me"),H285=""),"",IF(H285="credit","NO install",IF(AND(K285="",AE285="me"),"EACH row",IF(AND(K285="images",AE285="me"),"EACH row",IF(D285="","",IF(H285="credit","",IF(AE285="free","re-planting",IF(AE285="me","   not ELP, by",IF(AND(OR(PlanterYesMe="Yes",PlanterYesMe="Y"),G285&gt;0),(VLOOKUP(A285,'Discount Lookup'!J:K,2)*G285*(1-PlanterDiscount)*(1+PlanterDifficultyPercentage)),IF(AE285="ELP",(VLOOKUP(A285,'Discount Lookup'!J:K,2)*G285*(1-PlanterDiscount)*(1+PlanterDifficultyPercentage)),IF(AE285="free","re-planting",IF(G285=0,"",IF(PlanterYesMe="",IF(AE285="me","   not ELP, by",IF(AE285="",IF(G285&gt;0,(VLOOKUP(A285,'Discount Lookup'!J:K,2)*G285*(1-PlanterDiscount)*(1+PlanterDifficultyPercentage)),""),"")),"   not ELP, by"))))))))))))))</f>
        <v/>
      </c>
      <c r="AD285" s="712"/>
      <c r="AE285" s="513" t="str">
        <f t="shared" si="230"/>
        <v/>
      </c>
      <c r="AF285" s="713" t="str">
        <f t="shared" si="231"/>
        <v/>
      </c>
      <c r="AG285" s="713"/>
      <c r="AH285" s="713"/>
      <c r="AI285" s="112">
        <f>IF(H285="credit",0,IF(AE285="free",0,IF(AE285="me",0,IF(G285&gt;0,(VLOOKUP(A285,'Discount Lookup'!J:K,2)*G285),0))))</f>
        <v>0</v>
      </c>
      <c r="AJ285" s="107" t="str">
        <f t="shared" ca="1" si="232"/>
        <v/>
      </c>
      <c r="AK285" s="714" t="str">
        <f t="shared" si="233"/>
        <v/>
      </c>
      <c r="AL285" s="714"/>
      <c r="AM285" s="114" t="str">
        <f t="shared" si="234"/>
        <v/>
      </c>
      <c r="AN285" s="115"/>
      <c r="AO285" s="116"/>
      <c r="AP285" s="116"/>
      <c r="AQ285" s="116"/>
      <c r="AR285" s="116"/>
      <c r="AS285" s="116"/>
      <c r="AT285" s="116"/>
      <c r="AU285" s="116"/>
      <c r="AV285" s="78"/>
      <c r="AW285" s="102"/>
      <c r="AX285" s="78"/>
      <c r="AY285" s="78"/>
      <c r="AZ285" s="78"/>
      <c r="BA285" s="78"/>
      <c r="BB285" s="78"/>
      <c r="BC285" s="78"/>
      <c r="BD285" s="78"/>
      <c r="BE285" s="465"/>
      <c r="BF285" s="165" t="str">
        <f t="shared" si="235"/>
        <v>https://www.google.com/search?tbm=isch&amp;q=Milly%20Rock%20Rose%2C%20like%20all%20Yarrow%2C%20has%20bright%20foliage%20from%20late%20spring%20to%20fall.%20Spicy%2C%20herbal%20foliage%20scent%20</v>
      </c>
      <c r="BG285" s="165" t="str">
        <f t="shared" si="236"/>
        <v>M</v>
      </c>
      <c r="BH285" s="65"/>
      <c r="BI285" s="65"/>
      <c r="BJ285" s="65"/>
      <c r="BK285" s="65"/>
      <c r="BL285" s="99"/>
      <c r="BM285" s="99"/>
      <c r="BN285" s="99"/>
    </row>
    <row r="286" spans="1:66" s="51" customFormat="1" ht="19.5" thickBot="1" x14ac:dyDescent="0.3">
      <c r="A286" s="686" t="s">
        <v>372</v>
      </c>
      <c r="B286" s="73"/>
      <c r="C286" s="708"/>
      <c r="D286" s="73"/>
      <c r="E286" s="73"/>
      <c r="F286" s="496"/>
      <c r="G286" s="73"/>
      <c r="H286" s="73"/>
      <c r="I286" s="73"/>
      <c r="J286" s="497" t="s">
        <v>357</v>
      </c>
      <c r="K286" s="498"/>
      <c r="L286" s="562"/>
      <c r="M286" s="73"/>
      <c r="N286"/>
      <c r="O286"/>
      <c r="P286"/>
      <c r="Q286"/>
      <c r="R286"/>
      <c r="S286"/>
      <c r="T286" s="102">
        <f t="shared" si="224"/>
        <v>0</v>
      </c>
      <c r="U286" s="78" t="str">
        <f>IF(NOT(ISNUMBER(G286)), "", VLOOKUP(A286,'Discount Lookup'!D:E,2,FALSE)*G286)</f>
        <v/>
      </c>
      <c r="V286" s="78" t="str">
        <f>IF(NOT(ISNUMBER(G286)), "", VLOOKUP(A286,'Discount Lookup'!G:H,2,FALSE)*G286)</f>
        <v/>
      </c>
      <c r="W286" s="102">
        <f t="shared" si="225"/>
        <v>0</v>
      </c>
      <c r="X286" s="102">
        <f t="shared" si="226"/>
        <v>0</v>
      </c>
      <c r="Y286" s="120" t="b">
        <f t="shared" si="227"/>
        <v>0</v>
      </c>
      <c r="Z286" s="117">
        <f t="shared" si="228"/>
        <v>0</v>
      </c>
      <c r="AA286" s="118"/>
      <c r="AB286" s="118" t="str">
        <f t="shared" si="229"/>
        <v/>
      </c>
      <c r="AC286" s="712" t="str">
        <f>IF(AE286="T2G","no charge",IF(AND(OR(PlanterYesMe="No",PlanterYesMe="N",PlanterYesMe="me"),H286=""),"",IF(H286="credit","NO install",IF(AND(K286="",AE286="me"),"EACH row",IF(AND(K286="images",AE286="me"),"EACH row",IF(D286="","",IF(H286="credit","",IF(AE286="free","re-planting",IF(AE286="me","   not ELP, by",IF(AND(OR(PlanterYesMe="Yes",PlanterYesMe="Y"),G286&gt;0),(VLOOKUP(A286,'Discount Lookup'!J:K,2)*G286*(1-PlanterDiscount)*(1+PlanterDifficultyPercentage)),IF(AE286="ELP",(VLOOKUP(A286,'Discount Lookup'!J:K,2)*G286*(1-PlanterDiscount)*(1+PlanterDifficultyPercentage)),IF(AE286="free","re-planting",IF(G286=0,"",IF(PlanterYesMe="",IF(AE286="me","   not ELP, by",IF(AE286="",IF(G286&gt;0,(VLOOKUP(A286,'Discount Lookup'!J:K,2)*G286*(1-PlanterDiscount)*(1+PlanterDifficultyPercentage)),""),"")),"   not ELP, by"))))))))))))))</f>
        <v/>
      </c>
      <c r="AD286" s="712"/>
      <c r="AE286" s="513" t="str">
        <f t="shared" si="230"/>
        <v/>
      </c>
      <c r="AF286" s="713" t="str">
        <f t="shared" si="231"/>
        <v/>
      </c>
      <c r="AG286" s="713"/>
      <c r="AH286" s="713"/>
      <c r="AI286" s="112">
        <f>IF(H286="credit",0,IF(AE286="free",0,IF(AE286="me",0,IF(G286&gt;0,(VLOOKUP(A286,'Discount Lookup'!J:K,2)*G286),0))))</f>
        <v>0</v>
      </c>
      <c r="AJ286" s="107" t="str">
        <f t="shared" ca="1" si="232"/>
        <v/>
      </c>
      <c r="AK286" s="714" t="str">
        <f t="shared" si="233"/>
        <v/>
      </c>
      <c r="AL286" s="714"/>
      <c r="AM286" s="114" t="str">
        <f t="shared" si="234"/>
        <v/>
      </c>
      <c r="AN286" s="115"/>
      <c r="AO286" s="116"/>
      <c r="AP286" s="116"/>
      <c r="AQ286" s="116"/>
      <c r="AR286" s="116"/>
      <c r="AS286" s="116"/>
      <c r="AT286" s="116"/>
      <c r="AU286" s="116"/>
      <c r="AV286" s="78"/>
      <c r="AW286" s="102"/>
      <c r="AX286" s="78"/>
      <c r="AY286" s="78"/>
      <c r="AZ286" s="78"/>
      <c r="BA286" s="78"/>
      <c r="BB286" s="78"/>
      <c r="BC286" s="78"/>
      <c r="BD286" s="78"/>
      <c r="BE286" s="465"/>
      <c r="BF286" s="165" t="str">
        <f t="shared" si="235"/>
        <v>https://www.google.com/search?tbm=isch&amp;q=Acorus%20%3D%20Sweet%20Flag%20</v>
      </c>
      <c r="BG286" s="165" t="str">
        <f t="shared" si="236"/>
        <v>A</v>
      </c>
      <c r="BH286" s="65"/>
      <c r="BI286" s="65"/>
      <c r="BJ286" s="65"/>
      <c r="BK286" s="65"/>
      <c r="BL286" s="99"/>
      <c r="BM286" s="99"/>
      <c r="BN286" s="99"/>
    </row>
    <row r="287" spans="1:66" s="51" customFormat="1" ht="18" x14ac:dyDescent="0.25">
      <c r="A287" s="507" t="s">
        <v>1405</v>
      </c>
      <c r="B287" s="470"/>
      <c r="C287" s="706"/>
      <c r="D287" s="471" t="s">
        <v>1406</v>
      </c>
      <c r="E287" s="472"/>
      <c r="F287" s="472"/>
      <c r="G287" s="472"/>
      <c r="H287" s="622" t="s">
        <v>1407</v>
      </c>
      <c r="I287" s="473" t="s">
        <v>1408</v>
      </c>
      <c r="J287" s="472"/>
      <c r="K287" s="472"/>
      <c r="L287" s="561"/>
      <c r="M287" s="698" t="s">
        <v>5246</v>
      </c>
      <c r="N287" s="692" t="str">
        <f>IF(AND(ISTEXT($A287), ISERROR($A287+0)), HYPERLINK($BF287, "Images"), "")</f>
        <v>Images</v>
      </c>
      <c r="O287" s="694" t="s">
        <v>5244</v>
      </c>
      <c r="P287" s="475"/>
      <c r="Q287" s="476"/>
      <c r="R287" s="476"/>
      <c r="S287" s="477"/>
      <c r="T287" s="102">
        <f t="shared" si="224"/>
        <v>0</v>
      </c>
      <c r="U287" s="78" t="str">
        <f>IF(NOT(ISNUMBER(G287)), "", VLOOKUP(A287,'Discount Lookup'!D:E,2,FALSE)*G287)</f>
        <v/>
      </c>
      <c r="V287" s="78" t="str">
        <f>IF(NOT(ISNUMBER(G287)), "", VLOOKUP(A287,'Discount Lookup'!G:H,2,FALSE)*G287)</f>
        <v/>
      </c>
      <c r="W287" s="102">
        <f t="shared" si="225"/>
        <v>0</v>
      </c>
      <c r="X287" s="102" t="str">
        <f t="shared" si="226"/>
        <v>White-Yellow stripes</v>
      </c>
      <c r="Y287" s="120" t="b">
        <f t="shared" si="227"/>
        <v>0</v>
      </c>
      <c r="Z287" s="117">
        <f t="shared" si="228"/>
        <v>0</v>
      </c>
      <c r="AA287" s="118"/>
      <c r="AB287" s="118" t="str">
        <f t="shared" si="229"/>
        <v/>
      </c>
      <c r="AC287" s="712" t="str">
        <f>IF(AE287="T2G","no charge",IF(AND(OR(PlanterYesMe="No",PlanterYesMe="N",PlanterYesMe="me"),H287=""),"",IF(H287="credit","NO install",IF(AND(K287="",AE287="me"),"EACH row",IF(AND(K287="images",AE287="me"),"EACH row",IF(D287="","",IF(H287="credit","",IF(AE287="free","re-planting",IF(AE287="me","   not ELP, by",IF(AND(OR(PlanterYesMe="Yes",PlanterYesMe="Y"),G287&gt;0),(VLOOKUP(A287,'Discount Lookup'!J:K,2)*G287*(1-PlanterDiscount)*(1+PlanterDifficultyPercentage)),IF(AE287="ELP",(VLOOKUP(A287,'Discount Lookup'!J:K,2)*G287*(1-PlanterDiscount)*(1+PlanterDifficultyPercentage)),IF(AE287="free","re-planting",IF(G287=0,"",IF(PlanterYesMe="",IF(AE287="me","   not ELP, by",IF(AE287="",IF(G287&gt;0,(VLOOKUP(A287,'Discount Lookup'!J:K,2)*G287*(1-PlanterDiscount)*(1+PlanterDifficultyPercentage)),""),"")),"   not ELP, by"))))))))))))))</f>
        <v/>
      </c>
      <c r="AD287" s="712"/>
      <c r="AE287" s="513" t="str">
        <f t="shared" si="230"/>
        <v/>
      </c>
      <c r="AF287" s="713" t="str">
        <f t="shared" si="231"/>
        <v/>
      </c>
      <c r="AG287" s="713"/>
      <c r="AH287" s="713"/>
      <c r="AI287" s="112">
        <f>IF(H287="credit",0,IF(AE287="free",0,IF(AE287="me",0,IF(G287&gt;0,(VLOOKUP(A287,'Discount Lookup'!J:K,2)*G287),0))))</f>
        <v>0</v>
      </c>
      <c r="AJ287" s="107" t="str">
        <f t="shared" ca="1" si="232"/>
        <v/>
      </c>
      <c r="AK287" s="714" t="str">
        <f t="shared" si="233"/>
        <v/>
      </c>
      <c r="AL287" s="714"/>
      <c r="AM287" s="114" t="str">
        <f t="shared" si="234"/>
        <v/>
      </c>
      <c r="AN287" s="115"/>
      <c r="AO287" s="116"/>
      <c r="AP287" s="116"/>
      <c r="AQ287" s="116"/>
      <c r="AR287" s="116"/>
      <c r="AS287" s="116"/>
      <c r="AT287" s="116"/>
      <c r="AU287" s="116"/>
      <c r="AV287" s="78"/>
      <c r="AW287" s="102"/>
      <c r="AX287" s="78"/>
      <c r="AY287" s="78"/>
      <c r="AZ287" s="78"/>
      <c r="BA287" s="78"/>
      <c r="BB287" s="78"/>
      <c r="BC287" s="78"/>
      <c r="BD287" s="78"/>
      <c r="BE287" s="465"/>
      <c r="BF287" s="165" t="str">
        <f t="shared" si="235"/>
        <v>https://www.google.com/search?tbm=isch&amp;q=Acorus%20calamus%20%27Variegatus%27%20Variegated%20Sweet%20Flag</v>
      </c>
      <c r="BG287" s="165" t="str">
        <f t="shared" si="236"/>
        <v>A</v>
      </c>
      <c r="BH287" s="65"/>
      <c r="BI287" s="65"/>
      <c r="BJ287" s="65"/>
      <c r="BK287" s="65"/>
      <c r="BL287" s="99"/>
      <c r="BM287" s="99"/>
      <c r="BN287" s="99"/>
    </row>
    <row r="288" spans="1:66" s="51" customFormat="1" ht="15.75" x14ac:dyDescent="0.25">
      <c r="A288" s="478">
        <v>1</v>
      </c>
      <c r="B288" s="479" t="s">
        <v>291</v>
      </c>
      <c r="C288" s="480" t="s">
        <v>1409</v>
      </c>
      <c r="D288" s="481" t="s">
        <v>309</v>
      </c>
      <c r="E288" s="482">
        <v>8.9499999999999993</v>
      </c>
      <c r="F288" s="483" t="s">
        <v>292</v>
      </c>
      <c r="G288" s="484">
        <v>0</v>
      </c>
      <c r="H288" s="688" t="str">
        <f>IF(G288=0,"",IF(F288="Buy",IF(G288=1,"plant","plants"),IF(F288&gt;0.01,"warranty","Error")))</f>
        <v/>
      </c>
      <c r="I288" s="485">
        <f>IF(H288="free",0,IF(H288="credit",((E288*(F288))*G288*-1),IF(F288="Buy",(E288*G288),((E288*(1-F288))*G288))))</f>
        <v>0</v>
      </c>
      <c r="J288" s="485">
        <f>IF(H288="warranty",0,(I288*(_xlfn.SINGLE(SalesTaxPercentage))))</f>
        <v>0</v>
      </c>
      <c r="K288" s="715">
        <f t="shared" ref="K288" si="242">I288+J288</f>
        <v>0</v>
      </c>
      <c r="L288" s="715"/>
      <c r="M288" s="689" t="str">
        <f ca="1">IF(AND(G288&gt;0,E288=0),"WARNING - no PRICE inserted",IF(H288="free","FREE ~ no charge this plant",IF(H288="credit",CONCATENATE("-$",ROUND(K288*(1-_xlfn.SINGLE(T2GDiscount))*-1,2)," CREDIT after discount"),IF(_xlfn.SINGLE(T2GDiscount)=0,"",IF(G288=0,"",IF(F288="Buy",CONCATENATE("$",ROUND(K288*(1-_xlfn.SINGLE(T2GDiscount)),2)," with ",(_xlfn.SINGLE(T2GDiscount)*100),"% discount"),CONCATENATE("$",ROUND(K288*(1-_xlfn.SINGLE(T2GDiscount)),2)," with ",((_xlfn.SINGLE(T2GDiscount)*100+F288*100)-(_xlfn.SINGLE(T2GDiscount)*100*F288)),IF(F288&gt;0,"% discounts",IF(_xlfn.SINGLE(NoWarrantyDiscount)&gt;0,"% discounts","% discount")))))))))</f>
        <v/>
      </c>
      <c r="N288" s="690"/>
      <c r="O288" s="486"/>
      <c r="P288" s="486"/>
      <c r="Q288" s="486"/>
      <c r="R288" s="486"/>
      <c r="S288" s="486"/>
      <c r="T288" s="102">
        <f t="shared" si="224"/>
        <v>0</v>
      </c>
      <c r="U288" s="78">
        <f>IF(NOT(ISNUMBER(G288)), "", VLOOKUP(A288,'Discount Lookup'!D:E,2,FALSE)*G288)</f>
        <v>0</v>
      </c>
      <c r="V288" s="78">
        <f>IF(NOT(ISNUMBER(G288)), "", VLOOKUP(A288,'Discount Lookup'!G:H,2,FALSE)*G288)</f>
        <v>0</v>
      </c>
      <c r="W288" s="102">
        <f t="shared" si="225"/>
        <v>0</v>
      </c>
      <c r="X288" s="102">
        <f t="shared" si="226"/>
        <v>0</v>
      </c>
      <c r="Y288" s="120" t="b">
        <f t="shared" si="227"/>
        <v>0</v>
      </c>
      <c r="Z288" s="117">
        <f t="shared" si="228"/>
        <v>0</v>
      </c>
      <c r="AA288" s="118"/>
      <c r="AB288" s="118" t="str">
        <f t="shared" si="229"/>
        <v/>
      </c>
      <c r="AC288" s="712" t="str">
        <f>IF(AE288="T2G","no charge",IF(AND(OR(PlanterYesMe="No",PlanterYesMe="N",PlanterYesMe="me"),H288=""),"",IF(H288="credit","NO install",IF(AND(K288="",AE288="me"),"EACH row",IF(AND(K288="images",AE288="me"),"EACH row",IF(D288="","",IF(H288="credit","",IF(AE288="free","re-planting",IF(AE288="me","   not ELP, by",IF(AND(OR(PlanterYesMe="Yes",PlanterYesMe="Y"),G288&gt;0),(VLOOKUP(A288,'Discount Lookup'!J:K,2)*G288*(1-PlanterDiscount)*(1+PlanterDifficultyPercentage)),IF(AE288="ELP",(VLOOKUP(A288,'Discount Lookup'!J:K,2)*G288*(1-PlanterDiscount)*(1+PlanterDifficultyPercentage)),IF(AE288="free","re-planting",IF(G288=0,"",IF(PlanterYesMe="",IF(AE288="me","   not ELP, by",IF(AE288="",IF(G288&gt;0,(VLOOKUP(A288,'Discount Lookup'!J:K,2)*G288*(1-PlanterDiscount)*(1+PlanterDifficultyPercentage)),""),"")),"   not ELP, by"))))))))))))))</f>
        <v/>
      </c>
      <c r="AD288" s="712"/>
      <c r="AE288" s="513" t="str">
        <f t="shared" si="230"/>
        <v/>
      </c>
      <c r="AF288" s="713" t="str">
        <f t="shared" si="231"/>
        <v/>
      </c>
      <c r="AG288" s="713"/>
      <c r="AH288" s="713"/>
      <c r="AI288" s="112">
        <f>IF(H288="credit",0,IF(AE288="free",0,IF(AE288="me",0,IF(G288&gt;0,(VLOOKUP(A288,'Discount Lookup'!J:K,2)*G288),0))))</f>
        <v>0</v>
      </c>
      <c r="AJ288" s="107" t="str">
        <f t="shared" ca="1" si="232"/>
        <v/>
      </c>
      <c r="AK288" s="714" t="str">
        <f t="shared" si="233"/>
        <v/>
      </c>
      <c r="AL288" s="714"/>
      <c r="AM288" s="114" t="str">
        <f t="shared" si="234"/>
        <v/>
      </c>
      <c r="AN288" s="115"/>
      <c r="AO288" s="116"/>
      <c r="AP288" s="116"/>
      <c r="AQ288" s="116"/>
      <c r="AR288" s="116"/>
      <c r="AS288" s="116"/>
      <c r="AT288" s="116"/>
      <c r="AU288" s="116"/>
      <c r="AV288" s="78"/>
      <c r="AW288" s="102"/>
      <c r="AX288" s="78"/>
      <c r="AY288" s="78"/>
      <c r="AZ288" s="78"/>
      <c r="BA288" s="78"/>
      <c r="BB288" s="78"/>
      <c r="BC288" s="78"/>
      <c r="BD288" s="78"/>
      <c r="BE288" s="465"/>
      <c r="BF288" s="165" t="str">
        <f t="shared" si="235"/>
        <v>https://www.google.com/search?tbm=isch&amp;q=1%20G3</v>
      </c>
      <c r="BG288" s="165" t="str">
        <f t="shared" si="236"/>
        <v>A</v>
      </c>
      <c r="BH288" s="65"/>
      <c r="BI288" s="65"/>
      <c r="BJ288" s="65"/>
      <c r="BK288" s="65"/>
      <c r="BL288" s="99"/>
      <c r="BM288" s="99"/>
      <c r="BN288" s="99"/>
    </row>
    <row r="289" spans="1:66" s="51" customFormat="1" ht="15.75" x14ac:dyDescent="0.25">
      <c r="A289" s="478">
        <v>1</v>
      </c>
      <c r="B289" s="479" t="s">
        <v>291</v>
      </c>
      <c r="C289" s="480"/>
      <c r="D289" s="481" t="s">
        <v>329</v>
      </c>
      <c r="E289" s="482">
        <v>11.95</v>
      </c>
      <c r="F289" s="483" t="s">
        <v>292</v>
      </c>
      <c r="G289" s="484">
        <v>0</v>
      </c>
      <c r="H289" s="688" t="str">
        <f>IF(G289=0,"",IF(F289="Buy",IF(G289=1,"plant","plants"),IF(F289&gt;0.01,"warranty","Error")))</f>
        <v/>
      </c>
      <c r="I289" s="485">
        <f>IF(H289="free",0,IF(H289="credit",((E289*(F289))*G289*-1),IF(F289="Buy",(E289*G289),((E289*(1-F289))*G289))))</f>
        <v>0</v>
      </c>
      <c r="J289" s="485">
        <f>IF(H289="warranty",0,(I289*(_xlfn.SINGLE(SalesTaxPercentage))))</f>
        <v>0</v>
      </c>
      <c r="K289" s="715">
        <f t="shared" ref="K289" si="243">I289+J289</f>
        <v>0</v>
      </c>
      <c r="L289" s="715"/>
      <c r="M289" s="689" t="str">
        <f ca="1">IF(AND(G289&gt;0,E289=0),"WARNING - no PRICE inserted",IF(H289="free","FREE ~ no charge this plant",IF(H289="credit",CONCATENATE("-$",ROUND(K289*(1-_xlfn.SINGLE(T2GDiscount))*-1,2)," CREDIT after discount"),IF(_xlfn.SINGLE(T2GDiscount)=0,"",IF(G289=0,"",IF(F289="Buy",CONCATENATE("$",ROUND(K289*(1-_xlfn.SINGLE(T2GDiscount)),2)," with ",(_xlfn.SINGLE(T2GDiscount)*100),"% discount"),CONCATENATE("$",ROUND(K289*(1-_xlfn.SINGLE(T2GDiscount)),2)," with ",((_xlfn.SINGLE(T2GDiscount)*100+F289*100)-(_xlfn.SINGLE(T2GDiscount)*100*F289)),IF(F289&gt;0,"% discounts",IF(_xlfn.SINGLE(NoWarrantyDiscount)&gt;0,"% discounts","% discount")))))))))</f>
        <v/>
      </c>
      <c r="N289" s="690"/>
      <c r="O289" s="486"/>
      <c r="P289" s="486"/>
      <c r="Q289" s="486"/>
      <c r="R289" s="486"/>
      <c r="S289" s="486"/>
      <c r="T289" s="102">
        <f t="shared" si="224"/>
        <v>0</v>
      </c>
      <c r="U289" s="78">
        <f>IF(NOT(ISNUMBER(G289)), "", VLOOKUP(A289,'Discount Lookup'!D:E,2,FALSE)*G289)</f>
        <v>0</v>
      </c>
      <c r="V289" s="78">
        <f>IF(NOT(ISNUMBER(G289)), "", VLOOKUP(A289,'Discount Lookup'!G:H,2,FALSE)*G289)</f>
        <v>0</v>
      </c>
      <c r="W289" s="102">
        <f t="shared" si="225"/>
        <v>0</v>
      </c>
      <c r="X289" s="102">
        <f t="shared" si="226"/>
        <v>0</v>
      </c>
      <c r="Y289" s="120" t="b">
        <f t="shared" si="227"/>
        <v>0</v>
      </c>
      <c r="Z289" s="117">
        <f t="shared" si="228"/>
        <v>0</v>
      </c>
      <c r="AA289" s="118"/>
      <c r="AB289" s="118" t="str">
        <f t="shared" si="229"/>
        <v/>
      </c>
      <c r="AC289" s="712" t="str">
        <f>IF(AE289="T2G","no charge",IF(AND(OR(PlanterYesMe="No",PlanterYesMe="N",PlanterYesMe="me"),H289=""),"",IF(H289="credit","NO install",IF(AND(K289="",AE289="me"),"EACH row",IF(AND(K289="images",AE289="me"),"EACH row",IF(D289="","",IF(H289="credit","",IF(AE289="free","re-planting",IF(AE289="me","   not ELP, by",IF(AND(OR(PlanterYesMe="Yes",PlanterYesMe="Y"),G289&gt;0),(VLOOKUP(A289,'Discount Lookup'!J:K,2)*G289*(1-PlanterDiscount)*(1+PlanterDifficultyPercentage)),IF(AE289="ELP",(VLOOKUP(A289,'Discount Lookup'!J:K,2)*G289*(1-PlanterDiscount)*(1+PlanterDifficultyPercentage)),IF(AE289="free","re-planting",IF(G289=0,"",IF(PlanterYesMe="",IF(AE289="me","   not ELP, by",IF(AE289="",IF(G289&gt;0,(VLOOKUP(A289,'Discount Lookup'!J:K,2)*G289*(1-PlanterDiscount)*(1+PlanterDifficultyPercentage)),""),"")),"   not ELP, by"))))))))))))))</f>
        <v/>
      </c>
      <c r="AD289" s="712"/>
      <c r="AE289" s="513" t="str">
        <f t="shared" si="230"/>
        <v/>
      </c>
      <c r="AF289" s="713" t="str">
        <f t="shared" si="231"/>
        <v/>
      </c>
      <c r="AG289" s="713"/>
      <c r="AH289" s="713"/>
      <c r="AI289" s="112">
        <f>IF(H289="credit",0,IF(AE289="free",0,IF(AE289="me",0,IF(G289&gt;0,(VLOOKUP(A289,'Discount Lookup'!J:K,2)*G289),0))))</f>
        <v>0</v>
      </c>
      <c r="AJ289" s="107" t="str">
        <f t="shared" ca="1" si="232"/>
        <v/>
      </c>
      <c r="AK289" s="714" t="str">
        <f t="shared" si="233"/>
        <v/>
      </c>
      <c r="AL289" s="714"/>
      <c r="AM289" s="114" t="str">
        <f t="shared" si="234"/>
        <v/>
      </c>
      <c r="AN289" s="115"/>
      <c r="AO289" s="116"/>
      <c r="AP289" s="116"/>
      <c r="AQ289" s="116"/>
      <c r="AR289" s="116"/>
      <c r="AS289" s="116"/>
      <c r="AT289" s="116"/>
      <c r="AU289" s="116"/>
      <c r="AV289" s="78"/>
      <c r="AW289" s="102"/>
      <c r="AX289" s="78"/>
      <c r="AY289" s="78"/>
      <c r="AZ289" s="78"/>
      <c r="BA289" s="78"/>
      <c r="BB289" s="78"/>
      <c r="BC289" s="78"/>
      <c r="BD289" s="78"/>
      <c r="BE289" s="465"/>
      <c r="BF289" s="165" t="str">
        <f t="shared" si="235"/>
        <v>https://www.google.com/search?tbm=isch&amp;q=1%20G2</v>
      </c>
      <c r="BG289" s="165" t="str">
        <f t="shared" si="236"/>
        <v>A</v>
      </c>
      <c r="BH289" s="65"/>
      <c r="BI289" s="65"/>
      <c r="BJ289" s="65"/>
      <c r="BK289" s="65"/>
      <c r="BL289" s="99"/>
      <c r="BM289" s="99"/>
      <c r="BN289" s="99"/>
    </row>
    <row r="290" spans="1:66" s="51" customFormat="1" ht="16.5" thickBot="1" x14ac:dyDescent="0.3">
      <c r="A290" s="705" t="s">
        <v>5321</v>
      </c>
      <c r="B290" s="487"/>
      <c r="C290" s="707"/>
      <c r="D290" s="487"/>
      <c r="E290" s="487"/>
      <c r="F290" s="488"/>
      <c r="G290" s="489"/>
      <c r="H290" s="487"/>
      <c r="I290" s="490"/>
      <c r="J290" s="490"/>
      <c r="K290" s="491"/>
      <c r="L290" s="547"/>
      <c r="M290" s="528"/>
      <c r="N290" s="492"/>
      <c r="O290" s="493"/>
      <c r="P290" s="494"/>
      <c r="Q290" s="492"/>
      <c r="R290" s="492"/>
      <c r="S290" s="696" t="s">
        <v>5255</v>
      </c>
      <c r="T290" s="102">
        <f t="shared" si="224"/>
        <v>0</v>
      </c>
      <c r="U290" s="78" t="str">
        <f>IF(NOT(ISNUMBER(G290)), "", VLOOKUP(A290,'Discount Lookup'!D:E,2,FALSE)*G290)</f>
        <v/>
      </c>
      <c r="V290" s="78" t="str">
        <f>IF(NOT(ISNUMBER(G290)), "", VLOOKUP(A290,'Discount Lookup'!G:H,2,FALSE)*G290)</f>
        <v/>
      </c>
      <c r="W290" s="102">
        <f t="shared" si="225"/>
        <v>0</v>
      </c>
      <c r="X290" s="102">
        <f t="shared" si="226"/>
        <v>0</v>
      </c>
      <c r="Y290" s="120" t="b">
        <f t="shared" si="227"/>
        <v>0</v>
      </c>
      <c r="Z290" s="117">
        <f t="shared" si="228"/>
        <v>0</v>
      </c>
      <c r="AA290" s="118"/>
      <c r="AB290" s="118" t="str">
        <f t="shared" si="229"/>
        <v/>
      </c>
      <c r="AC290" s="712" t="str">
        <f>IF(AE290="T2G","no charge",IF(AND(OR(PlanterYesMe="No",PlanterYesMe="N",PlanterYesMe="me"),H290=""),"",IF(H290="credit","NO install",IF(AND(K290="",AE290="me"),"EACH row",IF(AND(K290="images",AE290="me"),"EACH row",IF(D290="","",IF(H290="credit","",IF(AE290="free","re-planting",IF(AE290="me","   not ELP, by",IF(AND(OR(PlanterYesMe="Yes",PlanterYesMe="Y"),G290&gt;0),(VLOOKUP(A290,'Discount Lookup'!J:K,2)*G290*(1-PlanterDiscount)*(1+PlanterDifficultyPercentage)),IF(AE290="ELP",(VLOOKUP(A290,'Discount Lookup'!J:K,2)*G290*(1-PlanterDiscount)*(1+PlanterDifficultyPercentage)),IF(AE290="free","re-planting",IF(G290=0,"",IF(PlanterYesMe="",IF(AE290="me","   not ELP, by",IF(AE290="",IF(G290&gt;0,(VLOOKUP(A290,'Discount Lookup'!J:K,2)*G290*(1-PlanterDiscount)*(1+PlanterDifficultyPercentage)),""),"")),"   not ELP, by"))))))))))))))</f>
        <v/>
      </c>
      <c r="AD290" s="712"/>
      <c r="AE290" s="513" t="str">
        <f t="shared" si="230"/>
        <v/>
      </c>
      <c r="AF290" s="713" t="str">
        <f t="shared" si="231"/>
        <v/>
      </c>
      <c r="AG290" s="713"/>
      <c r="AH290" s="713"/>
      <c r="AI290" s="112">
        <f>IF(H290="credit",0,IF(AE290="free",0,IF(AE290="me",0,IF(G290&gt;0,(VLOOKUP(A290,'Discount Lookup'!J:K,2)*G290),0))))</f>
        <v>0</v>
      </c>
      <c r="AJ290" s="107" t="str">
        <f t="shared" ca="1" si="232"/>
        <v/>
      </c>
      <c r="AK290" s="714" t="str">
        <f t="shared" si="233"/>
        <v/>
      </c>
      <c r="AL290" s="714"/>
      <c r="AM290" s="114" t="str">
        <f t="shared" si="234"/>
        <v/>
      </c>
      <c r="AN290" s="115"/>
      <c r="AO290" s="116"/>
      <c r="AP290" s="116"/>
      <c r="AQ290" s="116"/>
      <c r="AR290" s="116"/>
      <c r="AS290" s="116"/>
      <c r="AT290" s="116"/>
      <c r="AU290" s="116"/>
      <c r="AV290" s="78"/>
      <c r="AW290" s="102"/>
      <c r="AX290" s="78"/>
      <c r="AY290" s="78"/>
      <c r="AZ290" s="78"/>
      <c r="BA290" s="78"/>
      <c r="BB290" s="78"/>
      <c r="BC290" s="78"/>
      <c r="BD290" s="78"/>
      <c r="BE290" s="465"/>
      <c r="BF290" s="165" t="str">
        <f t="shared" si="235"/>
        <v>https://www.google.com/search?tbm=isch&amp;q=wet%20sites%F0%9F%92%A7BEST%2C%20Variegated%20Sweet%20Flag%20is%20great%20for%20standing%20water.%20Will%20spread%20by%20rhizomes.%20Foliage%20citrus%2Fspice%20smell%20when%20crushed%20</v>
      </c>
      <c r="BG290" s="165" t="str">
        <f t="shared" si="236"/>
        <v>w</v>
      </c>
      <c r="BH290" s="65"/>
      <c r="BI290" s="65"/>
      <c r="BJ290" s="65"/>
      <c r="BK290" s="65"/>
      <c r="BL290" s="99"/>
      <c r="BM290" s="99"/>
      <c r="BN290" s="99"/>
    </row>
    <row r="291" spans="1:66" s="51" customFormat="1" ht="18" x14ac:dyDescent="0.25">
      <c r="A291" s="507" t="s">
        <v>1410</v>
      </c>
      <c r="B291" s="470"/>
      <c r="C291" s="706"/>
      <c r="D291" s="471" t="s">
        <v>1411</v>
      </c>
      <c r="E291" s="472"/>
      <c r="F291" s="472"/>
      <c r="G291" s="472"/>
      <c r="H291" s="622" t="s">
        <v>1412</v>
      </c>
      <c r="I291" s="473" t="s">
        <v>443</v>
      </c>
      <c r="J291" s="472"/>
      <c r="K291" s="472"/>
      <c r="L291" s="561"/>
      <c r="M291" s="698" t="s">
        <v>5246</v>
      </c>
      <c r="N291" s="692" t="str">
        <f>IF(AND(ISTEXT($A291), ISERROR($A291+0)), HYPERLINK($BF291, "Images"), "")</f>
        <v>Images</v>
      </c>
      <c r="O291" s="694" t="s">
        <v>5244</v>
      </c>
      <c r="P291" s="475"/>
      <c r="Q291" s="476"/>
      <c r="R291" s="476"/>
      <c r="S291" s="477"/>
      <c r="T291" s="102">
        <f t="shared" si="224"/>
        <v>0</v>
      </c>
      <c r="U291" s="78" t="str">
        <f>IF(NOT(ISNUMBER(G291)), "", VLOOKUP(A291,'Discount Lookup'!D:E,2,FALSE)*G291)</f>
        <v/>
      </c>
      <c r="V291" s="78" t="str">
        <f>IF(NOT(ISNUMBER(G291)), "", VLOOKUP(A291,'Discount Lookup'!G:H,2,FALSE)*G291)</f>
        <v/>
      </c>
      <c r="W291" s="102">
        <f t="shared" si="225"/>
        <v>0</v>
      </c>
      <c r="X291" s="102" t="str">
        <f t="shared" si="226"/>
        <v>Golden-Yellow foliage</v>
      </c>
      <c r="Y291" s="120" t="b">
        <f t="shared" si="227"/>
        <v>0</v>
      </c>
      <c r="Z291" s="117">
        <f t="shared" si="228"/>
        <v>0</v>
      </c>
      <c r="AA291" s="118"/>
      <c r="AB291" s="118" t="str">
        <f t="shared" si="229"/>
        <v/>
      </c>
      <c r="AC291" s="712" t="str">
        <f>IF(AE291="T2G","no charge",IF(AND(OR(PlanterYesMe="No",PlanterYesMe="N",PlanterYesMe="me"),H291=""),"",IF(H291="credit","NO install",IF(AND(K291="",AE291="me"),"EACH row",IF(AND(K291="images",AE291="me"),"EACH row",IF(D291="","",IF(H291="credit","",IF(AE291="free","re-planting",IF(AE291="me","   not ELP, by",IF(AND(OR(PlanterYesMe="Yes",PlanterYesMe="Y"),G291&gt;0),(VLOOKUP(A291,'Discount Lookup'!J:K,2)*G291*(1-PlanterDiscount)*(1+PlanterDifficultyPercentage)),IF(AE291="ELP",(VLOOKUP(A291,'Discount Lookup'!J:K,2)*G291*(1-PlanterDiscount)*(1+PlanterDifficultyPercentage)),IF(AE291="free","re-planting",IF(G291=0,"",IF(PlanterYesMe="",IF(AE291="me","   not ELP, by",IF(AE291="",IF(G291&gt;0,(VLOOKUP(A291,'Discount Lookup'!J:K,2)*G291*(1-PlanterDiscount)*(1+PlanterDifficultyPercentage)),""),"")),"   not ELP, by"))))))))))))))</f>
        <v/>
      </c>
      <c r="AD291" s="712"/>
      <c r="AE291" s="513" t="str">
        <f t="shared" si="230"/>
        <v/>
      </c>
      <c r="AF291" s="713" t="str">
        <f t="shared" si="231"/>
        <v/>
      </c>
      <c r="AG291" s="713"/>
      <c r="AH291" s="713"/>
      <c r="AI291" s="112">
        <f>IF(H291="credit",0,IF(AE291="free",0,IF(AE291="me",0,IF(G291&gt;0,(VLOOKUP(A291,'Discount Lookup'!J:K,2)*G291),0))))</f>
        <v>0</v>
      </c>
      <c r="AJ291" s="107" t="str">
        <f t="shared" ca="1" si="232"/>
        <v/>
      </c>
      <c r="AK291" s="714" t="str">
        <f t="shared" si="233"/>
        <v/>
      </c>
      <c r="AL291" s="714"/>
      <c r="AM291" s="114" t="str">
        <f t="shared" si="234"/>
        <v/>
      </c>
      <c r="AN291" s="115"/>
      <c r="AO291" s="116"/>
      <c r="AP291" s="116"/>
      <c r="AQ291" s="116"/>
      <c r="AR291" s="116"/>
      <c r="AS291" s="116"/>
      <c r="AT291" s="116"/>
      <c r="AU291" s="116"/>
      <c r="AV291" s="78"/>
      <c r="AW291" s="102"/>
      <c r="AX291" s="78"/>
      <c r="AY291" s="78"/>
      <c r="AZ291" s="78"/>
      <c r="BA291" s="78"/>
      <c r="BB291" s="78"/>
      <c r="BC291" s="78"/>
      <c r="BD291" s="78"/>
      <c r="BE291" s="465"/>
      <c r="BF291" s="165" t="str">
        <f t="shared" si="235"/>
        <v>https://www.google.com/search?tbm=isch&amp;q=Acorus%20gramineus%20%27Minimus%20Aureus%27%20Dwarf%20Golden%20Sweet%20Flag</v>
      </c>
      <c r="BG291" s="165" t="str">
        <f t="shared" si="236"/>
        <v>A</v>
      </c>
      <c r="BH291" s="65"/>
      <c r="BI291" s="65"/>
      <c r="BJ291" s="65"/>
      <c r="BK291" s="65"/>
      <c r="BL291" s="99"/>
      <c r="BM291" s="99"/>
      <c r="BN291" s="99"/>
    </row>
    <row r="292" spans="1:66" s="51" customFormat="1" ht="15.75" x14ac:dyDescent="0.25">
      <c r="A292" s="478">
        <v>4</v>
      </c>
      <c r="B292" s="479" t="s">
        <v>291</v>
      </c>
      <c r="C292" s="480" t="s">
        <v>1413</v>
      </c>
      <c r="D292" s="481" t="s">
        <v>293</v>
      </c>
      <c r="E292" s="482">
        <v>158.94999999999999</v>
      </c>
      <c r="F292" s="483" t="s">
        <v>292</v>
      </c>
      <c r="G292" s="484">
        <v>0</v>
      </c>
      <c r="H292" s="688" t="str">
        <f>IF(G292=0,"",IF(F292="Buy",IF(G292=1,"plant","plants"),IF(F292&gt;0.01,"warranty","Error")))</f>
        <v/>
      </c>
      <c r="I292" s="485">
        <f>IF(H292="free",0,IF(H292="credit",((E292*(F292))*G292*-1),IF(F292="Buy",(E292*G292),((E292*(1-F292))*G292))))</f>
        <v>0</v>
      </c>
      <c r="J292" s="485">
        <f>IF(H292="warranty",0,(I292*(_xlfn.SINGLE(SalesTaxPercentage))))</f>
        <v>0</v>
      </c>
      <c r="K292" s="715">
        <f t="shared" ref="K292" si="244">I292+J292</f>
        <v>0</v>
      </c>
      <c r="L292" s="715"/>
      <c r="M292" s="689" t="str">
        <f ca="1">IF(AND(G292&gt;0,E292=0),"WARNING - no PRICE inserted",IF(H292="free","FREE ~ no charge this plant",IF(H292="credit",CONCATENATE("-$",ROUND(K292*(1-_xlfn.SINGLE(T2GDiscount))*-1,2)," CREDIT after discount"),IF(_xlfn.SINGLE(T2GDiscount)=0,"",IF(G292=0,"",IF(F292="Buy",CONCATENATE("$",ROUND(K292*(1-_xlfn.SINGLE(T2GDiscount)),2)," with ",(_xlfn.SINGLE(T2GDiscount)*100),"% discount"),CONCATENATE("$",ROUND(K292*(1-_xlfn.SINGLE(T2GDiscount)),2)," with ",((_xlfn.SINGLE(T2GDiscount)*100+F292*100)-(_xlfn.SINGLE(T2GDiscount)*100*F292)),IF(F292&gt;0,"% discounts",IF(_xlfn.SINGLE(NoWarrantyDiscount)&gt;0,"% discounts","% discount")))))))))</f>
        <v/>
      </c>
      <c r="N292" s="690"/>
      <c r="O292" s="486"/>
      <c r="P292" s="486"/>
      <c r="Q292" s="486"/>
      <c r="R292" s="486"/>
      <c r="S292" s="486"/>
      <c r="T292" s="102">
        <f t="shared" si="224"/>
        <v>0</v>
      </c>
      <c r="U292" s="78">
        <f>IF(NOT(ISNUMBER(G292)), "", VLOOKUP(A292,'Discount Lookup'!D:E,2,FALSE)*G292)</f>
        <v>0</v>
      </c>
      <c r="V292" s="78">
        <f>IF(NOT(ISNUMBER(G292)), "", VLOOKUP(A292,'Discount Lookup'!G:H,2,FALSE)*G292)</f>
        <v>0</v>
      </c>
      <c r="W292" s="102">
        <f t="shared" si="225"/>
        <v>0</v>
      </c>
      <c r="X292" s="102">
        <f t="shared" si="226"/>
        <v>0</v>
      </c>
      <c r="Y292" s="120" t="b">
        <f t="shared" si="227"/>
        <v>0</v>
      </c>
      <c r="Z292" s="117">
        <f t="shared" si="228"/>
        <v>0</v>
      </c>
      <c r="AA292" s="118"/>
      <c r="AB292" s="118" t="str">
        <f t="shared" si="229"/>
        <v/>
      </c>
      <c r="AC292" s="712" t="str">
        <f>IF(AE292="T2G","no charge",IF(AND(OR(PlanterYesMe="No",PlanterYesMe="N",PlanterYesMe="me"),H292=""),"",IF(H292="credit","NO install",IF(AND(K292="",AE292="me"),"EACH row",IF(AND(K292="images",AE292="me"),"EACH row",IF(D292="","",IF(H292="credit","",IF(AE292="free","re-planting",IF(AE292="me","   not ELP, by",IF(AND(OR(PlanterYesMe="Yes",PlanterYesMe="Y"),G292&gt;0),(VLOOKUP(A292,'Discount Lookup'!J:K,2)*G292*(1-PlanterDiscount)*(1+PlanterDifficultyPercentage)),IF(AE292="ELP",(VLOOKUP(A292,'Discount Lookup'!J:K,2)*G292*(1-PlanterDiscount)*(1+PlanterDifficultyPercentage)),IF(AE292="free","re-planting",IF(G292=0,"",IF(PlanterYesMe="",IF(AE292="me","   not ELP, by",IF(AE292="",IF(G292&gt;0,(VLOOKUP(A292,'Discount Lookup'!J:K,2)*G292*(1-PlanterDiscount)*(1+PlanterDifficultyPercentage)),""),"")),"   not ELP, by"))))))))))))))</f>
        <v/>
      </c>
      <c r="AD292" s="712"/>
      <c r="AE292" s="513" t="str">
        <f t="shared" si="230"/>
        <v/>
      </c>
      <c r="AF292" s="713" t="str">
        <f t="shared" si="231"/>
        <v/>
      </c>
      <c r="AG292" s="713"/>
      <c r="AH292" s="713"/>
      <c r="AI292" s="112">
        <f>IF(H292="credit",0,IF(AE292="free",0,IF(AE292="me",0,IF(G292&gt;0,(VLOOKUP(A292,'Discount Lookup'!J:K,2)*G292),0))))</f>
        <v>0</v>
      </c>
      <c r="AJ292" s="107" t="str">
        <f t="shared" ca="1" si="232"/>
        <v/>
      </c>
      <c r="AK292" s="714" t="str">
        <f t="shared" si="233"/>
        <v/>
      </c>
      <c r="AL292" s="714"/>
      <c r="AM292" s="114" t="str">
        <f t="shared" si="234"/>
        <v/>
      </c>
      <c r="AN292" s="115"/>
      <c r="AO292" s="116"/>
      <c r="AP292" s="116"/>
      <c r="AQ292" s="116"/>
      <c r="AR292" s="116"/>
      <c r="AS292" s="116"/>
      <c r="AT292" s="116"/>
      <c r="AU292" s="116"/>
      <c r="AV292" s="78"/>
      <c r="AW292" s="102"/>
      <c r="AX292" s="78"/>
      <c r="AY292" s="78"/>
      <c r="AZ292" s="78"/>
      <c r="BA292" s="78"/>
      <c r="BB292" s="78"/>
      <c r="BC292" s="78"/>
      <c r="BD292" s="78"/>
      <c r="BE292" s="465"/>
      <c r="BF292" s="165" t="str">
        <f t="shared" si="235"/>
        <v>https://www.google.com/search?tbm=isch&amp;q=4%20G6</v>
      </c>
      <c r="BG292" s="165" t="str">
        <f t="shared" si="236"/>
        <v>A</v>
      </c>
      <c r="BH292" s="65"/>
      <c r="BI292" s="65"/>
      <c r="BJ292" s="65"/>
      <c r="BK292" s="65"/>
      <c r="BL292" s="99"/>
      <c r="BM292" s="99"/>
      <c r="BN292" s="99"/>
    </row>
    <row r="293" spans="1:66" s="51" customFormat="1" ht="16.5" thickBot="1" x14ac:dyDescent="0.3">
      <c r="A293" s="705" t="s">
        <v>5322</v>
      </c>
      <c r="B293" s="487"/>
      <c r="C293" s="707"/>
      <c r="D293" s="487"/>
      <c r="E293" s="487"/>
      <c r="F293" s="488"/>
      <c r="G293" s="489"/>
      <c r="H293" s="487"/>
      <c r="I293" s="490"/>
      <c r="J293" s="490"/>
      <c r="K293" s="491"/>
      <c r="L293" s="547"/>
      <c r="M293" s="528"/>
      <c r="N293" s="492"/>
      <c r="O293" s="493"/>
      <c r="P293" s="494"/>
      <c r="Q293" s="492"/>
      <c r="R293" s="492"/>
      <c r="S293" s="696" t="s">
        <v>5255</v>
      </c>
      <c r="T293" s="102">
        <f t="shared" si="224"/>
        <v>0</v>
      </c>
      <c r="U293" s="78" t="str">
        <f>IF(NOT(ISNUMBER(G293)), "", VLOOKUP(A293,'Discount Lookup'!D:E,2,FALSE)*G293)</f>
        <v/>
      </c>
      <c r="V293" s="78" t="str">
        <f>IF(NOT(ISNUMBER(G293)), "", VLOOKUP(A293,'Discount Lookup'!G:H,2,FALSE)*G293)</f>
        <v/>
      </c>
      <c r="W293" s="102">
        <f t="shared" si="225"/>
        <v>0</v>
      </c>
      <c r="X293" s="102">
        <f t="shared" si="226"/>
        <v>0</v>
      </c>
      <c r="Y293" s="120" t="b">
        <f t="shared" si="227"/>
        <v>0</v>
      </c>
      <c r="Z293" s="117">
        <f t="shared" si="228"/>
        <v>0</v>
      </c>
      <c r="AA293" s="118"/>
      <c r="AB293" s="118" t="str">
        <f t="shared" si="229"/>
        <v/>
      </c>
      <c r="AC293" s="712" t="str">
        <f>IF(AE293="T2G","no charge",IF(AND(OR(PlanterYesMe="No",PlanterYesMe="N",PlanterYesMe="me"),H293=""),"",IF(H293="credit","NO install",IF(AND(K293="",AE293="me"),"EACH row",IF(AND(K293="images",AE293="me"),"EACH row",IF(D293="","",IF(H293="credit","",IF(AE293="free","re-planting",IF(AE293="me","   not ELP, by",IF(AND(OR(PlanterYesMe="Yes",PlanterYesMe="Y"),G293&gt;0),(VLOOKUP(A293,'Discount Lookup'!J:K,2)*G293*(1-PlanterDiscount)*(1+PlanterDifficultyPercentage)),IF(AE293="ELP",(VLOOKUP(A293,'Discount Lookup'!J:K,2)*G293*(1-PlanterDiscount)*(1+PlanterDifficultyPercentage)),IF(AE293="free","re-planting",IF(G293=0,"",IF(PlanterYesMe="",IF(AE293="me","   not ELP, by",IF(AE293="",IF(G293&gt;0,(VLOOKUP(A293,'Discount Lookup'!J:K,2)*G293*(1-PlanterDiscount)*(1+PlanterDifficultyPercentage)),""),"")),"   not ELP, by"))))))))))))))</f>
        <v/>
      </c>
      <c r="AD293" s="712"/>
      <c r="AE293" s="513" t="str">
        <f t="shared" si="230"/>
        <v/>
      </c>
      <c r="AF293" s="713" t="str">
        <f t="shared" si="231"/>
        <v/>
      </c>
      <c r="AG293" s="713"/>
      <c r="AH293" s="713"/>
      <c r="AI293" s="112">
        <f>IF(H293="credit",0,IF(AE293="free",0,IF(AE293="me",0,IF(G293&gt;0,(VLOOKUP(A293,'Discount Lookup'!J:K,2)*G293),0))))</f>
        <v>0</v>
      </c>
      <c r="AJ293" s="107" t="str">
        <f t="shared" ca="1" si="232"/>
        <v/>
      </c>
      <c r="AK293" s="714" t="str">
        <f t="shared" si="233"/>
        <v/>
      </c>
      <c r="AL293" s="714"/>
      <c r="AM293" s="114" t="str">
        <f t="shared" si="234"/>
        <v/>
      </c>
      <c r="AN293" s="115"/>
      <c r="AO293" s="116"/>
      <c r="AP293" s="116"/>
      <c r="AQ293" s="116"/>
      <c r="AR293" s="116"/>
      <c r="AS293" s="116"/>
      <c r="AT293" s="116"/>
      <c r="AU293" s="116"/>
      <c r="AV293" s="78"/>
      <c r="AW293" s="102"/>
      <c r="AX293" s="78"/>
      <c r="AY293" s="78"/>
      <c r="AZ293" s="78"/>
      <c r="BA293" s="78"/>
      <c r="BB293" s="78"/>
      <c r="BC293" s="78"/>
      <c r="BD293" s="78"/>
      <c r="BE293" s="465"/>
      <c r="BF293" s="165" t="str">
        <f t="shared" si="235"/>
        <v>https://www.google.com/search?tbm=isch&amp;q=wet%20sites%F0%9F%92%A7BEST%2C%20Dwarf%20Golden%20forms%20a%20dense%2C%20Golden%20carpet%20of%20aromatic%20foliage%20%28sweet%2Fspicy%29%20that%20lights%20up%20damp%2C%20shady%20spots%20</v>
      </c>
      <c r="BG293" s="165" t="str">
        <f t="shared" si="236"/>
        <v>w</v>
      </c>
      <c r="BH293" s="65"/>
      <c r="BI293" s="65"/>
      <c r="BJ293" s="65"/>
      <c r="BK293" s="65"/>
      <c r="BL293" s="99"/>
      <c r="BM293" s="99"/>
      <c r="BN293" s="99"/>
    </row>
    <row r="294" spans="1:66" s="51" customFormat="1" ht="18" x14ac:dyDescent="0.25">
      <c r="A294" s="507" t="s">
        <v>1414</v>
      </c>
      <c r="B294" s="470"/>
      <c r="C294" s="706"/>
      <c r="D294" s="471" t="s">
        <v>1415</v>
      </c>
      <c r="E294" s="472"/>
      <c r="F294" s="472"/>
      <c r="G294" s="472"/>
      <c r="H294" s="622" t="s">
        <v>1403</v>
      </c>
      <c r="I294" s="473" t="s">
        <v>1408</v>
      </c>
      <c r="J294" s="472"/>
      <c r="K294" s="472"/>
      <c r="L294" s="561"/>
      <c r="M294" s="698" t="s">
        <v>5246</v>
      </c>
      <c r="N294" s="692" t="str">
        <f>IF(AND(ISTEXT($A294), ISERROR($A294+0)), HYPERLINK($BF294, "Images"), "")</f>
        <v>Images</v>
      </c>
      <c r="O294" s="694" t="s">
        <v>5244</v>
      </c>
      <c r="P294" s="475"/>
      <c r="Q294" s="476"/>
      <c r="R294" s="476"/>
      <c r="S294" s="477"/>
      <c r="T294" s="102">
        <f t="shared" si="224"/>
        <v>0</v>
      </c>
      <c r="U294" s="78" t="str">
        <f>IF(NOT(ISNUMBER(G294)), "", VLOOKUP(A294,'Discount Lookup'!D:E,2,FALSE)*G294)</f>
        <v/>
      </c>
      <c r="V294" s="78" t="str">
        <f>IF(NOT(ISNUMBER(G294)), "", VLOOKUP(A294,'Discount Lookup'!G:H,2,FALSE)*G294)</f>
        <v/>
      </c>
      <c r="W294" s="102">
        <f t="shared" si="225"/>
        <v>0</v>
      </c>
      <c r="X294" s="102" t="str">
        <f t="shared" si="226"/>
        <v>White-Yellow stripes</v>
      </c>
      <c r="Y294" s="120" t="b">
        <f t="shared" si="227"/>
        <v>0</v>
      </c>
      <c r="Z294" s="117">
        <f t="shared" si="228"/>
        <v>0</v>
      </c>
      <c r="AA294" s="118"/>
      <c r="AB294" s="118" t="str">
        <f t="shared" si="229"/>
        <v/>
      </c>
      <c r="AC294" s="712" t="str">
        <f>IF(AE294="T2G","no charge",IF(AND(OR(PlanterYesMe="No",PlanterYesMe="N",PlanterYesMe="me"),H294=""),"",IF(H294="credit","NO install",IF(AND(K294="",AE294="me"),"EACH row",IF(AND(K294="images",AE294="me"),"EACH row",IF(D294="","",IF(H294="credit","",IF(AE294="free","re-planting",IF(AE294="me","   not ELP, by",IF(AND(OR(PlanterYesMe="Yes",PlanterYesMe="Y"),G294&gt;0),(VLOOKUP(A294,'Discount Lookup'!J:K,2)*G294*(1-PlanterDiscount)*(1+PlanterDifficultyPercentage)),IF(AE294="ELP",(VLOOKUP(A294,'Discount Lookup'!J:K,2)*G294*(1-PlanterDiscount)*(1+PlanterDifficultyPercentage)),IF(AE294="free","re-planting",IF(G294=0,"",IF(PlanterYesMe="",IF(AE294="me","   not ELP, by",IF(AE294="",IF(G294&gt;0,(VLOOKUP(A294,'Discount Lookup'!J:K,2)*G294*(1-PlanterDiscount)*(1+PlanterDifficultyPercentage)),""),"")),"   not ELP, by"))))))))))))))</f>
        <v/>
      </c>
      <c r="AD294" s="712"/>
      <c r="AE294" s="513" t="str">
        <f t="shared" si="230"/>
        <v/>
      </c>
      <c r="AF294" s="713" t="str">
        <f t="shared" si="231"/>
        <v/>
      </c>
      <c r="AG294" s="713"/>
      <c r="AH294" s="713"/>
      <c r="AI294" s="112">
        <f>IF(H294="credit",0,IF(AE294="free",0,IF(AE294="me",0,IF(G294&gt;0,(VLOOKUP(A294,'Discount Lookup'!J:K,2)*G294),0))))</f>
        <v>0</v>
      </c>
      <c r="AJ294" s="107" t="str">
        <f t="shared" ca="1" si="232"/>
        <v/>
      </c>
      <c r="AK294" s="714" t="str">
        <f t="shared" si="233"/>
        <v/>
      </c>
      <c r="AL294" s="714"/>
      <c r="AM294" s="114" t="str">
        <f t="shared" si="234"/>
        <v/>
      </c>
      <c r="AN294" s="115"/>
      <c r="AO294" s="116"/>
      <c r="AP294" s="116"/>
      <c r="AQ294" s="116"/>
      <c r="AR294" s="116"/>
      <c r="AS294" s="116"/>
      <c r="AT294" s="116"/>
      <c r="AU294" s="116"/>
      <c r="AV294" s="78"/>
      <c r="AW294" s="102"/>
      <c r="AX294" s="78"/>
      <c r="AY294" s="78"/>
      <c r="AZ294" s="78"/>
      <c r="BA294" s="78"/>
      <c r="BB294" s="78"/>
      <c r="BC294" s="78"/>
      <c r="BD294" s="78"/>
      <c r="BE294" s="465"/>
      <c r="BF294" s="165" t="str">
        <f t="shared" si="235"/>
        <v>https://www.google.com/search?tbm=isch&amp;q=Acorus%20gramineus%20%27Ogon%27%20Ogon%20Sweet%20Flag</v>
      </c>
      <c r="BG294" s="165" t="str">
        <f t="shared" si="236"/>
        <v>A</v>
      </c>
      <c r="BH294" s="65"/>
      <c r="BI294" s="65"/>
      <c r="BJ294" s="65"/>
      <c r="BK294" s="65"/>
      <c r="BL294" s="99"/>
      <c r="BM294" s="99"/>
      <c r="BN294" s="99"/>
    </row>
    <row r="295" spans="1:66" s="51" customFormat="1" ht="15.75" x14ac:dyDescent="0.25">
      <c r="A295" s="478">
        <v>1</v>
      </c>
      <c r="B295" s="479" t="s">
        <v>291</v>
      </c>
      <c r="C295" s="480" t="s">
        <v>1416</v>
      </c>
      <c r="D295" s="481" t="s">
        <v>309</v>
      </c>
      <c r="E295" s="482">
        <v>8.9499999999999993</v>
      </c>
      <c r="F295" s="483" t="s">
        <v>292</v>
      </c>
      <c r="G295" s="484">
        <v>0</v>
      </c>
      <c r="H295" s="688" t="str">
        <f>IF(G295=0,"",IF(F295="Buy",IF(G295=1,"plant","plants"),IF(F295&gt;0.01,"warranty","Error")))</f>
        <v/>
      </c>
      <c r="I295" s="485">
        <f>IF(H295="free",0,IF(H295="credit",((E295*(F295))*G295*-1),IF(F295="Buy",(E295*G295),((E295*(1-F295))*G295))))</f>
        <v>0</v>
      </c>
      <c r="J295" s="485">
        <f>IF(H295="warranty",0,(I295*(_xlfn.SINGLE(SalesTaxPercentage))))</f>
        <v>0</v>
      </c>
      <c r="K295" s="715">
        <f t="shared" ref="K295" si="245">I295+J295</f>
        <v>0</v>
      </c>
      <c r="L295" s="715"/>
      <c r="M295" s="689" t="str">
        <f ca="1">IF(AND(G295&gt;0,E295=0),"WARNING - no PRICE inserted",IF(H295="free","FREE ~ no charge this plant",IF(H295="credit",CONCATENATE("-$",ROUND(K295*(1-_xlfn.SINGLE(T2GDiscount))*-1,2)," CREDIT after discount"),IF(_xlfn.SINGLE(T2GDiscount)=0,"",IF(G295=0,"",IF(F295="Buy",CONCATENATE("$",ROUND(K295*(1-_xlfn.SINGLE(T2GDiscount)),2)," with ",(_xlfn.SINGLE(T2GDiscount)*100),"% discount"),CONCATENATE("$",ROUND(K295*(1-_xlfn.SINGLE(T2GDiscount)),2)," with ",((_xlfn.SINGLE(T2GDiscount)*100+F295*100)-(_xlfn.SINGLE(T2GDiscount)*100*F295)),IF(F295&gt;0,"% discounts",IF(_xlfn.SINGLE(NoWarrantyDiscount)&gt;0,"% discounts","% discount")))))))))</f>
        <v/>
      </c>
      <c r="N295" s="690"/>
      <c r="O295" s="486"/>
      <c r="P295" s="486"/>
      <c r="Q295" s="486"/>
      <c r="R295" s="486"/>
      <c r="S295" s="486"/>
      <c r="T295" s="102">
        <f t="shared" si="224"/>
        <v>0</v>
      </c>
      <c r="U295" s="78">
        <f>IF(NOT(ISNUMBER(G295)), "", VLOOKUP(A295,'Discount Lookup'!D:E,2,FALSE)*G295)</f>
        <v>0</v>
      </c>
      <c r="V295" s="78">
        <f>IF(NOT(ISNUMBER(G295)), "", VLOOKUP(A295,'Discount Lookup'!G:H,2,FALSE)*G295)</f>
        <v>0</v>
      </c>
      <c r="W295" s="102">
        <f t="shared" si="225"/>
        <v>0</v>
      </c>
      <c r="X295" s="102">
        <f t="shared" si="226"/>
        <v>0</v>
      </c>
      <c r="Y295" s="120" t="b">
        <f t="shared" si="227"/>
        <v>0</v>
      </c>
      <c r="Z295" s="117">
        <f t="shared" si="228"/>
        <v>0</v>
      </c>
      <c r="AA295" s="118"/>
      <c r="AB295" s="118" t="str">
        <f t="shared" si="229"/>
        <v/>
      </c>
      <c r="AC295" s="712" t="str">
        <f>IF(AE295="T2G","no charge",IF(AND(OR(PlanterYesMe="No",PlanterYesMe="N",PlanterYesMe="me"),H295=""),"",IF(H295="credit","NO install",IF(AND(K295="",AE295="me"),"EACH row",IF(AND(K295="images",AE295="me"),"EACH row",IF(D295="","",IF(H295="credit","",IF(AE295="free","re-planting",IF(AE295="me","   not ELP, by",IF(AND(OR(PlanterYesMe="Yes",PlanterYesMe="Y"),G295&gt;0),(VLOOKUP(A295,'Discount Lookup'!J:K,2)*G295*(1-PlanterDiscount)*(1+PlanterDifficultyPercentage)),IF(AE295="ELP",(VLOOKUP(A295,'Discount Lookup'!J:K,2)*G295*(1-PlanterDiscount)*(1+PlanterDifficultyPercentage)),IF(AE295="free","re-planting",IF(G295=0,"",IF(PlanterYesMe="",IF(AE295="me","   not ELP, by",IF(AE295="",IF(G295&gt;0,(VLOOKUP(A295,'Discount Lookup'!J:K,2)*G295*(1-PlanterDiscount)*(1+PlanterDifficultyPercentage)),""),"")),"   not ELP, by"))))))))))))))</f>
        <v/>
      </c>
      <c r="AD295" s="712"/>
      <c r="AE295" s="513" t="str">
        <f t="shared" si="230"/>
        <v/>
      </c>
      <c r="AF295" s="713" t="str">
        <f t="shared" si="231"/>
        <v/>
      </c>
      <c r="AG295" s="713"/>
      <c r="AH295" s="713"/>
      <c r="AI295" s="112">
        <f>IF(H295="credit",0,IF(AE295="free",0,IF(AE295="me",0,IF(G295&gt;0,(VLOOKUP(A295,'Discount Lookup'!J:K,2)*G295),0))))</f>
        <v>0</v>
      </c>
      <c r="AJ295" s="107" t="str">
        <f t="shared" ca="1" si="232"/>
        <v/>
      </c>
      <c r="AK295" s="714" t="str">
        <f t="shared" si="233"/>
        <v/>
      </c>
      <c r="AL295" s="714"/>
      <c r="AM295" s="114" t="str">
        <f t="shared" si="234"/>
        <v/>
      </c>
      <c r="AN295" s="115"/>
      <c r="AO295" s="116"/>
      <c r="AP295" s="116"/>
      <c r="AQ295" s="116"/>
      <c r="AR295" s="116"/>
      <c r="AS295" s="116"/>
      <c r="AT295" s="116"/>
      <c r="AU295" s="116"/>
      <c r="AV295" s="78"/>
      <c r="AW295" s="102"/>
      <c r="AX295" s="78"/>
      <c r="AY295" s="78"/>
      <c r="AZ295" s="78"/>
      <c r="BA295" s="78"/>
      <c r="BB295" s="78"/>
      <c r="BC295" s="78"/>
      <c r="BD295" s="78"/>
      <c r="BE295" s="465"/>
      <c r="BF295" s="165" t="str">
        <f t="shared" si="235"/>
        <v>https://www.google.com/search?tbm=isch&amp;q=1%20G3</v>
      </c>
      <c r="BG295" s="165" t="str">
        <f t="shared" si="236"/>
        <v>A</v>
      </c>
      <c r="BH295" s="65"/>
      <c r="BI295" s="65"/>
      <c r="BJ295" s="65"/>
      <c r="BK295" s="65"/>
      <c r="BL295" s="99"/>
      <c r="BM295" s="99"/>
      <c r="BN295" s="99"/>
    </row>
    <row r="296" spans="1:66" s="51" customFormat="1" ht="15.75" x14ac:dyDescent="0.25">
      <c r="A296" s="478">
        <v>1</v>
      </c>
      <c r="B296" s="479" t="s">
        <v>291</v>
      </c>
      <c r="C296" s="480" t="s">
        <v>4952</v>
      </c>
      <c r="D296" s="481" t="s">
        <v>293</v>
      </c>
      <c r="E296" s="482">
        <v>14.95</v>
      </c>
      <c r="F296" s="483" t="s">
        <v>292</v>
      </c>
      <c r="G296" s="484">
        <v>0</v>
      </c>
      <c r="H296" s="688" t="str">
        <f>IF(G296=0,"",IF(F296="Buy",IF(G296=1,"plant","plants"),IF(F296&gt;0.01,"warranty","Error")))</f>
        <v/>
      </c>
      <c r="I296" s="485">
        <f>IF(H296="free",0,IF(H296="credit",((E296*(F296))*G296*-1),IF(F296="Buy",(E296*G296),((E296*(1-F296))*G296))))</f>
        <v>0</v>
      </c>
      <c r="J296" s="485">
        <f>IF(H296="warranty",0,(I296*(_xlfn.SINGLE(SalesTaxPercentage))))</f>
        <v>0</v>
      </c>
      <c r="K296" s="715">
        <f t="shared" ref="K296" si="246">I296+J296</f>
        <v>0</v>
      </c>
      <c r="L296" s="715"/>
      <c r="M296" s="689" t="str">
        <f ca="1">IF(AND(G296&gt;0,E296=0),"WARNING - no PRICE inserted",IF(H296="free","FREE ~ no charge this plant",IF(H296="credit",CONCATENATE("-$",ROUND(K296*(1-_xlfn.SINGLE(T2GDiscount))*-1,2)," CREDIT after discount"),IF(_xlfn.SINGLE(T2GDiscount)=0,"",IF(G296=0,"",IF(F296="Buy",CONCATENATE("$",ROUND(K296*(1-_xlfn.SINGLE(T2GDiscount)),2)," with ",(_xlfn.SINGLE(T2GDiscount)*100),"% discount"),CONCATENATE("$",ROUND(K296*(1-_xlfn.SINGLE(T2GDiscount)),2)," with ",((_xlfn.SINGLE(T2GDiscount)*100+F296*100)-(_xlfn.SINGLE(T2GDiscount)*100*F296)),IF(F296&gt;0,"% discounts",IF(_xlfn.SINGLE(NoWarrantyDiscount)&gt;0,"% discounts","% discount")))))))))</f>
        <v/>
      </c>
      <c r="N296" s="690"/>
      <c r="O296" s="486"/>
      <c r="P296" s="486"/>
      <c r="Q296" s="486"/>
      <c r="R296" s="486"/>
      <c r="S296" s="486"/>
      <c r="T296" s="102">
        <f t="shared" si="224"/>
        <v>0</v>
      </c>
      <c r="U296" s="78">
        <f>IF(NOT(ISNUMBER(G296)), "", VLOOKUP(A296,'Discount Lookup'!D:E,2,FALSE)*G296)</f>
        <v>0</v>
      </c>
      <c r="V296" s="78">
        <f>IF(NOT(ISNUMBER(G296)), "", VLOOKUP(A296,'Discount Lookup'!G:H,2,FALSE)*G296)</f>
        <v>0</v>
      </c>
      <c r="W296" s="102">
        <f t="shared" si="225"/>
        <v>0</v>
      </c>
      <c r="X296" s="102">
        <f t="shared" si="226"/>
        <v>0</v>
      </c>
      <c r="Y296" s="120" t="b">
        <f t="shared" si="227"/>
        <v>0</v>
      </c>
      <c r="Z296" s="117">
        <f t="shared" si="228"/>
        <v>0</v>
      </c>
      <c r="AA296" s="118"/>
      <c r="AB296" s="118" t="str">
        <f t="shared" si="229"/>
        <v/>
      </c>
      <c r="AC296" s="712" t="str">
        <f>IF(AE296="T2G","no charge",IF(AND(OR(PlanterYesMe="No",PlanterYesMe="N",PlanterYesMe="me"),H296=""),"",IF(H296="credit","NO install",IF(AND(K296="",AE296="me"),"EACH row",IF(AND(K296="images",AE296="me"),"EACH row",IF(D296="","",IF(H296="credit","",IF(AE296="free","re-planting",IF(AE296="me","   not ELP, by",IF(AND(OR(PlanterYesMe="Yes",PlanterYesMe="Y"),G296&gt;0),(VLOOKUP(A296,'Discount Lookup'!J:K,2)*G296*(1-PlanterDiscount)*(1+PlanterDifficultyPercentage)),IF(AE296="ELP",(VLOOKUP(A296,'Discount Lookup'!J:K,2)*G296*(1-PlanterDiscount)*(1+PlanterDifficultyPercentage)),IF(AE296="free","re-planting",IF(G296=0,"",IF(PlanterYesMe="",IF(AE296="me","   not ELP, by",IF(AE296="",IF(G296&gt;0,(VLOOKUP(A296,'Discount Lookup'!J:K,2)*G296*(1-PlanterDiscount)*(1+PlanterDifficultyPercentage)),""),"")),"   not ELP, by"))))))))))))))</f>
        <v/>
      </c>
      <c r="AD296" s="712"/>
      <c r="AE296" s="513" t="str">
        <f t="shared" si="230"/>
        <v/>
      </c>
      <c r="AF296" s="713" t="str">
        <f t="shared" si="231"/>
        <v/>
      </c>
      <c r="AG296" s="713"/>
      <c r="AH296" s="713"/>
      <c r="AI296" s="112">
        <f>IF(H296="credit",0,IF(AE296="free",0,IF(AE296="me",0,IF(G296&gt;0,(VLOOKUP(A296,'Discount Lookup'!J:K,2)*G296),0))))</f>
        <v>0</v>
      </c>
      <c r="AJ296" s="107" t="str">
        <f t="shared" ca="1" si="232"/>
        <v/>
      </c>
      <c r="AK296" s="714" t="str">
        <f t="shared" si="233"/>
        <v/>
      </c>
      <c r="AL296" s="714"/>
      <c r="AM296" s="114" t="str">
        <f t="shared" si="234"/>
        <v/>
      </c>
      <c r="AN296" s="115"/>
      <c r="AO296" s="116"/>
      <c r="AP296" s="116"/>
      <c r="AQ296" s="116"/>
      <c r="AR296" s="116"/>
      <c r="AS296" s="116"/>
      <c r="AT296" s="116"/>
      <c r="AU296" s="116"/>
      <c r="AV296" s="78"/>
      <c r="AW296" s="102"/>
      <c r="AX296" s="78"/>
      <c r="AY296" s="78"/>
      <c r="AZ296" s="78"/>
      <c r="BA296" s="78"/>
      <c r="BB296" s="78"/>
      <c r="BC296" s="78"/>
      <c r="BD296" s="78"/>
      <c r="BE296" s="465"/>
      <c r="BF296" s="165" t="str">
        <f t="shared" si="235"/>
        <v>https://www.google.com/search?tbm=isch&amp;q=1%20G6</v>
      </c>
      <c r="BG296" s="165" t="str">
        <f t="shared" si="236"/>
        <v>A</v>
      </c>
      <c r="BH296" s="65"/>
      <c r="BI296" s="65"/>
      <c r="BJ296" s="65"/>
      <c r="BK296" s="65"/>
      <c r="BL296" s="99"/>
      <c r="BM296" s="99"/>
      <c r="BN296" s="99"/>
    </row>
    <row r="297" spans="1:66" s="51" customFormat="1" ht="15.75" x14ac:dyDescent="0.25">
      <c r="A297" s="705" t="s">
        <v>5323</v>
      </c>
      <c r="B297" s="487"/>
      <c r="C297" s="707"/>
      <c r="D297" s="487"/>
      <c r="E297" s="487"/>
      <c r="F297" s="488"/>
      <c r="G297" s="489"/>
      <c r="H297" s="487"/>
      <c r="I297" s="490"/>
      <c r="J297" s="490"/>
      <c r="K297" s="491"/>
      <c r="L297" s="547"/>
      <c r="M297" s="528"/>
      <c r="N297" s="492"/>
      <c r="O297" s="493"/>
      <c r="P297" s="494"/>
      <c r="Q297" s="492"/>
      <c r="R297" s="492"/>
      <c r="S297" s="696" t="s">
        <v>5255</v>
      </c>
      <c r="T297" s="102">
        <f t="shared" si="224"/>
        <v>0</v>
      </c>
      <c r="U297" s="78" t="str">
        <f>IF(NOT(ISNUMBER(G297)), "", VLOOKUP(A297,'Discount Lookup'!D:E,2,FALSE)*G297)</f>
        <v/>
      </c>
      <c r="V297" s="78" t="str">
        <f>IF(NOT(ISNUMBER(G297)), "", VLOOKUP(A297,'Discount Lookup'!G:H,2,FALSE)*G297)</f>
        <v/>
      </c>
      <c r="W297" s="102">
        <f t="shared" si="225"/>
        <v>0</v>
      </c>
      <c r="X297" s="102">
        <f t="shared" si="226"/>
        <v>0</v>
      </c>
      <c r="Y297" s="120" t="b">
        <f t="shared" si="227"/>
        <v>0</v>
      </c>
      <c r="Z297" s="117">
        <f t="shared" si="228"/>
        <v>0</v>
      </c>
      <c r="AA297" s="118"/>
      <c r="AB297" s="118" t="str">
        <f t="shared" si="229"/>
        <v/>
      </c>
      <c r="AC297" s="712" t="str">
        <f>IF(AE297="T2G","no charge",IF(AND(OR(PlanterYesMe="No",PlanterYesMe="N",PlanterYesMe="me"),H297=""),"",IF(H297="credit","NO install",IF(AND(K297="",AE297="me"),"EACH row",IF(AND(K297="images",AE297="me"),"EACH row",IF(D297="","",IF(H297="credit","",IF(AE297="free","re-planting",IF(AE297="me","   not ELP, by",IF(AND(OR(PlanterYesMe="Yes",PlanterYesMe="Y"),G297&gt;0),(VLOOKUP(A297,'Discount Lookup'!J:K,2)*G297*(1-PlanterDiscount)*(1+PlanterDifficultyPercentage)),IF(AE297="ELP",(VLOOKUP(A297,'Discount Lookup'!J:K,2)*G297*(1-PlanterDiscount)*(1+PlanterDifficultyPercentage)),IF(AE297="free","re-planting",IF(G297=0,"",IF(PlanterYesMe="",IF(AE297="me","   not ELP, by",IF(AE297="",IF(G297&gt;0,(VLOOKUP(A297,'Discount Lookup'!J:K,2)*G297*(1-PlanterDiscount)*(1+PlanterDifficultyPercentage)),""),"")),"   not ELP, by"))))))))))))))</f>
        <v/>
      </c>
      <c r="AD297" s="712"/>
      <c r="AE297" s="513" t="str">
        <f t="shared" si="230"/>
        <v/>
      </c>
      <c r="AF297" s="713" t="str">
        <f t="shared" si="231"/>
        <v/>
      </c>
      <c r="AG297" s="713"/>
      <c r="AH297" s="713"/>
      <c r="AI297" s="112">
        <f>IF(H297="credit",0,IF(AE297="free",0,IF(AE297="me",0,IF(G297&gt;0,(VLOOKUP(A297,'Discount Lookup'!J:K,2)*G297),0))))</f>
        <v>0</v>
      </c>
      <c r="AJ297" s="107" t="str">
        <f t="shared" ca="1" si="232"/>
        <v/>
      </c>
      <c r="AK297" s="714" t="str">
        <f t="shared" si="233"/>
        <v/>
      </c>
      <c r="AL297" s="714"/>
      <c r="AM297" s="114" t="str">
        <f t="shared" si="234"/>
        <v/>
      </c>
      <c r="AN297" s="115"/>
      <c r="AO297" s="116"/>
      <c r="AP297" s="116"/>
      <c r="AQ297" s="116"/>
      <c r="AR297" s="116"/>
      <c r="AS297" s="116"/>
      <c r="AT297" s="116"/>
      <c r="AU297" s="116"/>
      <c r="AV297" s="78"/>
      <c r="AW297" s="102"/>
      <c r="AX297" s="78"/>
      <c r="AY297" s="78"/>
      <c r="AZ297" s="78"/>
      <c r="BA297" s="78"/>
      <c r="BB297" s="78"/>
      <c r="BC297" s="78"/>
      <c r="BD297" s="78"/>
      <c r="BE297" s="465"/>
      <c r="BF297" s="165" t="str">
        <f t="shared" si="235"/>
        <v>https://www.google.com/search?tbm=isch&amp;q=wet%20sites%F0%9F%92%A7BEST%2C%20Ogon%20shows%20off%20vibrant%20foliage%20with%20soft%20arching%20texture.%20Foliage%20emits%20spicy-sweet%20scent%20when%20crushed%20</v>
      </c>
      <c r="BG297" s="165" t="str">
        <f t="shared" si="236"/>
        <v>w</v>
      </c>
      <c r="BH297" s="65"/>
      <c r="BI297" s="65"/>
      <c r="BJ297" s="65"/>
      <c r="BK297" s="65"/>
      <c r="BL297" s="99"/>
      <c r="BM297" s="99"/>
      <c r="BN297" s="99"/>
    </row>
    <row r="298" spans="1:66" s="51" customFormat="1" ht="19.5" thickBot="1" x14ac:dyDescent="0.3">
      <c r="A298" s="686" t="s">
        <v>361</v>
      </c>
      <c r="B298" s="73"/>
      <c r="C298" s="708"/>
      <c r="D298" s="73"/>
      <c r="E298" s="73"/>
      <c r="F298" s="496"/>
      <c r="G298" s="73"/>
      <c r="H298" s="73"/>
      <c r="I298" s="73"/>
      <c r="J298" s="497" t="s">
        <v>357</v>
      </c>
      <c r="K298" s="498"/>
      <c r="L298" s="562"/>
      <c r="M298" s="73"/>
      <c r="N298"/>
      <c r="O298"/>
      <c r="P298"/>
      <c r="Q298"/>
      <c r="R298"/>
      <c r="S298"/>
      <c r="T298" s="102">
        <f t="shared" si="224"/>
        <v>0</v>
      </c>
      <c r="U298" s="78" t="str">
        <f>IF(NOT(ISNUMBER(G298)), "", VLOOKUP(A298,'Discount Lookup'!D:E,2,FALSE)*G298)</f>
        <v/>
      </c>
      <c r="V298" s="78" t="str">
        <f>IF(NOT(ISNUMBER(G298)), "", VLOOKUP(A298,'Discount Lookup'!G:H,2,FALSE)*G298)</f>
        <v/>
      </c>
      <c r="W298" s="102">
        <f t="shared" si="225"/>
        <v>0</v>
      </c>
      <c r="X298" s="102">
        <f t="shared" si="226"/>
        <v>0</v>
      </c>
      <c r="Y298" s="120" t="b">
        <f t="shared" si="227"/>
        <v>0</v>
      </c>
      <c r="Z298" s="117">
        <f t="shared" si="228"/>
        <v>0</v>
      </c>
      <c r="AA298" s="118"/>
      <c r="AB298" s="118" t="str">
        <f t="shared" si="229"/>
        <v/>
      </c>
      <c r="AC298" s="712" t="str">
        <f>IF(AE298="T2G","no charge",IF(AND(OR(PlanterYesMe="No",PlanterYesMe="N",PlanterYesMe="me"),H298=""),"",IF(H298="credit","NO install",IF(AND(K298="",AE298="me"),"EACH row",IF(AND(K298="images",AE298="me"),"EACH row",IF(D298="","",IF(H298="credit","",IF(AE298="free","re-planting",IF(AE298="me","   not ELP, by",IF(AND(OR(PlanterYesMe="Yes",PlanterYesMe="Y"),G298&gt;0),(VLOOKUP(A298,'Discount Lookup'!J:K,2)*G298*(1-PlanterDiscount)*(1+PlanterDifficultyPercentage)),IF(AE298="ELP",(VLOOKUP(A298,'Discount Lookup'!J:K,2)*G298*(1-PlanterDiscount)*(1+PlanterDifficultyPercentage)),IF(AE298="free","re-planting",IF(G298=0,"",IF(PlanterYesMe="",IF(AE298="me","   not ELP, by",IF(AE298="",IF(G298&gt;0,(VLOOKUP(A298,'Discount Lookup'!J:K,2)*G298*(1-PlanterDiscount)*(1+PlanterDifficultyPercentage)),""),"")),"   not ELP, by"))))))))))))))</f>
        <v/>
      </c>
      <c r="AD298" s="712"/>
      <c r="AE298" s="513" t="str">
        <f t="shared" si="230"/>
        <v/>
      </c>
      <c r="AF298" s="713" t="str">
        <f t="shared" si="231"/>
        <v/>
      </c>
      <c r="AG298" s="713"/>
      <c r="AH298" s="713"/>
      <c r="AI298" s="112">
        <f>IF(H298="credit",0,IF(AE298="free",0,IF(AE298="me",0,IF(G298&gt;0,(VLOOKUP(A298,'Discount Lookup'!J:K,2)*G298),0))))</f>
        <v>0</v>
      </c>
      <c r="AJ298" s="107" t="str">
        <f t="shared" ca="1" si="232"/>
        <v/>
      </c>
      <c r="AK298" s="714" t="str">
        <f t="shared" si="233"/>
        <v/>
      </c>
      <c r="AL298" s="714"/>
      <c r="AM298" s="114" t="str">
        <f t="shared" si="234"/>
        <v/>
      </c>
      <c r="AN298" s="115"/>
      <c r="AO298" s="116"/>
      <c r="AP298" s="116"/>
      <c r="AQ298" s="116"/>
      <c r="AR298" s="116"/>
      <c r="AS298" s="116"/>
      <c r="AT298" s="116"/>
      <c r="AU298" s="116"/>
      <c r="AV298" s="78"/>
      <c r="AW298" s="102"/>
      <c r="AX298" s="78"/>
      <c r="AY298" s="78"/>
      <c r="AZ298" s="78"/>
      <c r="BA298" s="78"/>
      <c r="BB298" s="78"/>
      <c r="BC298" s="78"/>
      <c r="BD298" s="78"/>
      <c r="BE298" s="465"/>
      <c r="BF298" s="165" t="str">
        <f t="shared" si="235"/>
        <v>https://www.google.com/search?tbm=isch&amp;q=Aesculus%20%3D%20Buckeye%20</v>
      </c>
      <c r="BG298" s="165" t="str">
        <f t="shared" si="236"/>
        <v>A</v>
      </c>
      <c r="BH298" s="65"/>
      <c r="BI298" s="65"/>
      <c r="BJ298" s="65"/>
      <c r="BK298" s="65"/>
      <c r="BL298" s="99"/>
      <c r="BM298" s="99"/>
      <c r="BN298" s="99"/>
    </row>
    <row r="299" spans="1:66" s="51" customFormat="1" ht="18" x14ac:dyDescent="0.25">
      <c r="A299" s="623" t="s">
        <v>1417</v>
      </c>
      <c r="B299" s="624"/>
      <c r="C299" s="709"/>
      <c r="D299" s="625" t="s">
        <v>1418</v>
      </c>
      <c r="E299" s="626"/>
      <c r="F299" s="626"/>
      <c r="G299" s="626"/>
      <c r="H299" s="622" t="s">
        <v>1419</v>
      </c>
      <c r="I299" s="627" t="s">
        <v>1420</v>
      </c>
      <c r="J299" s="628"/>
      <c r="K299" s="628"/>
      <c r="L299" s="629"/>
      <c r="M299" s="702" t="s">
        <v>5256</v>
      </c>
      <c r="N299" s="693" t="str">
        <f>IF(AND(ISTEXT($A299), ISERROR($A299+0)), HYPERLINK($BF299, "Images"), "")</f>
        <v>Images</v>
      </c>
      <c r="O299" s="695" t="s">
        <v>5244</v>
      </c>
      <c r="P299" s="630"/>
      <c r="Q299" s="631"/>
      <c r="R299" s="632"/>
      <c r="S299" s="633" t="s">
        <v>294</v>
      </c>
      <c r="T299" s="102">
        <f t="shared" si="224"/>
        <v>0</v>
      </c>
      <c r="U299" s="78" t="str">
        <f>IF(NOT(ISNUMBER(G299)), "", VLOOKUP(A299,'Discount Lookup'!D:E,2,FALSE)*G299)</f>
        <v/>
      </c>
      <c r="V299" s="78" t="str">
        <f>IF(NOT(ISNUMBER(G299)), "", VLOOKUP(A299,'Discount Lookup'!G:H,2,FALSE)*G299)</f>
        <v/>
      </c>
      <c r="W299" s="102">
        <f t="shared" si="225"/>
        <v>0</v>
      </c>
      <c r="X299" s="102" t="str">
        <f t="shared" si="226"/>
        <v>White bloom, Red stamen</v>
      </c>
      <c r="Y299" s="120" t="b">
        <f t="shared" si="227"/>
        <v>0</v>
      </c>
      <c r="Z299" s="117">
        <f t="shared" si="228"/>
        <v>0</v>
      </c>
      <c r="AA299" s="118"/>
      <c r="AB299" s="118" t="str">
        <f t="shared" si="229"/>
        <v/>
      </c>
      <c r="AC299" s="712" t="str">
        <f>IF(AE299="T2G","no charge",IF(AND(OR(PlanterYesMe="No",PlanterYesMe="N",PlanterYesMe="me"),H299=""),"",IF(H299="credit","NO install",IF(AND(K299="",AE299="me"),"EACH row",IF(AND(K299="images",AE299="me"),"EACH row",IF(D299="","",IF(H299="credit","",IF(AE299="free","re-planting",IF(AE299="me","   not ELP, by",IF(AND(OR(PlanterYesMe="Yes",PlanterYesMe="Y"),G299&gt;0),(VLOOKUP(A299,'Discount Lookup'!J:K,2)*G299*(1-PlanterDiscount)*(1+PlanterDifficultyPercentage)),IF(AE299="ELP",(VLOOKUP(A299,'Discount Lookup'!J:K,2)*G299*(1-PlanterDiscount)*(1+PlanterDifficultyPercentage)),IF(AE299="free","re-planting",IF(G299=0,"",IF(PlanterYesMe="",IF(AE299="me","   not ELP, by",IF(AE299="",IF(G299&gt;0,(VLOOKUP(A299,'Discount Lookup'!J:K,2)*G299*(1-PlanterDiscount)*(1+PlanterDifficultyPercentage)),""),"")),"   not ELP, by"))))))))))))))</f>
        <v/>
      </c>
      <c r="AD299" s="712"/>
      <c r="AE299" s="513" t="str">
        <f t="shared" si="230"/>
        <v/>
      </c>
      <c r="AF299" s="713" t="str">
        <f t="shared" si="231"/>
        <v/>
      </c>
      <c r="AG299" s="713"/>
      <c r="AH299" s="713"/>
      <c r="AI299" s="112">
        <f>IF(H299="credit",0,IF(AE299="free",0,IF(AE299="me",0,IF(G299&gt;0,(VLOOKUP(A299,'Discount Lookup'!J:K,2)*G299),0))))</f>
        <v>0</v>
      </c>
      <c r="AJ299" s="107" t="str">
        <f t="shared" ca="1" si="232"/>
        <v/>
      </c>
      <c r="AK299" s="714" t="str">
        <f t="shared" si="233"/>
        <v/>
      </c>
      <c r="AL299" s="714"/>
      <c r="AM299" s="114" t="str">
        <f t="shared" si="234"/>
        <v/>
      </c>
      <c r="AN299" s="115"/>
      <c r="AO299" s="116"/>
      <c r="AP299" s="116"/>
      <c r="AQ299" s="116"/>
      <c r="AR299" s="116"/>
      <c r="AS299" s="116"/>
      <c r="AT299" s="116"/>
      <c r="AU299" s="116"/>
      <c r="AV299" s="78"/>
      <c r="AW299" s="102"/>
      <c r="AX299" s="78"/>
      <c r="AY299" s="78"/>
      <c r="AZ299" s="78"/>
      <c r="BA299" s="78"/>
      <c r="BB299" s="78"/>
      <c r="BC299" s="78"/>
      <c r="BD299" s="78"/>
      <c r="BE299" s="465"/>
      <c r="BF299" s="165" t="str">
        <f t="shared" si="235"/>
        <v>https://www.google.com/search?tbm=isch&amp;q=Aesculus%20parviflora%20Bottlebrush%20Buckeye</v>
      </c>
      <c r="BG299" s="165" t="str">
        <f t="shared" si="236"/>
        <v>A</v>
      </c>
      <c r="BH299" s="65"/>
      <c r="BI299" s="65"/>
      <c r="BJ299" s="65"/>
      <c r="BK299" s="65"/>
      <c r="BL299" s="99"/>
      <c r="BM299" s="99"/>
      <c r="BN299" s="99"/>
    </row>
    <row r="300" spans="1:66" s="51" customFormat="1" ht="15.75" x14ac:dyDescent="0.25">
      <c r="A300" s="634">
        <v>7</v>
      </c>
      <c r="B300" s="635" t="s">
        <v>291</v>
      </c>
      <c r="C300" s="636" t="s">
        <v>1421</v>
      </c>
      <c r="D300" s="637" t="s">
        <v>299</v>
      </c>
      <c r="E300" s="638">
        <v>102.95</v>
      </c>
      <c r="F300" s="639" t="s">
        <v>292</v>
      </c>
      <c r="G300" s="484">
        <v>0</v>
      </c>
      <c r="H300" s="691" t="str">
        <f>IF(G300=0,"",IF(F300="Buy",IF(G300=1,"plant","plants"),IF(F300&gt;0.01,"warranty","Error")))</f>
        <v/>
      </c>
      <c r="I300" s="640">
        <f>IF(H300="free",0,IF(H300="credit",((E300*(F300))*G300*-1),IF(F300="Buy",(E300*G300),((E300*(1-F300))*G300))))</f>
        <v>0</v>
      </c>
      <c r="J300" s="640">
        <f>IF(H300="warranty",0,(I300*(_xlfn.SINGLE(SalesTaxPercentage))))</f>
        <v>0</v>
      </c>
      <c r="K300" s="716">
        <f t="shared" ref="K300" si="247">I300+J300</f>
        <v>0</v>
      </c>
      <c r="L300" s="716"/>
      <c r="M300" s="689" t="str">
        <f ca="1">IF(AND(G300&gt;0,E300=0),"WARNING - no PRICE inserted",IF(H300="free","FREE ~ no charge this plant",IF(H300="credit",CONCATENATE("-$",ROUND(K300*(1-_xlfn.SINGLE(T2GDiscount))*-1,2)," CREDIT after discount"),IF(_xlfn.SINGLE(T2GDiscount)=0,"",IF(G300=0,"",IF(F300="Buy",CONCATENATE("$",ROUND(K300*(1-_xlfn.SINGLE(T2GDiscount)),2)," with ",(_xlfn.SINGLE(T2GDiscount)*100),"% discount"),CONCATENATE("$",ROUND(K300*(1-_xlfn.SINGLE(T2GDiscount)),2)," with ",((_xlfn.SINGLE(T2GDiscount)*100+F300*100)-(_xlfn.SINGLE(T2GDiscount)*100*F300)),IF(F300&gt;0,"% discounts",IF(_xlfn.SINGLE(NoWarrantyDiscount)&gt;0,"% discounts","% discount")))))))))</f>
        <v/>
      </c>
      <c r="N300" s="690"/>
      <c r="O300" s="486"/>
      <c r="P300" s="486"/>
      <c r="Q300" s="486"/>
      <c r="R300" s="486"/>
      <c r="S300" s="486"/>
      <c r="T300" s="102">
        <f t="shared" si="224"/>
        <v>0</v>
      </c>
      <c r="U300" s="78">
        <f>IF(NOT(ISNUMBER(G300)), "", VLOOKUP(A300,'Discount Lookup'!D:E,2,FALSE)*G300)</f>
        <v>0</v>
      </c>
      <c r="V300" s="78">
        <f>IF(NOT(ISNUMBER(G300)), "", VLOOKUP(A300,'Discount Lookup'!G:H,2,FALSE)*G300)</f>
        <v>0</v>
      </c>
      <c r="W300" s="102">
        <f t="shared" si="225"/>
        <v>0</v>
      </c>
      <c r="X300" s="102">
        <f t="shared" si="226"/>
        <v>0</v>
      </c>
      <c r="Y300" s="120" t="b">
        <f t="shared" si="227"/>
        <v>0</v>
      </c>
      <c r="Z300" s="117">
        <f t="shared" si="228"/>
        <v>0</v>
      </c>
      <c r="AA300" s="118"/>
      <c r="AB300" s="118" t="str">
        <f t="shared" si="229"/>
        <v/>
      </c>
      <c r="AC300" s="712" t="str">
        <f>IF(AE300="T2G","no charge",IF(AND(OR(PlanterYesMe="No",PlanterYesMe="N",PlanterYesMe="me"),H300=""),"",IF(H300="credit","NO install",IF(AND(K300="",AE300="me"),"EACH row",IF(AND(K300="images",AE300="me"),"EACH row",IF(D300="","",IF(H300="credit","",IF(AE300="free","re-planting",IF(AE300="me","   not ELP, by",IF(AND(OR(PlanterYesMe="Yes",PlanterYesMe="Y"),G300&gt;0),(VLOOKUP(A300,'Discount Lookup'!J:K,2)*G300*(1-PlanterDiscount)*(1+PlanterDifficultyPercentage)),IF(AE300="ELP",(VLOOKUP(A300,'Discount Lookup'!J:K,2)*G300*(1-PlanterDiscount)*(1+PlanterDifficultyPercentage)),IF(AE300="free","re-planting",IF(G300=0,"",IF(PlanterYesMe="",IF(AE300="me","   not ELP, by",IF(AE300="",IF(G300&gt;0,(VLOOKUP(A300,'Discount Lookup'!J:K,2)*G300*(1-PlanterDiscount)*(1+PlanterDifficultyPercentage)),""),"")),"   not ELP, by"))))))))))))))</f>
        <v/>
      </c>
      <c r="AD300" s="712"/>
      <c r="AE300" s="513" t="str">
        <f t="shared" si="230"/>
        <v/>
      </c>
      <c r="AF300" s="713" t="str">
        <f t="shared" si="231"/>
        <v/>
      </c>
      <c r="AG300" s="713"/>
      <c r="AH300" s="713"/>
      <c r="AI300" s="112">
        <f>IF(H300="credit",0,IF(AE300="free",0,IF(AE300="me",0,IF(G300&gt;0,(VLOOKUP(A300,'Discount Lookup'!J:K,2)*G300),0))))</f>
        <v>0</v>
      </c>
      <c r="AJ300" s="107" t="str">
        <f t="shared" ca="1" si="232"/>
        <v/>
      </c>
      <c r="AK300" s="714" t="str">
        <f t="shared" si="233"/>
        <v/>
      </c>
      <c r="AL300" s="714"/>
      <c r="AM300" s="114" t="str">
        <f t="shared" si="234"/>
        <v/>
      </c>
      <c r="AN300" s="115"/>
      <c r="AO300" s="116"/>
      <c r="AP300" s="116"/>
      <c r="AQ300" s="116"/>
      <c r="AR300" s="116"/>
      <c r="AS300" s="116"/>
      <c r="AT300" s="116"/>
      <c r="AU300" s="116"/>
      <c r="AV300" s="78"/>
      <c r="AW300" s="102"/>
      <c r="AX300" s="78"/>
      <c r="AY300" s="78"/>
      <c r="AZ300" s="78"/>
      <c r="BA300" s="78"/>
      <c r="BB300" s="78"/>
      <c r="BC300" s="78"/>
      <c r="BD300" s="78"/>
      <c r="BE300" s="465"/>
      <c r="BF300" s="165" t="str">
        <f t="shared" si="235"/>
        <v>https://www.google.com/search?tbm=isch&amp;q=7%20G4</v>
      </c>
      <c r="BG300" s="165" t="str">
        <f t="shared" si="236"/>
        <v>A</v>
      </c>
      <c r="BH300" s="65"/>
      <c r="BI300" s="65"/>
      <c r="BJ300" s="65"/>
      <c r="BK300" s="65"/>
      <c r="BL300" s="99"/>
      <c r="BM300" s="99"/>
      <c r="BN300" s="99"/>
    </row>
    <row r="301" spans="1:66" s="51" customFormat="1" ht="15.75" x14ac:dyDescent="0.25">
      <c r="A301" s="634">
        <v>15</v>
      </c>
      <c r="B301" s="635" t="s">
        <v>291</v>
      </c>
      <c r="C301" s="636" t="s">
        <v>4561</v>
      </c>
      <c r="D301" s="637" t="s">
        <v>293</v>
      </c>
      <c r="E301" s="638">
        <v>269.95</v>
      </c>
      <c r="F301" s="639" t="s">
        <v>292</v>
      </c>
      <c r="G301" s="484">
        <v>0</v>
      </c>
      <c r="H301" s="691" t="str">
        <f>IF(G301=0,"",IF(F301="Buy",IF(G301=1,"plant","plants"),IF(F301&gt;0.01,"warranty","Error")))</f>
        <v/>
      </c>
      <c r="I301" s="640">
        <f>IF(H301="free",0,IF(H301="credit",((E301*(F301))*G301*-1),IF(F301="Buy",(E301*G301),((E301*(1-F301))*G301))))</f>
        <v>0</v>
      </c>
      <c r="J301" s="640">
        <f>IF(H301="warranty",0,(I301*(_xlfn.SINGLE(SalesTaxPercentage))))</f>
        <v>0</v>
      </c>
      <c r="K301" s="716">
        <f t="shared" ref="K301" si="248">I301+J301</f>
        <v>0</v>
      </c>
      <c r="L301" s="716"/>
      <c r="M301" s="689" t="str">
        <f ca="1">IF(AND(G301&gt;0,E301=0),"WARNING - no PRICE inserted",IF(H301="free","FREE ~ no charge this plant",IF(H301="credit",CONCATENATE("-$",ROUND(K301*(1-_xlfn.SINGLE(T2GDiscount))*-1,2)," CREDIT after discount"),IF(_xlfn.SINGLE(T2GDiscount)=0,"",IF(G301=0,"",IF(F301="Buy",CONCATENATE("$",ROUND(K301*(1-_xlfn.SINGLE(T2GDiscount)),2)," with ",(_xlfn.SINGLE(T2GDiscount)*100),"% discount"),CONCATENATE("$",ROUND(K301*(1-_xlfn.SINGLE(T2GDiscount)),2)," with ",((_xlfn.SINGLE(T2GDiscount)*100+F301*100)-(_xlfn.SINGLE(T2GDiscount)*100*F301)),IF(F301&gt;0,"% discounts",IF(_xlfn.SINGLE(NoWarrantyDiscount)&gt;0,"% discounts","% discount")))))))))</f>
        <v/>
      </c>
      <c r="N301" s="690"/>
      <c r="O301" s="486"/>
      <c r="P301" s="486"/>
      <c r="Q301" s="486"/>
      <c r="R301" s="486"/>
      <c r="S301" s="486"/>
      <c r="T301" s="102">
        <f t="shared" si="224"/>
        <v>0</v>
      </c>
      <c r="U301" s="78">
        <f>IF(NOT(ISNUMBER(G301)), "", VLOOKUP(A301,'Discount Lookup'!D:E,2,FALSE)*G301)</f>
        <v>0</v>
      </c>
      <c r="V301" s="78">
        <f>IF(NOT(ISNUMBER(G301)), "", VLOOKUP(A301,'Discount Lookup'!G:H,2,FALSE)*G301)</f>
        <v>0</v>
      </c>
      <c r="W301" s="102">
        <f t="shared" si="225"/>
        <v>0</v>
      </c>
      <c r="X301" s="102">
        <f t="shared" si="226"/>
        <v>0</v>
      </c>
      <c r="Y301" s="120" t="b">
        <f t="shared" si="227"/>
        <v>0</v>
      </c>
      <c r="Z301" s="117">
        <f t="shared" si="228"/>
        <v>0</v>
      </c>
      <c r="AA301" s="118"/>
      <c r="AB301" s="118" t="str">
        <f t="shared" si="229"/>
        <v/>
      </c>
      <c r="AC301" s="712" t="str">
        <f>IF(AE301="T2G","no charge",IF(AND(OR(PlanterYesMe="No",PlanterYesMe="N",PlanterYesMe="me"),H301=""),"",IF(H301="credit","NO install",IF(AND(K301="",AE301="me"),"EACH row",IF(AND(K301="images",AE301="me"),"EACH row",IF(D301="","",IF(H301="credit","",IF(AE301="free","re-planting",IF(AE301="me","   not ELP, by",IF(AND(OR(PlanterYesMe="Yes",PlanterYesMe="Y"),G301&gt;0),(VLOOKUP(A301,'Discount Lookup'!J:K,2)*G301*(1-PlanterDiscount)*(1+PlanterDifficultyPercentage)),IF(AE301="ELP",(VLOOKUP(A301,'Discount Lookup'!J:K,2)*G301*(1-PlanterDiscount)*(1+PlanterDifficultyPercentage)),IF(AE301="free","re-planting",IF(G301=0,"",IF(PlanterYesMe="",IF(AE301="me","   not ELP, by",IF(AE301="",IF(G301&gt;0,(VLOOKUP(A301,'Discount Lookup'!J:K,2)*G301*(1-PlanterDiscount)*(1+PlanterDifficultyPercentage)),""),"")),"   not ELP, by"))))))))))))))</f>
        <v/>
      </c>
      <c r="AD301" s="712"/>
      <c r="AE301" s="513" t="str">
        <f t="shared" si="230"/>
        <v/>
      </c>
      <c r="AF301" s="713" t="str">
        <f t="shared" si="231"/>
        <v/>
      </c>
      <c r="AG301" s="713"/>
      <c r="AH301" s="713"/>
      <c r="AI301" s="112">
        <f>IF(H301="credit",0,IF(AE301="free",0,IF(AE301="me",0,IF(G301&gt;0,(VLOOKUP(A301,'Discount Lookup'!J:K,2)*G301),0))))</f>
        <v>0</v>
      </c>
      <c r="AJ301" s="107" t="str">
        <f t="shared" ca="1" si="232"/>
        <v/>
      </c>
      <c r="AK301" s="714" t="str">
        <f t="shared" si="233"/>
        <v/>
      </c>
      <c r="AL301" s="714"/>
      <c r="AM301" s="114" t="str">
        <f t="shared" si="234"/>
        <v/>
      </c>
      <c r="AN301" s="115"/>
      <c r="AO301" s="116"/>
      <c r="AP301" s="116"/>
      <c r="AQ301" s="116"/>
      <c r="AR301" s="116"/>
      <c r="AS301" s="116"/>
      <c r="AT301" s="116"/>
      <c r="AU301" s="116"/>
      <c r="AV301" s="78"/>
      <c r="AW301" s="102"/>
      <c r="AX301" s="78"/>
      <c r="AY301" s="78"/>
      <c r="AZ301" s="78"/>
      <c r="BA301" s="78"/>
      <c r="BB301" s="78"/>
      <c r="BC301" s="78"/>
      <c r="BD301" s="78"/>
      <c r="BE301" s="465"/>
      <c r="BF301" s="165" t="str">
        <f t="shared" si="235"/>
        <v>https://www.google.com/search?tbm=isch&amp;q=15%20G6</v>
      </c>
      <c r="BG301" s="165" t="str">
        <f t="shared" si="236"/>
        <v>A</v>
      </c>
      <c r="BH301" s="65"/>
      <c r="BI301" s="65"/>
      <c r="BJ301" s="65"/>
      <c r="BK301" s="65"/>
      <c r="BL301" s="99"/>
      <c r="BM301" s="99"/>
      <c r="BN301" s="99"/>
    </row>
    <row r="302" spans="1:66" s="51" customFormat="1" ht="17.25" thickBot="1" x14ac:dyDescent="0.3">
      <c r="A302" s="704" t="s">
        <v>5324</v>
      </c>
      <c r="B302" s="642"/>
      <c r="C302" s="710"/>
      <c r="D302" s="643"/>
      <c r="E302" s="643"/>
      <c r="F302" s="644"/>
      <c r="G302" s="645"/>
      <c r="H302" s="646"/>
      <c r="I302" s="647"/>
      <c r="J302" s="648"/>
      <c r="K302" s="649"/>
      <c r="L302" s="650"/>
      <c r="M302" s="650"/>
      <c r="N302" s="644"/>
      <c r="O302" s="644"/>
      <c r="P302" s="644"/>
      <c r="Q302" s="644"/>
      <c r="R302" s="644"/>
      <c r="S302" s="697" t="s">
        <v>5254</v>
      </c>
      <c r="T302" s="102">
        <f t="shared" si="224"/>
        <v>0</v>
      </c>
      <c r="U302" s="78" t="str">
        <f>IF(NOT(ISNUMBER(G302)), "", VLOOKUP(A302,'Discount Lookup'!D:E,2,FALSE)*G302)</f>
        <v/>
      </c>
      <c r="V302" s="78" t="str">
        <f>IF(NOT(ISNUMBER(G302)), "", VLOOKUP(A302,'Discount Lookup'!G:H,2,FALSE)*G302)</f>
        <v/>
      </c>
      <c r="W302" s="102">
        <f t="shared" si="225"/>
        <v>0</v>
      </c>
      <c r="X302" s="102">
        <f t="shared" si="226"/>
        <v>0</v>
      </c>
      <c r="Y302" s="120" t="b">
        <f t="shared" si="227"/>
        <v>0</v>
      </c>
      <c r="Z302" s="117">
        <f t="shared" si="228"/>
        <v>0</v>
      </c>
      <c r="AA302" s="118"/>
      <c r="AB302" s="118" t="str">
        <f t="shared" si="229"/>
        <v/>
      </c>
      <c r="AC302" s="712" t="str">
        <f>IF(AE302="T2G","no charge",IF(AND(OR(PlanterYesMe="No",PlanterYesMe="N",PlanterYesMe="me"),H302=""),"",IF(H302="credit","NO install",IF(AND(K302="",AE302="me"),"EACH row",IF(AND(K302="images",AE302="me"),"EACH row",IF(D302="","",IF(H302="credit","",IF(AE302="free","re-planting",IF(AE302="me","   not ELP, by",IF(AND(OR(PlanterYesMe="Yes",PlanterYesMe="Y"),G302&gt;0),(VLOOKUP(A302,'Discount Lookup'!J:K,2)*G302*(1-PlanterDiscount)*(1+PlanterDifficultyPercentage)),IF(AE302="ELP",(VLOOKUP(A302,'Discount Lookup'!J:K,2)*G302*(1-PlanterDiscount)*(1+PlanterDifficultyPercentage)),IF(AE302="free","re-planting",IF(G302=0,"",IF(PlanterYesMe="",IF(AE302="me","   not ELP, by",IF(AE302="",IF(G302&gt;0,(VLOOKUP(A302,'Discount Lookup'!J:K,2)*G302*(1-PlanterDiscount)*(1+PlanterDifficultyPercentage)),""),"")),"   not ELP, by"))))))))))))))</f>
        <v/>
      </c>
      <c r="AD302" s="712"/>
      <c r="AE302" s="513" t="str">
        <f t="shared" si="230"/>
        <v/>
      </c>
      <c r="AF302" s="713" t="str">
        <f t="shared" si="231"/>
        <v/>
      </c>
      <c r="AG302" s="713"/>
      <c r="AH302" s="713"/>
      <c r="AI302" s="112">
        <f>IF(H302="credit",0,IF(AE302="free",0,IF(AE302="me",0,IF(G302&gt;0,(VLOOKUP(A302,'Discount Lookup'!J:K,2)*G302),0))))</f>
        <v>0</v>
      </c>
      <c r="AJ302" s="107" t="str">
        <f t="shared" ca="1" si="232"/>
        <v/>
      </c>
      <c r="AK302" s="714" t="str">
        <f t="shared" si="233"/>
        <v/>
      </c>
      <c r="AL302" s="714"/>
      <c r="AM302" s="114" t="str">
        <f t="shared" si="234"/>
        <v/>
      </c>
      <c r="AN302" s="115"/>
      <c r="AO302" s="116"/>
      <c r="AP302" s="116"/>
      <c r="AQ302" s="116"/>
      <c r="AR302" s="116"/>
      <c r="AS302" s="116"/>
      <c r="AT302" s="116"/>
      <c r="AU302" s="116"/>
      <c r="AV302" s="78"/>
      <c r="AW302" s="102"/>
      <c r="AX302" s="78"/>
      <c r="AY302" s="78"/>
      <c r="AZ302" s="78"/>
      <c r="BA302" s="78"/>
      <c r="BB302" s="78"/>
      <c r="BC302" s="78"/>
      <c r="BD302" s="78"/>
      <c r="BE302" s="465"/>
      <c r="BF302" s="165" t="str">
        <f t="shared" si="235"/>
        <v>https://www.google.com/search?tbm=isch&amp;q=moist%20sites%F0%9F%92%A7GOOD%2C%20Bottlebrush%20has%20bottlebrush-like%20fragrant%20flower%20spikes.%20Will%20spread.%20Foliage%20turns%20Golden%20in%20fall%20</v>
      </c>
      <c r="BG302" s="165" t="str">
        <f t="shared" si="236"/>
        <v>m</v>
      </c>
      <c r="BH302" s="65"/>
      <c r="BI302" s="65"/>
      <c r="BJ302" s="65"/>
      <c r="BK302" s="65"/>
      <c r="BL302" s="99"/>
      <c r="BM302" s="99"/>
      <c r="BN302" s="99"/>
    </row>
    <row r="303" spans="1:66" s="51" customFormat="1" ht="18" x14ac:dyDescent="0.25">
      <c r="A303" s="623" t="s">
        <v>1422</v>
      </c>
      <c r="B303" s="624"/>
      <c r="C303" s="709"/>
      <c r="D303" s="625" t="s">
        <v>1423</v>
      </c>
      <c r="E303" s="626"/>
      <c r="F303" s="626"/>
      <c r="G303" s="626"/>
      <c r="H303" s="622" t="s">
        <v>327</v>
      </c>
      <c r="I303" s="627" t="s">
        <v>1424</v>
      </c>
      <c r="J303" s="628"/>
      <c r="K303" s="628"/>
      <c r="L303" s="629"/>
      <c r="M303" s="700" t="s">
        <v>5249</v>
      </c>
      <c r="N303" s="693" t="str">
        <f>IF(AND(ISTEXT($A303), ISERROR($A303+0)), HYPERLINK($BF303, "Images"), "")</f>
        <v>Images</v>
      </c>
      <c r="O303" s="695" t="s">
        <v>5244</v>
      </c>
      <c r="P303" s="630"/>
      <c r="Q303" s="631"/>
      <c r="R303" s="632"/>
      <c r="S303" s="633" t="s">
        <v>294</v>
      </c>
      <c r="T303" s="102">
        <f t="shared" si="224"/>
        <v>0</v>
      </c>
      <c r="U303" s="78" t="str">
        <f>IF(NOT(ISNUMBER(G303)), "", VLOOKUP(A303,'Discount Lookup'!D:E,2,FALSE)*G303)</f>
        <v/>
      </c>
      <c r="V303" s="78" t="str">
        <f>IF(NOT(ISNUMBER(G303)), "", VLOOKUP(A303,'Discount Lookup'!G:H,2,FALSE)*G303)</f>
        <v/>
      </c>
      <c r="W303" s="102">
        <f t="shared" si="225"/>
        <v>0</v>
      </c>
      <c r="X303" s="102" t="str">
        <f t="shared" si="226"/>
        <v>Red-Orange bloom</v>
      </c>
      <c r="Y303" s="120" t="b">
        <f t="shared" si="227"/>
        <v>0</v>
      </c>
      <c r="Z303" s="117">
        <f t="shared" si="228"/>
        <v>0</v>
      </c>
      <c r="AA303" s="118"/>
      <c r="AB303" s="118" t="str">
        <f t="shared" si="229"/>
        <v/>
      </c>
      <c r="AC303" s="712" t="str">
        <f>IF(AE303="T2G","no charge",IF(AND(OR(PlanterYesMe="No",PlanterYesMe="N",PlanterYesMe="me"),H303=""),"",IF(H303="credit","NO install",IF(AND(K303="",AE303="me"),"EACH row",IF(AND(K303="images",AE303="me"),"EACH row",IF(D303="","",IF(H303="credit","",IF(AE303="free","re-planting",IF(AE303="me","   not ELP, by",IF(AND(OR(PlanterYesMe="Yes",PlanterYesMe="Y"),G303&gt;0),(VLOOKUP(A303,'Discount Lookup'!J:K,2)*G303*(1-PlanterDiscount)*(1+PlanterDifficultyPercentage)),IF(AE303="ELP",(VLOOKUP(A303,'Discount Lookup'!J:K,2)*G303*(1-PlanterDiscount)*(1+PlanterDifficultyPercentage)),IF(AE303="free","re-planting",IF(G303=0,"",IF(PlanterYesMe="",IF(AE303="me","   not ELP, by",IF(AE303="",IF(G303&gt;0,(VLOOKUP(A303,'Discount Lookup'!J:K,2)*G303*(1-PlanterDiscount)*(1+PlanterDifficultyPercentage)),""),"")),"   not ELP, by"))))))))))))))</f>
        <v/>
      </c>
      <c r="AD303" s="712"/>
      <c r="AE303" s="513" t="str">
        <f t="shared" si="230"/>
        <v/>
      </c>
      <c r="AF303" s="713" t="str">
        <f t="shared" si="231"/>
        <v/>
      </c>
      <c r="AG303" s="713"/>
      <c r="AH303" s="713"/>
      <c r="AI303" s="112">
        <f>IF(H303="credit",0,IF(AE303="free",0,IF(AE303="me",0,IF(G303&gt;0,(VLOOKUP(A303,'Discount Lookup'!J:K,2)*G303),0))))</f>
        <v>0</v>
      </c>
      <c r="AJ303" s="107" t="str">
        <f t="shared" ca="1" si="232"/>
        <v/>
      </c>
      <c r="AK303" s="714" t="str">
        <f t="shared" si="233"/>
        <v/>
      </c>
      <c r="AL303" s="714"/>
      <c r="AM303" s="114" t="str">
        <f t="shared" si="234"/>
        <v/>
      </c>
      <c r="AN303" s="115"/>
      <c r="AO303" s="116"/>
      <c r="AP303" s="116"/>
      <c r="AQ303" s="116"/>
      <c r="AR303" s="116"/>
      <c r="AS303" s="116"/>
      <c r="AT303" s="116"/>
      <c r="AU303" s="116"/>
      <c r="AV303" s="78"/>
      <c r="AW303" s="102"/>
      <c r="AX303" s="78"/>
      <c r="AY303" s="78"/>
      <c r="AZ303" s="78"/>
      <c r="BA303" s="78"/>
      <c r="BB303" s="78"/>
      <c r="BC303" s="78"/>
      <c r="BD303" s="78"/>
      <c r="BE303" s="465"/>
      <c r="BF303" s="165" t="str">
        <f t="shared" si="235"/>
        <v>https://www.google.com/search?tbm=isch&amp;q=Aesculus%20pavia%20Red%20Buckeye</v>
      </c>
      <c r="BG303" s="165" t="str">
        <f t="shared" si="236"/>
        <v>A</v>
      </c>
      <c r="BH303" s="65"/>
      <c r="BI303" s="65"/>
      <c r="BJ303" s="65"/>
      <c r="BK303" s="65"/>
      <c r="BL303" s="99"/>
      <c r="BM303" s="99"/>
      <c r="BN303" s="99"/>
    </row>
    <row r="304" spans="1:66" s="51" customFormat="1" ht="27" x14ac:dyDescent="0.25">
      <c r="A304" s="634">
        <v>7</v>
      </c>
      <c r="B304" s="635" t="s">
        <v>291</v>
      </c>
      <c r="C304" s="636" t="s">
        <v>1425</v>
      </c>
      <c r="D304" s="637" t="s">
        <v>299</v>
      </c>
      <c r="E304" s="638">
        <v>123.95</v>
      </c>
      <c r="F304" s="639" t="s">
        <v>292</v>
      </c>
      <c r="G304" s="484">
        <v>0</v>
      </c>
      <c r="H304" s="691" t="str">
        <f>IF(G304=0,"",IF(F304="Buy",IF(G304=1,"plant","plants"),IF(F304&gt;0.01,"warranty","Error")))</f>
        <v/>
      </c>
      <c r="I304" s="640">
        <f>IF(H304="free",0,IF(H304="credit",((E304*(F304))*G304*-1),IF(F304="Buy",(E304*G304),((E304*(1-F304))*G304))))</f>
        <v>0</v>
      </c>
      <c r="J304" s="640">
        <f>IF(H304="warranty",0,(I304*(_xlfn.SINGLE(SalesTaxPercentage))))</f>
        <v>0</v>
      </c>
      <c r="K304" s="716">
        <f t="shared" ref="K304" si="249">I304+J304</f>
        <v>0</v>
      </c>
      <c r="L304" s="716"/>
      <c r="M304" s="689" t="str">
        <f ca="1">IF(AND(G304&gt;0,E304=0),"WARNING - no PRICE inserted",IF(H304="free","FREE ~ no charge this plant",IF(H304="credit",CONCATENATE("-$",ROUND(K304*(1-_xlfn.SINGLE(T2GDiscount))*-1,2)," CREDIT after discount"),IF(_xlfn.SINGLE(T2GDiscount)=0,"",IF(G304=0,"",IF(F304="Buy",CONCATENATE("$",ROUND(K304*(1-_xlfn.SINGLE(T2GDiscount)),2)," with ",(_xlfn.SINGLE(T2GDiscount)*100),"% discount"),CONCATENATE("$",ROUND(K304*(1-_xlfn.SINGLE(T2GDiscount)),2)," with ",((_xlfn.SINGLE(T2GDiscount)*100+F304*100)-(_xlfn.SINGLE(T2GDiscount)*100*F304)),IF(F304&gt;0,"% discounts",IF(_xlfn.SINGLE(NoWarrantyDiscount)&gt;0,"% discounts","% discount")))))))))</f>
        <v/>
      </c>
      <c r="N304" s="690"/>
      <c r="O304" s="486"/>
      <c r="P304" s="486"/>
      <c r="Q304" s="486"/>
      <c r="R304" s="486"/>
      <c r="S304" s="486"/>
      <c r="T304" s="102">
        <f t="shared" si="224"/>
        <v>0</v>
      </c>
      <c r="U304" s="78">
        <f>IF(NOT(ISNUMBER(G304)), "", VLOOKUP(A304,'Discount Lookup'!D:E,2,FALSE)*G304)</f>
        <v>0</v>
      </c>
      <c r="V304" s="78">
        <f>IF(NOT(ISNUMBER(G304)), "", VLOOKUP(A304,'Discount Lookup'!G:H,2,FALSE)*G304)</f>
        <v>0</v>
      </c>
      <c r="W304" s="102">
        <f t="shared" si="225"/>
        <v>0</v>
      </c>
      <c r="X304" s="102">
        <f t="shared" si="226"/>
        <v>0</v>
      </c>
      <c r="Y304" s="120" t="b">
        <f t="shared" si="227"/>
        <v>0</v>
      </c>
      <c r="Z304" s="117">
        <f t="shared" si="228"/>
        <v>0</v>
      </c>
      <c r="AA304" s="118"/>
      <c r="AB304" s="118" t="str">
        <f t="shared" si="229"/>
        <v/>
      </c>
      <c r="AC304" s="712" t="str">
        <f>IF(AE304="T2G","no charge",IF(AND(OR(PlanterYesMe="No",PlanterYesMe="N",PlanterYesMe="me"),H304=""),"",IF(H304="credit","NO install",IF(AND(K304="",AE304="me"),"EACH row",IF(AND(K304="images",AE304="me"),"EACH row",IF(D304="","",IF(H304="credit","",IF(AE304="free","re-planting",IF(AE304="me","   not ELP, by",IF(AND(OR(PlanterYesMe="Yes",PlanterYesMe="Y"),G304&gt;0),(VLOOKUP(A304,'Discount Lookup'!J:K,2)*G304*(1-PlanterDiscount)*(1+PlanterDifficultyPercentage)),IF(AE304="ELP",(VLOOKUP(A304,'Discount Lookup'!J:K,2)*G304*(1-PlanterDiscount)*(1+PlanterDifficultyPercentage)),IF(AE304="free","re-planting",IF(G304=0,"",IF(PlanterYesMe="",IF(AE304="me","   not ELP, by",IF(AE304="",IF(G304&gt;0,(VLOOKUP(A304,'Discount Lookup'!J:K,2)*G304*(1-PlanterDiscount)*(1+PlanterDifficultyPercentage)),""),"")),"   not ELP, by"))))))))))))))</f>
        <v/>
      </c>
      <c r="AD304" s="712"/>
      <c r="AE304" s="513" t="str">
        <f t="shared" si="230"/>
        <v/>
      </c>
      <c r="AF304" s="713" t="str">
        <f t="shared" si="231"/>
        <v/>
      </c>
      <c r="AG304" s="713"/>
      <c r="AH304" s="713"/>
      <c r="AI304" s="112">
        <f>IF(H304="credit",0,IF(AE304="free",0,IF(AE304="me",0,IF(G304&gt;0,(VLOOKUP(A304,'Discount Lookup'!J:K,2)*G304),0))))</f>
        <v>0</v>
      </c>
      <c r="AJ304" s="107" t="str">
        <f t="shared" ca="1" si="232"/>
        <v/>
      </c>
      <c r="AK304" s="714" t="str">
        <f t="shared" si="233"/>
        <v/>
      </c>
      <c r="AL304" s="714"/>
      <c r="AM304" s="114" t="str">
        <f t="shared" si="234"/>
        <v/>
      </c>
      <c r="AN304" s="115"/>
      <c r="AO304" s="116"/>
      <c r="AP304" s="116"/>
      <c r="AQ304" s="116"/>
      <c r="AR304" s="116"/>
      <c r="AS304" s="116"/>
      <c r="AT304" s="116"/>
      <c r="AU304" s="116"/>
      <c r="AV304" s="78"/>
      <c r="AW304" s="102"/>
      <c r="AX304" s="78"/>
      <c r="AY304" s="78"/>
      <c r="AZ304" s="78"/>
      <c r="BA304" s="78"/>
      <c r="BB304" s="78"/>
      <c r="BC304" s="78"/>
      <c r="BD304" s="78"/>
      <c r="BE304" s="465"/>
      <c r="BF304" s="165" t="str">
        <f t="shared" si="235"/>
        <v>https://www.google.com/search?tbm=isch&amp;q=7%20G4</v>
      </c>
      <c r="BG304" s="165" t="str">
        <f t="shared" si="236"/>
        <v>A</v>
      </c>
      <c r="BH304" s="65"/>
      <c r="BI304" s="65"/>
      <c r="BJ304" s="65"/>
      <c r="BK304" s="65"/>
      <c r="BL304" s="99"/>
      <c r="BM304" s="99"/>
      <c r="BN304" s="99"/>
    </row>
    <row r="305" spans="1:66" s="51" customFormat="1" ht="40.5" x14ac:dyDescent="0.25">
      <c r="A305" s="634">
        <v>10</v>
      </c>
      <c r="B305" s="635" t="s">
        <v>291</v>
      </c>
      <c r="C305" s="636" t="s">
        <v>4562</v>
      </c>
      <c r="D305" s="637" t="s">
        <v>299</v>
      </c>
      <c r="E305" s="638">
        <v>192.95</v>
      </c>
      <c r="F305" s="639" t="s">
        <v>292</v>
      </c>
      <c r="G305" s="484">
        <v>0</v>
      </c>
      <c r="H305" s="691" t="str">
        <f>IF(G305=0,"",IF(F305="Buy",IF(G305=1,"plant","plants"),IF(F305&gt;0.01,"warranty","Error")))</f>
        <v/>
      </c>
      <c r="I305" s="640">
        <f>IF(H305="free",0,IF(H305="credit",((E305*(F305))*G305*-1),IF(F305="Buy",(E305*G305),((E305*(1-F305))*G305))))</f>
        <v>0</v>
      </c>
      <c r="J305" s="640">
        <f>IF(H305="warranty",0,(I305*(_xlfn.SINGLE(SalesTaxPercentage))))</f>
        <v>0</v>
      </c>
      <c r="K305" s="716">
        <f t="shared" ref="K305" si="250">I305+J305</f>
        <v>0</v>
      </c>
      <c r="L305" s="716"/>
      <c r="M305" s="689" t="str">
        <f ca="1">IF(AND(G305&gt;0,E305=0),"WARNING - no PRICE inserted",IF(H305="free","FREE ~ no charge this plant",IF(H305="credit",CONCATENATE("-$",ROUND(K305*(1-_xlfn.SINGLE(T2GDiscount))*-1,2)," CREDIT after discount"),IF(_xlfn.SINGLE(T2GDiscount)=0,"",IF(G305=0,"",IF(F305="Buy",CONCATENATE("$",ROUND(K305*(1-_xlfn.SINGLE(T2GDiscount)),2)," with ",(_xlfn.SINGLE(T2GDiscount)*100),"% discount"),CONCATENATE("$",ROUND(K305*(1-_xlfn.SINGLE(T2GDiscount)),2)," with ",((_xlfn.SINGLE(T2GDiscount)*100+F305*100)-(_xlfn.SINGLE(T2GDiscount)*100*F305)),IF(F305&gt;0,"% discounts",IF(_xlfn.SINGLE(NoWarrantyDiscount)&gt;0,"% discounts","% discount")))))))))</f>
        <v/>
      </c>
      <c r="N305" s="690"/>
      <c r="O305" s="486"/>
      <c r="P305" s="486"/>
      <c r="Q305" s="486"/>
      <c r="R305" s="486"/>
      <c r="S305" s="486"/>
      <c r="T305" s="102">
        <f t="shared" si="224"/>
        <v>0</v>
      </c>
      <c r="U305" s="78">
        <f>IF(NOT(ISNUMBER(G305)), "", VLOOKUP(A305,'Discount Lookup'!D:E,2,FALSE)*G305)</f>
        <v>0</v>
      </c>
      <c r="V305" s="78">
        <f>IF(NOT(ISNUMBER(G305)), "", VLOOKUP(A305,'Discount Lookup'!G:H,2,FALSE)*G305)</f>
        <v>0</v>
      </c>
      <c r="W305" s="102">
        <f t="shared" si="225"/>
        <v>0</v>
      </c>
      <c r="X305" s="102">
        <f t="shared" si="226"/>
        <v>0</v>
      </c>
      <c r="Y305" s="120" t="b">
        <f t="shared" si="227"/>
        <v>0</v>
      </c>
      <c r="Z305" s="117">
        <f t="shared" si="228"/>
        <v>0</v>
      </c>
      <c r="AA305" s="118"/>
      <c r="AB305" s="118" t="str">
        <f t="shared" si="229"/>
        <v/>
      </c>
      <c r="AC305" s="712" t="str">
        <f>IF(AE305="T2G","no charge",IF(AND(OR(PlanterYesMe="No",PlanterYesMe="N",PlanterYesMe="me"),H305=""),"",IF(H305="credit","NO install",IF(AND(K305="",AE305="me"),"EACH row",IF(AND(K305="images",AE305="me"),"EACH row",IF(D305="","",IF(H305="credit","",IF(AE305="free","re-planting",IF(AE305="me","   not ELP, by",IF(AND(OR(PlanterYesMe="Yes",PlanterYesMe="Y"),G305&gt;0),(VLOOKUP(A305,'Discount Lookup'!J:K,2)*G305*(1-PlanterDiscount)*(1+PlanterDifficultyPercentage)),IF(AE305="ELP",(VLOOKUP(A305,'Discount Lookup'!J:K,2)*G305*(1-PlanterDiscount)*(1+PlanterDifficultyPercentage)),IF(AE305="free","re-planting",IF(G305=0,"",IF(PlanterYesMe="",IF(AE305="me","   not ELP, by",IF(AE305="",IF(G305&gt;0,(VLOOKUP(A305,'Discount Lookup'!J:K,2)*G305*(1-PlanterDiscount)*(1+PlanterDifficultyPercentage)),""),"")),"   not ELP, by"))))))))))))))</f>
        <v/>
      </c>
      <c r="AD305" s="712"/>
      <c r="AE305" s="513" t="str">
        <f t="shared" si="230"/>
        <v/>
      </c>
      <c r="AF305" s="713" t="str">
        <f t="shared" si="231"/>
        <v/>
      </c>
      <c r="AG305" s="713"/>
      <c r="AH305" s="713"/>
      <c r="AI305" s="112">
        <f>IF(H305="credit",0,IF(AE305="free",0,IF(AE305="me",0,IF(G305&gt;0,(VLOOKUP(A305,'Discount Lookup'!J:K,2)*G305),0))))</f>
        <v>0</v>
      </c>
      <c r="AJ305" s="107" t="str">
        <f t="shared" ca="1" si="232"/>
        <v/>
      </c>
      <c r="AK305" s="714" t="str">
        <f t="shared" si="233"/>
        <v/>
      </c>
      <c r="AL305" s="714"/>
      <c r="AM305" s="114" t="str">
        <f t="shared" si="234"/>
        <v/>
      </c>
      <c r="AN305" s="115"/>
      <c r="AO305" s="116"/>
      <c r="AP305" s="116"/>
      <c r="AQ305" s="116"/>
      <c r="AR305" s="116"/>
      <c r="AS305" s="116"/>
      <c r="AT305" s="116"/>
      <c r="AU305" s="116"/>
      <c r="AV305" s="78"/>
      <c r="AW305" s="102"/>
      <c r="AX305" s="78"/>
      <c r="AY305" s="78"/>
      <c r="AZ305" s="78"/>
      <c r="BA305" s="78"/>
      <c r="BB305" s="78"/>
      <c r="BC305" s="78"/>
      <c r="BD305" s="78"/>
      <c r="BE305" s="465"/>
      <c r="BF305" s="165" t="str">
        <f t="shared" si="235"/>
        <v>https://www.google.com/search?tbm=isch&amp;q=10%20G4</v>
      </c>
      <c r="BG305" s="165" t="str">
        <f t="shared" si="236"/>
        <v>A</v>
      </c>
      <c r="BH305" s="65"/>
      <c r="BI305" s="65"/>
      <c r="BJ305" s="65"/>
      <c r="BK305" s="65"/>
      <c r="BL305" s="99"/>
      <c r="BM305" s="99"/>
      <c r="BN305" s="99"/>
    </row>
    <row r="306" spans="1:66" s="51" customFormat="1" ht="27" x14ac:dyDescent="0.25">
      <c r="A306" s="634">
        <v>15</v>
      </c>
      <c r="B306" s="635" t="s">
        <v>291</v>
      </c>
      <c r="C306" s="636" t="s">
        <v>1426</v>
      </c>
      <c r="D306" s="637" t="s">
        <v>299</v>
      </c>
      <c r="E306" s="638">
        <v>219.95</v>
      </c>
      <c r="F306" s="639" t="s">
        <v>292</v>
      </c>
      <c r="G306" s="484">
        <v>0</v>
      </c>
      <c r="H306" s="691" t="str">
        <f>IF(G306=0,"",IF(F306="Buy",IF(G306=1,"plant","plants"),IF(F306&gt;0.01,"warranty","Error")))</f>
        <v/>
      </c>
      <c r="I306" s="640">
        <f>IF(H306="free",0,IF(H306="credit",((E306*(F306))*G306*-1),IF(F306="Buy",(E306*G306),((E306*(1-F306))*G306))))</f>
        <v>0</v>
      </c>
      <c r="J306" s="640">
        <f>IF(H306="warranty",0,(I306*(_xlfn.SINGLE(SalesTaxPercentage))))</f>
        <v>0</v>
      </c>
      <c r="K306" s="716">
        <f t="shared" ref="K306" si="251">I306+J306</f>
        <v>0</v>
      </c>
      <c r="L306" s="716"/>
      <c r="M306" s="689" t="str">
        <f ca="1">IF(AND(G306&gt;0,E306=0),"WARNING - no PRICE inserted",IF(H306="free","FREE ~ no charge this plant",IF(H306="credit",CONCATENATE("-$",ROUND(K306*(1-_xlfn.SINGLE(T2GDiscount))*-1,2)," CREDIT after discount"),IF(_xlfn.SINGLE(T2GDiscount)=0,"",IF(G306=0,"",IF(F306="Buy",CONCATENATE("$",ROUND(K306*(1-_xlfn.SINGLE(T2GDiscount)),2)," with ",(_xlfn.SINGLE(T2GDiscount)*100),"% discount"),CONCATENATE("$",ROUND(K306*(1-_xlfn.SINGLE(T2GDiscount)),2)," with ",((_xlfn.SINGLE(T2GDiscount)*100+F306*100)-(_xlfn.SINGLE(T2GDiscount)*100*F306)),IF(F306&gt;0,"% discounts",IF(_xlfn.SINGLE(NoWarrantyDiscount)&gt;0,"% discounts","% discount")))))))))</f>
        <v/>
      </c>
      <c r="N306" s="690"/>
      <c r="O306" s="486"/>
      <c r="P306" s="486"/>
      <c r="Q306" s="486"/>
      <c r="R306" s="486"/>
      <c r="S306" s="486"/>
      <c r="T306" s="102">
        <f t="shared" si="224"/>
        <v>0</v>
      </c>
      <c r="U306" s="78">
        <f>IF(NOT(ISNUMBER(G306)), "", VLOOKUP(A306,'Discount Lookup'!D:E,2,FALSE)*G306)</f>
        <v>0</v>
      </c>
      <c r="V306" s="78">
        <f>IF(NOT(ISNUMBER(G306)), "", VLOOKUP(A306,'Discount Lookup'!G:H,2,FALSE)*G306)</f>
        <v>0</v>
      </c>
      <c r="W306" s="102">
        <f t="shared" si="225"/>
        <v>0</v>
      </c>
      <c r="X306" s="102">
        <f t="shared" si="226"/>
        <v>0</v>
      </c>
      <c r="Y306" s="120" t="b">
        <f t="shared" si="227"/>
        <v>0</v>
      </c>
      <c r="Z306" s="117">
        <f t="shared" si="228"/>
        <v>0</v>
      </c>
      <c r="AA306" s="118"/>
      <c r="AB306" s="118" t="str">
        <f t="shared" si="229"/>
        <v/>
      </c>
      <c r="AC306" s="712" t="str">
        <f>IF(AE306="T2G","no charge",IF(AND(OR(PlanterYesMe="No",PlanterYesMe="N",PlanterYesMe="me"),H306=""),"",IF(H306="credit","NO install",IF(AND(K306="",AE306="me"),"EACH row",IF(AND(K306="images",AE306="me"),"EACH row",IF(D306="","",IF(H306="credit","",IF(AE306="free","re-planting",IF(AE306="me","   not ELP, by",IF(AND(OR(PlanterYesMe="Yes",PlanterYesMe="Y"),G306&gt;0),(VLOOKUP(A306,'Discount Lookup'!J:K,2)*G306*(1-PlanterDiscount)*(1+PlanterDifficultyPercentage)),IF(AE306="ELP",(VLOOKUP(A306,'Discount Lookup'!J:K,2)*G306*(1-PlanterDiscount)*(1+PlanterDifficultyPercentage)),IF(AE306="free","re-planting",IF(G306=0,"",IF(PlanterYesMe="",IF(AE306="me","   not ELP, by",IF(AE306="",IF(G306&gt;0,(VLOOKUP(A306,'Discount Lookup'!J:K,2)*G306*(1-PlanterDiscount)*(1+PlanterDifficultyPercentage)),""),"")),"   not ELP, by"))))))))))))))</f>
        <v/>
      </c>
      <c r="AD306" s="712"/>
      <c r="AE306" s="513" t="str">
        <f t="shared" si="230"/>
        <v/>
      </c>
      <c r="AF306" s="713" t="str">
        <f t="shared" si="231"/>
        <v/>
      </c>
      <c r="AG306" s="713"/>
      <c r="AH306" s="713"/>
      <c r="AI306" s="112">
        <f>IF(H306="credit",0,IF(AE306="free",0,IF(AE306="me",0,IF(G306&gt;0,(VLOOKUP(A306,'Discount Lookup'!J:K,2)*G306),0))))</f>
        <v>0</v>
      </c>
      <c r="AJ306" s="107" t="str">
        <f t="shared" ca="1" si="232"/>
        <v/>
      </c>
      <c r="AK306" s="714" t="str">
        <f t="shared" si="233"/>
        <v/>
      </c>
      <c r="AL306" s="714"/>
      <c r="AM306" s="114" t="str">
        <f t="shared" si="234"/>
        <v/>
      </c>
      <c r="AN306" s="115"/>
      <c r="AO306" s="116"/>
      <c r="AP306" s="116"/>
      <c r="AQ306" s="116"/>
      <c r="AR306" s="116"/>
      <c r="AS306" s="116"/>
      <c r="AT306" s="116"/>
      <c r="AU306" s="116"/>
      <c r="AV306" s="78"/>
      <c r="AW306" s="102"/>
      <c r="AX306" s="78"/>
      <c r="AY306" s="78"/>
      <c r="AZ306" s="78"/>
      <c r="BA306" s="78"/>
      <c r="BB306" s="78"/>
      <c r="BC306" s="78"/>
      <c r="BD306" s="78"/>
      <c r="BE306" s="465"/>
      <c r="BF306" s="165" t="str">
        <f t="shared" si="235"/>
        <v>https://www.google.com/search?tbm=isch&amp;q=15%20G4</v>
      </c>
      <c r="BG306" s="165" t="str">
        <f t="shared" si="236"/>
        <v>A</v>
      </c>
      <c r="BH306" s="65"/>
      <c r="BI306" s="65"/>
      <c r="BJ306" s="65"/>
      <c r="BK306" s="65"/>
      <c r="BL306" s="99"/>
      <c r="BM306" s="99"/>
      <c r="BN306" s="99"/>
    </row>
    <row r="307" spans="1:66" s="51" customFormat="1" ht="15.75" x14ac:dyDescent="0.25">
      <c r="A307" s="634">
        <v>15</v>
      </c>
      <c r="B307" s="635" t="s">
        <v>291</v>
      </c>
      <c r="C307" s="636" t="s">
        <v>1427</v>
      </c>
      <c r="D307" s="637" t="s">
        <v>293</v>
      </c>
      <c r="E307" s="638">
        <v>222.95</v>
      </c>
      <c r="F307" s="639" t="s">
        <v>292</v>
      </c>
      <c r="G307" s="484">
        <v>0</v>
      </c>
      <c r="H307" s="691" t="str">
        <f>IF(G307=0,"",IF(F307="Buy",IF(G307=1,"plant","plants"),IF(F307&gt;0.01,"warranty","Error")))</f>
        <v/>
      </c>
      <c r="I307" s="640">
        <f>IF(H307="free",0,IF(H307="credit",((E307*(F307))*G307*-1),IF(F307="Buy",(E307*G307),((E307*(1-F307))*G307))))</f>
        <v>0</v>
      </c>
      <c r="J307" s="640">
        <f>IF(H307="warranty",0,(I307*(_xlfn.SINGLE(SalesTaxPercentage))))</f>
        <v>0</v>
      </c>
      <c r="K307" s="716">
        <f t="shared" ref="K307" si="252">I307+J307</f>
        <v>0</v>
      </c>
      <c r="L307" s="716"/>
      <c r="M307" s="689" t="str">
        <f ca="1">IF(AND(G307&gt;0,E307=0),"WARNING - no PRICE inserted",IF(H307="free","FREE ~ no charge this plant",IF(H307="credit",CONCATENATE("-$",ROUND(K307*(1-_xlfn.SINGLE(T2GDiscount))*-1,2)," CREDIT after discount"),IF(_xlfn.SINGLE(T2GDiscount)=0,"",IF(G307=0,"",IF(F307="Buy",CONCATENATE("$",ROUND(K307*(1-_xlfn.SINGLE(T2GDiscount)),2)," with ",(_xlfn.SINGLE(T2GDiscount)*100),"% discount"),CONCATENATE("$",ROUND(K307*(1-_xlfn.SINGLE(T2GDiscount)),2)," with ",((_xlfn.SINGLE(T2GDiscount)*100+F307*100)-(_xlfn.SINGLE(T2GDiscount)*100*F307)),IF(F307&gt;0,"% discounts",IF(_xlfn.SINGLE(NoWarrantyDiscount)&gt;0,"% discounts","% discount")))))))))</f>
        <v/>
      </c>
      <c r="N307" s="690"/>
      <c r="O307" s="486"/>
      <c r="P307" s="486"/>
      <c r="Q307" s="486"/>
      <c r="R307" s="486"/>
      <c r="S307" s="486"/>
      <c r="T307" s="102">
        <f t="shared" si="224"/>
        <v>0</v>
      </c>
      <c r="U307" s="78">
        <f>IF(NOT(ISNUMBER(G307)), "", VLOOKUP(A307,'Discount Lookup'!D:E,2,FALSE)*G307)</f>
        <v>0</v>
      </c>
      <c r="V307" s="78">
        <f>IF(NOT(ISNUMBER(G307)), "", VLOOKUP(A307,'Discount Lookup'!G:H,2,FALSE)*G307)</f>
        <v>0</v>
      </c>
      <c r="W307" s="102">
        <f t="shared" si="225"/>
        <v>0</v>
      </c>
      <c r="X307" s="102">
        <f t="shared" si="226"/>
        <v>0</v>
      </c>
      <c r="Y307" s="120" t="b">
        <f t="shared" si="227"/>
        <v>0</v>
      </c>
      <c r="Z307" s="117">
        <f t="shared" si="228"/>
        <v>0</v>
      </c>
      <c r="AA307" s="118"/>
      <c r="AB307" s="118" t="str">
        <f t="shared" si="229"/>
        <v/>
      </c>
      <c r="AC307" s="712" t="str">
        <f>IF(AE307="T2G","no charge",IF(AND(OR(PlanterYesMe="No",PlanterYesMe="N",PlanterYesMe="me"),H307=""),"",IF(H307="credit","NO install",IF(AND(K307="",AE307="me"),"EACH row",IF(AND(K307="images",AE307="me"),"EACH row",IF(D307="","",IF(H307="credit","",IF(AE307="free","re-planting",IF(AE307="me","   not ELP, by",IF(AND(OR(PlanterYesMe="Yes",PlanterYesMe="Y"),G307&gt;0),(VLOOKUP(A307,'Discount Lookup'!J:K,2)*G307*(1-PlanterDiscount)*(1+PlanterDifficultyPercentage)),IF(AE307="ELP",(VLOOKUP(A307,'Discount Lookup'!J:K,2)*G307*(1-PlanterDiscount)*(1+PlanterDifficultyPercentage)),IF(AE307="free","re-planting",IF(G307=0,"",IF(PlanterYesMe="",IF(AE307="me","   not ELP, by",IF(AE307="",IF(G307&gt;0,(VLOOKUP(A307,'Discount Lookup'!J:K,2)*G307*(1-PlanterDiscount)*(1+PlanterDifficultyPercentage)),""),"")),"   not ELP, by"))))))))))))))</f>
        <v/>
      </c>
      <c r="AD307" s="712"/>
      <c r="AE307" s="513" t="str">
        <f t="shared" si="230"/>
        <v/>
      </c>
      <c r="AF307" s="713" t="str">
        <f t="shared" si="231"/>
        <v/>
      </c>
      <c r="AG307" s="713"/>
      <c r="AH307" s="713"/>
      <c r="AI307" s="112">
        <f>IF(H307="credit",0,IF(AE307="free",0,IF(AE307="me",0,IF(G307&gt;0,(VLOOKUP(A307,'Discount Lookup'!J:K,2)*G307),0))))</f>
        <v>0</v>
      </c>
      <c r="AJ307" s="107" t="str">
        <f t="shared" ca="1" si="232"/>
        <v/>
      </c>
      <c r="AK307" s="714" t="str">
        <f t="shared" si="233"/>
        <v/>
      </c>
      <c r="AL307" s="714"/>
      <c r="AM307" s="114" t="str">
        <f t="shared" si="234"/>
        <v/>
      </c>
      <c r="AN307" s="115"/>
      <c r="AO307" s="116"/>
      <c r="AP307" s="116"/>
      <c r="AQ307" s="116"/>
      <c r="AR307" s="116"/>
      <c r="AS307" s="116"/>
      <c r="AT307" s="116"/>
      <c r="AU307" s="116"/>
      <c r="AV307" s="78"/>
      <c r="AW307" s="102"/>
      <c r="AX307" s="78"/>
      <c r="AY307" s="78"/>
      <c r="AZ307" s="78"/>
      <c r="BA307" s="78"/>
      <c r="BB307" s="78"/>
      <c r="BC307" s="78"/>
      <c r="BD307" s="78"/>
      <c r="BE307" s="465"/>
      <c r="BF307" s="165" t="str">
        <f t="shared" si="235"/>
        <v>https://www.google.com/search?tbm=isch&amp;q=15%20G6</v>
      </c>
      <c r="BG307" s="165" t="str">
        <f t="shared" si="236"/>
        <v>A</v>
      </c>
      <c r="BH307" s="65"/>
      <c r="BI307" s="65"/>
      <c r="BJ307" s="65"/>
      <c r="BK307" s="65"/>
      <c r="BL307" s="99"/>
      <c r="BM307" s="99"/>
      <c r="BN307" s="99"/>
    </row>
    <row r="308" spans="1:66" s="51" customFormat="1" ht="17.25" thickBot="1" x14ac:dyDescent="0.3">
      <c r="A308" s="704" t="s">
        <v>5325</v>
      </c>
      <c r="B308" s="642"/>
      <c r="C308" s="710"/>
      <c r="D308" s="643"/>
      <c r="E308" s="643"/>
      <c r="F308" s="644"/>
      <c r="G308" s="645"/>
      <c r="H308" s="646"/>
      <c r="I308" s="647"/>
      <c r="J308" s="648"/>
      <c r="K308" s="649"/>
      <c r="L308" s="650"/>
      <c r="M308" s="650"/>
      <c r="N308" s="644"/>
      <c r="O308" s="644"/>
      <c r="P308" s="644"/>
      <c r="Q308" s="644"/>
      <c r="R308" s="644"/>
      <c r="S308" s="701" t="s">
        <v>5257</v>
      </c>
      <c r="T308" s="102">
        <f t="shared" si="224"/>
        <v>0</v>
      </c>
      <c r="U308" s="78" t="str">
        <f>IF(NOT(ISNUMBER(G308)), "", VLOOKUP(A308,'Discount Lookup'!D:E,2,FALSE)*G308)</f>
        <v/>
      </c>
      <c r="V308" s="78" t="str">
        <f>IF(NOT(ISNUMBER(G308)), "", VLOOKUP(A308,'Discount Lookup'!G:H,2,FALSE)*G308)</f>
        <v/>
      </c>
      <c r="W308" s="102">
        <f t="shared" si="225"/>
        <v>0</v>
      </c>
      <c r="X308" s="102">
        <f t="shared" si="226"/>
        <v>0</v>
      </c>
      <c r="Y308" s="120" t="b">
        <f t="shared" si="227"/>
        <v>0</v>
      </c>
      <c r="Z308" s="117">
        <f t="shared" si="228"/>
        <v>0</v>
      </c>
      <c r="AA308" s="118"/>
      <c r="AB308" s="118" t="str">
        <f t="shared" si="229"/>
        <v/>
      </c>
      <c r="AC308" s="712" t="str">
        <f>IF(AE308="T2G","no charge",IF(AND(OR(PlanterYesMe="No",PlanterYesMe="N",PlanterYesMe="me"),H308=""),"",IF(H308="credit","NO install",IF(AND(K308="",AE308="me"),"EACH row",IF(AND(K308="images",AE308="me"),"EACH row",IF(D308="","",IF(H308="credit","",IF(AE308="free","re-planting",IF(AE308="me","   not ELP, by",IF(AND(OR(PlanterYesMe="Yes",PlanterYesMe="Y"),G308&gt;0),(VLOOKUP(A308,'Discount Lookup'!J:K,2)*G308*(1-PlanterDiscount)*(1+PlanterDifficultyPercentage)),IF(AE308="ELP",(VLOOKUP(A308,'Discount Lookup'!J:K,2)*G308*(1-PlanterDiscount)*(1+PlanterDifficultyPercentage)),IF(AE308="free","re-planting",IF(G308=0,"",IF(PlanterYesMe="",IF(AE308="me","   not ELP, by",IF(AE308="",IF(G308&gt;0,(VLOOKUP(A308,'Discount Lookup'!J:K,2)*G308*(1-PlanterDiscount)*(1+PlanterDifficultyPercentage)),""),"")),"   not ELP, by"))))))))))))))</f>
        <v/>
      </c>
      <c r="AD308" s="712"/>
      <c r="AE308" s="513" t="str">
        <f t="shared" si="230"/>
        <v/>
      </c>
      <c r="AF308" s="713" t="str">
        <f t="shared" si="231"/>
        <v/>
      </c>
      <c r="AG308" s="713"/>
      <c r="AH308" s="713"/>
      <c r="AI308" s="112">
        <f>IF(H308="credit",0,IF(AE308="free",0,IF(AE308="me",0,IF(G308&gt;0,(VLOOKUP(A308,'Discount Lookup'!J:K,2)*G308),0))))</f>
        <v>0</v>
      </c>
      <c r="AJ308" s="107" t="str">
        <f t="shared" ca="1" si="232"/>
        <v/>
      </c>
      <c r="AK308" s="714" t="str">
        <f t="shared" si="233"/>
        <v/>
      </c>
      <c r="AL308" s="714"/>
      <c r="AM308" s="114" t="str">
        <f t="shared" si="234"/>
        <v/>
      </c>
      <c r="AN308" s="115"/>
      <c r="AO308" s="116"/>
      <c r="AP308" s="116"/>
      <c r="AQ308" s="116"/>
      <c r="AR308" s="116"/>
      <c r="AS308" s="116"/>
      <c r="AT308" s="116"/>
      <c r="AU308" s="116"/>
      <c r="AV308" s="78"/>
      <c r="AW308" s="102"/>
      <c r="AX308" s="78"/>
      <c r="AY308" s="78"/>
      <c r="AZ308" s="78"/>
      <c r="BA308" s="78"/>
      <c r="BB308" s="78"/>
      <c r="BC308" s="78"/>
      <c r="BD308" s="78"/>
      <c r="BE308" s="465"/>
      <c r="BF308" s="165" t="str">
        <f t="shared" si="235"/>
        <v>https://www.google.com/search?tbm=isch&amp;q=moist%20sites%F0%9F%92%A7GOOD%2C%20Red%20Buckeye%20known%20for%20early%20flower%20display%2C%20with%20Yellow%20throat.%20%22Buckeyes%22%20refers%20to%20the%20seeds%20%28poisonous%29%20</v>
      </c>
      <c r="BG308" s="165" t="str">
        <f t="shared" si="236"/>
        <v>m</v>
      </c>
      <c r="BH308" s="65"/>
      <c r="BI308" s="65"/>
      <c r="BJ308" s="65"/>
      <c r="BK308" s="65"/>
      <c r="BL308" s="99"/>
      <c r="BM308" s="99"/>
      <c r="BN308" s="99"/>
    </row>
    <row r="309" spans="1:66" s="51" customFormat="1" ht="18" x14ac:dyDescent="0.25">
      <c r="A309" s="623" t="s">
        <v>5035</v>
      </c>
      <c r="B309" s="624"/>
      <c r="C309" s="709"/>
      <c r="D309" s="625" t="s">
        <v>5036</v>
      </c>
      <c r="E309" s="626"/>
      <c r="F309" s="626"/>
      <c r="G309" s="626"/>
      <c r="H309" s="622" t="s">
        <v>1139</v>
      </c>
      <c r="I309" s="627" t="s">
        <v>3458</v>
      </c>
      <c r="J309" s="628"/>
      <c r="K309" s="628"/>
      <c r="L309" s="629"/>
      <c r="M309" s="700" t="s">
        <v>5249</v>
      </c>
      <c r="N309" s="693" t="str">
        <f>IF(AND(ISTEXT($A309), ISERROR($A309+0)), HYPERLINK($BF309, "Images"), "")</f>
        <v>Images</v>
      </c>
      <c r="O309" s="695" t="s">
        <v>5247</v>
      </c>
      <c r="P309" s="630"/>
      <c r="Q309" s="631"/>
      <c r="R309" s="632"/>
      <c r="S309" s="633"/>
      <c r="T309" s="102">
        <f t="shared" si="224"/>
        <v>0</v>
      </c>
      <c r="U309" s="78" t="str">
        <f>IF(NOT(ISNUMBER(G309)), "", VLOOKUP(A309,'Discount Lookup'!D:E,2,FALSE)*G309)</f>
        <v/>
      </c>
      <c r="V309" s="78" t="str">
        <f>IF(NOT(ISNUMBER(G309)), "", VLOOKUP(A309,'Discount Lookup'!G:H,2,FALSE)*G309)</f>
        <v/>
      </c>
      <c r="W309" s="102">
        <f t="shared" si="225"/>
        <v>0</v>
      </c>
      <c r="X309" s="102" t="str">
        <f t="shared" si="226"/>
        <v>Pale Yellow bloom</v>
      </c>
      <c r="Y309" s="120" t="b">
        <f t="shared" si="227"/>
        <v>0</v>
      </c>
      <c r="Z309" s="117">
        <f t="shared" si="228"/>
        <v>0</v>
      </c>
      <c r="AA309" s="118"/>
      <c r="AB309" s="118" t="str">
        <f t="shared" si="229"/>
        <v/>
      </c>
      <c r="AC309" s="712" t="str">
        <f>IF(AE309="T2G","no charge",IF(AND(OR(PlanterYesMe="No",PlanterYesMe="N",PlanterYesMe="me"),H309=""),"",IF(H309="credit","NO install",IF(AND(K309="",AE309="me"),"EACH row",IF(AND(K309="images",AE309="me"),"EACH row",IF(D309="","",IF(H309="credit","",IF(AE309="free","re-planting",IF(AE309="me","   not ELP, by",IF(AND(OR(PlanterYesMe="Yes",PlanterYesMe="Y"),G309&gt;0),(VLOOKUP(A309,'Discount Lookup'!J:K,2)*G309*(1-PlanterDiscount)*(1+PlanterDifficultyPercentage)),IF(AE309="ELP",(VLOOKUP(A309,'Discount Lookup'!J:K,2)*G309*(1-PlanterDiscount)*(1+PlanterDifficultyPercentage)),IF(AE309="free","re-planting",IF(G309=0,"",IF(PlanterYesMe="",IF(AE309="me","   not ELP, by",IF(AE309="",IF(G309&gt;0,(VLOOKUP(A309,'Discount Lookup'!J:K,2)*G309*(1-PlanterDiscount)*(1+PlanterDifficultyPercentage)),""),"")),"   not ELP, by"))))))))))))))</f>
        <v/>
      </c>
      <c r="AD309" s="712"/>
      <c r="AE309" s="513" t="str">
        <f t="shared" si="230"/>
        <v/>
      </c>
      <c r="AF309" s="713" t="str">
        <f t="shared" si="231"/>
        <v/>
      </c>
      <c r="AG309" s="713"/>
      <c r="AH309" s="713"/>
      <c r="AI309" s="112">
        <f>IF(H309="credit",0,IF(AE309="free",0,IF(AE309="me",0,IF(G309&gt;0,(VLOOKUP(A309,'Discount Lookup'!J:K,2)*G309),0))))</f>
        <v>0</v>
      </c>
      <c r="AJ309" s="107" t="str">
        <f t="shared" ca="1" si="232"/>
        <v/>
      </c>
      <c r="AK309" s="714" t="str">
        <f t="shared" si="233"/>
        <v/>
      </c>
      <c r="AL309" s="714"/>
      <c r="AM309" s="114" t="str">
        <f t="shared" si="234"/>
        <v/>
      </c>
      <c r="AN309" s="115"/>
      <c r="AO309" s="116"/>
      <c r="AP309" s="116"/>
      <c r="AQ309" s="116"/>
      <c r="AR309" s="116"/>
      <c r="AS309" s="116"/>
      <c r="AT309" s="116"/>
      <c r="AU309" s="116"/>
      <c r="AV309" s="78"/>
      <c r="AW309" s="102"/>
      <c r="AX309" s="78"/>
      <c r="AY309" s="78"/>
      <c r="AZ309" s="78"/>
      <c r="BA309" s="78"/>
      <c r="BB309" s="78"/>
      <c r="BC309" s="78"/>
      <c r="BD309" s="78"/>
      <c r="BE309" s="465"/>
      <c r="BF309" s="165" t="str">
        <f t="shared" si="235"/>
        <v>https://www.google.com/search?tbm=isch&amp;q=Aesculus%20x%20neglecta%20%27Erythroblastos%27%20Sunrise%20Buckeye</v>
      </c>
      <c r="BG309" s="165" t="str">
        <f t="shared" si="236"/>
        <v>A</v>
      </c>
      <c r="BH309" s="65"/>
      <c r="BI309" s="65"/>
      <c r="BJ309" s="65"/>
      <c r="BK309" s="65"/>
      <c r="BL309" s="99"/>
      <c r="BM309" s="99"/>
      <c r="BN309" s="99"/>
    </row>
    <row r="310" spans="1:66" s="51" customFormat="1" ht="27" x14ac:dyDescent="0.25">
      <c r="A310" s="634">
        <v>7</v>
      </c>
      <c r="B310" s="635" t="s">
        <v>291</v>
      </c>
      <c r="C310" s="636" t="s">
        <v>5037</v>
      </c>
      <c r="D310" s="637" t="s">
        <v>299</v>
      </c>
      <c r="E310" s="638">
        <v>137.94999999999999</v>
      </c>
      <c r="F310" s="639" t="s">
        <v>292</v>
      </c>
      <c r="G310" s="484">
        <v>0</v>
      </c>
      <c r="H310" s="691" t="str">
        <f>IF(G310=0,"",IF(F310="Buy",IF(G310=1,"plant","plants"),IF(F310&gt;0.01,"warranty","Error")))</f>
        <v/>
      </c>
      <c r="I310" s="640">
        <f>IF(H310="free",0,IF(H310="credit",((E310*(F310))*G310*-1),IF(F310="Buy",(E310*G310),((E310*(1-F310))*G310))))</f>
        <v>0</v>
      </c>
      <c r="J310" s="640">
        <f>IF(H310="warranty",0,(I310*(_xlfn.SINGLE(SalesTaxPercentage))))</f>
        <v>0</v>
      </c>
      <c r="K310" s="716">
        <f t="shared" ref="K310" si="253">I310+J310</f>
        <v>0</v>
      </c>
      <c r="L310" s="716"/>
      <c r="M310" s="689" t="str">
        <f ca="1">IF(AND(G310&gt;0,E310=0),"WARNING - no PRICE inserted",IF(H310="free","FREE ~ no charge this plant",IF(H310="credit",CONCATENATE("-$",ROUND(K310*(1-_xlfn.SINGLE(T2GDiscount))*-1,2)," CREDIT after discount"),IF(_xlfn.SINGLE(T2GDiscount)=0,"",IF(G310=0,"",IF(F310="Buy",CONCATENATE("$",ROUND(K310*(1-_xlfn.SINGLE(T2GDiscount)),2)," with ",(_xlfn.SINGLE(T2GDiscount)*100),"% discount"),CONCATENATE("$",ROUND(K310*(1-_xlfn.SINGLE(T2GDiscount)),2)," with ",((_xlfn.SINGLE(T2GDiscount)*100+F310*100)-(_xlfn.SINGLE(T2GDiscount)*100*F310)),IF(F310&gt;0,"% discounts",IF(_xlfn.SINGLE(NoWarrantyDiscount)&gt;0,"% discounts","% discount")))))))))</f>
        <v/>
      </c>
      <c r="N310" s="690"/>
      <c r="O310" s="486"/>
      <c r="P310" s="486"/>
      <c r="Q310" s="486"/>
      <c r="R310" s="486"/>
      <c r="S310" s="486"/>
      <c r="T310" s="102">
        <f t="shared" si="224"/>
        <v>0</v>
      </c>
      <c r="U310" s="78">
        <f>IF(NOT(ISNUMBER(G310)), "", VLOOKUP(A310,'Discount Lookup'!D:E,2,FALSE)*G310)</f>
        <v>0</v>
      </c>
      <c r="V310" s="78">
        <f>IF(NOT(ISNUMBER(G310)), "", VLOOKUP(A310,'Discount Lookup'!G:H,2,FALSE)*G310)</f>
        <v>0</v>
      </c>
      <c r="W310" s="102">
        <f t="shared" si="225"/>
        <v>0</v>
      </c>
      <c r="X310" s="102">
        <f t="shared" si="226"/>
        <v>0</v>
      </c>
      <c r="Y310" s="120" t="b">
        <f t="shared" si="227"/>
        <v>0</v>
      </c>
      <c r="Z310" s="117">
        <f t="shared" si="228"/>
        <v>0</v>
      </c>
      <c r="AA310" s="118"/>
      <c r="AB310" s="118" t="str">
        <f t="shared" si="229"/>
        <v/>
      </c>
      <c r="AC310" s="712" t="str">
        <f>IF(AE310="T2G","no charge",IF(AND(OR(PlanterYesMe="No",PlanterYesMe="N",PlanterYesMe="me"),H310=""),"",IF(H310="credit","NO install",IF(AND(K310="",AE310="me"),"EACH row",IF(AND(K310="images",AE310="me"),"EACH row",IF(D310="","",IF(H310="credit","",IF(AE310="free","re-planting",IF(AE310="me","   not ELP, by",IF(AND(OR(PlanterYesMe="Yes",PlanterYesMe="Y"),G310&gt;0),(VLOOKUP(A310,'Discount Lookup'!J:K,2)*G310*(1-PlanterDiscount)*(1+PlanterDifficultyPercentage)),IF(AE310="ELP",(VLOOKUP(A310,'Discount Lookup'!J:K,2)*G310*(1-PlanterDiscount)*(1+PlanterDifficultyPercentage)),IF(AE310="free","re-planting",IF(G310=0,"",IF(PlanterYesMe="",IF(AE310="me","   not ELP, by",IF(AE310="",IF(G310&gt;0,(VLOOKUP(A310,'Discount Lookup'!J:K,2)*G310*(1-PlanterDiscount)*(1+PlanterDifficultyPercentage)),""),"")),"   not ELP, by"))))))))))))))</f>
        <v/>
      </c>
      <c r="AD310" s="712"/>
      <c r="AE310" s="513" t="str">
        <f t="shared" si="230"/>
        <v/>
      </c>
      <c r="AF310" s="713" t="str">
        <f t="shared" si="231"/>
        <v/>
      </c>
      <c r="AG310" s="713"/>
      <c r="AH310" s="713"/>
      <c r="AI310" s="112">
        <f>IF(H310="credit",0,IF(AE310="free",0,IF(AE310="me",0,IF(G310&gt;0,(VLOOKUP(A310,'Discount Lookup'!J:K,2)*G310),0))))</f>
        <v>0</v>
      </c>
      <c r="AJ310" s="107" t="str">
        <f t="shared" ca="1" si="232"/>
        <v/>
      </c>
      <c r="AK310" s="714" t="str">
        <f t="shared" si="233"/>
        <v/>
      </c>
      <c r="AL310" s="714"/>
      <c r="AM310" s="114" t="str">
        <f t="shared" si="234"/>
        <v/>
      </c>
      <c r="AN310" s="115"/>
      <c r="AO310" s="116"/>
      <c r="AP310" s="116"/>
      <c r="AQ310" s="116"/>
      <c r="AR310" s="116"/>
      <c r="AS310" s="116"/>
      <c r="AT310" s="116"/>
      <c r="AU310" s="116"/>
      <c r="AV310" s="78"/>
      <c r="AW310" s="102"/>
      <c r="AX310" s="78"/>
      <c r="AY310" s="78"/>
      <c r="AZ310" s="78"/>
      <c r="BA310" s="78"/>
      <c r="BB310" s="78"/>
      <c r="BC310" s="78"/>
      <c r="BD310" s="78"/>
      <c r="BE310" s="465"/>
      <c r="BF310" s="165" t="str">
        <f t="shared" si="235"/>
        <v>https://www.google.com/search?tbm=isch&amp;q=7%20G4</v>
      </c>
      <c r="BG310" s="165" t="str">
        <f t="shared" si="236"/>
        <v>A</v>
      </c>
      <c r="BH310" s="65"/>
      <c r="BI310" s="65"/>
      <c r="BJ310" s="65"/>
      <c r="BK310" s="65"/>
      <c r="BL310" s="99"/>
      <c r="BM310" s="99"/>
      <c r="BN310" s="99"/>
    </row>
    <row r="311" spans="1:66" s="51" customFormat="1" ht="16.5" x14ac:dyDescent="0.25">
      <c r="A311" s="704" t="s">
        <v>5326</v>
      </c>
      <c r="B311" s="642"/>
      <c r="C311" s="710"/>
      <c r="D311" s="643"/>
      <c r="E311" s="643"/>
      <c r="F311" s="644"/>
      <c r="G311" s="645"/>
      <c r="H311" s="646"/>
      <c r="I311" s="647"/>
      <c r="J311" s="648"/>
      <c r="K311" s="649"/>
      <c r="L311" s="650"/>
      <c r="M311" s="650"/>
      <c r="N311" s="644"/>
      <c r="O311" s="644"/>
      <c r="P311" s="644"/>
      <c r="Q311" s="644"/>
      <c r="R311" s="644"/>
      <c r="S311" s="651"/>
      <c r="T311" s="102">
        <f t="shared" si="224"/>
        <v>0</v>
      </c>
      <c r="U311" s="78" t="str">
        <f>IF(NOT(ISNUMBER(G311)), "", VLOOKUP(A311,'Discount Lookup'!D:E,2,FALSE)*G311)</f>
        <v/>
      </c>
      <c r="V311" s="78" t="str">
        <f>IF(NOT(ISNUMBER(G311)), "", VLOOKUP(A311,'Discount Lookup'!G:H,2,FALSE)*G311)</f>
        <v/>
      </c>
      <c r="W311" s="102">
        <f t="shared" si="225"/>
        <v>0</v>
      </c>
      <c r="X311" s="102">
        <f t="shared" si="226"/>
        <v>0</v>
      </c>
      <c r="Y311" s="120" t="b">
        <f t="shared" si="227"/>
        <v>0</v>
      </c>
      <c r="Z311" s="117">
        <f t="shared" si="228"/>
        <v>0</v>
      </c>
      <c r="AA311" s="118"/>
      <c r="AB311" s="118" t="str">
        <f t="shared" si="229"/>
        <v/>
      </c>
      <c r="AC311" s="712" t="str">
        <f>IF(AE311="T2G","no charge",IF(AND(OR(PlanterYesMe="No",PlanterYesMe="N",PlanterYesMe="me"),H311=""),"",IF(H311="credit","NO install",IF(AND(K311="",AE311="me"),"EACH row",IF(AND(K311="images",AE311="me"),"EACH row",IF(D311="","",IF(H311="credit","",IF(AE311="free","re-planting",IF(AE311="me","   not ELP, by",IF(AND(OR(PlanterYesMe="Yes",PlanterYesMe="Y"),G311&gt;0),(VLOOKUP(A311,'Discount Lookup'!J:K,2)*G311*(1-PlanterDiscount)*(1+PlanterDifficultyPercentage)),IF(AE311="ELP",(VLOOKUP(A311,'Discount Lookup'!J:K,2)*G311*(1-PlanterDiscount)*(1+PlanterDifficultyPercentage)),IF(AE311="free","re-planting",IF(G311=0,"",IF(PlanterYesMe="",IF(AE311="me","   not ELP, by",IF(AE311="",IF(G311&gt;0,(VLOOKUP(A311,'Discount Lookup'!J:K,2)*G311*(1-PlanterDiscount)*(1+PlanterDifficultyPercentage)),""),"")),"   not ELP, by"))))))))))))))</f>
        <v/>
      </c>
      <c r="AD311" s="712"/>
      <c r="AE311" s="513" t="str">
        <f t="shared" si="230"/>
        <v/>
      </c>
      <c r="AF311" s="713" t="str">
        <f t="shared" si="231"/>
        <v/>
      </c>
      <c r="AG311" s="713"/>
      <c r="AH311" s="713"/>
      <c r="AI311" s="112">
        <f>IF(H311="credit",0,IF(AE311="free",0,IF(AE311="me",0,IF(G311&gt;0,(VLOOKUP(A311,'Discount Lookup'!J:K,2)*G311),0))))</f>
        <v>0</v>
      </c>
      <c r="AJ311" s="107" t="str">
        <f t="shared" ca="1" si="232"/>
        <v/>
      </c>
      <c r="AK311" s="714" t="str">
        <f t="shared" si="233"/>
        <v/>
      </c>
      <c r="AL311" s="714"/>
      <c r="AM311" s="114" t="str">
        <f t="shared" si="234"/>
        <v/>
      </c>
      <c r="AN311" s="115"/>
      <c r="AO311" s="116"/>
      <c r="AP311" s="116"/>
      <c r="AQ311" s="116"/>
      <c r="AR311" s="116"/>
      <c r="AS311" s="116"/>
      <c r="AT311" s="116"/>
      <c r="AU311" s="116"/>
      <c r="AV311" s="78"/>
      <c r="AW311" s="102"/>
      <c r="AX311" s="78"/>
      <c r="AY311" s="78"/>
      <c r="AZ311" s="78"/>
      <c r="BA311" s="78"/>
      <c r="BB311" s="78"/>
      <c r="BC311" s="78"/>
      <c r="BD311" s="78"/>
      <c r="BE311" s="465"/>
      <c r="BF311" s="165" t="str">
        <f t="shared" si="235"/>
        <v>https://www.google.com/search?tbm=isch&amp;q=moist%20sites%F0%9F%92%A7OK%2C%20Sunrise%20known%20for%20Flamingo-Pink%20spring%20foliage%20that%20matures%20to%20Green%2C%20then%20ignites%20in%20fall%20with%20Orange%20and%20Yellow%20</v>
      </c>
      <c r="BG311" s="165" t="str">
        <f t="shared" si="236"/>
        <v>m</v>
      </c>
      <c r="BH311" s="65"/>
      <c r="BI311" s="65"/>
      <c r="BJ311" s="65"/>
      <c r="BK311" s="65"/>
      <c r="BL311" s="99"/>
      <c r="BM311" s="99"/>
      <c r="BN311" s="99"/>
    </row>
    <row r="312" spans="1:66" s="51" customFormat="1" ht="19.5" thickBot="1" x14ac:dyDescent="0.3">
      <c r="A312" s="686" t="s">
        <v>366</v>
      </c>
      <c r="B312" s="73"/>
      <c r="C312" s="708"/>
      <c r="D312" s="73"/>
      <c r="E312" s="73"/>
      <c r="F312" s="496"/>
      <c r="G312" s="73"/>
      <c r="H312" s="73"/>
      <c r="I312" s="73"/>
      <c r="J312" s="497" t="s">
        <v>357</v>
      </c>
      <c r="K312" s="498"/>
      <c r="L312" s="562"/>
      <c r="M312" s="73"/>
      <c r="N312"/>
      <c r="O312"/>
      <c r="P312"/>
      <c r="Q312"/>
      <c r="R312"/>
      <c r="S312"/>
      <c r="T312" s="102">
        <f t="shared" si="224"/>
        <v>0</v>
      </c>
      <c r="U312" s="78" t="str">
        <f>IF(NOT(ISNUMBER(G312)), "", VLOOKUP(A312,'Discount Lookup'!D:E,2,FALSE)*G312)</f>
        <v/>
      </c>
      <c r="V312" s="78" t="str">
        <f>IF(NOT(ISNUMBER(G312)), "", VLOOKUP(A312,'Discount Lookup'!G:H,2,FALSE)*G312)</f>
        <v/>
      </c>
      <c r="W312" s="102">
        <f t="shared" si="225"/>
        <v>0</v>
      </c>
      <c r="X312" s="102">
        <f t="shared" si="226"/>
        <v>0</v>
      </c>
      <c r="Y312" s="120" t="b">
        <f t="shared" si="227"/>
        <v>0</v>
      </c>
      <c r="Z312" s="117">
        <f t="shared" si="228"/>
        <v>0</v>
      </c>
      <c r="AA312" s="118"/>
      <c r="AB312" s="118" t="str">
        <f t="shared" si="229"/>
        <v/>
      </c>
      <c r="AC312" s="712" t="str">
        <f>IF(AE312="T2G","no charge",IF(AND(OR(PlanterYesMe="No",PlanterYesMe="N",PlanterYesMe="me"),H312=""),"",IF(H312="credit","NO install",IF(AND(K312="",AE312="me"),"EACH row",IF(AND(K312="images",AE312="me"),"EACH row",IF(D312="","",IF(H312="credit","",IF(AE312="free","re-planting",IF(AE312="me","   not ELP, by",IF(AND(OR(PlanterYesMe="Yes",PlanterYesMe="Y"),G312&gt;0),(VLOOKUP(A312,'Discount Lookup'!J:K,2)*G312*(1-PlanterDiscount)*(1+PlanterDifficultyPercentage)),IF(AE312="ELP",(VLOOKUP(A312,'Discount Lookup'!J:K,2)*G312*(1-PlanterDiscount)*(1+PlanterDifficultyPercentage)),IF(AE312="free","re-planting",IF(G312=0,"",IF(PlanterYesMe="",IF(AE312="me","   not ELP, by",IF(AE312="",IF(G312&gt;0,(VLOOKUP(A312,'Discount Lookup'!J:K,2)*G312*(1-PlanterDiscount)*(1+PlanterDifficultyPercentage)),""),"")),"   not ELP, by"))))))))))))))</f>
        <v/>
      </c>
      <c r="AD312" s="712"/>
      <c r="AE312" s="513" t="str">
        <f t="shared" si="230"/>
        <v/>
      </c>
      <c r="AF312" s="713" t="str">
        <f t="shared" si="231"/>
        <v/>
      </c>
      <c r="AG312" s="713"/>
      <c r="AH312" s="713"/>
      <c r="AI312" s="112">
        <f>IF(H312="credit",0,IF(AE312="free",0,IF(AE312="me",0,IF(G312&gt;0,(VLOOKUP(A312,'Discount Lookup'!J:K,2)*G312),0))))</f>
        <v>0</v>
      </c>
      <c r="AJ312" s="107" t="str">
        <f t="shared" ca="1" si="232"/>
        <v/>
      </c>
      <c r="AK312" s="714" t="str">
        <f t="shared" si="233"/>
        <v/>
      </c>
      <c r="AL312" s="714"/>
      <c r="AM312" s="114" t="str">
        <f t="shared" si="234"/>
        <v/>
      </c>
      <c r="AN312" s="115"/>
      <c r="AO312" s="116"/>
      <c r="AP312" s="116"/>
      <c r="AQ312" s="116"/>
      <c r="AR312" s="116"/>
      <c r="AS312" s="116"/>
      <c r="AT312" s="116"/>
      <c r="AU312" s="116"/>
      <c r="AV312" s="78"/>
      <c r="AW312" s="102"/>
      <c r="AX312" s="78"/>
      <c r="AY312" s="78"/>
      <c r="AZ312" s="78"/>
      <c r="BA312" s="78"/>
      <c r="BB312" s="78"/>
      <c r="BC312" s="78"/>
      <c r="BD312" s="78"/>
      <c r="BE312" s="465"/>
      <c r="BF312" s="165" t="str">
        <f t="shared" si="235"/>
        <v>https://www.google.com/search?tbm=isch&amp;q=Agastache%20%3D%20Hummingbird%20Mint%20</v>
      </c>
      <c r="BG312" s="165" t="str">
        <f t="shared" si="236"/>
        <v>A</v>
      </c>
      <c r="BH312" s="65"/>
      <c r="BI312" s="65"/>
      <c r="BJ312" s="65"/>
      <c r="BK312" s="65"/>
      <c r="BL312" s="99"/>
      <c r="BM312" s="99"/>
      <c r="BN312" s="99"/>
    </row>
    <row r="313" spans="1:66" s="51" customFormat="1" ht="18" x14ac:dyDescent="0.25">
      <c r="A313" s="623" t="s">
        <v>1428</v>
      </c>
      <c r="B313" s="624"/>
      <c r="C313" s="709"/>
      <c r="D313" s="625" t="s">
        <v>5583</v>
      </c>
      <c r="E313" s="626"/>
      <c r="F313" s="626"/>
      <c r="G313" s="626"/>
      <c r="H313" s="622" t="s">
        <v>1429</v>
      </c>
      <c r="I313" s="627" t="s">
        <v>1430</v>
      </c>
      <c r="J313" s="628"/>
      <c r="K313" s="628"/>
      <c r="L313" s="629"/>
      <c r="M313" s="700" t="s">
        <v>5241</v>
      </c>
      <c r="N313" s="693" t="str">
        <f>IF(AND(ISTEXT($A313), ISERROR($A313+0)), HYPERLINK($BF313, "Images"), "")</f>
        <v>Images</v>
      </c>
      <c r="O313" s="695" t="s">
        <v>5244</v>
      </c>
      <c r="P313" s="630"/>
      <c r="Q313" s="631"/>
      <c r="R313" s="632"/>
      <c r="S313" s="633"/>
      <c r="T313" s="102">
        <f t="shared" si="224"/>
        <v>0</v>
      </c>
      <c r="U313" s="78" t="str">
        <f>IF(NOT(ISNUMBER(G313)), "", VLOOKUP(A313,'Discount Lookup'!D:E,2,FALSE)*G313)</f>
        <v/>
      </c>
      <c r="V313" s="78" t="str">
        <f>IF(NOT(ISNUMBER(G313)), "", VLOOKUP(A313,'Discount Lookup'!G:H,2,FALSE)*G313)</f>
        <v/>
      </c>
      <c r="W313" s="102">
        <f t="shared" si="225"/>
        <v>0</v>
      </c>
      <c r="X313" s="102" t="str">
        <f t="shared" si="226"/>
        <v>Dark Violet-Blue bloom</v>
      </c>
      <c r="Y313" s="120" t="b">
        <f t="shared" si="227"/>
        <v>0</v>
      </c>
      <c r="Z313" s="117">
        <f t="shared" si="228"/>
        <v>0</v>
      </c>
      <c r="AA313" s="118"/>
      <c r="AB313" s="118" t="str">
        <f t="shared" si="229"/>
        <v/>
      </c>
      <c r="AC313" s="712" t="str">
        <f>IF(AE313="T2G","no charge",IF(AND(OR(PlanterYesMe="No",PlanterYesMe="N",PlanterYesMe="me"),H313=""),"",IF(H313="credit","NO install",IF(AND(K313="",AE313="me"),"EACH row",IF(AND(K313="images",AE313="me"),"EACH row",IF(D313="","",IF(H313="credit","",IF(AE313="free","re-planting",IF(AE313="me","   not ELP, by",IF(AND(OR(PlanterYesMe="Yes",PlanterYesMe="Y"),G313&gt;0),(VLOOKUP(A313,'Discount Lookup'!J:K,2)*G313*(1-PlanterDiscount)*(1+PlanterDifficultyPercentage)),IF(AE313="ELP",(VLOOKUP(A313,'Discount Lookup'!J:K,2)*G313*(1-PlanterDiscount)*(1+PlanterDifficultyPercentage)),IF(AE313="free","re-planting",IF(G313=0,"",IF(PlanterYesMe="",IF(AE313="me","   not ELP, by",IF(AE313="",IF(G313&gt;0,(VLOOKUP(A313,'Discount Lookup'!J:K,2)*G313*(1-PlanterDiscount)*(1+PlanterDifficultyPercentage)),""),"")),"   not ELP, by"))))))))))))))</f>
        <v/>
      </c>
      <c r="AD313" s="712"/>
      <c r="AE313" s="513" t="str">
        <f t="shared" si="230"/>
        <v/>
      </c>
      <c r="AF313" s="713" t="str">
        <f t="shared" si="231"/>
        <v/>
      </c>
      <c r="AG313" s="713"/>
      <c r="AH313" s="713"/>
      <c r="AI313" s="112">
        <f>IF(H313="credit",0,IF(AE313="free",0,IF(AE313="me",0,IF(G313&gt;0,(VLOOKUP(A313,'Discount Lookup'!J:K,2)*G313),0))))</f>
        <v>0</v>
      </c>
      <c r="AJ313" s="107" t="str">
        <f t="shared" ca="1" si="232"/>
        <v/>
      </c>
      <c r="AK313" s="714" t="str">
        <f t="shared" si="233"/>
        <v/>
      </c>
      <c r="AL313" s="714"/>
      <c r="AM313" s="114" t="str">
        <f t="shared" si="234"/>
        <v/>
      </c>
      <c r="AN313" s="115"/>
      <c r="AO313" s="116"/>
      <c r="AP313" s="116"/>
      <c r="AQ313" s="116"/>
      <c r="AR313" s="116"/>
      <c r="AS313" s="116"/>
      <c r="AT313" s="116"/>
      <c r="AU313" s="116"/>
      <c r="AV313" s="78"/>
      <c r="AW313" s="102"/>
      <c r="AX313" s="78"/>
      <c r="AY313" s="78"/>
      <c r="AZ313" s="78"/>
      <c r="BA313" s="78"/>
      <c r="BB313" s="78"/>
      <c r="BC313" s="78"/>
      <c r="BD313" s="78"/>
      <c r="BE313" s="465"/>
      <c r="BF313" s="165" t="str">
        <f t="shared" si="235"/>
        <v>https://www.google.com/search?tbm=isch&amp;q=Agastache%20%27TNAGAPDB%27%20PP%2328950%20Poquito%E2%84%A2%20Dark%20Blue%20Hummingbird%20Mint</v>
      </c>
      <c r="BG313" s="165" t="str">
        <f t="shared" si="236"/>
        <v>A</v>
      </c>
      <c r="BH313" s="65"/>
      <c r="BI313" s="65"/>
      <c r="BJ313" s="65"/>
      <c r="BK313" s="65"/>
      <c r="BL313" s="99"/>
      <c r="BM313" s="99"/>
      <c r="BN313" s="99"/>
    </row>
    <row r="314" spans="1:66" s="51" customFormat="1" ht="15.75" x14ac:dyDescent="0.25">
      <c r="A314" s="634">
        <v>1</v>
      </c>
      <c r="B314" s="635" t="s">
        <v>291</v>
      </c>
      <c r="C314" s="636"/>
      <c r="D314" s="637" t="s">
        <v>329</v>
      </c>
      <c r="E314" s="638">
        <v>13.95</v>
      </c>
      <c r="F314" s="639" t="s">
        <v>292</v>
      </c>
      <c r="G314" s="484">
        <v>0</v>
      </c>
      <c r="H314" s="691" t="str">
        <f>IF(G314=0,"",IF(F314="Buy",IF(G314=1,"plant","plants"),IF(F314&gt;0.01,"warranty","Error")))</f>
        <v/>
      </c>
      <c r="I314" s="640">
        <f>IF(H314="free",0,IF(H314="credit",((E314*(F314))*G314*-1),IF(F314="Buy",(E314*G314),((E314*(1-F314))*G314))))</f>
        <v>0</v>
      </c>
      <c r="J314" s="640">
        <f>IF(H314="warranty",0,(I314*(_xlfn.SINGLE(SalesTaxPercentage))))</f>
        <v>0</v>
      </c>
      <c r="K314" s="716">
        <f t="shared" ref="K314" si="254">I314+J314</f>
        <v>0</v>
      </c>
      <c r="L314" s="716"/>
      <c r="M314" s="689" t="str">
        <f ca="1">IF(AND(G314&gt;0,E314=0),"WARNING - no PRICE inserted",IF(H314="free","FREE ~ no charge this plant",IF(H314="credit",CONCATENATE("-$",ROUND(K314*(1-_xlfn.SINGLE(T2GDiscount))*-1,2)," CREDIT after discount"),IF(_xlfn.SINGLE(T2GDiscount)=0,"",IF(G314=0,"",IF(F314="Buy",CONCATENATE("$",ROUND(K314*(1-_xlfn.SINGLE(T2GDiscount)),2)," with ",(_xlfn.SINGLE(T2GDiscount)*100),"% discount"),CONCATENATE("$",ROUND(K314*(1-_xlfn.SINGLE(T2GDiscount)),2)," with ",((_xlfn.SINGLE(T2GDiscount)*100+F314*100)-(_xlfn.SINGLE(T2GDiscount)*100*F314)),IF(F314&gt;0,"% discounts",IF(_xlfn.SINGLE(NoWarrantyDiscount)&gt;0,"% discounts","% discount")))))))))</f>
        <v/>
      </c>
      <c r="N314" s="690"/>
      <c r="O314" s="486"/>
      <c r="P314" s="486"/>
      <c r="Q314" s="486"/>
      <c r="R314" s="486"/>
      <c r="S314" s="486"/>
      <c r="T314" s="102">
        <f t="shared" si="224"/>
        <v>0</v>
      </c>
      <c r="U314" s="78">
        <f>IF(NOT(ISNUMBER(G314)), "", VLOOKUP(A314,'Discount Lookup'!D:E,2,FALSE)*G314)</f>
        <v>0</v>
      </c>
      <c r="V314" s="78">
        <f>IF(NOT(ISNUMBER(G314)), "", VLOOKUP(A314,'Discount Lookup'!G:H,2,FALSE)*G314)</f>
        <v>0</v>
      </c>
      <c r="W314" s="102">
        <f t="shared" si="225"/>
        <v>0</v>
      </c>
      <c r="X314" s="102">
        <f t="shared" si="226"/>
        <v>0</v>
      </c>
      <c r="Y314" s="120" t="b">
        <f t="shared" si="227"/>
        <v>0</v>
      </c>
      <c r="Z314" s="117">
        <f t="shared" si="228"/>
        <v>0</v>
      </c>
      <c r="AA314" s="118"/>
      <c r="AB314" s="118" t="str">
        <f t="shared" si="229"/>
        <v/>
      </c>
      <c r="AC314" s="712" t="str">
        <f>IF(AE314="T2G","no charge",IF(AND(OR(PlanterYesMe="No",PlanterYesMe="N",PlanterYesMe="me"),H314=""),"",IF(H314="credit","NO install",IF(AND(K314="",AE314="me"),"EACH row",IF(AND(K314="images",AE314="me"),"EACH row",IF(D314="","",IF(H314="credit","",IF(AE314="free","re-planting",IF(AE314="me","   not ELP, by",IF(AND(OR(PlanterYesMe="Yes",PlanterYesMe="Y"),G314&gt;0),(VLOOKUP(A314,'Discount Lookup'!J:K,2)*G314*(1-PlanterDiscount)*(1+PlanterDifficultyPercentage)),IF(AE314="ELP",(VLOOKUP(A314,'Discount Lookup'!J:K,2)*G314*(1-PlanterDiscount)*(1+PlanterDifficultyPercentage)),IF(AE314="free","re-planting",IF(G314=0,"",IF(PlanterYesMe="",IF(AE314="me","   not ELP, by",IF(AE314="",IF(G314&gt;0,(VLOOKUP(A314,'Discount Lookup'!J:K,2)*G314*(1-PlanterDiscount)*(1+PlanterDifficultyPercentage)),""),"")),"   not ELP, by"))))))))))))))</f>
        <v/>
      </c>
      <c r="AD314" s="712"/>
      <c r="AE314" s="513" t="str">
        <f t="shared" si="230"/>
        <v/>
      </c>
      <c r="AF314" s="713" t="str">
        <f t="shared" si="231"/>
        <v/>
      </c>
      <c r="AG314" s="713"/>
      <c r="AH314" s="713"/>
      <c r="AI314" s="112">
        <f>IF(H314="credit",0,IF(AE314="free",0,IF(AE314="me",0,IF(G314&gt;0,(VLOOKUP(A314,'Discount Lookup'!J:K,2)*G314),0))))</f>
        <v>0</v>
      </c>
      <c r="AJ314" s="107" t="str">
        <f t="shared" ca="1" si="232"/>
        <v/>
      </c>
      <c r="AK314" s="714" t="str">
        <f t="shared" si="233"/>
        <v/>
      </c>
      <c r="AL314" s="714"/>
      <c r="AM314" s="114" t="str">
        <f t="shared" si="234"/>
        <v/>
      </c>
      <c r="AN314" s="115"/>
      <c r="AO314" s="116"/>
      <c r="AP314" s="116"/>
      <c r="AQ314" s="116"/>
      <c r="AR314" s="116"/>
      <c r="AS314" s="116"/>
      <c r="AT314" s="116"/>
      <c r="AU314" s="116"/>
      <c r="AV314" s="78"/>
      <c r="AW314" s="102"/>
      <c r="AX314" s="78"/>
      <c r="AY314" s="78"/>
      <c r="AZ314" s="78"/>
      <c r="BA314" s="78"/>
      <c r="BB314" s="78"/>
      <c r="BC314" s="78"/>
      <c r="BD314" s="78"/>
      <c r="BE314" s="465"/>
      <c r="BF314" s="165" t="str">
        <f t="shared" si="235"/>
        <v>https://www.google.com/search?tbm=isch&amp;q=1%20G2</v>
      </c>
      <c r="BG314" s="165" t="str">
        <f t="shared" si="236"/>
        <v>A</v>
      </c>
      <c r="BH314" s="65"/>
      <c r="BI314" s="65"/>
      <c r="BJ314" s="65"/>
      <c r="BK314" s="65"/>
      <c r="BL314" s="99"/>
      <c r="BM314" s="99"/>
      <c r="BN314" s="99"/>
    </row>
    <row r="315" spans="1:66" s="51" customFormat="1" ht="17.25" thickBot="1" x14ac:dyDescent="0.3">
      <c r="A315" s="641" t="s">
        <v>1431</v>
      </c>
      <c r="B315" s="642"/>
      <c r="C315" s="710"/>
      <c r="D315" s="643"/>
      <c r="E315" s="643"/>
      <c r="F315" s="644"/>
      <c r="G315" s="645"/>
      <c r="H315" s="646"/>
      <c r="I315" s="647"/>
      <c r="J315" s="648"/>
      <c r="K315" s="649"/>
      <c r="L315" s="650"/>
      <c r="M315" s="650"/>
      <c r="N315" s="644"/>
      <c r="O315" s="644"/>
      <c r="P315" s="644"/>
      <c r="Q315" s="644"/>
      <c r="R315" s="644"/>
      <c r="S315" s="701" t="s">
        <v>5258</v>
      </c>
      <c r="T315" s="102">
        <f t="shared" si="224"/>
        <v>0</v>
      </c>
      <c r="U315" s="78" t="str">
        <f>IF(NOT(ISNUMBER(G315)), "", VLOOKUP(A315,'Discount Lookup'!D:E,2,FALSE)*G315)</f>
        <v/>
      </c>
      <c r="V315" s="78" t="str">
        <f>IF(NOT(ISNUMBER(G315)), "", VLOOKUP(A315,'Discount Lookup'!G:H,2,FALSE)*G315)</f>
        <v/>
      </c>
      <c r="W315" s="102">
        <f t="shared" si="225"/>
        <v>0</v>
      </c>
      <c r="X315" s="102">
        <f t="shared" si="226"/>
        <v>0</v>
      </c>
      <c r="Y315" s="120" t="b">
        <f t="shared" si="227"/>
        <v>0</v>
      </c>
      <c r="Z315" s="117">
        <f t="shared" si="228"/>
        <v>0</v>
      </c>
      <c r="AA315" s="118"/>
      <c r="AB315" s="118" t="str">
        <f t="shared" si="229"/>
        <v/>
      </c>
      <c r="AC315" s="712" t="str">
        <f>IF(AE315="T2G","no charge",IF(AND(OR(PlanterYesMe="No",PlanterYesMe="N",PlanterYesMe="me"),H315=""),"",IF(H315="credit","NO install",IF(AND(K315="",AE315="me"),"EACH row",IF(AND(K315="images",AE315="me"),"EACH row",IF(D315="","",IF(H315="credit","",IF(AE315="free","re-planting",IF(AE315="me","   not ELP, by",IF(AND(OR(PlanterYesMe="Yes",PlanterYesMe="Y"),G315&gt;0),(VLOOKUP(A315,'Discount Lookup'!J:K,2)*G315*(1-PlanterDiscount)*(1+PlanterDifficultyPercentage)),IF(AE315="ELP",(VLOOKUP(A315,'Discount Lookup'!J:K,2)*G315*(1-PlanterDiscount)*(1+PlanterDifficultyPercentage)),IF(AE315="free","re-planting",IF(G315=0,"",IF(PlanterYesMe="",IF(AE315="me","   not ELP, by",IF(AE315="",IF(G315&gt;0,(VLOOKUP(A315,'Discount Lookup'!J:K,2)*G315*(1-PlanterDiscount)*(1+PlanterDifficultyPercentage)),""),"")),"   not ELP, by"))))))))))))))</f>
        <v/>
      </c>
      <c r="AD315" s="712"/>
      <c r="AE315" s="513" t="str">
        <f t="shared" si="230"/>
        <v/>
      </c>
      <c r="AF315" s="713" t="str">
        <f t="shared" si="231"/>
        <v/>
      </c>
      <c r="AG315" s="713"/>
      <c r="AH315" s="713"/>
      <c r="AI315" s="112">
        <f>IF(H315="credit",0,IF(AE315="free",0,IF(AE315="me",0,IF(G315&gt;0,(VLOOKUP(A315,'Discount Lookup'!J:K,2)*G315),0))))</f>
        <v>0</v>
      </c>
      <c r="AJ315" s="107" t="str">
        <f t="shared" ca="1" si="232"/>
        <v/>
      </c>
      <c r="AK315" s="714" t="str">
        <f t="shared" si="233"/>
        <v/>
      </c>
      <c r="AL315" s="714"/>
      <c r="AM315" s="114" t="str">
        <f t="shared" si="234"/>
        <v/>
      </c>
      <c r="AN315" s="115"/>
      <c r="AO315" s="116"/>
      <c r="AP315" s="116"/>
      <c r="AQ315" s="116"/>
      <c r="AR315" s="116"/>
      <c r="AS315" s="116"/>
      <c r="AT315" s="116"/>
      <c r="AU315" s="116"/>
      <c r="AV315" s="78"/>
      <c r="AW315" s="102"/>
      <c r="AX315" s="78"/>
      <c r="AY315" s="78"/>
      <c r="AZ315" s="78"/>
      <c r="BA315" s="78"/>
      <c r="BB315" s="78"/>
      <c r="BC315" s="78"/>
      <c r="BD315" s="78"/>
      <c r="BE315" s="465"/>
      <c r="BF315" s="165" t="str">
        <f t="shared" si="235"/>
        <v>https://www.google.com/search?tbm=isch&amp;q=Dark%20Blue%20has%20a%20compact%2C%20bushy%20habit%20and%20a%20continuous%20summer-to-fall%20display%20flowers%20</v>
      </c>
      <c r="BG315" s="165" t="str">
        <f t="shared" si="236"/>
        <v>D</v>
      </c>
      <c r="BH315" s="65"/>
      <c r="BI315" s="65"/>
      <c r="BJ315" s="65"/>
      <c r="BK315" s="65"/>
      <c r="BL315" s="99"/>
      <c r="BM315" s="99"/>
      <c r="BN315" s="99"/>
    </row>
    <row r="316" spans="1:66" s="51" customFormat="1" ht="18" x14ac:dyDescent="0.25">
      <c r="A316" s="623" t="s">
        <v>1432</v>
      </c>
      <c r="B316" s="624"/>
      <c r="C316" s="709"/>
      <c r="D316" s="625" t="s">
        <v>5584</v>
      </c>
      <c r="E316" s="626"/>
      <c r="F316" s="626"/>
      <c r="G316" s="626"/>
      <c r="H316" s="622" t="s">
        <v>1433</v>
      </c>
      <c r="I316" s="627" t="s">
        <v>1083</v>
      </c>
      <c r="J316" s="628"/>
      <c r="K316" s="628"/>
      <c r="L316" s="629"/>
      <c r="M316" s="700" t="s">
        <v>5241</v>
      </c>
      <c r="N316" s="693" t="str">
        <f>IF(AND(ISTEXT($A316), ISERROR($A316+0)), HYPERLINK($BF316, "Images"), "")</f>
        <v>Images</v>
      </c>
      <c r="O316" s="695" t="s">
        <v>5244</v>
      </c>
      <c r="P316" s="630"/>
      <c r="Q316" s="631"/>
      <c r="R316" s="632"/>
      <c r="S316" s="633"/>
      <c r="T316" s="102">
        <f t="shared" si="224"/>
        <v>0</v>
      </c>
      <c r="U316" s="78" t="str">
        <f>IF(NOT(ISNUMBER(G316)), "", VLOOKUP(A316,'Discount Lookup'!D:E,2,FALSE)*G316)</f>
        <v/>
      </c>
      <c r="V316" s="78" t="str">
        <f>IF(NOT(ISNUMBER(G316)), "", VLOOKUP(A316,'Discount Lookup'!G:H,2,FALSE)*G316)</f>
        <v/>
      </c>
      <c r="W316" s="102">
        <f t="shared" si="225"/>
        <v>0</v>
      </c>
      <c r="X316" s="102" t="str">
        <f t="shared" si="226"/>
        <v>Lavender-Pink bloom</v>
      </c>
      <c r="Y316" s="120" t="b">
        <f t="shared" si="227"/>
        <v>0</v>
      </c>
      <c r="Z316" s="117">
        <f t="shared" si="228"/>
        <v>0</v>
      </c>
      <c r="AA316" s="118"/>
      <c r="AB316" s="118" t="str">
        <f t="shared" si="229"/>
        <v/>
      </c>
      <c r="AC316" s="712" t="str">
        <f>IF(AE316="T2G","no charge",IF(AND(OR(PlanterYesMe="No",PlanterYesMe="N",PlanterYesMe="me"),H316=""),"",IF(H316="credit","NO install",IF(AND(K316="",AE316="me"),"EACH row",IF(AND(K316="images",AE316="me"),"EACH row",IF(D316="","",IF(H316="credit","",IF(AE316="free","re-planting",IF(AE316="me","   not ELP, by",IF(AND(OR(PlanterYesMe="Yes",PlanterYesMe="Y"),G316&gt;0),(VLOOKUP(A316,'Discount Lookup'!J:K,2)*G316*(1-PlanterDiscount)*(1+PlanterDifficultyPercentage)),IF(AE316="ELP",(VLOOKUP(A316,'Discount Lookup'!J:K,2)*G316*(1-PlanterDiscount)*(1+PlanterDifficultyPercentage)),IF(AE316="free","re-planting",IF(G316=0,"",IF(PlanterYesMe="",IF(AE316="me","   not ELP, by",IF(AE316="",IF(G316&gt;0,(VLOOKUP(A316,'Discount Lookup'!J:K,2)*G316*(1-PlanterDiscount)*(1+PlanterDifficultyPercentage)),""),"")),"   not ELP, by"))))))))))))))</f>
        <v/>
      </c>
      <c r="AD316" s="712"/>
      <c r="AE316" s="513" t="str">
        <f t="shared" si="230"/>
        <v/>
      </c>
      <c r="AF316" s="713" t="str">
        <f t="shared" si="231"/>
        <v/>
      </c>
      <c r="AG316" s="713"/>
      <c r="AH316" s="713"/>
      <c r="AI316" s="112">
        <f>IF(H316="credit",0,IF(AE316="free",0,IF(AE316="me",0,IF(G316&gt;0,(VLOOKUP(A316,'Discount Lookup'!J:K,2)*G316),0))))</f>
        <v>0</v>
      </c>
      <c r="AJ316" s="107" t="str">
        <f t="shared" ca="1" si="232"/>
        <v/>
      </c>
      <c r="AK316" s="714" t="str">
        <f t="shared" si="233"/>
        <v/>
      </c>
      <c r="AL316" s="714"/>
      <c r="AM316" s="114" t="str">
        <f t="shared" si="234"/>
        <v/>
      </c>
      <c r="AN316" s="115"/>
      <c r="AO316" s="116"/>
      <c r="AP316" s="116"/>
      <c r="AQ316" s="116"/>
      <c r="AR316" s="116"/>
      <c r="AS316" s="116"/>
      <c r="AT316" s="116"/>
      <c r="AU316" s="116"/>
      <c r="AV316" s="78"/>
      <c r="AW316" s="102"/>
      <c r="AX316" s="78"/>
      <c r="AY316" s="78"/>
      <c r="AZ316" s="78"/>
      <c r="BA316" s="78"/>
      <c r="BB316" s="78"/>
      <c r="BC316" s="78"/>
      <c r="BD316" s="78"/>
      <c r="BE316" s="465"/>
      <c r="BF316" s="165" t="str">
        <f t="shared" si="235"/>
        <v>https://www.google.com/search?tbm=isch&amp;q=Agastache%20%27TNAGAPL%27%20PP%2330530%20Poquito%E2%84%A2%20Lavender%20Hummingbird%20Mint</v>
      </c>
      <c r="BG316" s="165" t="str">
        <f t="shared" si="236"/>
        <v>A</v>
      </c>
      <c r="BH316" s="65"/>
      <c r="BI316" s="65"/>
      <c r="BJ316" s="65"/>
      <c r="BK316" s="65"/>
      <c r="BL316" s="99"/>
      <c r="BM316" s="99"/>
      <c r="BN316" s="99"/>
    </row>
    <row r="317" spans="1:66" s="51" customFormat="1" ht="15.75" x14ac:dyDescent="0.25">
      <c r="A317" s="634">
        <v>1</v>
      </c>
      <c r="B317" s="635" t="s">
        <v>291</v>
      </c>
      <c r="C317" s="636"/>
      <c r="D317" s="637" t="s">
        <v>329</v>
      </c>
      <c r="E317" s="638">
        <v>13.95</v>
      </c>
      <c r="F317" s="639" t="s">
        <v>292</v>
      </c>
      <c r="G317" s="484">
        <v>0</v>
      </c>
      <c r="H317" s="691" t="str">
        <f>IF(G317=0,"",IF(F317="Buy",IF(G317=1,"plant","plants"),IF(F317&gt;0.01,"warranty","Error")))</f>
        <v/>
      </c>
      <c r="I317" s="640">
        <f>IF(H317="free",0,IF(H317="credit",((E317*(F317))*G317*-1),IF(F317="Buy",(E317*G317),((E317*(1-F317))*G317))))</f>
        <v>0</v>
      </c>
      <c r="J317" s="640">
        <f>IF(H317="warranty",0,(I317*(_xlfn.SINGLE(SalesTaxPercentage))))</f>
        <v>0</v>
      </c>
      <c r="K317" s="716">
        <f t="shared" ref="K317" si="255">I317+J317</f>
        <v>0</v>
      </c>
      <c r="L317" s="716"/>
      <c r="M317" s="689" t="str">
        <f ca="1">IF(AND(G317&gt;0,E317=0),"WARNING - no PRICE inserted",IF(H317="free","FREE ~ no charge this plant",IF(H317="credit",CONCATENATE("-$",ROUND(K317*(1-_xlfn.SINGLE(T2GDiscount))*-1,2)," CREDIT after discount"),IF(_xlfn.SINGLE(T2GDiscount)=0,"",IF(G317=0,"",IF(F317="Buy",CONCATENATE("$",ROUND(K317*(1-_xlfn.SINGLE(T2GDiscount)),2)," with ",(_xlfn.SINGLE(T2GDiscount)*100),"% discount"),CONCATENATE("$",ROUND(K317*(1-_xlfn.SINGLE(T2GDiscount)),2)," with ",((_xlfn.SINGLE(T2GDiscount)*100+F317*100)-(_xlfn.SINGLE(T2GDiscount)*100*F317)),IF(F317&gt;0,"% discounts",IF(_xlfn.SINGLE(NoWarrantyDiscount)&gt;0,"% discounts","% discount")))))))))</f>
        <v/>
      </c>
      <c r="N317" s="690"/>
      <c r="O317" s="486"/>
      <c r="P317" s="486"/>
      <c r="Q317" s="486"/>
      <c r="R317" s="486"/>
      <c r="S317" s="486"/>
      <c r="T317" s="102">
        <f t="shared" si="224"/>
        <v>0</v>
      </c>
      <c r="U317" s="78">
        <f>IF(NOT(ISNUMBER(G317)), "", VLOOKUP(A317,'Discount Lookup'!D:E,2,FALSE)*G317)</f>
        <v>0</v>
      </c>
      <c r="V317" s="78">
        <f>IF(NOT(ISNUMBER(G317)), "", VLOOKUP(A317,'Discount Lookup'!G:H,2,FALSE)*G317)</f>
        <v>0</v>
      </c>
      <c r="W317" s="102">
        <f t="shared" si="225"/>
        <v>0</v>
      </c>
      <c r="X317" s="102">
        <f t="shared" si="226"/>
        <v>0</v>
      </c>
      <c r="Y317" s="120" t="b">
        <f t="shared" si="227"/>
        <v>0</v>
      </c>
      <c r="Z317" s="117">
        <f t="shared" si="228"/>
        <v>0</v>
      </c>
      <c r="AA317" s="118"/>
      <c r="AB317" s="118" t="str">
        <f t="shared" si="229"/>
        <v/>
      </c>
      <c r="AC317" s="712" t="str">
        <f>IF(AE317="T2G","no charge",IF(AND(OR(PlanterYesMe="No",PlanterYesMe="N",PlanterYesMe="me"),H317=""),"",IF(H317="credit","NO install",IF(AND(K317="",AE317="me"),"EACH row",IF(AND(K317="images",AE317="me"),"EACH row",IF(D317="","",IF(H317="credit","",IF(AE317="free","re-planting",IF(AE317="me","   not ELP, by",IF(AND(OR(PlanterYesMe="Yes",PlanterYesMe="Y"),G317&gt;0),(VLOOKUP(A317,'Discount Lookup'!J:K,2)*G317*(1-PlanterDiscount)*(1+PlanterDifficultyPercentage)),IF(AE317="ELP",(VLOOKUP(A317,'Discount Lookup'!J:K,2)*G317*(1-PlanterDiscount)*(1+PlanterDifficultyPercentage)),IF(AE317="free","re-planting",IF(G317=0,"",IF(PlanterYesMe="",IF(AE317="me","   not ELP, by",IF(AE317="",IF(G317&gt;0,(VLOOKUP(A317,'Discount Lookup'!J:K,2)*G317*(1-PlanterDiscount)*(1+PlanterDifficultyPercentage)),""),"")),"   not ELP, by"))))))))))))))</f>
        <v/>
      </c>
      <c r="AD317" s="712"/>
      <c r="AE317" s="513" t="str">
        <f t="shared" si="230"/>
        <v/>
      </c>
      <c r="AF317" s="713" t="str">
        <f t="shared" si="231"/>
        <v/>
      </c>
      <c r="AG317" s="713"/>
      <c r="AH317" s="713"/>
      <c r="AI317" s="112">
        <f>IF(H317="credit",0,IF(AE317="free",0,IF(AE317="me",0,IF(G317&gt;0,(VLOOKUP(A317,'Discount Lookup'!J:K,2)*G317),0))))</f>
        <v>0</v>
      </c>
      <c r="AJ317" s="107" t="str">
        <f t="shared" ca="1" si="232"/>
        <v/>
      </c>
      <c r="AK317" s="714" t="str">
        <f t="shared" si="233"/>
        <v/>
      </c>
      <c r="AL317" s="714"/>
      <c r="AM317" s="114" t="str">
        <f t="shared" si="234"/>
        <v/>
      </c>
      <c r="AN317" s="115"/>
      <c r="AO317" s="116"/>
      <c r="AP317" s="116"/>
      <c r="AQ317" s="116"/>
      <c r="AR317" s="116"/>
      <c r="AS317" s="116"/>
      <c r="AT317" s="116"/>
      <c r="AU317" s="116"/>
      <c r="AV317" s="78"/>
      <c r="AW317" s="102"/>
      <c r="AX317" s="78"/>
      <c r="AY317" s="78"/>
      <c r="AZ317" s="78"/>
      <c r="BA317" s="78"/>
      <c r="BB317" s="78"/>
      <c r="BC317" s="78"/>
      <c r="BD317" s="78"/>
      <c r="BE317" s="465"/>
      <c r="BF317" s="165" t="str">
        <f t="shared" si="235"/>
        <v>https://www.google.com/search?tbm=isch&amp;q=1%20G2</v>
      </c>
      <c r="BG317" s="165" t="str">
        <f t="shared" si="236"/>
        <v>A</v>
      </c>
      <c r="BH317" s="65"/>
      <c r="BI317" s="65"/>
      <c r="BJ317" s="65"/>
      <c r="BK317" s="65"/>
      <c r="BL317" s="99"/>
      <c r="BM317" s="99"/>
      <c r="BN317" s="99"/>
    </row>
    <row r="318" spans="1:66" s="51" customFormat="1" ht="16.5" x14ac:dyDescent="0.25">
      <c r="A318" s="641" t="s">
        <v>4669</v>
      </c>
      <c r="B318" s="642"/>
      <c r="C318" s="710"/>
      <c r="D318" s="643"/>
      <c r="E318" s="643"/>
      <c r="F318" s="644"/>
      <c r="G318" s="645"/>
      <c r="H318" s="646"/>
      <c r="I318" s="647"/>
      <c r="J318" s="648"/>
      <c r="K318" s="649"/>
      <c r="L318" s="650"/>
      <c r="M318" s="650"/>
      <c r="N318" s="644"/>
      <c r="O318" s="644"/>
      <c r="P318" s="644"/>
      <c r="Q318" s="644"/>
      <c r="R318" s="644"/>
      <c r="S318" s="701" t="s">
        <v>5258</v>
      </c>
      <c r="T318" s="102">
        <f t="shared" si="224"/>
        <v>0</v>
      </c>
      <c r="U318" s="78" t="str">
        <f>IF(NOT(ISNUMBER(G318)), "", VLOOKUP(A318,'Discount Lookup'!D:E,2,FALSE)*G318)</f>
        <v/>
      </c>
      <c r="V318" s="78" t="str">
        <f>IF(NOT(ISNUMBER(G318)), "", VLOOKUP(A318,'Discount Lookup'!G:H,2,FALSE)*G318)</f>
        <v/>
      </c>
      <c r="W318" s="102">
        <f t="shared" si="225"/>
        <v>0</v>
      </c>
      <c r="X318" s="102">
        <f t="shared" si="226"/>
        <v>0</v>
      </c>
      <c r="Y318" s="120" t="b">
        <f t="shared" si="227"/>
        <v>0</v>
      </c>
      <c r="Z318" s="117">
        <f t="shared" si="228"/>
        <v>0</v>
      </c>
      <c r="AA318" s="118"/>
      <c r="AB318" s="118" t="str">
        <f t="shared" si="229"/>
        <v/>
      </c>
      <c r="AC318" s="712" t="str">
        <f>IF(AE318="T2G","no charge",IF(AND(OR(PlanterYesMe="No",PlanterYesMe="N",PlanterYesMe="me"),H318=""),"",IF(H318="credit","NO install",IF(AND(K318="",AE318="me"),"EACH row",IF(AND(K318="images",AE318="me"),"EACH row",IF(D318="","",IF(H318="credit","",IF(AE318="free","re-planting",IF(AE318="me","   not ELP, by",IF(AND(OR(PlanterYesMe="Yes",PlanterYesMe="Y"),G318&gt;0),(VLOOKUP(A318,'Discount Lookup'!J:K,2)*G318*(1-PlanterDiscount)*(1+PlanterDifficultyPercentage)),IF(AE318="ELP",(VLOOKUP(A318,'Discount Lookup'!J:K,2)*G318*(1-PlanterDiscount)*(1+PlanterDifficultyPercentage)),IF(AE318="free","re-planting",IF(G318=0,"",IF(PlanterYesMe="",IF(AE318="me","   not ELP, by",IF(AE318="",IF(G318&gt;0,(VLOOKUP(A318,'Discount Lookup'!J:K,2)*G318*(1-PlanterDiscount)*(1+PlanterDifficultyPercentage)),""),"")),"   not ELP, by"))))))))))))))</f>
        <v/>
      </c>
      <c r="AD318" s="712"/>
      <c r="AE318" s="513" t="str">
        <f t="shared" si="230"/>
        <v/>
      </c>
      <c r="AF318" s="713" t="str">
        <f t="shared" si="231"/>
        <v/>
      </c>
      <c r="AG318" s="713"/>
      <c r="AH318" s="713"/>
      <c r="AI318" s="112">
        <f>IF(H318="credit",0,IF(AE318="free",0,IF(AE318="me",0,IF(G318&gt;0,(VLOOKUP(A318,'Discount Lookup'!J:K,2)*G318),0))))</f>
        <v>0</v>
      </c>
      <c r="AJ318" s="107" t="str">
        <f t="shared" ca="1" si="232"/>
        <v/>
      </c>
      <c r="AK318" s="714" t="str">
        <f t="shared" si="233"/>
        <v/>
      </c>
      <c r="AL318" s="714"/>
      <c r="AM318" s="114" t="str">
        <f t="shared" si="234"/>
        <v/>
      </c>
      <c r="AN318" s="115"/>
      <c r="AO318" s="116"/>
      <c r="AP318" s="116"/>
      <c r="AQ318" s="116"/>
      <c r="AR318" s="116"/>
      <c r="AS318" s="116"/>
      <c r="AT318" s="116"/>
      <c r="AU318" s="116"/>
      <c r="AV318" s="78"/>
      <c r="AW318" s="102"/>
      <c r="AX318" s="78"/>
      <c r="AY318" s="78"/>
      <c r="AZ318" s="78"/>
      <c r="BA318" s="78"/>
      <c r="BB318" s="78"/>
      <c r="BC318" s="78"/>
      <c r="BD318" s="78"/>
      <c r="BE318" s="465"/>
      <c r="BF318" s="165" t="str">
        <f t="shared" si="235"/>
        <v>https://www.google.com/search?tbm=isch&amp;q=Poquito%20Lavender%20is%20bred%20for%20compact%20form%2C%20prolific%20flowering%2C%20and%20exceptional%20heat%20and%20drought%20tolerance.%20Green%20Minty%20foliage%20</v>
      </c>
      <c r="BG318" s="165" t="str">
        <f t="shared" si="236"/>
        <v>P</v>
      </c>
      <c r="BH318" s="65"/>
      <c r="BI318" s="65"/>
      <c r="BJ318" s="65"/>
      <c r="BK318" s="65"/>
      <c r="BL318" s="99"/>
      <c r="BM318" s="99"/>
      <c r="BN318" s="99"/>
    </row>
    <row r="319" spans="1:66" s="51" customFormat="1" ht="19.5" thickBot="1" x14ac:dyDescent="0.3">
      <c r="A319" s="686" t="s">
        <v>4933</v>
      </c>
      <c r="B319" s="73"/>
      <c r="C319" s="708"/>
      <c r="D319" s="73"/>
      <c r="E319" s="73"/>
      <c r="F319" s="496"/>
      <c r="G319" s="73"/>
      <c r="H319" s="73"/>
      <c r="I319" s="73"/>
      <c r="J319" s="497" t="s">
        <v>357</v>
      </c>
      <c r="K319" s="498"/>
      <c r="L319" s="562"/>
      <c r="M319" s="73"/>
      <c r="N319"/>
      <c r="O319"/>
      <c r="P319"/>
      <c r="Q319"/>
      <c r="R319"/>
      <c r="S319"/>
      <c r="T319" s="102">
        <f t="shared" si="224"/>
        <v>0</v>
      </c>
      <c r="U319" s="78" t="str">
        <f>IF(NOT(ISNUMBER(G319)), "", VLOOKUP(A319,'Discount Lookup'!D:E,2,FALSE)*G319)</f>
        <v/>
      </c>
      <c r="V319" s="78" t="str">
        <f>IF(NOT(ISNUMBER(G319)), "", VLOOKUP(A319,'Discount Lookup'!G:H,2,FALSE)*G319)</f>
        <v/>
      </c>
      <c r="W319" s="102">
        <f t="shared" si="225"/>
        <v>0</v>
      </c>
      <c r="X319" s="102">
        <f t="shared" si="226"/>
        <v>0</v>
      </c>
      <c r="Y319" s="120" t="b">
        <f t="shared" si="227"/>
        <v>0</v>
      </c>
      <c r="Z319" s="117">
        <f t="shared" si="228"/>
        <v>0</v>
      </c>
      <c r="AA319" s="118"/>
      <c r="AB319" s="118" t="str">
        <f t="shared" si="229"/>
        <v/>
      </c>
      <c r="AC319" s="712" t="str">
        <f>IF(AE319="T2G","no charge",IF(AND(OR(PlanterYesMe="No",PlanterYesMe="N",PlanterYesMe="me"),H319=""),"",IF(H319="credit","NO install",IF(AND(K319="",AE319="me"),"EACH row",IF(AND(K319="images",AE319="me"),"EACH row",IF(D319="","",IF(H319="credit","",IF(AE319="free","re-planting",IF(AE319="me","   not ELP, by",IF(AND(OR(PlanterYesMe="Yes",PlanterYesMe="Y"),G319&gt;0),(VLOOKUP(A319,'Discount Lookup'!J:K,2)*G319*(1-PlanterDiscount)*(1+PlanterDifficultyPercentage)),IF(AE319="ELP",(VLOOKUP(A319,'Discount Lookup'!J:K,2)*G319*(1-PlanterDiscount)*(1+PlanterDifficultyPercentage)),IF(AE319="free","re-planting",IF(G319=0,"",IF(PlanterYesMe="",IF(AE319="me","   not ELP, by",IF(AE319="",IF(G319&gt;0,(VLOOKUP(A319,'Discount Lookup'!J:K,2)*G319*(1-PlanterDiscount)*(1+PlanterDifficultyPercentage)),""),"")),"   not ELP, by"))))))))))))))</f>
        <v/>
      </c>
      <c r="AD319" s="712"/>
      <c r="AE319" s="513" t="str">
        <f t="shared" si="230"/>
        <v/>
      </c>
      <c r="AF319" s="713" t="str">
        <f t="shared" si="231"/>
        <v/>
      </c>
      <c r="AG319" s="713"/>
      <c r="AH319" s="713"/>
      <c r="AI319" s="112">
        <f>IF(H319="credit",0,IF(AE319="free",0,IF(AE319="me",0,IF(G319&gt;0,(VLOOKUP(A319,'Discount Lookup'!J:K,2)*G319),0))))</f>
        <v>0</v>
      </c>
      <c r="AJ319" s="107" t="str">
        <f t="shared" ca="1" si="232"/>
        <v/>
      </c>
      <c r="AK319" s="714" t="str">
        <f t="shared" si="233"/>
        <v/>
      </c>
      <c r="AL319" s="714"/>
      <c r="AM319" s="114" t="str">
        <f t="shared" si="234"/>
        <v/>
      </c>
      <c r="AN319" s="115"/>
      <c r="AO319" s="116"/>
      <c r="AP319" s="116"/>
      <c r="AQ319" s="116"/>
      <c r="AR319" s="116"/>
      <c r="AS319" s="116"/>
      <c r="AT319" s="116"/>
      <c r="AU319" s="116"/>
      <c r="AV319" s="78"/>
      <c r="AW319" s="102"/>
      <c r="AX319" s="78"/>
      <c r="AY319" s="78"/>
      <c r="AZ319" s="78"/>
      <c r="BA319" s="78"/>
      <c r="BB319" s="78"/>
      <c r="BC319" s="78"/>
      <c r="BD319" s="78"/>
      <c r="BE319" s="465"/>
      <c r="BF319" s="165" t="str">
        <f t="shared" si="235"/>
        <v>https://www.google.com/search?tbm=isch&amp;q=Agave%20%3D%20Agave%20%26%20Century%20Plant%20</v>
      </c>
      <c r="BG319" s="165" t="str">
        <f t="shared" si="236"/>
        <v>A</v>
      </c>
      <c r="BH319" s="65"/>
      <c r="BI319" s="65"/>
      <c r="BJ319" s="65"/>
      <c r="BK319" s="65"/>
      <c r="BL319" s="99"/>
      <c r="BM319" s="99"/>
      <c r="BN319" s="99"/>
    </row>
    <row r="320" spans="1:66" s="51" customFormat="1" ht="18" x14ac:dyDescent="0.25">
      <c r="A320" s="507" t="s">
        <v>1434</v>
      </c>
      <c r="B320" s="470"/>
      <c r="C320" s="706"/>
      <c r="D320" s="471" t="s">
        <v>1435</v>
      </c>
      <c r="E320" s="472"/>
      <c r="F320" s="472"/>
      <c r="G320" s="472"/>
      <c r="H320" s="622" t="s">
        <v>1436</v>
      </c>
      <c r="I320" s="473" t="s">
        <v>1437</v>
      </c>
      <c r="J320" s="472"/>
      <c r="K320" s="472"/>
      <c r="L320" s="561"/>
      <c r="M320" s="698" t="s">
        <v>5240</v>
      </c>
      <c r="N320" s="692" t="str">
        <f>IF(AND(ISTEXT($A320), ISERROR($A320+0)), HYPERLINK($BF320, "Images"), "")</f>
        <v>Images</v>
      </c>
      <c r="O320" s="694" t="s">
        <v>5244</v>
      </c>
      <c r="P320" s="475"/>
      <c r="Q320" s="476"/>
      <c r="R320" s="476"/>
      <c r="S320" s="477"/>
      <c r="T320" s="102">
        <f t="shared" si="224"/>
        <v>0</v>
      </c>
      <c r="U320" s="78" t="str">
        <f>IF(NOT(ISNUMBER(G320)), "", VLOOKUP(A320,'Discount Lookup'!D:E,2,FALSE)*G320)</f>
        <v/>
      </c>
      <c r="V320" s="78" t="str">
        <f>IF(NOT(ISNUMBER(G320)), "", VLOOKUP(A320,'Discount Lookup'!G:H,2,FALSE)*G320)</f>
        <v/>
      </c>
      <c r="W320" s="102">
        <f t="shared" si="225"/>
        <v>0</v>
      </c>
      <c r="X320" s="102" t="str">
        <f t="shared" si="226"/>
        <v>Greenish-Yellow bloom</v>
      </c>
      <c r="Y320" s="120" t="b">
        <f t="shared" si="227"/>
        <v>0</v>
      </c>
      <c r="Z320" s="117">
        <f t="shared" si="228"/>
        <v>0</v>
      </c>
      <c r="AA320" s="118"/>
      <c r="AB320" s="118" t="str">
        <f t="shared" si="229"/>
        <v/>
      </c>
      <c r="AC320" s="712" t="str">
        <f>IF(AE320="T2G","no charge",IF(AND(OR(PlanterYesMe="No",PlanterYesMe="N",PlanterYesMe="me"),H320=""),"",IF(H320="credit","NO install",IF(AND(K320="",AE320="me"),"EACH row",IF(AND(K320="images",AE320="me"),"EACH row",IF(D320="","",IF(H320="credit","",IF(AE320="free","re-planting",IF(AE320="me","   not ELP, by",IF(AND(OR(PlanterYesMe="Yes",PlanterYesMe="Y"),G320&gt;0),(VLOOKUP(A320,'Discount Lookup'!J:K,2)*G320*(1-PlanterDiscount)*(1+PlanterDifficultyPercentage)),IF(AE320="ELP",(VLOOKUP(A320,'Discount Lookup'!J:K,2)*G320*(1-PlanterDiscount)*(1+PlanterDifficultyPercentage)),IF(AE320="free","re-planting",IF(G320=0,"",IF(PlanterYesMe="",IF(AE320="me","   not ELP, by",IF(AE320="",IF(G320&gt;0,(VLOOKUP(A320,'Discount Lookup'!J:K,2)*G320*(1-PlanterDiscount)*(1+PlanterDifficultyPercentage)),""),"")),"   not ELP, by"))))))))))))))</f>
        <v/>
      </c>
      <c r="AD320" s="712"/>
      <c r="AE320" s="513" t="str">
        <f t="shared" si="230"/>
        <v/>
      </c>
      <c r="AF320" s="713" t="str">
        <f t="shared" si="231"/>
        <v/>
      </c>
      <c r="AG320" s="713"/>
      <c r="AH320" s="713"/>
      <c r="AI320" s="112">
        <f>IF(H320="credit",0,IF(AE320="free",0,IF(AE320="me",0,IF(G320&gt;0,(VLOOKUP(A320,'Discount Lookup'!J:K,2)*G320),0))))</f>
        <v>0</v>
      </c>
      <c r="AJ320" s="107" t="str">
        <f t="shared" ca="1" si="232"/>
        <v/>
      </c>
      <c r="AK320" s="714" t="str">
        <f t="shared" si="233"/>
        <v/>
      </c>
      <c r="AL320" s="714"/>
      <c r="AM320" s="114" t="str">
        <f t="shared" si="234"/>
        <v/>
      </c>
      <c r="AN320" s="115"/>
      <c r="AO320" s="116"/>
      <c r="AP320" s="116"/>
      <c r="AQ320" s="116"/>
      <c r="AR320" s="116"/>
      <c r="AS320" s="116"/>
      <c r="AT320" s="116"/>
      <c r="AU320" s="116"/>
      <c r="AV320" s="78"/>
      <c r="AW320" s="102"/>
      <c r="AX320" s="78"/>
      <c r="AY320" s="78"/>
      <c r="AZ320" s="78"/>
      <c r="BA320" s="78"/>
      <c r="BB320" s="78"/>
      <c r="BC320" s="78"/>
      <c r="BD320" s="78"/>
      <c r="BE320" s="465"/>
      <c r="BF320" s="165" t="str">
        <f t="shared" si="235"/>
        <v>https://www.google.com/search?tbm=isch&amp;q=Agave%20americana%20Century%20Plant</v>
      </c>
      <c r="BG320" s="165" t="str">
        <f t="shared" si="236"/>
        <v>A</v>
      </c>
      <c r="BH320" s="65"/>
      <c r="BI320" s="65"/>
      <c r="BJ320" s="65"/>
      <c r="BK320" s="65"/>
      <c r="BL320" s="99"/>
      <c r="BM320" s="99"/>
      <c r="BN320" s="99"/>
    </row>
    <row r="321" spans="1:66" s="51" customFormat="1" ht="15.75" x14ac:dyDescent="0.25">
      <c r="A321" s="478">
        <v>3</v>
      </c>
      <c r="B321" s="479" t="s">
        <v>291</v>
      </c>
      <c r="C321" s="480" t="s">
        <v>5110</v>
      </c>
      <c r="D321" s="481" t="s">
        <v>299</v>
      </c>
      <c r="E321" s="482">
        <v>40.950000000000003</v>
      </c>
      <c r="F321" s="483" t="s">
        <v>292</v>
      </c>
      <c r="G321" s="484">
        <v>0</v>
      </c>
      <c r="H321" s="688" t="str">
        <f>IF(G321=0,"",IF(F321="Buy",IF(G321=1,"plant","plants"),IF(F321&gt;0.01,"warranty","Error")))</f>
        <v/>
      </c>
      <c r="I321" s="485">
        <f>IF(H321="free",0,IF(H321="credit",((E321*(F321))*G321*-1),IF(F321="Buy",(E321*G321),((E321*(1-F321))*G321))))</f>
        <v>0</v>
      </c>
      <c r="J321" s="485">
        <f>IF(H321="warranty",0,(I321*(_xlfn.SINGLE(SalesTaxPercentage))))</f>
        <v>0</v>
      </c>
      <c r="K321" s="715">
        <f t="shared" ref="K321" si="256">I321+J321</f>
        <v>0</v>
      </c>
      <c r="L321" s="715"/>
      <c r="M321" s="689" t="str">
        <f ca="1">IF(AND(G321&gt;0,E321=0),"WARNING - no PRICE inserted",IF(H321="free","FREE ~ no charge this plant",IF(H321="credit",CONCATENATE("-$",ROUND(K321*(1-_xlfn.SINGLE(T2GDiscount))*-1,2)," CREDIT after discount"),IF(_xlfn.SINGLE(T2GDiscount)=0,"",IF(G321=0,"",IF(F321="Buy",CONCATENATE("$",ROUND(K321*(1-_xlfn.SINGLE(T2GDiscount)),2)," with ",(_xlfn.SINGLE(T2GDiscount)*100),"% discount"),CONCATENATE("$",ROUND(K321*(1-_xlfn.SINGLE(T2GDiscount)),2)," with ",((_xlfn.SINGLE(T2GDiscount)*100+F321*100)-(_xlfn.SINGLE(T2GDiscount)*100*F321)),IF(F321&gt;0,"% discounts",IF(_xlfn.SINGLE(NoWarrantyDiscount)&gt;0,"% discounts","% discount")))))))))</f>
        <v/>
      </c>
      <c r="N321" s="690"/>
      <c r="O321" s="486"/>
      <c r="P321" s="486"/>
      <c r="Q321" s="486"/>
      <c r="R321" s="486"/>
      <c r="S321" s="486"/>
      <c r="T321" s="102">
        <f t="shared" si="224"/>
        <v>0</v>
      </c>
      <c r="U321" s="78">
        <f>IF(NOT(ISNUMBER(G321)), "", VLOOKUP(A321,'Discount Lookup'!D:E,2,FALSE)*G321)</f>
        <v>0</v>
      </c>
      <c r="V321" s="78">
        <f>IF(NOT(ISNUMBER(G321)), "", VLOOKUP(A321,'Discount Lookup'!G:H,2,FALSE)*G321)</f>
        <v>0</v>
      </c>
      <c r="W321" s="102">
        <f t="shared" si="225"/>
        <v>0</v>
      </c>
      <c r="X321" s="102">
        <f t="shared" si="226"/>
        <v>0</v>
      </c>
      <c r="Y321" s="120" t="b">
        <f t="shared" si="227"/>
        <v>0</v>
      </c>
      <c r="Z321" s="117">
        <f t="shared" si="228"/>
        <v>0</v>
      </c>
      <c r="AA321" s="118"/>
      <c r="AB321" s="118" t="str">
        <f t="shared" si="229"/>
        <v/>
      </c>
      <c r="AC321" s="712" t="str">
        <f>IF(AE321="T2G","no charge",IF(AND(OR(PlanterYesMe="No",PlanterYesMe="N",PlanterYesMe="me"),H321=""),"",IF(H321="credit","NO install",IF(AND(K321="",AE321="me"),"EACH row",IF(AND(K321="images",AE321="me"),"EACH row",IF(D321="","",IF(H321="credit","",IF(AE321="free","re-planting",IF(AE321="me","   not ELP, by",IF(AND(OR(PlanterYesMe="Yes",PlanterYesMe="Y"),G321&gt;0),(VLOOKUP(A321,'Discount Lookup'!J:K,2)*G321*(1-PlanterDiscount)*(1+PlanterDifficultyPercentage)),IF(AE321="ELP",(VLOOKUP(A321,'Discount Lookup'!J:K,2)*G321*(1-PlanterDiscount)*(1+PlanterDifficultyPercentage)),IF(AE321="free","re-planting",IF(G321=0,"",IF(PlanterYesMe="",IF(AE321="me","   not ELP, by",IF(AE321="",IF(G321&gt;0,(VLOOKUP(A321,'Discount Lookup'!J:K,2)*G321*(1-PlanterDiscount)*(1+PlanterDifficultyPercentage)),""),"")),"   not ELP, by"))))))))))))))</f>
        <v/>
      </c>
      <c r="AD321" s="712"/>
      <c r="AE321" s="513" t="str">
        <f t="shared" si="230"/>
        <v/>
      </c>
      <c r="AF321" s="713" t="str">
        <f t="shared" si="231"/>
        <v/>
      </c>
      <c r="AG321" s="713"/>
      <c r="AH321" s="713"/>
      <c r="AI321" s="112">
        <f>IF(H321="credit",0,IF(AE321="free",0,IF(AE321="me",0,IF(G321&gt;0,(VLOOKUP(A321,'Discount Lookup'!J:K,2)*G321),0))))</f>
        <v>0</v>
      </c>
      <c r="AJ321" s="107" t="str">
        <f t="shared" ca="1" si="232"/>
        <v/>
      </c>
      <c r="AK321" s="714" t="str">
        <f t="shared" si="233"/>
        <v/>
      </c>
      <c r="AL321" s="714"/>
      <c r="AM321" s="114" t="str">
        <f t="shared" si="234"/>
        <v/>
      </c>
      <c r="AN321" s="115"/>
      <c r="AO321" s="116"/>
      <c r="AP321" s="116"/>
      <c r="AQ321" s="116"/>
      <c r="AR321" s="116"/>
      <c r="AS321" s="116"/>
      <c r="AT321" s="116"/>
      <c r="AU321" s="116"/>
      <c r="AV321" s="78"/>
      <c r="AW321" s="102"/>
      <c r="AX321" s="78"/>
      <c r="AY321" s="78"/>
      <c r="AZ321" s="78"/>
      <c r="BA321" s="78"/>
      <c r="BB321" s="78"/>
      <c r="BC321" s="78"/>
      <c r="BD321" s="78"/>
      <c r="BE321" s="465"/>
      <c r="BF321" s="165" t="str">
        <f t="shared" si="235"/>
        <v>https://www.google.com/search?tbm=isch&amp;q=3%20G4</v>
      </c>
      <c r="BG321" s="165" t="str">
        <f t="shared" si="236"/>
        <v>A</v>
      </c>
      <c r="BH321" s="65"/>
      <c r="BI321" s="65"/>
      <c r="BJ321" s="65"/>
      <c r="BK321" s="65"/>
      <c r="BL321" s="99"/>
      <c r="BM321" s="99"/>
      <c r="BN321" s="99"/>
    </row>
    <row r="322" spans="1:66" s="51" customFormat="1" ht="16.5" thickBot="1" x14ac:dyDescent="0.3">
      <c r="A322" s="508" t="s">
        <v>4934</v>
      </c>
      <c r="B322" s="487"/>
      <c r="C322" s="707"/>
      <c r="D322" s="487"/>
      <c r="E322" s="487"/>
      <c r="F322" s="488"/>
      <c r="G322" s="489"/>
      <c r="H322" s="487"/>
      <c r="I322" s="490"/>
      <c r="J322" s="490"/>
      <c r="K322" s="491"/>
      <c r="L322" s="547"/>
      <c r="M322" s="528"/>
      <c r="N322" s="492"/>
      <c r="O322" s="493"/>
      <c r="P322" s="494"/>
      <c r="Q322" s="492"/>
      <c r="R322" s="492"/>
      <c r="S322" s="699" t="s">
        <v>5259</v>
      </c>
      <c r="T322" s="102">
        <f t="shared" si="224"/>
        <v>0</v>
      </c>
      <c r="U322" s="78" t="str">
        <f>IF(NOT(ISNUMBER(G322)), "", VLOOKUP(A322,'Discount Lookup'!D:E,2,FALSE)*G322)</f>
        <v/>
      </c>
      <c r="V322" s="78" t="str">
        <f>IF(NOT(ISNUMBER(G322)), "", VLOOKUP(A322,'Discount Lookup'!G:H,2,FALSE)*G322)</f>
        <v/>
      </c>
      <c r="W322" s="102">
        <f t="shared" si="225"/>
        <v>0</v>
      </c>
      <c r="X322" s="102">
        <f t="shared" si="226"/>
        <v>0</v>
      </c>
      <c r="Y322" s="120" t="b">
        <f t="shared" si="227"/>
        <v>0</v>
      </c>
      <c r="Z322" s="117">
        <f t="shared" si="228"/>
        <v>0</v>
      </c>
      <c r="AA322" s="118"/>
      <c r="AB322" s="118" t="str">
        <f t="shared" si="229"/>
        <v/>
      </c>
      <c r="AC322" s="712" t="str">
        <f>IF(AE322="T2G","no charge",IF(AND(OR(PlanterYesMe="No",PlanterYesMe="N",PlanterYesMe="me"),H322=""),"",IF(H322="credit","NO install",IF(AND(K322="",AE322="me"),"EACH row",IF(AND(K322="images",AE322="me"),"EACH row",IF(D322="","",IF(H322="credit","",IF(AE322="free","re-planting",IF(AE322="me","   not ELP, by",IF(AND(OR(PlanterYesMe="Yes",PlanterYesMe="Y"),G322&gt;0),(VLOOKUP(A322,'Discount Lookup'!J:K,2)*G322*(1-PlanterDiscount)*(1+PlanterDifficultyPercentage)),IF(AE322="ELP",(VLOOKUP(A322,'Discount Lookup'!J:K,2)*G322*(1-PlanterDiscount)*(1+PlanterDifficultyPercentage)),IF(AE322="free","re-planting",IF(G322=0,"",IF(PlanterYesMe="",IF(AE322="me","   not ELP, by",IF(AE322="",IF(G322&gt;0,(VLOOKUP(A322,'Discount Lookup'!J:K,2)*G322*(1-PlanterDiscount)*(1+PlanterDifficultyPercentage)),""),"")),"   not ELP, by"))))))))))))))</f>
        <v/>
      </c>
      <c r="AD322" s="712"/>
      <c r="AE322" s="513" t="str">
        <f t="shared" si="230"/>
        <v/>
      </c>
      <c r="AF322" s="713" t="str">
        <f t="shared" si="231"/>
        <v/>
      </c>
      <c r="AG322" s="713"/>
      <c r="AH322" s="713"/>
      <c r="AI322" s="112">
        <f>IF(H322="credit",0,IF(AE322="free",0,IF(AE322="me",0,IF(G322&gt;0,(VLOOKUP(A322,'Discount Lookup'!J:K,2)*G322),0))))</f>
        <v>0</v>
      </c>
      <c r="AJ322" s="107" t="str">
        <f t="shared" ca="1" si="232"/>
        <v/>
      </c>
      <c r="AK322" s="714" t="str">
        <f t="shared" si="233"/>
        <v/>
      </c>
      <c r="AL322" s="714"/>
      <c r="AM322" s="114" t="str">
        <f t="shared" si="234"/>
        <v/>
      </c>
      <c r="AN322" s="115"/>
      <c r="AO322" s="116"/>
      <c r="AP322" s="116"/>
      <c r="AQ322" s="116"/>
      <c r="AR322" s="116"/>
      <c r="AS322" s="116"/>
      <c r="AT322" s="116"/>
      <c r="AU322" s="116"/>
      <c r="AV322" s="78"/>
      <c r="AW322" s="102"/>
      <c r="AX322" s="78"/>
      <c r="AY322" s="78"/>
      <c r="AZ322" s="78"/>
      <c r="BA322" s="78"/>
      <c r="BB322" s="78"/>
      <c r="BC322" s="78"/>
      <c r="BD322" s="78"/>
      <c r="BE322" s="465"/>
      <c r="BF322" s="165" t="str">
        <f t="shared" si="235"/>
        <v>https://www.google.com/search?tbm=isch&amp;q=Century%20Plant%20has%20an%20architectural%20rosette%20of%20succulent%2C%20Blue-Green%20foliage.%20Blooms%20just%20once%20with%20a%2015%27-30%27%20towering%20stalk%20at%20the%20end%20of%20its%20life%20</v>
      </c>
      <c r="BG322" s="165" t="str">
        <f t="shared" si="236"/>
        <v>C</v>
      </c>
      <c r="BH322" s="65"/>
      <c r="BI322" s="65"/>
      <c r="BJ322" s="65"/>
      <c r="BK322" s="65"/>
      <c r="BL322" s="99"/>
      <c r="BM322" s="99"/>
      <c r="BN322" s="99"/>
    </row>
    <row r="323" spans="1:66" s="51" customFormat="1" ht="18" x14ac:dyDescent="0.25">
      <c r="A323" s="507" t="s">
        <v>1438</v>
      </c>
      <c r="B323" s="470"/>
      <c r="C323" s="706"/>
      <c r="D323" s="471" t="s">
        <v>4935</v>
      </c>
      <c r="E323" s="472"/>
      <c r="F323" s="472"/>
      <c r="G323" s="472"/>
      <c r="H323" s="622" t="s">
        <v>1439</v>
      </c>
      <c r="I323" s="473" t="s">
        <v>1437</v>
      </c>
      <c r="J323" s="472"/>
      <c r="K323" s="472"/>
      <c r="L323" s="561"/>
      <c r="M323" s="698" t="s">
        <v>5246</v>
      </c>
      <c r="N323" s="692" t="str">
        <f>IF(AND(ISTEXT($A323), ISERROR($A323+0)), HYPERLINK($BF323, "Images"), "")</f>
        <v>Images</v>
      </c>
      <c r="O323" s="694" t="s">
        <v>5244</v>
      </c>
      <c r="P323" s="475"/>
      <c r="Q323" s="476"/>
      <c r="R323" s="476"/>
      <c r="S323" s="477"/>
      <c r="T323" s="102">
        <f t="shared" si="224"/>
        <v>0</v>
      </c>
      <c r="U323" s="78" t="str">
        <f>IF(NOT(ISNUMBER(G323)), "", VLOOKUP(A323,'Discount Lookup'!D:E,2,FALSE)*G323)</f>
        <v/>
      </c>
      <c r="V323" s="78" t="str">
        <f>IF(NOT(ISNUMBER(G323)), "", VLOOKUP(A323,'Discount Lookup'!G:H,2,FALSE)*G323)</f>
        <v/>
      </c>
      <c r="W323" s="102">
        <f t="shared" si="225"/>
        <v>0</v>
      </c>
      <c r="X323" s="102" t="str">
        <f t="shared" si="226"/>
        <v>Greenish-Yellow bloom</v>
      </c>
      <c r="Y323" s="120" t="b">
        <f t="shared" si="227"/>
        <v>0</v>
      </c>
      <c r="Z323" s="117">
        <f t="shared" si="228"/>
        <v>0</v>
      </c>
      <c r="AA323" s="118"/>
      <c r="AB323" s="118" t="str">
        <f t="shared" si="229"/>
        <v/>
      </c>
      <c r="AC323" s="712" t="str">
        <f>IF(AE323="T2G","no charge",IF(AND(OR(PlanterYesMe="No",PlanterYesMe="N",PlanterYesMe="me"),H323=""),"",IF(H323="credit","NO install",IF(AND(K323="",AE323="me"),"EACH row",IF(AND(K323="images",AE323="me"),"EACH row",IF(D323="","",IF(H323="credit","",IF(AE323="free","re-planting",IF(AE323="me","   not ELP, by",IF(AND(OR(PlanterYesMe="Yes",PlanterYesMe="Y"),G323&gt;0),(VLOOKUP(A323,'Discount Lookup'!J:K,2)*G323*(1-PlanterDiscount)*(1+PlanterDifficultyPercentage)),IF(AE323="ELP",(VLOOKUP(A323,'Discount Lookup'!J:K,2)*G323*(1-PlanterDiscount)*(1+PlanterDifficultyPercentage)),IF(AE323="free","re-planting",IF(G323=0,"",IF(PlanterYesMe="",IF(AE323="me","   not ELP, by",IF(AE323="",IF(G323&gt;0,(VLOOKUP(A323,'Discount Lookup'!J:K,2)*G323*(1-PlanterDiscount)*(1+PlanterDifficultyPercentage)),""),"")),"   not ELP, by"))))))))))))))</f>
        <v/>
      </c>
      <c r="AD323" s="712"/>
      <c r="AE323" s="513" t="str">
        <f t="shared" si="230"/>
        <v/>
      </c>
      <c r="AF323" s="713" t="str">
        <f t="shared" si="231"/>
        <v/>
      </c>
      <c r="AG323" s="713"/>
      <c r="AH323" s="713"/>
      <c r="AI323" s="112">
        <f>IF(H323="credit",0,IF(AE323="free",0,IF(AE323="me",0,IF(G323&gt;0,(VLOOKUP(A323,'Discount Lookup'!J:K,2)*G323),0))))</f>
        <v>0</v>
      </c>
      <c r="AJ323" s="107" t="str">
        <f t="shared" ca="1" si="232"/>
        <v/>
      </c>
      <c r="AK323" s="714" t="str">
        <f t="shared" si="233"/>
        <v/>
      </c>
      <c r="AL323" s="714"/>
      <c r="AM323" s="114" t="str">
        <f t="shared" si="234"/>
        <v/>
      </c>
      <c r="AN323" s="115"/>
      <c r="AO323" s="116"/>
      <c r="AP323" s="116"/>
      <c r="AQ323" s="116"/>
      <c r="AR323" s="116"/>
      <c r="AS323" s="116"/>
      <c r="AT323" s="116"/>
      <c r="AU323" s="116"/>
      <c r="AV323" s="78"/>
      <c r="AW323" s="102"/>
      <c r="AX323" s="78"/>
      <c r="AY323" s="78"/>
      <c r="AZ323" s="78"/>
      <c r="BA323" s="78"/>
      <c r="BB323" s="78"/>
      <c r="BC323" s="78"/>
      <c r="BD323" s="78"/>
      <c r="BE323" s="465"/>
      <c r="BF323" s="165" t="str">
        <f t="shared" si="235"/>
        <v>https://www.google.com/search?tbm=isch&amp;q=Agave%20lophantha%20%27Splendida%27%20Center%20Stripe%20Agave</v>
      </c>
      <c r="BG323" s="165" t="str">
        <f t="shared" si="236"/>
        <v>A</v>
      </c>
      <c r="BH323" s="65"/>
      <c r="BI323" s="65"/>
      <c r="BJ323" s="65"/>
      <c r="BK323" s="65"/>
      <c r="BL323" s="99"/>
      <c r="BM323" s="99"/>
      <c r="BN323" s="99"/>
    </row>
    <row r="324" spans="1:66" s="51" customFormat="1" ht="15.75" x14ac:dyDescent="0.25">
      <c r="A324" s="478">
        <v>3</v>
      </c>
      <c r="B324" s="479" t="s">
        <v>291</v>
      </c>
      <c r="C324" s="480" t="s">
        <v>5111</v>
      </c>
      <c r="D324" s="481" t="s">
        <v>299</v>
      </c>
      <c r="E324" s="482">
        <v>40.950000000000003</v>
      </c>
      <c r="F324" s="483" t="s">
        <v>292</v>
      </c>
      <c r="G324" s="484">
        <v>0</v>
      </c>
      <c r="H324" s="688" t="str">
        <f>IF(G324=0,"",IF(F324="Buy",IF(G324=1,"plant","plants"),IF(F324&gt;0.01,"warranty","Error")))</f>
        <v/>
      </c>
      <c r="I324" s="485">
        <f>IF(H324="free",0,IF(H324="credit",((E324*(F324))*G324*-1),IF(F324="Buy",(E324*G324),((E324*(1-F324))*G324))))</f>
        <v>0</v>
      </c>
      <c r="J324" s="485">
        <f>IF(H324="warranty",0,(I324*(_xlfn.SINGLE(SalesTaxPercentage))))</f>
        <v>0</v>
      </c>
      <c r="K324" s="715">
        <f t="shared" ref="K324" si="257">I324+J324</f>
        <v>0</v>
      </c>
      <c r="L324" s="715"/>
      <c r="M324" s="689" t="str">
        <f ca="1">IF(AND(G324&gt;0,E324=0),"WARNING - no PRICE inserted",IF(H324="free","FREE ~ no charge this plant",IF(H324="credit",CONCATENATE("-$",ROUND(K324*(1-_xlfn.SINGLE(T2GDiscount))*-1,2)," CREDIT after discount"),IF(_xlfn.SINGLE(T2GDiscount)=0,"",IF(G324=0,"",IF(F324="Buy",CONCATENATE("$",ROUND(K324*(1-_xlfn.SINGLE(T2GDiscount)),2)," with ",(_xlfn.SINGLE(T2GDiscount)*100),"% discount"),CONCATENATE("$",ROUND(K324*(1-_xlfn.SINGLE(T2GDiscount)),2)," with ",((_xlfn.SINGLE(T2GDiscount)*100+F324*100)-(_xlfn.SINGLE(T2GDiscount)*100*F324)),IF(F324&gt;0,"% discounts",IF(_xlfn.SINGLE(NoWarrantyDiscount)&gt;0,"% discounts","% discount")))))))))</f>
        <v/>
      </c>
      <c r="N324" s="690"/>
      <c r="O324" s="486"/>
      <c r="P324" s="486"/>
      <c r="Q324" s="486"/>
      <c r="R324" s="486"/>
      <c r="S324" s="486"/>
      <c r="T324" s="102">
        <f t="shared" si="224"/>
        <v>0</v>
      </c>
      <c r="U324" s="78">
        <f>IF(NOT(ISNUMBER(G324)), "", VLOOKUP(A324,'Discount Lookup'!D:E,2,FALSE)*G324)</f>
        <v>0</v>
      </c>
      <c r="V324" s="78">
        <f>IF(NOT(ISNUMBER(G324)), "", VLOOKUP(A324,'Discount Lookup'!G:H,2,FALSE)*G324)</f>
        <v>0</v>
      </c>
      <c r="W324" s="102">
        <f t="shared" si="225"/>
        <v>0</v>
      </c>
      <c r="X324" s="102">
        <f t="shared" si="226"/>
        <v>0</v>
      </c>
      <c r="Y324" s="120" t="b">
        <f t="shared" si="227"/>
        <v>0</v>
      </c>
      <c r="Z324" s="117">
        <f t="shared" si="228"/>
        <v>0</v>
      </c>
      <c r="AA324" s="118"/>
      <c r="AB324" s="118" t="str">
        <f t="shared" si="229"/>
        <v/>
      </c>
      <c r="AC324" s="712" t="str">
        <f>IF(AE324="T2G","no charge",IF(AND(OR(PlanterYesMe="No",PlanterYesMe="N",PlanterYesMe="me"),H324=""),"",IF(H324="credit","NO install",IF(AND(K324="",AE324="me"),"EACH row",IF(AND(K324="images",AE324="me"),"EACH row",IF(D324="","",IF(H324="credit","",IF(AE324="free","re-planting",IF(AE324="me","   not ELP, by",IF(AND(OR(PlanterYesMe="Yes",PlanterYesMe="Y"),G324&gt;0),(VLOOKUP(A324,'Discount Lookup'!J:K,2)*G324*(1-PlanterDiscount)*(1+PlanterDifficultyPercentage)),IF(AE324="ELP",(VLOOKUP(A324,'Discount Lookup'!J:K,2)*G324*(1-PlanterDiscount)*(1+PlanterDifficultyPercentage)),IF(AE324="free","re-planting",IF(G324=0,"",IF(PlanterYesMe="",IF(AE324="me","   not ELP, by",IF(AE324="",IF(G324&gt;0,(VLOOKUP(A324,'Discount Lookup'!J:K,2)*G324*(1-PlanterDiscount)*(1+PlanterDifficultyPercentage)),""),"")),"   not ELP, by"))))))))))))))</f>
        <v/>
      </c>
      <c r="AD324" s="712"/>
      <c r="AE324" s="513" t="str">
        <f t="shared" si="230"/>
        <v/>
      </c>
      <c r="AF324" s="713" t="str">
        <f t="shared" si="231"/>
        <v/>
      </c>
      <c r="AG324" s="713"/>
      <c r="AH324" s="713"/>
      <c r="AI324" s="112">
        <f>IF(H324="credit",0,IF(AE324="free",0,IF(AE324="me",0,IF(G324&gt;0,(VLOOKUP(A324,'Discount Lookup'!J:K,2)*G324),0))))</f>
        <v>0</v>
      </c>
      <c r="AJ324" s="107" t="str">
        <f t="shared" ca="1" si="232"/>
        <v/>
      </c>
      <c r="AK324" s="714" t="str">
        <f t="shared" si="233"/>
        <v/>
      </c>
      <c r="AL324" s="714"/>
      <c r="AM324" s="114" t="str">
        <f t="shared" si="234"/>
        <v/>
      </c>
      <c r="AN324" s="115"/>
      <c r="AO324" s="116"/>
      <c r="AP324" s="116"/>
      <c r="AQ324" s="116"/>
      <c r="AR324" s="116"/>
      <c r="AS324" s="116"/>
      <c r="AT324" s="116"/>
      <c r="AU324" s="116"/>
      <c r="AV324" s="78"/>
      <c r="AW324" s="102"/>
      <c r="AX324" s="78"/>
      <c r="AY324" s="78"/>
      <c r="AZ324" s="78"/>
      <c r="BA324" s="78"/>
      <c r="BB324" s="78"/>
      <c r="BC324" s="78"/>
      <c r="BD324" s="78"/>
      <c r="BE324" s="465"/>
      <c r="BF324" s="165" t="str">
        <f t="shared" si="235"/>
        <v>https://www.google.com/search?tbm=isch&amp;q=3%20G4</v>
      </c>
      <c r="BG324" s="165" t="str">
        <f t="shared" si="236"/>
        <v>A</v>
      </c>
      <c r="BH324" s="65"/>
      <c r="BI324" s="65"/>
      <c r="BJ324" s="65"/>
      <c r="BK324" s="65"/>
      <c r="BL324" s="99"/>
      <c r="BM324" s="99"/>
      <c r="BN324" s="99"/>
    </row>
    <row r="325" spans="1:66" s="51" customFormat="1" ht="16.5" thickBot="1" x14ac:dyDescent="0.3">
      <c r="A325" s="508" t="s">
        <v>4936</v>
      </c>
      <c r="B325" s="487"/>
      <c r="C325" s="707"/>
      <c r="D325" s="487"/>
      <c r="E325" s="487"/>
      <c r="F325" s="488"/>
      <c r="G325" s="489"/>
      <c r="H325" s="487"/>
      <c r="I325" s="490"/>
      <c r="J325" s="490"/>
      <c r="K325" s="491"/>
      <c r="L325" s="547"/>
      <c r="M325" s="528"/>
      <c r="N325" s="492"/>
      <c r="O325" s="493"/>
      <c r="P325" s="494"/>
      <c r="Q325" s="492"/>
      <c r="R325" s="492"/>
      <c r="S325" s="699" t="s">
        <v>5259</v>
      </c>
      <c r="T325" s="102">
        <f t="shared" si="224"/>
        <v>0</v>
      </c>
      <c r="U325" s="78" t="str">
        <f>IF(NOT(ISNUMBER(G325)), "", VLOOKUP(A325,'Discount Lookup'!D:E,2,FALSE)*G325)</f>
        <v/>
      </c>
      <c r="V325" s="78" t="str">
        <f>IF(NOT(ISNUMBER(G325)), "", VLOOKUP(A325,'Discount Lookup'!G:H,2,FALSE)*G325)</f>
        <v/>
      </c>
      <c r="W325" s="102">
        <f t="shared" si="225"/>
        <v>0</v>
      </c>
      <c r="X325" s="102">
        <f t="shared" si="226"/>
        <v>0</v>
      </c>
      <c r="Y325" s="120" t="b">
        <f t="shared" si="227"/>
        <v>0</v>
      </c>
      <c r="Z325" s="117">
        <f t="shared" si="228"/>
        <v>0</v>
      </c>
      <c r="AA325" s="118"/>
      <c r="AB325" s="118" t="str">
        <f t="shared" si="229"/>
        <v/>
      </c>
      <c r="AC325" s="712" t="str">
        <f>IF(AE325="T2G","no charge",IF(AND(OR(PlanterYesMe="No",PlanterYesMe="N",PlanterYesMe="me"),H325=""),"",IF(H325="credit","NO install",IF(AND(K325="",AE325="me"),"EACH row",IF(AND(K325="images",AE325="me"),"EACH row",IF(D325="","",IF(H325="credit","",IF(AE325="free","re-planting",IF(AE325="me","   not ELP, by",IF(AND(OR(PlanterYesMe="Yes",PlanterYesMe="Y"),G325&gt;0),(VLOOKUP(A325,'Discount Lookup'!J:K,2)*G325*(1-PlanterDiscount)*(1+PlanterDifficultyPercentage)),IF(AE325="ELP",(VLOOKUP(A325,'Discount Lookup'!J:K,2)*G325*(1-PlanterDiscount)*(1+PlanterDifficultyPercentage)),IF(AE325="free","re-planting",IF(G325=0,"",IF(PlanterYesMe="",IF(AE325="me","   not ELP, by",IF(AE325="",IF(G325&gt;0,(VLOOKUP(A325,'Discount Lookup'!J:K,2)*G325*(1-PlanterDiscount)*(1+PlanterDifficultyPercentage)),""),"")),"   not ELP, by"))))))))))))))</f>
        <v/>
      </c>
      <c r="AD325" s="712"/>
      <c r="AE325" s="513" t="str">
        <f t="shared" si="230"/>
        <v/>
      </c>
      <c r="AF325" s="713" t="str">
        <f t="shared" si="231"/>
        <v/>
      </c>
      <c r="AG325" s="713"/>
      <c r="AH325" s="713"/>
      <c r="AI325" s="112">
        <f>IF(H325="credit",0,IF(AE325="free",0,IF(AE325="me",0,IF(G325&gt;0,(VLOOKUP(A325,'Discount Lookup'!J:K,2)*G325),0))))</f>
        <v>0</v>
      </c>
      <c r="AJ325" s="107" t="str">
        <f t="shared" ca="1" si="232"/>
        <v/>
      </c>
      <c r="AK325" s="714" t="str">
        <f t="shared" si="233"/>
        <v/>
      </c>
      <c r="AL325" s="714"/>
      <c r="AM325" s="114" t="str">
        <f t="shared" si="234"/>
        <v/>
      </c>
      <c r="AN325" s="115"/>
      <c r="AO325" s="116"/>
      <c r="AP325" s="116"/>
      <c r="AQ325" s="116"/>
      <c r="AR325" s="116"/>
      <c r="AS325" s="116"/>
      <c r="AT325" s="116"/>
      <c r="AU325" s="116"/>
      <c r="AV325" s="78"/>
      <c r="AW325" s="102"/>
      <c r="AX325" s="78"/>
      <c r="AY325" s="78"/>
      <c r="AZ325" s="78"/>
      <c r="BA325" s="78"/>
      <c r="BB325" s="78"/>
      <c r="BC325" s="78"/>
      <c r="BD325" s="78"/>
      <c r="BE325" s="465"/>
      <c r="BF325" s="165" t="str">
        <f t="shared" si="235"/>
        <v>https://www.google.com/search?tbm=isch&amp;q=Center%20Stripe%20has%20Dark%20Green%20foliage%20and%20a%20bold%20Yellow%20stripe.%20Blooms%20just%20once%20with%20a%2010%27-12%27%20towering%20stalk%20at%20the%20end%20of%20its%20life%20</v>
      </c>
      <c r="BG325" s="165" t="str">
        <f t="shared" si="236"/>
        <v>C</v>
      </c>
      <c r="BH325" s="65"/>
      <c r="BI325" s="65"/>
      <c r="BJ325" s="65"/>
      <c r="BK325" s="65"/>
      <c r="BL325" s="99"/>
      <c r="BM325" s="99"/>
      <c r="BN325" s="99"/>
    </row>
    <row r="326" spans="1:66" s="51" customFormat="1" ht="18" x14ac:dyDescent="0.25">
      <c r="A326" s="507" t="s">
        <v>1440</v>
      </c>
      <c r="B326" s="470"/>
      <c r="C326" s="706"/>
      <c r="D326" s="471" t="s">
        <v>4937</v>
      </c>
      <c r="E326" s="472"/>
      <c r="F326" s="472"/>
      <c r="G326" s="472"/>
      <c r="H326" s="622" t="s">
        <v>1439</v>
      </c>
      <c r="I326" s="473" t="s">
        <v>1441</v>
      </c>
      <c r="J326" s="472"/>
      <c r="K326" s="472"/>
      <c r="L326" s="561"/>
      <c r="M326" s="698" t="s">
        <v>5246</v>
      </c>
      <c r="N326" s="692" t="str">
        <f>IF(AND(ISTEXT($A326), ISERROR($A326+0)), HYPERLINK($BF326, "Images"), "")</f>
        <v>Images</v>
      </c>
      <c r="O326" s="694" t="s">
        <v>5244</v>
      </c>
      <c r="P326" s="475"/>
      <c r="Q326" s="476"/>
      <c r="R326" s="476"/>
      <c r="S326" s="477"/>
      <c r="T326" s="102">
        <f t="shared" si="224"/>
        <v>0</v>
      </c>
      <c r="U326" s="78" t="str">
        <f>IF(NOT(ISNUMBER(G326)), "", VLOOKUP(A326,'Discount Lookup'!D:E,2,FALSE)*G326)</f>
        <v/>
      </c>
      <c r="V326" s="78" t="str">
        <f>IF(NOT(ISNUMBER(G326)), "", VLOOKUP(A326,'Discount Lookup'!G:H,2,FALSE)*G326)</f>
        <v/>
      </c>
      <c r="W326" s="102">
        <f t="shared" si="225"/>
        <v>0</v>
      </c>
      <c r="X326" s="102" t="str">
        <f t="shared" si="226"/>
        <v>Yellow bloom</v>
      </c>
      <c r="Y326" s="120" t="b">
        <f t="shared" si="227"/>
        <v>0</v>
      </c>
      <c r="Z326" s="117">
        <f t="shared" si="228"/>
        <v>0</v>
      </c>
      <c r="AA326" s="118"/>
      <c r="AB326" s="118" t="str">
        <f t="shared" si="229"/>
        <v/>
      </c>
      <c r="AC326" s="712" t="str">
        <f>IF(AE326="T2G","no charge",IF(AND(OR(PlanterYesMe="No",PlanterYesMe="N",PlanterYesMe="me"),H326=""),"",IF(H326="credit","NO install",IF(AND(K326="",AE326="me"),"EACH row",IF(AND(K326="images",AE326="me"),"EACH row",IF(D326="","",IF(H326="credit","",IF(AE326="free","re-planting",IF(AE326="me","   not ELP, by",IF(AND(OR(PlanterYesMe="Yes",PlanterYesMe="Y"),G326&gt;0),(VLOOKUP(A326,'Discount Lookup'!J:K,2)*G326*(1-PlanterDiscount)*(1+PlanterDifficultyPercentage)),IF(AE326="ELP",(VLOOKUP(A326,'Discount Lookup'!J:K,2)*G326*(1-PlanterDiscount)*(1+PlanterDifficultyPercentage)),IF(AE326="free","re-planting",IF(G326=0,"",IF(PlanterYesMe="",IF(AE326="me","   not ELP, by",IF(AE326="",IF(G326&gt;0,(VLOOKUP(A326,'Discount Lookup'!J:K,2)*G326*(1-PlanterDiscount)*(1+PlanterDifficultyPercentage)),""),"")),"   not ELP, by"))))))))))))))</f>
        <v/>
      </c>
      <c r="AD326" s="712"/>
      <c r="AE326" s="513" t="str">
        <f t="shared" si="230"/>
        <v/>
      </c>
      <c r="AF326" s="713" t="str">
        <f t="shared" si="231"/>
        <v/>
      </c>
      <c r="AG326" s="713"/>
      <c r="AH326" s="713"/>
      <c r="AI326" s="112">
        <f>IF(H326="credit",0,IF(AE326="free",0,IF(AE326="me",0,IF(G326&gt;0,(VLOOKUP(A326,'Discount Lookup'!J:K,2)*G326),0))))</f>
        <v>0</v>
      </c>
      <c r="AJ326" s="107" t="str">
        <f t="shared" ca="1" si="232"/>
        <v/>
      </c>
      <c r="AK326" s="714" t="str">
        <f t="shared" si="233"/>
        <v/>
      </c>
      <c r="AL326" s="714"/>
      <c r="AM326" s="114" t="str">
        <f t="shared" si="234"/>
        <v/>
      </c>
      <c r="AN326" s="115"/>
      <c r="AO326" s="116"/>
      <c r="AP326" s="116"/>
      <c r="AQ326" s="116"/>
      <c r="AR326" s="116"/>
      <c r="AS326" s="116"/>
      <c r="AT326" s="116"/>
      <c r="AU326" s="116"/>
      <c r="AV326" s="78"/>
      <c r="AW326" s="102"/>
      <c r="AX326" s="78"/>
      <c r="AY326" s="78"/>
      <c r="AZ326" s="78"/>
      <c r="BA326" s="78"/>
      <c r="BB326" s="78"/>
      <c r="BC326" s="78"/>
      <c r="BD326" s="78"/>
      <c r="BE326" s="465"/>
      <c r="BF326" s="165" t="str">
        <f t="shared" si="235"/>
        <v>https://www.google.com/search?tbm=isch&amp;q=Agave%20parryi%20%27JC%20Raulston%27%20JC%20Raulston%20Agave</v>
      </c>
      <c r="BG326" s="165" t="str">
        <f t="shared" si="236"/>
        <v>A</v>
      </c>
      <c r="BH326" s="65"/>
      <c r="BI326" s="65"/>
      <c r="BJ326" s="65"/>
      <c r="BK326" s="65"/>
      <c r="BL326" s="99"/>
      <c r="BM326" s="99"/>
      <c r="BN326" s="99"/>
    </row>
    <row r="327" spans="1:66" s="51" customFormat="1" ht="15.75" x14ac:dyDescent="0.25">
      <c r="A327" s="478">
        <v>3</v>
      </c>
      <c r="B327" s="479" t="s">
        <v>291</v>
      </c>
      <c r="C327" s="480"/>
      <c r="D327" s="481" t="s">
        <v>293</v>
      </c>
      <c r="E327" s="482">
        <v>51.95</v>
      </c>
      <c r="F327" s="483" t="s">
        <v>292</v>
      </c>
      <c r="G327" s="484">
        <v>0</v>
      </c>
      <c r="H327" s="688" t="str">
        <f>IF(G327=0,"",IF(F327="Buy",IF(G327=1,"plant","plants"),IF(F327&gt;0.01,"warranty","Error")))</f>
        <v/>
      </c>
      <c r="I327" s="485">
        <f>IF(H327="free",0,IF(H327="credit",((E327*(F327))*G327*-1),IF(F327="Buy",(E327*G327),((E327*(1-F327))*G327))))</f>
        <v>0</v>
      </c>
      <c r="J327" s="485">
        <f>IF(H327="warranty",0,(I327*(_xlfn.SINGLE(SalesTaxPercentage))))</f>
        <v>0</v>
      </c>
      <c r="K327" s="715">
        <f t="shared" ref="K327" si="258">I327+J327</f>
        <v>0</v>
      </c>
      <c r="L327" s="715"/>
      <c r="M327" s="689" t="str">
        <f ca="1">IF(AND(G327&gt;0,E327=0),"WARNING - no PRICE inserted",IF(H327="free","FREE ~ no charge this plant",IF(H327="credit",CONCATENATE("-$",ROUND(K327*(1-_xlfn.SINGLE(T2GDiscount))*-1,2)," CREDIT after discount"),IF(_xlfn.SINGLE(T2GDiscount)=0,"",IF(G327=0,"",IF(F327="Buy",CONCATENATE("$",ROUND(K327*(1-_xlfn.SINGLE(T2GDiscount)),2)," with ",(_xlfn.SINGLE(T2GDiscount)*100),"% discount"),CONCATENATE("$",ROUND(K327*(1-_xlfn.SINGLE(T2GDiscount)),2)," with ",((_xlfn.SINGLE(T2GDiscount)*100+F327*100)-(_xlfn.SINGLE(T2GDiscount)*100*F327)),IF(F327&gt;0,"% discounts",IF(_xlfn.SINGLE(NoWarrantyDiscount)&gt;0,"% discounts","% discount")))))))))</f>
        <v/>
      </c>
      <c r="N327" s="690"/>
      <c r="O327" s="486"/>
      <c r="P327" s="486"/>
      <c r="Q327" s="486"/>
      <c r="R327" s="486"/>
      <c r="S327" s="486"/>
      <c r="T327" s="102">
        <f t="shared" si="224"/>
        <v>0</v>
      </c>
      <c r="U327" s="78">
        <f>IF(NOT(ISNUMBER(G327)), "", VLOOKUP(A327,'Discount Lookup'!D:E,2,FALSE)*G327)</f>
        <v>0</v>
      </c>
      <c r="V327" s="78">
        <f>IF(NOT(ISNUMBER(G327)), "", VLOOKUP(A327,'Discount Lookup'!G:H,2,FALSE)*G327)</f>
        <v>0</v>
      </c>
      <c r="W327" s="102">
        <f t="shared" si="225"/>
        <v>0</v>
      </c>
      <c r="X327" s="102">
        <f t="shared" si="226"/>
        <v>0</v>
      </c>
      <c r="Y327" s="120" t="b">
        <f t="shared" si="227"/>
        <v>0</v>
      </c>
      <c r="Z327" s="117">
        <f t="shared" si="228"/>
        <v>0</v>
      </c>
      <c r="AA327" s="118"/>
      <c r="AB327" s="118" t="str">
        <f t="shared" si="229"/>
        <v/>
      </c>
      <c r="AC327" s="712" t="str">
        <f>IF(AE327="T2G","no charge",IF(AND(OR(PlanterYesMe="No",PlanterYesMe="N",PlanterYesMe="me"),H327=""),"",IF(H327="credit","NO install",IF(AND(K327="",AE327="me"),"EACH row",IF(AND(K327="images",AE327="me"),"EACH row",IF(D327="","",IF(H327="credit","",IF(AE327="free","re-planting",IF(AE327="me","   not ELP, by",IF(AND(OR(PlanterYesMe="Yes",PlanterYesMe="Y"),G327&gt;0),(VLOOKUP(A327,'Discount Lookup'!J:K,2)*G327*(1-PlanterDiscount)*(1+PlanterDifficultyPercentage)),IF(AE327="ELP",(VLOOKUP(A327,'Discount Lookup'!J:K,2)*G327*(1-PlanterDiscount)*(1+PlanterDifficultyPercentage)),IF(AE327="free","re-planting",IF(G327=0,"",IF(PlanterYesMe="",IF(AE327="me","   not ELP, by",IF(AE327="",IF(G327&gt;0,(VLOOKUP(A327,'Discount Lookup'!J:K,2)*G327*(1-PlanterDiscount)*(1+PlanterDifficultyPercentage)),""),"")),"   not ELP, by"))))))))))))))</f>
        <v/>
      </c>
      <c r="AD327" s="712"/>
      <c r="AE327" s="513" t="str">
        <f t="shared" si="230"/>
        <v/>
      </c>
      <c r="AF327" s="713" t="str">
        <f t="shared" si="231"/>
        <v/>
      </c>
      <c r="AG327" s="713"/>
      <c r="AH327" s="713"/>
      <c r="AI327" s="112">
        <f>IF(H327="credit",0,IF(AE327="free",0,IF(AE327="me",0,IF(G327&gt;0,(VLOOKUP(A327,'Discount Lookup'!J:K,2)*G327),0))))</f>
        <v>0</v>
      </c>
      <c r="AJ327" s="107" t="str">
        <f t="shared" ca="1" si="232"/>
        <v/>
      </c>
      <c r="AK327" s="714" t="str">
        <f t="shared" si="233"/>
        <v/>
      </c>
      <c r="AL327" s="714"/>
      <c r="AM327" s="114" t="str">
        <f t="shared" si="234"/>
        <v/>
      </c>
      <c r="AN327" s="115"/>
      <c r="AO327" s="116"/>
      <c r="AP327" s="116"/>
      <c r="AQ327" s="116"/>
      <c r="AR327" s="116"/>
      <c r="AS327" s="116"/>
      <c r="AT327" s="116"/>
      <c r="AU327" s="116"/>
      <c r="AV327" s="78"/>
      <c r="AW327" s="102"/>
      <c r="AX327" s="78"/>
      <c r="AY327" s="78"/>
      <c r="AZ327" s="78"/>
      <c r="BA327" s="78"/>
      <c r="BB327" s="78"/>
      <c r="BC327" s="78"/>
      <c r="BD327" s="78"/>
      <c r="BE327" s="465"/>
      <c r="BF327" s="165" t="str">
        <f t="shared" si="235"/>
        <v>https://www.google.com/search?tbm=isch&amp;q=3%20G6</v>
      </c>
      <c r="BG327" s="165" t="str">
        <f t="shared" si="236"/>
        <v>A</v>
      </c>
      <c r="BH327" s="65"/>
      <c r="BI327" s="65"/>
      <c r="BJ327" s="65"/>
      <c r="BK327" s="65"/>
      <c r="BL327" s="99"/>
      <c r="BM327" s="99"/>
      <c r="BN327" s="99"/>
    </row>
    <row r="328" spans="1:66" s="51" customFormat="1" ht="16.5" thickBot="1" x14ac:dyDescent="0.3">
      <c r="A328" s="508" t="s">
        <v>5038</v>
      </c>
      <c r="B328" s="487"/>
      <c r="C328" s="707"/>
      <c r="D328" s="487"/>
      <c r="E328" s="487"/>
      <c r="F328" s="488"/>
      <c r="G328" s="489"/>
      <c r="H328" s="487"/>
      <c r="I328" s="490"/>
      <c r="J328" s="490"/>
      <c r="K328" s="491"/>
      <c r="L328" s="547"/>
      <c r="M328" s="528"/>
      <c r="N328" s="492"/>
      <c r="O328" s="493"/>
      <c r="P328" s="494"/>
      <c r="Q328" s="492"/>
      <c r="R328" s="492"/>
      <c r="S328" s="699" t="s">
        <v>5259</v>
      </c>
      <c r="T328" s="102">
        <f t="shared" si="224"/>
        <v>0</v>
      </c>
      <c r="U328" s="78" t="str">
        <f>IF(NOT(ISNUMBER(G328)), "", VLOOKUP(A328,'Discount Lookup'!D:E,2,FALSE)*G328)</f>
        <v/>
      </c>
      <c r="V328" s="78" t="str">
        <f>IF(NOT(ISNUMBER(G328)), "", VLOOKUP(A328,'Discount Lookup'!G:H,2,FALSE)*G328)</f>
        <v/>
      </c>
      <c r="W328" s="102">
        <f t="shared" si="225"/>
        <v>0</v>
      </c>
      <c r="X328" s="102">
        <f t="shared" si="226"/>
        <v>0</v>
      </c>
      <c r="Y328" s="120" t="b">
        <f t="shared" si="227"/>
        <v>0</v>
      </c>
      <c r="Z328" s="117">
        <f t="shared" si="228"/>
        <v>0</v>
      </c>
      <c r="AA328" s="118"/>
      <c r="AB328" s="118" t="str">
        <f t="shared" si="229"/>
        <v/>
      </c>
      <c r="AC328" s="712" t="str">
        <f>IF(AE328="T2G","no charge",IF(AND(OR(PlanterYesMe="No",PlanterYesMe="N",PlanterYesMe="me"),H328=""),"",IF(H328="credit","NO install",IF(AND(K328="",AE328="me"),"EACH row",IF(AND(K328="images",AE328="me"),"EACH row",IF(D328="","",IF(H328="credit","",IF(AE328="free","re-planting",IF(AE328="me","   not ELP, by",IF(AND(OR(PlanterYesMe="Yes",PlanterYesMe="Y"),G328&gt;0),(VLOOKUP(A328,'Discount Lookup'!J:K,2)*G328*(1-PlanterDiscount)*(1+PlanterDifficultyPercentage)),IF(AE328="ELP",(VLOOKUP(A328,'Discount Lookup'!J:K,2)*G328*(1-PlanterDiscount)*(1+PlanterDifficultyPercentage)),IF(AE328="free","re-planting",IF(G328=0,"",IF(PlanterYesMe="",IF(AE328="me","   not ELP, by",IF(AE328="",IF(G328&gt;0,(VLOOKUP(A328,'Discount Lookup'!J:K,2)*G328*(1-PlanterDiscount)*(1+PlanterDifficultyPercentage)),""),"")),"   not ELP, by"))))))))))))))</f>
        <v/>
      </c>
      <c r="AD328" s="712"/>
      <c r="AE328" s="513" t="str">
        <f t="shared" si="230"/>
        <v/>
      </c>
      <c r="AF328" s="713" t="str">
        <f t="shared" si="231"/>
        <v/>
      </c>
      <c r="AG328" s="713"/>
      <c r="AH328" s="713"/>
      <c r="AI328" s="112">
        <f>IF(H328="credit",0,IF(AE328="free",0,IF(AE328="me",0,IF(G328&gt;0,(VLOOKUP(A328,'Discount Lookup'!J:K,2)*G328),0))))</f>
        <v>0</v>
      </c>
      <c r="AJ328" s="107" t="str">
        <f t="shared" ca="1" si="232"/>
        <v/>
      </c>
      <c r="AK328" s="714" t="str">
        <f t="shared" si="233"/>
        <v/>
      </c>
      <c r="AL328" s="714"/>
      <c r="AM328" s="114" t="str">
        <f t="shared" si="234"/>
        <v/>
      </c>
      <c r="AN328" s="115"/>
      <c r="AO328" s="116"/>
      <c r="AP328" s="116"/>
      <c r="AQ328" s="116"/>
      <c r="AR328" s="116"/>
      <c r="AS328" s="116"/>
      <c r="AT328" s="116"/>
      <c r="AU328" s="116"/>
      <c r="AV328" s="78"/>
      <c r="AW328" s="102"/>
      <c r="AX328" s="78"/>
      <c r="AY328" s="78"/>
      <c r="AZ328" s="78"/>
      <c r="BA328" s="78"/>
      <c r="BB328" s="78"/>
      <c r="BC328" s="78"/>
      <c r="BD328" s="78"/>
      <c r="BE328" s="465"/>
      <c r="BF328" s="165" t="str">
        <f t="shared" si="235"/>
        <v>https://www.google.com/search?tbm=isch&amp;q=JC%20Raulston%20is%20cold-hardy%2C%20with%20Blue-Gray%20rosettes%20and%20fierce%20spines.%20Blooms%20just%20once%20with%20a%2010%27-12%27%20towering%20stalk%20at%20the%20end%20of%20its%20life%20</v>
      </c>
      <c r="BG328" s="165" t="str">
        <f t="shared" si="236"/>
        <v>J</v>
      </c>
      <c r="BH328" s="65"/>
      <c r="BI328" s="65"/>
      <c r="BJ328" s="65"/>
      <c r="BK328" s="65"/>
      <c r="BL328" s="99"/>
      <c r="BM328" s="99"/>
      <c r="BN328" s="99"/>
    </row>
    <row r="329" spans="1:66" s="51" customFormat="1" ht="18" x14ac:dyDescent="0.25">
      <c r="A329" s="507" t="s">
        <v>4953</v>
      </c>
      <c r="B329" s="470"/>
      <c r="C329" s="706"/>
      <c r="D329" s="471" t="s">
        <v>4954</v>
      </c>
      <c r="E329" s="472"/>
      <c r="F329" s="472"/>
      <c r="G329" s="472"/>
      <c r="H329" s="622" t="s">
        <v>1088</v>
      </c>
      <c r="I329" s="473" t="s">
        <v>3078</v>
      </c>
      <c r="J329" s="472"/>
      <c r="K329" s="472"/>
      <c r="L329" s="561"/>
      <c r="M329" s="698" t="s">
        <v>5240</v>
      </c>
      <c r="N329" s="692" t="str">
        <f>IF(AND(ISTEXT($A329), ISERROR($A329+0)), HYPERLINK($BF329, "Images"), "")</f>
        <v>Images</v>
      </c>
      <c r="O329" s="694" t="s">
        <v>5244</v>
      </c>
      <c r="P329" s="475"/>
      <c r="Q329" s="476"/>
      <c r="R329" s="476"/>
      <c r="S329" s="477"/>
      <c r="T329" s="102">
        <f t="shared" si="224"/>
        <v>0</v>
      </c>
      <c r="U329" s="78" t="str">
        <f>IF(NOT(ISNUMBER(G329)), "", VLOOKUP(A329,'Discount Lookup'!D:E,2,FALSE)*G329)</f>
        <v/>
      </c>
      <c r="V329" s="78" t="str">
        <f>IF(NOT(ISNUMBER(G329)), "", VLOOKUP(A329,'Discount Lookup'!G:H,2,FALSE)*G329)</f>
        <v/>
      </c>
      <c r="W329" s="102">
        <f t="shared" si="225"/>
        <v>0</v>
      </c>
      <c r="X329" s="102" t="str">
        <f t="shared" si="226"/>
        <v>Blue-Gray foliage</v>
      </c>
      <c r="Y329" s="120" t="b">
        <f t="shared" si="227"/>
        <v>0</v>
      </c>
      <c r="Z329" s="117">
        <f t="shared" si="228"/>
        <v>0</v>
      </c>
      <c r="AA329" s="118"/>
      <c r="AB329" s="118" t="str">
        <f t="shared" si="229"/>
        <v/>
      </c>
      <c r="AC329" s="712" t="str">
        <f>IF(AE329="T2G","no charge",IF(AND(OR(PlanterYesMe="No",PlanterYesMe="N",PlanterYesMe="me"),H329=""),"",IF(H329="credit","NO install",IF(AND(K329="",AE329="me"),"EACH row",IF(AND(K329="images",AE329="me"),"EACH row",IF(D329="","",IF(H329="credit","",IF(AE329="free","re-planting",IF(AE329="me","   not ELP, by",IF(AND(OR(PlanterYesMe="Yes",PlanterYesMe="Y"),G329&gt;0),(VLOOKUP(A329,'Discount Lookup'!J:K,2)*G329*(1-PlanterDiscount)*(1+PlanterDifficultyPercentage)),IF(AE329="ELP",(VLOOKUP(A329,'Discount Lookup'!J:K,2)*G329*(1-PlanterDiscount)*(1+PlanterDifficultyPercentage)),IF(AE329="free","re-planting",IF(G329=0,"",IF(PlanterYesMe="",IF(AE329="me","   not ELP, by",IF(AE329="",IF(G329&gt;0,(VLOOKUP(A329,'Discount Lookup'!J:K,2)*G329*(1-PlanterDiscount)*(1+PlanterDifficultyPercentage)),""),"")),"   not ELP, by"))))))))))))))</f>
        <v/>
      </c>
      <c r="AD329" s="712"/>
      <c r="AE329" s="513" t="str">
        <f t="shared" si="230"/>
        <v/>
      </c>
      <c r="AF329" s="713" t="str">
        <f t="shared" si="231"/>
        <v/>
      </c>
      <c r="AG329" s="713"/>
      <c r="AH329" s="713"/>
      <c r="AI329" s="112">
        <f>IF(H329="credit",0,IF(AE329="free",0,IF(AE329="me",0,IF(G329&gt;0,(VLOOKUP(A329,'Discount Lookup'!J:K,2)*G329),0))))</f>
        <v>0</v>
      </c>
      <c r="AJ329" s="107" t="str">
        <f t="shared" ca="1" si="232"/>
        <v/>
      </c>
      <c r="AK329" s="714" t="str">
        <f t="shared" si="233"/>
        <v/>
      </c>
      <c r="AL329" s="714"/>
      <c r="AM329" s="114" t="str">
        <f t="shared" si="234"/>
        <v/>
      </c>
      <c r="AN329" s="115"/>
      <c r="AO329" s="116"/>
      <c r="AP329" s="116"/>
      <c r="AQ329" s="116"/>
      <c r="AR329" s="116"/>
      <c r="AS329" s="116"/>
      <c r="AT329" s="116"/>
      <c r="AU329" s="116"/>
      <c r="AV329" s="78"/>
      <c r="AW329" s="102"/>
      <c r="AX329" s="78"/>
      <c r="AY329" s="78"/>
      <c r="AZ329" s="78"/>
      <c r="BA329" s="78"/>
      <c r="BB329" s="78"/>
      <c r="BC329" s="78"/>
      <c r="BD329" s="78"/>
      <c r="BE329" s="465"/>
      <c r="BF329" s="165" t="str">
        <f t="shared" si="235"/>
        <v>https://www.google.com/search?tbm=isch&amp;q=Agave%20parryi%20var.%20truncata%20Barrell%20Agave</v>
      </c>
      <c r="BG329" s="165" t="str">
        <f t="shared" si="236"/>
        <v>A</v>
      </c>
      <c r="BH329" s="65"/>
      <c r="BI329" s="65"/>
      <c r="BJ329" s="65"/>
      <c r="BK329" s="65"/>
      <c r="BL329" s="99"/>
      <c r="BM329" s="99"/>
      <c r="BN329" s="99"/>
    </row>
    <row r="330" spans="1:66" s="51" customFormat="1" ht="15.75" x14ac:dyDescent="0.25">
      <c r="A330" s="478">
        <v>3</v>
      </c>
      <c r="B330" s="479" t="s">
        <v>291</v>
      </c>
      <c r="C330" s="480" t="s">
        <v>1241</v>
      </c>
      <c r="D330" s="481" t="s">
        <v>299</v>
      </c>
      <c r="E330" s="482">
        <v>51.95</v>
      </c>
      <c r="F330" s="483" t="s">
        <v>292</v>
      </c>
      <c r="G330" s="484">
        <v>0</v>
      </c>
      <c r="H330" s="688" t="str">
        <f>IF(G330=0,"",IF(F330="Buy",IF(G330=1,"plant","plants"),IF(F330&gt;0.01,"warranty","Error")))</f>
        <v/>
      </c>
      <c r="I330" s="485">
        <f>IF(H330="free",0,IF(H330="credit",((E330*(F330))*G330*-1),IF(F330="Buy",(E330*G330),((E330*(1-F330))*G330))))</f>
        <v>0</v>
      </c>
      <c r="J330" s="485">
        <f>IF(H330="warranty",0,(I330*(_xlfn.SINGLE(SalesTaxPercentage))))</f>
        <v>0</v>
      </c>
      <c r="K330" s="715">
        <f t="shared" ref="K330" si="259">I330+J330</f>
        <v>0</v>
      </c>
      <c r="L330" s="715"/>
      <c r="M330" s="689" t="str">
        <f ca="1">IF(AND(G330&gt;0,E330=0),"WARNING - no PRICE inserted",IF(H330="free","FREE ~ no charge this plant",IF(H330="credit",CONCATENATE("-$",ROUND(K330*(1-_xlfn.SINGLE(T2GDiscount))*-1,2)," CREDIT after discount"),IF(_xlfn.SINGLE(T2GDiscount)=0,"",IF(G330=0,"",IF(F330="Buy",CONCATENATE("$",ROUND(K330*(1-_xlfn.SINGLE(T2GDiscount)),2)," with ",(_xlfn.SINGLE(T2GDiscount)*100),"% discount"),CONCATENATE("$",ROUND(K330*(1-_xlfn.SINGLE(T2GDiscount)),2)," with ",((_xlfn.SINGLE(T2GDiscount)*100+F330*100)-(_xlfn.SINGLE(T2GDiscount)*100*F330)),IF(F330&gt;0,"% discounts",IF(_xlfn.SINGLE(NoWarrantyDiscount)&gt;0,"% discounts","% discount")))))))))</f>
        <v/>
      </c>
      <c r="N330" s="690"/>
      <c r="O330" s="486"/>
      <c r="P330" s="486"/>
      <c r="Q330" s="486"/>
      <c r="R330" s="486"/>
      <c r="S330" s="486"/>
      <c r="T330" s="102">
        <f t="shared" si="224"/>
        <v>0</v>
      </c>
      <c r="U330" s="78">
        <f>IF(NOT(ISNUMBER(G330)), "", VLOOKUP(A330,'Discount Lookup'!D:E,2,FALSE)*G330)</f>
        <v>0</v>
      </c>
      <c r="V330" s="78">
        <f>IF(NOT(ISNUMBER(G330)), "", VLOOKUP(A330,'Discount Lookup'!G:H,2,FALSE)*G330)</f>
        <v>0</v>
      </c>
      <c r="W330" s="102">
        <f t="shared" si="225"/>
        <v>0</v>
      </c>
      <c r="X330" s="102">
        <f t="shared" si="226"/>
        <v>0</v>
      </c>
      <c r="Y330" s="120" t="b">
        <f t="shared" si="227"/>
        <v>0</v>
      </c>
      <c r="Z330" s="117">
        <f t="shared" si="228"/>
        <v>0</v>
      </c>
      <c r="AA330" s="118"/>
      <c r="AB330" s="118" t="str">
        <f t="shared" si="229"/>
        <v/>
      </c>
      <c r="AC330" s="712" t="str">
        <f>IF(AE330="T2G","no charge",IF(AND(OR(PlanterYesMe="No",PlanterYesMe="N",PlanterYesMe="me"),H330=""),"",IF(H330="credit","NO install",IF(AND(K330="",AE330="me"),"EACH row",IF(AND(K330="images",AE330="me"),"EACH row",IF(D330="","",IF(H330="credit","",IF(AE330="free","re-planting",IF(AE330="me","   not ELP, by",IF(AND(OR(PlanterYesMe="Yes",PlanterYesMe="Y"),G330&gt;0),(VLOOKUP(A330,'Discount Lookup'!J:K,2)*G330*(1-PlanterDiscount)*(1+PlanterDifficultyPercentage)),IF(AE330="ELP",(VLOOKUP(A330,'Discount Lookup'!J:K,2)*G330*(1-PlanterDiscount)*(1+PlanterDifficultyPercentage)),IF(AE330="free","re-planting",IF(G330=0,"",IF(PlanterYesMe="",IF(AE330="me","   not ELP, by",IF(AE330="",IF(G330&gt;0,(VLOOKUP(A330,'Discount Lookup'!J:K,2)*G330*(1-PlanterDiscount)*(1+PlanterDifficultyPercentage)),""),"")),"   not ELP, by"))))))))))))))</f>
        <v/>
      </c>
      <c r="AD330" s="712"/>
      <c r="AE330" s="513" t="str">
        <f t="shared" si="230"/>
        <v/>
      </c>
      <c r="AF330" s="713" t="str">
        <f t="shared" si="231"/>
        <v/>
      </c>
      <c r="AG330" s="713"/>
      <c r="AH330" s="713"/>
      <c r="AI330" s="112">
        <f>IF(H330="credit",0,IF(AE330="free",0,IF(AE330="me",0,IF(G330&gt;0,(VLOOKUP(A330,'Discount Lookup'!J:K,2)*G330),0))))</f>
        <v>0</v>
      </c>
      <c r="AJ330" s="107" t="str">
        <f t="shared" ca="1" si="232"/>
        <v/>
      </c>
      <c r="AK330" s="714" t="str">
        <f t="shared" si="233"/>
        <v/>
      </c>
      <c r="AL330" s="714"/>
      <c r="AM330" s="114" t="str">
        <f t="shared" si="234"/>
        <v/>
      </c>
      <c r="AN330" s="115"/>
      <c r="AO330" s="116"/>
      <c r="AP330" s="116"/>
      <c r="AQ330" s="116"/>
      <c r="AR330" s="116"/>
      <c r="AS330" s="116"/>
      <c r="AT330" s="116"/>
      <c r="AU330" s="116"/>
      <c r="AV330" s="78"/>
      <c r="AW330" s="102"/>
      <c r="AX330" s="78"/>
      <c r="AY330" s="78"/>
      <c r="AZ330" s="78"/>
      <c r="BA330" s="78"/>
      <c r="BB330" s="78"/>
      <c r="BC330" s="78"/>
      <c r="BD330" s="78"/>
      <c r="BE330" s="465"/>
      <c r="BF330" s="165" t="str">
        <f t="shared" si="235"/>
        <v>https://www.google.com/search?tbm=isch&amp;q=3%20G4</v>
      </c>
      <c r="BG330" s="165" t="str">
        <f t="shared" si="236"/>
        <v>A</v>
      </c>
      <c r="BH330" s="65"/>
      <c r="BI330" s="65"/>
      <c r="BJ330" s="65"/>
      <c r="BK330" s="65"/>
      <c r="BL330" s="99"/>
      <c r="BM330" s="99"/>
      <c r="BN330" s="99"/>
    </row>
    <row r="331" spans="1:66" s="51" customFormat="1" ht="16.5" thickBot="1" x14ac:dyDescent="0.3">
      <c r="A331" s="508" t="s">
        <v>4955</v>
      </c>
      <c r="B331" s="487"/>
      <c r="C331" s="707"/>
      <c r="D331" s="487"/>
      <c r="E331" s="487"/>
      <c r="F331" s="488"/>
      <c r="G331" s="489"/>
      <c r="H331" s="487"/>
      <c r="I331" s="490"/>
      <c r="J331" s="490"/>
      <c r="K331" s="491"/>
      <c r="L331" s="547"/>
      <c r="M331" s="528"/>
      <c r="N331" s="492"/>
      <c r="O331" s="493"/>
      <c r="P331" s="494"/>
      <c r="Q331" s="492"/>
      <c r="R331" s="492"/>
      <c r="S331" s="699" t="s">
        <v>5259</v>
      </c>
      <c r="T331" s="102">
        <f t="shared" si="224"/>
        <v>0</v>
      </c>
      <c r="U331" s="78" t="str">
        <f>IF(NOT(ISNUMBER(G331)), "", VLOOKUP(A331,'Discount Lookup'!D:E,2,FALSE)*G331)</f>
        <v/>
      </c>
      <c r="V331" s="78" t="str">
        <f>IF(NOT(ISNUMBER(G331)), "", VLOOKUP(A331,'Discount Lookup'!G:H,2,FALSE)*G331)</f>
        <v/>
      </c>
      <c r="W331" s="102">
        <f t="shared" si="225"/>
        <v>0</v>
      </c>
      <c r="X331" s="102">
        <f t="shared" si="226"/>
        <v>0</v>
      </c>
      <c r="Y331" s="120" t="b">
        <f t="shared" si="227"/>
        <v>0</v>
      </c>
      <c r="Z331" s="117">
        <f t="shared" si="228"/>
        <v>0</v>
      </c>
      <c r="AA331" s="118"/>
      <c r="AB331" s="118" t="str">
        <f t="shared" si="229"/>
        <v/>
      </c>
      <c r="AC331" s="712" t="str">
        <f>IF(AE331="T2G","no charge",IF(AND(OR(PlanterYesMe="No",PlanterYesMe="N",PlanterYesMe="me"),H331=""),"",IF(H331="credit","NO install",IF(AND(K331="",AE331="me"),"EACH row",IF(AND(K331="images",AE331="me"),"EACH row",IF(D331="","",IF(H331="credit","",IF(AE331="free","re-planting",IF(AE331="me","   not ELP, by",IF(AND(OR(PlanterYesMe="Yes",PlanterYesMe="Y"),G331&gt;0),(VLOOKUP(A331,'Discount Lookup'!J:K,2)*G331*(1-PlanterDiscount)*(1+PlanterDifficultyPercentage)),IF(AE331="ELP",(VLOOKUP(A331,'Discount Lookup'!J:K,2)*G331*(1-PlanterDiscount)*(1+PlanterDifficultyPercentage)),IF(AE331="free","re-planting",IF(G331=0,"",IF(PlanterYesMe="",IF(AE331="me","   not ELP, by",IF(AE331="",IF(G331&gt;0,(VLOOKUP(A331,'Discount Lookup'!J:K,2)*G331*(1-PlanterDiscount)*(1+PlanterDifficultyPercentage)),""),"")),"   not ELP, by"))))))))))))))</f>
        <v/>
      </c>
      <c r="AD331" s="712"/>
      <c r="AE331" s="513" t="str">
        <f t="shared" si="230"/>
        <v/>
      </c>
      <c r="AF331" s="713" t="str">
        <f t="shared" si="231"/>
        <v/>
      </c>
      <c r="AG331" s="713"/>
      <c r="AH331" s="713"/>
      <c r="AI331" s="112">
        <f>IF(H331="credit",0,IF(AE331="free",0,IF(AE331="me",0,IF(G331&gt;0,(VLOOKUP(A331,'Discount Lookup'!J:K,2)*G331),0))))</f>
        <v>0</v>
      </c>
      <c r="AJ331" s="107" t="str">
        <f t="shared" ca="1" si="232"/>
        <v/>
      </c>
      <c r="AK331" s="714" t="str">
        <f t="shared" si="233"/>
        <v/>
      </c>
      <c r="AL331" s="714"/>
      <c r="AM331" s="114" t="str">
        <f t="shared" si="234"/>
        <v/>
      </c>
      <c r="AN331" s="115"/>
      <c r="AO331" s="116"/>
      <c r="AP331" s="116"/>
      <c r="AQ331" s="116"/>
      <c r="AR331" s="116"/>
      <c r="AS331" s="116"/>
      <c r="AT331" s="116"/>
      <c r="AU331" s="116"/>
      <c r="AV331" s="78"/>
      <c r="AW331" s="102"/>
      <c r="AX331" s="78"/>
      <c r="AY331" s="78"/>
      <c r="AZ331" s="78"/>
      <c r="BA331" s="78"/>
      <c r="BB331" s="78"/>
      <c r="BC331" s="78"/>
      <c r="BD331" s="78"/>
      <c r="BE331" s="465"/>
      <c r="BF331" s="165" t="str">
        <f t="shared" si="235"/>
        <v>https://www.google.com/search?tbm=isch&amp;q=Barrell%20Agave%20has%20sculptural%2C%20artichoke-like%20rosettes%20with%20Reddish%20spines.%20Blooms%20just%20once%20with%20an%208%27-12%27%20towering%20stalk%20at%20the%20end%20of%20its%20life%20</v>
      </c>
      <c r="BG331" s="165" t="str">
        <f t="shared" si="236"/>
        <v>B</v>
      </c>
      <c r="BH331" s="65"/>
      <c r="BI331" s="65"/>
      <c r="BJ331" s="65"/>
      <c r="BK331" s="65"/>
      <c r="BL331" s="99"/>
      <c r="BM331" s="99"/>
      <c r="BN331" s="99"/>
    </row>
    <row r="332" spans="1:66" s="51" customFormat="1" ht="18" x14ac:dyDescent="0.25">
      <c r="A332" s="507" t="s">
        <v>5039</v>
      </c>
      <c r="B332" s="470"/>
      <c r="C332" s="706"/>
      <c r="D332" s="471" t="s">
        <v>5040</v>
      </c>
      <c r="E332" s="472"/>
      <c r="F332" s="472"/>
      <c r="G332" s="472"/>
      <c r="H332" s="622" t="s">
        <v>1088</v>
      </c>
      <c r="I332" s="473" t="s">
        <v>5041</v>
      </c>
      <c r="J332" s="472"/>
      <c r="K332" s="472"/>
      <c r="L332" s="561"/>
      <c r="M332" s="698" t="s">
        <v>5240</v>
      </c>
      <c r="N332" s="692" t="str">
        <f>IF(AND(ISTEXT($A332), ISERROR($A332+0)), HYPERLINK($BF332, "Images"), "")</f>
        <v>Images</v>
      </c>
      <c r="O332" s="694" t="s">
        <v>5244</v>
      </c>
      <c r="P332" s="475"/>
      <c r="Q332" s="476"/>
      <c r="R332" s="476"/>
      <c r="S332" s="477"/>
      <c r="T332" s="102">
        <f t="shared" si="224"/>
        <v>0</v>
      </c>
      <c r="U332" s="78" t="str">
        <f>IF(NOT(ISNUMBER(G332)), "", VLOOKUP(A332,'Discount Lookup'!D:E,2,FALSE)*G332)</f>
        <v/>
      </c>
      <c r="V332" s="78" t="str">
        <f>IF(NOT(ISNUMBER(G332)), "", VLOOKUP(A332,'Discount Lookup'!G:H,2,FALSE)*G332)</f>
        <v/>
      </c>
      <c r="W332" s="102">
        <f t="shared" si="225"/>
        <v>0</v>
      </c>
      <c r="X332" s="102" t="str">
        <f t="shared" si="226"/>
        <v>Yellow-Green bloom</v>
      </c>
      <c r="Y332" s="120" t="b">
        <f t="shared" si="227"/>
        <v>0</v>
      </c>
      <c r="Z332" s="117">
        <f t="shared" si="228"/>
        <v>0</v>
      </c>
      <c r="AA332" s="118"/>
      <c r="AB332" s="118" t="str">
        <f t="shared" si="229"/>
        <v/>
      </c>
      <c r="AC332" s="712" t="str">
        <f>IF(AE332="T2G","no charge",IF(AND(OR(PlanterYesMe="No",PlanterYesMe="N",PlanterYesMe="me"),H332=""),"",IF(H332="credit","NO install",IF(AND(K332="",AE332="me"),"EACH row",IF(AND(K332="images",AE332="me"),"EACH row",IF(D332="","",IF(H332="credit","",IF(AE332="free","re-planting",IF(AE332="me","   not ELP, by",IF(AND(OR(PlanterYesMe="Yes",PlanterYesMe="Y"),G332&gt;0),(VLOOKUP(A332,'Discount Lookup'!J:K,2)*G332*(1-PlanterDiscount)*(1+PlanterDifficultyPercentage)),IF(AE332="ELP",(VLOOKUP(A332,'Discount Lookup'!J:K,2)*G332*(1-PlanterDiscount)*(1+PlanterDifficultyPercentage)),IF(AE332="free","re-planting",IF(G332=0,"",IF(PlanterYesMe="",IF(AE332="me","   not ELP, by",IF(AE332="",IF(G332&gt;0,(VLOOKUP(A332,'Discount Lookup'!J:K,2)*G332*(1-PlanterDiscount)*(1+PlanterDifficultyPercentage)),""),"")),"   not ELP, by"))))))))))))))</f>
        <v/>
      </c>
      <c r="AD332" s="712"/>
      <c r="AE332" s="513" t="str">
        <f t="shared" si="230"/>
        <v/>
      </c>
      <c r="AF332" s="713" t="str">
        <f t="shared" si="231"/>
        <v/>
      </c>
      <c r="AG332" s="713"/>
      <c r="AH332" s="713"/>
      <c r="AI332" s="112">
        <f>IF(H332="credit",0,IF(AE332="free",0,IF(AE332="me",0,IF(G332&gt;0,(VLOOKUP(A332,'Discount Lookup'!J:K,2)*G332),0))))</f>
        <v>0</v>
      </c>
      <c r="AJ332" s="107" t="str">
        <f t="shared" ca="1" si="232"/>
        <v/>
      </c>
      <c r="AK332" s="714" t="str">
        <f t="shared" si="233"/>
        <v/>
      </c>
      <c r="AL332" s="714"/>
      <c r="AM332" s="114" t="str">
        <f t="shared" si="234"/>
        <v/>
      </c>
      <c r="AN332" s="115"/>
      <c r="AO332" s="116"/>
      <c r="AP332" s="116"/>
      <c r="AQ332" s="116"/>
      <c r="AR332" s="116"/>
      <c r="AS332" s="116"/>
      <c r="AT332" s="116"/>
      <c r="AU332" s="116"/>
      <c r="AV332" s="78"/>
      <c r="AW332" s="102"/>
      <c r="AX332" s="78"/>
      <c r="AY332" s="78"/>
      <c r="AZ332" s="78"/>
      <c r="BA332" s="78"/>
      <c r="BB332" s="78"/>
      <c r="BC332" s="78"/>
      <c r="BD332" s="78"/>
      <c r="BE332" s="465"/>
      <c r="BF332" s="165" t="str">
        <f t="shared" si="235"/>
        <v>https://www.google.com/search?tbm=isch&amp;q=Agave%20%27Sharkskin%27%20Sharkskin%20Agave</v>
      </c>
      <c r="BG332" s="165" t="str">
        <f t="shared" si="236"/>
        <v>A</v>
      </c>
      <c r="BH332" s="65"/>
      <c r="BI332" s="65"/>
      <c r="BJ332" s="65"/>
      <c r="BK332" s="65"/>
      <c r="BL332" s="99"/>
      <c r="BM332" s="99"/>
      <c r="BN332" s="99"/>
    </row>
    <row r="333" spans="1:66" s="51" customFormat="1" ht="15.75" x14ac:dyDescent="0.25">
      <c r="A333" s="478">
        <v>3</v>
      </c>
      <c r="B333" s="479" t="s">
        <v>291</v>
      </c>
      <c r="C333" s="480" t="s">
        <v>5112</v>
      </c>
      <c r="D333" s="481" t="s">
        <v>299</v>
      </c>
      <c r="E333" s="482">
        <v>51.95</v>
      </c>
      <c r="F333" s="483" t="s">
        <v>292</v>
      </c>
      <c r="G333" s="484">
        <v>0</v>
      </c>
      <c r="H333" s="688" t="str">
        <f>IF(G333=0,"",IF(F333="Buy",IF(G333=1,"plant","plants"),IF(F333&gt;0.01,"warranty","Error")))</f>
        <v/>
      </c>
      <c r="I333" s="485">
        <f>IF(H333="free",0,IF(H333="credit",((E333*(F333))*G333*-1),IF(F333="Buy",(E333*G333),((E333*(1-F333))*G333))))</f>
        <v>0</v>
      </c>
      <c r="J333" s="485">
        <f>IF(H333="warranty",0,(I333*(_xlfn.SINGLE(SalesTaxPercentage))))</f>
        <v>0</v>
      </c>
      <c r="K333" s="715">
        <f t="shared" ref="K333" si="260">I333+J333</f>
        <v>0</v>
      </c>
      <c r="L333" s="715"/>
      <c r="M333" s="689" t="str">
        <f ca="1">IF(AND(G333&gt;0,E333=0),"WARNING - no PRICE inserted",IF(H333="free","FREE ~ no charge this plant",IF(H333="credit",CONCATENATE("-$",ROUND(K333*(1-_xlfn.SINGLE(T2GDiscount))*-1,2)," CREDIT after discount"),IF(_xlfn.SINGLE(T2GDiscount)=0,"",IF(G333=0,"",IF(F333="Buy",CONCATENATE("$",ROUND(K333*(1-_xlfn.SINGLE(T2GDiscount)),2)," with ",(_xlfn.SINGLE(T2GDiscount)*100),"% discount"),CONCATENATE("$",ROUND(K333*(1-_xlfn.SINGLE(T2GDiscount)),2)," with ",((_xlfn.SINGLE(T2GDiscount)*100+F333*100)-(_xlfn.SINGLE(T2GDiscount)*100*F333)),IF(F333&gt;0,"% discounts",IF(_xlfn.SINGLE(NoWarrantyDiscount)&gt;0,"% discounts","% discount")))))))))</f>
        <v/>
      </c>
      <c r="N333" s="690"/>
      <c r="O333" s="486"/>
      <c r="P333" s="486"/>
      <c r="Q333" s="486"/>
      <c r="R333" s="486"/>
      <c r="S333" s="486"/>
      <c r="T333" s="102">
        <f t="shared" si="224"/>
        <v>0</v>
      </c>
      <c r="U333" s="78">
        <f>IF(NOT(ISNUMBER(G333)), "", VLOOKUP(A333,'Discount Lookup'!D:E,2,FALSE)*G333)</f>
        <v>0</v>
      </c>
      <c r="V333" s="78">
        <f>IF(NOT(ISNUMBER(G333)), "", VLOOKUP(A333,'Discount Lookup'!G:H,2,FALSE)*G333)</f>
        <v>0</v>
      </c>
      <c r="W333" s="102">
        <f t="shared" si="225"/>
        <v>0</v>
      </c>
      <c r="X333" s="102">
        <f t="shared" si="226"/>
        <v>0</v>
      </c>
      <c r="Y333" s="120" t="b">
        <f t="shared" si="227"/>
        <v>0</v>
      </c>
      <c r="Z333" s="117">
        <f t="shared" si="228"/>
        <v>0</v>
      </c>
      <c r="AA333" s="118"/>
      <c r="AB333" s="118" t="str">
        <f t="shared" si="229"/>
        <v/>
      </c>
      <c r="AC333" s="712" t="str">
        <f>IF(AE333="T2G","no charge",IF(AND(OR(PlanterYesMe="No",PlanterYesMe="N",PlanterYesMe="me"),H333=""),"",IF(H333="credit","NO install",IF(AND(K333="",AE333="me"),"EACH row",IF(AND(K333="images",AE333="me"),"EACH row",IF(D333="","",IF(H333="credit","",IF(AE333="free","re-planting",IF(AE333="me","   not ELP, by",IF(AND(OR(PlanterYesMe="Yes",PlanterYesMe="Y"),G333&gt;0),(VLOOKUP(A333,'Discount Lookup'!J:K,2)*G333*(1-PlanterDiscount)*(1+PlanterDifficultyPercentage)),IF(AE333="ELP",(VLOOKUP(A333,'Discount Lookup'!J:K,2)*G333*(1-PlanterDiscount)*(1+PlanterDifficultyPercentage)),IF(AE333="free","re-planting",IF(G333=0,"",IF(PlanterYesMe="",IF(AE333="me","   not ELP, by",IF(AE333="",IF(G333&gt;0,(VLOOKUP(A333,'Discount Lookup'!J:K,2)*G333*(1-PlanterDiscount)*(1+PlanterDifficultyPercentage)),""),"")),"   not ELP, by"))))))))))))))</f>
        <v/>
      </c>
      <c r="AD333" s="712"/>
      <c r="AE333" s="513" t="str">
        <f t="shared" si="230"/>
        <v/>
      </c>
      <c r="AF333" s="713" t="str">
        <f t="shared" si="231"/>
        <v/>
      </c>
      <c r="AG333" s="713"/>
      <c r="AH333" s="713"/>
      <c r="AI333" s="112">
        <f>IF(H333="credit",0,IF(AE333="free",0,IF(AE333="me",0,IF(G333&gt;0,(VLOOKUP(A333,'Discount Lookup'!J:K,2)*G333),0))))</f>
        <v>0</v>
      </c>
      <c r="AJ333" s="107" t="str">
        <f t="shared" ca="1" si="232"/>
        <v/>
      </c>
      <c r="AK333" s="714" t="str">
        <f t="shared" si="233"/>
        <v/>
      </c>
      <c r="AL333" s="714"/>
      <c r="AM333" s="114" t="str">
        <f t="shared" si="234"/>
        <v/>
      </c>
      <c r="AN333" s="115"/>
      <c r="AO333" s="116"/>
      <c r="AP333" s="116"/>
      <c r="AQ333" s="116"/>
      <c r="AR333" s="116"/>
      <c r="AS333" s="116"/>
      <c r="AT333" s="116"/>
      <c r="AU333" s="116"/>
      <c r="AV333" s="78"/>
      <c r="AW333" s="102"/>
      <c r="AX333" s="78"/>
      <c r="AY333" s="78"/>
      <c r="AZ333" s="78"/>
      <c r="BA333" s="78"/>
      <c r="BB333" s="78"/>
      <c r="BC333" s="78"/>
      <c r="BD333" s="78"/>
      <c r="BE333" s="465"/>
      <c r="BF333" s="165" t="str">
        <f t="shared" si="235"/>
        <v>https://www.google.com/search?tbm=isch&amp;q=3%20G4</v>
      </c>
      <c r="BG333" s="165" t="str">
        <f t="shared" si="236"/>
        <v>A</v>
      </c>
      <c r="BH333" s="65"/>
      <c r="BI333" s="65"/>
      <c r="BJ333" s="65"/>
      <c r="BK333" s="65"/>
      <c r="BL333" s="99"/>
      <c r="BM333" s="99"/>
      <c r="BN333" s="99"/>
    </row>
    <row r="334" spans="1:66" s="51" customFormat="1" ht="15.75" x14ac:dyDescent="0.25">
      <c r="A334" s="508" t="s">
        <v>5228</v>
      </c>
      <c r="B334" s="487"/>
      <c r="C334" s="707"/>
      <c r="D334" s="487"/>
      <c r="E334" s="487"/>
      <c r="F334" s="488"/>
      <c r="G334" s="489"/>
      <c r="H334" s="487"/>
      <c r="I334" s="490"/>
      <c r="J334" s="490"/>
      <c r="K334" s="491"/>
      <c r="L334" s="547"/>
      <c r="M334" s="528"/>
      <c r="N334" s="492"/>
      <c r="O334" s="493"/>
      <c r="P334" s="494"/>
      <c r="Q334" s="492"/>
      <c r="R334" s="492"/>
      <c r="S334" s="699" t="s">
        <v>5259</v>
      </c>
      <c r="T334" s="102">
        <f t="shared" si="224"/>
        <v>0</v>
      </c>
      <c r="U334" s="78" t="str">
        <f>IF(NOT(ISNUMBER(G334)), "", VLOOKUP(A334,'Discount Lookup'!D:E,2,FALSE)*G334)</f>
        <v/>
      </c>
      <c r="V334" s="78" t="str">
        <f>IF(NOT(ISNUMBER(G334)), "", VLOOKUP(A334,'Discount Lookup'!G:H,2,FALSE)*G334)</f>
        <v/>
      </c>
      <c r="W334" s="102">
        <f t="shared" si="225"/>
        <v>0</v>
      </c>
      <c r="X334" s="102">
        <f t="shared" si="226"/>
        <v>0</v>
      </c>
      <c r="Y334" s="120" t="b">
        <f t="shared" si="227"/>
        <v>0</v>
      </c>
      <c r="Z334" s="117">
        <f t="shared" si="228"/>
        <v>0</v>
      </c>
      <c r="AA334" s="118"/>
      <c r="AB334" s="118" t="str">
        <f t="shared" si="229"/>
        <v/>
      </c>
      <c r="AC334" s="712" t="str">
        <f>IF(AE334="T2G","no charge",IF(AND(OR(PlanterYesMe="No",PlanterYesMe="N",PlanterYesMe="me"),H334=""),"",IF(H334="credit","NO install",IF(AND(K334="",AE334="me"),"EACH row",IF(AND(K334="images",AE334="me"),"EACH row",IF(D334="","",IF(H334="credit","",IF(AE334="free","re-planting",IF(AE334="me","   not ELP, by",IF(AND(OR(PlanterYesMe="Yes",PlanterYesMe="Y"),G334&gt;0),(VLOOKUP(A334,'Discount Lookup'!J:K,2)*G334*(1-PlanterDiscount)*(1+PlanterDifficultyPercentage)),IF(AE334="ELP",(VLOOKUP(A334,'Discount Lookup'!J:K,2)*G334*(1-PlanterDiscount)*(1+PlanterDifficultyPercentage)),IF(AE334="free","re-planting",IF(G334=0,"",IF(PlanterYesMe="",IF(AE334="me","   not ELP, by",IF(AE334="",IF(G334&gt;0,(VLOOKUP(A334,'Discount Lookup'!J:K,2)*G334*(1-PlanterDiscount)*(1+PlanterDifficultyPercentage)),""),"")),"   not ELP, by"))))))))))))))</f>
        <v/>
      </c>
      <c r="AD334" s="712"/>
      <c r="AE334" s="513" t="str">
        <f t="shared" si="230"/>
        <v/>
      </c>
      <c r="AF334" s="713" t="str">
        <f t="shared" si="231"/>
        <v/>
      </c>
      <c r="AG334" s="713"/>
      <c r="AH334" s="713"/>
      <c r="AI334" s="112">
        <f>IF(H334="credit",0,IF(AE334="free",0,IF(AE334="me",0,IF(G334&gt;0,(VLOOKUP(A334,'Discount Lookup'!J:K,2)*G334),0))))</f>
        <v>0</v>
      </c>
      <c r="AJ334" s="107" t="str">
        <f t="shared" ca="1" si="232"/>
        <v/>
      </c>
      <c r="AK334" s="714" t="str">
        <f t="shared" si="233"/>
        <v/>
      </c>
      <c r="AL334" s="714"/>
      <c r="AM334" s="114" t="str">
        <f t="shared" si="234"/>
        <v/>
      </c>
      <c r="AN334" s="115"/>
      <c r="AO334" s="116"/>
      <c r="AP334" s="116"/>
      <c r="AQ334" s="116"/>
      <c r="AR334" s="116"/>
      <c r="AS334" s="116"/>
      <c r="AT334" s="116"/>
      <c r="AU334" s="116"/>
      <c r="AV334" s="78"/>
      <c r="AW334" s="102"/>
      <c r="AX334" s="78"/>
      <c r="AY334" s="78"/>
      <c r="AZ334" s="78"/>
      <c r="BA334" s="78"/>
      <c r="BB334" s="78"/>
      <c r="BC334" s="78"/>
      <c r="BD334" s="78"/>
      <c r="BE334" s="465"/>
      <c r="BF334" s="165" t="str">
        <f t="shared" si="235"/>
        <v>https://www.google.com/search?tbm=isch&amp;q=Sharkskin%20has%20deeply%20channeled%2C%20stiff%20Gray-Green%20foliage.%20Blooms%20just%20once%20with%20a%2012%27-15%27%20towering%20stalk%20at%20the%20end%20of%20its%20life%20</v>
      </c>
      <c r="BG334" s="165" t="str">
        <f t="shared" si="236"/>
        <v>S</v>
      </c>
      <c r="BH334" s="65"/>
      <c r="BI334" s="65"/>
      <c r="BJ334" s="65"/>
      <c r="BK334" s="65"/>
      <c r="BL334" s="99"/>
      <c r="BM334" s="99"/>
      <c r="BN334" s="99"/>
    </row>
    <row r="335" spans="1:66" s="51" customFormat="1" ht="19.5" thickBot="1" x14ac:dyDescent="0.3">
      <c r="A335" s="519" t="s">
        <v>362</v>
      </c>
      <c r="B335" s="73"/>
      <c r="C335" s="708"/>
      <c r="D335" s="73"/>
      <c r="E335" s="73"/>
      <c r="F335" s="496"/>
      <c r="G335" s="73"/>
      <c r="H335" s="73"/>
      <c r="I335" s="73"/>
      <c r="J335" s="497" t="s">
        <v>357</v>
      </c>
      <c r="K335" s="498"/>
      <c r="L335" s="562"/>
      <c r="M335" s="73"/>
      <c r="N335"/>
      <c r="O335"/>
      <c r="P335"/>
      <c r="Q335"/>
      <c r="R335"/>
      <c r="S335"/>
      <c r="T335" s="102">
        <f t="shared" si="224"/>
        <v>0</v>
      </c>
      <c r="U335" s="78" t="str">
        <f>IF(NOT(ISNUMBER(G335)), "", VLOOKUP(A335,'Discount Lookup'!D:E,2,FALSE)*G335)</f>
        <v/>
      </c>
      <c r="V335" s="78" t="str">
        <f>IF(NOT(ISNUMBER(G335)), "", VLOOKUP(A335,'Discount Lookup'!G:H,2,FALSE)*G335)</f>
        <v/>
      </c>
      <c r="W335" s="102">
        <f t="shared" si="225"/>
        <v>0</v>
      </c>
      <c r="X335" s="102">
        <f t="shared" si="226"/>
        <v>0</v>
      </c>
      <c r="Y335" s="120" t="b">
        <f t="shared" si="227"/>
        <v>0</v>
      </c>
      <c r="Z335" s="117">
        <f t="shared" si="228"/>
        <v>0</v>
      </c>
      <c r="AA335" s="118"/>
      <c r="AB335" s="118" t="str">
        <f t="shared" si="229"/>
        <v/>
      </c>
      <c r="AC335" s="712" t="str">
        <f>IF(AE335="T2G","no charge",IF(AND(OR(PlanterYesMe="No",PlanterYesMe="N",PlanterYesMe="me"),H335=""),"",IF(H335="credit","NO install",IF(AND(K335="",AE335="me"),"EACH row",IF(AND(K335="images",AE335="me"),"EACH row",IF(D335="","",IF(H335="credit","",IF(AE335="free","re-planting",IF(AE335="me","   not ELP, by",IF(AND(OR(PlanterYesMe="Yes",PlanterYesMe="Y"),G335&gt;0),(VLOOKUP(A335,'Discount Lookup'!J:K,2)*G335*(1-PlanterDiscount)*(1+PlanterDifficultyPercentage)),IF(AE335="ELP",(VLOOKUP(A335,'Discount Lookup'!J:K,2)*G335*(1-PlanterDiscount)*(1+PlanterDifficultyPercentage)),IF(AE335="free","re-planting",IF(G335=0,"",IF(PlanterYesMe="",IF(AE335="me","   not ELP, by",IF(AE335="",IF(G335&gt;0,(VLOOKUP(A335,'Discount Lookup'!J:K,2)*G335*(1-PlanterDiscount)*(1+PlanterDifficultyPercentage)),""),"")),"   not ELP, by"))))))))))))))</f>
        <v/>
      </c>
      <c r="AD335" s="712"/>
      <c r="AE335" s="513" t="str">
        <f t="shared" si="230"/>
        <v/>
      </c>
      <c r="AF335" s="713" t="str">
        <f t="shared" si="231"/>
        <v/>
      </c>
      <c r="AG335" s="713"/>
      <c r="AH335" s="713"/>
      <c r="AI335" s="112">
        <f>IF(H335="credit",0,IF(AE335="free",0,IF(AE335="me",0,IF(G335&gt;0,(VLOOKUP(A335,'Discount Lookup'!J:K,2)*G335),0))))</f>
        <v>0</v>
      </c>
      <c r="AJ335" s="107" t="str">
        <f t="shared" ca="1" si="232"/>
        <v/>
      </c>
      <c r="AK335" s="714" t="str">
        <f t="shared" si="233"/>
        <v/>
      </c>
      <c r="AL335" s="714"/>
      <c r="AM335" s="114" t="str">
        <f t="shared" si="234"/>
        <v/>
      </c>
      <c r="AN335" s="115"/>
      <c r="AO335" s="116"/>
      <c r="AP335" s="116"/>
      <c r="AQ335" s="116"/>
      <c r="AR335" s="116"/>
      <c r="AS335" s="116"/>
      <c r="AT335" s="116"/>
      <c r="AU335" s="116"/>
      <c r="AV335" s="78"/>
      <c r="AW335" s="102"/>
      <c r="AX335" s="78"/>
      <c r="AY335" s="78"/>
      <c r="AZ335" s="78"/>
      <c r="BA335" s="78"/>
      <c r="BB335" s="78"/>
      <c r="BC335" s="78"/>
      <c r="BD335" s="78"/>
      <c r="BE335" s="465"/>
      <c r="BF335" s="165" t="str">
        <f t="shared" si="235"/>
        <v>https://www.google.com/search?tbm=isch&amp;q=Ajuga%20%3D%20Carpet%20Bugle%20</v>
      </c>
      <c r="BG335" s="165" t="str">
        <f t="shared" si="236"/>
        <v>A</v>
      </c>
      <c r="BH335" s="65"/>
      <c r="BI335" s="65"/>
      <c r="BJ335" s="65"/>
      <c r="BK335" s="65"/>
      <c r="BL335" s="99"/>
      <c r="BM335" s="99"/>
      <c r="BN335" s="99"/>
    </row>
    <row r="336" spans="1:66" s="51" customFormat="1" ht="18" x14ac:dyDescent="0.25">
      <c r="A336" s="507" t="s">
        <v>1442</v>
      </c>
      <c r="B336" s="470"/>
      <c r="C336" s="706"/>
      <c r="D336" s="471" t="s">
        <v>1443</v>
      </c>
      <c r="E336" s="472"/>
      <c r="F336" s="472"/>
      <c r="G336" s="472"/>
      <c r="H336" s="622" t="s">
        <v>1444</v>
      </c>
      <c r="I336" s="473" t="s">
        <v>1445</v>
      </c>
      <c r="J336" s="472"/>
      <c r="K336" s="472"/>
      <c r="L336" s="561"/>
      <c r="M336" s="703" t="s">
        <v>5260</v>
      </c>
      <c r="N336" s="692" t="str">
        <f>IF(AND(ISTEXT($A336), ISERROR($A336+0)), HYPERLINK($BF336, "Images"), "")</f>
        <v>Images</v>
      </c>
      <c r="O336" s="694" t="s">
        <v>5247</v>
      </c>
      <c r="P336" s="475"/>
      <c r="Q336" s="476"/>
      <c r="R336" s="476"/>
      <c r="S336" s="477"/>
      <c r="T336" s="102">
        <f t="shared" si="224"/>
        <v>0</v>
      </c>
      <c r="U336" s="78" t="str">
        <f>IF(NOT(ISNUMBER(G336)), "", VLOOKUP(A336,'Discount Lookup'!D:E,2,FALSE)*G336)</f>
        <v/>
      </c>
      <c r="V336" s="78" t="str">
        <f>IF(NOT(ISNUMBER(G336)), "", VLOOKUP(A336,'Discount Lookup'!G:H,2,FALSE)*G336)</f>
        <v/>
      </c>
      <c r="W336" s="102">
        <f t="shared" si="225"/>
        <v>0</v>
      </c>
      <c r="X336" s="102" t="str">
        <f t="shared" si="226"/>
        <v>Violet bloom</v>
      </c>
      <c r="Y336" s="120" t="b">
        <f t="shared" si="227"/>
        <v>0</v>
      </c>
      <c r="Z336" s="117">
        <f t="shared" si="228"/>
        <v>0</v>
      </c>
      <c r="AA336" s="118"/>
      <c r="AB336" s="118" t="str">
        <f t="shared" si="229"/>
        <v/>
      </c>
      <c r="AC336" s="712" t="str">
        <f>IF(AE336="T2G","no charge",IF(AND(OR(PlanterYesMe="No",PlanterYesMe="N",PlanterYesMe="me"),H336=""),"",IF(H336="credit","NO install",IF(AND(K336="",AE336="me"),"EACH row",IF(AND(K336="images",AE336="me"),"EACH row",IF(D336="","",IF(H336="credit","",IF(AE336="free","re-planting",IF(AE336="me","   not ELP, by",IF(AND(OR(PlanterYesMe="Yes",PlanterYesMe="Y"),G336&gt;0),(VLOOKUP(A336,'Discount Lookup'!J:K,2)*G336*(1-PlanterDiscount)*(1+PlanterDifficultyPercentage)),IF(AE336="ELP",(VLOOKUP(A336,'Discount Lookup'!J:K,2)*G336*(1-PlanterDiscount)*(1+PlanterDifficultyPercentage)),IF(AE336="free","re-planting",IF(G336=0,"",IF(PlanterYesMe="",IF(AE336="me","   not ELP, by",IF(AE336="",IF(G336&gt;0,(VLOOKUP(A336,'Discount Lookup'!J:K,2)*G336*(1-PlanterDiscount)*(1+PlanterDifficultyPercentage)),""),"")),"   not ELP, by"))))))))))))))</f>
        <v/>
      </c>
      <c r="AD336" s="712"/>
      <c r="AE336" s="513" t="str">
        <f t="shared" si="230"/>
        <v/>
      </c>
      <c r="AF336" s="713" t="str">
        <f t="shared" si="231"/>
        <v/>
      </c>
      <c r="AG336" s="713"/>
      <c r="AH336" s="713"/>
      <c r="AI336" s="112">
        <f>IF(H336="credit",0,IF(AE336="free",0,IF(AE336="me",0,IF(G336&gt;0,(VLOOKUP(A336,'Discount Lookup'!J:K,2)*G336),0))))</f>
        <v>0</v>
      </c>
      <c r="AJ336" s="107" t="str">
        <f t="shared" ca="1" si="232"/>
        <v/>
      </c>
      <c r="AK336" s="714" t="str">
        <f t="shared" si="233"/>
        <v/>
      </c>
      <c r="AL336" s="714"/>
      <c r="AM336" s="114" t="str">
        <f t="shared" si="234"/>
        <v/>
      </c>
      <c r="AN336" s="115"/>
      <c r="AO336" s="116"/>
      <c r="AP336" s="116"/>
      <c r="AQ336" s="116"/>
      <c r="AR336" s="116"/>
      <c r="AS336" s="116"/>
      <c r="AT336" s="116"/>
      <c r="AU336" s="116"/>
      <c r="AV336" s="78"/>
      <c r="AW336" s="102"/>
      <c r="AX336" s="78"/>
      <c r="AY336" s="78"/>
      <c r="AZ336" s="78"/>
      <c r="BA336" s="78"/>
      <c r="BB336" s="78"/>
      <c r="BC336" s="78"/>
      <c r="BD336" s="78"/>
      <c r="BE336" s="465"/>
      <c r="BF336" s="165" t="str">
        <f t="shared" si="235"/>
        <v>https://www.google.com/search?tbm=isch&amp;q=Ajuga%20reptans%20%27Black%20Scallop%27%20PP%2315815%20Black%20Scallop%20Bugleweed</v>
      </c>
      <c r="BG336" s="165" t="str">
        <f t="shared" si="236"/>
        <v>A</v>
      </c>
      <c r="BH336" s="65"/>
      <c r="BI336" s="65"/>
      <c r="BJ336" s="65"/>
      <c r="BK336" s="65"/>
      <c r="BL336" s="99"/>
      <c r="BM336" s="99"/>
      <c r="BN336" s="99"/>
    </row>
    <row r="337" spans="1:66" s="51" customFormat="1" ht="15.75" x14ac:dyDescent="0.25">
      <c r="A337" s="478">
        <v>1</v>
      </c>
      <c r="B337" s="479" t="s">
        <v>291</v>
      </c>
      <c r="C337" s="480"/>
      <c r="D337" s="481" t="s">
        <v>329</v>
      </c>
      <c r="E337" s="482">
        <v>12.95</v>
      </c>
      <c r="F337" s="483" t="s">
        <v>292</v>
      </c>
      <c r="G337" s="484">
        <v>0</v>
      </c>
      <c r="H337" s="688" t="str">
        <f>IF(G337=0,"",IF(F337="Buy",IF(G337=1,"plant","plants"),IF(F337&gt;0.01,"warranty","Error")))</f>
        <v/>
      </c>
      <c r="I337" s="485">
        <f>IF(H337="free",0,IF(H337="credit",((E337*(F337))*G337*-1),IF(F337="Buy",(E337*G337),((E337*(1-F337))*G337))))</f>
        <v>0</v>
      </c>
      <c r="J337" s="485">
        <f>IF(H337="warranty",0,(I337*(_xlfn.SINGLE(SalesTaxPercentage))))</f>
        <v>0</v>
      </c>
      <c r="K337" s="715">
        <f t="shared" ref="K337" si="261">I337+J337</f>
        <v>0</v>
      </c>
      <c r="L337" s="715"/>
      <c r="M337" s="689" t="str">
        <f ca="1">IF(AND(G337&gt;0,E337=0),"WARNING - no PRICE inserted",IF(H337="free","FREE ~ no charge this plant",IF(H337="credit",CONCATENATE("-$",ROUND(K337*(1-_xlfn.SINGLE(T2GDiscount))*-1,2)," CREDIT after discount"),IF(_xlfn.SINGLE(T2GDiscount)=0,"",IF(G337=0,"",IF(F337="Buy",CONCATENATE("$",ROUND(K337*(1-_xlfn.SINGLE(T2GDiscount)),2)," with ",(_xlfn.SINGLE(T2GDiscount)*100),"% discount"),CONCATENATE("$",ROUND(K337*(1-_xlfn.SINGLE(T2GDiscount)),2)," with ",((_xlfn.SINGLE(T2GDiscount)*100+F337*100)-(_xlfn.SINGLE(T2GDiscount)*100*F337)),IF(F337&gt;0,"% discounts",IF(_xlfn.SINGLE(NoWarrantyDiscount)&gt;0,"% discounts","% discount")))))))))</f>
        <v/>
      </c>
      <c r="N337" s="690"/>
      <c r="O337" s="486"/>
      <c r="P337" s="486"/>
      <c r="Q337" s="486"/>
      <c r="R337" s="486"/>
      <c r="S337" s="486"/>
      <c r="T337" s="102">
        <f t="shared" ref="T337:T400" si="262">E337*G337</f>
        <v>0</v>
      </c>
      <c r="U337" s="78">
        <f>IF(NOT(ISNUMBER(G337)), "", VLOOKUP(A337,'Discount Lookup'!D:E,2,FALSE)*G337)</f>
        <v>0</v>
      </c>
      <c r="V337" s="78">
        <f>IF(NOT(ISNUMBER(G337)), "", VLOOKUP(A337,'Discount Lookup'!G:H,2,FALSE)*G337)</f>
        <v>0</v>
      </c>
      <c r="W337" s="102">
        <f t="shared" ref="W337:W400" si="263">IF(H337="credit",0,E337*(SalesTaxPercentage)*G337)</f>
        <v>0</v>
      </c>
      <c r="X337" s="102">
        <f t="shared" ref="X337:X400" si="264">I337</f>
        <v>0</v>
      </c>
      <c r="Y337" s="120" t="b">
        <f t="shared" ref="Y337:Y400" si="265">IF(AE337="T2G",0,IF(H337="credit",0,IF(G337&gt;0,IF(AE337="me","",G337))))</f>
        <v>0</v>
      </c>
      <c r="Z337" s="117">
        <f t="shared" ref="Z337:Z400" si="266">IF(H337="credit",G337,0)</f>
        <v>0</v>
      </c>
      <c r="AA337" s="118"/>
      <c r="AB337" s="118" t="str">
        <f t="shared" ref="AB337:AB400" si="267">IF(AE337="T2G","by Trees2Go",IF(H337="credit","CREDIT only ~",IF(AND(K337="",AE337=OR(PlanterYesMe="No",PlanterYesMe="N",PlanterYesMe="me")),"not THIS line⇨",IF(AND(K337="images",AE337="me"),"not THIS line⇨",IF(H337="credit","",IF(G337=0,"",IF(AE337="me","",IF(OR(PlanterYesMe="No",PlanterYesMe="N",PlanterYesMe="me"),"",IF(AE337="free","warranty",IF(OR(PlanterYesMe="yes",PlanterYesMe="y"),"Edison install:","to install:"))))))))))</f>
        <v/>
      </c>
      <c r="AC337" s="712" t="str">
        <f>IF(AE337="T2G","no charge",IF(AND(OR(PlanterYesMe="No",PlanterYesMe="N",PlanterYesMe="me"),H337=""),"",IF(H337="credit","NO install",IF(AND(K337="",AE337="me"),"EACH row",IF(AND(K337="images",AE337="me"),"EACH row",IF(D337="","",IF(H337="credit","",IF(AE337="free","re-planting",IF(AE337="me","   not ELP, by",IF(AND(OR(PlanterYesMe="Yes",PlanterYesMe="Y"),G337&gt;0),(VLOOKUP(A337,'Discount Lookup'!J:K,2)*G337*(1-PlanterDiscount)*(1+PlanterDifficultyPercentage)),IF(AE337="ELP",(VLOOKUP(A337,'Discount Lookup'!J:K,2)*G337*(1-PlanterDiscount)*(1+PlanterDifficultyPercentage)),IF(AE337="free","re-planting",IF(G337=0,"",IF(PlanterYesMe="",IF(AE337="me","   not ELP, by",IF(AE337="",IF(G337&gt;0,(VLOOKUP(A337,'Discount Lookup'!J:K,2)*G337*(1-PlanterDiscount)*(1+PlanterDifficultyPercentage)),""),"")),"   not ELP, by"))))))))))))))</f>
        <v/>
      </c>
      <c r="AD337" s="712"/>
      <c r="AE337" s="513" t="str">
        <f t="shared" ref="AE337:AE400" si="268">IF(H337="credit","",IF(G337=0,"",IF(OR(PlanterYesMe="No",PlanterYesMe="N",PlanterYesMe="me"),"me",IF(H337="warranty","free",IF(OR(PlanterYesMe="yes",PlanterYesMe="y"),"ELP","")))))</f>
        <v/>
      </c>
      <c r="AF337" s="713" t="str">
        <f t="shared" ref="AF337:AF400" si="269">IF(OR(PlanterYesMe="No",PlanterYesMe="N",PlanterYesMe="me"),"",IF(H337="credit","",IF(G337&gt;0,(CONCATENATE((G337)," quantity, ",(A337)," ",B337)),"")))</f>
        <v/>
      </c>
      <c r="AG337" s="713"/>
      <c r="AH337" s="713"/>
      <c r="AI337" s="112">
        <f>IF(H337="credit",0,IF(AE337="free",0,IF(AE337="me",0,IF(G337&gt;0,(VLOOKUP(A337,'Discount Lookup'!J:K,2)*G337),0))))</f>
        <v>0</v>
      </c>
      <c r="AJ337" s="107" t="str">
        <f t="shared" ref="AJ337:AJ400" ca="1" si="270">IF(AND(ISREF(H337),H337="credit"),"",IF(AND(AND(OFFSET(G337,0,0)=0,OFFSET(G337,1,0)&gt;0,ISNUMBER(OFFSET(AC337,1,0)),OFFSET(AC337,1,0)&gt;0),OR(PlanterYesMe="yes",PlanterYesMe="y")),"T2G+ELP=",IF(AND(OFFSET(G337,0,0)=0,OFFSET(G337,1,0)&gt;0,ISNUMBER(OFFSET(AC337,1,0)),OFFSET(AC337,1,0)&gt;0),"if T2G+ELP=",IF(AND(OFFSET(G337,0,0)=0,OFFSET(G337,1,0)&gt;0),"T2G Subtotal",IF(H337="credit","",IF(G337=0,"",IF(AE337="free",(K337*(1-T2GDiscount)),IF(OR(PlanterYesMe="No",PlanterYesMe="N",PlanterYesMe="me"),(K337*(1-T2GDiscount)),IF(OR(AE337="me",AE337="T2G"),(K337*(1-T2GDiscount)),(K337*(1-T2GDiscount))+AC337)))))))))</f>
        <v/>
      </c>
      <c r="AK337" s="714" t="str">
        <f t="shared" ref="AK337:AK400" si="271">IF(H337="credit","",IF(G337=0,"",IF(OR(AE337="me",AE337="T2G"),"  delivery-only",IF(OR(PlanterYesMe="No",PlanterYesMe="N",PlanterYesMe="me"),"  delivery-only",CONCATENATE(" $",ROUND(AJ337/G337,2)," each")))))</f>
        <v/>
      </c>
      <c r="AL337" s="714"/>
      <c r="AM337" s="114" t="str">
        <f t="shared" ref="AM337:AM400" si="272">IF(H337="credit","",IF(AE337="free","      ~ discounts included, no tax or planting fee applies ~",IF(G337=0,"",IF(OR(PlanterYesMe="No",PlanterYesMe="N",PlanterYesMe="me"),CONCATENATE(" $",ROUND(AJ337/G337,2)," per plant, with tax &amp; discount"),IF(OR(AE337="me",AE337="T2G"),CONCATENATE(" $",ROUND(AJ337/G337,2)," per plant, with tax &amp; discount"),CONCATENATE("= $",ROUND((K337*(1-T2GDiscount))/G337,2)," per plant + $",AC337/G337,(" per planting      ~ includes tax &amp; discounts ~")))))))</f>
        <v/>
      </c>
      <c r="AN337" s="115"/>
      <c r="AO337" s="116"/>
      <c r="AP337" s="116"/>
      <c r="AQ337" s="116"/>
      <c r="AR337" s="116"/>
      <c r="AS337" s="116"/>
      <c r="AT337" s="116"/>
      <c r="AU337" s="116"/>
      <c r="AV337" s="78"/>
      <c r="AW337" s="102"/>
      <c r="AX337" s="78"/>
      <c r="AY337" s="78"/>
      <c r="AZ337" s="78"/>
      <c r="BA337" s="78"/>
      <c r="BB337" s="78"/>
      <c r="BC337" s="78"/>
      <c r="BD337" s="78"/>
      <c r="BE337" s="465"/>
      <c r="BF337" s="165" t="str">
        <f t="shared" ref="BF337:BF400" si="273">"https://www.google.com/search?tbm=isch&amp;q=" &amp; _xlfn.ENCODEURL($A337 &amp; " " &amp; $D337)</f>
        <v>https://www.google.com/search?tbm=isch&amp;q=1%20G2</v>
      </c>
      <c r="BG337" s="165" t="str">
        <f t="shared" ref="BG337:BG400" si="274">IF(ISTEXT(A337),LEFT(A337,1),BG336)</f>
        <v>A</v>
      </c>
      <c r="BH337" s="65"/>
      <c r="BI337" s="65"/>
      <c r="BJ337" s="65"/>
      <c r="BK337" s="65"/>
      <c r="BL337" s="99"/>
      <c r="BM337" s="99"/>
      <c r="BN337" s="99"/>
    </row>
    <row r="338" spans="1:66" s="51" customFormat="1" ht="15.75" x14ac:dyDescent="0.25">
      <c r="A338" s="478" t="s">
        <v>29</v>
      </c>
      <c r="B338" s="479" t="s">
        <v>1446</v>
      </c>
      <c r="C338" s="480"/>
      <c r="D338" s="481" t="s">
        <v>329</v>
      </c>
      <c r="E338" s="482">
        <v>68.95</v>
      </c>
      <c r="F338" s="483" t="s">
        <v>292</v>
      </c>
      <c r="G338" s="484">
        <v>0</v>
      </c>
      <c r="H338" s="688" t="str">
        <f>IF(G338=0,"",IF(F338="Buy",IF(G338=1,"plant","plants"),IF(F338&gt;0.01,"warranty","Error")))</f>
        <v/>
      </c>
      <c r="I338" s="485">
        <f>IF(H338="free",0,IF(H338="credit",((E338*(F338))*G338*-1),IF(F338="Buy",(E338*G338),((E338*(1-F338))*G338))))</f>
        <v>0</v>
      </c>
      <c r="J338" s="485">
        <f>IF(H338="warranty",0,(I338*(_xlfn.SINGLE(SalesTaxPercentage))))</f>
        <v>0</v>
      </c>
      <c r="K338" s="715">
        <f t="shared" ref="K338" si="275">I338+J338</f>
        <v>0</v>
      </c>
      <c r="L338" s="715"/>
      <c r="M338" s="689" t="str">
        <f ca="1">IF(AND(G338&gt;0,E338=0),"WARNING - no PRICE inserted",IF(H338="free","FREE ~ no charge this plant",IF(H338="credit",CONCATENATE("-$",ROUND(K338*(1-_xlfn.SINGLE(T2GDiscount))*-1,2)," CREDIT after discount"),IF(_xlfn.SINGLE(T2GDiscount)=0,"",IF(G338=0,"",IF(F338="Buy",CONCATENATE("$",ROUND(K338*(1-_xlfn.SINGLE(T2GDiscount)),2)," with ",(_xlfn.SINGLE(T2GDiscount)*100),"% discount"),CONCATENATE("$",ROUND(K338*(1-_xlfn.SINGLE(T2GDiscount)),2)," with ",((_xlfn.SINGLE(T2GDiscount)*100+F338*100)-(_xlfn.SINGLE(T2GDiscount)*100*F338)),IF(F338&gt;0,"% discounts",IF(_xlfn.SINGLE(NoWarrantyDiscount)&gt;0,"% discounts","% discount")))))))))</f>
        <v/>
      </c>
      <c r="N338" s="690"/>
      <c r="O338" s="486"/>
      <c r="P338" s="486"/>
      <c r="Q338" s="486"/>
      <c r="R338" s="486"/>
      <c r="S338" s="486"/>
      <c r="T338" s="102">
        <f t="shared" si="262"/>
        <v>0</v>
      </c>
      <c r="U338" s="78">
        <f>IF(NOT(ISNUMBER(G338)), "", VLOOKUP(A338,'Discount Lookup'!D:E,2,FALSE)*G338)</f>
        <v>0</v>
      </c>
      <c r="V338" s="78">
        <f>IF(NOT(ISNUMBER(G338)), "", VLOOKUP(A338,'Discount Lookup'!G:H,2,FALSE)*G338)</f>
        <v>0</v>
      </c>
      <c r="W338" s="102">
        <f t="shared" si="263"/>
        <v>0</v>
      </c>
      <c r="X338" s="102">
        <f t="shared" si="264"/>
        <v>0</v>
      </c>
      <c r="Y338" s="120" t="b">
        <f t="shared" si="265"/>
        <v>0</v>
      </c>
      <c r="Z338" s="117">
        <f t="shared" si="266"/>
        <v>0</v>
      </c>
      <c r="AA338" s="118"/>
      <c r="AB338" s="118" t="str">
        <f t="shared" si="267"/>
        <v/>
      </c>
      <c r="AC338" s="712" t="str">
        <f>IF(AE338="T2G","no charge",IF(AND(OR(PlanterYesMe="No",PlanterYesMe="N",PlanterYesMe="me"),H338=""),"",IF(H338="credit","NO install",IF(AND(K338="",AE338="me"),"EACH row",IF(AND(K338="images",AE338="me"),"EACH row",IF(D338="","",IF(H338="credit","",IF(AE338="free","re-planting",IF(AE338="me","   not ELP, by",IF(AND(OR(PlanterYesMe="Yes",PlanterYesMe="Y"),G338&gt;0),(VLOOKUP(A338,'Discount Lookup'!J:K,2)*G338*(1-PlanterDiscount)*(1+PlanterDifficultyPercentage)),IF(AE338="ELP",(VLOOKUP(A338,'Discount Lookup'!J:K,2)*G338*(1-PlanterDiscount)*(1+PlanterDifficultyPercentage)),IF(AE338="free","re-planting",IF(G338=0,"",IF(PlanterYesMe="",IF(AE338="me","   not ELP, by",IF(AE338="",IF(G338&gt;0,(VLOOKUP(A338,'Discount Lookup'!J:K,2)*G338*(1-PlanterDiscount)*(1+PlanterDifficultyPercentage)),""),"")),"   not ELP, by"))))))))))))))</f>
        <v/>
      </c>
      <c r="AD338" s="712"/>
      <c r="AE338" s="513" t="str">
        <f t="shared" si="268"/>
        <v/>
      </c>
      <c r="AF338" s="713" t="str">
        <f t="shared" si="269"/>
        <v/>
      </c>
      <c r="AG338" s="713"/>
      <c r="AH338" s="713"/>
      <c r="AI338" s="112">
        <f>IF(H338="credit",0,IF(AE338="free",0,IF(AE338="me",0,IF(G338&gt;0,(VLOOKUP(A338,'Discount Lookup'!J:K,2)*G338),0))))</f>
        <v>0</v>
      </c>
      <c r="AJ338" s="107" t="str">
        <f t="shared" ca="1" si="270"/>
        <v/>
      </c>
      <c r="AK338" s="714" t="str">
        <f t="shared" si="271"/>
        <v/>
      </c>
      <c r="AL338" s="714"/>
      <c r="AM338" s="114" t="str">
        <f t="shared" si="272"/>
        <v/>
      </c>
      <c r="AN338" s="115"/>
      <c r="AO338" s="116"/>
      <c r="AP338" s="116"/>
      <c r="AQ338" s="116"/>
      <c r="AR338" s="116"/>
      <c r="AS338" s="116"/>
      <c r="AT338" s="116"/>
      <c r="AU338" s="116"/>
      <c r="AV338" s="78"/>
      <c r="AW338" s="102"/>
      <c r="AX338" s="78"/>
      <c r="AY338" s="78"/>
      <c r="AZ338" s="78"/>
      <c r="BA338" s="78"/>
      <c r="BB338" s="78"/>
      <c r="BC338" s="78"/>
      <c r="BD338" s="78"/>
      <c r="BE338" s="465"/>
      <c r="BF338" s="165" t="str">
        <f t="shared" si="273"/>
        <v>https://www.google.com/search?tbm=isch&amp;q=18%20in%20G2</v>
      </c>
      <c r="BG338" s="165" t="str">
        <f t="shared" si="274"/>
        <v>1</v>
      </c>
      <c r="BH338" s="65"/>
      <c r="BI338" s="65"/>
      <c r="BJ338" s="65"/>
      <c r="BK338" s="65"/>
      <c r="BL338" s="99"/>
      <c r="BM338" s="99"/>
      <c r="BN338" s="99"/>
    </row>
    <row r="339" spans="1:66" s="51" customFormat="1" ht="17.25" thickBot="1" x14ac:dyDescent="0.3">
      <c r="A339" s="705" t="s">
        <v>5327</v>
      </c>
      <c r="B339" s="487"/>
      <c r="C339" s="707"/>
      <c r="D339" s="487"/>
      <c r="E339" s="487"/>
      <c r="F339" s="488"/>
      <c r="G339" s="489"/>
      <c r="H339" s="487"/>
      <c r="I339" s="490"/>
      <c r="J339" s="490"/>
      <c r="K339" s="491"/>
      <c r="L339" s="547"/>
      <c r="M339" s="528"/>
      <c r="N339" s="492"/>
      <c r="O339" s="493"/>
      <c r="P339" s="494"/>
      <c r="Q339" s="492"/>
      <c r="R339" s="492"/>
      <c r="S339" s="699" t="s">
        <v>5245</v>
      </c>
      <c r="T339" s="102">
        <f t="shared" si="262"/>
        <v>0</v>
      </c>
      <c r="U339" s="78" t="str">
        <f>IF(NOT(ISNUMBER(G339)), "", VLOOKUP(A339,'Discount Lookup'!D:E,2,FALSE)*G339)</f>
        <v/>
      </c>
      <c r="V339" s="78" t="str">
        <f>IF(NOT(ISNUMBER(G339)), "", VLOOKUP(A339,'Discount Lookup'!G:H,2,FALSE)*G339)</f>
        <v/>
      </c>
      <c r="W339" s="102">
        <f t="shared" si="263"/>
        <v>0</v>
      </c>
      <c r="X339" s="102">
        <f t="shared" si="264"/>
        <v>0</v>
      </c>
      <c r="Y339" s="120" t="b">
        <f t="shared" si="265"/>
        <v>0</v>
      </c>
      <c r="Z339" s="117">
        <f t="shared" si="266"/>
        <v>0</v>
      </c>
      <c r="AA339" s="118"/>
      <c r="AB339" s="118" t="str">
        <f t="shared" si="267"/>
        <v/>
      </c>
      <c r="AC339" s="712" t="str">
        <f>IF(AE339="T2G","no charge",IF(AND(OR(PlanterYesMe="No",PlanterYesMe="N",PlanterYesMe="me"),H339=""),"",IF(H339="credit","NO install",IF(AND(K339="",AE339="me"),"EACH row",IF(AND(K339="images",AE339="me"),"EACH row",IF(D339="","",IF(H339="credit","",IF(AE339="free","re-planting",IF(AE339="me","   not ELP, by",IF(AND(OR(PlanterYesMe="Yes",PlanterYesMe="Y"),G339&gt;0),(VLOOKUP(A339,'Discount Lookup'!J:K,2)*G339*(1-PlanterDiscount)*(1+PlanterDifficultyPercentage)),IF(AE339="ELP",(VLOOKUP(A339,'Discount Lookup'!J:K,2)*G339*(1-PlanterDiscount)*(1+PlanterDifficultyPercentage)),IF(AE339="free","re-planting",IF(G339=0,"",IF(PlanterYesMe="",IF(AE339="me","   not ELP, by",IF(AE339="",IF(G339&gt;0,(VLOOKUP(A339,'Discount Lookup'!J:K,2)*G339*(1-PlanterDiscount)*(1+PlanterDifficultyPercentage)),""),"")),"   not ELP, by"))))))))))))))</f>
        <v/>
      </c>
      <c r="AD339" s="712"/>
      <c r="AE339" s="513" t="str">
        <f t="shared" si="268"/>
        <v/>
      </c>
      <c r="AF339" s="713" t="str">
        <f t="shared" si="269"/>
        <v/>
      </c>
      <c r="AG339" s="713"/>
      <c r="AH339" s="713"/>
      <c r="AI339" s="112">
        <f>IF(H339="credit",0,IF(AE339="free",0,IF(AE339="me",0,IF(G339&gt;0,(VLOOKUP(A339,'Discount Lookup'!J:K,2)*G339),0))))</f>
        <v>0</v>
      </c>
      <c r="AJ339" s="107" t="str">
        <f t="shared" ca="1" si="270"/>
        <v/>
      </c>
      <c r="AK339" s="714" t="str">
        <f t="shared" si="271"/>
        <v/>
      </c>
      <c r="AL339" s="714"/>
      <c r="AM339" s="114" t="str">
        <f t="shared" si="272"/>
        <v/>
      </c>
      <c r="AN339" s="115"/>
      <c r="AO339" s="116"/>
      <c r="AP339" s="116"/>
      <c r="AQ339" s="116"/>
      <c r="AR339" s="116"/>
      <c r="AS339" s="116"/>
      <c r="AT339" s="116"/>
      <c r="AU339" s="116"/>
      <c r="AV339" s="78"/>
      <c r="AW339" s="102"/>
      <c r="AX339" s="78"/>
      <c r="AY339" s="78"/>
      <c r="AZ339" s="78"/>
      <c r="BA339" s="78"/>
      <c r="BB339" s="78"/>
      <c r="BC339" s="78"/>
      <c r="BD339" s="78"/>
      <c r="BE339" s="465"/>
      <c r="BF339" s="165" t="str">
        <f t="shared" si="273"/>
        <v>https://www.google.com/search?tbm=isch&amp;q=moist%20sites%F0%9F%92%A7BEST%2C%20Black%20Scallop%27s%20fragrant%20blooms%20showy%20above%20a%20bed%20of%20glossy%2C%20near-Black%20foliage%20</v>
      </c>
      <c r="BG339" s="165" t="str">
        <f t="shared" si="274"/>
        <v>m</v>
      </c>
      <c r="BH339" s="65"/>
      <c r="BI339" s="65"/>
      <c r="BJ339" s="65"/>
      <c r="BK339" s="65"/>
      <c r="BL339" s="99"/>
      <c r="BM339" s="99"/>
      <c r="BN339" s="99"/>
    </row>
    <row r="340" spans="1:66" s="51" customFormat="1" ht="18" x14ac:dyDescent="0.25">
      <c r="A340" s="507" t="s">
        <v>1447</v>
      </c>
      <c r="B340" s="470"/>
      <c r="C340" s="706"/>
      <c r="D340" s="471" t="s">
        <v>1448</v>
      </c>
      <c r="E340" s="472"/>
      <c r="F340" s="472"/>
      <c r="G340" s="472"/>
      <c r="H340" s="622" t="s">
        <v>1449</v>
      </c>
      <c r="I340" s="473" t="s">
        <v>1450</v>
      </c>
      <c r="J340" s="472"/>
      <c r="K340" s="472"/>
      <c r="L340" s="561"/>
      <c r="M340" s="703" t="s">
        <v>5260</v>
      </c>
      <c r="N340" s="692" t="str">
        <f>IF(AND(ISTEXT($A340), ISERROR($A340+0)), HYPERLINK($BF340, "Images"), "")</f>
        <v>Images</v>
      </c>
      <c r="O340" s="694" t="s">
        <v>5247</v>
      </c>
      <c r="P340" s="475"/>
      <c r="Q340" s="476"/>
      <c r="R340" s="476"/>
      <c r="S340" s="477"/>
      <c r="T340" s="102">
        <f t="shared" si="262"/>
        <v>0</v>
      </c>
      <c r="U340" s="78" t="str">
        <f>IF(NOT(ISNUMBER(G340)), "", VLOOKUP(A340,'Discount Lookup'!D:E,2,FALSE)*G340)</f>
        <v/>
      </c>
      <c r="V340" s="78" t="str">
        <f>IF(NOT(ISNUMBER(G340)), "", VLOOKUP(A340,'Discount Lookup'!G:H,2,FALSE)*G340)</f>
        <v/>
      </c>
      <c r="W340" s="102">
        <f t="shared" si="263"/>
        <v>0</v>
      </c>
      <c r="X340" s="102" t="str">
        <f t="shared" si="264"/>
        <v>Purple bloom</v>
      </c>
      <c r="Y340" s="120" t="b">
        <f t="shared" si="265"/>
        <v>0</v>
      </c>
      <c r="Z340" s="117">
        <f t="shared" si="266"/>
        <v>0</v>
      </c>
      <c r="AA340" s="118"/>
      <c r="AB340" s="118" t="str">
        <f t="shared" si="267"/>
        <v/>
      </c>
      <c r="AC340" s="712" t="str">
        <f>IF(AE340="T2G","no charge",IF(AND(OR(PlanterYesMe="No",PlanterYesMe="N",PlanterYesMe="me"),H340=""),"",IF(H340="credit","NO install",IF(AND(K340="",AE340="me"),"EACH row",IF(AND(K340="images",AE340="me"),"EACH row",IF(D340="","",IF(H340="credit","",IF(AE340="free","re-planting",IF(AE340="me","   not ELP, by",IF(AND(OR(PlanterYesMe="Yes",PlanterYesMe="Y"),G340&gt;0),(VLOOKUP(A340,'Discount Lookup'!J:K,2)*G340*(1-PlanterDiscount)*(1+PlanterDifficultyPercentage)),IF(AE340="ELP",(VLOOKUP(A340,'Discount Lookup'!J:K,2)*G340*(1-PlanterDiscount)*(1+PlanterDifficultyPercentage)),IF(AE340="free","re-planting",IF(G340=0,"",IF(PlanterYesMe="",IF(AE340="me","   not ELP, by",IF(AE340="",IF(G340&gt;0,(VLOOKUP(A340,'Discount Lookup'!J:K,2)*G340*(1-PlanterDiscount)*(1+PlanterDifficultyPercentage)),""),"")),"   not ELP, by"))))))))))))))</f>
        <v/>
      </c>
      <c r="AD340" s="712"/>
      <c r="AE340" s="513" t="str">
        <f t="shared" si="268"/>
        <v/>
      </c>
      <c r="AF340" s="713" t="str">
        <f t="shared" si="269"/>
        <v/>
      </c>
      <c r="AG340" s="713"/>
      <c r="AH340" s="713"/>
      <c r="AI340" s="112">
        <f>IF(H340="credit",0,IF(AE340="free",0,IF(AE340="me",0,IF(G340&gt;0,(VLOOKUP(A340,'Discount Lookup'!J:K,2)*G340),0))))</f>
        <v>0</v>
      </c>
      <c r="AJ340" s="107" t="str">
        <f t="shared" ca="1" si="270"/>
        <v/>
      </c>
      <c r="AK340" s="714" t="str">
        <f t="shared" si="271"/>
        <v/>
      </c>
      <c r="AL340" s="714"/>
      <c r="AM340" s="114" t="str">
        <f t="shared" si="272"/>
        <v/>
      </c>
      <c r="AN340" s="115"/>
      <c r="AO340" s="116"/>
      <c r="AP340" s="116"/>
      <c r="AQ340" s="116"/>
      <c r="AR340" s="116"/>
      <c r="AS340" s="116"/>
      <c r="AT340" s="116"/>
      <c r="AU340" s="116"/>
      <c r="AV340" s="78"/>
      <c r="AW340" s="102"/>
      <c r="AX340" s="78"/>
      <c r="AY340" s="78"/>
      <c r="AZ340" s="78"/>
      <c r="BA340" s="78"/>
      <c r="BB340" s="78"/>
      <c r="BC340" s="78"/>
      <c r="BD340" s="78"/>
      <c r="BE340" s="465"/>
      <c r="BF340" s="165" t="str">
        <f t="shared" si="273"/>
        <v>https://www.google.com/search?tbm=isch&amp;q=Ajuga%20reptans%20%27Valfredda%27%20Chocolate%20Chip%20Bugleweed</v>
      </c>
      <c r="BG340" s="165" t="str">
        <f t="shared" si="274"/>
        <v>A</v>
      </c>
      <c r="BH340" s="65"/>
      <c r="BI340" s="65"/>
      <c r="BJ340" s="65"/>
      <c r="BK340" s="65"/>
      <c r="BL340" s="99"/>
      <c r="BM340" s="99"/>
      <c r="BN340" s="99"/>
    </row>
    <row r="341" spans="1:66" s="51" customFormat="1" ht="15.75" x14ac:dyDescent="0.25">
      <c r="A341" s="478">
        <v>1</v>
      </c>
      <c r="B341" s="479" t="s">
        <v>291</v>
      </c>
      <c r="C341" s="480" t="s">
        <v>1451</v>
      </c>
      <c r="D341" s="481" t="s">
        <v>311</v>
      </c>
      <c r="E341" s="482">
        <v>11.95</v>
      </c>
      <c r="F341" s="483" t="s">
        <v>292</v>
      </c>
      <c r="G341" s="484">
        <v>0</v>
      </c>
      <c r="H341" s="688" t="str">
        <f>IF(G341=0,"",IF(F341="Buy",IF(G341=1,"plant","plants"),IF(F341&gt;0.01,"warranty","Error")))</f>
        <v/>
      </c>
      <c r="I341" s="485">
        <f>IF(H341="free",0,IF(H341="credit",((E341*(F341))*G341*-1),IF(F341="Buy",(E341*G341),((E341*(1-F341))*G341))))</f>
        <v>0</v>
      </c>
      <c r="J341" s="485">
        <f>IF(H341="warranty",0,(I341*(_xlfn.SINGLE(SalesTaxPercentage))))</f>
        <v>0</v>
      </c>
      <c r="K341" s="715">
        <f t="shared" ref="K341" si="276">I341+J341</f>
        <v>0</v>
      </c>
      <c r="L341" s="715"/>
      <c r="M341" s="689" t="str">
        <f ca="1">IF(AND(G341&gt;0,E341=0),"WARNING - no PRICE inserted",IF(H341="free","FREE ~ no charge this plant",IF(H341="credit",CONCATENATE("-$",ROUND(K341*(1-_xlfn.SINGLE(T2GDiscount))*-1,2)," CREDIT after discount"),IF(_xlfn.SINGLE(T2GDiscount)=0,"",IF(G341=0,"",IF(F341="Buy",CONCATENATE("$",ROUND(K341*(1-_xlfn.SINGLE(T2GDiscount)),2)," with ",(_xlfn.SINGLE(T2GDiscount)*100),"% discount"),CONCATENATE("$",ROUND(K341*(1-_xlfn.SINGLE(T2GDiscount)),2)," with ",((_xlfn.SINGLE(T2GDiscount)*100+F341*100)-(_xlfn.SINGLE(T2GDiscount)*100*F341)),IF(F341&gt;0,"% discounts",IF(_xlfn.SINGLE(NoWarrantyDiscount)&gt;0,"% discounts","% discount")))))))))</f>
        <v/>
      </c>
      <c r="N341" s="690"/>
      <c r="O341" s="486"/>
      <c r="P341" s="486"/>
      <c r="Q341" s="486"/>
      <c r="R341" s="486"/>
      <c r="S341" s="486"/>
      <c r="T341" s="102">
        <f t="shared" si="262"/>
        <v>0</v>
      </c>
      <c r="U341" s="78">
        <f>IF(NOT(ISNUMBER(G341)), "", VLOOKUP(A341,'Discount Lookup'!D:E,2,FALSE)*G341)</f>
        <v>0</v>
      </c>
      <c r="V341" s="78">
        <f>IF(NOT(ISNUMBER(G341)), "", VLOOKUP(A341,'Discount Lookup'!G:H,2,FALSE)*G341)</f>
        <v>0</v>
      </c>
      <c r="W341" s="102">
        <f t="shared" si="263"/>
        <v>0</v>
      </c>
      <c r="X341" s="102">
        <f t="shared" si="264"/>
        <v>0</v>
      </c>
      <c r="Y341" s="120" t="b">
        <f t="shared" si="265"/>
        <v>0</v>
      </c>
      <c r="Z341" s="117">
        <f t="shared" si="266"/>
        <v>0</v>
      </c>
      <c r="AA341" s="118"/>
      <c r="AB341" s="118" t="str">
        <f t="shared" si="267"/>
        <v/>
      </c>
      <c r="AC341" s="712" t="str">
        <f>IF(AE341="T2G","no charge",IF(AND(OR(PlanterYesMe="No",PlanterYesMe="N",PlanterYesMe="me"),H341=""),"",IF(H341="credit","NO install",IF(AND(K341="",AE341="me"),"EACH row",IF(AND(K341="images",AE341="me"),"EACH row",IF(D341="","",IF(H341="credit","",IF(AE341="free","re-planting",IF(AE341="me","   not ELP, by",IF(AND(OR(PlanterYesMe="Yes",PlanterYesMe="Y"),G341&gt;0),(VLOOKUP(A341,'Discount Lookup'!J:K,2)*G341*(1-PlanterDiscount)*(1+PlanterDifficultyPercentage)),IF(AE341="ELP",(VLOOKUP(A341,'Discount Lookup'!J:K,2)*G341*(1-PlanterDiscount)*(1+PlanterDifficultyPercentage)),IF(AE341="free","re-planting",IF(G341=0,"",IF(PlanterYesMe="",IF(AE341="me","   not ELP, by",IF(AE341="",IF(G341&gt;0,(VLOOKUP(A341,'Discount Lookup'!J:K,2)*G341*(1-PlanterDiscount)*(1+PlanterDifficultyPercentage)),""),"")),"   not ELP, by"))))))))))))))</f>
        <v/>
      </c>
      <c r="AD341" s="712"/>
      <c r="AE341" s="513" t="str">
        <f t="shared" si="268"/>
        <v/>
      </c>
      <c r="AF341" s="713" t="str">
        <f t="shared" si="269"/>
        <v/>
      </c>
      <c r="AG341" s="713"/>
      <c r="AH341" s="713"/>
      <c r="AI341" s="112">
        <f>IF(H341="credit",0,IF(AE341="free",0,IF(AE341="me",0,IF(G341&gt;0,(VLOOKUP(A341,'Discount Lookup'!J:K,2)*G341),0))))</f>
        <v>0</v>
      </c>
      <c r="AJ341" s="107" t="str">
        <f t="shared" ca="1" si="270"/>
        <v/>
      </c>
      <c r="AK341" s="714" t="str">
        <f t="shared" si="271"/>
        <v/>
      </c>
      <c r="AL341" s="714"/>
      <c r="AM341" s="114" t="str">
        <f t="shared" si="272"/>
        <v/>
      </c>
      <c r="AN341" s="115"/>
      <c r="AO341" s="116"/>
      <c r="AP341" s="116"/>
      <c r="AQ341" s="116"/>
      <c r="AR341" s="116"/>
      <c r="AS341" s="116"/>
      <c r="AT341" s="116"/>
      <c r="AU341" s="116"/>
      <c r="AV341" s="78"/>
      <c r="AW341" s="102"/>
      <c r="AX341" s="78"/>
      <c r="AY341" s="78"/>
      <c r="AZ341" s="78"/>
      <c r="BA341" s="78"/>
      <c r="BB341" s="78"/>
      <c r="BC341" s="78"/>
      <c r="BD341" s="78"/>
      <c r="BE341" s="465"/>
      <c r="BF341" s="165" t="str">
        <f t="shared" si="273"/>
        <v>https://www.google.com/search?tbm=isch&amp;q=1%20G5</v>
      </c>
      <c r="BG341" s="165" t="str">
        <f t="shared" si="274"/>
        <v>A</v>
      </c>
      <c r="BH341" s="65"/>
      <c r="BI341" s="65"/>
      <c r="BJ341" s="65"/>
      <c r="BK341" s="65"/>
      <c r="BL341" s="99"/>
      <c r="BM341" s="99"/>
      <c r="BN341" s="99"/>
    </row>
    <row r="342" spans="1:66" s="51" customFormat="1" ht="15.75" x14ac:dyDescent="0.25">
      <c r="A342" s="478">
        <v>1</v>
      </c>
      <c r="B342" s="479" t="s">
        <v>291</v>
      </c>
      <c r="C342" s="480"/>
      <c r="D342" s="481" t="s">
        <v>329</v>
      </c>
      <c r="E342" s="482">
        <v>12.95</v>
      </c>
      <c r="F342" s="483" t="s">
        <v>292</v>
      </c>
      <c r="G342" s="484">
        <v>0</v>
      </c>
      <c r="H342" s="688" t="str">
        <f>IF(G342=0,"",IF(F342="Buy",IF(G342=1,"plant","plants"),IF(F342&gt;0.01,"warranty","Error")))</f>
        <v/>
      </c>
      <c r="I342" s="485">
        <f>IF(H342="free",0,IF(H342="credit",((E342*(F342))*G342*-1),IF(F342="Buy",(E342*G342),((E342*(1-F342))*G342))))</f>
        <v>0</v>
      </c>
      <c r="J342" s="485">
        <f>IF(H342="warranty",0,(I342*(_xlfn.SINGLE(SalesTaxPercentage))))</f>
        <v>0</v>
      </c>
      <c r="K342" s="715">
        <f t="shared" ref="K342" si="277">I342+J342</f>
        <v>0</v>
      </c>
      <c r="L342" s="715"/>
      <c r="M342" s="689" t="str">
        <f ca="1">IF(AND(G342&gt;0,E342=0),"WARNING - no PRICE inserted",IF(H342="free","FREE ~ no charge this plant",IF(H342="credit",CONCATENATE("-$",ROUND(K342*(1-_xlfn.SINGLE(T2GDiscount))*-1,2)," CREDIT after discount"),IF(_xlfn.SINGLE(T2GDiscount)=0,"",IF(G342=0,"",IF(F342="Buy",CONCATENATE("$",ROUND(K342*(1-_xlfn.SINGLE(T2GDiscount)),2)," with ",(_xlfn.SINGLE(T2GDiscount)*100),"% discount"),CONCATENATE("$",ROUND(K342*(1-_xlfn.SINGLE(T2GDiscount)),2)," with ",((_xlfn.SINGLE(T2GDiscount)*100+F342*100)-(_xlfn.SINGLE(T2GDiscount)*100*F342)),IF(F342&gt;0,"% discounts",IF(_xlfn.SINGLE(NoWarrantyDiscount)&gt;0,"% discounts","% discount")))))))))</f>
        <v/>
      </c>
      <c r="N342" s="690"/>
      <c r="O342" s="486"/>
      <c r="P342" s="486"/>
      <c r="Q342" s="486"/>
      <c r="R342" s="486"/>
      <c r="S342" s="486"/>
      <c r="T342" s="102">
        <f t="shared" si="262"/>
        <v>0</v>
      </c>
      <c r="U342" s="78">
        <f>IF(NOT(ISNUMBER(G342)), "", VLOOKUP(A342,'Discount Lookup'!D:E,2,FALSE)*G342)</f>
        <v>0</v>
      </c>
      <c r="V342" s="78">
        <f>IF(NOT(ISNUMBER(G342)), "", VLOOKUP(A342,'Discount Lookup'!G:H,2,FALSE)*G342)</f>
        <v>0</v>
      </c>
      <c r="W342" s="102">
        <f t="shared" si="263"/>
        <v>0</v>
      </c>
      <c r="X342" s="102">
        <f t="shared" si="264"/>
        <v>0</v>
      </c>
      <c r="Y342" s="120" t="b">
        <f t="shared" si="265"/>
        <v>0</v>
      </c>
      <c r="Z342" s="117">
        <f t="shared" si="266"/>
        <v>0</v>
      </c>
      <c r="AA342" s="118"/>
      <c r="AB342" s="118" t="str">
        <f t="shared" si="267"/>
        <v/>
      </c>
      <c r="AC342" s="712" t="str">
        <f>IF(AE342="T2G","no charge",IF(AND(OR(PlanterYesMe="No",PlanterYesMe="N",PlanterYesMe="me"),H342=""),"",IF(H342="credit","NO install",IF(AND(K342="",AE342="me"),"EACH row",IF(AND(K342="images",AE342="me"),"EACH row",IF(D342="","",IF(H342="credit","",IF(AE342="free","re-planting",IF(AE342="me","   not ELP, by",IF(AND(OR(PlanterYesMe="Yes",PlanterYesMe="Y"),G342&gt;0),(VLOOKUP(A342,'Discount Lookup'!J:K,2)*G342*(1-PlanterDiscount)*(1+PlanterDifficultyPercentage)),IF(AE342="ELP",(VLOOKUP(A342,'Discount Lookup'!J:K,2)*G342*(1-PlanterDiscount)*(1+PlanterDifficultyPercentage)),IF(AE342="free","re-planting",IF(G342=0,"",IF(PlanterYesMe="",IF(AE342="me","   not ELP, by",IF(AE342="",IF(G342&gt;0,(VLOOKUP(A342,'Discount Lookup'!J:K,2)*G342*(1-PlanterDiscount)*(1+PlanterDifficultyPercentage)),""),"")),"   not ELP, by"))))))))))))))</f>
        <v/>
      </c>
      <c r="AD342" s="712"/>
      <c r="AE342" s="513" t="str">
        <f t="shared" si="268"/>
        <v/>
      </c>
      <c r="AF342" s="713" t="str">
        <f t="shared" si="269"/>
        <v/>
      </c>
      <c r="AG342" s="713"/>
      <c r="AH342" s="713"/>
      <c r="AI342" s="112">
        <f>IF(H342="credit",0,IF(AE342="free",0,IF(AE342="me",0,IF(G342&gt;0,(VLOOKUP(A342,'Discount Lookup'!J:K,2)*G342),0))))</f>
        <v>0</v>
      </c>
      <c r="AJ342" s="107" t="str">
        <f t="shared" ca="1" si="270"/>
        <v/>
      </c>
      <c r="AK342" s="714" t="str">
        <f t="shared" si="271"/>
        <v/>
      </c>
      <c r="AL342" s="714"/>
      <c r="AM342" s="114" t="str">
        <f t="shared" si="272"/>
        <v/>
      </c>
      <c r="AN342" s="115"/>
      <c r="AO342" s="116"/>
      <c r="AP342" s="116"/>
      <c r="AQ342" s="116"/>
      <c r="AR342" s="116"/>
      <c r="AS342" s="116"/>
      <c r="AT342" s="116"/>
      <c r="AU342" s="116"/>
      <c r="AV342" s="78"/>
      <c r="AW342" s="102"/>
      <c r="AX342" s="78"/>
      <c r="AY342" s="78"/>
      <c r="AZ342" s="78"/>
      <c r="BA342" s="78"/>
      <c r="BB342" s="78"/>
      <c r="BC342" s="78"/>
      <c r="BD342" s="78"/>
      <c r="BE342" s="465"/>
      <c r="BF342" s="165" t="str">
        <f t="shared" si="273"/>
        <v>https://www.google.com/search?tbm=isch&amp;q=1%20G2</v>
      </c>
      <c r="BG342" s="165" t="str">
        <f t="shared" si="274"/>
        <v>A</v>
      </c>
      <c r="BH342" s="65"/>
      <c r="BI342" s="65"/>
      <c r="BJ342" s="65"/>
      <c r="BK342" s="65"/>
      <c r="BL342" s="99"/>
      <c r="BM342" s="99"/>
      <c r="BN342" s="99"/>
    </row>
    <row r="343" spans="1:66" s="51" customFormat="1" ht="15.75" x14ac:dyDescent="0.25">
      <c r="A343" s="705" t="s">
        <v>5328</v>
      </c>
      <c r="B343" s="487"/>
      <c r="C343" s="707"/>
      <c r="D343" s="487"/>
      <c r="E343" s="487"/>
      <c r="F343" s="488"/>
      <c r="G343" s="489"/>
      <c r="H343" s="487"/>
      <c r="I343" s="490"/>
      <c r="J343" s="490"/>
      <c r="K343" s="491"/>
      <c r="L343" s="547"/>
      <c r="M343" s="528"/>
      <c r="N343" s="492"/>
      <c r="O343" s="493"/>
      <c r="P343" s="494"/>
      <c r="Q343" s="492"/>
      <c r="R343" s="492"/>
      <c r="S343" s="699" t="s">
        <v>5259</v>
      </c>
      <c r="T343" s="102">
        <f t="shared" si="262"/>
        <v>0</v>
      </c>
      <c r="U343" s="78" t="str">
        <f>IF(NOT(ISNUMBER(G343)), "", VLOOKUP(A343,'Discount Lookup'!D:E,2,FALSE)*G343)</f>
        <v/>
      </c>
      <c r="V343" s="78" t="str">
        <f>IF(NOT(ISNUMBER(G343)), "", VLOOKUP(A343,'Discount Lookup'!G:H,2,FALSE)*G343)</f>
        <v/>
      </c>
      <c r="W343" s="102">
        <f t="shared" si="263"/>
        <v>0</v>
      </c>
      <c r="X343" s="102">
        <f t="shared" si="264"/>
        <v>0</v>
      </c>
      <c r="Y343" s="120" t="b">
        <f t="shared" si="265"/>
        <v>0</v>
      </c>
      <c r="Z343" s="117">
        <f t="shared" si="266"/>
        <v>0</v>
      </c>
      <c r="AA343" s="118"/>
      <c r="AB343" s="118" t="str">
        <f t="shared" si="267"/>
        <v/>
      </c>
      <c r="AC343" s="712" t="str">
        <f>IF(AE343="T2G","no charge",IF(AND(OR(PlanterYesMe="No",PlanterYesMe="N",PlanterYesMe="me"),H343=""),"",IF(H343="credit","NO install",IF(AND(K343="",AE343="me"),"EACH row",IF(AND(K343="images",AE343="me"),"EACH row",IF(D343="","",IF(H343="credit","",IF(AE343="free","re-planting",IF(AE343="me","   not ELP, by",IF(AND(OR(PlanterYesMe="Yes",PlanterYesMe="Y"),G343&gt;0),(VLOOKUP(A343,'Discount Lookup'!J:K,2)*G343*(1-PlanterDiscount)*(1+PlanterDifficultyPercentage)),IF(AE343="ELP",(VLOOKUP(A343,'Discount Lookup'!J:K,2)*G343*(1-PlanterDiscount)*(1+PlanterDifficultyPercentage)),IF(AE343="free","re-planting",IF(G343=0,"",IF(PlanterYesMe="",IF(AE343="me","   not ELP, by",IF(AE343="",IF(G343&gt;0,(VLOOKUP(A343,'Discount Lookup'!J:K,2)*G343*(1-PlanterDiscount)*(1+PlanterDifficultyPercentage)),""),"")),"   not ELP, by"))))))))))))))</f>
        <v/>
      </c>
      <c r="AD343" s="712"/>
      <c r="AE343" s="513" t="str">
        <f t="shared" si="268"/>
        <v/>
      </c>
      <c r="AF343" s="713" t="str">
        <f t="shared" si="269"/>
        <v/>
      </c>
      <c r="AG343" s="713"/>
      <c r="AH343" s="713"/>
      <c r="AI343" s="112">
        <f>IF(H343="credit",0,IF(AE343="free",0,IF(AE343="me",0,IF(G343&gt;0,(VLOOKUP(A343,'Discount Lookup'!J:K,2)*G343),0))))</f>
        <v>0</v>
      </c>
      <c r="AJ343" s="107" t="str">
        <f t="shared" ca="1" si="270"/>
        <v/>
      </c>
      <c r="AK343" s="714" t="str">
        <f t="shared" si="271"/>
        <v/>
      </c>
      <c r="AL343" s="714"/>
      <c r="AM343" s="114" t="str">
        <f t="shared" si="272"/>
        <v/>
      </c>
      <c r="AN343" s="115"/>
      <c r="AO343" s="116"/>
      <c r="AP343" s="116"/>
      <c r="AQ343" s="116"/>
      <c r="AR343" s="116"/>
      <c r="AS343" s="116"/>
      <c r="AT343" s="116"/>
      <c r="AU343" s="116"/>
      <c r="AV343" s="78"/>
      <c r="AW343" s="102"/>
      <c r="AX343" s="78"/>
      <c r="AY343" s="78"/>
      <c r="AZ343" s="78"/>
      <c r="BA343" s="78"/>
      <c r="BB343" s="78"/>
      <c r="BC343" s="78"/>
      <c r="BD343" s="78"/>
      <c r="BE343" s="465"/>
      <c r="BF343" s="165" t="str">
        <f t="shared" si="273"/>
        <v>https://www.google.com/search?tbm=isch&amp;q=moist%20sites%F0%9F%92%A7BEST%2C%20Chocolate%20Chip%20named%20for%20Chocolate-Brown%20hue%20in%20winter%2C%20after%20more%20of%20a%20Chocolate-Purple-Green%20summer%20color%20</v>
      </c>
      <c r="BG343" s="165" t="str">
        <f t="shared" si="274"/>
        <v>m</v>
      </c>
      <c r="BH343" s="65"/>
      <c r="BI343" s="65"/>
      <c r="BJ343" s="65"/>
      <c r="BK343" s="65"/>
      <c r="BL343" s="99"/>
      <c r="BM343" s="99"/>
      <c r="BN343" s="99"/>
    </row>
    <row r="344" spans="1:66" s="51" customFormat="1" ht="19.5" thickBot="1" x14ac:dyDescent="0.3">
      <c r="A344" s="686" t="s">
        <v>428</v>
      </c>
      <c r="B344" s="73"/>
      <c r="C344" s="708"/>
      <c r="D344" s="73"/>
      <c r="E344" s="73"/>
      <c r="F344" s="496"/>
      <c r="G344" s="73"/>
      <c r="H344" s="73"/>
      <c r="I344" s="73"/>
      <c r="J344" s="497" t="s">
        <v>357</v>
      </c>
      <c r="K344" s="498"/>
      <c r="L344" s="562"/>
      <c r="M344" s="73"/>
      <c r="N344"/>
      <c r="O344"/>
      <c r="P344"/>
      <c r="Q344"/>
      <c r="R344"/>
      <c r="S344"/>
      <c r="T344" s="102">
        <f t="shared" si="262"/>
        <v>0</v>
      </c>
      <c r="U344" s="78" t="str">
        <f>IF(NOT(ISNUMBER(G344)), "", VLOOKUP(A344,'Discount Lookup'!D:E,2,FALSE)*G344)</f>
        <v/>
      </c>
      <c r="V344" s="78" t="str">
        <f>IF(NOT(ISNUMBER(G344)), "", VLOOKUP(A344,'Discount Lookup'!G:H,2,FALSE)*G344)</f>
        <v/>
      </c>
      <c r="W344" s="102">
        <f t="shared" si="263"/>
        <v>0</v>
      </c>
      <c r="X344" s="102">
        <f t="shared" si="264"/>
        <v>0</v>
      </c>
      <c r="Y344" s="120" t="b">
        <f t="shared" si="265"/>
        <v>0</v>
      </c>
      <c r="Z344" s="117">
        <f t="shared" si="266"/>
        <v>0</v>
      </c>
      <c r="AA344" s="118"/>
      <c r="AB344" s="118" t="str">
        <f t="shared" si="267"/>
        <v/>
      </c>
      <c r="AC344" s="712" t="str">
        <f>IF(AE344="T2G","no charge",IF(AND(OR(PlanterYesMe="No",PlanterYesMe="N",PlanterYesMe="me"),H344=""),"",IF(H344="credit","NO install",IF(AND(K344="",AE344="me"),"EACH row",IF(AND(K344="images",AE344="me"),"EACH row",IF(D344="","",IF(H344="credit","",IF(AE344="free","re-planting",IF(AE344="me","   not ELP, by",IF(AND(OR(PlanterYesMe="Yes",PlanterYesMe="Y"),G344&gt;0),(VLOOKUP(A344,'Discount Lookup'!J:K,2)*G344*(1-PlanterDiscount)*(1+PlanterDifficultyPercentage)),IF(AE344="ELP",(VLOOKUP(A344,'Discount Lookup'!J:K,2)*G344*(1-PlanterDiscount)*(1+PlanterDifficultyPercentage)),IF(AE344="free","re-planting",IF(G344=0,"",IF(PlanterYesMe="",IF(AE344="me","   not ELP, by",IF(AE344="",IF(G344&gt;0,(VLOOKUP(A344,'Discount Lookup'!J:K,2)*G344*(1-PlanterDiscount)*(1+PlanterDifficultyPercentage)),""),"")),"   not ELP, by"))))))))))))))</f>
        <v/>
      </c>
      <c r="AD344" s="712"/>
      <c r="AE344" s="513" t="str">
        <f t="shared" si="268"/>
        <v/>
      </c>
      <c r="AF344" s="713" t="str">
        <f t="shared" si="269"/>
        <v/>
      </c>
      <c r="AG344" s="713"/>
      <c r="AH344" s="713"/>
      <c r="AI344" s="112">
        <f>IF(H344="credit",0,IF(AE344="free",0,IF(AE344="me",0,IF(G344&gt;0,(VLOOKUP(A344,'Discount Lookup'!J:K,2)*G344),0))))</f>
        <v>0</v>
      </c>
      <c r="AJ344" s="107" t="str">
        <f t="shared" ca="1" si="270"/>
        <v/>
      </c>
      <c r="AK344" s="714" t="str">
        <f t="shared" si="271"/>
        <v/>
      </c>
      <c r="AL344" s="714"/>
      <c r="AM344" s="114" t="str">
        <f t="shared" si="272"/>
        <v/>
      </c>
      <c r="AN344" s="115"/>
      <c r="AO344" s="116"/>
      <c r="AP344" s="116"/>
      <c r="AQ344" s="116"/>
      <c r="AR344" s="116"/>
      <c r="AS344" s="116"/>
      <c r="AT344" s="116"/>
      <c r="AU344" s="116"/>
      <c r="AV344" s="78"/>
      <c r="AW344" s="102"/>
      <c r="AX344" s="78"/>
      <c r="AY344" s="78"/>
      <c r="AZ344" s="78"/>
      <c r="BA344" s="78"/>
      <c r="BB344" s="78"/>
      <c r="BC344" s="78"/>
      <c r="BD344" s="78"/>
      <c r="BE344" s="465"/>
      <c r="BF344" s="165" t="str">
        <f t="shared" si="273"/>
        <v>https://www.google.com/search?tbm=isch&amp;q=Albizia%20%3D%20Mimosa%20Tree%20</v>
      </c>
      <c r="BG344" s="165" t="str">
        <f t="shared" si="274"/>
        <v>A</v>
      </c>
      <c r="BH344" s="65"/>
      <c r="BI344" s="65"/>
      <c r="BJ344" s="65"/>
      <c r="BK344" s="65"/>
      <c r="BL344" s="99"/>
      <c r="BM344" s="99"/>
      <c r="BN344" s="99"/>
    </row>
    <row r="345" spans="1:66" s="51" customFormat="1" ht="18" x14ac:dyDescent="0.25">
      <c r="A345" s="623" t="s">
        <v>1452</v>
      </c>
      <c r="B345" s="624"/>
      <c r="C345" s="709"/>
      <c r="D345" s="625" t="s">
        <v>1453</v>
      </c>
      <c r="E345" s="626"/>
      <c r="F345" s="626"/>
      <c r="G345" s="626"/>
      <c r="H345" s="622" t="s">
        <v>1454</v>
      </c>
      <c r="I345" s="627" t="s">
        <v>1455</v>
      </c>
      <c r="J345" s="628"/>
      <c r="K345" s="628"/>
      <c r="L345" s="629"/>
      <c r="M345" s="700" t="s">
        <v>5241</v>
      </c>
      <c r="N345" s="693" t="str">
        <f>IF(AND(ISTEXT($A345), ISERROR($A345+0)), HYPERLINK($BF345, "Images"), "")</f>
        <v>Images</v>
      </c>
      <c r="O345" s="695" t="s">
        <v>5244</v>
      </c>
      <c r="P345" s="630"/>
      <c r="Q345" s="631"/>
      <c r="R345" s="632"/>
      <c r="S345" s="633"/>
      <c r="T345" s="102">
        <f t="shared" si="262"/>
        <v>0</v>
      </c>
      <c r="U345" s="78" t="str">
        <f>IF(NOT(ISNUMBER(G345)), "", VLOOKUP(A345,'Discount Lookup'!D:E,2,FALSE)*G345)</f>
        <v/>
      </c>
      <c r="V345" s="78" t="str">
        <f>IF(NOT(ISNUMBER(G345)), "", VLOOKUP(A345,'Discount Lookup'!G:H,2,FALSE)*G345)</f>
        <v/>
      </c>
      <c r="W345" s="102">
        <f t="shared" si="263"/>
        <v>0</v>
      </c>
      <c r="X345" s="102" t="str">
        <f t="shared" si="264"/>
        <v>Rich Pink bloom</v>
      </c>
      <c r="Y345" s="120" t="b">
        <f t="shared" si="265"/>
        <v>0</v>
      </c>
      <c r="Z345" s="117">
        <f t="shared" si="266"/>
        <v>0</v>
      </c>
      <c r="AA345" s="118"/>
      <c r="AB345" s="118" t="str">
        <f t="shared" si="267"/>
        <v/>
      </c>
      <c r="AC345" s="712" t="str">
        <f>IF(AE345="T2G","no charge",IF(AND(OR(PlanterYesMe="No",PlanterYesMe="N",PlanterYesMe="me"),H345=""),"",IF(H345="credit","NO install",IF(AND(K345="",AE345="me"),"EACH row",IF(AND(K345="images",AE345="me"),"EACH row",IF(D345="","",IF(H345="credit","",IF(AE345="free","re-planting",IF(AE345="me","   not ELP, by",IF(AND(OR(PlanterYesMe="Yes",PlanterYesMe="Y"),G345&gt;0),(VLOOKUP(A345,'Discount Lookup'!J:K,2)*G345*(1-PlanterDiscount)*(1+PlanterDifficultyPercentage)),IF(AE345="ELP",(VLOOKUP(A345,'Discount Lookup'!J:K,2)*G345*(1-PlanterDiscount)*(1+PlanterDifficultyPercentage)),IF(AE345="free","re-planting",IF(G345=0,"",IF(PlanterYesMe="",IF(AE345="me","   not ELP, by",IF(AE345="",IF(G345&gt;0,(VLOOKUP(A345,'Discount Lookup'!J:K,2)*G345*(1-PlanterDiscount)*(1+PlanterDifficultyPercentage)),""),"")),"   not ELP, by"))))))))))))))</f>
        <v/>
      </c>
      <c r="AD345" s="712"/>
      <c r="AE345" s="513" t="str">
        <f t="shared" si="268"/>
        <v/>
      </c>
      <c r="AF345" s="713" t="str">
        <f t="shared" si="269"/>
        <v/>
      </c>
      <c r="AG345" s="713"/>
      <c r="AH345" s="713"/>
      <c r="AI345" s="112">
        <f>IF(H345="credit",0,IF(AE345="free",0,IF(AE345="me",0,IF(G345&gt;0,(VLOOKUP(A345,'Discount Lookup'!J:K,2)*G345),0))))</f>
        <v>0</v>
      </c>
      <c r="AJ345" s="107" t="str">
        <f t="shared" ca="1" si="270"/>
        <v/>
      </c>
      <c r="AK345" s="714" t="str">
        <f t="shared" si="271"/>
        <v/>
      </c>
      <c r="AL345" s="714"/>
      <c r="AM345" s="114" t="str">
        <f t="shared" si="272"/>
        <v/>
      </c>
      <c r="AN345" s="115"/>
      <c r="AO345" s="116"/>
      <c r="AP345" s="116"/>
      <c r="AQ345" s="116"/>
      <c r="AR345" s="116"/>
      <c r="AS345" s="116"/>
      <c r="AT345" s="116"/>
      <c r="AU345" s="116"/>
      <c r="AV345" s="78"/>
      <c r="AW345" s="102"/>
      <c r="AX345" s="78"/>
      <c r="AY345" s="78"/>
      <c r="AZ345" s="78"/>
      <c r="BA345" s="78"/>
      <c r="BB345" s="78"/>
      <c r="BC345" s="78"/>
      <c r="BD345" s="78"/>
      <c r="BE345" s="465"/>
      <c r="BF345" s="165" t="str">
        <f t="shared" si="273"/>
        <v>https://www.google.com/search?tbm=isch&amp;q=Albizia%20julibrissin%20%27Evey%27s%20Pride%27%20Evey%27s%20Pride%20Mimosa%20Tree</v>
      </c>
      <c r="BG345" s="165" t="str">
        <f t="shared" si="274"/>
        <v>A</v>
      </c>
      <c r="BH345" s="65"/>
      <c r="BI345" s="65"/>
      <c r="BJ345" s="65"/>
      <c r="BK345" s="65"/>
      <c r="BL345" s="99"/>
      <c r="BM345" s="99"/>
      <c r="BN345" s="99"/>
    </row>
    <row r="346" spans="1:66" s="51" customFormat="1" ht="15.75" x14ac:dyDescent="0.25">
      <c r="A346" s="634">
        <v>7</v>
      </c>
      <c r="B346" s="635" t="s">
        <v>291</v>
      </c>
      <c r="C346" s="636" t="s">
        <v>4563</v>
      </c>
      <c r="D346" s="637" t="s">
        <v>299</v>
      </c>
      <c r="E346" s="638">
        <v>54.95</v>
      </c>
      <c r="F346" s="639" t="s">
        <v>292</v>
      </c>
      <c r="G346" s="484">
        <v>0</v>
      </c>
      <c r="H346" s="691" t="str">
        <f>IF(G346=0,"",IF(F346="Buy",IF(G346=1,"plant","plants"),IF(F346&gt;0.01,"warranty","Error")))</f>
        <v/>
      </c>
      <c r="I346" s="640">
        <f>IF(H346="free",0,IF(H346="credit",((E346*(F346))*G346*-1),IF(F346="Buy",(E346*G346),((E346*(1-F346))*G346))))</f>
        <v>0</v>
      </c>
      <c r="J346" s="640">
        <f>IF(H346="warranty",0,(I346*(_xlfn.SINGLE(SalesTaxPercentage))))</f>
        <v>0</v>
      </c>
      <c r="K346" s="716">
        <f t="shared" ref="K346" si="278">I346+J346</f>
        <v>0</v>
      </c>
      <c r="L346" s="716"/>
      <c r="M346" s="689" t="str">
        <f ca="1">IF(AND(G346&gt;0,E346=0),"WARNING - no PRICE inserted",IF(H346="free","FREE ~ no charge this plant",IF(H346="credit",CONCATENATE("-$",ROUND(K346*(1-_xlfn.SINGLE(T2GDiscount))*-1,2)," CREDIT after discount"),IF(_xlfn.SINGLE(T2GDiscount)=0,"",IF(G346=0,"",IF(F346="Buy",CONCATENATE("$",ROUND(K346*(1-_xlfn.SINGLE(T2GDiscount)),2)," with ",(_xlfn.SINGLE(T2GDiscount)*100),"% discount"),CONCATENATE("$",ROUND(K346*(1-_xlfn.SINGLE(T2GDiscount)),2)," with ",((_xlfn.SINGLE(T2GDiscount)*100+F346*100)-(_xlfn.SINGLE(T2GDiscount)*100*F346)),IF(F346&gt;0,"% discounts",IF(_xlfn.SINGLE(NoWarrantyDiscount)&gt;0,"% discounts","% discount")))))))))</f>
        <v/>
      </c>
      <c r="N346" s="690"/>
      <c r="O346" s="486"/>
      <c r="P346" s="486"/>
      <c r="Q346" s="486"/>
      <c r="R346" s="486"/>
      <c r="S346" s="486"/>
      <c r="T346" s="102">
        <f t="shared" si="262"/>
        <v>0</v>
      </c>
      <c r="U346" s="78">
        <f>IF(NOT(ISNUMBER(G346)), "", VLOOKUP(A346,'Discount Lookup'!D:E,2,FALSE)*G346)</f>
        <v>0</v>
      </c>
      <c r="V346" s="78">
        <f>IF(NOT(ISNUMBER(G346)), "", VLOOKUP(A346,'Discount Lookup'!G:H,2,FALSE)*G346)</f>
        <v>0</v>
      </c>
      <c r="W346" s="102">
        <f t="shared" si="263"/>
        <v>0</v>
      </c>
      <c r="X346" s="102">
        <f t="shared" si="264"/>
        <v>0</v>
      </c>
      <c r="Y346" s="120" t="b">
        <f t="shared" si="265"/>
        <v>0</v>
      </c>
      <c r="Z346" s="117">
        <f t="shared" si="266"/>
        <v>0</v>
      </c>
      <c r="AA346" s="118"/>
      <c r="AB346" s="118" t="str">
        <f t="shared" si="267"/>
        <v/>
      </c>
      <c r="AC346" s="712" t="str">
        <f>IF(AE346="T2G","no charge",IF(AND(OR(PlanterYesMe="No",PlanterYesMe="N",PlanterYesMe="me"),H346=""),"",IF(H346="credit","NO install",IF(AND(K346="",AE346="me"),"EACH row",IF(AND(K346="images",AE346="me"),"EACH row",IF(D346="","",IF(H346="credit","",IF(AE346="free","re-planting",IF(AE346="me","   not ELP, by",IF(AND(OR(PlanterYesMe="Yes",PlanterYesMe="Y"),G346&gt;0),(VLOOKUP(A346,'Discount Lookup'!J:K,2)*G346*(1-PlanterDiscount)*(1+PlanterDifficultyPercentage)),IF(AE346="ELP",(VLOOKUP(A346,'Discount Lookup'!J:K,2)*G346*(1-PlanterDiscount)*(1+PlanterDifficultyPercentage)),IF(AE346="free","re-planting",IF(G346=0,"",IF(PlanterYesMe="",IF(AE346="me","   not ELP, by",IF(AE346="",IF(G346&gt;0,(VLOOKUP(A346,'Discount Lookup'!J:K,2)*G346*(1-PlanterDiscount)*(1+PlanterDifficultyPercentage)),""),"")),"   not ELP, by"))))))))))))))</f>
        <v/>
      </c>
      <c r="AD346" s="712"/>
      <c r="AE346" s="513" t="str">
        <f t="shared" si="268"/>
        <v/>
      </c>
      <c r="AF346" s="713" t="str">
        <f t="shared" si="269"/>
        <v/>
      </c>
      <c r="AG346" s="713"/>
      <c r="AH346" s="713"/>
      <c r="AI346" s="112">
        <f>IF(H346="credit",0,IF(AE346="free",0,IF(AE346="me",0,IF(G346&gt;0,(VLOOKUP(A346,'Discount Lookup'!J:K,2)*G346),0))))</f>
        <v>0</v>
      </c>
      <c r="AJ346" s="107" t="str">
        <f t="shared" ca="1" si="270"/>
        <v/>
      </c>
      <c r="AK346" s="714" t="str">
        <f t="shared" si="271"/>
        <v/>
      </c>
      <c r="AL346" s="714"/>
      <c r="AM346" s="114" t="str">
        <f t="shared" si="272"/>
        <v/>
      </c>
      <c r="AN346" s="115"/>
      <c r="AO346" s="116"/>
      <c r="AP346" s="116"/>
      <c r="AQ346" s="116"/>
      <c r="AR346" s="116"/>
      <c r="AS346" s="116"/>
      <c r="AT346" s="116"/>
      <c r="AU346" s="116"/>
      <c r="AV346" s="78"/>
      <c r="AW346" s="102"/>
      <c r="AX346" s="78"/>
      <c r="AY346" s="78"/>
      <c r="AZ346" s="78"/>
      <c r="BA346" s="78"/>
      <c r="BB346" s="78"/>
      <c r="BC346" s="78"/>
      <c r="BD346" s="78"/>
      <c r="BE346" s="465"/>
      <c r="BF346" s="165" t="str">
        <f t="shared" si="273"/>
        <v>https://www.google.com/search?tbm=isch&amp;q=7%20G4</v>
      </c>
      <c r="BG346" s="165" t="str">
        <f t="shared" si="274"/>
        <v>A</v>
      </c>
      <c r="BH346" s="65"/>
      <c r="BI346" s="65"/>
      <c r="BJ346" s="65"/>
      <c r="BK346" s="65"/>
      <c r="BL346" s="99"/>
      <c r="BM346" s="99"/>
      <c r="BN346" s="99"/>
    </row>
    <row r="347" spans="1:66" s="51" customFormat="1" ht="15.75" x14ac:dyDescent="0.25">
      <c r="A347" s="634">
        <v>15</v>
      </c>
      <c r="B347" s="635" t="s">
        <v>291</v>
      </c>
      <c r="C347" s="636" t="s">
        <v>5113</v>
      </c>
      <c r="D347" s="637" t="s">
        <v>299</v>
      </c>
      <c r="E347" s="638">
        <v>206.95</v>
      </c>
      <c r="F347" s="639" t="s">
        <v>292</v>
      </c>
      <c r="G347" s="484">
        <v>0</v>
      </c>
      <c r="H347" s="691" t="str">
        <f>IF(G347=0,"",IF(F347="Buy",IF(G347=1,"plant","plants"),IF(F347&gt;0.01,"warranty","Error")))</f>
        <v/>
      </c>
      <c r="I347" s="640">
        <f>IF(H347="free",0,IF(H347="credit",((E347*(F347))*G347*-1),IF(F347="Buy",(E347*G347),((E347*(1-F347))*G347))))</f>
        <v>0</v>
      </c>
      <c r="J347" s="640">
        <f>IF(H347="warranty",0,(I347*(_xlfn.SINGLE(SalesTaxPercentage))))</f>
        <v>0</v>
      </c>
      <c r="K347" s="716">
        <f t="shared" ref="K347" si="279">I347+J347</f>
        <v>0</v>
      </c>
      <c r="L347" s="716"/>
      <c r="M347" s="689" t="str">
        <f ca="1">IF(AND(G347&gt;0,E347=0),"WARNING - no PRICE inserted",IF(H347="free","FREE ~ no charge this plant",IF(H347="credit",CONCATENATE("-$",ROUND(K347*(1-_xlfn.SINGLE(T2GDiscount))*-1,2)," CREDIT after discount"),IF(_xlfn.SINGLE(T2GDiscount)=0,"",IF(G347=0,"",IF(F347="Buy",CONCATENATE("$",ROUND(K347*(1-_xlfn.SINGLE(T2GDiscount)),2)," with ",(_xlfn.SINGLE(T2GDiscount)*100),"% discount"),CONCATENATE("$",ROUND(K347*(1-_xlfn.SINGLE(T2GDiscount)),2)," with ",((_xlfn.SINGLE(T2GDiscount)*100+F347*100)-(_xlfn.SINGLE(T2GDiscount)*100*F347)),IF(F347&gt;0,"% discounts",IF(_xlfn.SINGLE(NoWarrantyDiscount)&gt;0,"% discounts","% discount")))))))))</f>
        <v/>
      </c>
      <c r="N347" s="690"/>
      <c r="O347" s="486"/>
      <c r="P347" s="486"/>
      <c r="Q347" s="486"/>
      <c r="R347" s="486"/>
      <c r="S347" s="486"/>
      <c r="T347" s="102">
        <f t="shared" si="262"/>
        <v>0</v>
      </c>
      <c r="U347" s="78">
        <f>IF(NOT(ISNUMBER(G347)), "", VLOOKUP(A347,'Discount Lookup'!D:E,2,FALSE)*G347)</f>
        <v>0</v>
      </c>
      <c r="V347" s="78">
        <f>IF(NOT(ISNUMBER(G347)), "", VLOOKUP(A347,'Discount Lookup'!G:H,2,FALSE)*G347)</f>
        <v>0</v>
      </c>
      <c r="W347" s="102">
        <f t="shared" si="263"/>
        <v>0</v>
      </c>
      <c r="X347" s="102">
        <f t="shared" si="264"/>
        <v>0</v>
      </c>
      <c r="Y347" s="120" t="b">
        <f t="shared" si="265"/>
        <v>0</v>
      </c>
      <c r="Z347" s="117">
        <f t="shared" si="266"/>
        <v>0</v>
      </c>
      <c r="AA347" s="118"/>
      <c r="AB347" s="118" t="str">
        <f t="shared" si="267"/>
        <v/>
      </c>
      <c r="AC347" s="712" t="str">
        <f>IF(AE347="T2G","no charge",IF(AND(OR(PlanterYesMe="No",PlanterYesMe="N",PlanterYesMe="me"),H347=""),"",IF(H347="credit","NO install",IF(AND(K347="",AE347="me"),"EACH row",IF(AND(K347="images",AE347="me"),"EACH row",IF(D347="","",IF(H347="credit","",IF(AE347="free","re-planting",IF(AE347="me","   not ELP, by",IF(AND(OR(PlanterYesMe="Yes",PlanterYesMe="Y"),G347&gt;0),(VLOOKUP(A347,'Discount Lookup'!J:K,2)*G347*(1-PlanterDiscount)*(1+PlanterDifficultyPercentage)),IF(AE347="ELP",(VLOOKUP(A347,'Discount Lookup'!J:K,2)*G347*(1-PlanterDiscount)*(1+PlanterDifficultyPercentage)),IF(AE347="free","re-planting",IF(G347=0,"",IF(PlanterYesMe="",IF(AE347="me","   not ELP, by",IF(AE347="",IF(G347&gt;0,(VLOOKUP(A347,'Discount Lookup'!J:K,2)*G347*(1-PlanterDiscount)*(1+PlanterDifficultyPercentage)),""),"")),"   not ELP, by"))))))))))))))</f>
        <v/>
      </c>
      <c r="AD347" s="712"/>
      <c r="AE347" s="513" t="str">
        <f t="shared" si="268"/>
        <v/>
      </c>
      <c r="AF347" s="713" t="str">
        <f t="shared" si="269"/>
        <v/>
      </c>
      <c r="AG347" s="713"/>
      <c r="AH347" s="713"/>
      <c r="AI347" s="112">
        <f>IF(H347="credit",0,IF(AE347="free",0,IF(AE347="me",0,IF(G347&gt;0,(VLOOKUP(A347,'Discount Lookup'!J:K,2)*G347),0))))</f>
        <v>0</v>
      </c>
      <c r="AJ347" s="107" t="str">
        <f t="shared" ca="1" si="270"/>
        <v/>
      </c>
      <c r="AK347" s="714" t="str">
        <f t="shared" si="271"/>
        <v/>
      </c>
      <c r="AL347" s="714"/>
      <c r="AM347" s="114" t="str">
        <f t="shared" si="272"/>
        <v/>
      </c>
      <c r="AN347" s="115"/>
      <c r="AO347" s="116"/>
      <c r="AP347" s="116"/>
      <c r="AQ347" s="116"/>
      <c r="AR347" s="116"/>
      <c r="AS347" s="116"/>
      <c r="AT347" s="116"/>
      <c r="AU347" s="116"/>
      <c r="AV347" s="78"/>
      <c r="AW347" s="102"/>
      <c r="AX347" s="78"/>
      <c r="AY347" s="78"/>
      <c r="AZ347" s="78"/>
      <c r="BA347" s="78"/>
      <c r="BB347" s="78"/>
      <c r="BC347" s="78"/>
      <c r="BD347" s="78"/>
      <c r="BE347" s="465"/>
      <c r="BF347" s="165" t="str">
        <f t="shared" si="273"/>
        <v>https://www.google.com/search?tbm=isch&amp;q=15%20G4</v>
      </c>
      <c r="BG347" s="165" t="str">
        <f t="shared" si="274"/>
        <v>A</v>
      </c>
      <c r="BH347" s="65"/>
      <c r="BI347" s="65"/>
      <c r="BJ347" s="65"/>
      <c r="BK347" s="65"/>
      <c r="BL347" s="99"/>
      <c r="BM347" s="99"/>
      <c r="BN347" s="99"/>
    </row>
    <row r="348" spans="1:66" s="51" customFormat="1" ht="17.25" thickBot="1" x14ac:dyDescent="0.3">
      <c r="A348" s="641" t="s">
        <v>1456</v>
      </c>
      <c r="B348" s="642"/>
      <c r="C348" s="710"/>
      <c r="D348" s="643"/>
      <c r="E348" s="643"/>
      <c r="F348" s="644"/>
      <c r="G348" s="645"/>
      <c r="H348" s="646"/>
      <c r="I348" s="647"/>
      <c r="J348" s="648"/>
      <c r="K348" s="649"/>
      <c r="L348" s="650"/>
      <c r="M348" s="650"/>
      <c r="N348" s="644"/>
      <c r="O348" s="644"/>
      <c r="P348" s="644"/>
      <c r="Q348" s="644"/>
      <c r="R348" s="644"/>
      <c r="S348" s="701" t="s">
        <v>5261</v>
      </c>
      <c r="T348" s="102">
        <f t="shared" si="262"/>
        <v>0</v>
      </c>
      <c r="U348" s="78" t="str">
        <f>IF(NOT(ISNUMBER(G348)), "", VLOOKUP(A348,'Discount Lookup'!D:E,2,FALSE)*G348)</f>
        <v/>
      </c>
      <c r="V348" s="78" t="str">
        <f>IF(NOT(ISNUMBER(G348)), "", VLOOKUP(A348,'Discount Lookup'!G:H,2,FALSE)*G348)</f>
        <v/>
      </c>
      <c r="W348" s="102">
        <f t="shared" si="263"/>
        <v>0</v>
      </c>
      <c r="X348" s="102">
        <f t="shared" si="264"/>
        <v>0</v>
      </c>
      <c r="Y348" s="120" t="b">
        <f t="shared" si="265"/>
        <v>0</v>
      </c>
      <c r="Z348" s="117">
        <f t="shared" si="266"/>
        <v>0</v>
      </c>
      <c r="AA348" s="118"/>
      <c r="AB348" s="118" t="str">
        <f t="shared" si="267"/>
        <v/>
      </c>
      <c r="AC348" s="712" t="str">
        <f>IF(AE348="T2G","no charge",IF(AND(OR(PlanterYesMe="No",PlanterYesMe="N",PlanterYesMe="me"),H348=""),"",IF(H348="credit","NO install",IF(AND(K348="",AE348="me"),"EACH row",IF(AND(K348="images",AE348="me"),"EACH row",IF(D348="","",IF(H348="credit","",IF(AE348="free","re-planting",IF(AE348="me","   not ELP, by",IF(AND(OR(PlanterYesMe="Yes",PlanterYesMe="Y"),G348&gt;0),(VLOOKUP(A348,'Discount Lookup'!J:K,2)*G348*(1-PlanterDiscount)*(1+PlanterDifficultyPercentage)),IF(AE348="ELP",(VLOOKUP(A348,'Discount Lookup'!J:K,2)*G348*(1-PlanterDiscount)*(1+PlanterDifficultyPercentage)),IF(AE348="free","re-planting",IF(G348=0,"",IF(PlanterYesMe="",IF(AE348="me","   not ELP, by",IF(AE348="",IF(G348&gt;0,(VLOOKUP(A348,'Discount Lookup'!J:K,2)*G348*(1-PlanterDiscount)*(1+PlanterDifficultyPercentage)),""),"")),"   not ELP, by"))))))))))))))</f>
        <v/>
      </c>
      <c r="AD348" s="712"/>
      <c r="AE348" s="513" t="str">
        <f t="shared" si="268"/>
        <v/>
      </c>
      <c r="AF348" s="713" t="str">
        <f t="shared" si="269"/>
        <v/>
      </c>
      <c r="AG348" s="713"/>
      <c r="AH348" s="713"/>
      <c r="AI348" s="112">
        <f>IF(H348="credit",0,IF(AE348="free",0,IF(AE348="me",0,IF(G348&gt;0,(VLOOKUP(A348,'Discount Lookup'!J:K,2)*G348),0))))</f>
        <v>0</v>
      </c>
      <c r="AJ348" s="107" t="str">
        <f t="shared" ca="1" si="270"/>
        <v/>
      </c>
      <c r="AK348" s="714" t="str">
        <f t="shared" si="271"/>
        <v/>
      </c>
      <c r="AL348" s="714"/>
      <c r="AM348" s="114" t="str">
        <f t="shared" si="272"/>
        <v/>
      </c>
      <c r="AN348" s="115"/>
      <c r="AO348" s="116"/>
      <c r="AP348" s="116"/>
      <c r="AQ348" s="116"/>
      <c r="AR348" s="116"/>
      <c r="AS348" s="116"/>
      <c r="AT348" s="116"/>
      <c r="AU348" s="116"/>
      <c r="AV348" s="78"/>
      <c r="AW348" s="102"/>
      <c r="AX348" s="78"/>
      <c r="AY348" s="78"/>
      <c r="AZ348" s="78"/>
      <c r="BA348" s="78"/>
      <c r="BB348" s="78"/>
      <c r="BC348" s="78"/>
      <c r="BD348" s="78"/>
      <c r="BE348" s="465"/>
      <c r="BF348" s="165" t="str">
        <f t="shared" si="273"/>
        <v>https://www.google.com/search?tbm=isch&amp;q=Evey%27s%20Pride%20Reddish%3DPurple%20foliage%20and%20umbrella%20shape%20lend%20a%20tropical%20airy%20feel.%20Can%20be%20invasive%20</v>
      </c>
      <c r="BG348" s="165" t="str">
        <f t="shared" si="274"/>
        <v>E</v>
      </c>
      <c r="BH348" s="65"/>
      <c r="BI348" s="65"/>
      <c r="BJ348" s="65"/>
      <c r="BK348" s="65"/>
      <c r="BL348" s="99"/>
      <c r="BM348" s="99"/>
      <c r="BN348" s="99"/>
    </row>
    <row r="349" spans="1:66" s="51" customFormat="1" ht="18" x14ac:dyDescent="0.25">
      <c r="A349" s="623" t="s">
        <v>1457</v>
      </c>
      <c r="B349" s="624"/>
      <c r="C349" s="709"/>
      <c r="D349" s="625" t="s">
        <v>5585</v>
      </c>
      <c r="E349" s="626"/>
      <c r="F349" s="626"/>
      <c r="G349" s="626"/>
      <c r="H349" s="622" t="s">
        <v>327</v>
      </c>
      <c r="I349" s="627" t="s">
        <v>1458</v>
      </c>
      <c r="J349" s="628"/>
      <c r="K349" s="628"/>
      <c r="L349" s="629"/>
      <c r="M349" s="700" t="s">
        <v>5241</v>
      </c>
      <c r="N349" s="693" t="str">
        <f>IF(AND(ISTEXT($A349), ISERROR($A349+0)), HYPERLINK($BF349, "Images"), "")</f>
        <v>Images</v>
      </c>
      <c r="O349" s="695" t="s">
        <v>5244</v>
      </c>
      <c r="P349" s="630"/>
      <c r="Q349" s="631"/>
      <c r="R349" s="632"/>
      <c r="S349" s="633"/>
      <c r="T349" s="102">
        <f t="shared" si="262"/>
        <v>0</v>
      </c>
      <c r="U349" s="78" t="str">
        <f>IF(NOT(ISNUMBER(G349)), "", VLOOKUP(A349,'Discount Lookup'!D:E,2,FALSE)*G349)</f>
        <v/>
      </c>
      <c r="V349" s="78" t="str">
        <f>IF(NOT(ISNUMBER(G349)), "", VLOOKUP(A349,'Discount Lookup'!G:H,2,FALSE)*G349)</f>
        <v/>
      </c>
      <c r="W349" s="102">
        <f t="shared" si="263"/>
        <v>0</v>
      </c>
      <c r="X349" s="102" t="str">
        <f t="shared" si="264"/>
        <v>Pink bloom</v>
      </c>
      <c r="Y349" s="120" t="b">
        <f t="shared" si="265"/>
        <v>0</v>
      </c>
      <c r="Z349" s="117">
        <f t="shared" si="266"/>
        <v>0</v>
      </c>
      <c r="AA349" s="118"/>
      <c r="AB349" s="118" t="str">
        <f t="shared" si="267"/>
        <v/>
      </c>
      <c r="AC349" s="712" t="str">
        <f>IF(AE349="T2G","no charge",IF(AND(OR(PlanterYesMe="No",PlanterYesMe="N",PlanterYesMe="me"),H349=""),"",IF(H349="credit","NO install",IF(AND(K349="",AE349="me"),"EACH row",IF(AND(K349="images",AE349="me"),"EACH row",IF(D349="","",IF(H349="credit","",IF(AE349="free","re-planting",IF(AE349="me","   not ELP, by",IF(AND(OR(PlanterYesMe="Yes",PlanterYesMe="Y"),G349&gt;0),(VLOOKUP(A349,'Discount Lookup'!J:K,2)*G349*(1-PlanterDiscount)*(1+PlanterDifficultyPercentage)),IF(AE349="ELP",(VLOOKUP(A349,'Discount Lookup'!J:K,2)*G349*(1-PlanterDiscount)*(1+PlanterDifficultyPercentage)),IF(AE349="free","re-planting",IF(G349=0,"",IF(PlanterYesMe="",IF(AE349="me","   not ELP, by",IF(AE349="",IF(G349&gt;0,(VLOOKUP(A349,'Discount Lookup'!J:K,2)*G349*(1-PlanterDiscount)*(1+PlanterDifficultyPercentage)),""),"")),"   not ELP, by"))))))))))))))</f>
        <v/>
      </c>
      <c r="AD349" s="712"/>
      <c r="AE349" s="513" t="str">
        <f t="shared" si="268"/>
        <v/>
      </c>
      <c r="AF349" s="713" t="str">
        <f t="shared" si="269"/>
        <v/>
      </c>
      <c r="AG349" s="713"/>
      <c r="AH349" s="713"/>
      <c r="AI349" s="112">
        <f>IF(H349="credit",0,IF(AE349="free",0,IF(AE349="me",0,IF(G349&gt;0,(VLOOKUP(A349,'Discount Lookup'!J:K,2)*G349),0))))</f>
        <v>0</v>
      </c>
      <c r="AJ349" s="107" t="str">
        <f t="shared" ca="1" si="270"/>
        <v/>
      </c>
      <c r="AK349" s="714" t="str">
        <f t="shared" si="271"/>
        <v/>
      </c>
      <c r="AL349" s="714"/>
      <c r="AM349" s="114" t="str">
        <f t="shared" si="272"/>
        <v/>
      </c>
      <c r="AN349" s="115"/>
      <c r="AO349" s="116"/>
      <c r="AP349" s="116"/>
      <c r="AQ349" s="116"/>
      <c r="AR349" s="116"/>
      <c r="AS349" s="116"/>
      <c r="AT349" s="116"/>
      <c r="AU349" s="116"/>
      <c r="AV349" s="78"/>
      <c r="AW349" s="102"/>
      <c r="AX349" s="78"/>
      <c r="AY349" s="78"/>
      <c r="AZ349" s="78"/>
      <c r="BA349" s="78"/>
      <c r="BB349" s="78"/>
      <c r="BC349" s="78"/>
      <c r="BD349" s="78"/>
      <c r="BE349" s="465"/>
      <c r="BF349" s="165" t="str">
        <f t="shared" si="273"/>
        <v>https://www.google.com/search?tbm=isch&amp;q=Albizia%20julibrissin%20%27NCAJ1%27%20PP%2325813%20Chocolate%20Fountain%E2%84%A2%20Mimosa</v>
      </c>
      <c r="BG349" s="165" t="str">
        <f t="shared" si="274"/>
        <v>A</v>
      </c>
      <c r="BH349" s="65"/>
      <c r="BI349" s="65"/>
      <c r="BJ349" s="65"/>
      <c r="BK349" s="65"/>
      <c r="BL349" s="99"/>
      <c r="BM349" s="99"/>
      <c r="BN349" s="99"/>
    </row>
    <row r="350" spans="1:66" s="51" customFormat="1" ht="15.75" x14ac:dyDescent="0.25">
      <c r="A350" s="634">
        <v>7</v>
      </c>
      <c r="B350" s="635" t="s">
        <v>291</v>
      </c>
      <c r="C350" s="636" t="s">
        <v>922</v>
      </c>
      <c r="D350" s="637" t="s">
        <v>299</v>
      </c>
      <c r="E350" s="638">
        <v>109.95</v>
      </c>
      <c r="F350" s="639" t="s">
        <v>292</v>
      </c>
      <c r="G350" s="484">
        <v>0</v>
      </c>
      <c r="H350" s="691" t="str">
        <f>IF(G350=0,"",IF(F350="Buy",IF(G350=1,"plant","plants"),IF(F350&gt;0.01,"warranty","Error")))</f>
        <v/>
      </c>
      <c r="I350" s="640">
        <f>IF(H350="free",0,IF(H350="credit",((E350*(F350))*G350*-1),IF(F350="Buy",(E350*G350),((E350*(1-F350))*G350))))</f>
        <v>0</v>
      </c>
      <c r="J350" s="640">
        <f>IF(H350="warranty",0,(I350*(_xlfn.SINGLE(SalesTaxPercentage))))</f>
        <v>0</v>
      </c>
      <c r="K350" s="716">
        <f t="shared" ref="K350" si="280">I350+J350</f>
        <v>0</v>
      </c>
      <c r="L350" s="716"/>
      <c r="M350" s="689" t="str">
        <f ca="1">IF(AND(G350&gt;0,E350=0),"WARNING - no PRICE inserted",IF(H350="free","FREE ~ no charge this plant",IF(H350="credit",CONCATENATE("-$",ROUND(K350*(1-_xlfn.SINGLE(T2GDiscount))*-1,2)," CREDIT after discount"),IF(_xlfn.SINGLE(T2GDiscount)=0,"",IF(G350=0,"",IF(F350="Buy",CONCATENATE("$",ROUND(K350*(1-_xlfn.SINGLE(T2GDiscount)),2)," with ",(_xlfn.SINGLE(T2GDiscount)*100),"% discount"),CONCATENATE("$",ROUND(K350*(1-_xlfn.SINGLE(T2GDiscount)),2)," with ",((_xlfn.SINGLE(T2GDiscount)*100+F350*100)-(_xlfn.SINGLE(T2GDiscount)*100*F350)),IF(F350&gt;0,"% discounts",IF(_xlfn.SINGLE(NoWarrantyDiscount)&gt;0,"% discounts","% discount")))))))))</f>
        <v/>
      </c>
      <c r="N350" s="690"/>
      <c r="O350" s="486"/>
      <c r="P350" s="486"/>
      <c r="Q350" s="486"/>
      <c r="R350" s="486"/>
      <c r="S350" s="486"/>
      <c r="T350" s="102">
        <f t="shared" si="262"/>
        <v>0</v>
      </c>
      <c r="U350" s="78">
        <f>IF(NOT(ISNUMBER(G350)), "", VLOOKUP(A350,'Discount Lookup'!D:E,2,FALSE)*G350)</f>
        <v>0</v>
      </c>
      <c r="V350" s="78">
        <f>IF(NOT(ISNUMBER(G350)), "", VLOOKUP(A350,'Discount Lookup'!G:H,2,FALSE)*G350)</f>
        <v>0</v>
      </c>
      <c r="W350" s="102">
        <f t="shared" si="263"/>
        <v>0</v>
      </c>
      <c r="X350" s="102">
        <f t="shared" si="264"/>
        <v>0</v>
      </c>
      <c r="Y350" s="120" t="b">
        <f t="shared" si="265"/>
        <v>0</v>
      </c>
      <c r="Z350" s="117">
        <f t="shared" si="266"/>
        <v>0</v>
      </c>
      <c r="AA350" s="118"/>
      <c r="AB350" s="118" t="str">
        <f t="shared" si="267"/>
        <v/>
      </c>
      <c r="AC350" s="712" t="str">
        <f>IF(AE350="T2G","no charge",IF(AND(OR(PlanterYesMe="No",PlanterYesMe="N",PlanterYesMe="me"),H350=""),"",IF(H350="credit","NO install",IF(AND(K350="",AE350="me"),"EACH row",IF(AND(K350="images",AE350="me"),"EACH row",IF(D350="","",IF(H350="credit","",IF(AE350="free","re-planting",IF(AE350="me","   not ELP, by",IF(AND(OR(PlanterYesMe="Yes",PlanterYesMe="Y"),G350&gt;0),(VLOOKUP(A350,'Discount Lookup'!J:K,2)*G350*(1-PlanterDiscount)*(1+PlanterDifficultyPercentage)),IF(AE350="ELP",(VLOOKUP(A350,'Discount Lookup'!J:K,2)*G350*(1-PlanterDiscount)*(1+PlanterDifficultyPercentage)),IF(AE350="free","re-planting",IF(G350=0,"",IF(PlanterYesMe="",IF(AE350="me","   not ELP, by",IF(AE350="",IF(G350&gt;0,(VLOOKUP(A350,'Discount Lookup'!J:K,2)*G350*(1-PlanterDiscount)*(1+PlanterDifficultyPercentage)),""),"")),"   not ELP, by"))))))))))))))</f>
        <v/>
      </c>
      <c r="AD350" s="712"/>
      <c r="AE350" s="513" t="str">
        <f t="shared" si="268"/>
        <v/>
      </c>
      <c r="AF350" s="713" t="str">
        <f t="shared" si="269"/>
        <v/>
      </c>
      <c r="AG350" s="713"/>
      <c r="AH350" s="713"/>
      <c r="AI350" s="112">
        <f>IF(H350="credit",0,IF(AE350="free",0,IF(AE350="me",0,IF(G350&gt;0,(VLOOKUP(A350,'Discount Lookup'!J:K,2)*G350),0))))</f>
        <v>0</v>
      </c>
      <c r="AJ350" s="107" t="str">
        <f t="shared" ca="1" si="270"/>
        <v/>
      </c>
      <c r="AK350" s="714" t="str">
        <f t="shared" si="271"/>
        <v/>
      </c>
      <c r="AL350" s="714"/>
      <c r="AM350" s="114" t="str">
        <f t="shared" si="272"/>
        <v/>
      </c>
      <c r="AN350" s="115"/>
      <c r="AO350" s="116"/>
      <c r="AP350" s="116"/>
      <c r="AQ350" s="116"/>
      <c r="AR350" s="116"/>
      <c r="AS350" s="116"/>
      <c r="AT350" s="116"/>
      <c r="AU350" s="116"/>
      <c r="AV350" s="78"/>
      <c r="AW350" s="102"/>
      <c r="AX350" s="78"/>
      <c r="AY350" s="78"/>
      <c r="AZ350" s="78"/>
      <c r="BA350" s="78"/>
      <c r="BB350" s="78"/>
      <c r="BC350" s="78"/>
      <c r="BD350" s="78"/>
      <c r="BE350" s="465"/>
      <c r="BF350" s="165" t="str">
        <f t="shared" si="273"/>
        <v>https://www.google.com/search?tbm=isch&amp;q=7%20G4</v>
      </c>
      <c r="BG350" s="165" t="str">
        <f t="shared" si="274"/>
        <v>A</v>
      </c>
      <c r="BH350" s="65"/>
      <c r="BI350" s="65"/>
      <c r="BJ350" s="65"/>
      <c r="BK350" s="65"/>
      <c r="BL350" s="99"/>
      <c r="BM350" s="99"/>
      <c r="BN350" s="99"/>
    </row>
    <row r="351" spans="1:66" s="51" customFormat="1" ht="17.25" thickBot="1" x14ac:dyDescent="0.3">
      <c r="A351" s="641" t="s">
        <v>1459</v>
      </c>
      <c r="B351" s="642"/>
      <c r="C351" s="710"/>
      <c r="D351" s="643"/>
      <c r="E351" s="643"/>
      <c r="F351" s="644"/>
      <c r="G351" s="645"/>
      <c r="H351" s="646"/>
      <c r="I351" s="647"/>
      <c r="J351" s="648"/>
      <c r="K351" s="649"/>
      <c r="L351" s="650"/>
      <c r="M351" s="650"/>
      <c r="N351" s="644"/>
      <c r="O351" s="644"/>
      <c r="P351" s="644"/>
      <c r="Q351" s="644"/>
      <c r="R351" s="644"/>
      <c r="S351" s="701" t="s">
        <v>5262</v>
      </c>
      <c r="T351" s="102">
        <f t="shared" si="262"/>
        <v>0</v>
      </c>
      <c r="U351" s="78" t="str">
        <f>IF(NOT(ISNUMBER(G351)), "", VLOOKUP(A351,'Discount Lookup'!D:E,2,FALSE)*G351)</f>
        <v/>
      </c>
      <c r="V351" s="78" t="str">
        <f>IF(NOT(ISNUMBER(G351)), "", VLOOKUP(A351,'Discount Lookup'!G:H,2,FALSE)*G351)</f>
        <v/>
      </c>
      <c r="W351" s="102">
        <f t="shared" si="263"/>
        <v>0</v>
      </c>
      <c r="X351" s="102">
        <f t="shared" si="264"/>
        <v>0</v>
      </c>
      <c r="Y351" s="120" t="b">
        <f t="shared" si="265"/>
        <v>0</v>
      </c>
      <c r="Z351" s="117">
        <f t="shared" si="266"/>
        <v>0</v>
      </c>
      <c r="AA351" s="118"/>
      <c r="AB351" s="118" t="str">
        <f t="shared" si="267"/>
        <v/>
      </c>
      <c r="AC351" s="712" t="str">
        <f>IF(AE351="T2G","no charge",IF(AND(OR(PlanterYesMe="No",PlanterYesMe="N",PlanterYesMe="me"),H351=""),"",IF(H351="credit","NO install",IF(AND(K351="",AE351="me"),"EACH row",IF(AND(K351="images",AE351="me"),"EACH row",IF(D351="","",IF(H351="credit","",IF(AE351="free","re-planting",IF(AE351="me","   not ELP, by",IF(AND(OR(PlanterYesMe="Yes",PlanterYesMe="Y"),G351&gt;0),(VLOOKUP(A351,'Discount Lookup'!J:K,2)*G351*(1-PlanterDiscount)*(1+PlanterDifficultyPercentage)),IF(AE351="ELP",(VLOOKUP(A351,'Discount Lookup'!J:K,2)*G351*(1-PlanterDiscount)*(1+PlanterDifficultyPercentage)),IF(AE351="free","re-planting",IF(G351=0,"",IF(PlanterYesMe="",IF(AE351="me","   not ELP, by",IF(AE351="",IF(G351&gt;0,(VLOOKUP(A351,'Discount Lookup'!J:K,2)*G351*(1-PlanterDiscount)*(1+PlanterDifficultyPercentage)),""),"")),"   not ELP, by"))))))))))))))</f>
        <v/>
      </c>
      <c r="AD351" s="712"/>
      <c r="AE351" s="513" t="str">
        <f t="shared" si="268"/>
        <v/>
      </c>
      <c r="AF351" s="713" t="str">
        <f t="shared" si="269"/>
        <v/>
      </c>
      <c r="AG351" s="713"/>
      <c r="AH351" s="713"/>
      <c r="AI351" s="112">
        <f>IF(H351="credit",0,IF(AE351="free",0,IF(AE351="me",0,IF(G351&gt;0,(VLOOKUP(A351,'Discount Lookup'!J:K,2)*G351),0))))</f>
        <v>0</v>
      </c>
      <c r="AJ351" s="107" t="str">
        <f t="shared" ca="1" si="270"/>
        <v/>
      </c>
      <c r="AK351" s="714" t="str">
        <f t="shared" si="271"/>
        <v/>
      </c>
      <c r="AL351" s="714"/>
      <c r="AM351" s="114" t="str">
        <f t="shared" si="272"/>
        <v/>
      </c>
      <c r="AN351" s="115"/>
      <c r="AO351" s="116"/>
      <c r="AP351" s="116"/>
      <c r="AQ351" s="116"/>
      <c r="AR351" s="116"/>
      <c r="AS351" s="116"/>
      <c r="AT351" s="116"/>
      <c r="AU351" s="116"/>
      <c r="AV351" s="78"/>
      <c r="AW351" s="102"/>
      <c r="AX351" s="78"/>
      <c r="AY351" s="78"/>
      <c r="AZ351" s="78"/>
      <c r="BA351" s="78"/>
      <c r="BB351" s="78"/>
      <c r="BC351" s="78"/>
      <c r="BD351" s="78"/>
      <c r="BE351" s="465"/>
      <c r="BF351" s="165" t="str">
        <f t="shared" si="273"/>
        <v>https://www.google.com/search?tbm=isch&amp;q=Chocoate%20Fountain%20foliage%20emerges%20btonze-greem%2C%20then%20mature%20to%20purple.%20Fragrant%20blooms.%20Can%20be%20invasive%20</v>
      </c>
      <c r="BG351" s="165" t="str">
        <f t="shared" si="274"/>
        <v>C</v>
      </c>
      <c r="BH351" s="65"/>
      <c r="BI351" s="65"/>
      <c r="BJ351" s="65"/>
      <c r="BK351" s="65"/>
      <c r="BL351" s="99"/>
      <c r="BM351" s="99"/>
      <c r="BN351" s="99"/>
    </row>
    <row r="352" spans="1:66" s="51" customFormat="1" ht="18" x14ac:dyDescent="0.25">
      <c r="A352" s="623" t="s">
        <v>1460</v>
      </c>
      <c r="B352" s="624"/>
      <c r="C352" s="709"/>
      <c r="D352" s="625" t="s">
        <v>1461</v>
      </c>
      <c r="E352" s="626"/>
      <c r="F352" s="626"/>
      <c r="G352" s="626"/>
      <c r="H352" s="622" t="s">
        <v>1462</v>
      </c>
      <c r="I352" s="627" t="s">
        <v>1463</v>
      </c>
      <c r="J352" s="628"/>
      <c r="K352" s="628"/>
      <c r="L352" s="629"/>
      <c r="M352" s="700" t="s">
        <v>5241</v>
      </c>
      <c r="N352" s="693" t="str">
        <f>IF(AND(ISTEXT($A352), ISERROR($A352+0)), HYPERLINK($BF352, "Images"), "")</f>
        <v>Images</v>
      </c>
      <c r="O352" s="695" t="s">
        <v>5244</v>
      </c>
      <c r="P352" s="630"/>
      <c r="Q352" s="631"/>
      <c r="R352" s="632"/>
      <c r="S352" s="633"/>
      <c r="T352" s="102">
        <f t="shared" si="262"/>
        <v>0</v>
      </c>
      <c r="U352" s="78" t="str">
        <f>IF(NOT(ISNUMBER(G352)), "", VLOOKUP(A352,'Discount Lookup'!D:E,2,FALSE)*G352)</f>
        <v/>
      </c>
      <c r="V352" s="78" t="str">
        <f>IF(NOT(ISNUMBER(G352)), "", VLOOKUP(A352,'Discount Lookup'!G:H,2,FALSE)*G352)</f>
        <v/>
      </c>
      <c r="W352" s="102">
        <f t="shared" si="263"/>
        <v>0</v>
      </c>
      <c r="X352" s="102" t="str">
        <f t="shared" si="264"/>
        <v>Pink fluffy bloom</v>
      </c>
      <c r="Y352" s="120" t="b">
        <f t="shared" si="265"/>
        <v>0</v>
      </c>
      <c r="Z352" s="117">
        <f t="shared" si="266"/>
        <v>0</v>
      </c>
      <c r="AA352" s="118"/>
      <c r="AB352" s="118" t="str">
        <f t="shared" si="267"/>
        <v/>
      </c>
      <c r="AC352" s="712" t="str">
        <f>IF(AE352="T2G","no charge",IF(AND(OR(PlanterYesMe="No",PlanterYesMe="N",PlanterYesMe="me"),H352=""),"",IF(H352="credit","NO install",IF(AND(K352="",AE352="me"),"EACH row",IF(AND(K352="images",AE352="me"),"EACH row",IF(D352="","",IF(H352="credit","",IF(AE352="free","re-planting",IF(AE352="me","   not ELP, by",IF(AND(OR(PlanterYesMe="Yes",PlanterYesMe="Y"),G352&gt;0),(VLOOKUP(A352,'Discount Lookup'!J:K,2)*G352*(1-PlanterDiscount)*(1+PlanterDifficultyPercentage)),IF(AE352="ELP",(VLOOKUP(A352,'Discount Lookup'!J:K,2)*G352*(1-PlanterDiscount)*(1+PlanterDifficultyPercentage)),IF(AE352="free","re-planting",IF(G352=0,"",IF(PlanterYesMe="",IF(AE352="me","   not ELP, by",IF(AE352="",IF(G352&gt;0,(VLOOKUP(A352,'Discount Lookup'!J:K,2)*G352*(1-PlanterDiscount)*(1+PlanterDifficultyPercentage)),""),"")),"   not ELP, by"))))))))))))))</f>
        <v/>
      </c>
      <c r="AD352" s="712"/>
      <c r="AE352" s="513" t="str">
        <f t="shared" si="268"/>
        <v/>
      </c>
      <c r="AF352" s="713" t="str">
        <f t="shared" si="269"/>
        <v/>
      </c>
      <c r="AG352" s="713"/>
      <c r="AH352" s="713"/>
      <c r="AI352" s="112">
        <f>IF(H352="credit",0,IF(AE352="free",0,IF(AE352="me",0,IF(G352&gt;0,(VLOOKUP(A352,'Discount Lookup'!J:K,2)*G352),0))))</f>
        <v>0</v>
      </c>
      <c r="AJ352" s="107" t="str">
        <f t="shared" ca="1" si="270"/>
        <v/>
      </c>
      <c r="AK352" s="714" t="str">
        <f t="shared" si="271"/>
        <v/>
      </c>
      <c r="AL352" s="714"/>
      <c r="AM352" s="114" t="str">
        <f t="shared" si="272"/>
        <v/>
      </c>
      <c r="AN352" s="115"/>
      <c r="AO352" s="116"/>
      <c r="AP352" s="116"/>
      <c r="AQ352" s="116"/>
      <c r="AR352" s="116"/>
      <c r="AS352" s="116"/>
      <c r="AT352" s="116"/>
      <c r="AU352" s="116"/>
      <c r="AV352" s="78"/>
      <c r="AW352" s="102"/>
      <c r="AX352" s="78"/>
      <c r="AY352" s="78"/>
      <c r="AZ352" s="78"/>
      <c r="BA352" s="78"/>
      <c r="BB352" s="78"/>
      <c r="BC352" s="78"/>
      <c r="BD352" s="78"/>
      <c r="BE352" s="465"/>
      <c r="BF352" s="165" t="str">
        <f t="shared" si="273"/>
        <v>https://www.google.com/search?tbm=isch&amp;q=Albizia%20julibrissin%20%27Pos1%27%20Tropical%20Dream%20Mimosa%20Tree</v>
      </c>
      <c r="BG352" s="165" t="str">
        <f t="shared" si="274"/>
        <v>A</v>
      </c>
      <c r="BH352" s="65"/>
      <c r="BI352" s="65"/>
      <c r="BJ352" s="65"/>
      <c r="BK352" s="65"/>
      <c r="BL352" s="99"/>
      <c r="BM352" s="99"/>
      <c r="BN352" s="99"/>
    </row>
    <row r="353" spans="1:66" s="51" customFormat="1" ht="15.75" x14ac:dyDescent="0.25">
      <c r="A353" s="634">
        <v>7</v>
      </c>
      <c r="B353" s="635" t="s">
        <v>291</v>
      </c>
      <c r="C353" s="636" t="s">
        <v>923</v>
      </c>
      <c r="D353" s="637" t="s">
        <v>299</v>
      </c>
      <c r="E353" s="638">
        <v>125.95</v>
      </c>
      <c r="F353" s="639" t="s">
        <v>292</v>
      </c>
      <c r="G353" s="484">
        <v>0</v>
      </c>
      <c r="H353" s="691" t="str">
        <f>IF(G353=0,"",IF(F353="Buy",IF(G353=1,"plant","plants"),IF(F353&gt;0.01,"warranty","Error")))</f>
        <v/>
      </c>
      <c r="I353" s="640">
        <f>IF(H353="free",0,IF(H353="credit",((E353*(F353))*G353*-1),IF(F353="Buy",(E353*G353),((E353*(1-F353))*G353))))</f>
        <v>0</v>
      </c>
      <c r="J353" s="640">
        <f>IF(H353="warranty",0,(I353*(_xlfn.SINGLE(SalesTaxPercentage))))</f>
        <v>0</v>
      </c>
      <c r="K353" s="716">
        <f t="shared" ref="K353" si="281">I353+J353</f>
        <v>0</v>
      </c>
      <c r="L353" s="716"/>
      <c r="M353" s="689" t="str">
        <f ca="1">IF(AND(G353&gt;0,E353=0),"WARNING - no PRICE inserted",IF(H353="free","FREE ~ no charge this plant",IF(H353="credit",CONCATENATE("-$",ROUND(K353*(1-_xlfn.SINGLE(T2GDiscount))*-1,2)," CREDIT after discount"),IF(_xlfn.SINGLE(T2GDiscount)=0,"",IF(G353=0,"",IF(F353="Buy",CONCATENATE("$",ROUND(K353*(1-_xlfn.SINGLE(T2GDiscount)),2)," with ",(_xlfn.SINGLE(T2GDiscount)*100),"% discount"),CONCATENATE("$",ROUND(K353*(1-_xlfn.SINGLE(T2GDiscount)),2)," with ",((_xlfn.SINGLE(T2GDiscount)*100+F353*100)-(_xlfn.SINGLE(T2GDiscount)*100*F353)),IF(F353&gt;0,"% discounts",IF(_xlfn.SINGLE(NoWarrantyDiscount)&gt;0,"% discounts","% discount")))))))))</f>
        <v/>
      </c>
      <c r="N353" s="690"/>
      <c r="O353" s="486"/>
      <c r="P353" s="486"/>
      <c r="Q353" s="486"/>
      <c r="R353" s="486"/>
      <c r="S353" s="486"/>
      <c r="T353" s="102">
        <f t="shared" si="262"/>
        <v>0</v>
      </c>
      <c r="U353" s="78">
        <f>IF(NOT(ISNUMBER(G353)), "", VLOOKUP(A353,'Discount Lookup'!D:E,2,FALSE)*G353)</f>
        <v>0</v>
      </c>
      <c r="V353" s="78">
        <f>IF(NOT(ISNUMBER(G353)), "", VLOOKUP(A353,'Discount Lookup'!G:H,2,FALSE)*G353)</f>
        <v>0</v>
      </c>
      <c r="W353" s="102">
        <f t="shared" si="263"/>
        <v>0</v>
      </c>
      <c r="X353" s="102">
        <f t="shared" si="264"/>
        <v>0</v>
      </c>
      <c r="Y353" s="120" t="b">
        <f t="shared" si="265"/>
        <v>0</v>
      </c>
      <c r="Z353" s="117">
        <f t="shared" si="266"/>
        <v>0</v>
      </c>
      <c r="AA353" s="118"/>
      <c r="AB353" s="118" t="str">
        <f t="shared" si="267"/>
        <v/>
      </c>
      <c r="AC353" s="712" t="str">
        <f>IF(AE353="T2G","no charge",IF(AND(OR(PlanterYesMe="No",PlanterYesMe="N",PlanterYesMe="me"),H353=""),"",IF(H353="credit","NO install",IF(AND(K353="",AE353="me"),"EACH row",IF(AND(K353="images",AE353="me"),"EACH row",IF(D353="","",IF(H353="credit","",IF(AE353="free","re-planting",IF(AE353="me","   not ELP, by",IF(AND(OR(PlanterYesMe="Yes",PlanterYesMe="Y"),G353&gt;0),(VLOOKUP(A353,'Discount Lookup'!J:K,2)*G353*(1-PlanterDiscount)*(1+PlanterDifficultyPercentage)),IF(AE353="ELP",(VLOOKUP(A353,'Discount Lookup'!J:K,2)*G353*(1-PlanterDiscount)*(1+PlanterDifficultyPercentage)),IF(AE353="free","re-planting",IF(G353=0,"",IF(PlanterYesMe="",IF(AE353="me","   not ELP, by",IF(AE353="",IF(G353&gt;0,(VLOOKUP(A353,'Discount Lookup'!J:K,2)*G353*(1-PlanterDiscount)*(1+PlanterDifficultyPercentage)),""),"")),"   not ELP, by"))))))))))))))</f>
        <v/>
      </c>
      <c r="AD353" s="712"/>
      <c r="AE353" s="513" t="str">
        <f t="shared" si="268"/>
        <v/>
      </c>
      <c r="AF353" s="713" t="str">
        <f t="shared" si="269"/>
        <v/>
      </c>
      <c r="AG353" s="713"/>
      <c r="AH353" s="713"/>
      <c r="AI353" s="112">
        <f>IF(H353="credit",0,IF(AE353="free",0,IF(AE353="me",0,IF(G353&gt;0,(VLOOKUP(A353,'Discount Lookup'!J:K,2)*G353),0))))</f>
        <v>0</v>
      </c>
      <c r="AJ353" s="107" t="str">
        <f t="shared" ca="1" si="270"/>
        <v/>
      </c>
      <c r="AK353" s="714" t="str">
        <f t="shared" si="271"/>
        <v/>
      </c>
      <c r="AL353" s="714"/>
      <c r="AM353" s="114" t="str">
        <f t="shared" si="272"/>
        <v/>
      </c>
      <c r="AN353" s="115"/>
      <c r="AO353" s="116"/>
      <c r="AP353" s="116"/>
      <c r="AQ353" s="116"/>
      <c r="AR353" s="116"/>
      <c r="AS353" s="116"/>
      <c r="AT353" s="116"/>
      <c r="AU353" s="116"/>
      <c r="AV353" s="78"/>
      <c r="AW353" s="102"/>
      <c r="AX353" s="78"/>
      <c r="AY353" s="78"/>
      <c r="AZ353" s="78"/>
      <c r="BA353" s="78"/>
      <c r="BB353" s="78"/>
      <c r="BC353" s="78"/>
      <c r="BD353" s="78"/>
      <c r="BE353" s="465"/>
      <c r="BF353" s="165" t="str">
        <f t="shared" si="273"/>
        <v>https://www.google.com/search?tbm=isch&amp;q=7%20G4</v>
      </c>
      <c r="BG353" s="165" t="str">
        <f t="shared" si="274"/>
        <v>A</v>
      </c>
      <c r="BH353" s="65"/>
      <c r="BI353" s="65"/>
      <c r="BJ353" s="65"/>
      <c r="BK353" s="65"/>
      <c r="BL353" s="99"/>
      <c r="BM353" s="99"/>
      <c r="BN353" s="99"/>
    </row>
    <row r="354" spans="1:66" s="51" customFormat="1" ht="17.25" thickBot="1" x14ac:dyDescent="0.3">
      <c r="A354" s="641" t="s">
        <v>1464</v>
      </c>
      <c r="B354" s="642"/>
      <c r="C354" s="710"/>
      <c r="D354" s="643"/>
      <c r="E354" s="643"/>
      <c r="F354" s="644"/>
      <c r="G354" s="645"/>
      <c r="H354" s="646"/>
      <c r="I354" s="647"/>
      <c r="J354" s="648"/>
      <c r="K354" s="649"/>
      <c r="L354" s="650"/>
      <c r="M354" s="650"/>
      <c r="N354" s="644"/>
      <c r="O354" s="644"/>
      <c r="P354" s="644"/>
      <c r="Q354" s="644"/>
      <c r="R354" s="644"/>
      <c r="S354" s="701" t="s">
        <v>5263</v>
      </c>
      <c r="T354" s="102">
        <f t="shared" si="262"/>
        <v>0</v>
      </c>
      <c r="U354" s="78" t="str">
        <f>IF(NOT(ISNUMBER(G354)), "", VLOOKUP(A354,'Discount Lookup'!D:E,2,FALSE)*G354)</f>
        <v/>
      </c>
      <c r="V354" s="78" t="str">
        <f>IF(NOT(ISNUMBER(G354)), "", VLOOKUP(A354,'Discount Lookup'!G:H,2,FALSE)*G354)</f>
        <v/>
      </c>
      <c r="W354" s="102">
        <f t="shared" si="263"/>
        <v>0</v>
      </c>
      <c r="X354" s="102">
        <f t="shared" si="264"/>
        <v>0</v>
      </c>
      <c r="Y354" s="120" t="b">
        <f t="shared" si="265"/>
        <v>0</v>
      </c>
      <c r="Z354" s="117">
        <f t="shared" si="266"/>
        <v>0</v>
      </c>
      <c r="AA354" s="118"/>
      <c r="AB354" s="118" t="str">
        <f t="shared" si="267"/>
        <v/>
      </c>
      <c r="AC354" s="712" t="str">
        <f>IF(AE354="T2G","no charge",IF(AND(OR(PlanterYesMe="No",PlanterYesMe="N",PlanterYesMe="me"),H354=""),"",IF(H354="credit","NO install",IF(AND(K354="",AE354="me"),"EACH row",IF(AND(K354="images",AE354="me"),"EACH row",IF(D354="","",IF(H354="credit","",IF(AE354="free","re-planting",IF(AE354="me","   not ELP, by",IF(AND(OR(PlanterYesMe="Yes",PlanterYesMe="Y"),G354&gt;0),(VLOOKUP(A354,'Discount Lookup'!J:K,2)*G354*(1-PlanterDiscount)*(1+PlanterDifficultyPercentage)),IF(AE354="ELP",(VLOOKUP(A354,'Discount Lookup'!J:K,2)*G354*(1-PlanterDiscount)*(1+PlanterDifficultyPercentage)),IF(AE354="free","re-planting",IF(G354=0,"",IF(PlanterYesMe="",IF(AE354="me","   not ELP, by",IF(AE354="",IF(G354&gt;0,(VLOOKUP(A354,'Discount Lookup'!J:K,2)*G354*(1-PlanterDiscount)*(1+PlanterDifficultyPercentage)),""),"")),"   not ELP, by"))))))))))))))</f>
        <v/>
      </c>
      <c r="AD354" s="712"/>
      <c r="AE354" s="513" t="str">
        <f t="shared" si="268"/>
        <v/>
      </c>
      <c r="AF354" s="713" t="str">
        <f t="shared" si="269"/>
        <v/>
      </c>
      <c r="AG354" s="713"/>
      <c r="AH354" s="713"/>
      <c r="AI354" s="112">
        <f>IF(H354="credit",0,IF(AE354="free",0,IF(AE354="me",0,IF(G354&gt;0,(VLOOKUP(A354,'Discount Lookup'!J:K,2)*G354),0))))</f>
        <v>0</v>
      </c>
      <c r="AJ354" s="107" t="str">
        <f t="shared" ca="1" si="270"/>
        <v/>
      </c>
      <c r="AK354" s="714" t="str">
        <f t="shared" si="271"/>
        <v/>
      </c>
      <c r="AL354" s="714"/>
      <c r="AM354" s="114" t="str">
        <f t="shared" si="272"/>
        <v/>
      </c>
      <c r="AN354" s="115"/>
      <c r="AO354" s="116"/>
      <c r="AP354" s="116"/>
      <c r="AQ354" s="116"/>
      <c r="AR354" s="116"/>
      <c r="AS354" s="116"/>
      <c r="AT354" s="116"/>
      <c r="AU354" s="116"/>
      <c r="AV354" s="78"/>
      <c r="AW354" s="102"/>
      <c r="AX354" s="78"/>
      <c r="AY354" s="78"/>
      <c r="AZ354" s="78"/>
      <c r="BA354" s="78"/>
      <c r="BB354" s="78"/>
      <c r="BC354" s="78"/>
      <c r="BD354" s="78"/>
      <c r="BE354" s="465"/>
      <c r="BF354" s="165" t="str">
        <f t="shared" si="273"/>
        <v>https://www.google.com/search?tbm=isch&amp;q=Tropical%20Dream%20blooms%20all%20through%20summer.%20Feathery%20fern%E2%80%91like%20foliage%20turns%20vibrant%20Yellow%20in%20fall%20</v>
      </c>
      <c r="BG354" s="165" t="str">
        <f t="shared" si="274"/>
        <v>T</v>
      </c>
      <c r="BH354" s="65"/>
      <c r="BI354" s="65"/>
      <c r="BJ354" s="65"/>
      <c r="BK354" s="65"/>
      <c r="BL354" s="99"/>
      <c r="BM354" s="99"/>
      <c r="BN354" s="99"/>
    </row>
    <row r="355" spans="1:66" s="51" customFormat="1" ht="18" x14ac:dyDescent="0.25">
      <c r="A355" s="623" t="s">
        <v>1465</v>
      </c>
      <c r="B355" s="624"/>
      <c r="C355" s="709"/>
      <c r="D355" s="625" t="s">
        <v>1466</v>
      </c>
      <c r="E355" s="626"/>
      <c r="F355" s="626"/>
      <c r="G355" s="626"/>
      <c r="H355" s="622" t="s">
        <v>1174</v>
      </c>
      <c r="I355" s="627" t="s">
        <v>1463</v>
      </c>
      <c r="J355" s="628"/>
      <c r="K355" s="628"/>
      <c r="L355" s="629"/>
      <c r="M355" s="700" t="s">
        <v>5241</v>
      </c>
      <c r="N355" s="693" t="str">
        <f>IF(AND(ISTEXT($A355), ISERROR($A355+0)), HYPERLINK($BF355, "Images"), "")</f>
        <v>Images</v>
      </c>
      <c r="O355" s="695" t="s">
        <v>5244</v>
      </c>
      <c r="P355" s="630"/>
      <c r="Q355" s="631"/>
      <c r="R355" s="632"/>
      <c r="S355" s="633"/>
      <c r="T355" s="102">
        <f t="shared" si="262"/>
        <v>0</v>
      </c>
      <c r="U355" s="78" t="str">
        <f>IF(NOT(ISNUMBER(G355)), "", VLOOKUP(A355,'Discount Lookup'!D:E,2,FALSE)*G355)</f>
        <v/>
      </c>
      <c r="V355" s="78" t="str">
        <f>IF(NOT(ISNUMBER(G355)), "", VLOOKUP(A355,'Discount Lookup'!G:H,2,FALSE)*G355)</f>
        <v/>
      </c>
      <c r="W355" s="102">
        <f t="shared" si="263"/>
        <v>0</v>
      </c>
      <c r="X355" s="102" t="str">
        <f t="shared" si="264"/>
        <v>Pink fluffy bloom</v>
      </c>
      <c r="Y355" s="120" t="b">
        <f t="shared" si="265"/>
        <v>0</v>
      </c>
      <c r="Z355" s="117">
        <f t="shared" si="266"/>
        <v>0</v>
      </c>
      <c r="AA355" s="118"/>
      <c r="AB355" s="118" t="str">
        <f t="shared" si="267"/>
        <v/>
      </c>
      <c r="AC355" s="712" t="str">
        <f>IF(AE355="T2G","no charge",IF(AND(OR(PlanterYesMe="No",PlanterYesMe="N",PlanterYesMe="me"),H355=""),"",IF(H355="credit","NO install",IF(AND(K355="",AE355="me"),"EACH row",IF(AND(K355="images",AE355="me"),"EACH row",IF(D355="","",IF(H355="credit","",IF(AE355="free","re-planting",IF(AE355="me","   not ELP, by",IF(AND(OR(PlanterYesMe="Yes",PlanterYesMe="Y"),G355&gt;0),(VLOOKUP(A355,'Discount Lookup'!J:K,2)*G355*(1-PlanterDiscount)*(1+PlanterDifficultyPercentage)),IF(AE355="ELP",(VLOOKUP(A355,'Discount Lookup'!J:K,2)*G355*(1-PlanterDiscount)*(1+PlanterDifficultyPercentage)),IF(AE355="free","re-planting",IF(G355=0,"",IF(PlanterYesMe="",IF(AE355="me","   not ELP, by",IF(AE355="",IF(G355&gt;0,(VLOOKUP(A355,'Discount Lookup'!J:K,2)*G355*(1-PlanterDiscount)*(1+PlanterDifficultyPercentage)),""),"")),"   not ELP, by"))))))))))))))</f>
        <v/>
      </c>
      <c r="AD355" s="712"/>
      <c r="AE355" s="513" t="str">
        <f t="shared" si="268"/>
        <v/>
      </c>
      <c r="AF355" s="713" t="str">
        <f t="shared" si="269"/>
        <v/>
      </c>
      <c r="AG355" s="713"/>
      <c r="AH355" s="713"/>
      <c r="AI355" s="112">
        <f>IF(H355="credit",0,IF(AE355="free",0,IF(AE355="me",0,IF(G355&gt;0,(VLOOKUP(A355,'Discount Lookup'!J:K,2)*G355),0))))</f>
        <v>0</v>
      </c>
      <c r="AJ355" s="107" t="str">
        <f t="shared" ca="1" si="270"/>
        <v/>
      </c>
      <c r="AK355" s="714" t="str">
        <f t="shared" si="271"/>
        <v/>
      </c>
      <c r="AL355" s="714"/>
      <c r="AM355" s="114" t="str">
        <f t="shared" si="272"/>
        <v/>
      </c>
      <c r="AN355" s="115"/>
      <c r="AO355" s="116"/>
      <c r="AP355" s="116"/>
      <c r="AQ355" s="116"/>
      <c r="AR355" s="116"/>
      <c r="AS355" s="116"/>
      <c r="AT355" s="116"/>
      <c r="AU355" s="116"/>
      <c r="AV355" s="78"/>
      <c r="AW355" s="102"/>
      <c r="AX355" s="78"/>
      <c r="AY355" s="78"/>
      <c r="AZ355" s="78"/>
      <c r="BA355" s="78"/>
      <c r="BB355" s="78"/>
      <c r="BC355" s="78"/>
      <c r="BD355" s="78"/>
      <c r="BE355" s="465"/>
      <c r="BF355" s="165" t="str">
        <f t="shared" si="273"/>
        <v>https://www.google.com/search?tbm=isch&amp;q=Albizia%20julibrissin%20%27Summer%20Chocolate%27%20Summer%20Chocolate%20Mimosa%20Tree</v>
      </c>
      <c r="BG355" s="165" t="str">
        <f t="shared" si="274"/>
        <v>A</v>
      </c>
      <c r="BH355" s="65"/>
      <c r="BI355" s="65"/>
      <c r="BJ355" s="65"/>
      <c r="BK355" s="65"/>
      <c r="BL355" s="99"/>
      <c r="BM355" s="99"/>
      <c r="BN355" s="99"/>
    </row>
    <row r="356" spans="1:66" s="51" customFormat="1" ht="15.75" x14ac:dyDescent="0.25">
      <c r="A356" s="634">
        <v>7</v>
      </c>
      <c r="B356" s="635" t="s">
        <v>291</v>
      </c>
      <c r="C356" s="636" t="s">
        <v>1467</v>
      </c>
      <c r="D356" s="637" t="s">
        <v>299</v>
      </c>
      <c r="E356" s="638">
        <v>125.95</v>
      </c>
      <c r="F356" s="639" t="s">
        <v>292</v>
      </c>
      <c r="G356" s="484">
        <v>0</v>
      </c>
      <c r="H356" s="691" t="str">
        <f>IF(G356=0,"",IF(F356="Buy",IF(G356=1,"plant","plants"),IF(F356&gt;0.01,"warranty","Error")))</f>
        <v/>
      </c>
      <c r="I356" s="640">
        <f>IF(H356="free",0,IF(H356="credit",((E356*(F356))*G356*-1),IF(F356="Buy",(E356*G356),((E356*(1-F356))*G356))))</f>
        <v>0</v>
      </c>
      <c r="J356" s="640">
        <f>IF(H356="warranty",0,(I356*(_xlfn.SINGLE(SalesTaxPercentage))))</f>
        <v>0</v>
      </c>
      <c r="K356" s="716">
        <f t="shared" ref="K356" si="282">I356+J356</f>
        <v>0</v>
      </c>
      <c r="L356" s="716"/>
      <c r="M356" s="689" t="str">
        <f ca="1">IF(AND(G356&gt;0,E356=0),"WARNING - no PRICE inserted",IF(H356="free","FREE ~ no charge this plant",IF(H356="credit",CONCATENATE("-$",ROUND(K356*(1-_xlfn.SINGLE(T2GDiscount))*-1,2)," CREDIT after discount"),IF(_xlfn.SINGLE(T2GDiscount)=0,"",IF(G356=0,"",IF(F356="Buy",CONCATENATE("$",ROUND(K356*(1-_xlfn.SINGLE(T2GDiscount)),2)," with ",(_xlfn.SINGLE(T2GDiscount)*100),"% discount"),CONCATENATE("$",ROUND(K356*(1-_xlfn.SINGLE(T2GDiscount)),2)," with ",((_xlfn.SINGLE(T2GDiscount)*100+F356*100)-(_xlfn.SINGLE(T2GDiscount)*100*F356)),IF(F356&gt;0,"% discounts",IF(_xlfn.SINGLE(NoWarrantyDiscount)&gt;0,"% discounts","% discount")))))))))</f>
        <v/>
      </c>
      <c r="N356" s="690"/>
      <c r="O356" s="486"/>
      <c r="P356" s="486"/>
      <c r="Q356" s="486"/>
      <c r="R356" s="486"/>
      <c r="S356" s="486"/>
      <c r="T356" s="102">
        <f t="shared" si="262"/>
        <v>0</v>
      </c>
      <c r="U356" s="78">
        <f>IF(NOT(ISNUMBER(G356)), "", VLOOKUP(A356,'Discount Lookup'!D:E,2,FALSE)*G356)</f>
        <v>0</v>
      </c>
      <c r="V356" s="78">
        <f>IF(NOT(ISNUMBER(G356)), "", VLOOKUP(A356,'Discount Lookup'!G:H,2,FALSE)*G356)</f>
        <v>0</v>
      </c>
      <c r="W356" s="102">
        <f t="shared" si="263"/>
        <v>0</v>
      </c>
      <c r="X356" s="102">
        <f t="shared" si="264"/>
        <v>0</v>
      </c>
      <c r="Y356" s="120" t="b">
        <f t="shared" si="265"/>
        <v>0</v>
      </c>
      <c r="Z356" s="117">
        <f t="shared" si="266"/>
        <v>0</v>
      </c>
      <c r="AA356" s="118"/>
      <c r="AB356" s="118" t="str">
        <f t="shared" si="267"/>
        <v/>
      </c>
      <c r="AC356" s="712" t="str">
        <f>IF(AE356="T2G","no charge",IF(AND(OR(PlanterYesMe="No",PlanterYesMe="N",PlanterYesMe="me"),H356=""),"",IF(H356="credit","NO install",IF(AND(K356="",AE356="me"),"EACH row",IF(AND(K356="images",AE356="me"),"EACH row",IF(D356="","",IF(H356="credit","",IF(AE356="free","re-planting",IF(AE356="me","   not ELP, by",IF(AND(OR(PlanterYesMe="Yes",PlanterYesMe="Y"),G356&gt;0),(VLOOKUP(A356,'Discount Lookup'!J:K,2)*G356*(1-PlanterDiscount)*(1+PlanterDifficultyPercentage)),IF(AE356="ELP",(VLOOKUP(A356,'Discount Lookup'!J:K,2)*G356*(1-PlanterDiscount)*(1+PlanterDifficultyPercentage)),IF(AE356="free","re-planting",IF(G356=0,"",IF(PlanterYesMe="",IF(AE356="me","   not ELP, by",IF(AE356="",IF(G356&gt;0,(VLOOKUP(A356,'Discount Lookup'!J:K,2)*G356*(1-PlanterDiscount)*(1+PlanterDifficultyPercentage)),""),"")),"   not ELP, by"))))))))))))))</f>
        <v/>
      </c>
      <c r="AD356" s="712"/>
      <c r="AE356" s="513" t="str">
        <f t="shared" si="268"/>
        <v/>
      </c>
      <c r="AF356" s="713" t="str">
        <f t="shared" si="269"/>
        <v/>
      </c>
      <c r="AG356" s="713"/>
      <c r="AH356" s="713"/>
      <c r="AI356" s="112">
        <f>IF(H356="credit",0,IF(AE356="free",0,IF(AE356="me",0,IF(G356&gt;0,(VLOOKUP(A356,'Discount Lookup'!J:K,2)*G356),0))))</f>
        <v>0</v>
      </c>
      <c r="AJ356" s="107" t="str">
        <f t="shared" ca="1" si="270"/>
        <v/>
      </c>
      <c r="AK356" s="714" t="str">
        <f t="shared" si="271"/>
        <v/>
      </c>
      <c r="AL356" s="714"/>
      <c r="AM356" s="114" t="str">
        <f t="shared" si="272"/>
        <v/>
      </c>
      <c r="AN356" s="115"/>
      <c r="AO356" s="116"/>
      <c r="AP356" s="116"/>
      <c r="AQ356" s="116"/>
      <c r="AR356" s="116"/>
      <c r="AS356" s="116"/>
      <c r="AT356" s="116"/>
      <c r="AU356" s="116"/>
      <c r="AV356" s="78"/>
      <c r="AW356" s="102"/>
      <c r="AX356" s="78"/>
      <c r="AY356" s="78"/>
      <c r="AZ356" s="78"/>
      <c r="BA356" s="78"/>
      <c r="BB356" s="78"/>
      <c r="BC356" s="78"/>
      <c r="BD356" s="78"/>
      <c r="BE356" s="465"/>
      <c r="BF356" s="165" t="str">
        <f t="shared" si="273"/>
        <v>https://www.google.com/search?tbm=isch&amp;q=7%20G4</v>
      </c>
      <c r="BG356" s="165" t="str">
        <f t="shared" si="274"/>
        <v>A</v>
      </c>
      <c r="BH356" s="65"/>
      <c r="BI356" s="65"/>
      <c r="BJ356" s="65"/>
      <c r="BK356" s="65"/>
      <c r="BL356" s="99"/>
      <c r="BM356" s="99"/>
      <c r="BN356" s="99"/>
    </row>
    <row r="357" spans="1:66" s="51" customFormat="1" ht="16.5" x14ac:dyDescent="0.25">
      <c r="A357" s="641" t="s">
        <v>1468</v>
      </c>
      <c r="B357" s="642"/>
      <c r="C357" s="710"/>
      <c r="D357" s="643"/>
      <c r="E357" s="643"/>
      <c r="F357" s="644"/>
      <c r="G357" s="645"/>
      <c r="H357" s="646"/>
      <c r="I357" s="647"/>
      <c r="J357" s="648"/>
      <c r="K357" s="649"/>
      <c r="L357" s="650"/>
      <c r="M357" s="650"/>
      <c r="N357" s="644"/>
      <c r="O357" s="644"/>
      <c r="P357" s="644"/>
      <c r="Q357" s="644"/>
      <c r="R357" s="644"/>
      <c r="S357" s="701" t="s">
        <v>5263</v>
      </c>
      <c r="T357" s="102">
        <f t="shared" si="262"/>
        <v>0</v>
      </c>
      <c r="U357" s="78" t="str">
        <f>IF(NOT(ISNUMBER(G357)), "", VLOOKUP(A357,'Discount Lookup'!D:E,2,FALSE)*G357)</f>
        <v/>
      </c>
      <c r="V357" s="78" t="str">
        <f>IF(NOT(ISNUMBER(G357)), "", VLOOKUP(A357,'Discount Lookup'!G:H,2,FALSE)*G357)</f>
        <v/>
      </c>
      <c r="W357" s="102">
        <f t="shared" si="263"/>
        <v>0</v>
      </c>
      <c r="X357" s="102">
        <f t="shared" si="264"/>
        <v>0</v>
      </c>
      <c r="Y357" s="120" t="b">
        <f t="shared" si="265"/>
        <v>0</v>
      </c>
      <c r="Z357" s="117">
        <f t="shared" si="266"/>
        <v>0</v>
      </c>
      <c r="AA357" s="118"/>
      <c r="AB357" s="118" t="str">
        <f t="shared" si="267"/>
        <v/>
      </c>
      <c r="AC357" s="712" t="str">
        <f>IF(AE357="T2G","no charge",IF(AND(OR(PlanterYesMe="No",PlanterYesMe="N",PlanterYesMe="me"),H357=""),"",IF(H357="credit","NO install",IF(AND(K357="",AE357="me"),"EACH row",IF(AND(K357="images",AE357="me"),"EACH row",IF(D357="","",IF(H357="credit","",IF(AE357="free","re-planting",IF(AE357="me","   not ELP, by",IF(AND(OR(PlanterYesMe="Yes",PlanterYesMe="Y"),G357&gt;0),(VLOOKUP(A357,'Discount Lookup'!J:K,2)*G357*(1-PlanterDiscount)*(1+PlanterDifficultyPercentage)),IF(AE357="ELP",(VLOOKUP(A357,'Discount Lookup'!J:K,2)*G357*(1-PlanterDiscount)*(1+PlanterDifficultyPercentage)),IF(AE357="free","re-planting",IF(G357=0,"",IF(PlanterYesMe="",IF(AE357="me","   not ELP, by",IF(AE357="",IF(G357&gt;0,(VLOOKUP(A357,'Discount Lookup'!J:K,2)*G357*(1-PlanterDiscount)*(1+PlanterDifficultyPercentage)),""),"")),"   not ELP, by"))))))))))))))</f>
        <v/>
      </c>
      <c r="AD357" s="712"/>
      <c r="AE357" s="513" t="str">
        <f t="shared" si="268"/>
        <v/>
      </c>
      <c r="AF357" s="713" t="str">
        <f t="shared" si="269"/>
        <v/>
      </c>
      <c r="AG357" s="713"/>
      <c r="AH357" s="713"/>
      <c r="AI357" s="112">
        <f>IF(H357="credit",0,IF(AE357="free",0,IF(AE357="me",0,IF(G357&gt;0,(VLOOKUP(A357,'Discount Lookup'!J:K,2)*G357),0))))</f>
        <v>0</v>
      </c>
      <c r="AJ357" s="107" t="str">
        <f t="shared" ca="1" si="270"/>
        <v/>
      </c>
      <c r="AK357" s="714" t="str">
        <f t="shared" si="271"/>
        <v/>
      </c>
      <c r="AL357" s="714"/>
      <c r="AM357" s="114" t="str">
        <f t="shared" si="272"/>
        <v/>
      </c>
      <c r="AN357" s="115"/>
      <c r="AO357" s="116"/>
      <c r="AP357" s="116"/>
      <c r="AQ357" s="116"/>
      <c r="AR357" s="116"/>
      <c r="AS357" s="116"/>
      <c r="AT357" s="116"/>
      <c r="AU357" s="116"/>
      <c r="AV357" s="78"/>
      <c r="AW357" s="102"/>
      <c r="AX357" s="78"/>
      <c r="AY357" s="78"/>
      <c r="AZ357" s="78"/>
      <c r="BA357" s="78"/>
      <c r="BB357" s="78"/>
      <c r="BC357" s="78"/>
      <c r="BD357" s="78"/>
      <c r="BE357" s="465"/>
      <c r="BF357" s="165" t="str">
        <f t="shared" si="273"/>
        <v>https://www.google.com/search?tbm=isch&amp;q=Summer%20Chocolate%20has%20rich%20Burgundy%20foliage%2C%20fragrant%20blooms%2C%20and%20a%20graceful%20tropical%20canopy%20</v>
      </c>
      <c r="BG357" s="165" t="str">
        <f t="shared" si="274"/>
        <v>S</v>
      </c>
      <c r="BH357" s="65"/>
      <c r="BI357" s="65"/>
      <c r="BJ357" s="65"/>
      <c r="BK357" s="65"/>
      <c r="BL357" s="99"/>
      <c r="BM357" s="99"/>
      <c r="BN357" s="99"/>
    </row>
    <row r="358" spans="1:66" s="51" customFormat="1" ht="19.5" thickBot="1" x14ac:dyDescent="0.3">
      <c r="A358" s="686" t="s">
        <v>4938</v>
      </c>
      <c r="B358" s="73"/>
      <c r="C358" s="708"/>
      <c r="D358" s="73"/>
      <c r="E358" s="73"/>
      <c r="F358" s="496"/>
      <c r="G358" s="73"/>
      <c r="H358" s="73"/>
      <c r="I358" s="73"/>
      <c r="J358" s="497" t="s">
        <v>357</v>
      </c>
      <c r="K358" s="498"/>
      <c r="L358" s="562"/>
      <c r="M358" s="73"/>
      <c r="N358"/>
      <c r="O358"/>
      <c r="P358"/>
      <c r="Q358"/>
      <c r="R358"/>
      <c r="S358"/>
      <c r="T358" s="102">
        <f t="shared" si="262"/>
        <v>0</v>
      </c>
      <c r="U358" s="78" t="str">
        <f>IF(NOT(ISNUMBER(G358)), "", VLOOKUP(A358,'Discount Lookup'!D:E,2,FALSE)*G358)</f>
        <v/>
      </c>
      <c r="V358" s="78" t="str">
        <f>IF(NOT(ISNUMBER(G358)), "", VLOOKUP(A358,'Discount Lookup'!G:H,2,FALSE)*G358)</f>
        <v/>
      </c>
      <c r="W358" s="102">
        <f t="shared" si="263"/>
        <v>0</v>
      </c>
      <c r="X358" s="102">
        <f t="shared" si="264"/>
        <v>0</v>
      </c>
      <c r="Y358" s="120" t="b">
        <f t="shared" si="265"/>
        <v>0</v>
      </c>
      <c r="Z358" s="117">
        <f t="shared" si="266"/>
        <v>0</v>
      </c>
      <c r="AA358" s="118"/>
      <c r="AB358" s="118" t="str">
        <f t="shared" si="267"/>
        <v/>
      </c>
      <c r="AC358" s="712" t="str">
        <f>IF(AE358="T2G","no charge",IF(AND(OR(PlanterYesMe="No",PlanterYesMe="N",PlanterYesMe="me"),H358=""),"",IF(H358="credit","NO install",IF(AND(K358="",AE358="me"),"EACH row",IF(AND(K358="images",AE358="me"),"EACH row",IF(D358="","",IF(H358="credit","",IF(AE358="free","re-planting",IF(AE358="me","   not ELP, by",IF(AND(OR(PlanterYesMe="Yes",PlanterYesMe="Y"),G358&gt;0),(VLOOKUP(A358,'Discount Lookup'!J:K,2)*G358*(1-PlanterDiscount)*(1+PlanterDifficultyPercentage)),IF(AE358="ELP",(VLOOKUP(A358,'Discount Lookup'!J:K,2)*G358*(1-PlanterDiscount)*(1+PlanterDifficultyPercentage)),IF(AE358="free","re-planting",IF(G358=0,"",IF(PlanterYesMe="",IF(AE358="me","   not ELP, by",IF(AE358="",IF(G358&gt;0,(VLOOKUP(A358,'Discount Lookup'!J:K,2)*G358*(1-PlanterDiscount)*(1+PlanterDifficultyPercentage)),""),"")),"   not ELP, by"))))))))))))))</f>
        <v/>
      </c>
      <c r="AD358" s="712"/>
      <c r="AE358" s="513" t="str">
        <f t="shared" si="268"/>
        <v/>
      </c>
      <c r="AF358" s="713" t="str">
        <f t="shared" si="269"/>
        <v/>
      </c>
      <c r="AG358" s="713"/>
      <c r="AH358" s="713"/>
      <c r="AI358" s="112">
        <f>IF(H358="credit",0,IF(AE358="free",0,IF(AE358="me",0,IF(G358&gt;0,(VLOOKUP(A358,'Discount Lookup'!J:K,2)*G358),0))))</f>
        <v>0</v>
      </c>
      <c r="AJ358" s="107" t="str">
        <f t="shared" ca="1" si="270"/>
        <v/>
      </c>
      <c r="AK358" s="714" t="str">
        <f t="shared" si="271"/>
        <v/>
      </c>
      <c r="AL358" s="714"/>
      <c r="AM358" s="114" t="str">
        <f t="shared" si="272"/>
        <v/>
      </c>
      <c r="AN358" s="115"/>
      <c r="AO358" s="116"/>
      <c r="AP358" s="116"/>
      <c r="AQ358" s="116"/>
      <c r="AR358" s="116"/>
      <c r="AS358" s="116"/>
      <c r="AT358" s="116"/>
      <c r="AU358" s="116"/>
      <c r="AV358" s="78"/>
      <c r="AW358" s="102"/>
      <c r="AX358" s="78"/>
      <c r="AY358" s="78"/>
      <c r="AZ358" s="78"/>
      <c r="BA358" s="78"/>
      <c r="BB358" s="78"/>
      <c r="BC358" s="78"/>
      <c r="BD358" s="78"/>
      <c r="BE358" s="465"/>
      <c r="BF358" s="165" t="str">
        <f t="shared" si="273"/>
        <v>https://www.google.com/search?tbm=isch&amp;q=Alocasia%20%3D%201%20of%202%20Elephant%20Ear%20types%20%28see%20also%20Colocasia%29%20</v>
      </c>
      <c r="BG358" s="165" t="str">
        <f t="shared" si="274"/>
        <v>A</v>
      </c>
      <c r="BH358" s="65"/>
      <c r="BI358" s="65"/>
      <c r="BJ358" s="65"/>
      <c r="BK358" s="65"/>
      <c r="BL358" s="99"/>
      <c r="BM358" s="99"/>
      <c r="BN358" s="99"/>
    </row>
    <row r="359" spans="1:66" s="51" customFormat="1" ht="18" x14ac:dyDescent="0.25">
      <c r="A359" s="623" t="s">
        <v>1469</v>
      </c>
      <c r="B359" s="624"/>
      <c r="C359" s="709"/>
      <c r="D359" s="625" t="s">
        <v>1470</v>
      </c>
      <c r="E359" s="626"/>
      <c r="F359" s="626"/>
      <c r="G359" s="626"/>
      <c r="H359" s="622" t="s">
        <v>1471</v>
      </c>
      <c r="I359" s="627" t="s">
        <v>1472</v>
      </c>
      <c r="J359" s="628"/>
      <c r="K359" s="628"/>
      <c r="L359" s="629"/>
      <c r="M359" s="702" t="s">
        <v>5252</v>
      </c>
      <c r="N359" s="693" t="str">
        <f>IF(AND(ISTEXT($A359), ISERROR($A359+0)), HYPERLINK($BF359, "Images"), "")</f>
        <v>Images</v>
      </c>
      <c r="O359" s="695" t="s">
        <v>5264</v>
      </c>
      <c r="P359" s="630"/>
      <c r="Q359" s="631"/>
      <c r="R359" s="632"/>
      <c r="S359" s="633"/>
      <c r="T359" s="102">
        <f t="shared" si="262"/>
        <v>0</v>
      </c>
      <c r="U359" s="78" t="str">
        <f>IF(NOT(ISNUMBER(G359)), "", VLOOKUP(A359,'Discount Lookup'!D:E,2,FALSE)*G359)</f>
        <v/>
      </c>
      <c r="V359" s="78" t="str">
        <f>IF(NOT(ISNUMBER(G359)), "", VLOOKUP(A359,'Discount Lookup'!G:H,2,FALSE)*G359)</f>
        <v/>
      </c>
      <c r="W359" s="102">
        <f t="shared" si="263"/>
        <v>0</v>
      </c>
      <c r="X359" s="102" t="str">
        <f t="shared" si="264"/>
        <v>Green &amp; Purple foliage</v>
      </c>
      <c r="Y359" s="120" t="b">
        <f t="shared" si="265"/>
        <v>0</v>
      </c>
      <c r="Z359" s="117">
        <f t="shared" si="266"/>
        <v>0</v>
      </c>
      <c r="AA359" s="118"/>
      <c r="AB359" s="118" t="str">
        <f t="shared" si="267"/>
        <v/>
      </c>
      <c r="AC359" s="712" t="str">
        <f>IF(AE359="T2G","no charge",IF(AND(OR(PlanterYesMe="No",PlanterYesMe="N",PlanterYesMe="me"),H359=""),"",IF(H359="credit","NO install",IF(AND(K359="",AE359="me"),"EACH row",IF(AND(K359="images",AE359="me"),"EACH row",IF(D359="","",IF(H359="credit","",IF(AE359="free","re-planting",IF(AE359="me","   not ELP, by",IF(AND(OR(PlanterYesMe="Yes",PlanterYesMe="Y"),G359&gt;0),(VLOOKUP(A359,'Discount Lookup'!J:K,2)*G359*(1-PlanterDiscount)*(1+PlanterDifficultyPercentage)),IF(AE359="ELP",(VLOOKUP(A359,'Discount Lookup'!J:K,2)*G359*(1-PlanterDiscount)*(1+PlanterDifficultyPercentage)),IF(AE359="free","re-planting",IF(G359=0,"",IF(PlanterYesMe="",IF(AE359="me","   not ELP, by",IF(AE359="",IF(G359&gt;0,(VLOOKUP(A359,'Discount Lookup'!J:K,2)*G359*(1-PlanterDiscount)*(1+PlanterDifficultyPercentage)),""),"")),"   not ELP, by"))))))))))))))</f>
        <v/>
      </c>
      <c r="AD359" s="712"/>
      <c r="AE359" s="513" t="str">
        <f t="shared" si="268"/>
        <v/>
      </c>
      <c r="AF359" s="713" t="str">
        <f t="shared" si="269"/>
        <v/>
      </c>
      <c r="AG359" s="713"/>
      <c r="AH359" s="713"/>
      <c r="AI359" s="112">
        <f>IF(H359="credit",0,IF(AE359="free",0,IF(AE359="me",0,IF(G359&gt;0,(VLOOKUP(A359,'Discount Lookup'!J:K,2)*G359),0))))</f>
        <v>0</v>
      </c>
      <c r="AJ359" s="107" t="str">
        <f t="shared" ca="1" si="270"/>
        <v/>
      </c>
      <c r="AK359" s="714" t="str">
        <f t="shared" si="271"/>
        <v/>
      </c>
      <c r="AL359" s="714"/>
      <c r="AM359" s="114" t="str">
        <f t="shared" si="272"/>
        <v/>
      </c>
      <c r="AN359" s="115"/>
      <c r="AO359" s="116"/>
      <c r="AP359" s="116"/>
      <c r="AQ359" s="116"/>
      <c r="AR359" s="116"/>
      <c r="AS359" s="116"/>
      <c r="AT359" s="116"/>
      <c r="AU359" s="116"/>
      <c r="AV359" s="78"/>
      <c r="AW359" s="102"/>
      <c r="AX359" s="78"/>
      <c r="AY359" s="78"/>
      <c r="AZ359" s="78"/>
      <c r="BA359" s="78"/>
      <c r="BB359" s="78"/>
      <c r="BC359" s="78"/>
      <c r="BD359" s="78"/>
      <c r="BE359" s="465"/>
      <c r="BF359" s="165" t="str">
        <f t="shared" si="273"/>
        <v>https://www.google.com/search?tbm=isch&amp;q=Alocasia%20%27Portora%27%20Portora%20Elephant%20Ear</v>
      </c>
      <c r="BG359" s="165" t="str">
        <f t="shared" si="274"/>
        <v>A</v>
      </c>
      <c r="BH359" s="65"/>
      <c r="BI359" s="65"/>
      <c r="BJ359" s="65"/>
      <c r="BK359" s="65"/>
      <c r="BL359" s="99"/>
      <c r="BM359" s="99"/>
      <c r="BN359" s="99"/>
    </row>
    <row r="360" spans="1:66" s="51" customFormat="1" ht="15.75" x14ac:dyDescent="0.25">
      <c r="A360" s="634">
        <v>4</v>
      </c>
      <c r="B360" s="635" t="s">
        <v>338</v>
      </c>
      <c r="C360" s="636"/>
      <c r="D360" s="637" t="s">
        <v>329</v>
      </c>
      <c r="E360" s="638">
        <v>16.95</v>
      </c>
      <c r="F360" s="639" t="s">
        <v>292</v>
      </c>
      <c r="G360" s="484">
        <v>0</v>
      </c>
      <c r="H360" s="691" t="str">
        <f>IF(G360=0,"",IF(F360="Buy",IF(G360=1,"plant","plants"),IF(F360&gt;0.01,"warranty","Error")))</f>
        <v/>
      </c>
      <c r="I360" s="640">
        <f>IF(H360="free",0,IF(H360="credit",((E360*(F360))*G360*-1),IF(F360="Buy",(E360*G360),((E360*(1-F360))*G360))))</f>
        <v>0</v>
      </c>
      <c r="J360" s="640">
        <f>IF(H360="warranty",0,(I360*(_xlfn.SINGLE(SalesTaxPercentage))))</f>
        <v>0</v>
      </c>
      <c r="K360" s="716">
        <f t="shared" ref="K360" si="283">I360+J360</f>
        <v>0</v>
      </c>
      <c r="L360" s="716"/>
      <c r="M360" s="689" t="str">
        <f ca="1">IF(AND(G360&gt;0,E360=0),"WARNING - no PRICE inserted",IF(H360="free","FREE ~ no charge this plant",IF(H360="credit",CONCATENATE("-$",ROUND(K360*(1-_xlfn.SINGLE(T2GDiscount))*-1,2)," CREDIT after discount"),IF(_xlfn.SINGLE(T2GDiscount)=0,"",IF(G360=0,"",IF(F360="Buy",CONCATENATE("$",ROUND(K360*(1-_xlfn.SINGLE(T2GDiscount)),2)," with ",(_xlfn.SINGLE(T2GDiscount)*100),"% discount"),CONCATENATE("$",ROUND(K360*(1-_xlfn.SINGLE(T2GDiscount)),2)," with ",((_xlfn.SINGLE(T2GDiscount)*100+F360*100)-(_xlfn.SINGLE(T2GDiscount)*100*F360)),IF(F360&gt;0,"% discounts",IF(_xlfn.SINGLE(NoWarrantyDiscount)&gt;0,"% discounts","% discount")))))))))</f>
        <v/>
      </c>
      <c r="N360" s="690"/>
      <c r="O360" s="486"/>
      <c r="P360" s="486"/>
      <c r="Q360" s="486"/>
      <c r="R360" s="486"/>
      <c r="S360" s="486"/>
      <c r="T360" s="102">
        <f t="shared" si="262"/>
        <v>0</v>
      </c>
      <c r="U360" s="78">
        <f>IF(NOT(ISNUMBER(G360)), "", VLOOKUP(A360,'Discount Lookup'!D:E,2,FALSE)*G360)</f>
        <v>0</v>
      </c>
      <c r="V360" s="78">
        <f>IF(NOT(ISNUMBER(G360)), "", VLOOKUP(A360,'Discount Lookup'!G:H,2,FALSE)*G360)</f>
        <v>0</v>
      </c>
      <c r="W360" s="102">
        <f t="shared" si="263"/>
        <v>0</v>
      </c>
      <c r="X360" s="102">
        <f t="shared" si="264"/>
        <v>0</v>
      </c>
      <c r="Y360" s="120" t="b">
        <f t="shared" si="265"/>
        <v>0</v>
      </c>
      <c r="Z360" s="117">
        <f t="shared" si="266"/>
        <v>0</v>
      </c>
      <c r="AA360" s="118"/>
      <c r="AB360" s="118" t="str">
        <f t="shared" si="267"/>
        <v/>
      </c>
      <c r="AC360" s="712" t="str">
        <f>IF(AE360="T2G","no charge",IF(AND(OR(PlanterYesMe="No",PlanterYesMe="N",PlanterYesMe="me"),H360=""),"",IF(H360="credit","NO install",IF(AND(K360="",AE360="me"),"EACH row",IF(AND(K360="images",AE360="me"),"EACH row",IF(D360="","",IF(H360="credit","",IF(AE360="free","re-planting",IF(AE360="me","   not ELP, by",IF(AND(OR(PlanterYesMe="Yes",PlanterYesMe="Y"),G360&gt;0),(VLOOKUP(A360,'Discount Lookup'!J:K,2)*G360*(1-PlanterDiscount)*(1+PlanterDifficultyPercentage)),IF(AE360="ELP",(VLOOKUP(A360,'Discount Lookup'!J:K,2)*G360*(1-PlanterDiscount)*(1+PlanterDifficultyPercentage)),IF(AE360="free","re-planting",IF(G360=0,"",IF(PlanterYesMe="",IF(AE360="me","   not ELP, by",IF(AE360="",IF(G360&gt;0,(VLOOKUP(A360,'Discount Lookup'!J:K,2)*G360*(1-PlanterDiscount)*(1+PlanterDifficultyPercentage)),""),"")),"   not ELP, by"))))))))))))))</f>
        <v/>
      </c>
      <c r="AD360" s="712"/>
      <c r="AE360" s="513" t="str">
        <f t="shared" si="268"/>
        <v/>
      </c>
      <c r="AF360" s="713" t="str">
        <f t="shared" si="269"/>
        <v/>
      </c>
      <c r="AG360" s="713"/>
      <c r="AH360" s="713"/>
      <c r="AI360" s="112">
        <f>IF(H360="credit",0,IF(AE360="free",0,IF(AE360="me",0,IF(G360&gt;0,(VLOOKUP(A360,'Discount Lookup'!J:K,2)*G360),0))))</f>
        <v>0</v>
      </c>
      <c r="AJ360" s="107" t="str">
        <f t="shared" ca="1" si="270"/>
        <v/>
      </c>
      <c r="AK360" s="714" t="str">
        <f t="shared" si="271"/>
        <v/>
      </c>
      <c r="AL360" s="714"/>
      <c r="AM360" s="114" t="str">
        <f t="shared" si="272"/>
        <v/>
      </c>
      <c r="AN360" s="115"/>
      <c r="AO360" s="116"/>
      <c r="AP360" s="116"/>
      <c r="AQ360" s="116"/>
      <c r="AR360" s="116"/>
      <c r="AS360" s="116"/>
      <c r="AT360" s="116"/>
      <c r="AU360" s="116"/>
      <c r="AV360" s="78"/>
      <c r="AW360" s="102"/>
      <c r="AX360" s="78"/>
      <c r="AY360" s="78"/>
      <c r="AZ360" s="78"/>
      <c r="BA360" s="78"/>
      <c r="BB360" s="78"/>
      <c r="BC360" s="78"/>
      <c r="BD360" s="78"/>
      <c r="BE360" s="465"/>
      <c r="BF360" s="165" t="str">
        <f t="shared" si="273"/>
        <v>https://www.google.com/search?tbm=isch&amp;q=4%20G2</v>
      </c>
      <c r="BG360" s="165" t="str">
        <f t="shared" si="274"/>
        <v>A</v>
      </c>
      <c r="BH360" s="65"/>
      <c r="BI360" s="65"/>
      <c r="BJ360" s="65"/>
      <c r="BK360" s="65"/>
      <c r="BL360" s="99"/>
      <c r="BM360" s="99"/>
      <c r="BN360" s="99"/>
    </row>
    <row r="361" spans="1:66" s="51" customFormat="1" ht="16.5" x14ac:dyDescent="0.25">
      <c r="A361" s="704" t="s">
        <v>5329</v>
      </c>
      <c r="B361" s="642"/>
      <c r="C361" s="710"/>
      <c r="D361" s="643"/>
      <c r="E361" s="643"/>
      <c r="F361" s="644"/>
      <c r="G361" s="645"/>
      <c r="H361" s="646"/>
      <c r="I361" s="647"/>
      <c r="J361" s="648"/>
      <c r="K361" s="649"/>
      <c r="L361" s="650"/>
      <c r="M361" s="650"/>
      <c r="N361" s="644"/>
      <c r="O361" s="644"/>
      <c r="P361" s="644"/>
      <c r="Q361" s="644"/>
      <c r="R361" s="644"/>
      <c r="S361" s="651"/>
      <c r="T361" s="102">
        <f t="shared" si="262"/>
        <v>0</v>
      </c>
      <c r="U361" s="78" t="str">
        <f>IF(NOT(ISNUMBER(G361)), "", VLOOKUP(A361,'Discount Lookup'!D:E,2,FALSE)*G361)</f>
        <v/>
      </c>
      <c r="V361" s="78" t="str">
        <f>IF(NOT(ISNUMBER(G361)), "", VLOOKUP(A361,'Discount Lookup'!G:H,2,FALSE)*G361)</f>
        <v/>
      </c>
      <c r="W361" s="102">
        <f t="shared" si="263"/>
        <v>0</v>
      </c>
      <c r="X361" s="102">
        <f t="shared" si="264"/>
        <v>0</v>
      </c>
      <c r="Y361" s="120" t="b">
        <f t="shared" si="265"/>
        <v>0</v>
      </c>
      <c r="Z361" s="117">
        <f t="shared" si="266"/>
        <v>0</v>
      </c>
      <c r="AA361" s="118"/>
      <c r="AB361" s="118" t="str">
        <f t="shared" si="267"/>
        <v/>
      </c>
      <c r="AC361" s="712" t="str">
        <f>IF(AE361="T2G","no charge",IF(AND(OR(PlanterYesMe="No",PlanterYesMe="N",PlanterYesMe="me"),H361=""),"",IF(H361="credit","NO install",IF(AND(K361="",AE361="me"),"EACH row",IF(AND(K361="images",AE361="me"),"EACH row",IF(D361="","",IF(H361="credit","",IF(AE361="free","re-planting",IF(AE361="me","   not ELP, by",IF(AND(OR(PlanterYesMe="Yes",PlanterYesMe="Y"),G361&gt;0),(VLOOKUP(A361,'Discount Lookup'!J:K,2)*G361*(1-PlanterDiscount)*(1+PlanterDifficultyPercentage)),IF(AE361="ELP",(VLOOKUP(A361,'Discount Lookup'!J:K,2)*G361*(1-PlanterDiscount)*(1+PlanterDifficultyPercentage)),IF(AE361="free","re-planting",IF(G361=0,"",IF(PlanterYesMe="",IF(AE361="me","   not ELP, by",IF(AE361="",IF(G361&gt;0,(VLOOKUP(A361,'Discount Lookup'!J:K,2)*G361*(1-PlanterDiscount)*(1+PlanterDifficultyPercentage)),""),"")),"   not ELP, by"))))))))))))))</f>
        <v/>
      </c>
      <c r="AD361" s="712"/>
      <c r="AE361" s="513" t="str">
        <f t="shared" si="268"/>
        <v/>
      </c>
      <c r="AF361" s="713" t="str">
        <f t="shared" si="269"/>
        <v/>
      </c>
      <c r="AG361" s="713"/>
      <c r="AH361" s="713"/>
      <c r="AI361" s="112">
        <f>IF(H361="credit",0,IF(AE361="free",0,IF(AE361="me",0,IF(G361&gt;0,(VLOOKUP(A361,'Discount Lookup'!J:K,2)*G361),0))))</f>
        <v>0</v>
      </c>
      <c r="AJ361" s="107" t="str">
        <f t="shared" ca="1" si="270"/>
        <v/>
      </c>
      <c r="AK361" s="714" t="str">
        <f t="shared" si="271"/>
        <v/>
      </c>
      <c r="AL361" s="714"/>
      <c r="AM361" s="114" t="str">
        <f t="shared" si="272"/>
        <v/>
      </c>
      <c r="AN361" s="115"/>
      <c r="AO361" s="116"/>
      <c r="AP361" s="116"/>
      <c r="AQ361" s="116"/>
      <c r="AR361" s="116"/>
      <c r="AS361" s="116"/>
      <c r="AT361" s="116"/>
      <c r="AU361" s="116"/>
      <c r="AV361" s="78"/>
      <c r="AW361" s="102"/>
      <c r="AX361" s="78"/>
      <c r="AY361" s="78"/>
      <c r="AZ361" s="78"/>
      <c r="BA361" s="78"/>
      <c r="BB361" s="78"/>
      <c r="BC361" s="78"/>
      <c r="BD361" s="78"/>
      <c r="BE361" s="465"/>
      <c r="BF361" s="165" t="str">
        <f t="shared" si="273"/>
        <v>https://www.google.com/search?tbm=isch&amp;q=moist%20sites%F0%9F%92%A7BEST%2C%20Portora%20is%20prized%20for%20its%20enormous%2C%20upward%20facing%2C%20glossy%20leaves%20with%20bold%20veining%20that%20bring%20a%20dramatic%2C%20architectural%2C%20tropical%20look%20</v>
      </c>
      <c r="BG361" s="165" t="str">
        <f t="shared" si="274"/>
        <v>m</v>
      </c>
      <c r="BH361" s="65"/>
      <c r="BI361" s="65"/>
      <c r="BJ361" s="65"/>
      <c r="BK361" s="65"/>
      <c r="BL361" s="99"/>
      <c r="BM361" s="99"/>
      <c r="BN361" s="99"/>
    </row>
    <row r="362" spans="1:66" s="51" customFormat="1" ht="19.5" thickBot="1" x14ac:dyDescent="0.3">
      <c r="A362" s="686" t="s">
        <v>370</v>
      </c>
      <c r="B362" s="73"/>
      <c r="C362" s="708"/>
      <c r="D362" s="73"/>
      <c r="E362" s="73"/>
      <c r="F362" s="496"/>
      <c r="G362" s="73"/>
      <c r="H362" s="73"/>
      <c r="I362" s="73"/>
      <c r="J362" s="497" t="s">
        <v>357</v>
      </c>
      <c r="K362" s="498"/>
      <c r="L362" s="562"/>
      <c r="M362" s="73"/>
      <c r="N362"/>
      <c r="O362"/>
      <c r="P362"/>
      <c r="Q362"/>
      <c r="R362"/>
      <c r="S362"/>
      <c r="T362" s="102">
        <f t="shared" si="262"/>
        <v>0</v>
      </c>
      <c r="U362" s="78" t="str">
        <f>IF(NOT(ISNUMBER(G362)), "", VLOOKUP(A362,'Discount Lookup'!D:E,2,FALSE)*G362)</f>
        <v/>
      </c>
      <c r="V362" s="78" t="str">
        <f>IF(NOT(ISNUMBER(G362)), "", VLOOKUP(A362,'Discount Lookup'!G:H,2,FALSE)*G362)</f>
        <v/>
      </c>
      <c r="W362" s="102">
        <f t="shared" si="263"/>
        <v>0</v>
      </c>
      <c r="X362" s="102">
        <f t="shared" si="264"/>
        <v>0</v>
      </c>
      <c r="Y362" s="120" t="b">
        <f t="shared" si="265"/>
        <v>0</v>
      </c>
      <c r="Z362" s="117">
        <f t="shared" si="266"/>
        <v>0</v>
      </c>
      <c r="AA362" s="118"/>
      <c r="AB362" s="118" t="str">
        <f t="shared" si="267"/>
        <v/>
      </c>
      <c r="AC362" s="712" t="str">
        <f>IF(AE362="T2G","no charge",IF(AND(OR(PlanterYesMe="No",PlanterYesMe="N",PlanterYesMe="me"),H362=""),"",IF(H362="credit","NO install",IF(AND(K362="",AE362="me"),"EACH row",IF(AND(K362="images",AE362="me"),"EACH row",IF(D362="","",IF(H362="credit","",IF(AE362="free","re-planting",IF(AE362="me","   not ELP, by",IF(AND(OR(PlanterYesMe="Yes",PlanterYesMe="Y"),G362&gt;0),(VLOOKUP(A362,'Discount Lookup'!J:K,2)*G362*(1-PlanterDiscount)*(1+PlanterDifficultyPercentage)),IF(AE362="ELP",(VLOOKUP(A362,'Discount Lookup'!J:K,2)*G362*(1-PlanterDiscount)*(1+PlanterDifficultyPercentage)),IF(AE362="free","re-planting",IF(G362=0,"",IF(PlanterYesMe="",IF(AE362="me","   not ELP, by",IF(AE362="",IF(G362&gt;0,(VLOOKUP(A362,'Discount Lookup'!J:K,2)*G362*(1-PlanterDiscount)*(1+PlanterDifficultyPercentage)),""),"")),"   not ELP, by"))))))))))))))</f>
        <v/>
      </c>
      <c r="AD362" s="712"/>
      <c r="AE362" s="513" t="str">
        <f t="shared" si="268"/>
        <v/>
      </c>
      <c r="AF362" s="713" t="str">
        <f t="shared" si="269"/>
        <v/>
      </c>
      <c r="AG362" s="713"/>
      <c r="AH362" s="713"/>
      <c r="AI362" s="112">
        <f>IF(H362="credit",0,IF(AE362="free",0,IF(AE362="me",0,IF(G362&gt;0,(VLOOKUP(A362,'Discount Lookup'!J:K,2)*G362),0))))</f>
        <v>0</v>
      </c>
      <c r="AJ362" s="107" t="str">
        <f t="shared" ca="1" si="270"/>
        <v/>
      </c>
      <c r="AK362" s="714" t="str">
        <f t="shared" si="271"/>
        <v/>
      </c>
      <c r="AL362" s="714"/>
      <c r="AM362" s="114" t="str">
        <f t="shared" si="272"/>
        <v/>
      </c>
      <c r="AN362" s="115"/>
      <c r="AO362" s="116"/>
      <c r="AP362" s="116"/>
      <c r="AQ362" s="116"/>
      <c r="AR362" s="116"/>
      <c r="AS362" s="116"/>
      <c r="AT362" s="116"/>
      <c r="AU362" s="116"/>
      <c r="AV362" s="78"/>
      <c r="AW362" s="102"/>
      <c r="AX362" s="78"/>
      <c r="AY362" s="78"/>
      <c r="AZ362" s="78"/>
      <c r="BA362" s="78"/>
      <c r="BB362" s="78"/>
      <c r="BC362" s="78"/>
      <c r="BD362" s="78"/>
      <c r="BE362" s="465"/>
      <c r="BF362" s="165" t="str">
        <f t="shared" si="273"/>
        <v>https://www.google.com/search?tbm=isch&amp;q=Amelanchier%20%3D%20Serviceberry%20</v>
      </c>
      <c r="BG362" s="165" t="str">
        <f t="shared" si="274"/>
        <v>A</v>
      </c>
      <c r="BH362" s="65"/>
      <c r="BI362" s="65"/>
      <c r="BJ362" s="65"/>
      <c r="BK362" s="65"/>
      <c r="BL362" s="99"/>
      <c r="BM362" s="99"/>
      <c r="BN362" s="99"/>
    </row>
    <row r="363" spans="1:66" s="51" customFormat="1" ht="18" x14ac:dyDescent="0.25">
      <c r="A363" s="623" t="s">
        <v>1473</v>
      </c>
      <c r="B363" s="624"/>
      <c r="C363" s="709"/>
      <c r="D363" s="625" t="s">
        <v>5586</v>
      </c>
      <c r="E363" s="626"/>
      <c r="F363" s="626"/>
      <c r="G363" s="626"/>
      <c r="H363" s="622" t="s">
        <v>1163</v>
      </c>
      <c r="I363" s="627" t="s">
        <v>349</v>
      </c>
      <c r="J363" s="628"/>
      <c r="K363" s="628"/>
      <c r="L363" s="629"/>
      <c r="M363" s="700" t="s">
        <v>5249</v>
      </c>
      <c r="N363" s="693" t="str">
        <f>IF(AND(ISTEXT($A363), ISERROR($A363+0)), HYPERLINK($BF363, "Images"), "")</f>
        <v>Images</v>
      </c>
      <c r="O363" s="695" t="s">
        <v>5247</v>
      </c>
      <c r="P363" s="630"/>
      <c r="Q363" s="631"/>
      <c r="R363" s="632"/>
      <c r="S363" s="633" t="s">
        <v>294</v>
      </c>
      <c r="T363" s="102">
        <f t="shared" si="262"/>
        <v>0</v>
      </c>
      <c r="U363" s="78" t="str">
        <f>IF(NOT(ISNUMBER(G363)), "", VLOOKUP(A363,'Discount Lookup'!D:E,2,FALSE)*G363)</f>
        <v/>
      </c>
      <c r="V363" s="78" t="str">
        <f>IF(NOT(ISNUMBER(G363)), "", VLOOKUP(A363,'Discount Lookup'!G:H,2,FALSE)*G363)</f>
        <v/>
      </c>
      <c r="W363" s="102">
        <f t="shared" si="263"/>
        <v>0</v>
      </c>
      <c r="X363" s="102" t="str">
        <f t="shared" si="264"/>
        <v>White bloom</v>
      </c>
      <c r="Y363" s="120" t="b">
        <f t="shared" si="265"/>
        <v>0</v>
      </c>
      <c r="Z363" s="117">
        <f t="shared" si="266"/>
        <v>0</v>
      </c>
      <c r="AA363" s="118"/>
      <c r="AB363" s="118" t="str">
        <f t="shared" si="267"/>
        <v/>
      </c>
      <c r="AC363" s="712" t="str">
        <f>IF(AE363="T2G","no charge",IF(AND(OR(PlanterYesMe="No",PlanterYesMe="N",PlanterYesMe="me"),H363=""),"",IF(H363="credit","NO install",IF(AND(K363="",AE363="me"),"EACH row",IF(AND(K363="images",AE363="me"),"EACH row",IF(D363="","",IF(H363="credit","",IF(AE363="free","re-planting",IF(AE363="me","   not ELP, by",IF(AND(OR(PlanterYesMe="Yes",PlanterYesMe="Y"),G363&gt;0),(VLOOKUP(A363,'Discount Lookup'!J:K,2)*G363*(1-PlanterDiscount)*(1+PlanterDifficultyPercentage)),IF(AE363="ELP",(VLOOKUP(A363,'Discount Lookup'!J:K,2)*G363*(1-PlanterDiscount)*(1+PlanterDifficultyPercentage)),IF(AE363="free","re-planting",IF(G363=0,"",IF(PlanterYesMe="",IF(AE363="me","   not ELP, by",IF(AE363="",IF(G363&gt;0,(VLOOKUP(A363,'Discount Lookup'!J:K,2)*G363*(1-PlanterDiscount)*(1+PlanterDifficultyPercentage)),""),"")),"   not ELP, by"))))))))))))))</f>
        <v/>
      </c>
      <c r="AD363" s="712"/>
      <c r="AE363" s="513" t="str">
        <f t="shared" si="268"/>
        <v/>
      </c>
      <c r="AF363" s="713" t="str">
        <f t="shared" si="269"/>
        <v/>
      </c>
      <c r="AG363" s="713"/>
      <c r="AH363" s="713"/>
      <c r="AI363" s="112">
        <f>IF(H363="credit",0,IF(AE363="free",0,IF(AE363="me",0,IF(G363&gt;0,(VLOOKUP(A363,'Discount Lookup'!J:K,2)*G363),0))))</f>
        <v>0</v>
      </c>
      <c r="AJ363" s="107" t="str">
        <f t="shared" ca="1" si="270"/>
        <v/>
      </c>
      <c r="AK363" s="714" t="str">
        <f t="shared" si="271"/>
        <v/>
      </c>
      <c r="AL363" s="714"/>
      <c r="AM363" s="114" t="str">
        <f t="shared" si="272"/>
        <v/>
      </c>
      <c r="AN363" s="115"/>
      <c r="AO363" s="116"/>
      <c r="AP363" s="116"/>
      <c r="AQ363" s="116"/>
      <c r="AR363" s="116"/>
      <c r="AS363" s="116"/>
      <c r="AT363" s="116"/>
      <c r="AU363" s="116"/>
      <c r="AV363" s="78"/>
      <c r="AW363" s="102"/>
      <c r="AX363" s="78"/>
      <c r="AY363" s="78"/>
      <c r="AZ363" s="78"/>
      <c r="BA363" s="78"/>
      <c r="BB363" s="78"/>
      <c r="BC363" s="78"/>
      <c r="BD363" s="78"/>
      <c r="BE363" s="465"/>
      <c r="BF363" s="165" t="str">
        <f t="shared" si="273"/>
        <v>https://www.google.com/search?tbm=isch&amp;q=Amelanchier%20%27Autumn%20Brilliance%27%20PP%235717Exp.%20Autumn%20Brilliance%E2%84%A2%20Serviceberry</v>
      </c>
      <c r="BG363" s="165" t="str">
        <f t="shared" si="274"/>
        <v>A</v>
      </c>
      <c r="BH363" s="65"/>
      <c r="BI363" s="65"/>
      <c r="BJ363" s="65"/>
      <c r="BK363" s="65"/>
      <c r="BL363" s="99"/>
      <c r="BM363" s="99"/>
      <c r="BN363" s="99"/>
    </row>
    <row r="364" spans="1:66" s="51" customFormat="1" ht="15.75" x14ac:dyDescent="0.25">
      <c r="A364" s="634">
        <v>7</v>
      </c>
      <c r="B364" s="635" t="s">
        <v>291</v>
      </c>
      <c r="C364" s="636" t="s">
        <v>1474</v>
      </c>
      <c r="D364" s="637" t="s">
        <v>299</v>
      </c>
      <c r="E364" s="638">
        <v>104.95</v>
      </c>
      <c r="F364" s="639" t="s">
        <v>292</v>
      </c>
      <c r="G364" s="484">
        <v>0</v>
      </c>
      <c r="H364" s="691" t="str">
        <f t="shared" ref="H364:H372" si="284">IF(G364=0,"",IF(F364="Buy",IF(G364=1,"plant","plants"),IF(F364&gt;0.01,"warranty","Error")))</f>
        <v/>
      </c>
      <c r="I364" s="640">
        <f t="shared" ref="I364:I372" si="285">IF(H364="free",0,IF(H364="credit",((E364*(F364))*G364*-1),IF(F364="Buy",(E364*G364),((E364*(1-F364))*G364))))</f>
        <v>0</v>
      </c>
      <c r="J364" s="640">
        <f t="shared" ref="J364:J372" si="286">IF(H364="warranty",0,(I364*(_xlfn.SINGLE(SalesTaxPercentage))))</f>
        <v>0</v>
      </c>
      <c r="K364" s="716">
        <f t="shared" ref="K364" si="287">I364+J364</f>
        <v>0</v>
      </c>
      <c r="L364" s="716"/>
      <c r="M364" s="689" t="str">
        <f t="shared" ref="M364:M372" ca="1" si="288">IF(AND(G364&gt;0,E364=0),"WARNING - no PRICE inserted",IF(H364="free","FREE ~ no charge this plant",IF(H364="credit",CONCATENATE("-$",ROUND(K364*(1-_xlfn.SINGLE(T2GDiscount))*-1,2)," CREDIT after discount"),IF(_xlfn.SINGLE(T2GDiscount)=0,"",IF(G364=0,"",IF(F364="Buy",CONCATENATE("$",ROUND(K364*(1-_xlfn.SINGLE(T2GDiscount)),2)," with ",(_xlfn.SINGLE(T2GDiscount)*100),"% discount"),CONCATENATE("$",ROUND(K364*(1-_xlfn.SINGLE(T2GDiscount)),2)," with ",((_xlfn.SINGLE(T2GDiscount)*100+F364*100)-(_xlfn.SINGLE(T2GDiscount)*100*F364)),IF(F364&gt;0,"% discounts",IF(_xlfn.SINGLE(NoWarrantyDiscount)&gt;0,"% discounts","% discount")))))))))</f>
        <v/>
      </c>
      <c r="N364" s="690"/>
      <c r="O364" s="486"/>
      <c r="P364" s="486"/>
      <c r="Q364" s="486"/>
      <c r="R364" s="486"/>
      <c r="S364" s="486"/>
      <c r="T364" s="102">
        <f t="shared" si="262"/>
        <v>0</v>
      </c>
      <c r="U364" s="78">
        <f>IF(NOT(ISNUMBER(G364)), "", VLOOKUP(A364,'Discount Lookup'!D:E,2,FALSE)*G364)</f>
        <v>0</v>
      </c>
      <c r="V364" s="78">
        <f>IF(NOT(ISNUMBER(G364)), "", VLOOKUP(A364,'Discount Lookup'!G:H,2,FALSE)*G364)</f>
        <v>0</v>
      </c>
      <c r="W364" s="102">
        <f t="shared" si="263"/>
        <v>0</v>
      </c>
      <c r="X364" s="102">
        <f t="shared" si="264"/>
        <v>0</v>
      </c>
      <c r="Y364" s="120" t="b">
        <f t="shared" si="265"/>
        <v>0</v>
      </c>
      <c r="Z364" s="117">
        <f t="shared" si="266"/>
        <v>0</v>
      </c>
      <c r="AA364" s="118"/>
      <c r="AB364" s="118" t="str">
        <f t="shared" si="267"/>
        <v/>
      </c>
      <c r="AC364" s="712" t="str">
        <f>IF(AE364="T2G","no charge",IF(AND(OR(PlanterYesMe="No",PlanterYesMe="N",PlanterYesMe="me"),H364=""),"",IF(H364="credit","NO install",IF(AND(K364="",AE364="me"),"EACH row",IF(AND(K364="images",AE364="me"),"EACH row",IF(D364="","",IF(H364="credit","",IF(AE364="free","re-planting",IF(AE364="me","   not ELP, by",IF(AND(OR(PlanterYesMe="Yes",PlanterYesMe="Y"),G364&gt;0),(VLOOKUP(A364,'Discount Lookup'!J:K,2)*G364*(1-PlanterDiscount)*(1+PlanterDifficultyPercentage)),IF(AE364="ELP",(VLOOKUP(A364,'Discount Lookup'!J:K,2)*G364*(1-PlanterDiscount)*(1+PlanterDifficultyPercentage)),IF(AE364="free","re-planting",IF(G364=0,"",IF(PlanterYesMe="",IF(AE364="me","   not ELP, by",IF(AE364="",IF(G364&gt;0,(VLOOKUP(A364,'Discount Lookup'!J:K,2)*G364*(1-PlanterDiscount)*(1+PlanterDifficultyPercentage)),""),"")),"   not ELP, by"))))))))))))))</f>
        <v/>
      </c>
      <c r="AD364" s="712"/>
      <c r="AE364" s="513" t="str">
        <f t="shared" si="268"/>
        <v/>
      </c>
      <c r="AF364" s="713" t="str">
        <f t="shared" si="269"/>
        <v/>
      </c>
      <c r="AG364" s="713"/>
      <c r="AH364" s="713"/>
      <c r="AI364" s="112">
        <f>IF(H364="credit",0,IF(AE364="free",0,IF(AE364="me",0,IF(G364&gt;0,(VLOOKUP(A364,'Discount Lookup'!J:K,2)*G364),0))))</f>
        <v>0</v>
      </c>
      <c r="AJ364" s="107" t="str">
        <f t="shared" ca="1" si="270"/>
        <v/>
      </c>
      <c r="AK364" s="714" t="str">
        <f t="shared" si="271"/>
        <v/>
      </c>
      <c r="AL364" s="714"/>
      <c r="AM364" s="114" t="str">
        <f t="shared" si="272"/>
        <v/>
      </c>
      <c r="AN364" s="115"/>
      <c r="AO364" s="116"/>
      <c r="AP364" s="116"/>
      <c r="AQ364" s="116"/>
      <c r="AR364" s="116"/>
      <c r="AS364" s="116"/>
      <c r="AT364" s="116"/>
      <c r="AU364" s="116"/>
      <c r="AV364" s="78"/>
      <c r="AW364" s="102"/>
      <c r="AX364" s="78"/>
      <c r="AY364" s="78"/>
      <c r="AZ364" s="78"/>
      <c r="BA364" s="78"/>
      <c r="BB364" s="78"/>
      <c r="BC364" s="78"/>
      <c r="BD364" s="78"/>
      <c r="BE364" s="465"/>
      <c r="BF364" s="165" t="str">
        <f t="shared" si="273"/>
        <v>https://www.google.com/search?tbm=isch&amp;q=7%20G4</v>
      </c>
      <c r="BG364" s="165" t="str">
        <f t="shared" si="274"/>
        <v>A</v>
      </c>
      <c r="BH364" s="65"/>
      <c r="BI364" s="65"/>
      <c r="BJ364" s="65"/>
      <c r="BK364" s="65"/>
      <c r="BL364" s="99"/>
      <c r="BM364" s="99"/>
      <c r="BN364" s="99"/>
    </row>
    <row r="365" spans="1:66" s="51" customFormat="1" ht="15.75" x14ac:dyDescent="0.25">
      <c r="A365" s="634">
        <v>7</v>
      </c>
      <c r="B365" s="635" t="s">
        <v>291</v>
      </c>
      <c r="C365" s="636" t="s">
        <v>4564</v>
      </c>
      <c r="D365" s="637" t="s">
        <v>299</v>
      </c>
      <c r="E365" s="638">
        <v>111.95</v>
      </c>
      <c r="F365" s="639" t="s">
        <v>292</v>
      </c>
      <c r="G365" s="484">
        <v>0</v>
      </c>
      <c r="H365" s="691" t="str">
        <f t="shared" si="284"/>
        <v/>
      </c>
      <c r="I365" s="640">
        <f t="shared" si="285"/>
        <v>0</v>
      </c>
      <c r="J365" s="640">
        <f t="shared" si="286"/>
        <v>0</v>
      </c>
      <c r="K365" s="716">
        <f t="shared" ref="K365" si="289">I365+J365</f>
        <v>0</v>
      </c>
      <c r="L365" s="716"/>
      <c r="M365" s="689" t="str">
        <f t="shared" ca="1" si="288"/>
        <v/>
      </c>
      <c r="N365" s="690"/>
      <c r="O365" s="486"/>
      <c r="P365" s="486"/>
      <c r="Q365" s="486"/>
      <c r="R365" s="486"/>
      <c r="S365" s="486"/>
      <c r="T365" s="102">
        <f t="shared" si="262"/>
        <v>0</v>
      </c>
      <c r="U365" s="78">
        <f>IF(NOT(ISNUMBER(G365)), "", VLOOKUP(A365,'Discount Lookup'!D:E,2,FALSE)*G365)</f>
        <v>0</v>
      </c>
      <c r="V365" s="78">
        <f>IF(NOT(ISNUMBER(G365)), "", VLOOKUP(A365,'Discount Lookup'!G:H,2,FALSE)*G365)</f>
        <v>0</v>
      </c>
      <c r="W365" s="102">
        <f t="shared" si="263"/>
        <v>0</v>
      </c>
      <c r="X365" s="102">
        <f t="shared" si="264"/>
        <v>0</v>
      </c>
      <c r="Y365" s="120" t="b">
        <f t="shared" si="265"/>
        <v>0</v>
      </c>
      <c r="Z365" s="117">
        <f t="shared" si="266"/>
        <v>0</v>
      </c>
      <c r="AA365" s="118"/>
      <c r="AB365" s="118" t="str">
        <f t="shared" si="267"/>
        <v/>
      </c>
      <c r="AC365" s="712" t="str">
        <f>IF(AE365="T2G","no charge",IF(AND(OR(PlanterYesMe="No",PlanterYesMe="N",PlanterYesMe="me"),H365=""),"",IF(H365="credit","NO install",IF(AND(K365="",AE365="me"),"EACH row",IF(AND(K365="images",AE365="me"),"EACH row",IF(D365="","",IF(H365="credit","",IF(AE365="free","re-planting",IF(AE365="me","   not ELP, by",IF(AND(OR(PlanterYesMe="Yes",PlanterYesMe="Y"),G365&gt;0),(VLOOKUP(A365,'Discount Lookup'!J:K,2)*G365*(1-PlanterDiscount)*(1+PlanterDifficultyPercentage)),IF(AE365="ELP",(VLOOKUP(A365,'Discount Lookup'!J:K,2)*G365*(1-PlanterDiscount)*(1+PlanterDifficultyPercentage)),IF(AE365="free","re-planting",IF(G365=0,"",IF(PlanterYesMe="",IF(AE365="me","   not ELP, by",IF(AE365="",IF(G365&gt;0,(VLOOKUP(A365,'Discount Lookup'!J:K,2)*G365*(1-PlanterDiscount)*(1+PlanterDifficultyPercentage)),""),"")),"   not ELP, by"))))))))))))))</f>
        <v/>
      </c>
      <c r="AD365" s="712"/>
      <c r="AE365" s="513" t="str">
        <f t="shared" si="268"/>
        <v/>
      </c>
      <c r="AF365" s="713" t="str">
        <f t="shared" si="269"/>
        <v/>
      </c>
      <c r="AG365" s="713"/>
      <c r="AH365" s="713"/>
      <c r="AI365" s="112">
        <f>IF(H365="credit",0,IF(AE365="free",0,IF(AE365="me",0,IF(G365&gt;0,(VLOOKUP(A365,'Discount Lookup'!J:K,2)*G365),0))))</f>
        <v>0</v>
      </c>
      <c r="AJ365" s="107" t="str">
        <f t="shared" ca="1" si="270"/>
        <v/>
      </c>
      <c r="AK365" s="714" t="str">
        <f t="shared" si="271"/>
        <v/>
      </c>
      <c r="AL365" s="714"/>
      <c r="AM365" s="114" t="str">
        <f t="shared" si="272"/>
        <v/>
      </c>
      <c r="AN365" s="115"/>
      <c r="AO365" s="116"/>
      <c r="AP365" s="116"/>
      <c r="AQ365" s="116"/>
      <c r="AR365" s="116"/>
      <c r="AS365" s="116"/>
      <c r="AT365" s="116"/>
      <c r="AU365" s="116"/>
      <c r="AV365" s="78"/>
      <c r="AW365" s="102"/>
      <c r="AX365" s="78"/>
      <c r="AY365" s="78"/>
      <c r="AZ365" s="78"/>
      <c r="BA365" s="78"/>
      <c r="BB365" s="78"/>
      <c r="BC365" s="78"/>
      <c r="BD365" s="78"/>
      <c r="BE365" s="465"/>
      <c r="BF365" s="165" t="str">
        <f t="shared" si="273"/>
        <v>https://www.google.com/search?tbm=isch&amp;q=7%20G4</v>
      </c>
      <c r="BG365" s="165" t="str">
        <f t="shared" si="274"/>
        <v>A</v>
      </c>
      <c r="BH365" s="65"/>
      <c r="BI365" s="65"/>
      <c r="BJ365" s="65"/>
      <c r="BK365" s="65"/>
      <c r="BL365" s="99"/>
      <c r="BM365" s="99"/>
      <c r="BN365" s="99"/>
    </row>
    <row r="366" spans="1:66" s="51" customFormat="1" ht="15.75" x14ac:dyDescent="0.25">
      <c r="A366" s="634">
        <v>15</v>
      </c>
      <c r="B366" s="635" t="s">
        <v>291</v>
      </c>
      <c r="C366" s="636" t="s">
        <v>1475</v>
      </c>
      <c r="D366" s="637" t="s">
        <v>311</v>
      </c>
      <c r="E366" s="638">
        <v>148.94999999999999</v>
      </c>
      <c r="F366" s="639" t="s">
        <v>292</v>
      </c>
      <c r="G366" s="484">
        <v>0</v>
      </c>
      <c r="H366" s="691" t="str">
        <f t="shared" si="284"/>
        <v/>
      </c>
      <c r="I366" s="640">
        <f t="shared" si="285"/>
        <v>0</v>
      </c>
      <c r="J366" s="640">
        <f t="shared" si="286"/>
        <v>0</v>
      </c>
      <c r="K366" s="716">
        <f t="shared" ref="K366" si="290">I366+J366</f>
        <v>0</v>
      </c>
      <c r="L366" s="716"/>
      <c r="M366" s="689" t="str">
        <f t="shared" ca="1" si="288"/>
        <v/>
      </c>
      <c r="N366" s="690"/>
      <c r="O366" s="486"/>
      <c r="P366" s="486"/>
      <c r="Q366" s="486"/>
      <c r="R366" s="486"/>
      <c r="S366" s="486"/>
      <c r="T366" s="102">
        <f t="shared" si="262"/>
        <v>0</v>
      </c>
      <c r="U366" s="78">
        <f>IF(NOT(ISNUMBER(G366)), "", VLOOKUP(A366,'Discount Lookup'!D:E,2,FALSE)*G366)</f>
        <v>0</v>
      </c>
      <c r="V366" s="78">
        <f>IF(NOT(ISNUMBER(G366)), "", VLOOKUP(A366,'Discount Lookup'!G:H,2,FALSE)*G366)</f>
        <v>0</v>
      </c>
      <c r="W366" s="102">
        <f t="shared" si="263"/>
        <v>0</v>
      </c>
      <c r="X366" s="102">
        <f t="shared" si="264"/>
        <v>0</v>
      </c>
      <c r="Y366" s="120" t="b">
        <f t="shared" si="265"/>
        <v>0</v>
      </c>
      <c r="Z366" s="117">
        <f t="shared" si="266"/>
        <v>0</v>
      </c>
      <c r="AA366" s="118"/>
      <c r="AB366" s="118" t="str">
        <f t="shared" si="267"/>
        <v/>
      </c>
      <c r="AC366" s="712" t="str">
        <f>IF(AE366="T2G","no charge",IF(AND(OR(PlanterYesMe="No",PlanterYesMe="N",PlanterYesMe="me"),H366=""),"",IF(H366="credit","NO install",IF(AND(K366="",AE366="me"),"EACH row",IF(AND(K366="images",AE366="me"),"EACH row",IF(D366="","",IF(H366="credit","",IF(AE366="free","re-planting",IF(AE366="me","   not ELP, by",IF(AND(OR(PlanterYesMe="Yes",PlanterYesMe="Y"),G366&gt;0),(VLOOKUP(A366,'Discount Lookup'!J:K,2)*G366*(1-PlanterDiscount)*(1+PlanterDifficultyPercentage)),IF(AE366="ELP",(VLOOKUP(A366,'Discount Lookup'!J:K,2)*G366*(1-PlanterDiscount)*(1+PlanterDifficultyPercentage)),IF(AE366="free","re-planting",IF(G366=0,"",IF(PlanterYesMe="",IF(AE366="me","   not ELP, by",IF(AE366="",IF(G366&gt;0,(VLOOKUP(A366,'Discount Lookup'!J:K,2)*G366*(1-PlanterDiscount)*(1+PlanterDifficultyPercentage)),""),"")),"   not ELP, by"))))))))))))))</f>
        <v/>
      </c>
      <c r="AD366" s="712"/>
      <c r="AE366" s="513" t="str">
        <f t="shared" si="268"/>
        <v/>
      </c>
      <c r="AF366" s="713" t="str">
        <f t="shared" si="269"/>
        <v/>
      </c>
      <c r="AG366" s="713"/>
      <c r="AH366" s="713"/>
      <c r="AI366" s="112">
        <f>IF(H366="credit",0,IF(AE366="free",0,IF(AE366="me",0,IF(G366&gt;0,(VLOOKUP(A366,'Discount Lookup'!J:K,2)*G366),0))))</f>
        <v>0</v>
      </c>
      <c r="AJ366" s="107" t="str">
        <f t="shared" ca="1" si="270"/>
        <v/>
      </c>
      <c r="AK366" s="714" t="str">
        <f t="shared" si="271"/>
        <v/>
      </c>
      <c r="AL366" s="714"/>
      <c r="AM366" s="114" t="str">
        <f t="shared" si="272"/>
        <v/>
      </c>
      <c r="AN366" s="115"/>
      <c r="AO366" s="116"/>
      <c r="AP366" s="116"/>
      <c r="AQ366" s="116"/>
      <c r="AR366" s="116"/>
      <c r="AS366" s="116"/>
      <c r="AT366" s="116"/>
      <c r="AU366" s="116"/>
      <c r="AV366" s="78"/>
      <c r="AW366" s="102"/>
      <c r="AX366" s="78"/>
      <c r="AY366" s="78"/>
      <c r="AZ366" s="78"/>
      <c r="BA366" s="78"/>
      <c r="BB366" s="78"/>
      <c r="BC366" s="78"/>
      <c r="BD366" s="78"/>
      <c r="BE366" s="465"/>
      <c r="BF366" s="165" t="str">
        <f t="shared" si="273"/>
        <v>https://www.google.com/search?tbm=isch&amp;q=15%20G5</v>
      </c>
      <c r="BG366" s="165" t="str">
        <f t="shared" si="274"/>
        <v>A</v>
      </c>
      <c r="BH366" s="65"/>
      <c r="BI366" s="65"/>
      <c r="BJ366" s="65"/>
      <c r="BK366" s="65"/>
      <c r="BL366" s="99"/>
      <c r="BM366" s="99"/>
      <c r="BN366" s="99"/>
    </row>
    <row r="367" spans="1:66" s="51" customFormat="1" ht="15.75" x14ac:dyDescent="0.25">
      <c r="A367" s="634">
        <v>15</v>
      </c>
      <c r="B367" s="635" t="s">
        <v>291</v>
      </c>
      <c r="C367" s="636" t="s">
        <v>1476</v>
      </c>
      <c r="D367" s="637" t="s">
        <v>299</v>
      </c>
      <c r="E367" s="638">
        <v>192.95</v>
      </c>
      <c r="F367" s="639" t="s">
        <v>292</v>
      </c>
      <c r="G367" s="484">
        <v>0</v>
      </c>
      <c r="H367" s="691" t="str">
        <f t="shared" si="284"/>
        <v/>
      </c>
      <c r="I367" s="640">
        <f t="shared" si="285"/>
        <v>0</v>
      </c>
      <c r="J367" s="640">
        <f t="shared" si="286"/>
        <v>0</v>
      </c>
      <c r="K367" s="716">
        <f t="shared" ref="K367" si="291">I367+J367</f>
        <v>0</v>
      </c>
      <c r="L367" s="716"/>
      <c r="M367" s="689" t="str">
        <f t="shared" ca="1" si="288"/>
        <v/>
      </c>
      <c r="N367" s="690"/>
      <c r="O367" s="486"/>
      <c r="P367" s="486"/>
      <c r="Q367" s="486"/>
      <c r="R367" s="486"/>
      <c r="S367" s="486"/>
      <c r="T367" s="102">
        <f t="shared" si="262"/>
        <v>0</v>
      </c>
      <c r="U367" s="78">
        <f>IF(NOT(ISNUMBER(G367)), "", VLOOKUP(A367,'Discount Lookup'!D:E,2,FALSE)*G367)</f>
        <v>0</v>
      </c>
      <c r="V367" s="78">
        <f>IF(NOT(ISNUMBER(G367)), "", VLOOKUP(A367,'Discount Lookup'!G:H,2,FALSE)*G367)</f>
        <v>0</v>
      </c>
      <c r="W367" s="102">
        <f t="shared" si="263"/>
        <v>0</v>
      </c>
      <c r="X367" s="102">
        <f t="shared" si="264"/>
        <v>0</v>
      </c>
      <c r="Y367" s="120" t="b">
        <f t="shared" si="265"/>
        <v>0</v>
      </c>
      <c r="Z367" s="117">
        <f t="shared" si="266"/>
        <v>0</v>
      </c>
      <c r="AA367" s="118"/>
      <c r="AB367" s="118" t="str">
        <f t="shared" si="267"/>
        <v/>
      </c>
      <c r="AC367" s="712" t="str">
        <f>IF(AE367="T2G","no charge",IF(AND(OR(PlanterYesMe="No",PlanterYesMe="N",PlanterYesMe="me"),H367=""),"",IF(H367="credit","NO install",IF(AND(K367="",AE367="me"),"EACH row",IF(AND(K367="images",AE367="me"),"EACH row",IF(D367="","",IF(H367="credit","",IF(AE367="free","re-planting",IF(AE367="me","   not ELP, by",IF(AND(OR(PlanterYesMe="Yes",PlanterYesMe="Y"),G367&gt;0),(VLOOKUP(A367,'Discount Lookup'!J:K,2)*G367*(1-PlanterDiscount)*(1+PlanterDifficultyPercentage)),IF(AE367="ELP",(VLOOKUP(A367,'Discount Lookup'!J:K,2)*G367*(1-PlanterDiscount)*(1+PlanterDifficultyPercentage)),IF(AE367="free","re-planting",IF(G367=0,"",IF(PlanterYesMe="",IF(AE367="me","   not ELP, by",IF(AE367="",IF(G367&gt;0,(VLOOKUP(A367,'Discount Lookup'!J:K,2)*G367*(1-PlanterDiscount)*(1+PlanterDifficultyPercentage)),""),"")),"   not ELP, by"))))))))))))))</f>
        <v/>
      </c>
      <c r="AD367" s="712"/>
      <c r="AE367" s="513" t="str">
        <f t="shared" si="268"/>
        <v/>
      </c>
      <c r="AF367" s="713" t="str">
        <f t="shared" si="269"/>
        <v/>
      </c>
      <c r="AG367" s="713"/>
      <c r="AH367" s="713"/>
      <c r="AI367" s="112">
        <f>IF(H367="credit",0,IF(AE367="free",0,IF(AE367="me",0,IF(G367&gt;0,(VLOOKUP(A367,'Discount Lookup'!J:K,2)*G367),0))))</f>
        <v>0</v>
      </c>
      <c r="AJ367" s="107" t="str">
        <f t="shared" ca="1" si="270"/>
        <v/>
      </c>
      <c r="AK367" s="714" t="str">
        <f t="shared" si="271"/>
        <v/>
      </c>
      <c r="AL367" s="714"/>
      <c r="AM367" s="114" t="str">
        <f t="shared" si="272"/>
        <v/>
      </c>
      <c r="AN367" s="115"/>
      <c r="AO367" s="116"/>
      <c r="AP367" s="116"/>
      <c r="AQ367" s="116"/>
      <c r="AR367" s="116"/>
      <c r="AS367" s="116"/>
      <c r="AT367" s="116"/>
      <c r="AU367" s="116"/>
      <c r="AV367" s="78"/>
      <c r="AW367" s="102"/>
      <c r="AX367" s="78"/>
      <c r="AY367" s="78"/>
      <c r="AZ367" s="78"/>
      <c r="BA367" s="78"/>
      <c r="BB367" s="78"/>
      <c r="BC367" s="78"/>
      <c r="BD367" s="78"/>
      <c r="BE367" s="465"/>
      <c r="BF367" s="165" t="str">
        <f t="shared" si="273"/>
        <v>https://www.google.com/search?tbm=isch&amp;q=15%20G4</v>
      </c>
      <c r="BG367" s="165" t="str">
        <f t="shared" si="274"/>
        <v>A</v>
      </c>
      <c r="BH367" s="65"/>
      <c r="BI367" s="65"/>
      <c r="BJ367" s="65"/>
      <c r="BK367" s="65"/>
      <c r="BL367" s="99"/>
      <c r="BM367" s="99"/>
      <c r="BN367" s="99"/>
    </row>
    <row r="368" spans="1:66" s="51" customFormat="1" ht="15.75" x14ac:dyDescent="0.25">
      <c r="A368" s="634">
        <v>15</v>
      </c>
      <c r="B368" s="635" t="s">
        <v>291</v>
      </c>
      <c r="C368" s="636" t="s">
        <v>1477</v>
      </c>
      <c r="D368" s="637" t="s">
        <v>311</v>
      </c>
      <c r="E368" s="638">
        <v>194.95</v>
      </c>
      <c r="F368" s="639" t="s">
        <v>292</v>
      </c>
      <c r="G368" s="484">
        <v>0</v>
      </c>
      <c r="H368" s="691" t="str">
        <f t="shared" si="284"/>
        <v/>
      </c>
      <c r="I368" s="640">
        <f t="shared" si="285"/>
        <v>0</v>
      </c>
      <c r="J368" s="640">
        <f t="shared" si="286"/>
        <v>0</v>
      </c>
      <c r="K368" s="716">
        <f t="shared" ref="K368" si="292">I368+J368</f>
        <v>0</v>
      </c>
      <c r="L368" s="716"/>
      <c r="M368" s="689" t="str">
        <f t="shared" ca="1" si="288"/>
        <v/>
      </c>
      <c r="N368" s="690"/>
      <c r="O368" s="486"/>
      <c r="P368" s="486"/>
      <c r="Q368" s="486"/>
      <c r="R368" s="486"/>
      <c r="S368" s="486"/>
      <c r="T368" s="102">
        <f t="shared" si="262"/>
        <v>0</v>
      </c>
      <c r="U368" s="78">
        <f>IF(NOT(ISNUMBER(G368)), "", VLOOKUP(A368,'Discount Lookup'!D:E,2,FALSE)*G368)</f>
        <v>0</v>
      </c>
      <c r="V368" s="78">
        <f>IF(NOT(ISNUMBER(G368)), "", VLOOKUP(A368,'Discount Lookup'!G:H,2,FALSE)*G368)</f>
        <v>0</v>
      </c>
      <c r="W368" s="102">
        <f t="shared" si="263"/>
        <v>0</v>
      </c>
      <c r="X368" s="102">
        <f t="shared" si="264"/>
        <v>0</v>
      </c>
      <c r="Y368" s="120" t="b">
        <f t="shared" si="265"/>
        <v>0</v>
      </c>
      <c r="Z368" s="117">
        <f t="shared" si="266"/>
        <v>0</v>
      </c>
      <c r="AA368" s="118"/>
      <c r="AB368" s="118" t="str">
        <f t="shared" si="267"/>
        <v/>
      </c>
      <c r="AC368" s="712" t="str">
        <f>IF(AE368="T2G","no charge",IF(AND(OR(PlanterYesMe="No",PlanterYesMe="N",PlanterYesMe="me"),H368=""),"",IF(H368="credit","NO install",IF(AND(K368="",AE368="me"),"EACH row",IF(AND(K368="images",AE368="me"),"EACH row",IF(D368="","",IF(H368="credit","",IF(AE368="free","re-planting",IF(AE368="me","   not ELP, by",IF(AND(OR(PlanterYesMe="Yes",PlanterYesMe="Y"),G368&gt;0),(VLOOKUP(A368,'Discount Lookup'!J:K,2)*G368*(1-PlanterDiscount)*(1+PlanterDifficultyPercentage)),IF(AE368="ELP",(VLOOKUP(A368,'Discount Lookup'!J:K,2)*G368*(1-PlanterDiscount)*(1+PlanterDifficultyPercentage)),IF(AE368="free","re-planting",IF(G368=0,"",IF(PlanterYesMe="",IF(AE368="me","   not ELP, by",IF(AE368="",IF(G368&gt;0,(VLOOKUP(A368,'Discount Lookup'!J:K,2)*G368*(1-PlanterDiscount)*(1+PlanterDifficultyPercentage)),""),"")),"   not ELP, by"))))))))))))))</f>
        <v/>
      </c>
      <c r="AD368" s="712"/>
      <c r="AE368" s="513" t="str">
        <f t="shared" si="268"/>
        <v/>
      </c>
      <c r="AF368" s="713" t="str">
        <f t="shared" si="269"/>
        <v/>
      </c>
      <c r="AG368" s="713"/>
      <c r="AH368" s="713"/>
      <c r="AI368" s="112">
        <f>IF(H368="credit",0,IF(AE368="free",0,IF(AE368="me",0,IF(G368&gt;0,(VLOOKUP(A368,'Discount Lookup'!J:K,2)*G368),0))))</f>
        <v>0</v>
      </c>
      <c r="AJ368" s="107" t="str">
        <f t="shared" ca="1" si="270"/>
        <v/>
      </c>
      <c r="AK368" s="714" t="str">
        <f t="shared" si="271"/>
        <v/>
      </c>
      <c r="AL368" s="714"/>
      <c r="AM368" s="114" t="str">
        <f t="shared" si="272"/>
        <v/>
      </c>
      <c r="AN368" s="115"/>
      <c r="AO368" s="116"/>
      <c r="AP368" s="116"/>
      <c r="AQ368" s="116"/>
      <c r="AR368" s="116"/>
      <c r="AS368" s="116"/>
      <c r="AT368" s="116"/>
      <c r="AU368" s="116"/>
      <c r="AV368" s="78"/>
      <c r="AW368" s="102"/>
      <c r="AX368" s="78"/>
      <c r="AY368" s="78"/>
      <c r="AZ368" s="78"/>
      <c r="BA368" s="78"/>
      <c r="BB368" s="78"/>
      <c r="BC368" s="78"/>
      <c r="BD368" s="78"/>
      <c r="BE368" s="465"/>
      <c r="BF368" s="165" t="str">
        <f t="shared" si="273"/>
        <v>https://www.google.com/search?tbm=isch&amp;q=15%20G5</v>
      </c>
      <c r="BG368" s="165" t="str">
        <f t="shared" si="274"/>
        <v>A</v>
      </c>
      <c r="BH368" s="65"/>
      <c r="BI368" s="65"/>
      <c r="BJ368" s="65"/>
      <c r="BK368" s="65"/>
      <c r="BL368" s="99"/>
      <c r="BM368" s="99"/>
      <c r="BN368" s="99"/>
    </row>
    <row r="369" spans="1:66" s="51" customFormat="1" ht="27" x14ac:dyDescent="0.25">
      <c r="A369" s="634">
        <v>15</v>
      </c>
      <c r="B369" s="635" t="s">
        <v>291</v>
      </c>
      <c r="C369" s="636" t="s">
        <v>1478</v>
      </c>
      <c r="D369" s="637" t="s">
        <v>299</v>
      </c>
      <c r="E369" s="638">
        <v>201.95</v>
      </c>
      <c r="F369" s="639" t="s">
        <v>292</v>
      </c>
      <c r="G369" s="484">
        <v>0</v>
      </c>
      <c r="H369" s="691" t="str">
        <f t="shared" si="284"/>
        <v/>
      </c>
      <c r="I369" s="640">
        <f t="shared" si="285"/>
        <v>0</v>
      </c>
      <c r="J369" s="640">
        <f t="shared" si="286"/>
        <v>0</v>
      </c>
      <c r="K369" s="716">
        <f t="shared" ref="K369" si="293">I369+J369</f>
        <v>0</v>
      </c>
      <c r="L369" s="716"/>
      <c r="M369" s="689" t="str">
        <f t="shared" ca="1" si="288"/>
        <v/>
      </c>
      <c r="N369" s="690"/>
      <c r="O369" s="486"/>
      <c r="P369" s="486"/>
      <c r="Q369" s="486"/>
      <c r="R369" s="486"/>
      <c r="S369" s="486"/>
      <c r="T369" s="102">
        <f t="shared" si="262"/>
        <v>0</v>
      </c>
      <c r="U369" s="78">
        <f>IF(NOT(ISNUMBER(G369)), "", VLOOKUP(A369,'Discount Lookup'!D:E,2,FALSE)*G369)</f>
        <v>0</v>
      </c>
      <c r="V369" s="78">
        <f>IF(NOT(ISNUMBER(G369)), "", VLOOKUP(A369,'Discount Lookup'!G:H,2,FALSE)*G369)</f>
        <v>0</v>
      </c>
      <c r="W369" s="102">
        <f t="shared" si="263"/>
        <v>0</v>
      </c>
      <c r="X369" s="102">
        <f t="shared" si="264"/>
        <v>0</v>
      </c>
      <c r="Y369" s="120" t="b">
        <f t="shared" si="265"/>
        <v>0</v>
      </c>
      <c r="Z369" s="117">
        <f t="shared" si="266"/>
        <v>0</v>
      </c>
      <c r="AA369" s="118"/>
      <c r="AB369" s="118" t="str">
        <f t="shared" si="267"/>
        <v/>
      </c>
      <c r="AC369" s="712" t="str">
        <f>IF(AE369="T2G","no charge",IF(AND(OR(PlanterYesMe="No",PlanterYesMe="N",PlanterYesMe="me"),H369=""),"",IF(H369="credit","NO install",IF(AND(K369="",AE369="me"),"EACH row",IF(AND(K369="images",AE369="me"),"EACH row",IF(D369="","",IF(H369="credit","",IF(AE369="free","re-planting",IF(AE369="me","   not ELP, by",IF(AND(OR(PlanterYesMe="Yes",PlanterYesMe="Y"),G369&gt;0),(VLOOKUP(A369,'Discount Lookup'!J:K,2)*G369*(1-PlanterDiscount)*(1+PlanterDifficultyPercentage)),IF(AE369="ELP",(VLOOKUP(A369,'Discount Lookup'!J:K,2)*G369*(1-PlanterDiscount)*(1+PlanterDifficultyPercentage)),IF(AE369="free","re-planting",IF(G369=0,"",IF(PlanterYesMe="",IF(AE369="me","   not ELP, by",IF(AE369="",IF(G369&gt;0,(VLOOKUP(A369,'Discount Lookup'!J:K,2)*G369*(1-PlanterDiscount)*(1+PlanterDifficultyPercentage)),""),"")),"   not ELP, by"))))))))))))))</f>
        <v/>
      </c>
      <c r="AD369" s="712"/>
      <c r="AE369" s="513" t="str">
        <f t="shared" si="268"/>
        <v/>
      </c>
      <c r="AF369" s="713" t="str">
        <f t="shared" si="269"/>
        <v/>
      </c>
      <c r="AG369" s="713"/>
      <c r="AH369" s="713"/>
      <c r="AI369" s="112">
        <f>IF(H369="credit",0,IF(AE369="free",0,IF(AE369="me",0,IF(G369&gt;0,(VLOOKUP(A369,'Discount Lookup'!J:K,2)*G369),0))))</f>
        <v>0</v>
      </c>
      <c r="AJ369" s="107" t="str">
        <f t="shared" ca="1" si="270"/>
        <v/>
      </c>
      <c r="AK369" s="714" t="str">
        <f t="shared" si="271"/>
        <v/>
      </c>
      <c r="AL369" s="714"/>
      <c r="AM369" s="114" t="str">
        <f t="shared" si="272"/>
        <v/>
      </c>
      <c r="AN369" s="115"/>
      <c r="AO369" s="116"/>
      <c r="AP369" s="116"/>
      <c r="AQ369" s="116"/>
      <c r="AR369" s="116"/>
      <c r="AS369" s="116"/>
      <c r="AT369" s="116"/>
      <c r="AU369" s="116"/>
      <c r="AV369" s="78"/>
      <c r="AW369" s="102"/>
      <c r="AX369" s="78"/>
      <c r="AY369" s="78"/>
      <c r="AZ369" s="78"/>
      <c r="BA369" s="78"/>
      <c r="BB369" s="78"/>
      <c r="BC369" s="78"/>
      <c r="BD369" s="78"/>
      <c r="BE369" s="465"/>
      <c r="BF369" s="165" t="str">
        <f t="shared" si="273"/>
        <v>https://www.google.com/search?tbm=isch&amp;q=15%20G4</v>
      </c>
      <c r="BG369" s="165" t="str">
        <f t="shared" si="274"/>
        <v>A</v>
      </c>
      <c r="BH369" s="65"/>
      <c r="BI369" s="65"/>
      <c r="BJ369" s="65"/>
      <c r="BK369" s="65"/>
      <c r="BL369" s="99"/>
      <c r="BM369" s="99"/>
      <c r="BN369" s="99"/>
    </row>
    <row r="370" spans="1:66" s="51" customFormat="1" ht="15.75" x14ac:dyDescent="0.25">
      <c r="A370" s="634">
        <v>15</v>
      </c>
      <c r="B370" s="635" t="s">
        <v>291</v>
      </c>
      <c r="C370" s="636" t="s">
        <v>4565</v>
      </c>
      <c r="D370" s="637" t="s">
        <v>293</v>
      </c>
      <c r="E370" s="638">
        <v>271.95</v>
      </c>
      <c r="F370" s="639" t="s">
        <v>292</v>
      </c>
      <c r="G370" s="484">
        <v>0</v>
      </c>
      <c r="H370" s="691" t="str">
        <f t="shared" si="284"/>
        <v/>
      </c>
      <c r="I370" s="640">
        <f t="shared" si="285"/>
        <v>0</v>
      </c>
      <c r="J370" s="640">
        <f t="shared" si="286"/>
        <v>0</v>
      </c>
      <c r="K370" s="716">
        <f t="shared" ref="K370" si="294">I370+J370</f>
        <v>0</v>
      </c>
      <c r="L370" s="716"/>
      <c r="M370" s="689" t="str">
        <f t="shared" ca="1" si="288"/>
        <v/>
      </c>
      <c r="N370" s="690"/>
      <c r="O370" s="486"/>
      <c r="P370" s="486"/>
      <c r="Q370" s="486"/>
      <c r="R370" s="486"/>
      <c r="S370" s="486"/>
      <c r="T370" s="102">
        <f t="shared" si="262"/>
        <v>0</v>
      </c>
      <c r="U370" s="78">
        <f>IF(NOT(ISNUMBER(G370)), "", VLOOKUP(A370,'Discount Lookup'!D:E,2,FALSE)*G370)</f>
        <v>0</v>
      </c>
      <c r="V370" s="78">
        <f>IF(NOT(ISNUMBER(G370)), "", VLOOKUP(A370,'Discount Lookup'!G:H,2,FALSE)*G370)</f>
        <v>0</v>
      </c>
      <c r="W370" s="102">
        <f t="shared" si="263"/>
        <v>0</v>
      </c>
      <c r="X370" s="102">
        <f t="shared" si="264"/>
        <v>0</v>
      </c>
      <c r="Y370" s="120" t="b">
        <f t="shared" si="265"/>
        <v>0</v>
      </c>
      <c r="Z370" s="117">
        <f t="shared" si="266"/>
        <v>0</v>
      </c>
      <c r="AA370" s="118"/>
      <c r="AB370" s="118" t="str">
        <f t="shared" si="267"/>
        <v/>
      </c>
      <c r="AC370" s="712" t="str">
        <f>IF(AE370="T2G","no charge",IF(AND(OR(PlanterYesMe="No",PlanterYesMe="N",PlanterYesMe="me"),H370=""),"",IF(H370="credit","NO install",IF(AND(K370="",AE370="me"),"EACH row",IF(AND(K370="images",AE370="me"),"EACH row",IF(D370="","",IF(H370="credit","",IF(AE370="free","re-planting",IF(AE370="me","   not ELP, by",IF(AND(OR(PlanterYesMe="Yes",PlanterYesMe="Y"),G370&gt;0),(VLOOKUP(A370,'Discount Lookup'!J:K,2)*G370*(1-PlanterDiscount)*(1+PlanterDifficultyPercentage)),IF(AE370="ELP",(VLOOKUP(A370,'Discount Lookup'!J:K,2)*G370*(1-PlanterDiscount)*(1+PlanterDifficultyPercentage)),IF(AE370="free","re-planting",IF(G370=0,"",IF(PlanterYesMe="",IF(AE370="me","   not ELP, by",IF(AE370="",IF(G370&gt;0,(VLOOKUP(A370,'Discount Lookup'!J:K,2)*G370*(1-PlanterDiscount)*(1+PlanterDifficultyPercentage)),""),"")),"   not ELP, by"))))))))))))))</f>
        <v/>
      </c>
      <c r="AD370" s="712"/>
      <c r="AE370" s="513" t="str">
        <f t="shared" si="268"/>
        <v/>
      </c>
      <c r="AF370" s="713" t="str">
        <f t="shared" si="269"/>
        <v/>
      </c>
      <c r="AG370" s="713"/>
      <c r="AH370" s="713"/>
      <c r="AI370" s="112">
        <f>IF(H370="credit",0,IF(AE370="free",0,IF(AE370="me",0,IF(G370&gt;0,(VLOOKUP(A370,'Discount Lookup'!J:K,2)*G370),0))))</f>
        <v>0</v>
      </c>
      <c r="AJ370" s="107" t="str">
        <f t="shared" ca="1" si="270"/>
        <v/>
      </c>
      <c r="AK370" s="714" t="str">
        <f t="shared" si="271"/>
        <v/>
      </c>
      <c r="AL370" s="714"/>
      <c r="AM370" s="114" t="str">
        <f t="shared" si="272"/>
        <v/>
      </c>
      <c r="AN370" s="115"/>
      <c r="AO370" s="116"/>
      <c r="AP370" s="116"/>
      <c r="AQ370" s="116"/>
      <c r="AR370" s="116"/>
      <c r="AS370" s="116"/>
      <c r="AT370" s="116"/>
      <c r="AU370" s="116"/>
      <c r="AV370" s="78"/>
      <c r="AW370" s="102"/>
      <c r="AX370" s="78"/>
      <c r="AY370" s="78"/>
      <c r="AZ370" s="78"/>
      <c r="BA370" s="78"/>
      <c r="BB370" s="78"/>
      <c r="BC370" s="78"/>
      <c r="BD370" s="78"/>
      <c r="BE370" s="465"/>
      <c r="BF370" s="165" t="str">
        <f t="shared" si="273"/>
        <v>https://www.google.com/search?tbm=isch&amp;q=15%20G6</v>
      </c>
      <c r="BG370" s="165" t="str">
        <f t="shared" si="274"/>
        <v>A</v>
      </c>
      <c r="BH370" s="65"/>
      <c r="BI370" s="65"/>
      <c r="BJ370" s="65"/>
      <c r="BK370" s="65"/>
      <c r="BL370" s="99"/>
      <c r="BM370" s="99"/>
      <c r="BN370" s="99"/>
    </row>
    <row r="371" spans="1:66" s="51" customFormat="1" ht="15.75" x14ac:dyDescent="0.25">
      <c r="A371" s="634">
        <v>25</v>
      </c>
      <c r="B371" s="635" t="s">
        <v>291</v>
      </c>
      <c r="C371" s="636" t="s">
        <v>1479</v>
      </c>
      <c r="D371" s="637" t="s">
        <v>299</v>
      </c>
      <c r="E371" s="638">
        <v>299.95</v>
      </c>
      <c r="F371" s="639" t="s">
        <v>292</v>
      </c>
      <c r="G371" s="484">
        <v>0</v>
      </c>
      <c r="H371" s="691" t="str">
        <f t="shared" si="284"/>
        <v/>
      </c>
      <c r="I371" s="640">
        <f t="shared" si="285"/>
        <v>0</v>
      </c>
      <c r="J371" s="640">
        <f t="shared" si="286"/>
        <v>0</v>
      </c>
      <c r="K371" s="716">
        <f t="shared" ref="K371" si="295">I371+J371</f>
        <v>0</v>
      </c>
      <c r="L371" s="716"/>
      <c r="M371" s="689" t="str">
        <f t="shared" ca="1" si="288"/>
        <v/>
      </c>
      <c r="N371" s="690"/>
      <c r="O371" s="486"/>
      <c r="P371" s="486"/>
      <c r="Q371" s="486"/>
      <c r="R371" s="486"/>
      <c r="S371" s="486"/>
      <c r="T371" s="102">
        <f t="shared" si="262"/>
        <v>0</v>
      </c>
      <c r="U371" s="78">
        <f>IF(NOT(ISNUMBER(G371)), "", VLOOKUP(A371,'Discount Lookup'!D:E,2,FALSE)*G371)</f>
        <v>0</v>
      </c>
      <c r="V371" s="78">
        <f>IF(NOT(ISNUMBER(G371)), "", VLOOKUP(A371,'Discount Lookup'!G:H,2,FALSE)*G371)</f>
        <v>0</v>
      </c>
      <c r="W371" s="102">
        <f t="shared" si="263"/>
        <v>0</v>
      </c>
      <c r="X371" s="102">
        <f t="shared" si="264"/>
        <v>0</v>
      </c>
      <c r="Y371" s="120" t="b">
        <f t="shared" si="265"/>
        <v>0</v>
      </c>
      <c r="Z371" s="117">
        <f t="shared" si="266"/>
        <v>0</v>
      </c>
      <c r="AA371" s="118"/>
      <c r="AB371" s="118" t="str">
        <f t="shared" si="267"/>
        <v/>
      </c>
      <c r="AC371" s="712" t="str">
        <f>IF(AE371="T2G","no charge",IF(AND(OR(PlanterYesMe="No",PlanterYesMe="N",PlanterYesMe="me"),H371=""),"",IF(H371="credit","NO install",IF(AND(K371="",AE371="me"),"EACH row",IF(AND(K371="images",AE371="me"),"EACH row",IF(D371="","",IF(H371="credit","",IF(AE371="free","re-planting",IF(AE371="me","   not ELP, by",IF(AND(OR(PlanterYesMe="Yes",PlanterYesMe="Y"),G371&gt;0),(VLOOKUP(A371,'Discount Lookup'!J:K,2)*G371*(1-PlanterDiscount)*(1+PlanterDifficultyPercentage)),IF(AE371="ELP",(VLOOKUP(A371,'Discount Lookup'!J:K,2)*G371*(1-PlanterDiscount)*(1+PlanterDifficultyPercentage)),IF(AE371="free","re-planting",IF(G371=0,"",IF(PlanterYesMe="",IF(AE371="me","   not ELP, by",IF(AE371="",IF(G371&gt;0,(VLOOKUP(A371,'Discount Lookup'!J:K,2)*G371*(1-PlanterDiscount)*(1+PlanterDifficultyPercentage)),""),"")),"   not ELP, by"))))))))))))))</f>
        <v/>
      </c>
      <c r="AD371" s="712"/>
      <c r="AE371" s="513" t="str">
        <f t="shared" si="268"/>
        <v/>
      </c>
      <c r="AF371" s="713" t="str">
        <f t="shared" si="269"/>
        <v/>
      </c>
      <c r="AG371" s="713"/>
      <c r="AH371" s="713"/>
      <c r="AI371" s="112">
        <f>IF(H371="credit",0,IF(AE371="free",0,IF(AE371="me",0,IF(G371&gt;0,(VLOOKUP(A371,'Discount Lookup'!J:K,2)*G371),0))))</f>
        <v>0</v>
      </c>
      <c r="AJ371" s="107" t="str">
        <f t="shared" ca="1" si="270"/>
        <v/>
      </c>
      <c r="AK371" s="714" t="str">
        <f t="shared" si="271"/>
        <v/>
      </c>
      <c r="AL371" s="714"/>
      <c r="AM371" s="114" t="str">
        <f t="shared" si="272"/>
        <v/>
      </c>
      <c r="AN371" s="115"/>
      <c r="AO371" s="116"/>
      <c r="AP371" s="116"/>
      <c r="AQ371" s="116"/>
      <c r="AR371" s="116"/>
      <c r="AS371" s="116"/>
      <c r="AT371" s="116"/>
      <c r="AU371" s="116"/>
      <c r="AV371" s="78"/>
      <c r="AW371" s="102"/>
      <c r="AX371" s="78"/>
      <c r="AY371" s="78"/>
      <c r="AZ371" s="78"/>
      <c r="BA371" s="78"/>
      <c r="BB371" s="78"/>
      <c r="BC371" s="78"/>
      <c r="BD371" s="78"/>
      <c r="BE371" s="465"/>
      <c r="BF371" s="165" t="str">
        <f t="shared" si="273"/>
        <v>https://www.google.com/search?tbm=isch&amp;q=25%20G4</v>
      </c>
      <c r="BG371" s="165" t="str">
        <f t="shared" si="274"/>
        <v>A</v>
      </c>
      <c r="BH371" s="65"/>
      <c r="BI371" s="65"/>
      <c r="BJ371" s="65"/>
      <c r="BK371" s="65"/>
      <c r="BL371" s="99"/>
      <c r="BM371" s="99"/>
      <c r="BN371" s="99"/>
    </row>
    <row r="372" spans="1:66" s="51" customFormat="1" ht="15.75" x14ac:dyDescent="0.25">
      <c r="A372" s="634">
        <v>25</v>
      </c>
      <c r="B372" s="635" t="s">
        <v>291</v>
      </c>
      <c r="C372" s="636" t="s">
        <v>5114</v>
      </c>
      <c r="D372" s="637" t="s">
        <v>299</v>
      </c>
      <c r="E372" s="638">
        <v>299.95</v>
      </c>
      <c r="F372" s="639" t="s">
        <v>292</v>
      </c>
      <c r="G372" s="484">
        <v>0</v>
      </c>
      <c r="H372" s="691" t="str">
        <f t="shared" si="284"/>
        <v/>
      </c>
      <c r="I372" s="640">
        <f t="shared" si="285"/>
        <v>0</v>
      </c>
      <c r="J372" s="640">
        <f t="shared" si="286"/>
        <v>0</v>
      </c>
      <c r="K372" s="716">
        <f t="shared" ref="K372" si="296">I372+J372</f>
        <v>0</v>
      </c>
      <c r="L372" s="716"/>
      <c r="M372" s="689" t="str">
        <f t="shared" ca="1" si="288"/>
        <v/>
      </c>
      <c r="N372" s="690"/>
      <c r="O372" s="486"/>
      <c r="P372" s="486"/>
      <c r="Q372" s="486"/>
      <c r="R372" s="486"/>
      <c r="S372" s="486"/>
      <c r="T372" s="102">
        <f t="shared" si="262"/>
        <v>0</v>
      </c>
      <c r="U372" s="78">
        <f>IF(NOT(ISNUMBER(G372)), "", VLOOKUP(A372,'Discount Lookup'!D:E,2,FALSE)*G372)</f>
        <v>0</v>
      </c>
      <c r="V372" s="78">
        <f>IF(NOT(ISNUMBER(G372)), "", VLOOKUP(A372,'Discount Lookup'!G:H,2,FALSE)*G372)</f>
        <v>0</v>
      </c>
      <c r="W372" s="102">
        <f t="shared" si="263"/>
        <v>0</v>
      </c>
      <c r="X372" s="102">
        <f t="shared" si="264"/>
        <v>0</v>
      </c>
      <c r="Y372" s="120" t="b">
        <f t="shared" si="265"/>
        <v>0</v>
      </c>
      <c r="Z372" s="117">
        <f t="shared" si="266"/>
        <v>0</v>
      </c>
      <c r="AA372" s="118"/>
      <c r="AB372" s="118" t="str">
        <f t="shared" si="267"/>
        <v/>
      </c>
      <c r="AC372" s="712" t="str">
        <f>IF(AE372="T2G","no charge",IF(AND(OR(PlanterYesMe="No",PlanterYesMe="N",PlanterYesMe="me"),H372=""),"",IF(H372="credit","NO install",IF(AND(K372="",AE372="me"),"EACH row",IF(AND(K372="images",AE372="me"),"EACH row",IF(D372="","",IF(H372="credit","",IF(AE372="free","re-planting",IF(AE372="me","   not ELP, by",IF(AND(OR(PlanterYesMe="Yes",PlanterYesMe="Y"),G372&gt;0),(VLOOKUP(A372,'Discount Lookup'!J:K,2)*G372*(1-PlanterDiscount)*(1+PlanterDifficultyPercentage)),IF(AE372="ELP",(VLOOKUP(A372,'Discount Lookup'!J:K,2)*G372*(1-PlanterDiscount)*(1+PlanterDifficultyPercentage)),IF(AE372="free","re-planting",IF(G372=0,"",IF(PlanterYesMe="",IF(AE372="me","   not ELP, by",IF(AE372="",IF(G372&gt;0,(VLOOKUP(A372,'Discount Lookup'!J:K,2)*G372*(1-PlanterDiscount)*(1+PlanterDifficultyPercentage)),""),"")),"   not ELP, by"))))))))))))))</f>
        <v/>
      </c>
      <c r="AD372" s="712"/>
      <c r="AE372" s="513" t="str">
        <f t="shared" si="268"/>
        <v/>
      </c>
      <c r="AF372" s="713" t="str">
        <f t="shared" si="269"/>
        <v/>
      </c>
      <c r="AG372" s="713"/>
      <c r="AH372" s="713"/>
      <c r="AI372" s="112">
        <f>IF(H372="credit",0,IF(AE372="free",0,IF(AE372="me",0,IF(G372&gt;0,(VLOOKUP(A372,'Discount Lookup'!J:K,2)*G372),0))))</f>
        <v>0</v>
      </c>
      <c r="AJ372" s="107" t="str">
        <f t="shared" ca="1" si="270"/>
        <v/>
      </c>
      <c r="AK372" s="714" t="str">
        <f t="shared" si="271"/>
        <v/>
      </c>
      <c r="AL372" s="714"/>
      <c r="AM372" s="114" t="str">
        <f t="shared" si="272"/>
        <v/>
      </c>
      <c r="AN372" s="115"/>
      <c r="AO372" s="116"/>
      <c r="AP372" s="116"/>
      <c r="AQ372" s="116"/>
      <c r="AR372" s="116"/>
      <c r="AS372" s="116"/>
      <c r="AT372" s="116"/>
      <c r="AU372" s="116"/>
      <c r="AV372" s="78"/>
      <c r="AW372" s="102"/>
      <c r="AX372" s="78"/>
      <c r="AY372" s="78"/>
      <c r="AZ372" s="78"/>
      <c r="BA372" s="78"/>
      <c r="BB372" s="78"/>
      <c r="BC372" s="78"/>
      <c r="BD372" s="78"/>
      <c r="BE372" s="465"/>
      <c r="BF372" s="165" t="str">
        <f t="shared" si="273"/>
        <v>https://www.google.com/search?tbm=isch&amp;q=25%20G4</v>
      </c>
      <c r="BG372" s="165" t="str">
        <f t="shared" si="274"/>
        <v>A</v>
      </c>
      <c r="BH372" s="65"/>
      <c r="BI372" s="65"/>
      <c r="BJ372" s="65"/>
      <c r="BK372" s="65"/>
      <c r="BL372" s="99"/>
      <c r="BM372" s="99"/>
      <c r="BN372" s="99"/>
    </row>
    <row r="373" spans="1:66" s="51" customFormat="1" ht="17.25" thickBot="1" x14ac:dyDescent="0.3">
      <c r="A373" s="704" t="s">
        <v>5330</v>
      </c>
      <c r="B373" s="642"/>
      <c r="C373" s="710"/>
      <c r="D373" s="643"/>
      <c r="E373" s="643"/>
      <c r="F373" s="644"/>
      <c r="G373" s="645"/>
      <c r="H373" s="646"/>
      <c r="I373" s="647"/>
      <c r="J373" s="648"/>
      <c r="K373" s="649"/>
      <c r="L373" s="650"/>
      <c r="M373" s="650"/>
      <c r="N373" s="644"/>
      <c r="O373" s="644"/>
      <c r="P373" s="644"/>
      <c r="Q373" s="644"/>
      <c r="R373" s="644"/>
      <c r="S373" s="701" t="s">
        <v>5265</v>
      </c>
      <c r="T373" s="102">
        <f t="shared" si="262"/>
        <v>0</v>
      </c>
      <c r="U373" s="78" t="str">
        <f>IF(NOT(ISNUMBER(G373)), "", VLOOKUP(A373,'Discount Lookup'!D:E,2,FALSE)*G373)</f>
        <v/>
      </c>
      <c r="V373" s="78" t="str">
        <f>IF(NOT(ISNUMBER(G373)), "", VLOOKUP(A373,'Discount Lookup'!G:H,2,FALSE)*G373)</f>
        <v/>
      </c>
      <c r="W373" s="102">
        <f t="shared" si="263"/>
        <v>0</v>
      </c>
      <c r="X373" s="102">
        <f t="shared" si="264"/>
        <v>0</v>
      </c>
      <c r="Y373" s="120" t="b">
        <f t="shared" si="265"/>
        <v>0</v>
      </c>
      <c r="Z373" s="117">
        <f t="shared" si="266"/>
        <v>0</v>
      </c>
      <c r="AA373" s="118"/>
      <c r="AB373" s="118" t="str">
        <f t="shared" si="267"/>
        <v/>
      </c>
      <c r="AC373" s="712" t="str">
        <f>IF(AE373="T2G","no charge",IF(AND(OR(PlanterYesMe="No",PlanterYesMe="N",PlanterYesMe="me"),H373=""),"",IF(H373="credit","NO install",IF(AND(K373="",AE373="me"),"EACH row",IF(AND(K373="images",AE373="me"),"EACH row",IF(D373="","",IF(H373="credit","",IF(AE373="free","re-planting",IF(AE373="me","   not ELP, by",IF(AND(OR(PlanterYesMe="Yes",PlanterYesMe="Y"),G373&gt;0),(VLOOKUP(A373,'Discount Lookup'!J:K,2)*G373*(1-PlanterDiscount)*(1+PlanterDifficultyPercentage)),IF(AE373="ELP",(VLOOKUP(A373,'Discount Lookup'!J:K,2)*G373*(1-PlanterDiscount)*(1+PlanterDifficultyPercentage)),IF(AE373="free","re-planting",IF(G373=0,"",IF(PlanterYesMe="",IF(AE373="me","   not ELP, by",IF(AE373="",IF(G373&gt;0,(VLOOKUP(A373,'Discount Lookup'!J:K,2)*G373*(1-PlanterDiscount)*(1+PlanterDifficultyPercentage)),""),"")),"   not ELP, by"))))))))))))))</f>
        <v/>
      </c>
      <c r="AD373" s="712"/>
      <c r="AE373" s="513" t="str">
        <f t="shared" si="268"/>
        <v/>
      </c>
      <c r="AF373" s="713" t="str">
        <f t="shared" si="269"/>
        <v/>
      </c>
      <c r="AG373" s="713"/>
      <c r="AH373" s="713"/>
      <c r="AI373" s="112">
        <f>IF(H373="credit",0,IF(AE373="free",0,IF(AE373="me",0,IF(G373&gt;0,(VLOOKUP(A373,'Discount Lookup'!J:K,2)*G373),0))))</f>
        <v>0</v>
      </c>
      <c r="AJ373" s="107" t="str">
        <f t="shared" ca="1" si="270"/>
        <v/>
      </c>
      <c r="AK373" s="714" t="str">
        <f t="shared" si="271"/>
        <v/>
      </c>
      <c r="AL373" s="714"/>
      <c r="AM373" s="114" t="str">
        <f t="shared" si="272"/>
        <v/>
      </c>
      <c r="AN373" s="115"/>
      <c r="AO373" s="116"/>
      <c r="AP373" s="116"/>
      <c r="AQ373" s="116"/>
      <c r="AR373" s="116"/>
      <c r="AS373" s="116"/>
      <c r="AT373" s="116"/>
      <c r="AU373" s="116"/>
      <c r="AV373" s="78"/>
      <c r="AW373" s="102"/>
      <c r="AX373" s="78"/>
      <c r="AY373" s="78"/>
      <c r="AZ373" s="78"/>
      <c r="BA373" s="78"/>
      <c r="BB373" s="78"/>
      <c r="BC373" s="78"/>
      <c r="BD373" s="78"/>
      <c r="BE373" s="465"/>
      <c r="BF373" s="165" t="str">
        <f t="shared" si="273"/>
        <v>https://www.google.com/search?tbm=isch&amp;q=moist%20sites%F0%9F%92%A7GOOD%2C%20Autumn%20Brilliance%20%28and%20all%20seviceberry%29%20are%20great%20for%20attracting%20birds.%20Edible%20fruit%20can%20make%20tasty%20jelly%20</v>
      </c>
      <c r="BG373" s="165" t="str">
        <f t="shared" si="274"/>
        <v>m</v>
      </c>
      <c r="BH373" s="65"/>
      <c r="BI373" s="65"/>
      <c r="BJ373" s="65"/>
      <c r="BK373" s="65"/>
      <c r="BL373" s="99"/>
      <c r="BM373" s="99"/>
      <c r="BN373" s="99"/>
    </row>
    <row r="374" spans="1:66" s="51" customFormat="1" ht="18" x14ac:dyDescent="0.25">
      <c r="A374" s="623" t="s">
        <v>1480</v>
      </c>
      <c r="B374" s="624"/>
      <c r="C374" s="709"/>
      <c r="D374" s="625" t="s">
        <v>5587</v>
      </c>
      <c r="E374" s="626"/>
      <c r="F374" s="626"/>
      <c r="G374" s="626"/>
      <c r="H374" s="622" t="s">
        <v>307</v>
      </c>
      <c r="I374" s="627" t="s">
        <v>349</v>
      </c>
      <c r="J374" s="628"/>
      <c r="K374" s="628"/>
      <c r="L374" s="629"/>
      <c r="M374" s="700" t="s">
        <v>5249</v>
      </c>
      <c r="N374" s="693" t="str">
        <f>IF(AND(ISTEXT($A374), ISERROR($A374+0)), HYPERLINK($BF374, "Images"), "")</f>
        <v>Images</v>
      </c>
      <c r="O374" s="695" t="s">
        <v>5247</v>
      </c>
      <c r="P374" s="630"/>
      <c r="Q374" s="631"/>
      <c r="R374" s="632"/>
      <c r="S374" s="633"/>
      <c r="T374" s="102">
        <f t="shared" si="262"/>
        <v>0</v>
      </c>
      <c r="U374" s="78" t="str">
        <f>IF(NOT(ISNUMBER(G374)), "", VLOOKUP(A374,'Discount Lookup'!D:E,2,FALSE)*G374)</f>
        <v/>
      </c>
      <c r="V374" s="78" t="str">
        <f>IF(NOT(ISNUMBER(G374)), "", VLOOKUP(A374,'Discount Lookup'!G:H,2,FALSE)*G374)</f>
        <v/>
      </c>
      <c r="W374" s="102">
        <f t="shared" si="263"/>
        <v>0</v>
      </c>
      <c r="X374" s="102" t="str">
        <f t="shared" si="264"/>
        <v>White bloom</v>
      </c>
      <c r="Y374" s="120" t="b">
        <f t="shared" si="265"/>
        <v>0</v>
      </c>
      <c r="Z374" s="117">
        <f t="shared" si="266"/>
        <v>0</v>
      </c>
      <c r="AA374" s="118"/>
      <c r="AB374" s="118" t="str">
        <f t="shared" si="267"/>
        <v/>
      </c>
      <c r="AC374" s="712" t="str">
        <f>IF(AE374="T2G","no charge",IF(AND(OR(PlanterYesMe="No",PlanterYesMe="N",PlanterYesMe="me"),H374=""),"",IF(H374="credit","NO install",IF(AND(K374="",AE374="me"),"EACH row",IF(AND(K374="images",AE374="me"),"EACH row",IF(D374="","",IF(H374="credit","",IF(AE374="free","re-planting",IF(AE374="me","   not ELP, by",IF(AND(OR(PlanterYesMe="Yes",PlanterYesMe="Y"),G374&gt;0),(VLOOKUP(A374,'Discount Lookup'!J:K,2)*G374*(1-PlanterDiscount)*(1+PlanterDifficultyPercentage)),IF(AE374="ELP",(VLOOKUP(A374,'Discount Lookup'!J:K,2)*G374*(1-PlanterDiscount)*(1+PlanterDifficultyPercentage)),IF(AE374="free","re-planting",IF(G374=0,"",IF(PlanterYesMe="",IF(AE374="me","   not ELP, by",IF(AE374="",IF(G374&gt;0,(VLOOKUP(A374,'Discount Lookup'!J:K,2)*G374*(1-PlanterDiscount)*(1+PlanterDifficultyPercentage)),""),"")),"   not ELP, by"))))))))))))))</f>
        <v/>
      </c>
      <c r="AD374" s="712"/>
      <c r="AE374" s="513" t="str">
        <f t="shared" si="268"/>
        <v/>
      </c>
      <c r="AF374" s="713" t="str">
        <f t="shared" si="269"/>
        <v/>
      </c>
      <c r="AG374" s="713"/>
      <c r="AH374" s="713"/>
      <c r="AI374" s="112">
        <f>IF(H374="credit",0,IF(AE374="free",0,IF(AE374="me",0,IF(G374&gt;0,(VLOOKUP(A374,'Discount Lookup'!J:K,2)*G374),0))))</f>
        <v>0</v>
      </c>
      <c r="AJ374" s="107" t="str">
        <f t="shared" ca="1" si="270"/>
        <v/>
      </c>
      <c r="AK374" s="714" t="str">
        <f t="shared" si="271"/>
        <v/>
      </c>
      <c r="AL374" s="714"/>
      <c r="AM374" s="114" t="str">
        <f t="shared" si="272"/>
        <v/>
      </c>
      <c r="AN374" s="115"/>
      <c r="AO374" s="116"/>
      <c r="AP374" s="116"/>
      <c r="AQ374" s="116"/>
      <c r="AR374" s="116"/>
      <c r="AS374" s="116"/>
      <c r="AT374" s="116"/>
      <c r="AU374" s="116"/>
      <c r="AV374" s="78"/>
      <c r="AW374" s="102"/>
      <c r="AX374" s="78"/>
      <c r="AY374" s="78"/>
      <c r="AZ374" s="78"/>
      <c r="BA374" s="78"/>
      <c r="BB374" s="78"/>
      <c r="BC374" s="78"/>
      <c r="BD374" s="78"/>
      <c r="BE374" s="465"/>
      <c r="BF374" s="165" t="str">
        <f t="shared" si="273"/>
        <v>https://www.google.com/search?tbm=isch&amp;q=Amelanchier%20%27Glenn%20Form%27%20PP%239092Exp.%20Rainbow%20Pillar%C2%AE%20Serviceberry</v>
      </c>
      <c r="BG374" s="165" t="str">
        <f t="shared" si="274"/>
        <v>A</v>
      </c>
      <c r="BH374" s="65"/>
      <c r="BI374" s="65"/>
      <c r="BJ374" s="65"/>
      <c r="BK374" s="65"/>
      <c r="BL374" s="99"/>
      <c r="BM374" s="99"/>
      <c r="BN374" s="99"/>
    </row>
    <row r="375" spans="1:66" s="51" customFormat="1" ht="27" x14ac:dyDescent="0.25">
      <c r="A375" s="634">
        <v>15</v>
      </c>
      <c r="B375" s="635" t="s">
        <v>291</v>
      </c>
      <c r="C375" s="636" t="s">
        <v>1481</v>
      </c>
      <c r="D375" s="637" t="s">
        <v>299</v>
      </c>
      <c r="E375" s="638">
        <v>192.95</v>
      </c>
      <c r="F375" s="639" t="s">
        <v>292</v>
      </c>
      <c r="G375" s="484">
        <v>0</v>
      </c>
      <c r="H375" s="691" t="str">
        <f>IF(G375=0,"",IF(F375="Buy",IF(G375=1,"plant","plants"),IF(F375&gt;0.01,"warranty","Error")))</f>
        <v/>
      </c>
      <c r="I375" s="640">
        <f>IF(H375="free",0,IF(H375="credit",((E375*(F375))*G375*-1),IF(F375="Buy",(E375*G375),((E375*(1-F375))*G375))))</f>
        <v>0</v>
      </c>
      <c r="J375" s="640">
        <f>IF(H375="warranty",0,(I375*(_xlfn.SINGLE(SalesTaxPercentage))))</f>
        <v>0</v>
      </c>
      <c r="K375" s="716">
        <f t="shared" ref="K375" si="297">I375+J375</f>
        <v>0</v>
      </c>
      <c r="L375" s="716"/>
      <c r="M375" s="689" t="str">
        <f ca="1">IF(AND(G375&gt;0,E375=0),"WARNING - no PRICE inserted",IF(H375="free","FREE ~ no charge this plant",IF(H375="credit",CONCATENATE("-$",ROUND(K375*(1-_xlfn.SINGLE(T2GDiscount))*-1,2)," CREDIT after discount"),IF(_xlfn.SINGLE(T2GDiscount)=0,"",IF(G375=0,"",IF(F375="Buy",CONCATENATE("$",ROUND(K375*(1-_xlfn.SINGLE(T2GDiscount)),2)," with ",(_xlfn.SINGLE(T2GDiscount)*100),"% discount"),CONCATENATE("$",ROUND(K375*(1-_xlfn.SINGLE(T2GDiscount)),2)," with ",((_xlfn.SINGLE(T2GDiscount)*100+F375*100)-(_xlfn.SINGLE(T2GDiscount)*100*F375)),IF(F375&gt;0,"% discounts",IF(_xlfn.SINGLE(NoWarrantyDiscount)&gt;0,"% discounts","% discount")))))))))</f>
        <v/>
      </c>
      <c r="N375" s="690"/>
      <c r="O375" s="486"/>
      <c r="P375" s="486"/>
      <c r="Q375" s="486"/>
      <c r="R375" s="486"/>
      <c r="S375" s="486"/>
      <c r="T375" s="102">
        <f t="shared" si="262"/>
        <v>0</v>
      </c>
      <c r="U375" s="78">
        <f>IF(NOT(ISNUMBER(G375)), "", VLOOKUP(A375,'Discount Lookup'!D:E,2,FALSE)*G375)</f>
        <v>0</v>
      </c>
      <c r="V375" s="78">
        <f>IF(NOT(ISNUMBER(G375)), "", VLOOKUP(A375,'Discount Lookup'!G:H,2,FALSE)*G375)</f>
        <v>0</v>
      </c>
      <c r="W375" s="102">
        <f t="shared" si="263"/>
        <v>0</v>
      </c>
      <c r="X375" s="102">
        <f t="shared" si="264"/>
        <v>0</v>
      </c>
      <c r="Y375" s="120" t="b">
        <f t="shared" si="265"/>
        <v>0</v>
      </c>
      <c r="Z375" s="117">
        <f t="shared" si="266"/>
        <v>0</v>
      </c>
      <c r="AA375" s="118"/>
      <c r="AB375" s="118" t="str">
        <f t="shared" si="267"/>
        <v/>
      </c>
      <c r="AC375" s="712" t="str">
        <f>IF(AE375="T2G","no charge",IF(AND(OR(PlanterYesMe="No",PlanterYesMe="N",PlanterYesMe="me"),H375=""),"",IF(H375="credit","NO install",IF(AND(K375="",AE375="me"),"EACH row",IF(AND(K375="images",AE375="me"),"EACH row",IF(D375="","",IF(H375="credit","",IF(AE375="free","re-planting",IF(AE375="me","   not ELP, by",IF(AND(OR(PlanterYesMe="Yes",PlanterYesMe="Y"),G375&gt;0),(VLOOKUP(A375,'Discount Lookup'!J:K,2)*G375*(1-PlanterDiscount)*(1+PlanterDifficultyPercentage)),IF(AE375="ELP",(VLOOKUP(A375,'Discount Lookup'!J:K,2)*G375*(1-PlanterDiscount)*(1+PlanterDifficultyPercentage)),IF(AE375="free","re-planting",IF(G375=0,"",IF(PlanterYesMe="",IF(AE375="me","   not ELP, by",IF(AE375="",IF(G375&gt;0,(VLOOKUP(A375,'Discount Lookup'!J:K,2)*G375*(1-PlanterDiscount)*(1+PlanterDifficultyPercentage)),""),"")),"   not ELP, by"))))))))))))))</f>
        <v/>
      </c>
      <c r="AD375" s="712"/>
      <c r="AE375" s="513" t="str">
        <f t="shared" si="268"/>
        <v/>
      </c>
      <c r="AF375" s="713" t="str">
        <f t="shared" si="269"/>
        <v/>
      </c>
      <c r="AG375" s="713"/>
      <c r="AH375" s="713"/>
      <c r="AI375" s="112">
        <f>IF(H375="credit",0,IF(AE375="free",0,IF(AE375="me",0,IF(G375&gt;0,(VLOOKUP(A375,'Discount Lookup'!J:K,2)*G375),0))))</f>
        <v>0</v>
      </c>
      <c r="AJ375" s="107" t="str">
        <f t="shared" ca="1" si="270"/>
        <v/>
      </c>
      <c r="AK375" s="714" t="str">
        <f t="shared" si="271"/>
        <v/>
      </c>
      <c r="AL375" s="714"/>
      <c r="AM375" s="114" t="str">
        <f t="shared" si="272"/>
        <v/>
      </c>
      <c r="AN375" s="115"/>
      <c r="AO375" s="116"/>
      <c r="AP375" s="116"/>
      <c r="AQ375" s="116"/>
      <c r="AR375" s="116"/>
      <c r="AS375" s="116"/>
      <c r="AT375" s="116"/>
      <c r="AU375" s="116"/>
      <c r="AV375" s="78"/>
      <c r="AW375" s="102"/>
      <c r="AX375" s="78"/>
      <c r="AY375" s="78"/>
      <c r="AZ375" s="78"/>
      <c r="BA375" s="78"/>
      <c r="BB375" s="78"/>
      <c r="BC375" s="78"/>
      <c r="BD375" s="78"/>
      <c r="BE375" s="465"/>
      <c r="BF375" s="165" t="str">
        <f t="shared" si="273"/>
        <v>https://www.google.com/search?tbm=isch&amp;q=15%20G4</v>
      </c>
      <c r="BG375" s="165" t="str">
        <f t="shared" si="274"/>
        <v>A</v>
      </c>
      <c r="BH375" s="65"/>
      <c r="BI375" s="65"/>
      <c r="BJ375" s="65"/>
      <c r="BK375" s="65"/>
      <c r="BL375" s="99"/>
      <c r="BM375" s="99"/>
      <c r="BN375" s="99"/>
    </row>
    <row r="376" spans="1:66" s="51" customFormat="1" ht="16.5" x14ac:dyDescent="0.25">
      <c r="A376" s="704" t="s">
        <v>5331</v>
      </c>
      <c r="B376" s="642"/>
      <c r="C376" s="710"/>
      <c r="D376" s="643"/>
      <c r="E376" s="643"/>
      <c r="F376" s="644"/>
      <c r="G376" s="645"/>
      <c r="H376" s="646"/>
      <c r="I376" s="647"/>
      <c r="J376" s="648"/>
      <c r="K376" s="649"/>
      <c r="L376" s="650"/>
      <c r="M376" s="650"/>
      <c r="N376" s="644"/>
      <c r="O376" s="644"/>
      <c r="P376" s="644"/>
      <c r="Q376" s="644"/>
      <c r="R376" s="644"/>
      <c r="S376" s="701" t="s">
        <v>5266</v>
      </c>
      <c r="T376" s="102">
        <f t="shared" si="262"/>
        <v>0</v>
      </c>
      <c r="U376" s="78" t="str">
        <f>IF(NOT(ISNUMBER(G376)), "", VLOOKUP(A376,'Discount Lookup'!D:E,2,FALSE)*G376)</f>
        <v/>
      </c>
      <c r="V376" s="78" t="str">
        <f>IF(NOT(ISNUMBER(G376)), "", VLOOKUP(A376,'Discount Lookup'!G:H,2,FALSE)*G376)</f>
        <v/>
      </c>
      <c r="W376" s="102">
        <f t="shared" si="263"/>
        <v>0</v>
      </c>
      <c r="X376" s="102">
        <f t="shared" si="264"/>
        <v>0</v>
      </c>
      <c r="Y376" s="120" t="b">
        <f t="shared" si="265"/>
        <v>0</v>
      </c>
      <c r="Z376" s="117">
        <f t="shared" si="266"/>
        <v>0</v>
      </c>
      <c r="AA376" s="118"/>
      <c r="AB376" s="118" t="str">
        <f t="shared" si="267"/>
        <v/>
      </c>
      <c r="AC376" s="712" t="str">
        <f>IF(AE376="T2G","no charge",IF(AND(OR(PlanterYesMe="No",PlanterYesMe="N",PlanterYesMe="me"),H376=""),"",IF(H376="credit","NO install",IF(AND(K376="",AE376="me"),"EACH row",IF(AND(K376="images",AE376="me"),"EACH row",IF(D376="","",IF(H376="credit","",IF(AE376="free","re-planting",IF(AE376="me","   not ELP, by",IF(AND(OR(PlanterYesMe="Yes",PlanterYesMe="Y"),G376&gt;0),(VLOOKUP(A376,'Discount Lookup'!J:K,2)*G376*(1-PlanterDiscount)*(1+PlanterDifficultyPercentage)),IF(AE376="ELP",(VLOOKUP(A376,'Discount Lookup'!J:K,2)*G376*(1-PlanterDiscount)*(1+PlanterDifficultyPercentage)),IF(AE376="free","re-planting",IF(G376=0,"",IF(PlanterYesMe="",IF(AE376="me","   not ELP, by",IF(AE376="",IF(G376&gt;0,(VLOOKUP(A376,'Discount Lookup'!J:K,2)*G376*(1-PlanterDiscount)*(1+PlanterDifficultyPercentage)),""),"")),"   not ELP, by"))))))))))))))</f>
        <v/>
      </c>
      <c r="AD376" s="712"/>
      <c r="AE376" s="513" t="str">
        <f t="shared" si="268"/>
        <v/>
      </c>
      <c r="AF376" s="713" t="str">
        <f t="shared" si="269"/>
        <v/>
      </c>
      <c r="AG376" s="713"/>
      <c r="AH376" s="713"/>
      <c r="AI376" s="112">
        <f>IF(H376="credit",0,IF(AE376="free",0,IF(AE376="me",0,IF(G376&gt;0,(VLOOKUP(A376,'Discount Lookup'!J:K,2)*G376),0))))</f>
        <v>0</v>
      </c>
      <c r="AJ376" s="107" t="str">
        <f t="shared" ca="1" si="270"/>
        <v/>
      </c>
      <c r="AK376" s="714" t="str">
        <f t="shared" si="271"/>
        <v/>
      </c>
      <c r="AL376" s="714"/>
      <c r="AM376" s="114" t="str">
        <f t="shared" si="272"/>
        <v/>
      </c>
      <c r="AN376" s="115"/>
      <c r="AO376" s="116"/>
      <c r="AP376" s="116"/>
      <c r="AQ376" s="116"/>
      <c r="AR376" s="116"/>
      <c r="AS376" s="116"/>
      <c r="AT376" s="116"/>
      <c r="AU376" s="116"/>
      <c r="AV376" s="78"/>
      <c r="AW376" s="102"/>
      <c r="AX376" s="78"/>
      <c r="AY376" s="78"/>
      <c r="AZ376" s="78"/>
      <c r="BA376" s="78"/>
      <c r="BB376" s="78"/>
      <c r="BC376" s="78"/>
      <c r="BD376" s="78"/>
      <c r="BE376" s="465"/>
      <c r="BF376" s="165" t="str">
        <f t="shared" si="273"/>
        <v>https://www.google.com/search?tbm=isch&amp;q=moist%20sites%F0%9F%92%A7GOOD%2C%20Rainbow%20Pillar%27%20edible%20fruit%20starts%20green%2C%20changes%20to%20red%2C%20then%20ripens%20to%20purple.%20Pick%20before%20birds%20take%20it%20all%20</v>
      </c>
      <c r="BG376" s="165" t="str">
        <f t="shared" si="274"/>
        <v>m</v>
      </c>
      <c r="BH376" s="65"/>
      <c r="BI376" s="65"/>
      <c r="BJ376" s="65"/>
      <c r="BK376" s="65"/>
      <c r="BL376" s="99"/>
      <c r="BM376" s="99"/>
      <c r="BN376" s="99"/>
    </row>
    <row r="377" spans="1:66" s="51" customFormat="1" ht="19.5" thickBot="1" x14ac:dyDescent="0.3">
      <c r="A377" s="686" t="s">
        <v>360</v>
      </c>
      <c r="B377" s="73"/>
      <c r="C377" s="708"/>
      <c r="D377" s="73"/>
      <c r="E377" s="73"/>
      <c r="F377" s="496"/>
      <c r="G377" s="73"/>
      <c r="H377" s="73"/>
      <c r="I377" s="73"/>
      <c r="J377" s="497" t="s">
        <v>357</v>
      </c>
      <c r="K377" s="498"/>
      <c r="L377" s="562"/>
      <c r="M377" s="73"/>
      <c r="N377"/>
      <c r="O377"/>
      <c r="P377"/>
      <c r="Q377"/>
      <c r="R377"/>
      <c r="S377"/>
      <c r="T377" s="102">
        <f t="shared" si="262"/>
        <v>0</v>
      </c>
      <c r="U377" s="78" t="str">
        <f>IF(NOT(ISNUMBER(G377)), "", VLOOKUP(A377,'Discount Lookup'!D:E,2,FALSE)*G377)</f>
        <v/>
      </c>
      <c r="V377" s="78" t="str">
        <f>IF(NOT(ISNUMBER(G377)), "", VLOOKUP(A377,'Discount Lookup'!G:H,2,FALSE)*G377)</f>
        <v/>
      </c>
      <c r="W377" s="102">
        <f t="shared" si="263"/>
        <v>0</v>
      </c>
      <c r="X377" s="102">
        <f t="shared" si="264"/>
        <v>0</v>
      </c>
      <c r="Y377" s="120" t="b">
        <f t="shared" si="265"/>
        <v>0</v>
      </c>
      <c r="Z377" s="117">
        <f t="shared" si="266"/>
        <v>0</v>
      </c>
      <c r="AA377" s="118"/>
      <c r="AB377" s="118" t="str">
        <f t="shared" si="267"/>
        <v/>
      </c>
      <c r="AC377" s="712" t="str">
        <f>IF(AE377="T2G","no charge",IF(AND(OR(PlanterYesMe="No",PlanterYesMe="N",PlanterYesMe="me"),H377=""),"",IF(H377="credit","NO install",IF(AND(K377="",AE377="me"),"EACH row",IF(AND(K377="images",AE377="me"),"EACH row",IF(D377="","",IF(H377="credit","",IF(AE377="free","re-planting",IF(AE377="me","   not ELP, by",IF(AND(OR(PlanterYesMe="Yes",PlanterYesMe="Y"),G377&gt;0),(VLOOKUP(A377,'Discount Lookup'!J:K,2)*G377*(1-PlanterDiscount)*(1+PlanterDifficultyPercentage)),IF(AE377="ELP",(VLOOKUP(A377,'Discount Lookup'!J:K,2)*G377*(1-PlanterDiscount)*(1+PlanterDifficultyPercentage)),IF(AE377="free","re-planting",IF(G377=0,"",IF(PlanterYesMe="",IF(AE377="me","   not ELP, by",IF(AE377="",IF(G377&gt;0,(VLOOKUP(A377,'Discount Lookup'!J:K,2)*G377*(1-PlanterDiscount)*(1+PlanterDifficultyPercentage)),""),"")),"   not ELP, by"))))))))))))))</f>
        <v/>
      </c>
      <c r="AD377" s="712"/>
      <c r="AE377" s="513" t="str">
        <f t="shared" si="268"/>
        <v/>
      </c>
      <c r="AF377" s="713" t="str">
        <f t="shared" si="269"/>
        <v/>
      </c>
      <c r="AG377" s="713"/>
      <c r="AH377" s="713"/>
      <c r="AI377" s="112">
        <f>IF(H377="credit",0,IF(AE377="free",0,IF(AE377="me",0,IF(G377&gt;0,(VLOOKUP(A377,'Discount Lookup'!J:K,2)*G377),0))))</f>
        <v>0</v>
      </c>
      <c r="AJ377" s="107" t="str">
        <f t="shared" ca="1" si="270"/>
        <v/>
      </c>
      <c r="AK377" s="714" t="str">
        <f t="shared" si="271"/>
        <v/>
      </c>
      <c r="AL377" s="714"/>
      <c r="AM377" s="114" t="str">
        <f t="shared" si="272"/>
        <v/>
      </c>
      <c r="AN377" s="115"/>
      <c r="AO377" s="116"/>
      <c r="AP377" s="116"/>
      <c r="AQ377" s="116"/>
      <c r="AR377" s="116"/>
      <c r="AS377" s="116"/>
      <c r="AT377" s="116"/>
      <c r="AU377" s="116"/>
      <c r="AV377" s="78"/>
      <c r="AW377" s="102"/>
      <c r="AX377" s="78"/>
      <c r="AY377" s="78"/>
      <c r="AZ377" s="78"/>
      <c r="BA377" s="78"/>
      <c r="BB377" s="78"/>
      <c r="BC377" s="78"/>
      <c r="BD377" s="78"/>
      <c r="BE377" s="465"/>
      <c r="BF377" s="165" t="str">
        <f t="shared" si="273"/>
        <v>https://www.google.com/search?tbm=isch&amp;q=Amsonia%20%3D%20Bluestar%20</v>
      </c>
      <c r="BG377" s="165" t="str">
        <f t="shared" si="274"/>
        <v>A</v>
      </c>
      <c r="BH377" s="65"/>
      <c r="BI377" s="65"/>
      <c r="BJ377" s="65"/>
      <c r="BK377" s="65"/>
      <c r="BL377" s="99"/>
      <c r="BM377" s="99"/>
      <c r="BN377" s="99"/>
    </row>
    <row r="378" spans="1:66" s="51" customFormat="1" ht="18" x14ac:dyDescent="0.25">
      <c r="A378" s="623" t="s">
        <v>1482</v>
      </c>
      <c r="B378" s="624"/>
      <c r="C378" s="709"/>
      <c r="D378" s="625" t="s">
        <v>1483</v>
      </c>
      <c r="E378" s="626"/>
      <c r="F378" s="626"/>
      <c r="G378" s="626"/>
      <c r="H378" s="622" t="s">
        <v>1484</v>
      </c>
      <c r="I378" s="627" t="s">
        <v>1485</v>
      </c>
      <c r="J378" s="628"/>
      <c r="K378" s="628"/>
      <c r="L378" s="629"/>
      <c r="M378" s="700" t="s">
        <v>5249</v>
      </c>
      <c r="N378" s="693" t="str">
        <f>IF(AND(ISTEXT($A378), ISERROR($A378+0)), HYPERLINK($BF378, "Images"), "")</f>
        <v>Images</v>
      </c>
      <c r="O378" s="695" t="s">
        <v>5244</v>
      </c>
      <c r="P378" s="630"/>
      <c r="Q378" s="631"/>
      <c r="R378" s="632"/>
      <c r="S378" s="633" t="s">
        <v>294</v>
      </c>
      <c r="T378" s="102">
        <f t="shared" si="262"/>
        <v>0</v>
      </c>
      <c r="U378" s="78" t="str">
        <f>IF(NOT(ISNUMBER(G378)), "", VLOOKUP(A378,'Discount Lookup'!D:E,2,FALSE)*G378)</f>
        <v/>
      </c>
      <c r="V378" s="78" t="str">
        <f>IF(NOT(ISNUMBER(G378)), "", VLOOKUP(A378,'Discount Lookup'!G:H,2,FALSE)*G378)</f>
        <v/>
      </c>
      <c r="W378" s="102">
        <f t="shared" si="263"/>
        <v>0</v>
      </c>
      <c r="X378" s="102" t="str">
        <f t="shared" si="264"/>
        <v>Light Blue bloom</v>
      </c>
      <c r="Y378" s="120" t="b">
        <f t="shared" si="265"/>
        <v>0</v>
      </c>
      <c r="Z378" s="117">
        <f t="shared" si="266"/>
        <v>0</v>
      </c>
      <c r="AA378" s="118"/>
      <c r="AB378" s="118" t="str">
        <f t="shared" si="267"/>
        <v/>
      </c>
      <c r="AC378" s="712" t="str">
        <f>IF(AE378="T2G","no charge",IF(AND(OR(PlanterYesMe="No",PlanterYesMe="N",PlanterYesMe="me"),H378=""),"",IF(H378="credit","NO install",IF(AND(K378="",AE378="me"),"EACH row",IF(AND(K378="images",AE378="me"),"EACH row",IF(D378="","",IF(H378="credit","",IF(AE378="free","re-planting",IF(AE378="me","   not ELP, by",IF(AND(OR(PlanterYesMe="Yes",PlanterYesMe="Y"),G378&gt;0),(VLOOKUP(A378,'Discount Lookup'!J:K,2)*G378*(1-PlanterDiscount)*(1+PlanterDifficultyPercentage)),IF(AE378="ELP",(VLOOKUP(A378,'Discount Lookup'!J:K,2)*G378*(1-PlanterDiscount)*(1+PlanterDifficultyPercentage)),IF(AE378="free","re-planting",IF(G378=0,"",IF(PlanterYesMe="",IF(AE378="me","   not ELP, by",IF(AE378="",IF(G378&gt;0,(VLOOKUP(A378,'Discount Lookup'!J:K,2)*G378*(1-PlanterDiscount)*(1+PlanterDifficultyPercentage)),""),"")),"   not ELP, by"))))))))))))))</f>
        <v/>
      </c>
      <c r="AD378" s="712"/>
      <c r="AE378" s="513" t="str">
        <f t="shared" si="268"/>
        <v/>
      </c>
      <c r="AF378" s="713" t="str">
        <f t="shared" si="269"/>
        <v/>
      </c>
      <c r="AG378" s="713"/>
      <c r="AH378" s="713"/>
      <c r="AI378" s="112">
        <f>IF(H378="credit",0,IF(AE378="free",0,IF(AE378="me",0,IF(G378&gt;0,(VLOOKUP(A378,'Discount Lookup'!J:K,2)*G378),0))))</f>
        <v>0</v>
      </c>
      <c r="AJ378" s="107" t="str">
        <f t="shared" ca="1" si="270"/>
        <v/>
      </c>
      <c r="AK378" s="714" t="str">
        <f t="shared" si="271"/>
        <v/>
      </c>
      <c r="AL378" s="714"/>
      <c r="AM378" s="114" t="str">
        <f t="shared" si="272"/>
        <v/>
      </c>
      <c r="AN378" s="115"/>
      <c r="AO378" s="116"/>
      <c r="AP378" s="116"/>
      <c r="AQ378" s="116"/>
      <c r="AR378" s="116"/>
      <c r="AS378" s="116"/>
      <c r="AT378" s="116"/>
      <c r="AU378" s="116"/>
      <c r="AV378" s="78"/>
      <c r="AW378" s="102"/>
      <c r="AX378" s="78"/>
      <c r="AY378" s="78"/>
      <c r="AZ378" s="78"/>
      <c r="BA378" s="78"/>
      <c r="BB378" s="78"/>
      <c r="BC378" s="78"/>
      <c r="BD378" s="78"/>
      <c r="BE378" s="465"/>
      <c r="BF378" s="165" t="str">
        <f t="shared" si="273"/>
        <v>https://www.google.com/search?tbm=isch&amp;q=Amsonia%20%27Starstruck%27%20PP%2332246%20Blue%20Star%20Amsonia</v>
      </c>
      <c r="BG378" s="165" t="str">
        <f t="shared" si="274"/>
        <v>A</v>
      </c>
      <c r="BH378" s="65"/>
      <c r="BI378" s="65"/>
      <c r="BJ378" s="65"/>
      <c r="BK378" s="65"/>
      <c r="BL378" s="99"/>
      <c r="BM378" s="99"/>
      <c r="BN378" s="99"/>
    </row>
    <row r="379" spans="1:66" s="51" customFormat="1" ht="15.75" x14ac:dyDescent="0.25">
      <c r="A379" s="634">
        <v>1</v>
      </c>
      <c r="B379" s="635" t="s">
        <v>291</v>
      </c>
      <c r="C379" s="636"/>
      <c r="D379" s="637" t="s">
        <v>293</v>
      </c>
      <c r="E379" s="638">
        <v>25.95</v>
      </c>
      <c r="F379" s="639" t="s">
        <v>292</v>
      </c>
      <c r="G379" s="484">
        <v>0</v>
      </c>
      <c r="H379" s="691" t="str">
        <f>IF(G379=0,"",IF(F379="Buy",IF(G379=1,"plant","plants"),IF(F379&gt;0.01,"warranty","Error")))</f>
        <v/>
      </c>
      <c r="I379" s="640">
        <f>IF(H379="free",0,IF(H379="credit",((E379*(F379))*G379*-1),IF(F379="Buy",(E379*G379),((E379*(1-F379))*G379))))</f>
        <v>0</v>
      </c>
      <c r="J379" s="640">
        <f>IF(H379="warranty",0,(I379*(_xlfn.SINGLE(SalesTaxPercentage))))</f>
        <v>0</v>
      </c>
      <c r="K379" s="716">
        <f t="shared" ref="K379" si="298">I379+J379</f>
        <v>0</v>
      </c>
      <c r="L379" s="716"/>
      <c r="M379" s="689" t="str">
        <f ca="1">IF(AND(G379&gt;0,E379=0),"WARNING - no PRICE inserted",IF(H379="free","FREE ~ no charge this plant",IF(H379="credit",CONCATENATE("-$",ROUND(K379*(1-_xlfn.SINGLE(T2GDiscount))*-1,2)," CREDIT after discount"),IF(_xlfn.SINGLE(T2GDiscount)=0,"",IF(G379=0,"",IF(F379="Buy",CONCATENATE("$",ROUND(K379*(1-_xlfn.SINGLE(T2GDiscount)),2)," with ",(_xlfn.SINGLE(T2GDiscount)*100),"% discount"),CONCATENATE("$",ROUND(K379*(1-_xlfn.SINGLE(T2GDiscount)),2)," with ",((_xlfn.SINGLE(T2GDiscount)*100+F379*100)-(_xlfn.SINGLE(T2GDiscount)*100*F379)),IF(F379&gt;0,"% discounts",IF(_xlfn.SINGLE(NoWarrantyDiscount)&gt;0,"% discounts","% discount")))))))))</f>
        <v/>
      </c>
      <c r="N379" s="690"/>
      <c r="O379" s="486"/>
      <c r="P379" s="486"/>
      <c r="Q379" s="486"/>
      <c r="R379" s="486"/>
      <c r="S379" s="486"/>
      <c r="T379" s="102">
        <f t="shared" si="262"/>
        <v>0</v>
      </c>
      <c r="U379" s="78">
        <f>IF(NOT(ISNUMBER(G379)), "", VLOOKUP(A379,'Discount Lookup'!D:E,2,FALSE)*G379)</f>
        <v>0</v>
      </c>
      <c r="V379" s="78">
        <f>IF(NOT(ISNUMBER(G379)), "", VLOOKUP(A379,'Discount Lookup'!G:H,2,FALSE)*G379)</f>
        <v>0</v>
      </c>
      <c r="W379" s="102">
        <f t="shared" si="263"/>
        <v>0</v>
      </c>
      <c r="X379" s="102">
        <f t="shared" si="264"/>
        <v>0</v>
      </c>
      <c r="Y379" s="120" t="b">
        <f t="shared" si="265"/>
        <v>0</v>
      </c>
      <c r="Z379" s="117">
        <f t="shared" si="266"/>
        <v>0</v>
      </c>
      <c r="AA379" s="118"/>
      <c r="AB379" s="118" t="str">
        <f t="shared" si="267"/>
        <v/>
      </c>
      <c r="AC379" s="712" t="str">
        <f>IF(AE379="T2G","no charge",IF(AND(OR(PlanterYesMe="No",PlanterYesMe="N",PlanterYesMe="me"),H379=""),"",IF(H379="credit","NO install",IF(AND(K379="",AE379="me"),"EACH row",IF(AND(K379="images",AE379="me"),"EACH row",IF(D379="","",IF(H379="credit","",IF(AE379="free","re-planting",IF(AE379="me","   not ELP, by",IF(AND(OR(PlanterYesMe="Yes",PlanterYesMe="Y"),G379&gt;0),(VLOOKUP(A379,'Discount Lookup'!J:K,2)*G379*(1-PlanterDiscount)*(1+PlanterDifficultyPercentage)),IF(AE379="ELP",(VLOOKUP(A379,'Discount Lookup'!J:K,2)*G379*(1-PlanterDiscount)*(1+PlanterDifficultyPercentage)),IF(AE379="free","re-planting",IF(G379=0,"",IF(PlanterYesMe="",IF(AE379="me","   not ELP, by",IF(AE379="",IF(G379&gt;0,(VLOOKUP(A379,'Discount Lookup'!J:K,2)*G379*(1-PlanterDiscount)*(1+PlanterDifficultyPercentage)),""),"")),"   not ELP, by"))))))))))))))</f>
        <v/>
      </c>
      <c r="AD379" s="712"/>
      <c r="AE379" s="513" t="str">
        <f t="shared" si="268"/>
        <v/>
      </c>
      <c r="AF379" s="713" t="str">
        <f t="shared" si="269"/>
        <v/>
      </c>
      <c r="AG379" s="713"/>
      <c r="AH379" s="713"/>
      <c r="AI379" s="112">
        <f>IF(H379="credit",0,IF(AE379="free",0,IF(AE379="me",0,IF(G379&gt;0,(VLOOKUP(A379,'Discount Lookup'!J:K,2)*G379),0))))</f>
        <v>0</v>
      </c>
      <c r="AJ379" s="107" t="str">
        <f t="shared" ca="1" si="270"/>
        <v/>
      </c>
      <c r="AK379" s="714" t="str">
        <f t="shared" si="271"/>
        <v/>
      </c>
      <c r="AL379" s="714"/>
      <c r="AM379" s="114" t="str">
        <f t="shared" si="272"/>
        <v/>
      </c>
      <c r="AN379" s="115"/>
      <c r="AO379" s="116"/>
      <c r="AP379" s="116"/>
      <c r="AQ379" s="116"/>
      <c r="AR379" s="116"/>
      <c r="AS379" s="116"/>
      <c r="AT379" s="116"/>
      <c r="AU379" s="116"/>
      <c r="AV379" s="78"/>
      <c r="AW379" s="102"/>
      <c r="AX379" s="78"/>
      <c r="AY379" s="78"/>
      <c r="AZ379" s="78"/>
      <c r="BA379" s="78"/>
      <c r="BB379" s="78"/>
      <c r="BC379" s="78"/>
      <c r="BD379" s="78"/>
      <c r="BE379" s="465"/>
      <c r="BF379" s="165" t="str">
        <f t="shared" si="273"/>
        <v>https://www.google.com/search?tbm=isch&amp;q=1%20G6</v>
      </c>
      <c r="BG379" s="165" t="str">
        <f t="shared" si="274"/>
        <v>A</v>
      </c>
      <c r="BH379" s="65"/>
      <c r="BI379" s="65"/>
      <c r="BJ379" s="65"/>
      <c r="BK379" s="65"/>
      <c r="BL379" s="99"/>
      <c r="BM379" s="99"/>
      <c r="BN379" s="99"/>
    </row>
    <row r="380" spans="1:66" s="51" customFormat="1" ht="16.5" x14ac:dyDescent="0.25">
      <c r="A380" s="704" t="s">
        <v>5332</v>
      </c>
      <c r="B380" s="642"/>
      <c r="C380" s="710"/>
      <c r="D380" s="643"/>
      <c r="E380" s="643"/>
      <c r="F380" s="644"/>
      <c r="G380" s="645"/>
      <c r="H380" s="646"/>
      <c r="I380" s="647"/>
      <c r="J380" s="648"/>
      <c r="K380" s="649"/>
      <c r="L380" s="650"/>
      <c r="M380" s="650"/>
      <c r="N380" s="644"/>
      <c r="O380" s="644"/>
      <c r="P380" s="644"/>
      <c r="Q380" s="644"/>
      <c r="R380" s="644"/>
      <c r="S380" s="701" t="s">
        <v>5267</v>
      </c>
      <c r="T380" s="102">
        <f t="shared" si="262"/>
        <v>0</v>
      </c>
      <c r="U380" s="78" t="str">
        <f>IF(NOT(ISNUMBER(G380)), "", VLOOKUP(A380,'Discount Lookup'!D:E,2,FALSE)*G380)</f>
        <v/>
      </c>
      <c r="V380" s="78" t="str">
        <f>IF(NOT(ISNUMBER(G380)), "", VLOOKUP(A380,'Discount Lookup'!G:H,2,FALSE)*G380)</f>
        <v/>
      </c>
      <c r="W380" s="102">
        <f t="shared" si="263"/>
        <v>0</v>
      </c>
      <c r="X380" s="102">
        <f t="shared" si="264"/>
        <v>0</v>
      </c>
      <c r="Y380" s="120" t="b">
        <f t="shared" si="265"/>
        <v>0</v>
      </c>
      <c r="Z380" s="117">
        <f t="shared" si="266"/>
        <v>0</v>
      </c>
      <c r="AA380" s="118"/>
      <c r="AB380" s="118" t="str">
        <f t="shared" si="267"/>
        <v/>
      </c>
      <c r="AC380" s="712" t="str">
        <f>IF(AE380="T2G","no charge",IF(AND(OR(PlanterYesMe="No",PlanterYesMe="N",PlanterYesMe="me"),H380=""),"",IF(H380="credit","NO install",IF(AND(K380="",AE380="me"),"EACH row",IF(AND(K380="images",AE380="me"),"EACH row",IF(D380="","",IF(H380="credit","",IF(AE380="free","re-planting",IF(AE380="me","   not ELP, by",IF(AND(OR(PlanterYesMe="Yes",PlanterYesMe="Y"),G380&gt;0),(VLOOKUP(A380,'Discount Lookup'!J:K,2)*G380*(1-PlanterDiscount)*(1+PlanterDifficultyPercentage)),IF(AE380="ELP",(VLOOKUP(A380,'Discount Lookup'!J:K,2)*G380*(1-PlanterDiscount)*(1+PlanterDifficultyPercentage)),IF(AE380="free","re-planting",IF(G380=0,"",IF(PlanterYesMe="",IF(AE380="me","   not ELP, by",IF(AE380="",IF(G380&gt;0,(VLOOKUP(A380,'Discount Lookup'!J:K,2)*G380*(1-PlanterDiscount)*(1+PlanterDifficultyPercentage)),""),"")),"   not ELP, by"))))))))))))))</f>
        <v/>
      </c>
      <c r="AD380" s="712"/>
      <c r="AE380" s="513" t="str">
        <f t="shared" si="268"/>
        <v/>
      </c>
      <c r="AF380" s="713" t="str">
        <f t="shared" si="269"/>
        <v/>
      </c>
      <c r="AG380" s="713"/>
      <c r="AH380" s="713"/>
      <c r="AI380" s="112">
        <f>IF(H380="credit",0,IF(AE380="free",0,IF(AE380="me",0,IF(G380&gt;0,(VLOOKUP(A380,'Discount Lookup'!J:K,2)*G380),0))))</f>
        <v>0</v>
      </c>
      <c r="AJ380" s="107" t="str">
        <f t="shared" ca="1" si="270"/>
        <v/>
      </c>
      <c r="AK380" s="714" t="str">
        <f t="shared" si="271"/>
        <v/>
      </c>
      <c r="AL380" s="714"/>
      <c r="AM380" s="114" t="str">
        <f t="shared" si="272"/>
        <v/>
      </c>
      <c r="AN380" s="115"/>
      <c r="AO380" s="116"/>
      <c r="AP380" s="116"/>
      <c r="AQ380" s="116"/>
      <c r="AR380" s="116"/>
      <c r="AS380" s="116"/>
      <c r="AT380" s="116"/>
      <c r="AU380" s="116"/>
      <c r="AV380" s="78"/>
      <c r="AW380" s="102"/>
      <c r="AX380" s="78"/>
      <c r="AY380" s="78"/>
      <c r="AZ380" s="78"/>
      <c r="BA380" s="78"/>
      <c r="BB380" s="78"/>
      <c r="BC380" s="78"/>
      <c r="BD380" s="78"/>
      <c r="BE380" s="465"/>
      <c r="BF380" s="165" t="str">
        <f t="shared" si="273"/>
        <v>https://www.google.com/search?tbm=isch&amp;q=moist%20sites%F0%9F%92%A7OK%2C%20Blue%20Star%20has%20delicate%20clusters%20of%20spring%20flowers.%20Feathery%20vibrant%20Green%20foliage%2C%20then%20Brilliant%20Gold%20in%20fall%20</v>
      </c>
      <c r="BG380" s="165" t="str">
        <f t="shared" si="274"/>
        <v>m</v>
      </c>
      <c r="BH380" s="65"/>
      <c r="BI380" s="65"/>
      <c r="BJ380" s="65"/>
      <c r="BK380" s="65"/>
      <c r="BL380" s="99"/>
      <c r="BM380" s="99"/>
      <c r="BN380" s="99"/>
    </row>
    <row r="381" spans="1:66" s="51" customFormat="1" ht="19.5" thickBot="1" x14ac:dyDescent="0.3">
      <c r="A381" s="686" t="s">
        <v>371</v>
      </c>
      <c r="B381" s="73"/>
      <c r="C381" s="708"/>
      <c r="D381" s="73"/>
      <c r="E381" s="73"/>
      <c r="F381" s="496"/>
      <c r="G381" s="73"/>
      <c r="H381" s="73"/>
      <c r="I381" s="73"/>
      <c r="J381" s="497" t="s">
        <v>357</v>
      </c>
      <c r="K381" s="498"/>
      <c r="L381" s="562"/>
      <c r="M381" s="73"/>
      <c r="N381"/>
      <c r="O381"/>
      <c r="P381"/>
      <c r="Q381"/>
      <c r="R381"/>
      <c r="S381"/>
      <c r="T381" s="102">
        <f t="shared" si="262"/>
        <v>0</v>
      </c>
      <c r="U381" s="78" t="str">
        <f>IF(NOT(ISNUMBER(G381)), "", VLOOKUP(A381,'Discount Lookup'!D:E,2,FALSE)*G381)</f>
        <v/>
      </c>
      <c r="V381" s="78" t="str">
        <f>IF(NOT(ISNUMBER(G381)), "", VLOOKUP(A381,'Discount Lookup'!G:H,2,FALSE)*G381)</f>
        <v/>
      </c>
      <c r="W381" s="102">
        <f t="shared" si="263"/>
        <v>0</v>
      </c>
      <c r="X381" s="102">
        <f t="shared" si="264"/>
        <v>0</v>
      </c>
      <c r="Y381" s="120" t="b">
        <f t="shared" si="265"/>
        <v>0</v>
      </c>
      <c r="Z381" s="117">
        <f t="shared" si="266"/>
        <v>0</v>
      </c>
      <c r="AA381" s="118"/>
      <c r="AB381" s="118" t="str">
        <f t="shared" si="267"/>
        <v/>
      </c>
      <c r="AC381" s="712" t="str">
        <f>IF(AE381="T2G","no charge",IF(AND(OR(PlanterYesMe="No",PlanterYesMe="N",PlanterYesMe="me"),H381=""),"",IF(H381="credit","NO install",IF(AND(K381="",AE381="me"),"EACH row",IF(AND(K381="images",AE381="me"),"EACH row",IF(D381="","",IF(H381="credit","",IF(AE381="free","re-planting",IF(AE381="me","   not ELP, by",IF(AND(OR(PlanterYesMe="Yes",PlanterYesMe="Y"),G381&gt;0),(VLOOKUP(A381,'Discount Lookup'!J:K,2)*G381*(1-PlanterDiscount)*(1+PlanterDifficultyPercentage)),IF(AE381="ELP",(VLOOKUP(A381,'Discount Lookup'!J:K,2)*G381*(1-PlanterDiscount)*(1+PlanterDifficultyPercentage)),IF(AE381="free","re-planting",IF(G381=0,"",IF(PlanterYesMe="",IF(AE381="me","   not ELP, by",IF(AE381="",IF(G381&gt;0,(VLOOKUP(A381,'Discount Lookup'!J:K,2)*G381*(1-PlanterDiscount)*(1+PlanterDifficultyPercentage)),""),"")),"   not ELP, by"))))))))))))))</f>
        <v/>
      </c>
      <c r="AD381" s="712"/>
      <c r="AE381" s="513" t="str">
        <f t="shared" si="268"/>
        <v/>
      </c>
      <c r="AF381" s="713" t="str">
        <f t="shared" si="269"/>
        <v/>
      </c>
      <c r="AG381" s="713"/>
      <c r="AH381" s="713"/>
      <c r="AI381" s="112">
        <f>IF(H381="credit",0,IF(AE381="free",0,IF(AE381="me",0,IF(G381&gt;0,(VLOOKUP(A381,'Discount Lookup'!J:K,2)*G381),0))))</f>
        <v>0</v>
      </c>
      <c r="AJ381" s="107" t="str">
        <f t="shared" ca="1" si="270"/>
        <v/>
      </c>
      <c r="AK381" s="714" t="str">
        <f t="shared" si="271"/>
        <v/>
      </c>
      <c r="AL381" s="714"/>
      <c r="AM381" s="114" t="str">
        <f t="shared" si="272"/>
        <v/>
      </c>
      <c r="AN381" s="115"/>
      <c r="AO381" s="116"/>
      <c r="AP381" s="116"/>
      <c r="AQ381" s="116"/>
      <c r="AR381" s="116"/>
      <c r="AS381" s="116"/>
      <c r="AT381" s="116"/>
      <c r="AU381" s="116"/>
      <c r="AV381" s="78"/>
      <c r="AW381" s="102"/>
      <c r="AX381" s="78"/>
      <c r="AY381" s="78"/>
      <c r="AZ381" s="78"/>
      <c r="BA381" s="78"/>
      <c r="BB381" s="78"/>
      <c r="BC381" s="78"/>
      <c r="BD381" s="78"/>
      <c r="BE381" s="465"/>
      <c r="BF381" s="165" t="str">
        <f t="shared" si="273"/>
        <v>https://www.google.com/search?tbm=isch&amp;q=Aralia%20%3D%20Spikenard%20</v>
      </c>
      <c r="BG381" s="165" t="str">
        <f t="shared" si="274"/>
        <v>A</v>
      </c>
      <c r="BH381" s="65"/>
      <c r="BI381" s="65"/>
      <c r="BJ381" s="65"/>
      <c r="BK381" s="65"/>
      <c r="BL381" s="99"/>
      <c r="BM381" s="99"/>
      <c r="BN381" s="99"/>
    </row>
    <row r="382" spans="1:66" s="51" customFormat="1" ht="18" x14ac:dyDescent="0.25">
      <c r="A382" s="623" t="s">
        <v>1486</v>
      </c>
      <c r="B382" s="624"/>
      <c r="C382" s="709"/>
      <c r="D382" s="625" t="s">
        <v>1487</v>
      </c>
      <c r="E382" s="626"/>
      <c r="F382" s="626"/>
      <c r="G382" s="626"/>
      <c r="H382" s="622" t="s">
        <v>1124</v>
      </c>
      <c r="I382" s="627" t="s">
        <v>350</v>
      </c>
      <c r="J382" s="628"/>
      <c r="K382" s="628"/>
      <c r="L382" s="629"/>
      <c r="M382" s="702" t="s">
        <v>5256</v>
      </c>
      <c r="N382" s="693" t="str">
        <f>IF(AND(ISTEXT($A382), ISERROR($A382+0)), HYPERLINK($BF382, "Images"), "")</f>
        <v>Images</v>
      </c>
      <c r="O382" s="695" t="s">
        <v>5247</v>
      </c>
      <c r="P382" s="630"/>
      <c r="Q382" s="631"/>
      <c r="R382" s="632"/>
      <c r="S382" s="633"/>
      <c r="T382" s="102">
        <f t="shared" si="262"/>
        <v>0</v>
      </c>
      <c r="U382" s="78" t="str">
        <f>IF(NOT(ISNUMBER(G382)), "", VLOOKUP(A382,'Discount Lookup'!D:E,2,FALSE)*G382)</f>
        <v/>
      </c>
      <c r="V382" s="78" t="str">
        <f>IF(NOT(ISNUMBER(G382)), "", VLOOKUP(A382,'Discount Lookup'!G:H,2,FALSE)*G382)</f>
        <v/>
      </c>
      <c r="W382" s="102">
        <f t="shared" si="263"/>
        <v>0</v>
      </c>
      <c r="X382" s="102" t="str">
        <f t="shared" si="264"/>
        <v>Creamy White bloom</v>
      </c>
      <c r="Y382" s="120" t="b">
        <f t="shared" si="265"/>
        <v>0</v>
      </c>
      <c r="Z382" s="117">
        <f t="shared" si="266"/>
        <v>0</v>
      </c>
      <c r="AA382" s="118"/>
      <c r="AB382" s="118" t="str">
        <f t="shared" si="267"/>
        <v/>
      </c>
      <c r="AC382" s="712" t="str">
        <f>IF(AE382="T2G","no charge",IF(AND(OR(PlanterYesMe="No",PlanterYesMe="N",PlanterYesMe="me"),H382=""),"",IF(H382="credit","NO install",IF(AND(K382="",AE382="me"),"EACH row",IF(AND(K382="images",AE382="me"),"EACH row",IF(D382="","",IF(H382="credit","",IF(AE382="free","re-planting",IF(AE382="me","   not ELP, by",IF(AND(OR(PlanterYesMe="Yes",PlanterYesMe="Y"),G382&gt;0),(VLOOKUP(A382,'Discount Lookup'!J:K,2)*G382*(1-PlanterDiscount)*(1+PlanterDifficultyPercentage)),IF(AE382="ELP",(VLOOKUP(A382,'Discount Lookup'!J:K,2)*G382*(1-PlanterDiscount)*(1+PlanterDifficultyPercentage)),IF(AE382="free","re-planting",IF(G382=0,"",IF(PlanterYesMe="",IF(AE382="me","   not ELP, by",IF(AE382="",IF(G382&gt;0,(VLOOKUP(A382,'Discount Lookup'!J:K,2)*G382*(1-PlanterDiscount)*(1+PlanterDifficultyPercentage)),""),"")),"   not ELP, by"))))))))))))))</f>
        <v/>
      </c>
      <c r="AD382" s="712"/>
      <c r="AE382" s="513" t="str">
        <f t="shared" si="268"/>
        <v/>
      </c>
      <c r="AF382" s="713" t="str">
        <f t="shared" si="269"/>
        <v/>
      </c>
      <c r="AG382" s="713"/>
      <c r="AH382" s="713"/>
      <c r="AI382" s="112">
        <f>IF(H382="credit",0,IF(AE382="free",0,IF(AE382="me",0,IF(G382&gt;0,(VLOOKUP(A382,'Discount Lookup'!J:K,2)*G382),0))))</f>
        <v>0</v>
      </c>
      <c r="AJ382" s="107" t="str">
        <f t="shared" ca="1" si="270"/>
        <v/>
      </c>
      <c r="AK382" s="714" t="str">
        <f t="shared" si="271"/>
        <v/>
      </c>
      <c r="AL382" s="714"/>
      <c r="AM382" s="114" t="str">
        <f t="shared" si="272"/>
        <v/>
      </c>
      <c r="AN382" s="115"/>
      <c r="AO382" s="116"/>
      <c r="AP382" s="116"/>
      <c r="AQ382" s="116"/>
      <c r="AR382" s="116"/>
      <c r="AS382" s="116"/>
      <c r="AT382" s="116"/>
      <c r="AU382" s="116"/>
      <c r="AV382" s="78"/>
      <c r="AW382" s="102"/>
      <c r="AX382" s="78"/>
      <c r="AY382" s="78"/>
      <c r="AZ382" s="78"/>
      <c r="BA382" s="78"/>
      <c r="BB382" s="78"/>
      <c r="BC382" s="78"/>
      <c r="BD382" s="78"/>
      <c r="BE382" s="465"/>
      <c r="BF382" s="165" t="str">
        <f t="shared" si="273"/>
        <v>https://www.google.com/search?tbm=isch&amp;q=Aralia%20cordata%20%27Sun%20King%27%20Sun%20King%20Aralia</v>
      </c>
      <c r="BG382" s="165" t="str">
        <f t="shared" si="274"/>
        <v>A</v>
      </c>
      <c r="BH382" s="65"/>
      <c r="BI382" s="65"/>
      <c r="BJ382" s="65"/>
      <c r="BK382" s="65"/>
      <c r="BL382" s="99"/>
      <c r="BM382" s="99"/>
      <c r="BN382" s="99"/>
    </row>
    <row r="383" spans="1:66" s="51" customFormat="1" ht="15.75" x14ac:dyDescent="0.25">
      <c r="A383" s="634">
        <v>4</v>
      </c>
      <c r="B383" s="635" t="s">
        <v>338</v>
      </c>
      <c r="C383" s="636"/>
      <c r="D383" s="637" t="s">
        <v>329</v>
      </c>
      <c r="E383" s="638">
        <v>14.95</v>
      </c>
      <c r="F383" s="639" t="s">
        <v>292</v>
      </c>
      <c r="G383" s="484">
        <v>0</v>
      </c>
      <c r="H383" s="691" t="str">
        <f>IF(G383=0,"",IF(F383="Buy",IF(G383=1,"plant","plants"),IF(F383&gt;0.01,"warranty","Error")))</f>
        <v/>
      </c>
      <c r="I383" s="640">
        <f>IF(H383="free",0,IF(H383="credit",((E383*(F383))*G383*-1),IF(F383="Buy",(E383*G383),((E383*(1-F383))*G383))))</f>
        <v>0</v>
      </c>
      <c r="J383" s="640">
        <f>IF(H383="warranty",0,(I383*(_xlfn.SINGLE(SalesTaxPercentage))))</f>
        <v>0</v>
      </c>
      <c r="K383" s="716">
        <f t="shared" ref="K383" si="299">I383+J383</f>
        <v>0</v>
      </c>
      <c r="L383" s="716"/>
      <c r="M383" s="689" t="str">
        <f ca="1">IF(AND(G383&gt;0,E383=0),"WARNING - no PRICE inserted",IF(H383="free","FREE ~ no charge this plant",IF(H383="credit",CONCATENATE("-$",ROUND(K383*(1-_xlfn.SINGLE(T2GDiscount))*-1,2)," CREDIT after discount"),IF(_xlfn.SINGLE(T2GDiscount)=0,"",IF(G383=0,"",IF(F383="Buy",CONCATENATE("$",ROUND(K383*(1-_xlfn.SINGLE(T2GDiscount)),2)," with ",(_xlfn.SINGLE(T2GDiscount)*100),"% discount"),CONCATENATE("$",ROUND(K383*(1-_xlfn.SINGLE(T2GDiscount)),2)," with ",((_xlfn.SINGLE(T2GDiscount)*100+F383*100)-(_xlfn.SINGLE(T2GDiscount)*100*F383)),IF(F383&gt;0,"% discounts",IF(_xlfn.SINGLE(NoWarrantyDiscount)&gt;0,"% discounts","% discount")))))))))</f>
        <v/>
      </c>
      <c r="N383" s="690"/>
      <c r="O383" s="486"/>
      <c r="P383" s="486"/>
      <c r="Q383" s="486"/>
      <c r="R383" s="486"/>
      <c r="S383" s="486"/>
      <c r="T383" s="102">
        <f t="shared" si="262"/>
        <v>0</v>
      </c>
      <c r="U383" s="78">
        <f>IF(NOT(ISNUMBER(G383)), "", VLOOKUP(A383,'Discount Lookup'!D:E,2,FALSE)*G383)</f>
        <v>0</v>
      </c>
      <c r="V383" s="78">
        <f>IF(NOT(ISNUMBER(G383)), "", VLOOKUP(A383,'Discount Lookup'!G:H,2,FALSE)*G383)</f>
        <v>0</v>
      </c>
      <c r="W383" s="102">
        <f t="shared" si="263"/>
        <v>0</v>
      </c>
      <c r="X383" s="102">
        <f t="shared" si="264"/>
        <v>0</v>
      </c>
      <c r="Y383" s="120" t="b">
        <f t="shared" si="265"/>
        <v>0</v>
      </c>
      <c r="Z383" s="117">
        <f t="shared" si="266"/>
        <v>0</v>
      </c>
      <c r="AA383" s="118"/>
      <c r="AB383" s="118" t="str">
        <f t="shared" si="267"/>
        <v/>
      </c>
      <c r="AC383" s="712" t="str">
        <f>IF(AE383="T2G","no charge",IF(AND(OR(PlanterYesMe="No",PlanterYesMe="N",PlanterYesMe="me"),H383=""),"",IF(H383="credit","NO install",IF(AND(K383="",AE383="me"),"EACH row",IF(AND(K383="images",AE383="me"),"EACH row",IF(D383="","",IF(H383="credit","",IF(AE383="free","re-planting",IF(AE383="me","   not ELP, by",IF(AND(OR(PlanterYesMe="Yes",PlanterYesMe="Y"),G383&gt;0),(VLOOKUP(A383,'Discount Lookup'!J:K,2)*G383*(1-PlanterDiscount)*(1+PlanterDifficultyPercentage)),IF(AE383="ELP",(VLOOKUP(A383,'Discount Lookup'!J:K,2)*G383*(1-PlanterDiscount)*(1+PlanterDifficultyPercentage)),IF(AE383="free","re-planting",IF(G383=0,"",IF(PlanterYesMe="",IF(AE383="me","   not ELP, by",IF(AE383="",IF(G383&gt;0,(VLOOKUP(A383,'Discount Lookup'!J:K,2)*G383*(1-PlanterDiscount)*(1+PlanterDifficultyPercentage)),""),"")),"   not ELP, by"))))))))))))))</f>
        <v/>
      </c>
      <c r="AD383" s="712"/>
      <c r="AE383" s="513" t="str">
        <f t="shared" si="268"/>
        <v/>
      </c>
      <c r="AF383" s="713" t="str">
        <f t="shared" si="269"/>
        <v/>
      </c>
      <c r="AG383" s="713"/>
      <c r="AH383" s="713"/>
      <c r="AI383" s="112">
        <f>IF(H383="credit",0,IF(AE383="free",0,IF(AE383="me",0,IF(G383&gt;0,(VLOOKUP(A383,'Discount Lookup'!J:K,2)*G383),0))))</f>
        <v>0</v>
      </c>
      <c r="AJ383" s="107" t="str">
        <f t="shared" ca="1" si="270"/>
        <v/>
      </c>
      <c r="AK383" s="714" t="str">
        <f t="shared" si="271"/>
        <v/>
      </c>
      <c r="AL383" s="714"/>
      <c r="AM383" s="114" t="str">
        <f t="shared" si="272"/>
        <v/>
      </c>
      <c r="AN383" s="115"/>
      <c r="AO383" s="116"/>
      <c r="AP383" s="116"/>
      <c r="AQ383" s="116"/>
      <c r="AR383" s="116"/>
      <c r="AS383" s="116"/>
      <c r="AT383" s="116"/>
      <c r="AU383" s="116"/>
      <c r="AV383" s="78"/>
      <c r="AW383" s="102"/>
      <c r="AX383" s="78"/>
      <c r="AY383" s="78"/>
      <c r="AZ383" s="78"/>
      <c r="BA383" s="78"/>
      <c r="BB383" s="78"/>
      <c r="BC383" s="78"/>
      <c r="BD383" s="78"/>
      <c r="BE383" s="465"/>
      <c r="BF383" s="165" t="str">
        <f t="shared" si="273"/>
        <v>https://www.google.com/search?tbm=isch&amp;q=4%20G2</v>
      </c>
      <c r="BG383" s="165" t="str">
        <f t="shared" si="274"/>
        <v>A</v>
      </c>
      <c r="BH383" s="65"/>
      <c r="BI383" s="65"/>
      <c r="BJ383" s="65"/>
      <c r="BK383" s="65"/>
      <c r="BL383" s="99"/>
      <c r="BM383" s="99"/>
      <c r="BN383" s="99"/>
    </row>
    <row r="384" spans="1:66" s="51" customFormat="1" ht="16.5" x14ac:dyDescent="0.25">
      <c r="A384" s="704" t="s">
        <v>5333</v>
      </c>
      <c r="B384" s="642"/>
      <c r="C384" s="710"/>
      <c r="D384" s="643"/>
      <c r="E384" s="643"/>
      <c r="F384" s="644"/>
      <c r="G384" s="645"/>
      <c r="H384" s="646"/>
      <c r="I384" s="647"/>
      <c r="J384" s="648"/>
      <c r="K384" s="649"/>
      <c r="L384" s="650"/>
      <c r="M384" s="650"/>
      <c r="N384" s="644"/>
      <c r="O384" s="644"/>
      <c r="P384" s="644"/>
      <c r="Q384" s="644"/>
      <c r="R384" s="644"/>
      <c r="S384" s="701" t="s">
        <v>5251</v>
      </c>
      <c r="T384" s="102">
        <f t="shared" si="262"/>
        <v>0</v>
      </c>
      <c r="U384" s="78" t="str">
        <f>IF(NOT(ISNUMBER(G384)), "", VLOOKUP(A384,'Discount Lookup'!D:E,2,FALSE)*G384)</f>
        <v/>
      </c>
      <c r="V384" s="78" t="str">
        <f>IF(NOT(ISNUMBER(G384)), "", VLOOKUP(A384,'Discount Lookup'!G:H,2,FALSE)*G384)</f>
        <v/>
      </c>
      <c r="W384" s="102">
        <f t="shared" si="263"/>
        <v>0</v>
      </c>
      <c r="X384" s="102">
        <f t="shared" si="264"/>
        <v>0</v>
      </c>
      <c r="Y384" s="120" t="b">
        <f t="shared" si="265"/>
        <v>0</v>
      </c>
      <c r="Z384" s="117">
        <f t="shared" si="266"/>
        <v>0</v>
      </c>
      <c r="AA384" s="118"/>
      <c r="AB384" s="118" t="str">
        <f t="shared" si="267"/>
        <v/>
      </c>
      <c r="AC384" s="712" t="str">
        <f>IF(AE384="T2G","no charge",IF(AND(OR(PlanterYesMe="No",PlanterYesMe="N",PlanterYesMe="me"),H384=""),"",IF(H384="credit","NO install",IF(AND(K384="",AE384="me"),"EACH row",IF(AND(K384="images",AE384="me"),"EACH row",IF(D384="","",IF(H384="credit","",IF(AE384="free","re-planting",IF(AE384="me","   not ELP, by",IF(AND(OR(PlanterYesMe="Yes",PlanterYesMe="Y"),G384&gt;0),(VLOOKUP(A384,'Discount Lookup'!J:K,2)*G384*(1-PlanterDiscount)*(1+PlanterDifficultyPercentage)),IF(AE384="ELP",(VLOOKUP(A384,'Discount Lookup'!J:K,2)*G384*(1-PlanterDiscount)*(1+PlanterDifficultyPercentage)),IF(AE384="free","re-planting",IF(G384=0,"",IF(PlanterYesMe="",IF(AE384="me","   not ELP, by",IF(AE384="",IF(G384&gt;0,(VLOOKUP(A384,'Discount Lookup'!J:K,2)*G384*(1-PlanterDiscount)*(1+PlanterDifficultyPercentage)),""),"")),"   not ELP, by"))))))))))))))</f>
        <v/>
      </c>
      <c r="AD384" s="712"/>
      <c r="AE384" s="513" t="str">
        <f t="shared" si="268"/>
        <v/>
      </c>
      <c r="AF384" s="713" t="str">
        <f t="shared" si="269"/>
        <v/>
      </c>
      <c r="AG384" s="713"/>
      <c r="AH384" s="713"/>
      <c r="AI384" s="112">
        <f>IF(H384="credit",0,IF(AE384="free",0,IF(AE384="me",0,IF(G384&gt;0,(VLOOKUP(A384,'Discount Lookup'!J:K,2)*G384),0))))</f>
        <v>0</v>
      </c>
      <c r="AJ384" s="107" t="str">
        <f t="shared" ca="1" si="270"/>
        <v/>
      </c>
      <c r="AK384" s="714" t="str">
        <f t="shared" si="271"/>
        <v/>
      </c>
      <c r="AL384" s="714"/>
      <c r="AM384" s="114" t="str">
        <f t="shared" si="272"/>
        <v/>
      </c>
      <c r="AN384" s="115"/>
      <c r="AO384" s="116"/>
      <c r="AP384" s="116"/>
      <c r="AQ384" s="116"/>
      <c r="AR384" s="116"/>
      <c r="AS384" s="116"/>
      <c r="AT384" s="116"/>
      <c r="AU384" s="116"/>
      <c r="AV384" s="78"/>
      <c r="AW384" s="102"/>
      <c r="AX384" s="78"/>
      <c r="AY384" s="78"/>
      <c r="AZ384" s="78"/>
      <c r="BA384" s="78"/>
      <c r="BB384" s="78"/>
      <c r="BC384" s="78"/>
      <c r="BD384" s="78"/>
      <c r="BE384" s="465"/>
      <c r="BF384" s="165" t="str">
        <f t="shared" si="273"/>
        <v>https://www.google.com/search?tbm=isch&amp;q=moist%20sites%F0%9F%92%A7OK%2C%20Sun%20King%20Aralia%20feels%20tropical%2C%20with%20glowing%20Chartreuse%20foliage%2C%20airy%20late-summer%20blooms%20and%20Glossy%20Black%20berries%20</v>
      </c>
      <c r="BG384" s="165" t="str">
        <f t="shared" si="274"/>
        <v>m</v>
      </c>
      <c r="BH384" s="65"/>
      <c r="BI384" s="65"/>
      <c r="BJ384" s="65"/>
      <c r="BK384" s="65"/>
      <c r="BL384" s="99"/>
      <c r="BM384" s="99"/>
      <c r="BN384" s="99"/>
    </row>
    <row r="385" spans="1:66" s="51" customFormat="1" ht="19.5" thickBot="1" x14ac:dyDescent="0.3">
      <c r="A385" s="686" t="s">
        <v>368</v>
      </c>
      <c r="B385" s="73"/>
      <c r="C385" s="708"/>
      <c r="D385" s="73"/>
      <c r="E385" s="73"/>
      <c r="F385" s="496"/>
      <c r="G385" s="73"/>
      <c r="H385" s="73"/>
      <c r="I385" s="73"/>
      <c r="J385" s="497" t="s">
        <v>357</v>
      </c>
      <c r="K385" s="498"/>
      <c r="L385" s="562"/>
      <c r="M385" s="73"/>
      <c r="N385"/>
      <c r="O385"/>
      <c r="P385"/>
      <c r="Q385"/>
      <c r="R385"/>
      <c r="S385"/>
      <c r="T385" s="102">
        <f t="shared" si="262"/>
        <v>0</v>
      </c>
      <c r="U385" s="78" t="str">
        <f>IF(NOT(ISNUMBER(G385)), "", VLOOKUP(A385,'Discount Lookup'!D:E,2,FALSE)*G385)</f>
        <v/>
      </c>
      <c r="V385" s="78" t="str">
        <f>IF(NOT(ISNUMBER(G385)), "", VLOOKUP(A385,'Discount Lookup'!G:H,2,FALSE)*G385)</f>
        <v/>
      </c>
      <c r="W385" s="102">
        <f t="shared" si="263"/>
        <v>0</v>
      </c>
      <c r="X385" s="102">
        <f t="shared" si="264"/>
        <v>0</v>
      </c>
      <c r="Y385" s="120" t="b">
        <f t="shared" si="265"/>
        <v>0</v>
      </c>
      <c r="Z385" s="117">
        <f t="shared" si="266"/>
        <v>0</v>
      </c>
      <c r="AA385" s="118"/>
      <c r="AB385" s="118" t="str">
        <f t="shared" si="267"/>
        <v/>
      </c>
      <c r="AC385" s="712" t="str">
        <f>IF(AE385="T2G","no charge",IF(AND(OR(PlanterYesMe="No",PlanterYesMe="N",PlanterYesMe="me"),H385=""),"",IF(H385="credit","NO install",IF(AND(K385="",AE385="me"),"EACH row",IF(AND(K385="images",AE385="me"),"EACH row",IF(D385="","",IF(H385="credit","",IF(AE385="free","re-planting",IF(AE385="me","   not ELP, by",IF(AND(OR(PlanterYesMe="Yes",PlanterYesMe="Y"),G385&gt;0),(VLOOKUP(A385,'Discount Lookup'!J:K,2)*G385*(1-PlanterDiscount)*(1+PlanterDifficultyPercentage)),IF(AE385="ELP",(VLOOKUP(A385,'Discount Lookup'!J:K,2)*G385*(1-PlanterDiscount)*(1+PlanterDifficultyPercentage)),IF(AE385="free","re-planting",IF(G385=0,"",IF(PlanterYesMe="",IF(AE385="me","   not ELP, by",IF(AE385="",IF(G385&gt;0,(VLOOKUP(A385,'Discount Lookup'!J:K,2)*G385*(1-PlanterDiscount)*(1+PlanterDifficultyPercentage)),""),"")),"   not ELP, by"))))))))))))))</f>
        <v/>
      </c>
      <c r="AD385" s="712"/>
      <c r="AE385" s="513" t="str">
        <f t="shared" si="268"/>
        <v/>
      </c>
      <c r="AF385" s="713" t="str">
        <f t="shared" si="269"/>
        <v/>
      </c>
      <c r="AG385" s="713"/>
      <c r="AH385" s="713"/>
      <c r="AI385" s="112">
        <f>IF(H385="credit",0,IF(AE385="free",0,IF(AE385="me",0,IF(G385&gt;0,(VLOOKUP(A385,'Discount Lookup'!J:K,2)*G385),0))))</f>
        <v>0</v>
      </c>
      <c r="AJ385" s="107" t="str">
        <f t="shared" ca="1" si="270"/>
        <v/>
      </c>
      <c r="AK385" s="714" t="str">
        <f t="shared" si="271"/>
        <v/>
      </c>
      <c r="AL385" s="714"/>
      <c r="AM385" s="114" t="str">
        <f t="shared" si="272"/>
        <v/>
      </c>
      <c r="AN385" s="115"/>
      <c r="AO385" s="116"/>
      <c r="AP385" s="116"/>
      <c r="AQ385" s="116"/>
      <c r="AR385" s="116"/>
      <c r="AS385" s="116"/>
      <c r="AT385" s="116"/>
      <c r="AU385" s="116"/>
      <c r="AV385" s="78"/>
      <c r="AW385" s="102"/>
      <c r="AX385" s="78"/>
      <c r="AY385" s="78"/>
      <c r="AZ385" s="78"/>
      <c r="BA385" s="78"/>
      <c r="BB385" s="78"/>
      <c r="BC385" s="78"/>
      <c r="BD385" s="78"/>
      <c r="BE385" s="465"/>
      <c r="BF385" s="165" t="str">
        <f t="shared" si="273"/>
        <v>https://www.google.com/search?tbm=isch&amp;q=Ardisia%20%3D%20Marlberry%20</v>
      </c>
      <c r="BG385" s="165" t="str">
        <f t="shared" si="274"/>
        <v>A</v>
      </c>
      <c r="BH385" s="65"/>
      <c r="BI385" s="65"/>
      <c r="BJ385" s="65"/>
      <c r="BK385" s="65"/>
      <c r="BL385" s="99"/>
      <c r="BM385" s="99"/>
      <c r="BN385" s="99"/>
    </row>
    <row r="386" spans="1:66" s="51" customFormat="1" ht="18" x14ac:dyDescent="0.25">
      <c r="A386" s="507" t="s">
        <v>1488</v>
      </c>
      <c r="B386" s="470"/>
      <c r="C386" s="706"/>
      <c r="D386" s="471" t="s">
        <v>1489</v>
      </c>
      <c r="E386" s="472"/>
      <c r="F386" s="472"/>
      <c r="G386" s="472"/>
      <c r="H386" s="622" t="s">
        <v>1490</v>
      </c>
      <c r="I386" s="473" t="s">
        <v>431</v>
      </c>
      <c r="J386" s="472"/>
      <c r="K386" s="472"/>
      <c r="L386" s="561"/>
      <c r="M386" s="703" t="s">
        <v>5260</v>
      </c>
      <c r="N386" s="692" t="str">
        <f>IF(AND(ISTEXT($A386), ISERROR($A386+0)), HYPERLINK($BF386, "Images"), "")</f>
        <v>Images</v>
      </c>
      <c r="O386" s="694" t="s">
        <v>5244</v>
      </c>
      <c r="P386" s="475"/>
      <c r="Q386" s="476"/>
      <c r="R386" s="476"/>
      <c r="S386" s="477"/>
      <c r="T386" s="102">
        <f t="shared" si="262"/>
        <v>0</v>
      </c>
      <c r="U386" s="78" t="str">
        <f>IF(NOT(ISNUMBER(G386)), "", VLOOKUP(A386,'Discount Lookup'!D:E,2,FALSE)*G386)</f>
        <v/>
      </c>
      <c r="V386" s="78" t="str">
        <f>IF(NOT(ISNUMBER(G386)), "", VLOOKUP(A386,'Discount Lookup'!G:H,2,FALSE)*G386)</f>
        <v/>
      </c>
      <c r="W386" s="102">
        <f t="shared" si="263"/>
        <v>0</v>
      </c>
      <c r="X386" s="102" t="str">
        <f t="shared" si="264"/>
        <v>Dark Green foliage</v>
      </c>
      <c r="Y386" s="120" t="b">
        <f t="shared" si="265"/>
        <v>0</v>
      </c>
      <c r="Z386" s="117">
        <f t="shared" si="266"/>
        <v>0</v>
      </c>
      <c r="AA386" s="118"/>
      <c r="AB386" s="118" t="str">
        <f t="shared" si="267"/>
        <v/>
      </c>
      <c r="AC386" s="712" t="str">
        <f>IF(AE386="T2G","no charge",IF(AND(OR(PlanterYesMe="No",PlanterYesMe="N",PlanterYesMe="me"),H386=""),"",IF(H386="credit","NO install",IF(AND(K386="",AE386="me"),"EACH row",IF(AND(K386="images",AE386="me"),"EACH row",IF(D386="","",IF(H386="credit","",IF(AE386="free","re-planting",IF(AE386="me","   not ELP, by",IF(AND(OR(PlanterYesMe="Yes",PlanterYesMe="Y"),G386&gt;0),(VLOOKUP(A386,'Discount Lookup'!J:K,2)*G386*(1-PlanterDiscount)*(1+PlanterDifficultyPercentage)),IF(AE386="ELP",(VLOOKUP(A386,'Discount Lookup'!J:K,2)*G386*(1-PlanterDiscount)*(1+PlanterDifficultyPercentage)),IF(AE386="free","re-planting",IF(G386=0,"",IF(PlanterYesMe="",IF(AE386="me","   not ELP, by",IF(AE386="",IF(G386&gt;0,(VLOOKUP(A386,'Discount Lookup'!J:K,2)*G386*(1-PlanterDiscount)*(1+PlanterDifficultyPercentage)),""),"")),"   not ELP, by"))))))))))))))</f>
        <v/>
      </c>
      <c r="AD386" s="712"/>
      <c r="AE386" s="513" t="str">
        <f t="shared" si="268"/>
        <v/>
      </c>
      <c r="AF386" s="713" t="str">
        <f t="shared" si="269"/>
        <v/>
      </c>
      <c r="AG386" s="713"/>
      <c r="AH386" s="713"/>
      <c r="AI386" s="112">
        <f>IF(H386="credit",0,IF(AE386="free",0,IF(AE386="me",0,IF(G386&gt;0,(VLOOKUP(A386,'Discount Lookup'!J:K,2)*G386),0))))</f>
        <v>0</v>
      </c>
      <c r="AJ386" s="107" t="str">
        <f t="shared" ca="1" si="270"/>
        <v/>
      </c>
      <c r="AK386" s="714" t="str">
        <f t="shared" si="271"/>
        <v/>
      </c>
      <c r="AL386" s="714"/>
      <c r="AM386" s="114" t="str">
        <f t="shared" si="272"/>
        <v/>
      </c>
      <c r="AN386" s="115"/>
      <c r="AO386" s="116"/>
      <c r="AP386" s="116"/>
      <c r="AQ386" s="116"/>
      <c r="AR386" s="116"/>
      <c r="AS386" s="116"/>
      <c r="AT386" s="116"/>
      <c r="AU386" s="116"/>
      <c r="AV386" s="78"/>
      <c r="AW386" s="102"/>
      <c r="AX386" s="78"/>
      <c r="AY386" s="78"/>
      <c r="AZ386" s="78"/>
      <c r="BA386" s="78"/>
      <c r="BB386" s="78"/>
      <c r="BC386" s="78"/>
      <c r="BD386" s="78"/>
      <c r="BE386" s="465"/>
      <c r="BF386" s="165" t="str">
        <f t="shared" si="273"/>
        <v>https://www.google.com/search?tbm=isch&amp;q=Ardisia%20japonica%20Japanese%20Ardisia</v>
      </c>
      <c r="BG386" s="165" t="str">
        <f t="shared" si="274"/>
        <v>A</v>
      </c>
      <c r="BH386" s="65"/>
      <c r="BI386" s="65"/>
      <c r="BJ386" s="65"/>
      <c r="BK386" s="65"/>
      <c r="BL386" s="99"/>
      <c r="BM386" s="99"/>
      <c r="BN386" s="99"/>
    </row>
    <row r="387" spans="1:66" s="51" customFormat="1" ht="15.75" x14ac:dyDescent="0.25">
      <c r="A387" s="478">
        <v>3</v>
      </c>
      <c r="B387" s="479" t="s">
        <v>291</v>
      </c>
      <c r="C387" s="480" t="s">
        <v>4956</v>
      </c>
      <c r="D387" s="481" t="s">
        <v>293</v>
      </c>
      <c r="E387" s="482">
        <v>20.95</v>
      </c>
      <c r="F387" s="483" t="s">
        <v>292</v>
      </c>
      <c r="G387" s="484">
        <v>0</v>
      </c>
      <c r="H387" s="688" t="str">
        <f>IF(G387=0,"",IF(F387="Buy",IF(G387=1,"plant","plants"),IF(F387&gt;0.01,"warranty","Error")))</f>
        <v/>
      </c>
      <c r="I387" s="485">
        <f>IF(H387="free",0,IF(H387="credit",((E387*(F387))*G387*-1),IF(F387="Buy",(E387*G387),((E387*(1-F387))*G387))))</f>
        <v>0</v>
      </c>
      <c r="J387" s="485">
        <f>IF(H387="warranty",0,(I387*(_xlfn.SINGLE(SalesTaxPercentage))))</f>
        <v>0</v>
      </c>
      <c r="K387" s="715">
        <f t="shared" ref="K387" si="300">I387+J387</f>
        <v>0</v>
      </c>
      <c r="L387" s="715"/>
      <c r="M387" s="689" t="str">
        <f ca="1">IF(AND(G387&gt;0,E387=0),"WARNING - no PRICE inserted",IF(H387="free","FREE ~ no charge this plant",IF(H387="credit",CONCATENATE("-$",ROUND(K387*(1-_xlfn.SINGLE(T2GDiscount))*-1,2)," CREDIT after discount"),IF(_xlfn.SINGLE(T2GDiscount)=0,"",IF(G387=0,"",IF(F387="Buy",CONCATENATE("$",ROUND(K387*(1-_xlfn.SINGLE(T2GDiscount)),2)," with ",(_xlfn.SINGLE(T2GDiscount)*100),"% discount"),CONCATENATE("$",ROUND(K387*(1-_xlfn.SINGLE(T2GDiscount)),2)," with ",((_xlfn.SINGLE(T2GDiscount)*100+F387*100)-(_xlfn.SINGLE(T2GDiscount)*100*F387)),IF(F387&gt;0,"% discounts",IF(_xlfn.SINGLE(NoWarrantyDiscount)&gt;0,"% discounts","% discount")))))))))</f>
        <v/>
      </c>
      <c r="N387" s="690"/>
      <c r="O387" s="486"/>
      <c r="P387" s="486"/>
      <c r="Q387" s="486"/>
      <c r="R387" s="486"/>
      <c r="S387" s="486"/>
      <c r="T387" s="102">
        <f t="shared" si="262"/>
        <v>0</v>
      </c>
      <c r="U387" s="78">
        <f>IF(NOT(ISNUMBER(G387)), "", VLOOKUP(A387,'Discount Lookup'!D:E,2,FALSE)*G387)</f>
        <v>0</v>
      </c>
      <c r="V387" s="78">
        <f>IF(NOT(ISNUMBER(G387)), "", VLOOKUP(A387,'Discount Lookup'!G:H,2,FALSE)*G387)</f>
        <v>0</v>
      </c>
      <c r="W387" s="102">
        <f t="shared" si="263"/>
        <v>0</v>
      </c>
      <c r="X387" s="102">
        <f t="shared" si="264"/>
        <v>0</v>
      </c>
      <c r="Y387" s="120" t="b">
        <f t="shared" si="265"/>
        <v>0</v>
      </c>
      <c r="Z387" s="117">
        <f t="shared" si="266"/>
        <v>0</v>
      </c>
      <c r="AA387" s="118"/>
      <c r="AB387" s="118" t="str">
        <f t="shared" si="267"/>
        <v/>
      </c>
      <c r="AC387" s="712" t="str">
        <f>IF(AE387="T2G","no charge",IF(AND(OR(PlanterYesMe="No",PlanterYesMe="N",PlanterYesMe="me"),H387=""),"",IF(H387="credit","NO install",IF(AND(K387="",AE387="me"),"EACH row",IF(AND(K387="images",AE387="me"),"EACH row",IF(D387="","",IF(H387="credit","",IF(AE387="free","re-planting",IF(AE387="me","   not ELP, by",IF(AND(OR(PlanterYesMe="Yes",PlanterYesMe="Y"),G387&gt;0),(VLOOKUP(A387,'Discount Lookup'!J:K,2)*G387*(1-PlanterDiscount)*(1+PlanterDifficultyPercentage)),IF(AE387="ELP",(VLOOKUP(A387,'Discount Lookup'!J:K,2)*G387*(1-PlanterDiscount)*(1+PlanterDifficultyPercentage)),IF(AE387="free","re-planting",IF(G387=0,"",IF(PlanterYesMe="",IF(AE387="me","   not ELP, by",IF(AE387="",IF(G387&gt;0,(VLOOKUP(A387,'Discount Lookup'!J:K,2)*G387*(1-PlanterDiscount)*(1+PlanterDifficultyPercentage)),""),"")),"   not ELP, by"))))))))))))))</f>
        <v/>
      </c>
      <c r="AD387" s="712"/>
      <c r="AE387" s="513" t="str">
        <f t="shared" si="268"/>
        <v/>
      </c>
      <c r="AF387" s="713" t="str">
        <f t="shared" si="269"/>
        <v/>
      </c>
      <c r="AG387" s="713"/>
      <c r="AH387" s="713"/>
      <c r="AI387" s="112">
        <f>IF(H387="credit",0,IF(AE387="free",0,IF(AE387="me",0,IF(G387&gt;0,(VLOOKUP(A387,'Discount Lookup'!J:K,2)*G387),0))))</f>
        <v>0</v>
      </c>
      <c r="AJ387" s="107" t="str">
        <f t="shared" ca="1" si="270"/>
        <v/>
      </c>
      <c r="AK387" s="714" t="str">
        <f t="shared" si="271"/>
        <v/>
      </c>
      <c r="AL387" s="714"/>
      <c r="AM387" s="114" t="str">
        <f t="shared" si="272"/>
        <v/>
      </c>
      <c r="AN387" s="115"/>
      <c r="AO387" s="116"/>
      <c r="AP387" s="116"/>
      <c r="AQ387" s="116"/>
      <c r="AR387" s="116"/>
      <c r="AS387" s="116"/>
      <c r="AT387" s="116"/>
      <c r="AU387" s="116"/>
      <c r="AV387" s="78"/>
      <c r="AW387" s="102"/>
      <c r="AX387" s="78"/>
      <c r="AY387" s="78"/>
      <c r="AZ387" s="78"/>
      <c r="BA387" s="78"/>
      <c r="BB387" s="78"/>
      <c r="BC387" s="78"/>
      <c r="BD387" s="78"/>
      <c r="BE387" s="465"/>
      <c r="BF387" s="165" t="str">
        <f t="shared" si="273"/>
        <v>https://www.google.com/search?tbm=isch&amp;q=3%20G6</v>
      </c>
      <c r="BG387" s="165" t="str">
        <f t="shared" si="274"/>
        <v>A</v>
      </c>
      <c r="BH387" s="65"/>
      <c r="BI387" s="65"/>
      <c r="BJ387" s="65"/>
      <c r="BK387" s="65"/>
      <c r="BL387" s="99"/>
      <c r="BM387" s="99"/>
      <c r="BN387" s="99"/>
    </row>
    <row r="388" spans="1:66" s="51" customFormat="1" ht="16.5" x14ac:dyDescent="0.25">
      <c r="A388" s="705" t="s">
        <v>5334</v>
      </c>
      <c r="B388" s="487"/>
      <c r="C388" s="707"/>
      <c r="D388" s="487"/>
      <c r="E388" s="487"/>
      <c r="F388" s="488"/>
      <c r="G388" s="489"/>
      <c r="H388" s="487"/>
      <c r="I388" s="490"/>
      <c r="J388" s="490"/>
      <c r="K388" s="491"/>
      <c r="L388" s="547"/>
      <c r="M388" s="528"/>
      <c r="N388" s="492"/>
      <c r="O388" s="493"/>
      <c r="P388" s="494"/>
      <c r="Q388" s="492"/>
      <c r="R388" s="492"/>
      <c r="S388" s="699" t="s">
        <v>5268</v>
      </c>
      <c r="T388" s="102">
        <f t="shared" si="262"/>
        <v>0</v>
      </c>
      <c r="U388" s="78" t="str">
        <f>IF(NOT(ISNUMBER(G388)), "", VLOOKUP(A388,'Discount Lookup'!D:E,2,FALSE)*G388)</f>
        <v/>
      </c>
      <c r="V388" s="78" t="str">
        <f>IF(NOT(ISNUMBER(G388)), "", VLOOKUP(A388,'Discount Lookup'!G:H,2,FALSE)*G388)</f>
        <v/>
      </c>
      <c r="W388" s="102">
        <f t="shared" si="263"/>
        <v>0</v>
      </c>
      <c r="X388" s="102">
        <f t="shared" si="264"/>
        <v>0</v>
      </c>
      <c r="Y388" s="120" t="b">
        <f t="shared" si="265"/>
        <v>0</v>
      </c>
      <c r="Z388" s="117">
        <f t="shared" si="266"/>
        <v>0</v>
      </c>
      <c r="AA388" s="118"/>
      <c r="AB388" s="118" t="str">
        <f t="shared" si="267"/>
        <v/>
      </c>
      <c r="AC388" s="712" t="str">
        <f>IF(AE388="T2G","no charge",IF(AND(OR(PlanterYesMe="No",PlanterYesMe="N",PlanterYesMe="me"),H388=""),"",IF(H388="credit","NO install",IF(AND(K388="",AE388="me"),"EACH row",IF(AND(K388="images",AE388="me"),"EACH row",IF(D388="","",IF(H388="credit","",IF(AE388="free","re-planting",IF(AE388="me","   not ELP, by",IF(AND(OR(PlanterYesMe="Yes",PlanterYesMe="Y"),G388&gt;0),(VLOOKUP(A388,'Discount Lookup'!J:K,2)*G388*(1-PlanterDiscount)*(1+PlanterDifficultyPercentage)),IF(AE388="ELP",(VLOOKUP(A388,'Discount Lookup'!J:K,2)*G388*(1-PlanterDiscount)*(1+PlanterDifficultyPercentage)),IF(AE388="free","re-planting",IF(G388=0,"",IF(PlanterYesMe="",IF(AE388="me","   not ELP, by",IF(AE388="",IF(G388&gt;0,(VLOOKUP(A388,'Discount Lookup'!J:K,2)*G388*(1-PlanterDiscount)*(1+PlanterDifficultyPercentage)),""),"")),"   not ELP, by"))))))))))))))</f>
        <v/>
      </c>
      <c r="AD388" s="712"/>
      <c r="AE388" s="513" t="str">
        <f t="shared" si="268"/>
        <v/>
      </c>
      <c r="AF388" s="713" t="str">
        <f t="shared" si="269"/>
        <v/>
      </c>
      <c r="AG388" s="713"/>
      <c r="AH388" s="713"/>
      <c r="AI388" s="112">
        <f>IF(H388="credit",0,IF(AE388="free",0,IF(AE388="me",0,IF(G388&gt;0,(VLOOKUP(A388,'Discount Lookup'!J:K,2)*G388),0))))</f>
        <v>0</v>
      </c>
      <c r="AJ388" s="107" t="str">
        <f t="shared" ca="1" si="270"/>
        <v/>
      </c>
      <c r="AK388" s="714" t="str">
        <f t="shared" si="271"/>
        <v/>
      </c>
      <c r="AL388" s="714"/>
      <c r="AM388" s="114" t="str">
        <f t="shared" si="272"/>
        <v/>
      </c>
      <c r="AN388" s="115"/>
      <c r="AO388" s="116"/>
      <c r="AP388" s="116"/>
      <c r="AQ388" s="116"/>
      <c r="AR388" s="116"/>
      <c r="AS388" s="116"/>
      <c r="AT388" s="116"/>
      <c r="AU388" s="116"/>
      <c r="AV388" s="78"/>
      <c r="AW388" s="102"/>
      <c r="AX388" s="78"/>
      <c r="AY388" s="78"/>
      <c r="AZ388" s="78"/>
      <c r="BA388" s="78"/>
      <c r="BB388" s="78"/>
      <c r="BC388" s="78"/>
      <c r="BD388" s="78"/>
      <c r="BE388" s="465"/>
      <c r="BF388" s="165" t="str">
        <f t="shared" si="273"/>
        <v>https://www.google.com/search?tbm=isch&amp;q=moist%20sites%F0%9F%92%A7OK%2C%20Japanese%20ardisia%20carpets%20shady%20beds%20with%20glossy%20leaves%20and%20White-Pink%20flowers%2C%20followed%20by%20Red%20berries.%20May%20spread%20invasively%20</v>
      </c>
      <c r="BG388" s="165" t="str">
        <f t="shared" si="274"/>
        <v>m</v>
      </c>
      <c r="BH388" s="65"/>
      <c r="BI388" s="65"/>
      <c r="BJ388" s="65"/>
      <c r="BK388" s="65"/>
      <c r="BL388" s="99"/>
      <c r="BM388" s="99"/>
      <c r="BN388" s="99"/>
    </row>
    <row r="389" spans="1:66" s="51" customFormat="1" ht="19.5" thickBot="1" x14ac:dyDescent="0.3">
      <c r="A389" s="686" t="s">
        <v>364</v>
      </c>
      <c r="B389" s="73"/>
      <c r="C389" s="708"/>
      <c r="D389" s="73"/>
      <c r="E389" s="73"/>
      <c r="F389" s="496"/>
      <c r="G389" s="73"/>
      <c r="H389" s="73"/>
      <c r="I389" s="73"/>
      <c r="J389" s="497" t="s">
        <v>357</v>
      </c>
      <c r="K389" s="498"/>
      <c r="L389" s="562"/>
      <c r="M389" s="73"/>
      <c r="N389"/>
      <c r="O389"/>
      <c r="P389"/>
      <c r="Q389"/>
      <c r="R389"/>
      <c r="S389"/>
      <c r="T389" s="102">
        <f t="shared" si="262"/>
        <v>0</v>
      </c>
      <c r="U389" s="78" t="str">
        <f>IF(NOT(ISNUMBER(G389)), "", VLOOKUP(A389,'Discount Lookup'!D:E,2,FALSE)*G389)</f>
        <v/>
      </c>
      <c r="V389" s="78" t="str">
        <f>IF(NOT(ISNUMBER(G389)), "", VLOOKUP(A389,'Discount Lookup'!G:H,2,FALSE)*G389)</f>
        <v/>
      </c>
      <c r="W389" s="102">
        <f t="shared" si="263"/>
        <v>0</v>
      </c>
      <c r="X389" s="102">
        <f t="shared" si="264"/>
        <v>0</v>
      </c>
      <c r="Y389" s="120" t="b">
        <f t="shared" si="265"/>
        <v>0</v>
      </c>
      <c r="Z389" s="117">
        <f t="shared" si="266"/>
        <v>0</v>
      </c>
      <c r="AA389" s="118"/>
      <c r="AB389" s="118" t="str">
        <f t="shared" si="267"/>
        <v/>
      </c>
      <c r="AC389" s="712" t="str">
        <f>IF(AE389="T2G","no charge",IF(AND(OR(PlanterYesMe="No",PlanterYesMe="N",PlanterYesMe="me"),H389=""),"",IF(H389="credit","NO install",IF(AND(K389="",AE389="me"),"EACH row",IF(AND(K389="images",AE389="me"),"EACH row",IF(D389="","",IF(H389="credit","",IF(AE389="free","re-planting",IF(AE389="me","   not ELP, by",IF(AND(OR(PlanterYesMe="Yes",PlanterYesMe="Y"),G389&gt;0),(VLOOKUP(A389,'Discount Lookup'!J:K,2)*G389*(1-PlanterDiscount)*(1+PlanterDifficultyPercentage)),IF(AE389="ELP",(VLOOKUP(A389,'Discount Lookup'!J:K,2)*G389*(1-PlanterDiscount)*(1+PlanterDifficultyPercentage)),IF(AE389="free","re-planting",IF(G389=0,"",IF(PlanterYesMe="",IF(AE389="me","   not ELP, by",IF(AE389="",IF(G389&gt;0,(VLOOKUP(A389,'Discount Lookup'!J:K,2)*G389*(1-PlanterDiscount)*(1+PlanterDifficultyPercentage)),""),"")),"   not ELP, by"))))))))))))))</f>
        <v/>
      </c>
      <c r="AD389" s="712"/>
      <c r="AE389" s="513" t="str">
        <f t="shared" si="268"/>
        <v/>
      </c>
      <c r="AF389" s="713" t="str">
        <f t="shared" si="269"/>
        <v/>
      </c>
      <c r="AG389" s="713"/>
      <c r="AH389" s="713"/>
      <c r="AI389" s="112">
        <f>IF(H389="credit",0,IF(AE389="free",0,IF(AE389="me",0,IF(G389&gt;0,(VLOOKUP(A389,'Discount Lookup'!J:K,2)*G389),0))))</f>
        <v>0</v>
      </c>
      <c r="AJ389" s="107" t="str">
        <f t="shared" ca="1" si="270"/>
        <v/>
      </c>
      <c r="AK389" s="714" t="str">
        <f t="shared" si="271"/>
        <v/>
      </c>
      <c r="AL389" s="714"/>
      <c r="AM389" s="114" t="str">
        <f t="shared" si="272"/>
        <v/>
      </c>
      <c r="AN389" s="115"/>
      <c r="AO389" s="116"/>
      <c r="AP389" s="116"/>
      <c r="AQ389" s="116"/>
      <c r="AR389" s="116"/>
      <c r="AS389" s="116"/>
      <c r="AT389" s="116"/>
      <c r="AU389" s="116"/>
      <c r="AV389" s="78"/>
      <c r="AW389" s="102"/>
      <c r="AX389" s="78"/>
      <c r="AY389" s="78"/>
      <c r="AZ389" s="78"/>
      <c r="BA389" s="78"/>
      <c r="BB389" s="78"/>
      <c r="BC389" s="78"/>
      <c r="BD389" s="78"/>
      <c r="BE389" s="465"/>
      <c r="BF389" s="165" t="str">
        <f t="shared" si="273"/>
        <v>https://www.google.com/search?tbm=isch&amp;q=Aronia%20%3D%20Chokeberry%20</v>
      </c>
      <c r="BG389" s="165" t="str">
        <f t="shared" si="274"/>
        <v>A</v>
      </c>
      <c r="BH389" s="65"/>
      <c r="BI389" s="65"/>
      <c r="BJ389" s="65"/>
      <c r="BK389" s="65"/>
      <c r="BL389" s="99"/>
      <c r="BM389" s="99"/>
      <c r="BN389" s="99"/>
    </row>
    <row r="390" spans="1:66" s="51" customFormat="1" ht="18" x14ac:dyDescent="0.25">
      <c r="A390" s="623" t="s">
        <v>1491</v>
      </c>
      <c r="B390" s="624"/>
      <c r="C390" s="709"/>
      <c r="D390" s="625" t="s">
        <v>1492</v>
      </c>
      <c r="E390" s="626"/>
      <c r="F390" s="626"/>
      <c r="G390" s="626"/>
      <c r="H390" s="622" t="s">
        <v>318</v>
      </c>
      <c r="I390" s="627" t="s">
        <v>1493</v>
      </c>
      <c r="J390" s="628"/>
      <c r="K390" s="628"/>
      <c r="L390" s="629"/>
      <c r="M390" s="700" t="s">
        <v>5249</v>
      </c>
      <c r="N390" s="693" t="str">
        <f>IF(AND(ISTEXT($A390), ISERROR($A390+0)), HYPERLINK($BF390, "Images"), "")</f>
        <v>Images</v>
      </c>
      <c r="O390" s="695" t="s">
        <v>5247</v>
      </c>
      <c r="P390" s="630"/>
      <c r="Q390" s="631"/>
      <c r="R390" s="632"/>
      <c r="S390" s="633" t="s">
        <v>294</v>
      </c>
      <c r="T390" s="102">
        <f t="shared" si="262"/>
        <v>0</v>
      </c>
      <c r="U390" s="78" t="str">
        <f>IF(NOT(ISNUMBER(G390)), "", VLOOKUP(A390,'Discount Lookup'!D:E,2,FALSE)*G390)</f>
        <v/>
      </c>
      <c r="V390" s="78" t="str">
        <f>IF(NOT(ISNUMBER(G390)), "", VLOOKUP(A390,'Discount Lookup'!G:H,2,FALSE)*G390)</f>
        <v/>
      </c>
      <c r="W390" s="102">
        <f t="shared" si="263"/>
        <v>0</v>
      </c>
      <c r="X390" s="102" t="str">
        <f t="shared" si="264"/>
        <v>White to Pale Pink bloom</v>
      </c>
      <c r="Y390" s="120" t="b">
        <f t="shared" si="265"/>
        <v>0</v>
      </c>
      <c r="Z390" s="117">
        <f t="shared" si="266"/>
        <v>0</v>
      </c>
      <c r="AA390" s="118"/>
      <c r="AB390" s="118" t="str">
        <f t="shared" si="267"/>
        <v/>
      </c>
      <c r="AC390" s="712" t="str">
        <f>IF(AE390="T2G","no charge",IF(AND(OR(PlanterYesMe="No",PlanterYesMe="N",PlanterYesMe="me"),H390=""),"",IF(H390="credit","NO install",IF(AND(K390="",AE390="me"),"EACH row",IF(AND(K390="images",AE390="me"),"EACH row",IF(D390="","",IF(H390="credit","",IF(AE390="free","re-planting",IF(AE390="me","   not ELP, by",IF(AND(OR(PlanterYesMe="Yes",PlanterYesMe="Y"),G390&gt;0),(VLOOKUP(A390,'Discount Lookup'!J:K,2)*G390*(1-PlanterDiscount)*(1+PlanterDifficultyPercentage)),IF(AE390="ELP",(VLOOKUP(A390,'Discount Lookup'!J:K,2)*G390*(1-PlanterDiscount)*(1+PlanterDifficultyPercentage)),IF(AE390="free","re-planting",IF(G390=0,"",IF(PlanterYesMe="",IF(AE390="me","   not ELP, by",IF(AE390="",IF(G390&gt;0,(VLOOKUP(A390,'Discount Lookup'!J:K,2)*G390*(1-PlanterDiscount)*(1+PlanterDifficultyPercentage)),""),"")),"   not ELP, by"))))))))))))))</f>
        <v/>
      </c>
      <c r="AD390" s="712"/>
      <c r="AE390" s="513" t="str">
        <f t="shared" si="268"/>
        <v/>
      </c>
      <c r="AF390" s="713" t="str">
        <f t="shared" si="269"/>
        <v/>
      </c>
      <c r="AG390" s="713"/>
      <c r="AH390" s="713"/>
      <c r="AI390" s="112">
        <f>IF(H390="credit",0,IF(AE390="free",0,IF(AE390="me",0,IF(G390&gt;0,(VLOOKUP(A390,'Discount Lookup'!J:K,2)*G390),0))))</f>
        <v>0</v>
      </c>
      <c r="AJ390" s="107" t="str">
        <f t="shared" ca="1" si="270"/>
        <v/>
      </c>
      <c r="AK390" s="714" t="str">
        <f t="shared" si="271"/>
        <v/>
      </c>
      <c r="AL390" s="714"/>
      <c r="AM390" s="114" t="str">
        <f t="shared" si="272"/>
        <v/>
      </c>
      <c r="AN390" s="115"/>
      <c r="AO390" s="116"/>
      <c r="AP390" s="116"/>
      <c r="AQ390" s="116"/>
      <c r="AR390" s="116"/>
      <c r="AS390" s="116"/>
      <c r="AT390" s="116"/>
      <c r="AU390" s="116"/>
      <c r="AV390" s="78"/>
      <c r="AW390" s="102"/>
      <c r="AX390" s="78"/>
      <c r="AY390" s="78"/>
      <c r="AZ390" s="78"/>
      <c r="BA390" s="78"/>
      <c r="BB390" s="78"/>
      <c r="BC390" s="78"/>
      <c r="BD390" s="78"/>
      <c r="BE390" s="465"/>
      <c r="BF390" s="165" t="str">
        <f t="shared" si="273"/>
        <v>https://www.google.com/search?tbm=isch&amp;q=Aronia%20arbutifolia%20Red%20Chokeberry</v>
      </c>
      <c r="BG390" s="165" t="str">
        <f t="shared" si="274"/>
        <v>A</v>
      </c>
      <c r="BH390" s="65"/>
      <c r="BI390" s="65"/>
      <c r="BJ390" s="65"/>
      <c r="BK390" s="65"/>
      <c r="BL390" s="99"/>
      <c r="BM390" s="99"/>
      <c r="BN390" s="99"/>
    </row>
    <row r="391" spans="1:66" s="51" customFormat="1" ht="27" x14ac:dyDescent="0.25">
      <c r="A391" s="634">
        <v>7</v>
      </c>
      <c r="B391" s="635" t="s">
        <v>291</v>
      </c>
      <c r="C391" s="636" t="s">
        <v>1494</v>
      </c>
      <c r="D391" s="637" t="s">
        <v>299</v>
      </c>
      <c r="E391" s="638">
        <v>95.95</v>
      </c>
      <c r="F391" s="639" t="s">
        <v>292</v>
      </c>
      <c r="G391" s="484">
        <v>0</v>
      </c>
      <c r="H391" s="691" t="str">
        <f>IF(G391=0,"",IF(F391="Buy",IF(G391=1,"plant","plants"),IF(F391&gt;0.01,"warranty","Error")))</f>
        <v/>
      </c>
      <c r="I391" s="640">
        <f>IF(H391="free",0,IF(H391="credit",((E391*(F391))*G391*-1),IF(F391="Buy",(E391*G391),((E391*(1-F391))*G391))))</f>
        <v>0</v>
      </c>
      <c r="J391" s="640">
        <f>IF(H391="warranty",0,(I391*(_xlfn.SINGLE(SalesTaxPercentage))))</f>
        <v>0</v>
      </c>
      <c r="K391" s="716">
        <f t="shared" ref="K391" si="301">I391+J391</f>
        <v>0</v>
      </c>
      <c r="L391" s="716"/>
      <c r="M391" s="689" t="str">
        <f ca="1">IF(AND(G391&gt;0,E391=0),"WARNING - no PRICE inserted",IF(H391="free","FREE ~ no charge this plant",IF(H391="credit",CONCATENATE("-$",ROUND(K391*(1-_xlfn.SINGLE(T2GDiscount))*-1,2)," CREDIT after discount"),IF(_xlfn.SINGLE(T2GDiscount)=0,"",IF(G391=0,"",IF(F391="Buy",CONCATENATE("$",ROUND(K391*(1-_xlfn.SINGLE(T2GDiscount)),2)," with ",(_xlfn.SINGLE(T2GDiscount)*100),"% discount"),CONCATENATE("$",ROUND(K391*(1-_xlfn.SINGLE(T2GDiscount)),2)," with ",((_xlfn.SINGLE(T2GDiscount)*100+F391*100)-(_xlfn.SINGLE(T2GDiscount)*100*F391)),IF(F391&gt;0,"% discounts",IF(_xlfn.SINGLE(NoWarrantyDiscount)&gt;0,"% discounts","% discount")))))))))</f>
        <v/>
      </c>
      <c r="N391" s="690"/>
      <c r="O391" s="486"/>
      <c r="P391" s="486"/>
      <c r="Q391" s="486"/>
      <c r="R391" s="486"/>
      <c r="S391" s="486"/>
      <c r="T391" s="102">
        <f t="shared" si="262"/>
        <v>0</v>
      </c>
      <c r="U391" s="78">
        <f>IF(NOT(ISNUMBER(G391)), "", VLOOKUP(A391,'Discount Lookup'!D:E,2,FALSE)*G391)</f>
        <v>0</v>
      </c>
      <c r="V391" s="78">
        <f>IF(NOT(ISNUMBER(G391)), "", VLOOKUP(A391,'Discount Lookup'!G:H,2,FALSE)*G391)</f>
        <v>0</v>
      </c>
      <c r="W391" s="102">
        <f t="shared" si="263"/>
        <v>0</v>
      </c>
      <c r="X391" s="102">
        <f t="shared" si="264"/>
        <v>0</v>
      </c>
      <c r="Y391" s="120" t="b">
        <f t="shared" si="265"/>
        <v>0</v>
      </c>
      <c r="Z391" s="117">
        <f t="shared" si="266"/>
        <v>0</v>
      </c>
      <c r="AA391" s="118"/>
      <c r="AB391" s="118" t="str">
        <f t="shared" si="267"/>
        <v/>
      </c>
      <c r="AC391" s="712" t="str">
        <f>IF(AE391="T2G","no charge",IF(AND(OR(PlanterYesMe="No",PlanterYesMe="N",PlanterYesMe="me"),H391=""),"",IF(H391="credit","NO install",IF(AND(K391="",AE391="me"),"EACH row",IF(AND(K391="images",AE391="me"),"EACH row",IF(D391="","",IF(H391="credit","",IF(AE391="free","re-planting",IF(AE391="me","   not ELP, by",IF(AND(OR(PlanterYesMe="Yes",PlanterYesMe="Y"),G391&gt;0),(VLOOKUP(A391,'Discount Lookup'!J:K,2)*G391*(1-PlanterDiscount)*(1+PlanterDifficultyPercentage)),IF(AE391="ELP",(VLOOKUP(A391,'Discount Lookup'!J:K,2)*G391*(1-PlanterDiscount)*(1+PlanterDifficultyPercentage)),IF(AE391="free","re-planting",IF(G391=0,"",IF(PlanterYesMe="",IF(AE391="me","   not ELP, by",IF(AE391="",IF(G391&gt;0,(VLOOKUP(A391,'Discount Lookup'!J:K,2)*G391*(1-PlanterDiscount)*(1+PlanterDifficultyPercentage)),""),"")),"   not ELP, by"))))))))))))))</f>
        <v/>
      </c>
      <c r="AD391" s="712"/>
      <c r="AE391" s="513" t="str">
        <f t="shared" si="268"/>
        <v/>
      </c>
      <c r="AF391" s="713" t="str">
        <f t="shared" si="269"/>
        <v/>
      </c>
      <c r="AG391" s="713"/>
      <c r="AH391" s="713"/>
      <c r="AI391" s="112">
        <f>IF(H391="credit",0,IF(AE391="free",0,IF(AE391="me",0,IF(G391&gt;0,(VLOOKUP(A391,'Discount Lookup'!J:K,2)*G391),0))))</f>
        <v>0</v>
      </c>
      <c r="AJ391" s="107" t="str">
        <f t="shared" ca="1" si="270"/>
        <v/>
      </c>
      <c r="AK391" s="714" t="str">
        <f t="shared" si="271"/>
        <v/>
      </c>
      <c r="AL391" s="714"/>
      <c r="AM391" s="114" t="str">
        <f t="shared" si="272"/>
        <v/>
      </c>
      <c r="AN391" s="115"/>
      <c r="AO391" s="116"/>
      <c r="AP391" s="116"/>
      <c r="AQ391" s="116"/>
      <c r="AR391" s="116"/>
      <c r="AS391" s="116"/>
      <c r="AT391" s="116"/>
      <c r="AU391" s="116"/>
      <c r="AV391" s="78"/>
      <c r="AW391" s="102"/>
      <c r="AX391" s="78"/>
      <c r="AY391" s="78"/>
      <c r="AZ391" s="78"/>
      <c r="BA391" s="78"/>
      <c r="BB391" s="78"/>
      <c r="BC391" s="78"/>
      <c r="BD391" s="78"/>
      <c r="BE391" s="465"/>
      <c r="BF391" s="165" t="str">
        <f t="shared" si="273"/>
        <v>https://www.google.com/search?tbm=isch&amp;q=7%20G4</v>
      </c>
      <c r="BG391" s="165" t="str">
        <f t="shared" si="274"/>
        <v>A</v>
      </c>
      <c r="BH391" s="65"/>
      <c r="BI391" s="65"/>
      <c r="BJ391" s="65"/>
      <c r="BK391" s="65"/>
      <c r="BL391" s="99"/>
      <c r="BM391" s="99"/>
      <c r="BN391" s="99"/>
    </row>
    <row r="392" spans="1:66" s="51" customFormat="1" ht="17.25" thickBot="1" x14ac:dyDescent="0.3">
      <c r="A392" s="704" t="s">
        <v>5335</v>
      </c>
      <c r="B392" s="642"/>
      <c r="C392" s="710"/>
      <c r="D392" s="643"/>
      <c r="E392" s="643"/>
      <c r="F392" s="644"/>
      <c r="G392" s="645"/>
      <c r="H392" s="646"/>
      <c r="I392" s="647"/>
      <c r="J392" s="648"/>
      <c r="K392" s="649"/>
      <c r="L392" s="650"/>
      <c r="M392" s="650"/>
      <c r="N392" s="644"/>
      <c r="O392" s="644"/>
      <c r="P392" s="644"/>
      <c r="Q392" s="644"/>
      <c r="R392" s="644"/>
      <c r="S392" s="701" t="s">
        <v>5251</v>
      </c>
      <c r="T392" s="102">
        <f t="shared" si="262"/>
        <v>0</v>
      </c>
      <c r="U392" s="78" t="str">
        <f>IF(NOT(ISNUMBER(G392)), "", VLOOKUP(A392,'Discount Lookup'!D:E,2,FALSE)*G392)</f>
        <v/>
      </c>
      <c r="V392" s="78" t="str">
        <f>IF(NOT(ISNUMBER(G392)), "", VLOOKUP(A392,'Discount Lookup'!G:H,2,FALSE)*G392)</f>
        <v/>
      </c>
      <c r="W392" s="102">
        <f t="shared" si="263"/>
        <v>0</v>
      </c>
      <c r="X392" s="102">
        <f t="shared" si="264"/>
        <v>0</v>
      </c>
      <c r="Y392" s="120" t="b">
        <f t="shared" si="265"/>
        <v>0</v>
      </c>
      <c r="Z392" s="117">
        <f t="shared" si="266"/>
        <v>0</v>
      </c>
      <c r="AA392" s="118"/>
      <c r="AB392" s="118" t="str">
        <f t="shared" si="267"/>
        <v/>
      </c>
      <c r="AC392" s="712" t="str">
        <f>IF(AE392="T2G","no charge",IF(AND(OR(PlanterYesMe="No",PlanterYesMe="N",PlanterYesMe="me"),H392=""),"",IF(H392="credit","NO install",IF(AND(K392="",AE392="me"),"EACH row",IF(AND(K392="images",AE392="me"),"EACH row",IF(D392="","",IF(H392="credit","",IF(AE392="free","re-planting",IF(AE392="me","   not ELP, by",IF(AND(OR(PlanterYesMe="Yes",PlanterYesMe="Y"),G392&gt;0),(VLOOKUP(A392,'Discount Lookup'!J:K,2)*G392*(1-PlanterDiscount)*(1+PlanterDifficultyPercentage)),IF(AE392="ELP",(VLOOKUP(A392,'Discount Lookup'!J:K,2)*G392*(1-PlanterDiscount)*(1+PlanterDifficultyPercentage)),IF(AE392="free","re-planting",IF(G392=0,"",IF(PlanterYesMe="",IF(AE392="me","   not ELP, by",IF(AE392="",IF(G392&gt;0,(VLOOKUP(A392,'Discount Lookup'!J:K,2)*G392*(1-PlanterDiscount)*(1+PlanterDifficultyPercentage)),""),"")),"   not ELP, by"))))))))))))))</f>
        <v/>
      </c>
      <c r="AD392" s="712"/>
      <c r="AE392" s="513" t="str">
        <f t="shared" si="268"/>
        <v/>
      </c>
      <c r="AF392" s="713" t="str">
        <f t="shared" si="269"/>
        <v/>
      </c>
      <c r="AG392" s="713"/>
      <c r="AH392" s="713"/>
      <c r="AI392" s="112">
        <f>IF(H392="credit",0,IF(AE392="free",0,IF(AE392="me",0,IF(G392&gt;0,(VLOOKUP(A392,'Discount Lookup'!J:K,2)*G392),0))))</f>
        <v>0</v>
      </c>
      <c r="AJ392" s="107" t="str">
        <f t="shared" ca="1" si="270"/>
        <v/>
      </c>
      <c r="AK392" s="714" t="str">
        <f t="shared" si="271"/>
        <v/>
      </c>
      <c r="AL392" s="714"/>
      <c r="AM392" s="114" t="str">
        <f t="shared" si="272"/>
        <v/>
      </c>
      <c r="AN392" s="115"/>
      <c r="AO392" s="116"/>
      <c r="AP392" s="116"/>
      <c r="AQ392" s="116"/>
      <c r="AR392" s="116"/>
      <c r="AS392" s="116"/>
      <c r="AT392" s="116"/>
      <c r="AU392" s="116"/>
      <c r="AV392" s="78"/>
      <c r="AW392" s="102"/>
      <c r="AX392" s="78"/>
      <c r="AY392" s="78"/>
      <c r="AZ392" s="78"/>
      <c r="BA392" s="78"/>
      <c r="BB392" s="78"/>
      <c r="BC392" s="78"/>
      <c r="BD392" s="78"/>
      <c r="BE392" s="465"/>
      <c r="BF392" s="165" t="str">
        <f t="shared" si="273"/>
        <v>https://www.google.com/search?tbm=isch&amp;q=moist%20sites%F0%9F%92%A7GOOD%2C%20Red%20Chokeberry%20has%20clusters%20of%20flowers%20in%20spring%2C%20Brilliant%20Red%20fall%20foliage%2C%20and%20persistent%20Bright%20Red%20berries%20through%20winter%20</v>
      </c>
      <c r="BG392" s="165" t="str">
        <f t="shared" si="274"/>
        <v>m</v>
      </c>
      <c r="BH392" s="65"/>
      <c r="BI392" s="65"/>
      <c r="BJ392" s="65"/>
      <c r="BK392" s="65"/>
      <c r="BL392" s="99"/>
      <c r="BM392" s="99"/>
      <c r="BN392" s="99"/>
    </row>
    <row r="393" spans="1:66" s="51" customFormat="1" ht="18" x14ac:dyDescent="0.25">
      <c r="A393" s="623" t="s">
        <v>1495</v>
      </c>
      <c r="B393" s="624"/>
      <c r="C393" s="709"/>
      <c r="D393" s="625" t="s">
        <v>1496</v>
      </c>
      <c r="E393" s="626"/>
      <c r="F393" s="626"/>
      <c r="G393" s="626"/>
      <c r="H393" s="622" t="s">
        <v>348</v>
      </c>
      <c r="I393" s="627" t="s">
        <v>1493</v>
      </c>
      <c r="J393" s="628"/>
      <c r="K393" s="628"/>
      <c r="L393" s="629"/>
      <c r="M393" s="700" t="s">
        <v>5249</v>
      </c>
      <c r="N393" s="693" t="str">
        <f>IF(AND(ISTEXT($A393), ISERROR($A393+0)), HYPERLINK($BF393, "Images"), "")</f>
        <v>Images</v>
      </c>
      <c r="O393" s="695" t="s">
        <v>5247</v>
      </c>
      <c r="P393" s="630"/>
      <c r="Q393" s="631"/>
      <c r="R393" s="632"/>
      <c r="S393" s="633" t="s">
        <v>294</v>
      </c>
      <c r="T393" s="102">
        <f t="shared" si="262"/>
        <v>0</v>
      </c>
      <c r="U393" s="78" t="str">
        <f>IF(NOT(ISNUMBER(G393)), "", VLOOKUP(A393,'Discount Lookup'!D:E,2,FALSE)*G393)</f>
        <v/>
      </c>
      <c r="V393" s="78" t="str">
        <f>IF(NOT(ISNUMBER(G393)), "", VLOOKUP(A393,'Discount Lookup'!G:H,2,FALSE)*G393)</f>
        <v/>
      </c>
      <c r="W393" s="102">
        <f t="shared" si="263"/>
        <v>0</v>
      </c>
      <c r="X393" s="102" t="str">
        <f t="shared" si="264"/>
        <v>White to Pale Pink bloom</v>
      </c>
      <c r="Y393" s="120" t="b">
        <f t="shared" si="265"/>
        <v>0</v>
      </c>
      <c r="Z393" s="117">
        <f t="shared" si="266"/>
        <v>0</v>
      </c>
      <c r="AA393" s="118"/>
      <c r="AB393" s="118" t="str">
        <f t="shared" si="267"/>
        <v/>
      </c>
      <c r="AC393" s="712" t="str">
        <f>IF(AE393="T2G","no charge",IF(AND(OR(PlanterYesMe="No",PlanterYesMe="N",PlanterYesMe="me"),H393=""),"",IF(H393="credit","NO install",IF(AND(K393="",AE393="me"),"EACH row",IF(AND(K393="images",AE393="me"),"EACH row",IF(D393="","",IF(H393="credit","",IF(AE393="free","re-planting",IF(AE393="me","   not ELP, by",IF(AND(OR(PlanterYesMe="Yes",PlanterYesMe="Y"),G393&gt;0),(VLOOKUP(A393,'Discount Lookup'!J:K,2)*G393*(1-PlanterDiscount)*(1+PlanterDifficultyPercentage)),IF(AE393="ELP",(VLOOKUP(A393,'Discount Lookup'!J:K,2)*G393*(1-PlanterDiscount)*(1+PlanterDifficultyPercentage)),IF(AE393="free","re-planting",IF(G393=0,"",IF(PlanterYesMe="",IF(AE393="me","   not ELP, by",IF(AE393="",IF(G393&gt;0,(VLOOKUP(A393,'Discount Lookup'!J:K,2)*G393*(1-PlanterDiscount)*(1+PlanterDifficultyPercentage)),""),"")),"   not ELP, by"))))))))))))))</f>
        <v/>
      </c>
      <c r="AD393" s="712"/>
      <c r="AE393" s="513" t="str">
        <f t="shared" si="268"/>
        <v/>
      </c>
      <c r="AF393" s="713" t="str">
        <f t="shared" si="269"/>
        <v/>
      </c>
      <c r="AG393" s="713"/>
      <c r="AH393" s="713"/>
      <c r="AI393" s="112">
        <f>IF(H393="credit",0,IF(AE393="free",0,IF(AE393="me",0,IF(G393&gt;0,(VLOOKUP(A393,'Discount Lookup'!J:K,2)*G393),0))))</f>
        <v>0</v>
      </c>
      <c r="AJ393" s="107" t="str">
        <f t="shared" ca="1" si="270"/>
        <v/>
      </c>
      <c r="AK393" s="714" t="str">
        <f t="shared" si="271"/>
        <v/>
      </c>
      <c r="AL393" s="714"/>
      <c r="AM393" s="114" t="str">
        <f t="shared" si="272"/>
        <v/>
      </c>
      <c r="AN393" s="115"/>
      <c r="AO393" s="116"/>
      <c r="AP393" s="116"/>
      <c r="AQ393" s="116"/>
      <c r="AR393" s="116"/>
      <c r="AS393" s="116"/>
      <c r="AT393" s="116"/>
      <c r="AU393" s="116"/>
      <c r="AV393" s="78"/>
      <c r="AW393" s="102"/>
      <c r="AX393" s="78"/>
      <c r="AY393" s="78"/>
      <c r="AZ393" s="78"/>
      <c r="BA393" s="78"/>
      <c r="BB393" s="78"/>
      <c r="BC393" s="78"/>
      <c r="BD393" s="78"/>
      <c r="BE393" s="465"/>
      <c r="BF393" s="165" t="str">
        <f t="shared" si="273"/>
        <v>https://www.google.com/search?tbm=isch&amp;q=Aronia%20arbutifolia%20%27Brilliantissima%27%20Brilliant%20Red%20Chokeberry</v>
      </c>
      <c r="BG393" s="165" t="str">
        <f t="shared" si="274"/>
        <v>A</v>
      </c>
      <c r="BH393" s="65"/>
      <c r="BI393" s="65"/>
      <c r="BJ393" s="65"/>
      <c r="BK393" s="65"/>
      <c r="BL393" s="99"/>
      <c r="BM393" s="99"/>
      <c r="BN393" s="99"/>
    </row>
    <row r="394" spans="1:66" s="51" customFormat="1" ht="15.75" x14ac:dyDescent="0.25">
      <c r="A394" s="634">
        <v>3</v>
      </c>
      <c r="B394" s="635" t="s">
        <v>291</v>
      </c>
      <c r="C394" s="636" t="s">
        <v>20</v>
      </c>
      <c r="D394" s="637" t="s">
        <v>310</v>
      </c>
      <c r="E394" s="638">
        <v>25.95</v>
      </c>
      <c r="F394" s="639" t="s">
        <v>292</v>
      </c>
      <c r="G394" s="484">
        <v>0</v>
      </c>
      <c r="H394" s="691" t="str">
        <f>IF(G394=0,"",IF(F394="Buy",IF(G394=1,"plant","plants"),IF(F394&gt;0.01,"warranty","Error")))</f>
        <v/>
      </c>
      <c r="I394" s="640">
        <f>IF(H394="free",0,IF(H394="credit",((E394*(F394))*G394*-1),IF(F394="Buy",(E394*G394),((E394*(1-F394))*G394))))</f>
        <v>0</v>
      </c>
      <c r="J394" s="640">
        <f>IF(H394="warranty",0,(I394*(_xlfn.SINGLE(SalesTaxPercentage))))</f>
        <v>0</v>
      </c>
      <c r="K394" s="716">
        <f t="shared" ref="K394" si="302">I394+J394</f>
        <v>0</v>
      </c>
      <c r="L394" s="716"/>
      <c r="M394" s="689" t="str">
        <f ca="1">IF(AND(G394&gt;0,E394=0),"WARNING - no PRICE inserted",IF(H394="free","FREE ~ no charge this plant",IF(H394="credit",CONCATENATE("-$",ROUND(K394*(1-_xlfn.SINGLE(T2GDiscount))*-1,2)," CREDIT after discount"),IF(_xlfn.SINGLE(T2GDiscount)=0,"",IF(G394=0,"",IF(F394="Buy",CONCATENATE("$",ROUND(K394*(1-_xlfn.SINGLE(T2GDiscount)),2)," with ",(_xlfn.SINGLE(T2GDiscount)*100),"% discount"),CONCATENATE("$",ROUND(K394*(1-_xlfn.SINGLE(T2GDiscount)),2)," with ",((_xlfn.SINGLE(T2GDiscount)*100+F394*100)-(_xlfn.SINGLE(T2GDiscount)*100*F394)),IF(F394&gt;0,"% discounts",IF(_xlfn.SINGLE(NoWarrantyDiscount)&gt;0,"% discounts","% discount")))))))))</f>
        <v/>
      </c>
      <c r="N394" s="690"/>
      <c r="O394" s="486"/>
      <c r="P394" s="486"/>
      <c r="Q394" s="486"/>
      <c r="R394" s="486"/>
      <c r="S394" s="486"/>
      <c r="T394" s="102">
        <f t="shared" si="262"/>
        <v>0</v>
      </c>
      <c r="U394" s="78">
        <f>IF(NOT(ISNUMBER(G394)), "", VLOOKUP(A394,'Discount Lookup'!D:E,2,FALSE)*G394)</f>
        <v>0</v>
      </c>
      <c r="V394" s="78">
        <f>IF(NOT(ISNUMBER(G394)), "", VLOOKUP(A394,'Discount Lookup'!G:H,2,FALSE)*G394)</f>
        <v>0</v>
      </c>
      <c r="W394" s="102">
        <f t="shared" si="263"/>
        <v>0</v>
      </c>
      <c r="X394" s="102">
        <f t="shared" si="264"/>
        <v>0</v>
      </c>
      <c r="Y394" s="120" t="b">
        <f t="shared" si="265"/>
        <v>0</v>
      </c>
      <c r="Z394" s="117">
        <f t="shared" si="266"/>
        <v>0</v>
      </c>
      <c r="AA394" s="118"/>
      <c r="AB394" s="118" t="str">
        <f t="shared" si="267"/>
        <v/>
      </c>
      <c r="AC394" s="712" t="str">
        <f>IF(AE394="T2G","no charge",IF(AND(OR(PlanterYesMe="No",PlanterYesMe="N",PlanterYesMe="me"),H394=""),"",IF(H394="credit","NO install",IF(AND(K394="",AE394="me"),"EACH row",IF(AND(K394="images",AE394="me"),"EACH row",IF(D394="","",IF(H394="credit","",IF(AE394="free","re-planting",IF(AE394="me","   not ELP, by",IF(AND(OR(PlanterYesMe="Yes",PlanterYesMe="Y"),G394&gt;0),(VLOOKUP(A394,'Discount Lookup'!J:K,2)*G394*(1-PlanterDiscount)*(1+PlanterDifficultyPercentage)),IF(AE394="ELP",(VLOOKUP(A394,'Discount Lookup'!J:K,2)*G394*(1-PlanterDiscount)*(1+PlanterDifficultyPercentage)),IF(AE394="free","re-planting",IF(G394=0,"",IF(PlanterYesMe="",IF(AE394="me","   not ELP, by",IF(AE394="",IF(G394&gt;0,(VLOOKUP(A394,'Discount Lookup'!J:K,2)*G394*(1-PlanterDiscount)*(1+PlanterDifficultyPercentage)),""),"")),"   not ELP, by"))))))))))))))</f>
        <v/>
      </c>
      <c r="AD394" s="712"/>
      <c r="AE394" s="513" t="str">
        <f t="shared" si="268"/>
        <v/>
      </c>
      <c r="AF394" s="713" t="str">
        <f t="shared" si="269"/>
        <v/>
      </c>
      <c r="AG394" s="713"/>
      <c r="AH394" s="713"/>
      <c r="AI394" s="112">
        <f>IF(H394="credit",0,IF(AE394="free",0,IF(AE394="me",0,IF(G394&gt;0,(VLOOKUP(A394,'Discount Lookup'!J:K,2)*G394),0))))</f>
        <v>0</v>
      </c>
      <c r="AJ394" s="107" t="str">
        <f t="shared" ca="1" si="270"/>
        <v/>
      </c>
      <c r="AK394" s="714" t="str">
        <f t="shared" si="271"/>
        <v/>
      </c>
      <c r="AL394" s="714"/>
      <c r="AM394" s="114" t="str">
        <f t="shared" si="272"/>
        <v/>
      </c>
      <c r="AN394" s="115"/>
      <c r="AO394" s="116"/>
      <c r="AP394" s="116"/>
      <c r="AQ394" s="116"/>
      <c r="AR394" s="116"/>
      <c r="AS394" s="116"/>
      <c r="AT394" s="116"/>
      <c r="AU394" s="116"/>
      <c r="AV394" s="78"/>
      <c r="AW394" s="102"/>
      <c r="AX394" s="78"/>
      <c r="AY394" s="78"/>
      <c r="AZ394" s="78"/>
      <c r="BA394" s="78"/>
      <c r="BB394" s="78"/>
      <c r="BC394" s="78"/>
      <c r="BD394" s="78"/>
      <c r="BE394" s="465"/>
      <c r="BF394" s="165" t="str">
        <f t="shared" si="273"/>
        <v>https://www.google.com/search?tbm=isch&amp;q=3%20G1</v>
      </c>
      <c r="BG394" s="165" t="str">
        <f t="shared" si="274"/>
        <v>A</v>
      </c>
      <c r="BH394" s="65"/>
      <c r="BI394" s="65"/>
      <c r="BJ394" s="65"/>
      <c r="BK394" s="65"/>
      <c r="BL394" s="99"/>
      <c r="BM394" s="99"/>
      <c r="BN394" s="99"/>
    </row>
    <row r="395" spans="1:66" s="51" customFormat="1" ht="17.25" thickBot="1" x14ac:dyDescent="0.3">
      <c r="A395" s="704" t="s">
        <v>5336</v>
      </c>
      <c r="B395" s="642"/>
      <c r="C395" s="710"/>
      <c r="D395" s="643"/>
      <c r="E395" s="643"/>
      <c r="F395" s="644"/>
      <c r="G395" s="645"/>
      <c r="H395" s="646"/>
      <c r="I395" s="647"/>
      <c r="J395" s="648"/>
      <c r="K395" s="649"/>
      <c r="L395" s="650"/>
      <c r="M395" s="650"/>
      <c r="N395" s="644"/>
      <c r="O395" s="644"/>
      <c r="P395" s="644"/>
      <c r="Q395" s="644"/>
      <c r="R395" s="644"/>
      <c r="S395" s="701" t="s">
        <v>5251</v>
      </c>
      <c r="T395" s="102">
        <f t="shared" si="262"/>
        <v>0</v>
      </c>
      <c r="U395" s="78" t="str">
        <f>IF(NOT(ISNUMBER(G395)), "", VLOOKUP(A395,'Discount Lookup'!D:E,2,FALSE)*G395)</f>
        <v/>
      </c>
      <c r="V395" s="78" t="str">
        <f>IF(NOT(ISNUMBER(G395)), "", VLOOKUP(A395,'Discount Lookup'!G:H,2,FALSE)*G395)</f>
        <v/>
      </c>
      <c r="W395" s="102">
        <f t="shared" si="263"/>
        <v>0</v>
      </c>
      <c r="X395" s="102">
        <f t="shared" si="264"/>
        <v>0</v>
      </c>
      <c r="Y395" s="120" t="b">
        <f t="shared" si="265"/>
        <v>0</v>
      </c>
      <c r="Z395" s="117">
        <f t="shared" si="266"/>
        <v>0</v>
      </c>
      <c r="AA395" s="118"/>
      <c r="AB395" s="118" t="str">
        <f t="shared" si="267"/>
        <v/>
      </c>
      <c r="AC395" s="712" t="str">
        <f>IF(AE395="T2G","no charge",IF(AND(OR(PlanterYesMe="No",PlanterYesMe="N",PlanterYesMe="me"),H395=""),"",IF(H395="credit","NO install",IF(AND(K395="",AE395="me"),"EACH row",IF(AND(K395="images",AE395="me"),"EACH row",IF(D395="","",IF(H395="credit","",IF(AE395="free","re-planting",IF(AE395="me","   not ELP, by",IF(AND(OR(PlanterYesMe="Yes",PlanterYesMe="Y"),G395&gt;0),(VLOOKUP(A395,'Discount Lookup'!J:K,2)*G395*(1-PlanterDiscount)*(1+PlanterDifficultyPercentage)),IF(AE395="ELP",(VLOOKUP(A395,'Discount Lookup'!J:K,2)*G395*(1-PlanterDiscount)*(1+PlanterDifficultyPercentage)),IF(AE395="free","re-planting",IF(G395=0,"",IF(PlanterYesMe="",IF(AE395="me","   not ELP, by",IF(AE395="",IF(G395&gt;0,(VLOOKUP(A395,'Discount Lookup'!J:K,2)*G395*(1-PlanterDiscount)*(1+PlanterDifficultyPercentage)),""),"")),"   not ELP, by"))))))))))))))</f>
        <v/>
      </c>
      <c r="AD395" s="712"/>
      <c r="AE395" s="513" t="str">
        <f t="shared" si="268"/>
        <v/>
      </c>
      <c r="AF395" s="713" t="str">
        <f t="shared" si="269"/>
        <v/>
      </c>
      <c r="AG395" s="713"/>
      <c r="AH395" s="713"/>
      <c r="AI395" s="112">
        <f>IF(H395="credit",0,IF(AE395="free",0,IF(AE395="me",0,IF(G395&gt;0,(VLOOKUP(A395,'Discount Lookup'!J:K,2)*G395),0))))</f>
        <v>0</v>
      </c>
      <c r="AJ395" s="107" t="str">
        <f t="shared" ca="1" si="270"/>
        <v/>
      </c>
      <c r="AK395" s="714" t="str">
        <f t="shared" si="271"/>
        <v/>
      </c>
      <c r="AL395" s="714"/>
      <c r="AM395" s="114" t="str">
        <f t="shared" si="272"/>
        <v/>
      </c>
      <c r="AN395" s="115"/>
      <c r="AO395" s="116"/>
      <c r="AP395" s="116"/>
      <c r="AQ395" s="116"/>
      <c r="AR395" s="116"/>
      <c r="AS395" s="116"/>
      <c r="AT395" s="116"/>
      <c r="AU395" s="116"/>
      <c r="AV395" s="78"/>
      <c r="AW395" s="102"/>
      <c r="AX395" s="78"/>
      <c r="AY395" s="78"/>
      <c r="AZ395" s="78"/>
      <c r="BA395" s="78"/>
      <c r="BB395" s="78"/>
      <c r="BC395" s="78"/>
      <c r="BD395" s="78"/>
      <c r="BE395" s="465"/>
      <c r="BF395" s="165" t="str">
        <f t="shared" si="273"/>
        <v>https://www.google.com/search?tbm=isch&amp;q=moist%20sites%F0%9F%92%A7GOOD%2C%20Brilliant%20Red%20has%20superior%20Red%20fall%20color%20and%20larger%2C%20more%20numerous%20glossy%20berries%20than%20Red%20Chokeberry%20</v>
      </c>
      <c r="BG395" s="165" t="str">
        <f t="shared" si="274"/>
        <v>m</v>
      </c>
      <c r="BH395" s="65"/>
      <c r="BI395" s="65"/>
      <c r="BJ395" s="65"/>
      <c r="BK395" s="65"/>
      <c r="BL395" s="99"/>
      <c r="BM395" s="99"/>
      <c r="BN395" s="99"/>
    </row>
    <row r="396" spans="1:66" s="51" customFormat="1" ht="18" x14ac:dyDescent="0.25">
      <c r="A396" s="623" t="s">
        <v>1497</v>
      </c>
      <c r="B396" s="624"/>
      <c r="C396" s="709"/>
      <c r="D396" s="625" t="s">
        <v>5860</v>
      </c>
      <c r="E396" s="626"/>
      <c r="F396" s="626"/>
      <c r="G396" s="626"/>
      <c r="H396" s="622" t="s">
        <v>1498</v>
      </c>
      <c r="I396" s="627" t="s">
        <v>349</v>
      </c>
      <c r="J396" s="628"/>
      <c r="K396" s="628"/>
      <c r="L396" s="629"/>
      <c r="M396" s="700" t="s">
        <v>5249</v>
      </c>
      <c r="N396" s="693" t="str">
        <f>IF(AND(ISTEXT($A396), ISERROR($A396+0)), HYPERLINK($BF396, "Images"), "")</f>
        <v>Images</v>
      </c>
      <c r="O396" s="695" t="s">
        <v>5247</v>
      </c>
      <c r="P396" s="630"/>
      <c r="Q396" s="631"/>
      <c r="R396" s="632"/>
      <c r="S396" s="633" t="s">
        <v>294</v>
      </c>
      <c r="T396" s="102">
        <f t="shared" si="262"/>
        <v>0</v>
      </c>
      <c r="U396" s="78" t="str">
        <f>IF(NOT(ISNUMBER(G396)), "", VLOOKUP(A396,'Discount Lookup'!D:E,2,FALSE)*G396)</f>
        <v/>
      </c>
      <c r="V396" s="78" t="str">
        <f>IF(NOT(ISNUMBER(G396)), "", VLOOKUP(A396,'Discount Lookup'!G:H,2,FALSE)*G396)</f>
        <v/>
      </c>
      <c r="W396" s="102">
        <f t="shared" si="263"/>
        <v>0</v>
      </c>
      <c r="X396" s="102" t="str">
        <f t="shared" si="264"/>
        <v>White bloom</v>
      </c>
      <c r="Y396" s="120" t="b">
        <f t="shared" si="265"/>
        <v>0</v>
      </c>
      <c r="Z396" s="117">
        <f t="shared" si="266"/>
        <v>0</v>
      </c>
      <c r="AA396" s="118"/>
      <c r="AB396" s="118" t="str">
        <f t="shared" si="267"/>
        <v/>
      </c>
      <c r="AC396" s="712" t="str">
        <f>IF(AE396="T2G","no charge",IF(AND(OR(PlanterYesMe="No",PlanterYesMe="N",PlanterYesMe="me"),H396=""),"",IF(H396="credit","NO install",IF(AND(K396="",AE396="me"),"EACH row",IF(AND(K396="images",AE396="me"),"EACH row",IF(D396="","",IF(H396="credit","",IF(AE396="free","re-planting",IF(AE396="me","   not ELP, by",IF(AND(OR(PlanterYesMe="Yes",PlanterYesMe="Y"),G396&gt;0),(VLOOKUP(A396,'Discount Lookup'!J:K,2)*G396*(1-PlanterDiscount)*(1+PlanterDifficultyPercentage)),IF(AE396="ELP",(VLOOKUP(A396,'Discount Lookup'!J:K,2)*G396*(1-PlanterDiscount)*(1+PlanterDifficultyPercentage)),IF(AE396="free","re-planting",IF(G396=0,"",IF(PlanterYesMe="",IF(AE396="me","   not ELP, by",IF(AE396="",IF(G396&gt;0,(VLOOKUP(A396,'Discount Lookup'!J:K,2)*G396*(1-PlanterDiscount)*(1+PlanterDifficultyPercentage)),""),"")),"   not ELP, by"))))))))))))))</f>
        <v/>
      </c>
      <c r="AD396" s="712"/>
      <c r="AE396" s="513" t="str">
        <f t="shared" si="268"/>
        <v/>
      </c>
      <c r="AF396" s="713" t="str">
        <f t="shared" si="269"/>
        <v/>
      </c>
      <c r="AG396" s="713"/>
      <c r="AH396" s="713"/>
      <c r="AI396" s="112">
        <f>IF(H396="credit",0,IF(AE396="free",0,IF(AE396="me",0,IF(G396&gt;0,(VLOOKUP(A396,'Discount Lookup'!J:K,2)*G396),0))))</f>
        <v>0</v>
      </c>
      <c r="AJ396" s="107" t="str">
        <f t="shared" ca="1" si="270"/>
        <v/>
      </c>
      <c r="AK396" s="714" t="str">
        <f t="shared" si="271"/>
        <v/>
      </c>
      <c r="AL396" s="714"/>
      <c r="AM396" s="114" t="str">
        <f t="shared" si="272"/>
        <v/>
      </c>
      <c r="AN396" s="115"/>
      <c r="AO396" s="116"/>
      <c r="AP396" s="116"/>
      <c r="AQ396" s="116"/>
      <c r="AR396" s="116"/>
      <c r="AS396" s="116"/>
      <c r="AT396" s="116"/>
      <c r="AU396" s="116"/>
      <c r="AV396" s="78"/>
      <c r="AW396" s="102"/>
      <c r="AX396" s="78"/>
      <c r="AY396" s="78"/>
      <c r="AZ396" s="78"/>
      <c r="BA396" s="78"/>
      <c r="BB396" s="78"/>
      <c r="BC396" s="78"/>
      <c r="BD396" s="78"/>
      <c r="BE396" s="465"/>
      <c r="BF396" s="165" t="str">
        <f t="shared" si="273"/>
        <v>https://www.google.com/search?tbm=isch&amp;q=Aronia%20melanocarpa%20%27SMNAMPEM%27%20PP%2334116%20Low%20Scape%20Snowfire%C2%AE%20Chokeberry%20%28PW%C2%AE%29</v>
      </c>
      <c r="BG396" s="165" t="str">
        <f t="shared" si="274"/>
        <v>A</v>
      </c>
      <c r="BH396" s="65"/>
      <c r="BI396" s="65"/>
      <c r="BJ396" s="65"/>
      <c r="BK396" s="65"/>
      <c r="BL396" s="99"/>
      <c r="BM396" s="99"/>
      <c r="BN396" s="99"/>
    </row>
    <row r="397" spans="1:66" s="51" customFormat="1" ht="15.75" x14ac:dyDescent="0.25">
      <c r="A397" s="634">
        <v>1</v>
      </c>
      <c r="B397" s="635" t="s">
        <v>291</v>
      </c>
      <c r="C397" s="636" t="s">
        <v>1499</v>
      </c>
      <c r="D397" s="637" t="s">
        <v>329</v>
      </c>
      <c r="E397" s="638">
        <v>32.950000000000003</v>
      </c>
      <c r="F397" s="639" t="s">
        <v>292</v>
      </c>
      <c r="G397" s="484">
        <v>0</v>
      </c>
      <c r="H397" s="691" t="str">
        <f>IF(G397=0,"",IF(F397="Buy",IF(G397=1,"plant","plants"),IF(F397&gt;0.01,"warranty","Error")))</f>
        <v/>
      </c>
      <c r="I397" s="640">
        <f>IF(H397="free",0,IF(H397="credit",((E397*(F397))*G397*-1),IF(F397="Buy",(E397*G397),((E397*(1-F397))*G397))))</f>
        <v>0</v>
      </c>
      <c r="J397" s="640">
        <f>IF(H397="warranty",0,(I397*(_xlfn.SINGLE(SalesTaxPercentage))))</f>
        <v>0</v>
      </c>
      <c r="K397" s="716">
        <f t="shared" ref="K397" si="303">I397+J397</f>
        <v>0</v>
      </c>
      <c r="L397" s="716"/>
      <c r="M397" s="689" t="str">
        <f ca="1">IF(AND(G397&gt;0,E397=0),"WARNING - no PRICE inserted",IF(H397="free","FREE ~ no charge this plant",IF(H397="credit",CONCATENATE("-$",ROUND(K397*(1-_xlfn.SINGLE(T2GDiscount))*-1,2)," CREDIT after discount"),IF(_xlfn.SINGLE(T2GDiscount)=0,"",IF(G397=0,"",IF(F397="Buy",CONCATENATE("$",ROUND(K397*(1-_xlfn.SINGLE(T2GDiscount)),2)," with ",(_xlfn.SINGLE(T2GDiscount)*100),"% discount"),CONCATENATE("$",ROUND(K397*(1-_xlfn.SINGLE(T2GDiscount)),2)," with ",((_xlfn.SINGLE(T2GDiscount)*100+F397*100)-(_xlfn.SINGLE(T2GDiscount)*100*F397)),IF(F397&gt;0,"% discounts",IF(_xlfn.SINGLE(NoWarrantyDiscount)&gt;0,"% discounts","% discount")))))))))</f>
        <v/>
      </c>
      <c r="N397" s="690"/>
      <c r="O397" s="486"/>
      <c r="P397" s="486"/>
      <c r="Q397" s="486"/>
      <c r="R397" s="486"/>
      <c r="S397" s="486"/>
      <c r="T397" s="102">
        <f t="shared" si="262"/>
        <v>0</v>
      </c>
      <c r="U397" s="78">
        <f>IF(NOT(ISNUMBER(G397)), "", VLOOKUP(A397,'Discount Lookup'!D:E,2,FALSE)*G397)</f>
        <v>0</v>
      </c>
      <c r="V397" s="78">
        <f>IF(NOT(ISNUMBER(G397)), "", VLOOKUP(A397,'Discount Lookup'!G:H,2,FALSE)*G397)</f>
        <v>0</v>
      </c>
      <c r="W397" s="102">
        <f t="shared" si="263"/>
        <v>0</v>
      </c>
      <c r="X397" s="102">
        <f t="shared" si="264"/>
        <v>0</v>
      </c>
      <c r="Y397" s="120" t="b">
        <f t="shared" si="265"/>
        <v>0</v>
      </c>
      <c r="Z397" s="117">
        <f t="shared" si="266"/>
        <v>0</v>
      </c>
      <c r="AA397" s="118"/>
      <c r="AB397" s="118" t="str">
        <f t="shared" si="267"/>
        <v/>
      </c>
      <c r="AC397" s="712" t="str">
        <f>IF(AE397="T2G","no charge",IF(AND(OR(PlanterYesMe="No",PlanterYesMe="N",PlanterYesMe="me"),H397=""),"",IF(H397="credit","NO install",IF(AND(K397="",AE397="me"),"EACH row",IF(AND(K397="images",AE397="me"),"EACH row",IF(D397="","",IF(H397="credit","",IF(AE397="free","re-planting",IF(AE397="me","   not ELP, by",IF(AND(OR(PlanterYesMe="Yes",PlanterYesMe="Y"),G397&gt;0),(VLOOKUP(A397,'Discount Lookup'!J:K,2)*G397*(1-PlanterDiscount)*(1+PlanterDifficultyPercentage)),IF(AE397="ELP",(VLOOKUP(A397,'Discount Lookup'!J:K,2)*G397*(1-PlanterDiscount)*(1+PlanterDifficultyPercentage)),IF(AE397="free","re-planting",IF(G397=0,"",IF(PlanterYesMe="",IF(AE397="me","   not ELP, by",IF(AE397="",IF(G397&gt;0,(VLOOKUP(A397,'Discount Lookup'!J:K,2)*G397*(1-PlanterDiscount)*(1+PlanterDifficultyPercentage)),""),"")),"   not ELP, by"))))))))))))))</f>
        <v/>
      </c>
      <c r="AD397" s="712"/>
      <c r="AE397" s="513" t="str">
        <f t="shared" si="268"/>
        <v/>
      </c>
      <c r="AF397" s="713" t="str">
        <f t="shared" si="269"/>
        <v/>
      </c>
      <c r="AG397" s="713"/>
      <c r="AH397" s="713"/>
      <c r="AI397" s="112">
        <f>IF(H397="credit",0,IF(AE397="free",0,IF(AE397="me",0,IF(G397&gt;0,(VLOOKUP(A397,'Discount Lookup'!J:K,2)*G397),0))))</f>
        <v>0</v>
      </c>
      <c r="AJ397" s="107" t="str">
        <f t="shared" ca="1" si="270"/>
        <v/>
      </c>
      <c r="AK397" s="714" t="str">
        <f t="shared" si="271"/>
        <v/>
      </c>
      <c r="AL397" s="714"/>
      <c r="AM397" s="114" t="str">
        <f t="shared" si="272"/>
        <v/>
      </c>
      <c r="AN397" s="115"/>
      <c r="AO397" s="116"/>
      <c r="AP397" s="116"/>
      <c r="AQ397" s="116"/>
      <c r="AR397" s="116"/>
      <c r="AS397" s="116"/>
      <c r="AT397" s="116"/>
      <c r="AU397" s="116"/>
      <c r="AV397" s="78"/>
      <c r="AW397" s="102"/>
      <c r="AX397" s="78"/>
      <c r="AY397" s="78"/>
      <c r="AZ397" s="78"/>
      <c r="BA397" s="78"/>
      <c r="BB397" s="78"/>
      <c r="BC397" s="78"/>
      <c r="BD397" s="78"/>
      <c r="BE397" s="465"/>
      <c r="BF397" s="165" t="str">
        <f t="shared" si="273"/>
        <v>https://www.google.com/search?tbm=isch&amp;q=1%20G2</v>
      </c>
      <c r="BG397" s="165" t="str">
        <f t="shared" si="274"/>
        <v>A</v>
      </c>
      <c r="BH397" s="65"/>
      <c r="BI397" s="65"/>
      <c r="BJ397" s="65"/>
      <c r="BK397" s="65"/>
      <c r="BL397" s="99"/>
      <c r="BM397" s="99"/>
      <c r="BN397" s="99"/>
    </row>
    <row r="398" spans="1:66" s="51" customFormat="1" ht="17.25" thickBot="1" x14ac:dyDescent="0.3">
      <c r="A398" s="704" t="s">
        <v>5337</v>
      </c>
      <c r="B398" s="642"/>
      <c r="C398" s="710"/>
      <c r="D398" s="643"/>
      <c r="E398" s="643"/>
      <c r="F398" s="644"/>
      <c r="G398" s="645"/>
      <c r="H398" s="646"/>
      <c r="I398" s="647"/>
      <c r="J398" s="648"/>
      <c r="K398" s="649"/>
      <c r="L398" s="650"/>
      <c r="M398" s="650"/>
      <c r="N398" s="644"/>
      <c r="O398" s="644"/>
      <c r="P398" s="644"/>
      <c r="Q398" s="644"/>
      <c r="R398" s="644"/>
      <c r="S398" s="701" t="s">
        <v>5262</v>
      </c>
      <c r="T398" s="102">
        <f t="shared" si="262"/>
        <v>0</v>
      </c>
      <c r="U398" s="78" t="str">
        <f>IF(NOT(ISNUMBER(G398)), "", VLOOKUP(A398,'Discount Lookup'!D:E,2,FALSE)*G398)</f>
        <v/>
      </c>
      <c r="V398" s="78" t="str">
        <f>IF(NOT(ISNUMBER(G398)), "", VLOOKUP(A398,'Discount Lookup'!G:H,2,FALSE)*G398)</f>
        <v/>
      </c>
      <c r="W398" s="102">
        <f t="shared" si="263"/>
        <v>0</v>
      </c>
      <c r="X398" s="102">
        <f t="shared" si="264"/>
        <v>0</v>
      </c>
      <c r="Y398" s="120" t="b">
        <f t="shared" si="265"/>
        <v>0</v>
      </c>
      <c r="Z398" s="117">
        <f t="shared" si="266"/>
        <v>0</v>
      </c>
      <c r="AA398" s="118"/>
      <c r="AB398" s="118" t="str">
        <f t="shared" si="267"/>
        <v/>
      </c>
      <c r="AC398" s="712" t="str">
        <f>IF(AE398="T2G","no charge",IF(AND(OR(PlanterYesMe="No",PlanterYesMe="N",PlanterYesMe="me"),H398=""),"",IF(H398="credit","NO install",IF(AND(K398="",AE398="me"),"EACH row",IF(AND(K398="images",AE398="me"),"EACH row",IF(D398="","",IF(H398="credit","",IF(AE398="free","re-planting",IF(AE398="me","   not ELP, by",IF(AND(OR(PlanterYesMe="Yes",PlanterYesMe="Y"),G398&gt;0),(VLOOKUP(A398,'Discount Lookup'!J:K,2)*G398*(1-PlanterDiscount)*(1+PlanterDifficultyPercentage)),IF(AE398="ELP",(VLOOKUP(A398,'Discount Lookup'!J:K,2)*G398*(1-PlanterDiscount)*(1+PlanterDifficultyPercentage)),IF(AE398="free","re-planting",IF(G398=0,"",IF(PlanterYesMe="",IF(AE398="me","   not ELP, by",IF(AE398="",IF(G398&gt;0,(VLOOKUP(A398,'Discount Lookup'!J:K,2)*G398*(1-PlanterDiscount)*(1+PlanterDifficultyPercentage)),""),"")),"   not ELP, by"))))))))))))))</f>
        <v/>
      </c>
      <c r="AD398" s="712"/>
      <c r="AE398" s="513" t="str">
        <f t="shared" si="268"/>
        <v/>
      </c>
      <c r="AF398" s="713" t="str">
        <f t="shared" si="269"/>
        <v/>
      </c>
      <c r="AG398" s="713"/>
      <c r="AH398" s="713"/>
      <c r="AI398" s="112">
        <f>IF(H398="credit",0,IF(AE398="free",0,IF(AE398="me",0,IF(G398&gt;0,(VLOOKUP(A398,'Discount Lookup'!J:K,2)*G398),0))))</f>
        <v>0</v>
      </c>
      <c r="AJ398" s="107" t="str">
        <f t="shared" ca="1" si="270"/>
        <v/>
      </c>
      <c r="AK398" s="714" t="str">
        <f t="shared" si="271"/>
        <v/>
      </c>
      <c r="AL398" s="714"/>
      <c r="AM398" s="114" t="str">
        <f t="shared" si="272"/>
        <v/>
      </c>
      <c r="AN398" s="115"/>
      <c r="AO398" s="116"/>
      <c r="AP398" s="116"/>
      <c r="AQ398" s="116"/>
      <c r="AR398" s="116"/>
      <c r="AS398" s="116"/>
      <c r="AT398" s="116"/>
      <c r="AU398" s="116"/>
      <c r="AV398" s="78"/>
      <c r="AW398" s="102"/>
      <c r="AX398" s="78"/>
      <c r="AY398" s="78"/>
      <c r="AZ398" s="78"/>
      <c r="BA398" s="78"/>
      <c r="BB398" s="78"/>
      <c r="BC398" s="78"/>
      <c r="BD398" s="78"/>
      <c r="BE398" s="465"/>
      <c r="BF398" s="165" t="str">
        <f t="shared" si="273"/>
        <v>https://www.google.com/search?tbm=isch&amp;q=moist%20sites%F0%9F%92%A7GOOD%2C%20Low%20Scape%20Snowfire%20valued%20for%20its%20spring%20flowers%2C%20brilliant%20Red%20fall%20foliage%2C%20and%20persistent%20Black%20berries%20</v>
      </c>
      <c r="BG398" s="165" t="str">
        <f t="shared" si="274"/>
        <v>m</v>
      </c>
      <c r="BH398" s="65"/>
      <c r="BI398" s="65"/>
      <c r="BJ398" s="65"/>
      <c r="BK398" s="65"/>
      <c r="BL398" s="99"/>
      <c r="BM398" s="99"/>
      <c r="BN398" s="99"/>
    </row>
    <row r="399" spans="1:66" s="51" customFormat="1" ht="18" x14ac:dyDescent="0.25">
      <c r="A399" s="623" t="s">
        <v>1500</v>
      </c>
      <c r="B399" s="624"/>
      <c r="C399" s="709"/>
      <c r="D399" s="625" t="s">
        <v>5861</v>
      </c>
      <c r="E399" s="626"/>
      <c r="F399" s="626"/>
      <c r="G399" s="626"/>
      <c r="H399" s="622" t="s">
        <v>1501</v>
      </c>
      <c r="I399" s="627" t="s">
        <v>349</v>
      </c>
      <c r="J399" s="628"/>
      <c r="K399" s="628"/>
      <c r="L399" s="629"/>
      <c r="M399" s="700" t="s">
        <v>5249</v>
      </c>
      <c r="N399" s="693" t="str">
        <f>IF(AND(ISTEXT($A399), ISERROR($A399+0)), HYPERLINK($BF399, "Images"), "")</f>
        <v>Images</v>
      </c>
      <c r="O399" s="695" t="s">
        <v>5247</v>
      </c>
      <c r="P399" s="630"/>
      <c r="Q399" s="631"/>
      <c r="R399" s="632"/>
      <c r="S399" s="633" t="s">
        <v>294</v>
      </c>
      <c r="T399" s="102">
        <f t="shared" si="262"/>
        <v>0</v>
      </c>
      <c r="U399" s="78" t="str">
        <f>IF(NOT(ISNUMBER(G399)), "", VLOOKUP(A399,'Discount Lookup'!D:E,2,FALSE)*G399)</f>
        <v/>
      </c>
      <c r="V399" s="78" t="str">
        <f>IF(NOT(ISNUMBER(G399)), "", VLOOKUP(A399,'Discount Lookup'!G:H,2,FALSE)*G399)</f>
        <v/>
      </c>
      <c r="W399" s="102">
        <f t="shared" si="263"/>
        <v>0</v>
      </c>
      <c r="X399" s="102" t="str">
        <f t="shared" si="264"/>
        <v>White bloom</v>
      </c>
      <c r="Y399" s="120" t="b">
        <f t="shared" si="265"/>
        <v>0</v>
      </c>
      <c r="Z399" s="117">
        <f t="shared" si="266"/>
        <v>0</v>
      </c>
      <c r="AA399" s="118"/>
      <c r="AB399" s="118" t="str">
        <f t="shared" si="267"/>
        <v/>
      </c>
      <c r="AC399" s="712" t="str">
        <f>IF(AE399="T2G","no charge",IF(AND(OR(PlanterYesMe="No",PlanterYesMe="N",PlanterYesMe="me"),H399=""),"",IF(H399="credit","NO install",IF(AND(K399="",AE399="me"),"EACH row",IF(AND(K399="images",AE399="me"),"EACH row",IF(D399="","",IF(H399="credit","",IF(AE399="free","re-planting",IF(AE399="me","   not ELP, by",IF(AND(OR(PlanterYesMe="Yes",PlanterYesMe="Y"),G399&gt;0),(VLOOKUP(A399,'Discount Lookup'!J:K,2)*G399*(1-PlanterDiscount)*(1+PlanterDifficultyPercentage)),IF(AE399="ELP",(VLOOKUP(A399,'Discount Lookup'!J:K,2)*G399*(1-PlanterDiscount)*(1+PlanterDifficultyPercentage)),IF(AE399="free","re-planting",IF(G399=0,"",IF(PlanterYesMe="",IF(AE399="me","   not ELP, by",IF(AE399="",IF(G399&gt;0,(VLOOKUP(A399,'Discount Lookup'!J:K,2)*G399*(1-PlanterDiscount)*(1+PlanterDifficultyPercentage)),""),"")),"   not ELP, by"))))))))))))))</f>
        <v/>
      </c>
      <c r="AD399" s="712"/>
      <c r="AE399" s="513" t="str">
        <f t="shared" si="268"/>
        <v/>
      </c>
      <c r="AF399" s="713" t="str">
        <f t="shared" si="269"/>
        <v/>
      </c>
      <c r="AG399" s="713"/>
      <c r="AH399" s="713"/>
      <c r="AI399" s="112">
        <f>IF(H399="credit",0,IF(AE399="free",0,IF(AE399="me",0,IF(G399&gt;0,(VLOOKUP(A399,'Discount Lookup'!J:K,2)*G399),0))))</f>
        <v>0</v>
      </c>
      <c r="AJ399" s="107" t="str">
        <f t="shared" ca="1" si="270"/>
        <v/>
      </c>
      <c r="AK399" s="714" t="str">
        <f t="shared" si="271"/>
        <v/>
      </c>
      <c r="AL399" s="714"/>
      <c r="AM399" s="114" t="str">
        <f t="shared" si="272"/>
        <v/>
      </c>
      <c r="AN399" s="115"/>
      <c r="AO399" s="116"/>
      <c r="AP399" s="116"/>
      <c r="AQ399" s="116"/>
      <c r="AR399" s="116"/>
      <c r="AS399" s="116"/>
      <c r="AT399" s="116"/>
      <c r="AU399" s="116"/>
      <c r="AV399" s="78"/>
      <c r="AW399" s="102"/>
      <c r="AX399" s="78"/>
      <c r="AY399" s="78"/>
      <c r="AZ399" s="78"/>
      <c r="BA399" s="78"/>
      <c r="BB399" s="78"/>
      <c r="BC399" s="78"/>
      <c r="BD399" s="78"/>
      <c r="BE399" s="465"/>
      <c r="BF399" s="165" t="str">
        <f t="shared" si="273"/>
        <v>https://www.google.com/search?tbm=isch&amp;q=Aronia%20melanocarpa%20%27UCONNAM165%27%20PP%2328789%20Low%20Scape%20Mound%C2%AE%20Aronia%20%28PW%C2%AE%29</v>
      </c>
      <c r="BG399" s="165" t="str">
        <f t="shared" si="274"/>
        <v>A</v>
      </c>
      <c r="BH399" s="65"/>
      <c r="BI399" s="65"/>
      <c r="BJ399" s="65"/>
      <c r="BK399" s="65"/>
      <c r="BL399" s="99"/>
      <c r="BM399" s="99"/>
      <c r="BN399" s="99"/>
    </row>
    <row r="400" spans="1:66" s="51" customFormat="1" ht="15.75" x14ac:dyDescent="0.25">
      <c r="A400" s="634">
        <v>3</v>
      </c>
      <c r="B400" s="635" t="s">
        <v>291</v>
      </c>
      <c r="C400" s="636"/>
      <c r="D400" s="637" t="s">
        <v>310</v>
      </c>
      <c r="E400" s="638">
        <v>39.950000000000003</v>
      </c>
      <c r="F400" s="639" t="s">
        <v>292</v>
      </c>
      <c r="G400" s="484">
        <v>0</v>
      </c>
      <c r="H400" s="691" t="str">
        <f>IF(G400=0,"",IF(F400="Buy",IF(G400=1,"plant","plants"),IF(F400&gt;0.01,"warranty","Error")))</f>
        <v/>
      </c>
      <c r="I400" s="640">
        <f>IF(H400="free",0,IF(H400="credit",((E400*(F400))*G400*-1),IF(F400="Buy",(E400*G400),((E400*(1-F400))*G400))))</f>
        <v>0</v>
      </c>
      <c r="J400" s="640">
        <f>IF(H400="warranty",0,(I400*(_xlfn.SINGLE(SalesTaxPercentage))))</f>
        <v>0</v>
      </c>
      <c r="K400" s="716">
        <f t="shared" ref="K400" si="304">I400+J400</f>
        <v>0</v>
      </c>
      <c r="L400" s="716"/>
      <c r="M400" s="689" t="str">
        <f ca="1">IF(AND(G400&gt;0,E400=0),"WARNING - no PRICE inserted",IF(H400="free","FREE ~ no charge this plant",IF(H400="credit",CONCATENATE("-$",ROUND(K400*(1-_xlfn.SINGLE(T2GDiscount))*-1,2)," CREDIT after discount"),IF(_xlfn.SINGLE(T2GDiscount)=0,"",IF(G400=0,"",IF(F400="Buy",CONCATENATE("$",ROUND(K400*(1-_xlfn.SINGLE(T2GDiscount)),2)," with ",(_xlfn.SINGLE(T2GDiscount)*100),"% discount"),CONCATENATE("$",ROUND(K400*(1-_xlfn.SINGLE(T2GDiscount)),2)," with ",((_xlfn.SINGLE(T2GDiscount)*100+F400*100)-(_xlfn.SINGLE(T2GDiscount)*100*F400)),IF(F400&gt;0,"% discounts",IF(_xlfn.SINGLE(NoWarrantyDiscount)&gt;0,"% discounts","% discount")))))))))</f>
        <v/>
      </c>
      <c r="N400" s="690"/>
      <c r="O400" s="486"/>
      <c r="P400" s="486"/>
      <c r="Q400" s="486"/>
      <c r="R400" s="486"/>
      <c r="S400" s="486"/>
      <c r="T400" s="102">
        <f t="shared" si="262"/>
        <v>0</v>
      </c>
      <c r="U400" s="78">
        <f>IF(NOT(ISNUMBER(G400)), "", VLOOKUP(A400,'Discount Lookup'!D:E,2,FALSE)*G400)</f>
        <v>0</v>
      </c>
      <c r="V400" s="78">
        <f>IF(NOT(ISNUMBER(G400)), "", VLOOKUP(A400,'Discount Lookup'!G:H,2,FALSE)*G400)</f>
        <v>0</v>
      </c>
      <c r="W400" s="102">
        <f t="shared" si="263"/>
        <v>0</v>
      </c>
      <c r="X400" s="102">
        <f t="shared" si="264"/>
        <v>0</v>
      </c>
      <c r="Y400" s="120" t="b">
        <f t="shared" si="265"/>
        <v>0</v>
      </c>
      <c r="Z400" s="117">
        <f t="shared" si="266"/>
        <v>0</v>
      </c>
      <c r="AA400" s="118"/>
      <c r="AB400" s="118" t="str">
        <f t="shared" si="267"/>
        <v/>
      </c>
      <c r="AC400" s="712" t="str">
        <f>IF(AE400="T2G","no charge",IF(AND(OR(PlanterYesMe="No",PlanterYesMe="N",PlanterYesMe="me"),H400=""),"",IF(H400="credit","NO install",IF(AND(K400="",AE400="me"),"EACH row",IF(AND(K400="images",AE400="me"),"EACH row",IF(D400="","",IF(H400="credit","",IF(AE400="free","re-planting",IF(AE400="me","   not ELP, by",IF(AND(OR(PlanterYesMe="Yes",PlanterYesMe="Y"),G400&gt;0),(VLOOKUP(A400,'Discount Lookup'!J:K,2)*G400*(1-PlanterDiscount)*(1+PlanterDifficultyPercentage)),IF(AE400="ELP",(VLOOKUP(A400,'Discount Lookup'!J:K,2)*G400*(1-PlanterDiscount)*(1+PlanterDifficultyPercentage)),IF(AE400="free","re-planting",IF(G400=0,"",IF(PlanterYesMe="",IF(AE400="me","   not ELP, by",IF(AE400="",IF(G400&gt;0,(VLOOKUP(A400,'Discount Lookup'!J:K,2)*G400*(1-PlanterDiscount)*(1+PlanterDifficultyPercentage)),""),"")),"   not ELP, by"))))))))))))))</f>
        <v/>
      </c>
      <c r="AD400" s="712"/>
      <c r="AE400" s="513" t="str">
        <f t="shared" si="268"/>
        <v/>
      </c>
      <c r="AF400" s="713" t="str">
        <f t="shared" si="269"/>
        <v/>
      </c>
      <c r="AG400" s="713"/>
      <c r="AH400" s="713"/>
      <c r="AI400" s="112">
        <f>IF(H400="credit",0,IF(AE400="free",0,IF(AE400="me",0,IF(G400&gt;0,(VLOOKUP(A400,'Discount Lookup'!J:K,2)*G400),0))))</f>
        <v>0</v>
      </c>
      <c r="AJ400" s="107" t="str">
        <f t="shared" ca="1" si="270"/>
        <v/>
      </c>
      <c r="AK400" s="714" t="str">
        <f t="shared" si="271"/>
        <v/>
      </c>
      <c r="AL400" s="714"/>
      <c r="AM400" s="114" t="str">
        <f t="shared" si="272"/>
        <v/>
      </c>
      <c r="AN400" s="115"/>
      <c r="AO400" s="116"/>
      <c r="AP400" s="116"/>
      <c r="AQ400" s="116"/>
      <c r="AR400" s="116"/>
      <c r="AS400" s="116"/>
      <c r="AT400" s="116"/>
      <c r="AU400" s="116"/>
      <c r="AV400" s="78"/>
      <c r="AW400" s="102"/>
      <c r="AX400" s="78"/>
      <c r="AY400" s="78"/>
      <c r="AZ400" s="78"/>
      <c r="BA400" s="78"/>
      <c r="BB400" s="78"/>
      <c r="BC400" s="78"/>
      <c r="BD400" s="78"/>
      <c r="BE400" s="465"/>
      <c r="BF400" s="165" t="str">
        <f t="shared" si="273"/>
        <v>https://www.google.com/search?tbm=isch&amp;q=3%20G1</v>
      </c>
      <c r="BG400" s="165" t="str">
        <f t="shared" si="274"/>
        <v>A</v>
      </c>
      <c r="BH400" s="65"/>
      <c r="BI400" s="65"/>
      <c r="BJ400" s="65"/>
      <c r="BK400" s="65"/>
      <c r="BL400" s="99"/>
      <c r="BM400" s="99"/>
      <c r="BN400" s="99"/>
    </row>
    <row r="401" spans="1:66" s="51" customFormat="1" ht="15.75" x14ac:dyDescent="0.25">
      <c r="A401" s="634">
        <v>3</v>
      </c>
      <c r="B401" s="635" t="s">
        <v>291</v>
      </c>
      <c r="C401" s="636" t="s">
        <v>1502</v>
      </c>
      <c r="D401" s="637" t="s">
        <v>311</v>
      </c>
      <c r="E401" s="638">
        <v>42.95</v>
      </c>
      <c r="F401" s="639" t="s">
        <v>292</v>
      </c>
      <c r="G401" s="484">
        <v>0</v>
      </c>
      <c r="H401" s="691" t="str">
        <f>IF(G401=0,"",IF(F401="Buy",IF(G401=1,"plant","plants"),IF(F401&gt;0.01,"warranty","Error")))</f>
        <v/>
      </c>
      <c r="I401" s="640">
        <f>IF(H401="free",0,IF(H401="credit",((E401*(F401))*G401*-1),IF(F401="Buy",(E401*G401),((E401*(1-F401))*G401))))</f>
        <v>0</v>
      </c>
      <c r="J401" s="640">
        <f>IF(H401="warranty",0,(I401*(_xlfn.SINGLE(SalesTaxPercentage))))</f>
        <v>0</v>
      </c>
      <c r="K401" s="716">
        <f t="shared" ref="K401" si="305">I401+J401</f>
        <v>0</v>
      </c>
      <c r="L401" s="716"/>
      <c r="M401" s="689" t="str">
        <f ca="1">IF(AND(G401&gt;0,E401=0),"WARNING - no PRICE inserted",IF(H401="free","FREE ~ no charge this plant",IF(H401="credit",CONCATENATE("-$",ROUND(K401*(1-_xlfn.SINGLE(T2GDiscount))*-1,2)," CREDIT after discount"),IF(_xlfn.SINGLE(T2GDiscount)=0,"",IF(G401=0,"",IF(F401="Buy",CONCATENATE("$",ROUND(K401*(1-_xlfn.SINGLE(T2GDiscount)),2)," with ",(_xlfn.SINGLE(T2GDiscount)*100),"% discount"),CONCATENATE("$",ROUND(K401*(1-_xlfn.SINGLE(T2GDiscount)),2)," with ",((_xlfn.SINGLE(T2GDiscount)*100+F401*100)-(_xlfn.SINGLE(T2GDiscount)*100*F401)),IF(F401&gt;0,"% discounts",IF(_xlfn.SINGLE(NoWarrantyDiscount)&gt;0,"% discounts","% discount")))))))))</f>
        <v/>
      </c>
      <c r="N401" s="690"/>
      <c r="O401" s="486"/>
      <c r="P401" s="486"/>
      <c r="Q401" s="486"/>
      <c r="R401" s="486"/>
      <c r="S401" s="486"/>
      <c r="T401" s="102">
        <f t="shared" ref="T401:T464" si="306">E401*G401</f>
        <v>0</v>
      </c>
      <c r="U401" s="78">
        <f>IF(NOT(ISNUMBER(G401)), "", VLOOKUP(A401,'Discount Lookup'!D:E,2,FALSE)*G401)</f>
        <v>0</v>
      </c>
      <c r="V401" s="78">
        <f>IF(NOT(ISNUMBER(G401)), "", VLOOKUP(A401,'Discount Lookup'!G:H,2,FALSE)*G401)</f>
        <v>0</v>
      </c>
      <c r="W401" s="102">
        <f t="shared" ref="W401:W464" si="307">IF(H401="credit",0,E401*(SalesTaxPercentage)*G401)</f>
        <v>0</v>
      </c>
      <c r="X401" s="102">
        <f t="shared" ref="X401:X464" si="308">I401</f>
        <v>0</v>
      </c>
      <c r="Y401" s="120" t="b">
        <f t="shared" ref="Y401:Y464" si="309">IF(AE401="T2G",0,IF(H401="credit",0,IF(G401&gt;0,IF(AE401="me","",G401))))</f>
        <v>0</v>
      </c>
      <c r="Z401" s="117">
        <f t="shared" ref="Z401:Z464" si="310">IF(H401="credit",G401,0)</f>
        <v>0</v>
      </c>
      <c r="AA401" s="118"/>
      <c r="AB401" s="118" t="str">
        <f t="shared" ref="AB401:AB464" si="311">IF(AE401="T2G","by Trees2Go",IF(H401="credit","CREDIT only ~",IF(AND(K401="",AE401=OR(PlanterYesMe="No",PlanterYesMe="N",PlanterYesMe="me")),"not THIS line⇨",IF(AND(K401="images",AE401="me"),"not THIS line⇨",IF(H401="credit","",IF(G401=0,"",IF(AE401="me","",IF(OR(PlanterYesMe="No",PlanterYesMe="N",PlanterYesMe="me"),"",IF(AE401="free","warranty",IF(OR(PlanterYesMe="yes",PlanterYesMe="y"),"Edison install:","to install:"))))))))))</f>
        <v/>
      </c>
      <c r="AC401" s="712" t="str">
        <f>IF(AE401="T2G","no charge",IF(AND(OR(PlanterYesMe="No",PlanterYesMe="N",PlanterYesMe="me"),H401=""),"",IF(H401="credit","NO install",IF(AND(K401="",AE401="me"),"EACH row",IF(AND(K401="images",AE401="me"),"EACH row",IF(D401="","",IF(H401="credit","",IF(AE401="free","re-planting",IF(AE401="me","   not ELP, by",IF(AND(OR(PlanterYesMe="Yes",PlanterYesMe="Y"),G401&gt;0),(VLOOKUP(A401,'Discount Lookup'!J:K,2)*G401*(1-PlanterDiscount)*(1+PlanterDifficultyPercentage)),IF(AE401="ELP",(VLOOKUP(A401,'Discount Lookup'!J:K,2)*G401*(1-PlanterDiscount)*(1+PlanterDifficultyPercentage)),IF(AE401="free","re-planting",IF(G401=0,"",IF(PlanterYesMe="",IF(AE401="me","   not ELP, by",IF(AE401="",IF(G401&gt;0,(VLOOKUP(A401,'Discount Lookup'!J:K,2)*G401*(1-PlanterDiscount)*(1+PlanterDifficultyPercentage)),""),"")),"   not ELP, by"))))))))))))))</f>
        <v/>
      </c>
      <c r="AD401" s="712"/>
      <c r="AE401" s="513" t="str">
        <f t="shared" ref="AE401:AE464" si="312">IF(H401="credit","",IF(G401=0,"",IF(OR(PlanterYesMe="No",PlanterYesMe="N",PlanterYesMe="me"),"me",IF(H401="warranty","free",IF(OR(PlanterYesMe="yes",PlanterYesMe="y"),"ELP","")))))</f>
        <v/>
      </c>
      <c r="AF401" s="713" t="str">
        <f t="shared" ref="AF401:AF464" si="313">IF(OR(PlanterYesMe="No",PlanterYesMe="N",PlanterYesMe="me"),"",IF(H401="credit","",IF(G401&gt;0,(CONCATENATE((G401)," quantity, ",(A401)," ",B401)),"")))</f>
        <v/>
      </c>
      <c r="AG401" s="713"/>
      <c r="AH401" s="713"/>
      <c r="AI401" s="112">
        <f>IF(H401="credit",0,IF(AE401="free",0,IF(AE401="me",0,IF(G401&gt;0,(VLOOKUP(A401,'Discount Lookup'!J:K,2)*G401),0))))</f>
        <v>0</v>
      </c>
      <c r="AJ401" s="107" t="str">
        <f t="shared" ref="AJ401:AJ464" ca="1" si="314">IF(AND(ISREF(H401),H401="credit"),"",IF(AND(AND(OFFSET(G401,0,0)=0,OFFSET(G401,1,0)&gt;0,ISNUMBER(OFFSET(AC401,1,0)),OFFSET(AC401,1,0)&gt;0),OR(PlanterYesMe="yes",PlanterYesMe="y")),"T2G+ELP=",IF(AND(OFFSET(G401,0,0)=0,OFFSET(G401,1,0)&gt;0,ISNUMBER(OFFSET(AC401,1,0)),OFFSET(AC401,1,0)&gt;0),"if T2G+ELP=",IF(AND(OFFSET(G401,0,0)=0,OFFSET(G401,1,0)&gt;0),"T2G Subtotal",IF(H401="credit","",IF(G401=0,"",IF(AE401="free",(K401*(1-T2GDiscount)),IF(OR(PlanterYesMe="No",PlanterYesMe="N",PlanterYesMe="me"),(K401*(1-T2GDiscount)),IF(OR(AE401="me",AE401="T2G"),(K401*(1-T2GDiscount)),(K401*(1-T2GDiscount))+AC401)))))))))</f>
        <v/>
      </c>
      <c r="AK401" s="714" t="str">
        <f t="shared" ref="AK401:AK464" si="315">IF(H401="credit","",IF(G401=0,"",IF(OR(AE401="me",AE401="T2G"),"  delivery-only",IF(OR(PlanterYesMe="No",PlanterYesMe="N",PlanterYesMe="me"),"  delivery-only",CONCATENATE(" $",ROUND(AJ401/G401,2)," each")))))</f>
        <v/>
      </c>
      <c r="AL401" s="714"/>
      <c r="AM401" s="114" t="str">
        <f t="shared" ref="AM401:AM464" si="316">IF(H401="credit","",IF(AE401="free","      ~ discounts included, no tax or planting fee applies ~",IF(G401=0,"",IF(OR(PlanterYesMe="No",PlanterYesMe="N",PlanterYesMe="me"),CONCATENATE(" $",ROUND(AJ401/G401,2)," per plant, with tax &amp; discount"),IF(OR(AE401="me",AE401="T2G"),CONCATENATE(" $",ROUND(AJ401/G401,2)," per plant, with tax &amp; discount"),CONCATENATE("= $",ROUND((K401*(1-T2GDiscount))/G401,2)," per plant + $",AC401/G401,(" per planting      ~ includes tax &amp; discounts ~")))))))</f>
        <v/>
      </c>
      <c r="AN401" s="115"/>
      <c r="AO401" s="116"/>
      <c r="AP401" s="116"/>
      <c r="AQ401" s="116"/>
      <c r="AR401" s="116"/>
      <c r="AS401" s="116"/>
      <c r="AT401" s="116"/>
      <c r="AU401" s="116"/>
      <c r="AV401" s="78"/>
      <c r="AW401" s="102"/>
      <c r="AX401" s="78"/>
      <c r="AY401" s="78"/>
      <c r="AZ401" s="78"/>
      <c r="BA401" s="78"/>
      <c r="BB401" s="78"/>
      <c r="BC401" s="78"/>
      <c r="BD401" s="78"/>
      <c r="BE401" s="465"/>
      <c r="BF401" s="165" t="str">
        <f t="shared" ref="BF401:BF464" si="317">"https://www.google.com/search?tbm=isch&amp;q=" &amp; _xlfn.ENCODEURL($A401 &amp; " " &amp; $D401)</f>
        <v>https://www.google.com/search?tbm=isch&amp;q=3%20G5</v>
      </c>
      <c r="BG401" s="165" t="str">
        <f t="shared" ref="BG401:BG464" si="318">IF(ISTEXT(A401),LEFT(A401,1),BG400)</f>
        <v>A</v>
      </c>
      <c r="BH401" s="65"/>
      <c r="BI401" s="65"/>
      <c r="BJ401" s="65"/>
      <c r="BK401" s="65"/>
      <c r="BL401" s="99"/>
      <c r="BM401" s="99"/>
      <c r="BN401" s="99"/>
    </row>
    <row r="402" spans="1:66" s="51" customFormat="1" ht="15.75" x14ac:dyDescent="0.25">
      <c r="A402" s="634">
        <v>3</v>
      </c>
      <c r="B402" s="635" t="s">
        <v>291</v>
      </c>
      <c r="C402" s="636" t="s">
        <v>4566</v>
      </c>
      <c r="D402" s="637" t="s">
        <v>293</v>
      </c>
      <c r="E402" s="638">
        <v>47.95</v>
      </c>
      <c r="F402" s="639" t="s">
        <v>292</v>
      </c>
      <c r="G402" s="484">
        <v>0</v>
      </c>
      <c r="H402" s="691" t="str">
        <f>IF(G402=0,"",IF(F402="Buy",IF(G402=1,"plant","plants"),IF(F402&gt;0.01,"warranty","Error")))</f>
        <v/>
      </c>
      <c r="I402" s="640">
        <f>IF(H402="free",0,IF(H402="credit",((E402*(F402))*G402*-1),IF(F402="Buy",(E402*G402),((E402*(1-F402))*G402))))</f>
        <v>0</v>
      </c>
      <c r="J402" s="640">
        <f>IF(H402="warranty",0,(I402*(_xlfn.SINGLE(SalesTaxPercentage))))</f>
        <v>0</v>
      </c>
      <c r="K402" s="716">
        <f t="shared" ref="K402" si="319">I402+J402</f>
        <v>0</v>
      </c>
      <c r="L402" s="716"/>
      <c r="M402" s="689" t="str">
        <f ca="1">IF(AND(G402&gt;0,E402=0),"WARNING - no PRICE inserted",IF(H402="free","FREE ~ no charge this plant",IF(H402="credit",CONCATENATE("-$",ROUND(K402*(1-_xlfn.SINGLE(T2GDiscount))*-1,2)," CREDIT after discount"),IF(_xlfn.SINGLE(T2GDiscount)=0,"",IF(G402=0,"",IF(F402="Buy",CONCATENATE("$",ROUND(K402*(1-_xlfn.SINGLE(T2GDiscount)),2)," with ",(_xlfn.SINGLE(T2GDiscount)*100),"% discount"),CONCATENATE("$",ROUND(K402*(1-_xlfn.SINGLE(T2GDiscount)),2)," with ",((_xlfn.SINGLE(T2GDiscount)*100+F402*100)-(_xlfn.SINGLE(T2GDiscount)*100*F402)),IF(F402&gt;0,"% discounts",IF(_xlfn.SINGLE(NoWarrantyDiscount)&gt;0,"% discounts","% discount")))))))))</f>
        <v/>
      </c>
      <c r="N402" s="690"/>
      <c r="O402" s="486"/>
      <c r="P402" s="486"/>
      <c r="Q402" s="486"/>
      <c r="R402" s="486"/>
      <c r="S402" s="486"/>
      <c r="T402" s="102">
        <f t="shared" si="306"/>
        <v>0</v>
      </c>
      <c r="U402" s="78">
        <f>IF(NOT(ISNUMBER(G402)), "", VLOOKUP(A402,'Discount Lookup'!D:E,2,FALSE)*G402)</f>
        <v>0</v>
      </c>
      <c r="V402" s="78">
        <f>IF(NOT(ISNUMBER(G402)), "", VLOOKUP(A402,'Discount Lookup'!G:H,2,FALSE)*G402)</f>
        <v>0</v>
      </c>
      <c r="W402" s="102">
        <f t="shared" si="307"/>
        <v>0</v>
      </c>
      <c r="X402" s="102">
        <f t="shared" si="308"/>
        <v>0</v>
      </c>
      <c r="Y402" s="120" t="b">
        <f t="shared" si="309"/>
        <v>0</v>
      </c>
      <c r="Z402" s="117">
        <f t="shared" si="310"/>
        <v>0</v>
      </c>
      <c r="AA402" s="118"/>
      <c r="AB402" s="118" t="str">
        <f t="shared" si="311"/>
        <v/>
      </c>
      <c r="AC402" s="712" t="str">
        <f>IF(AE402="T2G","no charge",IF(AND(OR(PlanterYesMe="No",PlanterYesMe="N",PlanterYesMe="me"),H402=""),"",IF(H402="credit","NO install",IF(AND(K402="",AE402="me"),"EACH row",IF(AND(K402="images",AE402="me"),"EACH row",IF(D402="","",IF(H402="credit","",IF(AE402="free","re-planting",IF(AE402="me","   not ELP, by",IF(AND(OR(PlanterYesMe="Yes",PlanterYesMe="Y"),G402&gt;0),(VLOOKUP(A402,'Discount Lookup'!J:K,2)*G402*(1-PlanterDiscount)*(1+PlanterDifficultyPercentage)),IF(AE402="ELP",(VLOOKUP(A402,'Discount Lookup'!J:K,2)*G402*(1-PlanterDiscount)*(1+PlanterDifficultyPercentage)),IF(AE402="free","re-planting",IF(G402=0,"",IF(PlanterYesMe="",IF(AE402="me","   not ELP, by",IF(AE402="",IF(G402&gt;0,(VLOOKUP(A402,'Discount Lookup'!J:K,2)*G402*(1-PlanterDiscount)*(1+PlanterDifficultyPercentage)),""),"")),"   not ELP, by"))))))))))))))</f>
        <v/>
      </c>
      <c r="AD402" s="712"/>
      <c r="AE402" s="513" t="str">
        <f t="shared" si="312"/>
        <v/>
      </c>
      <c r="AF402" s="713" t="str">
        <f t="shared" si="313"/>
        <v/>
      </c>
      <c r="AG402" s="713"/>
      <c r="AH402" s="713"/>
      <c r="AI402" s="112">
        <f>IF(H402="credit",0,IF(AE402="free",0,IF(AE402="me",0,IF(G402&gt;0,(VLOOKUP(A402,'Discount Lookup'!J:K,2)*G402),0))))</f>
        <v>0</v>
      </c>
      <c r="AJ402" s="107" t="str">
        <f t="shared" ca="1" si="314"/>
        <v/>
      </c>
      <c r="AK402" s="714" t="str">
        <f t="shared" si="315"/>
        <v/>
      </c>
      <c r="AL402" s="714"/>
      <c r="AM402" s="114" t="str">
        <f t="shared" si="316"/>
        <v/>
      </c>
      <c r="AN402" s="115"/>
      <c r="AO402" s="116"/>
      <c r="AP402" s="116"/>
      <c r="AQ402" s="116"/>
      <c r="AR402" s="116"/>
      <c r="AS402" s="116"/>
      <c r="AT402" s="116"/>
      <c r="AU402" s="116"/>
      <c r="AV402" s="78"/>
      <c r="AW402" s="102"/>
      <c r="AX402" s="78"/>
      <c r="AY402" s="78"/>
      <c r="AZ402" s="78"/>
      <c r="BA402" s="78"/>
      <c r="BB402" s="78"/>
      <c r="BC402" s="78"/>
      <c r="BD402" s="78"/>
      <c r="BE402" s="465"/>
      <c r="BF402" s="165" t="str">
        <f t="shared" si="317"/>
        <v>https://www.google.com/search?tbm=isch&amp;q=3%20G6</v>
      </c>
      <c r="BG402" s="165" t="str">
        <f t="shared" si="318"/>
        <v>A</v>
      </c>
      <c r="BH402" s="65"/>
      <c r="BI402" s="65"/>
      <c r="BJ402" s="65"/>
      <c r="BK402" s="65"/>
      <c r="BL402" s="99"/>
      <c r="BM402" s="99"/>
      <c r="BN402" s="99"/>
    </row>
    <row r="403" spans="1:66" s="51" customFormat="1" ht="16.5" x14ac:dyDescent="0.25">
      <c r="A403" s="704" t="s">
        <v>5338</v>
      </c>
      <c r="B403" s="642"/>
      <c r="C403" s="710"/>
      <c r="D403" s="643"/>
      <c r="E403" s="643"/>
      <c r="F403" s="644"/>
      <c r="G403" s="645"/>
      <c r="H403" s="646"/>
      <c r="I403" s="647"/>
      <c r="J403" s="648"/>
      <c r="K403" s="649"/>
      <c r="L403" s="650"/>
      <c r="M403" s="650"/>
      <c r="N403" s="644"/>
      <c r="O403" s="644"/>
      <c r="P403" s="644"/>
      <c r="Q403" s="644"/>
      <c r="R403" s="644"/>
      <c r="S403" s="701" t="s">
        <v>5251</v>
      </c>
      <c r="T403" s="102">
        <f t="shared" si="306"/>
        <v>0</v>
      </c>
      <c r="U403" s="78" t="str">
        <f>IF(NOT(ISNUMBER(G403)), "", VLOOKUP(A403,'Discount Lookup'!D:E,2,FALSE)*G403)</f>
        <v/>
      </c>
      <c r="V403" s="78" t="str">
        <f>IF(NOT(ISNUMBER(G403)), "", VLOOKUP(A403,'Discount Lookup'!G:H,2,FALSE)*G403)</f>
        <v/>
      </c>
      <c r="W403" s="102">
        <f t="shared" si="307"/>
        <v>0</v>
      </c>
      <c r="X403" s="102">
        <f t="shared" si="308"/>
        <v>0</v>
      </c>
      <c r="Y403" s="120" t="b">
        <f t="shared" si="309"/>
        <v>0</v>
      </c>
      <c r="Z403" s="117">
        <f t="shared" si="310"/>
        <v>0</v>
      </c>
      <c r="AA403" s="118"/>
      <c r="AB403" s="118" t="str">
        <f t="shared" si="311"/>
        <v/>
      </c>
      <c r="AC403" s="712" t="str">
        <f>IF(AE403="T2G","no charge",IF(AND(OR(PlanterYesMe="No",PlanterYesMe="N",PlanterYesMe="me"),H403=""),"",IF(H403="credit","NO install",IF(AND(K403="",AE403="me"),"EACH row",IF(AND(K403="images",AE403="me"),"EACH row",IF(D403="","",IF(H403="credit","",IF(AE403="free","re-planting",IF(AE403="me","   not ELP, by",IF(AND(OR(PlanterYesMe="Yes",PlanterYesMe="Y"),G403&gt;0),(VLOOKUP(A403,'Discount Lookup'!J:K,2)*G403*(1-PlanterDiscount)*(1+PlanterDifficultyPercentage)),IF(AE403="ELP",(VLOOKUP(A403,'Discount Lookup'!J:K,2)*G403*(1-PlanterDiscount)*(1+PlanterDifficultyPercentage)),IF(AE403="free","re-planting",IF(G403=0,"",IF(PlanterYesMe="",IF(AE403="me","   not ELP, by",IF(AE403="",IF(G403&gt;0,(VLOOKUP(A403,'Discount Lookup'!J:K,2)*G403*(1-PlanterDiscount)*(1+PlanterDifficultyPercentage)),""),"")),"   not ELP, by"))))))))))))))</f>
        <v/>
      </c>
      <c r="AD403" s="712"/>
      <c r="AE403" s="513" t="str">
        <f t="shared" si="312"/>
        <v/>
      </c>
      <c r="AF403" s="713" t="str">
        <f t="shared" si="313"/>
        <v/>
      </c>
      <c r="AG403" s="713"/>
      <c r="AH403" s="713"/>
      <c r="AI403" s="112">
        <f>IF(H403="credit",0,IF(AE403="free",0,IF(AE403="me",0,IF(G403&gt;0,(VLOOKUP(A403,'Discount Lookup'!J:K,2)*G403),0))))</f>
        <v>0</v>
      </c>
      <c r="AJ403" s="107" t="str">
        <f t="shared" ca="1" si="314"/>
        <v/>
      </c>
      <c r="AK403" s="714" t="str">
        <f t="shared" si="315"/>
        <v/>
      </c>
      <c r="AL403" s="714"/>
      <c r="AM403" s="114" t="str">
        <f t="shared" si="316"/>
        <v/>
      </c>
      <c r="AN403" s="115"/>
      <c r="AO403" s="116"/>
      <c r="AP403" s="116"/>
      <c r="AQ403" s="116"/>
      <c r="AR403" s="116"/>
      <c r="AS403" s="116"/>
      <c r="AT403" s="116"/>
      <c r="AU403" s="116"/>
      <c r="AV403" s="78"/>
      <c r="AW403" s="102"/>
      <c r="AX403" s="78"/>
      <c r="AY403" s="78"/>
      <c r="AZ403" s="78"/>
      <c r="BA403" s="78"/>
      <c r="BB403" s="78"/>
      <c r="BC403" s="78"/>
      <c r="BD403" s="78"/>
      <c r="BE403" s="465"/>
      <c r="BF403" s="165" t="str">
        <f t="shared" si="317"/>
        <v>https://www.google.com/search?tbm=isch&amp;q=moist%20sites%F0%9F%92%A7GOOD%2C%20Low%20Scape%20Mound%20has%20a%20frothy%20spring%20bloom%2C%20Glossy%20Black%20fruit%2C%20and%20Glossy%20Green%20foliage%20with%20a%20showy%20Red%20fall%20color%20</v>
      </c>
      <c r="BG403" s="165" t="str">
        <f t="shared" si="318"/>
        <v>m</v>
      </c>
      <c r="BH403" s="65"/>
      <c r="BI403" s="65"/>
      <c r="BJ403" s="65"/>
      <c r="BK403" s="65"/>
      <c r="BL403" s="99"/>
      <c r="BM403" s="99"/>
      <c r="BN403" s="99"/>
    </row>
    <row r="404" spans="1:66" s="51" customFormat="1" ht="19.5" thickBot="1" x14ac:dyDescent="0.3">
      <c r="A404" s="686" t="s">
        <v>369</v>
      </c>
      <c r="B404" s="73"/>
      <c r="C404" s="708"/>
      <c r="D404" s="73"/>
      <c r="E404" s="73"/>
      <c r="F404" s="496"/>
      <c r="G404" s="73"/>
      <c r="H404" s="73"/>
      <c r="I404" s="73"/>
      <c r="J404" s="497" t="s">
        <v>357</v>
      </c>
      <c r="K404" s="498"/>
      <c r="L404" s="562"/>
      <c r="M404" s="73"/>
      <c r="N404"/>
      <c r="O404"/>
      <c r="P404"/>
      <c r="Q404"/>
      <c r="R404"/>
      <c r="S404"/>
      <c r="T404" s="102">
        <f t="shared" si="306"/>
        <v>0</v>
      </c>
      <c r="U404" s="78" t="str">
        <f>IF(NOT(ISNUMBER(G404)), "", VLOOKUP(A404,'Discount Lookup'!D:E,2,FALSE)*G404)</f>
        <v/>
      </c>
      <c r="V404" s="78" t="str">
        <f>IF(NOT(ISNUMBER(G404)), "", VLOOKUP(A404,'Discount Lookup'!G:H,2,FALSE)*G404)</f>
        <v/>
      </c>
      <c r="W404" s="102">
        <f t="shared" si="307"/>
        <v>0</v>
      </c>
      <c r="X404" s="102">
        <f t="shared" si="308"/>
        <v>0</v>
      </c>
      <c r="Y404" s="120" t="b">
        <f t="shared" si="309"/>
        <v>0</v>
      </c>
      <c r="Z404" s="117">
        <f t="shared" si="310"/>
        <v>0</v>
      </c>
      <c r="AA404" s="118"/>
      <c r="AB404" s="118" t="str">
        <f t="shared" si="311"/>
        <v/>
      </c>
      <c r="AC404" s="712" t="str">
        <f>IF(AE404="T2G","no charge",IF(AND(OR(PlanterYesMe="No",PlanterYesMe="N",PlanterYesMe="me"),H404=""),"",IF(H404="credit","NO install",IF(AND(K404="",AE404="me"),"EACH row",IF(AND(K404="images",AE404="me"),"EACH row",IF(D404="","",IF(H404="credit","",IF(AE404="free","re-planting",IF(AE404="me","   not ELP, by",IF(AND(OR(PlanterYesMe="Yes",PlanterYesMe="Y"),G404&gt;0),(VLOOKUP(A404,'Discount Lookup'!J:K,2)*G404*(1-PlanterDiscount)*(1+PlanterDifficultyPercentage)),IF(AE404="ELP",(VLOOKUP(A404,'Discount Lookup'!J:K,2)*G404*(1-PlanterDiscount)*(1+PlanterDifficultyPercentage)),IF(AE404="free","re-planting",IF(G404=0,"",IF(PlanterYesMe="",IF(AE404="me","   not ELP, by",IF(AE404="",IF(G404&gt;0,(VLOOKUP(A404,'Discount Lookup'!J:K,2)*G404*(1-PlanterDiscount)*(1+PlanterDifficultyPercentage)),""),"")),"   not ELP, by"))))))))))))))</f>
        <v/>
      </c>
      <c r="AD404" s="712"/>
      <c r="AE404" s="513" t="str">
        <f t="shared" si="312"/>
        <v/>
      </c>
      <c r="AF404" s="713" t="str">
        <f t="shared" si="313"/>
        <v/>
      </c>
      <c r="AG404" s="713"/>
      <c r="AH404" s="713"/>
      <c r="AI404" s="112">
        <f>IF(H404="credit",0,IF(AE404="free",0,IF(AE404="me",0,IF(G404&gt;0,(VLOOKUP(A404,'Discount Lookup'!J:K,2)*G404),0))))</f>
        <v>0</v>
      </c>
      <c r="AJ404" s="107" t="str">
        <f t="shared" ca="1" si="314"/>
        <v/>
      </c>
      <c r="AK404" s="714" t="str">
        <f t="shared" si="315"/>
        <v/>
      </c>
      <c r="AL404" s="714"/>
      <c r="AM404" s="114" t="str">
        <f t="shared" si="316"/>
        <v/>
      </c>
      <c r="AN404" s="115"/>
      <c r="AO404" s="116"/>
      <c r="AP404" s="116"/>
      <c r="AQ404" s="116"/>
      <c r="AR404" s="116"/>
      <c r="AS404" s="116"/>
      <c r="AT404" s="116"/>
      <c r="AU404" s="116"/>
      <c r="AV404" s="78"/>
      <c r="AW404" s="102"/>
      <c r="AX404" s="78"/>
      <c r="AY404" s="78"/>
      <c r="AZ404" s="78"/>
      <c r="BA404" s="78"/>
      <c r="BB404" s="78"/>
      <c r="BC404" s="78"/>
      <c r="BD404" s="78"/>
      <c r="BE404" s="465"/>
      <c r="BF404" s="165" t="str">
        <f t="shared" si="317"/>
        <v>https://www.google.com/search?tbm=isch&amp;q=Asimina%20%3D%20PawPaw%20</v>
      </c>
      <c r="BG404" s="165" t="str">
        <f t="shared" si="318"/>
        <v>A</v>
      </c>
      <c r="BH404" s="65"/>
      <c r="BI404" s="65"/>
      <c r="BJ404" s="65"/>
      <c r="BK404" s="65"/>
      <c r="BL404" s="99"/>
      <c r="BM404" s="99"/>
      <c r="BN404" s="99"/>
    </row>
    <row r="405" spans="1:66" s="51" customFormat="1" ht="18" x14ac:dyDescent="0.25">
      <c r="A405" s="623" t="s">
        <v>1504</v>
      </c>
      <c r="B405" s="624"/>
      <c r="C405" s="709"/>
      <c r="D405" s="625" t="s">
        <v>1505</v>
      </c>
      <c r="E405" s="626"/>
      <c r="F405" s="626"/>
      <c r="G405" s="626"/>
      <c r="H405" s="622" t="s">
        <v>1506</v>
      </c>
      <c r="I405" s="627" t="s">
        <v>1450</v>
      </c>
      <c r="J405" s="628"/>
      <c r="K405" s="628"/>
      <c r="L405" s="629"/>
      <c r="M405" s="700" t="s">
        <v>5249</v>
      </c>
      <c r="N405" s="693" t="str">
        <f>IF(AND(ISTEXT($A405), ISERROR($A405+0)), HYPERLINK($BF405, "Images"), "")</f>
        <v>Images</v>
      </c>
      <c r="O405" s="695" t="s">
        <v>5244</v>
      </c>
      <c r="P405" s="630"/>
      <c r="Q405" s="631"/>
      <c r="R405" s="632"/>
      <c r="S405" s="633" t="s">
        <v>294</v>
      </c>
      <c r="T405" s="102">
        <f t="shared" si="306"/>
        <v>0</v>
      </c>
      <c r="U405" s="78" t="str">
        <f>IF(NOT(ISNUMBER(G405)), "", VLOOKUP(A405,'Discount Lookup'!D:E,2,FALSE)*G405)</f>
        <v/>
      </c>
      <c r="V405" s="78" t="str">
        <f>IF(NOT(ISNUMBER(G405)), "", VLOOKUP(A405,'Discount Lookup'!G:H,2,FALSE)*G405)</f>
        <v/>
      </c>
      <c r="W405" s="102">
        <f t="shared" si="307"/>
        <v>0</v>
      </c>
      <c r="X405" s="102" t="str">
        <f t="shared" si="308"/>
        <v>Purple bloom</v>
      </c>
      <c r="Y405" s="120" t="b">
        <f t="shared" si="309"/>
        <v>0</v>
      </c>
      <c r="Z405" s="117">
        <f t="shared" si="310"/>
        <v>0</v>
      </c>
      <c r="AA405" s="118"/>
      <c r="AB405" s="118" t="str">
        <f t="shared" si="311"/>
        <v/>
      </c>
      <c r="AC405" s="712" t="str">
        <f>IF(AE405="T2G","no charge",IF(AND(OR(PlanterYesMe="No",PlanterYesMe="N",PlanterYesMe="me"),H405=""),"",IF(H405="credit","NO install",IF(AND(K405="",AE405="me"),"EACH row",IF(AND(K405="images",AE405="me"),"EACH row",IF(D405="","",IF(H405="credit","",IF(AE405="free","re-planting",IF(AE405="me","   not ELP, by",IF(AND(OR(PlanterYesMe="Yes",PlanterYesMe="Y"),G405&gt;0),(VLOOKUP(A405,'Discount Lookup'!J:K,2)*G405*(1-PlanterDiscount)*(1+PlanterDifficultyPercentage)),IF(AE405="ELP",(VLOOKUP(A405,'Discount Lookup'!J:K,2)*G405*(1-PlanterDiscount)*(1+PlanterDifficultyPercentage)),IF(AE405="free","re-planting",IF(G405=0,"",IF(PlanterYesMe="",IF(AE405="me","   not ELP, by",IF(AE405="",IF(G405&gt;0,(VLOOKUP(A405,'Discount Lookup'!J:K,2)*G405*(1-PlanterDiscount)*(1+PlanterDifficultyPercentage)),""),"")),"   not ELP, by"))))))))))))))</f>
        <v/>
      </c>
      <c r="AD405" s="712"/>
      <c r="AE405" s="513" t="str">
        <f t="shared" si="312"/>
        <v/>
      </c>
      <c r="AF405" s="713" t="str">
        <f t="shared" si="313"/>
        <v/>
      </c>
      <c r="AG405" s="713"/>
      <c r="AH405" s="713"/>
      <c r="AI405" s="112">
        <f>IF(H405="credit",0,IF(AE405="free",0,IF(AE405="me",0,IF(G405&gt;0,(VLOOKUP(A405,'Discount Lookup'!J:K,2)*G405),0))))</f>
        <v>0</v>
      </c>
      <c r="AJ405" s="107" t="str">
        <f t="shared" ca="1" si="314"/>
        <v/>
      </c>
      <c r="AK405" s="714" t="str">
        <f t="shared" si="315"/>
        <v/>
      </c>
      <c r="AL405" s="714"/>
      <c r="AM405" s="114" t="str">
        <f t="shared" si="316"/>
        <v/>
      </c>
      <c r="AN405" s="115"/>
      <c r="AO405" s="116"/>
      <c r="AP405" s="116"/>
      <c r="AQ405" s="116"/>
      <c r="AR405" s="116"/>
      <c r="AS405" s="116"/>
      <c r="AT405" s="116"/>
      <c r="AU405" s="116"/>
      <c r="AV405" s="78"/>
      <c r="AW405" s="102"/>
      <c r="AX405" s="78"/>
      <c r="AY405" s="78"/>
      <c r="AZ405" s="78"/>
      <c r="BA405" s="78"/>
      <c r="BB405" s="78"/>
      <c r="BC405" s="78"/>
      <c r="BD405" s="78"/>
      <c r="BE405" s="465"/>
      <c r="BF405" s="165" t="str">
        <f t="shared" si="317"/>
        <v>https://www.google.com/search?tbm=isch&amp;q=Asimina%20triloba%20Pawpaw%20Tree</v>
      </c>
      <c r="BG405" s="165" t="str">
        <f t="shared" si="318"/>
        <v>A</v>
      </c>
      <c r="BH405" s="65"/>
      <c r="BI405" s="65"/>
      <c r="BJ405" s="65"/>
      <c r="BK405" s="65"/>
      <c r="BL405" s="99"/>
      <c r="BM405" s="99"/>
      <c r="BN405" s="99"/>
    </row>
    <row r="406" spans="1:66" s="51" customFormat="1" ht="15.75" x14ac:dyDescent="0.25">
      <c r="A406" s="634">
        <v>3</v>
      </c>
      <c r="B406" s="635" t="s">
        <v>291</v>
      </c>
      <c r="C406" s="636" t="s">
        <v>1507</v>
      </c>
      <c r="D406" s="637" t="s">
        <v>311</v>
      </c>
      <c r="E406" s="638">
        <v>54.95</v>
      </c>
      <c r="F406" s="639" t="s">
        <v>292</v>
      </c>
      <c r="G406" s="484">
        <v>0</v>
      </c>
      <c r="H406" s="691" t="str">
        <f>IF(G406=0,"",IF(F406="Buy",IF(G406=1,"plant","plants"),IF(F406&gt;0.01,"warranty","Error")))</f>
        <v/>
      </c>
      <c r="I406" s="640">
        <f>IF(H406="free",0,IF(H406="credit",((E406*(F406))*G406*-1),IF(F406="Buy",(E406*G406),((E406*(1-F406))*G406))))</f>
        <v>0</v>
      </c>
      <c r="J406" s="640">
        <f>IF(H406="warranty",0,(I406*(_xlfn.SINGLE(SalesTaxPercentage))))</f>
        <v>0</v>
      </c>
      <c r="K406" s="716">
        <f t="shared" ref="K406" si="320">I406+J406</f>
        <v>0</v>
      </c>
      <c r="L406" s="716"/>
      <c r="M406" s="689" t="str">
        <f ca="1">IF(AND(G406&gt;0,E406=0),"WARNING - no PRICE inserted",IF(H406="free","FREE ~ no charge this plant",IF(H406="credit",CONCATENATE("-$",ROUND(K406*(1-_xlfn.SINGLE(T2GDiscount))*-1,2)," CREDIT after discount"),IF(_xlfn.SINGLE(T2GDiscount)=0,"",IF(G406=0,"",IF(F406="Buy",CONCATENATE("$",ROUND(K406*(1-_xlfn.SINGLE(T2GDiscount)),2)," with ",(_xlfn.SINGLE(T2GDiscount)*100),"% discount"),CONCATENATE("$",ROUND(K406*(1-_xlfn.SINGLE(T2GDiscount)),2)," with ",((_xlfn.SINGLE(T2GDiscount)*100+F406*100)-(_xlfn.SINGLE(T2GDiscount)*100*F406)),IF(F406&gt;0,"% discounts",IF(_xlfn.SINGLE(NoWarrantyDiscount)&gt;0,"% discounts","% discount")))))))))</f>
        <v/>
      </c>
      <c r="N406" s="690"/>
      <c r="O406" s="486"/>
      <c r="P406" s="486"/>
      <c r="Q406" s="486"/>
      <c r="R406" s="486"/>
      <c r="S406" s="486"/>
      <c r="T406" s="102">
        <f t="shared" si="306"/>
        <v>0</v>
      </c>
      <c r="U406" s="78">
        <f>IF(NOT(ISNUMBER(G406)), "", VLOOKUP(A406,'Discount Lookup'!D:E,2,FALSE)*G406)</f>
        <v>0</v>
      </c>
      <c r="V406" s="78">
        <f>IF(NOT(ISNUMBER(G406)), "", VLOOKUP(A406,'Discount Lookup'!G:H,2,FALSE)*G406)</f>
        <v>0</v>
      </c>
      <c r="W406" s="102">
        <f t="shared" si="307"/>
        <v>0</v>
      </c>
      <c r="X406" s="102">
        <f t="shared" si="308"/>
        <v>0</v>
      </c>
      <c r="Y406" s="120" t="b">
        <f t="shared" si="309"/>
        <v>0</v>
      </c>
      <c r="Z406" s="117">
        <f t="shared" si="310"/>
        <v>0</v>
      </c>
      <c r="AA406" s="118"/>
      <c r="AB406" s="118" t="str">
        <f t="shared" si="311"/>
        <v/>
      </c>
      <c r="AC406" s="712" t="str">
        <f>IF(AE406="T2G","no charge",IF(AND(OR(PlanterYesMe="No",PlanterYesMe="N",PlanterYesMe="me"),H406=""),"",IF(H406="credit","NO install",IF(AND(K406="",AE406="me"),"EACH row",IF(AND(K406="images",AE406="me"),"EACH row",IF(D406="","",IF(H406="credit","",IF(AE406="free","re-planting",IF(AE406="me","   not ELP, by",IF(AND(OR(PlanterYesMe="Yes",PlanterYesMe="Y"),G406&gt;0),(VLOOKUP(A406,'Discount Lookup'!J:K,2)*G406*(1-PlanterDiscount)*(1+PlanterDifficultyPercentage)),IF(AE406="ELP",(VLOOKUP(A406,'Discount Lookup'!J:K,2)*G406*(1-PlanterDiscount)*(1+PlanterDifficultyPercentage)),IF(AE406="free","re-planting",IF(G406=0,"",IF(PlanterYesMe="",IF(AE406="me","   not ELP, by",IF(AE406="",IF(G406&gt;0,(VLOOKUP(A406,'Discount Lookup'!J:K,2)*G406*(1-PlanterDiscount)*(1+PlanterDifficultyPercentage)),""),"")),"   not ELP, by"))))))))))))))</f>
        <v/>
      </c>
      <c r="AD406" s="712"/>
      <c r="AE406" s="513" t="str">
        <f t="shared" si="312"/>
        <v/>
      </c>
      <c r="AF406" s="713" t="str">
        <f t="shared" si="313"/>
        <v/>
      </c>
      <c r="AG406" s="713"/>
      <c r="AH406" s="713"/>
      <c r="AI406" s="112">
        <f>IF(H406="credit",0,IF(AE406="free",0,IF(AE406="me",0,IF(G406&gt;0,(VLOOKUP(A406,'Discount Lookup'!J:K,2)*G406),0))))</f>
        <v>0</v>
      </c>
      <c r="AJ406" s="107" t="str">
        <f t="shared" ca="1" si="314"/>
        <v/>
      </c>
      <c r="AK406" s="714" t="str">
        <f t="shared" si="315"/>
        <v/>
      </c>
      <c r="AL406" s="714"/>
      <c r="AM406" s="114" t="str">
        <f t="shared" si="316"/>
        <v/>
      </c>
      <c r="AN406" s="115"/>
      <c r="AO406" s="116"/>
      <c r="AP406" s="116"/>
      <c r="AQ406" s="116"/>
      <c r="AR406" s="116"/>
      <c r="AS406" s="116"/>
      <c r="AT406" s="116"/>
      <c r="AU406" s="116"/>
      <c r="AV406" s="78"/>
      <c r="AW406" s="102"/>
      <c r="AX406" s="78"/>
      <c r="AY406" s="78"/>
      <c r="AZ406" s="78"/>
      <c r="BA406" s="78"/>
      <c r="BB406" s="78"/>
      <c r="BC406" s="78"/>
      <c r="BD406" s="78"/>
      <c r="BE406" s="465"/>
      <c r="BF406" s="165" t="str">
        <f t="shared" si="317"/>
        <v>https://www.google.com/search?tbm=isch&amp;q=3%20G5</v>
      </c>
      <c r="BG406" s="165" t="str">
        <f t="shared" si="318"/>
        <v>A</v>
      </c>
      <c r="BH406" s="65"/>
      <c r="BI406" s="65"/>
      <c r="BJ406" s="65"/>
      <c r="BK406" s="65"/>
      <c r="BL406" s="99"/>
      <c r="BM406" s="99"/>
      <c r="BN406" s="99"/>
    </row>
    <row r="407" spans="1:66" s="51" customFormat="1" ht="15.75" x14ac:dyDescent="0.25">
      <c r="A407" s="634">
        <v>7</v>
      </c>
      <c r="B407" s="635" t="s">
        <v>291</v>
      </c>
      <c r="C407" s="636" t="s">
        <v>1508</v>
      </c>
      <c r="D407" s="637" t="s">
        <v>311</v>
      </c>
      <c r="E407" s="638">
        <v>125.95</v>
      </c>
      <c r="F407" s="639" t="s">
        <v>292</v>
      </c>
      <c r="G407" s="484">
        <v>0</v>
      </c>
      <c r="H407" s="691" t="str">
        <f>IF(G407=0,"",IF(F407="Buy",IF(G407=1,"plant","plants"),IF(F407&gt;0.01,"warranty","Error")))</f>
        <v/>
      </c>
      <c r="I407" s="640">
        <f>IF(H407="free",0,IF(H407="credit",((E407*(F407))*G407*-1),IF(F407="Buy",(E407*G407),((E407*(1-F407))*G407))))</f>
        <v>0</v>
      </c>
      <c r="J407" s="640">
        <f>IF(H407="warranty",0,(I407*(_xlfn.SINGLE(SalesTaxPercentage))))</f>
        <v>0</v>
      </c>
      <c r="K407" s="716">
        <f t="shared" ref="K407" si="321">I407+J407</f>
        <v>0</v>
      </c>
      <c r="L407" s="716"/>
      <c r="M407" s="689" t="str">
        <f ca="1">IF(AND(G407&gt;0,E407=0),"WARNING - no PRICE inserted",IF(H407="free","FREE ~ no charge this plant",IF(H407="credit",CONCATENATE("-$",ROUND(K407*(1-_xlfn.SINGLE(T2GDiscount))*-1,2)," CREDIT after discount"),IF(_xlfn.SINGLE(T2GDiscount)=0,"",IF(G407=0,"",IF(F407="Buy",CONCATENATE("$",ROUND(K407*(1-_xlfn.SINGLE(T2GDiscount)),2)," with ",(_xlfn.SINGLE(T2GDiscount)*100),"% discount"),CONCATENATE("$",ROUND(K407*(1-_xlfn.SINGLE(T2GDiscount)),2)," with ",((_xlfn.SINGLE(T2GDiscount)*100+F407*100)-(_xlfn.SINGLE(T2GDiscount)*100*F407)),IF(F407&gt;0,"% discounts",IF(_xlfn.SINGLE(NoWarrantyDiscount)&gt;0,"% discounts","% discount")))))))))</f>
        <v/>
      </c>
      <c r="N407" s="690"/>
      <c r="O407" s="486"/>
      <c r="P407" s="486"/>
      <c r="Q407" s="486"/>
      <c r="R407" s="486"/>
      <c r="S407" s="486"/>
      <c r="T407" s="102">
        <f t="shared" si="306"/>
        <v>0</v>
      </c>
      <c r="U407" s="78">
        <f>IF(NOT(ISNUMBER(G407)), "", VLOOKUP(A407,'Discount Lookup'!D:E,2,FALSE)*G407)</f>
        <v>0</v>
      </c>
      <c r="V407" s="78">
        <f>IF(NOT(ISNUMBER(G407)), "", VLOOKUP(A407,'Discount Lookup'!G:H,2,FALSE)*G407)</f>
        <v>0</v>
      </c>
      <c r="W407" s="102">
        <f t="shared" si="307"/>
        <v>0</v>
      </c>
      <c r="X407" s="102">
        <f t="shared" si="308"/>
        <v>0</v>
      </c>
      <c r="Y407" s="120" t="b">
        <f t="shared" si="309"/>
        <v>0</v>
      </c>
      <c r="Z407" s="117">
        <f t="shared" si="310"/>
        <v>0</v>
      </c>
      <c r="AA407" s="118"/>
      <c r="AB407" s="118" t="str">
        <f t="shared" si="311"/>
        <v/>
      </c>
      <c r="AC407" s="712" t="str">
        <f>IF(AE407="T2G","no charge",IF(AND(OR(PlanterYesMe="No",PlanterYesMe="N",PlanterYesMe="me"),H407=""),"",IF(H407="credit","NO install",IF(AND(K407="",AE407="me"),"EACH row",IF(AND(K407="images",AE407="me"),"EACH row",IF(D407="","",IF(H407="credit","",IF(AE407="free","re-planting",IF(AE407="me","   not ELP, by",IF(AND(OR(PlanterYesMe="Yes",PlanterYesMe="Y"),G407&gt;0),(VLOOKUP(A407,'Discount Lookup'!J:K,2)*G407*(1-PlanterDiscount)*(1+PlanterDifficultyPercentage)),IF(AE407="ELP",(VLOOKUP(A407,'Discount Lookup'!J:K,2)*G407*(1-PlanterDiscount)*(1+PlanterDifficultyPercentage)),IF(AE407="free","re-planting",IF(G407=0,"",IF(PlanterYesMe="",IF(AE407="me","   not ELP, by",IF(AE407="",IF(G407&gt;0,(VLOOKUP(A407,'Discount Lookup'!J:K,2)*G407*(1-PlanterDiscount)*(1+PlanterDifficultyPercentage)),""),"")),"   not ELP, by"))))))))))))))</f>
        <v/>
      </c>
      <c r="AD407" s="712"/>
      <c r="AE407" s="513" t="str">
        <f t="shared" si="312"/>
        <v/>
      </c>
      <c r="AF407" s="713" t="str">
        <f t="shared" si="313"/>
        <v/>
      </c>
      <c r="AG407" s="713"/>
      <c r="AH407" s="713"/>
      <c r="AI407" s="112">
        <f>IF(H407="credit",0,IF(AE407="free",0,IF(AE407="me",0,IF(G407&gt;0,(VLOOKUP(A407,'Discount Lookup'!J:K,2)*G407),0))))</f>
        <v>0</v>
      </c>
      <c r="AJ407" s="107" t="str">
        <f t="shared" ca="1" si="314"/>
        <v/>
      </c>
      <c r="AK407" s="714" t="str">
        <f t="shared" si="315"/>
        <v/>
      </c>
      <c r="AL407" s="714"/>
      <c r="AM407" s="114" t="str">
        <f t="shared" si="316"/>
        <v/>
      </c>
      <c r="AN407" s="115"/>
      <c r="AO407" s="116"/>
      <c r="AP407" s="116"/>
      <c r="AQ407" s="116"/>
      <c r="AR407" s="116"/>
      <c r="AS407" s="116"/>
      <c r="AT407" s="116"/>
      <c r="AU407" s="116"/>
      <c r="AV407" s="78"/>
      <c r="AW407" s="102"/>
      <c r="AX407" s="78"/>
      <c r="AY407" s="78"/>
      <c r="AZ407" s="78"/>
      <c r="BA407" s="78"/>
      <c r="BB407" s="78"/>
      <c r="BC407" s="78"/>
      <c r="BD407" s="78"/>
      <c r="BE407" s="465"/>
      <c r="BF407" s="165" t="str">
        <f t="shared" si="317"/>
        <v>https://www.google.com/search?tbm=isch&amp;q=7%20G5</v>
      </c>
      <c r="BG407" s="165" t="str">
        <f t="shared" si="318"/>
        <v>A</v>
      </c>
      <c r="BH407" s="65"/>
      <c r="BI407" s="65"/>
      <c r="BJ407" s="65"/>
      <c r="BK407" s="65"/>
      <c r="BL407" s="99"/>
      <c r="BM407" s="99"/>
      <c r="BN407" s="99"/>
    </row>
    <row r="408" spans="1:66" s="51" customFormat="1" ht="15.75" x14ac:dyDescent="0.25">
      <c r="A408" s="634">
        <v>7</v>
      </c>
      <c r="B408" s="635" t="s">
        <v>291</v>
      </c>
      <c r="C408" s="636" t="s">
        <v>4567</v>
      </c>
      <c r="D408" s="637" t="s">
        <v>299</v>
      </c>
      <c r="E408" s="638">
        <v>132.94999999999999</v>
      </c>
      <c r="F408" s="639" t="s">
        <v>292</v>
      </c>
      <c r="G408" s="484">
        <v>0</v>
      </c>
      <c r="H408" s="691" t="str">
        <f>IF(G408=0,"",IF(F408="Buy",IF(G408=1,"plant","plants"),IF(F408&gt;0.01,"warranty","Error")))</f>
        <v/>
      </c>
      <c r="I408" s="640">
        <f>IF(H408="free",0,IF(H408="credit",((E408*(F408))*G408*-1),IF(F408="Buy",(E408*G408),((E408*(1-F408))*G408))))</f>
        <v>0</v>
      </c>
      <c r="J408" s="640">
        <f>IF(H408="warranty",0,(I408*(_xlfn.SINGLE(SalesTaxPercentage))))</f>
        <v>0</v>
      </c>
      <c r="K408" s="716">
        <f t="shared" ref="K408" si="322">I408+J408</f>
        <v>0</v>
      </c>
      <c r="L408" s="716"/>
      <c r="M408" s="689" t="str">
        <f ca="1">IF(AND(G408&gt;0,E408=0),"WARNING - no PRICE inserted",IF(H408="free","FREE ~ no charge this plant",IF(H408="credit",CONCATENATE("-$",ROUND(K408*(1-_xlfn.SINGLE(T2GDiscount))*-1,2)," CREDIT after discount"),IF(_xlfn.SINGLE(T2GDiscount)=0,"",IF(G408=0,"",IF(F408="Buy",CONCATENATE("$",ROUND(K408*(1-_xlfn.SINGLE(T2GDiscount)),2)," with ",(_xlfn.SINGLE(T2GDiscount)*100),"% discount"),CONCATENATE("$",ROUND(K408*(1-_xlfn.SINGLE(T2GDiscount)),2)," with ",((_xlfn.SINGLE(T2GDiscount)*100+F408*100)-(_xlfn.SINGLE(T2GDiscount)*100*F408)),IF(F408&gt;0,"% discounts",IF(_xlfn.SINGLE(NoWarrantyDiscount)&gt;0,"% discounts","% discount")))))))))</f>
        <v/>
      </c>
      <c r="N408" s="690"/>
      <c r="O408" s="486"/>
      <c r="P408" s="486"/>
      <c r="Q408" s="486"/>
      <c r="R408" s="486"/>
      <c r="S408" s="486"/>
      <c r="T408" s="102">
        <f t="shared" si="306"/>
        <v>0</v>
      </c>
      <c r="U408" s="78">
        <f>IF(NOT(ISNUMBER(G408)), "", VLOOKUP(A408,'Discount Lookup'!D:E,2,FALSE)*G408)</f>
        <v>0</v>
      </c>
      <c r="V408" s="78">
        <f>IF(NOT(ISNUMBER(G408)), "", VLOOKUP(A408,'Discount Lookup'!G:H,2,FALSE)*G408)</f>
        <v>0</v>
      </c>
      <c r="W408" s="102">
        <f t="shared" si="307"/>
        <v>0</v>
      </c>
      <c r="X408" s="102">
        <f t="shared" si="308"/>
        <v>0</v>
      </c>
      <c r="Y408" s="120" t="b">
        <f t="shared" si="309"/>
        <v>0</v>
      </c>
      <c r="Z408" s="117">
        <f t="shared" si="310"/>
        <v>0</v>
      </c>
      <c r="AA408" s="118"/>
      <c r="AB408" s="118" t="str">
        <f t="shared" si="311"/>
        <v/>
      </c>
      <c r="AC408" s="712" t="str">
        <f>IF(AE408="T2G","no charge",IF(AND(OR(PlanterYesMe="No",PlanterYesMe="N",PlanterYesMe="me"),H408=""),"",IF(H408="credit","NO install",IF(AND(K408="",AE408="me"),"EACH row",IF(AND(K408="images",AE408="me"),"EACH row",IF(D408="","",IF(H408="credit","",IF(AE408="free","re-planting",IF(AE408="me","   not ELP, by",IF(AND(OR(PlanterYesMe="Yes",PlanterYesMe="Y"),G408&gt;0),(VLOOKUP(A408,'Discount Lookup'!J:K,2)*G408*(1-PlanterDiscount)*(1+PlanterDifficultyPercentage)),IF(AE408="ELP",(VLOOKUP(A408,'Discount Lookup'!J:K,2)*G408*(1-PlanterDiscount)*(1+PlanterDifficultyPercentage)),IF(AE408="free","re-planting",IF(G408=0,"",IF(PlanterYesMe="",IF(AE408="me","   not ELP, by",IF(AE408="",IF(G408&gt;0,(VLOOKUP(A408,'Discount Lookup'!J:K,2)*G408*(1-PlanterDiscount)*(1+PlanterDifficultyPercentage)),""),"")),"   not ELP, by"))))))))))))))</f>
        <v/>
      </c>
      <c r="AD408" s="712"/>
      <c r="AE408" s="513" t="str">
        <f t="shared" si="312"/>
        <v/>
      </c>
      <c r="AF408" s="713" t="str">
        <f t="shared" si="313"/>
        <v/>
      </c>
      <c r="AG408" s="713"/>
      <c r="AH408" s="713"/>
      <c r="AI408" s="112">
        <f>IF(H408="credit",0,IF(AE408="free",0,IF(AE408="me",0,IF(G408&gt;0,(VLOOKUP(A408,'Discount Lookup'!J:K,2)*G408),0))))</f>
        <v>0</v>
      </c>
      <c r="AJ408" s="107" t="str">
        <f t="shared" ca="1" si="314"/>
        <v/>
      </c>
      <c r="AK408" s="714" t="str">
        <f t="shared" si="315"/>
        <v/>
      </c>
      <c r="AL408" s="714"/>
      <c r="AM408" s="114" t="str">
        <f t="shared" si="316"/>
        <v/>
      </c>
      <c r="AN408" s="115"/>
      <c r="AO408" s="116"/>
      <c r="AP408" s="116"/>
      <c r="AQ408" s="116"/>
      <c r="AR408" s="116"/>
      <c r="AS408" s="116"/>
      <c r="AT408" s="116"/>
      <c r="AU408" s="116"/>
      <c r="AV408" s="78"/>
      <c r="AW408" s="102"/>
      <c r="AX408" s="78"/>
      <c r="AY408" s="78"/>
      <c r="AZ408" s="78"/>
      <c r="BA408" s="78"/>
      <c r="BB408" s="78"/>
      <c r="BC408" s="78"/>
      <c r="BD408" s="78"/>
      <c r="BE408" s="465"/>
      <c r="BF408" s="165" t="str">
        <f t="shared" si="317"/>
        <v>https://www.google.com/search?tbm=isch&amp;q=7%20G4</v>
      </c>
      <c r="BG408" s="165" t="str">
        <f t="shared" si="318"/>
        <v>A</v>
      </c>
      <c r="BH408" s="65"/>
      <c r="BI408" s="65"/>
      <c r="BJ408" s="65"/>
      <c r="BK408" s="65"/>
      <c r="BL408" s="99"/>
      <c r="BM408" s="99"/>
      <c r="BN408" s="99"/>
    </row>
    <row r="409" spans="1:66" s="51" customFormat="1" ht="15.75" x14ac:dyDescent="0.25">
      <c r="A409" s="634">
        <v>15</v>
      </c>
      <c r="B409" s="635" t="s">
        <v>291</v>
      </c>
      <c r="C409" s="636" t="s">
        <v>919</v>
      </c>
      <c r="D409" s="637" t="s">
        <v>299</v>
      </c>
      <c r="E409" s="638">
        <v>240.95</v>
      </c>
      <c r="F409" s="639" t="s">
        <v>292</v>
      </c>
      <c r="G409" s="484">
        <v>0</v>
      </c>
      <c r="H409" s="691" t="str">
        <f>IF(G409=0,"",IF(F409="Buy",IF(G409=1,"plant","plants"),IF(F409&gt;0.01,"warranty","Error")))</f>
        <v/>
      </c>
      <c r="I409" s="640">
        <f>IF(H409="free",0,IF(H409="credit",((E409*(F409))*G409*-1),IF(F409="Buy",(E409*G409),((E409*(1-F409))*G409))))</f>
        <v>0</v>
      </c>
      <c r="J409" s="640">
        <f>IF(H409="warranty",0,(I409*(_xlfn.SINGLE(SalesTaxPercentage))))</f>
        <v>0</v>
      </c>
      <c r="K409" s="716">
        <f t="shared" ref="K409" si="323">I409+J409</f>
        <v>0</v>
      </c>
      <c r="L409" s="716"/>
      <c r="M409" s="689" t="str">
        <f ca="1">IF(AND(G409&gt;0,E409=0),"WARNING - no PRICE inserted",IF(H409="free","FREE ~ no charge this plant",IF(H409="credit",CONCATENATE("-$",ROUND(K409*(1-_xlfn.SINGLE(T2GDiscount))*-1,2)," CREDIT after discount"),IF(_xlfn.SINGLE(T2GDiscount)=0,"",IF(G409=0,"",IF(F409="Buy",CONCATENATE("$",ROUND(K409*(1-_xlfn.SINGLE(T2GDiscount)),2)," with ",(_xlfn.SINGLE(T2GDiscount)*100),"% discount"),CONCATENATE("$",ROUND(K409*(1-_xlfn.SINGLE(T2GDiscount)),2)," with ",((_xlfn.SINGLE(T2GDiscount)*100+F409*100)-(_xlfn.SINGLE(T2GDiscount)*100*F409)),IF(F409&gt;0,"% discounts",IF(_xlfn.SINGLE(NoWarrantyDiscount)&gt;0,"% discounts","% discount")))))))))</f>
        <v/>
      </c>
      <c r="N409" s="690"/>
      <c r="O409" s="486"/>
      <c r="P409" s="486"/>
      <c r="Q409" s="486"/>
      <c r="R409" s="486"/>
      <c r="S409" s="486"/>
      <c r="T409" s="102">
        <f t="shared" si="306"/>
        <v>0</v>
      </c>
      <c r="U409" s="78">
        <f>IF(NOT(ISNUMBER(G409)), "", VLOOKUP(A409,'Discount Lookup'!D:E,2,FALSE)*G409)</f>
        <v>0</v>
      </c>
      <c r="V409" s="78">
        <f>IF(NOT(ISNUMBER(G409)), "", VLOOKUP(A409,'Discount Lookup'!G:H,2,FALSE)*G409)</f>
        <v>0</v>
      </c>
      <c r="W409" s="102">
        <f t="shared" si="307"/>
        <v>0</v>
      </c>
      <c r="X409" s="102">
        <f t="shared" si="308"/>
        <v>0</v>
      </c>
      <c r="Y409" s="120" t="b">
        <f t="shared" si="309"/>
        <v>0</v>
      </c>
      <c r="Z409" s="117">
        <f t="shared" si="310"/>
        <v>0</v>
      </c>
      <c r="AA409" s="118"/>
      <c r="AB409" s="118" t="str">
        <f t="shared" si="311"/>
        <v/>
      </c>
      <c r="AC409" s="712" t="str">
        <f>IF(AE409="T2G","no charge",IF(AND(OR(PlanterYesMe="No",PlanterYesMe="N",PlanterYesMe="me"),H409=""),"",IF(H409="credit","NO install",IF(AND(K409="",AE409="me"),"EACH row",IF(AND(K409="images",AE409="me"),"EACH row",IF(D409="","",IF(H409="credit","",IF(AE409="free","re-planting",IF(AE409="me","   not ELP, by",IF(AND(OR(PlanterYesMe="Yes",PlanterYesMe="Y"),G409&gt;0),(VLOOKUP(A409,'Discount Lookup'!J:K,2)*G409*(1-PlanterDiscount)*(1+PlanterDifficultyPercentage)),IF(AE409="ELP",(VLOOKUP(A409,'Discount Lookup'!J:K,2)*G409*(1-PlanterDiscount)*(1+PlanterDifficultyPercentage)),IF(AE409="free","re-planting",IF(G409=0,"",IF(PlanterYesMe="",IF(AE409="me","   not ELP, by",IF(AE409="",IF(G409&gt;0,(VLOOKUP(A409,'Discount Lookup'!J:K,2)*G409*(1-PlanterDiscount)*(1+PlanterDifficultyPercentage)),""),"")),"   not ELP, by"))))))))))))))</f>
        <v/>
      </c>
      <c r="AD409" s="712"/>
      <c r="AE409" s="513" t="str">
        <f t="shared" si="312"/>
        <v/>
      </c>
      <c r="AF409" s="713" t="str">
        <f t="shared" si="313"/>
        <v/>
      </c>
      <c r="AG409" s="713"/>
      <c r="AH409" s="713"/>
      <c r="AI409" s="112">
        <f>IF(H409="credit",0,IF(AE409="free",0,IF(AE409="me",0,IF(G409&gt;0,(VLOOKUP(A409,'Discount Lookup'!J:K,2)*G409),0))))</f>
        <v>0</v>
      </c>
      <c r="AJ409" s="107" t="str">
        <f t="shared" ca="1" si="314"/>
        <v/>
      </c>
      <c r="AK409" s="714" t="str">
        <f t="shared" si="315"/>
        <v/>
      </c>
      <c r="AL409" s="714"/>
      <c r="AM409" s="114" t="str">
        <f t="shared" si="316"/>
        <v/>
      </c>
      <c r="AN409" s="115"/>
      <c r="AO409" s="116"/>
      <c r="AP409" s="116"/>
      <c r="AQ409" s="116"/>
      <c r="AR409" s="116"/>
      <c r="AS409" s="116"/>
      <c r="AT409" s="116"/>
      <c r="AU409" s="116"/>
      <c r="AV409" s="78"/>
      <c r="AW409" s="102"/>
      <c r="AX409" s="78"/>
      <c r="AY409" s="78"/>
      <c r="AZ409" s="78"/>
      <c r="BA409" s="78"/>
      <c r="BB409" s="78"/>
      <c r="BC409" s="78"/>
      <c r="BD409" s="78"/>
      <c r="BE409" s="465"/>
      <c r="BF409" s="165" t="str">
        <f t="shared" si="317"/>
        <v>https://www.google.com/search?tbm=isch&amp;q=15%20G4</v>
      </c>
      <c r="BG409" s="165" t="str">
        <f t="shared" si="318"/>
        <v>A</v>
      </c>
      <c r="BH409" s="65"/>
      <c r="BI409" s="65"/>
      <c r="BJ409" s="65"/>
      <c r="BK409" s="65"/>
      <c r="BL409" s="99"/>
      <c r="BM409" s="99"/>
      <c r="BN409" s="99"/>
    </row>
    <row r="410" spans="1:66" s="51" customFormat="1" ht="16.5" x14ac:dyDescent="0.25">
      <c r="A410" s="704" t="s">
        <v>5339</v>
      </c>
      <c r="B410" s="642"/>
      <c r="C410" s="710"/>
      <c r="D410" s="643"/>
      <c r="E410" s="643"/>
      <c r="F410" s="644"/>
      <c r="G410" s="645"/>
      <c r="H410" s="646"/>
      <c r="I410" s="647"/>
      <c r="J410" s="648"/>
      <c r="K410" s="649"/>
      <c r="L410" s="650"/>
      <c r="M410" s="650"/>
      <c r="N410" s="644"/>
      <c r="O410" s="644"/>
      <c r="P410" s="644"/>
      <c r="Q410" s="644"/>
      <c r="R410" s="644"/>
      <c r="S410" s="701" t="s">
        <v>5269</v>
      </c>
      <c r="T410" s="102">
        <f t="shared" si="306"/>
        <v>0</v>
      </c>
      <c r="U410" s="78" t="str">
        <f>IF(NOT(ISNUMBER(G410)), "", VLOOKUP(A410,'Discount Lookup'!D:E,2,FALSE)*G410)</f>
        <v/>
      </c>
      <c r="V410" s="78" t="str">
        <f>IF(NOT(ISNUMBER(G410)), "", VLOOKUP(A410,'Discount Lookup'!G:H,2,FALSE)*G410)</f>
        <v/>
      </c>
      <c r="W410" s="102">
        <f t="shared" si="307"/>
        <v>0</v>
      </c>
      <c r="X410" s="102">
        <f t="shared" si="308"/>
        <v>0</v>
      </c>
      <c r="Y410" s="120" t="b">
        <f t="shared" si="309"/>
        <v>0</v>
      </c>
      <c r="Z410" s="117">
        <f t="shared" si="310"/>
        <v>0</v>
      </c>
      <c r="AA410" s="118"/>
      <c r="AB410" s="118" t="str">
        <f t="shared" si="311"/>
        <v/>
      </c>
      <c r="AC410" s="712" t="str">
        <f>IF(AE410="T2G","no charge",IF(AND(OR(PlanterYesMe="No",PlanterYesMe="N",PlanterYesMe="me"),H410=""),"",IF(H410="credit","NO install",IF(AND(K410="",AE410="me"),"EACH row",IF(AND(K410="images",AE410="me"),"EACH row",IF(D410="","",IF(H410="credit","",IF(AE410="free","re-planting",IF(AE410="me","   not ELP, by",IF(AND(OR(PlanterYesMe="Yes",PlanterYesMe="Y"),G410&gt;0),(VLOOKUP(A410,'Discount Lookup'!J:K,2)*G410*(1-PlanterDiscount)*(1+PlanterDifficultyPercentage)),IF(AE410="ELP",(VLOOKUP(A410,'Discount Lookup'!J:K,2)*G410*(1-PlanterDiscount)*(1+PlanterDifficultyPercentage)),IF(AE410="free","re-planting",IF(G410=0,"",IF(PlanterYesMe="",IF(AE410="me","   not ELP, by",IF(AE410="",IF(G410&gt;0,(VLOOKUP(A410,'Discount Lookup'!J:K,2)*G410*(1-PlanterDiscount)*(1+PlanterDifficultyPercentage)),""),"")),"   not ELP, by"))))))))))))))</f>
        <v/>
      </c>
      <c r="AD410" s="712"/>
      <c r="AE410" s="513" t="str">
        <f t="shared" si="312"/>
        <v/>
      </c>
      <c r="AF410" s="713" t="str">
        <f t="shared" si="313"/>
        <v/>
      </c>
      <c r="AG410" s="713"/>
      <c r="AH410" s="713"/>
      <c r="AI410" s="112">
        <f>IF(H410="credit",0,IF(AE410="free",0,IF(AE410="me",0,IF(G410&gt;0,(VLOOKUP(A410,'Discount Lookup'!J:K,2)*G410),0))))</f>
        <v>0</v>
      </c>
      <c r="AJ410" s="107" t="str">
        <f t="shared" ca="1" si="314"/>
        <v/>
      </c>
      <c r="AK410" s="714" t="str">
        <f t="shared" si="315"/>
        <v/>
      </c>
      <c r="AL410" s="714"/>
      <c r="AM410" s="114" t="str">
        <f t="shared" si="316"/>
        <v/>
      </c>
      <c r="AN410" s="115"/>
      <c r="AO410" s="116"/>
      <c r="AP410" s="116"/>
      <c r="AQ410" s="116"/>
      <c r="AR410" s="116"/>
      <c r="AS410" s="116"/>
      <c r="AT410" s="116"/>
      <c r="AU410" s="116"/>
      <c r="AV410" s="78"/>
      <c r="AW410" s="102"/>
      <c r="AX410" s="78"/>
      <c r="AY410" s="78"/>
      <c r="AZ410" s="78"/>
      <c r="BA410" s="78"/>
      <c r="BB410" s="78"/>
      <c r="BC410" s="78"/>
      <c r="BD410" s="78"/>
      <c r="BE410" s="465"/>
      <c r="BF410" s="165" t="str">
        <f t="shared" si="317"/>
        <v>https://www.google.com/search?tbm=isch&amp;q=moist%20sites%F0%9F%92%A7GOOD%2C%20Pawpaw%20fruit%20taste%20like%20delicious%20cross%20of%20banana%20%26%20mango.%20Fragrant.%20Does%20not%20self-pollinate%20</v>
      </c>
      <c r="BG410" s="165" t="str">
        <f t="shared" si="318"/>
        <v>m</v>
      </c>
      <c r="BH410" s="65"/>
      <c r="BI410" s="65"/>
      <c r="BJ410" s="65"/>
      <c r="BK410" s="65"/>
      <c r="BL410" s="99"/>
      <c r="BM410" s="99"/>
      <c r="BN410" s="99"/>
    </row>
    <row r="411" spans="1:66" s="51" customFormat="1" ht="19.5" thickBot="1" x14ac:dyDescent="0.3">
      <c r="A411" s="686" t="s">
        <v>363</v>
      </c>
      <c r="B411" s="73"/>
      <c r="C411" s="708"/>
      <c r="D411" s="73"/>
      <c r="E411" s="73"/>
      <c r="F411" s="496"/>
      <c r="G411" s="73"/>
      <c r="H411" s="73"/>
      <c r="I411" s="73"/>
      <c r="J411" s="497" t="s">
        <v>357</v>
      </c>
      <c r="K411" s="498"/>
      <c r="L411" s="562"/>
      <c r="M411" s="73"/>
      <c r="N411"/>
      <c r="O411"/>
      <c r="P411"/>
      <c r="Q411"/>
      <c r="R411"/>
      <c r="S411"/>
      <c r="T411" s="102">
        <f t="shared" si="306"/>
        <v>0</v>
      </c>
      <c r="U411" s="78" t="str">
        <f>IF(NOT(ISNUMBER(G411)), "", VLOOKUP(A411,'Discount Lookup'!D:E,2,FALSE)*G411)</f>
        <v/>
      </c>
      <c r="V411" s="78" t="str">
        <f>IF(NOT(ISNUMBER(G411)), "", VLOOKUP(A411,'Discount Lookup'!G:H,2,FALSE)*G411)</f>
        <v/>
      </c>
      <c r="W411" s="102">
        <f t="shared" si="307"/>
        <v>0</v>
      </c>
      <c r="X411" s="102">
        <f t="shared" si="308"/>
        <v>0</v>
      </c>
      <c r="Y411" s="120" t="b">
        <f t="shared" si="309"/>
        <v>0</v>
      </c>
      <c r="Z411" s="117">
        <f t="shared" si="310"/>
        <v>0</v>
      </c>
      <c r="AA411" s="118"/>
      <c r="AB411" s="118" t="str">
        <f t="shared" si="311"/>
        <v/>
      </c>
      <c r="AC411" s="712" t="str">
        <f>IF(AE411="T2G","no charge",IF(AND(OR(PlanterYesMe="No",PlanterYesMe="N",PlanterYesMe="me"),H411=""),"",IF(H411="credit","NO install",IF(AND(K411="",AE411="me"),"EACH row",IF(AND(K411="images",AE411="me"),"EACH row",IF(D411="","",IF(H411="credit","",IF(AE411="free","re-planting",IF(AE411="me","   not ELP, by",IF(AND(OR(PlanterYesMe="Yes",PlanterYesMe="Y"),G411&gt;0),(VLOOKUP(A411,'Discount Lookup'!J:K,2)*G411*(1-PlanterDiscount)*(1+PlanterDifficultyPercentage)),IF(AE411="ELP",(VLOOKUP(A411,'Discount Lookup'!J:K,2)*G411*(1-PlanterDiscount)*(1+PlanterDifficultyPercentage)),IF(AE411="free","re-planting",IF(G411=0,"",IF(PlanterYesMe="",IF(AE411="me","   not ELP, by",IF(AE411="",IF(G411&gt;0,(VLOOKUP(A411,'Discount Lookup'!J:K,2)*G411*(1-PlanterDiscount)*(1+PlanterDifficultyPercentage)),""),"")),"   not ELP, by"))))))))))))))</f>
        <v/>
      </c>
      <c r="AD411" s="712"/>
      <c r="AE411" s="513" t="str">
        <f t="shared" si="312"/>
        <v/>
      </c>
      <c r="AF411" s="713" t="str">
        <f t="shared" si="313"/>
        <v/>
      </c>
      <c r="AG411" s="713"/>
      <c r="AH411" s="713"/>
      <c r="AI411" s="112">
        <f>IF(H411="credit",0,IF(AE411="free",0,IF(AE411="me",0,IF(G411&gt;0,(VLOOKUP(A411,'Discount Lookup'!J:K,2)*G411),0))))</f>
        <v>0</v>
      </c>
      <c r="AJ411" s="107" t="str">
        <f t="shared" ca="1" si="314"/>
        <v/>
      </c>
      <c r="AK411" s="714" t="str">
        <f t="shared" si="315"/>
        <v/>
      </c>
      <c r="AL411" s="714"/>
      <c r="AM411" s="114" t="str">
        <f t="shared" si="316"/>
        <v/>
      </c>
      <c r="AN411" s="115"/>
      <c r="AO411" s="116"/>
      <c r="AP411" s="116"/>
      <c r="AQ411" s="116"/>
      <c r="AR411" s="116"/>
      <c r="AS411" s="116"/>
      <c r="AT411" s="116"/>
      <c r="AU411" s="116"/>
      <c r="AV411" s="78"/>
      <c r="AW411" s="102"/>
      <c r="AX411" s="78"/>
      <c r="AY411" s="78"/>
      <c r="AZ411" s="78"/>
      <c r="BA411" s="78"/>
      <c r="BB411" s="78"/>
      <c r="BC411" s="78"/>
      <c r="BD411" s="78"/>
      <c r="BE411" s="465"/>
      <c r="BF411" s="165" t="str">
        <f t="shared" si="317"/>
        <v>https://www.google.com/search?tbm=isch&amp;q=Aspidistra%20%3D%20Cast%20Iron%20Plant%20</v>
      </c>
      <c r="BG411" s="165" t="str">
        <f t="shared" si="318"/>
        <v>A</v>
      </c>
      <c r="BH411" s="65"/>
      <c r="BI411" s="65"/>
      <c r="BJ411" s="65"/>
      <c r="BK411" s="65"/>
      <c r="BL411" s="99"/>
      <c r="BM411" s="99"/>
      <c r="BN411" s="99"/>
    </row>
    <row r="412" spans="1:66" s="51" customFormat="1" ht="18" x14ac:dyDescent="0.25">
      <c r="A412" s="507" t="s">
        <v>1509</v>
      </c>
      <c r="B412" s="470"/>
      <c r="C412" s="706"/>
      <c r="D412" s="471" t="s">
        <v>1510</v>
      </c>
      <c r="E412" s="472"/>
      <c r="F412" s="472"/>
      <c r="G412" s="472"/>
      <c r="H412" s="622" t="s">
        <v>1511</v>
      </c>
      <c r="I412" s="473" t="s">
        <v>431</v>
      </c>
      <c r="J412" s="472"/>
      <c r="K412" s="472"/>
      <c r="L412" s="561"/>
      <c r="M412" s="703" t="s">
        <v>5260</v>
      </c>
      <c r="N412" s="692" t="str">
        <f>IF(AND(ISTEXT($A412), ISERROR($A412+0)), HYPERLINK($BF412, "Images"), "")</f>
        <v>Images</v>
      </c>
      <c r="O412" s="694" t="s">
        <v>5244</v>
      </c>
      <c r="P412" s="475"/>
      <c r="Q412" s="476"/>
      <c r="R412" s="476"/>
      <c r="S412" s="477"/>
      <c r="T412" s="102">
        <f t="shared" si="306"/>
        <v>0</v>
      </c>
      <c r="U412" s="78" t="str">
        <f>IF(NOT(ISNUMBER(G412)), "", VLOOKUP(A412,'Discount Lookup'!D:E,2,FALSE)*G412)</f>
        <v/>
      </c>
      <c r="V412" s="78" t="str">
        <f>IF(NOT(ISNUMBER(G412)), "", VLOOKUP(A412,'Discount Lookup'!G:H,2,FALSE)*G412)</f>
        <v/>
      </c>
      <c r="W412" s="102">
        <f t="shared" si="307"/>
        <v>0</v>
      </c>
      <c r="X412" s="102" t="str">
        <f t="shared" si="308"/>
        <v>Dark Green foliage</v>
      </c>
      <c r="Y412" s="120" t="b">
        <f t="shared" si="309"/>
        <v>0</v>
      </c>
      <c r="Z412" s="117">
        <f t="shared" si="310"/>
        <v>0</v>
      </c>
      <c r="AA412" s="118"/>
      <c r="AB412" s="118" t="str">
        <f t="shared" si="311"/>
        <v/>
      </c>
      <c r="AC412" s="712" t="str">
        <f>IF(AE412="T2G","no charge",IF(AND(OR(PlanterYesMe="No",PlanterYesMe="N",PlanterYesMe="me"),H412=""),"",IF(H412="credit","NO install",IF(AND(K412="",AE412="me"),"EACH row",IF(AND(K412="images",AE412="me"),"EACH row",IF(D412="","",IF(H412="credit","",IF(AE412="free","re-planting",IF(AE412="me","   not ELP, by",IF(AND(OR(PlanterYesMe="Yes",PlanterYesMe="Y"),G412&gt;0),(VLOOKUP(A412,'Discount Lookup'!J:K,2)*G412*(1-PlanterDiscount)*(1+PlanterDifficultyPercentage)),IF(AE412="ELP",(VLOOKUP(A412,'Discount Lookup'!J:K,2)*G412*(1-PlanterDiscount)*(1+PlanterDifficultyPercentage)),IF(AE412="free","re-planting",IF(G412=0,"",IF(PlanterYesMe="",IF(AE412="me","   not ELP, by",IF(AE412="",IF(G412&gt;0,(VLOOKUP(A412,'Discount Lookup'!J:K,2)*G412*(1-PlanterDiscount)*(1+PlanterDifficultyPercentage)),""),"")),"   not ELP, by"))))))))))))))</f>
        <v/>
      </c>
      <c r="AD412" s="712"/>
      <c r="AE412" s="513" t="str">
        <f t="shared" si="312"/>
        <v/>
      </c>
      <c r="AF412" s="713" t="str">
        <f t="shared" si="313"/>
        <v/>
      </c>
      <c r="AG412" s="713"/>
      <c r="AH412" s="713"/>
      <c r="AI412" s="112">
        <f>IF(H412="credit",0,IF(AE412="free",0,IF(AE412="me",0,IF(G412&gt;0,(VLOOKUP(A412,'Discount Lookup'!J:K,2)*G412),0))))</f>
        <v>0</v>
      </c>
      <c r="AJ412" s="107" t="str">
        <f t="shared" ca="1" si="314"/>
        <v/>
      </c>
      <c r="AK412" s="714" t="str">
        <f t="shared" si="315"/>
        <v/>
      </c>
      <c r="AL412" s="714"/>
      <c r="AM412" s="114" t="str">
        <f t="shared" si="316"/>
        <v/>
      </c>
      <c r="AN412" s="115"/>
      <c r="AO412" s="116"/>
      <c r="AP412" s="116"/>
      <c r="AQ412" s="116"/>
      <c r="AR412" s="116"/>
      <c r="AS412" s="116"/>
      <c r="AT412" s="116"/>
      <c r="AU412" s="116"/>
      <c r="AV412" s="78"/>
      <c r="AW412" s="102"/>
      <c r="AX412" s="78"/>
      <c r="AY412" s="78"/>
      <c r="AZ412" s="78"/>
      <c r="BA412" s="78"/>
      <c r="BB412" s="78"/>
      <c r="BC412" s="78"/>
      <c r="BD412" s="78"/>
      <c r="BE412" s="465"/>
      <c r="BF412" s="165" t="str">
        <f t="shared" si="317"/>
        <v>https://www.google.com/search?tbm=isch&amp;q=Aspidistra%20elatior%20Cast%20Iron%20Plant</v>
      </c>
      <c r="BG412" s="165" t="str">
        <f t="shared" si="318"/>
        <v>A</v>
      </c>
      <c r="BH412" s="65"/>
      <c r="BI412" s="65"/>
      <c r="BJ412" s="65"/>
      <c r="BK412" s="65"/>
      <c r="BL412" s="99"/>
      <c r="BM412" s="99"/>
      <c r="BN412" s="99"/>
    </row>
    <row r="413" spans="1:66" s="51" customFormat="1" ht="15.75" x14ac:dyDescent="0.25">
      <c r="A413" s="478">
        <v>3</v>
      </c>
      <c r="B413" s="479" t="s">
        <v>291</v>
      </c>
      <c r="C413" s="480"/>
      <c r="D413" s="481" t="s">
        <v>293</v>
      </c>
      <c r="E413" s="482">
        <v>34.950000000000003</v>
      </c>
      <c r="F413" s="483" t="s">
        <v>292</v>
      </c>
      <c r="G413" s="484">
        <v>0</v>
      </c>
      <c r="H413" s="688" t="str">
        <f>IF(G413=0,"",IF(F413="Buy",IF(G413=1,"plant","plants"),IF(F413&gt;0.01,"warranty","Error")))</f>
        <v/>
      </c>
      <c r="I413" s="485">
        <f>IF(H413="free",0,IF(H413="credit",((E413*(F413))*G413*-1),IF(F413="Buy",(E413*G413),((E413*(1-F413))*G413))))</f>
        <v>0</v>
      </c>
      <c r="J413" s="485">
        <f>IF(H413="warranty",0,(I413*(_xlfn.SINGLE(SalesTaxPercentage))))</f>
        <v>0</v>
      </c>
      <c r="K413" s="715">
        <f t="shared" ref="K413" si="324">I413+J413</f>
        <v>0</v>
      </c>
      <c r="L413" s="715"/>
      <c r="M413" s="689" t="str">
        <f ca="1">IF(AND(G413&gt;0,E413=0),"WARNING - no PRICE inserted",IF(H413="free","FREE ~ no charge this plant",IF(H413="credit",CONCATENATE("-$",ROUND(K413*(1-_xlfn.SINGLE(T2GDiscount))*-1,2)," CREDIT after discount"),IF(_xlfn.SINGLE(T2GDiscount)=0,"",IF(G413=0,"",IF(F413="Buy",CONCATENATE("$",ROUND(K413*(1-_xlfn.SINGLE(T2GDiscount)),2)," with ",(_xlfn.SINGLE(T2GDiscount)*100),"% discount"),CONCATENATE("$",ROUND(K413*(1-_xlfn.SINGLE(T2GDiscount)),2)," with ",((_xlfn.SINGLE(T2GDiscount)*100+F413*100)-(_xlfn.SINGLE(T2GDiscount)*100*F413)),IF(F413&gt;0,"% discounts",IF(_xlfn.SINGLE(NoWarrantyDiscount)&gt;0,"% discounts","% discount")))))))))</f>
        <v/>
      </c>
      <c r="N413" s="690"/>
      <c r="O413" s="486"/>
      <c r="P413" s="486"/>
      <c r="Q413" s="486"/>
      <c r="R413" s="486"/>
      <c r="S413" s="486"/>
      <c r="T413" s="102">
        <f t="shared" si="306"/>
        <v>0</v>
      </c>
      <c r="U413" s="78">
        <f>IF(NOT(ISNUMBER(G413)), "", VLOOKUP(A413,'Discount Lookup'!D:E,2,FALSE)*G413)</f>
        <v>0</v>
      </c>
      <c r="V413" s="78">
        <f>IF(NOT(ISNUMBER(G413)), "", VLOOKUP(A413,'Discount Lookup'!G:H,2,FALSE)*G413)</f>
        <v>0</v>
      </c>
      <c r="W413" s="102">
        <f t="shared" si="307"/>
        <v>0</v>
      </c>
      <c r="X413" s="102">
        <f t="shared" si="308"/>
        <v>0</v>
      </c>
      <c r="Y413" s="120" t="b">
        <f t="shared" si="309"/>
        <v>0</v>
      </c>
      <c r="Z413" s="117">
        <f t="shared" si="310"/>
        <v>0</v>
      </c>
      <c r="AA413" s="118"/>
      <c r="AB413" s="118" t="str">
        <f t="shared" si="311"/>
        <v/>
      </c>
      <c r="AC413" s="712" t="str">
        <f>IF(AE413="T2G","no charge",IF(AND(OR(PlanterYesMe="No",PlanterYesMe="N",PlanterYesMe="me"),H413=""),"",IF(H413="credit","NO install",IF(AND(K413="",AE413="me"),"EACH row",IF(AND(K413="images",AE413="me"),"EACH row",IF(D413="","",IF(H413="credit","",IF(AE413="free","re-planting",IF(AE413="me","   not ELP, by",IF(AND(OR(PlanterYesMe="Yes",PlanterYesMe="Y"),G413&gt;0),(VLOOKUP(A413,'Discount Lookup'!J:K,2)*G413*(1-PlanterDiscount)*(1+PlanterDifficultyPercentage)),IF(AE413="ELP",(VLOOKUP(A413,'Discount Lookup'!J:K,2)*G413*(1-PlanterDiscount)*(1+PlanterDifficultyPercentage)),IF(AE413="free","re-planting",IF(G413=0,"",IF(PlanterYesMe="",IF(AE413="me","   not ELP, by",IF(AE413="",IF(G413&gt;0,(VLOOKUP(A413,'Discount Lookup'!J:K,2)*G413*(1-PlanterDiscount)*(1+PlanterDifficultyPercentage)),""),"")),"   not ELP, by"))))))))))))))</f>
        <v/>
      </c>
      <c r="AD413" s="712"/>
      <c r="AE413" s="513" t="str">
        <f t="shared" si="312"/>
        <v/>
      </c>
      <c r="AF413" s="713" t="str">
        <f t="shared" si="313"/>
        <v/>
      </c>
      <c r="AG413" s="713"/>
      <c r="AH413" s="713"/>
      <c r="AI413" s="112">
        <f>IF(H413="credit",0,IF(AE413="free",0,IF(AE413="me",0,IF(G413&gt;0,(VLOOKUP(A413,'Discount Lookup'!J:K,2)*G413),0))))</f>
        <v>0</v>
      </c>
      <c r="AJ413" s="107" t="str">
        <f t="shared" ca="1" si="314"/>
        <v/>
      </c>
      <c r="AK413" s="714" t="str">
        <f t="shared" si="315"/>
        <v/>
      </c>
      <c r="AL413" s="714"/>
      <c r="AM413" s="114" t="str">
        <f t="shared" si="316"/>
        <v/>
      </c>
      <c r="AN413" s="115"/>
      <c r="AO413" s="116"/>
      <c r="AP413" s="116"/>
      <c r="AQ413" s="116"/>
      <c r="AR413" s="116"/>
      <c r="AS413" s="116"/>
      <c r="AT413" s="116"/>
      <c r="AU413" s="116"/>
      <c r="AV413" s="78"/>
      <c r="AW413" s="102"/>
      <c r="AX413" s="78"/>
      <c r="AY413" s="78"/>
      <c r="AZ413" s="78"/>
      <c r="BA413" s="78"/>
      <c r="BB413" s="78"/>
      <c r="BC413" s="78"/>
      <c r="BD413" s="78"/>
      <c r="BE413" s="465"/>
      <c r="BF413" s="165" t="str">
        <f t="shared" si="317"/>
        <v>https://www.google.com/search?tbm=isch&amp;q=3%20G6</v>
      </c>
      <c r="BG413" s="165" t="str">
        <f t="shared" si="318"/>
        <v>A</v>
      </c>
      <c r="BH413" s="65"/>
      <c r="BI413" s="65"/>
      <c r="BJ413" s="65"/>
      <c r="BK413" s="65"/>
      <c r="BL413" s="99"/>
      <c r="BM413" s="99"/>
      <c r="BN413" s="99"/>
    </row>
    <row r="414" spans="1:66" s="51" customFormat="1" ht="15.75" x14ac:dyDescent="0.25">
      <c r="A414" s="478">
        <v>3</v>
      </c>
      <c r="B414" s="479" t="s">
        <v>291</v>
      </c>
      <c r="C414" s="480" t="s">
        <v>1512</v>
      </c>
      <c r="D414" s="481" t="s">
        <v>329</v>
      </c>
      <c r="E414" s="482">
        <v>36.950000000000003</v>
      </c>
      <c r="F414" s="483" t="s">
        <v>292</v>
      </c>
      <c r="G414" s="484">
        <v>0</v>
      </c>
      <c r="H414" s="688" t="str">
        <f>IF(G414=0,"",IF(F414="Buy",IF(G414=1,"plant","plants"),IF(F414&gt;0.01,"warranty","Error")))</f>
        <v/>
      </c>
      <c r="I414" s="485">
        <f>IF(H414="free",0,IF(H414="credit",((E414*(F414))*G414*-1),IF(F414="Buy",(E414*G414),((E414*(1-F414))*G414))))</f>
        <v>0</v>
      </c>
      <c r="J414" s="485">
        <f>IF(H414="warranty",0,(I414*(_xlfn.SINGLE(SalesTaxPercentage))))</f>
        <v>0</v>
      </c>
      <c r="K414" s="715">
        <f t="shared" ref="K414" si="325">I414+J414</f>
        <v>0</v>
      </c>
      <c r="L414" s="715"/>
      <c r="M414" s="689" t="str">
        <f ca="1">IF(AND(G414&gt;0,E414=0),"WARNING - no PRICE inserted",IF(H414="free","FREE ~ no charge this plant",IF(H414="credit",CONCATENATE("-$",ROUND(K414*(1-_xlfn.SINGLE(T2GDiscount))*-1,2)," CREDIT after discount"),IF(_xlfn.SINGLE(T2GDiscount)=0,"",IF(G414=0,"",IF(F414="Buy",CONCATENATE("$",ROUND(K414*(1-_xlfn.SINGLE(T2GDiscount)),2)," with ",(_xlfn.SINGLE(T2GDiscount)*100),"% discount"),CONCATENATE("$",ROUND(K414*(1-_xlfn.SINGLE(T2GDiscount)),2)," with ",((_xlfn.SINGLE(T2GDiscount)*100+F414*100)-(_xlfn.SINGLE(T2GDiscount)*100*F414)),IF(F414&gt;0,"% discounts",IF(_xlfn.SINGLE(NoWarrantyDiscount)&gt;0,"% discounts","% discount")))))))))</f>
        <v/>
      </c>
      <c r="N414" s="690"/>
      <c r="O414" s="486"/>
      <c r="P414" s="486"/>
      <c r="Q414" s="486"/>
      <c r="R414" s="486"/>
      <c r="S414" s="486"/>
      <c r="T414" s="102">
        <f t="shared" si="306"/>
        <v>0</v>
      </c>
      <c r="U414" s="78">
        <f>IF(NOT(ISNUMBER(G414)), "", VLOOKUP(A414,'Discount Lookup'!D:E,2,FALSE)*G414)</f>
        <v>0</v>
      </c>
      <c r="V414" s="78">
        <f>IF(NOT(ISNUMBER(G414)), "", VLOOKUP(A414,'Discount Lookup'!G:H,2,FALSE)*G414)</f>
        <v>0</v>
      </c>
      <c r="W414" s="102">
        <f t="shared" si="307"/>
        <v>0</v>
      </c>
      <c r="X414" s="102">
        <f t="shared" si="308"/>
        <v>0</v>
      </c>
      <c r="Y414" s="120" t="b">
        <f t="shared" si="309"/>
        <v>0</v>
      </c>
      <c r="Z414" s="117">
        <f t="shared" si="310"/>
        <v>0</v>
      </c>
      <c r="AA414" s="118"/>
      <c r="AB414" s="118" t="str">
        <f t="shared" si="311"/>
        <v/>
      </c>
      <c r="AC414" s="712" t="str">
        <f>IF(AE414="T2G","no charge",IF(AND(OR(PlanterYesMe="No",PlanterYesMe="N",PlanterYesMe="me"),H414=""),"",IF(H414="credit","NO install",IF(AND(K414="",AE414="me"),"EACH row",IF(AND(K414="images",AE414="me"),"EACH row",IF(D414="","",IF(H414="credit","",IF(AE414="free","re-planting",IF(AE414="me","   not ELP, by",IF(AND(OR(PlanterYesMe="Yes",PlanterYesMe="Y"),G414&gt;0),(VLOOKUP(A414,'Discount Lookup'!J:K,2)*G414*(1-PlanterDiscount)*(1+PlanterDifficultyPercentage)),IF(AE414="ELP",(VLOOKUP(A414,'Discount Lookup'!J:K,2)*G414*(1-PlanterDiscount)*(1+PlanterDifficultyPercentage)),IF(AE414="free","re-planting",IF(G414=0,"",IF(PlanterYesMe="",IF(AE414="me","   not ELP, by",IF(AE414="",IF(G414&gt;0,(VLOOKUP(A414,'Discount Lookup'!J:K,2)*G414*(1-PlanterDiscount)*(1+PlanterDifficultyPercentage)),""),"")),"   not ELP, by"))))))))))))))</f>
        <v/>
      </c>
      <c r="AD414" s="712"/>
      <c r="AE414" s="513" t="str">
        <f t="shared" si="312"/>
        <v/>
      </c>
      <c r="AF414" s="713" t="str">
        <f t="shared" si="313"/>
        <v/>
      </c>
      <c r="AG414" s="713"/>
      <c r="AH414" s="713"/>
      <c r="AI414" s="112">
        <f>IF(H414="credit",0,IF(AE414="free",0,IF(AE414="me",0,IF(G414&gt;0,(VLOOKUP(A414,'Discount Lookup'!J:K,2)*G414),0))))</f>
        <v>0</v>
      </c>
      <c r="AJ414" s="107" t="str">
        <f t="shared" ca="1" si="314"/>
        <v/>
      </c>
      <c r="AK414" s="714" t="str">
        <f t="shared" si="315"/>
        <v/>
      </c>
      <c r="AL414" s="714"/>
      <c r="AM414" s="114" t="str">
        <f t="shared" si="316"/>
        <v/>
      </c>
      <c r="AN414" s="115"/>
      <c r="AO414" s="116"/>
      <c r="AP414" s="116"/>
      <c r="AQ414" s="116"/>
      <c r="AR414" s="116"/>
      <c r="AS414" s="116"/>
      <c r="AT414" s="116"/>
      <c r="AU414" s="116"/>
      <c r="AV414" s="78"/>
      <c r="AW414" s="102"/>
      <c r="AX414" s="78"/>
      <c r="AY414" s="78"/>
      <c r="AZ414" s="78"/>
      <c r="BA414" s="78"/>
      <c r="BB414" s="78"/>
      <c r="BC414" s="78"/>
      <c r="BD414" s="78"/>
      <c r="BE414" s="465"/>
      <c r="BF414" s="165" t="str">
        <f t="shared" si="317"/>
        <v>https://www.google.com/search?tbm=isch&amp;q=3%20G2</v>
      </c>
      <c r="BG414" s="165" t="str">
        <f t="shared" si="318"/>
        <v>A</v>
      </c>
      <c r="BH414" s="65"/>
      <c r="BI414" s="65"/>
      <c r="BJ414" s="65"/>
      <c r="BK414" s="65"/>
      <c r="BL414" s="99"/>
      <c r="BM414" s="99"/>
      <c r="BN414" s="99"/>
    </row>
    <row r="415" spans="1:66" s="51" customFormat="1" ht="16.5" thickBot="1" x14ac:dyDescent="0.3">
      <c r="A415" s="508" t="s">
        <v>5229</v>
      </c>
      <c r="B415" s="487"/>
      <c r="C415" s="707"/>
      <c r="D415" s="487"/>
      <c r="E415" s="487"/>
      <c r="F415" s="488"/>
      <c r="G415" s="489"/>
      <c r="H415" s="487"/>
      <c r="I415" s="490"/>
      <c r="J415" s="490"/>
      <c r="K415" s="491"/>
      <c r="L415" s="547"/>
      <c r="M415" s="528"/>
      <c r="N415" s="492"/>
      <c r="O415" s="493"/>
      <c r="P415" s="494"/>
      <c r="Q415" s="492"/>
      <c r="R415" s="492"/>
      <c r="S415" s="699" t="s">
        <v>5259</v>
      </c>
      <c r="T415" s="102">
        <f t="shared" si="306"/>
        <v>0</v>
      </c>
      <c r="U415" s="78" t="str">
        <f>IF(NOT(ISNUMBER(G415)), "", VLOOKUP(A415,'Discount Lookup'!D:E,2,FALSE)*G415)</f>
        <v/>
      </c>
      <c r="V415" s="78" t="str">
        <f>IF(NOT(ISNUMBER(G415)), "", VLOOKUP(A415,'Discount Lookup'!G:H,2,FALSE)*G415)</f>
        <v/>
      </c>
      <c r="W415" s="102">
        <f t="shared" si="307"/>
        <v>0</v>
      </c>
      <c r="X415" s="102">
        <f t="shared" si="308"/>
        <v>0</v>
      </c>
      <c r="Y415" s="120" t="b">
        <f t="shared" si="309"/>
        <v>0</v>
      </c>
      <c r="Z415" s="117">
        <f t="shared" si="310"/>
        <v>0</v>
      </c>
      <c r="AA415" s="118"/>
      <c r="AB415" s="118" t="str">
        <f t="shared" si="311"/>
        <v/>
      </c>
      <c r="AC415" s="712" t="str">
        <f>IF(AE415="T2G","no charge",IF(AND(OR(PlanterYesMe="No",PlanterYesMe="N",PlanterYesMe="me"),H415=""),"",IF(H415="credit","NO install",IF(AND(K415="",AE415="me"),"EACH row",IF(AND(K415="images",AE415="me"),"EACH row",IF(D415="","",IF(H415="credit","",IF(AE415="free","re-planting",IF(AE415="me","   not ELP, by",IF(AND(OR(PlanterYesMe="Yes",PlanterYesMe="Y"),G415&gt;0),(VLOOKUP(A415,'Discount Lookup'!J:K,2)*G415*(1-PlanterDiscount)*(1+PlanterDifficultyPercentage)),IF(AE415="ELP",(VLOOKUP(A415,'Discount Lookup'!J:K,2)*G415*(1-PlanterDiscount)*(1+PlanterDifficultyPercentage)),IF(AE415="free","re-planting",IF(G415=0,"",IF(PlanterYesMe="",IF(AE415="me","   not ELP, by",IF(AE415="",IF(G415&gt;0,(VLOOKUP(A415,'Discount Lookup'!J:K,2)*G415*(1-PlanterDiscount)*(1+PlanterDifficultyPercentage)),""),"")),"   not ELP, by"))))))))))))))</f>
        <v/>
      </c>
      <c r="AD415" s="712"/>
      <c r="AE415" s="513" t="str">
        <f t="shared" si="312"/>
        <v/>
      </c>
      <c r="AF415" s="713" t="str">
        <f t="shared" si="313"/>
        <v/>
      </c>
      <c r="AG415" s="713"/>
      <c r="AH415" s="713"/>
      <c r="AI415" s="112">
        <f>IF(H415="credit",0,IF(AE415="free",0,IF(AE415="me",0,IF(G415&gt;0,(VLOOKUP(A415,'Discount Lookup'!J:K,2)*G415),0))))</f>
        <v>0</v>
      </c>
      <c r="AJ415" s="107" t="str">
        <f t="shared" ca="1" si="314"/>
        <v/>
      </c>
      <c r="AK415" s="714" t="str">
        <f t="shared" si="315"/>
        <v/>
      </c>
      <c r="AL415" s="714"/>
      <c r="AM415" s="114" t="str">
        <f t="shared" si="316"/>
        <v/>
      </c>
      <c r="AN415" s="115"/>
      <c r="AO415" s="116"/>
      <c r="AP415" s="116"/>
      <c r="AQ415" s="116"/>
      <c r="AR415" s="116"/>
      <c r="AS415" s="116"/>
      <c r="AT415" s="116"/>
      <c r="AU415" s="116"/>
      <c r="AV415" s="78"/>
      <c r="AW415" s="102"/>
      <c r="AX415" s="78"/>
      <c r="AY415" s="78"/>
      <c r="AZ415" s="78"/>
      <c r="BA415" s="78"/>
      <c r="BB415" s="78"/>
      <c r="BC415" s="78"/>
      <c r="BD415" s="78"/>
      <c r="BE415" s="465"/>
      <c r="BF415" s="165" t="str">
        <f t="shared" si="317"/>
        <v>https://www.google.com/search?tbm=isch&amp;q=Cast%20Iron%20Plant%20named%20for%20its%20very%20tough%20nature%3A%20it%20thrives%20in%20deep%20shade%2C%20tolerates%20drought%2C%20and%20shrugs%20off%20neglect.%20Sparse%20Purple-Brown%20flowers%20</v>
      </c>
      <c r="BG415" s="165" t="str">
        <f t="shared" si="318"/>
        <v>C</v>
      </c>
      <c r="BH415" s="65"/>
      <c r="BI415" s="65"/>
      <c r="BJ415" s="65"/>
      <c r="BK415" s="65"/>
      <c r="BL415" s="99"/>
      <c r="BM415" s="99"/>
      <c r="BN415" s="99"/>
    </row>
    <row r="416" spans="1:66" s="51" customFormat="1" ht="18" x14ac:dyDescent="0.25">
      <c r="A416" s="507" t="s">
        <v>1513</v>
      </c>
      <c r="B416" s="470"/>
      <c r="C416" s="706"/>
      <c r="D416" s="471" t="s">
        <v>5588</v>
      </c>
      <c r="E416" s="472"/>
      <c r="F416" s="472"/>
      <c r="G416" s="472"/>
      <c r="H416" s="622" t="s">
        <v>1514</v>
      </c>
      <c r="I416" s="473" t="s">
        <v>431</v>
      </c>
      <c r="J416" s="472"/>
      <c r="K416" s="472"/>
      <c r="L416" s="561"/>
      <c r="M416" s="703" t="s">
        <v>5260</v>
      </c>
      <c r="N416" s="692" t="str">
        <f>IF(AND(ISTEXT($A416), ISERROR($A416+0)), HYPERLINK($BF416, "Images"), "")</f>
        <v>Images</v>
      </c>
      <c r="O416" s="694" t="s">
        <v>5244</v>
      </c>
      <c r="P416" s="475"/>
      <c r="Q416" s="476"/>
      <c r="R416" s="476"/>
      <c r="S416" s="477"/>
      <c r="T416" s="102">
        <f t="shared" si="306"/>
        <v>0</v>
      </c>
      <c r="U416" s="78" t="str">
        <f>IF(NOT(ISNUMBER(G416)), "", VLOOKUP(A416,'Discount Lookup'!D:E,2,FALSE)*G416)</f>
        <v/>
      </c>
      <c r="V416" s="78" t="str">
        <f>IF(NOT(ISNUMBER(G416)), "", VLOOKUP(A416,'Discount Lookup'!G:H,2,FALSE)*G416)</f>
        <v/>
      </c>
      <c r="W416" s="102">
        <f t="shared" si="307"/>
        <v>0</v>
      </c>
      <c r="X416" s="102" t="str">
        <f t="shared" si="308"/>
        <v>Dark Green foliage</v>
      </c>
      <c r="Y416" s="120" t="b">
        <f t="shared" si="309"/>
        <v>0</v>
      </c>
      <c r="Z416" s="117">
        <f t="shared" si="310"/>
        <v>0</v>
      </c>
      <c r="AA416" s="118"/>
      <c r="AB416" s="118" t="str">
        <f t="shared" si="311"/>
        <v/>
      </c>
      <c r="AC416" s="712" t="str">
        <f>IF(AE416="T2G","no charge",IF(AND(OR(PlanterYesMe="No",PlanterYesMe="N",PlanterYesMe="me"),H416=""),"",IF(H416="credit","NO install",IF(AND(K416="",AE416="me"),"EACH row",IF(AND(K416="images",AE416="me"),"EACH row",IF(D416="","",IF(H416="credit","",IF(AE416="free","re-planting",IF(AE416="me","   not ELP, by",IF(AND(OR(PlanterYesMe="Yes",PlanterYesMe="Y"),G416&gt;0),(VLOOKUP(A416,'Discount Lookup'!J:K,2)*G416*(1-PlanterDiscount)*(1+PlanterDifficultyPercentage)),IF(AE416="ELP",(VLOOKUP(A416,'Discount Lookup'!J:K,2)*G416*(1-PlanterDiscount)*(1+PlanterDifficultyPercentage)),IF(AE416="free","re-planting",IF(G416=0,"",IF(PlanterYesMe="",IF(AE416="me","   not ELP, by",IF(AE416="",IF(G416&gt;0,(VLOOKUP(A416,'Discount Lookup'!J:K,2)*G416*(1-PlanterDiscount)*(1+PlanterDifficultyPercentage)),""),"")),"   not ELP, by"))))))))))))))</f>
        <v/>
      </c>
      <c r="AD416" s="712"/>
      <c r="AE416" s="513" t="str">
        <f t="shared" si="312"/>
        <v/>
      </c>
      <c r="AF416" s="713" t="str">
        <f t="shared" si="313"/>
        <v/>
      </c>
      <c r="AG416" s="713"/>
      <c r="AH416" s="713"/>
      <c r="AI416" s="112">
        <f>IF(H416="credit",0,IF(AE416="free",0,IF(AE416="me",0,IF(G416&gt;0,(VLOOKUP(A416,'Discount Lookup'!J:K,2)*G416),0))))</f>
        <v>0</v>
      </c>
      <c r="AJ416" s="107" t="str">
        <f t="shared" ca="1" si="314"/>
        <v/>
      </c>
      <c r="AK416" s="714" t="str">
        <f t="shared" si="315"/>
        <v/>
      </c>
      <c r="AL416" s="714"/>
      <c r="AM416" s="114" t="str">
        <f t="shared" si="316"/>
        <v/>
      </c>
      <c r="AN416" s="115"/>
      <c r="AO416" s="116"/>
      <c r="AP416" s="116"/>
      <c r="AQ416" s="116"/>
      <c r="AR416" s="116"/>
      <c r="AS416" s="116"/>
      <c r="AT416" s="116"/>
      <c r="AU416" s="116"/>
      <c r="AV416" s="78"/>
      <c r="AW416" s="102"/>
      <c r="AX416" s="78"/>
      <c r="AY416" s="78"/>
      <c r="AZ416" s="78"/>
      <c r="BA416" s="78"/>
      <c r="BB416" s="78"/>
      <c r="BC416" s="78"/>
      <c r="BD416" s="78"/>
      <c r="BE416" s="465"/>
      <c r="BF416" s="165" t="str">
        <f t="shared" si="317"/>
        <v>https://www.google.com/search?tbm=isch&amp;q=Aspidistra%20elatior%20%27Tiny%20Tank%27%20Tiny%20Tank%E2%84%A2%20Dwarf%20Cast%20Iron%20Plant</v>
      </c>
      <c r="BG416" s="165" t="str">
        <f t="shared" si="318"/>
        <v>A</v>
      </c>
      <c r="BH416" s="65"/>
      <c r="BI416" s="65"/>
      <c r="BJ416" s="65"/>
      <c r="BK416" s="65"/>
      <c r="BL416" s="99"/>
      <c r="BM416" s="99"/>
      <c r="BN416" s="99"/>
    </row>
    <row r="417" spans="1:66" s="51" customFormat="1" ht="27" x14ac:dyDescent="0.25">
      <c r="A417" s="478">
        <v>3</v>
      </c>
      <c r="B417" s="479" t="s">
        <v>291</v>
      </c>
      <c r="C417" s="480" t="s">
        <v>1515</v>
      </c>
      <c r="D417" s="481" t="s">
        <v>299</v>
      </c>
      <c r="E417" s="482">
        <v>42.95</v>
      </c>
      <c r="F417" s="483" t="s">
        <v>292</v>
      </c>
      <c r="G417" s="484">
        <v>0</v>
      </c>
      <c r="H417" s="688" t="str">
        <f>IF(G417=0,"",IF(F417="Buy",IF(G417=1,"plant","plants"),IF(F417&gt;0.01,"warranty","Error")))</f>
        <v/>
      </c>
      <c r="I417" s="485">
        <f>IF(H417="free",0,IF(H417="credit",((E417*(F417))*G417*-1),IF(F417="Buy",(E417*G417),((E417*(1-F417))*G417))))</f>
        <v>0</v>
      </c>
      <c r="J417" s="485">
        <f>IF(H417="warranty",0,(I417*(_xlfn.SINGLE(SalesTaxPercentage))))</f>
        <v>0</v>
      </c>
      <c r="K417" s="715">
        <f t="shared" ref="K417" si="326">I417+J417</f>
        <v>0</v>
      </c>
      <c r="L417" s="715"/>
      <c r="M417" s="689" t="str">
        <f ca="1">IF(AND(G417&gt;0,E417=0),"WARNING - no PRICE inserted",IF(H417="free","FREE ~ no charge this plant",IF(H417="credit",CONCATENATE("-$",ROUND(K417*(1-_xlfn.SINGLE(T2GDiscount))*-1,2)," CREDIT after discount"),IF(_xlfn.SINGLE(T2GDiscount)=0,"",IF(G417=0,"",IF(F417="Buy",CONCATENATE("$",ROUND(K417*(1-_xlfn.SINGLE(T2GDiscount)),2)," with ",(_xlfn.SINGLE(T2GDiscount)*100),"% discount"),CONCATENATE("$",ROUND(K417*(1-_xlfn.SINGLE(T2GDiscount)),2)," with ",((_xlfn.SINGLE(T2GDiscount)*100+F417*100)-(_xlfn.SINGLE(T2GDiscount)*100*F417)),IF(F417&gt;0,"% discounts",IF(_xlfn.SINGLE(NoWarrantyDiscount)&gt;0,"% discounts","% discount")))))))))</f>
        <v/>
      </c>
      <c r="N417" s="690"/>
      <c r="O417" s="486"/>
      <c r="P417" s="486"/>
      <c r="Q417" s="486"/>
      <c r="R417" s="486"/>
      <c r="S417" s="486"/>
      <c r="T417" s="102">
        <f t="shared" si="306"/>
        <v>0</v>
      </c>
      <c r="U417" s="78">
        <f>IF(NOT(ISNUMBER(G417)), "", VLOOKUP(A417,'Discount Lookup'!D:E,2,FALSE)*G417)</f>
        <v>0</v>
      </c>
      <c r="V417" s="78">
        <f>IF(NOT(ISNUMBER(G417)), "", VLOOKUP(A417,'Discount Lookup'!G:H,2,FALSE)*G417)</f>
        <v>0</v>
      </c>
      <c r="W417" s="102">
        <f t="shared" si="307"/>
        <v>0</v>
      </c>
      <c r="X417" s="102">
        <f t="shared" si="308"/>
        <v>0</v>
      </c>
      <c r="Y417" s="120" t="b">
        <f t="shared" si="309"/>
        <v>0</v>
      </c>
      <c r="Z417" s="117">
        <f t="shared" si="310"/>
        <v>0</v>
      </c>
      <c r="AA417" s="118"/>
      <c r="AB417" s="118" t="str">
        <f t="shared" si="311"/>
        <v/>
      </c>
      <c r="AC417" s="712" t="str">
        <f>IF(AE417="T2G","no charge",IF(AND(OR(PlanterYesMe="No",PlanterYesMe="N",PlanterYesMe="me"),H417=""),"",IF(H417="credit","NO install",IF(AND(K417="",AE417="me"),"EACH row",IF(AND(K417="images",AE417="me"),"EACH row",IF(D417="","",IF(H417="credit","",IF(AE417="free","re-planting",IF(AE417="me","   not ELP, by",IF(AND(OR(PlanterYesMe="Yes",PlanterYesMe="Y"),G417&gt;0),(VLOOKUP(A417,'Discount Lookup'!J:K,2)*G417*(1-PlanterDiscount)*(1+PlanterDifficultyPercentage)),IF(AE417="ELP",(VLOOKUP(A417,'Discount Lookup'!J:K,2)*G417*(1-PlanterDiscount)*(1+PlanterDifficultyPercentage)),IF(AE417="free","re-planting",IF(G417=0,"",IF(PlanterYesMe="",IF(AE417="me","   not ELP, by",IF(AE417="",IF(G417&gt;0,(VLOOKUP(A417,'Discount Lookup'!J:K,2)*G417*(1-PlanterDiscount)*(1+PlanterDifficultyPercentage)),""),"")),"   not ELP, by"))))))))))))))</f>
        <v/>
      </c>
      <c r="AD417" s="712"/>
      <c r="AE417" s="513" t="str">
        <f t="shared" si="312"/>
        <v/>
      </c>
      <c r="AF417" s="713" t="str">
        <f t="shared" si="313"/>
        <v/>
      </c>
      <c r="AG417" s="713"/>
      <c r="AH417" s="713"/>
      <c r="AI417" s="112">
        <f>IF(H417="credit",0,IF(AE417="free",0,IF(AE417="me",0,IF(G417&gt;0,(VLOOKUP(A417,'Discount Lookup'!J:K,2)*G417),0))))</f>
        <v>0</v>
      </c>
      <c r="AJ417" s="107" t="str">
        <f t="shared" ca="1" si="314"/>
        <v/>
      </c>
      <c r="AK417" s="714" t="str">
        <f t="shared" si="315"/>
        <v/>
      </c>
      <c r="AL417" s="714"/>
      <c r="AM417" s="114" t="str">
        <f t="shared" si="316"/>
        <v/>
      </c>
      <c r="AN417" s="115"/>
      <c r="AO417" s="116"/>
      <c r="AP417" s="116"/>
      <c r="AQ417" s="116"/>
      <c r="AR417" s="116"/>
      <c r="AS417" s="116"/>
      <c r="AT417" s="116"/>
      <c r="AU417" s="116"/>
      <c r="AV417" s="78"/>
      <c r="AW417" s="102"/>
      <c r="AX417" s="78"/>
      <c r="AY417" s="78"/>
      <c r="AZ417" s="78"/>
      <c r="BA417" s="78"/>
      <c r="BB417" s="78"/>
      <c r="BC417" s="78"/>
      <c r="BD417" s="78"/>
      <c r="BE417" s="465"/>
      <c r="BF417" s="165" t="str">
        <f t="shared" si="317"/>
        <v>https://www.google.com/search?tbm=isch&amp;q=3%20G4</v>
      </c>
      <c r="BG417" s="165" t="str">
        <f t="shared" si="318"/>
        <v>A</v>
      </c>
      <c r="BH417" s="65"/>
      <c r="BI417" s="65"/>
      <c r="BJ417" s="65"/>
      <c r="BK417" s="65"/>
      <c r="BL417" s="99"/>
      <c r="BM417" s="99"/>
      <c r="BN417" s="99"/>
    </row>
    <row r="418" spans="1:66" s="51" customFormat="1" ht="15.75" x14ac:dyDescent="0.25">
      <c r="A418" s="508" t="s">
        <v>4670</v>
      </c>
      <c r="B418" s="487"/>
      <c r="C418" s="707"/>
      <c r="D418" s="487"/>
      <c r="E418" s="487"/>
      <c r="F418" s="488"/>
      <c r="G418" s="489"/>
      <c r="H418" s="487"/>
      <c r="I418" s="490"/>
      <c r="J418" s="490"/>
      <c r="K418" s="491"/>
      <c r="L418" s="547"/>
      <c r="M418" s="528"/>
      <c r="N418" s="492"/>
      <c r="O418" s="493"/>
      <c r="P418" s="494"/>
      <c r="Q418" s="492"/>
      <c r="R418" s="492"/>
      <c r="S418" s="699" t="s">
        <v>5259</v>
      </c>
      <c r="T418" s="102">
        <f t="shared" si="306"/>
        <v>0</v>
      </c>
      <c r="U418" s="78" t="str">
        <f>IF(NOT(ISNUMBER(G418)), "", VLOOKUP(A418,'Discount Lookup'!D:E,2,FALSE)*G418)</f>
        <v/>
      </c>
      <c r="V418" s="78" t="str">
        <f>IF(NOT(ISNUMBER(G418)), "", VLOOKUP(A418,'Discount Lookup'!G:H,2,FALSE)*G418)</f>
        <v/>
      </c>
      <c r="W418" s="102">
        <f t="shared" si="307"/>
        <v>0</v>
      </c>
      <c r="X418" s="102">
        <f t="shared" si="308"/>
        <v>0</v>
      </c>
      <c r="Y418" s="120" t="b">
        <f t="shared" si="309"/>
        <v>0</v>
      </c>
      <c r="Z418" s="117">
        <f t="shared" si="310"/>
        <v>0</v>
      </c>
      <c r="AA418" s="118"/>
      <c r="AB418" s="118" t="str">
        <f t="shared" si="311"/>
        <v/>
      </c>
      <c r="AC418" s="712" t="str">
        <f>IF(AE418="T2G","no charge",IF(AND(OR(PlanterYesMe="No",PlanterYesMe="N",PlanterYesMe="me"),H418=""),"",IF(H418="credit","NO install",IF(AND(K418="",AE418="me"),"EACH row",IF(AND(K418="images",AE418="me"),"EACH row",IF(D418="","",IF(H418="credit","",IF(AE418="free","re-planting",IF(AE418="me","   not ELP, by",IF(AND(OR(PlanterYesMe="Yes",PlanterYesMe="Y"),G418&gt;0),(VLOOKUP(A418,'Discount Lookup'!J:K,2)*G418*(1-PlanterDiscount)*(1+PlanterDifficultyPercentage)),IF(AE418="ELP",(VLOOKUP(A418,'Discount Lookup'!J:K,2)*G418*(1-PlanterDiscount)*(1+PlanterDifficultyPercentage)),IF(AE418="free","re-planting",IF(G418=0,"",IF(PlanterYesMe="",IF(AE418="me","   not ELP, by",IF(AE418="",IF(G418&gt;0,(VLOOKUP(A418,'Discount Lookup'!J:K,2)*G418*(1-PlanterDiscount)*(1+PlanterDifficultyPercentage)),""),"")),"   not ELP, by"))))))))))))))</f>
        <v/>
      </c>
      <c r="AD418" s="712"/>
      <c r="AE418" s="513" t="str">
        <f t="shared" si="312"/>
        <v/>
      </c>
      <c r="AF418" s="713" t="str">
        <f t="shared" si="313"/>
        <v/>
      </c>
      <c r="AG418" s="713"/>
      <c r="AH418" s="713"/>
      <c r="AI418" s="112">
        <f>IF(H418="credit",0,IF(AE418="free",0,IF(AE418="me",0,IF(G418&gt;0,(VLOOKUP(A418,'Discount Lookup'!J:K,2)*G418),0))))</f>
        <v>0</v>
      </c>
      <c r="AJ418" s="107" t="str">
        <f t="shared" ca="1" si="314"/>
        <v/>
      </c>
      <c r="AK418" s="714" t="str">
        <f t="shared" si="315"/>
        <v/>
      </c>
      <c r="AL418" s="714"/>
      <c r="AM418" s="114" t="str">
        <f t="shared" si="316"/>
        <v/>
      </c>
      <c r="AN418" s="115"/>
      <c r="AO418" s="116"/>
      <c r="AP418" s="116"/>
      <c r="AQ418" s="116"/>
      <c r="AR418" s="116"/>
      <c r="AS418" s="116"/>
      <c r="AT418" s="116"/>
      <c r="AU418" s="116"/>
      <c r="AV418" s="78"/>
      <c r="AW418" s="102"/>
      <c r="AX418" s="78"/>
      <c r="AY418" s="78"/>
      <c r="AZ418" s="78"/>
      <c r="BA418" s="78"/>
      <c r="BB418" s="78"/>
      <c r="BC418" s="78"/>
      <c r="BD418" s="78"/>
      <c r="BE418" s="465"/>
      <c r="BF418" s="165" t="str">
        <f t="shared" si="317"/>
        <v>https://www.google.com/search?tbm=isch&amp;q=Tiny%20Tank%20forms%20dense%2C%20dwarf%20clumps%20of%20dark%2C%20subtly%20speckled%20leaves%E2%80%94an%20almost%20indestructible%20plant.%20Sparse%20Creamy-Purple%20flowers%20</v>
      </c>
      <c r="BG418" s="165" t="str">
        <f t="shared" si="318"/>
        <v>T</v>
      </c>
      <c r="BH418" s="65"/>
      <c r="BI418" s="65"/>
      <c r="BJ418" s="65"/>
      <c r="BK418" s="65"/>
      <c r="BL418" s="99"/>
      <c r="BM418" s="99"/>
      <c r="BN418" s="99"/>
    </row>
    <row r="419" spans="1:66" s="51" customFormat="1" ht="19.5" thickBot="1" x14ac:dyDescent="0.3">
      <c r="A419" s="686" t="s">
        <v>365</v>
      </c>
      <c r="B419" s="73"/>
      <c r="C419" s="708"/>
      <c r="D419" s="73"/>
      <c r="E419" s="73"/>
      <c r="F419" s="496"/>
      <c r="G419" s="73"/>
      <c r="H419" s="73"/>
      <c r="I419" s="73"/>
      <c r="J419" s="497" t="s">
        <v>357</v>
      </c>
      <c r="K419" s="498"/>
      <c r="L419" s="562"/>
      <c r="M419" s="73"/>
      <c r="N419"/>
      <c r="O419"/>
      <c r="P419"/>
      <c r="Q419"/>
      <c r="R419"/>
      <c r="S419"/>
      <c r="T419" s="102">
        <f t="shared" si="306"/>
        <v>0</v>
      </c>
      <c r="U419" s="78" t="str">
        <f>IF(NOT(ISNUMBER(G419)), "", VLOOKUP(A419,'Discount Lookup'!D:E,2,FALSE)*G419)</f>
        <v/>
      </c>
      <c r="V419" s="78" t="str">
        <f>IF(NOT(ISNUMBER(G419)), "", VLOOKUP(A419,'Discount Lookup'!G:H,2,FALSE)*G419)</f>
        <v/>
      </c>
      <c r="W419" s="102">
        <f t="shared" si="307"/>
        <v>0</v>
      </c>
      <c r="X419" s="102">
        <f t="shared" si="308"/>
        <v>0</v>
      </c>
      <c r="Y419" s="120" t="b">
        <f t="shared" si="309"/>
        <v>0</v>
      </c>
      <c r="Z419" s="117">
        <f t="shared" si="310"/>
        <v>0</v>
      </c>
      <c r="AA419" s="118"/>
      <c r="AB419" s="118" t="str">
        <f t="shared" si="311"/>
        <v/>
      </c>
      <c r="AC419" s="712" t="str">
        <f>IF(AE419="T2G","no charge",IF(AND(OR(PlanterYesMe="No",PlanterYesMe="N",PlanterYesMe="me"),H419=""),"",IF(H419="credit","NO install",IF(AND(K419="",AE419="me"),"EACH row",IF(AND(K419="images",AE419="me"),"EACH row",IF(D419="","",IF(H419="credit","",IF(AE419="free","re-planting",IF(AE419="me","   not ELP, by",IF(AND(OR(PlanterYesMe="Yes",PlanterYesMe="Y"),G419&gt;0),(VLOOKUP(A419,'Discount Lookup'!J:K,2)*G419*(1-PlanterDiscount)*(1+PlanterDifficultyPercentage)),IF(AE419="ELP",(VLOOKUP(A419,'Discount Lookup'!J:K,2)*G419*(1-PlanterDiscount)*(1+PlanterDifficultyPercentage)),IF(AE419="free","re-planting",IF(G419=0,"",IF(PlanterYesMe="",IF(AE419="me","   not ELP, by",IF(AE419="",IF(G419&gt;0,(VLOOKUP(A419,'Discount Lookup'!J:K,2)*G419*(1-PlanterDiscount)*(1+PlanterDifficultyPercentage)),""),"")),"   not ELP, by"))))))))))))))</f>
        <v/>
      </c>
      <c r="AD419" s="712"/>
      <c r="AE419" s="513" t="str">
        <f t="shared" si="312"/>
        <v/>
      </c>
      <c r="AF419" s="713" t="str">
        <f t="shared" si="313"/>
        <v/>
      </c>
      <c r="AG419" s="713"/>
      <c r="AH419" s="713"/>
      <c r="AI419" s="112">
        <f>IF(H419="credit",0,IF(AE419="free",0,IF(AE419="me",0,IF(G419&gt;0,(VLOOKUP(A419,'Discount Lookup'!J:K,2)*G419),0))))</f>
        <v>0</v>
      </c>
      <c r="AJ419" s="107" t="str">
        <f t="shared" ca="1" si="314"/>
        <v/>
      </c>
      <c r="AK419" s="714" t="str">
        <f t="shared" si="315"/>
        <v/>
      </c>
      <c r="AL419" s="714"/>
      <c r="AM419" s="114" t="str">
        <f t="shared" si="316"/>
        <v/>
      </c>
      <c r="AN419" s="115"/>
      <c r="AO419" s="116"/>
      <c r="AP419" s="116"/>
      <c r="AQ419" s="116"/>
      <c r="AR419" s="116"/>
      <c r="AS419" s="116"/>
      <c r="AT419" s="116"/>
      <c r="AU419" s="116"/>
      <c r="AV419" s="78"/>
      <c r="AW419" s="102"/>
      <c r="AX419" s="78"/>
      <c r="AY419" s="78"/>
      <c r="AZ419" s="78"/>
      <c r="BA419" s="78"/>
      <c r="BB419" s="78"/>
      <c r="BC419" s="78"/>
      <c r="BD419" s="78"/>
      <c r="BE419" s="465"/>
      <c r="BF419" s="165" t="str">
        <f t="shared" si="317"/>
        <v>https://www.google.com/search?tbm=isch&amp;q=Astilbe%20%3D%20False%20Goat%27s%20Beard%20</v>
      </c>
      <c r="BG419" s="165" t="str">
        <f t="shared" si="318"/>
        <v>A</v>
      </c>
      <c r="BH419" s="65"/>
      <c r="BI419" s="65"/>
      <c r="BJ419" s="65"/>
      <c r="BK419" s="65"/>
      <c r="BL419" s="99"/>
      <c r="BM419" s="99"/>
      <c r="BN419" s="99"/>
    </row>
    <row r="420" spans="1:66" s="51" customFormat="1" ht="18" x14ac:dyDescent="0.25">
      <c r="A420" s="623" t="s">
        <v>1517</v>
      </c>
      <c r="B420" s="624"/>
      <c r="C420" s="709"/>
      <c r="D420" s="625" t="s">
        <v>1518</v>
      </c>
      <c r="E420" s="626"/>
      <c r="F420" s="626"/>
      <c r="G420" s="626"/>
      <c r="H420" s="622" t="s">
        <v>1519</v>
      </c>
      <c r="I420" s="627" t="s">
        <v>349</v>
      </c>
      <c r="J420" s="628"/>
      <c r="K420" s="628"/>
      <c r="L420" s="629"/>
      <c r="M420" s="702" t="s">
        <v>5256</v>
      </c>
      <c r="N420" s="693" t="str">
        <f>IF(AND(ISTEXT($A420), ISERROR($A420+0)), HYPERLINK($BF420, "Images"), "")</f>
        <v>Images</v>
      </c>
      <c r="O420" s="695" t="s">
        <v>5247</v>
      </c>
      <c r="P420" s="630"/>
      <c r="Q420" s="631"/>
      <c r="R420" s="632"/>
      <c r="S420" s="633"/>
      <c r="T420" s="102">
        <f t="shared" si="306"/>
        <v>0</v>
      </c>
      <c r="U420" s="78" t="str">
        <f>IF(NOT(ISNUMBER(G420)), "", VLOOKUP(A420,'Discount Lookup'!D:E,2,FALSE)*G420)</f>
        <v/>
      </c>
      <c r="V420" s="78" t="str">
        <f>IF(NOT(ISNUMBER(G420)), "", VLOOKUP(A420,'Discount Lookup'!G:H,2,FALSE)*G420)</f>
        <v/>
      </c>
      <c r="W420" s="102">
        <f t="shared" si="307"/>
        <v>0</v>
      </c>
      <c r="X420" s="102" t="str">
        <f t="shared" si="308"/>
        <v>White bloom</v>
      </c>
      <c r="Y420" s="120" t="b">
        <f t="shared" si="309"/>
        <v>0</v>
      </c>
      <c r="Z420" s="117">
        <f t="shared" si="310"/>
        <v>0</v>
      </c>
      <c r="AA420" s="118"/>
      <c r="AB420" s="118" t="str">
        <f t="shared" si="311"/>
        <v/>
      </c>
      <c r="AC420" s="712" t="str">
        <f>IF(AE420="T2G","no charge",IF(AND(OR(PlanterYesMe="No",PlanterYesMe="N",PlanterYesMe="me"),H420=""),"",IF(H420="credit","NO install",IF(AND(K420="",AE420="me"),"EACH row",IF(AND(K420="images",AE420="me"),"EACH row",IF(D420="","",IF(H420="credit","",IF(AE420="free","re-planting",IF(AE420="me","   not ELP, by",IF(AND(OR(PlanterYesMe="Yes",PlanterYesMe="Y"),G420&gt;0),(VLOOKUP(A420,'Discount Lookup'!J:K,2)*G420*(1-PlanterDiscount)*(1+PlanterDifficultyPercentage)),IF(AE420="ELP",(VLOOKUP(A420,'Discount Lookup'!J:K,2)*G420*(1-PlanterDiscount)*(1+PlanterDifficultyPercentage)),IF(AE420="free","re-planting",IF(G420=0,"",IF(PlanterYesMe="",IF(AE420="me","   not ELP, by",IF(AE420="",IF(G420&gt;0,(VLOOKUP(A420,'Discount Lookup'!J:K,2)*G420*(1-PlanterDiscount)*(1+PlanterDifficultyPercentage)),""),"")),"   not ELP, by"))))))))))))))</f>
        <v/>
      </c>
      <c r="AD420" s="712"/>
      <c r="AE420" s="513" t="str">
        <f t="shared" si="312"/>
        <v/>
      </c>
      <c r="AF420" s="713" t="str">
        <f t="shared" si="313"/>
        <v/>
      </c>
      <c r="AG420" s="713"/>
      <c r="AH420" s="713"/>
      <c r="AI420" s="112">
        <f>IF(H420="credit",0,IF(AE420="free",0,IF(AE420="me",0,IF(G420&gt;0,(VLOOKUP(A420,'Discount Lookup'!J:K,2)*G420),0))))</f>
        <v>0</v>
      </c>
      <c r="AJ420" s="107" t="str">
        <f t="shared" ca="1" si="314"/>
        <v/>
      </c>
      <c r="AK420" s="714" t="str">
        <f t="shared" si="315"/>
        <v/>
      </c>
      <c r="AL420" s="714"/>
      <c r="AM420" s="114" t="str">
        <f t="shared" si="316"/>
        <v/>
      </c>
      <c r="AN420" s="115"/>
      <c r="AO420" s="116"/>
      <c r="AP420" s="116"/>
      <c r="AQ420" s="116"/>
      <c r="AR420" s="116"/>
      <c r="AS420" s="116"/>
      <c r="AT420" s="116"/>
      <c r="AU420" s="116"/>
      <c r="AV420" s="78"/>
      <c r="AW420" s="102"/>
      <c r="AX420" s="78"/>
      <c r="AY420" s="78"/>
      <c r="AZ420" s="78"/>
      <c r="BA420" s="78"/>
      <c r="BB420" s="78"/>
      <c r="BC420" s="78"/>
      <c r="BD420" s="78"/>
      <c r="BE420" s="465"/>
      <c r="BF420" s="165" t="str">
        <f t="shared" si="317"/>
        <v>https://www.google.com/search?tbm=isch&amp;q=Astilbe%20chinensis%20%27Visions%20in%20White%27%20PP%2318965%20Visions%20in%20White%20Astilbe</v>
      </c>
      <c r="BG420" s="165" t="str">
        <f t="shared" si="318"/>
        <v>A</v>
      </c>
      <c r="BH420" s="65"/>
      <c r="BI420" s="65"/>
      <c r="BJ420" s="65"/>
      <c r="BK420" s="65"/>
      <c r="BL420" s="99"/>
      <c r="BM420" s="99"/>
      <c r="BN420" s="99"/>
    </row>
    <row r="421" spans="1:66" s="51" customFormat="1" ht="15.75" x14ac:dyDescent="0.25">
      <c r="A421" s="634">
        <v>4</v>
      </c>
      <c r="B421" s="635" t="s">
        <v>338</v>
      </c>
      <c r="C421" s="636"/>
      <c r="D421" s="637" t="s">
        <v>329</v>
      </c>
      <c r="E421" s="638">
        <v>13.95</v>
      </c>
      <c r="F421" s="639" t="s">
        <v>292</v>
      </c>
      <c r="G421" s="484">
        <v>0</v>
      </c>
      <c r="H421" s="691" t="str">
        <f>IF(G421=0,"",IF(F421="Buy",IF(G421=1,"plant","plants"),IF(F421&gt;0.01,"warranty","Error")))</f>
        <v/>
      </c>
      <c r="I421" s="640">
        <f>IF(H421="free",0,IF(H421="credit",((E421*(F421))*G421*-1),IF(F421="Buy",(E421*G421),((E421*(1-F421))*G421))))</f>
        <v>0</v>
      </c>
      <c r="J421" s="640">
        <f>IF(H421="warranty",0,(I421*(_xlfn.SINGLE(SalesTaxPercentage))))</f>
        <v>0</v>
      </c>
      <c r="K421" s="716">
        <f t="shared" ref="K421" si="327">I421+J421</f>
        <v>0</v>
      </c>
      <c r="L421" s="716"/>
      <c r="M421" s="689" t="str">
        <f ca="1">IF(AND(G421&gt;0,E421=0),"WARNING - no PRICE inserted",IF(H421="free","FREE ~ no charge this plant",IF(H421="credit",CONCATENATE("-$",ROUND(K421*(1-_xlfn.SINGLE(T2GDiscount))*-1,2)," CREDIT after discount"),IF(_xlfn.SINGLE(T2GDiscount)=0,"",IF(G421=0,"",IF(F421="Buy",CONCATENATE("$",ROUND(K421*(1-_xlfn.SINGLE(T2GDiscount)),2)," with ",(_xlfn.SINGLE(T2GDiscount)*100),"% discount"),CONCATENATE("$",ROUND(K421*(1-_xlfn.SINGLE(T2GDiscount)),2)," with ",((_xlfn.SINGLE(T2GDiscount)*100+F421*100)-(_xlfn.SINGLE(T2GDiscount)*100*F421)),IF(F421&gt;0,"% discounts",IF(_xlfn.SINGLE(NoWarrantyDiscount)&gt;0,"% discounts","% discount")))))))))</f>
        <v/>
      </c>
      <c r="N421" s="690"/>
      <c r="O421" s="486"/>
      <c r="P421" s="486"/>
      <c r="Q421" s="486"/>
      <c r="R421" s="486"/>
      <c r="S421" s="486"/>
      <c r="T421" s="102">
        <f t="shared" si="306"/>
        <v>0</v>
      </c>
      <c r="U421" s="78">
        <f>IF(NOT(ISNUMBER(G421)), "", VLOOKUP(A421,'Discount Lookup'!D:E,2,FALSE)*G421)</f>
        <v>0</v>
      </c>
      <c r="V421" s="78">
        <f>IF(NOT(ISNUMBER(G421)), "", VLOOKUP(A421,'Discount Lookup'!G:H,2,FALSE)*G421)</f>
        <v>0</v>
      </c>
      <c r="W421" s="102">
        <f t="shared" si="307"/>
        <v>0</v>
      </c>
      <c r="X421" s="102">
        <f t="shared" si="308"/>
        <v>0</v>
      </c>
      <c r="Y421" s="120" t="b">
        <f t="shared" si="309"/>
        <v>0</v>
      </c>
      <c r="Z421" s="117">
        <f t="shared" si="310"/>
        <v>0</v>
      </c>
      <c r="AA421" s="118"/>
      <c r="AB421" s="118" t="str">
        <f t="shared" si="311"/>
        <v/>
      </c>
      <c r="AC421" s="712" t="str">
        <f>IF(AE421="T2G","no charge",IF(AND(OR(PlanterYesMe="No",PlanterYesMe="N",PlanterYesMe="me"),H421=""),"",IF(H421="credit","NO install",IF(AND(K421="",AE421="me"),"EACH row",IF(AND(K421="images",AE421="me"),"EACH row",IF(D421="","",IF(H421="credit","",IF(AE421="free","re-planting",IF(AE421="me","   not ELP, by",IF(AND(OR(PlanterYesMe="Yes",PlanterYesMe="Y"),G421&gt;0),(VLOOKUP(A421,'Discount Lookup'!J:K,2)*G421*(1-PlanterDiscount)*(1+PlanterDifficultyPercentage)),IF(AE421="ELP",(VLOOKUP(A421,'Discount Lookup'!J:K,2)*G421*(1-PlanterDiscount)*(1+PlanterDifficultyPercentage)),IF(AE421="free","re-planting",IF(G421=0,"",IF(PlanterYesMe="",IF(AE421="me","   not ELP, by",IF(AE421="",IF(G421&gt;0,(VLOOKUP(A421,'Discount Lookup'!J:K,2)*G421*(1-PlanterDiscount)*(1+PlanterDifficultyPercentage)),""),"")),"   not ELP, by"))))))))))))))</f>
        <v/>
      </c>
      <c r="AD421" s="712"/>
      <c r="AE421" s="513" t="str">
        <f t="shared" si="312"/>
        <v/>
      </c>
      <c r="AF421" s="713" t="str">
        <f t="shared" si="313"/>
        <v/>
      </c>
      <c r="AG421" s="713"/>
      <c r="AH421" s="713"/>
      <c r="AI421" s="112">
        <f>IF(H421="credit",0,IF(AE421="free",0,IF(AE421="me",0,IF(G421&gt;0,(VLOOKUP(A421,'Discount Lookup'!J:K,2)*G421),0))))</f>
        <v>0</v>
      </c>
      <c r="AJ421" s="107" t="str">
        <f t="shared" ca="1" si="314"/>
        <v/>
      </c>
      <c r="AK421" s="714" t="str">
        <f t="shared" si="315"/>
        <v/>
      </c>
      <c r="AL421" s="714"/>
      <c r="AM421" s="114" t="str">
        <f t="shared" si="316"/>
        <v/>
      </c>
      <c r="AN421" s="115"/>
      <c r="AO421" s="116"/>
      <c r="AP421" s="116"/>
      <c r="AQ421" s="116"/>
      <c r="AR421" s="116"/>
      <c r="AS421" s="116"/>
      <c r="AT421" s="116"/>
      <c r="AU421" s="116"/>
      <c r="AV421" s="78"/>
      <c r="AW421" s="102"/>
      <c r="AX421" s="78"/>
      <c r="AY421" s="78"/>
      <c r="AZ421" s="78"/>
      <c r="BA421" s="78"/>
      <c r="BB421" s="78"/>
      <c r="BC421" s="78"/>
      <c r="BD421" s="78"/>
      <c r="BE421" s="465"/>
      <c r="BF421" s="165" t="str">
        <f t="shared" si="317"/>
        <v>https://www.google.com/search?tbm=isch&amp;q=4%20G2</v>
      </c>
      <c r="BG421" s="165" t="str">
        <f t="shared" si="318"/>
        <v>A</v>
      </c>
      <c r="BH421" s="65"/>
      <c r="BI421" s="65"/>
      <c r="BJ421" s="65"/>
      <c r="BK421" s="65"/>
      <c r="BL421" s="99"/>
      <c r="BM421" s="99"/>
      <c r="BN421" s="99"/>
    </row>
    <row r="422" spans="1:66" s="51" customFormat="1" ht="17.25" thickBot="1" x14ac:dyDescent="0.3">
      <c r="A422" s="704" t="s">
        <v>5340</v>
      </c>
      <c r="B422" s="642"/>
      <c r="C422" s="710"/>
      <c r="D422" s="643"/>
      <c r="E422" s="643"/>
      <c r="F422" s="644"/>
      <c r="G422" s="645"/>
      <c r="H422" s="646"/>
      <c r="I422" s="647"/>
      <c r="J422" s="648"/>
      <c r="K422" s="649"/>
      <c r="L422" s="650"/>
      <c r="M422" s="650"/>
      <c r="N422" s="644"/>
      <c r="O422" s="644"/>
      <c r="P422" s="644"/>
      <c r="Q422" s="644"/>
      <c r="R422" s="644"/>
      <c r="S422" s="701" t="s">
        <v>5270</v>
      </c>
      <c r="T422" s="102">
        <f t="shared" si="306"/>
        <v>0</v>
      </c>
      <c r="U422" s="78" t="str">
        <f>IF(NOT(ISNUMBER(G422)), "", VLOOKUP(A422,'Discount Lookup'!D:E,2,FALSE)*G422)</f>
        <v/>
      </c>
      <c r="V422" s="78" t="str">
        <f>IF(NOT(ISNUMBER(G422)), "", VLOOKUP(A422,'Discount Lookup'!G:H,2,FALSE)*G422)</f>
        <v/>
      </c>
      <c r="W422" s="102">
        <f t="shared" si="307"/>
        <v>0</v>
      </c>
      <c r="X422" s="102">
        <f t="shared" si="308"/>
        <v>0</v>
      </c>
      <c r="Y422" s="120" t="b">
        <f t="shared" si="309"/>
        <v>0</v>
      </c>
      <c r="Z422" s="117">
        <f t="shared" si="310"/>
        <v>0</v>
      </c>
      <c r="AA422" s="118"/>
      <c r="AB422" s="118" t="str">
        <f t="shared" si="311"/>
        <v/>
      </c>
      <c r="AC422" s="712" t="str">
        <f>IF(AE422="T2G","no charge",IF(AND(OR(PlanterYesMe="No",PlanterYesMe="N",PlanterYesMe="me"),H422=""),"",IF(H422="credit","NO install",IF(AND(K422="",AE422="me"),"EACH row",IF(AND(K422="images",AE422="me"),"EACH row",IF(D422="","",IF(H422="credit","",IF(AE422="free","re-planting",IF(AE422="me","   not ELP, by",IF(AND(OR(PlanterYesMe="Yes",PlanterYesMe="Y"),G422&gt;0),(VLOOKUP(A422,'Discount Lookup'!J:K,2)*G422*(1-PlanterDiscount)*(1+PlanterDifficultyPercentage)),IF(AE422="ELP",(VLOOKUP(A422,'Discount Lookup'!J:K,2)*G422*(1-PlanterDiscount)*(1+PlanterDifficultyPercentage)),IF(AE422="free","re-planting",IF(G422=0,"",IF(PlanterYesMe="",IF(AE422="me","   not ELP, by",IF(AE422="",IF(G422&gt;0,(VLOOKUP(A422,'Discount Lookup'!J:K,2)*G422*(1-PlanterDiscount)*(1+PlanterDifficultyPercentage)),""),"")),"   not ELP, by"))))))))))))))</f>
        <v/>
      </c>
      <c r="AD422" s="712"/>
      <c r="AE422" s="513" t="str">
        <f t="shared" si="312"/>
        <v/>
      </c>
      <c r="AF422" s="713" t="str">
        <f t="shared" si="313"/>
        <v/>
      </c>
      <c r="AG422" s="713"/>
      <c r="AH422" s="713"/>
      <c r="AI422" s="112">
        <f>IF(H422="credit",0,IF(AE422="free",0,IF(AE422="me",0,IF(G422&gt;0,(VLOOKUP(A422,'Discount Lookup'!J:K,2)*G422),0))))</f>
        <v>0</v>
      </c>
      <c r="AJ422" s="107" t="str">
        <f t="shared" ca="1" si="314"/>
        <v/>
      </c>
      <c r="AK422" s="714" t="str">
        <f t="shared" si="315"/>
        <v/>
      </c>
      <c r="AL422" s="714"/>
      <c r="AM422" s="114" t="str">
        <f t="shared" si="316"/>
        <v/>
      </c>
      <c r="AN422" s="115"/>
      <c r="AO422" s="116"/>
      <c r="AP422" s="116"/>
      <c r="AQ422" s="116"/>
      <c r="AR422" s="116"/>
      <c r="AS422" s="116"/>
      <c r="AT422" s="116"/>
      <c r="AU422" s="116"/>
      <c r="AV422" s="78"/>
      <c r="AW422" s="102"/>
      <c r="AX422" s="78"/>
      <c r="AY422" s="78"/>
      <c r="AZ422" s="78"/>
      <c r="BA422" s="78"/>
      <c r="BB422" s="78"/>
      <c r="BC422" s="78"/>
      <c r="BD422" s="78"/>
      <c r="BE422" s="465"/>
      <c r="BF422" s="165" t="str">
        <f t="shared" si="317"/>
        <v>https://www.google.com/search?tbm=isch&amp;q=moist%20sites%F0%9F%92%A7GOOD%2C%20Visions%20in%20White%20Astilbe%20offers%20elegant%20midsummer%20flower%20plumes%20above%20Bronze-Green%20foliage%20</v>
      </c>
      <c r="BG422" s="165" t="str">
        <f t="shared" si="318"/>
        <v>m</v>
      </c>
      <c r="BH422" s="65"/>
      <c r="BI422" s="65"/>
      <c r="BJ422" s="65"/>
      <c r="BK422" s="65"/>
      <c r="BL422" s="99"/>
      <c r="BM422" s="99"/>
      <c r="BN422" s="99"/>
    </row>
    <row r="423" spans="1:66" s="51" customFormat="1" ht="18" x14ac:dyDescent="0.25">
      <c r="A423" s="623" t="s">
        <v>1520</v>
      </c>
      <c r="B423" s="624"/>
      <c r="C423" s="709"/>
      <c r="D423" s="625" t="s">
        <v>1521</v>
      </c>
      <c r="E423" s="626"/>
      <c r="F423" s="626"/>
      <c r="G423" s="626"/>
      <c r="H423" s="622" t="s">
        <v>1511</v>
      </c>
      <c r="I423" s="627" t="s">
        <v>4863</v>
      </c>
      <c r="J423" s="628"/>
      <c r="K423" s="628"/>
      <c r="L423" s="629"/>
      <c r="M423" s="702" t="s">
        <v>5256</v>
      </c>
      <c r="N423" s="693" t="str">
        <f>IF(AND(ISTEXT($A423), ISERROR($A423+0)), HYPERLINK($BF423, "Images"), "")</f>
        <v>Images</v>
      </c>
      <c r="O423" s="695" t="s">
        <v>5247</v>
      </c>
      <c r="P423" s="630"/>
      <c r="Q423" s="631"/>
      <c r="R423" s="632"/>
      <c r="S423" s="633"/>
      <c r="T423" s="102">
        <f t="shared" si="306"/>
        <v>0</v>
      </c>
      <c r="U423" s="78" t="str">
        <f>IF(NOT(ISNUMBER(G423)), "", VLOOKUP(A423,'Discount Lookup'!D:E,2,FALSE)*G423)</f>
        <v/>
      </c>
      <c r="V423" s="78" t="str">
        <f>IF(NOT(ISNUMBER(G423)), "", VLOOKUP(A423,'Discount Lookup'!G:H,2,FALSE)*G423)</f>
        <v/>
      </c>
      <c r="W423" s="102">
        <f t="shared" si="307"/>
        <v>0</v>
      </c>
      <c r="X423" s="102" t="str">
        <f t="shared" si="308"/>
        <v>Creamy-White bloom</v>
      </c>
      <c r="Y423" s="120" t="b">
        <f t="shared" si="309"/>
        <v>0</v>
      </c>
      <c r="Z423" s="117">
        <f t="shared" si="310"/>
        <v>0</v>
      </c>
      <c r="AA423" s="118"/>
      <c r="AB423" s="118" t="str">
        <f t="shared" si="311"/>
        <v/>
      </c>
      <c r="AC423" s="712" t="str">
        <f>IF(AE423="T2G","no charge",IF(AND(OR(PlanterYesMe="No",PlanterYesMe="N",PlanterYesMe="me"),H423=""),"",IF(H423="credit","NO install",IF(AND(K423="",AE423="me"),"EACH row",IF(AND(K423="images",AE423="me"),"EACH row",IF(D423="","",IF(H423="credit","",IF(AE423="free","re-planting",IF(AE423="me","   not ELP, by",IF(AND(OR(PlanterYesMe="Yes",PlanterYesMe="Y"),G423&gt;0),(VLOOKUP(A423,'Discount Lookup'!J:K,2)*G423*(1-PlanterDiscount)*(1+PlanterDifficultyPercentage)),IF(AE423="ELP",(VLOOKUP(A423,'Discount Lookup'!J:K,2)*G423*(1-PlanterDiscount)*(1+PlanterDifficultyPercentage)),IF(AE423="free","re-planting",IF(G423=0,"",IF(PlanterYesMe="",IF(AE423="me","   not ELP, by",IF(AE423="",IF(G423&gt;0,(VLOOKUP(A423,'Discount Lookup'!J:K,2)*G423*(1-PlanterDiscount)*(1+PlanterDifficultyPercentage)),""),"")),"   not ELP, by"))))))))))))))</f>
        <v/>
      </c>
      <c r="AD423" s="712"/>
      <c r="AE423" s="513" t="str">
        <f t="shared" si="312"/>
        <v/>
      </c>
      <c r="AF423" s="713" t="str">
        <f t="shared" si="313"/>
        <v/>
      </c>
      <c r="AG423" s="713"/>
      <c r="AH423" s="713"/>
      <c r="AI423" s="112">
        <f>IF(H423="credit",0,IF(AE423="free",0,IF(AE423="me",0,IF(G423&gt;0,(VLOOKUP(A423,'Discount Lookup'!J:K,2)*G423),0))))</f>
        <v>0</v>
      </c>
      <c r="AJ423" s="107" t="str">
        <f t="shared" ca="1" si="314"/>
        <v/>
      </c>
      <c r="AK423" s="714" t="str">
        <f t="shared" si="315"/>
        <v/>
      </c>
      <c r="AL423" s="714"/>
      <c r="AM423" s="114" t="str">
        <f t="shared" si="316"/>
        <v/>
      </c>
      <c r="AN423" s="115"/>
      <c r="AO423" s="116"/>
      <c r="AP423" s="116"/>
      <c r="AQ423" s="116"/>
      <c r="AR423" s="116"/>
      <c r="AS423" s="116"/>
      <c r="AT423" s="116"/>
      <c r="AU423" s="116"/>
      <c r="AV423" s="78"/>
      <c r="AW423" s="102"/>
      <c r="AX423" s="78"/>
      <c r="AY423" s="78"/>
      <c r="AZ423" s="78"/>
      <c r="BA423" s="78"/>
      <c r="BB423" s="78"/>
      <c r="BC423" s="78"/>
      <c r="BD423" s="78"/>
      <c r="BE423" s="465"/>
      <c r="BF423" s="165" t="str">
        <f t="shared" si="317"/>
        <v>https://www.google.com/search?tbm=isch&amp;q=Astilbe%20x%20arendsii%20%27Brautschleier%27%20Bridal%20Veil%20Astilbe</v>
      </c>
      <c r="BG423" s="165" t="str">
        <f t="shared" si="318"/>
        <v>A</v>
      </c>
      <c r="BH423" s="65"/>
      <c r="BI423" s="65"/>
      <c r="BJ423" s="65"/>
      <c r="BK423" s="65"/>
      <c r="BL423" s="99"/>
      <c r="BM423" s="99"/>
      <c r="BN423" s="99"/>
    </row>
    <row r="424" spans="1:66" s="51" customFormat="1" ht="15.75" x14ac:dyDescent="0.25">
      <c r="A424" s="634">
        <v>4</v>
      </c>
      <c r="B424" s="635" t="s">
        <v>338</v>
      </c>
      <c r="C424" s="636"/>
      <c r="D424" s="637" t="s">
        <v>329</v>
      </c>
      <c r="E424" s="638">
        <v>13.95</v>
      </c>
      <c r="F424" s="639" t="s">
        <v>292</v>
      </c>
      <c r="G424" s="484">
        <v>0</v>
      </c>
      <c r="H424" s="691" t="str">
        <f>IF(G424=0,"",IF(F424="Buy",IF(G424=1,"plant","plants"),IF(F424&gt;0.01,"warranty","Error")))</f>
        <v/>
      </c>
      <c r="I424" s="640">
        <f>IF(H424="free",0,IF(H424="credit",((E424*(F424))*G424*-1),IF(F424="Buy",(E424*G424),((E424*(1-F424))*G424))))</f>
        <v>0</v>
      </c>
      <c r="J424" s="640">
        <f>IF(H424="warranty",0,(I424*(_xlfn.SINGLE(SalesTaxPercentage))))</f>
        <v>0</v>
      </c>
      <c r="K424" s="716">
        <f t="shared" ref="K424" si="328">I424+J424</f>
        <v>0</v>
      </c>
      <c r="L424" s="716"/>
      <c r="M424" s="689" t="str">
        <f ca="1">IF(AND(G424&gt;0,E424=0),"WARNING - no PRICE inserted",IF(H424="free","FREE ~ no charge this plant",IF(H424="credit",CONCATENATE("-$",ROUND(K424*(1-_xlfn.SINGLE(T2GDiscount))*-1,2)," CREDIT after discount"),IF(_xlfn.SINGLE(T2GDiscount)=0,"",IF(G424=0,"",IF(F424="Buy",CONCATENATE("$",ROUND(K424*(1-_xlfn.SINGLE(T2GDiscount)),2)," with ",(_xlfn.SINGLE(T2GDiscount)*100),"% discount"),CONCATENATE("$",ROUND(K424*(1-_xlfn.SINGLE(T2GDiscount)),2)," with ",((_xlfn.SINGLE(T2GDiscount)*100+F424*100)-(_xlfn.SINGLE(T2GDiscount)*100*F424)),IF(F424&gt;0,"% discounts",IF(_xlfn.SINGLE(NoWarrantyDiscount)&gt;0,"% discounts","% discount")))))))))</f>
        <v/>
      </c>
      <c r="N424" s="690"/>
      <c r="O424" s="486"/>
      <c r="P424" s="486"/>
      <c r="Q424" s="486"/>
      <c r="R424" s="486"/>
      <c r="S424" s="486"/>
      <c r="T424" s="102">
        <f t="shared" si="306"/>
        <v>0</v>
      </c>
      <c r="U424" s="78">
        <f>IF(NOT(ISNUMBER(G424)), "", VLOOKUP(A424,'Discount Lookup'!D:E,2,FALSE)*G424)</f>
        <v>0</v>
      </c>
      <c r="V424" s="78">
        <f>IF(NOT(ISNUMBER(G424)), "", VLOOKUP(A424,'Discount Lookup'!G:H,2,FALSE)*G424)</f>
        <v>0</v>
      </c>
      <c r="W424" s="102">
        <f t="shared" si="307"/>
        <v>0</v>
      </c>
      <c r="X424" s="102">
        <f t="shared" si="308"/>
        <v>0</v>
      </c>
      <c r="Y424" s="120" t="b">
        <f t="shared" si="309"/>
        <v>0</v>
      </c>
      <c r="Z424" s="117">
        <f t="shared" si="310"/>
        <v>0</v>
      </c>
      <c r="AA424" s="118"/>
      <c r="AB424" s="118" t="str">
        <f t="shared" si="311"/>
        <v/>
      </c>
      <c r="AC424" s="712" t="str">
        <f>IF(AE424="T2G","no charge",IF(AND(OR(PlanterYesMe="No",PlanterYesMe="N",PlanterYesMe="me"),H424=""),"",IF(H424="credit","NO install",IF(AND(K424="",AE424="me"),"EACH row",IF(AND(K424="images",AE424="me"),"EACH row",IF(D424="","",IF(H424="credit","",IF(AE424="free","re-planting",IF(AE424="me","   not ELP, by",IF(AND(OR(PlanterYesMe="Yes",PlanterYesMe="Y"),G424&gt;0),(VLOOKUP(A424,'Discount Lookup'!J:K,2)*G424*(1-PlanterDiscount)*(1+PlanterDifficultyPercentage)),IF(AE424="ELP",(VLOOKUP(A424,'Discount Lookup'!J:K,2)*G424*(1-PlanterDiscount)*(1+PlanterDifficultyPercentage)),IF(AE424="free","re-planting",IF(G424=0,"",IF(PlanterYesMe="",IF(AE424="me","   not ELP, by",IF(AE424="",IF(G424&gt;0,(VLOOKUP(A424,'Discount Lookup'!J:K,2)*G424*(1-PlanterDiscount)*(1+PlanterDifficultyPercentage)),""),"")),"   not ELP, by"))))))))))))))</f>
        <v/>
      </c>
      <c r="AD424" s="712"/>
      <c r="AE424" s="513" t="str">
        <f t="shared" si="312"/>
        <v/>
      </c>
      <c r="AF424" s="713" t="str">
        <f t="shared" si="313"/>
        <v/>
      </c>
      <c r="AG424" s="713"/>
      <c r="AH424" s="713"/>
      <c r="AI424" s="112">
        <f>IF(H424="credit",0,IF(AE424="free",0,IF(AE424="me",0,IF(G424&gt;0,(VLOOKUP(A424,'Discount Lookup'!J:K,2)*G424),0))))</f>
        <v>0</v>
      </c>
      <c r="AJ424" s="107" t="str">
        <f t="shared" ca="1" si="314"/>
        <v/>
      </c>
      <c r="AK424" s="714" t="str">
        <f t="shared" si="315"/>
        <v/>
      </c>
      <c r="AL424" s="714"/>
      <c r="AM424" s="114" t="str">
        <f t="shared" si="316"/>
        <v/>
      </c>
      <c r="AN424" s="115"/>
      <c r="AO424" s="116"/>
      <c r="AP424" s="116"/>
      <c r="AQ424" s="116"/>
      <c r="AR424" s="116"/>
      <c r="AS424" s="116"/>
      <c r="AT424" s="116"/>
      <c r="AU424" s="116"/>
      <c r="AV424" s="78"/>
      <c r="AW424" s="102"/>
      <c r="AX424" s="78"/>
      <c r="AY424" s="78"/>
      <c r="AZ424" s="78"/>
      <c r="BA424" s="78"/>
      <c r="BB424" s="78"/>
      <c r="BC424" s="78"/>
      <c r="BD424" s="78"/>
      <c r="BE424" s="465"/>
      <c r="BF424" s="165" t="str">
        <f t="shared" si="317"/>
        <v>https://www.google.com/search?tbm=isch&amp;q=4%20G2</v>
      </c>
      <c r="BG424" s="165" t="str">
        <f t="shared" si="318"/>
        <v>A</v>
      </c>
      <c r="BH424" s="65"/>
      <c r="BI424" s="65"/>
      <c r="BJ424" s="65"/>
      <c r="BK424" s="65"/>
      <c r="BL424" s="99"/>
      <c r="BM424" s="99"/>
      <c r="BN424" s="99"/>
    </row>
    <row r="425" spans="1:66" s="51" customFormat="1" ht="17.25" thickBot="1" x14ac:dyDescent="0.3">
      <c r="A425" s="704" t="s">
        <v>5341</v>
      </c>
      <c r="B425" s="642"/>
      <c r="C425" s="710"/>
      <c r="D425" s="643"/>
      <c r="E425" s="643"/>
      <c r="F425" s="644"/>
      <c r="G425" s="645"/>
      <c r="H425" s="646"/>
      <c r="I425" s="647"/>
      <c r="J425" s="648"/>
      <c r="K425" s="649"/>
      <c r="L425" s="650"/>
      <c r="M425" s="650"/>
      <c r="N425" s="644"/>
      <c r="O425" s="644"/>
      <c r="P425" s="644"/>
      <c r="Q425" s="644"/>
      <c r="R425" s="644"/>
      <c r="S425" s="701" t="s">
        <v>5267</v>
      </c>
      <c r="T425" s="102">
        <f t="shared" si="306"/>
        <v>0</v>
      </c>
      <c r="U425" s="78" t="str">
        <f>IF(NOT(ISNUMBER(G425)), "", VLOOKUP(A425,'Discount Lookup'!D:E,2,FALSE)*G425)</f>
        <v/>
      </c>
      <c r="V425" s="78" t="str">
        <f>IF(NOT(ISNUMBER(G425)), "", VLOOKUP(A425,'Discount Lookup'!G:H,2,FALSE)*G425)</f>
        <v/>
      </c>
      <c r="W425" s="102">
        <f t="shared" si="307"/>
        <v>0</v>
      </c>
      <c r="X425" s="102">
        <f t="shared" si="308"/>
        <v>0</v>
      </c>
      <c r="Y425" s="120" t="b">
        <f t="shared" si="309"/>
        <v>0</v>
      </c>
      <c r="Z425" s="117">
        <f t="shared" si="310"/>
        <v>0</v>
      </c>
      <c r="AA425" s="118"/>
      <c r="AB425" s="118" t="str">
        <f t="shared" si="311"/>
        <v/>
      </c>
      <c r="AC425" s="712" t="str">
        <f>IF(AE425="T2G","no charge",IF(AND(OR(PlanterYesMe="No",PlanterYesMe="N",PlanterYesMe="me"),H425=""),"",IF(H425="credit","NO install",IF(AND(K425="",AE425="me"),"EACH row",IF(AND(K425="images",AE425="me"),"EACH row",IF(D425="","",IF(H425="credit","",IF(AE425="free","re-planting",IF(AE425="me","   not ELP, by",IF(AND(OR(PlanterYesMe="Yes",PlanterYesMe="Y"),G425&gt;0),(VLOOKUP(A425,'Discount Lookup'!J:K,2)*G425*(1-PlanterDiscount)*(1+PlanterDifficultyPercentage)),IF(AE425="ELP",(VLOOKUP(A425,'Discount Lookup'!J:K,2)*G425*(1-PlanterDiscount)*(1+PlanterDifficultyPercentage)),IF(AE425="free","re-planting",IF(G425=0,"",IF(PlanterYesMe="",IF(AE425="me","   not ELP, by",IF(AE425="",IF(G425&gt;0,(VLOOKUP(A425,'Discount Lookup'!J:K,2)*G425*(1-PlanterDiscount)*(1+PlanterDifficultyPercentage)),""),"")),"   not ELP, by"))))))))))))))</f>
        <v/>
      </c>
      <c r="AD425" s="712"/>
      <c r="AE425" s="513" t="str">
        <f t="shared" si="312"/>
        <v/>
      </c>
      <c r="AF425" s="713" t="str">
        <f t="shared" si="313"/>
        <v/>
      </c>
      <c r="AG425" s="713"/>
      <c r="AH425" s="713"/>
      <c r="AI425" s="112">
        <f>IF(H425="credit",0,IF(AE425="free",0,IF(AE425="me",0,IF(G425&gt;0,(VLOOKUP(A425,'Discount Lookup'!J:K,2)*G425),0))))</f>
        <v>0</v>
      </c>
      <c r="AJ425" s="107" t="str">
        <f t="shared" ca="1" si="314"/>
        <v/>
      </c>
      <c r="AK425" s="714" t="str">
        <f t="shared" si="315"/>
        <v/>
      </c>
      <c r="AL425" s="714"/>
      <c r="AM425" s="114" t="str">
        <f t="shared" si="316"/>
        <v/>
      </c>
      <c r="AN425" s="115"/>
      <c r="AO425" s="116"/>
      <c r="AP425" s="116"/>
      <c r="AQ425" s="116"/>
      <c r="AR425" s="116"/>
      <c r="AS425" s="116"/>
      <c r="AT425" s="116"/>
      <c r="AU425" s="116"/>
      <c r="AV425" s="78"/>
      <c r="AW425" s="102"/>
      <c r="AX425" s="78"/>
      <c r="AY425" s="78"/>
      <c r="AZ425" s="78"/>
      <c r="BA425" s="78"/>
      <c r="BB425" s="78"/>
      <c r="BC425" s="78"/>
      <c r="BD425" s="78"/>
      <c r="BE425" s="465"/>
      <c r="BF425" s="165" t="str">
        <f t="shared" si="317"/>
        <v>https://www.google.com/search?tbm=isch&amp;q=moist%20sites%F0%9F%92%A7GOOD%2C%20Bridal%20Veil%20named%20for%20look%20of%20clouds%20of%20White%20plumes%20above%20glossy%2C%20ferny%20foliage%20in%20early%20summer%20</v>
      </c>
      <c r="BG425" s="165" t="str">
        <f t="shared" si="318"/>
        <v>m</v>
      </c>
      <c r="BH425" s="65"/>
      <c r="BI425" s="65"/>
      <c r="BJ425" s="65"/>
      <c r="BK425" s="65"/>
      <c r="BL425" s="99"/>
      <c r="BM425" s="99"/>
      <c r="BN425" s="99"/>
    </row>
    <row r="426" spans="1:66" s="51" customFormat="1" ht="18" x14ac:dyDescent="0.25">
      <c r="A426" s="623" t="s">
        <v>1522</v>
      </c>
      <c r="B426" s="624"/>
      <c r="C426" s="709"/>
      <c r="D426" s="625" t="s">
        <v>1523</v>
      </c>
      <c r="E426" s="626"/>
      <c r="F426" s="626"/>
      <c r="G426" s="626"/>
      <c r="H426" s="622" t="s">
        <v>1519</v>
      </c>
      <c r="I426" s="627" t="s">
        <v>1788</v>
      </c>
      <c r="J426" s="628"/>
      <c r="K426" s="628"/>
      <c r="L426" s="629"/>
      <c r="M426" s="702" t="s">
        <v>5256</v>
      </c>
      <c r="N426" s="693" t="str">
        <f>IF(AND(ISTEXT($A426), ISERROR($A426+0)), HYPERLINK($BF426, "Images"), "")</f>
        <v>Images</v>
      </c>
      <c r="O426" s="695" t="s">
        <v>5247</v>
      </c>
      <c r="P426" s="630"/>
      <c r="Q426" s="631"/>
      <c r="R426" s="632"/>
      <c r="S426" s="633"/>
      <c r="T426" s="102">
        <f t="shared" si="306"/>
        <v>0</v>
      </c>
      <c r="U426" s="78" t="str">
        <f>IF(NOT(ISNUMBER(G426)), "", VLOOKUP(A426,'Discount Lookup'!D:E,2,FALSE)*G426)</f>
        <v/>
      </c>
      <c r="V426" s="78" t="str">
        <f>IF(NOT(ISNUMBER(G426)), "", VLOOKUP(A426,'Discount Lookup'!G:H,2,FALSE)*G426)</f>
        <v/>
      </c>
      <c r="W426" s="102">
        <f t="shared" si="307"/>
        <v>0</v>
      </c>
      <c r="X426" s="102" t="str">
        <f t="shared" si="308"/>
        <v>Crimson-Red bloom</v>
      </c>
      <c r="Y426" s="120" t="b">
        <f t="shared" si="309"/>
        <v>0</v>
      </c>
      <c r="Z426" s="117">
        <f t="shared" si="310"/>
        <v>0</v>
      </c>
      <c r="AA426" s="118"/>
      <c r="AB426" s="118" t="str">
        <f t="shared" si="311"/>
        <v/>
      </c>
      <c r="AC426" s="712" t="str">
        <f>IF(AE426="T2G","no charge",IF(AND(OR(PlanterYesMe="No",PlanterYesMe="N",PlanterYesMe="me"),H426=""),"",IF(H426="credit","NO install",IF(AND(K426="",AE426="me"),"EACH row",IF(AND(K426="images",AE426="me"),"EACH row",IF(D426="","",IF(H426="credit","",IF(AE426="free","re-planting",IF(AE426="me","   not ELP, by",IF(AND(OR(PlanterYesMe="Yes",PlanterYesMe="Y"),G426&gt;0),(VLOOKUP(A426,'Discount Lookup'!J:K,2)*G426*(1-PlanterDiscount)*(1+PlanterDifficultyPercentage)),IF(AE426="ELP",(VLOOKUP(A426,'Discount Lookup'!J:K,2)*G426*(1-PlanterDiscount)*(1+PlanterDifficultyPercentage)),IF(AE426="free","re-planting",IF(G426=0,"",IF(PlanterYesMe="",IF(AE426="me","   not ELP, by",IF(AE426="",IF(G426&gt;0,(VLOOKUP(A426,'Discount Lookup'!J:K,2)*G426*(1-PlanterDiscount)*(1+PlanterDifficultyPercentage)),""),"")),"   not ELP, by"))))))))))))))</f>
        <v/>
      </c>
      <c r="AD426" s="712"/>
      <c r="AE426" s="513" t="str">
        <f t="shared" si="312"/>
        <v/>
      </c>
      <c r="AF426" s="713" t="str">
        <f t="shared" si="313"/>
        <v/>
      </c>
      <c r="AG426" s="713"/>
      <c r="AH426" s="713"/>
      <c r="AI426" s="112">
        <f>IF(H426="credit",0,IF(AE426="free",0,IF(AE426="me",0,IF(G426&gt;0,(VLOOKUP(A426,'Discount Lookup'!J:K,2)*G426),0))))</f>
        <v>0</v>
      </c>
      <c r="AJ426" s="107" t="str">
        <f t="shared" ca="1" si="314"/>
        <v/>
      </c>
      <c r="AK426" s="714" t="str">
        <f t="shared" si="315"/>
        <v/>
      </c>
      <c r="AL426" s="714"/>
      <c r="AM426" s="114" t="str">
        <f t="shared" si="316"/>
        <v/>
      </c>
      <c r="AN426" s="115"/>
      <c r="AO426" s="116"/>
      <c r="AP426" s="116"/>
      <c r="AQ426" s="116"/>
      <c r="AR426" s="116"/>
      <c r="AS426" s="116"/>
      <c r="AT426" s="116"/>
      <c r="AU426" s="116"/>
      <c r="AV426" s="78"/>
      <c r="AW426" s="102"/>
      <c r="AX426" s="78"/>
      <c r="AY426" s="78"/>
      <c r="AZ426" s="78"/>
      <c r="BA426" s="78"/>
      <c r="BB426" s="78"/>
      <c r="BC426" s="78"/>
      <c r="BD426" s="78"/>
      <c r="BE426" s="465"/>
      <c r="BF426" s="165" t="str">
        <f t="shared" si="317"/>
        <v>https://www.google.com/search?tbm=isch&amp;q=Astilbe%20x%20arendsii%20%27Fanal%27%20Fanal%20Astilbe</v>
      </c>
      <c r="BG426" s="165" t="str">
        <f t="shared" si="318"/>
        <v>A</v>
      </c>
      <c r="BH426" s="65"/>
      <c r="BI426" s="65"/>
      <c r="BJ426" s="65"/>
      <c r="BK426" s="65"/>
      <c r="BL426" s="99"/>
      <c r="BM426" s="99"/>
      <c r="BN426" s="99"/>
    </row>
    <row r="427" spans="1:66" s="51" customFormat="1" ht="15.75" x14ac:dyDescent="0.25">
      <c r="A427" s="634">
        <v>2</v>
      </c>
      <c r="B427" s="635" t="s">
        <v>291</v>
      </c>
      <c r="C427" s="636" t="s">
        <v>4957</v>
      </c>
      <c r="D427" s="637" t="s">
        <v>293</v>
      </c>
      <c r="E427" s="638">
        <v>45.95</v>
      </c>
      <c r="F427" s="639" t="s">
        <v>292</v>
      </c>
      <c r="G427" s="484">
        <v>0</v>
      </c>
      <c r="H427" s="691" t="str">
        <f>IF(G427=0,"",IF(F427="Buy",IF(G427=1,"plant","plants"),IF(F427&gt;0.01,"warranty","Error")))</f>
        <v/>
      </c>
      <c r="I427" s="640">
        <f>IF(H427="free",0,IF(H427="credit",((E427*(F427))*G427*-1),IF(F427="Buy",(E427*G427),((E427*(1-F427))*G427))))</f>
        <v>0</v>
      </c>
      <c r="J427" s="640">
        <f>IF(H427="warranty",0,(I427*(_xlfn.SINGLE(SalesTaxPercentage))))</f>
        <v>0</v>
      </c>
      <c r="K427" s="716">
        <f t="shared" ref="K427" si="329">I427+J427</f>
        <v>0</v>
      </c>
      <c r="L427" s="716"/>
      <c r="M427" s="689" t="str">
        <f ca="1">IF(AND(G427&gt;0,E427=0),"WARNING - no PRICE inserted",IF(H427="free","FREE ~ no charge this plant",IF(H427="credit",CONCATENATE("-$",ROUND(K427*(1-_xlfn.SINGLE(T2GDiscount))*-1,2)," CREDIT after discount"),IF(_xlfn.SINGLE(T2GDiscount)=0,"",IF(G427=0,"",IF(F427="Buy",CONCATENATE("$",ROUND(K427*(1-_xlfn.SINGLE(T2GDiscount)),2)," with ",(_xlfn.SINGLE(T2GDiscount)*100),"% discount"),CONCATENATE("$",ROUND(K427*(1-_xlfn.SINGLE(T2GDiscount)),2)," with ",((_xlfn.SINGLE(T2GDiscount)*100+F427*100)-(_xlfn.SINGLE(T2GDiscount)*100*F427)),IF(F427&gt;0,"% discounts",IF(_xlfn.SINGLE(NoWarrantyDiscount)&gt;0,"% discounts","% discount")))))))))</f>
        <v/>
      </c>
      <c r="N427" s="690"/>
      <c r="O427" s="486"/>
      <c r="P427" s="486"/>
      <c r="Q427" s="486"/>
      <c r="R427" s="486"/>
      <c r="S427" s="486"/>
      <c r="T427" s="102">
        <f t="shared" si="306"/>
        <v>0</v>
      </c>
      <c r="U427" s="78">
        <f>IF(NOT(ISNUMBER(G427)), "", VLOOKUP(A427,'Discount Lookup'!D:E,2,FALSE)*G427)</f>
        <v>0</v>
      </c>
      <c r="V427" s="78">
        <f>IF(NOT(ISNUMBER(G427)), "", VLOOKUP(A427,'Discount Lookup'!G:H,2,FALSE)*G427)</f>
        <v>0</v>
      </c>
      <c r="W427" s="102">
        <f t="shared" si="307"/>
        <v>0</v>
      </c>
      <c r="X427" s="102">
        <f t="shared" si="308"/>
        <v>0</v>
      </c>
      <c r="Y427" s="120" t="b">
        <f t="shared" si="309"/>
        <v>0</v>
      </c>
      <c r="Z427" s="117">
        <f t="shared" si="310"/>
        <v>0</v>
      </c>
      <c r="AA427" s="118"/>
      <c r="AB427" s="118" t="str">
        <f t="shared" si="311"/>
        <v/>
      </c>
      <c r="AC427" s="712" t="str">
        <f>IF(AE427="T2G","no charge",IF(AND(OR(PlanterYesMe="No",PlanterYesMe="N",PlanterYesMe="me"),H427=""),"",IF(H427="credit","NO install",IF(AND(K427="",AE427="me"),"EACH row",IF(AND(K427="images",AE427="me"),"EACH row",IF(D427="","",IF(H427="credit","",IF(AE427="free","re-planting",IF(AE427="me","   not ELP, by",IF(AND(OR(PlanterYesMe="Yes",PlanterYesMe="Y"),G427&gt;0),(VLOOKUP(A427,'Discount Lookup'!J:K,2)*G427*(1-PlanterDiscount)*(1+PlanterDifficultyPercentage)),IF(AE427="ELP",(VLOOKUP(A427,'Discount Lookup'!J:K,2)*G427*(1-PlanterDiscount)*(1+PlanterDifficultyPercentage)),IF(AE427="free","re-planting",IF(G427=0,"",IF(PlanterYesMe="",IF(AE427="me","   not ELP, by",IF(AE427="",IF(G427&gt;0,(VLOOKUP(A427,'Discount Lookup'!J:K,2)*G427*(1-PlanterDiscount)*(1+PlanterDifficultyPercentage)),""),"")),"   not ELP, by"))))))))))))))</f>
        <v/>
      </c>
      <c r="AD427" s="712"/>
      <c r="AE427" s="513" t="str">
        <f t="shared" si="312"/>
        <v/>
      </c>
      <c r="AF427" s="713" t="str">
        <f t="shared" si="313"/>
        <v/>
      </c>
      <c r="AG427" s="713"/>
      <c r="AH427" s="713"/>
      <c r="AI427" s="112">
        <f>IF(H427="credit",0,IF(AE427="free",0,IF(AE427="me",0,IF(G427&gt;0,(VLOOKUP(A427,'Discount Lookup'!J:K,2)*G427),0))))</f>
        <v>0</v>
      </c>
      <c r="AJ427" s="107" t="str">
        <f t="shared" ca="1" si="314"/>
        <v/>
      </c>
      <c r="AK427" s="714" t="str">
        <f t="shared" si="315"/>
        <v/>
      </c>
      <c r="AL427" s="714"/>
      <c r="AM427" s="114" t="str">
        <f t="shared" si="316"/>
        <v/>
      </c>
      <c r="AN427" s="115"/>
      <c r="AO427" s="116"/>
      <c r="AP427" s="116"/>
      <c r="AQ427" s="116"/>
      <c r="AR427" s="116"/>
      <c r="AS427" s="116"/>
      <c r="AT427" s="116"/>
      <c r="AU427" s="116"/>
      <c r="AV427" s="78"/>
      <c r="AW427" s="102"/>
      <c r="AX427" s="78"/>
      <c r="AY427" s="78"/>
      <c r="AZ427" s="78"/>
      <c r="BA427" s="78"/>
      <c r="BB427" s="78"/>
      <c r="BC427" s="78"/>
      <c r="BD427" s="78"/>
      <c r="BE427" s="465"/>
      <c r="BF427" s="165" t="str">
        <f t="shared" si="317"/>
        <v>https://www.google.com/search?tbm=isch&amp;q=2%20G6</v>
      </c>
      <c r="BG427" s="165" t="str">
        <f t="shared" si="318"/>
        <v>A</v>
      </c>
      <c r="BH427" s="65"/>
      <c r="BI427" s="65"/>
      <c r="BJ427" s="65"/>
      <c r="BK427" s="65"/>
      <c r="BL427" s="99"/>
      <c r="BM427" s="99"/>
      <c r="BN427" s="99"/>
    </row>
    <row r="428" spans="1:66" s="51" customFormat="1" ht="16.5" x14ac:dyDescent="0.25">
      <c r="A428" s="704" t="s">
        <v>5342</v>
      </c>
      <c r="B428" s="642"/>
      <c r="C428" s="710"/>
      <c r="D428" s="643"/>
      <c r="E428" s="643"/>
      <c r="F428" s="644"/>
      <c r="G428" s="645"/>
      <c r="H428" s="646"/>
      <c r="I428" s="647"/>
      <c r="J428" s="648"/>
      <c r="K428" s="649"/>
      <c r="L428" s="650"/>
      <c r="M428" s="650"/>
      <c r="N428" s="644"/>
      <c r="O428" s="644"/>
      <c r="P428" s="644"/>
      <c r="Q428" s="644"/>
      <c r="R428" s="644"/>
      <c r="S428" s="701" t="s">
        <v>5267</v>
      </c>
      <c r="T428" s="102">
        <f t="shared" si="306"/>
        <v>0</v>
      </c>
      <c r="U428" s="78" t="str">
        <f>IF(NOT(ISNUMBER(G428)), "", VLOOKUP(A428,'Discount Lookup'!D:E,2,FALSE)*G428)</f>
        <v/>
      </c>
      <c r="V428" s="78" t="str">
        <f>IF(NOT(ISNUMBER(G428)), "", VLOOKUP(A428,'Discount Lookup'!G:H,2,FALSE)*G428)</f>
        <v/>
      </c>
      <c r="W428" s="102">
        <f t="shared" si="307"/>
        <v>0</v>
      </c>
      <c r="X428" s="102">
        <f t="shared" si="308"/>
        <v>0</v>
      </c>
      <c r="Y428" s="120" t="b">
        <f t="shared" si="309"/>
        <v>0</v>
      </c>
      <c r="Z428" s="117">
        <f t="shared" si="310"/>
        <v>0</v>
      </c>
      <c r="AA428" s="118"/>
      <c r="AB428" s="118" t="str">
        <f t="shared" si="311"/>
        <v/>
      </c>
      <c r="AC428" s="712" t="str">
        <f>IF(AE428="T2G","no charge",IF(AND(OR(PlanterYesMe="No",PlanterYesMe="N",PlanterYesMe="me"),H428=""),"",IF(H428="credit","NO install",IF(AND(K428="",AE428="me"),"EACH row",IF(AND(K428="images",AE428="me"),"EACH row",IF(D428="","",IF(H428="credit","",IF(AE428="free","re-planting",IF(AE428="me","   not ELP, by",IF(AND(OR(PlanterYesMe="Yes",PlanterYesMe="Y"),G428&gt;0),(VLOOKUP(A428,'Discount Lookup'!J:K,2)*G428*(1-PlanterDiscount)*(1+PlanterDifficultyPercentage)),IF(AE428="ELP",(VLOOKUP(A428,'Discount Lookup'!J:K,2)*G428*(1-PlanterDiscount)*(1+PlanterDifficultyPercentage)),IF(AE428="free","re-planting",IF(G428=0,"",IF(PlanterYesMe="",IF(AE428="me","   not ELP, by",IF(AE428="",IF(G428&gt;0,(VLOOKUP(A428,'Discount Lookup'!J:K,2)*G428*(1-PlanterDiscount)*(1+PlanterDifficultyPercentage)),""),"")),"   not ELP, by"))))))))))))))</f>
        <v/>
      </c>
      <c r="AD428" s="712"/>
      <c r="AE428" s="513" t="str">
        <f t="shared" si="312"/>
        <v/>
      </c>
      <c r="AF428" s="713" t="str">
        <f t="shared" si="313"/>
        <v/>
      </c>
      <c r="AG428" s="713"/>
      <c r="AH428" s="713"/>
      <c r="AI428" s="112">
        <f>IF(H428="credit",0,IF(AE428="free",0,IF(AE428="me",0,IF(G428&gt;0,(VLOOKUP(A428,'Discount Lookup'!J:K,2)*G428),0))))</f>
        <v>0</v>
      </c>
      <c r="AJ428" s="107" t="str">
        <f t="shared" ca="1" si="314"/>
        <v/>
      </c>
      <c r="AK428" s="714" t="str">
        <f t="shared" si="315"/>
        <v/>
      </c>
      <c r="AL428" s="714"/>
      <c r="AM428" s="114" t="str">
        <f t="shared" si="316"/>
        <v/>
      </c>
      <c r="AN428" s="115"/>
      <c r="AO428" s="116"/>
      <c r="AP428" s="116"/>
      <c r="AQ428" s="116"/>
      <c r="AR428" s="116"/>
      <c r="AS428" s="116"/>
      <c r="AT428" s="116"/>
      <c r="AU428" s="116"/>
      <c r="AV428" s="78"/>
      <c r="AW428" s="102"/>
      <c r="AX428" s="78"/>
      <c r="AY428" s="78"/>
      <c r="AZ428" s="78"/>
      <c r="BA428" s="78"/>
      <c r="BB428" s="78"/>
      <c r="BC428" s="78"/>
      <c r="BD428" s="78"/>
      <c r="BE428" s="465"/>
      <c r="BF428" s="165" t="str">
        <f t="shared" si="317"/>
        <v>https://www.google.com/search?tbm=isch&amp;q=moist%20sites%F0%9F%92%A7GOOD%2C%20Fanal%2C%20like%20other%20Astilbe%2C%20are%20low%20maintenance%2C%20shade%20tolerant%2C%20and%20resistant%20to%20deer%2Frabbits%20</v>
      </c>
      <c r="BG428" s="165" t="str">
        <f t="shared" si="318"/>
        <v>m</v>
      </c>
      <c r="BH428" s="65"/>
      <c r="BI428" s="65"/>
      <c r="BJ428" s="65"/>
      <c r="BK428" s="65"/>
      <c r="BL428" s="99"/>
      <c r="BM428" s="99"/>
      <c r="BN428" s="99"/>
    </row>
    <row r="429" spans="1:66" s="51" customFormat="1" ht="19.5" thickBot="1" x14ac:dyDescent="0.3">
      <c r="A429" s="686" t="s">
        <v>883</v>
      </c>
      <c r="B429" s="73"/>
      <c r="C429" s="708"/>
      <c r="D429" s="73"/>
      <c r="E429" s="73"/>
      <c r="F429" s="496"/>
      <c r="G429" s="73"/>
      <c r="H429" s="73"/>
      <c r="I429" s="73"/>
      <c r="J429" s="497" t="s">
        <v>357</v>
      </c>
      <c r="K429" s="498"/>
      <c r="L429" s="562"/>
      <c r="M429" s="73"/>
      <c r="N429"/>
      <c r="O429"/>
      <c r="P429"/>
      <c r="Q429"/>
      <c r="R429"/>
      <c r="S429"/>
      <c r="T429" s="102">
        <f t="shared" si="306"/>
        <v>0</v>
      </c>
      <c r="U429" s="78" t="str">
        <f>IF(NOT(ISNUMBER(G429)), "", VLOOKUP(A429,'Discount Lookup'!D:E,2,FALSE)*G429)</f>
        <v/>
      </c>
      <c r="V429" s="78" t="str">
        <f>IF(NOT(ISNUMBER(G429)), "", VLOOKUP(A429,'Discount Lookup'!G:H,2,FALSE)*G429)</f>
        <v/>
      </c>
      <c r="W429" s="102">
        <f t="shared" si="307"/>
        <v>0</v>
      </c>
      <c r="X429" s="102">
        <f t="shared" si="308"/>
        <v>0</v>
      </c>
      <c r="Y429" s="120" t="b">
        <f t="shared" si="309"/>
        <v>0</v>
      </c>
      <c r="Z429" s="117">
        <f t="shared" si="310"/>
        <v>0</v>
      </c>
      <c r="AA429" s="118"/>
      <c r="AB429" s="118" t="str">
        <f t="shared" si="311"/>
        <v/>
      </c>
      <c r="AC429" s="712" t="str">
        <f>IF(AE429="T2G","no charge",IF(AND(OR(PlanterYesMe="No",PlanterYesMe="N",PlanterYesMe="me"),H429=""),"",IF(H429="credit","NO install",IF(AND(K429="",AE429="me"),"EACH row",IF(AND(K429="images",AE429="me"),"EACH row",IF(D429="","",IF(H429="credit","",IF(AE429="free","re-planting",IF(AE429="me","   not ELP, by",IF(AND(OR(PlanterYesMe="Yes",PlanterYesMe="Y"),G429&gt;0),(VLOOKUP(A429,'Discount Lookup'!J:K,2)*G429*(1-PlanterDiscount)*(1+PlanterDifficultyPercentage)),IF(AE429="ELP",(VLOOKUP(A429,'Discount Lookup'!J:K,2)*G429*(1-PlanterDiscount)*(1+PlanterDifficultyPercentage)),IF(AE429="free","re-planting",IF(G429=0,"",IF(PlanterYesMe="",IF(AE429="me","   not ELP, by",IF(AE429="",IF(G429&gt;0,(VLOOKUP(A429,'Discount Lookup'!J:K,2)*G429*(1-PlanterDiscount)*(1+PlanterDifficultyPercentage)),""),"")),"   not ELP, by"))))))))))))))</f>
        <v/>
      </c>
      <c r="AD429" s="712"/>
      <c r="AE429" s="513" t="str">
        <f t="shared" si="312"/>
        <v/>
      </c>
      <c r="AF429" s="713" t="str">
        <f t="shared" si="313"/>
        <v/>
      </c>
      <c r="AG429" s="713"/>
      <c r="AH429" s="713"/>
      <c r="AI429" s="112">
        <f>IF(H429="credit",0,IF(AE429="free",0,IF(AE429="me",0,IF(G429&gt;0,(VLOOKUP(A429,'Discount Lookup'!J:K,2)*G429),0))))</f>
        <v>0</v>
      </c>
      <c r="AJ429" s="107" t="str">
        <f t="shared" ca="1" si="314"/>
        <v/>
      </c>
      <c r="AK429" s="714" t="str">
        <f t="shared" si="315"/>
        <v/>
      </c>
      <c r="AL429" s="714"/>
      <c r="AM429" s="114" t="str">
        <f t="shared" si="316"/>
        <v/>
      </c>
      <c r="AN429" s="115"/>
      <c r="AO429" s="116"/>
      <c r="AP429" s="116"/>
      <c r="AQ429" s="116"/>
      <c r="AR429" s="116"/>
      <c r="AS429" s="116"/>
      <c r="AT429" s="116"/>
      <c r="AU429" s="116"/>
      <c r="AV429" s="78"/>
      <c r="AW429" s="102"/>
      <c r="AX429" s="78"/>
      <c r="AY429" s="78"/>
      <c r="AZ429" s="78"/>
      <c r="BA429" s="78"/>
      <c r="BB429" s="78"/>
      <c r="BC429" s="78"/>
      <c r="BD429" s="78"/>
      <c r="BE429" s="465"/>
      <c r="BF429" s="165" t="str">
        <f t="shared" si="317"/>
        <v>https://www.google.com/search?tbm=isch&amp;q=Aucuba%20%3D%20Aucuba%2C%20Japanese%20Laurel%20</v>
      </c>
      <c r="BG429" s="165" t="str">
        <f t="shared" si="318"/>
        <v>A</v>
      </c>
      <c r="BH429" s="65"/>
      <c r="BI429" s="65"/>
      <c r="BJ429" s="65"/>
      <c r="BK429" s="65"/>
      <c r="BL429" s="99"/>
      <c r="BM429" s="99"/>
      <c r="BN429" s="99"/>
    </row>
    <row r="430" spans="1:66" s="51" customFormat="1" ht="18" x14ac:dyDescent="0.25">
      <c r="A430" s="507" t="s">
        <v>1526</v>
      </c>
      <c r="B430" s="470"/>
      <c r="C430" s="706"/>
      <c r="D430" s="471" t="s">
        <v>1527</v>
      </c>
      <c r="E430" s="472"/>
      <c r="F430" s="472"/>
      <c r="G430" s="472"/>
      <c r="H430" s="622" t="s">
        <v>1528</v>
      </c>
      <c r="I430" s="473" t="s">
        <v>1529</v>
      </c>
      <c r="J430" s="472"/>
      <c r="K430" s="472"/>
      <c r="L430" s="561"/>
      <c r="M430" s="703" t="s">
        <v>5260</v>
      </c>
      <c r="N430" s="692" t="str">
        <f>IF(AND(ISTEXT($A430), ISERROR($A430+0)), HYPERLINK($BF430, "Images"), "")</f>
        <v>Images</v>
      </c>
      <c r="O430" s="694" t="s">
        <v>5244</v>
      </c>
      <c r="P430" s="475"/>
      <c r="Q430" s="476"/>
      <c r="R430" s="476"/>
      <c r="S430" s="477"/>
      <c r="T430" s="102">
        <f t="shared" si="306"/>
        <v>0</v>
      </c>
      <c r="U430" s="78" t="str">
        <f>IF(NOT(ISNUMBER(G430)), "", VLOOKUP(A430,'Discount Lookup'!D:E,2,FALSE)*G430)</f>
        <v/>
      </c>
      <c r="V430" s="78" t="str">
        <f>IF(NOT(ISNUMBER(G430)), "", VLOOKUP(A430,'Discount Lookup'!G:H,2,FALSE)*G430)</f>
        <v/>
      </c>
      <c r="W430" s="102">
        <f t="shared" si="307"/>
        <v>0</v>
      </c>
      <c r="X430" s="102" t="str">
        <f t="shared" si="308"/>
        <v>Green &amp; Gold foliage</v>
      </c>
      <c r="Y430" s="120" t="b">
        <f t="shared" si="309"/>
        <v>0</v>
      </c>
      <c r="Z430" s="117">
        <f t="shared" si="310"/>
        <v>0</v>
      </c>
      <c r="AA430" s="118"/>
      <c r="AB430" s="118" t="str">
        <f t="shared" si="311"/>
        <v/>
      </c>
      <c r="AC430" s="712" t="str">
        <f>IF(AE430="T2G","no charge",IF(AND(OR(PlanterYesMe="No",PlanterYesMe="N",PlanterYesMe="me"),H430=""),"",IF(H430="credit","NO install",IF(AND(K430="",AE430="me"),"EACH row",IF(AND(K430="images",AE430="me"),"EACH row",IF(D430="","",IF(H430="credit","",IF(AE430="free","re-planting",IF(AE430="me","   not ELP, by",IF(AND(OR(PlanterYesMe="Yes",PlanterYesMe="Y"),G430&gt;0),(VLOOKUP(A430,'Discount Lookup'!J:K,2)*G430*(1-PlanterDiscount)*(1+PlanterDifficultyPercentage)),IF(AE430="ELP",(VLOOKUP(A430,'Discount Lookup'!J:K,2)*G430*(1-PlanterDiscount)*(1+PlanterDifficultyPercentage)),IF(AE430="free","re-planting",IF(G430=0,"",IF(PlanterYesMe="",IF(AE430="me","   not ELP, by",IF(AE430="",IF(G430&gt;0,(VLOOKUP(A430,'Discount Lookup'!J:K,2)*G430*(1-PlanterDiscount)*(1+PlanterDifficultyPercentage)),""),"")),"   not ELP, by"))))))))))))))</f>
        <v/>
      </c>
      <c r="AD430" s="712"/>
      <c r="AE430" s="513" t="str">
        <f t="shared" si="312"/>
        <v/>
      </c>
      <c r="AF430" s="713" t="str">
        <f t="shared" si="313"/>
        <v/>
      </c>
      <c r="AG430" s="713"/>
      <c r="AH430" s="713"/>
      <c r="AI430" s="112">
        <f>IF(H430="credit",0,IF(AE430="free",0,IF(AE430="me",0,IF(G430&gt;0,(VLOOKUP(A430,'Discount Lookup'!J:K,2)*G430),0))))</f>
        <v>0</v>
      </c>
      <c r="AJ430" s="107" t="str">
        <f t="shared" ca="1" si="314"/>
        <v/>
      </c>
      <c r="AK430" s="714" t="str">
        <f t="shared" si="315"/>
        <v/>
      </c>
      <c r="AL430" s="714"/>
      <c r="AM430" s="114" t="str">
        <f t="shared" si="316"/>
        <v/>
      </c>
      <c r="AN430" s="115"/>
      <c r="AO430" s="116"/>
      <c r="AP430" s="116"/>
      <c r="AQ430" s="116"/>
      <c r="AR430" s="116"/>
      <c r="AS430" s="116"/>
      <c r="AT430" s="116"/>
      <c r="AU430" s="116"/>
      <c r="AV430" s="78"/>
      <c r="AW430" s="102"/>
      <c r="AX430" s="78"/>
      <c r="AY430" s="78"/>
      <c r="AZ430" s="78"/>
      <c r="BA430" s="78"/>
      <c r="BB430" s="78"/>
      <c r="BC430" s="78"/>
      <c r="BD430" s="78"/>
      <c r="BE430" s="465"/>
      <c r="BF430" s="165" t="str">
        <f t="shared" si="317"/>
        <v>https://www.google.com/search?tbm=isch&amp;q=Aucuba%20japonica%20%27Hosoba%20Hoshifu%27%20Hosoba%20Hoshifu%20Aucuba</v>
      </c>
      <c r="BG430" s="165" t="str">
        <f t="shared" si="318"/>
        <v>A</v>
      </c>
      <c r="BH430" s="65"/>
      <c r="BI430" s="65"/>
      <c r="BJ430" s="65"/>
      <c r="BK430" s="65"/>
      <c r="BL430" s="99"/>
      <c r="BM430" s="99"/>
      <c r="BN430" s="99"/>
    </row>
    <row r="431" spans="1:66" s="51" customFormat="1" ht="15.75" x14ac:dyDescent="0.25">
      <c r="A431" s="478">
        <v>3</v>
      </c>
      <c r="B431" s="479" t="s">
        <v>291</v>
      </c>
      <c r="C431" s="480" t="s">
        <v>1530</v>
      </c>
      <c r="D431" s="481" t="s">
        <v>329</v>
      </c>
      <c r="E431" s="482">
        <v>32.950000000000003</v>
      </c>
      <c r="F431" s="483" t="s">
        <v>292</v>
      </c>
      <c r="G431" s="484">
        <v>0</v>
      </c>
      <c r="H431" s="688" t="str">
        <f>IF(G431=0,"",IF(F431="Buy",IF(G431=1,"plant","plants"),IF(F431&gt;0.01,"warranty","Error")))</f>
        <v/>
      </c>
      <c r="I431" s="485">
        <f>IF(H431="free",0,IF(H431="credit",((E431*(F431))*G431*-1),IF(F431="Buy",(E431*G431),((E431*(1-F431))*G431))))</f>
        <v>0</v>
      </c>
      <c r="J431" s="485">
        <f>IF(H431="warranty",0,(I431*(_xlfn.SINGLE(SalesTaxPercentage))))</f>
        <v>0</v>
      </c>
      <c r="K431" s="715">
        <f t="shared" ref="K431" si="330">I431+J431</f>
        <v>0</v>
      </c>
      <c r="L431" s="715"/>
      <c r="M431" s="689" t="str">
        <f ca="1">IF(AND(G431&gt;0,E431=0),"WARNING - no PRICE inserted",IF(H431="free","FREE ~ no charge this plant",IF(H431="credit",CONCATENATE("-$",ROUND(K431*(1-_xlfn.SINGLE(T2GDiscount))*-1,2)," CREDIT after discount"),IF(_xlfn.SINGLE(T2GDiscount)=0,"",IF(G431=0,"",IF(F431="Buy",CONCATENATE("$",ROUND(K431*(1-_xlfn.SINGLE(T2GDiscount)),2)," with ",(_xlfn.SINGLE(T2GDiscount)*100),"% discount"),CONCATENATE("$",ROUND(K431*(1-_xlfn.SINGLE(T2GDiscount)),2)," with ",((_xlfn.SINGLE(T2GDiscount)*100+F431*100)-(_xlfn.SINGLE(T2GDiscount)*100*F431)),IF(F431&gt;0,"% discounts",IF(_xlfn.SINGLE(NoWarrantyDiscount)&gt;0,"% discounts","% discount")))))))))</f>
        <v/>
      </c>
      <c r="N431" s="690"/>
      <c r="O431" s="486"/>
      <c r="P431" s="486"/>
      <c r="Q431" s="486"/>
      <c r="R431" s="486"/>
      <c r="S431" s="486"/>
      <c r="T431" s="102">
        <f t="shared" si="306"/>
        <v>0</v>
      </c>
      <c r="U431" s="78">
        <f>IF(NOT(ISNUMBER(G431)), "", VLOOKUP(A431,'Discount Lookup'!D:E,2,FALSE)*G431)</f>
        <v>0</v>
      </c>
      <c r="V431" s="78">
        <f>IF(NOT(ISNUMBER(G431)), "", VLOOKUP(A431,'Discount Lookup'!G:H,2,FALSE)*G431)</f>
        <v>0</v>
      </c>
      <c r="W431" s="102">
        <f t="shared" si="307"/>
        <v>0</v>
      </c>
      <c r="X431" s="102">
        <f t="shared" si="308"/>
        <v>0</v>
      </c>
      <c r="Y431" s="120" t="b">
        <f t="shared" si="309"/>
        <v>0</v>
      </c>
      <c r="Z431" s="117">
        <f t="shared" si="310"/>
        <v>0</v>
      </c>
      <c r="AA431" s="118"/>
      <c r="AB431" s="118" t="str">
        <f t="shared" si="311"/>
        <v/>
      </c>
      <c r="AC431" s="712" t="str">
        <f>IF(AE431="T2G","no charge",IF(AND(OR(PlanterYesMe="No",PlanterYesMe="N",PlanterYesMe="me"),H431=""),"",IF(H431="credit","NO install",IF(AND(K431="",AE431="me"),"EACH row",IF(AND(K431="images",AE431="me"),"EACH row",IF(D431="","",IF(H431="credit","",IF(AE431="free","re-planting",IF(AE431="me","   not ELP, by",IF(AND(OR(PlanterYesMe="Yes",PlanterYesMe="Y"),G431&gt;0),(VLOOKUP(A431,'Discount Lookup'!J:K,2)*G431*(1-PlanterDiscount)*(1+PlanterDifficultyPercentage)),IF(AE431="ELP",(VLOOKUP(A431,'Discount Lookup'!J:K,2)*G431*(1-PlanterDiscount)*(1+PlanterDifficultyPercentage)),IF(AE431="free","re-planting",IF(G431=0,"",IF(PlanterYesMe="",IF(AE431="me","   not ELP, by",IF(AE431="",IF(G431&gt;0,(VLOOKUP(A431,'Discount Lookup'!J:K,2)*G431*(1-PlanterDiscount)*(1+PlanterDifficultyPercentage)),""),"")),"   not ELP, by"))))))))))))))</f>
        <v/>
      </c>
      <c r="AD431" s="712"/>
      <c r="AE431" s="513" t="str">
        <f t="shared" si="312"/>
        <v/>
      </c>
      <c r="AF431" s="713" t="str">
        <f t="shared" si="313"/>
        <v/>
      </c>
      <c r="AG431" s="713"/>
      <c r="AH431" s="713"/>
      <c r="AI431" s="112">
        <f>IF(H431="credit",0,IF(AE431="free",0,IF(AE431="me",0,IF(G431&gt;0,(VLOOKUP(A431,'Discount Lookup'!J:K,2)*G431),0))))</f>
        <v>0</v>
      </c>
      <c r="AJ431" s="107" t="str">
        <f t="shared" ca="1" si="314"/>
        <v/>
      </c>
      <c r="AK431" s="714" t="str">
        <f t="shared" si="315"/>
        <v/>
      </c>
      <c r="AL431" s="714"/>
      <c r="AM431" s="114" t="str">
        <f t="shared" si="316"/>
        <v/>
      </c>
      <c r="AN431" s="115"/>
      <c r="AO431" s="116"/>
      <c r="AP431" s="116"/>
      <c r="AQ431" s="116"/>
      <c r="AR431" s="116"/>
      <c r="AS431" s="116"/>
      <c r="AT431" s="116"/>
      <c r="AU431" s="116"/>
      <c r="AV431" s="78"/>
      <c r="AW431" s="102"/>
      <c r="AX431" s="78"/>
      <c r="AY431" s="78"/>
      <c r="AZ431" s="78"/>
      <c r="BA431" s="78"/>
      <c r="BB431" s="78"/>
      <c r="BC431" s="78"/>
      <c r="BD431" s="78"/>
      <c r="BE431" s="465"/>
      <c r="BF431" s="165" t="str">
        <f t="shared" si="317"/>
        <v>https://www.google.com/search?tbm=isch&amp;q=3%20G2</v>
      </c>
      <c r="BG431" s="165" t="str">
        <f t="shared" si="318"/>
        <v>A</v>
      </c>
      <c r="BH431" s="65"/>
      <c r="BI431" s="65"/>
      <c r="BJ431" s="65"/>
      <c r="BK431" s="65"/>
      <c r="BL431" s="99"/>
      <c r="BM431" s="99"/>
      <c r="BN431" s="99"/>
    </row>
    <row r="432" spans="1:66" s="51" customFormat="1" ht="16.5" thickBot="1" x14ac:dyDescent="0.3">
      <c r="A432" s="508" t="s">
        <v>1531</v>
      </c>
      <c r="B432" s="487"/>
      <c r="C432" s="707"/>
      <c r="D432" s="487"/>
      <c r="E432" s="487"/>
      <c r="F432" s="488"/>
      <c r="G432" s="489"/>
      <c r="H432" s="487"/>
      <c r="I432" s="490"/>
      <c r="J432" s="490"/>
      <c r="K432" s="491"/>
      <c r="L432" s="547"/>
      <c r="M432" s="528"/>
      <c r="N432" s="492"/>
      <c r="O432" s="493"/>
      <c r="P432" s="494"/>
      <c r="Q432" s="492"/>
      <c r="R432" s="492"/>
      <c r="S432" s="495"/>
      <c r="T432" s="102">
        <f t="shared" si="306"/>
        <v>0</v>
      </c>
      <c r="U432" s="78" t="str">
        <f>IF(NOT(ISNUMBER(G432)), "", VLOOKUP(A432,'Discount Lookup'!D:E,2,FALSE)*G432)</f>
        <v/>
      </c>
      <c r="V432" s="78" t="str">
        <f>IF(NOT(ISNUMBER(G432)), "", VLOOKUP(A432,'Discount Lookup'!G:H,2,FALSE)*G432)</f>
        <v/>
      </c>
      <c r="W432" s="102">
        <f t="shared" si="307"/>
        <v>0</v>
      </c>
      <c r="X432" s="102">
        <f t="shared" si="308"/>
        <v>0</v>
      </c>
      <c r="Y432" s="120" t="b">
        <f t="shared" si="309"/>
        <v>0</v>
      </c>
      <c r="Z432" s="117">
        <f t="shared" si="310"/>
        <v>0</v>
      </c>
      <c r="AA432" s="118"/>
      <c r="AB432" s="118" t="str">
        <f t="shared" si="311"/>
        <v/>
      </c>
      <c r="AC432" s="712" t="str">
        <f>IF(AE432="T2G","no charge",IF(AND(OR(PlanterYesMe="No",PlanterYesMe="N",PlanterYesMe="me"),H432=""),"",IF(H432="credit","NO install",IF(AND(K432="",AE432="me"),"EACH row",IF(AND(K432="images",AE432="me"),"EACH row",IF(D432="","",IF(H432="credit","",IF(AE432="free","re-planting",IF(AE432="me","   not ELP, by",IF(AND(OR(PlanterYesMe="Yes",PlanterYesMe="Y"),G432&gt;0),(VLOOKUP(A432,'Discount Lookup'!J:K,2)*G432*(1-PlanterDiscount)*(1+PlanterDifficultyPercentage)),IF(AE432="ELP",(VLOOKUP(A432,'Discount Lookup'!J:K,2)*G432*(1-PlanterDiscount)*(1+PlanterDifficultyPercentage)),IF(AE432="free","re-planting",IF(G432=0,"",IF(PlanterYesMe="",IF(AE432="me","   not ELP, by",IF(AE432="",IF(G432&gt;0,(VLOOKUP(A432,'Discount Lookup'!J:K,2)*G432*(1-PlanterDiscount)*(1+PlanterDifficultyPercentage)),""),"")),"   not ELP, by"))))))))))))))</f>
        <v/>
      </c>
      <c r="AD432" s="712"/>
      <c r="AE432" s="513" t="str">
        <f t="shared" si="312"/>
        <v/>
      </c>
      <c r="AF432" s="713" t="str">
        <f t="shared" si="313"/>
        <v/>
      </c>
      <c r="AG432" s="713"/>
      <c r="AH432" s="713"/>
      <c r="AI432" s="112">
        <f>IF(H432="credit",0,IF(AE432="free",0,IF(AE432="me",0,IF(G432&gt;0,(VLOOKUP(A432,'Discount Lookup'!J:K,2)*G432),0))))</f>
        <v>0</v>
      </c>
      <c r="AJ432" s="107" t="str">
        <f t="shared" ca="1" si="314"/>
        <v/>
      </c>
      <c r="AK432" s="714" t="str">
        <f t="shared" si="315"/>
        <v/>
      </c>
      <c r="AL432" s="714"/>
      <c r="AM432" s="114" t="str">
        <f t="shared" si="316"/>
        <v/>
      </c>
      <c r="AN432" s="115"/>
      <c r="AO432" s="116"/>
      <c r="AP432" s="116"/>
      <c r="AQ432" s="116"/>
      <c r="AR432" s="116"/>
      <c r="AS432" s="116"/>
      <c r="AT432" s="116"/>
      <c r="AU432" s="116"/>
      <c r="AV432" s="78"/>
      <c r="AW432" s="102"/>
      <c r="AX432" s="78"/>
      <c r="AY432" s="78"/>
      <c r="AZ432" s="78"/>
      <c r="BA432" s="78"/>
      <c r="BB432" s="78"/>
      <c r="BC432" s="78"/>
      <c r="BD432" s="78"/>
      <c r="BE432" s="465"/>
      <c r="BF432" s="165" t="str">
        <f t="shared" si="317"/>
        <v>https://www.google.com/search?tbm=isch&amp;q=Hosoba%20Hoshifu%20is%20female%20cultivar%20with%20narrow%2C%20Gold-speckled%20leaves%20and%20bright%20red%20berries%20if%20pollinated.%20Durable%2C%20highly%20shade-tolerant%2C%20and%20fairly%20rabbit%20resistant%20</v>
      </c>
      <c r="BG432" s="165" t="str">
        <f t="shared" si="318"/>
        <v>H</v>
      </c>
      <c r="BH432" s="65"/>
      <c r="BI432" s="65"/>
      <c r="BJ432" s="65"/>
      <c r="BK432" s="65"/>
      <c r="BL432" s="99"/>
      <c r="BM432" s="99"/>
      <c r="BN432" s="99"/>
    </row>
    <row r="433" spans="1:66" s="51" customFormat="1" ht="18" x14ac:dyDescent="0.25">
      <c r="A433" s="507" t="s">
        <v>1532</v>
      </c>
      <c r="B433" s="470"/>
      <c r="C433" s="706"/>
      <c r="D433" s="471" t="s">
        <v>1533</v>
      </c>
      <c r="E433" s="472"/>
      <c r="F433" s="472"/>
      <c r="G433" s="472"/>
      <c r="H433" s="622" t="s">
        <v>1471</v>
      </c>
      <c r="I433" s="473" t="s">
        <v>1529</v>
      </c>
      <c r="J433" s="472"/>
      <c r="K433" s="472"/>
      <c r="L433" s="561"/>
      <c r="M433" s="703" t="s">
        <v>5260</v>
      </c>
      <c r="N433" s="692" t="str">
        <f>IF(AND(ISTEXT($A433), ISERROR($A433+0)), HYPERLINK($BF433, "Images"), "")</f>
        <v>Images</v>
      </c>
      <c r="O433" s="694" t="s">
        <v>5244</v>
      </c>
      <c r="P433" s="475"/>
      <c r="Q433" s="476"/>
      <c r="R433" s="476"/>
      <c r="S433" s="477"/>
      <c r="T433" s="102">
        <f t="shared" si="306"/>
        <v>0</v>
      </c>
      <c r="U433" s="78" t="str">
        <f>IF(NOT(ISNUMBER(G433)), "", VLOOKUP(A433,'Discount Lookup'!D:E,2,FALSE)*G433)</f>
        <v/>
      </c>
      <c r="V433" s="78" t="str">
        <f>IF(NOT(ISNUMBER(G433)), "", VLOOKUP(A433,'Discount Lookup'!G:H,2,FALSE)*G433)</f>
        <v/>
      </c>
      <c r="W433" s="102">
        <f t="shared" si="307"/>
        <v>0</v>
      </c>
      <c r="X433" s="102" t="str">
        <f t="shared" si="308"/>
        <v>Green &amp; Gold foliage</v>
      </c>
      <c r="Y433" s="120" t="b">
        <f t="shared" si="309"/>
        <v>0</v>
      </c>
      <c r="Z433" s="117">
        <f t="shared" si="310"/>
        <v>0</v>
      </c>
      <c r="AA433" s="118"/>
      <c r="AB433" s="118" t="str">
        <f t="shared" si="311"/>
        <v/>
      </c>
      <c r="AC433" s="712" t="str">
        <f>IF(AE433="T2G","no charge",IF(AND(OR(PlanterYesMe="No",PlanterYesMe="N",PlanterYesMe="me"),H433=""),"",IF(H433="credit","NO install",IF(AND(K433="",AE433="me"),"EACH row",IF(AND(K433="images",AE433="me"),"EACH row",IF(D433="","",IF(H433="credit","",IF(AE433="free","re-planting",IF(AE433="me","   not ELP, by",IF(AND(OR(PlanterYesMe="Yes",PlanterYesMe="Y"),G433&gt;0),(VLOOKUP(A433,'Discount Lookup'!J:K,2)*G433*(1-PlanterDiscount)*(1+PlanterDifficultyPercentage)),IF(AE433="ELP",(VLOOKUP(A433,'Discount Lookup'!J:K,2)*G433*(1-PlanterDiscount)*(1+PlanterDifficultyPercentage)),IF(AE433="free","re-planting",IF(G433=0,"",IF(PlanterYesMe="",IF(AE433="me","   not ELP, by",IF(AE433="",IF(G433&gt;0,(VLOOKUP(A433,'Discount Lookup'!J:K,2)*G433*(1-PlanterDiscount)*(1+PlanterDifficultyPercentage)),""),"")),"   not ELP, by"))))))))))))))</f>
        <v/>
      </c>
      <c r="AD433" s="712"/>
      <c r="AE433" s="513" t="str">
        <f t="shared" si="312"/>
        <v/>
      </c>
      <c r="AF433" s="713" t="str">
        <f t="shared" si="313"/>
        <v/>
      </c>
      <c r="AG433" s="713"/>
      <c r="AH433" s="713"/>
      <c r="AI433" s="112">
        <f>IF(H433="credit",0,IF(AE433="free",0,IF(AE433="me",0,IF(G433&gt;0,(VLOOKUP(A433,'Discount Lookup'!J:K,2)*G433),0))))</f>
        <v>0</v>
      </c>
      <c r="AJ433" s="107" t="str">
        <f t="shared" ca="1" si="314"/>
        <v/>
      </c>
      <c r="AK433" s="714" t="str">
        <f t="shared" si="315"/>
        <v/>
      </c>
      <c r="AL433" s="714"/>
      <c r="AM433" s="114" t="str">
        <f t="shared" si="316"/>
        <v/>
      </c>
      <c r="AN433" s="115"/>
      <c r="AO433" s="116"/>
      <c r="AP433" s="116"/>
      <c r="AQ433" s="116"/>
      <c r="AR433" s="116"/>
      <c r="AS433" s="116"/>
      <c r="AT433" s="116"/>
      <c r="AU433" s="116"/>
      <c r="AV433" s="78"/>
      <c r="AW433" s="102"/>
      <c r="AX433" s="78"/>
      <c r="AY433" s="78"/>
      <c r="AZ433" s="78"/>
      <c r="BA433" s="78"/>
      <c r="BB433" s="78"/>
      <c r="BC433" s="78"/>
      <c r="BD433" s="78"/>
      <c r="BE433" s="465"/>
      <c r="BF433" s="165" t="str">
        <f t="shared" si="317"/>
        <v>https://www.google.com/search?tbm=isch&amp;q=Aucuba%20japonica%20%27Marmorata%27%20Marmorata%20Aucuba</v>
      </c>
      <c r="BG433" s="165" t="str">
        <f t="shared" si="318"/>
        <v>A</v>
      </c>
      <c r="BH433" s="65"/>
      <c r="BI433" s="65"/>
      <c r="BJ433" s="65"/>
      <c r="BK433" s="65"/>
      <c r="BL433" s="99"/>
      <c r="BM433" s="99"/>
      <c r="BN433" s="99"/>
    </row>
    <row r="434" spans="1:66" s="51" customFormat="1" ht="15.75" x14ac:dyDescent="0.25">
      <c r="A434" s="478">
        <v>3</v>
      </c>
      <c r="B434" s="479" t="s">
        <v>291</v>
      </c>
      <c r="C434" s="480"/>
      <c r="D434" s="481" t="s">
        <v>329</v>
      </c>
      <c r="E434" s="482">
        <v>32.950000000000003</v>
      </c>
      <c r="F434" s="483" t="s">
        <v>292</v>
      </c>
      <c r="G434" s="484">
        <v>0</v>
      </c>
      <c r="H434" s="688" t="str">
        <f>IF(G434=0,"",IF(F434="Buy",IF(G434=1,"plant","plants"),IF(F434&gt;0.01,"warranty","Error")))</f>
        <v/>
      </c>
      <c r="I434" s="485">
        <f>IF(H434="free",0,IF(H434="credit",((E434*(F434))*G434*-1),IF(F434="Buy",(E434*G434),((E434*(1-F434))*G434))))</f>
        <v>0</v>
      </c>
      <c r="J434" s="485">
        <f>IF(H434="warranty",0,(I434*(_xlfn.SINGLE(SalesTaxPercentage))))</f>
        <v>0</v>
      </c>
      <c r="K434" s="715">
        <f t="shared" ref="K434" si="331">I434+J434</f>
        <v>0</v>
      </c>
      <c r="L434" s="715"/>
      <c r="M434" s="689" t="str">
        <f ca="1">IF(AND(G434&gt;0,E434=0),"WARNING - no PRICE inserted",IF(H434="free","FREE ~ no charge this plant",IF(H434="credit",CONCATENATE("-$",ROUND(K434*(1-_xlfn.SINGLE(T2GDiscount))*-1,2)," CREDIT after discount"),IF(_xlfn.SINGLE(T2GDiscount)=0,"",IF(G434=0,"",IF(F434="Buy",CONCATENATE("$",ROUND(K434*(1-_xlfn.SINGLE(T2GDiscount)),2)," with ",(_xlfn.SINGLE(T2GDiscount)*100),"% discount"),CONCATENATE("$",ROUND(K434*(1-_xlfn.SINGLE(T2GDiscount)),2)," with ",((_xlfn.SINGLE(T2GDiscount)*100+F434*100)-(_xlfn.SINGLE(T2GDiscount)*100*F434)),IF(F434&gt;0,"% discounts",IF(_xlfn.SINGLE(NoWarrantyDiscount)&gt;0,"% discounts","% discount")))))))))</f>
        <v/>
      </c>
      <c r="N434" s="690"/>
      <c r="O434" s="486"/>
      <c r="P434" s="486"/>
      <c r="Q434" s="486"/>
      <c r="R434" s="486"/>
      <c r="S434" s="486"/>
      <c r="T434" s="102">
        <f t="shared" si="306"/>
        <v>0</v>
      </c>
      <c r="U434" s="78">
        <f>IF(NOT(ISNUMBER(G434)), "", VLOOKUP(A434,'Discount Lookup'!D:E,2,FALSE)*G434)</f>
        <v>0</v>
      </c>
      <c r="V434" s="78">
        <f>IF(NOT(ISNUMBER(G434)), "", VLOOKUP(A434,'Discount Lookup'!G:H,2,FALSE)*G434)</f>
        <v>0</v>
      </c>
      <c r="W434" s="102">
        <f t="shared" si="307"/>
        <v>0</v>
      </c>
      <c r="X434" s="102">
        <f t="shared" si="308"/>
        <v>0</v>
      </c>
      <c r="Y434" s="120" t="b">
        <f t="shared" si="309"/>
        <v>0</v>
      </c>
      <c r="Z434" s="117">
        <f t="shared" si="310"/>
        <v>0</v>
      </c>
      <c r="AA434" s="118"/>
      <c r="AB434" s="118" t="str">
        <f t="shared" si="311"/>
        <v/>
      </c>
      <c r="AC434" s="712" t="str">
        <f>IF(AE434="T2G","no charge",IF(AND(OR(PlanterYesMe="No",PlanterYesMe="N",PlanterYesMe="me"),H434=""),"",IF(H434="credit","NO install",IF(AND(K434="",AE434="me"),"EACH row",IF(AND(K434="images",AE434="me"),"EACH row",IF(D434="","",IF(H434="credit","",IF(AE434="free","re-planting",IF(AE434="me","   not ELP, by",IF(AND(OR(PlanterYesMe="Yes",PlanterYesMe="Y"),G434&gt;0),(VLOOKUP(A434,'Discount Lookup'!J:K,2)*G434*(1-PlanterDiscount)*(1+PlanterDifficultyPercentage)),IF(AE434="ELP",(VLOOKUP(A434,'Discount Lookup'!J:K,2)*G434*(1-PlanterDiscount)*(1+PlanterDifficultyPercentage)),IF(AE434="free","re-planting",IF(G434=0,"",IF(PlanterYesMe="",IF(AE434="me","   not ELP, by",IF(AE434="",IF(G434&gt;0,(VLOOKUP(A434,'Discount Lookup'!J:K,2)*G434*(1-PlanterDiscount)*(1+PlanterDifficultyPercentage)),""),"")),"   not ELP, by"))))))))))))))</f>
        <v/>
      </c>
      <c r="AD434" s="712"/>
      <c r="AE434" s="513" t="str">
        <f t="shared" si="312"/>
        <v/>
      </c>
      <c r="AF434" s="713" t="str">
        <f t="shared" si="313"/>
        <v/>
      </c>
      <c r="AG434" s="713"/>
      <c r="AH434" s="713"/>
      <c r="AI434" s="112">
        <f>IF(H434="credit",0,IF(AE434="free",0,IF(AE434="me",0,IF(G434&gt;0,(VLOOKUP(A434,'Discount Lookup'!J:K,2)*G434),0))))</f>
        <v>0</v>
      </c>
      <c r="AJ434" s="107" t="str">
        <f t="shared" ca="1" si="314"/>
        <v/>
      </c>
      <c r="AK434" s="714" t="str">
        <f t="shared" si="315"/>
        <v/>
      </c>
      <c r="AL434" s="714"/>
      <c r="AM434" s="114" t="str">
        <f t="shared" si="316"/>
        <v/>
      </c>
      <c r="AN434" s="115"/>
      <c r="AO434" s="116"/>
      <c r="AP434" s="116"/>
      <c r="AQ434" s="116"/>
      <c r="AR434" s="116"/>
      <c r="AS434" s="116"/>
      <c r="AT434" s="116"/>
      <c r="AU434" s="116"/>
      <c r="AV434" s="78"/>
      <c r="AW434" s="102"/>
      <c r="AX434" s="78"/>
      <c r="AY434" s="78"/>
      <c r="AZ434" s="78"/>
      <c r="BA434" s="78"/>
      <c r="BB434" s="78"/>
      <c r="BC434" s="78"/>
      <c r="BD434" s="78"/>
      <c r="BE434" s="465"/>
      <c r="BF434" s="165" t="str">
        <f t="shared" si="317"/>
        <v>https://www.google.com/search?tbm=isch&amp;q=3%20G2</v>
      </c>
      <c r="BG434" s="165" t="str">
        <f t="shared" si="318"/>
        <v>A</v>
      </c>
      <c r="BH434" s="65"/>
      <c r="BI434" s="65"/>
      <c r="BJ434" s="65"/>
      <c r="BK434" s="65"/>
      <c r="BL434" s="99"/>
      <c r="BM434" s="99"/>
      <c r="BN434" s="99"/>
    </row>
    <row r="435" spans="1:66" s="51" customFormat="1" ht="15.75" x14ac:dyDescent="0.25">
      <c r="A435" s="478">
        <v>3</v>
      </c>
      <c r="B435" s="479" t="s">
        <v>291</v>
      </c>
      <c r="C435" s="480" t="s">
        <v>1534</v>
      </c>
      <c r="D435" s="481" t="s">
        <v>311</v>
      </c>
      <c r="E435" s="482">
        <v>35.950000000000003</v>
      </c>
      <c r="F435" s="483" t="s">
        <v>292</v>
      </c>
      <c r="G435" s="484">
        <v>0</v>
      </c>
      <c r="H435" s="688" t="str">
        <f>IF(G435=0,"",IF(F435="Buy",IF(G435=1,"plant","plants"),IF(F435&gt;0.01,"warranty","Error")))</f>
        <v/>
      </c>
      <c r="I435" s="485">
        <f>IF(H435="free",0,IF(H435="credit",((E435*(F435))*G435*-1),IF(F435="Buy",(E435*G435),((E435*(1-F435))*G435))))</f>
        <v>0</v>
      </c>
      <c r="J435" s="485">
        <f>IF(H435="warranty",0,(I435*(_xlfn.SINGLE(SalesTaxPercentage))))</f>
        <v>0</v>
      </c>
      <c r="K435" s="715">
        <f t="shared" ref="K435" si="332">I435+J435</f>
        <v>0</v>
      </c>
      <c r="L435" s="715"/>
      <c r="M435" s="689" t="str">
        <f ca="1">IF(AND(G435&gt;0,E435=0),"WARNING - no PRICE inserted",IF(H435="free","FREE ~ no charge this plant",IF(H435="credit",CONCATENATE("-$",ROUND(K435*(1-_xlfn.SINGLE(T2GDiscount))*-1,2)," CREDIT after discount"),IF(_xlfn.SINGLE(T2GDiscount)=0,"",IF(G435=0,"",IF(F435="Buy",CONCATENATE("$",ROUND(K435*(1-_xlfn.SINGLE(T2GDiscount)),2)," with ",(_xlfn.SINGLE(T2GDiscount)*100),"% discount"),CONCATENATE("$",ROUND(K435*(1-_xlfn.SINGLE(T2GDiscount)),2)," with ",((_xlfn.SINGLE(T2GDiscount)*100+F435*100)-(_xlfn.SINGLE(T2GDiscount)*100*F435)),IF(F435&gt;0,"% discounts",IF(_xlfn.SINGLE(NoWarrantyDiscount)&gt;0,"% discounts","% discount")))))))))</f>
        <v/>
      </c>
      <c r="N435" s="690"/>
      <c r="O435" s="486"/>
      <c r="P435" s="486"/>
      <c r="Q435" s="486"/>
      <c r="R435" s="486"/>
      <c r="S435" s="486"/>
      <c r="T435" s="102">
        <f t="shared" si="306"/>
        <v>0</v>
      </c>
      <c r="U435" s="78">
        <f>IF(NOT(ISNUMBER(G435)), "", VLOOKUP(A435,'Discount Lookup'!D:E,2,FALSE)*G435)</f>
        <v>0</v>
      </c>
      <c r="V435" s="78">
        <f>IF(NOT(ISNUMBER(G435)), "", VLOOKUP(A435,'Discount Lookup'!G:H,2,FALSE)*G435)</f>
        <v>0</v>
      </c>
      <c r="W435" s="102">
        <f t="shared" si="307"/>
        <v>0</v>
      </c>
      <c r="X435" s="102">
        <f t="shared" si="308"/>
        <v>0</v>
      </c>
      <c r="Y435" s="120" t="b">
        <f t="shared" si="309"/>
        <v>0</v>
      </c>
      <c r="Z435" s="117">
        <f t="shared" si="310"/>
        <v>0</v>
      </c>
      <c r="AA435" s="118"/>
      <c r="AB435" s="118" t="str">
        <f t="shared" si="311"/>
        <v/>
      </c>
      <c r="AC435" s="712" t="str">
        <f>IF(AE435="T2G","no charge",IF(AND(OR(PlanterYesMe="No",PlanterYesMe="N",PlanterYesMe="me"),H435=""),"",IF(H435="credit","NO install",IF(AND(K435="",AE435="me"),"EACH row",IF(AND(K435="images",AE435="me"),"EACH row",IF(D435="","",IF(H435="credit","",IF(AE435="free","re-planting",IF(AE435="me","   not ELP, by",IF(AND(OR(PlanterYesMe="Yes",PlanterYesMe="Y"),G435&gt;0),(VLOOKUP(A435,'Discount Lookup'!J:K,2)*G435*(1-PlanterDiscount)*(1+PlanterDifficultyPercentage)),IF(AE435="ELP",(VLOOKUP(A435,'Discount Lookup'!J:K,2)*G435*(1-PlanterDiscount)*(1+PlanterDifficultyPercentage)),IF(AE435="free","re-planting",IF(G435=0,"",IF(PlanterYesMe="",IF(AE435="me","   not ELP, by",IF(AE435="",IF(G435&gt;0,(VLOOKUP(A435,'Discount Lookup'!J:K,2)*G435*(1-PlanterDiscount)*(1+PlanterDifficultyPercentage)),""),"")),"   not ELP, by"))))))))))))))</f>
        <v/>
      </c>
      <c r="AD435" s="712"/>
      <c r="AE435" s="513" t="str">
        <f t="shared" si="312"/>
        <v/>
      </c>
      <c r="AF435" s="713" t="str">
        <f t="shared" si="313"/>
        <v/>
      </c>
      <c r="AG435" s="713"/>
      <c r="AH435" s="713"/>
      <c r="AI435" s="112">
        <f>IF(H435="credit",0,IF(AE435="free",0,IF(AE435="me",0,IF(G435&gt;0,(VLOOKUP(A435,'Discount Lookup'!J:K,2)*G435),0))))</f>
        <v>0</v>
      </c>
      <c r="AJ435" s="107" t="str">
        <f t="shared" ca="1" si="314"/>
        <v/>
      </c>
      <c r="AK435" s="714" t="str">
        <f t="shared" si="315"/>
        <v/>
      </c>
      <c r="AL435" s="714"/>
      <c r="AM435" s="114" t="str">
        <f t="shared" si="316"/>
        <v/>
      </c>
      <c r="AN435" s="115"/>
      <c r="AO435" s="116"/>
      <c r="AP435" s="116"/>
      <c r="AQ435" s="116"/>
      <c r="AR435" s="116"/>
      <c r="AS435" s="116"/>
      <c r="AT435" s="116"/>
      <c r="AU435" s="116"/>
      <c r="AV435" s="78"/>
      <c r="AW435" s="102"/>
      <c r="AX435" s="78"/>
      <c r="AY435" s="78"/>
      <c r="AZ435" s="78"/>
      <c r="BA435" s="78"/>
      <c r="BB435" s="78"/>
      <c r="BC435" s="78"/>
      <c r="BD435" s="78"/>
      <c r="BE435" s="465"/>
      <c r="BF435" s="165" t="str">
        <f t="shared" si="317"/>
        <v>https://www.google.com/search?tbm=isch&amp;q=3%20G5</v>
      </c>
      <c r="BG435" s="165" t="str">
        <f t="shared" si="318"/>
        <v>A</v>
      </c>
      <c r="BH435" s="65"/>
      <c r="BI435" s="65"/>
      <c r="BJ435" s="65"/>
      <c r="BK435" s="65"/>
      <c r="BL435" s="99"/>
      <c r="BM435" s="99"/>
      <c r="BN435" s="99"/>
    </row>
    <row r="436" spans="1:66" s="51" customFormat="1" ht="15.75" x14ac:dyDescent="0.25">
      <c r="A436" s="478">
        <v>7</v>
      </c>
      <c r="B436" s="479" t="s">
        <v>291</v>
      </c>
      <c r="C436" s="480" t="s">
        <v>1535</v>
      </c>
      <c r="D436" s="481" t="s">
        <v>311</v>
      </c>
      <c r="E436" s="482">
        <v>79.95</v>
      </c>
      <c r="F436" s="483" t="s">
        <v>292</v>
      </c>
      <c r="G436" s="484">
        <v>0</v>
      </c>
      <c r="H436" s="688" t="str">
        <f>IF(G436=0,"",IF(F436="Buy",IF(G436=1,"plant","plants"),IF(F436&gt;0.01,"warranty","Error")))</f>
        <v/>
      </c>
      <c r="I436" s="485">
        <f>IF(H436="free",0,IF(H436="credit",((E436*(F436))*G436*-1),IF(F436="Buy",(E436*G436),((E436*(1-F436))*G436))))</f>
        <v>0</v>
      </c>
      <c r="J436" s="485">
        <f>IF(H436="warranty",0,(I436*(_xlfn.SINGLE(SalesTaxPercentage))))</f>
        <v>0</v>
      </c>
      <c r="K436" s="715">
        <f t="shared" ref="K436" si="333">I436+J436</f>
        <v>0</v>
      </c>
      <c r="L436" s="715"/>
      <c r="M436" s="689" t="str">
        <f ca="1">IF(AND(G436&gt;0,E436=0),"WARNING - no PRICE inserted",IF(H436="free","FREE ~ no charge this plant",IF(H436="credit",CONCATENATE("-$",ROUND(K436*(1-_xlfn.SINGLE(T2GDiscount))*-1,2)," CREDIT after discount"),IF(_xlfn.SINGLE(T2GDiscount)=0,"",IF(G436=0,"",IF(F436="Buy",CONCATENATE("$",ROUND(K436*(1-_xlfn.SINGLE(T2GDiscount)),2)," with ",(_xlfn.SINGLE(T2GDiscount)*100),"% discount"),CONCATENATE("$",ROUND(K436*(1-_xlfn.SINGLE(T2GDiscount)),2)," with ",((_xlfn.SINGLE(T2GDiscount)*100+F436*100)-(_xlfn.SINGLE(T2GDiscount)*100*F436)),IF(F436&gt;0,"% discounts",IF(_xlfn.SINGLE(NoWarrantyDiscount)&gt;0,"% discounts","% discount")))))))))</f>
        <v/>
      </c>
      <c r="N436" s="690"/>
      <c r="O436" s="486"/>
      <c r="P436" s="486"/>
      <c r="Q436" s="486"/>
      <c r="R436" s="486"/>
      <c r="S436" s="486"/>
      <c r="T436" s="102">
        <f t="shared" si="306"/>
        <v>0</v>
      </c>
      <c r="U436" s="78">
        <f>IF(NOT(ISNUMBER(G436)), "", VLOOKUP(A436,'Discount Lookup'!D:E,2,FALSE)*G436)</f>
        <v>0</v>
      </c>
      <c r="V436" s="78">
        <f>IF(NOT(ISNUMBER(G436)), "", VLOOKUP(A436,'Discount Lookup'!G:H,2,FALSE)*G436)</f>
        <v>0</v>
      </c>
      <c r="W436" s="102">
        <f t="shared" si="307"/>
        <v>0</v>
      </c>
      <c r="X436" s="102">
        <f t="shared" si="308"/>
        <v>0</v>
      </c>
      <c r="Y436" s="120" t="b">
        <f t="shared" si="309"/>
        <v>0</v>
      </c>
      <c r="Z436" s="117">
        <f t="shared" si="310"/>
        <v>0</v>
      </c>
      <c r="AA436" s="118"/>
      <c r="AB436" s="118" t="str">
        <f t="shared" si="311"/>
        <v/>
      </c>
      <c r="AC436" s="712" t="str">
        <f>IF(AE436="T2G","no charge",IF(AND(OR(PlanterYesMe="No",PlanterYesMe="N",PlanterYesMe="me"),H436=""),"",IF(H436="credit","NO install",IF(AND(K436="",AE436="me"),"EACH row",IF(AND(K436="images",AE436="me"),"EACH row",IF(D436="","",IF(H436="credit","",IF(AE436="free","re-planting",IF(AE436="me","   not ELP, by",IF(AND(OR(PlanterYesMe="Yes",PlanterYesMe="Y"),G436&gt;0),(VLOOKUP(A436,'Discount Lookup'!J:K,2)*G436*(1-PlanterDiscount)*(1+PlanterDifficultyPercentage)),IF(AE436="ELP",(VLOOKUP(A436,'Discount Lookup'!J:K,2)*G436*(1-PlanterDiscount)*(1+PlanterDifficultyPercentage)),IF(AE436="free","re-planting",IF(G436=0,"",IF(PlanterYesMe="",IF(AE436="me","   not ELP, by",IF(AE436="",IF(G436&gt;0,(VLOOKUP(A436,'Discount Lookup'!J:K,2)*G436*(1-PlanterDiscount)*(1+PlanterDifficultyPercentage)),""),"")),"   not ELP, by"))))))))))))))</f>
        <v/>
      </c>
      <c r="AD436" s="712"/>
      <c r="AE436" s="513" t="str">
        <f t="shared" si="312"/>
        <v/>
      </c>
      <c r="AF436" s="713" t="str">
        <f t="shared" si="313"/>
        <v/>
      </c>
      <c r="AG436" s="713"/>
      <c r="AH436" s="713"/>
      <c r="AI436" s="112">
        <f>IF(H436="credit",0,IF(AE436="free",0,IF(AE436="me",0,IF(G436&gt;0,(VLOOKUP(A436,'Discount Lookup'!J:K,2)*G436),0))))</f>
        <v>0</v>
      </c>
      <c r="AJ436" s="107" t="str">
        <f t="shared" ca="1" si="314"/>
        <v/>
      </c>
      <c r="AK436" s="714" t="str">
        <f t="shared" si="315"/>
        <v/>
      </c>
      <c r="AL436" s="714"/>
      <c r="AM436" s="114" t="str">
        <f t="shared" si="316"/>
        <v/>
      </c>
      <c r="AN436" s="115"/>
      <c r="AO436" s="116"/>
      <c r="AP436" s="116"/>
      <c r="AQ436" s="116"/>
      <c r="AR436" s="116"/>
      <c r="AS436" s="116"/>
      <c r="AT436" s="116"/>
      <c r="AU436" s="116"/>
      <c r="AV436" s="78"/>
      <c r="AW436" s="102"/>
      <c r="AX436" s="78"/>
      <c r="AY436" s="78"/>
      <c r="AZ436" s="78"/>
      <c r="BA436" s="78"/>
      <c r="BB436" s="78"/>
      <c r="BC436" s="78"/>
      <c r="BD436" s="78"/>
      <c r="BE436" s="465"/>
      <c r="BF436" s="165" t="str">
        <f t="shared" si="317"/>
        <v>https://www.google.com/search?tbm=isch&amp;q=7%20G5</v>
      </c>
      <c r="BG436" s="165" t="str">
        <f t="shared" si="318"/>
        <v>A</v>
      </c>
      <c r="BH436" s="65"/>
      <c r="BI436" s="65"/>
      <c r="BJ436" s="65"/>
      <c r="BK436" s="65"/>
      <c r="BL436" s="99"/>
      <c r="BM436" s="99"/>
      <c r="BN436" s="99"/>
    </row>
    <row r="437" spans="1:66" s="51" customFormat="1" ht="16.5" thickBot="1" x14ac:dyDescent="0.3">
      <c r="A437" s="508" t="s">
        <v>1536</v>
      </c>
      <c r="B437" s="487"/>
      <c r="C437" s="707"/>
      <c r="D437" s="487"/>
      <c r="E437" s="487"/>
      <c r="F437" s="488"/>
      <c r="G437" s="489"/>
      <c r="H437" s="487"/>
      <c r="I437" s="490"/>
      <c r="J437" s="490"/>
      <c r="K437" s="491"/>
      <c r="L437" s="547"/>
      <c r="M437" s="528"/>
      <c r="N437" s="492"/>
      <c r="O437" s="493"/>
      <c r="P437" s="494"/>
      <c r="Q437" s="492"/>
      <c r="R437" s="492"/>
      <c r="S437" s="495"/>
      <c r="T437" s="102">
        <f t="shared" si="306"/>
        <v>0</v>
      </c>
      <c r="U437" s="78" t="str">
        <f>IF(NOT(ISNUMBER(G437)), "", VLOOKUP(A437,'Discount Lookup'!D:E,2,FALSE)*G437)</f>
        <v/>
      </c>
      <c r="V437" s="78" t="str">
        <f>IF(NOT(ISNUMBER(G437)), "", VLOOKUP(A437,'Discount Lookup'!G:H,2,FALSE)*G437)</f>
        <v/>
      </c>
      <c r="W437" s="102">
        <f t="shared" si="307"/>
        <v>0</v>
      </c>
      <c r="X437" s="102">
        <f t="shared" si="308"/>
        <v>0</v>
      </c>
      <c r="Y437" s="120" t="b">
        <f t="shared" si="309"/>
        <v>0</v>
      </c>
      <c r="Z437" s="117">
        <f t="shared" si="310"/>
        <v>0</v>
      </c>
      <c r="AA437" s="118"/>
      <c r="AB437" s="118" t="str">
        <f t="shared" si="311"/>
        <v/>
      </c>
      <c r="AC437" s="712" t="str">
        <f>IF(AE437="T2G","no charge",IF(AND(OR(PlanterYesMe="No",PlanterYesMe="N",PlanterYesMe="me"),H437=""),"",IF(H437="credit","NO install",IF(AND(K437="",AE437="me"),"EACH row",IF(AND(K437="images",AE437="me"),"EACH row",IF(D437="","",IF(H437="credit","",IF(AE437="free","re-planting",IF(AE437="me","   not ELP, by",IF(AND(OR(PlanterYesMe="Yes",PlanterYesMe="Y"),G437&gt;0),(VLOOKUP(A437,'Discount Lookup'!J:K,2)*G437*(1-PlanterDiscount)*(1+PlanterDifficultyPercentage)),IF(AE437="ELP",(VLOOKUP(A437,'Discount Lookup'!J:K,2)*G437*(1-PlanterDiscount)*(1+PlanterDifficultyPercentage)),IF(AE437="free","re-planting",IF(G437=0,"",IF(PlanterYesMe="",IF(AE437="me","   not ELP, by",IF(AE437="",IF(G437&gt;0,(VLOOKUP(A437,'Discount Lookup'!J:K,2)*G437*(1-PlanterDiscount)*(1+PlanterDifficultyPercentage)),""),"")),"   not ELP, by"))))))))))))))</f>
        <v/>
      </c>
      <c r="AD437" s="712"/>
      <c r="AE437" s="513" t="str">
        <f t="shared" si="312"/>
        <v/>
      </c>
      <c r="AF437" s="713" t="str">
        <f t="shared" si="313"/>
        <v/>
      </c>
      <c r="AG437" s="713"/>
      <c r="AH437" s="713"/>
      <c r="AI437" s="112">
        <f>IF(H437="credit",0,IF(AE437="free",0,IF(AE437="me",0,IF(G437&gt;0,(VLOOKUP(A437,'Discount Lookup'!J:K,2)*G437),0))))</f>
        <v>0</v>
      </c>
      <c r="AJ437" s="107" t="str">
        <f t="shared" ca="1" si="314"/>
        <v/>
      </c>
      <c r="AK437" s="714" t="str">
        <f t="shared" si="315"/>
        <v/>
      </c>
      <c r="AL437" s="714"/>
      <c r="AM437" s="114" t="str">
        <f t="shared" si="316"/>
        <v/>
      </c>
      <c r="AN437" s="115"/>
      <c r="AO437" s="116"/>
      <c r="AP437" s="116"/>
      <c r="AQ437" s="116"/>
      <c r="AR437" s="116"/>
      <c r="AS437" s="116"/>
      <c r="AT437" s="116"/>
      <c r="AU437" s="116"/>
      <c r="AV437" s="78"/>
      <c r="AW437" s="102"/>
      <c r="AX437" s="78"/>
      <c r="AY437" s="78"/>
      <c r="AZ437" s="78"/>
      <c r="BA437" s="78"/>
      <c r="BB437" s="78"/>
      <c r="BC437" s="78"/>
      <c r="BD437" s="78"/>
      <c r="BE437" s="465"/>
      <c r="BF437" s="165" t="str">
        <f t="shared" si="317"/>
        <v>https://www.google.com/search?tbm=isch&amp;q=Marmorata%20is%20a%20variegated%20female%20%20with%20Gold-splashed%20foliage%20and%20ornamental%20red%20berries%2C%20if%20pollinated.%20Durable%2C%20highly%20shade-tolerant%2C%20and%20fairly%20rabbit%20resistant%20</v>
      </c>
      <c r="BG437" s="165" t="str">
        <f t="shared" si="318"/>
        <v>M</v>
      </c>
      <c r="BH437" s="65"/>
      <c r="BI437" s="65"/>
      <c r="BJ437" s="65"/>
      <c r="BK437" s="65"/>
      <c r="BL437" s="99"/>
      <c r="BM437" s="99"/>
      <c r="BN437" s="99"/>
    </row>
    <row r="438" spans="1:66" s="51" customFormat="1" ht="18" x14ac:dyDescent="0.25">
      <c r="A438" s="507" t="s">
        <v>1537</v>
      </c>
      <c r="B438" s="470"/>
      <c r="C438" s="706"/>
      <c r="D438" s="471" t="s">
        <v>1538</v>
      </c>
      <c r="E438" s="472"/>
      <c r="F438" s="472"/>
      <c r="G438" s="472"/>
      <c r="H438" s="622" t="s">
        <v>1124</v>
      </c>
      <c r="I438" s="473" t="s">
        <v>1539</v>
      </c>
      <c r="J438" s="472"/>
      <c r="K438" s="472"/>
      <c r="L438" s="561"/>
      <c r="M438" s="703" t="s">
        <v>5260</v>
      </c>
      <c r="N438" s="692" t="str">
        <f>IF(AND(ISTEXT($A438), ISERROR($A438+0)), HYPERLINK($BF438, "Images"), "")</f>
        <v>Images</v>
      </c>
      <c r="O438" s="694" t="s">
        <v>5244</v>
      </c>
      <c r="P438" s="475"/>
      <c r="Q438" s="476"/>
      <c r="R438" s="476"/>
      <c r="S438" s="477"/>
      <c r="T438" s="102">
        <f t="shared" si="306"/>
        <v>0</v>
      </c>
      <c r="U438" s="78" t="str">
        <f>IF(NOT(ISNUMBER(G438)), "", VLOOKUP(A438,'Discount Lookup'!D:E,2,FALSE)*G438)</f>
        <v/>
      </c>
      <c r="V438" s="78" t="str">
        <f>IF(NOT(ISNUMBER(G438)), "", VLOOKUP(A438,'Discount Lookup'!G:H,2,FALSE)*G438)</f>
        <v/>
      </c>
      <c r="W438" s="102">
        <f t="shared" si="307"/>
        <v>0</v>
      </c>
      <c r="X438" s="102" t="str">
        <f t="shared" si="308"/>
        <v>Forest Green foliage</v>
      </c>
      <c r="Y438" s="120" t="b">
        <f t="shared" si="309"/>
        <v>0</v>
      </c>
      <c r="Z438" s="117">
        <f t="shared" si="310"/>
        <v>0</v>
      </c>
      <c r="AA438" s="118"/>
      <c r="AB438" s="118" t="str">
        <f t="shared" si="311"/>
        <v/>
      </c>
      <c r="AC438" s="712" t="str">
        <f>IF(AE438="T2G","no charge",IF(AND(OR(PlanterYesMe="No",PlanterYesMe="N",PlanterYesMe="me"),H438=""),"",IF(H438="credit","NO install",IF(AND(K438="",AE438="me"),"EACH row",IF(AND(K438="images",AE438="me"),"EACH row",IF(D438="","",IF(H438="credit","",IF(AE438="free","re-planting",IF(AE438="me","   not ELP, by",IF(AND(OR(PlanterYesMe="Yes",PlanterYesMe="Y"),G438&gt;0),(VLOOKUP(A438,'Discount Lookup'!J:K,2)*G438*(1-PlanterDiscount)*(1+PlanterDifficultyPercentage)),IF(AE438="ELP",(VLOOKUP(A438,'Discount Lookup'!J:K,2)*G438*(1-PlanterDiscount)*(1+PlanterDifficultyPercentage)),IF(AE438="free","re-planting",IF(G438=0,"",IF(PlanterYesMe="",IF(AE438="me","   not ELP, by",IF(AE438="",IF(G438&gt;0,(VLOOKUP(A438,'Discount Lookup'!J:K,2)*G438*(1-PlanterDiscount)*(1+PlanterDifficultyPercentage)),""),"")),"   not ELP, by"))))))))))))))</f>
        <v/>
      </c>
      <c r="AD438" s="712"/>
      <c r="AE438" s="513" t="str">
        <f t="shared" si="312"/>
        <v/>
      </c>
      <c r="AF438" s="713" t="str">
        <f t="shared" si="313"/>
        <v/>
      </c>
      <c r="AG438" s="713"/>
      <c r="AH438" s="713"/>
      <c r="AI438" s="112">
        <f>IF(H438="credit",0,IF(AE438="free",0,IF(AE438="me",0,IF(G438&gt;0,(VLOOKUP(A438,'Discount Lookup'!J:K,2)*G438),0))))</f>
        <v>0</v>
      </c>
      <c r="AJ438" s="107" t="str">
        <f t="shared" ca="1" si="314"/>
        <v/>
      </c>
      <c r="AK438" s="714" t="str">
        <f t="shared" si="315"/>
        <v/>
      </c>
      <c r="AL438" s="714"/>
      <c r="AM438" s="114" t="str">
        <f t="shared" si="316"/>
        <v/>
      </c>
      <c r="AN438" s="115"/>
      <c r="AO438" s="116"/>
      <c r="AP438" s="116"/>
      <c r="AQ438" s="116"/>
      <c r="AR438" s="116"/>
      <c r="AS438" s="116"/>
      <c r="AT438" s="116"/>
      <c r="AU438" s="116"/>
      <c r="AV438" s="78"/>
      <c r="AW438" s="102"/>
      <c r="AX438" s="78"/>
      <c r="AY438" s="78"/>
      <c r="AZ438" s="78"/>
      <c r="BA438" s="78"/>
      <c r="BB438" s="78"/>
      <c r="BC438" s="78"/>
      <c r="BD438" s="78"/>
      <c r="BE438" s="465"/>
      <c r="BF438" s="165" t="str">
        <f t="shared" si="317"/>
        <v>https://www.google.com/search?tbm=isch&amp;q=Aucuba%20japonica%20%27Rozannie%27%20Rozannie%20Aucuba</v>
      </c>
      <c r="BG438" s="165" t="str">
        <f t="shared" si="318"/>
        <v>A</v>
      </c>
      <c r="BH438" s="65"/>
      <c r="BI438" s="65"/>
      <c r="BJ438" s="65"/>
      <c r="BK438" s="65"/>
      <c r="BL438" s="99"/>
      <c r="BM438" s="99"/>
      <c r="BN438" s="99"/>
    </row>
    <row r="439" spans="1:66" s="51" customFormat="1" ht="15.75" x14ac:dyDescent="0.25">
      <c r="A439" s="478">
        <v>3</v>
      </c>
      <c r="B439" s="479" t="s">
        <v>291</v>
      </c>
      <c r="C439" s="480" t="s">
        <v>1540</v>
      </c>
      <c r="D439" s="481" t="s">
        <v>299</v>
      </c>
      <c r="E439" s="482">
        <v>35.950000000000003</v>
      </c>
      <c r="F439" s="483" t="s">
        <v>292</v>
      </c>
      <c r="G439" s="484">
        <v>0</v>
      </c>
      <c r="H439" s="688" t="str">
        <f>IF(G439=0,"",IF(F439="Buy",IF(G439=1,"plant","plants"),IF(F439&gt;0.01,"warranty","Error")))</f>
        <v/>
      </c>
      <c r="I439" s="485">
        <f>IF(H439="free",0,IF(H439="credit",((E439*(F439))*G439*-1),IF(F439="Buy",(E439*G439),((E439*(1-F439))*G439))))</f>
        <v>0</v>
      </c>
      <c r="J439" s="485">
        <f>IF(H439="warranty",0,(I439*(_xlfn.SINGLE(SalesTaxPercentage))))</f>
        <v>0</v>
      </c>
      <c r="K439" s="715">
        <f t="shared" ref="K439" si="334">I439+J439</f>
        <v>0</v>
      </c>
      <c r="L439" s="715"/>
      <c r="M439" s="689" t="str">
        <f ca="1">IF(AND(G439&gt;0,E439=0),"WARNING - no PRICE inserted",IF(H439="free","FREE ~ no charge this plant",IF(H439="credit",CONCATENATE("-$",ROUND(K439*(1-_xlfn.SINGLE(T2GDiscount))*-1,2)," CREDIT after discount"),IF(_xlfn.SINGLE(T2GDiscount)=0,"",IF(G439=0,"",IF(F439="Buy",CONCATENATE("$",ROUND(K439*(1-_xlfn.SINGLE(T2GDiscount)),2)," with ",(_xlfn.SINGLE(T2GDiscount)*100),"% discount"),CONCATENATE("$",ROUND(K439*(1-_xlfn.SINGLE(T2GDiscount)),2)," with ",((_xlfn.SINGLE(T2GDiscount)*100+F439*100)-(_xlfn.SINGLE(T2GDiscount)*100*F439)),IF(F439&gt;0,"% discounts",IF(_xlfn.SINGLE(NoWarrantyDiscount)&gt;0,"% discounts","% discount")))))))))</f>
        <v/>
      </c>
      <c r="N439" s="690"/>
      <c r="O439" s="486"/>
      <c r="P439" s="486"/>
      <c r="Q439" s="486"/>
      <c r="R439" s="486"/>
      <c r="S439" s="486"/>
      <c r="T439" s="102">
        <f t="shared" si="306"/>
        <v>0</v>
      </c>
      <c r="U439" s="78">
        <f>IF(NOT(ISNUMBER(G439)), "", VLOOKUP(A439,'Discount Lookup'!D:E,2,FALSE)*G439)</f>
        <v>0</v>
      </c>
      <c r="V439" s="78">
        <f>IF(NOT(ISNUMBER(G439)), "", VLOOKUP(A439,'Discount Lookup'!G:H,2,FALSE)*G439)</f>
        <v>0</v>
      </c>
      <c r="W439" s="102">
        <f t="shared" si="307"/>
        <v>0</v>
      </c>
      <c r="X439" s="102">
        <f t="shared" si="308"/>
        <v>0</v>
      </c>
      <c r="Y439" s="120" t="b">
        <f t="shared" si="309"/>
        <v>0</v>
      </c>
      <c r="Z439" s="117">
        <f t="shared" si="310"/>
        <v>0</v>
      </c>
      <c r="AA439" s="118"/>
      <c r="AB439" s="118" t="str">
        <f t="shared" si="311"/>
        <v/>
      </c>
      <c r="AC439" s="712" t="str">
        <f>IF(AE439="T2G","no charge",IF(AND(OR(PlanterYesMe="No",PlanterYesMe="N",PlanterYesMe="me"),H439=""),"",IF(H439="credit","NO install",IF(AND(K439="",AE439="me"),"EACH row",IF(AND(K439="images",AE439="me"),"EACH row",IF(D439="","",IF(H439="credit","",IF(AE439="free","re-planting",IF(AE439="me","   not ELP, by",IF(AND(OR(PlanterYesMe="Yes",PlanterYesMe="Y"),G439&gt;0),(VLOOKUP(A439,'Discount Lookup'!J:K,2)*G439*(1-PlanterDiscount)*(1+PlanterDifficultyPercentage)),IF(AE439="ELP",(VLOOKUP(A439,'Discount Lookup'!J:K,2)*G439*(1-PlanterDiscount)*(1+PlanterDifficultyPercentage)),IF(AE439="free","re-planting",IF(G439=0,"",IF(PlanterYesMe="",IF(AE439="me","   not ELP, by",IF(AE439="",IF(G439&gt;0,(VLOOKUP(A439,'Discount Lookup'!J:K,2)*G439*(1-PlanterDiscount)*(1+PlanterDifficultyPercentage)),""),"")),"   not ELP, by"))))))))))))))</f>
        <v/>
      </c>
      <c r="AD439" s="712"/>
      <c r="AE439" s="513" t="str">
        <f t="shared" si="312"/>
        <v/>
      </c>
      <c r="AF439" s="713" t="str">
        <f t="shared" si="313"/>
        <v/>
      </c>
      <c r="AG439" s="713"/>
      <c r="AH439" s="713"/>
      <c r="AI439" s="112">
        <f>IF(H439="credit",0,IF(AE439="free",0,IF(AE439="me",0,IF(G439&gt;0,(VLOOKUP(A439,'Discount Lookup'!J:K,2)*G439),0))))</f>
        <v>0</v>
      </c>
      <c r="AJ439" s="107" t="str">
        <f t="shared" ca="1" si="314"/>
        <v/>
      </c>
      <c r="AK439" s="714" t="str">
        <f t="shared" si="315"/>
        <v/>
      </c>
      <c r="AL439" s="714"/>
      <c r="AM439" s="114" t="str">
        <f t="shared" si="316"/>
        <v/>
      </c>
      <c r="AN439" s="115"/>
      <c r="AO439" s="116"/>
      <c r="AP439" s="116"/>
      <c r="AQ439" s="116"/>
      <c r="AR439" s="116"/>
      <c r="AS439" s="116"/>
      <c r="AT439" s="116"/>
      <c r="AU439" s="116"/>
      <c r="AV439" s="78"/>
      <c r="AW439" s="102"/>
      <c r="AX439" s="78"/>
      <c r="AY439" s="78"/>
      <c r="AZ439" s="78"/>
      <c r="BA439" s="78"/>
      <c r="BB439" s="78"/>
      <c r="BC439" s="78"/>
      <c r="BD439" s="78"/>
      <c r="BE439" s="465"/>
      <c r="BF439" s="165" t="str">
        <f t="shared" si="317"/>
        <v>https://www.google.com/search?tbm=isch&amp;q=3%20G4</v>
      </c>
      <c r="BG439" s="165" t="str">
        <f t="shared" si="318"/>
        <v>A</v>
      </c>
      <c r="BH439" s="65"/>
      <c r="BI439" s="65"/>
      <c r="BJ439" s="65"/>
      <c r="BK439" s="65"/>
      <c r="BL439" s="99"/>
      <c r="BM439" s="99"/>
      <c r="BN439" s="99"/>
    </row>
    <row r="440" spans="1:66" s="51" customFormat="1" ht="16.5" thickBot="1" x14ac:dyDescent="0.3">
      <c r="A440" s="508" t="s">
        <v>1541</v>
      </c>
      <c r="B440" s="487"/>
      <c r="C440" s="707"/>
      <c r="D440" s="487"/>
      <c r="E440" s="487"/>
      <c r="F440" s="488"/>
      <c r="G440" s="489"/>
      <c r="H440" s="487"/>
      <c r="I440" s="490"/>
      <c r="J440" s="490"/>
      <c r="K440" s="491"/>
      <c r="L440" s="547"/>
      <c r="M440" s="528"/>
      <c r="N440" s="492"/>
      <c r="O440" s="493"/>
      <c r="P440" s="494"/>
      <c r="Q440" s="492"/>
      <c r="R440" s="492"/>
      <c r="S440" s="495"/>
      <c r="T440" s="102">
        <f t="shared" si="306"/>
        <v>0</v>
      </c>
      <c r="U440" s="78" t="str">
        <f>IF(NOT(ISNUMBER(G440)), "", VLOOKUP(A440,'Discount Lookup'!D:E,2,FALSE)*G440)</f>
        <v/>
      </c>
      <c r="V440" s="78" t="str">
        <f>IF(NOT(ISNUMBER(G440)), "", VLOOKUP(A440,'Discount Lookup'!G:H,2,FALSE)*G440)</f>
        <v/>
      </c>
      <c r="W440" s="102">
        <f t="shared" si="307"/>
        <v>0</v>
      </c>
      <c r="X440" s="102">
        <f t="shared" si="308"/>
        <v>0</v>
      </c>
      <c r="Y440" s="120" t="b">
        <f t="shared" si="309"/>
        <v>0</v>
      </c>
      <c r="Z440" s="117">
        <f t="shared" si="310"/>
        <v>0</v>
      </c>
      <c r="AA440" s="118"/>
      <c r="AB440" s="118" t="str">
        <f t="shared" si="311"/>
        <v/>
      </c>
      <c r="AC440" s="712" t="str">
        <f>IF(AE440="T2G","no charge",IF(AND(OR(PlanterYesMe="No",PlanterYesMe="N",PlanterYesMe="me"),H440=""),"",IF(H440="credit","NO install",IF(AND(K440="",AE440="me"),"EACH row",IF(AND(K440="images",AE440="me"),"EACH row",IF(D440="","",IF(H440="credit","",IF(AE440="free","re-planting",IF(AE440="me","   not ELP, by",IF(AND(OR(PlanterYesMe="Yes",PlanterYesMe="Y"),G440&gt;0),(VLOOKUP(A440,'Discount Lookup'!J:K,2)*G440*(1-PlanterDiscount)*(1+PlanterDifficultyPercentage)),IF(AE440="ELP",(VLOOKUP(A440,'Discount Lookup'!J:K,2)*G440*(1-PlanterDiscount)*(1+PlanterDifficultyPercentage)),IF(AE440="free","re-planting",IF(G440=0,"",IF(PlanterYesMe="",IF(AE440="me","   not ELP, by",IF(AE440="",IF(G440&gt;0,(VLOOKUP(A440,'Discount Lookup'!J:K,2)*G440*(1-PlanterDiscount)*(1+PlanterDifficultyPercentage)),""),"")),"   not ELP, by"))))))))))))))</f>
        <v/>
      </c>
      <c r="AD440" s="712"/>
      <c r="AE440" s="513" t="str">
        <f t="shared" si="312"/>
        <v/>
      </c>
      <c r="AF440" s="713" t="str">
        <f t="shared" si="313"/>
        <v/>
      </c>
      <c r="AG440" s="713"/>
      <c r="AH440" s="713"/>
      <c r="AI440" s="112">
        <f>IF(H440="credit",0,IF(AE440="free",0,IF(AE440="me",0,IF(G440&gt;0,(VLOOKUP(A440,'Discount Lookup'!J:K,2)*G440),0))))</f>
        <v>0</v>
      </c>
      <c r="AJ440" s="107" t="str">
        <f t="shared" ca="1" si="314"/>
        <v/>
      </c>
      <c r="AK440" s="714" t="str">
        <f t="shared" si="315"/>
        <v/>
      </c>
      <c r="AL440" s="714"/>
      <c r="AM440" s="114" t="str">
        <f t="shared" si="316"/>
        <v/>
      </c>
      <c r="AN440" s="115"/>
      <c r="AO440" s="116"/>
      <c r="AP440" s="116"/>
      <c r="AQ440" s="116"/>
      <c r="AR440" s="116"/>
      <c r="AS440" s="116"/>
      <c r="AT440" s="116"/>
      <c r="AU440" s="116"/>
      <c r="AV440" s="78"/>
      <c r="AW440" s="102"/>
      <c r="AX440" s="78"/>
      <c r="AY440" s="78"/>
      <c r="AZ440" s="78"/>
      <c r="BA440" s="78"/>
      <c r="BB440" s="78"/>
      <c r="BC440" s="78"/>
      <c r="BD440" s="78"/>
      <c r="BE440" s="465"/>
      <c r="BF440" s="165" t="str">
        <f t="shared" si="317"/>
        <v>https://www.google.com/search?tbm=isch&amp;q=Rozannie%20is%20a%20compact%2C%20self-fertile%20female%20cultivar%20with%20lustrous%20dark%20foliage%20and%20persistent%20Red%20berries.%20Durable%2C%20highly%20shade-tolerant%2C%20and%20fairly%20rabbit%20resistant%20</v>
      </c>
      <c r="BG440" s="165" t="str">
        <f t="shared" si="318"/>
        <v>R</v>
      </c>
      <c r="BH440" s="65"/>
      <c r="BI440" s="65"/>
      <c r="BJ440" s="65"/>
      <c r="BK440" s="65"/>
      <c r="BL440" s="99"/>
      <c r="BM440" s="99"/>
      <c r="BN440" s="99"/>
    </row>
    <row r="441" spans="1:66" s="51" customFormat="1" ht="18" x14ac:dyDescent="0.25">
      <c r="A441" s="507" t="s">
        <v>1542</v>
      </c>
      <c r="B441" s="470"/>
      <c r="C441" s="706"/>
      <c r="D441" s="471" t="s">
        <v>1543</v>
      </c>
      <c r="E441" s="472"/>
      <c r="F441" s="472"/>
      <c r="G441" s="472"/>
      <c r="H441" s="622" t="s">
        <v>1471</v>
      </c>
      <c r="I441" s="473" t="s">
        <v>1529</v>
      </c>
      <c r="J441" s="472"/>
      <c r="K441" s="472"/>
      <c r="L441" s="561"/>
      <c r="M441" s="703" t="s">
        <v>5260</v>
      </c>
      <c r="N441" s="692" t="str">
        <f>IF(AND(ISTEXT($A441), ISERROR($A441+0)), HYPERLINK($BF441, "Images"), "")</f>
        <v>Images</v>
      </c>
      <c r="O441" s="694" t="s">
        <v>5244</v>
      </c>
      <c r="P441" s="475"/>
      <c r="Q441" s="476"/>
      <c r="R441" s="476"/>
      <c r="S441" s="477"/>
      <c r="T441" s="102">
        <f t="shared" si="306"/>
        <v>0</v>
      </c>
      <c r="U441" s="78" t="str">
        <f>IF(NOT(ISNUMBER(G441)), "", VLOOKUP(A441,'Discount Lookup'!D:E,2,FALSE)*G441)</f>
        <v/>
      </c>
      <c r="V441" s="78" t="str">
        <f>IF(NOT(ISNUMBER(G441)), "", VLOOKUP(A441,'Discount Lookup'!G:H,2,FALSE)*G441)</f>
        <v/>
      </c>
      <c r="W441" s="102">
        <f t="shared" si="307"/>
        <v>0</v>
      </c>
      <c r="X441" s="102" t="str">
        <f t="shared" si="308"/>
        <v>Green &amp; Gold foliage</v>
      </c>
      <c r="Y441" s="120" t="b">
        <f t="shared" si="309"/>
        <v>0</v>
      </c>
      <c r="Z441" s="117">
        <f t="shared" si="310"/>
        <v>0</v>
      </c>
      <c r="AA441" s="118"/>
      <c r="AB441" s="118" t="str">
        <f t="shared" si="311"/>
        <v/>
      </c>
      <c r="AC441" s="712" t="str">
        <f>IF(AE441="T2G","no charge",IF(AND(OR(PlanterYesMe="No",PlanterYesMe="N",PlanterYesMe="me"),H441=""),"",IF(H441="credit","NO install",IF(AND(K441="",AE441="me"),"EACH row",IF(AND(K441="images",AE441="me"),"EACH row",IF(D441="","",IF(H441="credit","",IF(AE441="free","re-planting",IF(AE441="me","   not ELP, by",IF(AND(OR(PlanterYesMe="Yes",PlanterYesMe="Y"),G441&gt;0),(VLOOKUP(A441,'Discount Lookup'!J:K,2)*G441*(1-PlanterDiscount)*(1+PlanterDifficultyPercentage)),IF(AE441="ELP",(VLOOKUP(A441,'Discount Lookup'!J:K,2)*G441*(1-PlanterDiscount)*(1+PlanterDifficultyPercentage)),IF(AE441="free","re-planting",IF(G441=0,"",IF(PlanterYesMe="",IF(AE441="me","   not ELP, by",IF(AE441="",IF(G441&gt;0,(VLOOKUP(A441,'Discount Lookup'!J:K,2)*G441*(1-PlanterDiscount)*(1+PlanterDifficultyPercentage)),""),"")),"   not ELP, by"))))))))))))))</f>
        <v/>
      </c>
      <c r="AD441" s="712"/>
      <c r="AE441" s="513" t="str">
        <f t="shared" si="312"/>
        <v/>
      </c>
      <c r="AF441" s="713" t="str">
        <f t="shared" si="313"/>
        <v/>
      </c>
      <c r="AG441" s="713"/>
      <c r="AH441" s="713"/>
      <c r="AI441" s="112">
        <f>IF(H441="credit",0,IF(AE441="free",0,IF(AE441="me",0,IF(G441&gt;0,(VLOOKUP(A441,'Discount Lookup'!J:K,2)*G441),0))))</f>
        <v>0</v>
      </c>
      <c r="AJ441" s="107" t="str">
        <f t="shared" ca="1" si="314"/>
        <v/>
      </c>
      <c r="AK441" s="714" t="str">
        <f t="shared" si="315"/>
        <v/>
      </c>
      <c r="AL441" s="714"/>
      <c r="AM441" s="114" t="str">
        <f t="shared" si="316"/>
        <v/>
      </c>
      <c r="AN441" s="115"/>
      <c r="AO441" s="116"/>
      <c r="AP441" s="116"/>
      <c r="AQ441" s="116"/>
      <c r="AR441" s="116"/>
      <c r="AS441" s="116"/>
      <c r="AT441" s="116"/>
      <c r="AU441" s="116"/>
      <c r="AV441" s="78"/>
      <c r="AW441" s="102"/>
      <c r="AX441" s="78"/>
      <c r="AY441" s="78"/>
      <c r="AZ441" s="78"/>
      <c r="BA441" s="78"/>
      <c r="BB441" s="78"/>
      <c r="BC441" s="78"/>
      <c r="BD441" s="78"/>
      <c r="BE441" s="465"/>
      <c r="BF441" s="165" t="str">
        <f t="shared" si="317"/>
        <v>https://www.google.com/search?tbm=isch&amp;q=Aucuba%20japonica%20%27Variegata%27%20Gold%20Dust%20Aucuba</v>
      </c>
      <c r="BG441" s="165" t="str">
        <f t="shared" si="318"/>
        <v>A</v>
      </c>
      <c r="BH441" s="65"/>
      <c r="BI441" s="65"/>
      <c r="BJ441" s="65"/>
      <c r="BK441" s="65"/>
      <c r="BL441" s="99"/>
      <c r="BM441" s="99"/>
      <c r="BN441" s="99"/>
    </row>
    <row r="442" spans="1:66" s="51" customFormat="1" ht="15.75" x14ac:dyDescent="0.25">
      <c r="A442" s="478">
        <v>3</v>
      </c>
      <c r="B442" s="479" t="s">
        <v>291</v>
      </c>
      <c r="C442" s="480" t="s">
        <v>341</v>
      </c>
      <c r="D442" s="481" t="s">
        <v>310</v>
      </c>
      <c r="E442" s="482">
        <v>25.95</v>
      </c>
      <c r="F442" s="483" t="s">
        <v>292</v>
      </c>
      <c r="G442" s="484">
        <v>0</v>
      </c>
      <c r="H442" s="688" t="str">
        <f>IF(G442=0,"",IF(F442="Buy",IF(G442=1,"plant","plants"),IF(F442&gt;0.01,"warranty","Error")))</f>
        <v/>
      </c>
      <c r="I442" s="485">
        <f>IF(H442="free",0,IF(H442="credit",((E442*(F442))*G442*-1),IF(F442="Buy",(E442*G442),((E442*(1-F442))*G442))))</f>
        <v>0</v>
      </c>
      <c r="J442" s="485">
        <f>IF(H442="warranty",0,(I442*(_xlfn.SINGLE(SalesTaxPercentage))))</f>
        <v>0</v>
      </c>
      <c r="K442" s="715">
        <f t="shared" ref="K442" si="335">I442+J442</f>
        <v>0</v>
      </c>
      <c r="L442" s="715"/>
      <c r="M442" s="689" t="str">
        <f ca="1">IF(AND(G442&gt;0,E442=0),"WARNING - no PRICE inserted",IF(H442="free","FREE ~ no charge this plant",IF(H442="credit",CONCATENATE("-$",ROUND(K442*(1-_xlfn.SINGLE(T2GDiscount))*-1,2)," CREDIT after discount"),IF(_xlfn.SINGLE(T2GDiscount)=0,"",IF(G442=0,"",IF(F442="Buy",CONCATENATE("$",ROUND(K442*(1-_xlfn.SINGLE(T2GDiscount)),2)," with ",(_xlfn.SINGLE(T2GDiscount)*100),"% discount"),CONCATENATE("$",ROUND(K442*(1-_xlfn.SINGLE(T2GDiscount)),2)," with ",((_xlfn.SINGLE(T2GDiscount)*100+F442*100)-(_xlfn.SINGLE(T2GDiscount)*100*F442)),IF(F442&gt;0,"% discounts",IF(_xlfn.SINGLE(NoWarrantyDiscount)&gt;0,"% discounts","% discount")))))))))</f>
        <v/>
      </c>
      <c r="N442" s="690"/>
      <c r="O442" s="486"/>
      <c r="P442" s="486"/>
      <c r="Q442" s="486"/>
      <c r="R442" s="486"/>
      <c r="S442" s="486"/>
      <c r="T442" s="102">
        <f t="shared" si="306"/>
        <v>0</v>
      </c>
      <c r="U442" s="78">
        <f>IF(NOT(ISNUMBER(G442)), "", VLOOKUP(A442,'Discount Lookup'!D:E,2,FALSE)*G442)</f>
        <v>0</v>
      </c>
      <c r="V442" s="78">
        <f>IF(NOT(ISNUMBER(G442)), "", VLOOKUP(A442,'Discount Lookup'!G:H,2,FALSE)*G442)</f>
        <v>0</v>
      </c>
      <c r="W442" s="102">
        <f t="shared" si="307"/>
        <v>0</v>
      </c>
      <c r="X442" s="102">
        <f t="shared" si="308"/>
        <v>0</v>
      </c>
      <c r="Y442" s="120" t="b">
        <f t="shared" si="309"/>
        <v>0</v>
      </c>
      <c r="Z442" s="117">
        <f t="shared" si="310"/>
        <v>0</v>
      </c>
      <c r="AA442" s="118"/>
      <c r="AB442" s="118" t="str">
        <f t="shared" si="311"/>
        <v/>
      </c>
      <c r="AC442" s="712" t="str">
        <f>IF(AE442="T2G","no charge",IF(AND(OR(PlanterYesMe="No",PlanterYesMe="N",PlanterYesMe="me"),H442=""),"",IF(H442="credit","NO install",IF(AND(K442="",AE442="me"),"EACH row",IF(AND(K442="images",AE442="me"),"EACH row",IF(D442="","",IF(H442="credit","",IF(AE442="free","re-planting",IF(AE442="me","   not ELP, by",IF(AND(OR(PlanterYesMe="Yes",PlanterYesMe="Y"),G442&gt;0),(VLOOKUP(A442,'Discount Lookup'!J:K,2)*G442*(1-PlanterDiscount)*(1+PlanterDifficultyPercentage)),IF(AE442="ELP",(VLOOKUP(A442,'Discount Lookup'!J:K,2)*G442*(1-PlanterDiscount)*(1+PlanterDifficultyPercentage)),IF(AE442="free","re-planting",IF(G442=0,"",IF(PlanterYesMe="",IF(AE442="me","   not ELP, by",IF(AE442="",IF(G442&gt;0,(VLOOKUP(A442,'Discount Lookup'!J:K,2)*G442*(1-PlanterDiscount)*(1+PlanterDifficultyPercentage)),""),"")),"   not ELP, by"))))))))))))))</f>
        <v/>
      </c>
      <c r="AD442" s="712"/>
      <c r="AE442" s="513" t="str">
        <f t="shared" si="312"/>
        <v/>
      </c>
      <c r="AF442" s="713" t="str">
        <f t="shared" si="313"/>
        <v/>
      </c>
      <c r="AG442" s="713"/>
      <c r="AH442" s="713"/>
      <c r="AI442" s="112">
        <f>IF(H442="credit",0,IF(AE442="free",0,IF(AE442="me",0,IF(G442&gt;0,(VLOOKUP(A442,'Discount Lookup'!J:K,2)*G442),0))))</f>
        <v>0</v>
      </c>
      <c r="AJ442" s="107" t="str">
        <f t="shared" ca="1" si="314"/>
        <v/>
      </c>
      <c r="AK442" s="714" t="str">
        <f t="shared" si="315"/>
        <v/>
      </c>
      <c r="AL442" s="714"/>
      <c r="AM442" s="114" t="str">
        <f t="shared" si="316"/>
        <v/>
      </c>
      <c r="AN442" s="115"/>
      <c r="AO442" s="116"/>
      <c r="AP442" s="116"/>
      <c r="AQ442" s="116"/>
      <c r="AR442" s="116"/>
      <c r="AS442" s="116"/>
      <c r="AT442" s="116"/>
      <c r="AU442" s="116"/>
      <c r="AV442" s="78"/>
      <c r="AW442" s="102"/>
      <c r="AX442" s="78"/>
      <c r="AY442" s="78"/>
      <c r="AZ442" s="78"/>
      <c r="BA442" s="78"/>
      <c r="BB442" s="78"/>
      <c r="BC442" s="78"/>
      <c r="BD442" s="78"/>
      <c r="BE442" s="465"/>
      <c r="BF442" s="165" t="str">
        <f t="shared" si="317"/>
        <v>https://www.google.com/search?tbm=isch&amp;q=3%20G1</v>
      </c>
      <c r="BG442" s="165" t="str">
        <f t="shared" si="318"/>
        <v>A</v>
      </c>
      <c r="BH442" s="65"/>
      <c r="BI442" s="65"/>
      <c r="BJ442" s="65"/>
      <c r="BK442" s="65"/>
      <c r="BL442" s="99"/>
      <c r="BM442" s="99"/>
      <c r="BN442" s="99"/>
    </row>
    <row r="443" spans="1:66" s="51" customFormat="1" ht="15.75" x14ac:dyDescent="0.25">
      <c r="A443" s="478">
        <v>3</v>
      </c>
      <c r="B443" s="479" t="s">
        <v>291</v>
      </c>
      <c r="C443" s="480" t="s">
        <v>454</v>
      </c>
      <c r="D443" s="481" t="s">
        <v>329</v>
      </c>
      <c r="E443" s="482">
        <v>30.95</v>
      </c>
      <c r="F443" s="483" t="s">
        <v>292</v>
      </c>
      <c r="G443" s="484">
        <v>0</v>
      </c>
      <c r="H443" s="688" t="str">
        <f>IF(G443=0,"",IF(F443="Buy",IF(G443=1,"plant","plants"),IF(F443&gt;0.01,"warranty","Error")))</f>
        <v/>
      </c>
      <c r="I443" s="485">
        <f>IF(H443="free",0,IF(H443="credit",((E443*(F443))*G443*-1),IF(F443="Buy",(E443*G443),((E443*(1-F443))*G443))))</f>
        <v>0</v>
      </c>
      <c r="J443" s="485">
        <f>IF(H443="warranty",0,(I443*(_xlfn.SINGLE(SalesTaxPercentage))))</f>
        <v>0</v>
      </c>
      <c r="K443" s="715">
        <f t="shared" ref="K443" si="336">I443+J443</f>
        <v>0</v>
      </c>
      <c r="L443" s="715"/>
      <c r="M443" s="689" t="str">
        <f ca="1">IF(AND(G443&gt;0,E443=0),"WARNING - no PRICE inserted",IF(H443="free","FREE ~ no charge this plant",IF(H443="credit",CONCATENATE("-$",ROUND(K443*(1-_xlfn.SINGLE(T2GDiscount))*-1,2)," CREDIT after discount"),IF(_xlfn.SINGLE(T2GDiscount)=0,"",IF(G443=0,"",IF(F443="Buy",CONCATENATE("$",ROUND(K443*(1-_xlfn.SINGLE(T2GDiscount)),2)," with ",(_xlfn.SINGLE(T2GDiscount)*100),"% discount"),CONCATENATE("$",ROUND(K443*(1-_xlfn.SINGLE(T2GDiscount)),2)," with ",((_xlfn.SINGLE(T2GDiscount)*100+F443*100)-(_xlfn.SINGLE(T2GDiscount)*100*F443)),IF(F443&gt;0,"% discounts",IF(_xlfn.SINGLE(NoWarrantyDiscount)&gt;0,"% discounts","% discount")))))))))</f>
        <v/>
      </c>
      <c r="N443" s="690"/>
      <c r="O443" s="486"/>
      <c r="P443" s="486"/>
      <c r="Q443" s="486"/>
      <c r="R443" s="486"/>
      <c r="S443" s="486"/>
      <c r="T443" s="102">
        <f t="shared" si="306"/>
        <v>0</v>
      </c>
      <c r="U443" s="78">
        <f>IF(NOT(ISNUMBER(G443)), "", VLOOKUP(A443,'Discount Lookup'!D:E,2,FALSE)*G443)</f>
        <v>0</v>
      </c>
      <c r="V443" s="78">
        <f>IF(NOT(ISNUMBER(G443)), "", VLOOKUP(A443,'Discount Lookup'!G:H,2,FALSE)*G443)</f>
        <v>0</v>
      </c>
      <c r="W443" s="102">
        <f t="shared" si="307"/>
        <v>0</v>
      </c>
      <c r="X443" s="102">
        <f t="shared" si="308"/>
        <v>0</v>
      </c>
      <c r="Y443" s="120" t="b">
        <f t="shared" si="309"/>
        <v>0</v>
      </c>
      <c r="Z443" s="117">
        <f t="shared" si="310"/>
        <v>0</v>
      </c>
      <c r="AA443" s="118"/>
      <c r="AB443" s="118" t="str">
        <f t="shared" si="311"/>
        <v/>
      </c>
      <c r="AC443" s="712" t="str">
        <f>IF(AE443="T2G","no charge",IF(AND(OR(PlanterYesMe="No",PlanterYesMe="N",PlanterYesMe="me"),H443=""),"",IF(H443="credit","NO install",IF(AND(K443="",AE443="me"),"EACH row",IF(AND(K443="images",AE443="me"),"EACH row",IF(D443="","",IF(H443="credit","",IF(AE443="free","re-planting",IF(AE443="me","   not ELP, by",IF(AND(OR(PlanterYesMe="Yes",PlanterYesMe="Y"),G443&gt;0),(VLOOKUP(A443,'Discount Lookup'!J:K,2)*G443*(1-PlanterDiscount)*(1+PlanterDifficultyPercentage)),IF(AE443="ELP",(VLOOKUP(A443,'Discount Lookup'!J:K,2)*G443*(1-PlanterDiscount)*(1+PlanterDifficultyPercentage)),IF(AE443="free","re-planting",IF(G443=0,"",IF(PlanterYesMe="",IF(AE443="me","   not ELP, by",IF(AE443="",IF(G443&gt;0,(VLOOKUP(A443,'Discount Lookup'!J:K,2)*G443*(1-PlanterDiscount)*(1+PlanterDifficultyPercentage)),""),"")),"   not ELP, by"))))))))))))))</f>
        <v/>
      </c>
      <c r="AD443" s="712"/>
      <c r="AE443" s="513" t="str">
        <f t="shared" si="312"/>
        <v/>
      </c>
      <c r="AF443" s="713" t="str">
        <f t="shared" si="313"/>
        <v/>
      </c>
      <c r="AG443" s="713"/>
      <c r="AH443" s="713"/>
      <c r="AI443" s="112">
        <f>IF(H443="credit",0,IF(AE443="free",0,IF(AE443="me",0,IF(G443&gt;0,(VLOOKUP(A443,'Discount Lookup'!J:K,2)*G443),0))))</f>
        <v>0</v>
      </c>
      <c r="AJ443" s="107" t="str">
        <f t="shared" ca="1" si="314"/>
        <v/>
      </c>
      <c r="AK443" s="714" t="str">
        <f t="shared" si="315"/>
        <v/>
      </c>
      <c r="AL443" s="714"/>
      <c r="AM443" s="114" t="str">
        <f t="shared" si="316"/>
        <v/>
      </c>
      <c r="AN443" s="115"/>
      <c r="AO443" s="116"/>
      <c r="AP443" s="116"/>
      <c r="AQ443" s="116"/>
      <c r="AR443" s="116"/>
      <c r="AS443" s="116"/>
      <c r="AT443" s="116"/>
      <c r="AU443" s="116"/>
      <c r="AV443" s="78"/>
      <c r="AW443" s="102"/>
      <c r="AX443" s="78"/>
      <c r="AY443" s="78"/>
      <c r="AZ443" s="78"/>
      <c r="BA443" s="78"/>
      <c r="BB443" s="78"/>
      <c r="BC443" s="78"/>
      <c r="BD443" s="78"/>
      <c r="BE443" s="465"/>
      <c r="BF443" s="165" t="str">
        <f t="shared" si="317"/>
        <v>https://www.google.com/search?tbm=isch&amp;q=3%20G2</v>
      </c>
      <c r="BG443" s="165" t="str">
        <f t="shared" si="318"/>
        <v>A</v>
      </c>
      <c r="BH443" s="65"/>
      <c r="BI443" s="65"/>
      <c r="BJ443" s="65"/>
      <c r="BK443" s="65"/>
      <c r="BL443" s="99"/>
      <c r="BM443" s="99"/>
      <c r="BN443" s="99"/>
    </row>
    <row r="444" spans="1:66" s="51" customFormat="1" ht="15.75" x14ac:dyDescent="0.25">
      <c r="A444" s="478">
        <v>3</v>
      </c>
      <c r="B444" s="479" t="s">
        <v>291</v>
      </c>
      <c r="C444" s="480" t="s">
        <v>919</v>
      </c>
      <c r="D444" s="481" t="s">
        <v>299</v>
      </c>
      <c r="E444" s="482">
        <v>33.950000000000003</v>
      </c>
      <c r="F444" s="483" t="s">
        <v>292</v>
      </c>
      <c r="G444" s="484">
        <v>0</v>
      </c>
      <c r="H444" s="688" t="str">
        <f>IF(G444=0,"",IF(F444="Buy",IF(G444=1,"plant","plants"),IF(F444&gt;0.01,"warranty","Error")))</f>
        <v/>
      </c>
      <c r="I444" s="485">
        <f>IF(H444="free",0,IF(H444="credit",((E444*(F444))*G444*-1),IF(F444="Buy",(E444*G444),((E444*(1-F444))*G444))))</f>
        <v>0</v>
      </c>
      <c r="J444" s="485">
        <f>IF(H444="warranty",0,(I444*(_xlfn.SINGLE(SalesTaxPercentage))))</f>
        <v>0</v>
      </c>
      <c r="K444" s="715">
        <f t="shared" ref="K444" si="337">I444+J444</f>
        <v>0</v>
      </c>
      <c r="L444" s="715"/>
      <c r="M444" s="689" t="str">
        <f ca="1">IF(AND(G444&gt;0,E444=0),"WARNING - no PRICE inserted",IF(H444="free","FREE ~ no charge this plant",IF(H444="credit",CONCATENATE("-$",ROUND(K444*(1-_xlfn.SINGLE(T2GDiscount))*-1,2)," CREDIT after discount"),IF(_xlfn.SINGLE(T2GDiscount)=0,"",IF(G444=0,"",IF(F444="Buy",CONCATENATE("$",ROUND(K444*(1-_xlfn.SINGLE(T2GDiscount)),2)," with ",(_xlfn.SINGLE(T2GDiscount)*100),"% discount"),CONCATENATE("$",ROUND(K444*(1-_xlfn.SINGLE(T2GDiscount)),2)," with ",((_xlfn.SINGLE(T2GDiscount)*100+F444*100)-(_xlfn.SINGLE(T2GDiscount)*100*F444)),IF(F444&gt;0,"% discounts",IF(_xlfn.SINGLE(NoWarrantyDiscount)&gt;0,"% discounts","% discount")))))))))</f>
        <v/>
      </c>
      <c r="N444" s="690"/>
      <c r="O444" s="486"/>
      <c r="P444" s="486"/>
      <c r="Q444" s="486"/>
      <c r="R444" s="486"/>
      <c r="S444" s="486"/>
      <c r="T444" s="102">
        <f t="shared" si="306"/>
        <v>0</v>
      </c>
      <c r="U444" s="78">
        <f>IF(NOT(ISNUMBER(G444)), "", VLOOKUP(A444,'Discount Lookup'!D:E,2,FALSE)*G444)</f>
        <v>0</v>
      </c>
      <c r="V444" s="78">
        <f>IF(NOT(ISNUMBER(G444)), "", VLOOKUP(A444,'Discount Lookup'!G:H,2,FALSE)*G444)</f>
        <v>0</v>
      </c>
      <c r="W444" s="102">
        <f t="shared" si="307"/>
        <v>0</v>
      </c>
      <c r="X444" s="102">
        <f t="shared" si="308"/>
        <v>0</v>
      </c>
      <c r="Y444" s="120" t="b">
        <f t="shared" si="309"/>
        <v>0</v>
      </c>
      <c r="Z444" s="117">
        <f t="shared" si="310"/>
        <v>0</v>
      </c>
      <c r="AA444" s="118"/>
      <c r="AB444" s="118" t="str">
        <f t="shared" si="311"/>
        <v/>
      </c>
      <c r="AC444" s="712" t="str">
        <f>IF(AE444="T2G","no charge",IF(AND(OR(PlanterYesMe="No",PlanterYesMe="N",PlanterYesMe="me"),H444=""),"",IF(H444="credit","NO install",IF(AND(K444="",AE444="me"),"EACH row",IF(AND(K444="images",AE444="me"),"EACH row",IF(D444="","",IF(H444="credit","",IF(AE444="free","re-planting",IF(AE444="me","   not ELP, by",IF(AND(OR(PlanterYesMe="Yes",PlanterYesMe="Y"),G444&gt;0),(VLOOKUP(A444,'Discount Lookup'!J:K,2)*G444*(1-PlanterDiscount)*(1+PlanterDifficultyPercentage)),IF(AE444="ELP",(VLOOKUP(A444,'Discount Lookup'!J:K,2)*G444*(1-PlanterDiscount)*(1+PlanterDifficultyPercentage)),IF(AE444="free","re-planting",IF(G444=0,"",IF(PlanterYesMe="",IF(AE444="me","   not ELP, by",IF(AE444="",IF(G444&gt;0,(VLOOKUP(A444,'Discount Lookup'!J:K,2)*G444*(1-PlanterDiscount)*(1+PlanterDifficultyPercentage)),""),"")),"   not ELP, by"))))))))))))))</f>
        <v/>
      </c>
      <c r="AD444" s="712"/>
      <c r="AE444" s="513" t="str">
        <f t="shared" si="312"/>
        <v/>
      </c>
      <c r="AF444" s="713" t="str">
        <f t="shared" si="313"/>
        <v/>
      </c>
      <c r="AG444" s="713"/>
      <c r="AH444" s="713"/>
      <c r="AI444" s="112">
        <f>IF(H444="credit",0,IF(AE444="free",0,IF(AE444="me",0,IF(G444&gt;0,(VLOOKUP(A444,'Discount Lookup'!J:K,2)*G444),0))))</f>
        <v>0</v>
      </c>
      <c r="AJ444" s="107" t="str">
        <f t="shared" ca="1" si="314"/>
        <v/>
      </c>
      <c r="AK444" s="714" t="str">
        <f t="shared" si="315"/>
        <v/>
      </c>
      <c r="AL444" s="714"/>
      <c r="AM444" s="114" t="str">
        <f t="shared" si="316"/>
        <v/>
      </c>
      <c r="AN444" s="115"/>
      <c r="AO444" s="116"/>
      <c r="AP444" s="116"/>
      <c r="AQ444" s="116"/>
      <c r="AR444" s="116"/>
      <c r="AS444" s="116"/>
      <c r="AT444" s="116"/>
      <c r="AU444" s="116"/>
      <c r="AV444" s="78"/>
      <c r="AW444" s="102"/>
      <c r="AX444" s="78"/>
      <c r="AY444" s="78"/>
      <c r="AZ444" s="78"/>
      <c r="BA444" s="78"/>
      <c r="BB444" s="78"/>
      <c r="BC444" s="78"/>
      <c r="BD444" s="78"/>
      <c r="BE444" s="465"/>
      <c r="BF444" s="165" t="str">
        <f t="shared" si="317"/>
        <v>https://www.google.com/search?tbm=isch&amp;q=3%20G4</v>
      </c>
      <c r="BG444" s="165" t="str">
        <f t="shared" si="318"/>
        <v>A</v>
      </c>
      <c r="BH444" s="65"/>
      <c r="BI444" s="65"/>
      <c r="BJ444" s="65"/>
      <c r="BK444" s="65"/>
      <c r="BL444" s="99"/>
      <c r="BM444" s="99"/>
      <c r="BN444" s="99"/>
    </row>
    <row r="445" spans="1:66" s="51" customFormat="1" ht="15.75" x14ac:dyDescent="0.25">
      <c r="A445" s="478">
        <v>3</v>
      </c>
      <c r="B445" s="479" t="s">
        <v>291</v>
      </c>
      <c r="C445" s="480" t="s">
        <v>1544</v>
      </c>
      <c r="D445" s="481" t="s">
        <v>311</v>
      </c>
      <c r="E445" s="482">
        <v>33.950000000000003</v>
      </c>
      <c r="F445" s="483" t="s">
        <v>292</v>
      </c>
      <c r="G445" s="484">
        <v>0</v>
      </c>
      <c r="H445" s="688" t="str">
        <f>IF(G445=0,"",IF(F445="Buy",IF(G445=1,"plant","plants"),IF(F445&gt;0.01,"warranty","Error")))</f>
        <v/>
      </c>
      <c r="I445" s="485">
        <f>IF(H445="free",0,IF(H445="credit",((E445*(F445))*G445*-1),IF(F445="Buy",(E445*G445),((E445*(1-F445))*G445))))</f>
        <v>0</v>
      </c>
      <c r="J445" s="485">
        <f>IF(H445="warranty",0,(I445*(_xlfn.SINGLE(SalesTaxPercentage))))</f>
        <v>0</v>
      </c>
      <c r="K445" s="715">
        <f t="shared" ref="K445" si="338">I445+J445</f>
        <v>0</v>
      </c>
      <c r="L445" s="715"/>
      <c r="M445" s="689" t="str">
        <f ca="1">IF(AND(G445&gt;0,E445=0),"WARNING - no PRICE inserted",IF(H445="free","FREE ~ no charge this plant",IF(H445="credit",CONCATENATE("-$",ROUND(K445*(1-_xlfn.SINGLE(T2GDiscount))*-1,2)," CREDIT after discount"),IF(_xlfn.SINGLE(T2GDiscount)=0,"",IF(G445=0,"",IF(F445="Buy",CONCATENATE("$",ROUND(K445*(1-_xlfn.SINGLE(T2GDiscount)),2)," with ",(_xlfn.SINGLE(T2GDiscount)*100),"% discount"),CONCATENATE("$",ROUND(K445*(1-_xlfn.SINGLE(T2GDiscount)),2)," with ",((_xlfn.SINGLE(T2GDiscount)*100+F445*100)-(_xlfn.SINGLE(T2GDiscount)*100*F445)),IF(F445&gt;0,"% discounts",IF(_xlfn.SINGLE(NoWarrantyDiscount)&gt;0,"% discounts","% discount")))))))))</f>
        <v/>
      </c>
      <c r="N445" s="690"/>
      <c r="O445" s="486"/>
      <c r="P445" s="486"/>
      <c r="Q445" s="486"/>
      <c r="R445" s="486"/>
      <c r="S445" s="486"/>
      <c r="T445" s="102">
        <f t="shared" si="306"/>
        <v>0</v>
      </c>
      <c r="U445" s="78">
        <f>IF(NOT(ISNUMBER(G445)), "", VLOOKUP(A445,'Discount Lookup'!D:E,2,FALSE)*G445)</f>
        <v>0</v>
      </c>
      <c r="V445" s="78">
        <f>IF(NOT(ISNUMBER(G445)), "", VLOOKUP(A445,'Discount Lookup'!G:H,2,FALSE)*G445)</f>
        <v>0</v>
      </c>
      <c r="W445" s="102">
        <f t="shared" si="307"/>
        <v>0</v>
      </c>
      <c r="X445" s="102">
        <f t="shared" si="308"/>
        <v>0</v>
      </c>
      <c r="Y445" s="120" t="b">
        <f t="shared" si="309"/>
        <v>0</v>
      </c>
      <c r="Z445" s="117">
        <f t="shared" si="310"/>
        <v>0</v>
      </c>
      <c r="AA445" s="118"/>
      <c r="AB445" s="118" t="str">
        <f t="shared" si="311"/>
        <v/>
      </c>
      <c r="AC445" s="712" t="str">
        <f>IF(AE445="T2G","no charge",IF(AND(OR(PlanterYesMe="No",PlanterYesMe="N",PlanterYesMe="me"),H445=""),"",IF(H445="credit","NO install",IF(AND(K445="",AE445="me"),"EACH row",IF(AND(K445="images",AE445="me"),"EACH row",IF(D445="","",IF(H445="credit","",IF(AE445="free","re-planting",IF(AE445="me","   not ELP, by",IF(AND(OR(PlanterYesMe="Yes",PlanterYesMe="Y"),G445&gt;0),(VLOOKUP(A445,'Discount Lookup'!J:K,2)*G445*(1-PlanterDiscount)*(1+PlanterDifficultyPercentage)),IF(AE445="ELP",(VLOOKUP(A445,'Discount Lookup'!J:K,2)*G445*(1-PlanterDiscount)*(1+PlanterDifficultyPercentage)),IF(AE445="free","re-planting",IF(G445=0,"",IF(PlanterYesMe="",IF(AE445="me","   not ELP, by",IF(AE445="",IF(G445&gt;0,(VLOOKUP(A445,'Discount Lookup'!J:K,2)*G445*(1-PlanterDiscount)*(1+PlanterDifficultyPercentage)),""),"")),"   not ELP, by"))))))))))))))</f>
        <v/>
      </c>
      <c r="AD445" s="712"/>
      <c r="AE445" s="513" t="str">
        <f t="shared" si="312"/>
        <v/>
      </c>
      <c r="AF445" s="713" t="str">
        <f t="shared" si="313"/>
        <v/>
      </c>
      <c r="AG445" s="713"/>
      <c r="AH445" s="713"/>
      <c r="AI445" s="112">
        <f>IF(H445="credit",0,IF(AE445="free",0,IF(AE445="me",0,IF(G445&gt;0,(VLOOKUP(A445,'Discount Lookup'!J:K,2)*G445),0))))</f>
        <v>0</v>
      </c>
      <c r="AJ445" s="107" t="str">
        <f t="shared" ca="1" si="314"/>
        <v/>
      </c>
      <c r="AK445" s="714" t="str">
        <f t="shared" si="315"/>
        <v/>
      </c>
      <c r="AL445" s="714"/>
      <c r="AM445" s="114" t="str">
        <f t="shared" si="316"/>
        <v/>
      </c>
      <c r="AN445" s="115"/>
      <c r="AO445" s="116"/>
      <c r="AP445" s="116"/>
      <c r="AQ445" s="116"/>
      <c r="AR445" s="116"/>
      <c r="AS445" s="116"/>
      <c r="AT445" s="116"/>
      <c r="AU445" s="116"/>
      <c r="AV445" s="78"/>
      <c r="AW445" s="102"/>
      <c r="AX445" s="78"/>
      <c r="AY445" s="78"/>
      <c r="AZ445" s="78"/>
      <c r="BA445" s="78"/>
      <c r="BB445" s="78"/>
      <c r="BC445" s="78"/>
      <c r="BD445" s="78"/>
      <c r="BE445" s="465"/>
      <c r="BF445" s="165" t="str">
        <f t="shared" si="317"/>
        <v>https://www.google.com/search?tbm=isch&amp;q=3%20G5</v>
      </c>
      <c r="BG445" s="165" t="str">
        <f t="shared" si="318"/>
        <v>A</v>
      </c>
      <c r="BH445" s="65"/>
      <c r="BI445" s="65"/>
      <c r="BJ445" s="65"/>
      <c r="BK445" s="65"/>
      <c r="BL445" s="99"/>
      <c r="BM445" s="99"/>
      <c r="BN445" s="99"/>
    </row>
    <row r="446" spans="1:66" s="51" customFormat="1" ht="15.75" x14ac:dyDescent="0.25">
      <c r="A446" s="478">
        <v>10</v>
      </c>
      <c r="B446" s="479" t="s">
        <v>291</v>
      </c>
      <c r="C446" s="480" t="s">
        <v>919</v>
      </c>
      <c r="D446" s="481" t="s">
        <v>299</v>
      </c>
      <c r="E446" s="482">
        <v>127.95</v>
      </c>
      <c r="F446" s="483" t="s">
        <v>292</v>
      </c>
      <c r="G446" s="484">
        <v>0</v>
      </c>
      <c r="H446" s="688" t="str">
        <f>IF(G446=0,"",IF(F446="Buy",IF(G446=1,"plant","plants"),IF(F446&gt;0.01,"warranty","Error")))</f>
        <v/>
      </c>
      <c r="I446" s="485">
        <f>IF(H446="free",0,IF(H446="credit",((E446*(F446))*G446*-1),IF(F446="Buy",(E446*G446),((E446*(1-F446))*G446))))</f>
        <v>0</v>
      </c>
      <c r="J446" s="485">
        <f>IF(H446="warranty",0,(I446*(_xlfn.SINGLE(SalesTaxPercentage))))</f>
        <v>0</v>
      </c>
      <c r="K446" s="715">
        <f t="shared" ref="K446" si="339">I446+J446</f>
        <v>0</v>
      </c>
      <c r="L446" s="715"/>
      <c r="M446" s="689" t="str">
        <f ca="1">IF(AND(G446&gt;0,E446=0),"WARNING - no PRICE inserted",IF(H446="free","FREE ~ no charge this plant",IF(H446="credit",CONCATENATE("-$",ROUND(K446*(1-_xlfn.SINGLE(T2GDiscount))*-1,2)," CREDIT after discount"),IF(_xlfn.SINGLE(T2GDiscount)=0,"",IF(G446=0,"",IF(F446="Buy",CONCATENATE("$",ROUND(K446*(1-_xlfn.SINGLE(T2GDiscount)),2)," with ",(_xlfn.SINGLE(T2GDiscount)*100),"% discount"),CONCATENATE("$",ROUND(K446*(1-_xlfn.SINGLE(T2GDiscount)),2)," with ",((_xlfn.SINGLE(T2GDiscount)*100+F446*100)-(_xlfn.SINGLE(T2GDiscount)*100*F446)),IF(F446&gt;0,"% discounts",IF(_xlfn.SINGLE(NoWarrantyDiscount)&gt;0,"% discounts","% discount")))))))))</f>
        <v/>
      </c>
      <c r="N446" s="690"/>
      <c r="O446" s="486"/>
      <c r="P446" s="486"/>
      <c r="Q446" s="486"/>
      <c r="R446" s="486"/>
      <c r="S446" s="486"/>
      <c r="T446" s="102">
        <f t="shared" si="306"/>
        <v>0</v>
      </c>
      <c r="U446" s="78">
        <f>IF(NOT(ISNUMBER(G446)), "", VLOOKUP(A446,'Discount Lookup'!D:E,2,FALSE)*G446)</f>
        <v>0</v>
      </c>
      <c r="V446" s="78">
        <f>IF(NOT(ISNUMBER(G446)), "", VLOOKUP(A446,'Discount Lookup'!G:H,2,FALSE)*G446)</f>
        <v>0</v>
      </c>
      <c r="W446" s="102">
        <f t="shared" si="307"/>
        <v>0</v>
      </c>
      <c r="X446" s="102">
        <f t="shared" si="308"/>
        <v>0</v>
      </c>
      <c r="Y446" s="120" t="b">
        <f t="shared" si="309"/>
        <v>0</v>
      </c>
      <c r="Z446" s="117">
        <f t="shared" si="310"/>
        <v>0</v>
      </c>
      <c r="AA446" s="118"/>
      <c r="AB446" s="118" t="str">
        <f t="shared" si="311"/>
        <v/>
      </c>
      <c r="AC446" s="712" t="str">
        <f>IF(AE446="T2G","no charge",IF(AND(OR(PlanterYesMe="No",PlanterYesMe="N",PlanterYesMe="me"),H446=""),"",IF(H446="credit","NO install",IF(AND(K446="",AE446="me"),"EACH row",IF(AND(K446="images",AE446="me"),"EACH row",IF(D446="","",IF(H446="credit","",IF(AE446="free","re-planting",IF(AE446="me","   not ELP, by",IF(AND(OR(PlanterYesMe="Yes",PlanterYesMe="Y"),G446&gt;0),(VLOOKUP(A446,'Discount Lookup'!J:K,2)*G446*(1-PlanterDiscount)*(1+PlanterDifficultyPercentage)),IF(AE446="ELP",(VLOOKUP(A446,'Discount Lookup'!J:K,2)*G446*(1-PlanterDiscount)*(1+PlanterDifficultyPercentage)),IF(AE446="free","re-planting",IF(G446=0,"",IF(PlanterYesMe="",IF(AE446="me","   not ELP, by",IF(AE446="",IF(G446&gt;0,(VLOOKUP(A446,'Discount Lookup'!J:K,2)*G446*(1-PlanterDiscount)*(1+PlanterDifficultyPercentage)),""),"")),"   not ELP, by"))))))))))))))</f>
        <v/>
      </c>
      <c r="AD446" s="712"/>
      <c r="AE446" s="513" t="str">
        <f t="shared" si="312"/>
        <v/>
      </c>
      <c r="AF446" s="713" t="str">
        <f t="shared" si="313"/>
        <v/>
      </c>
      <c r="AG446" s="713"/>
      <c r="AH446" s="713"/>
      <c r="AI446" s="112">
        <f>IF(H446="credit",0,IF(AE446="free",0,IF(AE446="me",0,IF(G446&gt;0,(VLOOKUP(A446,'Discount Lookup'!J:K,2)*G446),0))))</f>
        <v>0</v>
      </c>
      <c r="AJ446" s="107" t="str">
        <f t="shared" ca="1" si="314"/>
        <v/>
      </c>
      <c r="AK446" s="714" t="str">
        <f t="shared" si="315"/>
        <v/>
      </c>
      <c r="AL446" s="714"/>
      <c r="AM446" s="114" t="str">
        <f t="shared" si="316"/>
        <v/>
      </c>
      <c r="AN446" s="115"/>
      <c r="AO446" s="116"/>
      <c r="AP446" s="116"/>
      <c r="AQ446" s="116"/>
      <c r="AR446" s="116"/>
      <c r="AS446" s="116"/>
      <c r="AT446" s="116"/>
      <c r="AU446" s="116"/>
      <c r="AV446" s="78"/>
      <c r="AW446" s="102"/>
      <c r="AX446" s="78"/>
      <c r="AY446" s="78"/>
      <c r="AZ446" s="78"/>
      <c r="BA446" s="78"/>
      <c r="BB446" s="78"/>
      <c r="BC446" s="78"/>
      <c r="BD446" s="78"/>
      <c r="BE446" s="465"/>
      <c r="BF446" s="165" t="str">
        <f t="shared" si="317"/>
        <v>https://www.google.com/search?tbm=isch&amp;q=10%20G4</v>
      </c>
      <c r="BG446" s="165" t="str">
        <f t="shared" si="318"/>
        <v>A</v>
      </c>
      <c r="BH446" s="65"/>
      <c r="BI446" s="65"/>
      <c r="BJ446" s="65"/>
      <c r="BK446" s="65"/>
      <c r="BL446" s="99"/>
      <c r="BM446" s="99"/>
      <c r="BN446" s="99"/>
    </row>
    <row r="447" spans="1:66" s="51" customFormat="1" ht="15.75" x14ac:dyDescent="0.25">
      <c r="A447" s="508" t="s">
        <v>1545</v>
      </c>
      <c r="B447" s="487"/>
      <c r="C447" s="707"/>
      <c r="D447" s="487"/>
      <c r="E447" s="487"/>
      <c r="F447" s="488"/>
      <c r="G447" s="489"/>
      <c r="H447" s="487"/>
      <c r="I447" s="490"/>
      <c r="J447" s="490"/>
      <c r="K447" s="491"/>
      <c r="L447" s="547"/>
      <c r="M447" s="528"/>
      <c r="N447" s="492"/>
      <c r="O447" s="493"/>
      <c r="P447" s="494"/>
      <c r="Q447" s="492"/>
      <c r="R447" s="492"/>
      <c r="S447" s="495"/>
      <c r="T447" s="102">
        <f t="shared" si="306"/>
        <v>0</v>
      </c>
      <c r="U447" s="78" t="str">
        <f>IF(NOT(ISNUMBER(G447)), "", VLOOKUP(A447,'Discount Lookup'!D:E,2,FALSE)*G447)</f>
        <v/>
      </c>
      <c r="V447" s="78" t="str">
        <f>IF(NOT(ISNUMBER(G447)), "", VLOOKUP(A447,'Discount Lookup'!G:H,2,FALSE)*G447)</f>
        <v/>
      </c>
      <c r="W447" s="102">
        <f t="shared" si="307"/>
        <v>0</v>
      </c>
      <c r="X447" s="102">
        <f t="shared" si="308"/>
        <v>0</v>
      </c>
      <c r="Y447" s="120" t="b">
        <f t="shared" si="309"/>
        <v>0</v>
      </c>
      <c r="Z447" s="117">
        <f t="shared" si="310"/>
        <v>0</v>
      </c>
      <c r="AA447" s="118"/>
      <c r="AB447" s="118" t="str">
        <f t="shared" si="311"/>
        <v/>
      </c>
      <c r="AC447" s="712" t="str">
        <f>IF(AE447="T2G","no charge",IF(AND(OR(PlanterYesMe="No",PlanterYesMe="N",PlanterYesMe="me"),H447=""),"",IF(H447="credit","NO install",IF(AND(K447="",AE447="me"),"EACH row",IF(AND(K447="images",AE447="me"),"EACH row",IF(D447="","",IF(H447="credit","",IF(AE447="free","re-planting",IF(AE447="me","   not ELP, by",IF(AND(OR(PlanterYesMe="Yes",PlanterYesMe="Y"),G447&gt;0),(VLOOKUP(A447,'Discount Lookup'!J:K,2)*G447*(1-PlanterDiscount)*(1+PlanterDifficultyPercentage)),IF(AE447="ELP",(VLOOKUP(A447,'Discount Lookup'!J:K,2)*G447*(1-PlanterDiscount)*(1+PlanterDifficultyPercentage)),IF(AE447="free","re-planting",IF(G447=0,"",IF(PlanterYesMe="",IF(AE447="me","   not ELP, by",IF(AE447="",IF(G447&gt;0,(VLOOKUP(A447,'Discount Lookup'!J:K,2)*G447*(1-PlanterDiscount)*(1+PlanterDifficultyPercentage)),""),"")),"   not ELP, by"))))))))))))))</f>
        <v/>
      </c>
      <c r="AD447" s="712"/>
      <c r="AE447" s="513" t="str">
        <f t="shared" si="312"/>
        <v/>
      </c>
      <c r="AF447" s="713" t="str">
        <f t="shared" si="313"/>
        <v/>
      </c>
      <c r="AG447" s="713"/>
      <c r="AH447" s="713"/>
      <c r="AI447" s="112">
        <f>IF(H447="credit",0,IF(AE447="free",0,IF(AE447="me",0,IF(G447&gt;0,(VLOOKUP(A447,'Discount Lookup'!J:K,2)*G447),0))))</f>
        <v>0</v>
      </c>
      <c r="AJ447" s="107" t="str">
        <f t="shared" ca="1" si="314"/>
        <v/>
      </c>
      <c r="AK447" s="714" t="str">
        <f t="shared" si="315"/>
        <v/>
      </c>
      <c r="AL447" s="714"/>
      <c r="AM447" s="114" t="str">
        <f t="shared" si="316"/>
        <v/>
      </c>
      <c r="AN447" s="115"/>
      <c r="AO447" s="116"/>
      <c r="AP447" s="116"/>
      <c r="AQ447" s="116"/>
      <c r="AR447" s="116"/>
      <c r="AS447" s="116"/>
      <c r="AT447" s="116"/>
      <c r="AU447" s="116"/>
      <c r="AV447" s="78"/>
      <c r="AW447" s="102"/>
      <c r="AX447" s="78"/>
      <c r="AY447" s="78"/>
      <c r="AZ447" s="78"/>
      <c r="BA447" s="78"/>
      <c r="BB447" s="78"/>
      <c r="BC447" s="78"/>
      <c r="BD447" s="78"/>
      <c r="BE447" s="465"/>
      <c r="BF447" s="165" t="str">
        <f t="shared" si="317"/>
        <v>https://www.google.com/search?tbm=isch&amp;q=Gold%20Dust%20is%20a%20female%20cultivar%20with%20Yellow-speckled%20foliage%20and%20ornamental%20Red%20berries%2C%20if%20pollinated.%20Durable%2C%20highly%20shade-tolerant%2C%20and%20fairly%20rabbit%20resistant%20</v>
      </c>
      <c r="BG447" s="165" t="str">
        <f t="shared" si="318"/>
        <v>G</v>
      </c>
      <c r="BH447" s="65"/>
      <c r="BI447" s="65"/>
      <c r="BJ447" s="65"/>
      <c r="BK447" s="65"/>
      <c r="BL447" s="99"/>
      <c r="BM447" s="99"/>
      <c r="BN447" s="99"/>
    </row>
    <row r="448" spans="1:66" s="51" customFormat="1" ht="55.5" x14ac:dyDescent="0.25">
      <c r="A448" s="520" t="s">
        <v>351</v>
      </c>
      <c r="B448" s="501"/>
      <c r="C448" s="502"/>
      <c r="D448" s="502"/>
      <c r="E448" s="502"/>
      <c r="F448" s="502"/>
      <c r="G448" s="502"/>
      <c r="H448" s="502"/>
      <c r="I448" s="502"/>
      <c r="J448" s="502"/>
      <c r="K448" s="509" t="s">
        <v>871</v>
      </c>
      <c r="L448" s="503"/>
      <c r="M448" s="563"/>
      <c r="N448" s="510"/>
      <c r="O448" s="510"/>
      <c r="P448" s="510"/>
      <c r="Q448" s="510"/>
      <c r="R448" s="510"/>
      <c r="S448" s="511" t="s">
        <v>1546</v>
      </c>
      <c r="T448" s="102">
        <f t="shared" si="306"/>
        <v>0</v>
      </c>
      <c r="U448" s="78" t="str">
        <f>IF(NOT(ISNUMBER(G448)), "", VLOOKUP(A448,'Discount Lookup'!D:E,2,FALSE)*G448)</f>
        <v/>
      </c>
      <c r="V448" s="78" t="str">
        <f>IF(NOT(ISNUMBER(G448)), "", VLOOKUP(A448,'Discount Lookup'!G:H,2,FALSE)*G448)</f>
        <v/>
      </c>
      <c r="W448" s="102">
        <f t="shared" si="307"/>
        <v>0</v>
      </c>
      <c r="X448" s="102">
        <f t="shared" si="308"/>
        <v>0</v>
      </c>
      <c r="Y448" s="120" t="b">
        <f t="shared" si="309"/>
        <v>0</v>
      </c>
      <c r="Z448" s="117">
        <f t="shared" si="310"/>
        <v>0</v>
      </c>
      <c r="AA448" s="118"/>
      <c r="AB448" s="118" t="str">
        <f t="shared" si="311"/>
        <v/>
      </c>
      <c r="AC448" s="712" t="str">
        <f>IF(AE448="T2G","no charge",IF(AND(OR(PlanterYesMe="No",PlanterYesMe="N",PlanterYesMe="me"),H448=""),"",IF(H448="credit","NO install",IF(AND(K448="",AE448="me"),"EACH row",IF(AND(K448="images",AE448="me"),"EACH row",IF(D448="","",IF(H448="credit","",IF(AE448="free","re-planting",IF(AE448="me","   not ELP, by",IF(AND(OR(PlanterYesMe="Yes",PlanterYesMe="Y"),G448&gt;0),(VLOOKUP(A448,'Discount Lookup'!J:K,2)*G448*(1-PlanterDiscount)*(1+PlanterDifficultyPercentage)),IF(AE448="ELP",(VLOOKUP(A448,'Discount Lookup'!J:K,2)*G448*(1-PlanterDiscount)*(1+PlanterDifficultyPercentage)),IF(AE448="free","re-planting",IF(G448=0,"",IF(PlanterYesMe="",IF(AE448="me","   not ELP, by",IF(AE448="",IF(G448&gt;0,(VLOOKUP(A448,'Discount Lookup'!J:K,2)*G448*(1-PlanterDiscount)*(1+PlanterDifficultyPercentage)),""),"")),"   not ELP, by"))))))))))))))</f>
        <v/>
      </c>
      <c r="AD448" s="712"/>
      <c r="AE448" s="513" t="str">
        <f t="shared" si="312"/>
        <v/>
      </c>
      <c r="AF448" s="713" t="str">
        <f t="shared" si="313"/>
        <v/>
      </c>
      <c r="AG448" s="713"/>
      <c r="AH448" s="713"/>
      <c r="AI448" s="112">
        <f>IF(H448="credit",0,IF(AE448="free",0,IF(AE448="me",0,IF(G448&gt;0,(VLOOKUP(A448,'Discount Lookup'!J:K,2)*G448),0))))</f>
        <v>0</v>
      </c>
      <c r="AJ448" s="107" t="str">
        <f t="shared" ca="1" si="314"/>
        <v/>
      </c>
      <c r="AK448" s="714" t="str">
        <f t="shared" si="315"/>
        <v/>
      </c>
      <c r="AL448" s="714"/>
      <c r="AM448" s="114" t="str">
        <f t="shared" si="316"/>
        <v/>
      </c>
      <c r="AN448" s="115"/>
      <c r="AO448" s="116"/>
      <c r="AP448" s="116"/>
      <c r="AQ448" s="116"/>
      <c r="AR448" s="116"/>
      <c r="AS448" s="116"/>
      <c r="AT448" s="116"/>
      <c r="AU448" s="116"/>
      <c r="AV448" s="78"/>
      <c r="AW448" s="102"/>
      <c r="AX448" s="78"/>
      <c r="AY448" s="78"/>
      <c r="AZ448" s="78"/>
      <c r="BA448" s="78"/>
      <c r="BB448" s="78"/>
      <c r="BC448" s="78"/>
      <c r="BD448" s="78"/>
      <c r="BE448" s="465"/>
      <c r="BF448" s="165" t="str">
        <f t="shared" si="317"/>
        <v>https://www.google.com/search?tbm=isch&amp;q=B%20</v>
      </c>
      <c r="BG448" s="165" t="str">
        <f t="shared" si="318"/>
        <v>B</v>
      </c>
      <c r="BH448" s="65"/>
      <c r="BI448" s="65"/>
      <c r="BJ448" s="65"/>
      <c r="BK448" s="65"/>
      <c r="BL448" s="99"/>
      <c r="BM448" s="99"/>
      <c r="BN448" s="99"/>
    </row>
    <row r="449" spans="1:66" s="51" customFormat="1" ht="19.5" thickBot="1" x14ac:dyDescent="0.3">
      <c r="A449" s="686" t="s">
        <v>378</v>
      </c>
      <c r="B449" s="73"/>
      <c r="C449" s="708"/>
      <c r="D449" s="73"/>
      <c r="E449" s="73"/>
      <c r="F449" s="496"/>
      <c r="G449" s="73"/>
      <c r="H449" s="73"/>
      <c r="I449" s="73"/>
      <c r="J449" s="497" t="s">
        <v>357</v>
      </c>
      <c r="K449" s="498"/>
      <c r="L449" s="562"/>
      <c r="M449" s="73"/>
      <c r="N449"/>
      <c r="O449"/>
      <c r="P449"/>
      <c r="Q449"/>
      <c r="R449"/>
      <c r="S449"/>
      <c r="T449" s="102">
        <f t="shared" si="306"/>
        <v>0</v>
      </c>
      <c r="U449" s="78" t="str">
        <f>IF(NOT(ISNUMBER(G449)), "", VLOOKUP(A449,'Discount Lookup'!D:E,2,FALSE)*G449)</f>
        <v/>
      </c>
      <c r="V449" s="78" t="str">
        <f>IF(NOT(ISNUMBER(G449)), "", VLOOKUP(A449,'Discount Lookup'!G:H,2,FALSE)*G449)</f>
        <v/>
      </c>
      <c r="W449" s="102">
        <f t="shared" si="307"/>
        <v>0</v>
      </c>
      <c r="X449" s="102">
        <f t="shared" si="308"/>
        <v>0</v>
      </c>
      <c r="Y449" s="120" t="b">
        <f t="shared" si="309"/>
        <v>0</v>
      </c>
      <c r="Z449" s="117">
        <f t="shared" si="310"/>
        <v>0</v>
      </c>
      <c r="AA449" s="118"/>
      <c r="AB449" s="118" t="str">
        <f t="shared" si="311"/>
        <v/>
      </c>
      <c r="AC449" s="712" t="str">
        <f>IF(AE449="T2G","no charge",IF(AND(OR(PlanterYesMe="No",PlanterYesMe="N",PlanterYesMe="me"),H449=""),"",IF(H449="credit","NO install",IF(AND(K449="",AE449="me"),"EACH row",IF(AND(K449="images",AE449="me"),"EACH row",IF(D449="","",IF(H449="credit","",IF(AE449="free","re-planting",IF(AE449="me","   not ELP, by",IF(AND(OR(PlanterYesMe="Yes",PlanterYesMe="Y"),G449&gt;0),(VLOOKUP(A449,'Discount Lookup'!J:K,2)*G449*(1-PlanterDiscount)*(1+PlanterDifficultyPercentage)),IF(AE449="ELP",(VLOOKUP(A449,'Discount Lookup'!J:K,2)*G449*(1-PlanterDiscount)*(1+PlanterDifficultyPercentage)),IF(AE449="free","re-planting",IF(G449=0,"",IF(PlanterYesMe="",IF(AE449="me","   not ELP, by",IF(AE449="",IF(G449&gt;0,(VLOOKUP(A449,'Discount Lookup'!J:K,2)*G449*(1-PlanterDiscount)*(1+PlanterDifficultyPercentage)),""),"")),"   not ELP, by"))))))))))))))</f>
        <v/>
      </c>
      <c r="AD449" s="712"/>
      <c r="AE449" s="513" t="str">
        <f t="shared" si="312"/>
        <v/>
      </c>
      <c r="AF449" s="713" t="str">
        <f t="shared" si="313"/>
        <v/>
      </c>
      <c r="AG449" s="713"/>
      <c r="AH449" s="713"/>
      <c r="AI449" s="112">
        <f>IF(H449="credit",0,IF(AE449="free",0,IF(AE449="me",0,IF(G449&gt;0,(VLOOKUP(A449,'Discount Lookup'!J:K,2)*G449),0))))</f>
        <v>0</v>
      </c>
      <c r="AJ449" s="107" t="str">
        <f t="shared" ca="1" si="314"/>
        <v/>
      </c>
      <c r="AK449" s="714" t="str">
        <f t="shared" si="315"/>
        <v/>
      </c>
      <c r="AL449" s="714"/>
      <c r="AM449" s="114" t="str">
        <f t="shared" si="316"/>
        <v/>
      </c>
      <c r="AN449" s="115"/>
      <c r="AO449" s="116"/>
      <c r="AP449" s="116"/>
      <c r="AQ449" s="116"/>
      <c r="AR449" s="116"/>
      <c r="AS449" s="116"/>
      <c r="AT449" s="116"/>
      <c r="AU449" s="116"/>
      <c r="AV449" s="78"/>
      <c r="AW449" s="102"/>
      <c r="AX449" s="78"/>
      <c r="AY449" s="78"/>
      <c r="AZ449" s="78"/>
      <c r="BA449" s="78"/>
      <c r="BB449" s="78"/>
      <c r="BC449" s="78"/>
      <c r="BD449" s="78"/>
      <c r="BE449" s="465"/>
      <c r="BF449" s="165" t="str">
        <f t="shared" si="317"/>
        <v>https://www.google.com/search?tbm=isch&amp;q=Baptisia%20%3D%20False%20Indigo%20</v>
      </c>
      <c r="BG449" s="165" t="str">
        <f t="shared" si="318"/>
        <v>B</v>
      </c>
      <c r="BH449" s="65"/>
      <c r="BI449" s="65"/>
      <c r="BJ449" s="65"/>
      <c r="BK449" s="65"/>
      <c r="BL449" s="99"/>
      <c r="BM449" s="99"/>
      <c r="BN449" s="99"/>
    </row>
    <row r="450" spans="1:66" s="51" customFormat="1" ht="18" x14ac:dyDescent="0.25">
      <c r="A450" s="623" t="s">
        <v>1547</v>
      </c>
      <c r="B450" s="624"/>
      <c r="C450" s="709"/>
      <c r="D450" s="625" t="s">
        <v>1548</v>
      </c>
      <c r="E450" s="626"/>
      <c r="F450" s="626"/>
      <c r="G450" s="626"/>
      <c r="H450" s="622" t="s">
        <v>1124</v>
      </c>
      <c r="I450" s="627" t="s">
        <v>1549</v>
      </c>
      <c r="J450" s="628"/>
      <c r="K450" s="628"/>
      <c r="L450" s="629"/>
      <c r="M450" s="700" t="s">
        <v>5241</v>
      </c>
      <c r="N450" s="693" t="str">
        <f>IF(AND(ISTEXT($A450), ISERROR($A450+0)), HYPERLINK($BF450, "Images"), "")</f>
        <v>Images</v>
      </c>
      <c r="O450" s="695" t="s">
        <v>5244</v>
      </c>
      <c r="P450" s="630"/>
      <c r="Q450" s="631"/>
      <c r="R450" s="632"/>
      <c r="S450" s="633"/>
      <c r="T450" s="102">
        <f t="shared" si="306"/>
        <v>0</v>
      </c>
      <c r="U450" s="78" t="str">
        <f>IF(NOT(ISNUMBER(G450)), "", VLOOKUP(A450,'Discount Lookup'!D:E,2,FALSE)*G450)</f>
        <v/>
      </c>
      <c r="V450" s="78" t="str">
        <f>IF(NOT(ISNUMBER(G450)), "", VLOOKUP(A450,'Discount Lookup'!G:H,2,FALSE)*G450)</f>
        <v/>
      </c>
      <c r="W450" s="102">
        <f t="shared" si="307"/>
        <v>0</v>
      </c>
      <c r="X450" s="102" t="str">
        <f t="shared" si="308"/>
        <v>Golden Yellow bloom</v>
      </c>
      <c r="Y450" s="120" t="b">
        <f t="shared" si="309"/>
        <v>0</v>
      </c>
      <c r="Z450" s="117">
        <f t="shared" si="310"/>
        <v>0</v>
      </c>
      <c r="AA450" s="118"/>
      <c r="AB450" s="118" t="str">
        <f t="shared" si="311"/>
        <v/>
      </c>
      <c r="AC450" s="712" t="str">
        <f>IF(AE450="T2G","no charge",IF(AND(OR(PlanterYesMe="No",PlanterYesMe="N",PlanterYesMe="me"),H450=""),"",IF(H450="credit","NO install",IF(AND(K450="",AE450="me"),"EACH row",IF(AND(K450="images",AE450="me"),"EACH row",IF(D450="","",IF(H450="credit","",IF(AE450="free","re-planting",IF(AE450="me","   not ELP, by",IF(AND(OR(PlanterYesMe="Yes",PlanterYesMe="Y"),G450&gt;0),(VLOOKUP(A450,'Discount Lookup'!J:K,2)*G450*(1-PlanterDiscount)*(1+PlanterDifficultyPercentage)),IF(AE450="ELP",(VLOOKUP(A450,'Discount Lookup'!J:K,2)*G450*(1-PlanterDiscount)*(1+PlanterDifficultyPercentage)),IF(AE450="free","re-planting",IF(G450=0,"",IF(PlanterYesMe="",IF(AE450="me","   not ELP, by",IF(AE450="",IF(G450&gt;0,(VLOOKUP(A450,'Discount Lookup'!J:K,2)*G450*(1-PlanterDiscount)*(1+PlanterDifficultyPercentage)),""),"")),"   not ELP, by"))))))))))))))</f>
        <v/>
      </c>
      <c r="AD450" s="712"/>
      <c r="AE450" s="513" t="str">
        <f t="shared" si="312"/>
        <v/>
      </c>
      <c r="AF450" s="713" t="str">
        <f t="shared" si="313"/>
        <v/>
      </c>
      <c r="AG450" s="713"/>
      <c r="AH450" s="713"/>
      <c r="AI450" s="112">
        <f>IF(H450="credit",0,IF(AE450="free",0,IF(AE450="me",0,IF(G450&gt;0,(VLOOKUP(A450,'Discount Lookup'!J:K,2)*G450),0))))</f>
        <v>0</v>
      </c>
      <c r="AJ450" s="107" t="str">
        <f t="shared" ca="1" si="314"/>
        <v/>
      </c>
      <c r="AK450" s="714" t="str">
        <f t="shared" si="315"/>
        <v/>
      </c>
      <c r="AL450" s="714"/>
      <c r="AM450" s="114" t="str">
        <f t="shared" si="316"/>
        <v/>
      </c>
      <c r="AN450" s="115"/>
      <c r="AO450" s="116"/>
      <c r="AP450" s="116"/>
      <c r="AQ450" s="116"/>
      <c r="AR450" s="116"/>
      <c r="AS450" s="116"/>
      <c r="AT450" s="116"/>
      <c r="AU450" s="116"/>
      <c r="AV450" s="78"/>
      <c r="AW450" s="102"/>
      <c r="AX450" s="78"/>
      <c r="AY450" s="78"/>
      <c r="AZ450" s="78"/>
      <c r="BA450" s="78"/>
      <c r="BB450" s="78"/>
      <c r="BC450" s="78"/>
      <c r="BD450" s="78"/>
      <c r="BE450" s="465"/>
      <c r="BF450" s="165" t="str">
        <f t="shared" si="317"/>
        <v>https://www.google.com/search?tbm=isch&amp;q=Baptisia%20%27American%20Goldfinch%27%20PP%2330478%20American%20Goldfinch%20False%20Indigo</v>
      </c>
      <c r="BG450" s="165" t="str">
        <f t="shared" si="318"/>
        <v>B</v>
      </c>
      <c r="BH450" s="65"/>
      <c r="BI450" s="65"/>
      <c r="BJ450" s="65"/>
      <c r="BK450" s="65"/>
      <c r="BL450" s="99"/>
      <c r="BM450" s="99"/>
      <c r="BN450" s="99"/>
    </row>
    <row r="451" spans="1:66" s="51" customFormat="1" ht="15.75" x14ac:dyDescent="0.25">
      <c r="A451" s="634">
        <v>4</v>
      </c>
      <c r="B451" s="635" t="s">
        <v>338</v>
      </c>
      <c r="C451" s="636" t="s">
        <v>1550</v>
      </c>
      <c r="D451" s="637" t="s">
        <v>329</v>
      </c>
      <c r="E451" s="638">
        <v>17.95</v>
      </c>
      <c r="F451" s="639" t="s">
        <v>292</v>
      </c>
      <c r="G451" s="484">
        <v>0</v>
      </c>
      <c r="H451" s="691" t="str">
        <f>IF(G451=0,"",IF(F451="Buy",IF(G451=1,"plant","plants"),IF(F451&gt;0.01,"warranty","Error")))</f>
        <v/>
      </c>
      <c r="I451" s="640">
        <f>IF(H451="free",0,IF(H451="credit",((E451*(F451))*G451*-1),IF(F451="Buy",(E451*G451),((E451*(1-F451))*G451))))</f>
        <v>0</v>
      </c>
      <c r="J451" s="640">
        <f>IF(H451="warranty",0,(I451*(_xlfn.SINGLE(SalesTaxPercentage))))</f>
        <v>0</v>
      </c>
      <c r="K451" s="716">
        <f t="shared" ref="K451" si="340">I451+J451</f>
        <v>0</v>
      </c>
      <c r="L451" s="716"/>
      <c r="M451" s="689" t="str">
        <f ca="1">IF(AND(G451&gt;0,E451=0),"WARNING - no PRICE inserted",IF(H451="free","FREE ~ no charge this plant",IF(H451="credit",CONCATENATE("-$",ROUND(K451*(1-_xlfn.SINGLE(T2GDiscount))*-1,2)," CREDIT after discount"),IF(_xlfn.SINGLE(T2GDiscount)=0,"",IF(G451=0,"",IF(F451="Buy",CONCATENATE("$",ROUND(K451*(1-_xlfn.SINGLE(T2GDiscount)),2)," with ",(_xlfn.SINGLE(T2GDiscount)*100),"% discount"),CONCATENATE("$",ROUND(K451*(1-_xlfn.SINGLE(T2GDiscount)),2)," with ",((_xlfn.SINGLE(T2GDiscount)*100+F451*100)-(_xlfn.SINGLE(T2GDiscount)*100*F451)),IF(F451&gt;0,"% discounts",IF(_xlfn.SINGLE(NoWarrantyDiscount)&gt;0,"% discounts","% discount")))))))))</f>
        <v/>
      </c>
      <c r="N451" s="690"/>
      <c r="O451" s="486"/>
      <c r="P451" s="486"/>
      <c r="Q451" s="486"/>
      <c r="R451" s="486"/>
      <c r="S451" s="486"/>
      <c r="T451" s="102">
        <f t="shared" si="306"/>
        <v>0</v>
      </c>
      <c r="U451" s="78">
        <f>IF(NOT(ISNUMBER(G451)), "", VLOOKUP(A451,'Discount Lookup'!D:E,2,FALSE)*G451)</f>
        <v>0</v>
      </c>
      <c r="V451" s="78">
        <f>IF(NOT(ISNUMBER(G451)), "", VLOOKUP(A451,'Discount Lookup'!G:H,2,FALSE)*G451)</f>
        <v>0</v>
      </c>
      <c r="W451" s="102">
        <f t="shared" si="307"/>
        <v>0</v>
      </c>
      <c r="X451" s="102">
        <f t="shared" si="308"/>
        <v>0</v>
      </c>
      <c r="Y451" s="120" t="b">
        <f t="shared" si="309"/>
        <v>0</v>
      </c>
      <c r="Z451" s="117">
        <f t="shared" si="310"/>
        <v>0</v>
      </c>
      <c r="AA451" s="118"/>
      <c r="AB451" s="118" t="str">
        <f t="shared" si="311"/>
        <v/>
      </c>
      <c r="AC451" s="712" t="str">
        <f>IF(AE451="T2G","no charge",IF(AND(OR(PlanterYesMe="No",PlanterYesMe="N",PlanterYesMe="me"),H451=""),"",IF(H451="credit","NO install",IF(AND(K451="",AE451="me"),"EACH row",IF(AND(K451="images",AE451="me"),"EACH row",IF(D451="","",IF(H451="credit","",IF(AE451="free","re-planting",IF(AE451="me","   not ELP, by",IF(AND(OR(PlanterYesMe="Yes",PlanterYesMe="Y"),G451&gt;0),(VLOOKUP(A451,'Discount Lookup'!J:K,2)*G451*(1-PlanterDiscount)*(1+PlanterDifficultyPercentage)),IF(AE451="ELP",(VLOOKUP(A451,'Discount Lookup'!J:K,2)*G451*(1-PlanterDiscount)*(1+PlanterDifficultyPercentage)),IF(AE451="free","re-planting",IF(G451=0,"",IF(PlanterYesMe="",IF(AE451="me","   not ELP, by",IF(AE451="",IF(G451&gt;0,(VLOOKUP(A451,'Discount Lookup'!J:K,2)*G451*(1-PlanterDiscount)*(1+PlanterDifficultyPercentage)),""),"")),"   not ELP, by"))))))))))))))</f>
        <v/>
      </c>
      <c r="AD451" s="712"/>
      <c r="AE451" s="513" t="str">
        <f t="shared" si="312"/>
        <v/>
      </c>
      <c r="AF451" s="713" t="str">
        <f t="shared" si="313"/>
        <v/>
      </c>
      <c r="AG451" s="713"/>
      <c r="AH451" s="713"/>
      <c r="AI451" s="112">
        <f>IF(H451="credit",0,IF(AE451="free",0,IF(AE451="me",0,IF(G451&gt;0,(VLOOKUP(A451,'Discount Lookup'!J:K,2)*G451),0))))</f>
        <v>0</v>
      </c>
      <c r="AJ451" s="107" t="str">
        <f t="shared" ca="1" si="314"/>
        <v/>
      </c>
      <c r="AK451" s="714" t="str">
        <f t="shared" si="315"/>
        <v/>
      </c>
      <c r="AL451" s="714"/>
      <c r="AM451" s="114" t="str">
        <f t="shared" si="316"/>
        <v/>
      </c>
      <c r="AN451" s="115"/>
      <c r="AO451" s="116"/>
      <c r="AP451" s="116"/>
      <c r="AQ451" s="116"/>
      <c r="AR451" s="116"/>
      <c r="AS451" s="116"/>
      <c r="AT451" s="116"/>
      <c r="AU451" s="116"/>
      <c r="AV451" s="78"/>
      <c r="AW451" s="102"/>
      <c r="AX451" s="78"/>
      <c r="AY451" s="78"/>
      <c r="AZ451" s="78"/>
      <c r="BA451" s="78"/>
      <c r="BB451" s="78"/>
      <c r="BC451" s="78"/>
      <c r="BD451" s="78"/>
      <c r="BE451" s="465"/>
      <c r="BF451" s="165" t="str">
        <f t="shared" si="317"/>
        <v>https://www.google.com/search?tbm=isch&amp;q=4%20G2</v>
      </c>
      <c r="BG451" s="165" t="str">
        <f t="shared" si="318"/>
        <v>B</v>
      </c>
      <c r="BH451" s="65"/>
      <c r="BI451" s="65"/>
      <c r="BJ451" s="65"/>
      <c r="BK451" s="65"/>
      <c r="BL451" s="99"/>
      <c r="BM451" s="99"/>
      <c r="BN451" s="99"/>
    </row>
    <row r="452" spans="1:66" s="51" customFormat="1" ht="17.25" thickBot="1" x14ac:dyDescent="0.3">
      <c r="A452" s="641" t="s">
        <v>1551</v>
      </c>
      <c r="B452" s="642"/>
      <c r="C452" s="710"/>
      <c r="D452" s="643"/>
      <c r="E452" s="643"/>
      <c r="F452" s="644"/>
      <c r="G452" s="645"/>
      <c r="H452" s="646"/>
      <c r="I452" s="647"/>
      <c r="J452" s="648"/>
      <c r="K452" s="649"/>
      <c r="L452" s="650"/>
      <c r="M452" s="650"/>
      <c r="N452" s="644"/>
      <c r="O452" s="644"/>
      <c r="P452" s="644"/>
      <c r="Q452" s="644"/>
      <c r="R452" s="644"/>
      <c r="S452" s="701" t="s">
        <v>5271</v>
      </c>
      <c r="T452" s="102">
        <f t="shared" si="306"/>
        <v>0</v>
      </c>
      <c r="U452" s="78" t="str">
        <f>IF(NOT(ISNUMBER(G452)), "", VLOOKUP(A452,'Discount Lookup'!D:E,2,FALSE)*G452)</f>
        <v/>
      </c>
      <c r="V452" s="78" t="str">
        <f>IF(NOT(ISNUMBER(G452)), "", VLOOKUP(A452,'Discount Lookup'!G:H,2,FALSE)*G452)</f>
        <v/>
      </c>
      <c r="W452" s="102">
        <f t="shared" si="307"/>
        <v>0</v>
      </c>
      <c r="X452" s="102">
        <f t="shared" si="308"/>
        <v>0</v>
      </c>
      <c r="Y452" s="120" t="b">
        <f t="shared" si="309"/>
        <v>0</v>
      </c>
      <c r="Z452" s="117">
        <f t="shared" si="310"/>
        <v>0</v>
      </c>
      <c r="AA452" s="118"/>
      <c r="AB452" s="118" t="str">
        <f t="shared" si="311"/>
        <v/>
      </c>
      <c r="AC452" s="712" t="str">
        <f>IF(AE452="T2G","no charge",IF(AND(OR(PlanterYesMe="No",PlanterYesMe="N",PlanterYesMe="me"),H452=""),"",IF(H452="credit","NO install",IF(AND(K452="",AE452="me"),"EACH row",IF(AND(K452="images",AE452="me"),"EACH row",IF(D452="","",IF(H452="credit","",IF(AE452="free","re-planting",IF(AE452="me","   not ELP, by",IF(AND(OR(PlanterYesMe="Yes",PlanterYesMe="Y"),G452&gt;0),(VLOOKUP(A452,'Discount Lookup'!J:K,2)*G452*(1-PlanterDiscount)*(1+PlanterDifficultyPercentage)),IF(AE452="ELP",(VLOOKUP(A452,'Discount Lookup'!J:K,2)*G452*(1-PlanterDiscount)*(1+PlanterDifficultyPercentage)),IF(AE452="free","re-planting",IF(G452=0,"",IF(PlanterYesMe="",IF(AE452="me","   not ELP, by",IF(AE452="",IF(G452&gt;0,(VLOOKUP(A452,'Discount Lookup'!J:K,2)*G452*(1-PlanterDiscount)*(1+PlanterDifficultyPercentage)),""),"")),"   not ELP, by"))))))))))))))</f>
        <v/>
      </c>
      <c r="AD452" s="712"/>
      <c r="AE452" s="513" t="str">
        <f t="shared" si="312"/>
        <v/>
      </c>
      <c r="AF452" s="713" t="str">
        <f t="shared" si="313"/>
        <v/>
      </c>
      <c r="AG452" s="713"/>
      <c r="AH452" s="713"/>
      <c r="AI452" s="112">
        <f>IF(H452="credit",0,IF(AE452="free",0,IF(AE452="me",0,IF(G452&gt;0,(VLOOKUP(A452,'Discount Lookup'!J:K,2)*G452),0))))</f>
        <v>0</v>
      </c>
      <c r="AJ452" s="107" t="str">
        <f t="shared" ca="1" si="314"/>
        <v/>
      </c>
      <c r="AK452" s="714" t="str">
        <f t="shared" si="315"/>
        <v/>
      </c>
      <c r="AL452" s="714"/>
      <c r="AM452" s="114" t="str">
        <f t="shared" si="316"/>
        <v/>
      </c>
      <c r="AN452" s="115"/>
      <c r="AO452" s="116"/>
      <c r="AP452" s="116"/>
      <c r="AQ452" s="116"/>
      <c r="AR452" s="116"/>
      <c r="AS452" s="116"/>
      <c r="AT452" s="116"/>
      <c r="AU452" s="116"/>
      <c r="AV452" s="78"/>
      <c r="AW452" s="102"/>
      <c r="AX452" s="78"/>
      <c r="AY452" s="78"/>
      <c r="AZ452" s="78"/>
      <c r="BA452" s="78"/>
      <c r="BB452" s="78"/>
      <c r="BC452" s="78"/>
      <c r="BD452" s="78"/>
      <c r="BE452" s="465"/>
      <c r="BF452" s="165" t="str">
        <f t="shared" si="317"/>
        <v>https://www.google.com/search?tbm=isch&amp;q=American%20Goldfinch%27%20is%20notable%20for%20its%20vibrant%20blooms%20held%20on%20strong%20stems%20and%20its%20dense%2C%20bushy%20habit%20with%20attractive%20Blue-Green%20foliage%20</v>
      </c>
      <c r="BG452" s="165" t="str">
        <f t="shared" si="318"/>
        <v>A</v>
      </c>
      <c r="BH452" s="65"/>
      <c r="BI452" s="65"/>
      <c r="BJ452" s="65"/>
      <c r="BK452" s="65"/>
      <c r="BL452" s="99"/>
      <c r="BM452" s="99"/>
      <c r="BN452" s="99"/>
    </row>
    <row r="453" spans="1:66" s="51" customFormat="1" ht="18" x14ac:dyDescent="0.25">
      <c r="A453" s="623" t="s">
        <v>1552</v>
      </c>
      <c r="B453" s="624"/>
      <c r="C453" s="709"/>
      <c r="D453" s="625" t="s">
        <v>1553</v>
      </c>
      <c r="E453" s="626"/>
      <c r="F453" s="626"/>
      <c r="G453" s="626"/>
      <c r="H453" s="622" t="s">
        <v>1124</v>
      </c>
      <c r="I453" s="627" t="s">
        <v>1554</v>
      </c>
      <c r="J453" s="628"/>
      <c r="K453" s="628"/>
      <c r="L453" s="629"/>
      <c r="M453" s="700" t="s">
        <v>5241</v>
      </c>
      <c r="N453" s="693" t="str">
        <f>IF(AND(ISTEXT($A453), ISERROR($A453+0)), HYPERLINK($BF453, "Images"), "")</f>
        <v>Images</v>
      </c>
      <c r="O453" s="695" t="s">
        <v>5244</v>
      </c>
      <c r="P453" s="630"/>
      <c r="Q453" s="631"/>
      <c r="R453" s="632"/>
      <c r="S453" s="633"/>
      <c r="T453" s="102">
        <f t="shared" si="306"/>
        <v>0</v>
      </c>
      <c r="U453" s="78" t="str">
        <f>IF(NOT(ISNUMBER(G453)), "", VLOOKUP(A453,'Discount Lookup'!D:E,2,FALSE)*G453)</f>
        <v/>
      </c>
      <c r="V453" s="78" t="str">
        <f>IF(NOT(ISNUMBER(G453)), "", VLOOKUP(A453,'Discount Lookup'!G:H,2,FALSE)*G453)</f>
        <v/>
      </c>
      <c r="W453" s="102">
        <f t="shared" si="307"/>
        <v>0</v>
      </c>
      <c r="X453" s="102" t="str">
        <f t="shared" si="308"/>
        <v>Wine Purple bloom, Yellow hue</v>
      </c>
      <c r="Y453" s="120" t="b">
        <f t="shared" si="309"/>
        <v>0</v>
      </c>
      <c r="Z453" s="117">
        <f t="shared" si="310"/>
        <v>0</v>
      </c>
      <c r="AA453" s="118"/>
      <c r="AB453" s="118" t="str">
        <f t="shared" si="311"/>
        <v/>
      </c>
      <c r="AC453" s="712" t="str">
        <f>IF(AE453="T2G","no charge",IF(AND(OR(PlanterYesMe="No",PlanterYesMe="N",PlanterYesMe="me"),H453=""),"",IF(H453="credit","NO install",IF(AND(K453="",AE453="me"),"EACH row",IF(AND(K453="images",AE453="me"),"EACH row",IF(D453="","",IF(H453="credit","",IF(AE453="free","re-planting",IF(AE453="me","   not ELP, by",IF(AND(OR(PlanterYesMe="Yes",PlanterYesMe="Y"),G453&gt;0),(VLOOKUP(A453,'Discount Lookup'!J:K,2)*G453*(1-PlanterDiscount)*(1+PlanterDifficultyPercentage)),IF(AE453="ELP",(VLOOKUP(A453,'Discount Lookup'!J:K,2)*G453*(1-PlanterDiscount)*(1+PlanterDifficultyPercentage)),IF(AE453="free","re-planting",IF(G453=0,"",IF(PlanterYesMe="",IF(AE453="me","   not ELP, by",IF(AE453="",IF(G453&gt;0,(VLOOKUP(A453,'Discount Lookup'!J:K,2)*G453*(1-PlanterDiscount)*(1+PlanterDifficultyPercentage)),""),"")),"   not ELP, by"))))))))))))))</f>
        <v/>
      </c>
      <c r="AD453" s="712"/>
      <c r="AE453" s="513" t="str">
        <f t="shared" si="312"/>
        <v/>
      </c>
      <c r="AF453" s="713" t="str">
        <f t="shared" si="313"/>
        <v/>
      </c>
      <c r="AG453" s="713"/>
      <c r="AH453" s="713"/>
      <c r="AI453" s="112">
        <f>IF(H453="credit",0,IF(AE453="free",0,IF(AE453="me",0,IF(G453&gt;0,(VLOOKUP(A453,'Discount Lookup'!J:K,2)*G453),0))))</f>
        <v>0</v>
      </c>
      <c r="AJ453" s="107" t="str">
        <f t="shared" ca="1" si="314"/>
        <v/>
      </c>
      <c r="AK453" s="714" t="str">
        <f t="shared" si="315"/>
        <v/>
      </c>
      <c r="AL453" s="714"/>
      <c r="AM453" s="114" t="str">
        <f t="shared" si="316"/>
        <v/>
      </c>
      <c r="AN453" s="115"/>
      <c r="AO453" s="116"/>
      <c r="AP453" s="116"/>
      <c r="AQ453" s="116"/>
      <c r="AR453" s="116"/>
      <c r="AS453" s="116"/>
      <c r="AT453" s="116"/>
      <c r="AU453" s="116"/>
      <c r="AV453" s="78"/>
      <c r="AW453" s="102"/>
      <c r="AX453" s="78"/>
      <c r="AY453" s="78"/>
      <c r="AZ453" s="78"/>
      <c r="BA453" s="78"/>
      <c r="BB453" s="78"/>
      <c r="BC453" s="78"/>
      <c r="BD453" s="78"/>
      <c r="BE453" s="465"/>
      <c r="BF453" s="165" t="str">
        <f t="shared" si="317"/>
        <v>https://www.google.com/search?tbm=isch&amp;q=Baptisia%20%27Burgundy%20Blast%27%20PP%2334689%20Burgundy%20Blast%20False%20Indigo</v>
      </c>
      <c r="BG453" s="165" t="str">
        <f t="shared" si="318"/>
        <v>B</v>
      </c>
      <c r="BH453" s="65"/>
      <c r="BI453" s="65"/>
      <c r="BJ453" s="65"/>
      <c r="BK453" s="65"/>
      <c r="BL453" s="99"/>
      <c r="BM453" s="99"/>
      <c r="BN453" s="99"/>
    </row>
    <row r="454" spans="1:66" s="51" customFormat="1" ht="15.75" x14ac:dyDescent="0.25">
      <c r="A454" s="634">
        <v>4</v>
      </c>
      <c r="B454" s="635" t="s">
        <v>338</v>
      </c>
      <c r="C454" s="636" t="s">
        <v>1550</v>
      </c>
      <c r="D454" s="637" t="s">
        <v>329</v>
      </c>
      <c r="E454" s="638">
        <v>17.95</v>
      </c>
      <c r="F454" s="639" t="s">
        <v>292</v>
      </c>
      <c r="G454" s="484">
        <v>0</v>
      </c>
      <c r="H454" s="691" t="str">
        <f>IF(G454=0,"",IF(F454="Buy",IF(G454=1,"plant","plants"),IF(F454&gt;0.01,"warranty","Error")))</f>
        <v/>
      </c>
      <c r="I454" s="640">
        <f>IF(H454="free",0,IF(H454="credit",((E454*(F454))*G454*-1),IF(F454="Buy",(E454*G454),((E454*(1-F454))*G454))))</f>
        <v>0</v>
      </c>
      <c r="J454" s="640">
        <f>IF(H454="warranty",0,(I454*(_xlfn.SINGLE(SalesTaxPercentage))))</f>
        <v>0</v>
      </c>
      <c r="K454" s="716">
        <f t="shared" ref="K454" si="341">I454+J454</f>
        <v>0</v>
      </c>
      <c r="L454" s="716"/>
      <c r="M454" s="689" t="str">
        <f ca="1">IF(AND(G454&gt;0,E454=0),"WARNING - no PRICE inserted",IF(H454="free","FREE ~ no charge this plant",IF(H454="credit",CONCATENATE("-$",ROUND(K454*(1-_xlfn.SINGLE(T2GDiscount))*-1,2)," CREDIT after discount"),IF(_xlfn.SINGLE(T2GDiscount)=0,"",IF(G454=0,"",IF(F454="Buy",CONCATENATE("$",ROUND(K454*(1-_xlfn.SINGLE(T2GDiscount)),2)," with ",(_xlfn.SINGLE(T2GDiscount)*100),"% discount"),CONCATENATE("$",ROUND(K454*(1-_xlfn.SINGLE(T2GDiscount)),2)," with ",((_xlfn.SINGLE(T2GDiscount)*100+F454*100)-(_xlfn.SINGLE(T2GDiscount)*100*F454)),IF(F454&gt;0,"% discounts",IF(_xlfn.SINGLE(NoWarrantyDiscount)&gt;0,"% discounts","% discount")))))))))</f>
        <v/>
      </c>
      <c r="N454" s="690"/>
      <c r="O454" s="486"/>
      <c r="P454" s="486"/>
      <c r="Q454" s="486"/>
      <c r="R454" s="486"/>
      <c r="S454" s="486"/>
      <c r="T454" s="102">
        <f t="shared" si="306"/>
        <v>0</v>
      </c>
      <c r="U454" s="78">
        <f>IF(NOT(ISNUMBER(G454)), "", VLOOKUP(A454,'Discount Lookup'!D:E,2,FALSE)*G454)</f>
        <v>0</v>
      </c>
      <c r="V454" s="78">
        <f>IF(NOT(ISNUMBER(G454)), "", VLOOKUP(A454,'Discount Lookup'!G:H,2,FALSE)*G454)</f>
        <v>0</v>
      </c>
      <c r="W454" s="102">
        <f t="shared" si="307"/>
        <v>0</v>
      </c>
      <c r="X454" s="102">
        <f t="shared" si="308"/>
        <v>0</v>
      </c>
      <c r="Y454" s="120" t="b">
        <f t="shared" si="309"/>
        <v>0</v>
      </c>
      <c r="Z454" s="117">
        <f t="shared" si="310"/>
        <v>0</v>
      </c>
      <c r="AA454" s="118"/>
      <c r="AB454" s="118" t="str">
        <f t="shared" si="311"/>
        <v/>
      </c>
      <c r="AC454" s="712" t="str">
        <f>IF(AE454="T2G","no charge",IF(AND(OR(PlanterYesMe="No",PlanterYesMe="N",PlanterYesMe="me"),H454=""),"",IF(H454="credit","NO install",IF(AND(K454="",AE454="me"),"EACH row",IF(AND(K454="images",AE454="me"),"EACH row",IF(D454="","",IF(H454="credit","",IF(AE454="free","re-planting",IF(AE454="me","   not ELP, by",IF(AND(OR(PlanterYesMe="Yes",PlanterYesMe="Y"),G454&gt;0),(VLOOKUP(A454,'Discount Lookup'!J:K,2)*G454*(1-PlanterDiscount)*(1+PlanterDifficultyPercentage)),IF(AE454="ELP",(VLOOKUP(A454,'Discount Lookup'!J:K,2)*G454*(1-PlanterDiscount)*(1+PlanterDifficultyPercentage)),IF(AE454="free","re-planting",IF(G454=0,"",IF(PlanterYesMe="",IF(AE454="me","   not ELP, by",IF(AE454="",IF(G454&gt;0,(VLOOKUP(A454,'Discount Lookup'!J:K,2)*G454*(1-PlanterDiscount)*(1+PlanterDifficultyPercentage)),""),"")),"   not ELP, by"))))))))))))))</f>
        <v/>
      </c>
      <c r="AD454" s="712"/>
      <c r="AE454" s="513" t="str">
        <f t="shared" si="312"/>
        <v/>
      </c>
      <c r="AF454" s="713" t="str">
        <f t="shared" si="313"/>
        <v/>
      </c>
      <c r="AG454" s="713"/>
      <c r="AH454" s="713"/>
      <c r="AI454" s="112">
        <f>IF(H454="credit",0,IF(AE454="free",0,IF(AE454="me",0,IF(G454&gt;0,(VLOOKUP(A454,'Discount Lookup'!J:K,2)*G454),0))))</f>
        <v>0</v>
      </c>
      <c r="AJ454" s="107" t="str">
        <f t="shared" ca="1" si="314"/>
        <v/>
      </c>
      <c r="AK454" s="714" t="str">
        <f t="shared" si="315"/>
        <v/>
      </c>
      <c r="AL454" s="714"/>
      <c r="AM454" s="114" t="str">
        <f t="shared" si="316"/>
        <v/>
      </c>
      <c r="AN454" s="115"/>
      <c r="AO454" s="116"/>
      <c r="AP454" s="116"/>
      <c r="AQ454" s="116"/>
      <c r="AR454" s="116"/>
      <c r="AS454" s="116"/>
      <c r="AT454" s="116"/>
      <c r="AU454" s="116"/>
      <c r="AV454" s="78"/>
      <c r="AW454" s="102"/>
      <c r="AX454" s="78"/>
      <c r="AY454" s="78"/>
      <c r="AZ454" s="78"/>
      <c r="BA454" s="78"/>
      <c r="BB454" s="78"/>
      <c r="BC454" s="78"/>
      <c r="BD454" s="78"/>
      <c r="BE454" s="465"/>
      <c r="BF454" s="165" t="str">
        <f t="shared" si="317"/>
        <v>https://www.google.com/search?tbm=isch&amp;q=4%20G2</v>
      </c>
      <c r="BG454" s="165" t="str">
        <f t="shared" si="318"/>
        <v>B</v>
      </c>
      <c r="BH454" s="65"/>
      <c r="BI454" s="65"/>
      <c r="BJ454" s="65"/>
      <c r="BK454" s="65"/>
      <c r="BL454" s="99"/>
      <c r="BM454" s="99"/>
      <c r="BN454" s="99"/>
    </row>
    <row r="455" spans="1:66" s="51" customFormat="1" ht="17.25" thickBot="1" x14ac:dyDescent="0.3">
      <c r="A455" s="641" t="s">
        <v>1555</v>
      </c>
      <c r="B455" s="642"/>
      <c r="C455" s="710"/>
      <c r="D455" s="643"/>
      <c r="E455" s="643"/>
      <c r="F455" s="644"/>
      <c r="G455" s="645"/>
      <c r="H455" s="646"/>
      <c r="I455" s="647"/>
      <c r="J455" s="648"/>
      <c r="K455" s="649"/>
      <c r="L455" s="650"/>
      <c r="M455" s="650"/>
      <c r="N455" s="644"/>
      <c r="O455" s="644"/>
      <c r="P455" s="644"/>
      <c r="Q455" s="644"/>
      <c r="R455" s="644"/>
      <c r="S455" s="701" t="s">
        <v>5271</v>
      </c>
      <c r="T455" s="102">
        <f t="shared" si="306"/>
        <v>0</v>
      </c>
      <c r="U455" s="78" t="str">
        <f>IF(NOT(ISNUMBER(G455)), "", VLOOKUP(A455,'Discount Lookup'!D:E,2,FALSE)*G455)</f>
        <v/>
      </c>
      <c r="V455" s="78" t="str">
        <f>IF(NOT(ISNUMBER(G455)), "", VLOOKUP(A455,'Discount Lookup'!G:H,2,FALSE)*G455)</f>
        <v/>
      </c>
      <c r="W455" s="102">
        <f t="shared" si="307"/>
        <v>0</v>
      </c>
      <c r="X455" s="102">
        <f t="shared" si="308"/>
        <v>0</v>
      </c>
      <c r="Y455" s="120" t="b">
        <f t="shared" si="309"/>
        <v>0</v>
      </c>
      <c r="Z455" s="117">
        <f t="shared" si="310"/>
        <v>0</v>
      </c>
      <c r="AA455" s="118"/>
      <c r="AB455" s="118" t="str">
        <f t="shared" si="311"/>
        <v/>
      </c>
      <c r="AC455" s="712" t="str">
        <f>IF(AE455="T2G","no charge",IF(AND(OR(PlanterYesMe="No",PlanterYesMe="N",PlanterYesMe="me"),H455=""),"",IF(H455="credit","NO install",IF(AND(K455="",AE455="me"),"EACH row",IF(AND(K455="images",AE455="me"),"EACH row",IF(D455="","",IF(H455="credit","",IF(AE455="free","re-planting",IF(AE455="me","   not ELP, by",IF(AND(OR(PlanterYesMe="Yes",PlanterYesMe="Y"),G455&gt;0),(VLOOKUP(A455,'Discount Lookup'!J:K,2)*G455*(1-PlanterDiscount)*(1+PlanterDifficultyPercentage)),IF(AE455="ELP",(VLOOKUP(A455,'Discount Lookup'!J:K,2)*G455*(1-PlanterDiscount)*(1+PlanterDifficultyPercentage)),IF(AE455="free","re-planting",IF(G455=0,"",IF(PlanterYesMe="",IF(AE455="me","   not ELP, by",IF(AE455="",IF(G455&gt;0,(VLOOKUP(A455,'Discount Lookup'!J:K,2)*G455*(1-PlanterDiscount)*(1+PlanterDifficultyPercentage)),""),"")),"   not ELP, by"))))))))))))))</f>
        <v/>
      </c>
      <c r="AD455" s="712"/>
      <c r="AE455" s="513" t="str">
        <f t="shared" si="312"/>
        <v/>
      </c>
      <c r="AF455" s="713" t="str">
        <f t="shared" si="313"/>
        <v/>
      </c>
      <c r="AG455" s="713"/>
      <c r="AH455" s="713"/>
      <c r="AI455" s="112">
        <f>IF(H455="credit",0,IF(AE455="free",0,IF(AE455="me",0,IF(G455&gt;0,(VLOOKUP(A455,'Discount Lookup'!J:K,2)*G455),0))))</f>
        <v>0</v>
      </c>
      <c r="AJ455" s="107" t="str">
        <f t="shared" ca="1" si="314"/>
        <v/>
      </c>
      <c r="AK455" s="714" t="str">
        <f t="shared" si="315"/>
        <v/>
      </c>
      <c r="AL455" s="714"/>
      <c r="AM455" s="114" t="str">
        <f t="shared" si="316"/>
        <v/>
      </c>
      <c r="AN455" s="115"/>
      <c r="AO455" s="116"/>
      <c r="AP455" s="116"/>
      <c r="AQ455" s="116"/>
      <c r="AR455" s="116"/>
      <c r="AS455" s="116"/>
      <c r="AT455" s="116"/>
      <c r="AU455" s="116"/>
      <c r="AV455" s="78"/>
      <c r="AW455" s="102"/>
      <c r="AX455" s="78"/>
      <c r="AY455" s="78"/>
      <c r="AZ455" s="78"/>
      <c r="BA455" s="78"/>
      <c r="BB455" s="78"/>
      <c r="BC455" s="78"/>
      <c r="BD455" s="78"/>
      <c r="BE455" s="465"/>
      <c r="BF455" s="165" t="str">
        <f t="shared" si="317"/>
        <v>https://www.google.com/search?tbm=isch&amp;q=Burgundy%20Blast%20has%20spires%20of%20blooms%20in%20late%20spring%20over%20Blue-Green%20foliage%2C%20followed%20by%20showy%20seed%20pods%20</v>
      </c>
      <c r="BG455" s="165" t="str">
        <f t="shared" si="318"/>
        <v>B</v>
      </c>
      <c r="BH455" s="65"/>
      <c r="BI455" s="65"/>
      <c r="BJ455" s="65"/>
      <c r="BK455" s="65"/>
      <c r="BL455" s="99"/>
      <c r="BM455" s="99"/>
      <c r="BN455" s="99"/>
    </row>
    <row r="456" spans="1:66" s="51" customFormat="1" ht="18" x14ac:dyDescent="0.25">
      <c r="A456" s="623" t="s">
        <v>1556</v>
      </c>
      <c r="B456" s="624"/>
      <c r="C456" s="709"/>
      <c r="D456" s="625" t="s">
        <v>1557</v>
      </c>
      <c r="E456" s="626"/>
      <c r="F456" s="626"/>
      <c r="G456" s="626"/>
      <c r="H456" s="622" t="s">
        <v>1124</v>
      </c>
      <c r="I456" s="627" t="s">
        <v>1558</v>
      </c>
      <c r="J456" s="628"/>
      <c r="K456" s="628"/>
      <c r="L456" s="629"/>
      <c r="M456" s="700" t="s">
        <v>5241</v>
      </c>
      <c r="N456" s="693" t="str">
        <f>IF(AND(ISTEXT($A456), ISERROR($A456+0)), HYPERLINK($BF456, "Images"), "")</f>
        <v>Images</v>
      </c>
      <c r="O456" s="695" t="s">
        <v>5244</v>
      </c>
      <c r="P456" s="630"/>
      <c r="Q456" s="631"/>
      <c r="R456" s="632"/>
      <c r="S456" s="633"/>
      <c r="T456" s="102">
        <f t="shared" si="306"/>
        <v>0</v>
      </c>
      <c r="U456" s="78" t="str">
        <f>IF(NOT(ISNUMBER(G456)), "", VLOOKUP(A456,'Discount Lookup'!D:E,2,FALSE)*G456)</f>
        <v/>
      </c>
      <c r="V456" s="78" t="str">
        <f>IF(NOT(ISNUMBER(G456)), "", VLOOKUP(A456,'Discount Lookup'!G:H,2,FALSE)*G456)</f>
        <v/>
      </c>
      <c r="W456" s="102">
        <f t="shared" si="307"/>
        <v>0</v>
      </c>
      <c r="X456" s="102" t="str">
        <f t="shared" si="308"/>
        <v>Yellow bloom ages to Purple</v>
      </c>
      <c r="Y456" s="120" t="b">
        <f t="shared" si="309"/>
        <v>0</v>
      </c>
      <c r="Z456" s="117">
        <f t="shared" si="310"/>
        <v>0</v>
      </c>
      <c r="AA456" s="118"/>
      <c r="AB456" s="118" t="str">
        <f t="shared" si="311"/>
        <v/>
      </c>
      <c r="AC456" s="712" t="str">
        <f>IF(AE456="T2G","no charge",IF(AND(OR(PlanterYesMe="No",PlanterYesMe="N",PlanterYesMe="me"),H456=""),"",IF(H456="credit","NO install",IF(AND(K456="",AE456="me"),"EACH row",IF(AND(K456="images",AE456="me"),"EACH row",IF(D456="","",IF(H456="credit","",IF(AE456="free","re-planting",IF(AE456="me","   not ELP, by",IF(AND(OR(PlanterYesMe="Yes",PlanterYesMe="Y"),G456&gt;0),(VLOOKUP(A456,'Discount Lookup'!J:K,2)*G456*(1-PlanterDiscount)*(1+PlanterDifficultyPercentage)),IF(AE456="ELP",(VLOOKUP(A456,'Discount Lookup'!J:K,2)*G456*(1-PlanterDiscount)*(1+PlanterDifficultyPercentage)),IF(AE456="free","re-planting",IF(G456=0,"",IF(PlanterYesMe="",IF(AE456="me","   not ELP, by",IF(AE456="",IF(G456&gt;0,(VLOOKUP(A456,'Discount Lookup'!J:K,2)*G456*(1-PlanterDiscount)*(1+PlanterDifficultyPercentage)),""),"")),"   not ELP, by"))))))))))))))</f>
        <v/>
      </c>
      <c r="AD456" s="712"/>
      <c r="AE456" s="513" t="str">
        <f t="shared" si="312"/>
        <v/>
      </c>
      <c r="AF456" s="713" t="str">
        <f t="shared" si="313"/>
        <v/>
      </c>
      <c r="AG456" s="713"/>
      <c r="AH456" s="713"/>
      <c r="AI456" s="112">
        <f>IF(H456="credit",0,IF(AE456="free",0,IF(AE456="me",0,IF(G456&gt;0,(VLOOKUP(A456,'Discount Lookup'!J:K,2)*G456),0))))</f>
        <v>0</v>
      </c>
      <c r="AJ456" s="107" t="str">
        <f t="shared" ca="1" si="314"/>
        <v/>
      </c>
      <c r="AK456" s="714" t="str">
        <f t="shared" si="315"/>
        <v/>
      </c>
      <c r="AL456" s="714"/>
      <c r="AM456" s="114" t="str">
        <f t="shared" si="316"/>
        <v/>
      </c>
      <c r="AN456" s="115"/>
      <c r="AO456" s="116"/>
      <c r="AP456" s="116"/>
      <c r="AQ456" s="116"/>
      <c r="AR456" s="116"/>
      <c r="AS456" s="116"/>
      <c r="AT456" s="116"/>
      <c r="AU456" s="116"/>
      <c r="AV456" s="78"/>
      <c r="AW456" s="102"/>
      <c r="AX456" s="78"/>
      <c r="AY456" s="78"/>
      <c r="AZ456" s="78"/>
      <c r="BA456" s="78"/>
      <c r="BB456" s="78"/>
      <c r="BC456" s="78"/>
      <c r="BD456" s="78"/>
      <c r="BE456" s="465"/>
      <c r="BF456" s="165" t="str">
        <f t="shared" si="317"/>
        <v>https://www.google.com/search?tbm=isch&amp;q=Baptisia%20%27Pink%20Lemonade%27%20PP%2330669%20Pink%20Lemonade%20False%20Indigo</v>
      </c>
      <c r="BG456" s="165" t="str">
        <f t="shared" si="318"/>
        <v>B</v>
      </c>
      <c r="BH456" s="65"/>
      <c r="BI456" s="65"/>
      <c r="BJ456" s="65"/>
      <c r="BK456" s="65"/>
      <c r="BL456" s="99"/>
      <c r="BM456" s="99"/>
      <c r="BN456" s="99"/>
    </row>
    <row r="457" spans="1:66" s="51" customFormat="1" ht="15.75" x14ac:dyDescent="0.25">
      <c r="A457" s="634">
        <v>3</v>
      </c>
      <c r="B457" s="635" t="s">
        <v>291</v>
      </c>
      <c r="C457" s="636"/>
      <c r="D457" s="637" t="s">
        <v>293</v>
      </c>
      <c r="E457" s="638">
        <v>48.95</v>
      </c>
      <c r="F457" s="639" t="s">
        <v>292</v>
      </c>
      <c r="G457" s="484">
        <v>0</v>
      </c>
      <c r="H457" s="691" t="str">
        <f>IF(G457=0,"",IF(F457="Buy",IF(G457=1,"plant","plants"),IF(F457&gt;0.01,"warranty","Error")))</f>
        <v/>
      </c>
      <c r="I457" s="640">
        <f>IF(H457="free",0,IF(H457="credit",((E457*(F457))*G457*-1),IF(F457="Buy",(E457*G457),((E457*(1-F457))*G457))))</f>
        <v>0</v>
      </c>
      <c r="J457" s="640">
        <f>IF(H457="warranty",0,(I457*(_xlfn.SINGLE(SalesTaxPercentage))))</f>
        <v>0</v>
      </c>
      <c r="K457" s="716">
        <f t="shared" ref="K457" si="342">I457+J457</f>
        <v>0</v>
      </c>
      <c r="L457" s="716"/>
      <c r="M457" s="689" t="str">
        <f ca="1">IF(AND(G457&gt;0,E457=0),"WARNING - no PRICE inserted",IF(H457="free","FREE ~ no charge this plant",IF(H457="credit",CONCATENATE("-$",ROUND(K457*(1-_xlfn.SINGLE(T2GDiscount))*-1,2)," CREDIT after discount"),IF(_xlfn.SINGLE(T2GDiscount)=0,"",IF(G457=0,"",IF(F457="Buy",CONCATENATE("$",ROUND(K457*(1-_xlfn.SINGLE(T2GDiscount)),2)," with ",(_xlfn.SINGLE(T2GDiscount)*100),"% discount"),CONCATENATE("$",ROUND(K457*(1-_xlfn.SINGLE(T2GDiscount)),2)," with ",((_xlfn.SINGLE(T2GDiscount)*100+F457*100)-(_xlfn.SINGLE(T2GDiscount)*100*F457)),IF(F457&gt;0,"% discounts",IF(_xlfn.SINGLE(NoWarrantyDiscount)&gt;0,"% discounts","% discount")))))))))</f>
        <v/>
      </c>
      <c r="N457" s="690"/>
      <c r="O457" s="486"/>
      <c r="P457" s="486"/>
      <c r="Q457" s="486"/>
      <c r="R457" s="486"/>
      <c r="S457" s="486"/>
      <c r="T457" s="102">
        <f t="shared" si="306"/>
        <v>0</v>
      </c>
      <c r="U457" s="78">
        <f>IF(NOT(ISNUMBER(G457)), "", VLOOKUP(A457,'Discount Lookup'!D:E,2,FALSE)*G457)</f>
        <v>0</v>
      </c>
      <c r="V457" s="78">
        <f>IF(NOT(ISNUMBER(G457)), "", VLOOKUP(A457,'Discount Lookup'!G:H,2,FALSE)*G457)</f>
        <v>0</v>
      </c>
      <c r="W457" s="102">
        <f t="shared" si="307"/>
        <v>0</v>
      </c>
      <c r="X457" s="102">
        <f t="shared" si="308"/>
        <v>0</v>
      </c>
      <c r="Y457" s="120" t="b">
        <f t="shared" si="309"/>
        <v>0</v>
      </c>
      <c r="Z457" s="117">
        <f t="shared" si="310"/>
        <v>0</v>
      </c>
      <c r="AA457" s="118"/>
      <c r="AB457" s="118" t="str">
        <f t="shared" si="311"/>
        <v/>
      </c>
      <c r="AC457" s="712" t="str">
        <f>IF(AE457="T2G","no charge",IF(AND(OR(PlanterYesMe="No",PlanterYesMe="N",PlanterYesMe="me"),H457=""),"",IF(H457="credit","NO install",IF(AND(K457="",AE457="me"),"EACH row",IF(AND(K457="images",AE457="me"),"EACH row",IF(D457="","",IF(H457="credit","",IF(AE457="free","re-planting",IF(AE457="me","   not ELP, by",IF(AND(OR(PlanterYesMe="Yes",PlanterYesMe="Y"),G457&gt;0),(VLOOKUP(A457,'Discount Lookup'!J:K,2)*G457*(1-PlanterDiscount)*(1+PlanterDifficultyPercentage)),IF(AE457="ELP",(VLOOKUP(A457,'Discount Lookup'!J:K,2)*G457*(1-PlanterDiscount)*(1+PlanterDifficultyPercentage)),IF(AE457="free","re-planting",IF(G457=0,"",IF(PlanterYesMe="",IF(AE457="me","   not ELP, by",IF(AE457="",IF(G457&gt;0,(VLOOKUP(A457,'Discount Lookup'!J:K,2)*G457*(1-PlanterDiscount)*(1+PlanterDifficultyPercentage)),""),"")),"   not ELP, by"))))))))))))))</f>
        <v/>
      </c>
      <c r="AD457" s="712"/>
      <c r="AE457" s="513" t="str">
        <f t="shared" si="312"/>
        <v/>
      </c>
      <c r="AF457" s="713" t="str">
        <f t="shared" si="313"/>
        <v/>
      </c>
      <c r="AG457" s="713"/>
      <c r="AH457" s="713"/>
      <c r="AI457" s="112">
        <f>IF(H457="credit",0,IF(AE457="free",0,IF(AE457="me",0,IF(G457&gt;0,(VLOOKUP(A457,'Discount Lookup'!J:K,2)*G457),0))))</f>
        <v>0</v>
      </c>
      <c r="AJ457" s="107" t="str">
        <f t="shared" ca="1" si="314"/>
        <v/>
      </c>
      <c r="AK457" s="714" t="str">
        <f t="shared" si="315"/>
        <v/>
      </c>
      <c r="AL457" s="714"/>
      <c r="AM457" s="114" t="str">
        <f t="shared" si="316"/>
        <v/>
      </c>
      <c r="AN457" s="115"/>
      <c r="AO457" s="116"/>
      <c r="AP457" s="116"/>
      <c r="AQ457" s="116"/>
      <c r="AR457" s="116"/>
      <c r="AS457" s="116"/>
      <c r="AT457" s="116"/>
      <c r="AU457" s="116"/>
      <c r="AV457" s="78"/>
      <c r="AW457" s="102"/>
      <c r="AX457" s="78"/>
      <c r="AY457" s="78"/>
      <c r="AZ457" s="78"/>
      <c r="BA457" s="78"/>
      <c r="BB457" s="78"/>
      <c r="BC457" s="78"/>
      <c r="BD457" s="78"/>
      <c r="BE457" s="465"/>
      <c r="BF457" s="165" t="str">
        <f t="shared" si="317"/>
        <v>https://www.google.com/search?tbm=isch&amp;q=3%20G6</v>
      </c>
      <c r="BG457" s="165" t="str">
        <f t="shared" si="318"/>
        <v>B</v>
      </c>
      <c r="BH457" s="65"/>
      <c r="BI457" s="65"/>
      <c r="BJ457" s="65"/>
      <c r="BK457" s="65"/>
      <c r="BL457" s="99"/>
      <c r="BM457" s="99"/>
      <c r="BN457" s="99"/>
    </row>
    <row r="458" spans="1:66" s="51" customFormat="1" ht="16.5" x14ac:dyDescent="0.25">
      <c r="A458" s="641" t="s">
        <v>4835</v>
      </c>
      <c r="B458" s="642"/>
      <c r="C458" s="710"/>
      <c r="D458" s="643"/>
      <c r="E458" s="643"/>
      <c r="F458" s="644"/>
      <c r="G458" s="645"/>
      <c r="H458" s="646"/>
      <c r="I458" s="647"/>
      <c r="J458" s="648"/>
      <c r="K458" s="649"/>
      <c r="L458" s="650"/>
      <c r="M458" s="650"/>
      <c r="N458" s="644"/>
      <c r="O458" s="644"/>
      <c r="P458" s="644"/>
      <c r="Q458" s="644"/>
      <c r="R458" s="644"/>
      <c r="S458" s="701" t="s">
        <v>5267</v>
      </c>
      <c r="T458" s="102">
        <f t="shared" si="306"/>
        <v>0</v>
      </c>
      <c r="U458" s="78" t="str">
        <f>IF(NOT(ISNUMBER(G458)), "", VLOOKUP(A458,'Discount Lookup'!D:E,2,FALSE)*G458)</f>
        <v/>
      </c>
      <c r="V458" s="78" t="str">
        <f>IF(NOT(ISNUMBER(G458)), "", VLOOKUP(A458,'Discount Lookup'!G:H,2,FALSE)*G458)</f>
        <v/>
      </c>
      <c r="W458" s="102">
        <f t="shared" si="307"/>
        <v>0</v>
      </c>
      <c r="X458" s="102">
        <f t="shared" si="308"/>
        <v>0</v>
      </c>
      <c r="Y458" s="120" t="b">
        <f t="shared" si="309"/>
        <v>0</v>
      </c>
      <c r="Z458" s="117">
        <f t="shared" si="310"/>
        <v>0</v>
      </c>
      <c r="AA458" s="118"/>
      <c r="AB458" s="118" t="str">
        <f t="shared" si="311"/>
        <v/>
      </c>
      <c r="AC458" s="712" t="str">
        <f>IF(AE458="T2G","no charge",IF(AND(OR(PlanterYesMe="No",PlanterYesMe="N",PlanterYesMe="me"),H458=""),"",IF(H458="credit","NO install",IF(AND(K458="",AE458="me"),"EACH row",IF(AND(K458="images",AE458="me"),"EACH row",IF(D458="","",IF(H458="credit","",IF(AE458="free","re-planting",IF(AE458="me","   not ELP, by",IF(AND(OR(PlanterYesMe="Yes",PlanterYesMe="Y"),G458&gt;0),(VLOOKUP(A458,'Discount Lookup'!J:K,2)*G458*(1-PlanterDiscount)*(1+PlanterDifficultyPercentage)),IF(AE458="ELP",(VLOOKUP(A458,'Discount Lookup'!J:K,2)*G458*(1-PlanterDiscount)*(1+PlanterDifficultyPercentage)),IF(AE458="free","re-planting",IF(G458=0,"",IF(PlanterYesMe="",IF(AE458="me","   not ELP, by",IF(AE458="",IF(G458&gt;0,(VLOOKUP(A458,'Discount Lookup'!J:K,2)*G458*(1-PlanterDiscount)*(1+PlanterDifficultyPercentage)),""),"")),"   not ELP, by"))))))))))))))</f>
        <v/>
      </c>
      <c r="AD458" s="712"/>
      <c r="AE458" s="513" t="str">
        <f t="shared" si="312"/>
        <v/>
      </c>
      <c r="AF458" s="713" t="str">
        <f t="shared" si="313"/>
        <v/>
      </c>
      <c r="AG458" s="713"/>
      <c r="AH458" s="713"/>
      <c r="AI458" s="112">
        <f>IF(H458="credit",0,IF(AE458="free",0,IF(AE458="me",0,IF(G458&gt;0,(VLOOKUP(A458,'Discount Lookup'!J:K,2)*G458),0))))</f>
        <v>0</v>
      </c>
      <c r="AJ458" s="107" t="str">
        <f t="shared" ca="1" si="314"/>
        <v/>
      </c>
      <c r="AK458" s="714" t="str">
        <f t="shared" si="315"/>
        <v/>
      </c>
      <c r="AL458" s="714"/>
      <c r="AM458" s="114" t="str">
        <f t="shared" si="316"/>
        <v/>
      </c>
      <c r="AN458" s="115"/>
      <c r="AO458" s="116"/>
      <c r="AP458" s="116"/>
      <c r="AQ458" s="116"/>
      <c r="AR458" s="116"/>
      <c r="AS458" s="116"/>
      <c r="AT458" s="116"/>
      <c r="AU458" s="116"/>
      <c r="AV458" s="78"/>
      <c r="AW458" s="102"/>
      <c r="AX458" s="78"/>
      <c r="AY458" s="78"/>
      <c r="AZ458" s="78"/>
      <c r="BA458" s="78"/>
      <c r="BB458" s="78"/>
      <c r="BC458" s="78"/>
      <c r="BD458" s="78"/>
      <c r="BE458" s="465"/>
      <c r="BF458" s="165" t="str">
        <f t="shared" si="317"/>
        <v>https://www.google.com/search?tbm=isch&amp;q=Pink%20Lemonade%20has%20bicolor%20flower%20spikes%20that%20shift%20hues%2C%20supported%20by%20Charcoal%20stems%20and%20persistent%20seed%20pods%20</v>
      </c>
      <c r="BG458" s="165" t="str">
        <f t="shared" si="318"/>
        <v>P</v>
      </c>
      <c r="BH458" s="65"/>
      <c r="BI458" s="65"/>
      <c r="BJ458" s="65"/>
      <c r="BK458" s="65"/>
      <c r="BL458" s="99"/>
      <c r="BM458" s="99"/>
      <c r="BN458" s="99"/>
    </row>
    <row r="459" spans="1:66" s="51" customFormat="1" ht="19.5" thickBot="1" x14ac:dyDescent="0.3">
      <c r="A459" s="686" t="s">
        <v>374</v>
      </c>
      <c r="B459" s="73"/>
      <c r="C459" s="708"/>
      <c r="D459" s="73"/>
      <c r="E459" s="73"/>
      <c r="F459" s="496"/>
      <c r="G459" s="73"/>
      <c r="H459" s="73"/>
      <c r="I459" s="73"/>
      <c r="J459" s="497" t="s">
        <v>357</v>
      </c>
      <c r="K459" s="498"/>
      <c r="L459" s="562"/>
      <c r="M459" s="73"/>
      <c r="N459"/>
      <c r="O459"/>
      <c r="P459"/>
      <c r="Q459"/>
      <c r="R459"/>
      <c r="S459"/>
      <c r="T459" s="102">
        <f t="shared" si="306"/>
        <v>0</v>
      </c>
      <c r="U459" s="78" t="str">
        <f>IF(NOT(ISNUMBER(G459)), "", VLOOKUP(A459,'Discount Lookup'!D:E,2,FALSE)*G459)</f>
        <v/>
      </c>
      <c r="V459" s="78" t="str">
        <f>IF(NOT(ISNUMBER(G459)), "", VLOOKUP(A459,'Discount Lookup'!G:H,2,FALSE)*G459)</f>
        <v/>
      </c>
      <c r="W459" s="102">
        <f t="shared" si="307"/>
        <v>0</v>
      </c>
      <c r="X459" s="102">
        <f t="shared" si="308"/>
        <v>0</v>
      </c>
      <c r="Y459" s="120" t="b">
        <f t="shared" si="309"/>
        <v>0</v>
      </c>
      <c r="Z459" s="117">
        <f t="shared" si="310"/>
        <v>0</v>
      </c>
      <c r="AA459" s="118"/>
      <c r="AB459" s="118" t="str">
        <f t="shared" si="311"/>
        <v/>
      </c>
      <c r="AC459" s="712" t="str">
        <f>IF(AE459="T2G","no charge",IF(AND(OR(PlanterYesMe="No",PlanterYesMe="N",PlanterYesMe="me"),H459=""),"",IF(H459="credit","NO install",IF(AND(K459="",AE459="me"),"EACH row",IF(AND(K459="images",AE459="me"),"EACH row",IF(D459="","",IF(H459="credit","",IF(AE459="free","re-planting",IF(AE459="me","   not ELP, by",IF(AND(OR(PlanterYesMe="Yes",PlanterYesMe="Y"),G459&gt;0),(VLOOKUP(A459,'Discount Lookup'!J:K,2)*G459*(1-PlanterDiscount)*(1+PlanterDifficultyPercentage)),IF(AE459="ELP",(VLOOKUP(A459,'Discount Lookup'!J:K,2)*G459*(1-PlanterDiscount)*(1+PlanterDifficultyPercentage)),IF(AE459="free","re-planting",IF(G459=0,"",IF(PlanterYesMe="",IF(AE459="me","   not ELP, by",IF(AE459="",IF(G459&gt;0,(VLOOKUP(A459,'Discount Lookup'!J:K,2)*G459*(1-PlanterDiscount)*(1+PlanterDifficultyPercentage)),""),"")),"   not ELP, by"))))))))))))))</f>
        <v/>
      </c>
      <c r="AD459" s="712"/>
      <c r="AE459" s="513" t="str">
        <f t="shared" si="312"/>
        <v/>
      </c>
      <c r="AF459" s="713" t="str">
        <f t="shared" si="313"/>
        <v/>
      </c>
      <c r="AG459" s="713"/>
      <c r="AH459" s="713"/>
      <c r="AI459" s="112">
        <f>IF(H459="credit",0,IF(AE459="free",0,IF(AE459="me",0,IF(G459&gt;0,(VLOOKUP(A459,'Discount Lookup'!J:K,2)*G459),0))))</f>
        <v>0</v>
      </c>
      <c r="AJ459" s="107" t="str">
        <f t="shared" ca="1" si="314"/>
        <v/>
      </c>
      <c r="AK459" s="714" t="str">
        <f t="shared" si="315"/>
        <v/>
      </c>
      <c r="AL459" s="714"/>
      <c r="AM459" s="114" t="str">
        <f t="shared" si="316"/>
        <v/>
      </c>
      <c r="AN459" s="115"/>
      <c r="AO459" s="116"/>
      <c r="AP459" s="116"/>
      <c r="AQ459" s="116"/>
      <c r="AR459" s="116"/>
      <c r="AS459" s="116"/>
      <c r="AT459" s="116"/>
      <c r="AU459" s="116"/>
      <c r="AV459" s="78"/>
      <c r="AW459" s="102"/>
      <c r="AX459" s="78"/>
      <c r="AY459" s="78"/>
      <c r="AZ459" s="78"/>
      <c r="BA459" s="78"/>
      <c r="BB459" s="78"/>
      <c r="BC459" s="78"/>
      <c r="BD459" s="78"/>
      <c r="BE459" s="465"/>
      <c r="BF459" s="165" t="str">
        <f t="shared" si="317"/>
        <v>https://www.google.com/search?tbm=isch&amp;q=Berberis%20%3D%20Barberry%20</v>
      </c>
      <c r="BG459" s="165" t="str">
        <f t="shared" si="318"/>
        <v>B</v>
      </c>
      <c r="BH459" s="65"/>
      <c r="BI459" s="65"/>
      <c r="BJ459" s="65"/>
      <c r="BK459" s="65"/>
      <c r="BL459" s="99"/>
      <c r="BM459" s="99"/>
      <c r="BN459" s="99"/>
    </row>
    <row r="460" spans="1:66" s="51" customFormat="1" ht="18" x14ac:dyDescent="0.25">
      <c r="A460" s="623" t="s">
        <v>1559</v>
      </c>
      <c r="B460" s="624"/>
      <c r="C460" s="709"/>
      <c r="D460" s="625" t="s">
        <v>1560</v>
      </c>
      <c r="E460" s="626"/>
      <c r="F460" s="626"/>
      <c r="G460" s="626"/>
      <c r="H460" s="622" t="s">
        <v>1076</v>
      </c>
      <c r="I460" s="627" t="s">
        <v>1441</v>
      </c>
      <c r="J460" s="628"/>
      <c r="K460" s="628"/>
      <c r="L460" s="629"/>
      <c r="M460" s="700" t="s">
        <v>5249</v>
      </c>
      <c r="N460" s="693" t="str">
        <f>IF(AND(ISTEXT($A460), ISERROR($A460+0)), HYPERLINK($BF460, "Images"), "")</f>
        <v>Images</v>
      </c>
      <c r="O460" s="695" t="s">
        <v>5244</v>
      </c>
      <c r="P460" s="630"/>
      <c r="Q460" s="631"/>
      <c r="R460" s="632"/>
      <c r="S460" s="633"/>
      <c r="T460" s="102">
        <f t="shared" si="306"/>
        <v>0</v>
      </c>
      <c r="U460" s="78" t="str">
        <f>IF(NOT(ISNUMBER(G460)), "", VLOOKUP(A460,'Discount Lookup'!D:E,2,FALSE)*G460)</f>
        <v/>
      </c>
      <c r="V460" s="78" t="str">
        <f>IF(NOT(ISNUMBER(G460)), "", VLOOKUP(A460,'Discount Lookup'!G:H,2,FALSE)*G460)</f>
        <v/>
      </c>
      <c r="W460" s="102">
        <f t="shared" si="307"/>
        <v>0</v>
      </c>
      <c r="X460" s="102" t="str">
        <f t="shared" si="308"/>
        <v>Yellow bloom</v>
      </c>
      <c r="Y460" s="120" t="b">
        <f t="shared" si="309"/>
        <v>0</v>
      </c>
      <c r="Z460" s="117">
        <f t="shared" si="310"/>
        <v>0</v>
      </c>
      <c r="AA460" s="118"/>
      <c r="AB460" s="118" t="str">
        <f t="shared" si="311"/>
        <v/>
      </c>
      <c r="AC460" s="712" t="str">
        <f>IF(AE460="T2G","no charge",IF(AND(OR(PlanterYesMe="No",PlanterYesMe="N",PlanterYesMe="me"),H460=""),"",IF(H460="credit","NO install",IF(AND(K460="",AE460="me"),"EACH row",IF(AND(K460="images",AE460="me"),"EACH row",IF(D460="","",IF(H460="credit","",IF(AE460="free","re-planting",IF(AE460="me","   not ELP, by",IF(AND(OR(PlanterYesMe="Yes",PlanterYesMe="Y"),G460&gt;0),(VLOOKUP(A460,'Discount Lookup'!J:K,2)*G460*(1-PlanterDiscount)*(1+PlanterDifficultyPercentage)),IF(AE460="ELP",(VLOOKUP(A460,'Discount Lookup'!J:K,2)*G460*(1-PlanterDiscount)*(1+PlanterDifficultyPercentage)),IF(AE460="free","re-planting",IF(G460=0,"",IF(PlanterYesMe="",IF(AE460="me","   not ELP, by",IF(AE460="",IF(G460&gt;0,(VLOOKUP(A460,'Discount Lookup'!J:K,2)*G460*(1-PlanterDiscount)*(1+PlanterDifficultyPercentage)),""),"")),"   not ELP, by"))))))))))))))</f>
        <v/>
      </c>
      <c r="AD460" s="712"/>
      <c r="AE460" s="513" t="str">
        <f t="shared" si="312"/>
        <v/>
      </c>
      <c r="AF460" s="713" t="str">
        <f t="shared" si="313"/>
        <v/>
      </c>
      <c r="AG460" s="713"/>
      <c r="AH460" s="713"/>
      <c r="AI460" s="112">
        <f>IF(H460="credit",0,IF(AE460="free",0,IF(AE460="me",0,IF(G460&gt;0,(VLOOKUP(A460,'Discount Lookup'!J:K,2)*G460),0))))</f>
        <v>0</v>
      </c>
      <c r="AJ460" s="107" t="str">
        <f t="shared" ca="1" si="314"/>
        <v/>
      </c>
      <c r="AK460" s="714" t="str">
        <f t="shared" si="315"/>
        <v/>
      </c>
      <c r="AL460" s="714"/>
      <c r="AM460" s="114" t="str">
        <f t="shared" si="316"/>
        <v/>
      </c>
      <c r="AN460" s="115"/>
      <c r="AO460" s="116"/>
      <c r="AP460" s="116"/>
      <c r="AQ460" s="116"/>
      <c r="AR460" s="116"/>
      <c r="AS460" s="116"/>
      <c r="AT460" s="116"/>
      <c r="AU460" s="116"/>
      <c r="AV460" s="78"/>
      <c r="AW460" s="102"/>
      <c r="AX460" s="78"/>
      <c r="AY460" s="78"/>
      <c r="AZ460" s="78"/>
      <c r="BA460" s="78"/>
      <c r="BB460" s="78"/>
      <c r="BC460" s="78"/>
      <c r="BD460" s="78"/>
      <c r="BE460" s="465"/>
      <c r="BF460" s="165" t="str">
        <f t="shared" si="317"/>
        <v>https://www.google.com/search?tbm=isch&amp;q=Berberis%20thunbergii%20%27Aurea%27%20Golden%20Barberry</v>
      </c>
      <c r="BG460" s="165" t="str">
        <f t="shared" si="318"/>
        <v>B</v>
      </c>
      <c r="BH460" s="65"/>
      <c r="BI460" s="65"/>
      <c r="BJ460" s="65"/>
      <c r="BK460" s="65"/>
      <c r="BL460" s="99"/>
      <c r="BM460" s="99"/>
      <c r="BN460" s="99"/>
    </row>
    <row r="461" spans="1:66" s="51" customFormat="1" ht="15.75" x14ac:dyDescent="0.25">
      <c r="A461" s="634">
        <v>3</v>
      </c>
      <c r="B461" s="635" t="s">
        <v>291</v>
      </c>
      <c r="C461" s="636" t="s">
        <v>337</v>
      </c>
      <c r="D461" s="637" t="s">
        <v>310</v>
      </c>
      <c r="E461" s="638">
        <v>25.95</v>
      </c>
      <c r="F461" s="639" t="s">
        <v>292</v>
      </c>
      <c r="G461" s="484">
        <v>0</v>
      </c>
      <c r="H461" s="691" t="str">
        <f>IF(G461=0,"",IF(F461="Buy",IF(G461=1,"plant","plants"),IF(F461&gt;0.01,"warranty","Error")))</f>
        <v/>
      </c>
      <c r="I461" s="640">
        <f>IF(H461="free",0,IF(H461="credit",((E461*(F461))*G461*-1),IF(F461="Buy",(E461*G461),((E461*(1-F461))*G461))))</f>
        <v>0</v>
      </c>
      <c r="J461" s="640">
        <f>IF(H461="warranty",0,(I461*(_xlfn.SINGLE(SalesTaxPercentage))))</f>
        <v>0</v>
      </c>
      <c r="K461" s="716">
        <f t="shared" ref="K461" si="343">I461+J461</f>
        <v>0</v>
      </c>
      <c r="L461" s="716"/>
      <c r="M461" s="689" t="str">
        <f ca="1">IF(AND(G461&gt;0,E461=0),"WARNING - no PRICE inserted",IF(H461="free","FREE ~ no charge this plant",IF(H461="credit",CONCATENATE("-$",ROUND(K461*(1-_xlfn.SINGLE(T2GDiscount))*-1,2)," CREDIT after discount"),IF(_xlfn.SINGLE(T2GDiscount)=0,"",IF(G461=0,"",IF(F461="Buy",CONCATENATE("$",ROUND(K461*(1-_xlfn.SINGLE(T2GDiscount)),2)," with ",(_xlfn.SINGLE(T2GDiscount)*100),"% discount"),CONCATENATE("$",ROUND(K461*(1-_xlfn.SINGLE(T2GDiscount)),2)," with ",((_xlfn.SINGLE(T2GDiscount)*100+F461*100)-(_xlfn.SINGLE(T2GDiscount)*100*F461)),IF(F461&gt;0,"% discounts",IF(_xlfn.SINGLE(NoWarrantyDiscount)&gt;0,"% discounts","% discount")))))))))</f>
        <v/>
      </c>
      <c r="N461" s="690"/>
      <c r="O461" s="486"/>
      <c r="P461" s="486"/>
      <c r="Q461" s="486"/>
      <c r="R461" s="486"/>
      <c r="S461" s="486"/>
      <c r="T461" s="102">
        <f t="shared" si="306"/>
        <v>0</v>
      </c>
      <c r="U461" s="78">
        <f>IF(NOT(ISNUMBER(G461)), "", VLOOKUP(A461,'Discount Lookup'!D:E,2,FALSE)*G461)</f>
        <v>0</v>
      </c>
      <c r="V461" s="78">
        <f>IF(NOT(ISNUMBER(G461)), "", VLOOKUP(A461,'Discount Lookup'!G:H,2,FALSE)*G461)</f>
        <v>0</v>
      </c>
      <c r="W461" s="102">
        <f t="shared" si="307"/>
        <v>0</v>
      </c>
      <c r="X461" s="102">
        <f t="shared" si="308"/>
        <v>0</v>
      </c>
      <c r="Y461" s="120" t="b">
        <f t="shared" si="309"/>
        <v>0</v>
      </c>
      <c r="Z461" s="117">
        <f t="shared" si="310"/>
        <v>0</v>
      </c>
      <c r="AA461" s="118"/>
      <c r="AB461" s="118" t="str">
        <f t="shared" si="311"/>
        <v/>
      </c>
      <c r="AC461" s="712" t="str">
        <f>IF(AE461="T2G","no charge",IF(AND(OR(PlanterYesMe="No",PlanterYesMe="N",PlanterYesMe="me"),H461=""),"",IF(H461="credit","NO install",IF(AND(K461="",AE461="me"),"EACH row",IF(AND(K461="images",AE461="me"),"EACH row",IF(D461="","",IF(H461="credit","",IF(AE461="free","re-planting",IF(AE461="me","   not ELP, by",IF(AND(OR(PlanterYesMe="Yes",PlanterYesMe="Y"),G461&gt;0),(VLOOKUP(A461,'Discount Lookup'!J:K,2)*G461*(1-PlanterDiscount)*(1+PlanterDifficultyPercentage)),IF(AE461="ELP",(VLOOKUP(A461,'Discount Lookup'!J:K,2)*G461*(1-PlanterDiscount)*(1+PlanterDifficultyPercentage)),IF(AE461="free","re-planting",IF(G461=0,"",IF(PlanterYesMe="",IF(AE461="me","   not ELP, by",IF(AE461="",IF(G461&gt;0,(VLOOKUP(A461,'Discount Lookup'!J:K,2)*G461*(1-PlanterDiscount)*(1+PlanterDifficultyPercentage)),""),"")),"   not ELP, by"))))))))))))))</f>
        <v/>
      </c>
      <c r="AD461" s="712"/>
      <c r="AE461" s="513" t="str">
        <f t="shared" si="312"/>
        <v/>
      </c>
      <c r="AF461" s="713" t="str">
        <f t="shared" si="313"/>
        <v/>
      </c>
      <c r="AG461" s="713"/>
      <c r="AH461" s="713"/>
      <c r="AI461" s="112">
        <f>IF(H461="credit",0,IF(AE461="free",0,IF(AE461="me",0,IF(G461&gt;0,(VLOOKUP(A461,'Discount Lookup'!J:K,2)*G461),0))))</f>
        <v>0</v>
      </c>
      <c r="AJ461" s="107" t="str">
        <f t="shared" ca="1" si="314"/>
        <v/>
      </c>
      <c r="AK461" s="714" t="str">
        <f t="shared" si="315"/>
        <v/>
      </c>
      <c r="AL461" s="714"/>
      <c r="AM461" s="114" t="str">
        <f t="shared" si="316"/>
        <v/>
      </c>
      <c r="AN461" s="115"/>
      <c r="AO461" s="116"/>
      <c r="AP461" s="116"/>
      <c r="AQ461" s="116"/>
      <c r="AR461" s="116"/>
      <c r="AS461" s="116"/>
      <c r="AT461" s="116"/>
      <c r="AU461" s="116"/>
      <c r="AV461" s="78"/>
      <c r="AW461" s="102"/>
      <c r="AX461" s="78"/>
      <c r="AY461" s="78"/>
      <c r="AZ461" s="78"/>
      <c r="BA461" s="78"/>
      <c r="BB461" s="78"/>
      <c r="BC461" s="78"/>
      <c r="BD461" s="78"/>
      <c r="BE461" s="465"/>
      <c r="BF461" s="165" t="str">
        <f t="shared" si="317"/>
        <v>https://www.google.com/search?tbm=isch&amp;q=3%20G1</v>
      </c>
      <c r="BG461" s="165" t="str">
        <f t="shared" si="318"/>
        <v>B</v>
      </c>
      <c r="BH461" s="65"/>
      <c r="BI461" s="65"/>
      <c r="BJ461" s="65"/>
      <c r="BK461" s="65"/>
      <c r="BL461" s="99"/>
      <c r="BM461" s="99"/>
      <c r="BN461" s="99"/>
    </row>
    <row r="462" spans="1:66" s="51" customFormat="1" ht="15.75" x14ac:dyDescent="0.25">
      <c r="A462" s="634">
        <v>3</v>
      </c>
      <c r="B462" s="635" t="s">
        <v>291</v>
      </c>
      <c r="C462" s="636" t="s">
        <v>1561</v>
      </c>
      <c r="D462" s="637" t="s">
        <v>309</v>
      </c>
      <c r="E462" s="638">
        <v>26.95</v>
      </c>
      <c r="F462" s="639" t="s">
        <v>292</v>
      </c>
      <c r="G462" s="484">
        <v>0</v>
      </c>
      <c r="H462" s="691" t="str">
        <f>IF(G462=0,"",IF(F462="Buy",IF(G462=1,"plant","plants"),IF(F462&gt;0.01,"warranty","Error")))</f>
        <v/>
      </c>
      <c r="I462" s="640">
        <f>IF(H462="free",0,IF(H462="credit",((E462*(F462))*G462*-1),IF(F462="Buy",(E462*G462),((E462*(1-F462))*G462))))</f>
        <v>0</v>
      </c>
      <c r="J462" s="640">
        <f>IF(H462="warranty",0,(I462*(_xlfn.SINGLE(SalesTaxPercentage))))</f>
        <v>0</v>
      </c>
      <c r="K462" s="716">
        <f t="shared" ref="K462" si="344">I462+J462</f>
        <v>0</v>
      </c>
      <c r="L462" s="716"/>
      <c r="M462" s="689" t="str">
        <f ca="1">IF(AND(G462&gt;0,E462=0),"WARNING - no PRICE inserted",IF(H462="free","FREE ~ no charge this plant",IF(H462="credit",CONCATENATE("-$",ROUND(K462*(1-_xlfn.SINGLE(T2GDiscount))*-1,2)," CREDIT after discount"),IF(_xlfn.SINGLE(T2GDiscount)=0,"",IF(G462=0,"",IF(F462="Buy",CONCATENATE("$",ROUND(K462*(1-_xlfn.SINGLE(T2GDiscount)),2)," with ",(_xlfn.SINGLE(T2GDiscount)*100),"% discount"),CONCATENATE("$",ROUND(K462*(1-_xlfn.SINGLE(T2GDiscount)),2)," with ",((_xlfn.SINGLE(T2GDiscount)*100+F462*100)-(_xlfn.SINGLE(T2GDiscount)*100*F462)),IF(F462&gt;0,"% discounts",IF(_xlfn.SINGLE(NoWarrantyDiscount)&gt;0,"% discounts","% discount")))))))))</f>
        <v/>
      </c>
      <c r="N462" s="690"/>
      <c r="O462" s="486"/>
      <c r="P462" s="486"/>
      <c r="Q462" s="486"/>
      <c r="R462" s="486"/>
      <c r="S462" s="486"/>
      <c r="T462" s="102">
        <f t="shared" si="306"/>
        <v>0</v>
      </c>
      <c r="U462" s="78">
        <f>IF(NOT(ISNUMBER(G462)), "", VLOOKUP(A462,'Discount Lookup'!D:E,2,FALSE)*G462)</f>
        <v>0</v>
      </c>
      <c r="V462" s="78">
        <f>IF(NOT(ISNUMBER(G462)), "", VLOOKUP(A462,'Discount Lookup'!G:H,2,FALSE)*G462)</f>
        <v>0</v>
      </c>
      <c r="W462" s="102">
        <f t="shared" si="307"/>
        <v>0</v>
      </c>
      <c r="X462" s="102">
        <f t="shared" si="308"/>
        <v>0</v>
      </c>
      <c r="Y462" s="120" t="b">
        <f t="shared" si="309"/>
        <v>0</v>
      </c>
      <c r="Z462" s="117">
        <f t="shared" si="310"/>
        <v>0</v>
      </c>
      <c r="AA462" s="118"/>
      <c r="AB462" s="118" t="str">
        <f t="shared" si="311"/>
        <v/>
      </c>
      <c r="AC462" s="712" t="str">
        <f>IF(AE462="T2G","no charge",IF(AND(OR(PlanterYesMe="No",PlanterYesMe="N",PlanterYesMe="me"),H462=""),"",IF(H462="credit","NO install",IF(AND(K462="",AE462="me"),"EACH row",IF(AND(K462="images",AE462="me"),"EACH row",IF(D462="","",IF(H462="credit","",IF(AE462="free","re-planting",IF(AE462="me","   not ELP, by",IF(AND(OR(PlanterYesMe="Yes",PlanterYesMe="Y"),G462&gt;0),(VLOOKUP(A462,'Discount Lookup'!J:K,2)*G462*(1-PlanterDiscount)*(1+PlanterDifficultyPercentage)),IF(AE462="ELP",(VLOOKUP(A462,'Discount Lookup'!J:K,2)*G462*(1-PlanterDiscount)*(1+PlanterDifficultyPercentage)),IF(AE462="free","re-planting",IF(G462=0,"",IF(PlanterYesMe="",IF(AE462="me","   not ELP, by",IF(AE462="",IF(G462&gt;0,(VLOOKUP(A462,'Discount Lookup'!J:K,2)*G462*(1-PlanterDiscount)*(1+PlanterDifficultyPercentage)),""),"")),"   not ELP, by"))))))))))))))</f>
        <v/>
      </c>
      <c r="AD462" s="712"/>
      <c r="AE462" s="513" t="str">
        <f t="shared" si="312"/>
        <v/>
      </c>
      <c r="AF462" s="713" t="str">
        <f t="shared" si="313"/>
        <v/>
      </c>
      <c r="AG462" s="713"/>
      <c r="AH462" s="713"/>
      <c r="AI462" s="112">
        <f>IF(H462="credit",0,IF(AE462="free",0,IF(AE462="me",0,IF(G462&gt;0,(VLOOKUP(A462,'Discount Lookup'!J:K,2)*G462),0))))</f>
        <v>0</v>
      </c>
      <c r="AJ462" s="107" t="str">
        <f t="shared" ca="1" si="314"/>
        <v/>
      </c>
      <c r="AK462" s="714" t="str">
        <f t="shared" si="315"/>
        <v/>
      </c>
      <c r="AL462" s="714"/>
      <c r="AM462" s="114" t="str">
        <f t="shared" si="316"/>
        <v/>
      </c>
      <c r="AN462" s="115"/>
      <c r="AO462" s="116"/>
      <c r="AP462" s="116"/>
      <c r="AQ462" s="116"/>
      <c r="AR462" s="116"/>
      <c r="AS462" s="116"/>
      <c r="AT462" s="116"/>
      <c r="AU462" s="116"/>
      <c r="AV462" s="78"/>
      <c r="AW462" s="102"/>
      <c r="AX462" s="78"/>
      <c r="AY462" s="78"/>
      <c r="AZ462" s="78"/>
      <c r="BA462" s="78"/>
      <c r="BB462" s="78"/>
      <c r="BC462" s="78"/>
      <c r="BD462" s="78"/>
      <c r="BE462" s="465"/>
      <c r="BF462" s="165" t="str">
        <f t="shared" si="317"/>
        <v>https://www.google.com/search?tbm=isch&amp;q=3%20G3</v>
      </c>
      <c r="BG462" s="165" t="str">
        <f t="shared" si="318"/>
        <v>B</v>
      </c>
      <c r="BH462" s="65"/>
      <c r="BI462" s="65"/>
      <c r="BJ462" s="65"/>
      <c r="BK462" s="65"/>
      <c r="BL462" s="99"/>
      <c r="BM462" s="99"/>
      <c r="BN462" s="99"/>
    </row>
    <row r="463" spans="1:66" s="51" customFormat="1" ht="17.25" thickBot="1" x14ac:dyDescent="0.3">
      <c r="A463" s="641" t="s">
        <v>1562</v>
      </c>
      <c r="B463" s="642"/>
      <c r="C463" s="710"/>
      <c r="D463" s="643"/>
      <c r="E463" s="643"/>
      <c r="F463" s="644"/>
      <c r="G463" s="645"/>
      <c r="H463" s="646"/>
      <c r="I463" s="647"/>
      <c r="J463" s="648"/>
      <c r="K463" s="649"/>
      <c r="L463" s="650"/>
      <c r="M463" s="650"/>
      <c r="N463" s="644"/>
      <c r="O463" s="644"/>
      <c r="P463" s="644"/>
      <c r="Q463" s="644"/>
      <c r="R463" s="644"/>
      <c r="S463" s="651"/>
      <c r="T463" s="102">
        <f t="shared" si="306"/>
        <v>0</v>
      </c>
      <c r="U463" s="78" t="str">
        <f>IF(NOT(ISNUMBER(G463)), "", VLOOKUP(A463,'Discount Lookup'!D:E,2,FALSE)*G463)</f>
        <v/>
      </c>
      <c r="V463" s="78" t="str">
        <f>IF(NOT(ISNUMBER(G463)), "", VLOOKUP(A463,'Discount Lookup'!G:H,2,FALSE)*G463)</f>
        <v/>
      </c>
      <c r="W463" s="102">
        <f t="shared" si="307"/>
        <v>0</v>
      </c>
      <c r="X463" s="102">
        <f t="shared" si="308"/>
        <v>0</v>
      </c>
      <c r="Y463" s="120" t="b">
        <f t="shared" si="309"/>
        <v>0</v>
      </c>
      <c r="Z463" s="117">
        <f t="shared" si="310"/>
        <v>0</v>
      </c>
      <c r="AA463" s="118"/>
      <c r="AB463" s="118" t="str">
        <f t="shared" si="311"/>
        <v/>
      </c>
      <c r="AC463" s="712" t="str">
        <f>IF(AE463="T2G","no charge",IF(AND(OR(PlanterYesMe="No",PlanterYesMe="N",PlanterYesMe="me"),H463=""),"",IF(H463="credit","NO install",IF(AND(K463="",AE463="me"),"EACH row",IF(AND(K463="images",AE463="me"),"EACH row",IF(D463="","",IF(H463="credit","",IF(AE463="free","re-planting",IF(AE463="me","   not ELP, by",IF(AND(OR(PlanterYesMe="Yes",PlanterYesMe="Y"),G463&gt;0),(VLOOKUP(A463,'Discount Lookup'!J:K,2)*G463*(1-PlanterDiscount)*(1+PlanterDifficultyPercentage)),IF(AE463="ELP",(VLOOKUP(A463,'Discount Lookup'!J:K,2)*G463*(1-PlanterDiscount)*(1+PlanterDifficultyPercentage)),IF(AE463="free","re-planting",IF(G463=0,"",IF(PlanterYesMe="",IF(AE463="me","   not ELP, by",IF(AE463="",IF(G463&gt;0,(VLOOKUP(A463,'Discount Lookup'!J:K,2)*G463*(1-PlanterDiscount)*(1+PlanterDifficultyPercentage)),""),"")),"   not ELP, by"))))))))))))))</f>
        <v/>
      </c>
      <c r="AD463" s="712"/>
      <c r="AE463" s="513" t="str">
        <f t="shared" si="312"/>
        <v/>
      </c>
      <c r="AF463" s="713" t="str">
        <f t="shared" si="313"/>
        <v/>
      </c>
      <c r="AG463" s="713"/>
      <c r="AH463" s="713"/>
      <c r="AI463" s="112">
        <f>IF(H463="credit",0,IF(AE463="free",0,IF(AE463="me",0,IF(G463&gt;0,(VLOOKUP(A463,'Discount Lookup'!J:K,2)*G463),0))))</f>
        <v>0</v>
      </c>
      <c r="AJ463" s="107" t="str">
        <f t="shared" ca="1" si="314"/>
        <v/>
      </c>
      <c r="AK463" s="714" t="str">
        <f t="shared" si="315"/>
        <v/>
      </c>
      <c r="AL463" s="714"/>
      <c r="AM463" s="114" t="str">
        <f t="shared" si="316"/>
        <v/>
      </c>
      <c r="AN463" s="115"/>
      <c r="AO463" s="116"/>
      <c r="AP463" s="116"/>
      <c r="AQ463" s="116"/>
      <c r="AR463" s="116"/>
      <c r="AS463" s="116"/>
      <c r="AT463" s="116"/>
      <c r="AU463" s="116"/>
      <c r="AV463" s="78"/>
      <c r="AW463" s="102"/>
      <c r="AX463" s="78"/>
      <c r="AY463" s="78"/>
      <c r="AZ463" s="78"/>
      <c r="BA463" s="78"/>
      <c r="BB463" s="78"/>
      <c r="BC463" s="78"/>
      <c r="BD463" s="78"/>
      <c r="BE463" s="465"/>
      <c r="BF463" s="165" t="str">
        <f t="shared" si="317"/>
        <v>https://www.google.com/search?tbm=isch&amp;q=Golden%20Barberry%20is%20sharp%2C%20beware.%20Foliage%20emerges%20bright%20yellow%2C%20then%20turns%20to%20a%20green%20late%20summer%20</v>
      </c>
      <c r="BG463" s="165" t="str">
        <f t="shared" si="318"/>
        <v>G</v>
      </c>
      <c r="BH463" s="65"/>
      <c r="BI463" s="65"/>
      <c r="BJ463" s="65"/>
      <c r="BK463" s="65"/>
      <c r="BL463" s="99"/>
      <c r="BM463" s="99"/>
      <c r="BN463" s="99"/>
    </row>
    <row r="464" spans="1:66" s="51" customFormat="1" ht="18" x14ac:dyDescent="0.25">
      <c r="A464" s="623" t="s">
        <v>1563</v>
      </c>
      <c r="B464" s="624"/>
      <c r="C464" s="709"/>
      <c r="D464" s="625" t="s">
        <v>1564</v>
      </c>
      <c r="E464" s="626"/>
      <c r="F464" s="626"/>
      <c r="G464" s="626"/>
      <c r="H464" s="622" t="s">
        <v>1088</v>
      </c>
      <c r="I464" s="627" t="s">
        <v>1441</v>
      </c>
      <c r="J464" s="628"/>
      <c r="K464" s="628"/>
      <c r="L464" s="629"/>
      <c r="M464" s="700" t="s">
        <v>5249</v>
      </c>
      <c r="N464" s="693" t="str">
        <f>IF(AND(ISTEXT($A464), ISERROR($A464+0)), HYPERLINK($BF464, "Images"), "")</f>
        <v>Images</v>
      </c>
      <c r="O464" s="695" t="s">
        <v>5244</v>
      </c>
      <c r="P464" s="630"/>
      <c r="Q464" s="631"/>
      <c r="R464" s="632"/>
      <c r="S464" s="633"/>
      <c r="T464" s="102">
        <f t="shared" si="306"/>
        <v>0</v>
      </c>
      <c r="U464" s="78" t="str">
        <f>IF(NOT(ISNUMBER(G464)), "", VLOOKUP(A464,'Discount Lookup'!D:E,2,FALSE)*G464)</f>
        <v/>
      </c>
      <c r="V464" s="78" t="str">
        <f>IF(NOT(ISNUMBER(G464)), "", VLOOKUP(A464,'Discount Lookup'!G:H,2,FALSE)*G464)</f>
        <v/>
      </c>
      <c r="W464" s="102">
        <f t="shared" si="307"/>
        <v>0</v>
      </c>
      <c r="X464" s="102" t="str">
        <f t="shared" si="308"/>
        <v>Yellow bloom</v>
      </c>
      <c r="Y464" s="120" t="b">
        <f t="shared" si="309"/>
        <v>0</v>
      </c>
      <c r="Z464" s="117">
        <f t="shared" si="310"/>
        <v>0</v>
      </c>
      <c r="AA464" s="118"/>
      <c r="AB464" s="118" t="str">
        <f t="shared" si="311"/>
        <v/>
      </c>
      <c r="AC464" s="712" t="str">
        <f>IF(AE464="T2G","no charge",IF(AND(OR(PlanterYesMe="No",PlanterYesMe="N",PlanterYesMe="me"),H464=""),"",IF(H464="credit","NO install",IF(AND(K464="",AE464="me"),"EACH row",IF(AND(K464="images",AE464="me"),"EACH row",IF(D464="","",IF(H464="credit","",IF(AE464="free","re-planting",IF(AE464="me","   not ELP, by",IF(AND(OR(PlanterYesMe="Yes",PlanterYesMe="Y"),G464&gt;0),(VLOOKUP(A464,'Discount Lookup'!J:K,2)*G464*(1-PlanterDiscount)*(1+PlanterDifficultyPercentage)),IF(AE464="ELP",(VLOOKUP(A464,'Discount Lookup'!J:K,2)*G464*(1-PlanterDiscount)*(1+PlanterDifficultyPercentage)),IF(AE464="free","re-planting",IF(G464=0,"",IF(PlanterYesMe="",IF(AE464="me","   not ELP, by",IF(AE464="",IF(G464&gt;0,(VLOOKUP(A464,'Discount Lookup'!J:K,2)*G464*(1-PlanterDiscount)*(1+PlanterDifficultyPercentage)),""),"")),"   not ELP, by"))))))))))))))</f>
        <v/>
      </c>
      <c r="AD464" s="712"/>
      <c r="AE464" s="513" t="str">
        <f t="shared" si="312"/>
        <v/>
      </c>
      <c r="AF464" s="713" t="str">
        <f t="shared" si="313"/>
        <v/>
      </c>
      <c r="AG464" s="713"/>
      <c r="AH464" s="713"/>
      <c r="AI464" s="112">
        <f>IF(H464="credit",0,IF(AE464="free",0,IF(AE464="me",0,IF(G464&gt;0,(VLOOKUP(A464,'Discount Lookup'!J:K,2)*G464),0))))</f>
        <v>0</v>
      </c>
      <c r="AJ464" s="107" t="str">
        <f t="shared" ca="1" si="314"/>
        <v/>
      </c>
      <c r="AK464" s="714" t="str">
        <f t="shared" si="315"/>
        <v/>
      </c>
      <c r="AL464" s="714"/>
      <c r="AM464" s="114" t="str">
        <f t="shared" si="316"/>
        <v/>
      </c>
      <c r="AN464" s="115"/>
      <c r="AO464" s="116"/>
      <c r="AP464" s="116"/>
      <c r="AQ464" s="116"/>
      <c r="AR464" s="116"/>
      <c r="AS464" s="116"/>
      <c r="AT464" s="116"/>
      <c r="AU464" s="116"/>
      <c r="AV464" s="78"/>
      <c r="AW464" s="102"/>
      <c r="AX464" s="78"/>
      <c r="AY464" s="78"/>
      <c r="AZ464" s="78"/>
      <c r="BA464" s="78"/>
      <c r="BB464" s="78"/>
      <c r="BC464" s="78"/>
      <c r="BD464" s="78"/>
      <c r="BE464" s="465"/>
      <c r="BF464" s="165" t="str">
        <f t="shared" si="317"/>
        <v>https://www.google.com/search?tbm=isch&amp;q=Berberis%20thunbergii%20%27Crimson%20Pygmy%27%20Crimson%20Pygmy%20Barberry</v>
      </c>
      <c r="BG464" s="165" t="str">
        <f t="shared" si="318"/>
        <v>B</v>
      </c>
      <c r="BH464" s="65"/>
      <c r="BI464" s="65"/>
      <c r="BJ464" s="65"/>
      <c r="BK464" s="65"/>
      <c r="BL464" s="99"/>
      <c r="BM464" s="99"/>
      <c r="BN464" s="99"/>
    </row>
    <row r="465" spans="1:66" s="51" customFormat="1" ht="15.75" x14ac:dyDescent="0.25">
      <c r="A465" s="634">
        <v>3</v>
      </c>
      <c r="B465" s="635" t="s">
        <v>291</v>
      </c>
      <c r="C465" s="636" t="s">
        <v>1565</v>
      </c>
      <c r="D465" s="637" t="s">
        <v>309</v>
      </c>
      <c r="E465" s="638">
        <v>24.95</v>
      </c>
      <c r="F465" s="639" t="s">
        <v>292</v>
      </c>
      <c r="G465" s="484">
        <v>0</v>
      </c>
      <c r="H465" s="691" t="str">
        <f>IF(G465=0,"",IF(F465="Buy",IF(G465=1,"plant","plants"),IF(F465&gt;0.01,"warranty","Error")))</f>
        <v/>
      </c>
      <c r="I465" s="640">
        <f>IF(H465="free",0,IF(H465="credit",((E465*(F465))*G465*-1),IF(F465="Buy",(E465*G465),((E465*(1-F465))*G465))))</f>
        <v>0</v>
      </c>
      <c r="J465" s="640">
        <f>IF(H465="warranty",0,(I465*(_xlfn.SINGLE(SalesTaxPercentage))))</f>
        <v>0</v>
      </c>
      <c r="K465" s="716">
        <f t="shared" ref="K465" si="345">I465+J465</f>
        <v>0</v>
      </c>
      <c r="L465" s="716"/>
      <c r="M465" s="689" t="str">
        <f ca="1">IF(AND(G465&gt;0,E465=0),"WARNING - no PRICE inserted",IF(H465="free","FREE ~ no charge this plant",IF(H465="credit",CONCATENATE("-$",ROUND(K465*(1-_xlfn.SINGLE(T2GDiscount))*-1,2)," CREDIT after discount"),IF(_xlfn.SINGLE(T2GDiscount)=0,"",IF(G465=0,"",IF(F465="Buy",CONCATENATE("$",ROUND(K465*(1-_xlfn.SINGLE(T2GDiscount)),2)," with ",(_xlfn.SINGLE(T2GDiscount)*100),"% discount"),CONCATENATE("$",ROUND(K465*(1-_xlfn.SINGLE(T2GDiscount)),2)," with ",((_xlfn.SINGLE(T2GDiscount)*100+F465*100)-(_xlfn.SINGLE(T2GDiscount)*100*F465)),IF(F465&gt;0,"% discounts",IF(_xlfn.SINGLE(NoWarrantyDiscount)&gt;0,"% discounts","% discount")))))))))</f>
        <v/>
      </c>
      <c r="N465" s="690"/>
      <c r="O465" s="486"/>
      <c r="P465" s="486"/>
      <c r="Q465" s="486"/>
      <c r="R465" s="486"/>
      <c r="S465" s="486"/>
      <c r="T465" s="102">
        <f t="shared" ref="T465:T528" si="346">E465*G465</f>
        <v>0</v>
      </c>
      <c r="U465" s="78">
        <f>IF(NOT(ISNUMBER(G465)), "", VLOOKUP(A465,'Discount Lookup'!D:E,2,FALSE)*G465)</f>
        <v>0</v>
      </c>
      <c r="V465" s="78">
        <f>IF(NOT(ISNUMBER(G465)), "", VLOOKUP(A465,'Discount Lookup'!G:H,2,FALSE)*G465)</f>
        <v>0</v>
      </c>
      <c r="W465" s="102">
        <f t="shared" ref="W465:W528" si="347">IF(H465="credit",0,E465*(SalesTaxPercentage)*G465)</f>
        <v>0</v>
      </c>
      <c r="X465" s="102">
        <f t="shared" ref="X465:X528" si="348">I465</f>
        <v>0</v>
      </c>
      <c r="Y465" s="120" t="b">
        <f t="shared" ref="Y465:Y528" si="349">IF(AE465="T2G",0,IF(H465="credit",0,IF(G465&gt;0,IF(AE465="me","",G465))))</f>
        <v>0</v>
      </c>
      <c r="Z465" s="117">
        <f t="shared" ref="Z465:Z528" si="350">IF(H465="credit",G465,0)</f>
        <v>0</v>
      </c>
      <c r="AA465" s="118"/>
      <c r="AB465" s="118" t="str">
        <f t="shared" ref="AB465:AB528" si="351">IF(AE465="T2G","by Trees2Go",IF(H465="credit","CREDIT only ~",IF(AND(K465="",AE465=OR(PlanterYesMe="No",PlanterYesMe="N",PlanterYesMe="me")),"not THIS line⇨",IF(AND(K465="images",AE465="me"),"not THIS line⇨",IF(H465="credit","",IF(G465=0,"",IF(AE465="me","",IF(OR(PlanterYesMe="No",PlanterYesMe="N",PlanterYesMe="me"),"",IF(AE465="free","warranty",IF(OR(PlanterYesMe="yes",PlanterYesMe="y"),"Edison install:","to install:"))))))))))</f>
        <v/>
      </c>
      <c r="AC465" s="712" t="str">
        <f>IF(AE465="T2G","no charge",IF(AND(OR(PlanterYesMe="No",PlanterYesMe="N",PlanterYesMe="me"),H465=""),"",IF(H465="credit","NO install",IF(AND(K465="",AE465="me"),"EACH row",IF(AND(K465="images",AE465="me"),"EACH row",IF(D465="","",IF(H465="credit","",IF(AE465="free","re-planting",IF(AE465="me","   not ELP, by",IF(AND(OR(PlanterYesMe="Yes",PlanterYesMe="Y"),G465&gt;0),(VLOOKUP(A465,'Discount Lookup'!J:K,2)*G465*(1-PlanterDiscount)*(1+PlanterDifficultyPercentage)),IF(AE465="ELP",(VLOOKUP(A465,'Discount Lookup'!J:K,2)*G465*(1-PlanterDiscount)*(1+PlanterDifficultyPercentage)),IF(AE465="free","re-planting",IF(G465=0,"",IF(PlanterYesMe="",IF(AE465="me","   not ELP, by",IF(AE465="",IF(G465&gt;0,(VLOOKUP(A465,'Discount Lookup'!J:K,2)*G465*(1-PlanterDiscount)*(1+PlanterDifficultyPercentage)),""),"")),"   not ELP, by"))))))))))))))</f>
        <v/>
      </c>
      <c r="AD465" s="712"/>
      <c r="AE465" s="513" t="str">
        <f t="shared" ref="AE465:AE528" si="352">IF(H465="credit","",IF(G465=0,"",IF(OR(PlanterYesMe="No",PlanterYesMe="N",PlanterYesMe="me"),"me",IF(H465="warranty","free",IF(OR(PlanterYesMe="yes",PlanterYesMe="y"),"ELP","")))))</f>
        <v/>
      </c>
      <c r="AF465" s="713" t="str">
        <f t="shared" ref="AF465:AF528" si="353">IF(OR(PlanterYesMe="No",PlanterYesMe="N",PlanterYesMe="me"),"",IF(H465="credit","",IF(G465&gt;0,(CONCATENATE((G465)," quantity, ",(A465)," ",B465)),"")))</f>
        <v/>
      </c>
      <c r="AG465" s="713"/>
      <c r="AH465" s="713"/>
      <c r="AI465" s="112">
        <f>IF(H465="credit",0,IF(AE465="free",0,IF(AE465="me",0,IF(G465&gt;0,(VLOOKUP(A465,'Discount Lookup'!J:K,2)*G465),0))))</f>
        <v>0</v>
      </c>
      <c r="AJ465" s="107" t="str">
        <f t="shared" ref="AJ465:AJ528" ca="1" si="354">IF(AND(ISREF(H465),H465="credit"),"",IF(AND(AND(OFFSET(G465,0,0)=0,OFFSET(G465,1,0)&gt;0,ISNUMBER(OFFSET(AC465,1,0)),OFFSET(AC465,1,0)&gt;0),OR(PlanterYesMe="yes",PlanterYesMe="y")),"T2G+ELP=",IF(AND(OFFSET(G465,0,0)=0,OFFSET(G465,1,0)&gt;0,ISNUMBER(OFFSET(AC465,1,0)),OFFSET(AC465,1,0)&gt;0),"if T2G+ELP=",IF(AND(OFFSET(G465,0,0)=0,OFFSET(G465,1,0)&gt;0),"T2G Subtotal",IF(H465="credit","",IF(G465=0,"",IF(AE465="free",(K465*(1-T2GDiscount)),IF(OR(PlanterYesMe="No",PlanterYesMe="N",PlanterYesMe="me"),(K465*(1-T2GDiscount)),IF(OR(AE465="me",AE465="T2G"),(K465*(1-T2GDiscount)),(K465*(1-T2GDiscount))+AC465)))))))))</f>
        <v/>
      </c>
      <c r="AK465" s="714" t="str">
        <f t="shared" ref="AK465:AK528" si="355">IF(H465="credit","",IF(G465=0,"",IF(OR(AE465="me",AE465="T2G"),"  delivery-only",IF(OR(PlanterYesMe="No",PlanterYesMe="N",PlanterYesMe="me"),"  delivery-only",CONCATENATE(" $",ROUND(AJ465/G465,2)," each")))))</f>
        <v/>
      </c>
      <c r="AL465" s="714"/>
      <c r="AM465" s="114" t="str">
        <f t="shared" ref="AM465:AM528" si="356">IF(H465="credit","",IF(AE465="free","      ~ discounts included, no tax or planting fee applies ~",IF(G465=0,"",IF(OR(PlanterYesMe="No",PlanterYesMe="N",PlanterYesMe="me"),CONCATENATE(" $",ROUND(AJ465/G465,2)," per plant, with tax &amp; discount"),IF(OR(AE465="me",AE465="T2G"),CONCATENATE(" $",ROUND(AJ465/G465,2)," per plant, with tax &amp; discount"),CONCATENATE("= $",ROUND((K465*(1-T2GDiscount))/G465,2)," per plant + $",AC465/G465,(" per planting      ~ includes tax &amp; discounts ~")))))))</f>
        <v/>
      </c>
      <c r="AN465" s="115"/>
      <c r="AO465" s="116"/>
      <c r="AP465" s="116"/>
      <c r="AQ465" s="116"/>
      <c r="AR465" s="116"/>
      <c r="AS465" s="116"/>
      <c r="AT465" s="116"/>
      <c r="AU465" s="116"/>
      <c r="AV465" s="78"/>
      <c r="AW465" s="102"/>
      <c r="AX465" s="78"/>
      <c r="AY465" s="78"/>
      <c r="AZ465" s="78"/>
      <c r="BA465" s="78"/>
      <c r="BB465" s="78"/>
      <c r="BC465" s="78"/>
      <c r="BD465" s="78"/>
      <c r="BE465" s="465"/>
      <c r="BF465" s="165" t="str">
        <f t="shared" ref="BF465:BF528" si="357">"https://www.google.com/search?tbm=isch&amp;q=" &amp; _xlfn.ENCODEURL($A465 &amp; " " &amp; $D465)</f>
        <v>https://www.google.com/search?tbm=isch&amp;q=3%20G3</v>
      </c>
      <c r="BG465" s="165" t="str">
        <f t="shared" ref="BG465:BG528" si="358">IF(ISTEXT(A465),LEFT(A465,1),BG464)</f>
        <v>B</v>
      </c>
      <c r="BH465" s="65"/>
      <c r="BI465" s="65"/>
      <c r="BJ465" s="65"/>
      <c r="BK465" s="65"/>
      <c r="BL465" s="99"/>
      <c r="BM465" s="99"/>
      <c r="BN465" s="99"/>
    </row>
    <row r="466" spans="1:66" s="51" customFormat="1" ht="15.75" x14ac:dyDescent="0.25">
      <c r="A466" s="634">
        <v>3</v>
      </c>
      <c r="B466" s="635" t="s">
        <v>291</v>
      </c>
      <c r="C466" s="636" t="s">
        <v>345</v>
      </c>
      <c r="D466" s="637" t="s">
        <v>310</v>
      </c>
      <c r="E466" s="638">
        <v>25.95</v>
      </c>
      <c r="F466" s="639" t="s">
        <v>292</v>
      </c>
      <c r="G466" s="484">
        <v>0</v>
      </c>
      <c r="H466" s="691" t="str">
        <f>IF(G466=0,"",IF(F466="Buy",IF(G466=1,"plant","plants"),IF(F466&gt;0.01,"warranty","Error")))</f>
        <v/>
      </c>
      <c r="I466" s="640">
        <f>IF(H466="free",0,IF(H466="credit",((E466*(F466))*G466*-1),IF(F466="Buy",(E466*G466),((E466*(1-F466))*G466))))</f>
        <v>0</v>
      </c>
      <c r="J466" s="640">
        <f>IF(H466="warranty",0,(I466*(_xlfn.SINGLE(SalesTaxPercentage))))</f>
        <v>0</v>
      </c>
      <c r="K466" s="716">
        <f t="shared" ref="K466" si="359">I466+J466</f>
        <v>0</v>
      </c>
      <c r="L466" s="716"/>
      <c r="M466" s="689" t="str">
        <f ca="1">IF(AND(G466&gt;0,E466=0),"WARNING - no PRICE inserted",IF(H466="free","FREE ~ no charge this plant",IF(H466="credit",CONCATENATE("-$",ROUND(K466*(1-_xlfn.SINGLE(T2GDiscount))*-1,2)," CREDIT after discount"),IF(_xlfn.SINGLE(T2GDiscount)=0,"",IF(G466=0,"",IF(F466="Buy",CONCATENATE("$",ROUND(K466*(1-_xlfn.SINGLE(T2GDiscount)),2)," with ",(_xlfn.SINGLE(T2GDiscount)*100),"% discount"),CONCATENATE("$",ROUND(K466*(1-_xlfn.SINGLE(T2GDiscount)),2)," with ",((_xlfn.SINGLE(T2GDiscount)*100+F466*100)-(_xlfn.SINGLE(T2GDiscount)*100*F466)),IF(F466&gt;0,"% discounts",IF(_xlfn.SINGLE(NoWarrantyDiscount)&gt;0,"% discounts","% discount")))))))))</f>
        <v/>
      </c>
      <c r="N466" s="690"/>
      <c r="O466" s="486"/>
      <c r="P466" s="486"/>
      <c r="Q466" s="486"/>
      <c r="R466" s="486"/>
      <c r="S466" s="486"/>
      <c r="T466" s="102">
        <f t="shared" si="346"/>
        <v>0</v>
      </c>
      <c r="U466" s="78">
        <f>IF(NOT(ISNUMBER(G466)), "", VLOOKUP(A466,'Discount Lookup'!D:E,2,FALSE)*G466)</f>
        <v>0</v>
      </c>
      <c r="V466" s="78">
        <f>IF(NOT(ISNUMBER(G466)), "", VLOOKUP(A466,'Discount Lookup'!G:H,2,FALSE)*G466)</f>
        <v>0</v>
      </c>
      <c r="W466" s="102">
        <f t="shared" si="347"/>
        <v>0</v>
      </c>
      <c r="X466" s="102">
        <f t="shared" si="348"/>
        <v>0</v>
      </c>
      <c r="Y466" s="120" t="b">
        <f t="shared" si="349"/>
        <v>0</v>
      </c>
      <c r="Z466" s="117">
        <f t="shared" si="350"/>
        <v>0</v>
      </c>
      <c r="AA466" s="118"/>
      <c r="AB466" s="118" t="str">
        <f t="shared" si="351"/>
        <v/>
      </c>
      <c r="AC466" s="712" t="str">
        <f>IF(AE466="T2G","no charge",IF(AND(OR(PlanterYesMe="No",PlanterYesMe="N",PlanterYesMe="me"),H466=""),"",IF(H466="credit","NO install",IF(AND(K466="",AE466="me"),"EACH row",IF(AND(K466="images",AE466="me"),"EACH row",IF(D466="","",IF(H466="credit","",IF(AE466="free","re-planting",IF(AE466="me","   not ELP, by",IF(AND(OR(PlanterYesMe="Yes",PlanterYesMe="Y"),G466&gt;0),(VLOOKUP(A466,'Discount Lookup'!J:K,2)*G466*(1-PlanterDiscount)*(1+PlanterDifficultyPercentage)),IF(AE466="ELP",(VLOOKUP(A466,'Discount Lookup'!J:K,2)*G466*(1-PlanterDiscount)*(1+PlanterDifficultyPercentage)),IF(AE466="free","re-planting",IF(G466=0,"",IF(PlanterYesMe="",IF(AE466="me","   not ELP, by",IF(AE466="",IF(G466&gt;0,(VLOOKUP(A466,'Discount Lookup'!J:K,2)*G466*(1-PlanterDiscount)*(1+PlanterDifficultyPercentage)),""),"")),"   not ELP, by"))))))))))))))</f>
        <v/>
      </c>
      <c r="AD466" s="712"/>
      <c r="AE466" s="513" t="str">
        <f t="shared" si="352"/>
        <v/>
      </c>
      <c r="AF466" s="713" t="str">
        <f t="shared" si="353"/>
        <v/>
      </c>
      <c r="AG466" s="713"/>
      <c r="AH466" s="713"/>
      <c r="AI466" s="112">
        <f>IF(H466="credit",0,IF(AE466="free",0,IF(AE466="me",0,IF(G466&gt;0,(VLOOKUP(A466,'Discount Lookup'!J:K,2)*G466),0))))</f>
        <v>0</v>
      </c>
      <c r="AJ466" s="107" t="str">
        <f t="shared" ca="1" si="354"/>
        <v/>
      </c>
      <c r="AK466" s="714" t="str">
        <f t="shared" si="355"/>
        <v/>
      </c>
      <c r="AL466" s="714"/>
      <c r="AM466" s="114" t="str">
        <f t="shared" si="356"/>
        <v/>
      </c>
      <c r="AN466" s="115"/>
      <c r="AO466" s="116"/>
      <c r="AP466" s="116"/>
      <c r="AQ466" s="116"/>
      <c r="AR466" s="116"/>
      <c r="AS466" s="116"/>
      <c r="AT466" s="116"/>
      <c r="AU466" s="116"/>
      <c r="AV466" s="78"/>
      <c r="AW466" s="102"/>
      <c r="AX466" s="78"/>
      <c r="AY466" s="78"/>
      <c r="AZ466" s="78"/>
      <c r="BA466" s="78"/>
      <c r="BB466" s="78"/>
      <c r="BC466" s="78"/>
      <c r="BD466" s="78"/>
      <c r="BE466" s="465"/>
      <c r="BF466" s="165" t="str">
        <f t="shared" si="357"/>
        <v>https://www.google.com/search?tbm=isch&amp;q=3%20G1</v>
      </c>
      <c r="BG466" s="165" t="str">
        <f t="shared" si="358"/>
        <v>B</v>
      </c>
      <c r="BH466" s="65"/>
      <c r="BI466" s="65"/>
      <c r="BJ466" s="65"/>
      <c r="BK466" s="65"/>
      <c r="BL466" s="99"/>
      <c r="BM466" s="99"/>
      <c r="BN466" s="99"/>
    </row>
    <row r="467" spans="1:66" s="51" customFormat="1" ht="16.5" x14ac:dyDescent="0.25">
      <c r="A467" s="641" t="s">
        <v>1566</v>
      </c>
      <c r="B467" s="642"/>
      <c r="C467" s="710"/>
      <c r="D467" s="643"/>
      <c r="E467" s="643"/>
      <c r="F467" s="644"/>
      <c r="G467" s="645"/>
      <c r="H467" s="646"/>
      <c r="I467" s="647"/>
      <c r="J467" s="648"/>
      <c r="K467" s="649"/>
      <c r="L467" s="650"/>
      <c r="M467" s="650"/>
      <c r="N467" s="644"/>
      <c r="O467" s="644"/>
      <c r="P467" s="644"/>
      <c r="Q467" s="644"/>
      <c r="R467" s="644"/>
      <c r="S467" s="701" t="s">
        <v>5251</v>
      </c>
      <c r="T467" s="102">
        <f t="shared" si="346"/>
        <v>0</v>
      </c>
      <c r="U467" s="78" t="str">
        <f>IF(NOT(ISNUMBER(G467)), "", VLOOKUP(A467,'Discount Lookup'!D:E,2,FALSE)*G467)</f>
        <v/>
      </c>
      <c r="V467" s="78" t="str">
        <f>IF(NOT(ISNUMBER(G467)), "", VLOOKUP(A467,'Discount Lookup'!G:H,2,FALSE)*G467)</f>
        <v/>
      </c>
      <c r="W467" s="102">
        <f t="shared" si="347"/>
        <v>0</v>
      </c>
      <c r="X467" s="102">
        <f t="shared" si="348"/>
        <v>0</v>
      </c>
      <c r="Y467" s="120" t="b">
        <f t="shared" si="349"/>
        <v>0</v>
      </c>
      <c r="Z467" s="117">
        <f t="shared" si="350"/>
        <v>0</v>
      </c>
      <c r="AA467" s="118"/>
      <c r="AB467" s="118" t="str">
        <f t="shared" si="351"/>
        <v/>
      </c>
      <c r="AC467" s="712" t="str">
        <f>IF(AE467="T2G","no charge",IF(AND(OR(PlanterYesMe="No",PlanterYesMe="N",PlanterYesMe="me"),H467=""),"",IF(H467="credit","NO install",IF(AND(K467="",AE467="me"),"EACH row",IF(AND(K467="images",AE467="me"),"EACH row",IF(D467="","",IF(H467="credit","",IF(AE467="free","re-planting",IF(AE467="me","   not ELP, by",IF(AND(OR(PlanterYesMe="Yes",PlanterYesMe="Y"),G467&gt;0),(VLOOKUP(A467,'Discount Lookup'!J:K,2)*G467*(1-PlanterDiscount)*(1+PlanterDifficultyPercentage)),IF(AE467="ELP",(VLOOKUP(A467,'Discount Lookup'!J:K,2)*G467*(1-PlanterDiscount)*(1+PlanterDifficultyPercentage)),IF(AE467="free","re-planting",IF(G467=0,"",IF(PlanterYesMe="",IF(AE467="me","   not ELP, by",IF(AE467="",IF(G467&gt;0,(VLOOKUP(A467,'Discount Lookup'!J:K,2)*G467*(1-PlanterDiscount)*(1+PlanterDifficultyPercentage)),""),"")),"   not ELP, by"))))))))))))))</f>
        <v/>
      </c>
      <c r="AD467" s="712"/>
      <c r="AE467" s="513" t="str">
        <f t="shared" si="352"/>
        <v/>
      </c>
      <c r="AF467" s="713" t="str">
        <f t="shared" si="353"/>
        <v/>
      </c>
      <c r="AG467" s="713"/>
      <c r="AH467" s="713"/>
      <c r="AI467" s="112">
        <f>IF(H467="credit",0,IF(AE467="free",0,IF(AE467="me",0,IF(G467&gt;0,(VLOOKUP(A467,'Discount Lookup'!J:K,2)*G467),0))))</f>
        <v>0</v>
      </c>
      <c r="AJ467" s="107" t="str">
        <f t="shared" ca="1" si="354"/>
        <v/>
      </c>
      <c r="AK467" s="714" t="str">
        <f t="shared" si="355"/>
        <v/>
      </c>
      <c r="AL467" s="714"/>
      <c r="AM467" s="114" t="str">
        <f t="shared" si="356"/>
        <v/>
      </c>
      <c r="AN467" s="115"/>
      <c r="AO467" s="116"/>
      <c r="AP467" s="116"/>
      <c r="AQ467" s="116"/>
      <c r="AR467" s="116"/>
      <c r="AS467" s="116"/>
      <c r="AT467" s="116"/>
      <c r="AU467" s="116"/>
      <c r="AV467" s="78"/>
      <c r="AW467" s="102"/>
      <c r="AX467" s="78"/>
      <c r="AY467" s="78"/>
      <c r="AZ467" s="78"/>
      <c r="BA467" s="78"/>
      <c r="BB467" s="78"/>
      <c r="BC467" s="78"/>
      <c r="BD467" s="78"/>
      <c r="BE467" s="465"/>
      <c r="BF467" s="165" t="str">
        <f t="shared" si="357"/>
        <v>https://www.google.com/search?tbm=isch&amp;q=Crimson%20Pygmy%20is%20sharp%2C%20beware.%20Known%20for%20it%27s%20intense%20crimson%20foliage%2C%20not%20the%20flowers.%20Bright%20red%20berries%20in%20fall%20</v>
      </c>
      <c r="BG467" s="165" t="str">
        <f t="shared" si="358"/>
        <v>C</v>
      </c>
      <c r="BH467" s="65"/>
      <c r="BI467" s="65"/>
      <c r="BJ467" s="65"/>
      <c r="BK467" s="65"/>
      <c r="BL467" s="99"/>
      <c r="BM467" s="99"/>
      <c r="BN467" s="99"/>
    </row>
    <row r="468" spans="1:66" s="51" customFormat="1" ht="19.5" thickBot="1" x14ac:dyDescent="0.3">
      <c r="A468" s="686" t="s">
        <v>379</v>
      </c>
      <c r="B468" s="73"/>
      <c r="C468" s="708"/>
      <c r="D468" s="73"/>
      <c r="E468" s="73"/>
      <c r="F468" s="496"/>
      <c r="G468" s="73"/>
      <c r="H468" s="73"/>
      <c r="I468" s="73"/>
      <c r="J468" s="497" t="s">
        <v>357</v>
      </c>
      <c r="K468" s="498"/>
      <c r="L468" s="562"/>
      <c r="M468" s="73"/>
      <c r="N468"/>
      <c r="O468"/>
      <c r="P468"/>
      <c r="Q468"/>
      <c r="R468"/>
      <c r="S468"/>
      <c r="T468" s="102">
        <f t="shared" si="346"/>
        <v>0</v>
      </c>
      <c r="U468" s="78" t="str">
        <f>IF(NOT(ISNUMBER(G468)), "", VLOOKUP(A468,'Discount Lookup'!D:E,2,FALSE)*G468)</f>
        <v/>
      </c>
      <c r="V468" s="78" t="str">
        <f>IF(NOT(ISNUMBER(G468)), "", VLOOKUP(A468,'Discount Lookup'!G:H,2,FALSE)*G468)</f>
        <v/>
      </c>
      <c r="W468" s="102">
        <f t="shared" si="347"/>
        <v>0</v>
      </c>
      <c r="X468" s="102">
        <f t="shared" si="348"/>
        <v>0</v>
      </c>
      <c r="Y468" s="120" t="b">
        <f t="shared" si="349"/>
        <v>0</v>
      </c>
      <c r="Z468" s="117">
        <f t="shared" si="350"/>
        <v>0</v>
      </c>
      <c r="AA468" s="118"/>
      <c r="AB468" s="118" t="str">
        <f t="shared" si="351"/>
        <v/>
      </c>
      <c r="AC468" s="712" t="str">
        <f>IF(AE468="T2G","no charge",IF(AND(OR(PlanterYesMe="No",PlanterYesMe="N",PlanterYesMe="me"),H468=""),"",IF(H468="credit","NO install",IF(AND(K468="",AE468="me"),"EACH row",IF(AND(K468="images",AE468="me"),"EACH row",IF(D468="","",IF(H468="credit","",IF(AE468="free","re-planting",IF(AE468="me","   not ELP, by",IF(AND(OR(PlanterYesMe="Yes",PlanterYesMe="Y"),G468&gt;0),(VLOOKUP(A468,'Discount Lookup'!J:K,2)*G468*(1-PlanterDiscount)*(1+PlanterDifficultyPercentage)),IF(AE468="ELP",(VLOOKUP(A468,'Discount Lookup'!J:K,2)*G468*(1-PlanterDiscount)*(1+PlanterDifficultyPercentage)),IF(AE468="free","re-planting",IF(G468=0,"",IF(PlanterYesMe="",IF(AE468="me","   not ELP, by",IF(AE468="",IF(G468&gt;0,(VLOOKUP(A468,'Discount Lookup'!J:K,2)*G468*(1-PlanterDiscount)*(1+PlanterDifficultyPercentage)),""),"")),"   not ELP, by"))))))))))))))</f>
        <v/>
      </c>
      <c r="AD468" s="712"/>
      <c r="AE468" s="513" t="str">
        <f t="shared" si="352"/>
        <v/>
      </c>
      <c r="AF468" s="713" t="str">
        <f t="shared" si="353"/>
        <v/>
      </c>
      <c r="AG468" s="713"/>
      <c r="AH468" s="713"/>
      <c r="AI468" s="112">
        <f>IF(H468="credit",0,IF(AE468="free",0,IF(AE468="me",0,IF(G468&gt;0,(VLOOKUP(A468,'Discount Lookup'!J:K,2)*G468),0))))</f>
        <v>0</v>
      </c>
      <c r="AJ468" s="107" t="str">
        <f t="shared" ca="1" si="354"/>
        <v/>
      </c>
      <c r="AK468" s="714" t="str">
        <f t="shared" si="355"/>
        <v/>
      </c>
      <c r="AL468" s="714"/>
      <c r="AM468" s="114" t="str">
        <f t="shared" si="356"/>
        <v/>
      </c>
      <c r="AN468" s="115"/>
      <c r="AO468" s="116"/>
      <c r="AP468" s="116"/>
      <c r="AQ468" s="116"/>
      <c r="AR468" s="116"/>
      <c r="AS468" s="116"/>
      <c r="AT468" s="116"/>
      <c r="AU468" s="116"/>
      <c r="AV468" s="78"/>
      <c r="AW468" s="102"/>
      <c r="AX468" s="78"/>
      <c r="AY468" s="78"/>
      <c r="AZ468" s="78"/>
      <c r="BA468" s="78"/>
      <c r="BB468" s="78"/>
      <c r="BC468" s="78"/>
      <c r="BD468" s="78"/>
      <c r="BE468" s="465"/>
      <c r="BF468" s="165" t="str">
        <f t="shared" si="357"/>
        <v>https://www.google.com/search?tbm=isch&amp;q=Betula%20%3D%20River%20Birch%20</v>
      </c>
      <c r="BG468" s="165" t="str">
        <f t="shared" si="358"/>
        <v>B</v>
      </c>
      <c r="BH468" s="65"/>
      <c r="BI468" s="65"/>
      <c r="BJ468" s="65"/>
      <c r="BK468" s="65"/>
      <c r="BL468" s="99"/>
      <c r="BM468" s="99"/>
      <c r="BN468" s="99"/>
    </row>
    <row r="469" spans="1:66" s="51" customFormat="1" ht="18" x14ac:dyDescent="0.25">
      <c r="A469" s="623" t="s">
        <v>1567</v>
      </c>
      <c r="B469" s="624"/>
      <c r="C469" s="709"/>
      <c r="D469" s="625" t="s">
        <v>5589</v>
      </c>
      <c r="E469" s="626"/>
      <c r="F469" s="626"/>
      <c r="G469" s="626"/>
      <c r="H469" s="622" t="s">
        <v>1568</v>
      </c>
      <c r="I469" s="627" t="s">
        <v>431</v>
      </c>
      <c r="J469" s="628"/>
      <c r="K469" s="628"/>
      <c r="L469" s="629"/>
      <c r="M469" s="700" t="s">
        <v>5241</v>
      </c>
      <c r="N469" s="693" t="str">
        <f>IF(AND(ISTEXT($A469), ISERROR($A469+0)), HYPERLINK($BF469, "Images"), "")</f>
        <v>Images</v>
      </c>
      <c r="O469" s="695" t="s">
        <v>5244</v>
      </c>
      <c r="P469" s="630"/>
      <c r="Q469" s="631"/>
      <c r="R469" s="632"/>
      <c r="S469" s="633" t="s">
        <v>294</v>
      </c>
      <c r="T469" s="102">
        <f t="shared" si="346"/>
        <v>0</v>
      </c>
      <c r="U469" s="78" t="str">
        <f>IF(NOT(ISNUMBER(G469)), "", VLOOKUP(A469,'Discount Lookup'!D:E,2,FALSE)*G469)</f>
        <v/>
      </c>
      <c r="V469" s="78" t="str">
        <f>IF(NOT(ISNUMBER(G469)), "", VLOOKUP(A469,'Discount Lookup'!G:H,2,FALSE)*G469)</f>
        <v/>
      </c>
      <c r="W469" s="102">
        <f t="shared" si="347"/>
        <v>0</v>
      </c>
      <c r="X469" s="102" t="str">
        <f t="shared" si="348"/>
        <v>Dark Green foliage</v>
      </c>
      <c r="Y469" s="120" t="b">
        <f t="shared" si="349"/>
        <v>0</v>
      </c>
      <c r="Z469" s="117">
        <f t="shared" si="350"/>
        <v>0</v>
      </c>
      <c r="AA469" s="118"/>
      <c r="AB469" s="118" t="str">
        <f t="shared" si="351"/>
        <v/>
      </c>
      <c r="AC469" s="712" t="str">
        <f>IF(AE469="T2G","no charge",IF(AND(OR(PlanterYesMe="No",PlanterYesMe="N",PlanterYesMe="me"),H469=""),"",IF(H469="credit","NO install",IF(AND(K469="",AE469="me"),"EACH row",IF(AND(K469="images",AE469="me"),"EACH row",IF(D469="","",IF(H469="credit","",IF(AE469="free","re-planting",IF(AE469="me","   not ELP, by",IF(AND(OR(PlanterYesMe="Yes",PlanterYesMe="Y"),G469&gt;0),(VLOOKUP(A469,'Discount Lookup'!J:K,2)*G469*(1-PlanterDiscount)*(1+PlanterDifficultyPercentage)),IF(AE469="ELP",(VLOOKUP(A469,'Discount Lookup'!J:K,2)*G469*(1-PlanterDiscount)*(1+PlanterDifficultyPercentage)),IF(AE469="free","re-planting",IF(G469=0,"",IF(PlanterYesMe="",IF(AE469="me","   not ELP, by",IF(AE469="",IF(G469&gt;0,(VLOOKUP(A469,'Discount Lookup'!J:K,2)*G469*(1-PlanterDiscount)*(1+PlanterDifficultyPercentage)),""),"")),"   not ELP, by"))))))))))))))</f>
        <v/>
      </c>
      <c r="AD469" s="712"/>
      <c r="AE469" s="513" t="str">
        <f t="shared" si="352"/>
        <v/>
      </c>
      <c r="AF469" s="713" t="str">
        <f t="shared" si="353"/>
        <v/>
      </c>
      <c r="AG469" s="713"/>
      <c r="AH469" s="713"/>
      <c r="AI469" s="112">
        <f>IF(H469="credit",0,IF(AE469="free",0,IF(AE469="me",0,IF(G469&gt;0,(VLOOKUP(A469,'Discount Lookup'!J:K,2)*G469),0))))</f>
        <v>0</v>
      </c>
      <c r="AJ469" s="107" t="str">
        <f t="shared" ca="1" si="354"/>
        <v/>
      </c>
      <c r="AK469" s="714" t="str">
        <f t="shared" si="355"/>
        <v/>
      </c>
      <c r="AL469" s="714"/>
      <c r="AM469" s="114" t="str">
        <f t="shared" si="356"/>
        <v/>
      </c>
      <c r="AN469" s="115"/>
      <c r="AO469" s="116"/>
      <c r="AP469" s="116"/>
      <c r="AQ469" s="116"/>
      <c r="AR469" s="116"/>
      <c r="AS469" s="116"/>
      <c r="AT469" s="116"/>
      <c r="AU469" s="116"/>
      <c r="AV469" s="78"/>
      <c r="AW469" s="102"/>
      <c r="AX469" s="78"/>
      <c r="AY469" s="78"/>
      <c r="AZ469" s="78"/>
      <c r="BA469" s="78"/>
      <c r="BB469" s="78"/>
      <c r="BC469" s="78"/>
      <c r="BD469" s="78"/>
      <c r="BE469" s="465"/>
      <c r="BF469" s="165" t="str">
        <f t="shared" si="357"/>
        <v>https://www.google.com/search?tbm=isch&amp;q=Betula%20nigra%20%27BNMTF%27%20Dura-Heat%C2%AE%20River%20Birch</v>
      </c>
      <c r="BG469" s="165" t="str">
        <f t="shared" si="358"/>
        <v>B</v>
      </c>
      <c r="BH469" s="65"/>
      <c r="BI469" s="65"/>
      <c r="BJ469" s="65"/>
      <c r="BK469" s="65"/>
      <c r="BL469" s="99"/>
      <c r="BM469" s="99"/>
      <c r="BN469" s="99"/>
    </row>
    <row r="470" spans="1:66" s="51" customFormat="1" ht="15.75" x14ac:dyDescent="0.25">
      <c r="A470" s="634">
        <v>15</v>
      </c>
      <c r="B470" s="635" t="s">
        <v>291</v>
      </c>
      <c r="C470" s="636" t="s">
        <v>1569</v>
      </c>
      <c r="D470" s="637" t="s">
        <v>299</v>
      </c>
      <c r="E470" s="638">
        <v>164.95</v>
      </c>
      <c r="F470" s="639" t="s">
        <v>292</v>
      </c>
      <c r="G470" s="484">
        <v>0</v>
      </c>
      <c r="H470" s="691" t="str">
        <f>IF(G470=0,"",IF(F470="Buy",IF(G470=1,"plant","plants"),IF(F470&gt;0.01,"warranty","Error")))</f>
        <v/>
      </c>
      <c r="I470" s="640">
        <f>IF(H470="free",0,IF(H470="credit",((E470*(F470))*G470*-1),IF(F470="Buy",(E470*G470),((E470*(1-F470))*G470))))</f>
        <v>0</v>
      </c>
      <c r="J470" s="640">
        <f>IF(H470="warranty",0,(I470*(_xlfn.SINGLE(SalesTaxPercentage))))</f>
        <v>0</v>
      </c>
      <c r="K470" s="716">
        <f t="shared" ref="K470" si="360">I470+J470</f>
        <v>0</v>
      </c>
      <c r="L470" s="716"/>
      <c r="M470" s="689" t="str">
        <f ca="1">IF(AND(G470&gt;0,E470=0),"WARNING - no PRICE inserted",IF(H470="free","FREE ~ no charge this plant",IF(H470="credit",CONCATENATE("-$",ROUND(K470*(1-_xlfn.SINGLE(T2GDiscount))*-1,2)," CREDIT after discount"),IF(_xlfn.SINGLE(T2GDiscount)=0,"",IF(G470=0,"",IF(F470="Buy",CONCATENATE("$",ROUND(K470*(1-_xlfn.SINGLE(T2GDiscount)),2)," with ",(_xlfn.SINGLE(T2GDiscount)*100),"% discount"),CONCATENATE("$",ROUND(K470*(1-_xlfn.SINGLE(T2GDiscount)),2)," with ",((_xlfn.SINGLE(T2GDiscount)*100+F470*100)-(_xlfn.SINGLE(T2GDiscount)*100*F470)),IF(F470&gt;0,"% discounts",IF(_xlfn.SINGLE(NoWarrantyDiscount)&gt;0,"% discounts","% discount")))))))))</f>
        <v/>
      </c>
      <c r="N470" s="690"/>
      <c r="O470" s="486"/>
      <c r="P470" s="486"/>
      <c r="Q470" s="486"/>
      <c r="R470" s="486"/>
      <c r="S470" s="486"/>
      <c r="T470" s="102">
        <f t="shared" si="346"/>
        <v>0</v>
      </c>
      <c r="U470" s="78">
        <f>IF(NOT(ISNUMBER(G470)), "", VLOOKUP(A470,'Discount Lookup'!D:E,2,FALSE)*G470)</f>
        <v>0</v>
      </c>
      <c r="V470" s="78">
        <f>IF(NOT(ISNUMBER(G470)), "", VLOOKUP(A470,'Discount Lookup'!G:H,2,FALSE)*G470)</f>
        <v>0</v>
      </c>
      <c r="W470" s="102">
        <f t="shared" si="347"/>
        <v>0</v>
      </c>
      <c r="X470" s="102">
        <f t="shared" si="348"/>
        <v>0</v>
      </c>
      <c r="Y470" s="120" t="b">
        <f t="shared" si="349"/>
        <v>0</v>
      </c>
      <c r="Z470" s="117">
        <f t="shared" si="350"/>
        <v>0</v>
      </c>
      <c r="AA470" s="118"/>
      <c r="AB470" s="118" t="str">
        <f t="shared" si="351"/>
        <v/>
      </c>
      <c r="AC470" s="712" t="str">
        <f>IF(AE470="T2G","no charge",IF(AND(OR(PlanterYesMe="No",PlanterYesMe="N",PlanterYesMe="me"),H470=""),"",IF(H470="credit","NO install",IF(AND(K470="",AE470="me"),"EACH row",IF(AND(K470="images",AE470="me"),"EACH row",IF(D470="","",IF(H470="credit","",IF(AE470="free","re-planting",IF(AE470="me","   not ELP, by",IF(AND(OR(PlanterYesMe="Yes",PlanterYesMe="Y"),G470&gt;0),(VLOOKUP(A470,'Discount Lookup'!J:K,2)*G470*(1-PlanterDiscount)*(1+PlanterDifficultyPercentage)),IF(AE470="ELP",(VLOOKUP(A470,'Discount Lookup'!J:K,2)*G470*(1-PlanterDiscount)*(1+PlanterDifficultyPercentage)),IF(AE470="free","re-planting",IF(G470=0,"",IF(PlanterYesMe="",IF(AE470="me","   not ELP, by",IF(AE470="",IF(G470&gt;0,(VLOOKUP(A470,'Discount Lookup'!J:K,2)*G470*(1-PlanterDiscount)*(1+PlanterDifficultyPercentage)),""),"")),"   not ELP, by"))))))))))))))</f>
        <v/>
      </c>
      <c r="AD470" s="712"/>
      <c r="AE470" s="513" t="str">
        <f t="shared" si="352"/>
        <v/>
      </c>
      <c r="AF470" s="713" t="str">
        <f t="shared" si="353"/>
        <v/>
      </c>
      <c r="AG470" s="713"/>
      <c r="AH470" s="713"/>
      <c r="AI470" s="112">
        <f>IF(H470="credit",0,IF(AE470="free",0,IF(AE470="me",0,IF(G470&gt;0,(VLOOKUP(A470,'Discount Lookup'!J:K,2)*G470),0))))</f>
        <v>0</v>
      </c>
      <c r="AJ470" s="107" t="str">
        <f t="shared" ca="1" si="354"/>
        <v/>
      </c>
      <c r="AK470" s="714" t="str">
        <f t="shared" si="355"/>
        <v/>
      </c>
      <c r="AL470" s="714"/>
      <c r="AM470" s="114" t="str">
        <f t="shared" si="356"/>
        <v/>
      </c>
      <c r="AN470" s="115"/>
      <c r="AO470" s="116"/>
      <c r="AP470" s="116"/>
      <c r="AQ470" s="116"/>
      <c r="AR470" s="116"/>
      <c r="AS470" s="116"/>
      <c r="AT470" s="116"/>
      <c r="AU470" s="116"/>
      <c r="AV470" s="78"/>
      <c r="AW470" s="102"/>
      <c r="AX470" s="78"/>
      <c r="AY470" s="78"/>
      <c r="AZ470" s="78"/>
      <c r="BA470" s="78"/>
      <c r="BB470" s="78"/>
      <c r="BC470" s="78"/>
      <c r="BD470" s="78"/>
      <c r="BE470" s="465"/>
      <c r="BF470" s="165" t="str">
        <f t="shared" si="357"/>
        <v>https://www.google.com/search?tbm=isch&amp;q=15%20G4</v>
      </c>
      <c r="BG470" s="165" t="str">
        <f t="shared" si="358"/>
        <v>B</v>
      </c>
      <c r="BH470" s="65"/>
      <c r="BI470" s="65"/>
      <c r="BJ470" s="65"/>
      <c r="BK470" s="65"/>
      <c r="BL470" s="99"/>
      <c r="BM470" s="99"/>
      <c r="BN470" s="99"/>
    </row>
    <row r="471" spans="1:66" s="51" customFormat="1" ht="15.75" x14ac:dyDescent="0.25">
      <c r="A471" s="634">
        <v>15</v>
      </c>
      <c r="B471" s="635" t="s">
        <v>291</v>
      </c>
      <c r="C471" s="636" t="s">
        <v>4568</v>
      </c>
      <c r="D471" s="637" t="s">
        <v>293</v>
      </c>
      <c r="E471" s="638">
        <v>171.95</v>
      </c>
      <c r="F471" s="639" t="s">
        <v>292</v>
      </c>
      <c r="G471" s="484">
        <v>0</v>
      </c>
      <c r="H471" s="691" t="str">
        <f>IF(G471=0,"",IF(F471="Buy",IF(G471=1,"plant","plants"),IF(F471&gt;0.01,"warranty","Error")))</f>
        <v/>
      </c>
      <c r="I471" s="640">
        <f>IF(H471="free",0,IF(H471="credit",((E471*(F471))*G471*-1),IF(F471="Buy",(E471*G471),((E471*(1-F471))*G471))))</f>
        <v>0</v>
      </c>
      <c r="J471" s="640">
        <f>IF(H471="warranty",0,(I471*(_xlfn.SINGLE(SalesTaxPercentage))))</f>
        <v>0</v>
      </c>
      <c r="K471" s="716">
        <f t="shared" ref="K471" si="361">I471+J471</f>
        <v>0</v>
      </c>
      <c r="L471" s="716"/>
      <c r="M471" s="689" t="str">
        <f ca="1">IF(AND(G471&gt;0,E471=0),"WARNING - no PRICE inserted",IF(H471="free","FREE ~ no charge this plant",IF(H471="credit",CONCATENATE("-$",ROUND(K471*(1-_xlfn.SINGLE(T2GDiscount))*-1,2)," CREDIT after discount"),IF(_xlfn.SINGLE(T2GDiscount)=0,"",IF(G471=0,"",IF(F471="Buy",CONCATENATE("$",ROUND(K471*(1-_xlfn.SINGLE(T2GDiscount)),2)," with ",(_xlfn.SINGLE(T2GDiscount)*100),"% discount"),CONCATENATE("$",ROUND(K471*(1-_xlfn.SINGLE(T2GDiscount)),2)," with ",((_xlfn.SINGLE(T2GDiscount)*100+F471*100)-(_xlfn.SINGLE(T2GDiscount)*100*F471)),IF(F471&gt;0,"% discounts",IF(_xlfn.SINGLE(NoWarrantyDiscount)&gt;0,"% discounts","% discount")))))))))</f>
        <v/>
      </c>
      <c r="N471" s="690"/>
      <c r="O471" s="486"/>
      <c r="P471" s="486"/>
      <c r="Q471" s="486"/>
      <c r="R471" s="486"/>
      <c r="S471" s="486"/>
      <c r="T471" s="102">
        <f t="shared" si="346"/>
        <v>0</v>
      </c>
      <c r="U471" s="78">
        <f>IF(NOT(ISNUMBER(G471)), "", VLOOKUP(A471,'Discount Lookup'!D:E,2,FALSE)*G471)</f>
        <v>0</v>
      </c>
      <c r="V471" s="78">
        <f>IF(NOT(ISNUMBER(G471)), "", VLOOKUP(A471,'Discount Lookup'!G:H,2,FALSE)*G471)</f>
        <v>0</v>
      </c>
      <c r="W471" s="102">
        <f t="shared" si="347"/>
        <v>0</v>
      </c>
      <c r="X471" s="102">
        <f t="shared" si="348"/>
        <v>0</v>
      </c>
      <c r="Y471" s="120" t="b">
        <f t="shared" si="349"/>
        <v>0</v>
      </c>
      <c r="Z471" s="117">
        <f t="shared" si="350"/>
        <v>0</v>
      </c>
      <c r="AA471" s="118"/>
      <c r="AB471" s="118" t="str">
        <f t="shared" si="351"/>
        <v/>
      </c>
      <c r="AC471" s="712" t="str">
        <f>IF(AE471="T2G","no charge",IF(AND(OR(PlanterYesMe="No",PlanterYesMe="N",PlanterYesMe="me"),H471=""),"",IF(H471="credit","NO install",IF(AND(K471="",AE471="me"),"EACH row",IF(AND(K471="images",AE471="me"),"EACH row",IF(D471="","",IF(H471="credit","",IF(AE471="free","re-planting",IF(AE471="me","   not ELP, by",IF(AND(OR(PlanterYesMe="Yes",PlanterYesMe="Y"),G471&gt;0),(VLOOKUP(A471,'Discount Lookup'!J:K,2)*G471*(1-PlanterDiscount)*(1+PlanterDifficultyPercentage)),IF(AE471="ELP",(VLOOKUP(A471,'Discount Lookup'!J:K,2)*G471*(1-PlanterDiscount)*(1+PlanterDifficultyPercentage)),IF(AE471="free","re-planting",IF(G471=0,"",IF(PlanterYesMe="",IF(AE471="me","   not ELP, by",IF(AE471="",IF(G471&gt;0,(VLOOKUP(A471,'Discount Lookup'!J:K,2)*G471*(1-PlanterDiscount)*(1+PlanterDifficultyPercentage)),""),"")),"   not ELP, by"))))))))))))))</f>
        <v/>
      </c>
      <c r="AD471" s="712"/>
      <c r="AE471" s="513" t="str">
        <f t="shared" si="352"/>
        <v/>
      </c>
      <c r="AF471" s="713" t="str">
        <f t="shared" si="353"/>
        <v/>
      </c>
      <c r="AG471" s="713"/>
      <c r="AH471" s="713"/>
      <c r="AI471" s="112">
        <f>IF(H471="credit",0,IF(AE471="free",0,IF(AE471="me",0,IF(G471&gt;0,(VLOOKUP(A471,'Discount Lookup'!J:K,2)*G471),0))))</f>
        <v>0</v>
      </c>
      <c r="AJ471" s="107" t="str">
        <f t="shared" ca="1" si="354"/>
        <v/>
      </c>
      <c r="AK471" s="714" t="str">
        <f t="shared" si="355"/>
        <v/>
      </c>
      <c r="AL471" s="714"/>
      <c r="AM471" s="114" t="str">
        <f t="shared" si="356"/>
        <v/>
      </c>
      <c r="AN471" s="115"/>
      <c r="AO471" s="116"/>
      <c r="AP471" s="116"/>
      <c r="AQ471" s="116"/>
      <c r="AR471" s="116"/>
      <c r="AS471" s="116"/>
      <c r="AT471" s="116"/>
      <c r="AU471" s="116"/>
      <c r="AV471" s="78"/>
      <c r="AW471" s="102"/>
      <c r="AX471" s="78"/>
      <c r="AY471" s="78"/>
      <c r="AZ471" s="78"/>
      <c r="BA471" s="78"/>
      <c r="BB471" s="78"/>
      <c r="BC471" s="78"/>
      <c r="BD471" s="78"/>
      <c r="BE471" s="465"/>
      <c r="BF471" s="165" t="str">
        <f t="shared" si="357"/>
        <v>https://www.google.com/search?tbm=isch&amp;q=15%20G6</v>
      </c>
      <c r="BG471" s="165" t="str">
        <f t="shared" si="358"/>
        <v>B</v>
      </c>
      <c r="BH471" s="65"/>
      <c r="BI471" s="65"/>
      <c r="BJ471" s="65"/>
      <c r="BK471" s="65"/>
      <c r="BL471" s="99"/>
      <c r="BM471" s="99"/>
      <c r="BN471" s="99"/>
    </row>
    <row r="472" spans="1:66" s="51" customFormat="1" ht="17.25" thickBot="1" x14ac:dyDescent="0.3">
      <c r="A472" s="704" t="s">
        <v>5343</v>
      </c>
      <c r="B472" s="642"/>
      <c r="C472" s="710"/>
      <c r="D472" s="643"/>
      <c r="E472" s="643"/>
      <c r="F472" s="644"/>
      <c r="G472" s="645"/>
      <c r="H472" s="646"/>
      <c r="I472" s="647"/>
      <c r="J472" s="648"/>
      <c r="K472" s="649"/>
      <c r="L472" s="650"/>
      <c r="M472" s="650"/>
      <c r="N472" s="644"/>
      <c r="O472" s="644"/>
      <c r="P472" s="644"/>
      <c r="Q472" s="644"/>
      <c r="R472" s="644"/>
      <c r="S472" s="701" t="s">
        <v>5251</v>
      </c>
      <c r="T472" s="102">
        <f t="shared" si="346"/>
        <v>0</v>
      </c>
      <c r="U472" s="78" t="str">
        <f>IF(NOT(ISNUMBER(G472)), "", VLOOKUP(A472,'Discount Lookup'!D:E,2,FALSE)*G472)</f>
        <v/>
      </c>
      <c r="V472" s="78" t="str">
        <f>IF(NOT(ISNUMBER(G472)), "", VLOOKUP(A472,'Discount Lookup'!G:H,2,FALSE)*G472)</f>
        <v/>
      </c>
      <c r="W472" s="102">
        <f t="shared" si="347"/>
        <v>0</v>
      </c>
      <c r="X472" s="102">
        <f t="shared" si="348"/>
        <v>0</v>
      </c>
      <c r="Y472" s="120" t="b">
        <f t="shared" si="349"/>
        <v>0</v>
      </c>
      <c r="Z472" s="117">
        <f t="shared" si="350"/>
        <v>0</v>
      </c>
      <c r="AA472" s="118"/>
      <c r="AB472" s="118" t="str">
        <f t="shared" si="351"/>
        <v/>
      </c>
      <c r="AC472" s="712" t="str">
        <f>IF(AE472="T2G","no charge",IF(AND(OR(PlanterYesMe="No",PlanterYesMe="N",PlanterYesMe="me"),H472=""),"",IF(H472="credit","NO install",IF(AND(K472="",AE472="me"),"EACH row",IF(AND(K472="images",AE472="me"),"EACH row",IF(D472="","",IF(H472="credit","",IF(AE472="free","re-planting",IF(AE472="me","   not ELP, by",IF(AND(OR(PlanterYesMe="Yes",PlanterYesMe="Y"),G472&gt;0),(VLOOKUP(A472,'Discount Lookup'!J:K,2)*G472*(1-PlanterDiscount)*(1+PlanterDifficultyPercentage)),IF(AE472="ELP",(VLOOKUP(A472,'Discount Lookup'!J:K,2)*G472*(1-PlanterDiscount)*(1+PlanterDifficultyPercentage)),IF(AE472="free","re-planting",IF(G472=0,"",IF(PlanterYesMe="",IF(AE472="me","   not ELP, by",IF(AE472="",IF(G472&gt;0,(VLOOKUP(A472,'Discount Lookup'!J:K,2)*G472*(1-PlanterDiscount)*(1+PlanterDifficultyPercentage)),""),"")),"   not ELP, by"))))))))))))))</f>
        <v/>
      </c>
      <c r="AD472" s="712"/>
      <c r="AE472" s="513" t="str">
        <f t="shared" si="352"/>
        <v/>
      </c>
      <c r="AF472" s="713" t="str">
        <f t="shared" si="353"/>
        <v/>
      </c>
      <c r="AG472" s="713"/>
      <c r="AH472" s="713"/>
      <c r="AI472" s="112">
        <f>IF(H472="credit",0,IF(AE472="free",0,IF(AE472="me",0,IF(G472&gt;0,(VLOOKUP(A472,'Discount Lookup'!J:K,2)*G472),0))))</f>
        <v>0</v>
      </c>
      <c r="AJ472" s="107" t="str">
        <f t="shared" ca="1" si="354"/>
        <v/>
      </c>
      <c r="AK472" s="714" t="str">
        <f t="shared" si="355"/>
        <v/>
      </c>
      <c r="AL472" s="714"/>
      <c r="AM472" s="114" t="str">
        <f t="shared" si="356"/>
        <v/>
      </c>
      <c r="AN472" s="115"/>
      <c r="AO472" s="116"/>
      <c r="AP472" s="116"/>
      <c r="AQ472" s="116"/>
      <c r="AR472" s="116"/>
      <c r="AS472" s="116"/>
      <c r="AT472" s="116"/>
      <c r="AU472" s="116"/>
      <c r="AV472" s="78"/>
      <c r="AW472" s="102"/>
      <c r="AX472" s="78"/>
      <c r="AY472" s="78"/>
      <c r="AZ472" s="78"/>
      <c r="BA472" s="78"/>
      <c r="BB472" s="78"/>
      <c r="BC472" s="78"/>
      <c r="BD472" s="78"/>
      <c r="BE472" s="465"/>
      <c r="BF472" s="165" t="str">
        <f t="shared" si="357"/>
        <v>https://www.google.com/search?tbm=isch&amp;q=moist%20sites%F0%9F%92%A7BEST%2C%20Dura-Heat%20named%20for%20ability%20to%20withstand%20our%20intense%20heat.%20Yellow%20fall%20foliage.%20%20Multi%20Stem%2C%20unless%20noted%20otherwise%20</v>
      </c>
      <c r="BG472" s="165" t="str">
        <f t="shared" si="358"/>
        <v>m</v>
      </c>
      <c r="BH472" s="65"/>
      <c r="BI472" s="65"/>
      <c r="BJ472" s="65"/>
      <c r="BK472" s="65"/>
      <c r="BL472" s="99"/>
      <c r="BM472" s="99"/>
      <c r="BN472" s="99"/>
    </row>
    <row r="473" spans="1:66" s="51" customFormat="1" ht="18" x14ac:dyDescent="0.25">
      <c r="A473" s="623" t="s">
        <v>1570</v>
      </c>
      <c r="B473" s="624"/>
      <c r="C473" s="709"/>
      <c r="D473" s="625" t="s">
        <v>1571</v>
      </c>
      <c r="E473" s="626"/>
      <c r="F473" s="626"/>
      <c r="G473" s="626"/>
      <c r="H473" s="622" t="s">
        <v>1572</v>
      </c>
      <c r="I473" s="627" t="s">
        <v>431</v>
      </c>
      <c r="J473" s="628"/>
      <c r="K473" s="628"/>
      <c r="L473" s="629"/>
      <c r="M473" s="700" t="s">
        <v>5241</v>
      </c>
      <c r="N473" s="693" t="str">
        <f>IF(AND(ISTEXT($A473), ISERROR($A473+0)), HYPERLINK($BF473, "Images"), "")</f>
        <v>Images</v>
      </c>
      <c r="O473" s="695" t="s">
        <v>5244</v>
      </c>
      <c r="P473" s="630"/>
      <c r="Q473" s="631"/>
      <c r="R473" s="632"/>
      <c r="S473" s="633" t="s">
        <v>294</v>
      </c>
      <c r="T473" s="102">
        <f t="shared" si="346"/>
        <v>0</v>
      </c>
      <c r="U473" s="78" t="str">
        <f>IF(NOT(ISNUMBER(G473)), "", VLOOKUP(A473,'Discount Lookup'!D:E,2,FALSE)*G473)</f>
        <v/>
      </c>
      <c r="V473" s="78" t="str">
        <f>IF(NOT(ISNUMBER(G473)), "", VLOOKUP(A473,'Discount Lookup'!G:H,2,FALSE)*G473)</f>
        <v/>
      </c>
      <c r="W473" s="102">
        <f t="shared" si="347"/>
        <v>0</v>
      </c>
      <c r="X473" s="102" t="str">
        <f t="shared" si="348"/>
        <v>Dark Green foliage</v>
      </c>
      <c r="Y473" s="120" t="b">
        <f t="shared" si="349"/>
        <v>0</v>
      </c>
      <c r="Z473" s="117">
        <f t="shared" si="350"/>
        <v>0</v>
      </c>
      <c r="AA473" s="118"/>
      <c r="AB473" s="118" t="str">
        <f t="shared" si="351"/>
        <v/>
      </c>
      <c r="AC473" s="712" t="str">
        <f>IF(AE473="T2G","no charge",IF(AND(OR(PlanterYesMe="No",PlanterYesMe="N",PlanterYesMe="me"),H473=""),"",IF(H473="credit","NO install",IF(AND(K473="",AE473="me"),"EACH row",IF(AND(K473="images",AE473="me"),"EACH row",IF(D473="","",IF(H473="credit","",IF(AE473="free","re-planting",IF(AE473="me","   not ELP, by",IF(AND(OR(PlanterYesMe="Yes",PlanterYesMe="Y"),G473&gt;0),(VLOOKUP(A473,'Discount Lookup'!J:K,2)*G473*(1-PlanterDiscount)*(1+PlanterDifficultyPercentage)),IF(AE473="ELP",(VLOOKUP(A473,'Discount Lookup'!J:K,2)*G473*(1-PlanterDiscount)*(1+PlanterDifficultyPercentage)),IF(AE473="free","re-planting",IF(G473=0,"",IF(PlanterYesMe="",IF(AE473="me","   not ELP, by",IF(AE473="",IF(G473&gt;0,(VLOOKUP(A473,'Discount Lookup'!J:K,2)*G473*(1-PlanterDiscount)*(1+PlanterDifficultyPercentage)),""),"")),"   not ELP, by"))))))))))))))</f>
        <v/>
      </c>
      <c r="AD473" s="712"/>
      <c r="AE473" s="513" t="str">
        <f t="shared" si="352"/>
        <v/>
      </c>
      <c r="AF473" s="713" t="str">
        <f t="shared" si="353"/>
        <v/>
      </c>
      <c r="AG473" s="713"/>
      <c r="AH473" s="713"/>
      <c r="AI473" s="112">
        <f>IF(H473="credit",0,IF(AE473="free",0,IF(AE473="me",0,IF(G473&gt;0,(VLOOKUP(A473,'Discount Lookup'!J:K,2)*G473),0))))</f>
        <v>0</v>
      </c>
      <c r="AJ473" s="107" t="str">
        <f t="shared" ca="1" si="354"/>
        <v/>
      </c>
      <c r="AK473" s="714" t="str">
        <f t="shared" si="355"/>
        <v/>
      </c>
      <c r="AL473" s="714"/>
      <c r="AM473" s="114" t="str">
        <f t="shared" si="356"/>
        <v/>
      </c>
      <c r="AN473" s="115"/>
      <c r="AO473" s="116"/>
      <c r="AP473" s="116"/>
      <c r="AQ473" s="116"/>
      <c r="AR473" s="116"/>
      <c r="AS473" s="116"/>
      <c r="AT473" s="116"/>
      <c r="AU473" s="116"/>
      <c r="AV473" s="78"/>
      <c r="AW473" s="102"/>
      <c r="AX473" s="78"/>
      <c r="AY473" s="78"/>
      <c r="AZ473" s="78"/>
      <c r="BA473" s="78"/>
      <c r="BB473" s="78"/>
      <c r="BC473" s="78"/>
      <c r="BD473" s="78"/>
      <c r="BE473" s="465"/>
      <c r="BF473" s="165" t="str">
        <f t="shared" si="357"/>
        <v>https://www.google.com/search?tbm=isch&amp;q=Betula%20nigra%20%27Little%20King%27%20Little%20King%20Dwarf%20River%20Birch</v>
      </c>
      <c r="BG473" s="165" t="str">
        <f t="shared" si="358"/>
        <v>B</v>
      </c>
      <c r="BH473" s="65"/>
      <c r="BI473" s="65"/>
      <c r="BJ473" s="65"/>
      <c r="BK473" s="65"/>
      <c r="BL473" s="99"/>
      <c r="BM473" s="99"/>
      <c r="BN473" s="99"/>
    </row>
    <row r="474" spans="1:66" s="51" customFormat="1" ht="15.75" x14ac:dyDescent="0.25">
      <c r="A474" s="634">
        <v>7</v>
      </c>
      <c r="B474" s="635" t="s">
        <v>291</v>
      </c>
      <c r="C474" s="636" t="s">
        <v>1573</v>
      </c>
      <c r="D474" s="637" t="s">
        <v>299</v>
      </c>
      <c r="E474" s="638">
        <v>102.95</v>
      </c>
      <c r="F474" s="639" t="s">
        <v>292</v>
      </c>
      <c r="G474" s="484">
        <v>0</v>
      </c>
      <c r="H474" s="691" t="str">
        <f>IF(G474=0,"",IF(F474="Buy",IF(G474=1,"plant","plants"),IF(F474&gt;0.01,"warranty","Error")))</f>
        <v/>
      </c>
      <c r="I474" s="640">
        <f>IF(H474="free",0,IF(H474="credit",((E474*(F474))*G474*-1),IF(F474="Buy",(E474*G474),((E474*(1-F474))*G474))))</f>
        <v>0</v>
      </c>
      <c r="J474" s="640">
        <f>IF(H474="warranty",0,(I474*(_xlfn.SINGLE(SalesTaxPercentage))))</f>
        <v>0</v>
      </c>
      <c r="K474" s="716">
        <f t="shared" ref="K474" si="362">I474+J474</f>
        <v>0</v>
      </c>
      <c r="L474" s="716"/>
      <c r="M474" s="689" t="str">
        <f ca="1">IF(AND(G474&gt;0,E474=0),"WARNING - no PRICE inserted",IF(H474="free","FREE ~ no charge this plant",IF(H474="credit",CONCATENATE("-$",ROUND(K474*(1-_xlfn.SINGLE(T2GDiscount))*-1,2)," CREDIT after discount"),IF(_xlfn.SINGLE(T2GDiscount)=0,"",IF(G474=0,"",IF(F474="Buy",CONCATENATE("$",ROUND(K474*(1-_xlfn.SINGLE(T2GDiscount)),2)," with ",(_xlfn.SINGLE(T2GDiscount)*100),"% discount"),CONCATENATE("$",ROUND(K474*(1-_xlfn.SINGLE(T2GDiscount)),2)," with ",((_xlfn.SINGLE(T2GDiscount)*100+F474*100)-(_xlfn.SINGLE(T2GDiscount)*100*F474)),IF(F474&gt;0,"% discounts",IF(_xlfn.SINGLE(NoWarrantyDiscount)&gt;0,"% discounts","% discount")))))))))</f>
        <v/>
      </c>
      <c r="N474" s="690"/>
      <c r="O474" s="486"/>
      <c r="P474" s="486"/>
      <c r="Q474" s="486"/>
      <c r="R474" s="486"/>
      <c r="S474" s="486"/>
      <c r="T474" s="102">
        <f t="shared" si="346"/>
        <v>0</v>
      </c>
      <c r="U474" s="78">
        <f>IF(NOT(ISNUMBER(G474)), "", VLOOKUP(A474,'Discount Lookup'!D:E,2,FALSE)*G474)</f>
        <v>0</v>
      </c>
      <c r="V474" s="78">
        <f>IF(NOT(ISNUMBER(G474)), "", VLOOKUP(A474,'Discount Lookup'!G:H,2,FALSE)*G474)</f>
        <v>0</v>
      </c>
      <c r="W474" s="102">
        <f t="shared" si="347"/>
        <v>0</v>
      </c>
      <c r="X474" s="102">
        <f t="shared" si="348"/>
        <v>0</v>
      </c>
      <c r="Y474" s="120" t="b">
        <f t="shared" si="349"/>
        <v>0</v>
      </c>
      <c r="Z474" s="117">
        <f t="shared" si="350"/>
        <v>0</v>
      </c>
      <c r="AA474" s="118"/>
      <c r="AB474" s="118" t="str">
        <f t="shared" si="351"/>
        <v/>
      </c>
      <c r="AC474" s="712" t="str">
        <f>IF(AE474="T2G","no charge",IF(AND(OR(PlanterYesMe="No",PlanterYesMe="N",PlanterYesMe="me"),H474=""),"",IF(H474="credit","NO install",IF(AND(K474="",AE474="me"),"EACH row",IF(AND(K474="images",AE474="me"),"EACH row",IF(D474="","",IF(H474="credit","",IF(AE474="free","re-planting",IF(AE474="me","   not ELP, by",IF(AND(OR(PlanterYesMe="Yes",PlanterYesMe="Y"),G474&gt;0),(VLOOKUP(A474,'Discount Lookup'!J:K,2)*G474*(1-PlanterDiscount)*(1+PlanterDifficultyPercentage)),IF(AE474="ELP",(VLOOKUP(A474,'Discount Lookup'!J:K,2)*G474*(1-PlanterDiscount)*(1+PlanterDifficultyPercentage)),IF(AE474="free","re-planting",IF(G474=0,"",IF(PlanterYesMe="",IF(AE474="me","   not ELP, by",IF(AE474="",IF(G474&gt;0,(VLOOKUP(A474,'Discount Lookup'!J:K,2)*G474*(1-PlanterDiscount)*(1+PlanterDifficultyPercentage)),""),"")),"   not ELP, by"))))))))))))))</f>
        <v/>
      </c>
      <c r="AD474" s="712"/>
      <c r="AE474" s="513" t="str">
        <f t="shared" si="352"/>
        <v/>
      </c>
      <c r="AF474" s="713" t="str">
        <f t="shared" si="353"/>
        <v/>
      </c>
      <c r="AG474" s="713"/>
      <c r="AH474" s="713"/>
      <c r="AI474" s="112">
        <f>IF(H474="credit",0,IF(AE474="free",0,IF(AE474="me",0,IF(G474&gt;0,(VLOOKUP(A474,'Discount Lookup'!J:K,2)*G474),0))))</f>
        <v>0</v>
      </c>
      <c r="AJ474" s="107" t="str">
        <f t="shared" ca="1" si="354"/>
        <v/>
      </c>
      <c r="AK474" s="714" t="str">
        <f t="shared" si="355"/>
        <v/>
      </c>
      <c r="AL474" s="714"/>
      <c r="AM474" s="114" t="str">
        <f t="shared" si="356"/>
        <v/>
      </c>
      <c r="AN474" s="115"/>
      <c r="AO474" s="116"/>
      <c r="AP474" s="116"/>
      <c r="AQ474" s="116"/>
      <c r="AR474" s="116"/>
      <c r="AS474" s="116"/>
      <c r="AT474" s="116"/>
      <c r="AU474" s="116"/>
      <c r="AV474" s="78"/>
      <c r="AW474" s="102"/>
      <c r="AX474" s="78"/>
      <c r="AY474" s="78"/>
      <c r="AZ474" s="78"/>
      <c r="BA474" s="78"/>
      <c r="BB474" s="78"/>
      <c r="BC474" s="78"/>
      <c r="BD474" s="78"/>
      <c r="BE474" s="465"/>
      <c r="BF474" s="165" t="str">
        <f t="shared" si="357"/>
        <v>https://www.google.com/search?tbm=isch&amp;q=7%20G4</v>
      </c>
      <c r="BG474" s="165" t="str">
        <f t="shared" si="358"/>
        <v>B</v>
      </c>
      <c r="BH474" s="65"/>
      <c r="BI474" s="65"/>
      <c r="BJ474" s="65"/>
      <c r="BK474" s="65"/>
      <c r="BL474" s="99"/>
      <c r="BM474" s="99"/>
      <c r="BN474" s="99"/>
    </row>
    <row r="475" spans="1:66" s="51" customFormat="1" ht="15.75" x14ac:dyDescent="0.25">
      <c r="A475" s="634">
        <v>15</v>
      </c>
      <c r="B475" s="635" t="s">
        <v>291</v>
      </c>
      <c r="C475" s="636" t="s">
        <v>1574</v>
      </c>
      <c r="D475" s="637" t="s">
        <v>299</v>
      </c>
      <c r="E475" s="638">
        <v>219.95</v>
      </c>
      <c r="F475" s="639" t="s">
        <v>292</v>
      </c>
      <c r="G475" s="484">
        <v>0</v>
      </c>
      <c r="H475" s="691" t="str">
        <f>IF(G475=0,"",IF(F475="Buy",IF(G475=1,"plant","plants"),IF(F475&gt;0.01,"warranty","Error")))</f>
        <v/>
      </c>
      <c r="I475" s="640">
        <f>IF(H475="free",0,IF(H475="credit",((E475*(F475))*G475*-1),IF(F475="Buy",(E475*G475),((E475*(1-F475))*G475))))</f>
        <v>0</v>
      </c>
      <c r="J475" s="640">
        <f>IF(H475="warranty",0,(I475*(_xlfn.SINGLE(SalesTaxPercentage))))</f>
        <v>0</v>
      </c>
      <c r="K475" s="716">
        <f t="shared" ref="K475" si="363">I475+J475</f>
        <v>0</v>
      </c>
      <c r="L475" s="716"/>
      <c r="M475" s="689" t="str">
        <f ca="1">IF(AND(G475&gt;0,E475=0),"WARNING - no PRICE inserted",IF(H475="free","FREE ~ no charge this plant",IF(H475="credit",CONCATENATE("-$",ROUND(K475*(1-_xlfn.SINGLE(T2GDiscount))*-1,2)," CREDIT after discount"),IF(_xlfn.SINGLE(T2GDiscount)=0,"",IF(G475=0,"",IF(F475="Buy",CONCATENATE("$",ROUND(K475*(1-_xlfn.SINGLE(T2GDiscount)),2)," with ",(_xlfn.SINGLE(T2GDiscount)*100),"% discount"),CONCATENATE("$",ROUND(K475*(1-_xlfn.SINGLE(T2GDiscount)),2)," with ",((_xlfn.SINGLE(T2GDiscount)*100+F475*100)-(_xlfn.SINGLE(T2GDiscount)*100*F475)),IF(F475&gt;0,"% discounts",IF(_xlfn.SINGLE(NoWarrantyDiscount)&gt;0,"% discounts","% discount")))))))))</f>
        <v/>
      </c>
      <c r="N475" s="690"/>
      <c r="O475" s="486"/>
      <c r="P475" s="486"/>
      <c r="Q475" s="486"/>
      <c r="R475" s="486"/>
      <c r="S475" s="486"/>
      <c r="T475" s="102">
        <f t="shared" si="346"/>
        <v>0</v>
      </c>
      <c r="U475" s="78">
        <f>IF(NOT(ISNUMBER(G475)), "", VLOOKUP(A475,'Discount Lookup'!D:E,2,FALSE)*G475)</f>
        <v>0</v>
      </c>
      <c r="V475" s="78">
        <f>IF(NOT(ISNUMBER(G475)), "", VLOOKUP(A475,'Discount Lookup'!G:H,2,FALSE)*G475)</f>
        <v>0</v>
      </c>
      <c r="W475" s="102">
        <f t="shared" si="347"/>
        <v>0</v>
      </c>
      <c r="X475" s="102">
        <f t="shared" si="348"/>
        <v>0</v>
      </c>
      <c r="Y475" s="120" t="b">
        <f t="shared" si="349"/>
        <v>0</v>
      </c>
      <c r="Z475" s="117">
        <f t="shared" si="350"/>
        <v>0</v>
      </c>
      <c r="AA475" s="118"/>
      <c r="AB475" s="118" t="str">
        <f t="shared" si="351"/>
        <v/>
      </c>
      <c r="AC475" s="712" t="str">
        <f>IF(AE475="T2G","no charge",IF(AND(OR(PlanterYesMe="No",PlanterYesMe="N",PlanterYesMe="me"),H475=""),"",IF(H475="credit","NO install",IF(AND(K475="",AE475="me"),"EACH row",IF(AND(K475="images",AE475="me"),"EACH row",IF(D475="","",IF(H475="credit","",IF(AE475="free","re-planting",IF(AE475="me","   not ELP, by",IF(AND(OR(PlanterYesMe="Yes",PlanterYesMe="Y"),G475&gt;0),(VLOOKUP(A475,'Discount Lookup'!J:K,2)*G475*(1-PlanterDiscount)*(1+PlanterDifficultyPercentage)),IF(AE475="ELP",(VLOOKUP(A475,'Discount Lookup'!J:K,2)*G475*(1-PlanterDiscount)*(1+PlanterDifficultyPercentage)),IF(AE475="free","re-planting",IF(G475=0,"",IF(PlanterYesMe="",IF(AE475="me","   not ELP, by",IF(AE475="",IF(G475&gt;0,(VLOOKUP(A475,'Discount Lookup'!J:K,2)*G475*(1-PlanterDiscount)*(1+PlanterDifficultyPercentage)),""),"")),"   not ELP, by"))))))))))))))</f>
        <v/>
      </c>
      <c r="AD475" s="712"/>
      <c r="AE475" s="513" t="str">
        <f t="shared" si="352"/>
        <v/>
      </c>
      <c r="AF475" s="713" t="str">
        <f t="shared" si="353"/>
        <v/>
      </c>
      <c r="AG475" s="713"/>
      <c r="AH475" s="713"/>
      <c r="AI475" s="112">
        <f>IF(H475="credit",0,IF(AE475="free",0,IF(AE475="me",0,IF(G475&gt;0,(VLOOKUP(A475,'Discount Lookup'!J:K,2)*G475),0))))</f>
        <v>0</v>
      </c>
      <c r="AJ475" s="107" t="str">
        <f t="shared" ca="1" si="354"/>
        <v/>
      </c>
      <c r="AK475" s="714" t="str">
        <f t="shared" si="355"/>
        <v/>
      </c>
      <c r="AL475" s="714"/>
      <c r="AM475" s="114" t="str">
        <f t="shared" si="356"/>
        <v/>
      </c>
      <c r="AN475" s="115"/>
      <c r="AO475" s="116"/>
      <c r="AP475" s="116"/>
      <c r="AQ475" s="116"/>
      <c r="AR475" s="116"/>
      <c r="AS475" s="116"/>
      <c r="AT475" s="116"/>
      <c r="AU475" s="116"/>
      <c r="AV475" s="78"/>
      <c r="AW475" s="102"/>
      <c r="AX475" s="78"/>
      <c r="AY475" s="78"/>
      <c r="AZ475" s="78"/>
      <c r="BA475" s="78"/>
      <c r="BB475" s="78"/>
      <c r="BC475" s="78"/>
      <c r="BD475" s="78"/>
      <c r="BE475" s="465"/>
      <c r="BF475" s="165" t="str">
        <f t="shared" si="357"/>
        <v>https://www.google.com/search?tbm=isch&amp;q=15%20G4</v>
      </c>
      <c r="BG475" s="165" t="str">
        <f t="shared" si="358"/>
        <v>B</v>
      </c>
      <c r="BH475" s="65"/>
      <c r="BI475" s="65"/>
      <c r="BJ475" s="65"/>
      <c r="BK475" s="65"/>
      <c r="BL475" s="99"/>
      <c r="BM475" s="99"/>
      <c r="BN475" s="99"/>
    </row>
    <row r="476" spans="1:66" s="51" customFormat="1" ht="27" x14ac:dyDescent="0.25">
      <c r="A476" s="634">
        <v>15</v>
      </c>
      <c r="B476" s="635" t="s">
        <v>291</v>
      </c>
      <c r="C476" s="636" t="s">
        <v>1575</v>
      </c>
      <c r="D476" s="637" t="s">
        <v>299</v>
      </c>
      <c r="E476" s="638">
        <v>219.95</v>
      </c>
      <c r="F476" s="639" t="s">
        <v>292</v>
      </c>
      <c r="G476" s="484">
        <v>0</v>
      </c>
      <c r="H476" s="691" t="str">
        <f>IF(G476=0,"",IF(F476="Buy",IF(G476=1,"plant","plants"),IF(F476&gt;0.01,"warranty","Error")))</f>
        <v/>
      </c>
      <c r="I476" s="640">
        <f>IF(H476="free",0,IF(H476="credit",((E476*(F476))*G476*-1),IF(F476="Buy",(E476*G476),((E476*(1-F476))*G476))))</f>
        <v>0</v>
      </c>
      <c r="J476" s="640">
        <f>IF(H476="warranty",0,(I476*(_xlfn.SINGLE(SalesTaxPercentage))))</f>
        <v>0</v>
      </c>
      <c r="K476" s="716">
        <f t="shared" ref="K476" si="364">I476+J476</f>
        <v>0</v>
      </c>
      <c r="L476" s="716"/>
      <c r="M476" s="689" t="str">
        <f ca="1">IF(AND(G476&gt;0,E476=0),"WARNING - no PRICE inserted",IF(H476="free","FREE ~ no charge this plant",IF(H476="credit",CONCATENATE("-$",ROUND(K476*(1-_xlfn.SINGLE(T2GDiscount))*-1,2)," CREDIT after discount"),IF(_xlfn.SINGLE(T2GDiscount)=0,"",IF(G476=0,"",IF(F476="Buy",CONCATENATE("$",ROUND(K476*(1-_xlfn.SINGLE(T2GDiscount)),2)," with ",(_xlfn.SINGLE(T2GDiscount)*100),"% discount"),CONCATENATE("$",ROUND(K476*(1-_xlfn.SINGLE(T2GDiscount)),2)," with ",((_xlfn.SINGLE(T2GDiscount)*100+F476*100)-(_xlfn.SINGLE(T2GDiscount)*100*F476)),IF(F476&gt;0,"% discounts",IF(_xlfn.SINGLE(NoWarrantyDiscount)&gt;0,"% discounts","% discount")))))))))</f>
        <v/>
      </c>
      <c r="N476" s="690"/>
      <c r="O476" s="486"/>
      <c r="P476" s="486"/>
      <c r="Q476" s="486"/>
      <c r="R476" s="486"/>
      <c r="S476" s="486"/>
      <c r="T476" s="102">
        <f t="shared" si="346"/>
        <v>0</v>
      </c>
      <c r="U476" s="78">
        <f>IF(NOT(ISNUMBER(G476)), "", VLOOKUP(A476,'Discount Lookup'!D:E,2,FALSE)*G476)</f>
        <v>0</v>
      </c>
      <c r="V476" s="78">
        <f>IF(NOT(ISNUMBER(G476)), "", VLOOKUP(A476,'Discount Lookup'!G:H,2,FALSE)*G476)</f>
        <v>0</v>
      </c>
      <c r="W476" s="102">
        <f t="shared" si="347"/>
        <v>0</v>
      </c>
      <c r="X476" s="102">
        <f t="shared" si="348"/>
        <v>0</v>
      </c>
      <c r="Y476" s="120" t="b">
        <f t="shared" si="349"/>
        <v>0</v>
      </c>
      <c r="Z476" s="117">
        <f t="shared" si="350"/>
        <v>0</v>
      </c>
      <c r="AA476" s="118"/>
      <c r="AB476" s="118" t="str">
        <f t="shared" si="351"/>
        <v/>
      </c>
      <c r="AC476" s="712" t="str">
        <f>IF(AE476="T2G","no charge",IF(AND(OR(PlanterYesMe="No",PlanterYesMe="N",PlanterYesMe="me"),H476=""),"",IF(H476="credit","NO install",IF(AND(K476="",AE476="me"),"EACH row",IF(AND(K476="images",AE476="me"),"EACH row",IF(D476="","",IF(H476="credit","",IF(AE476="free","re-planting",IF(AE476="me","   not ELP, by",IF(AND(OR(PlanterYesMe="Yes",PlanterYesMe="Y"),G476&gt;0),(VLOOKUP(A476,'Discount Lookup'!J:K,2)*G476*(1-PlanterDiscount)*(1+PlanterDifficultyPercentage)),IF(AE476="ELP",(VLOOKUP(A476,'Discount Lookup'!J:K,2)*G476*(1-PlanterDiscount)*(1+PlanterDifficultyPercentage)),IF(AE476="free","re-planting",IF(G476=0,"",IF(PlanterYesMe="",IF(AE476="me","   not ELP, by",IF(AE476="",IF(G476&gt;0,(VLOOKUP(A476,'Discount Lookup'!J:K,2)*G476*(1-PlanterDiscount)*(1+PlanterDifficultyPercentage)),""),"")),"   not ELP, by"))))))))))))))</f>
        <v/>
      </c>
      <c r="AD476" s="712"/>
      <c r="AE476" s="513" t="str">
        <f t="shared" si="352"/>
        <v/>
      </c>
      <c r="AF476" s="713" t="str">
        <f t="shared" si="353"/>
        <v/>
      </c>
      <c r="AG476" s="713"/>
      <c r="AH476" s="713"/>
      <c r="AI476" s="112">
        <f>IF(H476="credit",0,IF(AE476="free",0,IF(AE476="me",0,IF(G476&gt;0,(VLOOKUP(A476,'Discount Lookup'!J:K,2)*G476),0))))</f>
        <v>0</v>
      </c>
      <c r="AJ476" s="107" t="str">
        <f t="shared" ca="1" si="354"/>
        <v/>
      </c>
      <c r="AK476" s="714" t="str">
        <f t="shared" si="355"/>
        <v/>
      </c>
      <c r="AL476" s="714"/>
      <c r="AM476" s="114" t="str">
        <f t="shared" si="356"/>
        <v/>
      </c>
      <c r="AN476" s="115"/>
      <c r="AO476" s="116"/>
      <c r="AP476" s="116"/>
      <c r="AQ476" s="116"/>
      <c r="AR476" s="116"/>
      <c r="AS476" s="116"/>
      <c r="AT476" s="116"/>
      <c r="AU476" s="116"/>
      <c r="AV476" s="78"/>
      <c r="AW476" s="102"/>
      <c r="AX476" s="78"/>
      <c r="AY476" s="78"/>
      <c r="AZ476" s="78"/>
      <c r="BA476" s="78"/>
      <c r="BB476" s="78"/>
      <c r="BC476" s="78"/>
      <c r="BD476" s="78"/>
      <c r="BE476" s="465"/>
      <c r="BF476" s="165" t="str">
        <f t="shared" si="357"/>
        <v>https://www.google.com/search?tbm=isch&amp;q=15%20G4</v>
      </c>
      <c r="BG476" s="165" t="str">
        <f t="shared" si="358"/>
        <v>B</v>
      </c>
      <c r="BH476" s="65"/>
      <c r="BI476" s="65"/>
      <c r="BJ476" s="65"/>
      <c r="BK476" s="65"/>
      <c r="BL476" s="99"/>
      <c r="BM476" s="99"/>
      <c r="BN476" s="99"/>
    </row>
    <row r="477" spans="1:66" s="51" customFormat="1" ht="27" x14ac:dyDescent="0.25">
      <c r="A477" s="634">
        <v>25</v>
      </c>
      <c r="B477" s="635" t="s">
        <v>291</v>
      </c>
      <c r="C477" s="636" t="s">
        <v>1576</v>
      </c>
      <c r="D477" s="637" t="s">
        <v>299</v>
      </c>
      <c r="E477" s="638">
        <v>298.95</v>
      </c>
      <c r="F477" s="639" t="s">
        <v>292</v>
      </c>
      <c r="G477" s="484">
        <v>0</v>
      </c>
      <c r="H477" s="691" t="str">
        <f>IF(G477=0,"",IF(F477="Buy",IF(G477=1,"plant","plants"),IF(F477&gt;0.01,"warranty","Error")))</f>
        <v/>
      </c>
      <c r="I477" s="640">
        <f>IF(H477="free",0,IF(H477="credit",((E477*(F477))*G477*-1),IF(F477="Buy",(E477*G477),((E477*(1-F477))*G477))))</f>
        <v>0</v>
      </c>
      <c r="J477" s="640">
        <f>IF(H477="warranty",0,(I477*(_xlfn.SINGLE(SalesTaxPercentage))))</f>
        <v>0</v>
      </c>
      <c r="K477" s="716">
        <f t="shared" ref="K477" si="365">I477+J477</f>
        <v>0</v>
      </c>
      <c r="L477" s="716"/>
      <c r="M477" s="689" t="str">
        <f ca="1">IF(AND(G477&gt;0,E477=0),"WARNING - no PRICE inserted",IF(H477="free","FREE ~ no charge this plant",IF(H477="credit",CONCATENATE("-$",ROUND(K477*(1-_xlfn.SINGLE(T2GDiscount))*-1,2)," CREDIT after discount"),IF(_xlfn.SINGLE(T2GDiscount)=0,"",IF(G477=0,"",IF(F477="Buy",CONCATENATE("$",ROUND(K477*(1-_xlfn.SINGLE(T2GDiscount)),2)," with ",(_xlfn.SINGLE(T2GDiscount)*100),"% discount"),CONCATENATE("$",ROUND(K477*(1-_xlfn.SINGLE(T2GDiscount)),2)," with ",((_xlfn.SINGLE(T2GDiscount)*100+F477*100)-(_xlfn.SINGLE(T2GDiscount)*100*F477)),IF(F477&gt;0,"% discounts",IF(_xlfn.SINGLE(NoWarrantyDiscount)&gt;0,"% discounts","% discount")))))))))</f>
        <v/>
      </c>
      <c r="N477" s="690"/>
      <c r="O477" s="486"/>
      <c r="P477" s="486"/>
      <c r="Q477" s="486"/>
      <c r="R477" s="486"/>
      <c r="S477" s="486"/>
      <c r="T477" s="102">
        <f t="shared" si="346"/>
        <v>0</v>
      </c>
      <c r="U477" s="78">
        <f>IF(NOT(ISNUMBER(G477)), "", VLOOKUP(A477,'Discount Lookup'!D:E,2,FALSE)*G477)</f>
        <v>0</v>
      </c>
      <c r="V477" s="78">
        <f>IF(NOT(ISNUMBER(G477)), "", VLOOKUP(A477,'Discount Lookup'!G:H,2,FALSE)*G477)</f>
        <v>0</v>
      </c>
      <c r="W477" s="102">
        <f t="shared" si="347"/>
        <v>0</v>
      </c>
      <c r="X477" s="102">
        <f t="shared" si="348"/>
        <v>0</v>
      </c>
      <c r="Y477" s="120" t="b">
        <f t="shared" si="349"/>
        <v>0</v>
      </c>
      <c r="Z477" s="117">
        <f t="shared" si="350"/>
        <v>0</v>
      </c>
      <c r="AA477" s="118"/>
      <c r="AB477" s="118" t="str">
        <f t="shared" si="351"/>
        <v/>
      </c>
      <c r="AC477" s="712" t="str">
        <f>IF(AE477="T2G","no charge",IF(AND(OR(PlanterYesMe="No",PlanterYesMe="N",PlanterYesMe="me"),H477=""),"",IF(H477="credit","NO install",IF(AND(K477="",AE477="me"),"EACH row",IF(AND(K477="images",AE477="me"),"EACH row",IF(D477="","",IF(H477="credit","",IF(AE477="free","re-planting",IF(AE477="me","   not ELP, by",IF(AND(OR(PlanterYesMe="Yes",PlanterYesMe="Y"),G477&gt;0),(VLOOKUP(A477,'Discount Lookup'!J:K,2)*G477*(1-PlanterDiscount)*(1+PlanterDifficultyPercentage)),IF(AE477="ELP",(VLOOKUP(A477,'Discount Lookup'!J:K,2)*G477*(1-PlanterDiscount)*(1+PlanterDifficultyPercentage)),IF(AE477="free","re-planting",IF(G477=0,"",IF(PlanterYesMe="",IF(AE477="me","   not ELP, by",IF(AE477="",IF(G477&gt;0,(VLOOKUP(A477,'Discount Lookup'!J:K,2)*G477*(1-PlanterDiscount)*(1+PlanterDifficultyPercentage)),""),"")),"   not ELP, by"))))))))))))))</f>
        <v/>
      </c>
      <c r="AD477" s="712"/>
      <c r="AE477" s="513" t="str">
        <f t="shared" si="352"/>
        <v/>
      </c>
      <c r="AF477" s="713" t="str">
        <f t="shared" si="353"/>
        <v/>
      </c>
      <c r="AG477" s="713"/>
      <c r="AH477" s="713"/>
      <c r="AI477" s="112">
        <f>IF(H477="credit",0,IF(AE477="free",0,IF(AE477="me",0,IF(G477&gt;0,(VLOOKUP(A477,'Discount Lookup'!J:K,2)*G477),0))))</f>
        <v>0</v>
      </c>
      <c r="AJ477" s="107" t="str">
        <f t="shared" ca="1" si="354"/>
        <v/>
      </c>
      <c r="AK477" s="714" t="str">
        <f t="shared" si="355"/>
        <v/>
      </c>
      <c r="AL477" s="714"/>
      <c r="AM477" s="114" t="str">
        <f t="shared" si="356"/>
        <v/>
      </c>
      <c r="AN477" s="115"/>
      <c r="AO477" s="116"/>
      <c r="AP477" s="116"/>
      <c r="AQ477" s="116"/>
      <c r="AR477" s="116"/>
      <c r="AS477" s="116"/>
      <c r="AT477" s="116"/>
      <c r="AU477" s="116"/>
      <c r="AV477" s="78"/>
      <c r="AW477" s="102"/>
      <c r="AX477" s="78"/>
      <c r="AY477" s="78"/>
      <c r="AZ477" s="78"/>
      <c r="BA477" s="78"/>
      <c r="BB477" s="78"/>
      <c r="BC477" s="78"/>
      <c r="BD477" s="78"/>
      <c r="BE477" s="465"/>
      <c r="BF477" s="165" t="str">
        <f t="shared" si="357"/>
        <v>https://www.google.com/search?tbm=isch&amp;q=25%20G4</v>
      </c>
      <c r="BG477" s="165" t="str">
        <f t="shared" si="358"/>
        <v>B</v>
      </c>
      <c r="BH477" s="65"/>
      <c r="BI477" s="65"/>
      <c r="BJ477" s="65"/>
      <c r="BK477" s="65"/>
      <c r="BL477" s="99"/>
      <c r="BM477" s="99"/>
      <c r="BN477" s="99"/>
    </row>
    <row r="478" spans="1:66" s="51" customFormat="1" ht="16.5" x14ac:dyDescent="0.25">
      <c r="A478" s="704" t="s">
        <v>5344</v>
      </c>
      <c r="B478" s="642"/>
      <c r="C478" s="710"/>
      <c r="D478" s="643"/>
      <c r="E478" s="643"/>
      <c r="F478" s="644"/>
      <c r="G478" s="645"/>
      <c r="H478" s="646"/>
      <c r="I478" s="647"/>
      <c r="J478" s="648"/>
      <c r="K478" s="649"/>
      <c r="L478" s="650"/>
      <c r="M478" s="650"/>
      <c r="N478" s="644"/>
      <c r="O478" s="644"/>
      <c r="P478" s="644"/>
      <c r="Q478" s="644"/>
      <c r="R478" s="644"/>
      <c r="S478" s="701" t="s">
        <v>5251</v>
      </c>
      <c r="T478" s="102">
        <f t="shared" si="346"/>
        <v>0</v>
      </c>
      <c r="U478" s="78" t="str">
        <f>IF(NOT(ISNUMBER(G478)), "", VLOOKUP(A478,'Discount Lookup'!D:E,2,FALSE)*G478)</f>
        <v/>
      </c>
      <c r="V478" s="78" t="str">
        <f>IF(NOT(ISNUMBER(G478)), "", VLOOKUP(A478,'Discount Lookup'!G:H,2,FALSE)*G478)</f>
        <v/>
      </c>
      <c r="W478" s="102">
        <f t="shared" si="347"/>
        <v>0</v>
      </c>
      <c r="X478" s="102">
        <f t="shared" si="348"/>
        <v>0</v>
      </c>
      <c r="Y478" s="120" t="b">
        <f t="shared" si="349"/>
        <v>0</v>
      </c>
      <c r="Z478" s="117">
        <f t="shared" si="350"/>
        <v>0</v>
      </c>
      <c r="AA478" s="118"/>
      <c r="AB478" s="118" t="str">
        <f t="shared" si="351"/>
        <v/>
      </c>
      <c r="AC478" s="712" t="str">
        <f>IF(AE478="T2G","no charge",IF(AND(OR(PlanterYesMe="No",PlanterYesMe="N",PlanterYesMe="me"),H478=""),"",IF(H478="credit","NO install",IF(AND(K478="",AE478="me"),"EACH row",IF(AND(K478="images",AE478="me"),"EACH row",IF(D478="","",IF(H478="credit","",IF(AE478="free","re-planting",IF(AE478="me","   not ELP, by",IF(AND(OR(PlanterYesMe="Yes",PlanterYesMe="Y"),G478&gt;0),(VLOOKUP(A478,'Discount Lookup'!J:K,2)*G478*(1-PlanterDiscount)*(1+PlanterDifficultyPercentage)),IF(AE478="ELP",(VLOOKUP(A478,'Discount Lookup'!J:K,2)*G478*(1-PlanterDiscount)*(1+PlanterDifficultyPercentage)),IF(AE478="free","re-planting",IF(G478=0,"",IF(PlanterYesMe="",IF(AE478="me","   not ELP, by",IF(AE478="",IF(G478&gt;0,(VLOOKUP(A478,'Discount Lookup'!J:K,2)*G478*(1-PlanterDiscount)*(1+PlanterDifficultyPercentage)),""),"")),"   not ELP, by"))))))))))))))</f>
        <v/>
      </c>
      <c r="AD478" s="712"/>
      <c r="AE478" s="513" t="str">
        <f t="shared" si="352"/>
        <v/>
      </c>
      <c r="AF478" s="713" t="str">
        <f t="shared" si="353"/>
        <v/>
      </c>
      <c r="AG478" s="713"/>
      <c r="AH478" s="713"/>
      <c r="AI478" s="112">
        <f>IF(H478="credit",0,IF(AE478="free",0,IF(AE478="me",0,IF(G478&gt;0,(VLOOKUP(A478,'Discount Lookup'!J:K,2)*G478),0))))</f>
        <v>0</v>
      </c>
      <c r="AJ478" s="107" t="str">
        <f t="shared" ca="1" si="354"/>
        <v/>
      </c>
      <c r="AK478" s="714" t="str">
        <f t="shared" si="355"/>
        <v/>
      </c>
      <c r="AL478" s="714"/>
      <c r="AM478" s="114" t="str">
        <f t="shared" si="356"/>
        <v/>
      </c>
      <c r="AN478" s="115"/>
      <c r="AO478" s="116"/>
      <c r="AP478" s="116"/>
      <c r="AQ478" s="116"/>
      <c r="AR478" s="116"/>
      <c r="AS478" s="116"/>
      <c r="AT478" s="116"/>
      <c r="AU478" s="116"/>
      <c r="AV478" s="78"/>
      <c r="AW478" s="102"/>
      <c r="AX478" s="78"/>
      <c r="AY478" s="78"/>
      <c r="AZ478" s="78"/>
      <c r="BA478" s="78"/>
      <c r="BB478" s="78"/>
      <c r="BC478" s="78"/>
      <c r="BD478" s="78"/>
      <c r="BE478" s="465"/>
      <c r="BF478" s="165" t="str">
        <f t="shared" si="357"/>
        <v>https://www.google.com/search?tbm=isch&amp;q=moist%20sites%F0%9F%92%A7BEST%2C%20Little%20King%20has%20Creamy-White%20to%20Salmon-Pink%20to%20Reddish-Brown%20peeling%20bark.%20Yellow%20fall%20foliage.%20Tolerates%20drier%20soils%20</v>
      </c>
      <c r="BG478" s="165" t="str">
        <f t="shared" si="358"/>
        <v>m</v>
      </c>
      <c r="BH478" s="65"/>
      <c r="BI478" s="65"/>
      <c r="BJ478" s="65"/>
      <c r="BK478" s="65"/>
      <c r="BL478" s="99"/>
      <c r="BM478" s="99"/>
      <c r="BN478" s="99"/>
    </row>
    <row r="479" spans="1:66" s="51" customFormat="1" ht="19.5" thickBot="1" x14ac:dyDescent="0.3">
      <c r="A479" s="686" t="s">
        <v>377</v>
      </c>
      <c r="B479" s="73"/>
      <c r="C479" s="708"/>
      <c r="D479" s="73"/>
      <c r="E479" s="73"/>
      <c r="F479" s="496"/>
      <c r="G479" s="73"/>
      <c r="H479" s="73"/>
      <c r="I479" s="73"/>
      <c r="J479" s="497" t="s">
        <v>357</v>
      </c>
      <c r="K479" s="498"/>
      <c r="L479" s="562"/>
      <c r="M479" s="73"/>
      <c r="N479"/>
      <c r="O479"/>
      <c r="P479"/>
      <c r="Q479"/>
      <c r="R479"/>
      <c r="S479"/>
      <c r="T479" s="102">
        <f t="shared" si="346"/>
        <v>0</v>
      </c>
      <c r="U479" s="78" t="str">
        <f>IF(NOT(ISNUMBER(G479)), "", VLOOKUP(A479,'Discount Lookup'!D:E,2,FALSE)*G479)</f>
        <v/>
      </c>
      <c r="V479" s="78" t="str">
        <f>IF(NOT(ISNUMBER(G479)), "", VLOOKUP(A479,'Discount Lookup'!G:H,2,FALSE)*G479)</f>
        <v/>
      </c>
      <c r="W479" s="102">
        <f t="shared" si="347"/>
        <v>0</v>
      </c>
      <c r="X479" s="102">
        <f t="shared" si="348"/>
        <v>0</v>
      </c>
      <c r="Y479" s="120" t="b">
        <f t="shared" si="349"/>
        <v>0</v>
      </c>
      <c r="Z479" s="117">
        <f t="shared" si="350"/>
        <v>0</v>
      </c>
      <c r="AA479" s="118"/>
      <c r="AB479" s="118" t="str">
        <f t="shared" si="351"/>
        <v/>
      </c>
      <c r="AC479" s="712" t="str">
        <f>IF(AE479="T2G","no charge",IF(AND(OR(PlanterYesMe="No",PlanterYesMe="N",PlanterYesMe="me"),H479=""),"",IF(H479="credit","NO install",IF(AND(K479="",AE479="me"),"EACH row",IF(AND(K479="images",AE479="me"),"EACH row",IF(D479="","",IF(H479="credit","",IF(AE479="free","re-planting",IF(AE479="me","   not ELP, by",IF(AND(OR(PlanterYesMe="Yes",PlanterYesMe="Y"),G479&gt;0),(VLOOKUP(A479,'Discount Lookup'!J:K,2)*G479*(1-PlanterDiscount)*(1+PlanterDifficultyPercentage)),IF(AE479="ELP",(VLOOKUP(A479,'Discount Lookup'!J:K,2)*G479*(1-PlanterDiscount)*(1+PlanterDifficultyPercentage)),IF(AE479="free","re-planting",IF(G479=0,"",IF(PlanterYesMe="",IF(AE479="me","   not ELP, by",IF(AE479="",IF(G479&gt;0,(VLOOKUP(A479,'Discount Lookup'!J:K,2)*G479*(1-PlanterDiscount)*(1+PlanterDifficultyPercentage)),""),"")),"   not ELP, by"))))))))))))))</f>
        <v/>
      </c>
      <c r="AD479" s="712"/>
      <c r="AE479" s="513" t="str">
        <f t="shared" si="352"/>
        <v/>
      </c>
      <c r="AF479" s="713" t="str">
        <f t="shared" si="353"/>
        <v/>
      </c>
      <c r="AG479" s="713"/>
      <c r="AH479" s="713"/>
      <c r="AI479" s="112">
        <f>IF(H479="credit",0,IF(AE479="free",0,IF(AE479="me",0,IF(G479&gt;0,(VLOOKUP(A479,'Discount Lookup'!J:K,2)*G479),0))))</f>
        <v>0</v>
      </c>
      <c r="AJ479" s="107" t="str">
        <f t="shared" ca="1" si="354"/>
        <v/>
      </c>
      <c r="AK479" s="714" t="str">
        <f t="shared" si="355"/>
        <v/>
      </c>
      <c r="AL479" s="714"/>
      <c r="AM479" s="114" t="str">
        <f t="shared" si="356"/>
        <v/>
      </c>
      <c r="AN479" s="115"/>
      <c r="AO479" s="116"/>
      <c r="AP479" s="116"/>
      <c r="AQ479" s="116"/>
      <c r="AR479" s="116"/>
      <c r="AS479" s="116"/>
      <c r="AT479" s="116"/>
      <c r="AU479" s="116"/>
      <c r="AV479" s="78"/>
      <c r="AW479" s="102"/>
      <c r="AX479" s="78"/>
      <c r="AY479" s="78"/>
      <c r="AZ479" s="78"/>
      <c r="BA479" s="78"/>
      <c r="BB479" s="78"/>
      <c r="BC479" s="78"/>
      <c r="BD479" s="78"/>
      <c r="BE479" s="465"/>
      <c r="BF479" s="165" t="str">
        <f t="shared" si="357"/>
        <v>https://www.google.com/search?tbm=isch&amp;q=Bignonia%20%3D%20Crossvine%20</v>
      </c>
      <c r="BG479" s="165" t="str">
        <f t="shared" si="358"/>
        <v>B</v>
      </c>
      <c r="BH479" s="65"/>
      <c r="BI479" s="65"/>
      <c r="BJ479" s="65"/>
      <c r="BK479" s="65"/>
      <c r="BL479" s="99"/>
      <c r="BM479" s="99"/>
      <c r="BN479" s="99"/>
    </row>
    <row r="480" spans="1:66" s="51" customFormat="1" ht="18" x14ac:dyDescent="0.25">
      <c r="A480" s="507" t="s">
        <v>1577</v>
      </c>
      <c r="B480" s="470"/>
      <c r="C480" s="706"/>
      <c r="D480" s="471" t="s">
        <v>1578</v>
      </c>
      <c r="E480" s="472"/>
      <c r="F480" s="472"/>
      <c r="G480" s="472"/>
      <c r="H480" s="622" t="s">
        <v>1579</v>
      </c>
      <c r="I480" s="473" t="s">
        <v>1580</v>
      </c>
      <c r="J480" s="472"/>
      <c r="K480" s="472"/>
      <c r="L480" s="561"/>
      <c r="M480" s="698" t="s">
        <v>5246</v>
      </c>
      <c r="N480" s="692" t="str">
        <f>IF(AND(ISTEXT($A480), ISERROR($A480+0)), HYPERLINK($BF480, "Images"), "")</f>
        <v>Images</v>
      </c>
      <c r="O480" s="694" t="s">
        <v>5247</v>
      </c>
      <c r="P480" s="475"/>
      <c r="Q480" s="476"/>
      <c r="R480" s="476"/>
      <c r="S480" s="477" t="s">
        <v>294</v>
      </c>
      <c r="T480" s="102">
        <f t="shared" si="346"/>
        <v>0</v>
      </c>
      <c r="U480" s="78" t="str">
        <f>IF(NOT(ISNUMBER(G480)), "", VLOOKUP(A480,'Discount Lookup'!D:E,2,FALSE)*G480)</f>
        <v/>
      </c>
      <c r="V480" s="78" t="str">
        <f>IF(NOT(ISNUMBER(G480)), "", VLOOKUP(A480,'Discount Lookup'!G:H,2,FALSE)*G480)</f>
        <v/>
      </c>
      <c r="W480" s="102">
        <f t="shared" si="347"/>
        <v>0</v>
      </c>
      <c r="X480" s="102" t="str">
        <f t="shared" si="348"/>
        <v>Tangerine bloom</v>
      </c>
      <c r="Y480" s="120" t="b">
        <f t="shared" si="349"/>
        <v>0</v>
      </c>
      <c r="Z480" s="117">
        <f t="shared" si="350"/>
        <v>0</v>
      </c>
      <c r="AA480" s="118"/>
      <c r="AB480" s="118" t="str">
        <f t="shared" si="351"/>
        <v/>
      </c>
      <c r="AC480" s="712" t="str">
        <f>IF(AE480="T2G","no charge",IF(AND(OR(PlanterYesMe="No",PlanterYesMe="N",PlanterYesMe="me"),H480=""),"",IF(H480="credit","NO install",IF(AND(K480="",AE480="me"),"EACH row",IF(AND(K480="images",AE480="me"),"EACH row",IF(D480="","",IF(H480="credit","",IF(AE480="free","re-planting",IF(AE480="me","   not ELP, by",IF(AND(OR(PlanterYesMe="Yes",PlanterYesMe="Y"),G480&gt;0),(VLOOKUP(A480,'Discount Lookup'!J:K,2)*G480*(1-PlanterDiscount)*(1+PlanterDifficultyPercentage)),IF(AE480="ELP",(VLOOKUP(A480,'Discount Lookup'!J:K,2)*G480*(1-PlanterDiscount)*(1+PlanterDifficultyPercentage)),IF(AE480="free","re-planting",IF(G480=0,"",IF(PlanterYesMe="",IF(AE480="me","   not ELP, by",IF(AE480="",IF(G480&gt;0,(VLOOKUP(A480,'Discount Lookup'!J:K,2)*G480*(1-PlanterDiscount)*(1+PlanterDifficultyPercentage)),""),"")),"   not ELP, by"))))))))))))))</f>
        <v/>
      </c>
      <c r="AD480" s="712"/>
      <c r="AE480" s="513" t="str">
        <f t="shared" si="352"/>
        <v/>
      </c>
      <c r="AF480" s="713" t="str">
        <f t="shared" si="353"/>
        <v/>
      </c>
      <c r="AG480" s="713"/>
      <c r="AH480" s="713"/>
      <c r="AI480" s="112">
        <f>IF(H480="credit",0,IF(AE480="free",0,IF(AE480="me",0,IF(G480&gt;0,(VLOOKUP(A480,'Discount Lookup'!J:K,2)*G480),0))))</f>
        <v>0</v>
      </c>
      <c r="AJ480" s="107" t="str">
        <f t="shared" ca="1" si="354"/>
        <v/>
      </c>
      <c r="AK480" s="714" t="str">
        <f t="shared" si="355"/>
        <v/>
      </c>
      <c r="AL480" s="714"/>
      <c r="AM480" s="114" t="str">
        <f t="shared" si="356"/>
        <v/>
      </c>
      <c r="AN480" s="115"/>
      <c r="AO480" s="116"/>
      <c r="AP480" s="116"/>
      <c r="AQ480" s="116"/>
      <c r="AR480" s="116"/>
      <c r="AS480" s="116"/>
      <c r="AT480" s="116"/>
      <c r="AU480" s="116"/>
      <c r="AV480" s="78"/>
      <c r="AW480" s="102"/>
      <c r="AX480" s="78"/>
      <c r="AY480" s="78"/>
      <c r="AZ480" s="78"/>
      <c r="BA480" s="78"/>
      <c r="BB480" s="78"/>
      <c r="BC480" s="78"/>
      <c r="BD480" s="78"/>
      <c r="BE480" s="465"/>
      <c r="BF480" s="165" t="str">
        <f t="shared" si="357"/>
        <v>https://www.google.com/search?tbm=isch&amp;q=Bignonia%20%27Tangerine%20Beauty%27%20PP%233262Exp.%20Tangerine%20Beauty%20Cross-Vine</v>
      </c>
      <c r="BG480" s="165" t="str">
        <f t="shared" si="358"/>
        <v>B</v>
      </c>
      <c r="BH480" s="65"/>
      <c r="BI480" s="65"/>
      <c r="BJ480" s="65"/>
      <c r="BK480" s="65"/>
      <c r="BL480" s="99"/>
      <c r="BM480" s="99"/>
      <c r="BN480" s="99"/>
    </row>
    <row r="481" spans="1:66" s="51" customFormat="1" ht="15.75" x14ac:dyDescent="0.25">
      <c r="A481" s="478">
        <v>3</v>
      </c>
      <c r="B481" s="479" t="s">
        <v>291</v>
      </c>
      <c r="C481" s="480"/>
      <c r="D481" s="481" t="s">
        <v>310</v>
      </c>
      <c r="E481" s="482">
        <v>30.95</v>
      </c>
      <c r="F481" s="483" t="s">
        <v>292</v>
      </c>
      <c r="G481" s="484">
        <v>0</v>
      </c>
      <c r="H481" s="688" t="str">
        <f>IF(G481=0,"",IF(F481="Buy",IF(G481=1,"plant","plants"),IF(F481&gt;0.01,"warranty","Error")))</f>
        <v/>
      </c>
      <c r="I481" s="485">
        <f>IF(H481="free",0,IF(H481="credit",((E481*(F481))*G481*-1),IF(F481="Buy",(E481*G481),((E481*(1-F481))*G481))))</f>
        <v>0</v>
      </c>
      <c r="J481" s="485">
        <f>IF(H481="warranty",0,(I481*(_xlfn.SINGLE(SalesTaxPercentage))))</f>
        <v>0</v>
      </c>
      <c r="K481" s="715">
        <f t="shared" ref="K481" si="366">I481+J481</f>
        <v>0</v>
      </c>
      <c r="L481" s="715"/>
      <c r="M481" s="689" t="str">
        <f ca="1">IF(AND(G481&gt;0,E481=0),"WARNING - no PRICE inserted",IF(H481="free","FREE ~ no charge this plant",IF(H481="credit",CONCATENATE("-$",ROUND(K481*(1-_xlfn.SINGLE(T2GDiscount))*-1,2)," CREDIT after discount"),IF(_xlfn.SINGLE(T2GDiscount)=0,"",IF(G481=0,"",IF(F481="Buy",CONCATENATE("$",ROUND(K481*(1-_xlfn.SINGLE(T2GDiscount)),2)," with ",(_xlfn.SINGLE(T2GDiscount)*100),"% discount"),CONCATENATE("$",ROUND(K481*(1-_xlfn.SINGLE(T2GDiscount)),2)," with ",((_xlfn.SINGLE(T2GDiscount)*100+F481*100)-(_xlfn.SINGLE(T2GDiscount)*100*F481)),IF(F481&gt;0,"% discounts",IF(_xlfn.SINGLE(NoWarrantyDiscount)&gt;0,"% discounts","% discount")))))))))</f>
        <v/>
      </c>
      <c r="N481" s="690"/>
      <c r="O481" s="486"/>
      <c r="P481" s="486"/>
      <c r="Q481" s="486"/>
      <c r="R481" s="486"/>
      <c r="S481" s="486"/>
      <c r="T481" s="102">
        <f t="shared" si="346"/>
        <v>0</v>
      </c>
      <c r="U481" s="78">
        <f>IF(NOT(ISNUMBER(G481)), "", VLOOKUP(A481,'Discount Lookup'!D:E,2,FALSE)*G481)</f>
        <v>0</v>
      </c>
      <c r="V481" s="78">
        <f>IF(NOT(ISNUMBER(G481)), "", VLOOKUP(A481,'Discount Lookup'!G:H,2,FALSE)*G481)</f>
        <v>0</v>
      </c>
      <c r="W481" s="102">
        <f t="shared" si="347"/>
        <v>0</v>
      </c>
      <c r="X481" s="102">
        <f t="shared" si="348"/>
        <v>0</v>
      </c>
      <c r="Y481" s="120" t="b">
        <f t="shared" si="349"/>
        <v>0</v>
      </c>
      <c r="Z481" s="117">
        <f t="shared" si="350"/>
        <v>0</v>
      </c>
      <c r="AA481" s="118"/>
      <c r="AB481" s="118" t="str">
        <f t="shared" si="351"/>
        <v/>
      </c>
      <c r="AC481" s="712" t="str">
        <f>IF(AE481="T2G","no charge",IF(AND(OR(PlanterYesMe="No",PlanterYesMe="N",PlanterYesMe="me"),H481=""),"",IF(H481="credit","NO install",IF(AND(K481="",AE481="me"),"EACH row",IF(AND(K481="images",AE481="me"),"EACH row",IF(D481="","",IF(H481="credit","",IF(AE481="free","re-planting",IF(AE481="me","   not ELP, by",IF(AND(OR(PlanterYesMe="Yes",PlanterYesMe="Y"),G481&gt;0),(VLOOKUP(A481,'Discount Lookup'!J:K,2)*G481*(1-PlanterDiscount)*(1+PlanterDifficultyPercentage)),IF(AE481="ELP",(VLOOKUP(A481,'Discount Lookup'!J:K,2)*G481*(1-PlanterDiscount)*(1+PlanterDifficultyPercentage)),IF(AE481="free","re-planting",IF(G481=0,"",IF(PlanterYesMe="",IF(AE481="me","   not ELP, by",IF(AE481="",IF(G481&gt;0,(VLOOKUP(A481,'Discount Lookup'!J:K,2)*G481*(1-PlanterDiscount)*(1+PlanterDifficultyPercentage)),""),"")),"   not ELP, by"))))))))))))))</f>
        <v/>
      </c>
      <c r="AD481" s="712"/>
      <c r="AE481" s="513" t="str">
        <f t="shared" si="352"/>
        <v/>
      </c>
      <c r="AF481" s="713" t="str">
        <f t="shared" si="353"/>
        <v/>
      </c>
      <c r="AG481" s="713"/>
      <c r="AH481" s="713"/>
      <c r="AI481" s="112">
        <f>IF(H481="credit",0,IF(AE481="free",0,IF(AE481="me",0,IF(G481&gt;0,(VLOOKUP(A481,'Discount Lookup'!J:K,2)*G481),0))))</f>
        <v>0</v>
      </c>
      <c r="AJ481" s="107" t="str">
        <f t="shared" ca="1" si="354"/>
        <v/>
      </c>
      <c r="AK481" s="714" t="str">
        <f t="shared" si="355"/>
        <v/>
      </c>
      <c r="AL481" s="714"/>
      <c r="AM481" s="114" t="str">
        <f t="shared" si="356"/>
        <v/>
      </c>
      <c r="AN481" s="115"/>
      <c r="AO481" s="116"/>
      <c r="AP481" s="116"/>
      <c r="AQ481" s="116"/>
      <c r="AR481" s="116"/>
      <c r="AS481" s="116"/>
      <c r="AT481" s="116"/>
      <c r="AU481" s="116"/>
      <c r="AV481" s="78"/>
      <c r="AW481" s="102"/>
      <c r="AX481" s="78"/>
      <c r="AY481" s="78"/>
      <c r="AZ481" s="78"/>
      <c r="BA481" s="78"/>
      <c r="BB481" s="78"/>
      <c r="BC481" s="78"/>
      <c r="BD481" s="78"/>
      <c r="BE481" s="465"/>
      <c r="BF481" s="165" t="str">
        <f t="shared" si="357"/>
        <v>https://www.google.com/search?tbm=isch&amp;q=3%20G1</v>
      </c>
      <c r="BG481" s="165" t="str">
        <f t="shared" si="358"/>
        <v>B</v>
      </c>
      <c r="BH481" s="65"/>
      <c r="BI481" s="65"/>
      <c r="BJ481" s="65"/>
      <c r="BK481" s="65"/>
      <c r="BL481" s="99"/>
      <c r="BM481" s="99"/>
      <c r="BN481" s="99"/>
    </row>
    <row r="482" spans="1:66" s="51" customFormat="1" ht="15.75" x14ac:dyDescent="0.25">
      <c r="A482" s="478">
        <v>3</v>
      </c>
      <c r="B482" s="479" t="s">
        <v>291</v>
      </c>
      <c r="C482" s="480"/>
      <c r="D482" s="481" t="s">
        <v>329</v>
      </c>
      <c r="E482" s="482">
        <v>33.950000000000003</v>
      </c>
      <c r="F482" s="483" t="s">
        <v>292</v>
      </c>
      <c r="G482" s="484">
        <v>0</v>
      </c>
      <c r="H482" s="688" t="str">
        <f>IF(G482=0,"",IF(F482="Buy",IF(G482=1,"plant","plants"),IF(F482&gt;0.01,"warranty","Error")))</f>
        <v/>
      </c>
      <c r="I482" s="485">
        <f>IF(H482="free",0,IF(H482="credit",((E482*(F482))*G482*-1),IF(F482="Buy",(E482*G482),((E482*(1-F482))*G482))))</f>
        <v>0</v>
      </c>
      <c r="J482" s="485">
        <f>IF(H482="warranty",0,(I482*(_xlfn.SINGLE(SalesTaxPercentage))))</f>
        <v>0</v>
      </c>
      <c r="K482" s="715">
        <f t="shared" ref="K482" si="367">I482+J482</f>
        <v>0</v>
      </c>
      <c r="L482" s="715"/>
      <c r="M482" s="689" t="str">
        <f ca="1">IF(AND(G482&gt;0,E482=0),"WARNING - no PRICE inserted",IF(H482="free","FREE ~ no charge this plant",IF(H482="credit",CONCATENATE("-$",ROUND(K482*(1-_xlfn.SINGLE(T2GDiscount))*-1,2)," CREDIT after discount"),IF(_xlfn.SINGLE(T2GDiscount)=0,"",IF(G482=0,"",IF(F482="Buy",CONCATENATE("$",ROUND(K482*(1-_xlfn.SINGLE(T2GDiscount)),2)," with ",(_xlfn.SINGLE(T2GDiscount)*100),"% discount"),CONCATENATE("$",ROUND(K482*(1-_xlfn.SINGLE(T2GDiscount)),2)," with ",((_xlfn.SINGLE(T2GDiscount)*100+F482*100)-(_xlfn.SINGLE(T2GDiscount)*100*F482)),IF(F482&gt;0,"% discounts",IF(_xlfn.SINGLE(NoWarrantyDiscount)&gt;0,"% discounts","% discount")))))))))</f>
        <v/>
      </c>
      <c r="N482" s="690"/>
      <c r="O482" s="486"/>
      <c r="P482" s="486"/>
      <c r="Q482" s="486"/>
      <c r="R482" s="486"/>
      <c r="S482" s="486"/>
      <c r="T482" s="102">
        <f t="shared" si="346"/>
        <v>0</v>
      </c>
      <c r="U482" s="78">
        <f>IF(NOT(ISNUMBER(G482)), "", VLOOKUP(A482,'Discount Lookup'!D:E,2,FALSE)*G482)</f>
        <v>0</v>
      </c>
      <c r="V482" s="78">
        <f>IF(NOT(ISNUMBER(G482)), "", VLOOKUP(A482,'Discount Lookup'!G:H,2,FALSE)*G482)</f>
        <v>0</v>
      </c>
      <c r="W482" s="102">
        <f t="shared" si="347"/>
        <v>0</v>
      </c>
      <c r="X482" s="102">
        <f t="shared" si="348"/>
        <v>0</v>
      </c>
      <c r="Y482" s="120" t="b">
        <f t="shared" si="349"/>
        <v>0</v>
      </c>
      <c r="Z482" s="117">
        <f t="shared" si="350"/>
        <v>0</v>
      </c>
      <c r="AA482" s="118"/>
      <c r="AB482" s="118" t="str">
        <f t="shared" si="351"/>
        <v/>
      </c>
      <c r="AC482" s="712" t="str">
        <f>IF(AE482="T2G","no charge",IF(AND(OR(PlanterYesMe="No",PlanterYesMe="N",PlanterYesMe="me"),H482=""),"",IF(H482="credit","NO install",IF(AND(K482="",AE482="me"),"EACH row",IF(AND(K482="images",AE482="me"),"EACH row",IF(D482="","",IF(H482="credit","",IF(AE482="free","re-planting",IF(AE482="me","   not ELP, by",IF(AND(OR(PlanterYesMe="Yes",PlanterYesMe="Y"),G482&gt;0),(VLOOKUP(A482,'Discount Lookup'!J:K,2)*G482*(1-PlanterDiscount)*(1+PlanterDifficultyPercentage)),IF(AE482="ELP",(VLOOKUP(A482,'Discount Lookup'!J:K,2)*G482*(1-PlanterDiscount)*(1+PlanterDifficultyPercentage)),IF(AE482="free","re-planting",IF(G482=0,"",IF(PlanterYesMe="",IF(AE482="me","   not ELP, by",IF(AE482="",IF(G482&gt;0,(VLOOKUP(A482,'Discount Lookup'!J:K,2)*G482*(1-PlanterDiscount)*(1+PlanterDifficultyPercentage)),""),"")),"   not ELP, by"))))))))))))))</f>
        <v/>
      </c>
      <c r="AD482" s="712"/>
      <c r="AE482" s="513" t="str">
        <f t="shared" si="352"/>
        <v/>
      </c>
      <c r="AF482" s="713" t="str">
        <f t="shared" si="353"/>
        <v/>
      </c>
      <c r="AG482" s="713"/>
      <c r="AH482" s="713"/>
      <c r="AI482" s="112">
        <f>IF(H482="credit",0,IF(AE482="free",0,IF(AE482="me",0,IF(G482&gt;0,(VLOOKUP(A482,'Discount Lookup'!J:K,2)*G482),0))))</f>
        <v>0</v>
      </c>
      <c r="AJ482" s="107" t="str">
        <f t="shared" ca="1" si="354"/>
        <v/>
      </c>
      <c r="AK482" s="714" t="str">
        <f t="shared" si="355"/>
        <v/>
      </c>
      <c r="AL482" s="714"/>
      <c r="AM482" s="114" t="str">
        <f t="shared" si="356"/>
        <v/>
      </c>
      <c r="AN482" s="115"/>
      <c r="AO482" s="116"/>
      <c r="AP482" s="116"/>
      <c r="AQ482" s="116"/>
      <c r="AR482" s="116"/>
      <c r="AS482" s="116"/>
      <c r="AT482" s="116"/>
      <c r="AU482" s="116"/>
      <c r="AV482" s="78"/>
      <c r="AW482" s="102"/>
      <c r="AX482" s="78"/>
      <c r="AY482" s="78"/>
      <c r="AZ482" s="78"/>
      <c r="BA482" s="78"/>
      <c r="BB482" s="78"/>
      <c r="BC482" s="78"/>
      <c r="BD482" s="78"/>
      <c r="BE482" s="465"/>
      <c r="BF482" s="165" t="str">
        <f t="shared" si="357"/>
        <v>https://www.google.com/search?tbm=isch&amp;q=3%20G2</v>
      </c>
      <c r="BG482" s="165" t="str">
        <f t="shared" si="358"/>
        <v>B</v>
      </c>
      <c r="BH482" s="65"/>
      <c r="BI482" s="65"/>
      <c r="BJ482" s="65"/>
      <c r="BK482" s="65"/>
      <c r="BL482" s="99"/>
      <c r="BM482" s="99"/>
      <c r="BN482" s="99"/>
    </row>
    <row r="483" spans="1:66" s="51" customFormat="1" ht="15.75" x14ac:dyDescent="0.25">
      <c r="A483" s="508" t="s">
        <v>1581</v>
      </c>
      <c r="B483" s="487"/>
      <c r="C483" s="707"/>
      <c r="D483" s="487"/>
      <c r="E483" s="487"/>
      <c r="F483" s="488"/>
      <c r="G483" s="489"/>
      <c r="H483" s="487"/>
      <c r="I483" s="490"/>
      <c r="J483" s="490"/>
      <c r="K483" s="491"/>
      <c r="L483" s="547"/>
      <c r="M483" s="528"/>
      <c r="N483" s="492"/>
      <c r="O483" s="493"/>
      <c r="P483" s="494"/>
      <c r="Q483" s="492"/>
      <c r="R483" s="492"/>
      <c r="S483" s="495"/>
      <c r="T483" s="102">
        <f t="shared" si="346"/>
        <v>0</v>
      </c>
      <c r="U483" s="78" t="str">
        <f>IF(NOT(ISNUMBER(G483)), "", VLOOKUP(A483,'Discount Lookup'!D:E,2,FALSE)*G483)</f>
        <v/>
      </c>
      <c r="V483" s="78" t="str">
        <f>IF(NOT(ISNUMBER(G483)), "", VLOOKUP(A483,'Discount Lookup'!G:H,2,FALSE)*G483)</f>
        <v/>
      </c>
      <c r="W483" s="102">
        <f t="shared" si="347"/>
        <v>0</v>
      </c>
      <c r="X483" s="102">
        <f t="shared" si="348"/>
        <v>0</v>
      </c>
      <c r="Y483" s="120" t="b">
        <f t="shared" si="349"/>
        <v>0</v>
      </c>
      <c r="Z483" s="117">
        <f t="shared" si="350"/>
        <v>0</v>
      </c>
      <c r="AA483" s="118"/>
      <c r="AB483" s="118" t="str">
        <f t="shared" si="351"/>
        <v/>
      </c>
      <c r="AC483" s="712" t="str">
        <f>IF(AE483="T2G","no charge",IF(AND(OR(PlanterYesMe="No",PlanterYesMe="N",PlanterYesMe="me"),H483=""),"",IF(H483="credit","NO install",IF(AND(K483="",AE483="me"),"EACH row",IF(AND(K483="images",AE483="me"),"EACH row",IF(D483="","",IF(H483="credit","",IF(AE483="free","re-planting",IF(AE483="me","   not ELP, by",IF(AND(OR(PlanterYesMe="Yes",PlanterYesMe="Y"),G483&gt;0),(VLOOKUP(A483,'Discount Lookup'!J:K,2)*G483*(1-PlanterDiscount)*(1+PlanterDifficultyPercentage)),IF(AE483="ELP",(VLOOKUP(A483,'Discount Lookup'!J:K,2)*G483*(1-PlanterDiscount)*(1+PlanterDifficultyPercentage)),IF(AE483="free","re-planting",IF(G483=0,"",IF(PlanterYesMe="",IF(AE483="me","   not ELP, by",IF(AE483="",IF(G483&gt;0,(VLOOKUP(A483,'Discount Lookup'!J:K,2)*G483*(1-PlanterDiscount)*(1+PlanterDifficultyPercentage)),""),"")),"   not ELP, by"))))))))))))))</f>
        <v/>
      </c>
      <c r="AD483" s="712"/>
      <c r="AE483" s="513" t="str">
        <f t="shared" si="352"/>
        <v/>
      </c>
      <c r="AF483" s="713" t="str">
        <f t="shared" si="353"/>
        <v/>
      </c>
      <c r="AG483" s="713"/>
      <c r="AH483" s="713"/>
      <c r="AI483" s="112">
        <f>IF(H483="credit",0,IF(AE483="free",0,IF(AE483="me",0,IF(G483&gt;0,(VLOOKUP(A483,'Discount Lookup'!J:K,2)*G483),0))))</f>
        <v>0</v>
      </c>
      <c r="AJ483" s="107" t="str">
        <f t="shared" ca="1" si="354"/>
        <v/>
      </c>
      <c r="AK483" s="714" t="str">
        <f t="shared" si="355"/>
        <v/>
      </c>
      <c r="AL483" s="714"/>
      <c r="AM483" s="114" t="str">
        <f t="shared" si="356"/>
        <v/>
      </c>
      <c r="AN483" s="115"/>
      <c r="AO483" s="116"/>
      <c r="AP483" s="116"/>
      <c r="AQ483" s="116"/>
      <c r="AR483" s="116"/>
      <c r="AS483" s="116"/>
      <c r="AT483" s="116"/>
      <c r="AU483" s="116"/>
      <c r="AV483" s="78"/>
      <c r="AW483" s="102"/>
      <c r="AX483" s="78"/>
      <c r="AY483" s="78"/>
      <c r="AZ483" s="78"/>
      <c r="BA483" s="78"/>
      <c r="BB483" s="78"/>
      <c r="BC483" s="78"/>
      <c r="BD483" s="78"/>
      <c r="BE483" s="465"/>
      <c r="BF483" s="165" t="str">
        <f t="shared" si="357"/>
        <v>https://www.google.com/search?tbm=isch&amp;q=Tangerine%20Beauty%27%20trumpet-shaped%20flowers%20are%20fragrant%20and%20very%20showy%20%28finest%20in%20full%20sun%29.%20May%20defoliate%20in%20freeze%20</v>
      </c>
      <c r="BG483" s="165" t="str">
        <f t="shared" si="358"/>
        <v>T</v>
      </c>
      <c r="BH483" s="65"/>
      <c r="BI483" s="65"/>
      <c r="BJ483" s="65"/>
      <c r="BK483" s="65"/>
      <c r="BL483" s="99"/>
      <c r="BM483" s="99"/>
      <c r="BN483" s="99"/>
    </row>
    <row r="484" spans="1:66" s="51" customFormat="1" ht="19.5" thickBot="1" x14ac:dyDescent="0.3">
      <c r="A484" s="686" t="s">
        <v>376</v>
      </c>
      <c r="B484" s="73"/>
      <c r="C484" s="708"/>
      <c r="D484" s="73"/>
      <c r="E484" s="73"/>
      <c r="F484" s="496"/>
      <c r="G484" s="73"/>
      <c r="H484" s="73"/>
      <c r="I484" s="73"/>
      <c r="J484" s="497" t="s">
        <v>357</v>
      </c>
      <c r="K484" s="498"/>
      <c r="L484" s="562"/>
      <c r="M484" s="73"/>
      <c r="N484"/>
      <c r="O484"/>
      <c r="P484"/>
      <c r="Q484"/>
      <c r="R484"/>
      <c r="S484"/>
      <c r="T484" s="102">
        <f t="shared" si="346"/>
        <v>0</v>
      </c>
      <c r="U484" s="78" t="str">
        <f>IF(NOT(ISNUMBER(G484)), "", VLOOKUP(A484,'Discount Lookup'!D:E,2,FALSE)*G484)</f>
        <v/>
      </c>
      <c r="V484" s="78" t="str">
        <f>IF(NOT(ISNUMBER(G484)), "", VLOOKUP(A484,'Discount Lookup'!G:H,2,FALSE)*G484)</f>
        <v/>
      </c>
      <c r="W484" s="102">
        <f t="shared" si="347"/>
        <v>0</v>
      </c>
      <c r="X484" s="102">
        <f t="shared" si="348"/>
        <v>0</v>
      </c>
      <c r="Y484" s="120" t="b">
        <f t="shared" si="349"/>
        <v>0</v>
      </c>
      <c r="Z484" s="117">
        <f t="shared" si="350"/>
        <v>0</v>
      </c>
      <c r="AA484" s="118"/>
      <c r="AB484" s="118" t="str">
        <f t="shared" si="351"/>
        <v/>
      </c>
      <c r="AC484" s="712" t="str">
        <f>IF(AE484="T2G","no charge",IF(AND(OR(PlanterYesMe="No",PlanterYesMe="N",PlanterYesMe="me"),H484=""),"",IF(H484="credit","NO install",IF(AND(K484="",AE484="me"),"EACH row",IF(AND(K484="images",AE484="me"),"EACH row",IF(D484="","",IF(H484="credit","",IF(AE484="free","re-planting",IF(AE484="me","   not ELP, by",IF(AND(OR(PlanterYesMe="Yes",PlanterYesMe="Y"),G484&gt;0),(VLOOKUP(A484,'Discount Lookup'!J:K,2)*G484*(1-PlanterDiscount)*(1+PlanterDifficultyPercentage)),IF(AE484="ELP",(VLOOKUP(A484,'Discount Lookup'!J:K,2)*G484*(1-PlanterDiscount)*(1+PlanterDifficultyPercentage)),IF(AE484="free","re-planting",IF(G484=0,"",IF(PlanterYesMe="",IF(AE484="me","   not ELP, by",IF(AE484="",IF(G484&gt;0,(VLOOKUP(A484,'Discount Lookup'!J:K,2)*G484*(1-PlanterDiscount)*(1+PlanterDifficultyPercentage)),""),"")),"   not ELP, by"))))))))))))))</f>
        <v/>
      </c>
      <c r="AD484" s="712"/>
      <c r="AE484" s="513" t="str">
        <f t="shared" si="352"/>
        <v/>
      </c>
      <c r="AF484" s="713" t="str">
        <f t="shared" si="353"/>
        <v/>
      </c>
      <c r="AG484" s="713"/>
      <c r="AH484" s="713"/>
      <c r="AI484" s="112">
        <f>IF(H484="credit",0,IF(AE484="free",0,IF(AE484="me",0,IF(G484&gt;0,(VLOOKUP(A484,'Discount Lookup'!J:K,2)*G484),0))))</f>
        <v>0</v>
      </c>
      <c r="AJ484" s="107" t="str">
        <f t="shared" ca="1" si="354"/>
        <v/>
      </c>
      <c r="AK484" s="714" t="str">
        <f t="shared" si="355"/>
        <v/>
      </c>
      <c r="AL484" s="714"/>
      <c r="AM484" s="114" t="str">
        <f t="shared" si="356"/>
        <v/>
      </c>
      <c r="AN484" s="115"/>
      <c r="AO484" s="116"/>
      <c r="AP484" s="116"/>
      <c r="AQ484" s="116"/>
      <c r="AR484" s="116"/>
      <c r="AS484" s="116"/>
      <c r="AT484" s="116"/>
      <c r="AU484" s="116"/>
      <c r="AV484" s="78"/>
      <c r="AW484" s="102"/>
      <c r="AX484" s="78"/>
      <c r="AY484" s="78"/>
      <c r="AZ484" s="78"/>
      <c r="BA484" s="78"/>
      <c r="BB484" s="78"/>
      <c r="BC484" s="78"/>
      <c r="BD484" s="78"/>
      <c r="BE484" s="465"/>
      <c r="BF484" s="165" t="str">
        <f t="shared" si="357"/>
        <v>https://www.google.com/search?tbm=isch&amp;q=Buddleia%20%3D%20Butterfly%20Bush%20</v>
      </c>
      <c r="BG484" s="165" t="str">
        <f t="shared" si="358"/>
        <v>B</v>
      </c>
      <c r="BH484" s="65"/>
      <c r="BI484" s="65"/>
      <c r="BJ484" s="65"/>
      <c r="BK484" s="65"/>
      <c r="BL484" s="99"/>
      <c r="BM484" s="99"/>
      <c r="BN484" s="99"/>
    </row>
    <row r="485" spans="1:66" s="51" customFormat="1" ht="18" x14ac:dyDescent="0.25">
      <c r="A485" s="623" t="s">
        <v>1582</v>
      </c>
      <c r="B485" s="624"/>
      <c r="C485" s="709"/>
      <c r="D485" s="625" t="s">
        <v>5590</v>
      </c>
      <c r="E485" s="626"/>
      <c r="F485" s="626"/>
      <c r="G485" s="626"/>
      <c r="H485" s="622" t="s">
        <v>1583</v>
      </c>
      <c r="I485" s="627" t="s">
        <v>1584</v>
      </c>
      <c r="J485" s="628"/>
      <c r="K485" s="628"/>
      <c r="L485" s="629"/>
      <c r="M485" s="700" t="s">
        <v>5241</v>
      </c>
      <c r="N485" s="693" t="str">
        <f>IF(AND(ISTEXT($A485), ISERROR($A485+0)), HYPERLINK($BF485, "Images"), "")</f>
        <v>Images</v>
      </c>
      <c r="O485" s="695" t="s">
        <v>5244</v>
      </c>
      <c r="P485" s="630"/>
      <c r="Q485" s="631"/>
      <c r="R485" s="632"/>
      <c r="S485" s="633"/>
      <c r="T485" s="102">
        <f t="shared" si="346"/>
        <v>0</v>
      </c>
      <c r="U485" s="78" t="str">
        <f>IF(NOT(ISNUMBER(G485)), "", VLOOKUP(A485,'Discount Lookup'!D:E,2,FALSE)*G485)</f>
        <v/>
      </c>
      <c r="V485" s="78" t="str">
        <f>IF(NOT(ISNUMBER(G485)), "", VLOOKUP(A485,'Discount Lookup'!G:H,2,FALSE)*G485)</f>
        <v/>
      </c>
      <c r="W485" s="102">
        <f t="shared" si="347"/>
        <v>0</v>
      </c>
      <c r="X485" s="102" t="str">
        <f t="shared" si="348"/>
        <v>Violet-Blue bloom, Orange eye</v>
      </c>
      <c r="Y485" s="120" t="b">
        <f t="shared" si="349"/>
        <v>0</v>
      </c>
      <c r="Z485" s="117">
        <f t="shared" si="350"/>
        <v>0</v>
      </c>
      <c r="AA485" s="118"/>
      <c r="AB485" s="118" t="str">
        <f t="shared" si="351"/>
        <v/>
      </c>
      <c r="AC485" s="712" t="str">
        <f>IF(AE485="T2G","no charge",IF(AND(OR(PlanterYesMe="No",PlanterYesMe="N",PlanterYesMe="me"),H485=""),"",IF(H485="credit","NO install",IF(AND(K485="",AE485="me"),"EACH row",IF(AND(K485="images",AE485="me"),"EACH row",IF(D485="","",IF(H485="credit","",IF(AE485="free","re-planting",IF(AE485="me","   not ELP, by",IF(AND(OR(PlanterYesMe="Yes",PlanterYesMe="Y"),G485&gt;0),(VLOOKUP(A485,'Discount Lookup'!J:K,2)*G485*(1-PlanterDiscount)*(1+PlanterDifficultyPercentage)),IF(AE485="ELP",(VLOOKUP(A485,'Discount Lookup'!J:K,2)*G485*(1-PlanterDiscount)*(1+PlanterDifficultyPercentage)),IF(AE485="free","re-planting",IF(G485=0,"",IF(PlanterYesMe="",IF(AE485="me","   not ELP, by",IF(AE485="",IF(G485&gt;0,(VLOOKUP(A485,'Discount Lookup'!J:K,2)*G485*(1-PlanterDiscount)*(1+PlanterDifficultyPercentage)),""),"")),"   not ELP, by"))))))))))))))</f>
        <v/>
      </c>
      <c r="AD485" s="712"/>
      <c r="AE485" s="513" t="str">
        <f t="shared" si="352"/>
        <v/>
      </c>
      <c r="AF485" s="713" t="str">
        <f t="shared" si="353"/>
        <v/>
      </c>
      <c r="AG485" s="713"/>
      <c r="AH485" s="713"/>
      <c r="AI485" s="112">
        <f>IF(H485="credit",0,IF(AE485="free",0,IF(AE485="me",0,IF(G485&gt;0,(VLOOKUP(A485,'Discount Lookup'!J:K,2)*G485),0))))</f>
        <v>0</v>
      </c>
      <c r="AJ485" s="107" t="str">
        <f t="shared" ca="1" si="354"/>
        <v/>
      </c>
      <c r="AK485" s="714" t="str">
        <f t="shared" si="355"/>
        <v/>
      </c>
      <c r="AL485" s="714"/>
      <c r="AM485" s="114" t="str">
        <f t="shared" si="356"/>
        <v/>
      </c>
      <c r="AN485" s="115"/>
      <c r="AO485" s="116"/>
      <c r="AP485" s="116"/>
      <c r="AQ485" s="116"/>
      <c r="AR485" s="116"/>
      <c r="AS485" s="116"/>
      <c r="AT485" s="116"/>
      <c r="AU485" s="116"/>
      <c r="AV485" s="78"/>
      <c r="AW485" s="102"/>
      <c r="AX485" s="78"/>
      <c r="AY485" s="78"/>
      <c r="AZ485" s="78"/>
      <c r="BA485" s="78"/>
      <c r="BB485" s="78"/>
      <c r="BC485" s="78"/>
      <c r="BD485" s="78"/>
      <c r="BE485" s="465"/>
      <c r="BF485" s="165" t="str">
        <f t="shared" si="357"/>
        <v>https://www.google.com/search?tbm=isch&amp;q=Buddleia%20%27Balchrylu%27%20PP%2333842%20Chrysalis%E2%84%A2%20Blue%20Butterfly%20Bush</v>
      </c>
      <c r="BG485" s="165" t="str">
        <f t="shared" si="358"/>
        <v>B</v>
      </c>
      <c r="BH485" s="65"/>
      <c r="BI485" s="65"/>
      <c r="BJ485" s="65"/>
      <c r="BK485" s="65"/>
      <c r="BL485" s="99"/>
      <c r="BM485" s="99"/>
      <c r="BN485" s="99"/>
    </row>
    <row r="486" spans="1:66" s="51" customFormat="1" ht="15.75" x14ac:dyDescent="0.25">
      <c r="A486" s="634">
        <v>4</v>
      </c>
      <c r="B486" s="635" t="s">
        <v>338</v>
      </c>
      <c r="C486" s="636"/>
      <c r="D486" s="637" t="s">
        <v>329</v>
      </c>
      <c r="E486" s="638">
        <v>15.95</v>
      </c>
      <c r="F486" s="639" t="s">
        <v>292</v>
      </c>
      <c r="G486" s="484">
        <v>0</v>
      </c>
      <c r="H486" s="691" t="str">
        <f>IF(G486=0,"",IF(F486="Buy",IF(G486=1,"plant","plants"),IF(F486&gt;0.01,"warranty","Error")))</f>
        <v/>
      </c>
      <c r="I486" s="640">
        <f>IF(H486="free",0,IF(H486="credit",((E486*(F486))*G486*-1),IF(F486="Buy",(E486*G486),((E486*(1-F486))*G486))))</f>
        <v>0</v>
      </c>
      <c r="J486" s="640">
        <f>IF(H486="warranty",0,(I486*(_xlfn.SINGLE(SalesTaxPercentage))))</f>
        <v>0</v>
      </c>
      <c r="K486" s="716">
        <f t="shared" ref="K486" si="368">I486+J486</f>
        <v>0</v>
      </c>
      <c r="L486" s="716"/>
      <c r="M486" s="689" t="str">
        <f ca="1">IF(AND(G486&gt;0,E486=0),"WARNING - no PRICE inserted",IF(H486="free","FREE ~ no charge this plant",IF(H486="credit",CONCATENATE("-$",ROUND(K486*(1-_xlfn.SINGLE(T2GDiscount))*-1,2)," CREDIT after discount"),IF(_xlfn.SINGLE(T2GDiscount)=0,"",IF(G486=0,"",IF(F486="Buy",CONCATENATE("$",ROUND(K486*(1-_xlfn.SINGLE(T2GDiscount)),2)," with ",(_xlfn.SINGLE(T2GDiscount)*100),"% discount"),CONCATENATE("$",ROUND(K486*(1-_xlfn.SINGLE(T2GDiscount)),2)," with ",((_xlfn.SINGLE(T2GDiscount)*100+F486*100)-(_xlfn.SINGLE(T2GDiscount)*100*F486)),IF(F486&gt;0,"% discounts",IF(_xlfn.SINGLE(NoWarrantyDiscount)&gt;0,"% discounts","% discount")))))))))</f>
        <v/>
      </c>
      <c r="N486" s="690"/>
      <c r="O486" s="486"/>
      <c r="P486" s="486"/>
      <c r="Q486" s="486"/>
      <c r="R486" s="486"/>
      <c r="S486" s="486"/>
      <c r="T486" s="102">
        <f t="shared" si="346"/>
        <v>0</v>
      </c>
      <c r="U486" s="78">
        <f>IF(NOT(ISNUMBER(G486)), "", VLOOKUP(A486,'Discount Lookup'!D:E,2,FALSE)*G486)</f>
        <v>0</v>
      </c>
      <c r="V486" s="78">
        <f>IF(NOT(ISNUMBER(G486)), "", VLOOKUP(A486,'Discount Lookup'!G:H,2,FALSE)*G486)</f>
        <v>0</v>
      </c>
      <c r="W486" s="102">
        <f t="shared" si="347"/>
        <v>0</v>
      </c>
      <c r="X486" s="102">
        <f t="shared" si="348"/>
        <v>0</v>
      </c>
      <c r="Y486" s="120" t="b">
        <f t="shared" si="349"/>
        <v>0</v>
      </c>
      <c r="Z486" s="117">
        <f t="shared" si="350"/>
        <v>0</v>
      </c>
      <c r="AA486" s="118"/>
      <c r="AB486" s="118" t="str">
        <f t="shared" si="351"/>
        <v/>
      </c>
      <c r="AC486" s="712" t="str">
        <f>IF(AE486="T2G","no charge",IF(AND(OR(PlanterYesMe="No",PlanterYesMe="N",PlanterYesMe="me"),H486=""),"",IF(H486="credit","NO install",IF(AND(K486="",AE486="me"),"EACH row",IF(AND(K486="images",AE486="me"),"EACH row",IF(D486="","",IF(H486="credit","",IF(AE486="free","re-planting",IF(AE486="me","   not ELP, by",IF(AND(OR(PlanterYesMe="Yes",PlanterYesMe="Y"),G486&gt;0),(VLOOKUP(A486,'Discount Lookup'!J:K,2)*G486*(1-PlanterDiscount)*(1+PlanterDifficultyPercentage)),IF(AE486="ELP",(VLOOKUP(A486,'Discount Lookup'!J:K,2)*G486*(1-PlanterDiscount)*(1+PlanterDifficultyPercentage)),IF(AE486="free","re-planting",IF(G486=0,"",IF(PlanterYesMe="",IF(AE486="me","   not ELP, by",IF(AE486="",IF(G486&gt;0,(VLOOKUP(A486,'Discount Lookup'!J:K,2)*G486*(1-PlanterDiscount)*(1+PlanterDifficultyPercentage)),""),"")),"   not ELP, by"))))))))))))))</f>
        <v/>
      </c>
      <c r="AD486" s="712"/>
      <c r="AE486" s="513" t="str">
        <f t="shared" si="352"/>
        <v/>
      </c>
      <c r="AF486" s="713" t="str">
        <f t="shared" si="353"/>
        <v/>
      </c>
      <c r="AG486" s="713"/>
      <c r="AH486" s="713"/>
      <c r="AI486" s="112">
        <f>IF(H486="credit",0,IF(AE486="free",0,IF(AE486="me",0,IF(G486&gt;0,(VLOOKUP(A486,'Discount Lookup'!J:K,2)*G486),0))))</f>
        <v>0</v>
      </c>
      <c r="AJ486" s="107" t="str">
        <f t="shared" ca="1" si="354"/>
        <v/>
      </c>
      <c r="AK486" s="714" t="str">
        <f t="shared" si="355"/>
        <v/>
      </c>
      <c r="AL486" s="714"/>
      <c r="AM486" s="114" t="str">
        <f t="shared" si="356"/>
        <v/>
      </c>
      <c r="AN486" s="115"/>
      <c r="AO486" s="116"/>
      <c r="AP486" s="116"/>
      <c r="AQ486" s="116"/>
      <c r="AR486" s="116"/>
      <c r="AS486" s="116"/>
      <c r="AT486" s="116"/>
      <c r="AU486" s="116"/>
      <c r="AV486" s="78"/>
      <c r="AW486" s="102"/>
      <c r="AX486" s="78"/>
      <c r="AY486" s="78"/>
      <c r="AZ486" s="78"/>
      <c r="BA486" s="78"/>
      <c r="BB486" s="78"/>
      <c r="BC486" s="78"/>
      <c r="BD486" s="78"/>
      <c r="BE486" s="465"/>
      <c r="BF486" s="165" t="str">
        <f t="shared" si="357"/>
        <v>https://www.google.com/search?tbm=isch&amp;q=4%20G2</v>
      </c>
      <c r="BG486" s="165" t="str">
        <f t="shared" si="358"/>
        <v>B</v>
      </c>
      <c r="BH486" s="65"/>
      <c r="BI486" s="65"/>
      <c r="BJ486" s="65"/>
      <c r="BK486" s="65"/>
      <c r="BL486" s="99"/>
      <c r="BM486" s="99"/>
      <c r="BN486" s="99"/>
    </row>
    <row r="487" spans="1:66" s="51" customFormat="1" ht="17.25" thickBot="1" x14ac:dyDescent="0.3">
      <c r="A487" s="641" t="s">
        <v>4671</v>
      </c>
      <c r="B487" s="642"/>
      <c r="C487" s="710"/>
      <c r="D487" s="643"/>
      <c r="E487" s="643"/>
      <c r="F487" s="644"/>
      <c r="G487" s="645"/>
      <c r="H487" s="646"/>
      <c r="I487" s="647"/>
      <c r="J487" s="648"/>
      <c r="K487" s="649"/>
      <c r="L487" s="650"/>
      <c r="M487" s="650"/>
      <c r="N487" s="644"/>
      <c r="O487" s="644"/>
      <c r="P487" s="644"/>
      <c r="Q487" s="644"/>
      <c r="R487" s="644"/>
      <c r="S487" s="701" t="s">
        <v>5271</v>
      </c>
      <c r="T487" s="102">
        <f t="shared" si="346"/>
        <v>0</v>
      </c>
      <c r="U487" s="78" t="str">
        <f>IF(NOT(ISNUMBER(G487)), "", VLOOKUP(A487,'Discount Lookup'!D:E,2,FALSE)*G487)</f>
        <v/>
      </c>
      <c r="V487" s="78" t="str">
        <f>IF(NOT(ISNUMBER(G487)), "", VLOOKUP(A487,'Discount Lookup'!G:H,2,FALSE)*G487)</f>
        <v/>
      </c>
      <c r="W487" s="102">
        <f t="shared" si="347"/>
        <v>0</v>
      </c>
      <c r="X487" s="102">
        <f t="shared" si="348"/>
        <v>0</v>
      </c>
      <c r="Y487" s="120" t="b">
        <f t="shared" si="349"/>
        <v>0</v>
      </c>
      <c r="Z487" s="117">
        <f t="shared" si="350"/>
        <v>0</v>
      </c>
      <c r="AA487" s="118"/>
      <c r="AB487" s="118" t="str">
        <f t="shared" si="351"/>
        <v/>
      </c>
      <c r="AC487" s="712" t="str">
        <f>IF(AE487="T2G","no charge",IF(AND(OR(PlanterYesMe="No",PlanterYesMe="N",PlanterYesMe="me"),H487=""),"",IF(H487="credit","NO install",IF(AND(K487="",AE487="me"),"EACH row",IF(AND(K487="images",AE487="me"),"EACH row",IF(D487="","",IF(H487="credit","",IF(AE487="free","re-planting",IF(AE487="me","   not ELP, by",IF(AND(OR(PlanterYesMe="Yes",PlanterYesMe="Y"),G487&gt;0),(VLOOKUP(A487,'Discount Lookup'!J:K,2)*G487*(1-PlanterDiscount)*(1+PlanterDifficultyPercentage)),IF(AE487="ELP",(VLOOKUP(A487,'Discount Lookup'!J:K,2)*G487*(1-PlanterDiscount)*(1+PlanterDifficultyPercentage)),IF(AE487="free","re-planting",IF(G487=0,"",IF(PlanterYesMe="",IF(AE487="me","   not ELP, by",IF(AE487="",IF(G487&gt;0,(VLOOKUP(A487,'Discount Lookup'!J:K,2)*G487*(1-PlanterDiscount)*(1+PlanterDifficultyPercentage)),""),"")),"   not ELP, by"))))))))))))))</f>
        <v/>
      </c>
      <c r="AD487" s="712"/>
      <c r="AE487" s="513" t="str">
        <f t="shared" si="352"/>
        <v/>
      </c>
      <c r="AF487" s="713" t="str">
        <f t="shared" si="353"/>
        <v/>
      </c>
      <c r="AG487" s="713"/>
      <c r="AH487" s="713"/>
      <c r="AI487" s="112">
        <f>IF(H487="credit",0,IF(AE487="free",0,IF(AE487="me",0,IF(G487&gt;0,(VLOOKUP(A487,'Discount Lookup'!J:K,2)*G487),0))))</f>
        <v>0</v>
      </c>
      <c r="AJ487" s="107" t="str">
        <f t="shared" ca="1" si="354"/>
        <v/>
      </c>
      <c r="AK487" s="714" t="str">
        <f t="shared" si="355"/>
        <v/>
      </c>
      <c r="AL487" s="714"/>
      <c r="AM487" s="114" t="str">
        <f t="shared" si="356"/>
        <v/>
      </c>
      <c r="AN487" s="115"/>
      <c r="AO487" s="116"/>
      <c r="AP487" s="116"/>
      <c r="AQ487" s="116"/>
      <c r="AR487" s="116"/>
      <c r="AS487" s="116"/>
      <c r="AT487" s="116"/>
      <c r="AU487" s="116"/>
      <c r="AV487" s="78"/>
      <c r="AW487" s="102"/>
      <c r="AX487" s="78"/>
      <c r="AY487" s="78"/>
      <c r="AZ487" s="78"/>
      <c r="BA487" s="78"/>
      <c r="BB487" s="78"/>
      <c r="BC487" s="78"/>
      <c r="BD487" s="78"/>
      <c r="BE487" s="465"/>
      <c r="BF487" s="165" t="str">
        <f t="shared" si="357"/>
        <v>https://www.google.com/search?tbm=isch&amp;q=Chrysalis%20Blue%20has%20Grey-Green%20foliage.%20%20All%20BB%20bloom%20summer%20to%20frost%2C%20on%20new%20wood%2C%20so%20cut%20back%20hard%20late%20winter%20</v>
      </c>
      <c r="BG487" s="165" t="str">
        <f t="shared" si="358"/>
        <v>C</v>
      </c>
      <c r="BH487" s="65"/>
      <c r="BI487" s="65"/>
      <c r="BJ487" s="65"/>
      <c r="BK487" s="65"/>
      <c r="BL487" s="99"/>
      <c r="BM487" s="99"/>
      <c r="BN487" s="99"/>
    </row>
    <row r="488" spans="1:66" s="51" customFormat="1" ht="18" x14ac:dyDescent="0.25">
      <c r="A488" s="623" t="s">
        <v>1585</v>
      </c>
      <c r="B488" s="624"/>
      <c r="C488" s="709"/>
      <c r="D488" s="625" t="s">
        <v>5591</v>
      </c>
      <c r="E488" s="626"/>
      <c r="F488" s="626"/>
      <c r="G488" s="626"/>
      <c r="H488" s="622" t="s">
        <v>1528</v>
      </c>
      <c r="I488" s="627" t="s">
        <v>1586</v>
      </c>
      <c r="J488" s="628"/>
      <c r="K488" s="628"/>
      <c r="L488" s="629"/>
      <c r="M488" s="700" t="s">
        <v>5241</v>
      </c>
      <c r="N488" s="693" t="str">
        <f>IF(AND(ISTEXT($A488), ISERROR($A488+0)), HYPERLINK($BF488, "Images"), "")</f>
        <v>Images</v>
      </c>
      <c r="O488" s="695" t="s">
        <v>5244</v>
      </c>
      <c r="P488" s="630"/>
      <c r="Q488" s="631"/>
      <c r="R488" s="632"/>
      <c r="S488" s="633"/>
      <c r="T488" s="102">
        <f t="shared" si="346"/>
        <v>0</v>
      </c>
      <c r="U488" s="78" t="str">
        <f>IF(NOT(ISNUMBER(G488)), "", VLOOKUP(A488,'Discount Lookup'!D:E,2,FALSE)*G488)</f>
        <v/>
      </c>
      <c r="V488" s="78" t="str">
        <f>IF(NOT(ISNUMBER(G488)), "", VLOOKUP(A488,'Discount Lookup'!G:H,2,FALSE)*G488)</f>
        <v/>
      </c>
      <c r="W488" s="102">
        <f t="shared" si="347"/>
        <v>0</v>
      </c>
      <c r="X488" s="102" t="str">
        <f t="shared" si="348"/>
        <v>Raspberry -Red bloom, Yellow eye</v>
      </c>
      <c r="Y488" s="120" t="b">
        <f t="shared" si="349"/>
        <v>0</v>
      </c>
      <c r="Z488" s="117">
        <f t="shared" si="350"/>
        <v>0</v>
      </c>
      <c r="AA488" s="118"/>
      <c r="AB488" s="118" t="str">
        <f t="shared" si="351"/>
        <v/>
      </c>
      <c r="AC488" s="712" t="str">
        <f>IF(AE488="T2G","no charge",IF(AND(OR(PlanterYesMe="No",PlanterYesMe="N",PlanterYesMe="me"),H488=""),"",IF(H488="credit","NO install",IF(AND(K488="",AE488="me"),"EACH row",IF(AND(K488="images",AE488="me"),"EACH row",IF(D488="","",IF(H488="credit","",IF(AE488="free","re-planting",IF(AE488="me","   not ELP, by",IF(AND(OR(PlanterYesMe="Yes",PlanterYesMe="Y"),G488&gt;0),(VLOOKUP(A488,'Discount Lookup'!J:K,2)*G488*(1-PlanterDiscount)*(1+PlanterDifficultyPercentage)),IF(AE488="ELP",(VLOOKUP(A488,'Discount Lookup'!J:K,2)*G488*(1-PlanterDiscount)*(1+PlanterDifficultyPercentage)),IF(AE488="free","re-planting",IF(G488=0,"",IF(PlanterYesMe="",IF(AE488="me","   not ELP, by",IF(AE488="",IF(G488&gt;0,(VLOOKUP(A488,'Discount Lookup'!J:K,2)*G488*(1-PlanterDiscount)*(1+PlanterDifficultyPercentage)),""),"")),"   not ELP, by"))))))))))))))</f>
        <v/>
      </c>
      <c r="AD488" s="712"/>
      <c r="AE488" s="513" t="str">
        <f t="shared" si="352"/>
        <v/>
      </c>
      <c r="AF488" s="713" t="str">
        <f t="shared" si="353"/>
        <v/>
      </c>
      <c r="AG488" s="713"/>
      <c r="AH488" s="713"/>
      <c r="AI488" s="112">
        <f>IF(H488="credit",0,IF(AE488="free",0,IF(AE488="me",0,IF(G488&gt;0,(VLOOKUP(A488,'Discount Lookup'!J:K,2)*G488),0))))</f>
        <v>0</v>
      </c>
      <c r="AJ488" s="107" t="str">
        <f t="shared" ca="1" si="354"/>
        <v/>
      </c>
      <c r="AK488" s="714" t="str">
        <f t="shared" si="355"/>
        <v/>
      </c>
      <c r="AL488" s="714"/>
      <c r="AM488" s="114" t="str">
        <f t="shared" si="356"/>
        <v/>
      </c>
      <c r="AN488" s="115"/>
      <c r="AO488" s="116"/>
      <c r="AP488" s="116"/>
      <c r="AQ488" s="116"/>
      <c r="AR488" s="116"/>
      <c r="AS488" s="116"/>
      <c r="AT488" s="116"/>
      <c r="AU488" s="116"/>
      <c r="AV488" s="78"/>
      <c r="AW488" s="102"/>
      <c r="AX488" s="78"/>
      <c r="AY488" s="78"/>
      <c r="AZ488" s="78"/>
      <c r="BA488" s="78"/>
      <c r="BB488" s="78"/>
      <c r="BC488" s="78"/>
      <c r="BD488" s="78"/>
      <c r="BE488" s="465"/>
      <c r="BF488" s="165" t="str">
        <f t="shared" si="357"/>
        <v>https://www.google.com/search?tbm=isch&amp;q=Buddleia%20%27Boscranz%27%20PP%2325730%20CranRazz%E2%84%A2%20Butterfly%20Bush</v>
      </c>
      <c r="BG488" s="165" t="str">
        <f t="shared" si="358"/>
        <v>B</v>
      </c>
      <c r="BH488" s="65"/>
      <c r="BI488" s="65"/>
      <c r="BJ488" s="65"/>
      <c r="BK488" s="65"/>
      <c r="BL488" s="99"/>
      <c r="BM488" s="99"/>
      <c r="BN488" s="99"/>
    </row>
    <row r="489" spans="1:66" s="51" customFormat="1" ht="15.75" x14ac:dyDescent="0.25">
      <c r="A489" s="634">
        <v>3</v>
      </c>
      <c r="B489" s="635" t="s">
        <v>291</v>
      </c>
      <c r="C489" s="636"/>
      <c r="D489" s="637" t="s">
        <v>310</v>
      </c>
      <c r="E489" s="638">
        <v>28.95</v>
      </c>
      <c r="F489" s="639" t="s">
        <v>292</v>
      </c>
      <c r="G489" s="484">
        <v>0</v>
      </c>
      <c r="H489" s="691" t="str">
        <f>IF(G489=0,"",IF(F489="Buy",IF(G489=1,"plant","plants"),IF(F489&gt;0.01,"warranty","Error")))</f>
        <v/>
      </c>
      <c r="I489" s="640">
        <f>IF(H489="free",0,IF(H489="credit",((E489*(F489))*G489*-1),IF(F489="Buy",(E489*G489),((E489*(1-F489))*G489))))</f>
        <v>0</v>
      </c>
      <c r="J489" s="640">
        <f>IF(H489="warranty",0,(I489*(_xlfn.SINGLE(SalesTaxPercentage))))</f>
        <v>0</v>
      </c>
      <c r="K489" s="716">
        <f t="shared" ref="K489" si="369">I489+J489</f>
        <v>0</v>
      </c>
      <c r="L489" s="716"/>
      <c r="M489" s="689" t="str">
        <f ca="1">IF(AND(G489&gt;0,E489=0),"WARNING - no PRICE inserted",IF(H489="free","FREE ~ no charge this plant",IF(H489="credit",CONCATENATE("-$",ROUND(K489*(1-_xlfn.SINGLE(T2GDiscount))*-1,2)," CREDIT after discount"),IF(_xlfn.SINGLE(T2GDiscount)=0,"",IF(G489=0,"",IF(F489="Buy",CONCATENATE("$",ROUND(K489*(1-_xlfn.SINGLE(T2GDiscount)),2)," with ",(_xlfn.SINGLE(T2GDiscount)*100),"% discount"),CONCATENATE("$",ROUND(K489*(1-_xlfn.SINGLE(T2GDiscount)),2)," with ",((_xlfn.SINGLE(T2GDiscount)*100+F489*100)-(_xlfn.SINGLE(T2GDiscount)*100*F489)),IF(F489&gt;0,"% discounts",IF(_xlfn.SINGLE(NoWarrantyDiscount)&gt;0,"% discounts","% discount")))))))))</f>
        <v/>
      </c>
      <c r="N489" s="690"/>
      <c r="O489" s="486"/>
      <c r="P489" s="486"/>
      <c r="Q489" s="486"/>
      <c r="R489" s="486"/>
      <c r="S489" s="486"/>
      <c r="T489" s="102">
        <f t="shared" si="346"/>
        <v>0</v>
      </c>
      <c r="U489" s="78">
        <f>IF(NOT(ISNUMBER(G489)), "", VLOOKUP(A489,'Discount Lookup'!D:E,2,FALSE)*G489)</f>
        <v>0</v>
      </c>
      <c r="V489" s="78">
        <f>IF(NOT(ISNUMBER(G489)), "", VLOOKUP(A489,'Discount Lookup'!G:H,2,FALSE)*G489)</f>
        <v>0</v>
      </c>
      <c r="W489" s="102">
        <f t="shared" si="347"/>
        <v>0</v>
      </c>
      <c r="X489" s="102">
        <f t="shared" si="348"/>
        <v>0</v>
      </c>
      <c r="Y489" s="120" t="b">
        <f t="shared" si="349"/>
        <v>0</v>
      </c>
      <c r="Z489" s="117">
        <f t="shared" si="350"/>
        <v>0</v>
      </c>
      <c r="AA489" s="118"/>
      <c r="AB489" s="118" t="str">
        <f t="shared" si="351"/>
        <v/>
      </c>
      <c r="AC489" s="712" t="str">
        <f>IF(AE489="T2G","no charge",IF(AND(OR(PlanterYesMe="No",PlanterYesMe="N",PlanterYesMe="me"),H489=""),"",IF(H489="credit","NO install",IF(AND(K489="",AE489="me"),"EACH row",IF(AND(K489="images",AE489="me"),"EACH row",IF(D489="","",IF(H489="credit","",IF(AE489="free","re-planting",IF(AE489="me","   not ELP, by",IF(AND(OR(PlanterYesMe="Yes",PlanterYesMe="Y"),G489&gt;0),(VLOOKUP(A489,'Discount Lookup'!J:K,2)*G489*(1-PlanterDiscount)*(1+PlanterDifficultyPercentage)),IF(AE489="ELP",(VLOOKUP(A489,'Discount Lookup'!J:K,2)*G489*(1-PlanterDiscount)*(1+PlanterDifficultyPercentage)),IF(AE489="free","re-planting",IF(G489=0,"",IF(PlanterYesMe="",IF(AE489="me","   not ELP, by",IF(AE489="",IF(G489&gt;0,(VLOOKUP(A489,'Discount Lookup'!J:K,2)*G489*(1-PlanterDiscount)*(1+PlanterDifficultyPercentage)),""),"")),"   not ELP, by"))))))))))))))</f>
        <v/>
      </c>
      <c r="AD489" s="712"/>
      <c r="AE489" s="513" t="str">
        <f t="shared" si="352"/>
        <v/>
      </c>
      <c r="AF489" s="713" t="str">
        <f t="shared" si="353"/>
        <v/>
      </c>
      <c r="AG489" s="713"/>
      <c r="AH489" s="713"/>
      <c r="AI489" s="112">
        <f>IF(H489="credit",0,IF(AE489="free",0,IF(AE489="me",0,IF(G489&gt;0,(VLOOKUP(A489,'Discount Lookup'!J:K,2)*G489),0))))</f>
        <v>0</v>
      </c>
      <c r="AJ489" s="107" t="str">
        <f t="shared" ca="1" si="354"/>
        <v/>
      </c>
      <c r="AK489" s="714" t="str">
        <f t="shared" si="355"/>
        <v/>
      </c>
      <c r="AL489" s="714"/>
      <c r="AM489" s="114" t="str">
        <f t="shared" si="356"/>
        <v/>
      </c>
      <c r="AN489" s="115"/>
      <c r="AO489" s="116"/>
      <c r="AP489" s="116"/>
      <c r="AQ489" s="116"/>
      <c r="AR489" s="116"/>
      <c r="AS489" s="116"/>
      <c r="AT489" s="116"/>
      <c r="AU489" s="116"/>
      <c r="AV489" s="78"/>
      <c r="AW489" s="102"/>
      <c r="AX489" s="78"/>
      <c r="AY489" s="78"/>
      <c r="AZ489" s="78"/>
      <c r="BA489" s="78"/>
      <c r="BB489" s="78"/>
      <c r="BC489" s="78"/>
      <c r="BD489" s="78"/>
      <c r="BE489" s="465"/>
      <c r="BF489" s="165" t="str">
        <f t="shared" si="357"/>
        <v>https://www.google.com/search?tbm=isch&amp;q=3%20G1</v>
      </c>
      <c r="BG489" s="165" t="str">
        <f t="shared" si="358"/>
        <v>B</v>
      </c>
      <c r="BH489" s="65"/>
      <c r="BI489" s="65"/>
      <c r="BJ489" s="65"/>
      <c r="BK489" s="65"/>
      <c r="BL489" s="99"/>
      <c r="BM489" s="99"/>
      <c r="BN489" s="99"/>
    </row>
    <row r="490" spans="1:66" s="51" customFormat="1" ht="15.75" x14ac:dyDescent="0.25">
      <c r="A490" s="634">
        <v>3</v>
      </c>
      <c r="B490" s="635" t="s">
        <v>291</v>
      </c>
      <c r="C490" s="636" t="s">
        <v>1587</v>
      </c>
      <c r="D490" s="637" t="s">
        <v>329</v>
      </c>
      <c r="E490" s="638">
        <v>30.95</v>
      </c>
      <c r="F490" s="639" t="s">
        <v>292</v>
      </c>
      <c r="G490" s="484">
        <v>0</v>
      </c>
      <c r="H490" s="691" t="str">
        <f>IF(G490=0,"",IF(F490="Buy",IF(G490=1,"plant","plants"),IF(F490&gt;0.01,"warranty","Error")))</f>
        <v/>
      </c>
      <c r="I490" s="640">
        <f>IF(H490="free",0,IF(H490="credit",((E490*(F490))*G490*-1),IF(F490="Buy",(E490*G490),((E490*(1-F490))*G490))))</f>
        <v>0</v>
      </c>
      <c r="J490" s="640">
        <f>IF(H490="warranty",0,(I490*(_xlfn.SINGLE(SalesTaxPercentage))))</f>
        <v>0</v>
      </c>
      <c r="K490" s="716">
        <f t="shared" ref="K490" si="370">I490+J490</f>
        <v>0</v>
      </c>
      <c r="L490" s="716"/>
      <c r="M490" s="689" t="str">
        <f ca="1">IF(AND(G490&gt;0,E490=0),"WARNING - no PRICE inserted",IF(H490="free","FREE ~ no charge this plant",IF(H490="credit",CONCATENATE("-$",ROUND(K490*(1-_xlfn.SINGLE(T2GDiscount))*-1,2)," CREDIT after discount"),IF(_xlfn.SINGLE(T2GDiscount)=0,"",IF(G490=0,"",IF(F490="Buy",CONCATENATE("$",ROUND(K490*(1-_xlfn.SINGLE(T2GDiscount)),2)," with ",(_xlfn.SINGLE(T2GDiscount)*100),"% discount"),CONCATENATE("$",ROUND(K490*(1-_xlfn.SINGLE(T2GDiscount)),2)," with ",((_xlfn.SINGLE(T2GDiscount)*100+F490*100)-(_xlfn.SINGLE(T2GDiscount)*100*F490)),IF(F490&gt;0,"% discounts",IF(_xlfn.SINGLE(NoWarrantyDiscount)&gt;0,"% discounts","% discount")))))))))</f>
        <v/>
      </c>
      <c r="N490" s="690"/>
      <c r="O490" s="486"/>
      <c r="P490" s="486"/>
      <c r="Q490" s="486"/>
      <c r="R490" s="486"/>
      <c r="S490" s="486"/>
      <c r="T490" s="102">
        <f t="shared" si="346"/>
        <v>0</v>
      </c>
      <c r="U490" s="78">
        <f>IF(NOT(ISNUMBER(G490)), "", VLOOKUP(A490,'Discount Lookup'!D:E,2,FALSE)*G490)</f>
        <v>0</v>
      </c>
      <c r="V490" s="78">
        <f>IF(NOT(ISNUMBER(G490)), "", VLOOKUP(A490,'Discount Lookup'!G:H,2,FALSE)*G490)</f>
        <v>0</v>
      </c>
      <c r="W490" s="102">
        <f t="shared" si="347"/>
        <v>0</v>
      </c>
      <c r="X490" s="102">
        <f t="shared" si="348"/>
        <v>0</v>
      </c>
      <c r="Y490" s="120" t="b">
        <f t="shared" si="349"/>
        <v>0</v>
      </c>
      <c r="Z490" s="117">
        <f t="shared" si="350"/>
        <v>0</v>
      </c>
      <c r="AA490" s="118"/>
      <c r="AB490" s="118" t="str">
        <f t="shared" si="351"/>
        <v/>
      </c>
      <c r="AC490" s="712" t="str">
        <f>IF(AE490="T2G","no charge",IF(AND(OR(PlanterYesMe="No",PlanterYesMe="N",PlanterYesMe="me"),H490=""),"",IF(H490="credit","NO install",IF(AND(K490="",AE490="me"),"EACH row",IF(AND(K490="images",AE490="me"),"EACH row",IF(D490="","",IF(H490="credit","",IF(AE490="free","re-planting",IF(AE490="me","   not ELP, by",IF(AND(OR(PlanterYesMe="Yes",PlanterYesMe="Y"),G490&gt;0),(VLOOKUP(A490,'Discount Lookup'!J:K,2)*G490*(1-PlanterDiscount)*(1+PlanterDifficultyPercentage)),IF(AE490="ELP",(VLOOKUP(A490,'Discount Lookup'!J:K,2)*G490*(1-PlanterDiscount)*(1+PlanterDifficultyPercentage)),IF(AE490="free","re-planting",IF(G490=0,"",IF(PlanterYesMe="",IF(AE490="me","   not ELP, by",IF(AE490="",IF(G490&gt;0,(VLOOKUP(A490,'Discount Lookup'!J:K,2)*G490*(1-PlanterDiscount)*(1+PlanterDifficultyPercentage)),""),"")),"   not ELP, by"))))))))))))))</f>
        <v/>
      </c>
      <c r="AD490" s="712"/>
      <c r="AE490" s="513" t="str">
        <f t="shared" si="352"/>
        <v/>
      </c>
      <c r="AF490" s="713" t="str">
        <f t="shared" si="353"/>
        <v/>
      </c>
      <c r="AG490" s="713"/>
      <c r="AH490" s="713"/>
      <c r="AI490" s="112">
        <f>IF(H490="credit",0,IF(AE490="free",0,IF(AE490="me",0,IF(G490&gt;0,(VLOOKUP(A490,'Discount Lookup'!J:K,2)*G490),0))))</f>
        <v>0</v>
      </c>
      <c r="AJ490" s="107" t="str">
        <f t="shared" ca="1" si="354"/>
        <v/>
      </c>
      <c r="AK490" s="714" t="str">
        <f t="shared" si="355"/>
        <v/>
      </c>
      <c r="AL490" s="714"/>
      <c r="AM490" s="114" t="str">
        <f t="shared" si="356"/>
        <v/>
      </c>
      <c r="AN490" s="115"/>
      <c r="AO490" s="116"/>
      <c r="AP490" s="116"/>
      <c r="AQ490" s="116"/>
      <c r="AR490" s="116"/>
      <c r="AS490" s="116"/>
      <c r="AT490" s="116"/>
      <c r="AU490" s="116"/>
      <c r="AV490" s="78"/>
      <c r="AW490" s="102"/>
      <c r="AX490" s="78"/>
      <c r="AY490" s="78"/>
      <c r="AZ490" s="78"/>
      <c r="BA490" s="78"/>
      <c r="BB490" s="78"/>
      <c r="BC490" s="78"/>
      <c r="BD490" s="78"/>
      <c r="BE490" s="465"/>
      <c r="BF490" s="165" t="str">
        <f t="shared" si="357"/>
        <v>https://www.google.com/search?tbm=isch&amp;q=3%20G2</v>
      </c>
      <c r="BG490" s="165" t="str">
        <f t="shared" si="358"/>
        <v>B</v>
      </c>
      <c r="BH490" s="65"/>
      <c r="BI490" s="65"/>
      <c r="BJ490" s="65"/>
      <c r="BK490" s="65"/>
      <c r="BL490" s="99"/>
      <c r="BM490" s="99"/>
      <c r="BN490" s="99"/>
    </row>
    <row r="491" spans="1:66" s="51" customFormat="1" ht="17.25" thickBot="1" x14ac:dyDescent="0.3">
      <c r="A491" s="641" t="s">
        <v>4672</v>
      </c>
      <c r="B491" s="642"/>
      <c r="C491" s="710"/>
      <c r="D491" s="643"/>
      <c r="E491" s="643"/>
      <c r="F491" s="644"/>
      <c r="G491" s="645"/>
      <c r="H491" s="646"/>
      <c r="I491" s="647"/>
      <c r="J491" s="648"/>
      <c r="K491" s="649"/>
      <c r="L491" s="650"/>
      <c r="M491" s="650"/>
      <c r="N491" s="644"/>
      <c r="O491" s="644"/>
      <c r="P491" s="644"/>
      <c r="Q491" s="644"/>
      <c r="R491" s="644"/>
      <c r="S491" s="701" t="s">
        <v>5271</v>
      </c>
      <c r="T491" s="102">
        <f t="shared" si="346"/>
        <v>0</v>
      </c>
      <c r="U491" s="78" t="str">
        <f>IF(NOT(ISNUMBER(G491)), "", VLOOKUP(A491,'Discount Lookup'!D:E,2,FALSE)*G491)</f>
        <v/>
      </c>
      <c r="V491" s="78" t="str">
        <f>IF(NOT(ISNUMBER(G491)), "", VLOOKUP(A491,'Discount Lookup'!G:H,2,FALSE)*G491)</f>
        <v/>
      </c>
      <c r="W491" s="102">
        <f t="shared" si="347"/>
        <v>0</v>
      </c>
      <c r="X491" s="102">
        <f t="shared" si="348"/>
        <v>0</v>
      </c>
      <c r="Y491" s="120" t="b">
        <f t="shared" si="349"/>
        <v>0</v>
      </c>
      <c r="Z491" s="117">
        <f t="shared" si="350"/>
        <v>0</v>
      </c>
      <c r="AA491" s="118"/>
      <c r="AB491" s="118" t="str">
        <f t="shared" si="351"/>
        <v/>
      </c>
      <c r="AC491" s="712" t="str">
        <f>IF(AE491="T2G","no charge",IF(AND(OR(PlanterYesMe="No",PlanterYesMe="N",PlanterYesMe="me"),H491=""),"",IF(H491="credit","NO install",IF(AND(K491="",AE491="me"),"EACH row",IF(AND(K491="images",AE491="me"),"EACH row",IF(D491="","",IF(H491="credit","",IF(AE491="free","re-planting",IF(AE491="me","   not ELP, by",IF(AND(OR(PlanterYesMe="Yes",PlanterYesMe="Y"),G491&gt;0),(VLOOKUP(A491,'Discount Lookup'!J:K,2)*G491*(1-PlanterDiscount)*(1+PlanterDifficultyPercentage)),IF(AE491="ELP",(VLOOKUP(A491,'Discount Lookup'!J:K,2)*G491*(1-PlanterDiscount)*(1+PlanterDifficultyPercentage)),IF(AE491="free","re-planting",IF(G491=0,"",IF(PlanterYesMe="",IF(AE491="me","   not ELP, by",IF(AE491="",IF(G491&gt;0,(VLOOKUP(A491,'Discount Lookup'!J:K,2)*G491*(1-PlanterDiscount)*(1+PlanterDifficultyPercentage)),""),"")),"   not ELP, by"))))))))))))))</f>
        <v/>
      </c>
      <c r="AD491" s="712"/>
      <c r="AE491" s="513" t="str">
        <f t="shared" si="352"/>
        <v/>
      </c>
      <c r="AF491" s="713" t="str">
        <f t="shared" si="353"/>
        <v/>
      </c>
      <c r="AG491" s="713"/>
      <c r="AH491" s="713"/>
      <c r="AI491" s="112">
        <f>IF(H491="credit",0,IF(AE491="free",0,IF(AE491="me",0,IF(G491&gt;0,(VLOOKUP(A491,'Discount Lookup'!J:K,2)*G491),0))))</f>
        <v>0</v>
      </c>
      <c r="AJ491" s="107" t="str">
        <f t="shared" ca="1" si="354"/>
        <v/>
      </c>
      <c r="AK491" s="714" t="str">
        <f t="shared" si="355"/>
        <v/>
      </c>
      <c r="AL491" s="714"/>
      <c r="AM491" s="114" t="str">
        <f t="shared" si="356"/>
        <v/>
      </c>
      <c r="AN491" s="115"/>
      <c r="AO491" s="116"/>
      <c r="AP491" s="116"/>
      <c r="AQ491" s="116"/>
      <c r="AR491" s="116"/>
      <c r="AS491" s="116"/>
      <c r="AT491" s="116"/>
      <c r="AU491" s="116"/>
      <c r="AV491" s="78"/>
      <c r="AW491" s="102"/>
      <c r="AX491" s="78"/>
      <c r="AY491" s="78"/>
      <c r="AZ491" s="78"/>
      <c r="BA491" s="78"/>
      <c r="BB491" s="78"/>
      <c r="BC491" s="78"/>
      <c r="BD491" s="78"/>
      <c r="BE491" s="465"/>
      <c r="BF491" s="165" t="str">
        <f t="shared" si="357"/>
        <v>https://www.google.com/search?tbm=isch&amp;q=CranRazz%20has%20Gray-Green%20foliage%20and%20a%20fragrance.%20All%20BB%20bloom%20summer%20to%20frost%2C%20on%20new%20wood%2C%20so%20cut%20back%20hard%20late%20winter%20</v>
      </c>
      <c r="BG491" s="165" t="str">
        <f t="shared" si="358"/>
        <v>C</v>
      </c>
      <c r="BH491" s="65"/>
      <c r="BI491" s="65"/>
      <c r="BJ491" s="65"/>
      <c r="BK491" s="65"/>
      <c r="BL491" s="99"/>
      <c r="BM491" s="99"/>
      <c r="BN491" s="99"/>
    </row>
    <row r="492" spans="1:66" s="51" customFormat="1" ht="18" x14ac:dyDescent="0.25">
      <c r="A492" s="623" t="s">
        <v>1588</v>
      </c>
      <c r="B492" s="624"/>
      <c r="C492" s="709"/>
      <c r="D492" s="625" t="s">
        <v>5862</v>
      </c>
      <c r="E492" s="626"/>
      <c r="F492" s="626"/>
      <c r="G492" s="626"/>
      <c r="H492" s="622" t="s">
        <v>1104</v>
      </c>
      <c r="I492" s="627" t="s">
        <v>1589</v>
      </c>
      <c r="J492" s="628"/>
      <c r="K492" s="628"/>
      <c r="L492" s="629"/>
      <c r="M492" s="700" t="s">
        <v>5241</v>
      </c>
      <c r="N492" s="693" t="str">
        <f>IF(AND(ISTEXT($A492), ISERROR($A492+0)), HYPERLINK($BF492, "Images"), "")</f>
        <v>Images</v>
      </c>
      <c r="O492" s="695" t="s">
        <v>5244</v>
      </c>
      <c r="P492" s="630"/>
      <c r="Q492" s="631"/>
      <c r="R492" s="632"/>
      <c r="S492" s="633"/>
      <c r="T492" s="102">
        <f t="shared" si="346"/>
        <v>0</v>
      </c>
      <c r="U492" s="78" t="str">
        <f>IF(NOT(ISNUMBER(G492)), "", VLOOKUP(A492,'Discount Lookup'!D:E,2,FALSE)*G492)</f>
        <v/>
      </c>
      <c r="V492" s="78" t="str">
        <f>IF(NOT(ISNUMBER(G492)), "", VLOOKUP(A492,'Discount Lookup'!G:H,2,FALSE)*G492)</f>
        <v/>
      </c>
      <c r="W492" s="102">
        <f t="shared" si="347"/>
        <v>0</v>
      </c>
      <c r="X492" s="102" t="str">
        <f t="shared" si="348"/>
        <v>Grape-Purple bloom</v>
      </c>
      <c r="Y492" s="120" t="b">
        <f t="shared" si="349"/>
        <v>0</v>
      </c>
      <c r="Z492" s="117">
        <f t="shared" si="350"/>
        <v>0</v>
      </c>
      <c r="AA492" s="118"/>
      <c r="AB492" s="118" t="str">
        <f t="shared" si="351"/>
        <v/>
      </c>
      <c r="AC492" s="712" t="str">
        <f>IF(AE492="T2G","no charge",IF(AND(OR(PlanterYesMe="No",PlanterYesMe="N",PlanterYesMe="me"),H492=""),"",IF(H492="credit","NO install",IF(AND(K492="",AE492="me"),"EACH row",IF(AND(K492="images",AE492="me"),"EACH row",IF(D492="","",IF(H492="credit","",IF(AE492="free","re-planting",IF(AE492="me","   not ELP, by",IF(AND(OR(PlanterYesMe="Yes",PlanterYesMe="Y"),G492&gt;0),(VLOOKUP(A492,'Discount Lookup'!J:K,2)*G492*(1-PlanterDiscount)*(1+PlanterDifficultyPercentage)),IF(AE492="ELP",(VLOOKUP(A492,'Discount Lookup'!J:K,2)*G492*(1-PlanterDiscount)*(1+PlanterDifficultyPercentage)),IF(AE492="free","re-planting",IF(G492=0,"",IF(PlanterYesMe="",IF(AE492="me","   not ELP, by",IF(AE492="",IF(G492&gt;0,(VLOOKUP(A492,'Discount Lookup'!J:K,2)*G492*(1-PlanterDiscount)*(1+PlanterDifficultyPercentage)),""),"")),"   not ELP, by"))))))))))))))</f>
        <v/>
      </c>
      <c r="AD492" s="712"/>
      <c r="AE492" s="513" t="str">
        <f t="shared" si="352"/>
        <v/>
      </c>
      <c r="AF492" s="713" t="str">
        <f t="shared" si="353"/>
        <v/>
      </c>
      <c r="AG492" s="713"/>
      <c r="AH492" s="713"/>
      <c r="AI492" s="112">
        <f>IF(H492="credit",0,IF(AE492="free",0,IF(AE492="me",0,IF(G492&gt;0,(VLOOKUP(A492,'Discount Lookup'!J:K,2)*G492),0))))</f>
        <v>0</v>
      </c>
      <c r="AJ492" s="107" t="str">
        <f t="shared" ca="1" si="354"/>
        <v/>
      </c>
      <c r="AK492" s="714" t="str">
        <f t="shared" si="355"/>
        <v/>
      </c>
      <c r="AL492" s="714"/>
      <c r="AM492" s="114" t="str">
        <f t="shared" si="356"/>
        <v/>
      </c>
      <c r="AN492" s="115"/>
      <c r="AO492" s="116"/>
      <c r="AP492" s="116"/>
      <c r="AQ492" s="116"/>
      <c r="AR492" s="116"/>
      <c r="AS492" s="116"/>
      <c r="AT492" s="116"/>
      <c r="AU492" s="116"/>
      <c r="AV492" s="78"/>
      <c r="AW492" s="102"/>
      <c r="AX492" s="78"/>
      <c r="AY492" s="78"/>
      <c r="AZ492" s="78"/>
      <c r="BA492" s="78"/>
      <c r="BB492" s="78"/>
      <c r="BC492" s="78"/>
      <c r="BD492" s="78"/>
      <c r="BE492" s="465"/>
      <c r="BF492" s="165" t="str">
        <f t="shared" si="357"/>
        <v>https://www.google.com/search?tbm=isch&amp;q=Buddleia%20%27BotEx%20001%27%20PP%2334515%20Li%27l%20Grape%E2%84%A2%20Butterfly%20Bush%20%28BC%C2%AE%29</v>
      </c>
      <c r="BG492" s="165" t="str">
        <f t="shared" si="358"/>
        <v>B</v>
      </c>
      <c r="BH492" s="65"/>
      <c r="BI492" s="65"/>
      <c r="BJ492" s="65"/>
      <c r="BK492" s="65"/>
      <c r="BL492" s="99"/>
      <c r="BM492" s="99"/>
      <c r="BN492" s="99"/>
    </row>
    <row r="493" spans="1:66" s="51" customFormat="1" ht="15.75" x14ac:dyDescent="0.25">
      <c r="A493" s="634">
        <v>3</v>
      </c>
      <c r="B493" s="635" t="s">
        <v>291</v>
      </c>
      <c r="C493" s="636"/>
      <c r="D493" s="637" t="s">
        <v>329</v>
      </c>
      <c r="E493" s="638">
        <v>31.95</v>
      </c>
      <c r="F493" s="639" t="s">
        <v>292</v>
      </c>
      <c r="G493" s="484">
        <v>0</v>
      </c>
      <c r="H493" s="691" t="str">
        <f>IF(G493=0,"",IF(F493="Buy",IF(G493=1,"plant","plants"),IF(F493&gt;0.01,"warranty","Error")))</f>
        <v/>
      </c>
      <c r="I493" s="640">
        <f>IF(H493="free",0,IF(H493="credit",((E493*(F493))*G493*-1),IF(F493="Buy",(E493*G493),((E493*(1-F493))*G493))))</f>
        <v>0</v>
      </c>
      <c r="J493" s="640">
        <f>IF(H493="warranty",0,(I493*(_xlfn.SINGLE(SalesTaxPercentage))))</f>
        <v>0</v>
      </c>
      <c r="K493" s="716">
        <f t="shared" ref="K493" si="371">I493+J493</f>
        <v>0</v>
      </c>
      <c r="L493" s="716"/>
      <c r="M493" s="689" t="str">
        <f ca="1">IF(AND(G493&gt;0,E493=0),"WARNING - no PRICE inserted",IF(H493="free","FREE ~ no charge this plant",IF(H493="credit",CONCATENATE("-$",ROUND(K493*(1-_xlfn.SINGLE(T2GDiscount))*-1,2)," CREDIT after discount"),IF(_xlfn.SINGLE(T2GDiscount)=0,"",IF(G493=0,"",IF(F493="Buy",CONCATENATE("$",ROUND(K493*(1-_xlfn.SINGLE(T2GDiscount)),2)," with ",(_xlfn.SINGLE(T2GDiscount)*100),"% discount"),CONCATENATE("$",ROUND(K493*(1-_xlfn.SINGLE(T2GDiscount)),2)," with ",((_xlfn.SINGLE(T2GDiscount)*100+F493*100)-(_xlfn.SINGLE(T2GDiscount)*100*F493)),IF(F493&gt;0,"% discounts",IF(_xlfn.SINGLE(NoWarrantyDiscount)&gt;0,"% discounts","% discount")))))))))</f>
        <v/>
      </c>
      <c r="N493" s="690"/>
      <c r="O493" s="486"/>
      <c r="P493" s="486"/>
      <c r="Q493" s="486"/>
      <c r="R493" s="486"/>
      <c r="S493" s="486"/>
      <c r="T493" s="102">
        <f t="shared" si="346"/>
        <v>0</v>
      </c>
      <c r="U493" s="78">
        <f>IF(NOT(ISNUMBER(G493)), "", VLOOKUP(A493,'Discount Lookup'!D:E,2,FALSE)*G493)</f>
        <v>0</v>
      </c>
      <c r="V493" s="78">
        <f>IF(NOT(ISNUMBER(G493)), "", VLOOKUP(A493,'Discount Lookup'!G:H,2,FALSE)*G493)</f>
        <v>0</v>
      </c>
      <c r="W493" s="102">
        <f t="shared" si="347"/>
        <v>0</v>
      </c>
      <c r="X493" s="102">
        <f t="shared" si="348"/>
        <v>0</v>
      </c>
      <c r="Y493" s="120" t="b">
        <f t="shared" si="349"/>
        <v>0</v>
      </c>
      <c r="Z493" s="117">
        <f t="shared" si="350"/>
        <v>0</v>
      </c>
      <c r="AA493" s="118"/>
      <c r="AB493" s="118" t="str">
        <f t="shared" si="351"/>
        <v/>
      </c>
      <c r="AC493" s="712" t="str">
        <f>IF(AE493="T2G","no charge",IF(AND(OR(PlanterYesMe="No",PlanterYesMe="N",PlanterYesMe="me"),H493=""),"",IF(H493="credit","NO install",IF(AND(K493="",AE493="me"),"EACH row",IF(AND(K493="images",AE493="me"),"EACH row",IF(D493="","",IF(H493="credit","",IF(AE493="free","re-planting",IF(AE493="me","   not ELP, by",IF(AND(OR(PlanterYesMe="Yes",PlanterYesMe="Y"),G493&gt;0),(VLOOKUP(A493,'Discount Lookup'!J:K,2)*G493*(1-PlanterDiscount)*(1+PlanterDifficultyPercentage)),IF(AE493="ELP",(VLOOKUP(A493,'Discount Lookup'!J:K,2)*G493*(1-PlanterDiscount)*(1+PlanterDifficultyPercentage)),IF(AE493="free","re-planting",IF(G493=0,"",IF(PlanterYesMe="",IF(AE493="me","   not ELP, by",IF(AE493="",IF(G493&gt;0,(VLOOKUP(A493,'Discount Lookup'!J:K,2)*G493*(1-PlanterDiscount)*(1+PlanterDifficultyPercentage)),""),"")),"   not ELP, by"))))))))))))))</f>
        <v/>
      </c>
      <c r="AD493" s="712"/>
      <c r="AE493" s="513" t="str">
        <f t="shared" si="352"/>
        <v/>
      </c>
      <c r="AF493" s="713" t="str">
        <f t="shared" si="353"/>
        <v/>
      </c>
      <c r="AG493" s="713"/>
      <c r="AH493" s="713"/>
      <c r="AI493" s="112">
        <f>IF(H493="credit",0,IF(AE493="free",0,IF(AE493="me",0,IF(G493&gt;0,(VLOOKUP(A493,'Discount Lookup'!J:K,2)*G493),0))))</f>
        <v>0</v>
      </c>
      <c r="AJ493" s="107" t="str">
        <f t="shared" ca="1" si="354"/>
        <v/>
      </c>
      <c r="AK493" s="714" t="str">
        <f t="shared" si="355"/>
        <v/>
      </c>
      <c r="AL493" s="714"/>
      <c r="AM493" s="114" t="str">
        <f t="shared" si="356"/>
        <v/>
      </c>
      <c r="AN493" s="115"/>
      <c r="AO493" s="116"/>
      <c r="AP493" s="116"/>
      <c r="AQ493" s="116"/>
      <c r="AR493" s="116"/>
      <c r="AS493" s="116"/>
      <c r="AT493" s="116"/>
      <c r="AU493" s="116"/>
      <c r="AV493" s="78"/>
      <c r="AW493" s="102"/>
      <c r="AX493" s="78"/>
      <c r="AY493" s="78"/>
      <c r="AZ493" s="78"/>
      <c r="BA493" s="78"/>
      <c r="BB493" s="78"/>
      <c r="BC493" s="78"/>
      <c r="BD493" s="78"/>
      <c r="BE493" s="465"/>
      <c r="BF493" s="165" t="str">
        <f t="shared" si="357"/>
        <v>https://www.google.com/search?tbm=isch&amp;q=3%20G2</v>
      </c>
      <c r="BG493" s="165" t="str">
        <f t="shared" si="358"/>
        <v>B</v>
      </c>
      <c r="BH493" s="65"/>
      <c r="BI493" s="65"/>
      <c r="BJ493" s="65"/>
      <c r="BK493" s="65"/>
      <c r="BL493" s="99"/>
      <c r="BM493" s="99"/>
      <c r="BN493" s="99"/>
    </row>
    <row r="494" spans="1:66" s="51" customFormat="1" ht="17.25" thickBot="1" x14ac:dyDescent="0.3">
      <c r="A494" s="641" t="s">
        <v>4673</v>
      </c>
      <c r="B494" s="642"/>
      <c r="C494" s="710"/>
      <c r="D494" s="643"/>
      <c r="E494" s="643"/>
      <c r="F494" s="644"/>
      <c r="G494" s="645"/>
      <c r="H494" s="646"/>
      <c r="I494" s="647"/>
      <c r="J494" s="648"/>
      <c r="K494" s="649"/>
      <c r="L494" s="650"/>
      <c r="M494" s="650"/>
      <c r="N494" s="644"/>
      <c r="O494" s="644"/>
      <c r="P494" s="644"/>
      <c r="Q494" s="644"/>
      <c r="R494" s="644"/>
      <c r="S494" s="701" t="s">
        <v>5271</v>
      </c>
      <c r="T494" s="102">
        <f t="shared" si="346"/>
        <v>0</v>
      </c>
      <c r="U494" s="78" t="str">
        <f>IF(NOT(ISNUMBER(G494)), "", VLOOKUP(A494,'Discount Lookup'!D:E,2,FALSE)*G494)</f>
        <v/>
      </c>
      <c r="V494" s="78" t="str">
        <f>IF(NOT(ISNUMBER(G494)), "", VLOOKUP(A494,'Discount Lookup'!G:H,2,FALSE)*G494)</f>
        <v/>
      </c>
      <c r="W494" s="102">
        <f t="shared" si="347"/>
        <v>0</v>
      </c>
      <c r="X494" s="102">
        <f t="shared" si="348"/>
        <v>0</v>
      </c>
      <c r="Y494" s="120" t="b">
        <f t="shared" si="349"/>
        <v>0</v>
      </c>
      <c r="Z494" s="117">
        <f t="shared" si="350"/>
        <v>0</v>
      </c>
      <c r="AA494" s="118"/>
      <c r="AB494" s="118" t="str">
        <f t="shared" si="351"/>
        <v/>
      </c>
      <c r="AC494" s="712" t="str">
        <f>IF(AE494="T2G","no charge",IF(AND(OR(PlanterYesMe="No",PlanterYesMe="N",PlanterYesMe="me"),H494=""),"",IF(H494="credit","NO install",IF(AND(K494="",AE494="me"),"EACH row",IF(AND(K494="images",AE494="me"),"EACH row",IF(D494="","",IF(H494="credit","",IF(AE494="free","re-planting",IF(AE494="me","   not ELP, by",IF(AND(OR(PlanterYesMe="Yes",PlanterYesMe="Y"),G494&gt;0),(VLOOKUP(A494,'Discount Lookup'!J:K,2)*G494*(1-PlanterDiscount)*(1+PlanterDifficultyPercentage)),IF(AE494="ELP",(VLOOKUP(A494,'Discount Lookup'!J:K,2)*G494*(1-PlanterDiscount)*(1+PlanterDifficultyPercentage)),IF(AE494="free","re-planting",IF(G494=0,"",IF(PlanterYesMe="",IF(AE494="me","   not ELP, by",IF(AE494="",IF(G494&gt;0,(VLOOKUP(A494,'Discount Lookup'!J:K,2)*G494*(1-PlanterDiscount)*(1+PlanterDifficultyPercentage)),""),"")),"   not ELP, by"))))))))))))))</f>
        <v/>
      </c>
      <c r="AD494" s="712"/>
      <c r="AE494" s="513" t="str">
        <f t="shared" si="352"/>
        <v/>
      </c>
      <c r="AF494" s="713" t="str">
        <f t="shared" si="353"/>
        <v/>
      </c>
      <c r="AG494" s="713"/>
      <c r="AH494" s="713"/>
      <c r="AI494" s="112">
        <f>IF(H494="credit",0,IF(AE494="free",0,IF(AE494="me",0,IF(G494&gt;0,(VLOOKUP(A494,'Discount Lookup'!J:K,2)*G494),0))))</f>
        <v>0</v>
      </c>
      <c r="AJ494" s="107" t="str">
        <f t="shared" ca="1" si="354"/>
        <v/>
      </c>
      <c r="AK494" s="714" t="str">
        <f t="shared" si="355"/>
        <v/>
      </c>
      <c r="AL494" s="714"/>
      <c r="AM494" s="114" t="str">
        <f t="shared" si="356"/>
        <v/>
      </c>
      <c r="AN494" s="115"/>
      <c r="AO494" s="116"/>
      <c r="AP494" s="116"/>
      <c r="AQ494" s="116"/>
      <c r="AR494" s="116"/>
      <c r="AS494" s="116"/>
      <c r="AT494" s="116"/>
      <c r="AU494" s="116"/>
      <c r="AV494" s="78"/>
      <c r="AW494" s="102"/>
      <c r="AX494" s="78"/>
      <c r="AY494" s="78"/>
      <c r="AZ494" s="78"/>
      <c r="BA494" s="78"/>
      <c r="BB494" s="78"/>
      <c r="BC494" s="78"/>
      <c r="BD494" s="78"/>
      <c r="BE494" s="465"/>
      <c r="BF494" s="165" t="str">
        <f t="shared" si="357"/>
        <v>https://www.google.com/search?tbm=isch&amp;q=Li%27l%20Grape%20has%20Green%20foliage%20and%20a%20sweet%20fragrance.%20All%20BB%20bloom%20summer%20to%20frost%2C%20on%20new%20wood%2C%20so%20cut%20back%20hard%20late%20winter%20</v>
      </c>
      <c r="BG494" s="165" t="str">
        <f t="shared" si="358"/>
        <v>L</v>
      </c>
      <c r="BH494" s="65"/>
      <c r="BI494" s="65"/>
      <c r="BJ494" s="65"/>
      <c r="BK494" s="65"/>
      <c r="BL494" s="99"/>
      <c r="BM494" s="99"/>
      <c r="BN494" s="99"/>
    </row>
    <row r="495" spans="1:66" s="51" customFormat="1" ht="18" x14ac:dyDescent="0.25">
      <c r="A495" s="623" t="s">
        <v>1590</v>
      </c>
      <c r="B495" s="624"/>
      <c r="C495" s="709"/>
      <c r="D495" s="625" t="s">
        <v>1591</v>
      </c>
      <c r="E495" s="626"/>
      <c r="F495" s="626"/>
      <c r="G495" s="626"/>
      <c r="H495" s="622" t="s">
        <v>1419</v>
      </c>
      <c r="I495" s="627" t="s">
        <v>1592</v>
      </c>
      <c r="J495" s="628"/>
      <c r="K495" s="628"/>
      <c r="L495" s="629"/>
      <c r="M495" s="700" t="s">
        <v>5241</v>
      </c>
      <c r="N495" s="693" t="str">
        <f>IF(AND(ISTEXT($A495), ISERROR($A495+0)), HYPERLINK($BF495, "Images"), "")</f>
        <v>Images</v>
      </c>
      <c r="O495" s="695" t="s">
        <v>5244</v>
      </c>
      <c r="P495" s="630"/>
      <c r="Q495" s="631"/>
      <c r="R495" s="632"/>
      <c r="S495" s="633"/>
      <c r="T495" s="102">
        <f t="shared" si="346"/>
        <v>0</v>
      </c>
      <c r="U495" s="78" t="str">
        <f>IF(NOT(ISNUMBER(G495)), "", VLOOKUP(A495,'Discount Lookup'!D:E,2,FALSE)*G495)</f>
        <v/>
      </c>
      <c r="V495" s="78" t="str">
        <f>IF(NOT(ISNUMBER(G495)), "", VLOOKUP(A495,'Discount Lookup'!G:H,2,FALSE)*G495)</f>
        <v/>
      </c>
      <c r="W495" s="102">
        <f t="shared" si="347"/>
        <v>0</v>
      </c>
      <c r="X495" s="102" t="str">
        <f t="shared" si="348"/>
        <v>Bloom varies</v>
      </c>
      <c r="Y495" s="120" t="b">
        <f t="shared" si="349"/>
        <v>0</v>
      </c>
      <c r="Z495" s="117">
        <f t="shared" si="350"/>
        <v>0</v>
      </c>
      <c r="AA495" s="118"/>
      <c r="AB495" s="118" t="str">
        <f t="shared" si="351"/>
        <v/>
      </c>
      <c r="AC495" s="712" t="str">
        <f>IF(AE495="T2G","no charge",IF(AND(OR(PlanterYesMe="No",PlanterYesMe="N",PlanterYesMe="me"),H495=""),"",IF(H495="credit","NO install",IF(AND(K495="",AE495="me"),"EACH row",IF(AND(K495="images",AE495="me"),"EACH row",IF(D495="","",IF(H495="credit","",IF(AE495="free","re-planting",IF(AE495="me","   not ELP, by",IF(AND(OR(PlanterYesMe="Yes",PlanterYesMe="Y"),G495&gt;0),(VLOOKUP(A495,'Discount Lookup'!J:K,2)*G495*(1-PlanterDiscount)*(1+PlanterDifficultyPercentage)),IF(AE495="ELP",(VLOOKUP(A495,'Discount Lookup'!J:K,2)*G495*(1-PlanterDiscount)*(1+PlanterDifficultyPercentage)),IF(AE495="free","re-planting",IF(G495=0,"",IF(PlanterYesMe="",IF(AE495="me","   not ELP, by",IF(AE495="",IF(G495&gt;0,(VLOOKUP(A495,'Discount Lookup'!J:K,2)*G495*(1-PlanterDiscount)*(1+PlanterDifficultyPercentage)),""),"")),"   not ELP, by"))))))))))))))</f>
        <v/>
      </c>
      <c r="AD495" s="712"/>
      <c r="AE495" s="513" t="str">
        <f t="shared" si="352"/>
        <v/>
      </c>
      <c r="AF495" s="713" t="str">
        <f t="shared" si="353"/>
        <v/>
      </c>
      <c r="AG495" s="713"/>
      <c r="AH495" s="713"/>
      <c r="AI495" s="112">
        <f>IF(H495="credit",0,IF(AE495="free",0,IF(AE495="me",0,IF(G495&gt;0,(VLOOKUP(A495,'Discount Lookup'!J:K,2)*G495),0))))</f>
        <v>0</v>
      </c>
      <c r="AJ495" s="107" t="str">
        <f t="shared" ca="1" si="354"/>
        <v/>
      </c>
      <c r="AK495" s="714" t="str">
        <f t="shared" si="355"/>
        <v/>
      </c>
      <c r="AL495" s="714"/>
      <c r="AM495" s="114" t="str">
        <f t="shared" si="356"/>
        <v/>
      </c>
      <c r="AN495" s="115"/>
      <c r="AO495" s="116"/>
      <c r="AP495" s="116"/>
      <c r="AQ495" s="116"/>
      <c r="AR495" s="116"/>
      <c r="AS495" s="116"/>
      <c r="AT495" s="116"/>
      <c r="AU495" s="116"/>
      <c r="AV495" s="78"/>
      <c r="AW495" s="102"/>
      <c r="AX495" s="78"/>
      <c r="AY495" s="78"/>
      <c r="AZ495" s="78"/>
      <c r="BA495" s="78"/>
      <c r="BB495" s="78"/>
      <c r="BC495" s="78"/>
      <c r="BD495" s="78"/>
      <c r="BE495" s="465"/>
      <c r="BF495" s="165" t="str">
        <f t="shared" si="357"/>
        <v>https://www.google.com/search?tbm=isch&amp;q=Buddleia%20davidii%20Butterfly%20Bush</v>
      </c>
      <c r="BG495" s="165" t="str">
        <f t="shared" si="358"/>
        <v>B</v>
      </c>
      <c r="BH495" s="65"/>
      <c r="BI495" s="65"/>
      <c r="BJ495" s="65"/>
      <c r="BK495" s="65"/>
      <c r="BL495" s="99"/>
      <c r="BM495" s="99"/>
      <c r="BN495" s="99"/>
    </row>
    <row r="496" spans="1:66" s="51" customFormat="1" ht="27" x14ac:dyDescent="0.25">
      <c r="A496" s="634">
        <v>3</v>
      </c>
      <c r="B496" s="635" t="s">
        <v>291</v>
      </c>
      <c r="C496" s="636" t="s">
        <v>1593</v>
      </c>
      <c r="D496" s="637" t="s">
        <v>309</v>
      </c>
      <c r="E496" s="638">
        <v>28.95</v>
      </c>
      <c r="F496" s="639" t="s">
        <v>292</v>
      </c>
      <c r="G496" s="484">
        <v>0</v>
      </c>
      <c r="H496" s="691" t="str">
        <f>IF(G496=0,"",IF(F496="Buy",IF(G496=1,"plant","plants"),IF(F496&gt;0.01,"warranty","Error")))</f>
        <v/>
      </c>
      <c r="I496" s="640">
        <f>IF(H496="free",0,IF(H496="credit",((E496*(F496))*G496*-1),IF(F496="Buy",(E496*G496),((E496*(1-F496))*G496))))</f>
        <v>0</v>
      </c>
      <c r="J496" s="640">
        <f>IF(H496="warranty",0,(I496*(_xlfn.SINGLE(SalesTaxPercentage))))</f>
        <v>0</v>
      </c>
      <c r="K496" s="716">
        <f t="shared" ref="K496" si="372">I496+J496</f>
        <v>0</v>
      </c>
      <c r="L496" s="716"/>
      <c r="M496" s="689" t="str">
        <f ca="1">IF(AND(G496&gt;0,E496=0),"WARNING - no PRICE inserted",IF(H496="free","FREE ~ no charge this plant",IF(H496="credit",CONCATENATE("-$",ROUND(K496*(1-_xlfn.SINGLE(T2GDiscount))*-1,2)," CREDIT after discount"),IF(_xlfn.SINGLE(T2GDiscount)=0,"",IF(G496=0,"",IF(F496="Buy",CONCATENATE("$",ROUND(K496*(1-_xlfn.SINGLE(T2GDiscount)),2)," with ",(_xlfn.SINGLE(T2GDiscount)*100),"% discount"),CONCATENATE("$",ROUND(K496*(1-_xlfn.SINGLE(T2GDiscount)),2)," with ",((_xlfn.SINGLE(T2GDiscount)*100+F496*100)-(_xlfn.SINGLE(T2GDiscount)*100*F496)),IF(F496&gt;0,"% discounts",IF(_xlfn.SINGLE(NoWarrantyDiscount)&gt;0,"% discounts","% discount")))))))))</f>
        <v/>
      </c>
      <c r="N496" s="690"/>
      <c r="O496" s="486"/>
      <c r="P496" s="486"/>
      <c r="Q496" s="486"/>
      <c r="R496" s="486"/>
      <c r="S496" s="486"/>
      <c r="T496" s="102">
        <f t="shared" si="346"/>
        <v>0</v>
      </c>
      <c r="U496" s="78">
        <f>IF(NOT(ISNUMBER(G496)), "", VLOOKUP(A496,'Discount Lookup'!D:E,2,FALSE)*G496)</f>
        <v>0</v>
      </c>
      <c r="V496" s="78">
        <f>IF(NOT(ISNUMBER(G496)), "", VLOOKUP(A496,'Discount Lookup'!G:H,2,FALSE)*G496)</f>
        <v>0</v>
      </c>
      <c r="W496" s="102">
        <f t="shared" si="347"/>
        <v>0</v>
      </c>
      <c r="X496" s="102">
        <f t="shared" si="348"/>
        <v>0</v>
      </c>
      <c r="Y496" s="120" t="b">
        <f t="shared" si="349"/>
        <v>0</v>
      </c>
      <c r="Z496" s="117">
        <f t="shared" si="350"/>
        <v>0</v>
      </c>
      <c r="AA496" s="118"/>
      <c r="AB496" s="118" t="str">
        <f t="shared" si="351"/>
        <v/>
      </c>
      <c r="AC496" s="712" t="str">
        <f>IF(AE496="T2G","no charge",IF(AND(OR(PlanterYesMe="No",PlanterYesMe="N",PlanterYesMe="me"),H496=""),"",IF(H496="credit","NO install",IF(AND(K496="",AE496="me"),"EACH row",IF(AND(K496="images",AE496="me"),"EACH row",IF(D496="","",IF(H496="credit","",IF(AE496="free","re-planting",IF(AE496="me","   not ELP, by",IF(AND(OR(PlanterYesMe="Yes",PlanterYesMe="Y"),G496&gt;0),(VLOOKUP(A496,'Discount Lookup'!J:K,2)*G496*(1-PlanterDiscount)*(1+PlanterDifficultyPercentage)),IF(AE496="ELP",(VLOOKUP(A496,'Discount Lookup'!J:K,2)*G496*(1-PlanterDiscount)*(1+PlanterDifficultyPercentage)),IF(AE496="free","re-planting",IF(G496=0,"",IF(PlanterYesMe="",IF(AE496="me","   not ELP, by",IF(AE496="",IF(G496&gt;0,(VLOOKUP(A496,'Discount Lookup'!J:K,2)*G496*(1-PlanterDiscount)*(1+PlanterDifficultyPercentage)),""),"")),"   not ELP, by"))))))))))))))</f>
        <v/>
      </c>
      <c r="AD496" s="712"/>
      <c r="AE496" s="513" t="str">
        <f t="shared" si="352"/>
        <v/>
      </c>
      <c r="AF496" s="713" t="str">
        <f t="shared" si="353"/>
        <v/>
      </c>
      <c r="AG496" s="713"/>
      <c r="AH496" s="713"/>
      <c r="AI496" s="112">
        <f>IF(H496="credit",0,IF(AE496="free",0,IF(AE496="me",0,IF(G496&gt;0,(VLOOKUP(A496,'Discount Lookup'!J:K,2)*G496),0))))</f>
        <v>0</v>
      </c>
      <c r="AJ496" s="107" t="str">
        <f t="shared" ca="1" si="354"/>
        <v/>
      </c>
      <c r="AK496" s="714" t="str">
        <f t="shared" si="355"/>
        <v/>
      </c>
      <c r="AL496" s="714"/>
      <c r="AM496" s="114" t="str">
        <f t="shared" si="356"/>
        <v/>
      </c>
      <c r="AN496" s="115"/>
      <c r="AO496" s="116"/>
      <c r="AP496" s="116"/>
      <c r="AQ496" s="116"/>
      <c r="AR496" s="116"/>
      <c r="AS496" s="116"/>
      <c r="AT496" s="116"/>
      <c r="AU496" s="116"/>
      <c r="AV496" s="78"/>
      <c r="AW496" s="102"/>
      <c r="AX496" s="78"/>
      <c r="AY496" s="78"/>
      <c r="AZ496" s="78"/>
      <c r="BA496" s="78"/>
      <c r="BB496" s="78"/>
      <c r="BC496" s="78"/>
      <c r="BD496" s="78"/>
      <c r="BE496" s="465"/>
      <c r="BF496" s="165" t="str">
        <f t="shared" si="357"/>
        <v>https://www.google.com/search?tbm=isch&amp;q=3%20G3</v>
      </c>
      <c r="BG496" s="165" t="str">
        <f t="shared" si="358"/>
        <v>B</v>
      </c>
      <c r="BH496" s="65"/>
      <c r="BI496" s="65"/>
      <c r="BJ496" s="65"/>
      <c r="BK496" s="65"/>
      <c r="BL496" s="99"/>
      <c r="BM496" s="99"/>
      <c r="BN496" s="99"/>
    </row>
    <row r="497" spans="1:66" s="51" customFormat="1" ht="17.25" thickBot="1" x14ac:dyDescent="0.3">
      <c r="A497" s="641" t="s">
        <v>1594</v>
      </c>
      <c r="B497" s="642"/>
      <c r="C497" s="710"/>
      <c r="D497" s="643"/>
      <c r="E497" s="643"/>
      <c r="F497" s="644"/>
      <c r="G497" s="645"/>
      <c r="H497" s="646"/>
      <c r="I497" s="647"/>
      <c r="J497" s="648"/>
      <c r="K497" s="649"/>
      <c r="L497" s="650"/>
      <c r="M497" s="650"/>
      <c r="N497" s="644"/>
      <c r="O497" s="644"/>
      <c r="P497" s="644"/>
      <c r="Q497" s="644"/>
      <c r="R497" s="644"/>
      <c r="S497" s="701" t="s">
        <v>5271</v>
      </c>
      <c r="T497" s="102">
        <f t="shared" si="346"/>
        <v>0</v>
      </c>
      <c r="U497" s="78" t="str">
        <f>IF(NOT(ISNUMBER(G497)), "", VLOOKUP(A497,'Discount Lookup'!D:E,2,FALSE)*G497)</f>
        <v/>
      </c>
      <c r="V497" s="78" t="str">
        <f>IF(NOT(ISNUMBER(G497)), "", VLOOKUP(A497,'Discount Lookup'!G:H,2,FALSE)*G497)</f>
        <v/>
      </c>
      <c r="W497" s="102">
        <f t="shared" si="347"/>
        <v>0</v>
      </c>
      <c r="X497" s="102">
        <f t="shared" si="348"/>
        <v>0</v>
      </c>
      <c r="Y497" s="120" t="b">
        <f t="shared" si="349"/>
        <v>0</v>
      </c>
      <c r="Z497" s="117">
        <f t="shared" si="350"/>
        <v>0</v>
      </c>
      <c r="AA497" s="118"/>
      <c r="AB497" s="118" t="str">
        <f t="shared" si="351"/>
        <v/>
      </c>
      <c r="AC497" s="712" t="str">
        <f>IF(AE497="T2G","no charge",IF(AND(OR(PlanterYesMe="No",PlanterYesMe="N",PlanterYesMe="me"),H497=""),"",IF(H497="credit","NO install",IF(AND(K497="",AE497="me"),"EACH row",IF(AND(K497="images",AE497="me"),"EACH row",IF(D497="","",IF(H497="credit","",IF(AE497="free","re-planting",IF(AE497="me","   not ELP, by",IF(AND(OR(PlanterYesMe="Yes",PlanterYesMe="Y"),G497&gt;0),(VLOOKUP(A497,'Discount Lookup'!J:K,2)*G497*(1-PlanterDiscount)*(1+PlanterDifficultyPercentage)),IF(AE497="ELP",(VLOOKUP(A497,'Discount Lookup'!J:K,2)*G497*(1-PlanterDiscount)*(1+PlanterDifficultyPercentage)),IF(AE497="free","re-planting",IF(G497=0,"",IF(PlanterYesMe="",IF(AE497="me","   not ELP, by",IF(AE497="",IF(G497&gt;0,(VLOOKUP(A497,'Discount Lookup'!J:K,2)*G497*(1-PlanterDiscount)*(1+PlanterDifficultyPercentage)),""),"")),"   not ELP, by"))))))))))))))</f>
        <v/>
      </c>
      <c r="AD497" s="712"/>
      <c r="AE497" s="513" t="str">
        <f t="shared" si="352"/>
        <v/>
      </c>
      <c r="AF497" s="713" t="str">
        <f t="shared" si="353"/>
        <v/>
      </c>
      <c r="AG497" s="713"/>
      <c r="AH497" s="713"/>
      <c r="AI497" s="112">
        <f>IF(H497="credit",0,IF(AE497="free",0,IF(AE497="me",0,IF(G497&gt;0,(VLOOKUP(A497,'Discount Lookup'!J:K,2)*G497),0))))</f>
        <v>0</v>
      </c>
      <c r="AJ497" s="107" t="str">
        <f t="shared" ca="1" si="354"/>
        <v/>
      </c>
      <c r="AK497" s="714" t="str">
        <f t="shared" si="355"/>
        <v/>
      </c>
      <c r="AL497" s="714"/>
      <c r="AM497" s="114" t="str">
        <f t="shared" si="356"/>
        <v/>
      </c>
      <c r="AN497" s="115"/>
      <c r="AO497" s="116"/>
      <c r="AP497" s="116"/>
      <c r="AQ497" s="116"/>
      <c r="AR497" s="116"/>
      <c r="AS497" s="116"/>
      <c r="AT497" s="116"/>
      <c r="AU497" s="116"/>
      <c r="AV497" s="78"/>
      <c r="AW497" s="102"/>
      <c r="AX497" s="78"/>
      <c r="AY497" s="78"/>
      <c r="AZ497" s="78"/>
      <c r="BA497" s="78"/>
      <c r="BB497" s="78"/>
      <c r="BC497" s="78"/>
      <c r="BD497" s="78"/>
      <c r="BE497" s="465"/>
      <c r="BF497" s="165" t="str">
        <f t="shared" si="357"/>
        <v>https://www.google.com/search?tbm=isch&amp;q=Butterfly%20Bush%20has%20Green%20foliage.%20%20All%20BB%20bloom%20summer%20to%20frost%2C%20on%20new%20wood%2C%20so%20cut%20back%20hard%20late%20winter%20</v>
      </c>
      <c r="BG497" s="165" t="str">
        <f t="shared" si="358"/>
        <v>B</v>
      </c>
      <c r="BH497" s="65"/>
      <c r="BI497" s="65"/>
      <c r="BJ497" s="65"/>
      <c r="BK497" s="65"/>
      <c r="BL497" s="99"/>
      <c r="BM497" s="99"/>
      <c r="BN497" s="99"/>
    </row>
    <row r="498" spans="1:66" s="51" customFormat="1" ht="18" x14ac:dyDescent="0.25">
      <c r="A498" s="623" t="s">
        <v>1595</v>
      </c>
      <c r="B498" s="624"/>
      <c r="C498" s="709"/>
      <c r="D498" s="625" t="s">
        <v>1596</v>
      </c>
      <c r="E498" s="626"/>
      <c r="F498" s="626"/>
      <c r="G498" s="626"/>
      <c r="H498" s="622" t="s">
        <v>1471</v>
      </c>
      <c r="I498" s="627" t="s">
        <v>1597</v>
      </c>
      <c r="J498" s="628"/>
      <c r="K498" s="628"/>
      <c r="L498" s="629"/>
      <c r="M498" s="700" t="s">
        <v>5241</v>
      </c>
      <c r="N498" s="693" t="str">
        <f>IF(AND(ISTEXT($A498), ISERROR($A498+0)), HYPERLINK($BF498, "Images"), "")</f>
        <v>Images</v>
      </c>
      <c r="O498" s="695" t="s">
        <v>5244</v>
      </c>
      <c r="P498" s="630"/>
      <c r="Q498" s="631"/>
      <c r="R498" s="632"/>
      <c r="S498" s="633"/>
      <c r="T498" s="102">
        <f t="shared" si="346"/>
        <v>0</v>
      </c>
      <c r="U498" s="78" t="str">
        <f>IF(NOT(ISNUMBER(G498)), "", VLOOKUP(A498,'Discount Lookup'!D:E,2,FALSE)*G498)</f>
        <v/>
      </c>
      <c r="V498" s="78" t="str">
        <f>IF(NOT(ISNUMBER(G498)), "", VLOOKUP(A498,'Discount Lookup'!G:H,2,FALSE)*G498)</f>
        <v/>
      </c>
      <c r="W498" s="102">
        <f t="shared" si="347"/>
        <v>0</v>
      </c>
      <c r="X498" s="102" t="str">
        <f t="shared" si="348"/>
        <v>Deep Purple bloom</v>
      </c>
      <c r="Y498" s="120" t="b">
        <f t="shared" si="349"/>
        <v>0</v>
      </c>
      <c r="Z498" s="117">
        <f t="shared" si="350"/>
        <v>0</v>
      </c>
      <c r="AA498" s="118"/>
      <c r="AB498" s="118" t="str">
        <f t="shared" si="351"/>
        <v/>
      </c>
      <c r="AC498" s="712" t="str">
        <f>IF(AE498="T2G","no charge",IF(AND(OR(PlanterYesMe="No",PlanterYesMe="N",PlanterYesMe="me"),H498=""),"",IF(H498="credit","NO install",IF(AND(K498="",AE498="me"),"EACH row",IF(AND(K498="images",AE498="me"),"EACH row",IF(D498="","",IF(H498="credit","",IF(AE498="free","re-planting",IF(AE498="me","   not ELP, by",IF(AND(OR(PlanterYesMe="Yes",PlanterYesMe="Y"),G498&gt;0),(VLOOKUP(A498,'Discount Lookup'!J:K,2)*G498*(1-PlanterDiscount)*(1+PlanterDifficultyPercentage)),IF(AE498="ELP",(VLOOKUP(A498,'Discount Lookup'!J:K,2)*G498*(1-PlanterDiscount)*(1+PlanterDifficultyPercentage)),IF(AE498="free","re-planting",IF(G498=0,"",IF(PlanterYesMe="",IF(AE498="me","   not ELP, by",IF(AE498="",IF(G498&gt;0,(VLOOKUP(A498,'Discount Lookup'!J:K,2)*G498*(1-PlanterDiscount)*(1+PlanterDifficultyPercentage)),""),"")),"   not ELP, by"))))))))))))))</f>
        <v/>
      </c>
      <c r="AD498" s="712"/>
      <c r="AE498" s="513" t="str">
        <f t="shared" si="352"/>
        <v/>
      </c>
      <c r="AF498" s="713" t="str">
        <f t="shared" si="353"/>
        <v/>
      </c>
      <c r="AG498" s="713"/>
      <c r="AH498" s="713"/>
      <c r="AI498" s="112">
        <f>IF(H498="credit",0,IF(AE498="free",0,IF(AE498="me",0,IF(G498&gt;0,(VLOOKUP(A498,'Discount Lookup'!J:K,2)*G498),0))))</f>
        <v>0</v>
      </c>
      <c r="AJ498" s="107" t="str">
        <f t="shared" ca="1" si="354"/>
        <v/>
      </c>
      <c r="AK498" s="714" t="str">
        <f t="shared" si="355"/>
        <v/>
      </c>
      <c r="AL498" s="714"/>
      <c r="AM498" s="114" t="str">
        <f t="shared" si="356"/>
        <v/>
      </c>
      <c r="AN498" s="115"/>
      <c r="AO498" s="116"/>
      <c r="AP498" s="116"/>
      <c r="AQ498" s="116"/>
      <c r="AR498" s="116"/>
      <c r="AS498" s="116"/>
      <c r="AT498" s="116"/>
      <c r="AU498" s="116"/>
      <c r="AV498" s="78"/>
      <c r="AW498" s="102"/>
      <c r="AX498" s="78"/>
      <c r="AY498" s="78"/>
      <c r="AZ498" s="78"/>
      <c r="BA498" s="78"/>
      <c r="BB498" s="78"/>
      <c r="BC498" s="78"/>
      <c r="BD498" s="78"/>
      <c r="BE498" s="465"/>
      <c r="BF498" s="165" t="str">
        <f t="shared" si="357"/>
        <v>https://www.google.com/search?tbm=isch&amp;q=Buddleia%20davidii%20%27Black%20Knight%27%20Black%20Knight%20Butterfly%20Bush</v>
      </c>
      <c r="BG498" s="165" t="str">
        <f t="shared" si="358"/>
        <v>B</v>
      </c>
      <c r="BH498" s="65"/>
      <c r="BI498" s="65"/>
      <c r="BJ498" s="65"/>
      <c r="BK498" s="65"/>
      <c r="BL498" s="99"/>
      <c r="BM498" s="99"/>
      <c r="BN498" s="99"/>
    </row>
    <row r="499" spans="1:66" s="51" customFormat="1" ht="15.75" x14ac:dyDescent="0.25">
      <c r="A499" s="634">
        <v>3</v>
      </c>
      <c r="B499" s="635" t="s">
        <v>291</v>
      </c>
      <c r="C499" s="636" t="s">
        <v>1125</v>
      </c>
      <c r="D499" s="637" t="s">
        <v>309</v>
      </c>
      <c r="E499" s="638">
        <v>22.95</v>
      </c>
      <c r="F499" s="639" t="s">
        <v>292</v>
      </c>
      <c r="G499" s="484">
        <v>0</v>
      </c>
      <c r="H499" s="691" t="str">
        <f>IF(G499=0,"",IF(F499="Buy",IF(G499=1,"plant","plants"),IF(F499&gt;0.01,"warranty","Error")))</f>
        <v/>
      </c>
      <c r="I499" s="640">
        <f>IF(H499="free",0,IF(H499="credit",((E499*(F499))*G499*-1),IF(F499="Buy",(E499*G499),((E499*(1-F499))*G499))))</f>
        <v>0</v>
      </c>
      <c r="J499" s="640">
        <f>IF(H499="warranty",0,(I499*(_xlfn.SINGLE(SalesTaxPercentage))))</f>
        <v>0</v>
      </c>
      <c r="K499" s="716">
        <f t="shared" ref="K499" si="373">I499+J499</f>
        <v>0</v>
      </c>
      <c r="L499" s="716"/>
      <c r="M499" s="689" t="str">
        <f ca="1">IF(AND(G499&gt;0,E499=0),"WARNING - no PRICE inserted",IF(H499="free","FREE ~ no charge this plant",IF(H499="credit",CONCATENATE("-$",ROUND(K499*(1-_xlfn.SINGLE(T2GDiscount))*-1,2)," CREDIT after discount"),IF(_xlfn.SINGLE(T2GDiscount)=0,"",IF(G499=0,"",IF(F499="Buy",CONCATENATE("$",ROUND(K499*(1-_xlfn.SINGLE(T2GDiscount)),2)," with ",(_xlfn.SINGLE(T2GDiscount)*100),"% discount"),CONCATENATE("$",ROUND(K499*(1-_xlfn.SINGLE(T2GDiscount)),2)," with ",((_xlfn.SINGLE(T2GDiscount)*100+F499*100)-(_xlfn.SINGLE(T2GDiscount)*100*F499)),IF(F499&gt;0,"% discounts",IF(_xlfn.SINGLE(NoWarrantyDiscount)&gt;0,"% discounts","% discount")))))))))</f>
        <v/>
      </c>
      <c r="N499" s="690"/>
      <c r="O499" s="486"/>
      <c r="P499" s="486"/>
      <c r="Q499" s="486"/>
      <c r="R499" s="486"/>
      <c r="S499" s="486"/>
      <c r="T499" s="102">
        <f t="shared" si="346"/>
        <v>0</v>
      </c>
      <c r="U499" s="78">
        <f>IF(NOT(ISNUMBER(G499)), "", VLOOKUP(A499,'Discount Lookup'!D:E,2,FALSE)*G499)</f>
        <v>0</v>
      </c>
      <c r="V499" s="78">
        <f>IF(NOT(ISNUMBER(G499)), "", VLOOKUP(A499,'Discount Lookup'!G:H,2,FALSE)*G499)</f>
        <v>0</v>
      </c>
      <c r="W499" s="102">
        <f t="shared" si="347"/>
        <v>0</v>
      </c>
      <c r="X499" s="102">
        <f t="shared" si="348"/>
        <v>0</v>
      </c>
      <c r="Y499" s="120" t="b">
        <f t="shared" si="349"/>
        <v>0</v>
      </c>
      <c r="Z499" s="117">
        <f t="shared" si="350"/>
        <v>0</v>
      </c>
      <c r="AA499" s="118"/>
      <c r="AB499" s="118" t="str">
        <f t="shared" si="351"/>
        <v/>
      </c>
      <c r="AC499" s="712" t="str">
        <f>IF(AE499="T2G","no charge",IF(AND(OR(PlanterYesMe="No",PlanterYesMe="N",PlanterYesMe="me"),H499=""),"",IF(H499="credit","NO install",IF(AND(K499="",AE499="me"),"EACH row",IF(AND(K499="images",AE499="me"),"EACH row",IF(D499="","",IF(H499="credit","",IF(AE499="free","re-planting",IF(AE499="me","   not ELP, by",IF(AND(OR(PlanterYesMe="Yes",PlanterYesMe="Y"),G499&gt;0),(VLOOKUP(A499,'Discount Lookup'!J:K,2)*G499*(1-PlanterDiscount)*(1+PlanterDifficultyPercentage)),IF(AE499="ELP",(VLOOKUP(A499,'Discount Lookup'!J:K,2)*G499*(1-PlanterDiscount)*(1+PlanterDifficultyPercentage)),IF(AE499="free","re-planting",IF(G499=0,"",IF(PlanterYesMe="",IF(AE499="me","   not ELP, by",IF(AE499="",IF(G499&gt;0,(VLOOKUP(A499,'Discount Lookup'!J:K,2)*G499*(1-PlanterDiscount)*(1+PlanterDifficultyPercentage)),""),"")),"   not ELP, by"))))))))))))))</f>
        <v/>
      </c>
      <c r="AD499" s="712"/>
      <c r="AE499" s="513" t="str">
        <f t="shared" si="352"/>
        <v/>
      </c>
      <c r="AF499" s="713" t="str">
        <f t="shared" si="353"/>
        <v/>
      </c>
      <c r="AG499" s="713"/>
      <c r="AH499" s="713"/>
      <c r="AI499" s="112">
        <f>IF(H499="credit",0,IF(AE499="free",0,IF(AE499="me",0,IF(G499&gt;0,(VLOOKUP(A499,'Discount Lookup'!J:K,2)*G499),0))))</f>
        <v>0</v>
      </c>
      <c r="AJ499" s="107" t="str">
        <f t="shared" ca="1" si="354"/>
        <v/>
      </c>
      <c r="AK499" s="714" t="str">
        <f t="shared" si="355"/>
        <v/>
      </c>
      <c r="AL499" s="714"/>
      <c r="AM499" s="114" t="str">
        <f t="shared" si="356"/>
        <v/>
      </c>
      <c r="AN499" s="115"/>
      <c r="AO499" s="116"/>
      <c r="AP499" s="116"/>
      <c r="AQ499" s="116"/>
      <c r="AR499" s="116"/>
      <c r="AS499" s="116"/>
      <c r="AT499" s="116"/>
      <c r="AU499" s="116"/>
      <c r="AV499" s="78"/>
      <c r="AW499" s="102"/>
      <c r="AX499" s="78"/>
      <c r="AY499" s="78"/>
      <c r="AZ499" s="78"/>
      <c r="BA499" s="78"/>
      <c r="BB499" s="78"/>
      <c r="BC499" s="78"/>
      <c r="BD499" s="78"/>
      <c r="BE499" s="465"/>
      <c r="BF499" s="165" t="str">
        <f t="shared" si="357"/>
        <v>https://www.google.com/search?tbm=isch&amp;q=3%20G3</v>
      </c>
      <c r="BG499" s="165" t="str">
        <f t="shared" si="358"/>
        <v>B</v>
      </c>
      <c r="BH499" s="65"/>
      <c r="BI499" s="65"/>
      <c r="BJ499" s="65"/>
      <c r="BK499" s="65"/>
      <c r="BL499" s="99"/>
      <c r="BM499" s="99"/>
      <c r="BN499" s="99"/>
    </row>
    <row r="500" spans="1:66" s="51" customFormat="1" ht="15.75" x14ac:dyDescent="0.25">
      <c r="A500" s="634">
        <v>3</v>
      </c>
      <c r="B500" s="635" t="s">
        <v>291</v>
      </c>
      <c r="C500" s="636" t="s">
        <v>4958</v>
      </c>
      <c r="D500" s="637" t="s">
        <v>329</v>
      </c>
      <c r="E500" s="638">
        <v>29.95</v>
      </c>
      <c r="F500" s="639" t="s">
        <v>292</v>
      </c>
      <c r="G500" s="484">
        <v>0</v>
      </c>
      <c r="H500" s="691" t="str">
        <f>IF(G500=0,"",IF(F500="Buy",IF(G500=1,"plant","plants"),IF(F500&gt;0.01,"warranty","Error")))</f>
        <v/>
      </c>
      <c r="I500" s="640">
        <f>IF(H500="free",0,IF(H500="credit",((E500*(F500))*G500*-1),IF(F500="Buy",(E500*G500),((E500*(1-F500))*G500))))</f>
        <v>0</v>
      </c>
      <c r="J500" s="640">
        <f>IF(H500="warranty",0,(I500*(_xlfn.SINGLE(SalesTaxPercentage))))</f>
        <v>0</v>
      </c>
      <c r="K500" s="716">
        <f t="shared" ref="K500" si="374">I500+J500</f>
        <v>0</v>
      </c>
      <c r="L500" s="716"/>
      <c r="M500" s="689" t="str">
        <f ca="1">IF(AND(G500&gt;0,E500=0),"WARNING - no PRICE inserted",IF(H500="free","FREE ~ no charge this plant",IF(H500="credit",CONCATENATE("-$",ROUND(K500*(1-_xlfn.SINGLE(T2GDiscount))*-1,2)," CREDIT after discount"),IF(_xlfn.SINGLE(T2GDiscount)=0,"",IF(G500=0,"",IF(F500="Buy",CONCATENATE("$",ROUND(K500*(1-_xlfn.SINGLE(T2GDiscount)),2)," with ",(_xlfn.SINGLE(T2GDiscount)*100),"% discount"),CONCATENATE("$",ROUND(K500*(1-_xlfn.SINGLE(T2GDiscount)),2)," with ",((_xlfn.SINGLE(T2GDiscount)*100+F500*100)-(_xlfn.SINGLE(T2GDiscount)*100*F500)),IF(F500&gt;0,"% discounts",IF(_xlfn.SINGLE(NoWarrantyDiscount)&gt;0,"% discounts","% discount")))))))))</f>
        <v/>
      </c>
      <c r="N500" s="690"/>
      <c r="O500" s="486"/>
      <c r="P500" s="486"/>
      <c r="Q500" s="486"/>
      <c r="R500" s="486"/>
      <c r="S500" s="486"/>
      <c r="T500" s="102">
        <f t="shared" si="346"/>
        <v>0</v>
      </c>
      <c r="U500" s="78">
        <f>IF(NOT(ISNUMBER(G500)), "", VLOOKUP(A500,'Discount Lookup'!D:E,2,FALSE)*G500)</f>
        <v>0</v>
      </c>
      <c r="V500" s="78">
        <f>IF(NOT(ISNUMBER(G500)), "", VLOOKUP(A500,'Discount Lookup'!G:H,2,FALSE)*G500)</f>
        <v>0</v>
      </c>
      <c r="W500" s="102">
        <f t="shared" si="347"/>
        <v>0</v>
      </c>
      <c r="X500" s="102">
        <f t="shared" si="348"/>
        <v>0</v>
      </c>
      <c r="Y500" s="120" t="b">
        <f t="shared" si="349"/>
        <v>0</v>
      </c>
      <c r="Z500" s="117">
        <f t="shared" si="350"/>
        <v>0</v>
      </c>
      <c r="AA500" s="118"/>
      <c r="AB500" s="118" t="str">
        <f t="shared" si="351"/>
        <v/>
      </c>
      <c r="AC500" s="712" t="str">
        <f>IF(AE500="T2G","no charge",IF(AND(OR(PlanterYesMe="No",PlanterYesMe="N",PlanterYesMe="me"),H500=""),"",IF(H500="credit","NO install",IF(AND(K500="",AE500="me"),"EACH row",IF(AND(K500="images",AE500="me"),"EACH row",IF(D500="","",IF(H500="credit","",IF(AE500="free","re-planting",IF(AE500="me","   not ELP, by",IF(AND(OR(PlanterYesMe="Yes",PlanterYesMe="Y"),G500&gt;0),(VLOOKUP(A500,'Discount Lookup'!J:K,2)*G500*(1-PlanterDiscount)*(1+PlanterDifficultyPercentage)),IF(AE500="ELP",(VLOOKUP(A500,'Discount Lookup'!J:K,2)*G500*(1-PlanterDiscount)*(1+PlanterDifficultyPercentage)),IF(AE500="free","re-planting",IF(G500=0,"",IF(PlanterYesMe="",IF(AE500="me","   not ELP, by",IF(AE500="",IF(G500&gt;0,(VLOOKUP(A500,'Discount Lookup'!J:K,2)*G500*(1-PlanterDiscount)*(1+PlanterDifficultyPercentage)),""),"")),"   not ELP, by"))))))))))))))</f>
        <v/>
      </c>
      <c r="AD500" s="712"/>
      <c r="AE500" s="513" t="str">
        <f t="shared" si="352"/>
        <v/>
      </c>
      <c r="AF500" s="713" t="str">
        <f t="shared" si="353"/>
        <v/>
      </c>
      <c r="AG500" s="713"/>
      <c r="AH500" s="713"/>
      <c r="AI500" s="112">
        <f>IF(H500="credit",0,IF(AE500="free",0,IF(AE500="me",0,IF(G500&gt;0,(VLOOKUP(A500,'Discount Lookup'!J:K,2)*G500),0))))</f>
        <v>0</v>
      </c>
      <c r="AJ500" s="107" t="str">
        <f t="shared" ca="1" si="354"/>
        <v/>
      </c>
      <c r="AK500" s="714" t="str">
        <f t="shared" si="355"/>
        <v/>
      </c>
      <c r="AL500" s="714"/>
      <c r="AM500" s="114" t="str">
        <f t="shared" si="356"/>
        <v/>
      </c>
      <c r="AN500" s="115"/>
      <c r="AO500" s="116"/>
      <c r="AP500" s="116"/>
      <c r="AQ500" s="116"/>
      <c r="AR500" s="116"/>
      <c r="AS500" s="116"/>
      <c r="AT500" s="116"/>
      <c r="AU500" s="116"/>
      <c r="AV500" s="78"/>
      <c r="AW500" s="102"/>
      <c r="AX500" s="78"/>
      <c r="AY500" s="78"/>
      <c r="AZ500" s="78"/>
      <c r="BA500" s="78"/>
      <c r="BB500" s="78"/>
      <c r="BC500" s="78"/>
      <c r="BD500" s="78"/>
      <c r="BE500" s="465"/>
      <c r="BF500" s="165" t="str">
        <f t="shared" si="357"/>
        <v>https://www.google.com/search?tbm=isch&amp;q=3%20G2</v>
      </c>
      <c r="BG500" s="165" t="str">
        <f t="shared" si="358"/>
        <v>B</v>
      </c>
      <c r="BH500" s="65"/>
      <c r="BI500" s="65"/>
      <c r="BJ500" s="65"/>
      <c r="BK500" s="65"/>
      <c r="BL500" s="99"/>
      <c r="BM500" s="99"/>
      <c r="BN500" s="99"/>
    </row>
    <row r="501" spans="1:66" s="51" customFormat="1" ht="15.75" x14ac:dyDescent="0.25">
      <c r="A501" s="634">
        <v>5</v>
      </c>
      <c r="B501" s="635" t="s">
        <v>291</v>
      </c>
      <c r="C501" s="636" t="s">
        <v>4569</v>
      </c>
      <c r="D501" s="637" t="s">
        <v>293</v>
      </c>
      <c r="E501" s="638">
        <v>40.950000000000003</v>
      </c>
      <c r="F501" s="639" t="s">
        <v>292</v>
      </c>
      <c r="G501" s="484">
        <v>0</v>
      </c>
      <c r="H501" s="691" t="str">
        <f>IF(G501=0,"",IF(F501="Buy",IF(G501=1,"plant","plants"),IF(F501&gt;0.01,"warranty","Error")))</f>
        <v/>
      </c>
      <c r="I501" s="640">
        <f>IF(H501="free",0,IF(H501="credit",((E501*(F501))*G501*-1),IF(F501="Buy",(E501*G501),((E501*(1-F501))*G501))))</f>
        <v>0</v>
      </c>
      <c r="J501" s="640">
        <f>IF(H501="warranty",0,(I501*(_xlfn.SINGLE(SalesTaxPercentage))))</f>
        <v>0</v>
      </c>
      <c r="K501" s="716">
        <f t="shared" ref="K501" si="375">I501+J501</f>
        <v>0</v>
      </c>
      <c r="L501" s="716"/>
      <c r="M501" s="689" t="str">
        <f ca="1">IF(AND(G501&gt;0,E501=0),"WARNING - no PRICE inserted",IF(H501="free","FREE ~ no charge this plant",IF(H501="credit",CONCATENATE("-$",ROUND(K501*(1-_xlfn.SINGLE(T2GDiscount))*-1,2)," CREDIT after discount"),IF(_xlfn.SINGLE(T2GDiscount)=0,"",IF(G501=0,"",IF(F501="Buy",CONCATENATE("$",ROUND(K501*(1-_xlfn.SINGLE(T2GDiscount)),2)," with ",(_xlfn.SINGLE(T2GDiscount)*100),"% discount"),CONCATENATE("$",ROUND(K501*(1-_xlfn.SINGLE(T2GDiscount)),2)," with ",((_xlfn.SINGLE(T2GDiscount)*100+F501*100)-(_xlfn.SINGLE(T2GDiscount)*100*F501)),IF(F501&gt;0,"% discounts",IF(_xlfn.SINGLE(NoWarrantyDiscount)&gt;0,"% discounts","% discount")))))))))</f>
        <v/>
      </c>
      <c r="N501" s="690"/>
      <c r="O501" s="486"/>
      <c r="P501" s="486"/>
      <c r="Q501" s="486"/>
      <c r="R501" s="486"/>
      <c r="S501" s="486"/>
      <c r="T501" s="102">
        <f t="shared" si="346"/>
        <v>0</v>
      </c>
      <c r="U501" s="78">
        <f>IF(NOT(ISNUMBER(G501)), "", VLOOKUP(A501,'Discount Lookup'!D:E,2,FALSE)*G501)</f>
        <v>0</v>
      </c>
      <c r="V501" s="78">
        <f>IF(NOT(ISNUMBER(G501)), "", VLOOKUP(A501,'Discount Lookup'!G:H,2,FALSE)*G501)</f>
        <v>0</v>
      </c>
      <c r="W501" s="102">
        <f t="shared" si="347"/>
        <v>0</v>
      </c>
      <c r="X501" s="102">
        <f t="shared" si="348"/>
        <v>0</v>
      </c>
      <c r="Y501" s="120" t="b">
        <f t="shared" si="349"/>
        <v>0</v>
      </c>
      <c r="Z501" s="117">
        <f t="shared" si="350"/>
        <v>0</v>
      </c>
      <c r="AA501" s="118"/>
      <c r="AB501" s="118" t="str">
        <f t="shared" si="351"/>
        <v/>
      </c>
      <c r="AC501" s="712" t="str">
        <f>IF(AE501="T2G","no charge",IF(AND(OR(PlanterYesMe="No",PlanterYesMe="N",PlanterYesMe="me"),H501=""),"",IF(H501="credit","NO install",IF(AND(K501="",AE501="me"),"EACH row",IF(AND(K501="images",AE501="me"),"EACH row",IF(D501="","",IF(H501="credit","",IF(AE501="free","re-planting",IF(AE501="me","   not ELP, by",IF(AND(OR(PlanterYesMe="Yes",PlanterYesMe="Y"),G501&gt;0),(VLOOKUP(A501,'Discount Lookup'!J:K,2)*G501*(1-PlanterDiscount)*(1+PlanterDifficultyPercentage)),IF(AE501="ELP",(VLOOKUP(A501,'Discount Lookup'!J:K,2)*G501*(1-PlanterDiscount)*(1+PlanterDifficultyPercentage)),IF(AE501="free","re-planting",IF(G501=0,"",IF(PlanterYesMe="",IF(AE501="me","   not ELP, by",IF(AE501="",IF(G501&gt;0,(VLOOKUP(A501,'Discount Lookup'!J:K,2)*G501*(1-PlanterDiscount)*(1+PlanterDifficultyPercentage)),""),"")),"   not ELP, by"))))))))))))))</f>
        <v/>
      </c>
      <c r="AD501" s="712"/>
      <c r="AE501" s="513" t="str">
        <f t="shared" si="352"/>
        <v/>
      </c>
      <c r="AF501" s="713" t="str">
        <f t="shared" si="353"/>
        <v/>
      </c>
      <c r="AG501" s="713"/>
      <c r="AH501" s="713"/>
      <c r="AI501" s="112">
        <f>IF(H501="credit",0,IF(AE501="free",0,IF(AE501="me",0,IF(G501&gt;0,(VLOOKUP(A501,'Discount Lookup'!J:K,2)*G501),0))))</f>
        <v>0</v>
      </c>
      <c r="AJ501" s="107" t="str">
        <f t="shared" ca="1" si="354"/>
        <v/>
      </c>
      <c r="AK501" s="714" t="str">
        <f t="shared" si="355"/>
        <v/>
      </c>
      <c r="AL501" s="714"/>
      <c r="AM501" s="114" t="str">
        <f t="shared" si="356"/>
        <v/>
      </c>
      <c r="AN501" s="115"/>
      <c r="AO501" s="116"/>
      <c r="AP501" s="116"/>
      <c r="AQ501" s="116"/>
      <c r="AR501" s="116"/>
      <c r="AS501" s="116"/>
      <c r="AT501" s="116"/>
      <c r="AU501" s="116"/>
      <c r="AV501" s="78"/>
      <c r="AW501" s="102"/>
      <c r="AX501" s="78"/>
      <c r="AY501" s="78"/>
      <c r="AZ501" s="78"/>
      <c r="BA501" s="78"/>
      <c r="BB501" s="78"/>
      <c r="BC501" s="78"/>
      <c r="BD501" s="78"/>
      <c r="BE501" s="465"/>
      <c r="BF501" s="165" t="str">
        <f t="shared" si="357"/>
        <v>https://www.google.com/search?tbm=isch&amp;q=5%20G6</v>
      </c>
      <c r="BG501" s="165" t="str">
        <f t="shared" si="358"/>
        <v>B</v>
      </c>
      <c r="BH501" s="65"/>
      <c r="BI501" s="65"/>
      <c r="BJ501" s="65"/>
      <c r="BK501" s="65"/>
      <c r="BL501" s="99"/>
      <c r="BM501" s="99"/>
      <c r="BN501" s="99"/>
    </row>
    <row r="502" spans="1:66" s="51" customFormat="1" ht="17.25" thickBot="1" x14ac:dyDescent="0.3">
      <c r="A502" s="641" t="s">
        <v>4908</v>
      </c>
      <c r="B502" s="642"/>
      <c r="C502" s="710"/>
      <c r="D502" s="643"/>
      <c r="E502" s="643"/>
      <c r="F502" s="644"/>
      <c r="G502" s="645"/>
      <c r="H502" s="646"/>
      <c r="I502" s="647"/>
      <c r="J502" s="648"/>
      <c r="K502" s="649"/>
      <c r="L502" s="650"/>
      <c r="M502" s="650"/>
      <c r="N502" s="644"/>
      <c r="O502" s="644"/>
      <c r="P502" s="644"/>
      <c r="Q502" s="644"/>
      <c r="R502" s="644"/>
      <c r="S502" s="701" t="s">
        <v>5271</v>
      </c>
      <c r="T502" s="102">
        <f t="shared" si="346"/>
        <v>0</v>
      </c>
      <c r="U502" s="78" t="str">
        <f>IF(NOT(ISNUMBER(G502)), "", VLOOKUP(A502,'Discount Lookup'!D:E,2,FALSE)*G502)</f>
        <v/>
      </c>
      <c r="V502" s="78" t="str">
        <f>IF(NOT(ISNUMBER(G502)), "", VLOOKUP(A502,'Discount Lookup'!G:H,2,FALSE)*G502)</f>
        <v/>
      </c>
      <c r="W502" s="102">
        <f t="shared" si="347"/>
        <v>0</v>
      </c>
      <c r="X502" s="102">
        <f t="shared" si="348"/>
        <v>0</v>
      </c>
      <c r="Y502" s="120" t="b">
        <f t="shared" si="349"/>
        <v>0</v>
      </c>
      <c r="Z502" s="117">
        <f t="shared" si="350"/>
        <v>0</v>
      </c>
      <c r="AA502" s="118"/>
      <c r="AB502" s="118" t="str">
        <f t="shared" si="351"/>
        <v/>
      </c>
      <c r="AC502" s="712" t="str">
        <f>IF(AE502="T2G","no charge",IF(AND(OR(PlanterYesMe="No",PlanterYesMe="N",PlanterYesMe="me"),H502=""),"",IF(H502="credit","NO install",IF(AND(K502="",AE502="me"),"EACH row",IF(AND(K502="images",AE502="me"),"EACH row",IF(D502="","",IF(H502="credit","",IF(AE502="free","re-planting",IF(AE502="me","   not ELP, by",IF(AND(OR(PlanterYesMe="Yes",PlanterYesMe="Y"),G502&gt;0),(VLOOKUP(A502,'Discount Lookup'!J:K,2)*G502*(1-PlanterDiscount)*(1+PlanterDifficultyPercentage)),IF(AE502="ELP",(VLOOKUP(A502,'Discount Lookup'!J:K,2)*G502*(1-PlanterDiscount)*(1+PlanterDifficultyPercentage)),IF(AE502="free","re-planting",IF(G502=0,"",IF(PlanterYesMe="",IF(AE502="me","   not ELP, by",IF(AE502="",IF(G502&gt;0,(VLOOKUP(A502,'Discount Lookup'!J:K,2)*G502*(1-PlanterDiscount)*(1+PlanterDifficultyPercentage)),""),"")),"   not ELP, by"))))))))))))))</f>
        <v/>
      </c>
      <c r="AD502" s="712"/>
      <c r="AE502" s="513" t="str">
        <f t="shared" si="352"/>
        <v/>
      </c>
      <c r="AF502" s="713" t="str">
        <f t="shared" si="353"/>
        <v/>
      </c>
      <c r="AG502" s="713"/>
      <c r="AH502" s="713"/>
      <c r="AI502" s="112">
        <f>IF(H502="credit",0,IF(AE502="free",0,IF(AE502="me",0,IF(G502&gt;0,(VLOOKUP(A502,'Discount Lookup'!J:K,2)*G502),0))))</f>
        <v>0</v>
      </c>
      <c r="AJ502" s="107" t="str">
        <f t="shared" ca="1" si="354"/>
        <v/>
      </c>
      <c r="AK502" s="714" t="str">
        <f t="shared" si="355"/>
        <v/>
      </c>
      <c r="AL502" s="714"/>
      <c r="AM502" s="114" t="str">
        <f t="shared" si="356"/>
        <v/>
      </c>
      <c r="AN502" s="115"/>
      <c r="AO502" s="116"/>
      <c r="AP502" s="116"/>
      <c r="AQ502" s="116"/>
      <c r="AR502" s="116"/>
      <c r="AS502" s="116"/>
      <c r="AT502" s="116"/>
      <c r="AU502" s="116"/>
      <c r="AV502" s="78"/>
      <c r="AW502" s="102"/>
      <c r="AX502" s="78"/>
      <c r="AY502" s="78"/>
      <c r="AZ502" s="78"/>
      <c r="BA502" s="78"/>
      <c r="BB502" s="78"/>
      <c r="BC502" s="78"/>
      <c r="BD502" s="78"/>
      <c r="BE502" s="465"/>
      <c r="BF502" s="165" t="str">
        <f t="shared" si="357"/>
        <v>https://www.google.com/search?tbm=isch&amp;q=Black%20Knight%20has%20Dark%20Green%20foliage%2C%20Whitish%20undersides%2C%20and%20a%20sweet%20fragrance.%20All%20BB%20bloom%20summer%20to%20frost%2C%20on%20new%20wood%20</v>
      </c>
      <c r="BG502" s="165" t="str">
        <f t="shared" si="358"/>
        <v>B</v>
      </c>
      <c r="BH502" s="65"/>
      <c r="BI502" s="65"/>
      <c r="BJ502" s="65"/>
      <c r="BK502" s="65"/>
      <c r="BL502" s="99"/>
      <c r="BM502" s="99"/>
      <c r="BN502" s="99"/>
    </row>
    <row r="503" spans="1:66" s="51" customFormat="1" ht="18" x14ac:dyDescent="0.25">
      <c r="A503" s="623" t="s">
        <v>1600</v>
      </c>
      <c r="B503" s="624"/>
      <c r="C503" s="709"/>
      <c r="D503" s="625" t="s">
        <v>5592</v>
      </c>
      <c r="E503" s="626"/>
      <c r="F503" s="626"/>
      <c r="G503" s="626"/>
      <c r="H503" s="622" t="s">
        <v>1124</v>
      </c>
      <c r="I503" s="627" t="s">
        <v>1601</v>
      </c>
      <c r="J503" s="628"/>
      <c r="K503" s="628"/>
      <c r="L503" s="629"/>
      <c r="M503" s="700" t="s">
        <v>5241</v>
      </c>
      <c r="N503" s="693" t="str">
        <f>IF(AND(ISTEXT($A503), ISERROR($A503+0)), HYPERLINK($BF503, "Images"), "")</f>
        <v>Images</v>
      </c>
      <c r="O503" s="695" t="s">
        <v>5247</v>
      </c>
      <c r="P503" s="630"/>
      <c r="Q503" s="631"/>
      <c r="R503" s="632"/>
      <c r="S503" s="633"/>
      <c r="T503" s="102">
        <f t="shared" si="346"/>
        <v>0</v>
      </c>
      <c r="U503" s="78" t="str">
        <f>IF(NOT(ISNUMBER(G503)), "", VLOOKUP(A503,'Discount Lookup'!D:E,2,FALSE)*G503)</f>
        <v/>
      </c>
      <c r="V503" s="78" t="str">
        <f>IF(NOT(ISNUMBER(G503)), "", VLOOKUP(A503,'Discount Lookup'!G:H,2,FALSE)*G503)</f>
        <v/>
      </c>
      <c r="W503" s="102">
        <f t="shared" si="347"/>
        <v>0</v>
      </c>
      <c r="X503" s="102" t="str">
        <f t="shared" si="348"/>
        <v>Light Purple bloom, Orange eye</v>
      </c>
      <c r="Y503" s="120" t="b">
        <f t="shared" si="349"/>
        <v>0</v>
      </c>
      <c r="Z503" s="117">
        <f t="shared" si="350"/>
        <v>0</v>
      </c>
      <c r="AA503" s="118"/>
      <c r="AB503" s="118" t="str">
        <f t="shared" si="351"/>
        <v/>
      </c>
      <c r="AC503" s="712" t="str">
        <f>IF(AE503="T2G","no charge",IF(AND(OR(PlanterYesMe="No",PlanterYesMe="N",PlanterYesMe="me"),H503=""),"",IF(H503="credit","NO install",IF(AND(K503="",AE503="me"),"EACH row",IF(AND(K503="images",AE503="me"),"EACH row",IF(D503="","",IF(H503="credit","",IF(AE503="free","re-planting",IF(AE503="me","   not ELP, by",IF(AND(OR(PlanterYesMe="Yes",PlanterYesMe="Y"),G503&gt;0),(VLOOKUP(A503,'Discount Lookup'!J:K,2)*G503*(1-PlanterDiscount)*(1+PlanterDifficultyPercentage)),IF(AE503="ELP",(VLOOKUP(A503,'Discount Lookup'!J:K,2)*G503*(1-PlanterDiscount)*(1+PlanterDifficultyPercentage)),IF(AE503="free","re-planting",IF(G503=0,"",IF(PlanterYesMe="",IF(AE503="me","   not ELP, by",IF(AE503="",IF(G503&gt;0,(VLOOKUP(A503,'Discount Lookup'!J:K,2)*G503*(1-PlanterDiscount)*(1+PlanterDifficultyPercentage)),""),"")),"   not ELP, by"))))))))))))))</f>
        <v/>
      </c>
      <c r="AD503" s="712"/>
      <c r="AE503" s="513" t="str">
        <f t="shared" si="352"/>
        <v/>
      </c>
      <c r="AF503" s="713" t="str">
        <f t="shared" si="353"/>
        <v/>
      </c>
      <c r="AG503" s="713"/>
      <c r="AH503" s="713"/>
      <c r="AI503" s="112">
        <f>IF(H503="credit",0,IF(AE503="free",0,IF(AE503="me",0,IF(G503&gt;0,(VLOOKUP(A503,'Discount Lookup'!J:K,2)*G503),0))))</f>
        <v>0</v>
      </c>
      <c r="AJ503" s="107" t="str">
        <f t="shared" ca="1" si="354"/>
        <v/>
      </c>
      <c r="AK503" s="714" t="str">
        <f t="shared" si="355"/>
        <v/>
      </c>
      <c r="AL503" s="714"/>
      <c r="AM503" s="114" t="str">
        <f t="shared" si="356"/>
        <v/>
      </c>
      <c r="AN503" s="115"/>
      <c r="AO503" s="116"/>
      <c r="AP503" s="116"/>
      <c r="AQ503" s="116"/>
      <c r="AR503" s="116"/>
      <c r="AS503" s="116"/>
      <c r="AT503" s="116"/>
      <c r="AU503" s="116"/>
      <c r="AV503" s="78"/>
      <c r="AW503" s="102"/>
      <c r="AX503" s="78"/>
      <c r="AY503" s="78"/>
      <c r="AZ503" s="78"/>
      <c r="BA503" s="78"/>
      <c r="BB503" s="78"/>
      <c r="BC503" s="78"/>
      <c r="BD503" s="78"/>
      <c r="BE503" s="465"/>
      <c r="BF503" s="165" t="str">
        <f t="shared" si="357"/>
        <v>https://www.google.com/search?tbm=isch&amp;q=Buddleia%20davidii%20%27Buddaplav%27%20PP%2333625%20Dapper%C2%AE%20Lavender%20Butterfly%20Bush</v>
      </c>
      <c r="BG503" s="165" t="str">
        <f t="shared" si="358"/>
        <v>B</v>
      </c>
      <c r="BH503" s="65"/>
      <c r="BI503" s="65"/>
      <c r="BJ503" s="65"/>
      <c r="BK503" s="65"/>
      <c r="BL503" s="99"/>
      <c r="BM503" s="99"/>
      <c r="BN503" s="99"/>
    </row>
    <row r="504" spans="1:66" s="51" customFormat="1" ht="15.75" x14ac:dyDescent="0.25">
      <c r="A504" s="634">
        <v>3</v>
      </c>
      <c r="B504" s="635" t="s">
        <v>291</v>
      </c>
      <c r="C504" s="636" t="s">
        <v>1602</v>
      </c>
      <c r="D504" s="637" t="s">
        <v>309</v>
      </c>
      <c r="E504" s="638">
        <v>28.95</v>
      </c>
      <c r="F504" s="639" t="s">
        <v>292</v>
      </c>
      <c r="G504" s="484">
        <v>0</v>
      </c>
      <c r="H504" s="691" t="str">
        <f>IF(G504=0,"",IF(F504="Buy",IF(G504=1,"plant","plants"),IF(F504&gt;0.01,"warranty","Error")))</f>
        <v/>
      </c>
      <c r="I504" s="640">
        <f>IF(H504="free",0,IF(H504="credit",((E504*(F504))*G504*-1),IF(F504="Buy",(E504*G504),((E504*(1-F504))*G504))))</f>
        <v>0</v>
      </c>
      <c r="J504" s="640">
        <f>IF(H504="warranty",0,(I504*(_xlfn.SINGLE(SalesTaxPercentage))))</f>
        <v>0</v>
      </c>
      <c r="K504" s="716">
        <f t="shared" ref="K504" si="376">I504+J504</f>
        <v>0</v>
      </c>
      <c r="L504" s="716"/>
      <c r="M504" s="689" t="str">
        <f ca="1">IF(AND(G504&gt;0,E504=0),"WARNING - no PRICE inserted",IF(H504="free","FREE ~ no charge this plant",IF(H504="credit",CONCATENATE("-$",ROUND(K504*(1-_xlfn.SINGLE(T2GDiscount))*-1,2)," CREDIT after discount"),IF(_xlfn.SINGLE(T2GDiscount)=0,"",IF(G504=0,"",IF(F504="Buy",CONCATENATE("$",ROUND(K504*(1-_xlfn.SINGLE(T2GDiscount)),2)," with ",(_xlfn.SINGLE(T2GDiscount)*100),"% discount"),CONCATENATE("$",ROUND(K504*(1-_xlfn.SINGLE(T2GDiscount)),2)," with ",((_xlfn.SINGLE(T2GDiscount)*100+F504*100)-(_xlfn.SINGLE(T2GDiscount)*100*F504)),IF(F504&gt;0,"% discounts",IF(_xlfn.SINGLE(NoWarrantyDiscount)&gt;0,"% discounts","% discount")))))))))</f>
        <v/>
      </c>
      <c r="N504" s="690"/>
      <c r="O504" s="486"/>
      <c r="P504" s="486"/>
      <c r="Q504" s="486"/>
      <c r="R504" s="486"/>
      <c r="S504" s="486"/>
      <c r="T504" s="102">
        <f t="shared" si="346"/>
        <v>0</v>
      </c>
      <c r="U504" s="78">
        <f>IF(NOT(ISNUMBER(G504)), "", VLOOKUP(A504,'Discount Lookup'!D:E,2,FALSE)*G504)</f>
        <v>0</v>
      </c>
      <c r="V504" s="78">
        <f>IF(NOT(ISNUMBER(G504)), "", VLOOKUP(A504,'Discount Lookup'!G:H,2,FALSE)*G504)</f>
        <v>0</v>
      </c>
      <c r="W504" s="102">
        <f t="shared" si="347"/>
        <v>0</v>
      </c>
      <c r="X504" s="102">
        <f t="shared" si="348"/>
        <v>0</v>
      </c>
      <c r="Y504" s="120" t="b">
        <f t="shared" si="349"/>
        <v>0</v>
      </c>
      <c r="Z504" s="117">
        <f t="shared" si="350"/>
        <v>0</v>
      </c>
      <c r="AA504" s="118"/>
      <c r="AB504" s="118" t="str">
        <f t="shared" si="351"/>
        <v/>
      </c>
      <c r="AC504" s="712" t="str">
        <f>IF(AE504="T2G","no charge",IF(AND(OR(PlanterYesMe="No",PlanterYesMe="N",PlanterYesMe="me"),H504=""),"",IF(H504="credit","NO install",IF(AND(K504="",AE504="me"),"EACH row",IF(AND(K504="images",AE504="me"),"EACH row",IF(D504="","",IF(H504="credit","",IF(AE504="free","re-planting",IF(AE504="me","   not ELP, by",IF(AND(OR(PlanterYesMe="Yes",PlanterYesMe="Y"),G504&gt;0),(VLOOKUP(A504,'Discount Lookup'!J:K,2)*G504*(1-PlanterDiscount)*(1+PlanterDifficultyPercentage)),IF(AE504="ELP",(VLOOKUP(A504,'Discount Lookup'!J:K,2)*G504*(1-PlanterDiscount)*(1+PlanterDifficultyPercentage)),IF(AE504="free","re-planting",IF(G504=0,"",IF(PlanterYesMe="",IF(AE504="me","   not ELP, by",IF(AE504="",IF(G504&gt;0,(VLOOKUP(A504,'Discount Lookup'!J:K,2)*G504*(1-PlanterDiscount)*(1+PlanterDifficultyPercentage)),""),"")),"   not ELP, by"))))))))))))))</f>
        <v/>
      </c>
      <c r="AD504" s="712"/>
      <c r="AE504" s="513" t="str">
        <f t="shared" si="352"/>
        <v/>
      </c>
      <c r="AF504" s="713" t="str">
        <f t="shared" si="353"/>
        <v/>
      </c>
      <c r="AG504" s="713"/>
      <c r="AH504" s="713"/>
      <c r="AI504" s="112">
        <f>IF(H504="credit",0,IF(AE504="free",0,IF(AE504="me",0,IF(G504&gt;0,(VLOOKUP(A504,'Discount Lookup'!J:K,2)*G504),0))))</f>
        <v>0</v>
      </c>
      <c r="AJ504" s="107" t="str">
        <f t="shared" ca="1" si="354"/>
        <v/>
      </c>
      <c r="AK504" s="714" t="str">
        <f t="shared" si="355"/>
        <v/>
      </c>
      <c r="AL504" s="714"/>
      <c r="AM504" s="114" t="str">
        <f t="shared" si="356"/>
        <v/>
      </c>
      <c r="AN504" s="115"/>
      <c r="AO504" s="116"/>
      <c r="AP504" s="116"/>
      <c r="AQ504" s="116"/>
      <c r="AR504" s="116"/>
      <c r="AS504" s="116"/>
      <c r="AT504" s="116"/>
      <c r="AU504" s="116"/>
      <c r="AV504" s="78"/>
      <c r="AW504" s="102"/>
      <c r="AX504" s="78"/>
      <c r="AY504" s="78"/>
      <c r="AZ504" s="78"/>
      <c r="BA504" s="78"/>
      <c r="BB504" s="78"/>
      <c r="BC504" s="78"/>
      <c r="BD504" s="78"/>
      <c r="BE504" s="465"/>
      <c r="BF504" s="165" t="str">
        <f t="shared" si="357"/>
        <v>https://www.google.com/search?tbm=isch&amp;q=3%20G3</v>
      </c>
      <c r="BG504" s="165" t="str">
        <f t="shared" si="358"/>
        <v>B</v>
      </c>
      <c r="BH504" s="65"/>
      <c r="BI504" s="65"/>
      <c r="BJ504" s="65"/>
      <c r="BK504" s="65"/>
      <c r="BL504" s="99"/>
      <c r="BM504" s="99"/>
      <c r="BN504" s="99"/>
    </row>
    <row r="505" spans="1:66" s="51" customFormat="1" ht="15.75" x14ac:dyDescent="0.25">
      <c r="A505" s="634">
        <v>3</v>
      </c>
      <c r="B505" s="635" t="s">
        <v>291</v>
      </c>
      <c r="C505" s="636" t="s">
        <v>1587</v>
      </c>
      <c r="D505" s="637" t="s">
        <v>329</v>
      </c>
      <c r="E505" s="638">
        <v>30.95</v>
      </c>
      <c r="F505" s="639" t="s">
        <v>292</v>
      </c>
      <c r="G505" s="484">
        <v>0</v>
      </c>
      <c r="H505" s="691" t="str">
        <f>IF(G505=0,"",IF(F505="Buy",IF(G505=1,"plant","plants"),IF(F505&gt;0.01,"warranty","Error")))</f>
        <v/>
      </c>
      <c r="I505" s="640">
        <f>IF(H505="free",0,IF(H505="credit",((E505*(F505))*G505*-1),IF(F505="Buy",(E505*G505),((E505*(1-F505))*G505))))</f>
        <v>0</v>
      </c>
      <c r="J505" s="640">
        <f>IF(H505="warranty",0,(I505*(_xlfn.SINGLE(SalesTaxPercentage))))</f>
        <v>0</v>
      </c>
      <c r="K505" s="716">
        <f t="shared" ref="K505" si="377">I505+J505</f>
        <v>0</v>
      </c>
      <c r="L505" s="716"/>
      <c r="M505" s="689" t="str">
        <f ca="1">IF(AND(G505&gt;0,E505=0),"WARNING - no PRICE inserted",IF(H505="free","FREE ~ no charge this plant",IF(H505="credit",CONCATENATE("-$",ROUND(K505*(1-_xlfn.SINGLE(T2GDiscount))*-1,2)," CREDIT after discount"),IF(_xlfn.SINGLE(T2GDiscount)=0,"",IF(G505=0,"",IF(F505="Buy",CONCATENATE("$",ROUND(K505*(1-_xlfn.SINGLE(T2GDiscount)),2)," with ",(_xlfn.SINGLE(T2GDiscount)*100),"% discount"),CONCATENATE("$",ROUND(K505*(1-_xlfn.SINGLE(T2GDiscount)),2)," with ",((_xlfn.SINGLE(T2GDiscount)*100+F505*100)-(_xlfn.SINGLE(T2GDiscount)*100*F505)),IF(F505&gt;0,"% discounts",IF(_xlfn.SINGLE(NoWarrantyDiscount)&gt;0,"% discounts","% discount")))))))))</f>
        <v/>
      </c>
      <c r="N505" s="690"/>
      <c r="O505" s="486"/>
      <c r="P505" s="486"/>
      <c r="Q505" s="486"/>
      <c r="R505" s="486"/>
      <c r="S505" s="486"/>
      <c r="T505" s="102">
        <f t="shared" si="346"/>
        <v>0</v>
      </c>
      <c r="U505" s="78">
        <f>IF(NOT(ISNUMBER(G505)), "", VLOOKUP(A505,'Discount Lookup'!D:E,2,FALSE)*G505)</f>
        <v>0</v>
      </c>
      <c r="V505" s="78">
        <f>IF(NOT(ISNUMBER(G505)), "", VLOOKUP(A505,'Discount Lookup'!G:H,2,FALSE)*G505)</f>
        <v>0</v>
      </c>
      <c r="W505" s="102">
        <f t="shared" si="347"/>
        <v>0</v>
      </c>
      <c r="X505" s="102">
        <f t="shared" si="348"/>
        <v>0</v>
      </c>
      <c r="Y505" s="120" t="b">
        <f t="shared" si="349"/>
        <v>0</v>
      </c>
      <c r="Z505" s="117">
        <f t="shared" si="350"/>
        <v>0</v>
      </c>
      <c r="AA505" s="118"/>
      <c r="AB505" s="118" t="str">
        <f t="shared" si="351"/>
        <v/>
      </c>
      <c r="AC505" s="712" t="str">
        <f>IF(AE505="T2G","no charge",IF(AND(OR(PlanterYesMe="No",PlanterYesMe="N",PlanterYesMe="me"),H505=""),"",IF(H505="credit","NO install",IF(AND(K505="",AE505="me"),"EACH row",IF(AND(K505="images",AE505="me"),"EACH row",IF(D505="","",IF(H505="credit","",IF(AE505="free","re-planting",IF(AE505="me","   not ELP, by",IF(AND(OR(PlanterYesMe="Yes",PlanterYesMe="Y"),G505&gt;0),(VLOOKUP(A505,'Discount Lookup'!J:K,2)*G505*(1-PlanterDiscount)*(1+PlanterDifficultyPercentage)),IF(AE505="ELP",(VLOOKUP(A505,'Discount Lookup'!J:K,2)*G505*(1-PlanterDiscount)*(1+PlanterDifficultyPercentage)),IF(AE505="free","re-planting",IF(G505=0,"",IF(PlanterYesMe="",IF(AE505="me","   not ELP, by",IF(AE505="",IF(G505&gt;0,(VLOOKUP(A505,'Discount Lookup'!J:K,2)*G505*(1-PlanterDiscount)*(1+PlanterDifficultyPercentage)),""),"")),"   not ELP, by"))))))))))))))</f>
        <v/>
      </c>
      <c r="AD505" s="712"/>
      <c r="AE505" s="513" t="str">
        <f t="shared" si="352"/>
        <v/>
      </c>
      <c r="AF505" s="713" t="str">
        <f t="shared" si="353"/>
        <v/>
      </c>
      <c r="AG505" s="713"/>
      <c r="AH505" s="713"/>
      <c r="AI505" s="112">
        <f>IF(H505="credit",0,IF(AE505="free",0,IF(AE505="me",0,IF(G505&gt;0,(VLOOKUP(A505,'Discount Lookup'!J:K,2)*G505),0))))</f>
        <v>0</v>
      </c>
      <c r="AJ505" s="107" t="str">
        <f t="shared" ca="1" si="354"/>
        <v/>
      </c>
      <c r="AK505" s="714" t="str">
        <f t="shared" si="355"/>
        <v/>
      </c>
      <c r="AL505" s="714"/>
      <c r="AM505" s="114" t="str">
        <f t="shared" si="356"/>
        <v/>
      </c>
      <c r="AN505" s="115"/>
      <c r="AO505" s="116"/>
      <c r="AP505" s="116"/>
      <c r="AQ505" s="116"/>
      <c r="AR505" s="116"/>
      <c r="AS505" s="116"/>
      <c r="AT505" s="116"/>
      <c r="AU505" s="116"/>
      <c r="AV505" s="78"/>
      <c r="AW505" s="102"/>
      <c r="AX505" s="78"/>
      <c r="AY505" s="78"/>
      <c r="AZ505" s="78"/>
      <c r="BA505" s="78"/>
      <c r="BB505" s="78"/>
      <c r="BC505" s="78"/>
      <c r="BD505" s="78"/>
      <c r="BE505" s="465"/>
      <c r="BF505" s="165" t="str">
        <f t="shared" si="357"/>
        <v>https://www.google.com/search?tbm=isch&amp;q=3%20G2</v>
      </c>
      <c r="BG505" s="165" t="str">
        <f t="shared" si="358"/>
        <v>B</v>
      </c>
      <c r="BH505" s="65"/>
      <c r="BI505" s="65"/>
      <c r="BJ505" s="65"/>
      <c r="BK505" s="65"/>
      <c r="BL505" s="99"/>
      <c r="BM505" s="99"/>
      <c r="BN505" s="99"/>
    </row>
    <row r="506" spans="1:66" s="51" customFormat="1" ht="17.25" thickBot="1" x14ac:dyDescent="0.3">
      <c r="A506" s="641" t="s">
        <v>4674</v>
      </c>
      <c r="B506" s="642"/>
      <c r="C506" s="710"/>
      <c r="D506" s="643"/>
      <c r="E506" s="643"/>
      <c r="F506" s="644"/>
      <c r="G506" s="645"/>
      <c r="H506" s="646"/>
      <c r="I506" s="647"/>
      <c r="J506" s="648"/>
      <c r="K506" s="649"/>
      <c r="L506" s="650"/>
      <c r="M506" s="650"/>
      <c r="N506" s="644"/>
      <c r="O506" s="644"/>
      <c r="P506" s="644"/>
      <c r="Q506" s="644"/>
      <c r="R506" s="644"/>
      <c r="S506" s="701" t="s">
        <v>5271</v>
      </c>
      <c r="T506" s="102">
        <f t="shared" si="346"/>
        <v>0</v>
      </c>
      <c r="U506" s="78" t="str">
        <f>IF(NOT(ISNUMBER(G506)), "", VLOOKUP(A506,'Discount Lookup'!D:E,2,FALSE)*G506)</f>
        <v/>
      </c>
      <c r="V506" s="78" t="str">
        <f>IF(NOT(ISNUMBER(G506)), "", VLOOKUP(A506,'Discount Lookup'!G:H,2,FALSE)*G506)</f>
        <v/>
      </c>
      <c r="W506" s="102">
        <f t="shared" si="347"/>
        <v>0</v>
      </c>
      <c r="X506" s="102">
        <f t="shared" si="348"/>
        <v>0</v>
      </c>
      <c r="Y506" s="120" t="b">
        <f t="shared" si="349"/>
        <v>0</v>
      </c>
      <c r="Z506" s="117">
        <f t="shared" si="350"/>
        <v>0</v>
      </c>
      <c r="AA506" s="118"/>
      <c r="AB506" s="118" t="str">
        <f t="shared" si="351"/>
        <v/>
      </c>
      <c r="AC506" s="712" t="str">
        <f>IF(AE506="T2G","no charge",IF(AND(OR(PlanterYesMe="No",PlanterYesMe="N",PlanterYesMe="me"),H506=""),"",IF(H506="credit","NO install",IF(AND(K506="",AE506="me"),"EACH row",IF(AND(K506="images",AE506="me"),"EACH row",IF(D506="","",IF(H506="credit","",IF(AE506="free","re-planting",IF(AE506="me","   not ELP, by",IF(AND(OR(PlanterYesMe="Yes",PlanterYesMe="Y"),G506&gt;0),(VLOOKUP(A506,'Discount Lookup'!J:K,2)*G506*(1-PlanterDiscount)*(1+PlanterDifficultyPercentage)),IF(AE506="ELP",(VLOOKUP(A506,'Discount Lookup'!J:K,2)*G506*(1-PlanterDiscount)*(1+PlanterDifficultyPercentage)),IF(AE506="free","re-planting",IF(G506=0,"",IF(PlanterYesMe="",IF(AE506="me","   not ELP, by",IF(AE506="",IF(G506&gt;0,(VLOOKUP(A506,'Discount Lookup'!J:K,2)*G506*(1-PlanterDiscount)*(1+PlanterDifficultyPercentage)),""),"")),"   not ELP, by"))))))))))))))</f>
        <v/>
      </c>
      <c r="AD506" s="712"/>
      <c r="AE506" s="513" t="str">
        <f t="shared" si="352"/>
        <v/>
      </c>
      <c r="AF506" s="713" t="str">
        <f t="shared" si="353"/>
        <v/>
      </c>
      <c r="AG506" s="713"/>
      <c r="AH506" s="713"/>
      <c r="AI506" s="112">
        <f>IF(H506="credit",0,IF(AE506="free",0,IF(AE506="me",0,IF(G506&gt;0,(VLOOKUP(A506,'Discount Lookup'!J:K,2)*G506),0))))</f>
        <v>0</v>
      </c>
      <c r="AJ506" s="107" t="str">
        <f t="shared" ca="1" si="354"/>
        <v/>
      </c>
      <c r="AK506" s="714" t="str">
        <f t="shared" si="355"/>
        <v/>
      </c>
      <c r="AL506" s="714"/>
      <c r="AM506" s="114" t="str">
        <f t="shared" si="356"/>
        <v/>
      </c>
      <c r="AN506" s="115"/>
      <c r="AO506" s="116"/>
      <c r="AP506" s="116"/>
      <c r="AQ506" s="116"/>
      <c r="AR506" s="116"/>
      <c r="AS506" s="116"/>
      <c r="AT506" s="116"/>
      <c r="AU506" s="116"/>
      <c r="AV506" s="78"/>
      <c r="AW506" s="102"/>
      <c r="AX506" s="78"/>
      <c r="AY506" s="78"/>
      <c r="AZ506" s="78"/>
      <c r="BA506" s="78"/>
      <c r="BB506" s="78"/>
      <c r="BC506" s="78"/>
      <c r="BD506" s="78"/>
      <c r="BE506" s="465"/>
      <c r="BF506" s="165" t="str">
        <f t="shared" si="357"/>
        <v>https://www.google.com/search?tbm=isch&amp;q=Dapper%20Lavender%20has%20Gray-Green%20foliage%20and%20a%20fragrance.%20All%20BB%20bloom%20summer%20to%20frost%2C%20on%20new%20wood%2C%20so%20cut%20back%20hard%20late%20winter%20</v>
      </c>
      <c r="BG506" s="165" t="str">
        <f t="shared" si="358"/>
        <v>D</v>
      </c>
      <c r="BH506" s="65"/>
      <c r="BI506" s="65"/>
      <c r="BJ506" s="65"/>
      <c r="BK506" s="65"/>
      <c r="BL506" s="99"/>
      <c r="BM506" s="99"/>
      <c r="BN506" s="99"/>
    </row>
    <row r="507" spans="1:66" s="51" customFormat="1" ht="18" x14ac:dyDescent="0.25">
      <c r="A507" s="623" t="s">
        <v>1603</v>
      </c>
      <c r="B507" s="624"/>
      <c r="C507" s="709"/>
      <c r="D507" s="625" t="s">
        <v>5593</v>
      </c>
      <c r="E507" s="626"/>
      <c r="F507" s="626"/>
      <c r="G507" s="626"/>
      <c r="H507" s="622" t="s">
        <v>1124</v>
      </c>
      <c r="I507" s="627" t="s">
        <v>1604</v>
      </c>
      <c r="J507" s="628"/>
      <c r="K507" s="628"/>
      <c r="L507" s="629"/>
      <c r="M507" s="700" t="s">
        <v>5241</v>
      </c>
      <c r="N507" s="693" t="str">
        <f>IF(AND(ISTEXT($A507), ISERROR($A507+0)), HYPERLINK($BF507, "Images"), "")</f>
        <v>Images</v>
      </c>
      <c r="O507" s="695" t="s">
        <v>5247</v>
      </c>
      <c r="P507" s="630"/>
      <c r="Q507" s="631"/>
      <c r="R507" s="632"/>
      <c r="S507" s="633"/>
      <c r="T507" s="102">
        <f t="shared" si="346"/>
        <v>0</v>
      </c>
      <c r="U507" s="78" t="str">
        <f>IF(NOT(ISNUMBER(G507)), "", VLOOKUP(A507,'Discount Lookup'!D:E,2,FALSE)*G507)</f>
        <v/>
      </c>
      <c r="V507" s="78" t="str">
        <f>IF(NOT(ISNUMBER(G507)), "", VLOOKUP(A507,'Discount Lookup'!G:H,2,FALSE)*G507)</f>
        <v/>
      </c>
      <c r="W507" s="102">
        <f t="shared" si="347"/>
        <v>0</v>
      </c>
      <c r="X507" s="102" t="str">
        <f t="shared" si="348"/>
        <v>Bubblegum Pink bloom</v>
      </c>
      <c r="Y507" s="120" t="b">
        <f t="shared" si="349"/>
        <v>0</v>
      </c>
      <c r="Z507" s="117">
        <f t="shared" si="350"/>
        <v>0</v>
      </c>
      <c r="AA507" s="118"/>
      <c r="AB507" s="118" t="str">
        <f t="shared" si="351"/>
        <v/>
      </c>
      <c r="AC507" s="712" t="str">
        <f>IF(AE507="T2G","no charge",IF(AND(OR(PlanterYesMe="No",PlanterYesMe="N",PlanterYesMe="me"),H507=""),"",IF(H507="credit","NO install",IF(AND(K507="",AE507="me"),"EACH row",IF(AND(K507="images",AE507="me"),"EACH row",IF(D507="","",IF(H507="credit","",IF(AE507="free","re-planting",IF(AE507="me","   not ELP, by",IF(AND(OR(PlanterYesMe="Yes",PlanterYesMe="Y"),G507&gt;0),(VLOOKUP(A507,'Discount Lookup'!J:K,2)*G507*(1-PlanterDiscount)*(1+PlanterDifficultyPercentage)),IF(AE507="ELP",(VLOOKUP(A507,'Discount Lookup'!J:K,2)*G507*(1-PlanterDiscount)*(1+PlanterDifficultyPercentage)),IF(AE507="free","re-planting",IF(G507=0,"",IF(PlanterYesMe="",IF(AE507="me","   not ELP, by",IF(AE507="",IF(G507&gt;0,(VLOOKUP(A507,'Discount Lookup'!J:K,2)*G507*(1-PlanterDiscount)*(1+PlanterDifficultyPercentage)),""),"")),"   not ELP, by"))))))))))))))</f>
        <v/>
      </c>
      <c r="AD507" s="712"/>
      <c r="AE507" s="513" t="str">
        <f t="shared" si="352"/>
        <v/>
      </c>
      <c r="AF507" s="713" t="str">
        <f t="shared" si="353"/>
        <v/>
      </c>
      <c r="AG507" s="713"/>
      <c r="AH507" s="713"/>
      <c r="AI507" s="112">
        <f>IF(H507="credit",0,IF(AE507="free",0,IF(AE507="me",0,IF(G507&gt;0,(VLOOKUP(A507,'Discount Lookup'!J:K,2)*G507),0))))</f>
        <v>0</v>
      </c>
      <c r="AJ507" s="107" t="str">
        <f t="shared" ca="1" si="354"/>
        <v/>
      </c>
      <c r="AK507" s="714" t="str">
        <f t="shared" si="355"/>
        <v/>
      </c>
      <c r="AL507" s="714"/>
      <c r="AM507" s="114" t="str">
        <f t="shared" si="356"/>
        <v/>
      </c>
      <c r="AN507" s="115"/>
      <c r="AO507" s="116"/>
      <c r="AP507" s="116"/>
      <c r="AQ507" s="116"/>
      <c r="AR507" s="116"/>
      <c r="AS507" s="116"/>
      <c r="AT507" s="116"/>
      <c r="AU507" s="116"/>
      <c r="AV507" s="78"/>
      <c r="AW507" s="102"/>
      <c r="AX507" s="78"/>
      <c r="AY507" s="78"/>
      <c r="AZ507" s="78"/>
      <c r="BA507" s="78"/>
      <c r="BB507" s="78"/>
      <c r="BC507" s="78"/>
      <c r="BD507" s="78"/>
      <c r="BE507" s="465"/>
      <c r="BF507" s="165" t="str">
        <f t="shared" si="357"/>
        <v>https://www.google.com/search?tbm=isch&amp;q=Buddleia%20davidii%20%27Condappin%27%20PP%2335922%20Dapper%C2%AE%20Pink%20Butterfly%20Bush</v>
      </c>
      <c r="BG507" s="165" t="str">
        <f t="shared" si="358"/>
        <v>B</v>
      </c>
      <c r="BH507" s="65"/>
      <c r="BI507" s="65"/>
      <c r="BJ507" s="65"/>
      <c r="BK507" s="65"/>
      <c r="BL507" s="99"/>
      <c r="BM507" s="99"/>
      <c r="BN507" s="99"/>
    </row>
    <row r="508" spans="1:66" s="51" customFormat="1" ht="15.75" x14ac:dyDescent="0.25">
      <c r="A508" s="634">
        <v>3</v>
      </c>
      <c r="B508" s="635" t="s">
        <v>291</v>
      </c>
      <c r="C508" s="636"/>
      <c r="D508" s="637" t="s">
        <v>310</v>
      </c>
      <c r="E508" s="638">
        <v>28.95</v>
      </c>
      <c r="F508" s="639" t="s">
        <v>292</v>
      </c>
      <c r="G508" s="484">
        <v>0</v>
      </c>
      <c r="H508" s="691" t="str">
        <f>IF(G508=0,"",IF(F508="Buy",IF(G508=1,"plant","plants"),IF(F508&gt;0.01,"warranty","Error")))</f>
        <v/>
      </c>
      <c r="I508" s="640">
        <f>IF(H508="free",0,IF(H508="credit",((E508*(F508))*G508*-1),IF(F508="Buy",(E508*G508),((E508*(1-F508))*G508))))</f>
        <v>0</v>
      </c>
      <c r="J508" s="640">
        <f>IF(H508="warranty",0,(I508*(_xlfn.SINGLE(SalesTaxPercentage))))</f>
        <v>0</v>
      </c>
      <c r="K508" s="716">
        <f t="shared" ref="K508" si="378">I508+J508</f>
        <v>0</v>
      </c>
      <c r="L508" s="716"/>
      <c r="M508" s="689" t="str">
        <f ca="1">IF(AND(G508&gt;0,E508=0),"WARNING - no PRICE inserted",IF(H508="free","FREE ~ no charge this plant",IF(H508="credit",CONCATENATE("-$",ROUND(K508*(1-_xlfn.SINGLE(T2GDiscount))*-1,2)," CREDIT after discount"),IF(_xlfn.SINGLE(T2GDiscount)=0,"",IF(G508=0,"",IF(F508="Buy",CONCATENATE("$",ROUND(K508*(1-_xlfn.SINGLE(T2GDiscount)),2)," with ",(_xlfn.SINGLE(T2GDiscount)*100),"% discount"),CONCATENATE("$",ROUND(K508*(1-_xlfn.SINGLE(T2GDiscount)),2)," with ",((_xlfn.SINGLE(T2GDiscount)*100+F508*100)-(_xlfn.SINGLE(T2GDiscount)*100*F508)),IF(F508&gt;0,"% discounts",IF(_xlfn.SINGLE(NoWarrantyDiscount)&gt;0,"% discounts","% discount")))))))))</f>
        <v/>
      </c>
      <c r="N508" s="690"/>
      <c r="O508" s="486"/>
      <c r="P508" s="486"/>
      <c r="Q508" s="486"/>
      <c r="R508" s="486"/>
      <c r="S508" s="486"/>
      <c r="T508" s="102">
        <f t="shared" si="346"/>
        <v>0</v>
      </c>
      <c r="U508" s="78">
        <f>IF(NOT(ISNUMBER(G508)), "", VLOOKUP(A508,'Discount Lookup'!D:E,2,FALSE)*G508)</f>
        <v>0</v>
      </c>
      <c r="V508" s="78">
        <f>IF(NOT(ISNUMBER(G508)), "", VLOOKUP(A508,'Discount Lookup'!G:H,2,FALSE)*G508)</f>
        <v>0</v>
      </c>
      <c r="W508" s="102">
        <f t="shared" si="347"/>
        <v>0</v>
      </c>
      <c r="X508" s="102">
        <f t="shared" si="348"/>
        <v>0</v>
      </c>
      <c r="Y508" s="120" t="b">
        <f t="shared" si="349"/>
        <v>0</v>
      </c>
      <c r="Z508" s="117">
        <f t="shared" si="350"/>
        <v>0</v>
      </c>
      <c r="AA508" s="118"/>
      <c r="AB508" s="118" t="str">
        <f t="shared" si="351"/>
        <v/>
      </c>
      <c r="AC508" s="712" t="str">
        <f>IF(AE508="T2G","no charge",IF(AND(OR(PlanterYesMe="No",PlanterYesMe="N",PlanterYesMe="me"),H508=""),"",IF(H508="credit","NO install",IF(AND(K508="",AE508="me"),"EACH row",IF(AND(K508="images",AE508="me"),"EACH row",IF(D508="","",IF(H508="credit","",IF(AE508="free","re-planting",IF(AE508="me","   not ELP, by",IF(AND(OR(PlanterYesMe="Yes",PlanterYesMe="Y"),G508&gt;0),(VLOOKUP(A508,'Discount Lookup'!J:K,2)*G508*(1-PlanterDiscount)*(1+PlanterDifficultyPercentage)),IF(AE508="ELP",(VLOOKUP(A508,'Discount Lookup'!J:K,2)*G508*(1-PlanterDiscount)*(1+PlanterDifficultyPercentage)),IF(AE508="free","re-planting",IF(G508=0,"",IF(PlanterYesMe="",IF(AE508="me","   not ELP, by",IF(AE508="",IF(G508&gt;0,(VLOOKUP(A508,'Discount Lookup'!J:K,2)*G508*(1-PlanterDiscount)*(1+PlanterDifficultyPercentage)),""),"")),"   not ELP, by"))))))))))))))</f>
        <v/>
      </c>
      <c r="AD508" s="712"/>
      <c r="AE508" s="513" t="str">
        <f t="shared" si="352"/>
        <v/>
      </c>
      <c r="AF508" s="713" t="str">
        <f t="shared" si="353"/>
        <v/>
      </c>
      <c r="AG508" s="713"/>
      <c r="AH508" s="713"/>
      <c r="AI508" s="112">
        <f>IF(H508="credit",0,IF(AE508="free",0,IF(AE508="me",0,IF(G508&gt;0,(VLOOKUP(A508,'Discount Lookup'!J:K,2)*G508),0))))</f>
        <v>0</v>
      </c>
      <c r="AJ508" s="107" t="str">
        <f t="shared" ca="1" si="354"/>
        <v/>
      </c>
      <c r="AK508" s="714" t="str">
        <f t="shared" si="355"/>
        <v/>
      </c>
      <c r="AL508" s="714"/>
      <c r="AM508" s="114" t="str">
        <f t="shared" si="356"/>
        <v/>
      </c>
      <c r="AN508" s="115"/>
      <c r="AO508" s="116"/>
      <c r="AP508" s="116"/>
      <c r="AQ508" s="116"/>
      <c r="AR508" s="116"/>
      <c r="AS508" s="116"/>
      <c r="AT508" s="116"/>
      <c r="AU508" s="116"/>
      <c r="AV508" s="78"/>
      <c r="AW508" s="102"/>
      <c r="AX508" s="78"/>
      <c r="AY508" s="78"/>
      <c r="AZ508" s="78"/>
      <c r="BA508" s="78"/>
      <c r="BB508" s="78"/>
      <c r="BC508" s="78"/>
      <c r="BD508" s="78"/>
      <c r="BE508" s="465"/>
      <c r="BF508" s="165" t="str">
        <f t="shared" si="357"/>
        <v>https://www.google.com/search?tbm=isch&amp;q=3%20G1</v>
      </c>
      <c r="BG508" s="165" t="str">
        <f t="shared" si="358"/>
        <v>B</v>
      </c>
      <c r="BH508" s="65"/>
      <c r="BI508" s="65"/>
      <c r="BJ508" s="65"/>
      <c r="BK508" s="65"/>
      <c r="BL508" s="99"/>
      <c r="BM508" s="99"/>
      <c r="BN508" s="99"/>
    </row>
    <row r="509" spans="1:66" s="51" customFormat="1" ht="15.75" x14ac:dyDescent="0.25">
      <c r="A509" s="634">
        <v>3</v>
      </c>
      <c r="B509" s="635" t="s">
        <v>291</v>
      </c>
      <c r="C509" s="636" t="s">
        <v>1587</v>
      </c>
      <c r="D509" s="637" t="s">
        <v>329</v>
      </c>
      <c r="E509" s="638">
        <v>30.95</v>
      </c>
      <c r="F509" s="639" t="s">
        <v>292</v>
      </c>
      <c r="G509" s="484">
        <v>0</v>
      </c>
      <c r="H509" s="691" t="str">
        <f>IF(G509=0,"",IF(F509="Buy",IF(G509=1,"plant","plants"),IF(F509&gt;0.01,"warranty","Error")))</f>
        <v/>
      </c>
      <c r="I509" s="640">
        <f>IF(H509="free",0,IF(H509="credit",((E509*(F509))*G509*-1),IF(F509="Buy",(E509*G509),((E509*(1-F509))*G509))))</f>
        <v>0</v>
      </c>
      <c r="J509" s="640">
        <f>IF(H509="warranty",0,(I509*(_xlfn.SINGLE(SalesTaxPercentage))))</f>
        <v>0</v>
      </c>
      <c r="K509" s="716">
        <f t="shared" ref="K509" si="379">I509+J509</f>
        <v>0</v>
      </c>
      <c r="L509" s="716"/>
      <c r="M509" s="689" t="str">
        <f ca="1">IF(AND(G509&gt;0,E509=0),"WARNING - no PRICE inserted",IF(H509="free","FREE ~ no charge this plant",IF(H509="credit",CONCATENATE("-$",ROUND(K509*(1-_xlfn.SINGLE(T2GDiscount))*-1,2)," CREDIT after discount"),IF(_xlfn.SINGLE(T2GDiscount)=0,"",IF(G509=0,"",IF(F509="Buy",CONCATENATE("$",ROUND(K509*(1-_xlfn.SINGLE(T2GDiscount)),2)," with ",(_xlfn.SINGLE(T2GDiscount)*100),"% discount"),CONCATENATE("$",ROUND(K509*(1-_xlfn.SINGLE(T2GDiscount)),2)," with ",((_xlfn.SINGLE(T2GDiscount)*100+F509*100)-(_xlfn.SINGLE(T2GDiscount)*100*F509)),IF(F509&gt;0,"% discounts",IF(_xlfn.SINGLE(NoWarrantyDiscount)&gt;0,"% discounts","% discount")))))))))</f>
        <v/>
      </c>
      <c r="N509" s="690"/>
      <c r="O509" s="486"/>
      <c r="P509" s="486"/>
      <c r="Q509" s="486"/>
      <c r="R509" s="486"/>
      <c r="S509" s="486"/>
      <c r="T509" s="102">
        <f t="shared" si="346"/>
        <v>0</v>
      </c>
      <c r="U509" s="78">
        <f>IF(NOT(ISNUMBER(G509)), "", VLOOKUP(A509,'Discount Lookup'!D:E,2,FALSE)*G509)</f>
        <v>0</v>
      </c>
      <c r="V509" s="78">
        <f>IF(NOT(ISNUMBER(G509)), "", VLOOKUP(A509,'Discount Lookup'!G:H,2,FALSE)*G509)</f>
        <v>0</v>
      </c>
      <c r="W509" s="102">
        <f t="shared" si="347"/>
        <v>0</v>
      </c>
      <c r="X509" s="102">
        <f t="shared" si="348"/>
        <v>0</v>
      </c>
      <c r="Y509" s="120" t="b">
        <f t="shared" si="349"/>
        <v>0</v>
      </c>
      <c r="Z509" s="117">
        <f t="shared" si="350"/>
        <v>0</v>
      </c>
      <c r="AA509" s="118"/>
      <c r="AB509" s="118" t="str">
        <f t="shared" si="351"/>
        <v/>
      </c>
      <c r="AC509" s="712" t="str">
        <f>IF(AE509="T2G","no charge",IF(AND(OR(PlanterYesMe="No",PlanterYesMe="N",PlanterYesMe="me"),H509=""),"",IF(H509="credit","NO install",IF(AND(K509="",AE509="me"),"EACH row",IF(AND(K509="images",AE509="me"),"EACH row",IF(D509="","",IF(H509="credit","",IF(AE509="free","re-planting",IF(AE509="me","   not ELP, by",IF(AND(OR(PlanterYesMe="Yes",PlanterYesMe="Y"),G509&gt;0),(VLOOKUP(A509,'Discount Lookup'!J:K,2)*G509*(1-PlanterDiscount)*(1+PlanterDifficultyPercentage)),IF(AE509="ELP",(VLOOKUP(A509,'Discount Lookup'!J:K,2)*G509*(1-PlanterDiscount)*(1+PlanterDifficultyPercentage)),IF(AE509="free","re-planting",IF(G509=0,"",IF(PlanterYesMe="",IF(AE509="me","   not ELP, by",IF(AE509="",IF(G509&gt;0,(VLOOKUP(A509,'Discount Lookup'!J:K,2)*G509*(1-PlanterDiscount)*(1+PlanterDifficultyPercentage)),""),"")),"   not ELP, by"))))))))))))))</f>
        <v/>
      </c>
      <c r="AD509" s="712"/>
      <c r="AE509" s="513" t="str">
        <f t="shared" si="352"/>
        <v/>
      </c>
      <c r="AF509" s="713" t="str">
        <f t="shared" si="353"/>
        <v/>
      </c>
      <c r="AG509" s="713"/>
      <c r="AH509" s="713"/>
      <c r="AI509" s="112">
        <f>IF(H509="credit",0,IF(AE509="free",0,IF(AE509="me",0,IF(G509&gt;0,(VLOOKUP(A509,'Discount Lookup'!J:K,2)*G509),0))))</f>
        <v>0</v>
      </c>
      <c r="AJ509" s="107" t="str">
        <f t="shared" ca="1" si="354"/>
        <v/>
      </c>
      <c r="AK509" s="714" t="str">
        <f t="shared" si="355"/>
        <v/>
      </c>
      <c r="AL509" s="714"/>
      <c r="AM509" s="114" t="str">
        <f t="shared" si="356"/>
        <v/>
      </c>
      <c r="AN509" s="115"/>
      <c r="AO509" s="116"/>
      <c r="AP509" s="116"/>
      <c r="AQ509" s="116"/>
      <c r="AR509" s="116"/>
      <c r="AS509" s="116"/>
      <c r="AT509" s="116"/>
      <c r="AU509" s="116"/>
      <c r="AV509" s="78"/>
      <c r="AW509" s="102"/>
      <c r="AX509" s="78"/>
      <c r="AY509" s="78"/>
      <c r="AZ509" s="78"/>
      <c r="BA509" s="78"/>
      <c r="BB509" s="78"/>
      <c r="BC509" s="78"/>
      <c r="BD509" s="78"/>
      <c r="BE509" s="465"/>
      <c r="BF509" s="165" t="str">
        <f t="shared" si="357"/>
        <v>https://www.google.com/search?tbm=isch&amp;q=3%20G2</v>
      </c>
      <c r="BG509" s="165" t="str">
        <f t="shared" si="358"/>
        <v>B</v>
      </c>
      <c r="BH509" s="65"/>
      <c r="BI509" s="65"/>
      <c r="BJ509" s="65"/>
      <c r="BK509" s="65"/>
      <c r="BL509" s="99"/>
      <c r="BM509" s="99"/>
      <c r="BN509" s="99"/>
    </row>
    <row r="510" spans="1:66" s="51" customFormat="1" ht="17.25" thickBot="1" x14ac:dyDescent="0.3">
      <c r="A510" s="641" t="s">
        <v>4675</v>
      </c>
      <c r="B510" s="642"/>
      <c r="C510" s="710"/>
      <c r="D510" s="643"/>
      <c r="E510" s="643"/>
      <c r="F510" s="644"/>
      <c r="G510" s="645"/>
      <c r="H510" s="646"/>
      <c r="I510" s="647"/>
      <c r="J510" s="648"/>
      <c r="K510" s="649"/>
      <c r="L510" s="650"/>
      <c r="M510" s="650"/>
      <c r="N510" s="644"/>
      <c r="O510" s="644"/>
      <c r="P510" s="644"/>
      <c r="Q510" s="644"/>
      <c r="R510" s="644"/>
      <c r="S510" s="701" t="s">
        <v>5271</v>
      </c>
      <c r="T510" s="102">
        <f t="shared" si="346"/>
        <v>0</v>
      </c>
      <c r="U510" s="78" t="str">
        <f>IF(NOT(ISNUMBER(G510)), "", VLOOKUP(A510,'Discount Lookup'!D:E,2,FALSE)*G510)</f>
        <v/>
      </c>
      <c r="V510" s="78" t="str">
        <f>IF(NOT(ISNUMBER(G510)), "", VLOOKUP(A510,'Discount Lookup'!G:H,2,FALSE)*G510)</f>
        <v/>
      </c>
      <c r="W510" s="102">
        <f t="shared" si="347"/>
        <v>0</v>
      </c>
      <c r="X510" s="102">
        <f t="shared" si="348"/>
        <v>0</v>
      </c>
      <c r="Y510" s="120" t="b">
        <f t="shared" si="349"/>
        <v>0</v>
      </c>
      <c r="Z510" s="117">
        <f t="shared" si="350"/>
        <v>0</v>
      </c>
      <c r="AA510" s="118"/>
      <c r="AB510" s="118" t="str">
        <f t="shared" si="351"/>
        <v/>
      </c>
      <c r="AC510" s="712" t="str">
        <f>IF(AE510="T2G","no charge",IF(AND(OR(PlanterYesMe="No",PlanterYesMe="N",PlanterYesMe="me"),H510=""),"",IF(H510="credit","NO install",IF(AND(K510="",AE510="me"),"EACH row",IF(AND(K510="images",AE510="me"),"EACH row",IF(D510="","",IF(H510="credit","",IF(AE510="free","re-planting",IF(AE510="me","   not ELP, by",IF(AND(OR(PlanterYesMe="Yes",PlanterYesMe="Y"),G510&gt;0),(VLOOKUP(A510,'Discount Lookup'!J:K,2)*G510*(1-PlanterDiscount)*(1+PlanterDifficultyPercentage)),IF(AE510="ELP",(VLOOKUP(A510,'Discount Lookup'!J:K,2)*G510*(1-PlanterDiscount)*(1+PlanterDifficultyPercentage)),IF(AE510="free","re-planting",IF(G510=0,"",IF(PlanterYesMe="",IF(AE510="me","   not ELP, by",IF(AE510="",IF(G510&gt;0,(VLOOKUP(A510,'Discount Lookup'!J:K,2)*G510*(1-PlanterDiscount)*(1+PlanterDifficultyPercentage)),""),"")),"   not ELP, by"))))))))))))))</f>
        <v/>
      </c>
      <c r="AD510" s="712"/>
      <c r="AE510" s="513" t="str">
        <f t="shared" si="352"/>
        <v/>
      </c>
      <c r="AF510" s="713" t="str">
        <f t="shared" si="353"/>
        <v/>
      </c>
      <c r="AG510" s="713"/>
      <c r="AH510" s="713"/>
      <c r="AI510" s="112">
        <f>IF(H510="credit",0,IF(AE510="free",0,IF(AE510="me",0,IF(G510&gt;0,(VLOOKUP(A510,'Discount Lookup'!J:K,2)*G510),0))))</f>
        <v>0</v>
      </c>
      <c r="AJ510" s="107" t="str">
        <f t="shared" ca="1" si="354"/>
        <v/>
      </c>
      <c r="AK510" s="714" t="str">
        <f t="shared" si="355"/>
        <v/>
      </c>
      <c r="AL510" s="714"/>
      <c r="AM510" s="114" t="str">
        <f t="shared" si="356"/>
        <v/>
      </c>
      <c r="AN510" s="115"/>
      <c r="AO510" s="116"/>
      <c r="AP510" s="116"/>
      <c r="AQ510" s="116"/>
      <c r="AR510" s="116"/>
      <c r="AS510" s="116"/>
      <c r="AT510" s="116"/>
      <c r="AU510" s="116"/>
      <c r="AV510" s="78"/>
      <c r="AW510" s="102"/>
      <c r="AX510" s="78"/>
      <c r="AY510" s="78"/>
      <c r="AZ510" s="78"/>
      <c r="BA510" s="78"/>
      <c r="BB510" s="78"/>
      <c r="BC510" s="78"/>
      <c r="BD510" s="78"/>
      <c r="BE510" s="465"/>
      <c r="BF510" s="165" t="str">
        <f t="shared" si="357"/>
        <v>https://www.google.com/search?tbm=isch&amp;q=Dapper%20Pink%20has%20Green%20foliage%20and%20a%20fragrance.%20%20All%20BB%20bloom%20summer%20to%20frost%2C%20on%20new%20wood%2C%20so%20cut%20back%20hard%20late%20winter%20</v>
      </c>
      <c r="BG510" s="165" t="str">
        <f t="shared" si="358"/>
        <v>D</v>
      </c>
      <c r="BH510" s="65"/>
      <c r="BI510" s="65"/>
      <c r="BJ510" s="65"/>
      <c r="BK510" s="65"/>
      <c r="BL510" s="99"/>
      <c r="BM510" s="99"/>
      <c r="BN510" s="99"/>
    </row>
    <row r="511" spans="1:66" s="51" customFormat="1" ht="18" x14ac:dyDescent="0.25">
      <c r="A511" s="623" t="s">
        <v>1605</v>
      </c>
      <c r="B511" s="624"/>
      <c r="C511" s="709"/>
      <c r="D511" s="625" t="s">
        <v>5594</v>
      </c>
      <c r="E511" s="626"/>
      <c r="F511" s="626"/>
      <c r="G511" s="626"/>
      <c r="H511" s="622" t="s">
        <v>1124</v>
      </c>
      <c r="I511" s="627" t="s">
        <v>1606</v>
      </c>
      <c r="J511" s="628"/>
      <c r="K511" s="628"/>
      <c r="L511" s="629"/>
      <c r="M511" s="700" t="s">
        <v>5241</v>
      </c>
      <c r="N511" s="693" t="str">
        <f>IF(AND(ISTEXT($A511), ISERROR($A511+0)), HYPERLINK($BF511, "Images"), "")</f>
        <v>Images</v>
      </c>
      <c r="O511" s="695" t="s">
        <v>5247</v>
      </c>
      <c r="P511" s="630"/>
      <c r="Q511" s="631"/>
      <c r="R511" s="632"/>
      <c r="S511" s="633"/>
      <c r="T511" s="102">
        <f t="shared" si="346"/>
        <v>0</v>
      </c>
      <c r="U511" s="78" t="str">
        <f>IF(NOT(ISNUMBER(G511)), "", VLOOKUP(A511,'Discount Lookup'!D:E,2,FALSE)*G511)</f>
        <v/>
      </c>
      <c r="V511" s="78" t="str">
        <f>IF(NOT(ISNUMBER(G511)), "", VLOOKUP(A511,'Discount Lookup'!G:H,2,FALSE)*G511)</f>
        <v/>
      </c>
      <c r="W511" s="102">
        <f t="shared" si="347"/>
        <v>0</v>
      </c>
      <c r="X511" s="102" t="str">
        <f t="shared" si="348"/>
        <v>Pure White bloom, Yellow-Orange eye</v>
      </c>
      <c r="Y511" s="120" t="b">
        <f t="shared" si="349"/>
        <v>0</v>
      </c>
      <c r="Z511" s="117">
        <f t="shared" si="350"/>
        <v>0</v>
      </c>
      <c r="AA511" s="118"/>
      <c r="AB511" s="118" t="str">
        <f t="shared" si="351"/>
        <v/>
      </c>
      <c r="AC511" s="712" t="str">
        <f>IF(AE511="T2G","no charge",IF(AND(OR(PlanterYesMe="No",PlanterYesMe="N",PlanterYesMe="me"),H511=""),"",IF(H511="credit","NO install",IF(AND(K511="",AE511="me"),"EACH row",IF(AND(K511="images",AE511="me"),"EACH row",IF(D511="","",IF(H511="credit","",IF(AE511="free","re-planting",IF(AE511="me","   not ELP, by",IF(AND(OR(PlanterYesMe="Yes",PlanterYesMe="Y"),G511&gt;0),(VLOOKUP(A511,'Discount Lookup'!J:K,2)*G511*(1-PlanterDiscount)*(1+PlanterDifficultyPercentage)),IF(AE511="ELP",(VLOOKUP(A511,'Discount Lookup'!J:K,2)*G511*(1-PlanterDiscount)*(1+PlanterDifficultyPercentage)),IF(AE511="free","re-planting",IF(G511=0,"",IF(PlanterYesMe="",IF(AE511="me","   not ELP, by",IF(AE511="",IF(G511&gt;0,(VLOOKUP(A511,'Discount Lookup'!J:K,2)*G511*(1-PlanterDiscount)*(1+PlanterDifficultyPercentage)),""),"")),"   not ELP, by"))))))))))))))</f>
        <v/>
      </c>
      <c r="AD511" s="712"/>
      <c r="AE511" s="513" t="str">
        <f t="shared" si="352"/>
        <v/>
      </c>
      <c r="AF511" s="713" t="str">
        <f t="shared" si="353"/>
        <v/>
      </c>
      <c r="AG511" s="713"/>
      <c r="AH511" s="713"/>
      <c r="AI511" s="112">
        <f>IF(H511="credit",0,IF(AE511="free",0,IF(AE511="me",0,IF(G511&gt;0,(VLOOKUP(A511,'Discount Lookup'!J:K,2)*G511),0))))</f>
        <v>0</v>
      </c>
      <c r="AJ511" s="107" t="str">
        <f t="shared" ca="1" si="354"/>
        <v/>
      </c>
      <c r="AK511" s="714" t="str">
        <f t="shared" si="355"/>
        <v/>
      </c>
      <c r="AL511" s="714"/>
      <c r="AM511" s="114" t="str">
        <f t="shared" si="356"/>
        <v/>
      </c>
      <c r="AN511" s="115"/>
      <c r="AO511" s="116"/>
      <c r="AP511" s="116"/>
      <c r="AQ511" s="116"/>
      <c r="AR511" s="116"/>
      <c r="AS511" s="116"/>
      <c r="AT511" s="116"/>
      <c r="AU511" s="116"/>
      <c r="AV511" s="78"/>
      <c r="AW511" s="102"/>
      <c r="AX511" s="78"/>
      <c r="AY511" s="78"/>
      <c r="AZ511" s="78"/>
      <c r="BA511" s="78"/>
      <c r="BB511" s="78"/>
      <c r="BC511" s="78"/>
      <c r="BD511" s="78"/>
      <c r="BE511" s="465"/>
      <c r="BF511" s="165" t="str">
        <f t="shared" si="357"/>
        <v>https://www.google.com/search?tbm=isch&amp;q=Buddleia%20davidii%20%27Dapconwhi%27%20PP%2335566%20Dapper%C2%AE%20White%20Butterfly%20Bush</v>
      </c>
      <c r="BG511" s="165" t="str">
        <f t="shared" si="358"/>
        <v>B</v>
      </c>
      <c r="BH511" s="65"/>
      <c r="BI511" s="65"/>
      <c r="BJ511" s="65"/>
      <c r="BK511" s="65"/>
      <c r="BL511" s="99"/>
      <c r="BM511" s="99"/>
      <c r="BN511" s="99"/>
    </row>
    <row r="512" spans="1:66" s="51" customFormat="1" ht="15.75" x14ac:dyDescent="0.25">
      <c r="A512" s="634">
        <v>3</v>
      </c>
      <c r="B512" s="635" t="s">
        <v>291</v>
      </c>
      <c r="C512" s="636"/>
      <c r="D512" s="637" t="s">
        <v>310</v>
      </c>
      <c r="E512" s="638">
        <v>28.95</v>
      </c>
      <c r="F512" s="639" t="s">
        <v>292</v>
      </c>
      <c r="G512" s="484">
        <v>0</v>
      </c>
      <c r="H512" s="691" t="str">
        <f>IF(G512=0,"",IF(F512="Buy",IF(G512=1,"plant","plants"),IF(F512&gt;0.01,"warranty","Error")))</f>
        <v/>
      </c>
      <c r="I512" s="640">
        <f>IF(H512="free",0,IF(H512="credit",((E512*(F512))*G512*-1),IF(F512="Buy",(E512*G512),((E512*(1-F512))*G512))))</f>
        <v>0</v>
      </c>
      <c r="J512" s="640">
        <f>IF(H512="warranty",0,(I512*(_xlfn.SINGLE(SalesTaxPercentage))))</f>
        <v>0</v>
      </c>
      <c r="K512" s="716">
        <f t="shared" ref="K512" si="380">I512+J512</f>
        <v>0</v>
      </c>
      <c r="L512" s="716"/>
      <c r="M512" s="689" t="str">
        <f ca="1">IF(AND(G512&gt;0,E512=0),"WARNING - no PRICE inserted",IF(H512="free","FREE ~ no charge this plant",IF(H512="credit",CONCATENATE("-$",ROUND(K512*(1-_xlfn.SINGLE(T2GDiscount))*-1,2)," CREDIT after discount"),IF(_xlfn.SINGLE(T2GDiscount)=0,"",IF(G512=0,"",IF(F512="Buy",CONCATENATE("$",ROUND(K512*(1-_xlfn.SINGLE(T2GDiscount)),2)," with ",(_xlfn.SINGLE(T2GDiscount)*100),"% discount"),CONCATENATE("$",ROUND(K512*(1-_xlfn.SINGLE(T2GDiscount)),2)," with ",((_xlfn.SINGLE(T2GDiscount)*100+F512*100)-(_xlfn.SINGLE(T2GDiscount)*100*F512)),IF(F512&gt;0,"% discounts",IF(_xlfn.SINGLE(NoWarrantyDiscount)&gt;0,"% discounts","% discount")))))))))</f>
        <v/>
      </c>
      <c r="N512" s="690"/>
      <c r="O512" s="486"/>
      <c r="P512" s="486"/>
      <c r="Q512" s="486"/>
      <c r="R512" s="486"/>
      <c r="S512" s="486"/>
      <c r="T512" s="102">
        <f t="shared" si="346"/>
        <v>0</v>
      </c>
      <c r="U512" s="78">
        <f>IF(NOT(ISNUMBER(G512)), "", VLOOKUP(A512,'Discount Lookup'!D:E,2,FALSE)*G512)</f>
        <v>0</v>
      </c>
      <c r="V512" s="78">
        <f>IF(NOT(ISNUMBER(G512)), "", VLOOKUP(A512,'Discount Lookup'!G:H,2,FALSE)*G512)</f>
        <v>0</v>
      </c>
      <c r="W512" s="102">
        <f t="shared" si="347"/>
        <v>0</v>
      </c>
      <c r="X512" s="102">
        <f t="shared" si="348"/>
        <v>0</v>
      </c>
      <c r="Y512" s="120" t="b">
        <f t="shared" si="349"/>
        <v>0</v>
      </c>
      <c r="Z512" s="117">
        <f t="shared" si="350"/>
        <v>0</v>
      </c>
      <c r="AA512" s="118"/>
      <c r="AB512" s="118" t="str">
        <f t="shared" si="351"/>
        <v/>
      </c>
      <c r="AC512" s="712" t="str">
        <f>IF(AE512="T2G","no charge",IF(AND(OR(PlanterYesMe="No",PlanterYesMe="N",PlanterYesMe="me"),H512=""),"",IF(H512="credit","NO install",IF(AND(K512="",AE512="me"),"EACH row",IF(AND(K512="images",AE512="me"),"EACH row",IF(D512="","",IF(H512="credit","",IF(AE512="free","re-planting",IF(AE512="me","   not ELP, by",IF(AND(OR(PlanterYesMe="Yes",PlanterYesMe="Y"),G512&gt;0),(VLOOKUP(A512,'Discount Lookup'!J:K,2)*G512*(1-PlanterDiscount)*(1+PlanterDifficultyPercentage)),IF(AE512="ELP",(VLOOKUP(A512,'Discount Lookup'!J:K,2)*G512*(1-PlanterDiscount)*(1+PlanterDifficultyPercentage)),IF(AE512="free","re-planting",IF(G512=0,"",IF(PlanterYesMe="",IF(AE512="me","   not ELP, by",IF(AE512="",IF(G512&gt;0,(VLOOKUP(A512,'Discount Lookup'!J:K,2)*G512*(1-PlanterDiscount)*(1+PlanterDifficultyPercentage)),""),"")),"   not ELP, by"))))))))))))))</f>
        <v/>
      </c>
      <c r="AD512" s="712"/>
      <c r="AE512" s="513" t="str">
        <f t="shared" si="352"/>
        <v/>
      </c>
      <c r="AF512" s="713" t="str">
        <f t="shared" si="353"/>
        <v/>
      </c>
      <c r="AG512" s="713"/>
      <c r="AH512" s="713"/>
      <c r="AI512" s="112">
        <f>IF(H512="credit",0,IF(AE512="free",0,IF(AE512="me",0,IF(G512&gt;0,(VLOOKUP(A512,'Discount Lookup'!J:K,2)*G512),0))))</f>
        <v>0</v>
      </c>
      <c r="AJ512" s="107" t="str">
        <f t="shared" ca="1" si="354"/>
        <v/>
      </c>
      <c r="AK512" s="714" t="str">
        <f t="shared" si="355"/>
        <v/>
      </c>
      <c r="AL512" s="714"/>
      <c r="AM512" s="114" t="str">
        <f t="shared" si="356"/>
        <v/>
      </c>
      <c r="AN512" s="115"/>
      <c r="AO512" s="116"/>
      <c r="AP512" s="116"/>
      <c r="AQ512" s="116"/>
      <c r="AR512" s="116"/>
      <c r="AS512" s="116"/>
      <c r="AT512" s="116"/>
      <c r="AU512" s="116"/>
      <c r="AV512" s="78"/>
      <c r="AW512" s="102"/>
      <c r="AX512" s="78"/>
      <c r="AY512" s="78"/>
      <c r="AZ512" s="78"/>
      <c r="BA512" s="78"/>
      <c r="BB512" s="78"/>
      <c r="BC512" s="78"/>
      <c r="BD512" s="78"/>
      <c r="BE512" s="465"/>
      <c r="BF512" s="165" t="str">
        <f t="shared" si="357"/>
        <v>https://www.google.com/search?tbm=isch&amp;q=3%20G1</v>
      </c>
      <c r="BG512" s="165" t="str">
        <f t="shared" si="358"/>
        <v>B</v>
      </c>
      <c r="BH512" s="65"/>
      <c r="BI512" s="65"/>
      <c r="BJ512" s="65"/>
      <c r="BK512" s="65"/>
      <c r="BL512" s="99"/>
      <c r="BM512" s="99"/>
      <c r="BN512" s="99"/>
    </row>
    <row r="513" spans="1:66" s="51" customFormat="1" ht="15.75" x14ac:dyDescent="0.25">
      <c r="A513" s="634">
        <v>3</v>
      </c>
      <c r="B513" s="635" t="s">
        <v>291</v>
      </c>
      <c r="C513" s="636" t="s">
        <v>1607</v>
      </c>
      <c r="D513" s="637" t="s">
        <v>329</v>
      </c>
      <c r="E513" s="638">
        <v>30.95</v>
      </c>
      <c r="F513" s="639" t="s">
        <v>292</v>
      </c>
      <c r="G513" s="484">
        <v>0</v>
      </c>
      <c r="H513" s="691" t="str">
        <f>IF(G513=0,"",IF(F513="Buy",IF(G513=1,"plant","plants"),IF(F513&gt;0.01,"warranty","Error")))</f>
        <v/>
      </c>
      <c r="I513" s="640">
        <f>IF(H513="free",0,IF(H513="credit",((E513*(F513))*G513*-1),IF(F513="Buy",(E513*G513),((E513*(1-F513))*G513))))</f>
        <v>0</v>
      </c>
      <c r="J513" s="640">
        <f>IF(H513="warranty",0,(I513*(_xlfn.SINGLE(SalesTaxPercentage))))</f>
        <v>0</v>
      </c>
      <c r="K513" s="716">
        <f t="shared" ref="K513" si="381">I513+J513</f>
        <v>0</v>
      </c>
      <c r="L513" s="716"/>
      <c r="M513" s="689" t="str">
        <f ca="1">IF(AND(G513&gt;0,E513=0),"WARNING - no PRICE inserted",IF(H513="free","FREE ~ no charge this plant",IF(H513="credit",CONCATENATE("-$",ROUND(K513*(1-_xlfn.SINGLE(T2GDiscount))*-1,2)," CREDIT after discount"),IF(_xlfn.SINGLE(T2GDiscount)=0,"",IF(G513=0,"",IF(F513="Buy",CONCATENATE("$",ROUND(K513*(1-_xlfn.SINGLE(T2GDiscount)),2)," with ",(_xlfn.SINGLE(T2GDiscount)*100),"% discount"),CONCATENATE("$",ROUND(K513*(1-_xlfn.SINGLE(T2GDiscount)),2)," with ",((_xlfn.SINGLE(T2GDiscount)*100+F513*100)-(_xlfn.SINGLE(T2GDiscount)*100*F513)),IF(F513&gt;0,"% discounts",IF(_xlfn.SINGLE(NoWarrantyDiscount)&gt;0,"% discounts","% discount")))))))))</f>
        <v/>
      </c>
      <c r="N513" s="690"/>
      <c r="O513" s="486"/>
      <c r="P513" s="486"/>
      <c r="Q513" s="486"/>
      <c r="R513" s="486"/>
      <c r="S513" s="486"/>
      <c r="T513" s="102">
        <f t="shared" si="346"/>
        <v>0</v>
      </c>
      <c r="U513" s="78">
        <f>IF(NOT(ISNUMBER(G513)), "", VLOOKUP(A513,'Discount Lookup'!D:E,2,FALSE)*G513)</f>
        <v>0</v>
      </c>
      <c r="V513" s="78">
        <f>IF(NOT(ISNUMBER(G513)), "", VLOOKUP(A513,'Discount Lookup'!G:H,2,FALSE)*G513)</f>
        <v>0</v>
      </c>
      <c r="W513" s="102">
        <f t="shared" si="347"/>
        <v>0</v>
      </c>
      <c r="X513" s="102">
        <f t="shared" si="348"/>
        <v>0</v>
      </c>
      <c r="Y513" s="120" t="b">
        <f t="shared" si="349"/>
        <v>0</v>
      </c>
      <c r="Z513" s="117">
        <f t="shared" si="350"/>
        <v>0</v>
      </c>
      <c r="AA513" s="118"/>
      <c r="AB513" s="118" t="str">
        <f t="shared" si="351"/>
        <v/>
      </c>
      <c r="AC513" s="712" t="str">
        <f>IF(AE513="T2G","no charge",IF(AND(OR(PlanterYesMe="No",PlanterYesMe="N",PlanterYesMe="me"),H513=""),"",IF(H513="credit","NO install",IF(AND(K513="",AE513="me"),"EACH row",IF(AND(K513="images",AE513="me"),"EACH row",IF(D513="","",IF(H513="credit","",IF(AE513="free","re-planting",IF(AE513="me","   not ELP, by",IF(AND(OR(PlanterYesMe="Yes",PlanterYesMe="Y"),G513&gt;0),(VLOOKUP(A513,'Discount Lookup'!J:K,2)*G513*(1-PlanterDiscount)*(1+PlanterDifficultyPercentage)),IF(AE513="ELP",(VLOOKUP(A513,'Discount Lookup'!J:K,2)*G513*(1-PlanterDiscount)*(1+PlanterDifficultyPercentage)),IF(AE513="free","re-planting",IF(G513=0,"",IF(PlanterYesMe="",IF(AE513="me","   not ELP, by",IF(AE513="",IF(G513&gt;0,(VLOOKUP(A513,'Discount Lookup'!J:K,2)*G513*(1-PlanterDiscount)*(1+PlanterDifficultyPercentage)),""),"")),"   not ELP, by"))))))))))))))</f>
        <v/>
      </c>
      <c r="AD513" s="712"/>
      <c r="AE513" s="513" t="str">
        <f t="shared" si="352"/>
        <v/>
      </c>
      <c r="AF513" s="713" t="str">
        <f t="shared" si="353"/>
        <v/>
      </c>
      <c r="AG513" s="713"/>
      <c r="AH513" s="713"/>
      <c r="AI513" s="112">
        <f>IF(H513="credit",0,IF(AE513="free",0,IF(AE513="me",0,IF(G513&gt;0,(VLOOKUP(A513,'Discount Lookup'!J:K,2)*G513),0))))</f>
        <v>0</v>
      </c>
      <c r="AJ513" s="107" t="str">
        <f t="shared" ca="1" si="354"/>
        <v/>
      </c>
      <c r="AK513" s="714" t="str">
        <f t="shared" si="355"/>
        <v/>
      </c>
      <c r="AL513" s="714"/>
      <c r="AM513" s="114" t="str">
        <f t="shared" si="356"/>
        <v/>
      </c>
      <c r="AN513" s="115"/>
      <c r="AO513" s="116"/>
      <c r="AP513" s="116"/>
      <c r="AQ513" s="116"/>
      <c r="AR513" s="116"/>
      <c r="AS513" s="116"/>
      <c r="AT513" s="116"/>
      <c r="AU513" s="116"/>
      <c r="AV513" s="78"/>
      <c r="AW513" s="102"/>
      <c r="AX513" s="78"/>
      <c r="AY513" s="78"/>
      <c r="AZ513" s="78"/>
      <c r="BA513" s="78"/>
      <c r="BB513" s="78"/>
      <c r="BC513" s="78"/>
      <c r="BD513" s="78"/>
      <c r="BE513" s="465"/>
      <c r="BF513" s="165" t="str">
        <f t="shared" si="357"/>
        <v>https://www.google.com/search?tbm=isch&amp;q=3%20G2</v>
      </c>
      <c r="BG513" s="165" t="str">
        <f t="shared" si="358"/>
        <v>B</v>
      </c>
      <c r="BH513" s="65"/>
      <c r="BI513" s="65"/>
      <c r="BJ513" s="65"/>
      <c r="BK513" s="65"/>
      <c r="BL513" s="99"/>
      <c r="BM513" s="99"/>
      <c r="BN513" s="99"/>
    </row>
    <row r="514" spans="1:66" s="51" customFormat="1" ht="17.25" thickBot="1" x14ac:dyDescent="0.3">
      <c r="A514" s="641" t="s">
        <v>4676</v>
      </c>
      <c r="B514" s="642"/>
      <c r="C514" s="710"/>
      <c r="D514" s="643"/>
      <c r="E514" s="643"/>
      <c r="F514" s="644"/>
      <c r="G514" s="645"/>
      <c r="H514" s="646"/>
      <c r="I514" s="647"/>
      <c r="J514" s="648"/>
      <c r="K514" s="649"/>
      <c r="L514" s="650"/>
      <c r="M514" s="650"/>
      <c r="N514" s="644"/>
      <c r="O514" s="644"/>
      <c r="P514" s="644"/>
      <c r="Q514" s="644"/>
      <c r="R514" s="644"/>
      <c r="S514" s="701" t="s">
        <v>5271</v>
      </c>
      <c r="T514" s="102">
        <f t="shared" si="346"/>
        <v>0</v>
      </c>
      <c r="U514" s="78" t="str">
        <f>IF(NOT(ISNUMBER(G514)), "", VLOOKUP(A514,'Discount Lookup'!D:E,2,FALSE)*G514)</f>
        <v/>
      </c>
      <c r="V514" s="78" t="str">
        <f>IF(NOT(ISNUMBER(G514)), "", VLOOKUP(A514,'Discount Lookup'!G:H,2,FALSE)*G514)</f>
        <v/>
      </c>
      <c r="W514" s="102">
        <f t="shared" si="347"/>
        <v>0</v>
      </c>
      <c r="X514" s="102">
        <f t="shared" si="348"/>
        <v>0</v>
      </c>
      <c r="Y514" s="120" t="b">
        <f t="shared" si="349"/>
        <v>0</v>
      </c>
      <c r="Z514" s="117">
        <f t="shared" si="350"/>
        <v>0</v>
      </c>
      <c r="AA514" s="118"/>
      <c r="AB514" s="118" t="str">
        <f t="shared" si="351"/>
        <v/>
      </c>
      <c r="AC514" s="712" t="str">
        <f>IF(AE514="T2G","no charge",IF(AND(OR(PlanterYesMe="No",PlanterYesMe="N",PlanterYesMe="me"),H514=""),"",IF(H514="credit","NO install",IF(AND(K514="",AE514="me"),"EACH row",IF(AND(K514="images",AE514="me"),"EACH row",IF(D514="","",IF(H514="credit","",IF(AE514="free","re-planting",IF(AE514="me","   not ELP, by",IF(AND(OR(PlanterYesMe="Yes",PlanterYesMe="Y"),G514&gt;0),(VLOOKUP(A514,'Discount Lookup'!J:K,2)*G514*(1-PlanterDiscount)*(1+PlanterDifficultyPercentage)),IF(AE514="ELP",(VLOOKUP(A514,'Discount Lookup'!J:K,2)*G514*(1-PlanterDiscount)*(1+PlanterDifficultyPercentage)),IF(AE514="free","re-planting",IF(G514=0,"",IF(PlanterYesMe="",IF(AE514="me","   not ELP, by",IF(AE514="",IF(G514&gt;0,(VLOOKUP(A514,'Discount Lookup'!J:K,2)*G514*(1-PlanterDiscount)*(1+PlanterDifficultyPercentage)),""),"")),"   not ELP, by"))))))))))))))</f>
        <v/>
      </c>
      <c r="AD514" s="712"/>
      <c r="AE514" s="513" t="str">
        <f t="shared" si="352"/>
        <v/>
      </c>
      <c r="AF514" s="713" t="str">
        <f t="shared" si="353"/>
        <v/>
      </c>
      <c r="AG514" s="713"/>
      <c r="AH514" s="713"/>
      <c r="AI514" s="112">
        <f>IF(H514="credit",0,IF(AE514="free",0,IF(AE514="me",0,IF(G514&gt;0,(VLOOKUP(A514,'Discount Lookup'!J:K,2)*G514),0))))</f>
        <v>0</v>
      </c>
      <c r="AJ514" s="107" t="str">
        <f t="shared" ca="1" si="354"/>
        <v/>
      </c>
      <c r="AK514" s="714" t="str">
        <f t="shared" si="355"/>
        <v/>
      </c>
      <c r="AL514" s="714"/>
      <c r="AM514" s="114" t="str">
        <f t="shared" si="356"/>
        <v/>
      </c>
      <c r="AN514" s="115"/>
      <c r="AO514" s="116"/>
      <c r="AP514" s="116"/>
      <c r="AQ514" s="116"/>
      <c r="AR514" s="116"/>
      <c r="AS514" s="116"/>
      <c r="AT514" s="116"/>
      <c r="AU514" s="116"/>
      <c r="AV514" s="78"/>
      <c r="AW514" s="102"/>
      <c r="AX514" s="78"/>
      <c r="AY514" s="78"/>
      <c r="AZ514" s="78"/>
      <c r="BA514" s="78"/>
      <c r="BB514" s="78"/>
      <c r="BC514" s="78"/>
      <c r="BD514" s="78"/>
      <c r="BE514" s="465"/>
      <c r="BF514" s="165" t="str">
        <f t="shared" si="357"/>
        <v>https://www.google.com/search?tbm=isch&amp;q=Dapper%20White%20has%20Grey-Green%20foliage%20and%20a%20sweet%20fragrance.%20%20All%20BB%20bloom%20summer%20to%20frost%2C%20on%20new%20wood%2C%20so%20cut%20back%20hard%20late%20winter%20</v>
      </c>
      <c r="BG514" s="165" t="str">
        <f t="shared" si="358"/>
        <v>D</v>
      </c>
      <c r="BH514" s="65"/>
      <c r="BI514" s="65"/>
      <c r="BJ514" s="65"/>
      <c r="BK514" s="65"/>
      <c r="BL514" s="99"/>
      <c r="BM514" s="99"/>
      <c r="BN514" s="99"/>
    </row>
    <row r="515" spans="1:66" s="51" customFormat="1" ht="18" x14ac:dyDescent="0.25">
      <c r="A515" s="623" t="s">
        <v>1608</v>
      </c>
      <c r="B515" s="624"/>
      <c r="C515" s="709"/>
      <c r="D515" s="625" t="s">
        <v>1609</v>
      </c>
      <c r="E515" s="626"/>
      <c r="F515" s="626"/>
      <c r="G515" s="626"/>
      <c r="H515" s="622" t="s">
        <v>1082</v>
      </c>
      <c r="I515" s="627" t="s">
        <v>1610</v>
      </c>
      <c r="J515" s="628"/>
      <c r="K515" s="628"/>
      <c r="L515" s="629"/>
      <c r="M515" s="700" t="s">
        <v>5241</v>
      </c>
      <c r="N515" s="693" t="str">
        <f>IF(AND(ISTEXT($A515), ISERROR($A515+0)), HYPERLINK($BF515, "Images"), "")</f>
        <v>Images</v>
      </c>
      <c r="O515" s="695" t="s">
        <v>5247</v>
      </c>
      <c r="P515" s="630"/>
      <c r="Q515" s="631"/>
      <c r="R515" s="632"/>
      <c r="S515" s="633"/>
      <c r="T515" s="102">
        <f t="shared" si="346"/>
        <v>0</v>
      </c>
      <c r="U515" s="78" t="str">
        <f>IF(NOT(ISNUMBER(G515)), "", VLOOKUP(A515,'Discount Lookup'!D:E,2,FALSE)*G515)</f>
        <v/>
      </c>
      <c r="V515" s="78" t="str">
        <f>IF(NOT(ISNUMBER(G515)), "", VLOOKUP(A515,'Discount Lookup'!G:H,2,FALSE)*G515)</f>
        <v/>
      </c>
      <c r="W515" s="102">
        <f t="shared" si="347"/>
        <v>0</v>
      </c>
      <c r="X515" s="102" t="str">
        <f t="shared" si="348"/>
        <v>Deep Indigo bloom, Orange-Yellow eye</v>
      </c>
      <c r="Y515" s="120" t="b">
        <f t="shared" si="349"/>
        <v>0</v>
      </c>
      <c r="Z515" s="117">
        <f t="shared" si="350"/>
        <v>0</v>
      </c>
      <c r="AA515" s="118"/>
      <c r="AB515" s="118" t="str">
        <f t="shared" si="351"/>
        <v/>
      </c>
      <c r="AC515" s="712" t="str">
        <f>IF(AE515="T2G","no charge",IF(AND(OR(PlanterYesMe="No",PlanterYesMe="N",PlanterYesMe="me"),H515=""),"",IF(H515="credit","NO install",IF(AND(K515="",AE515="me"),"EACH row",IF(AND(K515="images",AE515="me"),"EACH row",IF(D515="","",IF(H515="credit","",IF(AE515="free","re-planting",IF(AE515="me","   not ELP, by",IF(AND(OR(PlanterYesMe="Yes",PlanterYesMe="Y"),G515&gt;0),(VLOOKUP(A515,'Discount Lookup'!J:K,2)*G515*(1-PlanterDiscount)*(1+PlanterDifficultyPercentage)),IF(AE515="ELP",(VLOOKUP(A515,'Discount Lookup'!J:K,2)*G515*(1-PlanterDiscount)*(1+PlanterDifficultyPercentage)),IF(AE515="free","re-planting",IF(G515=0,"",IF(PlanterYesMe="",IF(AE515="me","   not ELP, by",IF(AE515="",IF(G515&gt;0,(VLOOKUP(A515,'Discount Lookup'!J:K,2)*G515*(1-PlanterDiscount)*(1+PlanterDifficultyPercentage)),""),"")),"   not ELP, by"))))))))))))))</f>
        <v/>
      </c>
      <c r="AD515" s="712"/>
      <c r="AE515" s="513" t="str">
        <f t="shared" si="352"/>
        <v/>
      </c>
      <c r="AF515" s="713" t="str">
        <f t="shared" si="353"/>
        <v/>
      </c>
      <c r="AG515" s="713"/>
      <c r="AH515" s="713"/>
      <c r="AI515" s="112">
        <f>IF(H515="credit",0,IF(AE515="free",0,IF(AE515="me",0,IF(G515&gt;0,(VLOOKUP(A515,'Discount Lookup'!J:K,2)*G515),0))))</f>
        <v>0</v>
      </c>
      <c r="AJ515" s="107" t="str">
        <f t="shared" ca="1" si="354"/>
        <v/>
      </c>
      <c r="AK515" s="714" t="str">
        <f t="shared" si="355"/>
        <v/>
      </c>
      <c r="AL515" s="714"/>
      <c r="AM515" s="114" t="str">
        <f t="shared" si="356"/>
        <v/>
      </c>
      <c r="AN515" s="115"/>
      <c r="AO515" s="116"/>
      <c r="AP515" s="116"/>
      <c r="AQ515" s="116"/>
      <c r="AR515" s="116"/>
      <c r="AS515" s="116"/>
      <c r="AT515" s="116"/>
      <c r="AU515" s="116"/>
      <c r="AV515" s="78"/>
      <c r="AW515" s="102"/>
      <c r="AX515" s="78"/>
      <c r="AY515" s="78"/>
      <c r="AZ515" s="78"/>
      <c r="BA515" s="78"/>
      <c r="BB515" s="78"/>
      <c r="BC515" s="78"/>
      <c r="BD515" s="78"/>
      <c r="BE515" s="465"/>
      <c r="BF515" s="165" t="str">
        <f t="shared" si="357"/>
        <v>https://www.google.com/search?tbm=isch&amp;q=Buddleia%20davidii%20%27Petite%20Indigo%27%20Petite%20Indigo%20Butterfly%20Bush</v>
      </c>
      <c r="BG515" s="165" t="str">
        <f t="shared" si="358"/>
        <v>B</v>
      </c>
      <c r="BH515" s="65"/>
      <c r="BI515" s="65"/>
      <c r="BJ515" s="65"/>
      <c r="BK515" s="65"/>
      <c r="BL515" s="99"/>
      <c r="BM515" s="99"/>
      <c r="BN515" s="99"/>
    </row>
    <row r="516" spans="1:66" s="51" customFormat="1" ht="15.75" x14ac:dyDescent="0.25">
      <c r="A516" s="634">
        <v>3</v>
      </c>
      <c r="B516" s="635" t="s">
        <v>291</v>
      </c>
      <c r="C516" s="636" t="s">
        <v>1611</v>
      </c>
      <c r="D516" s="637" t="s">
        <v>309</v>
      </c>
      <c r="E516" s="638">
        <v>22.95</v>
      </c>
      <c r="F516" s="639" t="s">
        <v>292</v>
      </c>
      <c r="G516" s="484">
        <v>0</v>
      </c>
      <c r="H516" s="691" t="str">
        <f>IF(G516=0,"",IF(F516="Buy",IF(G516=1,"plant","plants"),IF(F516&gt;0.01,"warranty","Error")))</f>
        <v/>
      </c>
      <c r="I516" s="640">
        <f>IF(H516="free",0,IF(H516="credit",((E516*(F516))*G516*-1),IF(F516="Buy",(E516*G516),((E516*(1-F516))*G516))))</f>
        <v>0</v>
      </c>
      <c r="J516" s="640">
        <f>IF(H516="warranty",0,(I516*(_xlfn.SINGLE(SalesTaxPercentage))))</f>
        <v>0</v>
      </c>
      <c r="K516" s="716">
        <f t="shared" ref="K516" si="382">I516+J516</f>
        <v>0</v>
      </c>
      <c r="L516" s="716"/>
      <c r="M516" s="689" t="str">
        <f ca="1">IF(AND(G516&gt;0,E516=0),"WARNING - no PRICE inserted",IF(H516="free","FREE ~ no charge this plant",IF(H516="credit",CONCATENATE("-$",ROUND(K516*(1-_xlfn.SINGLE(T2GDiscount))*-1,2)," CREDIT after discount"),IF(_xlfn.SINGLE(T2GDiscount)=0,"",IF(G516=0,"",IF(F516="Buy",CONCATENATE("$",ROUND(K516*(1-_xlfn.SINGLE(T2GDiscount)),2)," with ",(_xlfn.SINGLE(T2GDiscount)*100),"% discount"),CONCATENATE("$",ROUND(K516*(1-_xlfn.SINGLE(T2GDiscount)),2)," with ",((_xlfn.SINGLE(T2GDiscount)*100+F516*100)-(_xlfn.SINGLE(T2GDiscount)*100*F516)),IF(F516&gt;0,"% discounts",IF(_xlfn.SINGLE(NoWarrantyDiscount)&gt;0,"% discounts","% discount")))))))))</f>
        <v/>
      </c>
      <c r="N516" s="690"/>
      <c r="O516" s="486"/>
      <c r="P516" s="486"/>
      <c r="Q516" s="486"/>
      <c r="R516" s="486"/>
      <c r="S516" s="486"/>
      <c r="T516" s="102">
        <f t="shared" si="346"/>
        <v>0</v>
      </c>
      <c r="U516" s="78">
        <f>IF(NOT(ISNUMBER(G516)), "", VLOOKUP(A516,'Discount Lookup'!D:E,2,FALSE)*G516)</f>
        <v>0</v>
      </c>
      <c r="V516" s="78">
        <f>IF(NOT(ISNUMBER(G516)), "", VLOOKUP(A516,'Discount Lookup'!G:H,2,FALSE)*G516)</f>
        <v>0</v>
      </c>
      <c r="W516" s="102">
        <f t="shared" si="347"/>
        <v>0</v>
      </c>
      <c r="X516" s="102">
        <f t="shared" si="348"/>
        <v>0</v>
      </c>
      <c r="Y516" s="120" t="b">
        <f t="shared" si="349"/>
        <v>0</v>
      </c>
      <c r="Z516" s="117">
        <f t="shared" si="350"/>
        <v>0</v>
      </c>
      <c r="AA516" s="118"/>
      <c r="AB516" s="118" t="str">
        <f t="shared" si="351"/>
        <v/>
      </c>
      <c r="AC516" s="712" t="str">
        <f>IF(AE516="T2G","no charge",IF(AND(OR(PlanterYesMe="No",PlanterYesMe="N",PlanterYesMe="me"),H516=""),"",IF(H516="credit","NO install",IF(AND(K516="",AE516="me"),"EACH row",IF(AND(K516="images",AE516="me"),"EACH row",IF(D516="","",IF(H516="credit","",IF(AE516="free","re-planting",IF(AE516="me","   not ELP, by",IF(AND(OR(PlanterYesMe="Yes",PlanterYesMe="Y"),G516&gt;0),(VLOOKUP(A516,'Discount Lookup'!J:K,2)*G516*(1-PlanterDiscount)*(1+PlanterDifficultyPercentage)),IF(AE516="ELP",(VLOOKUP(A516,'Discount Lookup'!J:K,2)*G516*(1-PlanterDiscount)*(1+PlanterDifficultyPercentage)),IF(AE516="free","re-planting",IF(G516=0,"",IF(PlanterYesMe="",IF(AE516="me","   not ELP, by",IF(AE516="",IF(G516&gt;0,(VLOOKUP(A516,'Discount Lookup'!J:K,2)*G516*(1-PlanterDiscount)*(1+PlanterDifficultyPercentage)),""),"")),"   not ELP, by"))))))))))))))</f>
        <v/>
      </c>
      <c r="AD516" s="712"/>
      <c r="AE516" s="513" t="str">
        <f t="shared" si="352"/>
        <v/>
      </c>
      <c r="AF516" s="713" t="str">
        <f t="shared" si="353"/>
        <v/>
      </c>
      <c r="AG516" s="713"/>
      <c r="AH516" s="713"/>
      <c r="AI516" s="112">
        <f>IF(H516="credit",0,IF(AE516="free",0,IF(AE516="me",0,IF(G516&gt;0,(VLOOKUP(A516,'Discount Lookup'!J:K,2)*G516),0))))</f>
        <v>0</v>
      </c>
      <c r="AJ516" s="107" t="str">
        <f t="shared" ca="1" si="354"/>
        <v/>
      </c>
      <c r="AK516" s="714" t="str">
        <f t="shared" si="355"/>
        <v/>
      </c>
      <c r="AL516" s="714"/>
      <c r="AM516" s="114" t="str">
        <f t="shared" si="356"/>
        <v/>
      </c>
      <c r="AN516" s="115"/>
      <c r="AO516" s="116"/>
      <c r="AP516" s="116"/>
      <c r="AQ516" s="116"/>
      <c r="AR516" s="116"/>
      <c r="AS516" s="116"/>
      <c r="AT516" s="116"/>
      <c r="AU516" s="116"/>
      <c r="AV516" s="78"/>
      <c r="AW516" s="102"/>
      <c r="AX516" s="78"/>
      <c r="AY516" s="78"/>
      <c r="AZ516" s="78"/>
      <c r="BA516" s="78"/>
      <c r="BB516" s="78"/>
      <c r="BC516" s="78"/>
      <c r="BD516" s="78"/>
      <c r="BE516" s="465"/>
      <c r="BF516" s="165" t="str">
        <f t="shared" si="357"/>
        <v>https://www.google.com/search?tbm=isch&amp;q=3%20G3</v>
      </c>
      <c r="BG516" s="165" t="str">
        <f t="shared" si="358"/>
        <v>B</v>
      </c>
      <c r="BH516" s="65"/>
      <c r="BI516" s="65"/>
      <c r="BJ516" s="65"/>
      <c r="BK516" s="65"/>
      <c r="BL516" s="99"/>
      <c r="BM516" s="99"/>
      <c r="BN516" s="99"/>
    </row>
    <row r="517" spans="1:66" s="51" customFormat="1" ht="17.25" thickBot="1" x14ac:dyDescent="0.3">
      <c r="A517" s="641" t="s">
        <v>1612</v>
      </c>
      <c r="B517" s="642"/>
      <c r="C517" s="710"/>
      <c r="D517" s="643"/>
      <c r="E517" s="643"/>
      <c r="F517" s="644"/>
      <c r="G517" s="645"/>
      <c r="H517" s="646"/>
      <c r="I517" s="647"/>
      <c r="J517" s="648"/>
      <c r="K517" s="649"/>
      <c r="L517" s="650"/>
      <c r="M517" s="650"/>
      <c r="N517" s="644"/>
      <c r="O517" s="644"/>
      <c r="P517" s="644"/>
      <c r="Q517" s="644"/>
      <c r="R517" s="644"/>
      <c r="S517" s="701" t="s">
        <v>5271</v>
      </c>
      <c r="T517" s="102">
        <f t="shared" si="346"/>
        <v>0</v>
      </c>
      <c r="U517" s="78" t="str">
        <f>IF(NOT(ISNUMBER(G517)), "", VLOOKUP(A517,'Discount Lookup'!D:E,2,FALSE)*G517)</f>
        <v/>
      </c>
      <c r="V517" s="78" t="str">
        <f>IF(NOT(ISNUMBER(G517)), "", VLOOKUP(A517,'Discount Lookup'!G:H,2,FALSE)*G517)</f>
        <v/>
      </c>
      <c r="W517" s="102">
        <f t="shared" si="347"/>
        <v>0</v>
      </c>
      <c r="X517" s="102">
        <f t="shared" si="348"/>
        <v>0</v>
      </c>
      <c r="Y517" s="120" t="b">
        <f t="shared" si="349"/>
        <v>0</v>
      </c>
      <c r="Z517" s="117">
        <f t="shared" si="350"/>
        <v>0</v>
      </c>
      <c r="AA517" s="118"/>
      <c r="AB517" s="118" t="str">
        <f t="shared" si="351"/>
        <v/>
      </c>
      <c r="AC517" s="712" t="str">
        <f>IF(AE517="T2G","no charge",IF(AND(OR(PlanterYesMe="No",PlanterYesMe="N",PlanterYesMe="me"),H517=""),"",IF(H517="credit","NO install",IF(AND(K517="",AE517="me"),"EACH row",IF(AND(K517="images",AE517="me"),"EACH row",IF(D517="","",IF(H517="credit","",IF(AE517="free","re-planting",IF(AE517="me","   not ELP, by",IF(AND(OR(PlanterYesMe="Yes",PlanterYesMe="Y"),G517&gt;0),(VLOOKUP(A517,'Discount Lookup'!J:K,2)*G517*(1-PlanterDiscount)*(1+PlanterDifficultyPercentage)),IF(AE517="ELP",(VLOOKUP(A517,'Discount Lookup'!J:K,2)*G517*(1-PlanterDiscount)*(1+PlanterDifficultyPercentage)),IF(AE517="free","re-planting",IF(G517=0,"",IF(PlanterYesMe="",IF(AE517="me","   not ELP, by",IF(AE517="",IF(G517&gt;0,(VLOOKUP(A517,'Discount Lookup'!J:K,2)*G517*(1-PlanterDiscount)*(1+PlanterDifficultyPercentage)),""),"")),"   not ELP, by"))))))))))))))</f>
        <v/>
      </c>
      <c r="AD517" s="712"/>
      <c r="AE517" s="513" t="str">
        <f t="shared" si="352"/>
        <v/>
      </c>
      <c r="AF517" s="713" t="str">
        <f t="shared" si="353"/>
        <v/>
      </c>
      <c r="AG517" s="713"/>
      <c r="AH517" s="713"/>
      <c r="AI517" s="112">
        <f>IF(H517="credit",0,IF(AE517="free",0,IF(AE517="me",0,IF(G517&gt;0,(VLOOKUP(A517,'Discount Lookup'!J:K,2)*G517),0))))</f>
        <v>0</v>
      </c>
      <c r="AJ517" s="107" t="str">
        <f t="shared" ca="1" si="354"/>
        <v/>
      </c>
      <c r="AK517" s="714" t="str">
        <f t="shared" si="355"/>
        <v/>
      </c>
      <c r="AL517" s="714"/>
      <c r="AM517" s="114" t="str">
        <f t="shared" si="356"/>
        <v/>
      </c>
      <c r="AN517" s="115"/>
      <c r="AO517" s="116"/>
      <c r="AP517" s="116"/>
      <c r="AQ517" s="116"/>
      <c r="AR517" s="116"/>
      <c r="AS517" s="116"/>
      <c r="AT517" s="116"/>
      <c r="AU517" s="116"/>
      <c r="AV517" s="78"/>
      <c r="AW517" s="102"/>
      <c r="AX517" s="78"/>
      <c r="AY517" s="78"/>
      <c r="AZ517" s="78"/>
      <c r="BA517" s="78"/>
      <c r="BB517" s="78"/>
      <c r="BC517" s="78"/>
      <c r="BD517" s="78"/>
      <c r="BE517" s="465"/>
      <c r="BF517" s="165" t="str">
        <f t="shared" si="357"/>
        <v>https://www.google.com/search?tbm=isch&amp;q=Petite%20Indigo%20has%20Gray-Green%20foliage%20and%20a%20fragrance.%20%20All%20BB%20bloom%20summer%20to%20frost%2C%20on%20new%20wood%2C%20so%20cut%20back%20hard%20late%20winter%20</v>
      </c>
      <c r="BG517" s="165" t="str">
        <f t="shared" si="358"/>
        <v>P</v>
      </c>
      <c r="BH517" s="65"/>
      <c r="BI517" s="65"/>
      <c r="BJ517" s="65"/>
      <c r="BK517" s="65"/>
      <c r="BL517" s="99"/>
      <c r="BM517" s="99"/>
      <c r="BN517" s="99"/>
    </row>
    <row r="518" spans="1:66" s="51" customFormat="1" ht="18" x14ac:dyDescent="0.25">
      <c r="A518" s="623" t="s">
        <v>1613</v>
      </c>
      <c r="B518" s="624"/>
      <c r="C518" s="709"/>
      <c r="D518" s="625" t="s">
        <v>1614</v>
      </c>
      <c r="E518" s="626"/>
      <c r="F518" s="626"/>
      <c r="G518" s="626"/>
      <c r="H518" s="622" t="s">
        <v>1217</v>
      </c>
      <c r="I518" s="627" t="s">
        <v>1615</v>
      </c>
      <c r="J518" s="628"/>
      <c r="K518" s="628"/>
      <c r="L518" s="629"/>
      <c r="M518" s="700" t="s">
        <v>5241</v>
      </c>
      <c r="N518" s="693" t="str">
        <f>IF(AND(ISTEXT($A518), ISERROR($A518+0)), HYPERLINK($BF518, "Images"), "")</f>
        <v>Images</v>
      </c>
      <c r="O518" s="695" t="s">
        <v>5247</v>
      </c>
      <c r="P518" s="630"/>
      <c r="Q518" s="631"/>
      <c r="R518" s="632"/>
      <c r="S518" s="633"/>
      <c r="T518" s="102">
        <f t="shared" si="346"/>
        <v>0</v>
      </c>
      <c r="U518" s="78" t="str">
        <f>IF(NOT(ISNUMBER(G518)), "", VLOOKUP(A518,'Discount Lookup'!D:E,2,FALSE)*G518)</f>
        <v/>
      </c>
      <c r="V518" s="78" t="str">
        <f>IF(NOT(ISNUMBER(G518)), "", VLOOKUP(A518,'Discount Lookup'!G:H,2,FALSE)*G518)</f>
        <v/>
      </c>
      <c r="W518" s="102">
        <f t="shared" si="347"/>
        <v>0</v>
      </c>
      <c r="X518" s="102" t="str">
        <f t="shared" si="348"/>
        <v>Pink bloom, Raspberry eye</v>
      </c>
      <c r="Y518" s="120" t="b">
        <f t="shared" si="349"/>
        <v>0</v>
      </c>
      <c r="Z518" s="117">
        <f t="shared" si="350"/>
        <v>0</v>
      </c>
      <c r="AA518" s="118"/>
      <c r="AB518" s="118" t="str">
        <f t="shared" si="351"/>
        <v/>
      </c>
      <c r="AC518" s="712" t="str">
        <f>IF(AE518="T2G","no charge",IF(AND(OR(PlanterYesMe="No",PlanterYesMe="N",PlanterYesMe="me"),H518=""),"",IF(H518="credit","NO install",IF(AND(K518="",AE518="me"),"EACH row",IF(AND(K518="images",AE518="me"),"EACH row",IF(D518="","",IF(H518="credit","",IF(AE518="free","re-planting",IF(AE518="me","   not ELP, by",IF(AND(OR(PlanterYesMe="Yes",PlanterYesMe="Y"),G518&gt;0),(VLOOKUP(A518,'Discount Lookup'!J:K,2)*G518*(1-PlanterDiscount)*(1+PlanterDifficultyPercentage)),IF(AE518="ELP",(VLOOKUP(A518,'Discount Lookup'!J:K,2)*G518*(1-PlanterDiscount)*(1+PlanterDifficultyPercentage)),IF(AE518="free","re-planting",IF(G518=0,"",IF(PlanterYesMe="",IF(AE518="me","   not ELP, by",IF(AE518="",IF(G518&gt;0,(VLOOKUP(A518,'Discount Lookup'!J:K,2)*G518*(1-PlanterDiscount)*(1+PlanterDifficultyPercentage)),""),"")),"   not ELP, by"))))))))))))))</f>
        <v/>
      </c>
      <c r="AD518" s="712"/>
      <c r="AE518" s="513" t="str">
        <f t="shared" si="352"/>
        <v/>
      </c>
      <c r="AF518" s="713" t="str">
        <f t="shared" si="353"/>
        <v/>
      </c>
      <c r="AG518" s="713"/>
      <c r="AH518" s="713"/>
      <c r="AI518" s="112">
        <f>IF(H518="credit",0,IF(AE518="free",0,IF(AE518="me",0,IF(G518&gt;0,(VLOOKUP(A518,'Discount Lookup'!J:K,2)*G518),0))))</f>
        <v>0</v>
      </c>
      <c r="AJ518" s="107" t="str">
        <f t="shared" ca="1" si="354"/>
        <v/>
      </c>
      <c r="AK518" s="714" t="str">
        <f t="shared" si="355"/>
        <v/>
      </c>
      <c r="AL518" s="714"/>
      <c r="AM518" s="114" t="str">
        <f t="shared" si="356"/>
        <v/>
      </c>
      <c r="AN518" s="115"/>
      <c r="AO518" s="116"/>
      <c r="AP518" s="116"/>
      <c r="AQ518" s="116"/>
      <c r="AR518" s="116"/>
      <c r="AS518" s="116"/>
      <c r="AT518" s="116"/>
      <c r="AU518" s="116"/>
      <c r="AV518" s="78"/>
      <c r="AW518" s="102"/>
      <c r="AX518" s="78"/>
      <c r="AY518" s="78"/>
      <c r="AZ518" s="78"/>
      <c r="BA518" s="78"/>
      <c r="BB518" s="78"/>
      <c r="BC518" s="78"/>
      <c r="BD518" s="78"/>
      <c r="BE518" s="465"/>
      <c r="BF518" s="165" t="str">
        <f t="shared" si="357"/>
        <v>https://www.google.com/search?tbm=isch&amp;q=Buddleia%20davidii%20%27Raspberry%20Eyes%27%20Raspberry%20Eyes%20Butterfly%20Bush</v>
      </c>
      <c r="BG518" s="165" t="str">
        <f t="shared" si="358"/>
        <v>B</v>
      </c>
      <c r="BH518" s="65"/>
      <c r="BI518" s="65"/>
      <c r="BJ518" s="65"/>
      <c r="BK518" s="65"/>
      <c r="BL518" s="99"/>
      <c r="BM518" s="99"/>
      <c r="BN518" s="99"/>
    </row>
    <row r="519" spans="1:66" s="51" customFormat="1" ht="15.75" x14ac:dyDescent="0.25">
      <c r="A519" s="634">
        <v>3</v>
      </c>
      <c r="B519" s="635" t="s">
        <v>291</v>
      </c>
      <c r="C519" s="636"/>
      <c r="D519" s="637" t="s">
        <v>310</v>
      </c>
      <c r="E519" s="638">
        <v>25.95</v>
      </c>
      <c r="F519" s="639" t="s">
        <v>292</v>
      </c>
      <c r="G519" s="484">
        <v>0</v>
      </c>
      <c r="H519" s="691" t="str">
        <f>IF(G519=0,"",IF(F519="Buy",IF(G519=1,"plant","plants"),IF(F519&gt;0.01,"warranty","Error")))</f>
        <v/>
      </c>
      <c r="I519" s="640">
        <f>IF(H519="free",0,IF(H519="credit",((E519*(F519))*G519*-1),IF(F519="Buy",(E519*G519),((E519*(1-F519))*G519))))</f>
        <v>0</v>
      </c>
      <c r="J519" s="640">
        <f>IF(H519="warranty",0,(I519*(_xlfn.SINGLE(SalesTaxPercentage))))</f>
        <v>0</v>
      </c>
      <c r="K519" s="716">
        <f t="shared" ref="K519" si="383">I519+J519</f>
        <v>0</v>
      </c>
      <c r="L519" s="716"/>
      <c r="M519" s="689" t="str">
        <f ca="1">IF(AND(G519&gt;0,E519=0),"WARNING - no PRICE inserted",IF(H519="free","FREE ~ no charge this plant",IF(H519="credit",CONCATENATE("-$",ROUND(K519*(1-_xlfn.SINGLE(T2GDiscount))*-1,2)," CREDIT after discount"),IF(_xlfn.SINGLE(T2GDiscount)=0,"",IF(G519=0,"",IF(F519="Buy",CONCATENATE("$",ROUND(K519*(1-_xlfn.SINGLE(T2GDiscount)),2)," with ",(_xlfn.SINGLE(T2GDiscount)*100),"% discount"),CONCATENATE("$",ROUND(K519*(1-_xlfn.SINGLE(T2GDiscount)),2)," with ",((_xlfn.SINGLE(T2GDiscount)*100+F519*100)-(_xlfn.SINGLE(T2GDiscount)*100*F519)),IF(F519&gt;0,"% discounts",IF(_xlfn.SINGLE(NoWarrantyDiscount)&gt;0,"% discounts","% discount")))))))))</f>
        <v/>
      </c>
      <c r="N519" s="690"/>
      <c r="O519" s="486"/>
      <c r="P519" s="486"/>
      <c r="Q519" s="486"/>
      <c r="R519" s="486"/>
      <c r="S519" s="486"/>
      <c r="T519" s="102">
        <f t="shared" si="346"/>
        <v>0</v>
      </c>
      <c r="U519" s="78">
        <f>IF(NOT(ISNUMBER(G519)), "", VLOOKUP(A519,'Discount Lookup'!D:E,2,FALSE)*G519)</f>
        <v>0</v>
      </c>
      <c r="V519" s="78">
        <f>IF(NOT(ISNUMBER(G519)), "", VLOOKUP(A519,'Discount Lookup'!G:H,2,FALSE)*G519)</f>
        <v>0</v>
      </c>
      <c r="W519" s="102">
        <f t="shared" si="347"/>
        <v>0</v>
      </c>
      <c r="X519" s="102">
        <f t="shared" si="348"/>
        <v>0</v>
      </c>
      <c r="Y519" s="120" t="b">
        <f t="shared" si="349"/>
        <v>0</v>
      </c>
      <c r="Z519" s="117">
        <f t="shared" si="350"/>
        <v>0</v>
      </c>
      <c r="AA519" s="118"/>
      <c r="AB519" s="118" t="str">
        <f t="shared" si="351"/>
        <v/>
      </c>
      <c r="AC519" s="712" t="str">
        <f>IF(AE519="T2G","no charge",IF(AND(OR(PlanterYesMe="No",PlanterYesMe="N",PlanterYesMe="me"),H519=""),"",IF(H519="credit","NO install",IF(AND(K519="",AE519="me"),"EACH row",IF(AND(K519="images",AE519="me"),"EACH row",IF(D519="","",IF(H519="credit","",IF(AE519="free","re-planting",IF(AE519="me","   not ELP, by",IF(AND(OR(PlanterYesMe="Yes",PlanterYesMe="Y"),G519&gt;0),(VLOOKUP(A519,'Discount Lookup'!J:K,2)*G519*(1-PlanterDiscount)*(1+PlanterDifficultyPercentage)),IF(AE519="ELP",(VLOOKUP(A519,'Discount Lookup'!J:K,2)*G519*(1-PlanterDiscount)*(1+PlanterDifficultyPercentage)),IF(AE519="free","re-planting",IF(G519=0,"",IF(PlanterYesMe="",IF(AE519="me","   not ELP, by",IF(AE519="",IF(G519&gt;0,(VLOOKUP(A519,'Discount Lookup'!J:K,2)*G519*(1-PlanterDiscount)*(1+PlanterDifficultyPercentage)),""),"")),"   not ELP, by"))))))))))))))</f>
        <v/>
      </c>
      <c r="AD519" s="712"/>
      <c r="AE519" s="513" t="str">
        <f t="shared" si="352"/>
        <v/>
      </c>
      <c r="AF519" s="713" t="str">
        <f t="shared" si="353"/>
        <v/>
      </c>
      <c r="AG519" s="713"/>
      <c r="AH519" s="713"/>
      <c r="AI519" s="112">
        <f>IF(H519="credit",0,IF(AE519="free",0,IF(AE519="me",0,IF(G519&gt;0,(VLOOKUP(A519,'Discount Lookup'!J:K,2)*G519),0))))</f>
        <v>0</v>
      </c>
      <c r="AJ519" s="107" t="str">
        <f t="shared" ca="1" si="354"/>
        <v/>
      </c>
      <c r="AK519" s="714" t="str">
        <f t="shared" si="355"/>
        <v/>
      </c>
      <c r="AL519" s="714"/>
      <c r="AM519" s="114" t="str">
        <f t="shared" si="356"/>
        <v/>
      </c>
      <c r="AN519" s="115"/>
      <c r="AO519" s="116"/>
      <c r="AP519" s="116"/>
      <c r="AQ519" s="116"/>
      <c r="AR519" s="116"/>
      <c r="AS519" s="116"/>
      <c r="AT519" s="116"/>
      <c r="AU519" s="116"/>
      <c r="AV519" s="78"/>
      <c r="AW519" s="102"/>
      <c r="AX519" s="78"/>
      <c r="AY519" s="78"/>
      <c r="AZ519" s="78"/>
      <c r="BA519" s="78"/>
      <c r="BB519" s="78"/>
      <c r="BC519" s="78"/>
      <c r="BD519" s="78"/>
      <c r="BE519" s="465"/>
      <c r="BF519" s="165" t="str">
        <f t="shared" si="357"/>
        <v>https://www.google.com/search?tbm=isch&amp;q=3%20G1</v>
      </c>
      <c r="BG519" s="165" t="str">
        <f t="shared" si="358"/>
        <v>B</v>
      </c>
      <c r="BH519" s="65"/>
      <c r="BI519" s="65"/>
      <c r="BJ519" s="65"/>
      <c r="BK519" s="65"/>
      <c r="BL519" s="99"/>
      <c r="BM519" s="99"/>
      <c r="BN519" s="99"/>
    </row>
    <row r="520" spans="1:66" s="51" customFormat="1" ht="17.25" thickBot="1" x14ac:dyDescent="0.3">
      <c r="A520" s="641" t="s">
        <v>1616</v>
      </c>
      <c r="B520" s="642"/>
      <c r="C520" s="710"/>
      <c r="D520" s="643"/>
      <c r="E520" s="643"/>
      <c r="F520" s="644"/>
      <c r="G520" s="645"/>
      <c r="H520" s="646"/>
      <c r="I520" s="647"/>
      <c r="J520" s="648"/>
      <c r="K520" s="649"/>
      <c r="L520" s="650"/>
      <c r="M520" s="650"/>
      <c r="N520" s="644"/>
      <c r="O520" s="644"/>
      <c r="P520" s="644"/>
      <c r="Q520" s="644"/>
      <c r="R520" s="644"/>
      <c r="S520" s="701" t="s">
        <v>5271</v>
      </c>
      <c r="T520" s="102">
        <f t="shared" si="346"/>
        <v>0</v>
      </c>
      <c r="U520" s="78" t="str">
        <f>IF(NOT(ISNUMBER(G520)), "", VLOOKUP(A520,'Discount Lookup'!D:E,2,FALSE)*G520)</f>
        <v/>
      </c>
      <c r="V520" s="78" t="str">
        <f>IF(NOT(ISNUMBER(G520)), "", VLOOKUP(A520,'Discount Lookup'!G:H,2,FALSE)*G520)</f>
        <v/>
      </c>
      <c r="W520" s="102">
        <f t="shared" si="347"/>
        <v>0</v>
      </c>
      <c r="X520" s="102">
        <f t="shared" si="348"/>
        <v>0</v>
      </c>
      <c r="Y520" s="120" t="b">
        <f t="shared" si="349"/>
        <v>0</v>
      </c>
      <c r="Z520" s="117">
        <f t="shared" si="350"/>
        <v>0</v>
      </c>
      <c r="AA520" s="118"/>
      <c r="AB520" s="118" t="str">
        <f t="shared" si="351"/>
        <v/>
      </c>
      <c r="AC520" s="712" t="str">
        <f>IF(AE520="T2G","no charge",IF(AND(OR(PlanterYesMe="No",PlanterYesMe="N",PlanterYesMe="me"),H520=""),"",IF(H520="credit","NO install",IF(AND(K520="",AE520="me"),"EACH row",IF(AND(K520="images",AE520="me"),"EACH row",IF(D520="","",IF(H520="credit","",IF(AE520="free","re-planting",IF(AE520="me","   not ELP, by",IF(AND(OR(PlanterYesMe="Yes",PlanterYesMe="Y"),G520&gt;0),(VLOOKUP(A520,'Discount Lookup'!J:K,2)*G520*(1-PlanterDiscount)*(1+PlanterDifficultyPercentage)),IF(AE520="ELP",(VLOOKUP(A520,'Discount Lookup'!J:K,2)*G520*(1-PlanterDiscount)*(1+PlanterDifficultyPercentage)),IF(AE520="free","re-planting",IF(G520=0,"",IF(PlanterYesMe="",IF(AE520="me","   not ELP, by",IF(AE520="",IF(G520&gt;0,(VLOOKUP(A520,'Discount Lookup'!J:K,2)*G520*(1-PlanterDiscount)*(1+PlanterDifficultyPercentage)),""),"")),"   not ELP, by"))))))))))))))</f>
        <v/>
      </c>
      <c r="AD520" s="712"/>
      <c r="AE520" s="513" t="str">
        <f t="shared" si="352"/>
        <v/>
      </c>
      <c r="AF520" s="713" t="str">
        <f t="shared" si="353"/>
        <v/>
      </c>
      <c r="AG520" s="713"/>
      <c r="AH520" s="713"/>
      <c r="AI520" s="112">
        <f>IF(H520="credit",0,IF(AE520="free",0,IF(AE520="me",0,IF(G520&gt;0,(VLOOKUP(A520,'Discount Lookup'!J:K,2)*G520),0))))</f>
        <v>0</v>
      </c>
      <c r="AJ520" s="107" t="str">
        <f t="shared" ca="1" si="354"/>
        <v/>
      </c>
      <c r="AK520" s="714" t="str">
        <f t="shared" si="355"/>
        <v/>
      </c>
      <c r="AL520" s="714"/>
      <c r="AM520" s="114" t="str">
        <f t="shared" si="356"/>
        <v/>
      </c>
      <c r="AN520" s="115"/>
      <c r="AO520" s="116"/>
      <c r="AP520" s="116"/>
      <c r="AQ520" s="116"/>
      <c r="AR520" s="116"/>
      <c r="AS520" s="116"/>
      <c r="AT520" s="116"/>
      <c r="AU520" s="116"/>
      <c r="AV520" s="78"/>
      <c r="AW520" s="102"/>
      <c r="AX520" s="78"/>
      <c r="AY520" s="78"/>
      <c r="AZ520" s="78"/>
      <c r="BA520" s="78"/>
      <c r="BB520" s="78"/>
      <c r="BC520" s="78"/>
      <c r="BD520" s="78"/>
      <c r="BE520" s="465"/>
      <c r="BF520" s="165" t="str">
        <f t="shared" si="357"/>
        <v>https://www.google.com/search?tbm=isch&amp;q=Raspberry%20Eyes%20has%20Gray-Green%20foliage%20and%20a%20fragrance.%20%20All%20BB%20bloom%20summer%20to%20frost%2C%20on%20new%20wood%2C%20so%20cut%20back%20hard%20late%20winter%20</v>
      </c>
      <c r="BG520" s="165" t="str">
        <f t="shared" si="358"/>
        <v>R</v>
      </c>
      <c r="BH520" s="65"/>
      <c r="BI520" s="65"/>
      <c r="BJ520" s="65"/>
      <c r="BK520" s="65"/>
      <c r="BL520" s="99"/>
      <c r="BM520" s="99"/>
      <c r="BN520" s="99"/>
    </row>
    <row r="521" spans="1:66" s="51" customFormat="1" ht="18" x14ac:dyDescent="0.25">
      <c r="A521" s="623" t="s">
        <v>1617</v>
      </c>
      <c r="B521" s="624"/>
      <c r="C521" s="709"/>
      <c r="D521" s="625" t="s">
        <v>1618</v>
      </c>
      <c r="E521" s="626"/>
      <c r="F521" s="626"/>
      <c r="G521" s="626"/>
      <c r="H521" s="622" t="s">
        <v>1471</v>
      </c>
      <c r="I521" s="627" t="s">
        <v>1619</v>
      </c>
      <c r="J521" s="628"/>
      <c r="K521" s="628"/>
      <c r="L521" s="629"/>
      <c r="M521" s="700" t="s">
        <v>5241</v>
      </c>
      <c r="N521" s="693" t="str">
        <f>IF(AND(ISTEXT($A521), ISERROR($A521+0)), HYPERLINK($BF521, "Images"), "")</f>
        <v>Images</v>
      </c>
      <c r="O521" s="695" t="s">
        <v>5247</v>
      </c>
      <c r="P521" s="630"/>
      <c r="Q521" s="631"/>
      <c r="R521" s="632"/>
      <c r="S521" s="633"/>
      <c r="T521" s="102">
        <f t="shared" si="346"/>
        <v>0</v>
      </c>
      <c r="U521" s="78" t="str">
        <f>IF(NOT(ISNUMBER(G521)), "", VLOOKUP(A521,'Discount Lookup'!D:E,2,FALSE)*G521)</f>
        <v/>
      </c>
      <c r="V521" s="78" t="str">
        <f>IF(NOT(ISNUMBER(G521)), "", VLOOKUP(A521,'Discount Lookup'!G:H,2,FALSE)*G521)</f>
        <v/>
      </c>
      <c r="W521" s="102">
        <f t="shared" si="347"/>
        <v>0</v>
      </c>
      <c r="X521" s="102" t="str">
        <f t="shared" si="348"/>
        <v>Magenta-Red bloom, Orange eye</v>
      </c>
      <c r="Y521" s="120" t="b">
        <f t="shared" si="349"/>
        <v>0</v>
      </c>
      <c r="Z521" s="117">
        <f t="shared" si="350"/>
        <v>0</v>
      </c>
      <c r="AA521" s="118"/>
      <c r="AB521" s="118" t="str">
        <f t="shared" si="351"/>
        <v/>
      </c>
      <c r="AC521" s="712" t="str">
        <f>IF(AE521="T2G","no charge",IF(AND(OR(PlanterYesMe="No",PlanterYesMe="N",PlanterYesMe="me"),H521=""),"",IF(H521="credit","NO install",IF(AND(K521="",AE521="me"),"EACH row",IF(AND(K521="images",AE521="me"),"EACH row",IF(D521="","",IF(H521="credit","",IF(AE521="free","re-planting",IF(AE521="me","   not ELP, by",IF(AND(OR(PlanterYesMe="Yes",PlanterYesMe="Y"),G521&gt;0),(VLOOKUP(A521,'Discount Lookup'!J:K,2)*G521*(1-PlanterDiscount)*(1+PlanterDifficultyPercentage)),IF(AE521="ELP",(VLOOKUP(A521,'Discount Lookup'!J:K,2)*G521*(1-PlanterDiscount)*(1+PlanterDifficultyPercentage)),IF(AE521="free","re-planting",IF(G521=0,"",IF(PlanterYesMe="",IF(AE521="me","   not ELP, by",IF(AE521="",IF(G521&gt;0,(VLOOKUP(A521,'Discount Lookup'!J:K,2)*G521*(1-PlanterDiscount)*(1+PlanterDifficultyPercentage)),""),"")),"   not ELP, by"))))))))))))))</f>
        <v/>
      </c>
      <c r="AD521" s="712"/>
      <c r="AE521" s="513" t="str">
        <f t="shared" si="352"/>
        <v/>
      </c>
      <c r="AF521" s="713" t="str">
        <f t="shared" si="353"/>
        <v/>
      </c>
      <c r="AG521" s="713"/>
      <c r="AH521" s="713"/>
      <c r="AI521" s="112">
        <f>IF(H521="credit",0,IF(AE521="free",0,IF(AE521="me",0,IF(G521&gt;0,(VLOOKUP(A521,'Discount Lookup'!J:K,2)*G521),0))))</f>
        <v>0</v>
      </c>
      <c r="AJ521" s="107" t="str">
        <f t="shared" ca="1" si="354"/>
        <v/>
      </c>
      <c r="AK521" s="714" t="str">
        <f t="shared" si="355"/>
        <v/>
      </c>
      <c r="AL521" s="714"/>
      <c r="AM521" s="114" t="str">
        <f t="shared" si="356"/>
        <v/>
      </c>
      <c r="AN521" s="115"/>
      <c r="AO521" s="116"/>
      <c r="AP521" s="116"/>
      <c r="AQ521" s="116"/>
      <c r="AR521" s="116"/>
      <c r="AS521" s="116"/>
      <c r="AT521" s="116"/>
      <c r="AU521" s="116"/>
      <c r="AV521" s="78"/>
      <c r="AW521" s="102"/>
      <c r="AX521" s="78"/>
      <c r="AY521" s="78"/>
      <c r="AZ521" s="78"/>
      <c r="BA521" s="78"/>
      <c r="BB521" s="78"/>
      <c r="BC521" s="78"/>
      <c r="BD521" s="78"/>
      <c r="BE521" s="465"/>
      <c r="BF521" s="165" t="str">
        <f t="shared" si="357"/>
        <v>https://www.google.com/search?tbm=isch&amp;q=Buddleia%20davidii%20%27Royal%20Red%27%20Royal%20Red%20Butterfly%20Bush</v>
      </c>
      <c r="BG521" s="165" t="str">
        <f t="shared" si="358"/>
        <v>B</v>
      </c>
      <c r="BH521" s="65"/>
      <c r="BI521" s="65"/>
      <c r="BJ521" s="65"/>
      <c r="BK521" s="65"/>
      <c r="BL521" s="99"/>
      <c r="BM521" s="99"/>
      <c r="BN521" s="99"/>
    </row>
    <row r="522" spans="1:66" s="51" customFormat="1" ht="15.75" x14ac:dyDescent="0.25">
      <c r="A522" s="634">
        <v>3</v>
      </c>
      <c r="B522" s="635" t="s">
        <v>291</v>
      </c>
      <c r="C522" s="636" t="s">
        <v>1620</v>
      </c>
      <c r="D522" s="637" t="s">
        <v>309</v>
      </c>
      <c r="E522" s="638">
        <v>22.95</v>
      </c>
      <c r="F522" s="639" t="s">
        <v>292</v>
      </c>
      <c r="G522" s="484">
        <v>0</v>
      </c>
      <c r="H522" s="691" t="str">
        <f>IF(G522=0,"",IF(F522="Buy",IF(G522=1,"plant","plants"),IF(F522&gt;0.01,"warranty","Error")))</f>
        <v/>
      </c>
      <c r="I522" s="640">
        <f>IF(H522="free",0,IF(H522="credit",((E522*(F522))*G522*-1),IF(F522="Buy",(E522*G522),((E522*(1-F522))*G522))))</f>
        <v>0</v>
      </c>
      <c r="J522" s="640">
        <f>IF(H522="warranty",0,(I522*(_xlfn.SINGLE(SalesTaxPercentage))))</f>
        <v>0</v>
      </c>
      <c r="K522" s="716">
        <f t="shared" ref="K522" si="384">I522+J522</f>
        <v>0</v>
      </c>
      <c r="L522" s="716"/>
      <c r="M522" s="689" t="str">
        <f ca="1">IF(AND(G522&gt;0,E522=0),"WARNING - no PRICE inserted",IF(H522="free","FREE ~ no charge this plant",IF(H522="credit",CONCATENATE("-$",ROUND(K522*(1-_xlfn.SINGLE(T2GDiscount))*-1,2)," CREDIT after discount"),IF(_xlfn.SINGLE(T2GDiscount)=0,"",IF(G522=0,"",IF(F522="Buy",CONCATENATE("$",ROUND(K522*(1-_xlfn.SINGLE(T2GDiscount)),2)," with ",(_xlfn.SINGLE(T2GDiscount)*100),"% discount"),CONCATENATE("$",ROUND(K522*(1-_xlfn.SINGLE(T2GDiscount)),2)," with ",((_xlfn.SINGLE(T2GDiscount)*100+F522*100)-(_xlfn.SINGLE(T2GDiscount)*100*F522)),IF(F522&gt;0,"% discounts",IF(_xlfn.SINGLE(NoWarrantyDiscount)&gt;0,"% discounts","% discount")))))))))</f>
        <v/>
      </c>
      <c r="N522" s="690"/>
      <c r="O522" s="486"/>
      <c r="P522" s="486"/>
      <c r="Q522" s="486"/>
      <c r="R522" s="486"/>
      <c r="S522" s="486"/>
      <c r="T522" s="102">
        <f t="shared" si="346"/>
        <v>0</v>
      </c>
      <c r="U522" s="78">
        <f>IF(NOT(ISNUMBER(G522)), "", VLOOKUP(A522,'Discount Lookup'!D:E,2,FALSE)*G522)</f>
        <v>0</v>
      </c>
      <c r="V522" s="78">
        <f>IF(NOT(ISNUMBER(G522)), "", VLOOKUP(A522,'Discount Lookup'!G:H,2,FALSE)*G522)</f>
        <v>0</v>
      </c>
      <c r="W522" s="102">
        <f t="shared" si="347"/>
        <v>0</v>
      </c>
      <c r="X522" s="102">
        <f t="shared" si="348"/>
        <v>0</v>
      </c>
      <c r="Y522" s="120" t="b">
        <f t="shared" si="349"/>
        <v>0</v>
      </c>
      <c r="Z522" s="117">
        <f t="shared" si="350"/>
        <v>0</v>
      </c>
      <c r="AA522" s="118"/>
      <c r="AB522" s="118" t="str">
        <f t="shared" si="351"/>
        <v/>
      </c>
      <c r="AC522" s="712" t="str">
        <f>IF(AE522="T2G","no charge",IF(AND(OR(PlanterYesMe="No",PlanterYesMe="N",PlanterYesMe="me"),H522=""),"",IF(H522="credit","NO install",IF(AND(K522="",AE522="me"),"EACH row",IF(AND(K522="images",AE522="me"),"EACH row",IF(D522="","",IF(H522="credit","",IF(AE522="free","re-planting",IF(AE522="me","   not ELP, by",IF(AND(OR(PlanterYesMe="Yes",PlanterYesMe="Y"),G522&gt;0),(VLOOKUP(A522,'Discount Lookup'!J:K,2)*G522*(1-PlanterDiscount)*(1+PlanterDifficultyPercentage)),IF(AE522="ELP",(VLOOKUP(A522,'Discount Lookup'!J:K,2)*G522*(1-PlanterDiscount)*(1+PlanterDifficultyPercentage)),IF(AE522="free","re-planting",IF(G522=0,"",IF(PlanterYesMe="",IF(AE522="me","   not ELP, by",IF(AE522="",IF(G522&gt;0,(VLOOKUP(A522,'Discount Lookup'!J:K,2)*G522*(1-PlanterDiscount)*(1+PlanterDifficultyPercentage)),""),"")),"   not ELP, by"))))))))))))))</f>
        <v/>
      </c>
      <c r="AD522" s="712"/>
      <c r="AE522" s="513" t="str">
        <f t="shared" si="352"/>
        <v/>
      </c>
      <c r="AF522" s="713" t="str">
        <f t="shared" si="353"/>
        <v/>
      </c>
      <c r="AG522" s="713"/>
      <c r="AH522" s="713"/>
      <c r="AI522" s="112">
        <f>IF(H522="credit",0,IF(AE522="free",0,IF(AE522="me",0,IF(G522&gt;0,(VLOOKUP(A522,'Discount Lookup'!J:K,2)*G522),0))))</f>
        <v>0</v>
      </c>
      <c r="AJ522" s="107" t="str">
        <f t="shared" ca="1" si="354"/>
        <v/>
      </c>
      <c r="AK522" s="714" t="str">
        <f t="shared" si="355"/>
        <v/>
      </c>
      <c r="AL522" s="714"/>
      <c r="AM522" s="114" t="str">
        <f t="shared" si="356"/>
        <v/>
      </c>
      <c r="AN522" s="115"/>
      <c r="AO522" s="116"/>
      <c r="AP522" s="116"/>
      <c r="AQ522" s="116"/>
      <c r="AR522" s="116"/>
      <c r="AS522" s="116"/>
      <c r="AT522" s="116"/>
      <c r="AU522" s="116"/>
      <c r="AV522" s="78"/>
      <c r="AW522" s="102"/>
      <c r="AX522" s="78"/>
      <c r="AY522" s="78"/>
      <c r="AZ522" s="78"/>
      <c r="BA522" s="78"/>
      <c r="BB522" s="78"/>
      <c r="BC522" s="78"/>
      <c r="BD522" s="78"/>
      <c r="BE522" s="465"/>
      <c r="BF522" s="165" t="str">
        <f t="shared" si="357"/>
        <v>https://www.google.com/search?tbm=isch&amp;q=3%20G3</v>
      </c>
      <c r="BG522" s="165" t="str">
        <f t="shared" si="358"/>
        <v>B</v>
      </c>
      <c r="BH522" s="65"/>
      <c r="BI522" s="65"/>
      <c r="BJ522" s="65"/>
      <c r="BK522" s="65"/>
      <c r="BL522" s="99"/>
      <c r="BM522" s="99"/>
      <c r="BN522" s="99"/>
    </row>
    <row r="523" spans="1:66" s="51" customFormat="1" ht="17.25" thickBot="1" x14ac:dyDescent="0.3">
      <c r="A523" s="641" t="s">
        <v>1621</v>
      </c>
      <c r="B523" s="642"/>
      <c r="C523" s="710"/>
      <c r="D523" s="643"/>
      <c r="E523" s="643"/>
      <c r="F523" s="644"/>
      <c r="G523" s="645"/>
      <c r="H523" s="646"/>
      <c r="I523" s="647"/>
      <c r="J523" s="648"/>
      <c r="K523" s="649"/>
      <c r="L523" s="650"/>
      <c r="M523" s="650"/>
      <c r="N523" s="644"/>
      <c r="O523" s="644"/>
      <c r="P523" s="644"/>
      <c r="Q523" s="644"/>
      <c r="R523" s="644"/>
      <c r="S523" s="701" t="s">
        <v>5271</v>
      </c>
      <c r="T523" s="102">
        <f t="shared" si="346"/>
        <v>0</v>
      </c>
      <c r="U523" s="78" t="str">
        <f>IF(NOT(ISNUMBER(G523)), "", VLOOKUP(A523,'Discount Lookup'!D:E,2,FALSE)*G523)</f>
        <v/>
      </c>
      <c r="V523" s="78" t="str">
        <f>IF(NOT(ISNUMBER(G523)), "", VLOOKUP(A523,'Discount Lookup'!G:H,2,FALSE)*G523)</f>
        <v/>
      </c>
      <c r="W523" s="102">
        <f t="shared" si="347"/>
        <v>0</v>
      </c>
      <c r="X523" s="102">
        <f t="shared" si="348"/>
        <v>0</v>
      </c>
      <c r="Y523" s="120" t="b">
        <f t="shared" si="349"/>
        <v>0</v>
      </c>
      <c r="Z523" s="117">
        <f t="shared" si="350"/>
        <v>0</v>
      </c>
      <c r="AA523" s="118"/>
      <c r="AB523" s="118" t="str">
        <f t="shared" si="351"/>
        <v/>
      </c>
      <c r="AC523" s="712" t="str">
        <f>IF(AE523="T2G","no charge",IF(AND(OR(PlanterYesMe="No",PlanterYesMe="N",PlanterYesMe="me"),H523=""),"",IF(H523="credit","NO install",IF(AND(K523="",AE523="me"),"EACH row",IF(AND(K523="images",AE523="me"),"EACH row",IF(D523="","",IF(H523="credit","",IF(AE523="free","re-planting",IF(AE523="me","   not ELP, by",IF(AND(OR(PlanterYesMe="Yes",PlanterYesMe="Y"),G523&gt;0),(VLOOKUP(A523,'Discount Lookup'!J:K,2)*G523*(1-PlanterDiscount)*(1+PlanterDifficultyPercentage)),IF(AE523="ELP",(VLOOKUP(A523,'Discount Lookup'!J:K,2)*G523*(1-PlanterDiscount)*(1+PlanterDifficultyPercentage)),IF(AE523="free","re-planting",IF(G523=0,"",IF(PlanterYesMe="",IF(AE523="me","   not ELP, by",IF(AE523="",IF(G523&gt;0,(VLOOKUP(A523,'Discount Lookup'!J:K,2)*G523*(1-PlanterDiscount)*(1+PlanterDifficultyPercentage)),""),"")),"   not ELP, by"))))))))))))))</f>
        <v/>
      </c>
      <c r="AD523" s="712"/>
      <c r="AE523" s="513" t="str">
        <f t="shared" si="352"/>
        <v/>
      </c>
      <c r="AF523" s="713" t="str">
        <f t="shared" si="353"/>
        <v/>
      </c>
      <c r="AG523" s="713"/>
      <c r="AH523" s="713"/>
      <c r="AI523" s="112">
        <f>IF(H523="credit",0,IF(AE523="free",0,IF(AE523="me",0,IF(G523&gt;0,(VLOOKUP(A523,'Discount Lookup'!J:K,2)*G523),0))))</f>
        <v>0</v>
      </c>
      <c r="AJ523" s="107" t="str">
        <f t="shared" ca="1" si="354"/>
        <v/>
      </c>
      <c r="AK523" s="714" t="str">
        <f t="shared" si="355"/>
        <v/>
      </c>
      <c r="AL523" s="714"/>
      <c r="AM523" s="114" t="str">
        <f t="shared" si="356"/>
        <v/>
      </c>
      <c r="AN523" s="115"/>
      <c r="AO523" s="116"/>
      <c r="AP523" s="116"/>
      <c r="AQ523" s="116"/>
      <c r="AR523" s="116"/>
      <c r="AS523" s="116"/>
      <c r="AT523" s="116"/>
      <c r="AU523" s="116"/>
      <c r="AV523" s="78"/>
      <c r="AW523" s="102"/>
      <c r="AX523" s="78"/>
      <c r="AY523" s="78"/>
      <c r="AZ523" s="78"/>
      <c r="BA523" s="78"/>
      <c r="BB523" s="78"/>
      <c r="BC523" s="78"/>
      <c r="BD523" s="78"/>
      <c r="BE523" s="465"/>
      <c r="BF523" s="165" t="str">
        <f t="shared" si="357"/>
        <v>https://www.google.com/search?tbm=isch&amp;q=Royal%20Red%20has%20Gray-Green%20foliage%20and%20a%20fragrance.%20%20All%20BB%20bloom%20summer%20to%20frost%2C%20on%20new%20wood%2C%20so%20cut%20back%20hard%20late%20winter%20</v>
      </c>
      <c r="BG523" s="165" t="str">
        <f t="shared" si="358"/>
        <v>R</v>
      </c>
      <c r="BH523" s="65"/>
      <c r="BI523" s="65"/>
      <c r="BJ523" s="65"/>
      <c r="BK523" s="65"/>
      <c r="BL523" s="99"/>
      <c r="BM523" s="99"/>
      <c r="BN523" s="99"/>
    </row>
    <row r="524" spans="1:66" s="51" customFormat="1" ht="18" x14ac:dyDescent="0.25">
      <c r="A524" s="623" t="s">
        <v>1622</v>
      </c>
      <c r="B524" s="624"/>
      <c r="C524" s="709"/>
      <c r="D524" s="625" t="s">
        <v>5595</v>
      </c>
      <c r="E524" s="626"/>
      <c r="F524" s="626"/>
      <c r="G524" s="626"/>
      <c r="H524" s="622" t="s">
        <v>1270</v>
      </c>
      <c r="I524" s="627" t="s">
        <v>1623</v>
      </c>
      <c r="J524" s="628"/>
      <c r="K524" s="628"/>
      <c r="L524" s="629"/>
      <c r="M524" s="700" t="s">
        <v>5241</v>
      </c>
      <c r="N524" s="693" t="str">
        <f>IF(AND(ISTEXT($A524), ISERROR($A524+0)), HYPERLINK($BF524, "Images"), "")</f>
        <v>Images</v>
      </c>
      <c r="O524" s="695" t="s">
        <v>5247</v>
      </c>
      <c r="P524" s="630"/>
      <c r="Q524" s="631"/>
      <c r="R524" s="632"/>
      <c r="S524" s="633"/>
      <c r="T524" s="102">
        <f t="shared" si="346"/>
        <v>0</v>
      </c>
      <c r="U524" s="78" t="str">
        <f>IF(NOT(ISNUMBER(G524)), "", VLOOKUP(A524,'Discount Lookup'!D:E,2,FALSE)*G524)</f>
        <v/>
      </c>
      <c r="V524" s="78" t="str">
        <f>IF(NOT(ISNUMBER(G524)), "", VLOOKUP(A524,'Discount Lookup'!G:H,2,FALSE)*G524)</f>
        <v/>
      </c>
      <c r="W524" s="102">
        <f t="shared" si="347"/>
        <v>0</v>
      </c>
      <c r="X524" s="102" t="str">
        <f t="shared" si="348"/>
        <v>Royal Purple bloom, orange eye</v>
      </c>
      <c r="Y524" s="120" t="b">
        <f t="shared" si="349"/>
        <v>0</v>
      </c>
      <c r="Z524" s="117">
        <f t="shared" si="350"/>
        <v>0</v>
      </c>
      <c r="AA524" s="118"/>
      <c r="AB524" s="118" t="str">
        <f t="shared" si="351"/>
        <v/>
      </c>
      <c r="AC524" s="712" t="str">
        <f>IF(AE524="T2G","no charge",IF(AND(OR(PlanterYesMe="No",PlanterYesMe="N",PlanterYesMe="me"),H524=""),"",IF(H524="credit","NO install",IF(AND(K524="",AE524="me"),"EACH row",IF(AND(K524="images",AE524="me"),"EACH row",IF(D524="","",IF(H524="credit","",IF(AE524="free","re-planting",IF(AE524="me","   not ELP, by",IF(AND(OR(PlanterYesMe="Yes",PlanterYesMe="Y"),G524&gt;0),(VLOOKUP(A524,'Discount Lookup'!J:K,2)*G524*(1-PlanterDiscount)*(1+PlanterDifficultyPercentage)),IF(AE524="ELP",(VLOOKUP(A524,'Discount Lookup'!J:K,2)*G524*(1-PlanterDiscount)*(1+PlanterDifficultyPercentage)),IF(AE524="free","re-planting",IF(G524=0,"",IF(PlanterYesMe="",IF(AE524="me","   not ELP, by",IF(AE524="",IF(G524&gt;0,(VLOOKUP(A524,'Discount Lookup'!J:K,2)*G524*(1-PlanterDiscount)*(1+PlanterDifficultyPercentage)),""),"")),"   not ELP, by"))))))))))))))</f>
        <v/>
      </c>
      <c r="AD524" s="712"/>
      <c r="AE524" s="513" t="str">
        <f t="shared" si="352"/>
        <v/>
      </c>
      <c r="AF524" s="713" t="str">
        <f t="shared" si="353"/>
        <v/>
      </c>
      <c r="AG524" s="713"/>
      <c r="AH524" s="713"/>
      <c r="AI524" s="112">
        <f>IF(H524="credit",0,IF(AE524="free",0,IF(AE524="me",0,IF(G524&gt;0,(VLOOKUP(A524,'Discount Lookup'!J:K,2)*G524),0))))</f>
        <v>0</v>
      </c>
      <c r="AJ524" s="107" t="str">
        <f t="shared" ca="1" si="354"/>
        <v/>
      </c>
      <c r="AK524" s="714" t="str">
        <f t="shared" si="355"/>
        <v/>
      </c>
      <c r="AL524" s="714"/>
      <c r="AM524" s="114" t="str">
        <f t="shared" si="356"/>
        <v/>
      </c>
      <c r="AN524" s="115"/>
      <c r="AO524" s="116"/>
      <c r="AP524" s="116"/>
      <c r="AQ524" s="116"/>
      <c r="AR524" s="116"/>
      <c r="AS524" s="116"/>
      <c r="AT524" s="116"/>
      <c r="AU524" s="116"/>
      <c r="AV524" s="78"/>
      <c r="AW524" s="102"/>
      <c r="AX524" s="78"/>
      <c r="AY524" s="78"/>
      <c r="AZ524" s="78"/>
      <c r="BA524" s="78"/>
      <c r="BB524" s="78"/>
      <c r="BC524" s="78"/>
      <c r="BD524" s="78"/>
      <c r="BE524" s="465"/>
      <c r="BF524" s="165" t="str">
        <f t="shared" si="357"/>
        <v>https://www.google.com/search?tbm=isch&amp;q=Buddleia%20davidii%20%27SRPbudroy%27%20PP%2333161%20RoyalRazz%C2%AE%20Butterfly%20Bush</v>
      </c>
      <c r="BG524" s="165" t="str">
        <f t="shared" si="358"/>
        <v>B</v>
      </c>
      <c r="BH524" s="65"/>
      <c r="BI524" s="65"/>
      <c r="BJ524" s="65"/>
      <c r="BK524" s="65"/>
      <c r="BL524" s="99"/>
      <c r="BM524" s="99"/>
      <c r="BN524" s="99"/>
    </row>
    <row r="525" spans="1:66" s="51" customFormat="1" ht="15.75" x14ac:dyDescent="0.25">
      <c r="A525" s="634">
        <v>3</v>
      </c>
      <c r="B525" s="635" t="s">
        <v>291</v>
      </c>
      <c r="C525" s="636" t="s">
        <v>4959</v>
      </c>
      <c r="D525" s="637" t="s">
        <v>329</v>
      </c>
      <c r="E525" s="638">
        <v>30.95</v>
      </c>
      <c r="F525" s="639" t="s">
        <v>292</v>
      </c>
      <c r="G525" s="484">
        <v>0</v>
      </c>
      <c r="H525" s="691" t="str">
        <f>IF(G525=0,"",IF(F525="Buy",IF(G525=1,"plant","plants"),IF(F525&gt;0.01,"warranty","Error")))</f>
        <v/>
      </c>
      <c r="I525" s="640">
        <f>IF(H525="free",0,IF(H525="credit",((E525*(F525))*G525*-1),IF(F525="Buy",(E525*G525),((E525*(1-F525))*G525))))</f>
        <v>0</v>
      </c>
      <c r="J525" s="640">
        <f>IF(H525="warranty",0,(I525*(_xlfn.SINGLE(SalesTaxPercentage))))</f>
        <v>0</v>
      </c>
      <c r="K525" s="716">
        <f t="shared" ref="K525" si="385">I525+J525</f>
        <v>0</v>
      </c>
      <c r="L525" s="716"/>
      <c r="M525" s="689" t="str">
        <f ca="1">IF(AND(G525&gt;0,E525=0),"WARNING - no PRICE inserted",IF(H525="free","FREE ~ no charge this plant",IF(H525="credit",CONCATENATE("-$",ROUND(K525*(1-_xlfn.SINGLE(T2GDiscount))*-1,2)," CREDIT after discount"),IF(_xlfn.SINGLE(T2GDiscount)=0,"",IF(G525=0,"",IF(F525="Buy",CONCATENATE("$",ROUND(K525*(1-_xlfn.SINGLE(T2GDiscount)),2)," with ",(_xlfn.SINGLE(T2GDiscount)*100),"% discount"),CONCATENATE("$",ROUND(K525*(1-_xlfn.SINGLE(T2GDiscount)),2)," with ",((_xlfn.SINGLE(T2GDiscount)*100+F525*100)-(_xlfn.SINGLE(T2GDiscount)*100*F525)),IF(F525&gt;0,"% discounts",IF(_xlfn.SINGLE(NoWarrantyDiscount)&gt;0,"% discounts","% discount")))))))))</f>
        <v/>
      </c>
      <c r="N525" s="690"/>
      <c r="O525" s="486"/>
      <c r="P525" s="486"/>
      <c r="Q525" s="486"/>
      <c r="R525" s="486"/>
      <c r="S525" s="486"/>
      <c r="T525" s="102">
        <f t="shared" si="346"/>
        <v>0</v>
      </c>
      <c r="U525" s="78">
        <f>IF(NOT(ISNUMBER(G525)), "", VLOOKUP(A525,'Discount Lookup'!D:E,2,FALSE)*G525)</f>
        <v>0</v>
      </c>
      <c r="V525" s="78">
        <f>IF(NOT(ISNUMBER(G525)), "", VLOOKUP(A525,'Discount Lookup'!G:H,2,FALSE)*G525)</f>
        <v>0</v>
      </c>
      <c r="W525" s="102">
        <f t="shared" si="347"/>
        <v>0</v>
      </c>
      <c r="X525" s="102">
        <f t="shared" si="348"/>
        <v>0</v>
      </c>
      <c r="Y525" s="120" t="b">
        <f t="shared" si="349"/>
        <v>0</v>
      </c>
      <c r="Z525" s="117">
        <f t="shared" si="350"/>
        <v>0</v>
      </c>
      <c r="AA525" s="118"/>
      <c r="AB525" s="118" t="str">
        <f t="shared" si="351"/>
        <v/>
      </c>
      <c r="AC525" s="712" t="str">
        <f>IF(AE525="T2G","no charge",IF(AND(OR(PlanterYesMe="No",PlanterYesMe="N",PlanterYesMe="me"),H525=""),"",IF(H525="credit","NO install",IF(AND(K525="",AE525="me"),"EACH row",IF(AND(K525="images",AE525="me"),"EACH row",IF(D525="","",IF(H525="credit","",IF(AE525="free","re-planting",IF(AE525="me","   not ELP, by",IF(AND(OR(PlanterYesMe="Yes",PlanterYesMe="Y"),G525&gt;0),(VLOOKUP(A525,'Discount Lookup'!J:K,2)*G525*(1-PlanterDiscount)*(1+PlanterDifficultyPercentage)),IF(AE525="ELP",(VLOOKUP(A525,'Discount Lookup'!J:K,2)*G525*(1-PlanterDiscount)*(1+PlanterDifficultyPercentage)),IF(AE525="free","re-planting",IF(G525=0,"",IF(PlanterYesMe="",IF(AE525="me","   not ELP, by",IF(AE525="",IF(G525&gt;0,(VLOOKUP(A525,'Discount Lookup'!J:K,2)*G525*(1-PlanterDiscount)*(1+PlanterDifficultyPercentage)),""),"")),"   not ELP, by"))))))))))))))</f>
        <v/>
      </c>
      <c r="AD525" s="712"/>
      <c r="AE525" s="513" t="str">
        <f t="shared" si="352"/>
        <v/>
      </c>
      <c r="AF525" s="713" t="str">
        <f t="shared" si="353"/>
        <v/>
      </c>
      <c r="AG525" s="713"/>
      <c r="AH525" s="713"/>
      <c r="AI525" s="112">
        <f>IF(H525="credit",0,IF(AE525="free",0,IF(AE525="me",0,IF(G525&gt;0,(VLOOKUP(A525,'Discount Lookup'!J:K,2)*G525),0))))</f>
        <v>0</v>
      </c>
      <c r="AJ525" s="107" t="str">
        <f t="shared" ca="1" si="354"/>
        <v/>
      </c>
      <c r="AK525" s="714" t="str">
        <f t="shared" si="355"/>
        <v/>
      </c>
      <c r="AL525" s="714"/>
      <c r="AM525" s="114" t="str">
        <f t="shared" si="356"/>
        <v/>
      </c>
      <c r="AN525" s="115"/>
      <c r="AO525" s="116"/>
      <c r="AP525" s="116"/>
      <c r="AQ525" s="116"/>
      <c r="AR525" s="116"/>
      <c r="AS525" s="116"/>
      <c r="AT525" s="116"/>
      <c r="AU525" s="116"/>
      <c r="AV525" s="78"/>
      <c r="AW525" s="102"/>
      <c r="AX525" s="78"/>
      <c r="AY525" s="78"/>
      <c r="AZ525" s="78"/>
      <c r="BA525" s="78"/>
      <c r="BB525" s="78"/>
      <c r="BC525" s="78"/>
      <c r="BD525" s="78"/>
      <c r="BE525" s="465"/>
      <c r="BF525" s="165" t="str">
        <f t="shared" si="357"/>
        <v>https://www.google.com/search?tbm=isch&amp;q=3%20G2</v>
      </c>
      <c r="BG525" s="165" t="str">
        <f t="shared" si="358"/>
        <v>B</v>
      </c>
      <c r="BH525" s="65"/>
      <c r="BI525" s="65"/>
      <c r="BJ525" s="65"/>
      <c r="BK525" s="65"/>
      <c r="BL525" s="99"/>
      <c r="BM525" s="99"/>
      <c r="BN525" s="99"/>
    </row>
    <row r="526" spans="1:66" s="51" customFormat="1" ht="17.25" thickBot="1" x14ac:dyDescent="0.3">
      <c r="A526" s="641" t="s">
        <v>4677</v>
      </c>
      <c r="B526" s="642"/>
      <c r="C526" s="710"/>
      <c r="D526" s="643"/>
      <c r="E526" s="643"/>
      <c r="F526" s="644"/>
      <c r="G526" s="645"/>
      <c r="H526" s="646"/>
      <c r="I526" s="647"/>
      <c r="J526" s="648"/>
      <c r="K526" s="649"/>
      <c r="L526" s="650"/>
      <c r="M526" s="650"/>
      <c r="N526" s="644"/>
      <c r="O526" s="644"/>
      <c r="P526" s="644"/>
      <c r="Q526" s="644"/>
      <c r="R526" s="644"/>
      <c r="S526" s="701" t="s">
        <v>5271</v>
      </c>
      <c r="T526" s="102">
        <f t="shared" si="346"/>
        <v>0</v>
      </c>
      <c r="U526" s="78" t="str">
        <f>IF(NOT(ISNUMBER(G526)), "", VLOOKUP(A526,'Discount Lookup'!D:E,2,FALSE)*G526)</f>
        <v/>
      </c>
      <c r="V526" s="78" t="str">
        <f>IF(NOT(ISNUMBER(G526)), "", VLOOKUP(A526,'Discount Lookup'!G:H,2,FALSE)*G526)</f>
        <v/>
      </c>
      <c r="W526" s="102">
        <f t="shared" si="347"/>
        <v>0</v>
      </c>
      <c r="X526" s="102">
        <f t="shared" si="348"/>
        <v>0</v>
      </c>
      <c r="Y526" s="120" t="b">
        <f t="shared" si="349"/>
        <v>0</v>
      </c>
      <c r="Z526" s="117">
        <f t="shared" si="350"/>
        <v>0</v>
      </c>
      <c r="AA526" s="118"/>
      <c r="AB526" s="118" t="str">
        <f t="shared" si="351"/>
        <v/>
      </c>
      <c r="AC526" s="712" t="str">
        <f>IF(AE526="T2G","no charge",IF(AND(OR(PlanterYesMe="No",PlanterYesMe="N",PlanterYesMe="me"),H526=""),"",IF(H526="credit","NO install",IF(AND(K526="",AE526="me"),"EACH row",IF(AND(K526="images",AE526="me"),"EACH row",IF(D526="","",IF(H526="credit","",IF(AE526="free","re-planting",IF(AE526="me","   not ELP, by",IF(AND(OR(PlanterYesMe="Yes",PlanterYesMe="Y"),G526&gt;0),(VLOOKUP(A526,'Discount Lookup'!J:K,2)*G526*(1-PlanterDiscount)*(1+PlanterDifficultyPercentage)),IF(AE526="ELP",(VLOOKUP(A526,'Discount Lookup'!J:K,2)*G526*(1-PlanterDiscount)*(1+PlanterDifficultyPercentage)),IF(AE526="free","re-planting",IF(G526=0,"",IF(PlanterYesMe="",IF(AE526="me","   not ELP, by",IF(AE526="",IF(G526&gt;0,(VLOOKUP(A526,'Discount Lookup'!J:K,2)*G526*(1-PlanterDiscount)*(1+PlanterDifficultyPercentage)),""),"")),"   not ELP, by"))))))))))))))</f>
        <v/>
      </c>
      <c r="AD526" s="712"/>
      <c r="AE526" s="513" t="str">
        <f t="shared" si="352"/>
        <v/>
      </c>
      <c r="AF526" s="713" t="str">
        <f t="shared" si="353"/>
        <v/>
      </c>
      <c r="AG526" s="713"/>
      <c r="AH526" s="713"/>
      <c r="AI526" s="112">
        <f>IF(H526="credit",0,IF(AE526="free",0,IF(AE526="me",0,IF(G526&gt;0,(VLOOKUP(A526,'Discount Lookup'!J:K,2)*G526),0))))</f>
        <v>0</v>
      </c>
      <c r="AJ526" s="107" t="str">
        <f t="shared" ca="1" si="354"/>
        <v/>
      </c>
      <c r="AK526" s="714" t="str">
        <f t="shared" si="355"/>
        <v/>
      </c>
      <c r="AL526" s="714"/>
      <c r="AM526" s="114" t="str">
        <f t="shared" si="356"/>
        <v/>
      </c>
      <c r="AN526" s="115"/>
      <c r="AO526" s="116"/>
      <c r="AP526" s="116"/>
      <c r="AQ526" s="116"/>
      <c r="AR526" s="116"/>
      <c r="AS526" s="116"/>
      <c r="AT526" s="116"/>
      <c r="AU526" s="116"/>
      <c r="AV526" s="78"/>
      <c r="AW526" s="102"/>
      <c r="AX526" s="78"/>
      <c r="AY526" s="78"/>
      <c r="AZ526" s="78"/>
      <c r="BA526" s="78"/>
      <c r="BB526" s="78"/>
      <c r="BC526" s="78"/>
      <c r="BD526" s="78"/>
      <c r="BE526" s="465"/>
      <c r="BF526" s="165" t="str">
        <f t="shared" si="357"/>
        <v>https://www.google.com/search?tbm=isch&amp;q=RoyalRazz%20has%20Green%20foliage%20and%20a%20sweet%20fragrance.%20All%20BB%20bloom%20summer%20to%20frost%2C%20on%20new%20wood%2C%20so%20cut%20back%20hard%20late%20winter%20</v>
      </c>
      <c r="BG526" s="165" t="str">
        <f t="shared" si="358"/>
        <v>R</v>
      </c>
      <c r="BH526" s="65"/>
      <c r="BI526" s="65"/>
      <c r="BJ526" s="65"/>
      <c r="BK526" s="65"/>
      <c r="BL526" s="99"/>
      <c r="BM526" s="99"/>
      <c r="BN526" s="99"/>
    </row>
    <row r="527" spans="1:66" s="51" customFormat="1" ht="18" x14ac:dyDescent="0.25">
      <c r="A527" s="623" t="s">
        <v>1624</v>
      </c>
      <c r="B527" s="624"/>
      <c r="C527" s="709"/>
      <c r="D527" s="625" t="s">
        <v>1625</v>
      </c>
      <c r="E527" s="626"/>
      <c r="F527" s="626"/>
      <c r="G527" s="626"/>
      <c r="H527" s="622" t="s">
        <v>1082</v>
      </c>
      <c r="I527" s="627" t="s">
        <v>1626</v>
      </c>
      <c r="J527" s="628"/>
      <c r="K527" s="628"/>
      <c r="L527" s="629"/>
      <c r="M527" s="700" t="s">
        <v>5241</v>
      </c>
      <c r="N527" s="693" t="str">
        <f>IF(AND(ISTEXT($A527), ISERROR($A527+0)), HYPERLINK($BF527, "Images"), "")</f>
        <v>Images</v>
      </c>
      <c r="O527" s="695" t="s">
        <v>5247</v>
      </c>
      <c r="P527" s="630"/>
      <c r="Q527" s="631"/>
      <c r="R527" s="632"/>
      <c r="S527" s="633"/>
      <c r="T527" s="102">
        <f t="shared" si="346"/>
        <v>0</v>
      </c>
      <c r="U527" s="78" t="str">
        <f>IF(NOT(ISNUMBER(G527)), "", VLOOKUP(A527,'Discount Lookup'!D:E,2,FALSE)*G527)</f>
        <v/>
      </c>
      <c r="V527" s="78" t="str">
        <f>IF(NOT(ISNUMBER(G527)), "", VLOOKUP(A527,'Discount Lookup'!G:H,2,FALSE)*G527)</f>
        <v/>
      </c>
      <c r="W527" s="102">
        <f t="shared" si="347"/>
        <v>0</v>
      </c>
      <c r="X527" s="102" t="str">
        <f t="shared" si="348"/>
        <v>Sangria-Red-Pink bloom</v>
      </c>
      <c r="Y527" s="120" t="b">
        <f t="shared" si="349"/>
        <v>0</v>
      </c>
      <c r="Z527" s="117">
        <f t="shared" si="350"/>
        <v>0</v>
      </c>
      <c r="AA527" s="118"/>
      <c r="AB527" s="118" t="str">
        <f t="shared" si="351"/>
        <v/>
      </c>
      <c r="AC527" s="712" t="str">
        <f>IF(AE527="T2G","no charge",IF(AND(OR(PlanterYesMe="No",PlanterYesMe="N",PlanterYesMe="me"),H527=""),"",IF(H527="credit","NO install",IF(AND(K527="",AE527="me"),"EACH row",IF(AND(K527="images",AE527="me"),"EACH row",IF(D527="","",IF(H527="credit","",IF(AE527="free","re-planting",IF(AE527="me","   not ELP, by",IF(AND(OR(PlanterYesMe="Yes",PlanterYesMe="Y"),G527&gt;0),(VLOOKUP(A527,'Discount Lookup'!J:K,2)*G527*(1-PlanterDiscount)*(1+PlanterDifficultyPercentage)),IF(AE527="ELP",(VLOOKUP(A527,'Discount Lookup'!J:K,2)*G527*(1-PlanterDiscount)*(1+PlanterDifficultyPercentage)),IF(AE527="free","re-planting",IF(G527=0,"",IF(PlanterYesMe="",IF(AE527="me","   not ELP, by",IF(AE527="",IF(G527&gt;0,(VLOOKUP(A527,'Discount Lookup'!J:K,2)*G527*(1-PlanterDiscount)*(1+PlanterDifficultyPercentage)),""),"")),"   not ELP, by"))))))))))))))</f>
        <v/>
      </c>
      <c r="AD527" s="712"/>
      <c r="AE527" s="513" t="str">
        <f t="shared" si="352"/>
        <v/>
      </c>
      <c r="AF527" s="713" t="str">
        <f t="shared" si="353"/>
        <v/>
      </c>
      <c r="AG527" s="713"/>
      <c r="AH527" s="713"/>
      <c r="AI527" s="112">
        <f>IF(H527="credit",0,IF(AE527="free",0,IF(AE527="me",0,IF(G527&gt;0,(VLOOKUP(A527,'Discount Lookup'!J:K,2)*G527),0))))</f>
        <v>0</v>
      </c>
      <c r="AJ527" s="107" t="str">
        <f t="shared" ca="1" si="354"/>
        <v/>
      </c>
      <c r="AK527" s="714" t="str">
        <f t="shared" si="355"/>
        <v/>
      </c>
      <c r="AL527" s="714"/>
      <c r="AM527" s="114" t="str">
        <f t="shared" si="356"/>
        <v/>
      </c>
      <c r="AN527" s="115"/>
      <c r="AO527" s="116"/>
      <c r="AP527" s="116"/>
      <c r="AQ527" s="116"/>
      <c r="AR527" s="116"/>
      <c r="AS527" s="116"/>
      <c r="AT527" s="116"/>
      <c r="AU527" s="116"/>
      <c r="AV527" s="78"/>
      <c r="AW527" s="102"/>
      <c r="AX527" s="78"/>
      <c r="AY527" s="78"/>
      <c r="AZ527" s="78"/>
      <c r="BA527" s="78"/>
      <c r="BB527" s="78"/>
      <c r="BC527" s="78"/>
      <c r="BD527" s="78"/>
      <c r="BE527" s="465"/>
      <c r="BF527" s="165" t="str">
        <f t="shared" si="357"/>
        <v>https://www.google.com/search?tbm=isch&amp;q=Buddleia%20%27Miss%20Molly%27%20PP%2323425%20Miss%20Molly%20Butterfly%20Bush</v>
      </c>
      <c r="BG527" s="165" t="str">
        <f t="shared" si="358"/>
        <v>B</v>
      </c>
      <c r="BH527" s="65"/>
      <c r="BI527" s="65"/>
      <c r="BJ527" s="65"/>
      <c r="BK527" s="65"/>
      <c r="BL527" s="99"/>
      <c r="BM527" s="99"/>
      <c r="BN527" s="99"/>
    </row>
    <row r="528" spans="1:66" s="51" customFormat="1" ht="15.75" x14ac:dyDescent="0.25">
      <c r="A528" s="634">
        <v>3</v>
      </c>
      <c r="B528" s="635" t="s">
        <v>291</v>
      </c>
      <c r="C528" s="636" t="s">
        <v>1627</v>
      </c>
      <c r="D528" s="637" t="s">
        <v>311</v>
      </c>
      <c r="E528" s="638">
        <v>42.95</v>
      </c>
      <c r="F528" s="639" t="s">
        <v>292</v>
      </c>
      <c r="G528" s="484">
        <v>0</v>
      </c>
      <c r="H528" s="691" t="str">
        <f>IF(G528=0,"",IF(F528="Buy",IF(G528=1,"plant","plants"),IF(F528&gt;0.01,"warranty","Error")))</f>
        <v/>
      </c>
      <c r="I528" s="640">
        <f>IF(H528="free",0,IF(H528="credit",((E528*(F528))*G528*-1),IF(F528="Buy",(E528*G528),((E528*(1-F528))*G528))))</f>
        <v>0</v>
      </c>
      <c r="J528" s="640">
        <f>IF(H528="warranty",0,(I528*(_xlfn.SINGLE(SalesTaxPercentage))))</f>
        <v>0</v>
      </c>
      <c r="K528" s="716">
        <f t="shared" ref="K528" si="386">I528+J528</f>
        <v>0</v>
      </c>
      <c r="L528" s="716"/>
      <c r="M528" s="689" t="str">
        <f ca="1">IF(AND(G528&gt;0,E528=0),"WARNING - no PRICE inserted",IF(H528="free","FREE ~ no charge this plant",IF(H528="credit",CONCATENATE("-$",ROUND(K528*(1-_xlfn.SINGLE(T2GDiscount))*-1,2)," CREDIT after discount"),IF(_xlfn.SINGLE(T2GDiscount)=0,"",IF(G528=0,"",IF(F528="Buy",CONCATENATE("$",ROUND(K528*(1-_xlfn.SINGLE(T2GDiscount)),2)," with ",(_xlfn.SINGLE(T2GDiscount)*100),"% discount"),CONCATENATE("$",ROUND(K528*(1-_xlfn.SINGLE(T2GDiscount)),2)," with ",((_xlfn.SINGLE(T2GDiscount)*100+F528*100)-(_xlfn.SINGLE(T2GDiscount)*100*F528)),IF(F528&gt;0,"% discounts",IF(_xlfn.SINGLE(NoWarrantyDiscount)&gt;0,"% discounts","% discount")))))))))</f>
        <v/>
      </c>
      <c r="N528" s="690"/>
      <c r="O528" s="486"/>
      <c r="P528" s="486"/>
      <c r="Q528" s="486"/>
      <c r="R528" s="486"/>
      <c r="S528" s="486"/>
      <c r="T528" s="102">
        <f t="shared" si="346"/>
        <v>0</v>
      </c>
      <c r="U528" s="78">
        <f>IF(NOT(ISNUMBER(G528)), "", VLOOKUP(A528,'Discount Lookup'!D:E,2,FALSE)*G528)</f>
        <v>0</v>
      </c>
      <c r="V528" s="78">
        <f>IF(NOT(ISNUMBER(G528)), "", VLOOKUP(A528,'Discount Lookup'!G:H,2,FALSE)*G528)</f>
        <v>0</v>
      </c>
      <c r="W528" s="102">
        <f t="shared" si="347"/>
        <v>0</v>
      </c>
      <c r="X528" s="102">
        <f t="shared" si="348"/>
        <v>0</v>
      </c>
      <c r="Y528" s="120" t="b">
        <f t="shared" si="349"/>
        <v>0</v>
      </c>
      <c r="Z528" s="117">
        <f t="shared" si="350"/>
        <v>0</v>
      </c>
      <c r="AA528" s="118"/>
      <c r="AB528" s="118" t="str">
        <f t="shared" si="351"/>
        <v/>
      </c>
      <c r="AC528" s="712" t="str">
        <f>IF(AE528="T2G","no charge",IF(AND(OR(PlanterYesMe="No",PlanterYesMe="N",PlanterYesMe="me"),H528=""),"",IF(H528="credit","NO install",IF(AND(K528="",AE528="me"),"EACH row",IF(AND(K528="images",AE528="me"),"EACH row",IF(D528="","",IF(H528="credit","",IF(AE528="free","re-planting",IF(AE528="me","   not ELP, by",IF(AND(OR(PlanterYesMe="Yes",PlanterYesMe="Y"),G528&gt;0),(VLOOKUP(A528,'Discount Lookup'!J:K,2)*G528*(1-PlanterDiscount)*(1+PlanterDifficultyPercentage)),IF(AE528="ELP",(VLOOKUP(A528,'Discount Lookup'!J:K,2)*G528*(1-PlanterDiscount)*(1+PlanterDifficultyPercentage)),IF(AE528="free","re-planting",IF(G528=0,"",IF(PlanterYesMe="",IF(AE528="me","   not ELP, by",IF(AE528="",IF(G528&gt;0,(VLOOKUP(A528,'Discount Lookup'!J:K,2)*G528*(1-PlanterDiscount)*(1+PlanterDifficultyPercentage)),""),"")),"   not ELP, by"))))))))))))))</f>
        <v/>
      </c>
      <c r="AD528" s="712"/>
      <c r="AE528" s="513" t="str">
        <f t="shared" si="352"/>
        <v/>
      </c>
      <c r="AF528" s="713" t="str">
        <f t="shared" si="353"/>
        <v/>
      </c>
      <c r="AG528" s="713"/>
      <c r="AH528" s="713"/>
      <c r="AI528" s="112">
        <f>IF(H528="credit",0,IF(AE528="free",0,IF(AE528="me",0,IF(G528&gt;0,(VLOOKUP(A528,'Discount Lookup'!J:K,2)*G528),0))))</f>
        <v>0</v>
      </c>
      <c r="AJ528" s="107" t="str">
        <f t="shared" ca="1" si="354"/>
        <v/>
      </c>
      <c r="AK528" s="714" t="str">
        <f t="shared" si="355"/>
        <v/>
      </c>
      <c r="AL528" s="714"/>
      <c r="AM528" s="114" t="str">
        <f t="shared" si="356"/>
        <v/>
      </c>
      <c r="AN528" s="115"/>
      <c r="AO528" s="116"/>
      <c r="AP528" s="116"/>
      <c r="AQ528" s="116"/>
      <c r="AR528" s="116"/>
      <c r="AS528" s="116"/>
      <c r="AT528" s="116"/>
      <c r="AU528" s="116"/>
      <c r="AV528" s="78"/>
      <c r="AW528" s="102"/>
      <c r="AX528" s="78"/>
      <c r="AY528" s="78"/>
      <c r="AZ528" s="78"/>
      <c r="BA528" s="78"/>
      <c r="BB528" s="78"/>
      <c r="BC528" s="78"/>
      <c r="BD528" s="78"/>
      <c r="BE528" s="465"/>
      <c r="BF528" s="165" t="str">
        <f t="shared" si="357"/>
        <v>https://www.google.com/search?tbm=isch&amp;q=3%20G5</v>
      </c>
      <c r="BG528" s="165" t="str">
        <f t="shared" si="358"/>
        <v>B</v>
      </c>
      <c r="BH528" s="65"/>
      <c r="BI528" s="65"/>
      <c r="BJ528" s="65"/>
      <c r="BK528" s="65"/>
      <c r="BL528" s="99"/>
      <c r="BM528" s="99"/>
      <c r="BN528" s="99"/>
    </row>
    <row r="529" spans="1:66" s="51" customFormat="1" ht="17.25" thickBot="1" x14ac:dyDescent="0.3">
      <c r="A529" s="641" t="s">
        <v>1628</v>
      </c>
      <c r="B529" s="642"/>
      <c r="C529" s="710"/>
      <c r="D529" s="643"/>
      <c r="E529" s="643"/>
      <c r="F529" s="644"/>
      <c r="G529" s="645"/>
      <c r="H529" s="646"/>
      <c r="I529" s="647"/>
      <c r="J529" s="648"/>
      <c r="K529" s="649"/>
      <c r="L529" s="650"/>
      <c r="M529" s="650"/>
      <c r="N529" s="644"/>
      <c r="O529" s="644"/>
      <c r="P529" s="644"/>
      <c r="Q529" s="644"/>
      <c r="R529" s="644"/>
      <c r="S529" s="701" t="s">
        <v>5271</v>
      </c>
      <c r="T529" s="102">
        <f t="shared" ref="T529:T592" si="387">E529*G529</f>
        <v>0</v>
      </c>
      <c r="U529" s="78" t="str">
        <f>IF(NOT(ISNUMBER(G529)), "", VLOOKUP(A529,'Discount Lookup'!D:E,2,FALSE)*G529)</f>
        <v/>
      </c>
      <c r="V529" s="78" t="str">
        <f>IF(NOT(ISNUMBER(G529)), "", VLOOKUP(A529,'Discount Lookup'!G:H,2,FALSE)*G529)</f>
        <v/>
      </c>
      <c r="W529" s="102">
        <f t="shared" ref="W529:W592" si="388">IF(H529="credit",0,E529*(SalesTaxPercentage)*G529)</f>
        <v>0</v>
      </c>
      <c r="X529" s="102">
        <f t="shared" ref="X529:X592" si="389">I529</f>
        <v>0</v>
      </c>
      <c r="Y529" s="120" t="b">
        <f t="shared" ref="Y529:Y592" si="390">IF(AE529="T2G",0,IF(H529="credit",0,IF(G529&gt;0,IF(AE529="me","",G529))))</f>
        <v>0</v>
      </c>
      <c r="Z529" s="117">
        <f t="shared" ref="Z529:Z592" si="391">IF(H529="credit",G529,0)</f>
        <v>0</v>
      </c>
      <c r="AA529" s="118"/>
      <c r="AB529" s="118" t="str">
        <f t="shared" ref="AB529:AB592" si="392">IF(AE529="T2G","by Trees2Go",IF(H529="credit","CREDIT only ~",IF(AND(K529="",AE529=OR(PlanterYesMe="No",PlanterYesMe="N",PlanterYesMe="me")),"not THIS line⇨",IF(AND(K529="images",AE529="me"),"not THIS line⇨",IF(H529="credit","",IF(G529=0,"",IF(AE529="me","",IF(OR(PlanterYesMe="No",PlanterYesMe="N",PlanterYesMe="me"),"",IF(AE529="free","warranty",IF(OR(PlanterYesMe="yes",PlanterYesMe="y"),"Edison install:","to install:"))))))))))</f>
        <v/>
      </c>
      <c r="AC529" s="712" t="str">
        <f>IF(AE529="T2G","no charge",IF(AND(OR(PlanterYesMe="No",PlanterYesMe="N",PlanterYesMe="me"),H529=""),"",IF(H529="credit","NO install",IF(AND(K529="",AE529="me"),"EACH row",IF(AND(K529="images",AE529="me"),"EACH row",IF(D529="","",IF(H529="credit","",IF(AE529="free","re-planting",IF(AE529="me","   not ELP, by",IF(AND(OR(PlanterYesMe="Yes",PlanterYesMe="Y"),G529&gt;0),(VLOOKUP(A529,'Discount Lookup'!J:K,2)*G529*(1-PlanterDiscount)*(1+PlanterDifficultyPercentage)),IF(AE529="ELP",(VLOOKUP(A529,'Discount Lookup'!J:K,2)*G529*(1-PlanterDiscount)*(1+PlanterDifficultyPercentage)),IF(AE529="free","re-planting",IF(G529=0,"",IF(PlanterYesMe="",IF(AE529="me","   not ELP, by",IF(AE529="",IF(G529&gt;0,(VLOOKUP(A529,'Discount Lookup'!J:K,2)*G529*(1-PlanterDiscount)*(1+PlanterDifficultyPercentage)),""),"")),"   not ELP, by"))))))))))))))</f>
        <v/>
      </c>
      <c r="AD529" s="712"/>
      <c r="AE529" s="513" t="str">
        <f t="shared" ref="AE529:AE592" si="393">IF(H529="credit","",IF(G529=0,"",IF(OR(PlanterYesMe="No",PlanterYesMe="N",PlanterYesMe="me"),"me",IF(H529="warranty","free",IF(OR(PlanterYesMe="yes",PlanterYesMe="y"),"ELP","")))))</f>
        <v/>
      </c>
      <c r="AF529" s="713" t="str">
        <f t="shared" ref="AF529:AF592" si="394">IF(OR(PlanterYesMe="No",PlanterYesMe="N",PlanterYesMe="me"),"",IF(H529="credit","",IF(G529&gt;0,(CONCATENATE((G529)," quantity, ",(A529)," ",B529)),"")))</f>
        <v/>
      </c>
      <c r="AG529" s="713"/>
      <c r="AH529" s="713"/>
      <c r="AI529" s="112">
        <f>IF(H529="credit",0,IF(AE529="free",0,IF(AE529="me",0,IF(G529&gt;0,(VLOOKUP(A529,'Discount Lookup'!J:K,2)*G529),0))))</f>
        <v>0</v>
      </c>
      <c r="AJ529" s="107" t="str">
        <f t="shared" ref="AJ529:AJ592" ca="1" si="395">IF(AND(ISREF(H529),H529="credit"),"",IF(AND(AND(OFFSET(G529,0,0)=0,OFFSET(G529,1,0)&gt;0,ISNUMBER(OFFSET(AC529,1,0)),OFFSET(AC529,1,0)&gt;0),OR(PlanterYesMe="yes",PlanterYesMe="y")),"T2G+ELP=",IF(AND(OFFSET(G529,0,0)=0,OFFSET(G529,1,0)&gt;0,ISNUMBER(OFFSET(AC529,1,0)),OFFSET(AC529,1,0)&gt;0),"if T2G+ELP=",IF(AND(OFFSET(G529,0,0)=0,OFFSET(G529,1,0)&gt;0),"T2G Subtotal",IF(H529="credit","",IF(G529=0,"",IF(AE529="free",(K529*(1-T2GDiscount)),IF(OR(PlanterYesMe="No",PlanterYesMe="N",PlanterYesMe="me"),(K529*(1-T2GDiscount)),IF(OR(AE529="me",AE529="T2G"),(K529*(1-T2GDiscount)),(K529*(1-T2GDiscount))+AC529)))))))))</f>
        <v/>
      </c>
      <c r="AK529" s="714" t="str">
        <f t="shared" ref="AK529:AK592" si="396">IF(H529="credit","",IF(G529=0,"",IF(OR(AE529="me",AE529="T2G"),"  delivery-only",IF(OR(PlanterYesMe="No",PlanterYesMe="N",PlanterYesMe="me"),"  delivery-only",CONCATENATE(" $",ROUND(AJ529/G529,2)," each")))))</f>
        <v/>
      </c>
      <c r="AL529" s="714"/>
      <c r="AM529" s="114" t="str">
        <f t="shared" ref="AM529:AM592" si="397">IF(H529="credit","",IF(AE529="free","      ~ discounts included, no tax or planting fee applies ~",IF(G529=0,"",IF(OR(PlanterYesMe="No",PlanterYesMe="N",PlanterYesMe="me"),CONCATENATE(" $",ROUND(AJ529/G529,2)," per plant, with tax &amp; discount"),IF(OR(AE529="me",AE529="T2G"),CONCATENATE(" $",ROUND(AJ529/G529,2)," per plant, with tax &amp; discount"),CONCATENATE("= $",ROUND((K529*(1-T2GDiscount))/G529,2)," per plant + $",AC529/G529,(" per planting      ~ includes tax &amp; discounts ~")))))))</f>
        <v/>
      </c>
      <c r="AN529" s="115"/>
      <c r="AO529" s="116"/>
      <c r="AP529" s="116"/>
      <c r="AQ529" s="116"/>
      <c r="AR529" s="116"/>
      <c r="AS529" s="116"/>
      <c r="AT529" s="116"/>
      <c r="AU529" s="116"/>
      <c r="AV529" s="78"/>
      <c r="AW529" s="102"/>
      <c r="AX529" s="78"/>
      <c r="AY529" s="78"/>
      <c r="AZ529" s="78"/>
      <c r="BA529" s="78"/>
      <c r="BB529" s="78"/>
      <c r="BC529" s="78"/>
      <c r="BD529" s="78"/>
      <c r="BE529" s="465"/>
      <c r="BF529" s="165" t="str">
        <f t="shared" ref="BF529:BF592" si="398">"https://www.google.com/search?tbm=isch&amp;q=" &amp; _xlfn.ENCODEURL($A529 &amp; " " &amp; $D529)</f>
        <v>https://www.google.com/search?tbm=isch&amp;q=Miss%20Molly%20has%20Gray-Green%20foliage%20and%20a%20fragrance.%20All%20BB%20bloom%20summer%20to%20frost%2C%20on%20new%20wood%2C%20so%20cut%20back%20hard%20late%20winter%20</v>
      </c>
      <c r="BG529" s="165" t="str">
        <f t="shared" ref="BG529:BG592" si="399">IF(ISTEXT(A529),LEFT(A529,1),BG528)</f>
        <v>M</v>
      </c>
      <c r="BH529" s="65"/>
      <c r="BI529" s="65"/>
      <c r="BJ529" s="65"/>
      <c r="BK529" s="65"/>
      <c r="BL529" s="99"/>
      <c r="BM529" s="99"/>
      <c r="BN529" s="99"/>
    </row>
    <row r="530" spans="1:66" s="51" customFormat="1" ht="18" x14ac:dyDescent="0.25">
      <c r="A530" s="623" t="s">
        <v>1629</v>
      </c>
      <c r="B530" s="624"/>
      <c r="C530" s="709"/>
      <c r="D530" s="625" t="s">
        <v>1630</v>
      </c>
      <c r="E530" s="626"/>
      <c r="F530" s="626"/>
      <c r="G530" s="626"/>
      <c r="H530" s="622" t="s">
        <v>1082</v>
      </c>
      <c r="I530" s="627" t="s">
        <v>1631</v>
      </c>
      <c r="J530" s="628"/>
      <c r="K530" s="628"/>
      <c r="L530" s="629"/>
      <c r="M530" s="700" t="s">
        <v>5241</v>
      </c>
      <c r="N530" s="693" t="str">
        <f>IF(AND(ISTEXT($A530), ISERROR($A530+0)), HYPERLINK($BF530, "Images"), "")</f>
        <v>Images</v>
      </c>
      <c r="O530" s="695" t="s">
        <v>5247</v>
      </c>
      <c r="P530" s="630"/>
      <c r="Q530" s="631"/>
      <c r="R530" s="632"/>
      <c r="S530" s="633"/>
      <c r="T530" s="102">
        <f t="shared" si="387"/>
        <v>0</v>
      </c>
      <c r="U530" s="78" t="str">
        <f>IF(NOT(ISNUMBER(G530)), "", VLOOKUP(A530,'Discount Lookup'!D:E,2,FALSE)*G530)</f>
        <v/>
      </c>
      <c r="V530" s="78" t="str">
        <f>IF(NOT(ISNUMBER(G530)), "", VLOOKUP(A530,'Discount Lookup'!G:H,2,FALSE)*G530)</f>
        <v/>
      </c>
      <c r="W530" s="102">
        <f t="shared" si="388"/>
        <v>0</v>
      </c>
      <c r="X530" s="102" t="str">
        <f t="shared" si="389"/>
        <v>Pink bloom, Orange-Gold eye</v>
      </c>
      <c r="Y530" s="120" t="b">
        <f t="shared" si="390"/>
        <v>0</v>
      </c>
      <c r="Z530" s="117">
        <f t="shared" si="391"/>
        <v>0</v>
      </c>
      <c r="AA530" s="118"/>
      <c r="AB530" s="118" t="str">
        <f t="shared" si="392"/>
        <v/>
      </c>
      <c r="AC530" s="712" t="str">
        <f>IF(AE530="T2G","no charge",IF(AND(OR(PlanterYesMe="No",PlanterYesMe="N",PlanterYesMe="me"),H530=""),"",IF(H530="credit","NO install",IF(AND(K530="",AE530="me"),"EACH row",IF(AND(K530="images",AE530="me"),"EACH row",IF(D530="","",IF(H530="credit","",IF(AE530="free","re-planting",IF(AE530="me","   not ELP, by",IF(AND(OR(PlanterYesMe="Yes",PlanterYesMe="Y"),G530&gt;0),(VLOOKUP(A530,'Discount Lookup'!J:K,2)*G530*(1-PlanterDiscount)*(1+PlanterDifficultyPercentage)),IF(AE530="ELP",(VLOOKUP(A530,'Discount Lookup'!J:K,2)*G530*(1-PlanterDiscount)*(1+PlanterDifficultyPercentage)),IF(AE530="free","re-planting",IF(G530=0,"",IF(PlanterYesMe="",IF(AE530="me","   not ELP, by",IF(AE530="",IF(G530&gt;0,(VLOOKUP(A530,'Discount Lookup'!J:K,2)*G530*(1-PlanterDiscount)*(1+PlanterDifficultyPercentage)),""),"")),"   not ELP, by"))))))))))))))</f>
        <v/>
      </c>
      <c r="AD530" s="712"/>
      <c r="AE530" s="513" t="str">
        <f t="shared" si="393"/>
        <v/>
      </c>
      <c r="AF530" s="713" t="str">
        <f t="shared" si="394"/>
        <v/>
      </c>
      <c r="AG530" s="713"/>
      <c r="AH530" s="713"/>
      <c r="AI530" s="112">
        <f>IF(H530="credit",0,IF(AE530="free",0,IF(AE530="me",0,IF(G530&gt;0,(VLOOKUP(A530,'Discount Lookup'!J:K,2)*G530),0))))</f>
        <v>0</v>
      </c>
      <c r="AJ530" s="107" t="str">
        <f t="shared" ca="1" si="395"/>
        <v/>
      </c>
      <c r="AK530" s="714" t="str">
        <f t="shared" si="396"/>
        <v/>
      </c>
      <c r="AL530" s="714"/>
      <c r="AM530" s="114" t="str">
        <f t="shared" si="397"/>
        <v/>
      </c>
      <c r="AN530" s="115"/>
      <c r="AO530" s="116"/>
      <c r="AP530" s="116"/>
      <c r="AQ530" s="116"/>
      <c r="AR530" s="116"/>
      <c r="AS530" s="116"/>
      <c r="AT530" s="116"/>
      <c r="AU530" s="116"/>
      <c r="AV530" s="78"/>
      <c r="AW530" s="102"/>
      <c r="AX530" s="78"/>
      <c r="AY530" s="78"/>
      <c r="AZ530" s="78"/>
      <c r="BA530" s="78"/>
      <c r="BB530" s="78"/>
      <c r="BC530" s="78"/>
      <c r="BD530" s="78"/>
      <c r="BE530" s="465"/>
      <c r="BF530" s="165" t="str">
        <f t="shared" si="398"/>
        <v>https://www.google.com/search?tbm=isch&amp;q=Buddleia%20%27Pink%20Cascade%20II%27%20PP%2335438%20Pink%20Cascade%20II%20Butterfly%20Bush</v>
      </c>
      <c r="BG530" s="165" t="str">
        <f t="shared" si="399"/>
        <v>B</v>
      </c>
      <c r="BH530" s="65"/>
      <c r="BI530" s="65"/>
      <c r="BJ530" s="65"/>
      <c r="BK530" s="65"/>
      <c r="BL530" s="99"/>
      <c r="BM530" s="99"/>
      <c r="BN530" s="99"/>
    </row>
    <row r="531" spans="1:66" s="51" customFormat="1" ht="15.75" x14ac:dyDescent="0.25">
      <c r="A531" s="634">
        <v>3</v>
      </c>
      <c r="B531" s="635" t="s">
        <v>291</v>
      </c>
      <c r="C531" s="636" t="s">
        <v>1632</v>
      </c>
      <c r="D531" s="637" t="s">
        <v>329</v>
      </c>
      <c r="E531" s="638">
        <v>30.95</v>
      </c>
      <c r="F531" s="639" t="s">
        <v>292</v>
      </c>
      <c r="G531" s="484">
        <v>0</v>
      </c>
      <c r="H531" s="691" t="str">
        <f>IF(G531=0,"",IF(F531="Buy",IF(G531=1,"plant","plants"),IF(F531&gt;0.01,"warranty","Error")))</f>
        <v/>
      </c>
      <c r="I531" s="640">
        <f>IF(H531="free",0,IF(H531="credit",((E531*(F531))*G531*-1),IF(F531="Buy",(E531*G531),((E531*(1-F531))*G531))))</f>
        <v>0</v>
      </c>
      <c r="J531" s="640">
        <f>IF(H531="warranty",0,(I531*(_xlfn.SINGLE(SalesTaxPercentage))))</f>
        <v>0</v>
      </c>
      <c r="K531" s="716">
        <f t="shared" ref="K531" si="400">I531+J531</f>
        <v>0</v>
      </c>
      <c r="L531" s="716"/>
      <c r="M531" s="689" t="str">
        <f ca="1">IF(AND(G531&gt;0,E531=0),"WARNING - no PRICE inserted",IF(H531="free","FREE ~ no charge this plant",IF(H531="credit",CONCATENATE("-$",ROUND(K531*(1-_xlfn.SINGLE(T2GDiscount))*-1,2)," CREDIT after discount"),IF(_xlfn.SINGLE(T2GDiscount)=0,"",IF(G531=0,"",IF(F531="Buy",CONCATENATE("$",ROUND(K531*(1-_xlfn.SINGLE(T2GDiscount)),2)," with ",(_xlfn.SINGLE(T2GDiscount)*100),"% discount"),CONCATENATE("$",ROUND(K531*(1-_xlfn.SINGLE(T2GDiscount)),2)," with ",((_xlfn.SINGLE(T2GDiscount)*100+F531*100)-(_xlfn.SINGLE(T2GDiscount)*100*F531)),IF(F531&gt;0,"% discounts",IF(_xlfn.SINGLE(NoWarrantyDiscount)&gt;0,"% discounts","% discount")))))))))</f>
        <v/>
      </c>
      <c r="N531" s="690"/>
      <c r="O531" s="486"/>
      <c r="P531" s="486"/>
      <c r="Q531" s="486"/>
      <c r="R531" s="486"/>
      <c r="S531" s="486"/>
      <c r="T531" s="102">
        <f t="shared" si="387"/>
        <v>0</v>
      </c>
      <c r="U531" s="78">
        <f>IF(NOT(ISNUMBER(G531)), "", VLOOKUP(A531,'Discount Lookup'!D:E,2,FALSE)*G531)</f>
        <v>0</v>
      </c>
      <c r="V531" s="78">
        <f>IF(NOT(ISNUMBER(G531)), "", VLOOKUP(A531,'Discount Lookup'!G:H,2,FALSE)*G531)</f>
        <v>0</v>
      </c>
      <c r="W531" s="102">
        <f t="shared" si="388"/>
        <v>0</v>
      </c>
      <c r="X531" s="102">
        <f t="shared" si="389"/>
        <v>0</v>
      </c>
      <c r="Y531" s="120" t="b">
        <f t="shared" si="390"/>
        <v>0</v>
      </c>
      <c r="Z531" s="117">
        <f t="shared" si="391"/>
        <v>0</v>
      </c>
      <c r="AA531" s="118"/>
      <c r="AB531" s="118" t="str">
        <f t="shared" si="392"/>
        <v/>
      </c>
      <c r="AC531" s="712" t="str">
        <f>IF(AE531="T2G","no charge",IF(AND(OR(PlanterYesMe="No",PlanterYesMe="N",PlanterYesMe="me"),H531=""),"",IF(H531="credit","NO install",IF(AND(K531="",AE531="me"),"EACH row",IF(AND(K531="images",AE531="me"),"EACH row",IF(D531="","",IF(H531="credit","",IF(AE531="free","re-planting",IF(AE531="me","   not ELP, by",IF(AND(OR(PlanterYesMe="Yes",PlanterYesMe="Y"),G531&gt;0),(VLOOKUP(A531,'Discount Lookup'!J:K,2)*G531*(1-PlanterDiscount)*(1+PlanterDifficultyPercentage)),IF(AE531="ELP",(VLOOKUP(A531,'Discount Lookup'!J:K,2)*G531*(1-PlanterDiscount)*(1+PlanterDifficultyPercentage)),IF(AE531="free","re-planting",IF(G531=0,"",IF(PlanterYesMe="",IF(AE531="me","   not ELP, by",IF(AE531="",IF(G531&gt;0,(VLOOKUP(A531,'Discount Lookup'!J:K,2)*G531*(1-PlanterDiscount)*(1+PlanterDifficultyPercentage)),""),"")),"   not ELP, by"))))))))))))))</f>
        <v/>
      </c>
      <c r="AD531" s="712"/>
      <c r="AE531" s="513" t="str">
        <f t="shared" si="393"/>
        <v/>
      </c>
      <c r="AF531" s="713" t="str">
        <f t="shared" si="394"/>
        <v/>
      </c>
      <c r="AG531" s="713"/>
      <c r="AH531" s="713"/>
      <c r="AI531" s="112">
        <f>IF(H531="credit",0,IF(AE531="free",0,IF(AE531="me",0,IF(G531&gt;0,(VLOOKUP(A531,'Discount Lookup'!J:K,2)*G531),0))))</f>
        <v>0</v>
      </c>
      <c r="AJ531" s="107" t="str">
        <f t="shared" ca="1" si="395"/>
        <v/>
      </c>
      <c r="AK531" s="714" t="str">
        <f t="shared" si="396"/>
        <v/>
      </c>
      <c r="AL531" s="714"/>
      <c r="AM531" s="114" t="str">
        <f t="shared" si="397"/>
        <v/>
      </c>
      <c r="AN531" s="115"/>
      <c r="AO531" s="116"/>
      <c r="AP531" s="116"/>
      <c r="AQ531" s="116"/>
      <c r="AR531" s="116"/>
      <c r="AS531" s="116"/>
      <c r="AT531" s="116"/>
      <c r="AU531" s="116"/>
      <c r="AV531" s="78"/>
      <c r="AW531" s="102"/>
      <c r="AX531" s="78"/>
      <c r="AY531" s="78"/>
      <c r="AZ531" s="78"/>
      <c r="BA531" s="78"/>
      <c r="BB531" s="78"/>
      <c r="BC531" s="78"/>
      <c r="BD531" s="78"/>
      <c r="BE531" s="465"/>
      <c r="BF531" s="165" t="str">
        <f t="shared" si="398"/>
        <v>https://www.google.com/search?tbm=isch&amp;q=3%20G2</v>
      </c>
      <c r="BG531" s="165" t="str">
        <f t="shared" si="399"/>
        <v>B</v>
      </c>
      <c r="BH531" s="65"/>
      <c r="BI531" s="65"/>
      <c r="BJ531" s="65"/>
      <c r="BK531" s="65"/>
      <c r="BL531" s="99"/>
      <c r="BM531" s="99"/>
      <c r="BN531" s="99"/>
    </row>
    <row r="532" spans="1:66" s="51" customFormat="1" ht="17.25" thickBot="1" x14ac:dyDescent="0.3">
      <c r="A532" s="641" t="s">
        <v>1633</v>
      </c>
      <c r="B532" s="642"/>
      <c r="C532" s="710"/>
      <c r="D532" s="643"/>
      <c r="E532" s="643"/>
      <c r="F532" s="644"/>
      <c r="G532" s="645"/>
      <c r="H532" s="646"/>
      <c r="I532" s="647"/>
      <c r="J532" s="648"/>
      <c r="K532" s="649"/>
      <c r="L532" s="650"/>
      <c r="M532" s="650"/>
      <c r="N532" s="644"/>
      <c r="O532" s="644"/>
      <c r="P532" s="644"/>
      <c r="Q532" s="644"/>
      <c r="R532" s="644"/>
      <c r="S532" s="701" t="s">
        <v>5271</v>
      </c>
      <c r="T532" s="102">
        <f t="shared" si="387"/>
        <v>0</v>
      </c>
      <c r="U532" s="78" t="str">
        <f>IF(NOT(ISNUMBER(G532)), "", VLOOKUP(A532,'Discount Lookup'!D:E,2,FALSE)*G532)</f>
        <v/>
      </c>
      <c r="V532" s="78" t="str">
        <f>IF(NOT(ISNUMBER(G532)), "", VLOOKUP(A532,'Discount Lookup'!G:H,2,FALSE)*G532)</f>
        <v/>
      </c>
      <c r="W532" s="102">
        <f t="shared" si="388"/>
        <v>0</v>
      </c>
      <c r="X532" s="102">
        <f t="shared" si="389"/>
        <v>0</v>
      </c>
      <c r="Y532" s="120" t="b">
        <f t="shared" si="390"/>
        <v>0</v>
      </c>
      <c r="Z532" s="117">
        <f t="shared" si="391"/>
        <v>0</v>
      </c>
      <c r="AA532" s="118"/>
      <c r="AB532" s="118" t="str">
        <f t="shared" si="392"/>
        <v/>
      </c>
      <c r="AC532" s="712" t="str">
        <f>IF(AE532="T2G","no charge",IF(AND(OR(PlanterYesMe="No",PlanterYesMe="N",PlanterYesMe="me"),H532=""),"",IF(H532="credit","NO install",IF(AND(K532="",AE532="me"),"EACH row",IF(AND(K532="images",AE532="me"),"EACH row",IF(D532="","",IF(H532="credit","",IF(AE532="free","re-planting",IF(AE532="me","   not ELP, by",IF(AND(OR(PlanterYesMe="Yes",PlanterYesMe="Y"),G532&gt;0),(VLOOKUP(A532,'Discount Lookup'!J:K,2)*G532*(1-PlanterDiscount)*(1+PlanterDifficultyPercentage)),IF(AE532="ELP",(VLOOKUP(A532,'Discount Lookup'!J:K,2)*G532*(1-PlanterDiscount)*(1+PlanterDifficultyPercentage)),IF(AE532="free","re-planting",IF(G532=0,"",IF(PlanterYesMe="",IF(AE532="me","   not ELP, by",IF(AE532="",IF(G532&gt;0,(VLOOKUP(A532,'Discount Lookup'!J:K,2)*G532*(1-PlanterDiscount)*(1+PlanterDifficultyPercentage)),""),"")),"   not ELP, by"))))))))))))))</f>
        <v/>
      </c>
      <c r="AD532" s="712"/>
      <c r="AE532" s="513" t="str">
        <f t="shared" si="393"/>
        <v/>
      </c>
      <c r="AF532" s="713" t="str">
        <f t="shared" si="394"/>
        <v/>
      </c>
      <c r="AG532" s="713"/>
      <c r="AH532" s="713"/>
      <c r="AI532" s="112">
        <f>IF(H532="credit",0,IF(AE532="free",0,IF(AE532="me",0,IF(G532&gt;0,(VLOOKUP(A532,'Discount Lookup'!J:K,2)*G532),0))))</f>
        <v>0</v>
      </c>
      <c r="AJ532" s="107" t="str">
        <f t="shared" ca="1" si="395"/>
        <v/>
      </c>
      <c r="AK532" s="714" t="str">
        <f t="shared" si="396"/>
        <v/>
      </c>
      <c r="AL532" s="714"/>
      <c r="AM532" s="114" t="str">
        <f t="shared" si="397"/>
        <v/>
      </c>
      <c r="AN532" s="115"/>
      <c r="AO532" s="116"/>
      <c r="AP532" s="116"/>
      <c r="AQ532" s="116"/>
      <c r="AR532" s="116"/>
      <c r="AS532" s="116"/>
      <c r="AT532" s="116"/>
      <c r="AU532" s="116"/>
      <c r="AV532" s="78"/>
      <c r="AW532" s="102"/>
      <c r="AX532" s="78"/>
      <c r="AY532" s="78"/>
      <c r="AZ532" s="78"/>
      <c r="BA532" s="78"/>
      <c r="BB532" s="78"/>
      <c r="BC532" s="78"/>
      <c r="BD532" s="78"/>
      <c r="BE532" s="465"/>
      <c r="BF532" s="165" t="str">
        <f t="shared" si="398"/>
        <v>https://www.google.com/search?tbm=isch&amp;q=Pink%20Cascade%20II%20has%20Green%20foliage%20and%20a%20fragrance.%20All%20BB%20bloom%20summer%20to%20frost%2C%20on%20new%20wood%2C%20so%20cut%20back%20hard%20late%20winter%20</v>
      </c>
      <c r="BG532" s="165" t="str">
        <f t="shared" si="399"/>
        <v>P</v>
      </c>
      <c r="BH532" s="65"/>
      <c r="BI532" s="65"/>
      <c r="BJ532" s="65"/>
      <c r="BK532" s="65"/>
      <c r="BL532" s="99"/>
      <c r="BM532" s="99"/>
      <c r="BN532" s="99"/>
    </row>
    <row r="533" spans="1:66" s="51" customFormat="1" ht="18" x14ac:dyDescent="0.25">
      <c r="A533" s="623" t="s">
        <v>1634</v>
      </c>
      <c r="B533" s="624"/>
      <c r="C533" s="709"/>
      <c r="D533" s="625" t="s">
        <v>5596</v>
      </c>
      <c r="E533" s="626"/>
      <c r="F533" s="626"/>
      <c r="G533" s="626"/>
      <c r="H533" s="622" t="s">
        <v>1104</v>
      </c>
      <c r="I533" s="627" t="s">
        <v>1635</v>
      </c>
      <c r="J533" s="628"/>
      <c r="K533" s="628"/>
      <c r="L533" s="629"/>
      <c r="M533" s="700" t="s">
        <v>5241</v>
      </c>
      <c r="N533" s="693" t="str">
        <f>IF(AND(ISTEXT($A533), ISERROR($A533+0)), HYPERLINK($BF533, "Images"), "")</f>
        <v>Images</v>
      </c>
      <c r="O533" s="695" t="s">
        <v>5244</v>
      </c>
      <c r="P533" s="630"/>
      <c r="Q533" s="631"/>
      <c r="R533" s="632"/>
      <c r="S533" s="633"/>
      <c r="T533" s="102">
        <f t="shared" si="387"/>
        <v>0</v>
      </c>
      <c r="U533" s="78" t="str">
        <f>IF(NOT(ISNUMBER(G533)), "", VLOOKUP(A533,'Discount Lookup'!D:E,2,FALSE)*G533)</f>
        <v/>
      </c>
      <c r="V533" s="78" t="str">
        <f>IF(NOT(ISNUMBER(G533)), "", VLOOKUP(A533,'Discount Lookup'!G:H,2,FALSE)*G533)</f>
        <v/>
      </c>
      <c r="W533" s="102">
        <f t="shared" si="388"/>
        <v>0</v>
      </c>
      <c r="X533" s="102" t="str">
        <f t="shared" si="389"/>
        <v>Fuschia-Pink bloom, Gold eye</v>
      </c>
      <c r="Y533" s="120" t="b">
        <f t="shared" si="390"/>
        <v>0</v>
      </c>
      <c r="Z533" s="117">
        <f t="shared" si="391"/>
        <v>0</v>
      </c>
      <c r="AA533" s="118"/>
      <c r="AB533" s="118" t="str">
        <f t="shared" si="392"/>
        <v/>
      </c>
      <c r="AC533" s="712" t="str">
        <f>IF(AE533="T2G","no charge",IF(AND(OR(PlanterYesMe="No",PlanterYesMe="N",PlanterYesMe="me"),H533=""),"",IF(H533="credit","NO install",IF(AND(K533="",AE533="me"),"EACH row",IF(AND(K533="images",AE533="me"),"EACH row",IF(D533="","",IF(H533="credit","",IF(AE533="free","re-planting",IF(AE533="me","   not ELP, by",IF(AND(OR(PlanterYesMe="Yes",PlanterYesMe="Y"),G533&gt;0),(VLOOKUP(A533,'Discount Lookup'!J:K,2)*G533*(1-PlanterDiscount)*(1+PlanterDifficultyPercentage)),IF(AE533="ELP",(VLOOKUP(A533,'Discount Lookup'!J:K,2)*G533*(1-PlanterDiscount)*(1+PlanterDifficultyPercentage)),IF(AE533="free","re-planting",IF(G533=0,"",IF(PlanterYesMe="",IF(AE533="me","   not ELP, by",IF(AE533="",IF(G533&gt;0,(VLOOKUP(A533,'Discount Lookup'!J:K,2)*G533*(1-PlanterDiscount)*(1+PlanterDifficultyPercentage)),""),"")),"   not ELP, by"))))))))))))))</f>
        <v/>
      </c>
      <c r="AD533" s="712"/>
      <c r="AE533" s="513" t="str">
        <f t="shared" si="393"/>
        <v/>
      </c>
      <c r="AF533" s="713" t="str">
        <f t="shared" si="394"/>
        <v/>
      </c>
      <c r="AG533" s="713"/>
      <c r="AH533" s="713"/>
      <c r="AI533" s="112">
        <f>IF(H533="credit",0,IF(AE533="free",0,IF(AE533="me",0,IF(G533&gt;0,(VLOOKUP(A533,'Discount Lookup'!J:K,2)*G533),0))))</f>
        <v>0</v>
      </c>
      <c r="AJ533" s="107" t="str">
        <f t="shared" ca="1" si="395"/>
        <v/>
      </c>
      <c r="AK533" s="714" t="str">
        <f t="shared" si="396"/>
        <v/>
      </c>
      <c r="AL533" s="714"/>
      <c r="AM533" s="114" t="str">
        <f t="shared" si="397"/>
        <v/>
      </c>
      <c r="AN533" s="115"/>
      <c r="AO533" s="116"/>
      <c r="AP533" s="116"/>
      <c r="AQ533" s="116"/>
      <c r="AR533" s="116"/>
      <c r="AS533" s="116"/>
      <c r="AT533" s="116"/>
      <c r="AU533" s="116"/>
      <c r="AV533" s="78"/>
      <c r="AW533" s="102"/>
      <c r="AX533" s="78"/>
      <c r="AY533" s="78"/>
      <c r="AZ533" s="78"/>
      <c r="BA533" s="78"/>
      <c r="BB533" s="78"/>
      <c r="BC533" s="78"/>
      <c r="BD533" s="78"/>
      <c r="BE533" s="465"/>
      <c r="BF533" s="165" t="str">
        <f t="shared" si="398"/>
        <v>https://www.google.com/search?tbm=isch&amp;q=Buddleia%20%27Podaras%20%2313%27%20PP%2322177%20Tutti%20Fruitti%E2%84%A2%20Butterfly%20Bush</v>
      </c>
      <c r="BG533" s="165" t="str">
        <f t="shared" si="399"/>
        <v>B</v>
      </c>
      <c r="BH533" s="65"/>
      <c r="BI533" s="65"/>
      <c r="BJ533" s="65"/>
      <c r="BK533" s="65"/>
      <c r="BL533" s="99"/>
      <c r="BM533" s="99"/>
      <c r="BN533" s="99"/>
    </row>
    <row r="534" spans="1:66" s="51" customFormat="1" ht="15.75" x14ac:dyDescent="0.25">
      <c r="A534" s="634">
        <v>3</v>
      </c>
      <c r="B534" s="635" t="s">
        <v>291</v>
      </c>
      <c r="C534" s="636" t="s">
        <v>1636</v>
      </c>
      <c r="D534" s="637" t="s">
        <v>293</v>
      </c>
      <c r="E534" s="638">
        <v>40.950000000000003</v>
      </c>
      <c r="F534" s="639" t="s">
        <v>292</v>
      </c>
      <c r="G534" s="484">
        <v>0</v>
      </c>
      <c r="H534" s="691" t="str">
        <f>IF(G534=0,"",IF(F534="Buy",IF(G534=1,"plant","plants"),IF(F534&gt;0.01,"warranty","Error")))</f>
        <v/>
      </c>
      <c r="I534" s="640">
        <f>IF(H534="free",0,IF(H534="credit",((E534*(F534))*G534*-1),IF(F534="Buy",(E534*G534),((E534*(1-F534))*G534))))</f>
        <v>0</v>
      </c>
      <c r="J534" s="640">
        <f>IF(H534="warranty",0,(I534*(_xlfn.SINGLE(SalesTaxPercentage))))</f>
        <v>0</v>
      </c>
      <c r="K534" s="716">
        <f t="shared" ref="K534" si="401">I534+J534</f>
        <v>0</v>
      </c>
      <c r="L534" s="716"/>
      <c r="M534" s="689" t="str">
        <f ca="1">IF(AND(G534&gt;0,E534=0),"WARNING - no PRICE inserted",IF(H534="free","FREE ~ no charge this plant",IF(H534="credit",CONCATENATE("-$",ROUND(K534*(1-_xlfn.SINGLE(T2GDiscount))*-1,2)," CREDIT after discount"),IF(_xlfn.SINGLE(T2GDiscount)=0,"",IF(G534=0,"",IF(F534="Buy",CONCATENATE("$",ROUND(K534*(1-_xlfn.SINGLE(T2GDiscount)),2)," with ",(_xlfn.SINGLE(T2GDiscount)*100),"% discount"),CONCATENATE("$",ROUND(K534*(1-_xlfn.SINGLE(T2GDiscount)),2)," with ",((_xlfn.SINGLE(T2GDiscount)*100+F534*100)-(_xlfn.SINGLE(T2GDiscount)*100*F534)),IF(F534&gt;0,"% discounts",IF(_xlfn.SINGLE(NoWarrantyDiscount)&gt;0,"% discounts","% discount")))))))))</f>
        <v/>
      </c>
      <c r="N534" s="690"/>
      <c r="O534" s="486"/>
      <c r="P534" s="486"/>
      <c r="Q534" s="486"/>
      <c r="R534" s="486"/>
      <c r="S534" s="486"/>
      <c r="T534" s="102">
        <f t="shared" si="387"/>
        <v>0</v>
      </c>
      <c r="U534" s="78">
        <f>IF(NOT(ISNUMBER(G534)), "", VLOOKUP(A534,'Discount Lookup'!D:E,2,FALSE)*G534)</f>
        <v>0</v>
      </c>
      <c r="V534" s="78">
        <f>IF(NOT(ISNUMBER(G534)), "", VLOOKUP(A534,'Discount Lookup'!G:H,2,FALSE)*G534)</f>
        <v>0</v>
      </c>
      <c r="W534" s="102">
        <f t="shared" si="388"/>
        <v>0</v>
      </c>
      <c r="X534" s="102">
        <f t="shared" si="389"/>
        <v>0</v>
      </c>
      <c r="Y534" s="120" t="b">
        <f t="shared" si="390"/>
        <v>0</v>
      </c>
      <c r="Z534" s="117">
        <f t="shared" si="391"/>
        <v>0</v>
      </c>
      <c r="AA534" s="118"/>
      <c r="AB534" s="118" t="str">
        <f t="shared" si="392"/>
        <v/>
      </c>
      <c r="AC534" s="712" t="str">
        <f>IF(AE534="T2G","no charge",IF(AND(OR(PlanterYesMe="No",PlanterYesMe="N",PlanterYesMe="me"),H534=""),"",IF(H534="credit","NO install",IF(AND(K534="",AE534="me"),"EACH row",IF(AND(K534="images",AE534="me"),"EACH row",IF(D534="","",IF(H534="credit","",IF(AE534="free","re-planting",IF(AE534="me","   not ELP, by",IF(AND(OR(PlanterYesMe="Yes",PlanterYesMe="Y"),G534&gt;0),(VLOOKUP(A534,'Discount Lookup'!J:K,2)*G534*(1-PlanterDiscount)*(1+PlanterDifficultyPercentage)),IF(AE534="ELP",(VLOOKUP(A534,'Discount Lookup'!J:K,2)*G534*(1-PlanterDiscount)*(1+PlanterDifficultyPercentage)),IF(AE534="free","re-planting",IF(G534=0,"",IF(PlanterYesMe="",IF(AE534="me","   not ELP, by",IF(AE534="",IF(G534&gt;0,(VLOOKUP(A534,'Discount Lookup'!J:K,2)*G534*(1-PlanterDiscount)*(1+PlanterDifficultyPercentage)),""),"")),"   not ELP, by"))))))))))))))</f>
        <v/>
      </c>
      <c r="AD534" s="712"/>
      <c r="AE534" s="513" t="str">
        <f t="shared" si="393"/>
        <v/>
      </c>
      <c r="AF534" s="713" t="str">
        <f t="shared" si="394"/>
        <v/>
      </c>
      <c r="AG534" s="713"/>
      <c r="AH534" s="713"/>
      <c r="AI534" s="112">
        <f>IF(H534="credit",0,IF(AE534="free",0,IF(AE534="me",0,IF(G534&gt;0,(VLOOKUP(A534,'Discount Lookup'!J:K,2)*G534),0))))</f>
        <v>0</v>
      </c>
      <c r="AJ534" s="107" t="str">
        <f t="shared" ca="1" si="395"/>
        <v/>
      </c>
      <c r="AK534" s="714" t="str">
        <f t="shared" si="396"/>
        <v/>
      </c>
      <c r="AL534" s="714"/>
      <c r="AM534" s="114" t="str">
        <f t="shared" si="397"/>
        <v/>
      </c>
      <c r="AN534" s="115"/>
      <c r="AO534" s="116"/>
      <c r="AP534" s="116"/>
      <c r="AQ534" s="116"/>
      <c r="AR534" s="116"/>
      <c r="AS534" s="116"/>
      <c r="AT534" s="116"/>
      <c r="AU534" s="116"/>
      <c r="AV534" s="78"/>
      <c r="AW534" s="102"/>
      <c r="AX534" s="78"/>
      <c r="AY534" s="78"/>
      <c r="AZ534" s="78"/>
      <c r="BA534" s="78"/>
      <c r="BB534" s="78"/>
      <c r="BC534" s="78"/>
      <c r="BD534" s="78"/>
      <c r="BE534" s="465"/>
      <c r="BF534" s="165" t="str">
        <f t="shared" si="398"/>
        <v>https://www.google.com/search?tbm=isch&amp;q=3%20G6</v>
      </c>
      <c r="BG534" s="165" t="str">
        <f t="shared" si="399"/>
        <v>B</v>
      </c>
      <c r="BH534" s="65"/>
      <c r="BI534" s="65"/>
      <c r="BJ534" s="65"/>
      <c r="BK534" s="65"/>
      <c r="BL534" s="99"/>
      <c r="BM534" s="99"/>
      <c r="BN534" s="99"/>
    </row>
    <row r="535" spans="1:66" s="51" customFormat="1" ht="17.25" thickBot="1" x14ac:dyDescent="0.3">
      <c r="A535" s="641" t="s">
        <v>4678</v>
      </c>
      <c r="B535" s="642"/>
      <c r="C535" s="710"/>
      <c r="D535" s="643"/>
      <c r="E535" s="643"/>
      <c r="F535" s="644"/>
      <c r="G535" s="645"/>
      <c r="H535" s="646"/>
      <c r="I535" s="647"/>
      <c r="J535" s="648"/>
      <c r="K535" s="649"/>
      <c r="L535" s="650"/>
      <c r="M535" s="650"/>
      <c r="N535" s="644"/>
      <c r="O535" s="644"/>
      <c r="P535" s="644"/>
      <c r="Q535" s="644"/>
      <c r="R535" s="644"/>
      <c r="S535" s="701" t="s">
        <v>5271</v>
      </c>
      <c r="T535" s="102">
        <f t="shared" si="387"/>
        <v>0</v>
      </c>
      <c r="U535" s="78" t="str">
        <f>IF(NOT(ISNUMBER(G535)), "", VLOOKUP(A535,'Discount Lookup'!D:E,2,FALSE)*G535)</f>
        <v/>
      </c>
      <c r="V535" s="78" t="str">
        <f>IF(NOT(ISNUMBER(G535)), "", VLOOKUP(A535,'Discount Lookup'!G:H,2,FALSE)*G535)</f>
        <v/>
      </c>
      <c r="W535" s="102">
        <f t="shared" si="388"/>
        <v>0</v>
      </c>
      <c r="X535" s="102">
        <f t="shared" si="389"/>
        <v>0</v>
      </c>
      <c r="Y535" s="120" t="b">
        <f t="shared" si="390"/>
        <v>0</v>
      </c>
      <c r="Z535" s="117">
        <f t="shared" si="391"/>
        <v>0</v>
      </c>
      <c r="AA535" s="118"/>
      <c r="AB535" s="118" t="str">
        <f t="shared" si="392"/>
        <v/>
      </c>
      <c r="AC535" s="712" t="str">
        <f>IF(AE535="T2G","no charge",IF(AND(OR(PlanterYesMe="No",PlanterYesMe="N",PlanterYesMe="me"),H535=""),"",IF(H535="credit","NO install",IF(AND(K535="",AE535="me"),"EACH row",IF(AND(K535="images",AE535="me"),"EACH row",IF(D535="","",IF(H535="credit","",IF(AE535="free","re-planting",IF(AE535="me","   not ELP, by",IF(AND(OR(PlanterYesMe="Yes",PlanterYesMe="Y"),G535&gt;0),(VLOOKUP(A535,'Discount Lookup'!J:K,2)*G535*(1-PlanterDiscount)*(1+PlanterDifficultyPercentage)),IF(AE535="ELP",(VLOOKUP(A535,'Discount Lookup'!J:K,2)*G535*(1-PlanterDiscount)*(1+PlanterDifficultyPercentage)),IF(AE535="free","re-planting",IF(G535=0,"",IF(PlanterYesMe="",IF(AE535="me","   not ELP, by",IF(AE535="",IF(G535&gt;0,(VLOOKUP(A535,'Discount Lookup'!J:K,2)*G535*(1-PlanterDiscount)*(1+PlanterDifficultyPercentage)),""),"")),"   not ELP, by"))))))))))))))</f>
        <v/>
      </c>
      <c r="AD535" s="712"/>
      <c r="AE535" s="513" t="str">
        <f t="shared" si="393"/>
        <v/>
      </c>
      <c r="AF535" s="713" t="str">
        <f t="shared" si="394"/>
        <v/>
      </c>
      <c r="AG535" s="713"/>
      <c r="AH535" s="713"/>
      <c r="AI535" s="112">
        <f>IF(H535="credit",0,IF(AE535="free",0,IF(AE535="me",0,IF(G535&gt;0,(VLOOKUP(A535,'Discount Lookup'!J:K,2)*G535),0))))</f>
        <v>0</v>
      </c>
      <c r="AJ535" s="107" t="str">
        <f t="shared" ca="1" si="395"/>
        <v/>
      </c>
      <c r="AK535" s="714" t="str">
        <f t="shared" si="396"/>
        <v/>
      </c>
      <c r="AL535" s="714"/>
      <c r="AM535" s="114" t="str">
        <f t="shared" si="397"/>
        <v/>
      </c>
      <c r="AN535" s="115"/>
      <c r="AO535" s="116"/>
      <c r="AP535" s="116"/>
      <c r="AQ535" s="116"/>
      <c r="AR535" s="116"/>
      <c r="AS535" s="116"/>
      <c r="AT535" s="116"/>
      <c r="AU535" s="116"/>
      <c r="AV535" s="78"/>
      <c r="AW535" s="102"/>
      <c r="AX535" s="78"/>
      <c r="AY535" s="78"/>
      <c r="AZ535" s="78"/>
      <c r="BA535" s="78"/>
      <c r="BB535" s="78"/>
      <c r="BC535" s="78"/>
      <c r="BD535" s="78"/>
      <c r="BE535" s="465"/>
      <c r="BF535" s="165" t="str">
        <f t="shared" si="398"/>
        <v>https://www.google.com/search?tbm=isch&amp;q=Tutti%20Fruitti%20has%20Gray-Green%20foliage%20and%20a%20fragrance.%20All%20BB%20bloom%20summer%20to%20frost%2C%20on%20new%20wood%2C%20so%20cut%20back%20hard%20late%20winter%20</v>
      </c>
      <c r="BG535" s="165" t="str">
        <f t="shared" si="399"/>
        <v>T</v>
      </c>
      <c r="BH535" s="65"/>
      <c r="BI535" s="65"/>
      <c r="BJ535" s="65"/>
      <c r="BK535" s="65"/>
      <c r="BL535" s="99"/>
      <c r="BM535" s="99"/>
      <c r="BN535" s="99"/>
    </row>
    <row r="536" spans="1:66" s="51" customFormat="1" ht="18" x14ac:dyDescent="0.25">
      <c r="A536" s="623" t="s">
        <v>1637</v>
      </c>
      <c r="B536" s="624"/>
      <c r="C536" s="709"/>
      <c r="D536" s="625" t="s">
        <v>5597</v>
      </c>
      <c r="E536" s="626"/>
      <c r="F536" s="626"/>
      <c r="G536" s="626"/>
      <c r="H536" s="622" t="s">
        <v>1104</v>
      </c>
      <c r="I536" s="627" t="s">
        <v>1638</v>
      </c>
      <c r="J536" s="628"/>
      <c r="K536" s="628"/>
      <c r="L536" s="629"/>
      <c r="M536" s="700" t="s">
        <v>5241</v>
      </c>
      <c r="N536" s="693" t="str">
        <f>IF(AND(ISTEXT($A536), ISERROR($A536+0)), HYPERLINK($BF536, "Images"), "")</f>
        <v>Images</v>
      </c>
      <c r="O536" s="695" t="s">
        <v>5244</v>
      </c>
      <c r="P536" s="630"/>
      <c r="Q536" s="631"/>
      <c r="R536" s="632"/>
      <c r="S536" s="633"/>
      <c r="T536" s="102">
        <f t="shared" si="387"/>
        <v>0</v>
      </c>
      <c r="U536" s="78" t="str">
        <f>IF(NOT(ISNUMBER(G536)), "", VLOOKUP(A536,'Discount Lookup'!D:E,2,FALSE)*G536)</f>
        <v/>
      </c>
      <c r="V536" s="78" t="str">
        <f>IF(NOT(ISNUMBER(G536)), "", VLOOKUP(A536,'Discount Lookup'!G:H,2,FALSE)*G536)</f>
        <v/>
      </c>
      <c r="W536" s="102">
        <f t="shared" si="388"/>
        <v>0</v>
      </c>
      <c r="X536" s="102" t="str">
        <f t="shared" si="389"/>
        <v>Purple bloom, White &amp; Yellw eyes</v>
      </c>
      <c r="Y536" s="120" t="b">
        <f t="shared" si="390"/>
        <v>0</v>
      </c>
      <c r="Z536" s="117">
        <f t="shared" si="391"/>
        <v>0</v>
      </c>
      <c r="AA536" s="118"/>
      <c r="AB536" s="118" t="str">
        <f t="shared" si="392"/>
        <v/>
      </c>
      <c r="AC536" s="712" t="str">
        <f>IF(AE536="T2G","no charge",IF(AND(OR(PlanterYesMe="No",PlanterYesMe="N",PlanterYesMe="me"),H536=""),"",IF(H536="credit","NO install",IF(AND(K536="",AE536="me"),"EACH row",IF(AND(K536="images",AE536="me"),"EACH row",IF(D536="","",IF(H536="credit","",IF(AE536="free","re-planting",IF(AE536="me","   not ELP, by",IF(AND(OR(PlanterYesMe="Yes",PlanterYesMe="Y"),G536&gt;0),(VLOOKUP(A536,'Discount Lookup'!J:K,2)*G536*(1-PlanterDiscount)*(1+PlanterDifficultyPercentage)),IF(AE536="ELP",(VLOOKUP(A536,'Discount Lookup'!J:K,2)*G536*(1-PlanterDiscount)*(1+PlanterDifficultyPercentage)),IF(AE536="free","re-planting",IF(G536=0,"",IF(PlanterYesMe="",IF(AE536="me","   not ELP, by",IF(AE536="",IF(G536&gt;0,(VLOOKUP(A536,'Discount Lookup'!J:K,2)*G536*(1-PlanterDiscount)*(1+PlanterDifficultyPercentage)),""),"")),"   not ELP, by"))))))))))))))</f>
        <v/>
      </c>
      <c r="AD536" s="712"/>
      <c r="AE536" s="513" t="str">
        <f t="shared" si="393"/>
        <v/>
      </c>
      <c r="AF536" s="713" t="str">
        <f t="shared" si="394"/>
        <v/>
      </c>
      <c r="AG536" s="713"/>
      <c r="AH536" s="713"/>
      <c r="AI536" s="112">
        <f>IF(H536="credit",0,IF(AE536="free",0,IF(AE536="me",0,IF(G536&gt;0,(VLOOKUP(A536,'Discount Lookup'!J:K,2)*G536),0))))</f>
        <v>0</v>
      </c>
      <c r="AJ536" s="107" t="str">
        <f t="shared" ca="1" si="395"/>
        <v/>
      </c>
      <c r="AK536" s="714" t="str">
        <f t="shared" si="396"/>
        <v/>
      </c>
      <c r="AL536" s="714"/>
      <c r="AM536" s="114" t="str">
        <f t="shared" si="397"/>
        <v/>
      </c>
      <c r="AN536" s="115"/>
      <c r="AO536" s="116"/>
      <c r="AP536" s="116"/>
      <c r="AQ536" s="116"/>
      <c r="AR536" s="116"/>
      <c r="AS536" s="116"/>
      <c r="AT536" s="116"/>
      <c r="AU536" s="116"/>
      <c r="AV536" s="78"/>
      <c r="AW536" s="102"/>
      <c r="AX536" s="78"/>
      <c r="AY536" s="78"/>
      <c r="AZ536" s="78"/>
      <c r="BA536" s="78"/>
      <c r="BB536" s="78"/>
      <c r="BC536" s="78"/>
      <c r="BD536" s="78"/>
      <c r="BE536" s="465"/>
      <c r="BF536" s="165" t="str">
        <f t="shared" si="398"/>
        <v>https://www.google.com/search?tbm=isch&amp;q=Buddleia%20%27PODARASNGA%209-15%27%20PPAF%20Blueberry%20Pie%E2%84%A2%20Butterfly%20Bush</v>
      </c>
      <c r="BG536" s="165" t="str">
        <f t="shared" si="399"/>
        <v>B</v>
      </c>
      <c r="BH536" s="65"/>
      <c r="BI536" s="65"/>
      <c r="BJ536" s="65"/>
      <c r="BK536" s="65"/>
      <c r="BL536" s="99"/>
      <c r="BM536" s="99"/>
      <c r="BN536" s="99"/>
    </row>
    <row r="537" spans="1:66" s="51" customFormat="1" ht="15.75" x14ac:dyDescent="0.25">
      <c r="A537" s="634">
        <v>1</v>
      </c>
      <c r="B537" s="635" t="s">
        <v>291</v>
      </c>
      <c r="C537" s="636" t="s">
        <v>1639</v>
      </c>
      <c r="D537" s="637" t="s">
        <v>329</v>
      </c>
      <c r="E537" s="638">
        <v>30.95</v>
      </c>
      <c r="F537" s="639" t="s">
        <v>292</v>
      </c>
      <c r="G537" s="484">
        <v>0</v>
      </c>
      <c r="H537" s="691" t="str">
        <f>IF(G537=0,"",IF(F537="Buy",IF(G537=1,"plant","plants"),IF(F537&gt;0.01,"warranty","Error")))</f>
        <v/>
      </c>
      <c r="I537" s="640">
        <f>IF(H537="free",0,IF(H537="credit",((E537*(F537))*G537*-1),IF(F537="Buy",(E537*G537),((E537*(1-F537))*G537))))</f>
        <v>0</v>
      </c>
      <c r="J537" s="640">
        <f>IF(H537="warranty",0,(I537*(_xlfn.SINGLE(SalesTaxPercentage))))</f>
        <v>0</v>
      </c>
      <c r="K537" s="716">
        <f t="shared" ref="K537" si="402">I537+J537</f>
        <v>0</v>
      </c>
      <c r="L537" s="716"/>
      <c r="M537" s="689" t="str">
        <f ca="1">IF(AND(G537&gt;0,E537=0),"WARNING - no PRICE inserted",IF(H537="free","FREE ~ no charge this plant",IF(H537="credit",CONCATENATE("-$",ROUND(K537*(1-_xlfn.SINGLE(T2GDiscount))*-1,2)," CREDIT after discount"),IF(_xlfn.SINGLE(T2GDiscount)=0,"",IF(G537=0,"",IF(F537="Buy",CONCATENATE("$",ROUND(K537*(1-_xlfn.SINGLE(T2GDiscount)),2)," with ",(_xlfn.SINGLE(T2GDiscount)*100),"% discount"),CONCATENATE("$",ROUND(K537*(1-_xlfn.SINGLE(T2GDiscount)),2)," with ",((_xlfn.SINGLE(T2GDiscount)*100+F537*100)-(_xlfn.SINGLE(T2GDiscount)*100*F537)),IF(F537&gt;0,"% discounts",IF(_xlfn.SINGLE(NoWarrantyDiscount)&gt;0,"% discounts","% discount")))))))))</f>
        <v/>
      </c>
      <c r="N537" s="690"/>
      <c r="O537" s="486"/>
      <c r="P537" s="486"/>
      <c r="Q537" s="486"/>
      <c r="R537" s="486"/>
      <c r="S537" s="486"/>
      <c r="T537" s="102">
        <f t="shared" si="387"/>
        <v>0</v>
      </c>
      <c r="U537" s="78">
        <f>IF(NOT(ISNUMBER(G537)), "", VLOOKUP(A537,'Discount Lookup'!D:E,2,FALSE)*G537)</f>
        <v>0</v>
      </c>
      <c r="V537" s="78">
        <f>IF(NOT(ISNUMBER(G537)), "", VLOOKUP(A537,'Discount Lookup'!G:H,2,FALSE)*G537)</f>
        <v>0</v>
      </c>
      <c r="W537" s="102">
        <f t="shared" si="388"/>
        <v>0</v>
      </c>
      <c r="X537" s="102">
        <f t="shared" si="389"/>
        <v>0</v>
      </c>
      <c r="Y537" s="120" t="b">
        <f t="shared" si="390"/>
        <v>0</v>
      </c>
      <c r="Z537" s="117">
        <f t="shared" si="391"/>
        <v>0</v>
      </c>
      <c r="AA537" s="118"/>
      <c r="AB537" s="118" t="str">
        <f t="shared" si="392"/>
        <v/>
      </c>
      <c r="AC537" s="712" t="str">
        <f>IF(AE537="T2G","no charge",IF(AND(OR(PlanterYesMe="No",PlanterYesMe="N",PlanterYesMe="me"),H537=""),"",IF(H537="credit","NO install",IF(AND(K537="",AE537="me"),"EACH row",IF(AND(K537="images",AE537="me"),"EACH row",IF(D537="","",IF(H537="credit","",IF(AE537="free","re-planting",IF(AE537="me","   not ELP, by",IF(AND(OR(PlanterYesMe="Yes",PlanterYesMe="Y"),G537&gt;0),(VLOOKUP(A537,'Discount Lookup'!J:K,2)*G537*(1-PlanterDiscount)*(1+PlanterDifficultyPercentage)),IF(AE537="ELP",(VLOOKUP(A537,'Discount Lookup'!J:K,2)*G537*(1-PlanterDiscount)*(1+PlanterDifficultyPercentage)),IF(AE537="free","re-planting",IF(G537=0,"",IF(PlanterYesMe="",IF(AE537="me","   not ELP, by",IF(AE537="",IF(G537&gt;0,(VLOOKUP(A537,'Discount Lookup'!J:K,2)*G537*(1-PlanterDiscount)*(1+PlanterDifficultyPercentage)),""),"")),"   not ELP, by"))))))))))))))</f>
        <v/>
      </c>
      <c r="AD537" s="712"/>
      <c r="AE537" s="513" t="str">
        <f t="shared" si="393"/>
        <v/>
      </c>
      <c r="AF537" s="713" t="str">
        <f t="shared" si="394"/>
        <v/>
      </c>
      <c r="AG537" s="713"/>
      <c r="AH537" s="713"/>
      <c r="AI537" s="112">
        <f>IF(H537="credit",0,IF(AE537="free",0,IF(AE537="me",0,IF(G537&gt;0,(VLOOKUP(A537,'Discount Lookup'!J:K,2)*G537),0))))</f>
        <v>0</v>
      </c>
      <c r="AJ537" s="107" t="str">
        <f t="shared" ca="1" si="395"/>
        <v/>
      </c>
      <c r="AK537" s="714" t="str">
        <f t="shared" si="396"/>
        <v/>
      </c>
      <c r="AL537" s="714"/>
      <c r="AM537" s="114" t="str">
        <f t="shared" si="397"/>
        <v/>
      </c>
      <c r="AN537" s="115"/>
      <c r="AO537" s="116"/>
      <c r="AP537" s="116"/>
      <c r="AQ537" s="116"/>
      <c r="AR537" s="116"/>
      <c r="AS537" s="116"/>
      <c r="AT537" s="116"/>
      <c r="AU537" s="116"/>
      <c r="AV537" s="78"/>
      <c r="AW537" s="102"/>
      <c r="AX537" s="78"/>
      <c r="AY537" s="78"/>
      <c r="AZ537" s="78"/>
      <c r="BA537" s="78"/>
      <c r="BB537" s="78"/>
      <c r="BC537" s="78"/>
      <c r="BD537" s="78"/>
      <c r="BE537" s="465"/>
      <c r="BF537" s="165" t="str">
        <f t="shared" si="398"/>
        <v>https://www.google.com/search?tbm=isch&amp;q=1%20G2</v>
      </c>
      <c r="BG537" s="165" t="str">
        <f t="shared" si="399"/>
        <v>B</v>
      </c>
      <c r="BH537" s="65"/>
      <c r="BI537" s="65"/>
      <c r="BJ537" s="65"/>
      <c r="BK537" s="65"/>
      <c r="BL537" s="99"/>
      <c r="BM537" s="99"/>
      <c r="BN537" s="99"/>
    </row>
    <row r="538" spans="1:66" s="51" customFormat="1" ht="15.75" x14ac:dyDescent="0.25">
      <c r="A538" s="634">
        <v>3</v>
      </c>
      <c r="B538" s="635" t="s">
        <v>291</v>
      </c>
      <c r="C538" s="636" t="s">
        <v>1640</v>
      </c>
      <c r="D538" s="637" t="s">
        <v>329</v>
      </c>
      <c r="E538" s="638">
        <v>32.950000000000003</v>
      </c>
      <c r="F538" s="639" t="s">
        <v>292</v>
      </c>
      <c r="G538" s="484">
        <v>0</v>
      </c>
      <c r="H538" s="691" t="str">
        <f>IF(G538=0,"",IF(F538="Buy",IF(G538=1,"plant","plants"),IF(F538&gt;0.01,"warranty","Error")))</f>
        <v/>
      </c>
      <c r="I538" s="640">
        <f>IF(H538="free",0,IF(H538="credit",((E538*(F538))*G538*-1),IF(F538="Buy",(E538*G538),((E538*(1-F538))*G538))))</f>
        <v>0</v>
      </c>
      <c r="J538" s="640">
        <f>IF(H538="warranty",0,(I538*(_xlfn.SINGLE(SalesTaxPercentage))))</f>
        <v>0</v>
      </c>
      <c r="K538" s="716">
        <f t="shared" ref="K538" si="403">I538+J538</f>
        <v>0</v>
      </c>
      <c r="L538" s="716"/>
      <c r="M538" s="689" t="str">
        <f ca="1">IF(AND(G538&gt;0,E538=0),"WARNING - no PRICE inserted",IF(H538="free","FREE ~ no charge this plant",IF(H538="credit",CONCATENATE("-$",ROUND(K538*(1-_xlfn.SINGLE(T2GDiscount))*-1,2)," CREDIT after discount"),IF(_xlfn.SINGLE(T2GDiscount)=0,"",IF(G538=0,"",IF(F538="Buy",CONCATENATE("$",ROUND(K538*(1-_xlfn.SINGLE(T2GDiscount)),2)," with ",(_xlfn.SINGLE(T2GDiscount)*100),"% discount"),CONCATENATE("$",ROUND(K538*(1-_xlfn.SINGLE(T2GDiscount)),2)," with ",((_xlfn.SINGLE(T2GDiscount)*100+F538*100)-(_xlfn.SINGLE(T2GDiscount)*100*F538)),IF(F538&gt;0,"% discounts",IF(_xlfn.SINGLE(NoWarrantyDiscount)&gt;0,"% discounts","% discount")))))))))</f>
        <v/>
      </c>
      <c r="N538" s="690"/>
      <c r="O538" s="486"/>
      <c r="P538" s="486"/>
      <c r="Q538" s="486"/>
      <c r="R538" s="486"/>
      <c r="S538" s="486"/>
      <c r="T538" s="102">
        <f t="shared" si="387"/>
        <v>0</v>
      </c>
      <c r="U538" s="78">
        <f>IF(NOT(ISNUMBER(G538)), "", VLOOKUP(A538,'Discount Lookup'!D:E,2,FALSE)*G538)</f>
        <v>0</v>
      </c>
      <c r="V538" s="78">
        <f>IF(NOT(ISNUMBER(G538)), "", VLOOKUP(A538,'Discount Lookup'!G:H,2,FALSE)*G538)</f>
        <v>0</v>
      </c>
      <c r="W538" s="102">
        <f t="shared" si="388"/>
        <v>0</v>
      </c>
      <c r="X538" s="102">
        <f t="shared" si="389"/>
        <v>0</v>
      </c>
      <c r="Y538" s="120" t="b">
        <f t="shared" si="390"/>
        <v>0</v>
      </c>
      <c r="Z538" s="117">
        <f t="shared" si="391"/>
        <v>0</v>
      </c>
      <c r="AA538" s="118"/>
      <c r="AB538" s="118" t="str">
        <f t="shared" si="392"/>
        <v/>
      </c>
      <c r="AC538" s="712" t="str">
        <f>IF(AE538="T2G","no charge",IF(AND(OR(PlanterYesMe="No",PlanterYesMe="N",PlanterYesMe="me"),H538=""),"",IF(H538="credit","NO install",IF(AND(K538="",AE538="me"),"EACH row",IF(AND(K538="images",AE538="me"),"EACH row",IF(D538="","",IF(H538="credit","",IF(AE538="free","re-planting",IF(AE538="me","   not ELP, by",IF(AND(OR(PlanterYesMe="Yes",PlanterYesMe="Y"),G538&gt;0),(VLOOKUP(A538,'Discount Lookup'!J:K,2)*G538*(1-PlanterDiscount)*(1+PlanterDifficultyPercentage)),IF(AE538="ELP",(VLOOKUP(A538,'Discount Lookup'!J:K,2)*G538*(1-PlanterDiscount)*(1+PlanterDifficultyPercentage)),IF(AE538="free","re-planting",IF(G538=0,"",IF(PlanterYesMe="",IF(AE538="me","   not ELP, by",IF(AE538="",IF(G538&gt;0,(VLOOKUP(A538,'Discount Lookup'!J:K,2)*G538*(1-PlanterDiscount)*(1+PlanterDifficultyPercentage)),""),"")),"   not ELP, by"))))))))))))))</f>
        <v/>
      </c>
      <c r="AD538" s="712"/>
      <c r="AE538" s="513" t="str">
        <f t="shared" si="393"/>
        <v/>
      </c>
      <c r="AF538" s="713" t="str">
        <f t="shared" si="394"/>
        <v/>
      </c>
      <c r="AG538" s="713"/>
      <c r="AH538" s="713"/>
      <c r="AI538" s="112">
        <f>IF(H538="credit",0,IF(AE538="free",0,IF(AE538="me",0,IF(G538&gt;0,(VLOOKUP(A538,'Discount Lookup'!J:K,2)*G538),0))))</f>
        <v>0</v>
      </c>
      <c r="AJ538" s="107" t="str">
        <f t="shared" ca="1" si="395"/>
        <v/>
      </c>
      <c r="AK538" s="714" t="str">
        <f t="shared" si="396"/>
        <v/>
      </c>
      <c r="AL538" s="714"/>
      <c r="AM538" s="114" t="str">
        <f t="shared" si="397"/>
        <v/>
      </c>
      <c r="AN538" s="115"/>
      <c r="AO538" s="116"/>
      <c r="AP538" s="116"/>
      <c r="AQ538" s="116"/>
      <c r="AR538" s="116"/>
      <c r="AS538" s="116"/>
      <c r="AT538" s="116"/>
      <c r="AU538" s="116"/>
      <c r="AV538" s="78"/>
      <c r="AW538" s="102"/>
      <c r="AX538" s="78"/>
      <c r="AY538" s="78"/>
      <c r="AZ538" s="78"/>
      <c r="BA538" s="78"/>
      <c r="BB538" s="78"/>
      <c r="BC538" s="78"/>
      <c r="BD538" s="78"/>
      <c r="BE538" s="465"/>
      <c r="BF538" s="165" t="str">
        <f t="shared" si="398"/>
        <v>https://www.google.com/search?tbm=isch&amp;q=3%20G2</v>
      </c>
      <c r="BG538" s="165" t="str">
        <f t="shared" si="399"/>
        <v>B</v>
      </c>
      <c r="BH538" s="65"/>
      <c r="BI538" s="65"/>
      <c r="BJ538" s="65"/>
      <c r="BK538" s="65"/>
      <c r="BL538" s="99"/>
      <c r="BM538" s="99"/>
      <c r="BN538" s="99"/>
    </row>
    <row r="539" spans="1:66" s="51" customFormat="1" ht="17.25" thickBot="1" x14ac:dyDescent="0.3">
      <c r="A539" s="641" t="s">
        <v>4679</v>
      </c>
      <c r="B539" s="642"/>
      <c r="C539" s="710"/>
      <c r="D539" s="643"/>
      <c r="E539" s="643"/>
      <c r="F539" s="644"/>
      <c r="G539" s="645"/>
      <c r="H539" s="646"/>
      <c r="I539" s="647"/>
      <c r="J539" s="648"/>
      <c r="K539" s="649"/>
      <c r="L539" s="650"/>
      <c r="M539" s="650"/>
      <c r="N539" s="644"/>
      <c r="O539" s="644"/>
      <c r="P539" s="644"/>
      <c r="Q539" s="644"/>
      <c r="R539" s="644"/>
      <c r="S539" s="701" t="s">
        <v>5271</v>
      </c>
      <c r="T539" s="102">
        <f t="shared" si="387"/>
        <v>0</v>
      </c>
      <c r="U539" s="78" t="str">
        <f>IF(NOT(ISNUMBER(G539)), "", VLOOKUP(A539,'Discount Lookup'!D:E,2,FALSE)*G539)</f>
        <v/>
      </c>
      <c r="V539" s="78" t="str">
        <f>IF(NOT(ISNUMBER(G539)), "", VLOOKUP(A539,'Discount Lookup'!G:H,2,FALSE)*G539)</f>
        <v/>
      </c>
      <c r="W539" s="102">
        <f t="shared" si="388"/>
        <v>0</v>
      </c>
      <c r="X539" s="102">
        <f t="shared" si="389"/>
        <v>0</v>
      </c>
      <c r="Y539" s="120" t="b">
        <f t="shared" si="390"/>
        <v>0</v>
      </c>
      <c r="Z539" s="117">
        <f t="shared" si="391"/>
        <v>0</v>
      </c>
      <c r="AA539" s="118"/>
      <c r="AB539" s="118" t="str">
        <f t="shared" si="392"/>
        <v/>
      </c>
      <c r="AC539" s="712" t="str">
        <f>IF(AE539="T2G","no charge",IF(AND(OR(PlanterYesMe="No",PlanterYesMe="N",PlanterYesMe="me"),H539=""),"",IF(H539="credit","NO install",IF(AND(K539="",AE539="me"),"EACH row",IF(AND(K539="images",AE539="me"),"EACH row",IF(D539="","",IF(H539="credit","",IF(AE539="free","re-planting",IF(AE539="me","   not ELP, by",IF(AND(OR(PlanterYesMe="Yes",PlanterYesMe="Y"),G539&gt;0),(VLOOKUP(A539,'Discount Lookup'!J:K,2)*G539*(1-PlanterDiscount)*(1+PlanterDifficultyPercentage)),IF(AE539="ELP",(VLOOKUP(A539,'Discount Lookup'!J:K,2)*G539*(1-PlanterDiscount)*(1+PlanterDifficultyPercentage)),IF(AE539="free","re-planting",IF(G539=0,"",IF(PlanterYesMe="",IF(AE539="me","   not ELP, by",IF(AE539="",IF(G539&gt;0,(VLOOKUP(A539,'Discount Lookup'!J:K,2)*G539*(1-PlanterDiscount)*(1+PlanterDifficultyPercentage)),""),"")),"   not ELP, by"))))))))))))))</f>
        <v/>
      </c>
      <c r="AD539" s="712"/>
      <c r="AE539" s="513" t="str">
        <f t="shared" si="393"/>
        <v/>
      </c>
      <c r="AF539" s="713" t="str">
        <f t="shared" si="394"/>
        <v/>
      </c>
      <c r="AG539" s="713"/>
      <c r="AH539" s="713"/>
      <c r="AI539" s="112">
        <f>IF(H539="credit",0,IF(AE539="free",0,IF(AE539="me",0,IF(G539&gt;0,(VLOOKUP(A539,'Discount Lookup'!J:K,2)*G539),0))))</f>
        <v>0</v>
      </c>
      <c r="AJ539" s="107" t="str">
        <f t="shared" ca="1" si="395"/>
        <v/>
      </c>
      <c r="AK539" s="714" t="str">
        <f t="shared" si="396"/>
        <v/>
      </c>
      <c r="AL539" s="714"/>
      <c r="AM539" s="114" t="str">
        <f t="shared" si="397"/>
        <v/>
      </c>
      <c r="AN539" s="115"/>
      <c r="AO539" s="116"/>
      <c r="AP539" s="116"/>
      <c r="AQ539" s="116"/>
      <c r="AR539" s="116"/>
      <c r="AS539" s="116"/>
      <c r="AT539" s="116"/>
      <c r="AU539" s="116"/>
      <c r="AV539" s="78"/>
      <c r="AW539" s="102"/>
      <c r="AX539" s="78"/>
      <c r="AY539" s="78"/>
      <c r="AZ539" s="78"/>
      <c r="BA539" s="78"/>
      <c r="BB539" s="78"/>
      <c r="BC539" s="78"/>
      <c r="BD539" s="78"/>
      <c r="BE539" s="465"/>
      <c r="BF539" s="165" t="str">
        <f t="shared" si="398"/>
        <v>https://www.google.com/search?tbm=isch&amp;q=Blueberry%20Pie%20has%20Green%20foliage%20and%20a%20fragrance.%20All%20BB%20bloom%20summer%20to%20frost%2C%20on%20new%20wood%2C%20so%20cut%20back%20hard%20late%20winter%20</v>
      </c>
      <c r="BG539" s="165" t="str">
        <f t="shared" si="399"/>
        <v>B</v>
      </c>
      <c r="BH539" s="65"/>
      <c r="BI539" s="65"/>
      <c r="BJ539" s="65"/>
      <c r="BK539" s="65"/>
      <c r="BL539" s="99"/>
      <c r="BM539" s="99"/>
      <c r="BN539" s="99"/>
    </row>
    <row r="540" spans="1:66" s="51" customFormat="1" ht="18" x14ac:dyDescent="0.25">
      <c r="A540" s="623" t="s">
        <v>1641</v>
      </c>
      <c r="B540" s="624"/>
      <c r="C540" s="709"/>
      <c r="D540" s="625" t="s">
        <v>5863</v>
      </c>
      <c r="E540" s="626"/>
      <c r="F540" s="626"/>
      <c r="G540" s="626"/>
      <c r="H540" s="622" t="s">
        <v>1642</v>
      </c>
      <c r="I540" s="627" t="s">
        <v>1643</v>
      </c>
      <c r="J540" s="628"/>
      <c r="K540" s="628"/>
      <c r="L540" s="629"/>
      <c r="M540" s="700" t="s">
        <v>5241</v>
      </c>
      <c r="N540" s="693" t="str">
        <f>IF(AND(ISTEXT($A540), ISERROR($A540+0)), HYPERLINK($BF540, "Images"), "")</f>
        <v>Images</v>
      </c>
      <c r="O540" s="695" t="s">
        <v>5244</v>
      </c>
      <c r="P540" s="630"/>
      <c r="Q540" s="631"/>
      <c r="R540" s="632"/>
      <c r="S540" s="633"/>
      <c r="T540" s="102">
        <f t="shared" si="387"/>
        <v>0</v>
      </c>
      <c r="U540" s="78" t="str">
        <f>IF(NOT(ISNUMBER(G540)), "", VLOOKUP(A540,'Discount Lookup'!D:E,2,FALSE)*G540)</f>
        <v/>
      </c>
      <c r="V540" s="78" t="str">
        <f>IF(NOT(ISNUMBER(G540)), "", VLOOKUP(A540,'Discount Lookup'!G:H,2,FALSE)*G540)</f>
        <v/>
      </c>
      <c r="W540" s="102">
        <f t="shared" si="388"/>
        <v>0</v>
      </c>
      <c r="X540" s="102" t="str">
        <f t="shared" si="389"/>
        <v>Purple-Blue bloom, Orange eye</v>
      </c>
      <c r="Y540" s="120" t="b">
        <f t="shared" si="390"/>
        <v>0</v>
      </c>
      <c r="Z540" s="117">
        <f t="shared" si="391"/>
        <v>0</v>
      </c>
      <c r="AA540" s="118"/>
      <c r="AB540" s="118" t="str">
        <f t="shared" si="392"/>
        <v/>
      </c>
      <c r="AC540" s="712" t="str">
        <f>IF(AE540="T2G","no charge",IF(AND(OR(PlanterYesMe="No",PlanterYesMe="N",PlanterYesMe="me"),H540=""),"",IF(H540="credit","NO install",IF(AND(K540="",AE540="me"),"EACH row",IF(AND(K540="images",AE540="me"),"EACH row",IF(D540="","",IF(H540="credit","",IF(AE540="free","re-planting",IF(AE540="me","   not ELP, by",IF(AND(OR(PlanterYesMe="Yes",PlanterYesMe="Y"),G540&gt;0),(VLOOKUP(A540,'Discount Lookup'!J:K,2)*G540*(1-PlanterDiscount)*(1+PlanterDifficultyPercentage)),IF(AE540="ELP",(VLOOKUP(A540,'Discount Lookup'!J:K,2)*G540*(1-PlanterDiscount)*(1+PlanterDifficultyPercentage)),IF(AE540="free","re-planting",IF(G540=0,"",IF(PlanterYesMe="",IF(AE540="me","   not ELP, by",IF(AE540="",IF(G540&gt;0,(VLOOKUP(A540,'Discount Lookup'!J:K,2)*G540*(1-PlanterDiscount)*(1+PlanterDifficultyPercentage)),""),"")),"   not ELP, by"))))))))))))))</f>
        <v/>
      </c>
      <c r="AD540" s="712"/>
      <c r="AE540" s="513" t="str">
        <f t="shared" si="393"/>
        <v/>
      </c>
      <c r="AF540" s="713" t="str">
        <f t="shared" si="394"/>
        <v/>
      </c>
      <c r="AG540" s="713"/>
      <c r="AH540" s="713"/>
      <c r="AI540" s="112">
        <f>IF(H540="credit",0,IF(AE540="free",0,IF(AE540="me",0,IF(G540&gt;0,(VLOOKUP(A540,'Discount Lookup'!J:K,2)*G540),0))))</f>
        <v>0</v>
      </c>
      <c r="AJ540" s="107" t="str">
        <f t="shared" ca="1" si="395"/>
        <v/>
      </c>
      <c r="AK540" s="714" t="str">
        <f t="shared" si="396"/>
        <v/>
      </c>
      <c r="AL540" s="714"/>
      <c r="AM540" s="114" t="str">
        <f t="shared" si="397"/>
        <v/>
      </c>
      <c r="AN540" s="115"/>
      <c r="AO540" s="116"/>
      <c r="AP540" s="116"/>
      <c r="AQ540" s="116"/>
      <c r="AR540" s="116"/>
      <c r="AS540" s="116"/>
      <c r="AT540" s="116"/>
      <c r="AU540" s="116"/>
      <c r="AV540" s="78"/>
      <c r="AW540" s="102"/>
      <c r="AX540" s="78"/>
      <c r="AY540" s="78"/>
      <c r="AZ540" s="78"/>
      <c r="BA540" s="78"/>
      <c r="BB540" s="78"/>
      <c r="BC540" s="78"/>
      <c r="BD540" s="78"/>
      <c r="BE540" s="465"/>
      <c r="BF540" s="165" t="str">
        <f t="shared" si="398"/>
        <v>https://www.google.com/search?tbm=isch&amp;q=Buddleia%20%27Purple%20Haze%27%20PP%2324514%20Purple%20Haze%C2%AE%20Butterfly%20Bush%20%28L%26B%C2%AE%29</v>
      </c>
      <c r="BG540" s="165" t="str">
        <f t="shared" si="399"/>
        <v>B</v>
      </c>
      <c r="BH540" s="65"/>
      <c r="BI540" s="65"/>
      <c r="BJ540" s="65"/>
      <c r="BK540" s="65"/>
      <c r="BL540" s="99"/>
      <c r="BM540" s="99"/>
      <c r="BN540" s="99"/>
    </row>
    <row r="541" spans="1:66" s="51" customFormat="1" ht="27" x14ac:dyDescent="0.25">
      <c r="A541" s="634">
        <v>3</v>
      </c>
      <c r="B541" s="635" t="s">
        <v>291</v>
      </c>
      <c r="C541" s="636" t="s">
        <v>4960</v>
      </c>
      <c r="D541" s="637" t="s">
        <v>299</v>
      </c>
      <c r="E541" s="638">
        <v>38.950000000000003</v>
      </c>
      <c r="F541" s="639" t="s">
        <v>292</v>
      </c>
      <c r="G541" s="484">
        <v>0</v>
      </c>
      <c r="H541" s="691" t="str">
        <f>IF(G541=0,"",IF(F541="Buy",IF(G541=1,"plant","plants"),IF(F541&gt;0.01,"warranty","Error")))</f>
        <v/>
      </c>
      <c r="I541" s="640">
        <f>IF(H541="free",0,IF(H541="credit",((E541*(F541))*G541*-1),IF(F541="Buy",(E541*G541),((E541*(1-F541))*G541))))</f>
        <v>0</v>
      </c>
      <c r="J541" s="640">
        <f>IF(H541="warranty",0,(I541*(_xlfn.SINGLE(SalesTaxPercentage))))</f>
        <v>0</v>
      </c>
      <c r="K541" s="716">
        <f t="shared" ref="K541" si="404">I541+J541</f>
        <v>0</v>
      </c>
      <c r="L541" s="716"/>
      <c r="M541" s="689" t="str">
        <f ca="1">IF(AND(G541&gt;0,E541=0),"WARNING - no PRICE inserted",IF(H541="free","FREE ~ no charge this plant",IF(H541="credit",CONCATENATE("-$",ROUND(K541*(1-_xlfn.SINGLE(T2GDiscount))*-1,2)," CREDIT after discount"),IF(_xlfn.SINGLE(T2GDiscount)=0,"",IF(G541=0,"",IF(F541="Buy",CONCATENATE("$",ROUND(K541*(1-_xlfn.SINGLE(T2GDiscount)),2)," with ",(_xlfn.SINGLE(T2GDiscount)*100),"% discount"),CONCATENATE("$",ROUND(K541*(1-_xlfn.SINGLE(T2GDiscount)),2)," with ",((_xlfn.SINGLE(T2GDiscount)*100+F541*100)-(_xlfn.SINGLE(T2GDiscount)*100*F541)),IF(F541&gt;0,"% discounts",IF(_xlfn.SINGLE(NoWarrantyDiscount)&gt;0,"% discounts","% discount")))))))))</f>
        <v/>
      </c>
      <c r="N541" s="690"/>
      <c r="O541" s="486"/>
      <c r="P541" s="486"/>
      <c r="Q541" s="486"/>
      <c r="R541" s="486"/>
      <c r="S541" s="486"/>
      <c r="T541" s="102">
        <f t="shared" si="387"/>
        <v>0</v>
      </c>
      <c r="U541" s="78">
        <f>IF(NOT(ISNUMBER(G541)), "", VLOOKUP(A541,'Discount Lookup'!D:E,2,FALSE)*G541)</f>
        <v>0</v>
      </c>
      <c r="V541" s="78">
        <f>IF(NOT(ISNUMBER(G541)), "", VLOOKUP(A541,'Discount Lookup'!G:H,2,FALSE)*G541)</f>
        <v>0</v>
      </c>
      <c r="W541" s="102">
        <f t="shared" si="388"/>
        <v>0</v>
      </c>
      <c r="X541" s="102">
        <f t="shared" si="389"/>
        <v>0</v>
      </c>
      <c r="Y541" s="120" t="b">
        <f t="shared" si="390"/>
        <v>0</v>
      </c>
      <c r="Z541" s="117">
        <f t="shared" si="391"/>
        <v>0</v>
      </c>
      <c r="AA541" s="118"/>
      <c r="AB541" s="118" t="str">
        <f t="shared" si="392"/>
        <v/>
      </c>
      <c r="AC541" s="712" t="str">
        <f>IF(AE541="T2G","no charge",IF(AND(OR(PlanterYesMe="No",PlanterYesMe="N",PlanterYesMe="me"),H541=""),"",IF(H541="credit","NO install",IF(AND(K541="",AE541="me"),"EACH row",IF(AND(K541="images",AE541="me"),"EACH row",IF(D541="","",IF(H541="credit","",IF(AE541="free","re-planting",IF(AE541="me","   not ELP, by",IF(AND(OR(PlanterYesMe="Yes",PlanterYesMe="Y"),G541&gt;0),(VLOOKUP(A541,'Discount Lookup'!J:K,2)*G541*(1-PlanterDiscount)*(1+PlanterDifficultyPercentage)),IF(AE541="ELP",(VLOOKUP(A541,'Discount Lookup'!J:K,2)*G541*(1-PlanterDiscount)*(1+PlanterDifficultyPercentage)),IF(AE541="free","re-planting",IF(G541=0,"",IF(PlanterYesMe="",IF(AE541="me","   not ELP, by",IF(AE541="",IF(G541&gt;0,(VLOOKUP(A541,'Discount Lookup'!J:K,2)*G541*(1-PlanterDiscount)*(1+PlanterDifficultyPercentage)),""),"")),"   not ELP, by"))))))))))))))</f>
        <v/>
      </c>
      <c r="AD541" s="712"/>
      <c r="AE541" s="513" t="str">
        <f t="shared" si="393"/>
        <v/>
      </c>
      <c r="AF541" s="713" t="str">
        <f t="shared" si="394"/>
        <v/>
      </c>
      <c r="AG541" s="713"/>
      <c r="AH541" s="713"/>
      <c r="AI541" s="112">
        <f>IF(H541="credit",0,IF(AE541="free",0,IF(AE541="me",0,IF(G541&gt;0,(VLOOKUP(A541,'Discount Lookup'!J:K,2)*G541),0))))</f>
        <v>0</v>
      </c>
      <c r="AJ541" s="107" t="str">
        <f t="shared" ca="1" si="395"/>
        <v/>
      </c>
      <c r="AK541" s="714" t="str">
        <f t="shared" si="396"/>
        <v/>
      </c>
      <c r="AL541" s="714"/>
      <c r="AM541" s="114" t="str">
        <f t="shared" si="397"/>
        <v/>
      </c>
      <c r="AN541" s="115"/>
      <c r="AO541" s="116"/>
      <c r="AP541" s="116"/>
      <c r="AQ541" s="116"/>
      <c r="AR541" s="116"/>
      <c r="AS541" s="116"/>
      <c r="AT541" s="116"/>
      <c r="AU541" s="116"/>
      <c r="AV541" s="78"/>
      <c r="AW541" s="102"/>
      <c r="AX541" s="78"/>
      <c r="AY541" s="78"/>
      <c r="AZ541" s="78"/>
      <c r="BA541" s="78"/>
      <c r="BB541" s="78"/>
      <c r="BC541" s="78"/>
      <c r="BD541" s="78"/>
      <c r="BE541" s="465"/>
      <c r="BF541" s="165" t="str">
        <f t="shared" si="398"/>
        <v>https://www.google.com/search?tbm=isch&amp;q=3%20G4</v>
      </c>
      <c r="BG541" s="165" t="str">
        <f t="shared" si="399"/>
        <v>B</v>
      </c>
      <c r="BH541" s="65"/>
      <c r="BI541" s="65"/>
      <c r="BJ541" s="65"/>
      <c r="BK541" s="65"/>
      <c r="BL541" s="99"/>
      <c r="BM541" s="99"/>
      <c r="BN541" s="99"/>
    </row>
    <row r="542" spans="1:66" s="51" customFormat="1" ht="17.25" thickBot="1" x14ac:dyDescent="0.3">
      <c r="A542" s="641" t="s">
        <v>4680</v>
      </c>
      <c r="B542" s="642"/>
      <c r="C542" s="710"/>
      <c r="D542" s="643"/>
      <c r="E542" s="643"/>
      <c r="F542" s="644"/>
      <c r="G542" s="645"/>
      <c r="H542" s="646"/>
      <c r="I542" s="647"/>
      <c r="J542" s="648"/>
      <c r="K542" s="649"/>
      <c r="L542" s="650"/>
      <c r="M542" s="650"/>
      <c r="N542" s="644"/>
      <c r="O542" s="644"/>
      <c r="P542" s="644"/>
      <c r="Q542" s="644"/>
      <c r="R542" s="644"/>
      <c r="S542" s="701" t="s">
        <v>5271</v>
      </c>
      <c r="T542" s="102">
        <f t="shared" si="387"/>
        <v>0</v>
      </c>
      <c r="U542" s="78" t="str">
        <f>IF(NOT(ISNUMBER(G542)), "", VLOOKUP(A542,'Discount Lookup'!D:E,2,FALSE)*G542)</f>
        <v/>
      </c>
      <c r="V542" s="78" t="str">
        <f>IF(NOT(ISNUMBER(G542)), "", VLOOKUP(A542,'Discount Lookup'!G:H,2,FALSE)*G542)</f>
        <v/>
      </c>
      <c r="W542" s="102">
        <f t="shared" si="388"/>
        <v>0</v>
      </c>
      <c r="X542" s="102">
        <f t="shared" si="389"/>
        <v>0</v>
      </c>
      <c r="Y542" s="120" t="b">
        <f t="shared" si="390"/>
        <v>0</v>
      </c>
      <c r="Z542" s="117">
        <f t="shared" si="391"/>
        <v>0</v>
      </c>
      <c r="AA542" s="118"/>
      <c r="AB542" s="118" t="str">
        <f t="shared" si="392"/>
        <v/>
      </c>
      <c r="AC542" s="712" t="str">
        <f>IF(AE542="T2G","no charge",IF(AND(OR(PlanterYesMe="No",PlanterYesMe="N",PlanterYesMe="me"),H542=""),"",IF(H542="credit","NO install",IF(AND(K542="",AE542="me"),"EACH row",IF(AND(K542="images",AE542="me"),"EACH row",IF(D542="","",IF(H542="credit","",IF(AE542="free","re-planting",IF(AE542="me","   not ELP, by",IF(AND(OR(PlanterYesMe="Yes",PlanterYesMe="Y"),G542&gt;0),(VLOOKUP(A542,'Discount Lookup'!J:K,2)*G542*(1-PlanterDiscount)*(1+PlanterDifficultyPercentage)),IF(AE542="ELP",(VLOOKUP(A542,'Discount Lookup'!J:K,2)*G542*(1-PlanterDiscount)*(1+PlanterDifficultyPercentage)),IF(AE542="free","re-planting",IF(G542=0,"",IF(PlanterYesMe="",IF(AE542="me","   not ELP, by",IF(AE542="",IF(G542&gt;0,(VLOOKUP(A542,'Discount Lookup'!J:K,2)*G542*(1-PlanterDiscount)*(1+PlanterDifficultyPercentage)),""),"")),"   not ELP, by"))))))))))))))</f>
        <v/>
      </c>
      <c r="AD542" s="712"/>
      <c r="AE542" s="513" t="str">
        <f t="shared" si="393"/>
        <v/>
      </c>
      <c r="AF542" s="713" t="str">
        <f t="shared" si="394"/>
        <v/>
      </c>
      <c r="AG542" s="713"/>
      <c r="AH542" s="713"/>
      <c r="AI542" s="112">
        <f>IF(H542="credit",0,IF(AE542="free",0,IF(AE542="me",0,IF(G542&gt;0,(VLOOKUP(A542,'Discount Lookup'!J:K,2)*G542),0))))</f>
        <v>0</v>
      </c>
      <c r="AJ542" s="107" t="str">
        <f t="shared" ca="1" si="395"/>
        <v/>
      </c>
      <c r="AK542" s="714" t="str">
        <f t="shared" si="396"/>
        <v/>
      </c>
      <c r="AL542" s="714"/>
      <c r="AM542" s="114" t="str">
        <f t="shared" si="397"/>
        <v/>
      </c>
      <c r="AN542" s="115"/>
      <c r="AO542" s="116"/>
      <c r="AP542" s="116"/>
      <c r="AQ542" s="116"/>
      <c r="AR542" s="116"/>
      <c r="AS542" s="116"/>
      <c r="AT542" s="116"/>
      <c r="AU542" s="116"/>
      <c r="AV542" s="78"/>
      <c r="AW542" s="102"/>
      <c r="AX542" s="78"/>
      <c r="AY542" s="78"/>
      <c r="AZ542" s="78"/>
      <c r="BA542" s="78"/>
      <c r="BB542" s="78"/>
      <c r="BC542" s="78"/>
      <c r="BD542" s="78"/>
      <c r="BE542" s="465"/>
      <c r="BF542" s="165" t="str">
        <f t="shared" si="398"/>
        <v>https://www.google.com/search?tbm=isch&amp;q=Purple%20Haze%20has%20Silvery-Green%20foliage%20and%20is%20non-invasive.%20%20All%20BB%20bloom%20summer%20to%20frost%2C%20on%20new%20wood%2C%20so%20cut%20back%20hard%20late%20winter%20</v>
      </c>
      <c r="BG542" s="165" t="str">
        <f t="shared" si="399"/>
        <v>P</v>
      </c>
      <c r="BH542" s="65"/>
      <c r="BI542" s="65"/>
      <c r="BJ542" s="65"/>
      <c r="BK542" s="65"/>
      <c r="BL542" s="99"/>
      <c r="BM542" s="99"/>
      <c r="BN542" s="99"/>
    </row>
    <row r="543" spans="1:66" s="51" customFormat="1" ht="18" x14ac:dyDescent="0.25">
      <c r="A543" s="623" t="s">
        <v>1644</v>
      </c>
      <c r="B543" s="624"/>
      <c r="C543" s="709"/>
      <c r="D543" s="625" t="s">
        <v>5598</v>
      </c>
      <c r="E543" s="626"/>
      <c r="F543" s="626"/>
      <c r="G543" s="626"/>
      <c r="H543" s="622" t="s">
        <v>1645</v>
      </c>
      <c r="I543" s="627" t="s">
        <v>1646</v>
      </c>
      <c r="J543" s="628"/>
      <c r="K543" s="628"/>
      <c r="L543" s="629"/>
      <c r="M543" s="700" t="s">
        <v>5241</v>
      </c>
      <c r="N543" s="693" t="str">
        <f>IF(AND(ISTEXT($A543), ISERROR($A543+0)), HYPERLINK($BF543, "Images"), "")</f>
        <v>Images</v>
      </c>
      <c r="O543" s="695" t="s">
        <v>5244</v>
      </c>
      <c r="P543" s="630"/>
      <c r="Q543" s="631"/>
      <c r="R543" s="632"/>
      <c r="S543" s="633"/>
      <c r="T543" s="102">
        <f t="shared" si="387"/>
        <v>0</v>
      </c>
      <c r="U543" s="78" t="str">
        <f>IF(NOT(ISNUMBER(G543)), "", VLOOKUP(A543,'Discount Lookup'!D:E,2,FALSE)*G543)</f>
        <v/>
      </c>
      <c r="V543" s="78" t="str">
        <f>IF(NOT(ISNUMBER(G543)), "", VLOOKUP(A543,'Discount Lookup'!G:H,2,FALSE)*G543)</f>
        <v/>
      </c>
      <c r="W543" s="102">
        <f t="shared" si="388"/>
        <v>0</v>
      </c>
      <c r="X543" s="102" t="str">
        <f t="shared" si="389"/>
        <v>Taffy-Pink bloom</v>
      </c>
      <c r="Y543" s="120" t="b">
        <f t="shared" si="390"/>
        <v>0</v>
      </c>
      <c r="Z543" s="117">
        <f t="shared" si="391"/>
        <v>0</v>
      </c>
      <c r="AA543" s="118"/>
      <c r="AB543" s="118" t="str">
        <f t="shared" si="392"/>
        <v/>
      </c>
      <c r="AC543" s="712" t="str">
        <f>IF(AE543="T2G","no charge",IF(AND(OR(PlanterYesMe="No",PlanterYesMe="N",PlanterYesMe="me"),H543=""),"",IF(H543="credit","NO install",IF(AND(K543="",AE543="me"),"EACH row",IF(AND(K543="images",AE543="me"),"EACH row",IF(D543="","",IF(H543="credit","",IF(AE543="free","re-planting",IF(AE543="me","   not ELP, by",IF(AND(OR(PlanterYesMe="Yes",PlanterYesMe="Y"),G543&gt;0),(VLOOKUP(A543,'Discount Lookup'!J:K,2)*G543*(1-PlanterDiscount)*(1+PlanterDifficultyPercentage)),IF(AE543="ELP",(VLOOKUP(A543,'Discount Lookup'!J:K,2)*G543*(1-PlanterDiscount)*(1+PlanterDifficultyPercentage)),IF(AE543="free","re-planting",IF(G543=0,"",IF(PlanterYesMe="",IF(AE543="me","   not ELP, by",IF(AE543="",IF(G543&gt;0,(VLOOKUP(A543,'Discount Lookup'!J:K,2)*G543*(1-PlanterDiscount)*(1+PlanterDifficultyPercentage)),""),"")),"   not ELP, by"))))))))))))))</f>
        <v/>
      </c>
      <c r="AD543" s="712"/>
      <c r="AE543" s="513" t="str">
        <f t="shared" si="393"/>
        <v/>
      </c>
      <c r="AF543" s="713" t="str">
        <f t="shared" si="394"/>
        <v/>
      </c>
      <c r="AG543" s="713"/>
      <c r="AH543" s="713"/>
      <c r="AI543" s="112">
        <f>IF(H543="credit",0,IF(AE543="free",0,IF(AE543="me",0,IF(G543&gt;0,(VLOOKUP(A543,'Discount Lookup'!J:K,2)*G543),0))))</f>
        <v>0</v>
      </c>
      <c r="AJ543" s="107" t="str">
        <f t="shared" ca="1" si="395"/>
        <v/>
      </c>
      <c r="AK543" s="714" t="str">
        <f t="shared" si="396"/>
        <v/>
      </c>
      <c r="AL543" s="714"/>
      <c r="AM543" s="114" t="str">
        <f t="shared" si="397"/>
        <v/>
      </c>
      <c r="AN543" s="115"/>
      <c r="AO543" s="116"/>
      <c r="AP543" s="116"/>
      <c r="AQ543" s="116"/>
      <c r="AR543" s="116"/>
      <c r="AS543" s="116"/>
      <c r="AT543" s="116"/>
      <c r="AU543" s="116"/>
      <c r="AV543" s="78"/>
      <c r="AW543" s="102"/>
      <c r="AX543" s="78"/>
      <c r="AY543" s="78"/>
      <c r="AZ543" s="78"/>
      <c r="BA543" s="78"/>
      <c r="BB543" s="78"/>
      <c r="BC543" s="78"/>
      <c r="BD543" s="78"/>
      <c r="BE543" s="465"/>
      <c r="BF543" s="165" t="str">
        <f t="shared" si="398"/>
        <v>https://www.google.com/search?tbm=isch&amp;q=Buddleia%20%27SMNBDB%27%20PP%2333565%20Pugster%20Pink%C2%AE%20Butterfly%20Bush</v>
      </c>
      <c r="BG543" s="165" t="str">
        <f t="shared" si="399"/>
        <v>B</v>
      </c>
      <c r="BH543" s="65"/>
      <c r="BI543" s="65"/>
      <c r="BJ543" s="65"/>
      <c r="BK543" s="65"/>
      <c r="BL543" s="99"/>
      <c r="BM543" s="99"/>
      <c r="BN543" s="99"/>
    </row>
    <row r="544" spans="1:66" s="51" customFormat="1" ht="15.75" x14ac:dyDescent="0.25">
      <c r="A544" s="634">
        <v>3</v>
      </c>
      <c r="B544" s="635" t="s">
        <v>291</v>
      </c>
      <c r="C544" s="636" t="s">
        <v>1587</v>
      </c>
      <c r="D544" s="637" t="s">
        <v>329</v>
      </c>
      <c r="E544" s="638">
        <v>41.95</v>
      </c>
      <c r="F544" s="639" t="s">
        <v>292</v>
      </c>
      <c r="G544" s="484">
        <v>0</v>
      </c>
      <c r="H544" s="691" t="str">
        <f>IF(G544=0,"",IF(F544="Buy",IF(G544=1,"plant","plants"),IF(F544&gt;0.01,"warranty","Error")))</f>
        <v/>
      </c>
      <c r="I544" s="640">
        <f>IF(H544="free",0,IF(H544="credit",((E544*(F544))*G544*-1),IF(F544="Buy",(E544*G544),((E544*(1-F544))*G544))))</f>
        <v>0</v>
      </c>
      <c r="J544" s="640">
        <f>IF(H544="warranty",0,(I544*(_xlfn.SINGLE(SalesTaxPercentage))))</f>
        <v>0</v>
      </c>
      <c r="K544" s="716">
        <f t="shared" ref="K544" si="405">I544+J544</f>
        <v>0</v>
      </c>
      <c r="L544" s="716"/>
      <c r="M544" s="689" t="str">
        <f ca="1">IF(AND(G544&gt;0,E544=0),"WARNING - no PRICE inserted",IF(H544="free","FREE ~ no charge this plant",IF(H544="credit",CONCATENATE("-$",ROUND(K544*(1-_xlfn.SINGLE(T2GDiscount))*-1,2)," CREDIT after discount"),IF(_xlfn.SINGLE(T2GDiscount)=0,"",IF(G544=0,"",IF(F544="Buy",CONCATENATE("$",ROUND(K544*(1-_xlfn.SINGLE(T2GDiscount)),2)," with ",(_xlfn.SINGLE(T2GDiscount)*100),"% discount"),CONCATENATE("$",ROUND(K544*(1-_xlfn.SINGLE(T2GDiscount)),2)," with ",((_xlfn.SINGLE(T2GDiscount)*100+F544*100)-(_xlfn.SINGLE(T2GDiscount)*100*F544)),IF(F544&gt;0,"% discounts",IF(_xlfn.SINGLE(NoWarrantyDiscount)&gt;0,"% discounts","% discount")))))))))</f>
        <v/>
      </c>
      <c r="N544" s="690"/>
      <c r="O544" s="486"/>
      <c r="P544" s="486"/>
      <c r="Q544" s="486"/>
      <c r="R544" s="486"/>
      <c r="S544" s="486"/>
      <c r="T544" s="102">
        <f t="shared" si="387"/>
        <v>0</v>
      </c>
      <c r="U544" s="78">
        <f>IF(NOT(ISNUMBER(G544)), "", VLOOKUP(A544,'Discount Lookup'!D:E,2,FALSE)*G544)</f>
        <v>0</v>
      </c>
      <c r="V544" s="78">
        <f>IF(NOT(ISNUMBER(G544)), "", VLOOKUP(A544,'Discount Lookup'!G:H,2,FALSE)*G544)</f>
        <v>0</v>
      </c>
      <c r="W544" s="102">
        <f t="shared" si="388"/>
        <v>0</v>
      </c>
      <c r="X544" s="102">
        <f t="shared" si="389"/>
        <v>0</v>
      </c>
      <c r="Y544" s="120" t="b">
        <f t="shared" si="390"/>
        <v>0</v>
      </c>
      <c r="Z544" s="117">
        <f t="shared" si="391"/>
        <v>0</v>
      </c>
      <c r="AA544" s="118"/>
      <c r="AB544" s="118" t="str">
        <f t="shared" si="392"/>
        <v/>
      </c>
      <c r="AC544" s="712" t="str">
        <f>IF(AE544="T2G","no charge",IF(AND(OR(PlanterYesMe="No",PlanterYesMe="N",PlanterYesMe="me"),H544=""),"",IF(H544="credit","NO install",IF(AND(K544="",AE544="me"),"EACH row",IF(AND(K544="images",AE544="me"),"EACH row",IF(D544="","",IF(H544="credit","",IF(AE544="free","re-planting",IF(AE544="me","   not ELP, by",IF(AND(OR(PlanterYesMe="Yes",PlanterYesMe="Y"),G544&gt;0),(VLOOKUP(A544,'Discount Lookup'!J:K,2)*G544*(1-PlanterDiscount)*(1+PlanterDifficultyPercentage)),IF(AE544="ELP",(VLOOKUP(A544,'Discount Lookup'!J:K,2)*G544*(1-PlanterDiscount)*(1+PlanterDifficultyPercentage)),IF(AE544="free","re-planting",IF(G544=0,"",IF(PlanterYesMe="",IF(AE544="me","   not ELP, by",IF(AE544="",IF(G544&gt;0,(VLOOKUP(A544,'Discount Lookup'!J:K,2)*G544*(1-PlanterDiscount)*(1+PlanterDifficultyPercentage)),""),"")),"   not ELP, by"))))))))))))))</f>
        <v/>
      </c>
      <c r="AD544" s="712"/>
      <c r="AE544" s="513" t="str">
        <f t="shared" si="393"/>
        <v/>
      </c>
      <c r="AF544" s="713" t="str">
        <f t="shared" si="394"/>
        <v/>
      </c>
      <c r="AG544" s="713"/>
      <c r="AH544" s="713"/>
      <c r="AI544" s="112">
        <f>IF(H544="credit",0,IF(AE544="free",0,IF(AE544="me",0,IF(G544&gt;0,(VLOOKUP(A544,'Discount Lookup'!J:K,2)*G544),0))))</f>
        <v>0</v>
      </c>
      <c r="AJ544" s="107" t="str">
        <f t="shared" ca="1" si="395"/>
        <v/>
      </c>
      <c r="AK544" s="714" t="str">
        <f t="shared" si="396"/>
        <v/>
      </c>
      <c r="AL544" s="714"/>
      <c r="AM544" s="114" t="str">
        <f t="shared" si="397"/>
        <v/>
      </c>
      <c r="AN544" s="115"/>
      <c r="AO544" s="116"/>
      <c r="AP544" s="116"/>
      <c r="AQ544" s="116"/>
      <c r="AR544" s="116"/>
      <c r="AS544" s="116"/>
      <c r="AT544" s="116"/>
      <c r="AU544" s="116"/>
      <c r="AV544" s="78"/>
      <c r="AW544" s="102"/>
      <c r="AX544" s="78"/>
      <c r="AY544" s="78"/>
      <c r="AZ544" s="78"/>
      <c r="BA544" s="78"/>
      <c r="BB544" s="78"/>
      <c r="BC544" s="78"/>
      <c r="BD544" s="78"/>
      <c r="BE544" s="465"/>
      <c r="BF544" s="165" t="str">
        <f t="shared" si="398"/>
        <v>https://www.google.com/search?tbm=isch&amp;q=3%20G2</v>
      </c>
      <c r="BG544" s="165" t="str">
        <f t="shared" si="399"/>
        <v>B</v>
      </c>
      <c r="BH544" s="65"/>
      <c r="BI544" s="65"/>
      <c r="BJ544" s="65"/>
      <c r="BK544" s="65"/>
      <c r="BL544" s="99"/>
      <c r="BM544" s="99"/>
      <c r="BN544" s="99"/>
    </row>
    <row r="545" spans="1:66" s="51" customFormat="1" ht="15.75" x14ac:dyDescent="0.25">
      <c r="A545" s="634">
        <v>3</v>
      </c>
      <c r="B545" s="635" t="s">
        <v>291</v>
      </c>
      <c r="C545" s="636" t="s">
        <v>1647</v>
      </c>
      <c r="D545" s="637" t="s">
        <v>311</v>
      </c>
      <c r="E545" s="638">
        <v>42.95</v>
      </c>
      <c r="F545" s="639" t="s">
        <v>292</v>
      </c>
      <c r="G545" s="484">
        <v>0</v>
      </c>
      <c r="H545" s="691" t="str">
        <f>IF(G545=0,"",IF(F545="Buy",IF(G545=1,"plant","plants"),IF(F545&gt;0.01,"warranty","Error")))</f>
        <v/>
      </c>
      <c r="I545" s="640">
        <f>IF(H545="free",0,IF(H545="credit",((E545*(F545))*G545*-1),IF(F545="Buy",(E545*G545),((E545*(1-F545))*G545))))</f>
        <v>0</v>
      </c>
      <c r="J545" s="640">
        <f>IF(H545="warranty",0,(I545*(_xlfn.SINGLE(SalesTaxPercentage))))</f>
        <v>0</v>
      </c>
      <c r="K545" s="716">
        <f t="shared" ref="K545" si="406">I545+J545</f>
        <v>0</v>
      </c>
      <c r="L545" s="716"/>
      <c r="M545" s="689" t="str">
        <f ca="1">IF(AND(G545&gt;0,E545=0),"WARNING - no PRICE inserted",IF(H545="free","FREE ~ no charge this plant",IF(H545="credit",CONCATENATE("-$",ROUND(K545*(1-_xlfn.SINGLE(T2GDiscount))*-1,2)," CREDIT after discount"),IF(_xlfn.SINGLE(T2GDiscount)=0,"",IF(G545=0,"",IF(F545="Buy",CONCATENATE("$",ROUND(K545*(1-_xlfn.SINGLE(T2GDiscount)),2)," with ",(_xlfn.SINGLE(T2GDiscount)*100),"% discount"),CONCATENATE("$",ROUND(K545*(1-_xlfn.SINGLE(T2GDiscount)),2)," with ",((_xlfn.SINGLE(T2GDiscount)*100+F545*100)-(_xlfn.SINGLE(T2GDiscount)*100*F545)),IF(F545&gt;0,"% discounts",IF(_xlfn.SINGLE(NoWarrantyDiscount)&gt;0,"% discounts","% discount")))))))))</f>
        <v/>
      </c>
      <c r="N545" s="690"/>
      <c r="O545" s="486"/>
      <c r="P545" s="486"/>
      <c r="Q545" s="486"/>
      <c r="R545" s="486"/>
      <c r="S545" s="486"/>
      <c r="T545" s="102">
        <f t="shared" si="387"/>
        <v>0</v>
      </c>
      <c r="U545" s="78">
        <f>IF(NOT(ISNUMBER(G545)), "", VLOOKUP(A545,'Discount Lookup'!D:E,2,FALSE)*G545)</f>
        <v>0</v>
      </c>
      <c r="V545" s="78">
        <f>IF(NOT(ISNUMBER(G545)), "", VLOOKUP(A545,'Discount Lookup'!G:H,2,FALSE)*G545)</f>
        <v>0</v>
      </c>
      <c r="W545" s="102">
        <f t="shared" si="388"/>
        <v>0</v>
      </c>
      <c r="X545" s="102">
        <f t="shared" si="389"/>
        <v>0</v>
      </c>
      <c r="Y545" s="120" t="b">
        <f t="shared" si="390"/>
        <v>0</v>
      </c>
      <c r="Z545" s="117">
        <f t="shared" si="391"/>
        <v>0</v>
      </c>
      <c r="AA545" s="118"/>
      <c r="AB545" s="118" t="str">
        <f t="shared" si="392"/>
        <v/>
      </c>
      <c r="AC545" s="712" t="str">
        <f>IF(AE545="T2G","no charge",IF(AND(OR(PlanterYesMe="No",PlanterYesMe="N",PlanterYesMe="me"),H545=""),"",IF(H545="credit","NO install",IF(AND(K545="",AE545="me"),"EACH row",IF(AND(K545="images",AE545="me"),"EACH row",IF(D545="","",IF(H545="credit","",IF(AE545="free","re-planting",IF(AE545="me","   not ELP, by",IF(AND(OR(PlanterYesMe="Yes",PlanterYesMe="Y"),G545&gt;0),(VLOOKUP(A545,'Discount Lookup'!J:K,2)*G545*(1-PlanterDiscount)*(1+PlanterDifficultyPercentage)),IF(AE545="ELP",(VLOOKUP(A545,'Discount Lookup'!J:K,2)*G545*(1-PlanterDiscount)*(1+PlanterDifficultyPercentage)),IF(AE545="free","re-planting",IF(G545=0,"",IF(PlanterYesMe="",IF(AE545="me","   not ELP, by",IF(AE545="",IF(G545&gt;0,(VLOOKUP(A545,'Discount Lookup'!J:K,2)*G545*(1-PlanterDiscount)*(1+PlanterDifficultyPercentage)),""),"")),"   not ELP, by"))))))))))))))</f>
        <v/>
      </c>
      <c r="AD545" s="712"/>
      <c r="AE545" s="513" t="str">
        <f t="shared" si="393"/>
        <v/>
      </c>
      <c r="AF545" s="713" t="str">
        <f t="shared" si="394"/>
        <v/>
      </c>
      <c r="AG545" s="713"/>
      <c r="AH545" s="713"/>
      <c r="AI545" s="112">
        <f>IF(H545="credit",0,IF(AE545="free",0,IF(AE545="me",0,IF(G545&gt;0,(VLOOKUP(A545,'Discount Lookup'!J:K,2)*G545),0))))</f>
        <v>0</v>
      </c>
      <c r="AJ545" s="107" t="str">
        <f t="shared" ca="1" si="395"/>
        <v/>
      </c>
      <c r="AK545" s="714" t="str">
        <f t="shared" si="396"/>
        <v/>
      </c>
      <c r="AL545" s="714"/>
      <c r="AM545" s="114" t="str">
        <f t="shared" si="397"/>
        <v/>
      </c>
      <c r="AN545" s="115"/>
      <c r="AO545" s="116"/>
      <c r="AP545" s="116"/>
      <c r="AQ545" s="116"/>
      <c r="AR545" s="116"/>
      <c r="AS545" s="116"/>
      <c r="AT545" s="116"/>
      <c r="AU545" s="116"/>
      <c r="AV545" s="78"/>
      <c r="AW545" s="102"/>
      <c r="AX545" s="78"/>
      <c r="AY545" s="78"/>
      <c r="AZ545" s="78"/>
      <c r="BA545" s="78"/>
      <c r="BB545" s="78"/>
      <c r="BC545" s="78"/>
      <c r="BD545" s="78"/>
      <c r="BE545" s="465"/>
      <c r="BF545" s="165" t="str">
        <f t="shared" si="398"/>
        <v>https://www.google.com/search?tbm=isch&amp;q=3%20G5</v>
      </c>
      <c r="BG545" s="165" t="str">
        <f t="shared" si="399"/>
        <v>B</v>
      </c>
      <c r="BH545" s="65"/>
      <c r="BI545" s="65"/>
      <c r="BJ545" s="65"/>
      <c r="BK545" s="65"/>
      <c r="BL545" s="99"/>
      <c r="BM545" s="99"/>
      <c r="BN545" s="99"/>
    </row>
    <row r="546" spans="1:66" s="51" customFormat="1" ht="17.25" thickBot="1" x14ac:dyDescent="0.3">
      <c r="A546" s="641" t="s">
        <v>4939</v>
      </c>
      <c r="B546" s="642"/>
      <c r="C546" s="710"/>
      <c r="D546" s="643"/>
      <c r="E546" s="643"/>
      <c r="F546" s="644"/>
      <c r="G546" s="645"/>
      <c r="H546" s="646"/>
      <c r="I546" s="647"/>
      <c r="J546" s="648"/>
      <c r="K546" s="649"/>
      <c r="L546" s="650"/>
      <c r="M546" s="650"/>
      <c r="N546" s="644"/>
      <c r="O546" s="644"/>
      <c r="P546" s="644"/>
      <c r="Q546" s="644"/>
      <c r="R546" s="644"/>
      <c r="S546" s="701" t="s">
        <v>5267</v>
      </c>
      <c r="T546" s="102">
        <f t="shared" si="387"/>
        <v>0</v>
      </c>
      <c r="U546" s="78" t="str">
        <f>IF(NOT(ISNUMBER(G546)), "", VLOOKUP(A546,'Discount Lookup'!D:E,2,FALSE)*G546)</f>
        <v/>
      </c>
      <c r="V546" s="78" t="str">
        <f>IF(NOT(ISNUMBER(G546)), "", VLOOKUP(A546,'Discount Lookup'!G:H,2,FALSE)*G546)</f>
        <v/>
      </c>
      <c r="W546" s="102">
        <f t="shared" si="388"/>
        <v>0</v>
      </c>
      <c r="X546" s="102">
        <f t="shared" si="389"/>
        <v>0</v>
      </c>
      <c r="Y546" s="120" t="b">
        <f t="shared" si="390"/>
        <v>0</v>
      </c>
      <c r="Z546" s="117">
        <f t="shared" si="391"/>
        <v>0</v>
      </c>
      <c r="AA546" s="118"/>
      <c r="AB546" s="118" t="str">
        <f t="shared" si="392"/>
        <v/>
      </c>
      <c r="AC546" s="712" t="str">
        <f>IF(AE546="T2G","no charge",IF(AND(OR(PlanterYesMe="No",PlanterYesMe="N",PlanterYesMe="me"),H546=""),"",IF(H546="credit","NO install",IF(AND(K546="",AE546="me"),"EACH row",IF(AND(K546="images",AE546="me"),"EACH row",IF(D546="","",IF(H546="credit","",IF(AE546="free","re-planting",IF(AE546="me","   not ELP, by",IF(AND(OR(PlanterYesMe="Yes",PlanterYesMe="Y"),G546&gt;0),(VLOOKUP(A546,'Discount Lookup'!J:K,2)*G546*(1-PlanterDiscount)*(1+PlanterDifficultyPercentage)),IF(AE546="ELP",(VLOOKUP(A546,'Discount Lookup'!J:K,2)*G546*(1-PlanterDiscount)*(1+PlanterDifficultyPercentage)),IF(AE546="free","re-planting",IF(G546=0,"",IF(PlanterYesMe="",IF(AE546="me","   not ELP, by",IF(AE546="",IF(G546&gt;0,(VLOOKUP(A546,'Discount Lookup'!J:K,2)*G546*(1-PlanterDiscount)*(1+PlanterDifficultyPercentage)),""),"")),"   not ELP, by"))))))))))))))</f>
        <v/>
      </c>
      <c r="AD546" s="712"/>
      <c r="AE546" s="513" t="str">
        <f t="shared" si="393"/>
        <v/>
      </c>
      <c r="AF546" s="713" t="str">
        <f t="shared" si="394"/>
        <v/>
      </c>
      <c r="AG546" s="713"/>
      <c r="AH546" s="713"/>
      <c r="AI546" s="112">
        <f>IF(H546="credit",0,IF(AE546="free",0,IF(AE546="me",0,IF(G546&gt;0,(VLOOKUP(A546,'Discount Lookup'!J:K,2)*G546),0))))</f>
        <v>0</v>
      </c>
      <c r="AJ546" s="107" t="str">
        <f t="shared" ca="1" si="395"/>
        <v/>
      </c>
      <c r="AK546" s="714" t="str">
        <f t="shared" si="396"/>
        <v/>
      </c>
      <c r="AL546" s="714"/>
      <c r="AM546" s="114" t="str">
        <f t="shared" si="397"/>
        <v/>
      </c>
      <c r="AN546" s="115"/>
      <c r="AO546" s="116"/>
      <c r="AP546" s="116"/>
      <c r="AQ546" s="116"/>
      <c r="AR546" s="116"/>
      <c r="AS546" s="116"/>
      <c r="AT546" s="116"/>
      <c r="AU546" s="116"/>
      <c r="AV546" s="78"/>
      <c r="AW546" s="102"/>
      <c r="AX546" s="78"/>
      <c r="AY546" s="78"/>
      <c r="AZ546" s="78"/>
      <c r="BA546" s="78"/>
      <c r="BB546" s="78"/>
      <c r="BC546" s="78"/>
      <c r="BD546" s="78"/>
      <c r="BE546" s="465"/>
      <c r="BF546" s="165" t="str">
        <f t="shared" si="398"/>
        <v>https://www.google.com/search?tbm=isch&amp;q=Pugster%20Pink%20has%20Green%20foliage%20and%20fragrant%2C%20oversize%20blooms.%20All%20BB%20bloom%20summer%20to%20frost%2C%20on%20new%20wood%2C%20so%20cut%20back%20hard%20late%20winter%20</v>
      </c>
      <c r="BG546" s="165" t="str">
        <f t="shared" si="399"/>
        <v>P</v>
      </c>
      <c r="BH546" s="65"/>
      <c r="BI546" s="65"/>
      <c r="BJ546" s="65"/>
      <c r="BK546" s="65"/>
      <c r="BL546" s="99"/>
      <c r="BM546" s="99"/>
      <c r="BN546" s="99"/>
    </row>
    <row r="547" spans="1:66" s="51" customFormat="1" ht="18" x14ac:dyDescent="0.25">
      <c r="A547" s="623" t="s">
        <v>1648</v>
      </c>
      <c r="B547" s="624"/>
      <c r="C547" s="709"/>
      <c r="D547" s="625" t="s">
        <v>5599</v>
      </c>
      <c r="E547" s="626"/>
      <c r="F547" s="626"/>
      <c r="G547" s="626"/>
      <c r="H547" s="622" t="s">
        <v>1645</v>
      </c>
      <c r="I547" s="627" t="s">
        <v>1649</v>
      </c>
      <c r="J547" s="628"/>
      <c r="K547" s="628"/>
      <c r="L547" s="629"/>
      <c r="M547" s="700" t="s">
        <v>5241</v>
      </c>
      <c r="N547" s="693" t="str">
        <f>IF(AND(ISTEXT($A547), ISERROR($A547+0)), HYPERLINK($BF547, "Images"), "")</f>
        <v>Images</v>
      </c>
      <c r="O547" s="695" t="s">
        <v>5244</v>
      </c>
      <c r="P547" s="630"/>
      <c r="Q547" s="631"/>
      <c r="R547" s="632"/>
      <c r="S547" s="633"/>
      <c r="T547" s="102">
        <f t="shared" si="387"/>
        <v>0</v>
      </c>
      <c r="U547" s="78" t="str">
        <f>IF(NOT(ISNUMBER(G547)), "", VLOOKUP(A547,'Discount Lookup'!D:E,2,FALSE)*G547)</f>
        <v/>
      </c>
      <c r="V547" s="78" t="str">
        <f>IF(NOT(ISNUMBER(G547)), "", VLOOKUP(A547,'Discount Lookup'!G:H,2,FALSE)*G547)</f>
        <v/>
      </c>
      <c r="W547" s="102">
        <f t="shared" si="388"/>
        <v>0</v>
      </c>
      <c r="X547" s="102" t="str">
        <f t="shared" si="389"/>
        <v>True-Blue bloom. Yellow-Orange eye</v>
      </c>
      <c r="Y547" s="120" t="b">
        <f t="shared" si="390"/>
        <v>0</v>
      </c>
      <c r="Z547" s="117">
        <f t="shared" si="391"/>
        <v>0</v>
      </c>
      <c r="AA547" s="118"/>
      <c r="AB547" s="118" t="str">
        <f t="shared" si="392"/>
        <v/>
      </c>
      <c r="AC547" s="712" t="str">
        <f>IF(AE547="T2G","no charge",IF(AND(OR(PlanterYesMe="No",PlanterYesMe="N",PlanterYesMe="me"),H547=""),"",IF(H547="credit","NO install",IF(AND(K547="",AE547="me"),"EACH row",IF(AND(K547="images",AE547="me"),"EACH row",IF(D547="","",IF(H547="credit","",IF(AE547="free","re-planting",IF(AE547="me","   not ELP, by",IF(AND(OR(PlanterYesMe="Yes",PlanterYesMe="Y"),G547&gt;0),(VLOOKUP(A547,'Discount Lookup'!J:K,2)*G547*(1-PlanterDiscount)*(1+PlanterDifficultyPercentage)),IF(AE547="ELP",(VLOOKUP(A547,'Discount Lookup'!J:K,2)*G547*(1-PlanterDiscount)*(1+PlanterDifficultyPercentage)),IF(AE547="free","re-planting",IF(G547=0,"",IF(PlanterYesMe="",IF(AE547="me","   not ELP, by",IF(AE547="",IF(G547&gt;0,(VLOOKUP(A547,'Discount Lookup'!J:K,2)*G547*(1-PlanterDiscount)*(1+PlanterDifficultyPercentage)),""),"")),"   not ELP, by"))))))))))))))</f>
        <v/>
      </c>
      <c r="AD547" s="712"/>
      <c r="AE547" s="513" t="str">
        <f t="shared" si="393"/>
        <v/>
      </c>
      <c r="AF547" s="713" t="str">
        <f t="shared" si="394"/>
        <v/>
      </c>
      <c r="AG547" s="713"/>
      <c r="AH547" s="713"/>
      <c r="AI547" s="112">
        <f>IF(H547="credit",0,IF(AE547="free",0,IF(AE547="me",0,IF(G547&gt;0,(VLOOKUP(A547,'Discount Lookup'!J:K,2)*G547),0))))</f>
        <v>0</v>
      </c>
      <c r="AJ547" s="107" t="str">
        <f t="shared" ca="1" si="395"/>
        <v/>
      </c>
      <c r="AK547" s="714" t="str">
        <f t="shared" si="396"/>
        <v/>
      </c>
      <c r="AL547" s="714"/>
      <c r="AM547" s="114" t="str">
        <f t="shared" si="397"/>
        <v/>
      </c>
      <c r="AN547" s="115"/>
      <c r="AO547" s="116"/>
      <c r="AP547" s="116"/>
      <c r="AQ547" s="116"/>
      <c r="AR547" s="116"/>
      <c r="AS547" s="116"/>
      <c r="AT547" s="116"/>
      <c r="AU547" s="116"/>
      <c r="AV547" s="78"/>
      <c r="AW547" s="102"/>
      <c r="AX547" s="78"/>
      <c r="AY547" s="78"/>
      <c r="AZ547" s="78"/>
      <c r="BA547" s="78"/>
      <c r="BB547" s="78"/>
      <c r="BC547" s="78"/>
      <c r="BD547" s="78"/>
      <c r="BE547" s="465"/>
      <c r="BF547" s="165" t="str">
        <f t="shared" si="398"/>
        <v>https://www.google.com/search?tbm=isch&amp;q=Buddleia%20%27SMNBDBT%27%20PP%2328794%20Pugster%20Blue%C2%AE%20Butterfly%20Bush</v>
      </c>
      <c r="BG547" s="165" t="str">
        <f t="shared" si="399"/>
        <v>B</v>
      </c>
      <c r="BH547" s="65"/>
      <c r="BI547" s="65"/>
      <c r="BJ547" s="65"/>
      <c r="BK547" s="65"/>
      <c r="BL547" s="99"/>
      <c r="BM547" s="99"/>
      <c r="BN547" s="99"/>
    </row>
    <row r="548" spans="1:66" s="51" customFormat="1" ht="15.75" x14ac:dyDescent="0.25">
      <c r="A548" s="634">
        <v>3</v>
      </c>
      <c r="B548" s="635" t="s">
        <v>291</v>
      </c>
      <c r="C548" s="636" t="s">
        <v>1650</v>
      </c>
      <c r="D548" s="637" t="s">
        <v>299</v>
      </c>
      <c r="E548" s="638">
        <v>39.950000000000003</v>
      </c>
      <c r="F548" s="639" t="s">
        <v>292</v>
      </c>
      <c r="G548" s="484">
        <v>0</v>
      </c>
      <c r="H548" s="691" t="str">
        <f>IF(G548=0,"",IF(F548="Buy",IF(G548=1,"plant","plants"),IF(F548&gt;0.01,"warranty","Error")))</f>
        <v/>
      </c>
      <c r="I548" s="640">
        <f>IF(H548="free",0,IF(H548="credit",((E548*(F548))*G548*-1),IF(F548="Buy",(E548*G548),((E548*(1-F548))*G548))))</f>
        <v>0</v>
      </c>
      <c r="J548" s="640">
        <f>IF(H548="warranty",0,(I548*(_xlfn.SINGLE(SalesTaxPercentage))))</f>
        <v>0</v>
      </c>
      <c r="K548" s="716">
        <f t="shared" ref="K548" si="407">I548+J548</f>
        <v>0</v>
      </c>
      <c r="L548" s="716"/>
      <c r="M548" s="689" t="str">
        <f ca="1">IF(AND(G548&gt;0,E548=0),"WARNING - no PRICE inserted",IF(H548="free","FREE ~ no charge this plant",IF(H548="credit",CONCATENATE("-$",ROUND(K548*(1-_xlfn.SINGLE(T2GDiscount))*-1,2)," CREDIT after discount"),IF(_xlfn.SINGLE(T2GDiscount)=0,"",IF(G548=0,"",IF(F548="Buy",CONCATENATE("$",ROUND(K548*(1-_xlfn.SINGLE(T2GDiscount)),2)," with ",(_xlfn.SINGLE(T2GDiscount)*100),"% discount"),CONCATENATE("$",ROUND(K548*(1-_xlfn.SINGLE(T2GDiscount)),2)," with ",((_xlfn.SINGLE(T2GDiscount)*100+F548*100)-(_xlfn.SINGLE(T2GDiscount)*100*F548)),IF(F548&gt;0,"% discounts",IF(_xlfn.SINGLE(NoWarrantyDiscount)&gt;0,"% discounts","% discount")))))))))</f>
        <v/>
      </c>
      <c r="N548" s="690"/>
      <c r="O548" s="486"/>
      <c r="P548" s="486"/>
      <c r="Q548" s="486"/>
      <c r="R548" s="486"/>
      <c r="S548" s="486"/>
      <c r="T548" s="102">
        <f t="shared" si="387"/>
        <v>0</v>
      </c>
      <c r="U548" s="78">
        <f>IF(NOT(ISNUMBER(G548)), "", VLOOKUP(A548,'Discount Lookup'!D:E,2,FALSE)*G548)</f>
        <v>0</v>
      </c>
      <c r="V548" s="78">
        <f>IF(NOT(ISNUMBER(G548)), "", VLOOKUP(A548,'Discount Lookup'!G:H,2,FALSE)*G548)</f>
        <v>0</v>
      </c>
      <c r="W548" s="102">
        <f t="shared" si="388"/>
        <v>0</v>
      </c>
      <c r="X548" s="102">
        <f t="shared" si="389"/>
        <v>0</v>
      </c>
      <c r="Y548" s="120" t="b">
        <f t="shared" si="390"/>
        <v>0</v>
      </c>
      <c r="Z548" s="117">
        <f t="shared" si="391"/>
        <v>0</v>
      </c>
      <c r="AA548" s="118"/>
      <c r="AB548" s="118" t="str">
        <f t="shared" si="392"/>
        <v/>
      </c>
      <c r="AC548" s="712" t="str">
        <f>IF(AE548="T2G","no charge",IF(AND(OR(PlanterYesMe="No",PlanterYesMe="N",PlanterYesMe="me"),H548=""),"",IF(H548="credit","NO install",IF(AND(K548="",AE548="me"),"EACH row",IF(AND(K548="images",AE548="me"),"EACH row",IF(D548="","",IF(H548="credit","",IF(AE548="free","re-planting",IF(AE548="me","   not ELP, by",IF(AND(OR(PlanterYesMe="Yes",PlanterYesMe="Y"),G548&gt;0),(VLOOKUP(A548,'Discount Lookup'!J:K,2)*G548*(1-PlanterDiscount)*(1+PlanterDifficultyPercentage)),IF(AE548="ELP",(VLOOKUP(A548,'Discount Lookup'!J:K,2)*G548*(1-PlanterDiscount)*(1+PlanterDifficultyPercentage)),IF(AE548="free","re-planting",IF(G548=0,"",IF(PlanterYesMe="",IF(AE548="me","   not ELP, by",IF(AE548="",IF(G548&gt;0,(VLOOKUP(A548,'Discount Lookup'!J:K,2)*G548*(1-PlanterDiscount)*(1+PlanterDifficultyPercentage)),""),"")),"   not ELP, by"))))))))))))))</f>
        <v/>
      </c>
      <c r="AD548" s="712"/>
      <c r="AE548" s="513" t="str">
        <f t="shared" si="393"/>
        <v/>
      </c>
      <c r="AF548" s="713" t="str">
        <f t="shared" si="394"/>
        <v/>
      </c>
      <c r="AG548" s="713"/>
      <c r="AH548" s="713"/>
      <c r="AI548" s="112">
        <f>IF(H548="credit",0,IF(AE548="free",0,IF(AE548="me",0,IF(G548&gt;0,(VLOOKUP(A548,'Discount Lookup'!J:K,2)*G548),0))))</f>
        <v>0</v>
      </c>
      <c r="AJ548" s="107" t="str">
        <f t="shared" ca="1" si="395"/>
        <v/>
      </c>
      <c r="AK548" s="714" t="str">
        <f t="shared" si="396"/>
        <v/>
      </c>
      <c r="AL548" s="714"/>
      <c r="AM548" s="114" t="str">
        <f t="shared" si="397"/>
        <v/>
      </c>
      <c r="AN548" s="115"/>
      <c r="AO548" s="116"/>
      <c r="AP548" s="116"/>
      <c r="AQ548" s="116"/>
      <c r="AR548" s="116"/>
      <c r="AS548" s="116"/>
      <c r="AT548" s="116"/>
      <c r="AU548" s="116"/>
      <c r="AV548" s="78"/>
      <c r="AW548" s="102"/>
      <c r="AX548" s="78"/>
      <c r="AY548" s="78"/>
      <c r="AZ548" s="78"/>
      <c r="BA548" s="78"/>
      <c r="BB548" s="78"/>
      <c r="BC548" s="78"/>
      <c r="BD548" s="78"/>
      <c r="BE548" s="465"/>
      <c r="BF548" s="165" t="str">
        <f t="shared" si="398"/>
        <v>https://www.google.com/search?tbm=isch&amp;q=3%20G4</v>
      </c>
      <c r="BG548" s="165" t="str">
        <f t="shared" si="399"/>
        <v>B</v>
      </c>
      <c r="BH548" s="65"/>
      <c r="BI548" s="65"/>
      <c r="BJ548" s="65"/>
      <c r="BK548" s="65"/>
      <c r="BL548" s="99"/>
      <c r="BM548" s="99"/>
      <c r="BN548" s="99"/>
    </row>
    <row r="549" spans="1:66" s="51" customFormat="1" ht="15.75" x14ac:dyDescent="0.25">
      <c r="A549" s="634">
        <v>3</v>
      </c>
      <c r="B549" s="635" t="s">
        <v>291</v>
      </c>
      <c r="C549" s="636" t="s">
        <v>1651</v>
      </c>
      <c r="D549" s="637" t="s">
        <v>329</v>
      </c>
      <c r="E549" s="638">
        <v>41.95</v>
      </c>
      <c r="F549" s="639" t="s">
        <v>292</v>
      </c>
      <c r="G549" s="484">
        <v>0</v>
      </c>
      <c r="H549" s="691" t="str">
        <f>IF(G549=0,"",IF(F549="Buy",IF(G549=1,"plant","plants"),IF(F549&gt;0.01,"warranty","Error")))</f>
        <v/>
      </c>
      <c r="I549" s="640">
        <f>IF(H549="free",0,IF(H549="credit",((E549*(F549))*G549*-1),IF(F549="Buy",(E549*G549),((E549*(1-F549))*G549))))</f>
        <v>0</v>
      </c>
      <c r="J549" s="640">
        <f>IF(H549="warranty",0,(I549*(_xlfn.SINGLE(SalesTaxPercentage))))</f>
        <v>0</v>
      </c>
      <c r="K549" s="716">
        <f t="shared" ref="K549" si="408">I549+J549</f>
        <v>0</v>
      </c>
      <c r="L549" s="716"/>
      <c r="M549" s="689" t="str">
        <f ca="1">IF(AND(G549&gt;0,E549=0),"WARNING - no PRICE inserted",IF(H549="free","FREE ~ no charge this plant",IF(H549="credit",CONCATENATE("-$",ROUND(K549*(1-_xlfn.SINGLE(T2GDiscount))*-1,2)," CREDIT after discount"),IF(_xlfn.SINGLE(T2GDiscount)=0,"",IF(G549=0,"",IF(F549="Buy",CONCATENATE("$",ROUND(K549*(1-_xlfn.SINGLE(T2GDiscount)),2)," with ",(_xlfn.SINGLE(T2GDiscount)*100),"% discount"),CONCATENATE("$",ROUND(K549*(1-_xlfn.SINGLE(T2GDiscount)),2)," with ",((_xlfn.SINGLE(T2GDiscount)*100+F549*100)-(_xlfn.SINGLE(T2GDiscount)*100*F549)),IF(F549&gt;0,"% discounts",IF(_xlfn.SINGLE(NoWarrantyDiscount)&gt;0,"% discounts","% discount")))))))))</f>
        <v/>
      </c>
      <c r="N549" s="690"/>
      <c r="O549" s="486"/>
      <c r="P549" s="486"/>
      <c r="Q549" s="486"/>
      <c r="R549" s="486"/>
      <c r="S549" s="486"/>
      <c r="T549" s="102">
        <f t="shared" si="387"/>
        <v>0</v>
      </c>
      <c r="U549" s="78">
        <f>IF(NOT(ISNUMBER(G549)), "", VLOOKUP(A549,'Discount Lookup'!D:E,2,FALSE)*G549)</f>
        <v>0</v>
      </c>
      <c r="V549" s="78">
        <f>IF(NOT(ISNUMBER(G549)), "", VLOOKUP(A549,'Discount Lookup'!G:H,2,FALSE)*G549)</f>
        <v>0</v>
      </c>
      <c r="W549" s="102">
        <f t="shared" si="388"/>
        <v>0</v>
      </c>
      <c r="X549" s="102">
        <f t="shared" si="389"/>
        <v>0</v>
      </c>
      <c r="Y549" s="120" t="b">
        <f t="shared" si="390"/>
        <v>0</v>
      </c>
      <c r="Z549" s="117">
        <f t="shared" si="391"/>
        <v>0</v>
      </c>
      <c r="AA549" s="118"/>
      <c r="AB549" s="118" t="str">
        <f t="shared" si="392"/>
        <v/>
      </c>
      <c r="AC549" s="712" t="str">
        <f>IF(AE549="T2G","no charge",IF(AND(OR(PlanterYesMe="No",PlanterYesMe="N",PlanterYesMe="me"),H549=""),"",IF(H549="credit","NO install",IF(AND(K549="",AE549="me"),"EACH row",IF(AND(K549="images",AE549="me"),"EACH row",IF(D549="","",IF(H549="credit","",IF(AE549="free","re-planting",IF(AE549="me","   not ELP, by",IF(AND(OR(PlanterYesMe="Yes",PlanterYesMe="Y"),G549&gt;0),(VLOOKUP(A549,'Discount Lookup'!J:K,2)*G549*(1-PlanterDiscount)*(1+PlanterDifficultyPercentage)),IF(AE549="ELP",(VLOOKUP(A549,'Discount Lookup'!J:K,2)*G549*(1-PlanterDiscount)*(1+PlanterDifficultyPercentage)),IF(AE549="free","re-planting",IF(G549=0,"",IF(PlanterYesMe="",IF(AE549="me","   not ELP, by",IF(AE549="",IF(G549&gt;0,(VLOOKUP(A549,'Discount Lookup'!J:K,2)*G549*(1-PlanterDiscount)*(1+PlanterDifficultyPercentage)),""),"")),"   not ELP, by"))))))))))))))</f>
        <v/>
      </c>
      <c r="AD549" s="712"/>
      <c r="AE549" s="513" t="str">
        <f t="shared" si="393"/>
        <v/>
      </c>
      <c r="AF549" s="713" t="str">
        <f t="shared" si="394"/>
        <v/>
      </c>
      <c r="AG549" s="713"/>
      <c r="AH549" s="713"/>
      <c r="AI549" s="112">
        <f>IF(H549="credit",0,IF(AE549="free",0,IF(AE549="me",0,IF(G549&gt;0,(VLOOKUP(A549,'Discount Lookup'!J:K,2)*G549),0))))</f>
        <v>0</v>
      </c>
      <c r="AJ549" s="107" t="str">
        <f t="shared" ca="1" si="395"/>
        <v/>
      </c>
      <c r="AK549" s="714" t="str">
        <f t="shared" si="396"/>
        <v/>
      </c>
      <c r="AL549" s="714"/>
      <c r="AM549" s="114" t="str">
        <f t="shared" si="397"/>
        <v/>
      </c>
      <c r="AN549" s="115"/>
      <c r="AO549" s="116"/>
      <c r="AP549" s="116"/>
      <c r="AQ549" s="116"/>
      <c r="AR549" s="116"/>
      <c r="AS549" s="116"/>
      <c r="AT549" s="116"/>
      <c r="AU549" s="116"/>
      <c r="AV549" s="78"/>
      <c r="AW549" s="102"/>
      <c r="AX549" s="78"/>
      <c r="AY549" s="78"/>
      <c r="AZ549" s="78"/>
      <c r="BA549" s="78"/>
      <c r="BB549" s="78"/>
      <c r="BC549" s="78"/>
      <c r="BD549" s="78"/>
      <c r="BE549" s="465"/>
      <c r="BF549" s="165" t="str">
        <f t="shared" si="398"/>
        <v>https://www.google.com/search?tbm=isch&amp;q=3%20G2</v>
      </c>
      <c r="BG549" s="165" t="str">
        <f t="shared" si="399"/>
        <v>B</v>
      </c>
      <c r="BH549" s="65"/>
      <c r="BI549" s="65"/>
      <c r="BJ549" s="65"/>
      <c r="BK549" s="65"/>
      <c r="BL549" s="99"/>
      <c r="BM549" s="99"/>
      <c r="BN549" s="99"/>
    </row>
    <row r="550" spans="1:66" s="51" customFormat="1" ht="15.75" x14ac:dyDescent="0.25">
      <c r="A550" s="634">
        <v>3</v>
      </c>
      <c r="B550" s="635" t="s">
        <v>291</v>
      </c>
      <c r="C550" s="636" t="s">
        <v>4570</v>
      </c>
      <c r="D550" s="637" t="s">
        <v>311</v>
      </c>
      <c r="E550" s="638">
        <v>42.95</v>
      </c>
      <c r="F550" s="639" t="s">
        <v>292</v>
      </c>
      <c r="G550" s="484">
        <v>0</v>
      </c>
      <c r="H550" s="691" t="str">
        <f>IF(G550=0,"",IF(F550="Buy",IF(G550=1,"plant","plants"),IF(F550&gt;0.01,"warranty","Error")))</f>
        <v/>
      </c>
      <c r="I550" s="640">
        <f>IF(H550="free",0,IF(H550="credit",((E550*(F550))*G550*-1),IF(F550="Buy",(E550*G550),((E550*(1-F550))*G550))))</f>
        <v>0</v>
      </c>
      <c r="J550" s="640">
        <f>IF(H550="warranty",0,(I550*(_xlfn.SINGLE(SalesTaxPercentage))))</f>
        <v>0</v>
      </c>
      <c r="K550" s="716">
        <f t="shared" ref="K550" si="409">I550+J550</f>
        <v>0</v>
      </c>
      <c r="L550" s="716"/>
      <c r="M550" s="689" t="str">
        <f ca="1">IF(AND(G550&gt;0,E550=0),"WARNING - no PRICE inserted",IF(H550="free","FREE ~ no charge this plant",IF(H550="credit",CONCATENATE("-$",ROUND(K550*(1-_xlfn.SINGLE(T2GDiscount))*-1,2)," CREDIT after discount"),IF(_xlfn.SINGLE(T2GDiscount)=0,"",IF(G550=0,"",IF(F550="Buy",CONCATENATE("$",ROUND(K550*(1-_xlfn.SINGLE(T2GDiscount)),2)," with ",(_xlfn.SINGLE(T2GDiscount)*100),"% discount"),CONCATENATE("$",ROUND(K550*(1-_xlfn.SINGLE(T2GDiscount)),2)," with ",((_xlfn.SINGLE(T2GDiscount)*100+F550*100)-(_xlfn.SINGLE(T2GDiscount)*100*F550)),IF(F550&gt;0,"% discounts",IF(_xlfn.SINGLE(NoWarrantyDiscount)&gt;0,"% discounts","% discount")))))))))</f>
        <v/>
      </c>
      <c r="N550" s="690"/>
      <c r="O550" s="486"/>
      <c r="P550" s="486"/>
      <c r="Q550" s="486"/>
      <c r="R550" s="486"/>
      <c r="S550" s="486"/>
      <c r="T550" s="102">
        <f t="shared" si="387"/>
        <v>0</v>
      </c>
      <c r="U550" s="78">
        <f>IF(NOT(ISNUMBER(G550)), "", VLOOKUP(A550,'Discount Lookup'!D:E,2,FALSE)*G550)</f>
        <v>0</v>
      </c>
      <c r="V550" s="78">
        <f>IF(NOT(ISNUMBER(G550)), "", VLOOKUP(A550,'Discount Lookup'!G:H,2,FALSE)*G550)</f>
        <v>0</v>
      </c>
      <c r="W550" s="102">
        <f t="shared" si="388"/>
        <v>0</v>
      </c>
      <c r="X550" s="102">
        <f t="shared" si="389"/>
        <v>0</v>
      </c>
      <c r="Y550" s="120" t="b">
        <f t="shared" si="390"/>
        <v>0</v>
      </c>
      <c r="Z550" s="117">
        <f t="shared" si="391"/>
        <v>0</v>
      </c>
      <c r="AA550" s="118"/>
      <c r="AB550" s="118" t="str">
        <f t="shared" si="392"/>
        <v/>
      </c>
      <c r="AC550" s="712" t="str">
        <f>IF(AE550="T2G","no charge",IF(AND(OR(PlanterYesMe="No",PlanterYesMe="N",PlanterYesMe="me"),H550=""),"",IF(H550="credit","NO install",IF(AND(K550="",AE550="me"),"EACH row",IF(AND(K550="images",AE550="me"),"EACH row",IF(D550="","",IF(H550="credit","",IF(AE550="free","re-planting",IF(AE550="me","   not ELP, by",IF(AND(OR(PlanterYesMe="Yes",PlanterYesMe="Y"),G550&gt;0),(VLOOKUP(A550,'Discount Lookup'!J:K,2)*G550*(1-PlanterDiscount)*(1+PlanterDifficultyPercentage)),IF(AE550="ELP",(VLOOKUP(A550,'Discount Lookup'!J:K,2)*G550*(1-PlanterDiscount)*(1+PlanterDifficultyPercentage)),IF(AE550="free","re-planting",IF(G550=0,"",IF(PlanterYesMe="",IF(AE550="me","   not ELP, by",IF(AE550="",IF(G550&gt;0,(VLOOKUP(A550,'Discount Lookup'!J:K,2)*G550*(1-PlanterDiscount)*(1+PlanterDifficultyPercentage)),""),"")),"   not ELP, by"))))))))))))))</f>
        <v/>
      </c>
      <c r="AD550" s="712"/>
      <c r="AE550" s="513" t="str">
        <f t="shared" si="393"/>
        <v/>
      </c>
      <c r="AF550" s="713" t="str">
        <f t="shared" si="394"/>
        <v/>
      </c>
      <c r="AG550" s="713"/>
      <c r="AH550" s="713"/>
      <c r="AI550" s="112">
        <f>IF(H550="credit",0,IF(AE550="free",0,IF(AE550="me",0,IF(G550&gt;0,(VLOOKUP(A550,'Discount Lookup'!J:K,2)*G550),0))))</f>
        <v>0</v>
      </c>
      <c r="AJ550" s="107" t="str">
        <f t="shared" ca="1" si="395"/>
        <v/>
      </c>
      <c r="AK550" s="714" t="str">
        <f t="shared" si="396"/>
        <v/>
      </c>
      <c r="AL550" s="714"/>
      <c r="AM550" s="114" t="str">
        <f t="shared" si="397"/>
        <v/>
      </c>
      <c r="AN550" s="115"/>
      <c r="AO550" s="116"/>
      <c r="AP550" s="116"/>
      <c r="AQ550" s="116"/>
      <c r="AR550" s="116"/>
      <c r="AS550" s="116"/>
      <c r="AT550" s="116"/>
      <c r="AU550" s="116"/>
      <c r="AV550" s="78"/>
      <c r="AW550" s="102"/>
      <c r="AX550" s="78"/>
      <c r="AY550" s="78"/>
      <c r="AZ550" s="78"/>
      <c r="BA550" s="78"/>
      <c r="BB550" s="78"/>
      <c r="BC550" s="78"/>
      <c r="BD550" s="78"/>
      <c r="BE550" s="465"/>
      <c r="BF550" s="165" t="str">
        <f t="shared" si="398"/>
        <v>https://www.google.com/search?tbm=isch&amp;q=3%20G5</v>
      </c>
      <c r="BG550" s="165" t="str">
        <f t="shared" si="399"/>
        <v>B</v>
      </c>
      <c r="BH550" s="65"/>
      <c r="BI550" s="65"/>
      <c r="BJ550" s="65"/>
      <c r="BK550" s="65"/>
      <c r="BL550" s="99"/>
      <c r="BM550" s="99"/>
      <c r="BN550" s="99"/>
    </row>
    <row r="551" spans="1:66" s="51" customFormat="1" ht="17.25" thickBot="1" x14ac:dyDescent="0.3">
      <c r="A551" s="641" t="s">
        <v>4681</v>
      </c>
      <c r="B551" s="642"/>
      <c r="C551" s="710"/>
      <c r="D551" s="643"/>
      <c r="E551" s="643"/>
      <c r="F551" s="644"/>
      <c r="G551" s="645"/>
      <c r="H551" s="646"/>
      <c r="I551" s="647"/>
      <c r="J551" s="648"/>
      <c r="K551" s="649"/>
      <c r="L551" s="650"/>
      <c r="M551" s="650"/>
      <c r="N551" s="644"/>
      <c r="O551" s="644"/>
      <c r="P551" s="644"/>
      <c r="Q551" s="644"/>
      <c r="R551" s="644"/>
      <c r="S551" s="701" t="s">
        <v>5267</v>
      </c>
      <c r="T551" s="102">
        <f t="shared" si="387"/>
        <v>0</v>
      </c>
      <c r="U551" s="78" t="str">
        <f>IF(NOT(ISNUMBER(G551)), "", VLOOKUP(A551,'Discount Lookup'!D:E,2,FALSE)*G551)</f>
        <v/>
      </c>
      <c r="V551" s="78" t="str">
        <f>IF(NOT(ISNUMBER(G551)), "", VLOOKUP(A551,'Discount Lookup'!G:H,2,FALSE)*G551)</f>
        <v/>
      </c>
      <c r="W551" s="102">
        <f t="shared" si="388"/>
        <v>0</v>
      </c>
      <c r="X551" s="102">
        <f t="shared" si="389"/>
        <v>0</v>
      </c>
      <c r="Y551" s="120" t="b">
        <f t="shared" si="390"/>
        <v>0</v>
      </c>
      <c r="Z551" s="117">
        <f t="shared" si="391"/>
        <v>0</v>
      </c>
      <c r="AA551" s="118"/>
      <c r="AB551" s="118" t="str">
        <f t="shared" si="392"/>
        <v/>
      </c>
      <c r="AC551" s="712" t="str">
        <f>IF(AE551="T2G","no charge",IF(AND(OR(PlanterYesMe="No",PlanterYesMe="N",PlanterYesMe="me"),H551=""),"",IF(H551="credit","NO install",IF(AND(K551="",AE551="me"),"EACH row",IF(AND(K551="images",AE551="me"),"EACH row",IF(D551="","",IF(H551="credit","",IF(AE551="free","re-planting",IF(AE551="me","   not ELP, by",IF(AND(OR(PlanterYesMe="Yes",PlanterYesMe="Y"),G551&gt;0),(VLOOKUP(A551,'Discount Lookup'!J:K,2)*G551*(1-PlanterDiscount)*(1+PlanterDifficultyPercentage)),IF(AE551="ELP",(VLOOKUP(A551,'Discount Lookup'!J:K,2)*G551*(1-PlanterDiscount)*(1+PlanterDifficultyPercentage)),IF(AE551="free","re-planting",IF(G551=0,"",IF(PlanterYesMe="",IF(AE551="me","   not ELP, by",IF(AE551="",IF(G551&gt;0,(VLOOKUP(A551,'Discount Lookup'!J:K,2)*G551*(1-PlanterDiscount)*(1+PlanterDifficultyPercentage)),""),"")),"   not ELP, by"))))))))))))))</f>
        <v/>
      </c>
      <c r="AD551" s="712"/>
      <c r="AE551" s="513" t="str">
        <f t="shared" si="393"/>
        <v/>
      </c>
      <c r="AF551" s="713" t="str">
        <f t="shared" si="394"/>
        <v/>
      </c>
      <c r="AG551" s="713"/>
      <c r="AH551" s="713"/>
      <c r="AI551" s="112">
        <f>IF(H551="credit",0,IF(AE551="free",0,IF(AE551="me",0,IF(G551&gt;0,(VLOOKUP(A551,'Discount Lookup'!J:K,2)*G551),0))))</f>
        <v>0</v>
      </c>
      <c r="AJ551" s="107" t="str">
        <f t="shared" ca="1" si="395"/>
        <v/>
      </c>
      <c r="AK551" s="714" t="str">
        <f t="shared" si="396"/>
        <v/>
      </c>
      <c r="AL551" s="714"/>
      <c r="AM551" s="114" t="str">
        <f t="shared" si="397"/>
        <v/>
      </c>
      <c r="AN551" s="115"/>
      <c r="AO551" s="116"/>
      <c r="AP551" s="116"/>
      <c r="AQ551" s="116"/>
      <c r="AR551" s="116"/>
      <c r="AS551" s="116"/>
      <c r="AT551" s="116"/>
      <c r="AU551" s="116"/>
      <c r="AV551" s="78"/>
      <c r="AW551" s="102"/>
      <c r="AX551" s="78"/>
      <c r="AY551" s="78"/>
      <c r="AZ551" s="78"/>
      <c r="BA551" s="78"/>
      <c r="BB551" s="78"/>
      <c r="BC551" s="78"/>
      <c r="BD551" s="78"/>
      <c r="BE551" s="465"/>
      <c r="BF551" s="165" t="str">
        <f t="shared" si="398"/>
        <v>https://www.google.com/search?tbm=isch&amp;q=Pugster%20Blue%20has%20Green%20foliage%20and%20a%20fragrance.%20All%20BB%20bloom%20summer%20to%20frost%2C%20on%20new%20wood%2C%20so%20cut%20back%20hard%20late%20winter%20</v>
      </c>
      <c r="BG551" s="165" t="str">
        <f t="shared" si="399"/>
        <v>P</v>
      </c>
      <c r="BH551" s="65"/>
      <c r="BI551" s="65"/>
      <c r="BJ551" s="65"/>
      <c r="BK551" s="65"/>
      <c r="BL551" s="99"/>
      <c r="BM551" s="99"/>
      <c r="BN551" s="99"/>
    </row>
    <row r="552" spans="1:66" s="51" customFormat="1" ht="18" x14ac:dyDescent="0.25">
      <c r="A552" s="623" t="s">
        <v>1652</v>
      </c>
      <c r="B552" s="624"/>
      <c r="C552" s="709"/>
      <c r="D552" s="625" t="s">
        <v>5600</v>
      </c>
      <c r="E552" s="626"/>
      <c r="F552" s="626"/>
      <c r="G552" s="626"/>
      <c r="H552" s="622" t="s">
        <v>1645</v>
      </c>
      <c r="I552" s="627" t="s">
        <v>1653</v>
      </c>
      <c r="J552" s="628"/>
      <c r="K552" s="628"/>
      <c r="L552" s="629"/>
      <c r="M552" s="700" t="s">
        <v>5241</v>
      </c>
      <c r="N552" s="693" t="str">
        <f>IF(AND(ISTEXT($A552), ISERROR($A552+0)), HYPERLINK($BF552, "Images"), "")</f>
        <v>Images</v>
      </c>
      <c r="O552" s="695" t="s">
        <v>5244</v>
      </c>
      <c r="P552" s="630"/>
      <c r="Q552" s="631"/>
      <c r="R552" s="632"/>
      <c r="S552" s="633"/>
      <c r="T552" s="102">
        <f t="shared" si="387"/>
        <v>0</v>
      </c>
      <c r="U552" s="78" t="str">
        <f>IF(NOT(ISNUMBER(G552)), "", VLOOKUP(A552,'Discount Lookup'!D:E,2,FALSE)*G552)</f>
        <v/>
      </c>
      <c r="V552" s="78" t="str">
        <f>IF(NOT(ISNUMBER(G552)), "", VLOOKUP(A552,'Discount Lookup'!G:H,2,FALSE)*G552)</f>
        <v/>
      </c>
      <c r="W552" s="102">
        <f t="shared" si="388"/>
        <v>0</v>
      </c>
      <c r="X552" s="102" t="str">
        <f t="shared" si="389"/>
        <v>Amethyst bloom, Yellow eye</v>
      </c>
      <c r="Y552" s="120" t="b">
        <f t="shared" si="390"/>
        <v>0</v>
      </c>
      <c r="Z552" s="117">
        <f t="shared" si="391"/>
        <v>0</v>
      </c>
      <c r="AA552" s="118"/>
      <c r="AB552" s="118" t="str">
        <f t="shared" si="392"/>
        <v/>
      </c>
      <c r="AC552" s="712" t="str">
        <f>IF(AE552="T2G","no charge",IF(AND(OR(PlanterYesMe="No",PlanterYesMe="N",PlanterYesMe="me"),H552=""),"",IF(H552="credit","NO install",IF(AND(K552="",AE552="me"),"EACH row",IF(AND(K552="images",AE552="me"),"EACH row",IF(D552="","",IF(H552="credit","",IF(AE552="free","re-planting",IF(AE552="me","   not ELP, by",IF(AND(OR(PlanterYesMe="Yes",PlanterYesMe="Y"),G552&gt;0),(VLOOKUP(A552,'Discount Lookup'!J:K,2)*G552*(1-PlanterDiscount)*(1+PlanterDifficultyPercentage)),IF(AE552="ELP",(VLOOKUP(A552,'Discount Lookup'!J:K,2)*G552*(1-PlanterDiscount)*(1+PlanterDifficultyPercentage)),IF(AE552="free","re-planting",IF(G552=0,"",IF(PlanterYesMe="",IF(AE552="me","   not ELP, by",IF(AE552="",IF(G552&gt;0,(VLOOKUP(A552,'Discount Lookup'!J:K,2)*G552*(1-PlanterDiscount)*(1+PlanterDifficultyPercentage)),""),"")),"   not ELP, by"))))))))))))))</f>
        <v/>
      </c>
      <c r="AD552" s="712"/>
      <c r="AE552" s="513" t="str">
        <f t="shared" si="393"/>
        <v/>
      </c>
      <c r="AF552" s="713" t="str">
        <f t="shared" si="394"/>
        <v/>
      </c>
      <c r="AG552" s="713"/>
      <c r="AH552" s="713"/>
      <c r="AI552" s="112">
        <f>IF(H552="credit",0,IF(AE552="free",0,IF(AE552="me",0,IF(G552&gt;0,(VLOOKUP(A552,'Discount Lookup'!J:K,2)*G552),0))))</f>
        <v>0</v>
      </c>
      <c r="AJ552" s="107" t="str">
        <f t="shared" ca="1" si="395"/>
        <v/>
      </c>
      <c r="AK552" s="714" t="str">
        <f t="shared" si="396"/>
        <v/>
      </c>
      <c r="AL552" s="714"/>
      <c r="AM552" s="114" t="str">
        <f t="shared" si="397"/>
        <v/>
      </c>
      <c r="AN552" s="115"/>
      <c r="AO552" s="116"/>
      <c r="AP552" s="116"/>
      <c r="AQ552" s="116"/>
      <c r="AR552" s="116"/>
      <c r="AS552" s="116"/>
      <c r="AT552" s="116"/>
      <c r="AU552" s="116"/>
      <c r="AV552" s="78"/>
      <c r="AW552" s="102"/>
      <c r="AX552" s="78"/>
      <c r="AY552" s="78"/>
      <c r="AZ552" s="78"/>
      <c r="BA552" s="78"/>
      <c r="BB552" s="78"/>
      <c r="BC552" s="78"/>
      <c r="BD552" s="78"/>
      <c r="BE552" s="465"/>
      <c r="BF552" s="165" t="str">
        <f t="shared" si="398"/>
        <v>https://www.google.com/search?tbm=isch&amp;q=Buddleia%20%27SMNBDL%27%20PP%2330236%20Pugster%C2%AE%20Amethyst%20Butterfly%20Bush</v>
      </c>
      <c r="BG552" s="165" t="str">
        <f t="shared" si="399"/>
        <v>B</v>
      </c>
      <c r="BH552" s="65"/>
      <c r="BI552" s="65"/>
      <c r="BJ552" s="65"/>
      <c r="BK552" s="65"/>
      <c r="BL552" s="99"/>
      <c r="BM552" s="99"/>
      <c r="BN552" s="99"/>
    </row>
    <row r="553" spans="1:66" s="51" customFormat="1" ht="15.75" x14ac:dyDescent="0.25">
      <c r="A553" s="634">
        <v>3</v>
      </c>
      <c r="B553" s="635" t="s">
        <v>291</v>
      </c>
      <c r="C553" s="636" t="s">
        <v>1654</v>
      </c>
      <c r="D553" s="637" t="s">
        <v>329</v>
      </c>
      <c r="E553" s="638">
        <v>41.95</v>
      </c>
      <c r="F553" s="639" t="s">
        <v>292</v>
      </c>
      <c r="G553" s="484">
        <v>0</v>
      </c>
      <c r="H553" s="691" t="str">
        <f>IF(G553=0,"",IF(F553="Buy",IF(G553=1,"plant","plants"),IF(F553&gt;0.01,"warranty","Error")))</f>
        <v/>
      </c>
      <c r="I553" s="640">
        <f>IF(H553="free",0,IF(H553="credit",((E553*(F553))*G553*-1),IF(F553="Buy",(E553*G553),((E553*(1-F553))*G553))))</f>
        <v>0</v>
      </c>
      <c r="J553" s="640">
        <f>IF(H553="warranty",0,(I553*(_xlfn.SINGLE(SalesTaxPercentage))))</f>
        <v>0</v>
      </c>
      <c r="K553" s="716">
        <f t="shared" ref="K553" si="410">I553+J553</f>
        <v>0</v>
      </c>
      <c r="L553" s="716"/>
      <c r="M553" s="689" t="str">
        <f ca="1">IF(AND(G553&gt;0,E553=0),"WARNING - no PRICE inserted",IF(H553="free","FREE ~ no charge this plant",IF(H553="credit",CONCATENATE("-$",ROUND(K553*(1-_xlfn.SINGLE(T2GDiscount))*-1,2)," CREDIT after discount"),IF(_xlfn.SINGLE(T2GDiscount)=0,"",IF(G553=0,"",IF(F553="Buy",CONCATENATE("$",ROUND(K553*(1-_xlfn.SINGLE(T2GDiscount)),2)," with ",(_xlfn.SINGLE(T2GDiscount)*100),"% discount"),CONCATENATE("$",ROUND(K553*(1-_xlfn.SINGLE(T2GDiscount)),2)," with ",((_xlfn.SINGLE(T2GDiscount)*100+F553*100)-(_xlfn.SINGLE(T2GDiscount)*100*F553)),IF(F553&gt;0,"% discounts",IF(_xlfn.SINGLE(NoWarrantyDiscount)&gt;0,"% discounts","% discount")))))))))</f>
        <v/>
      </c>
      <c r="N553" s="690"/>
      <c r="O553" s="486"/>
      <c r="P553" s="486"/>
      <c r="Q553" s="486"/>
      <c r="R553" s="486"/>
      <c r="S553" s="486"/>
      <c r="T553" s="102">
        <f t="shared" si="387"/>
        <v>0</v>
      </c>
      <c r="U553" s="78">
        <f>IF(NOT(ISNUMBER(G553)), "", VLOOKUP(A553,'Discount Lookup'!D:E,2,FALSE)*G553)</f>
        <v>0</v>
      </c>
      <c r="V553" s="78">
        <f>IF(NOT(ISNUMBER(G553)), "", VLOOKUP(A553,'Discount Lookup'!G:H,2,FALSE)*G553)</f>
        <v>0</v>
      </c>
      <c r="W553" s="102">
        <f t="shared" si="388"/>
        <v>0</v>
      </c>
      <c r="X553" s="102">
        <f t="shared" si="389"/>
        <v>0</v>
      </c>
      <c r="Y553" s="120" t="b">
        <f t="shared" si="390"/>
        <v>0</v>
      </c>
      <c r="Z553" s="117">
        <f t="shared" si="391"/>
        <v>0</v>
      </c>
      <c r="AA553" s="118"/>
      <c r="AB553" s="118" t="str">
        <f t="shared" si="392"/>
        <v/>
      </c>
      <c r="AC553" s="712" t="str">
        <f>IF(AE553="T2G","no charge",IF(AND(OR(PlanterYesMe="No",PlanterYesMe="N",PlanterYesMe="me"),H553=""),"",IF(H553="credit","NO install",IF(AND(K553="",AE553="me"),"EACH row",IF(AND(K553="images",AE553="me"),"EACH row",IF(D553="","",IF(H553="credit","",IF(AE553="free","re-planting",IF(AE553="me","   not ELP, by",IF(AND(OR(PlanterYesMe="Yes",PlanterYesMe="Y"),G553&gt;0),(VLOOKUP(A553,'Discount Lookup'!J:K,2)*G553*(1-PlanterDiscount)*(1+PlanterDifficultyPercentage)),IF(AE553="ELP",(VLOOKUP(A553,'Discount Lookup'!J:K,2)*G553*(1-PlanterDiscount)*(1+PlanterDifficultyPercentage)),IF(AE553="free","re-planting",IF(G553=0,"",IF(PlanterYesMe="",IF(AE553="me","   not ELP, by",IF(AE553="",IF(G553&gt;0,(VLOOKUP(A553,'Discount Lookup'!J:K,2)*G553*(1-PlanterDiscount)*(1+PlanterDifficultyPercentage)),""),"")),"   not ELP, by"))))))))))))))</f>
        <v/>
      </c>
      <c r="AD553" s="712"/>
      <c r="AE553" s="513" t="str">
        <f t="shared" si="393"/>
        <v/>
      </c>
      <c r="AF553" s="713" t="str">
        <f t="shared" si="394"/>
        <v/>
      </c>
      <c r="AG553" s="713"/>
      <c r="AH553" s="713"/>
      <c r="AI553" s="112">
        <f>IF(H553="credit",0,IF(AE553="free",0,IF(AE553="me",0,IF(G553&gt;0,(VLOOKUP(A553,'Discount Lookup'!J:K,2)*G553),0))))</f>
        <v>0</v>
      </c>
      <c r="AJ553" s="107" t="str">
        <f t="shared" ca="1" si="395"/>
        <v/>
      </c>
      <c r="AK553" s="714" t="str">
        <f t="shared" si="396"/>
        <v/>
      </c>
      <c r="AL553" s="714"/>
      <c r="AM553" s="114" t="str">
        <f t="shared" si="397"/>
        <v/>
      </c>
      <c r="AN553" s="115"/>
      <c r="AO553" s="116"/>
      <c r="AP553" s="116"/>
      <c r="AQ553" s="116"/>
      <c r="AR553" s="116"/>
      <c r="AS553" s="116"/>
      <c r="AT553" s="116"/>
      <c r="AU553" s="116"/>
      <c r="AV553" s="78"/>
      <c r="AW553" s="102"/>
      <c r="AX553" s="78"/>
      <c r="AY553" s="78"/>
      <c r="AZ553" s="78"/>
      <c r="BA553" s="78"/>
      <c r="BB553" s="78"/>
      <c r="BC553" s="78"/>
      <c r="BD553" s="78"/>
      <c r="BE553" s="465"/>
      <c r="BF553" s="165" t="str">
        <f t="shared" si="398"/>
        <v>https://www.google.com/search?tbm=isch&amp;q=3%20G2</v>
      </c>
      <c r="BG553" s="165" t="str">
        <f t="shared" si="399"/>
        <v>B</v>
      </c>
      <c r="BH553" s="65"/>
      <c r="BI553" s="65"/>
      <c r="BJ553" s="65"/>
      <c r="BK553" s="65"/>
      <c r="BL553" s="99"/>
      <c r="BM553" s="99"/>
      <c r="BN553" s="99"/>
    </row>
    <row r="554" spans="1:66" s="51" customFormat="1" ht="15.75" x14ac:dyDescent="0.25">
      <c r="A554" s="634">
        <v>3</v>
      </c>
      <c r="B554" s="635" t="s">
        <v>291</v>
      </c>
      <c r="C554" s="636" t="s">
        <v>4571</v>
      </c>
      <c r="D554" s="637" t="s">
        <v>311</v>
      </c>
      <c r="E554" s="638">
        <v>42.95</v>
      </c>
      <c r="F554" s="639" t="s">
        <v>292</v>
      </c>
      <c r="G554" s="484">
        <v>0</v>
      </c>
      <c r="H554" s="691" t="str">
        <f>IF(G554=0,"",IF(F554="Buy",IF(G554=1,"plant","plants"),IF(F554&gt;0.01,"warranty","Error")))</f>
        <v/>
      </c>
      <c r="I554" s="640">
        <f>IF(H554="free",0,IF(H554="credit",((E554*(F554))*G554*-1),IF(F554="Buy",(E554*G554),((E554*(1-F554))*G554))))</f>
        <v>0</v>
      </c>
      <c r="J554" s="640">
        <f>IF(H554="warranty",0,(I554*(_xlfn.SINGLE(SalesTaxPercentage))))</f>
        <v>0</v>
      </c>
      <c r="K554" s="716">
        <f t="shared" ref="K554" si="411">I554+J554</f>
        <v>0</v>
      </c>
      <c r="L554" s="716"/>
      <c r="M554" s="689" t="str">
        <f ca="1">IF(AND(G554&gt;0,E554=0),"WARNING - no PRICE inserted",IF(H554="free","FREE ~ no charge this plant",IF(H554="credit",CONCATENATE("-$",ROUND(K554*(1-_xlfn.SINGLE(T2GDiscount))*-1,2)," CREDIT after discount"),IF(_xlfn.SINGLE(T2GDiscount)=0,"",IF(G554=0,"",IF(F554="Buy",CONCATENATE("$",ROUND(K554*(1-_xlfn.SINGLE(T2GDiscount)),2)," with ",(_xlfn.SINGLE(T2GDiscount)*100),"% discount"),CONCATENATE("$",ROUND(K554*(1-_xlfn.SINGLE(T2GDiscount)),2)," with ",((_xlfn.SINGLE(T2GDiscount)*100+F554*100)-(_xlfn.SINGLE(T2GDiscount)*100*F554)),IF(F554&gt;0,"% discounts",IF(_xlfn.SINGLE(NoWarrantyDiscount)&gt;0,"% discounts","% discount")))))))))</f>
        <v/>
      </c>
      <c r="N554" s="690"/>
      <c r="O554" s="486"/>
      <c r="P554" s="486"/>
      <c r="Q554" s="486"/>
      <c r="R554" s="486"/>
      <c r="S554" s="486"/>
      <c r="T554" s="102">
        <f t="shared" si="387"/>
        <v>0</v>
      </c>
      <c r="U554" s="78">
        <f>IF(NOT(ISNUMBER(G554)), "", VLOOKUP(A554,'Discount Lookup'!D:E,2,FALSE)*G554)</f>
        <v>0</v>
      </c>
      <c r="V554" s="78">
        <f>IF(NOT(ISNUMBER(G554)), "", VLOOKUP(A554,'Discount Lookup'!G:H,2,FALSE)*G554)</f>
        <v>0</v>
      </c>
      <c r="W554" s="102">
        <f t="shared" si="388"/>
        <v>0</v>
      </c>
      <c r="X554" s="102">
        <f t="shared" si="389"/>
        <v>0</v>
      </c>
      <c r="Y554" s="120" t="b">
        <f t="shared" si="390"/>
        <v>0</v>
      </c>
      <c r="Z554" s="117">
        <f t="shared" si="391"/>
        <v>0</v>
      </c>
      <c r="AA554" s="118"/>
      <c r="AB554" s="118" t="str">
        <f t="shared" si="392"/>
        <v/>
      </c>
      <c r="AC554" s="712" t="str">
        <f>IF(AE554="T2G","no charge",IF(AND(OR(PlanterYesMe="No",PlanterYesMe="N",PlanterYesMe="me"),H554=""),"",IF(H554="credit","NO install",IF(AND(K554="",AE554="me"),"EACH row",IF(AND(K554="images",AE554="me"),"EACH row",IF(D554="","",IF(H554="credit","",IF(AE554="free","re-planting",IF(AE554="me","   not ELP, by",IF(AND(OR(PlanterYesMe="Yes",PlanterYesMe="Y"),G554&gt;0),(VLOOKUP(A554,'Discount Lookup'!J:K,2)*G554*(1-PlanterDiscount)*(1+PlanterDifficultyPercentage)),IF(AE554="ELP",(VLOOKUP(A554,'Discount Lookup'!J:K,2)*G554*(1-PlanterDiscount)*(1+PlanterDifficultyPercentage)),IF(AE554="free","re-planting",IF(G554=0,"",IF(PlanterYesMe="",IF(AE554="me","   not ELP, by",IF(AE554="",IF(G554&gt;0,(VLOOKUP(A554,'Discount Lookup'!J:K,2)*G554*(1-PlanterDiscount)*(1+PlanterDifficultyPercentage)),""),"")),"   not ELP, by"))))))))))))))</f>
        <v/>
      </c>
      <c r="AD554" s="712"/>
      <c r="AE554" s="513" t="str">
        <f t="shared" si="393"/>
        <v/>
      </c>
      <c r="AF554" s="713" t="str">
        <f t="shared" si="394"/>
        <v/>
      </c>
      <c r="AG554" s="713"/>
      <c r="AH554" s="713"/>
      <c r="AI554" s="112">
        <f>IF(H554="credit",0,IF(AE554="free",0,IF(AE554="me",0,IF(G554&gt;0,(VLOOKUP(A554,'Discount Lookup'!J:K,2)*G554),0))))</f>
        <v>0</v>
      </c>
      <c r="AJ554" s="107" t="str">
        <f t="shared" ca="1" si="395"/>
        <v/>
      </c>
      <c r="AK554" s="714" t="str">
        <f t="shared" si="396"/>
        <v/>
      </c>
      <c r="AL554" s="714"/>
      <c r="AM554" s="114" t="str">
        <f t="shared" si="397"/>
        <v/>
      </c>
      <c r="AN554" s="115"/>
      <c r="AO554" s="116"/>
      <c r="AP554" s="116"/>
      <c r="AQ554" s="116"/>
      <c r="AR554" s="116"/>
      <c r="AS554" s="116"/>
      <c r="AT554" s="116"/>
      <c r="AU554" s="116"/>
      <c r="AV554" s="78"/>
      <c r="AW554" s="102"/>
      <c r="AX554" s="78"/>
      <c r="AY554" s="78"/>
      <c r="AZ554" s="78"/>
      <c r="BA554" s="78"/>
      <c r="BB554" s="78"/>
      <c r="BC554" s="78"/>
      <c r="BD554" s="78"/>
      <c r="BE554" s="465"/>
      <c r="BF554" s="165" t="str">
        <f t="shared" si="398"/>
        <v>https://www.google.com/search?tbm=isch&amp;q=3%20G5</v>
      </c>
      <c r="BG554" s="165" t="str">
        <f t="shared" si="399"/>
        <v>B</v>
      </c>
      <c r="BH554" s="65"/>
      <c r="BI554" s="65"/>
      <c r="BJ554" s="65"/>
      <c r="BK554" s="65"/>
      <c r="BL554" s="99"/>
      <c r="BM554" s="99"/>
      <c r="BN554" s="99"/>
    </row>
    <row r="555" spans="1:66" s="51" customFormat="1" ht="17.25" thickBot="1" x14ac:dyDescent="0.3">
      <c r="A555" s="641" t="s">
        <v>4836</v>
      </c>
      <c r="B555" s="642"/>
      <c r="C555" s="710"/>
      <c r="D555" s="643"/>
      <c r="E555" s="643"/>
      <c r="F555" s="644"/>
      <c r="G555" s="645"/>
      <c r="H555" s="646"/>
      <c r="I555" s="647"/>
      <c r="J555" s="648"/>
      <c r="K555" s="649"/>
      <c r="L555" s="650"/>
      <c r="M555" s="650"/>
      <c r="N555" s="644"/>
      <c r="O555" s="644"/>
      <c r="P555" s="644"/>
      <c r="Q555" s="644"/>
      <c r="R555" s="644"/>
      <c r="S555" s="701" t="s">
        <v>5267</v>
      </c>
      <c r="T555" s="102">
        <f t="shared" si="387"/>
        <v>0</v>
      </c>
      <c r="U555" s="78" t="str">
        <f>IF(NOT(ISNUMBER(G555)), "", VLOOKUP(A555,'Discount Lookup'!D:E,2,FALSE)*G555)</f>
        <v/>
      </c>
      <c r="V555" s="78" t="str">
        <f>IF(NOT(ISNUMBER(G555)), "", VLOOKUP(A555,'Discount Lookup'!G:H,2,FALSE)*G555)</f>
        <v/>
      </c>
      <c r="W555" s="102">
        <f t="shared" si="388"/>
        <v>0</v>
      </c>
      <c r="X555" s="102">
        <f t="shared" si="389"/>
        <v>0</v>
      </c>
      <c r="Y555" s="120" t="b">
        <f t="shared" si="390"/>
        <v>0</v>
      </c>
      <c r="Z555" s="117">
        <f t="shared" si="391"/>
        <v>0</v>
      </c>
      <c r="AA555" s="118"/>
      <c r="AB555" s="118" t="str">
        <f t="shared" si="392"/>
        <v/>
      </c>
      <c r="AC555" s="712" t="str">
        <f>IF(AE555="T2G","no charge",IF(AND(OR(PlanterYesMe="No",PlanterYesMe="N",PlanterYesMe="me"),H555=""),"",IF(H555="credit","NO install",IF(AND(K555="",AE555="me"),"EACH row",IF(AND(K555="images",AE555="me"),"EACH row",IF(D555="","",IF(H555="credit","",IF(AE555="free","re-planting",IF(AE555="me","   not ELP, by",IF(AND(OR(PlanterYesMe="Yes",PlanterYesMe="Y"),G555&gt;0),(VLOOKUP(A555,'Discount Lookup'!J:K,2)*G555*(1-PlanterDiscount)*(1+PlanterDifficultyPercentage)),IF(AE555="ELP",(VLOOKUP(A555,'Discount Lookup'!J:K,2)*G555*(1-PlanterDiscount)*(1+PlanterDifficultyPercentage)),IF(AE555="free","re-planting",IF(G555=0,"",IF(PlanterYesMe="",IF(AE555="me","   not ELP, by",IF(AE555="",IF(G555&gt;0,(VLOOKUP(A555,'Discount Lookup'!J:K,2)*G555*(1-PlanterDiscount)*(1+PlanterDifficultyPercentage)),""),"")),"   not ELP, by"))))))))))))))</f>
        <v/>
      </c>
      <c r="AD555" s="712"/>
      <c r="AE555" s="513" t="str">
        <f t="shared" si="393"/>
        <v/>
      </c>
      <c r="AF555" s="713" t="str">
        <f t="shared" si="394"/>
        <v/>
      </c>
      <c r="AG555" s="713"/>
      <c r="AH555" s="713"/>
      <c r="AI555" s="112">
        <f>IF(H555="credit",0,IF(AE555="free",0,IF(AE555="me",0,IF(G555&gt;0,(VLOOKUP(A555,'Discount Lookup'!J:K,2)*G555),0))))</f>
        <v>0</v>
      </c>
      <c r="AJ555" s="107" t="str">
        <f t="shared" ca="1" si="395"/>
        <v/>
      </c>
      <c r="AK555" s="714" t="str">
        <f t="shared" si="396"/>
        <v/>
      </c>
      <c r="AL555" s="714"/>
      <c r="AM555" s="114" t="str">
        <f t="shared" si="397"/>
        <v/>
      </c>
      <c r="AN555" s="115"/>
      <c r="AO555" s="116"/>
      <c r="AP555" s="116"/>
      <c r="AQ555" s="116"/>
      <c r="AR555" s="116"/>
      <c r="AS555" s="116"/>
      <c r="AT555" s="116"/>
      <c r="AU555" s="116"/>
      <c r="AV555" s="78"/>
      <c r="AW555" s="102"/>
      <c r="AX555" s="78"/>
      <c r="AY555" s="78"/>
      <c r="AZ555" s="78"/>
      <c r="BA555" s="78"/>
      <c r="BB555" s="78"/>
      <c r="BC555" s="78"/>
      <c r="BD555" s="78"/>
      <c r="BE555" s="465"/>
      <c r="BF555" s="165" t="str">
        <f t="shared" si="398"/>
        <v>https://www.google.com/search?tbm=isch&amp;q=Pugster%20Amethyst%20has%20Green%20foliage%20and%20a%20fragrance.%20All%20BB%20bloom%20on%20new%20wood%2C%20so%20cut%20back%20hard%20late%20winter%20</v>
      </c>
      <c r="BG555" s="165" t="str">
        <f t="shared" si="399"/>
        <v>P</v>
      </c>
      <c r="BH555" s="65"/>
      <c r="BI555" s="65"/>
      <c r="BJ555" s="65"/>
      <c r="BK555" s="65"/>
      <c r="BL555" s="99"/>
      <c r="BM555" s="99"/>
      <c r="BN555" s="99"/>
    </row>
    <row r="556" spans="1:66" s="51" customFormat="1" ht="18" x14ac:dyDescent="0.25">
      <c r="A556" s="623" t="s">
        <v>1655</v>
      </c>
      <c r="B556" s="624"/>
      <c r="C556" s="709"/>
      <c r="D556" s="625" t="s">
        <v>1656</v>
      </c>
      <c r="E556" s="626"/>
      <c r="F556" s="626"/>
      <c r="G556" s="626"/>
      <c r="H556" s="622" t="s">
        <v>1657</v>
      </c>
      <c r="I556" s="627" t="s">
        <v>1658</v>
      </c>
      <c r="J556" s="628"/>
      <c r="K556" s="628"/>
      <c r="L556" s="629"/>
      <c r="M556" s="700" t="s">
        <v>5241</v>
      </c>
      <c r="N556" s="693" t="str">
        <f>IF(AND(ISTEXT($A556), ISERROR($A556+0)), HYPERLINK($BF556, "Images"), "")</f>
        <v>Images</v>
      </c>
      <c r="O556" s="695" t="s">
        <v>5244</v>
      </c>
      <c r="P556" s="630"/>
      <c r="Q556" s="631"/>
      <c r="R556" s="632"/>
      <c r="S556" s="633"/>
      <c r="T556" s="102">
        <f t="shared" si="387"/>
        <v>0</v>
      </c>
      <c r="U556" s="78" t="str">
        <f>IF(NOT(ISNUMBER(G556)), "", VLOOKUP(A556,'Discount Lookup'!D:E,2,FALSE)*G556)</f>
        <v/>
      </c>
      <c r="V556" s="78" t="str">
        <f>IF(NOT(ISNUMBER(G556)), "", VLOOKUP(A556,'Discount Lookup'!G:H,2,FALSE)*G556)</f>
        <v/>
      </c>
      <c r="W556" s="102">
        <f t="shared" si="388"/>
        <v>0</v>
      </c>
      <c r="X556" s="102" t="str">
        <f t="shared" si="389"/>
        <v>Golden-Yellow bloom, Orange eye</v>
      </c>
      <c r="Y556" s="120" t="b">
        <f t="shared" si="390"/>
        <v>0</v>
      </c>
      <c r="Z556" s="117">
        <f t="shared" si="391"/>
        <v>0</v>
      </c>
      <c r="AA556" s="118"/>
      <c r="AB556" s="118" t="str">
        <f t="shared" si="392"/>
        <v/>
      </c>
      <c r="AC556" s="712" t="str">
        <f>IF(AE556="T2G","no charge",IF(AND(OR(PlanterYesMe="No",PlanterYesMe="N",PlanterYesMe="me"),H556=""),"",IF(H556="credit","NO install",IF(AND(K556="",AE556="me"),"EACH row",IF(AND(K556="images",AE556="me"),"EACH row",IF(D556="","",IF(H556="credit","",IF(AE556="free","re-planting",IF(AE556="me","   not ELP, by",IF(AND(OR(PlanterYesMe="Yes",PlanterYesMe="Y"),G556&gt;0),(VLOOKUP(A556,'Discount Lookup'!J:K,2)*G556*(1-PlanterDiscount)*(1+PlanterDifficultyPercentage)),IF(AE556="ELP",(VLOOKUP(A556,'Discount Lookup'!J:K,2)*G556*(1-PlanterDiscount)*(1+PlanterDifficultyPercentage)),IF(AE556="free","re-planting",IF(G556=0,"",IF(PlanterYesMe="",IF(AE556="me","   not ELP, by",IF(AE556="",IF(G556&gt;0,(VLOOKUP(A556,'Discount Lookup'!J:K,2)*G556*(1-PlanterDiscount)*(1+PlanterDifficultyPercentage)),""),"")),"   not ELP, by"))))))))))))))</f>
        <v/>
      </c>
      <c r="AD556" s="712"/>
      <c r="AE556" s="513" t="str">
        <f t="shared" si="393"/>
        <v/>
      </c>
      <c r="AF556" s="713" t="str">
        <f t="shared" si="394"/>
        <v/>
      </c>
      <c r="AG556" s="713"/>
      <c r="AH556" s="713"/>
      <c r="AI556" s="112">
        <f>IF(H556="credit",0,IF(AE556="free",0,IF(AE556="me",0,IF(G556&gt;0,(VLOOKUP(A556,'Discount Lookup'!J:K,2)*G556),0))))</f>
        <v>0</v>
      </c>
      <c r="AJ556" s="107" t="str">
        <f t="shared" ca="1" si="395"/>
        <v/>
      </c>
      <c r="AK556" s="714" t="str">
        <f t="shared" si="396"/>
        <v/>
      </c>
      <c r="AL556" s="714"/>
      <c r="AM556" s="114" t="str">
        <f t="shared" si="397"/>
        <v/>
      </c>
      <c r="AN556" s="115"/>
      <c r="AO556" s="116"/>
      <c r="AP556" s="116"/>
      <c r="AQ556" s="116"/>
      <c r="AR556" s="116"/>
      <c r="AS556" s="116"/>
      <c r="AT556" s="116"/>
      <c r="AU556" s="116"/>
      <c r="AV556" s="78"/>
      <c r="AW556" s="102"/>
      <c r="AX556" s="78"/>
      <c r="AY556" s="78"/>
      <c r="AZ556" s="78"/>
      <c r="BA556" s="78"/>
      <c r="BB556" s="78"/>
      <c r="BC556" s="78"/>
      <c r="BD556" s="78"/>
      <c r="BE556" s="465"/>
      <c r="BF556" s="165" t="str">
        <f t="shared" si="398"/>
        <v>https://www.google.com/search?tbm=isch&amp;q=Buddleia%20x%20weyeriana%20%27Honeycomb%27%20Honeycomb%20Butterfly%20Bush</v>
      </c>
      <c r="BG556" s="165" t="str">
        <f t="shared" si="399"/>
        <v>B</v>
      </c>
      <c r="BH556" s="65"/>
      <c r="BI556" s="65"/>
      <c r="BJ556" s="65"/>
      <c r="BK556" s="65"/>
      <c r="BL556" s="99"/>
      <c r="BM556" s="99"/>
      <c r="BN556" s="99"/>
    </row>
    <row r="557" spans="1:66" s="51" customFormat="1" ht="15.75" x14ac:dyDescent="0.25">
      <c r="A557" s="634">
        <v>3</v>
      </c>
      <c r="B557" s="635" t="s">
        <v>291</v>
      </c>
      <c r="C557" s="636" t="s">
        <v>1100</v>
      </c>
      <c r="D557" s="637" t="s">
        <v>293</v>
      </c>
      <c r="E557" s="638">
        <v>40.950000000000003</v>
      </c>
      <c r="F557" s="639" t="s">
        <v>292</v>
      </c>
      <c r="G557" s="484">
        <v>0</v>
      </c>
      <c r="H557" s="691" t="str">
        <f>IF(G557=0,"",IF(F557="Buy",IF(G557=1,"plant","plants"),IF(F557&gt;0.01,"warranty","Error")))</f>
        <v/>
      </c>
      <c r="I557" s="640">
        <f>IF(H557="free",0,IF(H557="credit",((E557*(F557))*G557*-1),IF(F557="Buy",(E557*G557),((E557*(1-F557))*G557))))</f>
        <v>0</v>
      </c>
      <c r="J557" s="640">
        <f>IF(H557="warranty",0,(I557*(_xlfn.SINGLE(SalesTaxPercentage))))</f>
        <v>0</v>
      </c>
      <c r="K557" s="716">
        <f t="shared" ref="K557" si="412">I557+J557</f>
        <v>0</v>
      </c>
      <c r="L557" s="716"/>
      <c r="M557" s="689" t="str">
        <f ca="1">IF(AND(G557&gt;0,E557=0),"WARNING - no PRICE inserted",IF(H557="free","FREE ~ no charge this plant",IF(H557="credit",CONCATENATE("-$",ROUND(K557*(1-_xlfn.SINGLE(T2GDiscount))*-1,2)," CREDIT after discount"),IF(_xlfn.SINGLE(T2GDiscount)=0,"",IF(G557=0,"",IF(F557="Buy",CONCATENATE("$",ROUND(K557*(1-_xlfn.SINGLE(T2GDiscount)),2)," with ",(_xlfn.SINGLE(T2GDiscount)*100),"% discount"),CONCATENATE("$",ROUND(K557*(1-_xlfn.SINGLE(T2GDiscount)),2)," with ",((_xlfn.SINGLE(T2GDiscount)*100+F557*100)-(_xlfn.SINGLE(T2GDiscount)*100*F557)),IF(F557&gt;0,"% discounts",IF(_xlfn.SINGLE(NoWarrantyDiscount)&gt;0,"% discounts","% discount")))))))))</f>
        <v/>
      </c>
      <c r="N557" s="690"/>
      <c r="O557" s="486"/>
      <c r="P557" s="486"/>
      <c r="Q557" s="486"/>
      <c r="R557" s="486"/>
      <c r="S557" s="486"/>
      <c r="T557" s="102">
        <f t="shared" si="387"/>
        <v>0</v>
      </c>
      <c r="U557" s="78">
        <f>IF(NOT(ISNUMBER(G557)), "", VLOOKUP(A557,'Discount Lookup'!D:E,2,FALSE)*G557)</f>
        <v>0</v>
      </c>
      <c r="V557" s="78">
        <f>IF(NOT(ISNUMBER(G557)), "", VLOOKUP(A557,'Discount Lookup'!G:H,2,FALSE)*G557)</f>
        <v>0</v>
      </c>
      <c r="W557" s="102">
        <f t="shared" si="388"/>
        <v>0</v>
      </c>
      <c r="X557" s="102">
        <f t="shared" si="389"/>
        <v>0</v>
      </c>
      <c r="Y557" s="120" t="b">
        <f t="shared" si="390"/>
        <v>0</v>
      </c>
      <c r="Z557" s="117">
        <f t="shared" si="391"/>
        <v>0</v>
      </c>
      <c r="AA557" s="118"/>
      <c r="AB557" s="118" t="str">
        <f t="shared" si="392"/>
        <v/>
      </c>
      <c r="AC557" s="712" t="str">
        <f>IF(AE557="T2G","no charge",IF(AND(OR(PlanterYesMe="No",PlanterYesMe="N",PlanterYesMe="me"),H557=""),"",IF(H557="credit","NO install",IF(AND(K557="",AE557="me"),"EACH row",IF(AND(K557="images",AE557="me"),"EACH row",IF(D557="","",IF(H557="credit","",IF(AE557="free","re-planting",IF(AE557="me","   not ELP, by",IF(AND(OR(PlanterYesMe="Yes",PlanterYesMe="Y"),G557&gt;0),(VLOOKUP(A557,'Discount Lookup'!J:K,2)*G557*(1-PlanterDiscount)*(1+PlanterDifficultyPercentage)),IF(AE557="ELP",(VLOOKUP(A557,'Discount Lookup'!J:K,2)*G557*(1-PlanterDiscount)*(1+PlanterDifficultyPercentage)),IF(AE557="free","re-planting",IF(G557=0,"",IF(PlanterYesMe="",IF(AE557="me","   not ELP, by",IF(AE557="",IF(G557&gt;0,(VLOOKUP(A557,'Discount Lookup'!J:K,2)*G557*(1-PlanterDiscount)*(1+PlanterDifficultyPercentage)),""),"")),"   not ELP, by"))))))))))))))</f>
        <v/>
      </c>
      <c r="AD557" s="712"/>
      <c r="AE557" s="513" t="str">
        <f t="shared" si="393"/>
        <v/>
      </c>
      <c r="AF557" s="713" t="str">
        <f t="shared" si="394"/>
        <v/>
      </c>
      <c r="AG557" s="713"/>
      <c r="AH557" s="713"/>
      <c r="AI557" s="112">
        <f>IF(H557="credit",0,IF(AE557="free",0,IF(AE557="me",0,IF(G557&gt;0,(VLOOKUP(A557,'Discount Lookup'!J:K,2)*G557),0))))</f>
        <v>0</v>
      </c>
      <c r="AJ557" s="107" t="str">
        <f t="shared" ca="1" si="395"/>
        <v/>
      </c>
      <c r="AK557" s="714" t="str">
        <f t="shared" si="396"/>
        <v/>
      </c>
      <c r="AL557" s="714"/>
      <c r="AM557" s="114" t="str">
        <f t="shared" si="397"/>
        <v/>
      </c>
      <c r="AN557" s="115"/>
      <c r="AO557" s="116"/>
      <c r="AP557" s="116"/>
      <c r="AQ557" s="116"/>
      <c r="AR557" s="116"/>
      <c r="AS557" s="116"/>
      <c r="AT557" s="116"/>
      <c r="AU557" s="116"/>
      <c r="AV557" s="78"/>
      <c r="AW557" s="102"/>
      <c r="AX557" s="78"/>
      <c r="AY557" s="78"/>
      <c r="AZ557" s="78"/>
      <c r="BA557" s="78"/>
      <c r="BB557" s="78"/>
      <c r="BC557" s="78"/>
      <c r="BD557" s="78"/>
      <c r="BE557" s="465"/>
      <c r="BF557" s="165" t="str">
        <f t="shared" si="398"/>
        <v>https://www.google.com/search?tbm=isch&amp;q=3%20G6</v>
      </c>
      <c r="BG557" s="165" t="str">
        <f t="shared" si="399"/>
        <v>B</v>
      </c>
      <c r="BH557" s="65"/>
      <c r="BI557" s="65"/>
      <c r="BJ557" s="65"/>
      <c r="BK557" s="65"/>
      <c r="BL557" s="99"/>
      <c r="BM557" s="99"/>
      <c r="BN557" s="99"/>
    </row>
    <row r="558" spans="1:66" s="51" customFormat="1" ht="16.5" x14ac:dyDescent="0.25">
      <c r="A558" s="641" t="s">
        <v>1659</v>
      </c>
      <c r="B558" s="642"/>
      <c r="C558" s="710"/>
      <c r="D558" s="643"/>
      <c r="E558" s="643"/>
      <c r="F558" s="644"/>
      <c r="G558" s="645"/>
      <c r="H558" s="646"/>
      <c r="I558" s="647"/>
      <c r="J558" s="648"/>
      <c r="K558" s="649"/>
      <c r="L558" s="650"/>
      <c r="M558" s="650"/>
      <c r="N558" s="644"/>
      <c r="O558" s="644"/>
      <c r="P558" s="644"/>
      <c r="Q558" s="644"/>
      <c r="R558" s="644"/>
      <c r="S558" s="701" t="s">
        <v>5267</v>
      </c>
      <c r="T558" s="102">
        <f t="shared" si="387"/>
        <v>0</v>
      </c>
      <c r="U558" s="78" t="str">
        <f>IF(NOT(ISNUMBER(G558)), "", VLOOKUP(A558,'Discount Lookup'!D:E,2,FALSE)*G558)</f>
        <v/>
      </c>
      <c r="V558" s="78" t="str">
        <f>IF(NOT(ISNUMBER(G558)), "", VLOOKUP(A558,'Discount Lookup'!G:H,2,FALSE)*G558)</f>
        <v/>
      </c>
      <c r="W558" s="102">
        <f t="shared" si="388"/>
        <v>0</v>
      </c>
      <c r="X558" s="102">
        <f t="shared" si="389"/>
        <v>0</v>
      </c>
      <c r="Y558" s="120" t="b">
        <f t="shared" si="390"/>
        <v>0</v>
      </c>
      <c r="Z558" s="117">
        <f t="shared" si="391"/>
        <v>0</v>
      </c>
      <c r="AA558" s="118"/>
      <c r="AB558" s="118" t="str">
        <f t="shared" si="392"/>
        <v/>
      </c>
      <c r="AC558" s="712" t="str">
        <f>IF(AE558="T2G","no charge",IF(AND(OR(PlanterYesMe="No",PlanterYesMe="N",PlanterYesMe="me"),H558=""),"",IF(H558="credit","NO install",IF(AND(K558="",AE558="me"),"EACH row",IF(AND(K558="images",AE558="me"),"EACH row",IF(D558="","",IF(H558="credit","",IF(AE558="free","re-planting",IF(AE558="me","   not ELP, by",IF(AND(OR(PlanterYesMe="Yes",PlanterYesMe="Y"),G558&gt;0),(VLOOKUP(A558,'Discount Lookup'!J:K,2)*G558*(1-PlanterDiscount)*(1+PlanterDifficultyPercentage)),IF(AE558="ELP",(VLOOKUP(A558,'Discount Lookup'!J:K,2)*G558*(1-PlanterDiscount)*(1+PlanterDifficultyPercentage)),IF(AE558="free","re-planting",IF(G558=0,"",IF(PlanterYesMe="",IF(AE558="me","   not ELP, by",IF(AE558="",IF(G558&gt;0,(VLOOKUP(A558,'Discount Lookup'!J:K,2)*G558*(1-PlanterDiscount)*(1+PlanterDifficultyPercentage)),""),"")),"   not ELP, by"))))))))))))))</f>
        <v/>
      </c>
      <c r="AD558" s="712"/>
      <c r="AE558" s="513" t="str">
        <f t="shared" si="393"/>
        <v/>
      </c>
      <c r="AF558" s="713" t="str">
        <f t="shared" si="394"/>
        <v/>
      </c>
      <c r="AG558" s="713"/>
      <c r="AH558" s="713"/>
      <c r="AI558" s="112">
        <f>IF(H558="credit",0,IF(AE558="free",0,IF(AE558="me",0,IF(G558&gt;0,(VLOOKUP(A558,'Discount Lookup'!J:K,2)*G558),0))))</f>
        <v>0</v>
      </c>
      <c r="AJ558" s="107" t="str">
        <f t="shared" ca="1" si="395"/>
        <v/>
      </c>
      <c r="AK558" s="714" t="str">
        <f t="shared" si="396"/>
        <v/>
      </c>
      <c r="AL558" s="714"/>
      <c r="AM558" s="114" t="str">
        <f t="shared" si="397"/>
        <v/>
      </c>
      <c r="AN558" s="115"/>
      <c r="AO558" s="116"/>
      <c r="AP558" s="116"/>
      <c r="AQ558" s="116"/>
      <c r="AR558" s="116"/>
      <c r="AS558" s="116"/>
      <c r="AT558" s="116"/>
      <c r="AU558" s="116"/>
      <c r="AV558" s="78"/>
      <c r="AW558" s="102"/>
      <c r="AX558" s="78"/>
      <c r="AY558" s="78"/>
      <c r="AZ558" s="78"/>
      <c r="BA558" s="78"/>
      <c r="BB558" s="78"/>
      <c r="BC558" s="78"/>
      <c r="BD558" s="78"/>
      <c r="BE558" s="465"/>
      <c r="BF558" s="165" t="str">
        <f t="shared" si="398"/>
        <v>https://www.google.com/search?tbm=isch&amp;q=Honeycomb%20has%20Green%20foliage%20and%20a%20fragrance.%20All%20BB%20bloom%20summer%20to%20frost%2C%20on%20new%20wood%2C%20so%20cut%20back%20hard%20late%20winter%20</v>
      </c>
      <c r="BG558" s="165" t="str">
        <f t="shared" si="399"/>
        <v>H</v>
      </c>
      <c r="BH558" s="65"/>
      <c r="BI558" s="65"/>
      <c r="BJ558" s="65"/>
      <c r="BK558" s="65"/>
      <c r="BL558" s="99"/>
      <c r="BM558" s="99"/>
      <c r="BN558" s="99"/>
    </row>
    <row r="559" spans="1:66" s="51" customFormat="1" ht="19.5" thickBot="1" x14ac:dyDescent="0.3">
      <c r="A559" s="686" t="s">
        <v>375</v>
      </c>
      <c r="B559" s="73"/>
      <c r="C559" s="708"/>
      <c r="D559" s="73"/>
      <c r="E559" s="73"/>
      <c r="F559" s="496"/>
      <c r="G559" s="73"/>
      <c r="H559" s="73"/>
      <c r="I559" s="73"/>
      <c r="J559" s="497" t="s">
        <v>357</v>
      </c>
      <c r="K559" s="498"/>
      <c r="L559" s="562"/>
      <c r="M559" s="73"/>
      <c r="N559"/>
      <c r="O559"/>
      <c r="P559"/>
      <c r="Q559"/>
      <c r="R559"/>
      <c r="S559"/>
      <c r="T559" s="102">
        <f t="shared" si="387"/>
        <v>0</v>
      </c>
      <c r="U559" s="78" t="str">
        <f>IF(NOT(ISNUMBER(G559)), "", VLOOKUP(A559,'Discount Lookup'!D:E,2,FALSE)*G559)</f>
        <v/>
      </c>
      <c r="V559" s="78" t="str">
        <f>IF(NOT(ISNUMBER(G559)), "", VLOOKUP(A559,'Discount Lookup'!G:H,2,FALSE)*G559)</f>
        <v/>
      </c>
      <c r="W559" s="102">
        <f t="shared" si="388"/>
        <v>0</v>
      </c>
      <c r="X559" s="102">
        <f t="shared" si="389"/>
        <v>0</v>
      </c>
      <c r="Y559" s="120" t="b">
        <f t="shared" si="390"/>
        <v>0</v>
      </c>
      <c r="Z559" s="117">
        <f t="shared" si="391"/>
        <v>0</v>
      </c>
      <c r="AA559" s="118"/>
      <c r="AB559" s="118" t="str">
        <f t="shared" si="392"/>
        <v/>
      </c>
      <c r="AC559" s="712" t="str">
        <f>IF(AE559="T2G","no charge",IF(AND(OR(PlanterYesMe="No",PlanterYesMe="N",PlanterYesMe="me"),H559=""),"",IF(H559="credit","NO install",IF(AND(K559="",AE559="me"),"EACH row",IF(AND(K559="images",AE559="me"),"EACH row",IF(D559="","",IF(H559="credit","",IF(AE559="free","re-planting",IF(AE559="me","   not ELP, by",IF(AND(OR(PlanterYesMe="Yes",PlanterYesMe="Y"),G559&gt;0),(VLOOKUP(A559,'Discount Lookup'!J:K,2)*G559*(1-PlanterDiscount)*(1+PlanterDifficultyPercentage)),IF(AE559="ELP",(VLOOKUP(A559,'Discount Lookup'!J:K,2)*G559*(1-PlanterDiscount)*(1+PlanterDifficultyPercentage)),IF(AE559="free","re-planting",IF(G559=0,"",IF(PlanterYesMe="",IF(AE559="me","   not ELP, by",IF(AE559="",IF(G559&gt;0,(VLOOKUP(A559,'Discount Lookup'!J:K,2)*G559*(1-PlanterDiscount)*(1+PlanterDifficultyPercentage)),""),"")),"   not ELP, by"))))))))))))))</f>
        <v/>
      </c>
      <c r="AD559" s="712"/>
      <c r="AE559" s="513" t="str">
        <f t="shared" si="393"/>
        <v/>
      </c>
      <c r="AF559" s="713" t="str">
        <f t="shared" si="394"/>
        <v/>
      </c>
      <c r="AG559" s="713"/>
      <c r="AH559" s="713"/>
      <c r="AI559" s="112">
        <f>IF(H559="credit",0,IF(AE559="free",0,IF(AE559="me",0,IF(G559&gt;0,(VLOOKUP(A559,'Discount Lookup'!J:K,2)*G559),0))))</f>
        <v>0</v>
      </c>
      <c r="AJ559" s="107" t="str">
        <f t="shared" ca="1" si="395"/>
        <v/>
      </c>
      <c r="AK559" s="714" t="str">
        <f t="shared" si="396"/>
        <v/>
      </c>
      <c r="AL559" s="714"/>
      <c r="AM559" s="114" t="str">
        <f t="shared" si="397"/>
        <v/>
      </c>
      <c r="AN559" s="115"/>
      <c r="AO559" s="116"/>
      <c r="AP559" s="116"/>
      <c r="AQ559" s="116"/>
      <c r="AR559" s="116"/>
      <c r="AS559" s="116"/>
      <c r="AT559" s="116"/>
      <c r="AU559" s="116"/>
      <c r="AV559" s="78"/>
      <c r="AW559" s="102"/>
      <c r="AX559" s="78"/>
      <c r="AY559" s="78"/>
      <c r="AZ559" s="78"/>
      <c r="BA559" s="78"/>
      <c r="BB559" s="78"/>
      <c r="BC559" s="78"/>
      <c r="BD559" s="78"/>
      <c r="BE559" s="465"/>
      <c r="BF559" s="165" t="str">
        <f t="shared" si="398"/>
        <v>https://www.google.com/search?tbm=isch&amp;q=Buxus%20%3D%20Boxwood%20</v>
      </c>
      <c r="BG559" s="165" t="str">
        <f t="shared" si="399"/>
        <v>B</v>
      </c>
      <c r="BH559" s="65"/>
      <c r="BI559" s="65"/>
      <c r="BJ559" s="65"/>
      <c r="BK559" s="65"/>
      <c r="BL559" s="99"/>
      <c r="BM559" s="99"/>
      <c r="BN559" s="99"/>
    </row>
    <row r="560" spans="1:66" s="51" customFormat="1" ht="18" x14ac:dyDescent="0.25">
      <c r="A560" s="507" t="s">
        <v>1660</v>
      </c>
      <c r="B560" s="470"/>
      <c r="C560" s="706"/>
      <c r="D560" s="471" t="s">
        <v>1661</v>
      </c>
      <c r="E560" s="472"/>
      <c r="F560" s="472"/>
      <c r="G560" s="472"/>
      <c r="H560" s="622" t="s">
        <v>1076</v>
      </c>
      <c r="I560" s="473" t="s">
        <v>440</v>
      </c>
      <c r="J560" s="472"/>
      <c r="K560" s="472"/>
      <c r="L560" s="561"/>
      <c r="M560" s="698" t="s">
        <v>5246</v>
      </c>
      <c r="N560" s="692" t="str">
        <f>IF(AND(ISTEXT($A560), ISERROR($A560+0)), HYPERLINK($BF560, "Images"), "")</f>
        <v>Images</v>
      </c>
      <c r="O560" s="694" t="s">
        <v>5244</v>
      </c>
      <c r="P560" s="475"/>
      <c r="Q560" s="476"/>
      <c r="R560" s="476"/>
      <c r="S560" s="477"/>
      <c r="T560" s="102">
        <f t="shared" si="387"/>
        <v>0</v>
      </c>
      <c r="U560" s="78" t="str">
        <f>IF(NOT(ISNUMBER(G560)), "", VLOOKUP(A560,'Discount Lookup'!D:E,2,FALSE)*G560)</f>
        <v/>
      </c>
      <c r="V560" s="78" t="str">
        <f>IF(NOT(ISNUMBER(G560)), "", VLOOKUP(A560,'Discount Lookup'!G:H,2,FALSE)*G560)</f>
        <v/>
      </c>
      <c r="W560" s="102">
        <f t="shared" si="388"/>
        <v>0</v>
      </c>
      <c r="X560" s="102" t="str">
        <f t="shared" si="389"/>
        <v>Rich Green foliage</v>
      </c>
      <c r="Y560" s="120" t="b">
        <f t="shared" si="390"/>
        <v>0</v>
      </c>
      <c r="Z560" s="117">
        <f t="shared" si="391"/>
        <v>0</v>
      </c>
      <c r="AA560" s="118"/>
      <c r="AB560" s="118" t="str">
        <f t="shared" si="392"/>
        <v/>
      </c>
      <c r="AC560" s="712" t="str">
        <f>IF(AE560="T2G","no charge",IF(AND(OR(PlanterYesMe="No",PlanterYesMe="N",PlanterYesMe="me"),H560=""),"",IF(H560="credit","NO install",IF(AND(K560="",AE560="me"),"EACH row",IF(AND(K560="images",AE560="me"),"EACH row",IF(D560="","",IF(H560="credit","",IF(AE560="free","re-planting",IF(AE560="me","   not ELP, by",IF(AND(OR(PlanterYesMe="Yes",PlanterYesMe="Y"),G560&gt;0),(VLOOKUP(A560,'Discount Lookup'!J:K,2)*G560*(1-PlanterDiscount)*(1+PlanterDifficultyPercentage)),IF(AE560="ELP",(VLOOKUP(A560,'Discount Lookup'!J:K,2)*G560*(1-PlanterDiscount)*(1+PlanterDifficultyPercentage)),IF(AE560="free","re-planting",IF(G560=0,"",IF(PlanterYesMe="",IF(AE560="me","   not ELP, by",IF(AE560="",IF(G560&gt;0,(VLOOKUP(A560,'Discount Lookup'!J:K,2)*G560*(1-PlanterDiscount)*(1+PlanterDifficultyPercentage)),""),"")),"   not ELP, by"))))))))))))))</f>
        <v/>
      </c>
      <c r="AD560" s="712"/>
      <c r="AE560" s="513" t="str">
        <f t="shared" si="393"/>
        <v/>
      </c>
      <c r="AF560" s="713" t="str">
        <f t="shared" si="394"/>
        <v/>
      </c>
      <c r="AG560" s="713"/>
      <c r="AH560" s="713"/>
      <c r="AI560" s="112">
        <f>IF(H560="credit",0,IF(AE560="free",0,IF(AE560="me",0,IF(G560&gt;0,(VLOOKUP(A560,'Discount Lookup'!J:K,2)*G560),0))))</f>
        <v>0</v>
      </c>
      <c r="AJ560" s="107" t="str">
        <f t="shared" ca="1" si="395"/>
        <v/>
      </c>
      <c r="AK560" s="714" t="str">
        <f t="shared" si="396"/>
        <v/>
      </c>
      <c r="AL560" s="714"/>
      <c r="AM560" s="114" t="str">
        <f t="shared" si="397"/>
        <v/>
      </c>
      <c r="AN560" s="115"/>
      <c r="AO560" s="116"/>
      <c r="AP560" s="116"/>
      <c r="AQ560" s="116"/>
      <c r="AR560" s="116"/>
      <c r="AS560" s="116"/>
      <c r="AT560" s="116"/>
      <c r="AU560" s="116"/>
      <c r="AV560" s="78"/>
      <c r="AW560" s="102"/>
      <c r="AX560" s="78"/>
      <c r="AY560" s="78"/>
      <c r="AZ560" s="78"/>
      <c r="BA560" s="78"/>
      <c r="BB560" s="78"/>
      <c r="BC560" s="78"/>
      <c r="BD560" s="78"/>
      <c r="BE560" s="465"/>
      <c r="BF560" s="165" t="str">
        <f t="shared" si="398"/>
        <v>https://www.google.com/search?tbm=isch&amp;q=Buxus%20microphyla%20koreana%20%27Wintergreen%27%20Wintergreen%20Boxwood</v>
      </c>
      <c r="BG560" s="165" t="str">
        <f t="shared" si="399"/>
        <v>B</v>
      </c>
      <c r="BH560" s="65"/>
      <c r="BI560" s="65"/>
      <c r="BJ560" s="65"/>
      <c r="BK560" s="65"/>
      <c r="BL560" s="99"/>
      <c r="BM560" s="99"/>
      <c r="BN560" s="99"/>
    </row>
    <row r="561" spans="1:66" s="51" customFormat="1" ht="15.75" x14ac:dyDescent="0.25">
      <c r="A561" s="478">
        <v>3</v>
      </c>
      <c r="B561" s="479" t="s">
        <v>291</v>
      </c>
      <c r="C561" s="480" t="s">
        <v>337</v>
      </c>
      <c r="D561" s="481" t="s">
        <v>310</v>
      </c>
      <c r="E561" s="482">
        <v>25.95</v>
      </c>
      <c r="F561" s="483" t="s">
        <v>292</v>
      </c>
      <c r="G561" s="484">
        <v>0</v>
      </c>
      <c r="H561" s="688" t="str">
        <f t="shared" ref="H561:H566" si="413">IF(G561=0,"",IF(F561="Buy",IF(G561=1,"plant","plants"),IF(F561&gt;0.01,"warranty","Error")))</f>
        <v/>
      </c>
      <c r="I561" s="485">
        <f t="shared" ref="I561:I566" si="414">IF(H561="free",0,IF(H561="credit",((E561*(F561))*G561*-1),IF(F561="Buy",(E561*G561),((E561*(1-F561))*G561))))</f>
        <v>0</v>
      </c>
      <c r="J561" s="485">
        <f t="shared" ref="J561:J566" si="415">IF(H561="warranty",0,(I561*(_xlfn.SINGLE(SalesTaxPercentage))))</f>
        <v>0</v>
      </c>
      <c r="K561" s="715">
        <f t="shared" ref="K561" si="416">I561+J561</f>
        <v>0</v>
      </c>
      <c r="L561" s="715"/>
      <c r="M561" s="689" t="str">
        <f t="shared" ref="M561:M566" ca="1" si="417">IF(AND(G561&gt;0,E561=0),"WARNING - no PRICE inserted",IF(H561="free","FREE ~ no charge this plant",IF(H561="credit",CONCATENATE("-$",ROUND(K561*(1-_xlfn.SINGLE(T2GDiscount))*-1,2)," CREDIT after discount"),IF(_xlfn.SINGLE(T2GDiscount)=0,"",IF(G561=0,"",IF(F561="Buy",CONCATENATE("$",ROUND(K561*(1-_xlfn.SINGLE(T2GDiscount)),2)," with ",(_xlfn.SINGLE(T2GDiscount)*100),"% discount"),CONCATENATE("$",ROUND(K561*(1-_xlfn.SINGLE(T2GDiscount)),2)," with ",((_xlfn.SINGLE(T2GDiscount)*100+F561*100)-(_xlfn.SINGLE(T2GDiscount)*100*F561)),IF(F561&gt;0,"% discounts",IF(_xlfn.SINGLE(NoWarrantyDiscount)&gt;0,"% discounts","% discount")))))))))</f>
        <v/>
      </c>
      <c r="N561" s="690"/>
      <c r="O561" s="486"/>
      <c r="P561" s="486"/>
      <c r="Q561" s="486"/>
      <c r="R561" s="486"/>
      <c r="S561" s="486"/>
      <c r="T561" s="102">
        <f t="shared" si="387"/>
        <v>0</v>
      </c>
      <c r="U561" s="78">
        <f>IF(NOT(ISNUMBER(G561)), "", VLOOKUP(A561,'Discount Lookup'!D:E,2,FALSE)*G561)</f>
        <v>0</v>
      </c>
      <c r="V561" s="78">
        <f>IF(NOT(ISNUMBER(G561)), "", VLOOKUP(A561,'Discount Lookup'!G:H,2,FALSE)*G561)</f>
        <v>0</v>
      </c>
      <c r="W561" s="102">
        <f t="shared" si="388"/>
        <v>0</v>
      </c>
      <c r="X561" s="102">
        <f t="shared" si="389"/>
        <v>0</v>
      </c>
      <c r="Y561" s="120" t="b">
        <f t="shared" si="390"/>
        <v>0</v>
      </c>
      <c r="Z561" s="117">
        <f t="shared" si="391"/>
        <v>0</v>
      </c>
      <c r="AA561" s="118"/>
      <c r="AB561" s="118" t="str">
        <f t="shared" si="392"/>
        <v/>
      </c>
      <c r="AC561" s="712" t="str">
        <f>IF(AE561="T2G","no charge",IF(AND(OR(PlanterYesMe="No",PlanterYesMe="N",PlanterYesMe="me"),H561=""),"",IF(H561="credit","NO install",IF(AND(K561="",AE561="me"),"EACH row",IF(AND(K561="images",AE561="me"),"EACH row",IF(D561="","",IF(H561="credit","",IF(AE561="free","re-planting",IF(AE561="me","   not ELP, by",IF(AND(OR(PlanterYesMe="Yes",PlanterYesMe="Y"),G561&gt;0),(VLOOKUP(A561,'Discount Lookup'!J:K,2)*G561*(1-PlanterDiscount)*(1+PlanterDifficultyPercentage)),IF(AE561="ELP",(VLOOKUP(A561,'Discount Lookup'!J:K,2)*G561*(1-PlanterDiscount)*(1+PlanterDifficultyPercentage)),IF(AE561="free","re-planting",IF(G561=0,"",IF(PlanterYesMe="",IF(AE561="me","   not ELP, by",IF(AE561="",IF(G561&gt;0,(VLOOKUP(A561,'Discount Lookup'!J:K,2)*G561*(1-PlanterDiscount)*(1+PlanterDifficultyPercentage)),""),"")),"   not ELP, by"))))))))))))))</f>
        <v/>
      </c>
      <c r="AD561" s="712"/>
      <c r="AE561" s="513" t="str">
        <f t="shared" si="393"/>
        <v/>
      </c>
      <c r="AF561" s="713" t="str">
        <f t="shared" si="394"/>
        <v/>
      </c>
      <c r="AG561" s="713"/>
      <c r="AH561" s="713"/>
      <c r="AI561" s="112">
        <f>IF(H561="credit",0,IF(AE561="free",0,IF(AE561="me",0,IF(G561&gt;0,(VLOOKUP(A561,'Discount Lookup'!J:K,2)*G561),0))))</f>
        <v>0</v>
      </c>
      <c r="AJ561" s="107" t="str">
        <f t="shared" ca="1" si="395"/>
        <v/>
      </c>
      <c r="AK561" s="714" t="str">
        <f t="shared" si="396"/>
        <v/>
      </c>
      <c r="AL561" s="714"/>
      <c r="AM561" s="114" t="str">
        <f t="shared" si="397"/>
        <v/>
      </c>
      <c r="AN561" s="115"/>
      <c r="AO561" s="116"/>
      <c r="AP561" s="116"/>
      <c r="AQ561" s="116"/>
      <c r="AR561" s="116"/>
      <c r="AS561" s="116"/>
      <c r="AT561" s="116"/>
      <c r="AU561" s="116"/>
      <c r="AV561" s="78"/>
      <c r="AW561" s="102"/>
      <c r="AX561" s="78"/>
      <c r="AY561" s="78"/>
      <c r="AZ561" s="78"/>
      <c r="BA561" s="78"/>
      <c r="BB561" s="78"/>
      <c r="BC561" s="78"/>
      <c r="BD561" s="78"/>
      <c r="BE561" s="465"/>
      <c r="BF561" s="165" t="str">
        <f t="shared" si="398"/>
        <v>https://www.google.com/search?tbm=isch&amp;q=3%20G1</v>
      </c>
      <c r="BG561" s="165" t="str">
        <f t="shared" si="399"/>
        <v>B</v>
      </c>
      <c r="BH561" s="65"/>
      <c r="BI561" s="65"/>
      <c r="BJ561" s="65"/>
      <c r="BK561" s="65"/>
      <c r="BL561" s="99"/>
      <c r="BM561" s="99"/>
      <c r="BN561" s="99"/>
    </row>
    <row r="562" spans="1:66" s="51" customFormat="1" ht="15.75" x14ac:dyDescent="0.25">
      <c r="A562" s="478">
        <v>3</v>
      </c>
      <c r="B562" s="479" t="s">
        <v>291</v>
      </c>
      <c r="C562" s="480" t="s">
        <v>4572</v>
      </c>
      <c r="D562" s="481" t="s">
        <v>293</v>
      </c>
      <c r="E562" s="482">
        <v>45.95</v>
      </c>
      <c r="F562" s="483" t="s">
        <v>292</v>
      </c>
      <c r="G562" s="484">
        <v>0</v>
      </c>
      <c r="H562" s="688" t="str">
        <f t="shared" si="413"/>
        <v/>
      </c>
      <c r="I562" s="485">
        <f t="shared" si="414"/>
        <v>0</v>
      </c>
      <c r="J562" s="485">
        <f t="shared" si="415"/>
        <v>0</v>
      </c>
      <c r="K562" s="715">
        <f t="shared" ref="K562" si="418">I562+J562</f>
        <v>0</v>
      </c>
      <c r="L562" s="715"/>
      <c r="M562" s="689" t="str">
        <f t="shared" ca="1" si="417"/>
        <v/>
      </c>
      <c r="N562" s="690"/>
      <c r="O562" s="486"/>
      <c r="P562" s="486"/>
      <c r="Q562" s="486"/>
      <c r="R562" s="486"/>
      <c r="S562" s="486"/>
      <c r="T562" s="102">
        <f t="shared" si="387"/>
        <v>0</v>
      </c>
      <c r="U562" s="78">
        <f>IF(NOT(ISNUMBER(G562)), "", VLOOKUP(A562,'Discount Lookup'!D:E,2,FALSE)*G562)</f>
        <v>0</v>
      </c>
      <c r="V562" s="78">
        <f>IF(NOT(ISNUMBER(G562)), "", VLOOKUP(A562,'Discount Lookup'!G:H,2,FALSE)*G562)</f>
        <v>0</v>
      </c>
      <c r="W562" s="102">
        <f t="shared" si="388"/>
        <v>0</v>
      </c>
      <c r="X562" s="102">
        <f t="shared" si="389"/>
        <v>0</v>
      </c>
      <c r="Y562" s="120" t="b">
        <f t="shared" si="390"/>
        <v>0</v>
      </c>
      <c r="Z562" s="117">
        <f t="shared" si="391"/>
        <v>0</v>
      </c>
      <c r="AA562" s="118"/>
      <c r="AB562" s="118" t="str">
        <f t="shared" si="392"/>
        <v/>
      </c>
      <c r="AC562" s="712" t="str">
        <f>IF(AE562="T2G","no charge",IF(AND(OR(PlanterYesMe="No",PlanterYesMe="N",PlanterYesMe="me"),H562=""),"",IF(H562="credit","NO install",IF(AND(K562="",AE562="me"),"EACH row",IF(AND(K562="images",AE562="me"),"EACH row",IF(D562="","",IF(H562="credit","",IF(AE562="free","re-planting",IF(AE562="me","   not ELP, by",IF(AND(OR(PlanterYesMe="Yes",PlanterYesMe="Y"),G562&gt;0),(VLOOKUP(A562,'Discount Lookup'!J:K,2)*G562*(1-PlanterDiscount)*(1+PlanterDifficultyPercentage)),IF(AE562="ELP",(VLOOKUP(A562,'Discount Lookup'!J:K,2)*G562*(1-PlanterDiscount)*(1+PlanterDifficultyPercentage)),IF(AE562="free","re-planting",IF(G562=0,"",IF(PlanterYesMe="",IF(AE562="me","   not ELP, by",IF(AE562="",IF(G562&gt;0,(VLOOKUP(A562,'Discount Lookup'!J:K,2)*G562*(1-PlanterDiscount)*(1+PlanterDifficultyPercentage)),""),"")),"   not ELP, by"))))))))))))))</f>
        <v/>
      </c>
      <c r="AD562" s="712"/>
      <c r="AE562" s="513" t="str">
        <f t="shared" si="393"/>
        <v/>
      </c>
      <c r="AF562" s="713" t="str">
        <f t="shared" si="394"/>
        <v/>
      </c>
      <c r="AG562" s="713"/>
      <c r="AH562" s="713"/>
      <c r="AI562" s="112">
        <f>IF(H562="credit",0,IF(AE562="free",0,IF(AE562="me",0,IF(G562&gt;0,(VLOOKUP(A562,'Discount Lookup'!J:K,2)*G562),0))))</f>
        <v>0</v>
      </c>
      <c r="AJ562" s="107" t="str">
        <f t="shared" ca="1" si="395"/>
        <v/>
      </c>
      <c r="AK562" s="714" t="str">
        <f t="shared" si="396"/>
        <v/>
      </c>
      <c r="AL562" s="714"/>
      <c r="AM562" s="114" t="str">
        <f t="shared" si="397"/>
        <v/>
      </c>
      <c r="AN562" s="115"/>
      <c r="AO562" s="116"/>
      <c r="AP562" s="116"/>
      <c r="AQ562" s="116"/>
      <c r="AR562" s="116"/>
      <c r="AS562" s="116"/>
      <c r="AT562" s="116"/>
      <c r="AU562" s="116"/>
      <c r="AV562" s="78"/>
      <c r="AW562" s="102"/>
      <c r="AX562" s="78"/>
      <c r="AY562" s="78"/>
      <c r="AZ562" s="78"/>
      <c r="BA562" s="78"/>
      <c r="BB562" s="78"/>
      <c r="BC562" s="78"/>
      <c r="BD562" s="78"/>
      <c r="BE562" s="465"/>
      <c r="BF562" s="165" t="str">
        <f t="shared" si="398"/>
        <v>https://www.google.com/search?tbm=isch&amp;q=3%20G6</v>
      </c>
      <c r="BG562" s="165" t="str">
        <f t="shared" si="399"/>
        <v>B</v>
      </c>
      <c r="BH562" s="65"/>
      <c r="BI562" s="65"/>
      <c r="BJ562" s="65"/>
      <c r="BK562" s="65"/>
      <c r="BL562" s="99"/>
      <c r="BM562" s="99"/>
      <c r="BN562" s="99"/>
    </row>
    <row r="563" spans="1:66" s="51" customFormat="1" ht="15.75" x14ac:dyDescent="0.25">
      <c r="A563" s="478">
        <v>7</v>
      </c>
      <c r="B563" s="479" t="s">
        <v>291</v>
      </c>
      <c r="C563" s="480" t="s">
        <v>1662</v>
      </c>
      <c r="D563" s="481" t="s">
        <v>309</v>
      </c>
      <c r="E563" s="482">
        <v>68.95</v>
      </c>
      <c r="F563" s="483" t="s">
        <v>292</v>
      </c>
      <c r="G563" s="484">
        <v>0</v>
      </c>
      <c r="H563" s="688" t="str">
        <f t="shared" si="413"/>
        <v/>
      </c>
      <c r="I563" s="485">
        <f t="shared" si="414"/>
        <v>0</v>
      </c>
      <c r="J563" s="485">
        <f t="shared" si="415"/>
        <v>0</v>
      </c>
      <c r="K563" s="715">
        <f t="shared" ref="K563" si="419">I563+J563</f>
        <v>0</v>
      </c>
      <c r="L563" s="715"/>
      <c r="M563" s="689" t="str">
        <f t="shared" ca="1" si="417"/>
        <v/>
      </c>
      <c r="N563" s="690"/>
      <c r="O563" s="486"/>
      <c r="P563" s="486"/>
      <c r="Q563" s="486"/>
      <c r="R563" s="486"/>
      <c r="S563" s="486"/>
      <c r="T563" s="102">
        <f t="shared" si="387"/>
        <v>0</v>
      </c>
      <c r="U563" s="78">
        <f>IF(NOT(ISNUMBER(G563)), "", VLOOKUP(A563,'Discount Lookup'!D:E,2,FALSE)*G563)</f>
        <v>0</v>
      </c>
      <c r="V563" s="78">
        <f>IF(NOT(ISNUMBER(G563)), "", VLOOKUP(A563,'Discount Lookup'!G:H,2,FALSE)*G563)</f>
        <v>0</v>
      </c>
      <c r="W563" s="102">
        <f t="shared" si="388"/>
        <v>0</v>
      </c>
      <c r="X563" s="102">
        <f t="shared" si="389"/>
        <v>0</v>
      </c>
      <c r="Y563" s="120" t="b">
        <f t="shared" si="390"/>
        <v>0</v>
      </c>
      <c r="Z563" s="117">
        <f t="shared" si="391"/>
        <v>0</v>
      </c>
      <c r="AA563" s="118"/>
      <c r="AB563" s="118" t="str">
        <f t="shared" si="392"/>
        <v/>
      </c>
      <c r="AC563" s="712" t="str">
        <f>IF(AE563="T2G","no charge",IF(AND(OR(PlanterYesMe="No",PlanterYesMe="N",PlanterYesMe="me"),H563=""),"",IF(H563="credit","NO install",IF(AND(K563="",AE563="me"),"EACH row",IF(AND(K563="images",AE563="me"),"EACH row",IF(D563="","",IF(H563="credit","",IF(AE563="free","re-planting",IF(AE563="me","   not ELP, by",IF(AND(OR(PlanterYesMe="Yes",PlanterYesMe="Y"),G563&gt;0),(VLOOKUP(A563,'Discount Lookup'!J:K,2)*G563*(1-PlanterDiscount)*(1+PlanterDifficultyPercentage)),IF(AE563="ELP",(VLOOKUP(A563,'Discount Lookup'!J:K,2)*G563*(1-PlanterDiscount)*(1+PlanterDifficultyPercentage)),IF(AE563="free","re-planting",IF(G563=0,"",IF(PlanterYesMe="",IF(AE563="me","   not ELP, by",IF(AE563="",IF(G563&gt;0,(VLOOKUP(A563,'Discount Lookup'!J:K,2)*G563*(1-PlanterDiscount)*(1+PlanterDifficultyPercentage)),""),"")),"   not ELP, by"))))))))))))))</f>
        <v/>
      </c>
      <c r="AD563" s="712"/>
      <c r="AE563" s="513" t="str">
        <f t="shared" si="393"/>
        <v/>
      </c>
      <c r="AF563" s="713" t="str">
        <f t="shared" si="394"/>
        <v/>
      </c>
      <c r="AG563" s="713"/>
      <c r="AH563" s="713"/>
      <c r="AI563" s="112">
        <f>IF(H563="credit",0,IF(AE563="free",0,IF(AE563="me",0,IF(G563&gt;0,(VLOOKUP(A563,'Discount Lookup'!J:K,2)*G563),0))))</f>
        <v>0</v>
      </c>
      <c r="AJ563" s="107" t="str">
        <f t="shared" ca="1" si="395"/>
        <v/>
      </c>
      <c r="AK563" s="714" t="str">
        <f t="shared" si="396"/>
        <v/>
      </c>
      <c r="AL563" s="714"/>
      <c r="AM563" s="114" t="str">
        <f t="shared" si="397"/>
        <v/>
      </c>
      <c r="AN563" s="115"/>
      <c r="AO563" s="116"/>
      <c r="AP563" s="116"/>
      <c r="AQ563" s="116"/>
      <c r="AR563" s="116"/>
      <c r="AS563" s="116"/>
      <c r="AT563" s="116"/>
      <c r="AU563" s="116"/>
      <c r="AV563" s="78"/>
      <c r="AW563" s="102"/>
      <c r="AX563" s="78"/>
      <c r="AY563" s="78"/>
      <c r="AZ563" s="78"/>
      <c r="BA563" s="78"/>
      <c r="BB563" s="78"/>
      <c r="BC563" s="78"/>
      <c r="BD563" s="78"/>
      <c r="BE563" s="465"/>
      <c r="BF563" s="165" t="str">
        <f t="shared" si="398"/>
        <v>https://www.google.com/search?tbm=isch&amp;q=7%20G3</v>
      </c>
      <c r="BG563" s="165" t="str">
        <f t="shared" si="399"/>
        <v>B</v>
      </c>
      <c r="BH563" s="65"/>
      <c r="BI563" s="65"/>
      <c r="BJ563" s="65"/>
      <c r="BK563" s="65"/>
      <c r="BL563" s="99"/>
      <c r="BM563" s="99"/>
      <c r="BN563" s="99"/>
    </row>
    <row r="564" spans="1:66" s="51" customFormat="1" ht="15.75" x14ac:dyDescent="0.25">
      <c r="A564" s="478">
        <v>7</v>
      </c>
      <c r="B564" s="479" t="s">
        <v>291</v>
      </c>
      <c r="C564" s="480" t="s">
        <v>1663</v>
      </c>
      <c r="D564" s="481" t="s">
        <v>311</v>
      </c>
      <c r="E564" s="482">
        <v>79.95</v>
      </c>
      <c r="F564" s="483" t="s">
        <v>292</v>
      </c>
      <c r="G564" s="484">
        <v>0</v>
      </c>
      <c r="H564" s="688" t="str">
        <f t="shared" si="413"/>
        <v/>
      </c>
      <c r="I564" s="485">
        <f t="shared" si="414"/>
        <v>0</v>
      </c>
      <c r="J564" s="485">
        <f t="shared" si="415"/>
        <v>0</v>
      </c>
      <c r="K564" s="715">
        <f t="shared" ref="K564" si="420">I564+J564</f>
        <v>0</v>
      </c>
      <c r="L564" s="715"/>
      <c r="M564" s="689" t="str">
        <f t="shared" ca="1" si="417"/>
        <v/>
      </c>
      <c r="N564" s="690"/>
      <c r="O564" s="486"/>
      <c r="P564" s="486"/>
      <c r="Q564" s="486"/>
      <c r="R564" s="486"/>
      <c r="S564" s="486"/>
      <c r="T564" s="102">
        <f t="shared" si="387"/>
        <v>0</v>
      </c>
      <c r="U564" s="78">
        <f>IF(NOT(ISNUMBER(G564)), "", VLOOKUP(A564,'Discount Lookup'!D:E,2,FALSE)*G564)</f>
        <v>0</v>
      </c>
      <c r="V564" s="78">
        <f>IF(NOT(ISNUMBER(G564)), "", VLOOKUP(A564,'Discount Lookup'!G:H,2,FALSE)*G564)</f>
        <v>0</v>
      </c>
      <c r="W564" s="102">
        <f t="shared" si="388"/>
        <v>0</v>
      </c>
      <c r="X564" s="102">
        <f t="shared" si="389"/>
        <v>0</v>
      </c>
      <c r="Y564" s="120" t="b">
        <f t="shared" si="390"/>
        <v>0</v>
      </c>
      <c r="Z564" s="117">
        <f t="shared" si="391"/>
        <v>0</v>
      </c>
      <c r="AA564" s="118"/>
      <c r="AB564" s="118" t="str">
        <f t="shared" si="392"/>
        <v/>
      </c>
      <c r="AC564" s="712" t="str">
        <f>IF(AE564="T2G","no charge",IF(AND(OR(PlanterYesMe="No",PlanterYesMe="N",PlanterYesMe="me"),H564=""),"",IF(H564="credit","NO install",IF(AND(K564="",AE564="me"),"EACH row",IF(AND(K564="images",AE564="me"),"EACH row",IF(D564="","",IF(H564="credit","",IF(AE564="free","re-planting",IF(AE564="me","   not ELP, by",IF(AND(OR(PlanterYesMe="Yes",PlanterYesMe="Y"),G564&gt;0),(VLOOKUP(A564,'Discount Lookup'!J:K,2)*G564*(1-PlanterDiscount)*(1+PlanterDifficultyPercentage)),IF(AE564="ELP",(VLOOKUP(A564,'Discount Lookup'!J:K,2)*G564*(1-PlanterDiscount)*(1+PlanterDifficultyPercentage)),IF(AE564="free","re-planting",IF(G564=0,"",IF(PlanterYesMe="",IF(AE564="me","   not ELP, by",IF(AE564="",IF(G564&gt;0,(VLOOKUP(A564,'Discount Lookup'!J:K,2)*G564*(1-PlanterDiscount)*(1+PlanterDifficultyPercentage)),""),"")),"   not ELP, by"))))))))))))))</f>
        <v/>
      </c>
      <c r="AD564" s="712"/>
      <c r="AE564" s="513" t="str">
        <f t="shared" si="393"/>
        <v/>
      </c>
      <c r="AF564" s="713" t="str">
        <f t="shared" si="394"/>
        <v/>
      </c>
      <c r="AG564" s="713"/>
      <c r="AH564" s="713"/>
      <c r="AI564" s="112">
        <f>IF(H564="credit",0,IF(AE564="free",0,IF(AE564="me",0,IF(G564&gt;0,(VLOOKUP(A564,'Discount Lookup'!J:K,2)*G564),0))))</f>
        <v>0</v>
      </c>
      <c r="AJ564" s="107" t="str">
        <f t="shared" ca="1" si="395"/>
        <v/>
      </c>
      <c r="AK564" s="714" t="str">
        <f t="shared" si="396"/>
        <v/>
      </c>
      <c r="AL564" s="714"/>
      <c r="AM564" s="114" t="str">
        <f t="shared" si="397"/>
        <v/>
      </c>
      <c r="AN564" s="115"/>
      <c r="AO564" s="116"/>
      <c r="AP564" s="116"/>
      <c r="AQ564" s="116"/>
      <c r="AR564" s="116"/>
      <c r="AS564" s="116"/>
      <c r="AT564" s="116"/>
      <c r="AU564" s="116"/>
      <c r="AV564" s="78"/>
      <c r="AW564" s="102"/>
      <c r="AX564" s="78"/>
      <c r="AY564" s="78"/>
      <c r="AZ564" s="78"/>
      <c r="BA564" s="78"/>
      <c r="BB564" s="78"/>
      <c r="BC564" s="78"/>
      <c r="BD564" s="78"/>
      <c r="BE564" s="465"/>
      <c r="BF564" s="165" t="str">
        <f t="shared" si="398"/>
        <v>https://www.google.com/search?tbm=isch&amp;q=7%20G5</v>
      </c>
      <c r="BG564" s="165" t="str">
        <f t="shared" si="399"/>
        <v>B</v>
      </c>
      <c r="BH564" s="65"/>
      <c r="BI564" s="65"/>
      <c r="BJ564" s="65"/>
      <c r="BK564" s="65"/>
      <c r="BL564" s="99"/>
      <c r="BM564" s="99"/>
      <c r="BN564" s="99"/>
    </row>
    <row r="565" spans="1:66" s="51" customFormat="1" ht="15.75" x14ac:dyDescent="0.25">
      <c r="A565" s="478">
        <v>7</v>
      </c>
      <c r="B565" s="479" t="s">
        <v>291</v>
      </c>
      <c r="C565" s="480" t="s">
        <v>1664</v>
      </c>
      <c r="D565" s="481" t="s">
        <v>299</v>
      </c>
      <c r="E565" s="482">
        <v>100.95</v>
      </c>
      <c r="F565" s="483" t="s">
        <v>292</v>
      </c>
      <c r="G565" s="484">
        <v>0</v>
      </c>
      <c r="H565" s="688" t="str">
        <f t="shared" si="413"/>
        <v/>
      </c>
      <c r="I565" s="485">
        <f t="shared" si="414"/>
        <v>0</v>
      </c>
      <c r="J565" s="485">
        <f t="shared" si="415"/>
        <v>0</v>
      </c>
      <c r="K565" s="715">
        <f t="shared" ref="K565" si="421">I565+J565</f>
        <v>0</v>
      </c>
      <c r="L565" s="715"/>
      <c r="M565" s="689" t="str">
        <f t="shared" ca="1" si="417"/>
        <v/>
      </c>
      <c r="N565" s="690"/>
      <c r="O565" s="486"/>
      <c r="P565" s="486"/>
      <c r="Q565" s="486"/>
      <c r="R565" s="486"/>
      <c r="S565" s="486"/>
      <c r="T565" s="102">
        <f t="shared" si="387"/>
        <v>0</v>
      </c>
      <c r="U565" s="78">
        <f>IF(NOT(ISNUMBER(G565)), "", VLOOKUP(A565,'Discount Lookup'!D:E,2,FALSE)*G565)</f>
        <v>0</v>
      </c>
      <c r="V565" s="78">
        <f>IF(NOT(ISNUMBER(G565)), "", VLOOKUP(A565,'Discount Lookup'!G:H,2,FALSE)*G565)</f>
        <v>0</v>
      </c>
      <c r="W565" s="102">
        <f t="shared" si="388"/>
        <v>0</v>
      </c>
      <c r="X565" s="102">
        <f t="shared" si="389"/>
        <v>0</v>
      </c>
      <c r="Y565" s="120" t="b">
        <f t="shared" si="390"/>
        <v>0</v>
      </c>
      <c r="Z565" s="117">
        <f t="shared" si="391"/>
        <v>0</v>
      </c>
      <c r="AA565" s="118"/>
      <c r="AB565" s="118" t="str">
        <f t="shared" si="392"/>
        <v/>
      </c>
      <c r="AC565" s="712" t="str">
        <f>IF(AE565="T2G","no charge",IF(AND(OR(PlanterYesMe="No",PlanterYesMe="N",PlanterYesMe="me"),H565=""),"",IF(H565="credit","NO install",IF(AND(K565="",AE565="me"),"EACH row",IF(AND(K565="images",AE565="me"),"EACH row",IF(D565="","",IF(H565="credit","",IF(AE565="free","re-planting",IF(AE565="me","   not ELP, by",IF(AND(OR(PlanterYesMe="Yes",PlanterYesMe="Y"),G565&gt;0),(VLOOKUP(A565,'Discount Lookup'!J:K,2)*G565*(1-PlanterDiscount)*(1+PlanterDifficultyPercentage)),IF(AE565="ELP",(VLOOKUP(A565,'Discount Lookup'!J:K,2)*G565*(1-PlanterDiscount)*(1+PlanterDifficultyPercentage)),IF(AE565="free","re-planting",IF(G565=0,"",IF(PlanterYesMe="",IF(AE565="me","   not ELP, by",IF(AE565="",IF(G565&gt;0,(VLOOKUP(A565,'Discount Lookup'!J:K,2)*G565*(1-PlanterDiscount)*(1+PlanterDifficultyPercentage)),""),"")),"   not ELP, by"))))))))))))))</f>
        <v/>
      </c>
      <c r="AD565" s="712"/>
      <c r="AE565" s="513" t="str">
        <f t="shared" si="393"/>
        <v/>
      </c>
      <c r="AF565" s="713" t="str">
        <f t="shared" si="394"/>
        <v/>
      </c>
      <c r="AG565" s="713"/>
      <c r="AH565" s="713"/>
      <c r="AI565" s="112">
        <f>IF(H565="credit",0,IF(AE565="free",0,IF(AE565="me",0,IF(G565&gt;0,(VLOOKUP(A565,'Discount Lookup'!J:K,2)*G565),0))))</f>
        <v>0</v>
      </c>
      <c r="AJ565" s="107" t="str">
        <f t="shared" ca="1" si="395"/>
        <v/>
      </c>
      <c r="AK565" s="714" t="str">
        <f t="shared" si="396"/>
        <v/>
      </c>
      <c r="AL565" s="714"/>
      <c r="AM565" s="114" t="str">
        <f t="shared" si="397"/>
        <v/>
      </c>
      <c r="AN565" s="115"/>
      <c r="AO565" s="116"/>
      <c r="AP565" s="116"/>
      <c r="AQ565" s="116"/>
      <c r="AR565" s="116"/>
      <c r="AS565" s="116"/>
      <c r="AT565" s="116"/>
      <c r="AU565" s="116"/>
      <c r="AV565" s="78"/>
      <c r="AW565" s="102"/>
      <c r="AX565" s="78"/>
      <c r="AY565" s="78"/>
      <c r="AZ565" s="78"/>
      <c r="BA565" s="78"/>
      <c r="BB565" s="78"/>
      <c r="BC565" s="78"/>
      <c r="BD565" s="78"/>
      <c r="BE565" s="465"/>
      <c r="BF565" s="165" t="str">
        <f t="shared" si="398"/>
        <v>https://www.google.com/search?tbm=isch&amp;q=7%20G4</v>
      </c>
      <c r="BG565" s="165" t="str">
        <f t="shared" si="399"/>
        <v>B</v>
      </c>
      <c r="BH565" s="65"/>
      <c r="BI565" s="65"/>
      <c r="BJ565" s="65"/>
      <c r="BK565" s="65"/>
      <c r="BL565" s="99"/>
      <c r="BM565" s="99"/>
      <c r="BN565" s="99"/>
    </row>
    <row r="566" spans="1:66" s="51" customFormat="1" ht="15.75" x14ac:dyDescent="0.25">
      <c r="A566" s="478">
        <v>25</v>
      </c>
      <c r="B566" s="479" t="s">
        <v>291</v>
      </c>
      <c r="C566" s="480" t="s">
        <v>1665</v>
      </c>
      <c r="D566" s="481" t="s">
        <v>299</v>
      </c>
      <c r="E566" s="482">
        <v>339.95</v>
      </c>
      <c r="F566" s="483" t="s">
        <v>292</v>
      </c>
      <c r="G566" s="484">
        <v>0</v>
      </c>
      <c r="H566" s="688" t="str">
        <f t="shared" si="413"/>
        <v/>
      </c>
      <c r="I566" s="485">
        <f t="shared" si="414"/>
        <v>0</v>
      </c>
      <c r="J566" s="485">
        <f t="shared" si="415"/>
        <v>0</v>
      </c>
      <c r="K566" s="715">
        <f t="shared" ref="K566" si="422">I566+J566</f>
        <v>0</v>
      </c>
      <c r="L566" s="715"/>
      <c r="M566" s="689" t="str">
        <f t="shared" ca="1" si="417"/>
        <v/>
      </c>
      <c r="N566" s="690"/>
      <c r="O566" s="486"/>
      <c r="P566" s="486"/>
      <c r="Q566" s="486"/>
      <c r="R566" s="486"/>
      <c r="S566" s="486"/>
      <c r="T566" s="102">
        <f t="shared" si="387"/>
        <v>0</v>
      </c>
      <c r="U566" s="78">
        <f>IF(NOT(ISNUMBER(G566)), "", VLOOKUP(A566,'Discount Lookup'!D:E,2,FALSE)*G566)</f>
        <v>0</v>
      </c>
      <c r="V566" s="78">
        <f>IF(NOT(ISNUMBER(G566)), "", VLOOKUP(A566,'Discount Lookup'!G:H,2,FALSE)*G566)</f>
        <v>0</v>
      </c>
      <c r="W566" s="102">
        <f t="shared" si="388"/>
        <v>0</v>
      </c>
      <c r="X566" s="102">
        <f t="shared" si="389"/>
        <v>0</v>
      </c>
      <c r="Y566" s="120" t="b">
        <f t="shared" si="390"/>
        <v>0</v>
      </c>
      <c r="Z566" s="117">
        <f t="shared" si="391"/>
        <v>0</v>
      </c>
      <c r="AA566" s="118"/>
      <c r="AB566" s="118" t="str">
        <f t="shared" si="392"/>
        <v/>
      </c>
      <c r="AC566" s="712" t="str">
        <f>IF(AE566="T2G","no charge",IF(AND(OR(PlanterYesMe="No",PlanterYesMe="N",PlanterYesMe="me"),H566=""),"",IF(H566="credit","NO install",IF(AND(K566="",AE566="me"),"EACH row",IF(AND(K566="images",AE566="me"),"EACH row",IF(D566="","",IF(H566="credit","",IF(AE566="free","re-planting",IF(AE566="me","   not ELP, by",IF(AND(OR(PlanterYesMe="Yes",PlanterYesMe="Y"),G566&gt;0),(VLOOKUP(A566,'Discount Lookup'!J:K,2)*G566*(1-PlanterDiscount)*(1+PlanterDifficultyPercentage)),IF(AE566="ELP",(VLOOKUP(A566,'Discount Lookup'!J:K,2)*G566*(1-PlanterDiscount)*(1+PlanterDifficultyPercentage)),IF(AE566="free","re-planting",IF(G566=0,"",IF(PlanterYesMe="",IF(AE566="me","   not ELP, by",IF(AE566="",IF(G566&gt;0,(VLOOKUP(A566,'Discount Lookup'!J:K,2)*G566*(1-PlanterDiscount)*(1+PlanterDifficultyPercentage)),""),"")),"   not ELP, by"))))))))))))))</f>
        <v/>
      </c>
      <c r="AD566" s="712"/>
      <c r="AE566" s="513" t="str">
        <f t="shared" si="393"/>
        <v/>
      </c>
      <c r="AF566" s="713" t="str">
        <f t="shared" si="394"/>
        <v/>
      </c>
      <c r="AG566" s="713"/>
      <c r="AH566" s="713"/>
      <c r="AI566" s="112">
        <f>IF(H566="credit",0,IF(AE566="free",0,IF(AE566="me",0,IF(G566&gt;0,(VLOOKUP(A566,'Discount Lookup'!J:K,2)*G566),0))))</f>
        <v>0</v>
      </c>
      <c r="AJ566" s="107" t="str">
        <f t="shared" ca="1" si="395"/>
        <v/>
      </c>
      <c r="AK566" s="714" t="str">
        <f t="shared" si="396"/>
        <v/>
      </c>
      <c r="AL566" s="714"/>
      <c r="AM566" s="114" t="str">
        <f t="shared" si="397"/>
        <v/>
      </c>
      <c r="AN566" s="115"/>
      <c r="AO566" s="116"/>
      <c r="AP566" s="116"/>
      <c r="AQ566" s="116"/>
      <c r="AR566" s="116"/>
      <c r="AS566" s="116"/>
      <c r="AT566" s="116"/>
      <c r="AU566" s="116"/>
      <c r="AV566" s="78"/>
      <c r="AW566" s="102"/>
      <c r="AX566" s="78"/>
      <c r="AY566" s="78"/>
      <c r="AZ566" s="78"/>
      <c r="BA566" s="78"/>
      <c r="BB566" s="78"/>
      <c r="BC566" s="78"/>
      <c r="BD566" s="78"/>
      <c r="BE566" s="465"/>
      <c r="BF566" s="165" t="str">
        <f t="shared" si="398"/>
        <v>https://www.google.com/search?tbm=isch&amp;q=25%20G4</v>
      </c>
      <c r="BG566" s="165" t="str">
        <f t="shared" si="399"/>
        <v>B</v>
      </c>
      <c r="BH566" s="65"/>
      <c r="BI566" s="65"/>
      <c r="BJ566" s="65"/>
      <c r="BK566" s="65"/>
      <c r="BL566" s="99"/>
      <c r="BM566" s="99"/>
      <c r="BN566" s="99"/>
    </row>
    <row r="567" spans="1:66" s="51" customFormat="1" ht="16.5" thickBot="1" x14ac:dyDescent="0.3">
      <c r="A567" s="508" t="s">
        <v>1666</v>
      </c>
      <c r="B567" s="487"/>
      <c r="C567" s="707"/>
      <c r="D567" s="487"/>
      <c r="E567" s="487"/>
      <c r="F567" s="488"/>
      <c r="G567" s="489"/>
      <c r="H567" s="487"/>
      <c r="I567" s="490"/>
      <c r="J567" s="490"/>
      <c r="K567" s="491"/>
      <c r="L567" s="547"/>
      <c r="M567" s="528"/>
      <c r="N567" s="492"/>
      <c r="O567" s="493"/>
      <c r="P567" s="494"/>
      <c r="Q567" s="492"/>
      <c r="R567" s="492"/>
      <c r="S567" s="699" t="s">
        <v>5259</v>
      </c>
      <c r="T567" s="102">
        <f t="shared" si="387"/>
        <v>0</v>
      </c>
      <c r="U567" s="78" t="str">
        <f>IF(NOT(ISNUMBER(G567)), "", VLOOKUP(A567,'Discount Lookup'!D:E,2,FALSE)*G567)</f>
        <v/>
      </c>
      <c r="V567" s="78" t="str">
        <f>IF(NOT(ISNUMBER(G567)), "", VLOOKUP(A567,'Discount Lookup'!G:H,2,FALSE)*G567)</f>
        <v/>
      </c>
      <c r="W567" s="102">
        <f t="shared" si="388"/>
        <v>0</v>
      </c>
      <c r="X567" s="102">
        <f t="shared" si="389"/>
        <v>0</v>
      </c>
      <c r="Y567" s="120" t="b">
        <f t="shared" si="390"/>
        <v>0</v>
      </c>
      <c r="Z567" s="117">
        <f t="shared" si="391"/>
        <v>0</v>
      </c>
      <c r="AA567" s="118"/>
      <c r="AB567" s="118" t="str">
        <f t="shared" si="392"/>
        <v/>
      </c>
      <c r="AC567" s="712" t="str">
        <f>IF(AE567="T2G","no charge",IF(AND(OR(PlanterYesMe="No",PlanterYesMe="N",PlanterYesMe="me"),H567=""),"",IF(H567="credit","NO install",IF(AND(K567="",AE567="me"),"EACH row",IF(AND(K567="images",AE567="me"),"EACH row",IF(D567="","",IF(H567="credit","",IF(AE567="free","re-planting",IF(AE567="me","   not ELP, by",IF(AND(OR(PlanterYesMe="Yes",PlanterYesMe="Y"),G567&gt;0),(VLOOKUP(A567,'Discount Lookup'!J:K,2)*G567*(1-PlanterDiscount)*(1+PlanterDifficultyPercentage)),IF(AE567="ELP",(VLOOKUP(A567,'Discount Lookup'!J:K,2)*G567*(1-PlanterDiscount)*(1+PlanterDifficultyPercentage)),IF(AE567="free","re-planting",IF(G567=0,"",IF(PlanterYesMe="",IF(AE567="me","   not ELP, by",IF(AE567="",IF(G567&gt;0,(VLOOKUP(A567,'Discount Lookup'!J:K,2)*G567*(1-PlanterDiscount)*(1+PlanterDifficultyPercentage)),""),"")),"   not ELP, by"))))))))))))))</f>
        <v/>
      </c>
      <c r="AD567" s="712"/>
      <c r="AE567" s="513" t="str">
        <f t="shared" si="393"/>
        <v/>
      </c>
      <c r="AF567" s="713" t="str">
        <f t="shared" si="394"/>
        <v/>
      </c>
      <c r="AG567" s="713"/>
      <c r="AH567" s="713"/>
      <c r="AI567" s="112">
        <f>IF(H567="credit",0,IF(AE567="free",0,IF(AE567="me",0,IF(G567&gt;0,(VLOOKUP(A567,'Discount Lookup'!J:K,2)*G567),0))))</f>
        <v>0</v>
      </c>
      <c r="AJ567" s="107" t="str">
        <f t="shared" ca="1" si="395"/>
        <v/>
      </c>
      <c r="AK567" s="714" t="str">
        <f t="shared" si="396"/>
        <v/>
      </c>
      <c r="AL567" s="714"/>
      <c r="AM567" s="114" t="str">
        <f t="shared" si="397"/>
        <v/>
      </c>
      <c r="AN567" s="115"/>
      <c r="AO567" s="116"/>
      <c r="AP567" s="116"/>
      <c r="AQ567" s="116"/>
      <c r="AR567" s="116"/>
      <c r="AS567" s="116"/>
      <c r="AT567" s="116"/>
      <c r="AU567" s="116"/>
      <c r="AV567" s="78"/>
      <c r="AW567" s="102"/>
      <c r="AX567" s="78"/>
      <c r="AY567" s="78"/>
      <c r="AZ567" s="78"/>
      <c r="BA567" s="78"/>
      <c r="BB567" s="78"/>
      <c r="BC567" s="78"/>
      <c r="BD567" s="78"/>
      <c r="BE567" s="465"/>
      <c r="BF567" s="165" t="str">
        <f t="shared" si="398"/>
        <v>https://www.google.com/search?tbm=isch&amp;q=Wintergreen%20is%20cold-hardy%2C%20maintaining%20its%20vibrant%20green%20color%20throughout%20the%20winter.%20Slow-growing%2C%20dense%2C%20and%20ideal%20for%20hedges%20and%20borders%20</v>
      </c>
      <c r="BG567" s="165" t="str">
        <f t="shared" si="399"/>
        <v>W</v>
      </c>
      <c r="BH567" s="65"/>
      <c r="BI567" s="65"/>
      <c r="BJ567" s="65"/>
      <c r="BK567" s="65"/>
      <c r="BL567" s="99"/>
      <c r="BM567" s="99"/>
      <c r="BN567" s="99"/>
    </row>
    <row r="568" spans="1:66" s="51" customFormat="1" ht="18" x14ac:dyDescent="0.25">
      <c r="A568" s="507" t="s">
        <v>1667</v>
      </c>
      <c r="B568" s="470"/>
      <c r="C568" s="706"/>
      <c r="D568" s="471" t="s">
        <v>5601</v>
      </c>
      <c r="E568" s="472"/>
      <c r="F568" s="472"/>
      <c r="G568" s="472"/>
      <c r="H568" s="622" t="s">
        <v>1104</v>
      </c>
      <c r="I568" s="473" t="s">
        <v>433</v>
      </c>
      <c r="J568" s="472"/>
      <c r="K568" s="472"/>
      <c r="L568" s="561"/>
      <c r="M568" s="698" t="s">
        <v>5246</v>
      </c>
      <c r="N568" s="692" t="str">
        <f>IF(AND(ISTEXT($A568), ISERROR($A568+0)), HYPERLINK($BF568, "Images"), "")</f>
        <v>Images</v>
      </c>
      <c r="O568" s="694" t="s">
        <v>5244</v>
      </c>
      <c r="P568" s="475"/>
      <c r="Q568" s="476"/>
      <c r="R568" s="476"/>
      <c r="S568" s="477"/>
      <c r="T568" s="102">
        <f t="shared" si="387"/>
        <v>0</v>
      </c>
      <c r="U568" s="78" t="str">
        <f>IF(NOT(ISNUMBER(G568)), "", VLOOKUP(A568,'Discount Lookup'!D:E,2,FALSE)*G568)</f>
        <v/>
      </c>
      <c r="V568" s="78" t="str">
        <f>IF(NOT(ISNUMBER(G568)), "", VLOOKUP(A568,'Discount Lookup'!G:H,2,FALSE)*G568)</f>
        <v/>
      </c>
      <c r="W568" s="102">
        <f t="shared" si="388"/>
        <v>0</v>
      </c>
      <c r="X568" s="102" t="str">
        <f t="shared" si="389"/>
        <v>Bright Green foliage</v>
      </c>
      <c r="Y568" s="120" t="b">
        <f t="shared" si="390"/>
        <v>0</v>
      </c>
      <c r="Z568" s="117">
        <f t="shared" si="391"/>
        <v>0</v>
      </c>
      <c r="AA568" s="118"/>
      <c r="AB568" s="118" t="str">
        <f t="shared" si="392"/>
        <v/>
      </c>
      <c r="AC568" s="712" t="str">
        <f>IF(AE568="T2G","no charge",IF(AND(OR(PlanterYesMe="No",PlanterYesMe="N",PlanterYesMe="me"),H568=""),"",IF(H568="credit","NO install",IF(AND(K568="",AE568="me"),"EACH row",IF(AND(K568="images",AE568="me"),"EACH row",IF(D568="","",IF(H568="credit","",IF(AE568="free","re-planting",IF(AE568="me","   not ELP, by",IF(AND(OR(PlanterYesMe="Yes",PlanterYesMe="Y"),G568&gt;0),(VLOOKUP(A568,'Discount Lookup'!J:K,2)*G568*(1-PlanterDiscount)*(1+PlanterDifficultyPercentage)),IF(AE568="ELP",(VLOOKUP(A568,'Discount Lookup'!J:K,2)*G568*(1-PlanterDiscount)*(1+PlanterDifficultyPercentage)),IF(AE568="free","re-planting",IF(G568=0,"",IF(PlanterYesMe="",IF(AE568="me","   not ELP, by",IF(AE568="",IF(G568&gt;0,(VLOOKUP(A568,'Discount Lookup'!J:K,2)*G568*(1-PlanterDiscount)*(1+PlanterDifficultyPercentage)),""),"")),"   not ELP, by"))))))))))))))</f>
        <v/>
      </c>
      <c r="AD568" s="712"/>
      <c r="AE568" s="513" t="str">
        <f t="shared" si="393"/>
        <v/>
      </c>
      <c r="AF568" s="713" t="str">
        <f t="shared" si="394"/>
        <v/>
      </c>
      <c r="AG568" s="713"/>
      <c r="AH568" s="713"/>
      <c r="AI568" s="112">
        <f>IF(H568="credit",0,IF(AE568="free",0,IF(AE568="me",0,IF(G568&gt;0,(VLOOKUP(A568,'Discount Lookup'!J:K,2)*G568),0))))</f>
        <v>0</v>
      </c>
      <c r="AJ568" s="107" t="str">
        <f t="shared" ca="1" si="395"/>
        <v/>
      </c>
      <c r="AK568" s="714" t="str">
        <f t="shared" si="396"/>
        <v/>
      </c>
      <c r="AL568" s="714"/>
      <c r="AM568" s="114" t="str">
        <f t="shared" si="397"/>
        <v/>
      </c>
      <c r="AN568" s="115"/>
      <c r="AO568" s="116"/>
      <c r="AP568" s="116"/>
      <c r="AQ568" s="116"/>
      <c r="AR568" s="116"/>
      <c r="AS568" s="116"/>
      <c r="AT568" s="116"/>
      <c r="AU568" s="116"/>
      <c r="AV568" s="78"/>
      <c r="AW568" s="102"/>
      <c r="AX568" s="78"/>
      <c r="AY568" s="78"/>
      <c r="AZ568" s="78"/>
      <c r="BA568" s="78"/>
      <c r="BB568" s="78"/>
      <c r="BC568" s="78"/>
      <c r="BD568" s="78"/>
      <c r="BE568" s="465"/>
      <c r="BF568" s="165" t="str">
        <f t="shared" si="398"/>
        <v>https://www.google.com/search?tbm=isch&amp;q=Buxus%20microphylla%20japonica%20%27Gregem%27%20PP%2321159%20Baby%20Gem%E2%84%A2%20Boxwood</v>
      </c>
      <c r="BG568" s="165" t="str">
        <f t="shared" si="399"/>
        <v>B</v>
      </c>
      <c r="BH568" s="65"/>
      <c r="BI568" s="65"/>
      <c r="BJ568" s="65"/>
      <c r="BK568" s="65"/>
      <c r="BL568" s="99"/>
      <c r="BM568" s="99"/>
      <c r="BN568" s="99"/>
    </row>
    <row r="569" spans="1:66" s="51" customFormat="1" ht="15.75" x14ac:dyDescent="0.25">
      <c r="A569" s="478">
        <v>7</v>
      </c>
      <c r="B569" s="479" t="s">
        <v>291</v>
      </c>
      <c r="C569" s="480" t="s">
        <v>1668</v>
      </c>
      <c r="D569" s="481" t="s">
        <v>293</v>
      </c>
      <c r="E569" s="482">
        <v>96.95</v>
      </c>
      <c r="F569" s="483" t="s">
        <v>292</v>
      </c>
      <c r="G569" s="484">
        <v>0</v>
      </c>
      <c r="H569" s="688" t="str">
        <f>IF(G569=0,"",IF(F569="Buy",IF(G569=1,"plant","plants"),IF(F569&gt;0.01,"warranty","Error")))</f>
        <v/>
      </c>
      <c r="I569" s="485">
        <f>IF(H569="free",0,IF(H569="credit",((E569*(F569))*G569*-1),IF(F569="Buy",(E569*G569),((E569*(1-F569))*G569))))</f>
        <v>0</v>
      </c>
      <c r="J569" s="485">
        <f>IF(H569="warranty",0,(I569*(_xlfn.SINGLE(SalesTaxPercentage))))</f>
        <v>0</v>
      </c>
      <c r="K569" s="715">
        <f t="shared" ref="K569" si="423">I569+J569</f>
        <v>0</v>
      </c>
      <c r="L569" s="715"/>
      <c r="M569" s="689" t="str">
        <f ca="1">IF(AND(G569&gt;0,E569=0),"WARNING - no PRICE inserted",IF(H569="free","FREE ~ no charge this plant",IF(H569="credit",CONCATENATE("-$",ROUND(K569*(1-_xlfn.SINGLE(T2GDiscount))*-1,2)," CREDIT after discount"),IF(_xlfn.SINGLE(T2GDiscount)=0,"",IF(G569=0,"",IF(F569="Buy",CONCATENATE("$",ROUND(K569*(1-_xlfn.SINGLE(T2GDiscount)),2)," with ",(_xlfn.SINGLE(T2GDiscount)*100),"% discount"),CONCATENATE("$",ROUND(K569*(1-_xlfn.SINGLE(T2GDiscount)),2)," with ",((_xlfn.SINGLE(T2GDiscount)*100+F569*100)-(_xlfn.SINGLE(T2GDiscount)*100*F569)),IF(F569&gt;0,"% discounts",IF(_xlfn.SINGLE(NoWarrantyDiscount)&gt;0,"% discounts","% discount")))))))))</f>
        <v/>
      </c>
      <c r="N569" s="690"/>
      <c r="O569" s="486"/>
      <c r="P569" s="486"/>
      <c r="Q569" s="486"/>
      <c r="R569" s="486"/>
      <c r="S569" s="486"/>
      <c r="T569" s="102">
        <f t="shared" si="387"/>
        <v>0</v>
      </c>
      <c r="U569" s="78">
        <f>IF(NOT(ISNUMBER(G569)), "", VLOOKUP(A569,'Discount Lookup'!D:E,2,FALSE)*G569)</f>
        <v>0</v>
      </c>
      <c r="V569" s="78">
        <f>IF(NOT(ISNUMBER(G569)), "", VLOOKUP(A569,'Discount Lookup'!G:H,2,FALSE)*G569)</f>
        <v>0</v>
      </c>
      <c r="W569" s="102">
        <f t="shared" si="388"/>
        <v>0</v>
      </c>
      <c r="X569" s="102">
        <f t="shared" si="389"/>
        <v>0</v>
      </c>
      <c r="Y569" s="120" t="b">
        <f t="shared" si="390"/>
        <v>0</v>
      </c>
      <c r="Z569" s="117">
        <f t="shared" si="391"/>
        <v>0</v>
      </c>
      <c r="AA569" s="118"/>
      <c r="AB569" s="118" t="str">
        <f t="shared" si="392"/>
        <v/>
      </c>
      <c r="AC569" s="712" t="str">
        <f>IF(AE569="T2G","no charge",IF(AND(OR(PlanterYesMe="No",PlanterYesMe="N",PlanterYesMe="me"),H569=""),"",IF(H569="credit","NO install",IF(AND(K569="",AE569="me"),"EACH row",IF(AND(K569="images",AE569="me"),"EACH row",IF(D569="","",IF(H569="credit","",IF(AE569="free","re-planting",IF(AE569="me","   not ELP, by",IF(AND(OR(PlanterYesMe="Yes",PlanterYesMe="Y"),G569&gt;0),(VLOOKUP(A569,'Discount Lookup'!J:K,2)*G569*(1-PlanterDiscount)*(1+PlanterDifficultyPercentage)),IF(AE569="ELP",(VLOOKUP(A569,'Discount Lookup'!J:K,2)*G569*(1-PlanterDiscount)*(1+PlanterDifficultyPercentage)),IF(AE569="free","re-planting",IF(G569=0,"",IF(PlanterYesMe="",IF(AE569="me","   not ELP, by",IF(AE569="",IF(G569&gt;0,(VLOOKUP(A569,'Discount Lookup'!J:K,2)*G569*(1-PlanterDiscount)*(1+PlanterDifficultyPercentage)),""),"")),"   not ELP, by"))))))))))))))</f>
        <v/>
      </c>
      <c r="AD569" s="712"/>
      <c r="AE569" s="513" t="str">
        <f t="shared" si="393"/>
        <v/>
      </c>
      <c r="AF569" s="713" t="str">
        <f t="shared" si="394"/>
        <v/>
      </c>
      <c r="AG569" s="713"/>
      <c r="AH569" s="713"/>
      <c r="AI569" s="112">
        <f>IF(H569="credit",0,IF(AE569="free",0,IF(AE569="me",0,IF(G569&gt;0,(VLOOKUP(A569,'Discount Lookup'!J:K,2)*G569),0))))</f>
        <v>0</v>
      </c>
      <c r="AJ569" s="107" t="str">
        <f t="shared" ca="1" si="395"/>
        <v/>
      </c>
      <c r="AK569" s="714" t="str">
        <f t="shared" si="396"/>
        <v/>
      </c>
      <c r="AL569" s="714"/>
      <c r="AM569" s="114" t="str">
        <f t="shared" si="397"/>
        <v/>
      </c>
      <c r="AN569" s="115"/>
      <c r="AO569" s="116"/>
      <c r="AP569" s="116"/>
      <c r="AQ569" s="116"/>
      <c r="AR569" s="116"/>
      <c r="AS569" s="116"/>
      <c r="AT569" s="116"/>
      <c r="AU569" s="116"/>
      <c r="AV569" s="78"/>
      <c r="AW569" s="102"/>
      <c r="AX569" s="78"/>
      <c r="AY569" s="78"/>
      <c r="AZ569" s="78"/>
      <c r="BA569" s="78"/>
      <c r="BB569" s="78"/>
      <c r="BC569" s="78"/>
      <c r="BD569" s="78"/>
      <c r="BE569" s="465"/>
      <c r="BF569" s="165" t="str">
        <f t="shared" si="398"/>
        <v>https://www.google.com/search?tbm=isch&amp;q=7%20G6</v>
      </c>
      <c r="BG569" s="165" t="str">
        <f t="shared" si="399"/>
        <v>B</v>
      </c>
      <c r="BH569" s="65"/>
      <c r="BI569" s="65"/>
      <c r="BJ569" s="65"/>
      <c r="BK569" s="65"/>
      <c r="BL569" s="99"/>
      <c r="BM569" s="99"/>
      <c r="BN569" s="99"/>
    </row>
    <row r="570" spans="1:66" s="51" customFormat="1" ht="16.5" thickBot="1" x14ac:dyDescent="0.3">
      <c r="A570" s="508" t="s">
        <v>4682</v>
      </c>
      <c r="B570" s="487"/>
      <c r="C570" s="707"/>
      <c r="D570" s="487"/>
      <c r="E570" s="487"/>
      <c r="F570" s="488"/>
      <c r="G570" s="489"/>
      <c r="H570" s="487"/>
      <c r="I570" s="490"/>
      <c r="J570" s="490"/>
      <c r="K570" s="491"/>
      <c r="L570" s="547"/>
      <c r="M570" s="528"/>
      <c r="N570" s="492"/>
      <c r="O570" s="493"/>
      <c r="P570" s="494"/>
      <c r="Q570" s="492"/>
      <c r="R570" s="492"/>
      <c r="S570" s="699" t="s">
        <v>5259</v>
      </c>
      <c r="T570" s="102">
        <f t="shared" si="387"/>
        <v>0</v>
      </c>
      <c r="U570" s="78" t="str">
        <f>IF(NOT(ISNUMBER(G570)), "", VLOOKUP(A570,'Discount Lookup'!D:E,2,FALSE)*G570)</f>
        <v/>
      </c>
      <c r="V570" s="78" t="str">
        <f>IF(NOT(ISNUMBER(G570)), "", VLOOKUP(A570,'Discount Lookup'!G:H,2,FALSE)*G570)</f>
        <v/>
      </c>
      <c r="W570" s="102">
        <f t="shared" si="388"/>
        <v>0</v>
      </c>
      <c r="X570" s="102">
        <f t="shared" si="389"/>
        <v>0</v>
      </c>
      <c r="Y570" s="120" t="b">
        <f t="shared" si="390"/>
        <v>0</v>
      </c>
      <c r="Z570" s="117">
        <f t="shared" si="391"/>
        <v>0</v>
      </c>
      <c r="AA570" s="118"/>
      <c r="AB570" s="118" t="str">
        <f t="shared" si="392"/>
        <v/>
      </c>
      <c r="AC570" s="712" t="str">
        <f>IF(AE570="T2G","no charge",IF(AND(OR(PlanterYesMe="No",PlanterYesMe="N",PlanterYesMe="me"),H570=""),"",IF(H570="credit","NO install",IF(AND(K570="",AE570="me"),"EACH row",IF(AND(K570="images",AE570="me"),"EACH row",IF(D570="","",IF(H570="credit","",IF(AE570="free","re-planting",IF(AE570="me","   not ELP, by",IF(AND(OR(PlanterYesMe="Yes",PlanterYesMe="Y"),G570&gt;0),(VLOOKUP(A570,'Discount Lookup'!J:K,2)*G570*(1-PlanterDiscount)*(1+PlanterDifficultyPercentage)),IF(AE570="ELP",(VLOOKUP(A570,'Discount Lookup'!J:K,2)*G570*(1-PlanterDiscount)*(1+PlanterDifficultyPercentage)),IF(AE570="free","re-planting",IF(G570=0,"",IF(PlanterYesMe="",IF(AE570="me","   not ELP, by",IF(AE570="",IF(G570&gt;0,(VLOOKUP(A570,'Discount Lookup'!J:K,2)*G570*(1-PlanterDiscount)*(1+PlanterDifficultyPercentage)),""),"")),"   not ELP, by"))))))))))))))</f>
        <v/>
      </c>
      <c r="AD570" s="712"/>
      <c r="AE570" s="513" t="str">
        <f t="shared" si="393"/>
        <v/>
      </c>
      <c r="AF570" s="713" t="str">
        <f t="shared" si="394"/>
        <v/>
      </c>
      <c r="AG570" s="713"/>
      <c r="AH570" s="713"/>
      <c r="AI570" s="112">
        <f>IF(H570="credit",0,IF(AE570="free",0,IF(AE570="me",0,IF(G570&gt;0,(VLOOKUP(A570,'Discount Lookup'!J:K,2)*G570),0))))</f>
        <v>0</v>
      </c>
      <c r="AJ570" s="107" t="str">
        <f t="shared" ca="1" si="395"/>
        <v/>
      </c>
      <c r="AK570" s="714" t="str">
        <f t="shared" si="396"/>
        <v/>
      </c>
      <c r="AL570" s="714"/>
      <c r="AM570" s="114" t="str">
        <f t="shared" si="397"/>
        <v/>
      </c>
      <c r="AN570" s="115"/>
      <c r="AO570" s="116"/>
      <c r="AP570" s="116"/>
      <c r="AQ570" s="116"/>
      <c r="AR570" s="116"/>
      <c r="AS570" s="116"/>
      <c r="AT570" s="116"/>
      <c r="AU570" s="116"/>
      <c r="AV570" s="78"/>
      <c r="AW570" s="102"/>
      <c r="AX570" s="78"/>
      <c r="AY570" s="78"/>
      <c r="AZ570" s="78"/>
      <c r="BA570" s="78"/>
      <c r="BB570" s="78"/>
      <c r="BC570" s="78"/>
      <c r="BD570" s="78"/>
      <c r="BE570" s="465"/>
      <c r="BF570" s="165" t="str">
        <f t="shared" si="398"/>
        <v>https://www.google.com/search?tbm=isch&amp;q=Baby%20Gem%20keeps%20its%20glossy%20Bright%20Green%20foliage%20year-round.%20Cold%2Fheat%20tolerant.%20Slow-growing%2C%20dense%2C%20and%20ideal%20for%20hedges%20and%20borders%20</v>
      </c>
      <c r="BG570" s="165" t="str">
        <f t="shared" si="399"/>
        <v>B</v>
      </c>
      <c r="BH570" s="65"/>
      <c r="BI570" s="65"/>
      <c r="BJ570" s="65"/>
      <c r="BK570" s="65"/>
      <c r="BL570" s="99"/>
      <c r="BM570" s="99"/>
      <c r="BN570" s="99"/>
    </row>
    <row r="571" spans="1:66" s="51" customFormat="1" ht="18" x14ac:dyDescent="0.25">
      <c r="A571" s="507" t="s">
        <v>1669</v>
      </c>
      <c r="B571" s="470"/>
      <c r="C571" s="706"/>
      <c r="D571" s="471" t="s">
        <v>1670</v>
      </c>
      <c r="E571" s="472"/>
      <c r="F571" s="472"/>
      <c r="G571" s="472"/>
      <c r="H571" s="622" t="s">
        <v>1071</v>
      </c>
      <c r="I571" s="473" t="s">
        <v>431</v>
      </c>
      <c r="J571" s="472"/>
      <c r="K571" s="472"/>
      <c r="L571" s="561"/>
      <c r="M571" s="698" t="s">
        <v>5246</v>
      </c>
      <c r="N571" s="692" t="str">
        <f>IF(AND(ISTEXT($A571), ISERROR($A571+0)), HYPERLINK($BF571, "Images"), "")</f>
        <v>Images</v>
      </c>
      <c r="O571" s="694" t="s">
        <v>5244</v>
      </c>
      <c r="P571" s="475"/>
      <c r="Q571" s="476"/>
      <c r="R571" s="476"/>
      <c r="S571" s="477"/>
      <c r="T571" s="102">
        <f t="shared" si="387"/>
        <v>0</v>
      </c>
      <c r="U571" s="78" t="str">
        <f>IF(NOT(ISNUMBER(G571)), "", VLOOKUP(A571,'Discount Lookup'!D:E,2,FALSE)*G571)</f>
        <v/>
      </c>
      <c r="V571" s="78" t="str">
        <f>IF(NOT(ISNUMBER(G571)), "", VLOOKUP(A571,'Discount Lookup'!G:H,2,FALSE)*G571)</f>
        <v/>
      </c>
      <c r="W571" s="102">
        <f t="shared" si="388"/>
        <v>0</v>
      </c>
      <c r="X571" s="102" t="str">
        <f t="shared" si="389"/>
        <v>Dark Green foliage</v>
      </c>
      <c r="Y571" s="120" t="b">
        <f t="shared" si="390"/>
        <v>0</v>
      </c>
      <c r="Z571" s="117">
        <f t="shared" si="391"/>
        <v>0</v>
      </c>
      <c r="AA571" s="118"/>
      <c r="AB571" s="118" t="str">
        <f t="shared" si="392"/>
        <v/>
      </c>
      <c r="AC571" s="712" t="str">
        <f>IF(AE571="T2G","no charge",IF(AND(OR(PlanterYesMe="No",PlanterYesMe="N",PlanterYesMe="me"),H571=""),"",IF(H571="credit","NO install",IF(AND(K571="",AE571="me"),"EACH row",IF(AND(K571="images",AE571="me"),"EACH row",IF(D571="","",IF(H571="credit","",IF(AE571="free","re-planting",IF(AE571="me","   not ELP, by",IF(AND(OR(PlanterYesMe="Yes",PlanterYesMe="Y"),G571&gt;0),(VLOOKUP(A571,'Discount Lookup'!J:K,2)*G571*(1-PlanterDiscount)*(1+PlanterDifficultyPercentage)),IF(AE571="ELP",(VLOOKUP(A571,'Discount Lookup'!J:K,2)*G571*(1-PlanterDiscount)*(1+PlanterDifficultyPercentage)),IF(AE571="free","re-planting",IF(G571=0,"",IF(PlanterYesMe="",IF(AE571="me","   not ELP, by",IF(AE571="",IF(G571&gt;0,(VLOOKUP(A571,'Discount Lookup'!J:K,2)*G571*(1-PlanterDiscount)*(1+PlanterDifficultyPercentage)),""),"")),"   not ELP, by"))))))))))))))</f>
        <v/>
      </c>
      <c r="AD571" s="712"/>
      <c r="AE571" s="513" t="str">
        <f t="shared" si="393"/>
        <v/>
      </c>
      <c r="AF571" s="713" t="str">
        <f t="shared" si="394"/>
        <v/>
      </c>
      <c r="AG571" s="713"/>
      <c r="AH571" s="713"/>
      <c r="AI571" s="112">
        <f>IF(H571="credit",0,IF(AE571="free",0,IF(AE571="me",0,IF(G571&gt;0,(VLOOKUP(A571,'Discount Lookup'!J:K,2)*G571),0))))</f>
        <v>0</v>
      </c>
      <c r="AJ571" s="107" t="str">
        <f t="shared" ca="1" si="395"/>
        <v/>
      </c>
      <c r="AK571" s="714" t="str">
        <f t="shared" si="396"/>
        <v/>
      </c>
      <c r="AL571" s="714"/>
      <c r="AM571" s="114" t="str">
        <f t="shared" si="397"/>
        <v/>
      </c>
      <c r="AN571" s="115"/>
      <c r="AO571" s="116"/>
      <c r="AP571" s="116"/>
      <c r="AQ571" s="116"/>
      <c r="AR571" s="116"/>
      <c r="AS571" s="116"/>
      <c r="AT571" s="116"/>
      <c r="AU571" s="116"/>
      <c r="AV571" s="78"/>
      <c r="AW571" s="102"/>
      <c r="AX571" s="78"/>
      <c r="AY571" s="78"/>
      <c r="AZ571" s="78"/>
      <c r="BA571" s="78"/>
      <c r="BB571" s="78"/>
      <c r="BC571" s="78"/>
      <c r="BD571" s="78"/>
      <c r="BE571" s="465"/>
      <c r="BF571" s="165" t="str">
        <f t="shared" si="398"/>
        <v>https://www.google.com/search?tbm=isch&amp;q=Buxus%20microphylla%20%27John%20Baldwin%27%20John%20Baldwin%20Boxwood</v>
      </c>
      <c r="BG571" s="165" t="str">
        <f t="shared" si="399"/>
        <v>B</v>
      </c>
      <c r="BH571" s="65"/>
      <c r="BI571" s="65"/>
      <c r="BJ571" s="65"/>
      <c r="BK571" s="65"/>
      <c r="BL571" s="99"/>
      <c r="BM571" s="99"/>
      <c r="BN571" s="99"/>
    </row>
    <row r="572" spans="1:66" s="51" customFormat="1" ht="27" x14ac:dyDescent="0.25">
      <c r="A572" s="478">
        <v>5</v>
      </c>
      <c r="B572" s="479" t="s">
        <v>291</v>
      </c>
      <c r="C572" s="480" t="s">
        <v>5115</v>
      </c>
      <c r="D572" s="481" t="s">
        <v>299</v>
      </c>
      <c r="E572" s="482">
        <v>102.95</v>
      </c>
      <c r="F572" s="483" t="s">
        <v>292</v>
      </c>
      <c r="G572" s="484">
        <v>0</v>
      </c>
      <c r="H572" s="688" t="str">
        <f>IF(G572=0,"",IF(F572="Buy",IF(G572=1,"plant","plants"),IF(F572&gt;0.01,"warranty","Error")))</f>
        <v/>
      </c>
      <c r="I572" s="485">
        <f>IF(H572="free",0,IF(H572="credit",((E572*(F572))*G572*-1),IF(F572="Buy",(E572*G572),((E572*(1-F572))*G572))))</f>
        <v>0</v>
      </c>
      <c r="J572" s="485">
        <f>IF(H572="warranty",0,(I572*(_xlfn.SINGLE(SalesTaxPercentage))))</f>
        <v>0</v>
      </c>
      <c r="K572" s="715">
        <f t="shared" ref="K572" si="424">I572+J572</f>
        <v>0</v>
      </c>
      <c r="L572" s="715"/>
      <c r="M572" s="689" t="str">
        <f ca="1">IF(AND(G572&gt;0,E572=0),"WARNING - no PRICE inserted",IF(H572="free","FREE ~ no charge this plant",IF(H572="credit",CONCATENATE("-$",ROUND(K572*(1-_xlfn.SINGLE(T2GDiscount))*-1,2)," CREDIT after discount"),IF(_xlfn.SINGLE(T2GDiscount)=0,"",IF(G572=0,"",IF(F572="Buy",CONCATENATE("$",ROUND(K572*(1-_xlfn.SINGLE(T2GDiscount)),2)," with ",(_xlfn.SINGLE(T2GDiscount)*100),"% discount"),CONCATENATE("$",ROUND(K572*(1-_xlfn.SINGLE(T2GDiscount)),2)," with ",((_xlfn.SINGLE(T2GDiscount)*100+F572*100)-(_xlfn.SINGLE(T2GDiscount)*100*F572)),IF(F572&gt;0,"% discounts",IF(_xlfn.SINGLE(NoWarrantyDiscount)&gt;0,"% discounts","% discount")))))))))</f>
        <v/>
      </c>
      <c r="N572" s="690"/>
      <c r="O572" s="486"/>
      <c r="P572" s="486"/>
      <c r="Q572" s="486"/>
      <c r="R572" s="486"/>
      <c r="S572" s="486"/>
      <c r="T572" s="102">
        <f t="shared" si="387"/>
        <v>0</v>
      </c>
      <c r="U572" s="78">
        <f>IF(NOT(ISNUMBER(G572)), "", VLOOKUP(A572,'Discount Lookup'!D:E,2,FALSE)*G572)</f>
        <v>0</v>
      </c>
      <c r="V572" s="78">
        <f>IF(NOT(ISNUMBER(G572)), "", VLOOKUP(A572,'Discount Lookup'!G:H,2,FALSE)*G572)</f>
        <v>0</v>
      </c>
      <c r="W572" s="102">
        <f t="shared" si="388"/>
        <v>0</v>
      </c>
      <c r="X572" s="102">
        <f t="shared" si="389"/>
        <v>0</v>
      </c>
      <c r="Y572" s="120" t="b">
        <f t="shared" si="390"/>
        <v>0</v>
      </c>
      <c r="Z572" s="117">
        <f t="shared" si="391"/>
        <v>0</v>
      </c>
      <c r="AA572" s="118"/>
      <c r="AB572" s="118" t="str">
        <f t="shared" si="392"/>
        <v/>
      </c>
      <c r="AC572" s="712" t="str">
        <f>IF(AE572="T2G","no charge",IF(AND(OR(PlanterYesMe="No",PlanterYesMe="N",PlanterYesMe="me"),H572=""),"",IF(H572="credit","NO install",IF(AND(K572="",AE572="me"),"EACH row",IF(AND(K572="images",AE572="me"),"EACH row",IF(D572="","",IF(H572="credit","",IF(AE572="free","re-planting",IF(AE572="me","   not ELP, by",IF(AND(OR(PlanterYesMe="Yes",PlanterYesMe="Y"),G572&gt;0),(VLOOKUP(A572,'Discount Lookup'!J:K,2)*G572*(1-PlanterDiscount)*(1+PlanterDifficultyPercentage)),IF(AE572="ELP",(VLOOKUP(A572,'Discount Lookup'!J:K,2)*G572*(1-PlanterDiscount)*(1+PlanterDifficultyPercentage)),IF(AE572="free","re-planting",IF(G572=0,"",IF(PlanterYesMe="",IF(AE572="me","   not ELP, by",IF(AE572="",IF(G572&gt;0,(VLOOKUP(A572,'Discount Lookup'!J:K,2)*G572*(1-PlanterDiscount)*(1+PlanterDifficultyPercentage)),""),"")),"   not ELP, by"))))))))))))))</f>
        <v/>
      </c>
      <c r="AD572" s="712"/>
      <c r="AE572" s="513" t="str">
        <f t="shared" si="393"/>
        <v/>
      </c>
      <c r="AF572" s="713" t="str">
        <f t="shared" si="394"/>
        <v/>
      </c>
      <c r="AG572" s="713"/>
      <c r="AH572" s="713"/>
      <c r="AI572" s="112">
        <f>IF(H572="credit",0,IF(AE572="free",0,IF(AE572="me",0,IF(G572&gt;0,(VLOOKUP(A572,'Discount Lookup'!J:K,2)*G572),0))))</f>
        <v>0</v>
      </c>
      <c r="AJ572" s="107" t="str">
        <f t="shared" ca="1" si="395"/>
        <v/>
      </c>
      <c r="AK572" s="714" t="str">
        <f t="shared" si="396"/>
        <v/>
      </c>
      <c r="AL572" s="714"/>
      <c r="AM572" s="114" t="str">
        <f t="shared" si="397"/>
        <v/>
      </c>
      <c r="AN572" s="115"/>
      <c r="AO572" s="116"/>
      <c r="AP572" s="116"/>
      <c r="AQ572" s="116"/>
      <c r="AR572" s="116"/>
      <c r="AS572" s="116"/>
      <c r="AT572" s="116"/>
      <c r="AU572" s="116"/>
      <c r="AV572" s="78"/>
      <c r="AW572" s="102"/>
      <c r="AX572" s="78"/>
      <c r="AY572" s="78"/>
      <c r="AZ572" s="78"/>
      <c r="BA572" s="78"/>
      <c r="BB572" s="78"/>
      <c r="BC572" s="78"/>
      <c r="BD572" s="78"/>
      <c r="BE572" s="465"/>
      <c r="BF572" s="165" t="str">
        <f t="shared" si="398"/>
        <v>https://www.google.com/search?tbm=isch&amp;q=5%20G4</v>
      </c>
      <c r="BG572" s="165" t="str">
        <f t="shared" si="399"/>
        <v>B</v>
      </c>
      <c r="BH572" s="65"/>
      <c r="BI572" s="65"/>
      <c r="BJ572" s="65"/>
      <c r="BK572" s="65"/>
      <c r="BL572" s="99"/>
      <c r="BM572" s="99"/>
      <c r="BN572" s="99"/>
    </row>
    <row r="573" spans="1:66" s="51" customFormat="1" ht="16.5" thickBot="1" x14ac:dyDescent="0.3">
      <c r="A573" s="508" t="s">
        <v>1671</v>
      </c>
      <c r="B573" s="487"/>
      <c r="C573" s="707"/>
      <c r="D573" s="487"/>
      <c r="E573" s="487"/>
      <c r="F573" s="488"/>
      <c r="G573" s="489"/>
      <c r="H573" s="487"/>
      <c r="I573" s="490"/>
      <c r="J573" s="490"/>
      <c r="K573" s="491"/>
      <c r="L573" s="547"/>
      <c r="M573" s="528"/>
      <c r="N573" s="492"/>
      <c r="O573" s="493"/>
      <c r="P573" s="494"/>
      <c r="Q573" s="492"/>
      <c r="R573" s="492"/>
      <c r="S573" s="699" t="s">
        <v>5259</v>
      </c>
      <c r="T573" s="102">
        <f t="shared" si="387"/>
        <v>0</v>
      </c>
      <c r="U573" s="78" t="str">
        <f>IF(NOT(ISNUMBER(G573)), "", VLOOKUP(A573,'Discount Lookup'!D:E,2,FALSE)*G573)</f>
        <v/>
      </c>
      <c r="V573" s="78" t="str">
        <f>IF(NOT(ISNUMBER(G573)), "", VLOOKUP(A573,'Discount Lookup'!G:H,2,FALSE)*G573)</f>
        <v/>
      </c>
      <c r="W573" s="102">
        <f t="shared" si="388"/>
        <v>0</v>
      </c>
      <c r="X573" s="102">
        <f t="shared" si="389"/>
        <v>0</v>
      </c>
      <c r="Y573" s="120" t="b">
        <f t="shared" si="390"/>
        <v>0</v>
      </c>
      <c r="Z573" s="117">
        <f t="shared" si="391"/>
        <v>0</v>
      </c>
      <c r="AA573" s="118"/>
      <c r="AB573" s="118" t="str">
        <f t="shared" si="392"/>
        <v/>
      </c>
      <c r="AC573" s="712" t="str">
        <f>IF(AE573="T2G","no charge",IF(AND(OR(PlanterYesMe="No",PlanterYesMe="N",PlanterYesMe="me"),H573=""),"",IF(H573="credit","NO install",IF(AND(K573="",AE573="me"),"EACH row",IF(AND(K573="images",AE573="me"),"EACH row",IF(D573="","",IF(H573="credit","",IF(AE573="free","re-planting",IF(AE573="me","   not ELP, by",IF(AND(OR(PlanterYesMe="Yes",PlanterYesMe="Y"),G573&gt;0),(VLOOKUP(A573,'Discount Lookup'!J:K,2)*G573*(1-PlanterDiscount)*(1+PlanterDifficultyPercentage)),IF(AE573="ELP",(VLOOKUP(A573,'Discount Lookup'!J:K,2)*G573*(1-PlanterDiscount)*(1+PlanterDifficultyPercentage)),IF(AE573="free","re-planting",IF(G573=0,"",IF(PlanterYesMe="",IF(AE573="me","   not ELP, by",IF(AE573="",IF(G573&gt;0,(VLOOKUP(A573,'Discount Lookup'!J:K,2)*G573*(1-PlanterDiscount)*(1+PlanterDifficultyPercentage)),""),"")),"   not ELP, by"))))))))))))))</f>
        <v/>
      </c>
      <c r="AD573" s="712"/>
      <c r="AE573" s="513" t="str">
        <f t="shared" si="393"/>
        <v/>
      </c>
      <c r="AF573" s="713" t="str">
        <f t="shared" si="394"/>
        <v/>
      </c>
      <c r="AG573" s="713"/>
      <c r="AH573" s="713"/>
      <c r="AI573" s="112">
        <f>IF(H573="credit",0,IF(AE573="free",0,IF(AE573="me",0,IF(G573&gt;0,(VLOOKUP(A573,'Discount Lookup'!J:K,2)*G573),0))))</f>
        <v>0</v>
      </c>
      <c r="AJ573" s="107" t="str">
        <f t="shared" ca="1" si="395"/>
        <v/>
      </c>
      <c r="AK573" s="714" t="str">
        <f t="shared" si="396"/>
        <v/>
      </c>
      <c r="AL573" s="714"/>
      <c r="AM573" s="114" t="str">
        <f t="shared" si="397"/>
        <v/>
      </c>
      <c r="AN573" s="115"/>
      <c r="AO573" s="116"/>
      <c r="AP573" s="116"/>
      <c r="AQ573" s="116"/>
      <c r="AR573" s="116"/>
      <c r="AS573" s="116"/>
      <c r="AT573" s="116"/>
      <c r="AU573" s="116"/>
      <c r="AV573" s="78"/>
      <c r="AW573" s="102"/>
      <c r="AX573" s="78"/>
      <c r="AY573" s="78"/>
      <c r="AZ573" s="78"/>
      <c r="BA573" s="78"/>
      <c r="BB573" s="78"/>
      <c r="BC573" s="78"/>
      <c r="BD573" s="78"/>
      <c r="BE573" s="465"/>
      <c r="BF573" s="165" t="str">
        <f t="shared" si="398"/>
        <v>https://www.google.com/search?tbm=isch&amp;q=John%20Baldwin%20flushes%20Blue-Green.%20Maintains%20conical%20shape%20naturally.%20Very%20cold%20tolerant.%20Slow-growing%2C%20dense%2C%20and%20ideal%20for%20hedges%20and%20borders%20</v>
      </c>
      <c r="BG573" s="165" t="str">
        <f t="shared" si="399"/>
        <v>J</v>
      </c>
      <c r="BH573" s="65"/>
      <c r="BI573" s="65"/>
      <c r="BJ573" s="65"/>
      <c r="BK573" s="65"/>
      <c r="BL573" s="99"/>
      <c r="BM573" s="99"/>
      <c r="BN573" s="99"/>
    </row>
    <row r="574" spans="1:66" s="51" customFormat="1" ht="18" x14ac:dyDescent="0.25">
      <c r="A574" s="507" t="s">
        <v>1672</v>
      </c>
      <c r="B574" s="470"/>
      <c r="C574" s="706"/>
      <c r="D574" s="471" t="s">
        <v>1673</v>
      </c>
      <c r="E574" s="472"/>
      <c r="F574" s="472"/>
      <c r="G574" s="472"/>
      <c r="H574" s="622" t="s">
        <v>1088</v>
      </c>
      <c r="I574" s="473" t="s">
        <v>432</v>
      </c>
      <c r="J574" s="472"/>
      <c r="K574" s="472"/>
      <c r="L574" s="561"/>
      <c r="M574" s="698" t="s">
        <v>5246</v>
      </c>
      <c r="N574" s="692" t="str">
        <f>IF(AND(ISTEXT($A574), ISERROR($A574+0)), HYPERLINK($BF574, "Images"), "")</f>
        <v>Images</v>
      </c>
      <c r="O574" s="694" t="s">
        <v>5244</v>
      </c>
      <c r="P574" s="475"/>
      <c r="Q574" s="476"/>
      <c r="R574" s="476"/>
      <c r="S574" s="477"/>
      <c r="T574" s="102">
        <f t="shared" si="387"/>
        <v>0</v>
      </c>
      <c r="U574" s="78" t="str">
        <f>IF(NOT(ISNUMBER(G574)), "", VLOOKUP(A574,'Discount Lookup'!D:E,2,FALSE)*G574)</f>
        <v/>
      </c>
      <c r="V574" s="78" t="str">
        <f>IF(NOT(ISNUMBER(G574)), "", VLOOKUP(A574,'Discount Lookup'!G:H,2,FALSE)*G574)</f>
        <v/>
      </c>
      <c r="W574" s="102">
        <f t="shared" si="388"/>
        <v>0</v>
      </c>
      <c r="X574" s="102" t="str">
        <f t="shared" si="389"/>
        <v>Green foliage</v>
      </c>
      <c r="Y574" s="120" t="b">
        <f t="shared" si="390"/>
        <v>0</v>
      </c>
      <c r="Z574" s="117">
        <f t="shared" si="391"/>
        <v>0</v>
      </c>
      <c r="AA574" s="118"/>
      <c r="AB574" s="118" t="str">
        <f t="shared" si="392"/>
        <v/>
      </c>
      <c r="AC574" s="712" t="str">
        <f>IF(AE574="T2G","no charge",IF(AND(OR(PlanterYesMe="No",PlanterYesMe="N",PlanterYesMe="me"),H574=""),"",IF(H574="credit","NO install",IF(AND(K574="",AE574="me"),"EACH row",IF(AND(K574="images",AE574="me"),"EACH row",IF(D574="","",IF(H574="credit","",IF(AE574="free","re-planting",IF(AE574="me","   not ELP, by",IF(AND(OR(PlanterYesMe="Yes",PlanterYesMe="Y"),G574&gt;0),(VLOOKUP(A574,'Discount Lookup'!J:K,2)*G574*(1-PlanterDiscount)*(1+PlanterDifficultyPercentage)),IF(AE574="ELP",(VLOOKUP(A574,'Discount Lookup'!J:K,2)*G574*(1-PlanterDiscount)*(1+PlanterDifficultyPercentage)),IF(AE574="free","re-planting",IF(G574=0,"",IF(PlanterYesMe="",IF(AE574="me","   not ELP, by",IF(AE574="",IF(G574&gt;0,(VLOOKUP(A574,'Discount Lookup'!J:K,2)*G574*(1-PlanterDiscount)*(1+PlanterDifficultyPercentage)),""),"")),"   not ELP, by"))))))))))))))</f>
        <v/>
      </c>
      <c r="AD574" s="712"/>
      <c r="AE574" s="513" t="str">
        <f t="shared" si="393"/>
        <v/>
      </c>
      <c r="AF574" s="713" t="str">
        <f t="shared" si="394"/>
        <v/>
      </c>
      <c r="AG574" s="713"/>
      <c r="AH574" s="713"/>
      <c r="AI574" s="112">
        <f>IF(H574="credit",0,IF(AE574="free",0,IF(AE574="me",0,IF(G574&gt;0,(VLOOKUP(A574,'Discount Lookup'!J:K,2)*G574),0))))</f>
        <v>0</v>
      </c>
      <c r="AJ574" s="107" t="str">
        <f t="shared" ca="1" si="395"/>
        <v/>
      </c>
      <c r="AK574" s="714" t="str">
        <f t="shared" si="396"/>
        <v/>
      </c>
      <c r="AL574" s="714"/>
      <c r="AM574" s="114" t="str">
        <f t="shared" si="397"/>
        <v/>
      </c>
      <c r="AN574" s="115"/>
      <c r="AO574" s="116"/>
      <c r="AP574" s="116"/>
      <c r="AQ574" s="116"/>
      <c r="AR574" s="116"/>
      <c r="AS574" s="116"/>
      <c r="AT574" s="116"/>
      <c r="AU574" s="116"/>
      <c r="AV574" s="78"/>
      <c r="AW574" s="102"/>
      <c r="AX574" s="78"/>
      <c r="AY574" s="78"/>
      <c r="AZ574" s="78"/>
      <c r="BA574" s="78"/>
      <c r="BB574" s="78"/>
      <c r="BC574" s="78"/>
      <c r="BD574" s="78"/>
      <c r="BE574" s="465"/>
      <c r="BF574" s="165" t="str">
        <f t="shared" si="398"/>
        <v>https://www.google.com/search?tbm=isch&amp;q=Buxus%20microphylla%20%27Little%20Missy%27%20Little%20Missy%20Boxwood</v>
      </c>
      <c r="BG574" s="165" t="str">
        <f t="shared" si="399"/>
        <v>B</v>
      </c>
      <c r="BH574" s="65"/>
      <c r="BI574" s="65"/>
      <c r="BJ574" s="65"/>
      <c r="BK574" s="65"/>
      <c r="BL574" s="99"/>
      <c r="BM574" s="99"/>
      <c r="BN574" s="99"/>
    </row>
    <row r="575" spans="1:66" s="51" customFormat="1" ht="40.5" x14ac:dyDescent="0.25">
      <c r="A575" s="478">
        <v>5</v>
      </c>
      <c r="B575" s="479" t="s">
        <v>291</v>
      </c>
      <c r="C575" s="480" t="s">
        <v>1674</v>
      </c>
      <c r="D575" s="481" t="s">
        <v>299</v>
      </c>
      <c r="E575" s="482">
        <v>95.95</v>
      </c>
      <c r="F575" s="483" t="s">
        <v>292</v>
      </c>
      <c r="G575" s="484">
        <v>0</v>
      </c>
      <c r="H575" s="688" t="str">
        <f>IF(G575=0,"",IF(F575="Buy",IF(G575=1,"plant","plants"),IF(F575&gt;0.01,"warranty","Error")))</f>
        <v/>
      </c>
      <c r="I575" s="485">
        <f>IF(H575="free",0,IF(H575="credit",((E575*(F575))*G575*-1),IF(F575="Buy",(E575*G575),((E575*(1-F575))*G575))))</f>
        <v>0</v>
      </c>
      <c r="J575" s="485">
        <f>IF(H575="warranty",0,(I575*(_xlfn.SINGLE(SalesTaxPercentage))))</f>
        <v>0</v>
      </c>
      <c r="K575" s="715">
        <f t="shared" ref="K575" si="425">I575+J575</f>
        <v>0</v>
      </c>
      <c r="L575" s="715"/>
      <c r="M575" s="689" t="str">
        <f ca="1">IF(AND(G575&gt;0,E575=0),"WARNING - no PRICE inserted",IF(H575="free","FREE ~ no charge this plant",IF(H575="credit",CONCATENATE("-$",ROUND(K575*(1-_xlfn.SINGLE(T2GDiscount))*-1,2)," CREDIT after discount"),IF(_xlfn.SINGLE(T2GDiscount)=0,"",IF(G575=0,"",IF(F575="Buy",CONCATENATE("$",ROUND(K575*(1-_xlfn.SINGLE(T2GDiscount)),2)," with ",(_xlfn.SINGLE(T2GDiscount)*100),"% discount"),CONCATENATE("$",ROUND(K575*(1-_xlfn.SINGLE(T2GDiscount)),2)," with ",((_xlfn.SINGLE(T2GDiscount)*100+F575*100)-(_xlfn.SINGLE(T2GDiscount)*100*F575)),IF(F575&gt;0,"% discounts",IF(_xlfn.SINGLE(NoWarrantyDiscount)&gt;0,"% discounts","% discount")))))))))</f>
        <v/>
      </c>
      <c r="N575" s="690"/>
      <c r="O575" s="486"/>
      <c r="P575" s="486"/>
      <c r="Q575" s="486"/>
      <c r="R575" s="486"/>
      <c r="S575" s="486"/>
      <c r="T575" s="102">
        <f t="shared" si="387"/>
        <v>0</v>
      </c>
      <c r="U575" s="78">
        <f>IF(NOT(ISNUMBER(G575)), "", VLOOKUP(A575,'Discount Lookup'!D:E,2,FALSE)*G575)</f>
        <v>0</v>
      </c>
      <c r="V575" s="78">
        <f>IF(NOT(ISNUMBER(G575)), "", VLOOKUP(A575,'Discount Lookup'!G:H,2,FALSE)*G575)</f>
        <v>0</v>
      </c>
      <c r="W575" s="102">
        <f t="shared" si="388"/>
        <v>0</v>
      </c>
      <c r="X575" s="102">
        <f t="shared" si="389"/>
        <v>0</v>
      </c>
      <c r="Y575" s="120" t="b">
        <f t="shared" si="390"/>
        <v>0</v>
      </c>
      <c r="Z575" s="117">
        <f t="shared" si="391"/>
        <v>0</v>
      </c>
      <c r="AA575" s="118"/>
      <c r="AB575" s="118" t="str">
        <f t="shared" si="392"/>
        <v/>
      </c>
      <c r="AC575" s="712" t="str">
        <f>IF(AE575="T2G","no charge",IF(AND(OR(PlanterYesMe="No",PlanterYesMe="N",PlanterYesMe="me"),H575=""),"",IF(H575="credit","NO install",IF(AND(K575="",AE575="me"),"EACH row",IF(AND(K575="images",AE575="me"),"EACH row",IF(D575="","",IF(H575="credit","",IF(AE575="free","re-planting",IF(AE575="me","   not ELP, by",IF(AND(OR(PlanterYesMe="Yes",PlanterYesMe="Y"),G575&gt;0),(VLOOKUP(A575,'Discount Lookup'!J:K,2)*G575*(1-PlanterDiscount)*(1+PlanterDifficultyPercentage)),IF(AE575="ELP",(VLOOKUP(A575,'Discount Lookup'!J:K,2)*G575*(1-PlanterDiscount)*(1+PlanterDifficultyPercentage)),IF(AE575="free","re-planting",IF(G575=0,"",IF(PlanterYesMe="",IF(AE575="me","   not ELP, by",IF(AE575="",IF(G575&gt;0,(VLOOKUP(A575,'Discount Lookup'!J:K,2)*G575*(1-PlanterDiscount)*(1+PlanterDifficultyPercentage)),""),"")),"   not ELP, by"))))))))))))))</f>
        <v/>
      </c>
      <c r="AD575" s="712"/>
      <c r="AE575" s="513" t="str">
        <f t="shared" si="393"/>
        <v/>
      </c>
      <c r="AF575" s="713" t="str">
        <f t="shared" si="394"/>
        <v/>
      </c>
      <c r="AG575" s="713"/>
      <c r="AH575" s="713"/>
      <c r="AI575" s="112">
        <f>IF(H575="credit",0,IF(AE575="free",0,IF(AE575="me",0,IF(G575&gt;0,(VLOOKUP(A575,'Discount Lookup'!J:K,2)*G575),0))))</f>
        <v>0</v>
      </c>
      <c r="AJ575" s="107" t="str">
        <f t="shared" ca="1" si="395"/>
        <v/>
      </c>
      <c r="AK575" s="714" t="str">
        <f t="shared" si="396"/>
        <v/>
      </c>
      <c r="AL575" s="714"/>
      <c r="AM575" s="114" t="str">
        <f t="shared" si="397"/>
        <v/>
      </c>
      <c r="AN575" s="115"/>
      <c r="AO575" s="116"/>
      <c r="AP575" s="116"/>
      <c r="AQ575" s="116"/>
      <c r="AR575" s="116"/>
      <c r="AS575" s="116"/>
      <c r="AT575" s="116"/>
      <c r="AU575" s="116"/>
      <c r="AV575" s="78"/>
      <c r="AW575" s="102"/>
      <c r="AX575" s="78"/>
      <c r="AY575" s="78"/>
      <c r="AZ575" s="78"/>
      <c r="BA575" s="78"/>
      <c r="BB575" s="78"/>
      <c r="BC575" s="78"/>
      <c r="BD575" s="78"/>
      <c r="BE575" s="465"/>
      <c r="BF575" s="165" t="str">
        <f t="shared" si="398"/>
        <v>https://www.google.com/search?tbm=isch&amp;q=5%20G4</v>
      </c>
      <c r="BG575" s="165" t="str">
        <f t="shared" si="399"/>
        <v>B</v>
      </c>
      <c r="BH575" s="65"/>
      <c r="BI575" s="65"/>
      <c r="BJ575" s="65"/>
      <c r="BK575" s="65"/>
      <c r="BL575" s="99"/>
      <c r="BM575" s="99"/>
      <c r="BN575" s="99"/>
    </row>
    <row r="576" spans="1:66" s="51" customFormat="1" ht="16.5" thickBot="1" x14ac:dyDescent="0.3">
      <c r="A576" s="508" t="s">
        <v>1675</v>
      </c>
      <c r="B576" s="487"/>
      <c r="C576" s="707"/>
      <c r="D576" s="487"/>
      <c r="E576" s="487"/>
      <c r="F576" s="488"/>
      <c r="G576" s="489"/>
      <c r="H576" s="487"/>
      <c r="I576" s="490"/>
      <c r="J576" s="490"/>
      <c r="K576" s="491"/>
      <c r="L576" s="547"/>
      <c r="M576" s="528"/>
      <c r="N576" s="492"/>
      <c r="O576" s="493"/>
      <c r="P576" s="494"/>
      <c r="Q576" s="492"/>
      <c r="R576" s="492"/>
      <c r="S576" s="699" t="s">
        <v>5259</v>
      </c>
      <c r="T576" s="102">
        <f t="shared" si="387"/>
        <v>0</v>
      </c>
      <c r="U576" s="78" t="str">
        <f>IF(NOT(ISNUMBER(G576)), "", VLOOKUP(A576,'Discount Lookup'!D:E,2,FALSE)*G576)</f>
        <v/>
      </c>
      <c r="V576" s="78" t="str">
        <f>IF(NOT(ISNUMBER(G576)), "", VLOOKUP(A576,'Discount Lookup'!G:H,2,FALSE)*G576)</f>
        <v/>
      </c>
      <c r="W576" s="102">
        <f t="shared" si="388"/>
        <v>0</v>
      </c>
      <c r="X576" s="102">
        <f t="shared" si="389"/>
        <v>0</v>
      </c>
      <c r="Y576" s="120" t="b">
        <f t="shared" si="390"/>
        <v>0</v>
      </c>
      <c r="Z576" s="117">
        <f t="shared" si="391"/>
        <v>0</v>
      </c>
      <c r="AA576" s="118"/>
      <c r="AB576" s="118" t="str">
        <f t="shared" si="392"/>
        <v/>
      </c>
      <c r="AC576" s="712" t="str">
        <f>IF(AE576="T2G","no charge",IF(AND(OR(PlanterYesMe="No",PlanterYesMe="N",PlanterYesMe="me"),H576=""),"",IF(H576="credit","NO install",IF(AND(K576="",AE576="me"),"EACH row",IF(AND(K576="images",AE576="me"),"EACH row",IF(D576="","",IF(H576="credit","",IF(AE576="free","re-planting",IF(AE576="me","   not ELP, by",IF(AND(OR(PlanterYesMe="Yes",PlanterYesMe="Y"),G576&gt;0),(VLOOKUP(A576,'Discount Lookup'!J:K,2)*G576*(1-PlanterDiscount)*(1+PlanterDifficultyPercentage)),IF(AE576="ELP",(VLOOKUP(A576,'Discount Lookup'!J:K,2)*G576*(1-PlanterDiscount)*(1+PlanterDifficultyPercentage)),IF(AE576="free","re-planting",IF(G576=0,"",IF(PlanterYesMe="",IF(AE576="me","   not ELP, by",IF(AE576="",IF(G576&gt;0,(VLOOKUP(A576,'Discount Lookup'!J:K,2)*G576*(1-PlanterDiscount)*(1+PlanterDifficultyPercentage)),""),"")),"   not ELP, by"))))))))))))))</f>
        <v/>
      </c>
      <c r="AD576" s="712"/>
      <c r="AE576" s="513" t="str">
        <f t="shared" si="393"/>
        <v/>
      </c>
      <c r="AF576" s="713" t="str">
        <f t="shared" si="394"/>
        <v/>
      </c>
      <c r="AG576" s="713"/>
      <c r="AH576" s="713"/>
      <c r="AI576" s="112">
        <f>IF(H576="credit",0,IF(AE576="free",0,IF(AE576="me",0,IF(G576&gt;0,(VLOOKUP(A576,'Discount Lookup'!J:K,2)*G576),0))))</f>
        <v>0</v>
      </c>
      <c r="AJ576" s="107" t="str">
        <f t="shared" ca="1" si="395"/>
        <v/>
      </c>
      <c r="AK576" s="714" t="str">
        <f t="shared" si="396"/>
        <v/>
      </c>
      <c r="AL576" s="714"/>
      <c r="AM576" s="114" t="str">
        <f t="shared" si="397"/>
        <v/>
      </c>
      <c r="AN576" s="115"/>
      <c r="AO576" s="116"/>
      <c r="AP576" s="116"/>
      <c r="AQ576" s="116"/>
      <c r="AR576" s="116"/>
      <c r="AS576" s="116"/>
      <c r="AT576" s="116"/>
      <c r="AU576" s="116"/>
      <c r="AV576" s="78"/>
      <c r="AW576" s="102"/>
      <c r="AX576" s="78"/>
      <c r="AY576" s="78"/>
      <c r="AZ576" s="78"/>
      <c r="BA576" s="78"/>
      <c r="BB576" s="78"/>
      <c r="BC576" s="78"/>
      <c r="BD576" s="78"/>
      <c r="BE576" s="465"/>
      <c r="BF576" s="165" t="str">
        <f t="shared" si="398"/>
        <v>https://www.google.com/search?tbm=isch&amp;q=Little%20Missy%20is%20prized%20for%20its%20rounded%20habit%20and%20maintaining%20Green%20color%20through%20winter.%20Slow-growing%2C%20dense%2C%20and%20ideal%20for%20hedges%20and%20borders%20</v>
      </c>
      <c r="BG576" s="165" t="str">
        <f t="shared" si="399"/>
        <v>L</v>
      </c>
      <c r="BH576" s="65"/>
      <c r="BI576" s="65"/>
      <c r="BJ576" s="65"/>
      <c r="BK576" s="65"/>
      <c r="BL576" s="99"/>
      <c r="BM576" s="99"/>
      <c r="BN576" s="99"/>
    </row>
    <row r="577" spans="1:66" s="51" customFormat="1" ht="18" x14ac:dyDescent="0.25">
      <c r="A577" s="507" t="s">
        <v>1676</v>
      </c>
      <c r="B577" s="470"/>
      <c r="C577" s="706"/>
      <c r="D577" s="471" t="s">
        <v>1677</v>
      </c>
      <c r="E577" s="472"/>
      <c r="F577" s="472"/>
      <c r="G577" s="472"/>
      <c r="H577" s="622" t="s">
        <v>1104</v>
      </c>
      <c r="I577" s="473" t="s">
        <v>1678</v>
      </c>
      <c r="J577" s="472"/>
      <c r="K577" s="472"/>
      <c r="L577" s="561"/>
      <c r="M577" s="698" t="s">
        <v>5246</v>
      </c>
      <c r="N577" s="692" t="str">
        <f>IF(AND(ISTEXT($A577), ISERROR($A577+0)), HYPERLINK($BF577, "Images"), "")</f>
        <v>Images</v>
      </c>
      <c r="O577" s="694" t="s">
        <v>5244</v>
      </c>
      <c r="P577" s="475"/>
      <c r="Q577" s="476"/>
      <c r="R577" s="476"/>
      <c r="S577" s="477"/>
      <c r="T577" s="102">
        <f t="shared" si="387"/>
        <v>0</v>
      </c>
      <c r="U577" s="78" t="str">
        <f>IF(NOT(ISNUMBER(G577)), "", VLOOKUP(A577,'Discount Lookup'!D:E,2,FALSE)*G577)</f>
        <v/>
      </c>
      <c r="V577" s="78" t="str">
        <f>IF(NOT(ISNUMBER(G577)), "", VLOOKUP(A577,'Discount Lookup'!G:H,2,FALSE)*G577)</f>
        <v/>
      </c>
      <c r="W577" s="102">
        <f t="shared" si="388"/>
        <v>0</v>
      </c>
      <c r="X577" s="102" t="str">
        <f t="shared" si="389"/>
        <v>Green &amp; Yellow foliage</v>
      </c>
      <c r="Y577" s="120" t="b">
        <f t="shared" si="390"/>
        <v>0</v>
      </c>
      <c r="Z577" s="117">
        <f t="shared" si="391"/>
        <v>0</v>
      </c>
      <c r="AA577" s="118"/>
      <c r="AB577" s="118" t="str">
        <f t="shared" si="392"/>
        <v/>
      </c>
      <c r="AC577" s="712" t="str">
        <f>IF(AE577="T2G","no charge",IF(AND(OR(PlanterYesMe="No",PlanterYesMe="N",PlanterYesMe="me"),H577=""),"",IF(H577="credit","NO install",IF(AND(K577="",AE577="me"),"EACH row",IF(AND(K577="images",AE577="me"),"EACH row",IF(D577="","",IF(H577="credit","",IF(AE577="free","re-planting",IF(AE577="me","   not ELP, by",IF(AND(OR(PlanterYesMe="Yes",PlanterYesMe="Y"),G577&gt;0),(VLOOKUP(A577,'Discount Lookup'!J:K,2)*G577*(1-PlanterDiscount)*(1+PlanterDifficultyPercentage)),IF(AE577="ELP",(VLOOKUP(A577,'Discount Lookup'!J:K,2)*G577*(1-PlanterDiscount)*(1+PlanterDifficultyPercentage)),IF(AE577="free","re-planting",IF(G577=0,"",IF(PlanterYesMe="",IF(AE577="me","   not ELP, by",IF(AE577="",IF(G577&gt;0,(VLOOKUP(A577,'Discount Lookup'!J:K,2)*G577*(1-PlanterDiscount)*(1+PlanterDifficultyPercentage)),""),"")),"   not ELP, by"))))))))))))))</f>
        <v/>
      </c>
      <c r="AD577" s="712"/>
      <c r="AE577" s="513" t="str">
        <f t="shared" si="393"/>
        <v/>
      </c>
      <c r="AF577" s="713" t="str">
        <f t="shared" si="394"/>
        <v/>
      </c>
      <c r="AG577" s="713"/>
      <c r="AH577" s="713"/>
      <c r="AI577" s="112">
        <f>IF(H577="credit",0,IF(AE577="free",0,IF(AE577="me",0,IF(G577&gt;0,(VLOOKUP(A577,'Discount Lookup'!J:K,2)*G577),0))))</f>
        <v>0</v>
      </c>
      <c r="AJ577" s="107" t="str">
        <f t="shared" ca="1" si="395"/>
        <v/>
      </c>
      <c r="AK577" s="714" t="str">
        <f t="shared" si="396"/>
        <v/>
      </c>
      <c r="AL577" s="714"/>
      <c r="AM577" s="114" t="str">
        <f t="shared" si="397"/>
        <v/>
      </c>
      <c r="AN577" s="115"/>
      <c r="AO577" s="116"/>
      <c r="AP577" s="116"/>
      <c r="AQ577" s="116"/>
      <c r="AR577" s="116"/>
      <c r="AS577" s="116"/>
      <c r="AT577" s="116"/>
      <c r="AU577" s="116"/>
      <c r="AV577" s="78"/>
      <c r="AW577" s="102"/>
      <c r="AX577" s="78"/>
      <c r="AY577" s="78"/>
      <c r="AZ577" s="78"/>
      <c r="BA577" s="78"/>
      <c r="BB577" s="78"/>
      <c r="BC577" s="78"/>
      <c r="BD577" s="78"/>
      <c r="BE577" s="465"/>
      <c r="BF577" s="165" t="str">
        <f t="shared" si="398"/>
        <v>https://www.google.com/search?tbm=isch&amp;q=Buxus%20microphylla%20%27Peergold%27%20PP%2316052%20Golden%20Dream%20Boxwood</v>
      </c>
      <c r="BG577" s="165" t="str">
        <f t="shared" si="399"/>
        <v>B</v>
      </c>
      <c r="BH577" s="65"/>
      <c r="BI577" s="65"/>
      <c r="BJ577" s="65"/>
      <c r="BK577" s="65"/>
      <c r="BL577" s="99"/>
      <c r="BM577" s="99"/>
      <c r="BN577" s="99"/>
    </row>
    <row r="578" spans="1:66" s="51" customFormat="1" ht="27" x14ac:dyDescent="0.25">
      <c r="A578" s="478">
        <v>5</v>
      </c>
      <c r="B578" s="479" t="s">
        <v>291</v>
      </c>
      <c r="C578" s="480" t="s">
        <v>1679</v>
      </c>
      <c r="D578" s="481" t="s">
        <v>299</v>
      </c>
      <c r="E578" s="482">
        <v>95.95</v>
      </c>
      <c r="F578" s="483" t="s">
        <v>292</v>
      </c>
      <c r="G578" s="484">
        <v>0</v>
      </c>
      <c r="H578" s="688" t="str">
        <f>IF(G578=0,"",IF(F578="Buy",IF(G578=1,"plant","plants"),IF(F578&gt;0.01,"warranty","Error")))</f>
        <v/>
      </c>
      <c r="I578" s="485">
        <f>IF(H578="free",0,IF(H578="credit",((E578*(F578))*G578*-1),IF(F578="Buy",(E578*G578),((E578*(1-F578))*G578))))</f>
        <v>0</v>
      </c>
      <c r="J578" s="485">
        <f>IF(H578="warranty",0,(I578*(_xlfn.SINGLE(SalesTaxPercentage))))</f>
        <v>0</v>
      </c>
      <c r="K578" s="715">
        <f t="shared" ref="K578" si="426">I578+J578</f>
        <v>0</v>
      </c>
      <c r="L578" s="715"/>
      <c r="M578" s="689" t="str">
        <f ca="1">IF(AND(G578&gt;0,E578=0),"WARNING - no PRICE inserted",IF(H578="free","FREE ~ no charge this plant",IF(H578="credit",CONCATENATE("-$",ROUND(K578*(1-_xlfn.SINGLE(T2GDiscount))*-1,2)," CREDIT after discount"),IF(_xlfn.SINGLE(T2GDiscount)=0,"",IF(G578=0,"",IF(F578="Buy",CONCATENATE("$",ROUND(K578*(1-_xlfn.SINGLE(T2GDiscount)),2)," with ",(_xlfn.SINGLE(T2GDiscount)*100),"% discount"),CONCATENATE("$",ROUND(K578*(1-_xlfn.SINGLE(T2GDiscount)),2)," with ",((_xlfn.SINGLE(T2GDiscount)*100+F578*100)-(_xlfn.SINGLE(T2GDiscount)*100*F578)),IF(F578&gt;0,"% discounts",IF(_xlfn.SINGLE(NoWarrantyDiscount)&gt;0,"% discounts","% discount")))))))))</f>
        <v/>
      </c>
      <c r="N578" s="690"/>
      <c r="O578" s="486"/>
      <c r="P578" s="486"/>
      <c r="Q578" s="486"/>
      <c r="R578" s="486"/>
      <c r="S578" s="486"/>
      <c r="T578" s="102">
        <f t="shared" si="387"/>
        <v>0</v>
      </c>
      <c r="U578" s="78">
        <f>IF(NOT(ISNUMBER(G578)), "", VLOOKUP(A578,'Discount Lookup'!D:E,2,FALSE)*G578)</f>
        <v>0</v>
      </c>
      <c r="V578" s="78">
        <f>IF(NOT(ISNUMBER(G578)), "", VLOOKUP(A578,'Discount Lookup'!G:H,2,FALSE)*G578)</f>
        <v>0</v>
      </c>
      <c r="W578" s="102">
        <f t="shared" si="388"/>
        <v>0</v>
      </c>
      <c r="X578" s="102">
        <f t="shared" si="389"/>
        <v>0</v>
      </c>
      <c r="Y578" s="120" t="b">
        <f t="shared" si="390"/>
        <v>0</v>
      </c>
      <c r="Z578" s="117">
        <f t="shared" si="391"/>
        <v>0</v>
      </c>
      <c r="AA578" s="118"/>
      <c r="AB578" s="118" t="str">
        <f t="shared" si="392"/>
        <v/>
      </c>
      <c r="AC578" s="712" t="str">
        <f>IF(AE578="T2G","no charge",IF(AND(OR(PlanterYesMe="No",PlanterYesMe="N",PlanterYesMe="me"),H578=""),"",IF(H578="credit","NO install",IF(AND(K578="",AE578="me"),"EACH row",IF(AND(K578="images",AE578="me"),"EACH row",IF(D578="","",IF(H578="credit","",IF(AE578="free","re-planting",IF(AE578="me","   not ELP, by",IF(AND(OR(PlanterYesMe="Yes",PlanterYesMe="Y"),G578&gt;0),(VLOOKUP(A578,'Discount Lookup'!J:K,2)*G578*(1-PlanterDiscount)*(1+PlanterDifficultyPercentage)),IF(AE578="ELP",(VLOOKUP(A578,'Discount Lookup'!J:K,2)*G578*(1-PlanterDiscount)*(1+PlanterDifficultyPercentage)),IF(AE578="free","re-planting",IF(G578=0,"",IF(PlanterYesMe="",IF(AE578="me","   not ELP, by",IF(AE578="",IF(G578&gt;0,(VLOOKUP(A578,'Discount Lookup'!J:K,2)*G578*(1-PlanterDiscount)*(1+PlanterDifficultyPercentage)),""),"")),"   not ELP, by"))))))))))))))</f>
        <v/>
      </c>
      <c r="AD578" s="712"/>
      <c r="AE578" s="513" t="str">
        <f t="shared" si="393"/>
        <v/>
      </c>
      <c r="AF578" s="713" t="str">
        <f t="shared" si="394"/>
        <v/>
      </c>
      <c r="AG578" s="713"/>
      <c r="AH578" s="713"/>
      <c r="AI578" s="112">
        <f>IF(H578="credit",0,IF(AE578="free",0,IF(AE578="me",0,IF(G578&gt;0,(VLOOKUP(A578,'Discount Lookup'!J:K,2)*G578),0))))</f>
        <v>0</v>
      </c>
      <c r="AJ578" s="107" t="str">
        <f t="shared" ca="1" si="395"/>
        <v/>
      </c>
      <c r="AK578" s="714" t="str">
        <f t="shared" si="396"/>
        <v/>
      </c>
      <c r="AL578" s="714"/>
      <c r="AM578" s="114" t="str">
        <f t="shared" si="397"/>
        <v/>
      </c>
      <c r="AN578" s="115"/>
      <c r="AO578" s="116"/>
      <c r="AP578" s="116"/>
      <c r="AQ578" s="116"/>
      <c r="AR578" s="116"/>
      <c r="AS578" s="116"/>
      <c r="AT578" s="116"/>
      <c r="AU578" s="116"/>
      <c r="AV578" s="78"/>
      <c r="AW578" s="102"/>
      <c r="AX578" s="78"/>
      <c r="AY578" s="78"/>
      <c r="AZ578" s="78"/>
      <c r="BA578" s="78"/>
      <c r="BB578" s="78"/>
      <c r="BC578" s="78"/>
      <c r="BD578" s="78"/>
      <c r="BE578" s="465"/>
      <c r="BF578" s="165" t="str">
        <f t="shared" si="398"/>
        <v>https://www.google.com/search?tbm=isch&amp;q=5%20G4</v>
      </c>
      <c r="BG578" s="165" t="str">
        <f t="shared" si="399"/>
        <v>B</v>
      </c>
      <c r="BH578" s="65"/>
      <c r="BI578" s="65"/>
      <c r="BJ578" s="65"/>
      <c r="BK578" s="65"/>
      <c r="BL578" s="99"/>
      <c r="BM578" s="99"/>
      <c r="BN578" s="99"/>
    </row>
    <row r="579" spans="1:66" s="51" customFormat="1" ht="16.5" thickBot="1" x14ac:dyDescent="0.3">
      <c r="A579" s="508" t="s">
        <v>1680</v>
      </c>
      <c r="B579" s="487"/>
      <c r="C579" s="707"/>
      <c r="D579" s="487"/>
      <c r="E579" s="487"/>
      <c r="F579" s="488"/>
      <c r="G579" s="489"/>
      <c r="H579" s="487"/>
      <c r="I579" s="490"/>
      <c r="J579" s="490"/>
      <c r="K579" s="491"/>
      <c r="L579" s="547"/>
      <c r="M579" s="528"/>
      <c r="N579" s="492"/>
      <c r="O579" s="493"/>
      <c r="P579" s="494"/>
      <c r="Q579" s="492"/>
      <c r="R579" s="492"/>
      <c r="S579" s="699" t="s">
        <v>5259</v>
      </c>
      <c r="T579" s="102">
        <f t="shared" si="387"/>
        <v>0</v>
      </c>
      <c r="U579" s="78" t="str">
        <f>IF(NOT(ISNUMBER(G579)), "", VLOOKUP(A579,'Discount Lookup'!D:E,2,FALSE)*G579)</f>
        <v/>
      </c>
      <c r="V579" s="78" t="str">
        <f>IF(NOT(ISNUMBER(G579)), "", VLOOKUP(A579,'Discount Lookup'!G:H,2,FALSE)*G579)</f>
        <v/>
      </c>
      <c r="W579" s="102">
        <f t="shared" si="388"/>
        <v>0</v>
      </c>
      <c r="X579" s="102">
        <f t="shared" si="389"/>
        <v>0</v>
      </c>
      <c r="Y579" s="120" t="b">
        <f t="shared" si="390"/>
        <v>0</v>
      </c>
      <c r="Z579" s="117">
        <f t="shared" si="391"/>
        <v>0</v>
      </c>
      <c r="AA579" s="118"/>
      <c r="AB579" s="118" t="str">
        <f t="shared" si="392"/>
        <v/>
      </c>
      <c r="AC579" s="712" t="str">
        <f>IF(AE579="T2G","no charge",IF(AND(OR(PlanterYesMe="No",PlanterYesMe="N",PlanterYesMe="me"),H579=""),"",IF(H579="credit","NO install",IF(AND(K579="",AE579="me"),"EACH row",IF(AND(K579="images",AE579="me"),"EACH row",IF(D579="","",IF(H579="credit","",IF(AE579="free","re-planting",IF(AE579="me","   not ELP, by",IF(AND(OR(PlanterYesMe="Yes",PlanterYesMe="Y"),G579&gt;0),(VLOOKUP(A579,'Discount Lookup'!J:K,2)*G579*(1-PlanterDiscount)*(1+PlanterDifficultyPercentage)),IF(AE579="ELP",(VLOOKUP(A579,'Discount Lookup'!J:K,2)*G579*(1-PlanterDiscount)*(1+PlanterDifficultyPercentage)),IF(AE579="free","re-planting",IF(G579=0,"",IF(PlanterYesMe="",IF(AE579="me","   not ELP, by",IF(AE579="",IF(G579&gt;0,(VLOOKUP(A579,'Discount Lookup'!J:K,2)*G579*(1-PlanterDiscount)*(1+PlanterDifficultyPercentage)),""),"")),"   not ELP, by"))))))))))))))</f>
        <v/>
      </c>
      <c r="AD579" s="712"/>
      <c r="AE579" s="513" t="str">
        <f t="shared" si="393"/>
        <v/>
      </c>
      <c r="AF579" s="713" t="str">
        <f t="shared" si="394"/>
        <v/>
      </c>
      <c r="AG579" s="713"/>
      <c r="AH579" s="713"/>
      <c r="AI579" s="112">
        <f>IF(H579="credit",0,IF(AE579="free",0,IF(AE579="me",0,IF(G579&gt;0,(VLOOKUP(A579,'Discount Lookup'!J:K,2)*G579),0))))</f>
        <v>0</v>
      </c>
      <c r="AJ579" s="107" t="str">
        <f t="shared" ca="1" si="395"/>
        <v/>
      </c>
      <c r="AK579" s="714" t="str">
        <f t="shared" si="396"/>
        <v/>
      </c>
      <c r="AL579" s="714"/>
      <c r="AM579" s="114" t="str">
        <f t="shared" si="397"/>
        <v/>
      </c>
      <c r="AN579" s="115"/>
      <c r="AO579" s="116"/>
      <c r="AP579" s="116"/>
      <c r="AQ579" s="116"/>
      <c r="AR579" s="116"/>
      <c r="AS579" s="116"/>
      <c r="AT579" s="116"/>
      <c r="AU579" s="116"/>
      <c r="AV579" s="78"/>
      <c r="AW579" s="102"/>
      <c r="AX579" s="78"/>
      <c r="AY579" s="78"/>
      <c r="AZ579" s="78"/>
      <c r="BA579" s="78"/>
      <c r="BB579" s="78"/>
      <c r="BC579" s="78"/>
      <c r="BD579" s="78"/>
      <c r="BE579" s="465"/>
      <c r="BF579" s="165" t="str">
        <f t="shared" si="398"/>
        <v>https://www.google.com/search?tbm=isch&amp;q=Golden%20Dream%20has%20vivid%20Golden-edged%20foliage%20and%20a%20naturally%20rounded%20habit.%20Slow-growing%2C%20dense%2C%20and%20ideal%20for%20hedges%20and%20borders%20</v>
      </c>
      <c r="BG579" s="165" t="str">
        <f t="shared" si="399"/>
        <v>G</v>
      </c>
      <c r="BH579" s="65"/>
      <c r="BI579" s="65"/>
      <c r="BJ579" s="65"/>
      <c r="BK579" s="65"/>
      <c r="BL579" s="99"/>
      <c r="BM579" s="99"/>
      <c r="BN579" s="99"/>
    </row>
    <row r="580" spans="1:66" s="51" customFormat="1" ht="18" x14ac:dyDescent="0.25">
      <c r="A580" s="507" t="s">
        <v>1681</v>
      </c>
      <c r="B580" s="470"/>
      <c r="C580" s="706"/>
      <c r="D580" s="471" t="s">
        <v>1682</v>
      </c>
      <c r="E580" s="472"/>
      <c r="F580" s="472"/>
      <c r="G580" s="472"/>
      <c r="H580" s="622" t="s">
        <v>1683</v>
      </c>
      <c r="I580" s="473" t="s">
        <v>432</v>
      </c>
      <c r="J580" s="472"/>
      <c r="K580" s="472"/>
      <c r="L580" s="561"/>
      <c r="M580" s="698" t="s">
        <v>5246</v>
      </c>
      <c r="N580" s="692" t="str">
        <f>IF(AND(ISTEXT($A580), ISERROR($A580+0)), HYPERLINK($BF580, "Images"), "")</f>
        <v>Images</v>
      </c>
      <c r="O580" s="694" t="s">
        <v>5244</v>
      </c>
      <c r="P580" s="475"/>
      <c r="Q580" s="476"/>
      <c r="R580" s="476"/>
      <c r="S580" s="477"/>
      <c r="T580" s="102">
        <f t="shared" si="387"/>
        <v>0</v>
      </c>
      <c r="U580" s="78" t="str">
        <f>IF(NOT(ISNUMBER(G580)), "", VLOOKUP(A580,'Discount Lookup'!D:E,2,FALSE)*G580)</f>
        <v/>
      </c>
      <c r="V580" s="78" t="str">
        <f>IF(NOT(ISNUMBER(G580)), "", VLOOKUP(A580,'Discount Lookup'!G:H,2,FALSE)*G580)</f>
        <v/>
      </c>
      <c r="W580" s="102">
        <f t="shared" si="388"/>
        <v>0</v>
      </c>
      <c r="X580" s="102" t="str">
        <f t="shared" si="389"/>
        <v>Green foliage</v>
      </c>
      <c r="Y580" s="120" t="b">
        <f t="shared" si="390"/>
        <v>0</v>
      </c>
      <c r="Z580" s="117">
        <f t="shared" si="391"/>
        <v>0</v>
      </c>
      <c r="AA580" s="118"/>
      <c r="AB580" s="118" t="str">
        <f t="shared" si="392"/>
        <v/>
      </c>
      <c r="AC580" s="712" t="str">
        <f>IF(AE580="T2G","no charge",IF(AND(OR(PlanterYesMe="No",PlanterYesMe="N",PlanterYesMe="me"),H580=""),"",IF(H580="credit","NO install",IF(AND(K580="",AE580="me"),"EACH row",IF(AND(K580="images",AE580="me"),"EACH row",IF(D580="","",IF(H580="credit","",IF(AE580="free","re-planting",IF(AE580="me","   not ELP, by",IF(AND(OR(PlanterYesMe="Yes",PlanterYesMe="Y"),G580&gt;0),(VLOOKUP(A580,'Discount Lookup'!J:K,2)*G580*(1-PlanterDiscount)*(1+PlanterDifficultyPercentage)),IF(AE580="ELP",(VLOOKUP(A580,'Discount Lookup'!J:K,2)*G580*(1-PlanterDiscount)*(1+PlanterDifficultyPercentage)),IF(AE580="free","re-planting",IF(G580=0,"",IF(PlanterYesMe="",IF(AE580="me","   not ELP, by",IF(AE580="",IF(G580&gt;0,(VLOOKUP(A580,'Discount Lookup'!J:K,2)*G580*(1-PlanterDiscount)*(1+PlanterDifficultyPercentage)),""),"")),"   not ELP, by"))))))))))))))</f>
        <v/>
      </c>
      <c r="AD580" s="712"/>
      <c r="AE580" s="513" t="str">
        <f t="shared" si="393"/>
        <v/>
      </c>
      <c r="AF580" s="713" t="str">
        <f t="shared" si="394"/>
        <v/>
      </c>
      <c r="AG580" s="713"/>
      <c r="AH580" s="713"/>
      <c r="AI580" s="112">
        <f>IF(H580="credit",0,IF(AE580="free",0,IF(AE580="me",0,IF(G580&gt;0,(VLOOKUP(A580,'Discount Lookup'!J:K,2)*G580),0))))</f>
        <v>0</v>
      </c>
      <c r="AJ580" s="107" t="str">
        <f t="shared" ca="1" si="395"/>
        <v/>
      </c>
      <c r="AK580" s="714" t="str">
        <f t="shared" si="396"/>
        <v/>
      </c>
      <c r="AL580" s="714"/>
      <c r="AM580" s="114" t="str">
        <f t="shared" si="397"/>
        <v/>
      </c>
      <c r="AN580" s="115"/>
      <c r="AO580" s="116"/>
      <c r="AP580" s="116"/>
      <c r="AQ580" s="116"/>
      <c r="AR580" s="116"/>
      <c r="AS580" s="116"/>
      <c r="AT580" s="116"/>
      <c r="AU580" s="116"/>
      <c r="AV580" s="78"/>
      <c r="AW580" s="102"/>
      <c r="AX580" s="78"/>
      <c r="AY580" s="78"/>
      <c r="AZ580" s="78"/>
      <c r="BA580" s="78"/>
      <c r="BB580" s="78"/>
      <c r="BC580" s="78"/>
      <c r="BD580" s="78"/>
      <c r="BE580" s="465"/>
      <c r="BF580" s="165" t="str">
        <f t="shared" si="398"/>
        <v>https://www.google.com/search?tbm=isch&amp;q=Buxus%20microphylla%20var.%20japonica%20%27Unraveled%27%20Unraveled%20Boxwood</v>
      </c>
      <c r="BG580" s="165" t="str">
        <f t="shared" si="399"/>
        <v>B</v>
      </c>
      <c r="BH580" s="65"/>
      <c r="BI580" s="65"/>
      <c r="BJ580" s="65"/>
      <c r="BK580" s="65"/>
      <c r="BL580" s="99"/>
      <c r="BM580" s="99"/>
      <c r="BN580" s="99"/>
    </row>
    <row r="581" spans="1:66" s="51" customFormat="1" ht="15.75" x14ac:dyDescent="0.25">
      <c r="A581" s="478">
        <v>3</v>
      </c>
      <c r="B581" s="479" t="s">
        <v>291</v>
      </c>
      <c r="C581" s="480" t="s">
        <v>1094</v>
      </c>
      <c r="D581" s="481" t="s">
        <v>329</v>
      </c>
      <c r="E581" s="482">
        <v>30.95</v>
      </c>
      <c r="F581" s="483" t="s">
        <v>292</v>
      </c>
      <c r="G581" s="484">
        <v>0</v>
      </c>
      <c r="H581" s="688" t="str">
        <f>IF(G581=0,"",IF(F581="Buy",IF(G581=1,"plant","plants"),IF(F581&gt;0.01,"warranty","Error")))</f>
        <v/>
      </c>
      <c r="I581" s="485">
        <f>IF(H581="free",0,IF(H581="credit",((E581*(F581))*G581*-1),IF(F581="Buy",(E581*G581),((E581*(1-F581))*G581))))</f>
        <v>0</v>
      </c>
      <c r="J581" s="485">
        <f>IF(H581="warranty",0,(I581*(_xlfn.SINGLE(SalesTaxPercentage))))</f>
        <v>0</v>
      </c>
      <c r="K581" s="715">
        <f t="shared" ref="K581" si="427">I581+J581</f>
        <v>0</v>
      </c>
      <c r="L581" s="715"/>
      <c r="M581" s="689" t="str">
        <f ca="1">IF(AND(G581&gt;0,E581=0),"WARNING - no PRICE inserted",IF(H581="free","FREE ~ no charge this plant",IF(H581="credit",CONCATENATE("-$",ROUND(K581*(1-_xlfn.SINGLE(T2GDiscount))*-1,2)," CREDIT after discount"),IF(_xlfn.SINGLE(T2GDiscount)=0,"",IF(G581=0,"",IF(F581="Buy",CONCATENATE("$",ROUND(K581*(1-_xlfn.SINGLE(T2GDiscount)),2)," with ",(_xlfn.SINGLE(T2GDiscount)*100),"% discount"),CONCATENATE("$",ROUND(K581*(1-_xlfn.SINGLE(T2GDiscount)),2)," with ",((_xlfn.SINGLE(T2GDiscount)*100+F581*100)-(_xlfn.SINGLE(T2GDiscount)*100*F581)),IF(F581&gt;0,"% discounts",IF(_xlfn.SINGLE(NoWarrantyDiscount)&gt;0,"% discounts","% discount")))))))))</f>
        <v/>
      </c>
      <c r="N581" s="690"/>
      <c r="O581" s="486"/>
      <c r="P581" s="486"/>
      <c r="Q581" s="486"/>
      <c r="R581" s="486"/>
      <c r="S581" s="486"/>
      <c r="T581" s="102">
        <f t="shared" si="387"/>
        <v>0</v>
      </c>
      <c r="U581" s="78">
        <f>IF(NOT(ISNUMBER(G581)), "", VLOOKUP(A581,'Discount Lookup'!D:E,2,FALSE)*G581)</f>
        <v>0</v>
      </c>
      <c r="V581" s="78">
        <f>IF(NOT(ISNUMBER(G581)), "", VLOOKUP(A581,'Discount Lookup'!G:H,2,FALSE)*G581)</f>
        <v>0</v>
      </c>
      <c r="W581" s="102">
        <f t="shared" si="388"/>
        <v>0</v>
      </c>
      <c r="X581" s="102">
        <f t="shared" si="389"/>
        <v>0</v>
      </c>
      <c r="Y581" s="120" t="b">
        <f t="shared" si="390"/>
        <v>0</v>
      </c>
      <c r="Z581" s="117">
        <f t="shared" si="391"/>
        <v>0</v>
      </c>
      <c r="AA581" s="118"/>
      <c r="AB581" s="118" t="str">
        <f t="shared" si="392"/>
        <v/>
      </c>
      <c r="AC581" s="712" t="str">
        <f>IF(AE581="T2G","no charge",IF(AND(OR(PlanterYesMe="No",PlanterYesMe="N",PlanterYesMe="me"),H581=""),"",IF(H581="credit","NO install",IF(AND(K581="",AE581="me"),"EACH row",IF(AND(K581="images",AE581="me"),"EACH row",IF(D581="","",IF(H581="credit","",IF(AE581="free","re-planting",IF(AE581="me","   not ELP, by",IF(AND(OR(PlanterYesMe="Yes",PlanterYesMe="Y"),G581&gt;0),(VLOOKUP(A581,'Discount Lookup'!J:K,2)*G581*(1-PlanterDiscount)*(1+PlanterDifficultyPercentage)),IF(AE581="ELP",(VLOOKUP(A581,'Discount Lookup'!J:K,2)*G581*(1-PlanterDiscount)*(1+PlanterDifficultyPercentage)),IF(AE581="free","re-planting",IF(G581=0,"",IF(PlanterYesMe="",IF(AE581="me","   not ELP, by",IF(AE581="",IF(G581&gt;0,(VLOOKUP(A581,'Discount Lookup'!J:K,2)*G581*(1-PlanterDiscount)*(1+PlanterDifficultyPercentage)),""),"")),"   not ELP, by"))))))))))))))</f>
        <v/>
      </c>
      <c r="AD581" s="712"/>
      <c r="AE581" s="513" t="str">
        <f t="shared" si="393"/>
        <v/>
      </c>
      <c r="AF581" s="713" t="str">
        <f t="shared" si="394"/>
        <v/>
      </c>
      <c r="AG581" s="713"/>
      <c r="AH581" s="713"/>
      <c r="AI581" s="112">
        <f>IF(H581="credit",0,IF(AE581="free",0,IF(AE581="me",0,IF(G581&gt;0,(VLOOKUP(A581,'Discount Lookup'!J:K,2)*G581),0))))</f>
        <v>0</v>
      </c>
      <c r="AJ581" s="107" t="str">
        <f t="shared" ca="1" si="395"/>
        <v/>
      </c>
      <c r="AK581" s="714" t="str">
        <f t="shared" si="396"/>
        <v/>
      </c>
      <c r="AL581" s="714"/>
      <c r="AM581" s="114" t="str">
        <f t="shared" si="397"/>
        <v/>
      </c>
      <c r="AN581" s="115"/>
      <c r="AO581" s="116"/>
      <c r="AP581" s="116"/>
      <c r="AQ581" s="116"/>
      <c r="AR581" s="116"/>
      <c r="AS581" s="116"/>
      <c r="AT581" s="116"/>
      <c r="AU581" s="116"/>
      <c r="AV581" s="78"/>
      <c r="AW581" s="102"/>
      <c r="AX581" s="78"/>
      <c r="AY581" s="78"/>
      <c r="AZ581" s="78"/>
      <c r="BA581" s="78"/>
      <c r="BB581" s="78"/>
      <c r="BC581" s="78"/>
      <c r="BD581" s="78"/>
      <c r="BE581" s="465"/>
      <c r="BF581" s="165" t="str">
        <f t="shared" si="398"/>
        <v>https://www.google.com/search?tbm=isch&amp;q=3%20G2</v>
      </c>
      <c r="BG581" s="165" t="str">
        <f t="shared" si="399"/>
        <v>B</v>
      </c>
      <c r="BH581" s="65"/>
      <c r="BI581" s="65"/>
      <c r="BJ581" s="65"/>
      <c r="BK581" s="65"/>
      <c r="BL581" s="99"/>
      <c r="BM581" s="99"/>
      <c r="BN581" s="99"/>
    </row>
    <row r="582" spans="1:66" s="51" customFormat="1" ht="15.75" x14ac:dyDescent="0.25">
      <c r="A582" s="478">
        <v>3</v>
      </c>
      <c r="B582" s="479" t="s">
        <v>291</v>
      </c>
      <c r="C582" s="480"/>
      <c r="D582" s="481" t="s">
        <v>310</v>
      </c>
      <c r="E582" s="482">
        <v>31.95</v>
      </c>
      <c r="F582" s="483" t="s">
        <v>292</v>
      </c>
      <c r="G582" s="484">
        <v>0</v>
      </c>
      <c r="H582" s="688" t="str">
        <f>IF(G582=0,"",IF(F582="Buy",IF(G582=1,"plant","plants"),IF(F582&gt;0.01,"warranty","Error")))</f>
        <v/>
      </c>
      <c r="I582" s="485">
        <f>IF(H582="free",0,IF(H582="credit",((E582*(F582))*G582*-1),IF(F582="Buy",(E582*G582),((E582*(1-F582))*G582))))</f>
        <v>0</v>
      </c>
      <c r="J582" s="485">
        <f>IF(H582="warranty",0,(I582*(_xlfn.SINGLE(SalesTaxPercentage))))</f>
        <v>0</v>
      </c>
      <c r="K582" s="715">
        <f t="shared" ref="K582" si="428">I582+J582</f>
        <v>0</v>
      </c>
      <c r="L582" s="715"/>
      <c r="M582" s="689" t="str">
        <f ca="1">IF(AND(G582&gt;0,E582=0),"WARNING - no PRICE inserted",IF(H582="free","FREE ~ no charge this plant",IF(H582="credit",CONCATENATE("-$",ROUND(K582*(1-_xlfn.SINGLE(T2GDiscount))*-1,2)," CREDIT after discount"),IF(_xlfn.SINGLE(T2GDiscount)=0,"",IF(G582=0,"",IF(F582="Buy",CONCATENATE("$",ROUND(K582*(1-_xlfn.SINGLE(T2GDiscount)),2)," with ",(_xlfn.SINGLE(T2GDiscount)*100),"% discount"),CONCATENATE("$",ROUND(K582*(1-_xlfn.SINGLE(T2GDiscount)),2)," with ",((_xlfn.SINGLE(T2GDiscount)*100+F582*100)-(_xlfn.SINGLE(T2GDiscount)*100*F582)),IF(F582&gt;0,"% discounts",IF(_xlfn.SINGLE(NoWarrantyDiscount)&gt;0,"% discounts","% discount")))))))))</f>
        <v/>
      </c>
      <c r="N582" s="690"/>
      <c r="O582" s="486"/>
      <c r="P582" s="486"/>
      <c r="Q582" s="486"/>
      <c r="R582" s="486"/>
      <c r="S582" s="486"/>
      <c r="T582" s="102">
        <f t="shared" si="387"/>
        <v>0</v>
      </c>
      <c r="U582" s="78">
        <f>IF(NOT(ISNUMBER(G582)), "", VLOOKUP(A582,'Discount Lookup'!D:E,2,FALSE)*G582)</f>
        <v>0</v>
      </c>
      <c r="V582" s="78">
        <f>IF(NOT(ISNUMBER(G582)), "", VLOOKUP(A582,'Discount Lookup'!G:H,2,FALSE)*G582)</f>
        <v>0</v>
      </c>
      <c r="W582" s="102">
        <f t="shared" si="388"/>
        <v>0</v>
      </c>
      <c r="X582" s="102">
        <f t="shared" si="389"/>
        <v>0</v>
      </c>
      <c r="Y582" s="120" t="b">
        <f t="shared" si="390"/>
        <v>0</v>
      </c>
      <c r="Z582" s="117">
        <f t="shared" si="391"/>
        <v>0</v>
      </c>
      <c r="AA582" s="118"/>
      <c r="AB582" s="118" t="str">
        <f t="shared" si="392"/>
        <v/>
      </c>
      <c r="AC582" s="712" t="str">
        <f>IF(AE582="T2G","no charge",IF(AND(OR(PlanterYesMe="No",PlanterYesMe="N",PlanterYesMe="me"),H582=""),"",IF(H582="credit","NO install",IF(AND(K582="",AE582="me"),"EACH row",IF(AND(K582="images",AE582="me"),"EACH row",IF(D582="","",IF(H582="credit","",IF(AE582="free","re-planting",IF(AE582="me","   not ELP, by",IF(AND(OR(PlanterYesMe="Yes",PlanterYesMe="Y"),G582&gt;0),(VLOOKUP(A582,'Discount Lookup'!J:K,2)*G582*(1-PlanterDiscount)*(1+PlanterDifficultyPercentage)),IF(AE582="ELP",(VLOOKUP(A582,'Discount Lookup'!J:K,2)*G582*(1-PlanterDiscount)*(1+PlanterDifficultyPercentage)),IF(AE582="free","re-planting",IF(G582=0,"",IF(PlanterYesMe="",IF(AE582="me","   not ELP, by",IF(AE582="",IF(G582&gt;0,(VLOOKUP(A582,'Discount Lookup'!J:K,2)*G582*(1-PlanterDiscount)*(1+PlanterDifficultyPercentage)),""),"")),"   not ELP, by"))))))))))))))</f>
        <v/>
      </c>
      <c r="AD582" s="712"/>
      <c r="AE582" s="513" t="str">
        <f t="shared" si="393"/>
        <v/>
      </c>
      <c r="AF582" s="713" t="str">
        <f t="shared" si="394"/>
        <v/>
      </c>
      <c r="AG582" s="713"/>
      <c r="AH582" s="713"/>
      <c r="AI582" s="112">
        <f>IF(H582="credit",0,IF(AE582="free",0,IF(AE582="me",0,IF(G582&gt;0,(VLOOKUP(A582,'Discount Lookup'!J:K,2)*G582),0))))</f>
        <v>0</v>
      </c>
      <c r="AJ582" s="107" t="str">
        <f t="shared" ca="1" si="395"/>
        <v/>
      </c>
      <c r="AK582" s="714" t="str">
        <f t="shared" si="396"/>
        <v/>
      </c>
      <c r="AL582" s="714"/>
      <c r="AM582" s="114" t="str">
        <f t="shared" si="397"/>
        <v/>
      </c>
      <c r="AN582" s="115"/>
      <c r="AO582" s="116"/>
      <c r="AP582" s="116"/>
      <c r="AQ582" s="116"/>
      <c r="AR582" s="116"/>
      <c r="AS582" s="116"/>
      <c r="AT582" s="116"/>
      <c r="AU582" s="116"/>
      <c r="AV582" s="78"/>
      <c r="AW582" s="102"/>
      <c r="AX582" s="78"/>
      <c r="AY582" s="78"/>
      <c r="AZ582" s="78"/>
      <c r="BA582" s="78"/>
      <c r="BB582" s="78"/>
      <c r="BC582" s="78"/>
      <c r="BD582" s="78"/>
      <c r="BE582" s="465"/>
      <c r="BF582" s="165" t="str">
        <f t="shared" si="398"/>
        <v>https://www.google.com/search?tbm=isch&amp;q=3%20G1</v>
      </c>
      <c r="BG582" s="165" t="str">
        <f t="shared" si="399"/>
        <v>B</v>
      </c>
      <c r="BH582" s="65"/>
      <c r="BI582" s="65"/>
      <c r="BJ582" s="65"/>
      <c r="BK582" s="65"/>
      <c r="BL582" s="99"/>
      <c r="BM582" s="99"/>
      <c r="BN582" s="99"/>
    </row>
    <row r="583" spans="1:66" s="51" customFormat="1" ht="15.75" x14ac:dyDescent="0.25">
      <c r="A583" s="478">
        <v>3</v>
      </c>
      <c r="B583" s="479" t="s">
        <v>291</v>
      </c>
      <c r="C583" s="480" t="s">
        <v>1684</v>
      </c>
      <c r="D583" s="481" t="s">
        <v>311</v>
      </c>
      <c r="E583" s="482">
        <v>33.950000000000003</v>
      </c>
      <c r="F583" s="483" t="s">
        <v>292</v>
      </c>
      <c r="G583" s="484">
        <v>0</v>
      </c>
      <c r="H583" s="688" t="str">
        <f>IF(G583=0,"",IF(F583="Buy",IF(G583=1,"plant","plants"),IF(F583&gt;0.01,"warranty","Error")))</f>
        <v/>
      </c>
      <c r="I583" s="485">
        <f>IF(H583="free",0,IF(H583="credit",((E583*(F583))*G583*-1),IF(F583="Buy",(E583*G583),((E583*(1-F583))*G583))))</f>
        <v>0</v>
      </c>
      <c r="J583" s="485">
        <f>IF(H583="warranty",0,(I583*(_xlfn.SINGLE(SalesTaxPercentage))))</f>
        <v>0</v>
      </c>
      <c r="K583" s="715">
        <f t="shared" ref="K583" si="429">I583+J583</f>
        <v>0</v>
      </c>
      <c r="L583" s="715"/>
      <c r="M583" s="689" t="str">
        <f ca="1">IF(AND(G583&gt;0,E583=0),"WARNING - no PRICE inserted",IF(H583="free","FREE ~ no charge this plant",IF(H583="credit",CONCATENATE("-$",ROUND(K583*(1-_xlfn.SINGLE(T2GDiscount))*-1,2)," CREDIT after discount"),IF(_xlfn.SINGLE(T2GDiscount)=0,"",IF(G583=0,"",IF(F583="Buy",CONCATENATE("$",ROUND(K583*(1-_xlfn.SINGLE(T2GDiscount)),2)," with ",(_xlfn.SINGLE(T2GDiscount)*100),"% discount"),CONCATENATE("$",ROUND(K583*(1-_xlfn.SINGLE(T2GDiscount)),2)," with ",((_xlfn.SINGLE(T2GDiscount)*100+F583*100)-(_xlfn.SINGLE(T2GDiscount)*100*F583)),IF(F583&gt;0,"% discounts",IF(_xlfn.SINGLE(NoWarrantyDiscount)&gt;0,"% discounts","% discount")))))))))</f>
        <v/>
      </c>
      <c r="N583" s="690"/>
      <c r="O583" s="486"/>
      <c r="P583" s="486"/>
      <c r="Q583" s="486"/>
      <c r="R583" s="486"/>
      <c r="S583" s="486"/>
      <c r="T583" s="102">
        <f t="shared" si="387"/>
        <v>0</v>
      </c>
      <c r="U583" s="78">
        <f>IF(NOT(ISNUMBER(G583)), "", VLOOKUP(A583,'Discount Lookup'!D:E,2,FALSE)*G583)</f>
        <v>0</v>
      </c>
      <c r="V583" s="78">
        <f>IF(NOT(ISNUMBER(G583)), "", VLOOKUP(A583,'Discount Lookup'!G:H,2,FALSE)*G583)</f>
        <v>0</v>
      </c>
      <c r="W583" s="102">
        <f t="shared" si="388"/>
        <v>0</v>
      </c>
      <c r="X583" s="102">
        <f t="shared" si="389"/>
        <v>0</v>
      </c>
      <c r="Y583" s="120" t="b">
        <f t="shared" si="390"/>
        <v>0</v>
      </c>
      <c r="Z583" s="117">
        <f t="shared" si="391"/>
        <v>0</v>
      </c>
      <c r="AA583" s="118"/>
      <c r="AB583" s="118" t="str">
        <f t="shared" si="392"/>
        <v/>
      </c>
      <c r="AC583" s="712" t="str">
        <f>IF(AE583="T2G","no charge",IF(AND(OR(PlanterYesMe="No",PlanterYesMe="N",PlanterYesMe="me"),H583=""),"",IF(H583="credit","NO install",IF(AND(K583="",AE583="me"),"EACH row",IF(AND(K583="images",AE583="me"),"EACH row",IF(D583="","",IF(H583="credit","",IF(AE583="free","re-planting",IF(AE583="me","   not ELP, by",IF(AND(OR(PlanterYesMe="Yes",PlanterYesMe="Y"),G583&gt;0),(VLOOKUP(A583,'Discount Lookup'!J:K,2)*G583*(1-PlanterDiscount)*(1+PlanterDifficultyPercentage)),IF(AE583="ELP",(VLOOKUP(A583,'Discount Lookup'!J:K,2)*G583*(1-PlanterDiscount)*(1+PlanterDifficultyPercentage)),IF(AE583="free","re-planting",IF(G583=0,"",IF(PlanterYesMe="",IF(AE583="me","   not ELP, by",IF(AE583="",IF(G583&gt;0,(VLOOKUP(A583,'Discount Lookup'!J:K,2)*G583*(1-PlanterDiscount)*(1+PlanterDifficultyPercentage)),""),"")),"   not ELP, by"))))))))))))))</f>
        <v/>
      </c>
      <c r="AD583" s="712"/>
      <c r="AE583" s="513" t="str">
        <f t="shared" si="393"/>
        <v/>
      </c>
      <c r="AF583" s="713" t="str">
        <f t="shared" si="394"/>
        <v/>
      </c>
      <c r="AG583" s="713"/>
      <c r="AH583" s="713"/>
      <c r="AI583" s="112">
        <f>IF(H583="credit",0,IF(AE583="free",0,IF(AE583="me",0,IF(G583&gt;0,(VLOOKUP(A583,'Discount Lookup'!J:K,2)*G583),0))))</f>
        <v>0</v>
      </c>
      <c r="AJ583" s="107" t="str">
        <f t="shared" ca="1" si="395"/>
        <v/>
      </c>
      <c r="AK583" s="714" t="str">
        <f t="shared" si="396"/>
        <v/>
      </c>
      <c r="AL583" s="714"/>
      <c r="AM583" s="114" t="str">
        <f t="shared" si="397"/>
        <v/>
      </c>
      <c r="AN583" s="115"/>
      <c r="AO583" s="116"/>
      <c r="AP583" s="116"/>
      <c r="AQ583" s="116"/>
      <c r="AR583" s="116"/>
      <c r="AS583" s="116"/>
      <c r="AT583" s="116"/>
      <c r="AU583" s="116"/>
      <c r="AV583" s="78"/>
      <c r="AW583" s="102"/>
      <c r="AX583" s="78"/>
      <c r="AY583" s="78"/>
      <c r="AZ583" s="78"/>
      <c r="BA583" s="78"/>
      <c r="BB583" s="78"/>
      <c r="BC583" s="78"/>
      <c r="BD583" s="78"/>
      <c r="BE583" s="465"/>
      <c r="BF583" s="165" t="str">
        <f t="shared" si="398"/>
        <v>https://www.google.com/search?tbm=isch&amp;q=3%20G5</v>
      </c>
      <c r="BG583" s="165" t="str">
        <f t="shared" si="399"/>
        <v>B</v>
      </c>
      <c r="BH583" s="65"/>
      <c r="BI583" s="65"/>
      <c r="BJ583" s="65"/>
      <c r="BK583" s="65"/>
      <c r="BL583" s="99"/>
      <c r="BM583" s="99"/>
      <c r="BN583" s="99"/>
    </row>
    <row r="584" spans="1:66" s="51" customFormat="1" ht="27" x14ac:dyDescent="0.25">
      <c r="A584" s="478">
        <v>15</v>
      </c>
      <c r="B584" s="479" t="s">
        <v>291</v>
      </c>
      <c r="C584" s="480" t="s">
        <v>1685</v>
      </c>
      <c r="D584" s="481" t="s">
        <v>299</v>
      </c>
      <c r="E584" s="482">
        <v>183.95</v>
      </c>
      <c r="F584" s="483" t="s">
        <v>292</v>
      </c>
      <c r="G584" s="484">
        <v>0</v>
      </c>
      <c r="H584" s="688" t="str">
        <f>IF(G584=0,"",IF(F584="Buy",IF(G584=1,"plant","plants"),IF(F584&gt;0.01,"warranty","Error")))</f>
        <v/>
      </c>
      <c r="I584" s="485">
        <f>IF(H584="free",0,IF(H584="credit",((E584*(F584))*G584*-1),IF(F584="Buy",(E584*G584),((E584*(1-F584))*G584))))</f>
        <v>0</v>
      </c>
      <c r="J584" s="485">
        <f>IF(H584="warranty",0,(I584*(_xlfn.SINGLE(SalesTaxPercentage))))</f>
        <v>0</v>
      </c>
      <c r="K584" s="715">
        <f t="shared" ref="K584" si="430">I584+J584</f>
        <v>0</v>
      </c>
      <c r="L584" s="715"/>
      <c r="M584" s="689" t="str">
        <f ca="1">IF(AND(G584&gt;0,E584=0),"WARNING - no PRICE inserted",IF(H584="free","FREE ~ no charge this plant",IF(H584="credit",CONCATENATE("-$",ROUND(K584*(1-_xlfn.SINGLE(T2GDiscount))*-1,2)," CREDIT after discount"),IF(_xlfn.SINGLE(T2GDiscount)=0,"",IF(G584=0,"",IF(F584="Buy",CONCATENATE("$",ROUND(K584*(1-_xlfn.SINGLE(T2GDiscount)),2)," with ",(_xlfn.SINGLE(T2GDiscount)*100),"% discount"),CONCATENATE("$",ROUND(K584*(1-_xlfn.SINGLE(T2GDiscount)),2)," with ",((_xlfn.SINGLE(T2GDiscount)*100+F584*100)-(_xlfn.SINGLE(T2GDiscount)*100*F584)),IF(F584&gt;0,"% discounts",IF(_xlfn.SINGLE(NoWarrantyDiscount)&gt;0,"% discounts","% discount")))))))))</f>
        <v/>
      </c>
      <c r="N584" s="690"/>
      <c r="O584" s="486"/>
      <c r="P584" s="486"/>
      <c r="Q584" s="486"/>
      <c r="R584" s="486"/>
      <c r="S584" s="486"/>
      <c r="T584" s="102">
        <f t="shared" si="387"/>
        <v>0</v>
      </c>
      <c r="U584" s="78">
        <f>IF(NOT(ISNUMBER(G584)), "", VLOOKUP(A584,'Discount Lookup'!D:E,2,FALSE)*G584)</f>
        <v>0</v>
      </c>
      <c r="V584" s="78">
        <f>IF(NOT(ISNUMBER(G584)), "", VLOOKUP(A584,'Discount Lookup'!G:H,2,FALSE)*G584)</f>
        <v>0</v>
      </c>
      <c r="W584" s="102">
        <f t="shared" si="388"/>
        <v>0</v>
      </c>
      <c r="X584" s="102">
        <f t="shared" si="389"/>
        <v>0</v>
      </c>
      <c r="Y584" s="120" t="b">
        <f t="shared" si="390"/>
        <v>0</v>
      </c>
      <c r="Z584" s="117">
        <f t="shared" si="391"/>
        <v>0</v>
      </c>
      <c r="AA584" s="118"/>
      <c r="AB584" s="118" t="str">
        <f t="shared" si="392"/>
        <v/>
      </c>
      <c r="AC584" s="712" t="str">
        <f>IF(AE584="T2G","no charge",IF(AND(OR(PlanterYesMe="No",PlanterYesMe="N",PlanterYesMe="me"),H584=""),"",IF(H584="credit","NO install",IF(AND(K584="",AE584="me"),"EACH row",IF(AND(K584="images",AE584="me"),"EACH row",IF(D584="","",IF(H584="credit","",IF(AE584="free","re-planting",IF(AE584="me","   not ELP, by",IF(AND(OR(PlanterYesMe="Yes",PlanterYesMe="Y"),G584&gt;0),(VLOOKUP(A584,'Discount Lookup'!J:K,2)*G584*(1-PlanterDiscount)*(1+PlanterDifficultyPercentage)),IF(AE584="ELP",(VLOOKUP(A584,'Discount Lookup'!J:K,2)*G584*(1-PlanterDiscount)*(1+PlanterDifficultyPercentage)),IF(AE584="free","re-planting",IF(G584=0,"",IF(PlanterYesMe="",IF(AE584="me","   not ELP, by",IF(AE584="",IF(G584&gt;0,(VLOOKUP(A584,'Discount Lookup'!J:K,2)*G584*(1-PlanterDiscount)*(1+PlanterDifficultyPercentage)),""),"")),"   not ELP, by"))))))))))))))</f>
        <v/>
      </c>
      <c r="AD584" s="712"/>
      <c r="AE584" s="513" t="str">
        <f t="shared" si="393"/>
        <v/>
      </c>
      <c r="AF584" s="713" t="str">
        <f t="shared" si="394"/>
        <v/>
      </c>
      <c r="AG584" s="713"/>
      <c r="AH584" s="713"/>
      <c r="AI584" s="112">
        <f>IF(H584="credit",0,IF(AE584="free",0,IF(AE584="me",0,IF(G584&gt;0,(VLOOKUP(A584,'Discount Lookup'!J:K,2)*G584),0))))</f>
        <v>0</v>
      </c>
      <c r="AJ584" s="107" t="str">
        <f t="shared" ca="1" si="395"/>
        <v/>
      </c>
      <c r="AK584" s="714" t="str">
        <f t="shared" si="396"/>
        <v/>
      </c>
      <c r="AL584" s="714"/>
      <c r="AM584" s="114" t="str">
        <f t="shared" si="397"/>
        <v/>
      </c>
      <c r="AN584" s="115"/>
      <c r="AO584" s="116"/>
      <c r="AP584" s="116"/>
      <c r="AQ584" s="116"/>
      <c r="AR584" s="116"/>
      <c r="AS584" s="116"/>
      <c r="AT584" s="116"/>
      <c r="AU584" s="116"/>
      <c r="AV584" s="78"/>
      <c r="AW584" s="102"/>
      <c r="AX584" s="78"/>
      <c r="AY584" s="78"/>
      <c r="AZ584" s="78"/>
      <c r="BA584" s="78"/>
      <c r="BB584" s="78"/>
      <c r="BC584" s="78"/>
      <c r="BD584" s="78"/>
      <c r="BE584" s="465"/>
      <c r="BF584" s="165" t="str">
        <f t="shared" si="398"/>
        <v>https://www.google.com/search?tbm=isch&amp;q=15%20G4</v>
      </c>
      <c r="BG584" s="165" t="str">
        <f t="shared" si="399"/>
        <v>B</v>
      </c>
      <c r="BH584" s="65"/>
      <c r="BI584" s="65"/>
      <c r="BJ584" s="65"/>
      <c r="BK584" s="65"/>
      <c r="BL584" s="99"/>
      <c r="BM584" s="99"/>
      <c r="BN584" s="99"/>
    </row>
    <row r="585" spans="1:66" s="51" customFormat="1" ht="16.5" thickBot="1" x14ac:dyDescent="0.3">
      <c r="A585" s="508" t="s">
        <v>1686</v>
      </c>
      <c r="B585" s="487"/>
      <c r="C585" s="707"/>
      <c r="D585" s="487"/>
      <c r="E585" s="487"/>
      <c r="F585" s="488"/>
      <c r="G585" s="489"/>
      <c r="H585" s="487"/>
      <c r="I585" s="490"/>
      <c r="J585" s="490"/>
      <c r="K585" s="491"/>
      <c r="L585" s="547"/>
      <c r="M585" s="528"/>
      <c r="N585" s="492"/>
      <c r="O585" s="493"/>
      <c r="P585" s="494"/>
      <c r="Q585" s="492"/>
      <c r="R585" s="492"/>
      <c r="S585" s="699" t="s">
        <v>5259</v>
      </c>
      <c r="T585" s="102">
        <f t="shared" si="387"/>
        <v>0</v>
      </c>
      <c r="U585" s="78" t="str">
        <f>IF(NOT(ISNUMBER(G585)), "", VLOOKUP(A585,'Discount Lookup'!D:E,2,FALSE)*G585)</f>
        <v/>
      </c>
      <c r="V585" s="78" t="str">
        <f>IF(NOT(ISNUMBER(G585)), "", VLOOKUP(A585,'Discount Lookup'!G:H,2,FALSE)*G585)</f>
        <v/>
      </c>
      <c r="W585" s="102">
        <f t="shared" si="388"/>
        <v>0</v>
      </c>
      <c r="X585" s="102">
        <f t="shared" si="389"/>
        <v>0</v>
      </c>
      <c r="Y585" s="120" t="b">
        <f t="shared" si="390"/>
        <v>0</v>
      </c>
      <c r="Z585" s="117">
        <f t="shared" si="391"/>
        <v>0</v>
      </c>
      <c r="AA585" s="118"/>
      <c r="AB585" s="118" t="str">
        <f t="shared" si="392"/>
        <v/>
      </c>
      <c r="AC585" s="712" t="str">
        <f>IF(AE585="T2G","no charge",IF(AND(OR(PlanterYesMe="No",PlanterYesMe="N",PlanterYesMe="me"),H585=""),"",IF(H585="credit","NO install",IF(AND(K585="",AE585="me"),"EACH row",IF(AND(K585="images",AE585="me"),"EACH row",IF(D585="","",IF(H585="credit","",IF(AE585="free","re-planting",IF(AE585="me","   not ELP, by",IF(AND(OR(PlanterYesMe="Yes",PlanterYesMe="Y"),G585&gt;0),(VLOOKUP(A585,'Discount Lookup'!J:K,2)*G585*(1-PlanterDiscount)*(1+PlanterDifficultyPercentage)),IF(AE585="ELP",(VLOOKUP(A585,'Discount Lookup'!J:K,2)*G585*(1-PlanterDiscount)*(1+PlanterDifficultyPercentage)),IF(AE585="free","re-planting",IF(G585=0,"",IF(PlanterYesMe="",IF(AE585="me","   not ELP, by",IF(AE585="",IF(G585&gt;0,(VLOOKUP(A585,'Discount Lookup'!J:K,2)*G585*(1-PlanterDiscount)*(1+PlanterDifficultyPercentage)),""),"")),"   not ELP, by"))))))))))))))</f>
        <v/>
      </c>
      <c r="AD585" s="712"/>
      <c r="AE585" s="513" t="str">
        <f t="shared" si="393"/>
        <v/>
      </c>
      <c r="AF585" s="713" t="str">
        <f t="shared" si="394"/>
        <v/>
      </c>
      <c r="AG585" s="713"/>
      <c r="AH585" s="713"/>
      <c r="AI585" s="112">
        <f>IF(H585="credit",0,IF(AE585="free",0,IF(AE585="me",0,IF(G585&gt;0,(VLOOKUP(A585,'Discount Lookup'!J:K,2)*G585),0))))</f>
        <v>0</v>
      </c>
      <c r="AJ585" s="107" t="str">
        <f t="shared" ca="1" si="395"/>
        <v/>
      </c>
      <c r="AK585" s="714" t="str">
        <f t="shared" si="396"/>
        <v/>
      </c>
      <c r="AL585" s="714"/>
      <c r="AM585" s="114" t="str">
        <f t="shared" si="397"/>
        <v/>
      </c>
      <c r="AN585" s="115"/>
      <c r="AO585" s="116"/>
      <c r="AP585" s="116"/>
      <c r="AQ585" s="116"/>
      <c r="AR585" s="116"/>
      <c r="AS585" s="116"/>
      <c r="AT585" s="116"/>
      <c r="AU585" s="116"/>
      <c r="AV585" s="78"/>
      <c r="AW585" s="102"/>
      <c r="AX585" s="78"/>
      <c r="AY585" s="78"/>
      <c r="AZ585" s="78"/>
      <c r="BA585" s="78"/>
      <c r="BB585" s="78"/>
      <c r="BC585" s="78"/>
      <c r="BD585" s="78"/>
      <c r="BE585" s="465"/>
      <c r="BF585" s="165" t="str">
        <f t="shared" si="398"/>
        <v>https://www.google.com/search?tbm=isch&amp;q=Unraveled%20stands%20out%20as%20a%20Boxwood%20with%20its%20rare%20weeping%20form.%2C%20Very%20versatile%2C%20for%20containers%2C%20bonsai%2C%20or%20cascading%20garden%20edges%20</v>
      </c>
      <c r="BG585" s="165" t="str">
        <f t="shared" si="399"/>
        <v>U</v>
      </c>
      <c r="BH585" s="65"/>
      <c r="BI585" s="65"/>
      <c r="BJ585" s="65"/>
      <c r="BK585" s="65"/>
      <c r="BL585" s="99"/>
      <c r="BM585" s="99"/>
      <c r="BN585" s="99"/>
    </row>
    <row r="586" spans="1:66" s="51" customFormat="1" ht="18" x14ac:dyDescent="0.25">
      <c r="A586" s="507" t="s">
        <v>1687</v>
      </c>
      <c r="B586" s="470"/>
      <c r="C586" s="706"/>
      <c r="D586" s="471" t="s">
        <v>1688</v>
      </c>
      <c r="E586" s="472"/>
      <c r="F586" s="472"/>
      <c r="G586" s="472"/>
      <c r="H586" s="622" t="s">
        <v>1124</v>
      </c>
      <c r="I586" s="473" t="s">
        <v>433</v>
      </c>
      <c r="J586" s="472"/>
      <c r="K586" s="472"/>
      <c r="L586" s="561"/>
      <c r="M586" s="698" t="s">
        <v>5246</v>
      </c>
      <c r="N586" s="692" t="str">
        <f>IF(AND(ISTEXT($A586), ISERROR($A586+0)), HYPERLINK($BF586, "Images"), "")</f>
        <v>Images</v>
      </c>
      <c r="O586" s="694" t="s">
        <v>5244</v>
      </c>
      <c r="P586" s="475"/>
      <c r="Q586" s="476"/>
      <c r="R586" s="476"/>
      <c r="S586" s="477"/>
      <c r="T586" s="102">
        <f t="shared" si="387"/>
        <v>0</v>
      </c>
      <c r="U586" s="78" t="str">
        <f>IF(NOT(ISNUMBER(G586)), "", VLOOKUP(A586,'Discount Lookup'!D:E,2,FALSE)*G586)</f>
        <v/>
      </c>
      <c r="V586" s="78" t="str">
        <f>IF(NOT(ISNUMBER(G586)), "", VLOOKUP(A586,'Discount Lookup'!G:H,2,FALSE)*G586)</f>
        <v/>
      </c>
      <c r="W586" s="102">
        <f t="shared" si="388"/>
        <v>0</v>
      </c>
      <c r="X586" s="102" t="str">
        <f t="shared" si="389"/>
        <v>Bright Green foliage</v>
      </c>
      <c r="Y586" s="120" t="b">
        <f t="shared" si="390"/>
        <v>0</v>
      </c>
      <c r="Z586" s="117">
        <f t="shared" si="391"/>
        <v>0</v>
      </c>
      <c r="AA586" s="118"/>
      <c r="AB586" s="118" t="str">
        <f t="shared" si="392"/>
        <v/>
      </c>
      <c r="AC586" s="712" t="str">
        <f>IF(AE586="T2G","no charge",IF(AND(OR(PlanterYesMe="No",PlanterYesMe="N",PlanterYesMe="me"),H586=""),"",IF(H586="credit","NO install",IF(AND(K586="",AE586="me"),"EACH row",IF(AND(K586="images",AE586="me"),"EACH row",IF(D586="","",IF(H586="credit","",IF(AE586="free","re-planting",IF(AE586="me","   not ELP, by",IF(AND(OR(PlanterYesMe="Yes",PlanterYesMe="Y"),G586&gt;0),(VLOOKUP(A586,'Discount Lookup'!J:K,2)*G586*(1-PlanterDiscount)*(1+PlanterDifficultyPercentage)),IF(AE586="ELP",(VLOOKUP(A586,'Discount Lookup'!J:K,2)*G586*(1-PlanterDiscount)*(1+PlanterDifficultyPercentage)),IF(AE586="free","re-planting",IF(G586=0,"",IF(PlanterYesMe="",IF(AE586="me","   not ELP, by",IF(AE586="",IF(G586&gt;0,(VLOOKUP(A586,'Discount Lookup'!J:K,2)*G586*(1-PlanterDiscount)*(1+PlanterDifficultyPercentage)),""),"")),"   not ELP, by"))))))))))))))</f>
        <v/>
      </c>
      <c r="AD586" s="712"/>
      <c r="AE586" s="513" t="str">
        <f t="shared" si="393"/>
        <v/>
      </c>
      <c r="AF586" s="713" t="str">
        <f t="shared" si="394"/>
        <v/>
      </c>
      <c r="AG586" s="713"/>
      <c r="AH586" s="713"/>
      <c r="AI586" s="112">
        <f>IF(H586="credit",0,IF(AE586="free",0,IF(AE586="me",0,IF(G586&gt;0,(VLOOKUP(A586,'Discount Lookup'!J:K,2)*G586),0))))</f>
        <v>0</v>
      </c>
      <c r="AJ586" s="107" t="str">
        <f t="shared" ca="1" si="395"/>
        <v/>
      </c>
      <c r="AK586" s="714" t="str">
        <f t="shared" si="396"/>
        <v/>
      </c>
      <c r="AL586" s="714"/>
      <c r="AM586" s="114" t="str">
        <f t="shared" si="397"/>
        <v/>
      </c>
      <c r="AN586" s="115"/>
      <c r="AO586" s="116"/>
      <c r="AP586" s="116"/>
      <c r="AQ586" s="116"/>
      <c r="AR586" s="116"/>
      <c r="AS586" s="116"/>
      <c r="AT586" s="116"/>
      <c r="AU586" s="116"/>
      <c r="AV586" s="78"/>
      <c r="AW586" s="102"/>
      <c r="AX586" s="78"/>
      <c r="AY586" s="78"/>
      <c r="AZ586" s="78"/>
      <c r="BA586" s="78"/>
      <c r="BB586" s="78"/>
      <c r="BC586" s="78"/>
      <c r="BD586" s="78"/>
      <c r="BE586" s="465"/>
      <c r="BF586" s="165" t="str">
        <f t="shared" si="398"/>
        <v>https://www.google.com/search?tbm=isch&amp;q=Buxus%20microphylla%20%27Winter%20Gem%27%20Winter%20Gem%20Boxwood</v>
      </c>
      <c r="BG586" s="165" t="str">
        <f t="shared" si="399"/>
        <v>B</v>
      </c>
      <c r="BH586" s="65"/>
      <c r="BI586" s="65"/>
      <c r="BJ586" s="65"/>
      <c r="BK586" s="65"/>
      <c r="BL586" s="99"/>
      <c r="BM586" s="99"/>
      <c r="BN586" s="99"/>
    </row>
    <row r="587" spans="1:66" s="51" customFormat="1" ht="15.75" x14ac:dyDescent="0.25">
      <c r="A587" s="478">
        <v>3</v>
      </c>
      <c r="B587" s="479" t="s">
        <v>291</v>
      </c>
      <c r="C587" s="480" t="s">
        <v>1689</v>
      </c>
      <c r="D587" s="481" t="s">
        <v>329</v>
      </c>
      <c r="E587" s="482">
        <v>28.95</v>
      </c>
      <c r="F587" s="483" t="s">
        <v>292</v>
      </c>
      <c r="G587" s="484">
        <v>0</v>
      </c>
      <c r="H587" s="688" t="str">
        <f>IF(G587=0,"",IF(F587="Buy",IF(G587=1,"plant","plants"),IF(F587&gt;0.01,"warranty","Error")))</f>
        <v/>
      </c>
      <c r="I587" s="485">
        <f>IF(H587="free",0,IF(H587="credit",((E587*(F587))*G587*-1),IF(F587="Buy",(E587*G587),((E587*(1-F587))*G587))))</f>
        <v>0</v>
      </c>
      <c r="J587" s="485">
        <f>IF(H587="warranty",0,(I587*(_xlfn.SINGLE(SalesTaxPercentage))))</f>
        <v>0</v>
      </c>
      <c r="K587" s="715">
        <f t="shared" ref="K587" si="431">I587+J587</f>
        <v>0</v>
      </c>
      <c r="L587" s="715"/>
      <c r="M587" s="689" t="str">
        <f ca="1">IF(AND(G587&gt;0,E587=0),"WARNING - no PRICE inserted",IF(H587="free","FREE ~ no charge this plant",IF(H587="credit",CONCATENATE("-$",ROUND(K587*(1-_xlfn.SINGLE(T2GDiscount))*-1,2)," CREDIT after discount"),IF(_xlfn.SINGLE(T2GDiscount)=0,"",IF(G587=0,"",IF(F587="Buy",CONCATENATE("$",ROUND(K587*(1-_xlfn.SINGLE(T2GDiscount)),2)," with ",(_xlfn.SINGLE(T2GDiscount)*100),"% discount"),CONCATENATE("$",ROUND(K587*(1-_xlfn.SINGLE(T2GDiscount)),2)," with ",((_xlfn.SINGLE(T2GDiscount)*100+F587*100)-(_xlfn.SINGLE(T2GDiscount)*100*F587)),IF(F587&gt;0,"% discounts",IF(_xlfn.SINGLE(NoWarrantyDiscount)&gt;0,"% discounts","% discount")))))))))</f>
        <v/>
      </c>
      <c r="N587" s="690"/>
      <c r="O587" s="486"/>
      <c r="P587" s="486"/>
      <c r="Q587" s="486"/>
      <c r="R587" s="486"/>
      <c r="S587" s="486"/>
      <c r="T587" s="102">
        <f t="shared" si="387"/>
        <v>0</v>
      </c>
      <c r="U587" s="78">
        <f>IF(NOT(ISNUMBER(G587)), "", VLOOKUP(A587,'Discount Lookup'!D:E,2,FALSE)*G587)</f>
        <v>0</v>
      </c>
      <c r="V587" s="78">
        <f>IF(NOT(ISNUMBER(G587)), "", VLOOKUP(A587,'Discount Lookup'!G:H,2,FALSE)*G587)</f>
        <v>0</v>
      </c>
      <c r="W587" s="102">
        <f t="shared" si="388"/>
        <v>0</v>
      </c>
      <c r="X587" s="102">
        <f t="shared" si="389"/>
        <v>0</v>
      </c>
      <c r="Y587" s="120" t="b">
        <f t="shared" si="390"/>
        <v>0</v>
      </c>
      <c r="Z587" s="117">
        <f t="shared" si="391"/>
        <v>0</v>
      </c>
      <c r="AA587" s="118"/>
      <c r="AB587" s="118" t="str">
        <f t="shared" si="392"/>
        <v/>
      </c>
      <c r="AC587" s="712" t="str">
        <f>IF(AE587="T2G","no charge",IF(AND(OR(PlanterYesMe="No",PlanterYesMe="N",PlanterYesMe="me"),H587=""),"",IF(H587="credit","NO install",IF(AND(K587="",AE587="me"),"EACH row",IF(AND(K587="images",AE587="me"),"EACH row",IF(D587="","",IF(H587="credit","",IF(AE587="free","re-planting",IF(AE587="me","   not ELP, by",IF(AND(OR(PlanterYesMe="Yes",PlanterYesMe="Y"),G587&gt;0),(VLOOKUP(A587,'Discount Lookup'!J:K,2)*G587*(1-PlanterDiscount)*(1+PlanterDifficultyPercentage)),IF(AE587="ELP",(VLOOKUP(A587,'Discount Lookup'!J:K,2)*G587*(1-PlanterDiscount)*(1+PlanterDifficultyPercentage)),IF(AE587="free","re-planting",IF(G587=0,"",IF(PlanterYesMe="",IF(AE587="me","   not ELP, by",IF(AE587="",IF(G587&gt;0,(VLOOKUP(A587,'Discount Lookup'!J:K,2)*G587*(1-PlanterDiscount)*(1+PlanterDifficultyPercentage)),""),"")),"   not ELP, by"))))))))))))))</f>
        <v/>
      </c>
      <c r="AD587" s="712"/>
      <c r="AE587" s="513" t="str">
        <f t="shared" si="393"/>
        <v/>
      </c>
      <c r="AF587" s="713" t="str">
        <f t="shared" si="394"/>
        <v/>
      </c>
      <c r="AG587" s="713"/>
      <c r="AH587" s="713"/>
      <c r="AI587" s="112">
        <f>IF(H587="credit",0,IF(AE587="free",0,IF(AE587="me",0,IF(G587&gt;0,(VLOOKUP(A587,'Discount Lookup'!J:K,2)*G587),0))))</f>
        <v>0</v>
      </c>
      <c r="AJ587" s="107" t="str">
        <f t="shared" ca="1" si="395"/>
        <v/>
      </c>
      <c r="AK587" s="714" t="str">
        <f t="shared" si="396"/>
        <v/>
      </c>
      <c r="AL587" s="714"/>
      <c r="AM587" s="114" t="str">
        <f t="shared" si="397"/>
        <v/>
      </c>
      <c r="AN587" s="115"/>
      <c r="AO587" s="116"/>
      <c r="AP587" s="116"/>
      <c r="AQ587" s="116"/>
      <c r="AR587" s="116"/>
      <c r="AS587" s="116"/>
      <c r="AT587" s="116"/>
      <c r="AU587" s="116"/>
      <c r="AV587" s="78"/>
      <c r="AW587" s="102"/>
      <c r="AX587" s="78"/>
      <c r="AY587" s="78"/>
      <c r="AZ587" s="78"/>
      <c r="BA587" s="78"/>
      <c r="BB587" s="78"/>
      <c r="BC587" s="78"/>
      <c r="BD587" s="78"/>
      <c r="BE587" s="465"/>
      <c r="BF587" s="165" t="str">
        <f t="shared" si="398"/>
        <v>https://www.google.com/search?tbm=isch&amp;q=3%20G2</v>
      </c>
      <c r="BG587" s="165" t="str">
        <f t="shared" si="399"/>
        <v>B</v>
      </c>
      <c r="BH587" s="65"/>
      <c r="BI587" s="65"/>
      <c r="BJ587" s="65"/>
      <c r="BK587" s="65"/>
      <c r="BL587" s="99"/>
      <c r="BM587" s="99"/>
      <c r="BN587" s="99"/>
    </row>
    <row r="588" spans="1:66" s="51" customFormat="1" ht="15.75" x14ac:dyDescent="0.25">
      <c r="A588" s="478">
        <v>3</v>
      </c>
      <c r="B588" s="479" t="s">
        <v>291</v>
      </c>
      <c r="C588" s="480" t="s">
        <v>924</v>
      </c>
      <c r="D588" s="481" t="s">
        <v>299</v>
      </c>
      <c r="E588" s="482">
        <v>40.950000000000003</v>
      </c>
      <c r="F588" s="483" t="s">
        <v>292</v>
      </c>
      <c r="G588" s="484">
        <v>0</v>
      </c>
      <c r="H588" s="688" t="str">
        <f>IF(G588=0,"",IF(F588="Buy",IF(G588=1,"plant","plants"),IF(F588&gt;0.01,"warranty","Error")))</f>
        <v/>
      </c>
      <c r="I588" s="485">
        <f>IF(H588="free",0,IF(H588="credit",((E588*(F588))*G588*-1),IF(F588="Buy",(E588*G588),((E588*(1-F588))*G588))))</f>
        <v>0</v>
      </c>
      <c r="J588" s="485">
        <f>IF(H588="warranty",0,(I588*(_xlfn.SINGLE(SalesTaxPercentage))))</f>
        <v>0</v>
      </c>
      <c r="K588" s="715">
        <f t="shared" ref="K588" si="432">I588+J588</f>
        <v>0</v>
      </c>
      <c r="L588" s="715"/>
      <c r="M588" s="689" t="str">
        <f ca="1">IF(AND(G588&gt;0,E588=0),"WARNING - no PRICE inserted",IF(H588="free","FREE ~ no charge this plant",IF(H588="credit",CONCATENATE("-$",ROUND(K588*(1-_xlfn.SINGLE(T2GDiscount))*-1,2)," CREDIT after discount"),IF(_xlfn.SINGLE(T2GDiscount)=0,"",IF(G588=0,"",IF(F588="Buy",CONCATENATE("$",ROUND(K588*(1-_xlfn.SINGLE(T2GDiscount)),2)," with ",(_xlfn.SINGLE(T2GDiscount)*100),"% discount"),CONCATENATE("$",ROUND(K588*(1-_xlfn.SINGLE(T2GDiscount)),2)," with ",((_xlfn.SINGLE(T2GDiscount)*100+F588*100)-(_xlfn.SINGLE(T2GDiscount)*100*F588)),IF(F588&gt;0,"% discounts",IF(_xlfn.SINGLE(NoWarrantyDiscount)&gt;0,"% discounts","% discount")))))))))</f>
        <v/>
      </c>
      <c r="N588" s="690"/>
      <c r="O588" s="486"/>
      <c r="P588" s="486"/>
      <c r="Q588" s="486"/>
      <c r="R588" s="486"/>
      <c r="S588" s="486"/>
      <c r="T588" s="102">
        <f t="shared" si="387"/>
        <v>0</v>
      </c>
      <c r="U588" s="78">
        <f>IF(NOT(ISNUMBER(G588)), "", VLOOKUP(A588,'Discount Lookup'!D:E,2,FALSE)*G588)</f>
        <v>0</v>
      </c>
      <c r="V588" s="78">
        <f>IF(NOT(ISNUMBER(G588)), "", VLOOKUP(A588,'Discount Lookup'!G:H,2,FALSE)*G588)</f>
        <v>0</v>
      </c>
      <c r="W588" s="102">
        <f t="shared" si="388"/>
        <v>0</v>
      </c>
      <c r="X588" s="102">
        <f t="shared" si="389"/>
        <v>0</v>
      </c>
      <c r="Y588" s="120" t="b">
        <f t="shared" si="390"/>
        <v>0</v>
      </c>
      <c r="Z588" s="117">
        <f t="shared" si="391"/>
        <v>0</v>
      </c>
      <c r="AA588" s="118"/>
      <c r="AB588" s="118" t="str">
        <f t="shared" si="392"/>
        <v/>
      </c>
      <c r="AC588" s="712" t="str">
        <f>IF(AE588="T2G","no charge",IF(AND(OR(PlanterYesMe="No",PlanterYesMe="N",PlanterYesMe="me"),H588=""),"",IF(H588="credit","NO install",IF(AND(K588="",AE588="me"),"EACH row",IF(AND(K588="images",AE588="me"),"EACH row",IF(D588="","",IF(H588="credit","",IF(AE588="free","re-planting",IF(AE588="me","   not ELP, by",IF(AND(OR(PlanterYesMe="Yes",PlanterYesMe="Y"),G588&gt;0),(VLOOKUP(A588,'Discount Lookup'!J:K,2)*G588*(1-PlanterDiscount)*(1+PlanterDifficultyPercentage)),IF(AE588="ELP",(VLOOKUP(A588,'Discount Lookup'!J:K,2)*G588*(1-PlanterDiscount)*(1+PlanterDifficultyPercentage)),IF(AE588="free","re-planting",IF(G588=0,"",IF(PlanterYesMe="",IF(AE588="me","   not ELP, by",IF(AE588="",IF(G588&gt;0,(VLOOKUP(A588,'Discount Lookup'!J:K,2)*G588*(1-PlanterDiscount)*(1+PlanterDifficultyPercentage)),""),"")),"   not ELP, by"))))))))))))))</f>
        <v/>
      </c>
      <c r="AD588" s="712"/>
      <c r="AE588" s="513" t="str">
        <f t="shared" si="393"/>
        <v/>
      </c>
      <c r="AF588" s="713" t="str">
        <f t="shared" si="394"/>
        <v/>
      </c>
      <c r="AG588" s="713"/>
      <c r="AH588" s="713"/>
      <c r="AI588" s="112">
        <f>IF(H588="credit",0,IF(AE588="free",0,IF(AE588="me",0,IF(G588&gt;0,(VLOOKUP(A588,'Discount Lookup'!J:K,2)*G588),0))))</f>
        <v>0</v>
      </c>
      <c r="AJ588" s="107" t="str">
        <f t="shared" ca="1" si="395"/>
        <v/>
      </c>
      <c r="AK588" s="714" t="str">
        <f t="shared" si="396"/>
        <v/>
      </c>
      <c r="AL588" s="714"/>
      <c r="AM588" s="114" t="str">
        <f t="shared" si="397"/>
        <v/>
      </c>
      <c r="AN588" s="115"/>
      <c r="AO588" s="116"/>
      <c r="AP588" s="116"/>
      <c r="AQ588" s="116"/>
      <c r="AR588" s="116"/>
      <c r="AS588" s="116"/>
      <c r="AT588" s="116"/>
      <c r="AU588" s="116"/>
      <c r="AV588" s="78"/>
      <c r="AW588" s="102"/>
      <c r="AX588" s="78"/>
      <c r="AY588" s="78"/>
      <c r="AZ588" s="78"/>
      <c r="BA588" s="78"/>
      <c r="BB588" s="78"/>
      <c r="BC588" s="78"/>
      <c r="BD588" s="78"/>
      <c r="BE588" s="465"/>
      <c r="BF588" s="165" t="str">
        <f t="shared" si="398"/>
        <v>https://www.google.com/search?tbm=isch&amp;q=3%20G4</v>
      </c>
      <c r="BG588" s="165" t="str">
        <f t="shared" si="399"/>
        <v>B</v>
      </c>
      <c r="BH588" s="65"/>
      <c r="BI588" s="65"/>
      <c r="BJ588" s="65"/>
      <c r="BK588" s="65"/>
      <c r="BL588" s="99"/>
      <c r="BM588" s="99"/>
      <c r="BN588" s="99"/>
    </row>
    <row r="589" spans="1:66" s="51" customFormat="1" ht="15.75" x14ac:dyDescent="0.25">
      <c r="A589" s="478">
        <v>7</v>
      </c>
      <c r="B589" s="479" t="s">
        <v>291</v>
      </c>
      <c r="C589" s="480" t="s">
        <v>1690</v>
      </c>
      <c r="D589" s="481" t="s">
        <v>329</v>
      </c>
      <c r="E589" s="482">
        <v>66.95</v>
      </c>
      <c r="F589" s="483" t="s">
        <v>292</v>
      </c>
      <c r="G589" s="484">
        <v>0</v>
      </c>
      <c r="H589" s="688" t="str">
        <f>IF(G589=0,"",IF(F589="Buy",IF(G589=1,"plant","plants"),IF(F589&gt;0.01,"warranty","Error")))</f>
        <v/>
      </c>
      <c r="I589" s="485">
        <f>IF(H589="free",0,IF(H589="credit",((E589*(F589))*G589*-1),IF(F589="Buy",(E589*G589),((E589*(1-F589))*G589))))</f>
        <v>0</v>
      </c>
      <c r="J589" s="485">
        <f>IF(H589="warranty",0,(I589*(_xlfn.SINGLE(SalesTaxPercentage))))</f>
        <v>0</v>
      </c>
      <c r="K589" s="715">
        <f t="shared" ref="K589" si="433">I589+J589</f>
        <v>0</v>
      </c>
      <c r="L589" s="715"/>
      <c r="M589" s="689" t="str">
        <f ca="1">IF(AND(G589&gt;0,E589=0),"WARNING - no PRICE inserted",IF(H589="free","FREE ~ no charge this plant",IF(H589="credit",CONCATENATE("-$",ROUND(K589*(1-_xlfn.SINGLE(T2GDiscount))*-1,2)," CREDIT after discount"),IF(_xlfn.SINGLE(T2GDiscount)=0,"",IF(G589=0,"",IF(F589="Buy",CONCATENATE("$",ROUND(K589*(1-_xlfn.SINGLE(T2GDiscount)),2)," with ",(_xlfn.SINGLE(T2GDiscount)*100),"% discount"),CONCATENATE("$",ROUND(K589*(1-_xlfn.SINGLE(T2GDiscount)),2)," with ",((_xlfn.SINGLE(T2GDiscount)*100+F589*100)-(_xlfn.SINGLE(T2GDiscount)*100*F589)),IF(F589&gt;0,"% discounts",IF(_xlfn.SINGLE(NoWarrantyDiscount)&gt;0,"% discounts","% discount")))))))))</f>
        <v/>
      </c>
      <c r="N589" s="690"/>
      <c r="O589" s="486"/>
      <c r="P589" s="486"/>
      <c r="Q589" s="486"/>
      <c r="R589" s="486"/>
      <c r="S589" s="486"/>
      <c r="T589" s="102">
        <f t="shared" si="387"/>
        <v>0</v>
      </c>
      <c r="U589" s="78">
        <f>IF(NOT(ISNUMBER(G589)), "", VLOOKUP(A589,'Discount Lookup'!D:E,2,FALSE)*G589)</f>
        <v>0</v>
      </c>
      <c r="V589" s="78">
        <f>IF(NOT(ISNUMBER(G589)), "", VLOOKUP(A589,'Discount Lookup'!G:H,2,FALSE)*G589)</f>
        <v>0</v>
      </c>
      <c r="W589" s="102">
        <f t="shared" si="388"/>
        <v>0</v>
      </c>
      <c r="X589" s="102">
        <f t="shared" si="389"/>
        <v>0</v>
      </c>
      <c r="Y589" s="120" t="b">
        <f t="shared" si="390"/>
        <v>0</v>
      </c>
      <c r="Z589" s="117">
        <f t="shared" si="391"/>
        <v>0</v>
      </c>
      <c r="AA589" s="118"/>
      <c r="AB589" s="118" t="str">
        <f t="shared" si="392"/>
        <v/>
      </c>
      <c r="AC589" s="712" t="str">
        <f>IF(AE589="T2G","no charge",IF(AND(OR(PlanterYesMe="No",PlanterYesMe="N",PlanterYesMe="me"),H589=""),"",IF(H589="credit","NO install",IF(AND(K589="",AE589="me"),"EACH row",IF(AND(K589="images",AE589="me"),"EACH row",IF(D589="","",IF(H589="credit","",IF(AE589="free","re-planting",IF(AE589="me","   not ELP, by",IF(AND(OR(PlanterYesMe="Yes",PlanterYesMe="Y"),G589&gt;0),(VLOOKUP(A589,'Discount Lookup'!J:K,2)*G589*(1-PlanterDiscount)*(1+PlanterDifficultyPercentage)),IF(AE589="ELP",(VLOOKUP(A589,'Discount Lookup'!J:K,2)*G589*(1-PlanterDiscount)*(1+PlanterDifficultyPercentage)),IF(AE589="free","re-planting",IF(G589=0,"",IF(PlanterYesMe="",IF(AE589="me","   not ELP, by",IF(AE589="",IF(G589&gt;0,(VLOOKUP(A589,'Discount Lookup'!J:K,2)*G589*(1-PlanterDiscount)*(1+PlanterDifficultyPercentage)),""),"")),"   not ELP, by"))))))))))))))</f>
        <v/>
      </c>
      <c r="AD589" s="712"/>
      <c r="AE589" s="513" t="str">
        <f t="shared" si="393"/>
        <v/>
      </c>
      <c r="AF589" s="713" t="str">
        <f t="shared" si="394"/>
        <v/>
      </c>
      <c r="AG589" s="713"/>
      <c r="AH589" s="713"/>
      <c r="AI589" s="112">
        <f>IF(H589="credit",0,IF(AE589="free",0,IF(AE589="me",0,IF(G589&gt;0,(VLOOKUP(A589,'Discount Lookup'!J:K,2)*G589),0))))</f>
        <v>0</v>
      </c>
      <c r="AJ589" s="107" t="str">
        <f t="shared" ca="1" si="395"/>
        <v/>
      </c>
      <c r="AK589" s="714" t="str">
        <f t="shared" si="396"/>
        <v/>
      </c>
      <c r="AL589" s="714"/>
      <c r="AM589" s="114" t="str">
        <f t="shared" si="397"/>
        <v/>
      </c>
      <c r="AN589" s="115"/>
      <c r="AO589" s="116"/>
      <c r="AP589" s="116"/>
      <c r="AQ589" s="116"/>
      <c r="AR589" s="116"/>
      <c r="AS589" s="116"/>
      <c r="AT589" s="116"/>
      <c r="AU589" s="116"/>
      <c r="AV589" s="78"/>
      <c r="AW589" s="102"/>
      <c r="AX589" s="78"/>
      <c r="AY589" s="78"/>
      <c r="AZ589" s="78"/>
      <c r="BA589" s="78"/>
      <c r="BB589" s="78"/>
      <c r="BC589" s="78"/>
      <c r="BD589" s="78"/>
      <c r="BE589" s="465"/>
      <c r="BF589" s="165" t="str">
        <f t="shared" si="398"/>
        <v>https://www.google.com/search?tbm=isch&amp;q=7%20G2</v>
      </c>
      <c r="BG589" s="165" t="str">
        <f t="shared" si="399"/>
        <v>B</v>
      </c>
      <c r="BH589" s="65"/>
      <c r="BI589" s="65"/>
      <c r="BJ589" s="65"/>
      <c r="BK589" s="65"/>
      <c r="BL589" s="99"/>
      <c r="BM589" s="99"/>
      <c r="BN589" s="99"/>
    </row>
    <row r="590" spans="1:66" s="51" customFormat="1" ht="15.75" x14ac:dyDescent="0.25">
      <c r="A590" s="478">
        <v>7</v>
      </c>
      <c r="B590" s="479" t="s">
        <v>291</v>
      </c>
      <c r="C590" s="480" t="s">
        <v>1691</v>
      </c>
      <c r="D590" s="481" t="s">
        <v>293</v>
      </c>
      <c r="E590" s="482">
        <v>84.95</v>
      </c>
      <c r="F590" s="483" t="s">
        <v>292</v>
      </c>
      <c r="G590" s="484">
        <v>0</v>
      </c>
      <c r="H590" s="688" t="str">
        <f>IF(G590=0,"",IF(F590="Buy",IF(G590=1,"plant","plants"),IF(F590&gt;0.01,"warranty","Error")))</f>
        <v/>
      </c>
      <c r="I590" s="485">
        <f>IF(H590="free",0,IF(H590="credit",((E590*(F590))*G590*-1),IF(F590="Buy",(E590*G590),((E590*(1-F590))*G590))))</f>
        <v>0</v>
      </c>
      <c r="J590" s="485">
        <f>IF(H590="warranty",0,(I590*(_xlfn.SINGLE(SalesTaxPercentage))))</f>
        <v>0</v>
      </c>
      <c r="K590" s="715">
        <f t="shared" ref="K590" si="434">I590+J590</f>
        <v>0</v>
      </c>
      <c r="L590" s="715"/>
      <c r="M590" s="689" t="str">
        <f ca="1">IF(AND(G590&gt;0,E590=0),"WARNING - no PRICE inserted",IF(H590="free","FREE ~ no charge this plant",IF(H590="credit",CONCATENATE("-$",ROUND(K590*(1-_xlfn.SINGLE(T2GDiscount))*-1,2)," CREDIT after discount"),IF(_xlfn.SINGLE(T2GDiscount)=0,"",IF(G590=0,"",IF(F590="Buy",CONCATENATE("$",ROUND(K590*(1-_xlfn.SINGLE(T2GDiscount)),2)," with ",(_xlfn.SINGLE(T2GDiscount)*100),"% discount"),CONCATENATE("$",ROUND(K590*(1-_xlfn.SINGLE(T2GDiscount)),2)," with ",((_xlfn.SINGLE(T2GDiscount)*100+F590*100)-(_xlfn.SINGLE(T2GDiscount)*100*F590)),IF(F590&gt;0,"% discounts",IF(_xlfn.SINGLE(NoWarrantyDiscount)&gt;0,"% discounts","% discount")))))))))</f>
        <v/>
      </c>
      <c r="N590" s="690"/>
      <c r="O590" s="486"/>
      <c r="P590" s="486"/>
      <c r="Q590" s="486"/>
      <c r="R590" s="486"/>
      <c r="S590" s="486"/>
      <c r="T590" s="102">
        <f t="shared" si="387"/>
        <v>0</v>
      </c>
      <c r="U590" s="78">
        <f>IF(NOT(ISNUMBER(G590)), "", VLOOKUP(A590,'Discount Lookup'!D:E,2,FALSE)*G590)</f>
        <v>0</v>
      </c>
      <c r="V590" s="78">
        <f>IF(NOT(ISNUMBER(G590)), "", VLOOKUP(A590,'Discount Lookup'!G:H,2,FALSE)*G590)</f>
        <v>0</v>
      </c>
      <c r="W590" s="102">
        <f t="shared" si="388"/>
        <v>0</v>
      </c>
      <c r="X590" s="102">
        <f t="shared" si="389"/>
        <v>0</v>
      </c>
      <c r="Y590" s="120" t="b">
        <f t="shared" si="390"/>
        <v>0</v>
      </c>
      <c r="Z590" s="117">
        <f t="shared" si="391"/>
        <v>0</v>
      </c>
      <c r="AA590" s="118"/>
      <c r="AB590" s="118" t="str">
        <f t="shared" si="392"/>
        <v/>
      </c>
      <c r="AC590" s="712" t="str">
        <f>IF(AE590="T2G","no charge",IF(AND(OR(PlanterYesMe="No",PlanterYesMe="N",PlanterYesMe="me"),H590=""),"",IF(H590="credit","NO install",IF(AND(K590="",AE590="me"),"EACH row",IF(AND(K590="images",AE590="me"),"EACH row",IF(D590="","",IF(H590="credit","",IF(AE590="free","re-planting",IF(AE590="me","   not ELP, by",IF(AND(OR(PlanterYesMe="Yes",PlanterYesMe="Y"),G590&gt;0),(VLOOKUP(A590,'Discount Lookup'!J:K,2)*G590*(1-PlanterDiscount)*(1+PlanterDifficultyPercentage)),IF(AE590="ELP",(VLOOKUP(A590,'Discount Lookup'!J:K,2)*G590*(1-PlanterDiscount)*(1+PlanterDifficultyPercentage)),IF(AE590="free","re-planting",IF(G590=0,"",IF(PlanterYesMe="",IF(AE590="me","   not ELP, by",IF(AE590="",IF(G590&gt;0,(VLOOKUP(A590,'Discount Lookup'!J:K,2)*G590*(1-PlanterDiscount)*(1+PlanterDifficultyPercentage)),""),"")),"   not ELP, by"))))))))))))))</f>
        <v/>
      </c>
      <c r="AD590" s="712"/>
      <c r="AE590" s="513" t="str">
        <f t="shared" si="393"/>
        <v/>
      </c>
      <c r="AF590" s="713" t="str">
        <f t="shared" si="394"/>
        <v/>
      </c>
      <c r="AG590" s="713"/>
      <c r="AH590" s="713"/>
      <c r="AI590" s="112">
        <f>IF(H590="credit",0,IF(AE590="free",0,IF(AE590="me",0,IF(G590&gt;0,(VLOOKUP(A590,'Discount Lookup'!J:K,2)*G590),0))))</f>
        <v>0</v>
      </c>
      <c r="AJ590" s="107" t="str">
        <f t="shared" ca="1" si="395"/>
        <v/>
      </c>
      <c r="AK590" s="714" t="str">
        <f t="shared" si="396"/>
        <v/>
      </c>
      <c r="AL590" s="714"/>
      <c r="AM590" s="114" t="str">
        <f t="shared" si="397"/>
        <v/>
      </c>
      <c r="AN590" s="115"/>
      <c r="AO590" s="116"/>
      <c r="AP590" s="116"/>
      <c r="AQ590" s="116"/>
      <c r="AR590" s="116"/>
      <c r="AS590" s="116"/>
      <c r="AT590" s="116"/>
      <c r="AU590" s="116"/>
      <c r="AV590" s="78"/>
      <c r="AW590" s="102"/>
      <c r="AX590" s="78"/>
      <c r="AY590" s="78"/>
      <c r="AZ590" s="78"/>
      <c r="BA590" s="78"/>
      <c r="BB590" s="78"/>
      <c r="BC590" s="78"/>
      <c r="BD590" s="78"/>
      <c r="BE590" s="465"/>
      <c r="BF590" s="165" t="str">
        <f t="shared" si="398"/>
        <v>https://www.google.com/search?tbm=isch&amp;q=7%20G6</v>
      </c>
      <c r="BG590" s="165" t="str">
        <f t="shared" si="399"/>
        <v>B</v>
      </c>
      <c r="BH590" s="65"/>
      <c r="BI590" s="65"/>
      <c r="BJ590" s="65"/>
      <c r="BK590" s="65"/>
      <c r="BL590" s="99"/>
      <c r="BM590" s="99"/>
      <c r="BN590" s="99"/>
    </row>
    <row r="591" spans="1:66" s="51" customFormat="1" ht="27" x14ac:dyDescent="0.25">
      <c r="A591" s="478">
        <v>7</v>
      </c>
      <c r="B591" s="479" t="s">
        <v>291</v>
      </c>
      <c r="C591" s="480" t="s">
        <v>1692</v>
      </c>
      <c r="D591" s="481" t="s">
        <v>299</v>
      </c>
      <c r="E591" s="482">
        <v>100.95</v>
      </c>
      <c r="F591" s="483" t="s">
        <v>292</v>
      </c>
      <c r="G591" s="484">
        <v>0</v>
      </c>
      <c r="H591" s="688" t="str">
        <f>IF(G591=0,"",IF(F591="Buy",IF(G591=1,"plant","plants"),IF(F591&gt;0.01,"warranty","Error")))</f>
        <v/>
      </c>
      <c r="I591" s="485">
        <f>IF(H591="free",0,IF(H591="credit",((E591*(F591))*G591*-1),IF(F591="Buy",(E591*G591),((E591*(1-F591))*G591))))</f>
        <v>0</v>
      </c>
      <c r="J591" s="485">
        <f>IF(H591="warranty",0,(I591*(_xlfn.SINGLE(SalesTaxPercentage))))</f>
        <v>0</v>
      </c>
      <c r="K591" s="715">
        <f t="shared" ref="K591" si="435">I591+J591</f>
        <v>0</v>
      </c>
      <c r="L591" s="715"/>
      <c r="M591" s="689" t="str">
        <f ca="1">IF(AND(G591&gt;0,E591=0),"WARNING - no PRICE inserted",IF(H591="free","FREE ~ no charge this plant",IF(H591="credit",CONCATENATE("-$",ROUND(K591*(1-_xlfn.SINGLE(T2GDiscount))*-1,2)," CREDIT after discount"),IF(_xlfn.SINGLE(T2GDiscount)=0,"",IF(G591=0,"",IF(F591="Buy",CONCATENATE("$",ROUND(K591*(1-_xlfn.SINGLE(T2GDiscount)),2)," with ",(_xlfn.SINGLE(T2GDiscount)*100),"% discount"),CONCATENATE("$",ROUND(K591*(1-_xlfn.SINGLE(T2GDiscount)),2)," with ",((_xlfn.SINGLE(T2GDiscount)*100+F591*100)-(_xlfn.SINGLE(T2GDiscount)*100*F591)),IF(F591&gt;0,"% discounts",IF(_xlfn.SINGLE(NoWarrantyDiscount)&gt;0,"% discounts","% discount")))))))))</f>
        <v/>
      </c>
      <c r="N591" s="690"/>
      <c r="O591" s="486"/>
      <c r="P591" s="486"/>
      <c r="Q591" s="486"/>
      <c r="R591" s="486"/>
      <c r="S591" s="486"/>
      <c r="T591" s="102">
        <f t="shared" si="387"/>
        <v>0</v>
      </c>
      <c r="U591" s="78">
        <f>IF(NOT(ISNUMBER(G591)), "", VLOOKUP(A591,'Discount Lookup'!D:E,2,FALSE)*G591)</f>
        <v>0</v>
      </c>
      <c r="V591" s="78">
        <f>IF(NOT(ISNUMBER(G591)), "", VLOOKUP(A591,'Discount Lookup'!G:H,2,FALSE)*G591)</f>
        <v>0</v>
      </c>
      <c r="W591" s="102">
        <f t="shared" si="388"/>
        <v>0</v>
      </c>
      <c r="X591" s="102">
        <f t="shared" si="389"/>
        <v>0</v>
      </c>
      <c r="Y591" s="120" t="b">
        <f t="shared" si="390"/>
        <v>0</v>
      </c>
      <c r="Z591" s="117">
        <f t="shared" si="391"/>
        <v>0</v>
      </c>
      <c r="AA591" s="118"/>
      <c r="AB591" s="118" t="str">
        <f t="shared" si="392"/>
        <v/>
      </c>
      <c r="AC591" s="712" t="str">
        <f>IF(AE591="T2G","no charge",IF(AND(OR(PlanterYesMe="No",PlanterYesMe="N",PlanterYesMe="me"),H591=""),"",IF(H591="credit","NO install",IF(AND(K591="",AE591="me"),"EACH row",IF(AND(K591="images",AE591="me"),"EACH row",IF(D591="","",IF(H591="credit","",IF(AE591="free","re-planting",IF(AE591="me","   not ELP, by",IF(AND(OR(PlanterYesMe="Yes",PlanterYesMe="Y"),G591&gt;0),(VLOOKUP(A591,'Discount Lookup'!J:K,2)*G591*(1-PlanterDiscount)*(1+PlanterDifficultyPercentage)),IF(AE591="ELP",(VLOOKUP(A591,'Discount Lookup'!J:K,2)*G591*(1-PlanterDiscount)*(1+PlanterDifficultyPercentage)),IF(AE591="free","re-planting",IF(G591=0,"",IF(PlanterYesMe="",IF(AE591="me","   not ELP, by",IF(AE591="",IF(G591&gt;0,(VLOOKUP(A591,'Discount Lookup'!J:K,2)*G591*(1-PlanterDiscount)*(1+PlanterDifficultyPercentage)),""),"")),"   not ELP, by"))))))))))))))</f>
        <v/>
      </c>
      <c r="AD591" s="712"/>
      <c r="AE591" s="513" t="str">
        <f t="shared" si="393"/>
        <v/>
      </c>
      <c r="AF591" s="713" t="str">
        <f t="shared" si="394"/>
        <v/>
      </c>
      <c r="AG591" s="713"/>
      <c r="AH591" s="713"/>
      <c r="AI591" s="112">
        <f>IF(H591="credit",0,IF(AE591="free",0,IF(AE591="me",0,IF(G591&gt;0,(VLOOKUP(A591,'Discount Lookup'!J:K,2)*G591),0))))</f>
        <v>0</v>
      </c>
      <c r="AJ591" s="107" t="str">
        <f t="shared" ca="1" si="395"/>
        <v/>
      </c>
      <c r="AK591" s="714" t="str">
        <f t="shared" si="396"/>
        <v/>
      </c>
      <c r="AL591" s="714"/>
      <c r="AM591" s="114" t="str">
        <f t="shared" si="397"/>
        <v/>
      </c>
      <c r="AN591" s="115"/>
      <c r="AO591" s="116"/>
      <c r="AP591" s="116"/>
      <c r="AQ591" s="116"/>
      <c r="AR591" s="116"/>
      <c r="AS591" s="116"/>
      <c r="AT591" s="116"/>
      <c r="AU591" s="116"/>
      <c r="AV591" s="78"/>
      <c r="AW591" s="102"/>
      <c r="AX591" s="78"/>
      <c r="AY591" s="78"/>
      <c r="AZ591" s="78"/>
      <c r="BA591" s="78"/>
      <c r="BB591" s="78"/>
      <c r="BC591" s="78"/>
      <c r="BD591" s="78"/>
      <c r="BE591" s="465"/>
      <c r="BF591" s="165" t="str">
        <f t="shared" si="398"/>
        <v>https://www.google.com/search?tbm=isch&amp;q=7%20G4</v>
      </c>
      <c r="BG591" s="165" t="str">
        <f t="shared" si="399"/>
        <v>B</v>
      </c>
      <c r="BH591" s="65"/>
      <c r="BI591" s="65"/>
      <c r="BJ591" s="65"/>
      <c r="BK591" s="65"/>
      <c r="BL591" s="99"/>
      <c r="BM591" s="99"/>
      <c r="BN591" s="99"/>
    </row>
    <row r="592" spans="1:66" s="51" customFormat="1" ht="16.5" thickBot="1" x14ac:dyDescent="0.3">
      <c r="A592" s="508" t="s">
        <v>1693</v>
      </c>
      <c r="B592" s="487"/>
      <c r="C592" s="707"/>
      <c r="D592" s="487"/>
      <c r="E592" s="487"/>
      <c r="F592" s="488"/>
      <c r="G592" s="489"/>
      <c r="H592" s="487"/>
      <c r="I592" s="490"/>
      <c r="J592" s="490"/>
      <c r="K592" s="491"/>
      <c r="L592" s="547"/>
      <c r="M592" s="528"/>
      <c r="N592" s="492"/>
      <c r="O592" s="493"/>
      <c r="P592" s="494"/>
      <c r="Q592" s="492"/>
      <c r="R592" s="492"/>
      <c r="S592" s="699" t="s">
        <v>5259</v>
      </c>
      <c r="T592" s="102">
        <f t="shared" si="387"/>
        <v>0</v>
      </c>
      <c r="U592" s="78" t="str">
        <f>IF(NOT(ISNUMBER(G592)), "", VLOOKUP(A592,'Discount Lookup'!D:E,2,FALSE)*G592)</f>
        <v/>
      </c>
      <c r="V592" s="78" t="str">
        <f>IF(NOT(ISNUMBER(G592)), "", VLOOKUP(A592,'Discount Lookup'!G:H,2,FALSE)*G592)</f>
        <v/>
      </c>
      <c r="W592" s="102">
        <f t="shared" si="388"/>
        <v>0</v>
      </c>
      <c r="X592" s="102">
        <f t="shared" si="389"/>
        <v>0</v>
      </c>
      <c r="Y592" s="120" t="b">
        <f t="shared" si="390"/>
        <v>0</v>
      </c>
      <c r="Z592" s="117">
        <f t="shared" si="391"/>
        <v>0</v>
      </c>
      <c r="AA592" s="118"/>
      <c r="AB592" s="118" t="str">
        <f t="shared" si="392"/>
        <v/>
      </c>
      <c r="AC592" s="712" t="str">
        <f>IF(AE592="T2G","no charge",IF(AND(OR(PlanterYesMe="No",PlanterYesMe="N",PlanterYesMe="me"),H592=""),"",IF(H592="credit","NO install",IF(AND(K592="",AE592="me"),"EACH row",IF(AND(K592="images",AE592="me"),"EACH row",IF(D592="","",IF(H592="credit","",IF(AE592="free","re-planting",IF(AE592="me","   not ELP, by",IF(AND(OR(PlanterYesMe="Yes",PlanterYesMe="Y"),G592&gt;0),(VLOOKUP(A592,'Discount Lookup'!J:K,2)*G592*(1-PlanterDiscount)*(1+PlanterDifficultyPercentage)),IF(AE592="ELP",(VLOOKUP(A592,'Discount Lookup'!J:K,2)*G592*(1-PlanterDiscount)*(1+PlanterDifficultyPercentage)),IF(AE592="free","re-planting",IF(G592=0,"",IF(PlanterYesMe="",IF(AE592="me","   not ELP, by",IF(AE592="",IF(G592&gt;0,(VLOOKUP(A592,'Discount Lookup'!J:K,2)*G592*(1-PlanterDiscount)*(1+PlanterDifficultyPercentage)),""),"")),"   not ELP, by"))))))))))))))</f>
        <v/>
      </c>
      <c r="AD592" s="712"/>
      <c r="AE592" s="513" t="str">
        <f t="shared" si="393"/>
        <v/>
      </c>
      <c r="AF592" s="713" t="str">
        <f t="shared" si="394"/>
        <v/>
      </c>
      <c r="AG592" s="713"/>
      <c r="AH592" s="713"/>
      <c r="AI592" s="112">
        <f>IF(H592="credit",0,IF(AE592="free",0,IF(AE592="me",0,IF(G592&gt;0,(VLOOKUP(A592,'Discount Lookup'!J:K,2)*G592),0))))</f>
        <v>0</v>
      </c>
      <c r="AJ592" s="107" t="str">
        <f t="shared" ca="1" si="395"/>
        <v/>
      </c>
      <c r="AK592" s="714" t="str">
        <f t="shared" si="396"/>
        <v/>
      </c>
      <c r="AL592" s="714"/>
      <c r="AM592" s="114" t="str">
        <f t="shared" si="397"/>
        <v/>
      </c>
      <c r="AN592" s="115"/>
      <c r="AO592" s="116"/>
      <c r="AP592" s="116"/>
      <c r="AQ592" s="116"/>
      <c r="AR592" s="116"/>
      <c r="AS592" s="116"/>
      <c r="AT592" s="116"/>
      <c r="AU592" s="116"/>
      <c r="AV592" s="78"/>
      <c r="AW592" s="102"/>
      <c r="AX592" s="78"/>
      <c r="AY592" s="78"/>
      <c r="AZ592" s="78"/>
      <c r="BA592" s="78"/>
      <c r="BB592" s="78"/>
      <c r="BC592" s="78"/>
      <c r="BD592" s="78"/>
      <c r="BE592" s="465"/>
      <c r="BF592" s="165" t="str">
        <f t="shared" si="398"/>
        <v>https://www.google.com/search?tbm=isch&amp;q=Winter%20Gem%20is%20one%20of%20the%20cold-hardiest%20of%20boxwoods.%20Minmimal%20winter%20Bronzing.%20Slow-growing%2C%20dense%2C%20and%20ideal%20for%20hedges%20and%20borders%20</v>
      </c>
      <c r="BG592" s="165" t="str">
        <f t="shared" si="399"/>
        <v>W</v>
      </c>
      <c r="BH592" s="65"/>
      <c r="BI592" s="65"/>
      <c r="BJ592" s="65"/>
      <c r="BK592" s="65"/>
      <c r="BL592" s="99"/>
      <c r="BM592" s="99"/>
      <c r="BN592" s="99"/>
    </row>
    <row r="593" spans="1:66" s="51" customFormat="1" ht="18" x14ac:dyDescent="0.25">
      <c r="A593" s="507" t="s">
        <v>1694</v>
      </c>
      <c r="B593" s="470"/>
      <c r="C593" s="706"/>
      <c r="D593" s="471" t="s">
        <v>5602</v>
      </c>
      <c r="E593" s="472"/>
      <c r="F593" s="472"/>
      <c r="G593" s="472"/>
      <c r="H593" s="622" t="s">
        <v>1124</v>
      </c>
      <c r="I593" s="473" t="s">
        <v>430</v>
      </c>
      <c r="J593" s="472"/>
      <c r="K593" s="472"/>
      <c r="L593" s="561"/>
      <c r="M593" s="698" t="s">
        <v>5246</v>
      </c>
      <c r="N593" s="692" t="str">
        <f>IF(AND(ISTEXT($A593), ISERROR($A593+0)), HYPERLINK($BF593, "Images"), "")</f>
        <v>Images</v>
      </c>
      <c r="O593" s="694" t="s">
        <v>5244</v>
      </c>
      <c r="P593" s="475"/>
      <c r="Q593" s="476"/>
      <c r="R593" s="476"/>
      <c r="S593" s="477"/>
      <c r="T593" s="102">
        <f t="shared" ref="T593:T656" si="436">E593*G593</f>
        <v>0</v>
      </c>
      <c r="U593" s="78" t="str">
        <f>IF(NOT(ISNUMBER(G593)), "", VLOOKUP(A593,'Discount Lookup'!D:E,2,FALSE)*G593)</f>
        <v/>
      </c>
      <c r="V593" s="78" t="str">
        <f>IF(NOT(ISNUMBER(G593)), "", VLOOKUP(A593,'Discount Lookup'!G:H,2,FALSE)*G593)</f>
        <v/>
      </c>
      <c r="W593" s="102">
        <f t="shared" ref="W593:W656" si="437">IF(H593="credit",0,E593*(SalesTaxPercentage)*G593)</f>
        <v>0</v>
      </c>
      <c r="X593" s="102" t="str">
        <f t="shared" ref="X593:X656" si="438">I593</f>
        <v>Deep Green foliage</v>
      </c>
      <c r="Y593" s="120" t="b">
        <f t="shared" ref="Y593:Y656" si="439">IF(AE593="T2G",0,IF(H593="credit",0,IF(G593&gt;0,IF(AE593="me","",G593))))</f>
        <v>0</v>
      </c>
      <c r="Z593" s="117">
        <f t="shared" ref="Z593:Z656" si="440">IF(H593="credit",G593,0)</f>
        <v>0</v>
      </c>
      <c r="AA593" s="118"/>
      <c r="AB593" s="118" t="str">
        <f t="shared" ref="AB593:AB656" si="441">IF(AE593="T2G","by Trees2Go",IF(H593="credit","CREDIT only ~",IF(AND(K593="",AE593=OR(PlanterYesMe="No",PlanterYesMe="N",PlanterYesMe="me")),"not THIS line⇨",IF(AND(K593="images",AE593="me"),"not THIS line⇨",IF(H593="credit","",IF(G593=0,"",IF(AE593="me","",IF(OR(PlanterYesMe="No",PlanterYesMe="N",PlanterYesMe="me"),"",IF(AE593="free","warranty",IF(OR(PlanterYesMe="yes",PlanterYesMe="y"),"Edison install:","to install:"))))))))))</f>
        <v/>
      </c>
      <c r="AC593" s="712" t="str">
        <f>IF(AE593="T2G","no charge",IF(AND(OR(PlanterYesMe="No",PlanterYesMe="N",PlanterYesMe="me"),H593=""),"",IF(H593="credit","NO install",IF(AND(K593="",AE593="me"),"EACH row",IF(AND(K593="images",AE593="me"),"EACH row",IF(D593="","",IF(H593="credit","",IF(AE593="free","re-planting",IF(AE593="me","   not ELP, by",IF(AND(OR(PlanterYesMe="Yes",PlanterYesMe="Y"),G593&gt;0),(VLOOKUP(A593,'Discount Lookup'!J:K,2)*G593*(1-PlanterDiscount)*(1+PlanterDifficultyPercentage)),IF(AE593="ELP",(VLOOKUP(A593,'Discount Lookup'!J:K,2)*G593*(1-PlanterDiscount)*(1+PlanterDifficultyPercentage)),IF(AE593="free","re-planting",IF(G593=0,"",IF(PlanterYesMe="",IF(AE593="me","   not ELP, by",IF(AE593="",IF(G593&gt;0,(VLOOKUP(A593,'Discount Lookup'!J:K,2)*G593*(1-PlanterDiscount)*(1+PlanterDifficultyPercentage)),""),"")),"   not ELP, by"))))))))))))))</f>
        <v/>
      </c>
      <c r="AD593" s="712"/>
      <c r="AE593" s="513" t="str">
        <f t="shared" ref="AE593:AE656" si="442">IF(H593="credit","",IF(G593=0,"",IF(OR(PlanterYesMe="No",PlanterYesMe="N",PlanterYesMe="me"),"me",IF(H593="warranty","free",IF(OR(PlanterYesMe="yes",PlanterYesMe="y"),"ELP","")))))</f>
        <v/>
      </c>
      <c r="AF593" s="713" t="str">
        <f t="shared" ref="AF593:AF656" si="443">IF(OR(PlanterYesMe="No",PlanterYesMe="N",PlanterYesMe="me"),"",IF(H593="credit","",IF(G593&gt;0,(CONCATENATE((G593)," quantity, ",(A593)," ",B593)),"")))</f>
        <v/>
      </c>
      <c r="AG593" s="713"/>
      <c r="AH593" s="713"/>
      <c r="AI593" s="112">
        <f>IF(H593="credit",0,IF(AE593="free",0,IF(AE593="me",0,IF(G593&gt;0,(VLOOKUP(A593,'Discount Lookup'!J:K,2)*G593),0))))</f>
        <v>0</v>
      </c>
      <c r="AJ593" s="107" t="str">
        <f t="shared" ref="AJ593:AJ656" ca="1" si="444">IF(AND(ISREF(H593),H593="credit"),"",IF(AND(AND(OFFSET(G593,0,0)=0,OFFSET(G593,1,0)&gt;0,ISNUMBER(OFFSET(AC593,1,0)),OFFSET(AC593,1,0)&gt;0),OR(PlanterYesMe="yes",PlanterYesMe="y")),"T2G+ELP=",IF(AND(OFFSET(G593,0,0)=0,OFFSET(G593,1,0)&gt;0,ISNUMBER(OFFSET(AC593,1,0)),OFFSET(AC593,1,0)&gt;0),"if T2G+ELP=",IF(AND(OFFSET(G593,0,0)=0,OFFSET(G593,1,0)&gt;0),"T2G Subtotal",IF(H593="credit","",IF(G593=0,"",IF(AE593="free",(K593*(1-T2GDiscount)),IF(OR(PlanterYesMe="No",PlanterYesMe="N",PlanterYesMe="me"),(K593*(1-T2GDiscount)),IF(OR(AE593="me",AE593="T2G"),(K593*(1-T2GDiscount)),(K593*(1-T2GDiscount))+AC593)))))))))</f>
        <v/>
      </c>
      <c r="AK593" s="714" t="str">
        <f t="shared" ref="AK593:AK656" si="445">IF(H593="credit","",IF(G593=0,"",IF(OR(AE593="me",AE593="T2G"),"  delivery-only",IF(OR(PlanterYesMe="No",PlanterYesMe="N",PlanterYesMe="me"),"  delivery-only",CONCATENATE(" $",ROUND(AJ593/G593,2)," each")))))</f>
        <v/>
      </c>
      <c r="AL593" s="714"/>
      <c r="AM593" s="114" t="str">
        <f t="shared" ref="AM593:AM656" si="446">IF(H593="credit","",IF(AE593="free","      ~ discounts included, no tax or planting fee applies ~",IF(G593=0,"",IF(OR(PlanterYesMe="No",PlanterYesMe="N",PlanterYesMe="me"),CONCATENATE(" $",ROUND(AJ593/G593,2)," per plant, with tax &amp; discount"),IF(OR(AE593="me",AE593="T2G"),CONCATENATE(" $",ROUND(AJ593/G593,2)," per plant, with tax &amp; discount"),CONCATENATE("= $",ROUND((K593*(1-T2GDiscount))/G593,2)," per plant + $",AC593/G593,(" per planting      ~ includes tax &amp; discounts ~")))))))</f>
        <v/>
      </c>
      <c r="AN593" s="115"/>
      <c r="AO593" s="116"/>
      <c r="AP593" s="116"/>
      <c r="AQ593" s="116"/>
      <c r="AR593" s="116"/>
      <c r="AS593" s="116"/>
      <c r="AT593" s="116"/>
      <c r="AU593" s="116"/>
      <c r="AV593" s="78"/>
      <c r="AW593" s="102"/>
      <c r="AX593" s="78"/>
      <c r="AY593" s="78"/>
      <c r="AZ593" s="78"/>
      <c r="BA593" s="78"/>
      <c r="BB593" s="78"/>
      <c r="BC593" s="78"/>
      <c r="BD593" s="78"/>
      <c r="BE593" s="465"/>
      <c r="BF593" s="165" t="str">
        <f t="shared" ref="BF593:BF656" si="447">"https://www.google.com/search?tbm=isch&amp;q=" &amp; _xlfn.ENCODEURL($A593 &amp; " " &amp; $D593)</f>
        <v>https://www.google.com/search?tbm=isch&amp;q=Buxus%20%27SB%20108%27%20PP%2328888%20NewGen%20Independence%C2%AE%20Boxwood</v>
      </c>
      <c r="BG593" s="165" t="str">
        <f t="shared" ref="BG593:BG656" si="448">IF(ISTEXT(A593),LEFT(A593,1),BG592)</f>
        <v>B</v>
      </c>
      <c r="BH593" s="65"/>
      <c r="BI593" s="65"/>
      <c r="BJ593" s="65"/>
      <c r="BK593" s="65"/>
      <c r="BL593" s="99"/>
      <c r="BM593" s="99"/>
      <c r="BN593" s="99"/>
    </row>
    <row r="594" spans="1:66" s="51" customFormat="1" ht="15.75" x14ac:dyDescent="0.25">
      <c r="A594" s="478">
        <v>7</v>
      </c>
      <c r="B594" s="479" t="s">
        <v>291</v>
      </c>
      <c r="C594" s="480" t="s">
        <v>1695</v>
      </c>
      <c r="D594" s="481" t="s">
        <v>293</v>
      </c>
      <c r="E594" s="482">
        <v>108.95</v>
      </c>
      <c r="F594" s="483" t="s">
        <v>292</v>
      </c>
      <c r="G594" s="484">
        <v>0</v>
      </c>
      <c r="H594" s="688" t="str">
        <f>IF(G594=0,"",IF(F594="Buy",IF(G594=1,"plant","plants"),IF(F594&gt;0.01,"warranty","Error")))</f>
        <v/>
      </c>
      <c r="I594" s="485">
        <f>IF(H594="free",0,IF(H594="credit",((E594*(F594))*G594*-1),IF(F594="Buy",(E594*G594),((E594*(1-F594))*G594))))</f>
        <v>0</v>
      </c>
      <c r="J594" s="485">
        <f>IF(H594="warranty",0,(I594*(_xlfn.SINGLE(SalesTaxPercentage))))</f>
        <v>0</v>
      </c>
      <c r="K594" s="715">
        <f t="shared" ref="K594" si="449">I594+J594</f>
        <v>0</v>
      </c>
      <c r="L594" s="715"/>
      <c r="M594" s="689" t="str">
        <f ca="1">IF(AND(G594&gt;0,E594=0),"WARNING - no PRICE inserted",IF(H594="free","FREE ~ no charge this plant",IF(H594="credit",CONCATENATE("-$",ROUND(K594*(1-_xlfn.SINGLE(T2GDiscount))*-1,2)," CREDIT after discount"),IF(_xlfn.SINGLE(T2GDiscount)=0,"",IF(G594=0,"",IF(F594="Buy",CONCATENATE("$",ROUND(K594*(1-_xlfn.SINGLE(T2GDiscount)),2)," with ",(_xlfn.SINGLE(T2GDiscount)*100),"% discount"),CONCATENATE("$",ROUND(K594*(1-_xlfn.SINGLE(T2GDiscount)),2)," with ",((_xlfn.SINGLE(T2GDiscount)*100+F594*100)-(_xlfn.SINGLE(T2GDiscount)*100*F594)),IF(F594&gt;0,"% discounts",IF(_xlfn.SINGLE(NoWarrantyDiscount)&gt;0,"% discounts","% discount")))))))))</f>
        <v/>
      </c>
      <c r="N594" s="690"/>
      <c r="O594" s="486"/>
      <c r="P594" s="486"/>
      <c r="Q594" s="486"/>
      <c r="R594" s="486"/>
      <c r="S594" s="486"/>
      <c r="T594" s="102">
        <f t="shared" si="436"/>
        <v>0</v>
      </c>
      <c r="U594" s="78">
        <f>IF(NOT(ISNUMBER(G594)), "", VLOOKUP(A594,'Discount Lookup'!D:E,2,FALSE)*G594)</f>
        <v>0</v>
      </c>
      <c r="V594" s="78">
        <f>IF(NOT(ISNUMBER(G594)), "", VLOOKUP(A594,'Discount Lookup'!G:H,2,FALSE)*G594)</f>
        <v>0</v>
      </c>
      <c r="W594" s="102">
        <f t="shared" si="437"/>
        <v>0</v>
      </c>
      <c r="X594" s="102">
        <f t="shared" si="438"/>
        <v>0</v>
      </c>
      <c r="Y594" s="120" t="b">
        <f t="shared" si="439"/>
        <v>0</v>
      </c>
      <c r="Z594" s="117">
        <f t="shared" si="440"/>
        <v>0</v>
      </c>
      <c r="AA594" s="118"/>
      <c r="AB594" s="118" t="str">
        <f t="shared" si="441"/>
        <v/>
      </c>
      <c r="AC594" s="712" t="str">
        <f>IF(AE594="T2G","no charge",IF(AND(OR(PlanterYesMe="No",PlanterYesMe="N",PlanterYesMe="me"),H594=""),"",IF(H594="credit","NO install",IF(AND(K594="",AE594="me"),"EACH row",IF(AND(K594="images",AE594="me"),"EACH row",IF(D594="","",IF(H594="credit","",IF(AE594="free","re-planting",IF(AE594="me","   not ELP, by",IF(AND(OR(PlanterYesMe="Yes",PlanterYesMe="Y"),G594&gt;0),(VLOOKUP(A594,'Discount Lookup'!J:K,2)*G594*(1-PlanterDiscount)*(1+PlanterDifficultyPercentage)),IF(AE594="ELP",(VLOOKUP(A594,'Discount Lookup'!J:K,2)*G594*(1-PlanterDiscount)*(1+PlanterDifficultyPercentage)),IF(AE594="free","re-planting",IF(G594=0,"",IF(PlanterYesMe="",IF(AE594="me","   not ELP, by",IF(AE594="",IF(G594&gt;0,(VLOOKUP(A594,'Discount Lookup'!J:K,2)*G594*(1-PlanterDiscount)*(1+PlanterDifficultyPercentage)),""),"")),"   not ELP, by"))))))))))))))</f>
        <v/>
      </c>
      <c r="AD594" s="712"/>
      <c r="AE594" s="513" t="str">
        <f t="shared" si="442"/>
        <v/>
      </c>
      <c r="AF594" s="713" t="str">
        <f t="shared" si="443"/>
        <v/>
      </c>
      <c r="AG594" s="713"/>
      <c r="AH594" s="713"/>
      <c r="AI594" s="112">
        <f>IF(H594="credit",0,IF(AE594="free",0,IF(AE594="me",0,IF(G594&gt;0,(VLOOKUP(A594,'Discount Lookup'!J:K,2)*G594),0))))</f>
        <v>0</v>
      </c>
      <c r="AJ594" s="107" t="str">
        <f t="shared" ca="1" si="444"/>
        <v/>
      </c>
      <c r="AK594" s="714" t="str">
        <f t="shared" si="445"/>
        <v/>
      </c>
      <c r="AL594" s="714"/>
      <c r="AM594" s="114" t="str">
        <f t="shared" si="446"/>
        <v/>
      </c>
      <c r="AN594" s="115"/>
      <c r="AO594" s="116"/>
      <c r="AP594" s="116"/>
      <c r="AQ594" s="116"/>
      <c r="AR594" s="116"/>
      <c r="AS594" s="116"/>
      <c r="AT594" s="116"/>
      <c r="AU594" s="116"/>
      <c r="AV594" s="78"/>
      <c r="AW594" s="102"/>
      <c r="AX594" s="78"/>
      <c r="AY594" s="78"/>
      <c r="AZ594" s="78"/>
      <c r="BA594" s="78"/>
      <c r="BB594" s="78"/>
      <c r="BC594" s="78"/>
      <c r="BD594" s="78"/>
      <c r="BE594" s="465"/>
      <c r="BF594" s="165" t="str">
        <f t="shared" si="447"/>
        <v>https://www.google.com/search?tbm=isch&amp;q=7%20G6</v>
      </c>
      <c r="BG594" s="165" t="str">
        <f t="shared" si="448"/>
        <v>B</v>
      </c>
      <c r="BH594" s="65"/>
      <c r="BI594" s="65"/>
      <c r="BJ594" s="65"/>
      <c r="BK594" s="65"/>
      <c r="BL594" s="99"/>
      <c r="BM594" s="99"/>
      <c r="BN594" s="99"/>
    </row>
    <row r="595" spans="1:66" s="51" customFormat="1" ht="16.5" thickBot="1" x14ac:dyDescent="0.3">
      <c r="A595" s="508" t="s">
        <v>4683</v>
      </c>
      <c r="B595" s="487"/>
      <c r="C595" s="707"/>
      <c r="D595" s="487"/>
      <c r="E595" s="487"/>
      <c r="F595" s="488"/>
      <c r="G595" s="489"/>
      <c r="H595" s="487"/>
      <c r="I595" s="490"/>
      <c r="J595" s="490"/>
      <c r="K595" s="491"/>
      <c r="L595" s="547"/>
      <c r="M595" s="528"/>
      <c r="N595" s="492"/>
      <c r="O595" s="493"/>
      <c r="P595" s="494"/>
      <c r="Q595" s="492"/>
      <c r="R595" s="492"/>
      <c r="S595" s="699" t="s">
        <v>5259</v>
      </c>
      <c r="T595" s="102">
        <f t="shared" si="436"/>
        <v>0</v>
      </c>
      <c r="U595" s="78" t="str">
        <f>IF(NOT(ISNUMBER(G595)), "", VLOOKUP(A595,'Discount Lookup'!D:E,2,FALSE)*G595)</f>
        <v/>
      </c>
      <c r="V595" s="78" t="str">
        <f>IF(NOT(ISNUMBER(G595)), "", VLOOKUP(A595,'Discount Lookup'!G:H,2,FALSE)*G595)</f>
        <v/>
      </c>
      <c r="W595" s="102">
        <f t="shared" si="437"/>
        <v>0</v>
      </c>
      <c r="X595" s="102">
        <f t="shared" si="438"/>
        <v>0</v>
      </c>
      <c r="Y595" s="120" t="b">
        <f t="shared" si="439"/>
        <v>0</v>
      </c>
      <c r="Z595" s="117">
        <f t="shared" si="440"/>
        <v>0</v>
      </c>
      <c r="AA595" s="118"/>
      <c r="AB595" s="118" t="str">
        <f t="shared" si="441"/>
        <v/>
      </c>
      <c r="AC595" s="712" t="str">
        <f>IF(AE595="T2G","no charge",IF(AND(OR(PlanterYesMe="No",PlanterYesMe="N",PlanterYesMe="me"),H595=""),"",IF(H595="credit","NO install",IF(AND(K595="",AE595="me"),"EACH row",IF(AND(K595="images",AE595="me"),"EACH row",IF(D595="","",IF(H595="credit","",IF(AE595="free","re-planting",IF(AE595="me","   not ELP, by",IF(AND(OR(PlanterYesMe="Yes",PlanterYesMe="Y"),G595&gt;0),(VLOOKUP(A595,'Discount Lookup'!J:K,2)*G595*(1-PlanterDiscount)*(1+PlanterDifficultyPercentage)),IF(AE595="ELP",(VLOOKUP(A595,'Discount Lookup'!J:K,2)*G595*(1-PlanterDiscount)*(1+PlanterDifficultyPercentage)),IF(AE595="free","re-planting",IF(G595=0,"",IF(PlanterYesMe="",IF(AE595="me","   not ELP, by",IF(AE595="",IF(G595&gt;0,(VLOOKUP(A595,'Discount Lookup'!J:K,2)*G595*(1-PlanterDiscount)*(1+PlanterDifficultyPercentage)),""),"")),"   not ELP, by"))))))))))))))</f>
        <v/>
      </c>
      <c r="AD595" s="712"/>
      <c r="AE595" s="513" t="str">
        <f t="shared" si="442"/>
        <v/>
      </c>
      <c r="AF595" s="713" t="str">
        <f t="shared" si="443"/>
        <v/>
      </c>
      <c r="AG595" s="713"/>
      <c r="AH595" s="713"/>
      <c r="AI595" s="112">
        <f>IF(H595="credit",0,IF(AE595="free",0,IF(AE595="me",0,IF(G595&gt;0,(VLOOKUP(A595,'Discount Lookup'!J:K,2)*G595),0))))</f>
        <v>0</v>
      </c>
      <c r="AJ595" s="107" t="str">
        <f t="shared" ca="1" si="444"/>
        <v/>
      </c>
      <c r="AK595" s="714" t="str">
        <f t="shared" si="445"/>
        <v/>
      </c>
      <c r="AL595" s="714"/>
      <c r="AM595" s="114" t="str">
        <f t="shared" si="446"/>
        <v/>
      </c>
      <c r="AN595" s="115"/>
      <c r="AO595" s="116"/>
      <c r="AP595" s="116"/>
      <c r="AQ595" s="116"/>
      <c r="AR595" s="116"/>
      <c r="AS595" s="116"/>
      <c r="AT595" s="116"/>
      <c r="AU595" s="116"/>
      <c r="AV595" s="78"/>
      <c r="AW595" s="102"/>
      <c r="AX595" s="78"/>
      <c r="AY595" s="78"/>
      <c r="AZ595" s="78"/>
      <c r="BA595" s="78"/>
      <c r="BB595" s="78"/>
      <c r="BC595" s="78"/>
      <c r="BD595" s="78"/>
      <c r="BE595" s="465"/>
      <c r="BF595" s="165" t="str">
        <f t="shared" si="447"/>
        <v>https://www.google.com/search?tbm=isch&amp;q=Independence%20has%20strong%20resistance%20to%20Boxwood%20Blight%2FLeafminer.%20Minimal%20bronzing.%20Slow-growing%2C%20dense%2C%20and%20ideal%20for%20hedges%20and%20borders%20</v>
      </c>
      <c r="BG595" s="165" t="str">
        <f t="shared" si="448"/>
        <v>I</v>
      </c>
      <c r="BH595" s="65"/>
      <c r="BI595" s="65"/>
      <c r="BJ595" s="65"/>
      <c r="BK595" s="65"/>
      <c r="BL595" s="99"/>
      <c r="BM595" s="99"/>
      <c r="BN595" s="99"/>
    </row>
    <row r="596" spans="1:66" s="51" customFormat="1" ht="18" x14ac:dyDescent="0.25">
      <c r="A596" s="507" t="s">
        <v>1696</v>
      </c>
      <c r="B596" s="470"/>
      <c r="C596" s="706"/>
      <c r="D596" s="471" t="s">
        <v>5603</v>
      </c>
      <c r="E596" s="472"/>
      <c r="F596" s="472"/>
      <c r="G596" s="472"/>
      <c r="H596" s="622" t="s">
        <v>1124</v>
      </c>
      <c r="I596" s="473" t="s">
        <v>433</v>
      </c>
      <c r="J596" s="472"/>
      <c r="K596" s="472"/>
      <c r="L596" s="561"/>
      <c r="M596" s="698" t="s">
        <v>5246</v>
      </c>
      <c r="N596" s="692" t="str">
        <f>IF(AND(ISTEXT($A596), ISERROR($A596+0)), HYPERLINK($BF596, "Images"), "")</f>
        <v>Images</v>
      </c>
      <c r="O596" s="694" t="s">
        <v>5244</v>
      </c>
      <c r="P596" s="475"/>
      <c r="Q596" s="476"/>
      <c r="R596" s="476"/>
      <c r="S596" s="477"/>
      <c r="T596" s="102">
        <f t="shared" si="436"/>
        <v>0</v>
      </c>
      <c r="U596" s="78" t="str">
        <f>IF(NOT(ISNUMBER(G596)), "", VLOOKUP(A596,'Discount Lookup'!D:E,2,FALSE)*G596)</f>
        <v/>
      </c>
      <c r="V596" s="78" t="str">
        <f>IF(NOT(ISNUMBER(G596)), "", VLOOKUP(A596,'Discount Lookup'!G:H,2,FALSE)*G596)</f>
        <v/>
      </c>
      <c r="W596" s="102">
        <f t="shared" si="437"/>
        <v>0</v>
      </c>
      <c r="X596" s="102" t="str">
        <f t="shared" si="438"/>
        <v>Bright Green foliage</v>
      </c>
      <c r="Y596" s="120" t="b">
        <f t="shared" si="439"/>
        <v>0</v>
      </c>
      <c r="Z596" s="117">
        <f t="shared" si="440"/>
        <v>0</v>
      </c>
      <c r="AA596" s="118"/>
      <c r="AB596" s="118" t="str">
        <f t="shared" si="441"/>
        <v/>
      </c>
      <c r="AC596" s="712" t="str">
        <f>IF(AE596="T2G","no charge",IF(AND(OR(PlanterYesMe="No",PlanterYesMe="N",PlanterYesMe="me"),H596=""),"",IF(H596="credit","NO install",IF(AND(K596="",AE596="me"),"EACH row",IF(AND(K596="images",AE596="me"),"EACH row",IF(D596="","",IF(H596="credit","",IF(AE596="free","re-planting",IF(AE596="me","   not ELP, by",IF(AND(OR(PlanterYesMe="Yes",PlanterYesMe="Y"),G596&gt;0),(VLOOKUP(A596,'Discount Lookup'!J:K,2)*G596*(1-PlanterDiscount)*(1+PlanterDifficultyPercentage)),IF(AE596="ELP",(VLOOKUP(A596,'Discount Lookup'!J:K,2)*G596*(1-PlanterDiscount)*(1+PlanterDifficultyPercentage)),IF(AE596="free","re-planting",IF(G596=0,"",IF(PlanterYesMe="",IF(AE596="me","   not ELP, by",IF(AE596="",IF(G596&gt;0,(VLOOKUP(A596,'Discount Lookup'!J:K,2)*G596*(1-PlanterDiscount)*(1+PlanterDifficultyPercentage)),""),"")),"   not ELP, by"))))))))))))))</f>
        <v/>
      </c>
      <c r="AD596" s="712"/>
      <c r="AE596" s="513" t="str">
        <f t="shared" si="442"/>
        <v/>
      </c>
      <c r="AF596" s="713" t="str">
        <f t="shared" si="443"/>
        <v/>
      </c>
      <c r="AG596" s="713"/>
      <c r="AH596" s="713"/>
      <c r="AI596" s="112">
        <f>IF(H596="credit",0,IF(AE596="free",0,IF(AE596="me",0,IF(G596&gt;0,(VLOOKUP(A596,'Discount Lookup'!J:K,2)*G596),0))))</f>
        <v>0</v>
      </c>
      <c r="AJ596" s="107" t="str">
        <f t="shared" ca="1" si="444"/>
        <v/>
      </c>
      <c r="AK596" s="714" t="str">
        <f t="shared" si="445"/>
        <v/>
      </c>
      <c r="AL596" s="714"/>
      <c r="AM596" s="114" t="str">
        <f t="shared" si="446"/>
        <v/>
      </c>
      <c r="AN596" s="115"/>
      <c r="AO596" s="116"/>
      <c r="AP596" s="116"/>
      <c r="AQ596" s="116"/>
      <c r="AR596" s="116"/>
      <c r="AS596" s="116"/>
      <c r="AT596" s="116"/>
      <c r="AU596" s="116"/>
      <c r="AV596" s="78"/>
      <c r="AW596" s="102"/>
      <c r="AX596" s="78"/>
      <c r="AY596" s="78"/>
      <c r="AZ596" s="78"/>
      <c r="BA596" s="78"/>
      <c r="BB596" s="78"/>
      <c r="BC596" s="78"/>
      <c r="BD596" s="78"/>
      <c r="BE596" s="465"/>
      <c r="BF596" s="165" t="str">
        <f t="shared" si="447"/>
        <v>https://www.google.com/search?tbm=isch&amp;q=Buxus%20%27SB%20300%27%20PP%2332421%20NewGen%20Freedom%C2%AE%20Boxwood</v>
      </c>
      <c r="BG596" s="165" t="str">
        <f t="shared" si="448"/>
        <v>B</v>
      </c>
      <c r="BH596" s="65"/>
      <c r="BI596" s="65"/>
      <c r="BJ596" s="65"/>
      <c r="BK596" s="65"/>
      <c r="BL596" s="99"/>
      <c r="BM596" s="99"/>
      <c r="BN596" s="99"/>
    </row>
    <row r="597" spans="1:66" s="51" customFormat="1" ht="15.75" x14ac:dyDescent="0.25">
      <c r="A597" s="478">
        <v>3</v>
      </c>
      <c r="B597" s="479" t="s">
        <v>291</v>
      </c>
      <c r="C597" s="480" t="s">
        <v>337</v>
      </c>
      <c r="D597" s="481" t="s">
        <v>329</v>
      </c>
      <c r="E597" s="482">
        <v>43.95</v>
      </c>
      <c r="F597" s="483" t="s">
        <v>292</v>
      </c>
      <c r="G597" s="484">
        <v>0</v>
      </c>
      <c r="H597" s="688" t="str">
        <f>IF(G597=0,"",IF(F597="Buy",IF(G597=1,"plant","plants"),IF(F597&gt;0.01,"warranty","Error")))</f>
        <v/>
      </c>
      <c r="I597" s="485">
        <f>IF(H597="free",0,IF(H597="credit",((E597*(F597))*G597*-1),IF(F597="Buy",(E597*G597),((E597*(1-F597))*G597))))</f>
        <v>0</v>
      </c>
      <c r="J597" s="485">
        <f>IF(H597="warranty",0,(I597*(_xlfn.SINGLE(SalesTaxPercentage))))</f>
        <v>0</v>
      </c>
      <c r="K597" s="715">
        <f t="shared" ref="K597" si="450">I597+J597</f>
        <v>0</v>
      </c>
      <c r="L597" s="715"/>
      <c r="M597" s="689" t="str">
        <f ca="1">IF(AND(G597&gt;0,E597=0),"WARNING - no PRICE inserted",IF(H597="free","FREE ~ no charge this plant",IF(H597="credit",CONCATENATE("-$",ROUND(K597*(1-_xlfn.SINGLE(T2GDiscount))*-1,2)," CREDIT after discount"),IF(_xlfn.SINGLE(T2GDiscount)=0,"",IF(G597=0,"",IF(F597="Buy",CONCATENATE("$",ROUND(K597*(1-_xlfn.SINGLE(T2GDiscount)),2)," with ",(_xlfn.SINGLE(T2GDiscount)*100),"% discount"),CONCATENATE("$",ROUND(K597*(1-_xlfn.SINGLE(T2GDiscount)),2)," with ",((_xlfn.SINGLE(T2GDiscount)*100+F597*100)-(_xlfn.SINGLE(T2GDiscount)*100*F597)),IF(F597&gt;0,"% discounts",IF(_xlfn.SINGLE(NoWarrantyDiscount)&gt;0,"% discounts","% discount")))))))))</f>
        <v/>
      </c>
      <c r="N597" s="690"/>
      <c r="O597" s="486"/>
      <c r="P597" s="486"/>
      <c r="Q597" s="486"/>
      <c r="R597" s="486"/>
      <c r="S597" s="486"/>
      <c r="T597" s="102">
        <f t="shared" si="436"/>
        <v>0</v>
      </c>
      <c r="U597" s="78">
        <f>IF(NOT(ISNUMBER(G597)), "", VLOOKUP(A597,'Discount Lookup'!D:E,2,FALSE)*G597)</f>
        <v>0</v>
      </c>
      <c r="V597" s="78">
        <f>IF(NOT(ISNUMBER(G597)), "", VLOOKUP(A597,'Discount Lookup'!G:H,2,FALSE)*G597)</f>
        <v>0</v>
      </c>
      <c r="W597" s="102">
        <f t="shared" si="437"/>
        <v>0</v>
      </c>
      <c r="X597" s="102">
        <f t="shared" si="438"/>
        <v>0</v>
      </c>
      <c r="Y597" s="120" t="b">
        <f t="shared" si="439"/>
        <v>0</v>
      </c>
      <c r="Z597" s="117">
        <f t="shared" si="440"/>
        <v>0</v>
      </c>
      <c r="AA597" s="118"/>
      <c r="AB597" s="118" t="str">
        <f t="shared" si="441"/>
        <v/>
      </c>
      <c r="AC597" s="712" t="str">
        <f>IF(AE597="T2G","no charge",IF(AND(OR(PlanterYesMe="No",PlanterYesMe="N",PlanterYesMe="me"),H597=""),"",IF(H597="credit","NO install",IF(AND(K597="",AE597="me"),"EACH row",IF(AND(K597="images",AE597="me"),"EACH row",IF(D597="","",IF(H597="credit","",IF(AE597="free","re-planting",IF(AE597="me","   not ELP, by",IF(AND(OR(PlanterYesMe="Yes",PlanterYesMe="Y"),G597&gt;0),(VLOOKUP(A597,'Discount Lookup'!J:K,2)*G597*(1-PlanterDiscount)*(1+PlanterDifficultyPercentage)),IF(AE597="ELP",(VLOOKUP(A597,'Discount Lookup'!J:K,2)*G597*(1-PlanterDiscount)*(1+PlanterDifficultyPercentage)),IF(AE597="free","re-planting",IF(G597=0,"",IF(PlanterYesMe="",IF(AE597="me","   not ELP, by",IF(AE597="",IF(G597&gt;0,(VLOOKUP(A597,'Discount Lookup'!J:K,2)*G597*(1-PlanterDiscount)*(1+PlanterDifficultyPercentage)),""),"")),"   not ELP, by"))))))))))))))</f>
        <v/>
      </c>
      <c r="AD597" s="712"/>
      <c r="AE597" s="513" t="str">
        <f t="shared" si="442"/>
        <v/>
      </c>
      <c r="AF597" s="713" t="str">
        <f t="shared" si="443"/>
        <v/>
      </c>
      <c r="AG597" s="713"/>
      <c r="AH597" s="713"/>
      <c r="AI597" s="112">
        <f>IF(H597="credit",0,IF(AE597="free",0,IF(AE597="me",0,IF(G597&gt;0,(VLOOKUP(A597,'Discount Lookup'!J:K,2)*G597),0))))</f>
        <v>0</v>
      </c>
      <c r="AJ597" s="107" t="str">
        <f t="shared" ca="1" si="444"/>
        <v/>
      </c>
      <c r="AK597" s="714" t="str">
        <f t="shared" si="445"/>
        <v/>
      </c>
      <c r="AL597" s="714"/>
      <c r="AM597" s="114" t="str">
        <f t="shared" si="446"/>
        <v/>
      </c>
      <c r="AN597" s="115"/>
      <c r="AO597" s="116"/>
      <c r="AP597" s="116"/>
      <c r="AQ597" s="116"/>
      <c r="AR597" s="116"/>
      <c r="AS597" s="116"/>
      <c r="AT597" s="116"/>
      <c r="AU597" s="116"/>
      <c r="AV597" s="78"/>
      <c r="AW597" s="102"/>
      <c r="AX597" s="78"/>
      <c r="AY597" s="78"/>
      <c r="AZ597" s="78"/>
      <c r="BA597" s="78"/>
      <c r="BB597" s="78"/>
      <c r="BC597" s="78"/>
      <c r="BD597" s="78"/>
      <c r="BE597" s="465"/>
      <c r="BF597" s="165" t="str">
        <f t="shared" si="447"/>
        <v>https://www.google.com/search?tbm=isch&amp;q=3%20G2</v>
      </c>
      <c r="BG597" s="165" t="str">
        <f t="shared" si="448"/>
        <v>B</v>
      </c>
      <c r="BH597" s="65"/>
      <c r="BI597" s="65"/>
      <c r="BJ597" s="65"/>
      <c r="BK597" s="65"/>
      <c r="BL597" s="99"/>
      <c r="BM597" s="99"/>
      <c r="BN597" s="99"/>
    </row>
    <row r="598" spans="1:66" s="51" customFormat="1" ht="15.75" x14ac:dyDescent="0.25">
      <c r="A598" s="478">
        <v>7</v>
      </c>
      <c r="B598" s="479" t="s">
        <v>291</v>
      </c>
      <c r="C598" s="480" t="s">
        <v>1697</v>
      </c>
      <c r="D598" s="481" t="s">
        <v>293</v>
      </c>
      <c r="E598" s="482">
        <v>108.95</v>
      </c>
      <c r="F598" s="483" t="s">
        <v>292</v>
      </c>
      <c r="G598" s="484">
        <v>0</v>
      </c>
      <c r="H598" s="688" t="str">
        <f>IF(G598=0,"",IF(F598="Buy",IF(G598=1,"plant","plants"),IF(F598&gt;0.01,"warranty","Error")))</f>
        <v/>
      </c>
      <c r="I598" s="485">
        <f>IF(H598="free",0,IF(H598="credit",((E598*(F598))*G598*-1),IF(F598="Buy",(E598*G598),((E598*(1-F598))*G598))))</f>
        <v>0</v>
      </c>
      <c r="J598" s="485">
        <f>IF(H598="warranty",0,(I598*(_xlfn.SINGLE(SalesTaxPercentage))))</f>
        <v>0</v>
      </c>
      <c r="K598" s="715">
        <f t="shared" ref="K598" si="451">I598+J598</f>
        <v>0</v>
      </c>
      <c r="L598" s="715"/>
      <c r="M598" s="689" t="str">
        <f ca="1">IF(AND(G598&gt;0,E598=0),"WARNING - no PRICE inserted",IF(H598="free","FREE ~ no charge this plant",IF(H598="credit",CONCATENATE("-$",ROUND(K598*(1-_xlfn.SINGLE(T2GDiscount))*-1,2)," CREDIT after discount"),IF(_xlfn.SINGLE(T2GDiscount)=0,"",IF(G598=0,"",IF(F598="Buy",CONCATENATE("$",ROUND(K598*(1-_xlfn.SINGLE(T2GDiscount)),2)," with ",(_xlfn.SINGLE(T2GDiscount)*100),"% discount"),CONCATENATE("$",ROUND(K598*(1-_xlfn.SINGLE(T2GDiscount)),2)," with ",((_xlfn.SINGLE(T2GDiscount)*100+F598*100)-(_xlfn.SINGLE(T2GDiscount)*100*F598)),IF(F598&gt;0,"% discounts",IF(_xlfn.SINGLE(NoWarrantyDiscount)&gt;0,"% discounts","% discount")))))))))</f>
        <v/>
      </c>
      <c r="N598" s="690"/>
      <c r="O598" s="486"/>
      <c r="P598" s="486"/>
      <c r="Q598" s="486"/>
      <c r="R598" s="486"/>
      <c r="S598" s="486"/>
      <c r="T598" s="102">
        <f t="shared" si="436"/>
        <v>0</v>
      </c>
      <c r="U598" s="78">
        <f>IF(NOT(ISNUMBER(G598)), "", VLOOKUP(A598,'Discount Lookup'!D:E,2,FALSE)*G598)</f>
        <v>0</v>
      </c>
      <c r="V598" s="78">
        <f>IF(NOT(ISNUMBER(G598)), "", VLOOKUP(A598,'Discount Lookup'!G:H,2,FALSE)*G598)</f>
        <v>0</v>
      </c>
      <c r="W598" s="102">
        <f t="shared" si="437"/>
        <v>0</v>
      </c>
      <c r="X598" s="102">
        <f t="shared" si="438"/>
        <v>0</v>
      </c>
      <c r="Y598" s="120" t="b">
        <f t="shared" si="439"/>
        <v>0</v>
      </c>
      <c r="Z598" s="117">
        <f t="shared" si="440"/>
        <v>0</v>
      </c>
      <c r="AA598" s="118"/>
      <c r="AB598" s="118" t="str">
        <f t="shared" si="441"/>
        <v/>
      </c>
      <c r="AC598" s="712" t="str">
        <f>IF(AE598="T2G","no charge",IF(AND(OR(PlanterYesMe="No",PlanterYesMe="N",PlanterYesMe="me"),H598=""),"",IF(H598="credit","NO install",IF(AND(K598="",AE598="me"),"EACH row",IF(AND(K598="images",AE598="me"),"EACH row",IF(D598="","",IF(H598="credit","",IF(AE598="free","re-planting",IF(AE598="me","   not ELP, by",IF(AND(OR(PlanterYesMe="Yes",PlanterYesMe="Y"),G598&gt;0),(VLOOKUP(A598,'Discount Lookup'!J:K,2)*G598*(1-PlanterDiscount)*(1+PlanterDifficultyPercentage)),IF(AE598="ELP",(VLOOKUP(A598,'Discount Lookup'!J:K,2)*G598*(1-PlanterDiscount)*(1+PlanterDifficultyPercentage)),IF(AE598="free","re-planting",IF(G598=0,"",IF(PlanterYesMe="",IF(AE598="me","   not ELP, by",IF(AE598="",IF(G598&gt;0,(VLOOKUP(A598,'Discount Lookup'!J:K,2)*G598*(1-PlanterDiscount)*(1+PlanterDifficultyPercentage)),""),"")),"   not ELP, by"))))))))))))))</f>
        <v/>
      </c>
      <c r="AD598" s="712"/>
      <c r="AE598" s="513" t="str">
        <f t="shared" si="442"/>
        <v/>
      </c>
      <c r="AF598" s="713" t="str">
        <f t="shared" si="443"/>
        <v/>
      </c>
      <c r="AG598" s="713"/>
      <c r="AH598" s="713"/>
      <c r="AI598" s="112">
        <f>IF(H598="credit",0,IF(AE598="free",0,IF(AE598="me",0,IF(G598&gt;0,(VLOOKUP(A598,'Discount Lookup'!J:K,2)*G598),0))))</f>
        <v>0</v>
      </c>
      <c r="AJ598" s="107" t="str">
        <f t="shared" ca="1" si="444"/>
        <v/>
      </c>
      <c r="AK598" s="714" t="str">
        <f t="shared" si="445"/>
        <v/>
      </c>
      <c r="AL598" s="714"/>
      <c r="AM598" s="114" t="str">
        <f t="shared" si="446"/>
        <v/>
      </c>
      <c r="AN598" s="115"/>
      <c r="AO598" s="116"/>
      <c r="AP598" s="116"/>
      <c r="AQ598" s="116"/>
      <c r="AR598" s="116"/>
      <c r="AS598" s="116"/>
      <c r="AT598" s="116"/>
      <c r="AU598" s="116"/>
      <c r="AV598" s="78"/>
      <c r="AW598" s="102"/>
      <c r="AX598" s="78"/>
      <c r="AY598" s="78"/>
      <c r="AZ598" s="78"/>
      <c r="BA598" s="78"/>
      <c r="BB598" s="78"/>
      <c r="BC598" s="78"/>
      <c r="BD598" s="78"/>
      <c r="BE598" s="465"/>
      <c r="BF598" s="165" t="str">
        <f t="shared" si="447"/>
        <v>https://www.google.com/search?tbm=isch&amp;q=7%20G6</v>
      </c>
      <c r="BG598" s="165" t="str">
        <f t="shared" si="448"/>
        <v>B</v>
      </c>
      <c r="BH598" s="65"/>
      <c r="BI598" s="65"/>
      <c r="BJ598" s="65"/>
      <c r="BK598" s="65"/>
      <c r="BL598" s="99"/>
      <c r="BM598" s="99"/>
      <c r="BN598" s="99"/>
    </row>
    <row r="599" spans="1:66" s="51" customFormat="1" ht="16.5" thickBot="1" x14ac:dyDescent="0.3">
      <c r="A599" s="508" t="s">
        <v>4684</v>
      </c>
      <c r="B599" s="487"/>
      <c r="C599" s="707"/>
      <c r="D599" s="487"/>
      <c r="E599" s="487"/>
      <c r="F599" s="488"/>
      <c r="G599" s="489"/>
      <c r="H599" s="487"/>
      <c r="I599" s="490"/>
      <c r="J599" s="490"/>
      <c r="K599" s="491"/>
      <c r="L599" s="547"/>
      <c r="M599" s="528"/>
      <c r="N599" s="492"/>
      <c r="O599" s="493"/>
      <c r="P599" s="494"/>
      <c r="Q599" s="492"/>
      <c r="R599" s="492"/>
      <c r="S599" s="699" t="s">
        <v>5259</v>
      </c>
      <c r="T599" s="102">
        <f t="shared" si="436"/>
        <v>0</v>
      </c>
      <c r="U599" s="78" t="str">
        <f>IF(NOT(ISNUMBER(G599)), "", VLOOKUP(A599,'Discount Lookup'!D:E,2,FALSE)*G599)</f>
        <v/>
      </c>
      <c r="V599" s="78" t="str">
        <f>IF(NOT(ISNUMBER(G599)), "", VLOOKUP(A599,'Discount Lookup'!G:H,2,FALSE)*G599)</f>
        <v/>
      </c>
      <c r="W599" s="102">
        <f t="shared" si="437"/>
        <v>0</v>
      </c>
      <c r="X599" s="102">
        <f t="shared" si="438"/>
        <v>0</v>
      </c>
      <c r="Y599" s="120" t="b">
        <f t="shared" si="439"/>
        <v>0</v>
      </c>
      <c r="Z599" s="117">
        <f t="shared" si="440"/>
        <v>0</v>
      </c>
      <c r="AA599" s="118"/>
      <c r="AB599" s="118" t="str">
        <f t="shared" si="441"/>
        <v/>
      </c>
      <c r="AC599" s="712" t="str">
        <f>IF(AE599="T2G","no charge",IF(AND(OR(PlanterYesMe="No",PlanterYesMe="N",PlanterYesMe="me"),H599=""),"",IF(H599="credit","NO install",IF(AND(K599="",AE599="me"),"EACH row",IF(AND(K599="images",AE599="me"),"EACH row",IF(D599="","",IF(H599="credit","",IF(AE599="free","re-planting",IF(AE599="me","   not ELP, by",IF(AND(OR(PlanterYesMe="Yes",PlanterYesMe="Y"),G599&gt;0),(VLOOKUP(A599,'Discount Lookup'!J:K,2)*G599*(1-PlanterDiscount)*(1+PlanterDifficultyPercentage)),IF(AE599="ELP",(VLOOKUP(A599,'Discount Lookup'!J:K,2)*G599*(1-PlanterDiscount)*(1+PlanterDifficultyPercentage)),IF(AE599="free","re-planting",IF(G599=0,"",IF(PlanterYesMe="",IF(AE599="me","   not ELP, by",IF(AE599="",IF(G599&gt;0,(VLOOKUP(A599,'Discount Lookup'!J:K,2)*G599*(1-PlanterDiscount)*(1+PlanterDifficultyPercentage)),""),"")),"   not ELP, by"))))))))))))))</f>
        <v/>
      </c>
      <c r="AD599" s="712"/>
      <c r="AE599" s="513" t="str">
        <f t="shared" si="442"/>
        <v/>
      </c>
      <c r="AF599" s="713" t="str">
        <f t="shared" si="443"/>
        <v/>
      </c>
      <c r="AG599" s="713"/>
      <c r="AH599" s="713"/>
      <c r="AI599" s="112">
        <f>IF(H599="credit",0,IF(AE599="free",0,IF(AE599="me",0,IF(G599&gt;0,(VLOOKUP(A599,'Discount Lookup'!J:K,2)*G599),0))))</f>
        <v>0</v>
      </c>
      <c r="AJ599" s="107" t="str">
        <f t="shared" ca="1" si="444"/>
        <v/>
      </c>
      <c r="AK599" s="714" t="str">
        <f t="shared" si="445"/>
        <v/>
      </c>
      <c r="AL599" s="714"/>
      <c r="AM599" s="114" t="str">
        <f t="shared" si="446"/>
        <v/>
      </c>
      <c r="AN599" s="115"/>
      <c r="AO599" s="116"/>
      <c r="AP599" s="116"/>
      <c r="AQ599" s="116"/>
      <c r="AR599" s="116"/>
      <c r="AS599" s="116"/>
      <c r="AT599" s="116"/>
      <c r="AU599" s="116"/>
      <c r="AV599" s="78"/>
      <c r="AW599" s="102"/>
      <c r="AX599" s="78"/>
      <c r="AY599" s="78"/>
      <c r="AZ599" s="78"/>
      <c r="BA599" s="78"/>
      <c r="BB599" s="78"/>
      <c r="BC599" s="78"/>
      <c r="BD599" s="78"/>
      <c r="BE599" s="465"/>
      <c r="BF599" s="165" t="str">
        <f t="shared" si="447"/>
        <v>https://www.google.com/search?tbm=isch&amp;q=Freedom%20has%20strong%20resistance%20to%20Boxwood%20Blight%2FLeafminer.%20Minimal%20bronzing.%20Slow-growing%2C%20dense%2C%20and%20ideal%20for%20hedges%20and%20borders%20</v>
      </c>
      <c r="BG599" s="165" t="str">
        <f t="shared" si="448"/>
        <v>F</v>
      </c>
      <c r="BH599" s="65"/>
      <c r="BI599" s="65"/>
      <c r="BJ599" s="65"/>
      <c r="BK599" s="65"/>
      <c r="BL599" s="99"/>
      <c r="BM599" s="99"/>
      <c r="BN599" s="99"/>
    </row>
    <row r="600" spans="1:66" s="51" customFormat="1" ht="18" x14ac:dyDescent="0.25">
      <c r="A600" s="507" t="s">
        <v>1698</v>
      </c>
      <c r="B600" s="470"/>
      <c r="C600" s="706"/>
      <c r="D600" s="471" t="s">
        <v>1699</v>
      </c>
      <c r="E600" s="472"/>
      <c r="F600" s="472"/>
      <c r="G600" s="472"/>
      <c r="H600" s="622" t="s">
        <v>1147</v>
      </c>
      <c r="I600" s="473" t="s">
        <v>431</v>
      </c>
      <c r="J600" s="472"/>
      <c r="K600" s="472"/>
      <c r="L600" s="561"/>
      <c r="M600" s="698" t="s">
        <v>5246</v>
      </c>
      <c r="N600" s="692" t="str">
        <f>IF(AND(ISTEXT($A600), ISERROR($A600+0)), HYPERLINK($BF600, "Images"), "")</f>
        <v>Images</v>
      </c>
      <c r="O600" s="694" t="s">
        <v>5244</v>
      </c>
      <c r="P600" s="475"/>
      <c r="Q600" s="476"/>
      <c r="R600" s="476"/>
      <c r="S600" s="477"/>
      <c r="T600" s="102">
        <f t="shared" si="436"/>
        <v>0</v>
      </c>
      <c r="U600" s="78" t="str">
        <f>IF(NOT(ISNUMBER(G600)), "", VLOOKUP(A600,'Discount Lookup'!D:E,2,FALSE)*G600)</f>
        <v/>
      </c>
      <c r="V600" s="78" t="str">
        <f>IF(NOT(ISNUMBER(G600)), "", VLOOKUP(A600,'Discount Lookup'!G:H,2,FALSE)*G600)</f>
        <v/>
      </c>
      <c r="W600" s="102">
        <f t="shared" si="437"/>
        <v>0</v>
      </c>
      <c r="X600" s="102" t="str">
        <f t="shared" si="438"/>
        <v>Dark Green foliage</v>
      </c>
      <c r="Y600" s="120" t="b">
        <f t="shared" si="439"/>
        <v>0</v>
      </c>
      <c r="Z600" s="117">
        <f t="shared" si="440"/>
        <v>0</v>
      </c>
      <c r="AA600" s="118"/>
      <c r="AB600" s="118" t="str">
        <f t="shared" si="441"/>
        <v/>
      </c>
      <c r="AC600" s="712" t="str">
        <f>IF(AE600="T2G","no charge",IF(AND(OR(PlanterYesMe="No",PlanterYesMe="N",PlanterYesMe="me"),H600=""),"",IF(H600="credit","NO install",IF(AND(K600="",AE600="me"),"EACH row",IF(AND(K600="images",AE600="me"),"EACH row",IF(D600="","",IF(H600="credit","",IF(AE600="free","re-planting",IF(AE600="me","   not ELP, by",IF(AND(OR(PlanterYesMe="Yes",PlanterYesMe="Y"),G600&gt;0),(VLOOKUP(A600,'Discount Lookup'!J:K,2)*G600*(1-PlanterDiscount)*(1+PlanterDifficultyPercentage)),IF(AE600="ELP",(VLOOKUP(A600,'Discount Lookup'!J:K,2)*G600*(1-PlanterDiscount)*(1+PlanterDifficultyPercentage)),IF(AE600="free","re-planting",IF(G600=0,"",IF(PlanterYesMe="",IF(AE600="me","   not ELP, by",IF(AE600="",IF(G600&gt;0,(VLOOKUP(A600,'Discount Lookup'!J:K,2)*G600*(1-PlanterDiscount)*(1+PlanterDifficultyPercentage)),""),"")),"   not ELP, by"))))))))))))))</f>
        <v/>
      </c>
      <c r="AD600" s="712"/>
      <c r="AE600" s="513" t="str">
        <f t="shared" si="442"/>
        <v/>
      </c>
      <c r="AF600" s="713" t="str">
        <f t="shared" si="443"/>
        <v/>
      </c>
      <c r="AG600" s="713"/>
      <c r="AH600" s="713"/>
      <c r="AI600" s="112">
        <f>IF(H600="credit",0,IF(AE600="free",0,IF(AE600="me",0,IF(G600&gt;0,(VLOOKUP(A600,'Discount Lookup'!J:K,2)*G600),0))))</f>
        <v>0</v>
      </c>
      <c r="AJ600" s="107" t="str">
        <f t="shared" ca="1" si="444"/>
        <v/>
      </c>
      <c r="AK600" s="714" t="str">
        <f t="shared" si="445"/>
        <v/>
      </c>
      <c r="AL600" s="714"/>
      <c r="AM600" s="114" t="str">
        <f t="shared" si="446"/>
        <v/>
      </c>
      <c r="AN600" s="115"/>
      <c r="AO600" s="116"/>
      <c r="AP600" s="116"/>
      <c r="AQ600" s="116"/>
      <c r="AR600" s="116"/>
      <c r="AS600" s="116"/>
      <c r="AT600" s="116"/>
      <c r="AU600" s="116"/>
      <c r="AV600" s="78"/>
      <c r="AW600" s="102"/>
      <c r="AX600" s="78"/>
      <c r="AY600" s="78"/>
      <c r="AZ600" s="78"/>
      <c r="BA600" s="78"/>
      <c r="BB600" s="78"/>
      <c r="BC600" s="78"/>
      <c r="BD600" s="78"/>
      <c r="BE600" s="465"/>
      <c r="BF600" s="165" t="str">
        <f t="shared" si="447"/>
        <v>https://www.google.com/search?tbm=isch&amp;q=Buxus%20sempervirens%20Common%20Boxwood</v>
      </c>
      <c r="BG600" s="165" t="str">
        <f t="shared" si="448"/>
        <v>B</v>
      </c>
      <c r="BH600" s="65"/>
      <c r="BI600" s="65"/>
      <c r="BJ600" s="65"/>
      <c r="BK600" s="65"/>
      <c r="BL600" s="99"/>
      <c r="BM600" s="99"/>
      <c r="BN600" s="99"/>
    </row>
    <row r="601" spans="1:66" s="51" customFormat="1" ht="27" x14ac:dyDescent="0.25">
      <c r="A601" s="478">
        <v>20</v>
      </c>
      <c r="B601" s="479" t="s">
        <v>291</v>
      </c>
      <c r="C601" s="480" t="s">
        <v>1700</v>
      </c>
      <c r="D601" s="481" t="s">
        <v>299</v>
      </c>
      <c r="E601" s="482">
        <v>334.95</v>
      </c>
      <c r="F601" s="483" t="s">
        <v>292</v>
      </c>
      <c r="G601" s="484">
        <v>0</v>
      </c>
      <c r="H601" s="688" t="str">
        <f>IF(G601=0,"",IF(F601="Buy",IF(G601=1,"plant","plants"),IF(F601&gt;0.01,"warranty","Error")))</f>
        <v/>
      </c>
      <c r="I601" s="485">
        <f>IF(H601="free",0,IF(H601="credit",((E601*(F601))*G601*-1),IF(F601="Buy",(E601*G601),((E601*(1-F601))*G601))))</f>
        <v>0</v>
      </c>
      <c r="J601" s="485">
        <f>IF(H601="warranty",0,(I601*(_xlfn.SINGLE(SalesTaxPercentage))))</f>
        <v>0</v>
      </c>
      <c r="K601" s="715">
        <f t="shared" ref="K601" si="452">I601+J601</f>
        <v>0</v>
      </c>
      <c r="L601" s="715"/>
      <c r="M601" s="689" t="str">
        <f ca="1">IF(AND(G601&gt;0,E601=0),"WARNING - no PRICE inserted",IF(H601="free","FREE ~ no charge this plant",IF(H601="credit",CONCATENATE("-$",ROUND(K601*(1-_xlfn.SINGLE(T2GDiscount))*-1,2)," CREDIT after discount"),IF(_xlfn.SINGLE(T2GDiscount)=0,"",IF(G601=0,"",IF(F601="Buy",CONCATENATE("$",ROUND(K601*(1-_xlfn.SINGLE(T2GDiscount)),2)," with ",(_xlfn.SINGLE(T2GDiscount)*100),"% discount"),CONCATENATE("$",ROUND(K601*(1-_xlfn.SINGLE(T2GDiscount)),2)," with ",((_xlfn.SINGLE(T2GDiscount)*100+F601*100)-(_xlfn.SINGLE(T2GDiscount)*100*F601)),IF(F601&gt;0,"% discounts",IF(_xlfn.SINGLE(NoWarrantyDiscount)&gt;0,"% discounts","% discount")))))))))</f>
        <v/>
      </c>
      <c r="N601" s="690"/>
      <c r="O601" s="486"/>
      <c r="P601" s="486"/>
      <c r="Q601" s="486"/>
      <c r="R601" s="486"/>
      <c r="S601" s="486"/>
      <c r="T601" s="102">
        <f t="shared" si="436"/>
        <v>0</v>
      </c>
      <c r="U601" s="78">
        <f>IF(NOT(ISNUMBER(G601)), "", VLOOKUP(A601,'Discount Lookup'!D:E,2,FALSE)*G601)</f>
        <v>0</v>
      </c>
      <c r="V601" s="78">
        <f>IF(NOT(ISNUMBER(G601)), "", VLOOKUP(A601,'Discount Lookup'!G:H,2,FALSE)*G601)</f>
        <v>0</v>
      </c>
      <c r="W601" s="102">
        <f t="shared" si="437"/>
        <v>0</v>
      </c>
      <c r="X601" s="102">
        <f t="shared" si="438"/>
        <v>0</v>
      </c>
      <c r="Y601" s="120" t="b">
        <f t="shared" si="439"/>
        <v>0</v>
      </c>
      <c r="Z601" s="117">
        <f t="shared" si="440"/>
        <v>0</v>
      </c>
      <c r="AA601" s="118"/>
      <c r="AB601" s="118" t="str">
        <f t="shared" si="441"/>
        <v/>
      </c>
      <c r="AC601" s="712" t="str">
        <f>IF(AE601="T2G","no charge",IF(AND(OR(PlanterYesMe="No",PlanterYesMe="N",PlanterYesMe="me"),H601=""),"",IF(H601="credit","NO install",IF(AND(K601="",AE601="me"),"EACH row",IF(AND(K601="images",AE601="me"),"EACH row",IF(D601="","",IF(H601="credit","",IF(AE601="free","re-planting",IF(AE601="me","   not ELP, by",IF(AND(OR(PlanterYesMe="Yes",PlanterYesMe="Y"),G601&gt;0),(VLOOKUP(A601,'Discount Lookup'!J:K,2)*G601*(1-PlanterDiscount)*(1+PlanterDifficultyPercentage)),IF(AE601="ELP",(VLOOKUP(A601,'Discount Lookup'!J:K,2)*G601*(1-PlanterDiscount)*(1+PlanterDifficultyPercentage)),IF(AE601="free","re-planting",IF(G601=0,"",IF(PlanterYesMe="",IF(AE601="me","   not ELP, by",IF(AE601="",IF(G601&gt;0,(VLOOKUP(A601,'Discount Lookup'!J:K,2)*G601*(1-PlanterDiscount)*(1+PlanterDifficultyPercentage)),""),"")),"   not ELP, by"))))))))))))))</f>
        <v/>
      </c>
      <c r="AD601" s="712"/>
      <c r="AE601" s="513" t="str">
        <f t="shared" si="442"/>
        <v/>
      </c>
      <c r="AF601" s="713" t="str">
        <f t="shared" si="443"/>
        <v/>
      </c>
      <c r="AG601" s="713"/>
      <c r="AH601" s="713"/>
      <c r="AI601" s="112">
        <f>IF(H601="credit",0,IF(AE601="free",0,IF(AE601="me",0,IF(G601&gt;0,(VLOOKUP(A601,'Discount Lookup'!J:K,2)*G601),0))))</f>
        <v>0</v>
      </c>
      <c r="AJ601" s="107" t="str">
        <f t="shared" ca="1" si="444"/>
        <v/>
      </c>
      <c r="AK601" s="714" t="str">
        <f t="shared" si="445"/>
        <v/>
      </c>
      <c r="AL601" s="714"/>
      <c r="AM601" s="114" t="str">
        <f t="shared" si="446"/>
        <v/>
      </c>
      <c r="AN601" s="115"/>
      <c r="AO601" s="116"/>
      <c r="AP601" s="116"/>
      <c r="AQ601" s="116"/>
      <c r="AR601" s="116"/>
      <c r="AS601" s="116"/>
      <c r="AT601" s="116"/>
      <c r="AU601" s="116"/>
      <c r="AV601" s="78"/>
      <c r="AW601" s="102"/>
      <c r="AX601" s="78"/>
      <c r="AY601" s="78"/>
      <c r="AZ601" s="78"/>
      <c r="BA601" s="78"/>
      <c r="BB601" s="78"/>
      <c r="BC601" s="78"/>
      <c r="BD601" s="78"/>
      <c r="BE601" s="465"/>
      <c r="BF601" s="165" t="str">
        <f t="shared" si="447"/>
        <v>https://www.google.com/search?tbm=isch&amp;q=20%20G4</v>
      </c>
      <c r="BG601" s="165" t="str">
        <f t="shared" si="448"/>
        <v>B</v>
      </c>
      <c r="BH601" s="65"/>
      <c r="BI601" s="65"/>
      <c r="BJ601" s="65"/>
      <c r="BK601" s="65"/>
      <c r="BL601" s="99"/>
      <c r="BM601" s="99"/>
      <c r="BN601" s="99"/>
    </row>
    <row r="602" spans="1:66" s="51" customFormat="1" ht="16.5" thickBot="1" x14ac:dyDescent="0.3">
      <c r="A602" s="508" t="s">
        <v>1701</v>
      </c>
      <c r="B602" s="487"/>
      <c r="C602" s="707"/>
      <c r="D602" s="487"/>
      <c r="E602" s="487"/>
      <c r="F602" s="488"/>
      <c r="G602" s="489"/>
      <c r="H602" s="487"/>
      <c r="I602" s="490"/>
      <c r="J602" s="490"/>
      <c r="K602" s="491"/>
      <c r="L602" s="547"/>
      <c r="M602" s="528"/>
      <c r="N602" s="492"/>
      <c r="O602" s="493"/>
      <c r="P602" s="494"/>
      <c r="Q602" s="492"/>
      <c r="R602" s="492"/>
      <c r="S602" s="699" t="s">
        <v>5259</v>
      </c>
      <c r="T602" s="102">
        <f t="shared" si="436"/>
        <v>0</v>
      </c>
      <c r="U602" s="78" t="str">
        <f>IF(NOT(ISNUMBER(G602)), "", VLOOKUP(A602,'Discount Lookup'!D:E,2,FALSE)*G602)</f>
        <v/>
      </c>
      <c r="V602" s="78" t="str">
        <f>IF(NOT(ISNUMBER(G602)), "", VLOOKUP(A602,'Discount Lookup'!G:H,2,FALSE)*G602)</f>
        <v/>
      </c>
      <c r="W602" s="102">
        <f t="shared" si="437"/>
        <v>0</v>
      </c>
      <c r="X602" s="102">
        <f t="shared" si="438"/>
        <v>0</v>
      </c>
      <c r="Y602" s="120" t="b">
        <f t="shared" si="439"/>
        <v>0</v>
      </c>
      <c r="Z602" s="117">
        <f t="shared" si="440"/>
        <v>0</v>
      </c>
      <c r="AA602" s="118"/>
      <c r="AB602" s="118" t="str">
        <f t="shared" si="441"/>
        <v/>
      </c>
      <c r="AC602" s="712" t="str">
        <f>IF(AE602="T2G","no charge",IF(AND(OR(PlanterYesMe="No",PlanterYesMe="N",PlanterYesMe="me"),H602=""),"",IF(H602="credit","NO install",IF(AND(K602="",AE602="me"),"EACH row",IF(AND(K602="images",AE602="me"),"EACH row",IF(D602="","",IF(H602="credit","",IF(AE602="free","re-planting",IF(AE602="me","   not ELP, by",IF(AND(OR(PlanterYesMe="Yes",PlanterYesMe="Y"),G602&gt;0),(VLOOKUP(A602,'Discount Lookup'!J:K,2)*G602*(1-PlanterDiscount)*(1+PlanterDifficultyPercentage)),IF(AE602="ELP",(VLOOKUP(A602,'Discount Lookup'!J:K,2)*G602*(1-PlanterDiscount)*(1+PlanterDifficultyPercentage)),IF(AE602="free","re-planting",IF(G602=0,"",IF(PlanterYesMe="",IF(AE602="me","   not ELP, by",IF(AE602="",IF(G602&gt;0,(VLOOKUP(A602,'Discount Lookup'!J:K,2)*G602*(1-PlanterDiscount)*(1+PlanterDifficultyPercentage)),""),"")),"   not ELP, by"))))))))))))))</f>
        <v/>
      </c>
      <c r="AD602" s="712"/>
      <c r="AE602" s="513" t="str">
        <f t="shared" si="442"/>
        <v/>
      </c>
      <c r="AF602" s="713" t="str">
        <f t="shared" si="443"/>
        <v/>
      </c>
      <c r="AG602" s="713"/>
      <c r="AH602" s="713"/>
      <c r="AI602" s="112">
        <f>IF(H602="credit",0,IF(AE602="free",0,IF(AE602="me",0,IF(G602&gt;0,(VLOOKUP(A602,'Discount Lookup'!J:K,2)*G602),0))))</f>
        <v>0</v>
      </c>
      <c r="AJ602" s="107" t="str">
        <f t="shared" ca="1" si="444"/>
        <v/>
      </c>
      <c r="AK602" s="714" t="str">
        <f t="shared" si="445"/>
        <v/>
      </c>
      <c r="AL602" s="714"/>
      <c r="AM602" s="114" t="str">
        <f t="shared" si="446"/>
        <v/>
      </c>
      <c r="AN602" s="115"/>
      <c r="AO602" s="116"/>
      <c r="AP602" s="116"/>
      <c r="AQ602" s="116"/>
      <c r="AR602" s="116"/>
      <c r="AS602" s="116"/>
      <c r="AT602" s="116"/>
      <c r="AU602" s="116"/>
      <c r="AV602" s="78"/>
      <c r="AW602" s="102"/>
      <c r="AX602" s="78"/>
      <c r="AY602" s="78"/>
      <c r="AZ602" s="78"/>
      <c r="BA602" s="78"/>
      <c r="BB602" s="78"/>
      <c r="BC602" s="78"/>
      <c r="BD602" s="78"/>
      <c r="BE602" s="465"/>
      <c r="BF602" s="165" t="str">
        <f t="shared" si="447"/>
        <v>https://www.google.com/search?tbm=isch&amp;q=Common%20Boxwood%20long%20used%20in%20formal%20gardens%20for%20it%27s%20tolerance%20of%20shearing%2Fshaping.%20Slow-growing%2C%20dense%2C%20and%20ideal%20for%20hedges%20and%20borders%20</v>
      </c>
      <c r="BG602" s="165" t="str">
        <f t="shared" si="448"/>
        <v>C</v>
      </c>
      <c r="BH602" s="65"/>
      <c r="BI602" s="65"/>
      <c r="BJ602" s="65"/>
      <c r="BK602" s="65"/>
      <c r="BL602" s="99"/>
      <c r="BM602" s="99"/>
      <c r="BN602" s="99"/>
    </row>
    <row r="603" spans="1:66" s="51" customFormat="1" ht="18" x14ac:dyDescent="0.25">
      <c r="A603" s="507" t="s">
        <v>1702</v>
      </c>
      <c r="B603" s="470"/>
      <c r="C603" s="706"/>
      <c r="D603" s="471" t="s">
        <v>1703</v>
      </c>
      <c r="E603" s="472"/>
      <c r="F603" s="472"/>
      <c r="G603" s="472"/>
      <c r="H603" s="622" t="s">
        <v>1704</v>
      </c>
      <c r="I603" s="473" t="s">
        <v>430</v>
      </c>
      <c r="J603" s="472"/>
      <c r="K603" s="472"/>
      <c r="L603" s="561"/>
      <c r="M603" s="698" t="s">
        <v>5246</v>
      </c>
      <c r="N603" s="692" t="str">
        <f>IF(AND(ISTEXT($A603), ISERROR($A603+0)), HYPERLINK($BF603, "Images"), "")</f>
        <v>Images</v>
      </c>
      <c r="O603" s="694" t="s">
        <v>5244</v>
      </c>
      <c r="P603" s="475"/>
      <c r="Q603" s="476"/>
      <c r="R603" s="476"/>
      <c r="S603" s="477"/>
      <c r="T603" s="102">
        <f t="shared" si="436"/>
        <v>0</v>
      </c>
      <c r="U603" s="78" t="str">
        <f>IF(NOT(ISNUMBER(G603)), "", VLOOKUP(A603,'Discount Lookup'!D:E,2,FALSE)*G603)</f>
        <v/>
      </c>
      <c r="V603" s="78" t="str">
        <f>IF(NOT(ISNUMBER(G603)), "", VLOOKUP(A603,'Discount Lookup'!G:H,2,FALSE)*G603)</f>
        <v/>
      </c>
      <c r="W603" s="102">
        <f t="shared" si="437"/>
        <v>0</v>
      </c>
      <c r="X603" s="102" t="str">
        <f t="shared" si="438"/>
        <v>Deep Green foliage</v>
      </c>
      <c r="Y603" s="120" t="b">
        <f t="shared" si="439"/>
        <v>0</v>
      </c>
      <c r="Z603" s="117">
        <f t="shared" si="440"/>
        <v>0</v>
      </c>
      <c r="AA603" s="118"/>
      <c r="AB603" s="118" t="str">
        <f t="shared" si="441"/>
        <v/>
      </c>
      <c r="AC603" s="712" t="str">
        <f>IF(AE603="T2G","no charge",IF(AND(OR(PlanterYesMe="No",PlanterYesMe="N",PlanterYesMe="me"),H603=""),"",IF(H603="credit","NO install",IF(AND(K603="",AE603="me"),"EACH row",IF(AND(K603="images",AE603="me"),"EACH row",IF(D603="","",IF(H603="credit","",IF(AE603="free","re-planting",IF(AE603="me","   not ELP, by",IF(AND(OR(PlanterYesMe="Yes",PlanterYesMe="Y"),G603&gt;0),(VLOOKUP(A603,'Discount Lookup'!J:K,2)*G603*(1-PlanterDiscount)*(1+PlanterDifficultyPercentage)),IF(AE603="ELP",(VLOOKUP(A603,'Discount Lookup'!J:K,2)*G603*(1-PlanterDiscount)*(1+PlanterDifficultyPercentage)),IF(AE603="free","re-planting",IF(G603=0,"",IF(PlanterYesMe="",IF(AE603="me","   not ELP, by",IF(AE603="",IF(G603&gt;0,(VLOOKUP(A603,'Discount Lookup'!J:K,2)*G603*(1-PlanterDiscount)*(1+PlanterDifficultyPercentage)),""),"")),"   not ELP, by"))))))))))))))</f>
        <v/>
      </c>
      <c r="AD603" s="712"/>
      <c r="AE603" s="513" t="str">
        <f t="shared" si="442"/>
        <v/>
      </c>
      <c r="AF603" s="713" t="str">
        <f t="shared" si="443"/>
        <v/>
      </c>
      <c r="AG603" s="713"/>
      <c r="AH603" s="713"/>
      <c r="AI603" s="112">
        <f>IF(H603="credit",0,IF(AE603="free",0,IF(AE603="me",0,IF(G603&gt;0,(VLOOKUP(A603,'Discount Lookup'!J:K,2)*G603),0))))</f>
        <v>0</v>
      </c>
      <c r="AJ603" s="107" t="str">
        <f t="shared" ca="1" si="444"/>
        <v/>
      </c>
      <c r="AK603" s="714" t="str">
        <f t="shared" si="445"/>
        <v/>
      </c>
      <c r="AL603" s="714"/>
      <c r="AM603" s="114" t="str">
        <f t="shared" si="446"/>
        <v/>
      </c>
      <c r="AN603" s="115"/>
      <c r="AO603" s="116"/>
      <c r="AP603" s="116"/>
      <c r="AQ603" s="116"/>
      <c r="AR603" s="116"/>
      <c r="AS603" s="116"/>
      <c r="AT603" s="116"/>
      <c r="AU603" s="116"/>
      <c r="AV603" s="78"/>
      <c r="AW603" s="102"/>
      <c r="AX603" s="78"/>
      <c r="AY603" s="78"/>
      <c r="AZ603" s="78"/>
      <c r="BA603" s="78"/>
      <c r="BB603" s="78"/>
      <c r="BC603" s="78"/>
      <c r="BD603" s="78"/>
      <c r="BE603" s="465"/>
      <c r="BF603" s="165" t="str">
        <f t="shared" si="447"/>
        <v>https://www.google.com/search?tbm=isch&amp;q=Buxus%20sempervirens%20%27Dee%20Runk%27%20Dee%20Runk%20Boxwood</v>
      </c>
      <c r="BG603" s="165" t="str">
        <f t="shared" si="448"/>
        <v>B</v>
      </c>
      <c r="BH603" s="65"/>
      <c r="BI603" s="65"/>
      <c r="BJ603" s="65"/>
      <c r="BK603" s="65"/>
      <c r="BL603" s="99"/>
      <c r="BM603" s="99"/>
      <c r="BN603" s="99"/>
    </row>
    <row r="604" spans="1:66" s="51" customFormat="1" ht="15.75" x14ac:dyDescent="0.25">
      <c r="A604" s="478">
        <v>3</v>
      </c>
      <c r="B604" s="479" t="s">
        <v>291</v>
      </c>
      <c r="C604" s="480" t="s">
        <v>1705</v>
      </c>
      <c r="D604" s="481" t="s">
        <v>309</v>
      </c>
      <c r="E604" s="482">
        <v>40.950000000000003</v>
      </c>
      <c r="F604" s="483" t="s">
        <v>292</v>
      </c>
      <c r="G604" s="484">
        <v>0</v>
      </c>
      <c r="H604" s="688" t="str">
        <f>IF(G604=0,"",IF(F604="Buy",IF(G604=1,"plant","plants"),IF(F604&gt;0.01,"warranty","Error")))</f>
        <v/>
      </c>
      <c r="I604" s="485">
        <f>IF(H604="free",0,IF(H604="credit",((E604*(F604))*G604*-1),IF(F604="Buy",(E604*G604),((E604*(1-F604))*G604))))</f>
        <v>0</v>
      </c>
      <c r="J604" s="485">
        <f>IF(H604="warranty",0,(I604*(_xlfn.SINGLE(SalesTaxPercentage))))</f>
        <v>0</v>
      </c>
      <c r="K604" s="715">
        <f t="shared" ref="K604" si="453">I604+J604</f>
        <v>0</v>
      </c>
      <c r="L604" s="715"/>
      <c r="M604" s="689" t="str">
        <f ca="1">IF(AND(G604&gt;0,E604=0),"WARNING - no PRICE inserted",IF(H604="free","FREE ~ no charge this plant",IF(H604="credit",CONCATENATE("-$",ROUND(K604*(1-_xlfn.SINGLE(T2GDiscount))*-1,2)," CREDIT after discount"),IF(_xlfn.SINGLE(T2GDiscount)=0,"",IF(G604=0,"",IF(F604="Buy",CONCATENATE("$",ROUND(K604*(1-_xlfn.SINGLE(T2GDiscount)),2)," with ",(_xlfn.SINGLE(T2GDiscount)*100),"% discount"),CONCATENATE("$",ROUND(K604*(1-_xlfn.SINGLE(T2GDiscount)),2)," with ",((_xlfn.SINGLE(T2GDiscount)*100+F604*100)-(_xlfn.SINGLE(T2GDiscount)*100*F604)),IF(F604&gt;0,"% discounts",IF(_xlfn.SINGLE(NoWarrantyDiscount)&gt;0,"% discounts","% discount")))))))))</f>
        <v/>
      </c>
      <c r="N604" s="690"/>
      <c r="O604" s="486"/>
      <c r="P604" s="486"/>
      <c r="Q604" s="486"/>
      <c r="R604" s="486"/>
      <c r="S604" s="486"/>
      <c r="T604" s="102">
        <f t="shared" si="436"/>
        <v>0</v>
      </c>
      <c r="U604" s="78">
        <f>IF(NOT(ISNUMBER(G604)), "", VLOOKUP(A604,'Discount Lookup'!D:E,2,FALSE)*G604)</f>
        <v>0</v>
      </c>
      <c r="V604" s="78">
        <f>IF(NOT(ISNUMBER(G604)), "", VLOOKUP(A604,'Discount Lookup'!G:H,2,FALSE)*G604)</f>
        <v>0</v>
      </c>
      <c r="W604" s="102">
        <f t="shared" si="437"/>
        <v>0</v>
      </c>
      <c r="X604" s="102">
        <f t="shared" si="438"/>
        <v>0</v>
      </c>
      <c r="Y604" s="120" t="b">
        <f t="shared" si="439"/>
        <v>0</v>
      </c>
      <c r="Z604" s="117">
        <f t="shared" si="440"/>
        <v>0</v>
      </c>
      <c r="AA604" s="118"/>
      <c r="AB604" s="118" t="str">
        <f t="shared" si="441"/>
        <v/>
      </c>
      <c r="AC604" s="712" t="str">
        <f>IF(AE604="T2G","no charge",IF(AND(OR(PlanterYesMe="No",PlanterYesMe="N",PlanterYesMe="me"),H604=""),"",IF(H604="credit","NO install",IF(AND(K604="",AE604="me"),"EACH row",IF(AND(K604="images",AE604="me"),"EACH row",IF(D604="","",IF(H604="credit","",IF(AE604="free","re-planting",IF(AE604="me","   not ELP, by",IF(AND(OR(PlanterYesMe="Yes",PlanterYesMe="Y"),G604&gt;0),(VLOOKUP(A604,'Discount Lookup'!J:K,2)*G604*(1-PlanterDiscount)*(1+PlanterDifficultyPercentage)),IF(AE604="ELP",(VLOOKUP(A604,'Discount Lookup'!J:K,2)*G604*(1-PlanterDiscount)*(1+PlanterDifficultyPercentage)),IF(AE604="free","re-planting",IF(G604=0,"",IF(PlanterYesMe="",IF(AE604="me","   not ELP, by",IF(AE604="",IF(G604&gt;0,(VLOOKUP(A604,'Discount Lookup'!J:K,2)*G604*(1-PlanterDiscount)*(1+PlanterDifficultyPercentage)),""),"")),"   not ELP, by"))))))))))))))</f>
        <v/>
      </c>
      <c r="AD604" s="712"/>
      <c r="AE604" s="513" t="str">
        <f t="shared" si="442"/>
        <v/>
      </c>
      <c r="AF604" s="713" t="str">
        <f t="shared" si="443"/>
        <v/>
      </c>
      <c r="AG604" s="713"/>
      <c r="AH604" s="713"/>
      <c r="AI604" s="112">
        <f>IF(H604="credit",0,IF(AE604="free",0,IF(AE604="me",0,IF(G604&gt;0,(VLOOKUP(A604,'Discount Lookup'!J:K,2)*G604),0))))</f>
        <v>0</v>
      </c>
      <c r="AJ604" s="107" t="str">
        <f t="shared" ca="1" si="444"/>
        <v/>
      </c>
      <c r="AK604" s="714" t="str">
        <f t="shared" si="445"/>
        <v/>
      </c>
      <c r="AL604" s="714"/>
      <c r="AM604" s="114" t="str">
        <f t="shared" si="446"/>
        <v/>
      </c>
      <c r="AN604" s="115"/>
      <c r="AO604" s="116"/>
      <c r="AP604" s="116"/>
      <c r="AQ604" s="116"/>
      <c r="AR604" s="116"/>
      <c r="AS604" s="116"/>
      <c r="AT604" s="116"/>
      <c r="AU604" s="116"/>
      <c r="AV604" s="78"/>
      <c r="AW604" s="102"/>
      <c r="AX604" s="78"/>
      <c r="AY604" s="78"/>
      <c r="AZ604" s="78"/>
      <c r="BA604" s="78"/>
      <c r="BB604" s="78"/>
      <c r="BC604" s="78"/>
      <c r="BD604" s="78"/>
      <c r="BE604" s="465"/>
      <c r="BF604" s="165" t="str">
        <f t="shared" si="447"/>
        <v>https://www.google.com/search?tbm=isch&amp;q=3%20G3</v>
      </c>
      <c r="BG604" s="165" t="str">
        <f t="shared" si="448"/>
        <v>B</v>
      </c>
      <c r="BH604" s="65"/>
      <c r="BI604" s="65"/>
      <c r="BJ604" s="65"/>
      <c r="BK604" s="65"/>
      <c r="BL604" s="99"/>
      <c r="BM604" s="99"/>
      <c r="BN604" s="99"/>
    </row>
    <row r="605" spans="1:66" s="51" customFormat="1" ht="15.75" x14ac:dyDescent="0.25">
      <c r="A605" s="478">
        <v>3</v>
      </c>
      <c r="B605" s="479" t="s">
        <v>291</v>
      </c>
      <c r="C605" s="480" t="s">
        <v>1706</v>
      </c>
      <c r="D605" s="481" t="s">
        <v>311</v>
      </c>
      <c r="E605" s="482">
        <v>40.950000000000003</v>
      </c>
      <c r="F605" s="483" t="s">
        <v>292</v>
      </c>
      <c r="G605" s="484">
        <v>0</v>
      </c>
      <c r="H605" s="688" t="str">
        <f>IF(G605=0,"",IF(F605="Buy",IF(G605=1,"plant","plants"),IF(F605&gt;0.01,"warranty","Error")))</f>
        <v/>
      </c>
      <c r="I605" s="485">
        <f>IF(H605="free",0,IF(H605="credit",((E605*(F605))*G605*-1),IF(F605="Buy",(E605*G605),((E605*(1-F605))*G605))))</f>
        <v>0</v>
      </c>
      <c r="J605" s="485">
        <f>IF(H605="warranty",0,(I605*(_xlfn.SINGLE(SalesTaxPercentage))))</f>
        <v>0</v>
      </c>
      <c r="K605" s="715">
        <f t="shared" ref="K605" si="454">I605+J605</f>
        <v>0</v>
      </c>
      <c r="L605" s="715"/>
      <c r="M605" s="689" t="str">
        <f ca="1">IF(AND(G605&gt;0,E605=0),"WARNING - no PRICE inserted",IF(H605="free","FREE ~ no charge this plant",IF(H605="credit",CONCATENATE("-$",ROUND(K605*(1-_xlfn.SINGLE(T2GDiscount))*-1,2)," CREDIT after discount"),IF(_xlfn.SINGLE(T2GDiscount)=0,"",IF(G605=0,"",IF(F605="Buy",CONCATENATE("$",ROUND(K605*(1-_xlfn.SINGLE(T2GDiscount)),2)," with ",(_xlfn.SINGLE(T2GDiscount)*100),"% discount"),CONCATENATE("$",ROUND(K605*(1-_xlfn.SINGLE(T2GDiscount)),2)," with ",((_xlfn.SINGLE(T2GDiscount)*100+F605*100)-(_xlfn.SINGLE(T2GDiscount)*100*F605)),IF(F605&gt;0,"% discounts",IF(_xlfn.SINGLE(NoWarrantyDiscount)&gt;0,"% discounts","% discount")))))))))</f>
        <v/>
      </c>
      <c r="N605" s="690"/>
      <c r="O605" s="486"/>
      <c r="P605" s="486"/>
      <c r="Q605" s="486"/>
      <c r="R605" s="486"/>
      <c r="S605" s="486"/>
      <c r="T605" s="102">
        <f t="shared" si="436"/>
        <v>0</v>
      </c>
      <c r="U605" s="78">
        <f>IF(NOT(ISNUMBER(G605)), "", VLOOKUP(A605,'Discount Lookup'!D:E,2,FALSE)*G605)</f>
        <v>0</v>
      </c>
      <c r="V605" s="78">
        <f>IF(NOT(ISNUMBER(G605)), "", VLOOKUP(A605,'Discount Lookup'!G:H,2,FALSE)*G605)</f>
        <v>0</v>
      </c>
      <c r="W605" s="102">
        <f t="shared" si="437"/>
        <v>0</v>
      </c>
      <c r="X605" s="102">
        <f t="shared" si="438"/>
        <v>0</v>
      </c>
      <c r="Y605" s="120" t="b">
        <f t="shared" si="439"/>
        <v>0</v>
      </c>
      <c r="Z605" s="117">
        <f t="shared" si="440"/>
        <v>0</v>
      </c>
      <c r="AA605" s="118"/>
      <c r="AB605" s="118" t="str">
        <f t="shared" si="441"/>
        <v/>
      </c>
      <c r="AC605" s="712" t="str">
        <f>IF(AE605="T2G","no charge",IF(AND(OR(PlanterYesMe="No",PlanterYesMe="N",PlanterYesMe="me"),H605=""),"",IF(H605="credit","NO install",IF(AND(K605="",AE605="me"),"EACH row",IF(AND(K605="images",AE605="me"),"EACH row",IF(D605="","",IF(H605="credit","",IF(AE605="free","re-planting",IF(AE605="me","   not ELP, by",IF(AND(OR(PlanterYesMe="Yes",PlanterYesMe="Y"),G605&gt;0),(VLOOKUP(A605,'Discount Lookup'!J:K,2)*G605*(1-PlanterDiscount)*(1+PlanterDifficultyPercentage)),IF(AE605="ELP",(VLOOKUP(A605,'Discount Lookup'!J:K,2)*G605*(1-PlanterDiscount)*(1+PlanterDifficultyPercentage)),IF(AE605="free","re-planting",IF(G605=0,"",IF(PlanterYesMe="",IF(AE605="me","   not ELP, by",IF(AE605="",IF(G605&gt;0,(VLOOKUP(A605,'Discount Lookup'!J:K,2)*G605*(1-PlanterDiscount)*(1+PlanterDifficultyPercentage)),""),"")),"   not ELP, by"))))))))))))))</f>
        <v/>
      </c>
      <c r="AD605" s="712"/>
      <c r="AE605" s="513" t="str">
        <f t="shared" si="442"/>
        <v/>
      </c>
      <c r="AF605" s="713" t="str">
        <f t="shared" si="443"/>
        <v/>
      </c>
      <c r="AG605" s="713"/>
      <c r="AH605" s="713"/>
      <c r="AI605" s="112">
        <f>IF(H605="credit",0,IF(AE605="free",0,IF(AE605="me",0,IF(G605&gt;0,(VLOOKUP(A605,'Discount Lookup'!J:K,2)*G605),0))))</f>
        <v>0</v>
      </c>
      <c r="AJ605" s="107" t="str">
        <f t="shared" ca="1" si="444"/>
        <v/>
      </c>
      <c r="AK605" s="714" t="str">
        <f t="shared" si="445"/>
        <v/>
      </c>
      <c r="AL605" s="714"/>
      <c r="AM605" s="114" t="str">
        <f t="shared" si="446"/>
        <v/>
      </c>
      <c r="AN605" s="115"/>
      <c r="AO605" s="116"/>
      <c r="AP605" s="116"/>
      <c r="AQ605" s="116"/>
      <c r="AR605" s="116"/>
      <c r="AS605" s="116"/>
      <c r="AT605" s="116"/>
      <c r="AU605" s="116"/>
      <c r="AV605" s="78"/>
      <c r="AW605" s="102"/>
      <c r="AX605" s="78"/>
      <c r="AY605" s="78"/>
      <c r="AZ605" s="78"/>
      <c r="BA605" s="78"/>
      <c r="BB605" s="78"/>
      <c r="BC605" s="78"/>
      <c r="BD605" s="78"/>
      <c r="BE605" s="465"/>
      <c r="BF605" s="165" t="str">
        <f t="shared" si="447"/>
        <v>https://www.google.com/search?tbm=isch&amp;q=3%20G5</v>
      </c>
      <c r="BG605" s="165" t="str">
        <f t="shared" si="448"/>
        <v>B</v>
      </c>
      <c r="BH605" s="65"/>
      <c r="BI605" s="65"/>
      <c r="BJ605" s="65"/>
      <c r="BK605" s="65"/>
      <c r="BL605" s="99"/>
      <c r="BM605" s="99"/>
      <c r="BN605" s="99"/>
    </row>
    <row r="606" spans="1:66" s="51" customFormat="1" ht="15.75" x14ac:dyDescent="0.25">
      <c r="A606" s="478">
        <v>10</v>
      </c>
      <c r="B606" s="479" t="s">
        <v>291</v>
      </c>
      <c r="C606" s="480" t="s">
        <v>1707</v>
      </c>
      <c r="D606" s="481" t="s">
        <v>299</v>
      </c>
      <c r="E606" s="482">
        <v>339.95</v>
      </c>
      <c r="F606" s="483" t="s">
        <v>292</v>
      </c>
      <c r="G606" s="484">
        <v>0</v>
      </c>
      <c r="H606" s="688" t="str">
        <f>IF(G606=0,"",IF(F606="Buy",IF(G606=1,"plant","plants"),IF(F606&gt;0.01,"warranty","Error")))</f>
        <v/>
      </c>
      <c r="I606" s="485">
        <f>IF(H606="free",0,IF(H606="credit",((E606*(F606))*G606*-1),IF(F606="Buy",(E606*G606),((E606*(1-F606))*G606))))</f>
        <v>0</v>
      </c>
      <c r="J606" s="485">
        <f>IF(H606="warranty",0,(I606*(_xlfn.SINGLE(SalesTaxPercentage))))</f>
        <v>0</v>
      </c>
      <c r="K606" s="715">
        <f t="shared" ref="K606" si="455">I606+J606</f>
        <v>0</v>
      </c>
      <c r="L606" s="715"/>
      <c r="M606" s="689" t="str">
        <f ca="1">IF(AND(G606&gt;0,E606=0),"WARNING - no PRICE inserted",IF(H606="free","FREE ~ no charge this plant",IF(H606="credit",CONCATENATE("-$",ROUND(K606*(1-_xlfn.SINGLE(T2GDiscount))*-1,2)," CREDIT after discount"),IF(_xlfn.SINGLE(T2GDiscount)=0,"",IF(G606=0,"",IF(F606="Buy",CONCATENATE("$",ROUND(K606*(1-_xlfn.SINGLE(T2GDiscount)),2)," with ",(_xlfn.SINGLE(T2GDiscount)*100),"% discount"),CONCATENATE("$",ROUND(K606*(1-_xlfn.SINGLE(T2GDiscount)),2)," with ",((_xlfn.SINGLE(T2GDiscount)*100+F606*100)-(_xlfn.SINGLE(T2GDiscount)*100*F606)),IF(F606&gt;0,"% discounts",IF(_xlfn.SINGLE(NoWarrantyDiscount)&gt;0,"% discounts","% discount")))))))))</f>
        <v/>
      </c>
      <c r="N606" s="690"/>
      <c r="O606" s="486"/>
      <c r="P606" s="486"/>
      <c r="Q606" s="486"/>
      <c r="R606" s="486"/>
      <c r="S606" s="486"/>
      <c r="T606" s="102">
        <f t="shared" si="436"/>
        <v>0</v>
      </c>
      <c r="U606" s="78">
        <f>IF(NOT(ISNUMBER(G606)), "", VLOOKUP(A606,'Discount Lookup'!D:E,2,FALSE)*G606)</f>
        <v>0</v>
      </c>
      <c r="V606" s="78">
        <f>IF(NOT(ISNUMBER(G606)), "", VLOOKUP(A606,'Discount Lookup'!G:H,2,FALSE)*G606)</f>
        <v>0</v>
      </c>
      <c r="W606" s="102">
        <f t="shared" si="437"/>
        <v>0</v>
      </c>
      <c r="X606" s="102">
        <f t="shared" si="438"/>
        <v>0</v>
      </c>
      <c r="Y606" s="120" t="b">
        <f t="shared" si="439"/>
        <v>0</v>
      </c>
      <c r="Z606" s="117">
        <f t="shared" si="440"/>
        <v>0</v>
      </c>
      <c r="AA606" s="118"/>
      <c r="AB606" s="118" t="str">
        <f t="shared" si="441"/>
        <v/>
      </c>
      <c r="AC606" s="712" t="str">
        <f>IF(AE606="T2G","no charge",IF(AND(OR(PlanterYesMe="No",PlanterYesMe="N",PlanterYesMe="me"),H606=""),"",IF(H606="credit","NO install",IF(AND(K606="",AE606="me"),"EACH row",IF(AND(K606="images",AE606="me"),"EACH row",IF(D606="","",IF(H606="credit","",IF(AE606="free","re-planting",IF(AE606="me","   not ELP, by",IF(AND(OR(PlanterYesMe="Yes",PlanterYesMe="Y"),G606&gt;0),(VLOOKUP(A606,'Discount Lookup'!J:K,2)*G606*(1-PlanterDiscount)*(1+PlanterDifficultyPercentage)),IF(AE606="ELP",(VLOOKUP(A606,'Discount Lookup'!J:K,2)*G606*(1-PlanterDiscount)*(1+PlanterDifficultyPercentage)),IF(AE606="free","re-planting",IF(G606=0,"",IF(PlanterYesMe="",IF(AE606="me","   not ELP, by",IF(AE606="",IF(G606&gt;0,(VLOOKUP(A606,'Discount Lookup'!J:K,2)*G606*(1-PlanterDiscount)*(1+PlanterDifficultyPercentage)),""),"")),"   not ELP, by"))))))))))))))</f>
        <v/>
      </c>
      <c r="AD606" s="712"/>
      <c r="AE606" s="513" t="str">
        <f t="shared" si="442"/>
        <v/>
      </c>
      <c r="AF606" s="713" t="str">
        <f t="shared" si="443"/>
        <v/>
      </c>
      <c r="AG606" s="713"/>
      <c r="AH606" s="713"/>
      <c r="AI606" s="112">
        <f>IF(H606="credit",0,IF(AE606="free",0,IF(AE606="me",0,IF(G606&gt;0,(VLOOKUP(A606,'Discount Lookup'!J:K,2)*G606),0))))</f>
        <v>0</v>
      </c>
      <c r="AJ606" s="107" t="str">
        <f t="shared" ca="1" si="444"/>
        <v/>
      </c>
      <c r="AK606" s="714" t="str">
        <f t="shared" si="445"/>
        <v/>
      </c>
      <c r="AL606" s="714"/>
      <c r="AM606" s="114" t="str">
        <f t="shared" si="446"/>
        <v/>
      </c>
      <c r="AN606" s="115"/>
      <c r="AO606" s="116"/>
      <c r="AP606" s="116"/>
      <c r="AQ606" s="116"/>
      <c r="AR606" s="116"/>
      <c r="AS606" s="116"/>
      <c r="AT606" s="116"/>
      <c r="AU606" s="116"/>
      <c r="AV606" s="78"/>
      <c r="AW606" s="102"/>
      <c r="AX606" s="78"/>
      <c r="AY606" s="78"/>
      <c r="AZ606" s="78"/>
      <c r="BA606" s="78"/>
      <c r="BB606" s="78"/>
      <c r="BC606" s="78"/>
      <c r="BD606" s="78"/>
      <c r="BE606" s="465"/>
      <c r="BF606" s="165" t="str">
        <f t="shared" si="447"/>
        <v>https://www.google.com/search?tbm=isch&amp;q=10%20G4</v>
      </c>
      <c r="BG606" s="165" t="str">
        <f t="shared" si="448"/>
        <v>B</v>
      </c>
      <c r="BH606" s="65"/>
      <c r="BI606" s="65"/>
      <c r="BJ606" s="65"/>
      <c r="BK606" s="65"/>
      <c r="BL606" s="99"/>
      <c r="BM606" s="99"/>
      <c r="BN606" s="99"/>
    </row>
    <row r="607" spans="1:66" s="51" customFormat="1" ht="15.75" x14ac:dyDescent="0.25">
      <c r="A607" s="478">
        <v>20</v>
      </c>
      <c r="B607" s="479" t="s">
        <v>291</v>
      </c>
      <c r="C607" s="480" t="s">
        <v>1708</v>
      </c>
      <c r="D607" s="481" t="s">
        <v>299</v>
      </c>
      <c r="E607" s="482">
        <v>454.95</v>
      </c>
      <c r="F607" s="483" t="s">
        <v>292</v>
      </c>
      <c r="G607" s="484">
        <v>0</v>
      </c>
      <c r="H607" s="688" t="str">
        <f>IF(G607=0,"",IF(F607="Buy",IF(G607=1,"plant","plants"),IF(F607&gt;0.01,"warranty","Error")))</f>
        <v/>
      </c>
      <c r="I607" s="485">
        <f>IF(H607="free",0,IF(H607="credit",((E607*(F607))*G607*-1),IF(F607="Buy",(E607*G607),((E607*(1-F607))*G607))))</f>
        <v>0</v>
      </c>
      <c r="J607" s="485">
        <f>IF(H607="warranty",0,(I607*(_xlfn.SINGLE(SalesTaxPercentage))))</f>
        <v>0</v>
      </c>
      <c r="K607" s="715">
        <f t="shared" ref="K607" si="456">I607+J607</f>
        <v>0</v>
      </c>
      <c r="L607" s="715"/>
      <c r="M607" s="689" t="str">
        <f ca="1">IF(AND(G607&gt;0,E607=0),"WARNING - no PRICE inserted",IF(H607="free","FREE ~ no charge this plant",IF(H607="credit",CONCATENATE("-$",ROUND(K607*(1-_xlfn.SINGLE(T2GDiscount))*-1,2)," CREDIT after discount"),IF(_xlfn.SINGLE(T2GDiscount)=0,"",IF(G607=0,"",IF(F607="Buy",CONCATENATE("$",ROUND(K607*(1-_xlfn.SINGLE(T2GDiscount)),2)," with ",(_xlfn.SINGLE(T2GDiscount)*100),"% discount"),CONCATENATE("$",ROUND(K607*(1-_xlfn.SINGLE(T2GDiscount)),2)," with ",((_xlfn.SINGLE(T2GDiscount)*100+F607*100)-(_xlfn.SINGLE(T2GDiscount)*100*F607)),IF(F607&gt;0,"% discounts",IF(_xlfn.SINGLE(NoWarrantyDiscount)&gt;0,"% discounts","% discount")))))))))</f>
        <v/>
      </c>
      <c r="N607" s="690"/>
      <c r="O607" s="486"/>
      <c r="P607" s="486"/>
      <c r="Q607" s="486"/>
      <c r="R607" s="486"/>
      <c r="S607" s="486"/>
      <c r="T607" s="102">
        <f t="shared" si="436"/>
        <v>0</v>
      </c>
      <c r="U607" s="78">
        <f>IF(NOT(ISNUMBER(G607)), "", VLOOKUP(A607,'Discount Lookup'!D:E,2,FALSE)*G607)</f>
        <v>0</v>
      </c>
      <c r="V607" s="78">
        <f>IF(NOT(ISNUMBER(G607)), "", VLOOKUP(A607,'Discount Lookup'!G:H,2,FALSE)*G607)</f>
        <v>0</v>
      </c>
      <c r="W607" s="102">
        <f t="shared" si="437"/>
        <v>0</v>
      </c>
      <c r="X607" s="102">
        <f t="shared" si="438"/>
        <v>0</v>
      </c>
      <c r="Y607" s="120" t="b">
        <f t="shared" si="439"/>
        <v>0</v>
      </c>
      <c r="Z607" s="117">
        <f t="shared" si="440"/>
        <v>0</v>
      </c>
      <c r="AA607" s="118"/>
      <c r="AB607" s="118" t="str">
        <f t="shared" si="441"/>
        <v/>
      </c>
      <c r="AC607" s="712" t="str">
        <f>IF(AE607="T2G","no charge",IF(AND(OR(PlanterYesMe="No",PlanterYesMe="N",PlanterYesMe="me"),H607=""),"",IF(H607="credit","NO install",IF(AND(K607="",AE607="me"),"EACH row",IF(AND(K607="images",AE607="me"),"EACH row",IF(D607="","",IF(H607="credit","",IF(AE607="free","re-planting",IF(AE607="me","   not ELP, by",IF(AND(OR(PlanterYesMe="Yes",PlanterYesMe="Y"),G607&gt;0),(VLOOKUP(A607,'Discount Lookup'!J:K,2)*G607*(1-PlanterDiscount)*(1+PlanterDifficultyPercentage)),IF(AE607="ELP",(VLOOKUP(A607,'Discount Lookup'!J:K,2)*G607*(1-PlanterDiscount)*(1+PlanterDifficultyPercentage)),IF(AE607="free","re-planting",IF(G607=0,"",IF(PlanterYesMe="",IF(AE607="me","   not ELP, by",IF(AE607="",IF(G607&gt;0,(VLOOKUP(A607,'Discount Lookup'!J:K,2)*G607*(1-PlanterDiscount)*(1+PlanterDifficultyPercentage)),""),"")),"   not ELP, by"))))))))))))))</f>
        <v/>
      </c>
      <c r="AD607" s="712"/>
      <c r="AE607" s="513" t="str">
        <f t="shared" si="442"/>
        <v/>
      </c>
      <c r="AF607" s="713" t="str">
        <f t="shared" si="443"/>
        <v/>
      </c>
      <c r="AG607" s="713"/>
      <c r="AH607" s="713"/>
      <c r="AI607" s="112">
        <f>IF(H607="credit",0,IF(AE607="free",0,IF(AE607="me",0,IF(G607&gt;0,(VLOOKUP(A607,'Discount Lookup'!J:K,2)*G607),0))))</f>
        <v>0</v>
      </c>
      <c r="AJ607" s="107" t="str">
        <f t="shared" ca="1" si="444"/>
        <v/>
      </c>
      <c r="AK607" s="714" t="str">
        <f t="shared" si="445"/>
        <v/>
      </c>
      <c r="AL607" s="714"/>
      <c r="AM607" s="114" t="str">
        <f t="shared" si="446"/>
        <v/>
      </c>
      <c r="AN607" s="115"/>
      <c r="AO607" s="116"/>
      <c r="AP607" s="116"/>
      <c r="AQ607" s="116"/>
      <c r="AR607" s="116"/>
      <c r="AS607" s="116"/>
      <c r="AT607" s="116"/>
      <c r="AU607" s="116"/>
      <c r="AV607" s="78"/>
      <c r="AW607" s="102"/>
      <c r="AX607" s="78"/>
      <c r="AY607" s="78"/>
      <c r="AZ607" s="78"/>
      <c r="BA607" s="78"/>
      <c r="BB607" s="78"/>
      <c r="BC607" s="78"/>
      <c r="BD607" s="78"/>
      <c r="BE607" s="465"/>
      <c r="BF607" s="165" t="str">
        <f t="shared" si="447"/>
        <v>https://www.google.com/search?tbm=isch&amp;q=20%20G4</v>
      </c>
      <c r="BG607" s="165" t="str">
        <f t="shared" si="448"/>
        <v>B</v>
      </c>
      <c r="BH607" s="65"/>
      <c r="BI607" s="65"/>
      <c r="BJ607" s="65"/>
      <c r="BK607" s="65"/>
      <c r="BL607" s="99"/>
      <c r="BM607" s="99"/>
      <c r="BN607" s="99"/>
    </row>
    <row r="608" spans="1:66" s="51" customFormat="1" ht="16.5" thickBot="1" x14ac:dyDescent="0.3">
      <c r="A608" s="508" t="s">
        <v>1709</v>
      </c>
      <c r="B608" s="487"/>
      <c r="C608" s="707"/>
      <c r="D608" s="487"/>
      <c r="E608" s="487"/>
      <c r="F608" s="488"/>
      <c r="G608" s="489"/>
      <c r="H608" s="487"/>
      <c r="I608" s="490"/>
      <c r="J608" s="490"/>
      <c r="K608" s="491"/>
      <c r="L608" s="547"/>
      <c r="M608" s="528"/>
      <c r="N608" s="492"/>
      <c r="O608" s="493"/>
      <c r="P608" s="494"/>
      <c r="Q608" s="492"/>
      <c r="R608" s="492"/>
      <c r="S608" s="699" t="s">
        <v>5259</v>
      </c>
      <c r="T608" s="102">
        <f t="shared" si="436"/>
        <v>0</v>
      </c>
      <c r="U608" s="78" t="str">
        <f>IF(NOT(ISNUMBER(G608)), "", VLOOKUP(A608,'Discount Lookup'!D:E,2,FALSE)*G608)</f>
        <v/>
      </c>
      <c r="V608" s="78" t="str">
        <f>IF(NOT(ISNUMBER(G608)), "", VLOOKUP(A608,'Discount Lookup'!G:H,2,FALSE)*G608)</f>
        <v/>
      </c>
      <c r="W608" s="102">
        <f t="shared" si="437"/>
        <v>0</v>
      </c>
      <c r="X608" s="102">
        <f t="shared" si="438"/>
        <v>0</v>
      </c>
      <c r="Y608" s="120" t="b">
        <f t="shared" si="439"/>
        <v>0</v>
      </c>
      <c r="Z608" s="117">
        <f t="shared" si="440"/>
        <v>0</v>
      </c>
      <c r="AA608" s="118"/>
      <c r="AB608" s="118" t="str">
        <f t="shared" si="441"/>
        <v/>
      </c>
      <c r="AC608" s="712" t="str">
        <f>IF(AE608="T2G","no charge",IF(AND(OR(PlanterYesMe="No",PlanterYesMe="N",PlanterYesMe="me"),H608=""),"",IF(H608="credit","NO install",IF(AND(K608="",AE608="me"),"EACH row",IF(AND(K608="images",AE608="me"),"EACH row",IF(D608="","",IF(H608="credit","",IF(AE608="free","re-planting",IF(AE608="me","   not ELP, by",IF(AND(OR(PlanterYesMe="Yes",PlanterYesMe="Y"),G608&gt;0),(VLOOKUP(A608,'Discount Lookup'!J:K,2)*G608*(1-PlanterDiscount)*(1+PlanterDifficultyPercentage)),IF(AE608="ELP",(VLOOKUP(A608,'Discount Lookup'!J:K,2)*G608*(1-PlanterDiscount)*(1+PlanterDifficultyPercentage)),IF(AE608="free","re-planting",IF(G608=0,"",IF(PlanterYesMe="",IF(AE608="me","   not ELP, by",IF(AE608="",IF(G608&gt;0,(VLOOKUP(A608,'Discount Lookup'!J:K,2)*G608*(1-PlanterDiscount)*(1+PlanterDifficultyPercentage)),""),"")),"   not ELP, by"))))))))))))))</f>
        <v/>
      </c>
      <c r="AD608" s="712"/>
      <c r="AE608" s="513" t="str">
        <f t="shared" si="442"/>
        <v/>
      </c>
      <c r="AF608" s="713" t="str">
        <f t="shared" si="443"/>
        <v/>
      </c>
      <c r="AG608" s="713"/>
      <c r="AH608" s="713"/>
      <c r="AI608" s="112">
        <f>IF(H608="credit",0,IF(AE608="free",0,IF(AE608="me",0,IF(G608&gt;0,(VLOOKUP(A608,'Discount Lookup'!J:K,2)*G608),0))))</f>
        <v>0</v>
      </c>
      <c r="AJ608" s="107" t="str">
        <f t="shared" ca="1" si="444"/>
        <v/>
      </c>
      <c r="AK608" s="714" t="str">
        <f t="shared" si="445"/>
        <v/>
      </c>
      <c r="AL608" s="714"/>
      <c r="AM608" s="114" t="str">
        <f t="shared" si="446"/>
        <v/>
      </c>
      <c r="AN608" s="115"/>
      <c r="AO608" s="116"/>
      <c r="AP608" s="116"/>
      <c r="AQ608" s="116"/>
      <c r="AR608" s="116"/>
      <c r="AS608" s="116"/>
      <c r="AT608" s="116"/>
      <c r="AU608" s="116"/>
      <c r="AV608" s="78"/>
      <c r="AW608" s="102"/>
      <c r="AX608" s="78"/>
      <c r="AY608" s="78"/>
      <c r="AZ608" s="78"/>
      <c r="BA608" s="78"/>
      <c r="BB608" s="78"/>
      <c r="BC608" s="78"/>
      <c r="BD608" s="78"/>
      <c r="BE608" s="465"/>
      <c r="BF608" s="165" t="str">
        <f t="shared" si="447"/>
        <v>https://www.google.com/search?tbm=isch&amp;q=Dee%20Runk%20maintains%20vertical%20structure%20with%20minimal%20pruning.%20Good%20disease%20resistance.%20Slow-growing%2C%20dense%2C%20and%20ideal%20for%20hedges%20and%20borders%20</v>
      </c>
      <c r="BG608" s="165" t="str">
        <f t="shared" si="448"/>
        <v>D</v>
      </c>
      <c r="BH608" s="65"/>
      <c r="BI608" s="65"/>
      <c r="BJ608" s="65"/>
      <c r="BK608" s="65"/>
      <c r="BL608" s="99"/>
      <c r="BM608" s="99"/>
      <c r="BN608" s="99"/>
    </row>
    <row r="609" spans="1:66" s="51" customFormat="1" ht="18" x14ac:dyDescent="0.25">
      <c r="A609" s="507" t="s">
        <v>1710</v>
      </c>
      <c r="B609" s="470"/>
      <c r="C609" s="706"/>
      <c r="D609" s="471" t="s">
        <v>1711</v>
      </c>
      <c r="E609" s="472"/>
      <c r="F609" s="472"/>
      <c r="G609" s="472"/>
      <c r="H609" s="622" t="s">
        <v>1528</v>
      </c>
      <c r="I609" s="473" t="s">
        <v>1712</v>
      </c>
      <c r="J609" s="472"/>
      <c r="K609" s="472"/>
      <c r="L609" s="561"/>
      <c r="M609" s="698" t="s">
        <v>5246</v>
      </c>
      <c r="N609" s="692" t="str">
        <f>IF(AND(ISTEXT($A609), ISERROR($A609+0)), HYPERLINK($BF609, "Images"), "")</f>
        <v>Images</v>
      </c>
      <c r="O609" s="694" t="s">
        <v>5244</v>
      </c>
      <c r="P609" s="475"/>
      <c r="Q609" s="476"/>
      <c r="R609" s="476"/>
      <c r="S609" s="477"/>
      <c r="T609" s="102">
        <f t="shared" si="436"/>
        <v>0</v>
      </c>
      <c r="U609" s="78" t="str">
        <f>IF(NOT(ISNUMBER(G609)), "", VLOOKUP(A609,'Discount Lookup'!D:E,2,FALSE)*G609)</f>
        <v/>
      </c>
      <c r="V609" s="78" t="str">
        <f>IF(NOT(ISNUMBER(G609)), "", VLOOKUP(A609,'Discount Lookup'!G:H,2,FALSE)*G609)</f>
        <v/>
      </c>
      <c r="W609" s="102">
        <f t="shared" si="437"/>
        <v>0</v>
      </c>
      <c r="X609" s="102" t="str">
        <f t="shared" si="438"/>
        <v>Dark Green &amp; White</v>
      </c>
      <c r="Y609" s="120" t="b">
        <f t="shared" si="439"/>
        <v>0</v>
      </c>
      <c r="Z609" s="117">
        <f t="shared" si="440"/>
        <v>0</v>
      </c>
      <c r="AA609" s="118"/>
      <c r="AB609" s="118" t="str">
        <f t="shared" si="441"/>
        <v/>
      </c>
      <c r="AC609" s="712" t="str">
        <f>IF(AE609="T2G","no charge",IF(AND(OR(PlanterYesMe="No",PlanterYesMe="N",PlanterYesMe="me"),H609=""),"",IF(H609="credit","NO install",IF(AND(K609="",AE609="me"),"EACH row",IF(AND(K609="images",AE609="me"),"EACH row",IF(D609="","",IF(H609="credit","",IF(AE609="free","re-planting",IF(AE609="me","   not ELP, by",IF(AND(OR(PlanterYesMe="Yes",PlanterYesMe="Y"),G609&gt;0),(VLOOKUP(A609,'Discount Lookup'!J:K,2)*G609*(1-PlanterDiscount)*(1+PlanterDifficultyPercentage)),IF(AE609="ELP",(VLOOKUP(A609,'Discount Lookup'!J:K,2)*G609*(1-PlanterDiscount)*(1+PlanterDifficultyPercentage)),IF(AE609="free","re-planting",IF(G609=0,"",IF(PlanterYesMe="",IF(AE609="me","   not ELP, by",IF(AE609="",IF(G609&gt;0,(VLOOKUP(A609,'Discount Lookup'!J:K,2)*G609*(1-PlanterDiscount)*(1+PlanterDifficultyPercentage)),""),"")),"   not ELP, by"))))))))))))))</f>
        <v/>
      </c>
      <c r="AD609" s="712"/>
      <c r="AE609" s="513" t="str">
        <f t="shared" si="442"/>
        <v/>
      </c>
      <c r="AF609" s="713" t="str">
        <f t="shared" si="443"/>
        <v/>
      </c>
      <c r="AG609" s="713"/>
      <c r="AH609" s="713"/>
      <c r="AI609" s="112">
        <f>IF(H609="credit",0,IF(AE609="free",0,IF(AE609="me",0,IF(G609&gt;0,(VLOOKUP(A609,'Discount Lookup'!J:K,2)*G609),0))))</f>
        <v>0</v>
      </c>
      <c r="AJ609" s="107" t="str">
        <f t="shared" ca="1" si="444"/>
        <v/>
      </c>
      <c r="AK609" s="714" t="str">
        <f t="shared" si="445"/>
        <v/>
      </c>
      <c r="AL609" s="714"/>
      <c r="AM609" s="114" t="str">
        <f t="shared" si="446"/>
        <v/>
      </c>
      <c r="AN609" s="115"/>
      <c r="AO609" s="116"/>
      <c r="AP609" s="116"/>
      <c r="AQ609" s="116"/>
      <c r="AR609" s="116"/>
      <c r="AS609" s="116"/>
      <c r="AT609" s="116"/>
      <c r="AU609" s="116"/>
      <c r="AV609" s="78"/>
      <c r="AW609" s="102"/>
      <c r="AX609" s="78"/>
      <c r="AY609" s="78"/>
      <c r="AZ609" s="78"/>
      <c r="BA609" s="78"/>
      <c r="BB609" s="78"/>
      <c r="BC609" s="78"/>
      <c r="BD609" s="78"/>
      <c r="BE609" s="465"/>
      <c r="BF609" s="165" t="str">
        <f t="shared" si="447"/>
        <v>https://www.google.com/search?tbm=isch&amp;q=Buxus%20sempervirens%20%27Variegata%27%20Variegated%20English%20Boxwood</v>
      </c>
      <c r="BG609" s="165" t="str">
        <f t="shared" si="448"/>
        <v>B</v>
      </c>
      <c r="BH609" s="65"/>
      <c r="BI609" s="65"/>
      <c r="BJ609" s="65"/>
      <c r="BK609" s="65"/>
      <c r="BL609" s="99"/>
      <c r="BM609" s="99"/>
      <c r="BN609" s="99"/>
    </row>
    <row r="610" spans="1:66" s="51" customFormat="1" ht="15.75" x14ac:dyDescent="0.25">
      <c r="A610" s="478">
        <v>5</v>
      </c>
      <c r="B610" s="479" t="s">
        <v>291</v>
      </c>
      <c r="C610" s="480" t="s">
        <v>1713</v>
      </c>
      <c r="D610" s="481" t="s">
        <v>299</v>
      </c>
      <c r="E610" s="482">
        <v>91.95</v>
      </c>
      <c r="F610" s="483" t="s">
        <v>292</v>
      </c>
      <c r="G610" s="484">
        <v>0</v>
      </c>
      <c r="H610" s="688" t="str">
        <f>IF(G610=0,"",IF(F610="Buy",IF(G610=1,"plant","plants"),IF(F610&gt;0.01,"warranty","Error")))</f>
        <v/>
      </c>
      <c r="I610" s="485">
        <f>IF(H610="free",0,IF(H610="credit",((E610*(F610))*G610*-1),IF(F610="Buy",(E610*G610),((E610*(1-F610))*G610))))</f>
        <v>0</v>
      </c>
      <c r="J610" s="485">
        <f>IF(H610="warranty",0,(I610*(_xlfn.SINGLE(SalesTaxPercentage))))</f>
        <v>0</v>
      </c>
      <c r="K610" s="715">
        <f t="shared" ref="K610" si="457">I610+J610</f>
        <v>0</v>
      </c>
      <c r="L610" s="715"/>
      <c r="M610" s="689" t="str">
        <f ca="1">IF(AND(G610&gt;0,E610=0),"WARNING - no PRICE inserted",IF(H610="free","FREE ~ no charge this plant",IF(H610="credit",CONCATENATE("-$",ROUND(K610*(1-_xlfn.SINGLE(T2GDiscount))*-1,2)," CREDIT after discount"),IF(_xlfn.SINGLE(T2GDiscount)=0,"",IF(G610=0,"",IF(F610="Buy",CONCATENATE("$",ROUND(K610*(1-_xlfn.SINGLE(T2GDiscount)),2)," with ",(_xlfn.SINGLE(T2GDiscount)*100),"% discount"),CONCATENATE("$",ROUND(K610*(1-_xlfn.SINGLE(T2GDiscount)),2)," with ",((_xlfn.SINGLE(T2GDiscount)*100+F610*100)-(_xlfn.SINGLE(T2GDiscount)*100*F610)),IF(F610&gt;0,"% discounts",IF(_xlfn.SINGLE(NoWarrantyDiscount)&gt;0,"% discounts","% discount")))))))))</f>
        <v/>
      </c>
      <c r="N610" s="690"/>
      <c r="O610" s="486"/>
      <c r="P610" s="486"/>
      <c r="Q610" s="486"/>
      <c r="R610" s="486"/>
      <c r="S610" s="486"/>
      <c r="T610" s="102">
        <f t="shared" si="436"/>
        <v>0</v>
      </c>
      <c r="U610" s="78">
        <f>IF(NOT(ISNUMBER(G610)), "", VLOOKUP(A610,'Discount Lookup'!D:E,2,FALSE)*G610)</f>
        <v>0</v>
      </c>
      <c r="V610" s="78">
        <f>IF(NOT(ISNUMBER(G610)), "", VLOOKUP(A610,'Discount Lookup'!G:H,2,FALSE)*G610)</f>
        <v>0</v>
      </c>
      <c r="W610" s="102">
        <f t="shared" si="437"/>
        <v>0</v>
      </c>
      <c r="X610" s="102">
        <f t="shared" si="438"/>
        <v>0</v>
      </c>
      <c r="Y610" s="120" t="b">
        <f t="shared" si="439"/>
        <v>0</v>
      </c>
      <c r="Z610" s="117">
        <f t="shared" si="440"/>
        <v>0</v>
      </c>
      <c r="AA610" s="118"/>
      <c r="AB610" s="118" t="str">
        <f t="shared" si="441"/>
        <v/>
      </c>
      <c r="AC610" s="712" t="str">
        <f>IF(AE610="T2G","no charge",IF(AND(OR(PlanterYesMe="No",PlanterYesMe="N",PlanterYesMe="me"),H610=""),"",IF(H610="credit","NO install",IF(AND(K610="",AE610="me"),"EACH row",IF(AND(K610="images",AE610="me"),"EACH row",IF(D610="","",IF(H610="credit","",IF(AE610="free","re-planting",IF(AE610="me","   not ELP, by",IF(AND(OR(PlanterYesMe="Yes",PlanterYesMe="Y"),G610&gt;0),(VLOOKUP(A610,'Discount Lookup'!J:K,2)*G610*(1-PlanterDiscount)*(1+PlanterDifficultyPercentage)),IF(AE610="ELP",(VLOOKUP(A610,'Discount Lookup'!J:K,2)*G610*(1-PlanterDiscount)*(1+PlanterDifficultyPercentage)),IF(AE610="free","re-planting",IF(G610=0,"",IF(PlanterYesMe="",IF(AE610="me","   not ELP, by",IF(AE610="",IF(G610&gt;0,(VLOOKUP(A610,'Discount Lookup'!J:K,2)*G610*(1-PlanterDiscount)*(1+PlanterDifficultyPercentage)),""),"")),"   not ELP, by"))))))))))))))</f>
        <v/>
      </c>
      <c r="AD610" s="712"/>
      <c r="AE610" s="513" t="str">
        <f t="shared" si="442"/>
        <v/>
      </c>
      <c r="AF610" s="713" t="str">
        <f t="shared" si="443"/>
        <v/>
      </c>
      <c r="AG610" s="713"/>
      <c r="AH610" s="713"/>
      <c r="AI610" s="112">
        <f>IF(H610="credit",0,IF(AE610="free",0,IF(AE610="me",0,IF(G610&gt;0,(VLOOKUP(A610,'Discount Lookup'!J:K,2)*G610),0))))</f>
        <v>0</v>
      </c>
      <c r="AJ610" s="107" t="str">
        <f t="shared" ca="1" si="444"/>
        <v/>
      </c>
      <c r="AK610" s="714" t="str">
        <f t="shared" si="445"/>
        <v/>
      </c>
      <c r="AL610" s="714"/>
      <c r="AM610" s="114" t="str">
        <f t="shared" si="446"/>
        <v/>
      </c>
      <c r="AN610" s="115"/>
      <c r="AO610" s="116"/>
      <c r="AP610" s="116"/>
      <c r="AQ610" s="116"/>
      <c r="AR610" s="116"/>
      <c r="AS610" s="116"/>
      <c r="AT610" s="116"/>
      <c r="AU610" s="116"/>
      <c r="AV610" s="78"/>
      <c r="AW610" s="102"/>
      <c r="AX610" s="78"/>
      <c r="AY610" s="78"/>
      <c r="AZ610" s="78"/>
      <c r="BA610" s="78"/>
      <c r="BB610" s="78"/>
      <c r="BC610" s="78"/>
      <c r="BD610" s="78"/>
      <c r="BE610" s="465"/>
      <c r="BF610" s="165" t="str">
        <f t="shared" si="447"/>
        <v>https://www.google.com/search?tbm=isch&amp;q=5%20G4</v>
      </c>
      <c r="BG610" s="165" t="str">
        <f t="shared" si="448"/>
        <v>B</v>
      </c>
      <c r="BH610" s="65"/>
      <c r="BI610" s="65"/>
      <c r="BJ610" s="65"/>
      <c r="BK610" s="65"/>
      <c r="BL610" s="99"/>
      <c r="BM610" s="99"/>
      <c r="BN610" s="99"/>
    </row>
    <row r="611" spans="1:66" s="51" customFormat="1" ht="16.5" thickBot="1" x14ac:dyDescent="0.3">
      <c r="A611" s="508" t="s">
        <v>1714</v>
      </c>
      <c r="B611" s="487"/>
      <c r="C611" s="707"/>
      <c r="D611" s="487"/>
      <c r="E611" s="487"/>
      <c r="F611" s="488"/>
      <c r="G611" s="489"/>
      <c r="H611" s="487"/>
      <c r="I611" s="490"/>
      <c r="J611" s="490"/>
      <c r="K611" s="491"/>
      <c r="L611" s="547"/>
      <c r="M611" s="528"/>
      <c r="N611" s="492"/>
      <c r="O611" s="493"/>
      <c r="P611" s="494"/>
      <c r="Q611" s="492"/>
      <c r="R611" s="492"/>
      <c r="S611" s="699" t="s">
        <v>5259</v>
      </c>
      <c r="T611" s="102">
        <f t="shared" si="436"/>
        <v>0</v>
      </c>
      <c r="U611" s="78" t="str">
        <f>IF(NOT(ISNUMBER(G611)), "", VLOOKUP(A611,'Discount Lookup'!D:E,2,FALSE)*G611)</f>
        <v/>
      </c>
      <c r="V611" s="78" t="str">
        <f>IF(NOT(ISNUMBER(G611)), "", VLOOKUP(A611,'Discount Lookup'!G:H,2,FALSE)*G611)</f>
        <v/>
      </c>
      <c r="W611" s="102">
        <f t="shared" si="437"/>
        <v>0</v>
      </c>
      <c r="X611" s="102">
        <f t="shared" si="438"/>
        <v>0</v>
      </c>
      <c r="Y611" s="120" t="b">
        <f t="shared" si="439"/>
        <v>0</v>
      </c>
      <c r="Z611" s="117">
        <f t="shared" si="440"/>
        <v>0</v>
      </c>
      <c r="AA611" s="118"/>
      <c r="AB611" s="118" t="str">
        <f t="shared" si="441"/>
        <v/>
      </c>
      <c r="AC611" s="712" t="str">
        <f>IF(AE611="T2G","no charge",IF(AND(OR(PlanterYesMe="No",PlanterYesMe="N",PlanterYesMe="me"),H611=""),"",IF(H611="credit","NO install",IF(AND(K611="",AE611="me"),"EACH row",IF(AND(K611="images",AE611="me"),"EACH row",IF(D611="","",IF(H611="credit","",IF(AE611="free","re-planting",IF(AE611="me","   not ELP, by",IF(AND(OR(PlanterYesMe="Yes",PlanterYesMe="Y"),G611&gt;0),(VLOOKUP(A611,'Discount Lookup'!J:K,2)*G611*(1-PlanterDiscount)*(1+PlanterDifficultyPercentage)),IF(AE611="ELP",(VLOOKUP(A611,'Discount Lookup'!J:K,2)*G611*(1-PlanterDiscount)*(1+PlanterDifficultyPercentage)),IF(AE611="free","re-planting",IF(G611=0,"",IF(PlanterYesMe="",IF(AE611="me","   not ELP, by",IF(AE611="",IF(G611&gt;0,(VLOOKUP(A611,'Discount Lookup'!J:K,2)*G611*(1-PlanterDiscount)*(1+PlanterDifficultyPercentage)),""),"")),"   not ELP, by"))))))))))))))</f>
        <v/>
      </c>
      <c r="AD611" s="712"/>
      <c r="AE611" s="513" t="str">
        <f t="shared" si="442"/>
        <v/>
      </c>
      <c r="AF611" s="713" t="str">
        <f t="shared" si="443"/>
        <v/>
      </c>
      <c r="AG611" s="713"/>
      <c r="AH611" s="713"/>
      <c r="AI611" s="112">
        <f>IF(H611="credit",0,IF(AE611="free",0,IF(AE611="me",0,IF(G611&gt;0,(VLOOKUP(A611,'Discount Lookup'!J:K,2)*G611),0))))</f>
        <v>0</v>
      </c>
      <c r="AJ611" s="107" t="str">
        <f t="shared" ca="1" si="444"/>
        <v/>
      </c>
      <c r="AK611" s="714" t="str">
        <f t="shared" si="445"/>
        <v/>
      </c>
      <c r="AL611" s="714"/>
      <c r="AM611" s="114" t="str">
        <f t="shared" si="446"/>
        <v/>
      </c>
      <c r="AN611" s="115"/>
      <c r="AO611" s="116"/>
      <c r="AP611" s="116"/>
      <c r="AQ611" s="116"/>
      <c r="AR611" s="116"/>
      <c r="AS611" s="116"/>
      <c r="AT611" s="116"/>
      <c r="AU611" s="116"/>
      <c r="AV611" s="78"/>
      <c r="AW611" s="102"/>
      <c r="AX611" s="78"/>
      <c r="AY611" s="78"/>
      <c r="AZ611" s="78"/>
      <c r="BA611" s="78"/>
      <c r="BB611" s="78"/>
      <c r="BC611" s="78"/>
      <c r="BD611" s="78"/>
      <c r="BE611" s="465"/>
      <c r="BF611" s="165" t="str">
        <f t="shared" si="447"/>
        <v>https://www.google.com/search?tbm=isch&amp;q=Variegated%20English%20has%20Creamy-White%20margins%20on%20leaves.%20Mild%20winter%20bronzing.%20Slow-growing%2C%20dense%2C%20and%20ideal%20for%20hedges%20and%20borders%20</v>
      </c>
      <c r="BG611" s="165" t="str">
        <f t="shared" si="448"/>
        <v>V</v>
      </c>
      <c r="BH611" s="65"/>
      <c r="BI611" s="65"/>
      <c r="BJ611" s="65"/>
      <c r="BK611" s="65"/>
      <c r="BL611" s="99"/>
      <c r="BM611" s="99"/>
      <c r="BN611" s="99"/>
    </row>
    <row r="612" spans="1:66" s="51" customFormat="1" ht="18" x14ac:dyDescent="0.25">
      <c r="A612" s="507" t="s">
        <v>1715</v>
      </c>
      <c r="B612" s="470"/>
      <c r="C612" s="706"/>
      <c r="D612" s="471" t="s">
        <v>5604</v>
      </c>
      <c r="E612" s="472"/>
      <c r="F612" s="472"/>
      <c r="G612" s="472"/>
      <c r="H612" s="622" t="s">
        <v>1124</v>
      </c>
      <c r="I612" s="473" t="s">
        <v>1539</v>
      </c>
      <c r="J612" s="472"/>
      <c r="K612" s="472"/>
      <c r="L612" s="561"/>
      <c r="M612" s="698" t="s">
        <v>5246</v>
      </c>
      <c r="N612" s="692" t="str">
        <f>IF(AND(ISTEXT($A612), ISERROR($A612+0)), HYPERLINK($BF612, "Images"), "")</f>
        <v>Images</v>
      </c>
      <c r="O612" s="694" t="s">
        <v>5244</v>
      </c>
      <c r="P612" s="475"/>
      <c r="Q612" s="476"/>
      <c r="R612" s="476"/>
      <c r="S612" s="477"/>
      <c r="T612" s="102">
        <f t="shared" si="436"/>
        <v>0</v>
      </c>
      <c r="U612" s="78" t="str">
        <f>IF(NOT(ISNUMBER(G612)), "", VLOOKUP(A612,'Discount Lookup'!D:E,2,FALSE)*G612)</f>
        <v/>
      </c>
      <c r="V612" s="78" t="str">
        <f>IF(NOT(ISNUMBER(G612)), "", VLOOKUP(A612,'Discount Lookup'!G:H,2,FALSE)*G612)</f>
        <v/>
      </c>
      <c r="W612" s="102">
        <f t="shared" si="437"/>
        <v>0</v>
      </c>
      <c r="X612" s="102" t="str">
        <f t="shared" si="438"/>
        <v>Forest Green foliage</v>
      </c>
      <c r="Y612" s="120" t="b">
        <f t="shared" si="439"/>
        <v>0</v>
      </c>
      <c r="Z612" s="117">
        <f t="shared" si="440"/>
        <v>0</v>
      </c>
      <c r="AA612" s="118"/>
      <c r="AB612" s="118" t="str">
        <f t="shared" si="441"/>
        <v/>
      </c>
      <c r="AC612" s="712" t="str">
        <f>IF(AE612="T2G","no charge",IF(AND(OR(PlanterYesMe="No",PlanterYesMe="N",PlanterYesMe="me"),H612=""),"",IF(H612="credit","NO install",IF(AND(K612="",AE612="me"),"EACH row",IF(AND(K612="images",AE612="me"),"EACH row",IF(D612="","",IF(H612="credit","",IF(AE612="free","re-planting",IF(AE612="me","   not ELP, by",IF(AND(OR(PlanterYesMe="Yes",PlanterYesMe="Y"),G612&gt;0),(VLOOKUP(A612,'Discount Lookup'!J:K,2)*G612*(1-PlanterDiscount)*(1+PlanterDifficultyPercentage)),IF(AE612="ELP",(VLOOKUP(A612,'Discount Lookup'!J:K,2)*G612*(1-PlanterDiscount)*(1+PlanterDifficultyPercentage)),IF(AE612="free","re-planting",IF(G612=0,"",IF(PlanterYesMe="",IF(AE612="me","   not ELP, by",IF(AE612="",IF(G612&gt;0,(VLOOKUP(A612,'Discount Lookup'!J:K,2)*G612*(1-PlanterDiscount)*(1+PlanterDifficultyPercentage)),""),"")),"   not ELP, by"))))))))))))))</f>
        <v/>
      </c>
      <c r="AD612" s="712"/>
      <c r="AE612" s="513" t="str">
        <f t="shared" si="442"/>
        <v/>
      </c>
      <c r="AF612" s="713" t="str">
        <f t="shared" si="443"/>
        <v/>
      </c>
      <c r="AG612" s="713"/>
      <c r="AH612" s="713"/>
      <c r="AI612" s="112">
        <f>IF(H612="credit",0,IF(AE612="free",0,IF(AE612="me",0,IF(G612&gt;0,(VLOOKUP(A612,'Discount Lookup'!J:K,2)*G612),0))))</f>
        <v>0</v>
      </c>
      <c r="AJ612" s="107" t="str">
        <f t="shared" ca="1" si="444"/>
        <v/>
      </c>
      <c r="AK612" s="714" t="str">
        <f t="shared" si="445"/>
        <v/>
      </c>
      <c r="AL612" s="714"/>
      <c r="AM612" s="114" t="str">
        <f t="shared" si="446"/>
        <v/>
      </c>
      <c r="AN612" s="115"/>
      <c r="AO612" s="116"/>
      <c r="AP612" s="116"/>
      <c r="AQ612" s="116"/>
      <c r="AR612" s="116"/>
      <c r="AS612" s="116"/>
      <c r="AT612" s="116"/>
      <c r="AU612" s="116"/>
      <c r="AV612" s="78"/>
      <c r="AW612" s="102"/>
      <c r="AX612" s="78"/>
      <c r="AY612" s="78"/>
      <c r="AZ612" s="78"/>
      <c r="BA612" s="78"/>
      <c r="BB612" s="78"/>
      <c r="BC612" s="78"/>
      <c r="BD612" s="78"/>
      <c r="BE612" s="465"/>
      <c r="BF612" s="165" t="str">
        <f t="shared" si="447"/>
        <v>https://www.google.com/search?tbm=isch&amp;q=Buxus%20x%20%27Conrowe%27%20PP%2319924%20Gordo%E2%84%A2%20Big%20Leaf%20Boxwood</v>
      </c>
      <c r="BG612" s="165" t="str">
        <f t="shared" si="448"/>
        <v>B</v>
      </c>
      <c r="BH612" s="65"/>
      <c r="BI612" s="65"/>
      <c r="BJ612" s="65"/>
      <c r="BK612" s="65"/>
      <c r="BL612" s="99"/>
      <c r="BM612" s="99"/>
      <c r="BN612" s="99"/>
    </row>
    <row r="613" spans="1:66" s="51" customFormat="1" ht="15.75" x14ac:dyDescent="0.25">
      <c r="A613" s="478">
        <v>7</v>
      </c>
      <c r="B613" s="479" t="s">
        <v>291</v>
      </c>
      <c r="C613" s="480" t="s">
        <v>4573</v>
      </c>
      <c r="D613" s="481" t="s">
        <v>293</v>
      </c>
      <c r="E613" s="482">
        <v>87.95</v>
      </c>
      <c r="F613" s="483" t="s">
        <v>292</v>
      </c>
      <c r="G613" s="484">
        <v>0</v>
      </c>
      <c r="H613" s="688" t="str">
        <f>IF(G613=0,"",IF(F613="Buy",IF(G613=1,"plant","plants"),IF(F613&gt;0.01,"warranty","Error")))</f>
        <v/>
      </c>
      <c r="I613" s="485">
        <f>IF(H613="free",0,IF(H613="credit",((E613*(F613))*G613*-1),IF(F613="Buy",(E613*G613),((E613*(1-F613))*G613))))</f>
        <v>0</v>
      </c>
      <c r="J613" s="485">
        <f>IF(H613="warranty",0,(I613*(_xlfn.SINGLE(SalesTaxPercentage))))</f>
        <v>0</v>
      </c>
      <c r="K613" s="715">
        <f t="shared" ref="K613" si="458">I613+J613</f>
        <v>0</v>
      </c>
      <c r="L613" s="715"/>
      <c r="M613" s="689" t="str">
        <f ca="1">IF(AND(G613&gt;0,E613=0),"WARNING - no PRICE inserted",IF(H613="free","FREE ~ no charge this plant",IF(H613="credit",CONCATENATE("-$",ROUND(K613*(1-_xlfn.SINGLE(T2GDiscount))*-1,2)," CREDIT after discount"),IF(_xlfn.SINGLE(T2GDiscount)=0,"",IF(G613=0,"",IF(F613="Buy",CONCATENATE("$",ROUND(K613*(1-_xlfn.SINGLE(T2GDiscount)),2)," with ",(_xlfn.SINGLE(T2GDiscount)*100),"% discount"),CONCATENATE("$",ROUND(K613*(1-_xlfn.SINGLE(T2GDiscount)),2)," with ",((_xlfn.SINGLE(T2GDiscount)*100+F613*100)-(_xlfn.SINGLE(T2GDiscount)*100*F613)),IF(F613&gt;0,"% discounts",IF(_xlfn.SINGLE(NoWarrantyDiscount)&gt;0,"% discounts","% discount")))))))))</f>
        <v/>
      </c>
      <c r="N613" s="690"/>
      <c r="O613" s="486"/>
      <c r="P613" s="486"/>
      <c r="Q613" s="486"/>
      <c r="R613" s="486"/>
      <c r="S613" s="486"/>
      <c r="T613" s="102">
        <f t="shared" si="436"/>
        <v>0</v>
      </c>
      <c r="U613" s="78">
        <f>IF(NOT(ISNUMBER(G613)), "", VLOOKUP(A613,'Discount Lookup'!D:E,2,FALSE)*G613)</f>
        <v>0</v>
      </c>
      <c r="V613" s="78">
        <f>IF(NOT(ISNUMBER(G613)), "", VLOOKUP(A613,'Discount Lookup'!G:H,2,FALSE)*G613)</f>
        <v>0</v>
      </c>
      <c r="W613" s="102">
        <f t="shared" si="437"/>
        <v>0</v>
      </c>
      <c r="X613" s="102">
        <f t="shared" si="438"/>
        <v>0</v>
      </c>
      <c r="Y613" s="120" t="b">
        <f t="shared" si="439"/>
        <v>0</v>
      </c>
      <c r="Z613" s="117">
        <f t="shared" si="440"/>
        <v>0</v>
      </c>
      <c r="AA613" s="118"/>
      <c r="AB613" s="118" t="str">
        <f t="shared" si="441"/>
        <v/>
      </c>
      <c r="AC613" s="712" t="str">
        <f>IF(AE613="T2G","no charge",IF(AND(OR(PlanterYesMe="No",PlanterYesMe="N",PlanterYesMe="me"),H613=""),"",IF(H613="credit","NO install",IF(AND(K613="",AE613="me"),"EACH row",IF(AND(K613="images",AE613="me"),"EACH row",IF(D613="","",IF(H613="credit","",IF(AE613="free","re-planting",IF(AE613="me","   not ELP, by",IF(AND(OR(PlanterYesMe="Yes",PlanterYesMe="Y"),G613&gt;0),(VLOOKUP(A613,'Discount Lookup'!J:K,2)*G613*(1-PlanterDiscount)*(1+PlanterDifficultyPercentage)),IF(AE613="ELP",(VLOOKUP(A613,'Discount Lookup'!J:K,2)*G613*(1-PlanterDiscount)*(1+PlanterDifficultyPercentage)),IF(AE613="free","re-planting",IF(G613=0,"",IF(PlanterYesMe="",IF(AE613="me","   not ELP, by",IF(AE613="",IF(G613&gt;0,(VLOOKUP(A613,'Discount Lookup'!J:K,2)*G613*(1-PlanterDiscount)*(1+PlanterDifficultyPercentage)),""),"")),"   not ELP, by"))))))))))))))</f>
        <v/>
      </c>
      <c r="AD613" s="712"/>
      <c r="AE613" s="513" t="str">
        <f t="shared" si="442"/>
        <v/>
      </c>
      <c r="AF613" s="713" t="str">
        <f t="shared" si="443"/>
        <v/>
      </c>
      <c r="AG613" s="713"/>
      <c r="AH613" s="713"/>
      <c r="AI613" s="112">
        <f>IF(H613="credit",0,IF(AE613="free",0,IF(AE613="me",0,IF(G613&gt;0,(VLOOKUP(A613,'Discount Lookup'!J:K,2)*G613),0))))</f>
        <v>0</v>
      </c>
      <c r="AJ613" s="107" t="str">
        <f t="shared" ca="1" si="444"/>
        <v/>
      </c>
      <c r="AK613" s="714" t="str">
        <f t="shared" si="445"/>
        <v/>
      </c>
      <c r="AL613" s="714"/>
      <c r="AM613" s="114" t="str">
        <f t="shared" si="446"/>
        <v/>
      </c>
      <c r="AN613" s="115"/>
      <c r="AO613" s="116"/>
      <c r="AP613" s="116"/>
      <c r="AQ613" s="116"/>
      <c r="AR613" s="116"/>
      <c r="AS613" s="116"/>
      <c r="AT613" s="116"/>
      <c r="AU613" s="116"/>
      <c r="AV613" s="78"/>
      <c r="AW613" s="102"/>
      <c r="AX613" s="78"/>
      <c r="AY613" s="78"/>
      <c r="AZ613" s="78"/>
      <c r="BA613" s="78"/>
      <c r="BB613" s="78"/>
      <c r="BC613" s="78"/>
      <c r="BD613" s="78"/>
      <c r="BE613" s="465"/>
      <c r="BF613" s="165" t="str">
        <f t="shared" si="447"/>
        <v>https://www.google.com/search?tbm=isch&amp;q=7%20G6</v>
      </c>
      <c r="BG613" s="165" t="str">
        <f t="shared" si="448"/>
        <v>B</v>
      </c>
      <c r="BH613" s="65"/>
      <c r="BI613" s="65"/>
      <c r="BJ613" s="65"/>
      <c r="BK613" s="65"/>
      <c r="BL613" s="99"/>
      <c r="BM613" s="99"/>
      <c r="BN613" s="99"/>
    </row>
    <row r="614" spans="1:66" s="51" customFormat="1" ht="16.5" thickBot="1" x14ac:dyDescent="0.3">
      <c r="A614" s="508" t="s">
        <v>4837</v>
      </c>
      <c r="B614" s="487"/>
      <c r="C614" s="707"/>
      <c r="D614" s="487"/>
      <c r="E614" s="487"/>
      <c r="F614" s="488"/>
      <c r="G614" s="489"/>
      <c r="H614" s="487"/>
      <c r="I614" s="490"/>
      <c r="J614" s="490"/>
      <c r="K614" s="491"/>
      <c r="L614" s="547"/>
      <c r="M614" s="528"/>
      <c r="N614" s="492"/>
      <c r="O614" s="493"/>
      <c r="P614" s="494"/>
      <c r="Q614" s="492"/>
      <c r="R614" s="492"/>
      <c r="S614" s="699" t="s">
        <v>5259</v>
      </c>
      <c r="T614" s="102">
        <f t="shared" si="436"/>
        <v>0</v>
      </c>
      <c r="U614" s="78" t="str">
        <f>IF(NOT(ISNUMBER(G614)), "", VLOOKUP(A614,'Discount Lookup'!D:E,2,FALSE)*G614)</f>
        <v/>
      </c>
      <c r="V614" s="78" t="str">
        <f>IF(NOT(ISNUMBER(G614)), "", VLOOKUP(A614,'Discount Lookup'!G:H,2,FALSE)*G614)</f>
        <v/>
      </c>
      <c r="W614" s="102">
        <f t="shared" si="437"/>
        <v>0</v>
      </c>
      <c r="X614" s="102">
        <f t="shared" si="438"/>
        <v>0</v>
      </c>
      <c r="Y614" s="120" t="b">
        <f t="shared" si="439"/>
        <v>0</v>
      </c>
      <c r="Z614" s="117">
        <f t="shared" si="440"/>
        <v>0</v>
      </c>
      <c r="AA614" s="118"/>
      <c r="AB614" s="118" t="str">
        <f t="shared" si="441"/>
        <v/>
      </c>
      <c r="AC614" s="712" t="str">
        <f>IF(AE614="T2G","no charge",IF(AND(OR(PlanterYesMe="No",PlanterYesMe="N",PlanterYesMe="me"),H614=""),"",IF(H614="credit","NO install",IF(AND(K614="",AE614="me"),"EACH row",IF(AND(K614="images",AE614="me"),"EACH row",IF(D614="","",IF(H614="credit","",IF(AE614="free","re-planting",IF(AE614="me","   not ELP, by",IF(AND(OR(PlanterYesMe="Yes",PlanterYesMe="Y"),G614&gt;0),(VLOOKUP(A614,'Discount Lookup'!J:K,2)*G614*(1-PlanterDiscount)*(1+PlanterDifficultyPercentage)),IF(AE614="ELP",(VLOOKUP(A614,'Discount Lookup'!J:K,2)*G614*(1-PlanterDiscount)*(1+PlanterDifficultyPercentage)),IF(AE614="free","re-planting",IF(G614=0,"",IF(PlanterYesMe="",IF(AE614="me","   not ELP, by",IF(AE614="",IF(G614&gt;0,(VLOOKUP(A614,'Discount Lookup'!J:K,2)*G614*(1-PlanterDiscount)*(1+PlanterDifficultyPercentage)),""),"")),"   not ELP, by"))))))))))))))</f>
        <v/>
      </c>
      <c r="AD614" s="712"/>
      <c r="AE614" s="513" t="str">
        <f t="shared" si="442"/>
        <v/>
      </c>
      <c r="AF614" s="713" t="str">
        <f t="shared" si="443"/>
        <v/>
      </c>
      <c r="AG614" s="713"/>
      <c r="AH614" s="713"/>
      <c r="AI614" s="112">
        <f>IF(H614="credit",0,IF(AE614="free",0,IF(AE614="me",0,IF(G614&gt;0,(VLOOKUP(A614,'Discount Lookup'!J:K,2)*G614),0))))</f>
        <v>0</v>
      </c>
      <c r="AJ614" s="107" t="str">
        <f t="shared" ca="1" si="444"/>
        <v/>
      </c>
      <c r="AK614" s="714" t="str">
        <f t="shared" si="445"/>
        <v/>
      </c>
      <c r="AL614" s="714"/>
      <c r="AM614" s="114" t="str">
        <f t="shared" si="446"/>
        <v/>
      </c>
      <c r="AN614" s="115"/>
      <c r="AO614" s="116"/>
      <c r="AP614" s="116"/>
      <c r="AQ614" s="116"/>
      <c r="AR614" s="116"/>
      <c r="AS614" s="116"/>
      <c r="AT614" s="116"/>
      <c r="AU614" s="116"/>
      <c r="AV614" s="78"/>
      <c r="AW614" s="102"/>
      <c r="AX614" s="78"/>
      <c r="AY614" s="78"/>
      <c r="AZ614" s="78"/>
      <c r="BA614" s="78"/>
      <c r="BB614" s="78"/>
      <c r="BC614" s="78"/>
      <c r="BD614" s="78"/>
      <c r="BE614" s="465"/>
      <c r="BF614" s="165" t="str">
        <f t="shared" si="447"/>
        <v>https://www.google.com/search?tbm=isch&amp;q=Gordo%20has%20veryy%20large%2C%20scalloped%20leaves%20and%20high%20tolerance%20to%20heat%2C%20drought%2C%20and%20pests.%20Slow-growing%2C%20dense%2C%20and%20ideal%20for%20hedges%20and%20borders%20</v>
      </c>
      <c r="BG614" s="165" t="str">
        <f t="shared" si="448"/>
        <v>G</v>
      </c>
      <c r="BH614" s="65"/>
      <c r="BI614" s="65"/>
      <c r="BJ614" s="65"/>
      <c r="BK614" s="65"/>
      <c r="BL614" s="99"/>
      <c r="BM614" s="99"/>
      <c r="BN614" s="99"/>
    </row>
    <row r="615" spans="1:66" s="51" customFormat="1" ht="18" x14ac:dyDescent="0.25">
      <c r="A615" s="507" t="s">
        <v>1716</v>
      </c>
      <c r="B615" s="470"/>
      <c r="C615" s="706"/>
      <c r="D615" s="471" t="s">
        <v>1717</v>
      </c>
      <c r="E615" s="472"/>
      <c r="F615" s="472"/>
      <c r="G615" s="472"/>
      <c r="H615" s="622" t="s">
        <v>1126</v>
      </c>
      <c r="I615" s="473" t="s">
        <v>432</v>
      </c>
      <c r="J615" s="472"/>
      <c r="K615" s="472"/>
      <c r="L615" s="561"/>
      <c r="M615" s="698" t="s">
        <v>5246</v>
      </c>
      <c r="N615" s="692" t="str">
        <f>IF(AND(ISTEXT($A615), ISERROR($A615+0)), HYPERLINK($BF615, "Images"), "")</f>
        <v>Images</v>
      </c>
      <c r="O615" s="694" t="s">
        <v>5244</v>
      </c>
      <c r="P615" s="475"/>
      <c r="Q615" s="476"/>
      <c r="R615" s="476"/>
      <c r="S615" s="477"/>
      <c r="T615" s="102">
        <f t="shared" si="436"/>
        <v>0</v>
      </c>
      <c r="U615" s="78" t="str">
        <f>IF(NOT(ISNUMBER(G615)), "", VLOOKUP(A615,'Discount Lookup'!D:E,2,FALSE)*G615)</f>
        <v/>
      </c>
      <c r="V615" s="78" t="str">
        <f>IF(NOT(ISNUMBER(G615)), "", VLOOKUP(A615,'Discount Lookup'!G:H,2,FALSE)*G615)</f>
        <v/>
      </c>
      <c r="W615" s="102">
        <f t="shared" si="437"/>
        <v>0</v>
      </c>
      <c r="X615" s="102" t="str">
        <f t="shared" si="438"/>
        <v>Green foliage</v>
      </c>
      <c r="Y615" s="120" t="b">
        <f t="shared" si="439"/>
        <v>0</v>
      </c>
      <c r="Z615" s="117">
        <f t="shared" si="440"/>
        <v>0</v>
      </c>
      <c r="AA615" s="118"/>
      <c r="AB615" s="118" t="str">
        <f t="shared" si="441"/>
        <v/>
      </c>
      <c r="AC615" s="712" t="str">
        <f>IF(AE615="T2G","no charge",IF(AND(OR(PlanterYesMe="No",PlanterYesMe="N",PlanterYesMe="me"),H615=""),"",IF(H615="credit","NO install",IF(AND(K615="",AE615="me"),"EACH row",IF(AND(K615="images",AE615="me"),"EACH row",IF(D615="","",IF(H615="credit","",IF(AE615="free","re-planting",IF(AE615="me","   not ELP, by",IF(AND(OR(PlanterYesMe="Yes",PlanterYesMe="Y"),G615&gt;0),(VLOOKUP(A615,'Discount Lookup'!J:K,2)*G615*(1-PlanterDiscount)*(1+PlanterDifficultyPercentage)),IF(AE615="ELP",(VLOOKUP(A615,'Discount Lookup'!J:K,2)*G615*(1-PlanterDiscount)*(1+PlanterDifficultyPercentage)),IF(AE615="free","re-planting",IF(G615=0,"",IF(PlanterYesMe="",IF(AE615="me","   not ELP, by",IF(AE615="",IF(G615&gt;0,(VLOOKUP(A615,'Discount Lookup'!J:K,2)*G615*(1-PlanterDiscount)*(1+PlanterDifficultyPercentage)),""),"")),"   not ELP, by"))))))))))))))</f>
        <v/>
      </c>
      <c r="AD615" s="712"/>
      <c r="AE615" s="513" t="str">
        <f t="shared" si="442"/>
        <v/>
      </c>
      <c r="AF615" s="713" t="str">
        <f t="shared" si="443"/>
        <v/>
      </c>
      <c r="AG615" s="713"/>
      <c r="AH615" s="713"/>
      <c r="AI615" s="112">
        <f>IF(H615="credit",0,IF(AE615="free",0,IF(AE615="me",0,IF(G615&gt;0,(VLOOKUP(A615,'Discount Lookup'!J:K,2)*G615),0))))</f>
        <v>0</v>
      </c>
      <c r="AJ615" s="107" t="str">
        <f t="shared" ca="1" si="444"/>
        <v/>
      </c>
      <c r="AK615" s="714" t="str">
        <f t="shared" si="445"/>
        <v/>
      </c>
      <c r="AL615" s="714"/>
      <c r="AM615" s="114" t="str">
        <f t="shared" si="446"/>
        <v/>
      </c>
      <c r="AN615" s="115"/>
      <c r="AO615" s="116"/>
      <c r="AP615" s="116"/>
      <c r="AQ615" s="116"/>
      <c r="AR615" s="116"/>
      <c r="AS615" s="116"/>
      <c r="AT615" s="116"/>
      <c r="AU615" s="116"/>
      <c r="AV615" s="78"/>
      <c r="AW615" s="102"/>
      <c r="AX615" s="78"/>
      <c r="AY615" s="78"/>
      <c r="AZ615" s="78"/>
      <c r="BA615" s="78"/>
      <c r="BB615" s="78"/>
      <c r="BC615" s="78"/>
      <c r="BD615" s="78"/>
      <c r="BE615" s="465"/>
      <c r="BF615" s="165" t="str">
        <f t="shared" si="447"/>
        <v>https://www.google.com/search?tbm=isch&amp;q=Buxus%20x%20%27Green%20Mountain%27%20Green%20Mountain%20Boxwood</v>
      </c>
      <c r="BG615" s="165" t="str">
        <f t="shared" si="448"/>
        <v>B</v>
      </c>
      <c r="BH615" s="65"/>
      <c r="BI615" s="65"/>
      <c r="BJ615" s="65"/>
      <c r="BK615" s="65"/>
      <c r="BL615" s="99"/>
      <c r="BM615" s="99"/>
      <c r="BN615" s="99"/>
    </row>
    <row r="616" spans="1:66" s="51" customFormat="1" ht="15.75" x14ac:dyDescent="0.25">
      <c r="A616" s="478">
        <v>7</v>
      </c>
      <c r="B616" s="479" t="s">
        <v>291</v>
      </c>
      <c r="C616" s="480"/>
      <c r="D616" s="481" t="s">
        <v>310</v>
      </c>
      <c r="E616" s="482">
        <v>68.95</v>
      </c>
      <c r="F616" s="483" t="s">
        <v>292</v>
      </c>
      <c r="G616" s="484">
        <v>0</v>
      </c>
      <c r="H616" s="688" t="str">
        <f>IF(G616=0,"",IF(F616="Buy",IF(G616=1,"plant","plants"),IF(F616&gt;0.01,"warranty","Error")))</f>
        <v/>
      </c>
      <c r="I616" s="485">
        <f>IF(H616="free",0,IF(H616="credit",((E616*(F616))*G616*-1),IF(F616="Buy",(E616*G616),((E616*(1-F616))*G616))))</f>
        <v>0</v>
      </c>
      <c r="J616" s="485">
        <f>IF(H616="warranty",0,(I616*(_xlfn.SINGLE(SalesTaxPercentage))))</f>
        <v>0</v>
      </c>
      <c r="K616" s="715">
        <f t="shared" ref="K616" si="459">I616+J616</f>
        <v>0</v>
      </c>
      <c r="L616" s="715"/>
      <c r="M616" s="689" t="str">
        <f ca="1">IF(AND(G616&gt;0,E616=0),"WARNING - no PRICE inserted",IF(H616="free","FREE ~ no charge this plant",IF(H616="credit",CONCATENATE("-$",ROUND(K616*(1-_xlfn.SINGLE(T2GDiscount))*-1,2)," CREDIT after discount"),IF(_xlfn.SINGLE(T2GDiscount)=0,"",IF(G616=0,"",IF(F616="Buy",CONCATENATE("$",ROUND(K616*(1-_xlfn.SINGLE(T2GDiscount)),2)," with ",(_xlfn.SINGLE(T2GDiscount)*100),"% discount"),CONCATENATE("$",ROUND(K616*(1-_xlfn.SINGLE(T2GDiscount)),2)," with ",((_xlfn.SINGLE(T2GDiscount)*100+F616*100)-(_xlfn.SINGLE(T2GDiscount)*100*F616)),IF(F616&gt;0,"% discounts",IF(_xlfn.SINGLE(NoWarrantyDiscount)&gt;0,"% discounts","% discount")))))))))</f>
        <v/>
      </c>
      <c r="N616" s="690"/>
      <c r="O616" s="486"/>
      <c r="P616" s="486"/>
      <c r="Q616" s="486"/>
      <c r="R616" s="486"/>
      <c r="S616" s="486"/>
      <c r="T616" s="102">
        <f t="shared" si="436"/>
        <v>0</v>
      </c>
      <c r="U616" s="78">
        <f>IF(NOT(ISNUMBER(G616)), "", VLOOKUP(A616,'Discount Lookup'!D:E,2,FALSE)*G616)</f>
        <v>0</v>
      </c>
      <c r="V616" s="78">
        <f>IF(NOT(ISNUMBER(G616)), "", VLOOKUP(A616,'Discount Lookup'!G:H,2,FALSE)*G616)</f>
        <v>0</v>
      </c>
      <c r="W616" s="102">
        <f t="shared" si="437"/>
        <v>0</v>
      </c>
      <c r="X616" s="102">
        <f t="shared" si="438"/>
        <v>0</v>
      </c>
      <c r="Y616" s="120" t="b">
        <f t="shared" si="439"/>
        <v>0</v>
      </c>
      <c r="Z616" s="117">
        <f t="shared" si="440"/>
        <v>0</v>
      </c>
      <c r="AA616" s="118"/>
      <c r="AB616" s="118" t="str">
        <f t="shared" si="441"/>
        <v/>
      </c>
      <c r="AC616" s="712" t="str">
        <f>IF(AE616="T2G","no charge",IF(AND(OR(PlanterYesMe="No",PlanterYesMe="N",PlanterYesMe="me"),H616=""),"",IF(H616="credit","NO install",IF(AND(K616="",AE616="me"),"EACH row",IF(AND(K616="images",AE616="me"),"EACH row",IF(D616="","",IF(H616="credit","",IF(AE616="free","re-planting",IF(AE616="me","   not ELP, by",IF(AND(OR(PlanterYesMe="Yes",PlanterYesMe="Y"),G616&gt;0),(VLOOKUP(A616,'Discount Lookup'!J:K,2)*G616*(1-PlanterDiscount)*(1+PlanterDifficultyPercentage)),IF(AE616="ELP",(VLOOKUP(A616,'Discount Lookup'!J:K,2)*G616*(1-PlanterDiscount)*(1+PlanterDifficultyPercentage)),IF(AE616="free","re-planting",IF(G616=0,"",IF(PlanterYesMe="",IF(AE616="me","   not ELP, by",IF(AE616="",IF(G616&gt;0,(VLOOKUP(A616,'Discount Lookup'!J:K,2)*G616*(1-PlanterDiscount)*(1+PlanterDifficultyPercentage)),""),"")),"   not ELP, by"))))))))))))))</f>
        <v/>
      </c>
      <c r="AD616" s="712"/>
      <c r="AE616" s="513" t="str">
        <f t="shared" si="442"/>
        <v/>
      </c>
      <c r="AF616" s="713" t="str">
        <f t="shared" si="443"/>
        <v/>
      </c>
      <c r="AG616" s="713"/>
      <c r="AH616" s="713"/>
      <c r="AI616" s="112">
        <f>IF(H616="credit",0,IF(AE616="free",0,IF(AE616="me",0,IF(G616&gt;0,(VLOOKUP(A616,'Discount Lookup'!J:K,2)*G616),0))))</f>
        <v>0</v>
      </c>
      <c r="AJ616" s="107" t="str">
        <f t="shared" ca="1" si="444"/>
        <v/>
      </c>
      <c r="AK616" s="714" t="str">
        <f t="shared" si="445"/>
        <v/>
      </c>
      <c r="AL616" s="714"/>
      <c r="AM616" s="114" t="str">
        <f t="shared" si="446"/>
        <v/>
      </c>
      <c r="AN616" s="115"/>
      <c r="AO616" s="116"/>
      <c r="AP616" s="116"/>
      <c r="AQ616" s="116"/>
      <c r="AR616" s="116"/>
      <c r="AS616" s="116"/>
      <c r="AT616" s="116"/>
      <c r="AU616" s="116"/>
      <c r="AV616" s="78"/>
      <c r="AW616" s="102"/>
      <c r="AX616" s="78"/>
      <c r="AY616" s="78"/>
      <c r="AZ616" s="78"/>
      <c r="BA616" s="78"/>
      <c r="BB616" s="78"/>
      <c r="BC616" s="78"/>
      <c r="BD616" s="78"/>
      <c r="BE616" s="465"/>
      <c r="BF616" s="165" t="str">
        <f t="shared" si="447"/>
        <v>https://www.google.com/search?tbm=isch&amp;q=7%20G1</v>
      </c>
      <c r="BG616" s="165" t="str">
        <f t="shared" si="448"/>
        <v>B</v>
      </c>
      <c r="BH616" s="65"/>
      <c r="BI616" s="65"/>
      <c r="BJ616" s="65"/>
      <c r="BK616" s="65"/>
      <c r="BL616" s="99"/>
      <c r="BM616" s="99"/>
      <c r="BN616" s="99"/>
    </row>
    <row r="617" spans="1:66" s="51" customFormat="1" ht="15.75" x14ac:dyDescent="0.25">
      <c r="A617" s="478">
        <v>10</v>
      </c>
      <c r="B617" s="479" t="s">
        <v>291</v>
      </c>
      <c r="C617" s="480" t="s">
        <v>1718</v>
      </c>
      <c r="D617" s="481" t="s">
        <v>299</v>
      </c>
      <c r="E617" s="482">
        <v>339.95</v>
      </c>
      <c r="F617" s="483" t="s">
        <v>292</v>
      </c>
      <c r="G617" s="484">
        <v>0</v>
      </c>
      <c r="H617" s="688" t="str">
        <f>IF(G617=0,"",IF(F617="Buy",IF(G617=1,"plant","plants"),IF(F617&gt;0.01,"warranty","Error")))</f>
        <v/>
      </c>
      <c r="I617" s="485">
        <f>IF(H617="free",0,IF(H617="credit",((E617*(F617))*G617*-1),IF(F617="Buy",(E617*G617),((E617*(1-F617))*G617))))</f>
        <v>0</v>
      </c>
      <c r="J617" s="485">
        <f>IF(H617="warranty",0,(I617*(_xlfn.SINGLE(SalesTaxPercentage))))</f>
        <v>0</v>
      </c>
      <c r="K617" s="715">
        <f t="shared" ref="K617" si="460">I617+J617</f>
        <v>0</v>
      </c>
      <c r="L617" s="715"/>
      <c r="M617" s="689" t="str">
        <f ca="1">IF(AND(G617&gt;0,E617=0),"WARNING - no PRICE inserted",IF(H617="free","FREE ~ no charge this plant",IF(H617="credit",CONCATENATE("-$",ROUND(K617*(1-_xlfn.SINGLE(T2GDiscount))*-1,2)," CREDIT after discount"),IF(_xlfn.SINGLE(T2GDiscount)=0,"",IF(G617=0,"",IF(F617="Buy",CONCATENATE("$",ROUND(K617*(1-_xlfn.SINGLE(T2GDiscount)),2)," with ",(_xlfn.SINGLE(T2GDiscount)*100),"% discount"),CONCATENATE("$",ROUND(K617*(1-_xlfn.SINGLE(T2GDiscount)),2)," with ",((_xlfn.SINGLE(T2GDiscount)*100+F617*100)-(_xlfn.SINGLE(T2GDiscount)*100*F617)),IF(F617&gt;0,"% discounts",IF(_xlfn.SINGLE(NoWarrantyDiscount)&gt;0,"% discounts","% discount")))))))))</f>
        <v/>
      </c>
      <c r="N617" s="690"/>
      <c r="O617" s="486"/>
      <c r="P617" s="486"/>
      <c r="Q617" s="486"/>
      <c r="R617" s="486"/>
      <c r="S617" s="486"/>
      <c r="T617" s="102">
        <f t="shared" si="436"/>
        <v>0</v>
      </c>
      <c r="U617" s="78">
        <f>IF(NOT(ISNUMBER(G617)), "", VLOOKUP(A617,'Discount Lookup'!D:E,2,FALSE)*G617)</f>
        <v>0</v>
      </c>
      <c r="V617" s="78">
        <f>IF(NOT(ISNUMBER(G617)), "", VLOOKUP(A617,'Discount Lookup'!G:H,2,FALSE)*G617)</f>
        <v>0</v>
      </c>
      <c r="W617" s="102">
        <f t="shared" si="437"/>
        <v>0</v>
      </c>
      <c r="X617" s="102">
        <f t="shared" si="438"/>
        <v>0</v>
      </c>
      <c r="Y617" s="120" t="b">
        <f t="shared" si="439"/>
        <v>0</v>
      </c>
      <c r="Z617" s="117">
        <f t="shared" si="440"/>
        <v>0</v>
      </c>
      <c r="AA617" s="118"/>
      <c r="AB617" s="118" t="str">
        <f t="shared" si="441"/>
        <v/>
      </c>
      <c r="AC617" s="712" t="str">
        <f>IF(AE617="T2G","no charge",IF(AND(OR(PlanterYesMe="No",PlanterYesMe="N",PlanterYesMe="me"),H617=""),"",IF(H617="credit","NO install",IF(AND(K617="",AE617="me"),"EACH row",IF(AND(K617="images",AE617="me"),"EACH row",IF(D617="","",IF(H617="credit","",IF(AE617="free","re-planting",IF(AE617="me","   not ELP, by",IF(AND(OR(PlanterYesMe="Yes",PlanterYesMe="Y"),G617&gt;0),(VLOOKUP(A617,'Discount Lookup'!J:K,2)*G617*(1-PlanterDiscount)*(1+PlanterDifficultyPercentage)),IF(AE617="ELP",(VLOOKUP(A617,'Discount Lookup'!J:K,2)*G617*(1-PlanterDiscount)*(1+PlanterDifficultyPercentage)),IF(AE617="free","re-planting",IF(G617=0,"",IF(PlanterYesMe="",IF(AE617="me","   not ELP, by",IF(AE617="",IF(G617&gt;0,(VLOOKUP(A617,'Discount Lookup'!J:K,2)*G617*(1-PlanterDiscount)*(1+PlanterDifficultyPercentage)),""),"")),"   not ELP, by"))))))))))))))</f>
        <v/>
      </c>
      <c r="AD617" s="712"/>
      <c r="AE617" s="513" t="str">
        <f t="shared" si="442"/>
        <v/>
      </c>
      <c r="AF617" s="713" t="str">
        <f t="shared" si="443"/>
        <v/>
      </c>
      <c r="AG617" s="713"/>
      <c r="AH617" s="713"/>
      <c r="AI617" s="112">
        <f>IF(H617="credit",0,IF(AE617="free",0,IF(AE617="me",0,IF(G617&gt;0,(VLOOKUP(A617,'Discount Lookup'!J:K,2)*G617),0))))</f>
        <v>0</v>
      </c>
      <c r="AJ617" s="107" t="str">
        <f t="shared" ca="1" si="444"/>
        <v/>
      </c>
      <c r="AK617" s="714" t="str">
        <f t="shared" si="445"/>
        <v/>
      </c>
      <c r="AL617" s="714"/>
      <c r="AM617" s="114" t="str">
        <f t="shared" si="446"/>
        <v/>
      </c>
      <c r="AN617" s="115"/>
      <c r="AO617" s="116"/>
      <c r="AP617" s="116"/>
      <c r="AQ617" s="116"/>
      <c r="AR617" s="116"/>
      <c r="AS617" s="116"/>
      <c r="AT617" s="116"/>
      <c r="AU617" s="116"/>
      <c r="AV617" s="78"/>
      <c r="AW617" s="102"/>
      <c r="AX617" s="78"/>
      <c r="AY617" s="78"/>
      <c r="AZ617" s="78"/>
      <c r="BA617" s="78"/>
      <c r="BB617" s="78"/>
      <c r="BC617" s="78"/>
      <c r="BD617" s="78"/>
      <c r="BE617" s="465"/>
      <c r="BF617" s="165" t="str">
        <f t="shared" si="447"/>
        <v>https://www.google.com/search?tbm=isch&amp;q=10%20G4</v>
      </c>
      <c r="BG617" s="165" t="str">
        <f t="shared" si="448"/>
        <v>B</v>
      </c>
      <c r="BH617" s="65"/>
      <c r="BI617" s="65"/>
      <c r="BJ617" s="65"/>
      <c r="BK617" s="65"/>
      <c r="BL617" s="99"/>
      <c r="BM617" s="99"/>
      <c r="BN617" s="99"/>
    </row>
    <row r="618" spans="1:66" s="51" customFormat="1" ht="16.5" thickBot="1" x14ac:dyDescent="0.3">
      <c r="A618" s="508" t="s">
        <v>1719</v>
      </c>
      <c r="B618" s="487"/>
      <c r="C618" s="707"/>
      <c r="D618" s="487"/>
      <c r="E618" s="487"/>
      <c r="F618" s="488"/>
      <c r="G618" s="489"/>
      <c r="H618" s="487"/>
      <c r="I618" s="490"/>
      <c r="J618" s="490"/>
      <c r="K618" s="491"/>
      <c r="L618" s="547"/>
      <c r="M618" s="528"/>
      <c r="N618" s="492"/>
      <c r="O618" s="493"/>
      <c r="P618" s="494"/>
      <c r="Q618" s="492"/>
      <c r="R618" s="492"/>
      <c r="S618" s="699" t="s">
        <v>5259</v>
      </c>
      <c r="T618" s="102">
        <f t="shared" si="436"/>
        <v>0</v>
      </c>
      <c r="U618" s="78" t="str">
        <f>IF(NOT(ISNUMBER(G618)), "", VLOOKUP(A618,'Discount Lookup'!D:E,2,FALSE)*G618)</f>
        <v/>
      </c>
      <c r="V618" s="78" t="str">
        <f>IF(NOT(ISNUMBER(G618)), "", VLOOKUP(A618,'Discount Lookup'!G:H,2,FALSE)*G618)</f>
        <v/>
      </c>
      <c r="W618" s="102">
        <f t="shared" si="437"/>
        <v>0</v>
      </c>
      <c r="X618" s="102">
        <f t="shared" si="438"/>
        <v>0</v>
      </c>
      <c r="Y618" s="120" t="b">
        <f t="shared" si="439"/>
        <v>0</v>
      </c>
      <c r="Z618" s="117">
        <f t="shared" si="440"/>
        <v>0</v>
      </c>
      <c r="AA618" s="118"/>
      <c r="AB618" s="118" t="str">
        <f t="shared" si="441"/>
        <v/>
      </c>
      <c r="AC618" s="712" t="str">
        <f>IF(AE618="T2G","no charge",IF(AND(OR(PlanterYesMe="No",PlanterYesMe="N",PlanterYesMe="me"),H618=""),"",IF(H618="credit","NO install",IF(AND(K618="",AE618="me"),"EACH row",IF(AND(K618="images",AE618="me"),"EACH row",IF(D618="","",IF(H618="credit","",IF(AE618="free","re-planting",IF(AE618="me","   not ELP, by",IF(AND(OR(PlanterYesMe="Yes",PlanterYesMe="Y"),G618&gt;0),(VLOOKUP(A618,'Discount Lookup'!J:K,2)*G618*(1-PlanterDiscount)*(1+PlanterDifficultyPercentage)),IF(AE618="ELP",(VLOOKUP(A618,'Discount Lookup'!J:K,2)*G618*(1-PlanterDiscount)*(1+PlanterDifficultyPercentage)),IF(AE618="free","re-planting",IF(G618=0,"",IF(PlanterYesMe="",IF(AE618="me","   not ELP, by",IF(AE618="",IF(G618&gt;0,(VLOOKUP(A618,'Discount Lookup'!J:K,2)*G618*(1-PlanterDiscount)*(1+PlanterDifficultyPercentage)),""),"")),"   not ELP, by"))))))))))))))</f>
        <v/>
      </c>
      <c r="AD618" s="712"/>
      <c r="AE618" s="513" t="str">
        <f t="shared" si="442"/>
        <v/>
      </c>
      <c r="AF618" s="713" t="str">
        <f t="shared" si="443"/>
        <v/>
      </c>
      <c r="AG618" s="713"/>
      <c r="AH618" s="713"/>
      <c r="AI618" s="112">
        <f>IF(H618="credit",0,IF(AE618="free",0,IF(AE618="me",0,IF(G618&gt;0,(VLOOKUP(A618,'Discount Lookup'!J:K,2)*G618),0))))</f>
        <v>0</v>
      </c>
      <c r="AJ618" s="107" t="str">
        <f t="shared" ca="1" si="444"/>
        <v/>
      </c>
      <c r="AK618" s="714" t="str">
        <f t="shared" si="445"/>
        <v/>
      </c>
      <c r="AL618" s="714"/>
      <c r="AM618" s="114" t="str">
        <f t="shared" si="446"/>
        <v/>
      </c>
      <c r="AN618" s="115"/>
      <c r="AO618" s="116"/>
      <c r="AP618" s="116"/>
      <c r="AQ618" s="116"/>
      <c r="AR618" s="116"/>
      <c r="AS618" s="116"/>
      <c r="AT618" s="116"/>
      <c r="AU618" s="116"/>
      <c r="AV618" s="78"/>
      <c r="AW618" s="102"/>
      <c r="AX618" s="78"/>
      <c r="AY618" s="78"/>
      <c r="AZ618" s="78"/>
      <c r="BA618" s="78"/>
      <c r="BB618" s="78"/>
      <c r="BC618" s="78"/>
      <c r="BD618" s="78"/>
      <c r="BE618" s="465"/>
      <c r="BF618" s="165" t="str">
        <f t="shared" si="447"/>
        <v>https://www.google.com/search?tbm=isch&amp;q=Green%20Mountain%20is%20rather%20cold%20hardy%2C%20and%20Bronzes%20less%20in%20winter.%20Upright%2C%20pyramidal%20form.%20Slow-growing%2C%20dense%2C%20and%20ideal%20for%20hedges%20and%20borders%20</v>
      </c>
      <c r="BG618" s="165" t="str">
        <f t="shared" si="448"/>
        <v>G</v>
      </c>
      <c r="BH618" s="65"/>
      <c r="BI618" s="65"/>
      <c r="BJ618" s="65"/>
      <c r="BK618" s="65"/>
      <c r="BL618" s="99"/>
      <c r="BM618" s="99"/>
      <c r="BN618" s="99"/>
    </row>
    <row r="619" spans="1:66" s="51" customFormat="1" ht="18" x14ac:dyDescent="0.25">
      <c r="A619" s="507" t="s">
        <v>1720</v>
      </c>
      <c r="B619" s="470"/>
      <c r="C619" s="706"/>
      <c r="D619" s="471" t="s">
        <v>1721</v>
      </c>
      <c r="E619" s="472"/>
      <c r="F619" s="472"/>
      <c r="G619" s="472"/>
      <c r="H619" s="622" t="s">
        <v>1124</v>
      </c>
      <c r="I619" s="473" t="s">
        <v>440</v>
      </c>
      <c r="J619" s="472"/>
      <c r="K619" s="472"/>
      <c r="L619" s="561"/>
      <c r="M619" s="698" t="s">
        <v>5246</v>
      </c>
      <c r="N619" s="692" t="str">
        <f>IF(AND(ISTEXT($A619), ISERROR($A619+0)), HYPERLINK($BF619, "Images"), "")</f>
        <v>Images</v>
      </c>
      <c r="O619" s="694" t="s">
        <v>5244</v>
      </c>
      <c r="P619" s="475"/>
      <c r="Q619" s="476"/>
      <c r="R619" s="476"/>
      <c r="S619" s="477"/>
      <c r="T619" s="102">
        <f t="shared" si="436"/>
        <v>0</v>
      </c>
      <c r="U619" s="78" t="str">
        <f>IF(NOT(ISNUMBER(G619)), "", VLOOKUP(A619,'Discount Lookup'!D:E,2,FALSE)*G619)</f>
        <v/>
      </c>
      <c r="V619" s="78" t="str">
        <f>IF(NOT(ISNUMBER(G619)), "", VLOOKUP(A619,'Discount Lookup'!G:H,2,FALSE)*G619)</f>
        <v/>
      </c>
      <c r="W619" s="102">
        <f t="shared" si="437"/>
        <v>0</v>
      </c>
      <c r="X619" s="102" t="str">
        <f t="shared" si="438"/>
        <v>Rich Green foliage</v>
      </c>
      <c r="Y619" s="120" t="b">
        <f t="shared" si="439"/>
        <v>0</v>
      </c>
      <c r="Z619" s="117">
        <f t="shared" si="440"/>
        <v>0</v>
      </c>
      <c r="AA619" s="118"/>
      <c r="AB619" s="118" t="str">
        <f t="shared" si="441"/>
        <v/>
      </c>
      <c r="AC619" s="712" t="str">
        <f>IF(AE619="T2G","no charge",IF(AND(OR(PlanterYesMe="No",PlanterYesMe="N",PlanterYesMe="me"),H619=""),"",IF(H619="credit","NO install",IF(AND(K619="",AE619="me"),"EACH row",IF(AND(K619="images",AE619="me"),"EACH row",IF(D619="","",IF(H619="credit","",IF(AE619="free","re-planting",IF(AE619="me","   not ELP, by",IF(AND(OR(PlanterYesMe="Yes",PlanterYesMe="Y"),G619&gt;0),(VLOOKUP(A619,'Discount Lookup'!J:K,2)*G619*(1-PlanterDiscount)*(1+PlanterDifficultyPercentage)),IF(AE619="ELP",(VLOOKUP(A619,'Discount Lookup'!J:K,2)*G619*(1-PlanterDiscount)*(1+PlanterDifficultyPercentage)),IF(AE619="free","re-planting",IF(G619=0,"",IF(PlanterYesMe="",IF(AE619="me","   not ELP, by",IF(AE619="",IF(G619&gt;0,(VLOOKUP(A619,'Discount Lookup'!J:K,2)*G619*(1-PlanterDiscount)*(1+PlanterDifficultyPercentage)),""),"")),"   not ELP, by"))))))))))))))</f>
        <v/>
      </c>
      <c r="AD619" s="712"/>
      <c r="AE619" s="513" t="str">
        <f t="shared" si="442"/>
        <v/>
      </c>
      <c r="AF619" s="713" t="str">
        <f t="shared" si="443"/>
        <v/>
      </c>
      <c r="AG619" s="713"/>
      <c r="AH619" s="713"/>
      <c r="AI619" s="112">
        <f>IF(H619="credit",0,IF(AE619="free",0,IF(AE619="me",0,IF(G619&gt;0,(VLOOKUP(A619,'Discount Lookup'!J:K,2)*G619),0))))</f>
        <v>0</v>
      </c>
      <c r="AJ619" s="107" t="str">
        <f t="shared" ca="1" si="444"/>
        <v/>
      </c>
      <c r="AK619" s="714" t="str">
        <f t="shared" si="445"/>
        <v/>
      </c>
      <c r="AL619" s="714"/>
      <c r="AM619" s="114" t="str">
        <f t="shared" si="446"/>
        <v/>
      </c>
      <c r="AN619" s="115"/>
      <c r="AO619" s="116"/>
      <c r="AP619" s="116"/>
      <c r="AQ619" s="116"/>
      <c r="AR619" s="116"/>
      <c r="AS619" s="116"/>
      <c r="AT619" s="116"/>
      <c r="AU619" s="116"/>
      <c r="AV619" s="78"/>
      <c r="AW619" s="102"/>
      <c r="AX619" s="78"/>
      <c r="AY619" s="78"/>
      <c r="AZ619" s="78"/>
      <c r="BA619" s="78"/>
      <c r="BB619" s="78"/>
      <c r="BC619" s="78"/>
      <c r="BD619" s="78"/>
      <c r="BE619" s="465"/>
      <c r="BF619" s="165" t="str">
        <f t="shared" si="447"/>
        <v>https://www.google.com/search?tbm=isch&amp;q=Buxus%20x%20%27Green%20Velvet%27%20Green%20Velvet%20Boxwood</v>
      </c>
      <c r="BG619" s="165" t="str">
        <f t="shared" si="448"/>
        <v>B</v>
      </c>
      <c r="BH619" s="65"/>
      <c r="BI619" s="65"/>
      <c r="BJ619" s="65"/>
      <c r="BK619" s="65"/>
      <c r="BL619" s="99"/>
      <c r="BM619" s="99"/>
      <c r="BN619" s="99"/>
    </row>
    <row r="620" spans="1:66" s="51" customFormat="1" ht="27" x14ac:dyDescent="0.25">
      <c r="A620" s="478">
        <v>7</v>
      </c>
      <c r="B620" s="479" t="s">
        <v>291</v>
      </c>
      <c r="C620" s="480" t="s">
        <v>1722</v>
      </c>
      <c r="D620" s="481" t="s">
        <v>299</v>
      </c>
      <c r="E620" s="482">
        <v>127.95</v>
      </c>
      <c r="F620" s="483" t="s">
        <v>292</v>
      </c>
      <c r="G620" s="484">
        <v>0</v>
      </c>
      <c r="H620" s="688" t="str">
        <f>IF(G620=0,"",IF(F620="Buy",IF(G620=1,"plant","plants"),IF(F620&gt;0.01,"warranty","Error")))</f>
        <v/>
      </c>
      <c r="I620" s="485">
        <f>IF(H620="free",0,IF(H620="credit",((E620*(F620))*G620*-1),IF(F620="Buy",(E620*G620),((E620*(1-F620))*G620))))</f>
        <v>0</v>
      </c>
      <c r="J620" s="485">
        <f>IF(H620="warranty",0,(I620*(_xlfn.SINGLE(SalesTaxPercentage))))</f>
        <v>0</v>
      </c>
      <c r="K620" s="715">
        <f t="shared" ref="K620" si="461">I620+J620</f>
        <v>0</v>
      </c>
      <c r="L620" s="715"/>
      <c r="M620" s="689" t="str">
        <f ca="1">IF(AND(G620&gt;0,E620=0),"WARNING - no PRICE inserted",IF(H620="free","FREE ~ no charge this plant",IF(H620="credit",CONCATENATE("-$",ROUND(K620*(1-_xlfn.SINGLE(T2GDiscount))*-1,2)," CREDIT after discount"),IF(_xlfn.SINGLE(T2GDiscount)=0,"",IF(G620=0,"",IF(F620="Buy",CONCATENATE("$",ROUND(K620*(1-_xlfn.SINGLE(T2GDiscount)),2)," with ",(_xlfn.SINGLE(T2GDiscount)*100),"% discount"),CONCATENATE("$",ROUND(K620*(1-_xlfn.SINGLE(T2GDiscount)),2)," with ",((_xlfn.SINGLE(T2GDiscount)*100+F620*100)-(_xlfn.SINGLE(T2GDiscount)*100*F620)),IF(F620&gt;0,"% discounts",IF(_xlfn.SINGLE(NoWarrantyDiscount)&gt;0,"% discounts","% discount")))))))))</f>
        <v/>
      </c>
      <c r="N620" s="690"/>
      <c r="O620" s="486"/>
      <c r="P620" s="486"/>
      <c r="Q620" s="486"/>
      <c r="R620" s="486"/>
      <c r="S620" s="486"/>
      <c r="T620" s="102">
        <f t="shared" si="436"/>
        <v>0</v>
      </c>
      <c r="U620" s="78">
        <f>IF(NOT(ISNUMBER(G620)), "", VLOOKUP(A620,'Discount Lookup'!D:E,2,FALSE)*G620)</f>
        <v>0</v>
      </c>
      <c r="V620" s="78">
        <f>IF(NOT(ISNUMBER(G620)), "", VLOOKUP(A620,'Discount Lookup'!G:H,2,FALSE)*G620)</f>
        <v>0</v>
      </c>
      <c r="W620" s="102">
        <f t="shared" si="437"/>
        <v>0</v>
      </c>
      <c r="X620" s="102">
        <f t="shared" si="438"/>
        <v>0</v>
      </c>
      <c r="Y620" s="120" t="b">
        <f t="shared" si="439"/>
        <v>0</v>
      </c>
      <c r="Z620" s="117">
        <f t="shared" si="440"/>
        <v>0</v>
      </c>
      <c r="AA620" s="118"/>
      <c r="AB620" s="118" t="str">
        <f t="shared" si="441"/>
        <v/>
      </c>
      <c r="AC620" s="712" t="str">
        <f>IF(AE620="T2G","no charge",IF(AND(OR(PlanterYesMe="No",PlanterYesMe="N",PlanterYesMe="me"),H620=""),"",IF(H620="credit","NO install",IF(AND(K620="",AE620="me"),"EACH row",IF(AND(K620="images",AE620="me"),"EACH row",IF(D620="","",IF(H620="credit","",IF(AE620="free","re-planting",IF(AE620="me","   not ELP, by",IF(AND(OR(PlanterYesMe="Yes",PlanterYesMe="Y"),G620&gt;0),(VLOOKUP(A620,'Discount Lookup'!J:K,2)*G620*(1-PlanterDiscount)*(1+PlanterDifficultyPercentage)),IF(AE620="ELP",(VLOOKUP(A620,'Discount Lookup'!J:K,2)*G620*(1-PlanterDiscount)*(1+PlanterDifficultyPercentage)),IF(AE620="free","re-planting",IF(G620=0,"",IF(PlanterYesMe="",IF(AE620="me","   not ELP, by",IF(AE620="",IF(G620&gt;0,(VLOOKUP(A620,'Discount Lookup'!J:K,2)*G620*(1-PlanterDiscount)*(1+PlanterDifficultyPercentage)),""),"")),"   not ELP, by"))))))))))))))</f>
        <v/>
      </c>
      <c r="AD620" s="712"/>
      <c r="AE620" s="513" t="str">
        <f t="shared" si="442"/>
        <v/>
      </c>
      <c r="AF620" s="713" t="str">
        <f t="shared" si="443"/>
        <v/>
      </c>
      <c r="AG620" s="713"/>
      <c r="AH620" s="713"/>
      <c r="AI620" s="112">
        <f>IF(H620="credit",0,IF(AE620="free",0,IF(AE620="me",0,IF(G620&gt;0,(VLOOKUP(A620,'Discount Lookup'!J:K,2)*G620),0))))</f>
        <v>0</v>
      </c>
      <c r="AJ620" s="107" t="str">
        <f t="shared" ca="1" si="444"/>
        <v/>
      </c>
      <c r="AK620" s="714" t="str">
        <f t="shared" si="445"/>
        <v/>
      </c>
      <c r="AL620" s="714"/>
      <c r="AM620" s="114" t="str">
        <f t="shared" si="446"/>
        <v/>
      </c>
      <c r="AN620" s="115"/>
      <c r="AO620" s="116"/>
      <c r="AP620" s="116"/>
      <c r="AQ620" s="116"/>
      <c r="AR620" s="116"/>
      <c r="AS620" s="116"/>
      <c r="AT620" s="116"/>
      <c r="AU620" s="116"/>
      <c r="AV620" s="78"/>
      <c r="AW620" s="102"/>
      <c r="AX620" s="78"/>
      <c r="AY620" s="78"/>
      <c r="AZ620" s="78"/>
      <c r="BA620" s="78"/>
      <c r="BB620" s="78"/>
      <c r="BC620" s="78"/>
      <c r="BD620" s="78"/>
      <c r="BE620" s="465"/>
      <c r="BF620" s="165" t="str">
        <f t="shared" si="447"/>
        <v>https://www.google.com/search?tbm=isch&amp;q=7%20G4</v>
      </c>
      <c r="BG620" s="165" t="str">
        <f t="shared" si="448"/>
        <v>B</v>
      </c>
      <c r="BH620" s="65"/>
      <c r="BI620" s="65"/>
      <c r="BJ620" s="65"/>
      <c r="BK620" s="65"/>
      <c r="BL620" s="99"/>
      <c r="BM620" s="99"/>
      <c r="BN620" s="99"/>
    </row>
    <row r="621" spans="1:66" s="51" customFormat="1" ht="15.75" x14ac:dyDescent="0.25">
      <c r="A621" s="508" t="s">
        <v>1723</v>
      </c>
      <c r="B621" s="487"/>
      <c r="C621" s="707"/>
      <c r="D621" s="487"/>
      <c r="E621" s="487"/>
      <c r="F621" s="488"/>
      <c r="G621" s="489"/>
      <c r="H621" s="487"/>
      <c r="I621" s="490"/>
      <c r="J621" s="490"/>
      <c r="K621" s="491"/>
      <c r="L621" s="547"/>
      <c r="M621" s="528"/>
      <c r="N621" s="492"/>
      <c r="O621" s="493"/>
      <c r="P621" s="494"/>
      <c r="Q621" s="492"/>
      <c r="R621" s="492"/>
      <c r="S621" s="699" t="s">
        <v>5259</v>
      </c>
      <c r="T621" s="102">
        <f t="shared" si="436"/>
        <v>0</v>
      </c>
      <c r="U621" s="78" t="str">
        <f>IF(NOT(ISNUMBER(G621)), "", VLOOKUP(A621,'Discount Lookup'!D:E,2,FALSE)*G621)</f>
        <v/>
      </c>
      <c r="V621" s="78" t="str">
        <f>IF(NOT(ISNUMBER(G621)), "", VLOOKUP(A621,'Discount Lookup'!G:H,2,FALSE)*G621)</f>
        <v/>
      </c>
      <c r="W621" s="102">
        <f t="shared" si="437"/>
        <v>0</v>
      </c>
      <c r="X621" s="102">
        <f t="shared" si="438"/>
        <v>0</v>
      </c>
      <c r="Y621" s="120" t="b">
        <f t="shared" si="439"/>
        <v>0</v>
      </c>
      <c r="Z621" s="117">
        <f t="shared" si="440"/>
        <v>0</v>
      </c>
      <c r="AA621" s="118"/>
      <c r="AB621" s="118" t="str">
        <f t="shared" si="441"/>
        <v/>
      </c>
      <c r="AC621" s="712" t="str">
        <f>IF(AE621="T2G","no charge",IF(AND(OR(PlanterYesMe="No",PlanterYesMe="N",PlanterYesMe="me"),H621=""),"",IF(H621="credit","NO install",IF(AND(K621="",AE621="me"),"EACH row",IF(AND(K621="images",AE621="me"),"EACH row",IF(D621="","",IF(H621="credit","",IF(AE621="free","re-planting",IF(AE621="me","   not ELP, by",IF(AND(OR(PlanterYesMe="Yes",PlanterYesMe="Y"),G621&gt;0),(VLOOKUP(A621,'Discount Lookup'!J:K,2)*G621*(1-PlanterDiscount)*(1+PlanterDifficultyPercentage)),IF(AE621="ELP",(VLOOKUP(A621,'Discount Lookup'!J:K,2)*G621*(1-PlanterDiscount)*(1+PlanterDifficultyPercentage)),IF(AE621="free","re-planting",IF(G621=0,"",IF(PlanterYesMe="",IF(AE621="me","   not ELP, by",IF(AE621="",IF(G621&gt;0,(VLOOKUP(A621,'Discount Lookup'!J:K,2)*G621*(1-PlanterDiscount)*(1+PlanterDifficultyPercentage)),""),"")),"   not ELP, by"))))))))))))))</f>
        <v/>
      </c>
      <c r="AD621" s="712"/>
      <c r="AE621" s="513" t="str">
        <f t="shared" si="442"/>
        <v/>
      </c>
      <c r="AF621" s="713" t="str">
        <f t="shared" si="443"/>
        <v/>
      </c>
      <c r="AG621" s="713"/>
      <c r="AH621" s="713"/>
      <c r="AI621" s="112">
        <f>IF(H621="credit",0,IF(AE621="free",0,IF(AE621="me",0,IF(G621&gt;0,(VLOOKUP(A621,'Discount Lookup'!J:K,2)*G621),0))))</f>
        <v>0</v>
      </c>
      <c r="AJ621" s="107" t="str">
        <f t="shared" ca="1" si="444"/>
        <v/>
      </c>
      <c r="AK621" s="714" t="str">
        <f t="shared" si="445"/>
        <v/>
      </c>
      <c r="AL621" s="714"/>
      <c r="AM621" s="114" t="str">
        <f t="shared" si="446"/>
        <v/>
      </c>
      <c r="AN621" s="115"/>
      <c r="AO621" s="116"/>
      <c r="AP621" s="116"/>
      <c r="AQ621" s="116"/>
      <c r="AR621" s="116"/>
      <c r="AS621" s="116"/>
      <c r="AT621" s="116"/>
      <c r="AU621" s="116"/>
      <c r="AV621" s="78"/>
      <c r="AW621" s="102"/>
      <c r="AX621" s="78"/>
      <c r="AY621" s="78"/>
      <c r="AZ621" s="78"/>
      <c r="BA621" s="78"/>
      <c r="BB621" s="78"/>
      <c r="BC621" s="78"/>
      <c r="BD621" s="78"/>
      <c r="BE621" s="465"/>
      <c r="BF621" s="165" t="str">
        <f t="shared" si="447"/>
        <v>https://www.google.com/search?tbm=isch&amp;q=Green%20Velvet%20is%20cold-hardy%2C%20naturally%20rounded%2C%20and%20has%20excellent%20winter%20color%20retention.%20Slow-growing%2C%20dense%2C%20and%20ideal%20for%20hedges%20and%20borders%20</v>
      </c>
      <c r="BG621" s="165" t="str">
        <f t="shared" si="448"/>
        <v>G</v>
      </c>
      <c r="BH621" s="65"/>
      <c r="BI621" s="65"/>
      <c r="BJ621" s="65"/>
      <c r="BK621" s="65"/>
      <c r="BL621" s="99"/>
      <c r="BM621" s="99"/>
      <c r="BN621" s="99"/>
    </row>
    <row r="622" spans="1:66" s="51" customFormat="1" ht="55.5" x14ac:dyDescent="0.25">
      <c r="A622" s="520" t="s">
        <v>352</v>
      </c>
      <c r="B622" s="501"/>
      <c r="C622" s="502"/>
      <c r="D622" s="502"/>
      <c r="E622" s="502"/>
      <c r="F622" s="502"/>
      <c r="G622" s="502"/>
      <c r="H622" s="502"/>
      <c r="I622" s="502"/>
      <c r="J622" s="502"/>
      <c r="K622" s="509" t="s">
        <v>871</v>
      </c>
      <c r="L622" s="503"/>
      <c r="M622" s="563"/>
      <c r="N622" s="504"/>
      <c r="O622" s="504"/>
      <c r="P622" s="504"/>
      <c r="Q622" s="504"/>
      <c r="R622" s="504"/>
      <c r="S622" s="511" t="s">
        <v>1546</v>
      </c>
      <c r="T622" s="102">
        <f t="shared" si="436"/>
        <v>0</v>
      </c>
      <c r="U622" s="78" t="str">
        <f>IF(NOT(ISNUMBER(G622)), "", VLOOKUP(A622,'Discount Lookup'!D:E,2,FALSE)*G622)</f>
        <v/>
      </c>
      <c r="V622" s="78" t="str">
        <f>IF(NOT(ISNUMBER(G622)), "", VLOOKUP(A622,'Discount Lookup'!G:H,2,FALSE)*G622)</f>
        <v/>
      </c>
      <c r="W622" s="102">
        <f t="shared" si="437"/>
        <v>0</v>
      </c>
      <c r="X622" s="102">
        <f t="shared" si="438"/>
        <v>0</v>
      </c>
      <c r="Y622" s="120" t="b">
        <f t="shared" si="439"/>
        <v>0</v>
      </c>
      <c r="Z622" s="117">
        <f t="shared" si="440"/>
        <v>0</v>
      </c>
      <c r="AA622" s="118"/>
      <c r="AB622" s="118" t="str">
        <f t="shared" si="441"/>
        <v/>
      </c>
      <c r="AC622" s="712" t="str">
        <f>IF(AE622="T2G","no charge",IF(AND(OR(PlanterYesMe="No",PlanterYesMe="N",PlanterYesMe="me"),H622=""),"",IF(H622="credit","NO install",IF(AND(K622="",AE622="me"),"EACH row",IF(AND(K622="images",AE622="me"),"EACH row",IF(D622="","",IF(H622="credit","",IF(AE622="free","re-planting",IF(AE622="me","   not ELP, by",IF(AND(OR(PlanterYesMe="Yes",PlanterYesMe="Y"),G622&gt;0),(VLOOKUP(A622,'Discount Lookup'!J:K,2)*G622*(1-PlanterDiscount)*(1+PlanterDifficultyPercentage)),IF(AE622="ELP",(VLOOKUP(A622,'Discount Lookup'!J:K,2)*G622*(1-PlanterDiscount)*(1+PlanterDifficultyPercentage)),IF(AE622="free","re-planting",IF(G622=0,"",IF(PlanterYesMe="",IF(AE622="me","   not ELP, by",IF(AE622="",IF(G622&gt;0,(VLOOKUP(A622,'Discount Lookup'!J:K,2)*G622*(1-PlanterDiscount)*(1+PlanterDifficultyPercentage)),""),"")),"   not ELP, by"))))))))))))))</f>
        <v/>
      </c>
      <c r="AD622" s="712"/>
      <c r="AE622" s="513" t="str">
        <f t="shared" si="442"/>
        <v/>
      </c>
      <c r="AF622" s="713" t="str">
        <f t="shared" si="443"/>
        <v/>
      </c>
      <c r="AG622" s="713"/>
      <c r="AH622" s="713"/>
      <c r="AI622" s="112">
        <f>IF(H622="credit",0,IF(AE622="free",0,IF(AE622="me",0,IF(G622&gt;0,(VLOOKUP(A622,'Discount Lookup'!J:K,2)*G622),0))))</f>
        <v>0</v>
      </c>
      <c r="AJ622" s="107" t="str">
        <f t="shared" ca="1" si="444"/>
        <v/>
      </c>
      <c r="AK622" s="714" t="str">
        <f t="shared" si="445"/>
        <v/>
      </c>
      <c r="AL622" s="714"/>
      <c r="AM622" s="114" t="str">
        <f t="shared" si="446"/>
        <v/>
      </c>
      <c r="AN622" s="115"/>
      <c r="AO622" s="116"/>
      <c r="AP622" s="116"/>
      <c r="AQ622" s="116"/>
      <c r="AR622" s="116"/>
      <c r="AS622" s="116"/>
      <c r="AT622" s="116"/>
      <c r="AU622" s="116"/>
      <c r="AV622" s="78"/>
      <c r="AW622" s="102"/>
      <c r="AX622" s="78"/>
      <c r="AY622" s="78"/>
      <c r="AZ622" s="78"/>
      <c r="BA622" s="78"/>
      <c r="BB622" s="78"/>
      <c r="BC622" s="78"/>
      <c r="BD622" s="78"/>
      <c r="BE622" s="465"/>
      <c r="BF622" s="165" t="str">
        <f t="shared" si="447"/>
        <v>https://www.google.com/search?tbm=isch&amp;q=C%20</v>
      </c>
      <c r="BG622" s="165" t="str">
        <f t="shared" si="448"/>
        <v>C</v>
      </c>
      <c r="BH622" s="65"/>
      <c r="BI622" s="65"/>
      <c r="BJ622" s="65"/>
      <c r="BK622" s="65"/>
      <c r="BL622" s="99"/>
      <c r="BM622" s="99"/>
      <c r="BN622" s="99"/>
    </row>
    <row r="623" spans="1:66" s="51" customFormat="1" ht="19.5" thickBot="1" x14ac:dyDescent="0.3">
      <c r="A623" s="686" t="s">
        <v>397</v>
      </c>
      <c r="B623" s="73"/>
      <c r="C623" s="708"/>
      <c r="D623" s="73"/>
      <c r="E623" s="73"/>
      <c r="F623" s="496"/>
      <c r="G623" s="73"/>
      <c r="H623" s="73"/>
      <c r="I623" s="73"/>
      <c r="J623" s="497" t="s">
        <v>357</v>
      </c>
      <c r="K623" s="498"/>
      <c r="L623" s="562"/>
      <c r="M623" s="73"/>
      <c r="N623"/>
      <c r="O623"/>
      <c r="P623"/>
      <c r="Q623"/>
      <c r="R623"/>
      <c r="S623"/>
      <c r="T623" s="102">
        <f t="shared" si="436"/>
        <v>0</v>
      </c>
      <c r="U623" s="78" t="str">
        <f>IF(NOT(ISNUMBER(G623)), "", VLOOKUP(A623,'Discount Lookup'!D:E,2,FALSE)*G623)</f>
        <v/>
      </c>
      <c r="V623" s="78" t="str">
        <f>IF(NOT(ISNUMBER(G623)), "", VLOOKUP(A623,'Discount Lookup'!G:H,2,FALSE)*G623)</f>
        <v/>
      </c>
      <c r="W623" s="102">
        <f t="shared" si="437"/>
        <v>0</v>
      </c>
      <c r="X623" s="102">
        <f t="shared" si="438"/>
        <v>0</v>
      </c>
      <c r="Y623" s="120" t="b">
        <f t="shared" si="439"/>
        <v>0</v>
      </c>
      <c r="Z623" s="117">
        <f t="shared" si="440"/>
        <v>0</v>
      </c>
      <c r="AA623" s="118"/>
      <c r="AB623" s="118" t="str">
        <f t="shared" si="441"/>
        <v/>
      </c>
      <c r="AC623" s="712" t="str">
        <f>IF(AE623="T2G","no charge",IF(AND(OR(PlanterYesMe="No",PlanterYesMe="N",PlanterYesMe="me"),H623=""),"",IF(H623="credit","NO install",IF(AND(K623="",AE623="me"),"EACH row",IF(AND(K623="images",AE623="me"),"EACH row",IF(D623="","",IF(H623="credit","",IF(AE623="free","re-planting",IF(AE623="me","   not ELP, by",IF(AND(OR(PlanterYesMe="Yes",PlanterYesMe="Y"),G623&gt;0),(VLOOKUP(A623,'Discount Lookup'!J:K,2)*G623*(1-PlanterDiscount)*(1+PlanterDifficultyPercentage)),IF(AE623="ELP",(VLOOKUP(A623,'Discount Lookup'!J:K,2)*G623*(1-PlanterDiscount)*(1+PlanterDifficultyPercentage)),IF(AE623="free","re-planting",IF(G623=0,"",IF(PlanterYesMe="",IF(AE623="me","   not ELP, by",IF(AE623="",IF(G623&gt;0,(VLOOKUP(A623,'Discount Lookup'!J:K,2)*G623*(1-PlanterDiscount)*(1+PlanterDifficultyPercentage)),""),"")),"   not ELP, by"))))))))))))))</f>
        <v/>
      </c>
      <c r="AD623" s="712"/>
      <c r="AE623" s="513" t="str">
        <f t="shared" si="442"/>
        <v/>
      </c>
      <c r="AF623" s="713" t="str">
        <f t="shared" si="443"/>
        <v/>
      </c>
      <c r="AG623" s="713"/>
      <c r="AH623" s="713"/>
      <c r="AI623" s="112">
        <f>IF(H623="credit",0,IF(AE623="free",0,IF(AE623="me",0,IF(G623&gt;0,(VLOOKUP(A623,'Discount Lookup'!J:K,2)*G623),0))))</f>
        <v>0</v>
      </c>
      <c r="AJ623" s="107" t="str">
        <f t="shared" ca="1" si="444"/>
        <v/>
      </c>
      <c r="AK623" s="714" t="str">
        <f t="shared" si="445"/>
        <v/>
      </c>
      <c r="AL623" s="714"/>
      <c r="AM623" s="114" t="str">
        <f t="shared" si="446"/>
        <v/>
      </c>
      <c r="AN623" s="115"/>
      <c r="AO623" s="116"/>
      <c r="AP623" s="116"/>
      <c r="AQ623" s="116"/>
      <c r="AR623" s="116"/>
      <c r="AS623" s="116"/>
      <c r="AT623" s="116"/>
      <c r="AU623" s="116"/>
      <c r="AV623" s="78"/>
      <c r="AW623" s="102"/>
      <c r="AX623" s="78"/>
      <c r="AY623" s="78"/>
      <c r="AZ623" s="78"/>
      <c r="BA623" s="78"/>
      <c r="BB623" s="78"/>
      <c r="BC623" s="78"/>
      <c r="BD623" s="78"/>
      <c r="BE623" s="465"/>
      <c r="BF623" s="165" t="str">
        <f t="shared" si="447"/>
        <v>https://www.google.com/search?tbm=isch&amp;q=Calamagrostis%20%3D%20Reed%20Grass%20</v>
      </c>
      <c r="BG623" s="165" t="str">
        <f t="shared" si="448"/>
        <v>C</v>
      </c>
      <c r="BH623" s="65"/>
      <c r="BI623" s="65"/>
      <c r="BJ623" s="65"/>
      <c r="BK623" s="65"/>
      <c r="BL623" s="99"/>
      <c r="BM623" s="99"/>
      <c r="BN623" s="99"/>
    </row>
    <row r="624" spans="1:66" s="51" customFormat="1" ht="18" x14ac:dyDescent="0.25">
      <c r="A624" s="623" t="s">
        <v>1724</v>
      </c>
      <c r="B624" s="624"/>
      <c r="C624" s="709"/>
      <c r="D624" s="625" t="s">
        <v>1725</v>
      </c>
      <c r="E624" s="626"/>
      <c r="F624" s="626"/>
      <c r="G624" s="626"/>
      <c r="H624" s="622" t="s">
        <v>1726</v>
      </c>
      <c r="I624" s="627" t="s">
        <v>432</v>
      </c>
      <c r="J624" s="628"/>
      <c r="K624" s="628"/>
      <c r="L624" s="629"/>
      <c r="M624" s="700" t="s">
        <v>5249</v>
      </c>
      <c r="N624" s="693" t="str">
        <f>IF(AND(ISTEXT($A624), ISERROR($A624+0)), HYPERLINK($BF624, "Images"), "")</f>
        <v>Images</v>
      </c>
      <c r="O624" s="695" t="s">
        <v>5244</v>
      </c>
      <c r="P624" s="630"/>
      <c r="Q624" s="631"/>
      <c r="R624" s="632"/>
      <c r="S624" s="633"/>
      <c r="T624" s="102">
        <f t="shared" si="436"/>
        <v>0</v>
      </c>
      <c r="U624" s="78" t="str">
        <f>IF(NOT(ISNUMBER(G624)), "", VLOOKUP(A624,'Discount Lookup'!D:E,2,FALSE)*G624)</f>
        <v/>
      </c>
      <c r="V624" s="78" t="str">
        <f>IF(NOT(ISNUMBER(G624)), "", VLOOKUP(A624,'Discount Lookup'!G:H,2,FALSE)*G624)</f>
        <v/>
      </c>
      <c r="W624" s="102">
        <f t="shared" si="437"/>
        <v>0</v>
      </c>
      <c r="X624" s="102" t="str">
        <f t="shared" si="438"/>
        <v>Green foliage</v>
      </c>
      <c r="Y624" s="120" t="b">
        <f t="shared" si="439"/>
        <v>0</v>
      </c>
      <c r="Z624" s="117">
        <f t="shared" si="440"/>
        <v>0</v>
      </c>
      <c r="AA624" s="118"/>
      <c r="AB624" s="118" t="str">
        <f t="shared" si="441"/>
        <v/>
      </c>
      <c r="AC624" s="712" t="str">
        <f>IF(AE624="T2G","no charge",IF(AND(OR(PlanterYesMe="No",PlanterYesMe="N",PlanterYesMe="me"),H624=""),"",IF(H624="credit","NO install",IF(AND(K624="",AE624="me"),"EACH row",IF(AND(K624="images",AE624="me"),"EACH row",IF(D624="","",IF(H624="credit","",IF(AE624="free","re-planting",IF(AE624="me","   not ELP, by",IF(AND(OR(PlanterYesMe="Yes",PlanterYesMe="Y"),G624&gt;0),(VLOOKUP(A624,'Discount Lookup'!J:K,2)*G624*(1-PlanterDiscount)*(1+PlanterDifficultyPercentage)),IF(AE624="ELP",(VLOOKUP(A624,'Discount Lookup'!J:K,2)*G624*(1-PlanterDiscount)*(1+PlanterDifficultyPercentage)),IF(AE624="free","re-planting",IF(G624=0,"",IF(PlanterYesMe="",IF(AE624="me","   not ELP, by",IF(AE624="",IF(G624&gt;0,(VLOOKUP(A624,'Discount Lookup'!J:K,2)*G624*(1-PlanterDiscount)*(1+PlanterDifficultyPercentage)),""),"")),"   not ELP, by"))))))))))))))</f>
        <v/>
      </c>
      <c r="AD624" s="712"/>
      <c r="AE624" s="513" t="str">
        <f t="shared" si="442"/>
        <v/>
      </c>
      <c r="AF624" s="713" t="str">
        <f t="shared" si="443"/>
        <v/>
      </c>
      <c r="AG624" s="713"/>
      <c r="AH624" s="713"/>
      <c r="AI624" s="112">
        <f>IF(H624="credit",0,IF(AE624="free",0,IF(AE624="me",0,IF(G624&gt;0,(VLOOKUP(A624,'Discount Lookup'!J:K,2)*G624),0))))</f>
        <v>0</v>
      </c>
      <c r="AJ624" s="107" t="str">
        <f t="shared" ca="1" si="444"/>
        <v/>
      </c>
      <c r="AK624" s="714" t="str">
        <f t="shared" si="445"/>
        <v/>
      </c>
      <c r="AL624" s="714"/>
      <c r="AM624" s="114" t="str">
        <f t="shared" si="446"/>
        <v/>
      </c>
      <c r="AN624" s="115"/>
      <c r="AO624" s="116"/>
      <c r="AP624" s="116"/>
      <c r="AQ624" s="116"/>
      <c r="AR624" s="116"/>
      <c r="AS624" s="116"/>
      <c r="AT624" s="116"/>
      <c r="AU624" s="116"/>
      <c r="AV624" s="78"/>
      <c r="AW624" s="102"/>
      <c r="AX624" s="78"/>
      <c r="AY624" s="78"/>
      <c r="AZ624" s="78"/>
      <c r="BA624" s="78"/>
      <c r="BB624" s="78"/>
      <c r="BC624" s="78"/>
      <c r="BD624" s="78"/>
      <c r="BE624" s="465"/>
      <c r="BF624" s="165" t="str">
        <f t="shared" si="447"/>
        <v>https://www.google.com/search?tbm=isch&amp;q=Calamagrostis%20x%20acutiflora%20%27Karl%20Foerster%27%20Karl%20Foerster%20Reed%20Grass</v>
      </c>
      <c r="BG624" s="165" t="str">
        <f t="shared" si="448"/>
        <v>C</v>
      </c>
      <c r="BH624" s="65"/>
      <c r="BI624" s="65"/>
      <c r="BJ624" s="65"/>
      <c r="BK624" s="65"/>
      <c r="BL624" s="99"/>
      <c r="BM624" s="99"/>
      <c r="BN624" s="99"/>
    </row>
    <row r="625" spans="1:66" s="51" customFormat="1" ht="15.75" x14ac:dyDescent="0.25">
      <c r="A625" s="634">
        <v>3</v>
      </c>
      <c r="B625" s="635" t="s">
        <v>291</v>
      </c>
      <c r="C625" s="636"/>
      <c r="D625" s="637" t="s">
        <v>310</v>
      </c>
      <c r="E625" s="638">
        <v>25.95</v>
      </c>
      <c r="F625" s="639" t="s">
        <v>292</v>
      </c>
      <c r="G625" s="484">
        <v>0</v>
      </c>
      <c r="H625" s="691" t="str">
        <f>IF(G625=0,"",IF(F625="Buy",IF(G625=1,"plant","plants"),IF(F625&gt;0.01,"warranty","Error")))</f>
        <v/>
      </c>
      <c r="I625" s="640">
        <f>IF(H625="free",0,IF(H625="credit",((E625*(F625))*G625*-1),IF(F625="Buy",(E625*G625),((E625*(1-F625))*G625))))</f>
        <v>0</v>
      </c>
      <c r="J625" s="640">
        <f>IF(H625="warranty",0,(I625*(_xlfn.SINGLE(SalesTaxPercentage))))</f>
        <v>0</v>
      </c>
      <c r="K625" s="716">
        <f t="shared" ref="K625" si="462">I625+J625</f>
        <v>0</v>
      </c>
      <c r="L625" s="716"/>
      <c r="M625" s="689" t="str">
        <f ca="1">IF(AND(G625&gt;0,E625=0),"WARNING - no PRICE inserted",IF(H625="free","FREE ~ no charge this plant",IF(H625="credit",CONCATENATE("-$",ROUND(K625*(1-_xlfn.SINGLE(T2GDiscount))*-1,2)," CREDIT after discount"),IF(_xlfn.SINGLE(T2GDiscount)=0,"",IF(G625=0,"",IF(F625="Buy",CONCATENATE("$",ROUND(K625*(1-_xlfn.SINGLE(T2GDiscount)),2)," with ",(_xlfn.SINGLE(T2GDiscount)*100),"% discount"),CONCATENATE("$",ROUND(K625*(1-_xlfn.SINGLE(T2GDiscount)),2)," with ",((_xlfn.SINGLE(T2GDiscount)*100+F625*100)-(_xlfn.SINGLE(T2GDiscount)*100*F625)),IF(F625&gt;0,"% discounts",IF(_xlfn.SINGLE(NoWarrantyDiscount)&gt;0,"% discounts","% discount")))))))))</f>
        <v/>
      </c>
      <c r="N625" s="690"/>
      <c r="O625" s="486"/>
      <c r="P625" s="486"/>
      <c r="Q625" s="486"/>
      <c r="R625" s="486"/>
      <c r="S625" s="486"/>
      <c r="T625" s="102">
        <f t="shared" si="436"/>
        <v>0</v>
      </c>
      <c r="U625" s="78">
        <f>IF(NOT(ISNUMBER(G625)), "", VLOOKUP(A625,'Discount Lookup'!D:E,2,FALSE)*G625)</f>
        <v>0</v>
      </c>
      <c r="V625" s="78">
        <f>IF(NOT(ISNUMBER(G625)), "", VLOOKUP(A625,'Discount Lookup'!G:H,2,FALSE)*G625)</f>
        <v>0</v>
      </c>
      <c r="W625" s="102">
        <f t="shared" si="437"/>
        <v>0</v>
      </c>
      <c r="X625" s="102">
        <f t="shared" si="438"/>
        <v>0</v>
      </c>
      <c r="Y625" s="120" t="b">
        <f t="shared" si="439"/>
        <v>0</v>
      </c>
      <c r="Z625" s="117">
        <f t="shared" si="440"/>
        <v>0</v>
      </c>
      <c r="AA625" s="118"/>
      <c r="AB625" s="118" t="str">
        <f t="shared" si="441"/>
        <v/>
      </c>
      <c r="AC625" s="712" t="str">
        <f>IF(AE625="T2G","no charge",IF(AND(OR(PlanterYesMe="No",PlanterYesMe="N",PlanterYesMe="me"),H625=""),"",IF(H625="credit","NO install",IF(AND(K625="",AE625="me"),"EACH row",IF(AND(K625="images",AE625="me"),"EACH row",IF(D625="","",IF(H625="credit","",IF(AE625="free","re-planting",IF(AE625="me","   not ELP, by",IF(AND(OR(PlanterYesMe="Yes",PlanterYesMe="Y"),G625&gt;0),(VLOOKUP(A625,'Discount Lookup'!J:K,2)*G625*(1-PlanterDiscount)*(1+PlanterDifficultyPercentage)),IF(AE625="ELP",(VLOOKUP(A625,'Discount Lookup'!J:K,2)*G625*(1-PlanterDiscount)*(1+PlanterDifficultyPercentage)),IF(AE625="free","re-planting",IF(G625=0,"",IF(PlanterYesMe="",IF(AE625="me","   not ELP, by",IF(AE625="",IF(G625&gt;0,(VLOOKUP(A625,'Discount Lookup'!J:K,2)*G625*(1-PlanterDiscount)*(1+PlanterDifficultyPercentage)),""),"")),"   not ELP, by"))))))))))))))</f>
        <v/>
      </c>
      <c r="AD625" s="712"/>
      <c r="AE625" s="513" t="str">
        <f t="shared" si="442"/>
        <v/>
      </c>
      <c r="AF625" s="713" t="str">
        <f t="shared" si="443"/>
        <v/>
      </c>
      <c r="AG625" s="713"/>
      <c r="AH625" s="713"/>
      <c r="AI625" s="112">
        <f>IF(H625="credit",0,IF(AE625="free",0,IF(AE625="me",0,IF(G625&gt;0,(VLOOKUP(A625,'Discount Lookup'!J:K,2)*G625),0))))</f>
        <v>0</v>
      </c>
      <c r="AJ625" s="107" t="str">
        <f t="shared" ca="1" si="444"/>
        <v/>
      </c>
      <c r="AK625" s="714" t="str">
        <f t="shared" si="445"/>
        <v/>
      </c>
      <c r="AL625" s="714"/>
      <c r="AM625" s="114" t="str">
        <f t="shared" si="446"/>
        <v/>
      </c>
      <c r="AN625" s="115"/>
      <c r="AO625" s="116"/>
      <c r="AP625" s="116"/>
      <c r="AQ625" s="116"/>
      <c r="AR625" s="116"/>
      <c r="AS625" s="116"/>
      <c r="AT625" s="116"/>
      <c r="AU625" s="116"/>
      <c r="AV625" s="78"/>
      <c r="AW625" s="102"/>
      <c r="AX625" s="78"/>
      <c r="AY625" s="78"/>
      <c r="AZ625" s="78"/>
      <c r="BA625" s="78"/>
      <c r="BB625" s="78"/>
      <c r="BC625" s="78"/>
      <c r="BD625" s="78"/>
      <c r="BE625" s="465"/>
      <c r="BF625" s="165" t="str">
        <f t="shared" si="447"/>
        <v>https://www.google.com/search?tbm=isch&amp;q=3%20G1</v>
      </c>
      <c r="BG625" s="165" t="str">
        <f t="shared" si="448"/>
        <v>C</v>
      </c>
      <c r="BH625" s="65"/>
      <c r="BI625" s="65"/>
      <c r="BJ625" s="65"/>
      <c r="BK625" s="65"/>
      <c r="BL625" s="99"/>
      <c r="BM625" s="99"/>
      <c r="BN625" s="99"/>
    </row>
    <row r="626" spans="1:66" s="51" customFormat="1" ht="16.5" x14ac:dyDescent="0.25">
      <c r="A626" s="641" t="s">
        <v>1727</v>
      </c>
      <c r="B626" s="642"/>
      <c r="C626" s="710"/>
      <c r="D626" s="643"/>
      <c r="E626" s="643"/>
      <c r="F626" s="644"/>
      <c r="G626" s="645"/>
      <c r="H626" s="646"/>
      <c r="I626" s="647"/>
      <c r="J626" s="648"/>
      <c r="K626" s="649"/>
      <c r="L626" s="650"/>
      <c r="M626" s="650"/>
      <c r="N626" s="644"/>
      <c r="O626" s="644"/>
      <c r="P626" s="644"/>
      <c r="Q626" s="644"/>
      <c r="R626" s="644"/>
      <c r="S626" s="701" t="s">
        <v>5272</v>
      </c>
      <c r="T626" s="102">
        <f t="shared" si="436"/>
        <v>0</v>
      </c>
      <c r="U626" s="78" t="str">
        <f>IF(NOT(ISNUMBER(G626)), "", VLOOKUP(A626,'Discount Lookup'!D:E,2,FALSE)*G626)</f>
        <v/>
      </c>
      <c r="V626" s="78" t="str">
        <f>IF(NOT(ISNUMBER(G626)), "", VLOOKUP(A626,'Discount Lookup'!G:H,2,FALSE)*G626)</f>
        <v/>
      </c>
      <c r="W626" s="102">
        <f t="shared" si="437"/>
        <v>0</v>
      </c>
      <c r="X626" s="102">
        <f t="shared" si="438"/>
        <v>0</v>
      </c>
      <c r="Y626" s="120" t="b">
        <f t="shared" si="439"/>
        <v>0</v>
      </c>
      <c r="Z626" s="117">
        <f t="shared" si="440"/>
        <v>0</v>
      </c>
      <c r="AA626" s="118"/>
      <c r="AB626" s="118" t="str">
        <f t="shared" si="441"/>
        <v/>
      </c>
      <c r="AC626" s="712" t="str">
        <f>IF(AE626="T2G","no charge",IF(AND(OR(PlanterYesMe="No",PlanterYesMe="N",PlanterYesMe="me"),H626=""),"",IF(H626="credit","NO install",IF(AND(K626="",AE626="me"),"EACH row",IF(AND(K626="images",AE626="me"),"EACH row",IF(D626="","",IF(H626="credit","",IF(AE626="free","re-planting",IF(AE626="me","   not ELP, by",IF(AND(OR(PlanterYesMe="Yes",PlanterYesMe="Y"),G626&gt;0),(VLOOKUP(A626,'Discount Lookup'!J:K,2)*G626*(1-PlanterDiscount)*(1+PlanterDifficultyPercentage)),IF(AE626="ELP",(VLOOKUP(A626,'Discount Lookup'!J:K,2)*G626*(1-PlanterDiscount)*(1+PlanterDifficultyPercentage)),IF(AE626="free","re-planting",IF(G626=0,"",IF(PlanterYesMe="",IF(AE626="me","   not ELP, by",IF(AE626="",IF(G626&gt;0,(VLOOKUP(A626,'Discount Lookup'!J:K,2)*G626*(1-PlanterDiscount)*(1+PlanterDifficultyPercentage)),""),"")),"   not ELP, by"))))))))))))))</f>
        <v/>
      </c>
      <c r="AD626" s="712"/>
      <c r="AE626" s="513" t="str">
        <f t="shared" si="442"/>
        <v/>
      </c>
      <c r="AF626" s="713" t="str">
        <f t="shared" si="443"/>
        <v/>
      </c>
      <c r="AG626" s="713"/>
      <c r="AH626" s="713"/>
      <c r="AI626" s="112">
        <f>IF(H626="credit",0,IF(AE626="free",0,IF(AE626="me",0,IF(G626&gt;0,(VLOOKUP(A626,'Discount Lookup'!J:K,2)*G626),0))))</f>
        <v>0</v>
      </c>
      <c r="AJ626" s="107" t="str">
        <f t="shared" ca="1" si="444"/>
        <v/>
      </c>
      <c r="AK626" s="714" t="str">
        <f t="shared" si="445"/>
        <v/>
      </c>
      <c r="AL626" s="714"/>
      <c r="AM626" s="114" t="str">
        <f t="shared" si="446"/>
        <v/>
      </c>
      <c r="AN626" s="115"/>
      <c r="AO626" s="116"/>
      <c r="AP626" s="116"/>
      <c r="AQ626" s="116"/>
      <c r="AR626" s="116"/>
      <c r="AS626" s="116"/>
      <c r="AT626" s="116"/>
      <c r="AU626" s="116"/>
      <c r="AV626" s="78"/>
      <c r="AW626" s="102"/>
      <c r="AX626" s="78"/>
      <c r="AY626" s="78"/>
      <c r="AZ626" s="78"/>
      <c r="BA626" s="78"/>
      <c r="BB626" s="78"/>
      <c r="BC626" s="78"/>
      <c r="BD626" s="78"/>
      <c r="BE626" s="465"/>
      <c r="BF626" s="165" t="str">
        <f t="shared" si="447"/>
        <v>https://www.google.com/search?tbm=isch&amp;q=Karl%20Foerster%20feathery%20plumes%20emerge%20Purplish-Pink%2C%20mature%20to%20Golden%20Tan%2C%20then%20last%20from%20early%20summer%20through%20winter%20</v>
      </c>
      <c r="BG626" s="165" t="str">
        <f t="shared" si="448"/>
        <v>K</v>
      </c>
      <c r="BH626" s="65"/>
      <c r="BI626" s="65"/>
      <c r="BJ626" s="65"/>
      <c r="BK626" s="65"/>
      <c r="BL626" s="99"/>
      <c r="BM626" s="99"/>
      <c r="BN626" s="99"/>
    </row>
    <row r="627" spans="1:66" s="51" customFormat="1" ht="19.5" thickBot="1" x14ac:dyDescent="0.3">
      <c r="A627" s="686" t="s">
        <v>380</v>
      </c>
      <c r="B627" s="73"/>
      <c r="C627" s="708"/>
      <c r="D627" s="73"/>
      <c r="E627" s="73"/>
      <c r="F627" s="496"/>
      <c r="G627" s="73"/>
      <c r="H627" s="73"/>
      <c r="I627" s="73"/>
      <c r="J627" s="497" t="s">
        <v>357</v>
      </c>
      <c r="K627" s="498"/>
      <c r="L627" s="562"/>
      <c r="M627" s="73"/>
      <c r="N627"/>
      <c r="O627"/>
      <c r="P627"/>
      <c r="Q627"/>
      <c r="R627"/>
      <c r="S627"/>
      <c r="T627" s="102">
        <f t="shared" si="436"/>
        <v>0</v>
      </c>
      <c r="U627" s="78" t="str">
        <f>IF(NOT(ISNUMBER(G627)), "", VLOOKUP(A627,'Discount Lookup'!D:E,2,FALSE)*G627)</f>
        <v/>
      </c>
      <c r="V627" s="78" t="str">
        <f>IF(NOT(ISNUMBER(G627)), "", VLOOKUP(A627,'Discount Lookup'!G:H,2,FALSE)*G627)</f>
        <v/>
      </c>
      <c r="W627" s="102">
        <f t="shared" si="437"/>
        <v>0</v>
      </c>
      <c r="X627" s="102">
        <f t="shared" si="438"/>
        <v>0</v>
      </c>
      <c r="Y627" s="120" t="b">
        <f t="shared" si="439"/>
        <v>0</v>
      </c>
      <c r="Z627" s="117">
        <f t="shared" si="440"/>
        <v>0</v>
      </c>
      <c r="AA627" s="118"/>
      <c r="AB627" s="118" t="str">
        <f t="shared" si="441"/>
        <v/>
      </c>
      <c r="AC627" s="712" t="str">
        <f>IF(AE627="T2G","no charge",IF(AND(OR(PlanterYesMe="No",PlanterYesMe="N",PlanterYesMe="me"),H627=""),"",IF(H627="credit","NO install",IF(AND(K627="",AE627="me"),"EACH row",IF(AND(K627="images",AE627="me"),"EACH row",IF(D627="","",IF(H627="credit","",IF(AE627="free","re-planting",IF(AE627="me","   not ELP, by",IF(AND(OR(PlanterYesMe="Yes",PlanterYesMe="Y"),G627&gt;0),(VLOOKUP(A627,'Discount Lookup'!J:K,2)*G627*(1-PlanterDiscount)*(1+PlanterDifficultyPercentage)),IF(AE627="ELP",(VLOOKUP(A627,'Discount Lookup'!J:K,2)*G627*(1-PlanterDiscount)*(1+PlanterDifficultyPercentage)),IF(AE627="free","re-planting",IF(G627=0,"",IF(PlanterYesMe="",IF(AE627="me","   not ELP, by",IF(AE627="",IF(G627&gt;0,(VLOOKUP(A627,'Discount Lookup'!J:K,2)*G627*(1-PlanterDiscount)*(1+PlanterDifficultyPercentage)),""),"")),"   not ELP, by"))))))))))))))</f>
        <v/>
      </c>
      <c r="AD627" s="712"/>
      <c r="AE627" s="513" t="str">
        <f t="shared" si="442"/>
        <v/>
      </c>
      <c r="AF627" s="713" t="str">
        <f t="shared" si="443"/>
        <v/>
      </c>
      <c r="AG627" s="713"/>
      <c r="AH627" s="713"/>
      <c r="AI627" s="112">
        <f>IF(H627="credit",0,IF(AE627="free",0,IF(AE627="me",0,IF(G627&gt;0,(VLOOKUP(A627,'Discount Lookup'!J:K,2)*G627),0))))</f>
        <v>0</v>
      </c>
      <c r="AJ627" s="107" t="str">
        <f t="shared" ca="1" si="444"/>
        <v/>
      </c>
      <c r="AK627" s="714" t="str">
        <f t="shared" si="445"/>
        <v/>
      </c>
      <c r="AL627" s="714"/>
      <c r="AM627" s="114" t="str">
        <f t="shared" si="446"/>
        <v/>
      </c>
      <c r="AN627" s="115"/>
      <c r="AO627" s="116"/>
      <c r="AP627" s="116"/>
      <c r="AQ627" s="116"/>
      <c r="AR627" s="116"/>
      <c r="AS627" s="116"/>
      <c r="AT627" s="116"/>
      <c r="AU627" s="116"/>
      <c r="AV627" s="78"/>
      <c r="AW627" s="102"/>
      <c r="AX627" s="78"/>
      <c r="AY627" s="78"/>
      <c r="AZ627" s="78"/>
      <c r="BA627" s="78"/>
      <c r="BB627" s="78"/>
      <c r="BC627" s="78"/>
      <c r="BD627" s="78"/>
      <c r="BE627" s="465"/>
      <c r="BF627" s="165" t="str">
        <f t="shared" si="447"/>
        <v>https://www.google.com/search?tbm=isch&amp;q=Callicarpa%20%3D%20Beautyberry%20</v>
      </c>
      <c r="BG627" s="165" t="str">
        <f t="shared" si="448"/>
        <v>C</v>
      </c>
      <c r="BH627" s="65"/>
      <c r="BI627" s="65"/>
      <c r="BJ627" s="65"/>
      <c r="BK627" s="65"/>
      <c r="BL627" s="99"/>
      <c r="BM627" s="99"/>
      <c r="BN627" s="99"/>
    </row>
    <row r="628" spans="1:66" s="51" customFormat="1" ht="18" x14ac:dyDescent="0.25">
      <c r="A628" s="623" t="s">
        <v>1728</v>
      </c>
      <c r="B628" s="624"/>
      <c r="C628" s="709"/>
      <c r="D628" s="625" t="s">
        <v>1729</v>
      </c>
      <c r="E628" s="626"/>
      <c r="F628" s="626"/>
      <c r="G628" s="626"/>
      <c r="H628" s="622" t="s">
        <v>1217</v>
      </c>
      <c r="I628" s="627" t="s">
        <v>1083</v>
      </c>
      <c r="J628" s="628"/>
      <c r="K628" s="628"/>
      <c r="L628" s="629"/>
      <c r="M628" s="700" t="s">
        <v>5249</v>
      </c>
      <c r="N628" s="693" t="str">
        <f>IF(AND(ISTEXT($A628), ISERROR($A628+0)), HYPERLINK($BF628, "Images"), "")</f>
        <v>Images</v>
      </c>
      <c r="O628" s="695" t="s">
        <v>5264</v>
      </c>
      <c r="P628" s="630"/>
      <c r="Q628" s="631"/>
      <c r="R628" s="632"/>
      <c r="S628" s="633" t="s">
        <v>294</v>
      </c>
      <c r="T628" s="102">
        <f t="shared" si="436"/>
        <v>0</v>
      </c>
      <c r="U628" s="78" t="str">
        <f>IF(NOT(ISNUMBER(G628)), "", VLOOKUP(A628,'Discount Lookup'!D:E,2,FALSE)*G628)</f>
        <v/>
      </c>
      <c r="V628" s="78" t="str">
        <f>IF(NOT(ISNUMBER(G628)), "", VLOOKUP(A628,'Discount Lookup'!G:H,2,FALSE)*G628)</f>
        <v/>
      </c>
      <c r="W628" s="102">
        <f t="shared" si="437"/>
        <v>0</v>
      </c>
      <c r="X628" s="102" t="str">
        <f t="shared" si="438"/>
        <v>Lavender-Pink bloom</v>
      </c>
      <c r="Y628" s="120" t="b">
        <f t="shared" si="439"/>
        <v>0</v>
      </c>
      <c r="Z628" s="117">
        <f t="shared" si="440"/>
        <v>0</v>
      </c>
      <c r="AA628" s="118"/>
      <c r="AB628" s="118" t="str">
        <f t="shared" si="441"/>
        <v/>
      </c>
      <c r="AC628" s="712" t="str">
        <f>IF(AE628="T2G","no charge",IF(AND(OR(PlanterYesMe="No",PlanterYesMe="N",PlanterYesMe="me"),H628=""),"",IF(H628="credit","NO install",IF(AND(K628="",AE628="me"),"EACH row",IF(AND(K628="images",AE628="me"),"EACH row",IF(D628="","",IF(H628="credit","",IF(AE628="free","re-planting",IF(AE628="me","   not ELP, by",IF(AND(OR(PlanterYesMe="Yes",PlanterYesMe="Y"),G628&gt;0),(VLOOKUP(A628,'Discount Lookup'!J:K,2)*G628*(1-PlanterDiscount)*(1+PlanterDifficultyPercentage)),IF(AE628="ELP",(VLOOKUP(A628,'Discount Lookup'!J:K,2)*G628*(1-PlanterDiscount)*(1+PlanterDifficultyPercentage)),IF(AE628="free","re-planting",IF(G628=0,"",IF(PlanterYesMe="",IF(AE628="me","   not ELP, by",IF(AE628="",IF(G628&gt;0,(VLOOKUP(A628,'Discount Lookup'!J:K,2)*G628*(1-PlanterDiscount)*(1+PlanterDifficultyPercentage)),""),"")),"   not ELP, by"))))))))))))))</f>
        <v/>
      </c>
      <c r="AD628" s="712"/>
      <c r="AE628" s="513" t="str">
        <f t="shared" si="442"/>
        <v/>
      </c>
      <c r="AF628" s="713" t="str">
        <f t="shared" si="443"/>
        <v/>
      </c>
      <c r="AG628" s="713"/>
      <c r="AH628" s="713"/>
      <c r="AI628" s="112">
        <f>IF(H628="credit",0,IF(AE628="free",0,IF(AE628="me",0,IF(G628&gt;0,(VLOOKUP(A628,'Discount Lookup'!J:K,2)*G628),0))))</f>
        <v>0</v>
      </c>
      <c r="AJ628" s="107" t="str">
        <f t="shared" ca="1" si="444"/>
        <v/>
      </c>
      <c r="AK628" s="714" t="str">
        <f t="shared" si="445"/>
        <v/>
      </c>
      <c r="AL628" s="714"/>
      <c r="AM628" s="114" t="str">
        <f t="shared" si="446"/>
        <v/>
      </c>
      <c r="AN628" s="115"/>
      <c r="AO628" s="116"/>
      <c r="AP628" s="116"/>
      <c r="AQ628" s="116"/>
      <c r="AR628" s="116"/>
      <c r="AS628" s="116"/>
      <c r="AT628" s="116"/>
      <c r="AU628" s="116"/>
      <c r="AV628" s="78"/>
      <c r="AW628" s="102"/>
      <c r="AX628" s="78"/>
      <c r="AY628" s="78"/>
      <c r="AZ628" s="78"/>
      <c r="BA628" s="78"/>
      <c r="BB628" s="78"/>
      <c r="BC628" s="78"/>
      <c r="BD628" s="78"/>
      <c r="BE628" s="465"/>
      <c r="BF628" s="165" t="str">
        <f t="shared" si="447"/>
        <v>https://www.google.com/search?tbm=isch&amp;q=Callicarpa%20americana%20American%20Beautyberry</v>
      </c>
      <c r="BG628" s="165" t="str">
        <f t="shared" si="448"/>
        <v>C</v>
      </c>
      <c r="BH628" s="65"/>
      <c r="BI628" s="65"/>
      <c r="BJ628" s="65"/>
      <c r="BK628" s="65"/>
      <c r="BL628" s="99"/>
      <c r="BM628" s="99"/>
      <c r="BN628" s="99"/>
    </row>
    <row r="629" spans="1:66" s="51" customFormat="1" ht="15.75" x14ac:dyDescent="0.25">
      <c r="A629" s="634">
        <v>3</v>
      </c>
      <c r="B629" s="635" t="s">
        <v>291</v>
      </c>
      <c r="C629" s="636" t="s">
        <v>1730</v>
      </c>
      <c r="D629" s="637" t="s">
        <v>309</v>
      </c>
      <c r="E629" s="638">
        <v>22.95</v>
      </c>
      <c r="F629" s="639" t="s">
        <v>292</v>
      </c>
      <c r="G629" s="484">
        <v>0</v>
      </c>
      <c r="H629" s="691" t="str">
        <f>IF(G629=0,"",IF(F629="Buy",IF(G629=1,"plant","plants"),IF(F629&gt;0.01,"warranty","Error")))</f>
        <v/>
      </c>
      <c r="I629" s="640">
        <f>IF(H629="free",0,IF(H629="credit",((E629*(F629))*G629*-1),IF(F629="Buy",(E629*G629),((E629*(1-F629))*G629))))</f>
        <v>0</v>
      </c>
      <c r="J629" s="640">
        <f>IF(H629="warranty",0,(I629*(_xlfn.SINGLE(SalesTaxPercentage))))</f>
        <v>0</v>
      </c>
      <c r="K629" s="716">
        <f t="shared" ref="K629" si="463">I629+J629</f>
        <v>0</v>
      </c>
      <c r="L629" s="716"/>
      <c r="M629" s="689" t="str">
        <f ca="1">IF(AND(G629&gt;0,E629=0),"WARNING - no PRICE inserted",IF(H629="free","FREE ~ no charge this plant",IF(H629="credit",CONCATENATE("-$",ROUND(K629*(1-_xlfn.SINGLE(T2GDiscount))*-1,2)," CREDIT after discount"),IF(_xlfn.SINGLE(T2GDiscount)=0,"",IF(G629=0,"",IF(F629="Buy",CONCATENATE("$",ROUND(K629*(1-_xlfn.SINGLE(T2GDiscount)),2)," with ",(_xlfn.SINGLE(T2GDiscount)*100),"% discount"),CONCATENATE("$",ROUND(K629*(1-_xlfn.SINGLE(T2GDiscount)),2)," with ",((_xlfn.SINGLE(T2GDiscount)*100+F629*100)-(_xlfn.SINGLE(T2GDiscount)*100*F629)),IF(F629&gt;0,"% discounts",IF(_xlfn.SINGLE(NoWarrantyDiscount)&gt;0,"% discounts","% discount")))))))))</f>
        <v/>
      </c>
      <c r="N629" s="690"/>
      <c r="O629" s="486"/>
      <c r="P629" s="486"/>
      <c r="Q629" s="486"/>
      <c r="R629" s="486"/>
      <c r="S629" s="486"/>
      <c r="T629" s="102">
        <f t="shared" si="436"/>
        <v>0</v>
      </c>
      <c r="U629" s="78">
        <f>IF(NOT(ISNUMBER(G629)), "", VLOOKUP(A629,'Discount Lookup'!D:E,2,FALSE)*G629)</f>
        <v>0</v>
      </c>
      <c r="V629" s="78">
        <f>IF(NOT(ISNUMBER(G629)), "", VLOOKUP(A629,'Discount Lookup'!G:H,2,FALSE)*G629)</f>
        <v>0</v>
      </c>
      <c r="W629" s="102">
        <f t="shared" si="437"/>
        <v>0</v>
      </c>
      <c r="X629" s="102">
        <f t="shared" si="438"/>
        <v>0</v>
      </c>
      <c r="Y629" s="120" t="b">
        <f t="shared" si="439"/>
        <v>0</v>
      </c>
      <c r="Z629" s="117">
        <f t="shared" si="440"/>
        <v>0</v>
      </c>
      <c r="AA629" s="118"/>
      <c r="AB629" s="118" t="str">
        <f t="shared" si="441"/>
        <v/>
      </c>
      <c r="AC629" s="712" t="str">
        <f>IF(AE629="T2G","no charge",IF(AND(OR(PlanterYesMe="No",PlanterYesMe="N",PlanterYesMe="me"),H629=""),"",IF(H629="credit","NO install",IF(AND(K629="",AE629="me"),"EACH row",IF(AND(K629="images",AE629="me"),"EACH row",IF(D629="","",IF(H629="credit","",IF(AE629="free","re-planting",IF(AE629="me","   not ELP, by",IF(AND(OR(PlanterYesMe="Yes",PlanterYesMe="Y"),G629&gt;0),(VLOOKUP(A629,'Discount Lookup'!J:K,2)*G629*(1-PlanterDiscount)*(1+PlanterDifficultyPercentage)),IF(AE629="ELP",(VLOOKUP(A629,'Discount Lookup'!J:K,2)*G629*(1-PlanterDiscount)*(1+PlanterDifficultyPercentage)),IF(AE629="free","re-planting",IF(G629=0,"",IF(PlanterYesMe="",IF(AE629="me","   not ELP, by",IF(AE629="",IF(G629&gt;0,(VLOOKUP(A629,'Discount Lookup'!J:K,2)*G629*(1-PlanterDiscount)*(1+PlanterDifficultyPercentage)),""),"")),"   not ELP, by"))))))))))))))</f>
        <v/>
      </c>
      <c r="AD629" s="712"/>
      <c r="AE629" s="513" t="str">
        <f t="shared" si="442"/>
        <v/>
      </c>
      <c r="AF629" s="713" t="str">
        <f t="shared" si="443"/>
        <v/>
      </c>
      <c r="AG629" s="713"/>
      <c r="AH629" s="713"/>
      <c r="AI629" s="112">
        <f>IF(H629="credit",0,IF(AE629="free",0,IF(AE629="me",0,IF(G629&gt;0,(VLOOKUP(A629,'Discount Lookup'!J:K,2)*G629),0))))</f>
        <v>0</v>
      </c>
      <c r="AJ629" s="107" t="str">
        <f t="shared" ca="1" si="444"/>
        <v/>
      </c>
      <c r="AK629" s="714" t="str">
        <f t="shared" si="445"/>
        <v/>
      </c>
      <c r="AL629" s="714"/>
      <c r="AM629" s="114" t="str">
        <f t="shared" si="446"/>
        <v/>
      </c>
      <c r="AN629" s="115"/>
      <c r="AO629" s="116"/>
      <c r="AP629" s="116"/>
      <c r="AQ629" s="116"/>
      <c r="AR629" s="116"/>
      <c r="AS629" s="116"/>
      <c r="AT629" s="116"/>
      <c r="AU629" s="116"/>
      <c r="AV629" s="78"/>
      <c r="AW629" s="102"/>
      <c r="AX629" s="78"/>
      <c r="AY629" s="78"/>
      <c r="AZ629" s="78"/>
      <c r="BA629" s="78"/>
      <c r="BB629" s="78"/>
      <c r="BC629" s="78"/>
      <c r="BD629" s="78"/>
      <c r="BE629" s="465"/>
      <c r="BF629" s="165" t="str">
        <f t="shared" si="447"/>
        <v>https://www.google.com/search?tbm=isch&amp;q=3%20G3</v>
      </c>
      <c r="BG629" s="165" t="str">
        <f t="shared" si="448"/>
        <v>C</v>
      </c>
      <c r="BH629" s="65"/>
      <c r="BI629" s="65"/>
      <c r="BJ629" s="65"/>
      <c r="BK629" s="65"/>
      <c r="BL629" s="99"/>
      <c r="BM629" s="99"/>
      <c r="BN629" s="99"/>
    </row>
    <row r="630" spans="1:66" s="51" customFormat="1" ht="15.75" x14ac:dyDescent="0.25">
      <c r="A630" s="634">
        <v>3</v>
      </c>
      <c r="B630" s="635" t="s">
        <v>291</v>
      </c>
      <c r="C630" s="636" t="s">
        <v>335</v>
      </c>
      <c r="D630" s="637" t="s">
        <v>310</v>
      </c>
      <c r="E630" s="638">
        <v>25.95</v>
      </c>
      <c r="F630" s="639" t="s">
        <v>292</v>
      </c>
      <c r="G630" s="484">
        <v>0</v>
      </c>
      <c r="H630" s="691" t="str">
        <f>IF(G630=0,"",IF(F630="Buy",IF(G630=1,"plant","plants"),IF(F630&gt;0.01,"warranty","Error")))</f>
        <v/>
      </c>
      <c r="I630" s="640">
        <f>IF(H630="free",0,IF(H630="credit",((E630*(F630))*G630*-1),IF(F630="Buy",(E630*G630),((E630*(1-F630))*G630))))</f>
        <v>0</v>
      </c>
      <c r="J630" s="640">
        <f>IF(H630="warranty",0,(I630*(_xlfn.SINGLE(SalesTaxPercentage))))</f>
        <v>0</v>
      </c>
      <c r="K630" s="716">
        <f t="shared" ref="K630" si="464">I630+J630</f>
        <v>0</v>
      </c>
      <c r="L630" s="716"/>
      <c r="M630" s="689" t="str">
        <f ca="1">IF(AND(G630&gt;0,E630=0),"WARNING - no PRICE inserted",IF(H630="free","FREE ~ no charge this plant",IF(H630="credit",CONCATENATE("-$",ROUND(K630*(1-_xlfn.SINGLE(T2GDiscount))*-1,2)," CREDIT after discount"),IF(_xlfn.SINGLE(T2GDiscount)=0,"",IF(G630=0,"",IF(F630="Buy",CONCATENATE("$",ROUND(K630*(1-_xlfn.SINGLE(T2GDiscount)),2)," with ",(_xlfn.SINGLE(T2GDiscount)*100),"% discount"),CONCATENATE("$",ROUND(K630*(1-_xlfn.SINGLE(T2GDiscount)),2)," with ",((_xlfn.SINGLE(T2GDiscount)*100+F630*100)-(_xlfn.SINGLE(T2GDiscount)*100*F630)),IF(F630&gt;0,"% discounts",IF(_xlfn.SINGLE(NoWarrantyDiscount)&gt;0,"% discounts","% discount")))))))))</f>
        <v/>
      </c>
      <c r="N630" s="690"/>
      <c r="O630" s="486"/>
      <c r="P630" s="486"/>
      <c r="Q630" s="486"/>
      <c r="R630" s="486"/>
      <c r="S630" s="486"/>
      <c r="T630" s="102">
        <f t="shared" si="436"/>
        <v>0</v>
      </c>
      <c r="U630" s="78">
        <f>IF(NOT(ISNUMBER(G630)), "", VLOOKUP(A630,'Discount Lookup'!D:E,2,FALSE)*G630)</f>
        <v>0</v>
      </c>
      <c r="V630" s="78">
        <f>IF(NOT(ISNUMBER(G630)), "", VLOOKUP(A630,'Discount Lookup'!G:H,2,FALSE)*G630)</f>
        <v>0</v>
      </c>
      <c r="W630" s="102">
        <f t="shared" si="437"/>
        <v>0</v>
      </c>
      <c r="X630" s="102">
        <f t="shared" si="438"/>
        <v>0</v>
      </c>
      <c r="Y630" s="120" t="b">
        <f t="shared" si="439"/>
        <v>0</v>
      </c>
      <c r="Z630" s="117">
        <f t="shared" si="440"/>
        <v>0</v>
      </c>
      <c r="AA630" s="118"/>
      <c r="AB630" s="118" t="str">
        <f t="shared" si="441"/>
        <v/>
      </c>
      <c r="AC630" s="712" t="str">
        <f>IF(AE630="T2G","no charge",IF(AND(OR(PlanterYesMe="No",PlanterYesMe="N",PlanterYesMe="me"),H630=""),"",IF(H630="credit","NO install",IF(AND(K630="",AE630="me"),"EACH row",IF(AND(K630="images",AE630="me"),"EACH row",IF(D630="","",IF(H630="credit","",IF(AE630="free","re-planting",IF(AE630="me","   not ELP, by",IF(AND(OR(PlanterYesMe="Yes",PlanterYesMe="Y"),G630&gt;0),(VLOOKUP(A630,'Discount Lookup'!J:K,2)*G630*(1-PlanterDiscount)*(1+PlanterDifficultyPercentage)),IF(AE630="ELP",(VLOOKUP(A630,'Discount Lookup'!J:K,2)*G630*(1-PlanterDiscount)*(1+PlanterDifficultyPercentage)),IF(AE630="free","re-planting",IF(G630=0,"",IF(PlanterYesMe="",IF(AE630="me","   not ELP, by",IF(AE630="",IF(G630&gt;0,(VLOOKUP(A630,'Discount Lookup'!J:K,2)*G630*(1-PlanterDiscount)*(1+PlanterDifficultyPercentage)),""),"")),"   not ELP, by"))))))))))))))</f>
        <v/>
      </c>
      <c r="AD630" s="712"/>
      <c r="AE630" s="513" t="str">
        <f t="shared" si="442"/>
        <v/>
      </c>
      <c r="AF630" s="713" t="str">
        <f t="shared" si="443"/>
        <v/>
      </c>
      <c r="AG630" s="713"/>
      <c r="AH630" s="713"/>
      <c r="AI630" s="112">
        <f>IF(H630="credit",0,IF(AE630="free",0,IF(AE630="me",0,IF(G630&gt;0,(VLOOKUP(A630,'Discount Lookup'!J:K,2)*G630),0))))</f>
        <v>0</v>
      </c>
      <c r="AJ630" s="107" t="str">
        <f t="shared" ca="1" si="444"/>
        <v/>
      </c>
      <c r="AK630" s="714" t="str">
        <f t="shared" si="445"/>
        <v/>
      </c>
      <c r="AL630" s="714"/>
      <c r="AM630" s="114" t="str">
        <f t="shared" si="446"/>
        <v/>
      </c>
      <c r="AN630" s="115"/>
      <c r="AO630" s="116"/>
      <c r="AP630" s="116"/>
      <c r="AQ630" s="116"/>
      <c r="AR630" s="116"/>
      <c r="AS630" s="116"/>
      <c r="AT630" s="116"/>
      <c r="AU630" s="116"/>
      <c r="AV630" s="78"/>
      <c r="AW630" s="102"/>
      <c r="AX630" s="78"/>
      <c r="AY630" s="78"/>
      <c r="AZ630" s="78"/>
      <c r="BA630" s="78"/>
      <c r="BB630" s="78"/>
      <c r="BC630" s="78"/>
      <c r="BD630" s="78"/>
      <c r="BE630" s="465"/>
      <c r="BF630" s="165" t="str">
        <f t="shared" si="447"/>
        <v>https://www.google.com/search?tbm=isch&amp;q=3%20G1</v>
      </c>
      <c r="BG630" s="165" t="str">
        <f t="shared" si="448"/>
        <v>C</v>
      </c>
      <c r="BH630" s="65"/>
      <c r="BI630" s="65"/>
      <c r="BJ630" s="65"/>
      <c r="BK630" s="65"/>
      <c r="BL630" s="99"/>
      <c r="BM630" s="99"/>
      <c r="BN630" s="99"/>
    </row>
    <row r="631" spans="1:66" s="51" customFormat="1" ht="15.75" x14ac:dyDescent="0.25">
      <c r="A631" s="634">
        <v>3</v>
      </c>
      <c r="B631" s="635" t="s">
        <v>291</v>
      </c>
      <c r="C631" s="636" t="s">
        <v>1731</v>
      </c>
      <c r="D631" s="637" t="s">
        <v>329</v>
      </c>
      <c r="E631" s="638">
        <v>26.95</v>
      </c>
      <c r="F631" s="639" t="s">
        <v>292</v>
      </c>
      <c r="G631" s="484">
        <v>0</v>
      </c>
      <c r="H631" s="691" t="str">
        <f>IF(G631=0,"",IF(F631="Buy",IF(G631=1,"plant","plants"),IF(F631&gt;0.01,"warranty","Error")))</f>
        <v/>
      </c>
      <c r="I631" s="640">
        <f>IF(H631="free",0,IF(H631="credit",((E631*(F631))*G631*-1),IF(F631="Buy",(E631*G631),((E631*(1-F631))*G631))))</f>
        <v>0</v>
      </c>
      <c r="J631" s="640">
        <f>IF(H631="warranty",0,(I631*(_xlfn.SINGLE(SalesTaxPercentage))))</f>
        <v>0</v>
      </c>
      <c r="K631" s="716">
        <f t="shared" ref="K631" si="465">I631+J631</f>
        <v>0</v>
      </c>
      <c r="L631" s="716"/>
      <c r="M631" s="689" t="str">
        <f ca="1">IF(AND(G631&gt;0,E631=0),"WARNING - no PRICE inserted",IF(H631="free","FREE ~ no charge this plant",IF(H631="credit",CONCATENATE("-$",ROUND(K631*(1-_xlfn.SINGLE(T2GDiscount))*-1,2)," CREDIT after discount"),IF(_xlfn.SINGLE(T2GDiscount)=0,"",IF(G631=0,"",IF(F631="Buy",CONCATENATE("$",ROUND(K631*(1-_xlfn.SINGLE(T2GDiscount)),2)," with ",(_xlfn.SINGLE(T2GDiscount)*100),"% discount"),CONCATENATE("$",ROUND(K631*(1-_xlfn.SINGLE(T2GDiscount)),2)," with ",((_xlfn.SINGLE(T2GDiscount)*100+F631*100)-(_xlfn.SINGLE(T2GDiscount)*100*F631)),IF(F631&gt;0,"% discounts",IF(_xlfn.SINGLE(NoWarrantyDiscount)&gt;0,"% discounts","% discount")))))))))</f>
        <v/>
      </c>
      <c r="N631" s="690"/>
      <c r="O631" s="486"/>
      <c r="P631" s="486"/>
      <c r="Q631" s="486"/>
      <c r="R631" s="486"/>
      <c r="S631" s="486"/>
      <c r="T631" s="102">
        <f t="shared" si="436"/>
        <v>0</v>
      </c>
      <c r="U631" s="78">
        <f>IF(NOT(ISNUMBER(G631)), "", VLOOKUP(A631,'Discount Lookup'!D:E,2,FALSE)*G631)</f>
        <v>0</v>
      </c>
      <c r="V631" s="78">
        <f>IF(NOT(ISNUMBER(G631)), "", VLOOKUP(A631,'Discount Lookup'!G:H,2,FALSE)*G631)</f>
        <v>0</v>
      </c>
      <c r="W631" s="102">
        <f t="shared" si="437"/>
        <v>0</v>
      </c>
      <c r="X631" s="102">
        <f t="shared" si="438"/>
        <v>0</v>
      </c>
      <c r="Y631" s="120" t="b">
        <f t="shared" si="439"/>
        <v>0</v>
      </c>
      <c r="Z631" s="117">
        <f t="shared" si="440"/>
        <v>0</v>
      </c>
      <c r="AA631" s="118"/>
      <c r="AB631" s="118" t="str">
        <f t="shared" si="441"/>
        <v/>
      </c>
      <c r="AC631" s="712" t="str">
        <f>IF(AE631="T2G","no charge",IF(AND(OR(PlanterYesMe="No",PlanterYesMe="N",PlanterYesMe="me"),H631=""),"",IF(H631="credit","NO install",IF(AND(K631="",AE631="me"),"EACH row",IF(AND(K631="images",AE631="me"),"EACH row",IF(D631="","",IF(H631="credit","",IF(AE631="free","re-planting",IF(AE631="me","   not ELP, by",IF(AND(OR(PlanterYesMe="Yes",PlanterYesMe="Y"),G631&gt;0),(VLOOKUP(A631,'Discount Lookup'!J:K,2)*G631*(1-PlanterDiscount)*(1+PlanterDifficultyPercentage)),IF(AE631="ELP",(VLOOKUP(A631,'Discount Lookup'!J:K,2)*G631*(1-PlanterDiscount)*(1+PlanterDifficultyPercentage)),IF(AE631="free","re-planting",IF(G631=0,"",IF(PlanterYesMe="",IF(AE631="me","   not ELP, by",IF(AE631="",IF(G631&gt;0,(VLOOKUP(A631,'Discount Lookup'!J:K,2)*G631*(1-PlanterDiscount)*(1+PlanterDifficultyPercentage)),""),"")),"   not ELP, by"))))))))))))))</f>
        <v/>
      </c>
      <c r="AD631" s="712"/>
      <c r="AE631" s="513" t="str">
        <f t="shared" si="442"/>
        <v/>
      </c>
      <c r="AF631" s="713" t="str">
        <f t="shared" si="443"/>
        <v/>
      </c>
      <c r="AG631" s="713"/>
      <c r="AH631" s="713"/>
      <c r="AI631" s="112">
        <f>IF(H631="credit",0,IF(AE631="free",0,IF(AE631="me",0,IF(G631&gt;0,(VLOOKUP(A631,'Discount Lookup'!J:K,2)*G631),0))))</f>
        <v>0</v>
      </c>
      <c r="AJ631" s="107" t="str">
        <f t="shared" ca="1" si="444"/>
        <v/>
      </c>
      <c r="AK631" s="714" t="str">
        <f t="shared" si="445"/>
        <v/>
      </c>
      <c r="AL631" s="714"/>
      <c r="AM631" s="114" t="str">
        <f t="shared" si="446"/>
        <v/>
      </c>
      <c r="AN631" s="115"/>
      <c r="AO631" s="116"/>
      <c r="AP631" s="116"/>
      <c r="AQ631" s="116"/>
      <c r="AR631" s="116"/>
      <c r="AS631" s="116"/>
      <c r="AT631" s="116"/>
      <c r="AU631" s="116"/>
      <c r="AV631" s="78"/>
      <c r="AW631" s="102"/>
      <c r="AX631" s="78"/>
      <c r="AY631" s="78"/>
      <c r="AZ631" s="78"/>
      <c r="BA631" s="78"/>
      <c r="BB631" s="78"/>
      <c r="BC631" s="78"/>
      <c r="BD631" s="78"/>
      <c r="BE631" s="465"/>
      <c r="BF631" s="165" t="str">
        <f t="shared" si="447"/>
        <v>https://www.google.com/search?tbm=isch&amp;q=3%20G2</v>
      </c>
      <c r="BG631" s="165" t="str">
        <f t="shared" si="448"/>
        <v>C</v>
      </c>
      <c r="BH631" s="65"/>
      <c r="BI631" s="65"/>
      <c r="BJ631" s="65"/>
      <c r="BK631" s="65"/>
      <c r="BL631" s="99"/>
      <c r="BM631" s="99"/>
      <c r="BN631" s="99"/>
    </row>
    <row r="632" spans="1:66" s="51" customFormat="1" ht="15.75" x14ac:dyDescent="0.25">
      <c r="A632" s="634">
        <v>7</v>
      </c>
      <c r="B632" s="635" t="s">
        <v>291</v>
      </c>
      <c r="C632" s="636" t="s">
        <v>1732</v>
      </c>
      <c r="D632" s="637" t="s">
        <v>293</v>
      </c>
      <c r="E632" s="638">
        <v>100.95</v>
      </c>
      <c r="F632" s="639" t="s">
        <v>292</v>
      </c>
      <c r="G632" s="484">
        <v>0</v>
      </c>
      <c r="H632" s="691" t="str">
        <f>IF(G632=0,"",IF(F632="Buy",IF(G632=1,"plant","plants"),IF(F632&gt;0.01,"warranty","Error")))</f>
        <v/>
      </c>
      <c r="I632" s="640">
        <f>IF(H632="free",0,IF(H632="credit",((E632*(F632))*G632*-1),IF(F632="Buy",(E632*G632),((E632*(1-F632))*G632))))</f>
        <v>0</v>
      </c>
      <c r="J632" s="640">
        <f>IF(H632="warranty",0,(I632*(_xlfn.SINGLE(SalesTaxPercentage))))</f>
        <v>0</v>
      </c>
      <c r="K632" s="716">
        <f t="shared" ref="K632" si="466">I632+J632</f>
        <v>0</v>
      </c>
      <c r="L632" s="716"/>
      <c r="M632" s="689" t="str">
        <f ca="1">IF(AND(G632&gt;0,E632=0),"WARNING - no PRICE inserted",IF(H632="free","FREE ~ no charge this plant",IF(H632="credit",CONCATENATE("-$",ROUND(K632*(1-_xlfn.SINGLE(T2GDiscount))*-1,2)," CREDIT after discount"),IF(_xlfn.SINGLE(T2GDiscount)=0,"",IF(G632=0,"",IF(F632="Buy",CONCATENATE("$",ROUND(K632*(1-_xlfn.SINGLE(T2GDiscount)),2)," with ",(_xlfn.SINGLE(T2GDiscount)*100),"% discount"),CONCATENATE("$",ROUND(K632*(1-_xlfn.SINGLE(T2GDiscount)),2)," with ",((_xlfn.SINGLE(T2GDiscount)*100+F632*100)-(_xlfn.SINGLE(T2GDiscount)*100*F632)),IF(F632&gt;0,"% discounts",IF(_xlfn.SINGLE(NoWarrantyDiscount)&gt;0,"% discounts","% discount")))))))))</f>
        <v/>
      </c>
      <c r="N632" s="690"/>
      <c r="O632" s="486"/>
      <c r="P632" s="486"/>
      <c r="Q632" s="486"/>
      <c r="R632" s="486"/>
      <c r="S632" s="486"/>
      <c r="T632" s="102">
        <f t="shared" si="436"/>
        <v>0</v>
      </c>
      <c r="U632" s="78">
        <f>IF(NOT(ISNUMBER(G632)), "", VLOOKUP(A632,'Discount Lookup'!D:E,2,FALSE)*G632)</f>
        <v>0</v>
      </c>
      <c r="V632" s="78">
        <f>IF(NOT(ISNUMBER(G632)), "", VLOOKUP(A632,'Discount Lookup'!G:H,2,FALSE)*G632)</f>
        <v>0</v>
      </c>
      <c r="W632" s="102">
        <f t="shared" si="437"/>
        <v>0</v>
      </c>
      <c r="X632" s="102">
        <f t="shared" si="438"/>
        <v>0</v>
      </c>
      <c r="Y632" s="120" t="b">
        <f t="shared" si="439"/>
        <v>0</v>
      </c>
      <c r="Z632" s="117">
        <f t="shared" si="440"/>
        <v>0</v>
      </c>
      <c r="AA632" s="118"/>
      <c r="AB632" s="118" t="str">
        <f t="shared" si="441"/>
        <v/>
      </c>
      <c r="AC632" s="712" t="str">
        <f>IF(AE632="T2G","no charge",IF(AND(OR(PlanterYesMe="No",PlanterYesMe="N",PlanterYesMe="me"),H632=""),"",IF(H632="credit","NO install",IF(AND(K632="",AE632="me"),"EACH row",IF(AND(K632="images",AE632="me"),"EACH row",IF(D632="","",IF(H632="credit","",IF(AE632="free","re-planting",IF(AE632="me","   not ELP, by",IF(AND(OR(PlanterYesMe="Yes",PlanterYesMe="Y"),G632&gt;0),(VLOOKUP(A632,'Discount Lookup'!J:K,2)*G632*(1-PlanterDiscount)*(1+PlanterDifficultyPercentage)),IF(AE632="ELP",(VLOOKUP(A632,'Discount Lookup'!J:K,2)*G632*(1-PlanterDiscount)*(1+PlanterDifficultyPercentage)),IF(AE632="free","re-planting",IF(G632=0,"",IF(PlanterYesMe="",IF(AE632="me","   not ELP, by",IF(AE632="",IF(G632&gt;0,(VLOOKUP(A632,'Discount Lookup'!J:K,2)*G632*(1-PlanterDiscount)*(1+PlanterDifficultyPercentage)),""),"")),"   not ELP, by"))))))))))))))</f>
        <v/>
      </c>
      <c r="AD632" s="712"/>
      <c r="AE632" s="513" t="str">
        <f t="shared" si="442"/>
        <v/>
      </c>
      <c r="AF632" s="713" t="str">
        <f t="shared" si="443"/>
        <v/>
      </c>
      <c r="AG632" s="713"/>
      <c r="AH632" s="713"/>
      <c r="AI632" s="112">
        <f>IF(H632="credit",0,IF(AE632="free",0,IF(AE632="me",0,IF(G632&gt;0,(VLOOKUP(A632,'Discount Lookup'!J:K,2)*G632),0))))</f>
        <v>0</v>
      </c>
      <c r="AJ632" s="107" t="str">
        <f t="shared" ca="1" si="444"/>
        <v/>
      </c>
      <c r="AK632" s="714" t="str">
        <f t="shared" si="445"/>
        <v/>
      </c>
      <c r="AL632" s="714"/>
      <c r="AM632" s="114" t="str">
        <f t="shared" si="446"/>
        <v/>
      </c>
      <c r="AN632" s="115"/>
      <c r="AO632" s="116"/>
      <c r="AP632" s="116"/>
      <c r="AQ632" s="116"/>
      <c r="AR632" s="116"/>
      <c r="AS632" s="116"/>
      <c r="AT632" s="116"/>
      <c r="AU632" s="116"/>
      <c r="AV632" s="78"/>
      <c r="AW632" s="102"/>
      <c r="AX632" s="78"/>
      <c r="AY632" s="78"/>
      <c r="AZ632" s="78"/>
      <c r="BA632" s="78"/>
      <c r="BB632" s="78"/>
      <c r="BC632" s="78"/>
      <c r="BD632" s="78"/>
      <c r="BE632" s="465"/>
      <c r="BF632" s="165" t="str">
        <f t="shared" si="447"/>
        <v>https://www.google.com/search?tbm=isch&amp;q=7%20G6</v>
      </c>
      <c r="BG632" s="165" t="str">
        <f t="shared" si="448"/>
        <v>C</v>
      </c>
      <c r="BH632" s="65"/>
      <c r="BI632" s="65"/>
      <c r="BJ632" s="65"/>
      <c r="BK632" s="65"/>
      <c r="BL632" s="99"/>
      <c r="BM632" s="99"/>
      <c r="BN632" s="99"/>
    </row>
    <row r="633" spans="1:66" s="51" customFormat="1" ht="17.25" thickBot="1" x14ac:dyDescent="0.3">
      <c r="A633" s="704" t="s">
        <v>5345</v>
      </c>
      <c r="B633" s="642"/>
      <c r="C633" s="710"/>
      <c r="D633" s="643"/>
      <c r="E633" s="643"/>
      <c r="F633" s="644"/>
      <c r="G633" s="645"/>
      <c r="H633" s="646"/>
      <c r="I633" s="647"/>
      <c r="J633" s="648"/>
      <c r="K633" s="649"/>
      <c r="L633" s="650"/>
      <c r="M633" s="650"/>
      <c r="N633" s="644"/>
      <c r="O633" s="644"/>
      <c r="P633" s="644"/>
      <c r="Q633" s="644"/>
      <c r="R633" s="644"/>
      <c r="S633" s="701" t="s">
        <v>5253</v>
      </c>
      <c r="T633" s="102">
        <f t="shared" si="436"/>
        <v>0</v>
      </c>
      <c r="U633" s="78" t="str">
        <f>IF(NOT(ISNUMBER(G633)), "", VLOOKUP(A633,'Discount Lookup'!D:E,2,FALSE)*G633)</f>
        <v/>
      </c>
      <c r="V633" s="78" t="str">
        <f>IF(NOT(ISNUMBER(G633)), "", VLOOKUP(A633,'Discount Lookup'!G:H,2,FALSE)*G633)</f>
        <v/>
      </c>
      <c r="W633" s="102">
        <f t="shared" si="437"/>
        <v>0</v>
      </c>
      <c r="X633" s="102">
        <f t="shared" si="438"/>
        <v>0</v>
      </c>
      <c r="Y633" s="120" t="b">
        <f t="shared" si="439"/>
        <v>0</v>
      </c>
      <c r="Z633" s="117">
        <f t="shared" si="440"/>
        <v>0</v>
      </c>
      <c r="AA633" s="118"/>
      <c r="AB633" s="118" t="str">
        <f t="shared" si="441"/>
        <v/>
      </c>
      <c r="AC633" s="712" t="str">
        <f>IF(AE633="T2G","no charge",IF(AND(OR(PlanterYesMe="No",PlanterYesMe="N",PlanterYesMe="me"),H633=""),"",IF(H633="credit","NO install",IF(AND(K633="",AE633="me"),"EACH row",IF(AND(K633="images",AE633="me"),"EACH row",IF(D633="","",IF(H633="credit","",IF(AE633="free","re-planting",IF(AE633="me","   not ELP, by",IF(AND(OR(PlanterYesMe="Yes",PlanterYesMe="Y"),G633&gt;0),(VLOOKUP(A633,'Discount Lookup'!J:K,2)*G633*(1-PlanterDiscount)*(1+PlanterDifficultyPercentage)),IF(AE633="ELP",(VLOOKUP(A633,'Discount Lookup'!J:K,2)*G633*(1-PlanterDiscount)*(1+PlanterDifficultyPercentage)),IF(AE633="free","re-planting",IF(G633=0,"",IF(PlanterYesMe="",IF(AE633="me","   not ELP, by",IF(AE633="",IF(G633&gt;0,(VLOOKUP(A633,'Discount Lookup'!J:K,2)*G633*(1-PlanterDiscount)*(1+PlanterDifficultyPercentage)),""),"")),"   not ELP, by"))))))))))))))</f>
        <v/>
      </c>
      <c r="AD633" s="712"/>
      <c r="AE633" s="513" t="str">
        <f t="shared" si="442"/>
        <v/>
      </c>
      <c r="AF633" s="713" t="str">
        <f t="shared" si="443"/>
        <v/>
      </c>
      <c r="AG633" s="713"/>
      <c r="AH633" s="713"/>
      <c r="AI633" s="112">
        <f>IF(H633="credit",0,IF(AE633="free",0,IF(AE633="me",0,IF(G633&gt;0,(VLOOKUP(A633,'Discount Lookup'!J:K,2)*G633),0))))</f>
        <v>0</v>
      </c>
      <c r="AJ633" s="107" t="str">
        <f t="shared" ca="1" si="444"/>
        <v/>
      </c>
      <c r="AK633" s="714" t="str">
        <f t="shared" si="445"/>
        <v/>
      </c>
      <c r="AL633" s="714"/>
      <c r="AM633" s="114" t="str">
        <f t="shared" si="446"/>
        <v/>
      </c>
      <c r="AN633" s="115"/>
      <c r="AO633" s="116"/>
      <c r="AP633" s="116"/>
      <c r="AQ633" s="116"/>
      <c r="AR633" s="116"/>
      <c r="AS633" s="116"/>
      <c r="AT633" s="116"/>
      <c r="AU633" s="116"/>
      <c r="AV633" s="78"/>
      <c r="AW633" s="102"/>
      <c r="AX633" s="78"/>
      <c r="AY633" s="78"/>
      <c r="AZ633" s="78"/>
      <c r="BA633" s="78"/>
      <c r="BB633" s="78"/>
      <c r="BC633" s="78"/>
      <c r="BD633" s="78"/>
      <c r="BE633" s="465"/>
      <c r="BF633" s="165" t="str">
        <f t="shared" si="447"/>
        <v>https://www.google.com/search?tbm=isch&amp;q=moist%20sites%F0%9F%92%A7OK%2C%20Beautyberry%20has%20vivid%20Purple%20berries%20that%20are%20edible%20raw%20to%20humans%2C%20but%20not%20tasty.%20Mainly%20for%20jelly%20or%20wine.%20Green%20foliage%20</v>
      </c>
      <c r="BG633" s="165" t="str">
        <f t="shared" si="448"/>
        <v>m</v>
      </c>
      <c r="BH633" s="65"/>
      <c r="BI633" s="65"/>
      <c r="BJ633" s="65"/>
      <c r="BK633" s="65"/>
      <c r="BL633" s="99"/>
      <c r="BM633" s="99"/>
      <c r="BN633" s="99"/>
    </row>
    <row r="634" spans="1:66" s="51" customFormat="1" ht="18" x14ac:dyDescent="0.25">
      <c r="A634" s="623" t="s">
        <v>1733</v>
      </c>
      <c r="B634" s="624"/>
      <c r="C634" s="709"/>
      <c r="D634" s="625" t="s">
        <v>1734</v>
      </c>
      <c r="E634" s="626"/>
      <c r="F634" s="626"/>
      <c r="G634" s="626"/>
      <c r="H634" s="622" t="s">
        <v>1217</v>
      </c>
      <c r="I634" s="627" t="s">
        <v>1735</v>
      </c>
      <c r="J634" s="628"/>
      <c r="K634" s="628"/>
      <c r="L634" s="629"/>
      <c r="M634" s="700" t="s">
        <v>5249</v>
      </c>
      <c r="N634" s="693" t="str">
        <f>IF(AND(ISTEXT($A634), ISERROR($A634+0)), HYPERLINK($BF634, "Images"), "")</f>
        <v>Images</v>
      </c>
      <c r="O634" s="695" t="s">
        <v>5264</v>
      </c>
      <c r="P634" s="630"/>
      <c r="Q634" s="631"/>
      <c r="R634" s="632"/>
      <c r="S634" s="633" t="s">
        <v>294</v>
      </c>
      <c r="T634" s="102">
        <f t="shared" si="436"/>
        <v>0</v>
      </c>
      <c r="U634" s="78" t="str">
        <f>IF(NOT(ISNUMBER(G634)), "", VLOOKUP(A634,'Discount Lookup'!D:E,2,FALSE)*G634)</f>
        <v/>
      </c>
      <c r="V634" s="78" t="str">
        <f>IF(NOT(ISNUMBER(G634)), "", VLOOKUP(A634,'Discount Lookup'!G:H,2,FALSE)*G634)</f>
        <v/>
      </c>
      <c r="W634" s="102">
        <f t="shared" si="437"/>
        <v>0</v>
      </c>
      <c r="X634" s="102" t="str">
        <f t="shared" si="438"/>
        <v>Pink to light Lavendar</v>
      </c>
      <c r="Y634" s="120" t="b">
        <f t="shared" si="439"/>
        <v>0</v>
      </c>
      <c r="Z634" s="117">
        <f t="shared" si="440"/>
        <v>0</v>
      </c>
      <c r="AA634" s="118"/>
      <c r="AB634" s="118" t="str">
        <f t="shared" si="441"/>
        <v/>
      </c>
      <c r="AC634" s="712" t="str">
        <f>IF(AE634="T2G","no charge",IF(AND(OR(PlanterYesMe="No",PlanterYesMe="N",PlanterYesMe="me"),H634=""),"",IF(H634="credit","NO install",IF(AND(K634="",AE634="me"),"EACH row",IF(AND(K634="images",AE634="me"),"EACH row",IF(D634="","",IF(H634="credit","",IF(AE634="free","re-planting",IF(AE634="me","   not ELP, by",IF(AND(OR(PlanterYesMe="Yes",PlanterYesMe="Y"),G634&gt;0),(VLOOKUP(A634,'Discount Lookup'!J:K,2)*G634*(1-PlanterDiscount)*(1+PlanterDifficultyPercentage)),IF(AE634="ELP",(VLOOKUP(A634,'Discount Lookup'!J:K,2)*G634*(1-PlanterDiscount)*(1+PlanterDifficultyPercentage)),IF(AE634="free","re-planting",IF(G634=0,"",IF(PlanterYesMe="",IF(AE634="me","   not ELP, by",IF(AE634="",IF(G634&gt;0,(VLOOKUP(A634,'Discount Lookup'!J:K,2)*G634*(1-PlanterDiscount)*(1+PlanterDifficultyPercentage)),""),"")),"   not ELP, by"))))))))))))))</f>
        <v/>
      </c>
      <c r="AD634" s="712"/>
      <c r="AE634" s="513" t="str">
        <f t="shared" si="442"/>
        <v/>
      </c>
      <c r="AF634" s="713" t="str">
        <f t="shared" si="443"/>
        <v/>
      </c>
      <c r="AG634" s="713"/>
      <c r="AH634" s="713"/>
      <c r="AI634" s="112">
        <f>IF(H634="credit",0,IF(AE634="free",0,IF(AE634="me",0,IF(G634&gt;0,(VLOOKUP(A634,'Discount Lookup'!J:K,2)*G634),0))))</f>
        <v>0</v>
      </c>
      <c r="AJ634" s="107" t="str">
        <f t="shared" ca="1" si="444"/>
        <v/>
      </c>
      <c r="AK634" s="714" t="str">
        <f t="shared" si="445"/>
        <v/>
      </c>
      <c r="AL634" s="714"/>
      <c r="AM634" s="114" t="str">
        <f t="shared" si="446"/>
        <v/>
      </c>
      <c r="AN634" s="115"/>
      <c r="AO634" s="116"/>
      <c r="AP634" s="116"/>
      <c r="AQ634" s="116"/>
      <c r="AR634" s="116"/>
      <c r="AS634" s="116"/>
      <c r="AT634" s="116"/>
      <c r="AU634" s="116"/>
      <c r="AV634" s="78"/>
      <c r="AW634" s="102"/>
      <c r="AX634" s="78"/>
      <c r="AY634" s="78"/>
      <c r="AZ634" s="78"/>
      <c r="BA634" s="78"/>
      <c r="BB634" s="78"/>
      <c r="BC634" s="78"/>
      <c r="BD634" s="78"/>
      <c r="BE634" s="465"/>
      <c r="BF634" s="165" t="str">
        <f t="shared" si="447"/>
        <v>https://www.google.com/search?tbm=isch&amp;q=Callicarpa%20americana%20%27Welch%27s%20Pink%27%20Welch%27s%20Pink%20American%20Beautyberry</v>
      </c>
      <c r="BG634" s="165" t="str">
        <f t="shared" si="448"/>
        <v>C</v>
      </c>
      <c r="BH634" s="65"/>
      <c r="BI634" s="65"/>
      <c r="BJ634" s="65"/>
      <c r="BK634" s="65"/>
      <c r="BL634" s="99"/>
      <c r="BM634" s="99"/>
      <c r="BN634" s="99"/>
    </row>
    <row r="635" spans="1:66" s="51" customFormat="1" ht="15.75" x14ac:dyDescent="0.25">
      <c r="A635" s="634">
        <v>3</v>
      </c>
      <c r="B635" s="635" t="s">
        <v>291</v>
      </c>
      <c r="C635" s="636" t="s">
        <v>16</v>
      </c>
      <c r="D635" s="637" t="s">
        <v>310</v>
      </c>
      <c r="E635" s="638">
        <v>27.95</v>
      </c>
      <c r="F635" s="639" t="s">
        <v>292</v>
      </c>
      <c r="G635" s="484">
        <v>0</v>
      </c>
      <c r="H635" s="691" t="str">
        <f>IF(G635=0,"",IF(F635="Buy",IF(G635=1,"plant","plants"),IF(F635&gt;0.01,"warranty","Error")))</f>
        <v/>
      </c>
      <c r="I635" s="640">
        <f>IF(H635="free",0,IF(H635="credit",((E635*(F635))*G635*-1),IF(F635="Buy",(E635*G635),((E635*(1-F635))*G635))))</f>
        <v>0</v>
      </c>
      <c r="J635" s="640">
        <f>IF(H635="warranty",0,(I635*(_xlfn.SINGLE(SalesTaxPercentage))))</f>
        <v>0</v>
      </c>
      <c r="K635" s="716">
        <f t="shared" ref="K635" si="467">I635+J635</f>
        <v>0</v>
      </c>
      <c r="L635" s="716"/>
      <c r="M635" s="689" t="str">
        <f ca="1">IF(AND(G635&gt;0,E635=0),"WARNING - no PRICE inserted",IF(H635="free","FREE ~ no charge this plant",IF(H635="credit",CONCATENATE("-$",ROUND(K635*(1-_xlfn.SINGLE(T2GDiscount))*-1,2)," CREDIT after discount"),IF(_xlfn.SINGLE(T2GDiscount)=0,"",IF(G635=0,"",IF(F635="Buy",CONCATENATE("$",ROUND(K635*(1-_xlfn.SINGLE(T2GDiscount)),2)," with ",(_xlfn.SINGLE(T2GDiscount)*100),"% discount"),CONCATENATE("$",ROUND(K635*(1-_xlfn.SINGLE(T2GDiscount)),2)," with ",((_xlfn.SINGLE(T2GDiscount)*100+F635*100)-(_xlfn.SINGLE(T2GDiscount)*100*F635)),IF(F635&gt;0,"% discounts",IF(_xlfn.SINGLE(NoWarrantyDiscount)&gt;0,"% discounts","% discount")))))))))</f>
        <v/>
      </c>
      <c r="N635" s="690"/>
      <c r="O635" s="486"/>
      <c r="P635" s="486"/>
      <c r="Q635" s="486"/>
      <c r="R635" s="486"/>
      <c r="S635" s="486"/>
      <c r="T635" s="102">
        <f t="shared" si="436"/>
        <v>0</v>
      </c>
      <c r="U635" s="78">
        <f>IF(NOT(ISNUMBER(G635)), "", VLOOKUP(A635,'Discount Lookup'!D:E,2,FALSE)*G635)</f>
        <v>0</v>
      </c>
      <c r="V635" s="78">
        <f>IF(NOT(ISNUMBER(G635)), "", VLOOKUP(A635,'Discount Lookup'!G:H,2,FALSE)*G635)</f>
        <v>0</v>
      </c>
      <c r="W635" s="102">
        <f t="shared" si="437"/>
        <v>0</v>
      </c>
      <c r="X635" s="102">
        <f t="shared" si="438"/>
        <v>0</v>
      </c>
      <c r="Y635" s="120" t="b">
        <f t="shared" si="439"/>
        <v>0</v>
      </c>
      <c r="Z635" s="117">
        <f t="shared" si="440"/>
        <v>0</v>
      </c>
      <c r="AA635" s="118"/>
      <c r="AB635" s="118" t="str">
        <f t="shared" si="441"/>
        <v/>
      </c>
      <c r="AC635" s="712" t="str">
        <f>IF(AE635="T2G","no charge",IF(AND(OR(PlanterYesMe="No",PlanterYesMe="N",PlanterYesMe="me"),H635=""),"",IF(H635="credit","NO install",IF(AND(K635="",AE635="me"),"EACH row",IF(AND(K635="images",AE635="me"),"EACH row",IF(D635="","",IF(H635="credit","",IF(AE635="free","re-planting",IF(AE635="me","   not ELP, by",IF(AND(OR(PlanterYesMe="Yes",PlanterYesMe="Y"),G635&gt;0),(VLOOKUP(A635,'Discount Lookup'!J:K,2)*G635*(1-PlanterDiscount)*(1+PlanterDifficultyPercentage)),IF(AE635="ELP",(VLOOKUP(A635,'Discount Lookup'!J:K,2)*G635*(1-PlanterDiscount)*(1+PlanterDifficultyPercentage)),IF(AE635="free","re-planting",IF(G635=0,"",IF(PlanterYesMe="",IF(AE635="me","   not ELP, by",IF(AE635="",IF(G635&gt;0,(VLOOKUP(A635,'Discount Lookup'!J:K,2)*G635*(1-PlanterDiscount)*(1+PlanterDifficultyPercentage)),""),"")),"   not ELP, by"))))))))))))))</f>
        <v/>
      </c>
      <c r="AD635" s="712"/>
      <c r="AE635" s="513" t="str">
        <f t="shared" si="442"/>
        <v/>
      </c>
      <c r="AF635" s="713" t="str">
        <f t="shared" si="443"/>
        <v/>
      </c>
      <c r="AG635" s="713"/>
      <c r="AH635" s="713"/>
      <c r="AI635" s="112">
        <f>IF(H635="credit",0,IF(AE635="free",0,IF(AE635="me",0,IF(G635&gt;0,(VLOOKUP(A635,'Discount Lookup'!J:K,2)*G635),0))))</f>
        <v>0</v>
      </c>
      <c r="AJ635" s="107" t="str">
        <f t="shared" ca="1" si="444"/>
        <v/>
      </c>
      <c r="AK635" s="714" t="str">
        <f t="shared" si="445"/>
        <v/>
      </c>
      <c r="AL635" s="714"/>
      <c r="AM635" s="114" t="str">
        <f t="shared" si="446"/>
        <v/>
      </c>
      <c r="AN635" s="115"/>
      <c r="AO635" s="116"/>
      <c r="AP635" s="116"/>
      <c r="AQ635" s="116"/>
      <c r="AR635" s="116"/>
      <c r="AS635" s="116"/>
      <c r="AT635" s="116"/>
      <c r="AU635" s="116"/>
      <c r="AV635" s="78"/>
      <c r="AW635" s="102"/>
      <c r="AX635" s="78"/>
      <c r="AY635" s="78"/>
      <c r="AZ635" s="78"/>
      <c r="BA635" s="78"/>
      <c r="BB635" s="78"/>
      <c r="BC635" s="78"/>
      <c r="BD635" s="78"/>
      <c r="BE635" s="465"/>
      <c r="BF635" s="165" t="str">
        <f t="shared" si="447"/>
        <v>https://www.google.com/search?tbm=isch&amp;q=3%20G1</v>
      </c>
      <c r="BG635" s="165" t="str">
        <f t="shared" si="448"/>
        <v>C</v>
      </c>
      <c r="BH635" s="65"/>
      <c r="BI635" s="65"/>
      <c r="BJ635" s="65"/>
      <c r="BK635" s="65"/>
      <c r="BL635" s="99"/>
      <c r="BM635" s="99"/>
      <c r="BN635" s="99"/>
    </row>
    <row r="636" spans="1:66" s="51" customFormat="1" ht="16.5" x14ac:dyDescent="0.25">
      <c r="A636" s="704" t="s">
        <v>5346</v>
      </c>
      <c r="B636" s="642"/>
      <c r="C636" s="710"/>
      <c r="D636" s="643"/>
      <c r="E636" s="643"/>
      <c r="F636" s="644"/>
      <c r="G636" s="645"/>
      <c r="H636" s="646"/>
      <c r="I636" s="647"/>
      <c r="J636" s="648"/>
      <c r="K636" s="649"/>
      <c r="L636" s="650"/>
      <c r="M636" s="650"/>
      <c r="N636" s="644"/>
      <c r="O636" s="644"/>
      <c r="P636" s="644"/>
      <c r="Q636" s="644"/>
      <c r="R636" s="644"/>
      <c r="S636" s="701" t="s">
        <v>5253</v>
      </c>
      <c r="T636" s="102">
        <f t="shared" si="436"/>
        <v>0</v>
      </c>
      <c r="U636" s="78" t="str">
        <f>IF(NOT(ISNUMBER(G636)), "", VLOOKUP(A636,'Discount Lookup'!D:E,2,FALSE)*G636)</f>
        <v/>
      </c>
      <c r="V636" s="78" t="str">
        <f>IF(NOT(ISNUMBER(G636)), "", VLOOKUP(A636,'Discount Lookup'!G:H,2,FALSE)*G636)</f>
        <v/>
      </c>
      <c r="W636" s="102">
        <f t="shared" si="437"/>
        <v>0</v>
      </c>
      <c r="X636" s="102">
        <f t="shared" si="438"/>
        <v>0</v>
      </c>
      <c r="Y636" s="120" t="b">
        <f t="shared" si="439"/>
        <v>0</v>
      </c>
      <c r="Z636" s="117">
        <f t="shared" si="440"/>
        <v>0</v>
      </c>
      <c r="AA636" s="118"/>
      <c r="AB636" s="118" t="str">
        <f t="shared" si="441"/>
        <v/>
      </c>
      <c r="AC636" s="712" t="str">
        <f>IF(AE636="T2G","no charge",IF(AND(OR(PlanterYesMe="No",PlanterYesMe="N",PlanterYesMe="me"),H636=""),"",IF(H636="credit","NO install",IF(AND(K636="",AE636="me"),"EACH row",IF(AND(K636="images",AE636="me"),"EACH row",IF(D636="","",IF(H636="credit","",IF(AE636="free","re-planting",IF(AE636="me","   not ELP, by",IF(AND(OR(PlanterYesMe="Yes",PlanterYesMe="Y"),G636&gt;0),(VLOOKUP(A636,'Discount Lookup'!J:K,2)*G636*(1-PlanterDiscount)*(1+PlanterDifficultyPercentage)),IF(AE636="ELP",(VLOOKUP(A636,'Discount Lookup'!J:K,2)*G636*(1-PlanterDiscount)*(1+PlanterDifficultyPercentage)),IF(AE636="free","re-planting",IF(G636=0,"",IF(PlanterYesMe="",IF(AE636="me","   not ELP, by",IF(AE636="",IF(G636&gt;0,(VLOOKUP(A636,'Discount Lookup'!J:K,2)*G636*(1-PlanterDiscount)*(1+PlanterDifficultyPercentage)),""),"")),"   not ELP, by"))))))))))))))</f>
        <v/>
      </c>
      <c r="AD636" s="712"/>
      <c r="AE636" s="513" t="str">
        <f t="shared" si="442"/>
        <v/>
      </c>
      <c r="AF636" s="713" t="str">
        <f t="shared" si="443"/>
        <v/>
      </c>
      <c r="AG636" s="713"/>
      <c r="AH636" s="713"/>
      <c r="AI636" s="112">
        <f>IF(H636="credit",0,IF(AE636="free",0,IF(AE636="me",0,IF(G636&gt;0,(VLOOKUP(A636,'Discount Lookup'!J:K,2)*G636),0))))</f>
        <v>0</v>
      </c>
      <c r="AJ636" s="107" t="str">
        <f t="shared" ca="1" si="444"/>
        <v/>
      </c>
      <c r="AK636" s="714" t="str">
        <f t="shared" si="445"/>
        <v/>
      </c>
      <c r="AL636" s="714"/>
      <c r="AM636" s="114" t="str">
        <f t="shared" si="446"/>
        <v/>
      </c>
      <c r="AN636" s="115"/>
      <c r="AO636" s="116"/>
      <c r="AP636" s="116"/>
      <c r="AQ636" s="116"/>
      <c r="AR636" s="116"/>
      <c r="AS636" s="116"/>
      <c r="AT636" s="116"/>
      <c r="AU636" s="116"/>
      <c r="AV636" s="78"/>
      <c r="AW636" s="102"/>
      <c r="AX636" s="78"/>
      <c r="AY636" s="78"/>
      <c r="AZ636" s="78"/>
      <c r="BA636" s="78"/>
      <c r="BB636" s="78"/>
      <c r="BC636" s="78"/>
      <c r="BD636" s="78"/>
      <c r="BE636" s="465"/>
      <c r="BF636" s="165" t="str">
        <f t="shared" si="447"/>
        <v>https://www.google.com/search?tbm=isch&amp;q=moist%20sites%F0%9F%92%A7OK%2C%20Welch%27s%20Pink%20similar%20to%20other%20Beautyberry%2C%20except%20the%20Pink-Lavendar%20berries%20against%20bare%20stems%20in%20fall%20and%20winter%20</v>
      </c>
      <c r="BG636" s="165" t="str">
        <f t="shared" si="448"/>
        <v>m</v>
      </c>
      <c r="BH636" s="65"/>
      <c r="BI636" s="65"/>
      <c r="BJ636" s="65"/>
      <c r="BK636" s="65"/>
      <c r="BL636" s="99"/>
      <c r="BM636" s="99"/>
      <c r="BN636" s="99"/>
    </row>
    <row r="637" spans="1:66" s="51" customFormat="1" ht="19.5" thickBot="1" x14ac:dyDescent="0.3">
      <c r="A637" s="686" t="s">
        <v>401</v>
      </c>
      <c r="B637" s="73"/>
      <c r="C637" s="708"/>
      <c r="D637" s="73"/>
      <c r="E637" s="73"/>
      <c r="F637" s="496"/>
      <c r="G637" s="73"/>
      <c r="H637" s="73"/>
      <c r="I637" s="73"/>
      <c r="J637" s="497" t="s">
        <v>357</v>
      </c>
      <c r="K637" s="498"/>
      <c r="L637" s="562"/>
      <c r="M637" s="73"/>
      <c r="N637"/>
      <c r="O637"/>
      <c r="P637"/>
      <c r="Q637"/>
      <c r="R637"/>
      <c r="S637"/>
      <c r="T637" s="102">
        <f t="shared" si="436"/>
        <v>0</v>
      </c>
      <c r="U637" s="78" t="str">
        <f>IF(NOT(ISNUMBER(G637)), "", VLOOKUP(A637,'Discount Lookup'!D:E,2,FALSE)*G637)</f>
        <v/>
      </c>
      <c r="V637" s="78" t="str">
        <f>IF(NOT(ISNUMBER(G637)), "", VLOOKUP(A637,'Discount Lookup'!G:H,2,FALSE)*G637)</f>
        <v/>
      </c>
      <c r="W637" s="102">
        <f t="shared" si="437"/>
        <v>0</v>
      </c>
      <c r="X637" s="102">
        <f t="shared" si="438"/>
        <v>0</v>
      </c>
      <c r="Y637" s="120" t="b">
        <f t="shared" si="439"/>
        <v>0</v>
      </c>
      <c r="Z637" s="117">
        <f t="shared" si="440"/>
        <v>0</v>
      </c>
      <c r="AA637" s="118"/>
      <c r="AB637" s="118" t="str">
        <f t="shared" si="441"/>
        <v/>
      </c>
      <c r="AC637" s="712" t="str">
        <f>IF(AE637="T2G","no charge",IF(AND(OR(PlanterYesMe="No",PlanterYesMe="N",PlanterYesMe="me"),H637=""),"",IF(H637="credit","NO install",IF(AND(K637="",AE637="me"),"EACH row",IF(AND(K637="images",AE637="me"),"EACH row",IF(D637="","",IF(H637="credit","",IF(AE637="free","re-planting",IF(AE637="me","   not ELP, by",IF(AND(OR(PlanterYesMe="Yes",PlanterYesMe="Y"),G637&gt;0),(VLOOKUP(A637,'Discount Lookup'!J:K,2)*G637*(1-PlanterDiscount)*(1+PlanterDifficultyPercentage)),IF(AE637="ELP",(VLOOKUP(A637,'Discount Lookup'!J:K,2)*G637*(1-PlanterDiscount)*(1+PlanterDifficultyPercentage)),IF(AE637="free","re-planting",IF(G637=0,"",IF(PlanterYesMe="",IF(AE637="me","   not ELP, by",IF(AE637="",IF(G637&gt;0,(VLOOKUP(A637,'Discount Lookup'!J:K,2)*G637*(1-PlanterDiscount)*(1+PlanterDifficultyPercentage)),""),"")),"   not ELP, by"))))))))))))))</f>
        <v/>
      </c>
      <c r="AD637" s="712"/>
      <c r="AE637" s="513" t="str">
        <f t="shared" si="442"/>
        <v/>
      </c>
      <c r="AF637" s="713" t="str">
        <f t="shared" si="443"/>
        <v/>
      </c>
      <c r="AG637" s="713"/>
      <c r="AH637" s="713"/>
      <c r="AI637" s="112">
        <f>IF(H637="credit",0,IF(AE637="free",0,IF(AE637="me",0,IF(G637&gt;0,(VLOOKUP(A637,'Discount Lookup'!J:K,2)*G637),0))))</f>
        <v>0</v>
      </c>
      <c r="AJ637" s="107" t="str">
        <f t="shared" ca="1" si="444"/>
        <v/>
      </c>
      <c r="AK637" s="714" t="str">
        <f t="shared" si="445"/>
        <v/>
      </c>
      <c r="AL637" s="714"/>
      <c r="AM637" s="114" t="str">
        <f t="shared" si="446"/>
        <v/>
      </c>
      <c r="AN637" s="115"/>
      <c r="AO637" s="116"/>
      <c r="AP637" s="116"/>
      <c r="AQ637" s="116"/>
      <c r="AR637" s="116"/>
      <c r="AS637" s="116"/>
      <c r="AT637" s="116"/>
      <c r="AU637" s="116"/>
      <c r="AV637" s="78"/>
      <c r="AW637" s="102"/>
      <c r="AX637" s="78"/>
      <c r="AY637" s="78"/>
      <c r="AZ637" s="78"/>
      <c r="BA637" s="78"/>
      <c r="BB637" s="78"/>
      <c r="BC637" s="78"/>
      <c r="BD637" s="78"/>
      <c r="BE637" s="465"/>
      <c r="BF637" s="165" t="str">
        <f t="shared" si="447"/>
        <v>https://www.google.com/search?tbm=isch&amp;q=Calycanthus%20%3D%20Sweetshrub%20</v>
      </c>
      <c r="BG637" s="165" t="str">
        <f t="shared" si="448"/>
        <v>C</v>
      </c>
      <c r="BH637" s="65"/>
      <c r="BI637" s="65"/>
      <c r="BJ637" s="65"/>
      <c r="BK637" s="65"/>
      <c r="BL637" s="99"/>
      <c r="BM637" s="99"/>
      <c r="BN637" s="99"/>
    </row>
    <row r="638" spans="1:66" s="51" customFormat="1" ht="18" x14ac:dyDescent="0.25">
      <c r="A638" s="623" t="s">
        <v>1736</v>
      </c>
      <c r="B638" s="624"/>
      <c r="C638" s="709"/>
      <c r="D638" s="625" t="s">
        <v>1737</v>
      </c>
      <c r="E638" s="626"/>
      <c r="F638" s="626"/>
      <c r="G638" s="626"/>
      <c r="H638" s="622" t="s">
        <v>1471</v>
      </c>
      <c r="I638" s="627" t="s">
        <v>1738</v>
      </c>
      <c r="J638" s="628"/>
      <c r="K638" s="628"/>
      <c r="L638" s="629"/>
      <c r="M638" s="700" t="s">
        <v>5249</v>
      </c>
      <c r="N638" s="693" t="str">
        <f>IF(AND(ISTEXT($A638), ISERROR($A638+0)), HYPERLINK($BF638, "Images"), "")</f>
        <v>Images</v>
      </c>
      <c r="O638" s="695" t="s">
        <v>5247</v>
      </c>
      <c r="P638" s="630"/>
      <c r="Q638" s="631"/>
      <c r="R638" s="632"/>
      <c r="S638" s="633" t="s">
        <v>294</v>
      </c>
      <c r="T638" s="102">
        <f t="shared" si="436"/>
        <v>0</v>
      </c>
      <c r="U638" s="78" t="str">
        <f>IF(NOT(ISNUMBER(G638)), "", VLOOKUP(A638,'Discount Lookup'!D:E,2,FALSE)*G638)</f>
        <v/>
      </c>
      <c r="V638" s="78" t="str">
        <f>IF(NOT(ISNUMBER(G638)), "", VLOOKUP(A638,'Discount Lookup'!G:H,2,FALSE)*G638)</f>
        <v/>
      </c>
      <c r="W638" s="102">
        <f t="shared" si="437"/>
        <v>0</v>
      </c>
      <c r="X638" s="102" t="str">
        <f t="shared" si="438"/>
        <v>Red bloom</v>
      </c>
      <c r="Y638" s="120" t="b">
        <f t="shared" si="439"/>
        <v>0</v>
      </c>
      <c r="Z638" s="117">
        <f t="shared" si="440"/>
        <v>0</v>
      </c>
      <c r="AA638" s="118"/>
      <c r="AB638" s="118" t="str">
        <f t="shared" si="441"/>
        <v/>
      </c>
      <c r="AC638" s="712" t="str">
        <f>IF(AE638="T2G","no charge",IF(AND(OR(PlanterYesMe="No",PlanterYesMe="N",PlanterYesMe="me"),H638=""),"",IF(H638="credit","NO install",IF(AND(K638="",AE638="me"),"EACH row",IF(AND(K638="images",AE638="me"),"EACH row",IF(D638="","",IF(H638="credit","",IF(AE638="free","re-planting",IF(AE638="me","   not ELP, by",IF(AND(OR(PlanterYesMe="Yes",PlanterYesMe="Y"),G638&gt;0),(VLOOKUP(A638,'Discount Lookup'!J:K,2)*G638*(1-PlanterDiscount)*(1+PlanterDifficultyPercentage)),IF(AE638="ELP",(VLOOKUP(A638,'Discount Lookup'!J:K,2)*G638*(1-PlanterDiscount)*(1+PlanterDifficultyPercentage)),IF(AE638="free","re-planting",IF(G638=0,"",IF(PlanterYesMe="",IF(AE638="me","   not ELP, by",IF(AE638="",IF(G638&gt;0,(VLOOKUP(A638,'Discount Lookup'!J:K,2)*G638*(1-PlanterDiscount)*(1+PlanterDifficultyPercentage)),""),"")),"   not ELP, by"))))))))))))))</f>
        <v/>
      </c>
      <c r="AD638" s="712"/>
      <c r="AE638" s="513" t="str">
        <f t="shared" si="442"/>
        <v/>
      </c>
      <c r="AF638" s="713" t="str">
        <f t="shared" si="443"/>
        <v/>
      </c>
      <c r="AG638" s="713"/>
      <c r="AH638" s="713"/>
      <c r="AI638" s="112">
        <f>IF(H638="credit",0,IF(AE638="free",0,IF(AE638="me",0,IF(G638&gt;0,(VLOOKUP(A638,'Discount Lookup'!J:K,2)*G638),0))))</f>
        <v>0</v>
      </c>
      <c r="AJ638" s="107" t="str">
        <f t="shared" ca="1" si="444"/>
        <v/>
      </c>
      <c r="AK638" s="714" t="str">
        <f t="shared" si="445"/>
        <v/>
      </c>
      <c r="AL638" s="714"/>
      <c r="AM638" s="114" t="str">
        <f t="shared" si="446"/>
        <v/>
      </c>
      <c r="AN638" s="115"/>
      <c r="AO638" s="116"/>
      <c r="AP638" s="116"/>
      <c r="AQ638" s="116"/>
      <c r="AR638" s="116"/>
      <c r="AS638" s="116"/>
      <c r="AT638" s="116"/>
      <c r="AU638" s="116"/>
      <c r="AV638" s="78"/>
      <c r="AW638" s="102"/>
      <c r="AX638" s="78"/>
      <c r="AY638" s="78"/>
      <c r="AZ638" s="78"/>
      <c r="BA638" s="78"/>
      <c r="BB638" s="78"/>
      <c r="BC638" s="78"/>
      <c r="BD638" s="78"/>
      <c r="BE638" s="465"/>
      <c r="BF638" s="165" t="str">
        <f t="shared" si="447"/>
        <v>https://www.google.com/search?tbm=isch&amp;q=Calycanthus%20%27Aphrodite%27%20PP%2324014%20Aphrodite%20Sweetshrub</v>
      </c>
      <c r="BG638" s="165" t="str">
        <f t="shared" si="448"/>
        <v>C</v>
      </c>
      <c r="BH638" s="65"/>
      <c r="BI638" s="65"/>
      <c r="BJ638" s="65"/>
      <c r="BK638" s="65"/>
      <c r="BL638" s="99"/>
      <c r="BM638" s="99"/>
      <c r="BN638" s="99"/>
    </row>
    <row r="639" spans="1:66" s="51" customFormat="1" ht="15.75" x14ac:dyDescent="0.25">
      <c r="A639" s="634">
        <v>3</v>
      </c>
      <c r="B639" s="635" t="s">
        <v>291</v>
      </c>
      <c r="C639" s="636" t="s">
        <v>1739</v>
      </c>
      <c r="D639" s="637" t="s">
        <v>311</v>
      </c>
      <c r="E639" s="638">
        <v>42.95</v>
      </c>
      <c r="F639" s="639" t="s">
        <v>292</v>
      </c>
      <c r="G639" s="484">
        <v>0</v>
      </c>
      <c r="H639" s="691" t="str">
        <f t="shared" ref="H639:H645" si="468">IF(G639=0,"",IF(F639="Buy",IF(G639=1,"plant","plants"),IF(F639&gt;0.01,"warranty","Error")))</f>
        <v/>
      </c>
      <c r="I639" s="640">
        <f t="shared" ref="I639:I645" si="469">IF(H639="free",0,IF(H639="credit",((E639*(F639))*G639*-1),IF(F639="Buy",(E639*G639),((E639*(1-F639))*G639))))</f>
        <v>0</v>
      </c>
      <c r="J639" s="640">
        <f t="shared" ref="J639:J645" si="470">IF(H639="warranty",0,(I639*(_xlfn.SINGLE(SalesTaxPercentage))))</f>
        <v>0</v>
      </c>
      <c r="K639" s="716">
        <f t="shared" ref="K639" si="471">I639+J639</f>
        <v>0</v>
      </c>
      <c r="L639" s="716"/>
      <c r="M639" s="689" t="str">
        <f t="shared" ref="M639:M645" ca="1" si="472">IF(AND(G639&gt;0,E639=0),"WARNING - no PRICE inserted",IF(H639="free","FREE ~ no charge this plant",IF(H639="credit",CONCATENATE("-$",ROUND(K639*(1-_xlfn.SINGLE(T2GDiscount))*-1,2)," CREDIT after discount"),IF(_xlfn.SINGLE(T2GDiscount)=0,"",IF(G639=0,"",IF(F639="Buy",CONCATENATE("$",ROUND(K639*(1-_xlfn.SINGLE(T2GDiscount)),2)," with ",(_xlfn.SINGLE(T2GDiscount)*100),"% discount"),CONCATENATE("$",ROUND(K639*(1-_xlfn.SINGLE(T2GDiscount)),2)," with ",((_xlfn.SINGLE(T2GDiscount)*100+F639*100)-(_xlfn.SINGLE(T2GDiscount)*100*F639)),IF(F639&gt;0,"% discounts",IF(_xlfn.SINGLE(NoWarrantyDiscount)&gt;0,"% discounts","% discount")))))))))</f>
        <v/>
      </c>
      <c r="N639" s="690"/>
      <c r="O639" s="486"/>
      <c r="P639" s="486"/>
      <c r="Q639" s="486"/>
      <c r="R639" s="486"/>
      <c r="S639" s="486"/>
      <c r="T639" s="102">
        <f t="shared" si="436"/>
        <v>0</v>
      </c>
      <c r="U639" s="78">
        <f>IF(NOT(ISNUMBER(G639)), "", VLOOKUP(A639,'Discount Lookup'!D:E,2,FALSE)*G639)</f>
        <v>0</v>
      </c>
      <c r="V639" s="78">
        <f>IF(NOT(ISNUMBER(G639)), "", VLOOKUP(A639,'Discount Lookup'!G:H,2,FALSE)*G639)</f>
        <v>0</v>
      </c>
      <c r="W639" s="102">
        <f t="shared" si="437"/>
        <v>0</v>
      </c>
      <c r="X639" s="102">
        <f t="shared" si="438"/>
        <v>0</v>
      </c>
      <c r="Y639" s="120" t="b">
        <f t="shared" si="439"/>
        <v>0</v>
      </c>
      <c r="Z639" s="117">
        <f t="shared" si="440"/>
        <v>0</v>
      </c>
      <c r="AA639" s="118"/>
      <c r="AB639" s="118" t="str">
        <f t="shared" si="441"/>
        <v/>
      </c>
      <c r="AC639" s="712" t="str">
        <f>IF(AE639="T2G","no charge",IF(AND(OR(PlanterYesMe="No",PlanterYesMe="N",PlanterYesMe="me"),H639=""),"",IF(H639="credit","NO install",IF(AND(K639="",AE639="me"),"EACH row",IF(AND(K639="images",AE639="me"),"EACH row",IF(D639="","",IF(H639="credit","",IF(AE639="free","re-planting",IF(AE639="me","   not ELP, by",IF(AND(OR(PlanterYesMe="Yes",PlanterYesMe="Y"),G639&gt;0),(VLOOKUP(A639,'Discount Lookup'!J:K,2)*G639*(1-PlanterDiscount)*(1+PlanterDifficultyPercentage)),IF(AE639="ELP",(VLOOKUP(A639,'Discount Lookup'!J:K,2)*G639*(1-PlanterDiscount)*(1+PlanterDifficultyPercentage)),IF(AE639="free","re-planting",IF(G639=0,"",IF(PlanterYesMe="",IF(AE639="me","   not ELP, by",IF(AE639="",IF(G639&gt;0,(VLOOKUP(A639,'Discount Lookup'!J:K,2)*G639*(1-PlanterDiscount)*(1+PlanterDifficultyPercentage)),""),"")),"   not ELP, by"))))))))))))))</f>
        <v/>
      </c>
      <c r="AD639" s="712"/>
      <c r="AE639" s="513" t="str">
        <f t="shared" si="442"/>
        <v/>
      </c>
      <c r="AF639" s="713" t="str">
        <f t="shared" si="443"/>
        <v/>
      </c>
      <c r="AG639" s="713"/>
      <c r="AH639" s="713"/>
      <c r="AI639" s="112">
        <f>IF(H639="credit",0,IF(AE639="free",0,IF(AE639="me",0,IF(G639&gt;0,(VLOOKUP(A639,'Discount Lookup'!J:K,2)*G639),0))))</f>
        <v>0</v>
      </c>
      <c r="AJ639" s="107" t="str">
        <f t="shared" ca="1" si="444"/>
        <v/>
      </c>
      <c r="AK639" s="714" t="str">
        <f t="shared" si="445"/>
        <v/>
      </c>
      <c r="AL639" s="714"/>
      <c r="AM639" s="114" t="str">
        <f t="shared" si="446"/>
        <v/>
      </c>
      <c r="AN639" s="115"/>
      <c r="AO639" s="116"/>
      <c r="AP639" s="116"/>
      <c r="AQ639" s="116"/>
      <c r="AR639" s="116"/>
      <c r="AS639" s="116"/>
      <c r="AT639" s="116"/>
      <c r="AU639" s="116"/>
      <c r="AV639" s="78"/>
      <c r="AW639" s="102"/>
      <c r="AX639" s="78"/>
      <c r="AY639" s="78"/>
      <c r="AZ639" s="78"/>
      <c r="BA639" s="78"/>
      <c r="BB639" s="78"/>
      <c r="BC639" s="78"/>
      <c r="BD639" s="78"/>
      <c r="BE639" s="465"/>
      <c r="BF639" s="165" t="str">
        <f t="shared" si="447"/>
        <v>https://www.google.com/search?tbm=isch&amp;q=3%20G5</v>
      </c>
      <c r="BG639" s="165" t="str">
        <f t="shared" si="448"/>
        <v>C</v>
      </c>
      <c r="BH639" s="65"/>
      <c r="BI639" s="65"/>
      <c r="BJ639" s="65"/>
      <c r="BK639" s="65"/>
      <c r="BL639" s="99"/>
      <c r="BM639" s="99"/>
      <c r="BN639" s="99"/>
    </row>
    <row r="640" spans="1:66" s="51" customFormat="1" ht="15.75" x14ac:dyDescent="0.25">
      <c r="A640" s="634">
        <v>3</v>
      </c>
      <c r="B640" s="635" t="s">
        <v>291</v>
      </c>
      <c r="C640" s="636" t="s">
        <v>1740</v>
      </c>
      <c r="D640" s="637" t="s">
        <v>299</v>
      </c>
      <c r="E640" s="638">
        <v>43.95</v>
      </c>
      <c r="F640" s="639" t="s">
        <v>292</v>
      </c>
      <c r="G640" s="484">
        <v>0</v>
      </c>
      <c r="H640" s="691" t="str">
        <f t="shared" si="468"/>
        <v/>
      </c>
      <c r="I640" s="640">
        <f t="shared" si="469"/>
        <v>0</v>
      </c>
      <c r="J640" s="640">
        <f t="shared" si="470"/>
        <v>0</v>
      </c>
      <c r="K640" s="716">
        <f t="shared" ref="K640" si="473">I640+J640</f>
        <v>0</v>
      </c>
      <c r="L640" s="716"/>
      <c r="M640" s="689" t="str">
        <f t="shared" ca="1" si="472"/>
        <v/>
      </c>
      <c r="N640" s="690"/>
      <c r="O640" s="486"/>
      <c r="P640" s="486"/>
      <c r="Q640" s="486"/>
      <c r="R640" s="486"/>
      <c r="S640" s="486"/>
      <c r="T640" s="102">
        <f t="shared" si="436"/>
        <v>0</v>
      </c>
      <c r="U640" s="78">
        <f>IF(NOT(ISNUMBER(G640)), "", VLOOKUP(A640,'Discount Lookup'!D:E,2,FALSE)*G640)</f>
        <v>0</v>
      </c>
      <c r="V640" s="78">
        <f>IF(NOT(ISNUMBER(G640)), "", VLOOKUP(A640,'Discount Lookup'!G:H,2,FALSE)*G640)</f>
        <v>0</v>
      </c>
      <c r="W640" s="102">
        <f t="shared" si="437"/>
        <v>0</v>
      </c>
      <c r="X640" s="102">
        <f t="shared" si="438"/>
        <v>0</v>
      </c>
      <c r="Y640" s="120" t="b">
        <f t="shared" si="439"/>
        <v>0</v>
      </c>
      <c r="Z640" s="117">
        <f t="shared" si="440"/>
        <v>0</v>
      </c>
      <c r="AA640" s="118"/>
      <c r="AB640" s="118" t="str">
        <f t="shared" si="441"/>
        <v/>
      </c>
      <c r="AC640" s="712" t="str">
        <f>IF(AE640="T2G","no charge",IF(AND(OR(PlanterYesMe="No",PlanterYesMe="N",PlanterYesMe="me"),H640=""),"",IF(H640="credit","NO install",IF(AND(K640="",AE640="me"),"EACH row",IF(AND(K640="images",AE640="me"),"EACH row",IF(D640="","",IF(H640="credit","",IF(AE640="free","re-planting",IF(AE640="me","   not ELP, by",IF(AND(OR(PlanterYesMe="Yes",PlanterYesMe="Y"),G640&gt;0),(VLOOKUP(A640,'Discount Lookup'!J:K,2)*G640*(1-PlanterDiscount)*(1+PlanterDifficultyPercentage)),IF(AE640="ELP",(VLOOKUP(A640,'Discount Lookup'!J:K,2)*G640*(1-PlanterDiscount)*(1+PlanterDifficultyPercentage)),IF(AE640="free","re-planting",IF(G640=0,"",IF(PlanterYesMe="",IF(AE640="me","   not ELP, by",IF(AE640="",IF(G640&gt;0,(VLOOKUP(A640,'Discount Lookup'!J:K,2)*G640*(1-PlanterDiscount)*(1+PlanterDifficultyPercentage)),""),"")),"   not ELP, by"))))))))))))))</f>
        <v/>
      </c>
      <c r="AD640" s="712"/>
      <c r="AE640" s="513" t="str">
        <f t="shared" si="442"/>
        <v/>
      </c>
      <c r="AF640" s="713" t="str">
        <f t="shared" si="443"/>
        <v/>
      </c>
      <c r="AG640" s="713"/>
      <c r="AH640" s="713"/>
      <c r="AI640" s="112">
        <f>IF(H640="credit",0,IF(AE640="free",0,IF(AE640="me",0,IF(G640&gt;0,(VLOOKUP(A640,'Discount Lookup'!J:K,2)*G640),0))))</f>
        <v>0</v>
      </c>
      <c r="AJ640" s="107" t="str">
        <f t="shared" ca="1" si="444"/>
        <v/>
      </c>
      <c r="AK640" s="714" t="str">
        <f t="shared" si="445"/>
        <v/>
      </c>
      <c r="AL640" s="714"/>
      <c r="AM640" s="114" t="str">
        <f t="shared" si="446"/>
        <v/>
      </c>
      <c r="AN640" s="115"/>
      <c r="AO640" s="116"/>
      <c r="AP640" s="116"/>
      <c r="AQ640" s="116"/>
      <c r="AR640" s="116"/>
      <c r="AS640" s="116"/>
      <c r="AT640" s="116"/>
      <c r="AU640" s="116"/>
      <c r="AV640" s="78"/>
      <c r="AW640" s="102"/>
      <c r="AX640" s="78"/>
      <c r="AY640" s="78"/>
      <c r="AZ640" s="78"/>
      <c r="BA640" s="78"/>
      <c r="BB640" s="78"/>
      <c r="BC640" s="78"/>
      <c r="BD640" s="78"/>
      <c r="BE640" s="465"/>
      <c r="BF640" s="165" t="str">
        <f t="shared" si="447"/>
        <v>https://www.google.com/search?tbm=isch&amp;q=3%20G4</v>
      </c>
      <c r="BG640" s="165" t="str">
        <f t="shared" si="448"/>
        <v>C</v>
      </c>
      <c r="BH640" s="65"/>
      <c r="BI640" s="65"/>
      <c r="BJ640" s="65"/>
      <c r="BK640" s="65"/>
      <c r="BL640" s="99"/>
      <c r="BM640" s="99"/>
      <c r="BN640" s="99"/>
    </row>
    <row r="641" spans="1:66" s="51" customFormat="1" ht="15.75" x14ac:dyDescent="0.25">
      <c r="A641" s="634">
        <v>10</v>
      </c>
      <c r="B641" s="635" t="s">
        <v>291</v>
      </c>
      <c r="C641" s="636" t="s">
        <v>1303</v>
      </c>
      <c r="D641" s="637" t="s">
        <v>299</v>
      </c>
      <c r="E641" s="638">
        <v>137.94999999999999</v>
      </c>
      <c r="F641" s="639" t="s">
        <v>292</v>
      </c>
      <c r="G641" s="484">
        <v>0</v>
      </c>
      <c r="H641" s="691" t="str">
        <f t="shared" si="468"/>
        <v/>
      </c>
      <c r="I641" s="640">
        <f t="shared" si="469"/>
        <v>0</v>
      </c>
      <c r="J641" s="640">
        <f t="shared" si="470"/>
        <v>0</v>
      </c>
      <c r="K641" s="716">
        <f t="shared" ref="K641" si="474">I641+J641</f>
        <v>0</v>
      </c>
      <c r="L641" s="716"/>
      <c r="M641" s="689" t="str">
        <f t="shared" ca="1" si="472"/>
        <v/>
      </c>
      <c r="N641" s="690"/>
      <c r="O641" s="486"/>
      <c r="P641" s="486"/>
      <c r="Q641" s="486"/>
      <c r="R641" s="486"/>
      <c r="S641" s="486"/>
      <c r="T641" s="102">
        <f t="shared" si="436"/>
        <v>0</v>
      </c>
      <c r="U641" s="78">
        <f>IF(NOT(ISNUMBER(G641)), "", VLOOKUP(A641,'Discount Lookup'!D:E,2,FALSE)*G641)</f>
        <v>0</v>
      </c>
      <c r="V641" s="78">
        <f>IF(NOT(ISNUMBER(G641)), "", VLOOKUP(A641,'Discount Lookup'!G:H,2,FALSE)*G641)</f>
        <v>0</v>
      </c>
      <c r="W641" s="102">
        <f t="shared" si="437"/>
        <v>0</v>
      </c>
      <c r="X641" s="102">
        <f t="shared" si="438"/>
        <v>0</v>
      </c>
      <c r="Y641" s="120" t="b">
        <f t="shared" si="439"/>
        <v>0</v>
      </c>
      <c r="Z641" s="117">
        <f t="shared" si="440"/>
        <v>0</v>
      </c>
      <c r="AA641" s="118"/>
      <c r="AB641" s="118" t="str">
        <f t="shared" si="441"/>
        <v/>
      </c>
      <c r="AC641" s="712" t="str">
        <f>IF(AE641="T2G","no charge",IF(AND(OR(PlanterYesMe="No",PlanterYesMe="N",PlanterYesMe="me"),H641=""),"",IF(H641="credit","NO install",IF(AND(K641="",AE641="me"),"EACH row",IF(AND(K641="images",AE641="me"),"EACH row",IF(D641="","",IF(H641="credit","",IF(AE641="free","re-planting",IF(AE641="me","   not ELP, by",IF(AND(OR(PlanterYesMe="Yes",PlanterYesMe="Y"),G641&gt;0),(VLOOKUP(A641,'Discount Lookup'!J:K,2)*G641*(1-PlanterDiscount)*(1+PlanterDifficultyPercentage)),IF(AE641="ELP",(VLOOKUP(A641,'Discount Lookup'!J:K,2)*G641*(1-PlanterDiscount)*(1+PlanterDifficultyPercentage)),IF(AE641="free","re-planting",IF(G641=0,"",IF(PlanterYesMe="",IF(AE641="me","   not ELP, by",IF(AE641="",IF(G641&gt;0,(VLOOKUP(A641,'Discount Lookup'!J:K,2)*G641*(1-PlanterDiscount)*(1+PlanterDifficultyPercentage)),""),"")),"   not ELP, by"))))))))))))))</f>
        <v/>
      </c>
      <c r="AD641" s="712"/>
      <c r="AE641" s="513" t="str">
        <f t="shared" si="442"/>
        <v/>
      </c>
      <c r="AF641" s="713" t="str">
        <f t="shared" si="443"/>
        <v/>
      </c>
      <c r="AG641" s="713"/>
      <c r="AH641" s="713"/>
      <c r="AI641" s="112">
        <f>IF(H641="credit",0,IF(AE641="free",0,IF(AE641="me",0,IF(G641&gt;0,(VLOOKUP(A641,'Discount Lookup'!J:K,2)*G641),0))))</f>
        <v>0</v>
      </c>
      <c r="AJ641" s="107" t="str">
        <f t="shared" ca="1" si="444"/>
        <v/>
      </c>
      <c r="AK641" s="714" t="str">
        <f t="shared" si="445"/>
        <v/>
      </c>
      <c r="AL641" s="714"/>
      <c r="AM641" s="114" t="str">
        <f t="shared" si="446"/>
        <v/>
      </c>
      <c r="AN641" s="115"/>
      <c r="AO641" s="116"/>
      <c r="AP641" s="116"/>
      <c r="AQ641" s="116"/>
      <c r="AR641" s="116"/>
      <c r="AS641" s="116"/>
      <c r="AT641" s="116"/>
      <c r="AU641" s="116"/>
      <c r="AV641" s="78"/>
      <c r="AW641" s="102"/>
      <c r="AX641" s="78"/>
      <c r="AY641" s="78"/>
      <c r="AZ641" s="78"/>
      <c r="BA641" s="78"/>
      <c r="BB641" s="78"/>
      <c r="BC641" s="78"/>
      <c r="BD641" s="78"/>
      <c r="BE641" s="465"/>
      <c r="BF641" s="165" t="str">
        <f t="shared" si="447"/>
        <v>https://www.google.com/search?tbm=isch&amp;q=10%20G4</v>
      </c>
      <c r="BG641" s="165" t="str">
        <f t="shared" si="448"/>
        <v>C</v>
      </c>
      <c r="BH641" s="65"/>
      <c r="BI641" s="65"/>
      <c r="BJ641" s="65"/>
      <c r="BK641" s="65"/>
      <c r="BL641" s="99"/>
      <c r="BM641" s="99"/>
      <c r="BN641" s="99"/>
    </row>
    <row r="642" spans="1:66" s="51" customFormat="1" ht="15.75" x14ac:dyDescent="0.25">
      <c r="A642" s="634">
        <v>10</v>
      </c>
      <c r="B642" s="635" t="s">
        <v>291</v>
      </c>
      <c r="C642" s="636" t="s">
        <v>1741</v>
      </c>
      <c r="D642" s="637" t="s">
        <v>311</v>
      </c>
      <c r="E642" s="638">
        <v>137.94999999999999</v>
      </c>
      <c r="F642" s="639" t="s">
        <v>292</v>
      </c>
      <c r="G642" s="484">
        <v>0</v>
      </c>
      <c r="H642" s="691" t="str">
        <f t="shared" si="468"/>
        <v/>
      </c>
      <c r="I642" s="640">
        <f t="shared" si="469"/>
        <v>0</v>
      </c>
      <c r="J642" s="640">
        <f t="shared" si="470"/>
        <v>0</v>
      </c>
      <c r="K642" s="716">
        <f t="shared" ref="K642" si="475">I642+J642</f>
        <v>0</v>
      </c>
      <c r="L642" s="716"/>
      <c r="M642" s="689" t="str">
        <f t="shared" ca="1" si="472"/>
        <v/>
      </c>
      <c r="N642" s="690"/>
      <c r="O642" s="486"/>
      <c r="P642" s="486"/>
      <c r="Q642" s="486"/>
      <c r="R642" s="486"/>
      <c r="S642" s="486"/>
      <c r="T642" s="102">
        <f t="shared" si="436"/>
        <v>0</v>
      </c>
      <c r="U642" s="78">
        <f>IF(NOT(ISNUMBER(G642)), "", VLOOKUP(A642,'Discount Lookup'!D:E,2,FALSE)*G642)</f>
        <v>0</v>
      </c>
      <c r="V642" s="78">
        <f>IF(NOT(ISNUMBER(G642)), "", VLOOKUP(A642,'Discount Lookup'!G:H,2,FALSE)*G642)</f>
        <v>0</v>
      </c>
      <c r="W642" s="102">
        <f t="shared" si="437"/>
        <v>0</v>
      </c>
      <c r="X642" s="102">
        <f t="shared" si="438"/>
        <v>0</v>
      </c>
      <c r="Y642" s="120" t="b">
        <f t="shared" si="439"/>
        <v>0</v>
      </c>
      <c r="Z642" s="117">
        <f t="shared" si="440"/>
        <v>0</v>
      </c>
      <c r="AA642" s="118"/>
      <c r="AB642" s="118" t="str">
        <f t="shared" si="441"/>
        <v/>
      </c>
      <c r="AC642" s="712" t="str">
        <f>IF(AE642="T2G","no charge",IF(AND(OR(PlanterYesMe="No",PlanterYesMe="N",PlanterYesMe="me"),H642=""),"",IF(H642="credit","NO install",IF(AND(K642="",AE642="me"),"EACH row",IF(AND(K642="images",AE642="me"),"EACH row",IF(D642="","",IF(H642="credit","",IF(AE642="free","re-planting",IF(AE642="me","   not ELP, by",IF(AND(OR(PlanterYesMe="Yes",PlanterYesMe="Y"),G642&gt;0),(VLOOKUP(A642,'Discount Lookup'!J:K,2)*G642*(1-PlanterDiscount)*(1+PlanterDifficultyPercentage)),IF(AE642="ELP",(VLOOKUP(A642,'Discount Lookup'!J:K,2)*G642*(1-PlanterDiscount)*(1+PlanterDifficultyPercentage)),IF(AE642="free","re-planting",IF(G642=0,"",IF(PlanterYesMe="",IF(AE642="me","   not ELP, by",IF(AE642="",IF(G642&gt;0,(VLOOKUP(A642,'Discount Lookup'!J:K,2)*G642*(1-PlanterDiscount)*(1+PlanterDifficultyPercentage)),""),"")),"   not ELP, by"))))))))))))))</f>
        <v/>
      </c>
      <c r="AD642" s="712"/>
      <c r="AE642" s="513" t="str">
        <f t="shared" si="442"/>
        <v/>
      </c>
      <c r="AF642" s="713" t="str">
        <f t="shared" si="443"/>
        <v/>
      </c>
      <c r="AG642" s="713"/>
      <c r="AH642" s="713"/>
      <c r="AI642" s="112">
        <f>IF(H642="credit",0,IF(AE642="free",0,IF(AE642="me",0,IF(G642&gt;0,(VLOOKUP(A642,'Discount Lookup'!J:K,2)*G642),0))))</f>
        <v>0</v>
      </c>
      <c r="AJ642" s="107" t="str">
        <f t="shared" ca="1" si="444"/>
        <v/>
      </c>
      <c r="AK642" s="714" t="str">
        <f t="shared" si="445"/>
        <v/>
      </c>
      <c r="AL642" s="714"/>
      <c r="AM642" s="114" t="str">
        <f t="shared" si="446"/>
        <v/>
      </c>
      <c r="AN642" s="115"/>
      <c r="AO642" s="116"/>
      <c r="AP642" s="116"/>
      <c r="AQ642" s="116"/>
      <c r="AR642" s="116"/>
      <c r="AS642" s="116"/>
      <c r="AT642" s="116"/>
      <c r="AU642" s="116"/>
      <c r="AV642" s="78"/>
      <c r="AW642" s="102"/>
      <c r="AX642" s="78"/>
      <c r="AY642" s="78"/>
      <c r="AZ642" s="78"/>
      <c r="BA642" s="78"/>
      <c r="BB642" s="78"/>
      <c r="BC642" s="78"/>
      <c r="BD642" s="78"/>
      <c r="BE642" s="465"/>
      <c r="BF642" s="165" t="str">
        <f t="shared" si="447"/>
        <v>https://www.google.com/search?tbm=isch&amp;q=10%20G5</v>
      </c>
      <c r="BG642" s="165" t="str">
        <f t="shared" si="448"/>
        <v>C</v>
      </c>
      <c r="BH642" s="65"/>
      <c r="BI642" s="65"/>
      <c r="BJ642" s="65"/>
      <c r="BK642" s="65"/>
      <c r="BL642" s="99"/>
      <c r="BM642" s="99"/>
      <c r="BN642" s="99"/>
    </row>
    <row r="643" spans="1:66" s="51" customFormat="1" ht="27" x14ac:dyDescent="0.25">
      <c r="A643" s="634">
        <v>7</v>
      </c>
      <c r="B643" s="635" t="s">
        <v>291</v>
      </c>
      <c r="C643" s="636" t="s">
        <v>5116</v>
      </c>
      <c r="D643" s="637" t="s">
        <v>299</v>
      </c>
      <c r="E643" s="638">
        <v>146.94999999999999</v>
      </c>
      <c r="F643" s="639" t="s">
        <v>292</v>
      </c>
      <c r="G643" s="484">
        <v>0</v>
      </c>
      <c r="H643" s="691" t="str">
        <f t="shared" si="468"/>
        <v/>
      </c>
      <c r="I643" s="640">
        <f t="shared" si="469"/>
        <v>0</v>
      </c>
      <c r="J643" s="640">
        <f t="shared" si="470"/>
        <v>0</v>
      </c>
      <c r="K643" s="716">
        <f t="shared" ref="K643" si="476">I643+J643</f>
        <v>0</v>
      </c>
      <c r="L643" s="716"/>
      <c r="M643" s="689" t="str">
        <f t="shared" ca="1" si="472"/>
        <v/>
      </c>
      <c r="N643" s="690"/>
      <c r="O643" s="486"/>
      <c r="P643" s="486"/>
      <c r="Q643" s="486"/>
      <c r="R643" s="486"/>
      <c r="S643" s="486"/>
      <c r="T643" s="102">
        <f t="shared" si="436"/>
        <v>0</v>
      </c>
      <c r="U643" s="78">
        <f>IF(NOT(ISNUMBER(G643)), "", VLOOKUP(A643,'Discount Lookup'!D:E,2,FALSE)*G643)</f>
        <v>0</v>
      </c>
      <c r="V643" s="78">
        <f>IF(NOT(ISNUMBER(G643)), "", VLOOKUP(A643,'Discount Lookup'!G:H,2,FALSE)*G643)</f>
        <v>0</v>
      </c>
      <c r="W643" s="102">
        <f t="shared" si="437"/>
        <v>0</v>
      </c>
      <c r="X643" s="102">
        <f t="shared" si="438"/>
        <v>0</v>
      </c>
      <c r="Y643" s="120" t="b">
        <f t="shared" si="439"/>
        <v>0</v>
      </c>
      <c r="Z643" s="117">
        <f t="shared" si="440"/>
        <v>0</v>
      </c>
      <c r="AA643" s="118"/>
      <c r="AB643" s="118" t="str">
        <f t="shared" si="441"/>
        <v/>
      </c>
      <c r="AC643" s="712" t="str">
        <f>IF(AE643="T2G","no charge",IF(AND(OR(PlanterYesMe="No",PlanterYesMe="N",PlanterYesMe="me"),H643=""),"",IF(H643="credit","NO install",IF(AND(K643="",AE643="me"),"EACH row",IF(AND(K643="images",AE643="me"),"EACH row",IF(D643="","",IF(H643="credit","",IF(AE643="free","re-planting",IF(AE643="me","   not ELP, by",IF(AND(OR(PlanterYesMe="Yes",PlanterYesMe="Y"),G643&gt;0),(VLOOKUP(A643,'Discount Lookup'!J:K,2)*G643*(1-PlanterDiscount)*(1+PlanterDifficultyPercentage)),IF(AE643="ELP",(VLOOKUP(A643,'Discount Lookup'!J:K,2)*G643*(1-PlanterDiscount)*(1+PlanterDifficultyPercentage)),IF(AE643="free","re-planting",IF(G643=0,"",IF(PlanterYesMe="",IF(AE643="me","   not ELP, by",IF(AE643="",IF(G643&gt;0,(VLOOKUP(A643,'Discount Lookup'!J:K,2)*G643*(1-PlanterDiscount)*(1+PlanterDifficultyPercentage)),""),"")),"   not ELP, by"))))))))))))))</f>
        <v/>
      </c>
      <c r="AD643" s="712"/>
      <c r="AE643" s="513" t="str">
        <f t="shared" si="442"/>
        <v/>
      </c>
      <c r="AF643" s="713" t="str">
        <f t="shared" si="443"/>
        <v/>
      </c>
      <c r="AG643" s="713"/>
      <c r="AH643" s="713"/>
      <c r="AI643" s="112">
        <f>IF(H643="credit",0,IF(AE643="free",0,IF(AE643="me",0,IF(G643&gt;0,(VLOOKUP(A643,'Discount Lookup'!J:K,2)*G643),0))))</f>
        <v>0</v>
      </c>
      <c r="AJ643" s="107" t="str">
        <f t="shared" ca="1" si="444"/>
        <v/>
      </c>
      <c r="AK643" s="714" t="str">
        <f t="shared" si="445"/>
        <v/>
      </c>
      <c r="AL643" s="714"/>
      <c r="AM643" s="114" t="str">
        <f t="shared" si="446"/>
        <v/>
      </c>
      <c r="AN643" s="115"/>
      <c r="AO643" s="116"/>
      <c r="AP643" s="116"/>
      <c r="AQ643" s="116"/>
      <c r="AR643" s="116"/>
      <c r="AS643" s="116"/>
      <c r="AT643" s="116"/>
      <c r="AU643" s="116"/>
      <c r="AV643" s="78"/>
      <c r="AW643" s="102"/>
      <c r="AX643" s="78"/>
      <c r="AY643" s="78"/>
      <c r="AZ643" s="78"/>
      <c r="BA643" s="78"/>
      <c r="BB643" s="78"/>
      <c r="BC643" s="78"/>
      <c r="BD643" s="78"/>
      <c r="BE643" s="465"/>
      <c r="BF643" s="165" t="str">
        <f t="shared" si="447"/>
        <v>https://www.google.com/search?tbm=isch&amp;q=7%20G4</v>
      </c>
      <c r="BG643" s="165" t="str">
        <f t="shared" si="448"/>
        <v>C</v>
      </c>
      <c r="BH643" s="65"/>
      <c r="BI643" s="65"/>
      <c r="BJ643" s="65"/>
      <c r="BK643" s="65"/>
      <c r="BL643" s="99"/>
      <c r="BM643" s="99"/>
      <c r="BN643" s="99"/>
    </row>
    <row r="644" spans="1:66" s="51" customFormat="1" ht="15.75" x14ac:dyDescent="0.25">
      <c r="A644" s="634">
        <v>10</v>
      </c>
      <c r="B644" s="635" t="s">
        <v>291</v>
      </c>
      <c r="C644" s="636" t="s">
        <v>1742</v>
      </c>
      <c r="D644" s="637" t="s">
        <v>299</v>
      </c>
      <c r="E644" s="638">
        <v>178.95</v>
      </c>
      <c r="F644" s="639" t="s">
        <v>292</v>
      </c>
      <c r="G644" s="484">
        <v>0</v>
      </c>
      <c r="H644" s="691" t="str">
        <f t="shared" si="468"/>
        <v/>
      </c>
      <c r="I644" s="640">
        <f t="shared" si="469"/>
        <v>0</v>
      </c>
      <c r="J644" s="640">
        <f t="shared" si="470"/>
        <v>0</v>
      </c>
      <c r="K644" s="716">
        <f t="shared" ref="K644" si="477">I644+J644</f>
        <v>0</v>
      </c>
      <c r="L644" s="716"/>
      <c r="M644" s="689" t="str">
        <f t="shared" ca="1" si="472"/>
        <v/>
      </c>
      <c r="N644" s="690"/>
      <c r="O644" s="486"/>
      <c r="P644" s="486"/>
      <c r="Q644" s="486"/>
      <c r="R644" s="486"/>
      <c r="S644" s="486"/>
      <c r="T644" s="102">
        <f t="shared" si="436"/>
        <v>0</v>
      </c>
      <c r="U644" s="78">
        <f>IF(NOT(ISNUMBER(G644)), "", VLOOKUP(A644,'Discount Lookup'!D:E,2,FALSE)*G644)</f>
        <v>0</v>
      </c>
      <c r="V644" s="78">
        <f>IF(NOT(ISNUMBER(G644)), "", VLOOKUP(A644,'Discount Lookup'!G:H,2,FALSE)*G644)</f>
        <v>0</v>
      </c>
      <c r="W644" s="102">
        <f t="shared" si="437"/>
        <v>0</v>
      </c>
      <c r="X644" s="102">
        <f t="shared" si="438"/>
        <v>0</v>
      </c>
      <c r="Y644" s="120" t="b">
        <f t="shared" si="439"/>
        <v>0</v>
      </c>
      <c r="Z644" s="117">
        <f t="shared" si="440"/>
        <v>0</v>
      </c>
      <c r="AA644" s="118"/>
      <c r="AB644" s="118" t="str">
        <f t="shared" si="441"/>
        <v/>
      </c>
      <c r="AC644" s="712" t="str">
        <f>IF(AE644="T2G","no charge",IF(AND(OR(PlanterYesMe="No",PlanterYesMe="N",PlanterYesMe="me"),H644=""),"",IF(H644="credit","NO install",IF(AND(K644="",AE644="me"),"EACH row",IF(AND(K644="images",AE644="me"),"EACH row",IF(D644="","",IF(H644="credit","",IF(AE644="free","re-planting",IF(AE644="me","   not ELP, by",IF(AND(OR(PlanterYesMe="Yes",PlanterYesMe="Y"),G644&gt;0),(VLOOKUP(A644,'Discount Lookup'!J:K,2)*G644*(1-PlanterDiscount)*(1+PlanterDifficultyPercentage)),IF(AE644="ELP",(VLOOKUP(A644,'Discount Lookup'!J:K,2)*G644*(1-PlanterDiscount)*(1+PlanterDifficultyPercentage)),IF(AE644="free","re-planting",IF(G644=0,"",IF(PlanterYesMe="",IF(AE644="me","   not ELP, by",IF(AE644="",IF(G644&gt;0,(VLOOKUP(A644,'Discount Lookup'!J:K,2)*G644*(1-PlanterDiscount)*(1+PlanterDifficultyPercentage)),""),"")),"   not ELP, by"))))))))))))))</f>
        <v/>
      </c>
      <c r="AD644" s="712"/>
      <c r="AE644" s="513" t="str">
        <f t="shared" si="442"/>
        <v/>
      </c>
      <c r="AF644" s="713" t="str">
        <f t="shared" si="443"/>
        <v/>
      </c>
      <c r="AG644" s="713"/>
      <c r="AH644" s="713"/>
      <c r="AI644" s="112">
        <f>IF(H644="credit",0,IF(AE644="free",0,IF(AE644="me",0,IF(G644&gt;0,(VLOOKUP(A644,'Discount Lookup'!J:K,2)*G644),0))))</f>
        <v>0</v>
      </c>
      <c r="AJ644" s="107" t="str">
        <f t="shared" ca="1" si="444"/>
        <v/>
      </c>
      <c r="AK644" s="714" t="str">
        <f t="shared" si="445"/>
        <v/>
      </c>
      <c r="AL644" s="714"/>
      <c r="AM644" s="114" t="str">
        <f t="shared" si="446"/>
        <v/>
      </c>
      <c r="AN644" s="115"/>
      <c r="AO644" s="116"/>
      <c r="AP644" s="116"/>
      <c r="AQ644" s="116"/>
      <c r="AR644" s="116"/>
      <c r="AS644" s="116"/>
      <c r="AT644" s="116"/>
      <c r="AU644" s="116"/>
      <c r="AV644" s="78"/>
      <c r="AW644" s="102"/>
      <c r="AX644" s="78"/>
      <c r="AY644" s="78"/>
      <c r="AZ644" s="78"/>
      <c r="BA644" s="78"/>
      <c r="BB644" s="78"/>
      <c r="BC644" s="78"/>
      <c r="BD644" s="78"/>
      <c r="BE644" s="465"/>
      <c r="BF644" s="165" t="str">
        <f t="shared" si="447"/>
        <v>https://www.google.com/search?tbm=isch&amp;q=10%20G4</v>
      </c>
      <c r="BG644" s="165" t="str">
        <f t="shared" si="448"/>
        <v>C</v>
      </c>
      <c r="BH644" s="65"/>
      <c r="BI644" s="65"/>
      <c r="BJ644" s="65"/>
      <c r="BK644" s="65"/>
      <c r="BL644" s="99"/>
      <c r="BM644" s="99"/>
      <c r="BN644" s="99"/>
    </row>
    <row r="645" spans="1:66" s="51" customFormat="1" ht="15.75" x14ac:dyDescent="0.25">
      <c r="A645" s="634">
        <v>15</v>
      </c>
      <c r="B645" s="635" t="s">
        <v>291</v>
      </c>
      <c r="C645" s="636" t="s">
        <v>4574</v>
      </c>
      <c r="D645" s="637" t="s">
        <v>293</v>
      </c>
      <c r="E645" s="638">
        <v>249.95</v>
      </c>
      <c r="F645" s="639" t="s">
        <v>292</v>
      </c>
      <c r="G645" s="484">
        <v>0</v>
      </c>
      <c r="H645" s="691" t="str">
        <f t="shared" si="468"/>
        <v/>
      </c>
      <c r="I645" s="640">
        <f t="shared" si="469"/>
        <v>0</v>
      </c>
      <c r="J645" s="640">
        <f t="shared" si="470"/>
        <v>0</v>
      </c>
      <c r="K645" s="716">
        <f t="shared" ref="K645" si="478">I645+J645</f>
        <v>0</v>
      </c>
      <c r="L645" s="716"/>
      <c r="M645" s="689" t="str">
        <f t="shared" ca="1" si="472"/>
        <v/>
      </c>
      <c r="N645" s="690"/>
      <c r="O645" s="486"/>
      <c r="P645" s="486"/>
      <c r="Q645" s="486"/>
      <c r="R645" s="486"/>
      <c r="S645" s="486"/>
      <c r="T645" s="102">
        <f t="shared" si="436"/>
        <v>0</v>
      </c>
      <c r="U645" s="78">
        <f>IF(NOT(ISNUMBER(G645)), "", VLOOKUP(A645,'Discount Lookup'!D:E,2,FALSE)*G645)</f>
        <v>0</v>
      </c>
      <c r="V645" s="78">
        <f>IF(NOT(ISNUMBER(G645)), "", VLOOKUP(A645,'Discount Lookup'!G:H,2,FALSE)*G645)</f>
        <v>0</v>
      </c>
      <c r="W645" s="102">
        <f t="shared" si="437"/>
        <v>0</v>
      </c>
      <c r="X645" s="102">
        <f t="shared" si="438"/>
        <v>0</v>
      </c>
      <c r="Y645" s="120" t="b">
        <f t="shared" si="439"/>
        <v>0</v>
      </c>
      <c r="Z645" s="117">
        <f t="shared" si="440"/>
        <v>0</v>
      </c>
      <c r="AA645" s="118"/>
      <c r="AB645" s="118" t="str">
        <f t="shared" si="441"/>
        <v/>
      </c>
      <c r="AC645" s="712" t="str">
        <f>IF(AE645="T2G","no charge",IF(AND(OR(PlanterYesMe="No",PlanterYesMe="N",PlanterYesMe="me"),H645=""),"",IF(H645="credit","NO install",IF(AND(K645="",AE645="me"),"EACH row",IF(AND(K645="images",AE645="me"),"EACH row",IF(D645="","",IF(H645="credit","",IF(AE645="free","re-planting",IF(AE645="me","   not ELP, by",IF(AND(OR(PlanterYesMe="Yes",PlanterYesMe="Y"),G645&gt;0),(VLOOKUP(A645,'Discount Lookup'!J:K,2)*G645*(1-PlanterDiscount)*(1+PlanterDifficultyPercentage)),IF(AE645="ELP",(VLOOKUP(A645,'Discount Lookup'!J:K,2)*G645*(1-PlanterDiscount)*(1+PlanterDifficultyPercentage)),IF(AE645="free","re-planting",IF(G645=0,"",IF(PlanterYesMe="",IF(AE645="me","   not ELP, by",IF(AE645="",IF(G645&gt;0,(VLOOKUP(A645,'Discount Lookup'!J:K,2)*G645*(1-PlanterDiscount)*(1+PlanterDifficultyPercentage)),""),"")),"   not ELP, by"))))))))))))))</f>
        <v/>
      </c>
      <c r="AD645" s="712"/>
      <c r="AE645" s="513" t="str">
        <f t="shared" si="442"/>
        <v/>
      </c>
      <c r="AF645" s="713" t="str">
        <f t="shared" si="443"/>
        <v/>
      </c>
      <c r="AG645" s="713"/>
      <c r="AH645" s="713"/>
      <c r="AI645" s="112">
        <f>IF(H645="credit",0,IF(AE645="free",0,IF(AE645="me",0,IF(G645&gt;0,(VLOOKUP(A645,'Discount Lookup'!J:K,2)*G645),0))))</f>
        <v>0</v>
      </c>
      <c r="AJ645" s="107" t="str">
        <f t="shared" ca="1" si="444"/>
        <v/>
      </c>
      <c r="AK645" s="714" t="str">
        <f t="shared" si="445"/>
        <v/>
      </c>
      <c r="AL645" s="714"/>
      <c r="AM645" s="114" t="str">
        <f t="shared" si="446"/>
        <v/>
      </c>
      <c r="AN645" s="115"/>
      <c r="AO645" s="116"/>
      <c r="AP645" s="116"/>
      <c r="AQ645" s="116"/>
      <c r="AR645" s="116"/>
      <c r="AS645" s="116"/>
      <c r="AT645" s="116"/>
      <c r="AU645" s="116"/>
      <c r="AV645" s="78"/>
      <c r="AW645" s="102"/>
      <c r="AX645" s="78"/>
      <c r="AY645" s="78"/>
      <c r="AZ645" s="78"/>
      <c r="BA645" s="78"/>
      <c r="BB645" s="78"/>
      <c r="BC645" s="78"/>
      <c r="BD645" s="78"/>
      <c r="BE645" s="465"/>
      <c r="BF645" s="165" t="str">
        <f t="shared" si="447"/>
        <v>https://www.google.com/search?tbm=isch&amp;q=15%20G6</v>
      </c>
      <c r="BG645" s="165" t="str">
        <f t="shared" si="448"/>
        <v>C</v>
      </c>
      <c r="BH645" s="65"/>
      <c r="BI645" s="65"/>
      <c r="BJ645" s="65"/>
      <c r="BK645" s="65"/>
      <c r="BL645" s="99"/>
      <c r="BM645" s="99"/>
      <c r="BN645" s="99"/>
    </row>
    <row r="646" spans="1:66" s="51" customFormat="1" ht="17.25" thickBot="1" x14ac:dyDescent="0.3">
      <c r="A646" s="704" t="s">
        <v>5347</v>
      </c>
      <c r="B646" s="642"/>
      <c r="C646" s="710"/>
      <c r="D646" s="643"/>
      <c r="E646" s="643"/>
      <c r="F646" s="644"/>
      <c r="G646" s="645"/>
      <c r="H646" s="646"/>
      <c r="I646" s="647"/>
      <c r="J646" s="648"/>
      <c r="K646" s="649"/>
      <c r="L646" s="650"/>
      <c r="M646" s="650"/>
      <c r="N646" s="644"/>
      <c r="O646" s="644"/>
      <c r="P646" s="644"/>
      <c r="Q646" s="644"/>
      <c r="R646" s="644"/>
      <c r="S646" s="701" t="s">
        <v>5273</v>
      </c>
      <c r="T646" s="102">
        <f t="shared" si="436"/>
        <v>0</v>
      </c>
      <c r="U646" s="78" t="str">
        <f>IF(NOT(ISNUMBER(G646)), "", VLOOKUP(A646,'Discount Lookup'!D:E,2,FALSE)*G646)</f>
        <v/>
      </c>
      <c r="V646" s="78" t="str">
        <f>IF(NOT(ISNUMBER(G646)), "", VLOOKUP(A646,'Discount Lookup'!G:H,2,FALSE)*G646)</f>
        <v/>
      </c>
      <c r="W646" s="102">
        <f t="shared" si="437"/>
        <v>0</v>
      </c>
      <c r="X646" s="102">
        <f t="shared" si="438"/>
        <v>0</v>
      </c>
      <c r="Y646" s="120" t="b">
        <f t="shared" si="439"/>
        <v>0</v>
      </c>
      <c r="Z646" s="117">
        <f t="shared" si="440"/>
        <v>0</v>
      </c>
      <c r="AA646" s="118"/>
      <c r="AB646" s="118" t="str">
        <f t="shared" si="441"/>
        <v/>
      </c>
      <c r="AC646" s="712" t="str">
        <f>IF(AE646="T2G","no charge",IF(AND(OR(PlanterYesMe="No",PlanterYesMe="N",PlanterYesMe="me"),H646=""),"",IF(H646="credit","NO install",IF(AND(K646="",AE646="me"),"EACH row",IF(AND(K646="images",AE646="me"),"EACH row",IF(D646="","",IF(H646="credit","",IF(AE646="free","re-planting",IF(AE646="me","   not ELP, by",IF(AND(OR(PlanterYesMe="Yes",PlanterYesMe="Y"),G646&gt;0),(VLOOKUP(A646,'Discount Lookup'!J:K,2)*G646*(1-PlanterDiscount)*(1+PlanterDifficultyPercentage)),IF(AE646="ELP",(VLOOKUP(A646,'Discount Lookup'!J:K,2)*G646*(1-PlanterDiscount)*(1+PlanterDifficultyPercentage)),IF(AE646="free","re-planting",IF(G646=0,"",IF(PlanterYesMe="",IF(AE646="me","   not ELP, by",IF(AE646="",IF(G646&gt;0,(VLOOKUP(A646,'Discount Lookup'!J:K,2)*G646*(1-PlanterDiscount)*(1+PlanterDifficultyPercentage)),""),"")),"   not ELP, by"))))))))))))))</f>
        <v/>
      </c>
      <c r="AD646" s="712"/>
      <c r="AE646" s="513" t="str">
        <f t="shared" si="442"/>
        <v/>
      </c>
      <c r="AF646" s="713" t="str">
        <f t="shared" si="443"/>
        <v/>
      </c>
      <c r="AG646" s="713"/>
      <c r="AH646" s="713"/>
      <c r="AI646" s="112">
        <f>IF(H646="credit",0,IF(AE646="free",0,IF(AE646="me",0,IF(G646&gt;0,(VLOOKUP(A646,'Discount Lookup'!J:K,2)*G646),0))))</f>
        <v>0</v>
      </c>
      <c r="AJ646" s="107" t="str">
        <f t="shared" ca="1" si="444"/>
        <v/>
      </c>
      <c r="AK646" s="714" t="str">
        <f t="shared" si="445"/>
        <v/>
      </c>
      <c r="AL646" s="714"/>
      <c r="AM646" s="114" t="str">
        <f t="shared" si="446"/>
        <v/>
      </c>
      <c r="AN646" s="115"/>
      <c r="AO646" s="116"/>
      <c r="AP646" s="116"/>
      <c r="AQ646" s="116"/>
      <c r="AR646" s="116"/>
      <c r="AS646" s="116"/>
      <c r="AT646" s="116"/>
      <c r="AU646" s="116"/>
      <c r="AV646" s="78"/>
      <c r="AW646" s="102"/>
      <c r="AX646" s="78"/>
      <c r="AY646" s="78"/>
      <c r="AZ646" s="78"/>
      <c r="BA646" s="78"/>
      <c r="BB646" s="78"/>
      <c r="BC646" s="78"/>
      <c r="BD646" s="78"/>
      <c r="BE646" s="465"/>
      <c r="BF646" s="165" t="str">
        <f t="shared" si="447"/>
        <v>https://www.google.com/search?tbm=isch&amp;q=moist%20sites%F0%9F%92%A7OK%2C%20Aphrodite%20is%20known%20for%20it%27s%20enormous%2C%20long-lasting%20flowers.%20Fruity%20fragrance.%20More%20fragrant%20with%20high%20heat%20</v>
      </c>
      <c r="BG646" s="165" t="str">
        <f t="shared" si="448"/>
        <v>m</v>
      </c>
      <c r="BH646" s="65"/>
      <c r="BI646" s="65"/>
      <c r="BJ646" s="65"/>
      <c r="BK646" s="65"/>
      <c r="BL646" s="99"/>
      <c r="BM646" s="99"/>
      <c r="BN646" s="99"/>
    </row>
    <row r="647" spans="1:66" s="51" customFormat="1" ht="18" x14ac:dyDescent="0.25">
      <c r="A647" s="623" t="s">
        <v>1743</v>
      </c>
      <c r="B647" s="624"/>
      <c r="C647" s="709"/>
      <c r="D647" s="625" t="s">
        <v>5605</v>
      </c>
      <c r="E647" s="626"/>
      <c r="F647" s="626"/>
      <c r="G647" s="626"/>
      <c r="H647" s="622" t="s">
        <v>1528</v>
      </c>
      <c r="I647" s="627" t="s">
        <v>1744</v>
      </c>
      <c r="J647" s="628"/>
      <c r="K647" s="628"/>
      <c r="L647" s="629"/>
      <c r="M647" s="700" t="s">
        <v>5249</v>
      </c>
      <c r="N647" s="693" t="str">
        <f>IF(AND(ISTEXT($A647), ISERROR($A647+0)), HYPERLINK($BF647, "Images"), "")</f>
        <v>Images</v>
      </c>
      <c r="O647" s="695" t="s">
        <v>5247</v>
      </c>
      <c r="P647" s="630"/>
      <c r="Q647" s="631"/>
      <c r="R647" s="632"/>
      <c r="S647" s="633" t="s">
        <v>294</v>
      </c>
      <c r="T647" s="102">
        <f t="shared" si="436"/>
        <v>0</v>
      </c>
      <c r="U647" s="78" t="str">
        <f>IF(NOT(ISNUMBER(G647)), "", VLOOKUP(A647,'Discount Lookup'!D:E,2,FALSE)*G647)</f>
        <v/>
      </c>
      <c r="V647" s="78" t="str">
        <f>IF(NOT(ISNUMBER(G647)), "", VLOOKUP(A647,'Discount Lookup'!G:H,2,FALSE)*G647)</f>
        <v/>
      </c>
      <c r="W647" s="102">
        <f t="shared" si="437"/>
        <v>0</v>
      </c>
      <c r="X647" s="102" t="str">
        <f t="shared" si="438"/>
        <v>Burgundy-Red bloom</v>
      </c>
      <c r="Y647" s="120" t="b">
        <f t="shared" si="439"/>
        <v>0</v>
      </c>
      <c r="Z647" s="117">
        <f t="shared" si="440"/>
        <v>0</v>
      </c>
      <c r="AA647" s="118"/>
      <c r="AB647" s="118" t="str">
        <f t="shared" si="441"/>
        <v/>
      </c>
      <c r="AC647" s="712" t="str">
        <f>IF(AE647="T2G","no charge",IF(AND(OR(PlanterYesMe="No",PlanterYesMe="N",PlanterYesMe="me"),H647=""),"",IF(H647="credit","NO install",IF(AND(K647="",AE647="me"),"EACH row",IF(AND(K647="images",AE647="me"),"EACH row",IF(D647="","",IF(H647="credit","",IF(AE647="free","re-planting",IF(AE647="me","   not ELP, by",IF(AND(OR(PlanterYesMe="Yes",PlanterYesMe="Y"),G647&gt;0),(VLOOKUP(A647,'Discount Lookup'!J:K,2)*G647*(1-PlanterDiscount)*(1+PlanterDifficultyPercentage)),IF(AE647="ELP",(VLOOKUP(A647,'Discount Lookup'!J:K,2)*G647*(1-PlanterDiscount)*(1+PlanterDifficultyPercentage)),IF(AE647="free","re-planting",IF(G647=0,"",IF(PlanterYesMe="",IF(AE647="me","   not ELP, by",IF(AE647="",IF(G647&gt;0,(VLOOKUP(A647,'Discount Lookup'!J:K,2)*G647*(1-PlanterDiscount)*(1+PlanterDifficultyPercentage)),""),"")),"   not ELP, by"))))))))))))))</f>
        <v/>
      </c>
      <c r="AD647" s="712"/>
      <c r="AE647" s="513" t="str">
        <f t="shared" si="442"/>
        <v/>
      </c>
      <c r="AF647" s="713" t="str">
        <f t="shared" si="443"/>
        <v/>
      </c>
      <c r="AG647" s="713"/>
      <c r="AH647" s="713"/>
      <c r="AI647" s="112">
        <f>IF(H647="credit",0,IF(AE647="free",0,IF(AE647="me",0,IF(G647&gt;0,(VLOOKUP(A647,'Discount Lookup'!J:K,2)*G647),0))))</f>
        <v>0</v>
      </c>
      <c r="AJ647" s="107" t="str">
        <f t="shared" ca="1" si="444"/>
        <v/>
      </c>
      <c r="AK647" s="714" t="str">
        <f t="shared" si="445"/>
        <v/>
      </c>
      <c r="AL647" s="714"/>
      <c r="AM647" s="114" t="str">
        <f t="shared" si="446"/>
        <v/>
      </c>
      <c r="AN647" s="115"/>
      <c r="AO647" s="116"/>
      <c r="AP647" s="116"/>
      <c r="AQ647" s="116"/>
      <c r="AR647" s="116"/>
      <c r="AS647" s="116"/>
      <c r="AT647" s="116"/>
      <c r="AU647" s="116"/>
      <c r="AV647" s="78"/>
      <c r="AW647" s="102"/>
      <c r="AX647" s="78"/>
      <c r="AY647" s="78"/>
      <c r="AZ647" s="78"/>
      <c r="BA647" s="78"/>
      <c r="BB647" s="78"/>
      <c r="BC647" s="78"/>
      <c r="BD647" s="78"/>
      <c r="BE647" s="465"/>
      <c r="BF647" s="165" t="str">
        <f t="shared" si="447"/>
        <v>https://www.google.com/search?tbm=isch&amp;q=Calycanthus%20%27SMNCAF%27%20PP%2333550%20Simply%20Scentsational%C2%AE%20Sweetshrub</v>
      </c>
      <c r="BG647" s="165" t="str">
        <f t="shared" si="448"/>
        <v>C</v>
      </c>
      <c r="BH647" s="65"/>
      <c r="BI647" s="65"/>
      <c r="BJ647" s="65"/>
      <c r="BK647" s="65"/>
      <c r="BL647" s="99"/>
      <c r="BM647" s="99"/>
      <c r="BN647" s="99"/>
    </row>
    <row r="648" spans="1:66" s="51" customFormat="1" ht="15.75" x14ac:dyDescent="0.25">
      <c r="A648" s="634">
        <v>3</v>
      </c>
      <c r="B648" s="635" t="s">
        <v>291</v>
      </c>
      <c r="C648" s="636" t="s">
        <v>1745</v>
      </c>
      <c r="D648" s="637" t="s">
        <v>299</v>
      </c>
      <c r="E648" s="638">
        <v>41.95</v>
      </c>
      <c r="F648" s="639" t="s">
        <v>292</v>
      </c>
      <c r="G648" s="484">
        <v>0</v>
      </c>
      <c r="H648" s="691" t="str">
        <f>IF(G648=0,"",IF(F648="Buy",IF(G648=1,"plant","plants"),IF(F648&gt;0.01,"warranty","Error")))</f>
        <v/>
      </c>
      <c r="I648" s="640">
        <f>IF(H648="free",0,IF(H648="credit",((E648*(F648))*G648*-1),IF(F648="Buy",(E648*G648),((E648*(1-F648))*G648))))</f>
        <v>0</v>
      </c>
      <c r="J648" s="640">
        <f>IF(H648="warranty",0,(I648*(_xlfn.SINGLE(SalesTaxPercentage))))</f>
        <v>0</v>
      </c>
      <c r="K648" s="716">
        <f t="shared" ref="K648" si="479">I648+J648</f>
        <v>0</v>
      </c>
      <c r="L648" s="716"/>
      <c r="M648" s="689" t="str">
        <f ca="1">IF(AND(G648&gt;0,E648=0),"WARNING - no PRICE inserted",IF(H648="free","FREE ~ no charge this plant",IF(H648="credit",CONCATENATE("-$",ROUND(K648*(1-_xlfn.SINGLE(T2GDiscount))*-1,2)," CREDIT after discount"),IF(_xlfn.SINGLE(T2GDiscount)=0,"",IF(G648=0,"",IF(F648="Buy",CONCATENATE("$",ROUND(K648*(1-_xlfn.SINGLE(T2GDiscount)),2)," with ",(_xlfn.SINGLE(T2GDiscount)*100),"% discount"),CONCATENATE("$",ROUND(K648*(1-_xlfn.SINGLE(T2GDiscount)),2)," with ",((_xlfn.SINGLE(T2GDiscount)*100+F648*100)-(_xlfn.SINGLE(T2GDiscount)*100*F648)),IF(F648&gt;0,"% discounts",IF(_xlfn.SINGLE(NoWarrantyDiscount)&gt;0,"% discounts","% discount")))))))))</f>
        <v/>
      </c>
      <c r="N648" s="690"/>
      <c r="O648" s="486"/>
      <c r="P648" s="486"/>
      <c r="Q648" s="486"/>
      <c r="R648" s="486"/>
      <c r="S648" s="486"/>
      <c r="T648" s="102">
        <f t="shared" si="436"/>
        <v>0</v>
      </c>
      <c r="U648" s="78">
        <f>IF(NOT(ISNUMBER(G648)), "", VLOOKUP(A648,'Discount Lookup'!D:E,2,FALSE)*G648)</f>
        <v>0</v>
      </c>
      <c r="V648" s="78">
        <f>IF(NOT(ISNUMBER(G648)), "", VLOOKUP(A648,'Discount Lookup'!G:H,2,FALSE)*G648)</f>
        <v>0</v>
      </c>
      <c r="W648" s="102">
        <f t="shared" si="437"/>
        <v>0</v>
      </c>
      <c r="X648" s="102">
        <f t="shared" si="438"/>
        <v>0</v>
      </c>
      <c r="Y648" s="120" t="b">
        <f t="shared" si="439"/>
        <v>0</v>
      </c>
      <c r="Z648" s="117">
        <f t="shared" si="440"/>
        <v>0</v>
      </c>
      <c r="AA648" s="118"/>
      <c r="AB648" s="118" t="str">
        <f t="shared" si="441"/>
        <v/>
      </c>
      <c r="AC648" s="712" t="str">
        <f>IF(AE648="T2G","no charge",IF(AND(OR(PlanterYesMe="No",PlanterYesMe="N",PlanterYesMe="me"),H648=""),"",IF(H648="credit","NO install",IF(AND(K648="",AE648="me"),"EACH row",IF(AND(K648="images",AE648="me"),"EACH row",IF(D648="","",IF(H648="credit","",IF(AE648="free","re-planting",IF(AE648="me","   not ELP, by",IF(AND(OR(PlanterYesMe="Yes",PlanterYesMe="Y"),G648&gt;0),(VLOOKUP(A648,'Discount Lookup'!J:K,2)*G648*(1-PlanterDiscount)*(1+PlanterDifficultyPercentage)),IF(AE648="ELP",(VLOOKUP(A648,'Discount Lookup'!J:K,2)*G648*(1-PlanterDiscount)*(1+PlanterDifficultyPercentage)),IF(AE648="free","re-planting",IF(G648=0,"",IF(PlanterYesMe="",IF(AE648="me","   not ELP, by",IF(AE648="",IF(G648&gt;0,(VLOOKUP(A648,'Discount Lookup'!J:K,2)*G648*(1-PlanterDiscount)*(1+PlanterDifficultyPercentage)),""),"")),"   not ELP, by"))))))))))))))</f>
        <v/>
      </c>
      <c r="AD648" s="712"/>
      <c r="AE648" s="513" t="str">
        <f t="shared" si="442"/>
        <v/>
      </c>
      <c r="AF648" s="713" t="str">
        <f t="shared" si="443"/>
        <v/>
      </c>
      <c r="AG648" s="713"/>
      <c r="AH648" s="713"/>
      <c r="AI648" s="112">
        <f>IF(H648="credit",0,IF(AE648="free",0,IF(AE648="me",0,IF(G648&gt;0,(VLOOKUP(A648,'Discount Lookup'!J:K,2)*G648),0))))</f>
        <v>0</v>
      </c>
      <c r="AJ648" s="107" t="str">
        <f t="shared" ca="1" si="444"/>
        <v/>
      </c>
      <c r="AK648" s="714" t="str">
        <f t="shared" si="445"/>
        <v/>
      </c>
      <c r="AL648" s="714"/>
      <c r="AM648" s="114" t="str">
        <f t="shared" si="446"/>
        <v/>
      </c>
      <c r="AN648" s="115"/>
      <c r="AO648" s="116"/>
      <c r="AP648" s="116"/>
      <c r="AQ648" s="116"/>
      <c r="AR648" s="116"/>
      <c r="AS648" s="116"/>
      <c r="AT648" s="116"/>
      <c r="AU648" s="116"/>
      <c r="AV648" s="78"/>
      <c r="AW648" s="102"/>
      <c r="AX648" s="78"/>
      <c r="AY648" s="78"/>
      <c r="AZ648" s="78"/>
      <c r="BA648" s="78"/>
      <c r="BB648" s="78"/>
      <c r="BC648" s="78"/>
      <c r="BD648" s="78"/>
      <c r="BE648" s="465"/>
      <c r="BF648" s="165" t="str">
        <f t="shared" si="447"/>
        <v>https://www.google.com/search?tbm=isch&amp;q=3%20G4</v>
      </c>
      <c r="BG648" s="165" t="str">
        <f t="shared" si="448"/>
        <v>C</v>
      </c>
      <c r="BH648" s="65"/>
      <c r="BI648" s="65"/>
      <c r="BJ648" s="65"/>
      <c r="BK648" s="65"/>
      <c r="BL648" s="99"/>
      <c r="BM648" s="99"/>
      <c r="BN648" s="99"/>
    </row>
    <row r="649" spans="1:66" s="51" customFormat="1" ht="16.5" x14ac:dyDescent="0.25">
      <c r="A649" s="704" t="s">
        <v>5348</v>
      </c>
      <c r="B649" s="642"/>
      <c r="C649" s="710"/>
      <c r="D649" s="643"/>
      <c r="E649" s="643"/>
      <c r="F649" s="644"/>
      <c r="G649" s="645"/>
      <c r="H649" s="646"/>
      <c r="I649" s="647"/>
      <c r="J649" s="648"/>
      <c r="K649" s="649"/>
      <c r="L649" s="650"/>
      <c r="M649" s="650"/>
      <c r="N649" s="644"/>
      <c r="O649" s="644"/>
      <c r="P649" s="644"/>
      <c r="Q649" s="644"/>
      <c r="R649" s="644"/>
      <c r="S649" s="651"/>
      <c r="T649" s="102">
        <f t="shared" si="436"/>
        <v>0</v>
      </c>
      <c r="U649" s="78" t="str">
        <f>IF(NOT(ISNUMBER(G649)), "", VLOOKUP(A649,'Discount Lookup'!D:E,2,FALSE)*G649)</f>
        <v/>
      </c>
      <c r="V649" s="78" t="str">
        <f>IF(NOT(ISNUMBER(G649)), "", VLOOKUP(A649,'Discount Lookup'!G:H,2,FALSE)*G649)</f>
        <v/>
      </c>
      <c r="W649" s="102">
        <f t="shared" si="437"/>
        <v>0</v>
      </c>
      <c r="X649" s="102">
        <f t="shared" si="438"/>
        <v>0</v>
      </c>
      <c r="Y649" s="120" t="b">
        <f t="shared" si="439"/>
        <v>0</v>
      </c>
      <c r="Z649" s="117">
        <f t="shared" si="440"/>
        <v>0</v>
      </c>
      <c r="AA649" s="118"/>
      <c r="AB649" s="118" t="str">
        <f t="shared" si="441"/>
        <v/>
      </c>
      <c r="AC649" s="712" t="str">
        <f>IF(AE649="T2G","no charge",IF(AND(OR(PlanterYesMe="No",PlanterYesMe="N",PlanterYesMe="me"),H649=""),"",IF(H649="credit","NO install",IF(AND(K649="",AE649="me"),"EACH row",IF(AND(K649="images",AE649="me"),"EACH row",IF(D649="","",IF(H649="credit","",IF(AE649="free","re-planting",IF(AE649="me","   not ELP, by",IF(AND(OR(PlanterYesMe="Yes",PlanterYesMe="Y"),G649&gt;0),(VLOOKUP(A649,'Discount Lookup'!J:K,2)*G649*(1-PlanterDiscount)*(1+PlanterDifficultyPercentage)),IF(AE649="ELP",(VLOOKUP(A649,'Discount Lookup'!J:K,2)*G649*(1-PlanterDiscount)*(1+PlanterDifficultyPercentage)),IF(AE649="free","re-planting",IF(G649=0,"",IF(PlanterYesMe="",IF(AE649="me","   not ELP, by",IF(AE649="",IF(G649&gt;0,(VLOOKUP(A649,'Discount Lookup'!J:K,2)*G649*(1-PlanterDiscount)*(1+PlanterDifficultyPercentage)),""),"")),"   not ELP, by"))))))))))))))</f>
        <v/>
      </c>
      <c r="AD649" s="712"/>
      <c r="AE649" s="513" t="str">
        <f t="shared" si="442"/>
        <v/>
      </c>
      <c r="AF649" s="713" t="str">
        <f t="shared" si="443"/>
        <v/>
      </c>
      <c r="AG649" s="713"/>
      <c r="AH649" s="713"/>
      <c r="AI649" s="112">
        <f>IF(H649="credit",0,IF(AE649="free",0,IF(AE649="me",0,IF(G649&gt;0,(VLOOKUP(A649,'Discount Lookup'!J:K,2)*G649),0))))</f>
        <v>0</v>
      </c>
      <c r="AJ649" s="107" t="str">
        <f t="shared" ca="1" si="444"/>
        <v/>
      </c>
      <c r="AK649" s="714" t="str">
        <f t="shared" si="445"/>
        <v/>
      </c>
      <c r="AL649" s="714"/>
      <c r="AM649" s="114" t="str">
        <f t="shared" si="446"/>
        <v/>
      </c>
      <c r="AN649" s="115"/>
      <c r="AO649" s="116"/>
      <c r="AP649" s="116"/>
      <c r="AQ649" s="116"/>
      <c r="AR649" s="116"/>
      <c r="AS649" s="116"/>
      <c r="AT649" s="116"/>
      <c r="AU649" s="116"/>
      <c r="AV649" s="78"/>
      <c r="AW649" s="102"/>
      <c r="AX649" s="78"/>
      <c r="AY649" s="78"/>
      <c r="AZ649" s="78"/>
      <c r="BA649" s="78"/>
      <c r="BB649" s="78"/>
      <c r="BC649" s="78"/>
      <c r="BD649" s="78"/>
      <c r="BE649" s="465"/>
      <c r="BF649" s="165" t="str">
        <f t="shared" si="447"/>
        <v>https://www.google.com/search?tbm=isch&amp;q=moist%20sites%F0%9F%92%A7OK%2C%20Simply%20Scentsational%20has%20strong%20fruity%20fragrance%20of%20pineapple%2C%20strawberry%2C%20and%20banana%20on%20blooms%20from%20late%20spring%20through%20summer%20</v>
      </c>
      <c r="BG649" s="165" t="str">
        <f t="shared" si="448"/>
        <v>m</v>
      </c>
      <c r="BH649" s="65"/>
      <c r="BI649" s="65"/>
      <c r="BJ649" s="65"/>
      <c r="BK649" s="65"/>
      <c r="BL649" s="99"/>
      <c r="BM649" s="99"/>
      <c r="BN649" s="99"/>
    </row>
    <row r="650" spans="1:66" s="51" customFormat="1" ht="19.5" thickBot="1" x14ac:dyDescent="0.3">
      <c r="A650" s="686" t="s">
        <v>383</v>
      </c>
      <c r="B650" s="73"/>
      <c r="C650" s="708"/>
      <c r="D650" s="73"/>
      <c r="E650" s="73"/>
      <c r="F650" s="496"/>
      <c r="G650" s="73"/>
      <c r="H650" s="73"/>
      <c r="I650" s="73"/>
      <c r="J650" s="497" t="s">
        <v>357</v>
      </c>
      <c r="K650" s="498"/>
      <c r="L650" s="562"/>
      <c r="M650" s="73"/>
      <c r="N650"/>
      <c r="O650"/>
      <c r="P650"/>
      <c r="Q650"/>
      <c r="R650"/>
      <c r="S650"/>
      <c r="T650" s="102">
        <f t="shared" si="436"/>
        <v>0</v>
      </c>
      <c r="U650" s="78" t="str">
        <f>IF(NOT(ISNUMBER(G650)), "", VLOOKUP(A650,'Discount Lookup'!D:E,2,FALSE)*G650)</f>
        <v/>
      </c>
      <c r="V650" s="78" t="str">
        <f>IF(NOT(ISNUMBER(G650)), "", VLOOKUP(A650,'Discount Lookup'!G:H,2,FALSE)*G650)</f>
        <v/>
      </c>
      <c r="W650" s="102">
        <f t="shared" si="437"/>
        <v>0</v>
      </c>
      <c r="X650" s="102">
        <f t="shared" si="438"/>
        <v>0</v>
      </c>
      <c r="Y650" s="120" t="b">
        <f t="shared" si="439"/>
        <v>0</v>
      </c>
      <c r="Z650" s="117">
        <f t="shared" si="440"/>
        <v>0</v>
      </c>
      <c r="AA650" s="118"/>
      <c r="AB650" s="118" t="str">
        <f t="shared" si="441"/>
        <v/>
      </c>
      <c r="AC650" s="712" t="str">
        <f>IF(AE650="T2G","no charge",IF(AND(OR(PlanterYesMe="No",PlanterYesMe="N",PlanterYesMe="me"),H650=""),"",IF(H650="credit","NO install",IF(AND(K650="",AE650="me"),"EACH row",IF(AND(K650="images",AE650="me"),"EACH row",IF(D650="","",IF(H650="credit","",IF(AE650="free","re-planting",IF(AE650="me","   not ELP, by",IF(AND(OR(PlanterYesMe="Yes",PlanterYesMe="Y"),G650&gt;0),(VLOOKUP(A650,'Discount Lookup'!J:K,2)*G650*(1-PlanterDiscount)*(1+PlanterDifficultyPercentage)),IF(AE650="ELP",(VLOOKUP(A650,'Discount Lookup'!J:K,2)*G650*(1-PlanterDiscount)*(1+PlanterDifficultyPercentage)),IF(AE650="free","re-planting",IF(G650=0,"",IF(PlanterYesMe="",IF(AE650="me","   not ELP, by",IF(AE650="",IF(G650&gt;0,(VLOOKUP(A650,'Discount Lookup'!J:K,2)*G650*(1-PlanterDiscount)*(1+PlanterDifficultyPercentage)),""),"")),"   not ELP, by"))))))))))))))</f>
        <v/>
      </c>
      <c r="AD650" s="712"/>
      <c r="AE650" s="513" t="str">
        <f t="shared" si="442"/>
        <v/>
      </c>
      <c r="AF650" s="713" t="str">
        <f t="shared" si="443"/>
        <v/>
      </c>
      <c r="AG650" s="713"/>
      <c r="AH650" s="713"/>
      <c r="AI650" s="112">
        <f>IF(H650="credit",0,IF(AE650="free",0,IF(AE650="me",0,IF(G650&gt;0,(VLOOKUP(A650,'Discount Lookup'!J:K,2)*G650),0))))</f>
        <v>0</v>
      </c>
      <c r="AJ650" s="107" t="str">
        <f t="shared" ca="1" si="444"/>
        <v/>
      </c>
      <c r="AK650" s="714" t="str">
        <f t="shared" si="445"/>
        <v/>
      </c>
      <c r="AL650" s="714"/>
      <c r="AM650" s="114" t="str">
        <f t="shared" si="446"/>
        <v/>
      </c>
      <c r="AN650" s="115"/>
      <c r="AO650" s="116"/>
      <c r="AP650" s="116"/>
      <c r="AQ650" s="116"/>
      <c r="AR650" s="116"/>
      <c r="AS650" s="116"/>
      <c r="AT650" s="116"/>
      <c r="AU650" s="116"/>
      <c r="AV650" s="78"/>
      <c r="AW650" s="102"/>
      <c r="AX650" s="78"/>
      <c r="AY650" s="78"/>
      <c r="AZ650" s="78"/>
      <c r="BA650" s="78"/>
      <c r="BB650" s="78"/>
      <c r="BC650" s="78"/>
      <c r="BD650" s="78"/>
      <c r="BE650" s="465"/>
      <c r="BF650" s="165" t="str">
        <f t="shared" si="447"/>
        <v>https://www.google.com/search?tbm=isch&amp;q=Camellia%20%3D%20Camellia%20</v>
      </c>
      <c r="BG650" s="165" t="str">
        <f t="shared" si="448"/>
        <v>C</v>
      </c>
      <c r="BH650" s="65"/>
      <c r="BI650" s="65"/>
      <c r="BJ650" s="65"/>
      <c r="BK650" s="65"/>
      <c r="BL650" s="99"/>
      <c r="BM650" s="99"/>
      <c r="BN650" s="99"/>
    </row>
    <row r="651" spans="1:66" s="51" customFormat="1" ht="18" x14ac:dyDescent="0.25">
      <c r="A651" s="507" t="s">
        <v>1746</v>
      </c>
      <c r="B651" s="470"/>
      <c r="C651" s="706"/>
      <c r="D651" s="471" t="s">
        <v>1747</v>
      </c>
      <c r="E651" s="472"/>
      <c r="F651" s="472"/>
      <c r="G651" s="472"/>
      <c r="H651" s="622" t="s">
        <v>1217</v>
      </c>
      <c r="I651" s="473" t="s">
        <v>2405</v>
      </c>
      <c r="J651" s="472"/>
      <c r="K651" s="472"/>
      <c r="L651" s="561"/>
      <c r="M651" s="703" t="s">
        <v>5274</v>
      </c>
      <c r="N651" s="692" t="str">
        <f>IF(AND(ISTEXT($A651), ISERROR($A651+0)), HYPERLINK($BF651, "Images"), "")</f>
        <v>Images</v>
      </c>
      <c r="O651" s="694" t="s">
        <v>5247</v>
      </c>
      <c r="P651" s="475"/>
      <c r="Q651" s="476"/>
      <c r="R651" s="476"/>
      <c r="S651" s="477"/>
      <c r="T651" s="102">
        <f t="shared" si="436"/>
        <v>0</v>
      </c>
      <c r="U651" s="78" t="str">
        <f>IF(NOT(ISNUMBER(G651)), "", VLOOKUP(A651,'Discount Lookup'!D:E,2,FALSE)*G651)</f>
        <v/>
      </c>
      <c r="V651" s="78" t="str">
        <f>IF(NOT(ISNUMBER(G651)), "", VLOOKUP(A651,'Discount Lookup'!G:H,2,FALSE)*G651)</f>
        <v/>
      </c>
      <c r="W651" s="102">
        <f t="shared" si="437"/>
        <v>0</v>
      </c>
      <c r="X651" s="102" t="str">
        <f t="shared" si="438"/>
        <v>Bright Pink bloom</v>
      </c>
      <c r="Y651" s="120" t="b">
        <f t="shared" si="439"/>
        <v>0</v>
      </c>
      <c r="Z651" s="117">
        <f t="shared" si="440"/>
        <v>0</v>
      </c>
      <c r="AA651" s="118"/>
      <c r="AB651" s="118" t="str">
        <f t="shared" si="441"/>
        <v/>
      </c>
      <c r="AC651" s="712" t="str">
        <f>IF(AE651="T2G","no charge",IF(AND(OR(PlanterYesMe="No",PlanterYesMe="N",PlanterYesMe="me"),H651=""),"",IF(H651="credit","NO install",IF(AND(K651="",AE651="me"),"EACH row",IF(AND(K651="images",AE651="me"),"EACH row",IF(D651="","",IF(H651="credit","",IF(AE651="free","re-planting",IF(AE651="me","   not ELP, by",IF(AND(OR(PlanterYesMe="Yes",PlanterYesMe="Y"),G651&gt;0),(VLOOKUP(A651,'Discount Lookup'!J:K,2)*G651*(1-PlanterDiscount)*(1+PlanterDifficultyPercentage)),IF(AE651="ELP",(VLOOKUP(A651,'Discount Lookup'!J:K,2)*G651*(1-PlanterDiscount)*(1+PlanterDifficultyPercentage)),IF(AE651="free","re-planting",IF(G651=0,"",IF(PlanterYesMe="",IF(AE651="me","   not ELP, by",IF(AE651="",IF(G651&gt;0,(VLOOKUP(A651,'Discount Lookup'!J:K,2)*G651*(1-PlanterDiscount)*(1+PlanterDifficultyPercentage)),""),"")),"   not ELP, by"))))))))))))))</f>
        <v/>
      </c>
      <c r="AD651" s="712"/>
      <c r="AE651" s="513" t="str">
        <f t="shared" si="442"/>
        <v/>
      </c>
      <c r="AF651" s="713" t="str">
        <f t="shared" si="443"/>
        <v/>
      </c>
      <c r="AG651" s="713"/>
      <c r="AH651" s="713"/>
      <c r="AI651" s="112">
        <f>IF(H651="credit",0,IF(AE651="free",0,IF(AE651="me",0,IF(G651&gt;0,(VLOOKUP(A651,'Discount Lookup'!J:K,2)*G651),0))))</f>
        <v>0</v>
      </c>
      <c r="AJ651" s="107" t="str">
        <f t="shared" ca="1" si="444"/>
        <v/>
      </c>
      <c r="AK651" s="714" t="str">
        <f t="shared" si="445"/>
        <v/>
      </c>
      <c r="AL651" s="714"/>
      <c r="AM651" s="114" t="str">
        <f t="shared" si="446"/>
        <v/>
      </c>
      <c r="AN651" s="115"/>
      <c r="AO651" s="116"/>
      <c r="AP651" s="116"/>
      <c r="AQ651" s="116"/>
      <c r="AR651" s="116"/>
      <c r="AS651" s="116"/>
      <c r="AT651" s="116"/>
      <c r="AU651" s="116"/>
      <c r="AV651" s="78"/>
      <c r="AW651" s="102"/>
      <c r="AX651" s="78"/>
      <c r="AY651" s="78"/>
      <c r="AZ651" s="78"/>
      <c r="BA651" s="78"/>
      <c r="BB651" s="78"/>
      <c r="BC651" s="78"/>
      <c r="BD651" s="78"/>
      <c r="BE651" s="465"/>
      <c r="BF651" s="165" t="str">
        <f t="shared" si="447"/>
        <v>https://www.google.com/search?tbm=isch&amp;q=Camellia%20%27Autumn%20Spirit%27%20Autumn%20Spirit%20Camellia</v>
      </c>
      <c r="BG651" s="165" t="str">
        <f t="shared" si="448"/>
        <v>C</v>
      </c>
      <c r="BH651" s="65"/>
      <c r="BI651" s="65"/>
      <c r="BJ651" s="65"/>
      <c r="BK651" s="65"/>
      <c r="BL651" s="99"/>
      <c r="BM651" s="99"/>
      <c r="BN651" s="99"/>
    </row>
    <row r="652" spans="1:66" s="51" customFormat="1" ht="15.75" x14ac:dyDescent="0.25">
      <c r="A652" s="478">
        <v>7</v>
      </c>
      <c r="B652" s="479" t="s">
        <v>291</v>
      </c>
      <c r="C652" s="480" t="s">
        <v>1748</v>
      </c>
      <c r="D652" s="481" t="s">
        <v>299</v>
      </c>
      <c r="E652" s="482">
        <v>104.95</v>
      </c>
      <c r="F652" s="483" t="s">
        <v>292</v>
      </c>
      <c r="G652" s="484">
        <v>0</v>
      </c>
      <c r="H652" s="688" t="str">
        <f>IF(G652=0,"",IF(F652="Buy",IF(G652=1,"plant","plants"),IF(F652&gt;0.01,"warranty","Error")))</f>
        <v/>
      </c>
      <c r="I652" s="485">
        <f>IF(H652="free",0,IF(H652="credit",((E652*(F652))*G652*-1),IF(F652="Buy",(E652*G652),((E652*(1-F652))*G652))))</f>
        <v>0</v>
      </c>
      <c r="J652" s="485">
        <f>IF(H652="warranty",0,(I652*(_xlfn.SINGLE(SalesTaxPercentage))))</f>
        <v>0</v>
      </c>
      <c r="K652" s="715">
        <f t="shared" ref="K652" si="480">I652+J652</f>
        <v>0</v>
      </c>
      <c r="L652" s="715"/>
      <c r="M652" s="689" t="str">
        <f ca="1">IF(AND(G652&gt;0,E652=0),"WARNING - no PRICE inserted",IF(H652="free","FREE ~ no charge this plant",IF(H652="credit",CONCATENATE("-$",ROUND(K652*(1-_xlfn.SINGLE(T2GDiscount))*-1,2)," CREDIT after discount"),IF(_xlfn.SINGLE(T2GDiscount)=0,"",IF(G652=0,"",IF(F652="Buy",CONCATENATE("$",ROUND(K652*(1-_xlfn.SINGLE(T2GDiscount)),2)," with ",(_xlfn.SINGLE(T2GDiscount)*100),"% discount"),CONCATENATE("$",ROUND(K652*(1-_xlfn.SINGLE(T2GDiscount)),2)," with ",((_xlfn.SINGLE(T2GDiscount)*100+F652*100)-(_xlfn.SINGLE(T2GDiscount)*100*F652)),IF(F652&gt;0,"% discounts",IF(_xlfn.SINGLE(NoWarrantyDiscount)&gt;0,"% discounts","% discount")))))))))</f>
        <v/>
      </c>
      <c r="N652" s="690"/>
      <c r="O652" s="486"/>
      <c r="P652" s="486"/>
      <c r="Q652" s="486"/>
      <c r="R652" s="486"/>
      <c r="S652" s="486"/>
      <c r="T652" s="102">
        <f t="shared" si="436"/>
        <v>0</v>
      </c>
      <c r="U652" s="78">
        <f>IF(NOT(ISNUMBER(G652)), "", VLOOKUP(A652,'Discount Lookup'!D:E,2,FALSE)*G652)</f>
        <v>0</v>
      </c>
      <c r="V652" s="78">
        <f>IF(NOT(ISNUMBER(G652)), "", VLOOKUP(A652,'Discount Lookup'!G:H,2,FALSE)*G652)</f>
        <v>0</v>
      </c>
      <c r="W652" s="102">
        <f t="shared" si="437"/>
        <v>0</v>
      </c>
      <c r="X652" s="102">
        <f t="shared" si="438"/>
        <v>0</v>
      </c>
      <c r="Y652" s="120" t="b">
        <f t="shared" si="439"/>
        <v>0</v>
      </c>
      <c r="Z652" s="117">
        <f t="shared" si="440"/>
        <v>0</v>
      </c>
      <c r="AA652" s="118"/>
      <c r="AB652" s="118" t="str">
        <f t="shared" si="441"/>
        <v/>
      </c>
      <c r="AC652" s="712" t="str">
        <f>IF(AE652="T2G","no charge",IF(AND(OR(PlanterYesMe="No",PlanterYesMe="N",PlanterYesMe="me"),H652=""),"",IF(H652="credit","NO install",IF(AND(K652="",AE652="me"),"EACH row",IF(AND(K652="images",AE652="me"),"EACH row",IF(D652="","",IF(H652="credit","",IF(AE652="free","re-planting",IF(AE652="me","   not ELP, by",IF(AND(OR(PlanterYesMe="Yes",PlanterYesMe="Y"),G652&gt;0),(VLOOKUP(A652,'Discount Lookup'!J:K,2)*G652*(1-PlanterDiscount)*(1+PlanterDifficultyPercentage)),IF(AE652="ELP",(VLOOKUP(A652,'Discount Lookup'!J:K,2)*G652*(1-PlanterDiscount)*(1+PlanterDifficultyPercentage)),IF(AE652="free","re-planting",IF(G652=0,"",IF(PlanterYesMe="",IF(AE652="me","   not ELP, by",IF(AE652="",IF(G652&gt;0,(VLOOKUP(A652,'Discount Lookup'!J:K,2)*G652*(1-PlanterDiscount)*(1+PlanterDifficultyPercentage)),""),"")),"   not ELP, by"))))))))))))))</f>
        <v/>
      </c>
      <c r="AD652" s="712"/>
      <c r="AE652" s="513" t="str">
        <f t="shared" si="442"/>
        <v/>
      </c>
      <c r="AF652" s="713" t="str">
        <f t="shared" si="443"/>
        <v/>
      </c>
      <c r="AG652" s="713"/>
      <c r="AH652" s="713"/>
      <c r="AI652" s="112">
        <f>IF(H652="credit",0,IF(AE652="free",0,IF(AE652="me",0,IF(G652&gt;0,(VLOOKUP(A652,'Discount Lookup'!J:K,2)*G652),0))))</f>
        <v>0</v>
      </c>
      <c r="AJ652" s="107" t="str">
        <f t="shared" ca="1" si="444"/>
        <v/>
      </c>
      <c r="AK652" s="714" t="str">
        <f t="shared" si="445"/>
        <v/>
      </c>
      <c r="AL652" s="714"/>
      <c r="AM652" s="114" t="str">
        <f t="shared" si="446"/>
        <v/>
      </c>
      <c r="AN652" s="115"/>
      <c r="AO652" s="116"/>
      <c r="AP652" s="116"/>
      <c r="AQ652" s="116"/>
      <c r="AR652" s="116"/>
      <c r="AS652" s="116"/>
      <c r="AT652" s="116"/>
      <c r="AU652" s="116"/>
      <c r="AV652" s="78"/>
      <c r="AW652" s="102"/>
      <c r="AX652" s="78"/>
      <c r="AY652" s="78"/>
      <c r="AZ652" s="78"/>
      <c r="BA652" s="78"/>
      <c r="BB652" s="78"/>
      <c r="BC652" s="78"/>
      <c r="BD652" s="78"/>
      <c r="BE652" s="465"/>
      <c r="BF652" s="165" t="str">
        <f t="shared" si="447"/>
        <v>https://www.google.com/search?tbm=isch&amp;q=7%20G4</v>
      </c>
      <c r="BG652" s="165" t="str">
        <f t="shared" si="448"/>
        <v>C</v>
      </c>
      <c r="BH652" s="65"/>
      <c r="BI652" s="65"/>
      <c r="BJ652" s="65"/>
      <c r="BK652" s="65"/>
      <c r="BL652" s="99"/>
      <c r="BM652" s="99"/>
      <c r="BN652" s="99"/>
    </row>
    <row r="653" spans="1:66" s="51" customFormat="1" ht="17.25" thickBot="1" x14ac:dyDescent="0.3">
      <c r="A653" s="508" t="s">
        <v>5117</v>
      </c>
      <c r="B653" s="487"/>
      <c r="C653" s="707"/>
      <c r="D653" s="487"/>
      <c r="E653" s="487"/>
      <c r="F653" s="488"/>
      <c r="G653" s="489"/>
      <c r="H653" s="487"/>
      <c r="I653" s="490"/>
      <c r="J653" s="490"/>
      <c r="K653" s="491"/>
      <c r="L653" s="547"/>
      <c r="M653" s="528"/>
      <c r="N653" s="492"/>
      <c r="O653" s="493"/>
      <c r="P653" s="494"/>
      <c r="Q653" s="492"/>
      <c r="R653" s="492"/>
      <c r="S653" s="699" t="s">
        <v>5275</v>
      </c>
      <c r="T653" s="102">
        <f t="shared" si="436"/>
        <v>0</v>
      </c>
      <c r="U653" s="78" t="str">
        <f>IF(NOT(ISNUMBER(G653)), "", VLOOKUP(A653,'Discount Lookup'!D:E,2,FALSE)*G653)</f>
        <v/>
      </c>
      <c r="V653" s="78" t="str">
        <f>IF(NOT(ISNUMBER(G653)), "", VLOOKUP(A653,'Discount Lookup'!G:H,2,FALSE)*G653)</f>
        <v/>
      </c>
      <c r="W653" s="102">
        <f t="shared" si="437"/>
        <v>0</v>
      </c>
      <c r="X653" s="102">
        <f t="shared" si="438"/>
        <v>0</v>
      </c>
      <c r="Y653" s="120" t="b">
        <f t="shared" si="439"/>
        <v>0</v>
      </c>
      <c r="Z653" s="117">
        <f t="shared" si="440"/>
        <v>0</v>
      </c>
      <c r="AA653" s="118"/>
      <c r="AB653" s="118" t="str">
        <f t="shared" si="441"/>
        <v/>
      </c>
      <c r="AC653" s="712" t="str">
        <f>IF(AE653="T2G","no charge",IF(AND(OR(PlanterYesMe="No",PlanterYesMe="N",PlanterYesMe="me"),H653=""),"",IF(H653="credit","NO install",IF(AND(K653="",AE653="me"),"EACH row",IF(AND(K653="images",AE653="me"),"EACH row",IF(D653="","",IF(H653="credit","",IF(AE653="free","re-planting",IF(AE653="me","   not ELP, by",IF(AND(OR(PlanterYesMe="Yes",PlanterYesMe="Y"),G653&gt;0),(VLOOKUP(A653,'Discount Lookup'!J:K,2)*G653*(1-PlanterDiscount)*(1+PlanterDifficultyPercentage)),IF(AE653="ELP",(VLOOKUP(A653,'Discount Lookup'!J:K,2)*G653*(1-PlanterDiscount)*(1+PlanterDifficultyPercentage)),IF(AE653="free","re-planting",IF(G653=0,"",IF(PlanterYesMe="",IF(AE653="me","   not ELP, by",IF(AE653="",IF(G653&gt;0,(VLOOKUP(A653,'Discount Lookup'!J:K,2)*G653*(1-PlanterDiscount)*(1+PlanterDifficultyPercentage)),""),"")),"   not ELP, by"))))))))))))))</f>
        <v/>
      </c>
      <c r="AD653" s="712"/>
      <c r="AE653" s="513" t="str">
        <f t="shared" si="442"/>
        <v/>
      </c>
      <c r="AF653" s="713" t="str">
        <f t="shared" si="443"/>
        <v/>
      </c>
      <c r="AG653" s="713"/>
      <c r="AH653" s="713"/>
      <c r="AI653" s="112">
        <f>IF(H653="credit",0,IF(AE653="free",0,IF(AE653="me",0,IF(G653&gt;0,(VLOOKUP(A653,'Discount Lookup'!J:K,2)*G653),0))))</f>
        <v>0</v>
      </c>
      <c r="AJ653" s="107" t="str">
        <f t="shared" ca="1" si="444"/>
        <v/>
      </c>
      <c r="AK653" s="714" t="str">
        <f t="shared" si="445"/>
        <v/>
      </c>
      <c r="AL653" s="714"/>
      <c r="AM653" s="114" t="str">
        <f t="shared" si="446"/>
        <v/>
      </c>
      <c r="AN653" s="115"/>
      <c r="AO653" s="116"/>
      <c r="AP653" s="116"/>
      <c r="AQ653" s="116"/>
      <c r="AR653" s="116"/>
      <c r="AS653" s="116"/>
      <c r="AT653" s="116"/>
      <c r="AU653" s="116"/>
      <c r="AV653" s="78"/>
      <c r="AW653" s="102"/>
      <c r="AX653" s="78"/>
      <c r="AY653" s="78"/>
      <c r="AZ653" s="78"/>
      <c r="BA653" s="78"/>
      <c r="BB653" s="78"/>
      <c r="BC653" s="78"/>
      <c r="BD653" s="78"/>
      <c r="BE653" s="465"/>
      <c r="BF653" s="165" t="str">
        <f t="shared" si="447"/>
        <v>https://www.google.com/search?tbm=isch&amp;q=Autumn%20Spirit%20offers%20vibrant%20late-season%20double%20blooms%20atop%20glossy%20evergreen%20foliage%20</v>
      </c>
      <c r="BG653" s="165" t="str">
        <f t="shared" si="448"/>
        <v>A</v>
      </c>
      <c r="BH653" s="65"/>
      <c r="BI653" s="65"/>
      <c r="BJ653" s="65"/>
      <c r="BK653" s="65"/>
      <c r="BL653" s="99"/>
      <c r="BM653" s="99"/>
      <c r="BN653" s="99"/>
    </row>
    <row r="654" spans="1:66" s="51" customFormat="1" ht="18" x14ac:dyDescent="0.25">
      <c r="A654" s="507" t="s">
        <v>1749</v>
      </c>
      <c r="B654" s="470"/>
      <c r="C654" s="706"/>
      <c r="D654" s="471" t="s">
        <v>1750</v>
      </c>
      <c r="E654" s="472"/>
      <c r="F654" s="472"/>
      <c r="G654" s="472"/>
      <c r="H654" s="622" t="s">
        <v>330</v>
      </c>
      <c r="I654" s="473" t="s">
        <v>1751</v>
      </c>
      <c r="J654" s="472"/>
      <c r="K654" s="472"/>
      <c r="L654" s="561"/>
      <c r="M654" s="703" t="s">
        <v>5274</v>
      </c>
      <c r="N654" s="692" t="str">
        <f>IF(AND(ISTEXT($A654), ISERROR($A654+0)), HYPERLINK($BF654, "Images"), "")</f>
        <v>Images</v>
      </c>
      <c r="O654" s="694" t="s">
        <v>5247</v>
      </c>
      <c r="P654" s="475"/>
      <c r="Q654" s="476"/>
      <c r="R654" s="476"/>
      <c r="S654" s="477"/>
      <c r="T654" s="102">
        <f t="shared" si="436"/>
        <v>0</v>
      </c>
      <c r="U654" s="78" t="str">
        <f>IF(NOT(ISNUMBER(G654)), "", VLOOKUP(A654,'Discount Lookup'!D:E,2,FALSE)*G654)</f>
        <v/>
      </c>
      <c r="V654" s="78" t="str">
        <f>IF(NOT(ISNUMBER(G654)), "", VLOOKUP(A654,'Discount Lookup'!G:H,2,FALSE)*G654)</f>
        <v/>
      </c>
      <c r="W654" s="102">
        <f t="shared" si="437"/>
        <v>0</v>
      </c>
      <c r="X654" s="102" t="str">
        <f t="shared" si="438"/>
        <v>Rose-Pink single bloom</v>
      </c>
      <c r="Y654" s="120" t="b">
        <f t="shared" si="439"/>
        <v>0</v>
      </c>
      <c r="Z654" s="117">
        <f t="shared" si="440"/>
        <v>0</v>
      </c>
      <c r="AA654" s="118"/>
      <c r="AB654" s="118" t="str">
        <f t="shared" si="441"/>
        <v/>
      </c>
      <c r="AC654" s="712" t="str">
        <f>IF(AE654="T2G","no charge",IF(AND(OR(PlanterYesMe="No",PlanterYesMe="N",PlanterYesMe="me"),H654=""),"",IF(H654="credit","NO install",IF(AND(K654="",AE654="me"),"EACH row",IF(AND(K654="images",AE654="me"),"EACH row",IF(D654="","",IF(H654="credit","",IF(AE654="free","re-planting",IF(AE654="me","   not ELP, by",IF(AND(OR(PlanterYesMe="Yes",PlanterYesMe="Y"),G654&gt;0),(VLOOKUP(A654,'Discount Lookup'!J:K,2)*G654*(1-PlanterDiscount)*(1+PlanterDifficultyPercentage)),IF(AE654="ELP",(VLOOKUP(A654,'Discount Lookup'!J:K,2)*G654*(1-PlanterDiscount)*(1+PlanterDifficultyPercentage)),IF(AE654="free","re-planting",IF(G654=0,"",IF(PlanterYesMe="",IF(AE654="me","   not ELP, by",IF(AE654="",IF(G654&gt;0,(VLOOKUP(A654,'Discount Lookup'!J:K,2)*G654*(1-PlanterDiscount)*(1+PlanterDifficultyPercentage)),""),"")),"   not ELP, by"))))))))))))))</f>
        <v/>
      </c>
      <c r="AD654" s="712"/>
      <c r="AE654" s="513" t="str">
        <f t="shared" si="442"/>
        <v/>
      </c>
      <c r="AF654" s="713" t="str">
        <f t="shared" si="443"/>
        <v/>
      </c>
      <c r="AG654" s="713"/>
      <c r="AH654" s="713"/>
      <c r="AI654" s="112">
        <f>IF(H654="credit",0,IF(AE654="free",0,IF(AE654="me",0,IF(G654&gt;0,(VLOOKUP(A654,'Discount Lookup'!J:K,2)*G654),0))))</f>
        <v>0</v>
      </c>
      <c r="AJ654" s="107" t="str">
        <f t="shared" ca="1" si="444"/>
        <v/>
      </c>
      <c r="AK654" s="714" t="str">
        <f t="shared" si="445"/>
        <v/>
      </c>
      <c r="AL654" s="714"/>
      <c r="AM654" s="114" t="str">
        <f t="shared" si="446"/>
        <v/>
      </c>
      <c r="AN654" s="115"/>
      <c r="AO654" s="116"/>
      <c r="AP654" s="116"/>
      <c r="AQ654" s="116"/>
      <c r="AR654" s="116"/>
      <c r="AS654" s="116"/>
      <c r="AT654" s="116"/>
      <c r="AU654" s="116"/>
      <c r="AV654" s="78"/>
      <c r="AW654" s="102"/>
      <c r="AX654" s="78"/>
      <c r="AY654" s="78"/>
      <c r="AZ654" s="78"/>
      <c r="BA654" s="78"/>
      <c r="BB654" s="78"/>
      <c r="BC654" s="78"/>
      <c r="BD654" s="78"/>
      <c r="BE654" s="465"/>
      <c r="BF654" s="165" t="str">
        <f t="shared" si="447"/>
        <v>https://www.google.com/search?tbm=isch&amp;q=Camellia%20%27Crimson%20Candles%27%20Crimson%20Candles%20Camellia</v>
      </c>
      <c r="BG654" s="165" t="str">
        <f t="shared" si="448"/>
        <v>C</v>
      </c>
      <c r="BH654" s="65"/>
      <c r="BI654" s="65"/>
      <c r="BJ654" s="65"/>
      <c r="BK654" s="65"/>
      <c r="BL654" s="99"/>
      <c r="BM654" s="99"/>
      <c r="BN654" s="99"/>
    </row>
    <row r="655" spans="1:66" s="51" customFormat="1" ht="15.75" x14ac:dyDescent="0.25">
      <c r="A655" s="478">
        <v>15</v>
      </c>
      <c r="B655" s="479" t="s">
        <v>291</v>
      </c>
      <c r="C655" s="480" t="s">
        <v>1752</v>
      </c>
      <c r="D655" s="481" t="s">
        <v>293</v>
      </c>
      <c r="E655" s="482">
        <v>295.95</v>
      </c>
      <c r="F655" s="483" t="s">
        <v>292</v>
      </c>
      <c r="G655" s="484">
        <v>0</v>
      </c>
      <c r="H655" s="688" t="str">
        <f>IF(G655=0,"",IF(F655="Buy",IF(G655=1,"plant","plants"),IF(F655&gt;0.01,"warranty","Error")))</f>
        <v/>
      </c>
      <c r="I655" s="485">
        <f>IF(H655="free",0,IF(H655="credit",((E655*(F655))*G655*-1),IF(F655="Buy",(E655*G655),((E655*(1-F655))*G655))))</f>
        <v>0</v>
      </c>
      <c r="J655" s="485">
        <f>IF(H655="warranty",0,(I655*(_xlfn.SINGLE(SalesTaxPercentage))))</f>
        <v>0</v>
      </c>
      <c r="K655" s="715">
        <f t="shared" ref="K655" si="481">I655+J655</f>
        <v>0</v>
      </c>
      <c r="L655" s="715"/>
      <c r="M655" s="689" t="str">
        <f ca="1">IF(AND(G655&gt;0,E655=0),"WARNING - no PRICE inserted",IF(H655="free","FREE ~ no charge this plant",IF(H655="credit",CONCATENATE("-$",ROUND(K655*(1-_xlfn.SINGLE(T2GDiscount))*-1,2)," CREDIT after discount"),IF(_xlfn.SINGLE(T2GDiscount)=0,"",IF(G655=0,"",IF(F655="Buy",CONCATENATE("$",ROUND(K655*(1-_xlfn.SINGLE(T2GDiscount)),2)," with ",(_xlfn.SINGLE(T2GDiscount)*100),"% discount"),CONCATENATE("$",ROUND(K655*(1-_xlfn.SINGLE(T2GDiscount)),2)," with ",((_xlfn.SINGLE(T2GDiscount)*100+F655*100)-(_xlfn.SINGLE(T2GDiscount)*100*F655)),IF(F655&gt;0,"% discounts",IF(_xlfn.SINGLE(NoWarrantyDiscount)&gt;0,"% discounts","% discount")))))))))</f>
        <v/>
      </c>
      <c r="N655" s="690"/>
      <c r="O655" s="486"/>
      <c r="P655" s="486"/>
      <c r="Q655" s="486"/>
      <c r="R655" s="486"/>
      <c r="S655" s="486"/>
      <c r="T655" s="102">
        <f t="shared" si="436"/>
        <v>0</v>
      </c>
      <c r="U655" s="78">
        <f>IF(NOT(ISNUMBER(G655)), "", VLOOKUP(A655,'Discount Lookup'!D:E,2,FALSE)*G655)</f>
        <v>0</v>
      </c>
      <c r="V655" s="78">
        <f>IF(NOT(ISNUMBER(G655)), "", VLOOKUP(A655,'Discount Lookup'!G:H,2,FALSE)*G655)</f>
        <v>0</v>
      </c>
      <c r="W655" s="102">
        <f t="shared" si="437"/>
        <v>0</v>
      </c>
      <c r="X655" s="102">
        <f t="shared" si="438"/>
        <v>0</v>
      </c>
      <c r="Y655" s="120" t="b">
        <f t="shared" si="439"/>
        <v>0</v>
      </c>
      <c r="Z655" s="117">
        <f t="shared" si="440"/>
        <v>0</v>
      </c>
      <c r="AA655" s="118"/>
      <c r="AB655" s="118" t="str">
        <f t="shared" si="441"/>
        <v/>
      </c>
      <c r="AC655" s="712" t="str">
        <f>IF(AE655="T2G","no charge",IF(AND(OR(PlanterYesMe="No",PlanterYesMe="N",PlanterYesMe="me"),H655=""),"",IF(H655="credit","NO install",IF(AND(K655="",AE655="me"),"EACH row",IF(AND(K655="images",AE655="me"),"EACH row",IF(D655="","",IF(H655="credit","",IF(AE655="free","re-planting",IF(AE655="me","   not ELP, by",IF(AND(OR(PlanterYesMe="Yes",PlanterYesMe="Y"),G655&gt;0),(VLOOKUP(A655,'Discount Lookup'!J:K,2)*G655*(1-PlanterDiscount)*(1+PlanterDifficultyPercentage)),IF(AE655="ELP",(VLOOKUP(A655,'Discount Lookup'!J:K,2)*G655*(1-PlanterDiscount)*(1+PlanterDifficultyPercentage)),IF(AE655="free","re-planting",IF(G655=0,"",IF(PlanterYesMe="",IF(AE655="me","   not ELP, by",IF(AE655="",IF(G655&gt;0,(VLOOKUP(A655,'Discount Lookup'!J:K,2)*G655*(1-PlanterDiscount)*(1+PlanterDifficultyPercentage)),""),"")),"   not ELP, by"))))))))))))))</f>
        <v/>
      </c>
      <c r="AD655" s="712"/>
      <c r="AE655" s="513" t="str">
        <f t="shared" si="442"/>
        <v/>
      </c>
      <c r="AF655" s="713" t="str">
        <f t="shared" si="443"/>
        <v/>
      </c>
      <c r="AG655" s="713"/>
      <c r="AH655" s="713"/>
      <c r="AI655" s="112">
        <f>IF(H655="credit",0,IF(AE655="free",0,IF(AE655="me",0,IF(G655&gt;0,(VLOOKUP(A655,'Discount Lookup'!J:K,2)*G655),0))))</f>
        <v>0</v>
      </c>
      <c r="AJ655" s="107" t="str">
        <f t="shared" ca="1" si="444"/>
        <v/>
      </c>
      <c r="AK655" s="714" t="str">
        <f t="shared" si="445"/>
        <v/>
      </c>
      <c r="AL655" s="714"/>
      <c r="AM655" s="114" t="str">
        <f t="shared" si="446"/>
        <v/>
      </c>
      <c r="AN655" s="115"/>
      <c r="AO655" s="116"/>
      <c r="AP655" s="116"/>
      <c r="AQ655" s="116"/>
      <c r="AR655" s="116"/>
      <c r="AS655" s="116"/>
      <c r="AT655" s="116"/>
      <c r="AU655" s="116"/>
      <c r="AV655" s="78"/>
      <c r="AW655" s="102"/>
      <c r="AX655" s="78"/>
      <c r="AY655" s="78"/>
      <c r="AZ655" s="78"/>
      <c r="BA655" s="78"/>
      <c r="BB655" s="78"/>
      <c r="BC655" s="78"/>
      <c r="BD655" s="78"/>
      <c r="BE655" s="465"/>
      <c r="BF655" s="165" t="str">
        <f t="shared" si="447"/>
        <v>https://www.google.com/search?tbm=isch&amp;q=15%20G6</v>
      </c>
      <c r="BG655" s="165" t="str">
        <f t="shared" si="448"/>
        <v>C</v>
      </c>
      <c r="BH655" s="65"/>
      <c r="BI655" s="65"/>
      <c r="BJ655" s="65"/>
      <c r="BK655" s="65"/>
      <c r="BL655" s="99"/>
      <c r="BM655" s="99"/>
      <c r="BN655" s="99"/>
    </row>
    <row r="656" spans="1:66" s="51" customFormat="1" ht="17.25" thickBot="1" x14ac:dyDescent="0.3">
      <c r="A656" s="508" t="s">
        <v>1753</v>
      </c>
      <c r="B656" s="487"/>
      <c r="C656" s="707"/>
      <c r="D656" s="487"/>
      <c r="E656" s="487"/>
      <c r="F656" s="488"/>
      <c r="G656" s="489"/>
      <c r="H656" s="487"/>
      <c r="I656" s="490"/>
      <c r="J656" s="490"/>
      <c r="K656" s="491"/>
      <c r="L656" s="547"/>
      <c r="M656" s="528"/>
      <c r="N656" s="492"/>
      <c r="O656" s="493"/>
      <c r="P656" s="494"/>
      <c r="Q656" s="492"/>
      <c r="R656" s="492"/>
      <c r="S656" s="699" t="s">
        <v>5275</v>
      </c>
      <c r="T656" s="102">
        <f t="shared" si="436"/>
        <v>0</v>
      </c>
      <c r="U656" s="78" t="str">
        <f>IF(NOT(ISNUMBER(G656)), "", VLOOKUP(A656,'Discount Lookup'!D:E,2,FALSE)*G656)</f>
        <v/>
      </c>
      <c r="V656" s="78" t="str">
        <f>IF(NOT(ISNUMBER(G656)), "", VLOOKUP(A656,'Discount Lookup'!G:H,2,FALSE)*G656)</f>
        <v/>
      </c>
      <c r="W656" s="102">
        <f t="shared" si="437"/>
        <v>0</v>
      </c>
      <c r="X656" s="102">
        <f t="shared" si="438"/>
        <v>0</v>
      </c>
      <c r="Y656" s="120" t="b">
        <f t="shared" si="439"/>
        <v>0</v>
      </c>
      <c r="Z656" s="117">
        <f t="shared" si="440"/>
        <v>0</v>
      </c>
      <c r="AA656" s="118"/>
      <c r="AB656" s="118" t="str">
        <f t="shared" si="441"/>
        <v/>
      </c>
      <c r="AC656" s="712" t="str">
        <f>IF(AE656="T2G","no charge",IF(AND(OR(PlanterYesMe="No",PlanterYesMe="N",PlanterYesMe="me"),H656=""),"",IF(H656="credit","NO install",IF(AND(K656="",AE656="me"),"EACH row",IF(AND(K656="images",AE656="me"),"EACH row",IF(D656="","",IF(H656="credit","",IF(AE656="free","re-planting",IF(AE656="me","   not ELP, by",IF(AND(OR(PlanterYesMe="Yes",PlanterYesMe="Y"),G656&gt;0),(VLOOKUP(A656,'Discount Lookup'!J:K,2)*G656*(1-PlanterDiscount)*(1+PlanterDifficultyPercentage)),IF(AE656="ELP",(VLOOKUP(A656,'Discount Lookup'!J:K,2)*G656*(1-PlanterDiscount)*(1+PlanterDifficultyPercentage)),IF(AE656="free","re-planting",IF(G656=0,"",IF(PlanterYesMe="",IF(AE656="me","   not ELP, by",IF(AE656="",IF(G656&gt;0,(VLOOKUP(A656,'Discount Lookup'!J:K,2)*G656*(1-PlanterDiscount)*(1+PlanterDifficultyPercentage)),""),"")),"   not ELP, by"))))))))))))))</f>
        <v/>
      </c>
      <c r="AD656" s="712"/>
      <c r="AE656" s="513" t="str">
        <f t="shared" si="442"/>
        <v/>
      </c>
      <c r="AF656" s="713" t="str">
        <f t="shared" si="443"/>
        <v/>
      </c>
      <c r="AG656" s="713"/>
      <c r="AH656" s="713"/>
      <c r="AI656" s="112">
        <f>IF(H656="credit",0,IF(AE656="free",0,IF(AE656="me",0,IF(G656&gt;0,(VLOOKUP(A656,'Discount Lookup'!J:K,2)*G656),0))))</f>
        <v>0</v>
      </c>
      <c r="AJ656" s="107" t="str">
        <f t="shared" ca="1" si="444"/>
        <v/>
      </c>
      <c r="AK656" s="714" t="str">
        <f t="shared" si="445"/>
        <v/>
      </c>
      <c r="AL656" s="714"/>
      <c r="AM656" s="114" t="str">
        <f t="shared" si="446"/>
        <v/>
      </c>
      <c r="AN656" s="115"/>
      <c r="AO656" s="116"/>
      <c r="AP656" s="116"/>
      <c r="AQ656" s="116"/>
      <c r="AR656" s="116"/>
      <c r="AS656" s="116"/>
      <c r="AT656" s="116"/>
      <c r="AU656" s="116"/>
      <c r="AV656" s="78"/>
      <c r="AW656" s="102"/>
      <c r="AX656" s="78"/>
      <c r="AY656" s="78"/>
      <c r="AZ656" s="78"/>
      <c r="BA656" s="78"/>
      <c r="BB656" s="78"/>
      <c r="BC656" s="78"/>
      <c r="BD656" s="78"/>
      <c r="BE656" s="465"/>
      <c r="BF656" s="165" t="str">
        <f t="shared" si="447"/>
        <v>https://www.google.com/search?tbm=isch&amp;q=Crimson%20Candles%20named%20for%20its%20striking%20elongated%20buds%20that%20resemble%20candles%20</v>
      </c>
      <c r="BG656" s="165" t="str">
        <f t="shared" si="448"/>
        <v>C</v>
      </c>
      <c r="BH656" s="65"/>
      <c r="BI656" s="65"/>
      <c r="BJ656" s="65"/>
      <c r="BK656" s="65"/>
      <c r="BL656" s="99"/>
      <c r="BM656" s="99"/>
      <c r="BN656" s="99"/>
    </row>
    <row r="657" spans="1:66" s="51" customFormat="1" ht="18" x14ac:dyDescent="0.25">
      <c r="A657" s="507" t="s">
        <v>1754</v>
      </c>
      <c r="B657" s="470"/>
      <c r="C657" s="706"/>
      <c r="D657" s="471" t="s">
        <v>5606</v>
      </c>
      <c r="E657" s="472"/>
      <c r="F657" s="472"/>
      <c r="G657" s="472"/>
      <c r="H657" s="622" t="s">
        <v>1246</v>
      </c>
      <c r="I657" s="473" t="s">
        <v>1755</v>
      </c>
      <c r="J657" s="472"/>
      <c r="K657" s="472"/>
      <c r="L657" s="561"/>
      <c r="M657" s="703" t="s">
        <v>5260</v>
      </c>
      <c r="N657" s="692" t="str">
        <f>IF(AND(ISTEXT($A657), ISERROR($A657+0)), HYPERLINK($BF657, "Images"), "")</f>
        <v>Images</v>
      </c>
      <c r="O657" s="694" t="s">
        <v>5247</v>
      </c>
      <c r="P657" s="475"/>
      <c r="Q657" s="476"/>
      <c r="R657" s="476"/>
      <c r="S657" s="477"/>
      <c r="T657" s="102">
        <f t="shared" ref="T657:T720" si="482">E657*G657</f>
        <v>0</v>
      </c>
      <c r="U657" s="78" t="str">
        <f>IF(NOT(ISNUMBER(G657)), "", VLOOKUP(A657,'Discount Lookup'!D:E,2,FALSE)*G657)</f>
        <v/>
      </c>
      <c r="V657" s="78" t="str">
        <f>IF(NOT(ISNUMBER(G657)), "", VLOOKUP(A657,'Discount Lookup'!G:H,2,FALSE)*G657)</f>
        <v/>
      </c>
      <c r="W657" s="102">
        <f t="shared" ref="W657:W720" si="483">IF(H657="credit",0,E657*(SalesTaxPercentage)*G657)</f>
        <v>0</v>
      </c>
      <c r="X657" s="102" t="str">
        <f t="shared" ref="X657:X720" si="484">I657</f>
        <v>Pink, Creamy center</v>
      </c>
      <c r="Y657" s="120" t="b">
        <f t="shared" ref="Y657:Y720" si="485">IF(AE657="T2G",0,IF(H657="credit",0,IF(G657&gt;0,IF(AE657="me","",G657))))</f>
        <v>0</v>
      </c>
      <c r="Z657" s="117">
        <f t="shared" ref="Z657:Z720" si="486">IF(H657="credit",G657,0)</f>
        <v>0</v>
      </c>
      <c r="AA657" s="118"/>
      <c r="AB657" s="118" t="str">
        <f t="shared" ref="AB657:AB720" si="487">IF(AE657="T2G","by Trees2Go",IF(H657="credit","CREDIT only ~",IF(AND(K657="",AE657=OR(PlanterYesMe="No",PlanterYesMe="N",PlanterYesMe="me")),"not THIS line⇨",IF(AND(K657="images",AE657="me"),"not THIS line⇨",IF(H657="credit","",IF(G657=0,"",IF(AE657="me","",IF(OR(PlanterYesMe="No",PlanterYesMe="N",PlanterYesMe="me"),"",IF(AE657="free","warranty",IF(OR(PlanterYesMe="yes",PlanterYesMe="y"),"Edison install:","to install:"))))))))))</f>
        <v/>
      </c>
      <c r="AC657" s="712" t="str">
        <f>IF(AE657="T2G","no charge",IF(AND(OR(PlanterYesMe="No",PlanterYesMe="N",PlanterYesMe="me"),H657=""),"",IF(H657="credit","NO install",IF(AND(K657="",AE657="me"),"EACH row",IF(AND(K657="images",AE657="me"),"EACH row",IF(D657="","",IF(H657="credit","",IF(AE657="free","re-planting",IF(AE657="me","   not ELP, by",IF(AND(OR(PlanterYesMe="Yes",PlanterYesMe="Y"),G657&gt;0),(VLOOKUP(A657,'Discount Lookup'!J:K,2)*G657*(1-PlanterDiscount)*(1+PlanterDifficultyPercentage)),IF(AE657="ELP",(VLOOKUP(A657,'Discount Lookup'!J:K,2)*G657*(1-PlanterDiscount)*(1+PlanterDifficultyPercentage)),IF(AE657="free","re-planting",IF(G657=0,"",IF(PlanterYesMe="",IF(AE657="me","   not ELP, by",IF(AE657="",IF(G657&gt;0,(VLOOKUP(A657,'Discount Lookup'!J:K,2)*G657*(1-PlanterDiscount)*(1+PlanterDifficultyPercentage)),""),"")),"   not ELP, by"))))))))))))))</f>
        <v/>
      </c>
      <c r="AD657" s="712"/>
      <c r="AE657" s="513" t="str">
        <f t="shared" ref="AE657:AE720" si="488">IF(H657="credit","",IF(G657=0,"",IF(OR(PlanterYesMe="No",PlanterYesMe="N",PlanterYesMe="me"),"me",IF(H657="warranty","free",IF(OR(PlanterYesMe="yes",PlanterYesMe="y"),"ELP","")))))</f>
        <v/>
      </c>
      <c r="AF657" s="713" t="str">
        <f t="shared" ref="AF657:AF720" si="489">IF(OR(PlanterYesMe="No",PlanterYesMe="N",PlanterYesMe="me"),"",IF(H657="credit","",IF(G657&gt;0,(CONCATENATE((G657)," quantity, ",(A657)," ",B657)),"")))</f>
        <v/>
      </c>
      <c r="AG657" s="713"/>
      <c r="AH657" s="713"/>
      <c r="AI657" s="112">
        <f>IF(H657="credit",0,IF(AE657="free",0,IF(AE657="me",0,IF(G657&gt;0,(VLOOKUP(A657,'Discount Lookup'!J:K,2)*G657),0))))</f>
        <v>0</v>
      </c>
      <c r="AJ657" s="107" t="str">
        <f t="shared" ref="AJ657:AJ720" ca="1" si="490">IF(AND(ISREF(H657),H657="credit"),"",IF(AND(AND(OFFSET(G657,0,0)=0,OFFSET(G657,1,0)&gt;0,ISNUMBER(OFFSET(AC657,1,0)),OFFSET(AC657,1,0)&gt;0),OR(PlanterYesMe="yes",PlanterYesMe="y")),"T2G+ELP=",IF(AND(OFFSET(G657,0,0)=0,OFFSET(G657,1,0)&gt;0,ISNUMBER(OFFSET(AC657,1,0)),OFFSET(AC657,1,0)&gt;0),"if T2G+ELP=",IF(AND(OFFSET(G657,0,0)=0,OFFSET(G657,1,0)&gt;0),"T2G Subtotal",IF(H657="credit","",IF(G657=0,"",IF(AE657="free",(K657*(1-T2GDiscount)),IF(OR(PlanterYesMe="No",PlanterYesMe="N",PlanterYesMe="me"),(K657*(1-T2GDiscount)),IF(OR(AE657="me",AE657="T2G"),(K657*(1-T2GDiscount)),(K657*(1-T2GDiscount))+AC657)))))))))</f>
        <v/>
      </c>
      <c r="AK657" s="714" t="str">
        <f t="shared" ref="AK657:AK720" si="491">IF(H657="credit","",IF(G657=0,"",IF(OR(AE657="me",AE657="T2G"),"  delivery-only",IF(OR(PlanterYesMe="No",PlanterYesMe="N",PlanterYesMe="me"),"  delivery-only",CONCATENATE(" $",ROUND(AJ657/G657,2)," each")))))</f>
        <v/>
      </c>
      <c r="AL657" s="714"/>
      <c r="AM657" s="114" t="str">
        <f t="shared" ref="AM657:AM720" si="492">IF(H657="credit","",IF(AE657="free","      ~ discounts included, no tax or planting fee applies ~",IF(G657=0,"",IF(OR(PlanterYesMe="No",PlanterYesMe="N",PlanterYesMe="me"),CONCATENATE(" $",ROUND(AJ657/G657,2)," per plant, with tax &amp; discount"),IF(OR(AE657="me",AE657="T2G"),CONCATENATE(" $",ROUND(AJ657/G657,2)," per plant, with tax &amp; discount"),CONCATENATE("= $",ROUND((K657*(1-T2GDiscount))/G657,2)," per plant + $",AC657/G657,(" per planting      ~ includes tax &amp; discounts ~")))))))</f>
        <v/>
      </c>
      <c r="AN657" s="115"/>
      <c r="AO657" s="116"/>
      <c r="AP657" s="116"/>
      <c r="AQ657" s="116"/>
      <c r="AR657" s="116"/>
      <c r="AS657" s="116"/>
      <c r="AT657" s="116"/>
      <c r="AU657" s="116"/>
      <c r="AV657" s="78"/>
      <c r="AW657" s="102"/>
      <c r="AX657" s="78"/>
      <c r="AY657" s="78"/>
      <c r="AZ657" s="78"/>
      <c r="BA657" s="78"/>
      <c r="BB657" s="78"/>
      <c r="BC657" s="78"/>
      <c r="BD657" s="78"/>
      <c r="BE657" s="465"/>
      <c r="BF657" s="165" t="str">
        <f t="shared" ref="BF657:BF720" si="493">"https://www.google.com/search?tbm=isch&amp;q=" &amp; _xlfn.ENCODEURL($A657 &amp; " " &amp; $D657)</f>
        <v>https://www.google.com/search?tbm=isch&amp;q=Camellia%20japonica%20%27April%20Remembered%27%20Ice%20Angels%C2%AE%20April%20Remembered%20Camellia</v>
      </c>
      <c r="BG657" s="165" t="str">
        <f t="shared" ref="BG657:BG720" si="494">IF(ISTEXT(A657),LEFT(A657,1),BG656)</f>
        <v>C</v>
      </c>
      <c r="BH657" s="65"/>
      <c r="BI657" s="65"/>
      <c r="BJ657" s="65"/>
      <c r="BK657" s="65"/>
      <c r="BL657" s="99"/>
      <c r="BM657" s="99"/>
      <c r="BN657" s="99"/>
    </row>
    <row r="658" spans="1:66" s="51" customFormat="1" ht="15.75" x14ac:dyDescent="0.25">
      <c r="A658" s="478">
        <v>7</v>
      </c>
      <c r="B658" s="479" t="s">
        <v>291</v>
      </c>
      <c r="C658" s="480" t="s">
        <v>4575</v>
      </c>
      <c r="D658" s="481" t="s">
        <v>299</v>
      </c>
      <c r="E658" s="482">
        <v>104.95</v>
      </c>
      <c r="F658" s="483" t="s">
        <v>292</v>
      </c>
      <c r="G658" s="484">
        <v>0</v>
      </c>
      <c r="H658" s="688" t="str">
        <f>IF(G658=0,"",IF(F658="Buy",IF(G658=1,"plant","plants"),IF(F658&gt;0.01,"warranty","Error")))</f>
        <v/>
      </c>
      <c r="I658" s="485">
        <f>IF(H658="free",0,IF(H658="credit",((E658*(F658))*G658*-1),IF(F658="Buy",(E658*G658),((E658*(1-F658))*G658))))</f>
        <v>0</v>
      </c>
      <c r="J658" s="485">
        <f>IF(H658="warranty",0,(I658*(_xlfn.SINGLE(SalesTaxPercentage))))</f>
        <v>0</v>
      </c>
      <c r="K658" s="715">
        <f t="shared" ref="K658" si="495">I658+J658</f>
        <v>0</v>
      </c>
      <c r="L658" s="715"/>
      <c r="M658" s="689" t="str">
        <f ca="1">IF(AND(G658&gt;0,E658=0),"WARNING - no PRICE inserted",IF(H658="free","FREE ~ no charge this plant",IF(H658="credit",CONCATENATE("-$",ROUND(K658*(1-_xlfn.SINGLE(T2GDiscount))*-1,2)," CREDIT after discount"),IF(_xlfn.SINGLE(T2GDiscount)=0,"",IF(G658=0,"",IF(F658="Buy",CONCATENATE("$",ROUND(K658*(1-_xlfn.SINGLE(T2GDiscount)),2)," with ",(_xlfn.SINGLE(T2GDiscount)*100),"% discount"),CONCATENATE("$",ROUND(K658*(1-_xlfn.SINGLE(T2GDiscount)),2)," with ",((_xlfn.SINGLE(T2GDiscount)*100+F658*100)-(_xlfn.SINGLE(T2GDiscount)*100*F658)),IF(F658&gt;0,"% discounts",IF(_xlfn.SINGLE(NoWarrantyDiscount)&gt;0,"% discounts","% discount")))))))))</f>
        <v/>
      </c>
      <c r="N658" s="690"/>
      <c r="O658" s="486"/>
      <c r="P658" s="486"/>
      <c r="Q658" s="486"/>
      <c r="R658" s="486"/>
      <c r="S658" s="486"/>
      <c r="T658" s="102">
        <f t="shared" si="482"/>
        <v>0</v>
      </c>
      <c r="U658" s="78">
        <f>IF(NOT(ISNUMBER(G658)), "", VLOOKUP(A658,'Discount Lookup'!D:E,2,FALSE)*G658)</f>
        <v>0</v>
      </c>
      <c r="V658" s="78">
        <f>IF(NOT(ISNUMBER(G658)), "", VLOOKUP(A658,'Discount Lookup'!G:H,2,FALSE)*G658)</f>
        <v>0</v>
      </c>
      <c r="W658" s="102">
        <f t="shared" si="483"/>
        <v>0</v>
      </c>
      <c r="X658" s="102">
        <f t="shared" si="484"/>
        <v>0</v>
      </c>
      <c r="Y658" s="120" t="b">
        <f t="shared" si="485"/>
        <v>0</v>
      </c>
      <c r="Z658" s="117">
        <f t="shared" si="486"/>
        <v>0</v>
      </c>
      <c r="AA658" s="118"/>
      <c r="AB658" s="118" t="str">
        <f t="shared" si="487"/>
        <v/>
      </c>
      <c r="AC658" s="712" t="str">
        <f>IF(AE658="T2G","no charge",IF(AND(OR(PlanterYesMe="No",PlanterYesMe="N",PlanterYesMe="me"),H658=""),"",IF(H658="credit","NO install",IF(AND(K658="",AE658="me"),"EACH row",IF(AND(K658="images",AE658="me"),"EACH row",IF(D658="","",IF(H658="credit","",IF(AE658="free","re-planting",IF(AE658="me","   not ELP, by",IF(AND(OR(PlanterYesMe="Yes",PlanterYesMe="Y"),G658&gt;0),(VLOOKUP(A658,'Discount Lookup'!J:K,2)*G658*(1-PlanterDiscount)*(1+PlanterDifficultyPercentage)),IF(AE658="ELP",(VLOOKUP(A658,'Discount Lookup'!J:K,2)*G658*(1-PlanterDiscount)*(1+PlanterDifficultyPercentage)),IF(AE658="free","re-planting",IF(G658=0,"",IF(PlanterYesMe="",IF(AE658="me","   not ELP, by",IF(AE658="",IF(G658&gt;0,(VLOOKUP(A658,'Discount Lookup'!J:K,2)*G658*(1-PlanterDiscount)*(1+PlanterDifficultyPercentage)),""),"")),"   not ELP, by"))))))))))))))</f>
        <v/>
      </c>
      <c r="AD658" s="712"/>
      <c r="AE658" s="513" t="str">
        <f t="shared" si="488"/>
        <v/>
      </c>
      <c r="AF658" s="713" t="str">
        <f t="shared" si="489"/>
        <v/>
      </c>
      <c r="AG658" s="713"/>
      <c r="AH658" s="713"/>
      <c r="AI658" s="112">
        <f>IF(H658="credit",0,IF(AE658="free",0,IF(AE658="me",0,IF(G658&gt;0,(VLOOKUP(A658,'Discount Lookup'!J:K,2)*G658),0))))</f>
        <v>0</v>
      </c>
      <c r="AJ658" s="107" t="str">
        <f t="shared" ca="1" si="490"/>
        <v/>
      </c>
      <c r="AK658" s="714" t="str">
        <f t="shared" si="491"/>
        <v/>
      </c>
      <c r="AL658" s="714"/>
      <c r="AM658" s="114" t="str">
        <f t="shared" si="492"/>
        <v/>
      </c>
      <c r="AN658" s="115"/>
      <c r="AO658" s="116"/>
      <c r="AP658" s="116"/>
      <c r="AQ658" s="116"/>
      <c r="AR658" s="116"/>
      <c r="AS658" s="116"/>
      <c r="AT658" s="116"/>
      <c r="AU658" s="116"/>
      <c r="AV658" s="78"/>
      <c r="AW658" s="102"/>
      <c r="AX658" s="78"/>
      <c r="AY658" s="78"/>
      <c r="AZ658" s="78"/>
      <c r="BA658" s="78"/>
      <c r="BB658" s="78"/>
      <c r="BC658" s="78"/>
      <c r="BD658" s="78"/>
      <c r="BE658" s="465"/>
      <c r="BF658" s="165" t="str">
        <f t="shared" si="493"/>
        <v>https://www.google.com/search?tbm=isch&amp;q=7%20G4</v>
      </c>
      <c r="BG658" s="165" t="str">
        <f t="shared" si="494"/>
        <v>C</v>
      </c>
      <c r="BH658" s="65"/>
      <c r="BI658" s="65"/>
      <c r="BJ658" s="65"/>
      <c r="BK658" s="65"/>
      <c r="BL658" s="99"/>
      <c r="BM658" s="99"/>
      <c r="BN658" s="99"/>
    </row>
    <row r="659" spans="1:66" s="51" customFormat="1" ht="17.25" thickBot="1" x14ac:dyDescent="0.3">
      <c r="A659" s="508" t="s">
        <v>1756</v>
      </c>
      <c r="B659" s="487"/>
      <c r="C659" s="707"/>
      <c r="D659" s="487"/>
      <c r="E659" s="487"/>
      <c r="F659" s="488"/>
      <c r="G659" s="489"/>
      <c r="H659" s="487"/>
      <c r="I659" s="490"/>
      <c r="J659" s="490"/>
      <c r="K659" s="491"/>
      <c r="L659" s="547"/>
      <c r="M659" s="528"/>
      <c r="N659" s="492"/>
      <c r="O659" s="493"/>
      <c r="P659" s="494"/>
      <c r="Q659" s="492"/>
      <c r="R659" s="492"/>
      <c r="S659" s="699" t="s">
        <v>5275</v>
      </c>
      <c r="T659" s="102">
        <f t="shared" si="482"/>
        <v>0</v>
      </c>
      <c r="U659" s="78" t="str">
        <f>IF(NOT(ISNUMBER(G659)), "", VLOOKUP(A659,'Discount Lookup'!D:E,2,FALSE)*G659)</f>
        <v/>
      </c>
      <c r="V659" s="78" t="str">
        <f>IF(NOT(ISNUMBER(G659)), "", VLOOKUP(A659,'Discount Lookup'!G:H,2,FALSE)*G659)</f>
        <v/>
      </c>
      <c r="W659" s="102">
        <f t="shared" si="483"/>
        <v>0</v>
      </c>
      <c r="X659" s="102">
        <f t="shared" si="484"/>
        <v>0</v>
      </c>
      <c r="Y659" s="120" t="b">
        <f t="shared" si="485"/>
        <v>0</v>
      </c>
      <c r="Z659" s="117">
        <f t="shared" si="486"/>
        <v>0</v>
      </c>
      <c r="AA659" s="118"/>
      <c r="AB659" s="118" t="str">
        <f t="shared" si="487"/>
        <v/>
      </c>
      <c r="AC659" s="712" t="str">
        <f>IF(AE659="T2G","no charge",IF(AND(OR(PlanterYesMe="No",PlanterYesMe="N",PlanterYesMe="me"),H659=""),"",IF(H659="credit","NO install",IF(AND(K659="",AE659="me"),"EACH row",IF(AND(K659="images",AE659="me"),"EACH row",IF(D659="","",IF(H659="credit","",IF(AE659="free","re-planting",IF(AE659="me","   not ELP, by",IF(AND(OR(PlanterYesMe="Yes",PlanterYesMe="Y"),G659&gt;0),(VLOOKUP(A659,'Discount Lookup'!J:K,2)*G659*(1-PlanterDiscount)*(1+PlanterDifficultyPercentage)),IF(AE659="ELP",(VLOOKUP(A659,'Discount Lookup'!J:K,2)*G659*(1-PlanterDiscount)*(1+PlanterDifficultyPercentage)),IF(AE659="free","re-planting",IF(G659=0,"",IF(PlanterYesMe="",IF(AE659="me","   not ELP, by",IF(AE659="",IF(G659&gt;0,(VLOOKUP(A659,'Discount Lookup'!J:K,2)*G659*(1-PlanterDiscount)*(1+PlanterDifficultyPercentage)),""),"")),"   not ELP, by"))))))))))))))</f>
        <v/>
      </c>
      <c r="AD659" s="712"/>
      <c r="AE659" s="513" t="str">
        <f t="shared" si="488"/>
        <v/>
      </c>
      <c r="AF659" s="713" t="str">
        <f t="shared" si="489"/>
        <v/>
      </c>
      <c r="AG659" s="713"/>
      <c r="AH659" s="713"/>
      <c r="AI659" s="112">
        <f>IF(H659="credit",0,IF(AE659="free",0,IF(AE659="me",0,IF(G659&gt;0,(VLOOKUP(A659,'Discount Lookup'!J:K,2)*G659),0))))</f>
        <v>0</v>
      </c>
      <c r="AJ659" s="107" t="str">
        <f t="shared" ca="1" si="490"/>
        <v/>
      </c>
      <c r="AK659" s="714" t="str">
        <f t="shared" si="491"/>
        <v/>
      </c>
      <c r="AL659" s="714"/>
      <c r="AM659" s="114" t="str">
        <f t="shared" si="492"/>
        <v/>
      </c>
      <c r="AN659" s="115"/>
      <c r="AO659" s="116"/>
      <c r="AP659" s="116"/>
      <c r="AQ659" s="116"/>
      <c r="AR659" s="116"/>
      <c r="AS659" s="116"/>
      <c r="AT659" s="116"/>
      <c r="AU659" s="116"/>
      <c r="AV659" s="78"/>
      <c r="AW659" s="102"/>
      <c r="AX659" s="78"/>
      <c r="AY659" s="78"/>
      <c r="AZ659" s="78"/>
      <c r="BA659" s="78"/>
      <c r="BB659" s="78"/>
      <c r="BC659" s="78"/>
      <c r="BD659" s="78"/>
      <c r="BE659" s="465"/>
      <c r="BF659" s="165" t="str">
        <f t="shared" si="493"/>
        <v>https://www.google.com/search?tbm=isch&amp;q=April%20Remembered%20dazzles%20with%20long-lasting%20blooms%2C%20glossy%20evergreen%20foliage%2C%20and%20exceptional%20cold%20hardiness%20</v>
      </c>
      <c r="BG659" s="165" t="str">
        <f t="shared" si="494"/>
        <v>A</v>
      </c>
      <c r="BH659" s="65"/>
      <c r="BI659" s="65"/>
      <c r="BJ659" s="65"/>
      <c r="BK659" s="65"/>
      <c r="BL659" s="99"/>
      <c r="BM659" s="99"/>
      <c r="BN659" s="99"/>
    </row>
    <row r="660" spans="1:66" s="51" customFormat="1" ht="18" x14ac:dyDescent="0.25">
      <c r="A660" s="507" t="s">
        <v>1757</v>
      </c>
      <c r="B660" s="470"/>
      <c r="C660" s="706"/>
      <c r="D660" s="471" t="s">
        <v>1758</v>
      </c>
      <c r="E660" s="472"/>
      <c r="F660" s="472"/>
      <c r="G660" s="472"/>
      <c r="H660" s="622" t="s">
        <v>348</v>
      </c>
      <c r="I660" s="473" t="s">
        <v>1759</v>
      </c>
      <c r="J660" s="472"/>
      <c r="K660" s="472"/>
      <c r="L660" s="561"/>
      <c r="M660" s="703" t="s">
        <v>5260</v>
      </c>
      <c r="N660" s="692" t="str">
        <f>IF(AND(ISTEXT($A660), ISERROR($A660+0)), HYPERLINK($BF660, "Images"), "")</f>
        <v>Images</v>
      </c>
      <c r="O660" s="694" t="s">
        <v>5247</v>
      </c>
      <c r="P660" s="475"/>
      <c r="Q660" s="476"/>
      <c r="R660" s="476"/>
      <c r="S660" s="477"/>
      <c r="T660" s="102">
        <f t="shared" si="482"/>
        <v>0</v>
      </c>
      <c r="U660" s="78" t="str">
        <f>IF(NOT(ISNUMBER(G660)), "", VLOOKUP(A660,'Discount Lookup'!D:E,2,FALSE)*G660)</f>
        <v/>
      </c>
      <c r="V660" s="78" t="str">
        <f>IF(NOT(ISNUMBER(G660)), "", VLOOKUP(A660,'Discount Lookup'!G:H,2,FALSE)*G660)</f>
        <v/>
      </c>
      <c r="W660" s="102">
        <f t="shared" si="483"/>
        <v>0</v>
      </c>
      <c r="X660" s="102" t="str">
        <f t="shared" si="484"/>
        <v>Rich Red bloom</v>
      </c>
      <c r="Y660" s="120" t="b">
        <f t="shared" si="485"/>
        <v>0</v>
      </c>
      <c r="Z660" s="117">
        <f t="shared" si="486"/>
        <v>0</v>
      </c>
      <c r="AA660" s="118"/>
      <c r="AB660" s="118" t="str">
        <f t="shared" si="487"/>
        <v/>
      </c>
      <c r="AC660" s="712" t="str">
        <f>IF(AE660="T2G","no charge",IF(AND(OR(PlanterYesMe="No",PlanterYesMe="N",PlanterYesMe="me"),H660=""),"",IF(H660="credit","NO install",IF(AND(K660="",AE660="me"),"EACH row",IF(AND(K660="images",AE660="me"),"EACH row",IF(D660="","",IF(H660="credit","",IF(AE660="free","re-planting",IF(AE660="me","   not ELP, by",IF(AND(OR(PlanterYesMe="Yes",PlanterYesMe="Y"),G660&gt;0),(VLOOKUP(A660,'Discount Lookup'!J:K,2)*G660*(1-PlanterDiscount)*(1+PlanterDifficultyPercentage)),IF(AE660="ELP",(VLOOKUP(A660,'Discount Lookup'!J:K,2)*G660*(1-PlanterDiscount)*(1+PlanterDifficultyPercentage)),IF(AE660="free","re-planting",IF(G660=0,"",IF(PlanterYesMe="",IF(AE660="me","   not ELP, by",IF(AE660="",IF(G660&gt;0,(VLOOKUP(A660,'Discount Lookup'!J:K,2)*G660*(1-PlanterDiscount)*(1+PlanterDifficultyPercentage)),""),"")),"   not ELP, by"))))))))))))))</f>
        <v/>
      </c>
      <c r="AD660" s="712"/>
      <c r="AE660" s="513" t="str">
        <f t="shared" si="488"/>
        <v/>
      </c>
      <c r="AF660" s="713" t="str">
        <f t="shared" si="489"/>
        <v/>
      </c>
      <c r="AG660" s="713"/>
      <c r="AH660" s="713"/>
      <c r="AI660" s="112">
        <f>IF(H660="credit",0,IF(AE660="free",0,IF(AE660="me",0,IF(G660&gt;0,(VLOOKUP(A660,'Discount Lookup'!J:K,2)*G660),0))))</f>
        <v>0</v>
      </c>
      <c r="AJ660" s="107" t="str">
        <f t="shared" ca="1" si="490"/>
        <v/>
      </c>
      <c r="AK660" s="714" t="str">
        <f t="shared" si="491"/>
        <v/>
      </c>
      <c r="AL660" s="714"/>
      <c r="AM660" s="114" t="str">
        <f t="shared" si="492"/>
        <v/>
      </c>
      <c r="AN660" s="115"/>
      <c r="AO660" s="116"/>
      <c r="AP660" s="116"/>
      <c r="AQ660" s="116"/>
      <c r="AR660" s="116"/>
      <c r="AS660" s="116"/>
      <c r="AT660" s="116"/>
      <c r="AU660" s="116"/>
      <c r="AV660" s="78"/>
      <c r="AW660" s="102"/>
      <c r="AX660" s="78"/>
      <c r="AY660" s="78"/>
      <c r="AZ660" s="78"/>
      <c r="BA660" s="78"/>
      <c r="BB660" s="78"/>
      <c r="BC660" s="78"/>
      <c r="BD660" s="78"/>
      <c r="BE660" s="465"/>
      <c r="BF660" s="165" t="str">
        <f t="shared" si="493"/>
        <v>https://www.google.com/search?tbm=isch&amp;q=Camellia%20japonica%20%27April%20Tryst%27%20April%20Tryst%20Camellia</v>
      </c>
      <c r="BG660" s="165" t="str">
        <f t="shared" si="494"/>
        <v>C</v>
      </c>
      <c r="BH660" s="65"/>
      <c r="BI660" s="65"/>
      <c r="BJ660" s="65"/>
      <c r="BK660" s="65"/>
      <c r="BL660" s="99"/>
      <c r="BM660" s="99"/>
      <c r="BN660" s="99"/>
    </row>
    <row r="661" spans="1:66" s="51" customFormat="1" ht="15.75" x14ac:dyDescent="0.25">
      <c r="A661" s="478">
        <v>7</v>
      </c>
      <c r="B661" s="479" t="s">
        <v>291</v>
      </c>
      <c r="C661" s="480" t="s">
        <v>5118</v>
      </c>
      <c r="D661" s="481" t="s">
        <v>299</v>
      </c>
      <c r="E661" s="482">
        <v>104.95</v>
      </c>
      <c r="F661" s="483" t="s">
        <v>292</v>
      </c>
      <c r="G661" s="484">
        <v>0</v>
      </c>
      <c r="H661" s="688" t="str">
        <f>IF(G661=0,"",IF(F661="Buy",IF(G661=1,"plant","plants"),IF(F661&gt;0.01,"warranty","Error")))</f>
        <v/>
      </c>
      <c r="I661" s="485">
        <f>IF(H661="free",0,IF(H661="credit",((E661*(F661))*G661*-1),IF(F661="Buy",(E661*G661),((E661*(1-F661))*G661))))</f>
        <v>0</v>
      </c>
      <c r="J661" s="485">
        <f>IF(H661="warranty",0,(I661*(_xlfn.SINGLE(SalesTaxPercentage))))</f>
        <v>0</v>
      </c>
      <c r="K661" s="715">
        <f t="shared" ref="K661" si="496">I661+J661</f>
        <v>0</v>
      </c>
      <c r="L661" s="715"/>
      <c r="M661" s="689" t="str">
        <f ca="1">IF(AND(G661&gt;0,E661=0),"WARNING - no PRICE inserted",IF(H661="free","FREE ~ no charge this plant",IF(H661="credit",CONCATENATE("-$",ROUND(K661*(1-_xlfn.SINGLE(T2GDiscount))*-1,2)," CREDIT after discount"),IF(_xlfn.SINGLE(T2GDiscount)=0,"",IF(G661=0,"",IF(F661="Buy",CONCATENATE("$",ROUND(K661*(1-_xlfn.SINGLE(T2GDiscount)),2)," with ",(_xlfn.SINGLE(T2GDiscount)*100),"% discount"),CONCATENATE("$",ROUND(K661*(1-_xlfn.SINGLE(T2GDiscount)),2)," with ",((_xlfn.SINGLE(T2GDiscount)*100+F661*100)-(_xlfn.SINGLE(T2GDiscount)*100*F661)),IF(F661&gt;0,"% discounts",IF(_xlfn.SINGLE(NoWarrantyDiscount)&gt;0,"% discounts","% discount")))))))))</f>
        <v/>
      </c>
      <c r="N661" s="690"/>
      <c r="O661" s="486"/>
      <c r="P661" s="486"/>
      <c r="Q661" s="486"/>
      <c r="R661" s="486"/>
      <c r="S661" s="486"/>
      <c r="T661" s="102">
        <f t="shared" si="482"/>
        <v>0</v>
      </c>
      <c r="U661" s="78">
        <f>IF(NOT(ISNUMBER(G661)), "", VLOOKUP(A661,'Discount Lookup'!D:E,2,FALSE)*G661)</f>
        <v>0</v>
      </c>
      <c r="V661" s="78">
        <f>IF(NOT(ISNUMBER(G661)), "", VLOOKUP(A661,'Discount Lookup'!G:H,2,FALSE)*G661)</f>
        <v>0</v>
      </c>
      <c r="W661" s="102">
        <f t="shared" si="483"/>
        <v>0</v>
      </c>
      <c r="X661" s="102">
        <f t="shared" si="484"/>
        <v>0</v>
      </c>
      <c r="Y661" s="120" t="b">
        <f t="shared" si="485"/>
        <v>0</v>
      </c>
      <c r="Z661" s="117">
        <f t="shared" si="486"/>
        <v>0</v>
      </c>
      <c r="AA661" s="118"/>
      <c r="AB661" s="118" t="str">
        <f t="shared" si="487"/>
        <v/>
      </c>
      <c r="AC661" s="712" t="str">
        <f>IF(AE661="T2G","no charge",IF(AND(OR(PlanterYesMe="No",PlanterYesMe="N",PlanterYesMe="me"),H661=""),"",IF(H661="credit","NO install",IF(AND(K661="",AE661="me"),"EACH row",IF(AND(K661="images",AE661="me"),"EACH row",IF(D661="","",IF(H661="credit","",IF(AE661="free","re-planting",IF(AE661="me","   not ELP, by",IF(AND(OR(PlanterYesMe="Yes",PlanterYesMe="Y"),G661&gt;0),(VLOOKUP(A661,'Discount Lookup'!J:K,2)*G661*(1-PlanterDiscount)*(1+PlanterDifficultyPercentage)),IF(AE661="ELP",(VLOOKUP(A661,'Discount Lookup'!J:K,2)*G661*(1-PlanterDiscount)*(1+PlanterDifficultyPercentage)),IF(AE661="free","re-planting",IF(G661=0,"",IF(PlanterYesMe="",IF(AE661="me","   not ELP, by",IF(AE661="",IF(G661&gt;0,(VLOOKUP(A661,'Discount Lookup'!J:K,2)*G661*(1-PlanterDiscount)*(1+PlanterDifficultyPercentage)),""),"")),"   not ELP, by"))))))))))))))</f>
        <v/>
      </c>
      <c r="AD661" s="712"/>
      <c r="AE661" s="513" t="str">
        <f t="shared" si="488"/>
        <v/>
      </c>
      <c r="AF661" s="713" t="str">
        <f t="shared" si="489"/>
        <v/>
      </c>
      <c r="AG661" s="713"/>
      <c r="AH661" s="713"/>
      <c r="AI661" s="112">
        <f>IF(H661="credit",0,IF(AE661="free",0,IF(AE661="me",0,IF(G661&gt;0,(VLOOKUP(A661,'Discount Lookup'!J:K,2)*G661),0))))</f>
        <v>0</v>
      </c>
      <c r="AJ661" s="107" t="str">
        <f t="shared" ca="1" si="490"/>
        <v/>
      </c>
      <c r="AK661" s="714" t="str">
        <f t="shared" si="491"/>
        <v/>
      </c>
      <c r="AL661" s="714"/>
      <c r="AM661" s="114" t="str">
        <f t="shared" si="492"/>
        <v/>
      </c>
      <c r="AN661" s="115"/>
      <c r="AO661" s="116"/>
      <c r="AP661" s="116"/>
      <c r="AQ661" s="116"/>
      <c r="AR661" s="116"/>
      <c r="AS661" s="116"/>
      <c r="AT661" s="116"/>
      <c r="AU661" s="116"/>
      <c r="AV661" s="78"/>
      <c r="AW661" s="102"/>
      <c r="AX661" s="78"/>
      <c r="AY661" s="78"/>
      <c r="AZ661" s="78"/>
      <c r="BA661" s="78"/>
      <c r="BB661" s="78"/>
      <c r="BC661" s="78"/>
      <c r="BD661" s="78"/>
      <c r="BE661" s="465"/>
      <c r="BF661" s="165" t="str">
        <f t="shared" si="493"/>
        <v>https://www.google.com/search?tbm=isch&amp;q=7%20G4</v>
      </c>
      <c r="BG661" s="165" t="str">
        <f t="shared" si="494"/>
        <v>C</v>
      </c>
      <c r="BH661" s="65"/>
      <c r="BI661" s="65"/>
      <c r="BJ661" s="65"/>
      <c r="BK661" s="65"/>
      <c r="BL661" s="99"/>
      <c r="BM661" s="99"/>
      <c r="BN661" s="99"/>
    </row>
    <row r="662" spans="1:66" s="51" customFormat="1" ht="15.75" x14ac:dyDescent="0.25">
      <c r="A662" s="478">
        <v>7</v>
      </c>
      <c r="B662" s="479" t="s">
        <v>291</v>
      </c>
      <c r="C662" s="480" t="s">
        <v>1760</v>
      </c>
      <c r="D662" s="481" t="s">
        <v>293</v>
      </c>
      <c r="E662" s="482">
        <v>128.94999999999999</v>
      </c>
      <c r="F662" s="483" t="s">
        <v>292</v>
      </c>
      <c r="G662" s="484">
        <v>0</v>
      </c>
      <c r="H662" s="688" t="str">
        <f>IF(G662=0,"",IF(F662="Buy",IF(G662=1,"plant","plants"),IF(F662&gt;0.01,"warranty","Error")))</f>
        <v/>
      </c>
      <c r="I662" s="485">
        <f>IF(H662="free",0,IF(H662="credit",((E662*(F662))*G662*-1),IF(F662="Buy",(E662*G662),((E662*(1-F662))*G662))))</f>
        <v>0</v>
      </c>
      <c r="J662" s="485">
        <f>IF(H662="warranty",0,(I662*(_xlfn.SINGLE(SalesTaxPercentage))))</f>
        <v>0</v>
      </c>
      <c r="K662" s="715">
        <f t="shared" ref="K662" si="497">I662+J662</f>
        <v>0</v>
      </c>
      <c r="L662" s="715"/>
      <c r="M662" s="689" t="str">
        <f ca="1">IF(AND(G662&gt;0,E662=0),"WARNING - no PRICE inserted",IF(H662="free","FREE ~ no charge this plant",IF(H662="credit",CONCATENATE("-$",ROUND(K662*(1-_xlfn.SINGLE(T2GDiscount))*-1,2)," CREDIT after discount"),IF(_xlfn.SINGLE(T2GDiscount)=0,"",IF(G662=0,"",IF(F662="Buy",CONCATENATE("$",ROUND(K662*(1-_xlfn.SINGLE(T2GDiscount)),2)," with ",(_xlfn.SINGLE(T2GDiscount)*100),"% discount"),CONCATENATE("$",ROUND(K662*(1-_xlfn.SINGLE(T2GDiscount)),2)," with ",((_xlfn.SINGLE(T2GDiscount)*100+F662*100)-(_xlfn.SINGLE(T2GDiscount)*100*F662)),IF(F662&gt;0,"% discounts",IF(_xlfn.SINGLE(NoWarrantyDiscount)&gt;0,"% discounts","% discount")))))))))</f>
        <v/>
      </c>
      <c r="N662" s="690"/>
      <c r="O662" s="486"/>
      <c r="P662" s="486"/>
      <c r="Q662" s="486"/>
      <c r="R662" s="486"/>
      <c r="S662" s="486"/>
      <c r="T662" s="102">
        <f t="shared" si="482"/>
        <v>0</v>
      </c>
      <c r="U662" s="78">
        <f>IF(NOT(ISNUMBER(G662)), "", VLOOKUP(A662,'Discount Lookup'!D:E,2,FALSE)*G662)</f>
        <v>0</v>
      </c>
      <c r="V662" s="78">
        <f>IF(NOT(ISNUMBER(G662)), "", VLOOKUP(A662,'Discount Lookup'!G:H,2,FALSE)*G662)</f>
        <v>0</v>
      </c>
      <c r="W662" s="102">
        <f t="shared" si="483"/>
        <v>0</v>
      </c>
      <c r="X662" s="102">
        <f t="shared" si="484"/>
        <v>0</v>
      </c>
      <c r="Y662" s="120" t="b">
        <f t="shared" si="485"/>
        <v>0</v>
      </c>
      <c r="Z662" s="117">
        <f t="shared" si="486"/>
        <v>0</v>
      </c>
      <c r="AA662" s="118"/>
      <c r="AB662" s="118" t="str">
        <f t="shared" si="487"/>
        <v/>
      </c>
      <c r="AC662" s="712" t="str">
        <f>IF(AE662="T2G","no charge",IF(AND(OR(PlanterYesMe="No",PlanterYesMe="N",PlanterYesMe="me"),H662=""),"",IF(H662="credit","NO install",IF(AND(K662="",AE662="me"),"EACH row",IF(AND(K662="images",AE662="me"),"EACH row",IF(D662="","",IF(H662="credit","",IF(AE662="free","re-planting",IF(AE662="me","   not ELP, by",IF(AND(OR(PlanterYesMe="Yes",PlanterYesMe="Y"),G662&gt;0),(VLOOKUP(A662,'Discount Lookup'!J:K,2)*G662*(1-PlanterDiscount)*(1+PlanterDifficultyPercentage)),IF(AE662="ELP",(VLOOKUP(A662,'Discount Lookup'!J:K,2)*G662*(1-PlanterDiscount)*(1+PlanterDifficultyPercentage)),IF(AE662="free","re-planting",IF(G662=0,"",IF(PlanterYesMe="",IF(AE662="me","   not ELP, by",IF(AE662="",IF(G662&gt;0,(VLOOKUP(A662,'Discount Lookup'!J:K,2)*G662*(1-PlanterDiscount)*(1+PlanterDifficultyPercentage)),""),"")),"   not ELP, by"))))))))))))))</f>
        <v/>
      </c>
      <c r="AD662" s="712"/>
      <c r="AE662" s="513" t="str">
        <f t="shared" si="488"/>
        <v/>
      </c>
      <c r="AF662" s="713" t="str">
        <f t="shared" si="489"/>
        <v/>
      </c>
      <c r="AG662" s="713"/>
      <c r="AH662" s="713"/>
      <c r="AI662" s="112">
        <f>IF(H662="credit",0,IF(AE662="free",0,IF(AE662="me",0,IF(G662&gt;0,(VLOOKUP(A662,'Discount Lookup'!J:K,2)*G662),0))))</f>
        <v>0</v>
      </c>
      <c r="AJ662" s="107" t="str">
        <f t="shared" ca="1" si="490"/>
        <v/>
      </c>
      <c r="AK662" s="714" t="str">
        <f t="shared" si="491"/>
        <v/>
      </c>
      <c r="AL662" s="714"/>
      <c r="AM662" s="114" t="str">
        <f t="shared" si="492"/>
        <v/>
      </c>
      <c r="AN662" s="115"/>
      <c r="AO662" s="116"/>
      <c r="AP662" s="116"/>
      <c r="AQ662" s="116"/>
      <c r="AR662" s="116"/>
      <c r="AS662" s="116"/>
      <c r="AT662" s="116"/>
      <c r="AU662" s="116"/>
      <c r="AV662" s="78"/>
      <c r="AW662" s="102"/>
      <c r="AX662" s="78"/>
      <c r="AY662" s="78"/>
      <c r="AZ662" s="78"/>
      <c r="BA662" s="78"/>
      <c r="BB662" s="78"/>
      <c r="BC662" s="78"/>
      <c r="BD662" s="78"/>
      <c r="BE662" s="465"/>
      <c r="BF662" s="165" t="str">
        <f t="shared" si="493"/>
        <v>https://www.google.com/search?tbm=isch&amp;q=7%20G6</v>
      </c>
      <c r="BG662" s="165" t="str">
        <f t="shared" si="494"/>
        <v>C</v>
      </c>
      <c r="BH662" s="65"/>
      <c r="BI662" s="65"/>
      <c r="BJ662" s="65"/>
      <c r="BK662" s="65"/>
      <c r="BL662" s="99"/>
      <c r="BM662" s="99"/>
      <c r="BN662" s="99"/>
    </row>
    <row r="663" spans="1:66" s="51" customFormat="1" ht="27" x14ac:dyDescent="0.25">
      <c r="A663" s="478">
        <v>7</v>
      </c>
      <c r="B663" s="479" t="s">
        <v>291</v>
      </c>
      <c r="C663" s="480" t="s">
        <v>1761</v>
      </c>
      <c r="D663" s="481" t="s">
        <v>299</v>
      </c>
      <c r="E663" s="482">
        <v>160.94999999999999</v>
      </c>
      <c r="F663" s="483" t="s">
        <v>292</v>
      </c>
      <c r="G663" s="484">
        <v>0</v>
      </c>
      <c r="H663" s="688" t="str">
        <f>IF(G663=0,"",IF(F663="Buy",IF(G663=1,"plant","plants"),IF(F663&gt;0.01,"warranty","Error")))</f>
        <v/>
      </c>
      <c r="I663" s="485">
        <f>IF(H663="free",0,IF(H663="credit",((E663*(F663))*G663*-1),IF(F663="Buy",(E663*G663),((E663*(1-F663))*G663))))</f>
        <v>0</v>
      </c>
      <c r="J663" s="485">
        <f>IF(H663="warranty",0,(I663*(_xlfn.SINGLE(SalesTaxPercentage))))</f>
        <v>0</v>
      </c>
      <c r="K663" s="715">
        <f t="shared" ref="K663" si="498">I663+J663</f>
        <v>0</v>
      </c>
      <c r="L663" s="715"/>
      <c r="M663" s="689" t="str">
        <f ca="1">IF(AND(G663&gt;0,E663=0),"WARNING - no PRICE inserted",IF(H663="free","FREE ~ no charge this plant",IF(H663="credit",CONCATENATE("-$",ROUND(K663*(1-_xlfn.SINGLE(T2GDiscount))*-1,2)," CREDIT after discount"),IF(_xlfn.SINGLE(T2GDiscount)=0,"",IF(G663=0,"",IF(F663="Buy",CONCATENATE("$",ROUND(K663*(1-_xlfn.SINGLE(T2GDiscount)),2)," with ",(_xlfn.SINGLE(T2GDiscount)*100),"% discount"),CONCATENATE("$",ROUND(K663*(1-_xlfn.SINGLE(T2GDiscount)),2)," with ",((_xlfn.SINGLE(T2GDiscount)*100+F663*100)-(_xlfn.SINGLE(T2GDiscount)*100*F663)),IF(F663&gt;0,"% discounts",IF(_xlfn.SINGLE(NoWarrantyDiscount)&gt;0,"% discounts","% discount")))))))))</f>
        <v/>
      </c>
      <c r="N663" s="690"/>
      <c r="O663" s="486"/>
      <c r="P663" s="486"/>
      <c r="Q663" s="486"/>
      <c r="R663" s="486"/>
      <c r="S663" s="486"/>
      <c r="T663" s="102">
        <f t="shared" si="482"/>
        <v>0</v>
      </c>
      <c r="U663" s="78">
        <f>IF(NOT(ISNUMBER(G663)), "", VLOOKUP(A663,'Discount Lookup'!D:E,2,FALSE)*G663)</f>
        <v>0</v>
      </c>
      <c r="V663" s="78">
        <f>IF(NOT(ISNUMBER(G663)), "", VLOOKUP(A663,'Discount Lookup'!G:H,2,FALSE)*G663)</f>
        <v>0</v>
      </c>
      <c r="W663" s="102">
        <f t="shared" si="483"/>
        <v>0</v>
      </c>
      <c r="X663" s="102">
        <f t="shared" si="484"/>
        <v>0</v>
      </c>
      <c r="Y663" s="120" t="b">
        <f t="shared" si="485"/>
        <v>0</v>
      </c>
      <c r="Z663" s="117">
        <f t="shared" si="486"/>
        <v>0</v>
      </c>
      <c r="AA663" s="118"/>
      <c r="AB663" s="118" t="str">
        <f t="shared" si="487"/>
        <v/>
      </c>
      <c r="AC663" s="712" t="str">
        <f>IF(AE663="T2G","no charge",IF(AND(OR(PlanterYesMe="No",PlanterYesMe="N",PlanterYesMe="me"),H663=""),"",IF(H663="credit","NO install",IF(AND(K663="",AE663="me"),"EACH row",IF(AND(K663="images",AE663="me"),"EACH row",IF(D663="","",IF(H663="credit","",IF(AE663="free","re-planting",IF(AE663="me","   not ELP, by",IF(AND(OR(PlanterYesMe="Yes",PlanterYesMe="Y"),G663&gt;0),(VLOOKUP(A663,'Discount Lookup'!J:K,2)*G663*(1-PlanterDiscount)*(1+PlanterDifficultyPercentage)),IF(AE663="ELP",(VLOOKUP(A663,'Discount Lookup'!J:K,2)*G663*(1-PlanterDiscount)*(1+PlanterDifficultyPercentage)),IF(AE663="free","re-planting",IF(G663=0,"",IF(PlanterYesMe="",IF(AE663="me","   not ELP, by",IF(AE663="",IF(G663&gt;0,(VLOOKUP(A663,'Discount Lookup'!J:K,2)*G663*(1-PlanterDiscount)*(1+PlanterDifficultyPercentage)),""),"")),"   not ELP, by"))))))))))))))</f>
        <v/>
      </c>
      <c r="AD663" s="712"/>
      <c r="AE663" s="513" t="str">
        <f t="shared" si="488"/>
        <v/>
      </c>
      <c r="AF663" s="713" t="str">
        <f t="shared" si="489"/>
        <v/>
      </c>
      <c r="AG663" s="713"/>
      <c r="AH663" s="713"/>
      <c r="AI663" s="112">
        <f>IF(H663="credit",0,IF(AE663="free",0,IF(AE663="me",0,IF(G663&gt;0,(VLOOKUP(A663,'Discount Lookup'!J:K,2)*G663),0))))</f>
        <v>0</v>
      </c>
      <c r="AJ663" s="107" t="str">
        <f t="shared" ca="1" si="490"/>
        <v/>
      </c>
      <c r="AK663" s="714" t="str">
        <f t="shared" si="491"/>
        <v/>
      </c>
      <c r="AL663" s="714"/>
      <c r="AM663" s="114" t="str">
        <f t="shared" si="492"/>
        <v/>
      </c>
      <c r="AN663" s="115"/>
      <c r="AO663" s="116"/>
      <c r="AP663" s="116"/>
      <c r="AQ663" s="116"/>
      <c r="AR663" s="116"/>
      <c r="AS663" s="116"/>
      <c r="AT663" s="116"/>
      <c r="AU663" s="116"/>
      <c r="AV663" s="78"/>
      <c r="AW663" s="102"/>
      <c r="AX663" s="78"/>
      <c r="AY663" s="78"/>
      <c r="AZ663" s="78"/>
      <c r="BA663" s="78"/>
      <c r="BB663" s="78"/>
      <c r="BC663" s="78"/>
      <c r="BD663" s="78"/>
      <c r="BE663" s="465"/>
      <c r="BF663" s="165" t="str">
        <f t="shared" si="493"/>
        <v>https://www.google.com/search?tbm=isch&amp;q=7%20G4</v>
      </c>
      <c r="BG663" s="165" t="str">
        <f t="shared" si="494"/>
        <v>C</v>
      </c>
      <c r="BH663" s="65"/>
      <c r="BI663" s="65"/>
      <c r="BJ663" s="65"/>
      <c r="BK663" s="65"/>
      <c r="BL663" s="99"/>
      <c r="BM663" s="99"/>
      <c r="BN663" s="99"/>
    </row>
    <row r="664" spans="1:66" s="51" customFormat="1" ht="15.75" x14ac:dyDescent="0.25">
      <c r="A664" s="478">
        <v>10</v>
      </c>
      <c r="B664" s="479" t="s">
        <v>291</v>
      </c>
      <c r="C664" s="480" t="s">
        <v>1762</v>
      </c>
      <c r="D664" s="481" t="s">
        <v>293</v>
      </c>
      <c r="E664" s="482">
        <v>265.95</v>
      </c>
      <c r="F664" s="483" t="s">
        <v>292</v>
      </c>
      <c r="G664" s="484">
        <v>0</v>
      </c>
      <c r="H664" s="688" t="str">
        <f>IF(G664=0,"",IF(F664="Buy",IF(G664=1,"plant","plants"),IF(F664&gt;0.01,"warranty","Error")))</f>
        <v/>
      </c>
      <c r="I664" s="485">
        <f>IF(H664="free",0,IF(H664="credit",((E664*(F664))*G664*-1),IF(F664="Buy",(E664*G664),((E664*(1-F664))*G664))))</f>
        <v>0</v>
      </c>
      <c r="J664" s="485">
        <f>IF(H664="warranty",0,(I664*(_xlfn.SINGLE(SalesTaxPercentage))))</f>
        <v>0</v>
      </c>
      <c r="K664" s="715">
        <f t="shared" ref="K664" si="499">I664+J664</f>
        <v>0</v>
      </c>
      <c r="L664" s="715"/>
      <c r="M664" s="689" t="str">
        <f ca="1">IF(AND(G664&gt;0,E664=0),"WARNING - no PRICE inserted",IF(H664="free","FREE ~ no charge this plant",IF(H664="credit",CONCATENATE("-$",ROUND(K664*(1-_xlfn.SINGLE(T2GDiscount))*-1,2)," CREDIT after discount"),IF(_xlfn.SINGLE(T2GDiscount)=0,"",IF(G664=0,"",IF(F664="Buy",CONCATENATE("$",ROUND(K664*(1-_xlfn.SINGLE(T2GDiscount)),2)," with ",(_xlfn.SINGLE(T2GDiscount)*100),"% discount"),CONCATENATE("$",ROUND(K664*(1-_xlfn.SINGLE(T2GDiscount)),2)," with ",((_xlfn.SINGLE(T2GDiscount)*100+F664*100)-(_xlfn.SINGLE(T2GDiscount)*100*F664)),IF(F664&gt;0,"% discounts",IF(_xlfn.SINGLE(NoWarrantyDiscount)&gt;0,"% discounts","% discount")))))))))</f>
        <v/>
      </c>
      <c r="N664" s="690"/>
      <c r="O664" s="486"/>
      <c r="P664" s="486"/>
      <c r="Q664" s="486"/>
      <c r="R664" s="486"/>
      <c r="S664" s="486"/>
      <c r="T664" s="102">
        <f t="shared" si="482"/>
        <v>0</v>
      </c>
      <c r="U664" s="78">
        <f>IF(NOT(ISNUMBER(G664)), "", VLOOKUP(A664,'Discount Lookup'!D:E,2,FALSE)*G664)</f>
        <v>0</v>
      </c>
      <c r="V664" s="78">
        <f>IF(NOT(ISNUMBER(G664)), "", VLOOKUP(A664,'Discount Lookup'!G:H,2,FALSE)*G664)</f>
        <v>0</v>
      </c>
      <c r="W664" s="102">
        <f t="shared" si="483"/>
        <v>0</v>
      </c>
      <c r="X664" s="102">
        <f t="shared" si="484"/>
        <v>0</v>
      </c>
      <c r="Y664" s="120" t="b">
        <f t="shared" si="485"/>
        <v>0</v>
      </c>
      <c r="Z664" s="117">
        <f t="shared" si="486"/>
        <v>0</v>
      </c>
      <c r="AA664" s="118"/>
      <c r="AB664" s="118" t="str">
        <f t="shared" si="487"/>
        <v/>
      </c>
      <c r="AC664" s="712" t="str">
        <f>IF(AE664="T2G","no charge",IF(AND(OR(PlanterYesMe="No",PlanterYesMe="N",PlanterYesMe="me"),H664=""),"",IF(H664="credit","NO install",IF(AND(K664="",AE664="me"),"EACH row",IF(AND(K664="images",AE664="me"),"EACH row",IF(D664="","",IF(H664="credit","",IF(AE664="free","re-planting",IF(AE664="me","   not ELP, by",IF(AND(OR(PlanterYesMe="Yes",PlanterYesMe="Y"),G664&gt;0),(VLOOKUP(A664,'Discount Lookup'!J:K,2)*G664*(1-PlanterDiscount)*(1+PlanterDifficultyPercentage)),IF(AE664="ELP",(VLOOKUP(A664,'Discount Lookup'!J:K,2)*G664*(1-PlanterDiscount)*(1+PlanterDifficultyPercentage)),IF(AE664="free","re-planting",IF(G664=0,"",IF(PlanterYesMe="",IF(AE664="me","   not ELP, by",IF(AE664="",IF(G664&gt;0,(VLOOKUP(A664,'Discount Lookup'!J:K,2)*G664*(1-PlanterDiscount)*(1+PlanterDifficultyPercentage)),""),"")),"   not ELP, by"))))))))))))))</f>
        <v/>
      </c>
      <c r="AD664" s="712"/>
      <c r="AE664" s="513" t="str">
        <f t="shared" si="488"/>
        <v/>
      </c>
      <c r="AF664" s="713" t="str">
        <f t="shared" si="489"/>
        <v/>
      </c>
      <c r="AG664" s="713"/>
      <c r="AH664" s="713"/>
      <c r="AI664" s="112">
        <f>IF(H664="credit",0,IF(AE664="free",0,IF(AE664="me",0,IF(G664&gt;0,(VLOOKUP(A664,'Discount Lookup'!J:K,2)*G664),0))))</f>
        <v>0</v>
      </c>
      <c r="AJ664" s="107" t="str">
        <f t="shared" ca="1" si="490"/>
        <v/>
      </c>
      <c r="AK664" s="714" t="str">
        <f t="shared" si="491"/>
        <v/>
      </c>
      <c r="AL664" s="714"/>
      <c r="AM664" s="114" t="str">
        <f t="shared" si="492"/>
        <v/>
      </c>
      <c r="AN664" s="115"/>
      <c r="AO664" s="116"/>
      <c r="AP664" s="116"/>
      <c r="AQ664" s="116"/>
      <c r="AR664" s="116"/>
      <c r="AS664" s="116"/>
      <c r="AT664" s="116"/>
      <c r="AU664" s="116"/>
      <c r="AV664" s="78"/>
      <c r="AW664" s="102"/>
      <c r="AX664" s="78"/>
      <c r="AY664" s="78"/>
      <c r="AZ664" s="78"/>
      <c r="BA664" s="78"/>
      <c r="BB664" s="78"/>
      <c r="BC664" s="78"/>
      <c r="BD664" s="78"/>
      <c r="BE664" s="465"/>
      <c r="BF664" s="165" t="str">
        <f t="shared" si="493"/>
        <v>https://www.google.com/search?tbm=isch&amp;q=10%20G6</v>
      </c>
      <c r="BG664" s="165" t="str">
        <f t="shared" si="494"/>
        <v>C</v>
      </c>
      <c r="BH664" s="65"/>
      <c r="BI664" s="65"/>
      <c r="BJ664" s="65"/>
      <c r="BK664" s="65"/>
      <c r="BL664" s="99"/>
      <c r="BM664" s="99"/>
      <c r="BN664" s="99"/>
    </row>
    <row r="665" spans="1:66" s="51" customFormat="1" ht="17.25" thickBot="1" x14ac:dyDescent="0.3">
      <c r="A665" s="508" t="s">
        <v>1763</v>
      </c>
      <c r="B665" s="487"/>
      <c r="C665" s="707"/>
      <c r="D665" s="487"/>
      <c r="E665" s="487"/>
      <c r="F665" s="488"/>
      <c r="G665" s="489"/>
      <c r="H665" s="487"/>
      <c r="I665" s="490"/>
      <c r="J665" s="490"/>
      <c r="K665" s="491"/>
      <c r="L665" s="547"/>
      <c r="M665" s="528"/>
      <c r="N665" s="492"/>
      <c r="O665" s="493"/>
      <c r="P665" s="494"/>
      <c r="Q665" s="492"/>
      <c r="R665" s="492"/>
      <c r="S665" s="699" t="s">
        <v>5275</v>
      </c>
      <c r="T665" s="102">
        <f t="shared" si="482"/>
        <v>0</v>
      </c>
      <c r="U665" s="78" t="str">
        <f>IF(NOT(ISNUMBER(G665)), "", VLOOKUP(A665,'Discount Lookup'!D:E,2,FALSE)*G665)</f>
        <v/>
      </c>
      <c r="V665" s="78" t="str">
        <f>IF(NOT(ISNUMBER(G665)), "", VLOOKUP(A665,'Discount Lookup'!G:H,2,FALSE)*G665)</f>
        <v/>
      </c>
      <c r="W665" s="102">
        <f t="shared" si="483"/>
        <v>0</v>
      </c>
      <c r="X665" s="102">
        <f t="shared" si="484"/>
        <v>0</v>
      </c>
      <c r="Y665" s="120" t="b">
        <f t="shared" si="485"/>
        <v>0</v>
      </c>
      <c r="Z665" s="117">
        <f t="shared" si="486"/>
        <v>0</v>
      </c>
      <c r="AA665" s="118"/>
      <c r="AB665" s="118" t="str">
        <f t="shared" si="487"/>
        <v/>
      </c>
      <c r="AC665" s="712" t="str">
        <f>IF(AE665="T2G","no charge",IF(AND(OR(PlanterYesMe="No",PlanterYesMe="N",PlanterYesMe="me"),H665=""),"",IF(H665="credit","NO install",IF(AND(K665="",AE665="me"),"EACH row",IF(AND(K665="images",AE665="me"),"EACH row",IF(D665="","",IF(H665="credit","",IF(AE665="free","re-planting",IF(AE665="me","   not ELP, by",IF(AND(OR(PlanterYesMe="Yes",PlanterYesMe="Y"),G665&gt;0),(VLOOKUP(A665,'Discount Lookup'!J:K,2)*G665*(1-PlanterDiscount)*(1+PlanterDifficultyPercentage)),IF(AE665="ELP",(VLOOKUP(A665,'Discount Lookup'!J:K,2)*G665*(1-PlanterDiscount)*(1+PlanterDifficultyPercentage)),IF(AE665="free","re-planting",IF(G665=0,"",IF(PlanterYesMe="",IF(AE665="me","   not ELP, by",IF(AE665="",IF(G665&gt;0,(VLOOKUP(A665,'Discount Lookup'!J:K,2)*G665*(1-PlanterDiscount)*(1+PlanterDifficultyPercentage)),""),"")),"   not ELP, by"))))))))))))))</f>
        <v/>
      </c>
      <c r="AD665" s="712"/>
      <c r="AE665" s="513" t="str">
        <f t="shared" si="488"/>
        <v/>
      </c>
      <c r="AF665" s="713" t="str">
        <f t="shared" si="489"/>
        <v/>
      </c>
      <c r="AG665" s="713"/>
      <c r="AH665" s="713"/>
      <c r="AI665" s="112">
        <f>IF(H665="credit",0,IF(AE665="free",0,IF(AE665="me",0,IF(G665&gt;0,(VLOOKUP(A665,'Discount Lookup'!J:K,2)*G665),0))))</f>
        <v>0</v>
      </c>
      <c r="AJ665" s="107" t="str">
        <f t="shared" ca="1" si="490"/>
        <v/>
      </c>
      <c r="AK665" s="714" t="str">
        <f t="shared" si="491"/>
        <v/>
      </c>
      <c r="AL665" s="714"/>
      <c r="AM665" s="114" t="str">
        <f t="shared" si="492"/>
        <v/>
      </c>
      <c r="AN665" s="115"/>
      <c r="AO665" s="116"/>
      <c r="AP665" s="116"/>
      <c r="AQ665" s="116"/>
      <c r="AR665" s="116"/>
      <c r="AS665" s="116"/>
      <c r="AT665" s="116"/>
      <c r="AU665" s="116"/>
      <c r="AV665" s="78"/>
      <c r="AW665" s="102"/>
      <c r="AX665" s="78"/>
      <c r="AY665" s="78"/>
      <c r="AZ665" s="78"/>
      <c r="BA665" s="78"/>
      <c r="BB665" s="78"/>
      <c r="BC665" s="78"/>
      <c r="BD665" s="78"/>
      <c r="BE665" s="465"/>
      <c r="BF665" s="165" t="str">
        <f t="shared" si="493"/>
        <v>https://www.google.com/search?tbm=isch&amp;q=April%20Tryst%20is%20one%20of%20the%20most%20cold-hardy%20of%20C.%20japonica%20cultivars%2C%20blooming%20in%20March%E2%80%93May.%20Fragrant%20flowers.%20</v>
      </c>
      <c r="BG665" s="165" t="str">
        <f t="shared" si="494"/>
        <v>A</v>
      </c>
      <c r="BH665" s="65"/>
      <c r="BI665" s="65"/>
      <c r="BJ665" s="65"/>
      <c r="BK665" s="65"/>
      <c r="BL665" s="99"/>
      <c r="BM665" s="99"/>
      <c r="BN665" s="99"/>
    </row>
    <row r="666" spans="1:66" s="51" customFormat="1" ht="18" x14ac:dyDescent="0.25">
      <c r="A666" s="507" t="s">
        <v>1764</v>
      </c>
      <c r="B666" s="470"/>
      <c r="C666" s="706"/>
      <c r="D666" s="471" t="s">
        <v>1765</v>
      </c>
      <c r="E666" s="472"/>
      <c r="F666" s="472"/>
      <c r="G666" s="472"/>
      <c r="H666" s="622" t="s">
        <v>1231</v>
      </c>
      <c r="I666" s="473" t="s">
        <v>1766</v>
      </c>
      <c r="J666" s="472"/>
      <c r="K666" s="472"/>
      <c r="L666" s="561"/>
      <c r="M666" s="703" t="s">
        <v>5274</v>
      </c>
      <c r="N666" s="692" t="str">
        <f>IF(AND(ISTEXT($A666), ISERROR($A666+0)), HYPERLINK($BF666, "Images"), "")</f>
        <v>Images</v>
      </c>
      <c r="O666" s="694" t="s">
        <v>5247</v>
      </c>
      <c r="P666" s="475"/>
      <c r="Q666" s="476"/>
      <c r="R666" s="476"/>
      <c r="S666" s="477"/>
      <c r="T666" s="102">
        <f t="shared" si="482"/>
        <v>0</v>
      </c>
      <c r="U666" s="78" t="str">
        <f>IF(NOT(ISNUMBER(G666)), "", VLOOKUP(A666,'Discount Lookup'!D:E,2,FALSE)*G666)</f>
        <v/>
      </c>
      <c r="V666" s="78" t="str">
        <f>IF(NOT(ISNUMBER(G666)), "", VLOOKUP(A666,'Discount Lookup'!G:H,2,FALSE)*G666)</f>
        <v/>
      </c>
      <c r="W666" s="102">
        <f t="shared" si="483"/>
        <v>0</v>
      </c>
      <c r="X666" s="102" t="str">
        <f t="shared" si="484"/>
        <v>Light Pink bloom</v>
      </c>
      <c r="Y666" s="120" t="b">
        <f t="shared" si="485"/>
        <v>0</v>
      </c>
      <c r="Z666" s="117">
        <f t="shared" si="486"/>
        <v>0</v>
      </c>
      <c r="AA666" s="118"/>
      <c r="AB666" s="118" t="str">
        <f t="shared" si="487"/>
        <v/>
      </c>
      <c r="AC666" s="712" t="str">
        <f>IF(AE666="T2G","no charge",IF(AND(OR(PlanterYesMe="No",PlanterYesMe="N",PlanterYesMe="me"),H666=""),"",IF(H666="credit","NO install",IF(AND(K666="",AE666="me"),"EACH row",IF(AND(K666="images",AE666="me"),"EACH row",IF(D666="","",IF(H666="credit","",IF(AE666="free","re-planting",IF(AE666="me","   not ELP, by",IF(AND(OR(PlanterYesMe="Yes",PlanterYesMe="Y"),G666&gt;0),(VLOOKUP(A666,'Discount Lookup'!J:K,2)*G666*(1-PlanterDiscount)*(1+PlanterDifficultyPercentage)),IF(AE666="ELP",(VLOOKUP(A666,'Discount Lookup'!J:K,2)*G666*(1-PlanterDiscount)*(1+PlanterDifficultyPercentage)),IF(AE666="free","re-planting",IF(G666=0,"",IF(PlanterYesMe="",IF(AE666="me","   not ELP, by",IF(AE666="",IF(G666&gt;0,(VLOOKUP(A666,'Discount Lookup'!J:K,2)*G666*(1-PlanterDiscount)*(1+PlanterDifficultyPercentage)),""),"")),"   not ELP, by"))))))))))))))</f>
        <v/>
      </c>
      <c r="AD666" s="712"/>
      <c r="AE666" s="513" t="str">
        <f t="shared" si="488"/>
        <v/>
      </c>
      <c r="AF666" s="713" t="str">
        <f t="shared" si="489"/>
        <v/>
      </c>
      <c r="AG666" s="713"/>
      <c r="AH666" s="713"/>
      <c r="AI666" s="112">
        <f>IF(H666="credit",0,IF(AE666="free",0,IF(AE666="me",0,IF(G666&gt;0,(VLOOKUP(A666,'Discount Lookup'!J:K,2)*G666),0))))</f>
        <v>0</v>
      </c>
      <c r="AJ666" s="107" t="str">
        <f t="shared" ca="1" si="490"/>
        <v/>
      </c>
      <c r="AK666" s="714" t="str">
        <f t="shared" si="491"/>
        <v/>
      </c>
      <c r="AL666" s="714"/>
      <c r="AM666" s="114" t="str">
        <f t="shared" si="492"/>
        <v/>
      </c>
      <c r="AN666" s="115"/>
      <c r="AO666" s="116"/>
      <c r="AP666" s="116"/>
      <c r="AQ666" s="116"/>
      <c r="AR666" s="116"/>
      <c r="AS666" s="116"/>
      <c r="AT666" s="116"/>
      <c r="AU666" s="116"/>
      <c r="AV666" s="78"/>
      <c r="AW666" s="102"/>
      <c r="AX666" s="78"/>
      <c r="AY666" s="78"/>
      <c r="AZ666" s="78"/>
      <c r="BA666" s="78"/>
      <c r="BB666" s="78"/>
      <c r="BC666" s="78"/>
      <c r="BD666" s="78"/>
      <c r="BE666" s="465"/>
      <c r="BF666" s="165" t="str">
        <f t="shared" si="493"/>
        <v>https://www.google.com/search?tbm=isch&amp;q=Camellia%20japonica%20%27Debutante%27%20Debutante%20Camellia</v>
      </c>
      <c r="BG666" s="165" t="str">
        <f t="shared" si="494"/>
        <v>C</v>
      </c>
      <c r="BH666" s="65"/>
      <c r="BI666" s="65"/>
      <c r="BJ666" s="65"/>
      <c r="BK666" s="65"/>
      <c r="BL666" s="99"/>
      <c r="BM666" s="99"/>
      <c r="BN666" s="99"/>
    </row>
    <row r="667" spans="1:66" s="51" customFormat="1" ht="15.75" x14ac:dyDescent="0.25">
      <c r="A667" s="478">
        <v>3</v>
      </c>
      <c r="B667" s="479" t="s">
        <v>291</v>
      </c>
      <c r="C667" s="480" t="s">
        <v>10</v>
      </c>
      <c r="D667" s="481" t="s">
        <v>329</v>
      </c>
      <c r="E667" s="482">
        <v>39.950000000000003</v>
      </c>
      <c r="F667" s="483" t="s">
        <v>292</v>
      </c>
      <c r="G667" s="484">
        <v>0</v>
      </c>
      <c r="H667" s="688" t="str">
        <f>IF(G667=0,"",IF(F667="Buy",IF(G667=1,"plant","plants"),IF(F667&gt;0.01,"warranty","Error")))</f>
        <v/>
      </c>
      <c r="I667" s="485">
        <f>IF(H667="free",0,IF(H667="credit",((E667*(F667))*G667*-1),IF(F667="Buy",(E667*G667),((E667*(1-F667))*G667))))</f>
        <v>0</v>
      </c>
      <c r="J667" s="485">
        <f>IF(H667="warranty",0,(I667*(_xlfn.SINGLE(SalesTaxPercentage))))</f>
        <v>0</v>
      </c>
      <c r="K667" s="715">
        <f t="shared" ref="K667" si="500">I667+J667</f>
        <v>0</v>
      </c>
      <c r="L667" s="715"/>
      <c r="M667" s="689" t="str">
        <f ca="1">IF(AND(G667&gt;0,E667=0),"WARNING - no PRICE inserted",IF(H667="free","FREE ~ no charge this plant",IF(H667="credit",CONCATENATE("-$",ROUND(K667*(1-_xlfn.SINGLE(T2GDiscount))*-1,2)," CREDIT after discount"),IF(_xlfn.SINGLE(T2GDiscount)=0,"",IF(G667=0,"",IF(F667="Buy",CONCATENATE("$",ROUND(K667*(1-_xlfn.SINGLE(T2GDiscount)),2)," with ",(_xlfn.SINGLE(T2GDiscount)*100),"% discount"),CONCATENATE("$",ROUND(K667*(1-_xlfn.SINGLE(T2GDiscount)),2)," with ",((_xlfn.SINGLE(T2GDiscount)*100+F667*100)-(_xlfn.SINGLE(T2GDiscount)*100*F667)),IF(F667&gt;0,"% discounts",IF(_xlfn.SINGLE(NoWarrantyDiscount)&gt;0,"% discounts","% discount")))))))))</f>
        <v/>
      </c>
      <c r="N667" s="690"/>
      <c r="O667" s="486"/>
      <c r="P667" s="486"/>
      <c r="Q667" s="486"/>
      <c r="R667" s="486"/>
      <c r="S667" s="486"/>
      <c r="T667" s="102">
        <f t="shared" si="482"/>
        <v>0</v>
      </c>
      <c r="U667" s="78">
        <f>IF(NOT(ISNUMBER(G667)), "", VLOOKUP(A667,'Discount Lookup'!D:E,2,FALSE)*G667)</f>
        <v>0</v>
      </c>
      <c r="V667" s="78">
        <f>IF(NOT(ISNUMBER(G667)), "", VLOOKUP(A667,'Discount Lookup'!G:H,2,FALSE)*G667)</f>
        <v>0</v>
      </c>
      <c r="W667" s="102">
        <f t="shared" si="483"/>
        <v>0</v>
      </c>
      <c r="X667" s="102">
        <f t="shared" si="484"/>
        <v>0</v>
      </c>
      <c r="Y667" s="120" t="b">
        <f t="shared" si="485"/>
        <v>0</v>
      </c>
      <c r="Z667" s="117">
        <f t="shared" si="486"/>
        <v>0</v>
      </c>
      <c r="AA667" s="118"/>
      <c r="AB667" s="118" t="str">
        <f t="shared" si="487"/>
        <v/>
      </c>
      <c r="AC667" s="712" t="str">
        <f>IF(AE667="T2G","no charge",IF(AND(OR(PlanterYesMe="No",PlanterYesMe="N",PlanterYesMe="me"),H667=""),"",IF(H667="credit","NO install",IF(AND(K667="",AE667="me"),"EACH row",IF(AND(K667="images",AE667="me"),"EACH row",IF(D667="","",IF(H667="credit","",IF(AE667="free","re-planting",IF(AE667="me","   not ELP, by",IF(AND(OR(PlanterYesMe="Yes",PlanterYesMe="Y"),G667&gt;0),(VLOOKUP(A667,'Discount Lookup'!J:K,2)*G667*(1-PlanterDiscount)*(1+PlanterDifficultyPercentage)),IF(AE667="ELP",(VLOOKUP(A667,'Discount Lookup'!J:K,2)*G667*(1-PlanterDiscount)*(1+PlanterDifficultyPercentage)),IF(AE667="free","re-planting",IF(G667=0,"",IF(PlanterYesMe="",IF(AE667="me","   not ELP, by",IF(AE667="",IF(G667&gt;0,(VLOOKUP(A667,'Discount Lookup'!J:K,2)*G667*(1-PlanterDiscount)*(1+PlanterDifficultyPercentage)),""),"")),"   not ELP, by"))))))))))))))</f>
        <v/>
      </c>
      <c r="AD667" s="712"/>
      <c r="AE667" s="513" t="str">
        <f t="shared" si="488"/>
        <v/>
      </c>
      <c r="AF667" s="713" t="str">
        <f t="shared" si="489"/>
        <v/>
      </c>
      <c r="AG667" s="713"/>
      <c r="AH667" s="713"/>
      <c r="AI667" s="112">
        <f>IF(H667="credit",0,IF(AE667="free",0,IF(AE667="me",0,IF(G667&gt;0,(VLOOKUP(A667,'Discount Lookup'!J:K,2)*G667),0))))</f>
        <v>0</v>
      </c>
      <c r="AJ667" s="107" t="str">
        <f t="shared" ca="1" si="490"/>
        <v/>
      </c>
      <c r="AK667" s="714" t="str">
        <f t="shared" si="491"/>
        <v/>
      </c>
      <c r="AL667" s="714"/>
      <c r="AM667" s="114" t="str">
        <f t="shared" si="492"/>
        <v/>
      </c>
      <c r="AN667" s="115"/>
      <c r="AO667" s="116"/>
      <c r="AP667" s="116"/>
      <c r="AQ667" s="116"/>
      <c r="AR667" s="116"/>
      <c r="AS667" s="116"/>
      <c r="AT667" s="116"/>
      <c r="AU667" s="116"/>
      <c r="AV667" s="78"/>
      <c r="AW667" s="102"/>
      <c r="AX667" s="78"/>
      <c r="AY667" s="78"/>
      <c r="AZ667" s="78"/>
      <c r="BA667" s="78"/>
      <c r="BB667" s="78"/>
      <c r="BC667" s="78"/>
      <c r="BD667" s="78"/>
      <c r="BE667" s="465"/>
      <c r="BF667" s="165" t="str">
        <f t="shared" si="493"/>
        <v>https://www.google.com/search?tbm=isch&amp;q=3%20G2</v>
      </c>
      <c r="BG667" s="165" t="str">
        <f t="shared" si="494"/>
        <v>C</v>
      </c>
      <c r="BH667" s="65"/>
      <c r="BI667" s="65"/>
      <c r="BJ667" s="65"/>
      <c r="BK667" s="65"/>
      <c r="BL667" s="99"/>
      <c r="BM667" s="99"/>
      <c r="BN667" s="99"/>
    </row>
    <row r="668" spans="1:66" s="51" customFormat="1" ht="17.25" thickBot="1" x14ac:dyDescent="0.3">
      <c r="A668" s="705" t="s">
        <v>5349</v>
      </c>
      <c r="B668" s="487"/>
      <c r="C668" s="707"/>
      <c r="D668" s="487"/>
      <c r="E668" s="487"/>
      <c r="F668" s="488"/>
      <c r="G668" s="489"/>
      <c r="H668" s="487"/>
      <c r="I668" s="490"/>
      <c r="J668" s="490"/>
      <c r="K668" s="491"/>
      <c r="L668" s="547"/>
      <c r="M668" s="528"/>
      <c r="N668" s="492"/>
      <c r="O668" s="493"/>
      <c r="P668" s="494"/>
      <c r="Q668" s="492"/>
      <c r="R668" s="492"/>
      <c r="S668" s="699" t="s">
        <v>5275</v>
      </c>
      <c r="T668" s="102">
        <f t="shared" si="482"/>
        <v>0</v>
      </c>
      <c r="U668" s="78" t="str">
        <f>IF(NOT(ISNUMBER(G668)), "", VLOOKUP(A668,'Discount Lookup'!D:E,2,FALSE)*G668)</f>
        <v/>
      </c>
      <c r="V668" s="78" t="str">
        <f>IF(NOT(ISNUMBER(G668)), "", VLOOKUP(A668,'Discount Lookup'!G:H,2,FALSE)*G668)</f>
        <v/>
      </c>
      <c r="W668" s="102">
        <f t="shared" si="483"/>
        <v>0</v>
      </c>
      <c r="X668" s="102">
        <f t="shared" si="484"/>
        <v>0</v>
      </c>
      <c r="Y668" s="120" t="b">
        <f t="shared" si="485"/>
        <v>0</v>
      </c>
      <c r="Z668" s="117">
        <f t="shared" si="486"/>
        <v>0</v>
      </c>
      <c r="AA668" s="118"/>
      <c r="AB668" s="118" t="str">
        <f t="shared" si="487"/>
        <v/>
      </c>
      <c r="AC668" s="712" t="str">
        <f>IF(AE668="T2G","no charge",IF(AND(OR(PlanterYesMe="No",PlanterYesMe="N",PlanterYesMe="me"),H668=""),"",IF(H668="credit","NO install",IF(AND(K668="",AE668="me"),"EACH row",IF(AND(K668="images",AE668="me"),"EACH row",IF(D668="","",IF(H668="credit","",IF(AE668="free","re-planting",IF(AE668="me","   not ELP, by",IF(AND(OR(PlanterYesMe="Yes",PlanterYesMe="Y"),G668&gt;0),(VLOOKUP(A668,'Discount Lookup'!J:K,2)*G668*(1-PlanterDiscount)*(1+PlanterDifficultyPercentage)),IF(AE668="ELP",(VLOOKUP(A668,'Discount Lookup'!J:K,2)*G668*(1-PlanterDiscount)*(1+PlanterDifficultyPercentage)),IF(AE668="free","re-planting",IF(G668=0,"",IF(PlanterYesMe="",IF(AE668="me","   not ELP, by",IF(AE668="",IF(G668&gt;0,(VLOOKUP(A668,'Discount Lookup'!J:K,2)*G668*(1-PlanterDiscount)*(1+PlanterDifficultyPercentage)),""),"")),"   not ELP, by"))))))))))))))</f>
        <v/>
      </c>
      <c r="AD668" s="712"/>
      <c r="AE668" s="513" t="str">
        <f t="shared" si="488"/>
        <v/>
      </c>
      <c r="AF668" s="713" t="str">
        <f t="shared" si="489"/>
        <v/>
      </c>
      <c r="AG668" s="713"/>
      <c r="AH668" s="713"/>
      <c r="AI668" s="112">
        <f>IF(H668="credit",0,IF(AE668="free",0,IF(AE668="me",0,IF(G668&gt;0,(VLOOKUP(A668,'Discount Lookup'!J:K,2)*G668),0))))</f>
        <v>0</v>
      </c>
      <c r="AJ668" s="107" t="str">
        <f t="shared" ca="1" si="490"/>
        <v/>
      </c>
      <c r="AK668" s="714" t="str">
        <f t="shared" si="491"/>
        <v/>
      </c>
      <c r="AL668" s="714"/>
      <c r="AM668" s="114" t="str">
        <f t="shared" si="492"/>
        <v/>
      </c>
      <c r="AN668" s="115"/>
      <c r="AO668" s="116"/>
      <c r="AP668" s="116"/>
      <c r="AQ668" s="116"/>
      <c r="AR668" s="116"/>
      <c r="AS668" s="116"/>
      <c r="AT668" s="116"/>
      <c r="AU668" s="116"/>
      <c r="AV668" s="78"/>
      <c r="AW668" s="102"/>
      <c r="AX668" s="78"/>
      <c r="AY668" s="78"/>
      <c r="AZ668" s="78"/>
      <c r="BA668" s="78"/>
      <c r="BB668" s="78"/>
      <c r="BC668" s="78"/>
      <c r="BD668" s="78"/>
      <c r="BE668" s="465"/>
      <c r="BF668" s="165" t="str">
        <f t="shared" si="493"/>
        <v>https://www.google.com/search?tbm=isch&amp;q=moist%20sites%F0%9F%92%A7OK%2C%20Debutante%20Camellia%20has%20frilly%20peony-style%20blooms%20from%20late%20winter%20to%20early%20spring%2C%20against%20glossy%20evergreen%20foliage%20</v>
      </c>
      <c r="BG668" s="165" t="str">
        <f t="shared" si="494"/>
        <v>m</v>
      </c>
      <c r="BH668" s="65"/>
      <c r="BI668" s="65"/>
      <c r="BJ668" s="65"/>
      <c r="BK668" s="65"/>
      <c r="BL668" s="99"/>
      <c r="BM668" s="99"/>
      <c r="BN668" s="99"/>
    </row>
    <row r="669" spans="1:66" s="51" customFormat="1" ht="18" x14ac:dyDescent="0.25">
      <c r="A669" s="507" t="s">
        <v>1767</v>
      </c>
      <c r="B669" s="470"/>
      <c r="C669" s="706"/>
      <c r="D669" s="471" t="s">
        <v>1768</v>
      </c>
      <c r="E669" s="472"/>
      <c r="F669" s="472"/>
      <c r="G669" s="472"/>
      <c r="H669" s="622" t="s">
        <v>318</v>
      </c>
      <c r="I669" s="473" t="s">
        <v>1769</v>
      </c>
      <c r="J669" s="472"/>
      <c r="K669" s="472"/>
      <c r="L669" s="561"/>
      <c r="M669" s="703" t="s">
        <v>5274</v>
      </c>
      <c r="N669" s="692" t="str">
        <f>IF(AND(ISTEXT($A669), ISERROR($A669+0)), HYPERLINK($BF669, "Images"), "")</f>
        <v>Images</v>
      </c>
      <c r="O669" s="694" t="s">
        <v>5247</v>
      </c>
      <c r="P669" s="475"/>
      <c r="Q669" s="476"/>
      <c r="R669" s="476"/>
      <c r="S669" s="477"/>
      <c r="T669" s="102">
        <f t="shared" si="482"/>
        <v>0</v>
      </c>
      <c r="U669" s="78" t="str">
        <f>IF(NOT(ISNUMBER(G669)), "", VLOOKUP(A669,'Discount Lookup'!D:E,2,FALSE)*G669)</f>
        <v/>
      </c>
      <c r="V669" s="78" t="str">
        <f>IF(NOT(ISNUMBER(G669)), "", VLOOKUP(A669,'Discount Lookup'!G:H,2,FALSE)*G669)</f>
        <v/>
      </c>
      <c r="W669" s="102">
        <f t="shared" si="483"/>
        <v>0</v>
      </c>
      <c r="X669" s="102" t="str">
        <f t="shared" si="484"/>
        <v>Deep Red Doublr bloom</v>
      </c>
      <c r="Y669" s="120" t="b">
        <f t="shared" si="485"/>
        <v>0</v>
      </c>
      <c r="Z669" s="117">
        <f t="shared" si="486"/>
        <v>0</v>
      </c>
      <c r="AA669" s="118"/>
      <c r="AB669" s="118" t="str">
        <f t="shared" si="487"/>
        <v/>
      </c>
      <c r="AC669" s="712" t="str">
        <f>IF(AE669="T2G","no charge",IF(AND(OR(PlanterYesMe="No",PlanterYesMe="N",PlanterYesMe="me"),H669=""),"",IF(H669="credit","NO install",IF(AND(K669="",AE669="me"),"EACH row",IF(AND(K669="images",AE669="me"),"EACH row",IF(D669="","",IF(H669="credit","",IF(AE669="free","re-planting",IF(AE669="me","   not ELP, by",IF(AND(OR(PlanterYesMe="Yes",PlanterYesMe="Y"),G669&gt;0),(VLOOKUP(A669,'Discount Lookup'!J:K,2)*G669*(1-PlanterDiscount)*(1+PlanterDifficultyPercentage)),IF(AE669="ELP",(VLOOKUP(A669,'Discount Lookup'!J:K,2)*G669*(1-PlanterDiscount)*(1+PlanterDifficultyPercentage)),IF(AE669="free","re-planting",IF(G669=0,"",IF(PlanterYesMe="",IF(AE669="me","   not ELP, by",IF(AE669="",IF(G669&gt;0,(VLOOKUP(A669,'Discount Lookup'!J:K,2)*G669*(1-PlanterDiscount)*(1+PlanterDifficultyPercentage)),""),"")),"   not ELP, by"))))))))))))))</f>
        <v/>
      </c>
      <c r="AD669" s="712"/>
      <c r="AE669" s="513" t="str">
        <f t="shared" si="488"/>
        <v/>
      </c>
      <c r="AF669" s="713" t="str">
        <f t="shared" si="489"/>
        <v/>
      </c>
      <c r="AG669" s="713"/>
      <c r="AH669" s="713"/>
      <c r="AI669" s="112">
        <f>IF(H669="credit",0,IF(AE669="free",0,IF(AE669="me",0,IF(G669&gt;0,(VLOOKUP(A669,'Discount Lookup'!J:K,2)*G669),0))))</f>
        <v>0</v>
      </c>
      <c r="AJ669" s="107" t="str">
        <f t="shared" ca="1" si="490"/>
        <v/>
      </c>
      <c r="AK669" s="714" t="str">
        <f t="shared" si="491"/>
        <v/>
      </c>
      <c r="AL669" s="714"/>
      <c r="AM669" s="114" t="str">
        <f t="shared" si="492"/>
        <v/>
      </c>
      <c r="AN669" s="115"/>
      <c r="AO669" s="116"/>
      <c r="AP669" s="116"/>
      <c r="AQ669" s="116"/>
      <c r="AR669" s="116"/>
      <c r="AS669" s="116"/>
      <c r="AT669" s="116"/>
      <c r="AU669" s="116"/>
      <c r="AV669" s="78"/>
      <c r="AW669" s="102"/>
      <c r="AX669" s="78"/>
      <c r="AY669" s="78"/>
      <c r="AZ669" s="78"/>
      <c r="BA669" s="78"/>
      <c r="BB669" s="78"/>
      <c r="BC669" s="78"/>
      <c r="BD669" s="78"/>
      <c r="BE669" s="465"/>
      <c r="BF669" s="165" t="str">
        <f t="shared" si="493"/>
        <v>https://www.google.com/search?tbm=isch&amp;q=Camellia%20japonica%20%27Glen%2040%27%20Glen%2040%20Camellia</v>
      </c>
      <c r="BG669" s="165" t="str">
        <f t="shared" si="494"/>
        <v>C</v>
      </c>
      <c r="BH669" s="65"/>
      <c r="BI669" s="65"/>
      <c r="BJ669" s="65"/>
      <c r="BK669" s="65"/>
      <c r="BL669" s="99"/>
      <c r="BM669" s="99"/>
      <c r="BN669" s="99"/>
    </row>
    <row r="670" spans="1:66" s="51" customFormat="1" ht="15.75" x14ac:dyDescent="0.25">
      <c r="A670" s="478">
        <v>3</v>
      </c>
      <c r="B670" s="479" t="s">
        <v>291</v>
      </c>
      <c r="C670" s="480" t="s">
        <v>1770</v>
      </c>
      <c r="D670" s="481" t="s">
        <v>329</v>
      </c>
      <c r="E670" s="482">
        <v>39.950000000000003</v>
      </c>
      <c r="F670" s="483" t="s">
        <v>292</v>
      </c>
      <c r="G670" s="484">
        <v>0</v>
      </c>
      <c r="H670" s="688" t="str">
        <f>IF(G670=0,"",IF(F670="Buy",IF(G670=1,"plant","plants"),IF(F670&gt;0.01,"warranty","Error")))</f>
        <v/>
      </c>
      <c r="I670" s="485">
        <f>IF(H670="free",0,IF(H670="credit",((E670*(F670))*G670*-1),IF(F670="Buy",(E670*G670),((E670*(1-F670))*G670))))</f>
        <v>0</v>
      </c>
      <c r="J670" s="485">
        <f>IF(H670="warranty",0,(I670*(_xlfn.SINGLE(SalesTaxPercentage))))</f>
        <v>0</v>
      </c>
      <c r="K670" s="715">
        <f t="shared" ref="K670" si="501">I670+J670</f>
        <v>0</v>
      </c>
      <c r="L670" s="715"/>
      <c r="M670" s="689" t="str">
        <f ca="1">IF(AND(G670&gt;0,E670=0),"WARNING - no PRICE inserted",IF(H670="free","FREE ~ no charge this plant",IF(H670="credit",CONCATENATE("-$",ROUND(K670*(1-_xlfn.SINGLE(T2GDiscount))*-1,2)," CREDIT after discount"),IF(_xlfn.SINGLE(T2GDiscount)=0,"",IF(G670=0,"",IF(F670="Buy",CONCATENATE("$",ROUND(K670*(1-_xlfn.SINGLE(T2GDiscount)),2)," with ",(_xlfn.SINGLE(T2GDiscount)*100),"% discount"),CONCATENATE("$",ROUND(K670*(1-_xlfn.SINGLE(T2GDiscount)),2)," with ",((_xlfn.SINGLE(T2GDiscount)*100+F670*100)-(_xlfn.SINGLE(T2GDiscount)*100*F670)),IF(F670&gt;0,"% discounts",IF(_xlfn.SINGLE(NoWarrantyDiscount)&gt;0,"% discounts","% discount")))))))))</f>
        <v/>
      </c>
      <c r="N670" s="690"/>
      <c r="O670" s="486"/>
      <c r="P670" s="486"/>
      <c r="Q670" s="486"/>
      <c r="R670" s="486"/>
      <c r="S670" s="486"/>
      <c r="T670" s="102">
        <f t="shared" si="482"/>
        <v>0</v>
      </c>
      <c r="U670" s="78">
        <f>IF(NOT(ISNUMBER(G670)), "", VLOOKUP(A670,'Discount Lookup'!D:E,2,FALSE)*G670)</f>
        <v>0</v>
      </c>
      <c r="V670" s="78">
        <f>IF(NOT(ISNUMBER(G670)), "", VLOOKUP(A670,'Discount Lookup'!G:H,2,FALSE)*G670)</f>
        <v>0</v>
      </c>
      <c r="W670" s="102">
        <f t="shared" si="483"/>
        <v>0</v>
      </c>
      <c r="X670" s="102">
        <f t="shared" si="484"/>
        <v>0</v>
      </c>
      <c r="Y670" s="120" t="b">
        <f t="shared" si="485"/>
        <v>0</v>
      </c>
      <c r="Z670" s="117">
        <f t="shared" si="486"/>
        <v>0</v>
      </c>
      <c r="AA670" s="118"/>
      <c r="AB670" s="118" t="str">
        <f t="shared" si="487"/>
        <v/>
      </c>
      <c r="AC670" s="712" t="str">
        <f>IF(AE670="T2G","no charge",IF(AND(OR(PlanterYesMe="No",PlanterYesMe="N",PlanterYesMe="me"),H670=""),"",IF(H670="credit","NO install",IF(AND(K670="",AE670="me"),"EACH row",IF(AND(K670="images",AE670="me"),"EACH row",IF(D670="","",IF(H670="credit","",IF(AE670="free","re-planting",IF(AE670="me","   not ELP, by",IF(AND(OR(PlanterYesMe="Yes",PlanterYesMe="Y"),G670&gt;0),(VLOOKUP(A670,'Discount Lookup'!J:K,2)*G670*(1-PlanterDiscount)*(1+PlanterDifficultyPercentage)),IF(AE670="ELP",(VLOOKUP(A670,'Discount Lookup'!J:K,2)*G670*(1-PlanterDiscount)*(1+PlanterDifficultyPercentage)),IF(AE670="free","re-planting",IF(G670=0,"",IF(PlanterYesMe="",IF(AE670="me","   not ELP, by",IF(AE670="",IF(G670&gt;0,(VLOOKUP(A670,'Discount Lookup'!J:K,2)*G670*(1-PlanterDiscount)*(1+PlanterDifficultyPercentage)),""),"")),"   not ELP, by"))))))))))))))</f>
        <v/>
      </c>
      <c r="AD670" s="712"/>
      <c r="AE670" s="513" t="str">
        <f t="shared" si="488"/>
        <v/>
      </c>
      <c r="AF670" s="713" t="str">
        <f t="shared" si="489"/>
        <v/>
      </c>
      <c r="AG670" s="713"/>
      <c r="AH670" s="713"/>
      <c r="AI670" s="112">
        <f>IF(H670="credit",0,IF(AE670="free",0,IF(AE670="me",0,IF(G670&gt;0,(VLOOKUP(A670,'Discount Lookup'!J:K,2)*G670),0))))</f>
        <v>0</v>
      </c>
      <c r="AJ670" s="107" t="str">
        <f t="shared" ca="1" si="490"/>
        <v/>
      </c>
      <c r="AK670" s="714" t="str">
        <f t="shared" si="491"/>
        <v/>
      </c>
      <c r="AL670" s="714"/>
      <c r="AM670" s="114" t="str">
        <f t="shared" si="492"/>
        <v/>
      </c>
      <c r="AN670" s="115"/>
      <c r="AO670" s="116"/>
      <c r="AP670" s="116"/>
      <c r="AQ670" s="116"/>
      <c r="AR670" s="116"/>
      <c r="AS670" s="116"/>
      <c r="AT670" s="116"/>
      <c r="AU670" s="116"/>
      <c r="AV670" s="78"/>
      <c r="AW670" s="102"/>
      <c r="AX670" s="78"/>
      <c r="AY670" s="78"/>
      <c r="AZ670" s="78"/>
      <c r="BA670" s="78"/>
      <c r="BB670" s="78"/>
      <c r="BC670" s="78"/>
      <c r="BD670" s="78"/>
      <c r="BE670" s="465"/>
      <c r="BF670" s="165" t="str">
        <f t="shared" si="493"/>
        <v>https://www.google.com/search?tbm=isch&amp;q=3%20G2</v>
      </c>
      <c r="BG670" s="165" t="str">
        <f t="shared" si="494"/>
        <v>C</v>
      </c>
      <c r="BH670" s="65"/>
      <c r="BI670" s="65"/>
      <c r="BJ670" s="65"/>
      <c r="BK670" s="65"/>
      <c r="BL670" s="99"/>
      <c r="BM670" s="99"/>
      <c r="BN670" s="99"/>
    </row>
    <row r="671" spans="1:66" s="51" customFormat="1" ht="17.25" thickBot="1" x14ac:dyDescent="0.3">
      <c r="A671" s="508" t="s">
        <v>1771</v>
      </c>
      <c r="B671" s="487"/>
      <c r="C671" s="707"/>
      <c r="D671" s="487"/>
      <c r="E671" s="487"/>
      <c r="F671" s="488"/>
      <c r="G671" s="489"/>
      <c r="H671" s="487"/>
      <c r="I671" s="490"/>
      <c r="J671" s="490"/>
      <c r="K671" s="491"/>
      <c r="L671" s="547"/>
      <c r="M671" s="528"/>
      <c r="N671" s="492"/>
      <c r="O671" s="493"/>
      <c r="P671" s="494"/>
      <c r="Q671" s="492"/>
      <c r="R671" s="492"/>
      <c r="S671" s="699" t="s">
        <v>5275</v>
      </c>
      <c r="T671" s="102">
        <f t="shared" si="482"/>
        <v>0</v>
      </c>
      <c r="U671" s="78" t="str">
        <f>IF(NOT(ISNUMBER(G671)), "", VLOOKUP(A671,'Discount Lookup'!D:E,2,FALSE)*G671)</f>
        <v/>
      </c>
      <c r="V671" s="78" t="str">
        <f>IF(NOT(ISNUMBER(G671)), "", VLOOKUP(A671,'Discount Lookup'!G:H,2,FALSE)*G671)</f>
        <v/>
      </c>
      <c r="W671" s="102">
        <f t="shared" si="483"/>
        <v>0</v>
      </c>
      <c r="X671" s="102">
        <f t="shared" si="484"/>
        <v>0</v>
      </c>
      <c r="Y671" s="120" t="b">
        <f t="shared" si="485"/>
        <v>0</v>
      </c>
      <c r="Z671" s="117">
        <f t="shared" si="486"/>
        <v>0</v>
      </c>
      <c r="AA671" s="118"/>
      <c r="AB671" s="118" t="str">
        <f t="shared" si="487"/>
        <v/>
      </c>
      <c r="AC671" s="712" t="str">
        <f>IF(AE671="T2G","no charge",IF(AND(OR(PlanterYesMe="No",PlanterYesMe="N",PlanterYesMe="me"),H671=""),"",IF(H671="credit","NO install",IF(AND(K671="",AE671="me"),"EACH row",IF(AND(K671="images",AE671="me"),"EACH row",IF(D671="","",IF(H671="credit","",IF(AE671="free","re-planting",IF(AE671="me","   not ELP, by",IF(AND(OR(PlanterYesMe="Yes",PlanterYesMe="Y"),G671&gt;0),(VLOOKUP(A671,'Discount Lookup'!J:K,2)*G671*(1-PlanterDiscount)*(1+PlanterDifficultyPercentage)),IF(AE671="ELP",(VLOOKUP(A671,'Discount Lookup'!J:K,2)*G671*(1-PlanterDiscount)*(1+PlanterDifficultyPercentage)),IF(AE671="free","re-planting",IF(G671=0,"",IF(PlanterYesMe="",IF(AE671="me","   not ELP, by",IF(AE671="",IF(G671&gt;0,(VLOOKUP(A671,'Discount Lookup'!J:K,2)*G671*(1-PlanterDiscount)*(1+PlanterDifficultyPercentage)),""),"")),"   not ELP, by"))))))))))))))</f>
        <v/>
      </c>
      <c r="AD671" s="712"/>
      <c r="AE671" s="513" t="str">
        <f t="shared" si="488"/>
        <v/>
      </c>
      <c r="AF671" s="713" t="str">
        <f t="shared" si="489"/>
        <v/>
      </c>
      <c r="AG671" s="713"/>
      <c r="AH671" s="713"/>
      <c r="AI671" s="112">
        <f>IF(H671="credit",0,IF(AE671="free",0,IF(AE671="me",0,IF(G671&gt;0,(VLOOKUP(A671,'Discount Lookup'!J:K,2)*G671),0))))</f>
        <v>0</v>
      </c>
      <c r="AJ671" s="107" t="str">
        <f t="shared" ca="1" si="490"/>
        <v/>
      </c>
      <c r="AK671" s="714" t="str">
        <f t="shared" si="491"/>
        <v/>
      </c>
      <c r="AL671" s="714"/>
      <c r="AM671" s="114" t="str">
        <f t="shared" si="492"/>
        <v/>
      </c>
      <c r="AN671" s="115"/>
      <c r="AO671" s="116"/>
      <c r="AP671" s="116"/>
      <c r="AQ671" s="116"/>
      <c r="AR671" s="116"/>
      <c r="AS671" s="116"/>
      <c r="AT671" s="116"/>
      <c r="AU671" s="116"/>
      <c r="AV671" s="78"/>
      <c r="AW671" s="102"/>
      <c r="AX671" s="78"/>
      <c r="AY671" s="78"/>
      <c r="AZ671" s="78"/>
      <c r="BA671" s="78"/>
      <c r="BB671" s="78"/>
      <c r="BC671" s="78"/>
      <c r="BD671" s="78"/>
      <c r="BE671" s="465"/>
      <c r="BF671" s="165" t="str">
        <f t="shared" si="493"/>
        <v>https://www.google.com/search?tbm=isch&amp;q=Glen%2040%20offers%20velvety%20red%20blooms%20from%20winter%20through%20mid-spring%2C%20with%20a%20dense%20habit%20and%20elegant%20foliage%20</v>
      </c>
      <c r="BG671" s="165" t="str">
        <f t="shared" si="494"/>
        <v>G</v>
      </c>
      <c r="BH671" s="65"/>
      <c r="BI671" s="65"/>
      <c r="BJ671" s="65"/>
      <c r="BK671" s="65"/>
      <c r="BL671" s="99"/>
      <c r="BM671" s="99"/>
      <c r="BN671" s="99"/>
    </row>
    <row r="672" spans="1:66" s="51" customFormat="1" ht="18" x14ac:dyDescent="0.25">
      <c r="A672" s="507" t="s">
        <v>1772</v>
      </c>
      <c r="B672" s="470"/>
      <c r="C672" s="706"/>
      <c r="D672" s="471" t="s">
        <v>1773</v>
      </c>
      <c r="E672" s="472"/>
      <c r="F672" s="472"/>
      <c r="G672" s="472"/>
      <c r="H672" s="622" t="s">
        <v>1231</v>
      </c>
      <c r="I672" s="473" t="s">
        <v>5119</v>
      </c>
      <c r="J672" s="472"/>
      <c r="K672" s="472"/>
      <c r="L672" s="561"/>
      <c r="M672" s="703" t="s">
        <v>5260</v>
      </c>
      <c r="N672" s="692" t="str">
        <f>IF(AND(ISTEXT($A672), ISERROR($A672+0)), HYPERLINK($BF672, "Images"), "")</f>
        <v>Images</v>
      </c>
      <c r="O672" s="694" t="s">
        <v>5247</v>
      </c>
      <c r="P672" s="475"/>
      <c r="Q672" s="476"/>
      <c r="R672" s="476"/>
      <c r="S672" s="477"/>
      <c r="T672" s="102">
        <f t="shared" si="482"/>
        <v>0</v>
      </c>
      <c r="U672" s="78" t="str">
        <f>IF(NOT(ISNUMBER(G672)), "", VLOOKUP(A672,'Discount Lookup'!D:E,2,FALSE)*G672)</f>
        <v/>
      </c>
      <c r="V672" s="78" t="str">
        <f>IF(NOT(ISNUMBER(G672)), "", VLOOKUP(A672,'Discount Lookup'!G:H,2,FALSE)*G672)</f>
        <v/>
      </c>
      <c r="W672" s="102">
        <f t="shared" si="483"/>
        <v>0</v>
      </c>
      <c r="X672" s="102" t="str">
        <f t="shared" si="484"/>
        <v>Bright Red bloom</v>
      </c>
      <c r="Y672" s="120" t="b">
        <f t="shared" si="485"/>
        <v>0</v>
      </c>
      <c r="Z672" s="117">
        <f t="shared" si="486"/>
        <v>0</v>
      </c>
      <c r="AA672" s="118"/>
      <c r="AB672" s="118" t="str">
        <f t="shared" si="487"/>
        <v/>
      </c>
      <c r="AC672" s="712" t="str">
        <f>IF(AE672="T2G","no charge",IF(AND(OR(PlanterYesMe="No",PlanterYesMe="N",PlanterYesMe="me"),H672=""),"",IF(H672="credit","NO install",IF(AND(K672="",AE672="me"),"EACH row",IF(AND(K672="images",AE672="me"),"EACH row",IF(D672="","",IF(H672="credit","",IF(AE672="free","re-planting",IF(AE672="me","   not ELP, by",IF(AND(OR(PlanterYesMe="Yes",PlanterYesMe="Y"),G672&gt;0),(VLOOKUP(A672,'Discount Lookup'!J:K,2)*G672*(1-PlanterDiscount)*(1+PlanterDifficultyPercentage)),IF(AE672="ELP",(VLOOKUP(A672,'Discount Lookup'!J:K,2)*G672*(1-PlanterDiscount)*(1+PlanterDifficultyPercentage)),IF(AE672="free","re-planting",IF(G672=0,"",IF(PlanterYesMe="",IF(AE672="me","   not ELP, by",IF(AE672="",IF(G672&gt;0,(VLOOKUP(A672,'Discount Lookup'!J:K,2)*G672*(1-PlanterDiscount)*(1+PlanterDifficultyPercentage)),""),"")),"   not ELP, by"))))))))))))))</f>
        <v/>
      </c>
      <c r="AD672" s="712"/>
      <c r="AE672" s="513" t="str">
        <f t="shared" si="488"/>
        <v/>
      </c>
      <c r="AF672" s="713" t="str">
        <f t="shared" si="489"/>
        <v/>
      </c>
      <c r="AG672" s="713"/>
      <c r="AH672" s="713"/>
      <c r="AI672" s="112">
        <f>IF(H672="credit",0,IF(AE672="free",0,IF(AE672="me",0,IF(G672&gt;0,(VLOOKUP(A672,'Discount Lookup'!J:K,2)*G672),0))))</f>
        <v>0</v>
      </c>
      <c r="AJ672" s="107" t="str">
        <f t="shared" ca="1" si="490"/>
        <v/>
      </c>
      <c r="AK672" s="714" t="str">
        <f t="shared" si="491"/>
        <v/>
      </c>
      <c r="AL672" s="714"/>
      <c r="AM672" s="114" t="str">
        <f t="shared" si="492"/>
        <v/>
      </c>
      <c r="AN672" s="115"/>
      <c r="AO672" s="116"/>
      <c r="AP672" s="116"/>
      <c r="AQ672" s="116"/>
      <c r="AR672" s="116"/>
      <c r="AS672" s="116"/>
      <c r="AT672" s="116"/>
      <c r="AU672" s="116"/>
      <c r="AV672" s="78"/>
      <c r="AW672" s="102"/>
      <c r="AX672" s="78"/>
      <c r="AY672" s="78"/>
      <c r="AZ672" s="78"/>
      <c r="BA672" s="78"/>
      <c r="BB672" s="78"/>
      <c r="BC672" s="78"/>
      <c r="BD672" s="78"/>
      <c r="BE672" s="465"/>
      <c r="BF672" s="165" t="str">
        <f t="shared" si="493"/>
        <v>https://www.google.com/search?tbm=isch&amp;q=Camellia%20japonica%20%27Greensboro%20Red%27%20Greensboro%20Red%20Camellia</v>
      </c>
      <c r="BG672" s="165" t="str">
        <f t="shared" si="494"/>
        <v>C</v>
      </c>
      <c r="BH672" s="65"/>
      <c r="BI672" s="65"/>
      <c r="BJ672" s="65"/>
      <c r="BK672" s="65"/>
      <c r="BL672" s="99"/>
      <c r="BM672" s="99"/>
      <c r="BN672" s="99"/>
    </row>
    <row r="673" spans="1:66" s="51" customFormat="1" ht="15.75" x14ac:dyDescent="0.25">
      <c r="A673" s="478">
        <v>3</v>
      </c>
      <c r="B673" s="479" t="s">
        <v>291</v>
      </c>
      <c r="C673" s="480" t="s">
        <v>1774</v>
      </c>
      <c r="D673" s="481" t="s">
        <v>309</v>
      </c>
      <c r="E673" s="482">
        <v>33.950000000000003</v>
      </c>
      <c r="F673" s="483" t="s">
        <v>292</v>
      </c>
      <c r="G673" s="484">
        <v>0</v>
      </c>
      <c r="H673" s="688" t="str">
        <f>IF(G673=0,"",IF(F673="Buy",IF(G673=1,"plant","plants"),IF(F673&gt;0.01,"warranty","Error")))</f>
        <v/>
      </c>
      <c r="I673" s="485">
        <f>IF(H673="free",0,IF(H673="credit",((E673*(F673))*G673*-1),IF(F673="Buy",(E673*G673),((E673*(1-F673))*G673))))</f>
        <v>0</v>
      </c>
      <c r="J673" s="485">
        <f>IF(H673="warranty",0,(I673*(_xlfn.SINGLE(SalesTaxPercentage))))</f>
        <v>0</v>
      </c>
      <c r="K673" s="715">
        <f t="shared" ref="K673" si="502">I673+J673</f>
        <v>0</v>
      </c>
      <c r="L673" s="715"/>
      <c r="M673" s="689" t="str">
        <f ca="1">IF(AND(G673&gt;0,E673=0),"WARNING - no PRICE inserted",IF(H673="free","FREE ~ no charge this plant",IF(H673="credit",CONCATENATE("-$",ROUND(K673*(1-_xlfn.SINGLE(T2GDiscount))*-1,2)," CREDIT after discount"),IF(_xlfn.SINGLE(T2GDiscount)=0,"",IF(G673=0,"",IF(F673="Buy",CONCATENATE("$",ROUND(K673*(1-_xlfn.SINGLE(T2GDiscount)),2)," with ",(_xlfn.SINGLE(T2GDiscount)*100),"% discount"),CONCATENATE("$",ROUND(K673*(1-_xlfn.SINGLE(T2GDiscount)),2)," with ",((_xlfn.SINGLE(T2GDiscount)*100+F673*100)-(_xlfn.SINGLE(T2GDiscount)*100*F673)),IF(F673&gt;0,"% discounts",IF(_xlfn.SINGLE(NoWarrantyDiscount)&gt;0,"% discounts","% discount")))))))))</f>
        <v/>
      </c>
      <c r="N673" s="690"/>
      <c r="O673" s="486"/>
      <c r="P673" s="486"/>
      <c r="Q673" s="486"/>
      <c r="R673" s="486"/>
      <c r="S673" s="486"/>
      <c r="T673" s="102">
        <f t="shared" si="482"/>
        <v>0</v>
      </c>
      <c r="U673" s="78">
        <f>IF(NOT(ISNUMBER(G673)), "", VLOOKUP(A673,'Discount Lookup'!D:E,2,FALSE)*G673)</f>
        <v>0</v>
      </c>
      <c r="V673" s="78">
        <f>IF(NOT(ISNUMBER(G673)), "", VLOOKUP(A673,'Discount Lookup'!G:H,2,FALSE)*G673)</f>
        <v>0</v>
      </c>
      <c r="W673" s="102">
        <f t="shared" si="483"/>
        <v>0</v>
      </c>
      <c r="X673" s="102">
        <f t="shared" si="484"/>
        <v>0</v>
      </c>
      <c r="Y673" s="120" t="b">
        <f t="shared" si="485"/>
        <v>0</v>
      </c>
      <c r="Z673" s="117">
        <f t="shared" si="486"/>
        <v>0</v>
      </c>
      <c r="AA673" s="118"/>
      <c r="AB673" s="118" t="str">
        <f t="shared" si="487"/>
        <v/>
      </c>
      <c r="AC673" s="712" t="str">
        <f>IF(AE673="T2G","no charge",IF(AND(OR(PlanterYesMe="No",PlanterYesMe="N",PlanterYesMe="me"),H673=""),"",IF(H673="credit","NO install",IF(AND(K673="",AE673="me"),"EACH row",IF(AND(K673="images",AE673="me"),"EACH row",IF(D673="","",IF(H673="credit","",IF(AE673="free","re-planting",IF(AE673="me","   not ELP, by",IF(AND(OR(PlanterYesMe="Yes",PlanterYesMe="Y"),G673&gt;0),(VLOOKUP(A673,'Discount Lookup'!J:K,2)*G673*(1-PlanterDiscount)*(1+PlanterDifficultyPercentage)),IF(AE673="ELP",(VLOOKUP(A673,'Discount Lookup'!J:K,2)*G673*(1-PlanterDiscount)*(1+PlanterDifficultyPercentage)),IF(AE673="free","re-planting",IF(G673=0,"",IF(PlanterYesMe="",IF(AE673="me","   not ELP, by",IF(AE673="",IF(G673&gt;0,(VLOOKUP(A673,'Discount Lookup'!J:K,2)*G673*(1-PlanterDiscount)*(1+PlanterDifficultyPercentage)),""),"")),"   not ELP, by"))))))))))))))</f>
        <v/>
      </c>
      <c r="AD673" s="712"/>
      <c r="AE673" s="513" t="str">
        <f t="shared" si="488"/>
        <v/>
      </c>
      <c r="AF673" s="713" t="str">
        <f t="shared" si="489"/>
        <v/>
      </c>
      <c r="AG673" s="713"/>
      <c r="AH673" s="713"/>
      <c r="AI673" s="112">
        <f>IF(H673="credit",0,IF(AE673="free",0,IF(AE673="me",0,IF(G673&gt;0,(VLOOKUP(A673,'Discount Lookup'!J:K,2)*G673),0))))</f>
        <v>0</v>
      </c>
      <c r="AJ673" s="107" t="str">
        <f t="shared" ca="1" si="490"/>
        <v/>
      </c>
      <c r="AK673" s="714" t="str">
        <f t="shared" si="491"/>
        <v/>
      </c>
      <c r="AL673" s="714"/>
      <c r="AM673" s="114" t="str">
        <f t="shared" si="492"/>
        <v/>
      </c>
      <c r="AN673" s="115"/>
      <c r="AO673" s="116"/>
      <c r="AP673" s="116"/>
      <c r="AQ673" s="116"/>
      <c r="AR673" s="116"/>
      <c r="AS673" s="116"/>
      <c r="AT673" s="116"/>
      <c r="AU673" s="116"/>
      <c r="AV673" s="78"/>
      <c r="AW673" s="102"/>
      <c r="AX673" s="78"/>
      <c r="AY673" s="78"/>
      <c r="AZ673" s="78"/>
      <c r="BA673" s="78"/>
      <c r="BB673" s="78"/>
      <c r="BC673" s="78"/>
      <c r="BD673" s="78"/>
      <c r="BE673" s="465"/>
      <c r="BF673" s="165" t="str">
        <f t="shared" si="493"/>
        <v>https://www.google.com/search?tbm=isch&amp;q=3%20G3</v>
      </c>
      <c r="BG673" s="165" t="str">
        <f t="shared" si="494"/>
        <v>C</v>
      </c>
      <c r="BH673" s="65"/>
      <c r="BI673" s="65"/>
      <c r="BJ673" s="65"/>
      <c r="BK673" s="65"/>
      <c r="BL673" s="99"/>
      <c r="BM673" s="99"/>
      <c r="BN673" s="99"/>
    </row>
    <row r="674" spans="1:66" s="51" customFormat="1" ht="15.75" x14ac:dyDescent="0.25">
      <c r="A674" s="478">
        <v>7</v>
      </c>
      <c r="B674" s="479" t="s">
        <v>291</v>
      </c>
      <c r="C674" s="480" t="s">
        <v>1775</v>
      </c>
      <c r="D674" s="481" t="s">
        <v>309</v>
      </c>
      <c r="E674" s="482">
        <v>83.95</v>
      </c>
      <c r="F674" s="483" t="s">
        <v>292</v>
      </c>
      <c r="G674" s="484">
        <v>0</v>
      </c>
      <c r="H674" s="688" t="str">
        <f>IF(G674=0,"",IF(F674="Buy",IF(G674=1,"plant","plants"),IF(F674&gt;0.01,"warranty","Error")))</f>
        <v/>
      </c>
      <c r="I674" s="485">
        <f>IF(H674="free",0,IF(H674="credit",((E674*(F674))*G674*-1),IF(F674="Buy",(E674*G674),((E674*(1-F674))*G674))))</f>
        <v>0</v>
      </c>
      <c r="J674" s="485">
        <f>IF(H674="warranty",0,(I674*(_xlfn.SINGLE(SalesTaxPercentage))))</f>
        <v>0</v>
      </c>
      <c r="K674" s="715">
        <f t="shared" ref="K674" si="503">I674+J674</f>
        <v>0</v>
      </c>
      <c r="L674" s="715"/>
      <c r="M674" s="689" t="str">
        <f ca="1">IF(AND(G674&gt;0,E674=0),"WARNING - no PRICE inserted",IF(H674="free","FREE ~ no charge this plant",IF(H674="credit",CONCATENATE("-$",ROUND(K674*(1-_xlfn.SINGLE(T2GDiscount))*-1,2)," CREDIT after discount"),IF(_xlfn.SINGLE(T2GDiscount)=0,"",IF(G674=0,"",IF(F674="Buy",CONCATENATE("$",ROUND(K674*(1-_xlfn.SINGLE(T2GDiscount)),2)," with ",(_xlfn.SINGLE(T2GDiscount)*100),"% discount"),CONCATENATE("$",ROUND(K674*(1-_xlfn.SINGLE(T2GDiscount)),2)," with ",((_xlfn.SINGLE(T2GDiscount)*100+F674*100)-(_xlfn.SINGLE(T2GDiscount)*100*F674)),IF(F674&gt;0,"% discounts",IF(_xlfn.SINGLE(NoWarrantyDiscount)&gt;0,"% discounts","% discount")))))))))</f>
        <v/>
      </c>
      <c r="N674" s="690"/>
      <c r="O674" s="486"/>
      <c r="P674" s="486"/>
      <c r="Q674" s="486"/>
      <c r="R674" s="486"/>
      <c r="S674" s="486"/>
      <c r="T674" s="102">
        <f t="shared" si="482"/>
        <v>0</v>
      </c>
      <c r="U674" s="78">
        <f>IF(NOT(ISNUMBER(G674)), "", VLOOKUP(A674,'Discount Lookup'!D:E,2,FALSE)*G674)</f>
        <v>0</v>
      </c>
      <c r="V674" s="78">
        <f>IF(NOT(ISNUMBER(G674)), "", VLOOKUP(A674,'Discount Lookup'!G:H,2,FALSE)*G674)</f>
        <v>0</v>
      </c>
      <c r="W674" s="102">
        <f t="shared" si="483"/>
        <v>0</v>
      </c>
      <c r="X674" s="102">
        <f t="shared" si="484"/>
        <v>0</v>
      </c>
      <c r="Y674" s="120" t="b">
        <f t="shared" si="485"/>
        <v>0</v>
      </c>
      <c r="Z674" s="117">
        <f t="shared" si="486"/>
        <v>0</v>
      </c>
      <c r="AA674" s="118"/>
      <c r="AB674" s="118" t="str">
        <f t="shared" si="487"/>
        <v/>
      </c>
      <c r="AC674" s="712" t="str">
        <f>IF(AE674="T2G","no charge",IF(AND(OR(PlanterYesMe="No",PlanterYesMe="N",PlanterYesMe="me"),H674=""),"",IF(H674="credit","NO install",IF(AND(K674="",AE674="me"),"EACH row",IF(AND(K674="images",AE674="me"),"EACH row",IF(D674="","",IF(H674="credit","",IF(AE674="free","re-planting",IF(AE674="me","   not ELP, by",IF(AND(OR(PlanterYesMe="Yes",PlanterYesMe="Y"),G674&gt;0),(VLOOKUP(A674,'Discount Lookup'!J:K,2)*G674*(1-PlanterDiscount)*(1+PlanterDifficultyPercentage)),IF(AE674="ELP",(VLOOKUP(A674,'Discount Lookup'!J:K,2)*G674*(1-PlanterDiscount)*(1+PlanterDifficultyPercentage)),IF(AE674="free","re-planting",IF(G674=0,"",IF(PlanterYesMe="",IF(AE674="me","   not ELP, by",IF(AE674="",IF(G674&gt;0,(VLOOKUP(A674,'Discount Lookup'!J:K,2)*G674*(1-PlanterDiscount)*(1+PlanterDifficultyPercentage)),""),"")),"   not ELP, by"))))))))))))))</f>
        <v/>
      </c>
      <c r="AD674" s="712"/>
      <c r="AE674" s="513" t="str">
        <f t="shared" si="488"/>
        <v/>
      </c>
      <c r="AF674" s="713" t="str">
        <f t="shared" si="489"/>
        <v/>
      </c>
      <c r="AG674" s="713"/>
      <c r="AH674" s="713"/>
      <c r="AI674" s="112">
        <f>IF(H674="credit",0,IF(AE674="free",0,IF(AE674="me",0,IF(G674&gt;0,(VLOOKUP(A674,'Discount Lookup'!J:K,2)*G674),0))))</f>
        <v>0</v>
      </c>
      <c r="AJ674" s="107" t="str">
        <f t="shared" ca="1" si="490"/>
        <v/>
      </c>
      <c r="AK674" s="714" t="str">
        <f t="shared" si="491"/>
        <v/>
      </c>
      <c r="AL674" s="714"/>
      <c r="AM674" s="114" t="str">
        <f t="shared" si="492"/>
        <v/>
      </c>
      <c r="AN674" s="115"/>
      <c r="AO674" s="116"/>
      <c r="AP674" s="116"/>
      <c r="AQ674" s="116"/>
      <c r="AR674" s="116"/>
      <c r="AS674" s="116"/>
      <c r="AT674" s="116"/>
      <c r="AU674" s="116"/>
      <c r="AV674" s="78"/>
      <c r="AW674" s="102"/>
      <c r="AX674" s="78"/>
      <c r="AY674" s="78"/>
      <c r="AZ674" s="78"/>
      <c r="BA674" s="78"/>
      <c r="BB674" s="78"/>
      <c r="BC674" s="78"/>
      <c r="BD674" s="78"/>
      <c r="BE674" s="465"/>
      <c r="BF674" s="165" t="str">
        <f t="shared" si="493"/>
        <v>https://www.google.com/search?tbm=isch&amp;q=7%20G3</v>
      </c>
      <c r="BG674" s="165" t="str">
        <f t="shared" si="494"/>
        <v>C</v>
      </c>
      <c r="BH674" s="65"/>
      <c r="BI674" s="65"/>
      <c r="BJ674" s="65"/>
      <c r="BK674" s="65"/>
      <c r="BL674" s="99"/>
      <c r="BM674" s="99"/>
      <c r="BN674" s="99"/>
    </row>
    <row r="675" spans="1:66" s="51" customFormat="1" ht="15.75" x14ac:dyDescent="0.25">
      <c r="A675" s="478">
        <v>7</v>
      </c>
      <c r="B675" s="479" t="s">
        <v>291</v>
      </c>
      <c r="C675" s="480" t="s">
        <v>5120</v>
      </c>
      <c r="D675" s="481" t="s">
        <v>299</v>
      </c>
      <c r="E675" s="482">
        <v>104.95</v>
      </c>
      <c r="F675" s="483" t="s">
        <v>292</v>
      </c>
      <c r="G675" s="484">
        <v>0</v>
      </c>
      <c r="H675" s="688" t="str">
        <f>IF(G675=0,"",IF(F675="Buy",IF(G675=1,"plant","plants"),IF(F675&gt;0.01,"warranty","Error")))</f>
        <v/>
      </c>
      <c r="I675" s="485">
        <f>IF(H675="free",0,IF(H675="credit",((E675*(F675))*G675*-1),IF(F675="Buy",(E675*G675),((E675*(1-F675))*G675))))</f>
        <v>0</v>
      </c>
      <c r="J675" s="485">
        <f>IF(H675="warranty",0,(I675*(_xlfn.SINGLE(SalesTaxPercentage))))</f>
        <v>0</v>
      </c>
      <c r="K675" s="715">
        <f t="shared" ref="K675" si="504">I675+J675</f>
        <v>0</v>
      </c>
      <c r="L675" s="715"/>
      <c r="M675" s="689" t="str">
        <f ca="1">IF(AND(G675&gt;0,E675=0),"WARNING - no PRICE inserted",IF(H675="free","FREE ~ no charge this plant",IF(H675="credit",CONCATENATE("-$",ROUND(K675*(1-_xlfn.SINGLE(T2GDiscount))*-1,2)," CREDIT after discount"),IF(_xlfn.SINGLE(T2GDiscount)=0,"",IF(G675=0,"",IF(F675="Buy",CONCATENATE("$",ROUND(K675*(1-_xlfn.SINGLE(T2GDiscount)),2)," with ",(_xlfn.SINGLE(T2GDiscount)*100),"% discount"),CONCATENATE("$",ROUND(K675*(1-_xlfn.SINGLE(T2GDiscount)),2)," with ",((_xlfn.SINGLE(T2GDiscount)*100+F675*100)-(_xlfn.SINGLE(T2GDiscount)*100*F675)),IF(F675&gt;0,"% discounts",IF(_xlfn.SINGLE(NoWarrantyDiscount)&gt;0,"% discounts","% discount")))))))))</f>
        <v/>
      </c>
      <c r="N675" s="690"/>
      <c r="O675" s="486"/>
      <c r="P675" s="486"/>
      <c r="Q675" s="486"/>
      <c r="R675" s="486"/>
      <c r="S675" s="486"/>
      <c r="T675" s="102">
        <f t="shared" si="482"/>
        <v>0</v>
      </c>
      <c r="U675" s="78">
        <f>IF(NOT(ISNUMBER(G675)), "", VLOOKUP(A675,'Discount Lookup'!D:E,2,FALSE)*G675)</f>
        <v>0</v>
      </c>
      <c r="V675" s="78">
        <f>IF(NOT(ISNUMBER(G675)), "", VLOOKUP(A675,'Discount Lookup'!G:H,2,FALSE)*G675)</f>
        <v>0</v>
      </c>
      <c r="W675" s="102">
        <f t="shared" si="483"/>
        <v>0</v>
      </c>
      <c r="X675" s="102">
        <f t="shared" si="484"/>
        <v>0</v>
      </c>
      <c r="Y675" s="120" t="b">
        <f t="shared" si="485"/>
        <v>0</v>
      </c>
      <c r="Z675" s="117">
        <f t="shared" si="486"/>
        <v>0</v>
      </c>
      <c r="AA675" s="118"/>
      <c r="AB675" s="118" t="str">
        <f t="shared" si="487"/>
        <v/>
      </c>
      <c r="AC675" s="712" t="str">
        <f>IF(AE675="T2G","no charge",IF(AND(OR(PlanterYesMe="No",PlanterYesMe="N",PlanterYesMe="me"),H675=""),"",IF(H675="credit","NO install",IF(AND(K675="",AE675="me"),"EACH row",IF(AND(K675="images",AE675="me"),"EACH row",IF(D675="","",IF(H675="credit","",IF(AE675="free","re-planting",IF(AE675="me","   not ELP, by",IF(AND(OR(PlanterYesMe="Yes",PlanterYesMe="Y"),G675&gt;0),(VLOOKUP(A675,'Discount Lookup'!J:K,2)*G675*(1-PlanterDiscount)*(1+PlanterDifficultyPercentage)),IF(AE675="ELP",(VLOOKUP(A675,'Discount Lookup'!J:K,2)*G675*(1-PlanterDiscount)*(1+PlanterDifficultyPercentage)),IF(AE675="free","re-planting",IF(G675=0,"",IF(PlanterYesMe="",IF(AE675="me","   not ELP, by",IF(AE675="",IF(G675&gt;0,(VLOOKUP(A675,'Discount Lookup'!J:K,2)*G675*(1-PlanterDiscount)*(1+PlanterDifficultyPercentage)),""),"")),"   not ELP, by"))))))))))))))</f>
        <v/>
      </c>
      <c r="AD675" s="712"/>
      <c r="AE675" s="513" t="str">
        <f t="shared" si="488"/>
        <v/>
      </c>
      <c r="AF675" s="713" t="str">
        <f t="shared" si="489"/>
        <v/>
      </c>
      <c r="AG675" s="713"/>
      <c r="AH675" s="713"/>
      <c r="AI675" s="112">
        <f>IF(H675="credit",0,IF(AE675="free",0,IF(AE675="me",0,IF(G675&gt;0,(VLOOKUP(A675,'Discount Lookup'!J:K,2)*G675),0))))</f>
        <v>0</v>
      </c>
      <c r="AJ675" s="107" t="str">
        <f t="shared" ca="1" si="490"/>
        <v/>
      </c>
      <c r="AK675" s="714" t="str">
        <f t="shared" si="491"/>
        <v/>
      </c>
      <c r="AL675" s="714"/>
      <c r="AM675" s="114" t="str">
        <f t="shared" si="492"/>
        <v/>
      </c>
      <c r="AN675" s="115"/>
      <c r="AO675" s="116"/>
      <c r="AP675" s="116"/>
      <c r="AQ675" s="116"/>
      <c r="AR675" s="116"/>
      <c r="AS675" s="116"/>
      <c r="AT675" s="116"/>
      <c r="AU675" s="116"/>
      <c r="AV675" s="78"/>
      <c r="AW675" s="102"/>
      <c r="AX675" s="78"/>
      <c r="AY675" s="78"/>
      <c r="AZ675" s="78"/>
      <c r="BA675" s="78"/>
      <c r="BB675" s="78"/>
      <c r="BC675" s="78"/>
      <c r="BD675" s="78"/>
      <c r="BE675" s="465"/>
      <c r="BF675" s="165" t="str">
        <f t="shared" si="493"/>
        <v>https://www.google.com/search?tbm=isch&amp;q=7%20G4</v>
      </c>
      <c r="BG675" s="165" t="str">
        <f t="shared" si="494"/>
        <v>C</v>
      </c>
      <c r="BH675" s="65"/>
      <c r="BI675" s="65"/>
      <c r="BJ675" s="65"/>
      <c r="BK675" s="65"/>
      <c r="BL675" s="99"/>
      <c r="BM675" s="99"/>
      <c r="BN675" s="99"/>
    </row>
    <row r="676" spans="1:66" s="51" customFormat="1" ht="15.75" x14ac:dyDescent="0.25">
      <c r="A676" s="478">
        <v>15</v>
      </c>
      <c r="B676" s="479" t="s">
        <v>291</v>
      </c>
      <c r="C676" s="480" t="s">
        <v>5121</v>
      </c>
      <c r="D676" s="481" t="s">
        <v>299</v>
      </c>
      <c r="E676" s="482">
        <v>332.95</v>
      </c>
      <c r="F676" s="483" t="s">
        <v>292</v>
      </c>
      <c r="G676" s="484">
        <v>0</v>
      </c>
      <c r="H676" s="688" t="str">
        <f>IF(G676=0,"",IF(F676="Buy",IF(G676=1,"plant","plants"),IF(F676&gt;0.01,"warranty","Error")))</f>
        <v/>
      </c>
      <c r="I676" s="485">
        <f>IF(H676="free",0,IF(H676="credit",((E676*(F676))*G676*-1),IF(F676="Buy",(E676*G676),((E676*(1-F676))*G676))))</f>
        <v>0</v>
      </c>
      <c r="J676" s="485">
        <f>IF(H676="warranty",0,(I676*(_xlfn.SINGLE(SalesTaxPercentage))))</f>
        <v>0</v>
      </c>
      <c r="K676" s="715">
        <f t="shared" ref="K676" si="505">I676+J676</f>
        <v>0</v>
      </c>
      <c r="L676" s="715"/>
      <c r="M676" s="689" t="str">
        <f ca="1">IF(AND(G676&gt;0,E676=0),"WARNING - no PRICE inserted",IF(H676="free","FREE ~ no charge this plant",IF(H676="credit",CONCATENATE("-$",ROUND(K676*(1-_xlfn.SINGLE(T2GDiscount))*-1,2)," CREDIT after discount"),IF(_xlfn.SINGLE(T2GDiscount)=0,"",IF(G676=0,"",IF(F676="Buy",CONCATENATE("$",ROUND(K676*(1-_xlfn.SINGLE(T2GDiscount)),2)," with ",(_xlfn.SINGLE(T2GDiscount)*100),"% discount"),CONCATENATE("$",ROUND(K676*(1-_xlfn.SINGLE(T2GDiscount)),2)," with ",((_xlfn.SINGLE(T2GDiscount)*100+F676*100)-(_xlfn.SINGLE(T2GDiscount)*100*F676)),IF(F676&gt;0,"% discounts",IF(_xlfn.SINGLE(NoWarrantyDiscount)&gt;0,"% discounts","% discount")))))))))</f>
        <v/>
      </c>
      <c r="N676" s="690"/>
      <c r="O676" s="486"/>
      <c r="P676" s="486"/>
      <c r="Q676" s="486"/>
      <c r="R676" s="486"/>
      <c r="S676" s="486"/>
      <c r="T676" s="102">
        <f t="shared" si="482"/>
        <v>0</v>
      </c>
      <c r="U676" s="78">
        <f>IF(NOT(ISNUMBER(G676)), "", VLOOKUP(A676,'Discount Lookup'!D:E,2,FALSE)*G676)</f>
        <v>0</v>
      </c>
      <c r="V676" s="78">
        <f>IF(NOT(ISNUMBER(G676)), "", VLOOKUP(A676,'Discount Lookup'!G:H,2,FALSE)*G676)</f>
        <v>0</v>
      </c>
      <c r="W676" s="102">
        <f t="shared" si="483"/>
        <v>0</v>
      </c>
      <c r="X676" s="102">
        <f t="shared" si="484"/>
        <v>0</v>
      </c>
      <c r="Y676" s="120" t="b">
        <f t="shared" si="485"/>
        <v>0</v>
      </c>
      <c r="Z676" s="117">
        <f t="shared" si="486"/>
        <v>0</v>
      </c>
      <c r="AA676" s="118"/>
      <c r="AB676" s="118" t="str">
        <f t="shared" si="487"/>
        <v/>
      </c>
      <c r="AC676" s="712" t="str">
        <f>IF(AE676="T2G","no charge",IF(AND(OR(PlanterYesMe="No",PlanterYesMe="N",PlanterYesMe="me"),H676=""),"",IF(H676="credit","NO install",IF(AND(K676="",AE676="me"),"EACH row",IF(AND(K676="images",AE676="me"),"EACH row",IF(D676="","",IF(H676="credit","",IF(AE676="free","re-planting",IF(AE676="me","   not ELP, by",IF(AND(OR(PlanterYesMe="Yes",PlanterYesMe="Y"),G676&gt;0),(VLOOKUP(A676,'Discount Lookup'!J:K,2)*G676*(1-PlanterDiscount)*(1+PlanterDifficultyPercentage)),IF(AE676="ELP",(VLOOKUP(A676,'Discount Lookup'!J:K,2)*G676*(1-PlanterDiscount)*(1+PlanterDifficultyPercentage)),IF(AE676="free","re-planting",IF(G676=0,"",IF(PlanterYesMe="",IF(AE676="me","   not ELP, by",IF(AE676="",IF(G676&gt;0,(VLOOKUP(A676,'Discount Lookup'!J:K,2)*G676*(1-PlanterDiscount)*(1+PlanterDifficultyPercentage)),""),"")),"   not ELP, by"))))))))))))))</f>
        <v/>
      </c>
      <c r="AD676" s="712"/>
      <c r="AE676" s="513" t="str">
        <f t="shared" si="488"/>
        <v/>
      </c>
      <c r="AF676" s="713" t="str">
        <f t="shared" si="489"/>
        <v/>
      </c>
      <c r="AG676" s="713"/>
      <c r="AH676" s="713"/>
      <c r="AI676" s="112">
        <f>IF(H676="credit",0,IF(AE676="free",0,IF(AE676="me",0,IF(G676&gt;0,(VLOOKUP(A676,'Discount Lookup'!J:K,2)*G676),0))))</f>
        <v>0</v>
      </c>
      <c r="AJ676" s="107" t="str">
        <f t="shared" ca="1" si="490"/>
        <v/>
      </c>
      <c r="AK676" s="714" t="str">
        <f t="shared" si="491"/>
        <v/>
      </c>
      <c r="AL676" s="714"/>
      <c r="AM676" s="114" t="str">
        <f t="shared" si="492"/>
        <v/>
      </c>
      <c r="AN676" s="115"/>
      <c r="AO676" s="116"/>
      <c r="AP676" s="116"/>
      <c r="AQ676" s="116"/>
      <c r="AR676" s="116"/>
      <c r="AS676" s="116"/>
      <c r="AT676" s="116"/>
      <c r="AU676" s="116"/>
      <c r="AV676" s="78"/>
      <c r="AW676" s="102"/>
      <c r="AX676" s="78"/>
      <c r="AY676" s="78"/>
      <c r="AZ676" s="78"/>
      <c r="BA676" s="78"/>
      <c r="BB676" s="78"/>
      <c r="BC676" s="78"/>
      <c r="BD676" s="78"/>
      <c r="BE676" s="465"/>
      <c r="BF676" s="165" t="str">
        <f t="shared" si="493"/>
        <v>https://www.google.com/search?tbm=isch&amp;q=15%20G4</v>
      </c>
      <c r="BG676" s="165" t="str">
        <f t="shared" si="494"/>
        <v>C</v>
      </c>
      <c r="BH676" s="65"/>
      <c r="BI676" s="65"/>
      <c r="BJ676" s="65"/>
      <c r="BK676" s="65"/>
      <c r="BL676" s="99"/>
      <c r="BM676" s="99"/>
      <c r="BN676" s="99"/>
    </row>
    <row r="677" spans="1:66" s="51" customFormat="1" ht="17.25" thickBot="1" x14ac:dyDescent="0.3">
      <c r="A677" s="508" t="s">
        <v>5122</v>
      </c>
      <c r="B677" s="487"/>
      <c r="C677" s="707"/>
      <c r="D677" s="487"/>
      <c r="E677" s="487"/>
      <c r="F677" s="488"/>
      <c r="G677" s="489"/>
      <c r="H677" s="487"/>
      <c r="I677" s="490"/>
      <c r="J677" s="490"/>
      <c r="K677" s="491"/>
      <c r="L677" s="547"/>
      <c r="M677" s="528"/>
      <c r="N677" s="492"/>
      <c r="O677" s="493"/>
      <c r="P677" s="494"/>
      <c r="Q677" s="492"/>
      <c r="R677" s="492"/>
      <c r="S677" s="699" t="s">
        <v>5275</v>
      </c>
      <c r="T677" s="102">
        <f t="shared" si="482"/>
        <v>0</v>
      </c>
      <c r="U677" s="78" t="str">
        <f>IF(NOT(ISNUMBER(G677)), "", VLOOKUP(A677,'Discount Lookup'!D:E,2,FALSE)*G677)</f>
        <v/>
      </c>
      <c r="V677" s="78" t="str">
        <f>IF(NOT(ISNUMBER(G677)), "", VLOOKUP(A677,'Discount Lookup'!G:H,2,FALSE)*G677)</f>
        <v/>
      </c>
      <c r="W677" s="102">
        <f t="shared" si="483"/>
        <v>0</v>
      </c>
      <c r="X677" s="102">
        <f t="shared" si="484"/>
        <v>0</v>
      </c>
      <c r="Y677" s="120" t="b">
        <f t="shared" si="485"/>
        <v>0</v>
      </c>
      <c r="Z677" s="117">
        <f t="shared" si="486"/>
        <v>0</v>
      </c>
      <c r="AA677" s="118"/>
      <c r="AB677" s="118" t="str">
        <f t="shared" si="487"/>
        <v/>
      </c>
      <c r="AC677" s="712" t="str">
        <f>IF(AE677="T2G","no charge",IF(AND(OR(PlanterYesMe="No",PlanterYesMe="N",PlanterYesMe="me"),H677=""),"",IF(H677="credit","NO install",IF(AND(K677="",AE677="me"),"EACH row",IF(AND(K677="images",AE677="me"),"EACH row",IF(D677="","",IF(H677="credit","",IF(AE677="free","re-planting",IF(AE677="me","   not ELP, by",IF(AND(OR(PlanterYesMe="Yes",PlanterYesMe="Y"),G677&gt;0),(VLOOKUP(A677,'Discount Lookup'!J:K,2)*G677*(1-PlanterDiscount)*(1+PlanterDifficultyPercentage)),IF(AE677="ELP",(VLOOKUP(A677,'Discount Lookup'!J:K,2)*G677*(1-PlanterDiscount)*(1+PlanterDifficultyPercentage)),IF(AE677="free","re-planting",IF(G677=0,"",IF(PlanterYesMe="",IF(AE677="me","   not ELP, by",IF(AE677="",IF(G677&gt;0,(VLOOKUP(A677,'Discount Lookup'!J:K,2)*G677*(1-PlanterDiscount)*(1+PlanterDifficultyPercentage)),""),"")),"   not ELP, by"))))))))))))))</f>
        <v/>
      </c>
      <c r="AD677" s="712"/>
      <c r="AE677" s="513" t="str">
        <f t="shared" si="488"/>
        <v/>
      </c>
      <c r="AF677" s="713" t="str">
        <f t="shared" si="489"/>
        <v/>
      </c>
      <c r="AG677" s="713"/>
      <c r="AH677" s="713"/>
      <c r="AI677" s="112">
        <f>IF(H677="credit",0,IF(AE677="free",0,IF(AE677="me",0,IF(G677&gt;0,(VLOOKUP(A677,'Discount Lookup'!J:K,2)*G677),0))))</f>
        <v>0</v>
      </c>
      <c r="AJ677" s="107" t="str">
        <f t="shared" ca="1" si="490"/>
        <v/>
      </c>
      <c r="AK677" s="714" t="str">
        <f t="shared" si="491"/>
        <v/>
      </c>
      <c r="AL677" s="714"/>
      <c r="AM677" s="114" t="str">
        <f t="shared" si="492"/>
        <v/>
      </c>
      <c r="AN677" s="115"/>
      <c r="AO677" s="116"/>
      <c r="AP677" s="116"/>
      <c r="AQ677" s="116"/>
      <c r="AR677" s="116"/>
      <c r="AS677" s="116"/>
      <c r="AT677" s="116"/>
      <c r="AU677" s="116"/>
      <c r="AV677" s="78"/>
      <c r="AW677" s="102"/>
      <c r="AX677" s="78"/>
      <c r="AY677" s="78"/>
      <c r="AZ677" s="78"/>
      <c r="BA677" s="78"/>
      <c r="BB677" s="78"/>
      <c r="BC677" s="78"/>
      <c r="BD677" s="78"/>
      <c r="BE677" s="465"/>
      <c r="BF677" s="165" t="str">
        <f t="shared" si="493"/>
        <v>https://www.google.com/search?tbm=isch&amp;q=Greensboro%20Red%20boasts%20striking%2C%20semi-double%20blooms%20adorning%20glossy%20evergreen%20foliage.%20Mid%20to%20late%20spring%20bloom%20</v>
      </c>
      <c r="BG677" s="165" t="str">
        <f t="shared" si="494"/>
        <v>G</v>
      </c>
      <c r="BH677" s="65"/>
      <c r="BI677" s="65"/>
      <c r="BJ677" s="65"/>
      <c r="BK677" s="65"/>
      <c r="BL677" s="99"/>
      <c r="BM677" s="99"/>
      <c r="BN677" s="99"/>
    </row>
    <row r="678" spans="1:66" s="51" customFormat="1" ht="18" x14ac:dyDescent="0.25">
      <c r="A678" s="507" t="s">
        <v>1776</v>
      </c>
      <c r="B678" s="470"/>
      <c r="C678" s="706"/>
      <c r="D678" s="471" t="s">
        <v>1777</v>
      </c>
      <c r="E678" s="472"/>
      <c r="F678" s="472"/>
      <c r="G678" s="472"/>
      <c r="H678" s="622" t="s">
        <v>1246</v>
      </c>
      <c r="I678" s="473" t="s">
        <v>1778</v>
      </c>
      <c r="J678" s="472"/>
      <c r="K678" s="472"/>
      <c r="L678" s="561"/>
      <c r="M678" s="703" t="s">
        <v>5260</v>
      </c>
      <c r="N678" s="692" t="str">
        <f>IF(AND(ISTEXT($A678), ISERROR($A678+0)), HYPERLINK($BF678, "Images"), "")</f>
        <v>Images</v>
      </c>
      <c r="O678" s="694" t="s">
        <v>5247</v>
      </c>
      <c r="P678" s="475"/>
      <c r="Q678" s="476"/>
      <c r="R678" s="476"/>
      <c r="S678" s="477"/>
      <c r="T678" s="102">
        <f t="shared" si="482"/>
        <v>0</v>
      </c>
      <c r="U678" s="78" t="str">
        <f>IF(NOT(ISNUMBER(G678)), "", VLOOKUP(A678,'Discount Lookup'!D:E,2,FALSE)*G678)</f>
        <v/>
      </c>
      <c r="V678" s="78" t="str">
        <f>IF(NOT(ISNUMBER(G678)), "", VLOOKUP(A678,'Discount Lookup'!G:H,2,FALSE)*G678)</f>
        <v/>
      </c>
      <c r="W678" s="102">
        <f t="shared" si="483"/>
        <v>0</v>
      </c>
      <c r="X678" s="102" t="str">
        <f t="shared" si="484"/>
        <v>Rosy-Red bloom</v>
      </c>
      <c r="Y678" s="120" t="b">
        <f t="shared" si="485"/>
        <v>0</v>
      </c>
      <c r="Z678" s="117">
        <f t="shared" si="486"/>
        <v>0</v>
      </c>
      <c r="AA678" s="118"/>
      <c r="AB678" s="118" t="str">
        <f t="shared" si="487"/>
        <v/>
      </c>
      <c r="AC678" s="712" t="str">
        <f>IF(AE678="T2G","no charge",IF(AND(OR(PlanterYesMe="No",PlanterYesMe="N",PlanterYesMe="me"),H678=""),"",IF(H678="credit","NO install",IF(AND(K678="",AE678="me"),"EACH row",IF(AND(K678="images",AE678="me"),"EACH row",IF(D678="","",IF(H678="credit","",IF(AE678="free","re-planting",IF(AE678="me","   not ELP, by",IF(AND(OR(PlanterYesMe="Yes",PlanterYesMe="Y"),G678&gt;0),(VLOOKUP(A678,'Discount Lookup'!J:K,2)*G678*(1-PlanterDiscount)*(1+PlanterDifficultyPercentage)),IF(AE678="ELP",(VLOOKUP(A678,'Discount Lookup'!J:K,2)*G678*(1-PlanterDiscount)*(1+PlanterDifficultyPercentage)),IF(AE678="free","re-planting",IF(G678=0,"",IF(PlanterYesMe="",IF(AE678="me","   not ELP, by",IF(AE678="",IF(G678&gt;0,(VLOOKUP(A678,'Discount Lookup'!J:K,2)*G678*(1-PlanterDiscount)*(1+PlanterDifficultyPercentage)),""),"")),"   not ELP, by"))))))))))))))</f>
        <v/>
      </c>
      <c r="AD678" s="712"/>
      <c r="AE678" s="513" t="str">
        <f t="shared" si="488"/>
        <v/>
      </c>
      <c r="AF678" s="713" t="str">
        <f t="shared" si="489"/>
        <v/>
      </c>
      <c r="AG678" s="713"/>
      <c r="AH678" s="713"/>
      <c r="AI678" s="112">
        <f>IF(H678="credit",0,IF(AE678="free",0,IF(AE678="me",0,IF(G678&gt;0,(VLOOKUP(A678,'Discount Lookup'!J:K,2)*G678),0))))</f>
        <v>0</v>
      </c>
      <c r="AJ678" s="107" t="str">
        <f t="shared" ca="1" si="490"/>
        <v/>
      </c>
      <c r="AK678" s="714" t="str">
        <f t="shared" si="491"/>
        <v/>
      </c>
      <c r="AL678" s="714"/>
      <c r="AM678" s="114" t="str">
        <f t="shared" si="492"/>
        <v/>
      </c>
      <c r="AN678" s="115"/>
      <c r="AO678" s="116"/>
      <c r="AP678" s="116"/>
      <c r="AQ678" s="116"/>
      <c r="AR678" s="116"/>
      <c r="AS678" s="116"/>
      <c r="AT678" s="116"/>
      <c r="AU678" s="116"/>
      <c r="AV678" s="78"/>
      <c r="AW678" s="102"/>
      <c r="AX678" s="78"/>
      <c r="AY678" s="78"/>
      <c r="AZ678" s="78"/>
      <c r="BA678" s="78"/>
      <c r="BB678" s="78"/>
      <c r="BC678" s="78"/>
      <c r="BD678" s="78"/>
      <c r="BE678" s="465"/>
      <c r="BF678" s="165" t="str">
        <f t="shared" si="493"/>
        <v>https://www.google.com/search?tbm=isch&amp;q=Camellia%20japonica%20%27Kramer%27s%20Supreme%27%20Kramer%27s%20Supreme%20Japanese%20Camellia</v>
      </c>
      <c r="BG678" s="165" t="str">
        <f t="shared" si="494"/>
        <v>C</v>
      </c>
      <c r="BH678" s="65"/>
      <c r="BI678" s="65"/>
      <c r="BJ678" s="65"/>
      <c r="BK678" s="65"/>
      <c r="BL678" s="99"/>
      <c r="BM678" s="99"/>
      <c r="BN678" s="99"/>
    </row>
    <row r="679" spans="1:66" s="51" customFormat="1" ht="15.75" x14ac:dyDescent="0.25">
      <c r="A679" s="478">
        <v>7</v>
      </c>
      <c r="B679" s="479" t="s">
        <v>291</v>
      </c>
      <c r="C679" s="480" t="s">
        <v>1779</v>
      </c>
      <c r="D679" s="481" t="s">
        <v>309</v>
      </c>
      <c r="E679" s="482">
        <v>83.95</v>
      </c>
      <c r="F679" s="483" t="s">
        <v>292</v>
      </c>
      <c r="G679" s="484">
        <v>0</v>
      </c>
      <c r="H679" s="688" t="str">
        <f>IF(G679=0,"",IF(F679="Buy",IF(G679=1,"plant","plants"),IF(F679&gt;0.01,"warranty","Error")))</f>
        <v/>
      </c>
      <c r="I679" s="485">
        <f>IF(H679="free",0,IF(H679="credit",((E679*(F679))*G679*-1),IF(F679="Buy",(E679*G679),((E679*(1-F679))*G679))))</f>
        <v>0</v>
      </c>
      <c r="J679" s="485">
        <f>IF(H679="warranty",0,(I679*(_xlfn.SINGLE(SalesTaxPercentage))))</f>
        <v>0</v>
      </c>
      <c r="K679" s="715">
        <f t="shared" ref="K679" si="506">I679+J679</f>
        <v>0</v>
      </c>
      <c r="L679" s="715"/>
      <c r="M679" s="689" t="str">
        <f ca="1">IF(AND(G679&gt;0,E679=0),"WARNING - no PRICE inserted",IF(H679="free","FREE ~ no charge this plant",IF(H679="credit",CONCATENATE("-$",ROUND(K679*(1-_xlfn.SINGLE(T2GDiscount))*-1,2)," CREDIT after discount"),IF(_xlfn.SINGLE(T2GDiscount)=0,"",IF(G679=0,"",IF(F679="Buy",CONCATENATE("$",ROUND(K679*(1-_xlfn.SINGLE(T2GDiscount)),2)," with ",(_xlfn.SINGLE(T2GDiscount)*100),"% discount"),CONCATENATE("$",ROUND(K679*(1-_xlfn.SINGLE(T2GDiscount)),2)," with ",((_xlfn.SINGLE(T2GDiscount)*100+F679*100)-(_xlfn.SINGLE(T2GDiscount)*100*F679)),IF(F679&gt;0,"% discounts",IF(_xlfn.SINGLE(NoWarrantyDiscount)&gt;0,"% discounts","% discount")))))))))</f>
        <v/>
      </c>
      <c r="N679" s="690"/>
      <c r="O679" s="486"/>
      <c r="P679" s="486"/>
      <c r="Q679" s="486"/>
      <c r="R679" s="486"/>
      <c r="S679" s="486"/>
      <c r="T679" s="102">
        <f t="shared" si="482"/>
        <v>0</v>
      </c>
      <c r="U679" s="78">
        <f>IF(NOT(ISNUMBER(G679)), "", VLOOKUP(A679,'Discount Lookup'!D:E,2,FALSE)*G679)</f>
        <v>0</v>
      </c>
      <c r="V679" s="78">
        <f>IF(NOT(ISNUMBER(G679)), "", VLOOKUP(A679,'Discount Lookup'!G:H,2,FALSE)*G679)</f>
        <v>0</v>
      </c>
      <c r="W679" s="102">
        <f t="shared" si="483"/>
        <v>0</v>
      </c>
      <c r="X679" s="102">
        <f t="shared" si="484"/>
        <v>0</v>
      </c>
      <c r="Y679" s="120" t="b">
        <f t="shared" si="485"/>
        <v>0</v>
      </c>
      <c r="Z679" s="117">
        <f t="shared" si="486"/>
        <v>0</v>
      </c>
      <c r="AA679" s="118"/>
      <c r="AB679" s="118" t="str">
        <f t="shared" si="487"/>
        <v/>
      </c>
      <c r="AC679" s="712" t="str">
        <f>IF(AE679="T2G","no charge",IF(AND(OR(PlanterYesMe="No",PlanterYesMe="N",PlanterYesMe="me"),H679=""),"",IF(H679="credit","NO install",IF(AND(K679="",AE679="me"),"EACH row",IF(AND(K679="images",AE679="me"),"EACH row",IF(D679="","",IF(H679="credit","",IF(AE679="free","re-planting",IF(AE679="me","   not ELP, by",IF(AND(OR(PlanterYesMe="Yes",PlanterYesMe="Y"),G679&gt;0),(VLOOKUP(A679,'Discount Lookup'!J:K,2)*G679*(1-PlanterDiscount)*(1+PlanterDifficultyPercentage)),IF(AE679="ELP",(VLOOKUP(A679,'Discount Lookup'!J:K,2)*G679*(1-PlanterDiscount)*(1+PlanterDifficultyPercentage)),IF(AE679="free","re-planting",IF(G679=0,"",IF(PlanterYesMe="",IF(AE679="me","   not ELP, by",IF(AE679="",IF(G679&gt;0,(VLOOKUP(A679,'Discount Lookup'!J:K,2)*G679*(1-PlanterDiscount)*(1+PlanterDifficultyPercentage)),""),"")),"   not ELP, by"))))))))))))))</f>
        <v/>
      </c>
      <c r="AD679" s="712"/>
      <c r="AE679" s="513" t="str">
        <f t="shared" si="488"/>
        <v/>
      </c>
      <c r="AF679" s="713" t="str">
        <f t="shared" si="489"/>
        <v/>
      </c>
      <c r="AG679" s="713"/>
      <c r="AH679" s="713"/>
      <c r="AI679" s="112">
        <f>IF(H679="credit",0,IF(AE679="free",0,IF(AE679="me",0,IF(G679&gt;0,(VLOOKUP(A679,'Discount Lookup'!J:K,2)*G679),0))))</f>
        <v>0</v>
      </c>
      <c r="AJ679" s="107" t="str">
        <f t="shared" ca="1" si="490"/>
        <v/>
      </c>
      <c r="AK679" s="714" t="str">
        <f t="shared" si="491"/>
        <v/>
      </c>
      <c r="AL679" s="714"/>
      <c r="AM679" s="114" t="str">
        <f t="shared" si="492"/>
        <v/>
      </c>
      <c r="AN679" s="115"/>
      <c r="AO679" s="116"/>
      <c r="AP679" s="116"/>
      <c r="AQ679" s="116"/>
      <c r="AR679" s="116"/>
      <c r="AS679" s="116"/>
      <c r="AT679" s="116"/>
      <c r="AU679" s="116"/>
      <c r="AV679" s="78"/>
      <c r="AW679" s="102"/>
      <c r="AX679" s="78"/>
      <c r="AY679" s="78"/>
      <c r="AZ679" s="78"/>
      <c r="BA679" s="78"/>
      <c r="BB679" s="78"/>
      <c r="BC679" s="78"/>
      <c r="BD679" s="78"/>
      <c r="BE679" s="465"/>
      <c r="BF679" s="165" t="str">
        <f t="shared" si="493"/>
        <v>https://www.google.com/search?tbm=isch&amp;q=7%20G3</v>
      </c>
      <c r="BG679" s="165" t="str">
        <f t="shared" si="494"/>
        <v>C</v>
      </c>
      <c r="BH679" s="65"/>
      <c r="BI679" s="65"/>
      <c r="BJ679" s="65"/>
      <c r="BK679" s="65"/>
      <c r="BL679" s="99"/>
      <c r="BM679" s="99"/>
      <c r="BN679" s="99"/>
    </row>
    <row r="680" spans="1:66" s="51" customFormat="1" ht="17.25" thickBot="1" x14ac:dyDescent="0.3">
      <c r="A680" s="705" t="s">
        <v>5350</v>
      </c>
      <c r="B680" s="487"/>
      <c r="C680" s="707"/>
      <c r="D680" s="487"/>
      <c r="E680" s="487"/>
      <c r="F680" s="488"/>
      <c r="G680" s="489"/>
      <c r="H680" s="487"/>
      <c r="I680" s="490"/>
      <c r="J680" s="490"/>
      <c r="K680" s="491"/>
      <c r="L680" s="547"/>
      <c r="M680" s="528"/>
      <c r="N680" s="492"/>
      <c r="O680" s="493"/>
      <c r="P680" s="494"/>
      <c r="Q680" s="492"/>
      <c r="R680" s="492"/>
      <c r="S680" s="699" t="s">
        <v>5275</v>
      </c>
      <c r="T680" s="102">
        <f t="shared" si="482"/>
        <v>0</v>
      </c>
      <c r="U680" s="78" t="str">
        <f>IF(NOT(ISNUMBER(G680)), "", VLOOKUP(A680,'Discount Lookup'!D:E,2,FALSE)*G680)</f>
        <v/>
      </c>
      <c r="V680" s="78" t="str">
        <f>IF(NOT(ISNUMBER(G680)), "", VLOOKUP(A680,'Discount Lookup'!G:H,2,FALSE)*G680)</f>
        <v/>
      </c>
      <c r="W680" s="102">
        <f t="shared" si="483"/>
        <v>0</v>
      </c>
      <c r="X680" s="102">
        <f t="shared" si="484"/>
        <v>0</v>
      </c>
      <c r="Y680" s="120" t="b">
        <f t="shared" si="485"/>
        <v>0</v>
      </c>
      <c r="Z680" s="117">
        <f t="shared" si="486"/>
        <v>0</v>
      </c>
      <c r="AA680" s="118"/>
      <c r="AB680" s="118" t="str">
        <f t="shared" si="487"/>
        <v/>
      </c>
      <c r="AC680" s="712" t="str">
        <f>IF(AE680="T2G","no charge",IF(AND(OR(PlanterYesMe="No",PlanterYesMe="N",PlanterYesMe="me"),H680=""),"",IF(H680="credit","NO install",IF(AND(K680="",AE680="me"),"EACH row",IF(AND(K680="images",AE680="me"),"EACH row",IF(D680="","",IF(H680="credit","",IF(AE680="free","re-planting",IF(AE680="me","   not ELP, by",IF(AND(OR(PlanterYesMe="Yes",PlanterYesMe="Y"),G680&gt;0),(VLOOKUP(A680,'Discount Lookup'!J:K,2)*G680*(1-PlanterDiscount)*(1+PlanterDifficultyPercentage)),IF(AE680="ELP",(VLOOKUP(A680,'Discount Lookup'!J:K,2)*G680*(1-PlanterDiscount)*(1+PlanterDifficultyPercentage)),IF(AE680="free","re-planting",IF(G680=0,"",IF(PlanterYesMe="",IF(AE680="me","   not ELP, by",IF(AE680="",IF(G680&gt;0,(VLOOKUP(A680,'Discount Lookup'!J:K,2)*G680*(1-PlanterDiscount)*(1+PlanterDifficultyPercentage)),""),"")),"   not ELP, by"))))))))))))))</f>
        <v/>
      </c>
      <c r="AD680" s="712"/>
      <c r="AE680" s="513" t="str">
        <f t="shared" si="488"/>
        <v/>
      </c>
      <c r="AF680" s="713" t="str">
        <f t="shared" si="489"/>
        <v/>
      </c>
      <c r="AG680" s="713"/>
      <c r="AH680" s="713"/>
      <c r="AI680" s="112">
        <f>IF(H680="credit",0,IF(AE680="free",0,IF(AE680="me",0,IF(G680&gt;0,(VLOOKUP(A680,'Discount Lookup'!J:K,2)*G680),0))))</f>
        <v>0</v>
      </c>
      <c r="AJ680" s="107" t="str">
        <f t="shared" ca="1" si="490"/>
        <v/>
      </c>
      <c r="AK680" s="714" t="str">
        <f t="shared" si="491"/>
        <v/>
      </c>
      <c r="AL680" s="714"/>
      <c r="AM680" s="114" t="str">
        <f t="shared" si="492"/>
        <v/>
      </c>
      <c r="AN680" s="115"/>
      <c r="AO680" s="116"/>
      <c r="AP680" s="116"/>
      <c r="AQ680" s="116"/>
      <c r="AR680" s="116"/>
      <c r="AS680" s="116"/>
      <c r="AT680" s="116"/>
      <c r="AU680" s="116"/>
      <c r="AV680" s="78"/>
      <c r="AW680" s="102"/>
      <c r="AX680" s="78"/>
      <c r="AY680" s="78"/>
      <c r="AZ680" s="78"/>
      <c r="BA680" s="78"/>
      <c r="BB680" s="78"/>
      <c r="BC680" s="78"/>
      <c r="BD680" s="78"/>
      <c r="BE680" s="465"/>
      <c r="BF680" s="165" t="str">
        <f t="shared" si="493"/>
        <v>https://www.google.com/search?tbm=isch&amp;q=moist%20sites%F0%9F%92%A7OK%2C%20Kramer%27s%20Supreme%20has%20a%20delightful%20fragrance%2C%20which%20is%20not%20common.%20Golden%20stamens.%20Dark%20Green%20foliage%20</v>
      </c>
      <c r="BG680" s="165" t="str">
        <f t="shared" si="494"/>
        <v>m</v>
      </c>
      <c r="BH680" s="65"/>
      <c r="BI680" s="65"/>
      <c r="BJ680" s="65"/>
      <c r="BK680" s="65"/>
      <c r="BL680" s="99"/>
      <c r="BM680" s="99"/>
      <c r="BN680" s="99"/>
    </row>
    <row r="681" spans="1:66" s="51" customFormat="1" ht="18" x14ac:dyDescent="0.25">
      <c r="A681" s="507" t="s">
        <v>1780</v>
      </c>
      <c r="B681" s="470"/>
      <c r="C681" s="706"/>
      <c r="D681" s="471" t="s">
        <v>1781</v>
      </c>
      <c r="E681" s="472"/>
      <c r="F681" s="472"/>
      <c r="G681" s="472"/>
      <c r="H681" s="622" t="s">
        <v>1782</v>
      </c>
      <c r="I681" s="473" t="s">
        <v>1783</v>
      </c>
      <c r="J681" s="472"/>
      <c r="K681" s="472"/>
      <c r="L681" s="561"/>
      <c r="M681" s="703" t="s">
        <v>5274</v>
      </c>
      <c r="N681" s="692" t="str">
        <f>IF(AND(ISTEXT($A681), ISERROR($A681+0)), HYPERLINK($BF681, "Images"), "")</f>
        <v>Images</v>
      </c>
      <c r="O681" s="694" t="s">
        <v>5247</v>
      </c>
      <c r="P681" s="475"/>
      <c r="Q681" s="476"/>
      <c r="R681" s="476"/>
      <c r="S681" s="477"/>
      <c r="T681" s="102">
        <f t="shared" si="482"/>
        <v>0</v>
      </c>
      <c r="U681" s="78" t="str">
        <f>IF(NOT(ISNUMBER(G681)), "", VLOOKUP(A681,'Discount Lookup'!D:E,2,FALSE)*G681)</f>
        <v/>
      </c>
      <c r="V681" s="78" t="str">
        <f>IF(NOT(ISNUMBER(G681)), "", VLOOKUP(A681,'Discount Lookup'!G:H,2,FALSE)*G681)</f>
        <v/>
      </c>
      <c r="W681" s="102">
        <f t="shared" si="483"/>
        <v>0</v>
      </c>
      <c r="X681" s="102" t="str">
        <f t="shared" si="484"/>
        <v>Soft Pink bloom</v>
      </c>
      <c r="Y681" s="120" t="b">
        <f t="shared" si="485"/>
        <v>0</v>
      </c>
      <c r="Z681" s="117">
        <f t="shared" si="486"/>
        <v>0</v>
      </c>
      <c r="AA681" s="118"/>
      <c r="AB681" s="118" t="str">
        <f t="shared" si="487"/>
        <v/>
      </c>
      <c r="AC681" s="712" t="str">
        <f>IF(AE681="T2G","no charge",IF(AND(OR(PlanterYesMe="No",PlanterYesMe="N",PlanterYesMe="me"),H681=""),"",IF(H681="credit","NO install",IF(AND(K681="",AE681="me"),"EACH row",IF(AND(K681="images",AE681="me"),"EACH row",IF(D681="","",IF(H681="credit","",IF(AE681="free","re-planting",IF(AE681="me","   not ELP, by",IF(AND(OR(PlanterYesMe="Yes",PlanterYesMe="Y"),G681&gt;0),(VLOOKUP(A681,'Discount Lookup'!J:K,2)*G681*(1-PlanterDiscount)*(1+PlanterDifficultyPercentage)),IF(AE681="ELP",(VLOOKUP(A681,'Discount Lookup'!J:K,2)*G681*(1-PlanterDiscount)*(1+PlanterDifficultyPercentage)),IF(AE681="free","re-planting",IF(G681=0,"",IF(PlanterYesMe="",IF(AE681="me","   not ELP, by",IF(AE681="",IF(G681&gt;0,(VLOOKUP(A681,'Discount Lookup'!J:K,2)*G681*(1-PlanterDiscount)*(1+PlanterDifficultyPercentage)),""),"")),"   not ELP, by"))))))))))))))</f>
        <v/>
      </c>
      <c r="AD681" s="712"/>
      <c r="AE681" s="513" t="str">
        <f t="shared" si="488"/>
        <v/>
      </c>
      <c r="AF681" s="713" t="str">
        <f t="shared" si="489"/>
        <v/>
      </c>
      <c r="AG681" s="713"/>
      <c r="AH681" s="713"/>
      <c r="AI681" s="112">
        <f>IF(H681="credit",0,IF(AE681="free",0,IF(AE681="me",0,IF(G681&gt;0,(VLOOKUP(A681,'Discount Lookup'!J:K,2)*G681),0))))</f>
        <v>0</v>
      </c>
      <c r="AJ681" s="107" t="str">
        <f t="shared" ca="1" si="490"/>
        <v/>
      </c>
      <c r="AK681" s="714" t="str">
        <f t="shared" si="491"/>
        <v/>
      </c>
      <c r="AL681" s="714"/>
      <c r="AM681" s="114" t="str">
        <f t="shared" si="492"/>
        <v/>
      </c>
      <c r="AN681" s="115"/>
      <c r="AO681" s="116"/>
      <c r="AP681" s="116"/>
      <c r="AQ681" s="116"/>
      <c r="AR681" s="116"/>
      <c r="AS681" s="116"/>
      <c r="AT681" s="116"/>
      <c r="AU681" s="116"/>
      <c r="AV681" s="78"/>
      <c r="AW681" s="102"/>
      <c r="AX681" s="78"/>
      <c r="AY681" s="78"/>
      <c r="AZ681" s="78"/>
      <c r="BA681" s="78"/>
      <c r="BB681" s="78"/>
      <c r="BC681" s="78"/>
      <c r="BD681" s="78"/>
      <c r="BE681" s="465"/>
      <c r="BF681" s="165" t="str">
        <f t="shared" si="493"/>
        <v>https://www.google.com/search?tbm=isch&amp;q=Camellia%20japonica%20%27Mrs.%20Lyman%20Clarke%27%20Mrs.%20Lyman%20Clarke%20Camellia</v>
      </c>
      <c r="BG681" s="165" t="str">
        <f t="shared" si="494"/>
        <v>C</v>
      </c>
      <c r="BH681" s="65"/>
      <c r="BI681" s="65"/>
      <c r="BJ681" s="65"/>
      <c r="BK681" s="65"/>
      <c r="BL681" s="99"/>
      <c r="BM681" s="99"/>
      <c r="BN681" s="99"/>
    </row>
    <row r="682" spans="1:66" s="51" customFormat="1" ht="15.75" x14ac:dyDescent="0.25">
      <c r="A682" s="478">
        <v>7</v>
      </c>
      <c r="B682" s="479" t="s">
        <v>291</v>
      </c>
      <c r="C682" s="480" t="s">
        <v>1784</v>
      </c>
      <c r="D682" s="481" t="s">
        <v>309</v>
      </c>
      <c r="E682" s="482">
        <v>83.95</v>
      </c>
      <c r="F682" s="483" t="s">
        <v>292</v>
      </c>
      <c r="G682" s="484">
        <v>0</v>
      </c>
      <c r="H682" s="688" t="str">
        <f>IF(G682=0,"",IF(F682="Buy",IF(G682=1,"plant","plants"),IF(F682&gt;0.01,"warranty","Error")))</f>
        <v/>
      </c>
      <c r="I682" s="485">
        <f>IF(H682="free",0,IF(H682="credit",((E682*(F682))*G682*-1),IF(F682="Buy",(E682*G682),((E682*(1-F682))*G682))))</f>
        <v>0</v>
      </c>
      <c r="J682" s="485">
        <f>IF(H682="warranty",0,(I682*(_xlfn.SINGLE(SalesTaxPercentage))))</f>
        <v>0</v>
      </c>
      <c r="K682" s="715">
        <f t="shared" ref="K682" si="507">I682+J682</f>
        <v>0</v>
      </c>
      <c r="L682" s="715"/>
      <c r="M682" s="689" t="str">
        <f ca="1">IF(AND(G682&gt;0,E682=0),"WARNING - no PRICE inserted",IF(H682="free","FREE ~ no charge this plant",IF(H682="credit",CONCATENATE("-$",ROUND(K682*(1-_xlfn.SINGLE(T2GDiscount))*-1,2)," CREDIT after discount"),IF(_xlfn.SINGLE(T2GDiscount)=0,"",IF(G682=0,"",IF(F682="Buy",CONCATENATE("$",ROUND(K682*(1-_xlfn.SINGLE(T2GDiscount)),2)," with ",(_xlfn.SINGLE(T2GDiscount)*100),"% discount"),CONCATENATE("$",ROUND(K682*(1-_xlfn.SINGLE(T2GDiscount)),2)," with ",((_xlfn.SINGLE(T2GDiscount)*100+F682*100)-(_xlfn.SINGLE(T2GDiscount)*100*F682)),IF(F682&gt;0,"% discounts",IF(_xlfn.SINGLE(NoWarrantyDiscount)&gt;0,"% discounts","% discount")))))))))</f>
        <v/>
      </c>
      <c r="N682" s="690"/>
      <c r="O682" s="486"/>
      <c r="P682" s="486"/>
      <c r="Q682" s="486"/>
      <c r="R682" s="486"/>
      <c r="S682" s="486"/>
      <c r="T682" s="102">
        <f t="shared" si="482"/>
        <v>0</v>
      </c>
      <c r="U682" s="78">
        <f>IF(NOT(ISNUMBER(G682)), "", VLOOKUP(A682,'Discount Lookup'!D:E,2,FALSE)*G682)</f>
        <v>0</v>
      </c>
      <c r="V682" s="78">
        <f>IF(NOT(ISNUMBER(G682)), "", VLOOKUP(A682,'Discount Lookup'!G:H,2,FALSE)*G682)</f>
        <v>0</v>
      </c>
      <c r="W682" s="102">
        <f t="shared" si="483"/>
        <v>0</v>
      </c>
      <c r="X682" s="102">
        <f t="shared" si="484"/>
        <v>0</v>
      </c>
      <c r="Y682" s="120" t="b">
        <f t="shared" si="485"/>
        <v>0</v>
      </c>
      <c r="Z682" s="117">
        <f t="shared" si="486"/>
        <v>0</v>
      </c>
      <c r="AA682" s="118"/>
      <c r="AB682" s="118" t="str">
        <f t="shared" si="487"/>
        <v/>
      </c>
      <c r="AC682" s="712" t="str">
        <f>IF(AE682="T2G","no charge",IF(AND(OR(PlanterYesMe="No",PlanterYesMe="N",PlanterYesMe="me"),H682=""),"",IF(H682="credit","NO install",IF(AND(K682="",AE682="me"),"EACH row",IF(AND(K682="images",AE682="me"),"EACH row",IF(D682="","",IF(H682="credit","",IF(AE682="free","re-planting",IF(AE682="me","   not ELP, by",IF(AND(OR(PlanterYesMe="Yes",PlanterYesMe="Y"),G682&gt;0),(VLOOKUP(A682,'Discount Lookup'!J:K,2)*G682*(1-PlanterDiscount)*(1+PlanterDifficultyPercentage)),IF(AE682="ELP",(VLOOKUP(A682,'Discount Lookup'!J:K,2)*G682*(1-PlanterDiscount)*(1+PlanterDifficultyPercentage)),IF(AE682="free","re-planting",IF(G682=0,"",IF(PlanterYesMe="",IF(AE682="me","   not ELP, by",IF(AE682="",IF(G682&gt;0,(VLOOKUP(A682,'Discount Lookup'!J:K,2)*G682*(1-PlanterDiscount)*(1+PlanterDifficultyPercentage)),""),"")),"   not ELP, by"))))))))))))))</f>
        <v/>
      </c>
      <c r="AD682" s="712"/>
      <c r="AE682" s="513" t="str">
        <f t="shared" si="488"/>
        <v/>
      </c>
      <c r="AF682" s="713" t="str">
        <f t="shared" si="489"/>
        <v/>
      </c>
      <c r="AG682" s="713"/>
      <c r="AH682" s="713"/>
      <c r="AI682" s="112">
        <f>IF(H682="credit",0,IF(AE682="free",0,IF(AE682="me",0,IF(G682&gt;0,(VLOOKUP(A682,'Discount Lookup'!J:K,2)*G682),0))))</f>
        <v>0</v>
      </c>
      <c r="AJ682" s="107" t="str">
        <f t="shared" ca="1" si="490"/>
        <v/>
      </c>
      <c r="AK682" s="714" t="str">
        <f t="shared" si="491"/>
        <v/>
      </c>
      <c r="AL682" s="714"/>
      <c r="AM682" s="114" t="str">
        <f t="shared" si="492"/>
        <v/>
      </c>
      <c r="AN682" s="115"/>
      <c r="AO682" s="116"/>
      <c r="AP682" s="116"/>
      <c r="AQ682" s="116"/>
      <c r="AR682" s="116"/>
      <c r="AS682" s="116"/>
      <c r="AT682" s="116"/>
      <c r="AU682" s="116"/>
      <c r="AV682" s="78"/>
      <c r="AW682" s="102"/>
      <c r="AX682" s="78"/>
      <c r="AY682" s="78"/>
      <c r="AZ682" s="78"/>
      <c r="BA682" s="78"/>
      <c r="BB682" s="78"/>
      <c r="BC682" s="78"/>
      <c r="BD682" s="78"/>
      <c r="BE682" s="465"/>
      <c r="BF682" s="165" t="str">
        <f t="shared" si="493"/>
        <v>https://www.google.com/search?tbm=isch&amp;q=7%20G3</v>
      </c>
      <c r="BG682" s="165" t="str">
        <f t="shared" si="494"/>
        <v>C</v>
      </c>
      <c r="BH682" s="65"/>
      <c r="BI682" s="65"/>
      <c r="BJ682" s="65"/>
      <c r="BK682" s="65"/>
      <c r="BL682" s="99"/>
      <c r="BM682" s="99"/>
      <c r="BN682" s="99"/>
    </row>
    <row r="683" spans="1:66" s="51" customFormat="1" ht="17.25" thickBot="1" x14ac:dyDescent="0.3">
      <c r="A683" s="508" t="s">
        <v>1785</v>
      </c>
      <c r="B683" s="487"/>
      <c r="C683" s="707"/>
      <c r="D683" s="487"/>
      <c r="E683" s="487"/>
      <c r="F683" s="488"/>
      <c r="G683" s="489"/>
      <c r="H683" s="487"/>
      <c r="I683" s="490"/>
      <c r="J683" s="490"/>
      <c r="K683" s="491"/>
      <c r="L683" s="547"/>
      <c r="M683" s="528"/>
      <c r="N683" s="492"/>
      <c r="O683" s="493"/>
      <c r="P683" s="494"/>
      <c r="Q683" s="492"/>
      <c r="R683" s="492"/>
      <c r="S683" s="699" t="s">
        <v>5275</v>
      </c>
      <c r="T683" s="102">
        <f t="shared" si="482"/>
        <v>0</v>
      </c>
      <c r="U683" s="78" t="str">
        <f>IF(NOT(ISNUMBER(G683)), "", VLOOKUP(A683,'Discount Lookup'!D:E,2,FALSE)*G683)</f>
        <v/>
      </c>
      <c r="V683" s="78" t="str">
        <f>IF(NOT(ISNUMBER(G683)), "", VLOOKUP(A683,'Discount Lookup'!G:H,2,FALSE)*G683)</f>
        <v/>
      </c>
      <c r="W683" s="102">
        <f t="shared" si="483"/>
        <v>0</v>
      </c>
      <c r="X683" s="102">
        <f t="shared" si="484"/>
        <v>0</v>
      </c>
      <c r="Y683" s="120" t="b">
        <f t="shared" si="485"/>
        <v>0</v>
      </c>
      <c r="Z683" s="117">
        <f t="shared" si="486"/>
        <v>0</v>
      </c>
      <c r="AA683" s="118"/>
      <c r="AB683" s="118" t="str">
        <f t="shared" si="487"/>
        <v/>
      </c>
      <c r="AC683" s="712" t="str">
        <f>IF(AE683="T2G","no charge",IF(AND(OR(PlanterYesMe="No",PlanterYesMe="N",PlanterYesMe="me"),H683=""),"",IF(H683="credit","NO install",IF(AND(K683="",AE683="me"),"EACH row",IF(AND(K683="images",AE683="me"),"EACH row",IF(D683="","",IF(H683="credit","",IF(AE683="free","re-planting",IF(AE683="me","   not ELP, by",IF(AND(OR(PlanterYesMe="Yes",PlanterYesMe="Y"),G683&gt;0),(VLOOKUP(A683,'Discount Lookup'!J:K,2)*G683*(1-PlanterDiscount)*(1+PlanterDifficultyPercentage)),IF(AE683="ELP",(VLOOKUP(A683,'Discount Lookup'!J:K,2)*G683*(1-PlanterDiscount)*(1+PlanterDifficultyPercentage)),IF(AE683="free","re-planting",IF(G683=0,"",IF(PlanterYesMe="",IF(AE683="me","   not ELP, by",IF(AE683="",IF(G683&gt;0,(VLOOKUP(A683,'Discount Lookup'!J:K,2)*G683*(1-PlanterDiscount)*(1+PlanterDifficultyPercentage)),""),"")),"   not ELP, by"))))))))))))))</f>
        <v/>
      </c>
      <c r="AD683" s="712"/>
      <c r="AE683" s="513" t="str">
        <f t="shared" si="488"/>
        <v/>
      </c>
      <c r="AF683" s="713" t="str">
        <f t="shared" si="489"/>
        <v/>
      </c>
      <c r="AG683" s="713"/>
      <c r="AH683" s="713"/>
      <c r="AI683" s="112">
        <f>IF(H683="credit",0,IF(AE683="free",0,IF(AE683="me",0,IF(G683&gt;0,(VLOOKUP(A683,'Discount Lookup'!J:K,2)*G683),0))))</f>
        <v>0</v>
      </c>
      <c r="AJ683" s="107" t="str">
        <f t="shared" ca="1" si="490"/>
        <v/>
      </c>
      <c r="AK683" s="714" t="str">
        <f t="shared" si="491"/>
        <v/>
      </c>
      <c r="AL683" s="714"/>
      <c r="AM683" s="114" t="str">
        <f t="shared" si="492"/>
        <v/>
      </c>
      <c r="AN683" s="115"/>
      <c r="AO683" s="116"/>
      <c r="AP683" s="116"/>
      <c r="AQ683" s="116"/>
      <c r="AR683" s="116"/>
      <c r="AS683" s="116"/>
      <c r="AT683" s="116"/>
      <c r="AU683" s="116"/>
      <c r="AV683" s="78"/>
      <c r="AW683" s="102"/>
      <c r="AX683" s="78"/>
      <c r="AY683" s="78"/>
      <c r="AZ683" s="78"/>
      <c r="BA683" s="78"/>
      <c r="BB683" s="78"/>
      <c r="BC683" s="78"/>
      <c r="BD683" s="78"/>
      <c r="BE683" s="465"/>
      <c r="BF683" s="165" t="str">
        <f t="shared" si="493"/>
        <v>https://www.google.com/search?tbm=isch&amp;q=Mrs.%20Lyman%20Clarke%20offers%20multi-toned%20blooms%20from%20late%20winter%20to%20early%20spring.%20The%20anemone-style%20flowers%20are%20excellent%20for%20cutting%20</v>
      </c>
      <c r="BG683" s="165" t="str">
        <f t="shared" si="494"/>
        <v>M</v>
      </c>
      <c r="BH683" s="65"/>
      <c r="BI683" s="65"/>
      <c r="BJ683" s="65"/>
      <c r="BK683" s="65"/>
      <c r="BL683" s="99"/>
      <c r="BM683" s="99"/>
      <c r="BN683" s="99"/>
    </row>
    <row r="684" spans="1:66" s="51" customFormat="1" ht="18" x14ac:dyDescent="0.25">
      <c r="A684" s="507" t="s">
        <v>1786</v>
      </c>
      <c r="B684" s="470"/>
      <c r="C684" s="706"/>
      <c r="D684" s="471" t="s">
        <v>1787</v>
      </c>
      <c r="E684" s="472"/>
      <c r="F684" s="472"/>
      <c r="G684" s="472"/>
      <c r="H684" s="622" t="s">
        <v>1246</v>
      </c>
      <c r="I684" s="473" t="s">
        <v>1788</v>
      </c>
      <c r="J684" s="472"/>
      <c r="K684" s="472"/>
      <c r="L684" s="561"/>
      <c r="M684" s="703" t="s">
        <v>5274</v>
      </c>
      <c r="N684" s="692" t="str">
        <f>IF(AND(ISTEXT($A684), ISERROR($A684+0)), HYPERLINK($BF684, "Images"), "")</f>
        <v>Images</v>
      </c>
      <c r="O684" s="694" t="s">
        <v>5247</v>
      </c>
      <c r="P684" s="475"/>
      <c r="Q684" s="476"/>
      <c r="R684" s="476"/>
      <c r="S684" s="477"/>
      <c r="T684" s="102">
        <f t="shared" si="482"/>
        <v>0</v>
      </c>
      <c r="U684" s="78" t="str">
        <f>IF(NOT(ISNUMBER(G684)), "", VLOOKUP(A684,'Discount Lookup'!D:E,2,FALSE)*G684)</f>
        <v/>
      </c>
      <c r="V684" s="78" t="str">
        <f>IF(NOT(ISNUMBER(G684)), "", VLOOKUP(A684,'Discount Lookup'!G:H,2,FALSE)*G684)</f>
        <v/>
      </c>
      <c r="W684" s="102">
        <f t="shared" si="483"/>
        <v>0</v>
      </c>
      <c r="X684" s="102" t="str">
        <f t="shared" si="484"/>
        <v>Crimson-Red bloom</v>
      </c>
      <c r="Y684" s="120" t="b">
        <f t="shared" si="485"/>
        <v>0</v>
      </c>
      <c r="Z684" s="117">
        <f t="shared" si="486"/>
        <v>0</v>
      </c>
      <c r="AA684" s="118"/>
      <c r="AB684" s="118" t="str">
        <f t="shared" si="487"/>
        <v/>
      </c>
      <c r="AC684" s="712" t="str">
        <f>IF(AE684="T2G","no charge",IF(AND(OR(PlanterYesMe="No",PlanterYesMe="N",PlanterYesMe="me"),H684=""),"",IF(H684="credit","NO install",IF(AND(K684="",AE684="me"),"EACH row",IF(AND(K684="images",AE684="me"),"EACH row",IF(D684="","",IF(H684="credit","",IF(AE684="free","re-planting",IF(AE684="me","   not ELP, by",IF(AND(OR(PlanterYesMe="Yes",PlanterYesMe="Y"),G684&gt;0),(VLOOKUP(A684,'Discount Lookup'!J:K,2)*G684*(1-PlanterDiscount)*(1+PlanterDifficultyPercentage)),IF(AE684="ELP",(VLOOKUP(A684,'Discount Lookup'!J:K,2)*G684*(1-PlanterDiscount)*(1+PlanterDifficultyPercentage)),IF(AE684="free","re-planting",IF(G684=0,"",IF(PlanterYesMe="",IF(AE684="me","   not ELP, by",IF(AE684="",IF(G684&gt;0,(VLOOKUP(A684,'Discount Lookup'!J:K,2)*G684*(1-PlanterDiscount)*(1+PlanterDifficultyPercentage)),""),"")),"   not ELP, by"))))))))))))))</f>
        <v/>
      </c>
      <c r="AD684" s="712"/>
      <c r="AE684" s="513" t="str">
        <f t="shared" si="488"/>
        <v/>
      </c>
      <c r="AF684" s="713" t="str">
        <f t="shared" si="489"/>
        <v/>
      </c>
      <c r="AG684" s="713"/>
      <c r="AH684" s="713"/>
      <c r="AI684" s="112">
        <f>IF(H684="credit",0,IF(AE684="free",0,IF(AE684="me",0,IF(G684&gt;0,(VLOOKUP(A684,'Discount Lookup'!J:K,2)*G684),0))))</f>
        <v>0</v>
      </c>
      <c r="AJ684" s="107" t="str">
        <f t="shared" ca="1" si="490"/>
        <v/>
      </c>
      <c r="AK684" s="714" t="str">
        <f t="shared" si="491"/>
        <v/>
      </c>
      <c r="AL684" s="714"/>
      <c r="AM684" s="114" t="str">
        <f t="shared" si="492"/>
        <v/>
      </c>
      <c r="AN684" s="115"/>
      <c r="AO684" s="116"/>
      <c r="AP684" s="116"/>
      <c r="AQ684" s="116"/>
      <c r="AR684" s="116"/>
      <c r="AS684" s="116"/>
      <c r="AT684" s="116"/>
      <c r="AU684" s="116"/>
      <c r="AV684" s="78"/>
      <c r="AW684" s="102"/>
      <c r="AX684" s="78"/>
      <c r="AY684" s="78"/>
      <c r="AZ684" s="78"/>
      <c r="BA684" s="78"/>
      <c r="BB684" s="78"/>
      <c r="BC684" s="78"/>
      <c r="BD684" s="78"/>
      <c r="BE684" s="465"/>
      <c r="BF684" s="165" t="str">
        <f t="shared" si="493"/>
        <v>https://www.google.com/search?tbm=isch&amp;q=Camellia%20japonica%20%27Professor%20Sargent%27%20Professor%20Sargent%20Camellia</v>
      </c>
      <c r="BG684" s="165" t="str">
        <f t="shared" si="494"/>
        <v>C</v>
      </c>
      <c r="BH684" s="65"/>
      <c r="BI684" s="65"/>
      <c r="BJ684" s="65"/>
      <c r="BK684" s="65"/>
      <c r="BL684" s="99"/>
      <c r="BM684" s="99"/>
      <c r="BN684" s="99"/>
    </row>
    <row r="685" spans="1:66" s="51" customFormat="1" ht="15.75" x14ac:dyDescent="0.25">
      <c r="A685" s="478">
        <v>7</v>
      </c>
      <c r="B685" s="479" t="s">
        <v>291</v>
      </c>
      <c r="C685" s="480" t="s">
        <v>1789</v>
      </c>
      <c r="D685" s="481" t="s">
        <v>299</v>
      </c>
      <c r="E685" s="482">
        <v>104.95</v>
      </c>
      <c r="F685" s="483" t="s">
        <v>292</v>
      </c>
      <c r="G685" s="484">
        <v>0</v>
      </c>
      <c r="H685" s="688" t="str">
        <f>IF(G685=0,"",IF(F685="Buy",IF(G685=1,"plant","plants"),IF(F685&gt;0.01,"warranty","Error")))</f>
        <v/>
      </c>
      <c r="I685" s="485">
        <f>IF(H685="free",0,IF(H685="credit",((E685*(F685))*G685*-1),IF(F685="Buy",(E685*G685),((E685*(1-F685))*G685))))</f>
        <v>0</v>
      </c>
      <c r="J685" s="485">
        <f>IF(H685="warranty",0,(I685*(_xlfn.SINGLE(SalesTaxPercentage))))</f>
        <v>0</v>
      </c>
      <c r="K685" s="715">
        <f t="shared" ref="K685" si="508">I685+J685</f>
        <v>0</v>
      </c>
      <c r="L685" s="715"/>
      <c r="M685" s="689" t="str">
        <f ca="1">IF(AND(G685&gt;0,E685=0),"WARNING - no PRICE inserted",IF(H685="free","FREE ~ no charge this plant",IF(H685="credit",CONCATENATE("-$",ROUND(K685*(1-_xlfn.SINGLE(T2GDiscount))*-1,2)," CREDIT after discount"),IF(_xlfn.SINGLE(T2GDiscount)=0,"",IF(G685=0,"",IF(F685="Buy",CONCATENATE("$",ROUND(K685*(1-_xlfn.SINGLE(T2GDiscount)),2)," with ",(_xlfn.SINGLE(T2GDiscount)*100),"% discount"),CONCATENATE("$",ROUND(K685*(1-_xlfn.SINGLE(T2GDiscount)),2)," with ",((_xlfn.SINGLE(T2GDiscount)*100+F685*100)-(_xlfn.SINGLE(T2GDiscount)*100*F685)),IF(F685&gt;0,"% discounts",IF(_xlfn.SINGLE(NoWarrantyDiscount)&gt;0,"% discounts","% discount")))))))))</f>
        <v/>
      </c>
      <c r="N685" s="690"/>
      <c r="O685" s="486"/>
      <c r="P685" s="486"/>
      <c r="Q685" s="486"/>
      <c r="R685" s="486"/>
      <c r="S685" s="486"/>
      <c r="T685" s="102">
        <f t="shared" si="482"/>
        <v>0</v>
      </c>
      <c r="U685" s="78">
        <f>IF(NOT(ISNUMBER(G685)), "", VLOOKUP(A685,'Discount Lookup'!D:E,2,FALSE)*G685)</f>
        <v>0</v>
      </c>
      <c r="V685" s="78">
        <f>IF(NOT(ISNUMBER(G685)), "", VLOOKUP(A685,'Discount Lookup'!G:H,2,FALSE)*G685)</f>
        <v>0</v>
      </c>
      <c r="W685" s="102">
        <f t="shared" si="483"/>
        <v>0</v>
      </c>
      <c r="X685" s="102">
        <f t="shared" si="484"/>
        <v>0</v>
      </c>
      <c r="Y685" s="120" t="b">
        <f t="shared" si="485"/>
        <v>0</v>
      </c>
      <c r="Z685" s="117">
        <f t="shared" si="486"/>
        <v>0</v>
      </c>
      <c r="AA685" s="118"/>
      <c r="AB685" s="118" t="str">
        <f t="shared" si="487"/>
        <v/>
      </c>
      <c r="AC685" s="712" t="str">
        <f>IF(AE685="T2G","no charge",IF(AND(OR(PlanterYesMe="No",PlanterYesMe="N",PlanterYesMe="me"),H685=""),"",IF(H685="credit","NO install",IF(AND(K685="",AE685="me"),"EACH row",IF(AND(K685="images",AE685="me"),"EACH row",IF(D685="","",IF(H685="credit","",IF(AE685="free","re-planting",IF(AE685="me","   not ELP, by",IF(AND(OR(PlanterYesMe="Yes",PlanterYesMe="Y"),G685&gt;0),(VLOOKUP(A685,'Discount Lookup'!J:K,2)*G685*(1-PlanterDiscount)*(1+PlanterDifficultyPercentage)),IF(AE685="ELP",(VLOOKUP(A685,'Discount Lookup'!J:K,2)*G685*(1-PlanterDiscount)*(1+PlanterDifficultyPercentage)),IF(AE685="free","re-planting",IF(G685=0,"",IF(PlanterYesMe="",IF(AE685="me","   not ELP, by",IF(AE685="",IF(G685&gt;0,(VLOOKUP(A685,'Discount Lookup'!J:K,2)*G685*(1-PlanterDiscount)*(1+PlanterDifficultyPercentage)),""),"")),"   not ELP, by"))))))))))))))</f>
        <v/>
      </c>
      <c r="AD685" s="712"/>
      <c r="AE685" s="513" t="str">
        <f t="shared" si="488"/>
        <v/>
      </c>
      <c r="AF685" s="713" t="str">
        <f t="shared" si="489"/>
        <v/>
      </c>
      <c r="AG685" s="713"/>
      <c r="AH685" s="713"/>
      <c r="AI685" s="112">
        <f>IF(H685="credit",0,IF(AE685="free",0,IF(AE685="me",0,IF(G685&gt;0,(VLOOKUP(A685,'Discount Lookup'!J:K,2)*G685),0))))</f>
        <v>0</v>
      </c>
      <c r="AJ685" s="107" t="str">
        <f t="shared" ca="1" si="490"/>
        <v/>
      </c>
      <c r="AK685" s="714" t="str">
        <f t="shared" si="491"/>
        <v/>
      </c>
      <c r="AL685" s="714"/>
      <c r="AM685" s="114" t="str">
        <f t="shared" si="492"/>
        <v/>
      </c>
      <c r="AN685" s="115"/>
      <c r="AO685" s="116"/>
      <c r="AP685" s="116"/>
      <c r="AQ685" s="116"/>
      <c r="AR685" s="116"/>
      <c r="AS685" s="116"/>
      <c r="AT685" s="116"/>
      <c r="AU685" s="116"/>
      <c r="AV685" s="78"/>
      <c r="AW685" s="102"/>
      <c r="AX685" s="78"/>
      <c r="AY685" s="78"/>
      <c r="AZ685" s="78"/>
      <c r="BA685" s="78"/>
      <c r="BB685" s="78"/>
      <c r="BC685" s="78"/>
      <c r="BD685" s="78"/>
      <c r="BE685" s="465"/>
      <c r="BF685" s="165" t="str">
        <f t="shared" si="493"/>
        <v>https://www.google.com/search?tbm=isch&amp;q=7%20G4</v>
      </c>
      <c r="BG685" s="165" t="str">
        <f t="shared" si="494"/>
        <v>C</v>
      </c>
      <c r="BH685" s="65"/>
      <c r="BI685" s="65"/>
      <c r="BJ685" s="65"/>
      <c r="BK685" s="65"/>
      <c r="BL685" s="99"/>
      <c r="BM685" s="99"/>
      <c r="BN685" s="99"/>
    </row>
    <row r="686" spans="1:66" s="51" customFormat="1" ht="15.75" x14ac:dyDescent="0.25">
      <c r="A686" s="478">
        <v>15</v>
      </c>
      <c r="B686" s="479" t="s">
        <v>291</v>
      </c>
      <c r="C686" s="480" t="s">
        <v>1790</v>
      </c>
      <c r="D686" s="481" t="s">
        <v>299</v>
      </c>
      <c r="E686" s="482">
        <v>217.95</v>
      </c>
      <c r="F686" s="483" t="s">
        <v>292</v>
      </c>
      <c r="G686" s="484">
        <v>0</v>
      </c>
      <c r="H686" s="688" t="str">
        <f>IF(G686=0,"",IF(F686="Buy",IF(G686=1,"plant","plants"),IF(F686&gt;0.01,"warranty","Error")))</f>
        <v/>
      </c>
      <c r="I686" s="485">
        <f>IF(H686="free",0,IF(H686="credit",((E686*(F686))*G686*-1),IF(F686="Buy",(E686*G686),((E686*(1-F686))*G686))))</f>
        <v>0</v>
      </c>
      <c r="J686" s="485">
        <f>IF(H686="warranty",0,(I686*(_xlfn.SINGLE(SalesTaxPercentage))))</f>
        <v>0</v>
      </c>
      <c r="K686" s="715">
        <f t="shared" ref="K686" si="509">I686+J686</f>
        <v>0</v>
      </c>
      <c r="L686" s="715"/>
      <c r="M686" s="689" t="str">
        <f ca="1">IF(AND(G686&gt;0,E686=0),"WARNING - no PRICE inserted",IF(H686="free","FREE ~ no charge this plant",IF(H686="credit",CONCATENATE("-$",ROUND(K686*(1-_xlfn.SINGLE(T2GDiscount))*-1,2)," CREDIT after discount"),IF(_xlfn.SINGLE(T2GDiscount)=0,"",IF(G686=0,"",IF(F686="Buy",CONCATENATE("$",ROUND(K686*(1-_xlfn.SINGLE(T2GDiscount)),2)," with ",(_xlfn.SINGLE(T2GDiscount)*100),"% discount"),CONCATENATE("$",ROUND(K686*(1-_xlfn.SINGLE(T2GDiscount)),2)," with ",((_xlfn.SINGLE(T2GDiscount)*100+F686*100)-(_xlfn.SINGLE(T2GDiscount)*100*F686)),IF(F686&gt;0,"% discounts",IF(_xlfn.SINGLE(NoWarrantyDiscount)&gt;0,"% discounts","% discount")))))))))</f>
        <v/>
      </c>
      <c r="N686" s="690"/>
      <c r="O686" s="486"/>
      <c r="P686" s="486"/>
      <c r="Q686" s="486"/>
      <c r="R686" s="486"/>
      <c r="S686" s="486"/>
      <c r="T686" s="102">
        <f t="shared" si="482"/>
        <v>0</v>
      </c>
      <c r="U686" s="78">
        <f>IF(NOT(ISNUMBER(G686)), "", VLOOKUP(A686,'Discount Lookup'!D:E,2,FALSE)*G686)</f>
        <v>0</v>
      </c>
      <c r="V686" s="78">
        <f>IF(NOT(ISNUMBER(G686)), "", VLOOKUP(A686,'Discount Lookup'!G:H,2,FALSE)*G686)</f>
        <v>0</v>
      </c>
      <c r="W686" s="102">
        <f t="shared" si="483"/>
        <v>0</v>
      </c>
      <c r="X686" s="102">
        <f t="shared" si="484"/>
        <v>0</v>
      </c>
      <c r="Y686" s="120" t="b">
        <f t="shared" si="485"/>
        <v>0</v>
      </c>
      <c r="Z686" s="117">
        <f t="shared" si="486"/>
        <v>0</v>
      </c>
      <c r="AA686" s="118"/>
      <c r="AB686" s="118" t="str">
        <f t="shared" si="487"/>
        <v/>
      </c>
      <c r="AC686" s="712" t="str">
        <f>IF(AE686="T2G","no charge",IF(AND(OR(PlanterYesMe="No",PlanterYesMe="N",PlanterYesMe="me"),H686=""),"",IF(H686="credit","NO install",IF(AND(K686="",AE686="me"),"EACH row",IF(AND(K686="images",AE686="me"),"EACH row",IF(D686="","",IF(H686="credit","",IF(AE686="free","re-planting",IF(AE686="me","   not ELP, by",IF(AND(OR(PlanterYesMe="Yes",PlanterYesMe="Y"),G686&gt;0),(VLOOKUP(A686,'Discount Lookup'!J:K,2)*G686*(1-PlanterDiscount)*(1+PlanterDifficultyPercentage)),IF(AE686="ELP",(VLOOKUP(A686,'Discount Lookup'!J:K,2)*G686*(1-PlanterDiscount)*(1+PlanterDifficultyPercentage)),IF(AE686="free","re-planting",IF(G686=0,"",IF(PlanterYesMe="",IF(AE686="me","   not ELP, by",IF(AE686="",IF(G686&gt;0,(VLOOKUP(A686,'Discount Lookup'!J:K,2)*G686*(1-PlanterDiscount)*(1+PlanterDifficultyPercentage)),""),"")),"   not ELP, by"))))))))))))))</f>
        <v/>
      </c>
      <c r="AD686" s="712"/>
      <c r="AE686" s="513" t="str">
        <f t="shared" si="488"/>
        <v/>
      </c>
      <c r="AF686" s="713" t="str">
        <f t="shared" si="489"/>
        <v/>
      </c>
      <c r="AG686" s="713"/>
      <c r="AH686" s="713"/>
      <c r="AI686" s="112">
        <f>IF(H686="credit",0,IF(AE686="free",0,IF(AE686="me",0,IF(G686&gt;0,(VLOOKUP(A686,'Discount Lookup'!J:K,2)*G686),0))))</f>
        <v>0</v>
      </c>
      <c r="AJ686" s="107" t="str">
        <f t="shared" ca="1" si="490"/>
        <v/>
      </c>
      <c r="AK686" s="714" t="str">
        <f t="shared" si="491"/>
        <v/>
      </c>
      <c r="AL686" s="714"/>
      <c r="AM686" s="114" t="str">
        <f t="shared" si="492"/>
        <v/>
      </c>
      <c r="AN686" s="115"/>
      <c r="AO686" s="116"/>
      <c r="AP686" s="116"/>
      <c r="AQ686" s="116"/>
      <c r="AR686" s="116"/>
      <c r="AS686" s="116"/>
      <c r="AT686" s="116"/>
      <c r="AU686" s="116"/>
      <c r="AV686" s="78"/>
      <c r="AW686" s="102"/>
      <c r="AX686" s="78"/>
      <c r="AY686" s="78"/>
      <c r="AZ686" s="78"/>
      <c r="BA686" s="78"/>
      <c r="BB686" s="78"/>
      <c r="BC686" s="78"/>
      <c r="BD686" s="78"/>
      <c r="BE686" s="465"/>
      <c r="BF686" s="165" t="str">
        <f t="shared" si="493"/>
        <v>https://www.google.com/search?tbm=isch&amp;q=15%20G4</v>
      </c>
      <c r="BG686" s="165" t="str">
        <f t="shared" si="494"/>
        <v>C</v>
      </c>
      <c r="BH686" s="65"/>
      <c r="BI686" s="65"/>
      <c r="BJ686" s="65"/>
      <c r="BK686" s="65"/>
      <c r="BL686" s="99"/>
      <c r="BM686" s="99"/>
      <c r="BN686" s="99"/>
    </row>
    <row r="687" spans="1:66" s="51" customFormat="1" ht="27" x14ac:dyDescent="0.25">
      <c r="A687" s="478">
        <v>15</v>
      </c>
      <c r="B687" s="479" t="s">
        <v>291</v>
      </c>
      <c r="C687" s="480" t="s">
        <v>1791</v>
      </c>
      <c r="D687" s="481" t="s">
        <v>299</v>
      </c>
      <c r="E687" s="482">
        <v>217.95</v>
      </c>
      <c r="F687" s="483" t="s">
        <v>292</v>
      </c>
      <c r="G687" s="484">
        <v>0</v>
      </c>
      <c r="H687" s="688" t="str">
        <f>IF(G687=0,"",IF(F687="Buy",IF(G687=1,"plant","plants"),IF(F687&gt;0.01,"warranty","Error")))</f>
        <v/>
      </c>
      <c r="I687" s="485">
        <f>IF(H687="free",0,IF(H687="credit",((E687*(F687))*G687*-1),IF(F687="Buy",(E687*G687),((E687*(1-F687))*G687))))</f>
        <v>0</v>
      </c>
      <c r="J687" s="485">
        <f>IF(H687="warranty",0,(I687*(_xlfn.SINGLE(SalesTaxPercentage))))</f>
        <v>0</v>
      </c>
      <c r="K687" s="715">
        <f t="shared" ref="K687" si="510">I687+J687</f>
        <v>0</v>
      </c>
      <c r="L687" s="715"/>
      <c r="M687" s="689" t="str">
        <f ca="1">IF(AND(G687&gt;0,E687=0),"WARNING - no PRICE inserted",IF(H687="free","FREE ~ no charge this plant",IF(H687="credit",CONCATENATE("-$",ROUND(K687*(1-_xlfn.SINGLE(T2GDiscount))*-1,2)," CREDIT after discount"),IF(_xlfn.SINGLE(T2GDiscount)=0,"",IF(G687=0,"",IF(F687="Buy",CONCATENATE("$",ROUND(K687*(1-_xlfn.SINGLE(T2GDiscount)),2)," with ",(_xlfn.SINGLE(T2GDiscount)*100),"% discount"),CONCATENATE("$",ROUND(K687*(1-_xlfn.SINGLE(T2GDiscount)),2)," with ",((_xlfn.SINGLE(T2GDiscount)*100+F687*100)-(_xlfn.SINGLE(T2GDiscount)*100*F687)),IF(F687&gt;0,"% discounts",IF(_xlfn.SINGLE(NoWarrantyDiscount)&gt;0,"% discounts","% discount")))))))))</f>
        <v/>
      </c>
      <c r="N687" s="690"/>
      <c r="O687" s="486"/>
      <c r="P687" s="486"/>
      <c r="Q687" s="486"/>
      <c r="R687" s="486"/>
      <c r="S687" s="486"/>
      <c r="T687" s="102">
        <f t="shared" si="482"/>
        <v>0</v>
      </c>
      <c r="U687" s="78">
        <f>IF(NOT(ISNUMBER(G687)), "", VLOOKUP(A687,'Discount Lookup'!D:E,2,FALSE)*G687)</f>
        <v>0</v>
      </c>
      <c r="V687" s="78">
        <f>IF(NOT(ISNUMBER(G687)), "", VLOOKUP(A687,'Discount Lookup'!G:H,2,FALSE)*G687)</f>
        <v>0</v>
      </c>
      <c r="W687" s="102">
        <f t="shared" si="483"/>
        <v>0</v>
      </c>
      <c r="X687" s="102">
        <f t="shared" si="484"/>
        <v>0</v>
      </c>
      <c r="Y687" s="120" t="b">
        <f t="shared" si="485"/>
        <v>0</v>
      </c>
      <c r="Z687" s="117">
        <f t="shared" si="486"/>
        <v>0</v>
      </c>
      <c r="AA687" s="118"/>
      <c r="AB687" s="118" t="str">
        <f t="shared" si="487"/>
        <v/>
      </c>
      <c r="AC687" s="712" t="str">
        <f>IF(AE687="T2G","no charge",IF(AND(OR(PlanterYesMe="No",PlanterYesMe="N",PlanterYesMe="me"),H687=""),"",IF(H687="credit","NO install",IF(AND(K687="",AE687="me"),"EACH row",IF(AND(K687="images",AE687="me"),"EACH row",IF(D687="","",IF(H687="credit","",IF(AE687="free","re-planting",IF(AE687="me","   not ELP, by",IF(AND(OR(PlanterYesMe="Yes",PlanterYesMe="Y"),G687&gt;0),(VLOOKUP(A687,'Discount Lookup'!J:K,2)*G687*(1-PlanterDiscount)*(1+PlanterDifficultyPercentage)),IF(AE687="ELP",(VLOOKUP(A687,'Discount Lookup'!J:K,2)*G687*(1-PlanterDiscount)*(1+PlanterDifficultyPercentage)),IF(AE687="free","re-planting",IF(G687=0,"",IF(PlanterYesMe="",IF(AE687="me","   not ELP, by",IF(AE687="",IF(G687&gt;0,(VLOOKUP(A687,'Discount Lookup'!J:K,2)*G687*(1-PlanterDiscount)*(1+PlanterDifficultyPercentage)),""),"")),"   not ELP, by"))))))))))))))</f>
        <v/>
      </c>
      <c r="AD687" s="712"/>
      <c r="AE687" s="513" t="str">
        <f t="shared" si="488"/>
        <v/>
      </c>
      <c r="AF687" s="713" t="str">
        <f t="shared" si="489"/>
        <v/>
      </c>
      <c r="AG687" s="713"/>
      <c r="AH687" s="713"/>
      <c r="AI687" s="112">
        <f>IF(H687="credit",0,IF(AE687="free",0,IF(AE687="me",0,IF(G687&gt;0,(VLOOKUP(A687,'Discount Lookup'!J:K,2)*G687),0))))</f>
        <v>0</v>
      </c>
      <c r="AJ687" s="107" t="str">
        <f t="shared" ca="1" si="490"/>
        <v/>
      </c>
      <c r="AK687" s="714" t="str">
        <f t="shared" si="491"/>
        <v/>
      </c>
      <c r="AL687" s="714"/>
      <c r="AM687" s="114" t="str">
        <f t="shared" si="492"/>
        <v/>
      </c>
      <c r="AN687" s="115"/>
      <c r="AO687" s="116"/>
      <c r="AP687" s="116"/>
      <c r="AQ687" s="116"/>
      <c r="AR687" s="116"/>
      <c r="AS687" s="116"/>
      <c r="AT687" s="116"/>
      <c r="AU687" s="116"/>
      <c r="AV687" s="78"/>
      <c r="AW687" s="102"/>
      <c r="AX687" s="78"/>
      <c r="AY687" s="78"/>
      <c r="AZ687" s="78"/>
      <c r="BA687" s="78"/>
      <c r="BB687" s="78"/>
      <c r="BC687" s="78"/>
      <c r="BD687" s="78"/>
      <c r="BE687" s="465"/>
      <c r="BF687" s="165" t="str">
        <f t="shared" si="493"/>
        <v>https://www.google.com/search?tbm=isch&amp;q=15%20G4</v>
      </c>
      <c r="BG687" s="165" t="str">
        <f t="shared" si="494"/>
        <v>C</v>
      </c>
      <c r="BH687" s="65"/>
      <c r="BI687" s="65"/>
      <c r="BJ687" s="65"/>
      <c r="BK687" s="65"/>
      <c r="BL687" s="99"/>
      <c r="BM687" s="99"/>
      <c r="BN687" s="99"/>
    </row>
    <row r="688" spans="1:66" s="51" customFormat="1" ht="17.25" thickBot="1" x14ac:dyDescent="0.3">
      <c r="A688" s="508" t="s">
        <v>1792</v>
      </c>
      <c r="B688" s="487"/>
      <c r="C688" s="707"/>
      <c r="D688" s="487"/>
      <c r="E688" s="487"/>
      <c r="F688" s="488"/>
      <c r="G688" s="489"/>
      <c r="H688" s="487"/>
      <c r="I688" s="490"/>
      <c r="J688" s="490"/>
      <c r="K688" s="491"/>
      <c r="L688" s="547"/>
      <c r="M688" s="528"/>
      <c r="N688" s="492"/>
      <c r="O688" s="493"/>
      <c r="P688" s="494"/>
      <c r="Q688" s="492"/>
      <c r="R688" s="492"/>
      <c r="S688" s="699" t="s">
        <v>5275</v>
      </c>
      <c r="T688" s="102">
        <f t="shared" si="482"/>
        <v>0</v>
      </c>
      <c r="U688" s="78" t="str">
        <f>IF(NOT(ISNUMBER(G688)), "", VLOOKUP(A688,'Discount Lookup'!D:E,2,FALSE)*G688)</f>
        <v/>
      </c>
      <c r="V688" s="78" t="str">
        <f>IF(NOT(ISNUMBER(G688)), "", VLOOKUP(A688,'Discount Lookup'!G:H,2,FALSE)*G688)</f>
        <v/>
      </c>
      <c r="W688" s="102">
        <f t="shared" si="483"/>
        <v>0</v>
      </c>
      <c r="X688" s="102">
        <f t="shared" si="484"/>
        <v>0</v>
      </c>
      <c r="Y688" s="120" t="b">
        <f t="shared" si="485"/>
        <v>0</v>
      </c>
      <c r="Z688" s="117">
        <f t="shared" si="486"/>
        <v>0</v>
      </c>
      <c r="AA688" s="118"/>
      <c r="AB688" s="118" t="str">
        <f t="shared" si="487"/>
        <v/>
      </c>
      <c r="AC688" s="712" t="str">
        <f>IF(AE688="T2G","no charge",IF(AND(OR(PlanterYesMe="No",PlanterYesMe="N",PlanterYesMe="me"),H688=""),"",IF(H688="credit","NO install",IF(AND(K688="",AE688="me"),"EACH row",IF(AND(K688="images",AE688="me"),"EACH row",IF(D688="","",IF(H688="credit","",IF(AE688="free","re-planting",IF(AE688="me","   not ELP, by",IF(AND(OR(PlanterYesMe="Yes",PlanterYesMe="Y"),G688&gt;0),(VLOOKUP(A688,'Discount Lookup'!J:K,2)*G688*(1-PlanterDiscount)*(1+PlanterDifficultyPercentage)),IF(AE688="ELP",(VLOOKUP(A688,'Discount Lookup'!J:K,2)*G688*(1-PlanterDiscount)*(1+PlanterDifficultyPercentage)),IF(AE688="free","re-planting",IF(G688=0,"",IF(PlanterYesMe="",IF(AE688="me","   not ELP, by",IF(AE688="",IF(G688&gt;0,(VLOOKUP(A688,'Discount Lookup'!J:K,2)*G688*(1-PlanterDiscount)*(1+PlanterDifficultyPercentage)),""),"")),"   not ELP, by"))))))))))))))</f>
        <v/>
      </c>
      <c r="AD688" s="712"/>
      <c r="AE688" s="513" t="str">
        <f t="shared" si="488"/>
        <v/>
      </c>
      <c r="AF688" s="713" t="str">
        <f t="shared" si="489"/>
        <v/>
      </c>
      <c r="AG688" s="713"/>
      <c r="AH688" s="713"/>
      <c r="AI688" s="112">
        <f>IF(H688="credit",0,IF(AE688="free",0,IF(AE688="me",0,IF(G688&gt;0,(VLOOKUP(A688,'Discount Lookup'!J:K,2)*G688),0))))</f>
        <v>0</v>
      </c>
      <c r="AJ688" s="107" t="str">
        <f t="shared" ca="1" si="490"/>
        <v/>
      </c>
      <c r="AK688" s="714" t="str">
        <f t="shared" si="491"/>
        <v/>
      </c>
      <c r="AL688" s="714"/>
      <c r="AM688" s="114" t="str">
        <f t="shared" si="492"/>
        <v/>
      </c>
      <c r="AN688" s="115"/>
      <c r="AO688" s="116"/>
      <c r="AP688" s="116"/>
      <c r="AQ688" s="116"/>
      <c r="AR688" s="116"/>
      <c r="AS688" s="116"/>
      <c r="AT688" s="116"/>
      <c r="AU688" s="116"/>
      <c r="AV688" s="78"/>
      <c r="AW688" s="102"/>
      <c r="AX688" s="78"/>
      <c r="AY688" s="78"/>
      <c r="AZ688" s="78"/>
      <c r="BA688" s="78"/>
      <c r="BB688" s="78"/>
      <c r="BC688" s="78"/>
      <c r="BD688" s="78"/>
      <c r="BE688" s="465"/>
      <c r="BF688" s="165" t="str">
        <f t="shared" si="493"/>
        <v>https://www.google.com/search?tbm=isch&amp;q=Professor%20Sargent%20is%20known%20for%20its%20abundant%20peony-like%20blooms%20that%20provide%20striking%20winter%20and%20early%20spring%20color%20</v>
      </c>
      <c r="BG688" s="165" t="str">
        <f t="shared" si="494"/>
        <v>P</v>
      </c>
      <c r="BH688" s="65"/>
      <c r="BI688" s="65"/>
      <c r="BJ688" s="65"/>
      <c r="BK688" s="65"/>
      <c r="BL688" s="99"/>
      <c r="BM688" s="99"/>
      <c r="BN688" s="99"/>
    </row>
    <row r="689" spans="1:66" s="51" customFormat="1" ht="18" x14ac:dyDescent="0.25">
      <c r="A689" s="507" t="s">
        <v>1793</v>
      </c>
      <c r="B689" s="470"/>
      <c r="C689" s="706"/>
      <c r="D689" s="471" t="s">
        <v>1794</v>
      </c>
      <c r="E689" s="472"/>
      <c r="F689" s="472"/>
      <c r="G689" s="472"/>
      <c r="H689" s="622" t="s">
        <v>1231</v>
      </c>
      <c r="I689" s="473" t="s">
        <v>1795</v>
      </c>
      <c r="J689" s="472"/>
      <c r="K689" s="472"/>
      <c r="L689" s="561"/>
      <c r="M689" s="703" t="s">
        <v>5260</v>
      </c>
      <c r="N689" s="692" t="str">
        <f>IF(AND(ISTEXT($A689), ISERROR($A689+0)), HYPERLINK($BF689, "Images"), "")</f>
        <v>Images</v>
      </c>
      <c r="O689" s="694" t="s">
        <v>5247</v>
      </c>
      <c r="P689" s="475"/>
      <c r="Q689" s="476"/>
      <c r="R689" s="476"/>
      <c r="S689" s="477"/>
      <c r="T689" s="102">
        <f t="shared" si="482"/>
        <v>0</v>
      </c>
      <c r="U689" s="78" t="str">
        <f>IF(NOT(ISNUMBER(G689)), "", VLOOKUP(A689,'Discount Lookup'!D:E,2,FALSE)*G689)</f>
        <v/>
      </c>
      <c r="V689" s="78" t="str">
        <f>IF(NOT(ISNUMBER(G689)), "", VLOOKUP(A689,'Discount Lookup'!G:H,2,FALSE)*G689)</f>
        <v/>
      </c>
      <c r="W689" s="102">
        <f t="shared" si="483"/>
        <v>0</v>
      </c>
      <c r="X689" s="102" t="str">
        <f t="shared" si="484"/>
        <v>Coral-Pink bloom</v>
      </c>
      <c r="Y689" s="120" t="b">
        <f t="shared" si="485"/>
        <v>0</v>
      </c>
      <c r="Z689" s="117">
        <f t="shared" si="486"/>
        <v>0</v>
      </c>
      <c r="AA689" s="118"/>
      <c r="AB689" s="118" t="str">
        <f t="shared" si="487"/>
        <v/>
      </c>
      <c r="AC689" s="712" t="str">
        <f>IF(AE689="T2G","no charge",IF(AND(OR(PlanterYesMe="No",PlanterYesMe="N",PlanterYesMe="me"),H689=""),"",IF(H689="credit","NO install",IF(AND(K689="",AE689="me"),"EACH row",IF(AND(K689="images",AE689="me"),"EACH row",IF(D689="","",IF(H689="credit","",IF(AE689="free","re-planting",IF(AE689="me","   not ELP, by",IF(AND(OR(PlanterYesMe="Yes",PlanterYesMe="Y"),G689&gt;0),(VLOOKUP(A689,'Discount Lookup'!J:K,2)*G689*(1-PlanterDiscount)*(1+PlanterDifficultyPercentage)),IF(AE689="ELP",(VLOOKUP(A689,'Discount Lookup'!J:K,2)*G689*(1-PlanterDiscount)*(1+PlanterDifficultyPercentage)),IF(AE689="free","re-planting",IF(G689=0,"",IF(PlanterYesMe="",IF(AE689="me","   not ELP, by",IF(AE689="",IF(G689&gt;0,(VLOOKUP(A689,'Discount Lookup'!J:K,2)*G689*(1-PlanterDiscount)*(1+PlanterDifficultyPercentage)),""),"")),"   not ELP, by"))))))))))))))</f>
        <v/>
      </c>
      <c r="AD689" s="712"/>
      <c r="AE689" s="513" t="str">
        <f t="shared" si="488"/>
        <v/>
      </c>
      <c r="AF689" s="713" t="str">
        <f t="shared" si="489"/>
        <v/>
      </c>
      <c r="AG689" s="713"/>
      <c r="AH689" s="713"/>
      <c r="AI689" s="112">
        <f>IF(H689="credit",0,IF(AE689="free",0,IF(AE689="me",0,IF(G689&gt;0,(VLOOKUP(A689,'Discount Lookup'!J:K,2)*G689),0))))</f>
        <v>0</v>
      </c>
      <c r="AJ689" s="107" t="str">
        <f t="shared" ca="1" si="490"/>
        <v/>
      </c>
      <c r="AK689" s="714" t="str">
        <f t="shared" si="491"/>
        <v/>
      </c>
      <c r="AL689" s="714"/>
      <c r="AM689" s="114" t="str">
        <f t="shared" si="492"/>
        <v/>
      </c>
      <c r="AN689" s="115"/>
      <c r="AO689" s="116"/>
      <c r="AP689" s="116"/>
      <c r="AQ689" s="116"/>
      <c r="AR689" s="116"/>
      <c r="AS689" s="116"/>
      <c r="AT689" s="116"/>
      <c r="AU689" s="116"/>
      <c r="AV689" s="78"/>
      <c r="AW689" s="102"/>
      <c r="AX689" s="78"/>
      <c r="AY689" s="78"/>
      <c r="AZ689" s="78"/>
      <c r="BA689" s="78"/>
      <c r="BB689" s="78"/>
      <c r="BC689" s="78"/>
      <c r="BD689" s="78"/>
      <c r="BE689" s="465"/>
      <c r="BF689" s="165" t="str">
        <f t="shared" si="493"/>
        <v>https://www.google.com/search?tbm=isch&amp;q=Camellia%20japonica%20%27Spellbound%27%20Spellbound%20Camellia</v>
      </c>
      <c r="BG689" s="165" t="str">
        <f t="shared" si="494"/>
        <v>C</v>
      </c>
      <c r="BH689" s="65"/>
      <c r="BI689" s="65"/>
      <c r="BJ689" s="65"/>
      <c r="BK689" s="65"/>
      <c r="BL689" s="99"/>
      <c r="BM689" s="99"/>
      <c r="BN689" s="99"/>
    </row>
    <row r="690" spans="1:66" s="51" customFormat="1" ht="15.75" x14ac:dyDescent="0.25">
      <c r="A690" s="478">
        <v>7</v>
      </c>
      <c r="B690" s="479" t="s">
        <v>291</v>
      </c>
      <c r="C690" s="480" t="s">
        <v>1796</v>
      </c>
      <c r="D690" s="481" t="s">
        <v>293</v>
      </c>
      <c r="E690" s="482">
        <v>111.95</v>
      </c>
      <c r="F690" s="483" t="s">
        <v>292</v>
      </c>
      <c r="G690" s="484">
        <v>0</v>
      </c>
      <c r="H690" s="688" t="str">
        <f>IF(G690=0,"",IF(F690="Buy",IF(G690=1,"plant","plants"),IF(F690&gt;0.01,"warranty","Error")))</f>
        <v/>
      </c>
      <c r="I690" s="485">
        <f>IF(H690="free",0,IF(H690="credit",((E690*(F690))*G690*-1),IF(F690="Buy",(E690*G690),((E690*(1-F690))*G690))))</f>
        <v>0</v>
      </c>
      <c r="J690" s="485">
        <f>IF(H690="warranty",0,(I690*(_xlfn.SINGLE(SalesTaxPercentage))))</f>
        <v>0</v>
      </c>
      <c r="K690" s="715">
        <f t="shared" ref="K690" si="511">I690+J690</f>
        <v>0</v>
      </c>
      <c r="L690" s="715"/>
      <c r="M690" s="689" t="str">
        <f ca="1">IF(AND(G690&gt;0,E690=0),"WARNING - no PRICE inserted",IF(H690="free","FREE ~ no charge this plant",IF(H690="credit",CONCATENATE("-$",ROUND(K690*(1-_xlfn.SINGLE(T2GDiscount))*-1,2)," CREDIT after discount"),IF(_xlfn.SINGLE(T2GDiscount)=0,"",IF(G690=0,"",IF(F690="Buy",CONCATENATE("$",ROUND(K690*(1-_xlfn.SINGLE(T2GDiscount)),2)," with ",(_xlfn.SINGLE(T2GDiscount)*100),"% discount"),CONCATENATE("$",ROUND(K690*(1-_xlfn.SINGLE(T2GDiscount)),2)," with ",((_xlfn.SINGLE(T2GDiscount)*100+F690*100)-(_xlfn.SINGLE(T2GDiscount)*100*F690)),IF(F690&gt;0,"% discounts",IF(_xlfn.SINGLE(NoWarrantyDiscount)&gt;0,"% discounts","% discount")))))))))</f>
        <v/>
      </c>
      <c r="N690" s="690"/>
      <c r="O690" s="486"/>
      <c r="P690" s="486"/>
      <c r="Q690" s="486"/>
      <c r="R690" s="486"/>
      <c r="S690" s="486"/>
      <c r="T690" s="102">
        <f t="shared" si="482"/>
        <v>0</v>
      </c>
      <c r="U690" s="78">
        <f>IF(NOT(ISNUMBER(G690)), "", VLOOKUP(A690,'Discount Lookup'!D:E,2,FALSE)*G690)</f>
        <v>0</v>
      </c>
      <c r="V690" s="78">
        <f>IF(NOT(ISNUMBER(G690)), "", VLOOKUP(A690,'Discount Lookup'!G:H,2,FALSE)*G690)</f>
        <v>0</v>
      </c>
      <c r="W690" s="102">
        <f t="shared" si="483"/>
        <v>0</v>
      </c>
      <c r="X690" s="102">
        <f t="shared" si="484"/>
        <v>0</v>
      </c>
      <c r="Y690" s="120" t="b">
        <f t="shared" si="485"/>
        <v>0</v>
      </c>
      <c r="Z690" s="117">
        <f t="shared" si="486"/>
        <v>0</v>
      </c>
      <c r="AA690" s="118"/>
      <c r="AB690" s="118" t="str">
        <f t="shared" si="487"/>
        <v/>
      </c>
      <c r="AC690" s="712" t="str">
        <f>IF(AE690="T2G","no charge",IF(AND(OR(PlanterYesMe="No",PlanterYesMe="N",PlanterYesMe="me"),H690=""),"",IF(H690="credit","NO install",IF(AND(K690="",AE690="me"),"EACH row",IF(AND(K690="images",AE690="me"),"EACH row",IF(D690="","",IF(H690="credit","",IF(AE690="free","re-planting",IF(AE690="me","   not ELP, by",IF(AND(OR(PlanterYesMe="Yes",PlanterYesMe="Y"),G690&gt;0),(VLOOKUP(A690,'Discount Lookup'!J:K,2)*G690*(1-PlanterDiscount)*(1+PlanterDifficultyPercentage)),IF(AE690="ELP",(VLOOKUP(A690,'Discount Lookup'!J:K,2)*G690*(1-PlanterDiscount)*(1+PlanterDifficultyPercentage)),IF(AE690="free","re-planting",IF(G690=0,"",IF(PlanterYesMe="",IF(AE690="me","   not ELP, by",IF(AE690="",IF(G690&gt;0,(VLOOKUP(A690,'Discount Lookup'!J:K,2)*G690*(1-PlanterDiscount)*(1+PlanterDifficultyPercentage)),""),"")),"   not ELP, by"))))))))))))))</f>
        <v/>
      </c>
      <c r="AD690" s="712"/>
      <c r="AE690" s="513" t="str">
        <f t="shared" si="488"/>
        <v/>
      </c>
      <c r="AF690" s="713" t="str">
        <f t="shared" si="489"/>
        <v/>
      </c>
      <c r="AG690" s="713"/>
      <c r="AH690" s="713"/>
      <c r="AI690" s="112">
        <f>IF(H690="credit",0,IF(AE690="free",0,IF(AE690="me",0,IF(G690&gt;0,(VLOOKUP(A690,'Discount Lookup'!J:K,2)*G690),0))))</f>
        <v>0</v>
      </c>
      <c r="AJ690" s="107" t="str">
        <f t="shared" ca="1" si="490"/>
        <v/>
      </c>
      <c r="AK690" s="714" t="str">
        <f t="shared" si="491"/>
        <v/>
      </c>
      <c r="AL690" s="714"/>
      <c r="AM690" s="114" t="str">
        <f t="shared" si="492"/>
        <v/>
      </c>
      <c r="AN690" s="115"/>
      <c r="AO690" s="116"/>
      <c r="AP690" s="116"/>
      <c r="AQ690" s="116"/>
      <c r="AR690" s="116"/>
      <c r="AS690" s="116"/>
      <c r="AT690" s="116"/>
      <c r="AU690" s="116"/>
      <c r="AV690" s="78"/>
      <c r="AW690" s="102"/>
      <c r="AX690" s="78"/>
      <c r="AY690" s="78"/>
      <c r="AZ690" s="78"/>
      <c r="BA690" s="78"/>
      <c r="BB690" s="78"/>
      <c r="BC690" s="78"/>
      <c r="BD690" s="78"/>
      <c r="BE690" s="465"/>
      <c r="BF690" s="165" t="str">
        <f t="shared" si="493"/>
        <v>https://www.google.com/search?tbm=isch&amp;q=7%20G6</v>
      </c>
      <c r="BG690" s="165" t="str">
        <f t="shared" si="494"/>
        <v>C</v>
      </c>
      <c r="BH690" s="65"/>
      <c r="BI690" s="65"/>
      <c r="BJ690" s="65"/>
      <c r="BK690" s="65"/>
      <c r="BL690" s="99"/>
      <c r="BM690" s="99"/>
      <c r="BN690" s="99"/>
    </row>
    <row r="691" spans="1:66" s="51" customFormat="1" ht="17.25" thickBot="1" x14ac:dyDescent="0.3">
      <c r="A691" s="508" t="s">
        <v>1797</v>
      </c>
      <c r="B691" s="487"/>
      <c r="C691" s="707"/>
      <c r="D691" s="487"/>
      <c r="E691" s="487"/>
      <c r="F691" s="488"/>
      <c r="G691" s="489"/>
      <c r="H691" s="487"/>
      <c r="I691" s="490"/>
      <c r="J691" s="490"/>
      <c r="K691" s="491"/>
      <c r="L691" s="547"/>
      <c r="M691" s="528"/>
      <c r="N691" s="492"/>
      <c r="O691" s="493"/>
      <c r="P691" s="494"/>
      <c r="Q691" s="492"/>
      <c r="R691" s="492"/>
      <c r="S691" s="699" t="s">
        <v>5275</v>
      </c>
      <c r="T691" s="102">
        <f t="shared" si="482"/>
        <v>0</v>
      </c>
      <c r="U691" s="78" t="str">
        <f>IF(NOT(ISNUMBER(G691)), "", VLOOKUP(A691,'Discount Lookup'!D:E,2,FALSE)*G691)</f>
        <v/>
      </c>
      <c r="V691" s="78" t="str">
        <f>IF(NOT(ISNUMBER(G691)), "", VLOOKUP(A691,'Discount Lookup'!G:H,2,FALSE)*G691)</f>
        <v/>
      </c>
      <c r="W691" s="102">
        <f t="shared" si="483"/>
        <v>0</v>
      </c>
      <c r="X691" s="102">
        <f t="shared" si="484"/>
        <v>0</v>
      </c>
      <c r="Y691" s="120" t="b">
        <f t="shared" si="485"/>
        <v>0</v>
      </c>
      <c r="Z691" s="117">
        <f t="shared" si="486"/>
        <v>0</v>
      </c>
      <c r="AA691" s="118"/>
      <c r="AB691" s="118" t="str">
        <f t="shared" si="487"/>
        <v/>
      </c>
      <c r="AC691" s="712" t="str">
        <f>IF(AE691="T2G","no charge",IF(AND(OR(PlanterYesMe="No",PlanterYesMe="N",PlanterYesMe="me"),H691=""),"",IF(H691="credit","NO install",IF(AND(K691="",AE691="me"),"EACH row",IF(AND(K691="images",AE691="me"),"EACH row",IF(D691="","",IF(H691="credit","",IF(AE691="free","re-planting",IF(AE691="me","   not ELP, by",IF(AND(OR(PlanterYesMe="Yes",PlanterYesMe="Y"),G691&gt;0),(VLOOKUP(A691,'Discount Lookup'!J:K,2)*G691*(1-PlanterDiscount)*(1+PlanterDifficultyPercentage)),IF(AE691="ELP",(VLOOKUP(A691,'Discount Lookup'!J:K,2)*G691*(1-PlanterDiscount)*(1+PlanterDifficultyPercentage)),IF(AE691="free","re-planting",IF(G691=0,"",IF(PlanterYesMe="",IF(AE691="me","   not ELP, by",IF(AE691="",IF(G691&gt;0,(VLOOKUP(A691,'Discount Lookup'!J:K,2)*G691*(1-PlanterDiscount)*(1+PlanterDifficultyPercentage)),""),"")),"   not ELP, by"))))))))))))))</f>
        <v/>
      </c>
      <c r="AD691" s="712"/>
      <c r="AE691" s="513" t="str">
        <f t="shared" si="488"/>
        <v/>
      </c>
      <c r="AF691" s="713" t="str">
        <f t="shared" si="489"/>
        <v/>
      </c>
      <c r="AG691" s="713"/>
      <c r="AH691" s="713"/>
      <c r="AI691" s="112">
        <f>IF(H691="credit",0,IF(AE691="free",0,IF(AE691="me",0,IF(G691&gt;0,(VLOOKUP(A691,'Discount Lookup'!J:K,2)*G691),0))))</f>
        <v>0</v>
      </c>
      <c r="AJ691" s="107" t="str">
        <f t="shared" ca="1" si="490"/>
        <v/>
      </c>
      <c r="AK691" s="714" t="str">
        <f t="shared" si="491"/>
        <v/>
      </c>
      <c r="AL691" s="714"/>
      <c r="AM691" s="114" t="str">
        <f t="shared" si="492"/>
        <v/>
      </c>
      <c r="AN691" s="115"/>
      <c r="AO691" s="116"/>
      <c r="AP691" s="116"/>
      <c r="AQ691" s="116"/>
      <c r="AR691" s="116"/>
      <c r="AS691" s="116"/>
      <c r="AT691" s="116"/>
      <c r="AU691" s="116"/>
      <c r="AV691" s="78"/>
      <c r="AW691" s="102"/>
      <c r="AX691" s="78"/>
      <c r="AY691" s="78"/>
      <c r="AZ691" s="78"/>
      <c r="BA691" s="78"/>
      <c r="BB691" s="78"/>
      <c r="BC691" s="78"/>
      <c r="BD691" s="78"/>
      <c r="BE691" s="465"/>
      <c r="BF691" s="165" t="str">
        <f t="shared" si="493"/>
        <v>https://www.google.com/search?tbm=isch&amp;q=Spellbound%20blooms%20from%20December%20to%20March.%20Its%20upright%20habit%20matures%20into%20a%20rounded%20form.%20The%20flowers%20are%20excellent%20for%20cutting%20</v>
      </c>
      <c r="BG691" s="165" t="str">
        <f t="shared" si="494"/>
        <v>S</v>
      </c>
      <c r="BH691" s="65"/>
      <c r="BI691" s="65"/>
      <c r="BJ691" s="65"/>
      <c r="BK691" s="65"/>
      <c r="BL691" s="99"/>
      <c r="BM691" s="99"/>
      <c r="BN691" s="99"/>
    </row>
    <row r="692" spans="1:66" s="51" customFormat="1" ht="18" x14ac:dyDescent="0.25">
      <c r="A692" s="507" t="s">
        <v>1798</v>
      </c>
      <c r="B692" s="470"/>
      <c r="C692" s="706"/>
      <c r="D692" s="471" t="s">
        <v>1799</v>
      </c>
      <c r="E692" s="472"/>
      <c r="F692" s="472"/>
      <c r="G692" s="472"/>
      <c r="H692" s="622" t="s">
        <v>330</v>
      </c>
      <c r="I692" s="473" t="s">
        <v>1800</v>
      </c>
      <c r="J692" s="472"/>
      <c r="K692" s="472"/>
      <c r="L692" s="561"/>
      <c r="M692" s="698" t="s">
        <v>5246</v>
      </c>
      <c r="N692" s="692" t="str">
        <f>IF(AND(ISTEXT($A692), ISERROR($A692+0)), HYPERLINK($BF692, "Images"), "")</f>
        <v>Images</v>
      </c>
      <c r="O692" s="694" t="s">
        <v>5247</v>
      </c>
      <c r="P692" s="475"/>
      <c r="Q692" s="476"/>
      <c r="R692" s="476"/>
      <c r="S692" s="477"/>
      <c r="T692" s="102">
        <f t="shared" si="482"/>
        <v>0</v>
      </c>
      <c r="U692" s="78" t="str">
        <f>IF(NOT(ISNUMBER(G692)), "", VLOOKUP(A692,'Discount Lookup'!D:E,2,FALSE)*G692)</f>
        <v/>
      </c>
      <c r="V692" s="78" t="str">
        <f>IF(NOT(ISNUMBER(G692)), "", VLOOKUP(A692,'Discount Lookup'!G:H,2,FALSE)*G692)</f>
        <v/>
      </c>
      <c r="W692" s="102">
        <f t="shared" si="483"/>
        <v>0</v>
      </c>
      <c r="X692" s="102" t="str">
        <f t="shared" si="484"/>
        <v>White bloom, Pink blush</v>
      </c>
      <c r="Y692" s="120" t="b">
        <f t="shared" si="485"/>
        <v>0</v>
      </c>
      <c r="Z692" s="117">
        <f t="shared" si="486"/>
        <v>0</v>
      </c>
      <c r="AA692" s="118"/>
      <c r="AB692" s="118" t="str">
        <f t="shared" si="487"/>
        <v/>
      </c>
      <c r="AC692" s="712" t="str">
        <f>IF(AE692="T2G","no charge",IF(AND(OR(PlanterYesMe="No",PlanterYesMe="N",PlanterYesMe="me"),H692=""),"",IF(H692="credit","NO install",IF(AND(K692="",AE692="me"),"EACH row",IF(AND(K692="images",AE692="me"),"EACH row",IF(D692="","",IF(H692="credit","",IF(AE692="free","re-planting",IF(AE692="me","   not ELP, by",IF(AND(OR(PlanterYesMe="Yes",PlanterYesMe="Y"),G692&gt;0),(VLOOKUP(A692,'Discount Lookup'!J:K,2)*G692*(1-PlanterDiscount)*(1+PlanterDifficultyPercentage)),IF(AE692="ELP",(VLOOKUP(A692,'Discount Lookup'!J:K,2)*G692*(1-PlanterDiscount)*(1+PlanterDifficultyPercentage)),IF(AE692="free","re-planting",IF(G692=0,"",IF(PlanterYesMe="",IF(AE692="me","   not ELP, by",IF(AE692="",IF(G692&gt;0,(VLOOKUP(A692,'Discount Lookup'!J:K,2)*G692*(1-PlanterDiscount)*(1+PlanterDifficultyPercentage)),""),"")),"   not ELP, by"))))))))))))))</f>
        <v/>
      </c>
      <c r="AD692" s="712"/>
      <c r="AE692" s="513" t="str">
        <f t="shared" si="488"/>
        <v/>
      </c>
      <c r="AF692" s="713" t="str">
        <f t="shared" si="489"/>
        <v/>
      </c>
      <c r="AG692" s="713"/>
      <c r="AH692" s="713"/>
      <c r="AI692" s="112">
        <f>IF(H692="credit",0,IF(AE692="free",0,IF(AE692="me",0,IF(G692&gt;0,(VLOOKUP(A692,'Discount Lookup'!J:K,2)*G692),0))))</f>
        <v>0</v>
      </c>
      <c r="AJ692" s="107" t="str">
        <f t="shared" ca="1" si="490"/>
        <v/>
      </c>
      <c r="AK692" s="714" t="str">
        <f t="shared" si="491"/>
        <v/>
      </c>
      <c r="AL692" s="714"/>
      <c r="AM692" s="114" t="str">
        <f t="shared" si="492"/>
        <v/>
      </c>
      <c r="AN692" s="115"/>
      <c r="AO692" s="116"/>
      <c r="AP692" s="116"/>
      <c r="AQ692" s="116"/>
      <c r="AR692" s="116"/>
      <c r="AS692" s="116"/>
      <c r="AT692" s="116"/>
      <c r="AU692" s="116"/>
      <c r="AV692" s="78"/>
      <c r="AW692" s="102"/>
      <c r="AX692" s="78"/>
      <c r="AY692" s="78"/>
      <c r="AZ692" s="78"/>
      <c r="BA692" s="78"/>
      <c r="BB692" s="78"/>
      <c r="BC692" s="78"/>
      <c r="BD692" s="78"/>
      <c r="BE692" s="465"/>
      <c r="BF692" s="165" t="str">
        <f t="shared" si="493"/>
        <v>https://www.google.com/search?tbm=isch&amp;q=Camellia%20sasanqua%20%27Asakura%27%20Asakura%20Camellia</v>
      </c>
      <c r="BG692" s="165" t="str">
        <f t="shared" si="494"/>
        <v>C</v>
      </c>
      <c r="BH692" s="65"/>
      <c r="BI692" s="65"/>
      <c r="BJ692" s="65"/>
      <c r="BK692" s="65"/>
      <c r="BL692" s="99"/>
      <c r="BM692" s="99"/>
      <c r="BN692" s="99"/>
    </row>
    <row r="693" spans="1:66" s="51" customFormat="1" ht="15.75" x14ac:dyDescent="0.25">
      <c r="A693" s="478">
        <v>10</v>
      </c>
      <c r="B693" s="479" t="s">
        <v>291</v>
      </c>
      <c r="C693" s="480" t="s">
        <v>924</v>
      </c>
      <c r="D693" s="481" t="s">
        <v>299</v>
      </c>
      <c r="E693" s="482">
        <v>183.95</v>
      </c>
      <c r="F693" s="483" t="s">
        <v>292</v>
      </c>
      <c r="G693" s="484">
        <v>0</v>
      </c>
      <c r="H693" s="688" t="str">
        <f>IF(G693=0,"",IF(F693="Buy",IF(G693=1,"plant","plants"),IF(F693&gt;0.01,"warranty","Error")))</f>
        <v/>
      </c>
      <c r="I693" s="485">
        <f>IF(H693="free",0,IF(H693="credit",((E693*(F693))*G693*-1),IF(F693="Buy",(E693*G693),((E693*(1-F693))*G693))))</f>
        <v>0</v>
      </c>
      <c r="J693" s="485">
        <f>IF(H693="warranty",0,(I693*(_xlfn.SINGLE(SalesTaxPercentage))))</f>
        <v>0</v>
      </c>
      <c r="K693" s="715">
        <f t="shared" ref="K693" si="512">I693+J693</f>
        <v>0</v>
      </c>
      <c r="L693" s="715"/>
      <c r="M693" s="689" t="str">
        <f ca="1">IF(AND(G693&gt;0,E693=0),"WARNING - no PRICE inserted",IF(H693="free","FREE ~ no charge this plant",IF(H693="credit",CONCATENATE("-$",ROUND(K693*(1-_xlfn.SINGLE(T2GDiscount))*-1,2)," CREDIT after discount"),IF(_xlfn.SINGLE(T2GDiscount)=0,"",IF(G693=0,"",IF(F693="Buy",CONCATENATE("$",ROUND(K693*(1-_xlfn.SINGLE(T2GDiscount)),2)," with ",(_xlfn.SINGLE(T2GDiscount)*100),"% discount"),CONCATENATE("$",ROUND(K693*(1-_xlfn.SINGLE(T2GDiscount)),2)," with ",((_xlfn.SINGLE(T2GDiscount)*100+F693*100)-(_xlfn.SINGLE(T2GDiscount)*100*F693)),IF(F693&gt;0,"% discounts",IF(_xlfn.SINGLE(NoWarrantyDiscount)&gt;0,"% discounts","% discount")))))))))</f>
        <v/>
      </c>
      <c r="N693" s="690"/>
      <c r="O693" s="486"/>
      <c r="P693" s="486"/>
      <c r="Q693" s="486"/>
      <c r="R693" s="486"/>
      <c r="S693" s="486"/>
      <c r="T693" s="102">
        <f t="shared" si="482"/>
        <v>0</v>
      </c>
      <c r="U693" s="78">
        <f>IF(NOT(ISNUMBER(G693)), "", VLOOKUP(A693,'Discount Lookup'!D:E,2,FALSE)*G693)</f>
        <v>0</v>
      </c>
      <c r="V693" s="78">
        <f>IF(NOT(ISNUMBER(G693)), "", VLOOKUP(A693,'Discount Lookup'!G:H,2,FALSE)*G693)</f>
        <v>0</v>
      </c>
      <c r="W693" s="102">
        <f t="shared" si="483"/>
        <v>0</v>
      </c>
      <c r="X693" s="102">
        <f t="shared" si="484"/>
        <v>0</v>
      </c>
      <c r="Y693" s="120" t="b">
        <f t="shared" si="485"/>
        <v>0</v>
      </c>
      <c r="Z693" s="117">
        <f t="shared" si="486"/>
        <v>0</v>
      </c>
      <c r="AA693" s="118"/>
      <c r="AB693" s="118" t="str">
        <f t="shared" si="487"/>
        <v/>
      </c>
      <c r="AC693" s="712" t="str">
        <f>IF(AE693="T2G","no charge",IF(AND(OR(PlanterYesMe="No",PlanterYesMe="N",PlanterYesMe="me"),H693=""),"",IF(H693="credit","NO install",IF(AND(K693="",AE693="me"),"EACH row",IF(AND(K693="images",AE693="me"),"EACH row",IF(D693="","",IF(H693="credit","",IF(AE693="free","re-planting",IF(AE693="me","   not ELP, by",IF(AND(OR(PlanterYesMe="Yes",PlanterYesMe="Y"),G693&gt;0),(VLOOKUP(A693,'Discount Lookup'!J:K,2)*G693*(1-PlanterDiscount)*(1+PlanterDifficultyPercentage)),IF(AE693="ELP",(VLOOKUP(A693,'Discount Lookup'!J:K,2)*G693*(1-PlanterDiscount)*(1+PlanterDifficultyPercentage)),IF(AE693="free","re-planting",IF(G693=0,"",IF(PlanterYesMe="",IF(AE693="me","   not ELP, by",IF(AE693="",IF(G693&gt;0,(VLOOKUP(A693,'Discount Lookup'!J:K,2)*G693*(1-PlanterDiscount)*(1+PlanterDifficultyPercentage)),""),"")),"   not ELP, by"))))))))))))))</f>
        <v/>
      </c>
      <c r="AD693" s="712"/>
      <c r="AE693" s="513" t="str">
        <f t="shared" si="488"/>
        <v/>
      </c>
      <c r="AF693" s="713" t="str">
        <f t="shared" si="489"/>
        <v/>
      </c>
      <c r="AG693" s="713"/>
      <c r="AH693" s="713"/>
      <c r="AI693" s="112">
        <f>IF(H693="credit",0,IF(AE693="free",0,IF(AE693="me",0,IF(G693&gt;0,(VLOOKUP(A693,'Discount Lookup'!J:K,2)*G693),0))))</f>
        <v>0</v>
      </c>
      <c r="AJ693" s="107" t="str">
        <f t="shared" ca="1" si="490"/>
        <v/>
      </c>
      <c r="AK693" s="714" t="str">
        <f t="shared" si="491"/>
        <v/>
      </c>
      <c r="AL693" s="714"/>
      <c r="AM693" s="114" t="str">
        <f t="shared" si="492"/>
        <v/>
      </c>
      <c r="AN693" s="115"/>
      <c r="AO693" s="116"/>
      <c r="AP693" s="116"/>
      <c r="AQ693" s="116"/>
      <c r="AR693" s="116"/>
      <c r="AS693" s="116"/>
      <c r="AT693" s="116"/>
      <c r="AU693" s="116"/>
      <c r="AV693" s="78"/>
      <c r="AW693" s="102"/>
      <c r="AX693" s="78"/>
      <c r="AY693" s="78"/>
      <c r="AZ693" s="78"/>
      <c r="BA693" s="78"/>
      <c r="BB693" s="78"/>
      <c r="BC693" s="78"/>
      <c r="BD693" s="78"/>
      <c r="BE693" s="465"/>
      <c r="BF693" s="165" t="str">
        <f t="shared" si="493"/>
        <v>https://www.google.com/search?tbm=isch&amp;q=10%20G4</v>
      </c>
      <c r="BG693" s="165" t="str">
        <f t="shared" si="494"/>
        <v>C</v>
      </c>
      <c r="BH693" s="65"/>
      <c r="BI693" s="65"/>
      <c r="BJ693" s="65"/>
      <c r="BK693" s="65"/>
      <c r="BL693" s="99"/>
      <c r="BM693" s="99"/>
      <c r="BN693" s="99"/>
    </row>
    <row r="694" spans="1:66" s="51" customFormat="1" ht="15.75" x14ac:dyDescent="0.25">
      <c r="A694" s="478">
        <v>25</v>
      </c>
      <c r="B694" s="479" t="s">
        <v>291</v>
      </c>
      <c r="C694" s="480" t="s">
        <v>4576</v>
      </c>
      <c r="D694" s="481" t="s">
        <v>299</v>
      </c>
      <c r="E694" s="482">
        <v>445.95</v>
      </c>
      <c r="F694" s="483" t="s">
        <v>292</v>
      </c>
      <c r="G694" s="484">
        <v>0</v>
      </c>
      <c r="H694" s="688" t="str">
        <f>IF(G694=0,"",IF(F694="Buy",IF(G694=1,"plant","plants"),IF(F694&gt;0.01,"warranty","Error")))</f>
        <v/>
      </c>
      <c r="I694" s="485">
        <f>IF(H694="free",0,IF(H694="credit",((E694*(F694))*G694*-1),IF(F694="Buy",(E694*G694),((E694*(1-F694))*G694))))</f>
        <v>0</v>
      </c>
      <c r="J694" s="485">
        <f>IF(H694="warranty",0,(I694*(_xlfn.SINGLE(SalesTaxPercentage))))</f>
        <v>0</v>
      </c>
      <c r="K694" s="715">
        <f t="shared" ref="K694" si="513">I694+J694</f>
        <v>0</v>
      </c>
      <c r="L694" s="715"/>
      <c r="M694" s="689" t="str">
        <f ca="1">IF(AND(G694&gt;0,E694=0),"WARNING - no PRICE inserted",IF(H694="free","FREE ~ no charge this plant",IF(H694="credit",CONCATENATE("-$",ROUND(K694*(1-_xlfn.SINGLE(T2GDiscount))*-1,2)," CREDIT after discount"),IF(_xlfn.SINGLE(T2GDiscount)=0,"",IF(G694=0,"",IF(F694="Buy",CONCATENATE("$",ROUND(K694*(1-_xlfn.SINGLE(T2GDiscount)),2)," with ",(_xlfn.SINGLE(T2GDiscount)*100),"% discount"),CONCATENATE("$",ROUND(K694*(1-_xlfn.SINGLE(T2GDiscount)),2)," with ",((_xlfn.SINGLE(T2GDiscount)*100+F694*100)-(_xlfn.SINGLE(T2GDiscount)*100*F694)),IF(F694&gt;0,"% discounts",IF(_xlfn.SINGLE(NoWarrantyDiscount)&gt;0,"% discounts","% discount")))))))))</f>
        <v/>
      </c>
      <c r="N694" s="690"/>
      <c r="O694" s="486"/>
      <c r="P694" s="486"/>
      <c r="Q694" s="486"/>
      <c r="R694" s="486"/>
      <c r="S694" s="486"/>
      <c r="T694" s="102">
        <f t="shared" si="482"/>
        <v>0</v>
      </c>
      <c r="U694" s="78">
        <f>IF(NOT(ISNUMBER(G694)), "", VLOOKUP(A694,'Discount Lookup'!D:E,2,FALSE)*G694)</f>
        <v>0</v>
      </c>
      <c r="V694" s="78">
        <f>IF(NOT(ISNUMBER(G694)), "", VLOOKUP(A694,'Discount Lookup'!G:H,2,FALSE)*G694)</f>
        <v>0</v>
      </c>
      <c r="W694" s="102">
        <f t="shared" si="483"/>
        <v>0</v>
      </c>
      <c r="X694" s="102">
        <f t="shared" si="484"/>
        <v>0</v>
      </c>
      <c r="Y694" s="120" t="b">
        <f t="shared" si="485"/>
        <v>0</v>
      </c>
      <c r="Z694" s="117">
        <f t="shared" si="486"/>
        <v>0</v>
      </c>
      <c r="AA694" s="118"/>
      <c r="AB694" s="118" t="str">
        <f t="shared" si="487"/>
        <v/>
      </c>
      <c r="AC694" s="712" t="str">
        <f>IF(AE694="T2G","no charge",IF(AND(OR(PlanterYesMe="No",PlanterYesMe="N",PlanterYesMe="me"),H694=""),"",IF(H694="credit","NO install",IF(AND(K694="",AE694="me"),"EACH row",IF(AND(K694="images",AE694="me"),"EACH row",IF(D694="","",IF(H694="credit","",IF(AE694="free","re-planting",IF(AE694="me","   not ELP, by",IF(AND(OR(PlanterYesMe="Yes",PlanterYesMe="Y"),G694&gt;0),(VLOOKUP(A694,'Discount Lookup'!J:K,2)*G694*(1-PlanterDiscount)*(1+PlanterDifficultyPercentage)),IF(AE694="ELP",(VLOOKUP(A694,'Discount Lookup'!J:K,2)*G694*(1-PlanterDiscount)*(1+PlanterDifficultyPercentage)),IF(AE694="free","re-planting",IF(G694=0,"",IF(PlanterYesMe="",IF(AE694="me","   not ELP, by",IF(AE694="",IF(G694&gt;0,(VLOOKUP(A694,'Discount Lookup'!J:K,2)*G694*(1-PlanterDiscount)*(1+PlanterDifficultyPercentage)),""),"")),"   not ELP, by"))))))))))))))</f>
        <v/>
      </c>
      <c r="AD694" s="712"/>
      <c r="AE694" s="513" t="str">
        <f t="shared" si="488"/>
        <v/>
      </c>
      <c r="AF694" s="713" t="str">
        <f t="shared" si="489"/>
        <v/>
      </c>
      <c r="AG694" s="713"/>
      <c r="AH694" s="713"/>
      <c r="AI694" s="112">
        <f>IF(H694="credit",0,IF(AE694="free",0,IF(AE694="me",0,IF(G694&gt;0,(VLOOKUP(A694,'Discount Lookup'!J:K,2)*G694),0))))</f>
        <v>0</v>
      </c>
      <c r="AJ694" s="107" t="str">
        <f t="shared" ca="1" si="490"/>
        <v/>
      </c>
      <c r="AK694" s="714" t="str">
        <f t="shared" si="491"/>
        <v/>
      </c>
      <c r="AL694" s="714"/>
      <c r="AM694" s="114" t="str">
        <f t="shared" si="492"/>
        <v/>
      </c>
      <c r="AN694" s="115"/>
      <c r="AO694" s="116"/>
      <c r="AP694" s="116"/>
      <c r="AQ694" s="116"/>
      <c r="AR694" s="116"/>
      <c r="AS694" s="116"/>
      <c r="AT694" s="116"/>
      <c r="AU694" s="116"/>
      <c r="AV694" s="78"/>
      <c r="AW694" s="102"/>
      <c r="AX694" s="78"/>
      <c r="AY694" s="78"/>
      <c r="AZ694" s="78"/>
      <c r="BA694" s="78"/>
      <c r="BB694" s="78"/>
      <c r="BC694" s="78"/>
      <c r="BD694" s="78"/>
      <c r="BE694" s="465"/>
      <c r="BF694" s="165" t="str">
        <f t="shared" si="493"/>
        <v>https://www.google.com/search?tbm=isch&amp;q=25%20G4</v>
      </c>
      <c r="BG694" s="165" t="str">
        <f t="shared" si="494"/>
        <v>C</v>
      </c>
      <c r="BH694" s="65"/>
      <c r="BI694" s="65"/>
      <c r="BJ694" s="65"/>
      <c r="BK694" s="65"/>
      <c r="BL694" s="99"/>
      <c r="BM694" s="99"/>
      <c r="BN694" s="99"/>
    </row>
    <row r="695" spans="1:66" s="51" customFormat="1" ht="17.25" thickBot="1" x14ac:dyDescent="0.3">
      <c r="A695" s="508" t="s">
        <v>1801</v>
      </c>
      <c r="B695" s="487"/>
      <c r="C695" s="707"/>
      <c r="D695" s="487"/>
      <c r="E695" s="487"/>
      <c r="F695" s="488"/>
      <c r="G695" s="489"/>
      <c r="H695" s="487"/>
      <c r="I695" s="490"/>
      <c r="J695" s="490"/>
      <c r="K695" s="491"/>
      <c r="L695" s="547"/>
      <c r="M695" s="528"/>
      <c r="N695" s="492"/>
      <c r="O695" s="493"/>
      <c r="P695" s="494"/>
      <c r="Q695" s="492"/>
      <c r="R695" s="492"/>
      <c r="S695" s="699" t="s">
        <v>5275</v>
      </c>
      <c r="T695" s="102">
        <f t="shared" si="482"/>
        <v>0</v>
      </c>
      <c r="U695" s="78" t="str">
        <f>IF(NOT(ISNUMBER(G695)), "", VLOOKUP(A695,'Discount Lookup'!D:E,2,FALSE)*G695)</f>
        <v/>
      </c>
      <c r="V695" s="78" t="str">
        <f>IF(NOT(ISNUMBER(G695)), "", VLOOKUP(A695,'Discount Lookup'!G:H,2,FALSE)*G695)</f>
        <v/>
      </c>
      <c r="W695" s="102">
        <f t="shared" si="483"/>
        <v>0</v>
      </c>
      <c r="X695" s="102">
        <f t="shared" si="484"/>
        <v>0</v>
      </c>
      <c r="Y695" s="120" t="b">
        <f t="shared" si="485"/>
        <v>0</v>
      </c>
      <c r="Z695" s="117">
        <f t="shared" si="486"/>
        <v>0</v>
      </c>
      <c r="AA695" s="118"/>
      <c r="AB695" s="118" t="str">
        <f t="shared" si="487"/>
        <v/>
      </c>
      <c r="AC695" s="712" t="str">
        <f>IF(AE695="T2G","no charge",IF(AND(OR(PlanterYesMe="No",PlanterYesMe="N",PlanterYesMe="me"),H695=""),"",IF(H695="credit","NO install",IF(AND(K695="",AE695="me"),"EACH row",IF(AND(K695="images",AE695="me"),"EACH row",IF(D695="","",IF(H695="credit","",IF(AE695="free","re-planting",IF(AE695="me","   not ELP, by",IF(AND(OR(PlanterYesMe="Yes",PlanterYesMe="Y"),G695&gt;0),(VLOOKUP(A695,'Discount Lookup'!J:K,2)*G695*(1-PlanterDiscount)*(1+PlanterDifficultyPercentage)),IF(AE695="ELP",(VLOOKUP(A695,'Discount Lookup'!J:K,2)*G695*(1-PlanterDiscount)*(1+PlanterDifficultyPercentage)),IF(AE695="free","re-planting",IF(G695=0,"",IF(PlanterYesMe="",IF(AE695="me","   not ELP, by",IF(AE695="",IF(G695&gt;0,(VLOOKUP(A695,'Discount Lookup'!J:K,2)*G695*(1-PlanterDiscount)*(1+PlanterDifficultyPercentage)),""),"")),"   not ELP, by"))))))))))))))</f>
        <v/>
      </c>
      <c r="AD695" s="712"/>
      <c r="AE695" s="513" t="str">
        <f t="shared" si="488"/>
        <v/>
      </c>
      <c r="AF695" s="713" t="str">
        <f t="shared" si="489"/>
        <v/>
      </c>
      <c r="AG695" s="713"/>
      <c r="AH695" s="713"/>
      <c r="AI695" s="112">
        <f>IF(H695="credit",0,IF(AE695="free",0,IF(AE695="me",0,IF(G695&gt;0,(VLOOKUP(A695,'Discount Lookup'!J:K,2)*G695),0))))</f>
        <v>0</v>
      </c>
      <c r="AJ695" s="107" t="str">
        <f t="shared" ca="1" si="490"/>
        <v/>
      </c>
      <c r="AK695" s="714" t="str">
        <f t="shared" si="491"/>
        <v/>
      </c>
      <c r="AL695" s="714"/>
      <c r="AM695" s="114" t="str">
        <f t="shared" si="492"/>
        <v/>
      </c>
      <c r="AN695" s="115"/>
      <c r="AO695" s="116"/>
      <c r="AP695" s="116"/>
      <c r="AQ695" s="116"/>
      <c r="AR695" s="116"/>
      <c r="AS695" s="116"/>
      <c r="AT695" s="116"/>
      <c r="AU695" s="116"/>
      <c r="AV695" s="78"/>
      <c r="AW695" s="102"/>
      <c r="AX695" s="78"/>
      <c r="AY695" s="78"/>
      <c r="AZ695" s="78"/>
      <c r="BA695" s="78"/>
      <c r="BB695" s="78"/>
      <c r="BC695" s="78"/>
      <c r="BD695" s="78"/>
      <c r="BE695" s="465"/>
      <c r="BF695" s="165" t="str">
        <f t="shared" si="493"/>
        <v>https://www.google.com/search?tbm=isch&amp;q=Asakura%20has%20soft%20White%20blooms%20tinged%20with%20Pink%2C%20opening%20in%20early%20fall%2C%20%20fading%20to%20pure%20White.%20Upright%20habit%20and%20glossy%20foliage%20</v>
      </c>
      <c r="BG695" s="165" t="str">
        <f t="shared" si="494"/>
        <v>A</v>
      </c>
      <c r="BH695" s="65"/>
      <c r="BI695" s="65"/>
      <c r="BJ695" s="65"/>
      <c r="BK695" s="65"/>
      <c r="BL695" s="99"/>
      <c r="BM695" s="99"/>
      <c r="BN695" s="99"/>
    </row>
    <row r="696" spans="1:66" s="51" customFormat="1" ht="18" x14ac:dyDescent="0.25">
      <c r="A696" s="507" t="s">
        <v>1802</v>
      </c>
      <c r="B696" s="470"/>
      <c r="C696" s="706"/>
      <c r="D696" s="471" t="s">
        <v>1803</v>
      </c>
      <c r="E696" s="472"/>
      <c r="F696" s="472"/>
      <c r="G696" s="472"/>
      <c r="H696" s="622" t="s">
        <v>1471</v>
      </c>
      <c r="I696" s="473" t="s">
        <v>5123</v>
      </c>
      <c r="J696" s="472"/>
      <c r="K696" s="472"/>
      <c r="L696" s="561"/>
      <c r="M696" s="703" t="s">
        <v>5274</v>
      </c>
      <c r="N696" s="692" t="str">
        <f>IF(AND(ISTEXT($A696), ISERROR($A696+0)), HYPERLINK($BF696, "Images"), "")</f>
        <v>Images</v>
      </c>
      <c r="O696" s="694" t="s">
        <v>5247</v>
      </c>
      <c r="P696" s="475"/>
      <c r="Q696" s="476"/>
      <c r="R696" s="476"/>
      <c r="S696" s="477"/>
      <c r="T696" s="102">
        <f t="shared" si="482"/>
        <v>0</v>
      </c>
      <c r="U696" s="78" t="str">
        <f>IF(NOT(ISNUMBER(G696)), "", VLOOKUP(A696,'Discount Lookup'!D:E,2,FALSE)*G696)</f>
        <v/>
      </c>
      <c r="V696" s="78" t="str">
        <f>IF(NOT(ISNUMBER(G696)), "", VLOOKUP(A696,'Discount Lookup'!G:H,2,FALSE)*G696)</f>
        <v/>
      </c>
      <c r="W696" s="102">
        <f t="shared" si="483"/>
        <v>0</v>
      </c>
      <c r="X696" s="102" t="str">
        <f t="shared" si="484"/>
        <v>White bloom, Pink edges</v>
      </c>
      <c r="Y696" s="120" t="b">
        <f t="shared" si="485"/>
        <v>0</v>
      </c>
      <c r="Z696" s="117">
        <f t="shared" si="486"/>
        <v>0</v>
      </c>
      <c r="AA696" s="118"/>
      <c r="AB696" s="118" t="str">
        <f t="shared" si="487"/>
        <v/>
      </c>
      <c r="AC696" s="712" t="str">
        <f>IF(AE696="T2G","no charge",IF(AND(OR(PlanterYesMe="No",PlanterYesMe="N",PlanterYesMe="me"),H696=""),"",IF(H696="credit","NO install",IF(AND(K696="",AE696="me"),"EACH row",IF(AND(K696="images",AE696="me"),"EACH row",IF(D696="","",IF(H696="credit","",IF(AE696="free","re-planting",IF(AE696="me","   not ELP, by",IF(AND(OR(PlanterYesMe="Yes",PlanterYesMe="Y"),G696&gt;0),(VLOOKUP(A696,'Discount Lookup'!J:K,2)*G696*(1-PlanterDiscount)*(1+PlanterDifficultyPercentage)),IF(AE696="ELP",(VLOOKUP(A696,'Discount Lookup'!J:K,2)*G696*(1-PlanterDiscount)*(1+PlanterDifficultyPercentage)),IF(AE696="free","re-planting",IF(G696=0,"",IF(PlanterYesMe="",IF(AE696="me","   not ELP, by",IF(AE696="",IF(G696&gt;0,(VLOOKUP(A696,'Discount Lookup'!J:K,2)*G696*(1-PlanterDiscount)*(1+PlanterDifficultyPercentage)),""),"")),"   not ELP, by"))))))))))))))</f>
        <v/>
      </c>
      <c r="AD696" s="712"/>
      <c r="AE696" s="513" t="str">
        <f t="shared" si="488"/>
        <v/>
      </c>
      <c r="AF696" s="713" t="str">
        <f t="shared" si="489"/>
        <v/>
      </c>
      <c r="AG696" s="713"/>
      <c r="AH696" s="713"/>
      <c r="AI696" s="112">
        <f>IF(H696="credit",0,IF(AE696="free",0,IF(AE696="me",0,IF(G696&gt;0,(VLOOKUP(A696,'Discount Lookup'!J:K,2)*G696),0))))</f>
        <v>0</v>
      </c>
      <c r="AJ696" s="107" t="str">
        <f t="shared" ca="1" si="490"/>
        <v/>
      </c>
      <c r="AK696" s="714" t="str">
        <f t="shared" si="491"/>
        <v/>
      </c>
      <c r="AL696" s="714"/>
      <c r="AM696" s="114" t="str">
        <f t="shared" si="492"/>
        <v/>
      </c>
      <c r="AN696" s="115"/>
      <c r="AO696" s="116"/>
      <c r="AP696" s="116"/>
      <c r="AQ696" s="116"/>
      <c r="AR696" s="116"/>
      <c r="AS696" s="116"/>
      <c r="AT696" s="116"/>
      <c r="AU696" s="116"/>
      <c r="AV696" s="78"/>
      <c r="AW696" s="102"/>
      <c r="AX696" s="78"/>
      <c r="AY696" s="78"/>
      <c r="AZ696" s="78"/>
      <c r="BA696" s="78"/>
      <c r="BB696" s="78"/>
      <c r="BC696" s="78"/>
      <c r="BD696" s="78"/>
      <c r="BE696" s="465"/>
      <c r="BF696" s="165" t="str">
        <f t="shared" si="493"/>
        <v>https://www.google.com/search?tbm=isch&amp;q=Camellia%20sasanqua%20%27Autumn%20Delight%27%20Autumn%20Delight%20Camellia</v>
      </c>
      <c r="BG696" s="165" t="str">
        <f t="shared" si="494"/>
        <v>C</v>
      </c>
      <c r="BH696" s="65"/>
      <c r="BI696" s="65"/>
      <c r="BJ696" s="65"/>
      <c r="BK696" s="65"/>
      <c r="BL696" s="99"/>
      <c r="BM696" s="99"/>
      <c r="BN696" s="99"/>
    </row>
    <row r="697" spans="1:66" s="51" customFormat="1" ht="15.75" x14ac:dyDescent="0.25">
      <c r="A697" s="478">
        <v>7</v>
      </c>
      <c r="B697" s="479" t="s">
        <v>291</v>
      </c>
      <c r="C697" s="480" t="s">
        <v>1804</v>
      </c>
      <c r="D697" s="481" t="s">
        <v>299</v>
      </c>
      <c r="E697" s="482">
        <v>109.95</v>
      </c>
      <c r="F697" s="483" t="s">
        <v>292</v>
      </c>
      <c r="G697" s="484">
        <v>0</v>
      </c>
      <c r="H697" s="688" t="str">
        <f>IF(G697=0,"",IF(F697="Buy",IF(G697=1,"plant","plants"),IF(F697&gt;0.01,"warranty","Error")))</f>
        <v/>
      </c>
      <c r="I697" s="485">
        <f>IF(H697="free",0,IF(H697="credit",((E697*(F697))*G697*-1),IF(F697="Buy",(E697*G697),((E697*(1-F697))*G697))))</f>
        <v>0</v>
      </c>
      <c r="J697" s="485">
        <f>IF(H697="warranty",0,(I697*(_xlfn.SINGLE(SalesTaxPercentage))))</f>
        <v>0</v>
      </c>
      <c r="K697" s="715">
        <f t="shared" ref="K697" si="514">I697+J697</f>
        <v>0</v>
      </c>
      <c r="L697" s="715"/>
      <c r="M697" s="689" t="str">
        <f ca="1">IF(AND(G697&gt;0,E697=0),"WARNING - no PRICE inserted",IF(H697="free","FREE ~ no charge this plant",IF(H697="credit",CONCATENATE("-$",ROUND(K697*(1-_xlfn.SINGLE(T2GDiscount))*-1,2)," CREDIT after discount"),IF(_xlfn.SINGLE(T2GDiscount)=0,"",IF(G697=0,"",IF(F697="Buy",CONCATENATE("$",ROUND(K697*(1-_xlfn.SINGLE(T2GDiscount)),2)," with ",(_xlfn.SINGLE(T2GDiscount)*100),"% discount"),CONCATENATE("$",ROUND(K697*(1-_xlfn.SINGLE(T2GDiscount)),2)," with ",((_xlfn.SINGLE(T2GDiscount)*100+F697*100)-(_xlfn.SINGLE(T2GDiscount)*100*F697)),IF(F697&gt;0,"% discounts",IF(_xlfn.SINGLE(NoWarrantyDiscount)&gt;0,"% discounts","% discount")))))))))</f>
        <v/>
      </c>
      <c r="N697" s="690"/>
      <c r="O697" s="486"/>
      <c r="P697" s="486"/>
      <c r="Q697" s="486"/>
      <c r="R697" s="486"/>
      <c r="S697" s="486"/>
      <c r="T697" s="102">
        <f t="shared" si="482"/>
        <v>0</v>
      </c>
      <c r="U697" s="78">
        <f>IF(NOT(ISNUMBER(G697)), "", VLOOKUP(A697,'Discount Lookup'!D:E,2,FALSE)*G697)</f>
        <v>0</v>
      </c>
      <c r="V697" s="78">
        <f>IF(NOT(ISNUMBER(G697)), "", VLOOKUP(A697,'Discount Lookup'!G:H,2,FALSE)*G697)</f>
        <v>0</v>
      </c>
      <c r="W697" s="102">
        <f t="shared" si="483"/>
        <v>0</v>
      </c>
      <c r="X697" s="102">
        <f t="shared" si="484"/>
        <v>0</v>
      </c>
      <c r="Y697" s="120" t="b">
        <f t="shared" si="485"/>
        <v>0</v>
      </c>
      <c r="Z697" s="117">
        <f t="shared" si="486"/>
        <v>0</v>
      </c>
      <c r="AA697" s="118"/>
      <c r="AB697" s="118" t="str">
        <f t="shared" si="487"/>
        <v/>
      </c>
      <c r="AC697" s="712" t="str">
        <f>IF(AE697="T2G","no charge",IF(AND(OR(PlanterYesMe="No",PlanterYesMe="N",PlanterYesMe="me"),H697=""),"",IF(H697="credit","NO install",IF(AND(K697="",AE697="me"),"EACH row",IF(AND(K697="images",AE697="me"),"EACH row",IF(D697="","",IF(H697="credit","",IF(AE697="free","re-planting",IF(AE697="me","   not ELP, by",IF(AND(OR(PlanterYesMe="Yes",PlanterYesMe="Y"),G697&gt;0),(VLOOKUP(A697,'Discount Lookup'!J:K,2)*G697*(1-PlanterDiscount)*(1+PlanterDifficultyPercentage)),IF(AE697="ELP",(VLOOKUP(A697,'Discount Lookup'!J:K,2)*G697*(1-PlanterDiscount)*(1+PlanterDifficultyPercentage)),IF(AE697="free","re-planting",IF(G697=0,"",IF(PlanterYesMe="",IF(AE697="me","   not ELP, by",IF(AE697="",IF(G697&gt;0,(VLOOKUP(A697,'Discount Lookup'!J:K,2)*G697*(1-PlanterDiscount)*(1+PlanterDifficultyPercentage)),""),"")),"   not ELP, by"))))))))))))))</f>
        <v/>
      </c>
      <c r="AD697" s="712"/>
      <c r="AE697" s="513" t="str">
        <f t="shared" si="488"/>
        <v/>
      </c>
      <c r="AF697" s="713" t="str">
        <f t="shared" si="489"/>
        <v/>
      </c>
      <c r="AG697" s="713"/>
      <c r="AH697" s="713"/>
      <c r="AI697" s="112">
        <f>IF(H697="credit",0,IF(AE697="free",0,IF(AE697="me",0,IF(G697&gt;0,(VLOOKUP(A697,'Discount Lookup'!J:K,2)*G697),0))))</f>
        <v>0</v>
      </c>
      <c r="AJ697" s="107" t="str">
        <f t="shared" ca="1" si="490"/>
        <v/>
      </c>
      <c r="AK697" s="714" t="str">
        <f t="shared" si="491"/>
        <v/>
      </c>
      <c r="AL697" s="714"/>
      <c r="AM697" s="114" t="str">
        <f t="shared" si="492"/>
        <v/>
      </c>
      <c r="AN697" s="115"/>
      <c r="AO697" s="116"/>
      <c r="AP697" s="116"/>
      <c r="AQ697" s="116"/>
      <c r="AR697" s="116"/>
      <c r="AS697" s="116"/>
      <c r="AT697" s="116"/>
      <c r="AU697" s="116"/>
      <c r="AV697" s="78"/>
      <c r="AW697" s="102"/>
      <c r="AX697" s="78"/>
      <c r="AY697" s="78"/>
      <c r="AZ697" s="78"/>
      <c r="BA697" s="78"/>
      <c r="BB697" s="78"/>
      <c r="BC697" s="78"/>
      <c r="BD697" s="78"/>
      <c r="BE697" s="465"/>
      <c r="BF697" s="165" t="str">
        <f t="shared" si="493"/>
        <v>https://www.google.com/search?tbm=isch&amp;q=7%20G4</v>
      </c>
      <c r="BG697" s="165" t="str">
        <f t="shared" si="494"/>
        <v>C</v>
      </c>
      <c r="BH697" s="65"/>
      <c r="BI697" s="65"/>
      <c r="BJ697" s="65"/>
      <c r="BK697" s="65"/>
      <c r="BL697" s="99"/>
      <c r="BM697" s="99"/>
      <c r="BN697" s="99"/>
    </row>
    <row r="698" spans="1:66" s="51" customFormat="1" ht="17.25" thickBot="1" x14ac:dyDescent="0.3">
      <c r="A698" s="508" t="s">
        <v>5124</v>
      </c>
      <c r="B698" s="487"/>
      <c r="C698" s="707"/>
      <c r="D698" s="487"/>
      <c r="E698" s="487"/>
      <c r="F698" s="488"/>
      <c r="G698" s="489"/>
      <c r="H698" s="487"/>
      <c r="I698" s="490"/>
      <c r="J698" s="490"/>
      <c r="K698" s="491"/>
      <c r="L698" s="547"/>
      <c r="M698" s="528"/>
      <c r="N698" s="492"/>
      <c r="O698" s="493"/>
      <c r="P698" s="494"/>
      <c r="Q698" s="492"/>
      <c r="R698" s="492"/>
      <c r="S698" s="699" t="s">
        <v>5275</v>
      </c>
      <c r="T698" s="102">
        <f t="shared" si="482"/>
        <v>0</v>
      </c>
      <c r="U698" s="78" t="str">
        <f>IF(NOT(ISNUMBER(G698)), "", VLOOKUP(A698,'Discount Lookup'!D:E,2,FALSE)*G698)</f>
        <v/>
      </c>
      <c r="V698" s="78" t="str">
        <f>IF(NOT(ISNUMBER(G698)), "", VLOOKUP(A698,'Discount Lookup'!G:H,2,FALSE)*G698)</f>
        <v/>
      </c>
      <c r="W698" s="102">
        <f t="shared" si="483"/>
        <v>0</v>
      </c>
      <c r="X698" s="102">
        <f t="shared" si="484"/>
        <v>0</v>
      </c>
      <c r="Y698" s="120" t="b">
        <f t="shared" si="485"/>
        <v>0</v>
      </c>
      <c r="Z698" s="117">
        <f t="shared" si="486"/>
        <v>0</v>
      </c>
      <c r="AA698" s="118"/>
      <c r="AB698" s="118" t="str">
        <f t="shared" si="487"/>
        <v/>
      </c>
      <c r="AC698" s="712" t="str">
        <f>IF(AE698="T2G","no charge",IF(AND(OR(PlanterYesMe="No",PlanterYesMe="N",PlanterYesMe="me"),H698=""),"",IF(H698="credit","NO install",IF(AND(K698="",AE698="me"),"EACH row",IF(AND(K698="images",AE698="me"),"EACH row",IF(D698="","",IF(H698="credit","",IF(AE698="free","re-planting",IF(AE698="me","   not ELP, by",IF(AND(OR(PlanterYesMe="Yes",PlanterYesMe="Y"),G698&gt;0),(VLOOKUP(A698,'Discount Lookup'!J:K,2)*G698*(1-PlanterDiscount)*(1+PlanterDifficultyPercentage)),IF(AE698="ELP",(VLOOKUP(A698,'Discount Lookup'!J:K,2)*G698*(1-PlanterDiscount)*(1+PlanterDifficultyPercentage)),IF(AE698="free","re-planting",IF(G698=0,"",IF(PlanterYesMe="",IF(AE698="me","   not ELP, by",IF(AE698="",IF(G698&gt;0,(VLOOKUP(A698,'Discount Lookup'!J:K,2)*G698*(1-PlanterDiscount)*(1+PlanterDifficultyPercentage)),""),"")),"   not ELP, by"))))))))))))))</f>
        <v/>
      </c>
      <c r="AD698" s="712"/>
      <c r="AE698" s="513" t="str">
        <f t="shared" si="488"/>
        <v/>
      </c>
      <c r="AF698" s="713" t="str">
        <f t="shared" si="489"/>
        <v/>
      </c>
      <c r="AG698" s="713"/>
      <c r="AH698" s="713"/>
      <c r="AI698" s="112">
        <f>IF(H698="credit",0,IF(AE698="free",0,IF(AE698="me",0,IF(G698&gt;0,(VLOOKUP(A698,'Discount Lookup'!J:K,2)*G698),0))))</f>
        <v>0</v>
      </c>
      <c r="AJ698" s="107" t="str">
        <f t="shared" ca="1" si="490"/>
        <v/>
      </c>
      <c r="AK698" s="714" t="str">
        <f t="shared" si="491"/>
        <v/>
      </c>
      <c r="AL698" s="714"/>
      <c r="AM698" s="114" t="str">
        <f t="shared" si="492"/>
        <v/>
      </c>
      <c r="AN698" s="115"/>
      <c r="AO698" s="116"/>
      <c r="AP698" s="116"/>
      <c r="AQ698" s="116"/>
      <c r="AR698" s="116"/>
      <c r="AS698" s="116"/>
      <c r="AT698" s="116"/>
      <c r="AU698" s="116"/>
      <c r="AV698" s="78"/>
      <c r="AW698" s="102"/>
      <c r="AX698" s="78"/>
      <c r="AY698" s="78"/>
      <c r="AZ698" s="78"/>
      <c r="BA698" s="78"/>
      <c r="BB698" s="78"/>
      <c r="BC698" s="78"/>
      <c r="BD698" s="78"/>
      <c r="BE698" s="465"/>
      <c r="BF698" s="165" t="str">
        <f t="shared" si="493"/>
        <v>https://www.google.com/search?tbm=isch&amp;q=Autumn%20Delight%20has%20elegant%20double%20blooms%20from%20early%20to%20late%20fall%2C%20with%20glossy%20evergreen%20foliage%20and%20a%20refined%20upright%20habit%20</v>
      </c>
      <c r="BG698" s="165" t="str">
        <f t="shared" si="494"/>
        <v>A</v>
      </c>
      <c r="BH698" s="65"/>
      <c r="BI698" s="65"/>
      <c r="BJ698" s="65"/>
      <c r="BK698" s="65"/>
      <c r="BL698" s="99"/>
      <c r="BM698" s="99"/>
      <c r="BN698" s="99"/>
    </row>
    <row r="699" spans="1:66" s="51" customFormat="1" ht="18" x14ac:dyDescent="0.25">
      <c r="A699" s="507" t="s">
        <v>1805</v>
      </c>
      <c r="B699" s="470"/>
      <c r="C699" s="706"/>
      <c r="D699" s="471" t="s">
        <v>1806</v>
      </c>
      <c r="E699" s="472"/>
      <c r="F699" s="472"/>
      <c r="G699" s="472"/>
      <c r="H699" s="622" t="s">
        <v>340</v>
      </c>
      <c r="I699" s="473" t="s">
        <v>1807</v>
      </c>
      <c r="J699" s="472"/>
      <c r="K699" s="472"/>
      <c r="L699" s="561"/>
      <c r="M699" s="703" t="s">
        <v>5274</v>
      </c>
      <c r="N699" s="692" t="str">
        <f>IF(AND(ISTEXT($A699), ISERROR($A699+0)), HYPERLINK($BF699, "Images"), "")</f>
        <v>Images</v>
      </c>
      <c r="O699" s="694" t="s">
        <v>5247</v>
      </c>
      <c r="P699" s="475"/>
      <c r="Q699" s="476"/>
      <c r="R699" s="476"/>
      <c r="S699" s="477"/>
      <c r="T699" s="102">
        <f t="shared" si="482"/>
        <v>0</v>
      </c>
      <c r="U699" s="78" t="str">
        <f>IF(NOT(ISNUMBER(G699)), "", VLOOKUP(A699,'Discount Lookup'!D:E,2,FALSE)*G699)</f>
        <v/>
      </c>
      <c r="V699" s="78" t="str">
        <f>IF(NOT(ISNUMBER(G699)), "", VLOOKUP(A699,'Discount Lookup'!G:H,2,FALSE)*G699)</f>
        <v/>
      </c>
      <c r="W699" s="102">
        <f t="shared" si="483"/>
        <v>0</v>
      </c>
      <c r="X699" s="102" t="str">
        <f t="shared" si="484"/>
        <v>White bloom, Yellow centers</v>
      </c>
      <c r="Y699" s="120" t="b">
        <f t="shared" si="485"/>
        <v>0</v>
      </c>
      <c r="Z699" s="117">
        <f t="shared" si="486"/>
        <v>0</v>
      </c>
      <c r="AA699" s="118"/>
      <c r="AB699" s="118" t="str">
        <f t="shared" si="487"/>
        <v/>
      </c>
      <c r="AC699" s="712" t="str">
        <f>IF(AE699="T2G","no charge",IF(AND(OR(PlanterYesMe="No",PlanterYesMe="N",PlanterYesMe="me"),H699=""),"",IF(H699="credit","NO install",IF(AND(K699="",AE699="me"),"EACH row",IF(AND(K699="images",AE699="me"),"EACH row",IF(D699="","",IF(H699="credit","",IF(AE699="free","re-planting",IF(AE699="me","   not ELP, by",IF(AND(OR(PlanterYesMe="Yes",PlanterYesMe="Y"),G699&gt;0),(VLOOKUP(A699,'Discount Lookup'!J:K,2)*G699*(1-PlanterDiscount)*(1+PlanterDifficultyPercentage)),IF(AE699="ELP",(VLOOKUP(A699,'Discount Lookup'!J:K,2)*G699*(1-PlanterDiscount)*(1+PlanterDifficultyPercentage)),IF(AE699="free","re-planting",IF(G699=0,"",IF(PlanterYesMe="",IF(AE699="me","   not ELP, by",IF(AE699="",IF(G699&gt;0,(VLOOKUP(A699,'Discount Lookup'!J:K,2)*G699*(1-PlanterDiscount)*(1+PlanterDifficultyPercentage)),""),"")),"   not ELP, by"))))))))))))))</f>
        <v/>
      </c>
      <c r="AD699" s="712"/>
      <c r="AE699" s="513" t="str">
        <f t="shared" si="488"/>
        <v/>
      </c>
      <c r="AF699" s="713" t="str">
        <f t="shared" si="489"/>
        <v/>
      </c>
      <c r="AG699" s="713"/>
      <c r="AH699" s="713"/>
      <c r="AI699" s="112">
        <f>IF(H699="credit",0,IF(AE699="free",0,IF(AE699="me",0,IF(G699&gt;0,(VLOOKUP(A699,'Discount Lookup'!J:K,2)*G699),0))))</f>
        <v>0</v>
      </c>
      <c r="AJ699" s="107" t="str">
        <f t="shared" ca="1" si="490"/>
        <v/>
      </c>
      <c r="AK699" s="714" t="str">
        <f t="shared" si="491"/>
        <v/>
      </c>
      <c r="AL699" s="714"/>
      <c r="AM699" s="114" t="str">
        <f t="shared" si="492"/>
        <v/>
      </c>
      <c r="AN699" s="115"/>
      <c r="AO699" s="116"/>
      <c r="AP699" s="116"/>
      <c r="AQ699" s="116"/>
      <c r="AR699" s="116"/>
      <c r="AS699" s="116"/>
      <c r="AT699" s="116"/>
      <c r="AU699" s="116"/>
      <c r="AV699" s="78"/>
      <c r="AW699" s="102"/>
      <c r="AX699" s="78"/>
      <c r="AY699" s="78"/>
      <c r="AZ699" s="78"/>
      <c r="BA699" s="78"/>
      <c r="BB699" s="78"/>
      <c r="BC699" s="78"/>
      <c r="BD699" s="78"/>
      <c r="BE699" s="465"/>
      <c r="BF699" s="165" t="str">
        <f t="shared" si="493"/>
        <v>https://www.google.com/search?tbm=isch&amp;q=Camellia%20sasanqua%20%27Autumn%20Rocket%27%20Autumn%20Rocket%20Camellia</v>
      </c>
      <c r="BG699" s="165" t="str">
        <f t="shared" si="494"/>
        <v>C</v>
      </c>
      <c r="BH699" s="65"/>
      <c r="BI699" s="65"/>
      <c r="BJ699" s="65"/>
      <c r="BK699" s="65"/>
      <c r="BL699" s="99"/>
      <c r="BM699" s="99"/>
      <c r="BN699" s="99"/>
    </row>
    <row r="700" spans="1:66" s="51" customFormat="1" ht="15.75" x14ac:dyDescent="0.25">
      <c r="A700" s="478">
        <v>3</v>
      </c>
      <c r="B700" s="479" t="s">
        <v>291</v>
      </c>
      <c r="C700" s="480" t="s">
        <v>454</v>
      </c>
      <c r="D700" s="481" t="s">
        <v>329</v>
      </c>
      <c r="E700" s="482">
        <v>34.950000000000003</v>
      </c>
      <c r="F700" s="483" t="s">
        <v>292</v>
      </c>
      <c r="G700" s="484">
        <v>0</v>
      </c>
      <c r="H700" s="688" t="str">
        <f>IF(G700=0,"",IF(F700="Buy",IF(G700=1,"plant","plants"),IF(F700&gt;0.01,"warranty","Error")))</f>
        <v/>
      </c>
      <c r="I700" s="485">
        <f>IF(H700="free",0,IF(H700="credit",((E700*(F700))*G700*-1),IF(F700="Buy",(E700*G700),((E700*(1-F700))*G700))))</f>
        <v>0</v>
      </c>
      <c r="J700" s="485">
        <f>IF(H700="warranty",0,(I700*(_xlfn.SINGLE(SalesTaxPercentage))))</f>
        <v>0</v>
      </c>
      <c r="K700" s="715">
        <f t="shared" ref="K700" si="515">I700+J700</f>
        <v>0</v>
      </c>
      <c r="L700" s="715"/>
      <c r="M700" s="689" t="str">
        <f ca="1">IF(AND(G700&gt;0,E700=0),"WARNING - no PRICE inserted",IF(H700="free","FREE ~ no charge this plant",IF(H700="credit",CONCATENATE("-$",ROUND(K700*(1-_xlfn.SINGLE(T2GDiscount))*-1,2)," CREDIT after discount"),IF(_xlfn.SINGLE(T2GDiscount)=0,"",IF(G700=0,"",IF(F700="Buy",CONCATENATE("$",ROUND(K700*(1-_xlfn.SINGLE(T2GDiscount)),2)," with ",(_xlfn.SINGLE(T2GDiscount)*100),"% discount"),CONCATENATE("$",ROUND(K700*(1-_xlfn.SINGLE(T2GDiscount)),2)," with ",((_xlfn.SINGLE(T2GDiscount)*100+F700*100)-(_xlfn.SINGLE(T2GDiscount)*100*F700)),IF(F700&gt;0,"% discounts",IF(_xlfn.SINGLE(NoWarrantyDiscount)&gt;0,"% discounts","% discount")))))))))</f>
        <v/>
      </c>
      <c r="N700" s="690"/>
      <c r="O700" s="486"/>
      <c r="P700" s="486"/>
      <c r="Q700" s="486"/>
      <c r="R700" s="486"/>
      <c r="S700" s="486"/>
      <c r="T700" s="102">
        <f t="shared" si="482"/>
        <v>0</v>
      </c>
      <c r="U700" s="78">
        <f>IF(NOT(ISNUMBER(G700)), "", VLOOKUP(A700,'Discount Lookup'!D:E,2,FALSE)*G700)</f>
        <v>0</v>
      </c>
      <c r="V700" s="78">
        <f>IF(NOT(ISNUMBER(G700)), "", VLOOKUP(A700,'Discount Lookup'!G:H,2,FALSE)*G700)</f>
        <v>0</v>
      </c>
      <c r="W700" s="102">
        <f t="shared" si="483"/>
        <v>0</v>
      </c>
      <c r="X700" s="102">
        <f t="shared" si="484"/>
        <v>0</v>
      </c>
      <c r="Y700" s="120" t="b">
        <f t="shared" si="485"/>
        <v>0</v>
      </c>
      <c r="Z700" s="117">
        <f t="shared" si="486"/>
        <v>0</v>
      </c>
      <c r="AA700" s="118"/>
      <c r="AB700" s="118" t="str">
        <f t="shared" si="487"/>
        <v/>
      </c>
      <c r="AC700" s="712" t="str">
        <f>IF(AE700="T2G","no charge",IF(AND(OR(PlanterYesMe="No",PlanterYesMe="N",PlanterYesMe="me"),H700=""),"",IF(H700="credit","NO install",IF(AND(K700="",AE700="me"),"EACH row",IF(AND(K700="images",AE700="me"),"EACH row",IF(D700="","",IF(H700="credit","",IF(AE700="free","re-planting",IF(AE700="me","   not ELP, by",IF(AND(OR(PlanterYesMe="Yes",PlanterYesMe="Y"),G700&gt;0),(VLOOKUP(A700,'Discount Lookup'!J:K,2)*G700*(1-PlanterDiscount)*(1+PlanterDifficultyPercentage)),IF(AE700="ELP",(VLOOKUP(A700,'Discount Lookup'!J:K,2)*G700*(1-PlanterDiscount)*(1+PlanterDifficultyPercentage)),IF(AE700="free","re-planting",IF(G700=0,"",IF(PlanterYesMe="",IF(AE700="me","   not ELP, by",IF(AE700="",IF(G700&gt;0,(VLOOKUP(A700,'Discount Lookup'!J:K,2)*G700*(1-PlanterDiscount)*(1+PlanterDifficultyPercentage)),""),"")),"   not ELP, by"))))))))))))))</f>
        <v/>
      </c>
      <c r="AD700" s="712"/>
      <c r="AE700" s="513" t="str">
        <f t="shared" si="488"/>
        <v/>
      </c>
      <c r="AF700" s="713" t="str">
        <f t="shared" si="489"/>
        <v/>
      </c>
      <c r="AG700" s="713"/>
      <c r="AH700" s="713"/>
      <c r="AI700" s="112">
        <f>IF(H700="credit",0,IF(AE700="free",0,IF(AE700="me",0,IF(G700&gt;0,(VLOOKUP(A700,'Discount Lookup'!J:K,2)*G700),0))))</f>
        <v>0</v>
      </c>
      <c r="AJ700" s="107" t="str">
        <f t="shared" ca="1" si="490"/>
        <v/>
      </c>
      <c r="AK700" s="714" t="str">
        <f t="shared" si="491"/>
        <v/>
      </c>
      <c r="AL700" s="714"/>
      <c r="AM700" s="114" t="str">
        <f t="shared" si="492"/>
        <v/>
      </c>
      <c r="AN700" s="115"/>
      <c r="AO700" s="116"/>
      <c r="AP700" s="116"/>
      <c r="AQ700" s="116"/>
      <c r="AR700" s="116"/>
      <c r="AS700" s="116"/>
      <c r="AT700" s="116"/>
      <c r="AU700" s="116"/>
      <c r="AV700" s="78"/>
      <c r="AW700" s="102"/>
      <c r="AX700" s="78"/>
      <c r="AY700" s="78"/>
      <c r="AZ700" s="78"/>
      <c r="BA700" s="78"/>
      <c r="BB700" s="78"/>
      <c r="BC700" s="78"/>
      <c r="BD700" s="78"/>
      <c r="BE700" s="465"/>
      <c r="BF700" s="165" t="str">
        <f t="shared" si="493"/>
        <v>https://www.google.com/search?tbm=isch&amp;q=3%20G2</v>
      </c>
      <c r="BG700" s="165" t="str">
        <f t="shared" si="494"/>
        <v>C</v>
      </c>
      <c r="BH700" s="65"/>
      <c r="BI700" s="65"/>
      <c r="BJ700" s="65"/>
      <c r="BK700" s="65"/>
      <c r="BL700" s="99"/>
      <c r="BM700" s="99"/>
      <c r="BN700" s="99"/>
    </row>
    <row r="701" spans="1:66" s="51" customFormat="1" ht="15.75" x14ac:dyDescent="0.25">
      <c r="A701" s="478">
        <v>10</v>
      </c>
      <c r="B701" s="479" t="s">
        <v>291</v>
      </c>
      <c r="C701" s="480" t="s">
        <v>1808</v>
      </c>
      <c r="D701" s="481" t="s">
        <v>293</v>
      </c>
      <c r="E701" s="482">
        <v>202.95</v>
      </c>
      <c r="F701" s="483" t="s">
        <v>292</v>
      </c>
      <c r="G701" s="484">
        <v>0</v>
      </c>
      <c r="H701" s="688" t="str">
        <f>IF(G701=0,"",IF(F701="Buy",IF(G701=1,"plant","plants"),IF(F701&gt;0.01,"warranty","Error")))</f>
        <v/>
      </c>
      <c r="I701" s="485">
        <f>IF(H701="free",0,IF(H701="credit",((E701*(F701))*G701*-1),IF(F701="Buy",(E701*G701),((E701*(1-F701))*G701))))</f>
        <v>0</v>
      </c>
      <c r="J701" s="485">
        <f>IF(H701="warranty",0,(I701*(_xlfn.SINGLE(SalesTaxPercentage))))</f>
        <v>0</v>
      </c>
      <c r="K701" s="715">
        <f t="shared" ref="K701" si="516">I701+J701</f>
        <v>0</v>
      </c>
      <c r="L701" s="715"/>
      <c r="M701" s="689" t="str">
        <f ca="1">IF(AND(G701&gt;0,E701=0),"WARNING - no PRICE inserted",IF(H701="free","FREE ~ no charge this plant",IF(H701="credit",CONCATENATE("-$",ROUND(K701*(1-_xlfn.SINGLE(T2GDiscount))*-1,2)," CREDIT after discount"),IF(_xlfn.SINGLE(T2GDiscount)=0,"",IF(G701=0,"",IF(F701="Buy",CONCATENATE("$",ROUND(K701*(1-_xlfn.SINGLE(T2GDiscount)),2)," with ",(_xlfn.SINGLE(T2GDiscount)*100),"% discount"),CONCATENATE("$",ROUND(K701*(1-_xlfn.SINGLE(T2GDiscount)),2)," with ",((_xlfn.SINGLE(T2GDiscount)*100+F701*100)-(_xlfn.SINGLE(T2GDiscount)*100*F701)),IF(F701&gt;0,"% discounts",IF(_xlfn.SINGLE(NoWarrantyDiscount)&gt;0,"% discounts","% discount")))))))))</f>
        <v/>
      </c>
      <c r="N701" s="690"/>
      <c r="O701" s="486"/>
      <c r="P701" s="486"/>
      <c r="Q701" s="486"/>
      <c r="R701" s="486"/>
      <c r="S701" s="486"/>
      <c r="T701" s="102">
        <f t="shared" si="482"/>
        <v>0</v>
      </c>
      <c r="U701" s="78">
        <f>IF(NOT(ISNUMBER(G701)), "", VLOOKUP(A701,'Discount Lookup'!D:E,2,FALSE)*G701)</f>
        <v>0</v>
      </c>
      <c r="V701" s="78">
        <f>IF(NOT(ISNUMBER(G701)), "", VLOOKUP(A701,'Discount Lookup'!G:H,2,FALSE)*G701)</f>
        <v>0</v>
      </c>
      <c r="W701" s="102">
        <f t="shared" si="483"/>
        <v>0</v>
      </c>
      <c r="X701" s="102">
        <f t="shared" si="484"/>
        <v>0</v>
      </c>
      <c r="Y701" s="120" t="b">
        <f t="shared" si="485"/>
        <v>0</v>
      </c>
      <c r="Z701" s="117">
        <f t="shared" si="486"/>
        <v>0</v>
      </c>
      <c r="AA701" s="118"/>
      <c r="AB701" s="118" t="str">
        <f t="shared" si="487"/>
        <v/>
      </c>
      <c r="AC701" s="712" t="str">
        <f>IF(AE701="T2G","no charge",IF(AND(OR(PlanterYesMe="No",PlanterYesMe="N",PlanterYesMe="me"),H701=""),"",IF(H701="credit","NO install",IF(AND(K701="",AE701="me"),"EACH row",IF(AND(K701="images",AE701="me"),"EACH row",IF(D701="","",IF(H701="credit","",IF(AE701="free","re-planting",IF(AE701="me","   not ELP, by",IF(AND(OR(PlanterYesMe="Yes",PlanterYesMe="Y"),G701&gt;0),(VLOOKUP(A701,'Discount Lookup'!J:K,2)*G701*(1-PlanterDiscount)*(1+PlanterDifficultyPercentage)),IF(AE701="ELP",(VLOOKUP(A701,'Discount Lookup'!J:K,2)*G701*(1-PlanterDiscount)*(1+PlanterDifficultyPercentage)),IF(AE701="free","re-planting",IF(G701=0,"",IF(PlanterYesMe="",IF(AE701="me","   not ELP, by",IF(AE701="",IF(G701&gt;0,(VLOOKUP(A701,'Discount Lookup'!J:K,2)*G701*(1-PlanterDiscount)*(1+PlanterDifficultyPercentage)),""),"")),"   not ELP, by"))))))))))))))</f>
        <v/>
      </c>
      <c r="AD701" s="712"/>
      <c r="AE701" s="513" t="str">
        <f t="shared" si="488"/>
        <v/>
      </c>
      <c r="AF701" s="713" t="str">
        <f t="shared" si="489"/>
        <v/>
      </c>
      <c r="AG701" s="713"/>
      <c r="AH701" s="713"/>
      <c r="AI701" s="112">
        <f>IF(H701="credit",0,IF(AE701="free",0,IF(AE701="me",0,IF(G701&gt;0,(VLOOKUP(A701,'Discount Lookup'!J:K,2)*G701),0))))</f>
        <v>0</v>
      </c>
      <c r="AJ701" s="107" t="str">
        <f t="shared" ca="1" si="490"/>
        <v/>
      </c>
      <c r="AK701" s="714" t="str">
        <f t="shared" si="491"/>
        <v/>
      </c>
      <c r="AL701" s="714"/>
      <c r="AM701" s="114" t="str">
        <f t="shared" si="492"/>
        <v/>
      </c>
      <c r="AN701" s="115"/>
      <c r="AO701" s="116"/>
      <c r="AP701" s="116"/>
      <c r="AQ701" s="116"/>
      <c r="AR701" s="116"/>
      <c r="AS701" s="116"/>
      <c r="AT701" s="116"/>
      <c r="AU701" s="116"/>
      <c r="AV701" s="78"/>
      <c r="AW701" s="102"/>
      <c r="AX701" s="78"/>
      <c r="AY701" s="78"/>
      <c r="AZ701" s="78"/>
      <c r="BA701" s="78"/>
      <c r="BB701" s="78"/>
      <c r="BC701" s="78"/>
      <c r="BD701" s="78"/>
      <c r="BE701" s="465"/>
      <c r="BF701" s="165" t="str">
        <f t="shared" si="493"/>
        <v>https://www.google.com/search?tbm=isch&amp;q=10%20G6</v>
      </c>
      <c r="BG701" s="165" t="str">
        <f t="shared" si="494"/>
        <v>C</v>
      </c>
      <c r="BH701" s="65"/>
      <c r="BI701" s="65"/>
      <c r="BJ701" s="65"/>
      <c r="BK701" s="65"/>
      <c r="BL701" s="99"/>
      <c r="BM701" s="99"/>
      <c r="BN701" s="99"/>
    </row>
    <row r="702" spans="1:66" s="51" customFormat="1" ht="15.75" x14ac:dyDescent="0.25">
      <c r="A702" s="478">
        <v>25</v>
      </c>
      <c r="B702" s="479" t="s">
        <v>291</v>
      </c>
      <c r="C702" s="480" t="s">
        <v>1809</v>
      </c>
      <c r="D702" s="481" t="s">
        <v>293</v>
      </c>
      <c r="E702" s="482">
        <v>458.95</v>
      </c>
      <c r="F702" s="483" t="s">
        <v>292</v>
      </c>
      <c r="G702" s="484">
        <v>0</v>
      </c>
      <c r="H702" s="688" t="str">
        <f>IF(G702=0,"",IF(F702="Buy",IF(G702=1,"plant","plants"),IF(F702&gt;0.01,"warranty","Error")))</f>
        <v/>
      </c>
      <c r="I702" s="485">
        <f>IF(H702="free",0,IF(H702="credit",((E702*(F702))*G702*-1),IF(F702="Buy",(E702*G702),((E702*(1-F702))*G702))))</f>
        <v>0</v>
      </c>
      <c r="J702" s="485">
        <f>IF(H702="warranty",0,(I702*(_xlfn.SINGLE(SalesTaxPercentage))))</f>
        <v>0</v>
      </c>
      <c r="K702" s="715">
        <f t="shared" ref="K702" si="517">I702+J702</f>
        <v>0</v>
      </c>
      <c r="L702" s="715"/>
      <c r="M702" s="689" t="str">
        <f ca="1">IF(AND(G702&gt;0,E702=0),"WARNING - no PRICE inserted",IF(H702="free","FREE ~ no charge this plant",IF(H702="credit",CONCATENATE("-$",ROUND(K702*(1-_xlfn.SINGLE(T2GDiscount))*-1,2)," CREDIT after discount"),IF(_xlfn.SINGLE(T2GDiscount)=0,"",IF(G702=0,"",IF(F702="Buy",CONCATENATE("$",ROUND(K702*(1-_xlfn.SINGLE(T2GDiscount)),2)," with ",(_xlfn.SINGLE(T2GDiscount)*100),"% discount"),CONCATENATE("$",ROUND(K702*(1-_xlfn.SINGLE(T2GDiscount)),2)," with ",((_xlfn.SINGLE(T2GDiscount)*100+F702*100)-(_xlfn.SINGLE(T2GDiscount)*100*F702)),IF(F702&gt;0,"% discounts",IF(_xlfn.SINGLE(NoWarrantyDiscount)&gt;0,"% discounts","% discount")))))))))</f>
        <v/>
      </c>
      <c r="N702" s="690"/>
      <c r="O702" s="486"/>
      <c r="P702" s="486"/>
      <c r="Q702" s="486"/>
      <c r="R702" s="486"/>
      <c r="S702" s="486"/>
      <c r="T702" s="102">
        <f t="shared" si="482"/>
        <v>0</v>
      </c>
      <c r="U702" s="78">
        <f>IF(NOT(ISNUMBER(G702)), "", VLOOKUP(A702,'Discount Lookup'!D:E,2,FALSE)*G702)</f>
        <v>0</v>
      </c>
      <c r="V702" s="78">
        <f>IF(NOT(ISNUMBER(G702)), "", VLOOKUP(A702,'Discount Lookup'!G:H,2,FALSE)*G702)</f>
        <v>0</v>
      </c>
      <c r="W702" s="102">
        <f t="shared" si="483"/>
        <v>0</v>
      </c>
      <c r="X702" s="102">
        <f t="shared" si="484"/>
        <v>0</v>
      </c>
      <c r="Y702" s="120" t="b">
        <f t="shared" si="485"/>
        <v>0</v>
      </c>
      <c r="Z702" s="117">
        <f t="shared" si="486"/>
        <v>0</v>
      </c>
      <c r="AA702" s="118"/>
      <c r="AB702" s="118" t="str">
        <f t="shared" si="487"/>
        <v/>
      </c>
      <c r="AC702" s="712" t="str">
        <f>IF(AE702="T2G","no charge",IF(AND(OR(PlanterYesMe="No",PlanterYesMe="N",PlanterYesMe="me"),H702=""),"",IF(H702="credit","NO install",IF(AND(K702="",AE702="me"),"EACH row",IF(AND(K702="images",AE702="me"),"EACH row",IF(D702="","",IF(H702="credit","",IF(AE702="free","re-planting",IF(AE702="me","   not ELP, by",IF(AND(OR(PlanterYesMe="Yes",PlanterYesMe="Y"),G702&gt;0),(VLOOKUP(A702,'Discount Lookup'!J:K,2)*G702*(1-PlanterDiscount)*(1+PlanterDifficultyPercentage)),IF(AE702="ELP",(VLOOKUP(A702,'Discount Lookup'!J:K,2)*G702*(1-PlanterDiscount)*(1+PlanterDifficultyPercentage)),IF(AE702="free","re-planting",IF(G702=0,"",IF(PlanterYesMe="",IF(AE702="me","   not ELP, by",IF(AE702="",IF(G702&gt;0,(VLOOKUP(A702,'Discount Lookup'!J:K,2)*G702*(1-PlanterDiscount)*(1+PlanterDifficultyPercentage)),""),"")),"   not ELP, by"))))))))))))))</f>
        <v/>
      </c>
      <c r="AD702" s="712"/>
      <c r="AE702" s="513" t="str">
        <f t="shared" si="488"/>
        <v/>
      </c>
      <c r="AF702" s="713" t="str">
        <f t="shared" si="489"/>
        <v/>
      </c>
      <c r="AG702" s="713"/>
      <c r="AH702" s="713"/>
      <c r="AI702" s="112">
        <f>IF(H702="credit",0,IF(AE702="free",0,IF(AE702="me",0,IF(G702&gt;0,(VLOOKUP(A702,'Discount Lookup'!J:K,2)*G702),0))))</f>
        <v>0</v>
      </c>
      <c r="AJ702" s="107" t="str">
        <f t="shared" ca="1" si="490"/>
        <v/>
      </c>
      <c r="AK702" s="714" t="str">
        <f t="shared" si="491"/>
        <v/>
      </c>
      <c r="AL702" s="714"/>
      <c r="AM702" s="114" t="str">
        <f t="shared" si="492"/>
        <v/>
      </c>
      <c r="AN702" s="115"/>
      <c r="AO702" s="116"/>
      <c r="AP702" s="116"/>
      <c r="AQ702" s="116"/>
      <c r="AR702" s="116"/>
      <c r="AS702" s="116"/>
      <c r="AT702" s="116"/>
      <c r="AU702" s="116"/>
      <c r="AV702" s="78"/>
      <c r="AW702" s="102"/>
      <c r="AX702" s="78"/>
      <c r="AY702" s="78"/>
      <c r="AZ702" s="78"/>
      <c r="BA702" s="78"/>
      <c r="BB702" s="78"/>
      <c r="BC702" s="78"/>
      <c r="BD702" s="78"/>
      <c r="BE702" s="465"/>
      <c r="BF702" s="165" t="str">
        <f t="shared" si="493"/>
        <v>https://www.google.com/search?tbm=isch&amp;q=25%20G6</v>
      </c>
      <c r="BG702" s="165" t="str">
        <f t="shared" si="494"/>
        <v>C</v>
      </c>
      <c r="BH702" s="65"/>
      <c r="BI702" s="65"/>
      <c r="BJ702" s="65"/>
      <c r="BK702" s="65"/>
      <c r="BL702" s="99"/>
      <c r="BM702" s="99"/>
      <c r="BN702" s="99"/>
    </row>
    <row r="703" spans="1:66" s="51" customFormat="1" ht="17.25" thickBot="1" x14ac:dyDescent="0.3">
      <c r="A703" s="508" t="s">
        <v>1810</v>
      </c>
      <c r="B703" s="487"/>
      <c r="C703" s="707"/>
      <c r="D703" s="487"/>
      <c r="E703" s="487"/>
      <c r="F703" s="488"/>
      <c r="G703" s="489"/>
      <c r="H703" s="487"/>
      <c r="I703" s="490"/>
      <c r="J703" s="490"/>
      <c r="K703" s="491"/>
      <c r="L703" s="547"/>
      <c r="M703" s="528"/>
      <c r="N703" s="492"/>
      <c r="O703" s="493"/>
      <c r="P703" s="494"/>
      <c r="Q703" s="492"/>
      <c r="R703" s="492"/>
      <c r="S703" s="699" t="s">
        <v>5275</v>
      </c>
      <c r="T703" s="102">
        <f t="shared" si="482"/>
        <v>0</v>
      </c>
      <c r="U703" s="78" t="str">
        <f>IF(NOT(ISNUMBER(G703)), "", VLOOKUP(A703,'Discount Lookup'!D:E,2,FALSE)*G703)</f>
        <v/>
      </c>
      <c r="V703" s="78" t="str">
        <f>IF(NOT(ISNUMBER(G703)), "", VLOOKUP(A703,'Discount Lookup'!G:H,2,FALSE)*G703)</f>
        <v/>
      </c>
      <c r="W703" s="102">
        <f t="shared" si="483"/>
        <v>0</v>
      </c>
      <c r="X703" s="102">
        <f t="shared" si="484"/>
        <v>0</v>
      </c>
      <c r="Y703" s="120" t="b">
        <f t="shared" si="485"/>
        <v>0</v>
      </c>
      <c r="Z703" s="117">
        <f t="shared" si="486"/>
        <v>0</v>
      </c>
      <c r="AA703" s="118"/>
      <c r="AB703" s="118" t="str">
        <f t="shared" si="487"/>
        <v/>
      </c>
      <c r="AC703" s="712" t="str">
        <f>IF(AE703="T2G","no charge",IF(AND(OR(PlanterYesMe="No",PlanterYesMe="N",PlanterYesMe="me"),H703=""),"",IF(H703="credit","NO install",IF(AND(K703="",AE703="me"),"EACH row",IF(AND(K703="images",AE703="me"),"EACH row",IF(D703="","",IF(H703="credit","",IF(AE703="free","re-planting",IF(AE703="me","   not ELP, by",IF(AND(OR(PlanterYesMe="Yes",PlanterYesMe="Y"),G703&gt;0),(VLOOKUP(A703,'Discount Lookup'!J:K,2)*G703*(1-PlanterDiscount)*(1+PlanterDifficultyPercentage)),IF(AE703="ELP",(VLOOKUP(A703,'Discount Lookup'!J:K,2)*G703*(1-PlanterDiscount)*(1+PlanterDifficultyPercentage)),IF(AE703="free","re-planting",IF(G703=0,"",IF(PlanterYesMe="",IF(AE703="me","   not ELP, by",IF(AE703="",IF(G703&gt;0,(VLOOKUP(A703,'Discount Lookup'!J:K,2)*G703*(1-PlanterDiscount)*(1+PlanterDifficultyPercentage)),""),"")),"   not ELP, by"))))))))))))))</f>
        <v/>
      </c>
      <c r="AD703" s="712"/>
      <c r="AE703" s="513" t="str">
        <f t="shared" si="488"/>
        <v/>
      </c>
      <c r="AF703" s="713" t="str">
        <f t="shared" si="489"/>
        <v/>
      </c>
      <c r="AG703" s="713"/>
      <c r="AH703" s="713"/>
      <c r="AI703" s="112">
        <f>IF(H703="credit",0,IF(AE703="free",0,IF(AE703="me",0,IF(G703&gt;0,(VLOOKUP(A703,'Discount Lookup'!J:K,2)*G703),0))))</f>
        <v>0</v>
      </c>
      <c r="AJ703" s="107" t="str">
        <f t="shared" ca="1" si="490"/>
        <v/>
      </c>
      <c r="AK703" s="714" t="str">
        <f t="shared" si="491"/>
        <v/>
      </c>
      <c r="AL703" s="714"/>
      <c r="AM703" s="114" t="str">
        <f t="shared" si="492"/>
        <v/>
      </c>
      <c r="AN703" s="115"/>
      <c r="AO703" s="116"/>
      <c r="AP703" s="116"/>
      <c r="AQ703" s="116"/>
      <c r="AR703" s="116"/>
      <c r="AS703" s="116"/>
      <c r="AT703" s="116"/>
      <c r="AU703" s="116"/>
      <c r="AV703" s="78"/>
      <c r="AW703" s="102"/>
      <c r="AX703" s="78"/>
      <c r="AY703" s="78"/>
      <c r="AZ703" s="78"/>
      <c r="BA703" s="78"/>
      <c r="BB703" s="78"/>
      <c r="BC703" s="78"/>
      <c r="BD703" s="78"/>
      <c r="BE703" s="465"/>
      <c r="BF703" s="165" t="str">
        <f t="shared" si="493"/>
        <v>https://www.google.com/search?tbm=isch&amp;q=Autumn%20Rocket%20produces%20anemone-style%20blooms%20from%20Pinkish%20buds%20in%20fall%2C%20atop%20glossy%20foliage%20in%20a%20columnar%20form.%20Mild%20fragrance%20</v>
      </c>
      <c r="BG703" s="165" t="str">
        <f t="shared" si="494"/>
        <v>A</v>
      </c>
      <c r="BH703" s="65"/>
      <c r="BI703" s="65"/>
      <c r="BJ703" s="65"/>
      <c r="BK703" s="65"/>
      <c r="BL703" s="99"/>
      <c r="BM703" s="99"/>
      <c r="BN703" s="99"/>
    </row>
    <row r="704" spans="1:66" s="51" customFormat="1" ht="18" x14ac:dyDescent="0.25">
      <c r="A704" s="507" t="s">
        <v>1811</v>
      </c>
      <c r="B704" s="470"/>
      <c r="C704" s="706"/>
      <c r="D704" s="471" t="s">
        <v>1812</v>
      </c>
      <c r="E704" s="472"/>
      <c r="F704" s="472"/>
      <c r="G704" s="472"/>
      <c r="H704" s="622" t="s">
        <v>1246</v>
      </c>
      <c r="I704" s="473" t="s">
        <v>5125</v>
      </c>
      <c r="J704" s="472"/>
      <c r="K704" s="472"/>
      <c r="L704" s="561"/>
      <c r="M704" s="698" t="s">
        <v>5246</v>
      </c>
      <c r="N704" s="692" t="str">
        <f>IF(AND(ISTEXT($A704), ISERROR($A704+0)), HYPERLINK($BF704, "Images"), "")</f>
        <v>Images</v>
      </c>
      <c r="O704" s="694" t="s">
        <v>5247</v>
      </c>
      <c r="P704" s="475"/>
      <c r="Q704" s="476"/>
      <c r="R704" s="476"/>
      <c r="S704" s="477"/>
      <c r="T704" s="102">
        <f t="shared" si="482"/>
        <v>0</v>
      </c>
      <c r="U704" s="78" t="str">
        <f>IF(NOT(ISNUMBER(G704)), "", VLOOKUP(A704,'Discount Lookup'!D:E,2,FALSE)*G704)</f>
        <v/>
      </c>
      <c r="V704" s="78" t="str">
        <f>IF(NOT(ISNUMBER(G704)), "", VLOOKUP(A704,'Discount Lookup'!G:H,2,FALSE)*G704)</f>
        <v/>
      </c>
      <c r="W704" s="102">
        <f t="shared" si="483"/>
        <v>0</v>
      </c>
      <c r="X704" s="102" t="str">
        <f t="shared" si="484"/>
        <v>Soft Pink, Yellow stamen</v>
      </c>
      <c r="Y704" s="120" t="b">
        <f t="shared" si="485"/>
        <v>0</v>
      </c>
      <c r="Z704" s="117">
        <f t="shared" si="486"/>
        <v>0</v>
      </c>
      <c r="AA704" s="118"/>
      <c r="AB704" s="118" t="str">
        <f t="shared" si="487"/>
        <v/>
      </c>
      <c r="AC704" s="712" t="str">
        <f>IF(AE704="T2G","no charge",IF(AND(OR(PlanterYesMe="No",PlanterYesMe="N",PlanterYesMe="me"),H704=""),"",IF(H704="credit","NO install",IF(AND(K704="",AE704="me"),"EACH row",IF(AND(K704="images",AE704="me"),"EACH row",IF(D704="","",IF(H704="credit","",IF(AE704="free","re-planting",IF(AE704="me","   not ELP, by",IF(AND(OR(PlanterYesMe="Yes",PlanterYesMe="Y"),G704&gt;0),(VLOOKUP(A704,'Discount Lookup'!J:K,2)*G704*(1-PlanterDiscount)*(1+PlanterDifficultyPercentage)),IF(AE704="ELP",(VLOOKUP(A704,'Discount Lookup'!J:K,2)*G704*(1-PlanterDiscount)*(1+PlanterDifficultyPercentage)),IF(AE704="free","re-planting",IF(G704=0,"",IF(PlanterYesMe="",IF(AE704="me","   not ELP, by",IF(AE704="",IF(G704&gt;0,(VLOOKUP(A704,'Discount Lookup'!J:K,2)*G704*(1-PlanterDiscount)*(1+PlanterDifficultyPercentage)),""),"")),"   not ELP, by"))))))))))))))</f>
        <v/>
      </c>
      <c r="AD704" s="712"/>
      <c r="AE704" s="513" t="str">
        <f t="shared" si="488"/>
        <v/>
      </c>
      <c r="AF704" s="713" t="str">
        <f t="shared" si="489"/>
        <v/>
      </c>
      <c r="AG704" s="713"/>
      <c r="AH704" s="713"/>
      <c r="AI704" s="112">
        <f>IF(H704="credit",0,IF(AE704="free",0,IF(AE704="me",0,IF(G704&gt;0,(VLOOKUP(A704,'Discount Lookup'!J:K,2)*G704),0))))</f>
        <v>0</v>
      </c>
      <c r="AJ704" s="107" t="str">
        <f t="shared" ca="1" si="490"/>
        <v/>
      </c>
      <c r="AK704" s="714" t="str">
        <f t="shared" si="491"/>
        <v/>
      </c>
      <c r="AL704" s="714"/>
      <c r="AM704" s="114" t="str">
        <f t="shared" si="492"/>
        <v/>
      </c>
      <c r="AN704" s="115"/>
      <c r="AO704" s="116"/>
      <c r="AP704" s="116"/>
      <c r="AQ704" s="116"/>
      <c r="AR704" s="116"/>
      <c r="AS704" s="116"/>
      <c r="AT704" s="116"/>
      <c r="AU704" s="116"/>
      <c r="AV704" s="78"/>
      <c r="AW704" s="102"/>
      <c r="AX704" s="78"/>
      <c r="AY704" s="78"/>
      <c r="AZ704" s="78"/>
      <c r="BA704" s="78"/>
      <c r="BB704" s="78"/>
      <c r="BC704" s="78"/>
      <c r="BD704" s="78"/>
      <c r="BE704" s="465"/>
      <c r="BF704" s="165" t="str">
        <f t="shared" si="493"/>
        <v>https://www.google.com/search?tbm=isch&amp;q=Camellia%20sasanqua%20%27Cleopatra%27%20Cleopatra%20Camellia</v>
      </c>
      <c r="BG704" s="165" t="str">
        <f t="shared" si="494"/>
        <v>C</v>
      </c>
      <c r="BH704" s="65"/>
      <c r="BI704" s="65"/>
      <c r="BJ704" s="65"/>
      <c r="BK704" s="65"/>
      <c r="BL704" s="99"/>
      <c r="BM704" s="99"/>
      <c r="BN704" s="99"/>
    </row>
    <row r="705" spans="1:66" s="51" customFormat="1" ht="15.75" x14ac:dyDescent="0.25">
      <c r="A705" s="478">
        <v>10</v>
      </c>
      <c r="B705" s="479" t="s">
        <v>291</v>
      </c>
      <c r="C705" s="480" t="s">
        <v>1813</v>
      </c>
      <c r="D705" s="481" t="s">
        <v>309</v>
      </c>
      <c r="E705" s="482">
        <v>83.95</v>
      </c>
      <c r="F705" s="483" t="s">
        <v>292</v>
      </c>
      <c r="G705" s="484">
        <v>0</v>
      </c>
      <c r="H705" s="688" t="str">
        <f>IF(G705=0,"",IF(F705="Buy",IF(G705=1,"plant","plants"),IF(F705&gt;0.01,"warranty","Error")))</f>
        <v/>
      </c>
      <c r="I705" s="485">
        <f>IF(H705="free",0,IF(H705="credit",((E705*(F705))*G705*-1),IF(F705="Buy",(E705*G705),((E705*(1-F705))*G705))))</f>
        <v>0</v>
      </c>
      <c r="J705" s="485">
        <f>IF(H705="warranty",0,(I705*(_xlfn.SINGLE(SalesTaxPercentage))))</f>
        <v>0</v>
      </c>
      <c r="K705" s="715">
        <f t="shared" ref="K705" si="518">I705+J705</f>
        <v>0</v>
      </c>
      <c r="L705" s="715"/>
      <c r="M705" s="689" t="str">
        <f ca="1">IF(AND(G705&gt;0,E705=0),"WARNING - no PRICE inserted",IF(H705="free","FREE ~ no charge this plant",IF(H705="credit",CONCATENATE("-$",ROUND(K705*(1-_xlfn.SINGLE(T2GDiscount))*-1,2)," CREDIT after discount"),IF(_xlfn.SINGLE(T2GDiscount)=0,"",IF(G705=0,"",IF(F705="Buy",CONCATENATE("$",ROUND(K705*(1-_xlfn.SINGLE(T2GDiscount)),2)," with ",(_xlfn.SINGLE(T2GDiscount)*100),"% discount"),CONCATENATE("$",ROUND(K705*(1-_xlfn.SINGLE(T2GDiscount)),2)," with ",((_xlfn.SINGLE(T2GDiscount)*100+F705*100)-(_xlfn.SINGLE(T2GDiscount)*100*F705)),IF(F705&gt;0,"% discounts",IF(_xlfn.SINGLE(NoWarrantyDiscount)&gt;0,"% discounts","% discount")))))))))</f>
        <v/>
      </c>
      <c r="N705" s="690"/>
      <c r="O705" s="486"/>
      <c r="P705" s="486"/>
      <c r="Q705" s="486"/>
      <c r="R705" s="486"/>
      <c r="S705" s="486"/>
      <c r="T705" s="102">
        <f t="shared" si="482"/>
        <v>0</v>
      </c>
      <c r="U705" s="78">
        <f>IF(NOT(ISNUMBER(G705)), "", VLOOKUP(A705,'Discount Lookup'!D:E,2,FALSE)*G705)</f>
        <v>0</v>
      </c>
      <c r="V705" s="78">
        <f>IF(NOT(ISNUMBER(G705)), "", VLOOKUP(A705,'Discount Lookup'!G:H,2,FALSE)*G705)</f>
        <v>0</v>
      </c>
      <c r="W705" s="102">
        <f t="shared" si="483"/>
        <v>0</v>
      </c>
      <c r="X705" s="102">
        <f t="shared" si="484"/>
        <v>0</v>
      </c>
      <c r="Y705" s="120" t="b">
        <f t="shared" si="485"/>
        <v>0</v>
      </c>
      <c r="Z705" s="117">
        <f t="shared" si="486"/>
        <v>0</v>
      </c>
      <c r="AA705" s="118"/>
      <c r="AB705" s="118" t="str">
        <f t="shared" si="487"/>
        <v/>
      </c>
      <c r="AC705" s="712" t="str">
        <f>IF(AE705="T2G","no charge",IF(AND(OR(PlanterYesMe="No",PlanterYesMe="N",PlanterYesMe="me"),H705=""),"",IF(H705="credit","NO install",IF(AND(K705="",AE705="me"),"EACH row",IF(AND(K705="images",AE705="me"),"EACH row",IF(D705="","",IF(H705="credit","",IF(AE705="free","re-planting",IF(AE705="me","   not ELP, by",IF(AND(OR(PlanterYesMe="Yes",PlanterYesMe="Y"),G705&gt;0),(VLOOKUP(A705,'Discount Lookup'!J:K,2)*G705*(1-PlanterDiscount)*(1+PlanterDifficultyPercentage)),IF(AE705="ELP",(VLOOKUP(A705,'Discount Lookup'!J:K,2)*G705*(1-PlanterDiscount)*(1+PlanterDifficultyPercentage)),IF(AE705="free","re-planting",IF(G705=0,"",IF(PlanterYesMe="",IF(AE705="me","   not ELP, by",IF(AE705="",IF(G705&gt;0,(VLOOKUP(A705,'Discount Lookup'!J:K,2)*G705*(1-PlanterDiscount)*(1+PlanterDifficultyPercentage)),""),"")),"   not ELP, by"))))))))))))))</f>
        <v/>
      </c>
      <c r="AD705" s="712"/>
      <c r="AE705" s="513" t="str">
        <f t="shared" si="488"/>
        <v/>
      </c>
      <c r="AF705" s="713" t="str">
        <f t="shared" si="489"/>
        <v/>
      </c>
      <c r="AG705" s="713"/>
      <c r="AH705" s="713"/>
      <c r="AI705" s="112">
        <f>IF(H705="credit",0,IF(AE705="free",0,IF(AE705="me",0,IF(G705&gt;0,(VLOOKUP(A705,'Discount Lookup'!J:K,2)*G705),0))))</f>
        <v>0</v>
      </c>
      <c r="AJ705" s="107" t="str">
        <f t="shared" ca="1" si="490"/>
        <v/>
      </c>
      <c r="AK705" s="714" t="str">
        <f t="shared" si="491"/>
        <v/>
      </c>
      <c r="AL705" s="714"/>
      <c r="AM705" s="114" t="str">
        <f t="shared" si="492"/>
        <v/>
      </c>
      <c r="AN705" s="115"/>
      <c r="AO705" s="116"/>
      <c r="AP705" s="116"/>
      <c r="AQ705" s="116"/>
      <c r="AR705" s="116"/>
      <c r="AS705" s="116"/>
      <c r="AT705" s="116"/>
      <c r="AU705" s="116"/>
      <c r="AV705" s="78"/>
      <c r="AW705" s="102"/>
      <c r="AX705" s="78"/>
      <c r="AY705" s="78"/>
      <c r="AZ705" s="78"/>
      <c r="BA705" s="78"/>
      <c r="BB705" s="78"/>
      <c r="BC705" s="78"/>
      <c r="BD705" s="78"/>
      <c r="BE705" s="465"/>
      <c r="BF705" s="165" t="str">
        <f t="shared" si="493"/>
        <v>https://www.google.com/search?tbm=isch&amp;q=10%20G3</v>
      </c>
      <c r="BG705" s="165" t="str">
        <f t="shared" si="494"/>
        <v>C</v>
      </c>
      <c r="BH705" s="65"/>
      <c r="BI705" s="65"/>
      <c r="BJ705" s="65"/>
      <c r="BK705" s="65"/>
      <c r="BL705" s="99"/>
      <c r="BM705" s="99"/>
      <c r="BN705" s="99"/>
    </row>
    <row r="706" spans="1:66" s="51" customFormat="1" ht="17.25" thickBot="1" x14ac:dyDescent="0.3">
      <c r="A706" s="508" t="s">
        <v>1814</v>
      </c>
      <c r="B706" s="487"/>
      <c r="C706" s="707"/>
      <c r="D706" s="487"/>
      <c r="E706" s="487"/>
      <c r="F706" s="488"/>
      <c r="G706" s="489"/>
      <c r="H706" s="487"/>
      <c r="I706" s="490"/>
      <c r="J706" s="490"/>
      <c r="K706" s="491"/>
      <c r="L706" s="547"/>
      <c r="M706" s="528"/>
      <c r="N706" s="492"/>
      <c r="O706" s="493"/>
      <c r="P706" s="494"/>
      <c r="Q706" s="492"/>
      <c r="R706" s="492"/>
      <c r="S706" s="699" t="s">
        <v>5275</v>
      </c>
      <c r="T706" s="102">
        <f t="shared" si="482"/>
        <v>0</v>
      </c>
      <c r="U706" s="78" t="str">
        <f>IF(NOT(ISNUMBER(G706)), "", VLOOKUP(A706,'Discount Lookup'!D:E,2,FALSE)*G706)</f>
        <v/>
      </c>
      <c r="V706" s="78" t="str">
        <f>IF(NOT(ISNUMBER(G706)), "", VLOOKUP(A706,'Discount Lookup'!G:H,2,FALSE)*G706)</f>
        <v/>
      </c>
      <c r="W706" s="102">
        <f t="shared" si="483"/>
        <v>0</v>
      </c>
      <c r="X706" s="102">
        <f t="shared" si="484"/>
        <v>0</v>
      </c>
      <c r="Y706" s="120" t="b">
        <f t="shared" si="485"/>
        <v>0</v>
      </c>
      <c r="Z706" s="117">
        <f t="shared" si="486"/>
        <v>0</v>
      </c>
      <c r="AA706" s="118"/>
      <c r="AB706" s="118" t="str">
        <f t="shared" si="487"/>
        <v/>
      </c>
      <c r="AC706" s="712" t="str">
        <f>IF(AE706="T2G","no charge",IF(AND(OR(PlanterYesMe="No",PlanterYesMe="N",PlanterYesMe="me"),H706=""),"",IF(H706="credit","NO install",IF(AND(K706="",AE706="me"),"EACH row",IF(AND(K706="images",AE706="me"),"EACH row",IF(D706="","",IF(H706="credit","",IF(AE706="free","re-planting",IF(AE706="me","   not ELP, by",IF(AND(OR(PlanterYesMe="Yes",PlanterYesMe="Y"),G706&gt;0),(VLOOKUP(A706,'Discount Lookup'!J:K,2)*G706*(1-PlanterDiscount)*(1+PlanterDifficultyPercentage)),IF(AE706="ELP",(VLOOKUP(A706,'Discount Lookup'!J:K,2)*G706*(1-PlanterDiscount)*(1+PlanterDifficultyPercentage)),IF(AE706="free","re-planting",IF(G706=0,"",IF(PlanterYesMe="",IF(AE706="me","   not ELP, by",IF(AE706="",IF(G706&gt;0,(VLOOKUP(A706,'Discount Lookup'!J:K,2)*G706*(1-PlanterDiscount)*(1+PlanterDifficultyPercentage)),""),"")),"   not ELP, by"))))))))))))))</f>
        <v/>
      </c>
      <c r="AD706" s="712"/>
      <c r="AE706" s="513" t="str">
        <f t="shared" si="488"/>
        <v/>
      </c>
      <c r="AF706" s="713" t="str">
        <f t="shared" si="489"/>
        <v/>
      </c>
      <c r="AG706" s="713"/>
      <c r="AH706" s="713"/>
      <c r="AI706" s="112">
        <f>IF(H706="credit",0,IF(AE706="free",0,IF(AE706="me",0,IF(G706&gt;0,(VLOOKUP(A706,'Discount Lookup'!J:K,2)*G706),0))))</f>
        <v>0</v>
      </c>
      <c r="AJ706" s="107" t="str">
        <f t="shared" ca="1" si="490"/>
        <v/>
      </c>
      <c r="AK706" s="714" t="str">
        <f t="shared" si="491"/>
        <v/>
      </c>
      <c r="AL706" s="714"/>
      <c r="AM706" s="114" t="str">
        <f t="shared" si="492"/>
        <v/>
      </c>
      <c r="AN706" s="115"/>
      <c r="AO706" s="116"/>
      <c r="AP706" s="116"/>
      <c r="AQ706" s="116"/>
      <c r="AR706" s="116"/>
      <c r="AS706" s="116"/>
      <c r="AT706" s="116"/>
      <c r="AU706" s="116"/>
      <c r="AV706" s="78"/>
      <c r="AW706" s="102"/>
      <c r="AX706" s="78"/>
      <c r="AY706" s="78"/>
      <c r="AZ706" s="78"/>
      <c r="BA706" s="78"/>
      <c r="BB706" s="78"/>
      <c r="BC706" s="78"/>
      <c r="BD706" s="78"/>
      <c r="BE706" s="465"/>
      <c r="BF706" s="165" t="str">
        <f t="shared" si="493"/>
        <v>https://www.google.com/search?tbm=isch&amp;q=Cleopatra%20blooms%20from%20fall%20into%20winter%20with%20glossy%20evergreen%20foliage%20and%20graceful%20upright%20form.%20Notably%20pleasant%20light%20fragrance%20</v>
      </c>
      <c r="BG706" s="165" t="str">
        <f t="shared" si="494"/>
        <v>C</v>
      </c>
      <c r="BH706" s="65"/>
      <c r="BI706" s="65"/>
      <c r="BJ706" s="65"/>
      <c r="BK706" s="65"/>
      <c r="BL706" s="99"/>
      <c r="BM706" s="99"/>
      <c r="BN706" s="99"/>
    </row>
    <row r="707" spans="1:66" s="51" customFormat="1" ht="18" x14ac:dyDescent="0.25">
      <c r="A707" s="507" t="s">
        <v>5126</v>
      </c>
      <c r="B707" s="470"/>
      <c r="C707" s="706"/>
      <c r="D707" s="471" t="s">
        <v>5127</v>
      </c>
      <c r="E707" s="472"/>
      <c r="F707" s="472"/>
      <c r="G707" s="472"/>
      <c r="H707" s="622" t="s">
        <v>1471</v>
      </c>
      <c r="I707" s="473" t="s">
        <v>5125</v>
      </c>
      <c r="J707" s="472"/>
      <c r="K707" s="472"/>
      <c r="L707" s="561"/>
      <c r="M707" s="698" t="s">
        <v>5246</v>
      </c>
      <c r="N707" s="692" t="str">
        <f>IF(AND(ISTEXT($A707), ISERROR($A707+0)), HYPERLINK($BF707, "Images"), "")</f>
        <v>Images</v>
      </c>
      <c r="O707" s="694" t="s">
        <v>5247</v>
      </c>
      <c r="P707" s="475"/>
      <c r="Q707" s="476"/>
      <c r="R707" s="476"/>
      <c r="S707" s="477"/>
      <c r="T707" s="102">
        <f t="shared" si="482"/>
        <v>0</v>
      </c>
      <c r="U707" s="78" t="str">
        <f>IF(NOT(ISNUMBER(G707)), "", VLOOKUP(A707,'Discount Lookup'!D:E,2,FALSE)*G707)</f>
        <v/>
      </c>
      <c r="V707" s="78" t="str">
        <f>IF(NOT(ISNUMBER(G707)), "", VLOOKUP(A707,'Discount Lookup'!G:H,2,FALSE)*G707)</f>
        <v/>
      </c>
      <c r="W707" s="102">
        <f t="shared" si="483"/>
        <v>0</v>
      </c>
      <c r="X707" s="102" t="str">
        <f t="shared" si="484"/>
        <v>Soft Pink, Yellow stamen</v>
      </c>
      <c r="Y707" s="120" t="b">
        <f t="shared" si="485"/>
        <v>0</v>
      </c>
      <c r="Z707" s="117">
        <f t="shared" si="486"/>
        <v>0</v>
      </c>
      <c r="AA707" s="118"/>
      <c r="AB707" s="118" t="str">
        <f t="shared" si="487"/>
        <v/>
      </c>
      <c r="AC707" s="712" t="str">
        <f>IF(AE707="T2G","no charge",IF(AND(OR(PlanterYesMe="No",PlanterYesMe="N",PlanterYesMe="me"),H707=""),"",IF(H707="credit","NO install",IF(AND(K707="",AE707="me"),"EACH row",IF(AND(K707="images",AE707="me"),"EACH row",IF(D707="","",IF(H707="credit","",IF(AE707="free","re-planting",IF(AE707="me","   not ELP, by",IF(AND(OR(PlanterYesMe="Yes",PlanterYesMe="Y"),G707&gt;0),(VLOOKUP(A707,'Discount Lookup'!J:K,2)*G707*(1-PlanterDiscount)*(1+PlanterDifficultyPercentage)),IF(AE707="ELP",(VLOOKUP(A707,'Discount Lookup'!J:K,2)*G707*(1-PlanterDiscount)*(1+PlanterDifficultyPercentage)),IF(AE707="free","re-planting",IF(G707=0,"",IF(PlanterYesMe="",IF(AE707="me","   not ELP, by",IF(AE707="",IF(G707&gt;0,(VLOOKUP(A707,'Discount Lookup'!J:K,2)*G707*(1-PlanterDiscount)*(1+PlanterDifficultyPercentage)),""),"")),"   not ELP, by"))))))))))))))</f>
        <v/>
      </c>
      <c r="AD707" s="712"/>
      <c r="AE707" s="513" t="str">
        <f t="shared" si="488"/>
        <v/>
      </c>
      <c r="AF707" s="713" t="str">
        <f t="shared" si="489"/>
        <v/>
      </c>
      <c r="AG707" s="713"/>
      <c r="AH707" s="713"/>
      <c r="AI707" s="112">
        <f>IF(H707="credit",0,IF(AE707="free",0,IF(AE707="me",0,IF(G707&gt;0,(VLOOKUP(A707,'Discount Lookup'!J:K,2)*G707),0))))</f>
        <v>0</v>
      </c>
      <c r="AJ707" s="107" t="str">
        <f t="shared" ca="1" si="490"/>
        <v/>
      </c>
      <c r="AK707" s="714" t="str">
        <f t="shared" si="491"/>
        <v/>
      </c>
      <c r="AL707" s="714"/>
      <c r="AM707" s="114" t="str">
        <f t="shared" si="492"/>
        <v/>
      </c>
      <c r="AN707" s="115"/>
      <c r="AO707" s="116"/>
      <c r="AP707" s="116"/>
      <c r="AQ707" s="116"/>
      <c r="AR707" s="116"/>
      <c r="AS707" s="116"/>
      <c r="AT707" s="116"/>
      <c r="AU707" s="116"/>
      <c r="AV707" s="78"/>
      <c r="AW707" s="102"/>
      <c r="AX707" s="78"/>
      <c r="AY707" s="78"/>
      <c r="AZ707" s="78"/>
      <c r="BA707" s="78"/>
      <c r="BB707" s="78"/>
      <c r="BC707" s="78"/>
      <c r="BD707" s="78"/>
      <c r="BE707" s="465"/>
      <c r="BF707" s="165" t="str">
        <f t="shared" si="493"/>
        <v>https://www.google.com/search?tbm=isch&amp;q=Camellia%20sasanqua%20%27Cotton%20Candy%27%20Cotton%20Candy%20Camellia</v>
      </c>
      <c r="BG707" s="165" t="str">
        <f t="shared" si="494"/>
        <v>C</v>
      </c>
      <c r="BH707" s="65"/>
      <c r="BI707" s="65"/>
      <c r="BJ707" s="65"/>
      <c r="BK707" s="65"/>
      <c r="BL707" s="99"/>
      <c r="BM707" s="99"/>
      <c r="BN707" s="99"/>
    </row>
    <row r="708" spans="1:66" s="51" customFormat="1" ht="15.75" x14ac:dyDescent="0.25">
      <c r="A708" s="478">
        <v>7</v>
      </c>
      <c r="B708" s="479" t="s">
        <v>291</v>
      </c>
      <c r="C708" s="480" t="s">
        <v>1234</v>
      </c>
      <c r="D708" s="481" t="s">
        <v>299</v>
      </c>
      <c r="E708" s="482">
        <v>104.95</v>
      </c>
      <c r="F708" s="483" t="s">
        <v>292</v>
      </c>
      <c r="G708" s="484">
        <v>0</v>
      </c>
      <c r="H708" s="688" t="str">
        <f>IF(G708=0,"",IF(F708="Buy",IF(G708=1,"plant","plants"),IF(F708&gt;0.01,"warranty","Error")))</f>
        <v/>
      </c>
      <c r="I708" s="485">
        <f>IF(H708="free",0,IF(H708="credit",((E708*(F708))*G708*-1),IF(F708="Buy",(E708*G708),((E708*(1-F708))*G708))))</f>
        <v>0</v>
      </c>
      <c r="J708" s="485">
        <f>IF(H708="warranty",0,(I708*(_xlfn.SINGLE(SalesTaxPercentage))))</f>
        <v>0</v>
      </c>
      <c r="K708" s="715">
        <f t="shared" ref="K708" si="519">I708+J708</f>
        <v>0</v>
      </c>
      <c r="L708" s="715"/>
      <c r="M708" s="689" t="str">
        <f ca="1">IF(AND(G708&gt;0,E708=0),"WARNING - no PRICE inserted",IF(H708="free","FREE ~ no charge this plant",IF(H708="credit",CONCATENATE("-$",ROUND(K708*(1-_xlfn.SINGLE(T2GDiscount))*-1,2)," CREDIT after discount"),IF(_xlfn.SINGLE(T2GDiscount)=0,"",IF(G708=0,"",IF(F708="Buy",CONCATENATE("$",ROUND(K708*(1-_xlfn.SINGLE(T2GDiscount)),2)," with ",(_xlfn.SINGLE(T2GDiscount)*100),"% discount"),CONCATENATE("$",ROUND(K708*(1-_xlfn.SINGLE(T2GDiscount)),2)," with ",((_xlfn.SINGLE(T2GDiscount)*100+F708*100)-(_xlfn.SINGLE(T2GDiscount)*100*F708)),IF(F708&gt;0,"% discounts",IF(_xlfn.SINGLE(NoWarrantyDiscount)&gt;0,"% discounts","% discount")))))))))</f>
        <v/>
      </c>
      <c r="N708" s="690"/>
      <c r="O708" s="486"/>
      <c r="P708" s="486"/>
      <c r="Q708" s="486"/>
      <c r="R708" s="486"/>
      <c r="S708" s="486"/>
      <c r="T708" s="102">
        <f t="shared" si="482"/>
        <v>0</v>
      </c>
      <c r="U708" s="78">
        <f>IF(NOT(ISNUMBER(G708)), "", VLOOKUP(A708,'Discount Lookup'!D:E,2,FALSE)*G708)</f>
        <v>0</v>
      </c>
      <c r="V708" s="78">
        <f>IF(NOT(ISNUMBER(G708)), "", VLOOKUP(A708,'Discount Lookup'!G:H,2,FALSE)*G708)</f>
        <v>0</v>
      </c>
      <c r="W708" s="102">
        <f t="shared" si="483"/>
        <v>0</v>
      </c>
      <c r="X708" s="102">
        <f t="shared" si="484"/>
        <v>0</v>
      </c>
      <c r="Y708" s="120" t="b">
        <f t="shared" si="485"/>
        <v>0</v>
      </c>
      <c r="Z708" s="117">
        <f t="shared" si="486"/>
        <v>0</v>
      </c>
      <c r="AA708" s="118"/>
      <c r="AB708" s="118" t="str">
        <f t="shared" si="487"/>
        <v/>
      </c>
      <c r="AC708" s="712" t="str">
        <f>IF(AE708="T2G","no charge",IF(AND(OR(PlanterYesMe="No",PlanterYesMe="N",PlanterYesMe="me"),H708=""),"",IF(H708="credit","NO install",IF(AND(K708="",AE708="me"),"EACH row",IF(AND(K708="images",AE708="me"),"EACH row",IF(D708="","",IF(H708="credit","",IF(AE708="free","re-planting",IF(AE708="me","   not ELP, by",IF(AND(OR(PlanterYesMe="Yes",PlanterYesMe="Y"),G708&gt;0),(VLOOKUP(A708,'Discount Lookup'!J:K,2)*G708*(1-PlanterDiscount)*(1+PlanterDifficultyPercentage)),IF(AE708="ELP",(VLOOKUP(A708,'Discount Lookup'!J:K,2)*G708*(1-PlanterDiscount)*(1+PlanterDifficultyPercentage)),IF(AE708="free","re-planting",IF(G708=0,"",IF(PlanterYesMe="",IF(AE708="me","   not ELP, by",IF(AE708="",IF(G708&gt;0,(VLOOKUP(A708,'Discount Lookup'!J:K,2)*G708*(1-PlanterDiscount)*(1+PlanterDifficultyPercentage)),""),"")),"   not ELP, by"))))))))))))))</f>
        <v/>
      </c>
      <c r="AD708" s="712"/>
      <c r="AE708" s="513" t="str">
        <f t="shared" si="488"/>
        <v/>
      </c>
      <c r="AF708" s="713" t="str">
        <f t="shared" si="489"/>
        <v/>
      </c>
      <c r="AG708" s="713"/>
      <c r="AH708" s="713"/>
      <c r="AI708" s="112">
        <f>IF(H708="credit",0,IF(AE708="free",0,IF(AE708="me",0,IF(G708&gt;0,(VLOOKUP(A708,'Discount Lookup'!J:K,2)*G708),0))))</f>
        <v>0</v>
      </c>
      <c r="AJ708" s="107" t="str">
        <f t="shared" ca="1" si="490"/>
        <v/>
      </c>
      <c r="AK708" s="714" t="str">
        <f t="shared" si="491"/>
        <v/>
      </c>
      <c r="AL708" s="714"/>
      <c r="AM708" s="114" t="str">
        <f t="shared" si="492"/>
        <v/>
      </c>
      <c r="AN708" s="115"/>
      <c r="AO708" s="116"/>
      <c r="AP708" s="116"/>
      <c r="AQ708" s="116"/>
      <c r="AR708" s="116"/>
      <c r="AS708" s="116"/>
      <c r="AT708" s="116"/>
      <c r="AU708" s="116"/>
      <c r="AV708" s="78"/>
      <c r="AW708" s="102"/>
      <c r="AX708" s="78"/>
      <c r="AY708" s="78"/>
      <c r="AZ708" s="78"/>
      <c r="BA708" s="78"/>
      <c r="BB708" s="78"/>
      <c r="BC708" s="78"/>
      <c r="BD708" s="78"/>
      <c r="BE708" s="465"/>
      <c r="BF708" s="165" t="str">
        <f t="shared" si="493"/>
        <v>https://www.google.com/search?tbm=isch&amp;q=7%20G4</v>
      </c>
      <c r="BG708" s="165" t="str">
        <f t="shared" si="494"/>
        <v>C</v>
      </c>
      <c r="BH708" s="65"/>
      <c r="BI708" s="65"/>
      <c r="BJ708" s="65"/>
      <c r="BK708" s="65"/>
      <c r="BL708" s="99"/>
      <c r="BM708" s="99"/>
      <c r="BN708" s="99"/>
    </row>
    <row r="709" spans="1:66" s="51" customFormat="1" ht="27" x14ac:dyDescent="0.25">
      <c r="A709" s="478">
        <v>25</v>
      </c>
      <c r="B709" s="479" t="s">
        <v>291</v>
      </c>
      <c r="C709" s="480" t="s">
        <v>5128</v>
      </c>
      <c r="D709" s="481" t="s">
        <v>299</v>
      </c>
      <c r="E709" s="482">
        <v>445.95</v>
      </c>
      <c r="F709" s="483" t="s">
        <v>292</v>
      </c>
      <c r="G709" s="484">
        <v>0</v>
      </c>
      <c r="H709" s="688" t="str">
        <f>IF(G709=0,"",IF(F709="Buy",IF(G709=1,"plant","plants"),IF(F709&gt;0.01,"warranty","Error")))</f>
        <v/>
      </c>
      <c r="I709" s="485">
        <f>IF(H709="free",0,IF(H709="credit",((E709*(F709))*G709*-1),IF(F709="Buy",(E709*G709),((E709*(1-F709))*G709))))</f>
        <v>0</v>
      </c>
      <c r="J709" s="485">
        <f>IF(H709="warranty",0,(I709*(_xlfn.SINGLE(SalesTaxPercentage))))</f>
        <v>0</v>
      </c>
      <c r="K709" s="715">
        <f t="shared" ref="K709" si="520">I709+J709</f>
        <v>0</v>
      </c>
      <c r="L709" s="715"/>
      <c r="M709" s="689" t="str">
        <f ca="1">IF(AND(G709&gt;0,E709=0),"WARNING - no PRICE inserted",IF(H709="free","FREE ~ no charge this plant",IF(H709="credit",CONCATENATE("-$",ROUND(K709*(1-_xlfn.SINGLE(T2GDiscount))*-1,2)," CREDIT after discount"),IF(_xlfn.SINGLE(T2GDiscount)=0,"",IF(G709=0,"",IF(F709="Buy",CONCATENATE("$",ROUND(K709*(1-_xlfn.SINGLE(T2GDiscount)),2)," with ",(_xlfn.SINGLE(T2GDiscount)*100),"% discount"),CONCATENATE("$",ROUND(K709*(1-_xlfn.SINGLE(T2GDiscount)),2)," with ",((_xlfn.SINGLE(T2GDiscount)*100+F709*100)-(_xlfn.SINGLE(T2GDiscount)*100*F709)),IF(F709&gt;0,"% discounts",IF(_xlfn.SINGLE(NoWarrantyDiscount)&gt;0,"% discounts","% discount")))))))))</f>
        <v/>
      </c>
      <c r="N709" s="690"/>
      <c r="O709" s="486"/>
      <c r="P709" s="486"/>
      <c r="Q709" s="486"/>
      <c r="R709" s="486"/>
      <c r="S709" s="486"/>
      <c r="T709" s="102">
        <f t="shared" si="482"/>
        <v>0</v>
      </c>
      <c r="U709" s="78">
        <f>IF(NOT(ISNUMBER(G709)), "", VLOOKUP(A709,'Discount Lookup'!D:E,2,FALSE)*G709)</f>
        <v>0</v>
      </c>
      <c r="V709" s="78">
        <f>IF(NOT(ISNUMBER(G709)), "", VLOOKUP(A709,'Discount Lookup'!G:H,2,FALSE)*G709)</f>
        <v>0</v>
      </c>
      <c r="W709" s="102">
        <f t="shared" si="483"/>
        <v>0</v>
      </c>
      <c r="X709" s="102">
        <f t="shared" si="484"/>
        <v>0</v>
      </c>
      <c r="Y709" s="120" t="b">
        <f t="shared" si="485"/>
        <v>0</v>
      </c>
      <c r="Z709" s="117">
        <f t="shared" si="486"/>
        <v>0</v>
      </c>
      <c r="AA709" s="118"/>
      <c r="AB709" s="118" t="str">
        <f t="shared" si="487"/>
        <v/>
      </c>
      <c r="AC709" s="712" t="str">
        <f>IF(AE709="T2G","no charge",IF(AND(OR(PlanterYesMe="No",PlanterYesMe="N",PlanterYesMe="me"),H709=""),"",IF(H709="credit","NO install",IF(AND(K709="",AE709="me"),"EACH row",IF(AND(K709="images",AE709="me"),"EACH row",IF(D709="","",IF(H709="credit","",IF(AE709="free","re-planting",IF(AE709="me","   not ELP, by",IF(AND(OR(PlanterYesMe="Yes",PlanterYesMe="Y"),G709&gt;0),(VLOOKUP(A709,'Discount Lookup'!J:K,2)*G709*(1-PlanterDiscount)*(1+PlanterDifficultyPercentage)),IF(AE709="ELP",(VLOOKUP(A709,'Discount Lookup'!J:K,2)*G709*(1-PlanterDiscount)*(1+PlanterDifficultyPercentage)),IF(AE709="free","re-planting",IF(G709=0,"",IF(PlanterYesMe="",IF(AE709="me","   not ELP, by",IF(AE709="",IF(G709&gt;0,(VLOOKUP(A709,'Discount Lookup'!J:K,2)*G709*(1-PlanterDiscount)*(1+PlanterDifficultyPercentage)),""),"")),"   not ELP, by"))))))))))))))</f>
        <v/>
      </c>
      <c r="AD709" s="712"/>
      <c r="AE709" s="513" t="str">
        <f t="shared" si="488"/>
        <v/>
      </c>
      <c r="AF709" s="713" t="str">
        <f t="shared" si="489"/>
        <v/>
      </c>
      <c r="AG709" s="713"/>
      <c r="AH709" s="713"/>
      <c r="AI709" s="112">
        <f>IF(H709="credit",0,IF(AE709="free",0,IF(AE709="me",0,IF(G709&gt;0,(VLOOKUP(A709,'Discount Lookup'!J:K,2)*G709),0))))</f>
        <v>0</v>
      </c>
      <c r="AJ709" s="107" t="str">
        <f t="shared" ca="1" si="490"/>
        <v/>
      </c>
      <c r="AK709" s="714" t="str">
        <f t="shared" si="491"/>
        <v/>
      </c>
      <c r="AL709" s="714"/>
      <c r="AM709" s="114" t="str">
        <f t="shared" si="492"/>
        <v/>
      </c>
      <c r="AN709" s="115"/>
      <c r="AO709" s="116"/>
      <c r="AP709" s="116"/>
      <c r="AQ709" s="116"/>
      <c r="AR709" s="116"/>
      <c r="AS709" s="116"/>
      <c r="AT709" s="116"/>
      <c r="AU709" s="116"/>
      <c r="AV709" s="78"/>
      <c r="AW709" s="102"/>
      <c r="AX709" s="78"/>
      <c r="AY709" s="78"/>
      <c r="AZ709" s="78"/>
      <c r="BA709" s="78"/>
      <c r="BB709" s="78"/>
      <c r="BC709" s="78"/>
      <c r="BD709" s="78"/>
      <c r="BE709" s="465"/>
      <c r="BF709" s="165" t="str">
        <f t="shared" si="493"/>
        <v>https://www.google.com/search?tbm=isch&amp;q=25%20G4</v>
      </c>
      <c r="BG709" s="165" t="str">
        <f t="shared" si="494"/>
        <v>C</v>
      </c>
      <c r="BH709" s="65"/>
      <c r="BI709" s="65"/>
      <c r="BJ709" s="65"/>
      <c r="BK709" s="65"/>
      <c r="BL709" s="99"/>
      <c r="BM709" s="99"/>
      <c r="BN709" s="99"/>
    </row>
    <row r="710" spans="1:66" s="51" customFormat="1" ht="15.75" x14ac:dyDescent="0.25">
      <c r="A710" s="478">
        <v>25</v>
      </c>
      <c r="B710" s="479" t="s">
        <v>291</v>
      </c>
      <c r="C710" s="480" t="s">
        <v>5129</v>
      </c>
      <c r="D710" s="481" t="s">
        <v>299</v>
      </c>
      <c r="E710" s="482">
        <v>445.95</v>
      </c>
      <c r="F710" s="483" t="s">
        <v>292</v>
      </c>
      <c r="G710" s="484">
        <v>0</v>
      </c>
      <c r="H710" s="688" t="str">
        <f>IF(G710=0,"",IF(F710="Buy",IF(G710=1,"plant","plants"),IF(F710&gt;0.01,"warranty","Error")))</f>
        <v/>
      </c>
      <c r="I710" s="485">
        <f>IF(H710="free",0,IF(H710="credit",((E710*(F710))*G710*-1),IF(F710="Buy",(E710*G710),((E710*(1-F710))*G710))))</f>
        <v>0</v>
      </c>
      <c r="J710" s="485">
        <f>IF(H710="warranty",0,(I710*(_xlfn.SINGLE(SalesTaxPercentage))))</f>
        <v>0</v>
      </c>
      <c r="K710" s="715">
        <f t="shared" ref="K710" si="521">I710+J710</f>
        <v>0</v>
      </c>
      <c r="L710" s="715"/>
      <c r="M710" s="689" t="str">
        <f ca="1">IF(AND(G710&gt;0,E710=0),"WARNING - no PRICE inserted",IF(H710="free","FREE ~ no charge this plant",IF(H710="credit",CONCATENATE("-$",ROUND(K710*(1-_xlfn.SINGLE(T2GDiscount))*-1,2)," CREDIT after discount"),IF(_xlfn.SINGLE(T2GDiscount)=0,"",IF(G710=0,"",IF(F710="Buy",CONCATENATE("$",ROUND(K710*(1-_xlfn.SINGLE(T2GDiscount)),2)," with ",(_xlfn.SINGLE(T2GDiscount)*100),"% discount"),CONCATENATE("$",ROUND(K710*(1-_xlfn.SINGLE(T2GDiscount)),2)," with ",((_xlfn.SINGLE(T2GDiscount)*100+F710*100)-(_xlfn.SINGLE(T2GDiscount)*100*F710)),IF(F710&gt;0,"% discounts",IF(_xlfn.SINGLE(NoWarrantyDiscount)&gt;0,"% discounts","% discount")))))))))</f>
        <v/>
      </c>
      <c r="N710" s="690"/>
      <c r="O710" s="486"/>
      <c r="P710" s="486"/>
      <c r="Q710" s="486"/>
      <c r="R710" s="486"/>
      <c r="S710" s="486"/>
      <c r="T710" s="102">
        <f t="shared" si="482"/>
        <v>0</v>
      </c>
      <c r="U710" s="78">
        <f>IF(NOT(ISNUMBER(G710)), "", VLOOKUP(A710,'Discount Lookup'!D:E,2,FALSE)*G710)</f>
        <v>0</v>
      </c>
      <c r="V710" s="78">
        <f>IF(NOT(ISNUMBER(G710)), "", VLOOKUP(A710,'Discount Lookup'!G:H,2,FALSE)*G710)</f>
        <v>0</v>
      </c>
      <c r="W710" s="102">
        <f t="shared" si="483"/>
        <v>0</v>
      </c>
      <c r="X710" s="102">
        <f t="shared" si="484"/>
        <v>0</v>
      </c>
      <c r="Y710" s="120" t="b">
        <f t="shared" si="485"/>
        <v>0</v>
      </c>
      <c r="Z710" s="117">
        <f t="shared" si="486"/>
        <v>0</v>
      </c>
      <c r="AA710" s="118"/>
      <c r="AB710" s="118" t="str">
        <f t="shared" si="487"/>
        <v/>
      </c>
      <c r="AC710" s="712" t="str">
        <f>IF(AE710="T2G","no charge",IF(AND(OR(PlanterYesMe="No",PlanterYesMe="N",PlanterYesMe="me"),H710=""),"",IF(H710="credit","NO install",IF(AND(K710="",AE710="me"),"EACH row",IF(AND(K710="images",AE710="me"),"EACH row",IF(D710="","",IF(H710="credit","",IF(AE710="free","re-planting",IF(AE710="me","   not ELP, by",IF(AND(OR(PlanterYesMe="Yes",PlanterYesMe="Y"),G710&gt;0),(VLOOKUP(A710,'Discount Lookup'!J:K,2)*G710*(1-PlanterDiscount)*(1+PlanterDifficultyPercentage)),IF(AE710="ELP",(VLOOKUP(A710,'Discount Lookup'!J:K,2)*G710*(1-PlanterDiscount)*(1+PlanterDifficultyPercentage)),IF(AE710="free","re-planting",IF(G710=0,"",IF(PlanterYesMe="",IF(AE710="me","   not ELP, by",IF(AE710="",IF(G710&gt;0,(VLOOKUP(A710,'Discount Lookup'!J:K,2)*G710*(1-PlanterDiscount)*(1+PlanterDifficultyPercentage)),""),"")),"   not ELP, by"))))))))))))))</f>
        <v/>
      </c>
      <c r="AD710" s="712"/>
      <c r="AE710" s="513" t="str">
        <f t="shared" si="488"/>
        <v/>
      </c>
      <c r="AF710" s="713" t="str">
        <f t="shared" si="489"/>
        <v/>
      </c>
      <c r="AG710" s="713"/>
      <c r="AH710" s="713"/>
      <c r="AI710" s="112">
        <f>IF(H710="credit",0,IF(AE710="free",0,IF(AE710="me",0,IF(G710&gt;0,(VLOOKUP(A710,'Discount Lookup'!J:K,2)*G710),0))))</f>
        <v>0</v>
      </c>
      <c r="AJ710" s="107" t="str">
        <f t="shared" ca="1" si="490"/>
        <v/>
      </c>
      <c r="AK710" s="714" t="str">
        <f t="shared" si="491"/>
        <v/>
      </c>
      <c r="AL710" s="714"/>
      <c r="AM710" s="114" t="str">
        <f t="shared" si="492"/>
        <v/>
      </c>
      <c r="AN710" s="115"/>
      <c r="AO710" s="116"/>
      <c r="AP710" s="116"/>
      <c r="AQ710" s="116"/>
      <c r="AR710" s="116"/>
      <c r="AS710" s="116"/>
      <c r="AT710" s="116"/>
      <c r="AU710" s="116"/>
      <c r="AV710" s="78"/>
      <c r="AW710" s="102"/>
      <c r="AX710" s="78"/>
      <c r="AY710" s="78"/>
      <c r="AZ710" s="78"/>
      <c r="BA710" s="78"/>
      <c r="BB710" s="78"/>
      <c r="BC710" s="78"/>
      <c r="BD710" s="78"/>
      <c r="BE710" s="465"/>
      <c r="BF710" s="165" t="str">
        <f t="shared" si="493"/>
        <v>https://www.google.com/search?tbm=isch&amp;q=25%20G4</v>
      </c>
      <c r="BG710" s="165" t="str">
        <f t="shared" si="494"/>
        <v>C</v>
      </c>
      <c r="BH710" s="65"/>
      <c r="BI710" s="65"/>
      <c r="BJ710" s="65"/>
      <c r="BK710" s="65"/>
      <c r="BL710" s="99"/>
      <c r="BM710" s="99"/>
      <c r="BN710" s="99"/>
    </row>
    <row r="711" spans="1:66" s="51" customFormat="1" ht="17.25" thickBot="1" x14ac:dyDescent="0.3">
      <c r="A711" s="508" t="s">
        <v>5130</v>
      </c>
      <c r="B711" s="487"/>
      <c r="C711" s="707"/>
      <c r="D711" s="487"/>
      <c r="E711" s="487"/>
      <c r="F711" s="488"/>
      <c r="G711" s="489"/>
      <c r="H711" s="487"/>
      <c r="I711" s="490"/>
      <c r="J711" s="490"/>
      <c r="K711" s="491"/>
      <c r="L711" s="547"/>
      <c r="M711" s="528"/>
      <c r="N711" s="492"/>
      <c r="O711" s="493"/>
      <c r="P711" s="494"/>
      <c r="Q711" s="492"/>
      <c r="R711" s="492"/>
      <c r="S711" s="699" t="s">
        <v>5275</v>
      </c>
      <c r="T711" s="102">
        <f t="shared" si="482"/>
        <v>0</v>
      </c>
      <c r="U711" s="78" t="str">
        <f>IF(NOT(ISNUMBER(G711)), "", VLOOKUP(A711,'Discount Lookup'!D:E,2,FALSE)*G711)</f>
        <v/>
      </c>
      <c r="V711" s="78" t="str">
        <f>IF(NOT(ISNUMBER(G711)), "", VLOOKUP(A711,'Discount Lookup'!G:H,2,FALSE)*G711)</f>
        <v/>
      </c>
      <c r="W711" s="102">
        <f t="shared" si="483"/>
        <v>0</v>
      </c>
      <c r="X711" s="102">
        <f t="shared" si="484"/>
        <v>0</v>
      </c>
      <c r="Y711" s="120" t="b">
        <f t="shared" si="485"/>
        <v>0</v>
      </c>
      <c r="Z711" s="117">
        <f t="shared" si="486"/>
        <v>0</v>
      </c>
      <c r="AA711" s="118"/>
      <c r="AB711" s="118" t="str">
        <f t="shared" si="487"/>
        <v/>
      </c>
      <c r="AC711" s="712" t="str">
        <f>IF(AE711="T2G","no charge",IF(AND(OR(PlanterYesMe="No",PlanterYesMe="N",PlanterYesMe="me"),H711=""),"",IF(H711="credit","NO install",IF(AND(K711="",AE711="me"),"EACH row",IF(AND(K711="images",AE711="me"),"EACH row",IF(D711="","",IF(H711="credit","",IF(AE711="free","re-planting",IF(AE711="me","   not ELP, by",IF(AND(OR(PlanterYesMe="Yes",PlanterYesMe="Y"),G711&gt;0),(VLOOKUP(A711,'Discount Lookup'!J:K,2)*G711*(1-PlanterDiscount)*(1+PlanterDifficultyPercentage)),IF(AE711="ELP",(VLOOKUP(A711,'Discount Lookup'!J:K,2)*G711*(1-PlanterDiscount)*(1+PlanterDifficultyPercentage)),IF(AE711="free","re-planting",IF(G711=0,"",IF(PlanterYesMe="",IF(AE711="me","   not ELP, by",IF(AE711="",IF(G711&gt;0,(VLOOKUP(A711,'Discount Lookup'!J:K,2)*G711*(1-PlanterDiscount)*(1+PlanterDifficultyPercentage)),""),"")),"   not ELP, by"))))))))))))))</f>
        <v/>
      </c>
      <c r="AD711" s="712"/>
      <c r="AE711" s="513" t="str">
        <f t="shared" si="488"/>
        <v/>
      </c>
      <c r="AF711" s="713" t="str">
        <f t="shared" si="489"/>
        <v/>
      </c>
      <c r="AG711" s="713"/>
      <c r="AH711" s="713"/>
      <c r="AI711" s="112">
        <f>IF(H711="credit",0,IF(AE711="free",0,IF(AE711="me",0,IF(G711&gt;0,(VLOOKUP(A711,'Discount Lookup'!J:K,2)*G711),0))))</f>
        <v>0</v>
      </c>
      <c r="AJ711" s="107" t="str">
        <f t="shared" ca="1" si="490"/>
        <v/>
      </c>
      <c r="AK711" s="714" t="str">
        <f t="shared" si="491"/>
        <v/>
      </c>
      <c r="AL711" s="714"/>
      <c r="AM711" s="114" t="str">
        <f t="shared" si="492"/>
        <v/>
      </c>
      <c r="AN711" s="115"/>
      <c r="AO711" s="116"/>
      <c r="AP711" s="116"/>
      <c r="AQ711" s="116"/>
      <c r="AR711" s="116"/>
      <c r="AS711" s="116"/>
      <c r="AT711" s="116"/>
      <c r="AU711" s="116"/>
      <c r="AV711" s="78"/>
      <c r="AW711" s="102"/>
      <c r="AX711" s="78"/>
      <c r="AY711" s="78"/>
      <c r="AZ711" s="78"/>
      <c r="BA711" s="78"/>
      <c r="BB711" s="78"/>
      <c r="BC711" s="78"/>
      <c r="BD711" s="78"/>
      <c r="BE711" s="465"/>
      <c r="BF711" s="165" t="str">
        <f t="shared" si="493"/>
        <v>https://www.google.com/search?tbm=isch&amp;q=Cotton%20Candy%27%20has%20abundant%2C%20semi-double%2C%20clear%20Pink%20flowers%20that%20appear%20from%20late%20fall%20to%20early%20winter%20</v>
      </c>
      <c r="BG711" s="165" t="str">
        <f t="shared" si="494"/>
        <v>C</v>
      </c>
      <c r="BH711" s="65"/>
      <c r="BI711" s="65"/>
      <c r="BJ711" s="65"/>
      <c r="BK711" s="65"/>
      <c r="BL711" s="99"/>
      <c r="BM711" s="99"/>
      <c r="BN711" s="99"/>
    </row>
    <row r="712" spans="1:66" s="51" customFormat="1" ht="18" x14ac:dyDescent="0.25">
      <c r="A712" s="507" t="s">
        <v>1815</v>
      </c>
      <c r="B712" s="470"/>
      <c r="C712" s="706"/>
      <c r="D712" s="471" t="s">
        <v>5607</v>
      </c>
      <c r="E712" s="472"/>
      <c r="F712" s="472"/>
      <c r="G712" s="472"/>
      <c r="H712" s="622" t="s">
        <v>1076</v>
      </c>
      <c r="I712" s="473" t="s">
        <v>5131</v>
      </c>
      <c r="J712" s="472"/>
      <c r="K712" s="472"/>
      <c r="L712" s="561"/>
      <c r="M712" s="698" t="s">
        <v>5246</v>
      </c>
      <c r="N712" s="692" t="str">
        <f>IF(AND(ISTEXT($A712), ISERROR($A712+0)), HYPERLINK($BF712, "Images"), "")</f>
        <v>Images</v>
      </c>
      <c r="O712" s="694" t="s">
        <v>5247</v>
      </c>
      <c r="P712" s="475"/>
      <c r="Q712" s="476"/>
      <c r="R712" s="476"/>
      <c r="S712" s="477"/>
      <c r="T712" s="102">
        <f t="shared" si="482"/>
        <v>0</v>
      </c>
      <c r="U712" s="78" t="str">
        <f>IF(NOT(ISNUMBER(G712)), "", VLOOKUP(A712,'Discount Lookup'!D:E,2,FALSE)*G712)</f>
        <v/>
      </c>
      <c r="V712" s="78" t="str">
        <f>IF(NOT(ISNUMBER(G712)), "", VLOOKUP(A712,'Discount Lookup'!G:H,2,FALSE)*G712)</f>
        <v/>
      </c>
      <c r="W712" s="102">
        <f t="shared" si="483"/>
        <v>0</v>
      </c>
      <c r="X712" s="102" t="str">
        <f t="shared" si="484"/>
        <v>Ruby-Red bloom</v>
      </c>
      <c r="Y712" s="120" t="b">
        <f t="shared" si="485"/>
        <v>0</v>
      </c>
      <c r="Z712" s="117">
        <f t="shared" si="486"/>
        <v>0</v>
      </c>
      <c r="AA712" s="118"/>
      <c r="AB712" s="118" t="str">
        <f t="shared" si="487"/>
        <v/>
      </c>
      <c r="AC712" s="712" t="str">
        <f>IF(AE712="T2G","no charge",IF(AND(OR(PlanterYesMe="No",PlanterYesMe="N",PlanterYesMe="me"),H712=""),"",IF(H712="credit","NO install",IF(AND(K712="",AE712="me"),"EACH row",IF(AND(K712="images",AE712="me"),"EACH row",IF(D712="","",IF(H712="credit","",IF(AE712="free","re-planting",IF(AE712="me","   not ELP, by",IF(AND(OR(PlanterYesMe="Yes",PlanterYesMe="Y"),G712&gt;0),(VLOOKUP(A712,'Discount Lookup'!J:K,2)*G712*(1-PlanterDiscount)*(1+PlanterDifficultyPercentage)),IF(AE712="ELP",(VLOOKUP(A712,'Discount Lookup'!J:K,2)*G712*(1-PlanterDiscount)*(1+PlanterDifficultyPercentage)),IF(AE712="free","re-planting",IF(G712=0,"",IF(PlanterYesMe="",IF(AE712="me","   not ELP, by",IF(AE712="",IF(G712&gt;0,(VLOOKUP(A712,'Discount Lookup'!J:K,2)*G712*(1-PlanterDiscount)*(1+PlanterDifficultyPercentage)),""),"")),"   not ELP, by"))))))))))))))</f>
        <v/>
      </c>
      <c r="AD712" s="712"/>
      <c r="AE712" s="513" t="str">
        <f t="shared" si="488"/>
        <v/>
      </c>
      <c r="AF712" s="713" t="str">
        <f t="shared" si="489"/>
        <v/>
      </c>
      <c r="AG712" s="713"/>
      <c r="AH712" s="713"/>
      <c r="AI712" s="112">
        <f>IF(H712="credit",0,IF(AE712="free",0,IF(AE712="me",0,IF(G712&gt;0,(VLOOKUP(A712,'Discount Lookup'!J:K,2)*G712),0))))</f>
        <v>0</v>
      </c>
      <c r="AJ712" s="107" t="str">
        <f t="shared" ca="1" si="490"/>
        <v/>
      </c>
      <c r="AK712" s="714" t="str">
        <f t="shared" si="491"/>
        <v/>
      </c>
      <c r="AL712" s="714"/>
      <c r="AM712" s="114" t="str">
        <f t="shared" si="492"/>
        <v/>
      </c>
      <c r="AN712" s="115"/>
      <c r="AO712" s="116"/>
      <c r="AP712" s="116"/>
      <c r="AQ712" s="116"/>
      <c r="AR712" s="116"/>
      <c r="AS712" s="116"/>
      <c r="AT712" s="116"/>
      <c r="AU712" s="116"/>
      <c r="AV712" s="78"/>
      <c r="AW712" s="102"/>
      <c r="AX712" s="78"/>
      <c r="AY712" s="78"/>
      <c r="AZ712" s="78"/>
      <c r="BA712" s="78"/>
      <c r="BB712" s="78"/>
      <c r="BC712" s="78"/>
      <c r="BD712" s="78"/>
      <c r="BE712" s="465"/>
      <c r="BF712" s="165" t="str">
        <f t="shared" si="493"/>
        <v>https://www.google.com/search?tbm=isch&amp;q=Camellia%20sasanqua%20%27Green%2002-003%27%20PP%2324538%20October%20Magic%C2%AE%20Ruby%E2%84%A2%20Camellia</v>
      </c>
      <c r="BG712" s="165" t="str">
        <f t="shared" si="494"/>
        <v>C</v>
      </c>
      <c r="BH712" s="65"/>
      <c r="BI712" s="65"/>
      <c r="BJ712" s="65"/>
      <c r="BK712" s="65"/>
      <c r="BL712" s="99"/>
      <c r="BM712" s="99"/>
      <c r="BN712" s="99"/>
    </row>
    <row r="713" spans="1:66" s="51" customFormat="1" ht="15.75" x14ac:dyDescent="0.25">
      <c r="A713" s="478">
        <v>3</v>
      </c>
      <c r="B713" s="479" t="s">
        <v>291</v>
      </c>
      <c r="C713" s="480" t="s">
        <v>1816</v>
      </c>
      <c r="D713" s="481" t="s">
        <v>329</v>
      </c>
      <c r="E713" s="482">
        <v>37.950000000000003</v>
      </c>
      <c r="F713" s="483" t="s">
        <v>292</v>
      </c>
      <c r="G713" s="484">
        <v>0</v>
      </c>
      <c r="H713" s="688" t="str">
        <f>IF(G713=0,"",IF(F713="Buy",IF(G713=1,"plant","plants"),IF(F713&gt;0.01,"warranty","Error")))</f>
        <v/>
      </c>
      <c r="I713" s="485">
        <f>IF(H713="free",0,IF(H713="credit",((E713*(F713))*G713*-1),IF(F713="Buy",(E713*G713),((E713*(1-F713))*G713))))</f>
        <v>0</v>
      </c>
      <c r="J713" s="485">
        <f>IF(H713="warranty",0,(I713*(_xlfn.SINGLE(SalesTaxPercentage))))</f>
        <v>0</v>
      </c>
      <c r="K713" s="715">
        <f t="shared" ref="K713" si="522">I713+J713</f>
        <v>0</v>
      </c>
      <c r="L713" s="715"/>
      <c r="M713" s="689" t="str">
        <f ca="1">IF(AND(G713&gt;0,E713=0),"WARNING - no PRICE inserted",IF(H713="free","FREE ~ no charge this plant",IF(H713="credit",CONCATENATE("-$",ROUND(K713*(1-_xlfn.SINGLE(T2GDiscount))*-1,2)," CREDIT after discount"),IF(_xlfn.SINGLE(T2GDiscount)=0,"",IF(G713=0,"",IF(F713="Buy",CONCATENATE("$",ROUND(K713*(1-_xlfn.SINGLE(T2GDiscount)),2)," with ",(_xlfn.SINGLE(T2GDiscount)*100),"% discount"),CONCATENATE("$",ROUND(K713*(1-_xlfn.SINGLE(T2GDiscount)),2)," with ",((_xlfn.SINGLE(T2GDiscount)*100+F713*100)-(_xlfn.SINGLE(T2GDiscount)*100*F713)),IF(F713&gt;0,"% discounts",IF(_xlfn.SINGLE(NoWarrantyDiscount)&gt;0,"% discounts","% discount")))))))))</f>
        <v/>
      </c>
      <c r="N713" s="690"/>
      <c r="O713" s="486"/>
      <c r="P713" s="486"/>
      <c r="Q713" s="486"/>
      <c r="R713" s="486"/>
      <c r="S713" s="486"/>
      <c r="T713" s="102">
        <f t="shared" si="482"/>
        <v>0</v>
      </c>
      <c r="U713" s="78">
        <f>IF(NOT(ISNUMBER(G713)), "", VLOOKUP(A713,'Discount Lookup'!D:E,2,FALSE)*G713)</f>
        <v>0</v>
      </c>
      <c r="V713" s="78">
        <f>IF(NOT(ISNUMBER(G713)), "", VLOOKUP(A713,'Discount Lookup'!G:H,2,FALSE)*G713)</f>
        <v>0</v>
      </c>
      <c r="W713" s="102">
        <f t="shared" si="483"/>
        <v>0</v>
      </c>
      <c r="X713" s="102">
        <f t="shared" si="484"/>
        <v>0</v>
      </c>
      <c r="Y713" s="120" t="b">
        <f t="shared" si="485"/>
        <v>0</v>
      </c>
      <c r="Z713" s="117">
        <f t="shared" si="486"/>
        <v>0</v>
      </c>
      <c r="AA713" s="118"/>
      <c r="AB713" s="118" t="str">
        <f t="shared" si="487"/>
        <v/>
      </c>
      <c r="AC713" s="712" t="str">
        <f>IF(AE713="T2G","no charge",IF(AND(OR(PlanterYesMe="No",PlanterYesMe="N",PlanterYesMe="me"),H713=""),"",IF(H713="credit","NO install",IF(AND(K713="",AE713="me"),"EACH row",IF(AND(K713="images",AE713="me"),"EACH row",IF(D713="","",IF(H713="credit","",IF(AE713="free","re-planting",IF(AE713="me","   not ELP, by",IF(AND(OR(PlanterYesMe="Yes",PlanterYesMe="Y"),G713&gt;0),(VLOOKUP(A713,'Discount Lookup'!J:K,2)*G713*(1-PlanterDiscount)*(1+PlanterDifficultyPercentage)),IF(AE713="ELP",(VLOOKUP(A713,'Discount Lookup'!J:K,2)*G713*(1-PlanterDiscount)*(1+PlanterDifficultyPercentage)),IF(AE713="free","re-planting",IF(G713=0,"",IF(PlanterYesMe="",IF(AE713="me","   not ELP, by",IF(AE713="",IF(G713&gt;0,(VLOOKUP(A713,'Discount Lookup'!J:K,2)*G713*(1-PlanterDiscount)*(1+PlanterDifficultyPercentage)),""),"")),"   not ELP, by"))))))))))))))</f>
        <v/>
      </c>
      <c r="AD713" s="712"/>
      <c r="AE713" s="513" t="str">
        <f t="shared" si="488"/>
        <v/>
      </c>
      <c r="AF713" s="713" t="str">
        <f t="shared" si="489"/>
        <v/>
      </c>
      <c r="AG713" s="713"/>
      <c r="AH713" s="713"/>
      <c r="AI713" s="112">
        <f>IF(H713="credit",0,IF(AE713="free",0,IF(AE713="me",0,IF(G713&gt;0,(VLOOKUP(A713,'Discount Lookup'!J:K,2)*G713),0))))</f>
        <v>0</v>
      </c>
      <c r="AJ713" s="107" t="str">
        <f t="shared" ca="1" si="490"/>
        <v/>
      </c>
      <c r="AK713" s="714" t="str">
        <f t="shared" si="491"/>
        <v/>
      </c>
      <c r="AL713" s="714"/>
      <c r="AM713" s="114" t="str">
        <f t="shared" si="492"/>
        <v/>
      </c>
      <c r="AN713" s="115"/>
      <c r="AO713" s="116"/>
      <c r="AP713" s="116"/>
      <c r="AQ713" s="116"/>
      <c r="AR713" s="116"/>
      <c r="AS713" s="116"/>
      <c r="AT713" s="116"/>
      <c r="AU713" s="116"/>
      <c r="AV713" s="78"/>
      <c r="AW713" s="102"/>
      <c r="AX713" s="78"/>
      <c r="AY713" s="78"/>
      <c r="AZ713" s="78"/>
      <c r="BA713" s="78"/>
      <c r="BB713" s="78"/>
      <c r="BC713" s="78"/>
      <c r="BD713" s="78"/>
      <c r="BE713" s="465"/>
      <c r="BF713" s="165" t="str">
        <f t="shared" si="493"/>
        <v>https://www.google.com/search?tbm=isch&amp;q=3%20G2</v>
      </c>
      <c r="BG713" s="165" t="str">
        <f t="shared" si="494"/>
        <v>C</v>
      </c>
      <c r="BH713" s="65"/>
      <c r="BI713" s="65"/>
      <c r="BJ713" s="65"/>
      <c r="BK713" s="65"/>
      <c r="BL713" s="99"/>
      <c r="BM713" s="99"/>
      <c r="BN713" s="99"/>
    </row>
    <row r="714" spans="1:66" s="51" customFormat="1" ht="15.75" x14ac:dyDescent="0.25">
      <c r="A714" s="478">
        <v>7</v>
      </c>
      <c r="B714" s="479" t="s">
        <v>291</v>
      </c>
      <c r="C714" s="480" t="s">
        <v>1817</v>
      </c>
      <c r="D714" s="481" t="s">
        <v>293</v>
      </c>
      <c r="E714" s="482">
        <v>111.95</v>
      </c>
      <c r="F714" s="483" t="s">
        <v>292</v>
      </c>
      <c r="G714" s="484">
        <v>0</v>
      </c>
      <c r="H714" s="688" t="str">
        <f>IF(G714=0,"",IF(F714="Buy",IF(G714=1,"plant","plants"),IF(F714&gt;0.01,"warranty","Error")))</f>
        <v/>
      </c>
      <c r="I714" s="485">
        <f>IF(H714="free",0,IF(H714="credit",((E714*(F714))*G714*-1),IF(F714="Buy",(E714*G714),((E714*(1-F714))*G714))))</f>
        <v>0</v>
      </c>
      <c r="J714" s="485">
        <f>IF(H714="warranty",0,(I714*(_xlfn.SINGLE(SalesTaxPercentage))))</f>
        <v>0</v>
      </c>
      <c r="K714" s="715">
        <f t="shared" ref="K714" si="523">I714+J714</f>
        <v>0</v>
      </c>
      <c r="L714" s="715"/>
      <c r="M714" s="689" t="str">
        <f ca="1">IF(AND(G714&gt;0,E714=0),"WARNING - no PRICE inserted",IF(H714="free","FREE ~ no charge this plant",IF(H714="credit",CONCATENATE("-$",ROUND(K714*(1-_xlfn.SINGLE(T2GDiscount))*-1,2)," CREDIT after discount"),IF(_xlfn.SINGLE(T2GDiscount)=0,"",IF(G714=0,"",IF(F714="Buy",CONCATENATE("$",ROUND(K714*(1-_xlfn.SINGLE(T2GDiscount)),2)," with ",(_xlfn.SINGLE(T2GDiscount)*100),"% discount"),CONCATENATE("$",ROUND(K714*(1-_xlfn.SINGLE(T2GDiscount)),2)," with ",((_xlfn.SINGLE(T2GDiscount)*100+F714*100)-(_xlfn.SINGLE(T2GDiscount)*100*F714)),IF(F714&gt;0,"% discounts",IF(_xlfn.SINGLE(NoWarrantyDiscount)&gt;0,"% discounts","% discount")))))))))</f>
        <v/>
      </c>
      <c r="N714" s="690"/>
      <c r="O714" s="486"/>
      <c r="P714" s="486"/>
      <c r="Q714" s="486"/>
      <c r="R714" s="486"/>
      <c r="S714" s="486"/>
      <c r="T714" s="102">
        <f t="shared" si="482"/>
        <v>0</v>
      </c>
      <c r="U714" s="78">
        <f>IF(NOT(ISNUMBER(G714)), "", VLOOKUP(A714,'Discount Lookup'!D:E,2,FALSE)*G714)</f>
        <v>0</v>
      </c>
      <c r="V714" s="78">
        <f>IF(NOT(ISNUMBER(G714)), "", VLOOKUP(A714,'Discount Lookup'!G:H,2,FALSE)*G714)</f>
        <v>0</v>
      </c>
      <c r="W714" s="102">
        <f t="shared" si="483"/>
        <v>0</v>
      </c>
      <c r="X714" s="102">
        <f t="shared" si="484"/>
        <v>0</v>
      </c>
      <c r="Y714" s="120" t="b">
        <f t="shared" si="485"/>
        <v>0</v>
      </c>
      <c r="Z714" s="117">
        <f t="shared" si="486"/>
        <v>0</v>
      </c>
      <c r="AA714" s="118"/>
      <c r="AB714" s="118" t="str">
        <f t="shared" si="487"/>
        <v/>
      </c>
      <c r="AC714" s="712" t="str">
        <f>IF(AE714="T2G","no charge",IF(AND(OR(PlanterYesMe="No",PlanterYesMe="N",PlanterYesMe="me"),H714=""),"",IF(H714="credit","NO install",IF(AND(K714="",AE714="me"),"EACH row",IF(AND(K714="images",AE714="me"),"EACH row",IF(D714="","",IF(H714="credit","",IF(AE714="free","re-planting",IF(AE714="me","   not ELP, by",IF(AND(OR(PlanterYesMe="Yes",PlanterYesMe="Y"),G714&gt;0),(VLOOKUP(A714,'Discount Lookup'!J:K,2)*G714*(1-PlanterDiscount)*(1+PlanterDifficultyPercentage)),IF(AE714="ELP",(VLOOKUP(A714,'Discount Lookup'!J:K,2)*G714*(1-PlanterDiscount)*(1+PlanterDifficultyPercentage)),IF(AE714="free","re-planting",IF(G714=0,"",IF(PlanterYesMe="",IF(AE714="me","   not ELP, by",IF(AE714="",IF(G714&gt;0,(VLOOKUP(A714,'Discount Lookup'!J:K,2)*G714*(1-PlanterDiscount)*(1+PlanterDifficultyPercentage)),""),"")),"   not ELP, by"))))))))))))))</f>
        <v/>
      </c>
      <c r="AD714" s="712"/>
      <c r="AE714" s="513" t="str">
        <f t="shared" si="488"/>
        <v/>
      </c>
      <c r="AF714" s="713" t="str">
        <f t="shared" si="489"/>
        <v/>
      </c>
      <c r="AG714" s="713"/>
      <c r="AH714" s="713"/>
      <c r="AI714" s="112">
        <f>IF(H714="credit",0,IF(AE714="free",0,IF(AE714="me",0,IF(G714&gt;0,(VLOOKUP(A714,'Discount Lookup'!J:K,2)*G714),0))))</f>
        <v>0</v>
      </c>
      <c r="AJ714" s="107" t="str">
        <f t="shared" ca="1" si="490"/>
        <v/>
      </c>
      <c r="AK714" s="714" t="str">
        <f t="shared" si="491"/>
        <v/>
      </c>
      <c r="AL714" s="714"/>
      <c r="AM714" s="114" t="str">
        <f t="shared" si="492"/>
        <v/>
      </c>
      <c r="AN714" s="115"/>
      <c r="AO714" s="116"/>
      <c r="AP714" s="116"/>
      <c r="AQ714" s="116"/>
      <c r="AR714" s="116"/>
      <c r="AS714" s="116"/>
      <c r="AT714" s="116"/>
      <c r="AU714" s="116"/>
      <c r="AV714" s="78"/>
      <c r="AW714" s="102"/>
      <c r="AX714" s="78"/>
      <c r="AY714" s="78"/>
      <c r="AZ714" s="78"/>
      <c r="BA714" s="78"/>
      <c r="BB714" s="78"/>
      <c r="BC714" s="78"/>
      <c r="BD714" s="78"/>
      <c r="BE714" s="465"/>
      <c r="BF714" s="165" t="str">
        <f t="shared" si="493"/>
        <v>https://www.google.com/search?tbm=isch&amp;q=7%20G6</v>
      </c>
      <c r="BG714" s="165" t="str">
        <f t="shared" si="494"/>
        <v>C</v>
      </c>
      <c r="BH714" s="65"/>
      <c r="BI714" s="65"/>
      <c r="BJ714" s="65"/>
      <c r="BK714" s="65"/>
      <c r="BL714" s="99"/>
      <c r="BM714" s="99"/>
      <c r="BN714" s="99"/>
    </row>
    <row r="715" spans="1:66" s="51" customFormat="1" ht="15.75" x14ac:dyDescent="0.25">
      <c r="A715" s="478">
        <v>15</v>
      </c>
      <c r="B715" s="479" t="s">
        <v>291</v>
      </c>
      <c r="C715" s="480" t="s">
        <v>1818</v>
      </c>
      <c r="D715" s="481" t="s">
        <v>299</v>
      </c>
      <c r="E715" s="482">
        <v>224.95</v>
      </c>
      <c r="F715" s="483" t="s">
        <v>292</v>
      </c>
      <c r="G715" s="484">
        <v>0</v>
      </c>
      <c r="H715" s="688" t="str">
        <f>IF(G715=0,"",IF(F715="Buy",IF(G715=1,"plant","plants"),IF(F715&gt;0.01,"warranty","Error")))</f>
        <v/>
      </c>
      <c r="I715" s="485">
        <f>IF(H715="free",0,IF(H715="credit",((E715*(F715))*G715*-1),IF(F715="Buy",(E715*G715),((E715*(1-F715))*G715))))</f>
        <v>0</v>
      </c>
      <c r="J715" s="485">
        <f>IF(H715="warranty",0,(I715*(_xlfn.SINGLE(SalesTaxPercentage))))</f>
        <v>0</v>
      </c>
      <c r="K715" s="715">
        <f t="shared" ref="K715" si="524">I715+J715</f>
        <v>0</v>
      </c>
      <c r="L715" s="715"/>
      <c r="M715" s="689" t="str">
        <f ca="1">IF(AND(G715&gt;0,E715=0),"WARNING - no PRICE inserted",IF(H715="free","FREE ~ no charge this plant",IF(H715="credit",CONCATENATE("-$",ROUND(K715*(1-_xlfn.SINGLE(T2GDiscount))*-1,2)," CREDIT after discount"),IF(_xlfn.SINGLE(T2GDiscount)=0,"",IF(G715=0,"",IF(F715="Buy",CONCATENATE("$",ROUND(K715*(1-_xlfn.SINGLE(T2GDiscount)),2)," with ",(_xlfn.SINGLE(T2GDiscount)*100),"% discount"),CONCATENATE("$",ROUND(K715*(1-_xlfn.SINGLE(T2GDiscount)),2)," with ",((_xlfn.SINGLE(T2GDiscount)*100+F715*100)-(_xlfn.SINGLE(T2GDiscount)*100*F715)),IF(F715&gt;0,"% discounts",IF(_xlfn.SINGLE(NoWarrantyDiscount)&gt;0,"% discounts","% discount")))))))))</f>
        <v/>
      </c>
      <c r="N715" s="690"/>
      <c r="O715" s="486"/>
      <c r="P715" s="486"/>
      <c r="Q715" s="486"/>
      <c r="R715" s="486"/>
      <c r="S715" s="486"/>
      <c r="T715" s="102">
        <f t="shared" si="482"/>
        <v>0</v>
      </c>
      <c r="U715" s="78">
        <f>IF(NOT(ISNUMBER(G715)), "", VLOOKUP(A715,'Discount Lookup'!D:E,2,FALSE)*G715)</f>
        <v>0</v>
      </c>
      <c r="V715" s="78">
        <f>IF(NOT(ISNUMBER(G715)), "", VLOOKUP(A715,'Discount Lookup'!G:H,2,FALSE)*G715)</f>
        <v>0</v>
      </c>
      <c r="W715" s="102">
        <f t="shared" si="483"/>
        <v>0</v>
      </c>
      <c r="X715" s="102">
        <f t="shared" si="484"/>
        <v>0</v>
      </c>
      <c r="Y715" s="120" t="b">
        <f t="shared" si="485"/>
        <v>0</v>
      </c>
      <c r="Z715" s="117">
        <f t="shared" si="486"/>
        <v>0</v>
      </c>
      <c r="AA715" s="118"/>
      <c r="AB715" s="118" t="str">
        <f t="shared" si="487"/>
        <v/>
      </c>
      <c r="AC715" s="712" t="str">
        <f>IF(AE715="T2G","no charge",IF(AND(OR(PlanterYesMe="No",PlanterYesMe="N",PlanterYesMe="me"),H715=""),"",IF(H715="credit","NO install",IF(AND(K715="",AE715="me"),"EACH row",IF(AND(K715="images",AE715="me"),"EACH row",IF(D715="","",IF(H715="credit","",IF(AE715="free","re-planting",IF(AE715="me","   not ELP, by",IF(AND(OR(PlanterYesMe="Yes",PlanterYesMe="Y"),G715&gt;0),(VLOOKUP(A715,'Discount Lookup'!J:K,2)*G715*(1-PlanterDiscount)*(1+PlanterDifficultyPercentage)),IF(AE715="ELP",(VLOOKUP(A715,'Discount Lookup'!J:K,2)*G715*(1-PlanterDiscount)*(1+PlanterDifficultyPercentage)),IF(AE715="free","re-planting",IF(G715=0,"",IF(PlanterYesMe="",IF(AE715="me","   not ELP, by",IF(AE715="",IF(G715&gt;0,(VLOOKUP(A715,'Discount Lookup'!J:K,2)*G715*(1-PlanterDiscount)*(1+PlanterDifficultyPercentage)),""),"")),"   not ELP, by"))))))))))))))</f>
        <v/>
      </c>
      <c r="AD715" s="712"/>
      <c r="AE715" s="513" t="str">
        <f t="shared" si="488"/>
        <v/>
      </c>
      <c r="AF715" s="713" t="str">
        <f t="shared" si="489"/>
        <v/>
      </c>
      <c r="AG715" s="713"/>
      <c r="AH715" s="713"/>
      <c r="AI715" s="112">
        <f>IF(H715="credit",0,IF(AE715="free",0,IF(AE715="me",0,IF(G715&gt;0,(VLOOKUP(A715,'Discount Lookup'!J:K,2)*G715),0))))</f>
        <v>0</v>
      </c>
      <c r="AJ715" s="107" t="str">
        <f t="shared" ca="1" si="490"/>
        <v/>
      </c>
      <c r="AK715" s="714" t="str">
        <f t="shared" si="491"/>
        <v/>
      </c>
      <c r="AL715" s="714"/>
      <c r="AM715" s="114" t="str">
        <f t="shared" si="492"/>
        <v/>
      </c>
      <c r="AN715" s="115"/>
      <c r="AO715" s="116"/>
      <c r="AP715" s="116"/>
      <c r="AQ715" s="116"/>
      <c r="AR715" s="116"/>
      <c r="AS715" s="116"/>
      <c r="AT715" s="116"/>
      <c r="AU715" s="116"/>
      <c r="AV715" s="78"/>
      <c r="AW715" s="102"/>
      <c r="AX715" s="78"/>
      <c r="AY715" s="78"/>
      <c r="AZ715" s="78"/>
      <c r="BA715" s="78"/>
      <c r="BB715" s="78"/>
      <c r="BC715" s="78"/>
      <c r="BD715" s="78"/>
      <c r="BE715" s="465"/>
      <c r="BF715" s="165" t="str">
        <f t="shared" si="493"/>
        <v>https://www.google.com/search?tbm=isch&amp;q=15%20G4</v>
      </c>
      <c r="BG715" s="165" t="str">
        <f t="shared" si="494"/>
        <v>C</v>
      </c>
      <c r="BH715" s="65"/>
      <c r="BI715" s="65"/>
      <c r="BJ715" s="65"/>
      <c r="BK715" s="65"/>
      <c r="BL715" s="99"/>
      <c r="BM715" s="99"/>
      <c r="BN715" s="99"/>
    </row>
    <row r="716" spans="1:66" s="51" customFormat="1" ht="17.25" thickBot="1" x14ac:dyDescent="0.3">
      <c r="A716" s="508" t="s">
        <v>1819</v>
      </c>
      <c r="B716" s="487"/>
      <c r="C716" s="707"/>
      <c r="D716" s="487"/>
      <c r="E716" s="487"/>
      <c r="F716" s="488"/>
      <c r="G716" s="489"/>
      <c r="H716" s="487"/>
      <c r="I716" s="490"/>
      <c r="J716" s="490"/>
      <c r="K716" s="491"/>
      <c r="L716" s="547"/>
      <c r="M716" s="528"/>
      <c r="N716" s="492"/>
      <c r="O716" s="493"/>
      <c r="P716" s="494"/>
      <c r="Q716" s="492"/>
      <c r="R716" s="492"/>
      <c r="S716" s="699" t="s">
        <v>5275</v>
      </c>
      <c r="T716" s="102">
        <f t="shared" si="482"/>
        <v>0</v>
      </c>
      <c r="U716" s="78" t="str">
        <f>IF(NOT(ISNUMBER(G716)), "", VLOOKUP(A716,'Discount Lookup'!D:E,2,FALSE)*G716)</f>
        <v/>
      </c>
      <c r="V716" s="78" t="str">
        <f>IF(NOT(ISNUMBER(G716)), "", VLOOKUP(A716,'Discount Lookup'!G:H,2,FALSE)*G716)</f>
        <v/>
      </c>
      <c r="W716" s="102">
        <f t="shared" si="483"/>
        <v>0</v>
      </c>
      <c r="X716" s="102">
        <f t="shared" si="484"/>
        <v>0</v>
      </c>
      <c r="Y716" s="120" t="b">
        <f t="shared" si="485"/>
        <v>0</v>
      </c>
      <c r="Z716" s="117">
        <f t="shared" si="486"/>
        <v>0</v>
      </c>
      <c r="AA716" s="118"/>
      <c r="AB716" s="118" t="str">
        <f t="shared" si="487"/>
        <v/>
      </c>
      <c r="AC716" s="712" t="str">
        <f>IF(AE716="T2G","no charge",IF(AND(OR(PlanterYesMe="No",PlanterYesMe="N",PlanterYesMe="me"),H716=""),"",IF(H716="credit","NO install",IF(AND(K716="",AE716="me"),"EACH row",IF(AND(K716="images",AE716="me"),"EACH row",IF(D716="","",IF(H716="credit","",IF(AE716="free","re-planting",IF(AE716="me","   not ELP, by",IF(AND(OR(PlanterYesMe="Yes",PlanterYesMe="Y"),G716&gt;0),(VLOOKUP(A716,'Discount Lookup'!J:K,2)*G716*(1-PlanterDiscount)*(1+PlanterDifficultyPercentage)),IF(AE716="ELP",(VLOOKUP(A716,'Discount Lookup'!J:K,2)*G716*(1-PlanterDiscount)*(1+PlanterDifficultyPercentage)),IF(AE716="free","re-planting",IF(G716=0,"",IF(PlanterYesMe="",IF(AE716="me","   not ELP, by",IF(AE716="",IF(G716&gt;0,(VLOOKUP(A716,'Discount Lookup'!J:K,2)*G716*(1-PlanterDiscount)*(1+PlanterDifficultyPercentage)),""),"")),"   not ELP, by"))))))))))))))</f>
        <v/>
      </c>
      <c r="AD716" s="712"/>
      <c r="AE716" s="513" t="str">
        <f t="shared" si="488"/>
        <v/>
      </c>
      <c r="AF716" s="713" t="str">
        <f t="shared" si="489"/>
        <v/>
      </c>
      <c r="AG716" s="713"/>
      <c r="AH716" s="713"/>
      <c r="AI716" s="112">
        <f>IF(H716="credit",0,IF(AE716="free",0,IF(AE716="me",0,IF(G716&gt;0,(VLOOKUP(A716,'Discount Lookup'!J:K,2)*G716),0))))</f>
        <v>0</v>
      </c>
      <c r="AJ716" s="107" t="str">
        <f t="shared" ca="1" si="490"/>
        <v/>
      </c>
      <c r="AK716" s="714" t="str">
        <f t="shared" si="491"/>
        <v/>
      </c>
      <c r="AL716" s="714"/>
      <c r="AM716" s="114" t="str">
        <f t="shared" si="492"/>
        <v/>
      </c>
      <c r="AN716" s="115"/>
      <c r="AO716" s="116"/>
      <c r="AP716" s="116"/>
      <c r="AQ716" s="116"/>
      <c r="AR716" s="116"/>
      <c r="AS716" s="116"/>
      <c r="AT716" s="116"/>
      <c r="AU716" s="116"/>
      <c r="AV716" s="78"/>
      <c r="AW716" s="102"/>
      <c r="AX716" s="78"/>
      <c r="AY716" s="78"/>
      <c r="AZ716" s="78"/>
      <c r="BA716" s="78"/>
      <c r="BB716" s="78"/>
      <c r="BC716" s="78"/>
      <c r="BD716" s="78"/>
      <c r="BE716" s="465"/>
      <c r="BF716" s="165" t="str">
        <f t="shared" si="493"/>
        <v>https://www.google.com/search?tbm=isch&amp;q=October%20Magic%20Ruby%20has%20double%20blooms%20and%20super%20glossy%20Olive-Green%20foliage%2C%20blooming%20heavily%20in%20fall%20with%20a%20soft%2C%20compact%20form%20</v>
      </c>
      <c r="BG716" s="165" t="str">
        <f t="shared" si="494"/>
        <v>O</v>
      </c>
      <c r="BH716" s="65"/>
      <c r="BI716" s="65"/>
      <c r="BJ716" s="65"/>
      <c r="BK716" s="65"/>
      <c r="BL716" s="99"/>
      <c r="BM716" s="99"/>
      <c r="BN716" s="99"/>
    </row>
    <row r="717" spans="1:66" s="51" customFormat="1" ht="18" x14ac:dyDescent="0.25">
      <c r="A717" s="507" t="s">
        <v>1820</v>
      </c>
      <c r="B717" s="470"/>
      <c r="C717" s="706"/>
      <c r="D717" s="471" t="s">
        <v>5608</v>
      </c>
      <c r="E717" s="472"/>
      <c r="F717" s="472"/>
      <c r="G717" s="472"/>
      <c r="H717" s="622" t="s">
        <v>1270</v>
      </c>
      <c r="I717" s="473" t="s">
        <v>5132</v>
      </c>
      <c r="J717" s="472"/>
      <c r="K717" s="472"/>
      <c r="L717" s="561"/>
      <c r="M717" s="698" t="s">
        <v>5246</v>
      </c>
      <c r="N717" s="692" t="str">
        <f>IF(AND(ISTEXT($A717), ISERROR($A717+0)), HYPERLINK($BF717, "Images"), "")</f>
        <v>Images</v>
      </c>
      <c r="O717" s="694" t="s">
        <v>5247</v>
      </c>
      <c r="P717" s="475"/>
      <c r="Q717" s="476"/>
      <c r="R717" s="476"/>
      <c r="S717" s="477"/>
      <c r="T717" s="102">
        <f t="shared" si="482"/>
        <v>0</v>
      </c>
      <c r="U717" s="78" t="str">
        <f>IF(NOT(ISNUMBER(G717)), "", VLOOKUP(A717,'Discount Lookup'!D:E,2,FALSE)*G717)</f>
        <v/>
      </c>
      <c r="V717" s="78" t="str">
        <f>IF(NOT(ISNUMBER(G717)), "", VLOOKUP(A717,'Discount Lookup'!G:H,2,FALSE)*G717)</f>
        <v/>
      </c>
      <c r="W717" s="102">
        <f t="shared" si="483"/>
        <v>0</v>
      </c>
      <c r="X717" s="102" t="str">
        <f t="shared" si="484"/>
        <v>Crimson-Red, Yellow eye</v>
      </c>
      <c r="Y717" s="120" t="b">
        <f t="shared" si="485"/>
        <v>0</v>
      </c>
      <c r="Z717" s="117">
        <f t="shared" si="486"/>
        <v>0</v>
      </c>
      <c r="AA717" s="118"/>
      <c r="AB717" s="118" t="str">
        <f t="shared" si="487"/>
        <v/>
      </c>
      <c r="AC717" s="712" t="str">
        <f>IF(AE717="T2G","no charge",IF(AND(OR(PlanterYesMe="No",PlanterYesMe="N",PlanterYesMe="me"),H717=""),"",IF(H717="credit","NO install",IF(AND(K717="",AE717="me"),"EACH row",IF(AND(K717="images",AE717="me"),"EACH row",IF(D717="","",IF(H717="credit","",IF(AE717="free","re-planting",IF(AE717="me","   not ELP, by",IF(AND(OR(PlanterYesMe="Yes",PlanterYesMe="Y"),G717&gt;0),(VLOOKUP(A717,'Discount Lookup'!J:K,2)*G717*(1-PlanterDiscount)*(1+PlanterDifficultyPercentage)),IF(AE717="ELP",(VLOOKUP(A717,'Discount Lookup'!J:K,2)*G717*(1-PlanterDiscount)*(1+PlanterDifficultyPercentage)),IF(AE717="free","re-planting",IF(G717=0,"",IF(PlanterYesMe="",IF(AE717="me","   not ELP, by",IF(AE717="",IF(G717&gt;0,(VLOOKUP(A717,'Discount Lookup'!J:K,2)*G717*(1-PlanterDiscount)*(1+PlanterDifficultyPercentage)),""),"")),"   not ELP, by"))))))))))))))</f>
        <v/>
      </c>
      <c r="AD717" s="712"/>
      <c r="AE717" s="513" t="str">
        <f t="shared" si="488"/>
        <v/>
      </c>
      <c r="AF717" s="713" t="str">
        <f t="shared" si="489"/>
        <v/>
      </c>
      <c r="AG717" s="713"/>
      <c r="AH717" s="713"/>
      <c r="AI717" s="112">
        <f>IF(H717="credit",0,IF(AE717="free",0,IF(AE717="me",0,IF(G717&gt;0,(VLOOKUP(A717,'Discount Lookup'!J:K,2)*G717),0))))</f>
        <v>0</v>
      </c>
      <c r="AJ717" s="107" t="str">
        <f t="shared" ca="1" si="490"/>
        <v/>
      </c>
      <c r="AK717" s="714" t="str">
        <f t="shared" si="491"/>
        <v/>
      </c>
      <c r="AL717" s="714"/>
      <c r="AM717" s="114" t="str">
        <f t="shared" si="492"/>
        <v/>
      </c>
      <c r="AN717" s="115"/>
      <c r="AO717" s="116"/>
      <c r="AP717" s="116"/>
      <c r="AQ717" s="116"/>
      <c r="AR717" s="116"/>
      <c r="AS717" s="116"/>
      <c r="AT717" s="116"/>
      <c r="AU717" s="116"/>
      <c r="AV717" s="78"/>
      <c r="AW717" s="102"/>
      <c r="AX717" s="78"/>
      <c r="AY717" s="78"/>
      <c r="AZ717" s="78"/>
      <c r="BA717" s="78"/>
      <c r="BB717" s="78"/>
      <c r="BC717" s="78"/>
      <c r="BD717" s="78"/>
      <c r="BE717" s="465"/>
      <c r="BF717" s="165" t="str">
        <f t="shared" si="493"/>
        <v>https://www.google.com/search?tbm=isch&amp;q=Camellia%20sasanqua%20%27Green%2008-052%27%20PP%2330386%20October%20Magic%C2%AE%20Crimson%20N%27%20Clover%E2%84%A2%20Camellia</v>
      </c>
      <c r="BG717" s="165" t="str">
        <f t="shared" si="494"/>
        <v>C</v>
      </c>
      <c r="BH717" s="65"/>
      <c r="BI717" s="65"/>
      <c r="BJ717" s="65"/>
      <c r="BK717" s="65"/>
      <c r="BL717" s="99"/>
      <c r="BM717" s="99"/>
      <c r="BN717" s="99"/>
    </row>
    <row r="718" spans="1:66" s="51" customFormat="1" ht="27" x14ac:dyDescent="0.25">
      <c r="A718" s="478">
        <v>7</v>
      </c>
      <c r="B718" s="479" t="s">
        <v>291</v>
      </c>
      <c r="C718" s="480" t="s">
        <v>1821</v>
      </c>
      <c r="D718" s="481" t="s">
        <v>299</v>
      </c>
      <c r="E718" s="482">
        <v>169.95</v>
      </c>
      <c r="F718" s="483" t="s">
        <v>292</v>
      </c>
      <c r="G718" s="484">
        <v>0</v>
      </c>
      <c r="H718" s="688" t="str">
        <f>IF(G718=0,"",IF(F718="Buy",IF(G718=1,"plant","plants"),IF(F718&gt;0.01,"warranty","Error")))</f>
        <v/>
      </c>
      <c r="I718" s="485">
        <f>IF(H718="free",0,IF(H718="credit",((E718*(F718))*G718*-1),IF(F718="Buy",(E718*G718),((E718*(1-F718))*G718))))</f>
        <v>0</v>
      </c>
      <c r="J718" s="485">
        <f>IF(H718="warranty",0,(I718*(_xlfn.SINGLE(SalesTaxPercentage))))</f>
        <v>0</v>
      </c>
      <c r="K718" s="715">
        <f t="shared" ref="K718" si="525">I718+J718</f>
        <v>0</v>
      </c>
      <c r="L718" s="715"/>
      <c r="M718" s="689" t="str">
        <f ca="1">IF(AND(G718&gt;0,E718=0),"WARNING - no PRICE inserted",IF(H718="free","FREE ~ no charge this plant",IF(H718="credit",CONCATENATE("-$",ROUND(K718*(1-_xlfn.SINGLE(T2GDiscount))*-1,2)," CREDIT after discount"),IF(_xlfn.SINGLE(T2GDiscount)=0,"",IF(G718=0,"",IF(F718="Buy",CONCATENATE("$",ROUND(K718*(1-_xlfn.SINGLE(T2GDiscount)),2)," with ",(_xlfn.SINGLE(T2GDiscount)*100),"% discount"),CONCATENATE("$",ROUND(K718*(1-_xlfn.SINGLE(T2GDiscount)),2)," with ",((_xlfn.SINGLE(T2GDiscount)*100+F718*100)-(_xlfn.SINGLE(T2GDiscount)*100*F718)),IF(F718&gt;0,"% discounts",IF(_xlfn.SINGLE(NoWarrantyDiscount)&gt;0,"% discounts","% discount")))))))))</f>
        <v/>
      </c>
      <c r="N718" s="690"/>
      <c r="O718" s="486"/>
      <c r="P718" s="486"/>
      <c r="Q718" s="486"/>
      <c r="R718" s="486"/>
      <c r="S718" s="486"/>
      <c r="T718" s="102">
        <f t="shared" si="482"/>
        <v>0</v>
      </c>
      <c r="U718" s="78">
        <f>IF(NOT(ISNUMBER(G718)), "", VLOOKUP(A718,'Discount Lookup'!D:E,2,FALSE)*G718)</f>
        <v>0</v>
      </c>
      <c r="V718" s="78">
        <f>IF(NOT(ISNUMBER(G718)), "", VLOOKUP(A718,'Discount Lookup'!G:H,2,FALSE)*G718)</f>
        <v>0</v>
      </c>
      <c r="W718" s="102">
        <f t="shared" si="483"/>
        <v>0</v>
      </c>
      <c r="X718" s="102">
        <f t="shared" si="484"/>
        <v>0</v>
      </c>
      <c r="Y718" s="120" t="b">
        <f t="shared" si="485"/>
        <v>0</v>
      </c>
      <c r="Z718" s="117">
        <f t="shared" si="486"/>
        <v>0</v>
      </c>
      <c r="AA718" s="118"/>
      <c r="AB718" s="118" t="str">
        <f t="shared" si="487"/>
        <v/>
      </c>
      <c r="AC718" s="712" t="str">
        <f>IF(AE718="T2G","no charge",IF(AND(OR(PlanterYesMe="No",PlanterYesMe="N",PlanterYesMe="me"),H718=""),"",IF(H718="credit","NO install",IF(AND(K718="",AE718="me"),"EACH row",IF(AND(K718="images",AE718="me"),"EACH row",IF(D718="","",IF(H718="credit","",IF(AE718="free","re-planting",IF(AE718="me","   not ELP, by",IF(AND(OR(PlanterYesMe="Yes",PlanterYesMe="Y"),G718&gt;0),(VLOOKUP(A718,'Discount Lookup'!J:K,2)*G718*(1-PlanterDiscount)*(1+PlanterDifficultyPercentage)),IF(AE718="ELP",(VLOOKUP(A718,'Discount Lookup'!J:K,2)*G718*(1-PlanterDiscount)*(1+PlanterDifficultyPercentage)),IF(AE718="free","re-planting",IF(G718=0,"",IF(PlanterYesMe="",IF(AE718="me","   not ELP, by",IF(AE718="",IF(G718&gt;0,(VLOOKUP(A718,'Discount Lookup'!J:K,2)*G718*(1-PlanterDiscount)*(1+PlanterDifficultyPercentage)),""),"")),"   not ELP, by"))))))))))))))</f>
        <v/>
      </c>
      <c r="AD718" s="712"/>
      <c r="AE718" s="513" t="str">
        <f t="shared" si="488"/>
        <v/>
      </c>
      <c r="AF718" s="713" t="str">
        <f t="shared" si="489"/>
        <v/>
      </c>
      <c r="AG718" s="713"/>
      <c r="AH718" s="713"/>
      <c r="AI718" s="112">
        <f>IF(H718="credit",0,IF(AE718="free",0,IF(AE718="me",0,IF(G718&gt;0,(VLOOKUP(A718,'Discount Lookup'!J:K,2)*G718),0))))</f>
        <v>0</v>
      </c>
      <c r="AJ718" s="107" t="str">
        <f t="shared" ca="1" si="490"/>
        <v/>
      </c>
      <c r="AK718" s="714" t="str">
        <f t="shared" si="491"/>
        <v/>
      </c>
      <c r="AL718" s="714"/>
      <c r="AM718" s="114" t="str">
        <f t="shared" si="492"/>
        <v/>
      </c>
      <c r="AN718" s="115"/>
      <c r="AO718" s="116"/>
      <c r="AP718" s="116"/>
      <c r="AQ718" s="116"/>
      <c r="AR718" s="116"/>
      <c r="AS718" s="116"/>
      <c r="AT718" s="116"/>
      <c r="AU718" s="116"/>
      <c r="AV718" s="78"/>
      <c r="AW718" s="102"/>
      <c r="AX718" s="78"/>
      <c r="AY718" s="78"/>
      <c r="AZ718" s="78"/>
      <c r="BA718" s="78"/>
      <c r="BB718" s="78"/>
      <c r="BC718" s="78"/>
      <c r="BD718" s="78"/>
      <c r="BE718" s="465"/>
      <c r="BF718" s="165" t="str">
        <f t="shared" si="493"/>
        <v>https://www.google.com/search?tbm=isch&amp;q=7%20G4</v>
      </c>
      <c r="BG718" s="165" t="str">
        <f t="shared" si="494"/>
        <v>C</v>
      </c>
      <c r="BH718" s="65"/>
      <c r="BI718" s="65"/>
      <c r="BJ718" s="65"/>
      <c r="BK718" s="65"/>
      <c r="BL718" s="99"/>
      <c r="BM718" s="99"/>
      <c r="BN718" s="99"/>
    </row>
    <row r="719" spans="1:66" s="51" customFormat="1" ht="17.25" thickBot="1" x14ac:dyDescent="0.3">
      <c r="A719" s="508" t="s">
        <v>1822</v>
      </c>
      <c r="B719" s="487"/>
      <c r="C719" s="707"/>
      <c r="D719" s="487"/>
      <c r="E719" s="487"/>
      <c r="F719" s="488"/>
      <c r="G719" s="489"/>
      <c r="H719" s="487"/>
      <c r="I719" s="490"/>
      <c r="J719" s="490"/>
      <c r="K719" s="491"/>
      <c r="L719" s="547"/>
      <c r="M719" s="528"/>
      <c r="N719" s="492"/>
      <c r="O719" s="493"/>
      <c r="P719" s="494"/>
      <c r="Q719" s="492"/>
      <c r="R719" s="492"/>
      <c r="S719" s="699" t="s">
        <v>5275</v>
      </c>
      <c r="T719" s="102">
        <f t="shared" si="482"/>
        <v>0</v>
      </c>
      <c r="U719" s="78" t="str">
        <f>IF(NOT(ISNUMBER(G719)), "", VLOOKUP(A719,'Discount Lookup'!D:E,2,FALSE)*G719)</f>
        <v/>
      </c>
      <c r="V719" s="78" t="str">
        <f>IF(NOT(ISNUMBER(G719)), "", VLOOKUP(A719,'Discount Lookup'!G:H,2,FALSE)*G719)</f>
        <v/>
      </c>
      <c r="W719" s="102">
        <f t="shared" si="483"/>
        <v>0</v>
      </c>
      <c r="X719" s="102">
        <f t="shared" si="484"/>
        <v>0</v>
      </c>
      <c r="Y719" s="120" t="b">
        <f t="shared" si="485"/>
        <v>0</v>
      </c>
      <c r="Z719" s="117">
        <f t="shared" si="486"/>
        <v>0</v>
      </c>
      <c r="AA719" s="118"/>
      <c r="AB719" s="118" t="str">
        <f t="shared" si="487"/>
        <v/>
      </c>
      <c r="AC719" s="712" t="str">
        <f>IF(AE719="T2G","no charge",IF(AND(OR(PlanterYesMe="No",PlanterYesMe="N",PlanterYesMe="me"),H719=""),"",IF(H719="credit","NO install",IF(AND(K719="",AE719="me"),"EACH row",IF(AND(K719="images",AE719="me"),"EACH row",IF(D719="","",IF(H719="credit","",IF(AE719="free","re-planting",IF(AE719="me","   not ELP, by",IF(AND(OR(PlanterYesMe="Yes",PlanterYesMe="Y"),G719&gt;0),(VLOOKUP(A719,'Discount Lookup'!J:K,2)*G719*(1-PlanterDiscount)*(1+PlanterDifficultyPercentage)),IF(AE719="ELP",(VLOOKUP(A719,'Discount Lookup'!J:K,2)*G719*(1-PlanterDiscount)*(1+PlanterDifficultyPercentage)),IF(AE719="free","re-planting",IF(G719=0,"",IF(PlanterYesMe="",IF(AE719="me","   not ELP, by",IF(AE719="",IF(G719&gt;0,(VLOOKUP(A719,'Discount Lookup'!J:K,2)*G719*(1-PlanterDiscount)*(1+PlanterDifficultyPercentage)),""),"")),"   not ELP, by"))))))))))))))</f>
        <v/>
      </c>
      <c r="AD719" s="712"/>
      <c r="AE719" s="513" t="str">
        <f t="shared" si="488"/>
        <v/>
      </c>
      <c r="AF719" s="713" t="str">
        <f t="shared" si="489"/>
        <v/>
      </c>
      <c r="AG719" s="713"/>
      <c r="AH719" s="713"/>
      <c r="AI719" s="112">
        <f>IF(H719="credit",0,IF(AE719="free",0,IF(AE719="me",0,IF(G719&gt;0,(VLOOKUP(A719,'Discount Lookup'!J:K,2)*G719),0))))</f>
        <v>0</v>
      </c>
      <c r="AJ719" s="107" t="str">
        <f t="shared" ca="1" si="490"/>
        <v/>
      </c>
      <c r="AK719" s="714" t="str">
        <f t="shared" si="491"/>
        <v/>
      </c>
      <c r="AL719" s="714"/>
      <c r="AM719" s="114" t="str">
        <f t="shared" si="492"/>
        <v/>
      </c>
      <c r="AN719" s="115"/>
      <c r="AO719" s="116"/>
      <c r="AP719" s="116"/>
      <c r="AQ719" s="116"/>
      <c r="AR719" s="116"/>
      <c r="AS719" s="116"/>
      <c r="AT719" s="116"/>
      <c r="AU719" s="116"/>
      <c r="AV719" s="78"/>
      <c r="AW719" s="102"/>
      <c r="AX719" s="78"/>
      <c r="AY719" s="78"/>
      <c r="AZ719" s="78"/>
      <c r="BA719" s="78"/>
      <c r="BB719" s="78"/>
      <c r="BC719" s="78"/>
      <c r="BD719" s="78"/>
      <c r="BE719" s="465"/>
      <c r="BF719" s="165" t="str">
        <f t="shared" si="493"/>
        <v>https://www.google.com/search?tbm=isch&amp;q=October%20Magic%20Crimson%20N%27%20Clover%20blooms%20for%20up%20to%20nine%20weeks%20in%20fall%2C%20with%20lush%20dark%20Green%20foliage%20and%20striking%20Reddish%20new%20growth%20</v>
      </c>
      <c r="BG719" s="165" t="str">
        <f t="shared" si="494"/>
        <v>O</v>
      </c>
      <c r="BH719" s="65"/>
      <c r="BI719" s="65"/>
      <c r="BJ719" s="65"/>
      <c r="BK719" s="65"/>
      <c r="BL719" s="99"/>
      <c r="BM719" s="99"/>
      <c r="BN719" s="99"/>
    </row>
    <row r="720" spans="1:66" s="51" customFormat="1" ht="18" x14ac:dyDescent="0.25">
      <c r="A720" s="507" t="s">
        <v>1823</v>
      </c>
      <c r="B720" s="470"/>
      <c r="C720" s="706"/>
      <c r="D720" s="471" t="s">
        <v>5609</v>
      </c>
      <c r="E720" s="472"/>
      <c r="F720" s="472"/>
      <c r="G720" s="472"/>
      <c r="H720" s="622" t="s">
        <v>1528</v>
      </c>
      <c r="I720" s="473" t="s">
        <v>1824</v>
      </c>
      <c r="J720" s="472"/>
      <c r="K720" s="472"/>
      <c r="L720" s="561"/>
      <c r="M720" s="698" t="s">
        <v>5246</v>
      </c>
      <c r="N720" s="692" t="str">
        <f>IF(AND(ISTEXT($A720), ISERROR($A720+0)), HYPERLINK($BF720, "Images"), "")</f>
        <v>Images</v>
      </c>
      <c r="O720" s="694" t="s">
        <v>5247</v>
      </c>
      <c r="P720" s="475"/>
      <c r="Q720" s="476"/>
      <c r="R720" s="476"/>
      <c r="S720" s="477"/>
      <c r="T720" s="102">
        <f t="shared" si="482"/>
        <v>0</v>
      </c>
      <c r="U720" s="78" t="str">
        <f>IF(NOT(ISNUMBER(G720)), "", VLOOKUP(A720,'Discount Lookup'!D:E,2,FALSE)*G720)</f>
        <v/>
      </c>
      <c r="V720" s="78" t="str">
        <f>IF(NOT(ISNUMBER(G720)), "", VLOOKUP(A720,'Discount Lookup'!G:H,2,FALSE)*G720)</f>
        <v/>
      </c>
      <c r="W720" s="102">
        <f t="shared" si="483"/>
        <v>0</v>
      </c>
      <c r="X720" s="102" t="str">
        <f t="shared" si="484"/>
        <v>Orchid-Pink blooms</v>
      </c>
      <c r="Y720" s="120" t="b">
        <f t="shared" si="485"/>
        <v>0</v>
      </c>
      <c r="Z720" s="117">
        <f t="shared" si="486"/>
        <v>0</v>
      </c>
      <c r="AA720" s="118"/>
      <c r="AB720" s="118" t="str">
        <f t="shared" si="487"/>
        <v/>
      </c>
      <c r="AC720" s="712" t="str">
        <f>IF(AE720="T2G","no charge",IF(AND(OR(PlanterYesMe="No",PlanterYesMe="N",PlanterYesMe="me"),H720=""),"",IF(H720="credit","NO install",IF(AND(K720="",AE720="me"),"EACH row",IF(AND(K720="images",AE720="me"),"EACH row",IF(D720="","",IF(H720="credit","",IF(AE720="free","re-planting",IF(AE720="me","   not ELP, by",IF(AND(OR(PlanterYesMe="Yes",PlanterYesMe="Y"),G720&gt;0),(VLOOKUP(A720,'Discount Lookup'!J:K,2)*G720*(1-PlanterDiscount)*(1+PlanterDifficultyPercentage)),IF(AE720="ELP",(VLOOKUP(A720,'Discount Lookup'!J:K,2)*G720*(1-PlanterDiscount)*(1+PlanterDifficultyPercentage)),IF(AE720="free","re-planting",IF(G720=0,"",IF(PlanterYesMe="",IF(AE720="me","   not ELP, by",IF(AE720="",IF(G720&gt;0,(VLOOKUP(A720,'Discount Lookup'!J:K,2)*G720*(1-PlanterDiscount)*(1+PlanterDifficultyPercentage)),""),"")),"   not ELP, by"))))))))))))))</f>
        <v/>
      </c>
      <c r="AD720" s="712"/>
      <c r="AE720" s="513" t="str">
        <f t="shared" si="488"/>
        <v/>
      </c>
      <c r="AF720" s="713" t="str">
        <f t="shared" si="489"/>
        <v/>
      </c>
      <c r="AG720" s="713"/>
      <c r="AH720" s="713"/>
      <c r="AI720" s="112">
        <f>IF(H720="credit",0,IF(AE720="free",0,IF(AE720="me",0,IF(G720&gt;0,(VLOOKUP(A720,'Discount Lookup'!J:K,2)*G720),0))))</f>
        <v>0</v>
      </c>
      <c r="AJ720" s="107" t="str">
        <f t="shared" ca="1" si="490"/>
        <v/>
      </c>
      <c r="AK720" s="714" t="str">
        <f t="shared" si="491"/>
        <v/>
      </c>
      <c r="AL720" s="714"/>
      <c r="AM720" s="114" t="str">
        <f t="shared" si="492"/>
        <v/>
      </c>
      <c r="AN720" s="115"/>
      <c r="AO720" s="116"/>
      <c r="AP720" s="116"/>
      <c r="AQ720" s="116"/>
      <c r="AR720" s="116"/>
      <c r="AS720" s="116"/>
      <c r="AT720" s="116"/>
      <c r="AU720" s="116"/>
      <c r="AV720" s="78"/>
      <c r="AW720" s="102"/>
      <c r="AX720" s="78"/>
      <c r="AY720" s="78"/>
      <c r="AZ720" s="78"/>
      <c r="BA720" s="78"/>
      <c r="BB720" s="78"/>
      <c r="BC720" s="78"/>
      <c r="BD720" s="78"/>
      <c r="BE720" s="465"/>
      <c r="BF720" s="165" t="str">
        <f t="shared" si="493"/>
        <v>https://www.google.com/search?tbm=isch&amp;q=Camellia%20sasanqua%20%27Green%2094-035%27%20PP%2320465%20October%20Magic%C2%AE%20Orchid%E2%84%A2%20Camellia</v>
      </c>
      <c r="BG720" s="165" t="str">
        <f t="shared" si="494"/>
        <v>C</v>
      </c>
      <c r="BH720" s="65"/>
      <c r="BI720" s="65"/>
      <c r="BJ720" s="65"/>
      <c r="BK720" s="65"/>
      <c r="BL720" s="99"/>
      <c r="BM720" s="99"/>
      <c r="BN720" s="99"/>
    </row>
    <row r="721" spans="1:66" s="51" customFormat="1" ht="15.75" x14ac:dyDescent="0.25">
      <c r="A721" s="478">
        <v>3</v>
      </c>
      <c r="B721" s="479" t="s">
        <v>291</v>
      </c>
      <c r="C721" s="480" t="s">
        <v>1825</v>
      </c>
      <c r="D721" s="481" t="s">
        <v>311</v>
      </c>
      <c r="E721" s="482">
        <v>45.95</v>
      </c>
      <c r="F721" s="483" t="s">
        <v>292</v>
      </c>
      <c r="G721" s="484">
        <v>0</v>
      </c>
      <c r="H721" s="688" t="str">
        <f>IF(G721=0,"",IF(F721="Buy",IF(G721=1,"plant","plants"),IF(F721&gt;0.01,"warranty","Error")))</f>
        <v/>
      </c>
      <c r="I721" s="485">
        <f>IF(H721="free",0,IF(H721="credit",((E721*(F721))*G721*-1),IF(F721="Buy",(E721*G721),((E721*(1-F721))*G721))))</f>
        <v>0</v>
      </c>
      <c r="J721" s="485">
        <f>IF(H721="warranty",0,(I721*(_xlfn.SINGLE(SalesTaxPercentage))))</f>
        <v>0</v>
      </c>
      <c r="K721" s="715">
        <f t="shared" ref="K721" si="526">I721+J721</f>
        <v>0</v>
      </c>
      <c r="L721" s="715"/>
      <c r="M721" s="689" t="str">
        <f ca="1">IF(AND(G721&gt;0,E721=0),"WARNING - no PRICE inserted",IF(H721="free","FREE ~ no charge this plant",IF(H721="credit",CONCATENATE("-$",ROUND(K721*(1-_xlfn.SINGLE(T2GDiscount))*-1,2)," CREDIT after discount"),IF(_xlfn.SINGLE(T2GDiscount)=0,"",IF(G721=0,"",IF(F721="Buy",CONCATENATE("$",ROUND(K721*(1-_xlfn.SINGLE(T2GDiscount)),2)," with ",(_xlfn.SINGLE(T2GDiscount)*100),"% discount"),CONCATENATE("$",ROUND(K721*(1-_xlfn.SINGLE(T2GDiscount)),2)," with ",((_xlfn.SINGLE(T2GDiscount)*100+F721*100)-(_xlfn.SINGLE(T2GDiscount)*100*F721)),IF(F721&gt;0,"% discounts",IF(_xlfn.SINGLE(NoWarrantyDiscount)&gt;0,"% discounts","% discount")))))))))</f>
        <v/>
      </c>
      <c r="N721" s="690"/>
      <c r="O721" s="486"/>
      <c r="P721" s="486"/>
      <c r="Q721" s="486"/>
      <c r="R721" s="486"/>
      <c r="S721" s="486"/>
      <c r="T721" s="102">
        <f t="shared" ref="T721:T784" si="527">E721*G721</f>
        <v>0</v>
      </c>
      <c r="U721" s="78">
        <f>IF(NOT(ISNUMBER(G721)), "", VLOOKUP(A721,'Discount Lookup'!D:E,2,FALSE)*G721)</f>
        <v>0</v>
      </c>
      <c r="V721" s="78">
        <f>IF(NOT(ISNUMBER(G721)), "", VLOOKUP(A721,'Discount Lookup'!G:H,2,FALSE)*G721)</f>
        <v>0</v>
      </c>
      <c r="W721" s="102">
        <f t="shared" ref="W721:W784" si="528">IF(H721="credit",0,E721*(SalesTaxPercentage)*G721)</f>
        <v>0</v>
      </c>
      <c r="X721" s="102">
        <f t="shared" ref="X721:X784" si="529">I721</f>
        <v>0</v>
      </c>
      <c r="Y721" s="120" t="b">
        <f t="shared" ref="Y721:Y784" si="530">IF(AE721="T2G",0,IF(H721="credit",0,IF(G721&gt;0,IF(AE721="me","",G721))))</f>
        <v>0</v>
      </c>
      <c r="Z721" s="117">
        <f t="shared" ref="Z721:Z784" si="531">IF(H721="credit",G721,0)</f>
        <v>0</v>
      </c>
      <c r="AA721" s="118"/>
      <c r="AB721" s="118" t="str">
        <f t="shared" ref="AB721:AB784" si="532">IF(AE721="T2G","by Trees2Go",IF(H721="credit","CREDIT only ~",IF(AND(K721="",AE721=OR(PlanterYesMe="No",PlanterYesMe="N",PlanterYesMe="me")),"not THIS line⇨",IF(AND(K721="images",AE721="me"),"not THIS line⇨",IF(H721="credit","",IF(G721=0,"",IF(AE721="me","",IF(OR(PlanterYesMe="No",PlanterYesMe="N",PlanterYesMe="me"),"",IF(AE721="free","warranty",IF(OR(PlanterYesMe="yes",PlanterYesMe="y"),"Edison install:","to install:"))))))))))</f>
        <v/>
      </c>
      <c r="AC721" s="712" t="str">
        <f>IF(AE721="T2G","no charge",IF(AND(OR(PlanterYesMe="No",PlanterYesMe="N",PlanterYesMe="me"),H721=""),"",IF(H721="credit","NO install",IF(AND(K721="",AE721="me"),"EACH row",IF(AND(K721="images",AE721="me"),"EACH row",IF(D721="","",IF(H721="credit","",IF(AE721="free","re-planting",IF(AE721="me","   not ELP, by",IF(AND(OR(PlanterYesMe="Yes",PlanterYesMe="Y"),G721&gt;0),(VLOOKUP(A721,'Discount Lookup'!J:K,2)*G721*(1-PlanterDiscount)*(1+PlanterDifficultyPercentage)),IF(AE721="ELP",(VLOOKUP(A721,'Discount Lookup'!J:K,2)*G721*(1-PlanterDiscount)*(1+PlanterDifficultyPercentage)),IF(AE721="free","re-planting",IF(G721=0,"",IF(PlanterYesMe="",IF(AE721="me","   not ELP, by",IF(AE721="",IF(G721&gt;0,(VLOOKUP(A721,'Discount Lookup'!J:K,2)*G721*(1-PlanterDiscount)*(1+PlanterDifficultyPercentage)),""),"")),"   not ELP, by"))))))))))))))</f>
        <v/>
      </c>
      <c r="AD721" s="712"/>
      <c r="AE721" s="513" t="str">
        <f t="shared" ref="AE721:AE784" si="533">IF(H721="credit","",IF(G721=0,"",IF(OR(PlanterYesMe="No",PlanterYesMe="N",PlanterYesMe="me"),"me",IF(H721="warranty","free",IF(OR(PlanterYesMe="yes",PlanterYesMe="y"),"ELP","")))))</f>
        <v/>
      </c>
      <c r="AF721" s="713" t="str">
        <f t="shared" ref="AF721:AF784" si="534">IF(OR(PlanterYesMe="No",PlanterYesMe="N",PlanterYesMe="me"),"",IF(H721="credit","",IF(G721&gt;0,(CONCATENATE((G721)," quantity, ",(A721)," ",B721)),"")))</f>
        <v/>
      </c>
      <c r="AG721" s="713"/>
      <c r="AH721" s="713"/>
      <c r="AI721" s="112">
        <f>IF(H721="credit",0,IF(AE721="free",0,IF(AE721="me",0,IF(G721&gt;0,(VLOOKUP(A721,'Discount Lookup'!J:K,2)*G721),0))))</f>
        <v>0</v>
      </c>
      <c r="AJ721" s="107" t="str">
        <f t="shared" ref="AJ721:AJ784" ca="1" si="535">IF(AND(ISREF(H721),H721="credit"),"",IF(AND(AND(OFFSET(G721,0,0)=0,OFFSET(G721,1,0)&gt;0,ISNUMBER(OFFSET(AC721,1,0)),OFFSET(AC721,1,0)&gt;0),OR(PlanterYesMe="yes",PlanterYesMe="y")),"T2G+ELP=",IF(AND(OFFSET(G721,0,0)=0,OFFSET(G721,1,0)&gt;0,ISNUMBER(OFFSET(AC721,1,0)),OFFSET(AC721,1,0)&gt;0),"if T2G+ELP=",IF(AND(OFFSET(G721,0,0)=0,OFFSET(G721,1,0)&gt;0),"T2G Subtotal",IF(H721="credit","",IF(G721=0,"",IF(AE721="free",(K721*(1-T2GDiscount)),IF(OR(PlanterYesMe="No",PlanterYesMe="N",PlanterYesMe="me"),(K721*(1-T2GDiscount)),IF(OR(AE721="me",AE721="T2G"),(K721*(1-T2GDiscount)),(K721*(1-T2GDiscount))+AC721)))))))))</f>
        <v/>
      </c>
      <c r="AK721" s="714" t="str">
        <f t="shared" ref="AK721:AK784" si="536">IF(H721="credit","",IF(G721=0,"",IF(OR(AE721="me",AE721="T2G"),"  delivery-only",IF(OR(PlanterYesMe="No",PlanterYesMe="N",PlanterYesMe="me"),"  delivery-only",CONCATENATE(" $",ROUND(AJ721/G721,2)," each")))))</f>
        <v/>
      </c>
      <c r="AL721" s="714"/>
      <c r="AM721" s="114" t="str">
        <f t="shared" ref="AM721:AM784" si="537">IF(H721="credit","",IF(AE721="free","      ~ discounts included, no tax or planting fee applies ~",IF(G721=0,"",IF(OR(PlanterYesMe="No",PlanterYesMe="N",PlanterYesMe="me"),CONCATENATE(" $",ROUND(AJ721/G721,2)," per plant, with tax &amp; discount"),IF(OR(AE721="me",AE721="T2G"),CONCATENATE(" $",ROUND(AJ721/G721,2)," per plant, with tax &amp; discount"),CONCATENATE("= $",ROUND((K721*(1-T2GDiscount))/G721,2)," per plant + $",AC721/G721,(" per planting      ~ includes tax &amp; discounts ~")))))))</f>
        <v/>
      </c>
      <c r="AN721" s="115"/>
      <c r="AO721" s="116"/>
      <c r="AP721" s="116"/>
      <c r="AQ721" s="116"/>
      <c r="AR721" s="116"/>
      <c r="AS721" s="116"/>
      <c r="AT721" s="116"/>
      <c r="AU721" s="116"/>
      <c r="AV721" s="78"/>
      <c r="AW721" s="102"/>
      <c r="AX721" s="78"/>
      <c r="AY721" s="78"/>
      <c r="AZ721" s="78"/>
      <c r="BA721" s="78"/>
      <c r="BB721" s="78"/>
      <c r="BC721" s="78"/>
      <c r="BD721" s="78"/>
      <c r="BE721" s="465"/>
      <c r="BF721" s="165" t="str">
        <f t="shared" ref="BF721:BF784" si="538">"https://www.google.com/search?tbm=isch&amp;q=" &amp; _xlfn.ENCODEURL($A721 &amp; " " &amp; $D721)</f>
        <v>https://www.google.com/search?tbm=isch&amp;q=3%20G5</v>
      </c>
      <c r="BG721" s="165" t="str">
        <f t="shared" ref="BG721:BG784" si="539">IF(ISTEXT(A721),LEFT(A721,1),BG720)</f>
        <v>C</v>
      </c>
      <c r="BH721" s="65"/>
      <c r="BI721" s="65"/>
      <c r="BJ721" s="65"/>
      <c r="BK721" s="65"/>
      <c r="BL721" s="99"/>
      <c r="BM721" s="99"/>
      <c r="BN721" s="99"/>
    </row>
    <row r="722" spans="1:66" s="51" customFormat="1" ht="15.75" x14ac:dyDescent="0.25">
      <c r="A722" s="478">
        <v>7</v>
      </c>
      <c r="B722" s="479" t="s">
        <v>291</v>
      </c>
      <c r="C722" s="480" t="s">
        <v>1826</v>
      </c>
      <c r="D722" s="481" t="s">
        <v>299</v>
      </c>
      <c r="E722" s="482">
        <v>111.95</v>
      </c>
      <c r="F722" s="483" t="s">
        <v>292</v>
      </c>
      <c r="G722" s="484">
        <v>0</v>
      </c>
      <c r="H722" s="688" t="str">
        <f>IF(G722=0,"",IF(F722="Buy",IF(G722=1,"plant","plants"),IF(F722&gt;0.01,"warranty","Error")))</f>
        <v/>
      </c>
      <c r="I722" s="485">
        <f>IF(H722="free",0,IF(H722="credit",((E722*(F722))*G722*-1),IF(F722="Buy",(E722*G722),((E722*(1-F722))*G722))))</f>
        <v>0</v>
      </c>
      <c r="J722" s="485">
        <f>IF(H722="warranty",0,(I722*(_xlfn.SINGLE(SalesTaxPercentage))))</f>
        <v>0</v>
      </c>
      <c r="K722" s="715">
        <f t="shared" ref="K722" si="540">I722+J722</f>
        <v>0</v>
      </c>
      <c r="L722" s="715"/>
      <c r="M722" s="689" t="str">
        <f ca="1">IF(AND(G722&gt;0,E722=0),"WARNING - no PRICE inserted",IF(H722="free","FREE ~ no charge this plant",IF(H722="credit",CONCATENATE("-$",ROUND(K722*(1-_xlfn.SINGLE(T2GDiscount))*-1,2)," CREDIT after discount"),IF(_xlfn.SINGLE(T2GDiscount)=0,"",IF(G722=0,"",IF(F722="Buy",CONCATENATE("$",ROUND(K722*(1-_xlfn.SINGLE(T2GDiscount)),2)," with ",(_xlfn.SINGLE(T2GDiscount)*100),"% discount"),CONCATENATE("$",ROUND(K722*(1-_xlfn.SINGLE(T2GDiscount)),2)," with ",((_xlfn.SINGLE(T2GDiscount)*100+F722*100)-(_xlfn.SINGLE(T2GDiscount)*100*F722)),IF(F722&gt;0,"% discounts",IF(_xlfn.SINGLE(NoWarrantyDiscount)&gt;0,"% discounts","% discount")))))))))</f>
        <v/>
      </c>
      <c r="N722" s="690"/>
      <c r="O722" s="486"/>
      <c r="P722" s="486"/>
      <c r="Q722" s="486"/>
      <c r="R722" s="486"/>
      <c r="S722" s="486"/>
      <c r="T722" s="102">
        <f t="shared" si="527"/>
        <v>0</v>
      </c>
      <c r="U722" s="78">
        <f>IF(NOT(ISNUMBER(G722)), "", VLOOKUP(A722,'Discount Lookup'!D:E,2,FALSE)*G722)</f>
        <v>0</v>
      </c>
      <c r="V722" s="78">
        <f>IF(NOT(ISNUMBER(G722)), "", VLOOKUP(A722,'Discount Lookup'!G:H,2,FALSE)*G722)</f>
        <v>0</v>
      </c>
      <c r="W722" s="102">
        <f t="shared" si="528"/>
        <v>0</v>
      </c>
      <c r="X722" s="102">
        <f t="shared" si="529"/>
        <v>0</v>
      </c>
      <c r="Y722" s="120" t="b">
        <f t="shared" si="530"/>
        <v>0</v>
      </c>
      <c r="Z722" s="117">
        <f t="shared" si="531"/>
        <v>0</v>
      </c>
      <c r="AA722" s="118"/>
      <c r="AB722" s="118" t="str">
        <f t="shared" si="532"/>
        <v/>
      </c>
      <c r="AC722" s="712" t="str">
        <f>IF(AE722="T2G","no charge",IF(AND(OR(PlanterYesMe="No",PlanterYesMe="N",PlanterYesMe="me"),H722=""),"",IF(H722="credit","NO install",IF(AND(K722="",AE722="me"),"EACH row",IF(AND(K722="images",AE722="me"),"EACH row",IF(D722="","",IF(H722="credit","",IF(AE722="free","re-planting",IF(AE722="me","   not ELP, by",IF(AND(OR(PlanterYesMe="Yes",PlanterYesMe="Y"),G722&gt;0),(VLOOKUP(A722,'Discount Lookup'!J:K,2)*G722*(1-PlanterDiscount)*(1+PlanterDifficultyPercentage)),IF(AE722="ELP",(VLOOKUP(A722,'Discount Lookup'!J:K,2)*G722*(1-PlanterDiscount)*(1+PlanterDifficultyPercentage)),IF(AE722="free","re-planting",IF(G722=0,"",IF(PlanterYesMe="",IF(AE722="me","   not ELP, by",IF(AE722="",IF(G722&gt;0,(VLOOKUP(A722,'Discount Lookup'!J:K,2)*G722*(1-PlanterDiscount)*(1+PlanterDifficultyPercentage)),""),"")),"   not ELP, by"))))))))))))))</f>
        <v/>
      </c>
      <c r="AD722" s="712"/>
      <c r="AE722" s="513" t="str">
        <f t="shared" si="533"/>
        <v/>
      </c>
      <c r="AF722" s="713" t="str">
        <f t="shared" si="534"/>
        <v/>
      </c>
      <c r="AG722" s="713"/>
      <c r="AH722" s="713"/>
      <c r="AI722" s="112">
        <f>IF(H722="credit",0,IF(AE722="free",0,IF(AE722="me",0,IF(G722&gt;0,(VLOOKUP(A722,'Discount Lookup'!J:K,2)*G722),0))))</f>
        <v>0</v>
      </c>
      <c r="AJ722" s="107" t="str">
        <f t="shared" ca="1" si="535"/>
        <v/>
      </c>
      <c r="AK722" s="714" t="str">
        <f t="shared" si="536"/>
        <v/>
      </c>
      <c r="AL722" s="714"/>
      <c r="AM722" s="114" t="str">
        <f t="shared" si="537"/>
        <v/>
      </c>
      <c r="AN722" s="115"/>
      <c r="AO722" s="116"/>
      <c r="AP722" s="116"/>
      <c r="AQ722" s="116"/>
      <c r="AR722" s="116"/>
      <c r="AS722" s="116"/>
      <c r="AT722" s="116"/>
      <c r="AU722" s="116"/>
      <c r="AV722" s="78"/>
      <c r="AW722" s="102"/>
      <c r="AX722" s="78"/>
      <c r="AY722" s="78"/>
      <c r="AZ722" s="78"/>
      <c r="BA722" s="78"/>
      <c r="BB722" s="78"/>
      <c r="BC722" s="78"/>
      <c r="BD722" s="78"/>
      <c r="BE722" s="465"/>
      <c r="BF722" s="165" t="str">
        <f t="shared" si="538"/>
        <v>https://www.google.com/search?tbm=isch&amp;q=7%20G4</v>
      </c>
      <c r="BG722" s="165" t="str">
        <f t="shared" si="539"/>
        <v>C</v>
      </c>
      <c r="BH722" s="65"/>
      <c r="BI722" s="65"/>
      <c r="BJ722" s="65"/>
      <c r="BK722" s="65"/>
      <c r="BL722" s="99"/>
      <c r="BM722" s="99"/>
      <c r="BN722" s="99"/>
    </row>
    <row r="723" spans="1:66" s="51" customFormat="1" ht="15.75" x14ac:dyDescent="0.25">
      <c r="A723" s="478">
        <v>7</v>
      </c>
      <c r="B723" s="479" t="s">
        <v>291</v>
      </c>
      <c r="C723" s="480" t="s">
        <v>1827</v>
      </c>
      <c r="D723" s="481" t="s">
        <v>293</v>
      </c>
      <c r="E723" s="482">
        <v>111.95</v>
      </c>
      <c r="F723" s="483" t="s">
        <v>292</v>
      </c>
      <c r="G723" s="484">
        <v>0</v>
      </c>
      <c r="H723" s="688" t="str">
        <f>IF(G723=0,"",IF(F723="Buy",IF(G723=1,"plant","plants"),IF(F723&gt;0.01,"warranty","Error")))</f>
        <v/>
      </c>
      <c r="I723" s="485">
        <f>IF(H723="free",0,IF(H723="credit",((E723*(F723))*G723*-1),IF(F723="Buy",(E723*G723),((E723*(1-F723))*G723))))</f>
        <v>0</v>
      </c>
      <c r="J723" s="485">
        <f>IF(H723="warranty",0,(I723*(_xlfn.SINGLE(SalesTaxPercentage))))</f>
        <v>0</v>
      </c>
      <c r="K723" s="715">
        <f t="shared" ref="K723" si="541">I723+J723</f>
        <v>0</v>
      </c>
      <c r="L723" s="715"/>
      <c r="M723" s="689" t="str">
        <f ca="1">IF(AND(G723&gt;0,E723=0),"WARNING - no PRICE inserted",IF(H723="free","FREE ~ no charge this plant",IF(H723="credit",CONCATENATE("-$",ROUND(K723*(1-_xlfn.SINGLE(T2GDiscount))*-1,2)," CREDIT after discount"),IF(_xlfn.SINGLE(T2GDiscount)=0,"",IF(G723=0,"",IF(F723="Buy",CONCATENATE("$",ROUND(K723*(1-_xlfn.SINGLE(T2GDiscount)),2)," with ",(_xlfn.SINGLE(T2GDiscount)*100),"% discount"),CONCATENATE("$",ROUND(K723*(1-_xlfn.SINGLE(T2GDiscount)),2)," with ",((_xlfn.SINGLE(T2GDiscount)*100+F723*100)-(_xlfn.SINGLE(T2GDiscount)*100*F723)),IF(F723&gt;0,"% discounts",IF(_xlfn.SINGLE(NoWarrantyDiscount)&gt;0,"% discounts","% discount")))))))))</f>
        <v/>
      </c>
      <c r="N723" s="690"/>
      <c r="O723" s="486"/>
      <c r="P723" s="486"/>
      <c r="Q723" s="486"/>
      <c r="R723" s="486"/>
      <c r="S723" s="486"/>
      <c r="T723" s="102">
        <f t="shared" si="527"/>
        <v>0</v>
      </c>
      <c r="U723" s="78">
        <f>IF(NOT(ISNUMBER(G723)), "", VLOOKUP(A723,'Discount Lookup'!D:E,2,FALSE)*G723)</f>
        <v>0</v>
      </c>
      <c r="V723" s="78">
        <f>IF(NOT(ISNUMBER(G723)), "", VLOOKUP(A723,'Discount Lookup'!G:H,2,FALSE)*G723)</f>
        <v>0</v>
      </c>
      <c r="W723" s="102">
        <f t="shared" si="528"/>
        <v>0</v>
      </c>
      <c r="X723" s="102">
        <f t="shared" si="529"/>
        <v>0</v>
      </c>
      <c r="Y723" s="120" t="b">
        <f t="shared" si="530"/>
        <v>0</v>
      </c>
      <c r="Z723" s="117">
        <f t="shared" si="531"/>
        <v>0</v>
      </c>
      <c r="AA723" s="118"/>
      <c r="AB723" s="118" t="str">
        <f t="shared" si="532"/>
        <v/>
      </c>
      <c r="AC723" s="712" t="str">
        <f>IF(AE723="T2G","no charge",IF(AND(OR(PlanterYesMe="No",PlanterYesMe="N",PlanterYesMe="me"),H723=""),"",IF(H723="credit","NO install",IF(AND(K723="",AE723="me"),"EACH row",IF(AND(K723="images",AE723="me"),"EACH row",IF(D723="","",IF(H723="credit","",IF(AE723="free","re-planting",IF(AE723="me","   not ELP, by",IF(AND(OR(PlanterYesMe="Yes",PlanterYesMe="Y"),G723&gt;0),(VLOOKUP(A723,'Discount Lookup'!J:K,2)*G723*(1-PlanterDiscount)*(1+PlanterDifficultyPercentage)),IF(AE723="ELP",(VLOOKUP(A723,'Discount Lookup'!J:K,2)*G723*(1-PlanterDiscount)*(1+PlanterDifficultyPercentage)),IF(AE723="free","re-planting",IF(G723=0,"",IF(PlanterYesMe="",IF(AE723="me","   not ELP, by",IF(AE723="",IF(G723&gt;0,(VLOOKUP(A723,'Discount Lookup'!J:K,2)*G723*(1-PlanterDiscount)*(1+PlanterDifficultyPercentage)),""),"")),"   not ELP, by"))))))))))))))</f>
        <v/>
      </c>
      <c r="AD723" s="712"/>
      <c r="AE723" s="513" t="str">
        <f t="shared" si="533"/>
        <v/>
      </c>
      <c r="AF723" s="713" t="str">
        <f t="shared" si="534"/>
        <v/>
      </c>
      <c r="AG723" s="713"/>
      <c r="AH723" s="713"/>
      <c r="AI723" s="112">
        <f>IF(H723="credit",0,IF(AE723="free",0,IF(AE723="me",0,IF(G723&gt;0,(VLOOKUP(A723,'Discount Lookup'!J:K,2)*G723),0))))</f>
        <v>0</v>
      </c>
      <c r="AJ723" s="107" t="str">
        <f t="shared" ca="1" si="535"/>
        <v/>
      </c>
      <c r="AK723" s="714" t="str">
        <f t="shared" si="536"/>
        <v/>
      </c>
      <c r="AL723" s="714"/>
      <c r="AM723" s="114" t="str">
        <f t="shared" si="537"/>
        <v/>
      </c>
      <c r="AN723" s="115"/>
      <c r="AO723" s="116"/>
      <c r="AP723" s="116"/>
      <c r="AQ723" s="116"/>
      <c r="AR723" s="116"/>
      <c r="AS723" s="116"/>
      <c r="AT723" s="116"/>
      <c r="AU723" s="116"/>
      <c r="AV723" s="78"/>
      <c r="AW723" s="102"/>
      <c r="AX723" s="78"/>
      <c r="AY723" s="78"/>
      <c r="AZ723" s="78"/>
      <c r="BA723" s="78"/>
      <c r="BB723" s="78"/>
      <c r="BC723" s="78"/>
      <c r="BD723" s="78"/>
      <c r="BE723" s="465"/>
      <c r="BF723" s="165" t="str">
        <f t="shared" si="538"/>
        <v>https://www.google.com/search?tbm=isch&amp;q=7%20G6</v>
      </c>
      <c r="BG723" s="165" t="str">
        <f t="shared" si="539"/>
        <v>C</v>
      </c>
      <c r="BH723" s="65"/>
      <c r="BI723" s="65"/>
      <c r="BJ723" s="65"/>
      <c r="BK723" s="65"/>
      <c r="BL723" s="99"/>
      <c r="BM723" s="99"/>
      <c r="BN723" s="99"/>
    </row>
    <row r="724" spans="1:66" s="51" customFormat="1" ht="17.25" thickBot="1" x14ac:dyDescent="0.3">
      <c r="A724" s="508" t="s">
        <v>1828</v>
      </c>
      <c r="B724" s="487"/>
      <c r="C724" s="707"/>
      <c r="D724" s="487"/>
      <c r="E724" s="487"/>
      <c r="F724" s="488"/>
      <c r="G724" s="489"/>
      <c r="H724" s="487"/>
      <c r="I724" s="490"/>
      <c r="J724" s="490"/>
      <c r="K724" s="491"/>
      <c r="L724" s="547"/>
      <c r="M724" s="528"/>
      <c r="N724" s="492"/>
      <c r="O724" s="493"/>
      <c r="P724" s="494"/>
      <c r="Q724" s="492"/>
      <c r="R724" s="492"/>
      <c r="S724" s="699" t="s">
        <v>5275</v>
      </c>
      <c r="T724" s="102">
        <f t="shared" si="527"/>
        <v>0</v>
      </c>
      <c r="U724" s="78" t="str">
        <f>IF(NOT(ISNUMBER(G724)), "", VLOOKUP(A724,'Discount Lookup'!D:E,2,FALSE)*G724)</f>
        <v/>
      </c>
      <c r="V724" s="78" t="str">
        <f>IF(NOT(ISNUMBER(G724)), "", VLOOKUP(A724,'Discount Lookup'!G:H,2,FALSE)*G724)</f>
        <v/>
      </c>
      <c r="W724" s="102">
        <f t="shared" si="528"/>
        <v>0</v>
      </c>
      <c r="X724" s="102">
        <f t="shared" si="529"/>
        <v>0</v>
      </c>
      <c r="Y724" s="120" t="b">
        <f t="shared" si="530"/>
        <v>0</v>
      </c>
      <c r="Z724" s="117">
        <f t="shared" si="531"/>
        <v>0</v>
      </c>
      <c r="AA724" s="118"/>
      <c r="AB724" s="118" t="str">
        <f t="shared" si="532"/>
        <v/>
      </c>
      <c r="AC724" s="712" t="str">
        <f>IF(AE724="T2G","no charge",IF(AND(OR(PlanterYesMe="No",PlanterYesMe="N",PlanterYesMe="me"),H724=""),"",IF(H724="credit","NO install",IF(AND(K724="",AE724="me"),"EACH row",IF(AND(K724="images",AE724="me"),"EACH row",IF(D724="","",IF(H724="credit","",IF(AE724="free","re-planting",IF(AE724="me","   not ELP, by",IF(AND(OR(PlanterYesMe="Yes",PlanterYesMe="Y"),G724&gt;0),(VLOOKUP(A724,'Discount Lookup'!J:K,2)*G724*(1-PlanterDiscount)*(1+PlanterDifficultyPercentage)),IF(AE724="ELP",(VLOOKUP(A724,'Discount Lookup'!J:K,2)*G724*(1-PlanterDiscount)*(1+PlanterDifficultyPercentage)),IF(AE724="free","re-planting",IF(G724=0,"",IF(PlanterYesMe="",IF(AE724="me","   not ELP, by",IF(AE724="",IF(G724&gt;0,(VLOOKUP(A724,'Discount Lookup'!J:K,2)*G724*(1-PlanterDiscount)*(1+PlanterDifficultyPercentage)),""),"")),"   not ELP, by"))))))))))))))</f>
        <v/>
      </c>
      <c r="AD724" s="712"/>
      <c r="AE724" s="513" t="str">
        <f t="shared" si="533"/>
        <v/>
      </c>
      <c r="AF724" s="713" t="str">
        <f t="shared" si="534"/>
        <v/>
      </c>
      <c r="AG724" s="713"/>
      <c r="AH724" s="713"/>
      <c r="AI724" s="112">
        <f>IF(H724="credit",0,IF(AE724="free",0,IF(AE724="me",0,IF(G724&gt;0,(VLOOKUP(A724,'Discount Lookup'!J:K,2)*G724),0))))</f>
        <v>0</v>
      </c>
      <c r="AJ724" s="107" t="str">
        <f t="shared" ca="1" si="535"/>
        <v/>
      </c>
      <c r="AK724" s="714" t="str">
        <f t="shared" si="536"/>
        <v/>
      </c>
      <c r="AL724" s="714"/>
      <c r="AM724" s="114" t="str">
        <f t="shared" si="537"/>
        <v/>
      </c>
      <c r="AN724" s="115"/>
      <c r="AO724" s="116"/>
      <c r="AP724" s="116"/>
      <c r="AQ724" s="116"/>
      <c r="AR724" s="116"/>
      <c r="AS724" s="116"/>
      <c r="AT724" s="116"/>
      <c r="AU724" s="116"/>
      <c r="AV724" s="78"/>
      <c r="AW724" s="102"/>
      <c r="AX724" s="78"/>
      <c r="AY724" s="78"/>
      <c r="AZ724" s="78"/>
      <c r="BA724" s="78"/>
      <c r="BB724" s="78"/>
      <c r="BC724" s="78"/>
      <c r="BD724" s="78"/>
      <c r="BE724" s="465"/>
      <c r="BF724" s="165" t="str">
        <f t="shared" si="538"/>
        <v>https://www.google.com/search?tbm=isch&amp;q=October%20Magic%20Orchid%20has%20fragrant%20Blush-Pink%20blooms%20with%20Orchid%20highlights%20and%20glossy%20evergreen%20foliage%2C%20blooming%20profusely%20in%20fall%20</v>
      </c>
      <c r="BG724" s="165" t="str">
        <f t="shared" si="539"/>
        <v>O</v>
      </c>
      <c r="BH724" s="65"/>
      <c r="BI724" s="65"/>
      <c r="BJ724" s="65"/>
      <c r="BK724" s="65"/>
      <c r="BL724" s="99"/>
      <c r="BM724" s="99"/>
      <c r="BN724" s="99"/>
    </row>
    <row r="725" spans="1:66" s="51" customFormat="1" ht="18" x14ac:dyDescent="0.25">
      <c r="A725" s="507" t="s">
        <v>1829</v>
      </c>
      <c r="B725" s="470"/>
      <c r="C725" s="706"/>
      <c r="D725" s="471" t="s">
        <v>5610</v>
      </c>
      <c r="E725" s="472"/>
      <c r="F725" s="472"/>
      <c r="G725" s="472"/>
      <c r="H725" s="622" t="s">
        <v>1270</v>
      </c>
      <c r="I725" s="473" t="s">
        <v>350</v>
      </c>
      <c r="J725" s="472"/>
      <c r="K725" s="472"/>
      <c r="L725" s="561"/>
      <c r="M725" s="698" t="s">
        <v>5246</v>
      </c>
      <c r="N725" s="692" t="str">
        <f>IF(AND(ISTEXT($A725), ISERROR($A725+0)), HYPERLINK($BF725, "Images"), "")</f>
        <v>Images</v>
      </c>
      <c r="O725" s="694" t="s">
        <v>5247</v>
      </c>
      <c r="P725" s="475"/>
      <c r="Q725" s="476"/>
      <c r="R725" s="476"/>
      <c r="S725" s="477"/>
      <c r="T725" s="102">
        <f t="shared" si="527"/>
        <v>0</v>
      </c>
      <c r="U725" s="78" t="str">
        <f>IF(NOT(ISNUMBER(G725)), "", VLOOKUP(A725,'Discount Lookup'!D:E,2,FALSE)*G725)</f>
        <v/>
      </c>
      <c r="V725" s="78" t="str">
        <f>IF(NOT(ISNUMBER(G725)), "", VLOOKUP(A725,'Discount Lookup'!G:H,2,FALSE)*G725)</f>
        <v/>
      </c>
      <c r="W725" s="102">
        <f t="shared" si="528"/>
        <v>0</v>
      </c>
      <c r="X725" s="102" t="str">
        <f t="shared" si="529"/>
        <v>Creamy White bloom</v>
      </c>
      <c r="Y725" s="120" t="b">
        <f t="shared" si="530"/>
        <v>0</v>
      </c>
      <c r="Z725" s="117">
        <f t="shared" si="531"/>
        <v>0</v>
      </c>
      <c r="AA725" s="118"/>
      <c r="AB725" s="118" t="str">
        <f t="shared" si="532"/>
        <v/>
      </c>
      <c r="AC725" s="712" t="str">
        <f>IF(AE725="T2G","no charge",IF(AND(OR(PlanterYesMe="No",PlanterYesMe="N",PlanterYesMe="me"),H725=""),"",IF(H725="credit","NO install",IF(AND(K725="",AE725="me"),"EACH row",IF(AND(K725="images",AE725="me"),"EACH row",IF(D725="","",IF(H725="credit","",IF(AE725="free","re-planting",IF(AE725="me","   not ELP, by",IF(AND(OR(PlanterYesMe="Yes",PlanterYesMe="Y"),G725&gt;0),(VLOOKUP(A725,'Discount Lookup'!J:K,2)*G725*(1-PlanterDiscount)*(1+PlanterDifficultyPercentage)),IF(AE725="ELP",(VLOOKUP(A725,'Discount Lookup'!J:K,2)*G725*(1-PlanterDiscount)*(1+PlanterDifficultyPercentage)),IF(AE725="free","re-planting",IF(G725=0,"",IF(PlanterYesMe="",IF(AE725="me","   not ELP, by",IF(AE725="",IF(G725&gt;0,(VLOOKUP(A725,'Discount Lookup'!J:K,2)*G725*(1-PlanterDiscount)*(1+PlanterDifficultyPercentage)),""),"")),"   not ELP, by"))))))))))))))</f>
        <v/>
      </c>
      <c r="AD725" s="712"/>
      <c r="AE725" s="513" t="str">
        <f t="shared" si="533"/>
        <v/>
      </c>
      <c r="AF725" s="713" t="str">
        <f t="shared" si="534"/>
        <v/>
      </c>
      <c r="AG725" s="713"/>
      <c r="AH725" s="713"/>
      <c r="AI725" s="112">
        <f>IF(H725="credit",0,IF(AE725="free",0,IF(AE725="me",0,IF(G725&gt;0,(VLOOKUP(A725,'Discount Lookup'!J:K,2)*G725),0))))</f>
        <v>0</v>
      </c>
      <c r="AJ725" s="107" t="str">
        <f t="shared" ca="1" si="535"/>
        <v/>
      </c>
      <c r="AK725" s="714" t="str">
        <f t="shared" si="536"/>
        <v/>
      </c>
      <c r="AL725" s="714"/>
      <c r="AM725" s="114" t="str">
        <f t="shared" si="537"/>
        <v/>
      </c>
      <c r="AN725" s="115"/>
      <c r="AO725" s="116"/>
      <c r="AP725" s="116"/>
      <c r="AQ725" s="116"/>
      <c r="AR725" s="116"/>
      <c r="AS725" s="116"/>
      <c r="AT725" s="116"/>
      <c r="AU725" s="116"/>
      <c r="AV725" s="78"/>
      <c r="AW725" s="102"/>
      <c r="AX725" s="78"/>
      <c r="AY725" s="78"/>
      <c r="AZ725" s="78"/>
      <c r="BA725" s="78"/>
      <c r="BB725" s="78"/>
      <c r="BC725" s="78"/>
      <c r="BD725" s="78"/>
      <c r="BE725" s="465"/>
      <c r="BF725" s="165" t="str">
        <f t="shared" si="538"/>
        <v>https://www.google.com/search?tbm=isch&amp;q=Camellia%20sasanqua%20%27Green%20S99-016%27%20PP%2324887%20October%20Magic%C2%AE%20Ivory%E2%84%A2%20Camellia</v>
      </c>
      <c r="BG725" s="165" t="str">
        <f t="shared" si="539"/>
        <v>C</v>
      </c>
      <c r="BH725" s="65"/>
      <c r="BI725" s="65"/>
      <c r="BJ725" s="65"/>
      <c r="BK725" s="65"/>
      <c r="BL725" s="99"/>
      <c r="BM725" s="99"/>
      <c r="BN725" s="99"/>
    </row>
    <row r="726" spans="1:66" s="51" customFormat="1" ht="15.75" x14ac:dyDescent="0.25">
      <c r="A726" s="478">
        <v>3</v>
      </c>
      <c r="B726" s="479" t="s">
        <v>291</v>
      </c>
      <c r="C726" s="480" t="s">
        <v>1689</v>
      </c>
      <c r="D726" s="481" t="s">
        <v>329</v>
      </c>
      <c r="E726" s="482">
        <v>37.950000000000003</v>
      </c>
      <c r="F726" s="483" t="s">
        <v>292</v>
      </c>
      <c r="G726" s="484">
        <v>0</v>
      </c>
      <c r="H726" s="688" t="str">
        <f>IF(G726=0,"",IF(F726="Buy",IF(G726=1,"plant","plants"),IF(F726&gt;0.01,"warranty","Error")))</f>
        <v/>
      </c>
      <c r="I726" s="485">
        <f>IF(H726="free",0,IF(H726="credit",((E726*(F726))*G726*-1),IF(F726="Buy",(E726*G726),((E726*(1-F726))*G726))))</f>
        <v>0</v>
      </c>
      <c r="J726" s="485">
        <f>IF(H726="warranty",0,(I726*(_xlfn.SINGLE(SalesTaxPercentage))))</f>
        <v>0</v>
      </c>
      <c r="K726" s="715">
        <f t="shared" ref="K726" si="542">I726+J726</f>
        <v>0</v>
      </c>
      <c r="L726" s="715"/>
      <c r="M726" s="689" t="str">
        <f ca="1">IF(AND(G726&gt;0,E726=0),"WARNING - no PRICE inserted",IF(H726="free","FREE ~ no charge this plant",IF(H726="credit",CONCATENATE("-$",ROUND(K726*(1-_xlfn.SINGLE(T2GDiscount))*-1,2)," CREDIT after discount"),IF(_xlfn.SINGLE(T2GDiscount)=0,"",IF(G726=0,"",IF(F726="Buy",CONCATENATE("$",ROUND(K726*(1-_xlfn.SINGLE(T2GDiscount)),2)," with ",(_xlfn.SINGLE(T2GDiscount)*100),"% discount"),CONCATENATE("$",ROUND(K726*(1-_xlfn.SINGLE(T2GDiscount)),2)," with ",((_xlfn.SINGLE(T2GDiscount)*100+F726*100)-(_xlfn.SINGLE(T2GDiscount)*100*F726)),IF(F726&gt;0,"% discounts",IF(_xlfn.SINGLE(NoWarrantyDiscount)&gt;0,"% discounts","% discount")))))))))</f>
        <v/>
      </c>
      <c r="N726" s="690"/>
      <c r="O726" s="486"/>
      <c r="P726" s="486"/>
      <c r="Q726" s="486"/>
      <c r="R726" s="486"/>
      <c r="S726" s="486"/>
      <c r="T726" s="102">
        <f t="shared" si="527"/>
        <v>0</v>
      </c>
      <c r="U726" s="78">
        <f>IF(NOT(ISNUMBER(G726)), "", VLOOKUP(A726,'Discount Lookup'!D:E,2,FALSE)*G726)</f>
        <v>0</v>
      </c>
      <c r="V726" s="78">
        <f>IF(NOT(ISNUMBER(G726)), "", VLOOKUP(A726,'Discount Lookup'!G:H,2,FALSE)*G726)</f>
        <v>0</v>
      </c>
      <c r="W726" s="102">
        <f t="shared" si="528"/>
        <v>0</v>
      </c>
      <c r="X726" s="102">
        <f t="shared" si="529"/>
        <v>0</v>
      </c>
      <c r="Y726" s="120" t="b">
        <f t="shared" si="530"/>
        <v>0</v>
      </c>
      <c r="Z726" s="117">
        <f t="shared" si="531"/>
        <v>0</v>
      </c>
      <c r="AA726" s="118"/>
      <c r="AB726" s="118" t="str">
        <f t="shared" si="532"/>
        <v/>
      </c>
      <c r="AC726" s="712" t="str">
        <f>IF(AE726="T2G","no charge",IF(AND(OR(PlanterYesMe="No",PlanterYesMe="N",PlanterYesMe="me"),H726=""),"",IF(H726="credit","NO install",IF(AND(K726="",AE726="me"),"EACH row",IF(AND(K726="images",AE726="me"),"EACH row",IF(D726="","",IF(H726="credit","",IF(AE726="free","re-planting",IF(AE726="me","   not ELP, by",IF(AND(OR(PlanterYesMe="Yes",PlanterYesMe="Y"),G726&gt;0),(VLOOKUP(A726,'Discount Lookup'!J:K,2)*G726*(1-PlanterDiscount)*(1+PlanterDifficultyPercentage)),IF(AE726="ELP",(VLOOKUP(A726,'Discount Lookup'!J:K,2)*G726*(1-PlanterDiscount)*(1+PlanterDifficultyPercentage)),IF(AE726="free","re-planting",IF(G726=0,"",IF(PlanterYesMe="",IF(AE726="me","   not ELP, by",IF(AE726="",IF(G726&gt;0,(VLOOKUP(A726,'Discount Lookup'!J:K,2)*G726*(1-PlanterDiscount)*(1+PlanterDifficultyPercentage)),""),"")),"   not ELP, by"))))))))))))))</f>
        <v/>
      </c>
      <c r="AD726" s="712"/>
      <c r="AE726" s="513" t="str">
        <f t="shared" si="533"/>
        <v/>
      </c>
      <c r="AF726" s="713" t="str">
        <f t="shared" si="534"/>
        <v/>
      </c>
      <c r="AG726" s="713"/>
      <c r="AH726" s="713"/>
      <c r="AI726" s="112">
        <f>IF(H726="credit",0,IF(AE726="free",0,IF(AE726="me",0,IF(G726&gt;0,(VLOOKUP(A726,'Discount Lookup'!J:K,2)*G726),0))))</f>
        <v>0</v>
      </c>
      <c r="AJ726" s="107" t="str">
        <f t="shared" ca="1" si="535"/>
        <v/>
      </c>
      <c r="AK726" s="714" t="str">
        <f t="shared" si="536"/>
        <v/>
      </c>
      <c r="AL726" s="714"/>
      <c r="AM726" s="114" t="str">
        <f t="shared" si="537"/>
        <v/>
      </c>
      <c r="AN726" s="115"/>
      <c r="AO726" s="116"/>
      <c r="AP726" s="116"/>
      <c r="AQ726" s="116"/>
      <c r="AR726" s="116"/>
      <c r="AS726" s="116"/>
      <c r="AT726" s="116"/>
      <c r="AU726" s="116"/>
      <c r="AV726" s="78"/>
      <c r="AW726" s="102"/>
      <c r="AX726" s="78"/>
      <c r="AY726" s="78"/>
      <c r="AZ726" s="78"/>
      <c r="BA726" s="78"/>
      <c r="BB726" s="78"/>
      <c r="BC726" s="78"/>
      <c r="BD726" s="78"/>
      <c r="BE726" s="465"/>
      <c r="BF726" s="165" t="str">
        <f t="shared" si="538"/>
        <v>https://www.google.com/search?tbm=isch&amp;q=3%20G2</v>
      </c>
      <c r="BG726" s="165" t="str">
        <f t="shared" si="539"/>
        <v>C</v>
      </c>
      <c r="BH726" s="65"/>
      <c r="BI726" s="65"/>
      <c r="BJ726" s="65"/>
      <c r="BK726" s="65"/>
      <c r="BL726" s="99"/>
      <c r="BM726" s="99"/>
      <c r="BN726" s="99"/>
    </row>
    <row r="727" spans="1:66" s="51" customFormat="1" ht="17.25" thickBot="1" x14ac:dyDescent="0.3">
      <c r="A727" s="508" t="s">
        <v>5133</v>
      </c>
      <c r="B727" s="487"/>
      <c r="C727" s="707"/>
      <c r="D727" s="487"/>
      <c r="E727" s="487"/>
      <c r="F727" s="488"/>
      <c r="G727" s="489"/>
      <c r="H727" s="487"/>
      <c r="I727" s="490"/>
      <c r="J727" s="490"/>
      <c r="K727" s="491"/>
      <c r="L727" s="547"/>
      <c r="M727" s="528"/>
      <c r="N727" s="492"/>
      <c r="O727" s="493"/>
      <c r="P727" s="494"/>
      <c r="Q727" s="492"/>
      <c r="R727" s="492"/>
      <c r="S727" s="699" t="s">
        <v>5275</v>
      </c>
      <c r="T727" s="102">
        <f t="shared" si="527"/>
        <v>0</v>
      </c>
      <c r="U727" s="78" t="str">
        <f>IF(NOT(ISNUMBER(G727)), "", VLOOKUP(A727,'Discount Lookup'!D:E,2,FALSE)*G727)</f>
        <v/>
      </c>
      <c r="V727" s="78" t="str">
        <f>IF(NOT(ISNUMBER(G727)), "", VLOOKUP(A727,'Discount Lookup'!G:H,2,FALSE)*G727)</f>
        <v/>
      </c>
      <c r="W727" s="102">
        <f t="shared" si="528"/>
        <v>0</v>
      </c>
      <c r="X727" s="102">
        <f t="shared" si="529"/>
        <v>0</v>
      </c>
      <c r="Y727" s="120" t="b">
        <f t="shared" si="530"/>
        <v>0</v>
      </c>
      <c r="Z727" s="117">
        <f t="shared" si="531"/>
        <v>0</v>
      </c>
      <c r="AA727" s="118"/>
      <c r="AB727" s="118" t="str">
        <f t="shared" si="532"/>
        <v/>
      </c>
      <c r="AC727" s="712" t="str">
        <f>IF(AE727="T2G","no charge",IF(AND(OR(PlanterYesMe="No",PlanterYesMe="N",PlanterYesMe="me"),H727=""),"",IF(H727="credit","NO install",IF(AND(K727="",AE727="me"),"EACH row",IF(AND(K727="images",AE727="me"),"EACH row",IF(D727="","",IF(H727="credit","",IF(AE727="free","re-planting",IF(AE727="me","   not ELP, by",IF(AND(OR(PlanterYesMe="Yes",PlanterYesMe="Y"),G727&gt;0),(VLOOKUP(A727,'Discount Lookup'!J:K,2)*G727*(1-PlanterDiscount)*(1+PlanterDifficultyPercentage)),IF(AE727="ELP",(VLOOKUP(A727,'Discount Lookup'!J:K,2)*G727*(1-PlanterDiscount)*(1+PlanterDifficultyPercentage)),IF(AE727="free","re-planting",IF(G727=0,"",IF(PlanterYesMe="",IF(AE727="me","   not ELP, by",IF(AE727="",IF(G727&gt;0,(VLOOKUP(A727,'Discount Lookup'!J:K,2)*G727*(1-PlanterDiscount)*(1+PlanterDifficultyPercentage)),""),"")),"   not ELP, by"))))))))))))))</f>
        <v/>
      </c>
      <c r="AD727" s="712"/>
      <c r="AE727" s="513" t="str">
        <f t="shared" si="533"/>
        <v/>
      </c>
      <c r="AF727" s="713" t="str">
        <f t="shared" si="534"/>
        <v/>
      </c>
      <c r="AG727" s="713"/>
      <c r="AH727" s="713"/>
      <c r="AI727" s="112">
        <f>IF(H727="credit",0,IF(AE727="free",0,IF(AE727="me",0,IF(G727&gt;0,(VLOOKUP(A727,'Discount Lookup'!J:K,2)*G727),0))))</f>
        <v>0</v>
      </c>
      <c r="AJ727" s="107" t="str">
        <f t="shared" ca="1" si="535"/>
        <v/>
      </c>
      <c r="AK727" s="714" t="str">
        <f t="shared" si="536"/>
        <v/>
      </c>
      <c r="AL727" s="714"/>
      <c r="AM727" s="114" t="str">
        <f t="shared" si="537"/>
        <v/>
      </c>
      <c r="AN727" s="115"/>
      <c r="AO727" s="116"/>
      <c r="AP727" s="116"/>
      <c r="AQ727" s="116"/>
      <c r="AR727" s="116"/>
      <c r="AS727" s="116"/>
      <c r="AT727" s="116"/>
      <c r="AU727" s="116"/>
      <c r="AV727" s="78"/>
      <c r="AW727" s="102"/>
      <c r="AX727" s="78"/>
      <c r="AY727" s="78"/>
      <c r="AZ727" s="78"/>
      <c r="BA727" s="78"/>
      <c r="BB727" s="78"/>
      <c r="BC727" s="78"/>
      <c r="BD727" s="78"/>
      <c r="BE727" s="465"/>
      <c r="BF727" s="165" t="str">
        <f t="shared" si="538"/>
        <v>https://www.google.com/search?tbm=isch&amp;q=October%20Magic%20Ivory%20has%20glossy%20dark%20Green%20foliage%20and%20is%20known%20for%20its%20prolific%2C%20slightly%20fragrant%20double%20blooms%20and%20upright%20form%20</v>
      </c>
      <c r="BG727" s="165" t="str">
        <f t="shared" si="539"/>
        <v>O</v>
      </c>
      <c r="BH727" s="65"/>
      <c r="BI727" s="65"/>
      <c r="BJ727" s="65"/>
      <c r="BK727" s="65"/>
      <c r="BL727" s="99"/>
      <c r="BM727" s="99"/>
      <c r="BN727" s="99"/>
    </row>
    <row r="728" spans="1:66" s="51" customFormat="1" ht="18" x14ac:dyDescent="0.25">
      <c r="A728" s="507" t="s">
        <v>1830</v>
      </c>
      <c r="B728" s="470"/>
      <c r="C728" s="706"/>
      <c r="D728" s="471" t="s">
        <v>1831</v>
      </c>
      <c r="E728" s="472"/>
      <c r="F728" s="472"/>
      <c r="G728" s="472"/>
      <c r="H728" s="622" t="s">
        <v>1246</v>
      </c>
      <c r="I728" s="473" t="s">
        <v>1832</v>
      </c>
      <c r="J728" s="472"/>
      <c r="K728" s="472"/>
      <c r="L728" s="561"/>
      <c r="M728" s="703" t="s">
        <v>5274</v>
      </c>
      <c r="N728" s="692" t="str">
        <f>IF(AND(ISTEXT($A728), ISERROR($A728+0)), HYPERLINK($BF728, "Images"), "")</f>
        <v>Images</v>
      </c>
      <c r="O728" s="694" t="s">
        <v>5247</v>
      </c>
      <c r="P728" s="475"/>
      <c r="Q728" s="476"/>
      <c r="R728" s="476"/>
      <c r="S728" s="477"/>
      <c r="T728" s="102">
        <f t="shared" si="527"/>
        <v>0</v>
      </c>
      <c r="U728" s="78" t="str">
        <f>IF(NOT(ISNUMBER(G728)), "", VLOOKUP(A728,'Discount Lookup'!D:E,2,FALSE)*G728)</f>
        <v/>
      </c>
      <c r="V728" s="78" t="str">
        <f>IF(NOT(ISNUMBER(G728)), "", VLOOKUP(A728,'Discount Lookup'!G:H,2,FALSE)*G728)</f>
        <v/>
      </c>
      <c r="W728" s="102">
        <f t="shared" si="528"/>
        <v>0</v>
      </c>
      <c r="X728" s="102" t="str">
        <f t="shared" si="529"/>
        <v>White bloom, Pink margins</v>
      </c>
      <c r="Y728" s="120" t="b">
        <f t="shared" si="530"/>
        <v>0</v>
      </c>
      <c r="Z728" s="117">
        <f t="shared" si="531"/>
        <v>0</v>
      </c>
      <c r="AA728" s="118"/>
      <c r="AB728" s="118" t="str">
        <f t="shared" si="532"/>
        <v/>
      </c>
      <c r="AC728" s="712" t="str">
        <f>IF(AE728="T2G","no charge",IF(AND(OR(PlanterYesMe="No",PlanterYesMe="N",PlanterYesMe="me"),H728=""),"",IF(H728="credit","NO install",IF(AND(K728="",AE728="me"),"EACH row",IF(AND(K728="images",AE728="me"),"EACH row",IF(D728="","",IF(H728="credit","",IF(AE728="free","re-planting",IF(AE728="me","   not ELP, by",IF(AND(OR(PlanterYesMe="Yes",PlanterYesMe="Y"),G728&gt;0),(VLOOKUP(A728,'Discount Lookup'!J:K,2)*G728*(1-PlanterDiscount)*(1+PlanterDifficultyPercentage)),IF(AE728="ELP",(VLOOKUP(A728,'Discount Lookup'!J:K,2)*G728*(1-PlanterDiscount)*(1+PlanterDifficultyPercentage)),IF(AE728="free","re-planting",IF(G728=0,"",IF(PlanterYesMe="",IF(AE728="me","   not ELP, by",IF(AE728="",IF(G728&gt;0,(VLOOKUP(A728,'Discount Lookup'!J:K,2)*G728*(1-PlanterDiscount)*(1+PlanterDifficultyPercentage)),""),"")),"   not ELP, by"))))))))))))))</f>
        <v/>
      </c>
      <c r="AD728" s="712"/>
      <c r="AE728" s="513" t="str">
        <f t="shared" si="533"/>
        <v/>
      </c>
      <c r="AF728" s="713" t="str">
        <f t="shared" si="534"/>
        <v/>
      </c>
      <c r="AG728" s="713"/>
      <c r="AH728" s="713"/>
      <c r="AI728" s="112">
        <f>IF(H728="credit",0,IF(AE728="free",0,IF(AE728="me",0,IF(G728&gt;0,(VLOOKUP(A728,'Discount Lookup'!J:K,2)*G728),0))))</f>
        <v>0</v>
      </c>
      <c r="AJ728" s="107" t="str">
        <f t="shared" ca="1" si="535"/>
        <v/>
      </c>
      <c r="AK728" s="714" t="str">
        <f t="shared" si="536"/>
        <v/>
      </c>
      <c r="AL728" s="714"/>
      <c r="AM728" s="114" t="str">
        <f t="shared" si="537"/>
        <v/>
      </c>
      <c r="AN728" s="115"/>
      <c r="AO728" s="116"/>
      <c r="AP728" s="116"/>
      <c r="AQ728" s="116"/>
      <c r="AR728" s="116"/>
      <c r="AS728" s="116"/>
      <c r="AT728" s="116"/>
      <c r="AU728" s="116"/>
      <c r="AV728" s="78"/>
      <c r="AW728" s="102"/>
      <c r="AX728" s="78"/>
      <c r="AY728" s="78"/>
      <c r="AZ728" s="78"/>
      <c r="BA728" s="78"/>
      <c r="BB728" s="78"/>
      <c r="BC728" s="78"/>
      <c r="BD728" s="78"/>
      <c r="BE728" s="465"/>
      <c r="BF728" s="165" t="str">
        <f t="shared" si="538"/>
        <v>https://www.google.com/search?tbm=isch&amp;q=Camellia%20sasanqua%20%27Hana%20Jiman%27%20Hana%20Jiman%20Camellia</v>
      </c>
      <c r="BG728" s="165" t="str">
        <f t="shared" si="539"/>
        <v>C</v>
      </c>
      <c r="BH728" s="65"/>
      <c r="BI728" s="65"/>
      <c r="BJ728" s="65"/>
      <c r="BK728" s="65"/>
      <c r="BL728" s="99"/>
      <c r="BM728" s="99"/>
      <c r="BN728" s="99"/>
    </row>
    <row r="729" spans="1:66" s="51" customFormat="1" ht="15.75" x14ac:dyDescent="0.25">
      <c r="A729" s="478">
        <v>7</v>
      </c>
      <c r="B729" s="479" t="s">
        <v>291</v>
      </c>
      <c r="C729" s="480" t="s">
        <v>1833</v>
      </c>
      <c r="D729" s="481" t="s">
        <v>309</v>
      </c>
      <c r="E729" s="482">
        <v>83.95</v>
      </c>
      <c r="F729" s="483" t="s">
        <v>292</v>
      </c>
      <c r="G729" s="484">
        <v>0</v>
      </c>
      <c r="H729" s="688" t="str">
        <f>IF(G729=0,"",IF(F729="Buy",IF(G729=1,"plant","plants"),IF(F729&gt;0.01,"warranty","Error")))</f>
        <v/>
      </c>
      <c r="I729" s="485">
        <f>IF(H729="free",0,IF(H729="credit",((E729*(F729))*G729*-1),IF(F729="Buy",(E729*G729),((E729*(1-F729))*G729))))</f>
        <v>0</v>
      </c>
      <c r="J729" s="485">
        <f>IF(H729="warranty",0,(I729*(_xlfn.SINGLE(SalesTaxPercentage))))</f>
        <v>0</v>
      </c>
      <c r="K729" s="715">
        <f t="shared" ref="K729" si="543">I729+J729</f>
        <v>0</v>
      </c>
      <c r="L729" s="715"/>
      <c r="M729" s="689" t="str">
        <f ca="1">IF(AND(G729&gt;0,E729=0),"WARNING - no PRICE inserted",IF(H729="free","FREE ~ no charge this plant",IF(H729="credit",CONCATENATE("-$",ROUND(K729*(1-_xlfn.SINGLE(T2GDiscount))*-1,2)," CREDIT after discount"),IF(_xlfn.SINGLE(T2GDiscount)=0,"",IF(G729=0,"",IF(F729="Buy",CONCATENATE("$",ROUND(K729*(1-_xlfn.SINGLE(T2GDiscount)),2)," with ",(_xlfn.SINGLE(T2GDiscount)*100),"% discount"),CONCATENATE("$",ROUND(K729*(1-_xlfn.SINGLE(T2GDiscount)),2)," with ",((_xlfn.SINGLE(T2GDiscount)*100+F729*100)-(_xlfn.SINGLE(T2GDiscount)*100*F729)),IF(F729&gt;0,"% discounts",IF(_xlfn.SINGLE(NoWarrantyDiscount)&gt;0,"% discounts","% discount")))))))))</f>
        <v/>
      </c>
      <c r="N729" s="690"/>
      <c r="O729" s="486"/>
      <c r="P729" s="486"/>
      <c r="Q729" s="486"/>
      <c r="R729" s="486"/>
      <c r="S729" s="486"/>
      <c r="T729" s="102">
        <f t="shared" si="527"/>
        <v>0</v>
      </c>
      <c r="U729" s="78">
        <f>IF(NOT(ISNUMBER(G729)), "", VLOOKUP(A729,'Discount Lookup'!D:E,2,FALSE)*G729)</f>
        <v>0</v>
      </c>
      <c r="V729" s="78">
        <f>IF(NOT(ISNUMBER(G729)), "", VLOOKUP(A729,'Discount Lookup'!G:H,2,FALSE)*G729)</f>
        <v>0</v>
      </c>
      <c r="W729" s="102">
        <f t="shared" si="528"/>
        <v>0</v>
      </c>
      <c r="X729" s="102">
        <f t="shared" si="529"/>
        <v>0</v>
      </c>
      <c r="Y729" s="120" t="b">
        <f t="shared" si="530"/>
        <v>0</v>
      </c>
      <c r="Z729" s="117">
        <f t="shared" si="531"/>
        <v>0</v>
      </c>
      <c r="AA729" s="118"/>
      <c r="AB729" s="118" t="str">
        <f t="shared" si="532"/>
        <v/>
      </c>
      <c r="AC729" s="712" t="str">
        <f>IF(AE729="T2G","no charge",IF(AND(OR(PlanterYesMe="No",PlanterYesMe="N",PlanterYesMe="me"),H729=""),"",IF(H729="credit","NO install",IF(AND(K729="",AE729="me"),"EACH row",IF(AND(K729="images",AE729="me"),"EACH row",IF(D729="","",IF(H729="credit","",IF(AE729="free","re-planting",IF(AE729="me","   not ELP, by",IF(AND(OR(PlanterYesMe="Yes",PlanterYesMe="Y"),G729&gt;0),(VLOOKUP(A729,'Discount Lookup'!J:K,2)*G729*(1-PlanterDiscount)*(1+PlanterDifficultyPercentage)),IF(AE729="ELP",(VLOOKUP(A729,'Discount Lookup'!J:K,2)*G729*(1-PlanterDiscount)*(1+PlanterDifficultyPercentage)),IF(AE729="free","re-planting",IF(G729=0,"",IF(PlanterYesMe="",IF(AE729="me","   not ELP, by",IF(AE729="",IF(G729&gt;0,(VLOOKUP(A729,'Discount Lookup'!J:K,2)*G729*(1-PlanterDiscount)*(1+PlanterDifficultyPercentage)),""),"")),"   not ELP, by"))))))))))))))</f>
        <v/>
      </c>
      <c r="AD729" s="712"/>
      <c r="AE729" s="513" t="str">
        <f t="shared" si="533"/>
        <v/>
      </c>
      <c r="AF729" s="713" t="str">
        <f t="shared" si="534"/>
        <v/>
      </c>
      <c r="AG729" s="713"/>
      <c r="AH729" s="713"/>
      <c r="AI729" s="112">
        <f>IF(H729="credit",0,IF(AE729="free",0,IF(AE729="me",0,IF(G729&gt;0,(VLOOKUP(A729,'Discount Lookup'!J:K,2)*G729),0))))</f>
        <v>0</v>
      </c>
      <c r="AJ729" s="107" t="str">
        <f t="shared" ca="1" si="535"/>
        <v/>
      </c>
      <c r="AK729" s="714" t="str">
        <f t="shared" si="536"/>
        <v/>
      </c>
      <c r="AL729" s="714"/>
      <c r="AM729" s="114" t="str">
        <f t="shared" si="537"/>
        <v/>
      </c>
      <c r="AN729" s="115"/>
      <c r="AO729" s="116"/>
      <c r="AP729" s="116"/>
      <c r="AQ729" s="116"/>
      <c r="AR729" s="116"/>
      <c r="AS729" s="116"/>
      <c r="AT729" s="116"/>
      <c r="AU729" s="116"/>
      <c r="AV729" s="78"/>
      <c r="AW729" s="102"/>
      <c r="AX729" s="78"/>
      <c r="AY729" s="78"/>
      <c r="AZ729" s="78"/>
      <c r="BA729" s="78"/>
      <c r="BB729" s="78"/>
      <c r="BC729" s="78"/>
      <c r="BD729" s="78"/>
      <c r="BE729" s="465"/>
      <c r="BF729" s="165" t="str">
        <f t="shared" si="538"/>
        <v>https://www.google.com/search?tbm=isch&amp;q=7%20G3</v>
      </c>
      <c r="BG729" s="165" t="str">
        <f t="shared" si="539"/>
        <v>C</v>
      </c>
      <c r="BH729" s="65"/>
      <c r="BI729" s="65"/>
      <c r="BJ729" s="65"/>
      <c r="BK729" s="65"/>
      <c r="BL729" s="99"/>
      <c r="BM729" s="99"/>
      <c r="BN729" s="99"/>
    </row>
    <row r="730" spans="1:66" s="51" customFormat="1" ht="17.25" thickBot="1" x14ac:dyDescent="0.3">
      <c r="A730" s="508" t="s">
        <v>1834</v>
      </c>
      <c r="B730" s="487"/>
      <c r="C730" s="707"/>
      <c r="D730" s="487"/>
      <c r="E730" s="487"/>
      <c r="F730" s="488"/>
      <c r="G730" s="489"/>
      <c r="H730" s="487"/>
      <c r="I730" s="490"/>
      <c r="J730" s="490"/>
      <c r="K730" s="491"/>
      <c r="L730" s="547"/>
      <c r="M730" s="528"/>
      <c r="N730" s="492"/>
      <c r="O730" s="493"/>
      <c r="P730" s="494"/>
      <c r="Q730" s="492"/>
      <c r="R730" s="492"/>
      <c r="S730" s="699" t="s">
        <v>5275</v>
      </c>
      <c r="T730" s="102">
        <f t="shared" si="527"/>
        <v>0</v>
      </c>
      <c r="U730" s="78" t="str">
        <f>IF(NOT(ISNUMBER(G730)), "", VLOOKUP(A730,'Discount Lookup'!D:E,2,FALSE)*G730)</f>
        <v/>
      </c>
      <c r="V730" s="78" t="str">
        <f>IF(NOT(ISNUMBER(G730)), "", VLOOKUP(A730,'Discount Lookup'!G:H,2,FALSE)*G730)</f>
        <v/>
      </c>
      <c r="W730" s="102">
        <f t="shared" si="528"/>
        <v>0</v>
      </c>
      <c r="X730" s="102">
        <f t="shared" si="529"/>
        <v>0</v>
      </c>
      <c r="Y730" s="120" t="b">
        <f t="shared" si="530"/>
        <v>0</v>
      </c>
      <c r="Z730" s="117">
        <f t="shared" si="531"/>
        <v>0</v>
      </c>
      <c r="AA730" s="118"/>
      <c r="AB730" s="118" t="str">
        <f t="shared" si="532"/>
        <v/>
      </c>
      <c r="AC730" s="712" t="str">
        <f>IF(AE730="T2G","no charge",IF(AND(OR(PlanterYesMe="No",PlanterYesMe="N",PlanterYesMe="me"),H730=""),"",IF(H730="credit","NO install",IF(AND(K730="",AE730="me"),"EACH row",IF(AND(K730="images",AE730="me"),"EACH row",IF(D730="","",IF(H730="credit","",IF(AE730="free","re-planting",IF(AE730="me","   not ELP, by",IF(AND(OR(PlanterYesMe="Yes",PlanterYesMe="Y"),G730&gt;0),(VLOOKUP(A730,'Discount Lookup'!J:K,2)*G730*(1-PlanterDiscount)*(1+PlanterDifficultyPercentage)),IF(AE730="ELP",(VLOOKUP(A730,'Discount Lookup'!J:K,2)*G730*(1-PlanterDiscount)*(1+PlanterDifficultyPercentage)),IF(AE730="free","re-planting",IF(G730=0,"",IF(PlanterYesMe="",IF(AE730="me","   not ELP, by",IF(AE730="",IF(G730&gt;0,(VLOOKUP(A730,'Discount Lookup'!J:K,2)*G730*(1-PlanterDiscount)*(1+PlanterDifficultyPercentage)),""),"")),"   not ELP, by"))))))))))))))</f>
        <v/>
      </c>
      <c r="AD730" s="712"/>
      <c r="AE730" s="513" t="str">
        <f t="shared" si="533"/>
        <v/>
      </c>
      <c r="AF730" s="713" t="str">
        <f t="shared" si="534"/>
        <v/>
      </c>
      <c r="AG730" s="713"/>
      <c r="AH730" s="713"/>
      <c r="AI730" s="112">
        <f>IF(H730="credit",0,IF(AE730="free",0,IF(AE730="me",0,IF(G730&gt;0,(VLOOKUP(A730,'Discount Lookup'!J:K,2)*G730),0))))</f>
        <v>0</v>
      </c>
      <c r="AJ730" s="107" t="str">
        <f t="shared" ca="1" si="535"/>
        <v/>
      </c>
      <c r="AK730" s="714" t="str">
        <f t="shared" si="536"/>
        <v/>
      </c>
      <c r="AL730" s="714"/>
      <c r="AM730" s="114" t="str">
        <f t="shared" si="537"/>
        <v/>
      </c>
      <c r="AN730" s="115"/>
      <c r="AO730" s="116"/>
      <c r="AP730" s="116"/>
      <c r="AQ730" s="116"/>
      <c r="AR730" s="116"/>
      <c r="AS730" s="116"/>
      <c r="AT730" s="116"/>
      <c r="AU730" s="116"/>
      <c r="AV730" s="78"/>
      <c r="AW730" s="102"/>
      <c r="AX730" s="78"/>
      <c r="AY730" s="78"/>
      <c r="AZ730" s="78"/>
      <c r="BA730" s="78"/>
      <c r="BB730" s="78"/>
      <c r="BC730" s="78"/>
      <c r="BD730" s="78"/>
      <c r="BE730" s="465"/>
      <c r="BF730" s="165" t="str">
        <f t="shared" si="538"/>
        <v>https://www.google.com/search?tbm=isch&amp;q=Hana%20Jiman%20offers%20stunning%20semi-double%20flowers%20from%20late%20fall%20into%20winter.%20Glossy%2C%20dark%20green%20foliage%20</v>
      </c>
      <c r="BG730" s="165" t="str">
        <f t="shared" si="539"/>
        <v>H</v>
      </c>
      <c r="BH730" s="65"/>
      <c r="BI730" s="65"/>
      <c r="BJ730" s="65"/>
      <c r="BK730" s="65"/>
      <c r="BL730" s="99"/>
      <c r="BM730" s="99"/>
      <c r="BN730" s="99"/>
    </row>
    <row r="731" spans="1:66" s="51" customFormat="1" ht="18" x14ac:dyDescent="0.25">
      <c r="A731" s="507" t="s">
        <v>1835</v>
      </c>
      <c r="B731" s="470"/>
      <c r="C731" s="706"/>
      <c r="D731" s="471" t="s">
        <v>1836</v>
      </c>
      <c r="E731" s="472"/>
      <c r="F731" s="472"/>
      <c r="G731" s="472"/>
      <c r="H731" s="622" t="s">
        <v>1246</v>
      </c>
      <c r="I731" s="473" t="s">
        <v>1837</v>
      </c>
      <c r="J731" s="472"/>
      <c r="K731" s="472"/>
      <c r="L731" s="561"/>
      <c r="M731" s="703" t="s">
        <v>5260</v>
      </c>
      <c r="N731" s="692" t="str">
        <f>IF(AND(ISTEXT($A731), ISERROR($A731+0)), HYPERLINK($BF731, "Images"), "")</f>
        <v>Images</v>
      </c>
      <c r="O731" s="694" t="s">
        <v>5247</v>
      </c>
      <c r="P731" s="475"/>
      <c r="Q731" s="476"/>
      <c r="R731" s="476"/>
      <c r="S731" s="477"/>
      <c r="T731" s="102">
        <f t="shared" si="527"/>
        <v>0</v>
      </c>
      <c r="U731" s="78" t="str">
        <f>IF(NOT(ISNUMBER(G731)), "", VLOOKUP(A731,'Discount Lookup'!D:E,2,FALSE)*G731)</f>
        <v/>
      </c>
      <c r="V731" s="78" t="str">
        <f>IF(NOT(ISNUMBER(G731)), "", VLOOKUP(A731,'Discount Lookup'!G:H,2,FALSE)*G731)</f>
        <v/>
      </c>
      <c r="W731" s="102">
        <f t="shared" si="528"/>
        <v>0</v>
      </c>
      <c r="X731" s="102" t="str">
        <f t="shared" si="529"/>
        <v>Rose-Pink bloom</v>
      </c>
      <c r="Y731" s="120" t="b">
        <f t="shared" si="530"/>
        <v>0</v>
      </c>
      <c r="Z731" s="117">
        <f t="shared" si="531"/>
        <v>0</v>
      </c>
      <c r="AA731" s="118"/>
      <c r="AB731" s="118" t="str">
        <f t="shared" si="532"/>
        <v/>
      </c>
      <c r="AC731" s="712" t="str">
        <f>IF(AE731="T2G","no charge",IF(AND(OR(PlanterYesMe="No",PlanterYesMe="N",PlanterYesMe="me"),H731=""),"",IF(H731="credit","NO install",IF(AND(K731="",AE731="me"),"EACH row",IF(AND(K731="images",AE731="me"),"EACH row",IF(D731="","",IF(H731="credit","",IF(AE731="free","re-planting",IF(AE731="me","   not ELP, by",IF(AND(OR(PlanterYesMe="Yes",PlanterYesMe="Y"),G731&gt;0),(VLOOKUP(A731,'Discount Lookup'!J:K,2)*G731*(1-PlanterDiscount)*(1+PlanterDifficultyPercentage)),IF(AE731="ELP",(VLOOKUP(A731,'Discount Lookup'!J:K,2)*G731*(1-PlanterDiscount)*(1+PlanterDifficultyPercentage)),IF(AE731="free","re-planting",IF(G731=0,"",IF(PlanterYesMe="",IF(AE731="me","   not ELP, by",IF(AE731="",IF(G731&gt;0,(VLOOKUP(A731,'Discount Lookup'!J:K,2)*G731*(1-PlanterDiscount)*(1+PlanterDifficultyPercentage)),""),"")),"   not ELP, by"))))))))))))))</f>
        <v/>
      </c>
      <c r="AD731" s="712"/>
      <c r="AE731" s="513" t="str">
        <f t="shared" si="533"/>
        <v/>
      </c>
      <c r="AF731" s="713" t="str">
        <f t="shared" si="534"/>
        <v/>
      </c>
      <c r="AG731" s="713"/>
      <c r="AH731" s="713"/>
      <c r="AI731" s="112">
        <f>IF(H731="credit",0,IF(AE731="free",0,IF(AE731="me",0,IF(G731&gt;0,(VLOOKUP(A731,'Discount Lookup'!J:K,2)*G731),0))))</f>
        <v>0</v>
      </c>
      <c r="AJ731" s="107" t="str">
        <f t="shared" ca="1" si="535"/>
        <v/>
      </c>
      <c r="AK731" s="714" t="str">
        <f t="shared" si="536"/>
        <v/>
      </c>
      <c r="AL731" s="714"/>
      <c r="AM731" s="114" t="str">
        <f t="shared" si="537"/>
        <v/>
      </c>
      <c r="AN731" s="115"/>
      <c r="AO731" s="116"/>
      <c r="AP731" s="116"/>
      <c r="AQ731" s="116"/>
      <c r="AR731" s="116"/>
      <c r="AS731" s="116"/>
      <c r="AT731" s="116"/>
      <c r="AU731" s="116"/>
      <c r="AV731" s="78"/>
      <c r="AW731" s="102"/>
      <c r="AX731" s="78"/>
      <c r="AY731" s="78"/>
      <c r="AZ731" s="78"/>
      <c r="BA731" s="78"/>
      <c r="BB731" s="78"/>
      <c r="BC731" s="78"/>
      <c r="BD731" s="78"/>
      <c r="BE731" s="465"/>
      <c r="BF731" s="165" t="str">
        <f t="shared" si="538"/>
        <v>https://www.google.com/search?tbm=isch&amp;q=Camellia%20sasanqua%20%27Kanjiro%27%20Kanjiro%20Camellia</v>
      </c>
      <c r="BG731" s="165" t="str">
        <f t="shared" si="539"/>
        <v>C</v>
      </c>
      <c r="BH731" s="65"/>
      <c r="BI731" s="65"/>
      <c r="BJ731" s="65"/>
      <c r="BK731" s="65"/>
      <c r="BL731" s="99"/>
      <c r="BM731" s="99"/>
      <c r="BN731" s="99"/>
    </row>
    <row r="732" spans="1:66" s="51" customFormat="1" ht="15.75" x14ac:dyDescent="0.25">
      <c r="A732" s="478">
        <v>3</v>
      </c>
      <c r="B732" s="479" t="s">
        <v>291</v>
      </c>
      <c r="C732" s="480"/>
      <c r="D732" s="481" t="s">
        <v>329</v>
      </c>
      <c r="E732" s="482">
        <v>34.950000000000003</v>
      </c>
      <c r="F732" s="483" t="s">
        <v>292</v>
      </c>
      <c r="G732" s="484">
        <v>0</v>
      </c>
      <c r="H732" s="688" t="str">
        <f t="shared" ref="H732:H739" si="544">IF(G732=0,"",IF(F732="Buy",IF(G732=1,"plant","plants"),IF(F732&gt;0.01,"warranty","Error")))</f>
        <v/>
      </c>
      <c r="I732" s="485">
        <f t="shared" ref="I732:I739" si="545">IF(H732="free",0,IF(H732="credit",((E732*(F732))*G732*-1),IF(F732="Buy",(E732*G732),((E732*(1-F732))*G732))))</f>
        <v>0</v>
      </c>
      <c r="J732" s="485">
        <f t="shared" ref="J732:J739" si="546">IF(H732="warranty",0,(I732*(_xlfn.SINGLE(SalesTaxPercentage))))</f>
        <v>0</v>
      </c>
      <c r="K732" s="715">
        <f t="shared" ref="K732" si="547">I732+J732</f>
        <v>0</v>
      </c>
      <c r="L732" s="715"/>
      <c r="M732" s="689" t="str">
        <f t="shared" ref="M732:M739" ca="1" si="548">IF(AND(G732&gt;0,E732=0),"WARNING - no PRICE inserted",IF(H732="free","FREE ~ no charge this plant",IF(H732="credit",CONCATENATE("-$",ROUND(K732*(1-_xlfn.SINGLE(T2GDiscount))*-1,2)," CREDIT after discount"),IF(_xlfn.SINGLE(T2GDiscount)=0,"",IF(G732=0,"",IF(F732="Buy",CONCATENATE("$",ROUND(K732*(1-_xlfn.SINGLE(T2GDiscount)),2)," with ",(_xlfn.SINGLE(T2GDiscount)*100),"% discount"),CONCATENATE("$",ROUND(K732*(1-_xlfn.SINGLE(T2GDiscount)),2)," with ",((_xlfn.SINGLE(T2GDiscount)*100+F732*100)-(_xlfn.SINGLE(T2GDiscount)*100*F732)),IF(F732&gt;0,"% discounts",IF(_xlfn.SINGLE(NoWarrantyDiscount)&gt;0,"% discounts","% discount")))))))))</f>
        <v/>
      </c>
      <c r="N732" s="690"/>
      <c r="O732" s="486"/>
      <c r="P732" s="486"/>
      <c r="Q732" s="486"/>
      <c r="R732" s="486"/>
      <c r="S732" s="486"/>
      <c r="T732" s="102">
        <f t="shared" si="527"/>
        <v>0</v>
      </c>
      <c r="U732" s="78">
        <f>IF(NOT(ISNUMBER(G732)), "", VLOOKUP(A732,'Discount Lookup'!D:E,2,FALSE)*G732)</f>
        <v>0</v>
      </c>
      <c r="V732" s="78">
        <f>IF(NOT(ISNUMBER(G732)), "", VLOOKUP(A732,'Discount Lookup'!G:H,2,FALSE)*G732)</f>
        <v>0</v>
      </c>
      <c r="W732" s="102">
        <f t="shared" si="528"/>
        <v>0</v>
      </c>
      <c r="X732" s="102">
        <f t="shared" si="529"/>
        <v>0</v>
      </c>
      <c r="Y732" s="120" t="b">
        <f t="shared" si="530"/>
        <v>0</v>
      </c>
      <c r="Z732" s="117">
        <f t="shared" si="531"/>
        <v>0</v>
      </c>
      <c r="AA732" s="118"/>
      <c r="AB732" s="118" t="str">
        <f t="shared" si="532"/>
        <v/>
      </c>
      <c r="AC732" s="712" t="str">
        <f>IF(AE732="T2G","no charge",IF(AND(OR(PlanterYesMe="No",PlanterYesMe="N",PlanterYesMe="me"),H732=""),"",IF(H732="credit","NO install",IF(AND(K732="",AE732="me"),"EACH row",IF(AND(K732="images",AE732="me"),"EACH row",IF(D732="","",IF(H732="credit","",IF(AE732="free","re-planting",IF(AE732="me","   not ELP, by",IF(AND(OR(PlanterYesMe="Yes",PlanterYesMe="Y"),G732&gt;0),(VLOOKUP(A732,'Discount Lookup'!J:K,2)*G732*(1-PlanterDiscount)*(1+PlanterDifficultyPercentage)),IF(AE732="ELP",(VLOOKUP(A732,'Discount Lookup'!J:K,2)*G732*(1-PlanterDiscount)*(1+PlanterDifficultyPercentage)),IF(AE732="free","re-planting",IF(G732=0,"",IF(PlanterYesMe="",IF(AE732="me","   not ELP, by",IF(AE732="",IF(G732&gt;0,(VLOOKUP(A732,'Discount Lookup'!J:K,2)*G732*(1-PlanterDiscount)*(1+PlanterDifficultyPercentage)),""),"")),"   not ELP, by"))))))))))))))</f>
        <v/>
      </c>
      <c r="AD732" s="712"/>
      <c r="AE732" s="513" t="str">
        <f t="shared" si="533"/>
        <v/>
      </c>
      <c r="AF732" s="713" t="str">
        <f t="shared" si="534"/>
        <v/>
      </c>
      <c r="AG732" s="713"/>
      <c r="AH732" s="713"/>
      <c r="AI732" s="112">
        <f>IF(H732="credit",0,IF(AE732="free",0,IF(AE732="me",0,IF(G732&gt;0,(VLOOKUP(A732,'Discount Lookup'!J:K,2)*G732),0))))</f>
        <v>0</v>
      </c>
      <c r="AJ732" s="107" t="str">
        <f t="shared" ca="1" si="535"/>
        <v/>
      </c>
      <c r="AK732" s="714" t="str">
        <f t="shared" si="536"/>
        <v/>
      </c>
      <c r="AL732" s="714"/>
      <c r="AM732" s="114" t="str">
        <f t="shared" si="537"/>
        <v/>
      </c>
      <c r="AN732" s="115"/>
      <c r="AO732" s="116"/>
      <c r="AP732" s="116"/>
      <c r="AQ732" s="116"/>
      <c r="AR732" s="116"/>
      <c r="AS732" s="116"/>
      <c r="AT732" s="116"/>
      <c r="AU732" s="116"/>
      <c r="AV732" s="78"/>
      <c r="AW732" s="102"/>
      <c r="AX732" s="78"/>
      <c r="AY732" s="78"/>
      <c r="AZ732" s="78"/>
      <c r="BA732" s="78"/>
      <c r="BB732" s="78"/>
      <c r="BC732" s="78"/>
      <c r="BD732" s="78"/>
      <c r="BE732" s="465"/>
      <c r="BF732" s="165" t="str">
        <f t="shared" si="538"/>
        <v>https://www.google.com/search?tbm=isch&amp;q=3%20G2</v>
      </c>
      <c r="BG732" s="165" t="str">
        <f t="shared" si="539"/>
        <v>C</v>
      </c>
      <c r="BH732" s="65"/>
      <c r="BI732" s="65"/>
      <c r="BJ732" s="65"/>
      <c r="BK732" s="65"/>
      <c r="BL732" s="99"/>
      <c r="BM732" s="99"/>
      <c r="BN732" s="99"/>
    </row>
    <row r="733" spans="1:66" s="51" customFormat="1" ht="15.75" x14ac:dyDescent="0.25">
      <c r="A733" s="478">
        <v>7</v>
      </c>
      <c r="B733" s="479" t="s">
        <v>291</v>
      </c>
      <c r="C733" s="480" t="s">
        <v>1838</v>
      </c>
      <c r="D733" s="481" t="s">
        <v>309</v>
      </c>
      <c r="E733" s="482">
        <v>83.95</v>
      </c>
      <c r="F733" s="483" t="s">
        <v>292</v>
      </c>
      <c r="G733" s="484">
        <v>0</v>
      </c>
      <c r="H733" s="688" t="str">
        <f t="shared" si="544"/>
        <v/>
      </c>
      <c r="I733" s="485">
        <f t="shared" si="545"/>
        <v>0</v>
      </c>
      <c r="J733" s="485">
        <f t="shared" si="546"/>
        <v>0</v>
      </c>
      <c r="K733" s="715">
        <f t="shared" ref="K733" si="549">I733+J733</f>
        <v>0</v>
      </c>
      <c r="L733" s="715"/>
      <c r="M733" s="689" t="str">
        <f t="shared" ca="1" si="548"/>
        <v/>
      </c>
      <c r="N733" s="690"/>
      <c r="O733" s="486"/>
      <c r="P733" s="486"/>
      <c r="Q733" s="486"/>
      <c r="R733" s="486"/>
      <c r="S733" s="486"/>
      <c r="T733" s="102">
        <f t="shared" si="527"/>
        <v>0</v>
      </c>
      <c r="U733" s="78">
        <f>IF(NOT(ISNUMBER(G733)), "", VLOOKUP(A733,'Discount Lookup'!D:E,2,FALSE)*G733)</f>
        <v>0</v>
      </c>
      <c r="V733" s="78">
        <f>IF(NOT(ISNUMBER(G733)), "", VLOOKUP(A733,'Discount Lookup'!G:H,2,FALSE)*G733)</f>
        <v>0</v>
      </c>
      <c r="W733" s="102">
        <f t="shared" si="528"/>
        <v>0</v>
      </c>
      <c r="X733" s="102">
        <f t="shared" si="529"/>
        <v>0</v>
      </c>
      <c r="Y733" s="120" t="b">
        <f t="shared" si="530"/>
        <v>0</v>
      </c>
      <c r="Z733" s="117">
        <f t="shared" si="531"/>
        <v>0</v>
      </c>
      <c r="AA733" s="118"/>
      <c r="AB733" s="118" t="str">
        <f t="shared" si="532"/>
        <v/>
      </c>
      <c r="AC733" s="712" t="str">
        <f>IF(AE733="T2G","no charge",IF(AND(OR(PlanterYesMe="No",PlanterYesMe="N",PlanterYesMe="me"),H733=""),"",IF(H733="credit","NO install",IF(AND(K733="",AE733="me"),"EACH row",IF(AND(K733="images",AE733="me"),"EACH row",IF(D733="","",IF(H733="credit","",IF(AE733="free","re-planting",IF(AE733="me","   not ELP, by",IF(AND(OR(PlanterYesMe="Yes",PlanterYesMe="Y"),G733&gt;0),(VLOOKUP(A733,'Discount Lookup'!J:K,2)*G733*(1-PlanterDiscount)*(1+PlanterDifficultyPercentage)),IF(AE733="ELP",(VLOOKUP(A733,'Discount Lookup'!J:K,2)*G733*(1-PlanterDiscount)*(1+PlanterDifficultyPercentage)),IF(AE733="free","re-planting",IF(G733=0,"",IF(PlanterYesMe="",IF(AE733="me","   not ELP, by",IF(AE733="",IF(G733&gt;0,(VLOOKUP(A733,'Discount Lookup'!J:K,2)*G733*(1-PlanterDiscount)*(1+PlanterDifficultyPercentage)),""),"")),"   not ELP, by"))))))))))))))</f>
        <v/>
      </c>
      <c r="AD733" s="712"/>
      <c r="AE733" s="513" t="str">
        <f t="shared" si="533"/>
        <v/>
      </c>
      <c r="AF733" s="713" t="str">
        <f t="shared" si="534"/>
        <v/>
      </c>
      <c r="AG733" s="713"/>
      <c r="AH733" s="713"/>
      <c r="AI733" s="112">
        <f>IF(H733="credit",0,IF(AE733="free",0,IF(AE733="me",0,IF(G733&gt;0,(VLOOKUP(A733,'Discount Lookup'!J:K,2)*G733),0))))</f>
        <v>0</v>
      </c>
      <c r="AJ733" s="107" t="str">
        <f t="shared" ca="1" si="535"/>
        <v/>
      </c>
      <c r="AK733" s="714" t="str">
        <f t="shared" si="536"/>
        <v/>
      </c>
      <c r="AL733" s="714"/>
      <c r="AM733" s="114" t="str">
        <f t="shared" si="537"/>
        <v/>
      </c>
      <c r="AN733" s="115"/>
      <c r="AO733" s="116"/>
      <c r="AP733" s="116"/>
      <c r="AQ733" s="116"/>
      <c r="AR733" s="116"/>
      <c r="AS733" s="116"/>
      <c r="AT733" s="116"/>
      <c r="AU733" s="116"/>
      <c r="AV733" s="78"/>
      <c r="AW733" s="102"/>
      <c r="AX733" s="78"/>
      <c r="AY733" s="78"/>
      <c r="AZ733" s="78"/>
      <c r="BA733" s="78"/>
      <c r="BB733" s="78"/>
      <c r="BC733" s="78"/>
      <c r="BD733" s="78"/>
      <c r="BE733" s="465"/>
      <c r="BF733" s="165" t="str">
        <f t="shared" si="538"/>
        <v>https://www.google.com/search?tbm=isch&amp;q=7%20G3</v>
      </c>
      <c r="BG733" s="165" t="str">
        <f t="shared" si="539"/>
        <v>C</v>
      </c>
      <c r="BH733" s="65"/>
      <c r="BI733" s="65"/>
      <c r="BJ733" s="65"/>
      <c r="BK733" s="65"/>
      <c r="BL733" s="99"/>
      <c r="BM733" s="99"/>
      <c r="BN733" s="99"/>
    </row>
    <row r="734" spans="1:66" s="51" customFormat="1" ht="15.75" x14ac:dyDescent="0.25">
      <c r="A734" s="478">
        <v>7</v>
      </c>
      <c r="B734" s="479" t="s">
        <v>291</v>
      </c>
      <c r="C734" s="480" t="s">
        <v>1839</v>
      </c>
      <c r="D734" s="481" t="s">
        <v>299</v>
      </c>
      <c r="E734" s="482">
        <v>104.95</v>
      </c>
      <c r="F734" s="483" t="s">
        <v>292</v>
      </c>
      <c r="G734" s="484">
        <v>0</v>
      </c>
      <c r="H734" s="688" t="str">
        <f t="shared" si="544"/>
        <v/>
      </c>
      <c r="I734" s="485">
        <f t="shared" si="545"/>
        <v>0</v>
      </c>
      <c r="J734" s="485">
        <f t="shared" si="546"/>
        <v>0</v>
      </c>
      <c r="K734" s="715">
        <f t="shared" ref="K734" si="550">I734+J734</f>
        <v>0</v>
      </c>
      <c r="L734" s="715"/>
      <c r="M734" s="689" t="str">
        <f t="shared" ca="1" si="548"/>
        <v/>
      </c>
      <c r="N734" s="690"/>
      <c r="O734" s="486"/>
      <c r="P734" s="486"/>
      <c r="Q734" s="486"/>
      <c r="R734" s="486"/>
      <c r="S734" s="486"/>
      <c r="T734" s="102">
        <f t="shared" si="527"/>
        <v>0</v>
      </c>
      <c r="U734" s="78">
        <f>IF(NOT(ISNUMBER(G734)), "", VLOOKUP(A734,'Discount Lookup'!D:E,2,FALSE)*G734)</f>
        <v>0</v>
      </c>
      <c r="V734" s="78">
        <f>IF(NOT(ISNUMBER(G734)), "", VLOOKUP(A734,'Discount Lookup'!G:H,2,FALSE)*G734)</f>
        <v>0</v>
      </c>
      <c r="W734" s="102">
        <f t="shared" si="528"/>
        <v>0</v>
      </c>
      <c r="X734" s="102">
        <f t="shared" si="529"/>
        <v>0</v>
      </c>
      <c r="Y734" s="120" t="b">
        <f t="shared" si="530"/>
        <v>0</v>
      </c>
      <c r="Z734" s="117">
        <f t="shared" si="531"/>
        <v>0</v>
      </c>
      <c r="AA734" s="118"/>
      <c r="AB734" s="118" t="str">
        <f t="shared" si="532"/>
        <v/>
      </c>
      <c r="AC734" s="712" t="str">
        <f>IF(AE734="T2G","no charge",IF(AND(OR(PlanterYesMe="No",PlanterYesMe="N",PlanterYesMe="me"),H734=""),"",IF(H734="credit","NO install",IF(AND(K734="",AE734="me"),"EACH row",IF(AND(K734="images",AE734="me"),"EACH row",IF(D734="","",IF(H734="credit","",IF(AE734="free","re-planting",IF(AE734="me","   not ELP, by",IF(AND(OR(PlanterYesMe="Yes",PlanterYesMe="Y"),G734&gt;0),(VLOOKUP(A734,'Discount Lookup'!J:K,2)*G734*(1-PlanterDiscount)*(1+PlanterDifficultyPercentage)),IF(AE734="ELP",(VLOOKUP(A734,'Discount Lookup'!J:K,2)*G734*(1-PlanterDiscount)*(1+PlanterDifficultyPercentage)),IF(AE734="free","re-planting",IF(G734=0,"",IF(PlanterYesMe="",IF(AE734="me","   not ELP, by",IF(AE734="",IF(G734&gt;0,(VLOOKUP(A734,'Discount Lookup'!J:K,2)*G734*(1-PlanterDiscount)*(1+PlanterDifficultyPercentage)),""),"")),"   not ELP, by"))))))))))))))</f>
        <v/>
      </c>
      <c r="AD734" s="712"/>
      <c r="AE734" s="513" t="str">
        <f t="shared" si="533"/>
        <v/>
      </c>
      <c r="AF734" s="713" t="str">
        <f t="shared" si="534"/>
        <v/>
      </c>
      <c r="AG734" s="713"/>
      <c r="AH734" s="713"/>
      <c r="AI734" s="112">
        <f>IF(H734="credit",0,IF(AE734="free",0,IF(AE734="me",0,IF(G734&gt;0,(VLOOKUP(A734,'Discount Lookup'!J:K,2)*G734),0))))</f>
        <v>0</v>
      </c>
      <c r="AJ734" s="107" t="str">
        <f t="shared" ca="1" si="535"/>
        <v/>
      </c>
      <c r="AK734" s="714" t="str">
        <f t="shared" si="536"/>
        <v/>
      </c>
      <c r="AL734" s="714"/>
      <c r="AM734" s="114" t="str">
        <f t="shared" si="537"/>
        <v/>
      </c>
      <c r="AN734" s="115"/>
      <c r="AO734" s="116"/>
      <c r="AP734" s="116"/>
      <c r="AQ734" s="116"/>
      <c r="AR734" s="116"/>
      <c r="AS734" s="116"/>
      <c r="AT734" s="116"/>
      <c r="AU734" s="116"/>
      <c r="AV734" s="78"/>
      <c r="AW734" s="102"/>
      <c r="AX734" s="78"/>
      <c r="AY734" s="78"/>
      <c r="AZ734" s="78"/>
      <c r="BA734" s="78"/>
      <c r="BB734" s="78"/>
      <c r="BC734" s="78"/>
      <c r="BD734" s="78"/>
      <c r="BE734" s="465"/>
      <c r="BF734" s="165" t="str">
        <f t="shared" si="538"/>
        <v>https://www.google.com/search?tbm=isch&amp;q=7%20G4</v>
      </c>
      <c r="BG734" s="165" t="str">
        <f t="shared" si="539"/>
        <v>C</v>
      </c>
      <c r="BH734" s="65"/>
      <c r="BI734" s="65"/>
      <c r="BJ734" s="65"/>
      <c r="BK734" s="65"/>
      <c r="BL734" s="99"/>
      <c r="BM734" s="99"/>
      <c r="BN734" s="99"/>
    </row>
    <row r="735" spans="1:66" s="51" customFormat="1" ht="15.75" x14ac:dyDescent="0.25">
      <c r="A735" s="478">
        <v>7</v>
      </c>
      <c r="B735" s="479" t="s">
        <v>291</v>
      </c>
      <c r="C735" s="480" t="s">
        <v>1840</v>
      </c>
      <c r="D735" s="481" t="s">
        <v>293</v>
      </c>
      <c r="E735" s="482">
        <v>111.95</v>
      </c>
      <c r="F735" s="483" t="s">
        <v>292</v>
      </c>
      <c r="G735" s="484">
        <v>0</v>
      </c>
      <c r="H735" s="688" t="str">
        <f t="shared" si="544"/>
        <v/>
      </c>
      <c r="I735" s="485">
        <f t="shared" si="545"/>
        <v>0</v>
      </c>
      <c r="J735" s="485">
        <f t="shared" si="546"/>
        <v>0</v>
      </c>
      <c r="K735" s="715">
        <f t="shared" ref="K735" si="551">I735+J735</f>
        <v>0</v>
      </c>
      <c r="L735" s="715"/>
      <c r="M735" s="689" t="str">
        <f t="shared" ca="1" si="548"/>
        <v/>
      </c>
      <c r="N735" s="690"/>
      <c r="O735" s="486"/>
      <c r="P735" s="486"/>
      <c r="Q735" s="486"/>
      <c r="R735" s="486"/>
      <c r="S735" s="486"/>
      <c r="T735" s="102">
        <f t="shared" si="527"/>
        <v>0</v>
      </c>
      <c r="U735" s="78">
        <f>IF(NOT(ISNUMBER(G735)), "", VLOOKUP(A735,'Discount Lookup'!D:E,2,FALSE)*G735)</f>
        <v>0</v>
      </c>
      <c r="V735" s="78">
        <f>IF(NOT(ISNUMBER(G735)), "", VLOOKUP(A735,'Discount Lookup'!G:H,2,FALSE)*G735)</f>
        <v>0</v>
      </c>
      <c r="W735" s="102">
        <f t="shared" si="528"/>
        <v>0</v>
      </c>
      <c r="X735" s="102">
        <f t="shared" si="529"/>
        <v>0</v>
      </c>
      <c r="Y735" s="120" t="b">
        <f t="shared" si="530"/>
        <v>0</v>
      </c>
      <c r="Z735" s="117">
        <f t="shared" si="531"/>
        <v>0</v>
      </c>
      <c r="AA735" s="118"/>
      <c r="AB735" s="118" t="str">
        <f t="shared" si="532"/>
        <v/>
      </c>
      <c r="AC735" s="712" t="str">
        <f>IF(AE735="T2G","no charge",IF(AND(OR(PlanterYesMe="No",PlanterYesMe="N",PlanterYesMe="me"),H735=""),"",IF(H735="credit","NO install",IF(AND(K735="",AE735="me"),"EACH row",IF(AND(K735="images",AE735="me"),"EACH row",IF(D735="","",IF(H735="credit","",IF(AE735="free","re-planting",IF(AE735="me","   not ELP, by",IF(AND(OR(PlanterYesMe="Yes",PlanterYesMe="Y"),G735&gt;0),(VLOOKUP(A735,'Discount Lookup'!J:K,2)*G735*(1-PlanterDiscount)*(1+PlanterDifficultyPercentage)),IF(AE735="ELP",(VLOOKUP(A735,'Discount Lookup'!J:K,2)*G735*(1-PlanterDiscount)*(1+PlanterDifficultyPercentage)),IF(AE735="free","re-planting",IF(G735=0,"",IF(PlanterYesMe="",IF(AE735="me","   not ELP, by",IF(AE735="",IF(G735&gt;0,(VLOOKUP(A735,'Discount Lookup'!J:K,2)*G735*(1-PlanterDiscount)*(1+PlanterDifficultyPercentage)),""),"")),"   not ELP, by"))))))))))))))</f>
        <v/>
      </c>
      <c r="AD735" s="712"/>
      <c r="AE735" s="513" t="str">
        <f t="shared" si="533"/>
        <v/>
      </c>
      <c r="AF735" s="713" t="str">
        <f t="shared" si="534"/>
        <v/>
      </c>
      <c r="AG735" s="713"/>
      <c r="AH735" s="713"/>
      <c r="AI735" s="112">
        <f>IF(H735="credit",0,IF(AE735="free",0,IF(AE735="me",0,IF(G735&gt;0,(VLOOKUP(A735,'Discount Lookup'!J:K,2)*G735),0))))</f>
        <v>0</v>
      </c>
      <c r="AJ735" s="107" t="str">
        <f t="shared" ca="1" si="535"/>
        <v/>
      </c>
      <c r="AK735" s="714" t="str">
        <f t="shared" si="536"/>
        <v/>
      </c>
      <c r="AL735" s="714"/>
      <c r="AM735" s="114" t="str">
        <f t="shared" si="537"/>
        <v/>
      </c>
      <c r="AN735" s="115"/>
      <c r="AO735" s="116"/>
      <c r="AP735" s="116"/>
      <c r="AQ735" s="116"/>
      <c r="AR735" s="116"/>
      <c r="AS735" s="116"/>
      <c r="AT735" s="116"/>
      <c r="AU735" s="116"/>
      <c r="AV735" s="78"/>
      <c r="AW735" s="102"/>
      <c r="AX735" s="78"/>
      <c r="AY735" s="78"/>
      <c r="AZ735" s="78"/>
      <c r="BA735" s="78"/>
      <c r="BB735" s="78"/>
      <c r="BC735" s="78"/>
      <c r="BD735" s="78"/>
      <c r="BE735" s="465"/>
      <c r="BF735" s="165" t="str">
        <f t="shared" si="538"/>
        <v>https://www.google.com/search?tbm=isch&amp;q=7%20G6</v>
      </c>
      <c r="BG735" s="165" t="str">
        <f t="shared" si="539"/>
        <v>C</v>
      </c>
      <c r="BH735" s="65"/>
      <c r="BI735" s="65"/>
      <c r="BJ735" s="65"/>
      <c r="BK735" s="65"/>
      <c r="BL735" s="99"/>
      <c r="BM735" s="99"/>
      <c r="BN735" s="99"/>
    </row>
    <row r="736" spans="1:66" s="51" customFormat="1" ht="27" x14ac:dyDescent="0.25">
      <c r="A736" s="478">
        <v>7</v>
      </c>
      <c r="B736" s="479" t="s">
        <v>291</v>
      </c>
      <c r="C736" s="480" t="s">
        <v>1841</v>
      </c>
      <c r="D736" s="481" t="s">
        <v>299</v>
      </c>
      <c r="E736" s="482">
        <v>160.94999999999999</v>
      </c>
      <c r="F736" s="483" t="s">
        <v>292</v>
      </c>
      <c r="G736" s="484">
        <v>0</v>
      </c>
      <c r="H736" s="688" t="str">
        <f t="shared" si="544"/>
        <v/>
      </c>
      <c r="I736" s="485">
        <f t="shared" si="545"/>
        <v>0</v>
      </c>
      <c r="J736" s="485">
        <f t="shared" si="546"/>
        <v>0</v>
      </c>
      <c r="K736" s="715">
        <f t="shared" ref="K736" si="552">I736+J736</f>
        <v>0</v>
      </c>
      <c r="L736" s="715"/>
      <c r="M736" s="689" t="str">
        <f t="shared" ca="1" si="548"/>
        <v/>
      </c>
      <c r="N736" s="690"/>
      <c r="O736" s="486"/>
      <c r="P736" s="486"/>
      <c r="Q736" s="486"/>
      <c r="R736" s="486"/>
      <c r="S736" s="486"/>
      <c r="T736" s="102">
        <f t="shared" si="527"/>
        <v>0</v>
      </c>
      <c r="U736" s="78">
        <f>IF(NOT(ISNUMBER(G736)), "", VLOOKUP(A736,'Discount Lookup'!D:E,2,FALSE)*G736)</f>
        <v>0</v>
      </c>
      <c r="V736" s="78">
        <f>IF(NOT(ISNUMBER(G736)), "", VLOOKUP(A736,'Discount Lookup'!G:H,2,FALSE)*G736)</f>
        <v>0</v>
      </c>
      <c r="W736" s="102">
        <f t="shared" si="528"/>
        <v>0</v>
      </c>
      <c r="X736" s="102">
        <f t="shared" si="529"/>
        <v>0</v>
      </c>
      <c r="Y736" s="120" t="b">
        <f t="shared" si="530"/>
        <v>0</v>
      </c>
      <c r="Z736" s="117">
        <f t="shared" si="531"/>
        <v>0</v>
      </c>
      <c r="AA736" s="118"/>
      <c r="AB736" s="118" t="str">
        <f t="shared" si="532"/>
        <v/>
      </c>
      <c r="AC736" s="712" t="str">
        <f>IF(AE736="T2G","no charge",IF(AND(OR(PlanterYesMe="No",PlanterYesMe="N",PlanterYesMe="me"),H736=""),"",IF(H736="credit","NO install",IF(AND(K736="",AE736="me"),"EACH row",IF(AND(K736="images",AE736="me"),"EACH row",IF(D736="","",IF(H736="credit","",IF(AE736="free","re-planting",IF(AE736="me","   not ELP, by",IF(AND(OR(PlanterYesMe="Yes",PlanterYesMe="Y"),G736&gt;0),(VLOOKUP(A736,'Discount Lookup'!J:K,2)*G736*(1-PlanterDiscount)*(1+PlanterDifficultyPercentage)),IF(AE736="ELP",(VLOOKUP(A736,'Discount Lookup'!J:K,2)*G736*(1-PlanterDiscount)*(1+PlanterDifficultyPercentage)),IF(AE736="free","re-planting",IF(G736=0,"",IF(PlanterYesMe="",IF(AE736="me","   not ELP, by",IF(AE736="",IF(G736&gt;0,(VLOOKUP(A736,'Discount Lookup'!J:K,2)*G736*(1-PlanterDiscount)*(1+PlanterDifficultyPercentage)),""),"")),"   not ELP, by"))))))))))))))</f>
        <v/>
      </c>
      <c r="AD736" s="712"/>
      <c r="AE736" s="513" t="str">
        <f t="shared" si="533"/>
        <v/>
      </c>
      <c r="AF736" s="713" t="str">
        <f t="shared" si="534"/>
        <v/>
      </c>
      <c r="AG736" s="713"/>
      <c r="AH736" s="713"/>
      <c r="AI736" s="112">
        <f>IF(H736="credit",0,IF(AE736="free",0,IF(AE736="me",0,IF(G736&gt;0,(VLOOKUP(A736,'Discount Lookup'!J:K,2)*G736),0))))</f>
        <v>0</v>
      </c>
      <c r="AJ736" s="107" t="str">
        <f t="shared" ca="1" si="535"/>
        <v/>
      </c>
      <c r="AK736" s="714" t="str">
        <f t="shared" si="536"/>
        <v/>
      </c>
      <c r="AL736" s="714"/>
      <c r="AM736" s="114" t="str">
        <f t="shared" si="537"/>
        <v/>
      </c>
      <c r="AN736" s="115"/>
      <c r="AO736" s="116"/>
      <c r="AP736" s="116"/>
      <c r="AQ736" s="116"/>
      <c r="AR736" s="116"/>
      <c r="AS736" s="116"/>
      <c r="AT736" s="116"/>
      <c r="AU736" s="116"/>
      <c r="AV736" s="78"/>
      <c r="AW736" s="102"/>
      <c r="AX736" s="78"/>
      <c r="AY736" s="78"/>
      <c r="AZ736" s="78"/>
      <c r="BA736" s="78"/>
      <c r="BB736" s="78"/>
      <c r="BC736" s="78"/>
      <c r="BD736" s="78"/>
      <c r="BE736" s="465"/>
      <c r="BF736" s="165" t="str">
        <f t="shared" si="538"/>
        <v>https://www.google.com/search?tbm=isch&amp;q=7%20G4</v>
      </c>
      <c r="BG736" s="165" t="str">
        <f t="shared" si="539"/>
        <v>C</v>
      </c>
      <c r="BH736" s="65"/>
      <c r="BI736" s="65"/>
      <c r="BJ736" s="65"/>
      <c r="BK736" s="65"/>
      <c r="BL736" s="99"/>
      <c r="BM736" s="99"/>
      <c r="BN736" s="99"/>
    </row>
    <row r="737" spans="1:66" s="51" customFormat="1" ht="15.75" x14ac:dyDescent="0.25">
      <c r="A737" s="478">
        <v>15</v>
      </c>
      <c r="B737" s="479" t="s">
        <v>291</v>
      </c>
      <c r="C737" s="480" t="s">
        <v>924</v>
      </c>
      <c r="D737" s="481" t="s">
        <v>299</v>
      </c>
      <c r="E737" s="482">
        <v>224.95</v>
      </c>
      <c r="F737" s="483" t="s">
        <v>292</v>
      </c>
      <c r="G737" s="484">
        <v>0</v>
      </c>
      <c r="H737" s="688" t="str">
        <f t="shared" si="544"/>
        <v/>
      </c>
      <c r="I737" s="485">
        <f t="shared" si="545"/>
        <v>0</v>
      </c>
      <c r="J737" s="485">
        <f t="shared" si="546"/>
        <v>0</v>
      </c>
      <c r="K737" s="715">
        <f t="shared" ref="K737" si="553">I737+J737</f>
        <v>0</v>
      </c>
      <c r="L737" s="715"/>
      <c r="M737" s="689" t="str">
        <f t="shared" ca="1" si="548"/>
        <v/>
      </c>
      <c r="N737" s="690"/>
      <c r="O737" s="486"/>
      <c r="P737" s="486"/>
      <c r="Q737" s="486"/>
      <c r="R737" s="486"/>
      <c r="S737" s="486"/>
      <c r="T737" s="102">
        <f t="shared" si="527"/>
        <v>0</v>
      </c>
      <c r="U737" s="78">
        <f>IF(NOT(ISNUMBER(G737)), "", VLOOKUP(A737,'Discount Lookup'!D:E,2,FALSE)*G737)</f>
        <v>0</v>
      </c>
      <c r="V737" s="78">
        <f>IF(NOT(ISNUMBER(G737)), "", VLOOKUP(A737,'Discount Lookup'!G:H,2,FALSE)*G737)</f>
        <v>0</v>
      </c>
      <c r="W737" s="102">
        <f t="shared" si="528"/>
        <v>0</v>
      </c>
      <c r="X737" s="102">
        <f t="shared" si="529"/>
        <v>0</v>
      </c>
      <c r="Y737" s="120" t="b">
        <f t="shared" si="530"/>
        <v>0</v>
      </c>
      <c r="Z737" s="117">
        <f t="shared" si="531"/>
        <v>0</v>
      </c>
      <c r="AA737" s="118"/>
      <c r="AB737" s="118" t="str">
        <f t="shared" si="532"/>
        <v/>
      </c>
      <c r="AC737" s="712" t="str">
        <f>IF(AE737="T2G","no charge",IF(AND(OR(PlanterYesMe="No",PlanterYesMe="N",PlanterYesMe="me"),H737=""),"",IF(H737="credit","NO install",IF(AND(K737="",AE737="me"),"EACH row",IF(AND(K737="images",AE737="me"),"EACH row",IF(D737="","",IF(H737="credit","",IF(AE737="free","re-planting",IF(AE737="me","   not ELP, by",IF(AND(OR(PlanterYesMe="Yes",PlanterYesMe="Y"),G737&gt;0),(VLOOKUP(A737,'Discount Lookup'!J:K,2)*G737*(1-PlanterDiscount)*(1+PlanterDifficultyPercentage)),IF(AE737="ELP",(VLOOKUP(A737,'Discount Lookup'!J:K,2)*G737*(1-PlanterDiscount)*(1+PlanterDifficultyPercentage)),IF(AE737="free","re-planting",IF(G737=0,"",IF(PlanterYesMe="",IF(AE737="me","   not ELP, by",IF(AE737="",IF(G737&gt;0,(VLOOKUP(A737,'Discount Lookup'!J:K,2)*G737*(1-PlanterDiscount)*(1+PlanterDifficultyPercentage)),""),"")),"   not ELP, by"))))))))))))))</f>
        <v/>
      </c>
      <c r="AD737" s="712"/>
      <c r="AE737" s="513" t="str">
        <f t="shared" si="533"/>
        <v/>
      </c>
      <c r="AF737" s="713" t="str">
        <f t="shared" si="534"/>
        <v/>
      </c>
      <c r="AG737" s="713"/>
      <c r="AH737" s="713"/>
      <c r="AI737" s="112">
        <f>IF(H737="credit",0,IF(AE737="free",0,IF(AE737="me",0,IF(G737&gt;0,(VLOOKUP(A737,'Discount Lookup'!J:K,2)*G737),0))))</f>
        <v>0</v>
      </c>
      <c r="AJ737" s="107" t="str">
        <f t="shared" ca="1" si="535"/>
        <v/>
      </c>
      <c r="AK737" s="714" t="str">
        <f t="shared" si="536"/>
        <v/>
      </c>
      <c r="AL737" s="714"/>
      <c r="AM737" s="114" t="str">
        <f t="shared" si="537"/>
        <v/>
      </c>
      <c r="AN737" s="115"/>
      <c r="AO737" s="116"/>
      <c r="AP737" s="116"/>
      <c r="AQ737" s="116"/>
      <c r="AR737" s="116"/>
      <c r="AS737" s="116"/>
      <c r="AT737" s="116"/>
      <c r="AU737" s="116"/>
      <c r="AV737" s="78"/>
      <c r="AW737" s="102"/>
      <c r="AX737" s="78"/>
      <c r="AY737" s="78"/>
      <c r="AZ737" s="78"/>
      <c r="BA737" s="78"/>
      <c r="BB737" s="78"/>
      <c r="BC737" s="78"/>
      <c r="BD737" s="78"/>
      <c r="BE737" s="465"/>
      <c r="BF737" s="165" t="str">
        <f t="shared" si="538"/>
        <v>https://www.google.com/search?tbm=isch&amp;q=15%20G4</v>
      </c>
      <c r="BG737" s="165" t="str">
        <f t="shared" si="539"/>
        <v>C</v>
      </c>
      <c r="BH737" s="65"/>
      <c r="BI737" s="65"/>
      <c r="BJ737" s="65"/>
      <c r="BK737" s="65"/>
      <c r="BL737" s="99"/>
      <c r="BM737" s="99"/>
      <c r="BN737" s="99"/>
    </row>
    <row r="738" spans="1:66" s="51" customFormat="1" ht="15.75" x14ac:dyDescent="0.25">
      <c r="A738" s="478">
        <v>15</v>
      </c>
      <c r="B738" s="479" t="s">
        <v>291</v>
      </c>
      <c r="C738" s="480" t="s">
        <v>4577</v>
      </c>
      <c r="D738" s="481" t="s">
        <v>293</v>
      </c>
      <c r="E738" s="482">
        <v>227.95</v>
      </c>
      <c r="F738" s="483" t="s">
        <v>292</v>
      </c>
      <c r="G738" s="484">
        <v>0</v>
      </c>
      <c r="H738" s="688" t="str">
        <f t="shared" si="544"/>
        <v/>
      </c>
      <c r="I738" s="485">
        <f t="shared" si="545"/>
        <v>0</v>
      </c>
      <c r="J738" s="485">
        <f t="shared" si="546"/>
        <v>0</v>
      </c>
      <c r="K738" s="715">
        <f t="shared" ref="K738" si="554">I738+J738</f>
        <v>0</v>
      </c>
      <c r="L738" s="715"/>
      <c r="M738" s="689" t="str">
        <f t="shared" ca="1" si="548"/>
        <v/>
      </c>
      <c r="N738" s="690"/>
      <c r="O738" s="486"/>
      <c r="P738" s="486"/>
      <c r="Q738" s="486"/>
      <c r="R738" s="486"/>
      <c r="S738" s="486"/>
      <c r="T738" s="102">
        <f t="shared" si="527"/>
        <v>0</v>
      </c>
      <c r="U738" s="78">
        <f>IF(NOT(ISNUMBER(G738)), "", VLOOKUP(A738,'Discount Lookup'!D:E,2,FALSE)*G738)</f>
        <v>0</v>
      </c>
      <c r="V738" s="78">
        <f>IF(NOT(ISNUMBER(G738)), "", VLOOKUP(A738,'Discount Lookup'!G:H,2,FALSE)*G738)</f>
        <v>0</v>
      </c>
      <c r="W738" s="102">
        <f t="shared" si="528"/>
        <v>0</v>
      </c>
      <c r="X738" s="102">
        <f t="shared" si="529"/>
        <v>0</v>
      </c>
      <c r="Y738" s="120" t="b">
        <f t="shared" si="530"/>
        <v>0</v>
      </c>
      <c r="Z738" s="117">
        <f t="shared" si="531"/>
        <v>0</v>
      </c>
      <c r="AA738" s="118"/>
      <c r="AB738" s="118" t="str">
        <f t="shared" si="532"/>
        <v/>
      </c>
      <c r="AC738" s="712" t="str">
        <f>IF(AE738="T2G","no charge",IF(AND(OR(PlanterYesMe="No",PlanterYesMe="N",PlanterYesMe="me"),H738=""),"",IF(H738="credit","NO install",IF(AND(K738="",AE738="me"),"EACH row",IF(AND(K738="images",AE738="me"),"EACH row",IF(D738="","",IF(H738="credit","",IF(AE738="free","re-planting",IF(AE738="me","   not ELP, by",IF(AND(OR(PlanterYesMe="Yes",PlanterYesMe="Y"),G738&gt;0),(VLOOKUP(A738,'Discount Lookup'!J:K,2)*G738*(1-PlanterDiscount)*(1+PlanterDifficultyPercentage)),IF(AE738="ELP",(VLOOKUP(A738,'Discount Lookup'!J:K,2)*G738*(1-PlanterDiscount)*(1+PlanterDifficultyPercentage)),IF(AE738="free","re-planting",IF(G738=0,"",IF(PlanterYesMe="",IF(AE738="me","   not ELP, by",IF(AE738="",IF(G738&gt;0,(VLOOKUP(A738,'Discount Lookup'!J:K,2)*G738*(1-PlanterDiscount)*(1+PlanterDifficultyPercentage)),""),"")),"   not ELP, by"))))))))))))))</f>
        <v/>
      </c>
      <c r="AD738" s="712"/>
      <c r="AE738" s="513" t="str">
        <f t="shared" si="533"/>
        <v/>
      </c>
      <c r="AF738" s="713" t="str">
        <f t="shared" si="534"/>
        <v/>
      </c>
      <c r="AG738" s="713"/>
      <c r="AH738" s="713"/>
      <c r="AI738" s="112">
        <f>IF(H738="credit",0,IF(AE738="free",0,IF(AE738="me",0,IF(G738&gt;0,(VLOOKUP(A738,'Discount Lookup'!J:K,2)*G738),0))))</f>
        <v>0</v>
      </c>
      <c r="AJ738" s="107" t="str">
        <f t="shared" ca="1" si="535"/>
        <v/>
      </c>
      <c r="AK738" s="714" t="str">
        <f t="shared" si="536"/>
        <v/>
      </c>
      <c r="AL738" s="714"/>
      <c r="AM738" s="114" t="str">
        <f t="shared" si="537"/>
        <v/>
      </c>
      <c r="AN738" s="115"/>
      <c r="AO738" s="116"/>
      <c r="AP738" s="116"/>
      <c r="AQ738" s="116"/>
      <c r="AR738" s="116"/>
      <c r="AS738" s="116"/>
      <c r="AT738" s="116"/>
      <c r="AU738" s="116"/>
      <c r="AV738" s="78"/>
      <c r="AW738" s="102"/>
      <c r="AX738" s="78"/>
      <c r="AY738" s="78"/>
      <c r="AZ738" s="78"/>
      <c r="BA738" s="78"/>
      <c r="BB738" s="78"/>
      <c r="BC738" s="78"/>
      <c r="BD738" s="78"/>
      <c r="BE738" s="465"/>
      <c r="BF738" s="165" t="str">
        <f t="shared" si="538"/>
        <v>https://www.google.com/search?tbm=isch&amp;q=15%20G6</v>
      </c>
      <c r="BG738" s="165" t="str">
        <f t="shared" si="539"/>
        <v>C</v>
      </c>
      <c r="BH738" s="65"/>
      <c r="BI738" s="65"/>
      <c r="BJ738" s="65"/>
      <c r="BK738" s="65"/>
      <c r="BL738" s="99"/>
      <c r="BM738" s="99"/>
      <c r="BN738" s="99"/>
    </row>
    <row r="739" spans="1:66" s="51" customFormat="1" ht="15.75" x14ac:dyDescent="0.25">
      <c r="A739" s="478">
        <v>25</v>
      </c>
      <c r="B739" s="479" t="s">
        <v>291</v>
      </c>
      <c r="C739" s="480" t="s">
        <v>1843</v>
      </c>
      <c r="D739" s="481" t="s">
        <v>299</v>
      </c>
      <c r="E739" s="482">
        <v>445.95</v>
      </c>
      <c r="F739" s="483" t="s">
        <v>292</v>
      </c>
      <c r="G739" s="484">
        <v>0</v>
      </c>
      <c r="H739" s="688" t="str">
        <f t="shared" si="544"/>
        <v/>
      </c>
      <c r="I739" s="485">
        <f t="shared" si="545"/>
        <v>0</v>
      </c>
      <c r="J739" s="485">
        <f t="shared" si="546"/>
        <v>0</v>
      </c>
      <c r="K739" s="715">
        <f t="shared" ref="K739" si="555">I739+J739</f>
        <v>0</v>
      </c>
      <c r="L739" s="715"/>
      <c r="M739" s="689" t="str">
        <f t="shared" ca="1" si="548"/>
        <v/>
      </c>
      <c r="N739" s="690"/>
      <c r="O739" s="486"/>
      <c r="P739" s="486"/>
      <c r="Q739" s="486"/>
      <c r="R739" s="486"/>
      <c r="S739" s="486"/>
      <c r="T739" s="102">
        <f t="shared" si="527"/>
        <v>0</v>
      </c>
      <c r="U739" s="78">
        <f>IF(NOT(ISNUMBER(G739)), "", VLOOKUP(A739,'Discount Lookup'!D:E,2,FALSE)*G739)</f>
        <v>0</v>
      </c>
      <c r="V739" s="78">
        <f>IF(NOT(ISNUMBER(G739)), "", VLOOKUP(A739,'Discount Lookup'!G:H,2,FALSE)*G739)</f>
        <v>0</v>
      </c>
      <c r="W739" s="102">
        <f t="shared" si="528"/>
        <v>0</v>
      </c>
      <c r="X739" s="102">
        <f t="shared" si="529"/>
        <v>0</v>
      </c>
      <c r="Y739" s="120" t="b">
        <f t="shared" si="530"/>
        <v>0</v>
      </c>
      <c r="Z739" s="117">
        <f t="shared" si="531"/>
        <v>0</v>
      </c>
      <c r="AA739" s="118"/>
      <c r="AB739" s="118" t="str">
        <f t="shared" si="532"/>
        <v/>
      </c>
      <c r="AC739" s="712" t="str">
        <f>IF(AE739="T2G","no charge",IF(AND(OR(PlanterYesMe="No",PlanterYesMe="N",PlanterYesMe="me"),H739=""),"",IF(H739="credit","NO install",IF(AND(K739="",AE739="me"),"EACH row",IF(AND(K739="images",AE739="me"),"EACH row",IF(D739="","",IF(H739="credit","",IF(AE739="free","re-planting",IF(AE739="me","   not ELP, by",IF(AND(OR(PlanterYesMe="Yes",PlanterYesMe="Y"),G739&gt;0),(VLOOKUP(A739,'Discount Lookup'!J:K,2)*G739*(1-PlanterDiscount)*(1+PlanterDifficultyPercentage)),IF(AE739="ELP",(VLOOKUP(A739,'Discount Lookup'!J:K,2)*G739*(1-PlanterDiscount)*(1+PlanterDifficultyPercentage)),IF(AE739="free","re-planting",IF(G739=0,"",IF(PlanterYesMe="",IF(AE739="me","   not ELP, by",IF(AE739="",IF(G739&gt;0,(VLOOKUP(A739,'Discount Lookup'!J:K,2)*G739*(1-PlanterDiscount)*(1+PlanterDifficultyPercentage)),""),"")),"   not ELP, by"))))))))))))))</f>
        <v/>
      </c>
      <c r="AD739" s="712"/>
      <c r="AE739" s="513" t="str">
        <f t="shared" si="533"/>
        <v/>
      </c>
      <c r="AF739" s="713" t="str">
        <f t="shared" si="534"/>
        <v/>
      </c>
      <c r="AG739" s="713"/>
      <c r="AH739" s="713"/>
      <c r="AI739" s="112">
        <f>IF(H739="credit",0,IF(AE739="free",0,IF(AE739="me",0,IF(G739&gt;0,(VLOOKUP(A739,'Discount Lookup'!J:K,2)*G739),0))))</f>
        <v>0</v>
      </c>
      <c r="AJ739" s="107" t="str">
        <f t="shared" ca="1" si="535"/>
        <v/>
      </c>
      <c r="AK739" s="714" t="str">
        <f t="shared" si="536"/>
        <v/>
      </c>
      <c r="AL739" s="714"/>
      <c r="AM739" s="114" t="str">
        <f t="shared" si="537"/>
        <v/>
      </c>
      <c r="AN739" s="115"/>
      <c r="AO739" s="116"/>
      <c r="AP739" s="116"/>
      <c r="AQ739" s="116"/>
      <c r="AR739" s="116"/>
      <c r="AS739" s="116"/>
      <c r="AT739" s="116"/>
      <c r="AU739" s="116"/>
      <c r="AV739" s="78"/>
      <c r="AW739" s="102"/>
      <c r="AX739" s="78"/>
      <c r="AY739" s="78"/>
      <c r="AZ739" s="78"/>
      <c r="BA739" s="78"/>
      <c r="BB739" s="78"/>
      <c r="BC739" s="78"/>
      <c r="BD739" s="78"/>
      <c r="BE739" s="465"/>
      <c r="BF739" s="165" t="str">
        <f t="shared" si="538"/>
        <v>https://www.google.com/search?tbm=isch&amp;q=25%20G4</v>
      </c>
      <c r="BG739" s="165" t="str">
        <f t="shared" si="539"/>
        <v>C</v>
      </c>
      <c r="BH739" s="65"/>
      <c r="BI739" s="65"/>
      <c r="BJ739" s="65"/>
      <c r="BK739" s="65"/>
      <c r="BL739" s="99"/>
      <c r="BM739" s="99"/>
      <c r="BN739" s="99"/>
    </row>
    <row r="740" spans="1:66" s="51" customFormat="1" ht="17.25" thickBot="1" x14ac:dyDescent="0.3">
      <c r="A740" s="705" t="s">
        <v>5351</v>
      </c>
      <c r="B740" s="487"/>
      <c r="C740" s="707"/>
      <c r="D740" s="487"/>
      <c r="E740" s="487"/>
      <c r="F740" s="488"/>
      <c r="G740" s="489"/>
      <c r="H740" s="487"/>
      <c r="I740" s="490"/>
      <c r="J740" s="490"/>
      <c r="K740" s="491"/>
      <c r="L740" s="547"/>
      <c r="M740" s="528"/>
      <c r="N740" s="492"/>
      <c r="O740" s="493"/>
      <c r="P740" s="494"/>
      <c r="Q740" s="492"/>
      <c r="R740" s="492"/>
      <c r="S740" s="699" t="s">
        <v>5275</v>
      </c>
      <c r="T740" s="102">
        <f t="shared" si="527"/>
        <v>0</v>
      </c>
      <c r="U740" s="78" t="str">
        <f>IF(NOT(ISNUMBER(G740)), "", VLOOKUP(A740,'Discount Lookup'!D:E,2,FALSE)*G740)</f>
        <v/>
      </c>
      <c r="V740" s="78" t="str">
        <f>IF(NOT(ISNUMBER(G740)), "", VLOOKUP(A740,'Discount Lookup'!G:H,2,FALSE)*G740)</f>
        <v/>
      </c>
      <c r="W740" s="102">
        <f t="shared" si="528"/>
        <v>0</v>
      </c>
      <c r="X740" s="102">
        <f t="shared" si="529"/>
        <v>0</v>
      </c>
      <c r="Y740" s="120" t="b">
        <f t="shared" si="530"/>
        <v>0</v>
      </c>
      <c r="Z740" s="117">
        <f t="shared" si="531"/>
        <v>0</v>
      </c>
      <c r="AA740" s="118"/>
      <c r="AB740" s="118" t="str">
        <f t="shared" si="532"/>
        <v/>
      </c>
      <c r="AC740" s="712" t="str">
        <f>IF(AE740="T2G","no charge",IF(AND(OR(PlanterYesMe="No",PlanterYesMe="N",PlanterYesMe="me"),H740=""),"",IF(H740="credit","NO install",IF(AND(K740="",AE740="me"),"EACH row",IF(AND(K740="images",AE740="me"),"EACH row",IF(D740="","",IF(H740="credit","",IF(AE740="free","re-planting",IF(AE740="me","   not ELP, by",IF(AND(OR(PlanterYesMe="Yes",PlanterYesMe="Y"),G740&gt;0),(VLOOKUP(A740,'Discount Lookup'!J:K,2)*G740*(1-PlanterDiscount)*(1+PlanterDifficultyPercentage)),IF(AE740="ELP",(VLOOKUP(A740,'Discount Lookup'!J:K,2)*G740*(1-PlanterDiscount)*(1+PlanterDifficultyPercentage)),IF(AE740="free","re-planting",IF(G740=0,"",IF(PlanterYesMe="",IF(AE740="me","   not ELP, by",IF(AE740="",IF(G740&gt;0,(VLOOKUP(A740,'Discount Lookup'!J:K,2)*G740*(1-PlanterDiscount)*(1+PlanterDifficultyPercentage)),""),"")),"   not ELP, by"))))))))))))))</f>
        <v/>
      </c>
      <c r="AD740" s="712"/>
      <c r="AE740" s="513" t="str">
        <f t="shared" si="533"/>
        <v/>
      </c>
      <c r="AF740" s="713" t="str">
        <f t="shared" si="534"/>
        <v/>
      </c>
      <c r="AG740" s="713"/>
      <c r="AH740" s="713"/>
      <c r="AI740" s="112">
        <f>IF(H740="credit",0,IF(AE740="free",0,IF(AE740="me",0,IF(G740&gt;0,(VLOOKUP(A740,'Discount Lookup'!J:K,2)*G740),0))))</f>
        <v>0</v>
      </c>
      <c r="AJ740" s="107" t="str">
        <f t="shared" ca="1" si="535"/>
        <v/>
      </c>
      <c r="AK740" s="714" t="str">
        <f t="shared" si="536"/>
        <v/>
      </c>
      <c r="AL740" s="714"/>
      <c r="AM740" s="114" t="str">
        <f t="shared" si="537"/>
        <v/>
      </c>
      <c r="AN740" s="115"/>
      <c r="AO740" s="116"/>
      <c r="AP740" s="116"/>
      <c r="AQ740" s="116"/>
      <c r="AR740" s="116"/>
      <c r="AS740" s="116"/>
      <c r="AT740" s="116"/>
      <c r="AU740" s="116"/>
      <c r="AV740" s="78"/>
      <c r="AW740" s="102"/>
      <c r="AX740" s="78"/>
      <c r="AY740" s="78"/>
      <c r="AZ740" s="78"/>
      <c r="BA740" s="78"/>
      <c r="BB740" s="78"/>
      <c r="BC740" s="78"/>
      <c r="BD740" s="78"/>
      <c r="BE740" s="465"/>
      <c r="BF740" s="165" t="str">
        <f t="shared" si="538"/>
        <v>https://www.google.com/search?tbm=isch&amp;q=moist%20sites%F0%9F%92%A7OK%2C%20Kanjiro%20Camellia%20has%20a%20light%2C%20subtle%20fragrance.%20Blooms%20profusely%20in%20the%20fall%20and%20early%20winter%20with%20semi-double%20flowers%20</v>
      </c>
      <c r="BG740" s="165" t="str">
        <f t="shared" si="539"/>
        <v>m</v>
      </c>
      <c r="BH740" s="65"/>
      <c r="BI740" s="65"/>
      <c r="BJ740" s="65"/>
      <c r="BK740" s="65"/>
      <c r="BL740" s="99"/>
      <c r="BM740" s="99"/>
      <c r="BN740" s="99"/>
    </row>
    <row r="741" spans="1:66" s="51" customFormat="1" ht="18" x14ac:dyDescent="0.25">
      <c r="A741" s="507" t="s">
        <v>1844</v>
      </c>
      <c r="B741" s="470"/>
      <c r="C741" s="706"/>
      <c r="D741" s="471" t="s">
        <v>1845</v>
      </c>
      <c r="E741" s="472"/>
      <c r="F741" s="472"/>
      <c r="G741" s="472"/>
      <c r="H741" s="622" t="s">
        <v>1264</v>
      </c>
      <c r="I741" s="473" t="s">
        <v>349</v>
      </c>
      <c r="J741" s="472"/>
      <c r="K741" s="472"/>
      <c r="L741" s="561"/>
      <c r="M741" s="703" t="s">
        <v>5260</v>
      </c>
      <c r="N741" s="692" t="str">
        <f>IF(AND(ISTEXT($A741), ISERROR($A741+0)), HYPERLINK($BF741, "Images"), "")</f>
        <v>Images</v>
      </c>
      <c r="O741" s="694" t="s">
        <v>5247</v>
      </c>
      <c r="P741" s="475"/>
      <c r="Q741" s="476"/>
      <c r="R741" s="476"/>
      <c r="S741" s="477"/>
      <c r="T741" s="102">
        <f t="shared" si="527"/>
        <v>0</v>
      </c>
      <c r="U741" s="78" t="str">
        <f>IF(NOT(ISNUMBER(G741)), "", VLOOKUP(A741,'Discount Lookup'!D:E,2,FALSE)*G741)</f>
        <v/>
      </c>
      <c r="V741" s="78" t="str">
        <f>IF(NOT(ISNUMBER(G741)), "", VLOOKUP(A741,'Discount Lookup'!G:H,2,FALSE)*G741)</f>
        <v/>
      </c>
      <c r="W741" s="102">
        <f t="shared" si="528"/>
        <v>0</v>
      </c>
      <c r="X741" s="102" t="str">
        <f t="shared" si="529"/>
        <v>White bloom</v>
      </c>
      <c r="Y741" s="120" t="b">
        <f t="shared" si="530"/>
        <v>0</v>
      </c>
      <c r="Z741" s="117">
        <f t="shared" si="531"/>
        <v>0</v>
      </c>
      <c r="AA741" s="118"/>
      <c r="AB741" s="118" t="str">
        <f t="shared" si="532"/>
        <v/>
      </c>
      <c r="AC741" s="712" t="str">
        <f>IF(AE741="T2G","no charge",IF(AND(OR(PlanterYesMe="No",PlanterYesMe="N",PlanterYesMe="me"),H741=""),"",IF(H741="credit","NO install",IF(AND(K741="",AE741="me"),"EACH row",IF(AND(K741="images",AE741="me"),"EACH row",IF(D741="","",IF(H741="credit","",IF(AE741="free","re-planting",IF(AE741="me","   not ELP, by",IF(AND(OR(PlanterYesMe="Yes",PlanterYesMe="Y"),G741&gt;0),(VLOOKUP(A741,'Discount Lookup'!J:K,2)*G741*(1-PlanterDiscount)*(1+PlanterDifficultyPercentage)),IF(AE741="ELP",(VLOOKUP(A741,'Discount Lookup'!J:K,2)*G741*(1-PlanterDiscount)*(1+PlanterDifficultyPercentage)),IF(AE741="free","re-planting",IF(G741=0,"",IF(PlanterYesMe="",IF(AE741="me","   not ELP, by",IF(AE741="",IF(G741&gt;0,(VLOOKUP(A741,'Discount Lookup'!J:K,2)*G741*(1-PlanterDiscount)*(1+PlanterDifficultyPercentage)),""),"")),"   not ELP, by"))))))))))))))</f>
        <v/>
      </c>
      <c r="AD741" s="712"/>
      <c r="AE741" s="513" t="str">
        <f t="shared" si="533"/>
        <v/>
      </c>
      <c r="AF741" s="713" t="str">
        <f t="shared" si="534"/>
        <v/>
      </c>
      <c r="AG741" s="713"/>
      <c r="AH741" s="713"/>
      <c r="AI741" s="112">
        <f>IF(H741="credit",0,IF(AE741="free",0,IF(AE741="me",0,IF(G741&gt;0,(VLOOKUP(A741,'Discount Lookup'!J:K,2)*G741),0))))</f>
        <v>0</v>
      </c>
      <c r="AJ741" s="107" t="str">
        <f t="shared" ca="1" si="535"/>
        <v/>
      </c>
      <c r="AK741" s="714" t="str">
        <f t="shared" si="536"/>
        <v/>
      </c>
      <c r="AL741" s="714"/>
      <c r="AM741" s="114" t="str">
        <f t="shared" si="537"/>
        <v/>
      </c>
      <c r="AN741" s="115"/>
      <c r="AO741" s="116"/>
      <c r="AP741" s="116"/>
      <c r="AQ741" s="116"/>
      <c r="AR741" s="116"/>
      <c r="AS741" s="116"/>
      <c r="AT741" s="116"/>
      <c r="AU741" s="116"/>
      <c r="AV741" s="78"/>
      <c r="AW741" s="102"/>
      <c r="AX741" s="78"/>
      <c r="AY741" s="78"/>
      <c r="AZ741" s="78"/>
      <c r="BA741" s="78"/>
      <c r="BB741" s="78"/>
      <c r="BC741" s="78"/>
      <c r="BD741" s="78"/>
      <c r="BE741" s="465"/>
      <c r="BF741" s="165" t="str">
        <f t="shared" si="538"/>
        <v>https://www.google.com/search?tbm=isch&amp;q=Camellia%20sasanqua%20%27Mine-No-Yuki%27%20White%20Doves%20Camellia%20</v>
      </c>
      <c r="BG741" s="165" t="str">
        <f t="shared" si="539"/>
        <v>C</v>
      </c>
      <c r="BH741" s="65"/>
      <c r="BI741" s="65"/>
      <c r="BJ741" s="65"/>
      <c r="BK741" s="65"/>
      <c r="BL741" s="99"/>
      <c r="BM741" s="99"/>
      <c r="BN741" s="99"/>
    </row>
    <row r="742" spans="1:66" s="51" customFormat="1" ht="15.75" x14ac:dyDescent="0.25">
      <c r="A742" s="478">
        <v>7</v>
      </c>
      <c r="B742" s="479" t="s">
        <v>291</v>
      </c>
      <c r="C742" s="480" t="s">
        <v>4578</v>
      </c>
      <c r="D742" s="481" t="s">
        <v>293</v>
      </c>
      <c r="E742" s="482">
        <v>111.95</v>
      </c>
      <c r="F742" s="483" t="s">
        <v>292</v>
      </c>
      <c r="G742" s="484">
        <v>0</v>
      </c>
      <c r="H742" s="688" t="str">
        <f>IF(G742=0,"",IF(F742="Buy",IF(G742=1,"plant","plants"),IF(F742&gt;0.01,"warranty","Error")))</f>
        <v/>
      </c>
      <c r="I742" s="485">
        <f>IF(H742="free",0,IF(H742="credit",((E742*(F742))*G742*-1),IF(F742="Buy",(E742*G742),((E742*(1-F742))*G742))))</f>
        <v>0</v>
      </c>
      <c r="J742" s="485">
        <f>IF(H742="warranty",0,(I742*(_xlfn.SINGLE(SalesTaxPercentage))))</f>
        <v>0</v>
      </c>
      <c r="K742" s="715">
        <f t="shared" ref="K742" si="556">I742+J742</f>
        <v>0</v>
      </c>
      <c r="L742" s="715"/>
      <c r="M742" s="689" t="str">
        <f ca="1">IF(AND(G742&gt;0,E742=0),"WARNING - no PRICE inserted",IF(H742="free","FREE ~ no charge this plant",IF(H742="credit",CONCATENATE("-$",ROUND(K742*(1-_xlfn.SINGLE(T2GDiscount))*-1,2)," CREDIT after discount"),IF(_xlfn.SINGLE(T2GDiscount)=0,"",IF(G742=0,"",IF(F742="Buy",CONCATENATE("$",ROUND(K742*(1-_xlfn.SINGLE(T2GDiscount)),2)," with ",(_xlfn.SINGLE(T2GDiscount)*100),"% discount"),CONCATENATE("$",ROUND(K742*(1-_xlfn.SINGLE(T2GDiscount)),2)," with ",((_xlfn.SINGLE(T2GDiscount)*100+F742*100)-(_xlfn.SINGLE(T2GDiscount)*100*F742)),IF(F742&gt;0,"% discounts",IF(_xlfn.SINGLE(NoWarrantyDiscount)&gt;0,"% discounts","% discount")))))))))</f>
        <v/>
      </c>
      <c r="N742" s="690"/>
      <c r="O742" s="486"/>
      <c r="P742" s="486"/>
      <c r="Q742" s="486"/>
      <c r="R742" s="486"/>
      <c r="S742" s="486"/>
      <c r="T742" s="102">
        <f t="shared" si="527"/>
        <v>0</v>
      </c>
      <c r="U742" s="78">
        <f>IF(NOT(ISNUMBER(G742)), "", VLOOKUP(A742,'Discount Lookup'!D:E,2,FALSE)*G742)</f>
        <v>0</v>
      </c>
      <c r="V742" s="78">
        <f>IF(NOT(ISNUMBER(G742)), "", VLOOKUP(A742,'Discount Lookup'!G:H,2,FALSE)*G742)</f>
        <v>0</v>
      </c>
      <c r="W742" s="102">
        <f t="shared" si="528"/>
        <v>0</v>
      </c>
      <c r="X742" s="102">
        <f t="shared" si="529"/>
        <v>0</v>
      </c>
      <c r="Y742" s="120" t="b">
        <f t="shared" si="530"/>
        <v>0</v>
      </c>
      <c r="Z742" s="117">
        <f t="shared" si="531"/>
        <v>0</v>
      </c>
      <c r="AA742" s="118"/>
      <c r="AB742" s="118" t="str">
        <f t="shared" si="532"/>
        <v/>
      </c>
      <c r="AC742" s="712" t="str">
        <f>IF(AE742="T2G","no charge",IF(AND(OR(PlanterYesMe="No",PlanterYesMe="N",PlanterYesMe="me"),H742=""),"",IF(H742="credit","NO install",IF(AND(K742="",AE742="me"),"EACH row",IF(AND(K742="images",AE742="me"),"EACH row",IF(D742="","",IF(H742="credit","",IF(AE742="free","re-planting",IF(AE742="me","   not ELP, by",IF(AND(OR(PlanterYesMe="Yes",PlanterYesMe="Y"),G742&gt;0),(VLOOKUP(A742,'Discount Lookup'!J:K,2)*G742*(1-PlanterDiscount)*(1+PlanterDifficultyPercentage)),IF(AE742="ELP",(VLOOKUP(A742,'Discount Lookup'!J:K,2)*G742*(1-PlanterDiscount)*(1+PlanterDifficultyPercentage)),IF(AE742="free","re-planting",IF(G742=0,"",IF(PlanterYesMe="",IF(AE742="me","   not ELP, by",IF(AE742="",IF(G742&gt;0,(VLOOKUP(A742,'Discount Lookup'!J:K,2)*G742*(1-PlanterDiscount)*(1+PlanterDifficultyPercentage)),""),"")),"   not ELP, by"))))))))))))))</f>
        <v/>
      </c>
      <c r="AD742" s="712"/>
      <c r="AE742" s="513" t="str">
        <f t="shared" si="533"/>
        <v/>
      </c>
      <c r="AF742" s="713" t="str">
        <f t="shared" si="534"/>
        <v/>
      </c>
      <c r="AG742" s="713"/>
      <c r="AH742" s="713"/>
      <c r="AI742" s="112">
        <f>IF(H742="credit",0,IF(AE742="free",0,IF(AE742="me",0,IF(G742&gt;0,(VLOOKUP(A742,'Discount Lookup'!J:K,2)*G742),0))))</f>
        <v>0</v>
      </c>
      <c r="AJ742" s="107" t="str">
        <f t="shared" ca="1" si="535"/>
        <v/>
      </c>
      <c r="AK742" s="714" t="str">
        <f t="shared" si="536"/>
        <v/>
      </c>
      <c r="AL742" s="714"/>
      <c r="AM742" s="114" t="str">
        <f t="shared" si="537"/>
        <v/>
      </c>
      <c r="AN742" s="115"/>
      <c r="AO742" s="116"/>
      <c r="AP742" s="116"/>
      <c r="AQ742" s="116"/>
      <c r="AR742" s="116"/>
      <c r="AS742" s="116"/>
      <c r="AT742" s="116"/>
      <c r="AU742" s="116"/>
      <c r="AV742" s="78"/>
      <c r="AW742" s="102"/>
      <c r="AX742" s="78"/>
      <c r="AY742" s="78"/>
      <c r="AZ742" s="78"/>
      <c r="BA742" s="78"/>
      <c r="BB742" s="78"/>
      <c r="BC742" s="78"/>
      <c r="BD742" s="78"/>
      <c r="BE742" s="465"/>
      <c r="BF742" s="165" t="str">
        <f t="shared" si="538"/>
        <v>https://www.google.com/search?tbm=isch&amp;q=7%20G6</v>
      </c>
      <c r="BG742" s="165" t="str">
        <f t="shared" si="539"/>
        <v>C</v>
      </c>
      <c r="BH742" s="65"/>
      <c r="BI742" s="65"/>
      <c r="BJ742" s="65"/>
      <c r="BK742" s="65"/>
      <c r="BL742" s="99"/>
      <c r="BM742" s="99"/>
      <c r="BN742" s="99"/>
    </row>
    <row r="743" spans="1:66" s="51" customFormat="1" ht="17.25" thickBot="1" x14ac:dyDescent="0.3">
      <c r="A743" s="705" t="s">
        <v>5352</v>
      </c>
      <c r="B743" s="487"/>
      <c r="C743" s="707"/>
      <c r="D743" s="487"/>
      <c r="E743" s="487"/>
      <c r="F743" s="488"/>
      <c r="G743" s="489"/>
      <c r="H743" s="487"/>
      <c r="I743" s="490"/>
      <c r="J743" s="490"/>
      <c r="K743" s="491"/>
      <c r="L743" s="547"/>
      <c r="M743" s="528"/>
      <c r="N743" s="492"/>
      <c r="O743" s="493"/>
      <c r="P743" s="494"/>
      <c r="Q743" s="492"/>
      <c r="R743" s="492"/>
      <c r="S743" s="699" t="s">
        <v>5275</v>
      </c>
      <c r="T743" s="102">
        <f t="shared" si="527"/>
        <v>0</v>
      </c>
      <c r="U743" s="78" t="str">
        <f>IF(NOT(ISNUMBER(G743)), "", VLOOKUP(A743,'Discount Lookup'!D:E,2,FALSE)*G743)</f>
        <v/>
      </c>
      <c r="V743" s="78" t="str">
        <f>IF(NOT(ISNUMBER(G743)), "", VLOOKUP(A743,'Discount Lookup'!G:H,2,FALSE)*G743)</f>
        <v/>
      </c>
      <c r="W743" s="102">
        <f t="shared" si="528"/>
        <v>0</v>
      </c>
      <c r="X743" s="102">
        <f t="shared" si="529"/>
        <v>0</v>
      </c>
      <c r="Y743" s="120" t="b">
        <f t="shared" si="530"/>
        <v>0</v>
      </c>
      <c r="Z743" s="117">
        <f t="shared" si="531"/>
        <v>0</v>
      </c>
      <c r="AA743" s="118"/>
      <c r="AB743" s="118" t="str">
        <f t="shared" si="532"/>
        <v/>
      </c>
      <c r="AC743" s="712" t="str">
        <f>IF(AE743="T2G","no charge",IF(AND(OR(PlanterYesMe="No",PlanterYesMe="N",PlanterYesMe="me"),H743=""),"",IF(H743="credit","NO install",IF(AND(K743="",AE743="me"),"EACH row",IF(AND(K743="images",AE743="me"),"EACH row",IF(D743="","",IF(H743="credit","",IF(AE743="free","re-planting",IF(AE743="me","   not ELP, by",IF(AND(OR(PlanterYesMe="Yes",PlanterYesMe="Y"),G743&gt;0),(VLOOKUP(A743,'Discount Lookup'!J:K,2)*G743*(1-PlanterDiscount)*(1+PlanterDifficultyPercentage)),IF(AE743="ELP",(VLOOKUP(A743,'Discount Lookup'!J:K,2)*G743*(1-PlanterDiscount)*(1+PlanterDifficultyPercentage)),IF(AE743="free","re-planting",IF(G743=0,"",IF(PlanterYesMe="",IF(AE743="me","   not ELP, by",IF(AE743="",IF(G743&gt;0,(VLOOKUP(A743,'Discount Lookup'!J:K,2)*G743*(1-PlanterDiscount)*(1+PlanterDifficultyPercentage)),""),"")),"   not ELP, by"))))))))))))))</f>
        <v/>
      </c>
      <c r="AD743" s="712"/>
      <c r="AE743" s="513" t="str">
        <f t="shared" si="533"/>
        <v/>
      </c>
      <c r="AF743" s="713" t="str">
        <f t="shared" si="534"/>
        <v/>
      </c>
      <c r="AG743" s="713"/>
      <c r="AH743" s="713"/>
      <c r="AI743" s="112">
        <f>IF(H743="credit",0,IF(AE743="free",0,IF(AE743="me",0,IF(G743&gt;0,(VLOOKUP(A743,'Discount Lookup'!J:K,2)*G743),0))))</f>
        <v>0</v>
      </c>
      <c r="AJ743" s="107" t="str">
        <f t="shared" ca="1" si="535"/>
        <v/>
      </c>
      <c r="AK743" s="714" t="str">
        <f t="shared" si="536"/>
        <v/>
      </c>
      <c r="AL743" s="714"/>
      <c r="AM743" s="114" t="str">
        <f t="shared" si="537"/>
        <v/>
      </c>
      <c r="AN743" s="115"/>
      <c r="AO743" s="116"/>
      <c r="AP743" s="116"/>
      <c r="AQ743" s="116"/>
      <c r="AR743" s="116"/>
      <c r="AS743" s="116"/>
      <c r="AT743" s="116"/>
      <c r="AU743" s="116"/>
      <c r="AV743" s="78"/>
      <c r="AW743" s="102"/>
      <c r="AX743" s="78"/>
      <c r="AY743" s="78"/>
      <c r="AZ743" s="78"/>
      <c r="BA743" s="78"/>
      <c r="BB743" s="78"/>
      <c r="BC743" s="78"/>
      <c r="BD743" s="78"/>
      <c r="BE743" s="465"/>
      <c r="BF743" s="165" t="str">
        <f t="shared" si="538"/>
        <v>https://www.google.com/search?tbm=isch&amp;q=moist%20sites%F0%9F%92%A7OK%2C%20White%20Doves%20brings%20serene%20elegance%20to%20fall%20and%20winter%20gardens%20with%20its%20fragrant%20blooms%20and%20graceful%20form%20</v>
      </c>
      <c r="BG743" s="165" t="str">
        <f t="shared" si="539"/>
        <v>m</v>
      </c>
      <c r="BH743" s="65"/>
      <c r="BI743" s="65"/>
      <c r="BJ743" s="65"/>
      <c r="BK743" s="65"/>
      <c r="BL743" s="99"/>
      <c r="BM743" s="99"/>
      <c r="BN743" s="99"/>
    </row>
    <row r="744" spans="1:66" s="51" customFormat="1" ht="18" x14ac:dyDescent="0.25">
      <c r="A744" s="507" t="s">
        <v>1846</v>
      </c>
      <c r="B744" s="470"/>
      <c r="C744" s="706"/>
      <c r="D744" s="471" t="s">
        <v>1847</v>
      </c>
      <c r="E744" s="472"/>
      <c r="F744" s="472"/>
      <c r="G744" s="472"/>
      <c r="H744" s="622" t="s">
        <v>1848</v>
      </c>
      <c r="I744" s="473" t="s">
        <v>1458</v>
      </c>
      <c r="J744" s="472"/>
      <c r="K744" s="472"/>
      <c r="L744" s="561"/>
      <c r="M744" s="703" t="s">
        <v>5260</v>
      </c>
      <c r="N744" s="692" t="str">
        <f>IF(AND(ISTEXT($A744), ISERROR($A744+0)), HYPERLINK($BF744, "Images"), "")</f>
        <v>Images</v>
      </c>
      <c r="O744" s="694" t="s">
        <v>5247</v>
      </c>
      <c r="P744" s="475"/>
      <c r="Q744" s="476"/>
      <c r="R744" s="476"/>
      <c r="S744" s="477"/>
      <c r="T744" s="102">
        <f t="shared" si="527"/>
        <v>0</v>
      </c>
      <c r="U744" s="78" t="str">
        <f>IF(NOT(ISNUMBER(G744)), "", VLOOKUP(A744,'Discount Lookup'!D:E,2,FALSE)*G744)</f>
        <v/>
      </c>
      <c r="V744" s="78" t="str">
        <f>IF(NOT(ISNUMBER(G744)), "", VLOOKUP(A744,'Discount Lookup'!G:H,2,FALSE)*G744)</f>
        <v/>
      </c>
      <c r="W744" s="102">
        <f t="shared" si="528"/>
        <v>0</v>
      </c>
      <c r="X744" s="102" t="str">
        <f t="shared" si="529"/>
        <v>Pink bloom</v>
      </c>
      <c r="Y744" s="120" t="b">
        <f t="shared" si="530"/>
        <v>0</v>
      </c>
      <c r="Z744" s="117">
        <f t="shared" si="531"/>
        <v>0</v>
      </c>
      <c r="AA744" s="118"/>
      <c r="AB744" s="118" t="str">
        <f t="shared" si="532"/>
        <v/>
      </c>
      <c r="AC744" s="712" t="str">
        <f>IF(AE744="T2G","no charge",IF(AND(OR(PlanterYesMe="No",PlanterYesMe="N",PlanterYesMe="me"),H744=""),"",IF(H744="credit","NO install",IF(AND(K744="",AE744="me"),"EACH row",IF(AND(K744="images",AE744="me"),"EACH row",IF(D744="","",IF(H744="credit","",IF(AE744="free","re-planting",IF(AE744="me","   not ELP, by",IF(AND(OR(PlanterYesMe="Yes",PlanterYesMe="Y"),G744&gt;0),(VLOOKUP(A744,'Discount Lookup'!J:K,2)*G744*(1-PlanterDiscount)*(1+PlanterDifficultyPercentage)),IF(AE744="ELP",(VLOOKUP(A744,'Discount Lookup'!J:K,2)*G744*(1-PlanterDiscount)*(1+PlanterDifficultyPercentage)),IF(AE744="free","re-planting",IF(G744=0,"",IF(PlanterYesMe="",IF(AE744="me","   not ELP, by",IF(AE744="",IF(G744&gt;0,(VLOOKUP(A744,'Discount Lookup'!J:K,2)*G744*(1-PlanterDiscount)*(1+PlanterDifficultyPercentage)),""),"")),"   not ELP, by"))))))))))))))</f>
        <v/>
      </c>
      <c r="AD744" s="712"/>
      <c r="AE744" s="513" t="str">
        <f t="shared" si="533"/>
        <v/>
      </c>
      <c r="AF744" s="713" t="str">
        <f t="shared" si="534"/>
        <v/>
      </c>
      <c r="AG744" s="713"/>
      <c r="AH744" s="713"/>
      <c r="AI744" s="112">
        <f>IF(H744="credit",0,IF(AE744="free",0,IF(AE744="me",0,IF(G744&gt;0,(VLOOKUP(A744,'Discount Lookup'!J:K,2)*G744),0))))</f>
        <v>0</v>
      </c>
      <c r="AJ744" s="107" t="str">
        <f t="shared" ca="1" si="535"/>
        <v/>
      </c>
      <c r="AK744" s="714" t="str">
        <f t="shared" si="536"/>
        <v/>
      </c>
      <c r="AL744" s="714"/>
      <c r="AM744" s="114" t="str">
        <f t="shared" si="537"/>
        <v/>
      </c>
      <c r="AN744" s="115"/>
      <c r="AO744" s="116"/>
      <c r="AP744" s="116"/>
      <c r="AQ744" s="116"/>
      <c r="AR744" s="116"/>
      <c r="AS744" s="116"/>
      <c r="AT744" s="116"/>
      <c r="AU744" s="116"/>
      <c r="AV744" s="78"/>
      <c r="AW744" s="102"/>
      <c r="AX744" s="78"/>
      <c r="AY744" s="78"/>
      <c r="AZ744" s="78"/>
      <c r="BA744" s="78"/>
      <c r="BB744" s="78"/>
      <c r="BC744" s="78"/>
      <c r="BD744" s="78"/>
      <c r="BE744" s="465"/>
      <c r="BF744" s="165" t="str">
        <f t="shared" si="538"/>
        <v>https://www.google.com/search?tbm=isch&amp;q=Camellia%20sasanqua%20%27Shishigashira%27%20Shishigashira%20Camellia</v>
      </c>
      <c r="BG744" s="165" t="str">
        <f t="shared" si="539"/>
        <v>C</v>
      </c>
      <c r="BH744" s="65"/>
      <c r="BI744" s="65"/>
      <c r="BJ744" s="65"/>
      <c r="BK744" s="65"/>
      <c r="BL744" s="99"/>
      <c r="BM744" s="99"/>
      <c r="BN744" s="99"/>
    </row>
    <row r="745" spans="1:66" s="51" customFormat="1" ht="15.75" x14ac:dyDescent="0.25">
      <c r="A745" s="478">
        <v>7</v>
      </c>
      <c r="B745" s="479" t="s">
        <v>291</v>
      </c>
      <c r="C745" s="480" t="s">
        <v>1849</v>
      </c>
      <c r="D745" s="481" t="s">
        <v>311</v>
      </c>
      <c r="E745" s="482">
        <v>102.95</v>
      </c>
      <c r="F745" s="483" t="s">
        <v>292</v>
      </c>
      <c r="G745" s="484">
        <v>0</v>
      </c>
      <c r="H745" s="688" t="str">
        <f>IF(G745=0,"",IF(F745="Buy",IF(G745=1,"plant","plants"),IF(F745&gt;0.01,"warranty","Error")))</f>
        <v/>
      </c>
      <c r="I745" s="485">
        <f>IF(H745="free",0,IF(H745="credit",((E745*(F745))*G745*-1),IF(F745="Buy",(E745*G745),((E745*(1-F745))*G745))))</f>
        <v>0</v>
      </c>
      <c r="J745" s="485">
        <f>IF(H745="warranty",0,(I745*(_xlfn.SINGLE(SalesTaxPercentage))))</f>
        <v>0</v>
      </c>
      <c r="K745" s="715">
        <f t="shared" ref="K745" si="557">I745+J745</f>
        <v>0</v>
      </c>
      <c r="L745" s="715"/>
      <c r="M745" s="689" t="str">
        <f ca="1">IF(AND(G745&gt;0,E745=0),"WARNING - no PRICE inserted",IF(H745="free","FREE ~ no charge this plant",IF(H745="credit",CONCATENATE("-$",ROUND(K745*(1-_xlfn.SINGLE(T2GDiscount))*-1,2)," CREDIT after discount"),IF(_xlfn.SINGLE(T2GDiscount)=0,"",IF(G745=0,"",IF(F745="Buy",CONCATENATE("$",ROUND(K745*(1-_xlfn.SINGLE(T2GDiscount)),2)," with ",(_xlfn.SINGLE(T2GDiscount)*100),"% discount"),CONCATENATE("$",ROUND(K745*(1-_xlfn.SINGLE(T2GDiscount)),2)," with ",((_xlfn.SINGLE(T2GDiscount)*100+F745*100)-(_xlfn.SINGLE(T2GDiscount)*100*F745)),IF(F745&gt;0,"% discounts",IF(_xlfn.SINGLE(NoWarrantyDiscount)&gt;0,"% discounts","% discount")))))))))</f>
        <v/>
      </c>
      <c r="N745" s="690"/>
      <c r="O745" s="486"/>
      <c r="P745" s="486"/>
      <c r="Q745" s="486"/>
      <c r="R745" s="486"/>
      <c r="S745" s="486"/>
      <c r="T745" s="102">
        <f t="shared" si="527"/>
        <v>0</v>
      </c>
      <c r="U745" s="78">
        <f>IF(NOT(ISNUMBER(G745)), "", VLOOKUP(A745,'Discount Lookup'!D:E,2,FALSE)*G745)</f>
        <v>0</v>
      </c>
      <c r="V745" s="78">
        <f>IF(NOT(ISNUMBER(G745)), "", VLOOKUP(A745,'Discount Lookup'!G:H,2,FALSE)*G745)</f>
        <v>0</v>
      </c>
      <c r="W745" s="102">
        <f t="shared" si="528"/>
        <v>0</v>
      </c>
      <c r="X745" s="102">
        <f t="shared" si="529"/>
        <v>0</v>
      </c>
      <c r="Y745" s="120" t="b">
        <f t="shared" si="530"/>
        <v>0</v>
      </c>
      <c r="Z745" s="117">
        <f t="shared" si="531"/>
        <v>0</v>
      </c>
      <c r="AA745" s="118"/>
      <c r="AB745" s="118" t="str">
        <f t="shared" si="532"/>
        <v/>
      </c>
      <c r="AC745" s="712" t="str">
        <f>IF(AE745="T2G","no charge",IF(AND(OR(PlanterYesMe="No",PlanterYesMe="N",PlanterYesMe="me"),H745=""),"",IF(H745="credit","NO install",IF(AND(K745="",AE745="me"),"EACH row",IF(AND(K745="images",AE745="me"),"EACH row",IF(D745="","",IF(H745="credit","",IF(AE745="free","re-planting",IF(AE745="me","   not ELP, by",IF(AND(OR(PlanterYesMe="Yes",PlanterYesMe="Y"),G745&gt;0),(VLOOKUP(A745,'Discount Lookup'!J:K,2)*G745*(1-PlanterDiscount)*(1+PlanterDifficultyPercentage)),IF(AE745="ELP",(VLOOKUP(A745,'Discount Lookup'!J:K,2)*G745*(1-PlanterDiscount)*(1+PlanterDifficultyPercentage)),IF(AE745="free","re-planting",IF(G745=0,"",IF(PlanterYesMe="",IF(AE745="me","   not ELP, by",IF(AE745="",IF(G745&gt;0,(VLOOKUP(A745,'Discount Lookup'!J:K,2)*G745*(1-PlanterDiscount)*(1+PlanterDifficultyPercentage)),""),"")),"   not ELP, by"))))))))))))))</f>
        <v/>
      </c>
      <c r="AD745" s="712"/>
      <c r="AE745" s="513" t="str">
        <f t="shared" si="533"/>
        <v/>
      </c>
      <c r="AF745" s="713" t="str">
        <f t="shared" si="534"/>
        <v/>
      </c>
      <c r="AG745" s="713"/>
      <c r="AH745" s="713"/>
      <c r="AI745" s="112">
        <f>IF(H745="credit",0,IF(AE745="free",0,IF(AE745="me",0,IF(G745&gt;0,(VLOOKUP(A745,'Discount Lookup'!J:K,2)*G745),0))))</f>
        <v>0</v>
      </c>
      <c r="AJ745" s="107" t="str">
        <f t="shared" ca="1" si="535"/>
        <v/>
      </c>
      <c r="AK745" s="714" t="str">
        <f t="shared" si="536"/>
        <v/>
      </c>
      <c r="AL745" s="714"/>
      <c r="AM745" s="114" t="str">
        <f t="shared" si="537"/>
        <v/>
      </c>
      <c r="AN745" s="115"/>
      <c r="AO745" s="116"/>
      <c r="AP745" s="116"/>
      <c r="AQ745" s="116"/>
      <c r="AR745" s="116"/>
      <c r="AS745" s="116"/>
      <c r="AT745" s="116"/>
      <c r="AU745" s="116"/>
      <c r="AV745" s="78"/>
      <c r="AW745" s="102"/>
      <c r="AX745" s="78"/>
      <c r="AY745" s="78"/>
      <c r="AZ745" s="78"/>
      <c r="BA745" s="78"/>
      <c r="BB745" s="78"/>
      <c r="BC745" s="78"/>
      <c r="BD745" s="78"/>
      <c r="BE745" s="465"/>
      <c r="BF745" s="165" t="str">
        <f t="shared" si="538"/>
        <v>https://www.google.com/search?tbm=isch&amp;q=7%20G5</v>
      </c>
      <c r="BG745" s="165" t="str">
        <f t="shared" si="539"/>
        <v>C</v>
      </c>
      <c r="BH745" s="65"/>
      <c r="BI745" s="65"/>
      <c r="BJ745" s="65"/>
      <c r="BK745" s="65"/>
      <c r="BL745" s="99"/>
      <c r="BM745" s="99"/>
      <c r="BN745" s="99"/>
    </row>
    <row r="746" spans="1:66" s="51" customFormat="1" ht="27" x14ac:dyDescent="0.25">
      <c r="A746" s="478">
        <v>7</v>
      </c>
      <c r="B746" s="479" t="s">
        <v>291</v>
      </c>
      <c r="C746" s="480" t="s">
        <v>5134</v>
      </c>
      <c r="D746" s="481" t="s">
        <v>299</v>
      </c>
      <c r="E746" s="482">
        <v>109.95</v>
      </c>
      <c r="F746" s="483" t="s">
        <v>292</v>
      </c>
      <c r="G746" s="484">
        <v>0</v>
      </c>
      <c r="H746" s="688" t="str">
        <f>IF(G746=0,"",IF(F746="Buy",IF(G746=1,"plant","plants"),IF(F746&gt;0.01,"warranty","Error")))</f>
        <v/>
      </c>
      <c r="I746" s="485">
        <f>IF(H746="free",0,IF(H746="credit",((E746*(F746))*G746*-1),IF(F746="Buy",(E746*G746),((E746*(1-F746))*G746))))</f>
        <v>0</v>
      </c>
      <c r="J746" s="485">
        <f>IF(H746="warranty",0,(I746*(_xlfn.SINGLE(SalesTaxPercentage))))</f>
        <v>0</v>
      </c>
      <c r="K746" s="715">
        <f t="shared" ref="K746" si="558">I746+J746</f>
        <v>0</v>
      </c>
      <c r="L746" s="715"/>
      <c r="M746" s="689" t="str">
        <f ca="1">IF(AND(G746&gt;0,E746=0),"WARNING - no PRICE inserted",IF(H746="free","FREE ~ no charge this plant",IF(H746="credit",CONCATENATE("-$",ROUND(K746*(1-_xlfn.SINGLE(T2GDiscount))*-1,2)," CREDIT after discount"),IF(_xlfn.SINGLE(T2GDiscount)=0,"",IF(G746=0,"",IF(F746="Buy",CONCATENATE("$",ROUND(K746*(1-_xlfn.SINGLE(T2GDiscount)),2)," with ",(_xlfn.SINGLE(T2GDiscount)*100),"% discount"),CONCATENATE("$",ROUND(K746*(1-_xlfn.SINGLE(T2GDiscount)),2)," with ",((_xlfn.SINGLE(T2GDiscount)*100+F746*100)-(_xlfn.SINGLE(T2GDiscount)*100*F746)),IF(F746&gt;0,"% discounts",IF(_xlfn.SINGLE(NoWarrantyDiscount)&gt;0,"% discounts","% discount")))))))))</f>
        <v/>
      </c>
      <c r="N746" s="690"/>
      <c r="O746" s="486"/>
      <c r="P746" s="486"/>
      <c r="Q746" s="486"/>
      <c r="R746" s="486"/>
      <c r="S746" s="486"/>
      <c r="T746" s="102">
        <f t="shared" si="527"/>
        <v>0</v>
      </c>
      <c r="U746" s="78">
        <f>IF(NOT(ISNUMBER(G746)), "", VLOOKUP(A746,'Discount Lookup'!D:E,2,FALSE)*G746)</f>
        <v>0</v>
      </c>
      <c r="V746" s="78">
        <f>IF(NOT(ISNUMBER(G746)), "", VLOOKUP(A746,'Discount Lookup'!G:H,2,FALSE)*G746)</f>
        <v>0</v>
      </c>
      <c r="W746" s="102">
        <f t="shared" si="528"/>
        <v>0</v>
      </c>
      <c r="X746" s="102">
        <f t="shared" si="529"/>
        <v>0</v>
      </c>
      <c r="Y746" s="120" t="b">
        <f t="shared" si="530"/>
        <v>0</v>
      </c>
      <c r="Z746" s="117">
        <f t="shared" si="531"/>
        <v>0</v>
      </c>
      <c r="AA746" s="118"/>
      <c r="AB746" s="118" t="str">
        <f t="shared" si="532"/>
        <v/>
      </c>
      <c r="AC746" s="712" t="str">
        <f>IF(AE746="T2G","no charge",IF(AND(OR(PlanterYesMe="No",PlanterYesMe="N",PlanterYesMe="me"),H746=""),"",IF(H746="credit","NO install",IF(AND(K746="",AE746="me"),"EACH row",IF(AND(K746="images",AE746="me"),"EACH row",IF(D746="","",IF(H746="credit","",IF(AE746="free","re-planting",IF(AE746="me","   not ELP, by",IF(AND(OR(PlanterYesMe="Yes",PlanterYesMe="Y"),G746&gt;0),(VLOOKUP(A746,'Discount Lookup'!J:K,2)*G746*(1-PlanterDiscount)*(1+PlanterDifficultyPercentage)),IF(AE746="ELP",(VLOOKUP(A746,'Discount Lookup'!J:K,2)*G746*(1-PlanterDiscount)*(1+PlanterDifficultyPercentage)),IF(AE746="free","re-planting",IF(G746=0,"",IF(PlanterYesMe="",IF(AE746="me","   not ELP, by",IF(AE746="",IF(G746&gt;0,(VLOOKUP(A746,'Discount Lookup'!J:K,2)*G746*(1-PlanterDiscount)*(1+PlanterDifficultyPercentage)),""),"")),"   not ELP, by"))))))))))))))</f>
        <v/>
      </c>
      <c r="AD746" s="712"/>
      <c r="AE746" s="513" t="str">
        <f t="shared" si="533"/>
        <v/>
      </c>
      <c r="AF746" s="713" t="str">
        <f t="shared" si="534"/>
        <v/>
      </c>
      <c r="AG746" s="713"/>
      <c r="AH746" s="713"/>
      <c r="AI746" s="112">
        <f>IF(H746="credit",0,IF(AE746="free",0,IF(AE746="me",0,IF(G746&gt;0,(VLOOKUP(A746,'Discount Lookup'!J:K,2)*G746),0))))</f>
        <v>0</v>
      </c>
      <c r="AJ746" s="107" t="str">
        <f t="shared" ca="1" si="535"/>
        <v/>
      </c>
      <c r="AK746" s="714" t="str">
        <f t="shared" si="536"/>
        <v/>
      </c>
      <c r="AL746" s="714"/>
      <c r="AM746" s="114" t="str">
        <f t="shared" si="537"/>
        <v/>
      </c>
      <c r="AN746" s="115"/>
      <c r="AO746" s="116"/>
      <c r="AP746" s="116"/>
      <c r="AQ746" s="116"/>
      <c r="AR746" s="116"/>
      <c r="AS746" s="116"/>
      <c r="AT746" s="116"/>
      <c r="AU746" s="116"/>
      <c r="AV746" s="78"/>
      <c r="AW746" s="102"/>
      <c r="AX746" s="78"/>
      <c r="AY746" s="78"/>
      <c r="AZ746" s="78"/>
      <c r="BA746" s="78"/>
      <c r="BB746" s="78"/>
      <c r="BC746" s="78"/>
      <c r="BD746" s="78"/>
      <c r="BE746" s="465"/>
      <c r="BF746" s="165" t="str">
        <f t="shared" si="538"/>
        <v>https://www.google.com/search?tbm=isch&amp;q=7%20G4</v>
      </c>
      <c r="BG746" s="165" t="str">
        <f t="shared" si="539"/>
        <v>C</v>
      </c>
      <c r="BH746" s="65"/>
      <c r="BI746" s="65"/>
      <c r="BJ746" s="65"/>
      <c r="BK746" s="65"/>
      <c r="BL746" s="99"/>
      <c r="BM746" s="99"/>
      <c r="BN746" s="99"/>
    </row>
    <row r="747" spans="1:66" s="51" customFormat="1" ht="15.75" x14ac:dyDescent="0.25">
      <c r="A747" s="478">
        <v>7</v>
      </c>
      <c r="B747" s="479" t="s">
        <v>291</v>
      </c>
      <c r="C747" s="480" t="s">
        <v>1850</v>
      </c>
      <c r="D747" s="481" t="s">
        <v>293</v>
      </c>
      <c r="E747" s="482">
        <v>111.95</v>
      </c>
      <c r="F747" s="483" t="s">
        <v>292</v>
      </c>
      <c r="G747" s="484">
        <v>0</v>
      </c>
      <c r="H747" s="688" t="str">
        <f>IF(G747=0,"",IF(F747="Buy",IF(G747=1,"plant","plants"),IF(F747&gt;0.01,"warranty","Error")))</f>
        <v/>
      </c>
      <c r="I747" s="485">
        <f>IF(H747="free",0,IF(H747="credit",((E747*(F747))*G747*-1),IF(F747="Buy",(E747*G747),((E747*(1-F747))*G747))))</f>
        <v>0</v>
      </c>
      <c r="J747" s="485">
        <f>IF(H747="warranty",0,(I747*(_xlfn.SINGLE(SalesTaxPercentage))))</f>
        <v>0</v>
      </c>
      <c r="K747" s="715">
        <f t="shared" ref="K747" si="559">I747+J747</f>
        <v>0</v>
      </c>
      <c r="L747" s="715"/>
      <c r="M747" s="689" t="str">
        <f ca="1">IF(AND(G747&gt;0,E747=0),"WARNING - no PRICE inserted",IF(H747="free","FREE ~ no charge this plant",IF(H747="credit",CONCATENATE("-$",ROUND(K747*(1-_xlfn.SINGLE(T2GDiscount))*-1,2)," CREDIT after discount"),IF(_xlfn.SINGLE(T2GDiscount)=0,"",IF(G747=0,"",IF(F747="Buy",CONCATENATE("$",ROUND(K747*(1-_xlfn.SINGLE(T2GDiscount)),2)," with ",(_xlfn.SINGLE(T2GDiscount)*100),"% discount"),CONCATENATE("$",ROUND(K747*(1-_xlfn.SINGLE(T2GDiscount)),2)," with ",((_xlfn.SINGLE(T2GDiscount)*100+F747*100)-(_xlfn.SINGLE(T2GDiscount)*100*F747)),IF(F747&gt;0,"% discounts",IF(_xlfn.SINGLE(NoWarrantyDiscount)&gt;0,"% discounts","% discount")))))))))</f>
        <v/>
      </c>
      <c r="N747" s="690"/>
      <c r="O747" s="486"/>
      <c r="P747" s="486"/>
      <c r="Q747" s="486"/>
      <c r="R747" s="486"/>
      <c r="S747" s="486"/>
      <c r="T747" s="102">
        <f t="shared" si="527"/>
        <v>0</v>
      </c>
      <c r="U747" s="78">
        <f>IF(NOT(ISNUMBER(G747)), "", VLOOKUP(A747,'Discount Lookup'!D:E,2,FALSE)*G747)</f>
        <v>0</v>
      </c>
      <c r="V747" s="78">
        <f>IF(NOT(ISNUMBER(G747)), "", VLOOKUP(A747,'Discount Lookup'!G:H,2,FALSE)*G747)</f>
        <v>0</v>
      </c>
      <c r="W747" s="102">
        <f t="shared" si="528"/>
        <v>0</v>
      </c>
      <c r="X747" s="102">
        <f t="shared" si="529"/>
        <v>0</v>
      </c>
      <c r="Y747" s="120" t="b">
        <f t="shared" si="530"/>
        <v>0</v>
      </c>
      <c r="Z747" s="117">
        <f t="shared" si="531"/>
        <v>0</v>
      </c>
      <c r="AA747" s="118"/>
      <c r="AB747" s="118" t="str">
        <f t="shared" si="532"/>
        <v/>
      </c>
      <c r="AC747" s="712" t="str">
        <f>IF(AE747="T2G","no charge",IF(AND(OR(PlanterYesMe="No",PlanterYesMe="N",PlanterYesMe="me"),H747=""),"",IF(H747="credit","NO install",IF(AND(K747="",AE747="me"),"EACH row",IF(AND(K747="images",AE747="me"),"EACH row",IF(D747="","",IF(H747="credit","",IF(AE747="free","re-planting",IF(AE747="me","   not ELP, by",IF(AND(OR(PlanterYesMe="Yes",PlanterYesMe="Y"),G747&gt;0),(VLOOKUP(A747,'Discount Lookup'!J:K,2)*G747*(1-PlanterDiscount)*(1+PlanterDifficultyPercentage)),IF(AE747="ELP",(VLOOKUP(A747,'Discount Lookup'!J:K,2)*G747*(1-PlanterDiscount)*(1+PlanterDifficultyPercentage)),IF(AE747="free","re-planting",IF(G747=0,"",IF(PlanterYesMe="",IF(AE747="me","   not ELP, by",IF(AE747="",IF(G747&gt;0,(VLOOKUP(A747,'Discount Lookup'!J:K,2)*G747*(1-PlanterDiscount)*(1+PlanterDifficultyPercentage)),""),"")),"   not ELP, by"))))))))))))))</f>
        <v/>
      </c>
      <c r="AD747" s="712"/>
      <c r="AE747" s="513" t="str">
        <f t="shared" si="533"/>
        <v/>
      </c>
      <c r="AF747" s="713" t="str">
        <f t="shared" si="534"/>
        <v/>
      </c>
      <c r="AG747" s="713"/>
      <c r="AH747" s="713"/>
      <c r="AI747" s="112">
        <f>IF(H747="credit",0,IF(AE747="free",0,IF(AE747="me",0,IF(G747&gt;0,(VLOOKUP(A747,'Discount Lookup'!J:K,2)*G747),0))))</f>
        <v>0</v>
      </c>
      <c r="AJ747" s="107" t="str">
        <f t="shared" ca="1" si="535"/>
        <v/>
      </c>
      <c r="AK747" s="714" t="str">
        <f t="shared" si="536"/>
        <v/>
      </c>
      <c r="AL747" s="714"/>
      <c r="AM747" s="114" t="str">
        <f t="shared" si="537"/>
        <v/>
      </c>
      <c r="AN747" s="115"/>
      <c r="AO747" s="116"/>
      <c r="AP747" s="116"/>
      <c r="AQ747" s="116"/>
      <c r="AR747" s="116"/>
      <c r="AS747" s="116"/>
      <c r="AT747" s="116"/>
      <c r="AU747" s="116"/>
      <c r="AV747" s="78"/>
      <c r="AW747" s="102"/>
      <c r="AX747" s="78"/>
      <c r="AY747" s="78"/>
      <c r="AZ747" s="78"/>
      <c r="BA747" s="78"/>
      <c r="BB747" s="78"/>
      <c r="BC747" s="78"/>
      <c r="BD747" s="78"/>
      <c r="BE747" s="465"/>
      <c r="BF747" s="165" t="str">
        <f t="shared" si="538"/>
        <v>https://www.google.com/search?tbm=isch&amp;q=7%20G6</v>
      </c>
      <c r="BG747" s="165" t="str">
        <f t="shared" si="539"/>
        <v>C</v>
      </c>
      <c r="BH747" s="65"/>
      <c r="BI747" s="65"/>
      <c r="BJ747" s="65"/>
      <c r="BK747" s="65"/>
      <c r="BL747" s="99"/>
      <c r="BM747" s="99"/>
      <c r="BN747" s="99"/>
    </row>
    <row r="748" spans="1:66" s="51" customFormat="1" ht="17.25" thickBot="1" x14ac:dyDescent="0.3">
      <c r="A748" s="508" t="s">
        <v>1851</v>
      </c>
      <c r="B748" s="487"/>
      <c r="C748" s="707"/>
      <c r="D748" s="487"/>
      <c r="E748" s="487"/>
      <c r="F748" s="488"/>
      <c r="G748" s="489"/>
      <c r="H748" s="487"/>
      <c r="I748" s="490"/>
      <c r="J748" s="490"/>
      <c r="K748" s="491"/>
      <c r="L748" s="547"/>
      <c r="M748" s="528"/>
      <c r="N748" s="492"/>
      <c r="O748" s="493"/>
      <c r="P748" s="494"/>
      <c r="Q748" s="492"/>
      <c r="R748" s="492"/>
      <c r="S748" s="699" t="s">
        <v>5275</v>
      </c>
      <c r="T748" s="102">
        <f t="shared" si="527"/>
        <v>0</v>
      </c>
      <c r="U748" s="78" t="str">
        <f>IF(NOT(ISNUMBER(G748)), "", VLOOKUP(A748,'Discount Lookup'!D:E,2,FALSE)*G748)</f>
        <v/>
      </c>
      <c r="V748" s="78" t="str">
        <f>IF(NOT(ISNUMBER(G748)), "", VLOOKUP(A748,'Discount Lookup'!G:H,2,FALSE)*G748)</f>
        <v/>
      </c>
      <c r="W748" s="102">
        <f t="shared" si="528"/>
        <v>0</v>
      </c>
      <c r="X748" s="102">
        <f t="shared" si="529"/>
        <v>0</v>
      </c>
      <c r="Y748" s="120" t="b">
        <f t="shared" si="530"/>
        <v>0</v>
      </c>
      <c r="Z748" s="117">
        <f t="shared" si="531"/>
        <v>0</v>
      </c>
      <c r="AA748" s="118"/>
      <c r="AB748" s="118" t="str">
        <f t="shared" si="532"/>
        <v/>
      </c>
      <c r="AC748" s="712" t="str">
        <f>IF(AE748="T2G","no charge",IF(AND(OR(PlanterYesMe="No",PlanterYesMe="N",PlanterYesMe="me"),H748=""),"",IF(H748="credit","NO install",IF(AND(K748="",AE748="me"),"EACH row",IF(AND(K748="images",AE748="me"),"EACH row",IF(D748="","",IF(H748="credit","",IF(AE748="free","re-planting",IF(AE748="me","   not ELP, by",IF(AND(OR(PlanterYesMe="Yes",PlanterYesMe="Y"),G748&gt;0),(VLOOKUP(A748,'Discount Lookup'!J:K,2)*G748*(1-PlanterDiscount)*(1+PlanterDifficultyPercentage)),IF(AE748="ELP",(VLOOKUP(A748,'Discount Lookup'!J:K,2)*G748*(1-PlanterDiscount)*(1+PlanterDifficultyPercentage)),IF(AE748="free","re-planting",IF(G748=0,"",IF(PlanterYesMe="",IF(AE748="me","   not ELP, by",IF(AE748="",IF(G748&gt;0,(VLOOKUP(A748,'Discount Lookup'!J:K,2)*G748*(1-PlanterDiscount)*(1+PlanterDifficultyPercentage)),""),"")),"   not ELP, by"))))))))))))))</f>
        <v/>
      </c>
      <c r="AD748" s="712"/>
      <c r="AE748" s="513" t="str">
        <f t="shared" si="533"/>
        <v/>
      </c>
      <c r="AF748" s="713" t="str">
        <f t="shared" si="534"/>
        <v/>
      </c>
      <c r="AG748" s="713"/>
      <c r="AH748" s="713"/>
      <c r="AI748" s="112">
        <f>IF(H748="credit",0,IF(AE748="free",0,IF(AE748="me",0,IF(G748&gt;0,(VLOOKUP(A748,'Discount Lookup'!J:K,2)*G748),0))))</f>
        <v>0</v>
      </c>
      <c r="AJ748" s="107" t="str">
        <f t="shared" ca="1" si="535"/>
        <v/>
      </c>
      <c r="AK748" s="714" t="str">
        <f t="shared" si="536"/>
        <v/>
      </c>
      <c r="AL748" s="714"/>
      <c r="AM748" s="114" t="str">
        <f t="shared" si="537"/>
        <v/>
      </c>
      <c r="AN748" s="115"/>
      <c r="AO748" s="116"/>
      <c r="AP748" s="116"/>
      <c r="AQ748" s="116"/>
      <c r="AR748" s="116"/>
      <c r="AS748" s="116"/>
      <c r="AT748" s="116"/>
      <c r="AU748" s="116"/>
      <c r="AV748" s="78"/>
      <c r="AW748" s="102"/>
      <c r="AX748" s="78"/>
      <c r="AY748" s="78"/>
      <c r="AZ748" s="78"/>
      <c r="BA748" s="78"/>
      <c r="BB748" s="78"/>
      <c r="BC748" s="78"/>
      <c r="BD748" s="78"/>
      <c r="BE748" s="465"/>
      <c r="BF748" s="165" t="str">
        <f t="shared" si="538"/>
        <v>https://www.google.com/search?tbm=isch&amp;q=Shishigashira%20translates%20to%20%27Lion%27s%20Head%27%2C%20with%20a%20double%20bloom%20and%20a%20yellow%20center%20</v>
      </c>
      <c r="BG748" s="165" t="str">
        <f t="shared" si="539"/>
        <v>S</v>
      </c>
      <c r="BH748" s="65"/>
      <c r="BI748" s="65"/>
      <c r="BJ748" s="65"/>
      <c r="BK748" s="65"/>
      <c r="BL748" s="99"/>
      <c r="BM748" s="99"/>
      <c r="BN748" s="99"/>
    </row>
    <row r="749" spans="1:66" s="51" customFormat="1" ht="18" x14ac:dyDescent="0.25">
      <c r="A749" s="507" t="s">
        <v>1852</v>
      </c>
      <c r="B749" s="470"/>
      <c r="C749" s="706"/>
      <c r="D749" s="471" t="s">
        <v>1853</v>
      </c>
      <c r="E749" s="472"/>
      <c r="F749" s="472"/>
      <c r="G749" s="472"/>
      <c r="H749" s="622" t="s">
        <v>1854</v>
      </c>
      <c r="I749" s="473" t="s">
        <v>1837</v>
      </c>
      <c r="J749" s="472"/>
      <c r="K749" s="472"/>
      <c r="L749" s="561"/>
      <c r="M749" s="703" t="s">
        <v>5274</v>
      </c>
      <c r="N749" s="692" t="str">
        <f>IF(AND(ISTEXT($A749), ISERROR($A749+0)), HYPERLINK($BF749, "Images"), "")</f>
        <v>Images</v>
      </c>
      <c r="O749" s="694" t="s">
        <v>5247</v>
      </c>
      <c r="P749" s="475"/>
      <c r="Q749" s="476"/>
      <c r="R749" s="476"/>
      <c r="S749" s="477"/>
      <c r="T749" s="102">
        <f t="shared" si="527"/>
        <v>0</v>
      </c>
      <c r="U749" s="78" t="str">
        <f>IF(NOT(ISNUMBER(G749)), "", VLOOKUP(A749,'Discount Lookup'!D:E,2,FALSE)*G749)</f>
        <v/>
      </c>
      <c r="V749" s="78" t="str">
        <f>IF(NOT(ISNUMBER(G749)), "", VLOOKUP(A749,'Discount Lookup'!G:H,2,FALSE)*G749)</f>
        <v/>
      </c>
      <c r="W749" s="102">
        <f t="shared" si="528"/>
        <v>0</v>
      </c>
      <c r="X749" s="102" t="str">
        <f t="shared" si="529"/>
        <v>Rose-Pink bloom</v>
      </c>
      <c r="Y749" s="120" t="b">
        <f t="shared" si="530"/>
        <v>0</v>
      </c>
      <c r="Z749" s="117">
        <f t="shared" si="531"/>
        <v>0</v>
      </c>
      <c r="AA749" s="118"/>
      <c r="AB749" s="118" t="str">
        <f t="shared" si="532"/>
        <v/>
      </c>
      <c r="AC749" s="712" t="str">
        <f>IF(AE749="T2G","no charge",IF(AND(OR(PlanterYesMe="No",PlanterYesMe="N",PlanterYesMe="me"),H749=""),"",IF(H749="credit","NO install",IF(AND(K749="",AE749="me"),"EACH row",IF(AND(K749="images",AE749="me"),"EACH row",IF(D749="","",IF(H749="credit","",IF(AE749="free","re-planting",IF(AE749="me","   not ELP, by",IF(AND(OR(PlanterYesMe="Yes",PlanterYesMe="Y"),G749&gt;0),(VLOOKUP(A749,'Discount Lookup'!J:K,2)*G749*(1-PlanterDiscount)*(1+PlanterDifficultyPercentage)),IF(AE749="ELP",(VLOOKUP(A749,'Discount Lookup'!J:K,2)*G749*(1-PlanterDiscount)*(1+PlanterDifficultyPercentage)),IF(AE749="free","re-planting",IF(G749=0,"",IF(PlanterYesMe="",IF(AE749="me","   not ELP, by",IF(AE749="",IF(G749&gt;0,(VLOOKUP(A749,'Discount Lookup'!J:K,2)*G749*(1-PlanterDiscount)*(1+PlanterDifficultyPercentage)),""),"")),"   not ELP, by"))))))))))))))</f>
        <v/>
      </c>
      <c r="AD749" s="712"/>
      <c r="AE749" s="513" t="str">
        <f t="shared" si="533"/>
        <v/>
      </c>
      <c r="AF749" s="713" t="str">
        <f t="shared" si="534"/>
        <v/>
      </c>
      <c r="AG749" s="713"/>
      <c r="AH749" s="713"/>
      <c r="AI749" s="112">
        <f>IF(H749="credit",0,IF(AE749="free",0,IF(AE749="me",0,IF(G749&gt;0,(VLOOKUP(A749,'Discount Lookup'!J:K,2)*G749),0))))</f>
        <v>0</v>
      </c>
      <c r="AJ749" s="107" t="str">
        <f t="shared" ca="1" si="535"/>
        <v/>
      </c>
      <c r="AK749" s="714" t="str">
        <f t="shared" si="536"/>
        <v/>
      </c>
      <c r="AL749" s="714"/>
      <c r="AM749" s="114" t="str">
        <f t="shared" si="537"/>
        <v/>
      </c>
      <c r="AN749" s="115"/>
      <c r="AO749" s="116"/>
      <c r="AP749" s="116"/>
      <c r="AQ749" s="116"/>
      <c r="AR749" s="116"/>
      <c r="AS749" s="116"/>
      <c r="AT749" s="116"/>
      <c r="AU749" s="116"/>
      <c r="AV749" s="78"/>
      <c r="AW749" s="102"/>
      <c r="AX749" s="78"/>
      <c r="AY749" s="78"/>
      <c r="AZ749" s="78"/>
      <c r="BA749" s="78"/>
      <c r="BB749" s="78"/>
      <c r="BC749" s="78"/>
      <c r="BD749" s="78"/>
      <c r="BE749" s="465"/>
      <c r="BF749" s="165" t="str">
        <f t="shared" si="538"/>
        <v>https://www.google.com/search?tbm=isch&amp;q=Camellia%20sasanqua%20%27Slim%20N%27%20Trim%27%20Slim%20N%27%20Trim%20Camellia%20Camellia</v>
      </c>
      <c r="BG749" s="165" t="str">
        <f t="shared" si="539"/>
        <v>C</v>
      </c>
      <c r="BH749" s="65"/>
      <c r="BI749" s="65"/>
      <c r="BJ749" s="65"/>
      <c r="BK749" s="65"/>
      <c r="BL749" s="99"/>
      <c r="BM749" s="99"/>
      <c r="BN749" s="99"/>
    </row>
    <row r="750" spans="1:66" s="51" customFormat="1" ht="15.75" x14ac:dyDescent="0.25">
      <c r="A750" s="478">
        <v>10</v>
      </c>
      <c r="B750" s="479" t="s">
        <v>291</v>
      </c>
      <c r="C750" s="480" t="s">
        <v>4579</v>
      </c>
      <c r="D750" s="481" t="s">
        <v>293</v>
      </c>
      <c r="E750" s="482">
        <v>231.95</v>
      </c>
      <c r="F750" s="483" t="s">
        <v>292</v>
      </c>
      <c r="G750" s="484">
        <v>0</v>
      </c>
      <c r="H750" s="688" t="str">
        <f>IF(G750=0,"",IF(F750="Buy",IF(G750=1,"plant","plants"),IF(F750&gt;0.01,"warranty","Error")))</f>
        <v/>
      </c>
      <c r="I750" s="485">
        <f>IF(H750="free",0,IF(H750="credit",((E750*(F750))*G750*-1),IF(F750="Buy",(E750*G750),((E750*(1-F750))*G750))))</f>
        <v>0</v>
      </c>
      <c r="J750" s="485">
        <f>IF(H750="warranty",0,(I750*(_xlfn.SINGLE(SalesTaxPercentage))))</f>
        <v>0</v>
      </c>
      <c r="K750" s="715">
        <f t="shared" ref="K750" si="560">I750+J750</f>
        <v>0</v>
      </c>
      <c r="L750" s="715"/>
      <c r="M750" s="689" t="str">
        <f ca="1">IF(AND(G750&gt;0,E750=0),"WARNING - no PRICE inserted",IF(H750="free","FREE ~ no charge this plant",IF(H750="credit",CONCATENATE("-$",ROUND(K750*(1-_xlfn.SINGLE(T2GDiscount))*-1,2)," CREDIT after discount"),IF(_xlfn.SINGLE(T2GDiscount)=0,"",IF(G750=0,"",IF(F750="Buy",CONCATENATE("$",ROUND(K750*(1-_xlfn.SINGLE(T2GDiscount)),2)," with ",(_xlfn.SINGLE(T2GDiscount)*100),"% discount"),CONCATENATE("$",ROUND(K750*(1-_xlfn.SINGLE(T2GDiscount)),2)," with ",((_xlfn.SINGLE(T2GDiscount)*100+F750*100)-(_xlfn.SINGLE(T2GDiscount)*100*F750)),IF(F750&gt;0,"% discounts",IF(_xlfn.SINGLE(NoWarrantyDiscount)&gt;0,"% discounts","% discount")))))))))</f>
        <v/>
      </c>
      <c r="N750" s="690"/>
      <c r="O750" s="486"/>
      <c r="P750" s="486"/>
      <c r="Q750" s="486"/>
      <c r="R750" s="486"/>
      <c r="S750" s="486"/>
      <c r="T750" s="102">
        <f t="shared" si="527"/>
        <v>0</v>
      </c>
      <c r="U750" s="78">
        <f>IF(NOT(ISNUMBER(G750)), "", VLOOKUP(A750,'Discount Lookup'!D:E,2,FALSE)*G750)</f>
        <v>0</v>
      </c>
      <c r="V750" s="78">
        <f>IF(NOT(ISNUMBER(G750)), "", VLOOKUP(A750,'Discount Lookup'!G:H,2,FALSE)*G750)</f>
        <v>0</v>
      </c>
      <c r="W750" s="102">
        <f t="shared" si="528"/>
        <v>0</v>
      </c>
      <c r="X750" s="102">
        <f t="shared" si="529"/>
        <v>0</v>
      </c>
      <c r="Y750" s="120" t="b">
        <f t="shared" si="530"/>
        <v>0</v>
      </c>
      <c r="Z750" s="117">
        <f t="shared" si="531"/>
        <v>0</v>
      </c>
      <c r="AA750" s="118"/>
      <c r="AB750" s="118" t="str">
        <f t="shared" si="532"/>
        <v/>
      </c>
      <c r="AC750" s="712" t="str">
        <f>IF(AE750="T2G","no charge",IF(AND(OR(PlanterYesMe="No",PlanterYesMe="N",PlanterYesMe="me"),H750=""),"",IF(H750="credit","NO install",IF(AND(K750="",AE750="me"),"EACH row",IF(AND(K750="images",AE750="me"),"EACH row",IF(D750="","",IF(H750="credit","",IF(AE750="free","re-planting",IF(AE750="me","   not ELP, by",IF(AND(OR(PlanterYesMe="Yes",PlanterYesMe="Y"),G750&gt;0),(VLOOKUP(A750,'Discount Lookup'!J:K,2)*G750*(1-PlanterDiscount)*(1+PlanterDifficultyPercentage)),IF(AE750="ELP",(VLOOKUP(A750,'Discount Lookup'!J:K,2)*G750*(1-PlanterDiscount)*(1+PlanterDifficultyPercentage)),IF(AE750="free","re-planting",IF(G750=0,"",IF(PlanterYesMe="",IF(AE750="me","   not ELP, by",IF(AE750="",IF(G750&gt;0,(VLOOKUP(A750,'Discount Lookup'!J:K,2)*G750*(1-PlanterDiscount)*(1+PlanterDifficultyPercentage)),""),"")),"   not ELP, by"))))))))))))))</f>
        <v/>
      </c>
      <c r="AD750" s="712"/>
      <c r="AE750" s="513" t="str">
        <f t="shared" si="533"/>
        <v/>
      </c>
      <c r="AF750" s="713" t="str">
        <f t="shared" si="534"/>
        <v/>
      </c>
      <c r="AG750" s="713"/>
      <c r="AH750" s="713"/>
      <c r="AI750" s="112">
        <f>IF(H750="credit",0,IF(AE750="free",0,IF(AE750="me",0,IF(G750&gt;0,(VLOOKUP(A750,'Discount Lookup'!J:K,2)*G750),0))))</f>
        <v>0</v>
      </c>
      <c r="AJ750" s="107" t="str">
        <f t="shared" ca="1" si="535"/>
        <v/>
      </c>
      <c r="AK750" s="714" t="str">
        <f t="shared" si="536"/>
        <v/>
      </c>
      <c r="AL750" s="714"/>
      <c r="AM750" s="114" t="str">
        <f t="shared" si="537"/>
        <v/>
      </c>
      <c r="AN750" s="115"/>
      <c r="AO750" s="116"/>
      <c r="AP750" s="116"/>
      <c r="AQ750" s="116"/>
      <c r="AR750" s="116"/>
      <c r="AS750" s="116"/>
      <c r="AT750" s="116"/>
      <c r="AU750" s="116"/>
      <c r="AV750" s="78"/>
      <c r="AW750" s="102"/>
      <c r="AX750" s="78"/>
      <c r="AY750" s="78"/>
      <c r="AZ750" s="78"/>
      <c r="BA750" s="78"/>
      <c r="BB750" s="78"/>
      <c r="BC750" s="78"/>
      <c r="BD750" s="78"/>
      <c r="BE750" s="465"/>
      <c r="BF750" s="165" t="str">
        <f t="shared" si="538"/>
        <v>https://www.google.com/search?tbm=isch&amp;q=10%20G6</v>
      </c>
      <c r="BG750" s="165" t="str">
        <f t="shared" si="539"/>
        <v>C</v>
      </c>
      <c r="BH750" s="65"/>
      <c r="BI750" s="65"/>
      <c r="BJ750" s="65"/>
      <c r="BK750" s="65"/>
      <c r="BL750" s="99"/>
      <c r="BM750" s="99"/>
      <c r="BN750" s="99"/>
    </row>
    <row r="751" spans="1:66" s="51" customFormat="1" ht="17.25" thickBot="1" x14ac:dyDescent="0.3">
      <c r="A751" s="508" t="s">
        <v>1855</v>
      </c>
      <c r="B751" s="487"/>
      <c r="C751" s="707"/>
      <c r="D751" s="487"/>
      <c r="E751" s="487"/>
      <c r="F751" s="488"/>
      <c r="G751" s="489"/>
      <c r="H751" s="487"/>
      <c r="I751" s="490"/>
      <c r="J751" s="490"/>
      <c r="K751" s="491"/>
      <c r="L751" s="547"/>
      <c r="M751" s="528"/>
      <c r="N751" s="492"/>
      <c r="O751" s="493"/>
      <c r="P751" s="494"/>
      <c r="Q751" s="492"/>
      <c r="R751" s="492"/>
      <c r="S751" s="699" t="s">
        <v>5275</v>
      </c>
      <c r="T751" s="102">
        <f t="shared" si="527"/>
        <v>0</v>
      </c>
      <c r="U751" s="78" t="str">
        <f>IF(NOT(ISNUMBER(G751)), "", VLOOKUP(A751,'Discount Lookup'!D:E,2,FALSE)*G751)</f>
        <v/>
      </c>
      <c r="V751" s="78" t="str">
        <f>IF(NOT(ISNUMBER(G751)), "", VLOOKUP(A751,'Discount Lookup'!G:H,2,FALSE)*G751)</f>
        <v/>
      </c>
      <c r="W751" s="102">
        <f t="shared" si="528"/>
        <v>0</v>
      </c>
      <c r="X751" s="102">
        <f t="shared" si="529"/>
        <v>0</v>
      </c>
      <c r="Y751" s="120" t="b">
        <f t="shared" si="530"/>
        <v>0</v>
      </c>
      <c r="Z751" s="117">
        <f t="shared" si="531"/>
        <v>0</v>
      </c>
      <c r="AA751" s="118"/>
      <c r="AB751" s="118" t="str">
        <f t="shared" si="532"/>
        <v/>
      </c>
      <c r="AC751" s="712" t="str">
        <f>IF(AE751="T2G","no charge",IF(AND(OR(PlanterYesMe="No",PlanterYesMe="N",PlanterYesMe="me"),H751=""),"",IF(H751="credit","NO install",IF(AND(K751="",AE751="me"),"EACH row",IF(AND(K751="images",AE751="me"),"EACH row",IF(D751="","",IF(H751="credit","",IF(AE751="free","re-planting",IF(AE751="me","   not ELP, by",IF(AND(OR(PlanterYesMe="Yes",PlanterYesMe="Y"),G751&gt;0),(VLOOKUP(A751,'Discount Lookup'!J:K,2)*G751*(1-PlanterDiscount)*(1+PlanterDifficultyPercentage)),IF(AE751="ELP",(VLOOKUP(A751,'Discount Lookup'!J:K,2)*G751*(1-PlanterDiscount)*(1+PlanterDifficultyPercentage)),IF(AE751="free","re-planting",IF(G751=0,"",IF(PlanterYesMe="",IF(AE751="me","   not ELP, by",IF(AE751="",IF(G751&gt;0,(VLOOKUP(A751,'Discount Lookup'!J:K,2)*G751*(1-PlanterDiscount)*(1+PlanterDifficultyPercentage)),""),"")),"   not ELP, by"))))))))))))))</f>
        <v/>
      </c>
      <c r="AD751" s="712"/>
      <c r="AE751" s="513" t="str">
        <f t="shared" si="533"/>
        <v/>
      </c>
      <c r="AF751" s="713" t="str">
        <f t="shared" si="534"/>
        <v/>
      </c>
      <c r="AG751" s="713"/>
      <c r="AH751" s="713"/>
      <c r="AI751" s="112">
        <f>IF(H751="credit",0,IF(AE751="free",0,IF(AE751="me",0,IF(G751&gt;0,(VLOOKUP(A751,'Discount Lookup'!J:K,2)*G751),0))))</f>
        <v>0</v>
      </c>
      <c r="AJ751" s="107" t="str">
        <f t="shared" ca="1" si="535"/>
        <v/>
      </c>
      <c r="AK751" s="714" t="str">
        <f t="shared" si="536"/>
        <v/>
      </c>
      <c r="AL751" s="714"/>
      <c r="AM751" s="114" t="str">
        <f t="shared" si="537"/>
        <v/>
      </c>
      <c r="AN751" s="115"/>
      <c r="AO751" s="116"/>
      <c r="AP751" s="116"/>
      <c r="AQ751" s="116"/>
      <c r="AR751" s="116"/>
      <c r="AS751" s="116"/>
      <c r="AT751" s="116"/>
      <c r="AU751" s="116"/>
      <c r="AV751" s="78"/>
      <c r="AW751" s="102"/>
      <c r="AX751" s="78"/>
      <c r="AY751" s="78"/>
      <c r="AZ751" s="78"/>
      <c r="BA751" s="78"/>
      <c r="BB751" s="78"/>
      <c r="BC751" s="78"/>
      <c r="BD751" s="78"/>
      <c r="BE751" s="465"/>
      <c r="BF751" s="165" t="str">
        <f t="shared" si="538"/>
        <v>https://www.google.com/search?tbm=isch&amp;q=Slim%20N%27%20Trim%20has%20a%20narrow%2C%20upright%20form%20ideal%20for%20tight%20spaces%2C%20producing%20bright%20Pink%20blooms%20that%20light%20up%20the%20fall%20garden%20</v>
      </c>
      <c r="BG751" s="165" t="str">
        <f t="shared" si="539"/>
        <v>S</v>
      </c>
      <c r="BH751" s="65"/>
      <c r="BI751" s="65"/>
      <c r="BJ751" s="65"/>
      <c r="BK751" s="65"/>
      <c r="BL751" s="99"/>
      <c r="BM751" s="99"/>
      <c r="BN751" s="99"/>
    </row>
    <row r="752" spans="1:66" s="51" customFormat="1" ht="18" x14ac:dyDescent="0.25">
      <c r="A752" s="507" t="s">
        <v>1856</v>
      </c>
      <c r="B752" s="470"/>
      <c r="C752" s="706"/>
      <c r="D752" s="471" t="s">
        <v>1857</v>
      </c>
      <c r="E752" s="472"/>
      <c r="F752" s="472"/>
      <c r="G752" s="472"/>
      <c r="H752" s="622" t="s">
        <v>1246</v>
      </c>
      <c r="I752" s="473" t="s">
        <v>1858</v>
      </c>
      <c r="J752" s="472"/>
      <c r="K752" s="472"/>
      <c r="L752" s="561"/>
      <c r="M752" s="703" t="s">
        <v>5260</v>
      </c>
      <c r="N752" s="692" t="str">
        <f>IF(AND(ISTEXT($A752), ISERROR($A752+0)), HYPERLINK($BF752, "Images"), "")</f>
        <v>Images</v>
      </c>
      <c r="O752" s="694" t="s">
        <v>5247</v>
      </c>
      <c r="P752" s="475"/>
      <c r="Q752" s="476"/>
      <c r="R752" s="476"/>
      <c r="S752" s="477"/>
      <c r="T752" s="102">
        <f t="shared" si="527"/>
        <v>0</v>
      </c>
      <c r="U752" s="78" t="str">
        <f>IF(NOT(ISNUMBER(G752)), "", VLOOKUP(A752,'Discount Lookup'!D:E,2,FALSE)*G752)</f>
        <v/>
      </c>
      <c r="V752" s="78" t="str">
        <f>IF(NOT(ISNUMBER(G752)), "", VLOOKUP(A752,'Discount Lookup'!G:H,2,FALSE)*G752)</f>
        <v/>
      </c>
      <c r="W752" s="102">
        <f t="shared" si="528"/>
        <v>0</v>
      </c>
      <c r="X752" s="102" t="str">
        <f t="shared" si="529"/>
        <v>Burgundy-Rose bloom</v>
      </c>
      <c r="Y752" s="120" t="b">
        <f t="shared" si="530"/>
        <v>0</v>
      </c>
      <c r="Z752" s="117">
        <f t="shared" si="531"/>
        <v>0</v>
      </c>
      <c r="AA752" s="118"/>
      <c r="AB752" s="118" t="str">
        <f t="shared" si="532"/>
        <v/>
      </c>
      <c r="AC752" s="712" t="str">
        <f>IF(AE752="T2G","no charge",IF(AND(OR(PlanterYesMe="No",PlanterYesMe="N",PlanterYesMe="me"),H752=""),"",IF(H752="credit","NO install",IF(AND(K752="",AE752="me"),"EACH row",IF(AND(K752="images",AE752="me"),"EACH row",IF(D752="","",IF(H752="credit","",IF(AE752="free","re-planting",IF(AE752="me","   not ELP, by",IF(AND(OR(PlanterYesMe="Yes",PlanterYesMe="Y"),G752&gt;0),(VLOOKUP(A752,'Discount Lookup'!J:K,2)*G752*(1-PlanterDiscount)*(1+PlanterDifficultyPercentage)),IF(AE752="ELP",(VLOOKUP(A752,'Discount Lookup'!J:K,2)*G752*(1-PlanterDiscount)*(1+PlanterDifficultyPercentage)),IF(AE752="free","re-planting",IF(G752=0,"",IF(PlanterYesMe="",IF(AE752="me","   not ELP, by",IF(AE752="",IF(G752&gt;0,(VLOOKUP(A752,'Discount Lookup'!J:K,2)*G752*(1-PlanterDiscount)*(1+PlanterDifficultyPercentage)),""),"")),"   not ELP, by"))))))))))))))</f>
        <v/>
      </c>
      <c r="AD752" s="712"/>
      <c r="AE752" s="513" t="str">
        <f t="shared" si="533"/>
        <v/>
      </c>
      <c r="AF752" s="713" t="str">
        <f t="shared" si="534"/>
        <v/>
      </c>
      <c r="AG752" s="713"/>
      <c r="AH752" s="713"/>
      <c r="AI752" s="112">
        <f>IF(H752="credit",0,IF(AE752="free",0,IF(AE752="me",0,IF(G752&gt;0,(VLOOKUP(A752,'Discount Lookup'!J:K,2)*G752),0))))</f>
        <v>0</v>
      </c>
      <c r="AJ752" s="107" t="str">
        <f t="shared" ca="1" si="535"/>
        <v/>
      </c>
      <c r="AK752" s="714" t="str">
        <f t="shared" si="536"/>
        <v/>
      </c>
      <c r="AL752" s="714"/>
      <c r="AM752" s="114" t="str">
        <f t="shared" si="537"/>
        <v/>
      </c>
      <c r="AN752" s="115"/>
      <c r="AO752" s="116"/>
      <c r="AP752" s="116"/>
      <c r="AQ752" s="116"/>
      <c r="AR752" s="116"/>
      <c r="AS752" s="116"/>
      <c r="AT752" s="116"/>
      <c r="AU752" s="116"/>
      <c r="AV752" s="78"/>
      <c r="AW752" s="102"/>
      <c r="AX752" s="78"/>
      <c r="AY752" s="78"/>
      <c r="AZ752" s="78"/>
      <c r="BA752" s="78"/>
      <c r="BB752" s="78"/>
      <c r="BC752" s="78"/>
      <c r="BD752" s="78"/>
      <c r="BE752" s="465"/>
      <c r="BF752" s="165" t="str">
        <f t="shared" si="538"/>
        <v>https://www.google.com/search?tbm=isch&amp;q=Camellia%20sasanqua%20%27Sparkling%20Burgundy%27%20Sparkling%20Burgundy%20Camellia</v>
      </c>
      <c r="BG752" s="165" t="str">
        <f t="shared" si="539"/>
        <v>C</v>
      </c>
      <c r="BH752" s="65"/>
      <c r="BI752" s="65"/>
      <c r="BJ752" s="65"/>
      <c r="BK752" s="65"/>
      <c r="BL752" s="99"/>
      <c r="BM752" s="99"/>
      <c r="BN752" s="99"/>
    </row>
    <row r="753" spans="1:66" s="51" customFormat="1" ht="27" x14ac:dyDescent="0.25">
      <c r="A753" s="478">
        <v>7</v>
      </c>
      <c r="B753" s="479" t="s">
        <v>291</v>
      </c>
      <c r="C753" s="480" t="s">
        <v>1859</v>
      </c>
      <c r="D753" s="481" t="s">
        <v>299</v>
      </c>
      <c r="E753" s="482">
        <v>104.95</v>
      </c>
      <c r="F753" s="483" t="s">
        <v>292</v>
      </c>
      <c r="G753" s="484">
        <v>0</v>
      </c>
      <c r="H753" s="688" t="str">
        <f>IF(G753=0,"",IF(F753="Buy",IF(G753=1,"plant","plants"),IF(F753&gt;0.01,"warranty","Error")))</f>
        <v/>
      </c>
      <c r="I753" s="485">
        <f>IF(H753="free",0,IF(H753="credit",((E753*(F753))*G753*-1),IF(F753="Buy",(E753*G753),((E753*(1-F753))*G753))))</f>
        <v>0</v>
      </c>
      <c r="J753" s="485">
        <f>IF(H753="warranty",0,(I753*(_xlfn.SINGLE(SalesTaxPercentage))))</f>
        <v>0</v>
      </c>
      <c r="K753" s="715">
        <f t="shared" ref="K753" si="561">I753+J753</f>
        <v>0</v>
      </c>
      <c r="L753" s="715"/>
      <c r="M753" s="689" t="str">
        <f ca="1">IF(AND(G753&gt;0,E753=0),"WARNING - no PRICE inserted",IF(H753="free","FREE ~ no charge this plant",IF(H753="credit",CONCATENATE("-$",ROUND(K753*(1-_xlfn.SINGLE(T2GDiscount))*-1,2)," CREDIT after discount"),IF(_xlfn.SINGLE(T2GDiscount)=0,"",IF(G753=0,"",IF(F753="Buy",CONCATENATE("$",ROUND(K753*(1-_xlfn.SINGLE(T2GDiscount)),2)," with ",(_xlfn.SINGLE(T2GDiscount)*100),"% discount"),CONCATENATE("$",ROUND(K753*(1-_xlfn.SINGLE(T2GDiscount)),2)," with ",((_xlfn.SINGLE(T2GDiscount)*100+F753*100)-(_xlfn.SINGLE(T2GDiscount)*100*F753)),IF(F753&gt;0,"% discounts",IF(_xlfn.SINGLE(NoWarrantyDiscount)&gt;0,"% discounts","% discount")))))))))</f>
        <v/>
      </c>
      <c r="N753" s="690"/>
      <c r="O753" s="486"/>
      <c r="P753" s="486"/>
      <c r="Q753" s="486"/>
      <c r="R753" s="486"/>
      <c r="S753" s="486"/>
      <c r="T753" s="102">
        <f t="shared" si="527"/>
        <v>0</v>
      </c>
      <c r="U753" s="78">
        <f>IF(NOT(ISNUMBER(G753)), "", VLOOKUP(A753,'Discount Lookup'!D:E,2,FALSE)*G753)</f>
        <v>0</v>
      </c>
      <c r="V753" s="78">
        <f>IF(NOT(ISNUMBER(G753)), "", VLOOKUP(A753,'Discount Lookup'!G:H,2,FALSE)*G753)</f>
        <v>0</v>
      </c>
      <c r="W753" s="102">
        <f t="shared" si="528"/>
        <v>0</v>
      </c>
      <c r="X753" s="102">
        <f t="shared" si="529"/>
        <v>0</v>
      </c>
      <c r="Y753" s="120" t="b">
        <f t="shared" si="530"/>
        <v>0</v>
      </c>
      <c r="Z753" s="117">
        <f t="shared" si="531"/>
        <v>0</v>
      </c>
      <c r="AA753" s="118"/>
      <c r="AB753" s="118" t="str">
        <f t="shared" si="532"/>
        <v/>
      </c>
      <c r="AC753" s="712" t="str">
        <f>IF(AE753="T2G","no charge",IF(AND(OR(PlanterYesMe="No",PlanterYesMe="N",PlanterYesMe="me"),H753=""),"",IF(H753="credit","NO install",IF(AND(K753="",AE753="me"),"EACH row",IF(AND(K753="images",AE753="me"),"EACH row",IF(D753="","",IF(H753="credit","",IF(AE753="free","re-planting",IF(AE753="me","   not ELP, by",IF(AND(OR(PlanterYesMe="Yes",PlanterYesMe="Y"),G753&gt;0),(VLOOKUP(A753,'Discount Lookup'!J:K,2)*G753*(1-PlanterDiscount)*(1+PlanterDifficultyPercentage)),IF(AE753="ELP",(VLOOKUP(A753,'Discount Lookup'!J:K,2)*G753*(1-PlanterDiscount)*(1+PlanterDifficultyPercentage)),IF(AE753="free","re-planting",IF(G753=0,"",IF(PlanterYesMe="",IF(AE753="me","   not ELP, by",IF(AE753="",IF(G753&gt;0,(VLOOKUP(A753,'Discount Lookup'!J:K,2)*G753*(1-PlanterDiscount)*(1+PlanterDifficultyPercentage)),""),"")),"   not ELP, by"))))))))))))))</f>
        <v/>
      </c>
      <c r="AD753" s="712"/>
      <c r="AE753" s="513" t="str">
        <f t="shared" si="533"/>
        <v/>
      </c>
      <c r="AF753" s="713" t="str">
        <f t="shared" si="534"/>
        <v/>
      </c>
      <c r="AG753" s="713"/>
      <c r="AH753" s="713"/>
      <c r="AI753" s="112">
        <f>IF(H753="credit",0,IF(AE753="free",0,IF(AE753="me",0,IF(G753&gt;0,(VLOOKUP(A753,'Discount Lookup'!J:K,2)*G753),0))))</f>
        <v>0</v>
      </c>
      <c r="AJ753" s="107" t="str">
        <f t="shared" ca="1" si="535"/>
        <v/>
      </c>
      <c r="AK753" s="714" t="str">
        <f t="shared" si="536"/>
        <v/>
      </c>
      <c r="AL753" s="714"/>
      <c r="AM753" s="114" t="str">
        <f t="shared" si="537"/>
        <v/>
      </c>
      <c r="AN753" s="115"/>
      <c r="AO753" s="116"/>
      <c r="AP753" s="116"/>
      <c r="AQ753" s="116"/>
      <c r="AR753" s="116"/>
      <c r="AS753" s="116"/>
      <c r="AT753" s="116"/>
      <c r="AU753" s="116"/>
      <c r="AV753" s="78"/>
      <c r="AW753" s="102"/>
      <c r="AX753" s="78"/>
      <c r="AY753" s="78"/>
      <c r="AZ753" s="78"/>
      <c r="BA753" s="78"/>
      <c r="BB753" s="78"/>
      <c r="BC753" s="78"/>
      <c r="BD753" s="78"/>
      <c r="BE753" s="465"/>
      <c r="BF753" s="165" t="str">
        <f t="shared" si="538"/>
        <v>https://www.google.com/search?tbm=isch&amp;q=7%20G4</v>
      </c>
      <c r="BG753" s="165" t="str">
        <f t="shared" si="539"/>
        <v>C</v>
      </c>
      <c r="BH753" s="65"/>
      <c r="BI753" s="65"/>
      <c r="BJ753" s="65"/>
      <c r="BK753" s="65"/>
      <c r="BL753" s="99"/>
      <c r="BM753" s="99"/>
      <c r="BN753" s="99"/>
    </row>
    <row r="754" spans="1:66" s="51" customFormat="1" ht="27" x14ac:dyDescent="0.25">
      <c r="A754" s="478">
        <v>15</v>
      </c>
      <c r="B754" s="479" t="s">
        <v>291</v>
      </c>
      <c r="C754" s="480" t="s">
        <v>5135</v>
      </c>
      <c r="D754" s="481" t="s">
        <v>299</v>
      </c>
      <c r="E754" s="482">
        <v>332.95</v>
      </c>
      <c r="F754" s="483" t="s">
        <v>292</v>
      </c>
      <c r="G754" s="484">
        <v>0</v>
      </c>
      <c r="H754" s="688" t="str">
        <f>IF(G754=0,"",IF(F754="Buy",IF(G754=1,"plant","plants"),IF(F754&gt;0.01,"warranty","Error")))</f>
        <v/>
      </c>
      <c r="I754" s="485">
        <f>IF(H754="free",0,IF(H754="credit",((E754*(F754))*G754*-1),IF(F754="Buy",(E754*G754),((E754*(1-F754))*G754))))</f>
        <v>0</v>
      </c>
      <c r="J754" s="485">
        <f>IF(H754="warranty",0,(I754*(_xlfn.SINGLE(SalesTaxPercentage))))</f>
        <v>0</v>
      </c>
      <c r="K754" s="715">
        <f t="shared" ref="K754" si="562">I754+J754</f>
        <v>0</v>
      </c>
      <c r="L754" s="715"/>
      <c r="M754" s="689" t="str">
        <f ca="1">IF(AND(G754&gt;0,E754=0),"WARNING - no PRICE inserted",IF(H754="free","FREE ~ no charge this plant",IF(H754="credit",CONCATENATE("-$",ROUND(K754*(1-_xlfn.SINGLE(T2GDiscount))*-1,2)," CREDIT after discount"),IF(_xlfn.SINGLE(T2GDiscount)=0,"",IF(G754=0,"",IF(F754="Buy",CONCATENATE("$",ROUND(K754*(1-_xlfn.SINGLE(T2GDiscount)),2)," with ",(_xlfn.SINGLE(T2GDiscount)*100),"% discount"),CONCATENATE("$",ROUND(K754*(1-_xlfn.SINGLE(T2GDiscount)),2)," with ",((_xlfn.SINGLE(T2GDiscount)*100+F754*100)-(_xlfn.SINGLE(T2GDiscount)*100*F754)),IF(F754&gt;0,"% discounts",IF(_xlfn.SINGLE(NoWarrantyDiscount)&gt;0,"% discounts","% discount")))))))))</f>
        <v/>
      </c>
      <c r="N754" s="690"/>
      <c r="O754" s="486"/>
      <c r="P754" s="486"/>
      <c r="Q754" s="486"/>
      <c r="R754" s="486"/>
      <c r="S754" s="486"/>
      <c r="T754" s="102">
        <f t="shared" si="527"/>
        <v>0</v>
      </c>
      <c r="U754" s="78">
        <f>IF(NOT(ISNUMBER(G754)), "", VLOOKUP(A754,'Discount Lookup'!D:E,2,FALSE)*G754)</f>
        <v>0</v>
      </c>
      <c r="V754" s="78">
        <f>IF(NOT(ISNUMBER(G754)), "", VLOOKUP(A754,'Discount Lookup'!G:H,2,FALSE)*G754)</f>
        <v>0</v>
      </c>
      <c r="W754" s="102">
        <f t="shared" si="528"/>
        <v>0</v>
      </c>
      <c r="X754" s="102">
        <f t="shared" si="529"/>
        <v>0</v>
      </c>
      <c r="Y754" s="120" t="b">
        <f t="shared" si="530"/>
        <v>0</v>
      </c>
      <c r="Z754" s="117">
        <f t="shared" si="531"/>
        <v>0</v>
      </c>
      <c r="AA754" s="118"/>
      <c r="AB754" s="118" t="str">
        <f t="shared" si="532"/>
        <v/>
      </c>
      <c r="AC754" s="712" t="str">
        <f>IF(AE754="T2G","no charge",IF(AND(OR(PlanterYesMe="No",PlanterYesMe="N",PlanterYesMe="me"),H754=""),"",IF(H754="credit","NO install",IF(AND(K754="",AE754="me"),"EACH row",IF(AND(K754="images",AE754="me"),"EACH row",IF(D754="","",IF(H754="credit","",IF(AE754="free","re-planting",IF(AE754="me","   not ELP, by",IF(AND(OR(PlanterYesMe="Yes",PlanterYesMe="Y"),G754&gt;0),(VLOOKUP(A754,'Discount Lookup'!J:K,2)*G754*(1-PlanterDiscount)*(1+PlanterDifficultyPercentage)),IF(AE754="ELP",(VLOOKUP(A754,'Discount Lookup'!J:K,2)*G754*(1-PlanterDiscount)*(1+PlanterDifficultyPercentage)),IF(AE754="free","re-planting",IF(G754=0,"",IF(PlanterYesMe="",IF(AE754="me","   not ELP, by",IF(AE754="",IF(G754&gt;0,(VLOOKUP(A754,'Discount Lookup'!J:K,2)*G754*(1-PlanterDiscount)*(1+PlanterDifficultyPercentage)),""),"")),"   not ELP, by"))))))))))))))</f>
        <v/>
      </c>
      <c r="AD754" s="712"/>
      <c r="AE754" s="513" t="str">
        <f t="shared" si="533"/>
        <v/>
      </c>
      <c r="AF754" s="713" t="str">
        <f t="shared" si="534"/>
        <v/>
      </c>
      <c r="AG754" s="713"/>
      <c r="AH754" s="713"/>
      <c r="AI754" s="112">
        <f>IF(H754="credit",0,IF(AE754="free",0,IF(AE754="me",0,IF(G754&gt;0,(VLOOKUP(A754,'Discount Lookup'!J:K,2)*G754),0))))</f>
        <v>0</v>
      </c>
      <c r="AJ754" s="107" t="str">
        <f t="shared" ca="1" si="535"/>
        <v/>
      </c>
      <c r="AK754" s="714" t="str">
        <f t="shared" si="536"/>
        <v/>
      </c>
      <c r="AL754" s="714"/>
      <c r="AM754" s="114" t="str">
        <f t="shared" si="537"/>
        <v/>
      </c>
      <c r="AN754" s="115"/>
      <c r="AO754" s="116"/>
      <c r="AP754" s="116"/>
      <c r="AQ754" s="116"/>
      <c r="AR754" s="116"/>
      <c r="AS754" s="116"/>
      <c r="AT754" s="116"/>
      <c r="AU754" s="116"/>
      <c r="AV754" s="78"/>
      <c r="AW754" s="102"/>
      <c r="AX754" s="78"/>
      <c r="AY754" s="78"/>
      <c r="AZ754" s="78"/>
      <c r="BA754" s="78"/>
      <c r="BB754" s="78"/>
      <c r="BC754" s="78"/>
      <c r="BD754" s="78"/>
      <c r="BE754" s="465"/>
      <c r="BF754" s="165" t="str">
        <f t="shared" si="538"/>
        <v>https://www.google.com/search?tbm=isch&amp;q=15%20G4</v>
      </c>
      <c r="BG754" s="165" t="str">
        <f t="shared" si="539"/>
        <v>C</v>
      </c>
      <c r="BH754" s="65"/>
      <c r="BI754" s="65"/>
      <c r="BJ754" s="65"/>
      <c r="BK754" s="65"/>
      <c r="BL754" s="99"/>
      <c r="BM754" s="99"/>
      <c r="BN754" s="99"/>
    </row>
    <row r="755" spans="1:66" s="51" customFormat="1" ht="17.25" thickBot="1" x14ac:dyDescent="0.3">
      <c r="A755" s="705" t="s">
        <v>5353</v>
      </c>
      <c r="B755" s="487"/>
      <c r="C755" s="707"/>
      <c r="D755" s="487"/>
      <c r="E755" s="487"/>
      <c r="F755" s="488"/>
      <c r="G755" s="489"/>
      <c r="H755" s="487"/>
      <c r="I755" s="490"/>
      <c r="J755" s="490"/>
      <c r="K755" s="491"/>
      <c r="L755" s="547"/>
      <c r="M755" s="528"/>
      <c r="N755" s="492"/>
      <c r="O755" s="493"/>
      <c r="P755" s="494"/>
      <c r="Q755" s="492"/>
      <c r="R755" s="492"/>
      <c r="S755" s="699" t="s">
        <v>5275</v>
      </c>
      <c r="T755" s="102">
        <f t="shared" si="527"/>
        <v>0</v>
      </c>
      <c r="U755" s="78" t="str">
        <f>IF(NOT(ISNUMBER(G755)), "", VLOOKUP(A755,'Discount Lookup'!D:E,2,FALSE)*G755)</f>
        <v/>
      </c>
      <c r="V755" s="78" t="str">
        <f>IF(NOT(ISNUMBER(G755)), "", VLOOKUP(A755,'Discount Lookup'!G:H,2,FALSE)*G755)</f>
        <v/>
      </c>
      <c r="W755" s="102">
        <f t="shared" si="528"/>
        <v>0</v>
      </c>
      <c r="X755" s="102">
        <f t="shared" si="529"/>
        <v>0</v>
      </c>
      <c r="Y755" s="120" t="b">
        <f t="shared" si="530"/>
        <v>0</v>
      </c>
      <c r="Z755" s="117">
        <f t="shared" si="531"/>
        <v>0</v>
      </c>
      <c r="AA755" s="118"/>
      <c r="AB755" s="118" t="str">
        <f t="shared" si="532"/>
        <v/>
      </c>
      <c r="AC755" s="712" t="str">
        <f>IF(AE755="T2G","no charge",IF(AND(OR(PlanterYesMe="No",PlanterYesMe="N",PlanterYesMe="me"),H755=""),"",IF(H755="credit","NO install",IF(AND(K755="",AE755="me"),"EACH row",IF(AND(K755="images",AE755="me"),"EACH row",IF(D755="","",IF(H755="credit","",IF(AE755="free","re-planting",IF(AE755="me","   not ELP, by",IF(AND(OR(PlanterYesMe="Yes",PlanterYesMe="Y"),G755&gt;0),(VLOOKUP(A755,'Discount Lookup'!J:K,2)*G755*(1-PlanterDiscount)*(1+PlanterDifficultyPercentage)),IF(AE755="ELP",(VLOOKUP(A755,'Discount Lookup'!J:K,2)*G755*(1-PlanterDiscount)*(1+PlanterDifficultyPercentage)),IF(AE755="free","re-planting",IF(G755=0,"",IF(PlanterYesMe="",IF(AE755="me","   not ELP, by",IF(AE755="",IF(G755&gt;0,(VLOOKUP(A755,'Discount Lookup'!J:K,2)*G755*(1-PlanterDiscount)*(1+PlanterDifficultyPercentage)),""),"")),"   not ELP, by"))))))))))))))</f>
        <v/>
      </c>
      <c r="AD755" s="712"/>
      <c r="AE755" s="513" t="str">
        <f t="shared" si="533"/>
        <v/>
      </c>
      <c r="AF755" s="713" t="str">
        <f t="shared" si="534"/>
        <v/>
      </c>
      <c r="AG755" s="713"/>
      <c r="AH755" s="713"/>
      <c r="AI755" s="112">
        <f>IF(H755="credit",0,IF(AE755="free",0,IF(AE755="me",0,IF(G755&gt;0,(VLOOKUP(A755,'Discount Lookup'!J:K,2)*G755),0))))</f>
        <v>0</v>
      </c>
      <c r="AJ755" s="107" t="str">
        <f t="shared" ca="1" si="535"/>
        <v/>
      </c>
      <c r="AK755" s="714" t="str">
        <f t="shared" si="536"/>
        <v/>
      </c>
      <c r="AL755" s="714"/>
      <c r="AM755" s="114" t="str">
        <f t="shared" si="537"/>
        <v/>
      </c>
      <c r="AN755" s="115"/>
      <c r="AO755" s="116"/>
      <c r="AP755" s="116"/>
      <c r="AQ755" s="116"/>
      <c r="AR755" s="116"/>
      <c r="AS755" s="116"/>
      <c r="AT755" s="116"/>
      <c r="AU755" s="116"/>
      <c r="AV755" s="78"/>
      <c r="AW755" s="102"/>
      <c r="AX755" s="78"/>
      <c r="AY755" s="78"/>
      <c r="AZ755" s="78"/>
      <c r="BA755" s="78"/>
      <c r="BB755" s="78"/>
      <c r="BC755" s="78"/>
      <c r="BD755" s="78"/>
      <c r="BE755" s="465"/>
      <c r="BF755" s="165" t="str">
        <f t="shared" si="538"/>
        <v>https://www.google.com/search?tbm=isch&amp;q=moist%20sites%F0%9F%92%A7OK%2C%20Sparkling%20Burgundy%20offers%20beautiful%2C%20fragrant%20flowers%20in%20late%20fall%20and%20early%20winter%20on%20glossy%20evergreen%20foliage%20</v>
      </c>
      <c r="BG755" s="165" t="str">
        <f t="shared" si="539"/>
        <v>m</v>
      </c>
      <c r="BH755" s="65"/>
      <c r="BI755" s="65"/>
      <c r="BJ755" s="65"/>
      <c r="BK755" s="65"/>
      <c r="BL755" s="99"/>
      <c r="BM755" s="99"/>
      <c r="BN755" s="99"/>
    </row>
    <row r="756" spans="1:66" s="51" customFormat="1" ht="18" x14ac:dyDescent="0.25">
      <c r="A756" s="507" t="s">
        <v>1860</v>
      </c>
      <c r="B756" s="470"/>
      <c r="C756" s="706"/>
      <c r="D756" s="471" t="s">
        <v>5611</v>
      </c>
      <c r="E756" s="472"/>
      <c r="F756" s="472"/>
      <c r="G756" s="472"/>
      <c r="H756" s="622" t="s">
        <v>1082</v>
      </c>
      <c r="I756" s="473" t="s">
        <v>1861</v>
      </c>
      <c r="J756" s="472"/>
      <c r="K756" s="472"/>
      <c r="L756" s="561"/>
      <c r="M756" s="698" t="s">
        <v>5246</v>
      </c>
      <c r="N756" s="692" t="str">
        <f>IF(AND(ISTEXT($A756), ISERROR($A756+0)), HYPERLINK($BF756, "Images"), "")</f>
        <v>Images</v>
      </c>
      <c r="O756" s="694" t="s">
        <v>5247</v>
      </c>
      <c r="P756" s="475"/>
      <c r="Q756" s="476"/>
      <c r="R756" s="476"/>
      <c r="S756" s="477"/>
      <c r="T756" s="102">
        <f t="shared" si="527"/>
        <v>0</v>
      </c>
      <c r="U756" s="78" t="str">
        <f>IF(NOT(ISNUMBER(G756)), "", VLOOKUP(A756,'Discount Lookup'!D:E,2,FALSE)*G756)</f>
        <v/>
      </c>
      <c r="V756" s="78" t="str">
        <f>IF(NOT(ISNUMBER(G756)), "", VLOOKUP(A756,'Discount Lookup'!G:H,2,FALSE)*G756)</f>
        <v/>
      </c>
      <c r="W756" s="102">
        <f t="shared" si="528"/>
        <v>0</v>
      </c>
      <c r="X756" s="102" t="str">
        <f t="shared" si="529"/>
        <v>Red bloom, Yellow stamen</v>
      </c>
      <c r="Y756" s="120" t="b">
        <f t="shared" si="530"/>
        <v>0</v>
      </c>
      <c r="Z756" s="117">
        <f t="shared" si="531"/>
        <v>0</v>
      </c>
      <c r="AA756" s="118"/>
      <c r="AB756" s="118" t="str">
        <f t="shared" si="532"/>
        <v/>
      </c>
      <c r="AC756" s="712" t="str">
        <f>IF(AE756="T2G","no charge",IF(AND(OR(PlanterYesMe="No",PlanterYesMe="N",PlanterYesMe="me"),H756=""),"",IF(H756="credit","NO install",IF(AND(K756="",AE756="me"),"EACH row",IF(AND(K756="images",AE756="me"),"EACH row",IF(D756="","",IF(H756="credit","",IF(AE756="free","re-planting",IF(AE756="me","   not ELP, by",IF(AND(OR(PlanterYesMe="Yes",PlanterYesMe="Y"),G756&gt;0),(VLOOKUP(A756,'Discount Lookup'!J:K,2)*G756*(1-PlanterDiscount)*(1+PlanterDifficultyPercentage)),IF(AE756="ELP",(VLOOKUP(A756,'Discount Lookup'!J:K,2)*G756*(1-PlanterDiscount)*(1+PlanterDifficultyPercentage)),IF(AE756="free","re-planting",IF(G756=0,"",IF(PlanterYesMe="",IF(AE756="me","   not ELP, by",IF(AE756="",IF(G756&gt;0,(VLOOKUP(A756,'Discount Lookup'!J:K,2)*G756*(1-PlanterDiscount)*(1+PlanterDifficultyPercentage)),""),"")),"   not ELP, by"))))))))))))))</f>
        <v/>
      </c>
      <c r="AD756" s="712"/>
      <c r="AE756" s="513" t="str">
        <f t="shared" si="533"/>
        <v/>
      </c>
      <c r="AF756" s="713" t="str">
        <f t="shared" si="534"/>
        <v/>
      </c>
      <c r="AG756" s="713"/>
      <c r="AH756" s="713"/>
      <c r="AI756" s="112">
        <f>IF(H756="credit",0,IF(AE756="free",0,IF(AE756="me",0,IF(G756&gt;0,(VLOOKUP(A756,'Discount Lookup'!J:K,2)*G756),0))))</f>
        <v>0</v>
      </c>
      <c r="AJ756" s="107" t="str">
        <f t="shared" ca="1" si="535"/>
        <v/>
      </c>
      <c r="AK756" s="714" t="str">
        <f t="shared" si="536"/>
        <v/>
      </c>
      <c r="AL756" s="714"/>
      <c r="AM756" s="114" t="str">
        <f t="shared" si="537"/>
        <v/>
      </c>
      <c r="AN756" s="115"/>
      <c r="AO756" s="116"/>
      <c r="AP756" s="116"/>
      <c r="AQ756" s="116"/>
      <c r="AR756" s="116"/>
      <c r="AS756" s="116"/>
      <c r="AT756" s="116"/>
      <c r="AU756" s="116"/>
      <c r="AV756" s="78"/>
      <c r="AW756" s="102"/>
      <c r="AX756" s="78"/>
      <c r="AY756" s="78"/>
      <c r="AZ756" s="78"/>
      <c r="BA756" s="78"/>
      <c r="BB756" s="78"/>
      <c r="BC756" s="78"/>
      <c r="BD756" s="78"/>
      <c r="BE756" s="465"/>
      <c r="BF756" s="165" t="str">
        <f t="shared" si="538"/>
        <v>https://www.google.com/search?tbm=isch&amp;q=Camellia%20sasanqua%20%27TDN%201116%27%20PP%2314213%20Bella%20Rouge%E2%84%A2%20Camellia</v>
      </c>
      <c r="BG756" s="165" t="str">
        <f t="shared" si="539"/>
        <v>C</v>
      </c>
      <c r="BH756" s="65"/>
      <c r="BI756" s="65"/>
      <c r="BJ756" s="65"/>
      <c r="BK756" s="65"/>
      <c r="BL756" s="99"/>
      <c r="BM756" s="99"/>
      <c r="BN756" s="99"/>
    </row>
    <row r="757" spans="1:66" s="51" customFormat="1" ht="27" x14ac:dyDescent="0.25">
      <c r="A757" s="478">
        <v>7</v>
      </c>
      <c r="B757" s="479" t="s">
        <v>291</v>
      </c>
      <c r="C757" s="480" t="s">
        <v>1862</v>
      </c>
      <c r="D757" s="481" t="s">
        <v>299</v>
      </c>
      <c r="E757" s="482">
        <v>104.95</v>
      </c>
      <c r="F757" s="483" t="s">
        <v>292</v>
      </c>
      <c r="G757" s="484">
        <v>0</v>
      </c>
      <c r="H757" s="688" t="str">
        <f>IF(G757=0,"",IF(F757="Buy",IF(G757=1,"plant","plants"),IF(F757&gt;0.01,"warranty","Error")))</f>
        <v/>
      </c>
      <c r="I757" s="485">
        <f>IF(H757="free",0,IF(H757="credit",((E757*(F757))*G757*-1),IF(F757="Buy",(E757*G757),((E757*(1-F757))*G757))))</f>
        <v>0</v>
      </c>
      <c r="J757" s="485">
        <f>IF(H757="warranty",0,(I757*(_xlfn.SINGLE(SalesTaxPercentage))))</f>
        <v>0</v>
      </c>
      <c r="K757" s="715">
        <f t="shared" ref="K757" si="563">I757+J757</f>
        <v>0</v>
      </c>
      <c r="L757" s="715"/>
      <c r="M757" s="689" t="str">
        <f ca="1">IF(AND(G757&gt;0,E757=0),"WARNING - no PRICE inserted",IF(H757="free","FREE ~ no charge this plant",IF(H757="credit",CONCATENATE("-$",ROUND(K757*(1-_xlfn.SINGLE(T2GDiscount))*-1,2)," CREDIT after discount"),IF(_xlfn.SINGLE(T2GDiscount)=0,"",IF(G757=0,"",IF(F757="Buy",CONCATENATE("$",ROUND(K757*(1-_xlfn.SINGLE(T2GDiscount)),2)," with ",(_xlfn.SINGLE(T2GDiscount)*100),"% discount"),CONCATENATE("$",ROUND(K757*(1-_xlfn.SINGLE(T2GDiscount)),2)," with ",((_xlfn.SINGLE(T2GDiscount)*100+F757*100)-(_xlfn.SINGLE(T2GDiscount)*100*F757)),IF(F757&gt;0,"% discounts",IF(_xlfn.SINGLE(NoWarrantyDiscount)&gt;0,"% discounts","% discount")))))))))</f>
        <v/>
      </c>
      <c r="N757" s="690"/>
      <c r="O757" s="486"/>
      <c r="P757" s="486"/>
      <c r="Q757" s="486"/>
      <c r="R757" s="486"/>
      <c r="S757" s="486"/>
      <c r="T757" s="102">
        <f t="shared" si="527"/>
        <v>0</v>
      </c>
      <c r="U757" s="78">
        <f>IF(NOT(ISNUMBER(G757)), "", VLOOKUP(A757,'Discount Lookup'!D:E,2,FALSE)*G757)</f>
        <v>0</v>
      </c>
      <c r="V757" s="78">
        <f>IF(NOT(ISNUMBER(G757)), "", VLOOKUP(A757,'Discount Lookup'!G:H,2,FALSE)*G757)</f>
        <v>0</v>
      </c>
      <c r="W757" s="102">
        <f t="shared" si="528"/>
        <v>0</v>
      </c>
      <c r="X757" s="102">
        <f t="shared" si="529"/>
        <v>0</v>
      </c>
      <c r="Y757" s="120" t="b">
        <f t="shared" si="530"/>
        <v>0</v>
      </c>
      <c r="Z757" s="117">
        <f t="shared" si="531"/>
        <v>0</v>
      </c>
      <c r="AA757" s="118"/>
      <c r="AB757" s="118" t="str">
        <f t="shared" si="532"/>
        <v/>
      </c>
      <c r="AC757" s="712" t="str">
        <f>IF(AE757="T2G","no charge",IF(AND(OR(PlanterYesMe="No",PlanterYesMe="N",PlanterYesMe="me"),H757=""),"",IF(H757="credit","NO install",IF(AND(K757="",AE757="me"),"EACH row",IF(AND(K757="images",AE757="me"),"EACH row",IF(D757="","",IF(H757="credit","",IF(AE757="free","re-planting",IF(AE757="me","   not ELP, by",IF(AND(OR(PlanterYesMe="Yes",PlanterYesMe="Y"),G757&gt;0),(VLOOKUP(A757,'Discount Lookup'!J:K,2)*G757*(1-PlanterDiscount)*(1+PlanterDifficultyPercentage)),IF(AE757="ELP",(VLOOKUP(A757,'Discount Lookup'!J:K,2)*G757*(1-PlanterDiscount)*(1+PlanterDifficultyPercentage)),IF(AE757="free","re-planting",IF(G757=0,"",IF(PlanterYesMe="",IF(AE757="me","   not ELP, by",IF(AE757="",IF(G757&gt;0,(VLOOKUP(A757,'Discount Lookup'!J:K,2)*G757*(1-PlanterDiscount)*(1+PlanterDifficultyPercentage)),""),"")),"   not ELP, by"))))))))))))))</f>
        <v/>
      </c>
      <c r="AD757" s="712"/>
      <c r="AE757" s="513" t="str">
        <f t="shared" si="533"/>
        <v/>
      </c>
      <c r="AF757" s="713" t="str">
        <f t="shared" si="534"/>
        <v/>
      </c>
      <c r="AG757" s="713"/>
      <c r="AH757" s="713"/>
      <c r="AI757" s="112">
        <f>IF(H757="credit",0,IF(AE757="free",0,IF(AE757="me",0,IF(G757&gt;0,(VLOOKUP(A757,'Discount Lookup'!J:K,2)*G757),0))))</f>
        <v>0</v>
      </c>
      <c r="AJ757" s="107" t="str">
        <f t="shared" ca="1" si="535"/>
        <v/>
      </c>
      <c r="AK757" s="714" t="str">
        <f t="shared" si="536"/>
        <v/>
      </c>
      <c r="AL757" s="714"/>
      <c r="AM757" s="114" t="str">
        <f t="shared" si="537"/>
        <v/>
      </c>
      <c r="AN757" s="115"/>
      <c r="AO757" s="116"/>
      <c r="AP757" s="116"/>
      <c r="AQ757" s="116"/>
      <c r="AR757" s="116"/>
      <c r="AS757" s="116"/>
      <c r="AT757" s="116"/>
      <c r="AU757" s="116"/>
      <c r="AV757" s="78"/>
      <c r="AW757" s="102"/>
      <c r="AX757" s="78"/>
      <c r="AY757" s="78"/>
      <c r="AZ757" s="78"/>
      <c r="BA757" s="78"/>
      <c r="BB757" s="78"/>
      <c r="BC757" s="78"/>
      <c r="BD757" s="78"/>
      <c r="BE757" s="465"/>
      <c r="BF757" s="165" t="str">
        <f t="shared" si="538"/>
        <v>https://www.google.com/search?tbm=isch&amp;q=7%20G4</v>
      </c>
      <c r="BG757" s="165" t="str">
        <f t="shared" si="539"/>
        <v>C</v>
      </c>
      <c r="BH757" s="65"/>
      <c r="BI757" s="65"/>
      <c r="BJ757" s="65"/>
      <c r="BK757" s="65"/>
      <c r="BL757" s="99"/>
      <c r="BM757" s="99"/>
      <c r="BN757" s="99"/>
    </row>
    <row r="758" spans="1:66" s="51" customFormat="1" ht="17.25" thickBot="1" x14ac:dyDescent="0.3">
      <c r="A758" s="508" t="s">
        <v>1863</v>
      </c>
      <c r="B758" s="487"/>
      <c r="C758" s="707"/>
      <c r="D758" s="487"/>
      <c r="E758" s="487"/>
      <c r="F758" s="488"/>
      <c r="G758" s="489"/>
      <c r="H758" s="487"/>
      <c r="I758" s="490"/>
      <c r="J758" s="490"/>
      <c r="K758" s="491"/>
      <c r="L758" s="547"/>
      <c r="M758" s="528"/>
      <c r="N758" s="492"/>
      <c r="O758" s="493"/>
      <c r="P758" s="494"/>
      <c r="Q758" s="492"/>
      <c r="R758" s="492"/>
      <c r="S758" s="699" t="s">
        <v>5275</v>
      </c>
      <c r="T758" s="102">
        <f t="shared" si="527"/>
        <v>0</v>
      </c>
      <c r="U758" s="78" t="str">
        <f>IF(NOT(ISNUMBER(G758)), "", VLOOKUP(A758,'Discount Lookup'!D:E,2,FALSE)*G758)</f>
        <v/>
      </c>
      <c r="V758" s="78" t="str">
        <f>IF(NOT(ISNUMBER(G758)), "", VLOOKUP(A758,'Discount Lookup'!G:H,2,FALSE)*G758)</f>
        <v/>
      </c>
      <c r="W758" s="102">
        <f t="shared" si="528"/>
        <v>0</v>
      </c>
      <c r="X758" s="102">
        <f t="shared" si="529"/>
        <v>0</v>
      </c>
      <c r="Y758" s="120" t="b">
        <f t="shared" si="530"/>
        <v>0</v>
      </c>
      <c r="Z758" s="117">
        <f t="shared" si="531"/>
        <v>0</v>
      </c>
      <c r="AA758" s="118"/>
      <c r="AB758" s="118" t="str">
        <f t="shared" si="532"/>
        <v/>
      </c>
      <c r="AC758" s="712" t="str">
        <f>IF(AE758="T2G","no charge",IF(AND(OR(PlanterYesMe="No",PlanterYesMe="N",PlanterYesMe="me"),H758=""),"",IF(H758="credit","NO install",IF(AND(K758="",AE758="me"),"EACH row",IF(AND(K758="images",AE758="me"),"EACH row",IF(D758="","",IF(H758="credit","",IF(AE758="free","re-planting",IF(AE758="me","   not ELP, by",IF(AND(OR(PlanterYesMe="Yes",PlanterYesMe="Y"),G758&gt;0),(VLOOKUP(A758,'Discount Lookup'!J:K,2)*G758*(1-PlanterDiscount)*(1+PlanterDifficultyPercentage)),IF(AE758="ELP",(VLOOKUP(A758,'Discount Lookup'!J:K,2)*G758*(1-PlanterDiscount)*(1+PlanterDifficultyPercentage)),IF(AE758="free","re-planting",IF(G758=0,"",IF(PlanterYesMe="",IF(AE758="me","   not ELP, by",IF(AE758="",IF(G758&gt;0,(VLOOKUP(A758,'Discount Lookup'!J:K,2)*G758*(1-PlanterDiscount)*(1+PlanterDifficultyPercentage)),""),"")),"   not ELP, by"))))))))))))))</f>
        <v/>
      </c>
      <c r="AD758" s="712"/>
      <c r="AE758" s="513" t="str">
        <f t="shared" si="533"/>
        <v/>
      </c>
      <c r="AF758" s="713" t="str">
        <f t="shared" si="534"/>
        <v/>
      </c>
      <c r="AG758" s="713"/>
      <c r="AH758" s="713"/>
      <c r="AI758" s="112">
        <f>IF(H758="credit",0,IF(AE758="free",0,IF(AE758="me",0,IF(G758&gt;0,(VLOOKUP(A758,'Discount Lookup'!J:K,2)*G758),0))))</f>
        <v>0</v>
      </c>
      <c r="AJ758" s="107" t="str">
        <f t="shared" ca="1" si="535"/>
        <v/>
      </c>
      <c r="AK758" s="714" t="str">
        <f t="shared" si="536"/>
        <v/>
      </c>
      <c r="AL758" s="714"/>
      <c r="AM758" s="114" t="str">
        <f t="shared" si="537"/>
        <v/>
      </c>
      <c r="AN758" s="115"/>
      <c r="AO758" s="116"/>
      <c r="AP758" s="116"/>
      <c r="AQ758" s="116"/>
      <c r="AR758" s="116"/>
      <c r="AS758" s="116"/>
      <c r="AT758" s="116"/>
      <c r="AU758" s="116"/>
      <c r="AV758" s="78"/>
      <c r="AW758" s="102"/>
      <c r="AX758" s="78"/>
      <c r="AY758" s="78"/>
      <c r="AZ758" s="78"/>
      <c r="BA758" s="78"/>
      <c r="BB758" s="78"/>
      <c r="BC758" s="78"/>
      <c r="BD758" s="78"/>
      <c r="BE758" s="465"/>
      <c r="BF758" s="165" t="str">
        <f t="shared" si="538"/>
        <v>https://www.google.com/search?tbm=isch&amp;q=Bella%20Rouge%20is%20a%20slow-to-moderate%20growing%20shrub%20with%20stunning%20Red%20semi-double%20blooms%20in%20the%20fall%20and%20winter%20</v>
      </c>
      <c r="BG758" s="165" t="str">
        <f t="shared" si="539"/>
        <v>B</v>
      </c>
      <c r="BH758" s="65"/>
      <c r="BI758" s="65"/>
      <c r="BJ758" s="65"/>
      <c r="BK758" s="65"/>
      <c r="BL758" s="99"/>
      <c r="BM758" s="99"/>
      <c r="BN758" s="99"/>
    </row>
    <row r="759" spans="1:66" s="51" customFormat="1" ht="18" x14ac:dyDescent="0.25">
      <c r="A759" s="507" t="s">
        <v>1864</v>
      </c>
      <c r="B759" s="470"/>
      <c r="C759" s="706"/>
      <c r="D759" s="471" t="s">
        <v>1865</v>
      </c>
      <c r="E759" s="472"/>
      <c r="F759" s="472"/>
      <c r="G759" s="472"/>
      <c r="H759" s="622" t="s">
        <v>1231</v>
      </c>
      <c r="I759" s="473" t="s">
        <v>1866</v>
      </c>
      <c r="J759" s="472"/>
      <c r="K759" s="472"/>
      <c r="L759" s="561"/>
      <c r="M759" s="698" t="s">
        <v>5246</v>
      </c>
      <c r="N759" s="692" t="str">
        <f>IF(AND(ISTEXT($A759), ISERROR($A759+0)), HYPERLINK($BF759, "Images"), "")</f>
        <v>Images</v>
      </c>
      <c r="O759" s="694" t="s">
        <v>5247</v>
      </c>
      <c r="P759" s="475"/>
      <c r="Q759" s="476"/>
      <c r="R759" s="476"/>
      <c r="S759" s="477"/>
      <c r="T759" s="102">
        <f t="shared" si="527"/>
        <v>0</v>
      </c>
      <c r="U759" s="78" t="str">
        <f>IF(NOT(ISNUMBER(G759)), "", VLOOKUP(A759,'Discount Lookup'!D:E,2,FALSE)*G759)</f>
        <v/>
      </c>
      <c r="V759" s="78" t="str">
        <f>IF(NOT(ISNUMBER(G759)), "", VLOOKUP(A759,'Discount Lookup'!G:H,2,FALSE)*G759)</f>
        <v/>
      </c>
      <c r="W759" s="102">
        <f t="shared" si="528"/>
        <v>0</v>
      </c>
      <c r="X759" s="102" t="str">
        <f t="shared" si="529"/>
        <v>Pink bloom, Golden stamen</v>
      </c>
      <c r="Y759" s="120" t="b">
        <f t="shared" si="530"/>
        <v>0</v>
      </c>
      <c r="Z759" s="117">
        <f t="shared" si="531"/>
        <v>0</v>
      </c>
      <c r="AA759" s="118"/>
      <c r="AB759" s="118" t="str">
        <f t="shared" si="532"/>
        <v/>
      </c>
      <c r="AC759" s="712" t="str">
        <f>IF(AE759="T2G","no charge",IF(AND(OR(PlanterYesMe="No",PlanterYesMe="N",PlanterYesMe="me"),H759=""),"",IF(H759="credit","NO install",IF(AND(K759="",AE759="me"),"EACH row",IF(AND(K759="images",AE759="me"),"EACH row",IF(D759="","",IF(H759="credit","",IF(AE759="free","re-planting",IF(AE759="me","   not ELP, by",IF(AND(OR(PlanterYesMe="Yes",PlanterYesMe="Y"),G759&gt;0),(VLOOKUP(A759,'Discount Lookup'!J:K,2)*G759*(1-PlanterDiscount)*(1+PlanterDifficultyPercentage)),IF(AE759="ELP",(VLOOKUP(A759,'Discount Lookup'!J:K,2)*G759*(1-PlanterDiscount)*(1+PlanterDifficultyPercentage)),IF(AE759="free","re-planting",IF(G759=0,"",IF(PlanterYesMe="",IF(AE759="me","   not ELP, by",IF(AE759="",IF(G759&gt;0,(VLOOKUP(A759,'Discount Lookup'!J:K,2)*G759*(1-PlanterDiscount)*(1+PlanterDifficultyPercentage)),""),"")),"   not ELP, by"))))))))))))))</f>
        <v/>
      </c>
      <c r="AD759" s="712"/>
      <c r="AE759" s="513" t="str">
        <f t="shared" si="533"/>
        <v/>
      </c>
      <c r="AF759" s="713" t="str">
        <f t="shared" si="534"/>
        <v/>
      </c>
      <c r="AG759" s="713"/>
      <c r="AH759" s="713"/>
      <c r="AI759" s="112">
        <f>IF(H759="credit",0,IF(AE759="free",0,IF(AE759="me",0,IF(G759&gt;0,(VLOOKUP(A759,'Discount Lookup'!J:K,2)*G759),0))))</f>
        <v>0</v>
      </c>
      <c r="AJ759" s="107" t="str">
        <f t="shared" ca="1" si="535"/>
        <v/>
      </c>
      <c r="AK759" s="714" t="str">
        <f t="shared" si="536"/>
        <v/>
      </c>
      <c r="AL759" s="714"/>
      <c r="AM759" s="114" t="str">
        <f t="shared" si="537"/>
        <v/>
      </c>
      <c r="AN759" s="115"/>
      <c r="AO759" s="116"/>
      <c r="AP759" s="116"/>
      <c r="AQ759" s="116"/>
      <c r="AR759" s="116"/>
      <c r="AS759" s="116"/>
      <c r="AT759" s="116"/>
      <c r="AU759" s="116"/>
      <c r="AV759" s="78"/>
      <c r="AW759" s="102"/>
      <c r="AX759" s="78"/>
      <c r="AY759" s="78"/>
      <c r="AZ759" s="78"/>
      <c r="BA759" s="78"/>
      <c r="BB759" s="78"/>
      <c r="BC759" s="78"/>
      <c r="BD759" s="78"/>
      <c r="BE759" s="465"/>
      <c r="BF759" s="165" t="str">
        <f t="shared" si="538"/>
        <v>https://www.google.com/search?tbm=isch&amp;q=Camellia%20sasanqua%20%27William%20Lanier%20Hunt%27%20William%20Lanier%20Hunt%20Camellia</v>
      </c>
      <c r="BG759" s="165" t="str">
        <f t="shared" si="539"/>
        <v>C</v>
      </c>
      <c r="BH759" s="65"/>
      <c r="BI759" s="65"/>
      <c r="BJ759" s="65"/>
      <c r="BK759" s="65"/>
      <c r="BL759" s="99"/>
      <c r="BM759" s="99"/>
      <c r="BN759" s="99"/>
    </row>
    <row r="760" spans="1:66" s="51" customFormat="1" ht="15.75" x14ac:dyDescent="0.25">
      <c r="A760" s="478">
        <v>10</v>
      </c>
      <c r="B760" s="479" t="s">
        <v>291</v>
      </c>
      <c r="C760" s="480" t="s">
        <v>1867</v>
      </c>
      <c r="D760" s="481" t="s">
        <v>309</v>
      </c>
      <c r="E760" s="482">
        <v>83.95</v>
      </c>
      <c r="F760" s="483" t="s">
        <v>292</v>
      </c>
      <c r="G760" s="484">
        <v>0</v>
      </c>
      <c r="H760" s="688" t="str">
        <f>IF(G760=0,"",IF(F760="Buy",IF(G760=1,"plant","plants"),IF(F760&gt;0.01,"warranty","Error")))</f>
        <v/>
      </c>
      <c r="I760" s="485">
        <f>IF(H760="free",0,IF(H760="credit",((E760*(F760))*G760*-1),IF(F760="Buy",(E760*G760),((E760*(1-F760))*G760))))</f>
        <v>0</v>
      </c>
      <c r="J760" s="485">
        <f>IF(H760="warranty",0,(I760*(_xlfn.SINGLE(SalesTaxPercentage))))</f>
        <v>0</v>
      </c>
      <c r="K760" s="715">
        <f t="shared" ref="K760" si="564">I760+J760</f>
        <v>0</v>
      </c>
      <c r="L760" s="715"/>
      <c r="M760" s="689" t="str">
        <f ca="1">IF(AND(G760&gt;0,E760=0),"WARNING - no PRICE inserted",IF(H760="free","FREE ~ no charge this plant",IF(H760="credit",CONCATENATE("-$",ROUND(K760*(1-_xlfn.SINGLE(T2GDiscount))*-1,2)," CREDIT after discount"),IF(_xlfn.SINGLE(T2GDiscount)=0,"",IF(G760=0,"",IF(F760="Buy",CONCATENATE("$",ROUND(K760*(1-_xlfn.SINGLE(T2GDiscount)),2)," with ",(_xlfn.SINGLE(T2GDiscount)*100),"% discount"),CONCATENATE("$",ROUND(K760*(1-_xlfn.SINGLE(T2GDiscount)),2)," with ",((_xlfn.SINGLE(T2GDiscount)*100+F760*100)-(_xlfn.SINGLE(T2GDiscount)*100*F760)),IF(F760&gt;0,"% discounts",IF(_xlfn.SINGLE(NoWarrantyDiscount)&gt;0,"% discounts","% discount")))))))))</f>
        <v/>
      </c>
      <c r="N760" s="690"/>
      <c r="O760" s="486"/>
      <c r="P760" s="486"/>
      <c r="Q760" s="486"/>
      <c r="R760" s="486"/>
      <c r="S760" s="486"/>
      <c r="T760" s="102">
        <f t="shared" si="527"/>
        <v>0</v>
      </c>
      <c r="U760" s="78">
        <f>IF(NOT(ISNUMBER(G760)), "", VLOOKUP(A760,'Discount Lookup'!D:E,2,FALSE)*G760)</f>
        <v>0</v>
      </c>
      <c r="V760" s="78">
        <f>IF(NOT(ISNUMBER(G760)), "", VLOOKUP(A760,'Discount Lookup'!G:H,2,FALSE)*G760)</f>
        <v>0</v>
      </c>
      <c r="W760" s="102">
        <f t="shared" si="528"/>
        <v>0</v>
      </c>
      <c r="X760" s="102">
        <f t="shared" si="529"/>
        <v>0</v>
      </c>
      <c r="Y760" s="120" t="b">
        <f t="shared" si="530"/>
        <v>0</v>
      </c>
      <c r="Z760" s="117">
        <f t="shared" si="531"/>
        <v>0</v>
      </c>
      <c r="AA760" s="118"/>
      <c r="AB760" s="118" t="str">
        <f t="shared" si="532"/>
        <v/>
      </c>
      <c r="AC760" s="712" t="str">
        <f>IF(AE760="T2G","no charge",IF(AND(OR(PlanterYesMe="No",PlanterYesMe="N",PlanterYesMe="me"),H760=""),"",IF(H760="credit","NO install",IF(AND(K760="",AE760="me"),"EACH row",IF(AND(K760="images",AE760="me"),"EACH row",IF(D760="","",IF(H760="credit","",IF(AE760="free","re-planting",IF(AE760="me","   not ELP, by",IF(AND(OR(PlanterYesMe="Yes",PlanterYesMe="Y"),G760&gt;0),(VLOOKUP(A760,'Discount Lookup'!J:K,2)*G760*(1-PlanterDiscount)*(1+PlanterDifficultyPercentage)),IF(AE760="ELP",(VLOOKUP(A760,'Discount Lookup'!J:K,2)*G760*(1-PlanterDiscount)*(1+PlanterDifficultyPercentage)),IF(AE760="free","re-planting",IF(G760=0,"",IF(PlanterYesMe="",IF(AE760="me","   not ELP, by",IF(AE760="",IF(G760&gt;0,(VLOOKUP(A760,'Discount Lookup'!J:K,2)*G760*(1-PlanterDiscount)*(1+PlanterDifficultyPercentage)),""),"")),"   not ELP, by"))))))))))))))</f>
        <v/>
      </c>
      <c r="AD760" s="712"/>
      <c r="AE760" s="513" t="str">
        <f t="shared" si="533"/>
        <v/>
      </c>
      <c r="AF760" s="713" t="str">
        <f t="shared" si="534"/>
        <v/>
      </c>
      <c r="AG760" s="713"/>
      <c r="AH760" s="713"/>
      <c r="AI760" s="112">
        <f>IF(H760="credit",0,IF(AE760="free",0,IF(AE760="me",0,IF(G760&gt;0,(VLOOKUP(A760,'Discount Lookup'!J:K,2)*G760),0))))</f>
        <v>0</v>
      </c>
      <c r="AJ760" s="107" t="str">
        <f t="shared" ca="1" si="535"/>
        <v/>
      </c>
      <c r="AK760" s="714" t="str">
        <f t="shared" si="536"/>
        <v/>
      </c>
      <c r="AL760" s="714"/>
      <c r="AM760" s="114" t="str">
        <f t="shared" si="537"/>
        <v/>
      </c>
      <c r="AN760" s="115"/>
      <c r="AO760" s="116"/>
      <c r="AP760" s="116"/>
      <c r="AQ760" s="116"/>
      <c r="AR760" s="116"/>
      <c r="AS760" s="116"/>
      <c r="AT760" s="116"/>
      <c r="AU760" s="116"/>
      <c r="AV760" s="78"/>
      <c r="AW760" s="102"/>
      <c r="AX760" s="78"/>
      <c r="AY760" s="78"/>
      <c r="AZ760" s="78"/>
      <c r="BA760" s="78"/>
      <c r="BB760" s="78"/>
      <c r="BC760" s="78"/>
      <c r="BD760" s="78"/>
      <c r="BE760" s="465"/>
      <c r="BF760" s="165" t="str">
        <f t="shared" si="538"/>
        <v>https://www.google.com/search?tbm=isch&amp;q=10%20G3</v>
      </c>
      <c r="BG760" s="165" t="str">
        <f t="shared" si="539"/>
        <v>C</v>
      </c>
      <c r="BH760" s="65"/>
      <c r="BI760" s="65"/>
      <c r="BJ760" s="65"/>
      <c r="BK760" s="65"/>
      <c r="BL760" s="99"/>
      <c r="BM760" s="99"/>
      <c r="BN760" s="99"/>
    </row>
    <row r="761" spans="1:66" s="51" customFormat="1" ht="17.25" thickBot="1" x14ac:dyDescent="0.3">
      <c r="A761" s="508" t="s">
        <v>1868</v>
      </c>
      <c r="B761" s="487"/>
      <c r="C761" s="707"/>
      <c r="D761" s="487"/>
      <c r="E761" s="487"/>
      <c r="F761" s="488"/>
      <c r="G761" s="489"/>
      <c r="H761" s="487"/>
      <c r="I761" s="490"/>
      <c r="J761" s="490"/>
      <c r="K761" s="491"/>
      <c r="L761" s="547"/>
      <c r="M761" s="528"/>
      <c r="N761" s="492"/>
      <c r="O761" s="493"/>
      <c r="P761" s="494"/>
      <c r="Q761" s="492"/>
      <c r="R761" s="492"/>
      <c r="S761" s="699" t="s">
        <v>5275</v>
      </c>
      <c r="T761" s="102">
        <f t="shared" si="527"/>
        <v>0</v>
      </c>
      <c r="U761" s="78" t="str">
        <f>IF(NOT(ISNUMBER(G761)), "", VLOOKUP(A761,'Discount Lookup'!D:E,2,FALSE)*G761)</f>
        <v/>
      </c>
      <c r="V761" s="78" t="str">
        <f>IF(NOT(ISNUMBER(G761)), "", VLOOKUP(A761,'Discount Lookup'!G:H,2,FALSE)*G761)</f>
        <v/>
      </c>
      <c r="W761" s="102">
        <f t="shared" si="528"/>
        <v>0</v>
      </c>
      <c r="X761" s="102">
        <f t="shared" si="529"/>
        <v>0</v>
      </c>
      <c r="Y761" s="120" t="b">
        <f t="shared" si="530"/>
        <v>0</v>
      </c>
      <c r="Z761" s="117">
        <f t="shared" si="531"/>
        <v>0</v>
      </c>
      <c r="AA761" s="118"/>
      <c r="AB761" s="118" t="str">
        <f t="shared" si="532"/>
        <v/>
      </c>
      <c r="AC761" s="712" t="str">
        <f>IF(AE761="T2G","no charge",IF(AND(OR(PlanterYesMe="No",PlanterYesMe="N",PlanterYesMe="me"),H761=""),"",IF(H761="credit","NO install",IF(AND(K761="",AE761="me"),"EACH row",IF(AND(K761="images",AE761="me"),"EACH row",IF(D761="","",IF(H761="credit","",IF(AE761="free","re-planting",IF(AE761="me","   not ELP, by",IF(AND(OR(PlanterYesMe="Yes",PlanterYesMe="Y"),G761&gt;0),(VLOOKUP(A761,'Discount Lookup'!J:K,2)*G761*(1-PlanterDiscount)*(1+PlanterDifficultyPercentage)),IF(AE761="ELP",(VLOOKUP(A761,'Discount Lookup'!J:K,2)*G761*(1-PlanterDiscount)*(1+PlanterDifficultyPercentage)),IF(AE761="free","re-planting",IF(G761=0,"",IF(PlanterYesMe="",IF(AE761="me","   not ELP, by",IF(AE761="",IF(G761&gt;0,(VLOOKUP(A761,'Discount Lookup'!J:K,2)*G761*(1-PlanterDiscount)*(1+PlanterDifficultyPercentage)),""),"")),"   not ELP, by"))))))))))))))</f>
        <v/>
      </c>
      <c r="AD761" s="712"/>
      <c r="AE761" s="513" t="str">
        <f t="shared" si="533"/>
        <v/>
      </c>
      <c r="AF761" s="713" t="str">
        <f t="shared" si="534"/>
        <v/>
      </c>
      <c r="AG761" s="713"/>
      <c r="AH761" s="713"/>
      <c r="AI761" s="112">
        <f>IF(H761="credit",0,IF(AE761="free",0,IF(AE761="me",0,IF(G761&gt;0,(VLOOKUP(A761,'Discount Lookup'!J:K,2)*G761),0))))</f>
        <v>0</v>
      </c>
      <c r="AJ761" s="107" t="str">
        <f t="shared" ca="1" si="535"/>
        <v/>
      </c>
      <c r="AK761" s="714" t="str">
        <f t="shared" si="536"/>
        <v/>
      </c>
      <c r="AL761" s="714"/>
      <c r="AM761" s="114" t="str">
        <f t="shared" si="537"/>
        <v/>
      </c>
      <c r="AN761" s="115"/>
      <c r="AO761" s="116"/>
      <c r="AP761" s="116"/>
      <c r="AQ761" s="116"/>
      <c r="AR761" s="116"/>
      <c r="AS761" s="116"/>
      <c r="AT761" s="116"/>
      <c r="AU761" s="116"/>
      <c r="AV761" s="78"/>
      <c r="AW761" s="102"/>
      <c r="AX761" s="78"/>
      <c r="AY761" s="78"/>
      <c r="AZ761" s="78"/>
      <c r="BA761" s="78"/>
      <c r="BB761" s="78"/>
      <c r="BC761" s="78"/>
      <c r="BD761" s="78"/>
      <c r="BE761" s="465"/>
      <c r="BF761" s="165" t="str">
        <f t="shared" si="538"/>
        <v>https://www.google.com/search?tbm=isch&amp;q=William%20Lanier%20Hunt%20offers%20a%20profusion%20of%20peony-like%20blooms%20in%20mid-fall%2C%20with%20new%20Burgundy%20foliage%20maturing%20to%20glossy%20Green%20</v>
      </c>
      <c r="BG761" s="165" t="str">
        <f t="shared" si="539"/>
        <v>W</v>
      </c>
      <c r="BH761" s="65"/>
      <c r="BI761" s="65"/>
      <c r="BJ761" s="65"/>
      <c r="BK761" s="65"/>
      <c r="BL761" s="99"/>
      <c r="BM761" s="99"/>
      <c r="BN761" s="99"/>
    </row>
    <row r="762" spans="1:66" s="51" customFormat="1" ht="18" x14ac:dyDescent="0.25">
      <c r="A762" s="507" t="s">
        <v>1869</v>
      </c>
      <c r="B762" s="470"/>
      <c r="C762" s="706"/>
      <c r="D762" s="471" t="s">
        <v>1870</v>
      </c>
      <c r="E762" s="472"/>
      <c r="F762" s="472"/>
      <c r="G762" s="472"/>
      <c r="H762" s="622" t="s">
        <v>1246</v>
      </c>
      <c r="I762" s="473" t="s">
        <v>1861</v>
      </c>
      <c r="J762" s="472"/>
      <c r="K762" s="472"/>
      <c r="L762" s="561"/>
      <c r="M762" s="703" t="s">
        <v>5274</v>
      </c>
      <c r="N762" s="692" t="str">
        <f>IF(AND(ISTEXT($A762), ISERROR($A762+0)), HYPERLINK($BF762, "Images"), "")</f>
        <v>Images</v>
      </c>
      <c r="O762" s="694" t="s">
        <v>5247</v>
      </c>
      <c r="P762" s="475"/>
      <c r="Q762" s="476"/>
      <c r="R762" s="476"/>
      <c r="S762" s="477"/>
      <c r="T762" s="102">
        <f t="shared" si="527"/>
        <v>0</v>
      </c>
      <c r="U762" s="78" t="str">
        <f>IF(NOT(ISNUMBER(G762)), "", VLOOKUP(A762,'Discount Lookup'!D:E,2,FALSE)*G762)</f>
        <v/>
      </c>
      <c r="V762" s="78" t="str">
        <f>IF(NOT(ISNUMBER(G762)), "", VLOOKUP(A762,'Discount Lookup'!G:H,2,FALSE)*G762)</f>
        <v/>
      </c>
      <c r="W762" s="102">
        <f t="shared" si="528"/>
        <v>0</v>
      </c>
      <c r="X762" s="102" t="str">
        <f t="shared" si="529"/>
        <v>Red bloom, Yellow stamen</v>
      </c>
      <c r="Y762" s="120" t="b">
        <f t="shared" si="530"/>
        <v>0</v>
      </c>
      <c r="Z762" s="117">
        <f t="shared" si="531"/>
        <v>0</v>
      </c>
      <c r="AA762" s="118"/>
      <c r="AB762" s="118" t="str">
        <f t="shared" si="532"/>
        <v/>
      </c>
      <c r="AC762" s="712" t="str">
        <f>IF(AE762="T2G","no charge",IF(AND(OR(PlanterYesMe="No",PlanterYesMe="N",PlanterYesMe="me"),H762=""),"",IF(H762="credit","NO install",IF(AND(K762="",AE762="me"),"EACH row",IF(AND(K762="images",AE762="me"),"EACH row",IF(D762="","",IF(H762="credit","",IF(AE762="free","re-planting",IF(AE762="me","   not ELP, by",IF(AND(OR(PlanterYesMe="Yes",PlanterYesMe="Y"),G762&gt;0),(VLOOKUP(A762,'Discount Lookup'!J:K,2)*G762*(1-PlanterDiscount)*(1+PlanterDifficultyPercentage)),IF(AE762="ELP",(VLOOKUP(A762,'Discount Lookup'!J:K,2)*G762*(1-PlanterDiscount)*(1+PlanterDifficultyPercentage)),IF(AE762="free","re-planting",IF(G762=0,"",IF(PlanterYesMe="",IF(AE762="me","   not ELP, by",IF(AE762="",IF(G762&gt;0,(VLOOKUP(A762,'Discount Lookup'!J:K,2)*G762*(1-PlanterDiscount)*(1+PlanterDifficultyPercentage)),""),"")),"   not ELP, by"))))))))))))))</f>
        <v/>
      </c>
      <c r="AD762" s="712"/>
      <c r="AE762" s="513" t="str">
        <f t="shared" si="533"/>
        <v/>
      </c>
      <c r="AF762" s="713" t="str">
        <f t="shared" si="534"/>
        <v/>
      </c>
      <c r="AG762" s="713"/>
      <c r="AH762" s="713"/>
      <c r="AI762" s="112">
        <f>IF(H762="credit",0,IF(AE762="free",0,IF(AE762="me",0,IF(G762&gt;0,(VLOOKUP(A762,'Discount Lookup'!J:K,2)*G762),0))))</f>
        <v>0</v>
      </c>
      <c r="AJ762" s="107" t="str">
        <f t="shared" ca="1" si="535"/>
        <v/>
      </c>
      <c r="AK762" s="714" t="str">
        <f t="shared" si="536"/>
        <v/>
      </c>
      <c r="AL762" s="714"/>
      <c r="AM762" s="114" t="str">
        <f t="shared" si="537"/>
        <v/>
      </c>
      <c r="AN762" s="115"/>
      <c r="AO762" s="116"/>
      <c r="AP762" s="116"/>
      <c r="AQ762" s="116"/>
      <c r="AR762" s="116"/>
      <c r="AS762" s="116"/>
      <c r="AT762" s="116"/>
      <c r="AU762" s="116"/>
      <c r="AV762" s="78"/>
      <c r="AW762" s="102"/>
      <c r="AX762" s="78"/>
      <c r="AY762" s="78"/>
      <c r="AZ762" s="78"/>
      <c r="BA762" s="78"/>
      <c r="BB762" s="78"/>
      <c r="BC762" s="78"/>
      <c r="BD762" s="78"/>
      <c r="BE762" s="465"/>
      <c r="BF762" s="165" t="str">
        <f t="shared" si="538"/>
        <v>https://www.google.com/search?tbm=isch&amp;q=Camellia%20sasanqua%20%27Yuletide%27%20Yuletide%20Camellia</v>
      </c>
      <c r="BG762" s="165" t="str">
        <f t="shared" si="539"/>
        <v>C</v>
      </c>
      <c r="BH762" s="65"/>
      <c r="BI762" s="65"/>
      <c r="BJ762" s="65"/>
      <c r="BK762" s="65"/>
      <c r="BL762" s="99"/>
      <c r="BM762" s="99"/>
      <c r="BN762" s="99"/>
    </row>
    <row r="763" spans="1:66" s="51" customFormat="1" ht="15.75" x14ac:dyDescent="0.25">
      <c r="A763" s="478">
        <v>3</v>
      </c>
      <c r="B763" s="479" t="s">
        <v>291</v>
      </c>
      <c r="C763" s="480" t="s">
        <v>1871</v>
      </c>
      <c r="D763" s="481" t="s">
        <v>329</v>
      </c>
      <c r="E763" s="482">
        <v>34.950000000000003</v>
      </c>
      <c r="F763" s="483" t="s">
        <v>292</v>
      </c>
      <c r="G763" s="484">
        <v>0</v>
      </c>
      <c r="H763" s="688" t="str">
        <f t="shared" ref="H763:H770" si="565">IF(G763=0,"",IF(F763="Buy",IF(G763=1,"plant","plants"),IF(F763&gt;0.01,"warranty","Error")))</f>
        <v/>
      </c>
      <c r="I763" s="485">
        <f t="shared" ref="I763:I770" si="566">IF(H763="free",0,IF(H763="credit",((E763*(F763))*G763*-1),IF(F763="Buy",(E763*G763),((E763*(1-F763))*G763))))</f>
        <v>0</v>
      </c>
      <c r="J763" s="485">
        <f t="shared" ref="J763:J770" si="567">IF(H763="warranty",0,(I763*(_xlfn.SINGLE(SalesTaxPercentage))))</f>
        <v>0</v>
      </c>
      <c r="K763" s="715">
        <f t="shared" ref="K763" si="568">I763+J763</f>
        <v>0</v>
      </c>
      <c r="L763" s="715"/>
      <c r="M763" s="689" t="str">
        <f t="shared" ref="M763:M770" ca="1" si="569">IF(AND(G763&gt;0,E763=0),"WARNING - no PRICE inserted",IF(H763="free","FREE ~ no charge this plant",IF(H763="credit",CONCATENATE("-$",ROUND(K763*(1-_xlfn.SINGLE(T2GDiscount))*-1,2)," CREDIT after discount"),IF(_xlfn.SINGLE(T2GDiscount)=0,"",IF(G763=0,"",IF(F763="Buy",CONCATENATE("$",ROUND(K763*(1-_xlfn.SINGLE(T2GDiscount)),2)," with ",(_xlfn.SINGLE(T2GDiscount)*100),"% discount"),CONCATENATE("$",ROUND(K763*(1-_xlfn.SINGLE(T2GDiscount)),2)," with ",((_xlfn.SINGLE(T2GDiscount)*100+F763*100)-(_xlfn.SINGLE(T2GDiscount)*100*F763)),IF(F763&gt;0,"% discounts",IF(_xlfn.SINGLE(NoWarrantyDiscount)&gt;0,"% discounts","% discount")))))))))</f>
        <v/>
      </c>
      <c r="N763" s="690"/>
      <c r="O763" s="486"/>
      <c r="P763" s="486"/>
      <c r="Q763" s="486"/>
      <c r="R763" s="486"/>
      <c r="S763" s="486"/>
      <c r="T763" s="102">
        <f t="shared" si="527"/>
        <v>0</v>
      </c>
      <c r="U763" s="78">
        <f>IF(NOT(ISNUMBER(G763)), "", VLOOKUP(A763,'Discount Lookup'!D:E,2,FALSE)*G763)</f>
        <v>0</v>
      </c>
      <c r="V763" s="78">
        <f>IF(NOT(ISNUMBER(G763)), "", VLOOKUP(A763,'Discount Lookup'!G:H,2,FALSE)*G763)</f>
        <v>0</v>
      </c>
      <c r="W763" s="102">
        <f t="shared" si="528"/>
        <v>0</v>
      </c>
      <c r="X763" s="102">
        <f t="shared" si="529"/>
        <v>0</v>
      </c>
      <c r="Y763" s="120" t="b">
        <f t="shared" si="530"/>
        <v>0</v>
      </c>
      <c r="Z763" s="117">
        <f t="shared" si="531"/>
        <v>0</v>
      </c>
      <c r="AA763" s="118"/>
      <c r="AB763" s="118" t="str">
        <f t="shared" si="532"/>
        <v/>
      </c>
      <c r="AC763" s="712" t="str">
        <f>IF(AE763="T2G","no charge",IF(AND(OR(PlanterYesMe="No",PlanterYesMe="N",PlanterYesMe="me"),H763=""),"",IF(H763="credit","NO install",IF(AND(K763="",AE763="me"),"EACH row",IF(AND(K763="images",AE763="me"),"EACH row",IF(D763="","",IF(H763="credit","",IF(AE763="free","re-planting",IF(AE763="me","   not ELP, by",IF(AND(OR(PlanterYesMe="Yes",PlanterYesMe="Y"),G763&gt;0),(VLOOKUP(A763,'Discount Lookup'!J:K,2)*G763*(1-PlanterDiscount)*(1+PlanterDifficultyPercentage)),IF(AE763="ELP",(VLOOKUP(A763,'Discount Lookup'!J:K,2)*G763*(1-PlanterDiscount)*(1+PlanterDifficultyPercentage)),IF(AE763="free","re-planting",IF(G763=0,"",IF(PlanterYesMe="",IF(AE763="me","   not ELP, by",IF(AE763="",IF(G763&gt;0,(VLOOKUP(A763,'Discount Lookup'!J:K,2)*G763*(1-PlanterDiscount)*(1+PlanterDifficultyPercentage)),""),"")),"   not ELP, by"))))))))))))))</f>
        <v/>
      </c>
      <c r="AD763" s="712"/>
      <c r="AE763" s="513" t="str">
        <f t="shared" si="533"/>
        <v/>
      </c>
      <c r="AF763" s="713" t="str">
        <f t="shared" si="534"/>
        <v/>
      </c>
      <c r="AG763" s="713"/>
      <c r="AH763" s="713"/>
      <c r="AI763" s="112">
        <f>IF(H763="credit",0,IF(AE763="free",0,IF(AE763="me",0,IF(G763&gt;0,(VLOOKUP(A763,'Discount Lookup'!J:K,2)*G763),0))))</f>
        <v>0</v>
      </c>
      <c r="AJ763" s="107" t="str">
        <f t="shared" ca="1" si="535"/>
        <v/>
      </c>
      <c r="AK763" s="714" t="str">
        <f t="shared" si="536"/>
        <v/>
      </c>
      <c r="AL763" s="714"/>
      <c r="AM763" s="114" t="str">
        <f t="shared" si="537"/>
        <v/>
      </c>
      <c r="AN763" s="115"/>
      <c r="AO763" s="116"/>
      <c r="AP763" s="116"/>
      <c r="AQ763" s="116"/>
      <c r="AR763" s="116"/>
      <c r="AS763" s="116"/>
      <c r="AT763" s="116"/>
      <c r="AU763" s="116"/>
      <c r="AV763" s="78"/>
      <c r="AW763" s="102"/>
      <c r="AX763" s="78"/>
      <c r="AY763" s="78"/>
      <c r="AZ763" s="78"/>
      <c r="BA763" s="78"/>
      <c r="BB763" s="78"/>
      <c r="BC763" s="78"/>
      <c r="BD763" s="78"/>
      <c r="BE763" s="465"/>
      <c r="BF763" s="165" t="str">
        <f t="shared" si="538"/>
        <v>https://www.google.com/search?tbm=isch&amp;q=3%20G2</v>
      </c>
      <c r="BG763" s="165" t="str">
        <f t="shared" si="539"/>
        <v>C</v>
      </c>
      <c r="BH763" s="65"/>
      <c r="BI763" s="65"/>
      <c r="BJ763" s="65"/>
      <c r="BK763" s="65"/>
      <c r="BL763" s="99"/>
      <c r="BM763" s="99"/>
      <c r="BN763" s="99"/>
    </row>
    <row r="764" spans="1:66" s="51" customFormat="1" ht="15.75" x14ac:dyDescent="0.25">
      <c r="A764" s="478">
        <v>7</v>
      </c>
      <c r="B764" s="479" t="s">
        <v>291</v>
      </c>
      <c r="C764" s="480" t="s">
        <v>4580</v>
      </c>
      <c r="D764" s="481" t="s">
        <v>311</v>
      </c>
      <c r="E764" s="482">
        <v>102.95</v>
      </c>
      <c r="F764" s="483" t="s">
        <v>292</v>
      </c>
      <c r="G764" s="484">
        <v>0</v>
      </c>
      <c r="H764" s="688" t="str">
        <f t="shared" si="565"/>
        <v/>
      </c>
      <c r="I764" s="485">
        <f t="shared" si="566"/>
        <v>0</v>
      </c>
      <c r="J764" s="485">
        <f t="shared" si="567"/>
        <v>0</v>
      </c>
      <c r="K764" s="715">
        <f t="shared" ref="K764" si="570">I764+J764</f>
        <v>0</v>
      </c>
      <c r="L764" s="715"/>
      <c r="M764" s="689" t="str">
        <f t="shared" ca="1" si="569"/>
        <v/>
      </c>
      <c r="N764" s="690"/>
      <c r="O764" s="486"/>
      <c r="P764" s="486"/>
      <c r="Q764" s="486"/>
      <c r="R764" s="486"/>
      <c r="S764" s="486"/>
      <c r="T764" s="102">
        <f t="shared" si="527"/>
        <v>0</v>
      </c>
      <c r="U764" s="78">
        <f>IF(NOT(ISNUMBER(G764)), "", VLOOKUP(A764,'Discount Lookup'!D:E,2,FALSE)*G764)</f>
        <v>0</v>
      </c>
      <c r="V764" s="78">
        <f>IF(NOT(ISNUMBER(G764)), "", VLOOKUP(A764,'Discount Lookup'!G:H,2,FALSE)*G764)</f>
        <v>0</v>
      </c>
      <c r="W764" s="102">
        <f t="shared" si="528"/>
        <v>0</v>
      </c>
      <c r="X764" s="102">
        <f t="shared" si="529"/>
        <v>0</v>
      </c>
      <c r="Y764" s="120" t="b">
        <f t="shared" si="530"/>
        <v>0</v>
      </c>
      <c r="Z764" s="117">
        <f t="shared" si="531"/>
        <v>0</v>
      </c>
      <c r="AA764" s="118"/>
      <c r="AB764" s="118" t="str">
        <f t="shared" si="532"/>
        <v/>
      </c>
      <c r="AC764" s="712" t="str">
        <f>IF(AE764="T2G","no charge",IF(AND(OR(PlanterYesMe="No",PlanterYesMe="N",PlanterYesMe="me"),H764=""),"",IF(H764="credit","NO install",IF(AND(K764="",AE764="me"),"EACH row",IF(AND(K764="images",AE764="me"),"EACH row",IF(D764="","",IF(H764="credit","",IF(AE764="free","re-planting",IF(AE764="me","   not ELP, by",IF(AND(OR(PlanterYesMe="Yes",PlanterYesMe="Y"),G764&gt;0),(VLOOKUP(A764,'Discount Lookup'!J:K,2)*G764*(1-PlanterDiscount)*(1+PlanterDifficultyPercentage)),IF(AE764="ELP",(VLOOKUP(A764,'Discount Lookup'!J:K,2)*G764*(1-PlanterDiscount)*(1+PlanterDifficultyPercentage)),IF(AE764="free","re-planting",IF(G764=0,"",IF(PlanterYesMe="",IF(AE764="me","   not ELP, by",IF(AE764="",IF(G764&gt;0,(VLOOKUP(A764,'Discount Lookup'!J:K,2)*G764*(1-PlanterDiscount)*(1+PlanterDifficultyPercentage)),""),"")),"   not ELP, by"))))))))))))))</f>
        <v/>
      </c>
      <c r="AD764" s="712"/>
      <c r="AE764" s="513" t="str">
        <f t="shared" si="533"/>
        <v/>
      </c>
      <c r="AF764" s="713" t="str">
        <f t="shared" si="534"/>
        <v/>
      </c>
      <c r="AG764" s="713"/>
      <c r="AH764" s="713"/>
      <c r="AI764" s="112">
        <f>IF(H764="credit",0,IF(AE764="free",0,IF(AE764="me",0,IF(G764&gt;0,(VLOOKUP(A764,'Discount Lookup'!J:K,2)*G764),0))))</f>
        <v>0</v>
      </c>
      <c r="AJ764" s="107" t="str">
        <f t="shared" ca="1" si="535"/>
        <v/>
      </c>
      <c r="AK764" s="714" t="str">
        <f t="shared" si="536"/>
        <v/>
      </c>
      <c r="AL764" s="714"/>
      <c r="AM764" s="114" t="str">
        <f t="shared" si="537"/>
        <v/>
      </c>
      <c r="AN764" s="115"/>
      <c r="AO764" s="116"/>
      <c r="AP764" s="116"/>
      <c r="AQ764" s="116"/>
      <c r="AR764" s="116"/>
      <c r="AS764" s="116"/>
      <c r="AT764" s="116"/>
      <c r="AU764" s="116"/>
      <c r="AV764" s="78"/>
      <c r="AW764" s="102"/>
      <c r="AX764" s="78"/>
      <c r="AY764" s="78"/>
      <c r="AZ764" s="78"/>
      <c r="BA764" s="78"/>
      <c r="BB764" s="78"/>
      <c r="BC764" s="78"/>
      <c r="BD764" s="78"/>
      <c r="BE764" s="465"/>
      <c r="BF764" s="165" t="str">
        <f t="shared" si="538"/>
        <v>https://www.google.com/search?tbm=isch&amp;q=7%20G5</v>
      </c>
      <c r="BG764" s="165" t="str">
        <f t="shared" si="539"/>
        <v>C</v>
      </c>
      <c r="BH764" s="65"/>
      <c r="BI764" s="65"/>
      <c r="BJ764" s="65"/>
      <c r="BK764" s="65"/>
      <c r="BL764" s="99"/>
      <c r="BM764" s="99"/>
      <c r="BN764" s="99"/>
    </row>
    <row r="765" spans="1:66" s="51" customFormat="1" ht="15.75" x14ac:dyDescent="0.25">
      <c r="A765" s="478">
        <v>7</v>
      </c>
      <c r="B765" s="479" t="s">
        <v>291</v>
      </c>
      <c r="C765" s="480" t="s">
        <v>5136</v>
      </c>
      <c r="D765" s="481" t="s">
        <v>299</v>
      </c>
      <c r="E765" s="482">
        <v>104.95</v>
      </c>
      <c r="F765" s="483" t="s">
        <v>292</v>
      </c>
      <c r="G765" s="484">
        <v>0</v>
      </c>
      <c r="H765" s="688" t="str">
        <f t="shared" si="565"/>
        <v/>
      </c>
      <c r="I765" s="485">
        <f t="shared" si="566"/>
        <v>0</v>
      </c>
      <c r="J765" s="485">
        <f t="shared" si="567"/>
        <v>0</v>
      </c>
      <c r="K765" s="715">
        <f t="shared" ref="K765" si="571">I765+J765</f>
        <v>0</v>
      </c>
      <c r="L765" s="715"/>
      <c r="M765" s="689" t="str">
        <f t="shared" ca="1" si="569"/>
        <v/>
      </c>
      <c r="N765" s="690"/>
      <c r="O765" s="486"/>
      <c r="P765" s="486"/>
      <c r="Q765" s="486"/>
      <c r="R765" s="486"/>
      <c r="S765" s="486"/>
      <c r="T765" s="102">
        <f t="shared" si="527"/>
        <v>0</v>
      </c>
      <c r="U765" s="78">
        <f>IF(NOT(ISNUMBER(G765)), "", VLOOKUP(A765,'Discount Lookup'!D:E,2,FALSE)*G765)</f>
        <v>0</v>
      </c>
      <c r="V765" s="78">
        <f>IF(NOT(ISNUMBER(G765)), "", VLOOKUP(A765,'Discount Lookup'!G:H,2,FALSE)*G765)</f>
        <v>0</v>
      </c>
      <c r="W765" s="102">
        <f t="shared" si="528"/>
        <v>0</v>
      </c>
      <c r="X765" s="102">
        <f t="shared" si="529"/>
        <v>0</v>
      </c>
      <c r="Y765" s="120" t="b">
        <f t="shared" si="530"/>
        <v>0</v>
      </c>
      <c r="Z765" s="117">
        <f t="shared" si="531"/>
        <v>0</v>
      </c>
      <c r="AA765" s="118"/>
      <c r="AB765" s="118" t="str">
        <f t="shared" si="532"/>
        <v/>
      </c>
      <c r="AC765" s="712" t="str">
        <f>IF(AE765="T2G","no charge",IF(AND(OR(PlanterYesMe="No",PlanterYesMe="N",PlanterYesMe="me"),H765=""),"",IF(H765="credit","NO install",IF(AND(K765="",AE765="me"),"EACH row",IF(AND(K765="images",AE765="me"),"EACH row",IF(D765="","",IF(H765="credit","",IF(AE765="free","re-planting",IF(AE765="me","   not ELP, by",IF(AND(OR(PlanterYesMe="Yes",PlanterYesMe="Y"),G765&gt;0),(VLOOKUP(A765,'Discount Lookup'!J:K,2)*G765*(1-PlanterDiscount)*(1+PlanterDifficultyPercentage)),IF(AE765="ELP",(VLOOKUP(A765,'Discount Lookup'!J:K,2)*G765*(1-PlanterDiscount)*(1+PlanterDifficultyPercentage)),IF(AE765="free","re-planting",IF(G765=0,"",IF(PlanterYesMe="",IF(AE765="me","   not ELP, by",IF(AE765="",IF(G765&gt;0,(VLOOKUP(A765,'Discount Lookup'!J:K,2)*G765*(1-PlanterDiscount)*(1+PlanterDifficultyPercentage)),""),"")),"   not ELP, by"))))))))))))))</f>
        <v/>
      </c>
      <c r="AD765" s="712"/>
      <c r="AE765" s="513" t="str">
        <f t="shared" si="533"/>
        <v/>
      </c>
      <c r="AF765" s="713" t="str">
        <f t="shared" si="534"/>
        <v/>
      </c>
      <c r="AG765" s="713"/>
      <c r="AH765" s="713"/>
      <c r="AI765" s="112">
        <f>IF(H765="credit",0,IF(AE765="free",0,IF(AE765="me",0,IF(G765&gt;0,(VLOOKUP(A765,'Discount Lookup'!J:K,2)*G765),0))))</f>
        <v>0</v>
      </c>
      <c r="AJ765" s="107" t="str">
        <f t="shared" ca="1" si="535"/>
        <v/>
      </c>
      <c r="AK765" s="714" t="str">
        <f t="shared" si="536"/>
        <v/>
      </c>
      <c r="AL765" s="714"/>
      <c r="AM765" s="114" t="str">
        <f t="shared" si="537"/>
        <v/>
      </c>
      <c r="AN765" s="115"/>
      <c r="AO765" s="116"/>
      <c r="AP765" s="116"/>
      <c r="AQ765" s="116"/>
      <c r="AR765" s="116"/>
      <c r="AS765" s="116"/>
      <c r="AT765" s="116"/>
      <c r="AU765" s="116"/>
      <c r="AV765" s="78"/>
      <c r="AW765" s="102"/>
      <c r="AX765" s="78"/>
      <c r="AY765" s="78"/>
      <c r="AZ765" s="78"/>
      <c r="BA765" s="78"/>
      <c r="BB765" s="78"/>
      <c r="BC765" s="78"/>
      <c r="BD765" s="78"/>
      <c r="BE765" s="465"/>
      <c r="BF765" s="165" t="str">
        <f t="shared" si="538"/>
        <v>https://www.google.com/search?tbm=isch&amp;q=7%20G4</v>
      </c>
      <c r="BG765" s="165" t="str">
        <f t="shared" si="539"/>
        <v>C</v>
      </c>
      <c r="BH765" s="65"/>
      <c r="BI765" s="65"/>
      <c r="BJ765" s="65"/>
      <c r="BK765" s="65"/>
      <c r="BL765" s="99"/>
      <c r="BM765" s="99"/>
      <c r="BN765" s="99"/>
    </row>
    <row r="766" spans="1:66" s="51" customFormat="1" ht="15.75" x14ac:dyDescent="0.25">
      <c r="A766" s="478">
        <v>7</v>
      </c>
      <c r="B766" s="479" t="s">
        <v>291</v>
      </c>
      <c r="C766" s="480" t="s">
        <v>1872</v>
      </c>
      <c r="D766" s="481" t="s">
        <v>293</v>
      </c>
      <c r="E766" s="482">
        <v>111.95</v>
      </c>
      <c r="F766" s="483" t="s">
        <v>292</v>
      </c>
      <c r="G766" s="484">
        <v>0</v>
      </c>
      <c r="H766" s="688" t="str">
        <f t="shared" si="565"/>
        <v/>
      </c>
      <c r="I766" s="485">
        <f t="shared" si="566"/>
        <v>0</v>
      </c>
      <c r="J766" s="485">
        <f t="shared" si="567"/>
        <v>0</v>
      </c>
      <c r="K766" s="715">
        <f t="shared" ref="K766" si="572">I766+J766</f>
        <v>0</v>
      </c>
      <c r="L766" s="715"/>
      <c r="M766" s="689" t="str">
        <f t="shared" ca="1" si="569"/>
        <v/>
      </c>
      <c r="N766" s="690"/>
      <c r="O766" s="486"/>
      <c r="P766" s="486"/>
      <c r="Q766" s="486"/>
      <c r="R766" s="486"/>
      <c r="S766" s="486"/>
      <c r="T766" s="102">
        <f t="shared" si="527"/>
        <v>0</v>
      </c>
      <c r="U766" s="78">
        <f>IF(NOT(ISNUMBER(G766)), "", VLOOKUP(A766,'Discount Lookup'!D:E,2,FALSE)*G766)</f>
        <v>0</v>
      </c>
      <c r="V766" s="78">
        <f>IF(NOT(ISNUMBER(G766)), "", VLOOKUP(A766,'Discount Lookup'!G:H,2,FALSE)*G766)</f>
        <v>0</v>
      </c>
      <c r="W766" s="102">
        <f t="shared" si="528"/>
        <v>0</v>
      </c>
      <c r="X766" s="102">
        <f t="shared" si="529"/>
        <v>0</v>
      </c>
      <c r="Y766" s="120" t="b">
        <f t="shared" si="530"/>
        <v>0</v>
      </c>
      <c r="Z766" s="117">
        <f t="shared" si="531"/>
        <v>0</v>
      </c>
      <c r="AA766" s="118"/>
      <c r="AB766" s="118" t="str">
        <f t="shared" si="532"/>
        <v/>
      </c>
      <c r="AC766" s="712" t="str">
        <f>IF(AE766="T2G","no charge",IF(AND(OR(PlanterYesMe="No",PlanterYesMe="N",PlanterYesMe="me"),H766=""),"",IF(H766="credit","NO install",IF(AND(K766="",AE766="me"),"EACH row",IF(AND(K766="images",AE766="me"),"EACH row",IF(D766="","",IF(H766="credit","",IF(AE766="free","re-planting",IF(AE766="me","   not ELP, by",IF(AND(OR(PlanterYesMe="Yes",PlanterYesMe="Y"),G766&gt;0),(VLOOKUP(A766,'Discount Lookup'!J:K,2)*G766*(1-PlanterDiscount)*(1+PlanterDifficultyPercentage)),IF(AE766="ELP",(VLOOKUP(A766,'Discount Lookup'!J:K,2)*G766*(1-PlanterDiscount)*(1+PlanterDifficultyPercentage)),IF(AE766="free","re-planting",IF(G766=0,"",IF(PlanterYesMe="",IF(AE766="me","   not ELP, by",IF(AE766="",IF(G766&gt;0,(VLOOKUP(A766,'Discount Lookup'!J:K,2)*G766*(1-PlanterDiscount)*(1+PlanterDifficultyPercentage)),""),"")),"   not ELP, by"))))))))))))))</f>
        <v/>
      </c>
      <c r="AD766" s="712"/>
      <c r="AE766" s="513" t="str">
        <f t="shared" si="533"/>
        <v/>
      </c>
      <c r="AF766" s="713" t="str">
        <f t="shared" si="534"/>
        <v/>
      </c>
      <c r="AG766" s="713"/>
      <c r="AH766" s="713"/>
      <c r="AI766" s="112">
        <f>IF(H766="credit",0,IF(AE766="free",0,IF(AE766="me",0,IF(G766&gt;0,(VLOOKUP(A766,'Discount Lookup'!J:K,2)*G766),0))))</f>
        <v>0</v>
      </c>
      <c r="AJ766" s="107" t="str">
        <f t="shared" ca="1" si="535"/>
        <v/>
      </c>
      <c r="AK766" s="714" t="str">
        <f t="shared" si="536"/>
        <v/>
      </c>
      <c r="AL766" s="714"/>
      <c r="AM766" s="114" t="str">
        <f t="shared" si="537"/>
        <v/>
      </c>
      <c r="AN766" s="115"/>
      <c r="AO766" s="116"/>
      <c r="AP766" s="116"/>
      <c r="AQ766" s="116"/>
      <c r="AR766" s="116"/>
      <c r="AS766" s="116"/>
      <c r="AT766" s="116"/>
      <c r="AU766" s="116"/>
      <c r="AV766" s="78"/>
      <c r="AW766" s="102"/>
      <c r="AX766" s="78"/>
      <c r="AY766" s="78"/>
      <c r="AZ766" s="78"/>
      <c r="BA766" s="78"/>
      <c r="BB766" s="78"/>
      <c r="BC766" s="78"/>
      <c r="BD766" s="78"/>
      <c r="BE766" s="465"/>
      <c r="BF766" s="165" t="str">
        <f t="shared" si="538"/>
        <v>https://www.google.com/search?tbm=isch&amp;q=7%20G6</v>
      </c>
      <c r="BG766" s="165" t="str">
        <f t="shared" si="539"/>
        <v>C</v>
      </c>
      <c r="BH766" s="65"/>
      <c r="BI766" s="65"/>
      <c r="BJ766" s="65"/>
      <c r="BK766" s="65"/>
      <c r="BL766" s="99"/>
      <c r="BM766" s="99"/>
      <c r="BN766" s="99"/>
    </row>
    <row r="767" spans="1:66" s="51" customFormat="1" ht="15.75" x14ac:dyDescent="0.25">
      <c r="A767" s="478">
        <v>10</v>
      </c>
      <c r="B767" s="479" t="s">
        <v>291</v>
      </c>
      <c r="C767" s="480" t="s">
        <v>1873</v>
      </c>
      <c r="D767" s="481" t="s">
        <v>293</v>
      </c>
      <c r="E767" s="482">
        <v>200.95</v>
      </c>
      <c r="F767" s="483" t="s">
        <v>292</v>
      </c>
      <c r="G767" s="484">
        <v>0</v>
      </c>
      <c r="H767" s="688" t="str">
        <f t="shared" si="565"/>
        <v/>
      </c>
      <c r="I767" s="485">
        <f t="shared" si="566"/>
        <v>0</v>
      </c>
      <c r="J767" s="485">
        <f t="shared" si="567"/>
        <v>0</v>
      </c>
      <c r="K767" s="715">
        <f t="shared" ref="K767" si="573">I767+J767</f>
        <v>0</v>
      </c>
      <c r="L767" s="715"/>
      <c r="M767" s="689" t="str">
        <f t="shared" ca="1" si="569"/>
        <v/>
      </c>
      <c r="N767" s="690"/>
      <c r="O767" s="486"/>
      <c r="P767" s="486"/>
      <c r="Q767" s="486"/>
      <c r="R767" s="486"/>
      <c r="S767" s="486"/>
      <c r="T767" s="102">
        <f t="shared" si="527"/>
        <v>0</v>
      </c>
      <c r="U767" s="78">
        <f>IF(NOT(ISNUMBER(G767)), "", VLOOKUP(A767,'Discount Lookup'!D:E,2,FALSE)*G767)</f>
        <v>0</v>
      </c>
      <c r="V767" s="78">
        <f>IF(NOT(ISNUMBER(G767)), "", VLOOKUP(A767,'Discount Lookup'!G:H,2,FALSE)*G767)</f>
        <v>0</v>
      </c>
      <c r="W767" s="102">
        <f t="shared" si="528"/>
        <v>0</v>
      </c>
      <c r="X767" s="102">
        <f t="shared" si="529"/>
        <v>0</v>
      </c>
      <c r="Y767" s="120" t="b">
        <f t="shared" si="530"/>
        <v>0</v>
      </c>
      <c r="Z767" s="117">
        <f t="shared" si="531"/>
        <v>0</v>
      </c>
      <c r="AA767" s="118"/>
      <c r="AB767" s="118" t="str">
        <f t="shared" si="532"/>
        <v/>
      </c>
      <c r="AC767" s="712" t="str">
        <f>IF(AE767="T2G","no charge",IF(AND(OR(PlanterYesMe="No",PlanterYesMe="N",PlanterYesMe="me"),H767=""),"",IF(H767="credit","NO install",IF(AND(K767="",AE767="me"),"EACH row",IF(AND(K767="images",AE767="me"),"EACH row",IF(D767="","",IF(H767="credit","",IF(AE767="free","re-planting",IF(AE767="me","   not ELP, by",IF(AND(OR(PlanterYesMe="Yes",PlanterYesMe="Y"),G767&gt;0),(VLOOKUP(A767,'Discount Lookup'!J:K,2)*G767*(1-PlanterDiscount)*(1+PlanterDifficultyPercentage)),IF(AE767="ELP",(VLOOKUP(A767,'Discount Lookup'!J:K,2)*G767*(1-PlanterDiscount)*(1+PlanterDifficultyPercentage)),IF(AE767="free","re-planting",IF(G767=0,"",IF(PlanterYesMe="",IF(AE767="me","   not ELP, by",IF(AE767="",IF(G767&gt;0,(VLOOKUP(A767,'Discount Lookup'!J:K,2)*G767*(1-PlanterDiscount)*(1+PlanterDifficultyPercentage)),""),"")),"   not ELP, by"))))))))))))))</f>
        <v/>
      </c>
      <c r="AD767" s="712"/>
      <c r="AE767" s="513" t="str">
        <f t="shared" si="533"/>
        <v/>
      </c>
      <c r="AF767" s="713" t="str">
        <f t="shared" si="534"/>
        <v/>
      </c>
      <c r="AG767" s="713"/>
      <c r="AH767" s="713"/>
      <c r="AI767" s="112">
        <f>IF(H767="credit",0,IF(AE767="free",0,IF(AE767="me",0,IF(G767&gt;0,(VLOOKUP(A767,'Discount Lookup'!J:K,2)*G767),0))))</f>
        <v>0</v>
      </c>
      <c r="AJ767" s="107" t="str">
        <f t="shared" ca="1" si="535"/>
        <v/>
      </c>
      <c r="AK767" s="714" t="str">
        <f t="shared" si="536"/>
        <v/>
      </c>
      <c r="AL767" s="714"/>
      <c r="AM767" s="114" t="str">
        <f t="shared" si="537"/>
        <v/>
      </c>
      <c r="AN767" s="115"/>
      <c r="AO767" s="116"/>
      <c r="AP767" s="116"/>
      <c r="AQ767" s="116"/>
      <c r="AR767" s="116"/>
      <c r="AS767" s="116"/>
      <c r="AT767" s="116"/>
      <c r="AU767" s="116"/>
      <c r="AV767" s="78"/>
      <c r="AW767" s="102"/>
      <c r="AX767" s="78"/>
      <c r="AY767" s="78"/>
      <c r="AZ767" s="78"/>
      <c r="BA767" s="78"/>
      <c r="BB767" s="78"/>
      <c r="BC767" s="78"/>
      <c r="BD767" s="78"/>
      <c r="BE767" s="465"/>
      <c r="BF767" s="165" t="str">
        <f t="shared" si="538"/>
        <v>https://www.google.com/search?tbm=isch&amp;q=10%20G6</v>
      </c>
      <c r="BG767" s="165" t="str">
        <f t="shared" si="539"/>
        <v>C</v>
      </c>
      <c r="BH767" s="65"/>
      <c r="BI767" s="65"/>
      <c r="BJ767" s="65"/>
      <c r="BK767" s="65"/>
      <c r="BL767" s="99"/>
      <c r="BM767" s="99"/>
      <c r="BN767" s="99"/>
    </row>
    <row r="768" spans="1:66" s="51" customFormat="1" ht="15.75" x14ac:dyDescent="0.25">
      <c r="A768" s="478">
        <v>15</v>
      </c>
      <c r="B768" s="479" t="s">
        <v>291</v>
      </c>
      <c r="C768" s="480" t="s">
        <v>5137</v>
      </c>
      <c r="D768" s="481" t="s">
        <v>299</v>
      </c>
      <c r="E768" s="482">
        <v>217.95</v>
      </c>
      <c r="F768" s="483" t="s">
        <v>292</v>
      </c>
      <c r="G768" s="484">
        <v>0</v>
      </c>
      <c r="H768" s="688" t="str">
        <f t="shared" si="565"/>
        <v/>
      </c>
      <c r="I768" s="485">
        <f t="shared" si="566"/>
        <v>0</v>
      </c>
      <c r="J768" s="485">
        <f t="shared" si="567"/>
        <v>0</v>
      </c>
      <c r="K768" s="715">
        <f t="shared" ref="K768" si="574">I768+J768</f>
        <v>0</v>
      </c>
      <c r="L768" s="715"/>
      <c r="M768" s="689" t="str">
        <f t="shared" ca="1" si="569"/>
        <v/>
      </c>
      <c r="N768" s="690"/>
      <c r="O768" s="486"/>
      <c r="P768" s="486"/>
      <c r="Q768" s="486"/>
      <c r="R768" s="486"/>
      <c r="S768" s="486"/>
      <c r="T768" s="102">
        <f t="shared" si="527"/>
        <v>0</v>
      </c>
      <c r="U768" s="78">
        <f>IF(NOT(ISNUMBER(G768)), "", VLOOKUP(A768,'Discount Lookup'!D:E,2,FALSE)*G768)</f>
        <v>0</v>
      </c>
      <c r="V768" s="78">
        <f>IF(NOT(ISNUMBER(G768)), "", VLOOKUP(A768,'Discount Lookup'!G:H,2,FALSE)*G768)</f>
        <v>0</v>
      </c>
      <c r="W768" s="102">
        <f t="shared" si="528"/>
        <v>0</v>
      </c>
      <c r="X768" s="102">
        <f t="shared" si="529"/>
        <v>0</v>
      </c>
      <c r="Y768" s="120" t="b">
        <f t="shared" si="530"/>
        <v>0</v>
      </c>
      <c r="Z768" s="117">
        <f t="shared" si="531"/>
        <v>0</v>
      </c>
      <c r="AA768" s="118"/>
      <c r="AB768" s="118" t="str">
        <f t="shared" si="532"/>
        <v/>
      </c>
      <c r="AC768" s="712" t="str">
        <f>IF(AE768="T2G","no charge",IF(AND(OR(PlanterYesMe="No",PlanterYesMe="N",PlanterYesMe="me"),H768=""),"",IF(H768="credit","NO install",IF(AND(K768="",AE768="me"),"EACH row",IF(AND(K768="images",AE768="me"),"EACH row",IF(D768="","",IF(H768="credit","",IF(AE768="free","re-planting",IF(AE768="me","   not ELP, by",IF(AND(OR(PlanterYesMe="Yes",PlanterYesMe="Y"),G768&gt;0),(VLOOKUP(A768,'Discount Lookup'!J:K,2)*G768*(1-PlanterDiscount)*(1+PlanterDifficultyPercentage)),IF(AE768="ELP",(VLOOKUP(A768,'Discount Lookup'!J:K,2)*G768*(1-PlanterDiscount)*(1+PlanterDifficultyPercentage)),IF(AE768="free","re-planting",IF(G768=0,"",IF(PlanterYesMe="",IF(AE768="me","   not ELP, by",IF(AE768="",IF(G768&gt;0,(VLOOKUP(A768,'Discount Lookup'!J:K,2)*G768*(1-PlanterDiscount)*(1+PlanterDifficultyPercentage)),""),"")),"   not ELP, by"))))))))))))))</f>
        <v/>
      </c>
      <c r="AD768" s="712"/>
      <c r="AE768" s="513" t="str">
        <f t="shared" si="533"/>
        <v/>
      </c>
      <c r="AF768" s="713" t="str">
        <f t="shared" si="534"/>
        <v/>
      </c>
      <c r="AG768" s="713"/>
      <c r="AH768" s="713"/>
      <c r="AI768" s="112">
        <f>IF(H768="credit",0,IF(AE768="free",0,IF(AE768="me",0,IF(G768&gt;0,(VLOOKUP(A768,'Discount Lookup'!J:K,2)*G768),0))))</f>
        <v>0</v>
      </c>
      <c r="AJ768" s="107" t="str">
        <f t="shared" ca="1" si="535"/>
        <v/>
      </c>
      <c r="AK768" s="714" t="str">
        <f t="shared" si="536"/>
        <v/>
      </c>
      <c r="AL768" s="714"/>
      <c r="AM768" s="114" t="str">
        <f t="shared" si="537"/>
        <v/>
      </c>
      <c r="AN768" s="115"/>
      <c r="AO768" s="116"/>
      <c r="AP768" s="116"/>
      <c r="AQ768" s="116"/>
      <c r="AR768" s="116"/>
      <c r="AS768" s="116"/>
      <c r="AT768" s="116"/>
      <c r="AU768" s="116"/>
      <c r="AV768" s="78"/>
      <c r="AW768" s="102"/>
      <c r="AX768" s="78"/>
      <c r="AY768" s="78"/>
      <c r="AZ768" s="78"/>
      <c r="BA768" s="78"/>
      <c r="BB768" s="78"/>
      <c r="BC768" s="78"/>
      <c r="BD768" s="78"/>
      <c r="BE768" s="465"/>
      <c r="BF768" s="165" t="str">
        <f t="shared" si="538"/>
        <v>https://www.google.com/search?tbm=isch&amp;q=15%20G4</v>
      </c>
      <c r="BG768" s="165" t="str">
        <f t="shared" si="539"/>
        <v>C</v>
      </c>
      <c r="BH768" s="65"/>
      <c r="BI768" s="65"/>
      <c r="BJ768" s="65"/>
      <c r="BK768" s="65"/>
      <c r="BL768" s="99"/>
      <c r="BM768" s="99"/>
      <c r="BN768" s="99"/>
    </row>
    <row r="769" spans="1:66" s="51" customFormat="1" ht="15.75" x14ac:dyDescent="0.25">
      <c r="A769" s="478">
        <v>25</v>
      </c>
      <c r="B769" s="479" t="s">
        <v>291</v>
      </c>
      <c r="C769" s="480" t="s">
        <v>5138</v>
      </c>
      <c r="D769" s="481" t="s">
        <v>299</v>
      </c>
      <c r="E769" s="482">
        <v>445.95</v>
      </c>
      <c r="F769" s="483" t="s">
        <v>292</v>
      </c>
      <c r="G769" s="484">
        <v>0</v>
      </c>
      <c r="H769" s="688" t="str">
        <f t="shared" si="565"/>
        <v/>
      </c>
      <c r="I769" s="485">
        <f t="shared" si="566"/>
        <v>0</v>
      </c>
      <c r="J769" s="485">
        <f t="shared" si="567"/>
        <v>0</v>
      </c>
      <c r="K769" s="715">
        <f t="shared" ref="K769" si="575">I769+J769</f>
        <v>0</v>
      </c>
      <c r="L769" s="715"/>
      <c r="M769" s="689" t="str">
        <f t="shared" ca="1" si="569"/>
        <v/>
      </c>
      <c r="N769" s="690"/>
      <c r="O769" s="486"/>
      <c r="P769" s="486"/>
      <c r="Q769" s="486"/>
      <c r="R769" s="486"/>
      <c r="S769" s="486"/>
      <c r="T769" s="102">
        <f t="shared" si="527"/>
        <v>0</v>
      </c>
      <c r="U769" s="78">
        <f>IF(NOT(ISNUMBER(G769)), "", VLOOKUP(A769,'Discount Lookup'!D:E,2,FALSE)*G769)</f>
        <v>0</v>
      </c>
      <c r="V769" s="78">
        <f>IF(NOT(ISNUMBER(G769)), "", VLOOKUP(A769,'Discount Lookup'!G:H,2,FALSE)*G769)</f>
        <v>0</v>
      </c>
      <c r="W769" s="102">
        <f t="shared" si="528"/>
        <v>0</v>
      </c>
      <c r="X769" s="102">
        <f t="shared" si="529"/>
        <v>0</v>
      </c>
      <c r="Y769" s="120" t="b">
        <f t="shared" si="530"/>
        <v>0</v>
      </c>
      <c r="Z769" s="117">
        <f t="shared" si="531"/>
        <v>0</v>
      </c>
      <c r="AA769" s="118"/>
      <c r="AB769" s="118" t="str">
        <f t="shared" si="532"/>
        <v/>
      </c>
      <c r="AC769" s="712" t="str">
        <f>IF(AE769="T2G","no charge",IF(AND(OR(PlanterYesMe="No",PlanterYesMe="N",PlanterYesMe="me"),H769=""),"",IF(H769="credit","NO install",IF(AND(K769="",AE769="me"),"EACH row",IF(AND(K769="images",AE769="me"),"EACH row",IF(D769="","",IF(H769="credit","",IF(AE769="free","re-planting",IF(AE769="me","   not ELP, by",IF(AND(OR(PlanterYesMe="Yes",PlanterYesMe="Y"),G769&gt;0),(VLOOKUP(A769,'Discount Lookup'!J:K,2)*G769*(1-PlanterDiscount)*(1+PlanterDifficultyPercentage)),IF(AE769="ELP",(VLOOKUP(A769,'Discount Lookup'!J:K,2)*G769*(1-PlanterDiscount)*(1+PlanterDifficultyPercentage)),IF(AE769="free","re-planting",IF(G769=0,"",IF(PlanterYesMe="",IF(AE769="me","   not ELP, by",IF(AE769="",IF(G769&gt;0,(VLOOKUP(A769,'Discount Lookup'!J:K,2)*G769*(1-PlanterDiscount)*(1+PlanterDifficultyPercentage)),""),"")),"   not ELP, by"))))))))))))))</f>
        <v/>
      </c>
      <c r="AD769" s="712"/>
      <c r="AE769" s="513" t="str">
        <f t="shared" si="533"/>
        <v/>
      </c>
      <c r="AF769" s="713" t="str">
        <f t="shared" si="534"/>
        <v/>
      </c>
      <c r="AG769" s="713"/>
      <c r="AH769" s="713"/>
      <c r="AI769" s="112">
        <f>IF(H769="credit",0,IF(AE769="free",0,IF(AE769="me",0,IF(G769&gt;0,(VLOOKUP(A769,'Discount Lookup'!J:K,2)*G769),0))))</f>
        <v>0</v>
      </c>
      <c r="AJ769" s="107" t="str">
        <f t="shared" ca="1" si="535"/>
        <v/>
      </c>
      <c r="AK769" s="714" t="str">
        <f t="shared" si="536"/>
        <v/>
      </c>
      <c r="AL769" s="714"/>
      <c r="AM769" s="114" t="str">
        <f t="shared" si="537"/>
        <v/>
      </c>
      <c r="AN769" s="115"/>
      <c r="AO769" s="116"/>
      <c r="AP769" s="116"/>
      <c r="AQ769" s="116"/>
      <c r="AR769" s="116"/>
      <c r="AS769" s="116"/>
      <c r="AT769" s="116"/>
      <c r="AU769" s="116"/>
      <c r="AV769" s="78"/>
      <c r="AW769" s="102"/>
      <c r="AX769" s="78"/>
      <c r="AY769" s="78"/>
      <c r="AZ769" s="78"/>
      <c r="BA769" s="78"/>
      <c r="BB769" s="78"/>
      <c r="BC769" s="78"/>
      <c r="BD769" s="78"/>
      <c r="BE769" s="465"/>
      <c r="BF769" s="165" t="str">
        <f t="shared" si="538"/>
        <v>https://www.google.com/search?tbm=isch&amp;q=25%20G4</v>
      </c>
      <c r="BG769" s="165" t="str">
        <f t="shared" si="539"/>
        <v>C</v>
      </c>
      <c r="BH769" s="65"/>
      <c r="BI769" s="65"/>
      <c r="BJ769" s="65"/>
      <c r="BK769" s="65"/>
      <c r="BL769" s="99"/>
      <c r="BM769" s="99"/>
      <c r="BN769" s="99"/>
    </row>
    <row r="770" spans="1:66" s="51" customFormat="1" ht="27" x14ac:dyDescent="0.25">
      <c r="A770" s="478">
        <v>25</v>
      </c>
      <c r="B770" s="479" t="s">
        <v>291</v>
      </c>
      <c r="C770" s="480" t="s">
        <v>5139</v>
      </c>
      <c r="D770" s="481" t="s">
        <v>299</v>
      </c>
      <c r="E770" s="482">
        <v>445.95</v>
      </c>
      <c r="F770" s="483" t="s">
        <v>292</v>
      </c>
      <c r="G770" s="484">
        <v>0</v>
      </c>
      <c r="H770" s="688" t="str">
        <f t="shared" si="565"/>
        <v/>
      </c>
      <c r="I770" s="485">
        <f t="shared" si="566"/>
        <v>0</v>
      </c>
      <c r="J770" s="485">
        <f t="shared" si="567"/>
        <v>0</v>
      </c>
      <c r="K770" s="715">
        <f t="shared" ref="K770" si="576">I770+J770</f>
        <v>0</v>
      </c>
      <c r="L770" s="715"/>
      <c r="M770" s="689" t="str">
        <f t="shared" ca="1" si="569"/>
        <v/>
      </c>
      <c r="N770" s="690"/>
      <c r="O770" s="486"/>
      <c r="P770" s="486"/>
      <c r="Q770" s="486"/>
      <c r="R770" s="486"/>
      <c r="S770" s="486"/>
      <c r="T770" s="102">
        <f t="shared" si="527"/>
        <v>0</v>
      </c>
      <c r="U770" s="78">
        <f>IF(NOT(ISNUMBER(G770)), "", VLOOKUP(A770,'Discount Lookup'!D:E,2,FALSE)*G770)</f>
        <v>0</v>
      </c>
      <c r="V770" s="78">
        <f>IF(NOT(ISNUMBER(G770)), "", VLOOKUP(A770,'Discount Lookup'!G:H,2,FALSE)*G770)</f>
        <v>0</v>
      </c>
      <c r="W770" s="102">
        <f t="shared" si="528"/>
        <v>0</v>
      </c>
      <c r="X770" s="102">
        <f t="shared" si="529"/>
        <v>0</v>
      </c>
      <c r="Y770" s="120" t="b">
        <f t="shared" si="530"/>
        <v>0</v>
      </c>
      <c r="Z770" s="117">
        <f t="shared" si="531"/>
        <v>0</v>
      </c>
      <c r="AA770" s="118"/>
      <c r="AB770" s="118" t="str">
        <f t="shared" si="532"/>
        <v/>
      </c>
      <c r="AC770" s="712" t="str">
        <f>IF(AE770="T2G","no charge",IF(AND(OR(PlanterYesMe="No",PlanterYesMe="N",PlanterYesMe="me"),H770=""),"",IF(H770="credit","NO install",IF(AND(K770="",AE770="me"),"EACH row",IF(AND(K770="images",AE770="me"),"EACH row",IF(D770="","",IF(H770="credit","",IF(AE770="free","re-planting",IF(AE770="me","   not ELP, by",IF(AND(OR(PlanterYesMe="Yes",PlanterYesMe="Y"),G770&gt;0),(VLOOKUP(A770,'Discount Lookup'!J:K,2)*G770*(1-PlanterDiscount)*(1+PlanterDifficultyPercentage)),IF(AE770="ELP",(VLOOKUP(A770,'Discount Lookup'!J:K,2)*G770*(1-PlanterDiscount)*(1+PlanterDifficultyPercentage)),IF(AE770="free","re-planting",IF(G770=0,"",IF(PlanterYesMe="",IF(AE770="me","   not ELP, by",IF(AE770="",IF(G770&gt;0,(VLOOKUP(A770,'Discount Lookup'!J:K,2)*G770*(1-PlanterDiscount)*(1+PlanterDifficultyPercentage)),""),"")),"   not ELP, by"))))))))))))))</f>
        <v/>
      </c>
      <c r="AD770" s="712"/>
      <c r="AE770" s="513" t="str">
        <f t="shared" si="533"/>
        <v/>
      </c>
      <c r="AF770" s="713" t="str">
        <f t="shared" si="534"/>
        <v/>
      </c>
      <c r="AG770" s="713"/>
      <c r="AH770" s="713"/>
      <c r="AI770" s="112">
        <f>IF(H770="credit",0,IF(AE770="free",0,IF(AE770="me",0,IF(G770&gt;0,(VLOOKUP(A770,'Discount Lookup'!J:K,2)*G770),0))))</f>
        <v>0</v>
      </c>
      <c r="AJ770" s="107" t="str">
        <f t="shared" ca="1" si="535"/>
        <v/>
      </c>
      <c r="AK770" s="714" t="str">
        <f t="shared" si="536"/>
        <v/>
      </c>
      <c r="AL770" s="714"/>
      <c r="AM770" s="114" t="str">
        <f t="shared" si="537"/>
        <v/>
      </c>
      <c r="AN770" s="115"/>
      <c r="AO770" s="116"/>
      <c r="AP770" s="116"/>
      <c r="AQ770" s="116"/>
      <c r="AR770" s="116"/>
      <c r="AS770" s="116"/>
      <c r="AT770" s="116"/>
      <c r="AU770" s="116"/>
      <c r="AV770" s="78"/>
      <c r="AW770" s="102"/>
      <c r="AX770" s="78"/>
      <c r="AY770" s="78"/>
      <c r="AZ770" s="78"/>
      <c r="BA770" s="78"/>
      <c r="BB770" s="78"/>
      <c r="BC770" s="78"/>
      <c r="BD770" s="78"/>
      <c r="BE770" s="465"/>
      <c r="BF770" s="165" t="str">
        <f t="shared" si="538"/>
        <v>https://www.google.com/search?tbm=isch&amp;q=25%20G4</v>
      </c>
      <c r="BG770" s="165" t="str">
        <f t="shared" si="539"/>
        <v>C</v>
      </c>
      <c r="BH770" s="65"/>
      <c r="BI770" s="65"/>
      <c r="BJ770" s="65"/>
      <c r="BK770" s="65"/>
      <c r="BL770" s="99"/>
      <c r="BM770" s="99"/>
      <c r="BN770" s="99"/>
    </row>
    <row r="771" spans="1:66" s="51" customFormat="1" ht="17.25" thickBot="1" x14ac:dyDescent="0.3">
      <c r="A771" s="705" t="s">
        <v>5354</v>
      </c>
      <c r="B771" s="487"/>
      <c r="C771" s="707"/>
      <c r="D771" s="487"/>
      <c r="E771" s="487"/>
      <c r="F771" s="488"/>
      <c r="G771" s="489"/>
      <c r="H771" s="487"/>
      <c r="I771" s="490"/>
      <c r="J771" s="490"/>
      <c r="K771" s="491"/>
      <c r="L771" s="547"/>
      <c r="M771" s="528"/>
      <c r="N771" s="492"/>
      <c r="O771" s="493"/>
      <c r="P771" s="494"/>
      <c r="Q771" s="492"/>
      <c r="R771" s="492"/>
      <c r="S771" s="699" t="s">
        <v>5275</v>
      </c>
      <c r="T771" s="102">
        <f t="shared" si="527"/>
        <v>0</v>
      </c>
      <c r="U771" s="78" t="str">
        <f>IF(NOT(ISNUMBER(G771)), "", VLOOKUP(A771,'Discount Lookup'!D:E,2,FALSE)*G771)</f>
        <v/>
      </c>
      <c r="V771" s="78" t="str">
        <f>IF(NOT(ISNUMBER(G771)), "", VLOOKUP(A771,'Discount Lookup'!G:H,2,FALSE)*G771)</f>
        <v/>
      </c>
      <c r="W771" s="102">
        <f t="shared" si="528"/>
        <v>0</v>
      </c>
      <c r="X771" s="102">
        <f t="shared" si="529"/>
        <v>0</v>
      </c>
      <c r="Y771" s="120" t="b">
        <f t="shared" si="530"/>
        <v>0</v>
      </c>
      <c r="Z771" s="117">
        <f t="shared" si="531"/>
        <v>0</v>
      </c>
      <c r="AA771" s="118"/>
      <c r="AB771" s="118" t="str">
        <f t="shared" si="532"/>
        <v/>
      </c>
      <c r="AC771" s="712" t="str">
        <f>IF(AE771="T2G","no charge",IF(AND(OR(PlanterYesMe="No",PlanterYesMe="N",PlanterYesMe="me"),H771=""),"",IF(H771="credit","NO install",IF(AND(K771="",AE771="me"),"EACH row",IF(AND(K771="images",AE771="me"),"EACH row",IF(D771="","",IF(H771="credit","",IF(AE771="free","re-planting",IF(AE771="me","   not ELP, by",IF(AND(OR(PlanterYesMe="Yes",PlanterYesMe="Y"),G771&gt;0),(VLOOKUP(A771,'Discount Lookup'!J:K,2)*G771*(1-PlanterDiscount)*(1+PlanterDifficultyPercentage)),IF(AE771="ELP",(VLOOKUP(A771,'Discount Lookup'!J:K,2)*G771*(1-PlanterDiscount)*(1+PlanterDifficultyPercentage)),IF(AE771="free","re-planting",IF(G771=0,"",IF(PlanterYesMe="",IF(AE771="me","   not ELP, by",IF(AE771="",IF(G771&gt;0,(VLOOKUP(A771,'Discount Lookup'!J:K,2)*G771*(1-PlanterDiscount)*(1+PlanterDifficultyPercentage)),""),"")),"   not ELP, by"))))))))))))))</f>
        <v/>
      </c>
      <c r="AD771" s="712"/>
      <c r="AE771" s="513" t="str">
        <f t="shared" si="533"/>
        <v/>
      </c>
      <c r="AF771" s="713" t="str">
        <f t="shared" si="534"/>
        <v/>
      </c>
      <c r="AG771" s="713"/>
      <c r="AH771" s="713"/>
      <c r="AI771" s="112">
        <f>IF(H771="credit",0,IF(AE771="free",0,IF(AE771="me",0,IF(G771&gt;0,(VLOOKUP(A771,'Discount Lookup'!J:K,2)*G771),0))))</f>
        <v>0</v>
      </c>
      <c r="AJ771" s="107" t="str">
        <f t="shared" ca="1" si="535"/>
        <v/>
      </c>
      <c r="AK771" s="714" t="str">
        <f t="shared" si="536"/>
        <v/>
      </c>
      <c r="AL771" s="714"/>
      <c r="AM771" s="114" t="str">
        <f t="shared" si="537"/>
        <v/>
      </c>
      <c r="AN771" s="115"/>
      <c r="AO771" s="116"/>
      <c r="AP771" s="116"/>
      <c r="AQ771" s="116"/>
      <c r="AR771" s="116"/>
      <c r="AS771" s="116"/>
      <c r="AT771" s="116"/>
      <c r="AU771" s="116"/>
      <c r="AV771" s="78"/>
      <c r="AW771" s="102"/>
      <c r="AX771" s="78"/>
      <c r="AY771" s="78"/>
      <c r="AZ771" s="78"/>
      <c r="BA771" s="78"/>
      <c r="BB771" s="78"/>
      <c r="BC771" s="78"/>
      <c r="BD771" s="78"/>
      <c r="BE771" s="465"/>
      <c r="BF771" s="165" t="str">
        <f t="shared" si="538"/>
        <v>https://www.google.com/search?tbm=isch&amp;q=moist%20sites%F0%9F%92%A7OK%2C%20Yuletide%20named%20for%20it%27s%20reliable%20blooms%20at%20Christmas%20time.%20Few%20plants%20offer%20pollination%20opportunity%20at%20this%20time%20of%20year%20</v>
      </c>
      <c r="BG771" s="165" t="str">
        <f t="shared" si="539"/>
        <v>m</v>
      </c>
      <c r="BH771" s="65"/>
      <c r="BI771" s="65"/>
      <c r="BJ771" s="65"/>
      <c r="BK771" s="65"/>
      <c r="BL771" s="99"/>
      <c r="BM771" s="99"/>
      <c r="BN771" s="99"/>
    </row>
    <row r="772" spans="1:66" s="51" customFormat="1" ht="18" x14ac:dyDescent="0.25">
      <c r="A772" s="507" t="s">
        <v>5140</v>
      </c>
      <c r="B772" s="470"/>
      <c r="C772" s="706"/>
      <c r="D772" s="471" t="s">
        <v>5141</v>
      </c>
      <c r="E772" s="472"/>
      <c r="F772" s="472"/>
      <c r="G772" s="472"/>
      <c r="H772" s="622" t="s">
        <v>1471</v>
      </c>
      <c r="I772" s="473" t="s">
        <v>5142</v>
      </c>
      <c r="J772" s="472"/>
      <c r="K772" s="472"/>
      <c r="L772" s="561"/>
      <c r="M772" s="703" t="s">
        <v>5274</v>
      </c>
      <c r="N772" s="692" t="str">
        <f>IF(AND(ISTEXT($A772), ISERROR($A772+0)), HYPERLINK($BF772, "Images"), "")</f>
        <v>Images</v>
      </c>
      <c r="O772" s="694" t="s">
        <v>5247</v>
      </c>
      <c r="P772" s="475"/>
      <c r="Q772" s="476"/>
      <c r="R772" s="476"/>
      <c r="S772" s="477"/>
      <c r="T772" s="102">
        <f t="shared" si="527"/>
        <v>0</v>
      </c>
      <c r="U772" s="78" t="str">
        <f>IF(NOT(ISNUMBER(G772)), "", VLOOKUP(A772,'Discount Lookup'!D:E,2,FALSE)*G772)</f>
        <v/>
      </c>
      <c r="V772" s="78" t="str">
        <f>IF(NOT(ISNUMBER(G772)), "", VLOOKUP(A772,'Discount Lookup'!G:H,2,FALSE)*G772)</f>
        <v/>
      </c>
      <c r="W772" s="102">
        <f t="shared" si="528"/>
        <v>0</v>
      </c>
      <c r="X772" s="102" t="str">
        <f t="shared" si="529"/>
        <v>Pink &amp; White bloom</v>
      </c>
      <c r="Y772" s="120" t="b">
        <f t="shared" si="530"/>
        <v>0</v>
      </c>
      <c r="Z772" s="117">
        <f t="shared" si="531"/>
        <v>0</v>
      </c>
      <c r="AA772" s="118"/>
      <c r="AB772" s="118" t="str">
        <f t="shared" si="532"/>
        <v/>
      </c>
      <c r="AC772" s="712" t="str">
        <f>IF(AE772="T2G","no charge",IF(AND(OR(PlanterYesMe="No",PlanterYesMe="N",PlanterYesMe="me"),H772=""),"",IF(H772="credit","NO install",IF(AND(K772="",AE772="me"),"EACH row",IF(AND(K772="images",AE772="me"),"EACH row",IF(D772="","",IF(H772="credit","",IF(AE772="free","re-planting",IF(AE772="me","   not ELP, by",IF(AND(OR(PlanterYesMe="Yes",PlanterYesMe="Y"),G772&gt;0),(VLOOKUP(A772,'Discount Lookup'!J:K,2)*G772*(1-PlanterDiscount)*(1+PlanterDifficultyPercentage)),IF(AE772="ELP",(VLOOKUP(A772,'Discount Lookup'!J:K,2)*G772*(1-PlanterDiscount)*(1+PlanterDifficultyPercentage)),IF(AE772="free","re-planting",IF(G772=0,"",IF(PlanterYesMe="",IF(AE772="me","   not ELP, by",IF(AE772="",IF(G772&gt;0,(VLOOKUP(A772,'Discount Lookup'!J:K,2)*G772*(1-PlanterDiscount)*(1+PlanterDifficultyPercentage)),""),"")),"   not ELP, by"))))))))))))))</f>
        <v/>
      </c>
      <c r="AD772" s="712"/>
      <c r="AE772" s="513" t="str">
        <f t="shared" si="533"/>
        <v/>
      </c>
      <c r="AF772" s="713" t="str">
        <f t="shared" si="534"/>
        <v/>
      </c>
      <c r="AG772" s="713"/>
      <c r="AH772" s="713"/>
      <c r="AI772" s="112">
        <f>IF(H772="credit",0,IF(AE772="free",0,IF(AE772="me",0,IF(G772&gt;0,(VLOOKUP(A772,'Discount Lookup'!J:K,2)*G772),0))))</f>
        <v>0</v>
      </c>
      <c r="AJ772" s="107" t="str">
        <f t="shared" ca="1" si="535"/>
        <v/>
      </c>
      <c r="AK772" s="714" t="str">
        <f t="shared" si="536"/>
        <v/>
      </c>
      <c r="AL772" s="714"/>
      <c r="AM772" s="114" t="str">
        <f t="shared" si="537"/>
        <v/>
      </c>
      <c r="AN772" s="115"/>
      <c r="AO772" s="116"/>
      <c r="AP772" s="116"/>
      <c r="AQ772" s="116"/>
      <c r="AR772" s="116"/>
      <c r="AS772" s="116"/>
      <c r="AT772" s="116"/>
      <c r="AU772" s="116"/>
      <c r="AV772" s="78"/>
      <c r="AW772" s="102"/>
      <c r="AX772" s="78"/>
      <c r="AY772" s="78"/>
      <c r="AZ772" s="78"/>
      <c r="BA772" s="78"/>
      <c r="BB772" s="78"/>
      <c r="BC772" s="78"/>
      <c r="BD772" s="78"/>
      <c r="BE772" s="465"/>
      <c r="BF772" s="165" t="str">
        <f t="shared" si="538"/>
        <v>https://www.google.com/search?tbm=isch&amp;q=Camellia%20sasanqua%20%27Yume%27%20Yume%20Camellia</v>
      </c>
      <c r="BG772" s="165" t="str">
        <f t="shared" si="539"/>
        <v>C</v>
      </c>
      <c r="BH772" s="65"/>
      <c r="BI772" s="65"/>
      <c r="BJ772" s="65"/>
      <c r="BK772" s="65"/>
      <c r="BL772" s="99"/>
      <c r="BM772" s="99"/>
      <c r="BN772" s="99"/>
    </row>
    <row r="773" spans="1:66" s="51" customFormat="1" ht="27" x14ac:dyDescent="0.25">
      <c r="A773" s="478">
        <v>7</v>
      </c>
      <c r="B773" s="479" t="s">
        <v>291</v>
      </c>
      <c r="C773" s="480" t="s">
        <v>5143</v>
      </c>
      <c r="D773" s="481" t="s">
        <v>299</v>
      </c>
      <c r="E773" s="482">
        <v>104.95</v>
      </c>
      <c r="F773" s="483" t="s">
        <v>292</v>
      </c>
      <c r="G773" s="484">
        <v>0</v>
      </c>
      <c r="H773" s="688" t="str">
        <f>IF(G773=0,"",IF(F773="Buy",IF(G773=1,"plant","plants"),IF(F773&gt;0.01,"warranty","Error")))</f>
        <v/>
      </c>
      <c r="I773" s="485">
        <f>IF(H773="free",0,IF(H773="credit",((E773*(F773))*G773*-1),IF(F773="Buy",(E773*G773),((E773*(1-F773))*G773))))</f>
        <v>0</v>
      </c>
      <c r="J773" s="485">
        <f>IF(H773="warranty",0,(I773*(_xlfn.SINGLE(SalesTaxPercentage))))</f>
        <v>0</v>
      </c>
      <c r="K773" s="715">
        <f t="shared" ref="K773" si="577">I773+J773</f>
        <v>0</v>
      </c>
      <c r="L773" s="715"/>
      <c r="M773" s="689" t="str">
        <f ca="1">IF(AND(G773&gt;0,E773=0),"WARNING - no PRICE inserted",IF(H773="free","FREE ~ no charge this plant",IF(H773="credit",CONCATENATE("-$",ROUND(K773*(1-_xlfn.SINGLE(T2GDiscount))*-1,2)," CREDIT after discount"),IF(_xlfn.SINGLE(T2GDiscount)=0,"",IF(G773=0,"",IF(F773="Buy",CONCATENATE("$",ROUND(K773*(1-_xlfn.SINGLE(T2GDiscount)),2)," with ",(_xlfn.SINGLE(T2GDiscount)*100),"% discount"),CONCATENATE("$",ROUND(K773*(1-_xlfn.SINGLE(T2GDiscount)),2)," with ",((_xlfn.SINGLE(T2GDiscount)*100+F773*100)-(_xlfn.SINGLE(T2GDiscount)*100*F773)),IF(F773&gt;0,"% discounts",IF(_xlfn.SINGLE(NoWarrantyDiscount)&gt;0,"% discounts","% discount")))))))))</f>
        <v/>
      </c>
      <c r="N773" s="690"/>
      <c r="O773" s="486"/>
      <c r="P773" s="486"/>
      <c r="Q773" s="486"/>
      <c r="R773" s="486"/>
      <c r="S773" s="486"/>
      <c r="T773" s="102">
        <f t="shared" si="527"/>
        <v>0</v>
      </c>
      <c r="U773" s="78">
        <f>IF(NOT(ISNUMBER(G773)), "", VLOOKUP(A773,'Discount Lookup'!D:E,2,FALSE)*G773)</f>
        <v>0</v>
      </c>
      <c r="V773" s="78">
        <f>IF(NOT(ISNUMBER(G773)), "", VLOOKUP(A773,'Discount Lookup'!G:H,2,FALSE)*G773)</f>
        <v>0</v>
      </c>
      <c r="W773" s="102">
        <f t="shared" si="528"/>
        <v>0</v>
      </c>
      <c r="X773" s="102">
        <f t="shared" si="529"/>
        <v>0</v>
      </c>
      <c r="Y773" s="120" t="b">
        <f t="shared" si="530"/>
        <v>0</v>
      </c>
      <c r="Z773" s="117">
        <f t="shared" si="531"/>
        <v>0</v>
      </c>
      <c r="AA773" s="118"/>
      <c r="AB773" s="118" t="str">
        <f t="shared" si="532"/>
        <v/>
      </c>
      <c r="AC773" s="712" t="str">
        <f>IF(AE773="T2G","no charge",IF(AND(OR(PlanterYesMe="No",PlanterYesMe="N",PlanterYesMe="me"),H773=""),"",IF(H773="credit","NO install",IF(AND(K773="",AE773="me"),"EACH row",IF(AND(K773="images",AE773="me"),"EACH row",IF(D773="","",IF(H773="credit","",IF(AE773="free","re-planting",IF(AE773="me","   not ELP, by",IF(AND(OR(PlanterYesMe="Yes",PlanterYesMe="Y"),G773&gt;0),(VLOOKUP(A773,'Discount Lookup'!J:K,2)*G773*(1-PlanterDiscount)*(1+PlanterDifficultyPercentage)),IF(AE773="ELP",(VLOOKUP(A773,'Discount Lookup'!J:K,2)*G773*(1-PlanterDiscount)*(1+PlanterDifficultyPercentage)),IF(AE773="free","re-planting",IF(G773=0,"",IF(PlanterYesMe="",IF(AE773="me","   not ELP, by",IF(AE773="",IF(G773&gt;0,(VLOOKUP(A773,'Discount Lookup'!J:K,2)*G773*(1-PlanterDiscount)*(1+PlanterDifficultyPercentage)),""),"")),"   not ELP, by"))))))))))))))</f>
        <v/>
      </c>
      <c r="AD773" s="712"/>
      <c r="AE773" s="513" t="str">
        <f t="shared" si="533"/>
        <v/>
      </c>
      <c r="AF773" s="713" t="str">
        <f t="shared" si="534"/>
        <v/>
      </c>
      <c r="AG773" s="713"/>
      <c r="AH773" s="713"/>
      <c r="AI773" s="112">
        <f>IF(H773="credit",0,IF(AE773="free",0,IF(AE773="me",0,IF(G773&gt;0,(VLOOKUP(A773,'Discount Lookup'!J:K,2)*G773),0))))</f>
        <v>0</v>
      </c>
      <c r="AJ773" s="107" t="str">
        <f t="shared" ca="1" si="535"/>
        <v/>
      </c>
      <c r="AK773" s="714" t="str">
        <f t="shared" si="536"/>
        <v/>
      </c>
      <c r="AL773" s="714"/>
      <c r="AM773" s="114" t="str">
        <f t="shared" si="537"/>
        <v/>
      </c>
      <c r="AN773" s="115"/>
      <c r="AO773" s="116"/>
      <c r="AP773" s="116"/>
      <c r="AQ773" s="116"/>
      <c r="AR773" s="116"/>
      <c r="AS773" s="116"/>
      <c r="AT773" s="116"/>
      <c r="AU773" s="116"/>
      <c r="AV773" s="78"/>
      <c r="AW773" s="102"/>
      <c r="AX773" s="78"/>
      <c r="AY773" s="78"/>
      <c r="AZ773" s="78"/>
      <c r="BA773" s="78"/>
      <c r="BB773" s="78"/>
      <c r="BC773" s="78"/>
      <c r="BD773" s="78"/>
      <c r="BE773" s="465"/>
      <c r="BF773" s="165" t="str">
        <f t="shared" si="538"/>
        <v>https://www.google.com/search?tbm=isch&amp;q=7%20G4</v>
      </c>
      <c r="BG773" s="165" t="str">
        <f t="shared" si="539"/>
        <v>C</v>
      </c>
      <c r="BH773" s="65"/>
      <c r="BI773" s="65"/>
      <c r="BJ773" s="65"/>
      <c r="BK773" s="65"/>
      <c r="BL773" s="99"/>
      <c r="BM773" s="99"/>
      <c r="BN773" s="99"/>
    </row>
    <row r="774" spans="1:66" s="51" customFormat="1" ht="17.25" thickBot="1" x14ac:dyDescent="0.3">
      <c r="A774" s="705" t="s">
        <v>5355</v>
      </c>
      <c r="B774" s="487"/>
      <c r="C774" s="707"/>
      <c r="D774" s="487"/>
      <c r="E774" s="487"/>
      <c r="F774" s="488"/>
      <c r="G774" s="489"/>
      <c r="H774" s="487"/>
      <c r="I774" s="490"/>
      <c r="J774" s="490"/>
      <c r="K774" s="491"/>
      <c r="L774" s="547"/>
      <c r="M774" s="528"/>
      <c r="N774" s="492"/>
      <c r="O774" s="493"/>
      <c r="P774" s="494"/>
      <c r="Q774" s="492"/>
      <c r="R774" s="492"/>
      <c r="S774" s="699" t="s">
        <v>5275</v>
      </c>
      <c r="T774" s="102">
        <f t="shared" si="527"/>
        <v>0</v>
      </c>
      <c r="U774" s="78" t="str">
        <f>IF(NOT(ISNUMBER(G774)), "", VLOOKUP(A774,'Discount Lookup'!D:E,2,FALSE)*G774)</f>
        <v/>
      </c>
      <c r="V774" s="78" t="str">
        <f>IF(NOT(ISNUMBER(G774)), "", VLOOKUP(A774,'Discount Lookup'!G:H,2,FALSE)*G774)</f>
        <v/>
      </c>
      <c r="W774" s="102">
        <f t="shared" si="528"/>
        <v>0</v>
      </c>
      <c r="X774" s="102">
        <f t="shared" si="529"/>
        <v>0</v>
      </c>
      <c r="Y774" s="120" t="b">
        <f t="shared" si="530"/>
        <v>0</v>
      </c>
      <c r="Z774" s="117">
        <f t="shared" si="531"/>
        <v>0</v>
      </c>
      <c r="AA774" s="118"/>
      <c r="AB774" s="118" t="str">
        <f t="shared" si="532"/>
        <v/>
      </c>
      <c r="AC774" s="712" t="str">
        <f>IF(AE774="T2G","no charge",IF(AND(OR(PlanterYesMe="No",PlanterYesMe="N",PlanterYesMe="me"),H774=""),"",IF(H774="credit","NO install",IF(AND(K774="",AE774="me"),"EACH row",IF(AND(K774="images",AE774="me"),"EACH row",IF(D774="","",IF(H774="credit","",IF(AE774="free","re-planting",IF(AE774="me","   not ELP, by",IF(AND(OR(PlanterYesMe="Yes",PlanterYesMe="Y"),G774&gt;0),(VLOOKUP(A774,'Discount Lookup'!J:K,2)*G774*(1-PlanterDiscount)*(1+PlanterDifficultyPercentage)),IF(AE774="ELP",(VLOOKUP(A774,'Discount Lookup'!J:K,2)*G774*(1-PlanterDiscount)*(1+PlanterDifficultyPercentage)),IF(AE774="free","re-planting",IF(G774=0,"",IF(PlanterYesMe="",IF(AE774="me","   not ELP, by",IF(AE774="",IF(G774&gt;0,(VLOOKUP(A774,'Discount Lookup'!J:K,2)*G774*(1-PlanterDiscount)*(1+PlanterDifficultyPercentage)),""),"")),"   not ELP, by"))))))))))))))</f>
        <v/>
      </c>
      <c r="AD774" s="712"/>
      <c r="AE774" s="513" t="str">
        <f t="shared" si="533"/>
        <v/>
      </c>
      <c r="AF774" s="713" t="str">
        <f t="shared" si="534"/>
        <v/>
      </c>
      <c r="AG774" s="713"/>
      <c r="AH774" s="713"/>
      <c r="AI774" s="112">
        <f>IF(H774="credit",0,IF(AE774="free",0,IF(AE774="me",0,IF(G774&gt;0,(VLOOKUP(A774,'Discount Lookup'!J:K,2)*G774),0))))</f>
        <v>0</v>
      </c>
      <c r="AJ774" s="107" t="str">
        <f t="shared" ca="1" si="535"/>
        <v/>
      </c>
      <c r="AK774" s="714" t="str">
        <f t="shared" si="536"/>
        <v/>
      </c>
      <c r="AL774" s="714"/>
      <c r="AM774" s="114" t="str">
        <f t="shared" si="537"/>
        <v/>
      </c>
      <c r="AN774" s="115"/>
      <c r="AO774" s="116"/>
      <c r="AP774" s="116"/>
      <c r="AQ774" s="116"/>
      <c r="AR774" s="116"/>
      <c r="AS774" s="116"/>
      <c r="AT774" s="116"/>
      <c r="AU774" s="116"/>
      <c r="AV774" s="78"/>
      <c r="AW774" s="102"/>
      <c r="AX774" s="78"/>
      <c r="AY774" s="78"/>
      <c r="AZ774" s="78"/>
      <c r="BA774" s="78"/>
      <c r="BB774" s="78"/>
      <c r="BC774" s="78"/>
      <c r="BD774" s="78"/>
      <c r="BE774" s="465"/>
      <c r="BF774" s="165" t="str">
        <f t="shared" si="538"/>
        <v>https://www.google.com/search?tbm=isch&amp;q=moist%20sites%F0%9F%92%A7OK%2C%20Yume%20known%20for%20its%20long%20and%20heavy%20blooming%20period%20from%20fall%20into%20winter%2C%20featuring%20fragrant%2C%20bicolored%20flowers%20</v>
      </c>
      <c r="BG774" s="165" t="str">
        <f t="shared" si="539"/>
        <v>m</v>
      </c>
      <c r="BH774" s="65"/>
      <c r="BI774" s="65"/>
      <c r="BJ774" s="65"/>
      <c r="BK774" s="65"/>
      <c r="BL774" s="99"/>
      <c r="BM774" s="99"/>
      <c r="BN774" s="99"/>
    </row>
    <row r="775" spans="1:66" s="51" customFormat="1" ht="18" x14ac:dyDescent="0.25">
      <c r="A775" s="507" t="s">
        <v>1874</v>
      </c>
      <c r="B775" s="470"/>
      <c r="C775" s="706"/>
      <c r="D775" s="471" t="s">
        <v>1875</v>
      </c>
      <c r="E775" s="472"/>
      <c r="F775" s="472"/>
      <c r="G775" s="472"/>
      <c r="H775" s="622" t="s">
        <v>1231</v>
      </c>
      <c r="I775" s="473" t="s">
        <v>1876</v>
      </c>
      <c r="J775" s="472"/>
      <c r="K775" s="472"/>
      <c r="L775" s="561"/>
      <c r="M775" s="698" t="s">
        <v>5246</v>
      </c>
      <c r="N775" s="692" t="str">
        <f>IF(AND(ISTEXT($A775), ISERROR($A775+0)), HYPERLINK($BF775, "Images"), "")</f>
        <v>Images</v>
      </c>
      <c r="O775" s="694" t="s">
        <v>5247</v>
      </c>
      <c r="P775" s="475"/>
      <c r="Q775" s="476"/>
      <c r="R775" s="476"/>
      <c r="S775" s="477"/>
      <c r="T775" s="102">
        <f t="shared" si="527"/>
        <v>0</v>
      </c>
      <c r="U775" s="78" t="str">
        <f>IF(NOT(ISNUMBER(G775)), "", VLOOKUP(A775,'Discount Lookup'!D:E,2,FALSE)*G775)</f>
        <v/>
      </c>
      <c r="V775" s="78" t="str">
        <f>IF(NOT(ISNUMBER(G775)), "", VLOOKUP(A775,'Discount Lookup'!G:H,2,FALSE)*G775)</f>
        <v/>
      </c>
      <c r="W775" s="102">
        <f t="shared" si="528"/>
        <v>0</v>
      </c>
      <c r="X775" s="102" t="str">
        <f t="shared" si="529"/>
        <v>White bloom, Yellow stamen</v>
      </c>
      <c r="Y775" s="120" t="b">
        <f t="shared" si="530"/>
        <v>0</v>
      </c>
      <c r="Z775" s="117">
        <f t="shared" si="531"/>
        <v>0</v>
      </c>
      <c r="AA775" s="118"/>
      <c r="AB775" s="118" t="str">
        <f t="shared" si="532"/>
        <v/>
      </c>
      <c r="AC775" s="712" t="str">
        <f>IF(AE775="T2G","no charge",IF(AND(OR(PlanterYesMe="No",PlanterYesMe="N",PlanterYesMe="me"),H775=""),"",IF(H775="credit","NO install",IF(AND(K775="",AE775="me"),"EACH row",IF(AND(K775="images",AE775="me"),"EACH row",IF(D775="","",IF(H775="credit","",IF(AE775="free","re-planting",IF(AE775="me","   not ELP, by",IF(AND(OR(PlanterYesMe="Yes",PlanterYesMe="Y"),G775&gt;0),(VLOOKUP(A775,'Discount Lookup'!J:K,2)*G775*(1-PlanterDiscount)*(1+PlanterDifficultyPercentage)),IF(AE775="ELP",(VLOOKUP(A775,'Discount Lookup'!J:K,2)*G775*(1-PlanterDiscount)*(1+PlanterDifficultyPercentage)),IF(AE775="free","re-planting",IF(G775=0,"",IF(PlanterYesMe="",IF(AE775="me","   not ELP, by",IF(AE775="",IF(G775&gt;0,(VLOOKUP(A775,'Discount Lookup'!J:K,2)*G775*(1-PlanterDiscount)*(1+PlanterDifficultyPercentage)),""),"")),"   not ELP, by"))))))))))))))</f>
        <v/>
      </c>
      <c r="AD775" s="712"/>
      <c r="AE775" s="513" t="str">
        <f t="shared" si="533"/>
        <v/>
      </c>
      <c r="AF775" s="713" t="str">
        <f t="shared" si="534"/>
        <v/>
      </c>
      <c r="AG775" s="713"/>
      <c r="AH775" s="713"/>
      <c r="AI775" s="112">
        <f>IF(H775="credit",0,IF(AE775="free",0,IF(AE775="me",0,IF(G775&gt;0,(VLOOKUP(A775,'Discount Lookup'!J:K,2)*G775),0))))</f>
        <v>0</v>
      </c>
      <c r="AJ775" s="107" t="str">
        <f t="shared" ca="1" si="535"/>
        <v/>
      </c>
      <c r="AK775" s="714" t="str">
        <f t="shared" si="536"/>
        <v/>
      </c>
      <c r="AL775" s="714"/>
      <c r="AM775" s="114" t="str">
        <f t="shared" si="537"/>
        <v/>
      </c>
      <c r="AN775" s="115"/>
      <c r="AO775" s="116"/>
      <c r="AP775" s="116"/>
      <c r="AQ775" s="116"/>
      <c r="AR775" s="116"/>
      <c r="AS775" s="116"/>
      <c r="AT775" s="116"/>
      <c r="AU775" s="116"/>
      <c r="AV775" s="78"/>
      <c r="AW775" s="102"/>
      <c r="AX775" s="78"/>
      <c r="AY775" s="78"/>
      <c r="AZ775" s="78"/>
      <c r="BA775" s="78"/>
      <c r="BB775" s="78"/>
      <c r="BC775" s="78"/>
      <c r="BD775" s="78"/>
      <c r="BE775" s="465"/>
      <c r="BF775" s="165" t="str">
        <f t="shared" si="538"/>
        <v>https://www.google.com/search?tbm=isch&amp;q=Camellia%20%27Survivor%27%20Survivor%20Camellia</v>
      </c>
      <c r="BG775" s="165" t="str">
        <f t="shared" si="539"/>
        <v>C</v>
      </c>
      <c r="BH775" s="65"/>
      <c r="BI775" s="65"/>
      <c r="BJ775" s="65"/>
      <c r="BK775" s="65"/>
      <c r="BL775" s="99"/>
      <c r="BM775" s="99"/>
      <c r="BN775" s="99"/>
    </row>
    <row r="776" spans="1:66" s="51" customFormat="1" ht="15.75" x14ac:dyDescent="0.25">
      <c r="A776" s="478">
        <v>3</v>
      </c>
      <c r="B776" s="479" t="s">
        <v>291</v>
      </c>
      <c r="C776" s="480" t="s">
        <v>4581</v>
      </c>
      <c r="D776" s="481" t="s">
        <v>311</v>
      </c>
      <c r="E776" s="482">
        <v>40.950000000000003</v>
      </c>
      <c r="F776" s="483" t="s">
        <v>292</v>
      </c>
      <c r="G776" s="484">
        <v>0</v>
      </c>
      <c r="H776" s="688" t="str">
        <f>IF(G776=0,"",IF(F776="Buy",IF(G776=1,"plant","plants"),IF(F776&gt;0.01,"warranty","Error")))</f>
        <v/>
      </c>
      <c r="I776" s="485">
        <f>IF(H776="free",0,IF(H776="credit",((E776*(F776))*G776*-1),IF(F776="Buy",(E776*G776),((E776*(1-F776))*G776))))</f>
        <v>0</v>
      </c>
      <c r="J776" s="485">
        <f>IF(H776="warranty",0,(I776*(_xlfn.SINGLE(SalesTaxPercentage))))</f>
        <v>0</v>
      </c>
      <c r="K776" s="715">
        <f t="shared" ref="K776" si="578">I776+J776</f>
        <v>0</v>
      </c>
      <c r="L776" s="715"/>
      <c r="M776" s="689" t="str">
        <f ca="1">IF(AND(G776&gt;0,E776=0),"WARNING - no PRICE inserted",IF(H776="free","FREE ~ no charge this plant",IF(H776="credit",CONCATENATE("-$",ROUND(K776*(1-_xlfn.SINGLE(T2GDiscount))*-1,2)," CREDIT after discount"),IF(_xlfn.SINGLE(T2GDiscount)=0,"",IF(G776=0,"",IF(F776="Buy",CONCATENATE("$",ROUND(K776*(1-_xlfn.SINGLE(T2GDiscount)),2)," with ",(_xlfn.SINGLE(T2GDiscount)*100),"% discount"),CONCATENATE("$",ROUND(K776*(1-_xlfn.SINGLE(T2GDiscount)),2)," with ",((_xlfn.SINGLE(T2GDiscount)*100+F776*100)-(_xlfn.SINGLE(T2GDiscount)*100*F776)),IF(F776&gt;0,"% discounts",IF(_xlfn.SINGLE(NoWarrantyDiscount)&gt;0,"% discounts","% discount")))))))))</f>
        <v/>
      </c>
      <c r="N776" s="690"/>
      <c r="O776" s="486"/>
      <c r="P776" s="486"/>
      <c r="Q776" s="486"/>
      <c r="R776" s="486"/>
      <c r="S776" s="486"/>
      <c r="T776" s="102">
        <f t="shared" si="527"/>
        <v>0</v>
      </c>
      <c r="U776" s="78">
        <f>IF(NOT(ISNUMBER(G776)), "", VLOOKUP(A776,'Discount Lookup'!D:E,2,FALSE)*G776)</f>
        <v>0</v>
      </c>
      <c r="V776" s="78">
        <f>IF(NOT(ISNUMBER(G776)), "", VLOOKUP(A776,'Discount Lookup'!G:H,2,FALSE)*G776)</f>
        <v>0</v>
      </c>
      <c r="W776" s="102">
        <f t="shared" si="528"/>
        <v>0</v>
      </c>
      <c r="X776" s="102">
        <f t="shared" si="529"/>
        <v>0</v>
      </c>
      <c r="Y776" s="120" t="b">
        <f t="shared" si="530"/>
        <v>0</v>
      </c>
      <c r="Z776" s="117">
        <f t="shared" si="531"/>
        <v>0</v>
      </c>
      <c r="AA776" s="118"/>
      <c r="AB776" s="118" t="str">
        <f t="shared" si="532"/>
        <v/>
      </c>
      <c r="AC776" s="712" t="str">
        <f>IF(AE776="T2G","no charge",IF(AND(OR(PlanterYesMe="No",PlanterYesMe="N",PlanterYesMe="me"),H776=""),"",IF(H776="credit","NO install",IF(AND(K776="",AE776="me"),"EACH row",IF(AND(K776="images",AE776="me"),"EACH row",IF(D776="","",IF(H776="credit","",IF(AE776="free","re-planting",IF(AE776="me","   not ELP, by",IF(AND(OR(PlanterYesMe="Yes",PlanterYesMe="Y"),G776&gt;0),(VLOOKUP(A776,'Discount Lookup'!J:K,2)*G776*(1-PlanterDiscount)*(1+PlanterDifficultyPercentage)),IF(AE776="ELP",(VLOOKUP(A776,'Discount Lookup'!J:K,2)*G776*(1-PlanterDiscount)*(1+PlanterDifficultyPercentage)),IF(AE776="free","re-planting",IF(G776=0,"",IF(PlanterYesMe="",IF(AE776="me","   not ELP, by",IF(AE776="",IF(G776&gt;0,(VLOOKUP(A776,'Discount Lookup'!J:K,2)*G776*(1-PlanterDiscount)*(1+PlanterDifficultyPercentage)),""),"")),"   not ELP, by"))))))))))))))</f>
        <v/>
      </c>
      <c r="AD776" s="712"/>
      <c r="AE776" s="513" t="str">
        <f t="shared" si="533"/>
        <v/>
      </c>
      <c r="AF776" s="713" t="str">
        <f t="shared" si="534"/>
        <v/>
      </c>
      <c r="AG776" s="713"/>
      <c r="AH776" s="713"/>
      <c r="AI776" s="112">
        <f>IF(H776="credit",0,IF(AE776="free",0,IF(AE776="me",0,IF(G776&gt;0,(VLOOKUP(A776,'Discount Lookup'!J:K,2)*G776),0))))</f>
        <v>0</v>
      </c>
      <c r="AJ776" s="107" t="str">
        <f t="shared" ca="1" si="535"/>
        <v/>
      </c>
      <c r="AK776" s="714" t="str">
        <f t="shared" si="536"/>
        <v/>
      </c>
      <c r="AL776" s="714"/>
      <c r="AM776" s="114" t="str">
        <f t="shared" si="537"/>
        <v/>
      </c>
      <c r="AN776" s="115"/>
      <c r="AO776" s="116"/>
      <c r="AP776" s="116"/>
      <c r="AQ776" s="116"/>
      <c r="AR776" s="116"/>
      <c r="AS776" s="116"/>
      <c r="AT776" s="116"/>
      <c r="AU776" s="116"/>
      <c r="AV776" s="78"/>
      <c r="AW776" s="102"/>
      <c r="AX776" s="78"/>
      <c r="AY776" s="78"/>
      <c r="AZ776" s="78"/>
      <c r="BA776" s="78"/>
      <c r="BB776" s="78"/>
      <c r="BC776" s="78"/>
      <c r="BD776" s="78"/>
      <c r="BE776" s="465"/>
      <c r="BF776" s="165" t="str">
        <f t="shared" si="538"/>
        <v>https://www.google.com/search?tbm=isch&amp;q=3%20G5</v>
      </c>
      <c r="BG776" s="165" t="str">
        <f t="shared" si="539"/>
        <v>C</v>
      </c>
      <c r="BH776" s="65"/>
      <c r="BI776" s="65"/>
      <c r="BJ776" s="65"/>
      <c r="BK776" s="65"/>
      <c r="BL776" s="99"/>
      <c r="BM776" s="99"/>
      <c r="BN776" s="99"/>
    </row>
    <row r="777" spans="1:66" s="51" customFormat="1" ht="15.75" x14ac:dyDescent="0.25">
      <c r="A777" s="478">
        <v>7</v>
      </c>
      <c r="B777" s="479" t="s">
        <v>291</v>
      </c>
      <c r="C777" s="480" t="s">
        <v>1877</v>
      </c>
      <c r="D777" s="481" t="s">
        <v>299</v>
      </c>
      <c r="E777" s="482">
        <v>109.95</v>
      </c>
      <c r="F777" s="483" t="s">
        <v>292</v>
      </c>
      <c r="G777" s="484">
        <v>0</v>
      </c>
      <c r="H777" s="688" t="str">
        <f>IF(G777=0,"",IF(F777="Buy",IF(G777=1,"plant","plants"),IF(F777&gt;0.01,"warranty","Error")))</f>
        <v/>
      </c>
      <c r="I777" s="485">
        <f>IF(H777="free",0,IF(H777="credit",((E777*(F777))*G777*-1),IF(F777="Buy",(E777*G777),((E777*(1-F777))*G777))))</f>
        <v>0</v>
      </c>
      <c r="J777" s="485">
        <f>IF(H777="warranty",0,(I777*(_xlfn.SINGLE(SalesTaxPercentage))))</f>
        <v>0</v>
      </c>
      <c r="K777" s="715">
        <f t="shared" ref="K777" si="579">I777+J777</f>
        <v>0</v>
      </c>
      <c r="L777" s="715"/>
      <c r="M777" s="689" t="str">
        <f ca="1">IF(AND(G777&gt;0,E777=0),"WARNING - no PRICE inserted",IF(H777="free","FREE ~ no charge this plant",IF(H777="credit",CONCATENATE("-$",ROUND(K777*(1-_xlfn.SINGLE(T2GDiscount))*-1,2)," CREDIT after discount"),IF(_xlfn.SINGLE(T2GDiscount)=0,"",IF(G777=0,"",IF(F777="Buy",CONCATENATE("$",ROUND(K777*(1-_xlfn.SINGLE(T2GDiscount)),2)," with ",(_xlfn.SINGLE(T2GDiscount)*100),"% discount"),CONCATENATE("$",ROUND(K777*(1-_xlfn.SINGLE(T2GDiscount)),2)," with ",((_xlfn.SINGLE(T2GDiscount)*100+F777*100)-(_xlfn.SINGLE(T2GDiscount)*100*F777)),IF(F777&gt;0,"% discounts",IF(_xlfn.SINGLE(NoWarrantyDiscount)&gt;0,"% discounts","% discount")))))))))</f>
        <v/>
      </c>
      <c r="N777" s="690"/>
      <c r="O777" s="486"/>
      <c r="P777" s="486"/>
      <c r="Q777" s="486"/>
      <c r="R777" s="486"/>
      <c r="S777" s="486"/>
      <c r="T777" s="102">
        <f t="shared" si="527"/>
        <v>0</v>
      </c>
      <c r="U777" s="78">
        <f>IF(NOT(ISNUMBER(G777)), "", VLOOKUP(A777,'Discount Lookup'!D:E,2,FALSE)*G777)</f>
        <v>0</v>
      </c>
      <c r="V777" s="78">
        <f>IF(NOT(ISNUMBER(G777)), "", VLOOKUP(A777,'Discount Lookup'!G:H,2,FALSE)*G777)</f>
        <v>0</v>
      </c>
      <c r="W777" s="102">
        <f t="shared" si="528"/>
        <v>0</v>
      </c>
      <c r="X777" s="102">
        <f t="shared" si="529"/>
        <v>0</v>
      </c>
      <c r="Y777" s="120" t="b">
        <f t="shared" si="530"/>
        <v>0</v>
      </c>
      <c r="Z777" s="117">
        <f t="shared" si="531"/>
        <v>0</v>
      </c>
      <c r="AA777" s="118"/>
      <c r="AB777" s="118" t="str">
        <f t="shared" si="532"/>
        <v/>
      </c>
      <c r="AC777" s="712" t="str">
        <f>IF(AE777="T2G","no charge",IF(AND(OR(PlanterYesMe="No",PlanterYesMe="N",PlanterYesMe="me"),H777=""),"",IF(H777="credit","NO install",IF(AND(K777="",AE777="me"),"EACH row",IF(AND(K777="images",AE777="me"),"EACH row",IF(D777="","",IF(H777="credit","",IF(AE777="free","re-planting",IF(AE777="me","   not ELP, by",IF(AND(OR(PlanterYesMe="Yes",PlanterYesMe="Y"),G777&gt;0),(VLOOKUP(A777,'Discount Lookup'!J:K,2)*G777*(1-PlanterDiscount)*(1+PlanterDifficultyPercentage)),IF(AE777="ELP",(VLOOKUP(A777,'Discount Lookup'!J:K,2)*G777*(1-PlanterDiscount)*(1+PlanterDifficultyPercentage)),IF(AE777="free","re-planting",IF(G777=0,"",IF(PlanterYesMe="",IF(AE777="me","   not ELP, by",IF(AE777="",IF(G777&gt;0,(VLOOKUP(A777,'Discount Lookup'!J:K,2)*G777*(1-PlanterDiscount)*(1+PlanterDifficultyPercentage)),""),"")),"   not ELP, by"))))))))))))))</f>
        <v/>
      </c>
      <c r="AD777" s="712"/>
      <c r="AE777" s="513" t="str">
        <f t="shared" si="533"/>
        <v/>
      </c>
      <c r="AF777" s="713" t="str">
        <f t="shared" si="534"/>
        <v/>
      </c>
      <c r="AG777" s="713"/>
      <c r="AH777" s="713"/>
      <c r="AI777" s="112">
        <f>IF(H777="credit",0,IF(AE777="free",0,IF(AE777="me",0,IF(G777&gt;0,(VLOOKUP(A777,'Discount Lookup'!J:K,2)*G777),0))))</f>
        <v>0</v>
      </c>
      <c r="AJ777" s="107" t="str">
        <f t="shared" ca="1" si="535"/>
        <v/>
      </c>
      <c r="AK777" s="714" t="str">
        <f t="shared" si="536"/>
        <v/>
      </c>
      <c r="AL777" s="714"/>
      <c r="AM777" s="114" t="str">
        <f t="shared" si="537"/>
        <v/>
      </c>
      <c r="AN777" s="115"/>
      <c r="AO777" s="116"/>
      <c r="AP777" s="116"/>
      <c r="AQ777" s="116"/>
      <c r="AR777" s="116"/>
      <c r="AS777" s="116"/>
      <c r="AT777" s="116"/>
      <c r="AU777" s="116"/>
      <c r="AV777" s="78"/>
      <c r="AW777" s="102"/>
      <c r="AX777" s="78"/>
      <c r="AY777" s="78"/>
      <c r="AZ777" s="78"/>
      <c r="BA777" s="78"/>
      <c r="BB777" s="78"/>
      <c r="BC777" s="78"/>
      <c r="BD777" s="78"/>
      <c r="BE777" s="465"/>
      <c r="BF777" s="165" t="str">
        <f t="shared" si="538"/>
        <v>https://www.google.com/search?tbm=isch&amp;q=7%20G4</v>
      </c>
      <c r="BG777" s="165" t="str">
        <f t="shared" si="539"/>
        <v>C</v>
      </c>
      <c r="BH777" s="65"/>
      <c r="BI777" s="65"/>
      <c r="BJ777" s="65"/>
      <c r="BK777" s="65"/>
      <c r="BL777" s="99"/>
      <c r="BM777" s="99"/>
      <c r="BN777" s="99"/>
    </row>
    <row r="778" spans="1:66" s="51" customFormat="1" ht="17.25" thickBot="1" x14ac:dyDescent="0.3">
      <c r="A778" s="705" t="s">
        <v>5356</v>
      </c>
      <c r="B778" s="487"/>
      <c r="C778" s="707"/>
      <c r="D778" s="487"/>
      <c r="E778" s="487"/>
      <c r="F778" s="488"/>
      <c r="G778" s="489"/>
      <c r="H778" s="487"/>
      <c r="I778" s="490"/>
      <c r="J778" s="490"/>
      <c r="K778" s="491"/>
      <c r="L778" s="547"/>
      <c r="M778" s="528"/>
      <c r="N778" s="492"/>
      <c r="O778" s="493"/>
      <c r="P778" s="494"/>
      <c r="Q778" s="492"/>
      <c r="R778" s="492"/>
      <c r="S778" s="699" t="s">
        <v>5275</v>
      </c>
      <c r="T778" s="102">
        <f t="shared" si="527"/>
        <v>0</v>
      </c>
      <c r="U778" s="78" t="str">
        <f>IF(NOT(ISNUMBER(G778)), "", VLOOKUP(A778,'Discount Lookup'!D:E,2,FALSE)*G778)</f>
        <v/>
      </c>
      <c r="V778" s="78" t="str">
        <f>IF(NOT(ISNUMBER(G778)), "", VLOOKUP(A778,'Discount Lookup'!G:H,2,FALSE)*G778)</f>
        <v/>
      </c>
      <c r="W778" s="102">
        <f t="shared" si="528"/>
        <v>0</v>
      </c>
      <c r="X778" s="102">
        <f t="shared" si="529"/>
        <v>0</v>
      </c>
      <c r="Y778" s="120" t="b">
        <f t="shared" si="530"/>
        <v>0</v>
      </c>
      <c r="Z778" s="117">
        <f t="shared" si="531"/>
        <v>0</v>
      </c>
      <c r="AA778" s="118"/>
      <c r="AB778" s="118" t="str">
        <f t="shared" si="532"/>
        <v/>
      </c>
      <c r="AC778" s="712" t="str">
        <f>IF(AE778="T2G","no charge",IF(AND(OR(PlanterYesMe="No",PlanterYesMe="N",PlanterYesMe="me"),H778=""),"",IF(H778="credit","NO install",IF(AND(K778="",AE778="me"),"EACH row",IF(AND(K778="images",AE778="me"),"EACH row",IF(D778="","",IF(H778="credit","",IF(AE778="free","re-planting",IF(AE778="me","   not ELP, by",IF(AND(OR(PlanterYesMe="Yes",PlanterYesMe="Y"),G778&gt;0),(VLOOKUP(A778,'Discount Lookup'!J:K,2)*G778*(1-PlanterDiscount)*(1+PlanterDifficultyPercentage)),IF(AE778="ELP",(VLOOKUP(A778,'Discount Lookup'!J:K,2)*G778*(1-PlanterDiscount)*(1+PlanterDifficultyPercentage)),IF(AE778="free","re-planting",IF(G778=0,"",IF(PlanterYesMe="",IF(AE778="me","   not ELP, by",IF(AE778="",IF(G778&gt;0,(VLOOKUP(A778,'Discount Lookup'!J:K,2)*G778*(1-PlanterDiscount)*(1+PlanterDifficultyPercentage)),""),"")),"   not ELP, by"))))))))))))))</f>
        <v/>
      </c>
      <c r="AD778" s="712"/>
      <c r="AE778" s="513" t="str">
        <f t="shared" si="533"/>
        <v/>
      </c>
      <c r="AF778" s="713" t="str">
        <f t="shared" si="534"/>
        <v/>
      </c>
      <c r="AG778" s="713"/>
      <c r="AH778" s="713"/>
      <c r="AI778" s="112">
        <f>IF(H778="credit",0,IF(AE778="free",0,IF(AE778="me",0,IF(G778&gt;0,(VLOOKUP(A778,'Discount Lookup'!J:K,2)*G778),0))))</f>
        <v>0</v>
      </c>
      <c r="AJ778" s="107" t="str">
        <f t="shared" ca="1" si="535"/>
        <v/>
      </c>
      <c r="AK778" s="714" t="str">
        <f t="shared" si="536"/>
        <v/>
      </c>
      <c r="AL778" s="714"/>
      <c r="AM778" s="114" t="str">
        <f t="shared" si="537"/>
        <v/>
      </c>
      <c r="AN778" s="115"/>
      <c r="AO778" s="116"/>
      <c r="AP778" s="116"/>
      <c r="AQ778" s="116"/>
      <c r="AR778" s="116"/>
      <c r="AS778" s="116"/>
      <c r="AT778" s="116"/>
      <c r="AU778" s="116"/>
      <c r="AV778" s="78"/>
      <c r="AW778" s="102"/>
      <c r="AX778" s="78"/>
      <c r="AY778" s="78"/>
      <c r="AZ778" s="78"/>
      <c r="BA778" s="78"/>
      <c r="BB778" s="78"/>
      <c r="BC778" s="78"/>
      <c r="BD778" s="78"/>
      <c r="BE778" s="465"/>
      <c r="BF778" s="165" t="str">
        <f t="shared" si="538"/>
        <v>https://www.google.com/search?tbm=isch&amp;q=moist%20sites%F0%9F%92%A7OK%2C%20Survivor%20is%20named%20for%20its%20extreme%20cold-hardiness%20and%20dependable%20blooming%20even%20after%20harsh%20winters%20</v>
      </c>
      <c r="BG778" s="165" t="str">
        <f t="shared" si="539"/>
        <v>m</v>
      </c>
      <c r="BH778" s="65"/>
      <c r="BI778" s="65"/>
      <c r="BJ778" s="65"/>
      <c r="BK778" s="65"/>
      <c r="BL778" s="99"/>
      <c r="BM778" s="99"/>
      <c r="BN778" s="99"/>
    </row>
    <row r="779" spans="1:66" s="51" customFormat="1" ht="18" x14ac:dyDescent="0.25">
      <c r="A779" s="507" t="s">
        <v>1878</v>
      </c>
      <c r="B779" s="470"/>
      <c r="C779" s="706"/>
      <c r="D779" s="471" t="s">
        <v>1879</v>
      </c>
      <c r="E779" s="472"/>
      <c r="F779" s="472"/>
      <c r="G779" s="472"/>
      <c r="H779" s="622" t="s">
        <v>1880</v>
      </c>
      <c r="I779" s="473" t="s">
        <v>1881</v>
      </c>
      <c r="J779" s="472"/>
      <c r="K779" s="472"/>
      <c r="L779" s="561"/>
      <c r="M779" s="703" t="s">
        <v>5274</v>
      </c>
      <c r="N779" s="692" t="str">
        <f>IF(AND(ISTEXT($A779), ISERROR($A779+0)), HYPERLINK($BF779, "Images"), "")</f>
        <v>Images</v>
      </c>
      <c r="O779" s="694" t="s">
        <v>5247</v>
      </c>
      <c r="P779" s="475"/>
      <c r="Q779" s="476"/>
      <c r="R779" s="476"/>
      <c r="S779" s="477"/>
      <c r="T779" s="102">
        <f t="shared" si="527"/>
        <v>0</v>
      </c>
      <c r="U779" s="78" t="str">
        <f>IF(NOT(ISNUMBER(G779)), "", VLOOKUP(A779,'Discount Lookup'!D:E,2,FALSE)*G779)</f>
        <v/>
      </c>
      <c r="V779" s="78" t="str">
        <f>IF(NOT(ISNUMBER(G779)), "", VLOOKUP(A779,'Discount Lookup'!G:H,2,FALSE)*G779)</f>
        <v/>
      </c>
      <c r="W779" s="102">
        <f t="shared" si="528"/>
        <v>0</v>
      </c>
      <c r="X779" s="102" t="str">
        <f t="shared" si="529"/>
        <v>Rose bloom, Yellow stamen</v>
      </c>
      <c r="Y779" s="120" t="b">
        <f t="shared" si="530"/>
        <v>0</v>
      </c>
      <c r="Z779" s="117">
        <f t="shared" si="531"/>
        <v>0</v>
      </c>
      <c r="AA779" s="118"/>
      <c r="AB779" s="118" t="str">
        <f t="shared" si="532"/>
        <v/>
      </c>
      <c r="AC779" s="712" t="str">
        <f>IF(AE779="T2G","no charge",IF(AND(OR(PlanterYesMe="No",PlanterYesMe="N",PlanterYesMe="me"),H779=""),"",IF(H779="credit","NO install",IF(AND(K779="",AE779="me"),"EACH row",IF(AND(K779="images",AE779="me"),"EACH row",IF(D779="","",IF(H779="credit","",IF(AE779="free","re-planting",IF(AE779="me","   not ELP, by",IF(AND(OR(PlanterYesMe="Yes",PlanterYesMe="Y"),G779&gt;0),(VLOOKUP(A779,'Discount Lookup'!J:K,2)*G779*(1-PlanterDiscount)*(1+PlanterDifficultyPercentage)),IF(AE779="ELP",(VLOOKUP(A779,'Discount Lookup'!J:K,2)*G779*(1-PlanterDiscount)*(1+PlanterDifficultyPercentage)),IF(AE779="free","re-planting",IF(G779=0,"",IF(PlanterYesMe="",IF(AE779="me","   not ELP, by",IF(AE779="",IF(G779&gt;0,(VLOOKUP(A779,'Discount Lookup'!J:K,2)*G779*(1-PlanterDiscount)*(1+PlanterDifficultyPercentage)),""),"")),"   not ELP, by"))))))))))))))</f>
        <v/>
      </c>
      <c r="AD779" s="712"/>
      <c r="AE779" s="513" t="str">
        <f t="shared" si="533"/>
        <v/>
      </c>
      <c r="AF779" s="713" t="str">
        <f t="shared" si="534"/>
        <v/>
      </c>
      <c r="AG779" s="713"/>
      <c r="AH779" s="713"/>
      <c r="AI779" s="112">
        <f>IF(H779="credit",0,IF(AE779="free",0,IF(AE779="me",0,IF(G779&gt;0,(VLOOKUP(A779,'Discount Lookup'!J:K,2)*G779),0))))</f>
        <v>0</v>
      </c>
      <c r="AJ779" s="107" t="str">
        <f t="shared" ca="1" si="535"/>
        <v/>
      </c>
      <c r="AK779" s="714" t="str">
        <f t="shared" si="536"/>
        <v/>
      </c>
      <c r="AL779" s="714"/>
      <c r="AM779" s="114" t="str">
        <f t="shared" si="537"/>
        <v/>
      </c>
      <c r="AN779" s="115"/>
      <c r="AO779" s="116"/>
      <c r="AP779" s="116"/>
      <c r="AQ779" s="116"/>
      <c r="AR779" s="116"/>
      <c r="AS779" s="116"/>
      <c r="AT779" s="116"/>
      <c r="AU779" s="116"/>
      <c r="AV779" s="78"/>
      <c r="AW779" s="102"/>
      <c r="AX779" s="78"/>
      <c r="AY779" s="78"/>
      <c r="AZ779" s="78"/>
      <c r="BA779" s="78"/>
      <c r="BB779" s="78"/>
      <c r="BC779" s="78"/>
      <c r="BD779" s="78"/>
      <c r="BE779" s="465"/>
      <c r="BF779" s="165" t="str">
        <f t="shared" si="538"/>
        <v>https://www.google.com/search?tbm=isch&amp;q=Camellia%20%27Winter%27s%20Joy%27%20Winter%27s%20Joy%20Camellia</v>
      </c>
      <c r="BG779" s="165" t="str">
        <f t="shared" si="539"/>
        <v>C</v>
      </c>
      <c r="BH779" s="65"/>
      <c r="BI779" s="65"/>
      <c r="BJ779" s="65"/>
      <c r="BK779" s="65"/>
      <c r="BL779" s="99"/>
      <c r="BM779" s="99"/>
      <c r="BN779" s="99"/>
    </row>
    <row r="780" spans="1:66" s="51" customFormat="1" ht="15.75" x14ac:dyDescent="0.25">
      <c r="A780" s="478">
        <v>7</v>
      </c>
      <c r="B780" s="479" t="s">
        <v>291</v>
      </c>
      <c r="C780" s="480" t="s">
        <v>1882</v>
      </c>
      <c r="D780" s="481" t="s">
        <v>299</v>
      </c>
      <c r="E780" s="482">
        <v>104.95</v>
      </c>
      <c r="F780" s="483" t="s">
        <v>292</v>
      </c>
      <c r="G780" s="484">
        <v>0</v>
      </c>
      <c r="H780" s="688" t="str">
        <f>IF(G780=0,"",IF(F780="Buy",IF(G780=1,"plant","plants"),IF(F780&gt;0.01,"warranty","Error")))</f>
        <v/>
      </c>
      <c r="I780" s="485">
        <f>IF(H780="free",0,IF(H780="credit",((E780*(F780))*G780*-1),IF(F780="Buy",(E780*G780),((E780*(1-F780))*G780))))</f>
        <v>0</v>
      </c>
      <c r="J780" s="485">
        <f>IF(H780="warranty",0,(I780*(_xlfn.SINGLE(SalesTaxPercentage))))</f>
        <v>0</v>
      </c>
      <c r="K780" s="715">
        <f t="shared" ref="K780" si="580">I780+J780</f>
        <v>0</v>
      </c>
      <c r="L780" s="715"/>
      <c r="M780" s="689" t="str">
        <f ca="1">IF(AND(G780&gt;0,E780=0),"WARNING - no PRICE inserted",IF(H780="free","FREE ~ no charge this plant",IF(H780="credit",CONCATENATE("-$",ROUND(K780*(1-_xlfn.SINGLE(T2GDiscount))*-1,2)," CREDIT after discount"),IF(_xlfn.SINGLE(T2GDiscount)=0,"",IF(G780=0,"",IF(F780="Buy",CONCATENATE("$",ROUND(K780*(1-_xlfn.SINGLE(T2GDiscount)),2)," with ",(_xlfn.SINGLE(T2GDiscount)*100),"% discount"),CONCATENATE("$",ROUND(K780*(1-_xlfn.SINGLE(T2GDiscount)),2)," with ",((_xlfn.SINGLE(T2GDiscount)*100+F780*100)-(_xlfn.SINGLE(T2GDiscount)*100*F780)),IF(F780&gt;0,"% discounts",IF(_xlfn.SINGLE(NoWarrantyDiscount)&gt;0,"% discounts","% discount")))))))))</f>
        <v/>
      </c>
      <c r="N780" s="690"/>
      <c r="O780" s="486"/>
      <c r="P780" s="486"/>
      <c r="Q780" s="486"/>
      <c r="R780" s="486"/>
      <c r="S780" s="486"/>
      <c r="T780" s="102">
        <f t="shared" si="527"/>
        <v>0</v>
      </c>
      <c r="U780" s="78">
        <f>IF(NOT(ISNUMBER(G780)), "", VLOOKUP(A780,'Discount Lookup'!D:E,2,FALSE)*G780)</f>
        <v>0</v>
      </c>
      <c r="V780" s="78">
        <f>IF(NOT(ISNUMBER(G780)), "", VLOOKUP(A780,'Discount Lookup'!G:H,2,FALSE)*G780)</f>
        <v>0</v>
      </c>
      <c r="W780" s="102">
        <f t="shared" si="528"/>
        <v>0</v>
      </c>
      <c r="X780" s="102">
        <f t="shared" si="529"/>
        <v>0</v>
      </c>
      <c r="Y780" s="120" t="b">
        <f t="shared" si="530"/>
        <v>0</v>
      </c>
      <c r="Z780" s="117">
        <f t="shared" si="531"/>
        <v>0</v>
      </c>
      <c r="AA780" s="118"/>
      <c r="AB780" s="118" t="str">
        <f t="shared" si="532"/>
        <v/>
      </c>
      <c r="AC780" s="712" t="str">
        <f>IF(AE780="T2G","no charge",IF(AND(OR(PlanterYesMe="No",PlanterYesMe="N",PlanterYesMe="me"),H780=""),"",IF(H780="credit","NO install",IF(AND(K780="",AE780="me"),"EACH row",IF(AND(K780="images",AE780="me"),"EACH row",IF(D780="","",IF(H780="credit","",IF(AE780="free","re-planting",IF(AE780="me","   not ELP, by",IF(AND(OR(PlanterYesMe="Yes",PlanterYesMe="Y"),G780&gt;0),(VLOOKUP(A780,'Discount Lookup'!J:K,2)*G780*(1-PlanterDiscount)*(1+PlanterDifficultyPercentage)),IF(AE780="ELP",(VLOOKUP(A780,'Discount Lookup'!J:K,2)*G780*(1-PlanterDiscount)*(1+PlanterDifficultyPercentage)),IF(AE780="free","re-planting",IF(G780=0,"",IF(PlanterYesMe="",IF(AE780="me","   not ELP, by",IF(AE780="",IF(G780&gt;0,(VLOOKUP(A780,'Discount Lookup'!J:K,2)*G780*(1-PlanterDiscount)*(1+PlanterDifficultyPercentage)),""),"")),"   not ELP, by"))))))))))))))</f>
        <v/>
      </c>
      <c r="AD780" s="712"/>
      <c r="AE780" s="513" t="str">
        <f t="shared" si="533"/>
        <v/>
      </c>
      <c r="AF780" s="713" t="str">
        <f t="shared" si="534"/>
        <v/>
      </c>
      <c r="AG780" s="713"/>
      <c r="AH780" s="713"/>
      <c r="AI780" s="112">
        <f>IF(H780="credit",0,IF(AE780="free",0,IF(AE780="me",0,IF(G780&gt;0,(VLOOKUP(A780,'Discount Lookup'!J:K,2)*G780),0))))</f>
        <v>0</v>
      </c>
      <c r="AJ780" s="107" t="str">
        <f t="shared" ca="1" si="535"/>
        <v/>
      </c>
      <c r="AK780" s="714" t="str">
        <f t="shared" si="536"/>
        <v/>
      </c>
      <c r="AL780" s="714"/>
      <c r="AM780" s="114" t="str">
        <f t="shared" si="537"/>
        <v/>
      </c>
      <c r="AN780" s="115"/>
      <c r="AO780" s="116"/>
      <c r="AP780" s="116"/>
      <c r="AQ780" s="116"/>
      <c r="AR780" s="116"/>
      <c r="AS780" s="116"/>
      <c r="AT780" s="116"/>
      <c r="AU780" s="116"/>
      <c r="AV780" s="78"/>
      <c r="AW780" s="102"/>
      <c r="AX780" s="78"/>
      <c r="AY780" s="78"/>
      <c r="AZ780" s="78"/>
      <c r="BA780" s="78"/>
      <c r="BB780" s="78"/>
      <c r="BC780" s="78"/>
      <c r="BD780" s="78"/>
      <c r="BE780" s="465"/>
      <c r="BF780" s="165" t="str">
        <f t="shared" si="538"/>
        <v>https://www.google.com/search?tbm=isch&amp;q=7%20G4</v>
      </c>
      <c r="BG780" s="165" t="str">
        <f t="shared" si="539"/>
        <v>C</v>
      </c>
      <c r="BH780" s="65"/>
      <c r="BI780" s="65"/>
      <c r="BJ780" s="65"/>
      <c r="BK780" s="65"/>
      <c r="BL780" s="99"/>
      <c r="BM780" s="99"/>
      <c r="BN780" s="99"/>
    </row>
    <row r="781" spans="1:66" s="51" customFormat="1" ht="17.25" thickBot="1" x14ac:dyDescent="0.3">
      <c r="A781" s="705" t="s">
        <v>5357</v>
      </c>
      <c r="B781" s="487"/>
      <c r="C781" s="707"/>
      <c r="D781" s="487"/>
      <c r="E781" s="487"/>
      <c r="F781" s="488"/>
      <c r="G781" s="489"/>
      <c r="H781" s="487"/>
      <c r="I781" s="490"/>
      <c r="J781" s="490"/>
      <c r="K781" s="491"/>
      <c r="L781" s="547"/>
      <c r="M781" s="528"/>
      <c r="N781" s="492"/>
      <c r="O781" s="493"/>
      <c r="P781" s="494"/>
      <c r="Q781" s="492"/>
      <c r="R781" s="492"/>
      <c r="S781" s="699" t="s">
        <v>5275</v>
      </c>
      <c r="T781" s="102">
        <f t="shared" si="527"/>
        <v>0</v>
      </c>
      <c r="U781" s="78" t="str">
        <f>IF(NOT(ISNUMBER(G781)), "", VLOOKUP(A781,'Discount Lookup'!D:E,2,FALSE)*G781)</f>
        <v/>
      </c>
      <c r="V781" s="78" t="str">
        <f>IF(NOT(ISNUMBER(G781)), "", VLOOKUP(A781,'Discount Lookup'!G:H,2,FALSE)*G781)</f>
        <v/>
      </c>
      <c r="W781" s="102">
        <f t="shared" si="528"/>
        <v>0</v>
      </c>
      <c r="X781" s="102">
        <f t="shared" si="529"/>
        <v>0</v>
      </c>
      <c r="Y781" s="120" t="b">
        <f t="shared" si="530"/>
        <v>0</v>
      </c>
      <c r="Z781" s="117">
        <f t="shared" si="531"/>
        <v>0</v>
      </c>
      <c r="AA781" s="118"/>
      <c r="AB781" s="118" t="str">
        <f t="shared" si="532"/>
        <v/>
      </c>
      <c r="AC781" s="712" t="str">
        <f>IF(AE781="T2G","no charge",IF(AND(OR(PlanterYesMe="No",PlanterYesMe="N",PlanterYesMe="me"),H781=""),"",IF(H781="credit","NO install",IF(AND(K781="",AE781="me"),"EACH row",IF(AND(K781="images",AE781="me"),"EACH row",IF(D781="","",IF(H781="credit","",IF(AE781="free","re-planting",IF(AE781="me","   not ELP, by",IF(AND(OR(PlanterYesMe="Yes",PlanterYesMe="Y"),G781&gt;0),(VLOOKUP(A781,'Discount Lookup'!J:K,2)*G781*(1-PlanterDiscount)*(1+PlanterDifficultyPercentage)),IF(AE781="ELP",(VLOOKUP(A781,'Discount Lookup'!J:K,2)*G781*(1-PlanterDiscount)*(1+PlanterDifficultyPercentage)),IF(AE781="free","re-planting",IF(G781=0,"",IF(PlanterYesMe="",IF(AE781="me","   not ELP, by",IF(AE781="",IF(G781&gt;0,(VLOOKUP(A781,'Discount Lookup'!J:K,2)*G781*(1-PlanterDiscount)*(1+PlanterDifficultyPercentage)),""),"")),"   not ELP, by"))))))))))))))</f>
        <v/>
      </c>
      <c r="AD781" s="712"/>
      <c r="AE781" s="513" t="str">
        <f t="shared" si="533"/>
        <v/>
      </c>
      <c r="AF781" s="713" t="str">
        <f t="shared" si="534"/>
        <v/>
      </c>
      <c r="AG781" s="713"/>
      <c r="AH781" s="713"/>
      <c r="AI781" s="112">
        <f>IF(H781="credit",0,IF(AE781="free",0,IF(AE781="me",0,IF(G781&gt;0,(VLOOKUP(A781,'Discount Lookup'!J:K,2)*G781),0))))</f>
        <v>0</v>
      </c>
      <c r="AJ781" s="107" t="str">
        <f t="shared" ca="1" si="535"/>
        <v/>
      </c>
      <c r="AK781" s="714" t="str">
        <f t="shared" si="536"/>
        <v/>
      </c>
      <c r="AL781" s="714"/>
      <c r="AM781" s="114" t="str">
        <f t="shared" si="537"/>
        <v/>
      </c>
      <c r="AN781" s="115"/>
      <c r="AO781" s="116"/>
      <c r="AP781" s="116"/>
      <c r="AQ781" s="116"/>
      <c r="AR781" s="116"/>
      <c r="AS781" s="116"/>
      <c r="AT781" s="116"/>
      <c r="AU781" s="116"/>
      <c r="AV781" s="78"/>
      <c r="AW781" s="102"/>
      <c r="AX781" s="78"/>
      <c r="AY781" s="78"/>
      <c r="AZ781" s="78"/>
      <c r="BA781" s="78"/>
      <c r="BB781" s="78"/>
      <c r="BC781" s="78"/>
      <c r="BD781" s="78"/>
      <c r="BE781" s="465"/>
      <c r="BF781" s="165" t="str">
        <f t="shared" si="538"/>
        <v>https://www.google.com/search?tbm=isch&amp;q=moist%20sites%F0%9F%92%A7OK%2C%20Winter%27s%20Joy%20is%20a%20cold-hardy%2C%20late-fall%20blooming%20shrub%20known%20for%20its%20self-cleaning%20flowers%20that%20drop%20neatly%20</v>
      </c>
      <c r="BG781" s="165" t="str">
        <f t="shared" si="539"/>
        <v>m</v>
      </c>
      <c r="BH781" s="65"/>
      <c r="BI781" s="65"/>
      <c r="BJ781" s="65"/>
      <c r="BK781" s="65"/>
      <c r="BL781" s="99"/>
      <c r="BM781" s="99"/>
      <c r="BN781" s="99"/>
    </row>
    <row r="782" spans="1:66" s="51" customFormat="1" ht="18" x14ac:dyDescent="0.25">
      <c r="A782" s="507" t="s">
        <v>1883</v>
      </c>
      <c r="B782" s="470"/>
      <c r="C782" s="706"/>
      <c r="D782" s="471" t="s">
        <v>1884</v>
      </c>
      <c r="E782" s="472"/>
      <c r="F782" s="472"/>
      <c r="G782" s="472"/>
      <c r="H782" s="622" t="s">
        <v>1885</v>
      </c>
      <c r="I782" s="473" t="s">
        <v>1876</v>
      </c>
      <c r="J782" s="472"/>
      <c r="K782" s="472"/>
      <c r="L782" s="561"/>
      <c r="M782" s="703" t="s">
        <v>5274</v>
      </c>
      <c r="N782" s="692" t="str">
        <f>IF(AND(ISTEXT($A782), ISERROR($A782+0)), HYPERLINK($BF782, "Images"), "")</f>
        <v>Images</v>
      </c>
      <c r="O782" s="694" t="s">
        <v>5247</v>
      </c>
      <c r="P782" s="475"/>
      <c r="Q782" s="476"/>
      <c r="R782" s="476"/>
      <c r="S782" s="477"/>
      <c r="T782" s="102">
        <f t="shared" si="527"/>
        <v>0</v>
      </c>
      <c r="U782" s="78" t="str">
        <f>IF(NOT(ISNUMBER(G782)), "", VLOOKUP(A782,'Discount Lookup'!D:E,2,FALSE)*G782)</f>
        <v/>
      </c>
      <c r="V782" s="78" t="str">
        <f>IF(NOT(ISNUMBER(G782)), "", VLOOKUP(A782,'Discount Lookup'!G:H,2,FALSE)*G782)</f>
        <v/>
      </c>
      <c r="W782" s="102">
        <f t="shared" si="528"/>
        <v>0</v>
      </c>
      <c r="X782" s="102" t="str">
        <f t="shared" si="529"/>
        <v>White bloom, Yellow stamen</v>
      </c>
      <c r="Y782" s="120" t="b">
        <f t="shared" si="530"/>
        <v>0</v>
      </c>
      <c r="Z782" s="117">
        <f t="shared" si="531"/>
        <v>0</v>
      </c>
      <c r="AA782" s="118"/>
      <c r="AB782" s="118" t="str">
        <f t="shared" si="532"/>
        <v/>
      </c>
      <c r="AC782" s="712" t="str">
        <f>IF(AE782="T2G","no charge",IF(AND(OR(PlanterYesMe="No",PlanterYesMe="N",PlanterYesMe="me"),H782=""),"",IF(H782="credit","NO install",IF(AND(K782="",AE782="me"),"EACH row",IF(AND(K782="images",AE782="me"),"EACH row",IF(D782="","",IF(H782="credit","",IF(AE782="free","re-planting",IF(AE782="me","   not ELP, by",IF(AND(OR(PlanterYesMe="Yes",PlanterYesMe="Y"),G782&gt;0),(VLOOKUP(A782,'Discount Lookup'!J:K,2)*G782*(1-PlanterDiscount)*(1+PlanterDifficultyPercentage)),IF(AE782="ELP",(VLOOKUP(A782,'Discount Lookup'!J:K,2)*G782*(1-PlanterDiscount)*(1+PlanterDifficultyPercentage)),IF(AE782="free","re-planting",IF(G782=0,"",IF(PlanterYesMe="",IF(AE782="me","   not ELP, by",IF(AE782="",IF(G782&gt;0,(VLOOKUP(A782,'Discount Lookup'!J:K,2)*G782*(1-PlanterDiscount)*(1+PlanterDifficultyPercentage)),""),"")),"   not ELP, by"))))))))))))))</f>
        <v/>
      </c>
      <c r="AD782" s="712"/>
      <c r="AE782" s="513" t="str">
        <f t="shared" si="533"/>
        <v/>
      </c>
      <c r="AF782" s="713" t="str">
        <f t="shared" si="534"/>
        <v/>
      </c>
      <c r="AG782" s="713"/>
      <c r="AH782" s="713"/>
      <c r="AI782" s="112">
        <f>IF(H782="credit",0,IF(AE782="free",0,IF(AE782="me",0,IF(G782&gt;0,(VLOOKUP(A782,'Discount Lookup'!J:K,2)*G782),0))))</f>
        <v>0</v>
      </c>
      <c r="AJ782" s="107" t="str">
        <f t="shared" ca="1" si="535"/>
        <v/>
      </c>
      <c r="AK782" s="714" t="str">
        <f t="shared" si="536"/>
        <v/>
      </c>
      <c r="AL782" s="714"/>
      <c r="AM782" s="114" t="str">
        <f t="shared" si="537"/>
        <v/>
      </c>
      <c r="AN782" s="115"/>
      <c r="AO782" s="116"/>
      <c r="AP782" s="116"/>
      <c r="AQ782" s="116"/>
      <c r="AR782" s="116"/>
      <c r="AS782" s="116"/>
      <c r="AT782" s="116"/>
      <c r="AU782" s="116"/>
      <c r="AV782" s="78"/>
      <c r="AW782" s="102"/>
      <c r="AX782" s="78"/>
      <c r="AY782" s="78"/>
      <c r="AZ782" s="78"/>
      <c r="BA782" s="78"/>
      <c r="BB782" s="78"/>
      <c r="BC782" s="78"/>
      <c r="BD782" s="78"/>
      <c r="BE782" s="465"/>
      <c r="BF782" s="165" t="str">
        <f t="shared" si="538"/>
        <v>https://www.google.com/search?tbm=isch&amp;q=Camellia%20%27Winter%27s%20Snowman%27%20Winter%27s%20Snowman%20Camellia</v>
      </c>
      <c r="BG782" s="165" t="str">
        <f t="shared" si="539"/>
        <v>C</v>
      </c>
      <c r="BH782" s="65"/>
      <c r="BI782" s="65"/>
      <c r="BJ782" s="65"/>
      <c r="BK782" s="65"/>
      <c r="BL782" s="99"/>
      <c r="BM782" s="99"/>
      <c r="BN782" s="99"/>
    </row>
    <row r="783" spans="1:66" s="51" customFormat="1" ht="15.75" x14ac:dyDescent="0.25">
      <c r="A783" s="478">
        <v>3</v>
      </c>
      <c r="B783" s="479" t="s">
        <v>291</v>
      </c>
      <c r="C783" s="480" t="s">
        <v>1886</v>
      </c>
      <c r="D783" s="481" t="s">
        <v>329</v>
      </c>
      <c r="E783" s="482">
        <v>34.950000000000003</v>
      </c>
      <c r="F783" s="483" t="s">
        <v>292</v>
      </c>
      <c r="G783" s="484">
        <v>0</v>
      </c>
      <c r="H783" s="688" t="str">
        <f>IF(G783=0,"",IF(F783="Buy",IF(G783=1,"plant","plants"),IF(F783&gt;0.01,"warranty","Error")))</f>
        <v/>
      </c>
      <c r="I783" s="485">
        <f>IF(H783="free",0,IF(H783="credit",((E783*(F783))*G783*-1),IF(F783="Buy",(E783*G783),((E783*(1-F783))*G783))))</f>
        <v>0</v>
      </c>
      <c r="J783" s="485">
        <f>IF(H783="warranty",0,(I783*(_xlfn.SINGLE(SalesTaxPercentage))))</f>
        <v>0</v>
      </c>
      <c r="K783" s="715">
        <f t="shared" ref="K783" si="581">I783+J783</f>
        <v>0</v>
      </c>
      <c r="L783" s="715"/>
      <c r="M783" s="689" t="str">
        <f ca="1">IF(AND(G783&gt;0,E783=0),"WARNING - no PRICE inserted",IF(H783="free","FREE ~ no charge this plant",IF(H783="credit",CONCATENATE("-$",ROUND(K783*(1-_xlfn.SINGLE(T2GDiscount))*-1,2)," CREDIT after discount"),IF(_xlfn.SINGLE(T2GDiscount)=0,"",IF(G783=0,"",IF(F783="Buy",CONCATENATE("$",ROUND(K783*(1-_xlfn.SINGLE(T2GDiscount)),2)," with ",(_xlfn.SINGLE(T2GDiscount)*100),"% discount"),CONCATENATE("$",ROUND(K783*(1-_xlfn.SINGLE(T2GDiscount)),2)," with ",((_xlfn.SINGLE(T2GDiscount)*100+F783*100)-(_xlfn.SINGLE(T2GDiscount)*100*F783)),IF(F783&gt;0,"% discounts",IF(_xlfn.SINGLE(NoWarrantyDiscount)&gt;0,"% discounts","% discount")))))))))</f>
        <v/>
      </c>
      <c r="N783" s="690"/>
      <c r="O783" s="486"/>
      <c r="P783" s="486"/>
      <c r="Q783" s="486"/>
      <c r="R783" s="486"/>
      <c r="S783" s="486"/>
      <c r="T783" s="102">
        <f t="shared" si="527"/>
        <v>0</v>
      </c>
      <c r="U783" s="78">
        <f>IF(NOT(ISNUMBER(G783)), "", VLOOKUP(A783,'Discount Lookup'!D:E,2,FALSE)*G783)</f>
        <v>0</v>
      </c>
      <c r="V783" s="78">
        <f>IF(NOT(ISNUMBER(G783)), "", VLOOKUP(A783,'Discount Lookup'!G:H,2,FALSE)*G783)</f>
        <v>0</v>
      </c>
      <c r="W783" s="102">
        <f t="shared" si="528"/>
        <v>0</v>
      </c>
      <c r="X783" s="102">
        <f t="shared" si="529"/>
        <v>0</v>
      </c>
      <c r="Y783" s="120" t="b">
        <f t="shared" si="530"/>
        <v>0</v>
      </c>
      <c r="Z783" s="117">
        <f t="shared" si="531"/>
        <v>0</v>
      </c>
      <c r="AA783" s="118"/>
      <c r="AB783" s="118" t="str">
        <f t="shared" si="532"/>
        <v/>
      </c>
      <c r="AC783" s="712" t="str">
        <f>IF(AE783="T2G","no charge",IF(AND(OR(PlanterYesMe="No",PlanterYesMe="N",PlanterYesMe="me"),H783=""),"",IF(H783="credit","NO install",IF(AND(K783="",AE783="me"),"EACH row",IF(AND(K783="images",AE783="me"),"EACH row",IF(D783="","",IF(H783="credit","",IF(AE783="free","re-planting",IF(AE783="me","   not ELP, by",IF(AND(OR(PlanterYesMe="Yes",PlanterYesMe="Y"),G783&gt;0),(VLOOKUP(A783,'Discount Lookup'!J:K,2)*G783*(1-PlanterDiscount)*(1+PlanterDifficultyPercentage)),IF(AE783="ELP",(VLOOKUP(A783,'Discount Lookup'!J:K,2)*G783*(1-PlanterDiscount)*(1+PlanterDifficultyPercentage)),IF(AE783="free","re-planting",IF(G783=0,"",IF(PlanterYesMe="",IF(AE783="me","   not ELP, by",IF(AE783="",IF(G783&gt;0,(VLOOKUP(A783,'Discount Lookup'!J:K,2)*G783*(1-PlanterDiscount)*(1+PlanterDifficultyPercentage)),""),"")),"   not ELP, by"))))))))))))))</f>
        <v/>
      </c>
      <c r="AD783" s="712"/>
      <c r="AE783" s="513" t="str">
        <f t="shared" si="533"/>
        <v/>
      </c>
      <c r="AF783" s="713" t="str">
        <f t="shared" si="534"/>
        <v/>
      </c>
      <c r="AG783" s="713"/>
      <c r="AH783" s="713"/>
      <c r="AI783" s="112">
        <f>IF(H783="credit",0,IF(AE783="free",0,IF(AE783="me",0,IF(G783&gt;0,(VLOOKUP(A783,'Discount Lookup'!J:K,2)*G783),0))))</f>
        <v>0</v>
      </c>
      <c r="AJ783" s="107" t="str">
        <f t="shared" ca="1" si="535"/>
        <v/>
      </c>
      <c r="AK783" s="714" t="str">
        <f t="shared" si="536"/>
        <v/>
      </c>
      <c r="AL783" s="714"/>
      <c r="AM783" s="114" t="str">
        <f t="shared" si="537"/>
        <v/>
      </c>
      <c r="AN783" s="115"/>
      <c r="AO783" s="116"/>
      <c r="AP783" s="116"/>
      <c r="AQ783" s="116"/>
      <c r="AR783" s="116"/>
      <c r="AS783" s="116"/>
      <c r="AT783" s="116"/>
      <c r="AU783" s="116"/>
      <c r="AV783" s="78"/>
      <c r="AW783" s="102"/>
      <c r="AX783" s="78"/>
      <c r="AY783" s="78"/>
      <c r="AZ783" s="78"/>
      <c r="BA783" s="78"/>
      <c r="BB783" s="78"/>
      <c r="BC783" s="78"/>
      <c r="BD783" s="78"/>
      <c r="BE783" s="465"/>
      <c r="BF783" s="165" t="str">
        <f t="shared" si="538"/>
        <v>https://www.google.com/search?tbm=isch&amp;q=3%20G2</v>
      </c>
      <c r="BG783" s="165" t="str">
        <f t="shared" si="539"/>
        <v>C</v>
      </c>
      <c r="BH783" s="65"/>
      <c r="BI783" s="65"/>
      <c r="BJ783" s="65"/>
      <c r="BK783" s="65"/>
      <c r="BL783" s="99"/>
      <c r="BM783" s="99"/>
      <c r="BN783" s="99"/>
    </row>
    <row r="784" spans="1:66" s="51" customFormat="1" ht="15.75" x14ac:dyDescent="0.25">
      <c r="A784" s="478">
        <v>7</v>
      </c>
      <c r="B784" s="479" t="s">
        <v>291</v>
      </c>
      <c r="C784" s="480" t="s">
        <v>4582</v>
      </c>
      <c r="D784" s="481" t="s">
        <v>311</v>
      </c>
      <c r="E784" s="482">
        <v>102.95</v>
      </c>
      <c r="F784" s="483" t="s">
        <v>292</v>
      </c>
      <c r="G784" s="484">
        <v>0</v>
      </c>
      <c r="H784" s="688" t="str">
        <f>IF(G784=0,"",IF(F784="Buy",IF(G784=1,"plant","plants"),IF(F784&gt;0.01,"warranty","Error")))</f>
        <v/>
      </c>
      <c r="I784" s="485">
        <f>IF(H784="free",0,IF(H784="credit",((E784*(F784))*G784*-1),IF(F784="Buy",(E784*G784),((E784*(1-F784))*G784))))</f>
        <v>0</v>
      </c>
      <c r="J784" s="485">
        <f>IF(H784="warranty",0,(I784*(_xlfn.SINGLE(SalesTaxPercentage))))</f>
        <v>0</v>
      </c>
      <c r="K784" s="715">
        <f t="shared" ref="K784" si="582">I784+J784</f>
        <v>0</v>
      </c>
      <c r="L784" s="715"/>
      <c r="M784" s="689" t="str">
        <f ca="1">IF(AND(G784&gt;0,E784=0),"WARNING - no PRICE inserted",IF(H784="free","FREE ~ no charge this plant",IF(H784="credit",CONCATENATE("-$",ROUND(K784*(1-_xlfn.SINGLE(T2GDiscount))*-1,2)," CREDIT after discount"),IF(_xlfn.SINGLE(T2GDiscount)=0,"",IF(G784=0,"",IF(F784="Buy",CONCATENATE("$",ROUND(K784*(1-_xlfn.SINGLE(T2GDiscount)),2)," with ",(_xlfn.SINGLE(T2GDiscount)*100),"% discount"),CONCATENATE("$",ROUND(K784*(1-_xlfn.SINGLE(T2GDiscount)),2)," with ",((_xlfn.SINGLE(T2GDiscount)*100+F784*100)-(_xlfn.SINGLE(T2GDiscount)*100*F784)),IF(F784&gt;0,"% discounts",IF(_xlfn.SINGLE(NoWarrantyDiscount)&gt;0,"% discounts","% discount")))))))))</f>
        <v/>
      </c>
      <c r="N784" s="690"/>
      <c r="O784" s="486"/>
      <c r="P784" s="486"/>
      <c r="Q784" s="486"/>
      <c r="R784" s="486"/>
      <c r="S784" s="486"/>
      <c r="T784" s="102">
        <f t="shared" si="527"/>
        <v>0</v>
      </c>
      <c r="U784" s="78">
        <f>IF(NOT(ISNUMBER(G784)), "", VLOOKUP(A784,'Discount Lookup'!D:E,2,FALSE)*G784)</f>
        <v>0</v>
      </c>
      <c r="V784" s="78">
        <f>IF(NOT(ISNUMBER(G784)), "", VLOOKUP(A784,'Discount Lookup'!G:H,2,FALSE)*G784)</f>
        <v>0</v>
      </c>
      <c r="W784" s="102">
        <f t="shared" si="528"/>
        <v>0</v>
      </c>
      <c r="X784" s="102">
        <f t="shared" si="529"/>
        <v>0</v>
      </c>
      <c r="Y784" s="120" t="b">
        <f t="shared" si="530"/>
        <v>0</v>
      </c>
      <c r="Z784" s="117">
        <f t="shared" si="531"/>
        <v>0</v>
      </c>
      <c r="AA784" s="118"/>
      <c r="AB784" s="118" t="str">
        <f t="shared" si="532"/>
        <v/>
      </c>
      <c r="AC784" s="712" t="str">
        <f>IF(AE784="T2G","no charge",IF(AND(OR(PlanterYesMe="No",PlanterYesMe="N",PlanterYesMe="me"),H784=""),"",IF(H784="credit","NO install",IF(AND(K784="",AE784="me"),"EACH row",IF(AND(K784="images",AE784="me"),"EACH row",IF(D784="","",IF(H784="credit","",IF(AE784="free","re-planting",IF(AE784="me","   not ELP, by",IF(AND(OR(PlanterYesMe="Yes",PlanterYesMe="Y"),G784&gt;0),(VLOOKUP(A784,'Discount Lookup'!J:K,2)*G784*(1-PlanterDiscount)*(1+PlanterDifficultyPercentage)),IF(AE784="ELP",(VLOOKUP(A784,'Discount Lookup'!J:K,2)*G784*(1-PlanterDiscount)*(1+PlanterDifficultyPercentage)),IF(AE784="free","re-planting",IF(G784=0,"",IF(PlanterYesMe="",IF(AE784="me","   not ELP, by",IF(AE784="",IF(G784&gt;0,(VLOOKUP(A784,'Discount Lookup'!J:K,2)*G784*(1-PlanterDiscount)*(1+PlanterDifficultyPercentage)),""),"")),"   not ELP, by"))))))))))))))</f>
        <v/>
      </c>
      <c r="AD784" s="712"/>
      <c r="AE784" s="513" t="str">
        <f t="shared" si="533"/>
        <v/>
      </c>
      <c r="AF784" s="713" t="str">
        <f t="shared" si="534"/>
        <v/>
      </c>
      <c r="AG784" s="713"/>
      <c r="AH784" s="713"/>
      <c r="AI784" s="112">
        <f>IF(H784="credit",0,IF(AE784="free",0,IF(AE784="me",0,IF(G784&gt;0,(VLOOKUP(A784,'Discount Lookup'!J:K,2)*G784),0))))</f>
        <v>0</v>
      </c>
      <c r="AJ784" s="107" t="str">
        <f t="shared" ca="1" si="535"/>
        <v/>
      </c>
      <c r="AK784" s="714" t="str">
        <f t="shared" si="536"/>
        <v/>
      </c>
      <c r="AL784" s="714"/>
      <c r="AM784" s="114" t="str">
        <f t="shared" si="537"/>
        <v/>
      </c>
      <c r="AN784" s="115"/>
      <c r="AO784" s="116"/>
      <c r="AP784" s="116"/>
      <c r="AQ784" s="116"/>
      <c r="AR784" s="116"/>
      <c r="AS784" s="116"/>
      <c r="AT784" s="116"/>
      <c r="AU784" s="116"/>
      <c r="AV784" s="78"/>
      <c r="AW784" s="102"/>
      <c r="AX784" s="78"/>
      <c r="AY784" s="78"/>
      <c r="AZ784" s="78"/>
      <c r="BA784" s="78"/>
      <c r="BB784" s="78"/>
      <c r="BC784" s="78"/>
      <c r="BD784" s="78"/>
      <c r="BE784" s="465"/>
      <c r="BF784" s="165" t="str">
        <f t="shared" si="538"/>
        <v>https://www.google.com/search?tbm=isch&amp;q=7%20G5</v>
      </c>
      <c r="BG784" s="165" t="str">
        <f t="shared" si="539"/>
        <v>C</v>
      </c>
      <c r="BH784" s="65"/>
      <c r="BI784" s="65"/>
      <c r="BJ784" s="65"/>
      <c r="BK784" s="65"/>
      <c r="BL784" s="99"/>
      <c r="BM784" s="99"/>
      <c r="BN784" s="99"/>
    </row>
    <row r="785" spans="1:66" s="51" customFormat="1" ht="15.75" x14ac:dyDescent="0.25">
      <c r="A785" s="478">
        <v>7</v>
      </c>
      <c r="B785" s="479" t="s">
        <v>291</v>
      </c>
      <c r="C785" s="480" t="s">
        <v>1887</v>
      </c>
      <c r="D785" s="481" t="s">
        <v>299</v>
      </c>
      <c r="E785" s="482">
        <v>104.95</v>
      </c>
      <c r="F785" s="483" t="s">
        <v>292</v>
      </c>
      <c r="G785" s="484">
        <v>0</v>
      </c>
      <c r="H785" s="688" t="str">
        <f>IF(G785=0,"",IF(F785="Buy",IF(G785=1,"plant","plants"),IF(F785&gt;0.01,"warranty","Error")))</f>
        <v/>
      </c>
      <c r="I785" s="485">
        <f>IF(H785="free",0,IF(H785="credit",((E785*(F785))*G785*-1),IF(F785="Buy",(E785*G785),((E785*(1-F785))*G785))))</f>
        <v>0</v>
      </c>
      <c r="J785" s="485">
        <f>IF(H785="warranty",0,(I785*(_xlfn.SINGLE(SalesTaxPercentage))))</f>
        <v>0</v>
      </c>
      <c r="K785" s="715">
        <f t="shared" ref="K785" si="583">I785+J785</f>
        <v>0</v>
      </c>
      <c r="L785" s="715"/>
      <c r="M785" s="689" t="str">
        <f ca="1">IF(AND(G785&gt;0,E785=0),"WARNING - no PRICE inserted",IF(H785="free","FREE ~ no charge this plant",IF(H785="credit",CONCATENATE("-$",ROUND(K785*(1-_xlfn.SINGLE(T2GDiscount))*-1,2)," CREDIT after discount"),IF(_xlfn.SINGLE(T2GDiscount)=0,"",IF(G785=0,"",IF(F785="Buy",CONCATENATE("$",ROUND(K785*(1-_xlfn.SINGLE(T2GDiscount)),2)," with ",(_xlfn.SINGLE(T2GDiscount)*100),"% discount"),CONCATENATE("$",ROUND(K785*(1-_xlfn.SINGLE(T2GDiscount)),2)," with ",((_xlfn.SINGLE(T2GDiscount)*100+F785*100)-(_xlfn.SINGLE(T2GDiscount)*100*F785)),IF(F785&gt;0,"% discounts",IF(_xlfn.SINGLE(NoWarrantyDiscount)&gt;0,"% discounts","% discount")))))))))</f>
        <v/>
      </c>
      <c r="N785" s="690"/>
      <c r="O785" s="486"/>
      <c r="P785" s="486"/>
      <c r="Q785" s="486"/>
      <c r="R785" s="486"/>
      <c r="S785" s="486"/>
      <c r="T785" s="102">
        <f t="shared" ref="T785:T848" si="584">E785*G785</f>
        <v>0</v>
      </c>
      <c r="U785" s="78">
        <f>IF(NOT(ISNUMBER(G785)), "", VLOOKUP(A785,'Discount Lookup'!D:E,2,FALSE)*G785)</f>
        <v>0</v>
      </c>
      <c r="V785" s="78">
        <f>IF(NOT(ISNUMBER(G785)), "", VLOOKUP(A785,'Discount Lookup'!G:H,2,FALSE)*G785)</f>
        <v>0</v>
      </c>
      <c r="W785" s="102">
        <f t="shared" ref="W785:W848" si="585">IF(H785="credit",0,E785*(SalesTaxPercentage)*G785)</f>
        <v>0</v>
      </c>
      <c r="X785" s="102">
        <f t="shared" ref="X785:X848" si="586">I785</f>
        <v>0</v>
      </c>
      <c r="Y785" s="120" t="b">
        <f t="shared" ref="Y785:Y848" si="587">IF(AE785="T2G",0,IF(H785="credit",0,IF(G785&gt;0,IF(AE785="me","",G785))))</f>
        <v>0</v>
      </c>
      <c r="Z785" s="117">
        <f t="shared" ref="Z785:Z848" si="588">IF(H785="credit",G785,0)</f>
        <v>0</v>
      </c>
      <c r="AA785" s="118"/>
      <c r="AB785" s="118" t="str">
        <f t="shared" ref="AB785:AB848" si="589">IF(AE785="T2G","by Trees2Go",IF(H785="credit","CREDIT only ~",IF(AND(K785="",AE785=OR(PlanterYesMe="No",PlanterYesMe="N",PlanterYesMe="me")),"not THIS line⇨",IF(AND(K785="images",AE785="me"),"not THIS line⇨",IF(H785="credit","",IF(G785=0,"",IF(AE785="me","",IF(OR(PlanterYesMe="No",PlanterYesMe="N",PlanterYesMe="me"),"",IF(AE785="free","warranty",IF(OR(PlanterYesMe="yes",PlanterYesMe="y"),"Edison install:","to install:"))))))))))</f>
        <v/>
      </c>
      <c r="AC785" s="712" t="str">
        <f>IF(AE785="T2G","no charge",IF(AND(OR(PlanterYesMe="No",PlanterYesMe="N",PlanterYesMe="me"),H785=""),"",IF(H785="credit","NO install",IF(AND(K785="",AE785="me"),"EACH row",IF(AND(K785="images",AE785="me"),"EACH row",IF(D785="","",IF(H785="credit","",IF(AE785="free","re-planting",IF(AE785="me","   not ELP, by",IF(AND(OR(PlanterYesMe="Yes",PlanterYesMe="Y"),G785&gt;0),(VLOOKUP(A785,'Discount Lookup'!J:K,2)*G785*(1-PlanterDiscount)*(1+PlanterDifficultyPercentage)),IF(AE785="ELP",(VLOOKUP(A785,'Discount Lookup'!J:K,2)*G785*(1-PlanterDiscount)*(1+PlanterDifficultyPercentage)),IF(AE785="free","re-planting",IF(G785=0,"",IF(PlanterYesMe="",IF(AE785="me","   not ELP, by",IF(AE785="",IF(G785&gt;0,(VLOOKUP(A785,'Discount Lookup'!J:K,2)*G785*(1-PlanterDiscount)*(1+PlanterDifficultyPercentage)),""),"")),"   not ELP, by"))))))))))))))</f>
        <v/>
      </c>
      <c r="AD785" s="712"/>
      <c r="AE785" s="513" t="str">
        <f t="shared" ref="AE785:AE848" si="590">IF(H785="credit","",IF(G785=0,"",IF(OR(PlanterYesMe="No",PlanterYesMe="N",PlanterYesMe="me"),"me",IF(H785="warranty","free",IF(OR(PlanterYesMe="yes",PlanterYesMe="y"),"ELP","")))))</f>
        <v/>
      </c>
      <c r="AF785" s="713" t="str">
        <f t="shared" ref="AF785:AF848" si="591">IF(OR(PlanterYesMe="No",PlanterYesMe="N",PlanterYesMe="me"),"",IF(H785="credit","",IF(G785&gt;0,(CONCATENATE((G785)," quantity, ",(A785)," ",B785)),"")))</f>
        <v/>
      </c>
      <c r="AG785" s="713"/>
      <c r="AH785" s="713"/>
      <c r="AI785" s="112">
        <f>IF(H785="credit",0,IF(AE785="free",0,IF(AE785="me",0,IF(G785&gt;0,(VLOOKUP(A785,'Discount Lookup'!J:K,2)*G785),0))))</f>
        <v>0</v>
      </c>
      <c r="AJ785" s="107" t="str">
        <f t="shared" ref="AJ785:AJ848" ca="1" si="592">IF(AND(ISREF(H785),H785="credit"),"",IF(AND(AND(OFFSET(G785,0,0)=0,OFFSET(G785,1,0)&gt;0,ISNUMBER(OFFSET(AC785,1,0)),OFFSET(AC785,1,0)&gt;0),OR(PlanterYesMe="yes",PlanterYesMe="y")),"T2G+ELP=",IF(AND(OFFSET(G785,0,0)=0,OFFSET(G785,1,0)&gt;0,ISNUMBER(OFFSET(AC785,1,0)),OFFSET(AC785,1,0)&gt;0),"if T2G+ELP=",IF(AND(OFFSET(G785,0,0)=0,OFFSET(G785,1,0)&gt;0),"T2G Subtotal",IF(H785="credit","",IF(G785=0,"",IF(AE785="free",(K785*(1-T2GDiscount)),IF(OR(PlanterYesMe="No",PlanterYesMe="N",PlanterYesMe="me"),(K785*(1-T2GDiscount)),IF(OR(AE785="me",AE785="T2G"),(K785*(1-T2GDiscount)),(K785*(1-T2GDiscount))+AC785)))))))))</f>
        <v/>
      </c>
      <c r="AK785" s="714" t="str">
        <f t="shared" ref="AK785:AK848" si="593">IF(H785="credit","",IF(G785=0,"",IF(OR(AE785="me",AE785="T2G"),"  delivery-only",IF(OR(PlanterYesMe="No",PlanterYesMe="N",PlanterYesMe="me"),"  delivery-only",CONCATENATE(" $",ROUND(AJ785/G785,2)," each")))))</f>
        <v/>
      </c>
      <c r="AL785" s="714"/>
      <c r="AM785" s="114" t="str">
        <f t="shared" ref="AM785:AM848" si="594">IF(H785="credit","",IF(AE785="free","      ~ discounts included, no tax or planting fee applies ~",IF(G785=0,"",IF(OR(PlanterYesMe="No",PlanterYesMe="N",PlanterYesMe="me"),CONCATENATE(" $",ROUND(AJ785/G785,2)," per plant, with tax &amp; discount"),IF(OR(AE785="me",AE785="T2G"),CONCATENATE(" $",ROUND(AJ785/G785,2)," per plant, with tax &amp; discount"),CONCATENATE("= $",ROUND((K785*(1-T2GDiscount))/G785,2)," per plant + $",AC785/G785,(" per planting      ~ includes tax &amp; discounts ~")))))))</f>
        <v/>
      </c>
      <c r="AN785" s="115"/>
      <c r="AO785" s="116"/>
      <c r="AP785" s="116"/>
      <c r="AQ785" s="116"/>
      <c r="AR785" s="116"/>
      <c r="AS785" s="116"/>
      <c r="AT785" s="116"/>
      <c r="AU785" s="116"/>
      <c r="AV785" s="78"/>
      <c r="AW785" s="102"/>
      <c r="AX785" s="78"/>
      <c r="AY785" s="78"/>
      <c r="AZ785" s="78"/>
      <c r="BA785" s="78"/>
      <c r="BB785" s="78"/>
      <c r="BC785" s="78"/>
      <c r="BD785" s="78"/>
      <c r="BE785" s="465"/>
      <c r="BF785" s="165" t="str">
        <f t="shared" ref="BF785:BF848" si="595">"https://www.google.com/search?tbm=isch&amp;q=" &amp; _xlfn.ENCODEURL($A785 &amp; " " &amp; $D785)</f>
        <v>https://www.google.com/search?tbm=isch&amp;q=7%20G4</v>
      </c>
      <c r="BG785" s="165" t="str">
        <f t="shared" ref="BG785:BG848" si="596">IF(ISTEXT(A785),LEFT(A785,1),BG784)</f>
        <v>C</v>
      </c>
      <c r="BH785" s="65"/>
      <c r="BI785" s="65"/>
      <c r="BJ785" s="65"/>
      <c r="BK785" s="65"/>
      <c r="BL785" s="99"/>
      <c r="BM785" s="99"/>
      <c r="BN785" s="99"/>
    </row>
    <row r="786" spans="1:66" s="51" customFormat="1" ht="15.75" x14ac:dyDescent="0.25">
      <c r="A786" s="478">
        <v>15</v>
      </c>
      <c r="B786" s="479" t="s">
        <v>291</v>
      </c>
      <c r="C786" s="480" t="s">
        <v>4583</v>
      </c>
      <c r="D786" s="481" t="s">
        <v>293</v>
      </c>
      <c r="E786" s="482">
        <v>231.95</v>
      </c>
      <c r="F786" s="483" t="s">
        <v>292</v>
      </c>
      <c r="G786" s="484">
        <v>0</v>
      </c>
      <c r="H786" s="688" t="str">
        <f>IF(G786=0,"",IF(F786="Buy",IF(G786=1,"plant","plants"),IF(F786&gt;0.01,"warranty","Error")))</f>
        <v/>
      </c>
      <c r="I786" s="485">
        <f>IF(H786="free",0,IF(H786="credit",((E786*(F786))*G786*-1),IF(F786="Buy",(E786*G786),((E786*(1-F786))*G786))))</f>
        <v>0</v>
      </c>
      <c r="J786" s="485">
        <f>IF(H786="warranty",0,(I786*(_xlfn.SINGLE(SalesTaxPercentage))))</f>
        <v>0</v>
      </c>
      <c r="K786" s="715">
        <f t="shared" ref="K786" si="597">I786+J786</f>
        <v>0</v>
      </c>
      <c r="L786" s="715"/>
      <c r="M786" s="689" t="str">
        <f ca="1">IF(AND(G786&gt;0,E786=0),"WARNING - no PRICE inserted",IF(H786="free","FREE ~ no charge this plant",IF(H786="credit",CONCATENATE("-$",ROUND(K786*(1-_xlfn.SINGLE(T2GDiscount))*-1,2)," CREDIT after discount"),IF(_xlfn.SINGLE(T2GDiscount)=0,"",IF(G786=0,"",IF(F786="Buy",CONCATENATE("$",ROUND(K786*(1-_xlfn.SINGLE(T2GDiscount)),2)," with ",(_xlfn.SINGLE(T2GDiscount)*100),"% discount"),CONCATENATE("$",ROUND(K786*(1-_xlfn.SINGLE(T2GDiscount)),2)," with ",((_xlfn.SINGLE(T2GDiscount)*100+F786*100)-(_xlfn.SINGLE(T2GDiscount)*100*F786)),IF(F786&gt;0,"% discounts",IF(_xlfn.SINGLE(NoWarrantyDiscount)&gt;0,"% discounts","% discount")))))))))</f>
        <v/>
      </c>
      <c r="N786" s="690"/>
      <c r="O786" s="486"/>
      <c r="P786" s="486"/>
      <c r="Q786" s="486"/>
      <c r="R786" s="486"/>
      <c r="S786" s="486"/>
      <c r="T786" s="102">
        <f t="shared" si="584"/>
        <v>0</v>
      </c>
      <c r="U786" s="78">
        <f>IF(NOT(ISNUMBER(G786)), "", VLOOKUP(A786,'Discount Lookup'!D:E,2,FALSE)*G786)</f>
        <v>0</v>
      </c>
      <c r="V786" s="78">
        <f>IF(NOT(ISNUMBER(G786)), "", VLOOKUP(A786,'Discount Lookup'!G:H,2,FALSE)*G786)</f>
        <v>0</v>
      </c>
      <c r="W786" s="102">
        <f t="shared" si="585"/>
        <v>0</v>
      </c>
      <c r="X786" s="102">
        <f t="shared" si="586"/>
        <v>0</v>
      </c>
      <c r="Y786" s="120" t="b">
        <f t="shared" si="587"/>
        <v>0</v>
      </c>
      <c r="Z786" s="117">
        <f t="shared" si="588"/>
        <v>0</v>
      </c>
      <c r="AA786" s="118"/>
      <c r="AB786" s="118" t="str">
        <f t="shared" si="589"/>
        <v/>
      </c>
      <c r="AC786" s="712" t="str">
        <f>IF(AE786="T2G","no charge",IF(AND(OR(PlanterYesMe="No",PlanterYesMe="N",PlanterYesMe="me"),H786=""),"",IF(H786="credit","NO install",IF(AND(K786="",AE786="me"),"EACH row",IF(AND(K786="images",AE786="me"),"EACH row",IF(D786="","",IF(H786="credit","",IF(AE786="free","re-planting",IF(AE786="me","   not ELP, by",IF(AND(OR(PlanterYesMe="Yes",PlanterYesMe="Y"),G786&gt;0),(VLOOKUP(A786,'Discount Lookup'!J:K,2)*G786*(1-PlanterDiscount)*(1+PlanterDifficultyPercentage)),IF(AE786="ELP",(VLOOKUP(A786,'Discount Lookup'!J:K,2)*G786*(1-PlanterDiscount)*(1+PlanterDifficultyPercentage)),IF(AE786="free","re-planting",IF(G786=0,"",IF(PlanterYesMe="",IF(AE786="me","   not ELP, by",IF(AE786="",IF(G786&gt;0,(VLOOKUP(A786,'Discount Lookup'!J:K,2)*G786*(1-PlanterDiscount)*(1+PlanterDifficultyPercentage)),""),"")),"   not ELP, by"))))))))))))))</f>
        <v/>
      </c>
      <c r="AD786" s="712"/>
      <c r="AE786" s="513" t="str">
        <f t="shared" si="590"/>
        <v/>
      </c>
      <c r="AF786" s="713" t="str">
        <f t="shared" si="591"/>
        <v/>
      </c>
      <c r="AG786" s="713"/>
      <c r="AH786" s="713"/>
      <c r="AI786" s="112">
        <f>IF(H786="credit",0,IF(AE786="free",0,IF(AE786="me",0,IF(G786&gt;0,(VLOOKUP(A786,'Discount Lookup'!J:K,2)*G786),0))))</f>
        <v>0</v>
      </c>
      <c r="AJ786" s="107" t="str">
        <f t="shared" ca="1" si="592"/>
        <v/>
      </c>
      <c r="AK786" s="714" t="str">
        <f t="shared" si="593"/>
        <v/>
      </c>
      <c r="AL786" s="714"/>
      <c r="AM786" s="114" t="str">
        <f t="shared" si="594"/>
        <v/>
      </c>
      <c r="AN786" s="115"/>
      <c r="AO786" s="116"/>
      <c r="AP786" s="116"/>
      <c r="AQ786" s="116"/>
      <c r="AR786" s="116"/>
      <c r="AS786" s="116"/>
      <c r="AT786" s="116"/>
      <c r="AU786" s="116"/>
      <c r="AV786" s="78"/>
      <c r="AW786" s="102"/>
      <c r="AX786" s="78"/>
      <c r="AY786" s="78"/>
      <c r="AZ786" s="78"/>
      <c r="BA786" s="78"/>
      <c r="BB786" s="78"/>
      <c r="BC786" s="78"/>
      <c r="BD786" s="78"/>
      <c r="BE786" s="465"/>
      <c r="BF786" s="165" t="str">
        <f t="shared" si="595"/>
        <v>https://www.google.com/search?tbm=isch&amp;q=15%20G6</v>
      </c>
      <c r="BG786" s="165" t="str">
        <f t="shared" si="596"/>
        <v>C</v>
      </c>
      <c r="BH786" s="65"/>
      <c r="BI786" s="65"/>
      <c r="BJ786" s="65"/>
      <c r="BK786" s="65"/>
      <c r="BL786" s="99"/>
      <c r="BM786" s="99"/>
      <c r="BN786" s="99"/>
    </row>
    <row r="787" spans="1:66" s="51" customFormat="1" ht="17.25" thickBot="1" x14ac:dyDescent="0.3">
      <c r="A787" s="508" t="s">
        <v>1888</v>
      </c>
      <c r="B787" s="487"/>
      <c r="C787" s="707"/>
      <c r="D787" s="487"/>
      <c r="E787" s="487"/>
      <c r="F787" s="488"/>
      <c r="G787" s="489"/>
      <c r="H787" s="487"/>
      <c r="I787" s="490"/>
      <c r="J787" s="490"/>
      <c r="K787" s="491"/>
      <c r="L787" s="547"/>
      <c r="M787" s="528"/>
      <c r="N787" s="492"/>
      <c r="O787" s="493"/>
      <c r="P787" s="494"/>
      <c r="Q787" s="492"/>
      <c r="R787" s="492"/>
      <c r="S787" s="699" t="s">
        <v>5275</v>
      </c>
      <c r="T787" s="102">
        <f t="shared" si="584"/>
        <v>0</v>
      </c>
      <c r="U787" s="78" t="str">
        <f>IF(NOT(ISNUMBER(G787)), "", VLOOKUP(A787,'Discount Lookup'!D:E,2,FALSE)*G787)</f>
        <v/>
      </c>
      <c r="V787" s="78" t="str">
        <f>IF(NOT(ISNUMBER(G787)), "", VLOOKUP(A787,'Discount Lookup'!G:H,2,FALSE)*G787)</f>
        <v/>
      </c>
      <c r="W787" s="102">
        <f t="shared" si="585"/>
        <v>0</v>
      </c>
      <c r="X787" s="102">
        <f t="shared" si="586"/>
        <v>0</v>
      </c>
      <c r="Y787" s="120" t="b">
        <f t="shared" si="587"/>
        <v>0</v>
      </c>
      <c r="Z787" s="117">
        <f t="shared" si="588"/>
        <v>0</v>
      </c>
      <c r="AA787" s="118"/>
      <c r="AB787" s="118" t="str">
        <f t="shared" si="589"/>
        <v/>
      </c>
      <c r="AC787" s="712" t="str">
        <f>IF(AE787="T2G","no charge",IF(AND(OR(PlanterYesMe="No",PlanterYesMe="N",PlanterYesMe="me"),H787=""),"",IF(H787="credit","NO install",IF(AND(K787="",AE787="me"),"EACH row",IF(AND(K787="images",AE787="me"),"EACH row",IF(D787="","",IF(H787="credit","",IF(AE787="free","re-planting",IF(AE787="me","   not ELP, by",IF(AND(OR(PlanterYesMe="Yes",PlanterYesMe="Y"),G787&gt;0),(VLOOKUP(A787,'Discount Lookup'!J:K,2)*G787*(1-PlanterDiscount)*(1+PlanterDifficultyPercentage)),IF(AE787="ELP",(VLOOKUP(A787,'Discount Lookup'!J:K,2)*G787*(1-PlanterDiscount)*(1+PlanterDifficultyPercentage)),IF(AE787="free","re-planting",IF(G787=0,"",IF(PlanterYesMe="",IF(AE787="me","   not ELP, by",IF(AE787="",IF(G787&gt;0,(VLOOKUP(A787,'Discount Lookup'!J:K,2)*G787*(1-PlanterDiscount)*(1+PlanterDifficultyPercentage)),""),"")),"   not ELP, by"))))))))))))))</f>
        <v/>
      </c>
      <c r="AD787" s="712"/>
      <c r="AE787" s="513" t="str">
        <f t="shared" si="590"/>
        <v/>
      </c>
      <c r="AF787" s="713" t="str">
        <f t="shared" si="591"/>
        <v/>
      </c>
      <c r="AG787" s="713"/>
      <c r="AH787" s="713"/>
      <c r="AI787" s="112">
        <f>IF(H787="credit",0,IF(AE787="free",0,IF(AE787="me",0,IF(G787&gt;0,(VLOOKUP(A787,'Discount Lookup'!J:K,2)*G787),0))))</f>
        <v>0</v>
      </c>
      <c r="AJ787" s="107" t="str">
        <f t="shared" ca="1" si="592"/>
        <v/>
      </c>
      <c r="AK787" s="714" t="str">
        <f t="shared" si="593"/>
        <v/>
      </c>
      <c r="AL787" s="714"/>
      <c r="AM787" s="114" t="str">
        <f t="shared" si="594"/>
        <v/>
      </c>
      <c r="AN787" s="115"/>
      <c r="AO787" s="116"/>
      <c r="AP787" s="116"/>
      <c r="AQ787" s="116"/>
      <c r="AR787" s="116"/>
      <c r="AS787" s="116"/>
      <c r="AT787" s="116"/>
      <c r="AU787" s="116"/>
      <c r="AV787" s="78"/>
      <c r="AW787" s="102"/>
      <c r="AX787" s="78"/>
      <c r="AY787" s="78"/>
      <c r="AZ787" s="78"/>
      <c r="BA787" s="78"/>
      <c r="BB787" s="78"/>
      <c r="BC787" s="78"/>
      <c r="BD787" s="78"/>
      <c r="BE787" s="465"/>
      <c r="BF787" s="165" t="str">
        <f t="shared" si="595"/>
        <v>https://www.google.com/search?tbm=isch&amp;q=Winter%E2%80%99s%20Snowman%20features%20fragrant%20blooms%2C%20Wine-Red%20new%20foliage%2C%20and%20exceptional%20cold%20hardiness%20</v>
      </c>
      <c r="BG787" s="165" t="str">
        <f t="shared" si="596"/>
        <v>W</v>
      </c>
      <c r="BH787" s="65"/>
      <c r="BI787" s="65"/>
      <c r="BJ787" s="65"/>
      <c r="BK787" s="65"/>
      <c r="BL787" s="99"/>
      <c r="BM787" s="99"/>
      <c r="BN787" s="99"/>
    </row>
    <row r="788" spans="1:66" s="51" customFormat="1" ht="18" x14ac:dyDescent="0.25">
      <c r="A788" s="507" t="s">
        <v>1889</v>
      </c>
      <c r="B788" s="470"/>
      <c r="C788" s="706"/>
      <c r="D788" s="471" t="s">
        <v>1890</v>
      </c>
      <c r="E788" s="472"/>
      <c r="F788" s="472"/>
      <c r="G788" s="472"/>
      <c r="H788" s="622" t="s">
        <v>330</v>
      </c>
      <c r="I788" s="473" t="s">
        <v>1891</v>
      </c>
      <c r="J788" s="472"/>
      <c r="K788" s="472"/>
      <c r="L788" s="561"/>
      <c r="M788" s="703" t="s">
        <v>5274</v>
      </c>
      <c r="N788" s="692" t="str">
        <f>IF(AND(ISTEXT($A788), ISERROR($A788+0)), HYPERLINK($BF788, "Images"), "")</f>
        <v>Images</v>
      </c>
      <c r="O788" s="694" t="s">
        <v>5247</v>
      </c>
      <c r="P788" s="475"/>
      <c r="Q788" s="476"/>
      <c r="R788" s="476"/>
      <c r="S788" s="477"/>
      <c r="T788" s="102">
        <f t="shared" si="584"/>
        <v>0</v>
      </c>
      <c r="U788" s="78" t="str">
        <f>IF(NOT(ISNUMBER(G788)), "", VLOOKUP(A788,'Discount Lookup'!D:E,2,FALSE)*G788)</f>
        <v/>
      </c>
      <c r="V788" s="78" t="str">
        <f>IF(NOT(ISNUMBER(G788)), "", VLOOKUP(A788,'Discount Lookup'!G:H,2,FALSE)*G788)</f>
        <v/>
      </c>
      <c r="W788" s="102">
        <f t="shared" si="585"/>
        <v>0</v>
      </c>
      <c r="X788" s="102" t="str">
        <f t="shared" si="586"/>
        <v>Maroon-Red bloom</v>
      </c>
      <c r="Y788" s="120" t="b">
        <f t="shared" si="587"/>
        <v>0</v>
      </c>
      <c r="Z788" s="117">
        <f t="shared" si="588"/>
        <v>0</v>
      </c>
      <c r="AA788" s="118"/>
      <c r="AB788" s="118" t="str">
        <f t="shared" si="589"/>
        <v/>
      </c>
      <c r="AC788" s="712" t="str">
        <f>IF(AE788="T2G","no charge",IF(AND(OR(PlanterYesMe="No",PlanterYesMe="N",PlanterYesMe="me"),H788=""),"",IF(H788="credit","NO install",IF(AND(K788="",AE788="me"),"EACH row",IF(AND(K788="images",AE788="me"),"EACH row",IF(D788="","",IF(H788="credit","",IF(AE788="free","re-planting",IF(AE788="me","   not ELP, by",IF(AND(OR(PlanterYesMe="Yes",PlanterYesMe="Y"),G788&gt;0),(VLOOKUP(A788,'Discount Lookup'!J:K,2)*G788*(1-PlanterDiscount)*(1+PlanterDifficultyPercentage)),IF(AE788="ELP",(VLOOKUP(A788,'Discount Lookup'!J:K,2)*G788*(1-PlanterDiscount)*(1+PlanterDifficultyPercentage)),IF(AE788="free","re-planting",IF(G788=0,"",IF(PlanterYesMe="",IF(AE788="me","   not ELP, by",IF(AE788="",IF(G788&gt;0,(VLOOKUP(A788,'Discount Lookup'!J:K,2)*G788*(1-PlanterDiscount)*(1+PlanterDifficultyPercentage)),""),"")),"   not ELP, by"))))))))))))))</f>
        <v/>
      </c>
      <c r="AD788" s="712"/>
      <c r="AE788" s="513" t="str">
        <f t="shared" si="590"/>
        <v/>
      </c>
      <c r="AF788" s="713" t="str">
        <f t="shared" si="591"/>
        <v/>
      </c>
      <c r="AG788" s="713"/>
      <c r="AH788" s="713"/>
      <c r="AI788" s="112">
        <f>IF(H788="credit",0,IF(AE788="free",0,IF(AE788="me",0,IF(G788&gt;0,(VLOOKUP(A788,'Discount Lookup'!J:K,2)*G788),0))))</f>
        <v>0</v>
      </c>
      <c r="AJ788" s="107" t="str">
        <f t="shared" ca="1" si="592"/>
        <v/>
      </c>
      <c r="AK788" s="714" t="str">
        <f t="shared" si="593"/>
        <v/>
      </c>
      <c r="AL788" s="714"/>
      <c r="AM788" s="114" t="str">
        <f t="shared" si="594"/>
        <v/>
      </c>
      <c r="AN788" s="115"/>
      <c r="AO788" s="116"/>
      <c r="AP788" s="116"/>
      <c r="AQ788" s="116"/>
      <c r="AR788" s="116"/>
      <c r="AS788" s="116"/>
      <c r="AT788" s="116"/>
      <c r="AU788" s="116"/>
      <c r="AV788" s="78"/>
      <c r="AW788" s="102"/>
      <c r="AX788" s="78"/>
      <c r="AY788" s="78"/>
      <c r="AZ788" s="78"/>
      <c r="BA788" s="78"/>
      <c r="BB788" s="78"/>
      <c r="BC788" s="78"/>
      <c r="BD788" s="78"/>
      <c r="BE788" s="465"/>
      <c r="BF788" s="165" t="str">
        <f t="shared" si="595"/>
        <v>https://www.google.com/search?tbm=isch&amp;q=Camellia%20x%20%27Maroon%20Mist%27%20Maroon%20Mist%20Camellia</v>
      </c>
      <c r="BG788" s="165" t="str">
        <f t="shared" si="596"/>
        <v>C</v>
      </c>
      <c r="BH788" s="65"/>
      <c r="BI788" s="65"/>
      <c r="BJ788" s="65"/>
      <c r="BK788" s="65"/>
      <c r="BL788" s="99"/>
      <c r="BM788" s="99"/>
      <c r="BN788" s="99"/>
    </row>
    <row r="789" spans="1:66" s="51" customFormat="1" ht="27" x14ac:dyDescent="0.25">
      <c r="A789" s="478">
        <v>7</v>
      </c>
      <c r="B789" s="479" t="s">
        <v>291</v>
      </c>
      <c r="C789" s="480" t="s">
        <v>1892</v>
      </c>
      <c r="D789" s="481" t="s">
        <v>299</v>
      </c>
      <c r="E789" s="482">
        <v>104.95</v>
      </c>
      <c r="F789" s="483" t="s">
        <v>292</v>
      </c>
      <c r="G789" s="484">
        <v>0</v>
      </c>
      <c r="H789" s="688" t="str">
        <f>IF(G789=0,"",IF(F789="Buy",IF(G789=1,"plant","plants"),IF(F789&gt;0.01,"warranty","Error")))</f>
        <v/>
      </c>
      <c r="I789" s="485">
        <f>IF(H789="free",0,IF(H789="credit",((E789*(F789))*G789*-1),IF(F789="Buy",(E789*G789),((E789*(1-F789))*G789))))</f>
        <v>0</v>
      </c>
      <c r="J789" s="485">
        <f>IF(H789="warranty",0,(I789*(_xlfn.SINGLE(SalesTaxPercentage))))</f>
        <v>0</v>
      </c>
      <c r="K789" s="715">
        <f t="shared" ref="K789" si="598">I789+J789</f>
        <v>0</v>
      </c>
      <c r="L789" s="715"/>
      <c r="M789" s="689" t="str">
        <f ca="1">IF(AND(G789&gt;0,E789=0),"WARNING - no PRICE inserted",IF(H789="free","FREE ~ no charge this plant",IF(H789="credit",CONCATENATE("-$",ROUND(K789*(1-_xlfn.SINGLE(T2GDiscount))*-1,2)," CREDIT after discount"),IF(_xlfn.SINGLE(T2GDiscount)=0,"",IF(G789=0,"",IF(F789="Buy",CONCATENATE("$",ROUND(K789*(1-_xlfn.SINGLE(T2GDiscount)),2)," with ",(_xlfn.SINGLE(T2GDiscount)*100),"% discount"),CONCATENATE("$",ROUND(K789*(1-_xlfn.SINGLE(T2GDiscount)),2)," with ",((_xlfn.SINGLE(T2GDiscount)*100+F789*100)-(_xlfn.SINGLE(T2GDiscount)*100*F789)),IF(F789&gt;0,"% discounts",IF(_xlfn.SINGLE(NoWarrantyDiscount)&gt;0,"% discounts","% discount")))))))))</f>
        <v/>
      </c>
      <c r="N789" s="690"/>
      <c r="O789" s="486"/>
      <c r="P789" s="486"/>
      <c r="Q789" s="486"/>
      <c r="R789" s="486"/>
      <c r="S789" s="486"/>
      <c r="T789" s="102">
        <f t="shared" si="584"/>
        <v>0</v>
      </c>
      <c r="U789" s="78">
        <f>IF(NOT(ISNUMBER(G789)), "", VLOOKUP(A789,'Discount Lookup'!D:E,2,FALSE)*G789)</f>
        <v>0</v>
      </c>
      <c r="V789" s="78">
        <f>IF(NOT(ISNUMBER(G789)), "", VLOOKUP(A789,'Discount Lookup'!G:H,2,FALSE)*G789)</f>
        <v>0</v>
      </c>
      <c r="W789" s="102">
        <f t="shared" si="585"/>
        <v>0</v>
      </c>
      <c r="X789" s="102">
        <f t="shared" si="586"/>
        <v>0</v>
      </c>
      <c r="Y789" s="120" t="b">
        <f t="shared" si="587"/>
        <v>0</v>
      </c>
      <c r="Z789" s="117">
        <f t="shared" si="588"/>
        <v>0</v>
      </c>
      <c r="AA789" s="118"/>
      <c r="AB789" s="118" t="str">
        <f t="shared" si="589"/>
        <v/>
      </c>
      <c r="AC789" s="712" t="str">
        <f>IF(AE789="T2G","no charge",IF(AND(OR(PlanterYesMe="No",PlanterYesMe="N",PlanterYesMe="me"),H789=""),"",IF(H789="credit","NO install",IF(AND(K789="",AE789="me"),"EACH row",IF(AND(K789="images",AE789="me"),"EACH row",IF(D789="","",IF(H789="credit","",IF(AE789="free","re-planting",IF(AE789="me","   not ELP, by",IF(AND(OR(PlanterYesMe="Yes",PlanterYesMe="Y"),G789&gt;0),(VLOOKUP(A789,'Discount Lookup'!J:K,2)*G789*(1-PlanterDiscount)*(1+PlanterDifficultyPercentage)),IF(AE789="ELP",(VLOOKUP(A789,'Discount Lookup'!J:K,2)*G789*(1-PlanterDiscount)*(1+PlanterDifficultyPercentage)),IF(AE789="free","re-planting",IF(G789=0,"",IF(PlanterYesMe="",IF(AE789="me","   not ELP, by",IF(AE789="",IF(G789&gt;0,(VLOOKUP(A789,'Discount Lookup'!J:K,2)*G789*(1-PlanterDiscount)*(1+PlanterDifficultyPercentage)),""),"")),"   not ELP, by"))))))))))))))</f>
        <v/>
      </c>
      <c r="AD789" s="712"/>
      <c r="AE789" s="513" t="str">
        <f t="shared" si="590"/>
        <v/>
      </c>
      <c r="AF789" s="713" t="str">
        <f t="shared" si="591"/>
        <v/>
      </c>
      <c r="AG789" s="713"/>
      <c r="AH789" s="713"/>
      <c r="AI789" s="112">
        <f>IF(H789="credit",0,IF(AE789="free",0,IF(AE789="me",0,IF(G789&gt;0,(VLOOKUP(A789,'Discount Lookup'!J:K,2)*G789),0))))</f>
        <v>0</v>
      </c>
      <c r="AJ789" s="107" t="str">
        <f t="shared" ca="1" si="592"/>
        <v/>
      </c>
      <c r="AK789" s="714" t="str">
        <f t="shared" si="593"/>
        <v/>
      </c>
      <c r="AL789" s="714"/>
      <c r="AM789" s="114" t="str">
        <f t="shared" si="594"/>
        <v/>
      </c>
      <c r="AN789" s="115"/>
      <c r="AO789" s="116"/>
      <c r="AP789" s="116"/>
      <c r="AQ789" s="116"/>
      <c r="AR789" s="116"/>
      <c r="AS789" s="116"/>
      <c r="AT789" s="116"/>
      <c r="AU789" s="116"/>
      <c r="AV789" s="78"/>
      <c r="AW789" s="102"/>
      <c r="AX789" s="78"/>
      <c r="AY789" s="78"/>
      <c r="AZ789" s="78"/>
      <c r="BA789" s="78"/>
      <c r="BB789" s="78"/>
      <c r="BC789" s="78"/>
      <c r="BD789" s="78"/>
      <c r="BE789" s="465"/>
      <c r="BF789" s="165" t="str">
        <f t="shared" si="595"/>
        <v>https://www.google.com/search?tbm=isch&amp;q=7%20G4</v>
      </c>
      <c r="BG789" s="165" t="str">
        <f t="shared" si="596"/>
        <v>C</v>
      </c>
      <c r="BH789" s="65"/>
      <c r="BI789" s="65"/>
      <c r="BJ789" s="65"/>
      <c r="BK789" s="65"/>
      <c r="BL789" s="99"/>
      <c r="BM789" s="99"/>
      <c r="BN789" s="99"/>
    </row>
    <row r="790" spans="1:66" s="51" customFormat="1" ht="17.25" thickBot="1" x14ac:dyDescent="0.3">
      <c r="A790" s="508" t="s">
        <v>1893</v>
      </c>
      <c r="B790" s="487"/>
      <c r="C790" s="707"/>
      <c r="D790" s="487"/>
      <c r="E790" s="487"/>
      <c r="F790" s="488"/>
      <c r="G790" s="489"/>
      <c r="H790" s="487"/>
      <c r="I790" s="490"/>
      <c r="J790" s="490"/>
      <c r="K790" s="491"/>
      <c r="L790" s="547"/>
      <c r="M790" s="528"/>
      <c r="N790" s="492"/>
      <c r="O790" s="493"/>
      <c r="P790" s="494"/>
      <c r="Q790" s="492"/>
      <c r="R790" s="492"/>
      <c r="S790" s="699" t="s">
        <v>5275</v>
      </c>
      <c r="T790" s="102">
        <f t="shared" si="584"/>
        <v>0</v>
      </c>
      <c r="U790" s="78" t="str">
        <f>IF(NOT(ISNUMBER(G790)), "", VLOOKUP(A790,'Discount Lookup'!D:E,2,FALSE)*G790)</f>
        <v/>
      </c>
      <c r="V790" s="78" t="str">
        <f>IF(NOT(ISNUMBER(G790)), "", VLOOKUP(A790,'Discount Lookup'!G:H,2,FALSE)*G790)</f>
        <v/>
      </c>
      <c r="W790" s="102">
        <f t="shared" si="585"/>
        <v>0</v>
      </c>
      <c r="X790" s="102">
        <f t="shared" si="586"/>
        <v>0</v>
      </c>
      <c r="Y790" s="120" t="b">
        <f t="shared" si="587"/>
        <v>0</v>
      </c>
      <c r="Z790" s="117">
        <f t="shared" si="588"/>
        <v>0</v>
      </c>
      <c r="AA790" s="118"/>
      <c r="AB790" s="118" t="str">
        <f t="shared" si="589"/>
        <v/>
      </c>
      <c r="AC790" s="712" t="str">
        <f>IF(AE790="T2G","no charge",IF(AND(OR(PlanterYesMe="No",PlanterYesMe="N",PlanterYesMe="me"),H790=""),"",IF(H790="credit","NO install",IF(AND(K790="",AE790="me"),"EACH row",IF(AND(K790="images",AE790="me"),"EACH row",IF(D790="","",IF(H790="credit","",IF(AE790="free","re-planting",IF(AE790="me","   not ELP, by",IF(AND(OR(PlanterYesMe="Yes",PlanterYesMe="Y"),G790&gt;0),(VLOOKUP(A790,'Discount Lookup'!J:K,2)*G790*(1-PlanterDiscount)*(1+PlanterDifficultyPercentage)),IF(AE790="ELP",(VLOOKUP(A790,'Discount Lookup'!J:K,2)*G790*(1-PlanterDiscount)*(1+PlanterDifficultyPercentage)),IF(AE790="free","re-planting",IF(G790=0,"",IF(PlanterYesMe="",IF(AE790="me","   not ELP, by",IF(AE790="",IF(G790&gt;0,(VLOOKUP(A790,'Discount Lookup'!J:K,2)*G790*(1-PlanterDiscount)*(1+PlanterDifficultyPercentage)),""),"")),"   not ELP, by"))))))))))))))</f>
        <v/>
      </c>
      <c r="AD790" s="712"/>
      <c r="AE790" s="513" t="str">
        <f t="shared" si="590"/>
        <v/>
      </c>
      <c r="AF790" s="713" t="str">
        <f t="shared" si="591"/>
        <v/>
      </c>
      <c r="AG790" s="713"/>
      <c r="AH790" s="713"/>
      <c r="AI790" s="112">
        <f>IF(H790="credit",0,IF(AE790="free",0,IF(AE790="me",0,IF(G790&gt;0,(VLOOKUP(A790,'Discount Lookup'!J:K,2)*G790),0))))</f>
        <v>0</v>
      </c>
      <c r="AJ790" s="107" t="str">
        <f t="shared" ca="1" si="592"/>
        <v/>
      </c>
      <c r="AK790" s="714" t="str">
        <f t="shared" si="593"/>
        <v/>
      </c>
      <c r="AL790" s="714"/>
      <c r="AM790" s="114" t="str">
        <f t="shared" si="594"/>
        <v/>
      </c>
      <c r="AN790" s="115"/>
      <c r="AO790" s="116"/>
      <c r="AP790" s="116"/>
      <c r="AQ790" s="116"/>
      <c r="AR790" s="116"/>
      <c r="AS790" s="116"/>
      <c r="AT790" s="116"/>
      <c r="AU790" s="116"/>
      <c r="AV790" s="78"/>
      <c r="AW790" s="102"/>
      <c r="AX790" s="78"/>
      <c r="AY790" s="78"/>
      <c r="AZ790" s="78"/>
      <c r="BA790" s="78"/>
      <c r="BB790" s="78"/>
      <c r="BC790" s="78"/>
      <c r="BD790" s="78"/>
      <c r="BE790" s="465"/>
      <c r="BF790" s="165" t="str">
        <f t="shared" si="595"/>
        <v>https://www.google.com/search?tbm=isch&amp;q=Maroon%20Mist%20has%20single%20to%20semi-double%20blooms%20with%20bright%20Golden%20centers%20atop%20glossy%20evergreen%20foliage.%20Early%20spring%20bloom%20</v>
      </c>
      <c r="BG790" s="165" t="str">
        <f t="shared" si="596"/>
        <v>M</v>
      </c>
      <c r="BH790" s="65"/>
      <c r="BI790" s="65"/>
      <c r="BJ790" s="65"/>
      <c r="BK790" s="65"/>
      <c r="BL790" s="99"/>
      <c r="BM790" s="99"/>
      <c r="BN790" s="99"/>
    </row>
    <row r="791" spans="1:66" s="51" customFormat="1" ht="18" x14ac:dyDescent="0.25">
      <c r="A791" s="507" t="s">
        <v>1894</v>
      </c>
      <c r="B791" s="470"/>
      <c r="C791" s="706"/>
      <c r="D791" s="471" t="s">
        <v>1895</v>
      </c>
      <c r="E791" s="472"/>
      <c r="F791" s="472"/>
      <c r="G791" s="472"/>
      <c r="H791" s="622" t="s">
        <v>1246</v>
      </c>
      <c r="I791" s="473" t="s">
        <v>1896</v>
      </c>
      <c r="J791" s="472"/>
      <c r="K791" s="472"/>
      <c r="L791" s="561"/>
      <c r="M791" s="703" t="s">
        <v>5274</v>
      </c>
      <c r="N791" s="692" t="str">
        <f>IF(AND(ISTEXT($A791), ISERROR($A791+0)), HYPERLINK($BF791, "Images"), "")</f>
        <v>Images</v>
      </c>
      <c r="O791" s="694" t="s">
        <v>5247</v>
      </c>
      <c r="P791" s="475"/>
      <c r="Q791" s="476"/>
      <c r="R791" s="476"/>
      <c r="S791" s="477"/>
      <c r="T791" s="102">
        <f t="shared" si="584"/>
        <v>0</v>
      </c>
      <c r="U791" s="78" t="str">
        <f>IF(NOT(ISNUMBER(G791)), "", VLOOKUP(A791,'Discount Lookup'!D:E,2,FALSE)*G791)</f>
        <v/>
      </c>
      <c r="V791" s="78" t="str">
        <f>IF(NOT(ISNUMBER(G791)), "", VLOOKUP(A791,'Discount Lookup'!G:H,2,FALSE)*G791)</f>
        <v/>
      </c>
      <c r="W791" s="102">
        <f t="shared" si="585"/>
        <v>0</v>
      </c>
      <c r="X791" s="102" t="str">
        <f t="shared" si="586"/>
        <v>Pink bloom, Yellow stamen</v>
      </c>
      <c r="Y791" s="120" t="b">
        <f t="shared" si="587"/>
        <v>0</v>
      </c>
      <c r="Z791" s="117">
        <f t="shared" si="588"/>
        <v>0</v>
      </c>
      <c r="AA791" s="118"/>
      <c r="AB791" s="118" t="str">
        <f t="shared" si="589"/>
        <v/>
      </c>
      <c r="AC791" s="712" t="str">
        <f>IF(AE791="T2G","no charge",IF(AND(OR(PlanterYesMe="No",PlanterYesMe="N",PlanterYesMe="me"),H791=""),"",IF(H791="credit","NO install",IF(AND(K791="",AE791="me"),"EACH row",IF(AND(K791="images",AE791="me"),"EACH row",IF(D791="","",IF(H791="credit","",IF(AE791="free","re-planting",IF(AE791="me","   not ELP, by",IF(AND(OR(PlanterYesMe="Yes",PlanterYesMe="Y"),G791&gt;0),(VLOOKUP(A791,'Discount Lookup'!J:K,2)*G791*(1-PlanterDiscount)*(1+PlanterDifficultyPercentage)),IF(AE791="ELP",(VLOOKUP(A791,'Discount Lookup'!J:K,2)*G791*(1-PlanterDiscount)*(1+PlanterDifficultyPercentage)),IF(AE791="free","re-planting",IF(G791=0,"",IF(PlanterYesMe="",IF(AE791="me","   not ELP, by",IF(AE791="",IF(G791&gt;0,(VLOOKUP(A791,'Discount Lookup'!J:K,2)*G791*(1-PlanterDiscount)*(1+PlanterDifficultyPercentage)),""),"")),"   not ELP, by"))))))))))))))</f>
        <v/>
      </c>
      <c r="AD791" s="712"/>
      <c r="AE791" s="513" t="str">
        <f t="shared" si="590"/>
        <v/>
      </c>
      <c r="AF791" s="713" t="str">
        <f t="shared" si="591"/>
        <v/>
      </c>
      <c r="AG791" s="713"/>
      <c r="AH791" s="713"/>
      <c r="AI791" s="112">
        <f>IF(H791="credit",0,IF(AE791="free",0,IF(AE791="me",0,IF(G791&gt;0,(VLOOKUP(A791,'Discount Lookup'!J:K,2)*G791),0))))</f>
        <v>0</v>
      </c>
      <c r="AJ791" s="107" t="str">
        <f t="shared" ca="1" si="592"/>
        <v/>
      </c>
      <c r="AK791" s="714" t="str">
        <f t="shared" si="593"/>
        <v/>
      </c>
      <c r="AL791" s="714"/>
      <c r="AM791" s="114" t="str">
        <f t="shared" si="594"/>
        <v/>
      </c>
      <c r="AN791" s="115"/>
      <c r="AO791" s="116"/>
      <c r="AP791" s="116"/>
      <c r="AQ791" s="116"/>
      <c r="AR791" s="116"/>
      <c r="AS791" s="116"/>
      <c r="AT791" s="116"/>
      <c r="AU791" s="116"/>
      <c r="AV791" s="78"/>
      <c r="AW791" s="102"/>
      <c r="AX791" s="78"/>
      <c r="AY791" s="78"/>
      <c r="AZ791" s="78"/>
      <c r="BA791" s="78"/>
      <c r="BB791" s="78"/>
      <c r="BC791" s="78"/>
      <c r="BD791" s="78"/>
      <c r="BE791" s="465"/>
      <c r="BF791" s="165" t="str">
        <f t="shared" si="595"/>
        <v>https://www.google.com/search?tbm=isch&amp;q=Camellia%20x%20vernalis%20%27Christmas%20Candy%27%20Christmas%20Candy%20Camellia</v>
      </c>
      <c r="BG791" s="165" t="str">
        <f t="shared" si="596"/>
        <v>C</v>
      </c>
      <c r="BH791" s="65"/>
      <c r="BI791" s="65"/>
      <c r="BJ791" s="65"/>
      <c r="BK791" s="65"/>
      <c r="BL791" s="99"/>
      <c r="BM791" s="99"/>
      <c r="BN791" s="99"/>
    </row>
    <row r="792" spans="1:66" s="51" customFormat="1" ht="15.75" x14ac:dyDescent="0.25">
      <c r="A792" s="478">
        <v>7</v>
      </c>
      <c r="B792" s="479" t="s">
        <v>291</v>
      </c>
      <c r="C792" s="480" t="s">
        <v>5144</v>
      </c>
      <c r="D792" s="481" t="s">
        <v>299</v>
      </c>
      <c r="E792" s="482">
        <v>104.95</v>
      </c>
      <c r="F792" s="483" t="s">
        <v>292</v>
      </c>
      <c r="G792" s="484">
        <v>0</v>
      </c>
      <c r="H792" s="688" t="str">
        <f>IF(G792=0,"",IF(F792="Buy",IF(G792=1,"plant","plants"),IF(F792&gt;0.01,"warranty","Error")))</f>
        <v/>
      </c>
      <c r="I792" s="485">
        <f>IF(H792="free",0,IF(H792="credit",((E792*(F792))*G792*-1),IF(F792="Buy",(E792*G792),((E792*(1-F792))*G792))))</f>
        <v>0</v>
      </c>
      <c r="J792" s="485">
        <f>IF(H792="warranty",0,(I792*(_xlfn.SINGLE(SalesTaxPercentage))))</f>
        <v>0</v>
      </c>
      <c r="K792" s="715">
        <f t="shared" ref="K792" si="599">I792+J792</f>
        <v>0</v>
      </c>
      <c r="L792" s="715"/>
      <c r="M792" s="689" t="str">
        <f ca="1">IF(AND(G792&gt;0,E792=0),"WARNING - no PRICE inserted",IF(H792="free","FREE ~ no charge this plant",IF(H792="credit",CONCATENATE("-$",ROUND(K792*(1-_xlfn.SINGLE(T2GDiscount))*-1,2)," CREDIT after discount"),IF(_xlfn.SINGLE(T2GDiscount)=0,"",IF(G792=0,"",IF(F792="Buy",CONCATENATE("$",ROUND(K792*(1-_xlfn.SINGLE(T2GDiscount)),2)," with ",(_xlfn.SINGLE(T2GDiscount)*100),"% discount"),CONCATENATE("$",ROUND(K792*(1-_xlfn.SINGLE(T2GDiscount)),2)," with ",((_xlfn.SINGLE(T2GDiscount)*100+F792*100)-(_xlfn.SINGLE(T2GDiscount)*100*F792)),IF(F792&gt;0,"% discounts",IF(_xlfn.SINGLE(NoWarrantyDiscount)&gt;0,"% discounts","% discount")))))))))</f>
        <v/>
      </c>
      <c r="N792" s="690"/>
      <c r="O792" s="486"/>
      <c r="P792" s="486"/>
      <c r="Q792" s="486"/>
      <c r="R792" s="486"/>
      <c r="S792" s="486"/>
      <c r="T792" s="102">
        <f t="shared" si="584"/>
        <v>0</v>
      </c>
      <c r="U792" s="78">
        <f>IF(NOT(ISNUMBER(G792)), "", VLOOKUP(A792,'Discount Lookup'!D:E,2,FALSE)*G792)</f>
        <v>0</v>
      </c>
      <c r="V792" s="78">
        <f>IF(NOT(ISNUMBER(G792)), "", VLOOKUP(A792,'Discount Lookup'!G:H,2,FALSE)*G792)</f>
        <v>0</v>
      </c>
      <c r="W792" s="102">
        <f t="shared" si="585"/>
        <v>0</v>
      </c>
      <c r="X792" s="102">
        <f t="shared" si="586"/>
        <v>0</v>
      </c>
      <c r="Y792" s="120" t="b">
        <f t="shared" si="587"/>
        <v>0</v>
      </c>
      <c r="Z792" s="117">
        <f t="shared" si="588"/>
        <v>0</v>
      </c>
      <c r="AA792" s="118"/>
      <c r="AB792" s="118" t="str">
        <f t="shared" si="589"/>
        <v/>
      </c>
      <c r="AC792" s="712" t="str">
        <f>IF(AE792="T2G","no charge",IF(AND(OR(PlanterYesMe="No",PlanterYesMe="N",PlanterYesMe="me"),H792=""),"",IF(H792="credit","NO install",IF(AND(K792="",AE792="me"),"EACH row",IF(AND(K792="images",AE792="me"),"EACH row",IF(D792="","",IF(H792="credit","",IF(AE792="free","re-planting",IF(AE792="me","   not ELP, by",IF(AND(OR(PlanterYesMe="Yes",PlanterYesMe="Y"),G792&gt;0),(VLOOKUP(A792,'Discount Lookup'!J:K,2)*G792*(1-PlanterDiscount)*(1+PlanterDifficultyPercentage)),IF(AE792="ELP",(VLOOKUP(A792,'Discount Lookup'!J:K,2)*G792*(1-PlanterDiscount)*(1+PlanterDifficultyPercentage)),IF(AE792="free","re-planting",IF(G792=0,"",IF(PlanterYesMe="",IF(AE792="me","   not ELP, by",IF(AE792="",IF(G792&gt;0,(VLOOKUP(A792,'Discount Lookup'!J:K,2)*G792*(1-PlanterDiscount)*(1+PlanterDifficultyPercentage)),""),"")),"   not ELP, by"))))))))))))))</f>
        <v/>
      </c>
      <c r="AD792" s="712"/>
      <c r="AE792" s="513" t="str">
        <f t="shared" si="590"/>
        <v/>
      </c>
      <c r="AF792" s="713" t="str">
        <f t="shared" si="591"/>
        <v/>
      </c>
      <c r="AG792" s="713"/>
      <c r="AH792" s="713"/>
      <c r="AI792" s="112">
        <f>IF(H792="credit",0,IF(AE792="free",0,IF(AE792="me",0,IF(G792&gt;0,(VLOOKUP(A792,'Discount Lookup'!J:K,2)*G792),0))))</f>
        <v>0</v>
      </c>
      <c r="AJ792" s="107" t="str">
        <f t="shared" ca="1" si="592"/>
        <v/>
      </c>
      <c r="AK792" s="714" t="str">
        <f t="shared" si="593"/>
        <v/>
      </c>
      <c r="AL792" s="714"/>
      <c r="AM792" s="114" t="str">
        <f t="shared" si="594"/>
        <v/>
      </c>
      <c r="AN792" s="115"/>
      <c r="AO792" s="116"/>
      <c r="AP792" s="116"/>
      <c r="AQ792" s="116"/>
      <c r="AR792" s="116"/>
      <c r="AS792" s="116"/>
      <c r="AT792" s="116"/>
      <c r="AU792" s="116"/>
      <c r="AV792" s="78"/>
      <c r="AW792" s="102"/>
      <c r="AX792" s="78"/>
      <c r="AY792" s="78"/>
      <c r="AZ792" s="78"/>
      <c r="BA792" s="78"/>
      <c r="BB792" s="78"/>
      <c r="BC792" s="78"/>
      <c r="BD792" s="78"/>
      <c r="BE792" s="465"/>
      <c r="BF792" s="165" t="str">
        <f t="shared" si="595"/>
        <v>https://www.google.com/search?tbm=isch&amp;q=7%20G4</v>
      </c>
      <c r="BG792" s="165" t="str">
        <f t="shared" si="596"/>
        <v>C</v>
      </c>
      <c r="BH792" s="65"/>
      <c r="BI792" s="65"/>
      <c r="BJ792" s="65"/>
      <c r="BK792" s="65"/>
      <c r="BL792" s="99"/>
      <c r="BM792" s="99"/>
      <c r="BN792" s="99"/>
    </row>
    <row r="793" spans="1:66" s="51" customFormat="1" ht="17.25" thickBot="1" x14ac:dyDescent="0.3">
      <c r="A793" s="508" t="s">
        <v>1897</v>
      </c>
      <c r="B793" s="487"/>
      <c r="C793" s="707"/>
      <c r="D793" s="487"/>
      <c r="E793" s="487"/>
      <c r="F793" s="488"/>
      <c r="G793" s="489"/>
      <c r="H793" s="487"/>
      <c r="I793" s="490"/>
      <c r="J793" s="490"/>
      <c r="K793" s="491"/>
      <c r="L793" s="547"/>
      <c r="M793" s="528"/>
      <c r="N793" s="492"/>
      <c r="O793" s="493"/>
      <c r="P793" s="494"/>
      <c r="Q793" s="492"/>
      <c r="R793" s="492"/>
      <c r="S793" s="699" t="s">
        <v>5275</v>
      </c>
      <c r="T793" s="102">
        <f t="shared" si="584"/>
        <v>0</v>
      </c>
      <c r="U793" s="78" t="str">
        <f>IF(NOT(ISNUMBER(G793)), "", VLOOKUP(A793,'Discount Lookup'!D:E,2,FALSE)*G793)</f>
        <v/>
      </c>
      <c r="V793" s="78" t="str">
        <f>IF(NOT(ISNUMBER(G793)), "", VLOOKUP(A793,'Discount Lookup'!G:H,2,FALSE)*G793)</f>
        <v/>
      </c>
      <c r="W793" s="102">
        <f t="shared" si="585"/>
        <v>0</v>
      </c>
      <c r="X793" s="102">
        <f t="shared" si="586"/>
        <v>0</v>
      </c>
      <c r="Y793" s="120" t="b">
        <f t="shared" si="587"/>
        <v>0</v>
      </c>
      <c r="Z793" s="117">
        <f t="shared" si="588"/>
        <v>0</v>
      </c>
      <c r="AA793" s="118"/>
      <c r="AB793" s="118" t="str">
        <f t="shared" si="589"/>
        <v/>
      </c>
      <c r="AC793" s="712" t="str">
        <f>IF(AE793="T2G","no charge",IF(AND(OR(PlanterYesMe="No",PlanterYesMe="N",PlanterYesMe="me"),H793=""),"",IF(H793="credit","NO install",IF(AND(K793="",AE793="me"),"EACH row",IF(AND(K793="images",AE793="me"),"EACH row",IF(D793="","",IF(H793="credit","",IF(AE793="free","re-planting",IF(AE793="me","   not ELP, by",IF(AND(OR(PlanterYesMe="Yes",PlanterYesMe="Y"),G793&gt;0),(VLOOKUP(A793,'Discount Lookup'!J:K,2)*G793*(1-PlanterDiscount)*(1+PlanterDifficultyPercentage)),IF(AE793="ELP",(VLOOKUP(A793,'Discount Lookup'!J:K,2)*G793*(1-PlanterDiscount)*(1+PlanterDifficultyPercentage)),IF(AE793="free","re-planting",IF(G793=0,"",IF(PlanterYesMe="",IF(AE793="me","   not ELP, by",IF(AE793="",IF(G793&gt;0,(VLOOKUP(A793,'Discount Lookup'!J:K,2)*G793*(1-PlanterDiscount)*(1+PlanterDifficultyPercentage)),""),"")),"   not ELP, by"))))))))))))))</f>
        <v/>
      </c>
      <c r="AD793" s="712"/>
      <c r="AE793" s="513" t="str">
        <f t="shared" si="590"/>
        <v/>
      </c>
      <c r="AF793" s="713" t="str">
        <f t="shared" si="591"/>
        <v/>
      </c>
      <c r="AG793" s="713"/>
      <c r="AH793" s="713"/>
      <c r="AI793" s="112">
        <f>IF(H793="credit",0,IF(AE793="free",0,IF(AE793="me",0,IF(G793&gt;0,(VLOOKUP(A793,'Discount Lookup'!J:K,2)*G793),0))))</f>
        <v>0</v>
      </c>
      <c r="AJ793" s="107" t="str">
        <f t="shared" ca="1" si="592"/>
        <v/>
      </c>
      <c r="AK793" s="714" t="str">
        <f t="shared" si="593"/>
        <v/>
      </c>
      <c r="AL793" s="714"/>
      <c r="AM793" s="114" t="str">
        <f t="shared" si="594"/>
        <v/>
      </c>
      <c r="AN793" s="115"/>
      <c r="AO793" s="116"/>
      <c r="AP793" s="116"/>
      <c r="AQ793" s="116"/>
      <c r="AR793" s="116"/>
      <c r="AS793" s="116"/>
      <c r="AT793" s="116"/>
      <c r="AU793" s="116"/>
      <c r="AV793" s="78"/>
      <c r="AW793" s="102"/>
      <c r="AX793" s="78"/>
      <c r="AY793" s="78"/>
      <c r="AZ793" s="78"/>
      <c r="BA793" s="78"/>
      <c r="BB793" s="78"/>
      <c r="BC793" s="78"/>
      <c r="BD793" s="78"/>
      <c r="BE793" s="465"/>
      <c r="BF793" s="165" t="str">
        <f t="shared" si="595"/>
        <v>https://www.google.com/search?tbm=isch&amp;q=Christmas%20Candy%20dazzles%20with%20abundant%20winter%20blooms%20and%20variable%20picotee%20edges%2C%20carpeting%20the%20ground%20with%20petals%20</v>
      </c>
      <c r="BG793" s="165" t="str">
        <f t="shared" si="596"/>
        <v>C</v>
      </c>
      <c r="BH793" s="65"/>
      <c r="BI793" s="65"/>
      <c r="BJ793" s="65"/>
      <c r="BK793" s="65"/>
      <c r="BL793" s="99"/>
      <c r="BM793" s="99"/>
      <c r="BN793" s="99"/>
    </row>
    <row r="794" spans="1:66" s="51" customFormat="1" ht="18" x14ac:dyDescent="0.25">
      <c r="A794" s="507" t="s">
        <v>1898</v>
      </c>
      <c r="B794" s="470"/>
      <c r="C794" s="706"/>
      <c r="D794" s="471" t="s">
        <v>5612</v>
      </c>
      <c r="E794" s="472"/>
      <c r="F794" s="472"/>
      <c r="G794" s="472"/>
      <c r="H794" s="622" t="s">
        <v>1657</v>
      </c>
      <c r="I794" s="473" t="s">
        <v>1899</v>
      </c>
      <c r="J794" s="472"/>
      <c r="K794" s="472"/>
      <c r="L794" s="561"/>
      <c r="M794" s="698" t="s">
        <v>5246</v>
      </c>
      <c r="N794" s="692" t="str">
        <f>IF(AND(ISTEXT($A794), ISERROR($A794+0)), HYPERLINK($BF794, "Images"), "")</f>
        <v>Images</v>
      </c>
      <c r="O794" s="694" t="s">
        <v>5247</v>
      </c>
      <c r="P794" s="475"/>
      <c r="Q794" s="476"/>
      <c r="R794" s="476"/>
      <c r="S794" s="477"/>
      <c r="T794" s="102">
        <f t="shared" si="584"/>
        <v>0</v>
      </c>
      <c r="U794" s="78" t="str">
        <f>IF(NOT(ISNUMBER(G794)), "", VLOOKUP(A794,'Discount Lookup'!D:E,2,FALSE)*G794)</f>
        <v/>
      </c>
      <c r="V794" s="78" t="str">
        <f>IF(NOT(ISNUMBER(G794)), "", VLOOKUP(A794,'Discount Lookup'!G:H,2,FALSE)*G794)</f>
        <v/>
      </c>
      <c r="W794" s="102">
        <f t="shared" si="585"/>
        <v>0</v>
      </c>
      <c r="X794" s="102" t="str">
        <f t="shared" si="586"/>
        <v>Red bloom, White edges</v>
      </c>
      <c r="Y794" s="120" t="b">
        <f t="shared" si="587"/>
        <v>0</v>
      </c>
      <c r="Z794" s="117">
        <f t="shared" si="588"/>
        <v>0</v>
      </c>
      <c r="AA794" s="118"/>
      <c r="AB794" s="118" t="str">
        <f t="shared" si="589"/>
        <v/>
      </c>
      <c r="AC794" s="712" t="str">
        <f>IF(AE794="T2G","no charge",IF(AND(OR(PlanterYesMe="No",PlanterYesMe="N",PlanterYesMe="me"),H794=""),"",IF(H794="credit","NO install",IF(AND(K794="",AE794="me"),"EACH row",IF(AND(K794="images",AE794="me"),"EACH row",IF(D794="","",IF(H794="credit","",IF(AE794="free","re-planting",IF(AE794="me","   not ELP, by",IF(AND(OR(PlanterYesMe="Yes",PlanterYesMe="Y"),G794&gt;0),(VLOOKUP(A794,'Discount Lookup'!J:K,2)*G794*(1-PlanterDiscount)*(1+PlanterDifficultyPercentage)),IF(AE794="ELP",(VLOOKUP(A794,'Discount Lookup'!J:K,2)*G794*(1-PlanterDiscount)*(1+PlanterDifficultyPercentage)),IF(AE794="free","re-planting",IF(G794=0,"",IF(PlanterYesMe="",IF(AE794="me","   not ELP, by",IF(AE794="",IF(G794&gt;0,(VLOOKUP(A794,'Discount Lookup'!J:K,2)*G794*(1-PlanterDiscount)*(1+PlanterDifficultyPercentage)),""),"")),"   not ELP, by"))))))))))))))</f>
        <v/>
      </c>
      <c r="AD794" s="712"/>
      <c r="AE794" s="513" t="str">
        <f t="shared" si="590"/>
        <v/>
      </c>
      <c r="AF794" s="713" t="str">
        <f t="shared" si="591"/>
        <v/>
      </c>
      <c r="AG794" s="713"/>
      <c r="AH794" s="713"/>
      <c r="AI794" s="112">
        <f>IF(H794="credit",0,IF(AE794="free",0,IF(AE794="me",0,IF(G794&gt;0,(VLOOKUP(A794,'Discount Lookup'!J:K,2)*G794),0))))</f>
        <v>0</v>
      </c>
      <c r="AJ794" s="107" t="str">
        <f t="shared" ca="1" si="592"/>
        <v/>
      </c>
      <c r="AK794" s="714" t="str">
        <f t="shared" si="593"/>
        <v/>
      </c>
      <c r="AL794" s="714"/>
      <c r="AM794" s="114" t="str">
        <f t="shared" si="594"/>
        <v/>
      </c>
      <c r="AN794" s="115"/>
      <c r="AO794" s="116"/>
      <c r="AP794" s="116"/>
      <c r="AQ794" s="116"/>
      <c r="AR794" s="116"/>
      <c r="AS794" s="116"/>
      <c r="AT794" s="116"/>
      <c r="AU794" s="116"/>
      <c r="AV794" s="78"/>
      <c r="AW794" s="102"/>
      <c r="AX794" s="78"/>
      <c r="AY794" s="78"/>
      <c r="AZ794" s="78"/>
      <c r="BA794" s="78"/>
      <c r="BB794" s="78"/>
      <c r="BC794" s="78"/>
      <c r="BD794" s="78"/>
      <c r="BE794" s="465"/>
      <c r="BF794" s="165" t="str">
        <f t="shared" si="595"/>
        <v>https://www.google.com/search?tbm=isch&amp;q=Camellia%20x%20vernalis%20%27Christmas%20Carol%27%20Christmas%20Carol%E2%84%A2%20Camellia</v>
      </c>
      <c r="BG794" s="165" t="str">
        <f t="shared" si="596"/>
        <v>C</v>
      </c>
      <c r="BH794" s="65"/>
      <c r="BI794" s="65"/>
      <c r="BJ794" s="65"/>
      <c r="BK794" s="65"/>
      <c r="BL794" s="99"/>
      <c r="BM794" s="99"/>
      <c r="BN794" s="99"/>
    </row>
    <row r="795" spans="1:66" s="51" customFormat="1" ht="15.75" x14ac:dyDescent="0.25">
      <c r="A795" s="478">
        <v>3</v>
      </c>
      <c r="B795" s="479" t="s">
        <v>291</v>
      </c>
      <c r="C795" s="480" t="s">
        <v>345</v>
      </c>
      <c r="D795" s="481" t="s">
        <v>329</v>
      </c>
      <c r="E795" s="482">
        <v>35.950000000000003</v>
      </c>
      <c r="F795" s="483" t="s">
        <v>292</v>
      </c>
      <c r="G795" s="484">
        <v>0</v>
      </c>
      <c r="H795" s="688" t="str">
        <f>IF(G795=0,"",IF(F795="Buy",IF(G795=1,"plant","plants"),IF(F795&gt;0.01,"warranty","Error")))</f>
        <v/>
      </c>
      <c r="I795" s="485">
        <f>IF(H795="free",0,IF(H795="credit",((E795*(F795))*G795*-1),IF(F795="Buy",(E795*G795),((E795*(1-F795))*G795))))</f>
        <v>0</v>
      </c>
      <c r="J795" s="485">
        <f>IF(H795="warranty",0,(I795*(_xlfn.SINGLE(SalesTaxPercentage))))</f>
        <v>0</v>
      </c>
      <c r="K795" s="715">
        <f t="shared" ref="K795" si="600">I795+J795</f>
        <v>0</v>
      </c>
      <c r="L795" s="715"/>
      <c r="M795" s="689" t="str">
        <f ca="1">IF(AND(G795&gt;0,E795=0),"WARNING - no PRICE inserted",IF(H795="free","FREE ~ no charge this plant",IF(H795="credit",CONCATENATE("-$",ROUND(K795*(1-_xlfn.SINGLE(T2GDiscount))*-1,2)," CREDIT after discount"),IF(_xlfn.SINGLE(T2GDiscount)=0,"",IF(G795=0,"",IF(F795="Buy",CONCATENATE("$",ROUND(K795*(1-_xlfn.SINGLE(T2GDiscount)),2)," with ",(_xlfn.SINGLE(T2GDiscount)*100),"% discount"),CONCATENATE("$",ROUND(K795*(1-_xlfn.SINGLE(T2GDiscount)),2)," with ",((_xlfn.SINGLE(T2GDiscount)*100+F795*100)-(_xlfn.SINGLE(T2GDiscount)*100*F795)),IF(F795&gt;0,"% discounts",IF(_xlfn.SINGLE(NoWarrantyDiscount)&gt;0,"% discounts","% discount")))))))))</f>
        <v/>
      </c>
      <c r="N795" s="690"/>
      <c r="O795" s="486"/>
      <c r="P795" s="486"/>
      <c r="Q795" s="486"/>
      <c r="R795" s="486"/>
      <c r="S795" s="486"/>
      <c r="T795" s="102">
        <f t="shared" si="584"/>
        <v>0</v>
      </c>
      <c r="U795" s="78">
        <f>IF(NOT(ISNUMBER(G795)), "", VLOOKUP(A795,'Discount Lookup'!D:E,2,FALSE)*G795)</f>
        <v>0</v>
      </c>
      <c r="V795" s="78">
        <f>IF(NOT(ISNUMBER(G795)), "", VLOOKUP(A795,'Discount Lookup'!G:H,2,FALSE)*G795)</f>
        <v>0</v>
      </c>
      <c r="W795" s="102">
        <f t="shared" si="585"/>
        <v>0</v>
      </c>
      <c r="X795" s="102">
        <f t="shared" si="586"/>
        <v>0</v>
      </c>
      <c r="Y795" s="120" t="b">
        <f t="shared" si="587"/>
        <v>0</v>
      </c>
      <c r="Z795" s="117">
        <f t="shared" si="588"/>
        <v>0</v>
      </c>
      <c r="AA795" s="118"/>
      <c r="AB795" s="118" t="str">
        <f t="shared" si="589"/>
        <v/>
      </c>
      <c r="AC795" s="712" t="str">
        <f>IF(AE795="T2G","no charge",IF(AND(OR(PlanterYesMe="No",PlanterYesMe="N",PlanterYesMe="me"),H795=""),"",IF(H795="credit","NO install",IF(AND(K795="",AE795="me"),"EACH row",IF(AND(K795="images",AE795="me"),"EACH row",IF(D795="","",IF(H795="credit","",IF(AE795="free","re-planting",IF(AE795="me","   not ELP, by",IF(AND(OR(PlanterYesMe="Yes",PlanterYesMe="Y"),G795&gt;0),(VLOOKUP(A795,'Discount Lookup'!J:K,2)*G795*(1-PlanterDiscount)*(1+PlanterDifficultyPercentage)),IF(AE795="ELP",(VLOOKUP(A795,'Discount Lookup'!J:K,2)*G795*(1-PlanterDiscount)*(1+PlanterDifficultyPercentage)),IF(AE795="free","re-planting",IF(G795=0,"",IF(PlanterYesMe="",IF(AE795="me","   not ELP, by",IF(AE795="",IF(G795&gt;0,(VLOOKUP(A795,'Discount Lookup'!J:K,2)*G795*(1-PlanterDiscount)*(1+PlanterDifficultyPercentage)),""),"")),"   not ELP, by"))))))))))))))</f>
        <v/>
      </c>
      <c r="AD795" s="712"/>
      <c r="AE795" s="513" t="str">
        <f t="shared" si="590"/>
        <v/>
      </c>
      <c r="AF795" s="713" t="str">
        <f t="shared" si="591"/>
        <v/>
      </c>
      <c r="AG795" s="713"/>
      <c r="AH795" s="713"/>
      <c r="AI795" s="112">
        <f>IF(H795="credit",0,IF(AE795="free",0,IF(AE795="me",0,IF(G795&gt;0,(VLOOKUP(A795,'Discount Lookup'!J:K,2)*G795),0))))</f>
        <v>0</v>
      </c>
      <c r="AJ795" s="107" t="str">
        <f t="shared" ca="1" si="592"/>
        <v/>
      </c>
      <c r="AK795" s="714" t="str">
        <f t="shared" si="593"/>
        <v/>
      </c>
      <c r="AL795" s="714"/>
      <c r="AM795" s="114" t="str">
        <f t="shared" si="594"/>
        <v/>
      </c>
      <c r="AN795" s="115"/>
      <c r="AO795" s="116"/>
      <c r="AP795" s="116"/>
      <c r="AQ795" s="116"/>
      <c r="AR795" s="116"/>
      <c r="AS795" s="116"/>
      <c r="AT795" s="116"/>
      <c r="AU795" s="116"/>
      <c r="AV795" s="78"/>
      <c r="AW795" s="102"/>
      <c r="AX795" s="78"/>
      <c r="AY795" s="78"/>
      <c r="AZ795" s="78"/>
      <c r="BA795" s="78"/>
      <c r="BB795" s="78"/>
      <c r="BC795" s="78"/>
      <c r="BD795" s="78"/>
      <c r="BE795" s="465"/>
      <c r="BF795" s="165" t="str">
        <f t="shared" si="595"/>
        <v>https://www.google.com/search?tbm=isch&amp;q=3%20G2</v>
      </c>
      <c r="BG795" s="165" t="str">
        <f t="shared" si="596"/>
        <v>C</v>
      </c>
      <c r="BH795" s="65"/>
      <c r="BI795" s="65"/>
      <c r="BJ795" s="65"/>
      <c r="BK795" s="65"/>
      <c r="BL795" s="99"/>
      <c r="BM795" s="99"/>
      <c r="BN795" s="99"/>
    </row>
    <row r="796" spans="1:66" s="51" customFormat="1" ht="16.5" x14ac:dyDescent="0.25">
      <c r="A796" s="508" t="s">
        <v>4685</v>
      </c>
      <c r="B796" s="487"/>
      <c r="C796" s="707"/>
      <c r="D796" s="487"/>
      <c r="E796" s="487"/>
      <c r="F796" s="488"/>
      <c r="G796" s="489"/>
      <c r="H796" s="487"/>
      <c r="I796" s="490"/>
      <c r="J796" s="490"/>
      <c r="K796" s="491"/>
      <c r="L796" s="547"/>
      <c r="M796" s="528"/>
      <c r="N796" s="492"/>
      <c r="O796" s="493"/>
      <c r="P796" s="494"/>
      <c r="Q796" s="492"/>
      <c r="R796" s="492"/>
      <c r="S796" s="699" t="s">
        <v>5275</v>
      </c>
      <c r="T796" s="102">
        <f t="shared" si="584"/>
        <v>0</v>
      </c>
      <c r="U796" s="78" t="str">
        <f>IF(NOT(ISNUMBER(G796)), "", VLOOKUP(A796,'Discount Lookup'!D:E,2,FALSE)*G796)</f>
        <v/>
      </c>
      <c r="V796" s="78" t="str">
        <f>IF(NOT(ISNUMBER(G796)), "", VLOOKUP(A796,'Discount Lookup'!G:H,2,FALSE)*G796)</f>
        <v/>
      </c>
      <c r="W796" s="102">
        <f t="shared" si="585"/>
        <v>0</v>
      </c>
      <c r="X796" s="102">
        <f t="shared" si="586"/>
        <v>0</v>
      </c>
      <c r="Y796" s="120" t="b">
        <f t="shared" si="587"/>
        <v>0</v>
      </c>
      <c r="Z796" s="117">
        <f t="shared" si="588"/>
        <v>0</v>
      </c>
      <c r="AA796" s="118"/>
      <c r="AB796" s="118" t="str">
        <f t="shared" si="589"/>
        <v/>
      </c>
      <c r="AC796" s="712" t="str">
        <f>IF(AE796="T2G","no charge",IF(AND(OR(PlanterYesMe="No",PlanterYesMe="N",PlanterYesMe="me"),H796=""),"",IF(H796="credit","NO install",IF(AND(K796="",AE796="me"),"EACH row",IF(AND(K796="images",AE796="me"),"EACH row",IF(D796="","",IF(H796="credit","",IF(AE796="free","re-planting",IF(AE796="me","   not ELP, by",IF(AND(OR(PlanterYesMe="Yes",PlanterYesMe="Y"),G796&gt;0),(VLOOKUP(A796,'Discount Lookup'!J:K,2)*G796*(1-PlanterDiscount)*(1+PlanterDifficultyPercentage)),IF(AE796="ELP",(VLOOKUP(A796,'Discount Lookup'!J:K,2)*G796*(1-PlanterDiscount)*(1+PlanterDifficultyPercentage)),IF(AE796="free","re-planting",IF(G796=0,"",IF(PlanterYesMe="",IF(AE796="me","   not ELP, by",IF(AE796="",IF(G796&gt;0,(VLOOKUP(A796,'Discount Lookup'!J:K,2)*G796*(1-PlanterDiscount)*(1+PlanterDifficultyPercentage)),""),"")),"   not ELP, by"))))))))))))))</f>
        <v/>
      </c>
      <c r="AD796" s="712"/>
      <c r="AE796" s="513" t="str">
        <f t="shared" si="590"/>
        <v/>
      </c>
      <c r="AF796" s="713" t="str">
        <f t="shared" si="591"/>
        <v/>
      </c>
      <c r="AG796" s="713"/>
      <c r="AH796" s="713"/>
      <c r="AI796" s="112">
        <f>IF(H796="credit",0,IF(AE796="free",0,IF(AE796="me",0,IF(G796&gt;0,(VLOOKUP(A796,'Discount Lookup'!J:K,2)*G796),0))))</f>
        <v>0</v>
      </c>
      <c r="AJ796" s="107" t="str">
        <f t="shared" ca="1" si="592"/>
        <v/>
      </c>
      <c r="AK796" s="714" t="str">
        <f t="shared" si="593"/>
        <v/>
      </c>
      <c r="AL796" s="714"/>
      <c r="AM796" s="114" t="str">
        <f t="shared" si="594"/>
        <v/>
      </c>
      <c r="AN796" s="115"/>
      <c r="AO796" s="116"/>
      <c r="AP796" s="116"/>
      <c r="AQ796" s="116"/>
      <c r="AR796" s="116"/>
      <c r="AS796" s="116"/>
      <c r="AT796" s="116"/>
      <c r="AU796" s="116"/>
      <c r="AV796" s="78"/>
      <c r="AW796" s="102"/>
      <c r="AX796" s="78"/>
      <c r="AY796" s="78"/>
      <c r="AZ796" s="78"/>
      <c r="BA796" s="78"/>
      <c r="BB796" s="78"/>
      <c r="BC796" s="78"/>
      <c r="BD796" s="78"/>
      <c r="BE796" s="465"/>
      <c r="BF796" s="165" t="str">
        <f t="shared" si="595"/>
        <v>https://www.google.com/search?tbm=isch&amp;q=Christmas%20Carol%20%20is%20known%20for%20its%20graceful%2C%20semi-weeping%20habit%20and%20beautiful%20bell-shaped%20flowers%20that%20bloom%20from%20fall%20into%20early%20winter%20</v>
      </c>
      <c r="BG796" s="165" t="str">
        <f t="shared" si="596"/>
        <v>C</v>
      </c>
      <c r="BH796" s="65"/>
      <c r="BI796" s="65"/>
      <c r="BJ796" s="65"/>
      <c r="BK796" s="65"/>
      <c r="BL796" s="99"/>
      <c r="BM796" s="99"/>
      <c r="BN796" s="99"/>
    </row>
    <row r="797" spans="1:66" s="51" customFormat="1" ht="19.5" thickBot="1" x14ac:dyDescent="0.3">
      <c r="A797" s="686" t="s">
        <v>384</v>
      </c>
      <c r="B797" s="73"/>
      <c r="C797" s="708"/>
      <c r="D797" s="73"/>
      <c r="E797" s="73"/>
      <c r="F797" s="496"/>
      <c r="G797" s="73"/>
      <c r="H797" s="73"/>
      <c r="I797" s="73"/>
      <c r="J797" s="497" t="s">
        <v>357</v>
      </c>
      <c r="K797" s="498"/>
      <c r="L797" s="562"/>
      <c r="M797" s="73"/>
      <c r="N797"/>
      <c r="O797"/>
      <c r="P797"/>
      <c r="Q797"/>
      <c r="R797"/>
      <c r="S797"/>
      <c r="T797" s="102">
        <f t="shared" si="584"/>
        <v>0</v>
      </c>
      <c r="U797" s="78" t="str">
        <f>IF(NOT(ISNUMBER(G797)), "", VLOOKUP(A797,'Discount Lookup'!D:E,2,FALSE)*G797)</f>
        <v/>
      </c>
      <c r="V797" s="78" t="str">
        <f>IF(NOT(ISNUMBER(G797)), "", VLOOKUP(A797,'Discount Lookup'!G:H,2,FALSE)*G797)</f>
        <v/>
      </c>
      <c r="W797" s="102">
        <f t="shared" si="585"/>
        <v>0</v>
      </c>
      <c r="X797" s="102">
        <f t="shared" si="586"/>
        <v>0</v>
      </c>
      <c r="Y797" s="120" t="b">
        <f t="shared" si="587"/>
        <v>0</v>
      </c>
      <c r="Z797" s="117">
        <f t="shared" si="588"/>
        <v>0</v>
      </c>
      <c r="AA797" s="118"/>
      <c r="AB797" s="118" t="str">
        <f t="shared" si="589"/>
        <v/>
      </c>
      <c r="AC797" s="712" t="str">
        <f>IF(AE797="T2G","no charge",IF(AND(OR(PlanterYesMe="No",PlanterYesMe="N",PlanterYesMe="me"),H797=""),"",IF(H797="credit","NO install",IF(AND(K797="",AE797="me"),"EACH row",IF(AND(K797="images",AE797="me"),"EACH row",IF(D797="","",IF(H797="credit","",IF(AE797="free","re-planting",IF(AE797="me","   not ELP, by",IF(AND(OR(PlanterYesMe="Yes",PlanterYesMe="Y"),G797&gt;0),(VLOOKUP(A797,'Discount Lookup'!J:K,2)*G797*(1-PlanterDiscount)*(1+PlanterDifficultyPercentage)),IF(AE797="ELP",(VLOOKUP(A797,'Discount Lookup'!J:K,2)*G797*(1-PlanterDiscount)*(1+PlanterDifficultyPercentage)),IF(AE797="free","re-planting",IF(G797=0,"",IF(PlanterYesMe="",IF(AE797="me","   not ELP, by",IF(AE797="",IF(G797&gt;0,(VLOOKUP(A797,'Discount Lookup'!J:K,2)*G797*(1-PlanterDiscount)*(1+PlanterDifficultyPercentage)),""),"")),"   not ELP, by"))))))))))))))</f>
        <v/>
      </c>
      <c r="AD797" s="712"/>
      <c r="AE797" s="513" t="str">
        <f t="shared" si="590"/>
        <v/>
      </c>
      <c r="AF797" s="713" t="str">
        <f t="shared" si="591"/>
        <v/>
      </c>
      <c r="AG797" s="713"/>
      <c r="AH797" s="713"/>
      <c r="AI797" s="112">
        <f>IF(H797="credit",0,IF(AE797="free",0,IF(AE797="me",0,IF(G797&gt;0,(VLOOKUP(A797,'Discount Lookup'!J:K,2)*G797),0))))</f>
        <v>0</v>
      </c>
      <c r="AJ797" s="107" t="str">
        <f t="shared" ca="1" si="592"/>
        <v/>
      </c>
      <c r="AK797" s="714" t="str">
        <f t="shared" si="593"/>
        <v/>
      </c>
      <c r="AL797" s="714"/>
      <c r="AM797" s="114" t="str">
        <f t="shared" si="594"/>
        <v/>
      </c>
      <c r="AN797" s="115"/>
      <c r="AO797" s="116"/>
      <c r="AP797" s="116"/>
      <c r="AQ797" s="116"/>
      <c r="AR797" s="116"/>
      <c r="AS797" s="116"/>
      <c r="AT797" s="116"/>
      <c r="AU797" s="116"/>
      <c r="AV797" s="78"/>
      <c r="AW797" s="102"/>
      <c r="AX797" s="78"/>
      <c r="AY797" s="78"/>
      <c r="AZ797" s="78"/>
      <c r="BA797" s="78"/>
      <c r="BB797" s="78"/>
      <c r="BC797" s="78"/>
      <c r="BD797" s="78"/>
      <c r="BE797" s="465"/>
      <c r="BF797" s="165" t="str">
        <f t="shared" si="595"/>
        <v>https://www.google.com/search?tbm=isch&amp;q=Campsis%20%3D%20Trumpet%20Vine%20</v>
      </c>
      <c r="BG797" s="165" t="str">
        <f t="shared" si="596"/>
        <v>C</v>
      </c>
      <c r="BH797" s="65"/>
      <c r="BI797" s="65"/>
      <c r="BJ797" s="65"/>
      <c r="BK797" s="65"/>
      <c r="BL797" s="99"/>
      <c r="BM797" s="99"/>
      <c r="BN797" s="99"/>
    </row>
    <row r="798" spans="1:66" s="51" customFormat="1" ht="18" x14ac:dyDescent="0.25">
      <c r="A798" s="623" t="s">
        <v>1900</v>
      </c>
      <c r="B798" s="624"/>
      <c r="C798" s="709"/>
      <c r="D798" s="625" t="s">
        <v>5613</v>
      </c>
      <c r="E798" s="626"/>
      <c r="F798" s="626"/>
      <c r="G798" s="626"/>
      <c r="H798" s="622" t="s">
        <v>3005</v>
      </c>
      <c r="I798" s="627" t="s">
        <v>4909</v>
      </c>
      <c r="J798" s="628"/>
      <c r="K798" s="628"/>
      <c r="L798" s="629"/>
      <c r="M798" s="700" t="s">
        <v>5241</v>
      </c>
      <c r="N798" s="693" t="str">
        <f>IF(AND(ISTEXT($A798), ISERROR($A798+0)), HYPERLINK($BF798, "Images"), "")</f>
        <v>Images</v>
      </c>
      <c r="O798" s="695" t="s">
        <v>5247</v>
      </c>
      <c r="P798" s="630"/>
      <c r="Q798" s="631"/>
      <c r="R798" s="632"/>
      <c r="S798" s="633"/>
      <c r="T798" s="102">
        <f t="shared" si="584"/>
        <v>0</v>
      </c>
      <c r="U798" s="78" t="str">
        <f>IF(NOT(ISNUMBER(G798)), "", VLOOKUP(A798,'Discount Lookup'!D:E,2,FALSE)*G798)</f>
        <v/>
      </c>
      <c r="V798" s="78" t="str">
        <f>IF(NOT(ISNUMBER(G798)), "", VLOOKUP(A798,'Discount Lookup'!G:H,2,FALSE)*G798)</f>
        <v/>
      </c>
      <c r="W798" s="102">
        <f t="shared" si="585"/>
        <v>0</v>
      </c>
      <c r="X798" s="102" t="str">
        <f t="shared" si="586"/>
        <v>Red-Orange bloom, Yellow eye</v>
      </c>
      <c r="Y798" s="120" t="b">
        <f t="shared" si="587"/>
        <v>0</v>
      </c>
      <c r="Z798" s="117">
        <f t="shared" si="588"/>
        <v>0</v>
      </c>
      <c r="AA798" s="118"/>
      <c r="AB798" s="118" t="str">
        <f t="shared" si="589"/>
        <v/>
      </c>
      <c r="AC798" s="712" t="str">
        <f>IF(AE798="T2G","no charge",IF(AND(OR(PlanterYesMe="No",PlanterYesMe="N",PlanterYesMe="me"),H798=""),"",IF(H798="credit","NO install",IF(AND(K798="",AE798="me"),"EACH row",IF(AND(K798="images",AE798="me"),"EACH row",IF(D798="","",IF(H798="credit","",IF(AE798="free","re-planting",IF(AE798="me","   not ELP, by",IF(AND(OR(PlanterYesMe="Yes",PlanterYesMe="Y"),G798&gt;0),(VLOOKUP(A798,'Discount Lookup'!J:K,2)*G798*(1-PlanterDiscount)*(1+PlanterDifficultyPercentage)),IF(AE798="ELP",(VLOOKUP(A798,'Discount Lookup'!J:K,2)*G798*(1-PlanterDiscount)*(1+PlanterDifficultyPercentage)),IF(AE798="free","re-planting",IF(G798=0,"",IF(PlanterYesMe="",IF(AE798="me","   not ELP, by",IF(AE798="",IF(G798&gt;0,(VLOOKUP(A798,'Discount Lookup'!J:K,2)*G798*(1-PlanterDiscount)*(1+PlanterDifficultyPercentage)),""),"")),"   not ELP, by"))))))))))))))</f>
        <v/>
      </c>
      <c r="AD798" s="712"/>
      <c r="AE798" s="513" t="str">
        <f t="shared" si="590"/>
        <v/>
      </c>
      <c r="AF798" s="713" t="str">
        <f t="shared" si="591"/>
        <v/>
      </c>
      <c r="AG798" s="713"/>
      <c r="AH798" s="713"/>
      <c r="AI798" s="112">
        <f>IF(H798="credit",0,IF(AE798="free",0,IF(AE798="me",0,IF(G798&gt;0,(VLOOKUP(A798,'Discount Lookup'!J:K,2)*G798),0))))</f>
        <v>0</v>
      </c>
      <c r="AJ798" s="107" t="str">
        <f t="shared" ca="1" si="592"/>
        <v/>
      </c>
      <c r="AK798" s="714" t="str">
        <f t="shared" si="593"/>
        <v/>
      </c>
      <c r="AL798" s="714"/>
      <c r="AM798" s="114" t="str">
        <f t="shared" si="594"/>
        <v/>
      </c>
      <c r="AN798" s="115"/>
      <c r="AO798" s="116"/>
      <c r="AP798" s="116"/>
      <c r="AQ798" s="116"/>
      <c r="AR798" s="116"/>
      <c r="AS798" s="116"/>
      <c r="AT798" s="116"/>
      <c r="AU798" s="116"/>
      <c r="AV798" s="78"/>
      <c r="AW798" s="102"/>
      <c r="AX798" s="78"/>
      <c r="AY798" s="78"/>
      <c r="AZ798" s="78"/>
      <c r="BA798" s="78"/>
      <c r="BB798" s="78"/>
      <c r="BC798" s="78"/>
      <c r="BD798" s="78"/>
      <c r="BE798" s="465"/>
      <c r="BF798" s="165" t="str">
        <f t="shared" si="595"/>
        <v>https://www.google.com/search?tbm=isch&amp;q=Campsis%20x%20tagliabuana%20%27Fire%27%20PP%2323917%20Summer%20Jazz%E2%84%A2%20Fire%20Trumpet%20Vine</v>
      </c>
      <c r="BG798" s="165" t="str">
        <f t="shared" si="596"/>
        <v>C</v>
      </c>
      <c r="BH798" s="65"/>
      <c r="BI798" s="65"/>
      <c r="BJ798" s="65"/>
      <c r="BK798" s="65"/>
      <c r="BL798" s="99"/>
      <c r="BM798" s="99"/>
      <c r="BN798" s="99"/>
    </row>
    <row r="799" spans="1:66" s="51" customFormat="1" ht="15.75" x14ac:dyDescent="0.25">
      <c r="A799" s="634">
        <v>3</v>
      </c>
      <c r="B799" s="635" t="s">
        <v>291</v>
      </c>
      <c r="C799" s="636"/>
      <c r="D799" s="637" t="s">
        <v>329</v>
      </c>
      <c r="E799" s="638">
        <v>33.950000000000003</v>
      </c>
      <c r="F799" s="639" t="s">
        <v>292</v>
      </c>
      <c r="G799" s="484">
        <v>0</v>
      </c>
      <c r="H799" s="691" t="str">
        <f>IF(G799=0,"",IF(F799="Buy",IF(G799=1,"plant","plants"),IF(F799&gt;0.01,"warranty","Error")))</f>
        <v/>
      </c>
      <c r="I799" s="640">
        <f>IF(H799="free",0,IF(H799="credit",((E799*(F799))*G799*-1),IF(F799="Buy",(E799*G799),((E799*(1-F799))*G799))))</f>
        <v>0</v>
      </c>
      <c r="J799" s="640">
        <f>IF(H799="warranty",0,(I799*(_xlfn.SINGLE(SalesTaxPercentage))))</f>
        <v>0</v>
      </c>
      <c r="K799" s="716">
        <f t="shared" ref="K799" si="601">I799+J799</f>
        <v>0</v>
      </c>
      <c r="L799" s="716"/>
      <c r="M799" s="689" t="str">
        <f ca="1">IF(AND(G799&gt;0,E799=0),"WARNING - no PRICE inserted",IF(H799="free","FREE ~ no charge this plant",IF(H799="credit",CONCATENATE("-$",ROUND(K799*(1-_xlfn.SINGLE(T2GDiscount))*-1,2)," CREDIT after discount"),IF(_xlfn.SINGLE(T2GDiscount)=0,"",IF(G799=0,"",IF(F799="Buy",CONCATENATE("$",ROUND(K799*(1-_xlfn.SINGLE(T2GDiscount)),2)," with ",(_xlfn.SINGLE(T2GDiscount)*100),"% discount"),CONCATENATE("$",ROUND(K799*(1-_xlfn.SINGLE(T2GDiscount)),2)," with ",((_xlfn.SINGLE(T2GDiscount)*100+F799*100)-(_xlfn.SINGLE(T2GDiscount)*100*F799)),IF(F799&gt;0,"% discounts",IF(_xlfn.SINGLE(NoWarrantyDiscount)&gt;0,"% discounts","% discount")))))))))</f>
        <v/>
      </c>
      <c r="N799" s="690"/>
      <c r="O799" s="486"/>
      <c r="P799" s="486"/>
      <c r="Q799" s="486"/>
      <c r="R799" s="486"/>
      <c r="S799" s="486"/>
      <c r="T799" s="102">
        <f t="shared" si="584"/>
        <v>0</v>
      </c>
      <c r="U799" s="78">
        <f>IF(NOT(ISNUMBER(G799)), "", VLOOKUP(A799,'Discount Lookup'!D:E,2,FALSE)*G799)</f>
        <v>0</v>
      </c>
      <c r="V799" s="78">
        <f>IF(NOT(ISNUMBER(G799)), "", VLOOKUP(A799,'Discount Lookup'!G:H,2,FALSE)*G799)</f>
        <v>0</v>
      </c>
      <c r="W799" s="102">
        <f t="shared" si="585"/>
        <v>0</v>
      </c>
      <c r="X799" s="102">
        <f t="shared" si="586"/>
        <v>0</v>
      </c>
      <c r="Y799" s="120" t="b">
        <f t="shared" si="587"/>
        <v>0</v>
      </c>
      <c r="Z799" s="117">
        <f t="shared" si="588"/>
        <v>0</v>
      </c>
      <c r="AA799" s="118"/>
      <c r="AB799" s="118" t="str">
        <f t="shared" si="589"/>
        <v/>
      </c>
      <c r="AC799" s="712" t="str">
        <f>IF(AE799="T2G","no charge",IF(AND(OR(PlanterYesMe="No",PlanterYesMe="N",PlanterYesMe="me"),H799=""),"",IF(H799="credit","NO install",IF(AND(K799="",AE799="me"),"EACH row",IF(AND(K799="images",AE799="me"),"EACH row",IF(D799="","",IF(H799="credit","",IF(AE799="free","re-planting",IF(AE799="me","   not ELP, by",IF(AND(OR(PlanterYesMe="Yes",PlanterYesMe="Y"),G799&gt;0),(VLOOKUP(A799,'Discount Lookup'!J:K,2)*G799*(1-PlanterDiscount)*(1+PlanterDifficultyPercentage)),IF(AE799="ELP",(VLOOKUP(A799,'Discount Lookup'!J:K,2)*G799*(1-PlanterDiscount)*(1+PlanterDifficultyPercentage)),IF(AE799="free","re-planting",IF(G799=0,"",IF(PlanterYesMe="",IF(AE799="me","   not ELP, by",IF(AE799="",IF(G799&gt;0,(VLOOKUP(A799,'Discount Lookup'!J:K,2)*G799*(1-PlanterDiscount)*(1+PlanterDifficultyPercentage)),""),"")),"   not ELP, by"))))))))))))))</f>
        <v/>
      </c>
      <c r="AD799" s="712"/>
      <c r="AE799" s="513" t="str">
        <f t="shared" si="590"/>
        <v/>
      </c>
      <c r="AF799" s="713" t="str">
        <f t="shared" si="591"/>
        <v/>
      </c>
      <c r="AG799" s="713"/>
      <c r="AH799" s="713"/>
      <c r="AI799" s="112">
        <f>IF(H799="credit",0,IF(AE799="free",0,IF(AE799="me",0,IF(G799&gt;0,(VLOOKUP(A799,'Discount Lookup'!J:K,2)*G799),0))))</f>
        <v>0</v>
      </c>
      <c r="AJ799" s="107" t="str">
        <f t="shared" ca="1" si="592"/>
        <v/>
      </c>
      <c r="AK799" s="714" t="str">
        <f t="shared" si="593"/>
        <v/>
      </c>
      <c r="AL799" s="714"/>
      <c r="AM799" s="114" t="str">
        <f t="shared" si="594"/>
        <v/>
      </c>
      <c r="AN799" s="115"/>
      <c r="AO799" s="116"/>
      <c r="AP799" s="116"/>
      <c r="AQ799" s="116"/>
      <c r="AR799" s="116"/>
      <c r="AS799" s="116"/>
      <c r="AT799" s="116"/>
      <c r="AU799" s="116"/>
      <c r="AV799" s="78"/>
      <c r="AW799" s="102"/>
      <c r="AX799" s="78"/>
      <c r="AY799" s="78"/>
      <c r="AZ799" s="78"/>
      <c r="BA799" s="78"/>
      <c r="BB799" s="78"/>
      <c r="BC799" s="78"/>
      <c r="BD799" s="78"/>
      <c r="BE799" s="465"/>
      <c r="BF799" s="165" t="str">
        <f t="shared" si="595"/>
        <v>https://www.google.com/search?tbm=isch&amp;q=3%20G2</v>
      </c>
      <c r="BG799" s="165" t="str">
        <f t="shared" si="596"/>
        <v>C</v>
      </c>
      <c r="BH799" s="65"/>
      <c r="BI799" s="65"/>
      <c r="BJ799" s="65"/>
      <c r="BK799" s="65"/>
      <c r="BL799" s="99"/>
      <c r="BM799" s="99"/>
      <c r="BN799" s="99"/>
    </row>
    <row r="800" spans="1:66" s="51" customFormat="1" ht="17.25" thickBot="1" x14ac:dyDescent="0.3">
      <c r="A800" s="641" t="s">
        <v>4910</v>
      </c>
      <c r="B800" s="642"/>
      <c r="C800" s="710"/>
      <c r="D800" s="643"/>
      <c r="E800" s="643"/>
      <c r="F800" s="644"/>
      <c r="G800" s="645"/>
      <c r="H800" s="646"/>
      <c r="I800" s="647"/>
      <c r="J800" s="648"/>
      <c r="K800" s="649"/>
      <c r="L800" s="650"/>
      <c r="M800" s="650"/>
      <c r="N800" s="644"/>
      <c r="O800" s="644"/>
      <c r="P800" s="644"/>
      <c r="Q800" s="644"/>
      <c r="R800" s="644"/>
      <c r="S800" s="701" t="s">
        <v>5273</v>
      </c>
      <c r="T800" s="102">
        <f t="shared" si="584"/>
        <v>0</v>
      </c>
      <c r="U800" s="78" t="str">
        <f>IF(NOT(ISNUMBER(G800)), "", VLOOKUP(A800,'Discount Lookup'!D:E,2,FALSE)*G800)</f>
        <v/>
      </c>
      <c r="V800" s="78" t="str">
        <f>IF(NOT(ISNUMBER(G800)), "", VLOOKUP(A800,'Discount Lookup'!G:H,2,FALSE)*G800)</f>
        <v/>
      </c>
      <c r="W800" s="102">
        <f t="shared" si="585"/>
        <v>0</v>
      </c>
      <c r="X800" s="102">
        <f t="shared" si="586"/>
        <v>0</v>
      </c>
      <c r="Y800" s="120" t="b">
        <f t="shared" si="587"/>
        <v>0</v>
      </c>
      <c r="Z800" s="117">
        <f t="shared" si="588"/>
        <v>0</v>
      </c>
      <c r="AA800" s="118"/>
      <c r="AB800" s="118" t="str">
        <f t="shared" si="589"/>
        <v/>
      </c>
      <c r="AC800" s="712" t="str">
        <f>IF(AE800="T2G","no charge",IF(AND(OR(PlanterYesMe="No",PlanterYesMe="N",PlanterYesMe="me"),H800=""),"",IF(H800="credit","NO install",IF(AND(K800="",AE800="me"),"EACH row",IF(AND(K800="images",AE800="me"),"EACH row",IF(D800="","",IF(H800="credit","",IF(AE800="free","re-planting",IF(AE800="me","   not ELP, by",IF(AND(OR(PlanterYesMe="Yes",PlanterYesMe="Y"),G800&gt;0),(VLOOKUP(A800,'Discount Lookup'!J:K,2)*G800*(1-PlanterDiscount)*(1+PlanterDifficultyPercentage)),IF(AE800="ELP",(VLOOKUP(A800,'Discount Lookup'!J:K,2)*G800*(1-PlanterDiscount)*(1+PlanterDifficultyPercentage)),IF(AE800="free","re-planting",IF(G800=0,"",IF(PlanterYesMe="",IF(AE800="me","   not ELP, by",IF(AE800="",IF(G800&gt;0,(VLOOKUP(A800,'Discount Lookup'!J:K,2)*G800*(1-PlanterDiscount)*(1+PlanterDifficultyPercentage)),""),"")),"   not ELP, by"))))))))))))))</f>
        <v/>
      </c>
      <c r="AD800" s="712"/>
      <c r="AE800" s="513" t="str">
        <f t="shared" si="590"/>
        <v/>
      </c>
      <c r="AF800" s="713" t="str">
        <f t="shared" si="591"/>
        <v/>
      </c>
      <c r="AG800" s="713"/>
      <c r="AH800" s="713"/>
      <c r="AI800" s="112">
        <f>IF(H800="credit",0,IF(AE800="free",0,IF(AE800="me",0,IF(G800&gt;0,(VLOOKUP(A800,'Discount Lookup'!J:K,2)*G800),0))))</f>
        <v>0</v>
      </c>
      <c r="AJ800" s="107" t="str">
        <f t="shared" ca="1" si="592"/>
        <v/>
      </c>
      <c r="AK800" s="714" t="str">
        <f t="shared" si="593"/>
        <v/>
      </c>
      <c r="AL800" s="714"/>
      <c r="AM800" s="114" t="str">
        <f t="shared" si="594"/>
        <v/>
      </c>
      <c r="AN800" s="115"/>
      <c r="AO800" s="116"/>
      <c r="AP800" s="116"/>
      <c r="AQ800" s="116"/>
      <c r="AR800" s="116"/>
      <c r="AS800" s="116"/>
      <c r="AT800" s="116"/>
      <c r="AU800" s="116"/>
      <c r="AV800" s="78"/>
      <c r="AW800" s="102"/>
      <c r="AX800" s="78"/>
      <c r="AY800" s="78"/>
      <c r="AZ800" s="78"/>
      <c r="BA800" s="78"/>
      <c r="BB800" s="78"/>
      <c r="BC800" s="78"/>
      <c r="BD800" s="78"/>
      <c r="BE800" s="465"/>
      <c r="BF800" s="165" t="str">
        <f t="shared" si="595"/>
        <v>https://www.google.com/search?tbm=isch&amp;q=Summer%20Jazz%20Fire%20is%20a%20compact%2C%20well-behaved%20vine%20that%20is%20perfect%20for%20small%20spaces%20and%20containers.%20Blooms%20late%20spring%20into%20fall%20</v>
      </c>
      <c r="BG800" s="165" t="str">
        <f t="shared" si="596"/>
        <v>S</v>
      </c>
      <c r="BH800" s="65"/>
      <c r="BI800" s="65"/>
      <c r="BJ800" s="65"/>
      <c r="BK800" s="65"/>
      <c r="BL800" s="99"/>
      <c r="BM800" s="99"/>
      <c r="BN800" s="99"/>
    </row>
    <row r="801" spans="1:66" s="51" customFormat="1" ht="18" x14ac:dyDescent="0.25">
      <c r="A801" s="623" t="s">
        <v>1901</v>
      </c>
      <c r="B801" s="624"/>
      <c r="C801" s="709"/>
      <c r="D801" s="625" t="s">
        <v>5614</v>
      </c>
      <c r="E801" s="626"/>
      <c r="F801" s="626"/>
      <c r="G801" s="626"/>
      <c r="H801" s="622" t="s">
        <v>347</v>
      </c>
      <c r="I801" s="627" t="s">
        <v>1658</v>
      </c>
      <c r="J801" s="628"/>
      <c r="K801" s="628"/>
      <c r="L801" s="629"/>
      <c r="M801" s="700" t="s">
        <v>5241</v>
      </c>
      <c r="N801" s="693" t="str">
        <f>IF(AND(ISTEXT($A801), ISERROR($A801+0)), HYPERLINK($BF801, "Images"), "")</f>
        <v>Images</v>
      </c>
      <c r="O801" s="695" t="s">
        <v>5247</v>
      </c>
      <c r="P801" s="630"/>
      <c r="Q801" s="631"/>
      <c r="R801" s="632"/>
      <c r="S801" s="633"/>
      <c r="T801" s="102">
        <f t="shared" si="584"/>
        <v>0</v>
      </c>
      <c r="U801" s="78" t="str">
        <f>IF(NOT(ISNUMBER(G801)), "", VLOOKUP(A801,'Discount Lookup'!D:E,2,FALSE)*G801)</f>
        <v/>
      </c>
      <c r="V801" s="78" t="str">
        <f>IF(NOT(ISNUMBER(G801)), "", VLOOKUP(A801,'Discount Lookup'!G:H,2,FALSE)*G801)</f>
        <v/>
      </c>
      <c r="W801" s="102">
        <f t="shared" si="585"/>
        <v>0</v>
      </c>
      <c r="X801" s="102" t="str">
        <f t="shared" si="586"/>
        <v>Golden-Yellow bloom, Orange eye</v>
      </c>
      <c r="Y801" s="120" t="b">
        <f t="shared" si="587"/>
        <v>0</v>
      </c>
      <c r="Z801" s="117">
        <f t="shared" si="588"/>
        <v>0</v>
      </c>
      <c r="AA801" s="118"/>
      <c r="AB801" s="118" t="str">
        <f t="shared" si="589"/>
        <v/>
      </c>
      <c r="AC801" s="712" t="str">
        <f>IF(AE801="T2G","no charge",IF(AND(OR(PlanterYesMe="No",PlanterYesMe="N",PlanterYesMe="me"),H801=""),"",IF(H801="credit","NO install",IF(AND(K801="",AE801="me"),"EACH row",IF(AND(K801="images",AE801="me"),"EACH row",IF(D801="","",IF(H801="credit","",IF(AE801="free","re-planting",IF(AE801="me","   not ELP, by",IF(AND(OR(PlanterYesMe="Yes",PlanterYesMe="Y"),G801&gt;0),(VLOOKUP(A801,'Discount Lookup'!J:K,2)*G801*(1-PlanterDiscount)*(1+PlanterDifficultyPercentage)),IF(AE801="ELP",(VLOOKUP(A801,'Discount Lookup'!J:K,2)*G801*(1-PlanterDiscount)*(1+PlanterDifficultyPercentage)),IF(AE801="free","re-planting",IF(G801=0,"",IF(PlanterYesMe="",IF(AE801="me","   not ELP, by",IF(AE801="",IF(G801&gt;0,(VLOOKUP(A801,'Discount Lookup'!J:K,2)*G801*(1-PlanterDiscount)*(1+PlanterDifficultyPercentage)),""),"")),"   not ELP, by"))))))))))))))</f>
        <v/>
      </c>
      <c r="AD801" s="712"/>
      <c r="AE801" s="513" t="str">
        <f t="shared" si="590"/>
        <v/>
      </c>
      <c r="AF801" s="713" t="str">
        <f t="shared" si="591"/>
        <v/>
      </c>
      <c r="AG801" s="713"/>
      <c r="AH801" s="713"/>
      <c r="AI801" s="112">
        <f>IF(H801="credit",0,IF(AE801="free",0,IF(AE801="me",0,IF(G801&gt;0,(VLOOKUP(A801,'Discount Lookup'!J:K,2)*G801),0))))</f>
        <v>0</v>
      </c>
      <c r="AJ801" s="107" t="str">
        <f t="shared" ca="1" si="592"/>
        <v/>
      </c>
      <c r="AK801" s="714" t="str">
        <f t="shared" si="593"/>
        <v/>
      </c>
      <c r="AL801" s="714"/>
      <c r="AM801" s="114" t="str">
        <f t="shared" si="594"/>
        <v/>
      </c>
      <c r="AN801" s="115"/>
      <c r="AO801" s="116"/>
      <c r="AP801" s="116"/>
      <c r="AQ801" s="116"/>
      <c r="AR801" s="116"/>
      <c r="AS801" s="116"/>
      <c r="AT801" s="116"/>
      <c r="AU801" s="116"/>
      <c r="AV801" s="78"/>
      <c r="AW801" s="102"/>
      <c r="AX801" s="78"/>
      <c r="AY801" s="78"/>
      <c r="AZ801" s="78"/>
      <c r="BA801" s="78"/>
      <c r="BB801" s="78"/>
      <c r="BC801" s="78"/>
      <c r="BD801" s="78"/>
      <c r="BE801" s="465"/>
      <c r="BF801" s="165" t="str">
        <f t="shared" si="595"/>
        <v>https://www.google.com/search?tbm=isch&amp;q=Campsis%20x%20tagliabuana%20%27Kudian%27%20PP%2324008%20Summer%20Jazz%E2%84%A2%20Gold%20Trumpet%20Vine</v>
      </c>
      <c r="BG801" s="165" t="str">
        <f t="shared" si="596"/>
        <v>C</v>
      </c>
      <c r="BH801" s="65"/>
      <c r="BI801" s="65"/>
      <c r="BJ801" s="65"/>
      <c r="BK801" s="65"/>
      <c r="BL801" s="99"/>
      <c r="BM801" s="99"/>
      <c r="BN801" s="99"/>
    </row>
    <row r="802" spans="1:66" s="51" customFormat="1" ht="15.75" x14ac:dyDescent="0.25">
      <c r="A802" s="634">
        <v>3</v>
      </c>
      <c r="B802" s="635" t="s">
        <v>291</v>
      </c>
      <c r="C802" s="636"/>
      <c r="D802" s="637" t="s">
        <v>329</v>
      </c>
      <c r="E802" s="638">
        <v>33.950000000000003</v>
      </c>
      <c r="F802" s="639" t="s">
        <v>292</v>
      </c>
      <c r="G802" s="484">
        <v>0</v>
      </c>
      <c r="H802" s="691" t="str">
        <f>IF(G802=0,"",IF(F802="Buy",IF(G802=1,"plant","plants"),IF(F802&gt;0.01,"warranty","Error")))</f>
        <v/>
      </c>
      <c r="I802" s="640">
        <f>IF(H802="free",0,IF(H802="credit",((E802*(F802))*G802*-1),IF(F802="Buy",(E802*G802),((E802*(1-F802))*G802))))</f>
        <v>0</v>
      </c>
      <c r="J802" s="640">
        <f>IF(H802="warranty",0,(I802*(_xlfn.SINGLE(SalesTaxPercentage))))</f>
        <v>0</v>
      </c>
      <c r="K802" s="716">
        <f t="shared" ref="K802" si="602">I802+J802</f>
        <v>0</v>
      </c>
      <c r="L802" s="716"/>
      <c r="M802" s="689" t="str">
        <f ca="1">IF(AND(G802&gt;0,E802=0),"WARNING - no PRICE inserted",IF(H802="free","FREE ~ no charge this plant",IF(H802="credit",CONCATENATE("-$",ROUND(K802*(1-_xlfn.SINGLE(T2GDiscount))*-1,2)," CREDIT after discount"),IF(_xlfn.SINGLE(T2GDiscount)=0,"",IF(G802=0,"",IF(F802="Buy",CONCATENATE("$",ROUND(K802*(1-_xlfn.SINGLE(T2GDiscount)),2)," with ",(_xlfn.SINGLE(T2GDiscount)*100),"% discount"),CONCATENATE("$",ROUND(K802*(1-_xlfn.SINGLE(T2GDiscount)),2)," with ",((_xlfn.SINGLE(T2GDiscount)*100+F802*100)-(_xlfn.SINGLE(T2GDiscount)*100*F802)),IF(F802&gt;0,"% discounts",IF(_xlfn.SINGLE(NoWarrantyDiscount)&gt;0,"% discounts","% discount")))))))))</f>
        <v/>
      </c>
      <c r="N802" s="690"/>
      <c r="O802" s="486"/>
      <c r="P802" s="486"/>
      <c r="Q802" s="486"/>
      <c r="R802" s="486"/>
      <c r="S802" s="486"/>
      <c r="T802" s="102">
        <f t="shared" si="584"/>
        <v>0</v>
      </c>
      <c r="U802" s="78">
        <f>IF(NOT(ISNUMBER(G802)), "", VLOOKUP(A802,'Discount Lookup'!D:E,2,FALSE)*G802)</f>
        <v>0</v>
      </c>
      <c r="V802" s="78">
        <f>IF(NOT(ISNUMBER(G802)), "", VLOOKUP(A802,'Discount Lookup'!G:H,2,FALSE)*G802)</f>
        <v>0</v>
      </c>
      <c r="W802" s="102">
        <f t="shared" si="585"/>
        <v>0</v>
      </c>
      <c r="X802" s="102">
        <f t="shared" si="586"/>
        <v>0</v>
      </c>
      <c r="Y802" s="120" t="b">
        <f t="shared" si="587"/>
        <v>0</v>
      </c>
      <c r="Z802" s="117">
        <f t="shared" si="588"/>
        <v>0</v>
      </c>
      <c r="AA802" s="118"/>
      <c r="AB802" s="118" t="str">
        <f t="shared" si="589"/>
        <v/>
      </c>
      <c r="AC802" s="712" t="str">
        <f>IF(AE802="T2G","no charge",IF(AND(OR(PlanterYesMe="No",PlanterYesMe="N",PlanterYesMe="me"),H802=""),"",IF(H802="credit","NO install",IF(AND(K802="",AE802="me"),"EACH row",IF(AND(K802="images",AE802="me"),"EACH row",IF(D802="","",IF(H802="credit","",IF(AE802="free","re-planting",IF(AE802="me","   not ELP, by",IF(AND(OR(PlanterYesMe="Yes",PlanterYesMe="Y"),G802&gt;0),(VLOOKUP(A802,'Discount Lookup'!J:K,2)*G802*(1-PlanterDiscount)*(1+PlanterDifficultyPercentage)),IF(AE802="ELP",(VLOOKUP(A802,'Discount Lookup'!J:K,2)*G802*(1-PlanterDiscount)*(1+PlanterDifficultyPercentage)),IF(AE802="free","re-planting",IF(G802=0,"",IF(PlanterYesMe="",IF(AE802="me","   not ELP, by",IF(AE802="",IF(G802&gt;0,(VLOOKUP(A802,'Discount Lookup'!J:K,2)*G802*(1-PlanterDiscount)*(1+PlanterDifficultyPercentage)),""),"")),"   not ELP, by"))))))))))))))</f>
        <v/>
      </c>
      <c r="AD802" s="712"/>
      <c r="AE802" s="513" t="str">
        <f t="shared" si="590"/>
        <v/>
      </c>
      <c r="AF802" s="713" t="str">
        <f t="shared" si="591"/>
        <v/>
      </c>
      <c r="AG802" s="713"/>
      <c r="AH802" s="713"/>
      <c r="AI802" s="112">
        <f>IF(H802="credit",0,IF(AE802="free",0,IF(AE802="me",0,IF(G802&gt;0,(VLOOKUP(A802,'Discount Lookup'!J:K,2)*G802),0))))</f>
        <v>0</v>
      </c>
      <c r="AJ802" s="107" t="str">
        <f t="shared" ca="1" si="592"/>
        <v/>
      </c>
      <c r="AK802" s="714" t="str">
        <f t="shared" si="593"/>
        <v/>
      </c>
      <c r="AL802" s="714"/>
      <c r="AM802" s="114" t="str">
        <f t="shared" si="594"/>
        <v/>
      </c>
      <c r="AN802" s="115"/>
      <c r="AO802" s="116"/>
      <c r="AP802" s="116"/>
      <c r="AQ802" s="116"/>
      <c r="AR802" s="116"/>
      <c r="AS802" s="116"/>
      <c r="AT802" s="116"/>
      <c r="AU802" s="116"/>
      <c r="AV802" s="78"/>
      <c r="AW802" s="102"/>
      <c r="AX802" s="78"/>
      <c r="AY802" s="78"/>
      <c r="AZ802" s="78"/>
      <c r="BA802" s="78"/>
      <c r="BB802" s="78"/>
      <c r="BC802" s="78"/>
      <c r="BD802" s="78"/>
      <c r="BE802" s="465"/>
      <c r="BF802" s="165" t="str">
        <f t="shared" si="595"/>
        <v>https://www.google.com/search?tbm=isch&amp;q=3%20G2</v>
      </c>
      <c r="BG802" s="165" t="str">
        <f t="shared" si="596"/>
        <v>C</v>
      </c>
      <c r="BH802" s="65"/>
      <c r="BI802" s="65"/>
      <c r="BJ802" s="65"/>
      <c r="BK802" s="65"/>
      <c r="BL802" s="99"/>
      <c r="BM802" s="99"/>
      <c r="BN802" s="99"/>
    </row>
    <row r="803" spans="1:66" s="51" customFormat="1" ht="16.5" x14ac:dyDescent="0.25">
      <c r="A803" s="641" t="s">
        <v>5107</v>
      </c>
      <c r="B803" s="642"/>
      <c r="C803" s="710"/>
      <c r="D803" s="643"/>
      <c r="E803" s="643"/>
      <c r="F803" s="644"/>
      <c r="G803" s="645"/>
      <c r="H803" s="646"/>
      <c r="I803" s="647"/>
      <c r="J803" s="648"/>
      <c r="K803" s="649"/>
      <c r="L803" s="650"/>
      <c r="M803" s="650"/>
      <c r="N803" s="644"/>
      <c r="O803" s="644"/>
      <c r="P803" s="644"/>
      <c r="Q803" s="644"/>
      <c r="R803" s="644"/>
      <c r="S803" s="701" t="s">
        <v>5273</v>
      </c>
      <c r="T803" s="102">
        <f t="shared" si="584"/>
        <v>0</v>
      </c>
      <c r="U803" s="78" t="str">
        <f>IF(NOT(ISNUMBER(G803)), "", VLOOKUP(A803,'Discount Lookup'!D:E,2,FALSE)*G803)</f>
        <v/>
      </c>
      <c r="V803" s="78" t="str">
        <f>IF(NOT(ISNUMBER(G803)), "", VLOOKUP(A803,'Discount Lookup'!G:H,2,FALSE)*G803)</f>
        <v/>
      </c>
      <c r="W803" s="102">
        <f t="shared" si="585"/>
        <v>0</v>
      </c>
      <c r="X803" s="102">
        <f t="shared" si="586"/>
        <v>0</v>
      </c>
      <c r="Y803" s="120" t="b">
        <f t="shared" si="587"/>
        <v>0</v>
      </c>
      <c r="Z803" s="117">
        <f t="shared" si="588"/>
        <v>0</v>
      </c>
      <c r="AA803" s="118"/>
      <c r="AB803" s="118" t="str">
        <f t="shared" si="589"/>
        <v/>
      </c>
      <c r="AC803" s="712" t="str">
        <f>IF(AE803="T2G","no charge",IF(AND(OR(PlanterYesMe="No",PlanterYesMe="N",PlanterYesMe="me"),H803=""),"",IF(H803="credit","NO install",IF(AND(K803="",AE803="me"),"EACH row",IF(AND(K803="images",AE803="me"),"EACH row",IF(D803="","",IF(H803="credit","",IF(AE803="free","re-planting",IF(AE803="me","   not ELP, by",IF(AND(OR(PlanterYesMe="Yes",PlanterYesMe="Y"),G803&gt;0),(VLOOKUP(A803,'Discount Lookup'!J:K,2)*G803*(1-PlanterDiscount)*(1+PlanterDifficultyPercentage)),IF(AE803="ELP",(VLOOKUP(A803,'Discount Lookup'!J:K,2)*G803*(1-PlanterDiscount)*(1+PlanterDifficultyPercentage)),IF(AE803="free","re-planting",IF(G803=0,"",IF(PlanterYesMe="",IF(AE803="me","   not ELP, by",IF(AE803="",IF(G803&gt;0,(VLOOKUP(A803,'Discount Lookup'!J:K,2)*G803*(1-PlanterDiscount)*(1+PlanterDifficultyPercentage)),""),"")),"   not ELP, by"))))))))))))))</f>
        <v/>
      </c>
      <c r="AD803" s="712"/>
      <c r="AE803" s="513" t="str">
        <f t="shared" si="590"/>
        <v/>
      </c>
      <c r="AF803" s="713" t="str">
        <f t="shared" si="591"/>
        <v/>
      </c>
      <c r="AG803" s="713"/>
      <c r="AH803" s="713"/>
      <c r="AI803" s="112">
        <f>IF(H803="credit",0,IF(AE803="free",0,IF(AE803="me",0,IF(G803&gt;0,(VLOOKUP(A803,'Discount Lookup'!J:K,2)*G803),0))))</f>
        <v>0</v>
      </c>
      <c r="AJ803" s="107" t="str">
        <f t="shared" ca="1" si="592"/>
        <v/>
      </c>
      <c r="AK803" s="714" t="str">
        <f t="shared" si="593"/>
        <v/>
      </c>
      <c r="AL803" s="714"/>
      <c r="AM803" s="114" t="str">
        <f t="shared" si="594"/>
        <v/>
      </c>
      <c r="AN803" s="115"/>
      <c r="AO803" s="116"/>
      <c r="AP803" s="116"/>
      <c r="AQ803" s="116"/>
      <c r="AR803" s="116"/>
      <c r="AS803" s="116"/>
      <c r="AT803" s="116"/>
      <c r="AU803" s="116"/>
      <c r="AV803" s="78"/>
      <c r="AW803" s="102"/>
      <c r="AX803" s="78"/>
      <c r="AY803" s="78"/>
      <c r="AZ803" s="78"/>
      <c r="BA803" s="78"/>
      <c r="BB803" s="78"/>
      <c r="BC803" s="78"/>
      <c r="BD803" s="78"/>
      <c r="BE803" s="465"/>
      <c r="BF803" s="165" t="str">
        <f t="shared" si="595"/>
        <v>https://www.google.com/search?tbm=isch&amp;q=Summer%20Jazz%20Gold%20has%20trumpet%20blooms%20with%20Fiery%20Orange%20throats%20from%20midsummer%20to%20fall.%20Bred%20for%20reduced%20invasiveness%20</v>
      </c>
      <c r="BG803" s="165" t="str">
        <f t="shared" si="596"/>
        <v>S</v>
      </c>
      <c r="BH803" s="65"/>
      <c r="BI803" s="65"/>
      <c r="BJ803" s="65"/>
      <c r="BK803" s="65"/>
      <c r="BL803" s="99"/>
      <c r="BM803" s="99"/>
      <c r="BN803" s="99"/>
    </row>
    <row r="804" spans="1:66" s="51" customFormat="1" ht="19.5" thickBot="1" x14ac:dyDescent="0.3">
      <c r="A804" s="686" t="s">
        <v>385</v>
      </c>
      <c r="B804" s="73"/>
      <c r="C804" s="708"/>
      <c r="D804" s="73"/>
      <c r="E804" s="73"/>
      <c r="F804" s="496"/>
      <c r="G804" s="73"/>
      <c r="H804" s="73"/>
      <c r="I804" s="73"/>
      <c r="J804" s="497" t="s">
        <v>357</v>
      </c>
      <c r="K804" s="498"/>
      <c r="L804" s="562"/>
      <c r="M804" s="73"/>
      <c r="N804"/>
      <c r="O804"/>
      <c r="P804"/>
      <c r="Q804"/>
      <c r="R804"/>
      <c r="S804"/>
      <c r="T804" s="102">
        <f t="shared" si="584"/>
        <v>0</v>
      </c>
      <c r="U804" s="78" t="str">
        <f>IF(NOT(ISNUMBER(G804)), "", VLOOKUP(A804,'Discount Lookup'!D:E,2,FALSE)*G804)</f>
        <v/>
      </c>
      <c r="V804" s="78" t="str">
        <f>IF(NOT(ISNUMBER(G804)), "", VLOOKUP(A804,'Discount Lookup'!G:H,2,FALSE)*G804)</f>
        <v/>
      </c>
      <c r="W804" s="102">
        <f t="shared" si="585"/>
        <v>0</v>
      </c>
      <c r="X804" s="102">
        <f t="shared" si="586"/>
        <v>0</v>
      </c>
      <c r="Y804" s="120" t="b">
        <f t="shared" si="587"/>
        <v>0</v>
      </c>
      <c r="Z804" s="117">
        <f t="shared" si="588"/>
        <v>0</v>
      </c>
      <c r="AA804" s="118"/>
      <c r="AB804" s="118" t="str">
        <f t="shared" si="589"/>
        <v/>
      </c>
      <c r="AC804" s="712" t="str">
        <f>IF(AE804="T2G","no charge",IF(AND(OR(PlanterYesMe="No",PlanterYesMe="N",PlanterYesMe="me"),H804=""),"",IF(H804="credit","NO install",IF(AND(K804="",AE804="me"),"EACH row",IF(AND(K804="images",AE804="me"),"EACH row",IF(D804="","",IF(H804="credit","",IF(AE804="free","re-planting",IF(AE804="me","   not ELP, by",IF(AND(OR(PlanterYesMe="Yes",PlanterYesMe="Y"),G804&gt;0),(VLOOKUP(A804,'Discount Lookup'!J:K,2)*G804*(1-PlanterDiscount)*(1+PlanterDifficultyPercentage)),IF(AE804="ELP",(VLOOKUP(A804,'Discount Lookup'!J:K,2)*G804*(1-PlanterDiscount)*(1+PlanterDifficultyPercentage)),IF(AE804="free","re-planting",IF(G804=0,"",IF(PlanterYesMe="",IF(AE804="me","   not ELP, by",IF(AE804="",IF(G804&gt;0,(VLOOKUP(A804,'Discount Lookup'!J:K,2)*G804*(1-PlanterDiscount)*(1+PlanterDifficultyPercentage)),""),"")),"   not ELP, by"))))))))))))))</f>
        <v/>
      </c>
      <c r="AD804" s="712"/>
      <c r="AE804" s="513" t="str">
        <f t="shared" si="590"/>
        <v/>
      </c>
      <c r="AF804" s="713" t="str">
        <f t="shared" si="591"/>
        <v/>
      </c>
      <c r="AG804" s="713"/>
      <c r="AH804" s="713"/>
      <c r="AI804" s="112">
        <f>IF(H804="credit",0,IF(AE804="free",0,IF(AE804="me",0,IF(G804&gt;0,(VLOOKUP(A804,'Discount Lookup'!J:K,2)*G804),0))))</f>
        <v>0</v>
      </c>
      <c r="AJ804" s="107" t="str">
        <f t="shared" ca="1" si="592"/>
        <v/>
      </c>
      <c r="AK804" s="714" t="str">
        <f t="shared" si="593"/>
        <v/>
      </c>
      <c r="AL804" s="714"/>
      <c r="AM804" s="114" t="str">
        <f t="shared" si="594"/>
        <v/>
      </c>
      <c r="AN804" s="115"/>
      <c r="AO804" s="116"/>
      <c r="AP804" s="116"/>
      <c r="AQ804" s="116"/>
      <c r="AR804" s="116"/>
      <c r="AS804" s="116"/>
      <c r="AT804" s="116"/>
      <c r="AU804" s="116"/>
      <c r="AV804" s="78"/>
      <c r="AW804" s="102"/>
      <c r="AX804" s="78"/>
      <c r="AY804" s="78"/>
      <c r="AZ804" s="78"/>
      <c r="BA804" s="78"/>
      <c r="BB804" s="78"/>
      <c r="BC804" s="78"/>
      <c r="BD804" s="78"/>
      <c r="BE804" s="465"/>
      <c r="BF804" s="165" t="str">
        <f t="shared" si="595"/>
        <v>https://www.google.com/search?tbm=isch&amp;q=Canna%20%3D%20Canna%20</v>
      </c>
      <c r="BG804" s="165" t="str">
        <f t="shared" si="596"/>
        <v>C</v>
      </c>
      <c r="BH804" s="65"/>
      <c r="BI804" s="65"/>
      <c r="BJ804" s="65"/>
      <c r="BK804" s="65"/>
      <c r="BL804" s="99"/>
      <c r="BM804" s="99"/>
      <c r="BN804" s="99"/>
    </row>
    <row r="805" spans="1:66" s="51" customFormat="1" ht="18" x14ac:dyDescent="0.25">
      <c r="A805" s="623" t="s">
        <v>1902</v>
      </c>
      <c r="B805" s="624"/>
      <c r="C805" s="709"/>
      <c r="D805" s="625" t="s">
        <v>5615</v>
      </c>
      <c r="E805" s="626"/>
      <c r="F805" s="626"/>
      <c r="G805" s="626"/>
      <c r="H805" s="622" t="s">
        <v>4686</v>
      </c>
      <c r="I805" s="627" t="s">
        <v>4687</v>
      </c>
      <c r="J805" s="628"/>
      <c r="K805" s="628"/>
      <c r="L805" s="629"/>
      <c r="M805" s="700" t="s">
        <v>5241</v>
      </c>
      <c r="N805" s="693" t="str">
        <f>IF(AND(ISTEXT($A805), ISERROR($A805+0)), HYPERLINK($BF805, "Images"), "")</f>
        <v>Images</v>
      </c>
      <c r="O805" s="695" t="s">
        <v>5247</v>
      </c>
      <c r="P805" s="630"/>
      <c r="Q805" s="631"/>
      <c r="R805" s="632"/>
      <c r="S805" s="633"/>
      <c r="T805" s="102">
        <f t="shared" si="584"/>
        <v>0</v>
      </c>
      <c r="U805" s="78" t="str">
        <f>IF(NOT(ISNUMBER(G805)), "", VLOOKUP(A805,'Discount Lookup'!D:E,2,FALSE)*G805)</f>
        <v/>
      </c>
      <c r="V805" s="78" t="str">
        <f>IF(NOT(ISNUMBER(G805)), "", VLOOKUP(A805,'Discount Lookup'!G:H,2,FALSE)*G805)</f>
        <v/>
      </c>
      <c r="W805" s="102">
        <f t="shared" si="585"/>
        <v>0</v>
      </c>
      <c r="X805" s="102" t="str">
        <f t="shared" si="586"/>
        <v>Bright Yellow bloom, Orange speckles</v>
      </c>
      <c r="Y805" s="120" t="b">
        <f t="shared" si="587"/>
        <v>0</v>
      </c>
      <c r="Z805" s="117">
        <f t="shared" si="588"/>
        <v>0</v>
      </c>
      <c r="AA805" s="118"/>
      <c r="AB805" s="118" t="str">
        <f t="shared" si="589"/>
        <v/>
      </c>
      <c r="AC805" s="712" t="str">
        <f>IF(AE805="T2G","no charge",IF(AND(OR(PlanterYesMe="No",PlanterYesMe="N",PlanterYesMe="me"),H805=""),"",IF(H805="credit","NO install",IF(AND(K805="",AE805="me"),"EACH row",IF(AND(K805="images",AE805="me"),"EACH row",IF(D805="","",IF(H805="credit","",IF(AE805="free","re-planting",IF(AE805="me","   not ELP, by",IF(AND(OR(PlanterYesMe="Yes",PlanterYesMe="Y"),G805&gt;0),(VLOOKUP(A805,'Discount Lookup'!J:K,2)*G805*(1-PlanterDiscount)*(1+PlanterDifficultyPercentage)),IF(AE805="ELP",(VLOOKUP(A805,'Discount Lookup'!J:K,2)*G805*(1-PlanterDiscount)*(1+PlanterDifficultyPercentage)),IF(AE805="free","re-planting",IF(G805=0,"",IF(PlanterYesMe="",IF(AE805="me","   not ELP, by",IF(AE805="",IF(G805&gt;0,(VLOOKUP(A805,'Discount Lookup'!J:K,2)*G805*(1-PlanterDiscount)*(1+PlanterDifficultyPercentage)),""),"")),"   not ELP, by"))))))))))))))</f>
        <v/>
      </c>
      <c r="AD805" s="712"/>
      <c r="AE805" s="513" t="str">
        <f t="shared" si="590"/>
        <v/>
      </c>
      <c r="AF805" s="713" t="str">
        <f t="shared" si="591"/>
        <v/>
      </c>
      <c r="AG805" s="713"/>
      <c r="AH805" s="713"/>
      <c r="AI805" s="112">
        <f>IF(H805="credit",0,IF(AE805="free",0,IF(AE805="me",0,IF(G805&gt;0,(VLOOKUP(A805,'Discount Lookup'!J:K,2)*G805),0))))</f>
        <v>0</v>
      </c>
      <c r="AJ805" s="107" t="str">
        <f t="shared" ca="1" si="592"/>
        <v/>
      </c>
      <c r="AK805" s="714" t="str">
        <f t="shared" si="593"/>
        <v/>
      </c>
      <c r="AL805" s="714"/>
      <c r="AM805" s="114" t="str">
        <f t="shared" si="594"/>
        <v/>
      </c>
      <c r="AN805" s="115"/>
      <c r="AO805" s="116"/>
      <c r="AP805" s="116"/>
      <c r="AQ805" s="116"/>
      <c r="AR805" s="116"/>
      <c r="AS805" s="116"/>
      <c r="AT805" s="116"/>
      <c r="AU805" s="116"/>
      <c r="AV805" s="78"/>
      <c r="AW805" s="102"/>
      <c r="AX805" s="78"/>
      <c r="AY805" s="78"/>
      <c r="AZ805" s="78"/>
      <c r="BA805" s="78"/>
      <c r="BB805" s="78"/>
      <c r="BC805" s="78"/>
      <c r="BD805" s="78"/>
      <c r="BE805" s="465"/>
      <c r="BF805" s="165" t="str">
        <f t="shared" si="595"/>
        <v>https://www.google.com/search?tbm=isch&amp;q=Canna%20indica%20%27Happy%20Emily%27%20Canna%20LilySol%E2%84%A2%20Happy%20Emily%C2%AE%20Canna%20Lily</v>
      </c>
      <c r="BG805" s="165" t="str">
        <f t="shared" si="596"/>
        <v>C</v>
      </c>
      <c r="BH805" s="65"/>
      <c r="BI805" s="65"/>
      <c r="BJ805" s="65"/>
      <c r="BK805" s="65"/>
      <c r="BL805" s="99"/>
      <c r="BM805" s="99"/>
      <c r="BN805" s="99"/>
    </row>
    <row r="806" spans="1:66" s="51" customFormat="1" ht="15.75" x14ac:dyDescent="0.25">
      <c r="A806" s="634">
        <v>4</v>
      </c>
      <c r="B806" s="635" t="s">
        <v>338</v>
      </c>
      <c r="C806" s="636"/>
      <c r="D806" s="637" t="s">
        <v>329</v>
      </c>
      <c r="E806" s="638">
        <v>16.95</v>
      </c>
      <c r="F806" s="639" t="s">
        <v>292</v>
      </c>
      <c r="G806" s="484">
        <v>0</v>
      </c>
      <c r="H806" s="691" t="str">
        <f>IF(G806=0,"",IF(F806="Buy",IF(G806=1,"plant","plants"),IF(F806&gt;0.01,"warranty","Error")))</f>
        <v/>
      </c>
      <c r="I806" s="640">
        <f>IF(H806="free",0,IF(H806="credit",((E806*(F806))*G806*-1),IF(F806="Buy",(E806*G806),((E806*(1-F806))*G806))))</f>
        <v>0</v>
      </c>
      <c r="J806" s="640">
        <f>IF(H806="warranty",0,(I806*(_xlfn.SINGLE(SalesTaxPercentage))))</f>
        <v>0</v>
      </c>
      <c r="K806" s="716">
        <f t="shared" ref="K806" si="603">I806+J806</f>
        <v>0</v>
      </c>
      <c r="L806" s="716"/>
      <c r="M806" s="689" t="str">
        <f ca="1">IF(AND(G806&gt;0,E806=0),"WARNING - no PRICE inserted",IF(H806="free","FREE ~ no charge this plant",IF(H806="credit",CONCATENATE("-$",ROUND(K806*(1-_xlfn.SINGLE(T2GDiscount))*-1,2)," CREDIT after discount"),IF(_xlfn.SINGLE(T2GDiscount)=0,"",IF(G806=0,"",IF(F806="Buy",CONCATENATE("$",ROUND(K806*(1-_xlfn.SINGLE(T2GDiscount)),2)," with ",(_xlfn.SINGLE(T2GDiscount)*100),"% discount"),CONCATENATE("$",ROUND(K806*(1-_xlfn.SINGLE(T2GDiscount)),2)," with ",((_xlfn.SINGLE(T2GDiscount)*100+F806*100)-(_xlfn.SINGLE(T2GDiscount)*100*F806)),IF(F806&gt;0,"% discounts",IF(_xlfn.SINGLE(NoWarrantyDiscount)&gt;0,"% discounts","% discount")))))))))</f>
        <v/>
      </c>
      <c r="N806" s="690"/>
      <c r="O806" s="486"/>
      <c r="P806" s="486"/>
      <c r="Q806" s="486"/>
      <c r="R806" s="486"/>
      <c r="S806" s="486"/>
      <c r="T806" s="102">
        <f t="shared" si="584"/>
        <v>0</v>
      </c>
      <c r="U806" s="78">
        <f>IF(NOT(ISNUMBER(G806)), "", VLOOKUP(A806,'Discount Lookup'!D:E,2,FALSE)*G806)</f>
        <v>0</v>
      </c>
      <c r="V806" s="78">
        <f>IF(NOT(ISNUMBER(G806)), "", VLOOKUP(A806,'Discount Lookup'!G:H,2,FALSE)*G806)</f>
        <v>0</v>
      </c>
      <c r="W806" s="102">
        <f t="shared" si="585"/>
        <v>0</v>
      </c>
      <c r="X806" s="102">
        <f t="shared" si="586"/>
        <v>0</v>
      </c>
      <c r="Y806" s="120" t="b">
        <f t="shared" si="587"/>
        <v>0</v>
      </c>
      <c r="Z806" s="117">
        <f t="shared" si="588"/>
        <v>0</v>
      </c>
      <c r="AA806" s="118"/>
      <c r="AB806" s="118" t="str">
        <f t="shared" si="589"/>
        <v/>
      </c>
      <c r="AC806" s="712" t="str">
        <f>IF(AE806="T2G","no charge",IF(AND(OR(PlanterYesMe="No",PlanterYesMe="N",PlanterYesMe="me"),H806=""),"",IF(H806="credit","NO install",IF(AND(K806="",AE806="me"),"EACH row",IF(AND(K806="images",AE806="me"),"EACH row",IF(D806="","",IF(H806="credit","",IF(AE806="free","re-planting",IF(AE806="me","   not ELP, by",IF(AND(OR(PlanterYesMe="Yes",PlanterYesMe="Y"),G806&gt;0),(VLOOKUP(A806,'Discount Lookup'!J:K,2)*G806*(1-PlanterDiscount)*(1+PlanterDifficultyPercentage)),IF(AE806="ELP",(VLOOKUP(A806,'Discount Lookup'!J:K,2)*G806*(1-PlanterDiscount)*(1+PlanterDifficultyPercentage)),IF(AE806="free","re-planting",IF(G806=0,"",IF(PlanterYesMe="",IF(AE806="me","   not ELP, by",IF(AE806="",IF(G806&gt;0,(VLOOKUP(A806,'Discount Lookup'!J:K,2)*G806*(1-PlanterDiscount)*(1+PlanterDifficultyPercentage)),""),"")),"   not ELP, by"))))))))))))))</f>
        <v/>
      </c>
      <c r="AD806" s="712"/>
      <c r="AE806" s="513" t="str">
        <f t="shared" si="590"/>
        <v/>
      </c>
      <c r="AF806" s="713" t="str">
        <f t="shared" si="591"/>
        <v/>
      </c>
      <c r="AG806" s="713"/>
      <c r="AH806" s="713"/>
      <c r="AI806" s="112">
        <f>IF(H806="credit",0,IF(AE806="free",0,IF(AE806="me",0,IF(G806&gt;0,(VLOOKUP(A806,'Discount Lookup'!J:K,2)*G806),0))))</f>
        <v>0</v>
      </c>
      <c r="AJ806" s="107" t="str">
        <f t="shared" ca="1" si="592"/>
        <v/>
      </c>
      <c r="AK806" s="714" t="str">
        <f t="shared" si="593"/>
        <v/>
      </c>
      <c r="AL806" s="714"/>
      <c r="AM806" s="114" t="str">
        <f t="shared" si="594"/>
        <v/>
      </c>
      <c r="AN806" s="115"/>
      <c r="AO806" s="116"/>
      <c r="AP806" s="116"/>
      <c r="AQ806" s="116"/>
      <c r="AR806" s="116"/>
      <c r="AS806" s="116"/>
      <c r="AT806" s="116"/>
      <c r="AU806" s="116"/>
      <c r="AV806" s="78"/>
      <c r="AW806" s="102"/>
      <c r="AX806" s="78"/>
      <c r="AY806" s="78"/>
      <c r="AZ806" s="78"/>
      <c r="BA806" s="78"/>
      <c r="BB806" s="78"/>
      <c r="BC806" s="78"/>
      <c r="BD806" s="78"/>
      <c r="BE806" s="465"/>
      <c r="BF806" s="165" t="str">
        <f t="shared" si="595"/>
        <v>https://www.google.com/search?tbm=isch&amp;q=4%20G2</v>
      </c>
      <c r="BG806" s="165" t="str">
        <f t="shared" si="596"/>
        <v>C</v>
      </c>
      <c r="BH806" s="65"/>
      <c r="BI806" s="65"/>
      <c r="BJ806" s="65"/>
      <c r="BK806" s="65"/>
      <c r="BL806" s="99"/>
      <c r="BM806" s="99"/>
      <c r="BN806" s="99"/>
    </row>
    <row r="807" spans="1:66" s="51" customFormat="1" ht="17.25" thickBot="1" x14ac:dyDescent="0.3">
      <c r="A807" s="704" t="s">
        <v>5358</v>
      </c>
      <c r="B807" s="642"/>
      <c r="C807" s="710"/>
      <c r="D807" s="643"/>
      <c r="E807" s="643"/>
      <c r="F807" s="644"/>
      <c r="G807" s="645"/>
      <c r="H807" s="646"/>
      <c r="I807" s="647"/>
      <c r="J807" s="648"/>
      <c r="K807" s="649"/>
      <c r="L807" s="650"/>
      <c r="M807" s="650"/>
      <c r="N807" s="644"/>
      <c r="O807" s="644"/>
      <c r="P807" s="644"/>
      <c r="Q807" s="644"/>
      <c r="R807" s="644"/>
      <c r="S807" s="701" t="s">
        <v>5273</v>
      </c>
      <c r="T807" s="102">
        <f t="shared" si="584"/>
        <v>0</v>
      </c>
      <c r="U807" s="78" t="str">
        <f>IF(NOT(ISNUMBER(G807)), "", VLOOKUP(A807,'Discount Lookup'!D:E,2,FALSE)*G807)</f>
        <v/>
      </c>
      <c r="V807" s="78" t="str">
        <f>IF(NOT(ISNUMBER(G807)), "", VLOOKUP(A807,'Discount Lookup'!G:H,2,FALSE)*G807)</f>
        <v/>
      </c>
      <c r="W807" s="102">
        <f t="shared" si="585"/>
        <v>0</v>
      </c>
      <c r="X807" s="102">
        <f t="shared" si="586"/>
        <v>0</v>
      </c>
      <c r="Y807" s="120" t="b">
        <f t="shared" si="587"/>
        <v>0</v>
      </c>
      <c r="Z807" s="117">
        <f t="shared" si="588"/>
        <v>0</v>
      </c>
      <c r="AA807" s="118"/>
      <c r="AB807" s="118" t="str">
        <f t="shared" si="589"/>
        <v/>
      </c>
      <c r="AC807" s="712" t="str">
        <f>IF(AE807="T2G","no charge",IF(AND(OR(PlanterYesMe="No",PlanterYesMe="N",PlanterYesMe="me"),H807=""),"",IF(H807="credit","NO install",IF(AND(K807="",AE807="me"),"EACH row",IF(AND(K807="images",AE807="me"),"EACH row",IF(D807="","",IF(H807="credit","",IF(AE807="free","re-planting",IF(AE807="me","   not ELP, by",IF(AND(OR(PlanterYesMe="Yes",PlanterYesMe="Y"),G807&gt;0),(VLOOKUP(A807,'Discount Lookup'!J:K,2)*G807*(1-PlanterDiscount)*(1+PlanterDifficultyPercentage)),IF(AE807="ELP",(VLOOKUP(A807,'Discount Lookup'!J:K,2)*G807*(1-PlanterDiscount)*(1+PlanterDifficultyPercentage)),IF(AE807="free","re-planting",IF(G807=0,"",IF(PlanterYesMe="",IF(AE807="me","   not ELP, by",IF(AE807="",IF(G807&gt;0,(VLOOKUP(A807,'Discount Lookup'!J:K,2)*G807*(1-PlanterDiscount)*(1+PlanterDifficultyPercentage)),""),"")),"   not ELP, by"))))))))))))))</f>
        <v/>
      </c>
      <c r="AD807" s="712"/>
      <c r="AE807" s="513" t="str">
        <f t="shared" si="590"/>
        <v/>
      </c>
      <c r="AF807" s="713" t="str">
        <f t="shared" si="591"/>
        <v/>
      </c>
      <c r="AG807" s="713"/>
      <c r="AH807" s="713"/>
      <c r="AI807" s="112">
        <f>IF(H807="credit",0,IF(AE807="free",0,IF(AE807="me",0,IF(G807&gt;0,(VLOOKUP(A807,'Discount Lookup'!J:K,2)*G807),0))))</f>
        <v>0</v>
      </c>
      <c r="AJ807" s="107" t="str">
        <f t="shared" ca="1" si="592"/>
        <v/>
      </c>
      <c r="AK807" s="714" t="str">
        <f t="shared" si="593"/>
        <v/>
      </c>
      <c r="AL807" s="714"/>
      <c r="AM807" s="114" t="str">
        <f t="shared" si="594"/>
        <v/>
      </c>
      <c r="AN807" s="115"/>
      <c r="AO807" s="116"/>
      <c r="AP807" s="116"/>
      <c r="AQ807" s="116"/>
      <c r="AR807" s="116"/>
      <c r="AS807" s="116"/>
      <c r="AT807" s="116"/>
      <c r="AU807" s="116"/>
      <c r="AV807" s="78"/>
      <c r="AW807" s="102"/>
      <c r="AX807" s="78"/>
      <c r="AY807" s="78"/>
      <c r="AZ807" s="78"/>
      <c r="BA807" s="78"/>
      <c r="BB807" s="78"/>
      <c r="BC807" s="78"/>
      <c r="BD807" s="78"/>
      <c r="BE807" s="465"/>
      <c r="BF807" s="165" t="str">
        <f t="shared" si="595"/>
        <v>https://www.google.com/search?tbm=isch&amp;q=moist%20sites%F0%9F%92%A7GOOD%2C%20Happy%20Emily%20will%20bloom%20continuously%2C%20with%20self-cleaning%20flowers.%20Variegated%20Green-and-Yellow%20foliage%20</v>
      </c>
      <c r="BG807" s="165" t="str">
        <f t="shared" si="596"/>
        <v>m</v>
      </c>
      <c r="BH807" s="65"/>
      <c r="BI807" s="65"/>
      <c r="BJ807" s="65"/>
      <c r="BK807" s="65"/>
      <c r="BL807" s="99"/>
      <c r="BM807" s="99"/>
      <c r="BN807" s="99"/>
    </row>
    <row r="808" spans="1:66" s="51" customFormat="1" ht="18" x14ac:dyDescent="0.25">
      <c r="A808" s="623" t="s">
        <v>1903</v>
      </c>
      <c r="B808" s="624"/>
      <c r="C808" s="709"/>
      <c r="D808" s="625" t="s">
        <v>5616</v>
      </c>
      <c r="E808" s="626"/>
      <c r="F808" s="626"/>
      <c r="G808" s="626"/>
      <c r="H808" s="622" t="s">
        <v>4688</v>
      </c>
      <c r="I808" s="627" t="s">
        <v>4689</v>
      </c>
      <c r="J808" s="628"/>
      <c r="K808" s="628"/>
      <c r="L808" s="629"/>
      <c r="M808" s="700" t="s">
        <v>5241</v>
      </c>
      <c r="N808" s="693" t="str">
        <f>IF(AND(ISTEXT($A808), ISERROR($A808+0)), HYPERLINK($BF808, "Images"), "")</f>
        <v>Images</v>
      </c>
      <c r="O808" s="695" t="s">
        <v>5247</v>
      </c>
      <c r="P808" s="630"/>
      <c r="Q808" s="631"/>
      <c r="R808" s="632"/>
      <c r="S808" s="633"/>
      <c r="T808" s="102">
        <f t="shared" si="584"/>
        <v>0</v>
      </c>
      <c r="U808" s="78" t="str">
        <f>IF(NOT(ISNUMBER(G808)), "", VLOOKUP(A808,'Discount Lookup'!D:E,2,FALSE)*G808)</f>
        <v/>
      </c>
      <c r="V808" s="78" t="str">
        <f>IF(NOT(ISNUMBER(G808)), "", VLOOKUP(A808,'Discount Lookup'!G:H,2,FALSE)*G808)</f>
        <v/>
      </c>
      <c r="W808" s="102">
        <f t="shared" si="585"/>
        <v>0</v>
      </c>
      <c r="X808" s="102" t="str">
        <f t="shared" si="586"/>
        <v>Tangerine-Orange bloom</v>
      </c>
      <c r="Y808" s="120" t="b">
        <f t="shared" si="587"/>
        <v>0</v>
      </c>
      <c r="Z808" s="117">
        <f t="shared" si="588"/>
        <v>0</v>
      </c>
      <c r="AA808" s="118"/>
      <c r="AB808" s="118" t="str">
        <f t="shared" si="589"/>
        <v/>
      </c>
      <c r="AC808" s="712" t="str">
        <f>IF(AE808="T2G","no charge",IF(AND(OR(PlanterYesMe="No",PlanterYesMe="N",PlanterYesMe="me"),H808=""),"",IF(H808="credit","NO install",IF(AND(K808="",AE808="me"),"EACH row",IF(AND(K808="images",AE808="me"),"EACH row",IF(D808="","",IF(H808="credit","",IF(AE808="free","re-planting",IF(AE808="me","   not ELP, by",IF(AND(OR(PlanterYesMe="Yes",PlanterYesMe="Y"),G808&gt;0),(VLOOKUP(A808,'Discount Lookup'!J:K,2)*G808*(1-PlanterDiscount)*(1+PlanterDifficultyPercentage)),IF(AE808="ELP",(VLOOKUP(A808,'Discount Lookup'!J:K,2)*G808*(1-PlanterDiscount)*(1+PlanterDifficultyPercentage)),IF(AE808="free","re-planting",IF(G808=0,"",IF(PlanterYesMe="",IF(AE808="me","   not ELP, by",IF(AE808="",IF(G808&gt;0,(VLOOKUP(A808,'Discount Lookup'!J:K,2)*G808*(1-PlanterDiscount)*(1+PlanterDifficultyPercentage)),""),"")),"   not ELP, by"))))))))))))))</f>
        <v/>
      </c>
      <c r="AD808" s="712"/>
      <c r="AE808" s="513" t="str">
        <f t="shared" si="590"/>
        <v/>
      </c>
      <c r="AF808" s="713" t="str">
        <f t="shared" si="591"/>
        <v/>
      </c>
      <c r="AG808" s="713"/>
      <c r="AH808" s="713"/>
      <c r="AI808" s="112">
        <f>IF(H808="credit",0,IF(AE808="free",0,IF(AE808="me",0,IF(G808&gt;0,(VLOOKUP(A808,'Discount Lookup'!J:K,2)*G808),0))))</f>
        <v>0</v>
      </c>
      <c r="AJ808" s="107" t="str">
        <f t="shared" ca="1" si="592"/>
        <v/>
      </c>
      <c r="AK808" s="714" t="str">
        <f t="shared" si="593"/>
        <v/>
      </c>
      <c r="AL808" s="714"/>
      <c r="AM808" s="114" t="str">
        <f t="shared" si="594"/>
        <v/>
      </c>
      <c r="AN808" s="115"/>
      <c r="AO808" s="116"/>
      <c r="AP808" s="116"/>
      <c r="AQ808" s="116"/>
      <c r="AR808" s="116"/>
      <c r="AS808" s="116"/>
      <c r="AT808" s="116"/>
      <c r="AU808" s="116"/>
      <c r="AV808" s="78"/>
      <c r="AW808" s="102"/>
      <c r="AX808" s="78"/>
      <c r="AY808" s="78"/>
      <c r="AZ808" s="78"/>
      <c r="BA808" s="78"/>
      <c r="BB808" s="78"/>
      <c r="BC808" s="78"/>
      <c r="BD808" s="78"/>
      <c r="BE808" s="465"/>
      <c r="BF808" s="165" t="str">
        <f t="shared" si="595"/>
        <v>https://www.google.com/search?tbm=isch&amp;q=Canna%20indica%20%27Happy%20Julia%27%20Canna%20LilySol%E2%84%A2%20Happy%20Julia%C2%AE%20Canna%20Lily</v>
      </c>
      <c r="BG808" s="165" t="str">
        <f t="shared" si="596"/>
        <v>C</v>
      </c>
      <c r="BH808" s="65"/>
      <c r="BI808" s="65"/>
      <c r="BJ808" s="65"/>
      <c r="BK808" s="65"/>
      <c r="BL808" s="99"/>
      <c r="BM808" s="99"/>
      <c r="BN808" s="99"/>
    </row>
    <row r="809" spans="1:66" s="51" customFormat="1" ht="15.75" x14ac:dyDescent="0.25">
      <c r="A809" s="634">
        <v>4</v>
      </c>
      <c r="B809" s="635" t="s">
        <v>338</v>
      </c>
      <c r="C809" s="636"/>
      <c r="D809" s="637" t="s">
        <v>329</v>
      </c>
      <c r="E809" s="638">
        <v>16.95</v>
      </c>
      <c r="F809" s="639" t="s">
        <v>292</v>
      </c>
      <c r="G809" s="484">
        <v>0</v>
      </c>
      <c r="H809" s="691" t="str">
        <f>IF(G809=0,"",IF(F809="Buy",IF(G809=1,"plant","plants"),IF(F809&gt;0.01,"warranty","Error")))</f>
        <v/>
      </c>
      <c r="I809" s="640">
        <f>IF(H809="free",0,IF(H809="credit",((E809*(F809))*G809*-1),IF(F809="Buy",(E809*G809),((E809*(1-F809))*G809))))</f>
        <v>0</v>
      </c>
      <c r="J809" s="640">
        <f>IF(H809="warranty",0,(I809*(_xlfn.SINGLE(SalesTaxPercentage))))</f>
        <v>0</v>
      </c>
      <c r="K809" s="716">
        <f t="shared" ref="K809" si="604">I809+J809</f>
        <v>0</v>
      </c>
      <c r="L809" s="716"/>
      <c r="M809" s="689" t="str">
        <f ca="1">IF(AND(G809&gt;0,E809=0),"WARNING - no PRICE inserted",IF(H809="free","FREE ~ no charge this plant",IF(H809="credit",CONCATENATE("-$",ROUND(K809*(1-_xlfn.SINGLE(T2GDiscount))*-1,2)," CREDIT after discount"),IF(_xlfn.SINGLE(T2GDiscount)=0,"",IF(G809=0,"",IF(F809="Buy",CONCATENATE("$",ROUND(K809*(1-_xlfn.SINGLE(T2GDiscount)),2)," with ",(_xlfn.SINGLE(T2GDiscount)*100),"% discount"),CONCATENATE("$",ROUND(K809*(1-_xlfn.SINGLE(T2GDiscount)),2)," with ",((_xlfn.SINGLE(T2GDiscount)*100+F809*100)-(_xlfn.SINGLE(T2GDiscount)*100*F809)),IF(F809&gt;0,"% discounts",IF(_xlfn.SINGLE(NoWarrantyDiscount)&gt;0,"% discounts","% discount")))))))))</f>
        <v/>
      </c>
      <c r="N809" s="690"/>
      <c r="O809" s="486"/>
      <c r="P809" s="486"/>
      <c r="Q809" s="486"/>
      <c r="R809" s="486"/>
      <c r="S809" s="486"/>
      <c r="T809" s="102">
        <f t="shared" si="584"/>
        <v>0</v>
      </c>
      <c r="U809" s="78">
        <f>IF(NOT(ISNUMBER(G809)), "", VLOOKUP(A809,'Discount Lookup'!D:E,2,FALSE)*G809)</f>
        <v>0</v>
      </c>
      <c r="V809" s="78">
        <f>IF(NOT(ISNUMBER(G809)), "", VLOOKUP(A809,'Discount Lookup'!G:H,2,FALSE)*G809)</f>
        <v>0</v>
      </c>
      <c r="W809" s="102">
        <f t="shared" si="585"/>
        <v>0</v>
      </c>
      <c r="X809" s="102">
        <f t="shared" si="586"/>
        <v>0</v>
      </c>
      <c r="Y809" s="120" t="b">
        <f t="shared" si="587"/>
        <v>0</v>
      </c>
      <c r="Z809" s="117">
        <f t="shared" si="588"/>
        <v>0</v>
      </c>
      <c r="AA809" s="118"/>
      <c r="AB809" s="118" t="str">
        <f t="shared" si="589"/>
        <v/>
      </c>
      <c r="AC809" s="712" t="str">
        <f>IF(AE809="T2G","no charge",IF(AND(OR(PlanterYesMe="No",PlanterYesMe="N",PlanterYesMe="me"),H809=""),"",IF(H809="credit","NO install",IF(AND(K809="",AE809="me"),"EACH row",IF(AND(K809="images",AE809="me"),"EACH row",IF(D809="","",IF(H809="credit","",IF(AE809="free","re-planting",IF(AE809="me","   not ELP, by",IF(AND(OR(PlanterYesMe="Yes",PlanterYesMe="Y"),G809&gt;0),(VLOOKUP(A809,'Discount Lookup'!J:K,2)*G809*(1-PlanterDiscount)*(1+PlanterDifficultyPercentage)),IF(AE809="ELP",(VLOOKUP(A809,'Discount Lookup'!J:K,2)*G809*(1-PlanterDiscount)*(1+PlanterDifficultyPercentage)),IF(AE809="free","re-planting",IF(G809=0,"",IF(PlanterYesMe="",IF(AE809="me","   not ELP, by",IF(AE809="",IF(G809&gt;0,(VLOOKUP(A809,'Discount Lookup'!J:K,2)*G809*(1-PlanterDiscount)*(1+PlanterDifficultyPercentage)),""),"")),"   not ELP, by"))))))))))))))</f>
        <v/>
      </c>
      <c r="AD809" s="712"/>
      <c r="AE809" s="513" t="str">
        <f t="shared" si="590"/>
        <v/>
      </c>
      <c r="AF809" s="713" t="str">
        <f t="shared" si="591"/>
        <v/>
      </c>
      <c r="AG809" s="713"/>
      <c r="AH809" s="713"/>
      <c r="AI809" s="112">
        <f>IF(H809="credit",0,IF(AE809="free",0,IF(AE809="me",0,IF(G809&gt;0,(VLOOKUP(A809,'Discount Lookup'!J:K,2)*G809),0))))</f>
        <v>0</v>
      </c>
      <c r="AJ809" s="107" t="str">
        <f t="shared" ca="1" si="592"/>
        <v/>
      </c>
      <c r="AK809" s="714" t="str">
        <f t="shared" si="593"/>
        <v/>
      </c>
      <c r="AL809" s="714"/>
      <c r="AM809" s="114" t="str">
        <f t="shared" si="594"/>
        <v/>
      </c>
      <c r="AN809" s="115"/>
      <c r="AO809" s="116"/>
      <c r="AP809" s="116"/>
      <c r="AQ809" s="116"/>
      <c r="AR809" s="116"/>
      <c r="AS809" s="116"/>
      <c r="AT809" s="116"/>
      <c r="AU809" s="116"/>
      <c r="AV809" s="78"/>
      <c r="AW809" s="102"/>
      <c r="AX809" s="78"/>
      <c r="AY809" s="78"/>
      <c r="AZ809" s="78"/>
      <c r="BA809" s="78"/>
      <c r="BB809" s="78"/>
      <c r="BC809" s="78"/>
      <c r="BD809" s="78"/>
      <c r="BE809" s="465"/>
      <c r="BF809" s="165" t="str">
        <f t="shared" si="595"/>
        <v>https://www.google.com/search?tbm=isch&amp;q=4%20G2</v>
      </c>
      <c r="BG809" s="165" t="str">
        <f t="shared" si="596"/>
        <v>C</v>
      </c>
      <c r="BH809" s="65"/>
      <c r="BI809" s="65"/>
      <c r="BJ809" s="65"/>
      <c r="BK809" s="65"/>
      <c r="BL809" s="99"/>
      <c r="BM809" s="99"/>
      <c r="BN809" s="99"/>
    </row>
    <row r="810" spans="1:66" s="51" customFormat="1" ht="17.25" thickBot="1" x14ac:dyDescent="0.3">
      <c r="A810" s="704" t="s">
        <v>5359</v>
      </c>
      <c r="B810" s="642"/>
      <c r="C810" s="710"/>
      <c r="D810" s="643"/>
      <c r="E810" s="643"/>
      <c r="F810" s="644"/>
      <c r="G810" s="645"/>
      <c r="H810" s="646"/>
      <c r="I810" s="647"/>
      <c r="J810" s="648"/>
      <c r="K810" s="649"/>
      <c r="L810" s="650"/>
      <c r="M810" s="650"/>
      <c r="N810" s="644"/>
      <c r="O810" s="644"/>
      <c r="P810" s="644"/>
      <c r="Q810" s="644"/>
      <c r="R810" s="644"/>
      <c r="S810" s="701" t="s">
        <v>5273</v>
      </c>
      <c r="T810" s="102">
        <f t="shared" si="584"/>
        <v>0</v>
      </c>
      <c r="U810" s="78" t="str">
        <f>IF(NOT(ISNUMBER(G810)), "", VLOOKUP(A810,'Discount Lookup'!D:E,2,FALSE)*G810)</f>
        <v/>
      </c>
      <c r="V810" s="78" t="str">
        <f>IF(NOT(ISNUMBER(G810)), "", VLOOKUP(A810,'Discount Lookup'!G:H,2,FALSE)*G810)</f>
        <v/>
      </c>
      <c r="W810" s="102">
        <f t="shared" si="585"/>
        <v>0</v>
      </c>
      <c r="X810" s="102">
        <f t="shared" si="586"/>
        <v>0</v>
      </c>
      <c r="Y810" s="120" t="b">
        <f t="shared" si="587"/>
        <v>0</v>
      </c>
      <c r="Z810" s="117">
        <f t="shared" si="588"/>
        <v>0</v>
      </c>
      <c r="AA810" s="118"/>
      <c r="AB810" s="118" t="str">
        <f t="shared" si="589"/>
        <v/>
      </c>
      <c r="AC810" s="712" t="str">
        <f>IF(AE810="T2G","no charge",IF(AND(OR(PlanterYesMe="No",PlanterYesMe="N",PlanterYesMe="me"),H810=""),"",IF(H810="credit","NO install",IF(AND(K810="",AE810="me"),"EACH row",IF(AND(K810="images",AE810="me"),"EACH row",IF(D810="","",IF(H810="credit","",IF(AE810="free","re-planting",IF(AE810="me","   not ELP, by",IF(AND(OR(PlanterYesMe="Yes",PlanterYesMe="Y"),G810&gt;0),(VLOOKUP(A810,'Discount Lookup'!J:K,2)*G810*(1-PlanterDiscount)*(1+PlanterDifficultyPercentage)),IF(AE810="ELP",(VLOOKUP(A810,'Discount Lookup'!J:K,2)*G810*(1-PlanterDiscount)*(1+PlanterDifficultyPercentage)),IF(AE810="free","re-planting",IF(G810=0,"",IF(PlanterYesMe="",IF(AE810="me","   not ELP, by",IF(AE810="",IF(G810&gt;0,(VLOOKUP(A810,'Discount Lookup'!J:K,2)*G810*(1-PlanterDiscount)*(1+PlanterDifficultyPercentage)),""),"")),"   not ELP, by"))))))))))))))</f>
        <v/>
      </c>
      <c r="AD810" s="712"/>
      <c r="AE810" s="513" t="str">
        <f t="shared" si="590"/>
        <v/>
      </c>
      <c r="AF810" s="713" t="str">
        <f t="shared" si="591"/>
        <v/>
      </c>
      <c r="AG810" s="713"/>
      <c r="AH810" s="713"/>
      <c r="AI810" s="112">
        <f>IF(H810="credit",0,IF(AE810="free",0,IF(AE810="me",0,IF(G810&gt;0,(VLOOKUP(A810,'Discount Lookup'!J:K,2)*G810),0))))</f>
        <v>0</v>
      </c>
      <c r="AJ810" s="107" t="str">
        <f t="shared" ca="1" si="592"/>
        <v/>
      </c>
      <c r="AK810" s="714" t="str">
        <f t="shared" si="593"/>
        <v/>
      </c>
      <c r="AL810" s="714"/>
      <c r="AM810" s="114" t="str">
        <f t="shared" si="594"/>
        <v/>
      </c>
      <c r="AN810" s="115"/>
      <c r="AO810" s="116"/>
      <c r="AP810" s="116"/>
      <c r="AQ810" s="116"/>
      <c r="AR810" s="116"/>
      <c r="AS810" s="116"/>
      <c r="AT810" s="116"/>
      <c r="AU810" s="116"/>
      <c r="AV810" s="78"/>
      <c r="AW810" s="102"/>
      <c r="AX810" s="78"/>
      <c r="AY810" s="78"/>
      <c r="AZ810" s="78"/>
      <c r="BA810" s="78"/>
      <c r="BB810" s="78"/>
      <c r="BC810" s="78"/>
      <c r="BD810" s="78"/>
      <c r="BE810" s="465"/>
      <c r="BF810" s="165" t="str">
        <f t="shared" si="595"/>
        <v>https://www.google.com/search?tbm=isch&amp;q=moist%20sites%F0%9F%92%A7GOOD%2C%20Happy%20Julia%20will%20bloom%20continuously%2C%20with%20self-cleaning%20flowers.%20Plum%20to%20Deep%20Burgundy%20foliage%20</v>
      </c>
      <c r="BG810" s="165" t="str">
        <f t="shared" si="596"/>
        <v>m</v>
      </c>
      <c r="BH810" s="65"/>
      <c r="BI810" s="65"/>
      <c r="BJ810" s="65"/>
      <c r="BK810" s="65"/>
      <c r="BL810" s="99"/>
      <c r="BM810" s="99"/>
      <c r="BN810" s="99"/>
    </row>
    <row r="811" spans="1:66" s="51" customFormat="1" ht="18" x14ac:dyDescent="0.25">
      <c r="A811" s="623" t="s">
        <v>1904</v>
      </c>
      <c r="B811" s="624"/>
      <c r="C811" s="709"/>
      <c r="D811" s="625" t="s">
        <v>1905</v>
      </c>
      <c r="E811" s="626"/>
      <c r="F811" s="626"/>
      <c r="G811" s="626"/>
      <c r="H811" s="622" t="s">
        <v>4882</v>
      </c>
      <c r="I811" s="627" t="s">
        <v>4690</v>
      </c>
      <c r="J811" s="628"/>
      <c r="K811" s="628"/>
      <c r="L811" s="629"/>
      <c r="M811" s="700" t="s">
        <v>5241</v>
      </c>
      <c r="N811" s="693" t="str">
        <f>IF(AND(ISTEXT($A811), ISERROR($A811+0)), HYPERLINK($BF811, "Images"), "")</f>
        <v>Images</v>
      </c>
      <c r="O811" s="695" t="s">
        <v>5247</v>
      </c>
      <c r="P811" s="630"/>
      <c r="Q811" s="631"/>
      <c r="R811" s="632"/>
      <c r="S811" s="633"/>
      <c r="T811" s="102">
        <f t="shared" si="584"/>
        <v>0</v>
      </c>
      <c r="U811" s="78" t="str">
        <f>IF(NOT(ISNUMBER(G811)), "", VLOOKUP(A811,'Discount Lookup'!D:E,2,FALSE)*G811)</f>
        <v/>
      </c>
      <c r="V811" s="78" t="str">
        <f>IF(NOT(ISNUMBER(G811)), "", VLOOKUP(A811,'Discount Lookup'!G:H,2,FALSE)*G811)</f>
        <v/>
      </c>
      <c r="W811" s="102">
        <f t="shared" si="585"/>
        <v>0</v>
      </c>
      <c r="X811" s="102" t="str">
        <f t="shared" si="586"/>
        <v>Scarlet-Red bloom</v>
      </c>
      <c r="Y811" s="120" t="b">
        <f t="shared" si="587"/>
        <v>0</v>
      </c>
      <c r="Z811" s="117">
        <f t="shared" si="588"/>
        <v>0</v>
      </c>
      <c r="AA811" s="118"/>
      <c r="AB811" s="118" t="str">
        <f t="shared" si="589"/>
        <v/>
      </c>
      <c r="AC811" s="712" t="str">
        <f>IF(AE811="T2G","no charge",IF(AND(OR(PlanterYesMe="No",PlanterYesMe="N",PlanterYesMe="me"),H811=""),"",IF(H811="credit","NO install",IF(AND(K811="",AE811="me"),"EACH row",IF(AND(K811="images",AE811="me"),"EACH row",IF(D811="","",IF(H811="credit","",IF(AE811="free","re-planting",IF(AE811="me","   not ELP, by",IF(AND(OR(PlanterYesMe="Yes",PlanterYesMe="Y"),G811&gt;0),(VLOOKUP(A811,'Discount Lookup'!J:K,2)*G811*(1-PlanterDiscount)*(1+PlanterDifficultyPercentage)),IF(AE811="ELP",(VLOOKUP(A811,'Discount Lookup'!J:K,2)*G811*(1-PlanterDiscount)*(1+PlanterDifficultyPercentage)),IF(AE811="free","re-planting",IF(G811=0,"",IF(PlanterYesMe="",IF(AE811="me","   not ELP, by",IF(AE811="",IF(G811&gt;0,(VLOOKUP(A811,'Discount Lookup'!J:K,2)*G811*(1-PlanterDiscount)*(1+PlanterDifficultyPercentage)),""),"")),"   not ELP, by"))))))))))))))</f>
        <v/>
      </c>
      <c r="AD811" s="712"/>
      <c r="AE811" s="513" t="str">
        <f t="shared" si="590"/>
        <v/>
      </c>
      <c r="AF811" s="713" t="str">
        <f t="shared" si="591"/>
        <v/>
      </c>
      <c r="AG811" s="713"/>
      <c r="AH811" s="713"/>
      <c r="AI811" s="112">
        <f>IF(H811="credit",0,IF(AE811="free",0,IF(AE811="me",0,IF(G811&gt;0,(VLOOKUP(A811,'Discount Lookup'!J:K,2)*G811),0))))</f>
        <v>0</v>
      </c>
      <c r="AJ811" s="107" t="str">
        <f t="shared" ca="1" si="592"/>
        <v/>
      </c>
      <c r="AK811" s="714" t="str">
        <f t="shared" si="593"/>
        <v/>
      </c>
      <c r="AL811" s="714"/>
      <c r="AM811" s="114" t="str">
        <f t="shared" si="594"/>
        <v/>
      </c>
      <c r="AN811" s="115"/>
      <c r="AO811" s="116"/>
      <c r="AP811" s="116"/>
      <c r="AQ811" s="116"/>
      <c r="AR811" s="116"/>
      <c r="AS811" s="116"/>
      <c r="AT811" s="116"/>
      <c r="AU811" s="116"/>
      <c r="AV811" s="78"/>
      <c r="AW811" s="102"/>
      <c r="AX811" s="78"/>
      <c r="AY811" s="78"/>
      <c r="AZ811" s="78"/>
      <c r="BA811" s="78"/>
      <c r="BB811" s="78"/>
      <c r="BC811" s="78"/>
      <c r="BD811" s="78"/>
      <c r="BE811" s="465"/>
      <c r="BF811" s="165" t="str">
        <f t="shared" si="595"/>
        <v>https://www.google.com/search?tbm=isch&amp;q=Canna%20x%20generalis%20%27Australia%27%20Australia%20Canna%20Lily</v>
      </c>
      <c r="BG811" s="165" t="str">
        <f t="shared" si="596"/>
        <v>C</v>
      </c>
      <c r="BH811" s="65"/>
      <c r="BI811" s="65"/>
      <c r="BJ811" s="65"/>
      <c r="BK811" s="65"/>
      <c r="BL811" s="99"/>
      <c r="BM811" s="99"/>
      <c r="BN811" s="99"/>
    </row>
    <row r="812" spans="1:66" s="51" customFormat="1" ht="15.75" x14ac:dyDescent="0.25">
      <c r="A812" s="634">
        <v>3</v>
      </c>
      <c r="B812" s="635" t="s">
        <v>291</v>
      </c>
      <c r="C812" s="636" t="s">
        <v>1906</v>
      </c>
      <c r="D812" s="637" t="s">
        <v>299</v>
      </c>
      <c r="E812" s="638">
        <v>31.95</v>
      </c>
      <c r="F812" s="639" t="s">
        <v>292</v>
      </c>
      <c r="G812" s="484">
        <v>0</v>
      </c>
      <c r="H812" s="691" t="str">
        <f>IF(G812=0,"",IF(F812="Buy",IF(G812=1,"plant","plants"),IF(F812&gt;0.01,"warranty","Error")))</f>
        <v/>
      </c>
      <c r="I812" s="640">
        <f>IF(H812="free",0,IF(H812="credit",((E812*(F812))*G812*-1),IF(F812="Buy",(E812*G812),((E812*(1-F812))*G812))))</f>
        <v>0</v>
      </c>
      <c r="J812" s="640">
        <f>IF(H812="warranty",0,(I812*(_xlfn.SINGLE(SalesTaxPercentage))))</f>
        <v>0</v>
      </c>
      <c r="K812" s="716">
        <f t="shared" ref="K812" si="605">I812+J812</f>
        <v>0</v>
      </c>
      <c r="L812" s="716"/>
      <c r="M812" s="689" t="str">
        <f ca="1">IF(AND(G812&gt;0,E812=0),"WARNING - no PRICE inserted",IF(H812="free","FREE ~ no charge this plant",IF(H812="credit",CONCATENATE("-$",ROUND(K812*(1-_xlfn.SINGLE(T2GDiscount))*-1,2)," CREDIT after discount"),IF(_xlfn.SINGLE(T2GDiscount)=0,"",IF(G812=0,"",IF(F812="Buy",CONCATENATE("$",ROUND(K812*(1-_xlfn.SINGLE(T2GDiscount)),2)," with ",(_xlfn.SINGLE(T2GDiscount)*100),"% discount"),CONCATENATE("$",ROUND(K812*(1-_xlfn.SINGLE(T2GDiscount)),2)," with ",((_xlfn.SINGLE(T2GDiscount)*100+F812*100)-(_xlfn.SINGLE(T2GDiscount)*100*F812)),IF(F812&gt;0,"% discounts",IF(_xlfn.SINGLE(NoWarrantyDiscount)&gt;0,"% discounts","% discount")))))))))</f>
        <v/>
      </c>
      <c r="N812" s="690"/>
      <c r="O812" s="486"/>
      <c r="P812" s="486"/>
      <c r="Q812" s="486"/>
      <c r="R812" s="486"/>
      <c r="S812" s="486"/>
      <c r="T812" s="102">
        <f t="shared" si="584"/>
        <v>0</v>
      </c>
      <c r="U812" s="78">
        <f>IF(NOT(ISNUMBER(G812)), "", VLOOKUP(A812,'Discount Lookup'!D:E,2,FALSE)*G812)</f>
        <v>0</v>
      </c>
      <c r="V812" s="78">
        <f>IF(NOT(ISNUMBER(G812)), "", VLOOKUP(A812,'Discount Lookup'!G:H,2,FALSE)*G812)</f>
        <v>0</v>
      </c>
      <c r="W812" s="102">
        <f t="shared" si="585"/>
        <v>0</v>
      </c>
      <c r="X812" s="102">
        <f t="shared" si="586"/>
        <v>0</v>
      </c>
      <c r="Y812" s="120" t="b">
        <f t="shared" si="587"/>
        <v>0</v>
      </c>
      <c r="Z812" s="117">
        <f t="shared" si="588"/>
        <v>0</v>
      </c>
      <c r="AA812" s="118"/>
      <c r="AB812" s="118" t="str">
        <f t="shared" si="589"/>
        <v/>
      </c>
      <c r="AC812" s="712" t="str">
        <f>IF(AE812="T2G","no charge",IF(AND(OR(PlanterYesMe="No",PlanterYesMe="N",PlanterYesMe="me"),H812=""),"",IF(H812="credit","NO install",IF(AND(K812="",AE812="me"),"EACH row",IF(AND(K812="images",AE812="me"),"EACH row",IF(D812="","",IF(H812="credit","",IF(AE812="free","re-planting",IF(AE812="me","   not ELP, by",IF(AND(OR(PlanterYesMe="Yes",PlanterYesMe="Y"),G812&gt;0),(VLOOKUP(A812,'Discount Lookup'!J:K,2)*G812*(1-PlanterDiscount)*(1+PlanterDifficultyPercentage)),IF(AE812="ELP",(VLOOKUP(A812,'Discount Lookup'!J:K,2)*G812*(1-PlanterDiscount)*(1+PlanterDifficultyPercentage)),IF(AE812="free","re-planting",IF(G812=0,"",IF(PlanterYesMe="",IF(AE812="me","   not ELP, by",IF(AE812="",IF(G812&gt;0,(VLOOKUP(A812,'Discount Lookup'!J:K,2)*G812*(1-PlanterDiscount)*(1+PlanterDifficultyPercentage)),""),"")),"   not ELP, by"))))))))))))))</f>
        <v/>
      </c>
      <c r="AD812" s="712"/>
      <c r="AE812" s="513" t="str">
        <f t="shared" si="590"/>
        <v/>
      </c>
      <c r="AF812" s="713" t="str">
        <f t="shared" si="591"/>
        <v/>
      </c>
      <c r="AG812" s="713"/>
      <c r="AH812" s="713"/>
      <c r="AI812" s="112">
        <f>IF(H812="credit",0,IF(AE812="free",0,IF(AE812="me",0,IF(G812&gt;0,(VLOOKUP(A812,'Discount Lookup'!J:K,2)*G812),0))))</f>
        <v>0</v>
      </c>
      <c r="AJ812" s="107" t="str">
        <f t="shared" ca="1" si="592"/>
        <v/>
      </c>
      <c r="AK812" s="714" t="str">
        <f t="shared" si="593"/>
        <v/>
      </c>
      <c r="AL812" s="714"/>
      <c r="AM812" s="114" t="str">
        <f t="shared" si="594"/>
        <v/>
      </c>
      <c r="AN812" s="115"/>
      <c r="AO812" s="116"/>
      <c r="AP812" s="116"/>
      <c r="AQ812" s="116"/>
      <c r="AR812" s="116"/>
      <c r="AS812" s="116"/>
      <c r="AT812" s="116"/>
      <c r="AU812" s="116"/>
      <c r="AV812" s="78"/>
      <c r="AW812" s="102"/>
      <c r="AX812" s="78"/>
      <c r="AY812" s="78"/>
      <c r="AZ812" s="78"/>
      <c r="BA812" s="78"/>
      <c r="BB812" s="78"/>
      <c r="BC812" s="78"/>
      <c r="BD812" s="78"/>
      <c r="BE812" s="465"/>
      <c r="BF812" s="165" t="str">
        <f t="shared" si="595"/>
        <v>https://www.google.com/search?tbm=isch&amp;q=3%20G4</v>
      </c>
      <c r="BG812" s="165" t="str">
        <f t="shared" si="596"/>
        <v>C</v>
      </c>
      <c r="BH812" s="65"/>
      <c r="BI812" s="65"/>
      <c r="BJ812" s="65"/>
      <c r="BK812" s="65"/>
      <c r="BL812" s="99"/>
      <c r="BM812" s="99"/>
      <c r="BN812" s="99"/>
    </row>
    <row r="813" spans="1:66" s="51" customFormat="1" ht="17.25" thickBot="1" x14ac:dyDescent="0.3">
      <c r="A813" s="704" t="s">
        <v>5360</v>
      </c>
      <c r="B813" s="642"/>
      <c r="C813" s="710"/>
      <c r="D813" s="643"/>
      <c r="E813" s="643"/>
      <c r="F813" s="644"/>
      <c r="G813" s="645"/>
      <c r="H813" s="646"/>
      <c r="I813" s="647"/>
      <c r="J813" s="648"/>
      <c r="K813" s="649"/>
      <c r="L813" s="650"/>
      <c r="M813" s="650"/>
      <c r="N813" s="644"/>
      <c r="O813" s="644"/>
      <c r="P813" s="644"/>
      <c r="Q813" s="644"/>
      <c r="R813" s="644"/>
      <c r="S813" s="701" t="s">
        <v>5273</v>
      </c>
      <c r="T813" s="102">
        <f t="shared" si="584"/>
        <v>0</v>
      </c>
      <c r="U813" s="78" t="str">
        <f>IF(NOT(ISNUMBER(G813)), "", VLOOKUP(A813,'Discount Lookup'!D:E,2,FALSE)*G813)</f>
        <v/>
      </c>
      <c r="V813" s="78" t="str">
        <f>IF(NOT(ISNUMBER(G813)), "", VLOOKUP(A813,'Discount Lookup'!G:H,2,FALSE)*G813)</f>
        <v/>
      </c>
      <c r="W813" s="102">
        <f t="shared" si="585"/>
        <v>0</v>
      </c>
      <c r="X813" s="102">
        <f t="shared" si="586"/>
        <v>0</v>
      </c>
      <c r="Y813" s="120" t="b">
        <f t="shared" si="587"/>
        <v>0</v>
      </c>
      <c r="Z813" s="117">
        <f t="shared" si="588"/>
        <v>0</v>
      </c>
      <c r="AA813" s="118"/>
      <c r="AB813" s="118" t="str">
        <f t="shared" si="589"/>
        <v/>
      </c>
      <c r="AC813" s="712" t="str">
        <f>IF(AE813="T2G","no charge",IF(AND(OR(PlanterYesMe="No",PlanterYesMe="N",PlanterYesMe="me"),H813=""),"",IF(H813="credit","NO install",IF(AND(K813="",AE813="me"),"EACH row",IF(AND(K813="images",AE813="me"),"EACH row",IF(D813="","",IF(H813="credit","",IF(AE813="free","re-planting",IF(AE813="me","   not ELP, by",IF(AND(OR(PlanterYesMe="Yes",PlanterYesMe="Y"),G813&gt;0),(VLOOKUP(A813,'Discount Lookup'!J:K,2)*G813*(1-PlanterDiscount)*(1+PlanterDifficultyPercentage)),IF(AE813="ELP",(VLOOKUP(A813,'Discount Lookup'!J:K,2)*G813*(1-PlanterDiscount)*(1+PlanterDifficultyPercentage)),IF(AE813="free","re-planting",IF(G813=0,"",IF(PlanterYesMe="",IF(AE813="me","   not ELP, by",IF(AE813="",IF(G813&gt;0,(VLOOKUP(A813,'Discount Lookup'!J:K,2)*G813*(1-PlanterDiscount)*(1+PlanterDifficultyPercentage)),""),"")),"   not ELP, by"))))))))))))))</f>
        <v/>
      </c>
      <c r="AD813" s="712"/>
      <c r="AE813" s="513" t="str">
        <f t="shared" si="590"/>
        <v/>
      </c>
      <c r="AF813" s="713" t="str">
        <f t="shared" si="591"/>
        <v/>
      </c>
      <c r="AG813" s="713"/>
      <c r="AH813" s="713"/>
      <c r="AI813" s="112">
        <f>IF(H813="credit",0,IF(AE813="free",0,IF(AE813="me",0,IF(G813&gt;0,(VLOOKUP(A813,'Discount Lookup'!J:K,2)*G813),0))))</f>
        <v>0</v>
      </c>
      <c r="AJ813" s="107" t="str">
        <f t="shared" ca="1" si="592"/>
        <v/>
      </c>
      <c r="AK813" s="714" t="str">
        <f t="shared" si="593"/>
        <v/>
      </c>
      <c r="AL813" s="714"/>
      <c r="AM813" s="114" t="str">
        <f t="shared" si="594"/>
        <v/>
      </c>
      <c r="AN813" s="115"/>
      <c r="AO813" s="116"/>
      <c r="AP813" s="116"/>
      <c r="AQ813" s="116"/>
      <c r="AR813" s="116"/>
      <c r="AS813" s="116"/>
      <c r="AT813" s="116"/>
      <c r="AU813" s="116"/>
      <c r="AV813" s="78"/>
      <c r="AW813" s="102"/>
      <c r="AX813" s="78"/>
      <c r="AY813" s="78"/>
      <c r="AZ813" s="78"/>
      <c r="BA813" s="78"/>
      <c r="BB813" s="78"/>
      <c r="BC813" s="78"/>
      <c r="BD813" s="78"/>
      <c r="BE813" s="465"/>
      <c r="BF813" s="165" t="str">
        <f t="shared" si="595"/>
        <v>https://www.google.com/search?tbm=isch&amp;q=moist%20sites%F0%9F%92%A7GOOD%2C%20Australiais%20known%20for%20its%20dramatic%2C%20large%2C%20deep%20Purplish-Black%20leaves%20and%20brilliant%20flowers%2C%20giving%20tropical%20feel%20</v>
      </c>
      <c r="BG813" s="165" t="str">
        <f t="shared" si="596"/>
        <v>m</v>
      </c>
      <c r="BH813" s="65"/>
      <c r="BI813" s="65"/>
      <c r="BJ813" s="65"/>
      <c r="BK813" s="65"/>
      <c r="BL813" s="99"/>
      <c r="BM813" s="99"/>
      <c r="BN813" s="99"/>
    </row>
    <row r="814" spans="1:66" s="51" customFormat="1" ht="18" x14ac:dyDescent="0.25">
      <c r="A814" s="623" t="s">
        <v>1907</v>
      </c>
      <c r="B814" s="624"/>
      <c r="C814" s="709"/>
      <c r="D814" s="625" t="s">
        <v>1908</v>
      </c>
      <c r="E814" s="626"/>
      <c r="F814" s="626"/>
      <c r="G814" s="626"/>
      <c r="H814" s="622" t="s">
        <v>4883</v>
      </c>
      <c r="I814" s="627" t="s">
        <v>1909</v>
      </c>
      <c r="J814" s="628"/>
      <c r="K814" s="628"/>
      <c r="L814" s="629"/>
      <c r="M814" s="700" t="s">
        <v>5241</v>
      </c>
      <c r="N814" s="693" t="str">
        <f>IF(AND(ISTEXT($A814), ISERROR($A814+0)), HYPERLINK($BF814, "Images"), "")</f>
        <v>Images</v>
      </c>
      <c r="O814" s="695" t="s">
        <v>5247</v>
      </c>
      <c r="P814" s="630"/>
      <c r="Q814" s="631"/>
      <c r="R814" s="632"/>
      <c r="S814" s="633"/>
      <c r="T814" s="102">
        <f t="shared" si="584"/>
        <v>0</v>
      </c>
      <c r="U814" s="78" t="str">
        <f>IF(NOT(ISNUMBER(G814)), "", VLOOKUP(A814,'Discount Lookup'!D:E,2,FALSE)*G814)</f>
        <v/>
      </c>
      <c r="V814" s="78" t="str">
        <f>IF(NOT(ISNUMBER(G814)), "", VLOOKUP(A814,'Discount Lookup'!G:H,2,FALSE)*G814)</f>
        <v/>
      </c>
      <c r="W814" s="102">
        <f t="shared" si="585"/>
        <v>0</v>
      </c>
      <c r="X814" s="102" t="str">
        <f t="shared" si="586"/>
        <v>Orange bloom</v>
      </c>
      <c r="Y814" s="120" t="b">
        <f t="shared" si="587"/>
        <v>0</v>
      </c>
      <c r="Z814" s="117">
        <f t="shared" si="588"/>
        <v>0</v>
      </c>
      <c r="AA814" s="118"/>
      <c r="AB814" s="118" t="str">
        <f t="shared" si="589"/>
        <v/>
      </c>
      <c r="AC814" s="712" t="str">
        <f>IF(AE814="T2G","no charge",IF(AND(OR(PlanterYesMe="No",PlanterYesMe="N",PlanterYesMe="me"),H814=""),"",IF(H814="credit","NO install",IF(AND(K814="",AE814="me"),"EACH row",IF(AND(K814="images",AE814="me"),"EACH row",IF(D814="","",IF(H814="credit","",IF(AE814="free","re-planting",IF(AE814="me","   not ELP, by",IF(AND(OR(PlanterYesMe="Yes",PlanterYesMe="Y"),G814&gt;0),(VLOOKUP(A814,'Discount Lookup'!J:K,2)*G814*(1-PlanterDiscount)*(1+PlanterDifficultyPercentage)),IF(AE814="ELP",(VLOOKUP(A814,'Discount Lookup'!J:K,2)*G814*(1-PlanterDiscount)*(1+PlanterDifficultyPercentage)),IF(AE814="free","re-planting",IF(G814=0,"",IF(PlanterYesMe="",IF(AE814="me","   not ELP, by",IF(AE814="",IF(G814&gt;0,(VLOOKUP(A814,'Discount Lookup'!J:K,2)*G814*(1-PlanterDiscount)*(1+PlanterDifficultyPercentage)),""),"")),"   not ELP, by"))))))))))))))</f>
        <v/>
      </c>
      <c r="AD814" s="712"/>
      <c r="AE814" s="513" t="str">
        <f t="shared" si="590"/>
        <v/>
      </c>
      <c r="AF814" s="713" t="str">
        <f t="shared" si="591"/>
        <v/>
      </c>
      <c r="AG814" s="713"/>
      <c r="AH814" s="713"/>
      <c r="AI814" s="112">
        <f>IF(H814="credit",0,IF(AE814="free",0,IF(AE814="me",0,IF(G814&gt;0,(VLOOKUP(A814,'Discount Lookup'!J:K,2)*G814),0))))</f>
        <v>0</v>
      </c>
      <c r="AJ814" s="107" t="str">
        <f t="shared" ca="1" si="592"/>
        <v/>
      </c>
      <c r="AK814" s="714" t="str">
        <f t="shared" si="593"/>
        <v/>
      </c>
      <c r="AL814" s="714"/>
      <c r="AM814" s="114" t="str">
        <f t="shared" si="594"/>
        <v/>
      </c>
      <c r="AN814" s="115"/>
      <c r="AO814" s="116"/>
      <c r="AP814" s="116"/>
      <c r="AQ814" s="116"/>
      <c r="AR814" s="116"/>
      <c r="AS814" s="116"/>
      <c r="AT814" s="116"/>
      <c r="AU814" s="116"/>
      <c r="AV814" s="78"/>
      <c r="AW814" s="102"/>
      <c r="AX814" s="78"/>
      <c r="AY814" s="78"/>
      <c r="AZ814" s="78"/>
      <c r="BA814" s="78"/>
      <c r="BB814" s="78"/>
      <c r="BC814" s="78"/>
      <c r="BD814" s="78"/>
      <c r="BE814" s="465"/>
      <c r="BF814" s="165" t="str">
        <f t="shared" si="595"/>
        <v>https://www.google.com/search?tbm=isch&amp;q=Canna%20x%20generalis%20%27Bengal%20Tiger%27%20Bengal%20Tiger%20Canna%20Lily</v>
      </c>
      <c r="BG814" s="165" t="str">
        <f t="shared" si="596"/>
        <v>C</v>
      </c>
      <c r="BH814" s="65"/>
      <c r="BI814" s="65"/>
      <c r="BJ814" s="65"/>
      <c r="BK814" s="65"/>
      <c r="BL814" s="99"/>
      <c r="BM814" s="99"/>
      <c r="BN814" s="99"/>
    </row>
    <row r="815" spans="1:66" s="51" customFormat="1" ht="27" x14ac:dyDescent="0.25">
      <c r="A815" s="634">
        <v>3</v>
      </c>
      <c r="B815" s="635" t="s">
        <v>291</v>
      </c>
      <c r="C815" s="636" t="s">
        <v>1910</v>
      </c>
      <c r="D815" s="637" t="s">
        <v>299</v>
      </c>
      <c r="E815" s="638">
        <v>31.95</v>
      </c>
      <c r="F815" s="639" t="s">
        <v>292</v>
      </c>
      <c r="G815" s="484">
        <v>0</v>
      </c>
      <c r="H815" s="691" t="str">
        <f>IF(G815=0,"",IF(F815="Buy",IF(G815=1,"plant","plants"),IF(F815&gt;0.01,"warranty","Error")))</f>
        <v/>
      </c>
      <c r="I815" s="640">
        <f>IF(H815="free",0,IF(H815="credit",((E815*(F815))*G815*-1),IF(F815="Buy",(E815*G815),((E815*(1-F815))*G815))))</f>
        <v>0</v>
      </c>
      <c r="J815" s="640">
        <f>IF(H815="warranty",0,(I815*(_xlfn.SINGLE(SalesTaxPercentage))))</f>
        <v>0</v>
      </c>
      <c r="K815" s="716">
        <f t="shared" ref="K815" si="606">I815+J815</f>
        <v>0</v>
      </c>
      <c r="L815" s="716"/>
      <c r="M815" s="689" t="str">
        <f ca="1">IF(AND(G815&gt;0,E815=0),"WARNING - no PRICE inserted",IF(H815="free","FREE ~ no charge this plant",IF(H815="credit",CONCATENATE("-$",ROUND(K815*(1-_xlfn.SINGLE(T2GDiscount))*-1,2)," CREDIT after discount"),IF(_xlfn.SINGLE(T2GDiscount)=0,"",IF(G815=0,"",IF(F815="Buy",CONCATENATE("$",ROUND(K815*(1-_xlfn.SINGLE(T2GDiscount)),2)," with ",(_xlfn.SINGLE(T2GDiscount)*100),"% discount"),CONCATENATE("$",ROUND(K815*(1-_xlfn.SINGLE(T2GDiscount)),2)," with ",((_xlfn.SINGLE(T2GDiscount)*100+F815*100)-(_xlfn.SINGLE(T2GDiscount)*100*F815)),IF(F815&gt;0,"% discounts",IF(_xlfn.SINGLE(NoWarrantyDiscount)&gt;0,"% discounts","% discount")))))))))</f>
        <v/>
      </c>
      <c r="N815" s="690"/>
      <c r="O815" s="486"/>
      <c r="P815" s="486"/>
      <c r="Q815" s="486"/>
      <c r="R815" s="486"/>
      <c r="S815" s="486"/>
      <c r="T815" s="102">
        <f t="shared" si="584"/>
        <v>0</v>
      </c>
      <c r="U815" s="78">
        <f>IF(NOT(ISNUMBER(G815)), "", VLOOKUP(A815,'Discount Lookup'!D:E,2,FALSE)*G815)</f>
        <v>0</v>
      </c>
      <c r="V815" s="78">
        <f>IF(NOT(ISNUMBER(G815)), "", VLOOKUP(A815,'Discount Lookup'!G:H,2,FALSE)*G815)</f>
        <v>0</v>
      </c>
      <c r="W815" s="102">
        <f t="shared" si="585"/>
        <v>0</v>
      </c>
      <c r="X815" s="102">
        <f t="shared" si="586"/>
        <v>0</v>
      </c>
      <c r="Y815" s="120" t="b">
        <f t="shared" si="587"/>
        <v>0</v>
      </c>
      <c r="Z815" s="117">
        <f t="shared" si="588"/>
        <v>0</v>
      </c>
      <c r="AA815" s="118"/>
      <c r="AB815" s="118" t="str">
        <f t="shared" si="589"/>
        <v/>
      </c>
      <c r="AC815" s="712" t="str">
        <f>IF(AE815="T2G","no charge",IF(AND(OR(PlanterYesMe="No",PlanterYesMe="N",PlanterYesMe="me"),H815=""),"",IF(H815="credit","NO install",IF(AND(K815="",AE815="me"),"EACH row",IF(AND(K815="images",AE815="me"),"EACH row",IF(D815="","",IF(H815="credit","",IF(AE815="free","re-planting",IF(AE815="me","   not ELP, by",IF(AND(OR(PlanterYesMe="Yes",PlanterYesMe="Y"),G815&gt;0),(VLOOKUP(A815,'Discount Lookup'!J:K,2)*G815*(1-PlanterDiscount)*(1+PlanterDifficultyPercentage)),IF(AE815="ELP",(VLOOKUP(A815,'Discount Lookup'!J:K,2)*G815*(1-PlanterDiscount)*(1+PlanterDifficultyPercentage)),IF(AE815="free","re-planting",IF(G815=0,"",IF(PlanterYesMe="",IF(AE815="me","   not ELP, by",IF(AE815="",IF(G815&gt;0,(VLOOKUP(A815,'Discount Lookup'!J:K,2)*G815*(1-PlanterDiscount)*(1+PlanterDifficultyPercentage)),""),"")),"   not ELP, by"))))))))))))))</f>
        <v/>
      </c>
      <c r="AD815" s="712"/>
      <c r="AE815" s="513" t="str">
        <f t="shared" si="590"/>
        <v/>
      </c>
      <c r="AF815" s="713" t="str">
        <f t="shared" si="591"/>
        <v/>
      </c>
      <c r="AG815" s="713"/>
      <c r="AH815" s="713"/>
      <c r="AI815" s="112">
        <f>IF(H815="credit",0,IF(AE815="free",0,IF(AE815="me",0,IF(G815&gt;0,(VLOOKUP(A815,'Discount Lookup'!J:K,2)*G815),0))))</f>
        <v>0</v>
      </c>
      <c r="AJ815" s="107" t="str">
        <f t="shared" ca="1" si="592"/>
        <v/>
      </c>
      <c r="AK815" s="714" t="str">
        <f t="shared" si="593"/>
        <v/>
      </c>
      <c r="AL815" s="714"/>
      <c r="AM815" s="114" t="str">
        <f t="shared" si="594"/>
        <v/>
      </c>
      <c r="AN815" s="115"/>
      <c r="AO815" s="116"/>
      <c r="AP815" s="116"/>
      <c r="AQ815" s="116"/>
      <c r="AR815" s="116"/>
      <c r="AS815" s="116"/>
      <c r="AT815" s="116"/>
      <c r="AU815" s="116"/>
      <c r="AV815" s="78"/>
      <c r="AW815" s="102"/>
      <c r="AX815" s="78"/>
      <c r="AY815" s="78"/>
      <c r="AZ815" s="78"/>
      <c r="BA815" s="78"/>
      <c r="BB815" s="78"/>
      <c r="BC815" s="78"/>
      <c r="BD815" s="78"/>
      <c r="BE815" s="465"/>
      <c r="BF815" s="165" t="str">
        <f t="shared" si="595"/>
        <v>https://www.google.com/search?tbm=isch&amp;q=3%20G4</v>
      </c>
      <c r="BG815" s="165" t="str">
        <f t="shared" si="596"/>
        <v>C</v>
      </c>
      <c r="BH815" s="65"/>
      <c r="BI815" s="65"/>
      <c r="BJ815" s="65"/>
      <c r="BK815" s="65"/>
      <c r="BL815" s="99"/>
      <c r="BM815" s="99"/>
      <c r="BN815" s="99"/>
    </row>
    <row r="816" spans="1:66" s="51" customFormat="1" ht="17.25" thickBot="1" x14ac:dyDescent="0.3">
      <c r="A816" s="704" t="s">
        <v>5361</v>
      </c>
      <c r="B816" s="642"/>
      <c r="C816" s="710"/>
      <c r="D816" s="643"/>
      <c r="E816" s="643"/>
      <c r="F816" s="644"/>
      <c r="G816" s="645"/>
      <c r="H816" s="646"/>
      <c r="I816" s="647"/>
      <c r="J816" s="648"/>
      <c r="K816" s="649"/>
      <c r="L816" s="650"/>
      <c r="M816" s="650"/>
      <c r="N816" s="644"/>
      <c r="O816" s="644"/>
      <c r="P816" s="644"/>
      <c r="Q816" s="644"/>
      <c r="R816" s="644"/>
      <c r="S816" s="701" t="s">
        <v>5263</v>
      </c>
      <c r="T816" s="102">
        <f t="shared" si="584"/>
        <v>0</v>
      </c>
      <c r="U816" s="78" t="str">
        <f>IF(NOT(ISNUMBER(G816)), "", VLOOKUP(A816,'Discount Lookup'!D:E,2,FALSE)*G816)</f>
        <v/>
      </c>
      <c r="V816" s="78" t="str">
        <f>IF(NOT(ISNUMBER(G816)), "", VLOOKUP(A816,'Discount Lookup'!G:H,2,FALSE)*G816)</f>
        <v/>
      </c>
      <c r="W816" s="102">
        <f t="shared" si="585"/>
        <v>0</v>
      </c>
      <c r="X816" s="102">
        <f t="shared" si="586"/>
        <v>0</v>
      </c>
      <c r="Y816" s="120" t="b">
        <f t="shared" si="587"/>
        <v>0</v>
      </c>
      <c r="Z816" s="117">
        <f t="shared" si="588"/>
        <v>0</v>
      </c>
      <c r="AA816" s="118"/>
      <c r="AB816" s="118" t="str">
        <f t="shared" si="589"/>
        <v/>
      </c>
      <c r="AC816" s="712" t="str">
        <f>IF(AE816="T2G","no charge",IF(AND(OR(PlanterYesMe="No",PlanterYesMe="N",PlanterYesMe="me"),H816=""),"",IF(H816="credit","NO install",IF(AND(K816="",AE816="me"),"EACH row",IF(AND(K816="images",AE816="me"),"EACH row",IF(D816="","",IF(H816="credit","",IF(AE816="free","re-planting",IF(AE816="me","   not ELP, by",IF(AND(OR(PlanterYesMe="Yes",PlanterYesMe="Y"),G816&gt;0),(VLOOKUP(A816,'Discount Lookup'!J:K,2)*G816*(1-PlanterDiscount)*(1+PlanterDifficultyPercentage)),IF(AE816="ELP",(VLOOKUP(A816,'Discount Lookup'!J:K,2)*G816*(1-PlanterDiscount)*(1+PlanterDifficultyPercentage)),IF(AE816="free","re-planting",IF(G816=0,"",IF(PlanterYesMe="",IF(AE816="me","   not ELP, by",IF(AE816="",IF(G816&gt;0,(VLOOKUP(A816,'Discount Lookup'!J:K,2)*G816*(1-PlanterDiscount)*(1+PlanterDifficultyPercentage)),""),"")),"   not ELP, by"))))))))))))))</f>
        <v/>
      </c>
      <c r="AD816" s="712"/>
      <c r="AE816" s="513" t="str">
        <f t="shared" si="590"/>
        <v/>
      </c>
      <c r="AF816" s="713" t="str">
        <f t="shared" si="591"/>
        <v/>
      </c>
      <c r="AG816" s="713"/>
      <c r="AH816" s="713"/>
      <c r="AI816" s="112">
        <f>IF(H816="credit",0,IF(AE816="free",0,IF(AE816="me",0,IF(G816&gt;0,(VLOOKUP(A816,'Discount Lookup'!J:K,2)*G816),0))))</f>
        <v>0</v>
      </c>
      <c r="AJ816" s="107" t="str">
        <f t="shared" ca="1" si="592"/>
        <v/>
      </c>
      <c r="AK816" s="714" t="str">
        <f t="shared" si="593"/>
        <v/>
      </c>
      <c r="AL816" s="714"/>
      <c r="AM816" s="114" t="str">
        <f t="shared" si="594"/>
        <v/>
      </c>
      <c r="AN816" s="115"/>
      <c r="AO816" s="116"/>
      <c r="AP816" s="116"/>
      <c r="AQ816" s="116"/>
      <c r="AR816" s="116"/>
      <c r="AS816" s="116"/>
      <c r="AT816" s="116"/>
      <c r="AU816" s="116"/>
      <c r="AV816" s="78"/>
      <c r="AW816" s="102"/>
      <c r="AX816" s="78"/>
      <c r="AY816" s="78"/>
      <c r="AZ816" s="78"/>
      <c r="BA816" s="78"/>
      <c r="BB816" s="78"/>
      <c r="BC816" s="78"/>
      <c r="BD816" s="78"/>
      <c r="BE816" s="465"/>
      <c r="BF816" s="165" t="str">
        <f t="shared" si="595"/>
        <v>https://www.google.com/search?tbm=isch&amp;q=moist%20sites%F0%9F%92%A7GOOD%2C%20Bengal%20Tiger%20foliage%20is%20a%20striking%20Green%20and%20Yellow%20striping%2C%20with%20a%20Maroon%20edge%20</v>
      </c>
      <c r="BG816" s="165" t="str">
        <f t="shared" si="596"/>
        <v>m</v>
      </c>
      <c r="BH816" s="65"/>
      <c r="BI816" s="65"/>
      <c r="BJ816" s="65"/>
      <c r="BK816" s="65"/>
      <c r="BL816" s="99"/>
      <c r="BM816" s="99"/>
      <c r="BN816" s="99"/>
    </row>
    <row r="817" spans="1:66" s="51" customFormat="1" ht="18" x14ac:dyDescent="0.25">
      <c r="A817" s="623" t="s">
        <v>1911</v>
      </c>
      <c r="B817" s="624"/>
      <c r="C817" s="709"/>
      <c r="D817" s="625" t="s">
        <v>5617</v>
      </c>
      <c r="E817" s="626"/>
      <c r="F817" s="626"/>
      <c r="G817" s="626"/>
      <c r="H817" s="622" t="s">
        <v>4883</v>
      </c>
      <c r="I817" s="627" t="s">
        <v>1909</v>
      </c>
      <c r="J817" s="628"/>
      <c r="K817" s="628"/>
      <c r="L817" s="629"/>
      <c r="M817" s="700" t="s">
        <v>5241</v>
      </c>
      <c r="N817" s="693" t="str">
        <f>IF(AND(ISTEXT($A817), ISERROR($A817+0)), HYPERLINK($BF817, "Images"), "")</f>
        <v>Images</v>
      </c>
      <c r="O817" s="695" t="s">
        <v>5247</v>
      </c>
      <c r="P817" s="630"/>
      <c r="Q817" s="631"/>
      <c r="R817" s="632"/>
      <c r="S817" s="633"/>
      <c r="T817" s="102">
        <f t="shared" si="584"/>
        <v>0</v>
      </c>
      <c r="U817" s="78" t="str">
        <f>IF(NOT(ISNUMBER(G817)), "", VLOOKUP(A817,'Discount Lookup'!D:E,2,FALSE)*G817)</f>
        <v/>
      </c>
      <c r="V817" s="78" t="str">
        <f>IF(NOT(ISNUMBER(G817)), "", VLOOKUP(A817,'Discount Lookup'!G:H,2,FALSE)*G817)</f>
        <v/>
      </c>
      <c r="W817" s="102">
        <f t="shared" si="585"/>
        <v>0</v>
      </c>
      <c r="X817" s="102" t="str">
        <f t="shared" si="586"/>
        <v>Orange bloom</v>
      </c>
      <c r="Y817" s="120" t="b">
        <f t="shared" si="587"/>
        <v>0</v>
      </c>
      <c r="Z817" s="117">
        <f t="shared" si="588"/>
        <v>0</v>
      </c>
      <c r="AA817" s="118"/>
      <c r="AB817" s="118" t="str">
        <f t="shared" si="589"/>
        <v/>
      </c>
      <c r="AC817" s="712" t="str">
        <f>IF(AE817="T2G","no charge",IF(AND(OR(PlanterYesMe="No",PlanterYesMe="N",PlanterYesMe="me"),H817=""),"",IF(H817="credit","NO install",IF(AND(K817="",AE817="me"),"EACH row",IF(AND(K817="images",AE817="me"),"EACH row",IF(D817="","",IF(H817="credit","",IF(AE817="free","re-planting",IF(AE817="me","   not ELP, by",IF(AND(OR(PlanterYesMe="Yes",PlanterYesMe="Y"),G817&gt;0),(VLOOKUP(A817,'Discount Lookup'!J:K,2)*G817*(1-PlanterDiscount)*(1+PlanterDifficultyPercentage)),IF(AE817="ELP",(VLOOKUP(A817,'Discount Lookup'!J:K,2)*G817*(1-PlanterDiscount)*(1+PlanterDifficultyPercentage)),IF(AE817="free","re-planting",IF(G817=0,"",IF(PlanterYesMe="",IF(AE817="me","   not ELP, by",IF(AE817="",IF(G817&gt;0,(VLOOKUP(A817,'Discount Lookup'!J:K,2)*G817*(1-PlanterDiscount)*(1+PlanterDifficultyPercentage)),""),"")),"   not ELP, by"))))))))))))))</f>
        <v/>
      </c>
      <c r="AD817" s="712"/>
      <c r="AE817" s="513" t="str">
        <f t="shared" si="590"/>
        <v/>
      </c>
      <c r="AF817" s="713" t="str">
        <f t="shared" si="591"/>
        <v/>
      </c>
      <c r="AG817" s="713"/>
      <c r="AH817" s="713"/>
      <c r="AI817" s="112">
        <f>IF(H817="credit",0,IF(AE817="free",0,IF(AE817="me",0,IF(G817&gt;0,(VLOOKUP(A817,'Discount Lookup'!J:K,2)*G817),0))))</f>
        <v>0</v>
      </c>
      <c r="AJ817" s="107" t="str">
        <f t="shared" ca="1" si="592"/>
        <v/>
      </c>
      <c r="AK817" s="714" t="str">
        <f t="shared" si="593"/>
        <v/>
      </c>
      <c r="AL817" s="714"/>
      <c r="AM817" s="114" t="str">
        <f t="shared" si="594"/>
        <v/>
      </c>
      <c r="AN817" s="115"/>
      <c r="AO817" s="116"/>
      <c r="AP817" s="116"/>
      <c r="AQ817" s="116"/>
      <c r="AR817" s="116"/>
      <c r="AS817" s="116"/>
      <c r="AT817" s="116"/>
      <c r="AU817" s="116"/>
      <c r="AV817" s="78"/>
      <c r="AW817" s="102"/>
      <c r="AX817" s="78"/>
      <c r="AY817" s="78"/>
      <c r="AZ817" s="78"/>
      <c r="BA817" s="78"/>
      <c r="BB817" s="78"/>
      <c r="BC817" s="78"/>
      <c r="BD817" s="78"/>
      <c r="BE817" s="465"/>
      <c r="BF817" s="165" t="str">
        <f t="shared" si="595"/>
        <v>https://www.google.com/search?tbm=isch&amp;q=Canna%20x%20generalis%20%27Phasion%27%20PP%2310569%20TropiCanna%20Lily%C2%AE%20Phasion%20Canna%20Lily</v>
      </c>
      <c r="BG817" s="165" t="str">
        <f t="shared" si="596"/>
        <v>C</v>
      </c>
      <c r="BH817" s="65"/>
      <c r="BI817" s="65"/>
      <c r="BJ817" s="65"/>
      <c r="BK817" s="65"/>
      <c r="BL817" s="99"/>
      <c r="BM817" s="99"/>
      <c r="BN817" s="99"/>
    </row>
    <row r="818" spans="1:66" s="51" customFormat="1" ht="27" x14ac:dyDescent="0.25">
      <c r="A818" s="634">
        <v>3</v>
      </c>
      <c r="B818" s="635" t="s">
        <v>291</v>
      </c>
      <c r="C818" s="636" t="s">
        <v>1912</v>
      </c>
      <c r="D818" s="637" t="s">
        <v>299</v>
      </c>
      <c r="E818" s="638">
        <v>33.950000000000003</v>
      </c>
      <c r="F818" s="639" t="s">
        <v>292</v>
      </c>
      <c r="G818" s="484">
        <v>0</v>
      </c>
      <c r="H818" s="691" t="str">
        <f>IF(G818=0,"",IF(F818="Buy",IF(G818=1,"plant","plants"),IF(F818&gt;0.01,"warranty","Error")))</f>
        <v/>
      </c>
      <c r="I818" s="640">
        <f>IF(H818="free",0,IF(H818="credit",((E818*(F818))*G818*-1),IF(F818="Buy",(E818*G818),((E818*(1-F818))*G818))))</f>
        <v>0</v>
      </c>
      <c r="J818" s="640">
        <f>IF(H818="warranty",0,(I818*(_xlfn.SINGLE(SalesTaxPercentage))))</f>
        <v>0</v>
      </c>
      <c r="K818" s="716">
        <f t="shared" ref="K818" si="607">I818+J818</f>
        <v>0</v>
      </c>
      <c r="L818" s="716"/>
      <c r="M818" s="689" t="str">
        <f ca="1">IF(AND(G818&gt;0,E818=0),"WARNING - no PRICE inserted",IF(H818="free","FREE ~ no charge this plant",IF(H818="credit",CONCATENATE("-$",ROUND(K818*(1-_xlfn.SINGLE(T2GDiscount))*-1,2)," CREDIT after discount"),IF(_xlfn.SINGLE(T2GDiscount)=0,"",IF(G818=0,"",IF(F818="Buy",CONCATENATE("$",ROUND(K818*(1-_xlfn.SINGLE(T2GDiscount)),2)," with ",(_xlfn.SINGLE(T2GDiscount)*100),"% discount"),CONCATENATE("$",ROUND(K818*(1-_xlfn.SINGLE(T2GDiscount)),2)," with ",((_xlfn.SINGLE(T2GDiscount)*100+F818*100)-(_xlfn.SINGLE(T2GDiscount)*100*F818)),IF(F818&gt;0,"% discounts",IF(_xlfn.SINGLE(NoWarrantyDiscount)&gt;0,"% discounts","% discount")))))))))</f>
        <v/>
      </c>
      <c r="N818" s="690"/>
      <c r="O818" s="486"/>
      <c r="P818" s="486"/>
      <c r="Q818" s="486"/>
      <c r="R818" s="486"/>
      <c r="S818" s="486"/>
      <c r="T818" s="102">
        <f t="shared" si="584"/>
        <v>0</v>
      </c>
      <c r="U818" s="78">
        <f>IF(NOT(ISNUMBER(G818)), "", VLOOKUP(A818,'Discount Lookup'!D:E,2,FALSE)*G818)</f>
        <v>0</v>
      </c>
      <c r="V818" s="78">
        <f>IF(NOT(ISNUMBER(G818)), "", VLOOKUP(A818,'Discount Lookup'!G:H,2,FALSE)*G818)</f>
        <v>0</v>
      </c>
      <c r="W818" s="102">
        <f t="shared" si="585"/>
        <v>0</v>
      </c>
      <c r="X818" s="102">
        <f t="shared" si="586"/>
        <v>0</v>
      </c>
      <c r="Y818" s="120" t="b">
        <f t="shared" si="587"/>
        <v>0</v>
      </c>
      <c r="Z818" s="117">
        <f t="shared" si="588"/>
        <v>0</v>
      </c>
      <c r="AA818" s="118"/>
      <c r="AB818" s="118" t="str">
        <f t="shared" si="589"/>
        <v/>
      </c>
      <c r="AC818" s="712" t="str">
        <f>IF(AE818="T2G","no charge",IF(AND(OR(PlanterYesMe="No",PlanterYesMe="N",PlanterYesMe="me"),H818=""),"",IF(H818="credit","NO install",IF(AND(K818="",AE818="me"),"EACH row",IF(AND(K818="images",AE818="me"),"EACH row",IF(D818="","",IF(H818="credit","",IF(AE818="free","re-planting",IF(AE818="me","   not ELP, by",IF(AND(OR(PlanterYesMe="Yes",PlanterYesMe="Y"),G818&gt;0),(VLOOKUP(A818,'Discount Lookup'!J:K,2)*G818*(1-PlanterDiscount)*(1+PlanterDifficultyPercentage)),IF(AE818="ELP",(VLOOKUP(A818,'Discount Lookup'!J:K,2)*G818*(1-PlanterDiscount)*(1+PlanterDifficultyPercentage)),IF(AE818="free","re-planting",IF(G818=0,"",IF(PlanterYesMe="",IF(AE818="me","   not ELP, by",IF(AE818="",IF(G818&gt;0,(VLOOKUP(A818,'Discount Lookup'!J:K,2)*G818*(1-PlanterDiscount)*(1+PlanterDifficultyPercentage)),""),"")),"   not ELP, by"))))))))))))))</f>
        <v/>
      </c>
      <c r="AD818" s="712"/>
      <c r="AE818" s="513" t="str">
        <f t="shared" si="590"/>
        <v/>
      </c>
      <c r="AF818" s="713" t="str">
        <f t="shared" si="591"/>
        <v/>
      </c>
      <c r="AG818" s="713"/>
      <c r="AH818" s="713"/>
      <c r="AI818" s="112">
        <f>IF(H818="credit",0,IF(AE818="free",0,IF(AE818="me",0,IF(G818&gt;0,(VLOOKUP(A818,'Discount Lookup'!J:K,2)*G818),0))))</f>
        <v>0</v>
      </c>
      <c r="AJ818" s="107" t="str">
        <f t="shared" ca="1" si="592"/>
        <v/>
      </c>
      <c r="AK818" s="714" t="str">
        <f t="shared" si="593"/>
        <v/>
      </c>
      <c r="AL818" s="714"/>
      <c r="AM818" s="114" t="str">
        <f t="shared" si="594"/>
        <v/>
      </c>
      <c r="AN818" s="115"/>
      <c r="AO818" s="116"/>
      <c r="AP818" s="116"/>
      <c r="AQ818" s="116"/>
      <c r="AR818" s="116"/>
      <c r="AS818" s="116"/>
      <c r="AT818" s="116"/>
      <c r="AU818" s="116"/>
      <c r="AV818" s="78"/>
      <c r="AW818" s="102"/>
      <c r="AX818" s="78"/>
      <c r="AY818" s="78"/>
      <c r="AZ818" s="78"/>
      <c r="BA818" s="78"/>
      <c r="BB818" s="78"/>
      <c r="BC818" s="78"/>
      <c r="BD818" s="78"/>
      <c r="BE818" s="465"/>
      <c r="BF818" s="165" t="str">
        <f t="shared" si="595"/>
        <v>https://www.google.com/search?tbm=isch&amp;q=3%20G4</v>
      </c>
      <c r="BG818" s="165" t="str">
        <f t="shared" si="596"/>
        <v>C</v>
      </c>
      <c r="BH818" s="65"/>
      <c r="BI818" s="65"/>
      <c r="BJ818" s="65"/>
      <c r="BK818" s="65"/>
      <c r="BL818" s="99"/>
      <c r="BM818" s="99"/>
      <c r="BN818" s="99"/>
    </row>
    <row r="819" spans="1:66" s="51" customFormat="1" ht="16.5" x14ac:dyDescent="0.25">
      <c r="A819" s="704" t="s">
        <v>5362</v>
      </c>
      <c r="B819" s="642"/>
      <c r="C819" s="710"/>
      <c r="D819" s="643"/>
      <c r="E819" s="643"/>
      <c r="F819" s="644"/>
      <c r="G819" s="645"/>
      <c r="H819" s="646"/>
      <c r="I819" s="647"/>
      <c r="J819" s="648"/>
      <c r="K819" s="649"/>
      <c r="L819" s="650"/>
      <c r="M819" s="650"/>
      <c r="N819" s="644"/>
      <c r="O819" s="644"/>
      <c r="P819" s="644"/>
      <c r="Q819" s="644"/>
      <c r="R819" s="644"/>
      <c r="S819" s="701" t="s">
        <v>5263</v>
      </c>
      <c r="T819" s="102">
        <f t="shared" si="584"/>
        <v>0</v>
      </c>
      <c r="U819" s="78" t="str">
        <f>IF(NOT(ISNUMBER(G819)), "", VLOOKUP(A819,'Discount Lookup'!D:E,2,FALSE)*G819)</f>
        <v/>
      </c>
      <c r="V819" s="78" t="str">
        <f>IF(NOT(ISNUMBER(G819)), "", VLOOKUP(A819,'Discount Lookup'!G:H,2,FALSE)*G819)</f>
        <v/>
      </c>
      <c r="W819" s="102">
        <f t="shared" si="585"/>
        <v>0</v>
      </c>
      <c r="X819" s="102">
        <f t="shared" si="586"/>
        <v>0</v>
      </c>
      <c r="Y819" s="120" t="b">
        <f t="shared" si="587"/>
        <v>0</v>
      </c>
      <c r="Z819" s="117">
        <f t="shared" si="588"/>
        <v>0</v>
      </c>
      <c r="AA819" s="118"/>
      <c r="AB819" s="118" t="str">
        <f t="shared" si="589"/>
        <v/>
      </c>
      <c r="AC819" s="712" t="str">
        <f>IF(AE819="T2G","no charge",IF(AND(OR(PlanterYesMe="No",PlanterYesMe="N",PlanterYesMe="me"),H819=""),"",IF(H819="credit","NO install",IF(AND(K819="",AE819="me"),"EACH row",IF(AND(K819="images",AE819="me"),"EACH row",IF(D819="","",IF(H819="credit","",IF(AE819="free","re-planting",IF(AE819="me","   not ELP, by",IF(AND(OR(PlanterYesMe="Yes",PlanterYesMe="Y"),G819&gt;0),(VLOOKUP(A819,'Discount Lookup'!J:K,2)*G819*(1-PlanterDiscount)*(1+PlanterDifficultyPercentage)),IF(AE819="ELP",(VLOOKUP(A819,'Discount Lookup'!J:K,2)*G819*(1-PlanterDiscount)*(1+PlanterDifficultyPercentage)),IF(AE819="free","re-planting",IF(G819=0,"",IF(PlanterYesMe="",IF(AE819="me","   not ELP, by",IF(AE819="",IF(G819&gt;0,(VLOOKUP(A819,'Discount Lookup'!J:K,2)*G819*(1-PlanterDiscount)*(1+PlanterDifficultyPercentage)),""),"")),"   not ELP, by"))))))))))))))</f>
        <v/>
      </c>
      <c r="AD819" s="712"/>
      <c r="AE819" s="513" t="str">
        <f t="shared" si="590"/>
        <v/>
      </c>
      <c r="AF819" s="713" t="str">
        <f t="shared" si="591"/>
        <v/>
      </c>
      <c r="AG819" s="713"/>
      <c r="AH819" s="713"/>
      <c r="AI819" s="112">
        <f>IF(H819="credit",0,IF(AE819="free",0,IF(AE819="me",0,IF(G819&gt;0,(VLOOKUP(A819,'Discount Lookup'!J:K,2)*G819),0))))</f>
        <v>0</v>
      </c>
      <c r="AJ819" s="107" t="str">
        <f t="shared" ca="1" si="592"/>
        <v/>
      </c>
      <c r="AK819" s="714" t="str">
        <f t="shared" si="593"/>
        <v/>
      </c>
      <c r="AL819" s="714"/>
      <c r="AM819" s="114" t="str">
        <f t="shared" si="594"/>
        <v/>
      </c>
      <c r="AN819" s="115"/>
      <c r="AO819" s="116"/>
      <c r="AP819" s="116"/>
      <c r="AQ819" s="116"/>
      <c r="AR819" s="116"/>
      <c r="AS819" s="116"/>
      <c r="AT819" s="116"/>
      <c r="AU819" s="116"/>
      <c r="AV819" s="78"/>
      <c r="AW819" s="102"/>
      <c r="AX819" s="78"/>
      <c r="AY819" s="78"/>
      <c r="AZ819" s="78"/>
      <c r="BA819" s="78"/>
      <c r="BB819" s="78"/>
      <c r="BC819" s="78"/>
      <c r="BD819" s="78"/>
      <c r="BE819" s="465"/>
      <c r="BF819" s="165" t="str">
        <f t="shared" si="595"/>
        <v>https://www.google.com/search?tbm=isch&amp;q=moist%20sites%F0%9F%92%A7GOOD%2C%20Tropicanna%20Phasion%20sports%20Red%2C%20Pink%2C%20Yellow%20%26%20Green%20stripes%20on%20Burgundy%20foliage%20</v>
      </c>
      <c r="BG819" s="165" t="str">
        <f t="shared" si="596"/>
        <v>m</v>
      </c>
      <c r="BH819" s="65"/>
      <c r="BI819" s="65"/>
      <c r="BJ819" s="65"/>
      <c r="BK819" s="65"/>
      <c r="BL819" s="99"/>
      <c r="BM819" s="99"/>
      <c r="BN819" s="99"/>
    </row>
    <row r="820" spans="1:66" s="51" customFormat="1" ht="19.5" thickBot="1" x14ac:dyDescent="0.3">
      <c r="A820" s="686" t="s">
        <v>399</v>
      </c>
      <c r="B820" s="73"/>
      <c r="C820" s="708"/>
      <c r="D820" s="73"/>
      <c r="E820" s="73"/>
      <c r="F820" s="496"/>
      <c r="G820" s="73"/>
      <c r="H820" s="73"/>
      <c r="I820" s="73"/>
      <c r="J820" s="497" t="s">
        <v>357</v>
      </c>
      <c r="K820" s="498"/>
      <c r="L820" s="562"/>
      <c r="M820" s="73"/>
      <c r="N820"/>
      <c r="O820"/>
      <c r="P820"/>
      <c r="Q820"/>
      <c r="R820"/>
      <c r="S820"/>
      <c r="T820" s="102">
        <f t="shared" si="584"/>
        <v>0</v>
      </c>
      <c r="U820" s="78" t="str">
        <f>IF(NOT(ISNUMBER(G820)), "", VLOOKUP(A820,'Discount Lookup'!D:E,2,FALSE)*G820)</f>
        <v/>
      </c>
      <c r="V820" s="78" t="str">
        <f>IF(NOT(ISNUMBER(G820)), "", VLOOKUP(A820,'Discount Lookup'!G:H,2,FALSE)*G820)</f>
        <v/>
      </c>
      <c r="W820" s="102">
        <f t="shared" si="585"/>
        <v>0</v>
      </c>
      <c r="X820" s="102">
        <f t="shared" si="586"/>
        <v>0</v>
      </c>
      <c r="Y820" s="120" t="b">
        <f t="shared" si="587"/>
        <v>0</v>
      </c>
      <c r="Z820" s="117">
        <f t="shared" si="588"/>
        <v>0</v>
      </c>
      <c r="AA820" s="118"/>
      <c r="AB820" s="118" t="str">
        <f t="shared" si="589"/>
        <v/>
      </c>
      <c r="AC820" s="712" t="str">
        <f>IF(AE820="T2G","no charge",IF(AND(OR(PlanterYesMe="No",PlanterYesMe="N",PlanterYesMe="me"),H820=""),"",IF(H820="credit","NO install",IF(AND(K820="",AE820="me"),"EACH row",IF(AND(K820="images",AE820="me"),"EACH row",IF(D820="","",IF(H820="credit","",IF(AE820="free","re-planting",IF(AE820="me","   not ELP, by",IF(AND(OR(PlanterYesMe="Yes",PlanterYesMe="Y"),G820&gt;0),(VLOOKUP(A820,'Discount Lookup'!J:K,2)*G820*(1-PlanterDiscount)*(1+PlanterDifficultyPercentage)),IF(AE820="ELP",(VLOOKUP(A820,'Discount Lookup'!J:K,2)*G820*(1-PlanterDiscount)*(1+PlanterDifficultyPercentage)),IF(AE820="free","re-planting",IF(G820=0,"",IF(PlanterYesMe="",IF(AE820="me","   not ELP, by",IF(AE820="",IF(G820&gt;0,(VLOOKUP(A820,'Discount Lookup'!J:K,2)*G820*(1-PlanterDiscount)*(1+PlanterDifficultyPercentage)),""),"")),"   not ELP, by"))))))))))))))</f>
        <v/>
      </c>
      <c r="AD820" s="712"/>
      <c r="AE820" s="513" t="str">
        <f t="shared" si="590"/>
        <v/>
      </c>
      <c r="AF820" s="713" t="str">
        <f t="shared" si="591"/>
        <v/>
      </c>
      <c r="AG820" s="713"/>
      <c r="AH820" s="713"/>
      <c r="AI820" s="112">
        <f>IF(H820="credit",0,IF(AE820="free",0,IF(AE820="me",0,IF(G820&gt;0,(VLOOKUP(A820,'Discount Lookup'!J:K,2)*G820),0))))</f>
        <v>0</v>
      </c>
      <c r="AJ820" s="107" t="str">
        <f t="shared" ca="1" si="592"/>
        <v/>
      </c>
      <c r="AK820" s="714" t="str">
        <f t="shared" si="593"/>
        <v/>
      </c>
      <c r="AL820" s="714"/>
      <c r="AM820" s="114" t="str">
        <f t="shared" si="594"/>
        <v/>
      </c>
      <c r="AN820" s="115"/>
      <c r="AO820" s="116"/>
      <c r="AP820" s="116"/>
      <c r="AQ820" s="116"/>
      <c r="AR820" s="116"/>
      <c r="AS820" s="116"/>
      <c r="AT820" s="116"/>
      <c r="AU820" s="116"/>
      <c r="AV820" s="78"/>
      <c r="AW820" s="102"/>
      <c r="AX820" s="78"/>
      <c r="AY820" s="78"/>
      <c r="AZ820" s="78"/>
      <c r="BA820" s="78"/>
      <c r="BB820" s="78"/>
      <c r="BC820" s="78"/>
      <c r="BD820" s="78"/>
      <c r="BE820" s="465"/>
      <c r="BF820" s="165" t="str">
        <f t="shared" si="595"/>
        <v>https://www.google.com/search?tbm=isch&amp;q=Carex%20%3D%20Sedge%20Grass%20</v>
      </c>
      <c r="BG820" s="165" t="str">
        <f t="shared" si="596"/>
        <v>C</v>
      </c>
      <c r="BH820" s="65"/>
      <c r="BI820" s="65"/>
      <c r="BJ820" s="65"/>
      <c r="BK820" s="65"/>
      <c r="BL820" s="99"/>
      <c r="BM820" s="99"/>
      <c r="BN820" s="99"/>
    </row>
    <row r="821" spans="1:66" s="51" customFormat="1" ht="18" x14ac:dyDescent="0.25">
      <c r="A821" s="507" t="s">
        <v>1913</v>
      </c>
      <c r="B821" s="470"/>
      <c r="C821" s="706"/>
      <c r="D821" s="471" t="s">
        <v>1914</v>
      </c>
      <c r="E821" s="472"/>
      <c r="F821" s="472"/>
      <c r="G821" s="472"/>
      <c r="H821" s="622" t="s">
        <v>1514</v>
      </c>
      <c r="I821" s="473" t="s">
        <v>1915</v>
      </c>
      <c r="J821" s="472"/>
      <c r="K821" s="472"/>
      <c r="L821" s="561"/>
      <c r="M821" s="703" t="s">
        <v>5260</v>
      </c>
      <c r="N821" s="692" t="str">
        <f>IF(AND(ISTEXT($A821), ISERROR($A821+0)), HYPERLINK($BF821, "Images"), "")</f>
        <v>Images</v>
      </c>
      <c r="O821" s="694" t="s">
        <v>5244</v>
      </c>
      <c r="P821" s="475"/>
      <c r="Q821" s="476"/>
      <c r="R821" s="476"/>
      <c r="S821" s="477"/>
      <c r="T821" s="102">
        <f t="shared" si="584"/>
        <v>0</v>
      </c>
      <c r="U821" s="78" t="str">
        <f>IF(NOT(ISNUMBER(G821)), "", VLOOKUP(A821,'Discount Lookup'!D:E,2,FALSE)*G821)</f>
        <v/>
      </c>
      <c r="V821" s="78" t="str">
        <f>IF(NOT(ISNUMBER(G821)), "", VLOOKUP(A821,'Discount Lookup'!G:H,2,FALSE)*G821)</f>
        <v/>
      </c>
      <c r="W821" s="102">
        <f t="shared" si="585"/>
        <v>0</v>
      </c>
      <c r="X821" s="102" t="str">
        <f t="shared" si="586"/>
        <v>Green foliage, White edges</v>
      </c>
      <c r="Y821" s="120" t="b">
        <f t="shared" si="587"/>
        <v>0</v>
      </c>
      <c r="Z821" s="117">
        <f t="shared" si="588"/>
        <v>0</v>
      </c>
      <c r="AA821" s="118"/>
      <c r="AB821" s="118" t="str">
        <f t="shared" si="589"/>
        <v/>
      </c>
      <c r="AC821" s="712" t="str">
        <f>IF(AE821="T2G","no charge",IF(AND(OR(PlanterYesMe="No",PlanterYesMe="N",PlanterYesMe="me"),H821=""),"",IF(H821="credit","NO install",IF(AND(K821="",AE821="me"),"EACH row",IF(AND(K821="images",AE821="me"),"EACH row",IF(D821="","",IF(H821="credit","",IF(AE821="free","re-planting",IF(AE821="me","   not ELP, by",IF(AND(OR(PlanterYesMe="Yes",PlanterYesMe="Y"),G821&gt;0),(VLOOKUP(A821,'Discount Lookup'!J:K,2)*G821*(1-PlanterDiscount)*(1+PlanterDifficultyPercentage)),IF(AE821="ELP",(VLOOKUP(A821,'Discount Lookup'!J:K,2)*G821*(1-PlanterDiscount)*(1+PlanterDifficultyPercentage)),IF(AE821="free","re-planting",IF(G821=0,"",IF(PlanterYesMe="",IF(AE821="me","   not ELP, by",IF(AE821="",IF(G821&gt;0,(VLOOKUP(A821,'Discount Lookup'!J:K,2)*G821*(1-PlanterDiscount)*(1+PlanterDifficultyPercentage)),""),"")),"   not ELP, by"))))))))))))))</f>
        <v/>
      </c>
      <c r="AD821" s="712"/>
      <c r="AE821" s="513" t="str">
        <f t="shared" si="590"/>
        <v/>
      </c>
      <c r="AF821" s="713" t="str">
        <f t="shared" si="591"/>
        <v/>
      </c>
      <c r="AG821" s="713"/>
      <c r="AH821" s="713"/>
      <c r="AI821" s="112">
        <f>IF(H821="credit",0,IF(AE821="free",0,IF(AE821="me",0,IF(G821&gt;0,(VLOOKUP(A821,'Discount Lookup'!J:K,2)*G821),0))))</f>
        <v>0</v>
      </c>
      <c r="AJ821" s="107" t="str">
        <f t="shared" ca="1" si="592"/>
        <v/>
      </c>
      <c r="AK821" s="714" t="str">
        <f t="shared" si="593"/>
        <v/>
      </c>
      <c r="AL821" s="714"/>
      <c r="AM821" s="114" t="str">
        <f t="shared" si="594"/>
        <v/>
      </c>
      <c r="AN821" s="115"/>
      <c r="AO821" s="116"/>
      <c r="AP821" s="116"/>
      <c r="AQ821" s="116"/>
      <c r="AR821" s="116"/>
      <c r="AS821" s="116"/>
      <c r="AT821" s="116"/>
      <c r="AU821" s="116"/>
      <c r="AV821" s="78"/>
      <c r="AW821" s="102"/>
      <c r="AX821" s="78"/>
      <c r="AY821" s="78"/>
      <c r="AZ821" s="78"/>
      <c r="BA821" s="78"/>
      <c r="BB821" s="78"/>
      <c r="BC821" s="78"/>
      <c r="BD821" s="78"/>
      <c r="BE821" s="465"/>
      <c r="BF821" s="165" t="str">
        <f t="shared" si="595"/>
        <v>https://www.google.com/search?tbm=isch&amp;q=Carex%20oshimensis%20%27ET%20CRX01%27%20PP%2326199%20Feather%20Falls%20Sedge</v>
      </c>
      <c r="BG821" s="165" t="str">
        <f t="shared" si="596"/>
        <v>C</v>
      </c>
      <c r="BH821" s="65"/>
      <c r="BI821" s="65"/>
      <c r="BJ821" s="65"/>
      <c r="BK821" s="65"/>
      <c r="BL821" s="99"/>
      <c r="BM821" s="99"/>
      <c r="BN821" s="99"/>
    </row>
    <row r="822" spans="1:66" s="51" customFormat="1" ht="15.75" x14ac:dyDescent="0.25">
      <c r="A822" s="478">
        <v>2</v>
      </c>
      <c r="B822" s="479" t="s">
        <v>291</v>
      </c>
      <c r="C822" s="480"/>
      <c r="D822" s="481" t="s">
        <v>293</v>
      </c>
      <c r="E822" s="482">
        <v>31.95</v>
      </c>
      <c r="F822" s="483" t="s">
        <v>292</v>
      </c>
      <c r="G822" s="484">
        <v>0</v>
      </c>
      <c r="H822" s="688" t="str">
        <f>IF(G822=0,"",IF(F822="Buy",IF(G822=1,"plant","plants"),IF(F822&gt;0.01,"warranty","Error")))</f>
        <v/>
      </c>
      <c r="I822" s="485">
        <f>IF(H822="free",0,IF(H822="credit",((E822*(F822))*G822*-1),IF(F822="Buy",(E822*G822),((E822*(1-F822))*G822))))</f>
        <v>0</v>
      </c>
      <c r="J822" s="485">
        <f>IF(H822="warranty",0,(I822*(_xlfn.SINGLE(SalesTaxPercentage))))</f>
        <v>0</v>
      </c>
      <c r="K822" s="715">
        <f t="shared" ref="K822" si="608">I822+J822</f>
        <v>0</v>
      </c>
      <c r="L822" s="715"/>
      <c r="M822" s="689" t="str">
        <f ca="1">IF(AND(G822&gt;0,E822=0),"WARNING - no PRICE inserted",IF(H822="free","FREE ~ no charge this plant",IF(H822="credit",CONCATENATE("-$",ROUND(K822*(1-_xlfn.SINGLE(T2GDiscount))*-1,2)," CREDIT after discount"),IF(_xlfn.SINGLE(T2GDiscount)=0,"",IF(G822=0,"",IF(F822="Buy",CONCATENATE("$",ROUND(K822*(1-_xlfn.SINGLE(T2GDiscount)),2)," with ",(_xlfn.SINGLE(T2GDiscount)*100),"% discount"),CONCATENATE("$",ROUND(K822*(1-_xlfn.SINGLE(T2GDiscount)),2)," with ",((_xlfn.SINGLE(T2GDiscount)*100+F822*100)-(_xlfn.SINGLE(T2GDiscount)*100*F822)),IF(F822&gt;0,"% discounts",IF(_xlfn.SINGLE(NoWarrantyDiscount)&gt;0,"% discounts","% discount")))))))))</f>
        <v/>
      </c>
      <c r="N822" s="690"/>
      <c r="O822" s="486"/>
      <c r="P822" s="486"/>
      <c r="Q822" s="486"/>
      <c r="R822" s="486"/>
      <c r="S822" s="486"/>
      <c r="T822" s="102">
        <f t="shared" si="584"/>
        <v>0</v>
      </c>
      <c r="U822" s="78">
        <f>IF(NOT(ISNUMBER(G822)), "", VLOOKUP(A822,'Discount Lookup'!D:E,2,FALSE)*G822)</f>
        <v>0</v>
      </c>
      <c r="V822" s="78">
        <f>IF(NOT(ISNUMBER(G822)), "", VLOOKUP(A822,'Discount Lookup'!G:H,2,FALSE)*G822)</f>
        <v>0</v>
      </c>
      <c r="W822" s="102">
        <f t="shared" si="585"/>
        <v>0</v>
      </c>
      <c r="X822" s="102">
        <f t="shared" si="586"/>
        <v>0</v>
      </c>
      <c r="Y822" s="120" t="b">
        <f t="shared" si="587"/>
        <v>0</v>
      </c>
      <c r="Z822" s="117">
        <f t="shared" si="588"/>
        <v>0</v>
      </c>
      <c r="AA822" s="118"/>
      <c r="AB822" s="118" t="str">
        <f t="shared" si="589"/>
        <v/>
      </c>
      <c r="AC822" s="712" t="str">
        <f>IF(AE822="T2G","no charge",IF(AND(OR(PlanterYesMe="No",PlanterYesMe="N",PlanterYesMe="me"),H822=""),"",IF(H822="credit","NO install",IF(AND(K822="",AE822="me"),"EACH row",IF(AND(K822="images",AE822="me"),"EACH row",IF(D822="","",IF(H822="credit","",IF(AE822="free","re-planting",IF(AE822="me","   not ELP, by",IF(AND(OR(PlanterYesMe="Yes",PlanterYesMe="Y"),G822&gt;0),(VLOOKUP(A822,'Discount Lookup'!J:K,2)*G822*(1-PlanterDiscount)*(1+PlanterDifficultyPercentage)),IF(AE822="ELP",(VLOOKUP(A822,'Discount Lookup'!J:K,2)*G822*(1-PlanterDiscount)*(1+PlanterDifficultyPercentage)),IF(AE822="free","re-planting",IF(G822=0,"",IF(PlanterYesMe="",IF(AE822="me","   not ELP, by",IF(AE822="",IF(G822&gt;0,(VLOOKUP(A822,'Discount Lookup'!J:K,2)*G822*(1-PlanterDiscount)*(1+PlanterDifficultyPercentage)),""),"")),"   not ELP, by"))))))))))))))</f>
        <v/>
      </c>
      <c r="AD822" s="712"/>
      <c r="AE822" s="513" t="str">
        <f t="shared" si="590"/>
        <v/>
      </c>
      <c r="AF822" s="713" t="str">
        <f t="shared" si="591"/>
        <v/>
      </c>
      <c r="AG822" s="713"/>
      <c r="AH822" s="713"/>
      <c r="AI822" s="112">
        <f>IF(H822="credit",0,IF(AE822="free",0,IF(AE822="me",0,IF(G822&gt;0,(VLOOKUP(A822,'Discount Lookup'!J:K,2)*G822),0))))</f>
        <v>0</v>
      </c>
      <c r="AJ822" s="107" t="str">
        <f t="shared" ca="1" si="592"/>
        <v/>
      </c>
      <c r="AK822" s="714" t="str">
        <f t="shared" si="593"/>
        <v/>
      </c>
      <c r="AL822" s="714"/>
      <c r="AM822" s="114" t="str">
        <f t="shared" si="594"/>
        <v/>
      </c>
      <c r="AN822" s="115"/>
      <c r="AO822" s="116"/>
      <c r="AP822" s="116"/>
      <c r="AQ822" s="116"/>
      <c r="AR822" s="116"/>
      <c r="AS822" s="116"/>
      <c r="AT822" s="116"/>
      <c r="AU822" s="116"/>
      <c r="AV822" s="78"/>
      <c r="AW822" s="102"/>
      <c r="AX822" s="78"/>
      <c r="AY822" s="78"/>
      <c r="AZ822" s="78"/>
      <c r="BA822" s="78"/>
      <c r="BB822" s="78"/>
      <c r="BC822" s="78"/>
      <c r="BD822" s="78"/>
      <c r="BE822" s="465"/>
      <c r="BF822" s="165" t="str">
        <f t="shared" si="595"/>
        <v>https://www.google.com/search?tbm=isch&amp;q=2%20G6</v>
      </c>
      <c r="BG822" s="165" t="str">
        <f t="shared" si="596"/>
        <v>C</v>
      </c>
      <c r="BH822" s="65"/>
      <c r="BI822" s="65"/>
      <c r="BJ822" s="65"/>
      <c r="BK822" s="65"/>
      <c r="BL822" s="99"/>
      <c r="BM822" s="99"/>
      <c r="BN822" s="99"/>
    </row>
    <row r="823" spans="1:66" s="51" customFormat="1" ht="16.5" thickBot="1" x14ac:dyDescent="0.3">
      <c r="A823" s="705" t="s">
        <v>5363</v>
      </c>
      <c r="B823" s="487"/>
      <c r="C823" s="707"/>
      <c r="D823" s="487"/>
      <c r="E823" s="487"/>
      <c r="F823" s="488"/>
      <c r="G823" s="489"/>
      <c r="H823" s="487"/>
      <c r="I823" s="490"/>
      <c r="J823" s="490"/>
      <c r="K823" s="491"/>
      <c r="L823" s="547"/>
      <c r="M823" s="528"/>
      <c r="N823" s="492"/>
      <c r="O823" s="493"/>
      <c r="P823" s="494"/>
      <c r="Q823" s="492"/>
      <c r="R823" s="492"/>
      <c r="S823" s="699" t="s">
        <v>5259</v>
      </c>
      <c r="T823" s="102">
        <f t="shared" si="584"/>
        <v>0</v>
      </c>
      <c r="U823" s="78" t="str">
        <f>IF(NOT(ISNUMBER(G823)), "", VLOOKUP(A823,'Discount Lookup'!D:E,2,FALSE)*G823)</f>
        <v/>
      </c>
      <c r="V823" s="78" t="str">
        <f>IF(NOT(ISNUMBER(G823)), "", VLOOKUP(A823,'Discount Lookup'!G:H,2,FALSE)*G823)</f>
        <v/>
      </c>
      <c r="W823" s="102">
        <f t="shared" si="585"/>
        <v>0</v>
      </c>
      <c r="X823" s="102">
        <f t="shared" si="586"/>
        <v>0</v>
      </c>
      <c r="Y823" s="120" t="b">
        <f t="shared" si="587"/>
        <v>0</v>
      </c>
      <c r="Z823" s="117">
        <f t="shared" si="588"/>
        <v>0</v>
      </c>
      <c r="AA823" s="118"/>
      <c r="AB823" s="118" t="str">
        <f t="shared" si="589"/>
        <v/>
      </c>
      <c r="AC823" s="712" t="str">
        <f>IF(AE823="T2G","no charge",IF(AND(OR(PlanterYesMe="No",PlanterYesMe="N",PlanterYesMe="me"),H823=""),"",IF(H823="credit","NO install",IF(AND(K823="",AE823="me"),"EACH row",IF(AND(K823="images",AE823="me"),"EACH row",IF(D823="","",IF(H823="credit","",IF(AE823="free","re-planting",IF(AE823="me","   not ELP, by",IF(AND(OR(PlanterYesMe="Yes",PlanterYesMe="Y"),G823&gt;0),(VLOOKUP(A823,'Discount Lookup'!J:K,2)*G823*(1-PlanterDiscount)*(1+PlanterDifficultyPercentage)),IF(AE823="ELP",(VLOOKUP(A823,'Discount Lookup'!J:K,2)*G823*(1-PlanterDiscount)*(1+PlanterDifficultyPercentage)),IF(AE823="free","re-planting",IF(G823=0,"",IF(PlanterYesMe="",IF(AE823="me","   not ELP, by",IF(AE823="",IF(G823&gt;0,(VLOOKUP(A823,'Discount Lookup'!J:K,2)*G823*(1-PlanterDiscount)*(1+PlanterDifficultyPercentage)),""),"")),"   not ELP, by"))))))))))))))</f>
        <v/>
      </c>
      <c r="AD823" s="712"/>
      <c r="AE823" s="513" t="str">
        <f t="shared" si="590"/>
        <v/>
      </c>
      <c r="AF823" s="713" t="str">
        <f t="shared" si="591"/>
        <v/>
      </c>
      <c r="AG823" s="713"/>
      <c r="AH823" s="713"/>
      <c r="AI823" s="112">
        <f>IF(H823="credit",0,IF(AE823="free",0,IF(AE823="me",0,IF(G823&gt;0,(VLOOKUP(A823,'Discount Lookup'!J:K,2)*G823),0))))</f>
        <v>0</v>
      </c>
      <c r="AJ823" s="107" t="str">
        <f t="shared" ca="1" si="592"/>
        <v/>
      </c>
      <c r="AK823" s="714" t="str">
        <f t="shared" si="593"/>
        <v/>
      </c>
      <c r="AL823" s="714"/>
      <c r="AM823" s="114" t="str">
        <f t="shared" si="594"/>
        <v/>
      </c>
      <c r="AN823" s="115"/>
      <c r="AO823" s="116"/>
      <c r="AP823" s="116"/>
      <c r="AQ823" s="116"/>
      <c r="AR823" s="116"/>
      <c r="AS823" s="116"/>
      <c r="AT823" s="116"/>
      <c r="AU823" s="116"/>
      <c r="AV823" s="78"/>
      <c r="AW823" s="102"/>
      <c r="AX823" s="78"/>
      <c r="AY823" s="78"/>
      <c r="AZ823" s="78"/>
      <c r="BA823" s="78"/>
      <c r="BB823" s="78"/>
      <c r="BC823" s="78"/>
      <c r="BD823" s="78"/>
      <c r="BE823" s="465"/>
      <c r="BF823" s="165" t="str">
        <f t="shared" si="595"/>
        <v>https://www.google.com/search?tbm=isch&amp;q=moist%20sites%F0%9F%92%A7GOOD%2C%20Feather%20Falls%20delivers%20bold%20variegation%20and%20cascading%20form%20with%20hybrid%20vigor%2C%20thriving%20in%20shade%20or%20sun%20</v>
      </c>
      <c r="BG823" s="165" t="str">
        <f t="shared" si="596"/>
        <v>m</v>
      </c>
      <c r="BH823" s="65"/>
      <c r="BI823" s="65"/>
      <c r="BJ823" s="65"/>
      <c r="BK823" s="65"/>
      <c r="BL823" s="99"/>
      <c r="BM823" s="99"/>
      <c r="BN823" s="99"/>
    </row>
    <row r="824" spans="1:66" s="51" customFormat="1" ht="18" x14ac:dyDescent="0.25">
      <c r="A824" s="507" t="s">
        <v>1916</v>
      </c>
      <c r="B824" s="470"/>
      <c r="C824" s="706"/>
      <c r="D824" s="471" t="s">
        <v>5864</v>
      </c>
      <c r="E824" s="472"/>
      <c r="F824" s="472"/>
      <c r="G824" s="472"/>
      <c r="H824" s="622" t="s">
        <v>1917</v>
      </c>
      <c r="I824" s="473" t="s">
        <v>1918</v>
      </c>
      <c r="J824" s="472"/>
      <c r="K824" s="472"/>
      <c r="L824" s="561"/>
      <c r="M824" s="703" t="s">
        <v>5260</v>
      </c>
      <c r="N824" s="692" t="str">
        <f>IF(AND(ISTEXT($A824), ISERROR($A824+0)), HYPERLINK($BF824, "Images"), "")</f>
        <v>Images</v>
      </c>
      <c r="O824" s="694" t="s">
        <v>5244</v>
      </c>
      <c r="P824" s="475"/>
      <c r="Q824" s="476"/>
      <c r="R824" s="476"/>
      <c r="S824" s="477"/>
      <c r="T824" s="102">
        <f t="shared" si="584"/>
        <v>0</v>
      </c>
      <c r="U824" s="78" t="str">
        <f>IF(NOT(ISNUMBER(G824)), "", VLOOKUP(A824,'Discount Lookup'!D:E,2,FALSE)*G824)</f>
        <v/>
      </c>
      <c r="V824" s="78" t="str">
        <f>IF(NOT(ISNUMBER(G824)), "", VLOOKUP(A824,'Discount Lookup'!G:H,2,FALSE)*G824)</f>
        <v/>
      </c>
      <c r="W824" s="102">
        <f t="shared" si="585"/>
        <v>0</v>
      </c>
      <c r="X824" s="102" t="str">
        <f t="shared" si="586"/>
        <v>Yellow, Green margins</v>
      </c>
      <c r="Y824" s="120" t="b">
        <f t="shared" si="587"/>
        <v>0</v>
      </c>
      <c r="Z824" s="117">
        <f t="shared" si="588"/>
        <v>0</v>
      </c>
      <c r="AA824" s="118"/>
      <c r="AB824" s="118" t="str">
        <f t="shared" si="589"/>
        <v/>
      </c>
      <c r="AC824" s="712" t="str">
        <f>IF(AE824="T2G","no charge",IF(AND(OR(PlanterYesMe="No",PlanterYesMe="N",PlanterYesMe="me"),H824=""),"",IF(H824="credit","NO install",IF(AND(K824="",AE824="me"),"EACH row",IF(AND(K824="images",AE824="me"),"EACH row",IF(D824="","",IF(H824="credit","",IF(AE824="free","re-planting",IF(AE824="me","   not ELP, by",IF(AND(OR(PlanterYesMe="Yes",PlanterYesMe="Y"),G824&gt;0),(VLOOKUP(A824,'Discount Lookup'!J:K,2)*G824*(1-PlanterDiscount)*(1+PlanterDifficultyPercentage)),IF(AE824="ELP",(VLOOKUP(A824,'Discount Lookup'!J:K,2)*G824*(1-PlanterDiscount)*(1+PlanterDifficultyPercentage)),IF(AE824="free","re-planting",IF(G824=0,"",IF(PlanterYesMe="",IF(AE824="me","   not ELP, by",IF(AE824="",IF(G824&gt;0,(VLOOKUP(A824,'Discount Lookup'!J:K,2)*G824*(1-PlanterDiscount)*(1+PlanterDifficultyPercentage)),""),"")),"   not ELP, by"))))))))))))))</f>
        <v/>
      </c>
      <c r="AD824" s="712"/>
      <c r="AE824" s="513" t="str">
        <f t="shared" si="590"/>
        <v/>
      </c>
      <c r="AF824" s="713" t="str">
        <f t="shared" si="591"/>
        <v/>
      </c>
      <c r="AG824" s="713"/>
      <c r="AH824" s="713"/>
      <c r="AI824" s="112">
        <f>IF(H824="credit",0,IF(AE824="free",0,IF(AE824="me",0,IF(G824&gt;0,(VLOOKUP(A824,'Discount Lookup'!J:K,2)*G824),0))))</f>
        <v>0</v>
      </c>
      <c r="AJ824" s="107" t="str">
        <f t="shared" ca="1" si="592"/>
        <v/>
      </c>
      <c r="AK824" s="714" t="str">
        <f t="shared" si="593"/>
        <v/>
      </c>
      <c r="AL824" s="714"/>
      <c r="AM824" s="114" t="str">
        <f t="shared" si="594"/>
        <v/>
      </c>
      <c r="AN824" s="115"/>
      <c r="AO824" s="116"/>
      <c r="AP824" s="116"/>
      <c r="AQ824" s="116"/>
      <c r="AR824" s="116"/>
      <c r="AS824" s="116"/>
      <c r="AT824" s="116"/>
      <c r="AU824" s="116"/>
      <c r="AV824" s="78"/>
      <c r="AW824" s="102"/>
      <c r="AX824" s="78"/>
      <c r="AY824" s="78"/>
      <c r="AZ824" s="78"/>
      <c r="BA824" s="78"/>
      <c r="BB824" s="78"/>
      <c r="BC824" s="78"/>
      <c r="BD824" s="78"/>
      <c r="BE824" s="465"/>
      <c r="BF824" s="165" t="str">
        <f t="shared" si="595"/>
        <v>https://www.google.com/search?tbm=isch&amp;q=Carex%20oshimensis%20%27Evergold%27%20Evergold%20Sedge%20%28EverColor%C2%AE%29</v>
      </c>
      <c r="BG824" s="165" t="str">
        <f t="shared" si="596"/>
        <v>C</v>
      </c>
      <c r="BH824" s="65"/>
      <c r="BI824" s="65"/>
      <c r="BJ824" s="65"/>
      <c r="BK824" s="65"/>
      <c r="BL824" s="99"/>
      <c r="BM824" s="99"/>
      <c r="BN824" s="99"/>
    </row>
    <row r="825" spans="1:66" s="51" customFormat="1" ht="15.75" x14ac:dyDescent="0.25">
      <c r="A825" s="478">
        <v>1</v>
      </c>
      <c r="B825" s="479" t="s">
        <v>291</v>
      </c>
      <c r="C825" s="480"/>
      <c r="D825" s="481" t="s">
        <v>310</v>
      </c>
      <c r="E825" s="482">
        <v>12.95</v>
      </c>
      <c r="F825" s="483" t="s">
        <v>292</v>
      </c>
      <c r="G825" s="484">
        <v>0</v>
      </c>
      <c r="H825" s="688" t="str">
        <f>IF(G825=0,"",IF(F825="Buy",IF(G825=1,"plant","plants"),IF(F825&gt;0.01,"warranty","Error")))</f>
        <v/>
      </c>
      <c r="I825" s="485">
        <f>IF(H825="free",0,IF(H825="credit",((E825*(F825))*G825*-1),IF(F825="Buy",(E825*G825),((E825*(1-F825))*G825))))</f>
        <v>0</v>
      </c>
      <c r="J825" s="485">
        <f>IF(H825="warranty",0,(I825*(_xlfn.SINGLE(SalesTaxPercentage))))</f>
        <v>0</v>
      </c>
      <c r="K825" s="715">
        <f t="shared" ref="K825" si="609">I825+J825</f>
        <v>0</v>
      </c>
      <c r="L825" s="715"/>
      <c r="M825" s="689" t="str">
        <f ca="1">IF(AND(G825&gt;0,E825=0),"WARNING - no PRICE inserted",IF(H825="free","FREE ~ no charge this plant",IF(H825="credit",CONCATENATE("-$",ROUND(K825*(1-_xlfn.SINGLE(T2GDiscount))*-1,2)," CREDIT after discount"),IF(_xlfn.SINGLE(T2GDiscount)=0,"",IF(G825=0,"",IF(F825="Buy",CONCATENATE("$",ROUND(K825*(1-_xlfn.SINGLE(T2GDiscount)),2)," with ",(_xlfn.SINGLE(T2GDiscount)*100),"% discount"),CONCATENATE("$",ROUND(K825*(1-_xlfn.SINGLE(T2GDiscount)),2)," with ",((_xlfn.SINGLE(T2GDiscount)*100+F825*100)-(_xlfn.SINGLE(T2GDiscount)*100*F825)),IF(F825&gt;0,"% discounts",IF(_xlfn.SINGLE(NoWarrantyDiscount)&gt;0,"% discounts","% discount")))))))))</f>
        <v/>
      </c>
      <c r="N825" s="690"/>
      <c r="O825" s="486"/>
      <c r="P825" s="486"/>
      <c r="Q825" s="486"/>
      <c r="R825" s="486"/>
      <c r="S825" s="486"/>
      <c r="T825" s="102">
        <f t="shared" si="584"/>
        <v>0</v>
      </c>
      <c r="U825" s="78">
        <f>IF(NOT(ISNUMBER(G825)), "", VLOOKUP(A825,'Discount Lookup'!D:E,2,FALSE)*G825)</f>
        <v>0</v>
      </c>
      <c r="V825" s="78">
        <f>IF(NOT(ISNUMBER(G825)), "", VLOOKUP(A825,'Discount Lookup'!G:H,2,FALSE)*G825)</f>
        <v>0</v>
      </c>
      <c r="W825" s="102">
        <f t="shared" si="585"/>
        <v>0</v>
      </c>
      <c r="X825" s="102">
        <f t="shared" si="586"/>
        <v>0</v>
      </c>
      <c r="Y825" s="120" t="b">
        <f t="shared" si="587"/>
        <v>0</v>
      </c>
      <c r="Z825" s="117">
        <f t="shared" si="588"/>
        <v>0</v>
      </c>
      <c r="AA825" s="118"/>
      <c r="AB825" s="118" t="str">
        <f t="shared" si="589"/>
        <v/>
      </c>
      <c r="AC825" s="712" t="str">
        <f>IF(AE825="T2G","no charge",IF(AND(OR(PlanterYesMe="No",PlanterYesMe="N",PlanterYesMe="me"),H825=""),"",IF(H825="credit","NO install",IF(AND(K825="",AE825="me"),"EACH row",IF(AND(K825="images",AE825="me"),"EACH row",IF(D825="","",IF(H825="credit","",IF(AE825="free","re-planting",IF(AE825="me","   not ELP, by",IF(AND(OR(PlanterYesMe="Yes",PlanterYesMe="Y"),G825&gt;0),(VLOOKUP(A825,'Discount Lookup'!J:K,2)*G825*(1-PlanterDiscount)*(1+PlanterDifficultyPercentage)),IF(AE825="ELP",(VLOOKUP(A825,'Discount Lookup'!J:K,2)*G825*(1-PlanterDiscount)*(1+PlanterDifficultyPercentage)),IF(AE825="free","re-planting",IF(G825=0,"",IF(PlanterYesMe="",IF(AE825="me","   not ELP, by",IF(AE825="",IF(G825&gt;0,(VLOOKUP(A825,'Discount Lookup'!J:K,2)*G825*(1-PlanterDiscount)*(1+PlanterDifficultyPercentage)),""),"")),"   not ELP, by"))))))))))))))</f>
        <v/>
      </c>
      <c r="AD825" s="712"/>
      <c r="AE825" s="513" t="str">
        <f t="shared" si="590"/>
        <v/>
      </c>
      <c r="AF825" s="713" t="str">
        <f t="shared" si="591"/>
        <v/>
      </c>
      <c r="AG825" s="713"/>
      <c r="AH825" s="713"/>
      <c r="AI825" s="112">
        <f>IF(H825="credit",0,IF(AE825="free",0,IF(AE825="me",0,IF(G825&gt;0,(VLOOKUP(A825,'Discount Lookup'!J:K,2)*G825),0))))</f>
        <v>0</v>
      </c>
      <c r="AJ825" s="107" t="str">
        <f t="shared" ca="1" si="592"/>
        <v/>
      </c>
      <c r="AK825" s="714" t="str">
        <f t="shared" si="593"/>
        <v/>
      </c>
      <c r="AL825" s="714"/>
      <c r="AM825" s="114" t="str">
        <f t="shared" si="594"/>
        <v/>
      </c>
      <c r="AN825" s="115"/>
      <c r="AO825" s="116"/>
      <c r="AP825" s="116"/>
      <c r="AQ825" s="116"/>
      <c r="AR825" s="116"/>
      <c r="AS825" s="116"/>
      <c r="AT825" s="116"/>
      <c r="AU825" s="116"/>
      <c r="AV825" s="78"/>
      <c r="AW825" s="102"/>
      <c r="AX825" s="78"/>
      <c r="AY825" s="78"/>
      <c r="AZ825" s="78"/>
      <c r="BA825" s="78"/>
      <c r="BB825" s="78"/>
      <c r="BC825" s="78"/>
      <c r="BD825" s="78"/>
      <c r="BE825" s="465"/>
      <c r="BF825" s="165" t="str">
        <f t="shared" si="595"/>
        <v>https://www.google.com/search?tbm=isch&amp;q=1%20G1</v>
      </c>
      <c r="BG825" s="165" t="str">
        <f t="shared" si="596"/>
        <v>C</v>
      </c>
      <c r="BH825" s="65"/>
      <c r="BI825" s="65"/>
      <c r="BJ825" s="65"/>
      <c r="BK825" s="65"/>
      <c r="BL825" s="99"/>
      <c r="BM825" s="99"/>
      <c r="BN825" s="99"/>
    </row>
    <row r="826" spans="1:66" s="51" customFormat="1" ht="16.5" thickBot="1" x14ac:dyDescent="0.3">
      <c r="A826" s="705" t="s">
        <v>5364</v>
      </c>
      <c r="B826" s="487"/>
      <c r="C826" s="707"/>
      <c r="D826" s="487"/>
      <c r="E826" s="487"/>
      <c r="F826" s="488"/>
      <c r="G826" s="489"/>
      <c r="H826" s="487"/>
      <c r="I826" s="490"/>
      <c r="J826" s="490"/>
      <c r="K826" s="491"/>
      <c r="L826" s="547"/>
      <c r="M826" s="528"/>
      <c r="N826" s="492"/>
      <c r="O826" s="493"/>
      <c r="P826" s="494"/>
      <c r="Q826" s="492"/>
      <c r="R826" s="492"/>
      <c r="S826" s="495"/>
      <c r="T826" s="102">
        <f t="shared" si="584"/>
        <v>0</v>
      </c>
      <c r="U826" s="78" t="str">
        <f>IF(NOT(ISNUMBER(G826)), "", VLOOKUP(A826,'Discount Lookup'!D:E,2,FALSE)*G826)</f>
        <v/>
      </c>
      <c r="V826" s="78" t="str">
        <f>IF(NOT(ISNUMBER(G826)), "", VLOOKUP(A826,'Discount Lookup'!G:H,2,FALSE)*G826)</f>
        <v/>
      </c>
      <c r="W826" s="102">
        <f t="shared" si="585"/>
        <v>0</v>
      </c>
      <c r="X826" s="102">
        <f t="shared" si="586"/>
        <v>0</v>
      </c>
      <c r="Y826" s="120" t="b">
        <f t="shared" si="587"/>
        <v>0</v>
      </c>
      <c r="Z826" s="117">
        <f t="shared" si="588"/>
        <v>0</v>
      </c>
      <c r="AA826" s="118"/>
      <c r="AB826" s="118" t="str">
        <f t="shared" si="589"/>
        <v/>
      </c>
      <c r="AC826" s="712" t="str">
        <f>IF(AE826="T2G","no charge",IF(AND(OR(PlanterYesMe="No",PlanterYesMe="N",PlanterYesMe="me"),H826=""),"",IF(H826="credit","NO install",IF(AND(K826="",AE826="me"),"EACH row",IF(AND(K826="images",AE826="me"),"EACH row",IF(D826="","",IF(H826="credit","",IF(AE826="free","re-planting",IF(AE826="me","   not ELP, by",IF(AND(OR(PlanterYesMe="Yes",PlanterYesMe="Y"),G826&gt;0),(VLOOKUP(A826,'Discount Lookup'!J:K,2)*G826*(1-PlanterDiscount)*(1+PlanterDifficultyPercentage)),IF(AE826="ELP",(VLOOKUP(A826,'Discount Lookup'!J:K,2)*G826*(1-PlanterDiscount)*(1+PlanterDifficultyPercentage)),IF(AE826="free","re-planting",IF(G826=0,"",IF(PlanterYesMe="",IF(AE826="me","   not ELP, by",IF(AE826="",IF(G826&gt;0,(VLOOKUP(A826,'Discount Lookup'!J:K,2)*G826*(1-PlanterDiscount)*(1+PlanterDifficultyPercentage)),""),"")),"   not ELP, by"))))))))))))))</f>
        <v/>
      </c>
      <c r="AD826" s="712"/>
      <c r="AE826" s="513" t="str">
        <f t="shared" si="590"/>
        <v/>
      </c>
      <c r="AF826" s="713" t="str">
        <f t="shared" si="591"/>
        <v/>
      </c>
      <c r="AG826" s="713"/>
      <c r="AH826" s="713"/>
      <c r="AI826" s="112">
        <f>IF(H826="credit",0,IF(AE826="free",0,IF(AE826="me",0,IF(G826&gt;0,(VLOOKUP(A826,'Discount Lookup'!J:K,2)*G826),0))))</f>
        <v>0</v>
      </c>
      <c r="AJ826" s="107" t="str">
        <f t="shared" ca="1" si="592"/>
        <v/>
      </c>
      <c r="AK826" s="714" t="str">
        <f t="shared" si="593"/>
        <v/>
      </c>
      <c r="AL826" s="714"/>
      <c r="AM826" s="114" t="str">
        <f t="shared" si="594"/>
        <v/>
      </c>
      <c r="AN826" s="115"/>
      <c r="AO826" s="116"/>
      <c r="AP826" s="116"/>
      <c r="AQ826" s="116"/>
      <c r="AR826" s="116"/>
      <c r="AS826" s="116"/>
      <c r="AT826" s="116"/>
      <c r="AU826" s="116"/>
      <c r="AV826" s="78"/>
      <c r="AW826" s="102"/>
      <c r="AX826" s="78"/>
      <c r="AY826" s="78"/>
      <c r="AZ826" s="78"/>
      <c r="BA826" s="78"/>
      <c r="BB826" s="78"/>
      <c r="BC826" s="78"/>
      <c r="BD826" s="78"/>
      <c r="BE826" s="465"/>
      <c r="BF826" s="165" t="str">
        <f t="shared" si="595"/>
        <v>https://www.google.com/search?tbm=isch&amp;q=moist%20sites%F0%9F%92%A7GOOD%2C%20Evergold%20Sedge%20brings%20year-round%20color%20with%20its%20graceful%2C%20arching%20variegated%20foliage%20%E2%80%94%20Creamy%20Yellow%20centers%20with%20Deep%20Green%20margins%20</v>
      </c>
      <c r="BG826" s="165" t="str">
        <f t="shared" si="596"/>
        <v>m</v>
      </c>
      <c r="BH826" s="65"/>
      <c r="BI826" s="65"/>
      <c r="BJ826" s="65"/>
      <c r="BK826" s="65"/>
      <c r="BL826" s="99"/>
      <c r="BM826" s="99"/>
      <c r="BN826" s="99"/>
    </row>
    <row r="827" spans="1:66" s="51" customFormat="1" ht="18" x14ac:dyDescent="0.25">
      <c r="A827" s="507" t="s">
        <v>5230</v>
      </c>
      <c r="B827" s="470"/>
      <c r="C827" s="706"/>
      <c r="D827" s="471" t="s">
        <v>5865</v>
      </c>
      <c r="E827" s="472"/>
      <c r="F827" s="472"/>
      <c r="G827" s="472"/>
      <c r="H827" s="622" t="s">
        <v>1525</v>
      </c>
      <c r="I827" s="473" t="s">
        <v>5231</v>
      </c>
      <c r="J827" s="472"/>
      <c r="K827" s="472"/>
      <c r="L827" s="561"/>
      <c r="M827" s="698" t="s">
        <v>5246</v>
      </c>
      <c r="N827" s="692" t="str">
        <f>IF(AND(ISTEXT($A827), ISERROR($A827+0)), HYPERLINK($BF827, "Images"), "")</f>
        <v>Images</v>
      </c>
      <c r="O827" s="694" t="s">
        <v>5244</v>
      </c>
      <c r="P827" s="475"/>
      <c r="Q827" s="476"/>
      <c r="R827" s="476"/>
      <c r="S827" s="477"/>
      <c r="T827" s="102">
        <f t="shared" si="584"/>
        <v>0</v>
      </c>
      <c r="U827" s="78" t="str">
        <f>IF(NOT(ISNUMBER(G827)), "", VLOOKUP(A827,'Discount Lookup'!D:E,2,FALSE)*G827)</f>
        <v/>
      </c>
      <c r="V827" s="78" t="str">
        <f>IF(NOT(ISNUMBER(G827)), "", VLOOKUP(A827,'Discount Lookup'!G:H,2,FALSE)*G827)</f>
        <v/>
      </c>
      <c r="W827" s="102">
        <f t="shared" si="585"/>
        <v>0</v>
      </c>
      <c r="X827" s="102" t="str">
        <f t="shared" si="586"/>
        <v>Chartreuse bloom</v>
      </c>
      <c r="Y827" s="120" t="b">
        <f t="shared" si="587"/>
        <v>0</v>
      </c>
      <c r="Z827" s="117">
        <f t="shared" si="588"/>
        <v>0</v>
      </c>
      <c r="AA827" s="118"/>
      <c r="AB827" s="118" t="str">
        <f t="shared" si="589"/>
        <v/>
      </c>
      <c r="AC827" s="712" t="str">
        <f>IF(AE827="T2G","no charge",IF(AND(OR(PlanterYesMe="No",PlanterYesMe="N",PlanterYesMe="me"),H827=""),"",IF(H827="credit","NO install",IF(AND(K827="",AE827="me"),"EACH row",IF(AND(K827="images",AE827="me"),"EACH row",IF(D827="","",IF(H827="credit","",IF(AE827="free","re-planting",IF(AE827="me","   not ELP, by",IF(AND(OR(PlanterYesMe="Yes",PlanterYesMe="Y"),G827&gt;0),(VLOOKUP(A827,'Discount Lookup'!J:K,2)*G827*(1-PlanterDiscount)*(1+PlanterDifficultyPercentage)),IF(AE827="ELP",(VLOOKUP(A827,'Discount Lookup'!J:K,2)*G827*(1-PlanterDiscount)*(1+PlanterDifficultyPercentage)),IF(AE827="free","re-planting",IF(G827=0,"",IF(PlanterYesMe="",IF(AE827="me","   not ELP, by",IF(AE827="",IF(G827&gt;0,(VLOOKUP(A827,'Discount Lookup'!J:K,2)*G827*(1-PlanterDiscount)*(1+PlanterDifficultyPercentage)),""),"")),"   not ELP, by"))))))))))))))</f>
        <v/>
      </c>
      <c r="AD827" s="712"/>
      <c r="AE827" s="513" t="str">
        <f t="shared" si="590"/>
        <v/>
      </c>
      <c r="AF827" s="713" t="str">
        <f t="shared" si="591"/>
        <v/>
      </c>
      <c r="AG827" s="713"/>
      <c r="AH827" s="713"/>
      <c r="AI827" s="112">
        <f>IF(H827="credit",0,IF(AE827="free",0,IF(AE827="me",0,IF(G827&gt;0,(VLOOKUP(A827,'Discount Lookup'!J:K,2)*G827),0))))</f>
        <v>0</v>
      </c>
      <c r="AJ827" s="107" t="str">
        <f t="shared" ca="1" si="592"/>
        <v/>
      </c>
      <c r="AK827" s="714" t="str">
        <f t="shared" si="593"/>
        <v/>
      </c>
      <c r="AL827" s="714"/>
      <c r="AM827" s="114" t="str">
        <f t="shared" si="594"/>
        <v/>
      </c>
      <c r="AN827" s="115"/>
      <c r="AO827" s="116"/>
      <c r="AP827" s="116"/>
      <c r="AQ827" s="116"/>
      <c r="AR827" s="116"/>
      <c r="AS827" s="116"/>
      <c r="AT827" s="116"/>
      <c r="AU827" s="116"/>
      <c r="AV827" s="78"/>
      <c r="AW827" s="102"/>
      <c r="AX827" s="78"/>
      <c r="AY827" s="78"/>
      <c r="AZ827" s="78"/>
      <c r="BA827" s="78"/>
      <c r="BB827" s="78"/>
      <c r="BC827" s="78"/>
      <c r="BD827" s="78"/>
      <c r="BE827" s="465"/>
      <c r="BF827" s="165" t="str">
        <f t="shared" si="595"/>
        <v>https://www.google.com/search?tbm=isch&amp;q=Carex%20oshimensis%20%27Everillo%27%20PP%2321002%20Everillo%20Sedge%20%28EverColor%C2%AE%29</v>
      </c>
      <c r="BG827" s="165" t="str">
        <f t="shared" si="596"/>
        <v>C</v>
      </c>
      <c r="BH827" s="65"/>
      <c r="BI827" s="65"/>
      <c r="BJ827" s="65"/>
      <c r="BK827" s="65"/>
      <c r="BL827" s="99"/>
      <c r="BM827" s="99"/>
      <c r="BN827" s="99"/>
    </row>
    <row r="828" spans="1:66" s="51" customFormat="1" ht="15.75" x14ac:dyDescent="0.25">
      <c r="A828" s="478">
        <v>1</v>
      </c>
      <c r="B828" s="479" t="s">
        <v>291</v>
      </c>
      <c r="C828" s="480"/>
      <c r="D828" s="481" t="s">
        <v>310</v>
      </c>
      <c r="E828" s="482">
        <v>13.95</v>
      </c>
      <c r="F828" s="483" t="s">
        <v>292</v>
      </c>
      <c r="G828" s="484">
        <v>0</v>
      </c>
      <c r="H828" s="688" t="str">
        <f>IF(G828=0,"",IF(F828="Buy",IF(G828=1,"plant","plants"),IF(F828&gt;0.01,"warranty","Error")))</f>
        <v/>
      </c>
      <c r="I828" s="485">
        <f>IF(H828="free",0,IF(H828="credit",((E828*(F828))*G828*-1),IF(F828="Buy",(E828*G828),((E828*(1-F828))*G828))))</f>
        <v>0</v>
      </c>
      <c r="J828" s="485">
        <f>IF(H828="warranty",0,(I828*(_xlfn.SINGLE(SalesTaxPercentage))))</f>
        <v>0</v>
      </c>
      <c r="K828" s="715">
        <f t="shared" ref="K828" si="610">I828+J828</f>
        <v>0</v>
      </c>
      <c r="L828" s="715"/>
      <c r="M828" s="689" t="str">
        <f ca="1">IF(AND(G828&gt;0,E828=0),"WARNING - no PRICE inserted",IF(H828="free","FREE ~ no charge this plant",IF(H828="credit",CONCATENATE("-$",ROUND(K828*(1-_xlfn.SINGLE(T2GDiscount))*-1,2)," CREDIT after discount"),IF(_xlfn.SINGLE(T2GDiscount)=0,"",IF(G828=0,"",IF(F828="Buy",CONCATENATE("$",ROUND(K828*(1-_xlfn.SINGLE(T2GDiscount)),2)," with ",(_xlfn.SINGLE(T2GDiscount)*100),"% discount"),CONCATENATE("$",ROUND(K828*(1-_xlfn.SINGLE(T2GDiscount)),2)," with ",((_xlfn.SINGLE(T2GDiscount)*100+F828*100)-(_xlfn.SINGLE(T2GDiscount)*100*F828)),IF(F828&gt;0,"% discounts",IF(_xlfn.SINGLE(NoWarrantyDiscount)&gt;0,"% discounts","% discount")))))))))</f>
        <v/>
      </c>
      <c r="N828" s="690"/>
      <c r="O828" s="486"/>
      <c r="P828" s="486"/>
      <c r="Q828" s="486"/>
      <c r="R828" s="486"/>
      <c r="S828" s="486"/>
      <c r="T828" s="102">
        <f t="shared" si="584"/>
        <v>0</v>
      </c>
      <c r="U828" s="78">
        <f>IF(NOT(ISNUMBER(G828)), "", VLOOKUP(A828,'Discount Lookup'!D:E,2,FALSE)*G828)</f>
        <v>0</v>
      </c>
      <c r="V828" s="78">
        <f>IF(NOT(ISNUMBER(G828)), "", VLOOKUP(A828,'Discount Lookup'!G:H,2,FALSE)*G828)</f>
        <v>0</v>
      </c>
      <c r="W828" s="102">
        <f t="shared" si="585"/>
        <v>0</v>
      </c>
      <c r="X828" s="102">
        <f t="shared" si="586"/>
        <v>0</v>
      </c>
      <c r="Y828" s="120" t="b">
        <f t="shared" si="587"/>
        <v>0</v>
      </c>
      <c r="Z828" s="117">
        <f t="shared" si="588"/>
        <v>0</v>
      </c>
      <c r="AA828" s="118"/>
      <c r="AB828" s="118" t="str">
        <f t="shared" si="589"/>
        <v/>
      </c>
      <c r="AC828" s="712" t="str">
        <f>IF(AE828="T2G","no charge",IF(AND(OR(PlanterYesMe="No",PlanterYesMe="N",PlanterYesMe="me"),H828=""),"",IF(H828="credit","NO install",IF(AND(K828="",AE828="me"),"EACH row",IF(AND(K828="images",AE828="me"),"EACH row",IF(D828="","",IF(H828="credit","",IF(AE828="free","re-planting",IF(AE828="me","   not ELP, by",IF(AND(OR(PlanterYesMe="Yes",PlanterYesMe="Y"),G828&gt;0),(VLOOKUP(A828,'Discount Lookup'!J:K,2)*G828*(1-PlanterDiscount)*(1+PlanterDifficultyPercentage)),IF(AE828="ELP",(VLOOKUP(A828,'Discount Lookup'!J:K,2)*G828*(1-PlanterDiscount)*(1+PlanterDifficultyPercentage)),IF(AE828="free","re-planting",IF(G828=0,"",IF(PlanterYesMe="",IF(AE828="me","   not ELP, by",IF(AE828="",IF(G828&gt;0,(VLOOKUP(A828,'Discount Lookup'!J:K,2)*G828*(1-PlanterDiscount)*(1+PlanterDifficultyPercentage)),""),"")),"   not ELP, by"))))))))))))))</f>
        <v/>
      </c>
      <c r="AD828" s="712"/>
      <c r="AE828" s="513" t="str">
        <f t="shared" si="590"/>
        <v/>
      </c>
      <c r="AF828" s="713" t="str">
        <f t="shared" si="591"/>
        <v/>
      </c>
      <c r="AG828" s="713"/>
      <c r="AH828" s="713"/>
      <c r="AI828" s="112">
        <f>IF(H828="credit",0,IF(AE828="free",0,IF(AE828="me",0,IF(G828&gt;0,(VLOOKUP(A828,'Discount Lookup'!J:K,2)*G828),0))))</f>
        <v>0</v>
      </c>
      <c r="AJ828" s="107" t="str">
        <f t="shared" ca="1" si="592"/>
        <v/>
      </c>
      <c r="AK828" s="714" t="str">
        <f t="shared" si="593"/>
        <v/>
      </c>
      <c r="AL828" s="714"/>
      <c r="AM828" s="114" t="str">
        <f t="shared" si="594"/>
        <v/>
      </c>
      <c r="AN828" s="115"/>
      <c r="AO828" s="116"/>
      <c r="AP828" s="116"/>
      <c r="AQ828" s="116"/>
      <c r="AR828" s="116"/>
      <c r="AS828" s="116"/>
      <c r="AT828" s="116"/>
      <c r="AU828" s="116"/>
      <c r="AV828" s="78"/>
      <c r="AW828" s="102"/>
      <c r="AX828" s="78"/>
      <c r="AY828" s="78"/>
      <c r="AZ828" s="78"/>
      <c r="BA828" s="78"/>
      <c r="BB828" s="78"/>
      <c r="BC828" s="78"/>
      <c r="BD828" s="78"/>
      <c r="BE828" s="465"/>
      <c r="BF828" s="165" t="str">
        <f t="shared" si="595"/>
        <v>https://www.google.com/search?tbm=isch&amp;q=1%20G1</v>
      </c>
      <c r="BG828" s="165" t="str">
        <f t="shared" si="596"/>
        <v>C</v>
      </c>
      <c r="BH828" s="65"/>
      <c r="BI828" s="65"/>
      <c r="BJ828" s="65"/>
      <c r="BK828" s="65"/>
      <c r="BL828" s="99"/>
      <c r="BM828" s="99"/>
      <c r="BN828" s="99"/>
    </row>
    <row r="829" spans="1:66" s="51" customFormat="1" ht="16.5" thickBot="1" x14ac:dyDescent="0.3">
      <c r="A829" s="705" t="s">
        <v>5365</v>
      </c>
      <c r="B829" s="487"/>
      <c r="C829" s="707"/>
      <c r="D829" s="487"/>
      <c r="E829" s="487"/>
      <c r="F829" s="488"/>
      <c r="G829" s="489"/>
      <c r="H829" s="487"/>
      <c r="I829" s="490"/>
      <c r="J829" s="490"/>
      <c r="K829" s="491"/>
      <c r="L829" s="547"/>
      <c r="M829" s="528"/>
      <c r="N829" s="492"/>
      <c r="O829" s="493"/>
      <c r="P829" s="494"/>
      <c r="Q829" s="492"/>
      <c r="R829" s="492"/>
      <c r="S829" s="699" t="s">
        <v>5259</v>
      </c>
      <c r="T829" s="102">
        <f t="shared" si="584"/>
        <v>0</v>
      </c>
      <c r="U829" s="78" t="str">
        <f>IF(NOT(ISNUMBER(G829)), "", VLOOKUP(A829,'Discount Lookup'!D:E,2,FALSE)*G829)</f>
        <v/>
      </c>
      <c r="V829" s="78" t="str">
        <f>IF(NOT(ISNUMBER(G829)), "", VLOOKUP(A829,'Discount Lookup'!G:H,2,FALSE)*G829)</f>
        <v/>
      </c>
      <c r="W829" s="102">
        <f t="shared" si="585"/>
        <v>0</v>
      </c>
      <c r="X829" s="102">
        <f t="shared" si="586"/>
        <v>0</v>
      </c>
      <c r="Y829" s="120" t="b">
        <f t="shared" si="587"/>
        <v>0</v>
      </c>
      <c r="Z829" s="117">
        <f t="shared" si="588"/>
        <v>0</v>
      </c>
      <c r="AA829" s="118"/>
      <c r="AB829" s="118" t="str">
        <f t="shared" si="589"/>
        <v/>
      </c>
      <c r="AC829" s="712" t="str">
        <f>IF(AE829="T2G","no charge",IF(AND(OR(PlanterYesMe="No",PlanterYesMe="N",PlanterYesMe="me"),H829=""),"",IF(H829="credit","NO install",IF(AND(K829="",AE829="me"),"EACH row",IF(AND(K829="images",AE829="me"),"EACH row",IF(D829="","",IF(H829="credit","",IF(AE829="free","re-planting",IF(AE829="me","   not ELP, by",IF(AND(OR(PlanterYesMe="Yes",PlanterYesMe="Y"),G829&gt;0),(VLOOKUP(A829,'Discount Lookup'!J:K,2)*G829*(1-PlanterDiscount)*(1+PlanterDifficultyPercentage)),IF(AE829="ELP",(VLOOKUP(A829,'Discount Lookup'!J:K,2)*G829*(1-PlanterDiscount)*(1+PlanterDifficultyPercentage)),IF(AE829="free","re-planting",IF(G829=0,"",IF(PlanterYesMe="",IF(AE829="me","   not ELP, by",IF(AE829="",IF(G829&gt;0,(VLOOKUP(A829,'Discount Lookup'!J:K,2)*G829*(1-PlanterDiscount)*(1+PlanterDifficultyPercentage)),""),"")),"   not ELP, by"))))))))))))))</f>
        <v/>
      </c>
      <c r="AD829" s="712"/>
      <c r="AE829" s="513" t="str">
        <f t="shared" si="590"/>
        <v/>
      </c>
      <c r="AF829" s="713" t="str">
        <f t="shared" si="591"/>
        <v/>
      </c>
      <c r="AG829" s="713"/>
      <c r="AH829" s="713"/>
      <c r="AI829" s="112">
        <f>IF(H829="credit",0,IF(AE829="free",0,IF(AE829="me",0,IF(G829&gt;0,(VLOOKUP(A829,'Discount Lookup'!J:K,2)*G829),0))))</f>
        <v>0</v>
      </c>
      <c r="AJ829" s="107" t="str">
        <f t="shared" ca="1" si="592"/>
        <v/>
      </c>
      <c r="AK829" s="714" t="str">
        <f t="shared" si="593"/>
        <v/>
      </c>
      <c r="AL829" s="714"/>
      <c r="AM829" s="114" t="str">
        <f t="shared" si="594"/>
        <v/>
      </c>
      <c r="AN829" s="115"/>
      <c r="AO829" s="116"/>
      <c r="AP829" s="116"/>
      <c r="AQ829" s="116"/>
      <c r="AR829" s="116"/>
      <c r="AS829" s="116"/>
      <c r="AT829" s="116"/>
      <c r="AU829" s="116"/>
      <c r="AV829" s="78"/>
      <c r="AW829" s="102"/>
      <c r="AX829" s="78"/>
      <c r="AY829" s="78"/>
      <c r="AZ829" s="78"/>
      <c r="BA829" s="78"/>
      <c r="BB829" s="78"/>
      <c r="BC829" s="78"/>
      <c r="BD829" s="78"/>
      <c r="BE829" s="465"/>
      <c r="BF829" s="165" t="str">
        <f t="shared" si="595"/>
        <v>https://www.google.com/search?tbm=isch&amp;q=moist%20sites%F0%9F%92%A7GOOD%2C%20EverColor%20Everillo%20is%20prized%20for%20its%20brilliant%20Golden-Yellow%20foliage%2C%20providing%20a%20sunny%2C%20year-round%20glow%20to%20a%20shady%20garden%20</v>
      </c>
      <c r="BG829" s="165" t="str">
        <f t="shared" si="596"/>
        <v>m</v>
      </c>
      <c r="BH829" s="65"/>
      <c r="BI829" s="65"/>
      <c r="BJ829" s="65"/>
      <c r="BK829" s="65"/>
      <c r="BL829" s="99"/>
      <c r="BM829" s="99"/>
      <c r="BN829" s="99"/>
    </row>
    <row r="830" spans="1:66" s="51" customFormat="1" ht="18" x14ac:dyDescent="0.25">
      <c r="A830" s="507" t="s">
        <v>1919</v>
      </c>
      <c r="B830" s="470"/>
      <c r="C830" s="706"/>
      <c r="D830" s="471" t="s">
        <v>5618</v>
      </c>
      <c r="E830" s="472"/>
      <c r="F830" s="472"/>
      <c r="G830" s="472"/>
      <c r="H830" s="622" t="s">
        <v>1917</v>
      </c>
      <c r="I830" s="473" t="s">
        <v>1920</v>
      </c>
      <c r="J830" s="472"/>
      <c r="K830" s="472"/>
      <c r="L830" s="561"/>
      <c r="M830" s="703" t="s">
        <v>5274</v>
      </c>
      <c r="N830" s="692" t="str">
        <f>IF(AND(ISTEXT($A830), ISERROR($A830+0)), HYPERLINK($BF830, "Images"), "")</f>
        <v>Images</v>
      </c>
      <c r="O830" s="694" t="s">
        <v>5244</v>
      </c>
      <c r="P830" s="475"/>
      <c r="Q830" s="476"/>
      <c r="R830" s="476"/>
      <c r="S830" s="477"/>
      <c r="T830" s="102">
        <f t="shared" si="584"/>
        <v>0</v>
      </c>
      <c r="U830" s="78" t="str">
        <f>IF(NOT(ISNUMBER(G830)), "", VLOOKUP(A830,'Discount Lookup'!D:E,2,FALSE)*G830)</f>
        <v/>
      </c>
      <c r="V830" s="78" t="str">
        <f>IF(NOT(ISNUMBER(G830)), "", VLOOKUP(A830,'Discount Lookup'!G:H,2,FALSE)*G830)</f>
        <v/>
      </c>
      <c r="W830" s="102">
        <f t="shared" si="585"/>
        <v>0</v>
      </c>
      <c r="X830" s="102" t="str">
        <f t="shared" si="586"/>
        <v>White-Gold foliage, Green margins</v>
      </c>
      <c r="Y830" s="120" t="b">
        <f t="shared" si="587"/>
        <v>0</v>
      </c>
      <c r="Z830" s="117">
        <f t="shared" si="588"/>
        <v>0</v>
      </c>
      <c r="AA830" s="118"/>
      <c r="AB830" s="118" t="str">
        <f t="shared" si="589"/>
        <v/>
      </c>
      <c r="AC830" s="712" t="str">
        <f>IF(AE830="T2G","no charge",IF(AND(OR(PlanterYesMe="No",PlanterYesMe="N",PlanterYesMe="me"),H830=""),"",IF(H830="credit","NO install",IF(AND(K830="",AE830="me"),"EACH row",IF(AND(K830="images",AE830="me"),"EACH row",IF(D830="","",IF(H830="credit","",IF(AE830="free","re-planting",IF(AE830="me","   not ELP, by",IF(AND(OR(PlanterYesMe="Yes",PlanterYesMe="Y"),G830&gt;0),(VLOOKUP(A830,'Discount Lookup'!J:K,2)*G830*(1-PlanterDiscount)*(1+PlanterDifficultyPercentage)),IF(AE830="ELP",(VLOOKUP(A830,'Discount Lookup'!J:K,2)*G830*(1-PlanterDiscount)*(1+PlanterDifficultyPercentage)),IF(AE830="free","re-planting",IF(G830=0,"",IF(PlanterYesMe="",IF(AE830="me","   not ELP, by",IF(AE830="",IF(G830&gt;0,(VLOOKUP(A830,'Discount Lookup'!J:K,2)*G830*(1-PlanterDiscount)*(1+PlanterDifficultyPercentage)),""),"")),"   not ELP, by"))))))))))))))</f>
        <v/>
      </c>
      <c r="AD830" s="712"/>
      <c r="AE830" s="513" t="str">
        <f t="shared" si="590"/>
        <v/>
      </c>
      <c r="AF830" s="713" t="str">
        <f t="shared" si="591"/>
        <v/>
      </c>
      <c r="AG830" s="713"/>
      <c r="AH830" s="713"/>
      <c r="AI830" s="112">
        <f>IF(H830="credit",0,IF(AE830="free",0,IF(AE830="me",0,IF(G830&gt;0,(VLOOKUP(A830,'Discount Lookup'!J:K,2)*G830),0))))</f>
        <v>0</v>
      </c>
      <c r="AJ830" s="107" t="str">
        <f t="shared" ca="1" si="592"/>
        <v/>
      </c>
      <c r="AK830" s="714" t="str">
        <f t="shared" si="593"/>
        <v/>
      </c>
      <c r="AL830" s="714"/>
      <c r="AM830" s="114" t="str">
        <f t="shared" si="594"/>
        <v/>
      </c>
      <c r="AN830" s="115"/>
      <c r="AO830" s="116"/>
      <c r="AP830" s="116"/>
      <c r="AQ830" s="116"/>
      <c r="AR830" s="116"/>
      <c r="AS830" s="116"/>
      <c r="AT830" s="116"/>
      <c r="AU830" s="116"/>
      <c r="AV830" s="78"/>
      <c r="AW830" s="102"/>
      <c r="AX830" s="78"/>
      <c r="AY830" s="78"/>
      <c r="AZ830" s="78"/>
      <c r="BA830" s="78"/>
      <c r="BB830" s="78"/>
      <c r="BC830" s="78"/>
      <c r="BD830" s="78"/>
      <c r="BE830" s="465"/>
      <c r="BF830" s="165" t="str">
        <f t="shared" si="595"/>
        <v>https://www.google.com/search?tbm=isch&amp;q=Carex%20oshimensis%20%27Moon%20Falls%27%20PP%2335022%20Moon%20Falls%E2%84%A2%20Sedge</v>
      </c>
      <c r="BG830" s="165" t="str">
        <f t="shared" si="596"/>
        <v>C</v>
      </c>
      <c r="BH830" s="65"/>
      <c r="BI830" s="65"/>
      <c r="BJ830" s="65"/>
      <c r="BK830" s="65"/>
      <c r="BL830" s="99"/>
      <c r="BM830" s="99"/>
      <c r="BN830" s="99"/>
    </row>
    <row r="831" spans="1:66" s="51" customFormat="1" ht="15.75" x14ac:dyDescent="0.25">
      <c r="A831" s="478">
        <v>1</v>
      </c>
      <c r="B831" s="479" t="s">
        <v>291</v>
      </c>
      <c r="C831" s="480"/>
      <c r="D831" s="481" t="s">
        <v>329</v>
      </c>
      <c r="E831" s="482">
        <v>14.95</v>
      </c>
      <c r="F831" s="483" t="s">
        <v>292</v>
      </c>
      <c r="G831" s="484">
        <v>0</v>
      </c>
      <c r="H831" s="688" t="str">
        <f>IF(G831=0,"",IF(F831="Buy",IF(G831=1,"plant","plants"),IF(F831&gt;0.01,"warranty","Error")))</f>
        <v/>
      </c>
      <c r="I831" s="485">
        <f>IF(H831="free",0,IF(H831="credit",((E831*(F831))*G831*-1),IF(F831="Buy",(E831*G831),((E831*(1-F831))*G831))))</f>
        <v>0</v>
      </c>
      <c r="J831" s="485">
        <f>IF(H831="warranty",0,(I831*(_xlfn.SINGLE(SalesTaxPercentage))))</f>
        <v>0</v>
      </c>
      <c r="K831" s="715">
        <f t="shared" ref="K831" si="611">I831+J831</f>
        <v>0</v>
      </c>
      <c r="L831" s="715"/>
      <c r="M831" s="689" t="str">
        <f ca="1">IF(AND(G831&gt;0,E831=0),"WARNING - no PRICE inserted",IF(H831="free","FREE ~ no charge this plant",IF(H831="credit",CONCATENATE("-$",ROUND(K831*(1-_xlfn.SINGLE(T2GDiscount))*-1,2)," CREDIT after discount"),IF(_xlfn.SINGLE(T2GDiscount)=0,"",IF(G831=0,"",IF(F831="Buy",CONCATENATE("$",ROUND(K831*(1-_xlfn.SINGLE(T2GDiscount)),2)," with ",(_xlfn.SINGLE(T2GDiscount)*100),"% discount"),CONCATENATE("$",ROUND(K831*(1-_xlfn.SINGLE(T2GDiscount)),2)," with ",((_xlfn.SINGLE(T2GDiscount)*100+F831*100)-(_xlfn.SINGLE(T2GDiscount)*100*F831)),IF(F831&gt;0,"% discounts",IF(_xlfn.SINGLE(NoWarrantyDiscount)&gt;0,"% discounts","% discount")))))))))</f>
        <v/>
      </c>
      <c r="N831" s="690"/>
      <c r="O831" s="486"/>
      <c r="P831" s="486"/>
      <c r="Q831" s="486"/>
      <c r="R831" s="486"/>
      <c r="S831" s="486"/>
      <c r="T831" s="102">
        <f t="shared" si="584"/>
        <v>0</v>
      </c>
      <c r="U831" s="78">
        <f>IF(NOT(ISNUMBER(G831)), "", VLOOKUP(A831,'Discount Lookup'!D:E,2,FALSE)*G831)</f>
        <v>0</v>
      </c>
      <c r="V831" s="78">
        <f>IF(NOT(ISNUMBER(G831)), "", VLOOKUP(A831,'Discount Lookup'!G:H,2,FALSE)*G831)</f>
        <v>0</v>
      </c>
      <c r="W831" s="102">
        <f t="shared" si="585"/>
        <v>0</v>
      </c>
      <c r="X831" s="102">
        <f t="shared" si="586"/>
        <v>0</v>
      </c>
      <c r="Y831" s="120" t="b">
        <f t="shared" si="587"/>
        <v>0</v>
      </c>
      <c r="Z831" s="117">
        <f t="shared" si="588"/>
        <v>0</v>
      </c>
      <c r="AA831" s="118"/>
      <c r="AB831" s="118" t="str">
        <f t="shared" si="589"/>
        <v/>
      </c>
      <c r="AC831" s="712" t="str">
        <f>IF(AE831="T2G","no charge",IF(AND(OR(PlanterYesMe="No",PlanterYesMe="N",PlanterYesMe="me"),H831=""),"",IF(H831="credit","NO install",IF(AND(K831="",AE831="me"),"EACH row",IF(AND(K831="images",AE831="me"),"EACH row",IF(D831="","",IF(H831="credit","",IF(AE831="free","re-planting",IF(AE831="me","   not ELP, by",IF(AND(OR(PlanterYesMe="Yes",PlanterYesMe="Y"),G831&gt;0),(VLOOKUP(A831,'Discount Lookup'!J:K,2)*G831*(1-PlanterDiscount)*(1+PlanterDifficultyPercentage)),IF(AE831="ELP",(VLOOKUP(A831,'Discount Lookup'!J:K,2)*G831*(1-PlanterDiscount)*(1+PlanterDifficultyPercentage)),IF(AE831="free","re-planting",IF(G831=0,"",IF(PlanterYesMe="",IF(AE831="me","   not ELP, by",IF(AE831="",IF(G831&gt;0,(VLOOKUP(A831,'Discount Lookup'!J:K,2)*G831*(1-PlanterDiscount)*(1+PlanterDifficultyPercentage)),""),"")),"   not ELP, by"))))))))))))))</f>
        <v/>
      </c>
      <c r="AD831" s="712"/>
      <c r="AE831" s="513" t="str">
        <f t="shared" si="590"/>
        <v/>
      </c>
      <c r="AF831" s="713" t="str">
        <f t="shared" si="591"/>
        <v/>
      </c>
      <c r="AG831" s="713"/>
      <c r="AH831" s="713"/>
      <c r="AI831" s="112">
        <f>IF(H831="credit",0,IF(AE831="free",0,IF(AE831="me",0,IF(G831&gt;0,(VLOOKUP(A831,'Discount Lookup'!J:K,2)*G831),0))))</f>
        <v>0</v>
      </c>
      <c r="AJ831" s="107" t="str">
        <f t="shared" ca="1" si="592"/>
        <v/>
      </c>
      <c r="AK831" s="714" t="str">
        <f t="shared" si="593"/>
        <v/>
      </c>
      <c r="AL831" s="714"/>
      <c r="AM831" s="114" t="str">
        <f t="shared" si="594"/>
        <v/>
      </c>
      <c r="AN831" s="115"/>
      <c r="AO831" s="116"/>
      <c r="AP831" s="116"/>
      <c r="AQ831" s="116"/>
      <c r="AR831" s="116"/>
      <c r="AS831" s="116"/>
      <c r="AT831" s="116"/>
      <c r="AU831" s="116"/>
      <c r="AV831" s="78"/>
      <c r="AW831" s="102"/>
      <c r="AX831" s="78"/>
      <c r="AY831" s="78"/>
      <c r="AZ831" s="78"/>
      <c r="BA831" s="78"/>
      <c r="BB831" s="78"/>
      <c r="BC831" s="78"/>
      <c r="BD831" s="78"/>
      <c r="BE831" s="465"/>
      <c r="BF831" s="165" t="str">
        <f t="shared" si="595"/>
        <v>https://www.google.com/search?tbm=isch&amp;q=1%20G2</v>
      </c>
      <c r="BG831" s="165" t="str">
        <f t="shared" si="596"/>
        <v>C</v>
      </c>
      <c r="BH831" s="65"/>
      <c r="BI831" s="65"/>
      <c r="BJ831" s="65"/>
      <c r="BK831" s="65"/>
      <c r="BL831" s="99"/>
      <c r="BM831" s="99"/>
      <c r="BN831" s="99"/>
    </row>
    <row r="832" spans="1:66" s="51" customFormat="1" ht="16.5" thickBot="1" x14ac:dyDescent="0.3">
      <c r="A832" s="705" t="s">
        <v>5366</v>
      </c>
      <c r="B832" s="487"/>
      <c r="C832" s="707"/>
      <c r="D832" s="487"/>
      <c r="E832" s="487"/>
      <c r="F832" s="488"/>
      <c r="G832" s="489"/>
      <c r="H832" s="487"/>
      <c r="I832" s="490"/>
      <c r="J832" s="490"/>
      <c r="K832" s="491"/>
      <c r="L832" s="547"/>
      <c r="M832" s="528"/>
      <c r="N832" s="492"/>
      <c r="O832" s="493"/>
      <c r="P832" s="494"/>
      <c r="Q832" s="492"/>
      <c r="R832" s="492"/>
      <c r="S832" s="495"/>
      <c r="T832" s="102">
        <f t="shared" si="584"/>
        <v>0</v>
      </c>
      <c r="U832" s="78" t="str">
        <f>IF(NOT(ISNUMBER(G832)), "", VLOOKUP(A832,'Discount Lookup'!D:E,2,FALSE)*G832)</f>
        <v/>
      </c>
      <c r="V832" s="78" t="str">
        <f>IF(NOT(ISNUMBER(G832)), "", VLOOKUP(A832,'Discount Lookup'!G:H,2,FALSE)*G832)</f>
        <v/>
      </c>
      <c r="W832" s="102">
        <f t="shared" si="585"/>
        <v>0</v>
      </c>
      <c r="X832" s="102">
        <f t="shared" si="586"/>
        <v>0</v>
      </c>
      <c r="Y832" s="120" t="b">
        <f t="shared" si="587"/>
        <v>0</v>
      </c>
      <c r="Z832" s="117">
        <f t="shared" si="588"/>
        <v>0</v>
      </c>
      <c r="AA832" s="118"/>
      <c r="AB832" s="118" t="str">
        <f t="shared" si="589"/>
        <v/>
      </c>
      <c r="AC832" s="712" t="str">
        <f>IF(AE832="T2G","no charge",IF(AND(OR(PlanterYesMe="No",PlanterYesMe="N",PlanterYesMe="me"),H832=""),"",IF(H832="credit","NO install",IF(AND(K832="",AE832="me"),"EACH row",IF(AND(K832="images",AE832="me"),"EACH row",IF(D832="","",IF(H832="credit","",IF(AE832="free","re-planting",IF(AE832="me","   not ELP, by",IF(AND(OR(PlanterYesMe="Yes",PlanterYesMe="Y"),G832&gt;0),(VLOOKUP(A832,'Discount Lookup'!J:K,2)*G832*(1-PlanterDiscount)*(1+PlanterDifficultyPercentage)),IF(AE832="ELP",(VLOOKUP(A832,'Discount Lookup'!J:K,2)*G832*(1-PlanterDiscount)*(1+PlanterDifficultyPercentage)),IF(AE832="free","re-planting",IF(G832=0,"",IF(PlanterYesMe="",IF(AE832="me","   not ELP, by",IF(AE832="",IF(G832&gt;0,(VLOOKUP(A832,'Discount Lookup'!J:K,2)*G832*(1-PlanterDiscount)*(1+PlanterDifficultyPercentage)),""),"")),"   not ELP, by"))))))))))))))</f>
        <v/>
      </c>
      <c r="AD832" s="712"/>
      <c r="AE832" s="513" t="str">
        <f t="shared" si="590"/>
        <v/>
      </c>
      <c r="AF832" s="713" t="str">
        <f t="shared" si="591"/>
        <v/>
      </c>
      <c r="AG832" s="713"/>
      <c r="AH832" s="713"/>
      <c r="AI832" s="112">
        <f>IF(H832="credit",0,IF(AE832="free",0,IF(AE832="me",0,IF(G832&gt;0,(VLOOKUP(A832,'Discount Lookup'!J:K,2)*G832),0))))</f>
        <v>0</v>
      </c>
      <c r="AJ832" s="107" t="str">
        <f t="shared" ca="1" si="592"/>
        <v/>
      </c>
      <c r="AK832" s="714" t="str">
        <f t="shared" si="593"/>
        <v/>
      </c>
      <c r="AL832" s="714"/>
      <c r="AM832" s="114" t="str">
        <f t="shared" si="594"/>
        <v/>
      </c>
      <c r="AN832" s="115"/>
      <c r="AO832" s="116"/>
      <c r="AP832" s="116"/>
      <c r="AQ832" s="116"/>
      <c r="AR832" s="116"/>
      <c r="AS832" s="116"/>
      <c r="AT832" s="116"/>
      <c r="AU832" s="116"/>
      <c r="AV832" s="78"/>
      <c r="AW832" s="102"/>
      <c r="AX832" s="78"/>
      <c r="AY832" s="78"/>
      <c r="AZ832" s="78"/>
      <c r="BA832" s="78"/>
      <c r="BB832" s="78"/>
      <c r="BC832" s="78"/>
      <c r="BD832" s="78"/>
      <c r="BE832" s="465"/>
      <c r="BF832" s="165" t="str">
        <f t="shared" si="595"/>
        <v>https://www.google.com/search?tbm=isch&amp;q=moist%20sites%F0%9F%92%A7GOOD%2C%20Moon%20Falls%20features%20graceful%2C%20creamy-variegated%20foliage%20and%20a%20soft%20cascading%20form.%20Like%20most%20Carex%2C%20tolerant%20of%20urban%20conditions%20</v>
      </c>
      <c r="BG832" s="165" t="str">
        <f t="shared" si="596"/>
        <v>m</v>
      </c>
      <c r="BH832" s="65"/>
      <c r="BI832" s="65"/>
      <c r="BJ832" s="65"/>
      <c r="BK832" s="65"/>
      <c r="BL832" s="99"/>
      <c r="BM832" s="99"/>
      <c r="BN832" s="99"/>
    </row>
    <row r="833" spans="1:66" s="51" customFormat="1" ht="18" x14ac:dyDescent="0.25">
      <c r="A833" s="507" t="s">
        <v>1921</v>
      </c>
      <c r="B833" s="470"/>
      <c r="C833" s="706"/>
      <c r="D833" s="471" t="s">
        <v>5619</v>
      </c>
      <c r="E833" s="472"/>
      <c r="F833" s="472"/>
      <c r="G833" s="472"/>
      <c r="H833" s="622" t="s">
        <v>1525</v>
      </c>
      <c r="I833" s="473" t="s">
        <v>447</v>
      </c>
      <c r="J833" s="472"/>
      <c r="K833" s="472"/>
      <c r="L833" s="561"/>
      <c r="M833" s="698" t="s">
        <v>5246</v>
      </c>
      <c r="N833" s="692" t="str">
        <f>IF(AND(ISTEXT($A833), ISERROR($A833+0)), HYPERLINK($BF833, "Images"), "")</f>
        <v>Images</v>
      </c>
      <c r="O833" s="694" t="s">
        <v>5244</v>
      </c>
      <c r="P833" s="475"/>
      <c r="Q833" s="476"/>
      <c r="R833" s="476"/>
      <c r="S833" s="477"/>
      <c r="T833" s="102">
        <f t="shared" si="584"/>
        <v>0</v>
      </c>
      <c r="U833" s="78" t="str">
        <f>IF(NOT(ISNUMBER(G833)), "", VLOOKUP(A833,'Discount Lookup'!D:E,2,FALSE)*G833)</f>
        <v/>
      </c>
      <c r="V833" s="78" t="str">
        <f>IF(NOT(ISNUMBER(G833)), "", VLOOKUP(A833,'Discount Lookup'!G:H,2,FALSE)*G833)</f>
        <v/>
      </c>
      <c r="W833" s="102">
        <f t="shared" si="585"/>
        <v>0</v>
      </c>
      <c r="X833" s="102" t="str">
        <f t="shared" si="586"/>
        <v>Olive-Green foliage</v>
      </c>
      <c r="Y833" s="120" t="b">
        <f t="shared" si="587"/>
        <v>0</v>
      </c>
      <c r="Z833" s="117">
        <f t="shared" si="588"/>
        <v>0</v>
      </c>
      <c r="AA833" s="118"/>
      <c r="AB833" s="118" t="str">
        <f t="shared" si="589"/>
        <v/>
      </c>
      <c r="AC833" s="712" t="str">
        <f>IF(AE833="T2G","no charge",IF(AND(OR(PlanterYesMe="No",PlanterYesMe="N",PlanterYesMe="me"),H833=""),"",IF(H833="credit","NO install",IF(AND(K833="",AE833="me"),"EACH row",IF(AND(K833="images",AE833="me"),"EACH row",IF(D833="","",IF(H833="credit","",IF(AE833="free","re-planting",IF(AE833="me","   not ELP, by",IF(AND(OR(PlanterYesMe="Yes",PlanterYesMe="Y"),G833&gt;0),(VLOOKUP(A833,'Discount Lookup'!J:K,2)*G833*(1-PlanterDiscount)*(1+PlanterDifficultyPercentage)),IF(AE833="ELP",(VLOOKUP(A833,'Discount Lookup'!J:K,2)*G833*(1-PlanterDiscount)*(1+PlanterDifficultyPercentage)),IF(AE833="free","re-planting",IF(G833=0,"",IF(PlanterYesMe="",IF(AE833="me","   not ELP, by",IF(AE833="",IF(G833&gt;0,(VLOOKUP(A833,'Discount Lookup'!J:K,2)*G833*(1-PlanterDiscount)*(1+PlanterDifficultyPercentage)),""),"")),"   not ELP, by"))))))))))))))</f>
        <v/>
      </c>
      <c r="AD833" s="712"/>
      <c r="AE833" s="513" t="str">
        <f t="shared" si="590"/>
        <v/>
      </c>
      <c r="AF833" s="713" t="str">
        <f t="shared" si="591"/>
        <v/>
      </c>
      <c r="AG833" s="713"/>
      <c r="AH833" s="713"/>
      <c r="AI833" s="112">
        <f>IF(H833="credit",0,IF(AE833="free",0,IF(AE833="me",0,IF(G833&gt;0,(VLOOKUP(A833,'Discount Lookup'!J:K,2)*G833),0))))</f>
        <v>0</v>
      </c>
      <c r="AJ833" s="107" t="str">
        <f t="shared" ca="1" si="592"/>
        <v/>
      </c>
      <c r="AK833" s="714" t="str">
        <f t="shared" si="593"/>
        <v/>
      </c>
      <c r="AL833" s="714"/>
      <c r="AM833" s="114" t="str">
        <f t="shared" si="594"/>
        <v/>
      </c>
      <c r="AN833" s="115"/>
      <c r="AO833" s="116"/>
      <c r="AP833" s="116"/>
      <c r="AQ833" s="116"/>
      <c r="AR833" s="116"/>
      <c r="AS833" s="116"/>
      <c r="AT833" s="116"/>
      <c r="AU833" s="116"/>
      <c r="AV833" s="78"/>
      <c r="AW833" s="102"/>
      <c r="AX833" s="78"/>
      <c r="AY833" s="78"/>
      <c r="AZ833" s="78"/>
      <c r="BA833" s="78"/>
      <c r="BB833" s="78"/>
      <c r="BC833" s="78"/>
      <c r="BD833" s="78"/>
      <c r="BE833" s="465"/>
      <c r="BF833" s="165" t="str">
        <f t="shared" si="595"/>
        <v>https://www.google.com/search?tbm=isch&amp;q=Carex%20testacea%20%27Prairie%20Fire%27%20Prairie%20Fire%E2%84%A2%20Sedge</v>
      </c>
      <c r="BG833" s="165" t="str">
        <f t="shared" si="596"/>
        <v>C</v>
      </c>
      <c r="BH833" s="65"/>
      <c r="BI833" s="65"/>
      <c r="BJ833" s="65"/>
      <c r="BK833" s="65"/>
      <c r="BL833" s="99"/>
      <c r="BM833" s="99"/>
      <c r="BN833" s="99"/>
    </row>
    <row r="834" spans="1:66" s="51" customFormat="1" ht="15.75" x14ac:dyDescent="0.25">
      <c r="A834" s="478">
        <v>1</v>
      </c>
      <c r="B834" s="479" t="s">
        <v>291</v>
      </c>
      <c r="C834" s="480"/>
      <c r="D834" s="481" t="s">
        <v>329</v>
      </c>
      <c r="E834" s="482">
        <v>13.95</v>
      </c>
      <c r="F834" s="483" t="s">
        <v>292</v>
      </c>
      <c r="G834" s="484">
        <v>0</v>
      </c>
      <c r="H834" s="688" t="str">
        <f>IF(G834=0,"",IF(F834="Buy",IF(G834=1,"plant","plants"),IF(F834&gt;0.01,"warranty","Error")))</f>
        <v/>
      </c>
      <c r="I834" s="485">
        <f>IF(H834="free",0,IF(H834="credit",((E834*(F834))*G834*-1),IF(F834="Buy",(E834*G834),((E834*(1-F834))*G834))))</f>
        <v>0</v>
      </c>
      <c r="J834" s="485">
        <f>IF(H834="warranty",0,(I834*(_xlfn.SINGLE(SalesTaxPercentage))))</f>
        <v>0</v>
      </c>
      <c r="K834" s="715">
        <f t="shared" ref="K834" si="612">I834+J834</f>
        <v>0</v>
      </c>
      <c r="L834" s="715"/>
      <c r="M834" s="689" t="str">
        <f ca="1">IF(AND(G834&gt;0,E834=0),"WARNING - no PRICE inserted",IF(H834="free","FREE ~ no charge this plant",IF(H834="credit",CONCATENATE("-$",ROUND(K834*(1-_xlfn.SINGLE(T2GDiscount))*-1,2)," CREDIT after discount"),IF(_xlfn.SINGLE(T2GDiscount)=0,"",IF(G834=0,"",IF(F834="Buy",CONCATENATE("$",ROUND(K834*(1-_xlfn.SINGLE(T2GDiscount)),2)," with ",(_xlfn.SINGLE(T2GDiscount)*100),"% discount"),CONCATENATE("$",ROUND(K834*(1-_xlfn.SINGLE(T2GDiscount)),2)," with ",((_xlfn.SINGLE(T2GDiscount)*100+F834*100)-(_xlfn.SINGLE(T2GDiscount)*100*F834)),IF(F834&gt;0,"% discounts",IF(_xlfn.SINGLE(NoWarrantyDiscount)&gt;0,"% discounts","% discount")))))))))</f>
        <v/>
      </c>
      <c r="N834" s="690"/>
      <c r="O834" s="486"/>
      <c r="P834" s="486"/>
      <c r="Q834" s="486"/>
      <c r="R834" s="486"/>
      <c r="S834" s="486"/>
      <c r="T834" s="102">
        <f t="shared" si="584"/>
        <v>0</v>
      </c>
      <c r="U834" s="78">
        <f>IF(NOT(ISNUMBER(G834)), "", VLOOKUP(A834,'Discount Lookup'!D:E,2,FALSE)*G834)</f>
        <v>0</v>
      </c>
      <c r="V834" s="78">
        <f>IF(NOT(ISNUMBER(G834)), "", VLOOKUP(A834,'Discount Lookup'!G:H,2,FALSE)*G834)</f>
        <v>0</v>
      </c>
      <c r="W834" s="102">
        <f t="shared" si="585"/>
        <v>0</v>
      </c>
      <c r="X834" s="102">
        <f t="shared" si="586"/>
        <v>0</v>
      </c>
      <c r="Y834" s="120" t="b">
        <f t="shared" si="587"/>
        <v>0</v>
      </c>
      <c r="Z834" s="117">
        <f t="shared" si="588"/>
        <v>0</v>
      </c>
      <c r="AA834" s="118"/>
      <c r="AB834" s="118" t="str">
        <f t="shared" si="589"/>
        <v/>
      </c>
      <c r="AC834" s="712" t="str">
        <f>IF(AE834="T2G","no charge",IF(AND(OR(PlanterYesMe="No",PlanterYesMe="N",PlanterYesMe="me"),H834=""),"",IF(H834="credit","NO install",IF(AND(K834="",AE834="me"),"EACH row",IF(AND(K834="images",AE834="me"),"EACH row",IF(D834="","",IF(H834="credit","",IF(AE834="free","re-planting",IF(AE834="me","   not ELP, by",IF(AND(OR(PlanterYesMe="Yes",PlanterYesMe="Y"),G834&gt;0),(VLOOKUP(A834,'Discount Lookup'!J:K,2)*G834*(1-PlanterDiscount)*(1+PlanterDifficultyPercentage)),IF(AE834="ELP",(VLOOKUP(A834,'Discount Lookup'!J:K,2)*G834*(1-PlanterDiscount)*(1+PlanterDifficultyPercentage)),IF(AE834="free","re-planting",IF(G834=0,"",IF(PlanterYesMe="",IF(AE834="me","   not ELP, by",IF(AE834="",IF(G834&gt;0,(VLOOKUP(A834,'Discount Lookup'!J:K,2)*G834*(1-PlanterDiscount)*(1+PlanterDifficultyPercentage)),""),"")),"   not ELP, by"))))))))))))))</f>
        <v/>
      </c>
      <c r="AD834" s="712"/>
      <c r="AE834" s="513" t="str">
        <f t="shared" si="590"/>
        <v/>
      </c>
      <c r="AF834" s="713" t="str">
        <f t="shared" si="591"/>
        <v/>
      </c>
      <c r="AG834" s="713"/>
      <c r="AH834" s="713"/>
      <c r="AI834" s="112">
        <f>IF(H834="credit",0,IF(AE834="free",0,IF(AE834="me",0,IF(G834&gt;0,(VLOOKUP(A834,'Discount Lookup'!J:K,2)*G834),0))))</f>
        <v>0</v>
      </c>
      <c r="AJ834" s="107" t="str">
        <f t="shared" ca="1" si="592"/>
        <v/>
      </c>
      <c r="AK834" s="714" t="str">
        <f t="shared" si="593"/>
        <v/>
      </c>
      <c r="AL834" s="714"/>
      <c r="AM834" s="114" t="str">
        <f t="shared" si="594"/>
        <v/>
      </c>
      <c r="AN834" s="115"/>
      <c r="AO834" s="116"/>
      <c r="AP834" s="116"/>
      <c r="AQ834" s="116"/>
      <c r="AR834" s="116"/>
      <c r="AS834" s="116"/>
      <c r="AT834" s="116"/>
      <c r="AU834" s="116"/>
      <c r="AV834" s="78"/>
      <c r="AW834" s="102"/>
      <c r="AX834" s="78"/>
      <c r="AY834" s="78"/>
      <c r="AZ834" s="78"/>
      <c r="BA834" s="78"/>
      <c r="BB834" s="78"/>
      <c r="BC834" s="78"/>
      <c r="BD834" s="78"/>
      <c r="BE834" s="465"/>
      <c r="BF834" s="165" t="str">
        <f t="shared" si="595"/>
        <v>https://www.google.com/search?tbm=isch&amp;q=1%20G2</v>
      </c>
      <c r="BG834" s="165" t="str">
        <f t="shared" si="596"/>
        <v>C</v>
      </c>
      <c r="BH834" s="65"/>
      <c r="BI834" s="65"/>
      <c r="BJ834" s="65"/>
      <c r="BK834" s="65"/>
      <c r="BL834" s="99"/>
      <c r="BM834" s="99"/>
      <c r="BN834" s="99"/>
    </row>
    <row r="835" spans="1:66" s="51" customFormat="1" ht="16.5" x14ac:dyDescent="0.25">
      <c r="A835" s="508" t="s">
        <v>1922</v>
      </c>
      <c r="B835" s="487"/>
      <c r="C835" s="707"/>
      <c r="D835" s="487"/>
      <c r="E835" s="487"/>
      <c r="F835" s="488"/>
      <c r="G835" s="489"/>
      <c r="H835" s="487"/>
      <c r="I835" s="490"/>
      <c r="J835" s="490"/>
      <c r="K835" s="491"/>
      <c r="L835" s="547"/>
      <c r="M835" s="528"/>
      <c r="N835" s="492"/>
      <c r="O835" s="493"/>
      <c r="P835" s="494"/>
      <c r="Q835" s="492"/>
      <c r="R835" s="492"/>
      <c r="S835" s="699" t="s">
        <v>5276</v>
      </c>
      <c r="T835" s="102">
        <f t="shared" si="584"/>
        <v>0</v>
      </c>
      <c r="U835" s="78" t="str">
        <f>IF(NOT(ISNUMBER(G835)), "", VLOOKUP(A835,'Discount Lookup'!D:E,2,FALSE)*G835)</f>
        <v/>
      </c>
      <c r="V835" s="78" t="str">
        <f>IF(NOT(ISNUMBER(G835)), "", VLOOKUP(A835,'Discount Lookup'!G:H,2,FALSE)*G835)</f>
        <v/>
      </c>
      <c r="W835" s="102">
        <f t="shared" si="585"/>
        <v>0</v>
      </c>
      <c r="X835" s="102">
        <f t="shared" si="586"/>
        <v>0</v>
      </c>
      <c r="Y835" s="120" t="b">
        <f t="shared" si="587"/>
        <v>0</v>
      </c>
      <c r="Z835" s="117">
        <f t="shared" si="588"/>
        <v>0</v>
      </c>
      <c r="AA835" s="118"/>
      <c r="AB835" s="118" t="str">
        <f t="shared" si="589"/>
        <v/>
      </c>
      <c r="AC835" s="712" t="str">
        <f>IF(AE835="T2G","no charge",IF(AND(OR(PlanterYesMe="No",PlanterYesMe="N",PlanterYesMe="me"),H835=""),"",IF(H835="credit","NO install",IF(AND(K835="",AE835="me"),"EACH row",IF(AND(K835="images",AE835="me"),"EACH row",IF(D835="","",IF(H835="credit","",IF(AE835="free","re-planting",IF(AE835="me","   not ELP, by",IF(AND(OR(PlanterYesMe="Yes",PlanterYesMe="Y"),G835&gt;0),(VLOOKUP(A835,'Discount Lookup'!J:K,2)*G835*(1-PlanterDiscount)*(1+PlanterDifficultyPercentage)),IF(AE835="ELP",(VLOOKUP(A835,'Discount Lookup'!J:K,2)*G835*(1-PlanterDiscount)*(1+PlanterDifficultyPercentage)),IF(AE835="free","re-planting",IF(G835=0,"",IF(PlanterYesMe="",IF(AE835="me","   not ELP, by",IF(AE835="",IF(G835&gt;0,(VLOOKUP(A835,'Discount Lookup'!J:K,2)*G835*(1-PlanterDiscount)*(1+PlanterDifficultyPercentage)),""),"")),"   not ELP, by"))))))))))))))</f>
        <v/>
      </c>
      <c r="AD835" s="712"/>
      <c r="AE835" s="513" t="str">
        <f t="shared" si="590"/>
        <v/>
      </c>
      <c r="AF835" s="713" t="str">
        <f t="shared" si="591"/>
        <v/>
      </c>
      <c r="AG835" s="713"/>
      <c r="AH835" s="713"/>
      <c r="AI835" s="112">
        <f>IF(H835="credit",0,IF(AE835="free",0,IF(AE835="me",0,IF(G835&gt;0,(VLOOKUP(A835,'Discount Lookup'!J:K,2)*G835),0))))</f>
        <v>0</v>
      </c>
      <c r="AJ835" s="107" t="str">
        <f t="shared" ca="1" si="592"/>
        <v/>
      </c>
      <c r="AK835" s="714" t="str">
        <f t="shared" si="593"/>
        <v/>
      </c>
      <c r="AL835" s="714"/>
      <c r="AM835" s="114" t="str">
        <f t="shared" si="594"/>
        <v/>
      </c>
      <c r="AN835" s="115"/>
      <c r="AO835" s="116"/>
      <c r="AP835" s="116"/>
      <c r="AQ835" s="116"/>
      <c r="AR835" s="116"/>
      <c r="AS835" s="116"/>
      <c r="AT835" s="116"/>
      <c r="AU835" s="116"/>
      <c r="AV835" s="78"/>
      <c r="AW835" s="102"/>
      <c r="AX835" s="78"/>
      <c r="AY835" s="78"/>
      <c r="AZ835" s="78"/>
      <c r="BA835" s="78"/>
      <c r="BB835" s="78"/>
      <c r="BC835" s="78"/>
      <c r="BD835" s="78"/>
      <c r="BE835" s="465"/>
      <c r="BF835" s="165" t="str">
        <f t="shared" si="595"/>
        <v>https://www.google.com/search?tbm=isch&amp;q=Prairie%20Fire%20Olive-Green%20leaves%20with%20Bright%20Bronze%20to%20Orange%20to%20Red%20highlights.%20Much%20less%20spreading%20than%20other%20Carex%20</v>
      </c>
      <c r="BG835" s="165" t="str">
        <f t="shared" si="596"/>
        <v>P</v>
      </c>
      <c r="BH835" s="65"/>
      <c r="BI835" s="65"/>
      <c r="BJ835" s="65"/>
      <c r="BK835" s="65"/>
      <c r="BL835" s="99"/>
      <c r="BM835" s="99"/>
      <c r="BN835" s="99"/>
    </row>
    <row r="836" spans="1:66" s="51" customFormat="1" ht="19.5" thickBot="1" x14ac:dyDescent="0.3">
      <c r="A836" s="686" t="s">
        <v>434</v>
      </c>
      <c r="B836" s="73"/>
      <c r="C836" s="708"/>
      <c r="D836" s="73"/>
      <c r="E836" s="73"/>
      <c r="F836" s="496"/>
      <c r="G836" s="73"/>
      <c r="H836" s="73"/>
      <c r="I836" s="73"/>
      <c r="J836" s="497" t="s">
        <v>357</v>
      </c>
      <c r="K836" s="498"/>
      <c r="L836" s="562"/>
      <c r="M836" s="73"/>
      <c r="N836"/>
      <c r="O836"/>
      <c r="P836"/>
      <c r="Q836"/>
      <c r="R836"/>
      <c r="S836"/>
      <c r="T836" s="102">
        <f t="shared" si="584"/>
        <v>0</v>
      </c>
      <c r="U836" s="78" t="str">
        <f>IF(NOT(ISNUMBER(G836)), "", VLOOKUP(A836,'Discount Lookup'!D:E,2,FALSE)*G836)</f>
        <v/>
      </c>
      <c r="V836" s="78" t="str">
        <f>IF(NOT(ISNUMBER(G836)), "", VLOOKUP(A836,'Discount Lookup'!G:H,2,FALSE)*G836)</f>
        <v/>
      </c>
      <c r="W836" s="102">
        <f t="shared" si="585"/>
        <v>0</v>
      </c>
      <c r="X836" s="102">
        <f t="shared" si="586"/>
        <v>0</v>
      </c>
      <c r="Y836" s="120" t="b">
        <f t="shared" si="587"/>
        <v>0</v>
      </c>
      <c r="Z836" s="117">
        <f t="shared" si="588"/>
        <v>0</v>
      </c>
      <c r="AA836" s="118"/>
      <c r="AB836" s="118" t="str">
        <f t="shared" si="589"/>
        <v/>
      </c>
      <c r="AC836" s="712" t="str">
        <f>IF(AE836="T2G","no charge",IF(AND(OR(PlanterYesMe="No",PlanterYesMe="N",PlanterYesMe="me"),H836=""),"",IF(H836="credit","NO install",IF(AND(K836="",AE836="me"),"EACH row",IF(AND(K836="images",AE836="me"),"EACH row",IF(D836="","",IF(H836="credit","",IF(AE836="free","re-planting",IF(AE836="me","   not ELP, by",IF(AND(OR(PlanterYesMe="Yes",PlanterYesMe="Y"),G836&gt;0),(VLOOKUP(A836,'Discount Lookup'!J:K,2)*G836*(1-PlanterDiscount)*(1+PlanterDifficultyPercentage)),IF(AE836="ELP",(VLOOKUP(A836,'Discount Lookup'!J:K,2)*G836*(1-PlanterDiscount)*(1+PlanterDifficultyPercentage)),IF(AE836="free","re-planting",IF(G836=0,"",IF(PlanterYesMe="",IF(AE836="me","   not ELP, by",IF(AE836="",IF(G836&gt;0,(VLOOKUP(A836,'Discount Lookup'!J:K,2)*G836*(1-PlanterDiscount)*(1+PlanterDifficultyPercentage)),""),"")),"   not ELP, by"))))))))))))))</f>
        <v/>
      </c>
      <c r="AD836" s="712"/>
      <c r="AE836" s="513" t="str">
        <f t="shared" si="590"/>
        <v/>
      </c>
      <c r="AF836" s="713" t="str">
        <f t="shared" si="591"/>
        <v/>
      </c>
      <c r="AG836" s="713"/>
      <c r="AH836" s="713"/>
      <c r="AI836" s="112">
        <f>IF(H836="credit",0,IF(AE836="free",0,IF(AE836="me",0,IF(G836&gt;0,(VLOOKUP(A836,'Discount Lookup'!J:K,2)*G836),0))))</f>
        <v>0</v>
      </c>
      <c r="AJ836" s="107" t="str">
        <f t="shared" ca="1" si="592"/>
        <v/>
      </c>
      <c r="AK836" s="714" t="str">
        <f t="shared" si="593"/>
        <v/>
      </c>
      <c r="AL836" s="714"/>
      <c r="AM836" s="114" t="str">
        <f t="shared" si="594"/>
        <v/>
      </c>
      <c r="AN836" s="115"/>
      <c r="AO836" s="116"/>
      <c r="AP836" s="116"/>
      <c r="AQ836" s="116"/>
      <c r="AR836" s="116"/>
      <c r="AS836" s="116"/>
      <c r="AT836" s="116"/>
      <c r="AU836" s="116"/>
      <c r="AV836" s="78"/>
      <c r="AW836" s="102"/>
      <c r="AX836" s="78"/>
      <c r="AY836" s="78"/>
      <c r="AZ836" s="78"/>
      <c r="BA836" s="78"/>
      <c r="BB836" s="78"/>
      <c r="BC836" s="78"/>
      <c r="BD836" s="78"/>
      <c r="BE836" s="465"/>
      <c r="BF836" s="165" t="str">
        <f t="shared" si="595"/>
        <v>https://www.google.com/search?tbm=isch&amp;q=Carpinus%20%3D%20Hornbeam%2C%20Ironwood%2C%20Musclewood%2C%20Water%20Beech%20</v>
      </c>
      <c r="BG836" s="165" t="str">
        <f t="shared" si="596"/>
        <v>C</v>
      </c>
      <c r="BH836" s="65"/>
      <c r="BI836" s="65"/>
      <c r="BJ836" s="65"/>
      <c r="BK836" s="65"/>
      <c r="BL836" s="99"/>
      <c r="BM836" s="99"/>
      <c r="BN836" s="99"/>
    </row>
    <row r="837" spans="1:66" s="51" customFormat="1" ht="18" x14ac:dyDescent="0.25">
      <c r="A837" s="623" t="s">
        <v>1923</v>
      </c>
      <c r="B837" s="624"/>
      <c r="C837" s="709"/>
      <c r="D837" s="625" t="s">
        <v>1924</v>
      </c>
      <c r="E837" s="626"/>
      <c r="F837" s="626"/>
      <c r="G837" s="626"/>
      <c r="H837" s="622" t="s">
        <v>1925</v>
      </c>
      <c r="I837" s="627" t="s">
        <v>431</v>
      </c>
      <c r="J837" s="628"/>
      <c r="K837" s="628"/>
      <c r="L837" s="629"/>
      <c r="M837" s="700" t="s">
        <v>5249</v>
      </c>
      <c r="N837" s="693" t="str">
        <f>IF(AND(ISTEXT($A837), ISERROR($A837+0)), HYPERLINK($BF837, "Images"), "")</f>
        <v>Images</v>
      </c>
      <c r="O837" s="695" t="s">
        <v>5247</v>
      </c>
      <c r="P837" s="630"/>
      <c r="Q837" s="631"/>
      <c r="R837" s="632"/>
      <c r="S837" s="633"/>
      <c r="T837" s="102">
        <f t="shared" si="584"/>
        <v>0</v>
      </c>
      <c r="U837" s="78" t="str">
        <f>IF(NOT(ISNUMBER(G837)), "", VLOOKUP(A837,'Discount Lookup'!D:E,2,FALSE)*G837)</f>
        <v/>
      </c>
      <c r="V837" s="78" t="str">
        <f>IF(NOT(ISNUMBER(G837)), "", VLOOKUP(A837,'Discount Lookup'!G:H,2,FALSE)*G837)</f>
        <v/>
      </c>
      <c r="W837" s="102">
        <f t="shared" si="585"/>
        <v>0</v>
      </c>
      <c r="X837" s="102" t="str">
        <f t="shared" si="586"/>
        <v>Dark Green foliage</v>
      </c>
      <c r="Y837" s="120" t="b">
        <f t="shared" si="587"/>
        <v>0</v>
      </c>
      <c r="Z837" s="117">
        <f t="shared" si="588"/>
        <v>0</v>
      </c>
      <c r="AA837" s="118"/>
      <c r="AB837" s="118" t="str">
        <f t="shared" si="589"/>
        <v/>
      </c>
      <c r="AC837" s="712" t="str">
        <f>IF(AE837="T2G","no charge",IF(AND(OR(PlanterYesMe="No",PlanterYesMe="N",PlanterYesMe="me"),H837=""),"",IF(H837="credit","NO install",IF(AND(K837="",AE837="me"),"EACH row",IF(AND(K837="images",AE837="me"),"EACH row",IF(D837="","",IF(H837="credit","",IF(AE837="free","re-planting",IF(AE837="me","   not ELP, by",IF(AND(OR(PlanterYesMe="Yes",PlanterYesMe="Y"),G837&gt;0),(VLOOKUP(A837,'Discount Lookup'!J:K,2)*G837*(1-PlanterDiscount)*(1+PlanterDifficultyPercentage)),IF(AE837="ELP",(VLOOKUP(A837,'Discount Lookup'!J:K,2)*G837*(1-PlanterDiscount)*(1+PlanterDifficultyPercentage)),IF(AE837="free","re-planting",IF(G837=0,"",IF(PlanterYesMe="",IF(AE837="me","   not ELP, by",IF(AE837="",IF(G837&gt;0,(VLOOKUP(A837,'Discount Lookup'!J:K,2)*G837*(1-PlanterDiscount)*(1+PlanterDifficultyPercentage)),""),"")),"   not ELP, by"))))))))))))))</f>
        <v/>
      </c>
      <c r="AD837" s="712"/>
      <c r="AE837" s="513" t="str">
        <f t="shared" si="590"/>
        <v/>
      </c>
      <c r="AF837" s="713" t="str">
        <f t="shared" si="591"/>
        <v/>
      </c>
      <c r="AG837" s="713"/>
      <c r="AH837" s="713"/>
      <c r="AI837" s="112">
        <f>IF(H837="credit",0,IF(AE837="free",0,IF(AE837="me",0,IF(G837&gt;0,(VLOOKUP(A837,'Discount Lookup'!J:K,2)*G837),0))))</f>
        <v>0</v>
      </c>
      <c r="AJ837" s="107" t="str">
        <f t="shared" ca="1" si="592"/>
        <v/>
      </c>
      <c r="AK837" s="714" t="str">
        <f t="shared" si="593"/>
        <v/>
      </c>
      <c r="AL837" s="714"/>
      <c r="AM837" s="114" t="str">
        <f t="shared" si="594"/>
        <v/>
      </c>
      <c r="AN837" s="115"/>
      <c r="AO837" s="116"/>
      <c r="AP837" s="116"/>
      <c r="AQ837" s="116"/>
      <c r="AR837" s="116"/>
      <c r="AS837" s="116"/>
      <c r="AT837" s="116"/>
      <c r="AU837" s="116"/>
      <c r="AV837" s="78"/>
      <c r="AW837" s="102"/>
      <c r="AX837" s="78"/>
      <c r="AY837" s="78"/>
      <c r="AZ837" s="78"/>
      <c r="BA837" s="78"/>
      <c r="BB837" s="78"/>
      <c r="BC837" s="78"/>
      <c r="BD837" s="78"/>
      <c r="BE837" s="465"/>
      <c r="BF837" s="165" t="str">
        <f t="shared" si="595"/>
        <v>https://www.google.com/search?tbm=isch&amp;q=Carpinus%20betulus%20%27Fastigiata%27%20Upright%20Hornbeam</v>
      </c>
      <c r="BG837" s="165" t="str">
        <f t="shared" si="596"/>
        <v>C</v>
      </c>
      <c r="BH837" s="65"/>
      <c r="BI837" s="65"/>
      <c r="BJ837" s="65"/>
      <c r="BK837" s="65"/>
      <c r="BL837" s="99"/>
      <c r="BM837" s="99"/>
      <c r="BN837" s="99"/>
    </row>
    <row r="838" spans="1:66" s="51" customFormat="1" ht="15.75" x14ac:dyDescent="0.25">
      <c r="A838" s="634">
        <v>7</v>
      </c>
      <c r="B838" s="635" t="s">
        <v>291</v>
      </c>
      <c r="C838" s="636" t="s">
        <v>1926</v>
      </c>
      <c r="D838" s="637" t="s">
        <v>299</v>
      </c>
      <c r="E838" s="638">
        <v>123.95</v>
      </c>
      <c r="F838" s="639" t="s">
        <v>292</v>
      </c>
      <c r="G838" s="484">
        <v>0</v>
      </c>
      <c r="H838" s="691" t="str">
        <f>IF(G838=0,"",IF(F838="Buy",IF(G838=1,"plant","plants"),IF(F838&gt;0.01,"warranty","Error")))</f>
        <v/>
      </c>
      <c r="I838" s="640">
        <f>IF(H838="free",0,IF(H838="credit",((E838*(F838))*G838*-1),IF(F838="Buy",(E838*G838),((E838*(1-F838))*G838))))</f>
        <v>0</v>
      </c>
      <c r="J838" s="640">
        <f>IF(H838="warranty",0,(I838*(_xlfn.SINGLE(SalesTaxPercentage))))</f>
        <v>0</v>
      </c>
      <c r="K838" s="716">
        <f t="shared" ref="K838" si="613">I838+J838</f>
        <v>0</v>
      </c>
      <c r="L838" s="716"/>
      <c r="M838" s="689" t="str">
        <f ca="1">IF(AND(G838&gt;0,E838=0),"WARNING - no PRICE inserted",IF(H838="free","FREE ~ no charge this plant",IF(H838="credit",CONCATENATE("-$",ROUND(K838*(1-_xlfn.SINGLE(T2GDiscount))*-1,2)," CREDIT after discount"),IF(_xlfn.SINGLE(T2GDiscount)=0,"",IF(G838=0,"",IF(F838="Buy",CONCATENATE("$",ROUND(K838*(1-_xlfn.SINGLE(T2GDiscount)),2)," with ",(_xlfn.SINGLE(T2GDiscount)*100),"% discount"),CONCATENATE("$",ROUND(K838*(1-_xlfn.SINGLE(T2GDiscount)),2)," with ",((_xlfn.SINGLE(T2GDiscount)*100+F838*100)-(_xlfn.SINGLE(T2GDiscount)*100*F838)),IF(F838&gt;0,"% discounts",IF(_xlfn.SINGLE(NoWarrantyDiscount)&gt;0,"% discounts","% discount")))))))))</f>
        <v/>
      </c>
      <c r="N838" s="690"/>
      <c r="O838" s="486"/>
      <c r="P838" s="486"/>
      <c r="Q838" s="486"/>
      <c r="R838" s="486"/>
      <c r="S838" s="486"/>
      <c r="T838" s="102">
        <f t="shared" si="584"/>
        <v>0</v>
      </c>
      <c r="U838" s="78">
        <f>IF(NOT(ISNUMBER(G838)), "", VLOOKUP(A838,'Discount Lookup'!D:E,2,FALSE)*G838)</f>
        <v>0</v>
      </c>
      <c r="V838" s="78">
        <f>IF(NOT(ISNUMBER(G838)), "", VLOOKUP(A838,'Discount Lookup'!G:H,2,FALSE)*G838)</f>
        <v>0</v>
      </c>
      <c r="W838" s="102">
        <f t="shared" si="585"/>
        <v>0</v>
      </c>
      <c r="X838" s="102">
        <f t="shared" si="586"/>
        <v>0</v>
      </c>
      <c r="Y838" s="120" t="b">
        <f t="shared" si="587"/>
        <v>0</v>
      </c>
      <c r="Z838" s="117">
        <f t="shared" si="588"/>
        <v>0</v>
      </c>
      <c r="AA838" s="118"/>
      <c r="AB838" s="118" t="str">
        <f t="shared" si="589"/>
        <v/>
      </c>
      <c r="AC838" s="712" t="str">
        <f>IF(AE838="T2G","no charge",IF(AND(OR(PlanterYesMe="No",PlanterYesMe="N",PlanterYesMe="me"),H838=""),"",IF(H838="credit","NO install",IF(AND(K838="",AE838="me"),"EACH row",IF(AND(K838="images",AE838="me"),"EACH row",IF(D838="","",IF(H838="credit","",IF(AE838="free","re-planting",IF(AE838="me","   not ELP, by",IF(AND(OR(PlanterYesMe="Yes",PlanterYesMe="Y"),G838&gt;0),(VLOOKUP(A838,'Discount Lookup'!J:K,2)*G838*(1-PlanterDiscount)*(1+PlanterDifficultyPercentage)),IF(AE838="ELP",(VLOOKUP(A838,'Discount Lookup'!J:K,2)*G838*(1-PlanterDiscount)*(1+PlanterDifficultyPercentage)),IF(AE838="free","re-planting",IF(G838=0,"",IF(PlanterYesMe="",IF(AE838="me","   not ELP, by",IF(AE838="",IF(G838&gt;0,(VLOOKUP(A838,'Discount Lookup'!J:K,2)*G838*(1-PlanterDiscount)*(1+PlanterDifficultyPercentage)),""),"")),"   not ELP, by"))))))))))))))</f>
        <v/>
      </c>
      <c r="AD838" s="712"/>
      <c r="AE838" s="513" t="str">
        <f t="shared" si="590"/>
        <v/>
      </c>
      <c r="AF838" s="713" t="str">
        <f t="shared" si="591"/>
        <v/>
      </c>
      <c r="AG838" s="713"/>
      <c r="AH838" s="713"/>
      <c r="AI838" s="112">
        <f>IF(H838="credit",0,IF(AE838="free",0,IF(AE838="me",0,IF(G838&gt;0,(VLOOKUP(A838,'Discount Lookup'!J:K,2)*G838),0))))</f>
        <v>0</v>
      </c>
      <c r="AJ838" s="107" t="str">
        <f t="shared" ca="1" si="592"/>
        <v/>
      </c>
      <c r="AK838" s="714" t="str">
        <f t="shared" si="593"/>
        <v/>
      </c>
      <c r="AL838" s="714"/>
      <c r="AM838" s="114" t="str">
        <f t="shared" si="594"/>
        <v/>
      </c>
      <c r="AN838" s="115"/>
      <c r="AO838" s="116"/>
      <c r="AP838" s="116"/>
      <c r="AQ838" s="116"/>
      <c r="AR838" s="116"/>
      <c r="AS838" s="116"/>
      <c r="AT838" s="116"/>
      <c r="AU838" s="116"/>
      <c r="AV838" s="78"/>
      <c r="AW838" s="102"/>
      <c r="AX838" s="78"/>
      <c r="AY838" s="78"/>
      <c r="AZ838" s="78"/>
      <c r="BA838" s="78"/>
      <c r="BB838" s="78"/>
      <c r="BC838" s="78"/>
      <c r="BD838" s="78"/>
      <c r="BE838" s="465"/>
      <c r="BF838" s="165" t="str">
        <f t="shared" si="595"/>
        <v>https://www.google.com/search?tbm=isch&amp;q=7%20G4</v>
      </c>
      <c r="BG838" s="165" t="str">
        <f t="shared" si="596"/>
        <v>C</v>
      </c>
      <c r="BH838" s="65"/>
      <c r="BI838" s="65"/>
      <c r="BJ838" s="65"/>
      <c r="BK838" s="65"/>
      <c r="BL838" s="99"/>
      <c r="BM838" s="99"/>
      <c r="BN838" s="99"/>
    </row>
    <row r="839" spans="1:66" s="51" customFormat="1" ht="27" x14ac:dyDescent="0.25">
      <c r="A839" s="634">
        <v>15</v>
      </c>
      <c r="B839" s="635" t="s">
        <v>291</v>
      </c>
      <c r="C839" s="636" t="s">
        <v>1927</v>
      </c>
      <c r="D839" s="637" t="s">
        <v>299</v>
      </c>
      <c r="E839" s="638">
        <v>192.95</v>
      </c>
      <c r="F839" s="639" t="s">
        <v>292</v>
      </c>
      <c r="G839" s="484">
        <v>0</v>
      </c>
      <c r="H839" s="691" t="str">
        <f>IF(G839=0,"",IF(F839="Buy",IF(G839=1,"plant","plants"),IF(F839&gt;0.01,"warranty","Error")))</f>
        <v/>
      </c>
      <c r="I839" s="640">
        <f>IF(H839="free",0,IF(H839="credit",((E839*(F839))*G839*-1),IF(F839="Buy",(E839*G839),((E839*(1-F839))*G839))))</f>
        <v>0</v>
      </c>
      <c r="J839" s="640">
        <f>IF(H839="warranty",0,(I839*(_xlfn.SINGLE(SalesTaxPercentage))))</f>
        <v>0</v>
      </c>
      <c r="K839" s="716">
        <f t="shared" ref="K839" si="614">I839+J839</f>
        <v>0</v>
      </c>
      <c r="L839" s="716"/>
      <c r="M839" s="689" t="str">
        <f ca="1">IF(AND(G839&gt;0,E839=0),"WARNING - no PRICE inserted",IF(H839="free","FREE ~ no charge this plant",IF(H839="credit",CONCATENATE("-$",ROUND(K839*(1-_xlfn.SINGLE(T2GDiscount))*-1,2)," CREDIT after discount"),IF(_xlfn.SINGLE(T2GDiscount)=0,"",IF(G839=0,"",IF(F839="Buy",CONCATENATE("$",ROUND(K839*(1-_xlfn.SINGLE(T2GDiscount)),2)," with ",(_xlfn.SINGLE(T2GDiscount)*100),"% discount"),CONCATENATE("$",ROUND(K839*(1-_xlfn.SINGLE(T2GDiscount)),2)," with ",((_xlfn.SINGLE(T2GDiscount)*100+F839*100)-(_xlfn.SINGLE(T2GDiscount)*100*F839)),IF(F839&gt;0,"% discounts",IF(_xlfn.SINGLE(NoWarrantyDiscount)&gt;0,"% discounts","% discount")))))))))</f>
        <v/>
      </c>
      <c r="N839" s="690"/>
      <c r="O839" s="486"/>
      <c r="P839" s="486"/>
      <c r="Q839" s="486"/>
      <c r="R839" s="486"/>
      <c r="S839" s="486"/>
      <c r="T839" s="102">
        <f t="shared" si="584"/>
        <v>0</v>
      </c>
      <c r="U839" s="78">
        <f>IF(NOT(ISNUMBER(G839)), "", VLOOKUP(A839,'Discount Lookup'!D:E,2,FALSE)*G839)</f>
        <v>0</v>
      </c>
      <c r="V839" s="78">
        <f>IF(NOT(ISNUMBER(G839)), "", VLOOKUP(A839,'Discount Lookup'!G:H,2,FALSE)*G839)</f>
        <v>0</v>
      </c>
      <c r="W839" s="102">
        <f t="shared" si="585"/>
        <v>0</v>
      </c>
      <c r="X839" s="102">
        <f t="shared" si="586"/>
        <v>0</v>
      </c>
      <c r="Y839" s="120" t="b">
        <f t="shared" si="587"/>
        <v>0</v>
      </c>
      <c r="Z839" s="117">
        <f t="shared" si="588"/>
        <v>0</v>
      </c>
      <c r="AA839" s="118"/>
      <c r="AB839" s="118" t="str">
        <f t="shared" si="589"/>
        <v/>
      </c>
      <c r="AC839" s="712" t="str">
        <f>IF(AE839="T2G","no charge",IF(AND(OR(PlanterYesMe="No",PlanterYesMe="N",PlanterYesMe="me"),H839=""),"",IF(H839="credit","NO install",IF(AND(K839="",AE839="me"),"EACH row",IF(AND(K839="images",AE839="me"),"EACH row",IF(D839="","",IF(H839="credit","",IF(AE839="free","re-planting",IF(AE839="me","   not ELP, by",IF(AND(OR(PlanterYesMe="Yes",PlanterYesMe="Y"),G839&gt;0),(VLOOKUP(A839,'Discount Lookup'!J:K,2)*G839*(1-PlanterDiscount)*(1+PlanterDifficultyPercentage)),IF(AE839="ELP",(VLOOKUP(A839,'Discount Lookup'!J:K,2)*G839*(1-PlanterDiscount)*(1+PlanterDifficultyPercentage)),IF(AE839="free","re-planting",IF(G839=0,"",IF(PlanterYesMe="",IF(AE839="me","   not ELP, by",IF(AE839="",IF(G839&gt;0,(VLOOKUP(A839,'Discount Lookup'!J:K,2)*G839*(1-PlanterDiscount)*(1+PlanterDifficultyPercentage)),""),"")),"   not ELP, by"))))))))))))))</f>
        <v/>
      </c>
      <c r="AD839" s="712"/>
      <c r="AE839" s="513" t="str">
        <f t="shared" si="590"/>
        <v/>
      </c>
      <c r="AF839" s="713" t="str">
        <f t="shared" si="591"/>
        <v/>
      </c>
      <c r="AG839" s="713"/>
      <c r="AH839" s="713"/>
      <c r="AI839" s="112">
        <f>IF(H839="credit",0,IF(AE839="free",0,IF(AE839="me",0,IF(G839&gt;0,(VLOOKUP(A839,'Discount Lookup'!J:K,2)*G839),0))))</f>
        <v>0</v>
      </c>
      <c r="AJ839" s="107" t="str">
        <f t="shared" ca="1" si="592"/>
        <v/>
      </c>
      <c r="AK839" s="714" t="str">
        <f t="shared" si="593"/>
        <v/>
      </c>
      <c r="AL839" s="714"/>
      <c r="AM839" s="114" t="str">
        <f t="shared" si="594"/>
        <v/>
      </c>
      <c r="AN839" s="115"/>
      <c r="AO839" s="116"/>
      <c r="AP839" s="116"/>
      <c r="AQ839" s="116"/>
      <c r="AR839" s="116"/>
      <c r="AS839" s="116"/>
      <c r="AT839" s="116"/>
      <c r="AU839" s="116"/>
      <c r="AV839" s="78"/>
      <c r="AW839" s="102"/>
      <c r="AX839" s="78"/>
      <c r="AY839" s="78"/>
      <c r="AZ839" s="78"/>
      <c r="BA839" s="78"/>
      <c r="BB839" s="78"/>
      <c r="BC839" s="78"/>
      <c r="BD839" s="78"/>
      <c r="BE839" s="465"/>
      <c r="BF839" s="165" t="str">
        <f t="shared" si="595"/>
        <v>https://www.google.com/search?tbm=isch&amp;q=15%20G4</v>
      </c>
      <c r="BG839" s="165" t="str">
        <f t="shared" si="596"/>
        <v>C</v>
      </c>
      <c r="BH839" s="65"/>
      <c r="BI839" s="65"/>
      <c r="BJ839" s="65"/>
      <c r="BK839" s="65"/>
      <c r="BL839" s="99"/>
      <c r="BM839" s="99"/>
      <c r="BN839" s="99"/>
    </row>
    <row r="840" spans="1:66" s="51" customFormat="1" ht="27" x14ac:dyDescent="0.25">
      <c r="A840" s="634">
        <v>25</v>
      </c>
      <c r="B840" s="635" t="s">
        <v>291</v>
      </c>
      <c r="C840" s="636" t="s">
        <v>1928</v>
      </c>
      <c r="D840" s="637" t="s">
        <v>299</v>
      </c>
      <c r="E840" s="638">
        <v>408.95</v>
      </c>
      <c r="F840" s="639" t="s">
        <v>292</v>
      </c>
      <c r="G840" s="484">
        <v>0</v>
      </c>
      <c r="H840" s="691" t="str">
        <f>IF(G840=0,"",IF(F840="Buy",IF(G840=1,"plant","plants"),IF(F840&gt;0.01,"warranty","Error")))</f>
        <v/>
      </c>
      <c r="I840" s="640">
        <f>IF(H840="free",0,IF(H840="credit",((E840*(F840))*G840*-1),IF(F840="Buy",(E840*G840),((E840*(1-F840))*G840))))</f>
        <v>0</v>
      </c>
      <c r="J840" s="640">
        <f>IF(H840="warranty",0,(I840*(_xlfn.SINGLE(SalesTaxPercentage))))</f>
        <v>0</v>
      </c>
      <c r="K840" s="716">
        <f t="shared" ref="K840" si="615">I840+J840</f>
        <v>0</v>
      </c>
      <c r="L840" s="716"/>
      <c r="M840" s="689" t="str">
        <f ca="1">IF(AND(G840&gt;0,E840=0),"WARNING - no PRICE inserted",IF(H840="free","FREE ~ no charge this plant",IF(H840="credit",CONCATENATE("-$",ROUND(K840*(1-_xlfn.SINGLE(T2GDiscount))*-1,2)," CREDIT after discount"),IF(_xlfn.SINGLE(T2GDiscount)=0,"",IF(G840=0,"",IF(F840="Buy",CONCATENATE("$",ROUND(K840*(1-_xlfn.SINGLE(T2GDiscount)),2)," with ",(_xlfn.SINGLE(T2GDiscount)*100),"% discount"),CONCATENATE("$",ROUND(K840*(1-_xlfn.SINGLE(T2GDiscount)),2)," with ",((_xlfn.SINGLE(T2GDiscount)*100+F840*100)-(_xlfn.SINGLE(T2GDiscount)*100*F840)),IF(F840&gt;0,"% discounts",IF(_xlfn.SINGLE(NoWarrantyDiscount)&gt;0,"% discounts","% discount")))))))))</f>
        <v/>
      </c>
      <c r="N840" s="690"/>
      <c r="O840" s="486"/>
      <c r="P840" s="486"/>
      <c r="Q840" s="486"/>
      <c r="R840" s="486"/>
      <c r="S840" s="486"/>
      <c r="T840" s="102">
        <f t="shared" si="584"/>
        <v>0</v>
      </c>
      <c r="U840" s="78">
        <f>IF(NOT(ISNUMBER(G840)), "", VLOOKUP(A840,'Discount Lookup'!D:E,2,FALSE)*G840)</f>
        <v>0</v>
      </c>
      <c r="V840" s="78">
        <f>IF(NOT(ISNUMBER(G840)), "", VLOOKUP(A840,'Discount Lookup'!G:H,2,FALSE)*G840)</f>
        <v>0</v>
      </c>
      <c r="W840" s="102">
        <f t="shared" si="585"/>
        <v>0</v>
      </c>
      <c r="X840" s="102">
        <f t="shared" si="586"/>
        <v>0</v>
      </c>
      <c r="Y840" s="120" t="b">
        <f t="shared" si="587"/>
        <v>0</v>
      </c>
      <c r="Z840" s="117">
        <f t="shared" si="588"/>
        <v>0</v>
      </c>
      <c r="AA840" s="118"/>
      <c r="AB840" s="118" t="str">
        <f t="shared" si="589"/>
        <v/>
      </c>
      <c r="AC840" s="712" t="str">
        <f>IF(AE840="T2G","no charge",IF(AND(OR(PlanterYesMe="No",PlanterYesMe="N",PlanterYesMe="me"),H840=""),"",IF(H840="credit","NO install",IF(AND(K840="",AE840="me"),"EACH row",IF(AND(K840="images",AE840="me"),"EACH row",IF(D840="","",IF(H840="credit","",IF(AE840="free","re-planting",IF(AE840="me","   not ELP, by",IF(AND(OR(PlanterYesMe="Yes",PlanterYesMe="Y"),G840&gt;0),(VLOOKUP(A840,'Discount Lookup'!J:K,2)*G840*(1-PlanterDiscount)*(1+PlanterDifficultyPercentage)),IF(AE840="ELP",(VLOOKUP(A840,'Discount Lookup'!J:K,2)*G840*(1-PlanterDiscount)*(1+PlanterDifficultyPercentage)),IF(AE840="free","re-planting",IF(G840=0,"",IF(PlanterYesMe="",IF(AE840="me","   not ELP, by",IF(AE840="",IF(G840&gt;0,(VLOOKUP(A840,'Discount Lookup'!J:K,2)*G840*(1-PlanterDiscount)*(1+PlanterDifficultyPercentage)),""),"")),"   not ELP, by"))))))))))))))</f>
        <v/>
      </c>
      <c r="AD840" s="712"/>
      <c r="AE840" s="513" t="str">
        <f t="shared" si="590"/>
        <v/>
      </c>
      <c r="AF840" s="713" t="str">
        <f t="shared" si="591"/>
        <v/>
      </c>
      <c r="AG840" s="713"/>
      <c r="AH840" s="713"/>
      <c r="AI840" s="112">
        <f>IF(H840="credit",0,IF(AE840="free",0,IF(AE840="me",0,IF(G840&gt;0,(VLOOKUP(A840,'Discount Lookup'!J:K,2)*G840),0))))</f>
        <v>0</v>
      </c>
      <c r="AJ840" s="107" t="str">
        <f t="shared" ca="1" si="592"/>
        <v/>
      </c>
      <c r="AK840" s="714" t="str">
        <f t="shared" si="593"/>
        <v/>
      </c>
      <c r="AL840" s="714"/>
      <c r="AM840" s="114" t="str">
        <f t="shared" si="594"/>
        <v/>
      </c>
      <c r="AN840" s="115"/>
      <c r="AO840" s="116"/>
      <c r="AP840" s="116"/>
      <c r="AQ840" s="116"/>
      <c r="AR840" s="116"/>
      <c r="AS840" s="116"/>
      <c r="AT840" s="116"/>
      <c r="AU840" s="116"/>
      <c r="AV840" s="78"/>
      <c r="AW840" s="102"/>
      <c r="AX840" s="78"/>
      <c r="AY840" s="78"/>
      <c r="AZ840" s="78"/>
      <c r="BA840" s="78"/>
      <c r="BB840" s="78"/>
      <c r="BC840" s="78"/>
      <c r="BD840" s="78"/>
      <c r="BE840" s="465"/>
      <c r="BF840" s="165" t="str">
        <f t="shared" si="595"/>
        <v>https://www.google.com/search?tbm=isch&amp;q=25%20G4</v>
      </c>
      <c r="BG840" s="165" t="str">
        <f t="shared" si="596"/>
        <v>C</v>
      </c>
      <c r="BH840" s="65"/>
      <c r="BI840" s="65"/>
      <c r="BJ840" s="65"/>
      <c r="BK840" s="65"/>
      <c r="BL840" s="99"/>
      <c r="BM840" s="99"/>
      <c r="BN840" s="99"/>
    </row>
    <row r="841" spans="1:66" s="51" customFormat="1" ht="17.25" thickBot="1" x14ac:dyDescent="0.3">
      <c r="A841" s="704" t="s">
        <v>5367</v>
      </c>
      <c r="B841" s="642"/>
      <c r="C841" s="710"/>
      <c r="D841" s="643"/>
      <c r="E841" s="643"/>
      <c r="F841" s="644"/>
      <c r="G841" s="645"/>
      <c r="H841" s="646"/>
      <c r="I841" s="647"/>
      <c r="J841" s="648"/>
      <c r="K841" s="649"/>
      <c r="L841" s="650"/>
      <c r="M841" s="650"/>
      <c r="N841" s="644"/>
      <c r="O841" s="644"/>
      <c r="P841" s="644"/>
      <c r="Q841" s="644"/>
      <c r="R841" s="644"/>
      <c r="S841" s="651"/>
      <c r="T841" s="102">
        <f t="shared" si="584"/>
        <v>0</v>
      </c>
      <c r="U841" s="78" t="str">
        <f>IF(NOT(ISNUMBER(G841)), "", VLOOKUP(A841,'Discount Lookup'!D:E,2,FALSE)*G841)</f>
        <v/>
      </c>
      <c r="V841" s="78" t="str">
        <f>IF(NOT(ISNUMBER(G841)), "", VLOOKUP(A841,'Discount Lookup'!G:H,2,FALSE)*G841)</f>
        <v/>
      </c>
      <c r="W841" s="102">
        <f t="shared" si="585"/>
        <v>0</v>
      </c>
      <c r="X841" s="102">
        <f t="shared" si="586"/>
        <v>0</v>
      </c>
      <c r="Y841" s="120" t="b">
        <f t="shared" si="587"/>
        <v>0</v>
      </c>
      <c r="Z841" s="117">
        <f t="shared" si="588"/>
        <v>0</v>
      </c>
      <c r="AA841" s="118"/>
      <c r="AB841" s="118" t="str">
        <f t="shared" si="589"/>
        <v/>
      </c>
      <c r="AC841" s="712" t="str">
        <f>IF(AE841="T2G","no charge",IF(AND(OR(PlanterYesMe="No",PlanterYesMe="N",PlanterYesMe="me"),H841=""),"",IF(H841="credit","NO install",IF(AND(K841="",AE841="me"),"EACH row",IF(AND(K841="images",AE841="me"),"EACH row",IF(D841="","",IF(H841="credit","",IF(AE841="free","re-planting",IF(AE841="me","   not ELP, by",IF(AND(OR(PlanterYesMe="Yes",PlanterYesMe="Y"),G841&gt;0),(VLOOKUP(A841,'Discount Lookup'!J:K,2)*G841*(1-PlanterDiscount)*(1+PlanterDifficultyPercentage)),IF(AE841="ELP",(VLOOKUP(A841,'Discount Lookup'!J:K,2)*G841*(1-PlanterDiscount)*(1+PlanterDifficultyPercentage)),IF(AE841="free","re-planting",IF(G841=0,"",IF(PlanterYesMe="",IF(AE841="me","   not ELP, by",IF(AE841="",IF(G841&gt;0,(VLOOKUP(A841,'Discount Lookup'!J:K,2)*G841*(1-PlanterDiscount)*(1+PlanterDifficultyPercentage)),""),"")),"   not ELP, by"))))))))))))))</f>
        <v/>
      </c>
      <c r="AD841" s="712"/>
      <c r="AE841" s="513" t="str">
        <f t="shared" si="590"/>
        <v/>
      </c>
      <c r="AF841" s="713" t="str">
        <f t="shared" si="591"/>
        <v/>
      </c>
      <c r="AG841" s="713"/>
      <c r="AH841" s="713"/>
      <c r="AI841" s="112">
        <f>IF(H841="credit",0,IF(AE841="free",0,IF(AE841="me",0,IF(G841&gt;0,(VLOOKUP(A841,'Discount Lookup'!J:K,2)*G841),0))))</f>
        <v>0</v>
      </c>
      <c r="AJ841" s="107" t="str">
        <f t="shared" ca="1" si="592"/>
        <v/>
      </c>
      <c r="AK841" s="714" t="str">
        <f t="shared" si="593"/>
        <v/>
      </c>
      <c r="AL841" s="714"/>
      <c r="AM841" s="114" t="str">
        <f t="shared" si="594"/>
        <v/>
      </c>
      <c r="AN841" s="115"/>
      <c r="AO841" s="116"/>
      <c r="AP841" s="116"/>
      <c r="AQ841" s="116"/>
      <c r="AR841" s="116"/>
      <c r="AS841" s="116"/>
      <c r="AT841" s="116"/>
      <c r="AU841" s="116"/>
      <c r="AV841" s="78"/>
      <c r="AW841" s="102"/>
      <c r="AX841" s="78"/>
      <c r="AY841" s="78"/>
      <c r="AZ841" s="78"/>
      <c r="BA841" s="78"/>
      <c r="BB841" s="78"/>
      <c r="BC841" s="78"/>
      <c r="BD841" s="78"/>
      <c r="BE841" s="465"/>
      <c r="BF841" s="165" t="str">
        <f t="shared" si="595"/>
        <v>https://www.google.com/search?tbm=isch&amp;q=moist%20sites%F0%9F%92%A7OK%2C%20European%20Hornbeam%20develops%20a%20distinctive%20smooth%2C%20grey%2C%20rippling%20bark.%20Very%20tolerant%20of%20poor%20growing%20conditions.%20Yellow%20to%20Orange%20fall%20foliage%20</v>
      </c>
      <c r="BG841" s="165" t="str">
        <f t="shared" si="596"/>
        <v>m</v>
      </c>
      <c r="BH841" s="65"/>
      <c r="BI841" s="65"/>
      <c r="BJ841" s="65"/>
      <c r="BK841" s="65"/>
      <c r="BL841" s="99"/>
      <c r="BM841" s="99"/>
      <c r="BN841" s="99"/>
    </row>
    <row r="842" spans="1:66" s="51" customFormat="1" ht="18" x14ac:dyDescent="0.25">
      <c r="A842" s="623" t="s">
        <v>1929</v>
      </c>
      <c r="B842" s="624"/>
      <c r="C842" s="709"/>
      <c r="D842" s="625" t="s">
        <v>1930</v>
      </c>
      <c r="E842" s="626"/>
      <c r="F842" s="626"/>
      <c r="G842" s="626"/>
      <c r="H842" s="622" t="s">
        <v>1506</v>
      </c>
      <c r="I842" s="627" t="s">
        <v>431</v>
      </c>
      <c r="J842" s="628"/>
      <c r="K842" s="628"/>
      <c r="L842" s="629"/>
      <c r="M842" s="700" t="s">
        <v>5249</v>
      </c>
      <c r="N842" s="693" t="str">
        <f>IF(AND(ISTEXT($A842), ISERROR($A842+0)), HYPERLINK($BF842, "Images"), "")</f>
        <v>Images</v>
      </c>
      <c r="O842" s="695" t="s">
        <v>5247</v>
      </c>
      <c r="P842" s="630"/>
      <c r="Q842" s="631"/>
      <c r="R842" s="632"/>
      <c r="S842" s="633" t="s">
        <v>294</v>
      </c>
      <c r="T842" s="102">
        <f t="shared" si="584"/>
        <v>0</v>
      </c>
      <c r="U842" s="78" t="str">
        <f>IF(NOT(ISNUMBER(G842)), "", VLOOKUP(A842,'Discount Lookup'!D:E,2,FALSE)*G842)</f>
        <v/>
      </c>
      <c r="V842" s="78" t="str">
        <f>IF(NOT(ISNUMBER(G842)), "", VLOOKUP(A842,'Discount Lookup'!G:H,2,FALSE)*G842)</f>
        <v/>
      </c>
      <c r="W842" s="102">
        <f t="shared" si="585"/>
        <v>0</v>
      </c>
      <c r="X842" s="102" t="str">
        <f t="shared" si="586"/>
        <v>Dark Green foliage</v>
      </c>
      <c r="Y842" s="120" t="b">
        <f t="shared" si="587"/>
        <v>0</v>
      </c>
      <c r="Z842" s="117">
        <f t="shared" si="588"/>
        <v>0</v>
      </c>
      <c r="AA842" s="118"/>
      <c r="AB842" s="118" t="str">
        <f t="shared" si="589"/>
        <v/>
      </c>
      <c r="AC842" s="712" t="str">
        <f>IF(AE842="T2G","no charge",IF(AND(OR(PlanterYesMe="No",PlanterYesMe="N",PlanterYesMe="me"),H842=""),"",IF(H842="credit","NO install",IF(AND(K842="",AE842="me"),"EACH row",IF(AND(K842="images",AE842="me"),"EACH row",IF(D842="","",IF(H842="credit","",IF(AE842="free","re-planting",IF(AE842="me","   not ELP, by",IF(AND(OR(PlanterYesMe="Yes",PlanterYesMe="Y"),G842&gt;0),(VLOOKUP(A842,'Discount Lookup'!J:K,2)*G842*(1-PlanterDiscount)*(1+PlanterDifficultyPercentage)),IF(AE842="ELP",(VLOOKUP(A842,'Discount Lookup'!J:K,2)*G842*(1-PlanterDiscount)*(1+PlanterDifficultyPercentage)),IF(AE842="free","re-planting",IF(G842=0,"",IF(PlanterYesMe="",IF(AE842="me","   not ELP, by",IF(AE842="",IF(G842&gt;0,(VLOOKUP(A842,'Discount Lookup'!J:K,2)*G842*(1-PlanterDiscount)*(1+PlanterDifficultyPercentage)),""),"")),"   not ELP, by"))))))))))))))</f>
        <v/>
      </c>
      <c r="AD842" s="712"/>
      <c r="AE842" s="513" t="str">
        <f t="shared" si="590"/>
        <v/>
      </c>
      <c r="AF842" s="713" t="str">
        <f t="shared" si="591"/>
        <v/>
      </c>
      <c r="AG842" s="713"/>
      <c r="AH842" s="713"/>
      <c r="AI842" s="112">
        <f>IF(H842="credit",0,IF(AE842="free",0,IF(AE842="me",0,IF(G842&gt;0,(VLOOKUP(A842,'Discount Lookup'!J:K,2)*G842),0))))</f>
        <v>0</v>
      </c>
      <c r="AJ842" s="107" t="str">
        <f t="shared" ca="1" si="592"/>
        <v/>
      </c>
      <c r="AK842" s="714" t="str">
        <f t="shared" si="593"/>
        <v/>
      </c>
      <c r="AL842" s="714"/>
      <c r="AM842" s="114" t="str">
        <f t="shared" si="594"/>
        <v/>
      </c>
      <c r="AN842" s="115"/>
      <c r="AO842" s="116"/>
      <c r="AP842" s="116"/>
      <c r="AQ842" s="116"/>
      <c r="AR842" s="116"/>
      <c r="AS842" s="116"/>
      <c r="AT842" s="116"/>
      <c r="AU842" s="116"/>
      <c r="AV842" s="78"/>
      <c r="AW842" s="102"/>
      <c r="AX842" s="78"/>
      <c r="AY842" s="78"/>
      <c r="AZ842" s="78"/>
      <c r="BA842" s="78"/>
      <c r="BB842" s="78"/>
      <c r="BC842" s="78"/>
      <c r="BD842" s="78"/>
      <c r="BE842" s="465"/>
      <c r="BF842" s="165" t="str">
        <f t="shared" si="595"/>
        <v>https://www.google.com/search?tbm=isch&amp;q=Carpinus%20caroliniana%20American%20Hornbeam</v>
      </c>
      <c r="BG842" s="165" t="str">
        <f t="shared" si="596"/>
        <v>C</v>
      </c>
      <c r="BH842" s="65"/>
      <c r="BI842" s="65"/>
      <c r="BJ842" s="65"/>
      <c r="BK842" s="65"/>
      <c r="BL842" s="99"/>
      <c r="BM842" s="99"/>
      <c r="BN842" s="99"/>
    </row>
    <row r="843" spans="1:66" s="51" customFormat="1" ht="15.75" x14ac:dyDescent="0.25">
      <c r="A843" s="634">
        <v>7</v>
      </c>
      <c r="B843" s="635" t="s">
        <v>291</v>
      </c>
      <c r="C843" s="636" t="s">
        <v>1931</v>
      </c>
      <c r="D843" s="637" t="s">
        <v>311</v>
      </c>
      <c r="E843" s="638">
        <v>102.95</v>
      </c>
      <c r="F843" s="639" t="s">
        <v>292</v>
      </c>
      <c r="G843" s="484">
        <v>0</v>
      </c>
      <c r="H843" s="691" t="str">
        <f>IF(G843=0,"",IF(F843="Buy",IF(G843=1,"plant","plants"),IF(F843&gt;0.01,"warranty","Error")))</f>
        <v/>
      </c>
      <c r="I843" s="640">
        <f>IF(H843="free",0,IF(H843="credit",((E843*(F843))*G843*-1),IF(F843="Buy",(E843*G843),((E843*(1-F843))*G843))))</f>
        <v>0</v>
      </c>
      <c r="J843" s="640">
        <f>IF(H843="warranty",0,(I843*(_xlfn.SINGLE(SalesTaxPercentage))))</f>
        <v>0</v>
      </c>
      <c r="K843" s="716">
        <f t="shared" ref="K843" si="616">I843+J843</f>
        <v>0</v>
      </c>
      <c r="L843" s="716"/>
      <c r="M843" s="689" t="str">
        <f ca="1">IF(AND(G843&gt;0,E843=0),"WARNING - no PRICE inserted",IF(H843="free","FREE ~ no charge this plant",IF(H843="credit",CONCATENATE("-$",ROUND(K843*(1-_xlfn.SINGLE(T2GDiscount))*-1,2)," CREDIT after discount"),IF(_xlfn.SINGLE(T2GDiscount)=0,"",IF(G843=0,"",IF(F843="Buy",CONCATENATE("$",ROUND(K843*(1-_xlfn.SINGLE(T2GDiscount)),2)," with ",(_xlfn.SINGLE(T2GDiscount)*100),"% discount"),CONCATENATE("$",ROUND(K843*(1-_xlfn.SINGLE(T2GDiscount)),2)," with ",((_xlfn.SINGLE(T2GDiscount)*100+F843*100)-(_xlfn.SINGLE(T2GDiscount)*100*F843)),IF(F843&gt;0,"% discounts",IF(_xlfn.SINGLE(NoWarrantyDiscount)&gt;0,"% discounts","% discount")))))))))</f>
        <v/>
      </c>
      <c r="N843" s="690"/>
      <c r="O843" s="486"/>
      <c r="P843" s="486"/>
      <c r="Q843" s="486"/>
      <c r="R843" s="486"/>
      <c r="S843" s="486"/>
      <c r="T843" s="102">
        <f t="shared" si="584"/>
        <v>0</v>
      </c>
      <c r="U843" s="78">
        <f>IF(NOT(ISNUMBER(G843)), "", VLOOKUP(A843,'Discount Lookup'!D:E,2,FALSE)*G843)</f>
        <v>0</v>
      </c>
      <c r="V843" s="78">
        <f>IF(NOT(ISNUMBER(G843)), "", VLOOKUP(A843,'Discount Lookup'!G:H,2,FALSE)*G843)</f>
        <v>0</v>
      </c>
      <c r="W843" s="102">
        <f t="shared" si="585"/>
        <v>0</v>
      </c>
      <c r="X843" s="102">
        <f t="shared" si="586"/>
        <v>0</v>
      </c>
      <c r="Y843" s="120" t="b">
        <f t="shared" si="587"/>
        <v>0</v>
      </c>
      <c r="Z843" s="117">
        <f t="shared" si="588"/>
        <v>0</v>
      </c>
      <c r="AA843" s="118"/>
      <c r="AB843" s="118" t="str">
        <f t="shared" si="589"/>
        <v/>
      </c>
      <c r="AC843" s="712" t="str">
        <f>IF(AE843="T2G","no charge",IF(AND(OR(PlanterYesMe="No",PlanterYesMe="N",PlanterYesMe="me"),H843=""),"",IF(H843="credit","NO install",IF(AND(K843="",AE843="me"),"EACH row",IF(AND(K843="images",AE843="me"),"EACH row",IF(D843="","",IF(H843="credit","",IF(AE843="free","re-planting",IF(AE843="me","   not ELP, by",IF(AND(OR(PlanterYesMe="Yes",PlanterYesMe="Y"),G843&gt;0),(VLOOKUP(A843,'Discount Lookup'!J:K,2)*G843*(1-PlanterDiscount)*(1+PlanterDifficultyPercentage)),IF(AE843="ELP",(VLOOKUP(A843,'Discount Lookup'!J:K,2)*G843*(1-PlanterDiscount)*(1+PlanterDifficultyPercentage)),IF(AE843="free","re-planting",IF(G843=0,"",IF(PlanterYesMe="",IF(AE843="me","   not ELP, by",IF(AE843="",IF(G843&gt;0,(VLOOKUP(A843,'Discount Lookup'!J:K,2)*G843*(1-PlanterDiscount)*(1+PlanterDifficultyPercentage)),""),"")),"   not ELP, by"))))))))))))))</f>
        <v/>
      </c>
      <c r="AD843" s="712"/>
      <c r="AE843" s="513" t="str">
        <f t="shared" si="590"/>
        <v/>
      </c>
      <c r="AF843" s="713" t="str">
        <f t="shared" si="591"/>
        <v/>
      </c>
      <c r="AG843" s="713"/>
      <c r="AH843" s="713"/>
      <c r="AI843" s="112">
        <f>IF(H843="credit",0,IF(AE843="free",0,IF(AE843="me",0,IF(G843&gt;0,(VLOOKUP(A843,'Discount Lookup'!J:K,2)*G843),0))))</f>
        <v>0</v>
      </c>
      <c r="AJ843" s="107" t="str">
        <f t="shared" ca="1" si="592"/>
        <v/>
      </c>
      <c r="AK843" s="714" t="str">
        <f t="shared" si="593"/>
        <v/>
      </c>
      <c r="AL843" s="714"/>
      <c r="AM843" s="114" t="str">
        <f t="shared" si="594"/>
        <v/>
      </c>
      <c r="AN843" s="115"/>
      <c r="AO843" s="116"/>
      <c r="AP843" s="116"/>
      <c r="AQ843" s="116"/>
      <c r="AR843" s="116"/>
      <c r="AS843" s="116"/>
      <c r="AT843" s="116"/>
      <c r="AU843" s="116"/>
      <c r="AV843" s="78"/>
      <c r="AW843" s="102"/>
      <c r="AX843" s="78"/>
      <c r="AY843" s="78"/>
      <c r="AZ843" s="78"/>
      <c r="BA843" s="78"/>
      <c r="BB843" s="78"/>
      <c r="BC843" s="78"/>
      <c r="BD843" s="78"/>
      <c r="BE843" s="465"/>
      <c r="BF843" s="165" t="str">
        <f t="shared" si="595"/>
        <v>https://www.google.com/search?tbm=isch&amp;q=7%20G5</v>
      </c>
      <c r="BG843" s="165" t="str">
        <f t="shared" si="596"/>
        <v>C</v>
      </c>
      <c r="BH843" s="65"/>
      <c r="BI843" s="65"/>
      <c r="BJ843" s="65"/>
      <c r="BK843" s="65"/>
      <c r="BL843" s="99"/>
      <c r="BM843" s="99"/>
      <c r="BN843" s="99"/>
    </row>
    <row r="844" spans="1:66" s="51" customFormat="1" ht="15.75" x14ac:dyDescent="0.25">
      <c r="A844" s="634">
        <v>7</v>
      </c>
      <c r="B844" s="635" t="s">
        <v>291</v>
      </c>
      <c r="C844" s="636" t="s">
        <v>4259</v>
      </c>
      <c r="D844" s="637" t="s">
        <v>299</v>
      </c>
      <c r="E844" s="638">
        <v>137.94999999999999</v>
      </c>
      <c r="F844" s="639" t="s">
        <v>292</v>
      </c>
      <c r="G844" s="484">
        <v>0</v>
      </c>
      <c r="H844" s="691" t="str">
        <f>IF(G844=0,"",IF(F844="Buy",IF(G844=1,"plant","plants"),IF(F844&gt;0.01,"warranty","Error")))</f>
        <v/>
      </c>
      <c r="I844" s="640">
        <f>IF(H844="free",0,IF(H844="credit",((E844*(F844))*G844*-1),IF(F844="Buy",(E844*G844),((E844*(1-F844))*G844))))</f>
        <v>0</v>
      </c>
      <c r="J844" s="640">
        <f>IF(H844="warranty",0,(I844*(_xlfn.SINGLE(SalesTaxPercentage))))</f>
        <v>0</v>
      </c>
      <c r="K844" s="716">
        <f t="shared" ref="K844" si="617">I844+J844</f>
        <v>0</v>
      </c>
      <c r="L844" s="716"/>
      <c r="M844" s="689" t="str">
        <f ca="1">IF(AND(G844&gt;0,E844=0),"WARNING - no PRICE inserted",IF(H844="free","FREE ~ no charge this plant",IF(H844="credit",CONCATENATE("-$",ROUND(K844*(1-_xlfn.SINGLE(T2GDiscount))*-1,2)," CREDIT after discount"),IF(_xlfn.SINGLE(T2GDiscount)=0,"",IF(G844=0,"",IF(F844="Buy",CONCATENATE("$",ROUND(K844*(1-_xlfn.SINGLE(T2GDiscount)),2)," with ",(_xlfn.SINGLE(T2GDiscount)*100),"% discount"),CONCATENATE("$",ROUND(K844*(1-_xlfn.SINGLE(T2GDiscount)),2)," with ",((_xlfn.SINGLE(T2GDiscount)*100+F844*100)-(_xlfn.SINGLE(T2GDiscount)*100*F844)),IF(F844&gt;0,"% discounts",IF(_xlfn.SINGLE(NoWarrantyDiscount)&gt;0,"% discounts","% discount")))))))))</f>
        <v/>
      </c>
      <c r="N844" s="690"/>
      <c r="O844" s="486"/>
      <c r="P844" s="486"/>
      <c r="Q844" s="486"/>
      <c r="R844" s="486"/>
      <c r="S844" s="486"/>
      <c r="T844" s="102">
        <f t="shared" si="584"/>
        <v>0</v>
      </c>
      <c r="U844" s="78">
        <f>IF(NOT(ISNUMBER(G844)), "", VLOOKUP(A844,'Discount Lookup'!D:E,2,FALSE)*G844)</f>
        <v>0</v>
      </c>
      <c r="V844" s="78">
        <f>IF(NOT(ISNUMBER(G844)), "", VLOOKUP(A844,'Discount Lookup'!G:H,2,FALSE)*G844)</f>
        <v>0</v>
      </c>
      <c r="W844" s="102">
        <f t="shared" si="585"/>
        <v>0</v>
      </c>
      <c r="X844" s="102">
        <f t="shared" si="586"/>
        <v>0</v>
      </c>
      <c r="Y844" s="120" t="b">
        <f t="shared" si="587"/>
        <v>0</v>
      </c>
      <c r="Z844" s="117">
        <f t="shared" si="588"/>
        <v>0</v>
      </c>
      <c r="AA844" s="118"/>
      <c r="AB844" s="118" t="str">
        <f t="shared" si="589"/>
        <v/>
      </c>
      <c r="AC844" s="712" t="str">
        <f>IF(AE844="T2G","no charge",IF(AND(OR(PlanterYesMe="No",PlanterYesMe="N",PlanterYesMe="me"),H844=""),"",IF(H844="credit","NO install",IF(AND(K844="",AE844="me"),"EACH row",IF(AND(K844="images",AE844="me"),"EACH row",IF(D844="","",IF(H844="credit","",IF(AE844="free","re-planting",IF(AE844="me","   not ELP, by",IF(AND(OR(PlanterYesMe="Yes",PlanterYesMe="Y"),G844&gt;0),(VLOOKUP(A844,'Discount Lookup'!J:K,2)*G844*(1-PlanterDiscount)*(1+PlanterDifficultyPercentage)),IF(AE844="ELP",(VLOOKUP(A844,'Discount Lookup'!J:K,2)*G844*(1-PlanterDiscount)*(1+PlanterDifficultyPercentage)),IF(AE844="free","re-planting",IF(G844=0,"",IF(PlanterYesMe="",IF(AE844="me","   not ELP, by",IF(AE844="",IF(G844&gt;0,(VLOOKUP(A844,'Discount Lookup'!J:K,2)*G844*(1-PlanterDiscount)*(1+PlanterDifficultyPercentage)),""),"")),"   not ELP, by"))))))))))))))</f>
        <v/>
      </c>
      <c r="AD844" s="712"/>
      <c r="AE844" s="513" t="str">
        <f t="shared" si="590"/>
        <v/>
      </c>
      <c r="AF844" s="713" t="str">
        <f t="shared" si="591"/>
        <v/>
      </c>
      <c r="AG844" s="713"/>
      <c r="AH844" s="713"/>
      <c r="AI844" s="112">
        <f>IF(H844="credit",0,IF(AE844="free",0,IF(AE844="me",0,IF(G844&gt;0,(VLOOKUP(A844,'Discount Lookup'!J:K,2)*G844),0))))</f>
        <v>0</v>
      </c>
      <c r="AJ844" s="107" t="str">
        <f t="shared" ca="1" si="592"/>
        <v/>
      </c>
      <c r="AK844" s="714" t="str">
        <f t="shared" si="593"/>
        <v/>
      </c>
      <c r="AL844" s="714"/>
      <c r="AM844" s="114" t="str">
        <f t="shared" si="594"/>
        <v/>
      </c>
      <c r="AN844" s="115"/>
      <c r="AO844" s="116"/>
      <c r="AP844" s="116"/>
      <c r="AQ844" s="116"/>
      <c r="AR844" s="116"/>
      <c r="AS844" s="116"/>
      <c r="AT844" s="116"/>
      <c r="AU844" s="116"/>
      <c r="AV844" s="78"/>
      <c r="AW844" s="102"/>
      <c r="AX844" s="78"/>
      <c r="AY844" s="78"/>
      <c r="AZ844" s="78"/>
      <c r="BA844" s="78"/>
      <c r="BB844" s="78"/>
      <c r="BC844" s="78"/>
      <c r="BD844" s="78"/>
      <c r="BE844" s="465"/>
      <c r="BF844" s="165" t="str">
        <f t="shared" si="595"/>
        <v>https://www.google.com/search?tbm=isch&amp;q=7%20G4</v>
      </c>
      <c r="BG844" s="165" t="str">
        <f t="shared" si="596"/>
        <v>C</v>
      </c>
      <c r="BH844" s="65"/>
      <c r="BI844" s="65"/>
      <c r="BJ844" s="65"/>
      <c r="BK844" s="65"/>
      <c r="BL844" s="99"/>
      <c r="BM844" s="99"/>
      <c r="BN844" s="99"/>
    </row>
    <row r="845" spans="1:66" s="51" customFormat="1" ht="27" x14ac:dyDescent="0.25">
      <c r="A845" s="634">
        <v>15</v>
      </c>
      <c r="B845" s="635" t="s">
        <v>291</v>
      </c>
      <c r="C845" s="636" t="s">
        <v>1932</v>
      </c>
      <c r="D845" s="637" t="s">
        <v>299</v>
      </c>
      <c r="E845" s="638">
        <v>215.95</v>
      </c>
      <c r="F845" s="639" t="s">
        <v>292</v>
      </c>
      <c r="G845" s="484">
        <v>0</v>
      </c>
      <c r="H845" s="691" t="str">
        <f>IF(G845=0,"",IF(F845="Buy",IF(G845=1,"plant","plants"),IF(F845&gt;0.01,"warranty","Error")))</f>
        <v/>
      </c>
      <c r="I845" s="640">
        <f>IF(H845="free",0,IF(H845="credit",((E845*(F845))*G845*-1),IF(F845="Buy",(E845*G845),((E845*(1-F845))*G845))))</f>
        <v>0</v>
      </c>
      <c r="J845" s="640">
        <f>IF(H845="warranty",0,(I845*(_xlfn.SINGLE(SalesTaxPercentage))))</f>
        <v>0</v>
      </c>
      <c r="K845" s="716">
        <f t="shared" ref="K845" si="618">I845+J845</f>
        <v>0</v>
      </c>
      <c r="L845" s="716"/>
      <c r="M845" s="689" t="str">
        <f ca="1">IF(AND(G845&gt;0,E845=0),"WARNING - no PRICE inserted",IF(H845="free","FREE ~ no charge this plant",IF(H845="credit",CONCATENATE("-$",ROUND(K845*(1-_xlfn.SINGLE(T2GDiscount))*-1,2)," CREDIT after discount"),IF(_xlfn.SINGLE(T2GDiscount)=0,"",IF(G845=0,"",IF(F845="Buy",CONCATENATE("$",ROUND(K845*(1-_xlfn.SINGLE(T2GDiscount)),2)," with ",(_xlfn.SINGLE(T2GDiscount)*100),"% discount"),CONCATENATE("$",ROUND(K845*(1-_xlfn.SINGLE(T2GDiscount)),2)," with ",((_xlfn.SINGLE(T2GDiscount)*100+F845*100)-(_xlfn.SINGLE(T2GDiscount)*100*F845)),IF(F845&gt;0,"% discounts",IF(_xlfn.SINGLE(NoWarrantyDiscount)&gt;0,"% discounts","% discount")))))))))</f>
        <v/>
      </c>
      <c r="N845" s="690"/>
      <c r="O845" s="486"/>
      <c r="P845" s="486"/>
      <c r="Q845" s="486"/>
      <c r="R845" s="486"/>
      <c r="S845" s="486"/>
      <c r="T845" s="102">
        <f t="shared" si="584"/>
        <v>0</v>
      </c>
      <c r="U845" s="78">
        <f>IF(NOT(ISNUMBER(G845)), "", VLOOKUP(A845,'Discount Lookup'!D:E,2,FALSE)*G845)</f>
        <v>0</v>
      </c>
      <c r="V845" s="78">
        <f>IF(NOT(ISNUMBER(G845)), "", VLOOKUP(A845,'Discount Lookup'!G:H,2,FALSE)*G845)</f>
        <v>0</v>
      </c>
      <c r="W845" s="102">
        <f t="shared" si="585"/>
        <v>0</v>
      </c>
      <c r="X845" s="102">
        <f t="shared" si="586"/>
        <v>0</v>
      </c>
      <c r="Y845" s="120" t="b">
        <f t="shared" si="587"/>
        <v>0</v>
      </c>
      <c r="Z845" s="117">
        <f t="shared" si="588"/>
        <v>0</v>
      </c>
      <c r="AA845" s="118"/>
      <c r="AB845" s="118" t="str">
        <f t="shared" si="589"/>
        <v/>
      </c>
      <c r="AC845" s="712" t="str">
        <f>IF(AE845="T2G","no charge",IF(AND(OR(PlanterYesMe="No",PlanterYesMe="N",PlanterYesMe="me"),H845=""),"",IF(H845="credit","NO install",IF(AND(K845="",AE845="me"),"EACH row",IF(AND(K845="images",AE845="me"),"EACH row",IF(D845="","",IF(H845="credit","",IF(AE845="free","re-planting",IF(AE845="me","   not ELP, by",IF(AND(OR(PlanterYesMe="Yes",PlanterYesMe="Y"),G845&gt;0),(VLOOKUP(A845,'Discount Lookup'!J:K,2)*G845*(1-PlanterDiscount)*(1+PlanterDifficultyPercentage)),IF(AE845="ELP",(VLOOKUP(A845,'Discount Lookup'!J:K,2)*G845*(1-PlanterDiscount)*(1+PlanterDifficultyPercentage)),IF(AE845="free","re-planting",IF(G845=0,"",IF(PlanterYesMe="",IF(AE845="me","   not ELP, by",IF(AE845="",IF(G845&gt;0,(VLOOKUP(A845,'Discount Lookup'!J:K,2)*G845*(1-PlanterDiscount)*(1+PlanterDifficultyPercentage)),""),"")),"   not ELP, by"))))))))))))))</f>
        <v/>
      </c>
      <c r="AD845" s="712"/>
      <c r="AE845" s="513" t="str">
        <f t="shared" si="590"/>
        <v/>
      </c>
      <c r="AF845" s="713" t="str">
        <f t="shared" si="591"/>
        <v/>
      </c>
      <c r="AG845" s="713"/>
      <c r="AH845" s="713"/>
      <c r="AI845" s="112">
        <f>IF(H845="credit",0,IF(AE845="free",0,IF(AE845="me",0,IF(G845&gt;0,(VLOOKUP(A845,'Discount Lookup'!J:K,2)*G845),0))))</f>
        <v>0</v>
      </c>
      <c r="AJ845" s="107" t="str">
        <f t="shared" ca="1" si="592"/>
        <v/>
      </c>
      <c r="AK845" s="714" t="str">
        <f t="shared" si="593"/>
        <v/>
      </c>
      <c r="AL845" s="714"/>
      <c r="AM845" s="114" t="str">
        <f t="shared" si="594"/>
        <v/>
      </c>
      <c r="AN845" s="115"/>
      <c r="AO845" s="116"/>
      <c r="AP845" s="116"/>
      <c r="AQ845" s="116"/>
      <c r="AR845" s="116"/>
      <c r="AS845" s="116"/>
      <c r="AT845" s="116"/>
      <c r="AU845" s="116"/>
      <c r="AV845" s="78"/>
      <c r="AW845" s="102"/>
      <c r="AX845" s="78"/>
      <c r="AY845" s="78"/>
      <c r="AZ845" s="78"/>
      <c r="BA845" s="78"/>
      <c r="BB845" s="78"/>
      <c r="BC845" s="78"/>
      <c r="BD845" s="78"/>
      <c r="BE845" s="465"/>
      <c r="BF845" s="165" t="str">
        <f t="shared" si="595"/>
        <v>https://www.google.com/search?tbm=isch&amp;q=15%20G4</v>
      </c>
      <c r="BG845" s="165" t="str">
        <f t="shared" si="596"/>
        <v>C</v>
      </c>
      <c r="BH845" s="65"/>
      <c r="BI845" s="65"/>
      <c r="BJ845" s="65"/>
      <c r="BK845" s="65"/>
      <c r="BL845" s="99"/>
      <c r="BM845" s="99"/>
      <c r="BN845" s="99"/>
    </row>
    <row r="846" spans="1:66" s="51" customFormat="1" ht="15.75" x14ac:dyDescent="0.25">
      <c r="A846" s="634">
        <v>30</v>
      </c>
      <c r="B846" s="635" t="s">
        <v>291</v>
      </c>
      <c r="C846" s="636" t="s">
        <v>1933</v>
      </c>
      <c r="D846" s="637" t="s">
        <v>311</v>
      </c>
      <c r="E846" s="638">
        <v>353.95</v>
      </c>
      <c r="F846" s="639" t="s">
        <v>292</v>
      </c>
      <c r="G846" s="484">
        <v>0</v>
      </c>
      <c r="H846" s="691" t="str">
        <f>IF(G846=0,"",IF(F846="Buy",IF(G846=1,"plant","plants"),IF(F846&gt;0.01,"warranty","Error")))</f>
        <v/>
      </c>
      <c r="I846" s="640">
        <f>IF(H846="free",0,IF(H846="credit",((E846*(F846))*G846*-1),IF(F846="Buy",(E846*G846),((E846*(1-F846))*G846))))</f>
        <v>0</v>
      </c>
      <c r="J846" s="640">
        <f>IF(H846="warranty",0,(I846*(_xlfn.SINGLE(SalesTaxPercentage))))</f>
        <v>0</v>
      </c>
      <c r="K846" s="716">
        <f t="shared" ref="K846" si="619">I846+J846</f>
        <v>0</v>
      </c>
      <c r="L846" s="716"/>
      <c r="M846" s="689" t="str">
        <f ca="1">IF(AND(G846&gt;0,E846=0),"WARNING - no PRICE inserted",IF(H846="free","FREE ~ no charge this plant",IF(H846="credit",CONCATENATE("-$",ROUND(K846*(1-_xlfn.SINGLE(T2GDiscount))*-1,2)," CREDIT after discount"),IF(_xlfn.SINGLE(T2GDiscount)=0,"",IF(G846=0,"",IF(F846="Buy",CONCATENATE("$",ROUND(K846*(1-_xlfn.SINGLE(T2GDiscount)),2)," with ",(_xlfn.SINGLE(T2GDiscount)*100),"% discount"),CONCATENATE("$",ROUND(K846*(1-_xlfn.SINGLE(T2GDiscount)),2)," with ",((_xlfn.SINGLE(T2GDiscount)*100+F846*100)-(_xlfn.SINGLE(T2GDiscount)*100*F846)),IF(F846&gt;0,"% discounts",IF(_xlfn.SINGLE(NoWarrantyDiscount)&gt;0,"% discounts","% discount")))))))))</f>
        <v/>
      </c>
      <c r="N846" s="690"/>
      <c r="O846" s="486"/>
      <c r="P846" s="486"/>
      <c r="Q846" s="486"/>
      <c r="R846" s="486"/>
      <c r="S846" s="486"/>
      <c r="T846" s="102">
        <f t="shared" si="584"/>
        <v>0</v>
      </c>
      <c r="U846" s="78">
        <f>IF(NOT(ISNUMBER(G846)), "", VLOOKUP(A846,'Discount Lookup'!D:E,2,FALSE)*G846)</f>
        <v>0</v>
      </c>
      <c r="V846" s="78">
        <f>IF(NOT(ISNUMBER(G846)), "", VLOOKUP(A846,'Discount Lookup'!G:H,2,FALSE)*G846)</f>
        <v>0</v>
      </c>
      <c r="W846" s="102">
        <f t="shared" si="585"/>
        <v>0</v>
      </c>
      <c r="X846" s="102">
        <f t="shared" si="586"/>
        <v>0</v>
      </c>
      <c r="Y846" s="120" t="b">
        <f t="shared" si="587"/>
        <v>0</v>
      </c>
      <c r="Z846" s="117">
        <f t="shared" si="588"/>
        <v>0</v>
      </c>
      <c r="AA846" s="118"/>
      <c r="AB846" s="118" t="str">
        <f t="shared" si="589"/>
        <v/>
      </c>
      <c r="AC846" s="712" t="str">
        <f>IF(AE846="T2G","no charge",IF(AND(OR(PlanterYesMe="No",PlanterYesMe="N",PlanterYesMe="me"),H846=""),"",IF(H846="credit","NO install",IF(AND(K846="",AE846="me"),"EACH row",IF(AND(K846="images",AE846="me"),"EACH row",IF(D846="","",IF(H846="credit","",IF(AE846="free","re-planting",IF(AE846="me","   not ELP, by",IF(AND(OR(PlanterYesMe="Yes",PlanterYesMe="Y"),G846&gt;0),(VLOOKUP(A846,'Discount Lookup'!J:K,2)*G846*(1-PlanterDiscount)*(1+PlanterDifficultyPercentage)),IF(AE846="ELP",(VLOOKUP(A846,'Discount Lookup'!J:K,2)*G846*(1-PlanterDiscount)*(1+PlanterDifficultyPercentage)),IF(AE846="free","re-planting",IF(G846=0,"",IF(PlanterYesMe="",IF(AE846="me","   not ELP, by",IF(AE846="",IF(G846&gt;0,(VLOOKUP(A846,'Discount Lookup'!J:K,2)*G846*(1-PlanterDiscount)*(1+PlanterDifficultyPercentage)),""),"")),"   not ELP, by"))))))))))))))</f>
        <v/>
      </c>
      <c r="AD846" s="712"/>
      <c r="AE846" s="513" t="str">
        <f t="shared" si="590"/>
        <v/>
      </c>
      <c r="AF846" s="713" t="str">
        <f t="shared" si="591"/>
        <v/>
      </c>
      <c r="AG846" s="713"/>
      <c r="AH846" s="713"/>
      <c r="AI846" s="112">
        <f>IF(H846="credit",0,IF(AE846="free",0,IF(AE846="me",0,IF(G846&gt;0,(VLOOKUP(A846,'Discount Lookup'!J:K,2)*G846),0))))</f>
        <v>0</v>
      </c>
      <c r="AJ846" s="107" t="str">
        <f t="shared" ca="1" si="592"/>
        <v/>
      </c>
      <c r="AK846" s="714" t="str">
        <f t="shared" si="593"/>
        <v/>
      </c>
      <c r="AL846" s="714"/>
      <c r="AM846" s="114" t="str">
        <f t="shared" si="594"/>
        <v/>
      </c>
      <c r="AN846" s="115"/>
      <c r="AO846" s="116"/>
      <c r="AP846" s="116"/>
      <c r="AQ846" s="116"/>
      <c r="AR846" s="116"/>
      <c r="AS846" s="116"/>
      <c r="AT846" s="116"/>
      <c r="AU846" s="116"/>
      <c r="AV846" s="78"/>
      <c r="AW846" s="102"/>
      <c r="AX846" s="78"/>
      <c r="AY846" s="78"/>
      <c r="AZ846" s="78"/>
      <c r="BA846" s="78"/>
      <c r="BB846" s="78"/>
      <c r="BC846" s="78"/>
      <c r="BD846" s="78"/>
      <c r="BE846" s="465"/>
      <c r="BF846" s="165" t="str">
        <f t="shared" si="595"/>
        <v>https://www.google.com/search?tbm=isch&amp;q=30%20G5</v>
      </c>
      <c r="BG846" s="165" t="str">
        <f t="shared" si="596"/>
        <v>C</v>
      </c>
      <c r="BH846" s="65"/>
      <c r="BI846" s="65"/>
      <c r="BJ846" s="65"/>
      <c r="BK846" s="65"/>
      <c r="BL846" s="99"/>
      <c r="BM846" s="99"/>
      <c r="BN846" s="99"/>
    </row>
    <row r="847" spans="1:66" s="51" customFormat="1" ht="15.75" x14ac:dyDescent="0.25">
      <c r="A847" s="634">
        <v>25</v>
      </c>
      <c r="B847" s="635" t="s">
        <v>291</v>
      </c>
      <c r="C847" s="636" t="s">
        <v>1934</v>
      </c>
      <c r="D847" s="637" t="s">
        <v>293</v>
      </c>
      <c r="E847" s="638">
        <v>378.95</v>
      </c>
      <c r="F847" s="639" t="s">
        <v>292</v>
      </c>
      <c r="G847" s="484">
        <v>0</v>
      </c>
      <c r="H847" s="691" t="str">
        <f>IF(G847=0,"",IF(F847="Buy",IF(G847=1,"plant","plants"),IF(F847&gt;0.01,"warranty","Error")))</f>
        <v/>
      </c>
      <c r="I847" s="640">
        <f>IF(H847="free",0,IF(H847="credit",((E847*(F847))*G847*-1),IF(F847="Buy",(E847*G847),((E847*(1-F847))*G847))))</f>
        <v>0</v>
      </c>
      <c r="J847" s="640">
        <f>IF(H847="warranty",0,(I847*(_xlfn.SINGLE(SalesTaxPercentage))))</f>
        <v>0</v>
      </c>
      <c r="K847" s="716">
        <f t="shared" ref="K847" si="620">I847+J847</f>
        <v>0</v>
      </c>
      <c r="L847" s="716"/>
      <c r="M847" s="689" t="str">
        <f ca="1">IF(AND(G847&gt;0,E847=0),"WARNING - no PRICE inserted",IF(H847="free","FREE ~ no charge this plant",IF(H847="credit",CONCATENATE("-$",ROUND(K847*(1-_xlfn.SINGLE(T2GDiscount))*-1,2)," CREDIT after discount"),IF(_xlfn.SINGLE(T2GDiscount)=0,"",IF(G847=0,"",IF(F847="Buy",CONCATENATE("$",ROUND(K847*(1-_xlfn.SINGLE(T2GDiscount)),2)," with ",(_xlfn.SINGLE(T2GDiscount)*100),"% discount"),CONCATENATE("$",ROUND(K847*(1-_xlfn.SINGLE(T2GDiscount)),2)," with ",((_xlfn.SINGLE(T2GDiscount)*100+F847*100)-(_xlfn.SINGLE(T2GDiscount)*100*F847)),IF(F847&gt;0,"% discounts",IF(_xlfn.SINGLE(NoWarrantyDiscount)&gt;0,"% discounts","% discount")))))))))</f>
        <v/>
      </c>
      <c r="N847" s="690"/>
      <c r="O847" s="486"/>
      <c r="P847" s="486"/>
      <c r="Q847" s="486"/>
      <c r="R847" s="486"/>
      <c r="S847" s="486"/>
      <c r="T847" s="102">
        <f t="shared" si="584"/>
        <v>0</v>
      </c>
      <c r="U847" s="78">
        <f>IF(NOT(ISNUMBER(G847)), "", VLOOKUP(A847,'Discount Lookup'!D:E,2,FALSE)*G847)</f>
        <v>0</v>
      </c>
      <c r="V847" s="78">
        <f>IF(NOT(ISNUMBER(G847)), "", VLOOKUP(A847,'Discount Lookup'!G:H,2,FALSE)*G847)</f>
        <v>0</v>
      </c>
      <c r="W847" s="102">
        <f t="shared" si="585"/>
        <v>0</v>
      </c>
      <c r="X847" s="102">
        <f t="shared" si="586"/>
        <v>0</v>
      </c>
      <c r="Y847" s="120" t="b">
        <f t="shared" si="587"/>
        <v>0</v>
      </c>
      <c r="Z847" s="117">
        <f t="shared" si="588"/>
        <v>0</v>
      </c>
      <c r="AA847" s="118"/>
      <c r="AB847" s="118" t="str">
        <f t="shared" si="589"/>
        <v/>
      </c>
      <c r="AC847" s="712" t="str">
        <f>IF(AE847="T2G","no charge",IF(AND(OR(PlanterYesMe="No",PlanterYesMe="N",PlanterYesMe="me"),H847=""),"",IF(H847="credit","NO install",IF(AND(K847="",AE847="me"),"EACH row",IF(AND(K847="images",AE847="me"),"EACH row",IF(D847="","",IF(H847="credit","",IF(AE847="free","re-planting",IF(AE847="me","   not ELP, by",IF(AND(OR(PlanterYesMe="Yes",PlanterYesMe="Y"),G847&gt;0),(VLOOKUP(A847,'Discount Lookup'!J:K,2)*G847*(1-PlanterDiscount)*(1+PlanterDifficultyPercentage)),IF(AE847="ELP",(VLOOKUP(A847,'Discount Lookup'!J:K,2)*G847*(1-PlanterDiscount)*(1+PlanterDifficultyPercentage)),IF(AE847="free","re-planting",IF(G847=0,"",IF(PlanterYesMe="",IF(AE847="me","   not ELP, by",IF(AE847="",IF(G847&gt;0,(VLOOKUP(A847,'Discount Lookup'!J:K,2)*G847*(1-PlanterDiscount)*(1+PlanterDifficultyPercentage)),""),"")),"   not ELP, by"))))))))))))))</f>
        <v/>
      </c>
      <c r="AD847" s="712"/>
      <c r="AE847" s="513" t="str">
        <f t="shared" si="590"/>
        <v/>
      </c>
      <c r="AF847" s="713" t="str">
        <f t="shared" si="591"/>
        <v/>
      </c>
      <c r="AG847" s="713"/>
      <c r="AH847" s="713"/>
      <c r="AI847" s="112">
        <f>IF(H847="credit",0,IF(AE847="free",0,IF(AE847="me",0,IF(G847&gt;0,(VLOOKUP(A847,'Discount Lookup'!J:K,2)*G847),0))))</f>
        <v>0</v>
      </c>
      <c r="AJ847" s="107" t="str">
        <f t="shared" ca="1" si="592"/>
        <v/>
      </c>
      <c r="AK847" s="714" t="str">
        <f t="shared" si="593"/>
        <v/>
      </c>
      <c r="AL847" s="714"/>
      <c r="AM847" s="114" t="str">
        <f t="shared" si="594"/>
        <v/>
      </c>
      <c r="AN847" s="115"/>
      <c r="AO847" s="116"/>
      <c r="AP847" s="116"/>
      <c r="AQ847" s="116"/>
      <c r="AR847" s="116"/>
      <c r="AS847" s="116"/>
      <c r="AT847" s="116"/>
      <c r="AU847" s="116"/>
      <c r="AV847" s="78"/>
      <c r="AW847" s="102"/>
      <c r="AX847" s="78"/>
      <c r="AY847" s="78"/>
      <c r="AZ847" s="78"/>
      <c r="BA847" s="78"/>
      <c r="BB847" s="78"/>
      <c r="BC847" s="78"/>
      <c r="BD847" s="78"/>
      <c r="BE847" s="465"/>
      <c r="BF847" s="165" t="str">
        <f t="shared" si="595"/>
        <v>https://www.google.com/search?tbm=isch&amp;q=25%20G6</v>
      </c>
      <c r="BG847" s="165" t="str">
        <f t="shared" si="596"/>
        <v>C</v>
      </c>
      <c r="BH847" s="65"/>
      <c r="BI847" s="65"/>
      <c r="BJ847" s="65"/>
      <c r="BK847" s="65"/>
      <c r="BL847" s="99"/>
      <c r="BM847" s="99"/>
      <c r="BN847" s="99"/>
    </row>
    <row r="848" spans="1:66" s="51" customFormat="1" ht="17.25" thickBot="1" x14ac:dyDescent="0.3">
      <c r="A848" s="704" t="s">
        <v>5368</v>
      </c>
      <c r="B848" s="642"/>
      <c r="C848" s="710"/>
      <c r="D848" s="643"/>
      <c r="E848" s="643"/>
      <c r="F848" s="644"/>
      <c r="G848" s="645"/>
      <c r="H848" s="646"/>
      <c r="I848" s="647"/>
      <c r="J848" s="648"/>
      <c r="K848" s="649"/>
      <c r="L848" s="650"/>
      <c r="M848" s="650"/>
      <c r="N848" s="644"/>
      <c r="O848" s="644"/>
      <c r="P848" s="644"/>
      <c r="Q848" s="644"/>
      <c r="R848" s="644"/>
      <c r="S848" s="701" t="s">
        <v>5251</v>
      </c>
      <c r="T848" s="102">
        <f t="shared" si="584"/>
        <v>0</v>
      </c>
      <c r="U848" s="78" t="str">
        <f>IF(NOT(ISNUMBER(G848)), "", VLOOKUP(A848,'Discount Lookup'!D:E,2,FALSE)*G848)</f>
        <v/>
      </c>
      <c r="V848" s="78" t="str">
        <f>IF(NOT(ISNUMBER(G848)), "", VLOOKUP(A848,'Discount Lookup'!G:H,2,FALSE)*G848)</f>
        <v/>
      </c>
      <c r="W848" s="102">
        <f t="shared" si="585"/>
        <v>0</v>
      </c>
      <c r="X848" s="102">
        <f t="shared" si="586"/>
        <v>0</v>
      </c>
      <c r="Y848" s="120" t="b">
        <f t="shared" si="587"/>
        <v>0</v>
      </c>
      <c r="Z848" s="117">
        <f t="shared" si="588"/>
        <v>0</v>
      </c>
      <c r="AA848" s="118"/>
      <c r="AB848" s="118" t="str">
        <f t="shared" si="589"/>
        <v/>
      </c>
      <c r="AC848" s="712" t="str">
        <f>IF(AE848="T2G","no charge",IF(AND(OR(PlanterYesMe="No",PlanterYesMe="N",PlanterYesMe="me"),H848=""),"",IF(H848="credit","NO install",IF(AND(K848="",AE848="me"),"EACH row",IF(AND(K848="images",AE848="me"),"EACH row",IF(D848="","",IF(H848="credit","",IF(AE848="free","re-planting",IF(AE848="me","   not ELP, by",IF(AND(OR(PlanterYesMe="Yes",PlanterYesMe="Y"),G848&gt;0),(VLOOKUP(A848,'Discount Lookup'!J:K,2)*G848*(1-PlanterDiscount)*(1+PlanterDifficultyPercentage)),IF(AE848="ELP",(VLOOKUP(A848,'Discount Lookup'!J:K,2)*G848*(1-PlanterDiscount)*(1+PlanterDifficultyPercentage)),IF(AE848="free","re-planting",IF(G848=0,"",IF(PlanterYesMe="",IF(AE848="me","   not ELP, by",IF(AE848="",IF(G848&gt;0,(VLOOKUP(A848,'Discount Lookup'!J:K,2)*G848*(1-PlanterDiscount)*(1+PlanterDifficultyPercentage)),""),"")),"   not ELP, by"))))))))))))))</f>
        <v/>
      </c>
      <c r="AD848" s="712"/>
      <c r="AE848" s="513" t="str">
        <f t="shared" si="590"/>
        <v/>
      </c>
      <c r="AF848" s="713" t="str">
        <f t="shared" si="591"/>
        <v/>
      </c>
      <c r="AG848" s="713"/>
      <c r="AH848" s="713"/>
      <c r="AI848" s="112">
        <f>IF(H848="credit",0,IF(AE848="free",0,IF(AE848="me",0,IF(G848&gt;0,(VLOOKUP(A848,'Discount Lookup'!J:K,2)*G848),0))))</f>
        <v>0</v>
      </c>
      <c r="AJ848" s="107" t="str">
        <f t="shared" ca="1" si="592"/>
        <v/>
      </c>
      <c r="AK848" s="714" t="str">
        <f t="shared" si="593"/>
        <v/>
      </c>
      <c r="AL848" s="714"/>
      <c r="AM848" s="114" t="str">
        <f t="shared" si="594"/>
        <v/>
      </c>
      <c r="AN848" s="115"/>
      <c r="AO848" s="116"/>
      <c r="AP848" s="116"/>
      <c r="AQ848" s="116"/>
      <c r="AR848" s="116"/>
      <c r="AS848" s="116"/>
      <c r="AT848" s="116"/>
      <c r="AU848" s="116"/>
      <c r="AV848" s="78"/>
      <c r="AW848" s="102"/>
      <c r="AX848" s="78"/>
      <c r="AY848" s="78"/>
      <c r="AZ848" s="78"/>
      <c r="BA848" s="78"/>
      <c r="BB848" s="78"/>
      <c r="BC848" s="78"/>
      <c r="BD848" s="78"/>
      <c r="BE848" s="465"/>
      <c r="BF848" s="165" t="str">
        <f t="shared" si="595"/>
        <v>https://www.google.com/search?tbm=isch&amp;q=wet%20sites%F0%9F%92%A7GOOD%2C%20American%20Hornbeam%20is%20a%20very%20durable%2C%20beneficial%20tree.%20Yellow-Orange-Red%20fall%20foliage%20</v>
      </c>
      <c r="BG848" s="165" t="str">
        <f t="shared" si="596"/>
        <v>w</v>
      </c>
      <c r="BH848" s="65"/>
      <c r="BI848" s="65"/>
      <c r="BJ848" s="65"/>
      <c r="BK848" s="65"/>
      <c r="BL848" s="99"/>
      <c r="BM848" s="99"/>
      <c r="BN848" s="99"/>
    </row>
    <row r="849" spans="1:66" s="51" customFormat="1" ht="18" x14ac:dyDescent="0.25">
      <c r="A849" s="623" t="s">
        <v>1935</v>
      </c>
      <c r="B849" s="624"/>
      <c r="C849" s="709"/>
      <c r="D849" s="625" t="s">
        <v>1936</v>
      </c>
      <c r="E849" s="626"/>
      <c r="F849" s="626"/>
      <c r="G849" s="626"/>
      <c r="H849" s="622" t="s">
        <v>325</v>
      </c>
      <c r="I849" s="627" t="s">
        <v>432</v>
      </c>
      <c r="J849" s="628"/>
      <c r="K849" s="628"/>
      <c r="L849" s="629"/>
      <c r="M849" s="700" t="s">
        <v>5249</v>
      </c>
      <c r="N849" s="693" t="str">
        <f>IF(AND(ISTEXT($A849), ISERROR($A849+0)), HYPERLINK($BF849, "Images"), "")</f>
        <v>Images</v>
      </c>
      <c r="O849" s="695" t="s">
        <v>5247</v>
      </c>
      <c r="P849" s="630"/>
      <c r="Q849" s="631"/>
      <c r="R849" s="632"/>
      <c r="S849" s="633" t="s">
        <v>294</v>
      </c>
      <c r="T849" s="102">
        <f t="shared" ref="T849:T915" si="621">E849*G849</f>
        <v>0</v>
      </c>
      <c r="U849" s="78" t="str">
        <f>IF(NOT(ISNUMBER(G849)), "", VLOOKUP(A849,'Discount Lookup'!D:E,2,FALSE)*G849)</f>
        <v/>
      </c>
      <c r="V849" s="78" t="str">
        <f>IF(NOT(ISNUMBER(G849)), "", VLOOKUP(A849,'Discount Lookup'!G:H,2,FALSE)*G849)</f>
        <v/>
      </c>
      <c r="W849" s="102">
        <f t="shared" ref="W849:W915" si="622">IF(H849="credit",0,E849*(SalesTaxPercentage)*G849)</f>
        <v>0</v>
      </c>
      <c r="X849" s="102" t="str">
        <f t="shared" ref="X849:X915" si="623">I849</f>
        <v>Green foliage</v>
      </c>
      <c r="Y849" s="120" t="b">
        <f t="shared" ref="Y849:Y915" si="624">IF(AE849="T2G",0,IF(H849="credit",0,IF(G849&gt;0,IF(AE849="me","",G849))))</f>
        <v>0</v>
      </c>
      <c r="Z849" s="117">
        <f t="shared" ref="Z849:Z915" si="625">IF(H849="credit",G849,0)</f>
        <v>0</v>
      </c>
      <c r="AA849" s="118"/>
      <c r="AB849" s="118" t="str">
        <f t="shared" ref="AB849:AB915" si="626">IF(AE849="T2G","by Trees2Go",IF(H849="credit","CREDIT only ~",IF(AND(K849="",AE849=OR(PlanterYesMe="No",PlanterYesMe="N",PlanterYesMe="me")),"not THIS line⇨",IF(AND(K849="images",AE849="me"),"not THIS line⇨",IF(H849="credit","",IF(G849=0,"",IF(AE849="me","",IF(OR(PlanterYesMe="No",PlanterYesMe="N",PlanterYesMe="me"),"",IF(AE849="free","warranty",IF(OR(PlanterYesMe="yes",PlanterYesMe="y"),"Edison install:","to install:"))))))))))</f>
        <v/>
      </c>
      <c r="AC849" s="712" t="str">
        <f>IF(AE849="T2G","no charge",IF(AND(OR(PlanterYesMe="No",PlanterYesMe="N",PlanterYesMe="me"),H849=""),"",IF(H849="credit","NO install",IF(AND(K849="",AE849="me"),"EACH row",IF(AND(K849="images",AE849="me"),"EACH row",IF(D849="","",IF(H849="credit","",IF(AE849="free","re-planting",IF(AE849="me","   not ELP, by",IF(AND(OR(PlanterYesMe="Yes",PlanterYesMe="Y"),G849&gt;0),(VLOOKUP(A849,'Discount Lookup'!J:K,2)*G849*(1-PlanterDiscount)*(1+PlanterDifficultyPercentage)),IF(AE849="ELP",(VLOOKUP(A849,'Discount Lookup'!J:K,2)*G849*(1-PlanterDiscount)*(1+PlanterDifficultyPercentage)),IF(AE849="free","re-planting",IF(G849=0,"",IF(PlanterYesMe="",IF(AE849="me","   not ELP, by",IF(AE849="",IF(G849&gt;0,(VLOOKUP(A849,'Discount Lookup'!J:K,2)*G849*(1-PlanterDiscount)*(1+PlanterDifficultyPercentage)),""),"")),"   not ELP, by"))))))))))))))</f>
        <v/>
      </c>
      <c r="AD849" s="712"/>
      <c r="AE849" s="513" t="str">
        <f t="shared" ref="AE849:AE915" si="627">IF(H849="credit","",IF(G849=0,"",IF(OR(PlanterYesMe="No",PlanterYesMe="N",PlanterYesMe="me"),"me",IF(H849="warranty","free",IF(OR(PlanterYesMe="yes",PlanterYesMe="y"),"ELP","")))))</f>
        <v/>
      </c>
      <c r="AF849" s="713" t="str">
        <f t="shared" ref="AF849:AF915" si="628">IF(OR(PlanterYesMe="No",PlanterYesMe="N",PlanterYesMe="me"),"",IF(H849="credit","",IF(G849&gt;0,(CONCATENATE((G849)," quantity, ",(A849)," ",B849)),"")))</f>
        <v/>
      </c>
      <c r="AG849" s="713"/>
      <c r="AH849" s="713"/>
      <c r="AI849" s="112">
        <f>IF(H849="credit",0,IF(AE849="free",0,IF(AE849="me",0,IF(G849&gt;0,(VLOOKUP(A849,'Discount Lookup'!J:K,2)*G849),0))))</f>
        <v>0</v>
      </c>
      <c r="AJ849" s="107" t="str">
        <f t="shared" ref="AJ849:AJ915" ca="1" si="629">IF(AND(ISREF(H849),H849="credit"),"",IF(AND(AND(OFFSET(G849,0,0)=0,OFFSET(G849,1,0)&gt;0,ISNUMBER(OFFSET(AC849,1,0)),OFFSET(AC849,1,0)&gt;0),OR(PlanterYesMe="yes",PlanterYesMe="y")),"T2G+ELP=",IF(AND(OFFSET(G849,0,0)=0,OFFSET(G849,1,0)&gt;0,ISNUMBER(OFFSET(AC849,1,0)),OFFSET(AC849,1,0)&gt;0),"if T2G+ELP=",IF(AND(OFFSET(G849,0,0)=0,OFFSET(G849,1,0)&gt;0),"T2G Subtotal",IF(H849="credit","",IF(G849=0,"",IF(AE849="free",(K849*(1-T2GDiscount)),IF(OR(PlanterYesMe="No",PlanterYesMe="N",PlanterYesMe="me"),(K849*(1-T2GDiscount)),IF(OR(AE849="me",AE849="T2G"),(K849*(1-T2GDiscount)),(K849*(1-T2GDiscount))+AC849)))))))))</f>
        <v/>
      </c>
      <c r="AK849" s="714" t="str">
        <f t="shared" ref="AK849:AK915" si="630">IF(H849="credit","",IF(G849=0,"",IF(OR(AE849="me",AE849="T2G"),"  delivery-only",IF(OR(PlanterYesMe="No",PlanterYesMe="N",PlanterYesMe="me"),"  delivery-only",CONCATENATE(" $",ROUND(AJ849/G849,2)," each")))))</f>
        <v/>
      </c>
      <c r="AL849" s="714"/>
      <c r="AM849" s="114" t="str">
        <f t="shared" ref="AM849:AM915" si="631">IF(H849="credit","",IF(AE849="free","      ~ discounts included, no tax or planting fee applies ~",IF(G849=0,"",IF(OR(PlanterYesMe="No",PlanterYesMe="N",PlanterYesMe="me"),CONCATENATE(" $",ROUND(AJ849/G849,2)," per plant, with tax &amp; discount"),IF(OR(AE849="me",AE849="T2G"),CONCATENATE(" $",ROUND(AJ849/G849,2)," per plant, with tax &amp; discount"),CONCATENATE("= $",ROUND((K849*(1-T2GDiscount))/G849,2)," per plant + $",AC849/G849,(" per planting      ~ includes tax &amp; discounts ~")))))))</f>
        <v/>
      </c>
      <c r="AN849" s="115"/>
      <c r="AO849" s="116"/>
      <c r="AP849" s="116"/>
      <c r="AQ849" s="116"/>
      <c r="AR849" s="116"/>
      <c r="AS849" s="116"/>
      <c r="AT849" s="116"/>
      <c r="AU849" s="116"/>
      <c r="AV849" s="78"/>
      <c r="AW849" s="102"/>
      <c r="AX849" s="78"/>
      <c r="AY849" s="78"/>
      <c r="AZ849" s="78"/>
      <c r="BA849" s="78"/>
      <c r="BB849" s="78"/>
      <c r="BC849" s="78"/>
      <c r="BD849" s="78"/>
      <c r="BE849" s="465"/>
      <c r="BF849" s="165" t="str">
        <f t="shared" ref="BF849:BF915" si="632">"https://www.google.com/search?tbm=isch&amp;q=" &amp; _xlfn.ENCODEURL($A849 &amp; " " &amp; $D849)</f>
        <v>https://www.google.com/search?tbm=isch&amp;q=Carpinus%20caroliniana%20%27Aztec%20Fire%27%20Aztec%20Fire%20Hornbeam</v>
      </c>
      <c r="BG849" s="165" t="str">
        <f t="shared" ref="BG849:BG915" si="633">IF(ISTEXT(A849),LEFT(A849,1),BG848)</f>
        <v>C</v>
      </c>
      <c r="BH849" s="65"/>
      <c r="BI849" s="65"/>
      <c r="BJ849" s="65"/>
      <c r="BK849" s="65"/>
      <c r="BL849" s="99"/>
      <c r="BM849" s="99"/>
      <c r="BN849" s="99"/>
    </row>
    <row r="850" spans="1:66" s="51" customFormat="1" ht="15.75" x14ac:dyDescent="0.25">
      <c r="A850" s="634">
        <v>15</v>
      </c>
      <c r="B850" s="635" t="s">
        <v>291</v>
      </c>
      <c r="C850" s="636" t="s">
        <v>1937</v>
      </c>
      <c r="D850" s="637" t="s">
        <v>299</v>
      </c>
      <c r="E850" s="638">
        <v>224.95</v>
      </c>
      <c r="F850" s="639" t="s">
        <v>292</v>
      </c>
      <c r="G850" s="484">
        <v>0</v>
      </c>
      <c r="H850" s="691" t="str">
        <f>IF(G850=0,"",IF(F850="Buy",IF(G850=1,"plant","plants"),IF(F850&gt;0.01,"warranty","Error")))</f>
        <v/>
      </c>
      <c r="I850" s="640">
        <f>IF(H850="free",0,IF(H850="credit",((E850*(F850))*G850*-1),IF(F850="Buy",(E850*G850),((E850*(1-F850))*G850))))</f>
        <v>0</v>
      </c>
      <c r="J850" s="640">
        <f>IF(H850="warranty",0,(I850*(_xlfn.SINGLE(SalesTaxPercentage))))</f>
        <v>0</v>
      </c>
      <c r="K850" s="716">
        <f t="shared" ref="K850" si="634">I850+J850</f>
        <v>0</v>
      </c>
      <c r="L850" s="716"/>
      <c r="M850" s="689" t="str">
        <f ca="1">IF(AND(G850&gt;0,E850=0),"WARNING - no PRICE inserted",IF(H850="free","FREE ~ no charge this plant",IF(H850="credit",CONCATENATE("-$",ROUND(K850*(1-_xlfn.SINGLE(T2GDiscount))*-1,2)," CREDIT after discount"),IF(_xlfn.SINGLE(T2GDiscount)=0,"",IF(G850=0,"",IF(F850="Buy",CONCATENATE("$",ROUND(K850*(1-_xlfn.SINGLE(T2GDiscount)),2)," with ",(_xlfn.SINGLE(T2GDiscount)*100),"% discount"),CONCATENATE("$",ROUND(K850*(1-_xlfn.SINGLE(T2GDiscount)),2)," with ",((_xlfn.SINGLE(T2GDiscount)*100+F850*100)-(_xlfn.SINGLE(T2GDiscount)*100*F850)),IF(F850&gt;0,"% discounts",IF(_xlfn.SINGLE(NoWarrantyDiscount)&gt;0,"% discounts","% discount")))))))))</f>
        <v/>
      </c>
      <c r="N850" s="690"/>
      <c r="O850" s="486"/>
      <c r="P850" s="486"/>
      <c r="Q850" s="486"/>
      <c r="R850" s="486"/>
      <c r="S850" s="486"/>
      <c r="T850" s="102">
        <f t="shared" si="621"/>
        <v>0</v>
      </c>
      <c r="U850" s="78">
        <f>IF(NOT(ISNUMBER(G850)), "", VLOOKUP(A850,'Discount Lookup'!D:E,2,FALSE)*G850)</f>
        <v>0</v>
      </c>
      <c r="V850" s="78">
        <f>IF(NOT(ISNUMBER(G850)), "", VLOOKUP(A850,'Discount Lookup'!G:H,2,FALSE)*G850)</f>
        <v>0</v>
      </c>
      <c r="W850" s="102">
        <f t="shared" si="622"/>
        <v>0</v>
      </c>
      <c r="X850" s="102">
        <f t="shared" si="623"/>
        <v>0</v>
      </c>
      <c r="Y850" s="120" t="b">
        <f t="shared" si="624"/>
        <v>0</v>
      </c>
      <c r="Z850" s="117">
        <f t="shared" si="625"/>
        <v>0</v>
      </c>
      <c r="AA850" s="118"/>
      <c r="AB850" s="118" t="str">
        <f t="shared" si="626"/>
        <v/>
      </c>
      <c r="AC850" s="712" t="str">
        <f>IF(AE850="T2G","no charge",IF(AND(OR(PlanterYesMe="No",PlanterYesMe="N",PlanterYesMe="me"),H850=""),"",IF(H850="credit","NO install",IF(AND(K850="",AE850="me"),"EACH row",IF(AND(K850="images",AE850="me"),"EACH row",IF(D850="","",IF(H850="credit","",IF(AE850="free","re-planting",IF(AE850="me","   not ELP, by",IF(AND(OR(PlanterYesMe="Yes",PlanterYesMe="Y"),G850&gt;0),(VLOOKUP(A850,'Discount Lookup'!J:K,2)*G850*(1-PlanterDiscount)*(1+PlanterDifficultyPercentage)),IF(AE850="ELP",(VLOOKUP(A850,'Discount Lookup'!J:K,2)*G850*(1-PlanterDiscount)*(1+PlanterDifficultyPercentage)),IF(AE850="free","re-planting",IF(G850=0,"",IF(PlanterYesMe="",IF(AE850="me","   not ELP, by",IF(AE850="",IF(G850&gt;0,(VLOOKUP(A850,'Discount Lookup'!J:K,2)*G850*(1-PlanterDiscount)*(1+PlanterDifficultyPercentage)),""),"")),"   not ELP, by"))))))))))))))</f>
        <v/>
      </c>
      <c r="AD850" s="712"/>
      <c r="AE850" s="513" t="str">
        <f t="shared" si="627"/>
        <v/>
      </c>
      <c r="AF850" s="713" t="str">
        <f t="shared" si="628"/>
        <v/>
      </c>
      <c r="AG850" s="713"/>
      <c r="AH850" s="713"/>
      <c r="AI850" s="112">
        <f>IF(H850="credit",0,IF(AE850="free",0,IF(AE850="me",0,IF(G850&gt;0,(VLOOKUP(A850,'Discount Lookup'!J:K,2)*G850),0))))</f>
        <v>0</v>
      </c>
      <c r="AJ850" s="107" t="str">
        <f t="shared" ca="1" si="629"/>
        <v/>
      </c>
      <c r="AK850" s="714" t="str">
        <f t="shared" si="630"/>
        <v/>
      </c>
      <c r="AL850" s="714"/>
      <c r="AM850" s="114" t="str">
        <f t="shared" si="631"/>
        <v/>
      </c>
      <c r="AN850" s="115"/>
      <c r="AO850" s="116"/>
      <c r="AP850" s="116"/>
      <c r="AQ850" s="116"/>
      <c r="AR850" s="116"/>
      <c r="AS850" s="116"/>
      <c r="AT850" s="116"/>
      <c r="AU850" s="116"/>
      <c r="AV850" s="78"/>
      <c r="AW850" s="102"/>
      <c r="AX850" s="78"/>
      <c r="AY850" s="78"/>
      <c r="AZ850" s="78"/>
      <c r="BA850" s="78"/>
      <c r="BB850" s="78"/>
      <c r="BC850" s="78"/>
      <c r="BD850" s="78"/>
      <c r="BE850" s="465"/>
      <c r="BF850" s="165" t="str">
        <f t="shared" si="632"/>
        <v>https://www.google.com/search?tbm=isch&amp;q=15%20G4</v>
      </c>
      <c r="BG850" s="165" t="str">
        <f t="shared" si="633"/>
        <v>C</v>
      </c>
      <c r="BH850" s="65"/>
      <c r="BI850" s="65"/>
      <c r="BJ850" s="65"/>
      <c r="BK850" s="65"/>
      <c r="BL850" s="99"/>
      <c r="BM850" s="99"/>
      <c r="BN850" s="99"/>
    </row>
    <row r="851" spans="1:66" s="51" customFormat="1" ht="17.25" thickBot="1" x14ac:dyDescent="0.3">
      <c r="A851" s="704" t="s">
        <v>5369</v>
      </c>
      <c r="B851" s="642"/>
      <c r="C851" s="710"/>
      <c r="D851" s="643"/>
      <c r="E851" s="643"/>
      <c r="F851" s="644"/>
      <c r="G851" s="645"/>
      <c r="H851" s="646"/>
      <c r="I851" s="647"/>
      <c r="J851" s="648"/>
      <c r="K851" s="649"/>
      <c r="L851" s="650"/>
      <c r="M851" s="650"/>
      <c r="N851" s="644"/>
      <c r="O851" s="644"/>
      <c r="P851" s="644"/>
      <c r="Q851" s="644"/>
      <c r="R851" s="644"/>
      <c r="S851" s="701" t="s">
        <v>5251</v>
      </c>
      <c r="T851" s="102">
        <f t="shared" si="621"/>
        <v>0</v>
      </c>
      <c r="U851" s="78" t="str">
        <f>IF(NOT(ISNUMBER(G851)), "", VLOOKUP(A851,'Discount Lookup'!D:E,2,FALSE)*G851)</f>
        <v/>
      </c>
      <c r="V851" s="78" t="str">
        <f>IF(NOT(ISNUMBER(G851)), "", VLOOKUP(A851,'Discount Lookup'!G:H,2,FALSE)*G851)</f>
        <v/>
      </c>
      <c r="W851" s="102">
        <f t="shared" si="622"/>
        <v>0</v>
      </c>
      <c r="X851" s="102">
        <f t="shared" si="623"/>
        <v>0</v>
      </c>
      <c r="Y851" s="120" t="b">
        <f t="shared" si="624"/>
        <v>0</v>
      </c>
      <c r="Z851" s="117">
        <f t="shared" si="625"/>
        <v>0</v>
      </c>
      <c r="AA851" s="118"/>
      <c r="AB851" s="118" t="str">
        <f t="shared" si="626"/>
        <v/>
      </c>
      <c r="AC851" s="712" t="str">
        <f>IF(AE851="T2G","no charge",IF(AND(OR(PlanterYesMe="No",PlanterYesMe="N",PlanterYesMe="me"),H851=""),"",IF(H851="credit","NO install",IF(AND(K851="",AE851="me"),"EACH row",IF(AND(K851="images",AE851="me"),"EACH row",IF(D851="","",IF(H851="credit","",IF(AE851="free","re-planting",IF(AE851="me","   not ELP, by",IF(AND(OR(PlanterYesMe="Yes",PlanterYesMe="Y"),G851&gt;0),(VLOOKUP(A851,'Discount Lookup'!J:K,2)*G851*(1-PlanterDiscount)*(1+PlanterDifficultyPercentage)),IF(AE851="ELP",(VLOOKUP(A851,'Discount Lookup'!J:K,2)*G851*(1-PlanterDiscount)*(1+PlanterDifficultyPercentage)),IF(AE851="free","re-planting",IF(G851=0,"",IF(PlanterYesMe="",IF(AE851="me","   not ELP, by",IF(AE851="",IF(G851&gt;0,(VLOOKUP(A851,'Discount Lookup'!J:K,2)*G851*(1-PlanterDiscount)*(1+PlanterDifficultyPercentage)),""),"")),"   not ELP, by"))))))))))))))</f>
        <v/>
      </c>
      <c r="AD851" s="712"/>
      <c r="AE851" s="513" t="str">
        <f t="shared" si="627"/>
        <v/>
      </c>
      <c r="AF851" s="713" t="str">
        <f t="shared" si="628"/>
        <v/>
      </c>
      <c r="AG851" s="713"/>
      <c r="AH851" s="713"/>
      <c r="AI851" s="112">
        <f>IF(H851="credit",0,IF(AE851="free",0,IF(AE851="me",0,IF(G851&gt;0,(VLOOKUP(A851,'Discount Lookup'!J:K,2)*G851),0))))</f>
        <v>0</v>
      </c>
      <c r="AJ851" s="107" t="str">
        <f t="shared" ca="1" si="629"/>
        <v/>
      </c>
      <c r="AK851" s="714" t="str">
        <f t="shared" si="630"/>
        <v/>
      </c>
      <c r="AL851" s="714"/>
      <c r="AM851" s="114" t="str">
        <f t="shared" si="631"/>
        <v/>
      </c>
      <c r="AN851" s="115"/>
      <c r="AO851" s="116"/>
      <c r="AP851" s="116"/>
      <c r="AQ851" s="116"/>
      <c r="AR851" s="116"/>
      <c r="AS851" s="116"/>
      <c r="AT851" s="116"/>
      <c r="AU851" s="116"/>
      <c r="AV851" s="78"/>
      <c r="AW851" s="102"/>
      <c r="AX851" s="78"/>
      <c r="AY851" s="78"/>
      <c r="AZ851" s="78"/>
      <c r="BA851" s="78"/>
      <c r="BB851" s="78"/>
      <c r="BC851" s="78"/>
      <c r="BD851" s="78"/>
      <c r="BE851" s="465"/>
      <c r="BF851" s="165" t="str">
        <f t="shared" si="632"/>
        <v>https://www.google.com/search?tbm=isch&amp;q=wet%20sites%F0%9F%92%A7GOOD%2C%20Aztec%20Fire%20named%20for%20it%27s%20vivd%20red%20new%20growth%20and%20vibrant%20red-to-orange%20fall%20foliage%20</v>
      </c>
      <c r="BG851" s="165" t="str">
        <f t="shared" si="633"/>
        <v>w</v>
      </c>
      <c r="BH851" s="65"/>
      <c r="BI851" s="65"/>
      <c r="BJ851" s="65"/>
      <c r="BK851" s="65"/>
      <c r="BL851" s="99"/>
      <c r="BM851" s="99"/>
      <c r="BN851" s="99"/>
    </row>
    <row r="852" spans="1:66" s="51" customFormat="1" ht="18" x14ac:dyDescent="0.25">
      <c r="A852" s="623" t="s">
        <v>1938</v>
      </c>
      <c r="B852" s="624"/>
      <c r="C852" s="709"/>
      <c r="D852" s="625" t="s">
        <v>1939</v>
      </c>
      <c r="E852" s="626"/>
      <c r="F852" s="626"/>
      <c r="G852" s="626"/>
      <c r="H852" s="622" t="s">
        <v>1139</v>
      </c>
      <c r="I852" s="627" t="s">
        <v>431</v>
      </c>
      <c r="J852" s="628"/>
      <c r="K852" s="628"/>
      <c r="L852" s="629"/>
      <c r="M852" s="700" t="s">
        <v>5249</v>
      </c>
      <c r="N852" s="693" t="str">
        <f>IF(AND(ISTEXT($A852), ISERROR($A852+0)), HYPERLINK($BF852, "Images"), "")</f>
        <v>Images</v>
      </c>
      <c r="O852" s="695" t="s">
        <v>5247</v>
      </c>
      <c r="P852" s="630"/>
      <c r="Q852" s="631"/>
      <c r="R852" s="632"/>
      <c r="S852" s="633" t="s">
        <v>294</v>
      </c>
      <c r="T852" s="102">
        <f t="shared" si="621"/>
        <v>0</v>
      </c>
      <c r="U852" s="78" t="str">
        <f>IF(NOT(ISNUMBER(G852)), "", VLOOKUP(A852,'Discount Lookup'!D:E,2,FALSE)*G852)</f>
        <v/>
      </c>
      <c r="V852" s="78" t="str">
        <f>IF(NOT(ISNUMBER(G852)), "", VLOOKUP(A852,'Discount Lookup'!G:H,2,FALSE)*G852)</f>
        <v/>
      </c>
      <c r="W852" s="102">
        <f t="shared" si="622"/>
        <v>0</v>
      </c>
      <c r="X852" s="102" t="str">
        <f t="shared" si="623"/>
        <v>Dark Green foliage</v>
      </c>
      <c r="Y852" s="120" t="b">
        <f t="shared" si="624"/>
        <v>0</v>
      </c>
      <c r="Z852" s="117">
        <f t="shared" si="625"/>
        <v>0</v>
      </c>
      <c r="AA852" s="118"/>
      <c r="AB852" s="118" t="str">
        <f t="shared" si="626"/>
        <v/>
      </c>
      <c r="AC852" s="712" t="str">
        <f>IF(AE852="T2G","no charge",IF(AND(OR(PlanterYesMe="No",PlanterYesMe="N",PlanterYesMe="me"),H852=""),"",IF(H852="credit","NO install",IF(AND(K852="",AE852="me"),"EACH row",IF(AND(K852="images",AE852="me"),"EACH row",IF(D852="","",IF(H852="credit","",IF(AE852="free","re-planting",IF(AE852="me","   not ELP, by",IF(AND(OR(PlanterYesMe="Yes",PlanterYesMe="Y"),G852&gt;0),(VLOOKUP(A852,'Discount Lookup'!J:K,2)*G852*(1-PlanterDiscount)*(1+PlanterDifficultyPercentage)),IF(AE852="ELP",(VLOOKUP(A852,'Discount Lookup'!J:K,2)*G852*(1-PlanterDiscount)*(1+PlanterDifficultyPercentage)),IF(AE852="free","re-planting",IF(G852=0,"",IF(PlanterYesMe="",IF(AE852="me","   not ELP, by",IF(AE852="",IF(G852&gt;0,(VLOOKUP(A852,'Discount Lookup'!J:K,2)*G852*(1-PlanterDiscount)*(1+PlanterDifficultyPercentage)),""),"")),"   not ELP, by"))))))))))))))</f>
        <v/>
      </c>
      <c r="AD852" s="712"/>
      <c r="AE852" s="513" t="str">
        <f t="shared" si="627"/>
        <v/>
      </c>
      <c r="AF852" s="713" t="str">
        <f t="shared" si="628"/>
        <v/>
      </c>
      <c r="AG852" s="713"/>
      <c r="AH852" s="713"/>
      <c r="AI852" s="112">
        <f>IF(H852="credit",0,IF(AE852="free",0,IF(AE852="me",0,IF(G852&gt;0,(VLOOKUP(A852,'Discount Lookup'!J:K,2)*G852),0))))</f>
        <v>0</v>
      </c>
      <c r="AJ852" s="107" t="str">
        <f t="shared" ca="1" si="629"/>
        <v/>
      </c>
      <c r="AK852" s="714" t="str">
        <f t="shared" si="630"/>
        <v/>
      </c>
      <c r="AL852" s="714"/>
      <c r="AM852" s="114" t="str">
        <f t="shared" si="631"/>
        <v/>
      </c>
      <c r="AN852" s="115"/>
      <c r="AO852" s="116"/>
      <c r="AP852" s="116"/>
      <c r="AQ852" s="116"/>
      <c r="AR852" s="116"/>
      <c r="AS852" s="116"/>
      <c r="AT852" s="116"/>
      <c r="AU852" s="116"/>
      <c r="AV852" s="78"/>
      <c r="AW852" s="102"/>
      <c r="AX852" s="78"/>
      <c r="AY852" s="78"/>
      <c r="AZ852" s="78"/>
      <c r="BA852" s="78"/>
      <c r="BB852" s="78"/>
      <c r="BC852" s="78"/>
      <c r="BD852" s="78"/>
      <c r="BE852" s="465"/>
      <c r="BF852" s="165" t="str">
        <f t="shared" si="632"/>
        <v>https://www.google.com/search?tbm=isch&amp;q=Carpinus%20caroliniana%20%27JN%20Select%20A%27%20PP%2329969%20Fire%20King%20Hornbeam</v>
      </c>
      <c r="BG852" s="165" t="str">
        <f t="shared" si="633"/>
        <v>C</v>
      </c>
      <c r="BH852" s="65"/>
      <c r="BI852" s="65"/>
      <c r="BJ852" s="65"/>
      <c r="BK852" s="65"/>
      <c r="BL852" s="99"/>
      <c r="BM852" s="99"/>
      <c r="BN852" s="99"/>
    </row>
    <row r="853" spans="1:66" s="51" customFormat="1" ht="15.75" x14ac:dyDescent="0.25">
      <c r="A853" s="634">
        <v>15</v>
      </c>
      <c r="B853" s="635" t="s">
        <v>291</v>
      </c>
      <c r="C853" s="636" t="s">
        <v>5145</v>
      </c>
      <c r="D853" s="637" t="s">
        <v>299</v>
      </c>
      <c r="E853" s="638">
        <v>217.95</v>
      </c>
      <c r="F853" s="639" t="s">
        <v>292</v>
      </c>
      <c r="G853" s="484">
        <v>0</v>
      </c>
      <c r="H853" s="691" t="str">
        <f>IF(G853=0,"",IF(F853="Buy",IF(G853=1,"plant","plants"),IF(F853&gt;0.01,"warranty","Error")))</f>
        <v/>
      </c>
      <c r="I853" s="640">
        <f>IF(H853="free",0,IF(H853="credit",((E853*(F853))*G853*-1),IF(F853="Buy",(E853*G853),((E853*(1-F853))*G853))))</f>
        <v>0</v>
      </c>
      <c r="J853" s="640">
        <f>IF(H853="warranty",0,(I853*(_xlfn.SINGLE(SalesTaxPercentage))))</f>
        <v>0</v>
      </c>
      <c r="K853" s="716">
        <f t="shared" ref="K853" si="635">I853+J853</f>
        <v>0</v>
      </c>
      <c r="L853" s="716"/>
      <c r="M853" s="689" t="str">
        <f ca="1">IF(AND(G853&gt;0,E853=0),"WARNING - no PRICE inserted",IF(H853="free","FREE ~ no charge this plant",IF(H853="credit",CONCATENATE("-$",ROUND(K853*(1-_xlfn.SINGLE(T2GDiscount))*-1,2)," CREDIT after discount"),IF(_xlfn.SINGLE(T2GDiscount)=0,"",IF(G853=0,"",IF(F853="Buy",CONCATENATE("$",ROUND(K853*(1-_xlfn.SINGLE(T2GDiscount)),2)," with ",(_xlfn.SINGLE(T2GDiscount)*100),"% discount"),CONCATENATE("$",ROUND(K853*(1-_xlfn.SINGLE(T2GDiscount)),2)," with ",((_xlfn.SINGLE(T2GDiscount)*100+F853*100)-(_xlfn.SINGLE(T2GDiscount)*100*F853)),IF(F853&gt;0,"% discounts",IF(_xlfn.SINGLE(NoWarrantyDiscount)&gt;0,"% discounts","% discount")))))))))</f>
        <v/>
      </c>
      <c r="N853" s="690"/>
      <c r="O853" s="486"/>
      <c r="P853" s="486"/>
      <c r="Q853" s="486"/>
      <c r="R853" s="486"/>
      <c r="S853" s="486"/>
      <c r="T853" s="102">
        <f t="shared" si="621"/>
        <v>0</v>
      </c>
      <c r="U853" s="78">
        <f>IF(NOT(ISNUMBER(G853)), "", VLOOKUP(A853,'Discount Lookup'!D:E,2,FALSE)*G853)</f>
        <v>0</v>
      </c>
      <c r="V853" s="78">
        <f>IF(NOT(ISNUMBER(G853)), "", VLOOKUP(A853,'Discount Lookup'!G:H,2,FALSE)*G853)</f>
        <v>0</v>
      </c>
      <c r="W853" s="102">
        <f t="shared" si="622"/>
        <v>0</v>
      </c>
      <c r="X853" s="102">
        <f t="shared" si="623"/>
        <v>0</v>
      </c>
      <c r="Y853" s="120" t="b">
        <f t="shared" si="624"/>
        <v>0</v>
      </c>
      <c r="Z853" s="117">
        <f t="shared" si="625"/>
        <v>0</v>
      </c>
      <c r="AA853" s="118"/>
      <c r="AB853" s="118" t="str">
        <f t="shared" si="626"/>
        <v/>
      </c>
      <c r="AC853" s="712" t="str">
        <f>IF(AE853="T2G","no charge",IF(AND(OR(PlanterYesMe="No",PlanterYesMe="N",PlanterYesMe="me"),H853=""),"",IF(H853="credit","NO install",IF(AND(K853="",AE853="me"),"EACH row",IF(AND(K853="images",AE853="me"),"EACH row",IF(D853="","",IF(H853="credit","",IF(AE853="free","re-planting",IF(AE853="me","   not ELP, by",IF(AND(OR(PlanterYesMe="Yes",PlanterYesMe="Y"),G853&gt;0),(VLOOKUP(A853,'Discount Lookup'!J:K,2)*G853*(1-PlanterDiscount)*(1+PlanterDifficultyPercentage)),IF(AE853="ELP",(VLOOKUP(A853,'Discount Lookup'!J:K,2)*G853*(1-PlanterDiscount)*(1+PlanterDifficultyPercentage)),IF(AE853="free","re-planting",IF(G853=0,"",IF(PlanterYesMe="",IF(AE853="me","   not ELP, by",IF(AE853="",IF(G853&gt;0,(VLOOKUP(A853,'Discount Lookup'!J:K,2)*G853*(1-PlanterDiscount)*(1+PlanterDifficultyPercentage)),""),"")),"   not ELP, by"))))))))))))))</f>
        <v/>
      </c>
      <c r="AD853" s="712"/>
      <c r="AE853" s="513" t="str">
        <f t="shared" si="627"/>
        <v/>
      </c>
      <c r="AF853" s="713" t="str">
        <f t="shared" si="628"/>
        <v/>
      </c>
      <c r="AG853" s="713"/>
      <c r="AH853" s="713"/>
      <c r="AI853" s="112">
        <f>IF(H853="credit",0,IF(AE853="free",0,IF(AE853="me",0,IF(G853&gt;0,(VLOOKUP(A853,'Discount Lookup'!J:K,2)*G853),0))))</f>
        <v>0</v>
      </c>
      <c r="AJ853" s="107" t="str">
        <f t="shared" ca="1" si="629"/>
        <v/>
      </c>
      <c r="AK853" s="714" t="str">
        <f t="shared" si="630"/>
        <v/>
      </c>
      <c r="AL853" s="714"/>
      <c r="AM853" s="114" t="str">
        <f t="shared" si="631"/>
        <v/>
      </c>
      <c r="AN853" s="115"/>
      <c r="AO853" s="116"/>
      <c r="AP853" s="116"/>
      <c r="AQ853" s="116"/>
      <c r="AR853" s="116"/>
      <c r="AS853" s="116"/>
      <c r="AT853" s="116"/>
      <c r="AU853" s="116"/>
      <c r="AV853" s="78"/>
      <c r="AW853" s="102"/>
      <c r="AX853" s="78"/>
      <c r="AY853" s="78"/>
      <c r="AZ853" s="78"/>
      <c r="BA853" s="78"/>
      <c r="BB853" s="78"/>
      <c r="BC853" s="78"/>
      <c r="BD853" s="78"/>
      <c r="BE853" s="465"/>
      <c r="BF853" s="165" t="str">
        <f t="shared" si="632"/>
        <v>https://www.google.com/search?tbm=isch&amp;q=15%20G4</v>
      </c>
      <c r="BG853" s="165" t="str">
        <f t="shared" si="633"/>
        <v>C</v>
      </c>
      <c r="BH853" s="65"/>
      <c r="BI853" s="65"/>
      <c r="BJ853" s="65"/>
      <c r="BK853" s="65"/>
      <c r="BL853" s="99"/>
      <c r="BM853" s="99"/>
      <c r="BN853" s="99"/>
    </row>
    <row r="854" spans="1:66" s="51" customFormat="1" ht="16.5" x14ac:dyDescent="0.25">
      <c r="A854" s="704" t="s">
        <v>5370</v>
      </c>
      <c r="B854" s="642"/>
      <c r="C854" s="710"/>
      <c r="D854" s="643"/>
      <c r="E854" s="643"/>
      <c r="F854" s="644"/>
      <c r="G854" s="645"/>
      <c r="H854" s="646"/>
      <c r="I854" s="647"/>
      <c r="J854" s="648"/>
      <c r="K854" s="649"/>
      <c r="L854" s="650"/>
      <c r="M854" s="650"/>
      <c r="N854" s="644"/>
      <c r="O854" s="644"/>
      <c r="P854" s="644"/>
      <c r="Q854" s="644"/>
      <c r="R854" s="644"/>
      <c r="S854" s="701" t="s">
        <v>5251</v>
      </c>
      <c r="T854" s="102">
        <f t="shared" si="621"/>
        <v>0</v>
      </c>
      <c r="U854" s="78" t="str">
        <f>IF(NOT(ISNUMBER(G854)), "", VLOOKUP(A854,'Discount Lookup'!D:E,2,FALSE)*G854)</f>
        <v/>
      </c>
      <c r="V854" s="78" t="str">
        <f>IF(NOT(ISNUMBER(G854)), "", VLOOKUP(A854,'Discount Lookup'!G:H,2,FALSE)*G854)</f>
        <v/>
      </c>
      <c r="W854" s="102">
        <f t="shared" si="622"/>
        <v>0</v>
      </c>
      <c r="X854" s="102">
        <f t="shared" si="623"/>
        <v>0</v>
      </c>
      <c r="Y854" s="120" t="b">
        <f t="shared" si="624"/>
        <v>0</v>
      </c>
      <c r="Z854" s="117">
        <f t="shared" si="625"/>
        <v>0</v>
      </c>
      <c r="AA854" s="118"/>
      <c r="AB854" s="118" t="str">
        <f t="shared" si="626"/>
        <v/>
      </c>
      <c r="AC854" s="712" t="str">
        <f>IF(AE854="T2G","no charge",IF(AND(OR(PlanterYesMe="No",PlanterYesMe="N",PlanterYesMe="me"),H854=""),"",IF(H854="credit","NO install",IF(AND(K854="",AE854="me"),"EACH row",IF(AND(K854="images",AE854="me"),"EACH row",IF(D854="","",IF(H854="credit","",IF(AE854="free","re-planting",IF(AE854="me","   not ELP, by",IF(AND(OR(PlanterYesMe="Yes",PlanterYesMe="Y"),G854&gt;0),(VLOOKUP(A854,'Discount Lookup'!J:K,2)*G854*(1-PlanterDiscount)*(1+PlanterDifficultyPercentage)),IF(AE854="ELP",(VLOOKUP(A854,'Discount Lookup'!J:K,2)*G854*(1-PlanterDiscount)*(1+PlanterDifficultyPercentage)),IF(AE854="free","re-planting",IF(G854=0,"",IF(PlanterYesMe="",IF(AE854="me","   not ELP, by",IF(AE854="",IF(G854&gt;0,(VLOOKUP(A854,'Discount Lookup'!J:K,2)*G854*(1-PlanterDiscount)*(1+PlanterDifficultyPercentage)),""),"")),"   not ELP, by"))))))))))))))</f>
        <v/>
      </c>
      <c r="AD854" s="712"/>
      <c r="AE854" s="513" t="str">
        <f t="shared" si="627"/>
        <v/>
      </c>
      <c r="AF854" s="713" t="str">
        <f t="shared" si="628"/>
        <v/>
      </c>
      <c r="AG854" s="713"/>
      <c r="AH854" s="713"/>
      <c r="AI854" s="112">
        <f>IF(H854="credit",0,IF(AE854="free",0,IF(AE854="me",0,IF(G854&gt;0,(VLOOKUP(A854,'Discount Lookup'!J:K,2)*G854),0))))</f>
        <v>0</v>
      </c>
      <c r="AJ854" s="107" t="str">
        <f t="shared" ca="1" si="629"/>
        <v/>
      </c>
      <c r="AK854" s="714" t="str">
        <f t="shared" si="630"/>
        <v/>
      </c>
      <c r="AL854" s="714"/>
      <c r="AM854" s="114" t="str">
        <f t="shared" si="631"/>
        <v/>
      </c>
      <c r="AN854" s="115"/>
      <c r="AO854" s="116"/>
      <c r="AP854" s="116"/>
      <c r="AQ854" s="116"/>
      <c r="AR854" s="116"/>
      <c r="AS854" s="116"/>
      <c r="AT854" s="116"/>
      <c r="AU854" s="116"/>
      <c r="AV854" s="78"/>
      <c r="AW854" s="102"/>
      <c r="AX854" s="78"/>
      <c r="AY854" s="78"/>
      <c r="AZ854" s="78"/>
      <c r="BA854" s="78"/>
      <c r="BB854" s="78"/>
      <c r="BC854" s="78"/>
      <c r="BD854" s="78"/>
      <c r="BE854" s="465"/>
      <c r="BF854" s="165" t="str">
        <f t="shared" si="632"/>
        <v>https://www.google.com/search?tbm=isch&amp;q=wet%20sites%F0%9F%92%A7GOOD%2C%20Fire%20King%20named%20for%20exceptionally%20brilliant%20Fiery%20Orange%20to%20Deep%20Red%20fall%20foliage.Great%20cold%20resistance%20</v>
      </c>
      <c r="BG854" s="165" t="str">
        <f t="shared" si="633"/>
        <v>w</v>
      </c>
      <c r="BH854" s="65"/>
      <c r="BI854" s="65"/>
      <c r="BJ854" s="65"/>
      <c r="BK854" s="65"/>
      <c r="BL854" s="99"/>
      <c r="BM854" s="99"/>
      <c r="BN854" s="99"/>
    </row>
    <row r="855" spans="1:66" s="51" customFormat="1" ht="19.5" thickBot="1" x14ac:dyDescent="0.3">
      <c r="A855" s="686" t="s">
        <v>381</v>
      </c>
      <c r="B855" s="73"/>
      <c r="C855" s="708"/>
      <c r="D855" s="73"/>
      <c r="E855" s="73"/>
      <c r="F855" s="496"/>
      <c r="G855" s="73"/>
      <c r="H855" s="73"/>
      <c r="I855" s="73"/>
      <c r="J855" s="497" t="s">
        <v>357</v>
      </c>
      <c r="K855" s="498"/>
      <c r="L855" s="562"/>
      <c r="M855" s="73"/>
      <c r="N855"/>
      <c r="O855"/>
      <c r="P855"/>
      <c r="Q855"/>
      <c r="R855"/>
      <c r="S855"/>
      <c r="T855" s="102">
        <f t="shared" si="621"/>
        <v>0</v>
      </c>
      <c r="U855" s="78" t="str">
        <f>IF(NOT(ISNUMBER(G855)), "", VLOOKUP(A855,'Discount Lookup'!D:E,2,FALSE)*G855)</f>
        <v/>
      </c>
      <c r="V855" s="78" t="str">
        <f>IF(NOT(ISNUMBER(G855)), "", VLOOKUP(A855,'Discount Lookup'!G:H,2,FALSE)*G855)</f>
        <v/>
      </c>
      <c r="W855" s="102">
        <f t="shared" si="622"/>
        <v>0</v>
      </c>
      <c r="X855" s="102">
        <f t="shared" si="623"/>
        <v>0</v>
      </c>
      <c r="Y855" s="120" t="b">
        <f t="shared" si="624"/>
        <v>0</v>
      </c>
      <c r="Z855" s="117">
        <f t="shared" si="625"/>
        <v>0</v>
      </c>
      <c r="AA855" s="118"/>
      <c r="AB855" s="118" t="str">
        <f t="shared" si="626"/>
        <v/>
      </c>
      <c r="AC855" s="712" t="str">
        <f>IF(AE855="T2G","no charge",IF(AND(OR(PlanterYesMe="No",PlanterYesMe="N",PlanterYesMe="me"),H855=""),"",IF(H855="credit","NO install",IF(AND(K855="",AE855="me"),"EACH row",IF(AND(K855="images",AE855="me"),"EACH row",IF(D855="","",IF(H855="credit","",IF(AE855="free","re-planting",IF(AE855="me","   not ELP, by",IF(AND(OR(PlanterYesMe="Yes",PlanterYesMe="Y"),G855&gt;0),(VLOOKUP(A855,'Discount Lookup'!J:K,2)*G855*(1-PlanterDiscount)*(1+PlanterDifficultyPercentage)),IF(AE855="ELP",(VLOOKUP(A855,'Discount Lookup'!J:K,2)*G855*(1-PlanterDiscount)*(1+PlanterDifficultyPercentage)),IF(AE855="free","re-planting",IF(G855=0,"",IF(PlanterYesMe="",IF(AE855="me","   not ELP, by",IF(AE855="",IF(G855&gt;0,(VLOOKUP(A855,'Discount Lookup'!J:K,2)*G855*(1-PlanterDiscount)*(1+PlanterDifficultyPercentage)),""),"")),"   not ELP, by"))))))))))))))</f>
        <v/>
      </c>
      <c r="AD855" s="712"/>
      <c r="AE855" s="513" t="str">
        <f t="shared" si="627"/>
        <v/>
      </c>
      <c r="AF855" s="713" t="str">
        <f t="shared" si="628"/>
        <v/>
      </c>
      <c r="AG855" s="713"/>
      <c r="AH855" s="713"/>
      <c r="AI855" s="112">
        <f>IF(H855="credit",0,IF(AE855="free",0,IF(AE855="me",0,IF(G855&gt;0,(VLOOKUP(A855,'Discount Lookup'!J:K,2)*G855),0))))</f>
        <v>0</v>
      </c>
      <c r="AJ855" s="107" t="str">
        <f t="shared" ca="1" si="629"/>
        <v/>
      </c>
      <c r="AK855" s="714" t="str">
        <f t="shared" si="630"/>
        <v/>
      </c>
      <c r="AL855" s="714"/>
      <c r="AM855" s="114" t="str">
        <f t="shared" si="631"/>
        <v/>
      </c>
      <c r="AN855" s="115"/>
      <c r="AO855" s="116"/>
      <c r="AP855" s="116"/>
      <c r="AQ855" s="116"/>
      <c r="AR855" s="116"/>
      <c r="AS855" s="116"/>
      <c r="AT855" s="116"/>
      <c r="AU855" s="116"/>
      <c r="AV855" s="78"/>
      <c r="AW855" s="102"/>
      <c r="AX855" s="78"/>
      <c r="AY855" s="78"/>
      <c r="AZ855" s="78"/>
      <c r="BA855" s="78"/>
      <c r="BB855" s="78"/>
      <c r="BC855" s="78"/>
      <c r="BD855" s="78"/>
      <c r="BE855" s="465"/>
      <c r="BF855" s="165" t="str">
        <f t="shared" si="632"/>
        <v>https://www.google.com/search?tbm=isch&amp;q=Caryopteris%20%3D%20Bluebeard%20</v>
      </c>
      <c r="BG855" s="165" t="str">
        <f t="shared" si="633"/>
        <v>C</v>
      </c>
      <c r="BH855" s="65"/>
      <c r="BI855" s="65"/>
      <c r="BJ855" s="65"/>
      <c r="BK855" s="65"/>
      <c r="BL855" s="99"/>
      <c r="BM855" s="99"/>
      <c r="BN855" s="99"/>
    </row>
    <row r="856" spans="1:66" s="51" customFormat="1" ht="18" x14ac:dyDescent="0.25">
      <c r="A856" s="623" t="s">
        <v>1940</v>
      </c>
      <c r="B856" s="624"/>
      <c r="C856" s="709"/>
      <c r="D856" s="625" t="s">
        <v>5620</v>
      </c>
      <c r="E856" s="626"/>
      <c r="F856" s="626"/>
      <c r="G856" s="626"/>
      <c r="H856" s="622" t="s">
        <v>1439</v>
      </c>
      <c r="I856" s="627" t="s">
        <v>1941</v>
      </c>
      <c r="J856" s="628"/>
      <c r="K856" s="628"/>
      <c r="L856" s="629"/>
      <c r="M856" s="700" t="s">
        <v>5241</v>
      </c>
      <c r="N856" s="693" t="str">
        <f>IF(AND(ISTEXT($A856), ISERROR($A856+0)), HYPERLINK($BF856, "Images"), "")</f>
        <v>Images</v>
      </c>
      <c r="O856" s="695" t="s">
        <v>5244</v>
      </c>
      <c r="P856" s="630"/>
      <c r="Q856" s="631"/>
      <c r="R856" s="632"/>
      <c r="S856" s="633"/>
      <c r="T856" s="102">
        <f t="shared" si="621"/>
        <v>0</v>
      </c>
      <c r="U856" s="78" t="str">
        <f>IF(NOT(ISNUMBER(G856)), "", VLOOKUP(A856,'Discount Lookup'!D:E,2,FALSE)*G856)</f>
        <v/>
      </c>
      <c r="V856" s="78" t="str">
        <f>IF(NOT(ISNUMBER(G856)), "", VLOOKUP(A856,'Discount Lookup'!G:H,2,FALSE)*G856)</f>
        <v/>
      </c>
      <c r="W856" s="102">
        <f t="shared" si="622"/>
        <v>0</v>
      </c>
      <c r="X856" s="102" t="str">
        <f t="shared" si="623"/>
        <v>Sapphire Blue bloom</v>
      </c>
      <c r="Y856" s="120" t="b">
        <f t="shared" si="624"/>
        <v>0</v>
      </c>
      <c r="Z856" s="117">
        <f t="shared" si="625"/>
        <v>0</v>
      </c>
      <c r="AA856" s="118"/>
      <c r="AB856" s="118" t="str">
        <f t="shared" si="626"/>
        <v/>
      </c>
      <c r="AC856" s="712" t="str">
        <f>IF(AE856="T2G","no charge",IF(AND(OR(PlanterYesMe="No",PlanterYesMe="N",PlanterYesMe="me"),H856=""),"",IF(H856="credit","NO install",IF(AND(K856="",AE856="me"),"EACH row",IF(AND(K856="images",AE856="me"),"EACH row",IF(D856="","",IF(H856="credit","",IF(AE856="free","re-planting",IF(AE856="me","   not ELP, by",IF(AND(OR(PlanterYesMe="Yes",PlanterYesMe="Y"),G856&gt;0),(VLOOKUP(A856,'Discount Lookup'!J:K,2)*G856*(1-PlanterDiscount)*(1+PlanterDifficultyPercentage)),IF(AE856="ELP",(VLOOKUP(A856,'Discount Lookup'!J:K,2)*G856*(1-PlanterDiscount)*(1+PlanterDifficultyPercentage)),IF(AE856="free","re-planting",IF(G856=0,"",IF(PlanterYesMe="",IF(AE856="me","   not ELP, by",IF(AE856="",IF(G856&gt;0,(VLOOKUP(A856,'Discount Lookup'!J:K,2)*G856*(1-PlanterDiscount)*(1+PlanterDifficultyPercentage)),""),"")),"   not ELP, by"))))))))))))))</f>
        <v/>
      </c>
      <c r="AD856" s="712"/>
      <c r="AE856" s="513" t="str">
        <f t="shared" si="627"/>
        <v/>
      </c>
      <c r="AF856" s="713" t="str">
        <f t="shared" si="628"/>
        <v/>
      </c>
      <c r="AG856" s="713"/>
      <c r="AH856" s="713"/>
      <c r="AI856" s="112">
        <f>IF(H856="credit",0,IF(AE856="free",0,IF(AE856="me",0,IF(G856&gt;0,(VLOOKUP(A856,'Discount Lookup'!J:K,2)*G856),0))))</f>
        <v>0</v>
      </c>
      <c r="AJ856" s="107" t="str">
        <f t="shared" ca="1" si="629"/>
        <v/>
      </c>
      <c r="AK856" s="714" t="str">
        <f t="shared" si="630"/>
        <v/>
      </c>
      <c r="AL856" s="714"/>
      <c r="AM856" s="114" t="str">
        <f t="shared" si="631"/>
        <v/>
      </c>
      <c r="AN856" s="115"/>
      <c r="AO856" s="116"/>
      <c r="AP856" s="116"/>
      <c r="AQ856" s="116"/>
      <c r="AR856" s="116"/>
      <c r="AS856" s="116"/>
      <c r="AT856" s="116"/>
      <c r="AU856" s="116"/>
      <c r="AV856" s="78"/>
      <c r="AW856" s="102"/>
      <c r="AX856" s="78"/>
      <c r="AY856" s="78"/>
      <c r="AZ856" s="78"/>
      <c r="BA856" s="78"/>
      <c r="BB856" s="78"/>
      <c r="BC856" s="78"/>
      <c r="BD856" s="78"/>
      <c r="BE856" s="465"/>
      <c r="BF856" s="165" t="str">
        <f t="shared" si="632"/>
        <v>https://www.google.com/search?tbm=isch&amp;q=Caryopteris%20x%20clandonensis%20%27Bluesurf%27%20Sapphire%20Surf%E2%84%A2%20Bluebeard</v>
      </c>
      <c r="BG856" s="165" t="str">
        <f t="shared" si="633"/>
        <v>C</v>
      </c>
      <c r="BH856" s="65"/>
      <c r="BI856" s="65"/>
      <c r="BJ856" s="65"/>
      <c r="BK856" s="65"/>
      <c r="BL856" s="99"/>
      <c r="BM856" s="99"/>
      <c r="BN856" s="99"/>
    </row>
    <row r="857" spans="1:66" s="51" customFormat="1" ht="15.75" x14ac:dyDescent="0.25">
      <c r="A857" s="634">
        <v>3</v>
      </c>
      <c r="B857" s="635" t="s">
        <v>291</v>
      </c>
      <c r="C857" s="636" t="s">
        <v>4584</v>
      </c>
      <c r="D857" s="637" t="s">
        <v>329</v>
      </c>
      <c r="E857" s="638">
        <v>33.950000000000003</v>
      </c>
      <c r="F857" s="639" t="s">
        <v>292</v>
      </c>
      <c r="G857" s="484">
        <v>0</v>
      </c>
      <c r="H857" s="691" t="str">
        <f>IF(G857=0,"",IF(F857="Buy",IF(G857=1,"plant","plants"),IF(F857&gt;0.01,"warranty","Error")))</f>
        <v/>
      </c>
      <c r="I857" s="640">
        <f>IF(H857="free",0,IF(H857="credit",((E857*(F857))*G857*-1),IF(F857="Buy",(E857*G857),((E857*(1-F857))*G857))))</f>
        <v>0</v>
      </c>
      <c r="J857" s="640">
        <f>IF(H857="warranty",0,(I857*(_xlfn.SINGLE(SalesTaxPercentage))))</f>
        <v>0</v>
      </c>
      <c r="K857" s="716">
        <f t="shared" ref="K857" si="636">I857+J857</f>
        <v>0</v>
      </c>
      <c r="L857" s="716"/>
      <c r="M857" s="689" t="str">
        <f ca="1">IF(AND(G857&gt;0,E857=0),"WARNING - no PRICE inserted",IF(H857="free","FREE ~ no charge this plant",IF(H857="credit",CONCATENATE("-$",ROUND(K857*(1-_xlfn.SINGLE(T2GDiscount))*-1,2)," CREDIT after discount"),IF(_xlfn.SINGLE(T2GDiscount)=0,"",IF(G857=0,"",IF(F857="Buy",CONCATENATE("$",ROUND(K857*(1-_xlfn.SINGLE(T2GDiscount)),2)," with ",(_xlfn.SINGLE(T2GDiscount)*100),"% discount"),CONCATENATE("$",ROUND(K857*(1-_xlfn.SINGLE(T2GDiscount)),2)," with ",((_xlfn.SINGLE(T2GDiscount)*100+F857*100)-(_xlfn.SINGLE(T2GDiscount)*100*F857)),IF(F857&gt;0,"% discounts",IF(_xlfn.SINGLE(NoWarrantyDiscount)&gt;0,"% discounts","% discount")))))))))</f>
        <v/>
      </c>
      <c r="N857" s="690"/>
      <c r="O857" s="486"/>
      <c r="P857" s="486"/>
      <c r="Q857" s="486"/>
      <c r="R857" s="486"/>
      <c r="S857" s="486"/>
      <c r="T857" s="102">
        <f t="shared" si="621"/>
        <v>0</v>
      </c>
      <c r="U857" s="78">
        <f>IF(NOT(ISNUMBER(G857)), "", VLOOKUP(A857,'Discount Lookup'!D:E,2,FALSE)*G857)</f>
        <v>0</v>
      </c>
      <c r="V857" s="78">
        <f>IF(NOT(ISNUMBER(G857)), "", VLOOKUP(A857,'Discount Lookup'!G:H,2,FALSE)*G857)</f>
        <v>0</v>
      </c>
      <c r="W857" s="102">
        <f t="shared" si="622"/>
        <v>0</v>
      </c>
      <c r="X857" s="102">
        <f t="shared" si="623"/>
        <v>0</v>
      </c>
      <c r="Y857" s="120" t="b">
        <f t="shared" si="624"/>
        <v>0</v>
      </c>
      <c r="Z857" s="117">
        <f t="shared" si="625"/>
        <v>0</v>
      </c>
      <c r="AA857" s="118"/>
      <c r="AB857" s="118" t="str">
        <f t="shared" si="626"/>
        <v/>
      </c>
      <c r="AC857" s="712" t="str">
        <f>IF(AE857="T2G","no charge",IF(AND(OR(PlanterYesMe="No",PlanterYesMe="N",PlanterYesMe="me"),H857=""),"",IF(H857="credit","NO install",IF(AND(K857="",AE857="me"),"EACH row",IF(AND(K857="images",AE857="me"),"EACH row",IF(D857="","",IF(H857="credit","",IF(AE857="free","re-planting",IF(AE857="me","   not ELP, by",IF(AND(OR(PlanterYesMe="Yes",PlanterYesMe="Y"),G857&gt;0),(VLOOKUP(A857,'Discount Lookup'!J:K,2)*G857*(1-PlanterDiscount)*(1+PlanterDifficultyPercentage)),IF(AE857="ELP",(VLOOKUP(A857,'Discount Lookup'!J:K,2)*G857*(1-PlanterDiscount)*(1+PlanterDifficultyPercentage)),IF(AE857="free","re-planting",IF(G857=0,"",IF(PlanterYesMe="",IF(AE857="me","   not ELP, by",IF(AE857="",IF(G857&gt;0,(VLOOKUP(A857,'Discount Lookup'!J:K,2)*G857*(1-PlanterDiscount)*(1+PlanterDifficultyPercentage)),""),"")),"   not ELP, by"))))))))))))))</f>
        <v/>
      </c>
      <c r="AD857" s="712"/>
      <c r="AE857" s="513" t="str">
        <f t="shared" si="627"/>
        <v/>
      </c>
      <c r="AF857" s="713" t="str">
        <f t="shared" si="628"/>
        <v/>
      </c>
      <c r="AG857" s="713"/>
      <c r="AH857" s="713"/>
      <c r="AI857" s="112">
        <f>IF(H857="credit",0,IF(AE857="free",0,IF(AE857="me",0,IF(G857&gt;0,(VLOOKUP(A857,'Discount Lookup'!J:K,2)*G857),0))))</f>
        <v>0</v>
      </c>
      <c r="AJ857" s="107" t="str">
        <f t="shared" ca="1" si="629"/>
        <v/>
      </c>
      <c r="AK857" s="714" t="str">
        <f t="shared" si="630"/>
        <v/>
      </c>
      <c r="AL857" s="714"/>
      <c r="AM857" s="114" t="str">
        <f t="shared" si="631"/>
        <v/>
      </c>
      <c r="AN857" s="115"/>
      <c r="AO857" s="116"/>
      <c r="AP857" s="116"/>
      <c r="AQ857" s="116"/>
      <c r="AR857" s="116"/>
      <c r="AS857" s="116"/>
      <c r="AT857" s="116"/>
      <c r="AU857" s="116"/>
      <c r="AV857" s="78"/>
      <c r="AW857" s="102"/>
      <c r="AX857" s="78"/>
      <c r="AY857" s="78"/>
      <c r="AZ857" s="78"/>
      <c r="BA857" s="78"/>
      <c r="BB857" s="78"/>
      <c r="BC857" s="78"/>
      <c r="BD857" s="78"/>
      <c r="BE857" s="465"/>
      <c r="BF857" s="165" t="str">
        <f t="shared" si="632"/>
        <v>https://www.google.com/search?tbm=isch&amp;q=3%20G2</v>
      </c>
      <c r="BG857" s="165" t="str">
        <f t="shared" si="633"/>
        <v>C</v>
      </c>
      <c r="BH857" s="65"/>
      <c r="BI857" s="65"/>
      <c r="BJ857" s="65"/>
      <c r="BK857" s="65"/>
      <c r="BL857" s="99"/>
      <c r="BM857" s="99"/>
      <c r="BN857" s="99"/>
    </row>
    <row r="858" spans="1:66" s="51" customFormat="1" ht="16.5" x14ac:dyDescent="0.25">
      <c r="A858" s="641" t="s">
        <v>4691</v>
      </c>
      <c r="B858" s="642"/>
      <c r="C858" s="710"/>
      <c r="D858" s="643"/>
      <c r="E858" s="643"/>
      <c r="F858" s="644"/>
      <c r="G858" s="645"/>
      <c r="H858" s="646"/>
      <c r="I858" s="647"/>
      <c r="J858" s="648"/>
      <c r="K858" s="649"/>
      <c r="L858" s="650"/>
      <c r="M858" s="650"/>
      <c r="N858" s="644"/>
      <c r="O858" s="644"/>
      <c r="P858" s="644"/>
      <c r="Q858" s="644"/>
      <c r="R858" s="644"/>
      <c r="S858" s="651"/>
      <c r="T858" s="102">
        <f t="shared" si="621"/>
        <v>0</v>
      </c>
      <c r="U858" s="78" t="str">
        <f>IF(NOT(ISNUMBER(G858)), "", VLOOKUP(A858,'Discount Lookup'!D:E,2,FALSE)*G858)</f>
        <v/>
      </c>
      <c r="V858" s="78" t="str">
        <f>IF(NOT(ISNUMBER(G858)), "", VLOOKUP(A858,'Discount Lookup'!G:H,2,FALSE)*G858)</f>
        <v/>
      </c>
      <c r="W858" s="102">
        <f t="shared" si="622"/>
        <v>0</v>
      </c>
      <c r="X858" s="102">
        <f t="shared" si="623"/>
        <v>0</v>
      </c>
      <c r="Y858" s="120" t="b">
        <f t="shared" si="624"/>
        <v>0</v>
      </c>
      <c r="Z858" s="117">
        <f t="shared" si="625"/>
        <v>0</v>
      </c>
      <c r="AA858" s="118"/>
      <c r="AB858" s="118" t="str">
        <f t="shared" si="626"/>
        <v/>
      </c>
      <c r="AC858" s="712" t="str">
        <f>IF(AE858="T2G","no charge",IF(AND(OR(PlanterYesMe="No",PlanterYesMe="N",PlanterYesMe="me"),H858=""),"",IF(H858="credit","NO install",IF(AND(K858="",AE858="me"),"EACH row",IF(AND(K858="images",AE858="me"),"EACH row",IF(D858="","",IF(H858="credit","",IF(AE858="free","re-planting",IF(AE858="me","   not ELP, by",IF(AND(OR(PlanterYesMe="Yes",PlanterYesMe="Y"),G858&gt;0),(VLOOKUP(A858,'Discount Lookup'!J:K,2)*G858*(1-PlanterDiscount)*(1+PlanterDifficultyPercentage)),IF(AE858="ELP",(VLOOKUP(A858,'Discount Lookup'!J:K,2)*G858*(1-PlanterDiscount)*(1+PlanterDifficultyPercentage)),IF(AE858="free","re-planting",IF(G858=0,"",IF(PlanterYesMe="",IF(AE858="me","   not ELP, by",IF(AE858="",IF(G858&gt;0,(VLOOKUP(A858,'Discount Lookup'!J:K,2)*G858*(1-PlanterDiscount)*(1+PlanterDifficultyPercentage)),""),"")),"   not ELP, by"))))))))))))))</f>
        <v/>
      </c>
      <c r="AD858" s="712"/>
      <c r="AE858" s="513" t="str">
        <f t="shared" si="627"/>
        <v/>
      </c>
      <c r="AF858" s="713" t="str">
        <f t="shared" si="628"/>
        <v/>
      </c>
      <c r="AG858" s="713"/>
      <c r="AH858" s="713"/>
      <c r="AI858" s="112">
        <f>IF(H858="credit",0,IF(AE858="free",0,IF(AE858="me",0,IF(G858&gt;0,(VLOOKUP(A858,'Discount Lookup'!J:K,2)*G858),0))))</f>
        <v>0</v>
      </c>
      <c r="AJ858" s="107" t="str">
        <f t="shared" ca="1" si="629"/>
        <v/>
      </c>
      <c r="AK858" s="714" t="str">
        <f t="shared" si="630"/>
        <v/>
      </c>
      <c r="AL858" s="714"/>
      <c r="AM858" s="114" t="str">
        <f t="shared" si="631"/>
        <v/>
      </c>
      <c r="AN858" s="115"/>
      <c r="AO858" s="116"/>
      <c r="AP858" s="116"/>
      <c r="AQ858" s="116"/>
      <c r="AR858" s="116"/>
      <c r="AS858" s="116"/>
      <c r="AT858" s="116"/>
      <c r="AU858" s="116"/>
      <c r="AV858" s="78"/>
      <c r="AW858" s="102"/>
      <c r="AX858" s="78"/>
      <c r="AY858" s="78"/>
      <c r="AZ858" s="78"/>
      <c r="BA858" s="78"/>
      <c r="BB858" s="78"/>
      <c r="BC858" s="78"/>
      <c r="BD858" s="78"/>
      <c r="BE858" s="465"/>
      <c r="BF858" s="165" t="str">
        <f t="shared" si="632"/>
        <v>https://www.google.com/search?tbm=isch&amp;q=Sapphire%20Surf%20Bluebeard%20delivers%20vivid%20late-summer%20blooms%2C%20aromatic%20foliage%2C%20and%20a%20compact%20form%20</v>
      </c>
      <c r="BG858" s="165" t="str">
        <f t="shared" si="633"/>
        <v>S</v>
      </c>
      <c r="BH858" s="65"/>
      <c r="BI858" s="65"/>
      <c r="BJ858" s="65"/>
      <c r="BK858" s="65"/>
      <c r="BL858" s="99"/>
      <c r="BM858" s="99"/>
      <c r="BN858" s="99"/>
    </row>
    <row r="859" spans="1:66" s="51" customFormat="1" ht="19.5" thickBot="1" x14ac:dyDescent="0.3">
      <c r="A859" s="686" t="s">
        <v>386</v>
      </c>
      <c r="B859" s="73"/>
      <c r="C859" s="708"/>
      <c r="D859" s="73"/>
      <c r="E859" s="73"/>
      <c r="F859" s="496"/>
      <c r="G859" s="73"/>
      <c r="H859" s="73"/>
      <c r="I859" s="73"/>
      <c r="J859" s="497" t="s">
        <v>357</v>
      </c>
      <c r="K859" s="498"/>
      <c r="L859" s="562"/>
      <c r="M859" s="73"/>
      <c r="N859"/>
      <c r="O859"/>
      <c r="P859"/>
      <c r="Q859"/>
      <c r="R859"/>
      <c r="S859"/>
      <c r="T859" s="102">
        <f t="shared" si="621"/>
        <v>0</v>
      </c>
      <c r="U859" s="78" t="str">
        <f>IF(NOT(ISNUMBER(G859)), "", VLOOKUP(A859,'Discount Lookup'!D:E,2,FALSE)*G859)</f>
        <v/>
      </c>
      <c r="V859" s="78" t="str">
        <f>IF(NOT(ISNUMBER(G859)), "", VLOOKUP(A859,'Discount Lookup'!G:H,2,FALSE)*G859)</f>
        <v/>
      </c>
      <c r="W859" s="102">
        <f t="shared" si="622"/>
        <v>0</v>
      </c>
      <c r="X859" s="102">
        <f t="shared" si="623"/>
        <v>0</v>
      </c>
      <c r="Y859" s="120" t="b">
        <f t="shared" si="624"/>
        <v>0</v>
      </c>
      <c r="Z859" s="117">
        <f t="shared" si="625"/>
        <v>0</v>
      </c>
      <c r="AA859" s="118"/>
      <c r="AB859" s="118" t="str">
        <f t="shared" si="626"/>
        <v/>
      </c>
      <c r="AC859" s="712" t="str">
        <f>IF(AE859="T2G","no charge",IF(AND(OR(PlanterYesMe="No",PlanterYesMe="N",PlanterYesMe="me"),H859=""),"",IF(H859="credit","NO install",IF(AND(K859="",AE859="me"),"EACH row",IF(AND(K859="images",AE859="me"),"EACH row",IF(D859="","",IF(H859="credit","",IF(AE859="free","re-planting",IF(AE859="me","   not ELP, by",IF(AND(OR(PlanterYesMe="Yes",PlanterYesMe="Y"),G859&gt;0),(VLOOKUP(A859,'Discount Lookup'!J:K,2)*G859*(1-PlanterDiscount)*(1+PlanterDifficultyPercentage)),IF(AE859="ELP",(VLOOKUP(A859,'Discount Lookup'!J:K,2)*G859*(1-PlanterDiscount)*(1+PlanterDifficultyPercentage)),IF(AE859="free","re-planting",IF(G859=0,"",IF(PlanterYesMe="",IF(AE859="me","   not ELP, by",IF(AE859="",IF(G859&gt;0,(VLOOKUP(A859,'Discount Lookup'!J:K,2)*G859*(1-PlanterDiscount)*(1+PlanterDifficultyPercentage)),""),"")),"   not ELP, by"))))))))))))))</f>
        <v/>
      </c>
      <c r="AD859" s="712"/>
      <c r="AE859" s="513" t="str">
        <f t="shared" si="627"/>
        <v/>
      </c>
      <c r="AF859" s="713" t="str">
        <f t="shared" si="628"/>
        <v/>
      </c>
      <c r="AG859" s="713"/>
      <c r="AH859" s="713"/>
      <c r="AI859" s="112">
        <f>IF(H859="credit",0,IF(AE859="free",0,IF(AE859="me",0,IF(G859&gt;0,(VLOOKUP(A859,'Discount Lookup'!J:K,2)*G859),0))))</f>
        <v>0</v>
      </c>
      <c r="AJ859" s="107" t="str">
        <f t="shared" ca="1" si="629"/>
        <v/>
      </c>
      <c r="AK859" s="714" t="str">
        <f t="shared" si="630"/>
        <v/>
      </c>
      <c r="AL859" s="714"/>
      <c r="AM859" s="114" t="str">
        <f t="shared" si="631"/>
        <v/>
      </c>
      <c r="AN859" s="115"/>
      <c r="AO859" s="116"/>
      <c r="AP859" s="116"/>
      <c r="AQ859" s="116"/>
      <c r="AR859" s="116"/>
      <c r="AS859" s="116"/>
      <c r="AT859" s="116"/>
      <c r="AU859" s="116"/>
      <c r="AV859" s="78"/>
      <c r="AW859" s="102"/>
      <c r="AX859" s="78"/>
      <c r="AY859" s="78"/>
      <c r="AZ859" s="78"/>
      <c r="BA859" s="78"/>
      <c r="BB859" s="78"/>
      <c r="BC859" s="78"/>
      <c r="BD859" s="78"/>
      <c r="BE859" s="465"/>
      <c r="BF859" s="165" t="str">
        <f t="shared" si="632"/>
        <v>https://www.google.com/search?tbm=isch&amp;q=Cedrus%20%3D%20Cedar%20</v>
      </c>
      <c r="BG859" s="165" t="str">
        <f t="shared" si="633"/>
        <v>C</v>
      </c>
      <c r="BH859" s="65"/>
      <c r="BI859" s="65"/>
      <c r="BJ859" s="65"/>
      <c r="BK859" s="65"/>
      <c r="BL859" s="99"/>
      <c r="BM859" s="99"/>
      <c r="BN859" s="99"/>
    </row>
    <row r="860" spans="1:66" s="51" customFormat="1" ht="18" x14ac:dyDescent="0.25">
      <c r="A860" s="507" t="s">
        <v>827</v>
      </c>
      <c r="B860" s="470"/>
      <c r="C860" s="706"/>
      <c r="D860" s="471" t="s">
        <v>828</v>
      </c>
      <c r="E860" s="472"/>
      <c r="F860" s="472"/>
      <c r="G860" s="472"/>
      <c r="H860" s="622" t="s">
        <v>829</v>
      </c>
      <c r="I860" s="473" t="s">
        <v>438</v>
      </c>
      <c r="J860" s="472"/>
      <c r="K860" s="472"/>
      <c r="L860" s="561"/>
      <c r="M860" s="698" t="s">
        <v>5240</v>
      </c>
      <c r="N860" s="692" t="str">
        <f>IF(AND(ISTEXT($A860), ISERROR($A860+0)), HYPERLINK($BF860, "Images"), "")</f>
        <v>Images</v>
      </c>
      <c r="O860" s="694" t="s">
        <v>5264</v>
      </c>
      <c r="P860" s="475"/>
      <c r="Q860" s="476"/>
      <c r="R860" s="476"/>
      <c r="S860" s="477"/>
      <c r="T860" s="102">
        <f>E860*G860</f>
        <v>0</v>
      </c>
      <c r="U860" s="78" t="str">
        <f>IF(NOT(ISNUMBER(G860)), "", VLOOKUP(A860,'Discount Lookup'!D:E,2,FALSE)*G860)</f>
        <v/>
      </c>
      <c r="V860" s="78" t="str">
        <f>IF(NOT(ISNUMBER(G860)), "", VLOOKUP(A860,'Discount Lookup'!G:H,2,FALSE)*G860)</f>
        <v/>
      </c>
      <c r="W860" s="102">
        <f>IF(H860="credit",0,E860*(SalesTaxPercentage)*G860)</f>
        <v>0</v>
      </c>
      <c r="X860" s="102" t="str">
        <f>I860</f>
        <v>Blue-Green needles</v>
      </c>
      <c r="Y860" s="120" t="b">
        <f>IF(AE860="T2G",0,IF(H860="credit",0,IF(G860&gt;0,IF(AE860="me","",G860))))</f>
        <v>0</v>
      </c>
      <c r="Z860" s="117">
        <f>IF(H860="credit",G860,0)</f>
        <v>0</v>
      </c>
      <c r="AA860" s="118"/>
      <c r="AB860" s="118" t="str">
        <f>IF(AE860="T2G","by Trees2Go",IF(H860="credit","CREDIT only ~",IF(AND(K860="",AE860=OR(PlanterYesMe="No",PlanterYesMe="N",PlanterYesMe="me")),"not THIS line⇨",IF(AND(K860="images",AE860="me"),"not THIS line⇨",IF(H860="credit","",IF(G860=0,"",IF(AE860="me","",IF(OR(PlanterYesMe="No",PlanterYesMe="N",PlanterYesMe="me"),"",IF(AE860="free","warranty",IF(OR(PlanterYesMe="yes",PlanterYesMe="y"),"Edison install:","to install:"))))))))))</f>
        <v/>
      </c>
      <c r="AC860" s="712" t="str">
        <f>IF(AE860="T2G","no charge",IF(AND(OR(PlanterYesMe="No",PlanterYesMe="N",PlanterYesMe="me"),H860=""),"",IF(H860="credit","NO install",IF(AND(K860="",AE860="me"),"EACH row",IF(AND(K860="images",AE860="me"),"EACH row",IF(D860="","",IF(H860="credit","",IF(AE860="free","re-planting",IF(AE860="me","   not ELP, by",IF(AND(OR(PlanterYesMe="Yes",PlanterYesMe="Y"),G860&gt;0),(VLOOKUP(A860,'Discount Lookup'!J:K,2)*G860*(1-PlanterDiscount)*(1+PlanterDifficultyPercentage)),IF(AE860="ELP",(VLOOKUP(A860,'Discount Lookup'!J:K,2)*G860*(1-PlanterDiscount)*(1+PlanterDifficultyPercentage)),IF(AE860="free","re-planting",IF(G860=0,"",IF(PlanterYesMe="",IF(AE860="me","   not ELP, by",IF(AE860="",IF(G860&gt;0,(VLOOKUP(A860,'Discount Lookup'!J:K,2)*G860*(1-PlanterDiscount)*(1+PlanterDifficultyPercentage)),""),"")),"   not ELP, by"))))))))))))))</f>
        <v/>
      </c>
      <c r="AD860" s="712"/>
      <c r="AE860" s="513" t="str">
        <f>IF(H860="credit","",IF(G860=0,"",IF(OR(PlanterYesMe="No",PlanterYesMe="N",PlanterYesMe="me"),"me",IF(H860="warranty","free",IF(OR(PlanterYesMe="yes",PlanterYesMe="y"),"ELP","")))))</f>
        <v/>
      </c>
      <c r="AF860" s="713" t="str">
        <f>IF(OR(PlanterYesMe="No",PlanterYesMe="N",PlanterYesMe="me"),"",IF(H860="credit","",IF(G860&gt;0,(CONCATENATE((G860)," quantity, ",(A860)," ",B860)),"")))</f>
        <v/>
      </c>
      <c r="AG860" s="713"/>
      <c r="AH860" s="713"/>
      <c r="AI860" s="112">
        <f>IF(H860="credit",0,IF(AE860="free",0,IF(AE860="me",0,IF(G860&gt;0,(VLOOKUP(A860,'Discount Lookup'!J:K,2)*G860),0))))</f>
        <v>0</v>
      </c>
      <c r="AJ860" s="107" t="str">
        <f ca="1">IF(AND(ISREF(H860),H860="credit"),"",IF(AND(AND(OFFSET(G860,0,0)=0,OFFSET(G860,1,0)&gt;0,ISNUMBER(OFFSET(AC860,1,0)),OFFSET(AC860,1,0)&gt;0),OR(PlanterYesMe="yes",PlanterYesMe="y")),"T2G+ELP=",IF(AND(OFFSET(G860,0,0)=0,OFFSET(G860,1,0)&gt;0,ISNUMBER(OFFSET(AC860,1,0)),OFFSET(AC860,1,0)&gt;0),"if T2G+ELP=",IF(AND(OFFSET(G860,0,0)=0,OFFSET(G860,1,0)&gt;0),"T2G Subtotal",IF(H860="credit","",IF(G860=0,"",IF(AE860="free",(K860*(1-T2GDiscount)),IF(OR(PlanterYesMe="No",PlanterYesMe="N",PlanterYesMe="me"),(K860*(1-T2GDiscount)),IF(OR(AE860="me",AE860="T2G"),(K860*(1-T2GDiscount)),(K860*(1-T2GDiscount))+AC860)))))))))</f>
        <v/>
      </c>
      <c r="AK860" s="714" t="str">
        <f>IF(H860="credit","",IF(G860=0,"",IF(OR(AE860="me",AE860="T2G"),"  delivery-only",IF(OR(PlanterYesMe="No",PlanterYesMe="N",PlanterYesMe="me"),"  delivery-only",CONCATENATE(" $",ROUND(AJ860/G860,2)," each")))))</f>
        <v/>
      </c>
      <c r="AL860" s="714"/>
      <c r="AM860" s="114" t="str">
        <f>IF(H860="credit","",IF(AE860="free","      ~ discounts included, no tax or planting fee applies ~",IF(G860=0,"",IF(OR(PlanterYesMe="No",PlanterYesMe="N",PlanterYesMe="me"),CONCATENATE(" $",ROUND(AJ860/G860,2)," per plant, with tax &amp; discount"),IF(OR(AE860="me",AE860="T2G"),CONCATENATE(" $",ROUND(AJ860/G860,2)," per plant, with tax &amp; discount"),CONCATENATE("= $",ROUND((K860*(1-T2GDiscount))/G860,2)," per plant + $",AC860/G860,(" per planting      ~ includes tax &amp; discounts ~")))))))</f>
        <v/>
      </c>
      <c r="AN860" s="115"/>
      <c r="AO860" s="116"/>
      <c r="AP860" s="116"/>
      <c r="AQ860" s="116"/>
      <c r="AR860" s="116"/>
      <c r="AS860" s="116"/>
      <c r="AT860" s="116"/>
      <c r="AU860" s="116"/>
      <c r="AV860" s="78"/>
      <c r="AW860" s="102"/>
      <c r="AX860" s="78"/>
      <c r="AY860" s="78"/>
      <c r="AZ860" s="78"/>
      <c r="BA860" s="78"/>
      <c r="BB860" s="78"/>
      <c r="BC860" s="78"/>
      <c r="BD860" s="78"/>
      <c r="BE860" s="465"/>
      <c r="BF860" s="165" t="str">
        <f>"https://www.google.com/search?tbm=isch&amp;q=" &amp; _xlfn.ENCODEURL($A860 &amp; " " &amp; $D860)</f>
        <v>https://www.google.com/search?tbm=isch&amp;q=Cedrus%20atlantica%20%27Fastigiata%27%20Columnar%20Blue%20Atlas%20Cedar</v>
      </c>
      <c r="BG860" s="165" t="str">
        <f>IF(ISTEXT(A860),LEFT(A860,1),BG4403)</f>
        <v>C</v>
      </c>
      <c r="BH860" s="65"/>
      <c r="BI860" s="65"/>
      <c r="BJ860" s="65"/>
      <c r="BK860" s="65"/>
      <c r="BL860" s="99"/>
      <c r="BM860" s="99"/>
      <c r="BN860" s="99"/>
    </row>
    <row r="861" spans="1:66" s="51" customFormat="1" ht="27" x14ac:dyDescent="0.25">
      <c r="A861" s="478">
        <v>7</v>
      </c>
      <c r="B861" s="479" t="s">
        <v>291</v>
      </c>
      <c r="C861" s="480" t="s">
        <v>1031</v>
      </c>
      <c r="D861" s="481" t="s">
        <v>299</v>
      </c>
      <c r="E861" s="482">
        <v>210.95</v>
      </c>
      <c r="F861" s="483" t="s">
        <v>292</v>
      </c>
      <c r="G861" s="484">
        <v>0</v>
      </c>
      <c r="H861" s="688" t="str">
        <f>IF(G861=0,"",IF(F861="Buy",IF(G861=1,"plant","plants"),IF(F861&gt;0.01,"warranty","Error")))</f>
        <v/>
      </c>
      <c r="I861" s="485">
        <f>IF(H861="free",0,IF(H861="credit",((E861*(F861))*G861*-1),IF(F861="Buy",(E861*G861),((E861*(1-F861))*G861))))</f>
        <v>0</v>
      </c>
      <c r="J861" s="485">
        <f>IF(H861="warranty",0,(I861*(_xlfn.SINGLE(SalesTaxPercentage))))</f>
        <v>0</v>
      </c>
      <c r="K861" s="715">
        <f t="shared" ref="K861" si="637">I861+J861</f>
        <v>0</v>
      </c>
      <c r="L861" s="715"/>
      <c r="M861" s="689" t="str">
        <f ca="1">IF(AND(G861&gt;0,E861=0),"WARNING - no PRICE inserted",IF(H861="free","FREE ~ no charge this plant",IF(H861="credit",CONCATENATE("-$",ROUND(K861*(1-_xlfn.SINGLE(T2GDiscount))*-1,2)," CREDIT after discount"),IF(_xlfn.SINGLE(T2GDiscount)=0,"",IF(G861=0,"",IF(F861="Buy",CONCATENATE("$",ROUND(K861*(1-_xlfn.SINGLE(T2GDiscount)),2)," with ",(_xlfn.SINGLE(T2GDiscount)*100),"% discount"),CONCATENATE("$",ROUND(K861*(1-_xlfn.SINGLE(T2GDiscount)),2)," with ",((_xlfn.SINGLE(T2GDiscount)*100+F861*100)-(_xlfn.SINGLE(T2GDiscount)*100*F861)),IF(F861&gt;0,"% discounts",IF(_xlfn.SINGLE(NoWarrantyDiscount)&gt;0,"% discounts","% discount")))))))))</f>
        <v/>
      </c>
      <c r="N861" s="690"/>
      <c r="O861" s="486"/>
      <c r="P861" s="486"/>
      <c r="Q861" s="486"/>
      <c r="R861" s="486"/>
      <c r="S861" s="486"/>
      <c r="T861" s="102">
        <f>E861*G861</f>
        <v>0</v>
      </c>
      <c r="U861" s="78">
        <f>IF(NOT(ISNUMBER(G861)), "", VLOOKUP(A861,'Discount Lookup'!D:E,2,FALSE)*G861)</f>
        <v>0</v>
      </c>
      <c r="V861" s="78">
        <f>IF(NOT(ISNUMBER(G861)), "", VLOOKUP(A861,'Discount Lookup'!G:H,2,FALSE)*G861)</f>
        <v>0</v>
      </c>
      <c r="W861" s="102">
        <f>IF(H861="credit",0,E861*(SalesTaxPercentage)*G861)</f>
        <v>0</v>
      </c>
      <c r="X861" s="102">
        <f>I861</f>
        <v>0</v>
      </c>
      <c r="Y861" s="120" t="b">
        <f>IF(AE861="T2G",0,IF(H861="credit",0,IF(G861&gt;0,IF(AE861="me","",G861))))</f>
        <v>0</v>
      </c>
      <c r="Z861" s="117">
        <f>IF(H861="credit",G861,0)</f>
        <v>0</v>
      </c>
      <c r="AA861" s="118"/>
      <c r="AB861" s="118" t="str">
        <f>IF(AE861="T2G","by Trees2Go",IF(H861="credit","CREDIT only ~",IF(AND(K861="",AE861=OR(PlanterYesMe="No",PlanterYesMe="N",PlanterYesMe="me")),"not THIS line⇨",IF(AND(K861="images",AE861="me"),"not THIS line⇨",IF(H861="credit","",IF(G861=0,"",IF(AE861="me","",IF(OR(PlanterYesMe="No",PlanterYesMe="N",PlanterYesMe="me"),"",IF(AE861="free","warranty",IF(OR(PlanterYesMe="yes",PlanterYesMe="y"),"Edison install:","to install:"))))))))))</f>
        <v/>
      </c>
      <c r="AC861" s="712" t="str">
        <f>IF(AE861="T2G","no charge",IF(AND(OR(PlanterYesMe="No",PlanterYesMe="N",PlanterYesMe="me"),H861=""),"",IF(H861="credit","NO install",IF(AND(K861="",AE861="me"),"EACH row",IF(AND(K861="images",AE861="me"),"EACH row",IF(D861="","",IF(H861="credit","",IF(AE861="free","re-planting",IF(AE861="me","   not ELP, by",IF(AND(OR(PlanterYesMe="Yes",PlanterYesMe="Y"),G861&gt;0),(VLOOKUP(A861,'Discount Lookup'!J:K,2)*G861*(1-PlanterDiscount)*(1+PlanterDifficultyPercentage)),IF(AE861="ELP",(VLOOKUP(A861,'Discount Lookup'!J:K,2)*G861*(1-PlanterDiscount)*(1+PlanterDifficultyPercentage)),IF(AE861="free","re-planting",IF(G861=0,"",IF(PlanterYesMe="",IF(AE861="me","   not ELP, by",IF(AE861="",IF(G861&gt;0,(VLOOKUP(A861,'Discount Lookup'!J:K,2)*G861*(1-PlanterDiscount)*(1+PlanterDifficultyPercentage)),""),"")),"   not ELP, by"))))))))))))))</f>
        <v/>
      </c>
      <c r="AD861" s="712"/>
      <c r="AE861" s="513" t="str">
        <f>IF(H861="credit","",IF(G861=0,"",IF(OR(PlanterYesMe="No",PlanterYesMe="N",PlanterYesMe="me"),"me",IF(H861="warranty","free",IF(OR(PlanterYesMe="yes",PlanterYesMe="y"),"ELP","")))))</f>
        <v/>
      </c>
      <c r="AF861" s="713" t="str">
        <f>IF(OR(PlanterYesMe="No",PlanterYesMe="N",PlanterYesMe="me"),"",IF(H861="credit","",IF(G861&gt;0,(CONCATENATE((G861)," quantity, ",(A861)," ",B861)),"")))</f>
        <v/>
      </c>
      <c r="AG861" s="713"/>
      <c r="AH861" s="713"/>
      <c r="AI861" s="112">
        <f>IF(H861="credit",0,IF(AE861="free",0,IF(AE861="me",0,IF(G861&gt;0,(VLOOKUP(A861,'Discount Lookup'!J:K,2)*G861),0))))</f>
        <v>0</v>
      </c>
      <c r="AJ861" s="107" t="str">
        <f ca="1">IF(AND(ISREF(H861),H861="credit"),"",IF(AND(AND(OFFSET(G861,0,0)=0,OFFSET(G861,1,0)&gt;0,ISNUMBER(OFFSET(AC861,1,0)),OFFSET(AC861,1,0)&gt;0),OR(PlanterYesMe="yes",PlanterYesMe="y")),"T2G+ELP=",IF(AND(OFFSET(G861,0,0)=0,OFFSET(G861,1,0)&gt;0,ISNUMBER(OFFSET(AC861,1,0)),OFFSET(AC861,1,0)&gt;0),"if T2G+ELP=",IF(AND(OFFSET(G861,0,0)=0,OFFSET(G861,1,0)&gt;0),"T2G Subtotal",IF(H861="credit","",IF(G861=0,"",IF(AE861="free",(K861*(1-T2GDiscount)),IF(OR(PlanterYesMe="No",PlanterYesMe="N",PlanterYesMe="me"),(K861*(1-T2GDiscount)),IF(OR(AE861="me",AE861="T2G"),(K861*(1-T2GDiscount)),(K861*(1-T2GDiscount))+AC861)))))))))</f>
        <v/>
      </c>
      <c r="AK861" s="714" t="str">
        <f>IF(H861="credit","",IF(G861=0,"",IF(OR(AE861="me",AE861="T2G"),"  delivery-only",IF(OR(PlanterYesMe="No",PlanterYesMe="N",PlanterYesMe="me"),"  delivery-only",CONCATENATE(" $",ROUND(AJ861/G861,2)," each")))))</f>
        <v/>
      </c>
      <c r="AL861" s="714"/>
      <c r="AM861" s="114" t="str">
        <f>IF(H861="credit","",IF(AE861="free","      ~ discounts included, no tax or planting fee applies ~",IF(G861=0,"",IF(OR(PlanterYesMe="No",PlanterYesMe="N",PlanterYesMe="me"),CONCATENATE(" $",ROUND(AJ861/G861,2)," per plant, with tax &amp; discount"),IF(OR(AE861="me",AE861="T2G"),CONCATENATE(" $",ROUND(AJ861/G861,2)," per plant, with tax &amp; discount"),CONCATENATE("= $",ROUND((K861*(1-T2GDiscount))/G861,2)," per plant + $",AC861/G861,(" per planting      ~ includes tax &amp; discounts ~")))))))</f>
        <v/>
      </c>
      <c r="AN861" s="115"/>
      <c r="AO861" s="116"/>
      <c r="AP861" s="116"/>
      <c r="AQ861" s="116"/>
      <c r="AR861" s="116"/>
      <c r="AS861" s="116"/>
      <c r="AT861" s="116"/>
      <c r="AU861" s="116"/>
      <c r="AV861" s="78"/>
      <c r="AW861" s="102"/>
      <c r="AX861" s="78"/>
      <c r="AY861" s="78"/>
      <c r="AZ861" s="78"/>
      <c r="BA861" s="78"/>
      <c r="BB861" s="78"/>
      <c r="BC861" s="78"/>
      <c r="BD861" s="78"/>
      <c r="BE861" s="465"/>
      <c r="BF861" s="165" t="str">
        <f>"https://www.google.com/search?tbm=isch&amp;q=" &amp; _xlfn.ENCODEURL($A861 &amp; " " &amp; $D861)</f>
        <v>https://www.google.com/search?tbm=isch&amp;q=7%20G4</v>
      </c>
      <c r="BG861" s="165" t="str">
        <f>IF(ISTEXT(A861),LEFT(A861,1),BG860)</f>
        <v>C</v>
      </c>
      <c r="BH861" s="65"/>
      <c r="BI861" s="65"/>
      <c r="BJ861" s="65"/>
      <c r="BK861" s="65"/>
      <c r="BL861" s="99"/>
      <c r="BM861" s="99"/>
      <c r="BN861" s="99"/>
    </row>
    <row r="862" spans="1:66" s="51" customFormat="1" ht="17.25" thickBot="1" x14ac:dyDescent="0.3">
      <c r="A862" s="508" t="s">
        <v>904</v>
      </c>
      <c r="B862" s="487"/>
      <c r="C862" s="707"/>
      <c r="D862" s="487"/>
      <c r="E862" s="487"/>
      <c r="F862" s="488"/>
      <c r="G862" s="489"/>
      <c r="H862" s="487"/>
      <c r="I862" s="490"/>
      <c r="J862" s="490"/>
      <c r="K862" s="491"/>
      <c r="L862" s="547"/>
      <c r="M862" s="528"/>
      <c r="N862" s="492"/>
      <c r="O862" s="493"/>
      <c r="P862" s="494"/>
      <c r="Q862" s="492"/>
      <c r="R862" s="492"/>
      <c r="S862" s="699" t="s">
        <v>5268</v>
      </c>
      <c r="T862" s="102">
        <f>E862*G862</f>
        <v>0</v>
      </c>
      <c r="U862" s="78" t="str">
        <f>IF(NOT(ISNUMBER(G862)), "", VLOOKUP(A862,'Discount Lookup'!D:E,2,FALSE)*G862)</f>
        <v/>
      </c>
      <c r="V862" s="78" t="str">
        <f>IF(NOT(ISNUMBER(G862)), "", VLOOKUP(A862,'Discount Lookup'!G:H,2,FALSE)*G862)</f>
        <v/>
      </c>
      <c r="W862" s="102">
        <f>IF(H862="credit",0,E862*(SalesTaxPercentage)*G862)</f>
        <v>0</v>
      </c>
      <c r="X862" s="102">
        <f>I862</f>
        <v>0</v>
      </c>
      <c r="Y862" s="120" t="b">
        <f>IF(AE862="T2G",0,IF(H862="credit",0,IF(G862&gt;0,IF(AE862="me","",G862))))</f>
        <v>0</v>
      </c>
      <c r="Z862" s="117">
        <f>IF(H862="credit",G862,0)</f>
        <v>0</v>
      </c>
      <c r="AA862" s="118"/>
      <c r="AB862" s="118" t="str">
        <f>IF(AE862="T2G","by Trees2Go",IF(H862="credit","CREDIT only ~",IF(AND(K862="",AE862=OR(PlanterYesMe="No",PlanterYesMe="N",PlanterYesMe="me")),"not THIS line⇨",IF(AND(K862="images",AE862="me"),"not THIS line⇨",IF(H862="credit","",IF(G862=0,"",IF(AE862="me","",IF(OR(PlanterYesMe="No",PlanterYesMe="N",PlanterYesMe="me"),"",IF(AE862="free","warranty",IF(OR(PlanterYesMe="yes",PlanterYesMe="y"),"Edison install:","to install:"))))))))))</f>
        <v/>
      </c>
      <c r="AC862" s="712" t="str">
        <f>IF(AE862="T2G","no charge",IF(AND(OR(PlanterYesMe="No",PlanterYesMe="N",PlanterYesMe="me"),H862=""),"",IF(H862="credit","NO install",IF(AND(K862="",AE862="me"),"EACH row",IF(AND(K862="images",AE862="me"),"EACH row",IF(D862="","",IF(H862="credit","",IF(AE862="free","re-planting",IF(AE862="me","   not ELP, by",IF(AND(OR(PlanterYesMe="Yes",PlanterYesMe="Y"),G862&gt;0),(VLOOKUP(A862,'Discount Lookup'!J:K,2)*G862*(1-PlanterDiscount)*(1+PlanterDifficultyPercentage)),IF(AE862="ELP",(VLOOKUP(A862,'Discount Lookup'!J:K,2)*G862*(1-PlanterDiscount)*(1+PlanterDifficultyPercentage)),IF(AE862="free","re-planting",IF(G862=0,"",IF(PlanterYesMe="",IF(AE862="me","   not ELP, by",IF(AE862="",IF(G862&gt;0,(VLOOKUP(A862,'Discount Lookup'!J:K,2)*G862*(1-PlanterDiscount)*(1+PlanterDifficultyPercentage)),""),"")),"   not ELP, by"))))))))))))))</f>
        <v/>
      </c>
      <c r="AD862" s="712"/>
      <c r="AE862" s="513" t="str">
        <f>IF(H862="credit","",IF(G862=0,"",IF(OR(PlanterYesMe="No",PlanterYesMe="N",PlanterYesMe="me"),"me",IF(H862="warranty","free",IF(OR(PlanterYesMe="yes",PlanterYesMe="y"),"ELP","")))))</f>
        <v/>
      </c>
      <c r="AF862" s="713" t="str">
        <f>IF(OR(PlanterYesMe="No",PlanterYesMe="N",PlanterYesMe="me"),"",IF(H862="credit","",IF(G862&gt;0,(CONCATENATE((G862)," quantity, ",(A862)," ",B862)),"")))</f>
        <v/>
      </c>
      <c r="AG862" s="713"/>
      <c r="AH862" s="713"/>
      <c r="AI862" s="112">
        <f>IF(H862="credit",0,IF(AE862="free",0,IF(AE862="me",0,IF(G862&gt;0,(VLOOKUP(A862,'Discount Lookup'!J:K,2)*G862),0))))</f>
        <v>0</v>
      </c>
      <c r="AJ862" s="107" t="str">
        <f ca="1">IF(AND(ISREF(H862),H862="credit"),"",IF(AND(AND(OFFSET(G862,0,0)=0,OFFSET(G862,1,0)&gt;0,ISNUMBER(OFFSET(AC862,1,0)),OFFSET(AC862,1,0)&gt;0),OR(PlanterYesMe="yes",PlanterYesMe="y")),"T2G+ELP=",IF(AND(OFFSET(G862,0,0)=0,OFFSET(G862,1,0)&gt;0,ISNUMBER(OFFSET(AC862,1,0)),OFFSET(AC862,1,0)&gt;0),"if T2G+ELP=",IF(AND(OFFSET(G862,0,0)=0,OFFSET(G862,1,0)&gt;0),"T2G Subtotal",IF(H862="credit","",IF(G862=0,"",IF(AE862="free",(K862*(1-T2GDiscount)),IF(OR(PlanterYesMe="No",PlanterYesMe="N",PlanterYesMe="me"),(K862*(1-T2GDiscount)),IF(OR(AE862="me",AE862="T2G"),(K862*(1-T2GDiscount)),(K862*(1-T2GDiscount))+AC862)))))))))</f>
        <v/>
      </c>
      <c r="AK862" s="714" t="str">
        <f>IF(H862="credit","",IF(G862=0,"",IF(OR(AE862="me",AE862="T2G"),"  delivery-only",IF(OR(PlanterYesMe="No",PlanterYesMe="N",PlanterYesMe="me"),"  delivery-only",CONCATENATE(" $",ROUND(AJ862/G862,2)," each")))))</f>
        <v/>
      </c>
      <c r="AL862" s="714"/>
      <c r="AM862" s="114" t="str">
        <f>IF(H862="credit","",IF(AE862="free","      ~ discounts included, no tax or planting fee applies ~",IF(G862=0,"",IF(OR(PlanterYesMe="No",PlanterYesMe="N",PlanterYesMe="me"),CONCATENATE(" $",ROUND(AJ862/G862,2)," per plant, with tax &amp; discount"),IF(OR(AE862="me",AE862="T2G"),CONCATENATE(" $",ROUND(AJ862/G862,2)," per plant, with tax &amp; discount"),CONCATENATE("= $",ROUND((K862*(1-T2GDiscount))/G862,2)," per plant + $",AC862/G862,(" per planting      ~ includes tax &amp; discounts ~")))))))</f>
        <v/>
      </c>
      <c r="AN862" s="115"/>
      <c r="AO862" s="116"/>
      <c r="AP862" s="116"/>
      <c r="AQ862" s="116"/>
      <c r="AR862" s="116"/>
      <c r="AS862" s="116"/>
      <c r="AT862" s="116"/>
      <c r="AU862" s="116"/>
      <c r="AV862" s="78"/>
      <c r="AW862" s="102"/>
      <c r="AX862" s="78"/>
      <c r="AY862" s="78"/>
      <c r="AZ862" s="78"/>
      <c r="BA862" s="78"/>
      <c r="BB862" s="78"/>
      <c r="BC862" s="78"/>
      <c r="BD862" s="78"/>
      <c r="BE862" s="465"/>
      <c r="BF862" s="165" t="str">
        <f>"https://www.google.com/search?tbm=isch&amp;q=" &amp; _xlfn.ENCODEURL($A862 &amp; " " &amp; $D862)</f>
        <v>https://www.google.com/search?tbm=isch&amp;q=Columnar%20Blue%20Atlas%20is%20low%20maintenance%2C%20heat%2Fhumidity%20resistant%2C%20and%20long-lived%20</v>
      </c>
      <c r="BG862" s="165" t="str">
        <f>IF(ISTEXT(A862),LEFT(A862,1),BG861)</f>
        <v>C</v>
      </c>
      <c r="BH862" s="65"/>
      <c r="BI862" s="65"/>
      <c r="BJ862" s="65"/>
      <c r="BK862" s="65"/>
      <c r="BL862" s="99"/>
      <c r="BM862" s="99"/>
      <c r="BN862" s="99"/>
    </row>
    <row r="863" spans="1:66" s="51" customFormat="1" ht="18" x14ac:dyDescent="0.25">
      <c r="A863" s="507" t="s">
        <v>300</v>
      </c>
      <c r="B863" s="470"/>
      <c r="C863" s="706"/>
      <c r="D863" s="471" t="s">
        <v>301</v>
      </c>
      <c r="E863" s="472"/>
      <c r="F863" s="472"/>
      <c r="G863" s="472"/>
      <c r="H863" s="622" t="s">
        <v>302</v>
      </c>
      <c r="I863" s="473" t="s">
        <v>455</v>
      </c>
      <c r="J863" s="472"/>
      <c r="K863" s="472"/>
      <c r="L863" s="561"/>
      <c r="M863" s="698" t="s">
        <v>5240</v>
      </c>
      <c r="N863" s="692" t="str">
        <f>IF(AND(ISTEXT($A863), ISERROR($A863+0)), HYPERLINK($BF863, "Images"), "")</f>
        <v>Images</v>
      </c>
      <c r="O863" s="694" t="s">
        <v>5264</v>
      </c>
      <c r="P863" s="475"/>
      <c r="Q863" s="476"/>
      <c r="R863" s="476"/>
      <c r="S863" s="477"/>
      <c r="T863" s="102">
        <f t="shared" si="621"/>
        <v>0</v>
      </c>
      <c r="U863" s="78" t="str">
        <f>IF(NOT(ISNUMBER(G863)), "", VLOOKUP(A863,'Discount Lookup'!D:E,2,FALSE)*G863)</f>
        <v/>
      </c>
      <c r="V863" s="78" t="str">
        <f>IF(NOT(ISNUMBER(G863)), "", VLOOKUP(A863,'Discount Lookup'!G:H,2,FALSE)*G863)</f>
        <v/>
      </c>
      <c r="W863" s="102">
        <f t="shared" si="622"/>
        <v>0</v>
      </c>
      <c r="X863" s="102" t="str">
        <f t="shared" si="623"/>
        <v>Silvery-Blue-Green needles</v>
      </c>
      <c r="Y863" s="120" t="b">
        <f t="shared" si="624"/>
        <v>0</v>
      </c>
      <c r="Z863" s="117">
        <f t="shared" si="625"/>
        <v>0</v>
      </c>
      <c r="AA863" s="118"/>
      <c r="AB863" s="118" t="str">
        <f t="shared" si="626"/>
        <v/>
      </c>
      <c r="AC863" s="712" t="str">
        <f>IF(AE863="T2G","no charge",IF(AND(OR(PlanterYesMe="No",PlanterYesMe="N",PlanterYesMe="me"),H863=""),"",IF(H863="credit","NO install",IF(AND(K863="",AE863="me"),"EACH row",IF(AND(K863="images",AE863="me"),"EACH row",IF(D863="","",IF(H863="credit","",IF(AE863="free","re-planting",IF(AE863="me","   not ELP, by",IF(AND(OR(PlanterYesMe="Yes",PlanterYesMe="Y"),G863&gt;0),(VLOOKUP(A863,'Discount Lookup'!J:K,2)*G863*(1-PlanterDiscount)*(1+PlanterDifficultyPercentage)),IF(AE863="ELP",(VLOOKUP(A863,'Discount Lookup'!J:K,2)*G863*(1-PlanterDiscount)*(1+PlanterDifficultyPercentage)),IF(AE863="free","re-planting",IF(G863=0,"",IF(PlanterYesMe="",IF(AE863="me","   not ELP, by",IF(AE863="",IF(G863&gt;0,(VLOOKUP(A863,'Discount Lookup'!J:K,2)*G863*(1-PlanterDiscount)*(1+PlanterDifficultyPercentage)),""),"")),"   not ELP, by"))))))))))))))</f>
        <v/>
      </c>
      <c r="AD863" s="712"/>
      <c r="AE863" s="513" t="str">
        <f t="shared" si="627"/>
        <v/>
      </c>
      <c r="AF863" s="713" t="str">
        <f t="shared" si="628"/>
        <v/>
      </c>
      <c r="AG863" s="713"/>
      <c r="AH863" s="713"/>
      <c r="AI863" s="112">
        <f>IF(H863="credit",0,IF(AE863="free",0,IF(AE863="me",0,IF(G863&gt;0,(VLOOKUP(A863,'Discount Lookup'!J:K,2)*G863),0))))</f>
        <v>0</v>
      </c>
      <c r="AJ863" s="107" t="str">
        <f t="shared" ca="1" si="629"/>
        <v/>
      </c>
      <c r="AK863" s="714" t="str">
        <f t="shared" si="630"/>
        <v/>
      </c>
      <c r="AL863" s="714"/>
      <c r="AM863" s="114" t="str">
        <f t="shared" si="631"/>
        <v/>
      </c>
      <c r="AN863" s="115"/>
      <c r="AO863" s="116"/>
      <c r="AP863" s="116"/>
      <c r="AQ863" s="116"/>
      <c r="AR863" s="116"/>
      <c r="AS863" s="116"/>
      <c r="AT863" s="116"/>
      <c r="AU863" s="116"/>
      <c r="AV863" s="78"/>
      <c r="AW863" s="102"/>
      <c r="AX863" s="78"/>
      <c r="AY863" s="78"/>
      <c r="AZ863" s="78"/>
      <c r="BA863" s="78"/>
      <c r="BB863" s="78"/>
      <c r="BC863" s="78"/>
      <c r="BD863" s="78"/>
      <c r="BE863" s="465"/>
      <c r="BF863" s="165" t="str">
        <f t="shared" si="632"/>
        <v>https://www.google.com/search?tbm=isch&amp;q=Cedrus%20atlantica%20%27Glauca%27%20Blue%20Atlas%20Cedar</v>
      </c>
      <c r="BG863" s="165" t="str">
        <f>IF(ISTEXT(A863),LEFT(A863,1),BG859)</f>
        <v>C</v>
      </c>
      <c r="BH863" s="65"/>
      <c r="BI863" s="65"/>
      <c r="BJ863" s="65"/>
      <c r="BK863" s="65"/>
      <c r="BL863" s="99"/>
      <c r="BM863" s="99"/>
      <c r="BN863" s="99"/>
    </row>
    <row r="864" spans="1:66" s="51" customFormat="1" ht="15.75" x14ac:dyDescent="0.25">
      <c r="A864" s="478">
        <v>7</v>
      </c>
      <c r="B864" s="479" t="s">
        <v>291</v>
      </c>
      <c r="C864" s="480" t="s">
        <v>925</v>
      </c>
      <c r="D864" s="481" t="s">
        <v>299</v>
      </c>
      <c r="E864" s="482">
        <v>210.95</v>
      </c>
      <c r="F864" s="483" t="s">
        <v>292</v>
      </c>
      <c r="G864" s="484">
        <v>0</v>
      </c>
      <c r="H864" s="688" t="str">
        <f>IF(G864=0,"",IF(F864="Buy",IF(G864=1,"plant","plants"),IF(F864&gt;0.01,"warranty","Error")))</f>
        <v/>
      </c>
      <c r="I864" s="485">
        <f>IF(H864="free",0,IF(H864="credit",((E864*(F864))*G864*-1),IF(F864="Buy",(E864*G864),((E864*(1-F864))*G864))))</f>
        <v>0</v>
      </c>
      <c r="J864" s="485">
        <f>IF(H864="warranty",0,(I864*(_xlfn.SINGLE(SalesTaxPercentage))))</f>
        <v>0</v>
      </c>
      <c r="K864" s="715">
        <f t="shared" ref="K864" si="638">I864+J864</f>
        <v>0</v>
      </c>
      <c r="L864" s="715"/>
      <c r="M864" s="689" t="str">
        <f ca="1">IF(AND(G864&gt;0,E864=0),"WARNING - no PRICE inserted",IF(H864="free","FREE ~ no charge this plant",IF(H864="credit",CONCATENATE("-$",ROUND(K864*(1-_xlfn.SINGLE(T2GDiscount))*-1,2)," CREDIT after discount"),IF(_xlfn.SINGLE(T2GDiscount)=0,"",IF(G864=0,"",IF(F864="Buy",CONCATENATE("$",ROUND(K864*(1-_xlfn.SINGLE(T2GDiscount)),2)," with ",(_xlfn.SINGLE(T2GDiscount)*100),"% discount"),CONCATENATE("$",ROUND(K864*(1-_xlfn.SINGLE(T2GDiscount)),2)," with ",((_xlfn.SINGLE(T2GDiscount)*100+F864*100)-(_xlfn.SINGLE(T2GDiscount)*100*F864)),IF(F864&gt;0,"% discounts",IF(_xlfn.SINGLE(NoWarrantyDiscount)&gt;0,"% discounts","% discount")))))))))</f>
        <v/>
      </c>
      <c r="N864" s="690"/>
      <c r="O864" s="486"/>
      <c r="P864" s="486"/>
      <c r="Q864" s="486"/>
      <c r="R864" s="486"/>
      <c r="S864" s="486"/>
      <c r="T864" s="102">
        <f t="shared" si="621"/>
        <v>0</v>
      </c>
      <c r="U864" s="78">
        <f>IF(NOT(ISNUMBER(G864)), "", VLOOKUP(A864,'Discount Lookup'!D:E,2,FALSE)*G864)</f>
        <v>0</v>
      </c>
      <c r="V864" s="78">
        <f>IF(NOT(ISNUMBER(G864)), "", VLOOKUP(A864,'Discount Lookup'!G:H,2,FALSE)*G864)</f>
        <v>0</v>
      </c>
      <c r="W864" s="102">
        <f t="shared" si="622"/>
        <v>0</v>
      </c>
      <c r="X864" s="102">
        <f t="shared" si="623"/>
        <v>0</v>
      </c>
      <c r="Y864" s="120" t="b">
        <f t="shared" si="624"/>
        <v>0</v>
      </c>
      <c r="Z864" s="117">
        <f t="shared" si="625"/>
        <v>0</v>
      </c>
      <c r="AA864" s="118"/>
      <c r="AB864" s="118" t="str">
        <f t="shared" si="626"/>
        <v/>
      </c>
      <c r="AC864" s="712" t="str">
        <f>IF(AE864="T2G","no charge",IF(AND(OR(PlanterYesMe="No",PlanterYesMe="N",PlanterYesMe="me"),H864=""),"",IF(H864="credit","NO install",IF(AND(K864="",AE864="me"),"EACH row",IF(AND(K864="images",AE864="me"),"EACH row",IF(D864="","",IF(H864="credit","",IF(AE864="free","re-planting",IF(AE864="me","   not ELP, by",IF(AND(OR(PlanterYesMe="Yes",PlanterYesMe="Y"),G864&gt;0),(VLOOKUP(A864,'Discount Lookup'!J:K,2)*G864*(1-PlanterDiscount)*(1+PlanterDifficultyPercentage)),IF(AE864="ELP",(VLOOKUP(A864,'Discount Lookup'!J:K,2)*G864*(1-PlanterDiscount)*(1+PlanterDifficultyPercentage)),IF(AE864="free","re-planting",IF(G864=0,"",IF(PlanterYesMe="",IF(AE864="me","   not ELP, by",IF(AE864="",IF(G864&gt;0,(VLOOKUP(A864,'Discount Lookup'!J:K,2)*G864*(1-PlanterDiscount)*(1+PlanterDifficultyPercentage)),""),"")),"   not ELP, by"))))))))))))))</f>
        <v/>
      </c>
      <c r="AD864" s="712"/>
      <c r="AE864" s="513" t="str">
        <f t="shared" si="627"/>
        <v/>
      </c>
      <c r="AF864" s="713" t="str">
        <f t="shared" si="628"/>
        <v/>
      </c>
      <c r="AG864" s="713"/>
      <c r="AH864" s="713"/>
      <c r="AI864" s="112">
        <f>IF(H864="credit",0,IF(AE864="free",0,IF(AE864="me",0,IF(G864&gt;0,(VLOOKUP(A864,'Discount Lookup'!J:K,2)*G864),0))))</f>
        <v>0</v>
      </c>
      <c r="AJ864" s="107" t="str">
        <f t="shared" ca="1" si="629"/>
        <v/>
      </c>
      <c r="AK864" s="714" t="str">
        <f t="shared" si="630"/>
        <v/>
      </c>
      <c r="AL864" s="714"/>
      <c r="AM864" s="114" t="str">
        <f t="shared" si="631"/>
        <v/>
      </c>
      <c r="AN864" s="115"/>
      <c r="AO864" s="116"/>
      <c r="AP864" s="116"/>
      <c r="AQ864" s="116"/>
      <c r="AR864" s="116"/>
      <c r="AS864" s="116"/>
      <c r="AT864" s="116"/>
      <c r="AU864" s="116"/>
      <c r="AV864" s="78"/>
      <c r="AW864" s="102"/>
      <c r="AX864" s="78"/>
      <c r="AY864" s="78"/>
      <c r="AZ864" s="78"/>
      <c r="BA864" s="78"/>
      <c r="BB864" s="78"/>
      <c r="BC864" s="78"/>
      <c r="BD864" s="78"/>
      <c r="BE864" s="465"/>
      <c r="BF864" s="165" t="str">
        <f t="shared" si="632"/>
        <v>https://www.google.com/search?tbm=isch&amp;q=7%20G4</v>
      </c>
      <c r="BG864" s="165" t="str">
        <f t="shared" si="633"/>
        <v>C</v>
      </c>
      <c r="BH864" s="65"/>
      <c r="BI864" s="65"/>
      <c r="BJ864" s="65"/>
      <c r="BK864" s="65"/>
      <c r="BL864" s="99"/>
      <c r="BM864" s="99"/>
      <c r="BN864" s="99"/>
    </row>
    <row r="865" spans="1:66" s="51" customFormat="1" ht="27" x14ac:dyDescent="0.25">
      <c r="A865" s="478">
        <v>15</v>
      </c>
      <c r="B865" s="479" t="s">
        <v>291</v>
      </c>
      <c r="C865" s="480" t="s">
        <v>926</v>
      </c>
      <c r="D865" s="481" t="s">
        <v>299</v>
      </c>
      <c r="E865" s="482">
        <v>332.95</v>
      </c>
      <c r="F865" s="483" t="s">
        <v>292</v>
      </c>
      <c r="G865" s="484">
        <v>0</v>
      </c>
      <c r="H865" s="688" t="str">
        <f>IF(G865=0,"",IF(F865="Buy",IF(G865=1,"plant","plants"),IF(F865&gt;0.01,"warranty","Error")))</f>
        <v/>
      </c>
      <c r="I865" s="485">
        <f>IF(H865="free",0,IF(H865="credit",((E865*(F865))*G865*-1),IF(F865="Buy",(E865*G865),((E865*(1-F865))*G865))))</f>
        <v>0</v>
      </c>
      <c r="J865" s="485">
        <f>IF(H865="warranty",0,(I865*(_xlfn.SINGLE(SalesTaxPercentage))))</f>
        <v>0</v>
      </c>
      <c r="K865" s="715">
        <f t="shared" ref="K865" si="639">I865+J865</f>
        <v>0</v>
      </c>
      <c r="L865" s="715"/>
      <c r="M865" s="689" t="str">
        <f ca="1">IF(AND(G865&gt;0,E865=0),"WARNING - no PRICE inserted",IF(H865="free","FREE ~ no charge this plant",IF(H865="credit",CONCATENATE("-$",ROUND(K865*(1-_xlfn.SINGLE(T2GDiscount))*-1,2)," CREDIT after discount"),IF(_xlfn.SINGLE(T2GDiscount)=0,"",IF(G865=0,"",IF(F865="Buy",CONCATENATE("$",ROUND(K865*(1-_xlfn.SINGLE(T2GDiscount)),2)," with ",(_xlfn.SINGLE(T2GDiscount)*100),"% discount"),CONCATENATE("$",ROUND(K865*(1-_xlfn.SINGLE(T2GDiscount)),2)," with ",((_xlfn.SINGLE(T2GDiscount)*100+F865*100)-(_xlfn.SINGLE(T2GDiscount)*100*F865)),IF(F865&gt;0,"% discounts",IF(_xlfn.SINGLE(NoWarrantyDiscount)&gt;0,"% discounts","% discount")))))))))</f>
        <v/>
      </c>
      <c r="N865" s="690"/>
      <c r="O865" s="486"/>
      <c r="P865" s="486"/>
      <c r="Q865" s="486"/>
      <c r="R865" s="486"/>
      <c r="S865" s="486"/>
      <c r="T865" s="102">
        <f t="shared" si="621"/>
        <v>0</v>
      </c>
      <c r="U865" s="78">
        <f>IF(NOT(ISNUMBER(G865)), "", VLOOKUP(A865,'Discount Lookup'!D:E,2,FALSE)*G865)</f>
        <v>0</v>
      </c>
      <c r="V865" s="78">
        <f>IF(NOT(ISNUMBER(G865)), "", VLOOKUP(A865,'Discount Lookup'!G:H,2,FALSE)*G865)</f>
        <v>0</v>
      </c>
      <c r="W865" s="102">
        <f t="shared" si="622"/>
        <v>0</v>
      </c>
      <c r="X865" s="102">
        <f t="shared" si="623"/>
        <v>0</v>
      </c>
      <c r="Y865" s="120" t="b">
        <f t="shared" si="624"/>
        <v>0</v>
      </c>
      <c r="Z865" s="117">
        <f t="shared" si="625"/>
        <v>0</v>
      </c>
      <c r="AA865" s="118"/>
      <c r="AB865" s="118" t="str">
        <f t="shared" si="626"/>
        <v/>
      </c>
      <c r="AC865" s="712" t="str">
        <f>IF(AE865="T2G","no charge",IF(AND(OR(PlanterYesMe="No",PlanterYesMe="N",PlanterYesMe="me"),H865=""),"",IF(H865="credit","NO install",IF(AND(K865="",AE865="me"),"EACH row",IF(AND(K865="images",AE865="me"),"EACH row",IF(D865="","",IF(H865="credit","",IF(AE865="free","re-planting",IF(AE865="me","   not ELP, by",IF(AND(OR(PlanterYesMe="Yes",PlanterYesMe="Y"),G865&gt;0),(VLOOKUP(A865,'Discount Lookup'!J:K,2)*G865*(1-PlanterDiscount)*(1+PlanterDifficultyPercentage)),IF(AE865="ELP",(VLOOKUP(A865,'Discount Lookup'!J:K,2)*G865*(1-PlanterDiscount)*(1+PlanterDifficultyPercentage)),IF(AE865="free","re-planting",IF(G865=0,"",IF(PlanterYesMe="",IF(AE865="me","   not ELP, by",IF(AE865="",IF(G865&gt;0,(VLOOKUP(A865,'Discount Lookup'!J:K,2)*G865*(1-PlanterDiscount)*(1+PlanterDifficultyPercentage)),""),"")),"   not ELP, by"))))))))))))))</f>
        <v/>
      </c>
      <c r="AD865" s="712"/>
      <c r="AE865" s="513" t="str">
        <f t="shared" si="627"/>
        <v/>
      </c>
      <c r="AF865" s="713" t="str">
        <f t="shared" si="628"/>
        <v/>
      </c>
      <c r="AG865" s="713"/>
      <c r="AH865" s="713"/>
      <c r="AI865" s="112">
        <f>IF(H865="credit",0,IF(AE865="free",0,IF(AE865="me",0,IF(G865&gt;0,(VLOOKUP(A865,'Discount Lookup'!J:K,2)*G865),0))))</f>
        <v>0</v>
      </c>
      <c r="AJ865" s="107" t="str">
        <f t="shared" ca="1" si="629"/>
        <v/>
      </c>
      <c r="AK865" s="714" t="str">
        <f t="shared" si="630"/>
        <v/>
      </c>
      <c r="AL865" s="714"/>
      <c r="AM865" s="114" t="str">
        <f t="shared" si="631"/>
        <v/>
      </c>
      <c r="AN865" s="115"/>
      <c r="AO865" s="116"/>
      <c r="AP865" s="116"/>
      <c r="AQ865" s="116"/>
      <c r="AR865" s="116"/>
      <c r="AS865" s="116"/>
      <c r="AT865" s="116"/>
      <c r="AU865" s="116"/>
      <c r="AV865" s="78"/>
      <c r="AW865" s="102"/>
      <c r="AX865" s="78"/>
      <c r="AY865" s="78"/>
      <c r="AZ865" s="78"/>
      <c r="BA865" s="78"/>
      <c r="BB865" s="78"/>
      <c r="BC865" s="78"/>
      <c r="BD865" s="78"/>
      <c r="BE865" s="465"/>
      <c r="BF865" s="165" t="str">
        <f t="shared" si="632"/>
        <v>https://www.google.com/search?tbm=isch&amp;q=15%20G4</v>
      </c>
      <c r="BG865" s="165" t="str">
        <f t="shared" si="633"/>
        <v>C</v>
      </c>
      <c r="BH865" s="65"/>
      <c r="BI865" s="65"/>
      <c r="BJ865" s="65"/>
      <c r="BK865" s="65"/>
      <c r="BL865" s="99"/>
      <c r="BM865" s="99"/>
      <c r="BN865" s="99"/>
    </row>
    <row r="866" spans="1:66" s="51" customFormat="1" ht="15.75" x14ac:dyDescent="0.25">
      <c r="A866" s="478">
        <v>25</v>
      </c>
      <c r="B866" s="479" t="s">
        <v>291</v>
      </c>
      <c r="C866" s="480" t="s">
        <v>927</v>
      </c>
      <c r="D866" s="481" t="s">
        <v>299</v>
      </c>
      <c r="E866" s="482">
        <v>575.95000000000005</v>
      </c>
      <c r="F866" s="483" t="s">
        <v>292</v>
      </c>
      <c r="G866" s="484">
        <v>0</v>
      </c>
      <c r="H866" s="688" t="str">
        <f>IF(G866=0,"",IF(F866="Buy",IF(G866=1,"plant","plants"),IF(F866&gt;0.01,"warranty","Error")))</f>
        <v/>
      </c>
      <c r="I866" s="485">
        <f>IF(H866="free",0,IF(H866="credit",((E866*(F866))*G866*-1),IF(F866="Buy",(E866*G866),((E866*(1-F866))*G866))))</f>
        <v>0</v>
      </c>
      <c r="J866" s="485">
        <f>IF(H866="warranty",0,(I866*(_xlfn.SINGLE(SalesTaxPercentage))))</f>
        <v>0</v>
      </c>
      <c r="K866" s="715">
        <f t="shared" ref="K866" si="640">I866+J866</f>
        <v>0</v>
      </c>
      <c r="L866" s="715"/>
      <c r="M866" s="689" t="str">
        <f ca="1">IF(AND(G866&gt;0,E866=0),"WARNING - no PRICE inserted",IF(H866="free","FREE ~ no charge this plant",IF(H866="credit",CONCATENATE("-$",ROUND(K866*(1-_xlfn.SINGLE(T2GDiscount))*-1,2)," CREDIT after discount"),IF(_xlfn.SINGLE(T2GDiscount)=0,"",IF(G866=0,"",IF(F866="Buy",CONCATENATE("$",ROUND(K866*(1-_xlfn.SINGLE(T2GDiscount)),2)," with ",(_xlfn.SINGLE(T2GDiscount)*100),"% discount"),CONCATENATE("$",ROUND(K866*(1-_xlfn.SINGLE(T2GDiscount)),2)," with ",((_xlfn.SINGLE(T2GDiscount)*100+F866*100)-(_xlfn.SINGLE(T2GDiscount)*100*F866)),IF(F866&gt;0,"% discounts",IF(_xlfn.SINGLE(NoWarrantyDiscount)&gt;0,"% discounts","% discount")))))))))</f>
        <v/>
      </c>
      <c r="N866" s="690"/>
      <c r="O866" s="486"/>
      <c r="P866" s="486"/>
      <c r="Q866" s="486"/>
      <c r="R866" s="486"/>
      <c r="S866" s="486"/>
      <c r="T866" s="102">
        <f t="shared" si="621"/>
        <v>0</v>
      </c>
      <c r="U866" s="78">
        <f>IF(NOT(ISNUMBER(G866)), "", VLOOKUP(A866,'Discount Lookup'!D:E,2,FALSE)*G866)</f>
        <v>0</v>
      </c>
      <c r="V866" s="78">
        <f>IF(NOT(ISNUMBER(G866)), "", VLOOKUP(A866,'Discount Lookup'!G:H,2,FALSE)*G866)</f>
        <v>0</v>
      </c>
      <c r="W866" s="102">
        <f t="shared" si="622"/>
        <v>0</v>
      </c>
      <c r="X866" s="102">
        <f t="shared" si="623"/>
        <v>0</v>
      </c>
      <c r="Y866" s="120" t="b">
        <f t="shared" si="624"/>
        <v>0</v>
      </c>
      <c r="Z866" s="117">
        <f t="shared" si="625"/>
        <v>0</v>
      </c>
      <c r="AA866" s="118"/>
      <c r="AB866" s="118" t="str">
        <f t="shared" si="626"/>
        <v/>
      </c>
      <c r="AC866" s="712" t="str">
        <f>IF(AE866="T2G","no charge",IF(AND(OR(PlanterYesMe="No",PlanterYesMe="N",PlanterYesMe="me"),H866=""),"",IF(H866="credit","NO install",IF(AND(K866="",AE866="me"),"EACH row",IF(AND(K866="images",AE866="me"),"EACH row",IF(D866="","",IF(H866="credit","",IF(AE866="free","re-planting",IF(AE866="me","   not ELP, by",IF(AND(OR(PlanterYesMe="Yes",PlanterYesMe="Y"),G866&gt;0),(VLOOKUP(A866,'Discount Lookup'!J:K,2)*G866*(1-PlanterDiscount)*(1+PlanterDifficultyPercentage)),IF(AE866="ELP",(VLOOKUP(A866,'Discount Lookup'!J:K,2)*G866*(1-PlanterDiscount)*(1+PlanterDifficultyPercentage)),IF(AE866="free","re-planting",IF(G866=0,"",IF(PlanterYesMe="",IF(AE866="me","   not ELP, by",IF(AE866="",IF(G866&gt;0,(VLOOKUP(A866,'Discount Lookup'!J:K,2)*G866*(1-PlanterDiscount)*(1+PlanterDifficultyPercentage)),""),"")),"   not ELP, by"))))))))))))))</f>
        <v/>
      </c>
      <c r="AD866" s="712"/>
      <c r="AE866" s="513" t="str">
        <f t="shared" si="627"/>
        <v/>
      </c>
      <c r="AF866" s="713" t="str">
        <f t="shared" si="628"/>
        <v/>
      </c>
      <c r="AG866" s="713"/>
      <c r="AH866" s="713"/>
      <c r="AI866" s="112">
        <f>IF(H866="credit",0,IF(AE866="free",0,IF(AE866="me",0,IF(G866&gt;0,(VLOOKUP(A866,'Discount Lookup'!J:K,2)*G866),0))))</f>
        <v>0</v>
      </c>
      <c r="AJ866" s="107" t="str">
        <f t="shared" ca="1" si="629"/>
        <v/>
      </c>
      <c r="AK866" s="714" t="str">
        <f t="shared" si="630"/>
        <v/>
      </c>
      <c r="AL866" s="714"/>
      <c r="AM866" s="114" t="str">
        <f t="shared" si="631"/>
        <v/>
      </c>
      <c r="AN866" s="115"/>
      <c r="AO866" s="116"/>
      <c r="AP866" s="116"/>
      <c r="AQ866" s="116"/>
      <c r="AR866" s="116"/>
      <c r="AS866" s="116"/>
      <c r="AT866" s="116"/>
      <c r="AU866" s="116"/>
      <c r="AV866" s="78"/>
      <c r="AW866" s="102"/>
      <c r="AX866" s="78"/>
      <c r="AY866" s="78"/>
      <c r="AZ866" s="78"/>
      <c r="BA866" s="78"/>
      <c r="BB866" s="78"/>
      <c r="BC866" s="78"/>
      <c r="BD866" s="78"/>
      <c r="BE866" s="465"/>
      <c r="BF866" s="165" t="str">
        <f t="shared" si="632"/>
        <v>https://www.google.com/search?tbm=isch&amp;q=25%20G4</v>
      </c>
      <c r="BG866" s="165" t="str">
        <f t="shared" si="633"/>
        <v>C</v>
      </c>
      <c r="BH866" s="65"/>
      <c r="BI866" s="65"/>
      <c r="BJ866" s="65"/>
      <c r="BK866" s="65"/>
      <c r="BL866" s="99"/>
      <c r="BM866" s="99"/>
      <c r="BN866" s="99"/>
    </row>
    <row r="867" spans="1:66" s="51" customFormat="1" ht="17.25" thickBot="1" x14ac:dyDescent="0.3">
      <c r="A867" s="508" t="s">
        <v>441</v>
      </c>
      <c r="B867" s="487"/>
      <c r="C867" s="707"/>
      <c r="D867" s="487"/>
      <c r="E867" s="487"/>
      <c r="F867" s="488"/>
      <c r="G867" s="489"/>
      <c r="H867" s="487"/>
      <c r="I867" s="490"/>
      <c r="J867" s="490"/>
      <c r="K867" s="491"/>
      <c r="L867" s="547"/>
      <c r="M867" s="528"/>
      <c r="N867" s="492"/>
      <c r="O867" s="493"/>
      <c r="P867" s="494"/>
      <c r="Q867" s="492"/>
      <c r="R867" s="492"/>
      <c r="S867" s="699" t="s">
        <v>5248</v>
      </c>
      <c r="T867" s="102">
        <f t="shared" si="621"/>
        <v>0</v>
      </c>
      <c r="U867" s="78" t="str">
        <f>IF(NOT(ISNUMBER(G867)), "", VLOOKUP(A867,'Discount Lookup'!D:E,2,FALSE)*G867)</f>
        <v/>
      </c>
      <c r="V867" s="78" t="str">
        <f>IF(NOT(ISNUMBER(G867)), "", VLOOKUP(A867,'Discount Lookup'!G:H,2,FALSE)*G867)</f>
        <v/>
      </c>
      <c r="W867" s="102">
        <f t="shared" si="622"/>
        <v>0</v>
      </c>
      <c r="X867" s="102">
        <f t="shared" si="623"/>
        <v>0</v>
      </c>
      <c r="Y867" s="120" t="b">
        <f t="shared" si="624"/>
        <v>0</v>
      </c>
      <c r="Z867" s="117">
        <f t="shared" si="625"/>
        <v>0</v>
      </c>
      <c r="AA867" s="118"/>
      <c r="AB867" s="118" t="str">
        <f t="shared" si="626"/>
        <v/>
      </c>
      <c r="AC867" s="712" t="str">
        <f>IF(AE867="T2G","no charge",IF(AND(OR(PlanterYesMe="No",PlanterYesMe="N",PlanterYesMe="me"),H867=""),"",IF(H867="credit","NO install",IF(AND(K867="",AE867="me"),"EACH row",IF(AND(K867="images",AE867="me"),"EACH row",IF(D867="","",IF(H867="credit","",IF(AE867="free","re-planting",IF(AE867="me","   not ELP, by",IF(AND(OR(PlanterYesMe="Yes",PlanterYesMe="Y"),G867&gt;0),(VLOOKUP(A867,'Discount Lookup'!J:K,2)*G867*(1-PlanterDiscount)*(1+PlanterDifficultyPercentage)),IF(AE867="ELP",(VLOOKUP(A867,'Discount Lookup'!J:K,2)*G867*(1-PlanterDiscount)*(1+PlanterDifficultyPercentage)),IF(AE867="free","re-planting",IF(G867=0,"",IF(PlanterYesMe="",IF(AE867="me","   not ELP, by",IF(AE867="",IF(G867&gt;0,(VLOOKUP(A867,'Discount Lookup'!J:K,2)*G867*(1-PlanterDiscount)*(1+PlanterDifficultyPercentage)),""),"")),"   not ELP, by"))))))))))))))</f>
        <v/>
      </c>
      <c r="AD867" s="712"/>
      <c r="AE867" s="513" t="str">
        <f t="shared" si="627"/>
        <v/>
      </c>
      <c r="AF867" s="713" t="str">
        <f t="shared" si="628"/>
        <v/>
      </c>
      <c r="AG867" s="713"/>
      <c r="AH867" s="713"/>
      <c r="AI867" s="112">
        <f>IF(H867="credit",0,IF(AE867="free",0,IF(AE867="me",0,IF(G867&gt;0,(VLOOKUP(A867,'Discount Lookup'!J:K,2)*G867),0))))</f>
        <v>0</v>
      </c>
      <c r="AJ867" s="107" t="str">
        <f t="shared" ca="1" si="629"/>
        <v/>
      </c>
      <c r="AK867" s="714" t="str">
        <f t="shared" si="630"/>
        <v/>
      </c>
      <c r="AL867" s="714"/>
      <c r="AM867" s="114" t="str">
        <f t="shared" si="631"/>
        <v/>
      </c>
      <c r="AN867" s="115"/>
      <c r="AO867" s="116"/>
      <c r="AP867" s="116"/>
      <c r="AQ867" s="116"/>
      <c r="AR867" s="116"/>
      <c r="AS867" s="116"/>
      <c r="AT867" s="116"/>
      <c r="AU867" s="116"/>
      <c r="AV867" s="78"/>
      <c r="AW867" s="102"/>
      <c r="AX867" s="78"/>
      <c r="AY867" s="78"/>
      <c r="AZ867" s="78"/>
      <c r="BA867" s="78"/>
      <c r="BB867" s="78"/>
      <c r="BC867" s="78"/>
      <c r="BD867" s="78"/>
      <c r="BE867" s="465"/>
      <c r="BF867" s="165" t="str">
        <f t="shared" si="632"/>
        <v>https://www.google.com/search?tbm=isch&amp;q=Blue%20Atlas%20Cedar%20has%20a%20dramatic%20presence.%20Emits%20an%20aromatic%20oil%20that%20is%20a%20natural%20insect%20deterrent%20</v>
      </c>
      <c r="BG867" s="165" t="str">
        <f t="shared" si="633"/>
        <v>B</v>
      </c>
      <c r="BH867" s="65"/>
      <c r="BI867" s="65"/>
      <c r="BJ867" s="65"/>
      <c r="BK867" s="65"/>
      <c r="BL867" s="99"/>
      <c r="BM867" s="99"/>
      <c r="BN867" s="99"/>
    </row>
    <row r="868" spans="1:66" s="51" customFormat="1" ht="18" x14ac:dyDescent="0.25">
      <c r="A868" s="507" t="s">
        <v>1942</v>
      </c>
      <c r="B868" s="470"/>
      <c r="C868" s="706"/>
      <c r="D868" s="471" t="s">
        <v>1943</v>
      </c>
      <c r="E868" s="472"/>
      <c r="F868" s="472"/>
      <c r="G868" s="472"/>
      <c r="H868" s="622" t="s">
        <v>1302</v>
      </c>
      <c r="I868" s="473" t="s">
        <v>1944</v>
      </c>
      <c r="J868" s="472"/>
      <c r="K868" s="472"/>
      <c r="L868" s="561"/>
      <c r="M868" s="698" t="s">
        <v>5246</v>
      </c>
      <c r="N868" s="692" t="str">
        <f>IF(AND(ISTEXT($A868), ISERROR($A868+0)), HYPERLINK($BF868, "Images"), "")</f>
        <v>Images</v>
      </c>
      <c r="O868" s="694" t="s">
        <v>5264</v>
      </c>
      <c r="P868" s="475"/>
      <c r="Q868" s="476"/>
      <c r="R868" s="476"/>
      <c r="S868" s="477"/>
      <c r="T868" s="102">
        <f t="shared" si="621"/>
        <v>0</v>
      </c>
      <c r="U868" s="78" t="str">
        <f>IF(NOT(ISNUMBER(G868)), "", VLOOKUP(A868,'Discount Lookup'!D:E,2,FALSE)*G868)</f>
        <v/>
      </c>
      <c r="V868" s="78" t="str">
        <f>IF(NOT(ISNUMBER(G868)), "", VLOOKUP(A868,'Discount Lookup'!G:H,2,FALSE)*G868)</f>
        <v/>
      </c>
      <c r="W868" s="102">
        <f t="shared" si="622"/>
        <v>0</v>
      </c>
      <c r="X868" s="102" t="str">
        <f t="shared" si="623"/>
        <v>Bluish-Green needles</v>
      </c>
      <c r="Y868" s="120" t="b">
        <f t="shared" si="624"/>
        <v>0</v>
      </c>
      <c r="Z868" s="117">
        <f t="shared" si="625"/>
        <v>0</v>
      </c>
      <c r="AA868" s="118"/>
      <c r="AB868" s="118" t="str">
        <f t="shared" si="626"/>
        <v/>
      </c>
      <c r="AC868" s="712" t="str">
        <f>IF(AE868="T2G","no charge",IF(AND(OR(PlanterYesMe="No",PlanterYesMe="N",PlanterYesMe="me"),H868=""),"",IF(H868="credit","NO install",IF(AND(K868="",AE868="me"),"EACH row",IF(AND(K868="images",AE868="me"),"EACH row",IF(D868="","",IF(H868="credit","",IF(AE868="free","re-planting",IF(AE868="me","   not ELP, by",IF(AND(OR(PlanterYesMe="Yes",PlanterYesMe="Y"),G868&gt;0),(VLOOKUP(A868,'Discount Lookup'!J:K,2)*G868*(1-PlanterDiscount)*(1+PlanterDifficultyPercentage)),IF(AE868="ELP",(VLOOKUP(A868,'Discount Lookup'!J:K,2)*G868*(1-PlanterDiscount)*(1+PlanterDifficultyPercentage)),IF(AE868="free","re-planting",IF(G868=0,"",IF(PlanterYesMe="",IF(AE868="me","   not ELP, by",IF(AE868="",IF(G868&gt;0,(VLOOKUP(A868,'Discount Lookup'!J:K,2)*G868*(1-PlanterDiscount)*(1+PlanterDifficultyPercentage)),""),"")),"   not ELP, by"))))))))))))))</f>
        <v/>
      </c>
      <c r="AD868" s="712"/>
      <c r="AE868" s="513" t="str">
        <f t="shared" si="627"/>
        <v/>
      </c>
      <c r="AF868" s="713" t="str">
        <f t="shared" si="628"/>
        <v/>
      </c>
      <c r="AG868" s="713"/>
      <c r="AH868" s="713"/>
      <c r="AI868" s="112">
        <f>IF(H868="credit",0,IF(AE868="free",0,IF(AE868="me",0,IF(G868&gt;0,(VLOOKUP(A868,'Discount Lookup'!J:K,2)*G868),0))))</f>
        <v>0</v>
      </c>
      <c r="AJ868" s="107" t="str">
        <f t="shared" ca="1" si="629"/>
        <v/>
      </c>
      <c r="AK868" s="714" t="str">
        <f t="shared" si="630"/>
        <v/>
      </c>
      <c r="AL868" s="714"/>
      <c r="AM868" s="114" t="str">
        <f t="shared" si="631"/>
        <v/>
      </c>
      <c r="AN868" s="115"/>
      <c r="AO868" s="116"/>
      <c r="AP868" s="116"/>
      <c r="AQ868" s="116"/>
      <c r="AR868" s="116"/>
      <c r="AS868" s="116"/>
      <c r="AT868" s="116"/>
      <c r="AU868" s="116"/>
      <c r="AV868" s="78"/>
      <c r="AW868" s="102"/>
      <c r="AX868" s="78"/>
      <c r="AY868" s="78"/>
      <c r="AZ868" s="78"/>
      <c r="BA868" s="78"/>
      <c r="BB868" s="78"/>
      <c r="BC868" s="78"/>
      <c r="BD868" s="78"/>
      <c r="BE868" s="465"/>
      <c r="BF868" s="165" t="str">
        <f t="shared" si="632"/>
        <v>https://www.google.com/search?tbm=isch&amp;q=Cedrus%20atlantica%20%27Glauca%20Pendula%27%20Weeping%20Blue%20Atlas%20Cedar</v>
      </c>
      <c r="BG868" s="165" t="str">
        <f t="shared" si="633"/>
        <v>C</v>
      </c>
      <c r="BH868" s="65"/>
      <c r="BI868" s="65"/>
      <c r="BJ868" s="65"/>
      <c r="BK868" s="65"/>
      <c r="BL868" s="99"/>
      <c r="BM868" s="99"/>
      <c r="BN868" s="99"/>
    </row>
    <row r="869" spans="1:66" s="51" customFormat="1" ht="27" x14ac:dyDescent="0.25">
      <c r="A869" s="478">
        <v>7</v>
      </c>
      <c r="B869" s="479" t="s">
        <v>291</v>
      </c>
      <c r="C869" s="480" t="s">
        <v>1945</v>
      </c>
      <c r="D869" s="481" t="s">
        <v>299</v>
      </c>
      <c r="E869" s="482">
        <v>192.95</v>
      </c>
      <c r="F869" s="483" t="s">
        <v>292</v>
      </c>
      <c r="G869" s="484">
        <v>0</v>
      </c>
      <c r="H869" s="688" t="str">
        <f>IF(G869=0,"",IF(F869="Buy",IF(G869=1,"plant","plants"),IF(F869&gt;0.01,"warranty","Error")))</f>
        <v/>
      </c>
      <c r="I869" s="485">
        <f>IF(H869="free",0,IF(H869="credit",((E869*(F869))*G869*-1),IF(F869="Buy",(E869*G869),((E869*(1-F869))*G869))))</f>
        <v>0</v>
      </c>
      <c r="J869" s="485">
        <f>IF(H869="warranty",0,(I869*(_xlfn.SINGLE(SalesTaxPercentage))))</f>
        <v>0</v>
      </c>
      <c r="K869" s="715">
        <f t="shared" ref="K869" si="641">I869+J869</f>
        <v>0</v>
      </c>
      <c r="L869" s="715"/>
      <c r="M869" s="689" t="str">
        <f ca="1">IF(AND(G869&gt;0,E869=0),"WARNING - no PRICE inserted",IF(H869="free","FREE ~ no charge this plant",IF(H869="credit",CONCATENATE("-$",ROUND(K869*(1-_xlfn.SINGLE(T2GDiscount))*-1,2)," CREDIT after discount"),IF(_xlfn.SINGLE(T2GDiscount)=0,"",IF(G869=0,"",IF(F869="Buy",CONCATENATE("$",ROUND(K869*(1-_xlfn.SINGLE(T2GDiscount)),2)," with ",(_xlfn.SINGLE(T2GDiscount)*100),"% discount"),CONCATENATE("$",ROUND(K869*(1-_xlfn.SINGLE(T2GDiscount)),2)," with ",((_xlfn.SINGLE(T2GDiscount)*100+F869*100)-(_xlfn.SINGLE(T2GDiscount)*100*F869)),IF(F869&gt;0,"% discounts",IF(_xlfn.SINGLE(NoWarrantyDiscount)&gt;0,"% discounts","% discount")))))))))</f>
        <v/>
      </c>
      <c r="N869" s="690"/>
      <c r="O869" s="486"/>
      <c r="P869" s="486"/>
      <c r="Q869" s="486"/>
      <c r="R869" s="486"/>
      <c r="S869" s="486"/>
      <c r="T869" s="102">
        <f t="shared" si="621"/>
        <v>0</v>
      </c>
      <c r="U869" s="78">
        <f>IF(NOT(ISNUMBER(G869)), "", VLOOKUP(A869,'Discount Lookup'!D:E,2,FALSE)*G869)</f>
        <v>0</v>
      </c>
      <c r="V869" s="78">
        <f>IF(NOT(ISNUMBER(G869)), "", VLOOKUP(A869,'Discount Lookup'!G:H,2,FALSE)*G869)</f>
        <v>0</v>
      </c>
      <c r="W869" s="102">
        <f t="shared" si="622"/>
        <v>0</v>
      </c>
      <c r="X869" s="102">
        <f t="shared" si="623"/>
        <v>0</v>
      </c>
      <c r="Y869" s="120" t="b">
        <f t="shared" si="624"/>
        <v>0</v>
      </c>
      <c r="Z869" s="117">
        <f t="shared" si="625"/>
        <v>0</v>
      </c>
      <c r="AA869" s="118"/>
      <c r="AB869" s="118" t="str">
        <f t="shared" si="626"/>
        <v/>
      </c>
      <c r="AC869" s="712" t="str">
        <f>IF(AE869="T2G","no charge",IF(AND(OR(PlanterYesMe="No",PlanterYesMe="N",PlanterYesMe="me"),H869=""),"",IF(H869="credit","NO install",IF(AND(K869="",AE869="me"),"EACH row",IF(AND(K869="images",AE869="me"),"EACH row",IF(D869="","",IF(H869="credit","",IF(AE869="free","re-planting",IF(AE869="me","   not ELP, by",IF(AND(OR(PlanterYesMe="Yes",PlanterYesMe="Y"),G869&gt;0),(VLOOKUP(A869,'Discount Lookup'!J:K,2)*G869*(1-PlanterDiscount)*(1+PlanterDifficultyPercentage)),IF(AE869="ELP",(VLOOKUP(A869,'Discount Lookup'!J:K,2)*G869*(1-PlanterDiscount)*(1+PlanterDifficultyPercentage)),IF(AE869="free","re-planting",IF(G869=0,"",IF(PlanterYesMe="",IF(AE869="me","   not ELP, by",IF(AE869="",IF(G869&gt;0,(VLOOKUP(A869,'Discount Lookup'!J:K,2)*G869*(1-PlanterDiscount)*(1+PlanterDifficultyPercentage)),""),"")),"   not ELP, by"))))))))))))))</f>
        <v/>
      </c>
      <c r="AD869" s="712"/>
      <c r="AE869" s="513" t="str">
        <f t="shared" si="627"/>
        <v/>
      </c>
      <c r="AF869" s="713" t="str">
        <f t="shared" si="628"/>
        <v/>
      </c>
      <c r="AG869" s="713"/>
      <c r="AH869" s="713"/>
      <c r="AI869" s="112">
        <f>IF(H869="credit",0,IF(AE869="free",0,IF(AE869="me",0,IF(G869&gt;0,(VLOOKUP(A869,'Discount Lookup'!J:K,2)*G869),0))))</f>
        <v>0</v>
      </c>
      <c r="AJ869" s="107" t="str">
        <f t="shared" ca="1" si="629"/>
        <v/>
      </c>
      <c r="AK869" s="714" t="str">
        <f t="shared" si="630"/>
        <v/>
      </c>
      <c r="AL869" s="714"/>
      <c r="AM869" s="114" t="str">
        <f t="shared" si="631"/>
        <v/>
      </c>
      <c r="AN869" s="115"/>
      <c r="AO869" s="116"/>
      <c r="AP869" s="116"/>
      <c r="AQ869" s="116"/>
      <c r="AR869" s="116"/>
      <c r="AS869" s="116"/>
      <c r="AT869" s="116"/>
      <c r="AU869" s="116"/>
      <c r="AV869" s="78"/>
      <c r="AW869" s="102"/>
      <c r="AX869" s="78"/>
      <c r="AY869" s="78"/>
      <c r="AZ869" s="78"/>
      <c r="BA869" s="78"/>
      <c r="BB869" s="78"/>
      <c r="BC869" s="78"/>
      <c r="BD869" s="78"/>
      <c r="BE869" s="465"/>
      <c r="BF869" s="165" t="str">
        <f t="shared" si="632"/>
        <v>https://www.google.com/search?tbm=isch&amp;q=7%20G4</v>
      </c>
      <c r="BG869" s="165" t="str">
        <f t="shared" si="633"/>
        <v>C</v>
      </c>
      <c r="BH869" s="65"/>
      <c r="BI869" s="65"/>
      <c r="BJ869" s="65"/>
      <c r="BK869" s="65"/>
      <c r="BL869" s="99"/>
      <c r="BM869" s="99"/>
      <c r="BN869" s="99"/>
    </row>
    <row r="870" spans="1:66" s="51" customFormat="1" ht="15.75" x14ac:dyDescent="0.25">
      <c r="A870" s="478">
        <v>15</v>
      </c>
      <c r="B870" s="479" t="s">
        <v>291</v>
      </c>
      <c r="C870" s="480" t="s">
        <v>1946</v>
      </c>
      <c r="D870" s="481" t="s">
        <v>299</v>
      </c>
      <c r="E870" s="482">
        <v>447.95</v>
      </c>
      <c r="F870" s="483" t="s">
        <v>292</v>
      </c>
      <c r="G870" s="484">
        <v>0</v>
      </c>
      <c r="H870" s="688" t="str">
        <f>IF(G870=0,"",IF(F870="Buy",IF(G870=1,"plant","plants"),IF(F870&gt;0.01,"warranty","Error")))</f>
        <v/>
      </c>
      <c r="I870" s="485">
        <f>IF(H870="free",0,IF(H870="credit",((E870*(F870))*G870*-1),IF(F870="Buy",(E870*G870),((E870*(1-F870))*G870))))</f>
        <v>0</v>
      </c>
      <c r="J870" s="485">
        <f>IF(H870="warranty",0,(I870*(_xlfn.SINGLE(SalesTaxPercentage))))</f>
        <v>0</v>
      </c>
      <c r="K870" s="715">
        <f t="shared" ref="K870" si="642">I870+J870</f>
        <v>0</v>
      </c>
      <c r="L870" s="715"/>
      <c r="M870" s="689" t="str">
        <f ca="1">IF(AND(G870&gt;0,E870=0),"WARNING - no PRICE inserted",IF(H870="free","FREE ~ no charge this plant",IF(H870="credit",CONCATENATE("-$",ROUND(K870*(1-_xlfn.SINGLE(T2GDiscount))*-1,2)," CREDIT after discount"),IF(_xlfn.SINGLE(T2GDiscount)=0,"",IF(G870=0,"",IF(F870="Buy",CONCATENATE("$",ROUND(K870*(1-_xlfn.SINGLE(T2GDiscount)),2)," with ",(_xlfn.SINGLE(T2GDiscount)*100),"% discount"),CONCATENATE("$",ROUND(K870*(1-_xlfn.SINGLE(T2GDiscount)),2)," with ",((_xlfn.SINGLE(T2GDiscount)*100+F870*100)-(_xlfn.SINGLE(T2GDiscount)*100*F870)),IF(F870&gt;0,"% discounts",IF(_xlfn.SINGLE(NoWarrantyDiscount)&gt;0,"% discounts","% discount")))))))))</f>
        <v/>
      </c>
      <c r="N870" s="690"/>
      <c r="O870" s="486"/>
      <c r="P870" s="486"/>
      <c r="Q870" s="486"/>
      <c r="R870" s="486"/>
      <c r="S870" s="486"/>
      <c r="T870" s="102">
        <f t="shared" si="621"/>
        <v>0</v>
      </c>
      <c r="U870" s="78">
        <f>IF(NOT(ISNUMBER(G870)), "", VLOOKUP(A870,'Discount Lookup'!D:E,2,FALSE)*G870)</f>
        <v>0</v>
      </c>
      <c r="V870" s="78">
        <f>IF(NOT(ISNUMBER(G870)), "", VLOOKUP(A870,'Discount Lookup'!G:H,2,FALSE)*G870)</f>
        <v>0</v>
      </c>
      <c r="W870" s="102">
        <f t="shared" si="622"/>
        <v>0</v>
      </c>
      <c r="X870" s="102">
        <f t="shared" si="623"/>
        <v>0</v>
      </c>
      <c r="Y870" s="120" t="b">
        <f t="shared" si="624"/>
        <v>0</v>
      </c>
      <c r="Z870" s="117">
        <f t="shared" si="625"/>
        <v>0</v>
      </c>
      <c r="AA870" s="118"/>
      <c r="AB870" s="118" t="str">
        <f t="shared" si="626"/>
        <v/>
      </c>
      <c r="AC870" s="712" t="str">
        <f>IF(AE870="T2G","no charge",IF(AND(OR(PlanterYesMe="No",PlanterYesMe="N",PlanterYesMe="me"),H870=""),"",IF(H870="credit","NO install",IF(AND(K870="",AE870="me"),"EACH row",IF(AND(K870="images",AE870="me"),"EACH row",IF(D870="","",IF(H870="credit","",IF(AE870="free","re-planting",IF(AE870="me","   not ELP, by",IF(AND(OR(PlanterYesMe="Yes",PlanterYesMe="Y"),G870&gt;0),(VLOOKUP(A870,'Discount Lookup'!J:K,2)*G870*(1-PlanterDiscount)*(1+PlanterDifficultyPercentage)),IF(AE870="ELP",(VLOOKUP(A870,'Discount Lookup'!J:K,2)*G870*(1-PlanterDiscount)*(1+PlanterDifficultyPercentage)),IF(AE870="free","re-planting",IF(G870=0,"",IF(PlanterYesMe="",IF(AE870="me","   not ELP, by",IF(AE870="",IF(G870&gt;0,(VLOOKUP(A870,'Discount Lookup'!J:K,2)*G870*(1-PlanterDiscount)*(1+PlanterDifficultyPercentage)),""),"")),"   not ELP, by"))))))))))))))</f>
        <v/>
      </c>
      <c r="AD870" s="712"/>
      <c r="AE870" s="513" t="str">
        <f t="shared" si="627"/>
        <v/>
      </c>
      <c r="AF870" s="713" t="str">
        <f t="shared" si="628"/>
        <v/>
      </c>
      <c r="AG870" s="713"/>
      <c r="AH870" s="713"/>
      <c r="AI870" s="112">
        <f>IF(H870="credit",0,IF(AE870="free",0,IF(AE870="me",0,IF(G870&gt;0,(VLOOKUP(A870,'Discount Lookup'!J:K,2)*G870),0))))</f>
        <v>0</v>
      </c>
      <c r="AJ870" s="107" t="str">
        <f t="shared" ca="1" si="629"/>
        <v/>
      </c>
      <c r="AK870" s="714" t="str">
        <f t="shared" si="630"/>
        <v/>
      </c>
      <c r="AL870" s="714"/>
      <c r="AM870" s="114" t="str">
        <f t="shared" si="631"/>
        <v/>
      </c>
      <c r="AN870" s="115"/>
      <c r="AO870" s="116"/>
      <c r="AP870" s="116"/>
      <c r="AQ870" s="116"/>
      <c r="AR870" s="116"/>
      <c r="AS870" s="116"/>
      <c r="AT870" s="116"/>
      <c r="AU870" s="116"/>
      <c r="AV870" s="78"/>
      <c r="AW870" s="102"/>
      <c r="AX870" s="78"/>
      <c r="AY870" s="78"/>
      <c r="AZ870" s="78"/>
      <c r="BA870" s="78"/>
      <c r="BB870" s="78"/>
      <c r="BC870" s="78"/>
      <c r="BD870" s="78"/>
      <c r="BE870" s="465"/>
      <c r="BF870" s="165" t="str">
        <f t="shared" si="632"/>
        <v>https://www.google.com/search?tbm=isch&amp;q=15%20G4</v>
      </c>
      <c r="BG870" s="165" t="str">
        <f t="shared" si="633"/>
        <v>C</v>
      </c>
      <c r="BH870" s="65"/>
      <c r="BI870" s="65"/>
      <c r="BJ870" s="65"/>
      <c r="BK870" s="65"/>
      <c r="BL870" s="99"/>
      <c r="BM870" s="99"/>
      <c r="BN870" s="99"/>
    </row>
    <row r="871" spans="1:66" s="51" customFormat="1" ht="27" x14ac:dyDescent="0.25">
      <c r="A871" s="478">
        <v>20</v>
      </c>
      <c r="B871" s="479" t="s">
        <v>291</v>
      </c>
      <c r="C871" s="480" t="s">
        <v>1947</v>
      </c>
      <c r="D871" s="481" t="s">
        <v>299</v>
      </c>
      <c r="E871" s="482">
        <v>559.95000000000005</v>
      </c>
      <c r="F871" s="483" t="s">
        <v>292</v>
      </c>
      <c r="G871" s="484">
        <v>0</v>
      </c>
      <c r="H871" s="688" t="str">
        <f>IF(G871=0,"",IF(F871="Buy",IF(G871=1,"plant","plants"),IF(F871&gt;0.01,"warranty","Error")))</f>
        <v/>
      </c>
      <c r="I871" s="485">
        <f>IF(H871="free",0,IF(H871="credit",((E871*(F871))*G871*-1),IF(F871="Buy",(E871*G871),((E871*(1-F871))*G871))))</f>
        <v>0</v>
      </c>
      <c r="J871" s="485">
        <f>IF(H871="warranty",0,(I871*(_xlfn.SINGLE(SalesTaxPercentage))))</f>
        <v>0</v>
      </c>
      <c r="K871" s="715">
        <f t="shared" ref="K871" si="643">I871+J871</f>
        <v>0</v>
      </c>
      <c r="L871" s="715"/>
      <c r="M871" s="689" t="str">
        <f ca="1">IF(AND(G871&gt;0,E871=0),"WARNING - no PRICE inserted",IF(H871="free","FREE ~ no charge this plant",IF(H871="credit",CONCATENATE("-$",ROUND(K871*(1-_xlfn.SINGLE(T2GDiscount))*-1,2)," CREDIT after discount"),IF(_xlfn.SINGLE(T2GDiscount)=0,"",IF(G871=0,"",IF(F871="Buy",CONCATENATE("$",ROUND(K871*(1-_xlfn.SINGLE(T2GDiscount)),2)," with ",(_xlfn.SINGLE(T2GDiscount)*100),"% discount"),CONCATENATE("$",ROUND(K871*(1-_xlfn.SINGLE(T2GDiscount)),2)," with ",((_xlfn.SINGLE(T2GDiscount)*100+F871*100)-(_xlfn.SINGLE(T2GDiscount)*100*F871)),IF(F871&gt;0,"% discounts",IF(_xlfn.SINGLE(NoWarrantyDiscount)&gt;0,"% discounts","% discount")))))))))</f>
        <v/>
      </c>
      <c r="N871" s="690"/>
      <c r="O871" s="486"/>
      <c r="P871" s="486"/>
      <c r="Q871" s="486"/>
      <c r="R871" s="486"/>
      <c r="S871" s="486"/>
      <c r="T871" s="102">
        <f t="shared" si="621"/>
        <v>0</v>
      </c>
      <c r="U871" s="78">
        <f>IF(NOT(ISNUMBER(G871)), "", VLOOKUP(A871,'Discount Lookup'!D:E,2,FALSE)*G871)</f>
        <v>0</v>
      </c>
      <c r="V871" s="78">
        <f>IF(NOT(ISNUMBER(G871)), "", VLOOKUP(A871,'Discount Lookup'!G:H,2,FALSE)*G871)</f>
        <v>0</v>
      </c>
      <c r="W871" s="102">
        <f t="shared" si="622"/>
        <v>0</v>
      </c>
      <c r="X871" s="102">
        <f t="shared" si="623"/>
        <v>0</v>
      </c>
      <c r="Y871" s="120" t="b">
        <f t="shared" si="624"/>
        <v>0</v>
      </c>
      <c r="Z871" s="117">
        <f t="shared" si="625"/>
        <v>0</v>
      </c>
      <c r="AA871" s="118"/>
      <c r="AB871" s="118" t="str">
        <f t="shared" si="626"/>
        <v/>
      </c>
      <c r="AC871" s="712" t="str">
        <f>IF(AE871="T2G","no charge",IF(AND(OR(PlanterYesMe="No",PlanterYesMe="N",PlanterYesMe="me"),H871=""),"",IF(H871="credit","NO install",IF(AND(K871="",AE871="me"),"EACH row",IF(AND(K871="images",AE871="me"),"EACH row",IF(D871="","",IF(H871="credit","",IF(AE871="free","re-planting",IF(AE871="me","   not ELP, by",IF(AND(OR(PlanterYesMe="Yes",PlanterYesMe="Y"),G871&gt;0),(VLOOKUP(A871,'Discount Lookup'!J:K,2)*G871*(1-PlanterDiscount)*(1+PlanterDifficultyPercentage)),IF(AE871="ELP",(VLOOKUP(A871,'Discount Lookup'!J:K,2)*G871*(1-PlanterDiscount)*(1+PlanterDifficultyPercentage)),IF(AE871="free","re-planting",IF(G871=0,"",IF(PlanterYesMe="",IF(AE871="me","   not ELP, by",IF(AE871="",IF(G871&gt;0,(VLOOKUP(A871,'Discount Lookup'!J:K,2)*G871*(1-PlanterDiscount)*(1+PlanterDifficultyPercentage)),""),"")),"   not ELP, by"))))))))))))))</f>
        <v/>
      </c>
      <c r="AD871" s="712"/>
      <c r="AE871" s="513" t="str">
        <f t="shared" si="627"/>
        <v/>
      </c>
      <c r="AF871" s="713" t="str">
        <f t="shared" si="628"/>
        <v/>
      </c>
      <c r="AG871" s="713"/>
      <c r="AH871" s="713"/>
      <c r="AI871" s="112">
        <f>IF(H871="credit",0,IF(AE871="free",0,IF(AE871="me",0,IF(G871&gt;0,(VLOOKUP(A871,'Discount Lookup'!J:K,2)*G871),0))))</f>
        <v>0</v>
      </c>
      <c r="AJ871" s="107" t="str">
        <f t="shared" ca="1" si="629"/>
        <v/>
      </c>
      <c r="AK871" s="714" t="str">
        <f t="shared" si="630"/>
        <v/>
      </c>
      <c r="AL871" s="714"/>
      <c r="AM871" s="114" t="str">
        <f t="shared" si="631"/>
        <v/>
      </c>
      <c r="AN871" s="115"/>
      <c r="AO871" s="116"/>
      <c r="AP871" s="116"/>
      <c r="AQ871" s="116"/>
      <c r="AR871" s="116"/>
      <c r="AS871" s="116"/>
      <c r="AT871" s="116"/>
      <c r="AU871" s="116"/>
      <c r="AV871" s="78"/>
      <c r="AW871" s="102"/>
      <c r="AX871" s="78"/>
      <c r="AY871" s="78"/>
      <c r="AZ871" s="78"/>
      <c r="BA871" s="78"/>
      <c r="BB871" s="78"/>
      <c r="BC871" s="78"/>
      <c r="BD871" s="78"/>
      <c r="BE871" s="465"/>
      <c r="BF871" s="165" t="str">
        <f t="shared" si="632"/>
        <v>https://www.google.com/search?tbm=isch&amp;q=20%20G4</v>
      </c>
      <c r="BG871" s="165" t="str">
        <f t="shared" si="633"/>
        <v>C</v>
      </c>
      <c r="BH871" s="65"/>
      <c r="BI871" s="65"/>
      <c r="BJ871" s="65"/>
      <c r="BK871" s="65"/>
      <c r="BL871" s="99"/>
      <c r="BM871" s="99"/>
      <c r="BN871" s="99"/>
    </row>
    <row r="872" spans="1:66" s="51" customFormat="1" ht="17.25" thickBot="1" x14ac:dyDescent="0.3">
      <c r="A872" s="508" t="s">
        <v>1948</v>
      </c>
      <c r="B872" s="487"/>
      <c r="C872" s="707"/>
      <c r="D872" s="487"/>
      <c r="E872" s="487"/>
      <c r="F872" s="488"/>
      <c r="G872" s="489"/>
      <c r="H872" s="487"/>
      <c r="I872" s="490"/>
      <c r="J872" s="490"/>
      <c r="K872" s="491"/>
      <c r="L872" s="547"/>
      <c r="M872" s="528"/>
      <c r="N872" s="492"/>
      <c r="O872" s="493"/>
      <c r="P872" s="494"/>
      <c r="Q872" s="492"/>
      <c r="R872" s="492"/>
      <c r="S872" s="699" t="s">
        <v>5277</v>
      </c>
      <c r="T872" s="102">
        <f t="shared" si="621"/>
        <v>0</v>
      </c>
      <c r="U872" s="78" t="str">
        <f>IF(NOT(ISNUMBER(G872)), "", VLOOKUP(A872,'Discount Lookup'!D:E,2,FALSE)*G872)</f>
        <v/>
      </c>
      <c r="V872" s="78" t="str">
        <f>IF(NOT(ISNUMBER(G872)), "", VLOOKUP(A872,'Discount Lookup'!G:H,2,FALSE)*G872)</f>
        <v/>
      </c>
      <c r="W872" s="102">
        <f t="shared" si="622"/>
        <v>0</v>
      </c>
      <c r="X872" s="102">
        <f t="shared" si="623"/>
        <v>0</v>
      </c>
      <c r="Y872" s="120" t="b">
        <f t="shared" si="624"/>
        <v>0</v>
      </c>
      <c r="Z872" s="117">
        <f t="shared" si="625"/>
        <v>0</v>
      </c>
      <c r="AA872" s="118"/>
      <c r="AB872" s="118" t="str">
        <f t="shared" si="626"/>
        <v/>
      </c>
      <c r="AC872" s="712" t="str">
        <f>IF(AE872="T2G","no charge",IF(AND(OR(PlanterYesMe="No",PlanterYesMe="N",PlanterYesMe="me"),H872=""),"",IF(H872="credit","NO install",IF(AND(K872="",AE872="me"),"EACH row",IF(AND(K872="images",AE872="me"),"EACH row",IF(D872="","",IF(H872="credit","",IF(AE872="free","re-planting",IF(AE872="me","   not ELP, by",IF(AND(OR(PlanterYesMe="Yes",PlanterYesMe="Y"),G872&gt;0),(VLOOKUP(A872,'Discount Lookup'!J:K,2)*G872*(1-PlanterDiscount)*(1+PlanterDifficultyPercentage)),IF(AE872="ELP",(VLOOKUP(A872,'Discount Lookup'!J:K,2)*G872*(1-PlanterDiscount)*(1+PlanterDifficultyPercentage)),IF(AE872="free","re-planting",IF(G872=0,"",IF(PlanterYesMe="",IF(AE872="me","   not ELP, by",IF(AE872="",IF(G872&gt;0,(VLOOKUP(A872,'Discount Lookup'!J:K,2)*G872*(1-PlanterDiscount)*(1+PlanterDifficultyPercentage)),""),"")),"   not ELP, by"))))))))))))))</f>
        <v/>
      </c>
      <c r="AD872" s="712"/>
      <c r="AE872" s="513" t="str">
        <f t="shared" si="627"/>
        <v/>
      </c>
      <c r="AF872" s="713" t="str">
        <f t="shared" si="628"/>
        <v/>
      </c>
      <c r="AG872" s="713"/>
      <c r="AH872" s="713"/>
      <c r="AI872" s="112">
        <f>IF(H872="credit",0,IF(AE872="free",0,IF(AE872="me",0,IF(G872&gt;0,(VLOOKUP(A872,'Discount Lookup'!J:K,2)*G872),0))))</f>
        <v>0</v>
      </c>
      <c r="AJ872" s="107" t="str">
        <f t="shared" ca="1" si="629"/>
        <v/>
      </c>
      <c r="AK872" s="714" t="str">
        <f t="shared" si="630"/>
        <v/>
      </c>
      <c r="AL872" s="714"/>
      <c r="AM872" s="114" t="str">
        <f t="shared" si="631"/>
        <v/>
      </c>
      <c r="AN872" s="115"/>
      <c r="AO872" s="116"/>
      <c r="AP872" s="116"/>
      <c r="AQ872" s="116"/>
      <c r="AR872" s="116"/>
      <c r="AS872" s="116"/>
      <c r="AT872" s="116"/>
      <c r="AU872" s="116"/>
      <c r="AV872" s="78"/>
      <c r="AW872" s="102"/>
      <c r="AX872" s="78"/>
      <c r="AY872" s="78"/>
      <c r="AZ872" s="78"/>
      <c r="BA872" s="78"/>
      <c r="BB872" s="78"/>
      <c r="BC872" s="78"/>
      <c r="BD872" s="78"/>
      <c r="BE872" s="465"/>
      <c r="BF872" s="165" t="str">
        <f t="shared" si="632"/>
        <v>https://www.google.com/search?tbm=isch&amp;q=Weeping%20Blue%20Atlas%20steel-blue%20needles%20makes%20for%20a%20dramatic%20specimen.%20Will%20spill%20over%20a%20wall%20</v>
      </c>
      <c r="BG872" s="165" t="str">
        <f t="shared" si="633"/>
        <v>W</v>
      </c>
      <c r="BH872" s="65"/>
      <c r="BI872" s="65"/>
      <c r="BJ872" s="65"/>
      <c r="BK872" s="65"/>
      <c r="BL872" s="99"/>
      <c r="BM872" s="99"/>
      <c r="BN872" s="99"/>
    </row>
    <row r="873" spans="1:66" s="51" customFormat="1" ht="18" x14ac:dyDescent="0.25">
      <c r="A873" s="507" t="s">
        <v>435</v>
      </c>
      <c r="B873" s="470"/>
      <c r="C873" s="706"/>
      <c r="D873" s="471" t="s">
        <v>436</v>
      </c>
      <c r="E873" s="472"/>
      <c r="F873" s="472"/>
      <c r="G873" s="472"/>
      <c r="H873" s="622" t="s">
        <v>347</v>
      </c>
      <c r="I873" s="473" t="s">
        <v>456</v>
      </c>
      <c r="J873" s="472"/>
      <c r="K873" s="472"/>
      <c r="L873" s="561"/>
      <c r="M873" s="698" t="s">
        <v>5240</v>
      </c>
      <c r="N873" s="692" t="str">
        <f>IF(AND(ISTEXT($A873), ISERROR($A873+0)), HYPERLINK($BF873, "Images"), "")</f>
        <v>Images</v>
      </c>
      <c r="O873" s="694" t="s">
        <v>5264</v>
      </c>
      <c r="P873" s="475"/>
      <c r="Q873" s="476"/>
      <c r="R873" s="476"/>
      <c r="S873" s="477"/>
      <c r="T873" s="102">
        <f t="shared" si="621"/>
        <v>0</v>
      </c>
      <c r="U873" s="78" t="str">
        <f>IF(NOT(ISNUMBER(G873)), "", VLOOKUP(A873,'Discount Lookup'!D:E,2,FALSE)*G873)</f>
        <v/>
      </c>
      <c r="V873" s="78" t="str">
        <f>IF(NOT(ISNUMBER(G873)), "", VLOOKUP(A873,'Discount Lookup'!G:H,2,FALSE)*G873)</f>
        <v/>
      </c>
      <c r="W873" s="102">
        <f t="shared" si="622"/>
        <v>0</v>
      </c>
      <c r="X873" s="102" t="str">
        <f t="shared" si="623"/>
        <v>Steel Blue needles</v>
      </c>
      <c r="Y873" s="120" t="b">
        <f t="shared" si="624"/>
        <v>0</v>
      </c>
      <c r="Z873" s="117">
        <f t="shared" si="625"/>
        <v>0</v>
      </c>
      <c r="AA873" s="118"/>
      <c r="AB873" s="118" t="str">
        <f t="shared" si="626"/>
        <v/>
      </c>
      <c r="AC873" s="712" t="str">
        <f>IF(AE873="T2G","no charge",IF(AND(OR(PlanterYesMe="No",PlanterYesMe="N",PlanterYesMe="me"),H873=""),"",IF(H873="credit","NO install",IF(AND(K873="",AE873="me"),"EACH row",IF(AND(K873="images",AE873="me"),"EACH row",IF(D873="","",IF(H873="credit","",IF(AE873="free","re-planting",IF(AE873="me","   not ELP, by",IF(AND(OR(PlanterYesMe="Yes",PlanterYesMe="Y"),G873&gt;0),(VLOOKUP(A873,'Discount Lookup'!J:K,2)*G873*(1-PlanterDiscount)*(1+PlanterDifficultyPercentage)),IF(AE873="ELP",(VLOOKUP(A873,'Discount Lookup'!J:K,2)*G873*(1-PlanterDiscount)*(1+PlanterDifficultyPercentage)),IF(AE873="free","re-planting",IF(G873=0,"",IF(PlanterYesMe="",IF(AE873="me","   not ELP, by",IF(AE873="",IF(G873&gt;0,(VLOOKUP(A873,'Discount Lookup'!J:K,2)*G873*(1-PlanterDiscount)*(1+PlanterDifficultyPercentage)),""),"")),"   not ELP, by"))))))))))))))</f>
        <v/>
      </c>
      <c r="AD873" s="712"/>
      <c r="AE873" s="513" t="str">
        <f t="shared" si="627"/>
        <v/>
      </c>
      <c r="AF873" s="713" t="str">
        <f t="shared" si="628"/>
        <v/>
      </c>
      <c r="AG873" s="713"/>
      <c r="AH873" s="713"/>
      <c r="AI873" s="112">
        <f>IF(H873="credit",0,IF(AE873="free",0,IF(AE873="me",0,IF(G873&gt;0,(VLOOKUP(A873,'Discount Lookup'!J:K,2)*G873),0))))</f>
        <v>0</v>
      </c>
      <c r="AJ873" s="107" t="str">
        <f t="shared" ca="1" si="629"/>
        <v/>
      </c>
      <c r="AK873" s="714" t="str">
        <f t="shared" si="630"/>
        <v/>
      </c>
      <c r="AL873" s="714"/>
      <c r="AM873" s="114" t="str">
        <f t="shared" si="631"/>
        <v/>
      </c>
      <c r="AN873" s="115"/>
      <c r="AO873" s="116"/>
      <c r="AP873" s="116"/>
      <c r="AQ873" s="116"/>
      <c r="AR873" s="116"/>
      <c r="AS873" s="116"/>
      <c r="AT873" s="116"/>
      <c r="AU873" s="116"/>
      <c r="AV873" s="78"/>
      <c r="AW873" s="102"/>
      <c r="AX873" s="78"/>
      <c r="AY873" s="78"/>
      <c r="AZ873" s="78"/>
      <c r="BA873" s="78"/>
      <c r="BB873" s="78"/>
      <c r="BC873" s="78"/>
      <c r="BD873" s="78"/>
      <c r="BE873" s="465"/>
      <c r="BF873" s="165" t="str">
        <f t="shared" si="632"/>
        <v>https://www.google.com/search?tbm=isch&amp;q=Cedrus%20atlantica%20%27Horstmann%27%20Horstmann%20Blue%20Atlas%20Cedar</v>
      </c>
      <c r="BG873" s="165" t="str">
        <f t="shared" si="633"/>
        <v>C</v>
      </c>
      <c r="BH873" s="65"/>
      <c r="BI873" s="65"/>
      <c r="BJ873" s="65"/>
      <c r="BK873" s="65"/>
      <c r="BL873" s="99"/>
      <c r="BM873" s="99"/>
      <c r="BN873" s="99"/>
    </row>
    <row r="874" spans="1:66" s="51" customFormat="1" ht="27" x14ac:dyDescent="0.25">
      <c r="A874" s="478">
        <v>7</v>
      </c>
      <c r="B874" s="479" t="s">
        <v>291</v>
      </c>
      <c r="C874" s="480" t="s">
        <v>928</v>
      </c>
      <c r="D874" s="481" t="s">
        <v>299</v>
      </c>
      <c r="E874" s="482">
        <v>210.95</v>
      </c>
      <c r="F874" s="483" t="s">
        <v>292</v>
      </c>
      <c r="G874" s="484">
        <v>0</v>
      </c>
      <c r="H874" s="688" t="str">
        <f>IF(G874=0,"",IF(F874="Buy",IF(G874=1,"plant","plants"),IF(F874&gt;0.01,"warranty","Error")))</f>
        <v/>
      </c>
      <c r="I874" s="485">
        <f>IF(H874="free",0,IF(H874="credit",((E874*(F874))*G874*-1),IF(F874="Buy",(E874*G874),((E874*(1-F874))*G874))))</f>
        <v>0</v>
      </c>
      <c r="J874" s="485">
        <f>IF(H874="warranty",0,(I874*(_xlfn.SINGLE(SalesTaxPercentage))))</f>
        <v>0</v>
      </c>
      <c r="K874" s="715">
        <f t="shared" ref="K874" si="644">I874+J874</f>
        <v>0</v>
      </c>
      <c r="L874" s="715"/>
      <c r="M874" s="689" t="str">
        <f ca="1">IF(AND(G874&gt;0,E874=0),"WARNING - no PRICE inserted",IF(H874="free","FREE ~ no charge this plant",IF(H874="credit",CONCATENATE("-$",ROUND(K874*(1-_xlfn.SINGLE(T2GDiscount))*-1,2)," CREDIT after discount"),IF(_xlfn.SINGLE(T2GDiscount)=0,"",IF(G874=0,"",IF(F874="Buy",CONCATENATE("$",ROUND(K874*(1-_xlfn.SINGLE(T2GDiscount)),2)," with ",(_xlfn.SINGLE(T2GDiscount)*100),"% discount"),CONCATENATE("$",ROUND(K874*(1-_xlfn.SINGLE(T2GDiscount)),2)," with ",((_xlfn.SINGLE(T2GDiscount)*100+F874*100)-(_xlfn.SINGLE(T2GDiscount)*100*F874)),IF(F874&gt;0,"% discounts",IF(_xlfn.SINGLE(NoWarrantyDiscount)&gt;0,"% discounts","% discount")))))))))</f>
        <v/>
      </c>
      <c r="N874" s="690"/>
      <c r="O874" s="486"/>
      <c r="P874" s="486"/>
      <c r="Q874" s="486"/>
      <c r="R874" s="486"/>
      <c r="S874" s="486"/>
      <c r="T874" s="102">
        <f t="shared" si="621"/>
        <v>0</v>
      </c>
      <c r="U874" s="78">
        <f>IF(NOT(ISNUMBER(G874)), "", VLOOKUP(A874,'Discount Lookup'!D:E,2,FALSE)*G874)</f>
        <v>0</v>
      </c>
      <c r="V874" s="78">
        <f>IF(NOT(ISNUMBER(G874)), "", VLOOKUP(A874,'Discount Lookup'!G:H,2,FALSE)*G874)</f>
        <v>0</v>
      </c>
      <c r="W874" s="102">
        <f t="shared" si="622"/>
        <v>0</v>
      </c>
      <c r="X874" s="102">
        <f t="shared" si="623"/>
        <v>0</v>
      </c>
      <c r="Y874" s="120" t="b">
        <f t="shared" si="624"/>
        <v>0</v>
      </c>
      <c r="Z874" s="117">
        <f t="shared" si="625"/>
        <v>0</v>
      </c>
      <c r="AA874" s="118"/>
      <c r="AB874" s="118" t="str">
        <f t="shared" si="626"/>
        <v/>
      </c>
      <c r="AC874" s="712" t="str">
        <f>IF(AE874="T2G","no charge",IF(AND(OR(PlanterYesMe="No",PlanterYesMe="N",PlanterYesMe="me"),H874=""),"",IF(H874="credit","NO install",IF(AND(K874="",AE874="me"),"EACH row",IF(AND(K874="images",AE874="me"),"EACH row",IF(D874="","",IF(H874="credit","",IF(AE874="free","re-planting",IF(AE874="me","   not ELP, by",IF(AND(OR(PlanterYesMe="Yes",PlanterYesMe="Y"),G874&gt;0),(VLOOKUP(A874,'Discount Lookup'!J:K,2)*G874*(1-PlanterDiscount)*(1+PlanterDifficultyPercentage)),IF(AE874="ELP",(VLOOKUP(A874,'Discount Lookup'!J:K,2)*G874*(1-PlanterDiscount)*(1+PlanterDifficultyPercentage)),IF(AE874="free","re-planting",IF(G874=0,"",IF(PlanterYesMe="",IF(AE874="me","   not ELP, by",IF(AE874="",IF(G874&gt;0,(VLOOKUP(A874,'Discount Lookup'!J:K,2)*G874*(1-PlanterDiscount)*(1+PlanterDifficultyPercentage)),""),"")),"   not ELP, by"))))))))))))))</f>
        <v/>
      </c>
      <c r="AD874" s="712"/>
      <c r="AE874" s="513" t="str">
        <f t="shared" si="627"/>
        <v/>
      </c>
      <c r="AF874" s="713" t="str">
        <f t="shared" si="628"/>
        <v/>
      </c>
      <c r="AG874" s="713"/>
      <c r="AH874" s="713"/>
      <c r="AI874" s="112">
        <f>IF(H874="credit",0,IF(AE874="free",0,IF(AE874="me",0,IF(G874&gt;0,(VLOOKUP(A874,'Discount Lookup'!J:K,2)*G874),0))))</f>
        <v>0</v>
      </c>
      <c r="AJ874" s="107" t="str">
        <f t="shared" ca="1" si="629"/>
        <v/>
      </c>
      <c r="AK874" s="714" t="str">
        <f t="shared" si="630"/>
        <v/>
      </c>
      <c r="AL874" s="714"/>
      <c r="AM874" s="114" t="str">
        <f t="shared" si="631"/>
        <v/>
      </c>
      <c r="AN874" s="115"/>
      <c r="AO874" s="116"/>
      <c r="AP874" s="116"/>
      <c r="AQ874" s="116"/>
      <c r="AR874" s="116"/>
      <c r="AS874" s="116"/>
      <c r="AT874" s="116"/>
      <c r="AU874" s="116"/>
      <c r="AV874" s="78"/>
      <c r="AW874" s="102"/>
      <c r="AX874" s="78"/>
      <c r="AY874" s="78"/>
      <c r="AZ874" s="78"/>
      <c r="BA874" s="78"/>
      <c r="BB874" s="78"/>
      <c r="BC874" s="78"/>
      <c r="BD874" s="78"/>
      <c r="BE874" s="465"/>
      <c r="BF874" s="165" t="str">
        <f t="shared" si="632"/>
        <v>https://www.google.com/search?tbm=isch&amp;q=7%20G4</v>
      </c>
      <c r="BG874" s="165" t="str">
        <f t="shared" si="633"/>
        <v>C</v>
      </c>
      <c r="BH874" s="65"/>
      <c r="BI874" s="65"/>
      <c r="BJ874" s="65"/>
      <c r="BK874" s="65"/>
      <c r="BL874" s="99"/>
      <c r="BM874" s="99"/>
      <c r="BN874" s="99"/>
    </row>
    <row r="875" spans="1:66" s="51" customFormat="1" ht="27" x14ac:dyDescent="0.25">
      <c r="A875" s="478">
        <v>15</v>
      </c>
      <c r="B875" s="479" t="s">
        <v>291</v>
      </c>
      <c r="C875" s="480" t="s">
        <v>929</v>
      </c>
      <c r="D875" s="481" t="s">
        <v>299</v>
      </c>
      <c r="E875" s="482">
        <v>339.95</v>
      </c>
      <c r="F875" s="483" t="s">
        <v>292</v>
      </c>
      <c r="G875" s="484">
        <v>0</v>
      </c>
      <c r="H875" s="688" t="str">
        <f>IF(G875=0,"",IF(F875="Buy",IF(G875=1,"plant","plants"),IF(F875&gt;0.01,"warranty","Error")))</f>
        <v/>
      </c>
      <c r="I875" s="485">
        <f>IF(H875="free",0,IF(H875="credit",((E875*(F875))*G875*-1),IF(F875="Buy",(E875*G875),((E875*(1-F875))*G875))))</f>
        <v>0</v>
      </c>
      <c r="J875" s="485">
        <f>IF(H875="warranty",0,(I875*(_xlfn.SINGLE(SalesTaxPercentage))))</f>
        <v>0</v>
      </c>
      <c r="K875" s="715">
        <f t="shared" ref="K875" si="645">I875+J875</f>
        <v>0</v>
      </c>
      <c r="L875" s="715"/>
      <c r="M875" s="689" t="str">
        <f ca="1">IF(AND(G875&gt;0,E875=0),"WARNING - no PRICE inserted",IF(H875="free","FREE ~ no charge this plant",IF(H875="credit",CONCATENATE("-$",ROUND(K875*(1-_xlfn.SINGLE(T2GDiscount))*-1,2)," CREDIT after discount"),IF(_xlfn.SINGLE(T2GDiscount)=0,"",IF(G875=0,"",IF(F875="Buy",CONCATENATE("$",ROUND(K875*(1-_xlfn.SINGLE(T2GDiscount)),2)," with ",(_xlfn.SINGLE(T2GDiscount)*100),"% discount"),CONCATENATE("$",ROUND(K875*(1-_xlfn.SINGLE(T2GDiscount)),2)," with ",((_xlfn.SINGLE(T2GDiscount)*100+F875*100)-(_xlfn.SINGLE(T2GDiscount)*100*F875)),IF(F875&gt;0,"% discounts",IF(_xlfn.SINGLE(NoWarrantyDiscount)&gt;0,"% discounts","% discount")))))))))</f>
        <v/>
      </c>
      <c r="N875" s="690"/>
      <c r="O875" s="486"/>
      <c r="P875" s="486"/>
      <c r="Q875" s="486"/>
      <c r="R875" s="486"/>
      <c r="S875" s="486"/>
      <c r="T875" s="102">
        <f t="shared" si="621"/>
        <v>0</v>
      </c>
      <c r="U875" s="78">
        <f>IF(NOT(ISNUMBER(G875)), "", VLOOKUP(A875,'Discount Lookup'!D:E,2,FALSE)*G875)</f>
        <v>0</v>
      </c>
      <c r="V875" s="78">
        <f>IF(NOT(ISNUMBER(G875)), "", VLOOKUP(A875,'Discount Lookup'!G:H,2,FALSE)*G875)</f>
        <v>0</v>
      </c>
      <c r="W875" s="102">
        <f t="shared" si="622"/>
        <v>0</v>
      </c>
      <c r="X875" s="102">
        <f t="shared" si="623"/>
        <v>0</v>
      </c>
      <c r="Y875" s="120" t="b">
        <f t="shared" si="624"/>
        <v>0</v>
      </c>
      <c r="Z875" s="117">
        <f t="shared" si="625"/>
        <v>0</v>
      </c>
      <c r="AA875" s="118"/>
      <c r="AB875" s="118" t="str">
        <f t="shared" si="626"/>
        <v/>
      </c>
      <c r="AC875" s="712" t="str">
        <f>IF(AE875="T2G","no charge",IF(AND(OR(PlanterYesMe="No",PlanterYesMe="N",PlanterYesMe="me"),H875=""),"",IF(H875="credit","NO install",IF(AND(K875="",AE875="me"),"EACH row",IF(AND(K875="images",AE875="me"),"EACH row",IF(D875="","",IF(H875="credit","",IF(AE875="free","re-planting",IF(AE875="me","   not ELP, by",IF(AND(OR(PlanterYesMe="Yes",PlanterYesMe="Y"),G875&gt;0),(VLOOKUP(A875,'Discount Lookup'!J:K,2)*G875*(1-PlanterDiscount)*(1+PlanterDifficultyPercentage)),IF(AE875="ELP",(VLOOKUP(A875,'Discount Lookup'!J:K,2)*G875*(1-PlanterDiscount)*(1+PlanterDifficultyPercentage)),IF(AE875="free","re-planting",IF(G875=0,"",IF(PlanterYesMe="",IF(AE875="me","   not ELP, by",IF(AE875="",IF(G875&gt;0,(VLOOKUP(A875,'Discount Lookup'!J:K,2)*G875*(1-PlanterDiscount)*(1+PlanterDifficultyPercentage)),""),"")),"   not ELP, by"))))))))))))))</f>
        <v/>
      </c>
      <c r="AD875" s="712"/>
      <c r="AE875" s="513" t="str">
        <f t="shared" si="627"/>
        <v/>
      </c>
      <c r="AF875" s="713" t="str">
        <f t="shared" si="628"/>
        <v/>
      </c>
      <c r="AG875" s="713"/>
      <c r="AH875" s="713"/>
      <c r="AI875" s="112">
        <f>IF(H875="credit",0,IF(AE875="free",0,IF(AE875="me",0,IF(G875&gt;0,(VLOOKUP(A875,'Discount Lookup'!J:K,2)*G875),0))))</f>
        <v>0</v>
      </c>
      <c r="AJ875" s="107" t="str">
        <f t="shared" ca="1" si="629"/>
        <v/>
      </c>
      <c r="AK875" s="714" t="str">
        <f t="shared" si="630"/>
        <v/>
      </c>
      <c r="AL875" s="714"/>
      <c r="AM875" s="114" t="str">
        <f t="shared" si="631"/>
        <v/>
      </c>
      <c r="AN875" s="115"/>
      <c r="AO875" s="116"/>
      <c r="AP875" s="116"/>
      <c r="AQ875" s="116"/>
      <c r="AR875" s="116"/>
      <c r="AS875" s="116"/>
      <c r="AT875" s="116"/>
      <c r="AU875" s="116"/>
      <c r="AV875" s="78"/>
      <c r="AW875" s="102"/>
      <c r="AX875" s="78"/>
      <c r="AY875" s="78"/>
      <c r="AZ875" s="78"/>
      <c r="BA875" s="78"/>
      <c r="BB875" s="78"/>
      <c r="BC875" s="78"/>
      <c r="BD875" s="78"/>
      <c r="BE875" s="465"/>
      <c r="BF875" s="165" t="str">
        <f t="shared" si="632"/>
        <v>https://www.google.com/search?tbm=isch&amp;q=15%20G4</v>
      </c>
      <c r="BG875" s="165" t="str">
        <f t="shared" si="633"/>
        <v>C</v>
      </c>
      <c r="BH875" s="65"/>
      <c r="BI875" s="65"/>
      <c r="BJ875" s="65"/>
      <c r="BK875" s="65"/>
      <c r="BL875" s="99"/>
      <c r="BM875" s="99"/>
      <c r="BN875" s="99"/>
    </row>
    <row r="876" spans="1:66" s="51" customFormat="1" ht="15.75" x14ac:dyDescent="0.25">
      <c r="A876" s="478">
        <v>45</v>
      </c>
      <c r="B876" s="479" t="s">
        <v>291</v>
      </c>
      <c r="C876" s="480" t="s">
        <v>930</v>
      </c>
      <c r="D876" s="481" t="s">
        <v>299</v>
      </c>
      <c r="E876" s="482">
        <v>607.95000000000005</v>
      </c>
      <c r="F876" s="483" t="s">
        <v>292</v>
      </c>
      <c r="G876" s="484">
        <v>0</v>
      </c>
      <c r="H876" s="688" t="str">
        <f>IF(G876=0,"",IF(F876="Buy",IF(G876=1,"plant","plants"),IF(F876&gt;0.01,"warranty","Error")))</f>
        <v/>
      </c>
      <c r="I876" s="485">
        <f>IF(H876="free",0,IF(H876="credit",((E876*(F876))*G876*-1),IF(F876="Buy",(E876*G876),((E876*(1-F876))*G876))))</f>
        <v>0</v>
      </c>
      <c r="J876" s="485">
        <f>IF(H876="warranty",0,(I876*(_xlfn.SINGLE(SalesTaxPercentage))))</f>
        <v>0</v>
      </c>
      <c r="K876" s="715">
        <f t="shared" ref="K876" si="646">I876+J876</f>
        <v>0</v>
      </c>
      <c r="L876" s="715"/>
      <c r="M876" s="689" t="str">
        <f ca="1">IF(AND(G876&gt;0,E876=0),"WARNING - no PRICE inserted",IF(H876="free","FREE ~ no charge this plant",IF(H876="credit",CONCATENATE("-$",ROUND(K876*(1-_xlfn.SINGLE(T2GDiscount))*-1,2)," CREDIT after discount"),IF(_xlfn.SINGLE(T2GDiscount)=0,"",IF(G876=0,"",IF(F876="Buy",CONCATENATE("$",ROUND(K876*(1-_xlfn.SINGLE(T2GDiscount)),2)," with ",(_xlfn.SINGLE(T2GDiscount)*100),"% discount"),CONCATENATE("$",ROUND(K876*(1-_xlfn.SINGLE(T2GDiscount)),2)," with ",((_xlfn.SINGLE(T2GDiscount)*100+F876*100)-(_xlfn.SINGLE(T2GDiscount)*100*F876)),IF(F876&gt;0,"% discounts",IF(_xlfn.SINGLE(NoWarrantyDiscount)&gt;0,"% discounts","% discount")))))))))</f>
        <v/>
      </c>
      <c r="N876" s="690"/>
      <c r="O876" s="486"/>
      <c r="P876" s="486"/>
      <c r="Q876" s="486"/>
      <c r="R876" s="486"/>
      <c r="S876" s="486"/>
      <c r="T876" s="102">
        <f t="shared" si="621"/>
        <v>0</v>
      </c>
      <c r="U876" s="78">
        <f>IF(NOT(ISNUMBER(G876)), "", VLOOKUP(A876,'Discount Lookup'!D:E,2,FALSE)*G876)</f>
        <v>0</v>
      </c>
      <c r="V876" s="78">
        <f>IF(NOT(ISNUMBER(G876)), "", VLOOKUP(A876,'Discount Lookup'!G:H,2,FALSE)*G876)</f>
        <v>0</v>
      </c>
      <c r="W876" s="102">
        <f t="shared" si="622"/>
        <v>0</v>
      </c>
      <c r="X876" s="102">
        <f t="shared" si="623"/>
        <v>0</v>
      </c>
      <c r="Y876" s="120" t="b">
        <f t="shared" si="624"/>
        <v>0</v>
      </c>
      <c r="Z876" s="117">
        <f t="shared" si="625"/>
        <v>0</v>
      </c>
      <c r="AA876" s="118"/>
      <c r="AB876" s="118" t="str">
        <f t="shared" si="626"/>
        <v/>
      </c>
      <c r="AC876" s="712" t="str">
        <f>IF(AE876="T2G","no charge",IF(AND(OR(PlanterYesMe="No",PlanterYesMe="N",PlanterYesMe="me"),H876=""),"",IF(H876="credit","NO install",IF(AND(K876="",AE876="me"),"EACH row",IF(AND(K876="images",AE876="me"),"EACH row",IF(D876="","",IF(H876="credit","",IF(AE876="free","re-planting",IF(AE876="me","   not ELP, by",IF(AND(OR(PlanterYesMe="Yes",PlanterYesMe="Y"),G876&gt;0),(VLOOKUP(A876,'Discount Lookup'!J:K,2)*G876*(1-PlanterDiscount)*(1+PlanterDifficultyPercentage)),IF(AE876="ELP",(VLOOKUP(A876,'Discount Lookup'!J:K,2)*G876*(1-PlanterDiscount)*(1+PlanterDifficultyPercentage)),IF(AE876="free","re-planting",IF(G876=0,"",IF(PlanterYesMe="",IF(AE876="me","   not ELP, by",IF(AE876="",IF(G876&gt;0,(VLOOKUP(A876,'Discount Lookup'!J:K,2)*G876*(1-PlanterDiscount)*(1+PlanterDifficultyPercentage)),""),"")),"   not ELP, by"))))))))))))))</f>
        <v/>
      </c>
      <c r="AD876" s="712"/>
      <c r="AE876" s="513" t="str">
        <f t="shared" si="627"/>
        <v/>
      </c>
      <c r="AF876" s="713" t="str">
        <f t="shared" si="628"/>
        <v/>
      </c>
      <c r="AG876" s="713"/>
      <c r="AH876" s="713"/>
      <c r="AI876" s="112">
        <f>IF(H876="credit",0,IF(AE876="free",0,IF(AE876="me",0,IF(G876&gt;0,(VLOOKUP(A876,'Discount Lookup'!J:K,2)*G876),0))))</f>
        <v>0</v>
      </c>
      <c r="AJ876" s="107" t="str">
        <f t="shared" ca="1" si="629"/>
        <v/>
      </c>
      <c r="AK876" s="714" t="str">
        <f t="shared" si="630"/>
        <v/>
      </c>
      <c r="AL876" s="714"/>
      <c r="AM876" s="114" t="str">
        <f t="shared" si="631"/>
        <v/>
      </c>
      <c r="AN876" s="115"/>
      <c r="AO876" s="116"/>
      <c r="AP876" s="116"/>
      <c r="AQ876" s="116"/>
      <c r="AR876" s="116"/>
      <c r="AS876" s="116"/>
      <c r="AT876" s="116"/>
      <c r="AU876" s="116"/>
      <c r="AV876" s="78"/>
      <c r="AW876" s="102"/>
      <c r="AX876" s="78"/>
      <c r="AY876" s="78"/>
      <c r="AZ876" s="78"/>
      <c r="BA876" s="78"/>
      <c r="BB876" s="78"/>
      <c r="BC876" s="78"/>
      <c r="BD876" s="78"/>
      <c r="BE876" s="465"/>
      <c r="BF876" s="165" t="str">
        <f t="shared" si="632"/>
        <v>https://www.google.com/search?tbm=isch&amp;q=45%20G4</v>
      </c>
      <c r="BG876" s="165" t="str">
        <f t="shared" si="633"/>
        <v>C</v>
      </c>
      <c r="BH876" s="65"/>
      <c r="BI876" s="65"/>
      <c r="BJ876" s="65"/>
      <c r="BK876" s="65"/>
      <c r="BL876" s="99"/>
      <c r="BM876" s="99"/>
      <c r="BN876" s="99"/>
    </row>
    <row r="877" spans="1:66" s="51" customFormat="1" ht="17.25" thickBot="1" x14ac:dyDescent="0.3">
      <c r="A877" s="508" t="s">
        <v>437</v>
      </c>
      <c r="B877" s="487"/>
      <c r="C877" s="707"/>
      <c r="D877" s="487"/>
      <c r="E877" s="487"/>
      <c r="F877" s="488"/>
      <c r="G877" s="489"/>
      <c r="H877" s="487"/>
      <c r="I877" s="490"/>
      <c r="J877" s="490"/>
      <c r="K877" s="491"/>
      <c r="L877" s="547"/>
      <c r="M877" s="528"/>
      <c r="N877" s="492"/>
      <c r="O877" s="493"/>
      <c r="P877" s="494"/>
      <c r="Q877" s="492"/>
      <c r="R877" s="492"/>
      <c r="S877" s="699" t="s">
        <v>5268</v>
      </c>
      <c r="T877" s="102">
        <f t="shared" si="621"/>
        <v>0</v>
      </c>
      <c r="U877" s="78" t="str">
        <f>IF(NOT(ISNUMBER(G877)), "", VLOOKUP(A877,'Discount Lookup'!D:E,2,FALSE)*G877)</f>
        <v/>
      </c>
      <c r="V877" s="78" t="str">
        <f>IF(NOT(ISNUMBER(G877)), "", VLOOKUP(A877,'Discount Lookup'!G:H,2,FALSE)*G877)</f>
        <v/>
      </c>
      <c r="W877" s="102">
        <f t="shared" si="622"/>
        <v>0</v>
      </c>
      <c r="X877" s="102">
        <f t="shared" si="623"/>
        <v>0</v>
      </c>
      <c r="Y877" s="120" t="b">
        <f t="shared" si="624"/>
        <v>0</v>
      </c>
      <c r="Z877" s="117">
        <f t="shared" si="625"/>
        <v>0</v>
      </c>
      <c r="AA877" s="118"/>
      <c r="AB877" s="118" t="str">
        <f t="shared" si="626"/>
        <v/>
      </c>
      <c r="AC877" s="712" t="str">
        <f>IF(AE877="T2G","no charge",IF(AND(OR(PlanterYesMe="No",PlanterYesMe="N",PlanterYesMe="me"),H877=""),"",IF(H877="credit","NO install",IF(AND(K877="",AE877="me"),"EACH row",IF(AND(K877="images",AE877="me"),"EACH row",IF(D877="","",IF(H877="credit","",IF(AE877="free","re-planting",IF(AE877="me","   not ELP, by",IF(AND(OR(PlanterYesMe="Yes",PlanterYesMe="Y"),G877&gt;0),(VLOOKUP(A877,'Discount Lookup'!J:K,2)*G877*(1-PlanterDiscount)*(1+PlanterDifficultyPercentage)),IF(AE877="ELP",(VLOOKUP(A877,'Discount Lookup'!J:K,2)*G877*(1-PlanterDiscount)*(1+PlanterDifficultyPercentage)),IF(AE877="free","re-planting",IF(G877=0,"",IF(PlanterYesMe="",IF(AE877="me","   not ELP, by",IF(AE877="",IF(G877&gt;0,(VLOOKUP(A877,'Discount Lookup'!J:K,2)*G877*(1-PlanterDiscount)*(1+PlanterDifficultyPercentage)),""),"")),"   not ELP, by"))))))))))))))</f>
        <v/>
      </c>
      <c r="AD877" s="712"/>
      <c r="AE877" s="513" t="str">
        <f t="shared" si="627"/>
        <v/>
      </c>
      <c r="AF877" s="713" t="str">
        <f t="shared" si="628"/>
        <v/>
      </c>
      <c r="AG877" s="713"/>
      <c r="AH877" s="713"/>
      <c r="AI877" s="112">
        <f>IF(H877="credit",0,IF(AE877="free",0,IF(AE877="me",0,IF(G877&gt;0,(VLOOKUP(A877,'Discount Lookup'!J:K,2)*G877),0))))</f>
        <v>0</v>
      </c>
      <c r="AJ877" s="107" t="str">
        <f t="shared" ca="1" si="629"/>
        <v/>
      </c>
      <c r="AK877" s="714" t="str">
        <f t="shared" si="630"/>
        <v/>
      </c>
      <c r="AL877" s="714"/>
      <c r="AM877" s="114" t="str">
        <f t="shared" si="631"/>
        <v/>
      </c>
      <c r="AN877" s="115"/>
      <c r="AO877" s="116"/>
      <c r="AP877" s="116"/>
      <c r="AQ877" s="116"/>
      <c r="AR877" s="116"/>
      <c r="AS877" s="116"/>
      <c r="AT877" s="116"/>
      <c r="AU877" s="116"/>
      <c r="AV877" s="78"/>
      <c r="AW877" s="102"/>
      <c r="AX877" s="78"/>
      <c r="AY877" s="78"/>
      <c r="AZ877" s="78"/>
      <c r="BA877" s="78"/>
      <c r="BB877" s="78"/>
      <c r="BC877" s="78"/>
      <c r="BD877" s="78"/>
      <c r="BE877" s="465"/>
      <c r="BF877" s="165" t="str">
        <f t="shared" si="632"/>
        <v>https://www.google.com/search?tbm=isch&amp;q=Horstmann%20makes%20a%20fine%20architectural%20specimen.%20Minimal%20pruning%20and%20year-round%20color%20</v>
      </c>
      <c r="BG877" s="165" t="str">
        <f t="shared" si="633"/>
        <v>H</v>
      </c>
      <c r="BH877" s="65"/>
      <c r="BI877" s="65"/>
      <c r="BJ877" s="65"/>
      <c r="BK877" s="65"/>
      <c r="BL877" s="99"/>
      <c r="BM877" s="99"/>
      <c r="BN877" s="99"/>
    </row>
    <row r="878" spans="1:66" s="51" customFormat="1" ht="18" x14ac:dyDescent="0.25">
      <c r="A878" s="507" t="s">
        <v>303</v>
      </c>
      <c r="B878" s="470"/>
      <c r="C878" s="706"/>
      <c r="D878" s="471" t="s">
        <v>304</v>
      </c>
      <c r="E878" s="472"/>
      <c r="F878" s="472"/>
      <c r="G878" s="472"/>
      <c r="H878" s="622" t="s">
        <v>344</v>
      </c>
      <c r="I878" s="473" t="s">
        <v>442</v>
      </c>
      <c r="J878" s="472"/>
      <c r="K878" s="472"/>
      <c r="L878" s="561"/>
      <c r="M878" s="698" t="s">
        <v>5240</v>
      </c>
      <c r="N878" s="692" t="str">
        <f>IF(AND(ISTEXT($A878), ISERROR($A878+0)), HYPERLINK($BF878, "Images"), "")</f>
        <v>Images</v>
      </c>
      <c r="O878" s="694" t="s">
        <v>5247</v>
      </c>
      <c r="P878" s="475"/>
      <c r="Q878" s="476"/>
      <c r="R878" s="476"/>
      <c r="S878" s="477"/>
      <c r="T878" s="102">
        <f t="shared" si="621"/>
        <v>0</v>
      </c>
      <c r="U878" s="78" t="str">
        <f>IF(NOT(ISNUMBER(G878)), "", VLOOKUP(A878,'Discount Lookup'!D:E,2,FALSE)*G878)</f>
        <v/>
      </c>
      <c r="V878" s="78" t="str">
        <f>IF(NOT(ISNUMBER(G878)), "", VLOOKUP(A878,'Discount Lookup'!G:H,2,FALSE)*G878)</f>
        <v/>
      </c>
      <c r="W878" s="102">
        <f t="shared" si="622"/>
        <v>0</v>
      </c>
      <c r="X878" s="102" t="str">
        <f t="shared" si="623"/>
        <v>Blue-Gray-Green needles</v>
      </c>
      <c r="Y878" s="120" t="b">
        <f t="shared" si="624"/>
        <v>0</v>
      </c>
      <c r="Z878" s="117">
        <f t="shared" si="625"/>
        <v>0</v>
      </c>
      <c r="AA878" s="118"/>
      <c r="AB878" s="118" t="str">
        <f t="shared" si="626"/>
        <v/>
      </c>
      <c r="AC878" s="712" t="str">
        <f>IF(AE878="T2G","no charge",IF(AND(OR(PlanterYesMe="No",PlanterYesMe="N",PlanterYesMe="me"),H878=""),"",IF(H878="credit","NO install",IF(AND(K878="",AE878="me"),"EACH row",IF(AND(K878="images",AE878="me"),"EACH row",IF(D878="","",IF(H878="credit","",IF(AE878="free","re-planting",IF(AE878="me","   not ELP, by",IF(AND(OR(PlanterYesMe="Yes",PlanterYesMe="Y"),G878&gt;0),(VLOOKUP(A878,'Discount Lookup'!J:K,2)*G878*(1-PlanterDiscount)*(1+PlanterDifficultyPercentage)),IF(AE878="ELP",(VLOOKUP(A878,'Discount Lookup'!J:K,2)*G878*(1-PlanterDiscount)*(1+PlanterDifficultyPercentage)),IF(AE878="free","re-planting",IF(G878=0,"",IF(PlanterYesMe="",IF(AE878="me","   not ELP, by",IF(AE878="",IF(G878&gt;0,(VLOOKUP(A878,'Discount Lookup'!J:K,2)*G878*(1-PlanterDiscount)*(1+PlanterDifficultyPercentage)),""),"")),"   not ELP, by"))))))))))))))</f>
        <v/>
      </c>
      <c r="AD878" s="712"/>
      <c r="AE878" s="513" t="str">
        <f t="shared" si="627"/>
        <v/>
      </c>
      <c r="AF878" s="713" t="str">
        <f t="shared" si="628"/>
        <v/>
      </c>
      <c r="AG878" s="713"/>
      <c r="AH878" s="713"/>
      <c r="AI878" s="112">
        <f>IF(H878="credit",0,IF(AE878="free",0,IF(AE878="me",0,IF(G878&gt;0,(VLOOKUP(A878,'Discount Lookup'!J:K,2)*G878),0))))</f>
        <v>0</v>
      </c>
      <c r="AJ878" s="107" t="str">
        <f t="shared" ca="1" si="629"/>
        <v/>
      </c>
      <c r="AK878" s="714" t="str">
        <f t="shared" si="630"/>
        <v/>
      </c>
      <c r="AL878" s="714"/>
      <c r="AM878" s="114" t="str">
        <f t="shared" si="631"/>
        <v/>
      </c>
      <c r="AN878" s="115"/>
      <c r="AO878" s="116"/>
      <c r="AP878" s="116"/>
      <c r="AQ878" s="116"/>
      <c r="AR878" s="116"/>
      <c r="AS878" s="116"/>
      <c r="AT878" s="116"/>
      <c r="AU878" s="116"/>
      <c r="AV878" s="78"/>
      <c r="AW878" s="102"/>
      <c r="AX878" s="78"/>
      <c r="AY878" s="78"/>
      <c r="AZ878" s="78"/>
      <c r="BA878" s="78"/>
      <c r="BB878" s="78"/>
      <c r="BC878" s="78"/>
      <c r="BD878" s="78"/>
      <c r="BE878" s="465"/>
      <c r="BF878" s="165" t="str">
        <f t="shared" si="632"/>
        <v>https://www.google.com/search?tbm=isch&amp;q=Cedrus%20deodara%20Deodar%20Cedar</v>
      </c>
      <c r="BG878" s="165" t="str">
        <f t="shared" si="633"/>
        <v>C</v>
      </c>
      <c r="BH878" s="65"/>
      <c r="BI878" s="65"/>
      <c r="BJ878" s="65"/>
      <c r="BK878" s="65"/>
      <c r="BL878" s="99"/>
      <c r="BM878" s="99"/>
      <c r="BN878" s="99"/>
    </row>
    <row r="879" spans="1:66" s="51" customFormat="1" ht="27" x14ac:dyDescent="0.25">
      <c r="A879" s="478">
        <v>7</v>
      </c>
      <c r="B879" s="479" t="s">
        <v>291</v>
      </c>
      <c r="C879" s="480" t="s">
        <v>931</v>
      </c>
      <c r="D879" s="481" t="s">
        <v>299</v>
      </c>
      <c r="E879" s="482">
        <v>104.95</v>
      </c>
      <c r="F879" s="483" t="s">
        <v>292</v>
      </c>
      <c r="G879" s="484">
        <v>0</v>
      </c>
      <c r="H879" s="688" t="str">
        <f>IF(G879=0,"",IF(F879="Buy",IF(G879=1,"plant","plants"),IF(F879&gt;0.01,"warranty","Error")))</f>
        <v/>
      </c>
      <c r="I879" s="485">
        <f>IF(H879="free",0,IF(H879="credit",((E879*(F879))*G879*-1),IF(F879="Buy",(E879*G879),((E879*(1-F879))*G879))))</f>
        <v>0</v>
      </c>
      <c r="J879" s="485">
        <f>IF(H879="warranty",0,(I879*(_xlfn.SINGLE(SalesTaxPercentage))))</f>
        <v>0</v>
      </c>
      <c r="K879" s="715">
        <f t="shared" ref="K879" si="647">I879+J879</f>
        <v>0</v>
      </c>
      <c r="L879" s="715"/>
      <c r="M879" s="689" t="str">
        <f ca="1">IF(AND(G879&gt;0,E879=0),"WARNING - no PRICE inserted",IF(H879="free","FREE ~ no charge this plant",IF(H879="credit",CONCATENATE("-$",ROUND(K879*(1-_xlfn.SINGLE(T2GDiscount))*-1,2)," CREDIT after discount"),IF(_xlfn.SINGLE(T2GDiscount)=0,"",IF(G879=0,"",IF(F879="Buy",CONCATENATE("$",ROUND(K879*(1-_xlfn.SINGLE(T2GDiscount)),2)," with ",(_xlfn.SINGLE(T2GDiscount)*100),"% discount"),CONCATENATE("$",ROUND(K879*(1-_xlfn.SINGLE(T2GDiscount)),2)," with ",((_xlfn.SINGLE(T2GDiscount)*100+F879*100)-(_xlfn.SINGLE(T2GDiscount)*100*F879)),IF(F879&gt;0,"% discounts",IF(_xlfn.SINGLE(NoWarrantyDiscount)&gt;0,"% discounts","% discount")))))))))</f>
        <v/>
      </c>
      <c r="N879" s="690"/>
      <c r="O879" s="486"/>
      <c r="P879" s="486"/>
      <c r="Q879" s="486"/>
      <c r="R879" s="486"/>
      <c r="S879" s="486"/>
      <c r="T879" s="102">
        <f t="shared" si="621"/>
        <v>0</v>
      </c>
      <c r="U879" s="78">
        <f>IF(NOT(ISNUMBER(G879)), "", VLOOKUP(A879,'Discount Lookup'!D:E,2,FALSE)*G879)</f>
        <v>0</v>
      </c>
      <c r="V879" s="78">
        <f>IF(NOT(ISNUMBER(G879)), "", VLOOKUP(A879,'Discount Lookup'!G:H,2,FALSE)*G879)</f>
        <v>0</v>
      </c>
      <c r="W879" s="102">
        <f t="shared" si="622"/>
        <v>0</v>
      </c>
      <c r="X879" s="102">
        <f t="shared" si="623"/>
        <v>0</v>
      </c>
      <c r="Y879" s="120" t="b">
        <f t="shared" si="624"/>
        <v>0</v>
      </c>
      <c r="Z879" s="117">
        <f t="shared" si="625"/>
        <v>0</v>
      </c>
      <c r="AA879" s="118"/>
      <c r="AB879" s="118" t="str">
        <f t="shared" si="626"/>
        <v/>
      </c>
      <c r="AC879" s="712" t="str">
        <f>IF(AE879="T2G","no charge",IF(AND(OR(PlanterYesMe="No",PlanterYesMe="N",PlanterYesMe="me"),H879=""),"",IF(H879="credit","NO install",IF(AND(K879="",AE879="me"),"EACH row",IF(AND(K879="images",AE879="me"),"EACH row",IF(D879="","",IF(H879="credit","",IF(AE879="free","re-planting",IF(AE879="me","   not ELP, by",IF(AND(OR(PlanterYesMe="Yes",PlanterYesMe="Y"),G879&gt;0),(VLOOKUP(A879,'Discount Lookup'!J:K,2)*G879*(1-PlanterDiscount)*(1+PlanterDifficultyPercentage)),IF(AE879="ELP",(VLOOKUP(A879,'Discount Lookup'!J:K,2)*G879*(1-PlanterDiscount)*(1+PlanterDifficultyPercentage)),IF(AE879="free","re-planting",IF(G879=0,"",IF(PlanterYesMe="",IF(AE879="me","   not ELP, by",IF(AE879="",IF(G879&gt;0,(VLOOKUP(A879,'Discount Lookup'!J:K,2)*G879*(1-PlanterDiscount)*(1+PlanterDifficultyPercentage)),""),"")),"   not ELP, by"))))))))))))))</f>
        <v/>
      </c>
      <c r="AD879" s="712"/>
      <c r="AE879" s="513" t="str">
        <f t="shared" si="627"/>
        <v/>
      </c>
      <c r="AF879" s="713" t="str">
        <f t="shared" si="628"/>
        <v/>
      </c>
      <c r="AG879" s="713"/>
      <c r="AH879" s="713"/>
      <c r="AI879" s="112">
        <f>IF(H879="credit",0,IF(AE879="free",0,IF(AE879="me",0,IF(G879&gt;0,(VLOOKUP(A879,'Discount Lookup'!J:K,2)*G879),0))))</f>
        <v>0</v>
      </c>
      <c r="AJ879" s="107" t="str">
        <f t="shared" ca="1" si="629"/>
        <v/>
      </c>
      <c r="AK879" s="714" t="str">
        <f t="shared" si="630"/>
        <v/>
      </c>
      <c r="AL879" s="714"/>
      <c r="AM879" s="114" t="str">
        <f t="shared" si="631"/>
        <v/>
      </c>
      <c r="AN879" s="115"/>
      <c r="AO879" s="116"/>
      <c r="AP879" s="116"/>
      <c r="AQ879" s="116"/>
      <c r="AR879" s="116"/>
      <c r="AS879" s="116"/>
      <c r="AT879" s="116"/>
      <c r="AU879" s="116"/>
      <c r="AV879" s="78"/>
      <c r="AW879" s="102"/>
      <c r="AX879" s="78"/>
      <c r="AY879" s="78"/>
      <c r="AZ879" s="78"/>
      <c r="BA879" s="78"/>
      <c r="BB879" s="78"/>
      <c r="BC879" s="78"/>
      <c r="BD879" s="78"/>
      <c r="BE879" s="465"/>
      <c r="BF879" s="165" t="str">
        <f t="shared" si="632"/>
        <v>https://www.google.com/search?tbm=isch&amp;q=7%20G4</v>
      </c>
      <c r="BG879" s="165" t="str">
        <f t="shared" si="633"/>
        <v>C</v>
      </c>
      <c r="BH879" s="65"/>
      <c r="BI879" s="65"/>
      <c r="BJ879" s="65"/>
      <c r="BK879" s="65"/>
      <c r="BL879" s="99"/>
      <c r="BM879" s="99"/>
      <c r="BN879" s="99"/>
    </row>
    <row r="880" spans="1:66" s="51" customFormat="1" ht="15.75" x14ac:dyDescent="0.25">
      <c r="A880" s="478">
        <v>15</v>
      </c>
      <c r="B880" s="479" t="s">
        <v>291</v>
      </c>
      <c r="C880" s="480" t="s">
        <v>932</v>
      </c>
      <c r="D880" s="481" t="s">
        <v>299</v>
      </c>
      <c r="E880" s="482">
        <v>187.95</v>
      </c>
      <c r="F880" s="483" t="s">
        <v>292</v>
      </c>
      <c r="G880" s="484">
        <v>0</v>
      </c>
      <c r="H880" s="688" t="str">
        <f>IF(G880=0,"",IF(F880="Buy",IF(G880=1,"plant","plants"),IF(F880&gt;0.01,"warranty","Error")))</f>
        <v/>
      </c>
      <c r="I880" s="485">
        <f>IF(H880="free",0,IF(H880="credit",((E880*(F880))*G880*-1),IF(F880="Buy",(E880*G880),((E880*(1-F880))*G880))))</f>
        <v>0</v>
      </c>
      <c r="J880" s="485">
        <f>IF(H880="warranty",0,(I880*(_xlfn.SINGLE(SalesTaxPercentage))))</f>
        <v>0</v>
      </c>
      <c r="K880" s="715">
        <f t="shared" ref="K880" si="648">I880+J880</f>
        <v>0</v>
      </c>
      <c r="L880" s="715"/>
      <c r="M880" s="689" t="str">
        <f ca="1">IF(AND(G880&gt;0,E880=0),"WARNING - no PRICE inserted",IF(H880="free","FREE ~ no charge this plant",IF(H880="credit",CONCATENATE("-$",ROUND(K880*(1-_xlfn.SINGLE(T2GDiscount))*-1,2)," CREDIT after discount"),IF(_xlfn.SINGLE(T2GDiscount)=0,"",IF(G880=0,"",IF(F880="Buy",CONCATENATE("$",ROUND(K880*(1-_xlfn.SINGLE(T2GDiscount)),2)," with ",(_xlfn.SINGLE(T2GDiscount)*100),"% discount"),CONCATENATE("$",ROUND(K880*(1-_xlfn.SINGLE(T2GDiscount)),2)," with ",((_xlfn.SINGLE(T2GDiscount)*100+F880*100)-(_xlfn.SINGLE(T2GDiscount)*100*F880)),IF(F880&gt;0,"% discounts",IF(_xlfn.SINGLE(NoWarrantyDiscount)&gt;0,"% discounts","% discount")))))))))</f>
        <v/>
      </c>
      <c r="N880" s="690"/>
      <c r="O880" s="486"/>
      <c r="P880" s="486"/>
      <c r="Q880" s="486"/>
      <c r="R880" s="486"/>
      <c r="S880" s="486"/>
      <c r="T880" s="102">
        <f t="shared" si="621"/>
        <v>0</v>
      </c>
      <c r="U880" s="78">
        <f>IF(NOT(ISNUMBER(G880)), "", VLOOKUP(A880,'Discount Lookup'!D:E,2,FALSE)*G880)</f>
        <v>0</v>
      </c>
      <c r="V880" s="78">
        <f>IF(NOT(ISNUMBER(G880)), "", VLOOKUP(A880,'Discount Lookup'!G:H,2,FALSE)*G880)</f>
        <v>0</v>
      </c>
      <c r="W880" s="102">
        <f t="shared" si="622"/>
        <v>0</v>
      </c>
      <c r="X880" s="102">
        <f t="shared" si="623"/>
        <v>0</v>
      </c>
      <c r="Y880" s="120" t="b">
        <f t="shared" si="624"/>
        <v>0</v>
      </c>
      <c r="Z880" s="117">
        <f t="shared" si="625"/>
        <v>0</v>
      </c>
      <c r="AA880" s="118"/>
      <c r="AB880" s="118" t="str">
        <f t="shared" si="626"/>
        <v/>
      </c>
      <c r="AC880" s="712" t="str">
        <f>IF(AE880="T2G","no charge",IF(AND(OR(PlanterYesMe="No",PlanterYesMe="N",PlanterYesMe="me"),H880=""),"",IF(H880="credit","NO install",IF(AND(K880="",AE880="me"),"EACH row",IF(AND(K880="images",AE880="me"),"EACH row",IF(D880="","",IF(H880="credit","",IF(AE880="free","re-planting",IF(AE880="me","   not ELP, by",IF(AND(OR(PlanterYesMe="Yes",PlanterYesMe="Y"),G880&gt;0),(VLOOKUP(A880,'Discount Lookup'!J:K,2)*G880*(1-PlanterDiscount)*(1+PlanterDifficultyPercentage)),IF(AE880="ELP",(VLOOKUP(A880,'Discount Lookup'!J:K,2)*G880*(1-PlanterDiscount)*(1+PlanterDifficultyPercentage)),IF(AE880="free","re-planting",IF(G880=0,"",IF(PlanterYesMe="",IF(AE880="me","   not ELP, by",IF(AE880="",IF(G880&gt;0,(VLOOKUP(A880,'Discount Lookup'!J:K,2)*G880*(1-PlanterDiscount)*(1+PlanterDifficultyPercentage)),""),"")),"   not ELP, by"))))))))))))))</f>
        <v/>
      </c>
      <c r="AD880" s="712"/>
      <c r="AE880" s="513" t="str">
        <f t="shared" si="627"/>
        <v/>
      </c>
      <c r="AF880" s="713" t="str">
        <f t="shared" si="628"/>
        <v/>
      </c>
      <c r="AG880" s="713"/>
      <c r="AH880" s="713"/>
      <c r="AI880" s="112">
        <f>IF(H880="credit",0,IF(AE880="free",0,IF(AE880="me",0,IF(G880&gt;0,(VLOOKUP(A880,'Discount Lookup'!J:K,2)*G880),0))))</f>
        <v>0</v>
      </c>
      <c r="AJ880" s="107" t="str">
        <f t="shared" ca="1" si="629"/>
        <v/>
      </c>
      <c r="AK880" s="714" t="str">
        <f t="shared" si="630"/>
        <v/>
      </c>
      <c r="AL880" s="714"/>
      <c r="AM880" s="114" t="str">
        <f t="shared" si="631"/>
        <v/>
      </c>
      <c r="AN880" s="115"/>
      <c r="AO880" s="116"/>
      <c r="AP880" s="116"/>
      <c r="AQ880" s="116"/>
      <c r="AR880" s="116"/>
      <c r="AS880" s="116"/>
      <c r="AT880" s="116"/>
      <c r="AU880" s="116"/>
      <c r="AV880" s="78"/>
      <c r="AW880" s="102"/>
      <c r="AX880" s="78"/>
      <c r="AY880" s="78"/>
      <c r="AZ880" s="78"/>
      <c r="BA880" s="78"/>
      <c r="BB880" s="78"/>
      <c r="BC880" s="78"/>
      <c r="BD880" s="78"/>
      <c r="BE880" s="465"/>
      <c r="BF880" s="165" t="str">
        <f t="shared" si="632"/>
        <v>https://www.google.com/search?tbm=isch&amp;q=15%20G4</v>
      </c>
      <c r="BG880" s="165" t="str">
        <f t="shared" si="633"/>
        <v>C</v>
      </c>
      <c r="BH880" s="65"/>
      <c r="BI880" s="65"/>
      <c r="BJ880" s="65"/>
      <c r="BK880" s="65"/>
      <c r="BL880" s="99"/>
      <c r="BM880" s="99"/>
      <c r="BN880" s="99"/>
    </row>
    <row r="881" spans="1:66" s="51" customFormat="1" ht="15.75" x14ac:dyDescent="0.25">
      <c r="A881" s="478">
        <v>25</v>
      </c>
      <c r="B881" s="479" t="s">
        <v>291</v>
      </c>
      <c r="C881" s="480" t="s">
        <v>933</v>
      </c>
      <c r="D881" s="481" t="s">
        <v>299</v>
      </c>
      <c r="E881" s="482">
        <v>332.95</v>
      </c>
      <c r="F881" s="483" t="s">
        <v>292</v>
      </c>
      <c r="G881" s="484">
        <v>0</v>
      </c>
      <c r="H881" s="688" t="str">
        <f>IF(G881=0,"",IF(F881="Buy",IF(G881=1,"plant","plants"),IF(F881&gt;0.01,"warranty","Error")))</f>
        <v/>
      </c>
      <c r="I881" s="485">
        <f>IF(H881="free",0,IF(H881="credit",((E881*(F881))*G881*-1),IF(F881="Buy",(E881*G881),((E881*(1-F881))*G881))))</f>
        <v>0</v>
      </c>
      <c r="J881" s="485">
        <f>IF(H881="warranty",0,(I881*(_xlfn.SINGLE(SalesTaxPercentage))))</f>
        <v>0</v>
      </c>
      <c r="K881" s="715">
        <f t="shared" ref="K881" si="649">I881+J881</f>
        <v>0</v>
      </c>
      <c r="L881" s="715"/>
      <c r="M881" s="689" t="str">
        <f ca="1">IF(AND(G881&gt;0,E881=0),"WARNING - no PRICE inserted",IF(H881="free","FREE ~ no charge this plant",IF(H881="credit",CONCATENATE("-$",ROUND(K881*(1-_xlfn.SINGLE(T2GDiscount))*-1,2)," CREDIT after discount"),IF(_xlfn.SINGLE(T2GDiscount)=0,"",IF(G881=0,"",IF(F881="Buy",CONCATENATE("$",ROUND(K881*(1-_xlfn.SINGLE(T2GDiscount)),2)," with ",(_xlfn.SINGLE(T2GDiscount)*100),"% discount"),CONCATENATE("$",ROUND(K881*(1-_xlfn.SINGLE(T2GDiscount)),2)," with ",((_xlfn.SINGLE(T2GDiscount)*100+F881*100)-(_xlfn.SINGLE(T2GDiscount)*100*F881)),IF(F881&gt;0,"% discounts",IF(_xlfn.SINGLE(NoWarrantyDiscount)&gt;0,"% discounts","% discount")))))))))</f>
        <v/>
      </c>
      <c r="N881" s="690"/>
      <c r="O881" s="486"/>
      <c r="P881" s="486"/>
      <c r="Q881" s="486"/>
      <c r="R881" s="486"/>
      <c r="S881" s="486"/>
      <c r="T881" s="102">
        <f t="shared" si="621"/>
        <v>0</v>
      </c>
      <c r="U881" s="78">
        <f>IF(NOT(ISNUMBER(G881)), "", VLOOKUP(A881,'Discount Lookup'!D:E,2,FALSE)*G881)</f>
        <v>0</v>
      </c>
      <c r="V881" s="78">
        <f>IF(NOT(ISNUMBER(G881)), "", VLOOKUP(A881,'Discount Lookup'!G:H,2,FALSE)*G881)</f>
        <v>0</v>
      </c>
      <c r="W881" s="102">
        <f t="shared" si="622"/>
        <v>0</v>
      </c>
      <c r="X881" s="102">
        <f t="shared" si="623"/>
        <v>0</v>
      </c>
      <c r="Y881" s="120" t="b">
        <f t="shared" si="624"/>
        <v>0</v>
      </c>
      <c r="Z881" s="117">
        <f t="shared" si="625"/>
        <v>0</v>
      </c>
      <c r="AA881" s="118"/>
      <c r="AB881" s="118" t="str">
        <f t="shared" si="626"/>
        <v/>
      </c>
      <c r="AC881" s="712" t="str">
        <f>IF(AE881="T2G","no charge",IF(AND(OR(PlanterYesMe="No",PlanterYesMe="N",PlanterYesMe="me"),H881=""),"",IF(H881="credit","NO install",IF(AND(K881="",AE881="me"),"EACH row",IF(AND(K881="images",AE881="me"),"EACH row",IF(D881="","",IF(H881="credit","",IF(AE881="free","re-planting",IF(AE881="me","   not ELP, by",IF(AND(OR(PlanterYesMe="Yes",PlanterYesMe="Y"),G881&gt;0),(VLOOKUP(A881,'Discount Lookup'!J:K,2)*G881*(1-PlanterDiscount)*(1+PlanterDifficultyPercentage)),IF(AE881="ELP",(VLOOKUP(A881,'Discount Lookup'!J:K,2)*G881*(1-PlanterDiscount)*(1+PlanterDifficultyPercentage)),IF(AE881="free","re-planting",IF(G881=0,"",IF(PlanterYesMe="",IF(AE881="me","   not ELP, by",IF(AE881="",IF(G881&gt;0,(VLOOKUP(A881,'Discount Lookup'!J:K,2)*G881*(1-PlanterDiscount)*(1+PlanterDifficultyPercentage)),""),"")),"   not ELP, by"))))))))))))))</f>
        <v/>
      </c>
      <c r="AD881" s="712"/>
      <c r="AE881" s="513" t="str">
        <f t="shared" si="627"/>
        <v/>
      </c>
      <c r="AF881" s="713" t="str">
        <f t="shared" si="628"/>
        <v/>
      </c>
      <c r="AG881" s="713"/>
      <c r="AH881" s="713"/>
      <c r="AI881" s="112">
        <f>IF(H881="credit",0,IF(AE881="free",0,IF(AE881="me",0,IF(G881&gt;0,(VLOOKUP(A881,'Discount Lookup'!J:K,2)*G881),0))))</f>
        <v>0</v>
      </c>
      <c r="AJ881" s="107" t="str">
        <f t="shared" ca="1" si="629"/>
        <v/>
      </c>
      <c r="AK881" s="714" t="str">
        <f t="shared" si="630"/>
        <v/>
      </c>
      <c r="AL881" s="714"/>
      <c r="AM881" s="114" t="str">
        <f t="shared" si="631"/>
        <v/>
      </c>
      <c r="AN881" s="115"/>
      <c r="AO881" s="116"/>
      <c r="AP881" s="116"/>
      <c r="AQ881" s="116"/>
      <c r="AR881" s="116"/>
      <c r="AS881" s="116"/>
      <c r="AT881" s="116"/>
      <c r="AU881" s="116"/>
      <c r="AV881" s="78"/>
      <c r="AW881" s="102"/>
      <c r="AX881" s="78"/>
      <c r="AY881" s="78"/>
      <c r="AZ881" s="78"/>
      <c r="BA881" s="78"/>
      <c r="BB881" s="78"/>
      <c r="BC881" s="78"/>
      <c r="BD881" s="78"/>
      <c r="BE881" s="465"/>
      <c r="BF881" s="165" t="str">
        <f t="shared" si="632"/>
        <v>https://www.google.com/search?tbm=isch&amp;q=25%20G4</v>
      </c>
      <c r="BG881" s="165" t="str">
        <f t="shared" si="633"/>
        <v>C</v>
      </c>
      <c r="BH881" s="65"/>
      <c r="BI881" s="65"/>
      <c r="BJ881" s="65"/>
      <c r="BK881" s="65"/>
      <c r="BL881" s="99"/>
      <c r="BM881" s="99"/>
      <c r="BN881" s="99"/>
    </row>
    <row r="882" spans="1:66" s="51" customFormat="1" ht="17.25" thickBot="1" x14ac:dyDescent="0.3">
      <c r="A882" s="508" t="s">
        <v>448</v>
      </c>
      <c r="B882" s="487"/>
      <c r="C882" s="707"/>
      <c r="D882" s="487"/>
      <c r="E882" s="487"/>
      <c r="F882" s="488"/>
      <c r="G882" s="489"/>
      <c r="H882" s="487"/>
      <c r="I882" s="490"/>
      <c r="J882" s="490"/>
      <c r="K882" s="491"/>
      <c r="L882" s="547"/>
      <c r="M882" s="528"/>
      <c r="N882" s="492"/>
      <c r="O882" s="493"/>
      <c r="P882" s="494"/>
      <c r="Q882" s="492"/>
      <c r="R882" s="492"/>
      <c r="S882" s="699" t="s">
        <v>5277</v>
      </c>
      <c r="T882" s="102">
        <f t="shared" si="621"/>
        <v>0</v>
      </c>
      <c r="U882" s="78" t="str">
        <f>IF(NOT(ISNUMBER(G882)), "", VLOOKUP(A882,'Discount Lookup'!D:E,2,FALSE)*G882)</f>
        <v/>
      </c>
      <c r="V882" s="78" t="str">
        <f>IF(NOT(ISNUMBER(G882)), "", VLOOKUP(A882,'Discount Lookup'!G:H,2,FALSE)*G882)</f>
        <v/>
      </c>
      <c r="W882" s="102">
        <f t="shared" si="622"/>
        <v>0</v>
      </c>
      <c r="X882" s="102">
        <f t="shared" si="623"/>
        <v>0</v>
      </c>
      <c r="Y882" s="120" t="b">
        <f t="shared" si="624"/>
        <v>0</v>
      </c>
      <c r="Z882" s="117">
        <f t="shared" si="625"/>
        <v>0</v>
      </c>
      <c r="AA882" s="118"/>
      <c r="AB882" s="118" t="str">
        <f t="shared" si="626"/>
        <v/>
      </c>
      <c r="AC882" s="712" t="str">
        <f>IF(AE882="T2G","no charge",IF(AND(OR(PlanterYesMe="No",PlanterYesMe="N",PlanterYesMe="me"),H882=""),"",IF(H882="credit","NO install",IF(AND(K882="",AE882="me"),"EACH row",IF(AND(K882="images",AE882="me"),"EACH row",IF(D882="","",IF(H882="credit","",IF(AE882="free","re-planting",IF(AE882="me","   not ELP, by",IF(AND(OR(PlanterYesMe="Yes",PlanterYesMe="Y"),G882&gt;0),(VLOOKUP(A882,'Discount Lookup'!J:K,2)*G882*(1-PlanterDiscount)*(1+PlanterDifficultyPercentage)),IF(AE882="ELP",(VLOOKUP(A882,'Discount Lookup'!J:K,2)*G882*(1-PlanterDiscount)*(1+PlanterDifficultyPercentage)),IF(AE882="free","re-planting",IF(G882=0,"",IF(PlanterYesMe="",IF(AE882="me","   not ELP, by",IF(AE882="",IF(G882&gt;0,(VLOOKUP(A882,'Discount Lookup'!J:K,2)*G882*(1-PlanterDiscount)*(1+PlanterDifficultyPercentage)),""),"")),"   not ELP, by"))))))))))))))</f>
        <v/>
      </c>
      <c r="AD882" s="712"/>
      <c r="AE882" s="513" t="str">
        <f t="shared" si="627"/>
        <v/>
      </c>
      <c r="AF882" s="713" t="str">
        <f t="shared" si="628"/>
        <v/>
      </c>
      <c r="AG882" s="713"/>
      <c r="AH882" s="713"/>
      <c r="AI882" s="112">
        <f>IF(H882="credit",0,IF(AE882="free",0,IF(AE882="me",0,IF(G882&gt;0,(VLOOKUP(A882,'Discount Lookup'!J:K,2)*G882),0))))</f>
        <v>0</v>
      </c>
      <c r="AJ882" s="107" t="str">
        <f t="shared" ca="1" si="629"/>
        <v/>
      </c>
      <c r="AK882" s="714" t="str">
        <f t="shared" si="630"/>
        <v/>
      </c>
      <c r="AL882" s="714"/>
      <c r="AM882" s="114" t="str">
        <f t="shared" si="631"/>
        <v/>
      </c>
      <c r="AN882" s="115"/>
      <c r="AO882" s="116"/>
      <c r="AP882" s="116"/>
      <c r="AQ882" s="116"/>
      <c r="AR882" s="116"/>
      <c r="AS882" s="116"/>
      <c r="AT882" s="116"/>
      <c r="AU882" s="116"/>
      <c r="AV882" s="78"/>
      <c r="AW882" s="102"/>
      <c r="AX882" s="78"/>
      <c r="AY882" s="78"/>
      <c r="AZ882" s="78"/>
      <c r="BA882" s="78"/>
      <c r="BB882" s="78"/>
      <c r="BC882" s="78"/>
      <c r="BD882" s="78"/>
      <c r="BE882" s="465"/>
      <c r="BF882" s="165" t="str">
        <f t="shared" si="632"/>
        <v>https://www.google.com/search?tbm=isch&amp;q=Deodar%20is%20%22the%20most%20graceful%20cedar%22.%20Distinctive%20pyramidal%20form%2C%20with%20pendulous%20branches%20often%20reaching%20the%20ground%20</v>
      </c>
      <c r="BG882" s="165" t="str">
        <f t="shared" si="633"/>
        <v>D</v>
      </c>
      <c r="BH882" s="65"/>
      <c r="BI882" s="65"/>
      <c r="BJ882" s="65"/>
      <c r="BK882" s="65"/>
      <c r="BL882" s="99"/>
      <c r="BM882" s="99"/>
      <c r="BN882" s="99"/>
    </row>
    <row r="883" spans="1:66" s="51" customFormat="1" ht="18" x14ac:dyDescent="0.25">
      <c r="A883" s="507" t="s">
        <v>1949</v>
      </c>
      <c r="B883" s="470"/>
      <c r="C883" s="706"/>
      <c r="D883" s="471" t="s">
        <v>1950</v>
      </c>
      <c r="E883" s="472"/>
      <c r="F883" s="472"/>
      <c r="G883" s="472"/>
      <c r="H883" s="622" t="s">
        <v>1951</v>
      </c>
      <c r="I883" s="473" t="s">
        <v>438</v>
      </c>
      <c r="J883" s="472"/>
      <c r="K883" s="472"/>
      <c r="L883" s="561"/>
      <c r="M883" s="698" t="s">
        <v>5240</v>
      </c>
      <c r="N883" s="692" t="str">
        <f>IF(AND(ISTEXT($A883), ISERROR($A883+0)), HYPERLINK($BF883, "Images"), "")</f>
        <v>Images</v>
      </c>
      <c r="O883" s="694" t="s">
        <v>5247</v>
      </c>
      <c r="P883" s="475"/>
      <c r="Q883" s="476"/>
      <c r="R883" s="476"/>
      <c r="S883" s="477"/>
      <c r="T883" s="102">
        <f t="shared" si="621"/>
        <v>0</v>
      </c>
      <c r="U883" s="78" t="str">
        <f>IF(NOT(ISNUMBER(G883)), "", VLOOKUP(A883,'Discount Lookup'!D:E,2,FALSE)*G883)</f>
        <v/>
      </c>
      <c r="V883" s="78" t="str">
        <f>IF(NOT(ISNUMBER(G883)), "", VLOOKUP(A883,'Discount Lookup'!G:H,2,FALSE)*G883)</f>
        <v/>
      </c>
      <c r="W883" s="102">
        <f t="shared" si="622"/>
        <v>0</v>
      </c>
      <c r="X883" s="102" t="str">
        <f t="shared" si="623"/>
        <v>Blue-Green needles</v>
      </c>
      <c r="Y883" s="120" t="b">
        <f t="shared" si="624"/>
        <v>0</v>
      </c>
      <c r="Z883" s="117">
        <f t="shared" si="625"/>
        <v>0</v>
      </c>
      <c r="AA883" s="118"/>
      <c r="AB883" s="118" t="str">
        <f t="shared" si="626"/>
        <v/>
      </c>
      <c r="AC883" s="712" t="str">
        <f>IF(AE883="T2G","no charge",IF(AND(OR(PlanterYesMe="No",PlanterYesMe="N",PlanterYesMe="me"),H883=""),"",IF(H883="credit","NO install",IF(AND(K883="",AE883="me"),"EACH row",IF(AND(K883="images",AE883="me"),"EACH row",IF(D883="","",IF(H883="credit","",IF(AE883="free","re-planting",IF(AE883="me","   not ELP, by",IF(AND(OR(PlanterYesMe="Yes",PlanterYesMe="Y"),G883&gt;0),(VLOOKUP(A883,'Discount Lookup'!J:K,2)*G883*(1-PlanterDiscount)*(1+PlanterDifficultyPercentage)),IF(AE883="ELP",(VLOOKUP(A883,'Discount Lookup'!J:K,2)*G883*(1-PlanterDiscount)*(1+PlanterDifficultyPercentage)),IF(AE883="free","re-planting",IF(G883=0,"",IF(PlanterYesMe="",IF(AE883="me","   not ELP, by",IF(AE883="",IF(G883&gt;0,(VLOOKUP(A883,'Discount Lookup'!J:K,2)*G883*(1-PlanterDiscount)*(1+PlanterDifficultyPercentage)),""),"")),"   not ELP, by"))))))))))))))</f>
        <v/>
      </c>
      <c r="AD883" s="712"/>
      <c r="AE883" s="513" t="str">
        <f t="shared" si="627"/>
        <v/>
      </c>
      <c r="AF883" s="713" t="str">
        <f t="shared" si="628"/>
        <v/>
      </c>
      <c r="AG883" s="713"/>
      <c r="AH883" s="713"/>
      <c r="AI883" s="112">
        <f>IF(H883="credit",0,IF(AE883="free",0,IF(AE883="me",0,IF(G883&gt;0,(VLOOKUP(A883,'Discount Lookup'!J:K,2)*G883),0))))</f>
        <v>0</v>
      </c>
      <c r="AJ883" s="107" t="str">
        <f t="shared" ca="1" si="629"/>
        <v/>
      </c>
      <c r="AK883" s="714" t="str">
        <f t="shared" si="630"/>
        <v/>
      </c>
      <c r="AL883" s="714"/>
      <c r="AM883" s="114" t="str">
        <f t="shared" si="631"/>
        <v/>
      </c>
      <c r="AN883" s="115"/>
      <c r="AO883" s="116"/>
      <c r="AP883" s="116"/>
      <c r="AQ883" s="116"/>
      <c r="AR883" s="116"/>
      <c r="AS883" s="116"/>
      <c r="AT883" s="116"/>
      <c r="AU883" s="116"/>
      <c r="AV883" s="78"/>
      <c r="AW883" s="102"/>
      <c r="AX883" s="78"/>
      <c r="AY883" s="78"/>
      <c r="AZ883" s="78"/>
      <c r="BA883" s="78"/>
      <c r="BB883" s="78"/>
      <c r="BC883" s="78"/>
      <c r="BD883" s="78"/>
      <c r="BE883" s="465"/>
      <c r="BF883" s="165" t="str">
        <f t="shared" si="632"/>
        <v>https://www.google.com/search?tbm=isch&amp;q=Cedrus%20deodara%20%27Feelin%27%20Blue%27%20Feelin%27%20Blue%20Deodar%20Cedar</v>
      </c>
      <c r="BG883" s="165" t="str">
        <f t="shared" si="633"/>
        <v>C</v>
      </c>
      <c r="BH883" s="65"/>
      <c r="BI883" s="65"/>
      <c r="BJ883" s="65"/>
      <c r="BK883" s="65"/>
      <c r="BL883" s="99"/>
      <c r="BM883" s="99"/>
      <c r="BN883" s="99"/>
    </row>
    <row r="884" spans="1:66" s="51" customFormat="1" ht="15.75" x14ac:dyDescent="0.25">
      <c r="A884" s="478">
        <v>7</v>
      </c>
      <c r="B884" s="479" t="s">
        <v>291</v>
      </c>
      <c r="C884" s="480" t="s">
        <v>1952</v>
      </c>
      <c r="D884" s="481" t="s">
        <v>299</v>
      </c>
      <c r="E884" s="482">
        <v>169.95</v>
      </c>
      <c r="F884" s="483" t="s">
        <v>292</v>
      </c>
      <c r="G884" s="484">
        <v>0</v>
      </c>
      <c r="H884" s="688" t="str">
        <f>IF(G884=0,"",IF(F884="Buy",IF(G884=1,"plant","plants"),IF(F884&gt;0.01,"warranty","Error")))</f>
        <v/>
      </c>
      <c r="I884" s="485">
        <f>IF(H884="free",0,IF(H884="credit",((E884*(F884))*G884*-1),IF(F884="Buy",(E884*G884),((E884*(1-F884))*G884))))</f>
        <v>0</v>
      </c>
      <c r="J884" s="485">
        <f>IF(H884="warranty",0,(I884*(_xlfn.SINGLE(SalesTaxPercentage))))</f>
        <v>0</v>
      </c>
      <c r="K884" s="715">
        <f t="shared" ref="K884" si="650">I884+J884</f>
        <v>0</v>
      </c>
      <c r="L884" s="715"/>
      <c r="M884" s="689" t="str">
        <f ca="1">IF(AND(G884&gt;0,E884=0),"WARNING - no PRICE inserted",IF(H884="free","FREE ~ no charge this plant",IF(H884="credit",CONCATENATE("-$",ROUND(K884*(1-_xlfn.SINGLE(T2GDiscount))*-1,2)," CREDIT after discount"),IF(_xlfn.SINGLE(T2GDiscount)=0,"",IF(G884=0,"",IF(F884="Buy",CONCATENATE("$",ROUND(K884*(1-_xlfn.SINGLE(T2GDiscount)),2)," with ",(_xlfn.SINGLE(T2GDiscount)*100),"% discount"),CONCATENATE("$",ROUND(K884*(1-_xlfn.SINGLE(T2GDiscount)),2)," with ",((_xlfn.SINGLE(T2GDiscount)*100+F884*100)-(_xlfn.SINGLE(T2GDiscount)*100*F884)),IF(F884&gt;0,"% discounts",IF(_xlfn.SINGLE(NoWarrantyDiscount)&gt;0,"% discounts","% discount")))))))))</f>
        <v/>
      </c>
      <c r="N884" s="690"/>
      <c r="O884" s="486"/>
      <c r="P884" s="486"/>
      <c r="Q884" s="486"/>
      <c r="R884" s="486"/>
      <c r="S884" s="486"/>
      <c r="T884" s="102">
        <f t="shared" si="621"/>
        <v>0</v>
      </c>
      <c r="U884" s="78">
        <f>IF(NOT(ISNUMBER(G884)), "", VLOOKUP(A884,'Discount Lookup'!D:E,2,FALSE)*G884)</f>
        <v>0</v>
      </c>
      <c r="V884" s="78">
        <f>IF(NOT(ISNUMBER(G884)), "", VLOOKUP(A884,'Discount Lookup'!G:H,2,FALSE)*G884)</f>
        <v>0</v>
      </c>
      <c r="W884" s="102">
        <f t="shared" si="622"/>
        <v>0</v>
      </c>
      <c r="X884" s="102">
        <f t="shared" si="623"/>
        <v>0</v>
      </c>
      <c r="Y884" s="120" t="b">
        <f t="shared" si="624"/>
        <v>0</v>
      </c>
      <c r="Z884" s="117">
        <f t="shared" si="625"/>
        <v>0</v>
      </c>
      <c r="AA884" s="118"/>
      <c r="AB884" s="118" t="str">
        <f t="shared" si="626"/>
        <v/>
      </c>
      <c r="AC884" s="712" t="str">
        <f>IF(AE884="T2G","no charge",IF(AND(OR(PlanterYesMe="No",PlanterYesMe="N",PlanterYesMe="me"),H884=""),"",IF(H884="credit","NO install",IF(AND(K884="",AE884="me"),"EACH row",IF(AND(K884="images",AE884="me"),"EACH row",IF(D884="","",IF(H884="credit","",IF(AE884="free","re-planting",IF(AE884="me","   not ELP, by",IF(AND(OR(PlanterYesMe="Yes",PlanterYesMe="Y"),G884&gt;0),(VLOOKUP(A884,'Discount Lookup'!J:K,2)*G884*(1-PlanterDiscount)*(1+PlanterDifficultyPercentage)),IF(AE884="ELP",(VLOOKUP(A884,'Discount Lookup'!J:K,2)*G884*(1-PlanterDiscount)*(1+PlanterDifficultyPercentage)),IF(AE884="free","re-planting",IF(G884=0,"",IF(PlanterYesMe="",IF(AE884="me","   not ELP, by",IF(AE884="",IF(G884&gt;0,(VLOOKUP(A884,'Discount Lookup'!J:K,2)*G884*(1-PlanterDiscount)*(1+PlanterDifficultyPercentage)),""),"")),"   not ELP, by"))))))))))))))</f>
        <v/>
      </c>
      <c r="AD884" s="712"/>
      <c r="AE884" s="513" t="str">
        <f t="shared" si="627"/>
        <v/>
      </c>
      <c r="AF884" s="713" t="str">
        <f t="shared" si="628"/>
        <v/>
      </c>
      <c r="AG884" s="713"/>
      <c r="AH884" s="713"/>
      <c r="AI884" s="112">
        <f>IF(H884="credit",0,IF(AE884="free",0,IF(AE884="me",0,IF(G884&gt;0,(VLOOKUP(A884,'Discount Lookup'!J:K,2)*G884),0))))</f>
        <v>0</v>
      </c>
      <c r="AJ884" s="107" t="str">
        <f t="shared" ca="1" si="629"/>
        <v/>
      </c>
      <c r="AK884" s="714" t="str">
        <f t="shared" si="630"/>
        <v/>
      </c>
      <c r="AL884" s="714"/>
      <c r="AM884" s="114" t="str">
        <f t="shared" si="631"/>
        <v/>
      </c>
      <c r="AN884" s="115"/>
      <c r="AO884" s="116"/>
      <c r="AP884" s="116"/>
      <c r="AQ884" s="116"/>
      <c r="AR884" s="116"/>
      <c r="AS884" s="116"/>
      <c r="AT884" s="116"/>
      <c r="AU884" s="116"/>
      <c r="AV884" s="78"/>
      <c r="AW884" s="102"/>
      <c r="AX884" s="78"/>
      <c r="AY884" s="78"/>
      <c r="AZ884" s="78"/>
      <c r="BA884" s="78"/>
      <c r="BB884" s="78"/>
      <c r="BC884" s="78"/>
      <c r="BD884" s="78"/>
      <c r="BE884" s="465"/>
      <c r="BF884" s="165" t="str">
        <f t="shared" si="632"/>
        <v>https://www.google.com/search?tbm=isch&amp;q=7%20G4</v>
      </c>
      <c r="BG884" s="165" t="str">
        <f t="shared" si="633"/>
        <v>C</v>
      </c>
      <c r="BH884" s="65"/>
      <c r="BI884" s="65"/>
      <c r="BJ884" s="65"/>
      <c r="BK884" s="65"/>
      <c r="BL884" s="99"/>
      <c r="BM884" s="99"/>
      <c r="BN884" s="99"/>
    </row>
    <row r="885" spans="1:66" s="51" customFormat="1" ht="15.75" x14ac:dyDescent="0.25">
      <c r="A885" s="478">
        <v>10</v>
      </c>
      <c r="B885" s="479" t="s">
        <v>291</v>
      </c>
      <c r="C885" s="480" t="s">
        <v>1953</v>
      </c>
      <c r="D885" s="481" t="s">
        <v>299</v>
      </c>
      <c r="E885" s="482">
        <v>224.95</v>
      </c>
      <c r="F885" s="483" t="s">
        <v>292</v>
      </c>
      <c r="G885" s="484">
        <v>0</v>
      </c>
      <c r="H885" s="688" t="str">
        <f>IF(G885=0,"",IF(F885="Buy",IF(G885=1,"plant","plants"),IF(F885&gt;0.01,"warranty","Error")))</f>
        <v/>
      </c>
      <c r="I885" s="485">
        <f>IF(H885="free",0,IF(H885="credit",((E885*(F885))*G885*-1),IF(F885="Buy",(E885*G885),((E885*(1-F885))*G885))))</f>
        <v>0</v>
      </c>
      <c r="J885" s="485">
        <f>IF(H885="warranty",0,(I885*(_xlfn.SINGLE(SalesTaxPercentage))))</f>
        <v>0</v>
      </c>
      <c r="K885" s="715">
        <f t="shared" ref="K885" si="651">I885+J885</f>
        <v>0</v>
      </c>
      <c r="L885" s="715"/>
      <c r="M885" s="689" t="str">
        <f ca="1">IF(AND(G885&gt;0,E885=0),"WARNING - no PRICE inserted",IF(H885="free","FREE ~ no charge this plant",IF(H885="credit",CONCATENATE("-$",ROUND(K885*(1-_xlfn.SINGLE(T2GDiscount))*-1,2)," CREDIT after discount"),IF(_xlfn.SINGLE(T2GDiscount)=0,"",IF(G885=0,"",IF(F885="Buy",CONCATENATE("$",ROUND(K885*(1-_xlfn.SINGLE(T2GDiscount)),2)," with ",(_xlfn.SINGLE(T2GDiscount)*100),"% discount"),CONCATENATE("$",ROUND(K885*(1-_xlfn.SINGLE(T2GDiscount)),2)," with ",((_xlfn.SINGLE(T2GDiscount)*100+F885*100)-(_xlfn.SINGLE(T2GDiscount)*100*F885)),IF(F885&gt;0,"% discounts",IF(_xlfn.SINGLE(NoWarrantyDiscount)&gt;0,"% discounts","% discount")))))))))</f>
        <v/>
      </c>
      <c r="N885" s="690"/>
      <c r="O885" s="486"/>
      <c r="P885" s="486"/>
      <c r="Q885" s="486"/>
      <c r="R885" s="486"/>
      <c r="S885" s="486"/>
      <c r="T885" s="102">
        <f t="shared" si="621"/>
        <v>0</v>
      </c>
      <c r="U885" s="78">
        <f>IF(NOT(ISNUMBER(G885)), "", VLOOKUP(A885,'Discount Lookup'!D:E,2,FALSE)*G885)</f>
        <v>0</v>
      </c>
      <c r="V885" s="78">
        <f>IF(NOT(ISNUMBER(G885)), "", VLOOKUP(A885,'Discount Lookup'!G:H,2,FALSE)*G885)</f>
        <v>0</v>
      </c>
      <c r="W885" s="102">
        <f t="shared" si="622"/>
        <v>0</v>
      </c>
      <c r="X885" s="102">
        <f t="shared" si="623"/>
        <v>0</v>
      </c>
      <c r="Y885" s="120" t="b">
        <f t="shared" si="624"/>
        <v>0</v>
      </c>
      <c r="Z885" s="117">
        <f t="shared" si="625"/>
        <v>0</v>
      </c>
      <c r="AA885" s="118"/>
      <c r="AB885" s="118" t="str">
        <f t="shared" si="626"/>
        <v/>
      </c>
      <c r="AC885" s="712" t="str">
        <f>IF(AE885="T2G","no charge",IF(AND(OR(PlanterYesMe="No",PlanterYesMe="N",PlanterYesMe="me"),H885=""),"",IF(H885="credit","NO install",IF(AND(K885="",AE885="me"),"EACH row",IF(AND(K885="images",AE885="me"),"EACH row",IF(D885="","",IF(H885="credit","",IF(AE885="free","re-planting",IF(AE885="me","   not ELP, by",IF(AND(OR(PlanterYesMe="Yes",PlanterYesMe="Y"),G885&gt;0),(VLOOKUP(A885,'Discount Lookup'!J:K,2)*G885*(1-PlanterDiscount)*(1+PlanterDifficultyPercentage)),IF(AE885="ELP",(VLOOKUP(A885,'Discount Lookup'!J:K,2)*G885*(1-PlanterDiscount)*(1+PlanterDifficultyPercentage)),IF(AE885="free","re-planting",IF(G885=0,"",IF(PlanterYesMe="",IF(AE885="me","   not ELP, by",IF(AE885="",IF(G885&gt;0,(VLOOKUP(A885,'Discount Lookup'!J:K,2)*G885*(1-PlanterDiscount)*(1+PlanterDifficultyPercentage)),""),"")),"   not ELP, by"))))))))))))))</f>
        <v/>
      </c>
      <c r="AD885" s="712"/>
      <c r="AE885" s="513" t="str">
        <f t="shared" si="627"/>
        <v/>
      </c>
      <c r="AF885" s="713" t="str">
        <f t="shared" si="628"/>
        <v/>
      </c>
      <c r="AG885" s="713"/>
      <c r="AH885" s="713"/>
      <c r="AI885" s="112">
        <f>IF(H885="credit",0,IF(AE885="free",0,IF(AE885="me",0,IF(G885&gt;0,(VLOOKUP(A885,'Discount Lookup'!J:K,2)*G885),0))))</f>
        <v>0</v>
      </c>
      <c r="AJ885" s="107" t="str">
        <f t="shared" ca="1" si="629"/>
        <v/>
      </c>
      <c r="AK885" s="714" t="str">
        <f t="shared" si="630"/>
        <v/>
      </c>
      <c r="AL885" s="714"/>
      <c r="AM885" s="114" t="str">
        <f t="shared" si="631"/>
        <v/>
      </c>
      <c r="AN885" s="115"/>
      <c r="AO885" s="116"/>
      <c r="AP885" s="116"/>
      <c r="AQ885" s="116"/>
      <c r="AR885" s="116"/>
      <c r="AS885" s="116"/>
      <c r="AT885" s="116"/>
      <c r="AU885" s="116"/>
      <c r="AV885" s="78"/>
      <c r="AW885" s="102"/>
      <c r="AX885" s="78"/>
      <c r="AY885" s="78"/>
      <c r="AZ885" s="78"/>
      <c r="BA885" s="78"/>
      <c r="BB885" s="78"/>
      <c r="BC885" s="78"/>
      <c r="BD885" s="78"/>
      <c r="BE885" s="465"/>
      <c r="BF885" s="165" t="str">
        <f t="shared" si="632"/>
        <v>https://www.google.com/search?tbm=isch&amp;q=10%20G4</v>
      </c>
      <c r="BG885" s="165" t="str">
        <f t="shared" si="633"/>
        <v>C</v>
      </c>
      <c r="BH885" s="65"/>
      <c r="BI885" s="65"/>
      <c r="BJ885" s="65"/>
      <c r="BK885" s="65"/>
      <c r="BL885" s="99"/>
      <c r="BM885" s="99"/>
      <c r="BN885" s="99"/>
    </row>
    <row r="886" spans="1:66" s="51" customFormat="1" ht="15.75" x14ac:dyDescent="0.25">
      <c r="A886" s="478">
        <v>10</v>
      </c>
      <c r="B886" s="479" t="s">
        <v>291</v>
      </c>
      <c r="C886" s="480" t="s">
        <v>1954</v>
      </c>
      <c r="D886" s="481" t="s">
        <v>299</v>
      </c>
      <c r="E886" s="482">
        <v>270.95</v>
      </c>
      <c r="F886" s="483" t="s">
        <v>292</v>
      </c>
      <c r="G886" s="484">
        <v>0</v>
      </c>
      <c r="H886" s="688" t="str">
        <f>IF(G886=0,"",IF(F886="Buy",IF(G886=1,"plant","plants"),IF(F886&gt;0.01,"warranty","Error")))</f>
        <v/>
      </c>
      <c r="I886" s="485">
        <f>IF(H886="free",0,IF(H886="credit",((E886*(F886))*G886*-1),IF(F886="Buy",(E886*G886),((E886*(1-F886))*G886))))</f>
        <v>0</v>
      </c>
      <c r="J886" s="485">
        <f>IF(H886="warranty",0,(I886*(_xlfn.SINGLE(SalesTaxPercentage))))</f>
        <v>0</v>
      </c>
      <c r="K886" s="715">
        <f t="shared" ref="K886" si="652">I886+J886</f>
        <v>0</v>
      </c>
      <c r="L886" s="715"/>
      <c r="M886" s="689" t="str">
        <f ca="1">IF(AND(G886&gt;0,E886=0),"WARNING - no PRICE inserted",IF(H886="free","FREE ~ no charge this plant",IF(H886="credit",CONCATENATE("-$",ROUND(K886*(1-_xlfn.SINGLE(T2GDiscount))*-1,2)," CREDIT after discount"),IF(_xlfn.SINGLE(T2GDiscount)=0,"",IF(G886=0,"",IF(F886="Buy",CONCATENATE("$",ROUND(K886*(1-_xlfn.SINGLE(T2GDiscount)),2)," with ",(_xlfn.SINGLE(T2GDiscount)*100),"% discount"),CONCATENATE("$",ROUND(K886*(1-_xlfn.SINGLE(T2GDiscount)),2)," with ",((_xlfn.SINGLE(T2GDiscount)*100+F886*100)-(_xlfn.SINGLE(T2GDiscount)*100*F886)),IF(F886&gt;0,"% discounts",IF(_xlfn.SINGLE(NoWarrantyDiscount)&gt;0,"% discounts","% discount")))))))))</f>
        <v/>
      </c>
      <c r="N886" s="690"/>
      <c r="O886" s="486"/>
      <c r="P886" s="486"/>
      <c r="Q886" s="486"/>
      <c r="R886" s="486"/>
      <c r="S886" s="486"/>
      <c r="T886" s="102">
        <f t="shared" si="621"/>
        <v>0</v>
      </c>
      <c r="U886" s="78">
        <f>IF(NOT(ISNUMBER(G886)), "", VLOOKUP(A886,'Discount Lookup'!D:E,2,FALSE)*G886)</f>
        <v>0</v>
      </c>
      <c r="V886" s="78">
        <f>IF(NOT(ISNUMBER(G886)), "", VLOOKUP(A886,'Discount Lookup'!G:H,2,FALSE)*G886)</f>
        <v>0</v>
      </c>
      <c r="W886" s="102">
        <f t="shared" si="622"/>
        <v>0</v>
      </c>
      <c r="X886" s="102">
        <f t="shared" si="623"/>
        <v>0</v>
      </c>
      <c r="Y886" s="120" t="b">
        <f t="shared" si="624"/>
        <v>0</v>
      </c>
      <c r="Z886" s="117">
        <f t="shared" si="625"/>
        <v>0</v>
      </c>
      <c r="AA886" s="118"/>
      <c r="AB886" s="118" t="str">
        <f t="shared" si="626"/>
        <v/>
      </c>
      <c r="AC886" s="712" t="str">
        <f>IF(AE886="T2G","no charge",IF(AND(OR(PlanterYesMe="No",PlanterYesMe="N",PlanterYesMe="me"),H886=""),"",IF(H886="credit","NO install",IF(AND(K886="",AE886="me"),"EACH row",IF(AND(K886="images",AE886="me"),"EACH row",IF(D886="","",IF(H886="credit","",IF(AE886="free","re-planting",IF(AE886="me","   not ELP, by",IF(AND(OR(PlanterYesMe="Yes",PlanterYesMe="Y"),G886&gt;0),(VLOOKUP(A886,'Discount Lookup'!J:K,2)*G886*(1-PlanterDiscount)*(1+PlanterDifficultyPercentage)),IF(AE886="ELP",(VLOOKUP(A886,'Discount Lookup'!J:K,2)*G886*(1-PlanterDiscount)*(1+PlanterDifficultyPercentage)),IF(AE886="free","re-planting",IF(G886=0,"",IF(PlanterYesMe="",IF(AE886="me","   not ELP, by",IF(AE886="",IF(G886&gt;0,(VLOOKUP(A886,'Discount Lookup'!J:K,2)*G886*(1-PlanterDiscount)*(1+PlanterDifficultyPercentage)),""),"")),"   not ELP, by"))))))))))))))</f>
        <v/>
      </c>
      <c r="AD886" s="712"/>
      <c r="AE886" s="513" t="str">
        <f t="shared" si="627"/>
        <v/>
      </c>
      <c r="AF886" s="713" t="str">
        <f t="shared" si="628"/>
        <v/>
      </c>
      <c r="AG886" s="713"/>
      <c r="AH886" s="713"/>
      <c r="AI886" s="112">
        <f>IF(H886="credit",0,IF(AE886="free",0,IF(AE886="me",0,IF(G886&gt;0,(VLOOKUP(A886,'Discount Lookup'!J:K,2)*G886),0))))</f>
        <v>0</v>
      </c>
      <c r="AJ886" s="107" t="str">
        <f t="shared" ca="1" si="629"/>
        <v/>
      </c>
      <c r="AK886" s="714" t="str">
        <f t="shared" si="630"/>
        <v/>
      </c>
      <c r="AL886" s="714"/>
      <c r="AM886" s="114" t="str">
        <f t="shared" si="631"/>
        <v/>
      </c>
      <c r="AN886" s="115"/>
      <c r="AO886" s="116"/>
      <c r="AP886" s="116"/>
      <c r="AQ886" s="116"/>
      <c r="AR886" s="116"/>
      <c r="AS886" s="116"/>
      <c r="AT886" s="116"/>
      <c r="AU886" s="116"/>
      <c r="AV886" s="78"/>
      <c r="AW886" s="102"/>
      <c r="AX886" s="78"/>
      <c r="AY886" s="78"/>
      <c r="AZ886" s="78"/>
      <c r="BA886" s="78"/>
      <c r="BB886" s="78"/>
      <c r="BC886" s="78"/>
      <c r="BD886" s="78"/>
      <c r="BE886" s="465"/>
      <c r="BF886" s="165" t="str">
        <f t="shared" si="632"/>
        <v>https://www.google.com/search?tbm=isch&amp;q=10%20G4</v>
      </c>
      <c r="BG886" s="165" t="str">
        <f t="shared" si="633"/>
        <v>C</v>
      </c>
      <c r="BH886" s="65"/>
      <c r="BI886" s="65"/>
      <c r="BJ886" s="65"/>
      <c r="BK886" s="65"/>
      <c r="BL886" s="99"/>
      <c r="BM886" s="99"/>
      <c r="BN886" s="99"/>
    </row>
    <row r="887" spans="1:66" s="51" customFormat="1" ht="27" x14ac:dyDescent="0.25">
      <c r="A887" s="478">
        <v>10</v>
      </c>
      <c r="B887" s="479" t="s">
        <v>291</v>
      </c>
      <c r="C887" s="480" t="s">
        <v>1955</v>
      </c>
      <c r="D887" s="481" t="s">
        <v>299</v>
      </c>
      <c r="E887" s="482">
        <v>284.95</v>
      </c>
      <c r="F887" s="483" t="s">
        <v>292</v>
      </c>
      <c r="G887" s="484">
        <v>0</v>
      </c>
      <c r="H887" s="688" t="str">
        <f>IF(G887=0,"",IF(F887="Buy",IF(G887=1,"plant","plants"),IF(F887&gt;0.01,"warranty","Error")))</f>
        <v/>
      </c>
      <c r="I887" s="485">
        <f>IF(H887="free",0,IF(H887="credit",((E887*(F887))*G887*-1),IF(F887="Buy",(E887*G887),((E887*(1-F887))*G887))))</f>
        <v>0</v>
      </c>
      <c r="J887" s="485">
        <f>IF(H887="warranty",0,(I887*(_xlfn.SINGLE(SalesTaxPercentage))))</f>
        <v>0</v>
      </c>
      <c r="K887" s="715">
        <f t="shared" ref="K887" si="653">I887+J887</f>
        <v>0</v>
      </c>
      <c r="L887" s="715"/>
      <c r="M887" s="689" t="str">
        <f ca="1">IF(AND(G887&gt;0,E887=0),"WARNING - no PRICE inserted",IF(H887="free","FREE ~ no charge this plant",IF(H887="credit",CONCATENATE("-$",ROUND(K887*(1-_xlfn.SINGLE(T2GDiscount))*-1,2)," CREDIT after discount"),IF(_xlfn.SINGLE(T2GDiscount)=0,"",IF(G887=0,"",IF(F887="Buy",CONCATENATE("$",ROUND(K887*(1-_xlfn.SINGLE(T2GDiscount)),2)," with ",(_xlfn.SINGLE(T2GDiscount)*100),"% discount"),CONCATENATE("$",ROUND(K887*(1-_xlfn.SINGLE(T2GDiscount)),2)," with ",((_xlfn.SINGLE(T2GDiscount)*100+F887*100)-(_xlfn.SINGLE(T2GDiscount)*100*F887)),IF(F887&gt;0,"% discounts",IF(_xlfn.SINGLE(NoWarrantyDiscount)&gt;0,"% discounts","% discount")))))))))</f>
        <v/>
      </c>
      <c r="N887" s="690"/>
      <c r="O887" s="486"/>
      <c r="P887" s="486"/>
      <c r="Q887" s="486"/>
      <c r="R887" s="486"/>
      <c r="S887" s="486"/>
      <c r="T887" s="102">
        <f t="shared" si="621"/>
        <v>0</v>
      </c>
      <c r="U887" s="78">
        <f>IF(NOT(ISNUMBER(G887)), "", VLOOKUP(A887,'Discount Lookup'!D:E,2,FALSE)*G887)</f>
        <v>0</v>
      </c>
      <c r="V887" s="78">
        <f>IF(NOT(ISNUMBER(G887)), "", VLOOKUP(A887,'Discount Lookup'!G:H,2,FALSE)*G887)</f>
        <v>0</v>
      </c>
      <c r="W887" s="102">
        <f t="shared" si="622"/>
        <v>0</v>
      </c>
      <c r="X887" s="102">
        <f t="shared" si="623"/>
        <v>0</v>
      </c>
      <c r="Y887" s="120" t="b">
        <f t="shared" si="624"/>
        <v>0</v>
      </c>
      <c r="Z887" s="117">
        <f t="shared" si="625"/>
        <v>0</v>
      </c>
      <c r="AA887" s="118"/>
      <c r="AB887" s="118" t="str">
        <f t="shared" si="626"/>
        <v/>
      </c>
      <c r="AC887" s="712" t="str">
        <f>IF(AE887="T2G","no charge",IF(AND(OR(PlanterYesMe="No",PlanterYesMe="N",PlanterYesMe="me"),H887=""),"",IF(H887="credit","NO install",IF(AND(K887="",AE887="me"),"EACH row",IF(AND(K887="images",AE887="me"),"EACH row",IF(D887="","",IF(H887="credit","",IF(AE887="free","re-planting",IF(AE887="me","   not ELP, by",IF(AND(OR(PlanterYesMe="Yes",PlanterYesMe="Y"),G887&gt;0),(VLOOKUP(A887,'Discount Lookup'!J:K,2)*G887*(1-PlanterDiscount)*(1+PlanterDifficultyPercentage)),IF(AE887="ELP",(VLOOKUP(A887,'Discount Lookup'!J:K,2)*G887*(1-PlanterDiscount)*(1+PlanterDifficultyPercentage)),IF(AE887="free","re-planting",IF(G887=0,"",IF(PlanterYesMe="",IF(AE887="me","   not ELP, by",IF(AE887="",IF(G887&gt;0,(VLOOKUP(A887,'Discount Lookup'!J:K,2)*G887*(1-PlanterDiscount)*(1+PlanterDifficultyPercentage)),""),"")),"   not ELP, by"))))))))))))))</f>
        <v/>
      </c>
      <c r="AD887" s="712"/>
      <c r="AE887" s="513" t="str">
        <f t="shared" si="627"/>
        <v/>
      </c>
      <c r="AF887" s="713" t="str">
        <f t="shared" si="628"/>
        <v/>
      </c>
      <c r="AG887" s="713"/>
      <c r="AH887" s="713"/>
      <c r="AI887" s="112">
        <f>IF(H887="credit",0,IF(AE887="free",0,IF(AE887="me",0,IF(G887&gt;0,(VLOOKUP(A887,'Discount Lookup'!J:K,2)*G887),0))))</f>
        <v>0</v>
      </c>
      <c r="AJ887" s="107" t="str">
        <f t="shared" ca="1" si="629"/>
        <v/>
      </c>
      <c r="AK887" s="714" t="str">
        <f t="shared" si="630"/>
        <v/>
      </c>
      <c r="AL887" s="714"/>
      <c r="AM887" s="114" t="str">
        <f t="shared" si="631"/>
        <v/>
      </c>
      <c r="AN887" s="115"/>
      <c r="AO887" s="116"/>
      <c r="AP887" s="116"/>
      <c r="AQ887" s="116"/>
      <c r="AR887" s="116"/>
      <c r="AS887" s="116"/>
      <c r="AT887" s="116"/>
      <c r="AU887" s="116"/>
      <c r="AV887" s="78"/>
      <c r="AW887" s="102"/>
      <c r="AX887" s="78"/>
      <c r="AY887" s="78"/>
      <c r="AZ887" s="78"/>
      <c r="BA887" s="78"/>
      <c r="BB887" s="78"/>
      <c r="BC887" s="78"/>
      <c r="BD887" s="78"/>
      <c r="BE887" s="465"/>
      <c r="BF887" s="165" t="str">
        <f t="shared" si="632"/>
        <v>https://www.google.com/search?tbm=isch&amp;q=10%20G4</v>
      </c>
      <c r="BG887" s="165" t="str">
        <f t="shared" si="633"/>
        <v>C</v>
      </c>
      <c r="BH887" s="65"/>
      <c r="BI887" s="65"/>
      <c r="BJ887" s="65"/>
      <c r="BK887" s="65"/>
      <c r="BL887" s="99"/>
      <c r="BM887" s="99"/>
      <c r="BN887" s="99"/>
    </row>
    <row r="888" spans="1:66" s="51" customFormat="1" ht="15.75" x14ac:dyDescent="0.25">
      <c r="A888" s="478">
        <v>15</v>
      </c>
      <c r="B888" s="479" t="s">
        <v>291</v>
      </c>
      <c r="C888" s="480" t="s">
        <v>5146</v>
      </c>
      <c r="D888" s="481" t="s">
        <v>299</v>
      </c>
      <c r="E888" s="482">
        <v>316.95</v>
      </c>
      <c r="F888" s="483" t="s">
        <v>292</v>
      </c>
      <c r="G888" s="484">
        <v>0</v>
      </c>
      <c r="H888" s="688" t="str">
        <f>IF(G888=0,"",IF(F888="Buy",IF(G888=1,"plant","plants"),IF(F888&gt;0.01,"warranty","Error")))</f>
        <v/>
      </c>
      <c r="I888" s="485">
        <f>IF(H888="free",0,IF(H888="credit",((E888*(F888))*G888*-1),IF(F888="Buy",(E888*G888),((E888*(1-F888))*G888))))</f>
        <v>0</v>
      </c>
      <c r="J888" s="485">
        <f>IF(H888="warranty",0,(I888*(_xlfn.SINGLE(SalesTaxPercentage))))</f>
        <v>0</v>
      </c>
      <c r="K888" s="715">
        <f t="shared" ref="K888" si="654">I888+J888</f>
        <v>0</v>
      </c>
      <c r="L888" s="715"/>
      <c r="M888" s="689" t="str">
        <f ca="1">IF(AND(G888&gt;0,E888=0),"WARNING - no PRICE inserted",IF(H888="free","FREE ~ no charge this plant",IF(H888="credit",CONCATENATE("-$",ROUND(K888*(1-_xlfn.SINGLE(T2GDiscount))*-1,2)," CREDIT after discount"),IF(_xlfn.SINGLE(T2GDiscount)=0,"",IF(G888=0,"",IF(F888="Buy",CONCATENATE("$",ROUND(K888*(1-_xlfn.SINGLE(T2GDiscount)),2)," with ",(_xlfn.SINGLE(T2GDiscount)*100),"% discount"),CONCATENATE("$",ROUND(K888*(1-_xlfn.SINGLE(T2GDiscount)),2)," with ",((_xlfn.SINGLE(T2GDiscount)*100+F888*100)-(_xlfn.SINGLE(T2GDiscount)*100*F888)),IF(F888&gt;0,"% discounts",IF(_xlfn.SINGLE(NoWarrantyDiscount)&gt;0,"% discounts","% discount")))))))))</f>
        <v/>
      </c>
      <c r="N888" s="690"/>
      <c r="O888" s="486"/>
      <c r="P888" s="486"/>
      <c r="Q888" s="486"/>
      <c r="R888" s="486"/>
      <c r="S888" s="486"/>
      <c r="T888" s="102">
        <f t="shared" si="621"/>
        <v>0</v>
      </c>
      <c r="U888" s="78">
        <f>IF(NOT(ISNUMBER(G888)), "", VLOOKUP(A888,'Discount Lookup'!D:E,2,FALSE)*G888)</f>
        <v>0</v>
      </c>
      <c r="V888" s="78">
        <f>IF(NOT(ISNUMBER(G888)), "", VLOOKUP(A888,'Discount Lookup'!G:H,2,FALSE)*G888)</f>
        <v>0</v>
      </c>
      <c r="W888" s="102">
        <f t="shared" si="622"/>
        <v>0</v>
      </c>
      <c r="X888" s="102">
        <f t="shared" si="623"/>
        <v>0</v>
      </c>
      <c r="Y888" s="120" t="b">
        <f t="shared" si="624"/>
        <v>0</v>
      </c>
      <c r="Z888" s="117">
        <f t="shared" si="625"/>
        <v>0</v>
      </c>
      <c r="AA888" s="118"/>
      <c r="AB888" s="118" t="str">
        <f t="shared" si="626"/>
        <v/>
      </c>
      <c r="AC888" s="712" t="str">
        <f>IF(AE888="T2G","no charge",IF(AND(OR(PlanterYesMe="No",PlanterYesMe="N",PlanterYesMe="me"),H888=""),"",IF(H888="credit","NO install",IF(AND(K888="",AE888="me"),"EACH row",IF(AND(K888="images",AE888="me"),"EACH row",IF(D888="","",IF(H888="credit","",IF(AE888="free","re-planting",IF(AE888="me","   not ELP, by",IF(AND(OR(PlanterYesMe="Yes",PlanterYesMe="Y"),G888&gt;0),(VLOOKUP(A888,'Discount Lookup'!J:K,2)*G888*(1-PlanterDiscount)*(1+PlanterDifficultyPercentage)),IF(AE888="ELP",(VLOOKUP(A888,'Discount Lookup'!J:K,2)*G888*(1-PlanterDiscount)*(1+PlanterDifficultyPercentage)),IF(AE888="free","re-planting",IF(G888=0,"",IF(PlanterYesMe="",IF(AE888="me","   not ELP, by",IF(AE888="",IF(G888&gt;0,(VLOOKUP(A888,'Discount Lookup'!J:K,2)*G888*(1-PlanterDiscount)*(1+PlanterDifficultyPercentage)),""),"")),"   not ELP, by"))))))))))))))</f>
        <v/>
      </c>
      <c r="AD888" s="712"/>
      <c r="AE888" s="513" t="str">
        <f t="shared" si="627"/>
        <v/>
      </c>
      <c r="AF888" s="713" t="str">
        <f t="shared" si="628"/>
        <v/>
      </c>
      <c r="AG888" s="713"/>
      <c r="AH888" s="713"/>
      <c r="AI888" s="112">
        <f>IF(H888="credit",0,IF(AE888="free",0,IF(AE888="me",0,IF(G888&gt;0,(VLOOKUP(A888,'Discount Lookup'!J:K,2)*G888),0))))</f>
        <v>0</v>
      </c>
      <c r="AJ888" s="107" t="str">
        <f t="shared" ca="1" si="629"/>
        <v/>
      </c>
      <c r="AK888" s="714" t="str">
        <f t="shared" si="630"/>
        <v/>
      </c>
      <c r="AL888" s="714"/>
      <c r="AM888" s="114" t="str">
        <f t="shared" si="631"/>
        <v/>
      </c>
      <c r="AN888" s="115"/>
      <c r="AO888" s="116"/>
      <c r="AP888" s="116"/>
      <c r="AQ888" s="116"/>
      <c r="AR888" s="116"/>
      <c r="AS888" s="116"/>
      <c r="AT888" s="116"/>
      <c r="AU888" s="116"/>
      <c r="AV888" s="78"/>
      <c r="AW888" s="102"/>
      <c r="AX888" s="78"/>
      <c r="AY888" s="78"/>
      <c r="AZ888" s="78"/>
      <c r="BA888" s="78"/>
      <c r="BB888" s="78"/>
      <c r="BC888" s="78"/>
      <c r="BD888" s="78"/>
      <c r="BE888" s="465"/>
      <c r="BF888" s="165" t="str">
        <f t="shared" si="632"/>
        <v>https://www.google.com/search?tbm=isch&amp;q=15%20G4</v>
      </c>
      <c r="BG888" s="165" t="str">
        <f t="shared" si="633"/>
        <v>C</v>
      </c>
      <c r="BH888" s="65"/>
      <c r="BI888" s="65"/>
      <c r="BJ888" s="65"/>
      <c r="BK888" s="65"/>
      <c r="BL888" s="99"/>
      <c r="BM888" s="99"/>
      <c r="BN888" s="99"/>
    </row>
    <row r="889" spans="1:66" s="51" customFormat="1" ht="17.25" thickBot="1" x14ac:dyDescent="0.3">
      <c r="A889" s="508" t="s">
        <v>1956</v>
      </c>
      <c r="B889" s="487"/>
      <c r="C889" s="707"/>
      <c r="D889" s="487"/>
      <c r="E889" s="487"/>
      <c r="F889" s="488"/>
      <c r="G889" s="489"/>
      <c r="H889" s="487"/>
      <c r="I889" s="490"/>
      <c r="J889" s="490"/>
      <c r="K889" s="491"/>
      <c r="L889" s="547"/>
      <c r="M889" s="528"/>
      <c r="N889" s="492"/>
      <c r="O889" s="493"/>
      <c r="P889" s="494"/>
      <c r="Q889" s="492"/>
      <c r="R889" s="492"/>
      <c r="S889" s="699" t="s">
        <v>5268</v>
      </c>
      <c r="T889" s="102">
        <f t="shared" si="621"/>
        <v>0</v>
      </c>
      <c r="U889" s="78" t="str">
        <f>IF(NOT(ISNUMBER(G889)), "", VLOOKUP(A889,'Discount Lookup'!D:E,2,FALSE)*G889)</f>
        <v/>
      </c>
      <c r="V889" s="78" t="str">
        <f>IF(NOT(ISNUMBER(G889)), "", VLOOKUP(A889,'Discount Lookup'!G:H,2,FALSE)*G889)</f>
        <v/>
      </c>
      <c r="W889" s="102">
        <f t="shared" si="622"/>
        <v>0</v>
      </c>
      <c r="X889" s="102">
        <f t="shared" si="623"/>
        <v>0</v>
      </c>
      <c r="Y889" s="120" t="b">
        <f t="shared" si="624"/>
        <v>0</v>
      </c>
      <c r="Z889" s="117">
        <f t="shared" si="625"/>
        <v>0</v>
      </c>
      <c r="AA889" s="118"/>
      <c r="AB889" s="118" t="str">
        <f t="shared" si="626"/>
        <v/>
      </c>
      <c r="AC889" s="712" t="str">
        <f>IF(AE889="T2G","no charge",IF(AND(OR(PlanterYesMe="No",PlanterYesMe="N",PlanterYesMe="me"),H889=""),"",IF(H889="credit","NO install",IF(AND(K889="",AE889="me"),"EACH row",IF(AND(K889="images",AE889="me"),"EACH row",IF(D889="","",IF(H889="credit","",IF(AE889="free","re-planting",IF(AE889="me","   not ELP, by",IF(AND(OR(PlanterYesMe="Yes",PlanterYesMe="Y"),G889&gt;0),(VLOOKUP(A889,'Discount Lookup'!J:K,2)*G889*(1-PlanterDiscount)*(1+PlanterDifficultyPercentage)),IF(AE889="ELP",(VLOOKUP(A889,'Discount Lookup'!J:K,2)*G889*(1-PlanterDiscount)*(1+PlanterDifficultyPercentage)),IF(AE889="free","re-planting",IF(G889=0,"",IF(PlanterYesMe="",IF(AE889="me","   not ELP, by",IF(AE889="",IF(G889&gt;0,(VLOOKUP(A889,'Discount Lookup'!J:K,2)*G889*(1-PlanterDiscount)*(1+PlanterDifficultyPercentage)),""),"")),"   not ELP, by"))))))))))))))</f>
        <v/>
      </c>
      <c r="AD889" s="712"/>
      <c r="AE889" s="513" t="str">
        <f t="shared" si="627"/>
        <v/>
      </c>
      <c r="AF889" s="713" t="str">
        <f t="shared" si="628"/>
        <v/>
      </c>
      <c r="AG889" s="713"/>
      <c r="AH889" s="713"/>
      <c r="AI889" s="112">
        <f>IF(H889="credit",0,IF(AE889="free",0,IF(AE889="me",0,IF(G889&gt;0,(VLOOKUP(A889,'Discount Lookup'!J:K,2)*G889),0))))</f>
        <v>0</v>
      </c>
      <c r="AJ889" s="107" t="str">
        <f t="shared" ca="1" si="629"/>
        <v/>
      </c>
      <c r="AK889" s="714" t="str">
        <f t="shared" si="630"/>
        <v/>
      </c>
      <c r="AL889" s="714"/>
      <c r="AM889" s="114" t="str">
        <f t="shared" si="631"/>
        <v/>
      </c>
      <c r="AN889" s="115"/>
      <c r="AO889" s="116"/>
      <c r="AP889" s="116"/>
      <c r="AQ889" s="116"/>
      <c r="AR889" s="116"/>
      <c r="AS889" s="116"/>
      <c r="AT889" s="116"/>
      <c r="AU889" s="116"/>
      <c r="AV889" s="78"/>
      <c r="AW889" s="102"/>
      <c r="AX889" s="78"/>
      <c r="AY889" s="78"/>
      <c r="AZ889" s="78"/>
      <c r="BA889" s="78"/>
      <c r="BB889" s="78"/>
      <c r="BC889" s="78"/>
      <c r="BD889" s="78"/>
      <c r="BE889" s="465"/>
      <c r="BF889" s="165" t="str">
        <f t="shared" si="632"/>
        <v>https://www.google.com/search?tbm=isch&amp;q=Feelin%27%20Blue%20is%20the%20lowest%20grower%20of%20all%20Deodar.%20Great%20for%20rock%20gardens%2C%20containers%2C%20or%20cascading%20over%20walls%20</v>
      </c>
      <c r="BG889" s="165" t="str">
        <f t="shared" si="633"/>
        <v>F</v>
      </c>
      <c r="BH889" s="65"/>
      <c r="BI889" s="65"/>
      <c r="BJ889" s="65"/>
      <c r="BK889" s="65"/>
      <c r="BL889" s="99"/>
      <c r="BM889" s="99"/>
      <c r="BN889" s="99"/>
    </row>
    <row r="890" spans="1:66" s="51" customFormat="1" ht="18" x14ac:dyDescent="0.25">
      <c r="A890" s="507" t="s">
        <v>1957</v>
      </c>
      <c r="B890" s="470"/>
      <c r="C890" s="706"/>
      <c r="D890" s="471" t="s">
        <v>1958</v>
      </c>
      <c r="E890" s="472"/>
      <c r="F890" s="472"/>
      <c r="G890" s="472"/>
      <c r="H890" s="622" t="s">
        <v>1959</v>
      </c>
      <c r="I890" s="473" t="s">
        <v>1944</v>
      </c>
      <c r="J890" s="472"/>
      <c r="K890" s="472"/>
      <c r="L890" s="561"/>
      <c r="M890" s="698" t="s">
        <v>5246</v>
      </c>
      <c r="N890" s="692" t="str">
        <f>IF(AND(ISTEXT($A890), ISERROR($A890+0)), HYPERLINK($BF890, "Images"), "")</f>
        <v>Images</v>
      </c>
      <c r="O890" s="694" t="s">
        <v>5247</v>
      </c>
      <c r="P890" s="475"/>
      <c r="Q890" s="476"/>
      <c r="R890" s="476"/>
      <c r="S890" s="477"/>
      <c r="T890" s="102">
        <f t="shared" si="621"/>
        <v>0</v>
      </c>
      <c r="U890" s="78" t="str">
        <f>IF(NOT(ISNUMBER(G890)), "", VLOOKUP(A890,'Discount Lookup'!D:E,2,FALSE)*G890)</f>
        <v/>
      </c>
      <c r="V890" s="78" t="str">
        <f>IF(NOT(ISNUMBER(G890)), "", VLOOKUP(A890,'Discount Lookup'!G:H,2,FALSE)*G890)</f>
        <v/>
      </c>
      <c r="W890" s="102">
        <f t="shared" si="622"/>
        <v>0</v>
      </c>
      <c r="X890" s="102" t="str">
        <f t="shared" si="623"/>
        <v>Bluish-Green needles</v>
      </c>
      <c r="Y890" s="120" t="b">
        <f t="shared" si="624"/>
        <v>0</v>
      </c>
      <c r="Z890" s="117">
        <f t="shared" si="625"/>
        <v>0</v>
      </c>
      <c r="AA890" s="118"/>
      <c r="AB890" s="118" t="str">
        <f t="shared" si="626"/>
        <v/>
      </c>
      <c r="AC890" s="712" t="str">
        <f>IF(AE890="T2G","no charge",IF(AND(OR(PlanterYesMe="No",PlanterYesMe="N",PlanterYesMe="me"),H890=""),"",IF(H890="credit","NO install",IF(AND(K890="",AE890="me"),"EACH row",IF(AND(K890="images",AE890="me"),"EACH row",IF(D890="","",IF(H890="credit","",IF(AE890="free","re-planting",IF(AE890="me","   not ELP, by",IF(AND(OR(PlanterYesMe="Yes",PlanterYesMe="Y"),G890&gt;0),(VLOOKUP(A890,'Discount Lookup'!J:K,2)*G890*(1-PlanterDiscount)*(1+PlanterDifficultyPercentage)),IF(AE890="ELP",(VLOOKUP(A890,'Discount Lookup'!J:K,2)*G890*(1-PlanterDiscount)*(1+PlanterDifficultyPercentage)),IF(AE890="free","re-planting",IF(G890=0,"",IF(PlanterYesMe="",IF(AE890="me","   not ELP, by",IF(AE890="",IF(G890&gt;0,(VLOOKUP(A890,'Discount Lookup'!J:K,2)*G890*(1-PlanterDiscount)*(1+PlanterDifficultyPercentage)),""),"")),"   not ELP, by"))))))))))))))</f>
        <v/>
      </c>
      <c r="AD890" s="712"/>
      <c r="AE890" s="513" t="str">
        <f t="shared" si="627"/>
        <v/>
      </c>
      <c r="AF890" s="713" t="str">
        <f t="shared" si="628"/>
        <v/>
      </c>
      <c r="AG890" s="713"/>
      <c r="AH890" s="713"/>
      <c r="AI890" s="112">
        <f>IF(H890="credit",0,IF(AE890="free",0,IF(AE890="me",0,IF(G890&gt;0,(VLOOKUP(A890,'Discount Lookup'!J:K,2)*G890),0))))</f>
        <v>0</v>
      </c>
      <c r="AJ890" s="107" t="str">
        <f t="shared" ca="1" si="629"/>
        <v/>
      </c>
      <c r="AK890" s="714" t="str">
        <f t="shared" si="630"/>
        <v/>
      </c>
      <c r="AL890" s="714"/>
      <c r="AM890" s="114" t="str">
        <f t="shared" si="631"/>
        <v/>
      </c>
      <c r="AN890" s="115"/>
      <c r="AO890" s="116"/>
      <c r="AP890" s="116"/>
      <c r="AQ890" s="116"/>
      <c r="AR890" s="116"/>
      <c r="AS890" s="116"/>
      <c r="AT890" s="116"/>
      <c r="AU890" s="116"/>
      <c r="AV890" s="78"/>
      <c r="AW890" s="102"/>
      <c r="AX890" s="78"/>
      <c r="AY890" s="78"/>
      <c r="AZ890" s="78"/>
      <c r="BA890" s="78"/>
      <c r="BB890" s="78"/>
      <c r="BC890" s="78"/>
      <c r="BD890" s="78"/>
      <c r="BE890" s="465"/>
      <c r="BF890" s="165" t="str">
        <f t="shared" si="632"/>
        <v>https://www.google.com/search?tbm=isch&amp;q=Cedrus%20deodara%20%27Prostrate%20Beauty%27%20Prostrate%20Beauty%20Deodar%20Cedar</v>
      </c>
      <c r="BG890" s="165" t="str">
        <f t="shared" si="633"/>
        <v>C</v>
      </c>
      <c r="BH890" s="65"/>
      <c r="BI890" s="65"/>
      <c r="BJ890" s="65"/>
      <c r="BK890" s="65"/>
      <c r="BL890" s="99"/>
      <c r="BM890" s="99"/>
      <c r="BN890" s="99"/>
    </row>
    <row r="891" spans="1:66" s="51" customFormat="1" ht="27" x14ac:dyDescent="0.25">
      <c r="A891" s="478">
        <v>7</v>
      </c>
      <c r="B891" s="479" t="s">
        <v>291</v>
      </c>
      <c r="C891" s="480" t="s">
        <v>1960</v>
      </c>
      <c r="D891" s="481" t="s">
        <v>299</v>
      </c>
      <c r="E891" s="482">
        <v>178.95</v>
      </c>
      <c r="F891" s="483" t="s">
        <v>292</v>
      </c>
      <c r="G891" s="484">
        <v>0</v>
      </c>
      <c r="H891" s="688" t="str">
        <f>IF(G891=0,"",IF(F891="Buy",IF(G891=1,"plant","plants"),IF(F891&gt;0.01,"warranty","Error")))</f>
        <v/>
      </c>
      <c r="I891" s="485">
        <f>IF(H891="free",0,IF(H891="credit",((E891*(F891))*G891*-1),IF(F891="Buy",(E891*G891),((E891*(1-F891))*G891))))</f>
        <v>0</v>
      </c>
      <c r="J891" s="485">
        <f>IF(H891="warranty",0,(I891*(_xlfn.SINGLE(SalesTaxPercentage))))</f>
        <v>0</v>
      </c>
      <c r="K891" s="715">
        <f t="shared" ref="K891" si="655">I891+J891</f>
        <v>0</v>
      </c>
      <c r="L891" s="715"/>
      <c r="M891" s="689" t="str">
        <f ca="1">IF(AND(G891&gt;0,E891=0),"WARNING - no PRICE inserted",IF(H891="free","FREE ~ no charge this plant",IF(H891="credit",CONCATENATE("-$",ROUND(K891*(1-_xlfn.SINGLE(T2GDiscount))*-1,2)," CREDIT after discount"),IF(_xlfn.SINGLE(T2GDiscount)=0,"",IF(G891=0,"",IF(F891="Buy",CONCATENATE("$",ROUND(K891*(1-_xlfn.SINGLE(T2GDiscount)),2)," with ",(_xlfn.SINGLE(T2GDiscount)*100),"% discount"),CONCATENATE("$",ROUND(K891*(1-_xlfn.SINGLE(T2GDiscount)),2)," with ",((_xlfn.SINGLE(T2GDiscount)*100+F891*100)-(_xlfn.SINGLE(T2GDiscount)*100*F891)),IF(F891&gt;0,"% discounts",IF(_xlfn.SINGLE(NoWarrantyDiscount)&gt;0,"% discounts","% discount")))))))))</f>
        <v/>
      </c>
      <c r="N891" s="690"/>
      <c r="O891" s="486"/>
      <c r="P891" s="486"/>
      <c r="Q891" s="486"/>
      <c r="R891" s="486"/>
      <c r="S891" s="486"/>
      <c r="T891" s="102">
        <f t="shared" si="621"/>
        <v>0</v>
      </c>
      <c r="U891" s="78">
        <f>IF(NOT(ISNUMBER(G891)), "", VLOOKUP(A891,'Discount Lookup'!D:E,2,FALSE)*G891)</f>
        <v>0</v>
      </c>
      <c r="V891" s="78">
        <f>IF(NOT(ISNUMBER(G891)), "", VLOOKUP(A891,'Discount Lookup'!G:H,2,FALSE)*G891)</f>
        <v>0</v>
      </c>
      <c r="W891" s="102">
        <f t="shared" si="622"/>
        <v>0</v>
      </c>
      <c r="X891" s="102">
        <f t="shared" si="623"/>
        <v>0</v>
      </c>
      <c r="Y891" s="120" t="b">
        <f t="shared" si="624"/>
        <v>0</v>
      </c>
      <c r="Z891" s="117">
        <f t="shared" si="625"/>
        <v>0</v>
      </c>
      <c r="AA891" s="118"/>
      <c r="AB891" s="118" t="str">
        <f t="shared" si="626"/>
        <v/>
      </c>
      <c r="AC891" s="712" t="str">
        <f>IF(AE891="T2G","no charge",IF(AND(OR(PlanterYesMe="No",PlanterYesMe="N",PlanterYesMe="me"),H891=""),"",IF(H891="credit","NO install",IF(AND(K891="",AE891="me"),"EACH row",IF(AND(K891="images",AE891="me"),"EACH row",IF(D891="","",IF(H891="credit","",IF(AE891="free","re-planting",IF(AE891="me","   not ELP, by",IF(AND(OR(PlanterYesMe="Yes",PlanterYesMe="Y"),G891&gt;0),(VLOOKUP(A891,'Discount Lookup'!J:K,2)*G891*(1-PlanterDiscount)*(1+PlanterDifficultyPercentage)),IF(AE891="ELP",(VLOOKUP(A891,'Discount Lookup'!J:K,2)*G891*(1-PlanterDiscount)*(1+PlanterDifficultyPercentage)),IF(AE891="free","re-planting",IF(G891=0,"",IF(PlanterYesMe="",IF(AE891="me","   not ELP, by",IF(AE891="",IF(G891&gt;0,(VLOOKUP(A891,'Discount Lookup'!J:K,2)*G891*(1-PlanterDiscount)*(1+PlanterDifficultyPercentage)),""),"")),"   not ELP, by"))))))))))))))</f>
        <v/>
      </c>
      <c r="AD891" s="712"/>
      <c r="AE891" s="513" t="str">
        <f t="shared" si="627"/>
        <v/>
      </c>
      <c r="AF891" s="713" t="str">
        <f t="shared" si="628"/>
        <v/>
      </c>
      <c r="AG891" s="713"/>
      <c r="AH891" s="713"/>
      <c r="AI891" s="112">
        <f>IF(H891="credit",0,IF(AE891="free",0,IF(AE891="me",0,IF(G891&gt;0,(VLOOKUP(A891,'Discount Lookup'!J:K,2)*G891),0))))</f>
        <v>0</v>
      </c>
      <c r="AJ891" s="107" t="str">
        <f t="shared" ca="1" si="629"/>
        <v/>
      </c>
      <c r="AK891" s="714" t="str">
        <f t="shared" si="630"/>
        <v/>
      </c>
      <c r="AL891" s="714"/>
      <c r="AM891" s="114" t="str">
        <f t="shared" si="631"/>
        <v/>
      </c>
      <c r="AN891" s="115"/>
      <c r="AO891" s="116"/>
      <c r="AP891" s="116"/>
      <c r="AQ891" s="116"/>
      <c r="AR891" s="116"/>
      <c r="AS891" s="116"/>
      <c r="AT891" s="116"/>
      <c r="AU891" s="116"/>
      <c r="AV891" s="78"/>
      <c r="AW891" s="102"/>
      <c r="AX891" s="78"/>
      <c r="AY891" s="78"/>
      <c r="AZ891" s="78"/>
      <c r="BA891" s="78"/>
      <c r="BB891" s="78"/>
      <c r="BC891" s="78"/>
      <c r="BD891" s="78"/>
      <c r="BE891" s="465"/>
      <c r="BF891" s="165" t="str">
        <f t="shared" si="632"/>
        <v>https://www.google.com/search?tbm=isch&amp;q=7%20G4</v>
      </c>
      <c r="BG891" s="165" t="str">
        <f t="shared" si="633"/>
        <v>C</v>
      </c>
      <c r="BH891" s="65"/>
      <c r="BI891" s="65"/>
      <c r="BJ891" s="65"/>
      <c r="BK891" s="65"/>
      <c r="BL891" s="99"/>
      <c r="BM891" s="99"/>
      <c r="BN891" s="99"/>
    </row>
    <row r="892" spans="1:66" s="51" customFormat="1" ht="15.75" x14ac:dyDescent="0.25">
      <c r="A892" s="478">
        <v>10</v>
      </c>
      <c r="B892" s="479" t="s">
        <v>291</v>
      </c>
      <c r="C892" s="480" t="s">
        <v>1961</v>
      </c>
      <c r="D892" s="481" t="s">
        <v>299</v>
      </c>
      <c r="E892" s="482">
        <v>247.95</v>
      </c>
      <c r="F892" s="483" t="s">
        <v>292</v>
      </c>
      <c r="G892" s="484">
        <v>0</v>
      </c>
      <c r="H892" s="688" t="str">
        <f>IF(G892=0,"",IF(F892="Buy",IF(G892=1,"plant","plants"),IF(F892&gt;0.01,"warranty","Error")))</f>
        <v/>
      </c>
      <c r="I892" s="485">
        <f>IF(H892="free",0,IF(H892="credit",((E892*(F892))*G892*-1),IF(F892="Buy",(E892*G892),((E892*(1-F892))*G892))))</f>
        <v>0</v>
      </c>
      <c r="J892" s="485">
        <f>IF(H892="warranty",0,(I892*(_xlfn.SINGLE(SalesTaxPercentage))))</f>
        <v>0</v>
      </c>
      <c r="K892" s="715">
        <f t="shared" ref="K892" si="656">I892+J892</f>
        <v>0</v>
      </c>
      <c r="L892" s="715"/>
      <c r="M892" s="689" t="str">
        <f ca="1">IF(AND(G892&gt;0,E892=0),"WARNING - no PRICE inserted",IF(H892="free","FREE ~ no charge this plant",IF(H892="credit",CONCATENATE("-$",ROUND(K892*(1-_xlfn.SINGLE(T2GDiscount))*-1,2)," CREDIT after discount"),IF(_xlfn.SINGLE(T2GDiscount)=0,"",IF(G892=0,"",IF(F892="Buy",CONCATENATE("$",ROUND(K892*(1-_xlfn.SINGLE(T2GDiscount)),2)," with ",(_xlfn.SINGLE(T2GDiscount)*100),"% discount"),CONCATENATE("$",ROUND(K892*(1-_xlfn.SINGLE(T2GDiscount)),2)," with ",((_xlfn.SINGLE(T2GDiscount)*100+F892*100)-(_xlfn.SINGLE(T2GDiscount)*100*F892)),IF(F892&gt;0,"% discounts",IF(_xlfn.SINGLE(NoWarrantyDiscount)&gt;0,"% discounts","% discount")))))))))</f>
        <v/>
      </c>
      <c r="N892" s="690"/>
      <c r="O892" s="486"/>
      <c r="P892" s="486"/>
      <c r="Q892" s="486"/>
      <c r="R892" s="486"/>
      <c r="S892" s="486"/>
      <c r="T892" s="102">
        <f t="shared" si="621"/>
        <v>0</v>
      </c>
      <c r="U892" s="78">
        <f>IF(NOT(ISNUMBER(G892)), "", VLOOKUP(A892,'Discount Lookup'!D:E,2,FALSE)*G892)</f>
        <v>0</v>
      </c>
      <c r="V892" s="78">
        <f>IF(NOT(ISNUMBER(G892)), "", VLOOKUP(A892,'Discount Lookup'!G:H,2,FALSE)*G892)</f>
        <v>0</v>
      </c>
      <c r="W892" s="102">
        <f t="shared" si="622"/>
        <v>0</v>
      </c>
      <c r="X892" s="102">
        <f t="shared" si="623"/>
        <v>0</v>
      </c>
      <c r="Y892" s="120" t="b">
        <f t="shared" si="624"/>
        <v>0</v>
      </c>
      <c r="Z892" s="117">
        <f t="shared" si="625"/>
        <v>0</v>
      </c>
      <c r="AA892" s="118"/>
      <c r="AB892" s="118" t="str">
        <f t="shared" si="626"/>
        <v/>
      </c>
      <c r="AC892" s="712" t="str">
        <f>IF(AE892="T2G","no charge",IF(AND(OR(PlanterYesMe="No",PlanterYesMe="N",PlanterYesMe="me"),H892=""),"",IF(H892="credit","NO install",IF(AND(K892="",AE892="me"),"EACH row",IF(AND(K892="images",AE892="me"),"EACH row",IF(D892="","",IF(H892="credit","",IF(AE892="free","re-planting",IF(AE892="me","   not ELP, by",IF(AND(OR(PlanterYesMe="Yes",PlanterYesMe="Y"),G892&gt;0),(VLOOKUP(A892,'Discount Lookup'!J:K,2)*G892*(1-PlanterDiscount)*(1+PlanterDifficultyPercentage)),IF(AE892="ELP",(VLOOKUP(A892,'Discount Lookup'!J:K,2)*G892*(1-PlanterDiscount)*(1+PlanterDifficultyPercentage)),IF(AE892="free","re-planting",IF(G892=0,"",IF(PlanterYesMe="",IF(AE892="me","   not ELP, by",IF(AE892="",IF(G892&gt;0,(VLOOKUP(A892,'Discount Lookup'!J:K,2)*G892*(1-PlanterDiscount)*(1+PlanterDifficultyPercentage)),""),"")),"   not ELP, by"))))))))))))))</f>
        <v/>
      </c>
      <c r="AD892" s="712"/>
      <c r="AE892" s="513" t="str">
        <f t="shared" si="627"/>
        <v/>
      </c>
      <c r="AF892" s="713" t="str">
        <f t="shared" si="628"/>
        <v/>
      </c>
      <c r="AG892" s="713"/>
      <c r="AH892" s="713"/>
      <c r="AI892" s="112">
        <f>IF(H892="credit",0,IF(AE892="free",0,IF(AE892="me",0,IF(G892&gt;0,(VLOOKUP(A892,'Discount Lookup'!J:K,2)*G892),0))))</f>
        <v>0</v>
      </c>
      <c r="AJ892" s="107" t="str">
        <f t="shared" ca="1" si="629"/>
        <v/>
      </c>
      <c r="AK892" s="714" t="str">
        <f t="shared" si="630"/>
        <v/>
      </c>
      <c r="AL892" s="714"/>
      <c r="AM892" s="114" t="str">
        <f t="shared" si="631"/>
        <v/>
      </c>
      <c r="AN892" s="115"/>
      <c r="AO892" s="116"/>
      <c r="AP892" s="116"/>
      <c r="AQ892" s="116"/>
      <c r="AR892" s="116"/>
      <c r="AS892" s="116"/>
      <c r="AT892" s="116"/>
      <c r="AU892" s="116"/>
      <c r="AV892" s="78"/>
      <c r="AW892" s="102"/>
      <c r="AX892" s="78"/>
      <c r="AY892" s="78"/>
      <c r="AZ892" s="78"/>
      <c r="BA892" s="78"/>
      <c r="BB892" s="78"/>
      <c r="BC892" s="78"/>
      <c r="BD892" s="78"/>
      <c r="BE892" s="465"/>
      <c r="BF892" s="165" t="str">
        <f t="shared" si="632"/>
        <v>https://www.google.com/search?tbm=isch&amp;q=10%20G4</v>
      </c>
      <c r="BG892" s="165" t="str">
        <f t="shared" si="633"/>
        <v>C</v>
      </c>
      <c r="BH892" s="65"/>
      <c r="BI892" s="65"/>
      <c r="BJ892" s="65"/>
      <c r="BK892" s="65"/>
      <c r="BL892" s="99"/>
      <c r="BM892" s="99"/>
      <c r="BN892" s="99"/>
    </row>
    <row r="893" spans="1:66" s="51" customFormat="1" ht="27" x14ac:dyDescent="0.25">
      <c r="A893" s="478">
        <v>10</v>
      </c>
      <c r="B893" s="479" t="s">
        <v>291</v>
      </c>
      <c r="C893" s="480" t="s">
        <v>1962</v>
      </c>
      <c r="D893" s="481" t="s">
        <v>299</v>
      </c>
      <c r="E893" s="482">
        <v>270.95</v>
      </c>
      <c r="F893" s="483" t="s">
        <v>292</v>
      </c>
      <c r="G893" s="484">
        <v>0</v>
      </c>
      <c r="H893" s="688" t="str">
        <f>IF(G893=0,"",IF(F893="Buy",IF(G893=1,"plant","plants"),IF(F893&gt;0.01,"warranty","Error")))</f>
        <v/>
      </c>
      <c r="I893" s="485">
        <f>IF(H893="free",0,IF(H893="credit",((E893*(F893))*G893*-1),IF(F893="Buy",(E893*G893),((E893*(1-F893))*G893))))</f>
        <v>0</v>
      </c>
      <c r="J893" s="485">
        <f>IF(H893="warranty",0,(I893*(_xlfn.SINGLE(SalesTaxPercentage))))</f>
        <v>0</v>
      </c>
      <c r="K893" s="715">
        <f t="shared" ref="K893" si="657">I893+J893</f>
        <v>0</v>
      </c>
      <c r="L893" s="715"/>
      <c r="M893" s="689" t="str">
        <f ca="1">IF(AND(G893&gt;0,E893=0),"WARNING - no PRICE inserted",IF(H893="free","FREE ~ no charge this plant",IF(H893="credit",CONCATENATE("-$",ROUND(K893*(1-_xlfn.SINGLE(T2GDiscount))*-1,2)," CREDIT after discount"),IF(_xlfn.SINGLE(T2GDiscount)=0,"",IF(G893=0,"",IF(F893="Buy",CONCATENATE("$",ROUND(K893*(1-_xlfn.SINGLE(T2GDiscount)),2)," with ",(_xlfn.SINGLE(T2GDiscount)*100),"% discount"),CONCATENATE("$",ROUND(K893*(1-_xlfn.SINGLE(T2GDiscount)),2)," with ",((_xlfn.SINGLE(T2GDiscount)*100+F893*100)-(_xlfn.SINGLE(T2GDiscount)*100*F893)),IF(F893&gt;0,"% discounts",IF(_xlfn.SINGLE(NoWarrantyDiscount)&gt;0,"% discounts","% discount")))))))))</f>
        <v/>
      </c>
      <c r="N893" s="690"/>
      <c r="O893" s="486"/>
      <c r="P893" s="486"/>
      <c r="Q893" s="486"/>
      <c r="R893" s="486"/>
      <c r="S893" s="486"/>
      <c r="T893" s="102">
        <f t="shared" si="621"/>
        <v>0</v>
      </c>
      <c r="U893" s="78">
        <f>IF(NOT(ISNUMBER(G893)), "", VLOOKUP(A893,'Discount Lookup'!D:E,2,FALSE)*G893)</f>
        <v>0</v>
      </c>
      <c r="V893" s="78">
        <f>IF(NOT(ISNUMBER(G893)), "", VLOOKUP(A893,'Discount Lookup'!G:H,2,FALSE)*G893)</f>
        <v>0</v>
      </c>
      <c r="W893" s="102">
        <f t="shared" si="622"/>
        <v>0</v>
      </c>
      <c r="X893" s="102">
        <f t="shared" si="623"/>
        <v>0</v>
      </c>
      <c r="Y893" s="120" t="b">
        <f t="shared" si="624"/>
        <v>0</v>
      </c>
      <c r="Z893" s="117">
        <f t="shared" si="625"/>
        <v>0</v>
      </c>
      <c r="AA893" s="118"/>
      <c r="AB893" s="118" t="str">
        <f t="shared" si="626"/>
        <v/>
      </c>
      <c r="AC893" s="712" t="str">
        <f>IF(AE893="T2G","no charge",IF(AND(OR(PlanterYesMe="No",PlanterYesMe="N",PlanterYesMe="me"),H893=""),"",IF(H893="credit","NO install",IF(AND(K893="",AE893="me"),"EACH row",IF(AND(K893="images",AE893="me"),"EACH row",IF(D893="","",IF(H893="credit","",IF(AE893="free","re-planting",IF(AE893="me","   not ELP, by",IF(AND(OR(PlanterYesMe="Yes",PlanterYesMe="Y"),G893&gt;0),(VLOOKUP(A893,'Discount Lookup'!J:K,2)*G893*(1-PlanterDiscount)*(1+PlanterDifficultyPercentage)),IF(AE893="ELP",(VLOOKUP(A893,'Discount Lookup'!J:K,2)*G893*(1-PlanterDiscount)*(1+PlanterDifficultyPercentage)),IF(AE893="free","re-planting",IF(G893=0,"",IF(PlanterYesMe="",IF(AE893="me","   not ELP, by",IF(AE893="",IF(G893&gt;0,(VLOOKUP(A893,'Discount Lookup'!J:K,2)*G893*(1-PlanterDiscount)*(1+PlanterDifficultyPercentage)),""),"")),"   not ELP, by"))))))))))))))</f>
        <v/>
      </c>
      <c r="AD893" s="712"/>
      <c r="AE893" s="513" t="str">
        <f t="shared" si="627"/>
        <v/>
      </c>
      <c r="AF893" s="713" t="str">
        <f t="shared" si="628"/>
        <v/>
      </c>
      <c r="AG893" s="713"/>
      <c r="AH893" s="713"/>
      <c r="AI893" s="112">
        <f>IF(H893="credit",0,IF(AE893="free",0,IF(AE893="me",0,IF(G893&gt;0,(VLOOKUP(A893,'Discount Lookup'!J:K,2)*G893),0))))</f>
        <v>0</v>
      </c>
      <c r="AJ893" s="107" t="str">
        <f t="shared" ca="1" si="629"/>
        <v/>
      </c>
      <c r="AK893" s="714" t="str">
        <f t="shared" si="630"/>
        <v/>
      </c>
      <c r="AL893" s="714"/>
      <c r="AM893" s="114" t="str">
        <f t="shared" si="631"/>
        <v/>
      </c>
      <c r="AN893" s="115"/>
      <c r="AO893" s="116"/>
      <c r="AP893" s="116"/>
      <c r="AQ893" s="116"/>
      <c r="AR893" s="116"/>
      <c r="AS893" s="116"/>
      <c r="AT893" s="116"/>
      <c r="AU893" s="116"/>
      <c r="AV893" s="78"/>
      <c r="AW893" s="102"/>
      <c r="AX893" s="78"/>
      <c r="AY893" s="78"/>
      <c r="AZ893" s="78"/>
      <c r="BA893" s="78"/>
      <c r="BB893" s="78"/>
      <c r="BC893" s="78"/>
      <c r="BD893" s="78"/>
      <c r="BE893" s="465"/>
      <c r="BF893" s="165" t="str">
        <f t="shared" si="632"/>
        <v>https://www.google.com/search?tbm=isch&amp;q=10%20G4</v>
      </c>
      <c r="BG893" s="165" t="str">
        <f t="shared" si="633"/>
        <v>C</v>
      </c>
      <c r="BH893" s="65"/>
      <c r="BI893" s="65"/>
      <c r="BJ893" s="65"/>
      <c r="BK893" s="65"/>
      <c r="BL893" s="99"/>
      <c r="BM893" s="99"/>
      <c r="BN893" s="99"/>
    </row>
    <row r="894" spans="1:66" s="51" customFormat="1" ht="16.5" thickBot="1" x14ac:dyDescent="0.3">
      <c r="A894" s="508" t="s">
        <v>1963</v>
      </c>
      <c r="B894" s="487"/>
      <c r="C894" s="707"/>
      <c r="D894" s="487"/>
      <c r="E894" s="487"/>
      <c r="F894" s="488"/>
      <c r="G894" s="489"/>
      <c r="H894" s="487"/>
      <c r="I894" s="490"/>
      <c r="J894" s="490"/>
      <c r="K894" s="491"/>
      <c r="L894" s="547"/>
      <c r="M894" s="528"/>
      <c r="N894" s="492"/>
      <c r="O894" s="493"/>
      <c r="P894" s="494"/>
      <c r="Q894" s="492"/>
      <c r="R894" s="492"/>
      <c r="S894" s="495"/>
      <c r="T894" s="102">
        <f t="shared" si="621"/>
        <v>0</v>
      </c>
      <c r="U894" s="78" t="str">
        <f>IF(NOT(ISNUMBER(G894)), "", VLOOKUP(A894,'Discount Lookup'!D:E,2,FALSE)*G894)</f>
        <v/>
      </c>
      <c r="V894" s="78" t="str">
        <f>IF(NOT(ISNUMBER(G894)), "", VLOOKUP(A894,'Discount Lookup'!G:H,2,FALSE)*G894)</f>
        <v/>
      </c>
      <c r="W894" s="102">
        <f t="shared" si="622"/>
        <v>0</v>
      </c>
      <c r="X894" s="102">
        <f t="shared" si="623"/>
        <v>0</v>
      </c>
      <c r="Y894" s="120" t="b">
        <f t="shared" si="624"/>
        <v>0</v>
      </c>
      <c r="Z894" s="117">
        <f t="shared" si="625"/>
        <v>0</v>
      </c>
      <c r="AA894" s="118"/>
      <c r="AB894" s="118" t="str">
        <f t="shared" si="626"/>
        <v/>
      </c>
      <c r="AC894" s="712" t="str">
        <f>IF(AE894="T2G","no charge",IF(AND(OR(PlanterYesMe="No",PlanterYesMe="N",PlanterYesMe="me"),H894=""),"",IF(H894="credit","NO install",IF(AND(K894="",AE894="me"),"EACH row",IF(AND(K894="images",AE894="me"),"EACH row",IF(D894="","",IF(H894="credit","",IF(AE894="free","re-planting",IF(AE894="me","   not ELP, by",IF(AND(OR(PlanterYesMe="Yes",PlanterYesMe="Y"),G894&gt;0),(VLOOKUP(A894,'Discount Lookup'!J:K,2)*G894*(1-PlanterDiscount)*(1+PlanterDifficultyPercentage)),IF(AE894="ELP",(VLOOKUP(A894,'Discount Lookup'!J:K,2)*G894*(1-PlanterDiscount)*(1+PlanterDifficultyPercentage)),IF(AE894="free","re-planting",IF(G894=0,"",IF(PlanterYesMe="",IF(AE894="me","   not ELP, by",IF(AE894="",IF(G894&gt;0,(VLOOKUP(A894,'Discount Lookup'!J:K,2)*G894*(1-PlanterDiscount)*(1+PlanterDifficultyPercentage)),""),"")),"   not ELP, by"))))))))))))))</f>
        <v/>
      </c>
      <c r="AD894" s="712"/>
      <c r="AE894" s="513" t="str">
        <f t="shared" si="627"/>
        <v/>
      </c>
      <c r="AF894" s="713" t="str">
        <f t="shared" si="628"/>
        <v/>
      </c>
      <c r="AG894" s="713"/>
      <c r="AH894" s="713"/>
      <c r="AI894" s="112">
        <f>IF(H894="credit",0,IF(AE894="free",0,IF(AE894="me",0,IF(G894&gt;0,(VLOOKUP(A894,'Discount Lookup'!J:K,2)*G894),0))))</f>
        <v>0</v>
      </c>
      <c r="AJ894" s="107" t="str">
        <f t="shared" ca="1" si="629"/>
        <v/>
      </c>
      <c r="AK894" s="714" t="str">
        <f t="shared" si="630"/>
        <v/>
      </c>
      <c r="AL894" s="714"/>
      <c r="AM894" s="114" t="str">
        <f t="shared" si="631"/>
        <v/>
      </c>
      <c r="AN894" s="115"/>
      <c r="AO894" s="116"/>
      <c r="AP894" s="116"/>
      <c r="AQ894" s="116"/>
      <c r="AR894" s="116"/>
      <c r="AS894" s="116"/>
      <c r="AT894" s="116"/>
      <c r="AU894" s="116"/>
      <c r="AV894" s="78"/>
      <c r="AW894" s="102"/>
      <c r="AX894" s="78"/>
      <c r="AY894" s="78"/>
      <c r="AZ894" s="78"/>
      <c r="BA894" s="78"/>
      <c r="BB894" s="78"/>
      <c r="BC894" s="78"/>
      <c r="BD894" s="78"/>
      <c r="BE894" s="465"/>
      <c r="BF894" s="165" t="str">
        <f t="shared" si="632"/>
        <v>https://www.google.com/search?tbm=isch&amp;q=Prostrate%20Beauty%20is%20a%20silvery%20%27true%20blue%27.%20%20Let%20it%20drape%20around%20features%20or%20down%20a%20wall.%20Prune%20leader%20to%20keep%20about%202%27%20tall%20</v>
      </c>
      <c r="BG894" s="165" t="str">
        <f t="shared" si="633"/>
        <v>P</v>
      </c>
      <c r="BH894" s="65"/>
      <c r="BI894" s="65"/>
      <c r="BJ894" s="65"/>
      <c r="BK894" s="65"/>
      <c r="BL894" s="99"/>
      <c r="BM894" s="99"/>
      <c r="BN894" s="99"/>
    </row>
    <row r="895" spans="1:66" s="51" customFormat="1" ht="18" x14ac:dyDescent="0.25">
      <c r="A895" s="623" t="s">
        <v>5042</v>
      </c>
      <c r="B895" s="624"/>
      <c r="C895" s="709"/>
      <c r="D895" s="625" t="s">
        <v>5043</v>
      </c>
      <c r="E895" s="626"/>
      <c r="F895" s="626"/>
      <c r="G895" s="626"/>
      <c r="H895" s="622" t="s">
        <v>711</v>
      </c>
      <c r="I895" s="627" t="s">
        <v>432</v>
      </c>
      <c r="J895" s="628"/>
      <c r="K895" s="628"/>
      <c r="L895" s="629"/>
      <c r="M895" s="700" t="s">
        <v>5241</v>
      </c>
      <c r="N895" s="693" t="str">
        <f>IF(AND(ISTEXT($A895), ISERROR($A895+0)), HYPERLINK($BF895, "Images"), "")</f>
        <v>Images</v>
      </c>
      <c r="O895" s="695" t="s">
        <v>5247</v>
      </c>
      <c r="P895" s="630"/>
      <c r="Q895" s="631"/>
      <c r="R895" s="632"/>
      <c r="S895" s="633" t="s">
        <v>294</v>
      </c>
      <c r="T895" s="102">
        <f t="shared" si="621"/>
        <v>0</v>
      </c>
      <c r="U895" s="78" t="str">
        <f>IF(NOT(ISNUMBER(G895)), "", VLOOKUP(A895,'Discount Lookup'!D:E,2,FALSE)*G895)</f>
        <v/>
      </c>
      <c r="V895" s="78" t="str">
        <f>IF(NOT(ISNUMBER(G895)), "", VLOOKUP(A895,'Discount Lookup'!G:H,2,FALSE)*G895)</f>
        <v/>
      </c>
      <c r="W895" s="102">
        <f t="shared" si="622"/>
        <v>0</v>
      </c>
      <c r="X895" s="102" t="str">
        <f t="shared" si="623"/>
        <v>Green foliage</v>
      </c>
      <c r="Y895" s="120" t="b">
        <f t="shared" si="624"/>
        <v>0</v>
      </c>
      <c r="Z895" s="117">
        <f t="shared" si="625"/>
        <v>0</v>
      </c>
      <c r="AA895" s="118"/>
      <c r="AB895" s="118" t="str">
        <f t="shared" si="626"/>
        <v/>
      </c>
      <c r="AC895" s="712" t="str">
        <f>IF(AE895="T2G","no charge",IF(AND(OR(PlanterYesMe="No",PlanterYesMe="N",PlanterYesMe="me"),H895=""),"",IF(H895="credit","NO install",IF(AND(K895="",AE895="me"),"EACH row",IF(AND(K895="images",AE895="me"),"EACH row",IF(D895="","",IF(H895="credit","",IF(AE895="free","re-planting",IF(AE895="me","   not ELP, by",IF(AND(OR(PlanterYesMe="Yes",PlanterYesMe="Y"),G895&gt;0),(VLOOKUP(A895,'Discount Lookup'!J:K,2)*G895*(1-PlanterDiscount)*(1+PlanterDifficultyPercentage)),IF(AE895="ELP",(VLOOKUP(A895,'Discount Lookup'!J:K,2)*G895*(1-PlanterDiscount)*(1+PlanterDifficultyPercentage)),IF(AE895="free","re-planting",IF(G895=0,"",IF(PlanterYesMe="",IF(AE895="me","   not ELP, by",IF(AE895="",IF(G895&gt;0,(VLOOKUP(A895,'Discount Lookup'!J:K,2)*G895*(1-PlanterDiscount)*(1+PlanterDifficultyPercentage)),""),"")),"   not ELP, by"))))))))))))))</f>
        <v/>
      </c>
      <c r="AD895" s="712"/>
      <c r="AE895" s="513" t="str">
        <f t="shared" si="627"/>
        <v/>
      </c>
      <c r="AF895" s="713" t="str">
        <f t="shared" si="628"/>
        <v/>
      </c>
      <c r="AG895" s="713"/>
      <c r="AH895" s="713"/>
      <c r="AI895" s="112">
        <f>IF(H895="credit",0,IF(AE895="free",0,IF(AE895="me",0,IF(G895&gt;0,(VLOOKUP(A895,'Discount Lookup'!J:K,2)*G895),0))))</f>
        <v>0</v>
      </c>
      <c r="AJ895" s="107" t="str">
        <f t="shared" ca="1" si="629"/>
        <v/>
      </c>
      <c r="AK895" s="714" t="str">
        <f t="shared" si="630"/>
        <v/>
      </c>
      <c r="AL895" s="714"/>
      <c r="AM895" s="114" t="str">
        <f t="shared" si="631"/>
        <v/>
      </c>
      <c r="AN895" s="115"/>
      <c r="AO895" s="116"/>
      <c r="AP895" s="116"/>
      <c r="AQ895" s="116"/>
      <c r="AR895" s="116"/>
      <c r="AS895" s="116"/>
      <c r="AT895" s="116"/>
      <c r="AU895" s="116"/>
      <c r="AV895" s="78"/>
      <c r="AW895" s="102"/>
      <c r="AX895" s="78"/>
      <c r="AY895" s="78"/>
      <c r="AZ895" s="78"/>
      <c r="BA895" s="78"/>
      <c r="BB895" s="78"/>
      <c r="BC895" s="78"/>
      <c r="BD895" s="78"/>
      <c r="BE895" s="465"/>
      <c r="BF895" s="165" t="str">
        <f t="shared" si="632"/>
        <v>https://www.google.com/search?tbm=isch&amp;q=Celtis%20occidentalis%20Common%20Hackberry</v>
      </c>
      <c r="BG895" s="165" t="str">
        <f t="shared" si="633"/>
        <v>C</v>
      </c>
      <c r="BH895" s="65"/>
      <c r="BI895" s="65"/>
      <c r="BJ895" s="65"/>
      <c r="BK895" s="65"/>
      <c r="BL895" s="99"/>
      <c r="BM895" s="99"/>
      <c r="BN895" s="99"/>
    </row>
    <row r="896" spans="1:66" s="51" customFormat="1" ht="15.75" x14ac:dyDescent="0.25">
      <c r="A896" s="634">
        <v>7</v>
      </c>
      <c r="B896" s="635" t="s">
        <v>291</v>
      </c>
      <c r="C896" s="636" t="s">
        <v>5044</v>
      </c>
      <c r="D896" s="637" t="s">
        <v>299</v>
      </c>
      <c r="E896" s="638">
        <v>125.95</v>
      </c>
      <c r="F896" s="639" t="s">
        <v>292</v>
      </c>
      <c r="G896" s="484">
        <v>0</v>
      </c>
      <c r="H896" s="691" t="str">
        <f>IF(G896=0,"",IF(F896="Buy",IF(G896=1,"plant","plants"),IF(F896&gt;0.01,"warranty","Error")))</f>
        <v/>
      </c>
      <c r="I896" s="640">
        <f>IF(H896="free",0,IF(H896="credit",((E896*(F896))*G896*-1),IF(F896="Buy",(E896*G896),((E896*(1-F896))*G896))))</f>
        <v>0</v>
      </c>
      <c r="J896" s="640">
        <f>IF(H896="warranty",0,(I896*(_xlfn.SINGLE(SalesTaxPercentage))))</f>
        <v>0</v>
      </c>
      <c r="K896" s="716">
        <f t="shared" ref="K896" si="658">I896+J896</f>
        <v>0</v>
      </c>
      <c r="L896" s="716"/>
      <c r="M896" s="689" t="str">
        <f ca="1">IF(AND(G896&gt;0,E896=0),"WARNING - no PRICE inserted",IF(H896="free","FREE ~ no charge this plant",IF(H896="credit",CONCATENATE("-$",ROUND(K896*(1-_xlfn.SINGLE(T2GDiscount))*-1,2)," CREDIT after discount"),IF(_xlfn.SINGLE(T2GDiscount)=0,"",IF(G896=0,"",IF(F896="Buy",CONCATENATE("$",ROUND(K896*(1-_xlfn.SINGLE(T2GDiscount)),2)," with ",(_xlfn.SINGLE(T2GDiscount)*100),"% discount"),CONCATENATE("$",ROUND(K896*(1-_xlfn.SINGLE(T2GDiscount)),2)," with ",((_xlfn.SINGLE(T2GDiscount)*100+F896*100)-(_xlfn.SINGLE(T2GDiscount)*100*F896)),IF(F896&gt;0,"% discounts",IF(_xlfn.SINGLE(NoWarrantyDiscount)&gt;0,"% discounts","% discount")))))))))</f>
        <v/>
      </c>
      <c r="N896" s="690"/>
      <c r="O896" s="486"/>
      <c r="P896" s="486"/>
      <c r="Q896" s="486"/>
      <c r="R896" s="486"/>
      <c r="S896" s="486"/>
      <c r="T896" s="102">
        <f t="shared" si="621"/>
        <v>0</v>
      </c>
      <c r="U896" s="78">
        <f>IF(NOT(ISNUMBER(G896)), "", VLOOKUP(A896,'Discount Lookup'!D:E,2,FALSE)*G896)</f>
        <v>0</v>
      </c>
      <c r="V896" s="78">
        <f>IF(NOT(ISNUMBER(G896)), "", VLOOKUP(A896,'Discount Lookup'!G:H,2,FALSE)*G896)</f>
        <v>0</v>
      </c>
      <c r="W896" s="102">
        <f t="shared" si="622"/>
        <v>0</v>
      </c>
      <c r="X896" s="102">
        <f t="shared" si="623"/>
        <v>0</v>
      </c>
      <c r="Y896" s="120" t="b">
        <f t="shared" si="624"/>
        <v>0</v>
      </c>
      <c r="Z896" s="117">
        <f t="shared" si="625"/>
        <v>0</v>
      </c>
      <c r="AA896" s="118"/>
      <c r="AB896" s="118" t="str">
        <f t="shared" si="626"/>
        <v/>
      </c>
      <c r="AC896" s="712" t="str">
        <f>IF(AE896="T2G","no charge",IF(AND(OR(PlanterYesMe="No",PlanterYesMe="N",PlanterYesMe="me"),H896=""),"",IF(H896="credit","NO install",IF(AND(K896="",AE896="me"),"EACH row",IF(AND(K896="images",AE896="me"),"EACH row",IF(D896="","",IF(H896="credit","",IF(AE896="free","re-planting",IF(AE896="me","   not ELP, by",IF(AND(OR(PlanterYesMe="Yes",PlanterYesMe="Y"),G896&gt;0),(VLOOKUP(A896,'Discount Lookup'!J:K,2)*G896*(1-PlanterDiscount)*(1+PlanterDifficultyPercentage)),IF(AE896="ELP",(VLOOKUP(A896,'Discount Lookup'!J:K,2)*G896*(1-PlanterDiscount)*(1+PlanterDifficultyPercentage)),IF(AE896="free","re-planting",IF(G896=0,"",IF(PlanterYesMe="",IF(AE896="me","   not ELP, by",IF(AE896="",IF(G896&gt;0,(VLOOKUP(A896,'Discount Lookup'!J:K,2)*G896*(1-PlanterDiscount)*(1+PlanterDifficultyPercentage)),""),"")),"   not ELP, by"))))))))))))))</f>
        <v/>
      </c>
      <c r="AD896" s="712"/>
      <c r="AE896" s="513" t="str">
        <f t="shared" si="627"/>
        <v/>
      </c>
      <c r="AF896" s="713" t="str">
        <f t="shared" si="628"/>
        <v/>
      </c>
      <c r="AG896" s="713"/>
      <c r="AH896" s="713"/>
      <c r="AI896" s="112">
        <f>IF(H896="credit",0,IF(AE896="free",0,IF(AE896="me",0,IF(G896&gt;0,(VLOOKUP(A896,'Discount Lookup'!J:K,2)*G896),0))))</f>
        <v>0</v>
      </c>
      <c r="AJ896" s="107" t="str">
        <f t="shared" ca="1" si="629"/>
        <v/>
      </c>
      <c r="AK896" s="714" t="str">
        <f t="shared" si="630"/>
        <v/>
      </c>
      <c r="AL896" s="714"/>
      <c r="AM896" s="114" t="str">
        <f t="shared" si="631"/>
        <v/>
      </c>
      <c r="AN896" s="115"/>
      <c r="AO896" s="116"/>
      <c r="AP896" s="116"/>
      <c r="AQ896" s="116"/>
      <c r="AR896" s="116"/>
      <c r="AS896" s="116"/>
      <c r="AT896" s="116"/>
      <c r="AU896" s="116"/>
      <c r="AV896" s="78"/>
      <c r="AW896" s="102"/>
      <c r="AX896" s="78"/>
      <c r="AY896" s="78"/>
      <c r="AZ896" s="78"/>
      <c r="BA896" s="78"/>
      <c r="BB896" s="78"/>
      <c r="BC896" s="78"/>
      <c r="BD896" s="78"/>
      <c r="BE896" s="465"/>
      <c r="BF896" s="165" t="str">
        <f t="shared" si="632"/>
        <v>https://www.google.com/search?tbm=isch&amp;q=7%20G4</v>
      </c>
      <c r="BG896" s="165" t="str">
        <f t="shared" si="633"/>
        <v>C</v>
      </c>
      <c r="BH896" s="65"/>
      <c r="BI896" s="65"/>
      <c r="BJ896" s="65"/>
      <c r="BK896" s="65"/>
      <c r="BL896" s="99"/>
      <c r="BM896" s="99"/>
      <c r="BN896" s="99"/>
    </row>
    <row r="897" spans="1:66" s="51" customFormat="1" ht="16.5" x14ac:dyDescent="0.25">
      <c r="A897" s="704" t="s">
        <v>5371</v>
      </c>
      <c r="B897" s="642"/>
      <c r="C897" s="710"/>
      <c r="D897" s="643"/>
      <c r="E897" s="643"/>
      <c r="F897" s="644"/>
      <c r="G897" s="645"/>
      <c r="H897" s="646"/>
      <c r="I897" s="647"/>
      <c r="J897" s="648"/>
      <c r="K897" s="649"/>
      <c r="L897" s="650"/>
      <c r="M897" s="650"/>
      <c r="N897" s="644"/>
      <c r="O897" s="644"/>
      <c r="P897" s="644"/>
      <c r="Q897" s="644"/>
      <c r="R897" s="644"/>
      <c r="S897" s="701" t="s">
        <v>5262</v>
      </c>
      <c r="T897" s="102">
        <f t="shared" si="621"/>
        <v>0</v>
      </c>
      <c r="U897" s="78" t="str">
        <f>IF(NOT(ISNUMBER(G897)), "", VLOOKUP(A897,'Discount Lookup'!D:E,2,FALSE)*G897)</f>
        <v/>
      </c>
      <c r="V897" s="78" t="str">
        <f>IF(NOT(ISNUMBER(G897)), "", VLOOKUP(A897,'Discount Lookup'!G:H,2,FALSE)*G897)</f>
        <v/>
      </c>
      <c r="W897" s="102">
        <f t="shared" si="622"/>
        <v>0</v>
      </c>
      <c r="X897" s="102">
        <f t="shared" si="623"/>
        <v>0</v>
      </c>
      <c r="Y897" s="120" t="b">
        <f t="shared" si="624"/>
        <v>0</v>
      </c>
      <c r="Z897" s="117">
        <f t="shared" si="625"/>
        <v>0</v>
      </c>
      <c r="AA897" s="118"/>
      <c r="AB897" s="118" t="str">
        <f t="shared" si="626"/>
        <v/>
      </c>
      <c r="AC897" s="712" t="str">
        <f>IF(AE897="T2G","no charge",IF(AND(OR(PlanterYesMe="No",PlanterYesMe="N",PlanterYesMe="me"),H897=""),"",IF(H897="credit","NO install",IF(AND(K897="",AE897="me"),"EACH row",IF(AND(K897="images",AE897="me"),"EACH row",IF(D897="","",IF(H897="credit","",IF(AE897="free","re-planting",IF(AE897="me","   not ELP, by",IF(AND(OR(PlanterYesMe="Yes",PlanterYesMe="Y"),G897&gt;0),(VLOOKUP(A897,'Discount Lookup'!J:K,2)*G897*(1-PlanterDiscount)*(1+PlanterDifficultyPercentage)),IF(AE897="ELP",(VLOOKUP(A897,'Discount Lookup'!J:K,2)*G897*(1-PlanterDiscount)*(1+PlanterDifficultyPercentage)),IF(AE897="free","re-planting",IF(G897=0,"",IF(PlanterYesMe="",IF(AE897="me","   not ELP, by",IF(AE897="",IF(G897&gt;0,(VLOOKUP(A897,'Discount Lookup'!J:K,2)*G897*(1-PlanterDiscount)*(1+PlanterDifficultyPercentage)),""),"")),"   not ELP, by"))))))))))))))</f>
        <v/>
      </c>
      <c r="AD897" s="712"/>
      <c r="AE897" s="513" t="str">
        <f t="shared" si="627"/>
        <v/>
      </c>
      <c r="AF897" s="713" t="str">
        <f t="shared" si="628"/>
        <v/>
      </c>
      <c r="AG897" s="713"/>
      <c r="AH897" s="713"/>
      <c r="AI897" s="112">
        <f>IF(H897="credit",0,IF(AE897="free",0,IF(AE897="me",0,IF(G897&gt;0,(VLOOKUP(A897,'Discount Lookup'!J:K,2)*G897),0))))</f>
        <v>0</v>
      </c>
      <c r="AJ897" s="107" t="str">
        <f t="shared" ca="1" si="629"/>
        <v/>
      </c>
      <c r="AK897" s="714" t="str">
        <f t="shared" si="630"/>
        <v/>
      </c>
      <c r="AL897" s="714"/>
      <c r="AM897" s="114" t="str">
        <f t="shared" si="631"/>
        <v/>
      </c>
      <c r="AN897" s="115"/>
      <c r="AO897" s="116"/>
      <c r="AP897" s="116"/>
      <c r="AQ897" s="116"/>
      <c r="AR897" s="116"/>
      <c r="AS897" s="116"/>
      <c r="AT897" s="116"/>
      <c r="AU897" s="116"/>
      <c r="AV897" s="78"/>
      <c r="AW897" s="102"/>
      <c r="AX897" s="78"/>
      <c r="AY897" s="78"/>
      <c r="AZ897" s="78"/>
      <c r="BA897" s="78"/>
      <c r="BB897" s="78"/>
      <c r="BC897" s="78"/>
      <c r="BD897" s="78"/>
      <c r="BE897" s="465"/>
      <c r="BF897" s="165" t="str">
        <f t="shared" si="632"/>
        <v>https://www.google.com/search?tbm=isch&amp;q=moist%20sites%F0%9F%92%A7OK%2C%20Common%20Hackberry%20is%20a%20highly%20adaptable%2C%20tough%20shade%20tree%20with%20distinctive%20corky%2C%20warty%20bark%20that%20adds%20winter%20interest%20</v>
      </c>
      <c r="BG897" s="165" t="str">
        <f t="shared" si="633"/>
        <v>m</v>
      </c>
      <c r="BH897" s="65"/>
      <c r="BI897" s="65"/>
      <c r="BJ897" s="65"/>
      <c r="BK897" s="65"/>
      <c r="BL897" s="99"/>
      <c r="BM897" s="99"/>
      <c r="BN897" s="99"/>
    </row>
    <row r="898" spans="1:66" s="51" customFormat="1" ht="19.5" thickBot="1" x14ac:dyDescent="0.3">
      <c r="A898" s="686" t="s">
        <v>382</v>
      </c>
      <c r="B898" s="73"/>
      <c r="C898" s="708"/>
      <c r="D898" s="73"/>
      <c r="E898" s="73"/>
      <c r="F898" s="496"/>
      <c r="G898" s="73"/>
      <c r="H898" s="73"/>
      <c r="I898" s="73"/>
      <c r="J898" s="497" t="s">
        <v>357</v>
      </c>
      <c r="K898" s="498"/>
      <c r="L898" s="562"/>
      <c r="M898" s="73"/>
      <c r="N898"/>
      <c r="O898"/>
      <c r="P898"/>
      <c r="Q898"/>
      <c r="R898"/>
      <c r="S898"/>
      <c r="T898" s="102">
        <f t="shared" si="621"/>
        <v>0</v>
      </c>
      <c r="U898" s="78" t="str">
        <f>IF(NOT(ISNUMBER(G898)), "", VLOOKUP(A898,'Discount Lookup'!D:E,2,FALSE)*G898)</f>
        <v/>
      </c>
      <c r="V898" s="78" t="str">
        <f>IF(NOT(ISNUMBER(G898)), "", VLOOKUP(A898,'Discount Lookup'!G:H,2,FALSE)*G898)</f>
        <v/>
      </c>
      <c r="W898" s="102">
        <f t="shared" si="622"/>
        <v>0</v>
      </c>
      <c r="X898" s="102">
        <f t="shared" si="623"/>
        <v>0</v>
      </c>
      <c r="Y898" s="120" t="b">
        <f t="shared" si="624"/>
        <v>0</v>
      </c>
      <c r="Z898" s="117">
        <f t="shared" si="625"/>
        <v>0</v>
      </c>
      <c r="AA898" s="118"/>
      <c r="AB898" s="118" t="str">
        <f t="shared" si="626"/>
        <v/>
      </c>
      <c r="AC898" s="712" t="str">
        <f>IF(AE898="T2G","no charge",IF(AND(OR(PlanterYesMe="No",PlanterYesMe="N",PlanterYesMe="me"),H898=""),"",IF(H898="credit","NO install",IF(AND(K898="",AE898="me"),"EACH row",IF(AND(K898="images",AE898="me"),"EACH row",IF(D898="","",IF(H898="credit","",IF(AE898="free","re-planting",IF(AE898="me","   not ELP, by",IF(AND(OR(PlanterYesMe="Yes",PlanterYesMe="Y"),G898&gt;0),(VLOOKUP(A898,'Discount Lookup'!J:K,2)*G898*(1-PlanterDiscount)*(1+PlanterDifficultyPercentage)),IF(AE898="ELP",(VLOOKUP(A898,'Discount Lookup'!J:K,2)*G898*(1-PlanterDiscount)*(1+PlanterDifficultyPercentage)),IF(AE898="free","re-planting",IF(G898=0,"",IF(PlanterYesMe="",IF(AE898="me","   not ELP, by",IF(AE898="",IF(G898&gt;0,(VLOOKUP(A898,'Discount Lookup'!J:K,2)*G898*(1-PlanterDiscount)*(1+PlanterDifficultyPercentage)),""),"")),"   not ELP, by"))))))))))))))</f>
        <v/>
      </c>
      <c r="AD898" s="712"/>
      <c r="AE898" s="513" t="str">
        <f t="shared" si="627"/>
        <v/>
      </c>
      <c r="AF898" s="713" t="str">
        <f t="shared" si="628"/>
        <v/>
      </c>
      <c r="AG898" s="713"/>
      <c r="AH898" s="713"/>
      <c r="AI898" s="112">
        <f>IF(H898="credit",0,IF(AE898="free",0,IF(AE898="me",0,IF(G898&gt;0,(VLOOKUP(A898,'Discount Lookup'!J:K,2)*G898),0))))</f>
        <v>0</v>
      </c>
      <c r="AJ898" s="107" t="str">
        <f t="shared" ca="1" si="629"/>
        <v/>
      </c>
      <c r="AK898" s="714" t="str">
        <f t="shared" si="630"/>
        <v/>
      </c>
      <c r="AL898" s="714"/>
      <c r="AM898" s="114" t="str">
        <f t="shared" si="631"/>
        <v/>
      </c>
      <c r="AN898" s="115"/>
      <c r="AO898" s="116"/>
      <c r="AP898" s="116"/>
      <c r="AQ898" s="116"/>
      <c r="AR898" s="116"/>
      <c r="AS898" s="116"/>
      <c r="AT898" s="116"/>
      <c r="AU898" s="116"/>
      <c r="AV898" s="78"/>
      <c r="AW898" s="102"/>
      <c r="AX898" s="78"/>
      <c r="AY898" s="78"/>
      <c r="AZ898" s="78"/>
      <c r="BA898" s="78"/>
      <c r="BB898" s="78"/>
      <c r="BC898" s="78"/>
      <c r="BD898" s="78"/>
      <c r="BE898" s="465"/>
      <c r="BF898" s="165" t="str">
        <f t="shared" si="632"/>
        <v>https://www.google.com/search?tbm=isch&amp;q=Cephalanthus%20%3D%20Buttonbush%20</v>
      </c>
      <c r="BG898" s="165" t="str">
        <f t="shared" si="633"/>
        <v>C</v>
      </c>
      <c r="BH898" s="65"/>
      <c r="BI898" s="65"/>
      <c r="BJ898" s="65"/>
      <c r="BK898" s="65"/>
      <c r="BL898" s="99"/>
      <c r="BM898" s="99"/>
      <c r="BN898" s="99"/>
    </row>
    <row r="899" spans="1:66" s="51" customFormat="1" ht="18" x14ac:dyDescent="0.25">
      <c r="A899" s="623" t="s">
        <v>1964</v>
      </c>
      <c r="B899" s="624"/>
      <c r="C899" s="709"/>
      <c r="D899" s="625" t="s">
        <v>1965</v>
      </c>
      <c r="E899" s="626"/>
      <c r="F899" s="626"/>
      <c r="G899" s="626"/>
      <c r="H899" s="622" t="s">
        <v>1231</v>
      </c>
      <c r="I899" s="627" t="s">
        <v>349</v>
      </c>
      <c r="J899" s="628"/>
      <c r="K899" s="628"/>
      <c r="L899" s="629"/>
      <c r="M899" s="700" t="s">
        <v>5249</v>
      </c>
      <c r="N899" s="693" t="str">
        <f>IF(AND(ISTEXT($A899), ISERROR($A899+0)), HYPERLINK($BF899, "Images"), "")</f>
        <v>Images</v>
      </c>
      <c r="O899" s="695" t="s">
        <v>5264</v>
      </c>
      <c r="P899" s="630"/>
      <c r="Q899" s="631"/>
      <c r="R899" s="632"/>
      <c r="S899" s="633" t="s">
        <v>294</v>
      </c>
      <c r="T899" s="102">
        <f t="shared" si="621"/>
        <v>0</v>
      </c>
      <c r="U899" s="78" t="str">
        <f>IF(NOT(ISNUMBER(G899)), "", VLOOKUP(A899,'Discount Lookup'!D:E,2,FALSE)*G899)</f>
        <v/>
      </c>
      <c r="V899" s="78" t="str">
        <f>IF(NOT(ISNUMBER(G899)), "", VLOOKUP(A899,'Discount Lookup'!G:H,2,FALSE)*G899)</f>
        <v/>
      </c>
      <c r="W899" s="102">
        <f t="shared" si="622"/>
        <v>0</v>
      </c>
      <c r="X899" s="102" t="str">
        <f t="shared" si="623"/>
        <v>White bloom</v>
      </c>
      <c r="Y899" s="120" t="b">
        <f t="shared" si="624"/>
        <v>0</v>
      </c>
      <c r="Z899" s="117">
        <f t="shared" si="625"/>
        <v>0</v>
      </c>
      <c r="AA899" s="118"/>
      <c r="AB899" s="118" t="str">
        <f t="shared" si="626"/>
        <v/>
      </c>
      <c r="AC899" s="712" t="str">
        <f>IF(AE899="T2G","no charge",IF(AND(OR(PlanterYesMe="No",PlanterYesMe="N",PlanterYesMe="me"),H899=""),"",IF(H899="credit","NO install",IF(AND(K899="",AE899="me"),"EACH row",IF(AND(K899="images",AE899="me"),"EACH row",IF(D899="","",IF(H899="credit","",IF(AE899="free","re-planting",IF(AE899="me","   not ELP, by",IF(AND(OR(PlanterYesMe="Yes",PlanterYesMe="Y"),G899&gt;0),(VLOOKUP(A899,'Discount Lookup'!J:K,2)*G899*(1-PlanterDiscount)*(1+PlanterDifficultyPercentage)),IF(AE899="ELP",(VLOOKUP(A899,'Discount Lookup'!J:K,2)*G899*(1-PlanterDiscount)*(1+PlanterDifficultyPercentage)),IF(AE899="free","re-planting",IF(G899=0,"",IF(PlanterYesMe="",IF(AE899="me","   not ELP, by",IF(AE899="",IF(G899&gt;0,(VLOOKUP(A899,'Discount Lookup'!J:K,2)*G899*(1-PlanterDiscount)*(1+PlanterDifficultyPercentage)),""),"")),"   not ELP, by"))))))))))))))</f>
        <v/>
      </c>
      <c r="AD899" s="712"/>
      <c r="AE899" s="513" t="str">
        <f t="shared" si="627"/>
        <v/>
      </c>
      <c r="AF899" s="713" t="str">
        <f t="shared" si="628"/>
        <v/>
      </c>
      <c r="AG899" s="713"/>
      <c r="AH899" s="713"/>
      <c r="AI899" s="112">
        <f>IF(H899="credit",0,IF(AE899="free",0,IF(AE899="me",0,IF(G899&gt;0,(VLOOKUP(A899,'Discount Lookup'!J:K,2)*G899),0))))</f>
        <v>0</v>
      </c>
      <c r="AJ899" s="107" t="str">
        <f t="shared" ca="1" si="629"/>
        <v/>
      </c>
      <c r="AK899" s="714" t="str">
        <f t="shared" si="630"/>
        <v/>
      </c>
      <c r="AL899" s="714"/>
      <c r="AM899" s="114" t="str">
        <f t="shared" si="631"/>
        <v/>
      </c>
      <c r="AN899" s="115"/>
      <c r="AO899" s="116"/>
      <c r="AP899" s="116"/>
      <c r="AQ899" s="116"/>
      <c r="AR899" s="116"/>
      <c r="AS899" s="116"/>
      <c r="AT899" s="116"/>
      <c r="AU899" s="116"/>
      <c r="AV899" s="78"/>
      <c r="AW899" s="102"/>
      <c r="AX899" s="78"/>
      <c r="AY899" s="78"/>
      <c r="AZ899" s="78"/>
      <c r="BA899" s="78"/>
      <c r="BB899" s="78"/>
      <c r="BC899" s="78"/>
      <c r="BD899" s="78"/>
      <c r="BE899" s="465"/>
      <c r="BF899" s="165" t="str">
        <f t="shared" si="632"/>
        <v>https://www.google.com/search?tbm=isch&amp;q=Cephalanthus%20occidentalis%20Common%20Buttonbush</v>
      </c>
      <c r="BG899" s="165" t="str">
        <f t="shared" si="633"/>
        <v>C</v>
      </c>
      <c r="BH899" s="65"/>
      <c r="BI899" s="65"/>
      <c r="BJ899" s="65"/>
      <c r="BK899" s="65"/>
      <c r="BL899" s="99"/>
      <c r="BM899" s="99"/>
      <c r="BN899" s="99"/>
    </row>
    <row r="900" spans="1:66" s="51" customFormat="1" ht="15.75" x14ac:dyDescent="0.25">
      <c r="A900" s="634">
        <v>3</v>
      </c>
      <c r="B900" s="635" t="s">
        <v>291</v>
      </c>
      <c r="C900" s="636" t="s">
        <v>1966</v>
      </c>
      <c r="D900" s="637" t="s">
        <v>329</v>
      </c>
      <c r="E900" s="638">
        <v>30.95</v>
      </c>
      <c r="F900" s="639" t="s">
        <v>292</v>
      </c>
      <c r="G900" s="484">
        <v>0</v>
      </c>
      <c r="H900" s="691" t="str">
        <f>IF(G900=0,"",IF(F900="Buy",IF(G900=1,"plant","plants"),IF(F900&gt;0.01,"warranty","Error")))</f>
        <v/>
      </c>
      <c r="I900" s="640">
        <f>IF(H900="free",0,IF(H900="credit",((E900*(F900))*G900*-1),IF(F900="Buy",(E900*G900),((E900*(1-F900))*G900))))</f>
        <v>0</v>
      </c>
      <c r="J900" s="640">
        <f>IF(H900="warranty",0,(I900*(_xlfn.SINGLE(SalesTaxPercentage))))</f>
        <v>0</v>
      </c>
      <c r="K900" s="716">
        <f t="shared" ref="K900" si="659">I900+J900</f>
        <v>0</v>
      </c>
      <c r="L900" s="716"/>
      <c r="M900" s="689" t="str">
        <f ca="1">IF(AND(G900&gt;0,E900=0),"WARNING - no PRICE inserted",IF(H900="free","FREE ~ no charge this plant",IF(H900="credit",CONCATENATE("-$",ROUND(K900*(1-_xlfn.SINGLE(T2GDiscount))*-1,2)," CREDIT after discount"),IF(_xlfn.SINGLE(T2GDiscount)=0,"",IF(G900=0,"",IF(F900="Buy",CONCATENATE("$",ROUND(K900*(1-_xlfn.SINGLE(T2GDiscount)),2)," with ",(_xlfn.SINGLE(T2GDiscount)*100),"% discount"),CONCATENATE("$",ROUND(K900*(1-_xlfn.SINGLE(T2GDiscount)),2)," with ",((_xlfn.SINGLE(T2GDiscount)*100+F900*100)-(_xlfn.SINGLE(T2GDiscount)*100*F900)),IF(F900&gt;0,"% discounts",IF(_xlfn.SINGLE(NoWarrantyDiscount)&gt;0,"% discounts","% discount")))))))))</f>
        <v/>
      </c>
      <c r="N900" s="690"/>
      <c r="O900" s="486"/>
      <c r="P900" s="486"/>
      <c r="Q900" s="486"/>
      <c r="R900" s="486"/>
      <c r="S900" s="486"/>
      <c r="T900" s="102">
        <f t="shared" si="621"/>
        <v>0</v>
      </c>
      <c r="U900" s="78">
        <f>IF(NOT(ISNUMBER(G900)), "", VLOOKUP(A900,'Discount Lookup'!D:E,2,FALSE)*G900)</f>
        <v>0</v>
      </c>
      <c r="V900" s="78">
        <f>IF(NOT(ISNUMBER(G900)), "", VLOOKUP(A900,'Discount Lookup'!G:H,2,FALSE)*G900)</f>
        <v>0</v>
      </c>
      <c r="W900" s="102">
        <f t="shared" si="622"/>
        <v>0</v>
      </c>
      <c r="X900" s="102">
        <f t="shared" si="623"/>
        <v>0</v>
      </c>
      <c r="Y900" s="120" t="b">
        <f t="shared" si="624"/>
        <v>0</v>
      </c>
      <c r="Z900" s="117">
        <f t="shared" si="625"/>
        <v>0</v>
      </c>
      <c r="AA900" s="118"/>
      <c r="AB900" s="118" t="str">
        <f t="shared" si="626"/>
        <v/>
      </c>
      <c r="AC900" s="712" t="str">
        <f>IF(AE900="T2G","no charge",IF(AND(OR(PlanterYesMe="No",PlanterYesMe="N",PlanterYesMe="me"),H900=""),"",IF(H900="credit","NO install",IF(AND(K900="",AE900="me"),"EACH row",IF(AND(K900="images",AE900="me"),"EACH row",IF(D900="","",IF(H900="credit","",IF(AE900="free","re-planting",IF(AE900="me","   not ELP, by",IF(AND(OR(PlanterYesMe="Yes",PlanterYesMe="Y"),G900&gt;0),(VLOOKUP(A900,'Discount Lookup'!J:K,2)*G900*(1-PlanterDiscount)*(1+PlanterDifficultyPercentage)),IF(AE900="ELP",(VLOOKUP(A900,'Discount Lookup'!J:K,2)*G900*(1-PlanterDiscount)*(1+PlanterDifficultyPercentage)),IF(AE900="free","re-planting",IF(G900=0,"",IF(PlanterYesMe="",IF(AE900="me","   not ELP, by",IF(AE900="",IF(G900&gt;0,(VLOOKUP(A900,'Discount Lookup'!J:K,2)*G900*(1-PlanterDiscount)*(1+PlanterDifficultyPercentage)),""),"")),"   not ELP, by"))))))))))))))</f>
        <v/>
      </c>
      <c r="AD900" s="712"/>
      <c r="AE900" s="513" t="str">
        <f t="shared" si="627"/>
        <v/>
      </c>
      <c r="AF900" s="713" t="str">
        <f t="shared" si="628"/>
        <v/>
      </c>
      <c r="AG900" s="713"/>
      <c r="AH900" s="713"/>
      <c r="AI900" s="112">
        <f>IF(H900="credit",0,IF(AE900="free",0,IF(AE900="me",0,IF(G900&gt;0,(VLOOKUP(A900,'Discount Lookup'!J:K,2)*G900),0))))</f>
        <v>0</v>
      </c>
      <c r="AJ900" s="107" t="str">
        <f t="shared" ca="1" si="629"/>
        <v/>
      </c>
      <c r="AK900" s="714" t="str">
        <f t="shared" si="630"/>
        <v/>
      </c>
      <c r="AL900" s="714"/>
      <c r="AM900" s="114" t="str">
        <f t="shared" si="631"/>
        <v/>
      </c>
      <c r="AN900" s="115"/>
      <c r="AO900" s="116"/>
      <c r="AP900" s="116"/>
      <c r="AQ900" s="116"/>
      <c r="AR900" s="116"/>
      <c r="AS900" s="116"/>
      <c r="AT900" s="116"/>
      <c r="AU900" s="116"/>
      <c r="AV900" s="78"/>
      <c r="AW900" s="102"/>
      <c r="AX900" s="78"/>
      <c r="AY900" s="78"/>
      <c r="AZ900" s="78"/>
      <c r="BA900" s="78"/>
      <c r="BB900" s="78"/>
      <c r="BC900" s="78"/>
      <c r="BD900" s="78"/>
      <c r="BE900" s="465"/>
      <c r="BF900" s="165" t="str">
        <f t="shared" si="632"/>
        <v>https://www.google.com/search?tbm=isch&amp;q=3%20G2</v>
      </c>
      <c r="BG900" s="165" t="str">
        <f t="shared" si="633"/>
        <v>C</v>
      </c>
      <c r="BH900" s="65"/>
      <c r="BI900" s="65"/>
      <c r="BJ900" s="65"/>
      <c r="BK900" s="65"/>
      <c r="BL900" s="99"/>
      <c r="BM900" s="99"/>
      <c r="BN900" s="99"/>
    </row>
    <row r="901" spans="1:66" s="51" customFormat="1" ht="17.25" thickBot="1" x14ac:dyDescent="0.3">
      <c r="A901" s="704" t="s">
        <v>5372</v>
      </c>
      <c r="B901" s="642"/>
      <c r="C901" s="710"/>
      <c r="D901" s="643"/>
      <c r="E901" s="643"/>
      <c r="F901" s="644"/>
      <c r="G901" s="645"/>
      <c r="H901" s="646"/>
      <c r="I901" s="647"/>
      <c r="J901" s="648"/>
      <c r="K901" s="649"/>
      <c r="L901" s="650"/>
      <c r="M901" s="650"/>
      <c r="N901" s="644"/>
      <c r="O901" s="644"/>
      <c r="P901" s="644"/>
      <c r="Q901" s="644"/>
      <c r="R901" s="644"/>
      <c r="S901" s="701" t="s">
        <v>5273</v>
      </c>
      <c r="T901" s="102">
        <f t="shared" si="621"/>
        <v>0</v>
      </c>
      <c r="U901" s="78" t="str">
        <f>IF(NOT(ISNUMBER(G901)), "", VLOOKUP(A901,'Discount Lookup'!D:E,2,FALSE)*G901)</f>
        <v/>
      </c>
      <c r="V901" s="78" t="str">
        <f>IF(NOT(ISNUMBER(G901)), "", VLOOKUP(A901,'Discount Lookup'!G:H,2,FALSE)*G901)</f>
        <v/>
      </c>
      <c r="W901" s="102">
        <f t="shared" si="622"/>
        <v>0</v>
      </c>
      <c r="X901" s="102">
        <f t="shared" si="623"/>
        <v>0</v>
      </c>
      <c r="Y901" s="120" t="b">
        <f t="shared" si="624"/>
        <v>0</v>
      </c>
      <c r="Z901" s="117">
        <f t="shared" si="625"/>
        <v>0</v>
      </c>
      <c r="AA901" s="118"/>
      <c r="AB901" s="118" t="str">
        <f t="shared" si="626"/>
        <v/>
      </c>
      <c r="AC901" s="712" t="str">
        <f>IF(AE901="T2G","no charge",IF(AND(OR(PlanterYesMe="No",PlanterYesMe="N",PlanterYesMe="me"),H901=""),"",IF(H901="credit","NO install",IF(AND(K901="",AE901="me"),"EACH row",IF(AND(K901="images",AE901="me"),"EACH row",IF(D901="","",IF(H901="credit","",IF(AE901="free","re-planting",IF(AE901="me","   not ELP, by",IF(AND(OR(PlanterYesMe="Yes",PlanterYesMe="Y"),G901&gt;0),(VLOOKUP(A901,'Discount Lookup'!J:K,2)*G901*(1-PlanterDiscount)*(1+PlanterDifficultyPercentage)),IF(AE901="ELP",(VLOOKUP(A901,'Discount Lookup'!J:K,2)*G901*(1-PlanterDiscount)*(1+PlanterDifficultyPercentage)),IF(AE901="free","re-planting",IF(G901=0,"",IF(PlanterYesMe="",IF(AE901="me","   not ELP, by",IF(AE901="",IF(G901&gt;0,(VLOOKUP(A901,'Discount Lookup'!J:K,2)*G901*(1-PlanterDiscount)*(1+PlanterDifficultyPercentage)),""),"")),"   not ELP, by"))))))))))))))</f>
        <v/>
      </c>
      <c r="AD901" s="712"/>
      <c r="AE901" s="513" t="str">
        <f t="shared" si="627"/>
        <v/>
      </c>
      <c r="AF901" s="713" t="str">
        <f t="shared" si="628"/>
        <v/>
      </c>
      <c r="AG901" s="713"/>
      <c r="AH901" s="713"/>
      <c r="AI901" s="112">
        <f>IF(H901="credit",0,IF(AE901="free",0,IF(AE901="me",0,IF(G901&gt;0,(VLOOKUP(A901,'Discount Lookup'!J:K,2)*G901),0))))</f>
        <v>0</v>
      </c>
      <c r="AJ901" s="107" t="str">
        <f t="shared" ca="1" si="629"/>
        <v/>
      </c>
      <c r="AK901" s="714" t="str">
        <f t="shared" si="630"/>
        <v/>
      </c>
      <c r="AL901" s="714"/>
      <c r="AM901" s="114" t="str">
        <f t="shared" si="631"/>
        <v/>
      </c>
      <c r="AN901" s="115"/>
      <c r="AO901" s="116"/>
      <c r="AP901" s="116"/>
      <c r="AQ901" s="116"/>
      <c r="AR901" s="116"/>
      <c r="AS901" s="116"/>
      <c r="AT901" s="116"/>
      <c r="AU901" s="116"/>
      <c r="AV901" s="78"/>
      <c r="AW901" s="102"/>
      <c r="AX901" s="78"/>
      <c r="AY901" s="78"/>
      <c r="AZ901" s="78"/>
      <c r="BA901" s="78"/>
      <c r="BB901" s="78"/>
      <c r="BC901" s="78"/>
      <c r="BD901" s="78"/>
      <c r="BE901" s="465"/>
      <c r="BF901" s="165" t="str">
        <f t="shared" si="632"/>
        <v>https://www.google.com/search?tbm=isch&amp;q=wet%20sites%F0%9F%92%A7BEST%2C%20Common%20Buttonbush%20produces%20unique%20globe-shaped%20blooms%2C%20great%20for%20pollinators.%20Green%20foliage%20</v>
      </c>
      <c r="BG901" s="165" t="str">
        <f t="shared" si="633"/>
        <v>w</v>
      </c>
      <c r="BH901" s="65"/>
      <c r="BI901" s="65"/>
      <c r="BJ901" s="65"/>
      <c r="BK901" s="65"/>
      <c r="BL901" s="99"/>
      <c r="BM901" s="99"/>
      <c r="BN901" s="99"/>
    </row>
    <row r="902" spans="1:66" s="51" customFormat="1" ht="18" x14ac:dyDescent="0.25">
      <c r="A902" s="623" t="s">
        <v>1967</v>
      </c>
      <c r="B902" s="624"/>
      <c r="C902" s="709"/>
      <c r="D902" s="625" t="s">
        <v>5866</v>
      </c>
      <c r="E902" s="626"/>
      <c r="F902" s="626"/>
      <c r="G902" s="626"/>
      <c r="H902" s="622" t="s">
        <v>1217</v>
      </c>
      <c r="I902" s="627" t="s">
        <v>349</v>
      </c>
      <c r="J902" s="628"/>
      <c r="K902" s="628"/>
      <c r="L902" s="629"/>
      <c r="M902" s="700" t="s">
        <v>5249</v>
      </c>
      <c r="N902" s="693" t="str">
        <f>IF(AND(ISTEXT($A902), ISERROR($A902+0)), HYPERLINK($BF902, "Images"), "")</f>
        <v>Images</v>
      </c>
      <c r="O902" s="695" t="s">
        <v>5264</v>
      </c>
      <c r="P902" s="630"/>
      <c r="Q902" s="631"/>
      <c r="R902" s="632"/>
      <c r="S902" s="633" t="s">
        <v>294</v>
      </c>
      <c r="T902" s="102">
        <f t="shared" si="621"/>
        <v>0</v>
      </c>
      <c r="U902" s="78" t="str">
        <f>IF(NOT(ISNUMBER(G902)), "", VLOOKUP(A902,'Discount Lookup'!D:E,2,FALSE)*G902)</f>
        <v/>
      </c>
      <c r="V902" s="78" t="str">
        <f>IF(NOT(ISNUMBER(G902)), "", VLOOKUP(A902,'Discount Lookup'!G:H,2,FALSE)*G902)</f>
        <v/>
      </c>
      <c r="W902" s="102">
        <f t="shared" si="622"/>
        <v>0</v>
      </c>
      <c r="X902" s="102" t="str">
        <f t="shared" si="623"/>
        <v>White bloom</v>
      </c>
      <c r="Y902" s="120" t="b">
        <f t="shared" si="624"/>
        <v>0</v>
      </c>
      <c r="Z902" s="117">
        <f t="shared" si="625"/>
        <v>0</v>
      </c>
      <c r="AA902" s="118"/>
      <c r="AB902" s="118" t="str">
        <f t="shared" si="626"/>
        <v/>
      </c>
      <c r="AC902" s="712" t="str">
        <f>IF(AE902="T2G","no charge",IF(AND(OR(PlanterYesMe="No",PlanterYesMe="N",PlanterYesMe="me"),H902=""),"",IF(H902="credit","NO install",IF(AND(K902="",AE902="me"),"EACH row",IF(AND(K902="images",AE902="me"),"EACH row",IF(D902="","",IF(H902="credit","",IF(AE902="free","re-planting",IF(AE902="me","   not ELP, by",IF(AND(OR(PlanterYesMe="Yes",PlanterYesMe="Y"),G902&gt;0),(VLOOKUP(A902,'Discount Lookup'!J:K,2)*G902*(1-PlanterDiscount)*(1+PlanterDifficultyPercentage)),IF(AE902="ELP",(VLOOKUP(A902,'Discount Lookup'!J:K,2)*G902*(1-PlanterDiscount)*(1+PlanterDifficultyPercentage)),IF(AE902="free","re-planting",IF(G902=0,"",IF(PlanterYesMe="",IF(AE902="me","   not ELP, by",IF(AE902="",IF(G902&gt;0,(VLOOKUP(A902,'Discount Lookup'!J:K,2)*G902*(1-PlanterDiscount)*(1+PlanterDifficultyPercentage)),""),"")),"   not ELP, by"))))))))))))))</f>
        <v/>
      </c>
      <c r="AD902" s="712"/>
      <c r="AE902" s="513" t="str">
        <f t="shared" si="627"/>
        <v/>
      </c>
      <c r="AF902" s="713" t="str">
        <f t="shared" si="628"/>
        <v/>
      </c>
      <c r="AG902" s="713"/>
      <c r="AH902" s="713"/>
      <c r="AI902" s="112">
        <f>IF(H902="credit",0,IF(AE902="free",0,IF(AE902="me",0,IF(G902&gt;0,(VLOOKUP(A902,'Discount Lookup'!J:K,2)*G902),0))))</f>
        <v>0</v>
      </c>
      <c r="AJ902" s="107" t="str">
        <f t="shared" ca="1" si="629"/>
        <v/>
      </c>
      <c r="AK902" s="714" t="str">
        <f t="shared" si="630"/>
        <v/>
      </c>
      <c r="AL902" s="714"/>
      <c r="AM902" s="114" t="str">
        <f t="shared" si="631"/>
        <v/>
      </c>
      <c r="AN902" s="115"/>
      <c r="AO902" s="116"/>
      <c r="AP902" s="116"/>
      <c r="AQ902" s="116"/>
      <c r="AR902" s="116"/>
      <c r="AS902" s="116"/>
      <c r="AT902" s="116"/>
      <c r="AU902" s="116"/>
      <c r="AV902" s="78"/>
      <c r="AW902" s="102"/>
      <c r="AX902" s="78"/>
      <c r="AY902" s="78"/>
      <c r="AZ902" s="78"/>
      <c r="BA902" s="78"/>
      <c r="BB902" s="78"/>
      <c r="BC902" s="78"/>
      <c r="BD902" s="78"/>
      <c r="BE902" s="465"/>
      <c r="BF902" s="165" t="str">
        <f t="shared" si="632"/>
        <v>https://www.google.com/search?tbm=isch&amp;q=Cephalanthus%20occidentalis%20%27Bailoptics%27%20PP%2329475%20Fiber%20Optics%C2%AE%20Buttonbush%20%28FE%C2%AE%29</v>
      </c>
      <c r="BG902" s="165" t="str">
        <f t="shared" si="633"/>
        <v>C</v>
      </c>
      <c r="BH902" s="65"/>
      <c r="BI902" s="65"/>
      <c r="BJ902" s="65"/>
      <c r="BK902" s="65"/>
      <c r="BL902" s="99"/>
      <c r="BM902" s="99"/>
      <c r="BN902" s="99"/>
    </row>
    <row r="903" spans="1:66" s="51" customFormat="1" ht="15.75" x14ac:dyDescent="0.25">
      <c r="A903" s="634">
        <v>3</v>
      </c>
      <c r="B903" s="635" t="s">
        <v>291</v>
      </c>
      <c r="C903" s="636" t="s">
        <v>1598</v>
      </c>
      <c r="D903" s="637" t="s">
        <v>329</v>
      </c>
      <c r="E903" s="638">
        <v>32.950000000000003</v>
      </c>
      <c r="F903" s="639" t="s">
        <v>292</v>
      </c>
      <c r="G903" s="484">
        <v>0</v>
      </c>
      <c r="H903" s="691" t="str">
        <f>IF(G903=0,"",IF(F903="Buy",IF(G903=1,"plant","plants"),IF(F903&gt;0.01,"warranty","Error")))</f>
        <v/>
      </c>
      <c r="I903" s="640">
        <f>IF(H903="free",0,IF(H903="credit",((E903*(F903))*G903*-1),IF(F903="Buy",(E903*G903),((E903*(1-F903))*G903))))</f>
        <v>0</v>
      </c>
      <c r="J903" s="640">
        <f>IF(H903="warranty",0,(I903*(_xlfn.SINGLE(SalesTaxPercentage))))</f>
        <v>0</v>
      </c>
      <c r="K903" s="716">
        <f t="shared" ref="K903" si="660">I903+J903</f>
        <v>0</v>
      </c>
      <c r="L903" s="716"/>
      <c r="M903" s="689" t="str">
        <f ca="1">IF(AND(G903&gt;0,E903=0),"WARNING - no PRICE inserted",IF(H903="free","FREE ~ no charge this plant",IF(H903="credit",CONCATENATE("-$",ROUND(K903*(1-_xlfn.SINGLE(T2GDiscount))*-1,2)," CREDIT after discount"),IF(_xlfn.SINGLE(T2GDiscount)=0,"",IF(G903=0,"",IF(F903="Buy",CONCATENATE("$",ROUND(K903*(1-_xlfn.SINGLE(T2GDiscount)),2)," with ",(_xlfn.SINGLE(T2GDiscount)*100),"% discount"),CONCATENATE("$",ROUND(K903*(1-_xlfn.SINGLE(T2GDiscount)),2)," with ",((_xlfn.SINGLE(T2GDiscount)*100+F903*100)-(_xlfn.SINGLE(T2GDiscount)*100*F903)),IF(F903&gt;0,"% discounts",IF(_xlfn.SINGLE(NoWarrantyDiscount)&gt;0,"% discounts","% discount")))))))))</f>
        <v/>
      </c>
      <c r="N903" s="690"/>
      <c r="O903" s="486"/>
      <c r="P903" s="486"/>
      <c r="Q903" s="486"/>
      <c r="R903" s="486"/>
      <c r="S903" s="486"/>
      <c r="T903" s="102">
        <f t="shared" si="621"/>
        <v>0</v>
      </c>
      <c r="U903" s="78">
        <f>IF(NOT(ISNUMBER(G903)), "", VLOOKUP(A903,'Discount Lookup'!D:E,2,FALSE)*G903)</f>
        <v>0</v>
      </c>
      <c r="V903" s="78">
        <f>IF(NOT(ISNUMBER(G903)), "", VLOOKUP(A903,'Discount Lookup'!G:H,2,FALSE)*G903)</f>
        <v>0</v>
      </c>
      <c r="W903" s="102">
        <f t="shared" si="622"/>
        <v>0</v>
      </c>
      <c r="X903" s="102">
        <f t="shared" si="623"/>
        <v>0</v>
      </c>
      <c r="Y903" s="120" t="b">
        <f t="shared" si="624"/>
        <v>0</v>
      </c>
      <c r="Z903" s="117">
        <f t="shared" si="625"/>
        <v>0</v>
      </c>
      <c r="AA903" s="118"/>
      <c r="AB903" s="118" t="str">
        <f t="shared" si="626"/>
        <v/>
      </c>
      <c r="AC903" s="712" t="str">
        <f>IF(AE903="T2G","no charge",IF(AND(OR(PlanterYesMe="No",PlanterYesMe="N",PlanterYesMe="me"),H903=""),"",IF(H903="credit","NO install",IF(AND(K903="",AE903="me"),"EACH row",IF(AND(K903="images",AE903="me"),"EACH row",IF(D903="","",IF(H903="credit","",IF(AE903="free","re-planting",IF(AE903="me","   not ELP, by",IF(AND(OR(PlanterYesMe="Yes",PlanterYesMe="Y"),G903&gt;0),(VLOOKUP(A903,'Discount Lookup'!J:K,2)*G903*(1-PlanterDiscount)*(1+PlanterDifficultyPercentage)),IF(AE903="ELP",(VLOOKUP(A903,'Discount Lookup'!J:K,2)*G903*(1-PlanterDiscount)*(1+PlanterDifficultyPercentage)),IF(AE903="free","re-planting",IF(G903=0,"",IF(PlanterYesMe="",IF(AE903="me","   not ELP, by",IF(AE903="",IF(G903&gt;0,(VLOOKUP(A903,'Discount Lookup'!J:K,2)*G903*(1-PlanterDiscount)*(1+PlanterDifficultyPercentage)),""),"")),"   not ELP, by"))))))))))))))</f>
        <v/>
      </c>
      <c r="AD903" s="712"/>
      <c r="AE903" s="513" t="str">
        <f t="shared" si="627"/>
        <v/>
      </c>
      <c r="AF903" s="713" t="str">
        <f t="shared" si="628"/>
        <v/>
      </c>
      <c r="AG903" s="713"/>
      <c r="AH903" s="713"/>
      <c r="AI903" s="112">
        <f>IF(H903="credit",0,IF(AE903="free",0,IF(AE903="me",0,IF(G903&gt;0,(VLOOKUP(A903,'Discount Lookup'!J:K,2)*G903),0))))</f>
        <v>0</v>
      </c>
      <c r="AJ903" s="107" t="str">
        <f t="shared" ca="1" si="629"/>
        <v/>
      </c>
      <c r="AK903" s="714" t="str">
        <f t="shared" si="630"/>
        <v/>
      </c>
      <c r="AL903" s="714"/>
      <c r="AM903" s="114" t="str">
        <f t="shared" si="631"/>
        <v/>
      </c>
      <c r="AN903" s="115"/>
      <c r="AO903" s="116"/>
      <c r="AP903" s="116"/>
      <c r="AQ903" s="116"/>
      <c r="AR903" s="116"/>
      <c r="AS903" s="116"/>
      <c r="AT903" s="116"/>
      <c r="AU903" s="116"/>
      <c r="AV903" s="78"/>
      <c r="AW903" s="102"/>
      <c r="AX903" s="78"/>
      <c r="AY903" s="78"/>
      <c r="AZ903" s="78"/>
      <c r="BA903" s="78"/>
      <c r="BB903" s="78"/>
      <c r="BC903" s="78"/>
      <c r="BD903" s="78"/>
      <c r="BE903" s="465"/>
      <c r="BF903" s="165" t="str">
        <f t="shared" si="632"/>
        <v>https://www.google.com/search?tbm=isch&amp;q=3%20G2</v>
      </c>
      <c r="BG903" s="165" t="str">
        <f t="shared" si="633"/>
        <v>C</v>
      </c>
      <c r="BH903" s="65"/>
      <c r="BI903" s="65"/>
      <c r="BJ903" s="65"/>
      <c r="BK903" s="65"/>
      <c r="BL903" s="99"/>
      <c r="BM903" s="99"/>
      <c r="BN903" s="99"/>
    </row>
    <row r="904" spans="1:66" s="51" customFormat="1" ht="16.5" x14ac:dyDescent="0.25">
      <c r="A904" s="704" t="s">
        <v>5373</v>
      </c>
      <c r="B904" s="642"/>
      <c r="C904" s="710"/>
      <c r="D904" s="643"/>
      <c r="E904" s="643"/>
      <c r="F904" s="644"/>
      <c r="G904" s="645"/>
      <c r="H904" s="646"/>
      <c r="I904" s="647"/>
      <c r="J904" s="648"/>
      <c r="K904" s="649"/>
      <c r="L904" s="650"/>
      <c r="M904" s="650"/>
      <c r="N904" s="644"/>
      <c r="O904" s="644"/>
      <c r="P904" s="644"/>
      <c r="Q904" s="644"/>
      <c r="R904" s="644"/>
      <c r="S904" s="701" t="s">
        <v>5273</v>
      </c>
      <c r="T904" s="102">
        <f t="shared" si="621"/>
        <v>0</v>
      </c>
      <c r="U904" s="78" t="str">
        <f>IF(NOT(ISNUMBER(G904)), "", VLOOKUP(A904,'Discount Lookup'!D:E,2,FALSE)*G904)</f>
        <v/>
      </c>
      <c r="V904" s="78" t="str">
        <f>IF(NOT(ISNUMBER(G904)), "", VLOOKUP(A904,'Discount Lookup'!G:H,2,FALSE)*G904)</f>
        <v/>
      </c>
      <c r="W904" s="102">
        <f t="shared" si="622"/>
        <v>0</v>
      </c>
      <c r="X904" s="102">
        <f t="shared" si="623"/>
        <v>0</v>
      </c>
      <c r="Y904" s="120" t="b">
        <f t="shared" si="624"/>
        <v>0</v>
      </c>
      <c r="Z904" s="117">
        <f t="shared" si="625"/>
        <v>0</v>
      </c>
      <c r="AA904" s="118"/>
      <c r="AB904" s="118" t="str">
        <f t="shared" si="626"/>
        <v/>
      </c>
      <c r="AC904" s="712" t="str">
        <f>IF(AE904="T2G","no charge",IF(AND(OR(PlanterYesMe="No",PlanterYesMe="N",PlanterYesMe="me"),H904=""),"",IF(H904="credit","NO install",IF(AND(K904="",AE904="me"),"EACH row",IF(AND(K904="images",AE904="me"),"EACH row",IF(D904="","",IF(H904="credit","",IF(AE904="free","re-planting",IF(AE904="me","   not ELP, by",IF(AND(OR(PlanterYesMe="Yes",PlanterYesMe="Y"),G904&gt;0),(VLOOKUP(A904,'Discount Lookup'!J:K,2)*G904*(1-PlanterDiscount)*(1+PlanterDifficultyPercentage)),IF(AE904="ELP",(VLOOKUP(A904,'Discount Lookup'!J:K,2)*G904*(1-PlanterDiscount)*(1+PlanterDifficultyPercentage)),IF(AE904="free","re-planting",IF(G904=0,"",IF(PlanterYesMe="",IF(AE904="me","   not ELP, by",IF(AE904="",IF(G904&gt;0,(VLOOKUP(A904,'Discount Lookup'!J:K,2)*G904*(1-PlanterDiscount)*(1+PlanterDifficultyPercentage)),""),"")),"   not ELP, by"))))))))))))))</f>
        <v/>
      </c>
      <c r="AD904" s="712"/>
      <c r="AE904" s="513" t="str">
        <f t="shared" si="627"/>
        <v/>
      </c>
      <c r="AF904" s="713" t="str">
        <f t="shared" si="628"/>
        <v/>
      </c>
      <c r="AG904" s="713"/>
      <c r="AH904" s="713"/>
      <c r="AI904" s="112">
        <f>IF(H904="credit",0,IF(AE904="free",0,IF(AE904="me",0,IF(G904&gt;0,(VLOOKUP(A904,'Discount Lookup'!J:K,2)*G904),0))))</f>
        <v>0</v>
      </c>
      <c r="AJ904" s="107" t="str">
        <f t="shared" ca="1" si="629"/>
        <v/>
      </c>
      <c r="AK904" s="714" t="str">
        <f t="shared" si="630"/>
        <v/>
      </c>
      <c r="AL904" s="714"/>
      <c r="AM904" s="114" t="str">
        <f t="shared" si="631"/>
        <v/>
      </c>
      <c r="AN904" s="115"/>
      <c r="AO904" s="116"/>
      <c r="AP904" s="116"/>
      <c r="AQ904" s="116"/>
      <c r="AR904" s="116"/>
      <c r="AS904" s="116"/>
      <c r="AT904" s="116"/>
      <c r="AU904" s="116"/>
      <c r="AV904" s="78"/>
      <c r="AW904" s="102"/>
      <c r="AX904" s="78"/>
      <c r="AY904" s="78"/>
      <c r="AZ904" s="78"/>
      <c r="BA904" s="78"/>
      <c r="BB904" s="78"/>
      <c r="BC904" s="78"/>
      <c r="BD904" s="78"/>
      <c r="BE904" s="465"/>
      <c r="BF904" s="165" t="str">
        <f t="shared" si="632"/>
        <v>https://www.google.com/search?tbm=isch&amp;q=wet%20sites%F0%9F%92%A7BEST%2C%20Fiber%20Optics%20features%20dazzling%20spherical%20blooms%20resembling%20fiber%20optic%20bursts%2C%20followed%20by%20seed%20heads%20</v>
      </c>
      <c r="BG904" s="165" t="str">
        <f t="shared" si="633"/>
        <v>w</v>
      </c>
      <c r="BH904" s="65"/>
      <c r="BI904" s="65"/>
      <c r="BJ904" s="65"/>
      <c r="BK904" s="65"/>
      <c r="BL904" s="99"/>
      <c r="BM904" s="99"/>
      <c r="BN904" s="99"/>
    </row>
    <row r="905" spans="1:66" s="51" customFormat="1" ht="19.5" thickBot="1" x14ac:dyDescent="0.3">
      <c r="A905" s="686" t="s">
        <v>4940</v>
      </c>
      <c r="B905" s="73"/>
      <c r="C905" s="708"/>
      <c r="D905" s="73"/>
      <c r="E905" s="73"/>
      <c r="F905" s="496"/>
      <c r="G905" s="73"/>
      <c r="H905" s="73"/>
      <c r="I905" s="73"/>
      <c r="J905" s="497" t="s">
        <v>357</v>
      </c>
      <c r="K905" s="498"/>
      <c r="L905" s="562"/>
      <c r="M905" s="73"/>
      <c r="N905"/>
      <c r="O905"/>
      <c r="P905"/>
      <c r="Q905"/>
      <c r="R905"/>
      <c r="S905"/>
      <c r="T905" s="102">
        <f t="shared" si="621"/>
        <v>0</v>
      </c>
      <c r="U905" s="78" t="str">
        <f>IF(NOT(ISNUMBER(G905)), "", VLOOKUP(A905,'Discount Lookup'!D:E,2,FALSE)*G905)</f>
        <v/>
      </c>
      <c r="V905" s="78" t="str">
        <f>IF(NOT(ISNUMBER(G905)), "", VLOOKUP(A905,'Discount Lookup'!G:H,2,FALSE)*G905)</f>
        <v/>
      </c>
      <c r="W905" s="102">
        <f t="shared" si="622"/>
        <v>0</v>
      </c>
      <c r="X905" s="102">
        <f t="shared" si="623"/>
        <v>0</v>
      </c>
      <c r="Y905" s="120" t="b">
        <f t="shared" si="624"/>
        <v>0</v>
      </c>
      <c r="Z905" s="117">
        <f t="shared" si="625"/>
        <v>0</v>
      </c>
      <c r="AA905" s="118"/>
      <c r="AB905" s="118" t="str">
        <f t="shared" si="626"/>
        <v/>
      </c>
      <c r="AC905" s="712" t="str">
        <f>IF(AE905="T2G","no charge",IF(AND(OR(PlanterYesMe="No",PlanterYesMe="N",PlanterYesMe="me"),H905=""),"",IF(H905="credit","NO install",IF(AND(K905="",AE905="me"),"EACH row",IF(AND(K905="images",AE905="me"),"EACH row",IF(D905="","",IF(H905="credit","",IF(AE905="free","re-planting",IF(AE905="me","   not ELP, by",IF(AND(OR(PlanterYesMe="Yes",PlanterYesMe="Y"),G905&gt;0),(VLOOKUP(A905,'Discount Lookup'!J:K,2)*G905*(1-PlanterDiscount)*(1+PlanterDifficultyPercentage)),IF(AE905="ELP",(VLOOKUP(A905,'Discount Lookup'!J:K,2)*G905*(1-PlanterDiscount)*(1+PlanterDifficultyPercentage)),IF(AE905="free","re-planting",IF(G905=0,"",IF(PlanterYesMe="",IF(AE905="me","   not ELP, by",IF(AE905="",IF(G905&gt;0,(VLOOKUP(A905,'Discount Lookup'!J:K,2)*G905*(1-PlanterDiscount)*(1+PlanterDifficultyPercentage)),""),"")),"   not ELP, by"))))))))))))))</f>
        <v/>
      </c>
      <c r="AD905" s="712"/>
      <c r="AE905" s="513" t="str">
        <f t="shared" si="627"/>
        <v/>
      </c>
      <c r="AF905" s="713" t="str">
        <f t="shared" si="628"/>
        <v/>
      </c>
      <c r="AG905" s="713"/>
      <c r="AH905" s="713"/>
      <c r="AI905" s="112">
        <f>IF(H905="credit",0,IF(AE905="free",0,IF(AE905="me",0,IF(G905&gt;0,(VLOOKUP(A905,'Discount Lookup'!J:K,2)*G905),0))))</f>
        <v>0</v>
      </c>
      <c r="AJ905" s="107" t="str">
        <f t="shared" ca="1" si="629"/>
        <v/>
      </c>
      <c r="AK905" s="714" t="str">
        <f t="shared" si="630"/>
        <v/>
      </c>
      <c r="AL905" s="714"/>
      <c r="AM905" s="114" t="str">
        <f t="shared" si="631"/>
        <v/>
      </c>
      <c r="AN905" s="115"/>
      <c r="AO905" s="116"/>
      <c r="AP905" s="116"/>
      <c r="AQ905" s="116"/>
      <c r="AR905" s="116"/>
      <c r="AS905" s="116"/>
      <c r="AT905" s="116"/>
      <c r="AU905" s="116"/>
      <c r="AV905" s="78"/>
      <c r="AW905" s="102"/>
      <c r="AX905" s="78"/>
      <c r="AY905" s="78"/>
      <c r="AZ905" s="78"/>
      <c r="BA905" s="78"/>
      <c r="BB905" s="78"/>
      <c r="BC905" s="78"/>
      <c r="BD905" s="78"/>
      <c r="BE905" s="465"/>
      <c r="BF905" s="165" t="str">
        <f t="shared" si="632"/>
        <v>https://www.google.com/search?tbm=isch&amp;q=Cephalotaxus%20%3D%20Plum%20Yew%20%20%28Taxus%20%3D%20true%20Yew%29%20</v>
      </c>
      <c r="BG905" s="165" t="str">
        <f t="shared" si="633"/>
        <v>C</v>
      </c>
      <c r="BH905" s="65"/>
      <c r="BI905" s="65"/>
      <c r="BJ905" s="65"/>
      <c r="BK905" s="65"/>
      <c r="BL905" s="99"/>
      <c r="BM905" s="99"/>
      <c r="BN905" s="99"/>
    </row>
    <row r="906" spans="1:66" s="51" customFormat="1" ht="18" x14ac:dyDescent="0.25">
      <c r="A906" s="507" t="s">
        <v>1968</v>
      </c>
      <c r="B906" s="470"/>
      <c r="C906" s="706"/>
      <c r="D906" s="471" t="s">
        <v>1969</v>
      </c>
      <c r="E906" s="472"/>
      <c r="F906" s="472"/>
      <c r="G906" s="472"/>
      <c r="H906" s="622" t="s">
        <v>1246</v>
      </c>
      <c r="I906" s="473" t="s">
        <v>431</v>
      </c>
      <c r="J906" s="472"/>
      <c r="K906" s="472"/>
      <c r="L906" s="561"/>
      <c r="M906" s="703" t="s">
        <v>5260</v>
      </c>
      <c r="N906" s="692" t="str">
        <f>IF(AND(ISTEXT($A906), ISERROR($A906+0)), HYPERLINK($BF906, "Images"), "")</f>
        <v>Images</v>
      </c>
      <c r="O906" s="694" t="s">
        <v>5244</v>
      </c>
      <c r="P906" s="475"/>
      <c r="Q906" s="476"/>
      <c r="R906" s="476"/>
      <c r="S906" s="477"/>
      <c r="T906" s="102">
        <f t="shared" si="621"/>
        <v>0</v>
      </c>
      <c r="U906" s="78" t="str">
        <f>IF(NOT(ISNUMBER(G906)), "", VLOOKUP(A906,'Discount Lookup'!D:E,2,FALSE)*G906)</f>
        <v/>
      </c>
      <c r="V906" s="78" t="str">
        <f>IF(NOT(ISNUMBER(G906)), "", VLOOKUP(A906,'Discount Lookup'!G:H,2,FALSE)*G906)</f>
        <v/>
      </c>
      <c r="W906" s="102">
        <f t="shared" si="622"/>
        <v>0</v>
      </c>
      <c r="X906" s="102" t="str">
        <f t="shared" si="623"/>
        <v>Dark Green foliage</v>
      </c>
      <c r="Y906" s="120" t="b">
        <f t="shared" si="624"/>
        <v>0</v>
      </c>
      <c r="Z906" s="117">
        <f t="shared" si="625"/>
        <v>0</v>
      </c>
      <c r="AA906" s="118"/>
      <c r="AB906" s="118" t="str">
        <f t="shared" si="626"/>
        <v/>
      </c>
      <c r="AC906" s="712" t="str">
        <f>IF(AE906="T2G","no charge",IF(AND(OR(PlanterYesMe="No",PlanterYesMe="N",PlanterYesMe="me"),H906=""),"",IF(H906="credit","NO install",IF(AND(K906="",AE906="me"),"EACH row",IF(AND(K906="images",AE906="me"),"EACH row",IF(D906="","",IF(H906="credit","",IF(AE906="free","re-planting",IF(AE906="me","   not ELP, by",IF(AND(OR(PlanterYesMe="Yes",PlanterYesMe="Y"),G906&gt;0),(VLOOKUP(A906,'Discount Lookup'!J:K,2)*G906*(1-PlanterDiscount)*(1+PlanterDifficultyPercentage)),IF(AE906="ELP",(VLOOKUP(A906,'Discount Lookup'!J:K,2)*G906*(1-PlanterDiscount)*(1+PlanterDifficultyPercentage)),IF(AE906="free","re-planting",IF(G906=0,"",IF(PlanterYesMe="",IF(AE906="me","   not ELP, by",IF(AE906="",IF(G906&gt;0,(VLOOKUP(A906,'Discount Lookup'!J:K,2)*G906*(1-PlanterDiscount)*(1+PlanterDifficultyPercentage)),""),"")),"   not ELP, by"))))))))))))))</f>
        <v/>
      </c>
      <c r="AD906" s="712"/>
      <c r="AE906" s="513" t="str">
        <f t="shared" si="627"/>
        <v/>
      </c>
      <c r="AF906" s="713" t="str">
        <f t="shared" si="628"/>
        <v/>
      </c>
      <c r="AG906" s="713"/>
      <c r="AH906" s="713"/>
      <c r="AI906" s="112">
        <f>IF(H906="credit",0,IF(AE906="free",0,IF(AE906="me",0,IF(G906&gt;0,(VLOOKUP(A906,'Discount Lookup'!J:K,2)*G906),0))))</f>
        <v>0</v>
      </c>
      <c r="AJ906" s="107" t="str">
        <f t="shared" ca="1" si="629"/>
        <v/>
      </c>
      <c r="AK906" s="714" t="str">
        <f t="shared" si="630"/>
        <v/>
      </c>
      <c r="AL906" s="714"/>
      <c r="AM906" s="114" t="str">
        <f t="shared" si="631"/>
        <v/>
      </c>
      <c r="AN906" s="115"/>
      <c r="AO906" s="116"/>
      <c r="AP906" s="116"/>
      <c r="AQ906" s="116"/>
      <c r="AR906" s="116"/>
      <c r="AS906" s="116"/>
      <c r="AT906" s="116"/>
      <c r="AU906" s="116"/>
      <c r="AV906" s="78"/>
      <c r="AW906" s="102"/>
      <c r="AX906" s="78"/>
      <c r="AY906" s="78"/>
      <c r="AZ906" s="78"/>
      <c r="BA906" s="78"/>
      <c r="BB906" s="78"/>
      <c r="BC906" s="78"/>
      <c r="BD906" s="78"/>
      <c r="BE906" s="465"/>
      <c r="BF906" s="165" t="str">
        <f t="shared" si="632"/>
        <v>https://www.google.com/search?tbm=isch&amp;q=Cephalotaxus%20harringtonia%20Japanese%20Plum%20Yew</v>
      </c>
      <c r="BG906" s="165" t="str">
        <f t="shared" si="633"/>
        <v>C</v>
      </c>
      <c r="BH906" s="65"/>
      <c r="BI906" s="65"/>
      <c r="BJ906" s="65"/>
      <c r="BK906" s="65"/>
      <c r="BL906" s="99"/>
      <c r="BM906" s="99"/>
      <c r="BN906" s="99"/>
    </row>
    <row r="907" spans="1:66" s="51" customFormat="1" ht="27" x14ac:dyDescent="0.25">
      <c r="A907" s="478">
        <v>7</v>
      </c>
      <c r="B907" s="479" t="s">
        <v>291</v>
      </c>
      <c r="C907" s="480" t="s">
        <v>1970</v>
      </c>
      <c r="D907" s="481" t="s">
        <v>299</v>
      </c>
      <c r="E907" s="482">
        <v>109.95</v>
      </c>
      <c r="F907" s="483" t="s">
        <v>292</v>
      </c>
      <c r="G907" s="484">
        <v>0</v>
      </c>
      <c r="H907" s="688" t="str">
        <f>IF(G907=0,"",IF(F907="Buy",IF(G907=1,"plant","plants"),IF(F907&gt;0.01,"warranty","Error")))</f>
        <v/>
      </c>
      <c r="I907" s="485">
        <f>IF(H907="free",0,IF(H907="credit",((E907*(F907))*G907*-1),IF(F907="Buy",(E907*G907),((E907*(1-F907))*G907))))</f>
        <v>0</v>
      </c>
      <c r="J907" s="485">
        <f>IF(H907="warranty",0,(I907*(_xlfn.SINGLE(SalesTaxPercentage))))</f>
        <v>0</v>
      </c>
      <c r="K907" s="715">
        <f t="shared" ref="K907" si="661">I907+J907</f>
        <v>0</v>
      </c>
      <c r="L907" s="715"/>
      <c r="M907" s="689" t="str">
        <f ca="1">IF(AND(G907&gt;0,E907=0),"WARNING - no PRICE inserted",IF(H907="free","FREE ~ no charge this plant",IF(H907="credit",CONCATENATE("-$",ROUND(K907*(1-_xlfn.SINGLE(T2GDiscount))*-1,2)," CREDIT after discount"),IF(_xlfn.SINGLE(T2GDiscount)=0,"",IF(G907=0,"",IF(F907="Buy",CONCATENATE("$",ROUND(K907*(1-_xlfn.SINGLE(T2GDiscount)),2)," with ",(_xlfn.SINGLE(T2GDiscount)*100),"% discount"),CONCATENATE("$",ROUND(K907*(1-_xlfn.SINGLE(T2GDiscount)),2)," with ",((_xlfn.SINGLE(T2GDiscount)*100+F907*100)-(_xlfn.SINGLE(T2GDiscount)*100*F907)),IF(F907&gt;0,"% discounts",IF(_xlfn.SINGLE(NoWarrantyDiscount)&gt;0,"% discounts","% discount")))))))))</f>
        <v/>
      </c>
      <c r="N907" s="690"/>
      <c r="O907" s="486"/>
      <c r="P907" s="486"/>
      <c r="Q907" s="486"/>
      <c r="R907" s="486"/>
      <c r="S907" s="486"/>
      <c r="T907" s="102">
        <f t="shared" si="621"/>
        <v>0</v>
      </c>
      <c r="U907" s="78">
        <f>IF(NOT(ISNUMBER(G907)), "", VLOOKUP(A907,'Discount Lookup'!D:E,2,FALSE)*G907)</f>
        <v>0</v>
      </c>
      <c r="V907" s="78">
        <f>IF(NOT(ISNUMBER(G907)), "", VLOOKUP(A907,'Discount Lookup'!G:H,2,FALSE)*G907)</f>
        <v>0</v>
      </c>
      <c r="W907" s="102">
        <f t="shared" si="622"/>
        <v>0</v>
      </c>
      <c r="X907" s="102">
        <f t="shared" si="623"/>
        <v>0</v>
      </c>
      <c r="Y907" s="120" t="b">
        <f t="shared" si="624"/>
        <v>0</v>
      </c>
      <c r="Z907" s="117">
        <f t="shared" si="625"/>
        <v>0</v>
      </c>
      <c r="AA907" s="118"/>
      <c r="AB907" s="118" t="str">
        <f t="shared" si="626"/>
        <v/>
      </c>
      <c r="AC907" s="712" t="str">
        <f>IF(AE907="T2G","no charge",IF(AND(OR(PlanterYesMe="No",PlanterYesMe="N",PlanterYesMe="me"),H907=""),"",IF(H907="credit","NO install",IF(AND(K907="",AE907="me"),"EACH row",IF(AND(K907="images",AE907="me"),"EACH row",IF(D907="","",IF(H907="credit","",IF(AE907="free","re-planting",IF(AE907="me","   not ELP, by",IF(AND(OR(PlanterYesMe="Yes",PlanterYesMe="Y"),G907&gt;0),(VLOOKUP(A907,'Discount Lookup'!J:K,2)*G907*(1-PlanterDiscount)*(1+PlanterDifficultyPercentage)),IF(AE907="ELP",(VLOOKUP(A907,'Discount Lookup'!J:K,2)*G907*(1-PlanterDiscount)*(1+PlanterDifficultyPercentage)),IF(AE907="free","re-planting",IF(G907=0,"",IF(PlanterYesMe="",IF(AE907="me","   not ELP, by",IF(AE907="",IF(G907&gt;0,(VLOOKUP(A907,'Discount Lookup'!J:K,2)*G907*(1-PlanterDiscount)*(1+PlanterDifficultyPercentage)),""),"")),"   not ELP, by"))))))))))))))</f>
        <v/>
      </c>
      <c r="AD907" s="712"/>
      <c r="AE907" s="513" t="str">
        <f t="shared" si="627"/>
        <v/>
      </c>
      <c r="AF907" s="713" t="str">
        <f t="shared" si="628"/>
        <v/>
      </c>
      <c r="AG907" s="713"/>
      <c r="AH907" s="713"/>
      <c r="AI907" s="112">
        <f>IF(H907="credit",0,IF(AE907="free",0,IF(AE907="me",0,IF(G907&gt;0,(VLOOKUP(A907,'Discount Lookup'!J:K,2)*G907),0))))</f>
        <v>0</v>
      </c>
      <c r="AJ907" s="107" t="str">
        <f t="shared" ca="1" si="629"/>
        <v/>
      </c>
      <c r="AK907" s="714" t="str">
        <f t="shared" si="630"/>
        <v/>
      </c>
      <c r="AL907" s="714"/>
      <c r="AM907" s="114" t="str">
        <f t="shared" si="631"/>
        <v/>
      </c>
      <c r="AN907" s="115"/>
      <c r="AO907" s="116"/>
      <c r="AP907" s="116"/>
      <c r="AQ907" s="116"/>
      <c r="AR907" s="116"/>
      <c r="AS907" s="116"/>
      <c r="AT907" s="116"/>
      <c r="AU907" s="116"/>
      <c r="AV907" s="78"/>
      <c r="AW907" s="102"/>
      <c r="AX907" s="78"/>
      <c r="AY907" s="78"/>
      <c r="AZ907" s="78"/>
      <c r="BA907" s="78"/>
      <c r="BB907" s="78"/>
      <c r="BC907" s="78"/>
      <c r="BD907" s="78"/>
      <c r="BE907" s="465"/>
      <c r="BF907" s="165" t="str">
        <f t="shared" si="632"/>
        <v>https://www.google.com/search?tbm=isch&amp;q=7%20G4</v>
      </c>
      <c r="BG907" s="165" t="str">
        <f t="shared" si="633"/>
        <v>C</v>
      </c>
      <c r="BH907" s="65"/>
      <c r="BI907" s="65"/>
      <c r="BJ907" s="65"/>
      <c r="BK907" s="65"/>
      <c r="BL907" s="99"/>
      <c r="BM907" s="99"/>
      <c r="BN907" s="99"/>
    </row>
    <row r="908" spans="1:66" s="51" customFormat="1" ht="17.25" thickBot="1" x14ac:dyDescent="0.3">
      <c r="A908" s="508" t="s">
        <v>1971</v>
      </c>
      <c r="B908" s="487"/>
      <c r="C908" s="707"/>
      <c r="D908" s="487"/>
      <c r="E908" s="487"/>
      <c r="F908" s="488"/>
      <c r="G908" s="489"/>
      <c r="H908" s="487"/>
      <c r="I908" s="490"/>
      <c r="J908" s="490"/>
      <c r="K908" s="491"/>
      <c r="L908" s="547"/>
      <c r="M908" s="528"/>
      <c r="N908" s="492"/>
      <c r="O908" s="493"/>
      <c r="P908" s="494"/>
      <c r="Q908" s="492"/>
      <c r="R908" s="492"/>
      <c r="S908" s="699" t="s">
        <v>5278</v>
      </c>
      <c r="T908" s="102">
        <f t="shared" si="621"/>
        <v>0</v>
      </c>
      <c r="U908" s="78" t="str">
        <f>IF(NOT(ISNUMBER(G908)), "", VLOOKUP(A908,'Discount Lookup'!D:E,2,FALSE)*G908)</f>
        <v/>
      </c>
      <c r="V908" s="78" t="str">
        <f>IF(NOT(ISNUMBER(G908)), "", VLOOKUP(A908,'Discount Lookup'!G:H,2,FALSE)*G908)</f>
        <v/>
      </c>
      <c r="W908" s="102">
        <f t="shared" si="622"/>
        <v>0</v>
      </c>
      <c r="X908" s="102">
        <f t="shared" si="623"/>
        <v>0</v>
      </c>
      <c r="Y908" s="120" t="b">
        <f t="shared" si="624"/>
        <v>0</v>
      </c>
      <c r="Z908" s="117">
        <f t="shared" si="625"/>
        <v>0</v>
      </c>
      <c r="AA908" s="118"/>
      <c r="AB908" s="118" t="str">
        <f t="shared" si="626"/>
        <v/>
      </c>
      <c r="AC908" s="712" t="str">
        <f>IF(AE908="T2G","no charge",IF(AND(OR(PlanterYesMe="No",PlanterYesMe="N",PlanterYesMe="me"),H908=""),"",IF(H908="credit","NO install",IF(AND(K908="",AE908="me"),"EACH row",IF(AND(K908="images",AE908="me"),"EACH row",IF(D908="","",IF(H908="credit","",IF(AE908="free","re-planting",IF(AE908="me","   not ELP, by",IF(AND(OR(PlanterYesMe="Yes",PlanterYesMe="Y"),G908&gt;0),(VLOOKUP(A908,'Discount Lookup'!J:K,2)*G908*(1-PlanterDiscount)*(1+PlanterDifficultyPercentage)),IF(AE908="ELP",(VLOOKUP(A908,'Discount Lookup'!J:K,2)*G908*(1-PlanterDiscount)*(1+PlanterDifficultyPercentage)),IF(AE908="free","re-planting",IF(G908=0,"",IF(PlanterYesMe="",IF(AE908="me","   not ELP, by",IF(AE908="",IF(G908&gt;0,(VLOOKUP(A908,'Discount Lookup'!J:K,2)*G908*(1-PlanterDiscount)*(1+PlanterDifficultyPercentage)),""),"")),"   not ELP, by"))))))))))))))</f>
        <v/>
      </c>
      <c r="AD908" s="712"/>
      <c r="AE908" s="513" t="str">
        <f t="shared" si="627"/>
        <v/>
      </c>
      <c r="AF908" s="713" t="str">
        <f t="shared" si="628"/>
        <v/>
      </c>
      <c r="AG908" s="713"/>
      <c r="AH908" s="713"/>
      <c r="AI908" s="112">
        <f>IF(H908="credit",0,IF(AE908="free",0,IF(AE908="me",0,IF(G908&gt;0,(VLOOKUP(A908,'Discount Lookup'!J:K,2)*G908),0))))</f>
        <v>0</v>
      </c>
      <c r="AJ908" s="107" t="str">
        <f t="shared" ca="1" si="629"/>
        <v/>
      </c>
      <c r="AK908" s="714" t="str">
        <f t="shared" si="630"/>
        <v/>
      </c>
      <c r="AL908" s="714"/>
      <c r="AM908" s="114" t="str">
        <f t="shared" si="631"/>
        <v/>
      </c>
      <c r="AN908" s="115"/>
      <c r="AO908" s="116"/>
      <c r="AP908" s="116"/>
      <c r="AQ908" s="116"/>
      <c r="AR908" s="116"/>
      <c r="AS908" s="116"/>
      <c r="AT908" s="116"/>
      <c r="AU908" s="116"/>
      <c r="AV908" s="78"/>
      <c r="AW908" s="102"/>
      <c r="AX908" s="78"/>
      <c r="AY908" s="78"/>
      <c r="AZ908" s="78"/>
      <c r="BA908" s="78"/>
      <c r="BB908" s="78"/>
      <c r="BC908" s="78"/>
      <c r="BD908" s="78"/>
      <c r="BE908" s="465"/>
      <c r="BF908" s="165" t="str">
        <f t="shared" si="632"/>
        <v>https://www.google.com/search?tbm=isch&amp;q=All%20Plum%20Yews%20have%20fine-textured%20foliage%20with%20brown%2C%20scaly%20bark.%20Slow%20growing%2C%20heat%20and%20shade%20tolerant%20</v>
      </c>
      <c r="BG908" s="165" t="str">
        <f t="shared" si="633"/>
        <v>A</v>
      </c>
      <c r="BH908" s="65"/>
      <c r="BI908" s="65"/>
      <c r="BJ908" s="65"/>
      <c r="BK908" s="65"/>
      <c r="BL908" s="99"/>
      <c r="BM908" s="99"/>
      <c r="BN908" s="99"/>
    </row>
    <row r="909" spans="1:66" s="51" customFormat="1" ht="18" x14ac:dyDescent="0.25">
      <c r="A909" s="507" t="s">
        <v>1972</v>
      </c>
      <c r="B909" s="470"/>
      <c r="C909" s="706"/>
      <c r="D909" s="471" t="s">
        <v>1973</v>
      </c>
      <c r="E909" s="472"/>
      <c r="F909" s="472"/>
      <c r="G909" s="472"/>
      <c r="H909" s="622" t="s">
        <v>1642</v>
      </c>
      <c r="I909" s="473" t="s">
        <v>431</v>
      </c>
      <c r="J909" s="472"/>
      <c r="K909" s="472"/>
      <c r="L909" s="561"/>
      <c r="M909" s="703" t="s">
        <v>5260</v>
      </c>
      <c r="N909" s="692" t="str">
        <f>IF(AND(ISTEXT($A909), ISERROR($A909+0)), HYPERLINK($BF909, "Images"), "")</f>
        <v>Images</v>
      </c>
      <c r="O909" s="694" t="s">
        <v>5244</v>
      </c>
      <c r="P909" s="475"/>
      <c r="Q909" s="476"/>
      <c r="R909" s="476"/>
      <c r="S909" s="477"/>
      <c r="T909" s="102">
        <f t="shared" si="621"/>
        <v>0</v>
      </c>
      <c r="U909" s="78" t="str">
        <f>IF(NOT(ISNUMBER(G909)), "", VLOOKUP(A909,'Discount Lookup'!D:E,2,FALSE)*G909)</f>
        <v/>
      </c>
      <c r="V909" s="78" t="str">
        <f>IF(NOT(ISNUMBER(G909)), "", VLOOKUP(A909,'Discount Lookup'!G:H,2,FALSE)*G909)</f>
        <v/>
      </c>
      <c r="W909" s="102">
        <f t="shared" si="622"/>
        <v>0</v>
      </c>
      <c r="X909" s="102" t="str">
        <f t="shared" si="623"/>
        <v>Dark Green foliage</v>
      </c>
      <c r="Y909" s="120" t="b">
        <f t="shared" si="624"/>
        <v>0</v>
      </c>
      <c r="Z909" s="117">
        <f t="shared" si="625"/>
        <v>0</v>
      </c>
      <c r="AA909" s="118"/>
      <c r="AB909" s="118" t="str">
        <f t="shared" si="626"/>
        <v/>
      </c>
      <c r="AC909" s="712" t="str">
        <f>IF(AE909="T2G","no charge",IF(AND(OR(PlanterYesMe="No",PlanterYesMe="N",PlanterYesMe="me"),H909=""),"",IF(H909="credit","NO install",IF(AND(K909="",AE909="me"),"EACH row",IF(AND(K909="images",AE909="me"),"EACH row",IF(D909="","",IF(H909="credit","",IF(AE909="free","re-planting",IF(AE909="me","   not ELP, by",IF(AND(OR(PlanterYesMe="Yes",PlanterYesMe="Y"),G909&gt;0),(VLOOKUP(A909,'Discount Lookup'!J:K,2)*G909*(1-PlanterDiscount)*(1+PlanterDifficultyPercentage)),IF(AE909="ELP",(VLOOKUP(A909,'Discount Lookup'!J:K,2)*G909*(1-PlanterDiscount)*(1+PlanterDifficultyPercentage)),IF(AE909="free","re-planting",IF(G909=0,"",IF(PlanterYesMe="",IF(AE909="me","   not ELP, by",IF(AE909="",IF(G909&gt;0,(VLOOKUP(A909,'Discount Lookup'!J:K,2)*G909*(1-PlanterDiscount)*(1+PlanterDifficultyPercentage)),""),"")),"   not ELP, by"))))))))))))))</f>
        <v/>
      </c>
      <c r="AD909" s="712"/>
      <c r="AE909" s="513" t="str">
        <f t="shared" si="627"/>
        <v/>
      </c>
      <c r="AF909" s="713" t="str">
        <f t="shared" si="628"/>
        <v/>
      </c>
      <c r="AG909" s="713"/>
      <c r="AH909" s="713"/>
      <c r="AI909" s="112">
        <f>IF(H909="credit",0,IF(AE909="free",0,IF(AE909="me",0,IF(G909&gt;0,(VLOOKUP(A909,'Discount Lookup'!J:K,2)*G909),0))))</f>
        <v>0</v>
      </c>
      <c r="AJ909" s="107" t="str">
        <f t="shared" ca="1" si="629"/>
        <v/>
      </c>
      <c r="AK909" s="714" t="str">
        <f t="shared" si="630"/>
        <v/>
      </c>
      <c r="AL909" s="714"/>
      <c r="AM909" s="114" t="str">
        <f t="shared" si="631"/>
        <v/>
      </c>
      <c r="AN909" s="115"/>
      <c r="AO909" s="116"/>
      <c r="AP909" s="116"/>
      <c r="AQ909" s="116"/>
      <c r="AR909" s="116"/>
      <c r="AS909" s="116"/>
      <c r="AT909" s="116"/>
      <c r="AU909" s="116"/>
      <c r="AV909" s="78"/>
      <c r="AW909" s="102"/>
      <c r="AX909" s="78"/>
      <c r="AY909" s="78"/>
      <c r="AZ909" s="78"/>
      <c r="BA909" s="78"/>
      <c r="BB909" s="78"/>
      <c r="BC909" s="78"/>
      <c r="BD909" s="78"/>
      <c r="BE909" s="465"/>
      <c r="BF909" s="165" t="str">
        <f t="shared" si="632"/>
        <v>https://www.google.com/search?tbm=isch&amp;q=Cephalotaxus%20harringtonia%20%27Duke%20Gardens%27%20Duke%20Gardens%20Japanese%20Plum%20Yew</v>
      </c>
      <c r="BG909" s="165" t="str">
        <f t="shared" si="633"/>
        <v>C</v>
      </c>
      <c r="BH909" s="65"/>
      <c r="BI909" s="65"/>
      <c r="BJ909" s="65"/>
      <c r="BK909" s="65"/>
      <c r="BL909" s="99"/>
      <c r="BM909" s="99"/>
      <c r="BN909" s="99"/>
    </row>
    <row r="910" spans="1:66" s="51" customFormat="1" ht="15.75" x14ac:dyDescent="0.25">
      <c r="A910" s="478">
        <v>3</v>
      </c>
      <c r="B910" s="479" t="s">
        <v>291</v>
      </c>
      <c r="C910" s="480"/>
      <c r="D910" s="481" t="s">
        <v>329</v>
      </c>
      <c r="E910" s="482">
        <v>33.950000000000003</v>
      </c>
      <c r="F910" s="483" t="s">
        <v>292</v>
      </c>
      <c r="G910" s="484">
        <v>0</v>
      </c>
      <c r="H910" s="688" t="str">
        <f>IF(G910=0,"",IF(F910="Buy",IF(G910=1,"plant","plants"),IF(F910&gt;0.01,"warranty","Error")))</f>
        <v/>
      </c>
      <c r="I910" s="485">
        <f>IF(H910="free",0,IF(H910="credit",((E910*(F910))*G910*-1),IF(F910="Buy",(E910*G910),((E910*(1-F910))*G910))))</f>
        <v>0</v>
      </c>
      <c r="J910" s="485">
        <f>IF(H910="warranty",0,(I910*(_xlfn.SINGLE(SalesTaxPercentage))))</f>
        <v>0</v>
      </c>
      <c r="K910" s="715">
        <f t="shared" ref="K910" si="662">I910+J910</f>
        <v>0</v>
      </c>
      <c r="L910" s="715"/>
      <c r="M910" s="689" t="str">
        <f ca="1">IF(AND(G910&gt;0,E910=0),"WARNING - no PRICE inserted",IF(H910="free","FREE ~ no charge this plant",IF(H910="credit",CONCATENATE("-$",ROUND(K910*(1-_xlfn.SINGLE(T2GDiscount))*-1,2)," CREDIT after discount"),IF(_xlfn.SINGLE(T2GDiscount)=0,"",IF(G910=0,"",IF(F910="Buy",CONCATENATE("$",ROUND(K910*(1-_xlfn.SINGLE(T2GDiscount)),2)," with ",(_xlfn.SINGLE(T2GDiscount)*100),"% discount"),CONCATENATE("$",ROUND(K910*(1-_xlfn.SINGLE(T2GDiscount)),2)," with ",((_xlfn.SINGLE(T2GDiscount)*100+F910*100)-(_xlfn.SINGLE(T2GDiscount)*100*F910)),IF(F910&gt;0,"% discounts",IF(_xlfn.SINGLE(NoWarrantyDiscount)&gt;0,"% discounts","% discount")))))))))</f>
        <v/>
      </c>
      <c r="N910" s="690"/>
      <c r="O910" s="486"/>
      <c r="P910" s="486"/>
      <c r="Q910" s="486"/>
      <c r="R910" s="486"/>
      <c r="S910" s="486"/>
      <c r="T910" s="102">
        <f t="shared" si="621"/>
        <v>0</v>
      </c>
      <c r="U910" s="78">
        <f>IF(NOT(ISNUMBER(G910)), "", VLOOKUP(A910,'Discount Lookup'!D:E,2,FALSE)*G910)</f>
        <v>0</v>
      </c>
      <c r="V910" s="78">
        <f>IF(NOT(ISNUMBER(G910)), "", VLOOKUP(A910,'Discount Lookup'!G:H,2,FALSE)*G910)</f>
        <v>0</v>
      </c>
      <c r="W910" s="102">
        <f t="shared" si="622"/>
        <v>0</v>
      </c>
      <c r="X910" s="102">
        <f t="shared" si="623"/>
        <v>0</v>
      </c>
      <c r="Y910" s="120" t="b">
        <f t="shared" si="624"/>
        <v>0</v>
      </c>
      <c r="Z910" s="117">
        <f t="shared" si="625"/>
        <v>0</v>
      </c>
      <c r="AA910" s="118"/>
      <c r="AB910" s="118" t="str">
        <f t="shared" si="626"/>
        <v/>
      </c>
      <c r="AC910" s="712" t="str">
        <f>IF(AE910="T2G","no charge",IF(AND(OR(PlanterYesMe="No",PlanterYesMe="N",PlanterYesMe="me"),H910=""),"",IF(H910="credit","NO install",IF(AND(K910="",AE910="me"),"EACH row",IF(AND(K910="images",AE910="me"),"EACH row",IF(D910="","",IF(H910="credit","",IF(AE910="free","re-planting",IF(AE910="me","   not ELP, by",IF(AND(OR(PlanterYesMe="Yes",PlanterYesMe="Y"),G910&gt;0),(VLOOKUP(A910,'Discount Lookup'!J:K,2)*G910*(1-PlanterDiscount)*(1+PlanterDifficultyPercentage)),IF(AE910="ELP",(VLOOKUP(A910,'Discount Lookup'!J:K,2)*G910*(1-PlanterDiscount)*(1+PlanterDifficultyPercentage)),IF(AE910="free","re-planting",IF(G910=0,"",IF(PlanterYesMe="",IF(AE910="me","   not ELP, by",IF(AE910="",IF(G910&gt;0,(VLOOKUP(A910,'Discount Lookup'!J:K,2)*G910*(1-PlanterDiscount)*(1+PlanterDifficultyPercentage)),""),"")),"   not ELP, by"))))))))))))))</f>
        <v/>
      </c>
      <c r="AD910" s="712"/>
      <c r="AE910" s="513" t="str">
        <f t="shared" si="627"/>
        <v/>
      </c>
      <c r="AF910" s="713" t="str">
        <f t="shared" si="628"/>
        <v/>
      </c>
      <c r="AG910" s="713"/>
      <c r="AH910" s="713"/>
      <c r="AI910" s="112">
        <f>IF(H910="credit",0,IF(AE910="free",0,IF(AE910="me",0,IF(G910&gt;0,(VLOOKUP(A910,'Discount Lookup'!J:K,2)*G910),0))))</f>
        <v>0</v>
      </c>
      <c r="AJ910" s="107" t="str">
        <f t="shared" ca="1" si="629"/>
        <v/>
      </c>
      <c r="AK910" s="714" t="str">
        <f t="shared" si="630"/>
        <v/>
      </c>
      <c r="AL910" s="714"/>
      <c r="AM910" s="114" t="str">
        <f t="shared" si="631"/>
        <v/>
      </c>
      <c r="AN910" s="115"/>
      <c r="AO910" s="116"/>
      <c r="AP910" s="116"/>
      <c r="AQ910" s="116"/>
      <c r="AR910" s="116"/>
      <c r="AS910" s="116"/>
      <c r="AT910" s="116"/>
      <c r="AU910" s="116"/>
      <c r="AV910" s="78"/>
      <c r="AW910" s="102"/>
      <c r="AX910" s="78"/>
      <c r="AY910" s="78"/>
      <c r="AZ910" s="78"/>
      <c r="BA910" s="78"/>
      <c r="BB910" s="78"/>
      <c r="BC910" s="78"/>
      <c r="BD910" s="78"/>
      <c r="BE910" s="465"/>
      <c r="BF910" s="165" t="str">
        <f t="shared" si="632"/>
        <v>https://www.google.com/search?tbm=isch&amp;q=3%20G2</v>
      </c>
      <c r="BG910" s="165" t="str">
        <f t="shared" si="633"/>
        <v>C</v>
      </c>
      <c r="BH910" s="65"/>
      <c r="BI910" s="65"/>
      <c r="BJ910" s="65"/>
      <c r="BK910" s="65"/>
      <c r="BL910" s="99"/>
      <c r="BM910" s="99"/>
      <c r="BN910" s="99"/>
    </row>
    <row r="911" spans="1:66" s="51" customFormat="1" ht="15.75" x14ac:dyDescent="0.25">
      <c r="A911" s="478">
        <v>5</v>
      </c>
      <c r="B911" s="479" t="s">
        <v>291</v>
      </c>
      <c r="C911" s="480" t="s">
        <v>4585</v>
      </c>
      <c r="D911" s="481" t="s">
        <v>299</v>
      </c>
      <c r="E911" s="482">
        <v>95.95</v>
      </c>
      <c r="F911" s="483" t="s">
        <v>292</v>
      </c>
      <c r="G911" s="484">
        <v>0</v>
      </c>
      <c r="H911" s="688" t="str">
        <f>IF(G911=0,"",IF(F911="Buy",IF(G911=1,"plant","plants"),IF(F911&gt;0.01,"warranty","Error")))</f>
        <v/>
      </c>
      <c r="I911" s="485">
        <f>IF(H911="free",0,IF(H911="credit",((E911*(F911))*G911*-1),IF(F911="Buy",(E911*G911),((E911*(1-F911))*G911))))</f>
        <v>0</v>
      </c>
      <c r="J911" s="485">
        <f>IF(H911="warranty",0,(I911*(_xlfn.SINGLE(SalesTaxPercentage))))</f>
        <v>0</v>
      </c>
      <c r="K911" s="715">
        <f t="shared" ref="K911" si="663">I911+J911</f>
        <v>0</v>
      </c>
      <c r="L911" s="715"/>
      <c r="M911" s="689" t="str">
        <f ca="1">IF(AND(G911&gt;0,E911=0),"WARNING - no PRICE inserted",IF(H911="free","FREE ~ no charge this plant",IF(H911="credit",CONCATENATE("-$",ROUND(K911*(1-_xlfn.SINGLE(T2GDiscount))*-1,2)," CREDIT after discount"),IF(_xlfn.SINGLE(T2GDiscount)=0,"",IF(G911=0,"",IF(F911="Buy",CONCATENATE("$",ROUND(K911*(1-_xlfn.SINGLE(T2GDiscount)),2)," with ",(_xlfn.SINGLE(T2GDiscount)*100),"% discount"),CONCATENATE("$",ROUND(K911*(1-_xlfn.SINGLE(T2GDiscount)),2)," with ",((_xlfn.SINGLE(T2GDiscount)*100+F911*100)-(_xlfn.SINGLE(T2GDiscount)*100*F911)),IF(F911&gt;0,"% discounts",IF(_xlfn.SINGLE(NoWarrantyDiscount)&gt;0,"% discounts","% discount")))))))))</f>
        <v/>
      </c>
      <c r="N911" s="690"/>
      <c r="O911" s="486"/>
      <c r="P911" s="486"/>
      <c r="Q911" s="486"/>
      <c r="R911" s="486"/>
      <c r="S911" s="486"/>
      <c r="T911" s="102">
        <f t="shared" si="621"/>
        <v>0</v>
      </c>
      <c r="U911" s="78">
        <f>IF(NOT(ISNUMBER(G911)), "", VLOOKUP(A911,'Discount Lookup'!D:E,2,FALSE)*G911)</f>
        <v>0</v>
      </c>
      <c r="V911" s="78">
        <f>IF(NOT(ISNUMBER(G911)), "", VLOOKUP(A911,'Discount Lookup'!G:H,2,FALSE)*G911)</f>
        <v>0</v>
      </c>
      <c r="W911" s="102">
        <f t="shared" si="622"/>
        <v>0</v>
      </c>
      <c r="X911" s="102">
        <f t="shared" si="623"/>
        <v>0</v>
      </c>
      <c r="Y911" s="120" t="b">
        <f t="shared" si="624"/>
        <v>0</v>
      </c>
      <c r="Z911" s="117">
        <f t="shared" si="625"/>
        <v>0</v>
      </c>
      <c r="AA911" s="118"/>
      <c r="AB911" s="118" t="str">
        <f t="shared" si="626"/>
        <v/>
      </c>
      <c r="AC911" s="712" t="str">
        <f>IF(AE911="T2G","no charge",IF(AND(OR(PlanterYesMe="No",PlanterYesMe="N",PlanterYesMe="me"),H911=""),"",IF(H911="credit","NO install",IF(AND(K911="",AE911="me"),"EACH row",IF(AND(K911="images",AE911="me"),"EACH row",IF(D911="","",IF(H911="credit","",IF(AE911="free","re-planting",IF(AE911="me","   not ELP, by",IF(AND(OR(PlanterYesMe="Yes",PlanterYesMe="Y"),G911&gt;0),(VLOOKUP(A911,'Discount Lookup'!J:K,2)*G911*(1-PlanterDiscount)*(1+PlanterDifficultyPercentage)),IF(AE911="ELP",(VLOOKUP(A911,'Discount Lookup'!J:K,2)*G911*(1-PlanterDiscount)*(1+PlanterDifficultyPercentage)),IF(AE911="free","re-planting",IF(G911=0,"",IF(PlanterYesMe="",IF(AE911="me","   not ELP, by",IF(AE911="",IF(G911&gt;0,(VLOOKUP(A911,'Discount Lookup'!J:K,2)*G911*(1-PlanterDiscount)*(1+PlanterDifficultyPercentage)),""),"")),"   not ELP, by"))))))))))))))</f>
        <v/>
      </c>
      <c r="AD911" s="712"/>
      <c r="AE911" s="513" t="str">
        <f t="shared" si="627"/>
        <v/>
      </c>
      <c r="AF911" s="713" t="str">
        <f t="shared" si="628"/>
        <v/>
      </c>
      <c r="AG911" s="713"/>
      <c r="AH911" s="713"/>
      <c r="AI911" s="112">
        <f>IF(H911="credit",0,IF(AE911="free",0,IF(AE911="me",0,IF(G911&gt;0,(VLOOKUP(A911,'Discount Lookup'!J:K,2)*G911),0))))</f>
        <v>0</v>
      </c>
      <c r="AJ911" s="107" t="str">
        <f t="shared" ca="1" si="629"/>
        <v/>
      </c>
      <c r="AK911" s="714" t="str">
        <f t="shared" si="630"/>
        <v/>
      </c>
      <c r="AL911" s="714"/>
      <c r="AM911" s="114" t="str">
        <f t="shared" si="631"/>
        <v/>
      </c>
      <c r="AN911" s="115"/>
      <c r="AO911" s="116"/>
      <c r="AP911" s="116"/>
      <c r="AQ911" s="116"/>
      <c r="AR911" s="116"/>
      <c r="AS911" s="116"/>
      <c r="AT911" s="116"/>
      <c r="AU911" s="116"/>
      <c r="AV911" s="78"/>
      <c r="AW911" s="102"/>
      <c r="AX911" s="78"/>
      <c r="AY911" s="78"/>
      <c r="AZ911" s="78"/>
      <c r="BA911" s="78"/>
      <c r="BB911" s="78"/>
      <c r="BC911" s="78"/>
      <c r="BD911" s="78"/>
      <c r="BE911" s="465"/>
      <c r="BF911" s="165" t="str">
        <f t="shared" si="632"/>
        <v>https://www.google.com/search?tbm=isch&amp;q=5%20G4</v>
      </c>
      <c r="BG911" s="165" t="str">
        <f t="shared" si="633"/>
        <v>C</v>
      </c>
      <c r="BH911" s="65"/>
      <c r="BI911" s="65"/>
      <c r="BJ911" s="65"/>
      <c r="BK911" s="65"/>
      <c r="BL911" s="99"/>
      <c r="BM911" s="99"/>
      <c r="BN911" s="99"/>
    </row>
    <row r="912" spans="1:66" s="51" customFormat="1" ht="15.75" x14ac:dyDescent="0.25">
      <c r="A912" s="478">
        <v>5</v>
      </c>
      <c r="B912" s="479" t="s">
        <v>291</v>
      </c>
      <c r="C912" s="480" t="s">
        <v>4586</v>
      </c>
      <c r="D912" s="481" t="s">
        <v>293</v>
      </c>
      <c r="E912" s="482">
        <v>97.95</v>
      </c>
      <c r="F912" s="483" t="s">
        <v>292</v>
      </c>
      <c r="G912" s="484">
        <v>0</v>
      </c>
      <c r="H912" s="688" t="str">
        <f>IF(G912=0,"",IF(F912="Buy",IF(G912=1,"plant","plants"),IF(F912&gt;0.01,"warranty","Error")))</f>
        <v/>
      </c>
      <c r="I912" s="485">
        <f>IF(H912="free",0,IF(H912="credit",((E912*(F912))*G912*-1),IF(F912="Buy",(E912*G912),((E912*(1-F912))*G912))))</f>
        <v>0</v>
      </c>
      <c r="J912" s="485">
        <f>IF(H912="warranty",0,(I912*(_xlfn.SINGLE(SalesTaxPercentage))))</f>
        <v>0</v>
      </c>
      <c r="K912" s="715">
        <f t="shared" ref="K912" si="664">I912+J912</f>
        <v>0</v>
      </c>
      <c r="L912" s="715"/>
      <c r="M912" s="689" t="str">
        <f ca="1">IF(AND(G912&gt;0,E912=0),"WARNING - no PRICE inserted",IF(H912="free","FREE ~ no charge this plant",IF(H912="credit",CONCATENATE("-$",ROUND(K912*(1-_xlfn.SINGLE(T2GDiscount))*-1,2)," CREDIT after discount"),IF(_xlfn.SINGLE(T2GDiscount)=0,"",IF(G912=0,"",IF(F912="Buy",CONCATENATE("$",ROUND(K912*(1-_xlfn.SINGLE(T2GDiscount)),2)," with ",(_xlfn.SINGLE(T2GDiscount)*100),"% discount"),CONCATENATE("$",ROUND(K912*(1-_xlfn.SINGLE(T2GDiscount)),2)," with ",((_xlfn.SINGLE(T2GDiscount)*100+F912*100)-(_xlfn.SINGLE(T2GDiscount)*100*F912)),IF(F912&gt;0,"% discounts",IF(_xlfn.SINGLE(NoWarrantyDiscount)&gt;0,"% discounts","% discount")))))))))</f>
        <v/>
      </c>
      <c r="N912" s="690"/>
      <c r="O912" s="486"/>
      <c r="P912" s="486"/>
      <c r="Q912" s="486"/>
      <c r="R912" s="486"/>
      <c r="S912" s="486"/>
      <c r="T912" s="102">
        <f t="shared" si="621"/>
        <v>0</v>
      </c>
      <c r="U912" s="78">
        <f>IF(NOT(ISNUMBER(G912)), "", VLOOKUP(A912,'Discount Lookup'!D:E,2,FALSE)*G912)</f>
        <v>0</v>
      </c>
      <c r="V912" s="78">
        <f>IF(NOT(ISNUMBER(G912)), "", VLOOKUP(A912,'Discount Lookup'!G:H,2,FALSE)*G912)</f>
        <v>0</v>
      </c>
      <c r="W912" s="102">
        <f t="shared" si="622"/>
        <v>0</v>
      </c>
      <c r="X912" s="102">
        <f t="shared" si="623"/>
        <v>0</v>
      </c>
      <c r="Y912" s="120" t="b">
        <f t="shared" si="624"/>
        <v>0</v>
      </c>
      <c r="Z912" s="117">
        <f t="shared" si="625"/>
        <v>0</v>
      </c>
      <c r="AA912" s="118"/>
      <c r="AB912" s="118" t="str">
        <f t="shared" si="626"/>
        <v/>
      </c>
      <c r="AC912" s="712" t="str">
        <f>IF(AE912="T2G","no charge",IF(AND(OR(PlanterYesMe="No",PlanterYesMe="N",PlanterYesMe="me"),H912=""),"",IF(H912="credit","NO install",IF(AND(K912="",AE912="me"),"EACH row",IF(AND(K912="images",AE912="me"),"EACH row",IF(D912="","",IF(H912="credit","",IF(AE912="free","re-planting",IF(AE912="me","   not ELP, by",IF(AND(OR(PlanterYesMe="Yes",PlanterYesMe="Y"),G912&gt;0),(VLOOKUP(A912,'Discount Lookup'!J:K,2)*G912*(1-PlanterDiscount)*(1+PlanterDifficultyPercentage)),IF(AE912="ELP",(VLOOKUP(A912,'Discount Lookup'!J:K,2)*G912*(1-PlanterDiscount)*(1+PlanterDifficultyPercentage)),IF(AE912="free","re-planting",IF(G912=0,"",IF(PlanterYesMe="",IF(AE912="me","   not ELP, by",IF(AE912="",IF(G912&gt;0,(VLOOKUP(A912,'Discount Lookup'!J:K,2)*G912*(1-PlanterDiscount)*(1+PlanterDifficultyPercentage)),""),"")),"   not ELP, by"))))))))))))))</f>
        <v/>
      </c>
      <c r="AD912" s="712"/>
      <c r="AE912" s="513" t="str">
        <f t="shared" si="627"/>
        <v/>
      </c>
      <c r="AF912" s="713" t="str">
        <f t="shared" si="628"/>
        <v/>
      </c>
      <c r="AG912" s="713"/>
      <c r="AH912" s="713"/>
      <c r="AI912" s="112">
        <f>IF(H912="credit",0,IF(AE912="free",0,IF(AE912="me",0,IF(G912&gt;0,(VLOOKUP(A912,'Discount Lookup'!J:K,2)*G912),0))))</f>
        <v>0</v>
      </c>
      <c r="AJ912" s="107" t="str">
        <f t="shared" ca="1" si="629"/>
        <v/>
      </c>
      <c r="AK912" s="714" t="str">
        <f t="shared" si="630"/>
        <v/>
      </c>
      <c r="AL912" s="714"/>
      <c r="AM912" s="114" t="str">
        <f t="shared" si="631"/>
        <v/>
      </c>
      <c r="AN912" s="115"/>
      <c r="AO912" s="116"/>
      <c r="AP912" s="116"/>
      <c r="AQ912" s="116"/>
      <c r="AR912" s="116"/>
      <c r="AS912" s="116"/>
      <c r="AT912" s="116"/>
      <c r="AU912" s="116"/>
      <c r="AV912" s="78"/>
      <c r="AW912" s="102"/>
      <c r="AX912" s="78"/>
      <c r="AY912" s="78"/>
      <c r="AZ912" s="78"/>
      <c r="BA912" s="78"/>
      <c r="BB912" s="78"/>
      <c r="BC912" s="78"/>
      <c r="BD912" s="78"/>
      <c r="BE912" s="465"/>
      <c r="BF912" s="165" t="str">
        <f t="shared" si="632"/>
        <v>https://www.google.com/search?tbm=isch&amp;q=5%20G6</v>
      </c>
      <c r="BG912" s="165" t="str">
        <f t="shared" si="633"/>
        <v>C</v>
      </c>
      <c r="BH912" s="65"/>
      <c r="BI912" s="65"/>
      <c r="BJ912" s="65"/>
      <c r="BK912" s="65"/>
      <c r="BL912" s="99"/>
      <c r="BM912" s="99"/>
      <c r="BN912" s="99"/>
    </row>
    <row r="913" spans="1:66" s="51" customFormat="1" ht="27" x14ac:dyDescent="0.25">
      <c r="A913" s="478">
        <v>7</v>
      </c>
      <c r="B913" s="479" t="s">
        <v>291</v>
      </c>
      <c r="C913" s="480" t="s">
        <v>1974</v>
      </c>
      <c r="D913" s="481" t="s">
        <v>299</v>
      </c>
      <c r="E913" s="482">
        <v>118.95</v>
      </c>
      <c r="F913" s="483" t="s">
        <v>292</v>
      </c>
      <c r="G913" s="484">
        <v>0</v>
      </c>
      <c r="H913" s="688" t="str">
        <f>IF(G913=0,"",IF(F913="Buy",IF(G913=1,"plant","plants"),IF(F913&gt;0.01,"warranty","Error")))</f>
        <v/>
      </c>
      <c r="I913" s="485">
        <f>IF(H913="free",0,IF(H913="credit",((E913*(F913))*G913*-1),IF(F913="Buy",(E913*G913),((E913*(1-F913))*G913))))</f>
        <v>0</v>
      </c>
      <c r="J913" s="485">
        <f>IF(H913="warranty",0,(I913*(_xlfn.SINGLE(SalesTaxPercentage))))</f>
        <v>0</v>
      </c>
      <c r="K913" s="715">
        <f t="shared" ref="K913" si="665">I913+J913</f>
        <v>0</v>
      </c>
      <c r="L913" s="715"/>
      <c r="M913" s="689" t="str">
        <f ca="1">IF(AND(G913&gt;0,E913=0),"WARNING - no PRICE inserted",IF(H913="free","FREE ~ no charge this plant",IF(H913="credit",CONCATENATE("-$",ROUND(K913*(1-_xlfn.SINGLE(T2GDiscount))*-1,2)," CREDIT after discount"),IF(_xlfn.SINGLE(T2GDiscount)=0,"",IF(G913=0,"",IF(F913="Buy",CONCATENATE("$",ROUND(K913*(1-_xlfn.SINGLE(T2GDiscount)),2)," with ",(_xlfn.SINGLE(T2GDiscount)*100),"% discount"),CONCATENATE("$",ROUND(K913*(1-_xlfn.SINGLE(T2GDiscount)),2)," with ",((_xlfn.SINGLE(T2GDiscount)*100+F913*100)-(_xlfn.SINGLE(T2GDiscount)*100*F913)),IF(F913&gt;0,"% discounts",IF(_xlfn.SINGLE(NoWarrantyDiscount)&gt;0,"% discounts","% discount")))))))))</f>
        <v/>
      </c>
      <c r="N913" s="690"/>
      <c r="O913" s="486"/>
      <c r="P913" s="486"/>
      <c r="Q913" s="486"/>
      <c r="R913" s="486"/>
      <c r="S913" s="486"/>
      <c r="T913" s="102">
        <f t="shared" si="621"/>
        <v>0</v>
      </c>
      <c r="U913" s="78">
        <f>IF(NOT(ISNUMBER(G913)), "", VLOOKUP(A913,'Discount Lookup'!D:E,2,FALSE)*G913)</f>
        <v>0</v>
      </c>
      <c r="V913" s="78">
        <f>IF(NOT(ISNUMBER(G913)), "", VLOOKUP(A913,'Discount Lookup'!G:H,2,FALSE)*G913)</f>
        <v>0</v>
      </c>
      <c r="W913" s="102">
        <f t="shared" si="622"/>
        <v>0</v>
      </c>
      <c r="X913" s="102">
        <f t="shared" si="623"/>
        <v>0</v>
      </c>
      <c r="Y913" s="120" t="b">
        <f t="shared" si="624"/>
        <v>0</v>
      </c>
      <c r="Z913" s="117">
        <f t="shared" si="625"/>
        <v>0</v>
      </c>
      <c r="AA913" s="118"/>
      <c r="AB913" s="118" t="str">
        <f t="shared" si="626"/>
        <v/>
      </c>
      <c r="AC913" s="712" t="str">
        <f>IF(AE913="T2G","no charge",IF(AND(OR(PlanterYesMe="No",PlanterYesMe="N",PlanterYesMe="me"),H913=""),"",IF(H913="credit","NO install",IF(AND(K913="",AE913="me"),"EACH row",IF(AND(K913="images",AE913="me"),"EACH row",IF(D913="","",IF(H913="credit","",IF(AE913="free","re-planting",IF(AE913="me","   not ELP, by",IF(AND(OR(PlanterYesMe="Yes",PlanterYesMe="Y"),G913&gt;0),(VLOOKUP(A913,'Discount Lookup'!J:K,2)*G913*(1-PlanterDiscount)*(1+PlanterDifficultyPercentage)),IF(AE913="ELP",(VLOOKUP(A913,'Discount Lookup'!J:K,2)*G913*(1-PlanterDiscount)*(1+PlanterDifficultyPercentage)),IF(AE913="free","re-planting",IF(G913=0,"",IF(PlanterYesMe="",IF(AE913="me","   not ELP, by",IF(AE913="",IF(G913&gt;0,(VLOOKUP(A913,'Discount Lookup'!J:K,2)*G913*(1-PlanterDiscount)*(1+PlanterDifficultyPercentage)),""),"")),"   not ELP, by"))))))))))))))</f>
        <v/>
      </c>
      <c r="AD913" s="712"/>
      <c r="AE913" s="513" t="str">
        <f t="shared" si="627"/>
        <v/>
      </c>
      <c r="AF913" s="713" t="str">
        <f t="shared" si="628"/>
        <v/>
      </c>
      <c r="AG913" s="713"/>
      <c r="AH913" s="713"/>
      <c r="AI913" s="112">
        <f>IF(H913="credit",0,IF(AE913="free",0,IF(AE913="me",0,IF(G913&gt;0,(VLOOKUP(A913,'Discount Lookup'!J:K,2)*G913),0))))</f>
        <v>0</v>
      </c>
      <c r="AJ913" s="107" t="str">
        <f t="shared" ca="1" si="629"/>
        <v/>
      </c>
      <c r="AK913" s="714" t="str">
        <f t="shared" si="630"/>
        <v/>
      </c>
      <c r="AL913" s="714"/>
      <c r="AM913" s="114" t="str">
        <f t="shared" si="631"/>
        <v/>
      </c>
      <c r="AN913" s="115"/>
      <c r="AO913" s="116"/>
      <c r="AP913" s="116"/>
      <c r="AQ913" s="116"/>
      <c r="AR913" s="116"/>
      <c r="AS913" s="116"/>
      <c r="AT913" s="116"/>
      <c r="AU913" s="116"/>
      <c r="AV913" s="78"/>
      <c r="AW913" s="102"/>
      <c r="AX913" s="78"/>
      <c r="AY913" s="78"/>
      <c r="AZ913" s="78"/>
      <c r="BA913" s="78"/>
      <c r="BB913" s="78"/>
      <c r="BC913" s="78"/>
      <c r="BD913" s="78"/>
      <c r="BE913" s="465"/>
      <c r="BF913" s="165" t="str">
        <f t="shared" si="632"/>
        <v>https://www.google.com/search?tbm=isch&amp;q=7%20G4</v>
      </c>
      <c r="BG913" s="165" t="str">
        <f t="shared" si="633"/>
        <v>C</v>
      </c>
      <c r="BH913" s="65"/>
      <c r="BI913" s="65"/>
      <c r="BJ913" s="65"/>
      <c r="BK913" s="65"/>
      <c r="BL913" s="99"/>
      <c r="BM913" s="99"/>
      <c r="BN913" s="99"/>
    </row>
    <row r="914" spans="1:66" s="51" customFormat="1" ht="15.75" x14ac:dyDescent="0.25">
      <c r="A914" s="478">
        <v>10</v>
      </c>
      <c r="B914" s="479" t="s">
        <v>291</v>
      </c>
      <c r="C914" s="480" t="s">
        <v>1707</v>
      </c>
      <c r="D914" s="481" t="s">
        <v>299</v>
      </c>
      <c r="E914" s="482">
        <v>194.95</v>
      </c>
      <c r="F914" s="483" t="s">
        <v>292</v>
      </c>
      <c r="G914" s="484">
        <v>0</v>
      </c>
      <c r="H914" s="688" t="str">
        <f>IF(G914=0,"",IF(F914="Buy",IF(G914=1,"plant","plants"),IF(F914&gt;0.01,"warranty","Error")))</f>
        <v/>
      </c>
      <c r="I914" s="485">
        <f>IF(H914="free",0,IF(H914="credit",((E914*(F914))*G914*-1),IF(F914="Buy",(E914*G914),((E914*(1-F914))*G914))))</f>
        <v>0</v>
      </c>
      <c r="J914" s="485">
        <f>IF(H914="warranty",0,(I914*(_xlfn.SINGLE(SalesTaxPercentage))))</f>
        <v>0</v>
      </c>
      <c r="K914" s="715">
        <f t="shared" ref="K914" si="666">I914+J914</f>
        <v>0</v>
      </c>
      <c r="L914" s="715"/>
      <c r="M914" s="689" t="str">
        <f ca="1">IF(AND(G914&gt;0,E914=0),"WARNING - no PRICE inserted",IF(H914="free","FREE ~ no charge this plant",IF(H914="credit",CONCATENATE("-$",ROUND(K914*(1-_xlfn.SINGLE(T2GDiscount))*-1,2)," CREDIT after discount"),IF(_xlfn.SINGLE(T2GDiscount)=0,"",IF(G914=0,"",IF(F914="Buy",CONCATENATE("$",ROUND(K914*(1-_xlfn.SINGLE(T2GDiscount)),2)," with ",(_xlfn.SINGLE(T2GDiscount)*100),"% discount"),CONCATENATE("$",ROUND(K914*(1-_xlfn.SINGLE(T2GDiscount)),2)," with ",((_xlfn.SINGLE(T2GDiscount)*100+F914*100)-(_xlfn.SINGLE(T2GDiscount)*100*F914)),IF(F914&gt;0,"% discounts",IF(_xlfn.SINGLE(NoWarrantyDiscount)&gt;0,"% discounts","% discount")))))))))</f>
        <v/>
      </c>
      <c r="N914" s="690"/>
      <c r="O914" s="486"/>
      <c r="P914" s="486"/>
      <c r="Q914" s="486"/>
      <c r="R914" s="486"/>
      <c r="S914" s="486"/>
      <c r="T914" s="102">
        <f t="shared" si="621"/>
        <v>0</v>
      </c>
      <c r="U914" s="78">
        <f>IF(NOT(ISNUMBER(G914)), "", VLOOKUP(A914,'Discount Lookup'!D:E,2,FALSE)*G914)</f>
        <v>0</v>
      </c>
      <c r="V914" s="78">
        <f>IF(NOT(ISNUMBER(G914)), "", VLOOKUP(A914,'Discount Lookup'!G:H,2,FALSE)*G914)</f>
        <v>0</v>
      </c>
      <c r="W914" s="102">
        <f t="shared" si="622"/>
        <v>0</v>
      </c>
      <c r="X914" s="102">
        <f t="shared" si="623"/>
        <v>0</v>
      </c>
      <c r="Y914" s="120" t="b">
        <f t="shared" si="624"/>
        <v>0</v>
      </c>
      <c r="Z914" s="117">
        <f t="shared" si="625"/>
        <v>0</v>
      </c>
      <c r="AA914" s="118"/>
      <c r="AB914" s="118" t="str">
        <f t="shared" si="626"/>
        <v/>
      </c>
      <c r="AC914" s="712" t="str">
        <f>IF(AE914="T2G","no charge",IF(AND(OR(PlanterYesMe="No",PlanterYesMe="N",PlanterYesMe="me"),H914=""),"",IF(H914="credit","NO install",IF(AND(K914="",AE914="me"),"EACH row",IF(AND(K914="images",AE914="me"),"EACH row",IF(D914="","",IF(H914="credit","",IF(AE914="free","re-planting",IF(AE914="me","   not ELP, by",IF(AND(OR(PlanterYesMe="Yes",PlanterYesMe="Y"),G914&gt;0),(VLOOKUP(A914,'Discount Lookup'!J:K,2)*G914*(1-PlanterDiscount)*(1+PlanterDifficultyPercentage)),IF(AE914="ELP",(VLOOKUP(A914,'Discount Lookup'!J:K,2)*G914*(1-PlanterDiscount)*(1+PlanterDifficultyPercentage)),IF(AE914="free","re-planting",IF(G914=0,"",IF(PlanterYesMe="",IF(AE914="me","   not ELP, by",IF(AE914="",IF(G914&gt;0,(VLOOKUP(A914,'Discount Lookup'!J:K,2)*G914*(1-PlanterDiscount)*(1+PlanterDifficultyPercentage)),""),"")),"   not ELP, by"))))))))))))))</f>
        <v/>
      </c>
      <c r="AD914" s="712"/>
      <c r="AE914" s="513" t="str">
        <f t="shared" si="627"/>
        <v/>
      </c>
      <c r="AF914" s="713" t="str">
        <f t="shared" si="628"/>
        <v/>
      </c>
      <c r="AG914" s="713"/>
      <c r="AH914" s="713"/>
      <c r="AI914" s="112">
        <f>IF(H914="credit",0,IF(AE914="free",0,IF(AE914="me",0,IF(G914&gt;0,(VLOOKUP(A914,'Discount Lookup'!J:K,2)*G914),0))))</f>
        <v>0</v>
      </c>
      <c r="AJ914" s="107" t="str">
        <f t="shared" ca="1" si="629"/>
        <v/>
      </c>
      <c r="AK914" s="714" t="str">
        <f t="shared" si="630"/>
        <v/>
      </c>
      <c r="AL914" s="714"/>
      <c r="AM914" s="114" t="str">
        <f t="shared" si="631"/>
        <v/>
      </c>
      <c r="AN914" s="115"/>
      <c r="AO914" s="116"/>
      <c r="AP914" s="116"/>
      <c r="AQ914" s="116"/>
      <c r="AR914" s="116"/>
      <c r="AS914" s="116"/>
      <c r="AT914" s="116"/>
      <c r="AU914" s="116"/>
      <c r="AV914" s="78"/>
      <c r="AW914" s="102"/>
      <c r="AX914" s="78"/>
      <c r="AY914" s="78"/>
      <c r="AZ914" s="78"/>
      <c r="BA914" s="78"/>
      <c r="BB914" s="78"/>
      <c r="BC914" s="78"/>
      <c r="BD914" s="78"/>
      <c r="BE914" s="465"/>
      <c r="BF914" s="165" t="str">
        <f t="shared" si="632"/>
        <v>https://www.google.com/search?tbm=isch&amp;q=10%20G4</v>
      </c>
      <c r="BG914" s="165" t="str">
        <f t="shared" si="633"/>
        <v>C</v>
      </c>
      <c r="BH914" s="65"/>
      <c r="BI914" s="65"/>
      <c r="BJ914" s="65"/>
      <c r="BK914" s="65"/>
      <c r="BL914" s="99"/>
      <c r="BM914" s="99"/>
      <c r="BN914" s="99"/>
    </row>
    <row r="915" spans="1:66" s="51" customFormat="1" ht="17.25" thickBot="1" x14ac:dyDescent="0.3">
      <c r="A915" s="508" t="s">
        <v>1971</v>
      </c>
      <c r="B915" s="487"/>
      <c r="C915" s="707"/>
      <c r="D915" s="487"/>
      <c r="E915" s="487"/>
      <c r="F915" s="488"/>
      <c r="G915" s="489"/>
      <c r="H915" s="487"/>
      <c r="I915" s="490"/>
      <c r="J915" s="490"/>
      <c r="K915" s="491"/>
      <c r="L915" s="547"/>
      <c r="M915" s="528"/>
      <c r="N915" s="492"/>
      <c r="O915" s="493"/>
      <c r="P915" s="494"/>
      <c r="Q915" s="492"/>
      <c r="R915" s="492"/>
      <c r="S915" s="699" t="s">
        <v>5278</v>
      </c>
      <c r="T915" s="102">
        <f t="shared" si="621"/>
        <v>0</v>
      </c>
      <c r="U915" s="78" t="str">
        <f>IF(NOT(ISNUMBER(G915)), "", VLOOKUP(A915,'Discount Lookup'!D:E,2,FALSE)*G915)</f>
        <v/>
      </c>
      <c r="V915" s="78" t="str">
        <f>IF(NOT(ISNUMBER(G915)), "", VLOOKUP(A915,'Discount Lookup'!G:H,2,FALSE)*G915)</f>
        <v/>
      </c>
      <c r="W915" s="102">
        <f t="shared" si="622"/>
        <v>0</v>
      </c>
      <c r="X915" s="102">
        <f t="shared" si="623"/>
        <v>0</v>
      </c>
      <c r="Y915" s="120" t="b">
        <f t="shared" si="624"/>
        <v>0</v>
      </c>
      <c r="Z915" s="117">
        <f t="shared" si="625"/>
        <v>0</v>
      </c>
      <c r="AA915" s="118"/>
      <c r="AB915" s="118" t="str">
        <f t="shared" si="626"/>
        <v/>
      </c>
      <c r="AC915" s="712" t="str">
        <f>IF(AE915="T2G","no charge",IF(AND(OR(PlanterYesMe="No",PlanterYesMe="N",PlanterYesMe="me"),H915=""),"",IF(H915="credit","NO install",IF(AND(K915="",AE915="me"),"EACH row",IF(AND(K915="images",AE915="me"),"EACH row",IF(D915="","",IF(H915="credit","",IF(AE915="free","re-planting",IF(AE915="me","   not ELP, by",IF(AND(OR(PlanterYesMe="Yes",PlanterYesMe="Y"),G915&gt;0),(VLOOKUP(A915,'Discount Lookup'!J:K,2)*G915*(1-PlanterDiscount)*(1+PlanterDifficultyPercentage)),IF(AE915="ELP",(VLOOKUP(A915,'Discount Lookup'!J:K,2)*G915*(1-PlanterDiscount)*(1+PlanterDifficultyPercentage)),IF(AE915="free","re-planting",IF(G915=0,"",IF(PlanterYesMe="",IF(AE915="me","   not ELP, by",IF(AE915="",IF(G915&gt;0,(VLOOKUP(A915,'Discount Lookup'!J:K,2)*G915*(1-PlanterDiscount)*(1+PlanterDifficultyPercentage)),""),"")),"   not ELP, by"))))))))))))))</f>
        <v/>
      </c>
      <c r="AD915" s="712"/>
      <c r="AE915" s="513" t="str">
        <f t="shared" si="627"/>
        <v/>
      </c>
      <c r="AF915" s="713" t="str">
        <f t="shared" si="628"/>
        <v/>
      </c>
      <c r="AG915" s="713"/>
      <c r="AH915" s="713"/>
      <c r="AI915" s="112">
        <f>IF(H915="credit",0,IF(AE915="free",0,IF(AE915="me",0,IF(G915&gt;0,(VLOOKUP(A915,'Discount Lookup'!J:K,2)*G915),0))))</f>
        <v>0</v>
      </c>
      <c r="AJ915" s="107" t="str">
        <f t="shared" ca="1" si="629"/>
        <v/>
      </c>
      <c r="AK915" s="714" t="str">
        <f t="shared" si="630"/>
        <v/>
      </c>
      <c r="AL915" s="714"/>
      <c r="AM915" s="114" t="str">
        <f t="shared" si="631"/>
        <v/>
      </c>
      <c r="AN915" s="115"/>
      <c r="AO915" s="116"/>
      <c r="AP915" s="116"/>
      <c r="AQ915" s="116"/>
      <c r="AR915" s="116"/>
      <c r="AS915" s="116"/>
      <c r="AT915" s="116"/>
      <c r="AU915" s="116"/>
      <c r="AV915" s="78"/>
      <c r="AW915" s="102"/>
      <c r="AX915" s="78"/>
      <c r="AY915" s="78"/>
      <c r="AZ915" s="78"/>
      <c r="BA915" s="78"/>
      <c r="BB915" s="78"/>
      <c r="BC915" s="78"/>
      <c r="BD915" s="78"/>
      <c r="BE915" s="465"/>
      <c r="BF915" s="165" t="str">
        <f t="shared" si="632"/>
        <v>https://www.google.com/search?tbm=isch&amp;q=All%20Plum%20Yews%20have%20fine-textured%20foliage%20with%20brown%2C%20scaly%20bark.%20Slow%20growing%2C%20heat%20and%20shade%20tolerant%20</v>
      </c>
      <c r="BG915" s="165" t="str">
        <f t="shared" si="633"/>
        <v>A</v>
      </c>
      <c r="BH915" s="65"/>
      <c r="BI915" s="65"/>
      <c r="BJ915" s="65"/>
      <c r="BK915" s="65"/>
      <c r="BL915" s="99"/>
      <c r="BM915" s="99"/>
      <c r="BN915" s="99"/>
    </row>
    <row r="916" spans="1:66" s="51" customFormat="1" ht="18" x14ac:dyDescent="0.25">
      <c r="A916" s="507" t="s">
        <v>1975</v>
      </c>
      <c r="B916" s="470"/>
      <c r="C916" s="706"/>
      <c r="D916" s="471" t="s">
        <v>1976</v>
      </c>
      <c r="E916" s="472"/>
      <c r="F916" s="472"/>
      <c r="G916" s="472"/>
      <c r="H916" s="622" t="s">
        <v>1977</v>
      </c>
      <c r="I916" s="473" t="s">
        <v>431</v>
      </c>
      <c r="J916" s="472"/>
      <c r="K916" s="472"/>
      <c r="L916" s="561"/>
      <c r="M916" s="703" t="s">
        <v>5260</v>
      </c>
      <c r="N916" s="692" t="str">
        <f>IF(AND(ISTEXT($A916), ISERROR($A916+0)), HYPERLINK($BF916, "Images"), "")</f>
        <v>Images</v>
      </c>
      <c r="O916" s="694" t="s">
        <v>5244</v>
      </c>
      <c r="P916" s="475"/>
      <c r="Q916" s="476"/>
      <c r="R916" s="476"/>
      <c r="S916" s="477"/>
      <c r="T916" s="102">
        <f t="shared" ref="T916:T979" si="667">E916*G916</f>
        <v>0</v>
      </c>
      <c r="U916" s="78" t="str">
        <f>IF(NOT(ISNUMBER(G916)), "", VLOOKUP(A916,'Discount Lookup'!D:E,2,FALSE)*G916)</f>
        <v/>
      </c>
      <c r="V916" s="78" t="str">
        <f>IF(NOT(ISNUMBER(G916)), "", VLOOKUP(A916,'Discount Lookup'!G:H,2,FALSE)*G916)</f>
        <v/>
      </c>
      <c r="W916" s="102">
        <f t="shared" ref="W916:W979" si="668">IF(H916="credit",0,E916*(SalesTaxPercentage)*G916)</f>
        <v>0</v>
      </c>
      <c r="X916" s="102" t="str">
        <f t="shared" ref="X916:X979" si="669">I916</f>
        <v>Dark Green foliage</v>
      </c>
      <c r="Y916" s="120" t="b">
        <f t="shared" ref="Y916:Y979" si="670">IF(AE916="T2G",0,IF(H916="credit",0,IF(G916&gt;0,IF(AE916="me","",G916))))</f>
        <v>0</v>
      </c>
      <c r="Z916" s="117">
        <f t="shared" ref="Z916:Z979" si="671">IF(H916="credit",G916,0)</f>
        <v>0</v>
      </c>
      <c r="AA916" s="118"/>
      <c r="AB916" s="118" t="str">
        <f t="shared" ref="AB916:AB979" si="672">IF(AE916="T2G","by Trees2Go",IF(H916="credit","CREDIT only ~",IF(AND(K916="",AE916=OR(PlanterYesMe="No",PlanterYesMe="N",PlanterYesMe="me")),"not THIS line⇨",IF(AND(K916="images",AE916="me"),"not THIS line⇨",IF(H916="credit","",IF(G916=0,"",IF(AE916="me","",IF(OR(PlanterYesMe="No",PlanterYesMe="N",PlanterYesMe="me"),"",IF(AE916="free","warranty",IF(OR(PlanterYesMe="yes",PlanterYesMe="y"),"Edison install:","to install:"))))))))))</f>
        <v/>
      </c>
      <c r="AC916" s="712" t="str">
        <f>IF(AE916="T2G","no charge",IF(AND(OR(PlanterYesMe="No",PlanterYesMe="N",PlanterYesMe="me"),H916=""),"",IF(H916="credit","NO install",IF(AND(K916="",AE916="me"),"EACH row",IF(AND(K916="images",AE916="me"),"EACH row",IF(D916="","",IF(H916="credit","",IF(AE916="free","re-planting",IF(AE916="me","   not ELP, by",IF(AND(OR(PlanterYesMe="Yes",PlanterYesMe="Y"),G916&gt;0),(VLOOKUP(A916,'Discount Lookup'!J:K,2)*G916*(1-PlanterDiscount)*(1+PlanterDifficultyPercentage)),IF(AE916="ELP",(VLOOKUP(A916,'Discount Lookup'!J:K,2)*G916*(1-PlanterDiscount)*(1+PlanterDifficultyPercentage)),IF(AE916="free","re-planting",IF(G916=0,"",IF(PlanterYesMe="",IF(AE916="me","   not ELP, by",IF(AE916="",IF(G916&gt;0,(VLOOKUP(A916,'Discount Lookup'!J:K,2)*G916*(1-PlanterDiscount)*(1+PlanterDifficultyPercentage)),""),"")),"   not ELP, by"))))))))))))))</f>
        <v/>
      </c>
      <c r="AD916" s="712"/>
      <c r="AE916" s="513" t="str">
        <f t="shared" ref="AE916:AE979" si="673">IF(H916="credit","",IF(G916=0,"",IF(OR(PlanterYesMe="No",PlanterYesMe="N",PlanterYesMe="me"),"me",IF(H916="warranty","free",IF(OR(PlanterYesMe="yes",PlanterYesMe="y"),"ELP","")))))</f>
        <v/>
      </c>
      <c r="AF916" s="713" t="str">
        <f t="shared" ref="AF916:AF979" si="674">IF(OR(PlanterYesMe="No",PlanterYesMe="N",PlanterYesMe="me"),"",IF(H916="credit","",IF(G916&gt;0,(CONCATENATE((G916)," quantity, ",(A916)," ",B916)),"")))</f>
        <v/>
      </c>
      <c r="AG916" s="713"/>
      <c r="AH916" s="713"/>
      <c r="AI916" s="112">
        <f>IF(H916="credit",0,IF(AE916="free",0,IF(AE916="me",0,IF(G916&gt;0,(VLOOKUP(A916,'Discount Lookup'!J:K,2)*G916),0))))</f>
        <v>0</v>
      </c>
      <c r="AJ916" s="107" t="str">
        <f t="shared" ref="AJ916:AJ979" ca="1" si="675">IF(AND(ISREF(H916),H916="credit"),"",IF(AND(AND(OFFSET(G916,0,0)=0,OFFSET(G916,1,0)&gt;0,ISNUMBER(OFFSET(AC916,1,0)),OFFSET(AC916,1,0)&gt;0),OR(PlanterYesMe="yes",PlanterYesMe="y")),"T2G+ELP=",IF(AND(OFFSET(G916,0,0)=0,OFFSET(G916,1,0)&gt;0,ISNUMBER(OFFSET(AC916,1,0)),OFFSET(AC916,1,0)&gt;0),"if T2G+ELP=",IF(AND(OFFSET(G916,0,0)=0,OFFSET(G916,1,0)&gt;0),"T2G Subtotal",IF(H916="credit","",IF(G916=0,"",IF(AE916="free",(K916*(1-T2GDiscount)),IF(OR(PlanterYesMe="No",PlanterYesMe="N",PlanterYesMe="me"),(K916*(1-T2GDiscount)),IF(OR(AE916="me",AE916="T2G"),(K916*(1-T2GDiscount)),(K916*(1-T2GDiscount))+AC916)))))))))</f>
        <v/>
      </c>
      <c r="AK916" s="714" t="str">
        <f t="shared" ref="AK916:AK979" si="676">IF(H916="credit","",IF(G916=0,"",IF(OR(AE916="me",AE916="T2G"),"  delivery-only",IF(OR(PlanterYesMe="No",PlanterYesMe="N",PlanterYesMe="me"),"  delivery-only",CONCATENATE(" $",ROUND(AJ916/G916,2)," each")))))</f>
        <v/>
      </c>
      <c r="AL916" s="714"/>
      <c r="AM916" s="114" t="str">
        <f t="shared" ref="AM916:AM979" si="677">IF(H916="credit","",IF(AE916="free","      ~ discounts included, no tax or planting fee applies ~",IF(G916=0,"",IF(OR(PlanterYesMe="No",PlanterYesMe="N",PlanterYesMe="me"),CONCATENATE(" $",ROUND(AJ916/G916,2)," per plant, with tax &amp; discount"),IF(OR(AE916="me",AE916="T2G"),CONCATENATE(" $",ROUND(AJ916/G916,2)," per plant, with tax &amp; discount"),CONCATENATE("= $",ROUND((K916*(1-T2GDiscount))/G916,2)," per plant + $",AC916/G916,(" per planting      ~ includes tax &amp; discounts ~")))))))</f>
        <v/>
      </c>
      <c r="AN916" s="115"/>
      <c r="AO916" s="116"/>
      <c r="AP916" s="116"/>
      <c r="AQ916" s="116"/>
      <c r="AR916" s="116"/>
      <c r="AS916" s="116"/>
      <c r="AT916" s="116"/>
      <c r="AU916" s="116"/>
      <c r="AV916" s="78"/>
      <c r="AW916" s="102"/>
      <c r="AX916" s="78"/>
      <c r="AY916" s="78"/>
      <c r="AZ916" s="78"/>
      <c r="BA916" s="78"/>
      <c r="BB916" s="78"/>
      <c r="BC916" s="78"/>
      <c r="BD916" s="78"/>
      <c r="BE916" s="465"/>
      <c r="BF916" s="165" t="str">
        <f t="shared" ref="BF916:BF979" si="678">"https://www.google.com/search?tbm=isch&amp;q=" &amp; _xlfn.ENCODEURL($A916 &amp; " " &amp; $D916)</f>
        <v>https://www.google.com/search?tbm=isch&amp;q=Cephalotaxus%20harringtonia%20%27Fastigiata%27%20Upright%20Japanese%20Plum%20Yew</v>
      </c>
      <c r="BG916" s="165" t="str">
        <f t="shared" ref="BG916:BG979" si="679">IF(ISTEXT(A916),LEFT(A916,1),BG915)</f>
        <v>C</v>
      </c>
      <c r="BH916" s="65"/>
      <c r="BI916" s="65"/>
      <c r="BJ916" s="65"/>
      <c r="BK916" s="65"/>
      <c r="BL916" s="99"/>
      <c r="BM916" s="99"/>
      <c r="BN916" s="99"/>
    </row>
    <row r="917" spans="1:66" s="51" customFormat="1" ht="15.75" x14ac:dyDescent="0.25">
      <c r="A917" s="478">
        <v>3</v>
      </c>
      <c r="B917" s="479" t="s">
        <v>291</v>
      </c>
      <c r="C917" s="480" t="s">
        <v>1689</v>
      </c>
      <c r="D917" s="481" t="s">
        <v>329</v>
      </c>
      <c r="E917" s="482">
        <v>37.950000000000003</v>
      </c>
      <c r="F917" s="483" t="s">
        <v>292</v>
      </c>
      <c r="G917" s="484">
        <v>0</v>
      </c>
      <c r="H917" s="688" t="str">
        <f>IF(G917=0,"",IF(F917="Buy",IF(G917=1,"plant","plants"),IF(F917&gt;0.01,"warranty","Error")))</f>
        <v/>
      </c>
      <c r="I917" s="485">
        <f>IF(H917="free",0,IF(H917="credit",((E917*(F917))*G917*-1),IF(F917="Buy",(E917*G917),((E917*(1-F917))*G917))))</f>
        <v>0</v>
      </c>
      <c r="J917" s="485">
        <f>IF(H917="warranty",0,(I917*(_xlfn.SINGLE(SalesTaxPercentage))))</f>
        <v>0</v>
      </c>
      <c r="K917" s="715">
        <f t="shared" ref="K917" si="680">I917+J917</f>
        <v>0</v>
      </c>
      <c r="L917" s="715"/>
      <c r="M917" s="689" t="str">
        <f ca="1">IF(AND(G917&gt;0,E917=0),"WARNING - no PRICE inserted",IF(H917="free","FREE ~ no charge this plant",IF(H917="credit",CONCATENATE("-$",ROUND(K917*(1-_xlfn.SINGLE(T2GDiscount))*-1,2)," CREDIT after discount"),IF(_xlfn.SINGLE(T2GDiscount)=0,"",IF(G917=0,"",IF(F917="Buy",CONCATENATE("$",ROUND(K917*(1-_xlfn.SINGLE(T2GDiscount)),2)," with ",(_xlfn.SINGLE(T2GDiscount)*100),"% discount"),CONCATENATE("$",ROUND(K917*(1-_xlfn.SINGLE(T2GDiscount)),2)," with ",((_xlfn.SINGLE(T2GDiscount)*100+F917*100)-(_xlfn.SINGLE(T2GDiscount)*100*F917)),IF(F917&gt;0,"% discounts",IF(_xlfn.SINGLE(NoWarrantyDiscount)&gt;0,"% discounts","% discount")))))))))</f>
        <v/>
      </c>
      <c r="N917" s="690"/>
      <c r="O917" s="486"/>
      <c r="P917" s="486"/>
      <c r="Q917" s="486"/>
      <c r="R917" s="486"/>
      <c r="S917" s="486"/>
      <c r="T917" s="102">
        <f t="shared" si="667"/>
        <v>0</v>
      </c>
      <c r="U917" s="78">
        <f>IF(NOT(ISNUMBER(G917)), "", VLOOKUP(A917,'Discount Lookup'!D:E,2,FALSE)*G917)</f>
        <v>0</v>
      </c>
      <c r="V917" s="78">
        <f>IF(NOT(ISNUMBER(G917)), "", VLOOKUP(A917,'Discount Lookup'!G:H,2,FALSE)*G917)</f>
        <v>0</v>
      </c>
      <c r="W917" s="102">
        <f t="shared" si="668"/>
        <v>0</v>
      </c>
      <c r="X917" s="102">
        <f t="shared" si="669"/>
        <v>0</v>
      </c>
      <c r="Y917" s="120" t="b">
        <f t="shared" si="670"/>
        <v>0</v>
      </c>
      <c r="Z917" s="117">
        <f t="shared" si="671"/>
        <v>0</v>
      </c>
      <c r="AA917" s="118"/>
      <c r="AB917" s="118" t="str">
        <f t="shared" si="672"/>
        <v/>
      </c>
      <c r="AC917" s="712" t="str">
        <f>IF(AE917="T2G","no charge",IF(AND(OR(PlanterYesMe="No",PlanterYesMe="N",PlanterYesMe="me"),H917=""),"",IF(H917="credit","NO install",IF(AND(K917="",AE917="me"),"EACH row",IF(AND(K917="images",AE917="me"),"EACH row",IF(D917="","",IF(H917="credit","",IF(AE917="free","re-planting",IF(AE917="me","   not ELP, by",IF(AND(OR(PlanterYesMe="Yes",PlanterYesMe="Y"),G917&gt;0),(VLOOKUP(A917,'Discount Lookup'!J:K,2)*G917*(1-PlanterDiscount)*(1+PlanterDifficultyPercentage)),IF(AE917="ELP",(VLOOKUP(A917,'Discount Lookup'!J:K,2)*G917*(1-PlanterDiscount)*(1+PlanterDifficultyPercentage)),IF(AE917="free","re-planting",IF(G917=0,"",IF(PlanterYesMe="",IF(AE917="me","   not ELP, by",IF(AE917="",IF(G917&gt;0,(VLOOKUP(A917,'Discount Lookup'!J:K,2)*G917*(1-PlanterDiscount)*(1+PlanterDifficultyPercentage)),""),"")),"   not ELP, by"))))))))))))))</f>
        <v/>
      </c>
      <c r="AD917" s="712"/>
      <c r="AE917" s="513" t="str">
        <f t="shared" si="673"/>
        <v/>
      </c>
      <c r="AF917" s="713" t="str">
        <f t="shared" si="674"/>
        <v/>
      </c>
      <c r="AG917" s="713"/>
      <c r="AH917" s="713"/>
      <c r="AI917" s="112">
        <f>IF(H917="credit",0,IF(AE917="free",0,IF(AE917="me",0,IF(G917&gt;0,(VLOOKUP(A917,'Discount Lookup'!J:K,2)*G917),0))))</f>
        <v>0</v>
      </c>
      <c r="AJ917" s="107" t="str">
        <f t="shared" ca="1" si="675"/>
        <v/>
      </c>
      <c r="AK917" s="714" t="str">
        <f t="shared" si="676"/>
        <v/>
      </c>
      <c r="AL917" s="714"/>
      <c r="AM917" s="114" t="str">
        <f t="shared" si="677"/>
        <v/>
      </c>
      <c r="AN917" s="115"/>
      <c r="AO917" s="116"/>
      <c r="AP917" s="116"/>
      <c r="AQ917" s="116"/>
      <c r="AR917" s="116"/>
      <c r="AS917" s="116"/>
      <c r="AT917" s="116"/>
      <c r="AU917" s="116"/>
      <c r="AV917" s="78"/>
      <c r="AW917" s="102"/>
      <c r="AX917" s="78"/>
      <c r="AY917" s="78"/>
      <c r="AZ917" s="78"/>
      <c r="BA917" s="78"/>
      <c r="BB917" s="78"/>
      <c r="BC917" s="78"/>
      <c r="BD917" s="78"/>
      <c r="BE917" s="465"/>
      <c r="BF917" s="165" t="str">
        <f t="shared" si="678"/>
        <v>https://www.google.com/search?tbm=isch&amp;q=3%20G2</v>
      </c>
      <c r="BG917" s="165" t="str">
        <f t="shared" si="679"/>
        <v>C</v>
      </c>
      <c r="BH917" s="65"/>
      <c r="BI917" s="65"/>
      <c r="BJ917" s="65"/>
      <c r="BK917" s="65"/>
      <c r="BL917" s="99"/>
      <c r="BM917" s="99"/>
      <c r="BN917" s="99"/>
    </row>
    <row r="918" spans="1:66" s="51" customFormat="1" ht="27" x14ac:dyDescent="0.25">
      <c r="A918" s="478">
        <v>7</v>
      </c>
      <c r="B918" s="479" t="s">
        <v>291</v>
      </c>
      <c r="C918" s="480" t="s">
        <v>1978</v>
      </c>
      <c r="D918" s="481" t="s">
        <v>299</v>
      </c>
      <c r="E918" s="482">
        <v>111.95</v>
      </c>
      <c r="F918" s="483" t="s">
        <v>292</v>
      </c>
      <c r="G918" s="484">
        <v>0</v>
      </c>
      <c r="H918" s="688" t="str">
        <f>IF(G918=0,"",IF(F918="Buy",IF(G918=1,"plant","plants"),IF(F918&gt;0.01,"warranty","Error")))</f>
        <v/>
      </c>
      <c r="I918" s="485">
        <f>IF(H918="free",0,IF(H918="credit",((E918*(F918))*G918*-1),IF(F918="Buy",(E918*G918),((E918*(1-F918))*G918))))</f>
        <v>0</v>
      </c>
      <c r="J918" s="485">
        <f>IF(H918="warranty",0,(I918*(_xlfn.SINGLE(SalesTaxPercentage))))</f>
        <v>0</v>
      </c>
      <c r="K918" s="715">
        <f t="shared" ref="K918" si="681">I918+J918</f>
        <v>0</v>
      </c>
      <c r="L918" s="715"/>
      <c r="M918" s="689" t="str">
        <f ca="1">IF(AND(G918&gt;0,E918=0),"WARNING - no PRICE inserted",IF(H918="free","FREE ~ no charge this plant",IF(H918="credit",CONCATENATE("-$",ROUND(K918*(1-_xlfn.SINGLE(T2GDiscount))*-1,2)," CREDIT after discount"),IF(_xlfn.SINGLE(T2GDiscount)=0,"",IF(G918=0,"",IF(F918="Buy",CONCATENATE("$",ROUND(K918*(1-_xlfn.SINGLE(T2GDiscount)),2)," with ",(_xlfn.SINGLE(T2GDiscount)*100),"% discount"),CONCATENATE("$",ROUND(K918*(1-_xlfn.SINGLE(T2GDiscount)),2)," with ",((_xlfn.SINGLE(T2GDiscount)*100+F918*100)-(_xlfn.SINGLE(T2GDiscount)*100*F918)),IF(F918&gt;0,"% discounts",IF(_xlfn.SINGLE(NoWarrantyDiscount)&gt;0,"% discounts","% discount")))))))))</f>
        <v/>
      </c>
      <c r="N918" s="690"/>
      <c r="O918" s="486"/>
      <c r="P918" s="486"/>
      <c r="Q918" s="486"/>
      <c r="R918" s="486"/>
      <c r="S918" s="486"/>
      <c r="T918" s="102">
        <f t="shared" si="667"/>
        <v>0</v>
      </c>
      <c r="U918" s="78">
        <f>IF(NOT(ISNUMBER(G918)), "", VLOOKUP(A918,'Discount Lookup'!D:E,2,FALSE)*G918)</f>
        <v>0</v>
      </c>
      <c r="V918" s="78">
        <f>IF(NOT(ISNUMBER(G918)), "", VLOOKUP(A918,'Discount Lookup'!G:H,2,FALSE)*G918)</f>
        <v>0</v>
      </c>
      <c r="W918" s="102">
        <f t="shared" si="668"/>
        <v>0</v>
      </c>
      <c r="X918" s="102">
        <f t="shared" si="669"/>
        <v>0</v>
      </c>
      <c r="Y918" s="120" t="b">
        <f t="shared" si="670"/>
        <v>0</v>
      </c>
      <c r="Z918" s="117">
        <f t="shared" si="671"/>
        <v>0</v>
      </c>
      <c r="AA918" s="118"/>
      <c r="AB918" s="118" t="str">
        <f t="shared" si="672"/>
        <v/>
      </c>
      <c r="AC918" s="712" t="str">
        <f>IF(AE918="T2G","no charge",IF(AND(OR(PlanterYesMe="No",PlanterYesMe="N",PlanterYesMe="me"),H918=""),"",IF(H918="credit","NO install",IF(AND(K918="",AE918="me"),"EACH row",IF(AND(K918="images",AE918="me"),"EACH row",IF(D918="","",IF(H918="credit","",IF(AE918="free","re-planting",IF(AE918="me","   not ELP, by",IF(AND(OR(PlanterYesMe="Yes",PlanterYesMe="Y"),G918&gt;0),(VLOOKUP(A918,'Discount Lookup'!J:K,2)*G918*(1-PlanterDiscount)*(1+PlanterDifficultyPercentage)),IF(AE918="ELP",(VLOOKUP(A918,'Discount Lookup'!J:K,2)*G918*(1-PlanterDiscount)*(1+PlanterDifficultyPercentage)),IF(AE918="free","re-planting",IF(G918=0,"",IF(PlanterYesMe="",IF(AE918="me","   not ELP, by",IF(AE918="",IF(G918&gt;0,(VLOOKUP(A918,'Discount Lookup'!J:K,2)*G918*(1-PlanterDiscount)*(1+PlanterDifficultyPercentage)),""),"")),"   not ELP, by"))))))))))))))</f>
        <v/>
      </c>
      <c r="AD918" s="712"/>
      <c r="AE918" s="513" t="str">
        <f t="shared" si="673"/>
        <v/>
      </c>
      <c r="AF918" s="713" t="str">
        <f t="shared" si="674"/>
        <v/>
      </c>
      <c r="AG918" s="713"/>
      <c r="AH918" s="713"/>
      <c r="AI918" s="112">
        <f>IF(H918="credit",0,IF(AE918="free",0,IF(AE918="me",0,IF(G918&gt;0,(VLOOKUP(A918,'Discount Lookup'!J:K,2)*G918),0))))</f>
        <v>0</v>
      </c>
      <c r="AJ918" s="107" t="str">
        <f t="shared" ca="1" si="675"/>
        <v/>
      </c>
      <c r="AK918" s="714" t="str">
        <f t="shared" si="676"/>
        <v/>
      </c>
      <c r="AL918" s="714"/>
      <c r="AM918" s="114" t="str">
        <f t="shared" si="677"/>
        <v/>
      </c>
      <c r="AN918" s="115"/>
      <c r="AO918" s="116"/>
      <c r="AP918" s="116"/>
      <c r="AQ918" s="116"/>
      <c r="AR918" s="116"/>
      <c r="AS918" s="116"/>
      <c r="AT918" s="116"/>
      <c r="AU918" s="116"/>
      <c r="AV918" s="78"/>
      <c r="AW918" s="102"/>
      <c r="AX918" s="78"/>
      <c r="AY918" s="78"/>
      <c r="AZ918" s="78"/>
      <c r="BA918" s="78"/>
      <c r="BB918" s="78"/>
      <c r="BC918" s="78"/>
      <c r="BD918" s="78"/>
      <c r="BE918" s="465"/>
      <c r="BF918" s="165" t="str">
        <f t="shared" si="678"/>
        <v>https://www.google.com/search?tbm=isch&amp;q=7%20G4</v>
      </c>
      <c r="BG918" s="165" t="str">
        <f t="shared" si="679"/>
        <v>C</v>
      </c>
      <c r="BH918" s="65"/>
      <c r="BI918" s="65"/>
      <c r="BJ918" s="65"/>
      <c r="BK918" s="65"/>
      <c r="BL918" s="99"/>
      <c r="BM918" s="99"/>
      <c r="BN918" s="99"/>
    </row>
    <row r="919" spans="1:66" s="51" customFormat="1" ht="15.75" x14ac:dyDescent="0.25">
      <c r="A919" s="478">
        <v>7</v>
      </c>
      <c r="B919" s="479" t="s">
        <v>291</v>
      </c>
      <c r="C919" s="480" t="s">
        <v>1979</v>
      </c>
      <c r="D919" s="481" t="s">
        <v>293</v>
      </c>
      <c r="E919" s="482">
        <v>127.95</v>
      </c>
      <c r="F919" s="483" t="s">
        <v>292</v>
      </c>
      <c r="G919" s="484">
        <v>0</v>
      </c>
      <c r="H919" s="688" t="str">
        <f>IF(G919=0,"",IF(F919="Buy",IF(G919=1,"plant","plants"),IF(F919&gt;0.01,"warranty","Error")))</f>
        <v/>
      </c>
      <c r="I919" s="485">
        <f>IF(H919="free",0,IF(H919="credit",((E919*(F919))*G919*-1),IF(F919="Buy",(E919*G919),((E919*(1-F919))*G919))))</f>
        <v>0</v>
      </c>
      <c r="J919" s="485">
        <f>IF(H919="warranty",0,(I919*(_xlfn.SINGLE(SalesTaxPercentage))))</f>
        <v>0</v>
      </c>
      <c r="K919" s="715">
        <f t="shared" ref="K919" si="682">I919+J919</f>
        <v>0</v>
      </c>
      <c r="L919" s="715"/>
      <c r="M919" s="689" t="str">
        <f ca="1">IF(AND(G919&gt;0,E919=0),"WARNING - no PRICE inserted",IF(H919="free","FREE ~ no charge this plant",IF(H919="credit",CONCATENATE("-$",ROUND(K919*(1-_xlfn.SINGLE(T2GDiscount))*-1,2)," CREDIT after discount"),IF(_xlfn.SINGLE(T2GDiscount)=0,"",IF(G919=0,"",IF(F919="Buy",CONCATENATE("$",ROUND(K919*(1-_xlfn.SINGLE(T2GDiscount)),2)," with ",(_xlfn.SINGLE(T2GDiscount)*100),"% discount"),CONCATENATE("$",ROUND(K919*(1-_xlfn.SINGLE(T2GDiscount)),2)," with ",((_xlfn.SINGLE(T2GDiscount)*100+F919*100)-(_xlfn.SINGLE(T2GDiscount)*100*F919)),IF(F919&gt;0,"% discounts",IF(_xlfn.SINGLE(NoWarrantyDiscount)&gt;0,"% discounts","% discount")))))))))</f>
        <v/>
      </c>
      <c r="N919" s="690"/>
      <c r="O919" s="486"/>
      <c r="P919" s="486"/>
      <c r="Q919" s="486"/>
      <c r="R919" s="486"/>
      <c r="S919" s="486"/>
      <c r="T919" s="102">
        <f t="shared" si="667"/>
        <v>0</v>
      </c>
      <c r="U919" s="78">
        <f>IF(NOT(ISNUMBER(G919)), "", VLOOKUP(A919,'Discount Lookup'!D:E,2,FALSE)*G919)</f>
        <v>0</v>
      </c>
      <c r="V919" s="78">
        <f>IF(NOT(ISNUMBER(G919)), "", VLOOKUP(A919,'Discount Lookup'!G:H,2,FALSE)*G919)</f>
        <v>0</v>
      </c>
      <c r="W919" s="102">
        <f t="shared" si="668"/>
        <v>0</v>
      </c>
      <c r="X919" s="102">
        <f t="shared" si="669"/>
        <v>0</v>
      </c>
      <c r="Y919" s="120" t="b">
        <f t="shared" si="670"/>
        <v>0</v>
      </c>
      <c r="Z919" s="117">
        <f t="shared" si="671"/>
        <v>0</v>
      </c>
      <c r="AA919" s="118"/>
      <c r="AB919" s="118" t="str">
        <f t="shared" si="672"/>
        <v/>
      </c>
      <c r="AC919" s="712" t="str">
        <f>IF(AE919="T2G","no charge",IF(AND(OR(PlanterYesMe="No",PlanterYesMe="N",PlanterYesMe="me"),H919=""),"",IF(H919="credit","NO install",IF(AND(K919="",AE919="me"),"EACH row",IF(AND(K919="images",AE919="me"),"EACH row",IF(D919="","",IF(H919="credit","",IF(AE919="free","re-planting",IF(AE919="me","   not ELP, by",IF(AND(OR(PlanterYesMe="Yes",PlanterYesMe="Y"),G919&gt;0),(VLOOKUP(A919,'Discount Lookup'!J:K,2)*G919*(1-PlanterDiscount)*(1+PlanterDifficultyPercentage)),IF(AE919="ELP",(VLOOKUP(A919,'Discount Lookup'!J:K,2)*G919*(1-PlanterDiscount)*(1+PlanterDifficultyPercentage)),IF(AE919="free","re-planting",IF(G919=0,"",IF(PlanterYesMe="",IF(AE919="me","   not ELP, by",IF(AE919="",IF(G919&gt;0,(VLOOKUP(A919,'Discount Lookup'!J:K,2)*G919*(1-PlanterDiscount)*(1+PlanterDifficultyPercentage)),""),"")),"   not ELP, by"))))))))))))))</f>
        <v/>
      </c>
      <c r="AD919" s="712"/>
      <c r="AE919" s="513" t="str">
        <f t="shared" si="673"/>
        <v/>
      </c>
      <c r="AF919" s="713" t="str">
        <f t="shared" si="674"/>
        <v/>
      </c>
      <c r="AG919" s="713"/>
      <c r="AH919" s="713"/>
      <c r="AI919" s="112">
        <f>IF(H919="credit",0,IF(AE919="free",0,IF(AE919="me",0,IF(G919&gt;0,(VLOOKUP(A919,'Discount Lookup'!J:K,2)*G919),0))))</f>
        <v>0</v>
      </c>
      <c r="AJ919" s="107" t="str">
        <f t="shared" ca="1" si="675"/>
        <v/>
      </c>
      <c r="AK919" s="714" t="str">
        <f t="shared" si="676"/>
        <v/>
      </c>
      <c r="AL919" s="714"/>
      <c r="AM919" s="114" t="str">
        <f t="shared" si="677"/>
        <v/>
      </c>
      <c r="AN919" s="115"/>
      <c r="AO919" s="116"/>
      <c r="AP919" s="116"/>
      <c r="AQ919" s="116"/>
      <c r="AR919" s="116"/>
      <c r="AS919" s="116"/>
      <c r="AT919" s="116"/>
      <c r="AU919" s="116"/>
      <c r="AV919" s="78"/>
      <c r="AW919" s="102"/>
      <c r="AX919" s="78"/>
      <c r="AY919" s="78"/>
      <c r="AZ919" s="78"/>
      <c r="BA919" s="78"/>
      <c r="BB919" s="78"/>
      <c r="BC919" s="78"/>
      <c r="BD919" s="78"/>
      <c r="BE919" s="465"/>
      <c r="BF919" s="165" t="str">
        <f t="shared" si="678"/>
        <v>https://www.google.com/search?tbm=isch&amp;q=7%20G6</v>
      </c>
      <c r="BG919" s="165" t="str">
        <f t="shared" si="679"/>
        <v>C</v>
      </c>
      <c r="BH919" s="65"/>
      <c r="BI919" s="65"/>
      <c r="BJ919" s="65"/>
      <c r="BK919" s="65"/>
      <c r="BL919" s="99"/>
      <c r="BM919" s="99"/>
      <c r="BN919" s="99"/>
    </row>
    <row r="920" spans="1:66" s="51" customFormat="1" ht="15.75" x14ac:dyDescent="0.25">
      <c r="A920" s="478">
        <v>15</v>
      </c>
      <c r="B920" s="479" t="s">
        <v>291</v>
      </c>
      <c r="C920" s="480" t="s">
        <v>1980</v>
      </c>
      <c r="D920" s="481" t="s">
        <v>293</v>
      </c>
      <c r="E920" s="482">
        <v>272.95</v>
      </c>
      <c r="F920" s="483" t="s">
        <v>292</v>
      </c>
      <c r="G920" s="484">
        <v>0</v>
      </c>
      <c r="H920" s="688" t="str">
        <f>IF(G920=0,"",IF(F920="Buy",IF(G920=1,"plant","plants"),IF(F920&gt;0.01,"warranty","Error")))</f>
        <v/>
      </c>
      <c r="I920" s="485">
        <f>IF(H920="free",0,IF(H920="credit",((E920*(F920))*G920*-1),IF(F920="Buy",(E920*G920),((E920*(1-F920))*G920))))</f>
        <v>0</v>
      </c>
      <c r="J920" s="485">
        <f>IF(H920="warranty",0,(I920*(_xlfn.SINGLE(SalesTaxPercentage))))</f>
        <v>0</v>
      </c>
      <c r="K920" s="715">
        <f t="shared" ref="K920" si="683">I920+J920</f>
        <v>0</v>
      </c>
      <c r="L920" s="715"/>
      <c r="M920" s="689" t="str">
        <f ca="1">IF(AND(G920&gt;0,E920=0),"WARNING - no PRICE inserted",IF(H920="free","FREE ~ no charge this plant",IF(H920="credit",CONCATENATE("-$",ROUND(K920*(1-_xlfn.SINGLE(T2GDiscount))*-1,2)," CREDIT after discount"),IF(_xlfn.SINGLE(T2GDiscount)=0,"",IF(G920=0,"",IF(F920="Buy",CONCATENATE("$",ROUND(K920*(1-_xlfn.SINGLE(T2GDiscount)),2)," with ",(_xlfn.SINGLE(T2GDiscount)*100),"% discount"),CONCATENATE("$",ROUND(K920*(1-_xlfn.SINGLE(T2GDiscount)),2)," with ",((_xlfn.SINGLE(T2GDiscount)*100+F920*100)-(_xlfn.SINGLE(T2GDiscount)*100*F920)),IF(F920&gt;0,"% discounts",IF(_xlfn.SINGLE(NoWarrantyDiscount)&gt;0,"% discounts","% discount")))))))))</f>
        <v/>
      </c>
      <c r="N920" s="690"/>
      <c r="O920" s="486"/>
      <c r="P920" s="486"/>
      <c r="Q920" s="486"/>
      <c r="R920" s="486"/>
      <c r="S920" s="486"/>
      <c r="T920" s="102">
        <f t="shared" si="667"/>
        <v>0</v>
      </c>
      <c r="U920" s="78">
        <f>IF(NOT(ISNUMBER(G920)), "", VLOOKUP(A920,'Discount Lookup'!D:E,2,FALSE)*G920)</f>
        <v>0</v>
      </c>
      <c r="V920" s="78">
        <f>IF(NOT(ISNUMBER(G920)), "", VLOOKUP(A920,'Discount Lookup'!G:H,2,FALSE)*G920)</f>
        <v>0</v>
      </c>
      <c r="W920" s="102">
        <f t="shared" si="668"/>
        <v>0</v>
      </c>
      <c r="X920" s="102">
        <f t="shared" si="669"/>
        <v>0</v>
      </c>
      <c r="Y920" s="120" t="b">
        <f t="shared" si="670"/>
        <v>0</v>
      </c>
      <c r="Z920" s="117">
        <f t="shared" si="671"/>
        <v>0</v>
      </c>
      <c r="AA920" s="118"/>
      <c r="AB920" s="118" t="str">
        <f t="shared" si="672"/>
        <v/>
      </c>
      <c r="AC920" s="712" t="str">
        <f>IF(AE920="T2G","no charge",IF(AND(OR(PlanterYesMe="No",PlanterYesMe="N",PlanterYesMe="me"),H920=""),"",IF(H920="credit","NO install",IF(AND(K920="",AE920="me"),"EACH row",IF(AND(K920="images",AE920="me"),"EACH row",IF(D920="","",IF(H920="credit","",IF(AE920="free","re-planting",IF(AE920="me","   not ELP, by",IF(AND(OR(PlanterYesMe="Yes",PlanterYesMe="Y"),G920&gt;0),(VLOOKUP(A920,'Discount Lookup'!J:K,2)*G920*(1-PlanterDiscount)*(1+PlanterDifficultyPercentage)),IF(AE920="ELP",(VLOOKUP(A920,'Discount Lookup'!J:K,2)*G920*(1-PlanterDiscount)*(1+PlanterDifficultyPercentage)),IF(AE920="free","re-planting",IF(G920=0,"",IF(PlanterYesMe="",IF(AE920="me","   not ELP, by",IF(AE920="",IF(G920&gt;0,(VLOOKUP(A920,'Discount Lookup'!J:K,2)*G920*(1-PlanterDiscount)*(1+PlanterDifficultyPercentage)),""),"")),"   not ELP, by"))))))))))))))</f>
        <v/>
      </c>
      <c r="AD920" s="712"/>
      <c r="AE920" s="513" t="str">
        <f t="shared" si="673"/>
        <v/>
      </c>
      <c r="AF920" s="713" t="str">
        <f t="shared" si="674"/>
        <v/>
      </c>
      <c r="AG920" s="713"/>
      <c r="AH920" s="713"/>
      <c r="AI920" s="112">
        <f>IF(H920="credit",0,IF(AE920="free",0,IF(AE920="me",0,IF(G920&gt;0,(VLOOKUP(A920,'Discount Lookup'!J:K,2)*G920),0))))</f>
        <v>0</v>
      </c>
      <c r="AJ920" s="107" t="str">
        <f t="shared" ca="1" si="675"/>
        <v/>
      </c>
      <c r="AK920" s="714" t="str">
        <f t="shared" si="676"/>
        <v/>
      </c>
      <c r="AL920" s="714"/>
      <c r="AM920" s="114" t="str">
        <f t="shared" si="677"/>
        <v/>
      </c>
      <c r="AN920" s="115"/>
      <c r="AO920" s="116"/>
      <c r="AP920" s="116"/>
      <c r="AQ920" s="116"/>
      <c r="AR920" s="116"/>
      <c r="AS920" s="116"/>
      <c r="AT920" s="116"/>
      <c r="AU920" s="116"/>
      <c r="AV920" s="78"/>
      <c r="AW920" s="102"/>
      <c r="AX920" s="78"/>
      <c r="AY920" s="78"/>
      <c r="AZ920" s="78"/>
      <c r="BA920" s="78"/>
      <c r="BB920" s="78"/>
      <c r="BC920" s="78"/>
      <c r="BD920" s="78"/>
      <c r="BE920" s="465"/>
      <c r="BF920" s="165" t="str">
        <f t="shared" si="678"/>
        <v>https://www.google.com/search?tbm=isch&amp;q=15%20G6</v>
      </c>
      <c r="BG920" s="165" t="str">
        <f t="shared" si="679"/>
        <v>C</v>
      </c>
      <c r="BH920" s="65"/>
      <c r="BI920" s="65"/>
      <c r="BJ920" s="65"/>
      <c r="BK920" s="65"/>
      <c r="BL920" s="99"/>
      <c r="BM920" s="99"/>
      <c r="BN920" s="99"/>
    </row>
    <row r="921" spans="1:66" s="51" customFormat="1" ht="17.25" thickBot="1" x14ac:dyDescent="0.3">
      <c r="A921" s="508" t="s">
        <v>1971</v>
      </c>
      <c r="B921" s="487"/>
      <c r="C921" s="707"/>
      <c r="D921" s="487"/>
      <c r="E921" s="487"/>
      <c r="F921" s="488"/>
      <c r="G921" s="489"/>
      <c r="H921" s="487"/>
      <c r="I921" s="490"/>
      <c r="J921" s="490"/>
      <c r="K921" s="491"/>
      <c r="L921" s="547"/>
      <c r="M921" s="528"/>
      <c r="N921" s="492"/>
      <c r="O921" s="493"/>
      <c r="P921" s="494"/>
      <c r="Q921" s="492"/>
      <c r="R921" s="492"/>
      <c r="S921" s="699" t="s">
        <v>5278</v>
      </c>
      <c r="T921" s="102">
        <f t="shared" si="667"/>
        <v>0</v>
      </c>
      <c r="U921" s="78" t="str">
        <f>IF(NOT(ISNUMBER(G921)), "", VLOOKUP(A921,'Discount Lookup'!D:E,2,FALSE)*G921)</f>
        <v/>
      </c>
      <c r="V921" s="78" t="str">
        <f>IF(NOT(ISNUMBER(G921)), "", VLOOKUP(A921,'Discount Lookup'!G:H,2,FALSE)*G921)</f>
        <v/>
      </c>
      <c r="W921" s="102">
        <f t="shared" si="668"/>
        <v>0</v>
      </c>
      <c r="X921" s="102">
        <f t="shared" si="669"/>
        <v>0</v>
      </c>
      <c r="Y921" s="120" t="b">
        <f t="shared" si="670"/>
        <v>0</v>
      </c>
      <c r="Z921" s="117">
        <f t="shared" si="671"/>
        <v>0</v>
      </c>
      <c r="AA921" s="118"/>
      <c r="AB921" s="118" t="str">
        <f t="shared" si="672"/>
        <v/>
      </c>
      <c r="AC921" s="712" t="str">
        <f>IF(AE921="T2G","no charge",IF(AND(OR(PlanterYesMe="No",PlanterYesMe="N",PlanterYesMe="me"),H921=""),"",IF(H921="credit","NO install",IF(AND(K921="",AE921="me"),"EACH row",IF(AND(K921="images",AE921="me"),"EACH row",IF(D921="","",IF(H921="credit","",IF(AE921="free","re-planting",IF(AE921="me","   not ELP, by",IF(AND(OR(PlanterYesMe="Yes",PlanterYesMe="Y"),G921&gt;0),(VLOOKUP(A921,'Discount Lookup'!J:K,2)*G921*(1-PlanterDiscount)*(1+PlanterDifficultyPercentage)),IF(AE921="ELP",(VLOOKUP(A921,'Discount Lookup'!J:K,2)*G921*(1-PlanterDiscount)*(1+PlanterDifficultyPercentage)),IF(AE921="free","re-planting",IF(G921=0,"",IF(PlanterYesMe="",IF(AE921="me","   not ELP, by",IF(AE921="",IF(G921&gt;0,(VLOOKUP(A921,'Discount Lookup'!J:K,2)*G921*(1-PlanterDiscount)*(1+PlanterDifficultyPercentage)),""),"")),"   not ELP, by"))))))))))))))</f>
        <v/>
      </c>
      <c r="AD921" s="712"/>
      <c r="AE921" s="513" t="str">
        <f t="shared" si="673"/>
        <v/>
      </c>
      <c r="AF921" s="713" t="str">
        <f t="shared" si="674"/>
        <v/>
      </c>
      <c r="AG921" s="713"/>
      <c r="AH921" s="713"/>
      <c r="AI921" s="112">
        <f>IF(H921="credit",0,IF(AE921="free",0,IF(AE921="me",0,IF(G921&gt;0,(VLOOKUP(A921,'Discount Lookup'!J:K,2)*G921),0))))</f>
        <v>0</v>
      </c>
      <c r="AJ921" s="107" t="str">
        <f t="shared" ca="1" si="675"/>
        <v/>
      </c>
      <c r="AK921" s="714" t="str">
        <f t="shared" si="676"/>
        <v/>
      </c>
      <c r="AL921" s="714"/>
      <c r="AM921" s="114" t="str">
        <f t="shared" si="677"/>
        <v/>
      </c>
      <c r="AN921" s="115"/>
      <c r="AO921" s="116"/>
      <c r="AP921" s="116"/>
      <c r="AQ921" s="116"/>
      <c r="AR921" s="116"/>
      <c r="AS921" s="116"/>
      <c r="AT921" s="116"/>
      <c r="AU921" s="116"/>
      <c r="AV921" s="78"/>
      <c r="AW921" s="102"/>
      <c r="AX921" s="78"/>
      <c r="AY921" s="78"/>
      <c r="AZ921" s="78"/>
      <c r="BA921" s="78"/>
      <c r="BB921" s="78"/>
      <c r="BC921" s="78"/>
      <c r="BD921" s="78"/>
      <c r="BE921" s="465"/>
      <c r="BF921" s="165" t="str">
        <f t="shared" si="678"/>
        <v>https://www.google.com/search?tbm=isch&amp;q=All%20Plum%20Yews%20have%20fine-textured%20foliage%20with%20brown%2C%20scaly%20bark.%20Slow%20growing%2C%20heat%20and%20shade%20tolerant%20</v>
      </c>
      <c r="BG921" s="165" t="str">
        <f t="shared" si="679"/>
        <v>A</v>
      </c>
      <c r="BH921" s="65"/>
      <c r="BI921" s="65"/>
      <c r="BJ921" s="65"/>
      <c r="BK921" s="65"/>
      <c r="BL921" s="99"/>
      <c r="BM921" s="99"/>
      <c r="BN921" s="99"/>
    </row>
    <row r="922" spans="1:66" s="51" customFormat="1" ht="18" x14ac:dyDescent="0.25">
      <c r="A922" s="507" t="s">
        <v>1981</v>
      </c>
      <c r="B922" s="470"/>
      <c r="C922" s="706"/>
      <c r="D922" s="471" t="s">
        <v>1982</v>
      </c>
      <c r="E922" s="472"/>
      <c r="F922" s="472"/>
      <c r="G922" s="472"/>
      <c r="H922" s="622" t="s">
        <v>1088</v>
      </c>
      <c r="I922" s="473" t="s">
        <v>1983</v>
      </c>
      <c r="J922" s="472"/>
      <c r="K922" s="472"/>
      <c r="L922" s="561"/>
      <c r="M922" s="703" t="s">
        <v>5260</v>
      </c>
      <c r="N922" s="692" t="str">
        <f>IF(AND(ISTEXT($A922), ISERROR($A922+0)), HYPERLINK($BF922, "Images"), "")</f>
        <v>Images</v>
      </c>
      <c r="O922" s="694" t="s">
        <v>5244</v>
      </c>
      <c r="P922" s="475"/>
      <c r="Q922" s="476"/>
      <c r="R922" s="476"/>
      <c r="S922" s="477"/>
      <c r="T922" s="102">
        <f t="shared" si="667"/>
        <v>0</v>
      </c>
      <c r="U922" s="78" t="str">
        <f>IF(NOT(ISNUMBER(G922)), "", VLOOKUP(A922,'Discount Lookup'!D:E,2,FALSE)*G922)</f>
        <v/>
      </c>
      <c r="V922" s="78" t="str">
        <f>IF(NOT(ISNUMBER(G922)), "", VLOOKUP(A922,'Discount Lookup'!G:H,2,FALSE)*G922)</f>
        <v/>
      </c>
      <c r="W922" s="102">
        <f t="shared" si="668"/>
        <v>0</v>
      </c>
      <c r="X922" s="102" t="str">
        <f t="shared" si="669"/>
        <v>Emerald Green foliage</v>
      </c>
      <c r="Y922" s="120" t="b">
        <f t="shared" si="670"/>
        <v>0</v>
      </c>
      <c r="Z922" s="117">
        <f t="shared" si="671"/>
        <v>0</v>
      </c>
      <c r="AA922" s="118"/>
      <c r="AB922" s="118" t="str">
        <f t="shared" si="672"/>
        <v/>
      </c>
      <c r="AC922" s="712" t="str">
        <f>IF(AE922="T2G","no charge",IF(AND(OR(PlanterYesMe="No",PlanterYesMe="N",PlanterYesMe="me"),H922=""),"",IF(H922="credit","NO install",IF(AND(K922="",AE922="me"),"EACH row",IF(AND(K922="images",AE922="me"),"EACH row",IF(D922="","",IF(H922="credit","",IF(AE922="free","re-planting",IF(AE922="me","   not ELP, by",IF(AND(OR(PlanterYesMe="Yes",PlanterYesMe="Y"),G922&gt;0),(VLOOKUP(A922,'Discount Lookup'!J:K,2)*G922*(1-PlanterDiscount)*(1+PlanterDifficultyPercentage)),IF(AE922="ELP",(VLOOKUP(A922,'Discount Lookup'!J:K,2)*G922*(1-PlanterDiscount)*(1+PlanterDifficultyPercentage)),IF(AE922="free","re-planting",IF(G922=0,"",IF(PlanterYesMe="",IF(AE922="me","   not ELP, by",IF(AE922="",IF(G922&gt;0,(VLOOKUP(A922,'Discount Lookup'!J:K,2)*G922*(1-PlanterDiscount)*(1+PlanterDifficultyPercentage)),""),"")),"   not ELP, by"))))))))))))))</f>
        <v/>
      </c>
      <c r="AD922" s="712"/>
      <c r="AE922" s="513" t="str">
        <f t="shared" si="673"/>
        <v/>
      </c>
      <c r="AF922" s="713" t="str">
        <f t="shared" si="674"/>
        <v/>
      </c>
      <c r="AG922" s="713"/>
      <c r="AH922" s="713"/>
      <c r="AI922" s="112">
        <f>IF(H922="credit",0,IF(AE922="free",0,IF(AE922="me",0,IF(G922&gt;0,(VLOOKUP(A922,'Discount Lookup'!J:K,2)*G922),0))))</f>
        <v>0</v>
      </c>
      <c r="AJ922" s="107" t="str">
        <f t="shared" ca="1" si="675"/>
        <v/>
      </c>
      <c r="AK922" s="714" t="str">
        <f t="shared" si="676"/>
        <v/>
      </c>
      <c r="AL922" s="714"/>
      <c r="AM922" s="114" t="str">
        <f t="shared" si="677"/>
        <v/>
      </c>
      <c r="AN922" s="115"/>
      <c r="AO922" s="116"/>
      <c r="AP922" s="116"/>
      <c r="AQ922" s="116"/>
      <c r="AR922" s="116"/>
      <c r="AS922" s="116"/>
      <c r="AT922" s="116"/>
      <c r="AU922" s="116"/>
      <c r="AV922" s="78"/>
      <c r="AW922" s="102"/>
      <c r="AX922" s="78"/>
      <c r="AY922" s="78"/>
      <c r="AZ922" s="78"/>
      <c r="BA922" s="78"/>
      <c r="BB922" s="78"/>
      <c r="BC922" s="78"/>
      <c r="BD922" s="78"/>
      <c r="BE922" s="465"/>
      <c r="BF922" s="165" t="str">
        <f t="shared" si="678"/>
        <v>https://www.google.com/search?tbm=isch&amp;q=Cephalotaxus%20harringtonia%20%27Fritz%20Huber%27%20Fritz%20Huber%20Japanese%20Plum%20Yew</v>
      </c>
      <c r="BG922" s="165" t="str">
        <f t="shared" si="679"/>
        <v>C</v>
      </c>
      <c r="BH922" s="65"/>
      <c r="BI922" s="65"/>
      <c r="BJ922" s="65"/>
      <c r="BK922" s="65"/>
      <c r="BL922" s="99"/>
      <c r="BM922" s="99"/>
      <c r="BN922" s="99"/>
    </row>
    <row r="923" spans="1:66" s="51" customFormat="1" ht="15.75" x14ac:dyDescent="0.25">
      <c r="A923" s="478">
        <v>7</v>
      </c>
      <c r="B923" s="479" t="s">
        <v>291</v>
      </c>
      <c r="C923" s="480" t="s">
        <v>1707</v>
      </c>
      <c r="D923" s="481" t="s">
        <v>299</v>
      </c>
      <c r="E923" s="482">
        <v>109.95</v>
      </c>
      <c r="F923" s="483" t="s">
        <v>292</v>
      </c>
      <c r="G923" s="484">
        <v>0</v>
      </c>
      <c r="H923" s="688" t="str">
        <f>IF(G923=0,"",IF(F923="Buy",IF(G923=1,"plant","plants"),IF(F923&gt;0.01,"warranty","Error")))</f>
        <v/>
      </c>
      <c r="I923" s="485">
        <f>IF(H923="free",0,IF(H923="credit",((E923*(F923))*G923*-1),IF(F923="Buy",(E923*G923),((E923*(1-F923))*G923))))</f>
        <v>0</v>
      </c>
      <c r="J923" s="485">
        <f>IF(H923="warranty",0,(I923*(_xlfn.SINGLE(SalesTaxPercentage))))</f>
        <v>0</v>
      </c>
      <c r="K923" s="715">
        <f t="shared" ref="K923" si="684">I923+J923</f>
        <v>0</v>
      </c>
      <c r="L923" s="715"/>
      <c r="M923" s="689" t="str">
        <f ca="1">IF(AND(G923&gt;0,E923=0),"WARNING - no PRICE inserted",IF(H923="free","FREE ~ no charge this plant",IF(H923="credit",CONCATENATE("-$",ROUND(K923*(1-_xlfn.SINGLE(T2GDiscount))*-1,2)," CREDIT after discount"),IF(_xlfn.SINGLE(T2GDiscount)=0,"",IF(G923=0,"",IF(F923="Buy",CONCATENATE("$",ROUND(K923*(1-_xlfn.SINGLE(T2GDiscount)),2)," with ",(_xlfn.SINGLE(T2GDiscount)*100),"% discount"),CONCATENATE("$",ROUND(K923*(1-_xlfn.SINGLE(T2GDiscount)),2)," with ",((_xlfn.SINGLE(T2GDiscount)*100+F923*100)-(_xlfn.SINGLE(T2GDiscount)*100*F923)),IF(F923&gt;0,"% discounts",IF(_xlfn.SINGLE(NoWarrantyDiscount)&gt;0,"% discounts","% discount")))))))))</f>
        <v/>
      </c>
      <c r="N923" s="690"/>
      <c r="O923" s="486"/>
      <c r="P923" s="486"/>
      <c r="Q923" s="486"/>
      <c r="R923" s="486"/>
      <c r="S923" s="486"/>
      <c r="T923" s="102">
        <f t="shared" si="667"/>
        <v>0</v>
      </c>
      <c r="U923" s="78">
        <f>IF(NOT(ISNUMBER(G923)), "", VLOOKUP(A923,'Discount Lookup'!D:E,2,FALSE)*G923)</f>
        <v>0</v>
      </c>
      <c r="V923" s="78">
        <f>IF(NOT(ISNUMBER(G923)), "", VLOOKUP(A923,'Discount Lookup'!G:H,2,FALSE)*G923)</f>
        <v>0</v>
      </c>
      <c r="W923" s="102">
        <f t="shared" si="668"/>
        <v>0</v>
      </c>
      <c r="X923" s="102">
        <f t="shared" si="669"/>
        <v>0</v>
      </c>
      <c r="Y923" s="120" t="b">
        <f t="shared" si="670"/>
        <v>0</v>
      </c>
      <c r="Z923" s="117">
        <f t="shared" si="671"/>
        <v>0</v>
      </c>
      <c r="AA923" s="118"/>
      <c r="AB923" s="118" t="str">
        <f t="shared" si="672"/>
        <v/>
      </c>
      <c r="AC923" s="712" t="str">
        <f>IF(AE923="T2G","no charge",IF(AND(OR(PlanterYesMe="No",PlanterYesMe="N",PlanterYesMe="me"),H923=""),"",IF(H923="credit","NO install",IF(AND(K923="",AE923="me"),"EACH row",IF(AND(K923="images",AE923="me"),"EACH row",IF(D923="","",IF(H923="credit","",IF(AE923="free","re-planting",IF(AE923="me","   not ELP, by",IF(AND(OR(PlanterYesMe="Yes",PlanterYesMe="Y"),G923&gt;0),(VLOOKUP(A923,'Discount Lookup'!J:K,2)*G923*(1-PlanterDiscount)*(1+PlanterDifficultyPercentage)),IF(AE923="ELP",(VLOOKUP(A923,'Discount Lookup'!J:K,2)*G923*(1-PlanterDiscount)*(1+PlanterDifficultyPercentage)),IF(AE923="free","re-planting",IF(G923=0,"",IF(PlanterYesMe="",IF(AE923="me","   not ELP, by",IF(AE923="",IF(G923&gt;0,(VLOOKUP(A923,'Discount Lookup'!J:K,2)*G923*(1-PlanterDiscount)*(1+PlanterDifficultyPercentage)),""),"")),"   not ELP, by"))))))))))))))</f>
        <v/>
      </c>
      <c r="AD923" s="712"/>
      <c r="AE923" s="513" t="str">
        <f t="shared" si="673"/>
        <v/>
      </c>
      <c r="AF923" s="713" t="str">
        <f t="shared" si="674"/>
        <v/>
      </c>
      <c r="AG923" s="713"/>
      <c r="AH923" s="713"/>
      <c r="AI923" s="112">
        <f>IF(H923="credit",0,IF(AE923="free",0,IF(AE923="me",0,IF(G923&gt;0,(VLOOKUP(A923,'Discount Lookup'!J:K,2)*G923),0))))</f>
        <v>0</v>
      </c>
      <c r="AJ923" s="107" t="str">
        <f t="shared" ca="1" si="675"/>
        <v/>
      </c>
      <c r="AK923" s="714" t="str">
        <f t="shared" si="676"/>
        <v/>
      </c>
      <c r="AL923" s="714"/>
      <c r="AM923" s="114" t="str">
        <f t="shared" si="677"/>
        <v/>
      </c>
      <c r="AN923" s="115"/>
      <c r="AO923" s="116"/>
      <c r="AP923" s="116"/>
      <c r="AQ923" s="116"/>
      <c r="AR923" s="116"/>
      <c r="AS923" s="116"/>
      <c r="AT923" s="116"/>
      <c r="AU923" s="116"/>
      <c r="AV923" s="78"/>
      <c r="AW923" s="102"/>
      <c r="AX923" s="78"/>
      <c r="AY923" s="78"/>
      <c r="AZ923" s="78"/>
      <c r="BA923" s="78"/>
      <c r="BB923" s="78"/>
      <c r="BC923" s="78"/>
      <c r="BD923" s="78"/>
      <c r="BE923" s="465"/>
      <c r="BF923" s="165" t="str">
        <f t="shared" si="678"/>
        <v>https://www.google.com/search?tbm=isch&amp;q=7%20G4</v>
      </c>
      <c r="BG923" s="165" t="str">
        <f t="shared" si="679"/>
        <v>C</v>
      </c>
      <c r="BH923" s="65"/>
      <c r="BI923" s="65"/>
      <c r="BJ923" s="65"/>
      <c r="BK923" s="65"/>
      <c r="BL923" s="99"/>
      <c r="BM923" s="99"/>
      <c r="BN923" s="99"/>
    </row>
    <row r="924" spans="1:66" s="51" customFormat="1" ht="17.25" thickBot="1" x14ac:dyDescent="0.3">
      <c r="A924" s="508" t="s">
        <v>1971</v>
      </c>
      <c r="B924" s="487"/>
      <c r="C924" s="707"/>
      <c r="D924" s="487"/>
      <c r="E924" s="487"/>
      <c r="F924" s="488"/>
      <c r="G924" s="489"/>
      <c r="H924" s="487"/>
      <c r="I924" s="490"/>
      <c r="J924" s="490"/>
      <c r="K924" s="491"/>
      <c r="L924" s="547"/>
      <c r="M924" s="528"/>
      <c r="N924" s="492"/>
      <c r="O924" s="493"/>
      <c r="P924" s="494"/>
      <c r="Q924" s="492"/>
      <c r="R924" s="492"/>
      <c r="S924" s="699" t="s">
        <v>5278</v>
      </c>
      <c r="T924" s="102">
        <f t="shared" si="667"/>
        <v>0</v>
      </c>
      <c r="U924" s="78" t="str">
        <f>IF(NOT(ISNUMBER(G924)), "", VLOOKUP(A924,'Discount Lookup'!D:E,2,FALSE)*G924)</f>
        <v/>
      </c>
      <c r="V924" s="78" t="str">
        <f>IF(NOT(ISNUMBER(G924)), "", VLOOKUP(A924,'Discount Lookup'!G:H,2,FALSE)*G924)</f>
        <v/>
      </c>
      <c r="W924" s="102">
        <f t="shared" si="668"/>
        <v>0</v>
      </c>
      <c r="X924" s="102">
        <f t="shared" si="669"/>
        <v>0</v>
      </c>
      <c r="Y924" s="120" t="b">
        <f t="shared" si="670"/>
        <v>0</v>
      </c>
      <c r="Z924" s="117">
        <f t="shared" si="671"/>
        <v>0</v>
      </c>
      <c r="AA924" s="118"/>
      <c r="AB924" s="118" t="str">
        <f t="shared" si="672"/>
        <v/>
      </c>
      <c r="AC924" s="712" t="str">
        <f>IF(AE924="T2G","no charge",IF(AND(OR(PlanterYesMe="No",PlanterYesMe="N",PlanterYesMe="me"),H924=""),"",IF(H924="credit","NO install",IF(AND(K924="",AE924="me"),"EACH row",IF(AND(K924="images",AE924="me"),"EACH row",IF(D924="","",IF(H924="credit","",IF(AE924="free","re-planting",IF(AE924="me","   not ELP, by",IF(AND(OR(PlanterYesMe="Yes",PlanterYesMe="Y"),G924&gt;0),(VLOOKUP(A924,'Discount Lookup'!J:K,2)*G924*(1-PlanterDiscount)*(1+PlanterDifficultyPercentage)),IF(AE924="ELP",(VLOOKUP(A924,'Discount Lookup'!J:K,2)*G924*(1-PlanterDiscount)*(1+PlanterDifficultyPercentage)),IF(AE924="free","re-planting",IF(G924=0,"",IF(PlanterYesMe="",IF(AE924="me","   not ELP, by",IF(AE924="",IF(G924&gt;0,(VLOOKUP(A924,'Discount Lookup'!J:K,2)*G924*(1-PlanterDiscount)*(1+PlanterDifficultyPercentage)),""),"")),"   not ELP, by"))))))))))))))</f>
        <v/>
      </c>
      <c r="AD924" s="712"/>
      <c r="AE924" s="513" t="str">
        <f t="shared" si="673"/>
        <v/>
      </c>
      <c r="AF924" s="713" t="str">
        <f t="shared" si="674"/>
        <v/>
      </c>
      <c r="AG924" s="713"/>
      <c r="AH924" s="713"/>
      <c r="AI924" s="112">
        <f>IF(H924="credit",0,IF(AE924="free",0,IF(AE924="me",0,IF(G924&gt;0,(VLOOKUP(A924,'Discount Lookup'!J:K,2)*G924),0))))</f>
        <v>0</v>
      </c>
      <c r="AJ924" s="107" t="str">
        <f t="shared" ca="1" si="675"/>
        <v/>
      </c>
      <c r="AK924" s="714" t="str">
        <f t="shared" si="676"/>
        <v/>
      </c>
      <c r="AL924" s="714"/>
      <c r="AM924" s="114" t="str">
        <f t="shared" si="677"/>
        <v/>
      </c>
      <c r="AN924" s="115"/>
      <c r="AO924" s="116"/>
      <c r="AP924" s="116"/>
      <c r="AQ924" s="116"/>
      <c r="AR924" s="116"/>
      <c r="AS924" s="116"/>
      <c r="AT924" s="116"/>
      <c r="AU924" s="116"/>
      <c r="AV924" s="78"/>
      <c r="AW924" s="102"/>
      <c r="AX924" s="78"/>
      <c r="AY924" s="78"/>
      <c r="AZ924" s="78"/>
      <c r="BA924" s="78"/>
      <c r="BB924" s="78"/>
      <c r="BC924" s="78"/>
      <c r="BD924" s="78"/>
      <c r="BE924" s="465"/>
      <c r="BF924" s="165" t="str">
        <f t="shared" si="678"/>
        <v>https://www.google.com/search?tbm=isch&amp;q=All%20Plum%20Yews%20have%20fine-textured%20foliage%20with%20brown%2C%20scaly%20bark.%20Slow%20growing%2C%20heat%20and%20shade%20tolerant%20</v>
      </c>
      <c r="BG924" s="165" t="str">
        <f t="shared" si="679"/>
        <v>A</v>
      </c>
      <c r="BH924" s="65"/>
      <c r="BI924" s="65"/>
      <c r="BJ924" s="65"/>
      <c r="BK924" s="65"/>
      <c r="BL924" s="99"/>
      <c r="BM924" s="99"/>
      <c r="BN924" s="99"/>
    </row>
    <row r="925" spans="1:66" s="51" customFormat="1" ht="18" x14ac:dyDescent="0.25">
      <c r="A925" s="507" t="s">
        <v>1984</v>
      </c>
      <c r="B925" s="470"/>
      <c r="C925" s="706"/>
      <c r="D925" s="471" t="s">
        <v>5621</v>
      </c>
      <c r="E925" s="472"/>
      <c r="F925" s="472"/>
      <c r="G925" s="472"/>
      <c r="H925" s="622" t="s">
        <v>1076</v>
      </c>
      <c r="I925" s="473" t="s">
        <v>1678</v>
      </c>
      <c r="J925" s="472"/>
      <c r="K925" s="472"/>
      <c r="L925" s="561"/>
      <c r="M925" s="703" t="s">
        <v>5274</v>
      </c>
      <c r="N925" s="692" t="str">
        <f>IF(AND(ISTEXT($A925), ISERROR($A925+0)), HYPERLINK($BF925, "Images"), "")</f>
        <v>Images</v>
      </c>
      <c r="O925" s="694" t="s">
        <v>5244</v>
      </c>
      <c r="P925" s="475"/>
      <c r="Q925" s="476"/>
      <c r="R925" s="476"/>
      <c r="S925" s="477"/>
      <c r="T925" s="102">
        <f t="shared" si="667"/>
        <v>0</v>
      </c>
      <c r="U925" s="78" t="str">
        <f>IF(NOT(ISNUMBER(G925)), "", VLOOKUP(A925,'Discount Lookup'!D:E,2,FALSE)*G925)</f>
        <v/>
      </c>
      <c r="V925" s="78" t="str">
        <f>IF(NOT(ISNUMBER(G925)), "", VLOOKUP(A925,'Discount Lookup'!G:H,2,FALSE)*G925)</f>
        <v/>
      </c>
      <c r="W925" s="102">
        <f t="shared" si="668"/>
        <v>0</v>
      </c>
      <c r="X925" s="102" t="str">
        <f t="shared" si="669"/>
        <v>Green &amp; Yellow foliage</v>
      </c>
      <c r="Y925" s="120" t="b">
        <f t="shared" si="670"/>
        <v>0</v>
      </c>
      <c r="Z925" s="117">
        <f t="shared" si="671"/>
        <v>0</v>
      </c>
      <c r="AA925" s="118"/>
      <c r="AB925" s="118" t="str">
        <f t="shared" si="672"/>
        <v/>
      </c>
      <c r="AC925" s="712" t="str">
        <f>IF(AE925="T2G","no charge",IF(AND(OR(PlanterYesMe="No",PlanterYesMe="N",PlanterYesMe="me"),H925=""),"",IF(H925="credit","NO install",IF(AND(K925="",AE925="me"),"EACH row",IF(AND(K925="images",AE925="me"),"EACH row",IF(D925="","",IF(H925="credit","",IF(AE925="free","re-planting",IF(AE925="me","   not ELP, by",IF(AND(OR(PlanterYesMe="Yes",PlanterYesMe="Y"),G925&gt;0),(VLOOKUP(A925,'Discount Lookup'!J:K,2)*G925*(1-PlanterDiscount)*(1+PlanterDifficultyPercentage)),IF(AE925="ELP",(VLOOKUP(A925,'Discount Lookup'!J:K,2)*G925*(1-PlanterDiscount)*(1+PlanterDifficultyPercentage)),IF(AE925="free","re-planting",IF(G925=0,"",IF(PlanterYesMe="",IF(AE925="me","   not ELP, by",IF(AE925="",IF(G925&gt;0,(VLOOKUP(A925,'Discount Lookup'!J:K,2)*G925*(1-PlanterDiscount)*(1+PlanterDifficultyPercentage)),""),"")),"   not ELP, by"))))))))))))))</f>
        <v/>
      </c>
      <c r="AD925" s="712"/>
      <c r="AE925" s="513" t="str">
        <f t="shared" si="673"/>
        <v/>
      </c>
      <c r="AF925" s="713" t="str">
        <f t="shared" si="674"/>
        <v/>
      </c>
      <c r="AG925" s="713"/>
      <c r="AH925" s="713"/>
      <c r="AI925" s="112">
        <f>IF(H925="credit",0,IF(AE925="free",0,IF(AE925="me",0,IF(G925&gt;0,(VLOOKUP(A925,'Discount Lookup'!J:K,2)*G925),0))))</f>
        <v>0</v>
      </c>
      <c r="AJ925" s="107" t="str">
        <f t="shared" ca="1" si="675"/>
        <v/>
      </c>
      <c r="AK925" s="714" t="str">
        <f t="shared" si="676"/>
        <v/>
      </c>
      <c r="AL925" s="714"/>
      <c r="AM925" s="114" t="str">
        <f t="shared" si="677"/>
        <v/>
      </c>
      <c r="AN925" s="115"/>
      <c r="AO925" s="116"/>
      <c r="AP925" s="116"/>
      <c r="AQ925" s="116"/>
      <c r="AR925" s="116"/>
      <c r="AS925" s="116"/>
      <c r="AT925" s="116"/>
      <c r="AU925" s="116"/>
      <c r="AV925" s="78"/>
      <c r="AW925" s="102"/>
      <c r="AX925" s="78"/>
      <c r="AY925" s="78"/>
      <c r="AZ925" s="78"/>
      <c r="BA925" s="78"/>
      <c r="BB925" s="78"/>
      <c r="BC925" s="78"/>
      <c r="BD925" s="78"/>
      <c r="BE925" s="465"/>
      <c r="BF925" s="165" t="str">
        <f t="shared" si="678"/>
        <v>https://www.google.com/search?tbm=isch&amp;q=Cephalotaxus%20harringtonia%20%27Golden%20Dragon%27%20Golden%20Dragon%E2%84%A2%20Japanese%20Plum%20Yew</v>
      </c>
      <c r="BG925" s="165" t="str">
        <f t="shared" si="679"/>
        <v>C</v>
      </c>
      <c r="BH925" s="65"/>
      <c r="BI925" s="65"/>
      <c r="BJ925" s="65"/>
      <c r="BK925" s="65"/>
      <c r="BL925" s="99"/>
      <c r="BM925" s="99"/>
      <c r="BN925" s="99"/>
    </row>
    <row r="926" spans="1:66" s="51" customFormat="1" ht="15.75" x14ac:dyDescent="0.25">
      <c r="A926" s="478">
        <v>5</v>
      </c>
      <c r="B926" s="479" t="s">
        <v>291</v>
      </c>
      <c r="C926" s="480" t="s">
        <v>1985</v>
      </c>
      <c r="D926" s="481" t="s">
        <v>299</v>
      </c>
      <c r="E926" s="482">
        <v>109.95</v>
      </c>
      <c r="F926" s="483" t="s">
        <v>292</v>
      </c>
      <c r="G926" s="484">
        <v>0</v>
      </c>
      <c r="H926" s="688" t="str">
        <f>IF(G926=0,"",IF(F926="Buy",IF(G926=1,"plant","plants"),IF(F926&gt;0.01,"warranty","Error")))</f>
        <v/>
      </c>
      <c r="I926" s="485">
        <f>IF(H926="free",0,IF(H926="credit",((E926*(F926))*G926*-1),IF(F926="Buy",(E926*G926),((E926*(1-F926))*G926))))</f>
        <v>0</v>
      </c>
      <c r="J926" s="485">
        <f>IF(H926="warranty",0,(I926*(_xlfn.SINGLE(SalesTaxPercentage))))</f>
        <v>0</v>
      </c>
      <c r="K926" s="715">
        <f t="shared" ref="K926" si="685">I926+J926</f>
        <v>0</v>
      </c>
      <c r="L926" s="715"/>
      <c r="M926" s="689" t="str">
        <f ca="1">IF(AND(G926&gt;0,E926=0),"WARNING - no PRICE inserted",IF(H926="free","FREE ~ no charge this plant",IF(H926="credit",CONCATENATE("-$",ROUND(K926*(1-_xlfn.SINGLE(T2GDiscount))*-1,2)," CREDIT after discount"),IF(_xlfn.SINGLE(T2GDiscount)=0,"",IF(G926=0,"",IF(F926="Buy",CONCATENATE("$",ROUND(K926*(1-_xlfn.SINGLE(T2GDiscount)),2)," with ",(_xlfn.SINGLE(T2GDiscount)*100),"% discount"),CONCATENATE("$",ROUND(K926*(1-_xlfn.SINGLE(T2GDiscount)),2)," with ",((_xlfn.SINGLE(T2GDiscount)*100+F926*100)-(_xlfn.SINGLE(T2GDiscount)*100*F926)),IF(F926&gt;0,"% discounts",IF(_xlfn.SINGLE(NoWarrantyDiscount)&gt;0,"% discounts","% discount")))))))))</f>
        <v/>
      </c>
      <c r="N926" s="690"/>
      <c r="O926" s="486"/>
      <c r="P926" s="486"/>
      <c r="Q926" s="486"/>
      <c r="R926" s="486"/>
      <c r="S926" s="486"/>
      <c r="T926" s="102">
        <f t="shared" si="667"/>
        <v>0</v>
      </c>
      <c r="U926" s="78">
        <f>IF(NOT(ISNUMBER(G926)), "", VLOOKUP(A926,'Discount Lookup'!D:E,2,FALSE)*G926)</f>
        <v>0</v>
      </c>
      <c r="V926" s="78">
        <f>IF(NOT(ISNUMBER(G926)), "", VLOOKUP(A926,'Discount Lookup'!G:H,2,FALSE)*G926)</f>
        <v>0</v>
      </c>
      <c r="W926" s="102">
        <f t="shared" si="668"/>
        <v>0</v>
      </c>
      <c r="X926" s="102">
        <f t="shared" si="669"/>
        <v>0</v>
      </c>
      <c r="Y926" s="120" t="b">
        <f t="shared" si="670"/>
        <v>0</v>
      </c>
      <c r="Z926" s="117">
        <f t="shared" si="671"/>
        <v>0</v>
      </c>
      <c r="AA926" s="118"/>
      <c r="AB926" s="118" t="str">
        <f t="shared" si="672"/>
        <v/>
      </c>
      <c r="AC926" s="712" t="str">
        <f>IF(AE926="T2G","no charge",IF(AND(OR(PlanterYesMe="No",PlanterYesMe="N",PlanterYesMe="me"),H926=""),"",IF(H926="credit","NO install",IF(AND(K926="",AE926="me"),"EACH row",IF(AND(K926="images",AE926="me"),"EACH row",IF(D926="","",IF(H926="credit","",IF(AE926="free","re-planting",IF(AE926="me","   not ELP, by",IF(AND(OR(PlanterYesMe="Yes",PlanterYesMe="Y"),G926&gt;0),(VLOOKUP(A926,'Discount Lookup'!J:K,2)*G926*(1-PlanterDiscount)*(1+PlanterDifficultyPercentage)),IF(AE926="ELP",(VLOOKUP(A926,'Discount Lookup'!J:K,2)*G926*(1-PlanterDiscount)*(1+PlanterDifficultyPercentage)),IF(AE926="free","re-planting",IF(G926=0,"",IF(PlanterYesMe="",IF(AE926="me","   not ELP, by",IF(AE926="",IF(G926&gt;0,(VLOOKUP(A926,'Discount Lookup'!J:K,2)*G926*(1-PlanterDiscount)*(1+PlanterDifficultyPercentage)),""),"")),"   not ELP, by"))))))))))))))</f>
        <v/>
      </c>
      <c r="AD926" s="712"/>
      <c r="AE926" s="513" t="str">
        <f t="shared" si="673"/>
        <v/>
      </c>
      <c r="AF926" s="713" t="str">
        <f t="shared" si="674"/>
        <v/>
      </c>
      <c r="AG926" s="713"/>
      <c r="AH926" s="713"/>
      <c r="AI926" s="112">
        <f>IF(H926="credit",0,IF(AE926="free",0,IF(AE926="me",0,IF(G926&gt;0,(VLOOKUP(A926,'Discount Lookup'!J:K,2)*G926),0))))</f>
        <v>0</v>
      </c>
      <c r="AJ926" s="107" t="str">
        <f t="shared" ca="1" si="675"/>
        <v/>
      </c>
      <c r="AK926" s="714" t="str">
        <f t="shared" si="676"/>
        <v/>
      </c>
      <c r="AL926" s="714"/>
      <c r="AM926" s="114" t="str">
        <f t="shared" si="677"/>
        <v/>
      </c>
      <c r="AN926" s="115"/>
      <c r="AO926" s="116"/>
      <c r="AP926" s="116"/>
      <c r="AQ926" s="116"/>
      <c r="AR926" s="116"/>
      <c r="AS926" s="116"/>
      <c r="AT926" s="116"/>
      <c r="AU926" s="116"/>
      <c r="AV926" s="78"/>
      <c r="AW926" s="102"/>
      <c r="AX926" s="78"/>
      <c r="AY926" s="78"/>
      <c r="AZ926" s="78"/>
      <c r="BA926" s="78"/>
      <c r="BB926" s="78"/>
      <c r="BC926" s="78"/>
      <c r="BD926" s="78"/>
      <c r="BE926" s="465"/>
      <c r="BF926" s="165" t="str">
        <f t="shared" si="678"/>
        <v>https://www.google.com/search?tbm=isch&amp;q=5%20G4</v>
      </c>
      <c r="BG926" s="165" t="str">
        <f t="shared" si="679"/>
        <v>C</v>
      </c>
      <c r="BH926" s="65"/>
      <c r="BI926" s="65"/>
      <c r="BJ926" s="65"/>
      <c r="BK926" s="65"/>
      <c r="BL926" s="99"/>
      <c r="BM926" s="99"/>
      <c r="BN926" s="99"/>
    </row>
    <row r="927" spans="1:66" s="51" customFormat="1" ht="17.25" thickBot="1" x14ac:dyDescent="0.3">
      <c r="A927" s="508" t="s">
        <v>1971</v>
      </c>
      <c r="B927" s="487"/>
      <c r="C927" s="707"/>
      <c r="D927" s="487"/>
      <c r="E927" s="487"/>
      <c r="F927" s="488"/>
      <c r="G927" s="489"/>
      <c r="H927" s="487"/>
      <c r="I927" s="490"/>
      <c r="J927" s="490"/>
      <c r="K927" s="491"/>
      <c r="L927" s="547"/>
      <c r="M927" s="528"/>
      <c r="N927" s="492"/>
      <c r="O927" s="493"/>
      <c r="P927" s="494"/>
      <c r="Q927" s="492"/>
      <c r="R927" s="492"/>
      <c r="S927" s="699" t="s">
        <v>5278</v>
      </c>
      <c r="T927" s="102">
        <f t="shared" si="667"/>
        <v>0</v>
      </c>
      <c r="U927" s="78" t="str">
        <f>IF(NOT(ISNUMBER(G927)), "", VLOOKUP(A927,'Discount Lookup'!D:E,2,FALSE)*G927)</f>
        <v/>
      </c>
      <c r="V927" s="78" t="str">
        <f>IF(NOT(ISNUMBER(G927)), "", VLOOKUP(A927,'Discount Lookup'!G:H,2,FALSE)*G927)</f>
        <v/>
      </c>
      <c r="W927" s="102">
        <f t="shared" si="668"/>
        <v>0</v>
      </c>
      <c r="X927" s="102">
        <f t="shared" si="669"/>
        <v>0</v>
      </c>
      <c r="Y927" s="120" t="b">
        <f t="shared" si="670"/>
        <v>0</v>
      </c>
      <c r="Z927" s="117">
        <f t="shared" si="671"/>
        <v>0</v>
      </c>
      <c r="AA927" s="118"/>
      <c r="AB927" s="118" t="str">
        <f t="shared" si="672"/>
        <v/>
      </c>
      <c r="AC927" s="712" t="str">
        <f>IF(AE927="T2G","no charge",IF(AND(OR(PlanterYesMe="No",PlanterYesMe="N",PlanterYesMe="me"),H927=""),"",IF(H927="credit","NO install",IF(AND(K927="",AE927="me"),"EACH row",IF(AND(K927="images",AE927="me"),"EACH row",IF(D927="","",IF(H927="credit","",IF(AE927="free","re-planting",IF(AE927="me","   not ELP, by",IF(AND(OR(PlanterYesMe="Yes",PlanterYesMe="Y"),G927&gt;0),(VLOOKUP(A927,'Discount Lookup'!J:K,2)*G927*(1-PlanterDiscount)*(1+PlanterDifficultyPercentage)),IF(AE927="ELP",(VLOOKUP(A927,'Discount Lookup'!J:K,2)*G927*(1-PlanterDiscount)*(1+PlanterDifficultyPercentage)),IF(AE927="free","re-planting",IF(G927=0,"",IF(PlanterYesMe="",IF(AE927="me","   not ELP, by",IF(AE927="",IF(G927&gt;0,(VLOOKUP(A927,'Discount Lookup'!J:K,2)*G927*(1-PlanterDiscount)*(1+PlanterDifficultyPercentage)),""),"")),"   not ELP, by"))))))))))))))</f>
        <v/>
      </c>
      <c r="AD927" s="712"/>
      <c r="AE927" s="513" t="str">
        <f t="shared" si="673"/>
        <v/>
      </c>
      <c r="AF927" s="713" t="str">
        <f t="shared" si="674"/>
        <v/>
      </c>
      <c r="AG927" s="713"/>
      <c r="AH927" s="713"/>
      <c r="AI927" s="112">
        <f>IF(H927="credit",0,IF(AE927="free",0,IF(AE927="me",0,IF(G927&gt;0,(VLOOKUP(A927,'Discount Lookup'!J:K,2)*G927),0))))</f>
        <v>0</v>
      </c>
      <c r="AJ927" s="107" t="str">
        <f t="shared" ca="1" si="675"/>
        <v/>
      </c>
      <c r="AK927" s="714" t="str">
        <f t="shared" si="676"/>
        <v/>
      </c>
      <c r="AL927" s="714"/>
      <c r="AM927" s="114" t="str">
        <f t="shared" si="677"/>
        <v/>
      </c>
      <c r="AN927" s="115"/>
      <c r="AO927" s="116"/>
      <c r="AP927" s="116"/>
      <c r="AQ927" s="116"/>
      <c r="AR927" s="116"/>
      <c r="AS927" s="116"/>
      <c r="AT927" s="116"/>
      <c r="AU927" s="116"/>
      <c r="AV927" s="78"/>
      <c r="AW927" s="102"/>
      <c r="AX927" s="78"/>
      <c r="AY927" s="78"/>
      <c r="AZ927" s="78"/>
      <c r="BA927" s="78"/>
      <c r="BB927" s="78"/>
      <c r="BC927" s="78"/>
      <c r="BD927" s="78"/>
      <c r="BE927" s="465"/>
      <c r="BF927" s="165" t="str">
        <f t="shared" si="678"/>
        <v>https://www.google.com/search?tbm=isch&amp;q=All%20Plum%20Yews%20have%20fine-textured%20foliage%20with%20brown%2C%20scaly%20bark.%20Slow%20growing%2C%20heat%20and%20shade%20tolerant%20</v>
      </c>
      <c r="BG927" s="165" t="str">
        <f t="shared" si="679"/>
        <v>A</v>
      </c>
      <c r="BH927" s="65"/>
      <c r="BI927" s="65"/>
      <c r="BJ927" s="65"/>
      <c r="BK927" s="65"/>
      <c r="BL927" s="99"/>
      <c r="BM927" s="99"/>
      <c r="BN927" s="99"/>
    </row>
    <row r="928" spans="1:66" s="51" customFormat="1" ht="18" x14ac:dyDescent="0.25">
      <c r="A928" s="507" t="s">
        <v>1986</v>
      </c>
      <c r="B928" s="470"/>
      <c r="C928" s="706"/>
      <c r="D928" s="471" t="s">
        <v>1987</v>
      </c>
      <c r="E928" s="472"/>
      <c r="F928" s="472"/>
      <c r="G928" s="472"/>
      <c r="H928" s="622" t="s">
        <v>1088</v>
      </c>
      <c r="I928" s="473" t="s">
        <v>1988</v>
      </c>
      <c r="J928" s="472"/>
      <c r="K928" s="472"/>
      <c r="L928" s="561"/>
      <c r="M928" s="703" t="s">
        <v>5274</v>
      </c>
      <c r="N928" s="692" t="str">
        <f>IF(AND(ISTEXT($A928), ISERROR($A928+0)), HYPERLINK($BF928, "Images"), "")</f>
        <v>Images</v>
      </c>
      <c r="O928" s="694" t="s">
        <v>5244</v>
      </c>
      <c r="P928" s="475"/>
      <c r="Q928" s="476"/>
      <c r="R928" s="476"/>
      <c r="S928" s="477"/>
      <c r="T928" s="102">
        <f t="shared" si="667"/>
        <v>0</v>
      </c>
      <c r="U928" s="78" t="str">
        <f>IF(NOT(ISNUMBER(G928)), "", VLOOKUP(A928,'Discount Lookup'!D:E,2,FALSE)*G928)</f>
        <v/>
      </c>
      <c r="V928" s="78" t="str">
        <f>IF(NOT(ISNUMBER(G928)), "", VLOOKUP(A928,'Discount Lookup'!G:H,2,FALSE)*G928)</f>
        <v/>
      </c>
      <c r="W928" s="102">
        <f t="shared" si="668"/>
        <v>0</v>
      </c>
      <c r="X928" s="102" t="str">
        <f t="shared" si="669"/>
        <v>Lime Green &amp; Green foliage</v>
      </c>
      <c r="Y928" s="120" t="b">
        <f t="shared" si="670"/>
        <v>0</v>
      </c>
      <c r="Z928" s="117">
        <f t="shared" si="671"/>
        <v>0</v>
      </c>
      <c r="AA928" s="118"/>
      <c r="AB928" s="118" t="str">
        <f t="shared" si="672"/>
        <v/>
      </c>
      <c r="AC928" s="712" t="str">
        <f>IF(AE928="T2G","no charge",IF(AND(OR(PlanterYesMe="No",PlanterYesMe="N",PlanterYesMe="me"),H928=""),"",IF(H928="credit","NO install",IF(AND(K928="",AE928="me"),"EACH row",IF(AND(K928="images",AE928="me"),"EACH row",IF(D928="","",IF(H928="credit","",IF(AE928="free","re-planting",IF(AE928="me","   not ELP, by",IF(AND(OR(PlanterYesMe="Yes",PlanterYesMe="Y"),G928&gt;0),(VLOOKUP(A928,'Discount Lookup'!J:K,2)*G928*(1-PlanterDiscount)*(1+PlanterDifficultyPercentage)),IF(AE928="ELP",(VLOOKUP(A928,'Discount Lookup'!J:K,2)*G928*(1-PlanterDiscount)*(1+PlanterDifficultyPercentage)),IF(AE928="free","re-planting",IF(G928=0,"",IF(PlanterYesMe="",IF(AE928="me","   not ELP, by",IF(AE928="",IF(G928&gt;0,(VLOOKUP(A928,'Discount Lookup'!J:K,2)*G928*(1-PlanterDiscount)*(1+PlanterDifficultyPercentage)),""),"")),"   not ELP, by"))))))))))))))</f>
        <v/>
      </c>
      <c r="AD928" s="712"/>
      <c r="AE928" s="513" t="str">
        <f t="shared" si="673"/>
        <v/>
      </c>
      <c r="AF928" s="713" t="str">
        <f t="shared" si="674"/>
        <v/>
      </c>
      <c r="AG928" s="713"/>
      <c r="AH928" s="713"/>
      <c r="AI928" s="112">
        <f>IF(H928="credit",0,IF(AE928="free",0,IF(AE928="me",0,IF(G928&gt;0,(VLOOKUP(A928,'Discount Lookup'!J:K,2)*G928),0))))</f>
        <v>0</v>
      </c>
      <c r="AJ928" s="107" t="str">
        <f t="shared" ca="1" si="675"/>
        <v/>
      </c>
      <c r="AK928" s="714" t="str">
        <f t="shared" si="676"/>
        <v/>
      </c>
      <c r="AL928" s="714"/>
      <c r="AM928" s="114" t="str">
        <f t="shared" si="677"/>
        <v/>
      </c>
      <c r="AN928" s="115"/>
      <c r="AO928" s="116"/>
      <c r="AP928" s="116"/>
      <c r="AQ928" s="116"/>
      <c r="AR928" s="116"/>
      <c r="AS928" s="116"/>
      <c r="AT928" s="116"/>
      <c r="AU928" s="116"/>
      <c r="AV928" s="78"/>
      <c r="AW928" s="102"/>
      <c r="AX928" s="78"/>
      <c r="AY928" s="78"/>
      <c r="AZ928" s="78"/>
      <c r="BA928" s="78"/>
      <c r="BB928" s="78"/>
      <c r="BC928" s="78"/>
      <c r="BD928" s="78"/>
      <c r="BE928" s="465"/>
      <c r="BF928" s="165" t="str">
        <f t="shared" si="678"/>
        <v>https://www.google.com/search?tbm=isch&amp;q=Cephalotaxus%20harringtonia%20%27Hedgehog%27%20Hedgehog%20Plum%20Yew</v>
      </c>
      <c r="BG928" s="165" t="str">
        <f t="shared" si="679"/>
        <v>C</v>
      </c>
      <c r="BH928" s="65"/>
      <c r="BI928" s="65"/>
      <c r="BJ928" s="65"/>
      <c r="BK928" s="65"/>
      <c r="BL928" s="99"/>
      <c r="BM928" s="99"/>
      <c r="BN928" s="99"/>
    </row>
    <row r="929" spans="1:66" s="51" customFormat="1" ht="15.75" x14ac:dyDescent="0.25">
      <c r="A929" s="478">
        <v>3</v>
      </c>
      <c r="B929" s="479" t="s">
        <v>291</v>
      </c>
      <c r="C929" s="480" t="s">
        <v>1989</v>
      </c>
      <c r="D929" s="481" t="s">
        <v>311</v>
      </c>
      <c r="E929" s="482">
        <v>40.950000000000003</v>
      </c>
      <c r="F929" s="483" t="s">
        <v>292</v>
      </c>
      <c r="G929" s="484">
        <v>0</v>
      </c>
      <c r="H929" s="688" t="str">
        <f>IF(G929=0,"",IF(F929="Buy",IF(G929=1,"plant","plants"),IF(F929&gt;0.01,"warranty","Error")))</f>
        <v/>
      </c>
      <c r="I929" s="485">
        <f>IF(H929="free",0,IF(H929="credit",((E929*(F929))*G929*-1),IF(F929="Buy",(E929*G929),((E929*(1-F929))*G929))))</f>
        <v>0</v>
      </c>
      <c r="J929" s="485">
        <f>IF(H929="warranty",0,(I929*(_xlfn.SINGLE(SalesTaxPercentage))))</f>
        <v>0</v>
      </c>
      <c r="K929" s="715">
        <f t="shared" ref="K929" si="686">I929+J929</f>
        <v>0</v>
      </c>
      <c r="L929" s="715"/>
      <c r="M929" s="689" t="str">
        <f ca="1">IF(AND(G929&gt;0,E929=0),"WARNING - no PRICE inserted",IF(H929="free","FREE ~ no charge this plant",IF(H929="credit",CONCATENATE("-$",ROUND(K929*(1-_xlfn.SINGLE(T2GDiscount))*-1,2)," CREDIT after discount"),IF(_xlfn.SINGLE(T2GDiscount)=0,"",IF(G929=0,"",IF(F929="Buy",CONCATENATE("$",ROUND(K929*(1-_xlfn.SINGLE(T2GDiscount)),2)," with ",(_xlfn.SINGLE(T2GDiscount)*100),"% discount"),CONCATENATE("$",ROUND(K929*(1-_xlfn.SINGLE(T2GDiscount)),2)," with ",((_xlfn.SINGLE(T2GDiscount)*100+F929*100)-(_xlfn.SINGLE(T2GDiscount)*100*F929)),IF(F929&gt;0,"% discounts",IF(_xlfn.SINGLE(NoWarrantyDiscount)&gt;0,"% discounts","% discount")))))))))</f>
        <v/>
      </c>
      <c r="N929" s="690"/>
      <c r="O929" s="486"/>
      <c r="P929" s="486"/>
      <c r="Q929" s="486"/>
      <c r="R929" s="486"/>
      <c r="S929" s="486"/>
      <c r="T929" s="102">
        <f t="shared" si="667"/>
        <v>0</v>
      </c>
      <c r="U929" s="78">
        <f>IF(NOT(ISNUMBER(G929)), "", VLOOKUP(A929,'Discount Lookup'!D:E,2,FALSE)*G929)</f>
        <v>0</v>
      </c>
      <c r="V929" s="78">
        <f>IF(NOT(ISNUMBER(G929)), "", VLOOKUP(A929,'Discount Lookup'!G:H,2,FALSE)*G929)</f>
        <v>0</v>
      </c>
      <c r="W929" s="102">
        <f t="shared" si="668"/>
        <v>0</v>
      </c>
      <c r="X929" s="102">
        <f t="shared" si="669"/>
        <v>0</v>
      </c>
      <c r="Y929" s="120" t="b">
        <f t="shared" si="670"/>
        <v>0</v>
      </c>
      <c r="Z929" s="117">
        <f t="shared" si="671"/>
        <v>0</v>
      </c>
      <c r="AA929" s="118"/>
      <c r="AB929" s="118" t="str">
        <f t="shared" si="672"/>
        <v/>
      </c>
      <c r="AC929" s="712" t="str">
        <f>IF(AE929="T2G","no charge",IF(AND(OR(PlanterYesMe="No",PlanterYesMe="N",PlanterYesMe="me"),H929=""),"",IF(H929="credit","NO install",IF(AND(K929="",AE929="me"),"EACH row",IF(AND(K929="images",AE929="me"),"EACH row",IF(D929="","",IF(H929="credit","",IF(AE929="free","re-planting",IF(AE929="me","   not ELP, by",IF(AND(OR(PlanterYesMe="Yes",PlanterYesMe="Y"),G929&gt;0),(VLOOKUP(A929,'Discount Lookup'!J:K,2)*G929*(1-PlanterDiscount)*(1+PlanterDifficultyPercentage)),IF(AE929="ELP",(VLOOKUP(A929,'Discount Lookup'!J:K,2)*G929*(1-PlanterDiscount)*(1+PlanterDifficultyPercentage)),IF(AE929="free","re-planting",IF(G929=0,"",IF(PlanterYesMe="",IF(AE929="me","   not ELP, by",IF(AE929="",IF(G929&gt;0,(VLOOKUP(A929,'Discount Lookup'!J:K,2)*G929*(1-PlanterDiscount)*(1+PlanterDifficultyPercentage)),""),"")),"   not ELP, by"))))))))))))))</f>
        <v/>
      </c>
      <c r="AD929" s="712"/>
      <c r="AE929" s="513" t="str">
        <f t="shared" si="673"/>
        <v/>
      </c>
      <c r="AF929" s="713" t="str">
        <f t="shared" si="674"/>
        <v/>
      </c>
      <c r="AG929" s="713"/>
      <c r="AH929" s="713"/>
      <c r="AI929" s="112">
        <f>IF(H929="credit",0,IF(AE929="free",0,IF(AE929="me",0,IF(G929&gt;0,(VLOOKUP(A929,'Discount Lookup'!J:K,2)*G929),0))))</f>
        <v>0</v>
      </c>
      <c r="AJ929" s="107" t="str">
        <f t="shared" ca="1" si="675"/>
        <v/>
      </c>
      <c r="AK929" s="714" t="str">
        <f t="shared" si="676"/>
        <v/>
      </c>
      <c r="AL929" s="714"/>
      <c r="AM929" s="114" t="str">
        <f t="shared" si="677"/>
        <v/>
      </c>
      <c r="AN929" s="115"/>
      <c r="AO929" s="116"/>
      <c r="AP929" s="116"/>
      <c r="AQ929" s="116"/>
      <c r="AR929" s="116"/>
      <c r="AS929" s="116"/>
      <c r="AT929" s="116"/>
      <c r="AU929" s="116"/>
      <c r="AV929" s="78"/>
      <c r="AW929" s="102"/>
      <c r="AX929" s="78"/>
      <c r="AY929" s="78"/>
      <c r="AZ929" s="78"/>
      <c r="BA929" s="78"/>
      <c r="BB929" s="78"/>
      <c r="BC929" s="78"/>
      <c r="BD929" s="78"/>
      <c r="BE929" s="465"/>
      <c r="BF929" s="165" t="str">
        <f t="shared" si="678"/>
        <v>https://www.google.com/search?tbm=isch&amp;q=3%20G5</v>
      </c>
      <c r="BG929" s="165" t="str">
        <f t="shared" si="679"/>
        <v>C</v>
      </c>
      <c r="BH929" s="65"/>
      <c r="BI929" s="65"/>
      <c r="BJ929" s="65"/>
      <c r="BK929" s="65"/>
      <c r="BL929" s="99"/>
      <c r="BM929" s="99"/>
      <c r="BN929" s="99"/>
    </row>
    <row r="930" spans="1:66" s="51" customFormat="1" ht="27" x14ac:dyDescent="0.25">
      <c r="A930" s="478">
        <v>5</v>
      </c>
      <c r="B930" s="479" t="s">
        <v>291</v>
      </c>
      <c r="C930" s="480" t="s">
        <v>1990</v>
      </c>
      <c r="D930" s="481" t="s">
        <v>299</v>
      </c>
      <c r="E930" s="482">
        <v>104.95</v>
      </c>
      <c r="F930" s="483" t="s">
        <v>292</v>
      </c>
      <c r="G930" s="484">
        <v>0</v>
      </c>
      <c r="H930" s="688" t="str">
        <f>IF(G930=0,"",IF(F930="Buy",IF(G930=1,"plant","plants"),IF(F930&gt;0.01,"warranty","Error")))</f>
        <v/>
      </c>
      <c r="I930" s="485">
        <f>IF(H930="free",0,IF(H930="credit",((E930*(F930))*G930*-1),IF(F930="Buy",(E930*G930),((E930*(1-F930))*G930))))</f>
        <v>0</v>
      </c>
      <c r="J930" s="485">
        <f>IF(H930="warranty",0,(I930*(_xlfn.SINGLE(SalesTaxPercentage))))</f>
        <v>0</v>
      </c>
      <c r="K930" s="715">
        <f t="shared" ref="K930" si="687">I930+J930</f>
        <v>0</v>
      </c>
      <c r="L930" s="715"/>
      <c r="M930" s="689" t="str">
        <f ca="1">IF(AND(G930&gt;0,E930=0),"WARNING - no PRICE inserted",IF(H930="free","FREE ~ no charge this plant",IF(H930="credit",CONCATENATE("-$",ROUND(K930*(1-_xlfn.SINGLE(T2GDiscount))*-1,2)," CREDIT after discount"),IF(_xlfn.SINGLE(T2GDiscount)=0,"",IF(G930=0,"",IF(F930="Buy",CONCATENATE("$",ROUND(K930*(1-_xlfn.SINGLE(T2GDiscount)),2)," with ",(_xlfn.SINGLE(T2GDiscount)*100),"% discount"),CONCATENATE("$",ROUND(K930*(1-_xlfn.SINGLE(T2GDiscount)),2)," with ",((_xlfn.SINGLE(T2GDiscount)*100+F930*100)-(_xlfn.SINGLE(T2GDiscount)*100*F930)),IF(F930&gt;0,"% discounts",IF(_xlfn.SINGLE(NoWarrantyDiscount)&gt;0,"% discounts","% discount")))))))))</f>
        <v/>
      </c>
      <c r="N930" s="690"/>
      <c r="O930" s="486"/>
      <c r="P930" s="486"/>
      <c r="Q930" s="486"/>
      <c r="R930" s="486"/>
      <c r="S930" s="486"/>
      <c r="T930" s="102">
        <f t="shared" si="667"/>
        <v>0</v>
      </c>
      <c r="U930" s="78">
        <f>IF(NOT(ISNUMBER(G930)), "", VLOOKUP(A930,'Discount Lookup'!D:E,2,FALSE)*G930)</f>
        <v>0</v>
      </c>
      <c r="V930" s="78">
        <f>IF(NOT(ISNUMBER(G930)), "", VLOOKUP(A930,'Discount Lookup'!G:H,2,FALSE)*G930)</f>
        <v>0</v>
      </c>
      <c r="W930" s="102">
        <f t="shared" si="668"/>
        <v>0</v>
      </c>
      <c r="X930" s="102">
        <f t="shared" si="669"/>
        <v>0</v>
      </c>
      <c r="Y930" s="120" t="b">
        <f t="shared" si="670"/>
        <v>0</v>
      </c>
      <c r="Z930" s="117">
        <f t="shared" si="671"/>
        <v>0</v>
      </c>
      <c r="AA930" s="118"/>
      <c r="AB930" s="118" t="str">
        <f t="shared" si="672"/>
        <v/>
      </c>
      <c r="AC930" s="712" t="str">
        <f>IF(AE930="T2G","no charge",IF(AND(OR(PlanterYesMe="No",PlanterYesMe="N",PlanterYesMe="me"),H930=""),"",IF(H930="credit","NO install",IF(AND(K930="",AE930="me"),"EACH row",IF(AND(K930="images",AE930="me"),"EACH row",IF(D930="","",IF(H930="credit","",IF(AE930="free","re-planting",IF(AE930="me","   not ELP, by",IF(AND(OR(PlanterYesMe="Yes",PlanterYesMe="Y"),G930&gt;0),(VLOOKUP(A930,'Discount Lookup'!J:K,2)*G930*(1-PlanterDiscount)*(1+PlanterDifficultyPercentage)),IF(AE930="ELP",(VLOOKUP(A930,'Discount Lookup'!J:K,2)*G930*(1-PlanterDiscount)*(1+PlanterDifficultyPercentage)),IF(AE930="free","re-planting",IF(G930=0,"",IF(PlanterYesMe="",IF(AE930="me","   not ELP, by",IF(AE930="",IF(G930&gt;0,(VLOOKUP(A930,'Discount Lookup'!J:K,2)*G930*(1-PlanterDiscount)*(1+PlanterDifficultyPercentage)),""),"")),"   not ELP, by"))))))))))))))</f>
        <v/>
      </c>
      <c r="AD930" s="712"/>
      <c r="AE930" s="513" t="str">
        <f t="shared" si="673"/>
        <v/>
      </c>
      <c r="AF930" s="713" t="str">
        <f t="shared" si="674"/>
        <v/>
      </c>
      <c r="AG930" s="713"/>
      <c r="AH930" s="713"/>
      <c r="AI930" s="112">
        <f>IF(H930="credit",0,IF(AE930="free",0,IF(AE930="me",0,IF(G930&gt;0,(VLOOKUP(A930,'Discount Lookup'!J:K,2)*G930),0))))</f>
        <v>0</v>
      </c>
      <c r="AJ930" s="107" t="str">
        <f t="shared" ca="1" si="675"/>
        <v/>
      </c>
      <c r="AK930" s="714" t="str">
        <f t="shared" si="676"/>
        <v/>
      </c>
      <c r="AL930" s="714"/>
      <c r="AM930" s="114" t="str">
        <f t="shared" si="677"/>
        <v/>
      </c>
      <c r="AN930" s="115"/>
      <c r="AO930" s="116"/>
      <c r="AP930" s="116"/>
      <c r="AQ930" s="116"/>
      <c r="AR930" s="116"/>
      <c r="AS930" s="116"/>
      <c r="AT930" s="116"/>
      <c r="AU930" s="116"/>
      <c r="AV930" s="78"/>
      <c r="AW930" s="102"/>
      <c r="AX930" s="78"/>
      <c r="AY930" s="78"/>
      <c r="AZ930" s="78"/>
      <c r="BA930" s="78"/>
      <c r="BB930" s="78"/>
      <c r="BC930" s="78"/>
      <c r="BD930" s="78"/>
      <c r="BE930" s="465"/>
      <c r="BF930" s="165" t="str">
        <f t="shared" si="678"/>
        <v>https://www.google.com/search?tbm=isch&amp;q=5%20G4</v>
      </c>
      <c r="BG930" s="165" t="str">
        <f t="shared" si="679"/>
        <v>C</v>
      </c>
      <c r="BH930" s="65"/>
      <c r="BI930" s="65"/>
      <c r="BJ930" s="65"/>
      <c r="BK930" s="65"/>
      <c r="BL930" s="99"/>
      <c r="BM930" s="99"/>
      <c r="BN930" s="99"/>
    </row>
    <row r="931" spans="1:66" s="51" customFormat="1" ht="27" x14ac:dyDescent="0.25">
      <c r="A931" s="478">
        <v>7</v>
      </c>
      <c r="B931" s="479" t="s">
        <v>291</v>
      </c>
      <c r="C931" s="480" t="s">
        <v>1991</v>
      </c>
      <c r="D931" s="481" t="s">
        <v>299</v>
      </c>
      <c r="E931" s="482">
        <v>146.94999999999999</v>
      </c>
      <c r="F931" s="483" t="s">
        <v>292</v>
      </c>
      <c r="G931" s="484">
        <v>0</v>
      </c>
      <c r="H931" s="688" t="str">
        <f>IF(G931=0,"",IF(F931="Buy",IF(G931=1,"plant","plants"),IF(F931&gt;0.01,"warranty","Error")))</f>
        <v/>
      </c>
      <c r="I931" s="485">
        <f>IF(H931="free",0,IF(H931="credit",((E931*(F931))*G931*-1),IF(F931="Buy",(E931*G931),((E931*(1-F931))*G931))))</f>
        <v>0</v>
      </c>
      <c r="J931" s="485">
        <f>IF(H931="warranty",0,(I931*(_xlfn.SINGLE(SalesTaxPercentage))))</f>
        <v>0</v>
      </c>
      <c r="K931" s="715">
        <f t="shared" ref="K931" si="688">I931+J931</f>
        <v>0</v>
      </c>
      <c r="L931" s="715"/>
      <c r="M931" s="689" t="str">
        <f ca="1">IF(AND(G931&gt;0,E931=0),"WARNING - no PRICE inserted",IF(H931="free","FREE ~ no charge this plant",IF(H931="credit",CONCATENATE("-$",ROUND(K931*(1-_xlfn.SINGLE(T2GDiscount))*-1,2)," CREDIT after discount"),IF(_xlfn.SINGLE(T2GDiscount)=0,"",IF(G931=0,"",IF(F931="Buy",CONCATENATE("$",ROUND(K931*(1-_xlfn.SINGLE(T2GDiscount)),2)," with ",(_xlfn.SINGLE(T2GDiscount)*100),"% discount"),CONCATENATE("$",ROUND(K931*(1-_xlfn.SINGLE(T2GDiscount)),2)," with ",((_xlfn.SINGLE(T2GDiscount)*100+F931*100)-(_xlfn.SINGLE(T2GDiscount)*100*F931)),IF(F931&gt;0,"% discounts",IF(_xlfn.SINGLE(NoWarrantyDiscount)&gt;0,"% discounts","% discount")))))))))</f>
        <v/>
      </c>
      <c r="N931" s="690"/>
      <c r="O931" s="486"/>
      <c r="P931" s="486"/>
      <c r="Q931" s="486"/>
      <c r="R931" s="486"/>
      <c r="S931" s="486"/>
      <c r="T931" s="102">
        <f t="shared" si="667"/>
        <v>0</v>
      </c>
      <c r="U931" s="78">
        <f>IF(NOT(ISNUMBER(G931)), "", VLOOKUP(A931,'Discount Lookup'!D:E,2,FALSE)*G931)</f>
        <v>0</v>
      </c>
      <c r="V931" s="78">
        <f>IF(NOT(ISNUMBER(G931)), "", VLOOKUP(A931,'Discount Lookup'!G:H,2,FALSE)*G931)</f>
        <v>0</v>
      </c>
      <c r="W931" s="102">
        <f t="shared" si="668"/>
        <v>0</v>
      </c>
      <c r="X931" s="102">
        <f t="shared" si="669"/>
        <v>0</v>
      </c>
      <c r="Y931" s="120" t="b">
        <f t="shared" si="670"/>
        <v>0</v>
      </c>
      <c r="Z931" s="117">
        <f t="shared" si="671"/>
        <v>0</v>
      </c>
      <c r="AA931" s="118"/>
      <c r="AB931" s="118" t="str">
        <f t="shared" si="672"/>
        <v/>
      </c>
      <c r="AC931" s="712" t="str">
        <f>IF(AE931="T2G","no charge",IF(AND(OR(PlanterYesMe="No",PlanterYesMe="N",PlanterYesMe="me"),H931=""),"",IF(H931="credit","NO install",IF(AND(K931="",AE931="me"),"EACH row",IF(AND(K931="images",AE931="me"),"EACH row",IF(D931="","",IF(H931="credit","",IF(AE931="free","re-planting",IF(AE931="me","   not ELP, by",IF(AND(OR(PlanterYesMe="Yes",PlanterYesMe="Y"),G931&gt;0),(VLOOKUP(A931,'Discount Lookup'!J:K,2)*G931*(1-PlanterDiscount)*(1+PlanterDifficultyPercentage)),IF(AE931="ELP",(VLOOKUP(A931,'Discount Lookup'!J:K,2)*G931*(1-PlanterDiscount)*(1+PlanterDifficultyPercentage)),IF(AE931="free","re-planting",IF(G931=0,"",IF(PlanterYesMe="",IF(AE931="me","   not ELP, by",IF(AE931="",IF(G931&gt;0,(VLOOKUP(A931,'Discount Lookup'!J:K,2)*G931*(1-PlanterDiscount)*(1+PlanterDifficultyPercentage)),""),"")),"   not ELP, by"))))))))))))))</f>
        <v/>
      </c>
      <c r="AD931" s="712"/>
      <c r="AE931" s="513" t="str">
        <f t="shared" si="673"/>
        <v/>
      </c>
      <c r="AF931" s="713" t="str">
        <f t="shared" si="674"/>
        <v/>
      </c>
      <c r="AG931" s="713"/>
      <c r="AH931" s="713"/>
      <c r="AI931" s="112">
        <f>IF(H931="credit",0,IF(AE931="free",0,IF(AE931="me",0,IF(G931&gt;0,(VLOOKUP(A931,'Discount Lookup'!J:K,2)*G931),0))))</f>
        <v>0</v>
      </c>
      <c r="AJ931" s="107" t="str">
        <f t="shared" ca="1" si="675"/>
        <v/>
      </c>
      <c r="AK931" s="714" t="str">
        <f t="shared" si="676"/>
        <v/>
      </c>
      <c r="AL931" s="714"/>
      <c r="AM931" s="114" t="str">
        <f t="shared" si="677"/>
        <v/>
      </c>
      <c r="AN931" s="115"/>
      <c r="AO931" s="116"/>
      <c r="AP931" s="116"/>
      <c r="AQ931" s="116"/>
      <c r="AR931" s="116"/>
      <c r="AS931" s="116"/>
      <c r="AT931" s="116"/>
      <c r="AU931" s="116"/>
      <c r="AV931" s="78"/>
      <c r="AW931" s="102"/>
      <c r="AX931" s="78"/>
      <c r="AY931" s="78"/>
      <c r="AZ931" s="78"/>
      <c r="BA931" s="78"/>
      <c r="BB931" s="78"/>
      <c r="BC931" s="78"/>
      <c r="BD931" s="78"/>
      <c r="BE931" s="465"/>
      <c r="BF931" s="165" t="str">
        <f t="shared" si="678"/>
        <v>https://www.google.com/search?tbm=isch&amp;q=7%20G4</v>
      </c>
      <c r="BG931" s="165" t="str">
        <f t="shared" si="679"/>
        <v>C</v>
      </c>
      <c r="BH931" s="65"/>
      <c r="BI931" s="65"/>
      <c r="BJ931" s="65"/>
      <c r="BK931" s="65"/>
      <c r="BL931" s="99"/>
      <c r="BM931" s="99"/>
      <c r="BN931" s="99"/>
    </row>
    <row r="932" spans="1:66" s="51" customFormat="1" ht="15.75" x14ac:dyDescent="0.25">
      <c r="A932" s="478">
        <v>15</v>
      </c>
      <c r="B932" s="479" t="s">
        <v>291</v>
      </c>
      <c r="C932" s="480" t="s">
        <v>1992</v>
      </c>
      <c r="D932" s="481" t="s">
        <v>299</v>
      </c>
      <c r="E932" s="482">
        <v>270.95</v>
      </c>
      <c r="F932" s="483" t="s">
        <v>292</v>
      </c>
      <c r="G932" s="484">
        <v>0</v>
      </c>
      <c r="H932" s="688" t="str">
        <f>IF(G932=0,"",IF(F932="Buy",IF(G932=1,"plant","plants"),IF(F932&gt;0.01,"warranty","Error")))</f>
        <v/>
      </c>
      <c r="I932" s="485">
        <f>IF(H932="free",0,IF(H932="credit",((E932*(F932))*G932*-1),IF(F932="Buy",(E932*G932),((E932*(1-F932))*G932))))</f>
        <v>0</v>
      </c>
      <c r="J932" s="485">
        <f>IF(H932="warranty",0,(I932*(_xlfn.SINGLE(SalesTaxPercentage))))</f>
        <v>0</v>
      </c>
      <c r="K932" s="715">
        <f t="shared" ref="K932" si="689">I932+J932</f>
        <v>0</v>
      </c>
      <c r="L932" s="715"/>
      <c r="M932" s="689" t="str">
        <f ca="1">IF(AND(G932&gt;0,E932=0),"WARNING - no PRICE inserted",IF(H932="free","FREE ~ no charge this plant",IF(H932="credit",CONCATENATE("-$",ROUND(K932*(1-_xlfn.SINGLE(T2GDiscount))*-1,2)," CREDIT after discount"),IF(_xlfn.SINGLE(T2GDiscount)=0,"",IF(G932=0,"",IF(F932="Buy",CONCATENATE("$",ROUND(K932*(1-_xlfn.SINGLE(T2GDiscount)),2)," with ",(_xlfn.SINGLE(T2GDiscount)*100),"% discount"),CONCATENATE("$",ROUND(K932*(1-_xlfn.SINGLE(T2GDiscount)),2)," with ",((_xlfn.SINGLE(T2GDiscount)*100+F932*100)-(_xlfn.SINGLE(T2GDiscount)*100*F932)),IF(F932&gt;0,"% discounts",IF(_xlfn.SINGLE(NoWarrantyDiscount)&gt;0,"% discounts","% discount")))))))))</f>
        <v/>
      </c>
      <c r="N932" s="690"/>
      <c r="O932" s="486"/>
      <c r="P932" s="486"/>
      <c r="Q932" s="486"/>
      <c r="R932" s="486"/>
      <c r="S932" s="486"/>
      <c r="T932" s="102">
        <f t="shared" si="667"/>
        <v>0</v>
      </c>
      <c r="U932" s="78">
        <f>IF(NOT(ISNUMBER(G932)), "", VLOOKUP(A932,'Discount Lookup'!D:E,2,FALSE)*G932)</f>
        <v>0</v>
      </c>
      <c r="V932" s="78">
        <f>IF(NOT(ISNUMBER(G932)), "", VLOOKUP(A932,'Discount Lookup'!G:H,2,FALSE)*G932)</f>
        <v>0</v>
      </c>
      <c r="W932" s="102">
        <f t="shared" si="668"/>
        <v>0</v>
      </c>
      <c r="X932" s="102">
        <f t="shared" si="669"/>
        <v>0</v>
      </c>
      <c r="Y932" s="120" t="b">
        <f t="shared" si="670"/>
        <v>0</v>
      </c>
      <c r="Z932" s="117">
        <f t="shared" si="671"/>
        <v>0</v>
      </c>
      <c r="AA932" s="118"/>
      <c r="AB932" s="118" t="str">
        <f t="shared" si="672"/>
        <v/>
      </c>
      <c r="AC932" s="712" t="str">
        <f>IF(AE932="T2G","no charge",IF(AND(OR(PlanterYesMe="No",PlanterYesMe="N",PlanterYesMe="me"),H932=""),"",IF(H932="credit","NO install",IF(AND(K932="",AE932="me"),"EACH row",IF(AND(K932="images",AE932="me"),"EACH row",IF(D932="","",IF(H932="credit","",IF(AE932="free","re-planting",IF(AE932="me","   not ELP, by",IF(AND(OR(PlanterYesMe="Yes",PlanterYesMe="Y"),G932&gt;0),(VLOOKUP(A932,'Discount Lookup'!J:K,2)*G932*(1-PlanterDiscount)*(1+PlanterDifficultyPercentage)),IF(AE932="ELP",(VLOOKUP(A932,'Discount Lookup'!J:K,2)*G932*(1-PlanterDiscount)*(1+PlanterDifficultyPercentage)),IF(AE932="free","re-planting",IF(G932=0,"",IF(PlanterYesMe="",IF(AE932="me","   not ELP, by",IF(AE932="",IF(G932&gt;0,(VLOOKUP(A932,'Discount Lookup'!J:K,2)*G932*(1-PlanterDiscount)*(1+PlanterDifficultyPercentage)),""),"")),"   not ELP, by"))))))))))))))</f>
        <v/>
      </c>
      <c r="AD932" s="712"/>
      <c r="AE932" s="513" t="str">
        <f t="shared" si="673"/>
        <v/>
      </c>
      <c r="AF932" s="713" t="str">
        <f t="shared" si="674"/>
        <v/>
      </c>
      <c r="AG932" s="713"/>
      <c r="AH932" s="713"/>
      <c r="AI932" s="112">
        <f>IF(H932="credit",0,IF(AE932="free",0,IF(AE932="me",0,IF(G932&gt;0,(VLOOKUP(A932,'Discount Lookup'!J:K,2)*G932),0))))</f>
        <v>0</v>
      </c>
      <c r="AJ932" s="107" t="str">
        <f t="shared" ca="1" si="675"/>
        <v/>
      </c>
      <c r="AK932" s="714" t="str">
        <f t="shared" si="676"/>
        <v/>
      </c>
      <c r="AL932" s="714"/>
      <c r="AM932" s="114" t="str">
        <f t="shared" si="677"/>
        <v/>
      </c>
      <c r="AN932" s="115"/>
      <c r="AO932" s="116"/>
      <c r="AP932" s="116"/>
      <c r="AQ932" s="116"/>
      <c r="AR932" s="116"/>
      <c r="AS932" s="116"/>
      <c r="AT932" s="116"/>
      <c r="AU932" s="116"/>
      <c r="AV932" s="78"/>
      <c r="AW932" s="102"/>
      <c r="AX932" s="78"/>
      <c r="AY932" s="78"/>
      <c r="AZ932" s="78"/>
      <c r="BA932" s="78"/>
      <c r="BB932" s="78"/>
      <c r="BC932" s="78"/>
      <c r="BD932" s="78"/>
      <c r="BE932" s="465"/>
      <c r="BF932" s="165" t="str">
        <f t="shared" si="678"/>
        <v>https://www.google.com/search?tbm=isch&amp;q=15%20G4</v>
      </c>
      <c r="BG932" s="165" t="str">
        <f t="shared" si="679"/>
        <v>C</v>
      </c>
      <c r="BH932" s="65"/>
      <c r="BI932" s="65"/>
      <c r="BJ932" s="65"/>
      <c r="BK932" s="65"/>
      <c r="BL932" s="99"/>
      <c r="BM932" s="99"/>
      <c r="BN932" s="99"/>
    </row>
    <row r="933" spans="1:66" s="51" customFormat="1" ht="17.25" thickBot="1" x14ac:dyDescent="0.3">
      <c r="A933" s="508" t="s">
        <v>1971</v>
      </c>
      <c r="B933" s="487"/>
      <c r="C933" s="707"/>
      <c r="D933" s="487"/>
      <c r="E933" s="487"/>
      <c r="F933" s="488"/>
      <c r="G933" s="489"/>
      <c r="H933" s="487"/>
      <c r="I933" s="490"/>
      <c r="J933" s="490"/>
      <c r="K933" s="491"/>
      <c r="L933" s="547"/>
      <c r="M933" s="528"/>
      <c r="N933" s="492"/>
      <c r="O933" s="493"/>
      <c r="P933" s="494"/>
      <c r="Q933" s="492"/>
      <c r="R933" s="492"/>
      <c r="S933" s="699" t="s">
        <v>5278</v>
      </c>
      <c r="T933" s="102">
        <f t="shared" si="667"/>
        <v>0</v>
      </c>
      <c r="U933" s="78" t="str">
        <f>IF(NOT(ISNUMBER(G933)), "", VLOOKUP(A933,'Discount Lookup'!D:E,2,FALSE)*G933)</f>
        <v/>
      </c>
      <c r="V933" s="78" t="str">
        <f>IF(NOT(ISNUMBER(G933)), "", VLOOKUP(A933,'Discount Lookup'!G:H,2,FALSE)*G933)</f>
        <v/>
      </c>
      <c r="W933" s="102">
        <f t="shared" si="668"/>
        <v>0</v>
      </c>
      <c r="X933" s="102">
        <f t="shared" si="669"/>
        <v>0</v>
      </c>
      <c r="Y933" s="120" t="b">
        <f t="shared" si="670"/>
        <v>0</v>
      </c>
      <c r="Z933" s="117">
        <f t="shared" si="671"/>
        <v>0</v>
      </c>
      <c r="AA933" s="118"/>
      <c r="AB933" s="118" t="str">
        <f t="shared" si="672"/>
        <v/>
      </c>
      <c r="AC933" s="712" t="str">
        <f>IF(AE933="T2G","no charge",IF(AND(OR(PlanterYesMe="No",PlanterYesMe="N",PlanterYesMe="me"),H933=""),"",IF(H933="credit","NO install",IF(AND(K933="",AE933="me"),"EACH row",IF(AND(K933="images",AE933="me"),"EACH row",IF(D933="","",IF(H933="credit","",IF(AE933="free","re-planting",IF(AE933="me","   not ELP, by",IF(AND(OR(PlanterYesMe="Yes",PlanterYesMe="Y"),G933&gt;0),(VLOOKUP(A933,'Discount Lookup'!J:K,2)*G933*(1-PlanterDiscount)*(1+PlanterDifficultyPercentage)),IF(AE933="ELP",(VLOOKUP(A933,'Discount Lookup'!J:K,2)*G933*(1-PlanterDiscount)*(1+PlanterDifficultyPercentage)),IF(AE933="free","re-planting",IF(G933=0,"",IF(PlanterYesMe="",IF(AE933="me","   not ELP, by",IF(AE933="",IF(G933&gt;0,(VLOOKUP(A933,'Discount Lookup'!J:K,2)*G933*(1-PlanterDiscount)*(1+PlanterDifficultyPercentage)),""),"")),"   not ELP, by"))))))))))))))</f>
        <v/>
      </c>
      <c r="AD933" s="712"/>
      <c r="AE933" s="513" t="str">
        <f t="shared" si="673"/>
        <v/>
      </c>
      <c r="AF933" s="713" t="str">
        <f t="shared" si="674"/>
        <v/>
      </c>
      <c r="AG933" s="713"/>
      <c r="AH933" s="713"/>
      <c r="AI933" s="112">
        <f>IF(H933="credit",0,IF(AE933="free",0,IF(AE933="me",0,IF(G933&gt;0,(VLOOKUP(A933,'Discount Lookup'!J:K,2)*G933),0))))</f>
        <v>0</v>
      </c>
      <c r="AJ933" s="107" t="str">
        <f t="shared" ca="1" si="675"/>
        <v/>
      </c>
      <c r="AK933" s="714" t="str">
        <f t="shared" si="676"/>
        <v/>
      </c>
      <c r="AL933" s="714"/>
      <c r="AM933" s="114" t="str">
        <f t="shared" si="677"/>
        <v/>
      </c>
      <c r="AN933" s="115"/>
      <c r="AO933" s="116"/>
      <c r="AP933" s="116"/>
      <c r="AQ933" s="116"/>
      <c r="AR933" s="116"/>
      <c r="AS933" s="116"/>
      <c r="AT933" s="116"/>
      <c r="AU933" s="116"/>
      <c r="AV933" s="78"/>
      <c r="AW933" s="102"/>
      <c r="AX933" s="78"/>
      <c r="AY933" s="78"/>
      <c r="AZ933" s="78"/>
      <c r="BA933" s="78"/>
      <c r="BB933" s="78"/>
      <c r="BC933" s="78"/>
      <c r="BD933" s="78"/>
      <c r="BE933" s="465"/>
      <c r="BF933" s="165" t="str">
        <f t="shared" si="678"/>
        <v>https://www.google.com/search?tbm=isch&amp;q=All%20Plum%20Yews%20have%20fine-textured%20foliage%20with%20brown%2C%20scaly%20bark.%20Slow%20growing%2C%20heat%20and%20shade%20tolerant%20</v>
      </c>
      <c r="BG933" s="165" t="str">
        <f t="shared" si="679"/>
        <v>A</v>
      </c>
      <c r="BH933" s="65"/>
      <c r="BI933" s="65"/>
      <c r="BJ933" s="65"/>
      <c r="BK933" s="65"/>
      <c r="BL933" s="99"/>
      <c r="BM933" s="99"/>
      <c r="BN933" s="99"/>
    </row>
    <row r="934" spans="1:66" s="51" customFormat="1" ht="18" x14ac:dyDescent="0.25">
      <c r="A934" s="507" t="s">
        <v>1993</v>
      </c>
      <c r="B934" s="470"/>
      <c r="C934" s="706"/>
      <c r="D934" s="471" t="s">
        <v>1994</v>
      </c>
      <c r="E934" s="472"/>
      <c r="F934" s="472"/>
      <c r="G934" s="472"/>
      <c r="H934" s="622" t="s">
        <v>318</v>
      </c>
      <c r="I934" s="473" t="s">
        <v>1995</v>
      </c>
      <c r="J934" s="472"/>
      <c r="K934" s="472"/>
      <c r="L934" s="561"/>
      <c r="M934" s="703" t="s">
        <v>5260</v>
      </c>
      <c r="N934" s="692" t="str">
        <f>IF(AND(ISTEXT($A934), ISERROR($A934+0)), HYPERLINK($BF934, "Images"), "")</f>
        <v>Images</v>
      </c>
      <c r="O934" s="694" t="s">
        <v>5244</v>
      </c>
      <c r="P934" s="475"/>
      <c r="Q934" s="476"/>
      <c r="R934" s="476"/>
      <c r="S934" s="477"/>
      <c r="T934" s="102">
        <f t="shared" si="667"/>
        <v>0</v>
      </c>
      <c r="U934" s="78" t="str">
        <f>IF(NOT(ISNUMBER(G934)), "", VLOOKUP(A934,'Discount Lookup'!D:E,2,FALSE)*G934)</f>
        <v/>
      </c>
      <c r="V934" s="78" t="str">
        <f>IF(NOT(ISNUMBER(G934)), "", VLOOKUP(A934,'Discount Lookup'!G:H,2,FALSE)*G934)</f>
        <v/>
      </c>
      <c r="W934" s="102">
        <f t="shared" si="668"/>
        <v>0</v>
      </c>
      <c r="X934" s="102" t="str">
        <f t="shared" si="669"/>
        <v>Grren &amp; Gold foliage</v>
      </c>
      <c r="Y934" s="120" t="b">
        <f t="shared" si="670"/>
        <v>0</v>
      </c>
      <c r="Z934" s="117">
        <f t="shared" si="671"/>
        <v>0</v>
      </c>
      <c r="AA934" s="118"/>
      <c r="AB934" s="118" t="str">
        <f t="shared" si="672"/>
        <v/>
      </c>
      <c r="AC934" s="712" t="str">
        <f>IF(AE934="T2G","no charge",IF(AND(OR(PlanterYesMe="No",PlanterYesMe="N",PlanterYesMe="me"),H934=""),"",IF(H934="credit","NO install",IF(AND(K934="",AE934="me"),"EACH row",IF(AND(K934="images",AE934="me"),"EACH row",IF(D934="","",IF(H934="credit","",IF(AE934="free","re-planting",IF(AE934="me","   not ELP, by",IF(AND(OR(PlanterYesMe="Yes",PlanterYesMe="Y"),G934&gt;0),(VLOOKUP(A934,'Discount Lookup'!J:K,2)*G934*(1-PlanterDiscount)*(1+PlanterDifficultyPercentage)),IF(AE934="ELP",(VLOOKUP(A934,'Discount Lookup'!J:K,2)*G934*(1-PlanterDiscount)*(1+PlanterDifficultyPercentage)),IF(AE934="free","re-planting",IF(G934=0,"",IF(PlanterYesMe="",IF(AE934="me","   not ELP, by",IF(AE934="",IF(G934&gt;0,(VLOOKUP(A934,'Discount Lookup'!J:K,2)*G934*(1-PlanterDiscount)*(1+PlanterDifficultyPercentage)),""),"")),"   not ELP, by"))))))))))))))</f>
        <v/>
      </c>
      <c r="AD934" s="712"/>
      <c r="AE934" s="513" t="str">
        <f t="shared" si="673"/>
        <v/>
      </c>
      <c r="AF934" s="713" t="str">
        <f t="shared" si="674"/>
        <v/>
      </c>
      <c r="AG934" s="713"/>
      <c r="AH934" s="713"/>
      <c r="AI934" s="112">
        <f>IF(H934="credit",0,IF(AE934="free",0,IF(AE934="me",0,IF(G934&gt;0,(VLOOKUP(A934,'Discount Lookup'!J:K,2)*G934),0))))</f>
        <v>0</v>
      </c>
      <c r="AJ934" s="107" t="str">
        <f t="shared" ca="1" si="675"/>
        <v/>
      </c>
      <c r="AK934" s="714" t="str">
        <f t="shared" si="676"/>
        <v/>
      </c>
      <c r="AL934" s="714"/>
      <c r="AM934" s="114" t="str">
        <f t="shared" si="677"/>
        <v/>
      </c>
      <c r="AN934" s="115"/>
      <c r="AO934" s="116"/>
      <c r="AP934" s="116"/>
      <c r="AQ934" s="116"/>
      <c r="AR934" s="116"/>
      <c r="AS934" s="116"/>
      <c r="AT934" s="116"/>
      <c r="AU934" s="116"/>
      <c r="AV934" s="78"/>
      <c r="AW934" s="102"/>
      <c r="AX934" s="78"/>
      <c r="AY934" s="78"/>
      <c r="AZ934" s="78"/>
      <c r="BA934" s="78"/>
      <c r="BB934" s="78"/>
      <c r="BC934" s="78"/>
      <c r="BD934" s="78"/>
      <c r="BE934" s="465"/>
      <c r="BF934" s="165" t="str">
        <f t="shared" si="678"/>
        <v>https://www.google.com/search?tbm=isch&amp;q=Cephalotaxus%20harringtonia%20%27Korean%20Gold%27%20Korean%20Gold%20Japanese%20Plum%20Yew</v>
      </c>
      <c r="BG934" s="165" t="str">
        <f t="shared" si="679"/>
        <v>C</v>
      </c>
      <c r="BH934" s="65"/>
      <c r="BI934" s="65"/>
      <c r="BJ934" s="65"/>
      <c r="BK934" s="65"/>
      <c r="BL934" s="99"/>
      <c r="BM934" s="99"/>
      <c r="BN934" s="99"/>
    </row>
    <row r="935" spans="1:66" s="51" customFormat="1" ht="27" x14ac:dyDescent="0.25">
      <c r="A935" s="478">
        <v>3</v>
      </c>
      <c r="B935" s="479" t="s">
        <v>291</v>
      </c>
      <c r="C935" s="480" t="s">
        <v>1996</v>
      </c>
      <c r="D935" s="481" t="s">
        <v>299</v>
      </c>
      <c r="E935" s="482">
        <v>43.95</v>
      </c>
      <c r="F935" s="483" t="s">
        <v>292</v>
      </c>
      <c r="G935" s="484">
        <v>0</v>
      </c>
      <c r="H935" s="688" t="str">
        <f>IF(G935=0,"",IF(F935="Buy",IF(G935=1,"plant","plants"),IF(F935&gt;0.01,"warranty","Error")))</f>
        <v/>
      </c>
      <c r="I935" s="485">
        <f>IF(H935="free",0,IF(H935="credit",((E935*(F935))*G935*-1),IF(F935="Buy",(E935*G935),((E935*(1-F935))*G935))))</f>
        <v>0</v>
      </c>
      <c r="J935" s="485">
        <f>IF(H935="warranty",0,(I935*(_xlfn.SINGLE(SalesTaxPercentage))))</f>
        <v>0</v>
      </c>
      <c r="K935" s="715">
        <f t="shared" ref="K935" si="690">I935+J935</f>
        <v>0</v>
      </c>
      <c r="L935" s="715"/>
      <c r="M935" s="689" t="str">
        <f ca="1">IF(AND(G935&gt;0,E935=0),"WARNING - no PRICE inserted",IF(H935="free","FREE ~ no charge this plant",IF(H935="credit",CONCATENATE("-$",ROUND(K935*(1-_xlfn.SINGLE(T2GDiscount))*-1,2)," CREDIT after discount"),IF(_xlfn.SINGLE(T2GDiscount)=0,"",IF(G935=0,"",IF(F935="Buy",CONCATENATE("$",ROUND(K935*(1-_xlfn.SINGLE(T2GDiscount)),2)," with ",(_xlfn.SINGLE(T2GDiscount)*100),"% discount"),CONCATENATE("$",ROUND(K935*(1-_xlfn.SINGLE(T2GDiscount)),2)," with ",((_xlfn.SINGLE(T2GDiscount)*100+F935*100)-(_xlfn.SINGLE(T2GDiscount)*100*F935)),IF(F935&gt;0,"% discounts",IF(_xlfn.SINGLE(NoWarrantyDiscount)&gt;0,"% discounts","% discount")))))))))</f>
        <v/>
      </c>
      <c r="N935" s="690"/>
      <c r="O935" s="486"/>
      <c r="P935" s="486"/>
      <c r="Q935" s="486"/>
      <c r="R935" s="486"/>
      <c r="S935" s="486"/>
      <c r="T935" s="102">
        <f t="shared" si="667"/>
        <v>0</v>
      </c>
      <c r="U935" s="78">
        <f>IF(NOT(ISNUMBER(G935)), "", VLOOKUP(A935,'Discount Lookup'!D:E,2,FALSE)*G935)</f>
        <v>0</v>
      </c>
      <c r="V935" s="78">
        <f>IF(NOT(ISNUMBER(G935)), "", VLOOKUP(A935,'Discount Lookup'!G:H,2,FALSE)*G935)</f>
        <v>0</v>
      </c>
      <c r="W935" s="102">
        <f t="shared" si="668"/>
        <v>0</v>
      </c>
      <c r="X935" s="102">
        <f t="shared" si="669"/>
        <v>0</v>
      </c>
      <c r="Y935" s="120" t="b">
        <f t="shared" si="670"/>
        <v>0</v>
      </c>
      <c r="Z935" s="117">
        <f t="shared" si="671"/>
        <v>0</v>
      </c>
      <c r="AA935" s="118"/>
      <c r="AB935" s="118" t="str">
        <f t="shared" si="672"/>
        <v/>
      </c>
      <c r="AC935" s="712" t="str">
        <f>IF(AE935="T2G","no charge",IF(AND(OR(PlanterYesMe="No",PlanterYesMe="N",PlanterYesMe="me"),H935=""),"",IF(H935="credit","NO install",IF(AND(K935="",AE935="me"),"EACH row",IF(AND(K935="images",AE935="me"),"EACH row",IF(D935="","",IF(H935="credit","",IF(AE935="free","re-planting",IF(AE935="me","   not ELP, by",IF(AND(OR(PlanterYesMe="Yes",PlanterYesMe="Y"),G935&gt;0),(VLOOKUP(A935,'Discount Lookup'!J:K,2)*G935*(1-PlanterDiscount)*(1+PlanterDifficultyPercentage)),IF(AE935="ELP",(VLOOKUP(A935,'Discount Lookup'!J:K,2)*G935*(1-PlanterDiscount)*(1+PlanterDifficultyPercentage)),IF(AE935="free","re-planting",IF(G935=0,"",IF(PlanterYesMe="",IF(AE935="me","   not ELP, by",IF(AE935="",IF(G935&gt;0,(VLOOKUP(A935,'Discount Lookup'!J:K,2)*G935*(1-PlanterDiscount)*(1+PlanterDifficultyPercentage)),""),"")),"   not ELP, by"))))))))))))))</f>
        <v/>
      </c>
      <c r="AD935" s="712"/>
      <c r="AE935" s="513" t="str">
        <f t="shared" si="673"/>
        <v/>
      </c>
      <c r="AF935" s="713" t="str">
        <f t="shared" si="674"/>
        <v/>
      </c>
      <c r="AG935" s="713"/>
      <c r="AH935" s="713"/>
      <c r="AI935" s="112">
        <f>IF(H935="credit",0,IF(AE935="free",0,IF(AE935="me",0,IF(G935&gt;0,(VLOOKUP(A935,'Discount Lookup'!J:K,2)*G935),0))))</f>
        <v>0</v>
      </c>
      <c r="AJ935" s="107" t="str">
        <f t="shared" ca="1" si="675"/>
        <v/>
      </c>
      <c r="AK935" s="714" t="str">
        <f t="shared" si="676"/>
        <v/>
      </c>
      <c r="AL935" s="714"/>
      <c r="AM935" s="114" t="str">
        <f t="shared" si="677"/>
        <v/>
      </c>
      <c r="AN935" s="115"/>
      <c r="AO935" s="116"/>
      <c r="AP935" s="116"/>
      <c r="AQ935" s="116"/>
      <c r="AR935" s="116"/>
      <c r="AS935" s="116"/>
      <c r="AT935" s="116"/>
      <c r="AU935" s="116"/>
      <c r="AV935" s="78"/>
      <c r="AW935" s="102"/>
      <c r="AX935" s="78"/>
      <c r="AY935" s="78"/>
      <c r="AZ935" s="78"/>
      <c r="BA935" s="78"/>
      <c r="BB935" s="78"/>
      <c r="BC935" s="78"/>
      <c r="BD935" s="78"/>
      <c r="BE935" s="465"/>
      <c r="BF935" s="165" t="str">
        <f t="shared" si="678"/>
        <v>https://www.google.com/search?tbm=isch&amp;q=3%20G4</v>
      </c>
      <c r="BG935" s="165" t="str">
        <f t="shared" si="679"/>
        <v>C</v>
      </c>
      <c r="BH935" s="65"/>
      <c r="BI935" s="65"/>
      <c r="BJ935" s="65"/>
      <c r="BK935" s="65"/>
      <c r="BL935" s="99"/>
      <c r="BM935" s="99"/>
      <c r="BN935" s="99"/>
    </row>
    <row r="936" spans="1:66" s="51" customFormat="1" ht="17.25" thickBot="1" x14ac:dyDescent="0.3">
      <c r="A936" s="508" t="s">
        <v>1971</v>
      </c>
      <c r="B936" s="487"/>
      <c r="C936" s="707"/>
      <c r="D936" s="487"/>
      <c r="E936" s="487"/>
      <c r="F936" s="488"/>
      <c r="G936" s="489"/>
      <c r="H936" s="487"/>
      <c r="I936" s="490"/>
      <c r="J936" s="490"/>
      <c r="K936" s="491"/>
      <c r="L936" s="547"/>
      <c r="M936" s="528"/>
      <c r="N936" s="492"/>
      <c r="O936" s="493"/>
      <c r="P936" s="494"/>
      <c r="Q936" s="492"/>
      <c r="R936" s="492"/>
      <c r="S936" s="699" t="s">
        <v>5278</v>
      </c>
      <c r="T936" s="102">
        <f t="shared" si="667"/>
        <v>0</v>
      </c>
      <c r="U936" s="78" t="str">
        <f>IF(NOT(ISNUMBER(G936)), "", VLOOKUP(A936,'Discount Lookup'!D:E,2,FALSE)*G936)</f>
        <v/>
      </c>
      <c r="V936" s="78" t="str">
        <f>IF(NOT(ISNUMBER(G936)), "", VLOOKUP(A936,'Discount Lookup'!G:H,2,FALSE)*G936)</f>
        <v/>
      </c>
      <c r="W936" s="102">
        <f t="shared" si="668"/>
        <v>0</v>
      </c>
      <c r="X936" s="102">
        <f t="shared" si="669"/>
        <v>0</v>
      </c>
      <c r="Y936" s="120" t="b">
        <f t="shared" si="670"/>
        <v>0</v>
      </c>
      <c r="Z936" s="117">
        <f t="shared" si="671"/>
        <v>0</v>
      </c>
      <c r="AA936" s="118"/>
      <c r="AB936" s="118" t="str">
        <f t="shared" si="672"/>
        <v/>
      </c>
      <c r="AC936" s="712" t="str">
        <f>IF(AE936="T2G","no charge",IF(AND(OR(PlanterYesMe="No",PlanterYesMe="N",PlanterYesMe="me"),H936=""),"",IF(H936="credit","NO install",IF(AND(K936="",AE936="me"),"EACH row",IF(AND(K936="images",AE936="me"),"EACH row",IF(D936="","",IF(H936="credit","",IF(AE936="free","re-planting",IF(AE936="me","   not ELP, by",IF(AND(OR(PlanterYesMe="Yes",PlanterYesMe="Y"),G936&gt;0),(VLOOKUP(A936,'Discount Lookup'!J:K,2)*G936*(1-PlanterDiscount)*(1+PlanterDifficultyPercentage)),IF(AE936="ELP",(VLOOKUP(A936,'Discount Lookup'!J:K,2)*G936*(1-PlanterDiscount)*(1+PlanterDifficultyPercentage)),IF(AE936="free","re-planting",IF(G936=0,"",IF(PlanterYesMe="",IF(AE936="me","   not ELP, by",IF(AE936="",IF(G936&gt;0,(VLOOKUP(A936,'Discount Lookup'!J:K,2)*G936*(1-PlanterDiscount)*(1+PlanterDifficultyPercentage)),""),"")),"   not ELP, by"))))))))))))))</f>
        <v/>
      </c>
      <c r="AD936" s="712"/>
      <c r="AE936" s="513" t="str">
        <f t="shared" si="673"/>
        <v/>
      </c>
      <c r="AF936" s="713" t="str">
        <f t="shared" si="674"/>
        <v/>
      </c>
      <c r="AG936" s="713"/>
      <c r="AH936" s="713"/>
      <c r="AI936" s="112">
        <f>IF(H936="credit",0,IF(AE936="free",0,IF(AE936="me",0,IF(G936&gt;0,(VLOOKUP(A936,'Discount Lookup'!J:K,2)*G936),0))))</f>
        <v>0</v>
      </c>
      <c r="AJ936" s="107" t="str">
        <f t="shared" ca="1" si="675"/>
        <v/>
      </c>
      <c r="AK936" s="714" t="str">
        <f t="shared" si="676"/>
        <v/>
      </c>
      <c r="AL936" s="714"/>
      <c r="AM936" s="114" t="str">
        <f t="shared" si="677"/>
        <v/>
      </c>
      <c r="AN936" s="115"/>
      <c r="AO936" s="116"/>
      <c r="AP936" s="116"/>
      <c r="AQ936" s="116"/>
      <c r="AR936" s="116"/>
      <c r="AS936" s="116"/>
      <c r="AT936" s="116"/>
      <c r="AU936" s="116"/>
      <c r="AV936" s="78"/>
      <c r="AW936" s="102"/>
      <c r="AX936" s="78"/>
      <c r="AY936" s="78"/>
      <c r="AZ936" s="78"/>
      <c r="BA936" s="78"/>
      <c r="BB936" s="78"/>
      <c r="BC936" s="78"/>
      <c r="BD936" s="78"/>
      <c r="BE936" s="465"/>
      <c r="BF936" s="165" t="str">
        <f t="shared" si="678"/>
        <v>https://www.google.com/search?tbm=isch&amp;q=All%20Plum%20Yews%20have%20fine-textured%20foliage%20with%20brown%2C%20scaly%20bark.%20Slow%20growing%2C%20heat%20and%20shade%20tolerant%20</v>
      </c>
      <c r="BG936" s="165" t="str">
        <f t="shared" si="679"/>
        <v>A</v>
      </c>
      <c r="BH936" s="65"/>
      <c r="BI936" s="65"/>
      <c r="BJ936" s="65"/>
      <c r="BK936" s="65"/>
      <c r="BL936" s="99"/>
      <c r="BM936" s="99"/>
      <c r="BN936" s="99"/>
    </row>
    <row r="937" spans="1:66" s="51" customFormat="1" ht="18" x14ac:dyDescent="0.25">
      <c r="A937" s="507" t="s">
        <v>1997</v>
      </c>
      <c r="B937" s="470"/>
      <c r="C937" s="706"/>
      <c r="D937" s="471" t="s">
        <v>5622</v>
      </c>
      <c r="E937" s="472"/>
      <c r="F937" s="472"/>
      <c r="G937" s="472"/>
      <c r="H937" s="622" t="s">
        <v>1124</v>
      </c>
      <c r="I937" s="473" t="s">
        <v>431</v>
      </c>
      <c r="J937" s="472"/>
      <c r="K937" s="472"/>
      <c r="L937" s="561"/>
      <c r="M937" s="703" t="s">
        <v>5260</v>
      </c>
      <c r="N937" s="692" t="str">
        <f>IF(AND(ISTEXT($A937), ISERROR($A937+0)), HYPERLINK($BF937, "Images"), "")</f>
        <v>Images</v>
      </c>
      <c r="O937" s="694" t="s">
        <v>5244</v>
      </c>
      <c r="P937" s="475"/>
      <c r="Q937" s="476"/>
      <c r="R937" s="476"/>
      <c r="S937" s="477"/>
      <c r="T937" s="102">
        <f t="shared" si="667"/>
        <v>0</v>
      </c>
      <c r="U937" s="78" t="str">
        <f>IF(NOT(ISNUMBER(G937)), "", VLOOKUP(A937,'Discount Lookup'!D:E,2,FALSE)*G937)</f>
        <v/>
      </c>
      <c r="V937" s="78" t="str">
        <f>IF(NOT(ISNUMBER(G937)), "", VLOOKUP(A937,'Discount Lookup'!G:H,2,FALSE)*G937)</f>
        <v/>
      </c>
      <c r="W937" s="102">
        <f t="shared" si="668"/>
        <v>0</v>
      </c>
      <c r="X937" s="102" t="str">
        <f t="shared" si="669"/>
        <v>Dark Green foliage</v>
      </c>
      <c r="Y937" s="120" t="b">
        <f t="shared" si="670"/>
        <v>0</v>
      </c>
      <c r="Z937" s="117">
        <f t="shared" si="671"/>
        <v>0</v>
      </c>
      <c r="AA937" s="118"/>
      <c r="AB937" s="118" t="str">
        <f t="shared" si="672"/>
        <v/>
      </c>
      <c r="AC937" s="712" t="str">
        <f>IF(AE937="T2G","no charge",IF(AND(OR(PlanterYesMe="No",PlanterYesMe="N",PlanterYesMe="me"),H937=""),"",IF(H937="credit","NO install",IF(AND(K937="",AE937="me"),"EACH row",IF(AND(K937="images",AE937="me"),"EACH row",IF(D937="","",IF(H937="credit","",IF(AE937="free","re-planting",IF(AE937="me","   not ELP, by",IF(AND(OR(PlanterYesMe="Yes",PlanterYesMe="Y"),G937&gt;0),(VLOOKUP(A937,'Discount Lookup'!J:K,2)*G937*(1-PlanterDiscount)*(1+PlanterDifficultyPercentage)),IF(AE937="ELP",(VLOOKUP(A937,'Discount Lookup'!J:K,2)*G937*(1-PlanterDiscount)*(1+PlanterDifficultyPercentage)),IF(AE937="free","re-planting",IF(G937=0,"",IF(PlanterYesMe="",IF(AE937="me","   not ELP, by",IF(AE937="",IF(G937&gt;0,(VLOOKUP(A937,'Discount Lookup'!J:K,2)*G937*(1-PlanterDiscount)*(1+PlanterDifficultyPercentage)),""),"")),"   not ELP, by"))))))))))))))</f>
        <v/>
      </c>
      <c r="AD937" s="712"/>
      <c r="AE937" s="513" t="str">
        <f t="shared" si="673"/>
        <v/>
      </c>
      <c r="AF937" s="713" t="str">
        <f t="shared" si="674"/>
        <v/>
      </c>
      <c r="AG937" s="713"/>
      <c r="AH937" s="713"/>
      <c r="AI937" s="112">
        <f>IF(H937="credit",0,IF(AE937="free",0,IF(AE937="me",0,IF(G937&gt;0,(VLOOKUP(A937,'Discount Lookup'!J:K,2)*G937),0))))</f>
        <v>0</v>
      </c>
      <c r="AJ937" s="107" t="str">
        <f t="shared" ca="1" si="675"/>
        <v/>
      </c>
      <c r="AK937" s="714" t="str">
        <f t="shared" si="676"/>
        <v/>
      </c>
      <c r="AL937" s="714"/>
      <c r="AM937" s="114" t="str">
        <f t="shared" si="677"/>
        <v/>
      </c>
      <c r="AN937" s="115"/>
      <c r="AO937" s="116"/>
      <c r="AP937" s="116"/>
      <c r="AQ937" s="116"/>
      <c r="AR937" s="116"/>
      <c r="AS937" s="116"/>
      <c r="AT937" s="116"/>
      <c r="AU937" s="116"/>
      <c r="AV937" s="78"/>
      <c r="AW937" s="102"/>
      <c r="AX937" s="78"/>
      <c r="AY937" s="78"/>
      <c r="AZ937" s="78"/>
      <c r="BA937" s="78"/>
      <c r="BB937" s="78"/>
      <c r="BC937" s="78"/>
      <c r="BD937" s="78"/>
      <c r="BE937" s="465"/>
      <c r="BF937" s="165" t="str">
        <f t="shared" si="678"/>
        <v>https://www.google.com/search?tbm=isch&amp;q=Cephalotaxus%20harringtonia%20%27Plania%27%20Yewtopia%C2%AE%20Plum%20Yew</v>
      </c>
      <c r="BG937" s="165" t="str">
        <f t="shared" si="679"/>
        <v>C</v>
      </c>
      <c r="BH937" s="65"/>
      <c r="BI937" s="65"/>
      <c r="BJ937" s="65"/>
      <c r="BK937" s="65"/>
      <c r="BL937" s="99"/>
      <c r="BM937" s="99"/>
      <c r="BN937" s="99"/>
    </row>
    <row r="938" spans="1:66" s="51" customFormat="1" ht="15.75" x14ac:dyDescent="0.25">
      <c r="A938" s="478">
        <v>1</v>
      </c>
      <c r="B938" s="479" t="s">
        <v>291</v>
      </c>
      <c r="C938" s="480" t="s">
        <v>1998</v>
      </c>
      <c r="D938" s="481" t="s">
        <v>329</v>
      </c>
      <c r="E938" s="482">
        <v>32.950000000000003</v>
      </c>
      <c r="F938" s="483" t="s">
        <v>292</v>
      </c>
      <c r="G938" s="484">
        <v>0</v>
      </c>
      <c r="H938" s="688" t="str">
        <f>IF(G938=0,"",IF(F938="Buy",IF(G938=1,"plant","plants"),IF(F938&gt;0.01,"warranty","Error")))</f>
        <v/>
      </c>
      <c r="I938" s="485">
        <f>IF(H938="free",0,IF(H938="credit",((E938*(F938))*G938*-1),IF(F938="Buy",(E938*G938),((E938*(1-F938))*G938))))</f>
        <v>0</v>
      </c>
      <c r="J938" s="485">
        <f>IF(H938="warranty",0,(I938*(_xlfn.SINGLE(SalesTaxPercentage))))</f>
        <v>0</v>
      </c>
      <c r="K938" s="715">
        <f t="shared" ref="K938" si="691">I938+J938</f>
        <v>0</v>
      </c>
      <c r="L938" s="715"/>
      <c r="M938" s="689" t="str">
        <f ca="1">IF(AND(G938&gt;0,E938=0),"WARNING - no PRICE inserted",IF(H938="free","FREE ~ no charge this plant",IF(H938="credit",CONCATENATE("-$",ROUND(K938*(1-_xlfn.SINGLE(T2GDiscount))*-1,2)," CREDIT after discount"),IF(_xlfn.SINGLE(T2GDiscount)=0,"",IF(G938=0,"",IF(F938="Buy",CONCATENATE("$",ROUND(K938*(1-_xlfn.SINGLE(T2GDiscount)),2)," with ",(_xlfn.SINGLE(T2GDiscount)*100),"% discount"),CONCATENATE("$",ROUND(K938*(1-_xlfn.SINGLE(T2GDiscount)),2)," with ",((_xlfn.SINGLE(T2GDiscount)*100+F938*100)-(_xlfn.SINGLE(T2GDiscount)*100*F938)),IF(F938&gt;0,"% discounts",IF(_xlfn.SINGLE(NoWarrantyDiscount)&gt;0,"% discounts","% discount")))))))))</f>
        <v/>
      </c>
      <c r="N938" s="690"/>
      <c r="O938" s="486"/>
      <c r="P938" s="486"/>
      <c r="Q938" s="486"/>
      <c r="R938" s="486"/>
      <c r="S938" s="486"/>
      <c r="T938" s="102">
        <f t="shared" si="667"/>
        <v>0</v>
      </c>
      <c r="U938" s="78">
        <f>IF(NOT(ISNUMBER(G938)), "", VLOOKUP(A938,'Discount Lookup'!D:E,2,FALSE)*G938)</f>
        <v>0</v>
      </c>
      <c r="V938" s="78">
        <f>IF(NOT(ISNUMBER(G938)), "", VLOOKUP(A938,'Discount Lookup'!G:H,2,FALSE)*G938)</f>
        <v>0</v>
      </c>
      <c r="W938" s="102">
        <f t="shared" si="668"/>
        <v>0</v>
      </c>
      <c r="X938" s="102">
        <f t="shared" si="669"/>
        <v>0</v>
      </c>
      <c r="Y938" s="120" t="b">
        <f t="shared" si="670"/>
        <v>0</v>
      </c>
      <c r="Z938" s="117">
        <f t="shared" si="671"/>
        <v>0</v>
      </c>
      <c r="AA938" s="118"/>
      <c r="AB938" s="118" t="str">
        <f t="shared" si="672"/>
        <v/>
      </c>
      <c r="AC938" s="712" t="str">
        <f>IF(AE938="T2G","no charge",IF(AND(OR(PlanterYesMe="No",PlanterYesMe="N",PlanterYesMe="me"),H938=""),"",IF(H938="credit","NO install",IF(AND(K938="",AE938="me"),"EACH row",IF(AND(K938="images",AE938="me"),"EACH row",IF(D938="","",IF(H938="credit","",IF(AE938="free","re-planting",IF(AE938="me","   not ELP, by",IF(AND(OR(PlanterYesMe="Yes",PlanterYesMe="Y"),G938&gt;0),(VLOOKUP(A938,'Discount Lookup'!J:K,2)*G938*(1-PlanterDiscount)*(1+PlanterDifficultyPercentage)),IF(AE938="ELP",(VLOOKUP(A938,'Discount Lookup'!J:K,2)*G938*(1-PlanterDiscount)*(1+PlanterDifficultyPercentage)),IF(AE938="free","re-planting",IF(G938=0,"",IF(PlanterYesMe="",IF(AE938="me","   not ELP, by",IF(AE938="",IF(G938&gt;0,(VLOOKUP(A938,'Discount Lookup'!J:K,2)*G938*(1-PlanterDiscount)*(1+PlanterDifficultyPercentage)),""),"")),"   not ELP, by"))))))))))))))</f>
        <v/>
      </c>
      <c r="AD938" s="712"/>
      <c r="AE938" s="513" t="str">
        <f t="shared" si="673"/>
        <v/>
      </c>
      <c r="AF938" s="713" t="str">
        <f t="shared" si="674"/>
        <v/>
      </c>
      <c r="AG938" s="713"/>
      <c r="AH938" s="713"/>
      <c r="AI938" s="112">
        <f>IF(H938="credit",0,IF(AE938="free",0,IF(AE938="me",0,IF(G938&gt;0,(VLOOKUP(A938,'Discount Lookup'!J:K,2)*G938),0))))</f>
        <v>0</v>
      </c>
      <c r="AJ938" s="107" t="str">
        <f t="shared" ca="1" si="675"/>
        <v/>
      </c>
      <c r="AK938" s="714" t="str">
        <f t="shared" si="676"/>
        <v/>
      </c>
      <c r="AL938" s="714"/>
      <c r="AM938" s="114" t="str">
        <f t="shared" si="677"/>
        <v/>
      </c>
      <c r="AN938" s="115"/>
      <c r="AO938" s="116"/>
      <c r="AP938" s="116"/>
      <c r="AQ938" s="116"/>
      <c r="AR938" s="116"/>
      <c r="AS938" s="116"/>
      <c r="AT938" s="116"/>
      <c r="AU938" s="116"/>
      <c r="AV938" s="78"/>
      <c r="AW938" s="102"/>
      <c r="AX938" s="78"/>
      <c r="AY938" s="78"/>
      <c r="AZ938" s="78"/>
      <c r="BA938" s="78"/>
      <c r="BB938" s="78"/>
      <c r="BC938" s="78"/>
      <c r="BD938" s="78"/>
      <c r="BE938" s="465"/>
      <c r="BF938" s="165" t="str">
        <f t="shared" si="678"/>
        <v>https://www.google.com/search?tbm=isch&amp;q=1%20G2</v>
      </c>
      <c r="BG938" s="165" t="str">
        <f t="shared" si="679"/>
        <v>C</v>
      </c>
      <c r="BH938" s="65"/>
      <c r="BI938" s="65"/>
      <c r="BJ938" s="65"/>
      <c r="BK938" s="65"/>
      <c r="BL938" s="99"/>
      <c r="BM938" s="99"/>
      <c r="BN938" s="99"/>
    </row>
    <row r="939" spans="1:66" s="51" customFormat="1" ht="17.25" thickBot="1" x14ac:dyDescent="0.3">
      <c r="A939" s="508" t="s">
        <v>1971</v>
      </c>
      <c r="B939" s="487"/>
      <c r="C939" s="707"/>
      <c r="D939" s="487"/>
      <c r="E939" s="487"/>
      <c r="F939" s="488"/>
      <c r="G939" s="489"/>
      <c r="H939" s="487"/>
      <c r="I939" s="490"/>
      <c r="J939" s="490"/>
      <c r="K939" s="491"/>
      <c r="L939" s="547"/>
      <c r="M939" s="528"/>
      <c r="N939" s="492"/>
      <c r="O939" s="493"/>
      <c r="P939" s="494"/>
      <c r="Q939" s="492"/>
      <c r="R939" s="492"/>
      <c r="S939" s="699" t="s">
        <v>5278</v>
      </c>
      <c r="T939" s="102">
        <f t="shared" si="667"/>
        <v>0</v>
      </c>
      <c r="U939" s="78" t="str">
        <f>IF(NOT(ISNUMBER(G939)), "", VLOOKUP(A939,'Discount Lookup'!D:E,2,FALSE)*G939)</f>
        <v/>
      </c>
      <c r="V939" s="78" t="str">
        <f>IF(NOT(ISNUMBER(G939)), "", VLOOKUP(A939,'Discount Lookup'!G:H,2,FALSE)*G939)</f>
        <v/>
      </c>
      <c r="W939" s="102">
        <f t="shared" si="668"/>
        <v>0</v>
      </c>
      <c r="X939" s="102">
        <f t="shared" si="669"/>
        <v>0</v>
      </c>
      <c r="Y939" s="120" t="b">
        <f t="shared" si="670"/>
        <v>0</v>
      </c>
      <c r="Z939" s="117">
        <f t="shared" si="671"/>
        <v>0</v>
      </c>
      <c r="AA939" s="118"/>
      <c r="AB939" s="118" t="str">
        <f t="shared" si="672"/>
        <v/>
      </c>
      <c r="AC939" s="712" t="str">
        <f>IF(AE939="T2G","no charge",IF(AND(OR(PlanterYesMe="No",PlanterYesMe="N",PlanterYesMe="me"),H939=""),"",IF(H939="credit","NO install",IF(AND(K939="",AE939="me"),"EACH row",IF(AND(K939="images",AE939="me"),"EACH row",IF(D939="","",IF(H939="credit","",IF(AE939="free","re-planting",IF(AE939="me","   not ELP, by",IF(AND(OR(PlanterYesMe="Yes",PlanterYesMe="Y"),G939&gt;0),(VLOOKUP(A939,'Discount Lookup'!J:K,2)*G939*(1-PlanterDiscount)*(1+PlanterDifficultyPercentage)),IF(AE939="ELP",(VLOOKUP(A939,'Discount Lookup'!J:K,2)*G939*(1-PlanterDiscount)*(1+PlanterDifficultyPercentage)),IF(AE939="free","re-planting",IF(G939=0,"",IF(PlanterYesMe="",IF(AE939="me","   not ELP, by",IF(AE939="",IF(G939&gt;0,(VLOOKUP(A939,'Discount Lookup'!J:K,2)*G939*(1-PlanterDiscount)*(1+PlanterDifficultyPercentage)),""),"")),"   not ELP, by"))))))))))))))</f>
        <v/>
      </c>
      <c r="AD939" s="712"/>
      <c r="AE939" s="513" t="str">
        <f t="shared" si="673"/>
        <v/>
      </c>
      <c r="AF939" s="713" t="str">
        <f t="shared" si="674"/>
        <v/>
      </c>
      <c r="AG939" s="713"/>
      <c r="AH939" s="713"/>
      <c r="AI939" s="112">
        <f>IF(H939="credit",0,IF(AE939="free",0,IF(AE939="me",0,IF(G939&gt;0,(VLOOKUP(A939,'Discount Lookup'!J:K,2)*G939),0))))</f>
        <v>0</v>
      </c>
      <c r="AJ939" s="107" t="str">
        <f t="shared" ca="1" si="675"/>
        <v/>
      </c>
      <c r="AK939" s="714" t="str">
        <f t="shared" si="676"/>
        <v/>
      </c>
      <c r="AL939" s="714"/>
      <c r="AM939" s="114" t="str">
        <f t="shared" si="677"/>
        <v/>
      </c>
      <c r="AN939" s="115"/>
      <c r="AO939" s="116"/>
      <c r="AP939" s="116"/>
      <c r="AQ939" s="116"/>
      <c r="AR939" s="116"/>
      <c r="AS939" s="116"/>
      <c r="AT939" s="116"/>
      <c r="AU939" s="116"/>
      <c r="AV939" s="78"/>
      <c r="AW939" s="102"/>
      <c r="AX939" s="78"/>
      <c r="AY939" s="78"/>
      <c r="AZ939" s="78"/>
      <c r="BA939" s="78"/>
      <c r="BB939" s="78"/>
      <c r="BC939" s="78"/>
      <c r="BD939" s="78"/>
      <c r="BE939" s="465"/>
      <c r="BF939" s="165" t="str">
        <f t="shared" si="678"/>
        <v>https://www.google.com/search?tbm=isch&amp;q=All%20Plum%20Yews%20have%20fine-textured%20foliage%20with%20brown%2C%20scaly%20bark.%20Slow%20growing%2C%20heat%20and%20shade%20tolerant%20</v>
      </c>
      <c r="BG939" s="165" t="str">
        <f t="shared" si="679"/>
        <v>A</v>
      </c>
      <c r="BH939" s="65"/>
      <c r="BI939" s="65"/>
      <c r="BJ939" s="65"/>
      <c r="BK939" s="65"/>
      <c r="BL939" s="99"/>
      <c r="BM939" s="99"/>
      <c r="BN939" s="99"/>
    </row>
    <row r="940" spans="1:66" s="51" customFormat="1" ht="18" x14ac:dyDescent="0.25">
      <c r="A940" s="507" t="s">
        <v>1999</v>
      </c>
      <c r="B940" s="470"/>
      <c r="C940" s="706"/>
      <c r="D940" s="471" t="s">
        <v>2000</v>
      </c>
      <c r="E940" s="472"/>
      <c r="F940" s="472"/>
      <c r="G940" s="472"/>
      <c r="H940" s="622" t="s">
        <v>2001</v>
      </c>
      <c r="I940" s="473" t="s">
        <v>431</v>
      </c>
      <c r="J940" s="472"/>
      <c r="K940" s="472"/>
      <c r="L940" s="561"/>
      <c r="M940" s="703" t="s">
        <v>5260</v>
      </c>
      <c r="N940" s="692" t="str">
        <f>IF(AND(ISTEXT($A940), ISERROR($A940+0)), HYPERLINK($BF940, "Images"), "")</f>
        <v>Images</v>
      </c>
      <c r="O940" s="694" t="s">
        <v>5244</v>
      </c>
      <c r="P940" s="475"/>
      <c r="Q940" s="476"/>
      <c r="R940" s="476"/>
      <c r="S940" s="477"/>
      <c r="T940" s="102">
        <f t="shared" si="667"/>
        <v>0</v>
      </c>
      <c r="U940" s="78" t="str">
        <f>IF(NOT(ISNUMBER(G940)), "", VLOOKUP(A940,'Discount Lookup'!D:E,2,FALSE)*G940)</f>
        <v/>
      </c>
      <c r="V940" s="78" t="str">
        <f>IF(NOT(ISNUMBER(G940)), "", VLOOKUP(A940,'Discount Lookup'!G:H,2,FALSE)*G940)</f>
        <v/>
      </c>
      <c r="W940" s="102">
        <f t="shared" si="668"/>
        <v>0</v>
      </c>
      <c r="X940" s="102" t="str">
        <f t="shared" si="669"/>
        <v>Dark Green foliage</v>
      </c>
      <c r="Y940" s="120" t="b">
        <f t="shared" si="670"/>
        <v>0</v>
      </c>
      <c r="Z940" s="117">
        <f t="shared" si="671"/>
        <v>0</v>
      </c>
      <c r="AA940" s="118"/>
      <c r="AB940" s="118" t="str">
        <f t="shared" si="672"/>
        <v/>
      </c>
      <c r="AC940" s="712" t="str">
        <f>IF(AE940="T2G","no charge",IF(AND(OR(PlanterYesMe="No",PlanterYesMe="N",PlanterYesMe="me"),H940=""),"",IF(H940="credit","NO install",IF(AND(K940="",AE940="me"),"EACH row",IF(AND(K940="images",AE940="me"),"EACH row",IF(D940="","",IF(H940="credit","",IF(AE940="free","re-planting",IF(AE940="me","   not ELP, by",IF(AND(OR(PlanterYesMe="Yes",PlanterYesMe="Y"),G940&gt;0),(VLOOKUP(A940,'Discount Lookup'!J:K,2)*G940*(1-PlanterDiscount)*(1+PlanterDifficultyPercentage)),IF(AE940="ELP",(VLOOKUP(A940,'Discount Lookup'!J:K,2)*G940*(1-PlanterDiscount)*(1+PlanterDifficultyPercentage)),IF(AE940="free","re-planting",IF(G940=0,"",IF(PlanterYesMe="",IF(AE940="me","   not ELP, by",IF(AE940="",IF(G940&gt;0,(VLOOKUP(A940,'Discount Lookup'!J:K,2)*G940*(1-PlanterDiscount)*(1+PlanterDifficultyPercentage)),""),"")),"   not ELP, by"))))))))))))))</f>
        <v/>
      </c>
      <c r="AD940" s="712"/>
      <c r="AE940" s="513" t="str">
        <f t="shared" si="673"/>
        <v/>
      </c>
      <c r="AF940" s="713" t="str">
        <f t="shared" si="674"/>
        <v/>
      </c>
      <c r="AG940" s="713"/>
      <c r="AH940" s="713"/>
      <c r="AI940" s="112">
        <f>IF(H940="credit",0,IF(AE940="free",0,IF(AE940="me",0,IF(G940&gt;0,(VLOOKUP(A940,'Discount Lookup'!J:K,2)*G940),0))))</f>
        <v>0</v>
      </c>
      <c r="AJ940" s="107" t="str">
        <f t="shared" ca="1" si="675"/>
        <v/>
      </c>
      <c r="AK940" s="714" t="str">
        <f t="shared" si="676"/>
        <v/>
      </c>
      <c r="AL940" s="714"/>
      <c r="AM940" s="114" t="str">
        <f t="shared" si="677"/>
        <v/>
      </c>
      <c r="AN940" s="115"/>
      <c r="AO940" s="116"/>
      <c r="AP940" s="116"/>
      <c r="AQ940" s="116"/>
      <c r="AR940" s="116"/>
      <c r="AS940" s="116"/>
      <c r="AT940" s="116"/>
      <c r="AU940" s="116"/>
      <c r="AV940" s="78"/>
      <c r="AW940" s="102"/>
      <c r="AX940" s="78"/>
      <c r="AY940" s="78"/>
      <c r="AZ940" s="78"/>
      <c r="BA940" s="78"/>
      <c r="BB940" s="78"/>
      <c r="BC940" s="78"/>
      <c r="BD940" s="78"/>
      <c r="BE940" s="465"/>
      <c r="BF940" s="165" t="str">
        <f t="shared" si="678"/>
        <v>https://www.google.com/search?tbm=isch&amp;q=Cephalotaxus%20harringtonia%20%27Prostrata%27%20Prostrate%20Japanese%20Plum%20Yew</v>
      </c>
      <c r="BG940" s="165" t="str">
        <f t="shared" si="679"/>
        <v>C</v>
      </c>
      <c r="BH940" s="65"/>
      <c r="BI940" s="65"/>
      <c r="BJ940" s="65"/>
      <c r="BK940" s="65"/>
      <c r="BL940" s="99"/>
      <c r="BM940" s="99"/>
      <c r="BN940" s="99"/>
    </row>
    <row r="941" spans="1:66" s="51" customFormat="1" ht="15.75" x14ac:dyDescent="0.25">
      <c r="A941" s="478">
        <v>3</v>
      </c>
      <c r="B941" s="479" t="s">
        <v>291</v>
      </c>
      <c r="C941" s="480" t="s">
        <v>2002</v>
      </c>
      <c r="D941" s="481" t="s">
        <v>329</v>
      </c>
      <c r="E941" s="482">
        <v>32.950000000000003</v>
      </c>
      <c r="F941" s="483" t="s">
        <v>292</v>
      </c>
      <c r="G941" s="484">
        <v>0</v>
      </c>
      <c r="H941" s="688" t="str">
        <f>IF(G941=0,"",IF(F941="Buy",IF(G941=1,"plant","plants"),IF(F941&gt;0.01,"warranty","Error")))</f>
        <v/>
      </c>
      <c r="I941" s="485">
        <f>IF(H941="free",0,IF(H941="credit",((E941*(F941))*G941*-1),IF(F941="Buy",(E941*G941),((E941*(1-F941))*G941))))</f>
        <v>0</v>
      </c>
      <c r="J941" s="485">
        <f>IF(H941="warranty",0,(I941*(_xlfn.SINGLE(SalesTaxPercentage))))</f>
        <v>0</v>
      </c>
      <c r="K941" s="715">
        <f t="shared" ref="K941" si="692">I941+J941</f>
        <v>0</v>
      </c>
      <c r="L941" s="715"/>
      <c r="M941" s="689" t="str">
        <f ca="1">IF(AND(G941&gt;0,E941=0),"WARNING - no PRICE inserted",IF(H941="free","FREE ~ no charge this plant",IF(H941="credit",CONCATENATE("-$",ROUND(K941*(1-_xlfn.SINGLE(T2GDiscount))*-1,2)," CREDIT after discount"),IF(_xlfn.SINGLE(T2GDiscount)=0,"",IF(G941=0,"",IF(F941="Buy",CONCATENATE("$",ROUND(K941*(1-_xlfn.SINGLE(T2GDiscount)),2)," with ",(_xlfn.SINGLE(T2GDiscount)*100),"% discount"),CONCATENATE("$",ROUND(K941*(1-_xlfn.SINGLE(T2GDiscount)),2)," with ",((_xlfn.SINGLE(T2GDiscount)*100+F941*100)-(_xlfn.SINGLE(T2GDiscount)*100*F941)),IF(F941&gt;0,"% discounts",IF(_xlfn.SINGLE(NoWarrantyDiscount)&gt;0,"% discounts","% discount")))))))))</f>
        <v/>
      </c>
      <c r="N941" s="690"/>
      <c r="O941" s="486"/>
      <c r="P941" s="486"/>
      <c r="Q941" s="486"/>
      <c r="R941" s="486"/>
      <c r="S941" s="486"/>
      <c r="T941" s="102">
        <f t="shared" si="667"/>
        <v>0</v>
      </c>
      <c r="U941" s="78">
        <f>IF(NOT(ISNUMBER(G941)), "", VLOOKUP(A941,'Discount Lookup'!D:E,2,FALSE)*G941)</f>
        <v>0</v>
      </c>
      <c r="V941" s="78">
        <f>IF(NOT(ISNUMBER(G941)), "", VLOOKUP(A941,'Discount Lookup'!G:H,2,FALSE)*G941)</f>
        <v>0</v>
      </c>
      <c r="W941" s="102">
        <f t="shared" si="668"/>
        <v>0</v>
      </c>
      <c r="X941" s="102">
        <f t="shared" si="669"/>
        <v>0</v>
      </c>
      <c r="Y941" s="120" t="b">
        <f t="shared" si="670"/>
        <v>0</v>
      </c>
      <c r="Z941" s="117">
        <f t="shared" si="671"/>
        <v>0</v>
      </c>
      <c r="AA941" s="118"/>
      <c r="AB941" s="118" t="str">
        <f t="shared" si="672"/>
        <v/>
      </c>
      <c r="AC941" s="712" t="str">
        <f>IF(AE941="T2G","no charge",IF(AND(OR(PlanterYesMe="No",PlanterYesMe="N",PlanterYesMe="me"),H941=""),"",IF(H941="credit","NO install",IF(AND(K941="",AE941="me"),"EACH row",IF(AND(K941="images",AE941="me"),"EACH row",IF(D941="","",IF(H941="credit","",IF(AE941="free","re-planting",IF(AE941="me","   not ELP, by",IF(AND(OR(PlanterYesMe="Yes",PlanterYesMe="Y"),G941&gt;0),(VLOOKUP(A941,'Discount Lookup'!J:K,2)*G941*(1-PlanterDiscount)*(1+PlanterDifficultyPercentage)),IF(AE941="ELP",(VLOOKUP(A941,'Discount Lookup'!J:K,2)*G941*(1-PlanterDiscount)*(1+PlanterDifficultyPercentage)),IF(AE941="free","re-planting",IF(G941=0,"",IF(PlanterYesMe="",IF(AE941="me","   not ELP, by",IF(AE941="",IF(G941&gt;0,(VLOOKUP(A941,'Discount Lookup'!J:K,2)*G941*(1-PlanterDiscount)*(1+PlanterDifficultyPercentage)),""),"")),"   not ELP, by"))))))))))))))</f>
        <v/>
      </c>
      <c r="AD941" s="712"/>
      <c r="AE941" s="513" t="str">
        <f t="shared" si="673"/>
        <v/>
      </c>
      <c r="AF941" s="713" t="str">
        <f t="shared" si="674"/>
        <v/>
      </c>
      <c r="AG941" s="713"/>
      <c r="AH941" s="713"/>
      <c r="AI941" s="112">
        <f>IF(H941="credit",0,IF(AE941="free",0,IF(AE941="me",0,IF(G941&gt;0,(VLOOKUP(A941,'Discount Lookup'!J:K,2)*G941),0))))</f>
        <v>0</v>
      </c>
      <c r="AJ941" s="107" t="str">
        <f t="shared" ca="1" si="675"/>
        <v/>
      </c>
      <c r="AK941" s="714" t="str">
        <f t="shared" si="676"/>
        <v/>
      </c>
      <c r="AL941" s="714"/>
      <c r="AM941" s="114" t="str">
        <f t="shared" si="677"/>
        <v/>
      </c>
      <c r="AN941" s="115"/>
      <c r="AO941" s="116"/>
      <c r="AP941" s="116"/>
      <c r="AQ941" s="116"/>
      <c r="AR941" s="116"/>
      <c r="AS941" s="116"/>
      <c r="AT941" s="116"/>
      <c r="AU941" s="116"/>
      <c r="AV941" s="78"/>
      <c r="AW941" s="102"/>
      <c r="AX941" s="78"/>
      <c r="AY941" s="78"/>
      <c r="AZ941" s="78"/>
      <c r="BA941" s="78"/>
      <c r="BB941" s="78"/>
      <c r="BC941" s="78"/>
      <c r="BD941" s="78"/>
      <c r="BE941" s="465"/>
      <c r="BF941" s="165" t="str">
        <f t="shared" si="678"/>
        <v>https://www.google.com/search?tbm=isch&amp;q=3%20G2</v>
      </c>
      <c r="BG941" s="165" t="str">
        <f t="shared" si="679"/>
        <v>C</v>
      </c>
      <c r="BH941" s="65"/>
      <c r="BI941" s="65"/>
      <c r="BJ941" s="65"/>
      <c r="BK941" s="65"/>
      <c r="BL941" s="99"/>
      <c r="BM941" s="99"/>
      <c r="BN941" s="99"/>
    </row>
    <row r="942" spans="1:66" s="51" customFormat="1" ht="15.75" x14ac:dyDescent="0.25">
      <c r="A942" s="478">
        <v>3</v>
      </c>
      <c r="B942" s="479" t="s">
        <v>291</v>
      </c>
      <c r="C942" s="480" t="s">
        <v>2003</v>
      </c>
      <c r="D942" s="481" t="s">
        <v>293</v>
      </c>
      <c r="E942" s="482">
        <v>52.95</v>
      </c>
      <c r="F942" s="483" t="s">
        <v>292</v>
      </c>
      <c r="G942" s="484">
        <v>0</v>
      </c>
      <c r="H942" s="688" t="str">
        <f>IF(G942=0,"",IF(F942="Buy",IF(G942=1,"plant","plants"),IF(F942&gt;0.01,"warranty","Error")))</f>
        <v/>
      </c>
      <c r="I942" s="485">
        <f>IF(H942="free",0,IF(H942="credit",((E942*(F942))*G942*-1),IF(F942="Buy",(E942*G942),((E942*(1-F942))*G942))))</f>
        <v>0</v>
      </c>
      <c r="J942" s="485">
        <f>IF(H942="warranty",0,(I942*(_xlfn.SINGLE(SalesTaxPercentage))))</f>
        <v>0</v>
      </c>
      <c r="K942" s="715">
        <f t="shared" ref="K942" si="693">I942+J942</f>
        <v>0</v>
      </c>
      <c r="L942" s="715"/>
      <c r="M942" s="689" t="str">
        <f ca="1">IF(AND(G942&gt;0,E942=0),"WARNING - no PRICE inserted",IF(H942="free","FREE ~ no charge this plant",IF(H942="credit",CONCATENATE("-$",ROUND(K942*(1-_xlfn.SINGLE(T2GDiscount))*-1,2)," CREDIT after discount"),IF(_xlfn.SINGLE(T2GDiscount)=0,"",IF(G942=0,"",IF(F942="Buy",CONCATENATE("$",ROUND(K942*(1-_xlfn.SINGLE(T2GDiscount)),2)," with ",(_xlfn.SINGLE(T2GDiscount)*100),"% discount"),CONCATENATE("$",ROUND(K942*(1-_xlfn.SINGLE(T2GDiscount)),2)," with ",((_xlfn.SINGLE(T2GDiscount)*100+F942*100)-(_xlfn.SINGLE(T2GDiscount)*100*F942)),IF(F942&gt;0,"% discounts",IF(_xlfn.SINGLE(NoWarrantyDiscount)&gt;0,"% discounts","% discount")))))))))</f>
        <v/>
      </c>
      <c r="N942" s="690"/>
      <c r="O942" s="486"/>
      <c r="P942" s="486"/>
      <c r="Q942" s="486"/>
      <c r="R942" s="486"/>
      <c r="S942" s="486"/>
      <c r="T942" s="102">
        <f t="shared" si="667"/>
        <v>0</v>
      </c>
      <c r="U942" s="78">
        <f>IF(NOT(ISNUMBER(G942)), "", VLOOKUP(A942,'Discount Lookup'!D:E,2,FALSE)*G942)</f>
        <v>0</v>
      </c>
      <c r="V942" s="78">
        <f>IF(NOT(ISNUMBER(G942)), "", VLOOKUP(A942,'Discount Lookup'!G:H,2,FALSE)*G942)</f>
        <v>0</v>
      </c>
      <c r="W942" s="102">
        <f t="shared" si="668"/>
        <v>0</v>
      </c>
      <c r="X942" s="102">
        <f t="shared" si="669"/>
        <v>0</v>
      </c>
      <c r="Y942" s="120" t="b">
        <f t="shared" si="670"/>
        <v>0</v>
      </c>
      <c r="Z942" s="117">
        <f t="shared" si="671"/>
        <v>0</v>
      </c>
      <c r="AA942" s="118"/>
      <c r="AB942" s="118" t="str">
        <f t="shared" si="672"/>
        <v/>
      </c>
      <c r="AC942" s="712" t="str">
        <f>IF(AE942="T2G","no charge",IF(AND(OR(PlanterYesMe="No",PlanterYesMe="N",PlanterYesMe="me"),H942=""),"",IF(H942="credit","NO install",IF(AND(K942="",AE942="me"),"EACH row",IF(AND(K942="images",AE942="me"),"EACH row",IF(D942="","",IF(H942="credit","",IF(AE942="free","re-planting",IF(AE942="me","   not ELP, by",IF(AND(OR(PlanterYesMe="Yes",PlanterYesMe="Y"),G942&gt;0),(VLOOKUP(A942,'Discount Lookup'!J:K,2)*G942*(1-PlanterDiscount)*(1+PlanterDifficultyPercentage)),IF(AE942="ELP",(VLOOKUP(A942,'Discount Lookup'!J:K,2)*G942*(1-PlanterDiscount)*(1+PlanterDifficultyPercentage)),IF(AE942="free","re-planting",IF(G942=0,"",IF(PlanterYesMe="",IF(AE942="me","   not ELP, by",IF(AE942="",IF(G942&gt;0,(VLOOKUP(A942,'Discount Lookup'!J:K,2)*G942*(1-PlanterDiscount)*(1+PlanterDifficultyPercentage)),""),"")),"   not ELP, by"))))))))))))))</f>
        <v/>
      </c>
      <c r="AD942" s="712"/>
      <c r="AE942" s="513" t="str">
        <f t="shared" si="673"/>
        <v/>
      </c>
      <c r="AF942" s="713" t="str">
        <f t="shared" si="674"/>
        <v/>
      </c>
      <c r="AG942" s="713"/>
      <c r="AH942" s="713"/>
      <c r="AI942" s="112">
        <f>IF(H942="credit",0,IF(AE942="free",0,IF(AE942="me",0,IF(G942&gt;0,(VLOOKUP(A942,'Discount Lookup'!J:K,2)*G942),0))))</f>
        <v>0</v>
      </c>
      <c r="AJ942" s="107" t="str">
        <f t="shared" ca="1" si="675"/>
        <v/>
      </c>
      <c r="AK942" s="714" t="str">
        <f t="shared" si="676"/>
        <v/>
      </c>
      <c r="AL942" s="714"/>
      <c r="AM942" s="114" t="str">
        <f t="shared" si="677"/>
        <v/>
      </c>
      <c r="AN942" s="115"/>
      <c r="AO942" s="116"/>
      <c r="AP942" s="116"/>
      <c r="AQ942" s="116"/>
      <c r="AR942" s="116"/>
      <c r="AS942" s="116"/>
      <c r="AT942" s="116"/>
      <c r="AU942" s="116"/>
      <c r="AV942" s="78"/>
      <c r="AW942" s="102"/>
      <c r="AX942" s="78"/>
      <c r="AY942" s="78"/>
      <c r="AZ942" s="78"/>
      <c r="BA942" s="78"/>
      <c r="BB942" s="78"/>
      <c r="BC942" s="78"/>
      <c r="BD942" s="78"/>
      <c r="BE942" s="465"/>
      <c r="BF942" s="165" t="str">
        <f t="shared" si="678"/>
        <v>https://www.google.com/search?tbm=isch&amp;q=3%20G6</v>
      </c>
      <c r="BG942" s="165" t="str">
        <f t="shared" si="679"/>
        <v>C</v>
      </c>
      <c r="BH942" s="65"/>
      <c r="BI942" s="65"/>
      <c r="BJ942" s="65"/>
      <c r="BK942" s="65"/>
      <c r="BL942" s="99"/>
      <c r="BM942" s="99"/>
      <c r="BN942" s="99"/>
    </row>
    <row r="943" spans="1:66" s="51" customFormat="1" ht="27" x14ac:dyDescent="0.25">
      <c r="A943" s="478">
        <v>7</v>
      </c>
      <c r="B943" s="479" t="s">
        <v>291</v>
      </c>
      <c r="C943" s="480" t="s">
        <v>2004</v>
      </c>
      <c r="D943" s="481" t="s">
        <v>299</v>
      </c>
      <c r="E943" s="482">
        <v>104.95</v>
      </c>
      <c r="F943" s="483" t="s">
        <v>292</v>
      </c>
      <c r="G943" s="484">
        <v>0</v>
      </c>
      <c r="H943" s="688" t="str">
        <f>IF(G943=0,"",IF(F943="Buy",IF(G943=1,"plant","plants"),IF(F943&gt;0.01,"warranty","Error")))</f>
        <v/>
      </c>
      <c r="I943" s="485">
        <f>IF(H943="free",0,IF(H943="credit",((E943*(F943))*G943*-1),IF(F943="Buy",(E943*G943),((E943*(1-F943))*G943))))</f>
        <v>0</v>
      </c>
      <c r="J943" s="485">
        <f>IF(H943="warranty",0,(I943*(_xlfn.SINGLE(SalesTaxPercentage))))</f>
        <v>0</v>
      </c>
      <c r="K943" s="715">
        <f t="shared" ref="K943" si="694">I943+J943</f>
        <v>0</v>
      </c>
      <c r="L943" s="715"/>
      <c r="M943" s="689" t="str">
        <f ca="1">IF(AND(G943&gt;0,E943=0),"WARNING - no PRICE inserted",IF(H943="free","FREE ~ no charge this plant",IF(H943="credit",CONCATENATE("-$",ROUND(K943*(1-_xlfn.SINGLE(T2GDiscount))*-1,2)," CREDIT after discount"),IF(_xlfn.SINGLE(T2GDiscount)=0,"",IF(G943=0,"",IF(F943="Buy",CONCATENATE("$",ROUND(K943*(1-_xlfn.SINGLE(T2GDiscount)),2)," with ",(_xlfn.SINGLE(T2GDiscount)*100),"% discount"),CONCATENATE("$",ROUND(K943*(1-_xlfn.SINGLE(T2GDiscount)),2)," with ",((_xlfn.SINGLE(T2GDiscount)*100+F943*100)-(_xlfn.SINGLE(T2GDiscount)*100*F943)),IF(F943&gt;0,"% discounts",IF(_xlfn.SINGLE(NoWarrantyDiscount)&gt;0,"% discounts","% discount")))))))))</f>
        <v/>
      </c>
      <c r="N943" s="690"/>
      <c r="O943" s="486"/>
      <c r="P943" s="486"/>
      <c r="Q943" s="486"/>
      <c r="R943" s="486"/>
      <c r="S943" s="486"/>
      <c r="T943" s="102">
        <f t="shared" si="667"/>
        <v>0</v>
      </c>
      <c r="U943" s="78">
        <f>IF(NOT(ISNUMBER(G943)), "", VLOOKUP(A943,'Discount Lookup'!D:E,2,FALSE)*G943)</f>
        <v>0</v>
      </c>
      <c r="V943" s="78">
        <f>IF(NOT(ISNUMBER(G943)), "", VLOOKUP(A943,'Discount Lookup'!G:H,2,FALSE)*G943)</f>
        <v>0</v>
      </c>
      <c r="W943" s="102">
        <f t="shared" si="668"/>
        <v>0</v>
      </c>
      <c r="X943" s="102">
        <f t="shared" si="669"/>
        <v>0</v>
      </c>
      <c r="Y943" s="120" t="b">
        <f t="shared" si="670"/>
        <v>0</v>
      </c>
      <c r="Z943" s="117">
        <f t="shared" si="671"/>
        <v>0</v>
      </c>
      <c r="AA943" s="118"/>
      <c r="AB943" s="118" t="str">
        <f t="shared" si="672"/>
        <v/>
      </c>
      <c r="AC943" s="712" t="str">
        <f>IF(AE943="T2G","no charge",IF(AND(OR(PlanterYesMe="No",PlanterYesMe="N",PlanterYesMe="me"),H943=""),"",IF(H943="credit","NO install",IF(AND(K943="",AE943="me"),"EACH row",IF(AND(K943="images",AE943="me"),"EACH row",IF(D943="","",IF(H943="credit","",IF(AE943="free","re-planting",IF(AE943="me","   not ELP, by",IF(AND(OR(PlanterYesMe="Yes",PlanterYesMe="Y"),G943&gt;0),(VLOOKUP(A943,'Discount Lookup'!J:K,2)*G943*(1-PlanterDiscount)*(1+PlanterDifficultyPercentage)),IF(AE943="ELP",(VLOOKUP(A943,'Discount Lookup'!J:K,2)*G943*(1-PlanterDiscount)*(1+PlanterDifficultyPercentage)),IF(AE943="free","re-planting",IF(G943=0,"",IF(PlanterYesMe="",IF(AE943="me","   not ELP, by",IF(AE943="",IF(G943&gt;0,(VLOOKUP(A943,'Discount Lookup'!J:K,2)*G943*(1-PlanterDiscount)*(1+PlanterDifficultyPercentage)),""),"")),"   not ELP, by"))))))))))))))</f>
        <v/>
      </c>
      <c r="AD943" s="712"/>
      <c r="AE943" s="513" t="str">
        <f t="shared" si="673"/>
        <v/>
      </c>
      <c r="AF943" s="713" t="str">
        <f t="shared" si="674"/>
        <v/>
      </c>
      <c r="AG943" s="713"/>
      <c r="AH943" s="713"/>
      <c r="AI943" s="112">
        <f>IF(H943="credit",0,IF(AE943="free",0,IF(AE943="me",0,IF(G943&gt;0,(VLOOKUP(A943,'Discount Lookup'!J:K,2)*G943),0))))</f>
        <v>0</v>
      </c>
      <c r="AJ943" s="107" t="str">
        <f t="shared" ca="1" si="675"/>
        <v/>
      </c>
      <c r="AK943" s="714" t="str">
        <f t="shared" si="676"/>
        <v/>
      </c>
      <c r="AL943" s="714"/>
      <c r="AM943" s="114" t="str">
        <f t="shared" si="677"/>
        <v/>
      </c>
      <c r="AN943" s="115"/>
      <c r="AO943" s="116"/>
      <c r="AP943" s="116"/>
      <c r="AQ943" s="116"/>
      <c r="AR943" s="116"/>
      <c r="AS943" s="116"/>
      <c r="AT943" s="116"/>
      <c r="AU943" s="116"/>
      <c r="AV943" s="78"/>
      <c r="AW943" s="102"/>
      <c r="AX943" s="78"/>
      <c r="AY943" s="78"/>
      <c r="AZ943" s="78"/>
      <c r="BA943" s="78"/>
      <c r="BB943" s="78"/>
      <c r="BC943" s="78"/>
      <c r="BD943" s="78"/>
      <c r="BE943" s="465"/>
      <c r="BF943" s="165" t="str">
        <f t="shared" si="678"/>
        <v>https://www.google.com/search?tbm=isch&amp;q=7%20G4</v>
      </c>
      <c r="BG943" s="165" t="str">
        <f t="shared" si="679"/>
        <v>C</v>
      </c>
      <c r="BH943" s="65"/>
      <c r="BI943" s="65"/>
      <c r="BJ943" s="65"/>
      <c r="BK943" s="65"/>
      <c r="BL943" s="99"/>
      <c r="BM943" s="99"/>
      <c r="BN943" s="99"/>
    </row>
    <row r="944" spans="1:66" s="51" customFormat="1" ht="17.25" thickBot="1" x14ac:dyDescent="0.3">
      <c r="A944" s="508" t="s">
        <v>1971</v>
      </c>
      <c r="B944" s="487"/>
      <c r="C944" s="707"/>
      <c r="D944" s="487"/>
      <c r="E944" s="487"/>
      <c r="F944" s="488"/>
      <c r="G944" s="489"/>
      <c r="H944" s="487"/>
      <c r="I944" s="490"/>
      <c r="J944" s="490"/>
      <c r="K944" s="491"/>
      <c r="L944" s="547"/>
      <c r="M944" s="528"/>
      <c r="N944" s="492"/>
      <c r="O944" s="493"/>
      <c r="P944" s="494"/>
      <c r="Q944" s="492"/>
      <c r="R944" s="492"/>
      <c r="S944" s="699" t="s">
        <v>5278</v>
      </c>
      <c r="T944" s="102">
        <f t="shared" si="667"/>
        <v>0</v>
      </c>
      <c r="U944" s="78" t="str">
        <f>IF(NOT(ISNUMBER(G944)), "", VLOOKUP(A944,'Discount Lookup'!D:E,2,FALSE)*G944)</f>
        <v/>
      </c>
      <c r="V944" s="78" t="str">
        <f>IF(NOT(ISNUMBER(G944)), "", VLOOKUP(A944,'Discount Lookup'!G:H,2,FALSE)*G944)</f>
        <v/>
      </c>
      <c r="W944" s="102">
        <f t="shared" si="668"/>
        <v>0</v>
      </c>
      <c r="X944" s="102">
        <f t="shared" si="669"/>
        <v>0</v>
      </c>
      <c r="Y944" s="120" t="b">
        <f t="shared" si="670"/>
        <v>0</v>
      </c>
      <c r="Z944" s="117">
        <f t="shared" si="671"/>
        <v>0</v>
      </c>
      <c r="AA944" s="118"/>
      <c r="AB944" s="118" t="str">
        <f t="shared" si="672"/>
        <v/>
      </c>
      <c r="AC944" s="712" t="str">
        <f>IF(AE944="T2G","no charge",IF(AND(OR(PlanterYesMe="No",PlanterYesMe="N",PlanterYesMe="me"),H944=""),"",IF(H944="credit","NO install",IF(AND(K944="",AE944="me"),"EACH row",IF(AND(K944="images",AE944="me"),"EACH row",IF(D944="","",IF(H944="credit","",IF(AE944="free","re-planting",IF(AE944="me","   not ELP, by",IF(AND(OR(PlanterYesMe="Yes",PlanterYesMe="Y"),G944&gt;0),(VLOOKUP(A944,'Discount Lookup'!J:K,2)*G944*(1-PlanterDiscount)*(1+PlanterDifficultyPercentage)),IF(AE944="ELP",(VLOOKUP(A944,'Discount Lookup'!J:K,2)*G944*(1-PlanterDiscount)*(1+PlanterDifficultyPercentage)),IF(AE944="free","re-planting",IF(G944=0,"",IF(PlanterYesMe="",IF(AE944="me","   not ELP, by",IF(AE944="",IF(G944&gt;0,(VLOOKUP(A944,'Discount Lookup'!J:K,2)*G944*(1-PlanterDiscount)*(1+PlanterDifficultyPercentage)),""),"")),"   not ELP, by"))))))))))))))</f>
        <v/>
      </c>
      <c r="AD944" s="712"/>
      <c r="AE944" s="513" t="str">
        <f t="shared" si="673"/>
        <v/>
      </c>
      <c r="AF944" s="713" t="str">
        <f t="shared" si="674"/>
        <v/>
      </c>
      <c r="AG944" s="713"/>
      <c r="AH944" s="713"/>
      <c r="AI944" s="112">
        <f>IF(H944="credit",0,IF(AE944="free",0,IF(AE944="me",0,IF(G944&gt;0,(VLOOKUP(A944,'Discount Lookup'!J:K,2)*G944),0))))</f>
        <v>0</v>
      </c>
      <c r="AJ944" s="107" t="str">
        <f t="shared" ca="1" si="675"/>
        <v/>
      </c>
      <c r="AK944" s="714" t="str">
        <f t="shared" si="676"/>
        <v/>
      </c>
      <c r="AL944" s="714"/>
      <c r="AM944" s="114" t="str">
        <f t="shared" si="677"/>
        <v/>
      </c>
      <c r="AN944" s="115"/>
      <c r="AO944" s="116"/>
      <c r="AP944" s="116"/>
      <c r="AQ944" s="116"/>
      <c r="AR944" s="116"/>
      <c r="AS944" s="116"/>
      <c r="AT944" s="116"/>
      <c r="AU944" s="116"/>
      <c r="AV944" s="78"/>
      <c r="AW944" s="102"/>
      <c r="AX944" s="78"/>
      <c r="AY944" s="78"/>
      <c r="AZ944" s="78"/>
      <c r="BA944" s="78"/>
      <c r="BB944" s="78"/>
      <c r="BC944" s="78"/>
      <c r="BD944" s="78"/>
      <c r="BE944" s="465"/>
      <c r="BF944" s="165" t="str">
        <f t="shared" si="678"/>
        <v>https://www.google.com/search?tbm=isch&amp;q=All%20Plum%20Yews%20have%20fine-textured%20foliage%20with%20brown%2C%20scaly%20bark.%20Slow%20growing%2C%20heat%20and%20shade%20tolerant%20</v>
      </c>
      <c r="BG944" s="165" t="str">
        <f t="shared" si="679"/>
        <v>A</v>
      </c>
      <c r="BH944" s="65"/>
      <c r="BI944" s="65"/>
      <c r="BJ944" s="65"/>
      <c r="BK944" s="65"/>
      <c r="BL944" s="99"/>
      <c r="BM944" s="99"/>
      <c r="BN944" s="99"/>
    </row>
    <row r="945" spans="1:66" s="51" customFormat="1" ht="18" x14ac:dyDescent="0.25">
      <c r="A945" s="507" t="s">
        <v>2005</v>
      </c>
      <c r="B945" s="470"/>
      <c r="C945" s="706"/>
      <c r="D945" s="471" t="s">
        <v>2006</v>
      </c>
      <c r="E945" s="472"/>
      <c r="F945" s="472"/>
      <c r="G945" s="472"/>
      <c r="H945" s="622" t="s">
        <v>1088</v>
      </c>
      <c r="I945" s="473" t="s">
        <v>431</v>
      </c>
      <c r="J945" s="472"/>
      <c r="K945" s="472"/>
      <c r="L945" s="561"/>
      <c r="M945" s="703" t="s">
        <v>5260</v>
      </c>
      <c r="N945" s="692" t="str">
        <f>IF(AND(ISTEXT($A945), ISERROR($A945+0)), HYPERLINK($BF945, "Images"), "")</f>
        <v>Images</v>
      </c>
      <c r="O945" s="694" t="s">
        <v>5244</v>
      </c>
      <c r="P945" s="475"/>
      <c r="Q945" s="476"/>
      <c r="R945" s="476"/>
      <c r="S945" s="477"/>
      <c r="T945" s="102">
        <f t="shared" si="667"/>
        <v>0</v>
      </c>
      <c r="U945" s="78" t="str">
        <f>IF(NOT(ISNUMBER(G945)), "", VLOOKUP(A945,'Discount Lookup'!D:E,2,FALSE)*G945)</f>
        <v/>
      </c>
      <c r="V945" s="78" t="str">
        <f>IF(NOT(ISNUMBER(G945)), "", VLOOKUP(A945,'Discount Lookup'!G:H,2,FALSE)*G945)</f>
        <v/>
      </c>
      <c r="W945" s="102">
        <f t="shared" si="668"/>
        <v>0</v>
      </c>
      <c r="X945" s="102" t="str">
        <f t="shared" si="669"/>
        <v>Dark Green foliage</v>
      </c>
      <c r="Y945" s="120" t="b">
        <f t="shared" si="670"/>
        <v>0</v>
      </c>
      <c r="Z945" s="117">
        <f t="shared" si="671"/>
        <v>0</v>
      </c>
      <c r="AA945" s="118"/>
      <c r="AB945" s="118" t="str">
        <f t="shared" si="672"/>
        <v/>
      </c>
      <c r="AC945" s="712" t="str">
        <f>IF(AE945="T2G","no charge",IF(AND(OR(PlanterYesMe="No",PlanterYesMe="N",PlanterYesMe="me"),H945=""),"",IF(H945="credit","NO install",IF(AND(K945="",AE945="me"),"EACH row",IF(AND(K945="images",AE945="me"),"EACH row",IF(D945="","",IF(H945="credit","",IF(AE945="free","re-planting",IF(AE945="me","   not ELP, by",IF(AND(OR(PlanterYesMe="Yes",PlanterYesMe="Y"),G945&gt;0),(VLOOKUP(A945,'Discount Lookup'!J:K,2)*G945*(1-PlanterDiscount)*(1+PlanterDifficultyPercentage)),IF(AE945="ELP",(VLOOKUP(A945,'Discount Lookup'!J:K,2)*G945*(1-PlanterDiscount)*(1+PlanterDifficultyPercentage)),IF(AE945="free","re-planting",IF(G945=0,"",IF(PlanterYesMe="",IF(AE945="me","   not ELP, by",IF(AE945="",IF(G945&gt;0,(VLOOKUP(A945,'Discount Lookup'!J:K,2)*G945*(1-PlanterDiscount)*(1+PlanterDifficultyPercentage)),""),"")),"   not ELP, by"))))))))))))))</f>
        <v/>
      </c>
      <c r="AD945" s="712"/>
      <c r="AE945" s="513" t="str">
        <f t="shared" si="673"/>
        <v/>
      </c>
      <c r="AF945" s="713" t="str">
        <f t="shared" si="674"/>
        <v/>
      </c>
      <c r="AG945" s="713"/>
      <c r="AH945" s="713"/>
      <c r="AI945" s="112">
        <f>IF(H945="credit",0,IF(AE945="free",0,IF(AE945="me",0,IF(G945&gt;0,(VLOOKUP(A945,'Discount Lookup'!J:K,2)*G945),0))))</f>
        <v>0</v>
      </c>
      <c r="AJ945" s="107" t="str">
        <f t="shared" ca="1" si="675"/>
        <v/>
      </c>
      <c r="AK945" s="714" t="str">
        <f t="shared" si="676"/>
        <v/>
      </c>
      <c r="AL945" s="714"/>
      <c r="AM945" s="114" t="str">
        <f t="shared" si="677"/>
        <v/>
      </c>
      <c r="AN945" s="115"/>
      <c r="AO945" s="116"/>
      <c r="AP945" s="116"/>
      <c r="AQ945" s="116"/>
      <c r="AR945" s="116"/>
      <c r="AS945" s="116"/>
      <c r="AT945" s="116"/>
      <c r="AU945" s="116"/>
      <c r="AV945" s="78"/>
      <c r="AW945" s="102"/>
      <c r="AX945" s="78"/>
      <c r="AY945" s="78"/>
      <c r="AZ945" s="78"/>
      <c r="BA945" s="78"/>
      <c r="BB945" s="78"/>
      <c r="BC945" s="78"/>
      <c r="BD945" s="78"/>
      <c r="BE945" s="465"/>
      <c r="BF945" s="165" t="str">
        <f t="shared" si="678"/>
        <v>https://www.google.com/search?tbm=isch&amp;q=Cephalotaxus%20harringtonia%20%27Tightwad%27%20Tightwad%20Japanese%20Plum%20Yew</v>
      </c>
      <c r="BG945" s="165" t="str">
        <f t="shared" si="679"/>
        <v>C</v>
      </c>
      <c r="BH945" s="65"/>
      <c r="BI945" s="65"/>
      <c r="BJ945" s="65"/>
      <c r="BK945" s="65"/>
      <c r="BL945" s="99"/>
      <c r="BM945" s="99"/>
      <c r="BN945" s="99"/>
    </row>
    <row r="946" spans="1:66" s="51" customFormat="1" ht="40.5" x14ac:dyDescent="0.25">
      <c r="A946" s="478">
        <v>5</v>
      </c>
      <c r="B946" s="479" t="s">
        <v>291</v>
      </c>
      <c r="C946" s="480" t="s">
        <v>2007</v>
      </c>
      <c r="D946" s="481" t="s">
        <v>299</v>
      </c>
      <c r="E946" s="482">
        <v>123.95</v>
      </c>
      <c r="F946" s="483" t="s">
        <v>292</v>
      </c>
      <c r="G946" s="484">
        <v>0</v>
      </c>
      <c r="H946" s="688" t="str">
        <f>IF(G946=0,"",IF(F946="Buy",IF(G946=1,"plant","plants"),IF(F946&gt;0.01,"warranty","Error")))</f>
        <v/>
      </c>
      <c r="I946" s="485">
        <f>IF(H946="free",0,IF(H946="credit",((E946*(F946))*G946*-1),IF(F946="Buy",(E946*G946),((E946*(1-F946))*G946))))</f>
        <v>0</v>
      </c>
      <c r="J946" s="485">
        <f>IF(H946="warranty",0,(I946*(_xlfn.SINGLE(SalesTaxPercentage))))</f>
        <v>0</v>
      </c>
      <c r="K946" s="715">
        <f t="shared" ref="K946" si="695">I946+J946</f>
        <v>0</v>
      </c>
      <c r="L946" s="715"/>
      <c r="M946" s="689" t="str">
        <f ca="1">IF(AND(G946&gt;0,E946=0),"WARNING - no PRICE inserted",IF(H946="free","FREE ~ no charge this plant",IF(H946="credit",CONCATENATE("-$",ROUND(K946*(1-_xlfn.SINGLE(T2GDiscount))*-1,2)," CREDIT after discount"),IF(_xlfn.SINGLE(T2GDiscount)=0,"",IF(G946=0,"",IF(F946="Buy",CONCATENATE("$",ROUND(K946*(1-_xlfn.SINGLE(T2GDiscount)),2)," with ",(_xlfn.SINGLE(T2GDiscount)*100),"% discount"),CONCATENATE("$",ROUND(K946*(1-_xlfn.SINGLE(T2GDiscount)),2)," with ",((_xlfn.SINGLE(T2GDiscount)*100+F946*100)-(_xlfn.SINGLE(T2GDiscount)*100*F946)),IF(F946&gt;0,"% discounts",IF(_xlfn.SINGLE(NoWarrantyDiscount)&gt;0,"% discounts","% discount")))))))))</f>
        <v/>
      </c>
      <c r="N946" s="690"/>
      <c r="O946" s="486"/>
      <c r="P946" s="486"/>
      <c r="Q946" s="486"/>
      <c r="R946" s="486"/>
      <c r="S946" s="486"/>
      <c r="T946" s="102">
        <f t="shared" si="667"/>
        <v>0</v>
      </c>
      <c r="U946" s="78">
        <f>IF(NOT(ISNUMBER(G946)), "", VLOOKUP(A946,'Discount Lookup'!D:E,2,FALSE)*G946)</f>
        <v>0</v>
      </c>
      <c r="V946" s="78">
        <f>IF(NOT(ISNUMBER(G946)), "", VLOOKUP(A946,'Discount Lookup'!G:H,2,FALSE)*G946)</f>
        <v>0</v>
      </c>
      <c r="W946" s="102">
        <f t="shared" si="668"/>
        <v>0</v>
      </c>
      <c r="X946" s="102">
        <f t="shared" si="669"/>
        <v>0</v>
      </c>
      <c r="Y946" s="120" t="b">
        <f t="shared" si="670"/>
        <v>0</v>
      </c>
      <c r="Z946" s="117">
        <f t="shared" si="671"/>
        <v>0</v>
      </c>
      <c r="AA946" s="118"/>
      <c r="AB946" s="118" t="str">
        <f t="shared" si="672"/>
        <v/>
      </c>
      <c r="AC946" s="712" t="str">
        <f>IF(AE946="T2G","no charge",IF(AND(OR(PlanterYesMe="No",PlanterYesMe="N",PlanterYesMe="me"),H946=""),"",IF(H946="credit","NO install",IF(AND(K946="",AE946="me"),"EACH row",IF(AND(K946="images",AE946="me"),"EACH row",IF(D946="","",IF(H946="credit","",IF(AE946="free","re-planting",IF(AE946="me","   not ELP, by",IF(AND(OR(PlanterYesMe="Yes",PlanterYesMe="Y"),G946&gt;0),(VLOOKUP(A946,'Discount Lookup'!J:K,2)*G946*(1-PlanterDiscount)*(1+PlanterDifficultyPercentage)),IF(AE946="ELP",(VLOOKUP(A946,'Discount Lookup'!J:K,2)*G946*(1-PlanterDiscount)*(1+PlanterDifficultyPercentage)),IF(AE946="free","re-planting",IF(G946=0,"",IF(PlanterYesMe="",IF(AE946="me","   not ELP, by",IF(AE946="",IF(G946&gt;0,(VLOOKUP(A946,'Discount Lookup'!J:K,2)*G946*(1-PlanterDiscount)*(1+PlanterDifficultyPercentage)),""),"")),"   not ELP, by"))))))))))))))</f>
        <v/>
      </c>
      <c r="AD946" s="712"/>
      <c r="AE946" s="513" t="str">
        <f t="shared" si="673"/>
        <v/>
      </c>
      <c r="AF946" s="713" t="str">
        <f t="shared" si="674"/>
        <v/>
      </c>
      <c r="AG946" s="713"/>
      <c r="AH946" s="713"/>
      <c r="AI946" s="112">
        <f>IF(H946="credit",0,IF(AE946="free",0,IF(AE946="me",0,IF(G946&gt;0,(VLOOKUP(A946,'Discount Lookup'!J:K,2)*G946),0))))</f>
        <v>0</v>
      </c>
      <c r="AJ946" s="107" t="str">
        <f t="shared" ca="1" si="675"/>
        <v/>
      </c>
      <c r="AK946" s="714" t="str">
        <f t="shared" si="676"/>
        <v/>
      </c>
      <c r="AL946" s="714"/>
      <c r="AM946" s="114" t="str">
        <f t="shared" si="677"/>
        <v/>
      </c>
      <c r="AN946" s="115"/>
      <c r="AO946" s="116"/>
      <c r="AP946" s="116"/>
      <c r="AQ946" s="116"/>
      <c r="AR946" s="116"/>
      <c r="AS946" s="116"/>
      <c r="AT946" s="116"/>
      <c r="AU946" s="116"/>
      <c r="AV946" s="78"/>
      <c r="AW946" s="102"/>
      <c r="AX946" s="78"/>
      <c r="AY946" s="78"/>
      <c r="AZ946" s="78"/>
      <c r="BA946" s="78"/>
      <c r="BB946" s="78"/>
      <c r="BC946" s="78"/>
      <c r="BD946" s="78"/>
      <c r="BE946" s="465"/>
      <c r="BF946" s="165" t="str">
        <f t="shared" si="678"/>
        <v>https://www.google.com/search?tbm=isch&amp;q=5%20G4</v>
      </c>
      <c r="BG946" s="165" t="str">
        <f t="shared" si="679"/>
        <v>C</v>
      </c>
      <c r="BH946" s="65"/>
      <c r="BI946" s="65"/>
      <c r="BJ946" s="65"/>
      <c r="BK946" s="65"/>
      <c r="BL946" s="99"/>
      <c r="BM946" s="99"/>
      <c r="BN946" s="99"/>
    </row>
    <row r="947" spans="1:66" s="51" customFormat="1" ht="17.25" thickBot="1" x14ac:dyDescent="0.3">
      <c r="A947" s="508" t="s">
        <v>1971</v>
      </c>
      <c r="B947" s="487"/>
      <c r="C947" s="707"/>
      <c r="D947" s="487"/>
      <c r="E947" s="487"/>
      <c r="F947" s="488"/>
      <c r="G947" s="489"/>
      <c r="H947" s="487"/>
      <c r="I947" s="490"/>
      <c r="J947" s="490"/>
      <c r="K947" s="491"/>
      <c r="L947" s="547"/>
      <c r="M947" s="528"/>
      <c r="N947" s="492"/>
      <c r="O947" s="493"/>
      <c r="P947" s="494"/>
      <c r="Q947" s="492"/>
      <c r="R947" s="492"/>
      <c r="S947" s="699" t="s">
        <v>5278</v>
      </c>
      <c r="T947" s="102">
        <f t="shared" si="667"/>
        <v>0</v>
      </c>
      <c r="U947" s="78" t="str">
        <f>IF(NOT(ISNUMBER(G947)), "", VLOOKUP(A947,'Discount Lookup'!D:E,2,FALSE)*G947)</f>
        <v/>
      </c>
      <c r="V947" s="78" t="str">
        <f>IF(NOT(ISNUMBER(G947)), "", VLOOKUP(A947,'Discount Lookup'!G:H,2,FALSE)*G947)</f>
        <v/>
      </c>
      <c r="W947" s="102">
        <f t="shared" si="668"/>
        <v>0</v>
      </c>
      <c r="X947" s="102">
        <f t="shared" si="669"/>
        <v>0</v>
      </c>
      <c r="Y947" s="120" t="b">
        <f t="shared" si="670"/>
        <v>0</v>
      </c>
      <c r="Z947" s="117">
        <f t="shared" si="671"/>
        <v>0</v>
      </c>
      <c r="AA947" s="118"/>
      <c r="AB947" s="118" t="str">
        <f t="shared" si="672"/>
        <v/>
      </c>
      <c r="AC947" s="712" t="str">
        <f>IF(AE947="T2G","no charge",IF(AND(OR(PlanterYesMe="No",PlanterYesMe="N",PlanterYesMe="me"),H947=""),"",IF(H947="credit","NO install",IF(AND(K947="",AE947="me"),"EACH row",IF(AND(K947="images",AE947="me"),"EACH row",IF(D947="","",IF(H947="credit","",IF(AE947="free","re-planting",IF(AE947="me","   not ELP, by",IF(AND(OR(PlanterYesMe="Yes",PlanterYesMe="Y"),G947&gt;0),(VLOOKUP(A947,'Discount Lookup'!J:K,2)*G947*(1-PlanterDiscount)*(1+PlanterDifficultyPercentage)),IF(AE947="ELP",(VLOOKUP(A947,'Discount Lookup'!J:K,2)*G947*(1-PlanterDiscount)*(1+PlanterDifficultyPercentage)),IF(AE947="free","re-planting",IF(G947=0,"",IF(PlanterYesMe="",IF(AE947="me","   not ELP, by",IF(AE947="",IF(G947&gt;0,(VLOOKUP(A947,'Discount Lookup'!J:K,2)*G947*(1-PlanterDiscount)*(1+PlanterDifficultyPercentage)),""),"")),"   not ELP, by"))))))))))))))</f>
        <v/>
      </c>
      <c r="AD947" s="712"/>
      <c r="AE947" s="513" t="str">
        <f t="shared" si="673"/>
        <v/>
      </c>
      <c r="AF947" s="713" t="str">
        <f t="shared" si="674"/>
        <v/>
      </c>
      <c r="AG947" s="713"/>
      <c r="AH947" s="713"/>
      <c r="AI947" s="112">
        <f>IF(H947="credit",0,IF(AE947="free",0,IF(AE947="me",0,IF(G947&gt;0,(VLOOKUP(A947,'Discount Lookup'!J:K,2)*G947),0))))</f>
        <v>0</v>
      </c>
      <c r="AJ947" s="107" t="str">
        <f t="shared" ca="1" si="675"/>
        <v/>
      </c>
      <c r="AK947" s="714" t="str">
        <f t="shared" si="676"/>
        <v/>
      </c>
      <c r="AL947" s="714"/>
      <c r="AM947" s="114" t="str">
        <f t="shared" si="677"/>
        <v/>
      </c>
      <c r="AN947" s="115"/>
      <c r="AO947" s="116"/>
      <c r="AP947" s="116"/>
      <c r="AQ947" s="116"/>
      <c r="AR947" s="116"/>
      <c r="AS947" s="116"/>
      <c r="AT947" s="116"/>
      <c r="AU947" s="116"/>
      <c r="AV947" s="78"/>
      <c r="AW947" s="102"/>
      <c r="AX947" s="78"/>
      <c r="AY947" s="78"/>
      <c r="AZ947" s="78"/>
      <c r="BA947" s="78"/>
      <c r="BB947" s="78"/>
      <c r="BC947" s="78"/>
      <c r="BD947" s="78"/>
      <c r="BE947" s="465"/>
      <c r="BF947" s="165" t="str">
        <f t="shared" si="678"/>
        <v>https://www.google.com/search?tbm=isch&amp;q=All%20Plum%20Yews%20have%20fine-textured%20foliage%20with%20brown%2C%20scaly%20bark.%20Slow%20growing%2C%20heat%20and%20shade%20tolerant%20</v>
      </c>
      <c r="BG947" s="165" t="str">
        <f t="shared" si="679"/>
        <v>A</v>
      </c>
      <c r="BH947" s="65"/>
      <c r="BI947" s="65"/>
      <c r="BJ947" s="65"/>
      <c r="BK947" s="65"/>
      <c r="BL947" s="99"/>
      <c r="BM947" s="99"/>
      <c r="BN947" s="99"/>
    </row>
    <row r="948" spans="1:66" s="51" customFormat="1" ht="18" x14ac:dyDescent="0.25">
      <c r="A948" s="507" t="s">
        <v>2008</v>
      </c>
      <c r="B948" s="470"/>
      <c r="C948" s="706"/>
      <c r="D948" s="471" t="s">
        <v>2009</v>
      </c>
      <c r="E948" s="472"/>
      <c r="F948" s="472"/>
      <c r="G948" s="472"/>
      <c r="H948" s="622" t="s">
        <v>2010</v>
      </c>
      <c r="I948" s="473" t="s">
        <v>431</v>
      </c>
      <c r="J948" s="472"/>
      <c r="K948" s="472"/>
      <c r="L948" s="561"/>
      <c r="M948" s="703" t="s">
        <v>5260</v>
      </c>
      <c r="N948" s="692" t="str">
        <f>IF(AND(ISTEXT($A948), ISERROR($A948+0)), HYPERLINK($BF948, "Images"), "")</f>
        <v>Images</v>
      </c>
      <c r="O948" s="694" t="s">
        <v>5244</v>
      </c>
      <c r="P948" s="475"/>
      <c r="Q948" s="476"/>
      <c r="R948" s="476"/>
      <c r="S948" s="477"/>
      <c r="T948" s="102">
        <f t="shared" si="667"/>
        <v>0</v>
      </c>
      <c r="U948" s="78" t="str">
        <f>IF(NOT(ISNUMBER(G948)), "", VLOOKUP(A948,'Discount Lookup'!D:E,2,FALSE)*G948)</f>
        <v/>
      </c>
      <c r="V948" s="78" t="str">
        <f>IF(NOT(ISNUMBER(G948)), "", VLOOKUP(A948,'Discount Lookup'!G:H,2,FALSE)*G948)</f>
        <v/>
      </c>
      <c r="W948" s="102">
        <f t="shared" si="668"/>
        <v>0</v>
      </c>
      <c r="X948" s="102" t="str">
        <f t="shared" si="669"/>
        <v>Dark Green foliage</v>
      </c>
      <c r="Y948" s="120" t="b">
        <f t="shared" si="670"/>
        <v>0</v>
      </c>
      <c r="Z948" s="117">
        <f t="shared" si="671"/>
        <v>0</v>
      </c>
      <c r="AA948" s="118"/>
      <c r="AB948" s="118" t="str">
        <f t="shared" si="672"/>
        <v/>
      </c>
      <c r="AC948" s="712" t="str">
        <f>IF(AE948="T2G","no charge",IF(AND(OR(PlanterYesMe="No",PlanterYesMe="N",PlanterYesMe="me"),H948=""),"",IF(H948="credit","NO install",IF(AND(K948="",AE948="me"),"EACH row",IF(AND(K948="images",AE948="me"),"EACH row",IF(D948="","",IF(H948="credit","",IF(AE948="free","re-planting",IF(AE948="me","   not ELP, by",IF(AND(OR(PlanterYesMe="Yes",PlanterYesMe="Y"),G948&gt;0),(VLOOKUP(A948,'Discount Lookup'!J:K,2)*G948*(1-PlanterDiscount)*(1+PlanterDifficultyPercentage)),IF(AE948="ELP",(VLOOKUP(A948,'Discount Lookup'!J:K,2)*G948*(1-PlanterDiscount)*(1+PlanterDifficultyPercentage)),IF(AE948="free","re-planting",IF(G948=0,"",IF(PlanterYesMe="",IF(AE948="me","   not ELP, by",IF(AE948="",IF(G948&gt;0,(VLOOKUP(A948,'Discount Lookup'!J:K,2)*G948*(1-PlanterDiscount)*(1+PlanterDifficultyPercentage)),""),"")),"   not ELP, by"))))))))))))))</f>
        <v/>
      </c>
      <c r="AD948" s="712"/>
      <c r="AE948" s="513" t="str">
        <f t="shared" si="673"/>
        <v/>
      </c>
      <c r="AF948" s="713" t="str">
        <f t="shared" si="674"/>
        <v/>
      </c>
      <c r="AG948" s="713"/>
      <c r="AH948" s="713"/>
      <c r="AI948" s="112">
        <f>IF(H948="credit",0,IF(AE948="free",0,IF(AE948="me",0,IF(G948&gt;0,(VLOOKUP(A948,'Discount Lookup'!J:K,2)*G948),0))))</f>
        <v>0</v>
      </c>
      <c r="AJ948" s="107" t="str">
        <f t="shared" ca="1" si="675"/>
        <v/>
      </c>
      <c r="AK948" s="714" t="str">
        <f t="shared" si="676"/>
        <v/>
      </c>
      <c r="AL948" s="714"/>
      <c r="AM948" s="114" t="str">
        <f t="shared" si="677"/>
        <v/>
      </c>
      <c r="AN948" s="115"/>
      <c r="AO948" s="116"/>
      <c r="AP948" s="116"/>
      <c r="AQ948" s="116"/>
      <c r="AR948" s="116"/>
      <c r="AS948" s="116"/>
      <c r="AT948" s="116"/>
      <c r="AU948" s="116"/>
      <c r="AV948" s="78"/>
      <c r="AW948" s="102"/>
      <c r="AX948" s="78"/>
      <c r="AY948" s="78"/>
      <c r="AZ948" s="78"/>
      <c r="BA948" s="78"/>
      <c r="BB948" s="78"/>
      <c r="BC948" s="78"/>
      <c r="BD948" s="78"/>
      <c r="BE948" s="465"/>
      <c r="BF948" s="165" t="str">
        <f t="shared" si="678"/>
        <v>https://www.google.com/search?tbm=isch&amp;q=Cephalotaxus%20harringtonia%20var.%20drupacea%20Drupacea%20Japanese%20Plum%20Yew</v>
      </c>
      <c r="BG948" s="165" t="str">
        <f t="shared" si="679"/>
        <v>C</v>
      </c>
      <c r="BH948" s="65"/>
      <c r="BI948" s="65"/>
      <c r="BJ948" s="65"/>
      <c r="BK948" s="65"/>
      <c r="BL948" s="99"/>
      <c r="BM948" s="99"/>
      <c r="BN948" s="99"/>
    </row>
    <row r="949" spans="1:66" s="51" customFormat="1" ht="15.75" x14ac:dyDescent="0.25">
      <c r="A949" s="478">
        <v>5</v>
      </c>
      <c r="B949" s="479" t="s">
        <v>291</v>
      </c>
      <c r="C949" s="480" t="s">
        <v>4587</v>
      </c>
      <c r="D949" s="481" t="s">
        <v>293</v>
      </c>
      <c r="E949" s="482">
        <v>74.95</v>
      </c>
      <c r="F949" s="483" t="s">
        <v>292</v>
      </c>
      <c r="G949" s="484">
        <v>0</v>
      </c>
      <c r="H949" s="688" t="str">
        <f>IF(G949=0,"",IF(F949="Buy",IF(G949=1,"plant","plants"),IF(F949&gt;0.01,"warranty","Error")))</f>
        <v/>
      </c>
      <c r="I949" s="485">
        <f>IF(H949="free",0,IF(H949="credit",((E949*(F949))*G949*-1),IF(F949="Buy",(E949*G949),((E949*(1-F949))*G949))))</f>
        <v>0</v>
      </c>
      <c r="J949" s="485">
        <f>IF(H949="warranty",0,(I949*(_xlfn.SINGLE(SalesTaxPercentage))))</f>
        <v>0</v>
      </c>
      <c r="K949" s="715">
        <f t="shared" ref="K949" si="696">I949+J949</f>
        <v>0</v>
      </c>
      <c r="L949" s="715"/>
      <c r="M949" s="689" t="str">
        <f ca="1">IF(AND(G949&gt;0,E949=0),"WARNING - no PRICE inserted",IF(H949="free","FREE ~ no charge this plant",IF(H949="credit",CONCATENATE("-$",ROUND(K949*(1-_xlfn.SINGLE(T2GDiscount))*-1,2)," CREDIT after discount"),IF(_xlfn.SINGLE(T2GDiscount)=0,"",IF(G949=0,"",IF(F949="Buy",CONCATENATE("$",ROUND(K949*(1-_xlfn.SINGLE(T2GDiscount)),2)," with ",(_xlfn.SINGLE(T2GDiscount)*100),"% discount"),CONCATENATE("$",ROUND(K949*(1-_xlfn.SINGLE(T2GDiscount)),2)," with ",((_xlfn.SINGLE(T2GDiscount)*100+F949*100)-(_xlfn.SINGLE(T2GDiscount)*100*F949)),IF(F949&gt;0,"% discounts",IF(_xlfn.SINGLE(NoWarrantyDiscount)&gt;0,"% discounts","% discount")))))))))</f>
        <v/>
      </c>
      <c r="N949" s="690"/>
      <c r="O949" s="486"/>
      <c r="P949" s="486"/>
      <c r="Q949" s="486"/>
      <c r="R949" s="486"/>
      <c r="S949" s="486"/>
      <c r="T949" s="102">
        <f t="shared" si="667"/>
        <v>0</v>
      </c>
      <c r="U949" s="78">
        <f>IF(NOT(ISNUMBER(G949)), "", VLOOKUP(A949,'Discount Lookup'!D:E,2,FALSE)*G949)</f>
        <v>0</v>
      </c>
      <c r="V949" s="78">
        <f>IF(NOT(ISNUMBER(G949)), "", VLOOKUP(A949,'Discount Lookup'!G:H,2,FALSE)*G949)</f>
        <v>0</v>
      </c>
      <c r="W949" s="102">
        <f t="shared" si="668"/>
        <v>0</v>
      </c>
      <c r="X949" s="102">
        <f t="shared" si="669"/>
        <v>0</v>
      </c>
      <c r="Y949" s="120" t="b">
        <f t="shared" si="670"/>
        <v>0</v>
      </c>
      <c r="Z949" s="117">
        <f t="shared" si="671"/>
        <v>0</v>
      </c>
      <c r="AA949" s="118"/>
      <c r="AB949" s="118" t="str">
        <f t="shared" si="672"/>
        <v/>
      </c>
      <c r="AC949" s="712" t="str">
        <f>IF(AE949="T2G","no charge",IF(AND(OR(PlanterYesMe="No",PlanterYesMe="N",PlanterYesMe="me"),H949=""),"",IF(H949="credit","NO install",IF(AND(K949="",AE949="me"),"EACH row",IF(AND(K949="images",AE949="me"),"EACH row",IF(D949="","",IF(H949="credit","",IF(AE949="free","re-planting",IF(AE949="me","   not ELP, by",IF(AND(OR(PlanterYesMe="Yes",PlanterYesMe="Y"),G949&gt;0),(VLOOKUP(A949,'Discount Lookup'!J:K,2)*G949*(1-PlanterDiscount)*(1+PlanterDifficultyPercentage)),IF(AE949="ELP",(VLOOKUP(A949,'Discount Lookup'!J:K,2)*G949*(1-PlanterDiscount)*(1+PlanterDifficultyPercentage)),IF(AE949="free","re-planting",IF(G949=0,"",IF(PlanterYesMe="",IF(AE949="me","   not ELP, by",IF(AE949="",IF(G949&gt;0,(VLOOKUP(A949,'Discount Lookup'!J:K,2)*G949*(1-PlanterDiscount)*(1+PlanterDifficultyPercentage)),""),"")),"   not ELP, by"))))))))))))))</f>
        <v/>
      </c>
      <c r="AD949" s="712"/>
      <c r="AE949" s="513" t="str">
        <f t="shared" si="673"/>
        <v/>
      </c>
      <c r="AF949" s="713" t="str">
        <f t="shared" si="674"/>
        <v/>
      </c>
      <c r="AG949" s="713"/>
      <c r="AH949" s="713"/>
      <c r="AI949" s="112">
        <f>IF(H949="credit",0,IF(AE949="free",0,IF(AE949="me",0,IF(G949&gt;0,(VLOOKUP(A949,'Discount Lookup'!J:K,2)*G949),0))))</f>
        <v>0</v>
      </c>
      <c r="AJ949" s="107" t="str">
        <f t="shared" ca="1" si="675"/>
        <v/>
      </c>
      <c r="AK949" s="714" t="str">
        <f t="shared" si="676"/>
        <v/>
      </c>
      <c r="AL949" s="714"/>
      <c r="AM949" s="114" t="str">
        <f t="shared" si="677"/>
        <v/>
      </c>
      <c r="AN949" s="115"/>
      <c r="AO949" s="116"/>
      <c r="AP949" s="116"/>
      <c r="AQ949" s="116"/>
      <c r="AR949" s="116"/>
      <c r="AS949" s="116"/>
      <c r="AT949" s="116"/>
      <c r="AU949" s="116"/>
      <c r="AV949" s="78"/>
      <c r="AW949" s="102"/>
      <c r="AX949" s="78"/>
      <c r="AY949" s="78"/>
      <c r="AZ949" s="78"/>
      <c r="BA949" s="78"/>
      <c r="BB949" s="78"/>
      <c r="BC949" s="78"/>
      <c r="BD949" s="78"/>
      <c r="BE949" s="465"/>
      <c r="BF949" s="165" t="str">
        <f t="shared" si="678"/>
        <v>https://www.google.com/search?tbm=isch&amp;q=5%20G6</v>
      </c>
      <c r="BG949" s="165" t="str">
        <f t="shared" si="679"/>
        <v>C</v>
      </c>
      <c r="BH949" s="65"/>
      <c r="BI949" s="65"/>
      <c r="BJ949" s="65"/>
      <c r="BK949" s="65"/>
      <c r="BL949" s="99"/>
      <c r="BM949" s="99"/>
      <c r="BN949" s="99"/>
    </row>
    <row r="950" spans="1:66" s="51" customFormat="1" ht="16.5" x14ac:dyDescent="0.25">
      <c r="A950" s="508" t="s">
        <v>1971</v>
      </c>
      <c r="B950" s="487"/>
      <c r="C950" s="707"/>
      <c r="D950" s="487"/>
      <c r="E950" s="487"/>
      <c r="F950" s="488"/>
      <c r="G950" s="489"/>
      <c r="H950" s="487"/>
      <c r="I950" s="490"/>
      <c r="J950" s="490"/>
      <c r="K950" s="491"/>
      <c r="L950" s="547"/>
      <c r="M950" s="528"/>
      <c r="N950" s="492"/>
      <c r="O950" s="493"/>
      <c r="P950" s="494"/>
      <c r="Q950" s="492"/>
      <c r="R950" s="492"/>
      <c r="S950" s="699" t="s">
        <v>5278</v>
      </c>
      <c r="T950" s="102">
        <f t="shared" si="667"/>
        <v>0</v>
      </c>
      <c r="U950" s="78" t="str">
        <f>IF(NOT(ISNUMBER(G950)), "", VLOOKUP(A950,'Discount Lookup'!D:E,2,FALSE)*G950)</f>
        <v/>
      </c>
      <c r="V950" s="78" t="str">
        <f>IF(NOT(ISNUMBER(G950)), "", VLOOKUP(A950,'Discount Lookup'!G:H,2,FALSE)*G950)</f>
        <v/>
      </c>
      <c r="W950" s="102">
        <f t="shared" si="668"/>
        <v>0</v>
      </c>
      <c r="X950" s="102">
        <f t="shared" si="669"/>
        <v>0</v>
      </c>
      <c r="Y950" s="120" t="b">
        <f t="shared" si="670"/>
        <v>0</v>
      </c>
      <c r="Z950" s="117">
        <f t="shared" si="671"/>
        <v>0</v>
      </c>
      <c r="AA950" s="118"/>
      <c r="AB950" s="118" t="str">
        <f t="shared" si="672"/>
        <v/>
      </c>
      <c r="AC950" s="712" t="str">
        <f>IF(AE950="T2G","no charge",IF(AND(OR(PlanterYesMe="No",PlanterYesMe="N",PlanterYesMe="me"),H950=""),"",IF(H950="credit","NO install",IF(AND(K950="",AE950="me"),"EACH row",IF(AND(K950="images",AE950="me"),"EACH row",IF(D950="","",IF(H950="credit","",IF(AE950="free","re-planting",IF(AE950="me","   not ELP, by",IF(AND(OR(PlanterYesMe="Yes",PlanterYesMe="Y"),G950&gt;0),(VLOOKUP(A950,'Discount Lookup'!J:K,2)*G950*(1-PlanterDiscount)*(1+PlanterDifficultyPercentage)),IF(AE950="ELP",(VLOOKUP(A950,'Discount Lookup'!J:K,2)*G950*(1-PlanterDiscount)*(1+PlanterDifficultyPercentage)),IF(AE950="free","re-planting",IF(G950=0,"",IF(PlanterYesMe="",IF(AE950="me","   not ELP, by",IF(AE950="",IF(G950&gt;0,(VLOOKUP(A950,'Discount Lookup'!J:K,2)*G950*(1-PlanterDiscount)*(1+PlanterDifficultyPercentage)),""),"")),"   not ELP, by"))))))))))))))</f>
        <v/>
      </c>
      <c r="AD950" s="712"/>
      <c r="AE950" s="513" t="str">
        <f t="shared" si="673"/>
        <v/>
      </c>
      <c r="AF950" s="713" t="str">
        <f t="shared" si="674"/>
        <v/>
      </c>
      <c r="AG950" s="713"/>
      <c r="AH950" s="713"/>
      <c r="AI950" s="112">
        <f>IF(H950="credit",0,IF(AE950="free",0,IF(AE950="me",0,IF(G950&gt;0,(VLOOKUP(A950,'Discount Lookup'!J:K,2)*G950),0))))</f>
        <v>0</v>
      </c>
      <c r="AJ950" s="107" t="str">
        <f t="shared" ca="1" si="675"/>
        <v/>
      </c>
      <c r="AK950" s="714" t="str">
        <f t="shared" si="676"/>
        <v/>
      </c>
      <c r="AL950" s="714"/>
      <c r="AM950" s="114" t="str">
        <f t="shared" si="677"/>
        <v/>
      </c>
      <c r="AN950" s="115"/>
      <c r="AO950" s="116"/>
      <c r="AP950" s="116"/>
      <c r="AQ950" s="116"/>
      <c r="AR950" s="116"/>
      <c r="AS950" s="116"/>
      <c r="AT950" s="116"/>
      <c r="AU950" s="116"/>
      <c r="AV950" s="78"/>
      <c r="AW950" s="102"/>
      <c r="AX950" s="78"/>
      <c r="AY950" s="78"/>
      <c r="AZ950" s="78"/>
      <c r="BA950" s="78"/>
      <c r="BB950" s="78"/>
      <c r="BC950" s="78"/>
      <c r="BD950" s="78"/>
      <c r="BE950" s="465"/>
      <c r="BF950" s="165" t="str">
        <f t="shared" si="678"/>
        <v>https://www.google.com/search?tbm=isch&amp;q=All%20Plum%20Yews%20have%20fine-textured%20foliage%20with%20brown%2C%20scaly%20bark.%20Slow%20growing%2C%20heat%20and%20shade%20tolerant%20</v>
      </c>
      <c r="BG950" s="165" t="str">
        <f t="shared" si="679"/>
        <v>A</v>
      </c>
      <c r="BH950" s="65"/>
      <c r="BI950" s="65"/>
      <c r="BJ950" s="65"/>
      <c r="BK950" s="65"/>
      <c r="BL950" s="99"/>
      <c r="BM950" s="99"/>
      <c r="BN950" s="99"/>
    </row>
    <row r="951" spans="1:66" s="51" customFormat="1" ht="19.5" thickBot="1" x14ac:dyDescent="0.3">
      <c r="A951" s="686" t="s">
        <v>396</v>
      </c>
      <c r="B951" s="73"/>
      <c r="C951" s="708"/>
      <c r="D951" s="73"/>
      <c r="E951" s="73"/>
      <c r="F951" s="496"/>
      <c r="G951" s="73"/>
      <c r="H951" s="73"/>
      <c r="I951" s="73"/>
      <c r="J951" s="497" t="s">
        <v>357</v>
      </c>
      <c r="K951" s="498"/>
      <c r="L951" s="562"/>
      <c r="M951" s="73"/>
      <c r="N951"/>
      <c r="O951"/>
      <c r="P951"/>
      <c r="Q951"/>
      <c r="R951"/>
      <c r="S951"/>
      <c r="T951" s="102">
        <f t="shared" si="667"/>
        <v>0</v>
      </c>
      <c r="U951" s="78" t="str">
        <f>IF(NOT(ISNUMBER(G951)), "", VLOOKUP(A951,'Discount Lookup'!D:E,2,FALSE)*G951)</f>
        <v/>
      </c>
      <c r="V951" s="78" t="str">
        <f>IF(NOT(ISNUMBER(G951)), "", VLOOKUP(A951,'Discount Lookup'!G:H,2,FALSE)*G951)</f>
        <v/>
      </c>
      <c r="W951" s="102">
        <f t="shared" si="668"/>
        <v>0</v>
      </c>
      <c r="X951" s="102">
        <f t="shared" si="669"/>
        <v>0</v>
      </c>
      <c r="Y951" s="120" t="b">
        <f t="shared" si="670"/>
        <v>0</v>
      </c>
      <c r="Z951" s="117">
        <f t="shared" si="671"/>
        <v>0</v>
      </c>
      <c r="AA951" s="118"/>
      <c r="AB951" s="118" t="str">
        <f t="shared" si="672"/>
        <v/>
      </c>
      <c r="AC951" s="712" t="str">
        <f>IF(AE951="T2G","no charge",IF(AND(OR(PlanterYesMe="No",PlanterYesMe="N",PlanterYesMe="me"),H951=""),"",IF(H951="credit","NO install",IF(AND(K951="",AE951="me"),"EACH row",IF(AND(K951="images",AE951="me"),"EACH row",IF(D951="","",IF(H951="credit","",IF(AE951="free","re-planting",IF(AE951="me","   not ELP, by",IF(AND(OR(PlanterYesMe="Yes",PlanterYesMe="Y"),G951&gt;0),(VLOOKUP(A951,'Discount Lookup'!J:K,2)*G951*(1-PlanterDiscount)*(1+PlanterDifficultyPercentage)),IF(AE951="ELP",(VLOOKUP(A951,'Discount Lookup'!J:K,2)*G951*(1-PlanterDiscount)*(1+PlanterDifficultyPercentage)),IF(AE951="free","re-planting",IF(G951=0,"",IF(PlanterYesMe="",IF(AE951="me","   not ELP, by",IF(AE951="",IF(G951&gt;0,(VLOOKUP(A951,'Discount Lookup'!J:K,2)*G951*(1-PlanterDiscount)*(1+PlanterDifficultyPercentage)),""),"")),"   not ELP, by"))))))))))))))</f>
        <v/>
      </c>
      <c r="AD951" s="712"/>
      <c r="AE951" s="513" t="str">
        <f t="shared" si="673"/>
        <v/>
      </c>
      <c r="AF951" s="713" t="str">
        <f t="shared" si="674"/>
        <v/>
      </c>
      <c r="AG951" s="713"/>
      <c r="AH951" s="713"/>
      <c r="AI951" s="112">
        <f>IF(H951="credit",0,IF(AE951="free",0,IF(AE951="me",0,IF(G951&gt;0,(VLOOKUP(A951,'Discount Lookup'!J:K,2)*G951),0))))</f>
        <v>0</v>
      </c>
      <c r="AJ951" s="107" t="str">
        <f t="shared" ca="1" si="675"/>
        <v/>
      </c>
      <c r="AK951" s="714" t="str">
        <f t="shared" si="676"/>
        <v/>
      </c>
      <c r="AL951" s="714"/>
      <c r="AM951" s="114" t="str">
        <f t="shared" si="677"/>
        <v/>
      </c>
      <c r="AN951" s="115"/>
      <c r="AO951" s="116"/>
      <c r="AP951" s="116"/>
      <c r="AQ951" s="116"/>
      <c r="AR951" s="116"/>
      <c r="AS951" s="116"/>
      <c r="AT951" s="116"/>
      <c r="AU951" s="116"/>
      <c r="AV951" s="78"/>
      <c r="AW951" s="102"/>
      <c r="AX951" s="78"/>
      <c r="AY951" s="78"/>
      <c r="AZ951" s="78"/>
      <c r="BA951" s="78"/>
      <c r="BB951" s="78"/>
      <c r="BC951" s="78"/>
      <c r="BD951" s="78"/>
      <c r="BE951" s="465"/>
      <c r="BF951" s="165" t="str">
        <f t="shared" si="678"/>
        <v>https://www.google.com/search?tbm=isch&amp;q=Cercis%20%3D%20Redbud%20</v>
      </c>
      <c r="BG951" s="165" t="str">
        <f t="shared" si="679"/>
        <v>C</v>
      </c>
      <c r="BH951" s="65"/>
      <c r="BI951" s="65"/>
      <c r="BJ951" s="65"/>
      <c r="BK951" s="65"/>
      <c r="BL951" s="99"/>
      <c r="BM951" s="99"/>
      <c r="BN951" s="99"/>
    </row>
    <row r="952" spans="1:66" s="51" customFormat="1" ht="18" x14ac:dyDescent="0.25">
      <c r="A952" s="623" t="s">
        <v>2011</v>
      </c>
      <c r="B952" s="624"/>
      <c r="C952" s="709"/>
      <c r="D952" s="625" t="s">
        <v>2012</v>
      </c>
      <c r="E952" s="626"/>
      <c r="F952" s="626"/>
      <c r="G952" s="626"/>
      <c r="H952" s="622" t="s">
        <v>2013</v>
      </c>
      <c r="I952" s="627" t="s">
        <v>1458</v>
      </c>
      <c r="J952" s="628"/>
      <c r="K952" s="628"/>
      <c r="L952" s="629"/>
      <c r="M952" s="700" t="s">
        <v>5249</v>
      </c>
      <c r="N952" s="693" t="str">
        <f>IF(AND(ISTEXT($A952), ISERROR($A952+0)), HYPERLINK($BF952, "Images"), "")</f>
        <v>Images</v>
      </c>
      <c r="O952" s="695" t="s">
        <v>5264</v>
      </c>
      <c r="P952" s="630"/>
      <c r="Q952" s="631"/>
      <c r="R952" s="632"/>
      <c r="S952" s="633" t="s">
        <v>294</v>
      </c>
      <c r="T952" s="102">
        <f t="shared" si="667"/>
        <v>0</v>
      </c>
      <c r="U952" s="78" t="str">
        <f>IF(NOT(ISNUMBER(G952)), "", VLOOKUP(A952,'Discount Lookup'!D:E,2,FALSE)*G952)</f>
        <v/>
      </c>
      <c r="V952" s="78" t="str">
        <f>IF(NOT(ISNUMBER(G952)), "", VLOOKUP(A952,'Discount Lookup'!G:H,2,FALSE)*G952)</f>
        <v/>
      </c>
      <c r="W952" s="102">
        <f t="shared" si="668"/>
        <v>0</v>
      </c>
      <c r="X952" s="102" t="str">
        <f t="shared" si="669"/>
        <v>Pink bloom</v>
      </c>
      <c r="Y952" s="120" t="b">
        <f t="shared" si="670"/>
        <v>0</v>
      </c>
      <c r="Z952" s="117">
        <f t="shared" si="671"/>
        <v>0</v>
      </c>
      <c r="AA952" s="118"/>
      <c r="AB952" s="118" t="str">
        <f t="shared" si="672"/>
        <v/>
      </c>
      <c r="AC952" s="712" t="str">
        <f>IF(AE952="T2G","no charge",IF(AND(OR(PlanterYesMe="No",PlanterYesMe="N",PlanterYesMe="me"),H952=""),"",IF(H952="credit","NO install",IF(AND(K952="",AE952="me"),"EACH row",IF(AND(K952="images",AE952="me"),"EACH row",IF(D952="","",IF(H952="credit","",IF(AE952="free","re-planting",IF(AE952="me","   not ELP, by",IF(AND(OR(PlanterYesMe="Yes",PlanterYesMe="Y"),G952&gt;0),(VLOOKUP(A952,'Discount Lookup'!J:K,2)*G952*(1-PlanterDiscount)*(1+PlanterDifficultyPercentage)),IF(AE952="ELP",(VLOOKUP(A952,'Discount Lookup'!J:K,2)*G952*(1-PlanterDiscount)*(1+PlanterDifficultyPercentage)),IF(AE952="free","re-planting",IF(G952=0,"",IF(PlanterYesMe="",IF(AE952="me","   not ELP, by",IF(AE952="",IF(G952&gt;0,(VLOOKUP(A952,'Discount Lookup'!J:K,2)*G952*(1-PlanterDiscount)*(1+PlanterDifficultyPercentage)),""),"")),"   not ELP, by"))))))))))))))</f>
        <v/>
      </c>
      <c r="AD952" s="712"/>
      <c r="AE952" s="513" t="str">
        <f t="shared" si="673"/>
        <v/>
      </c>
      <c r="AF952" s="713" t="str">
        <f t="shared" si="674"/>
        <v/>
      </c>
      <c r="AG952" s="713"/>
      <c r="AH952" s="713"/>
      <c r="AI952" s="112">
        <f>IF(H952="credit",0,IF(AE952="free",0,IF(AE952="me",0,IF(G952&gt;0,(VLOOKUP(A952,'Discount Lookup'!J:K,2)*G952),0))))</f>
        <v>0</v>
      </c>
      <c r="AJ952" s="107" t="str">
        <f t="shared" ca="1" si="675"/>
        <v/>
      </c>
      <c r="AK952" s="714" t="str">
        <f t="shared" si="676"/>
        <v/>
      </c>
      <c r="AL952" s="714"/>
      <c r="AM952" s="114" t="str">
        <f t="shared" si="677"/>
        <v/>
      </c>
      <c r="AN952" s="115"/>
      <c r="AO952" s="116"/>
      <c r="AP952" s="116"/>
      <c r="AQ952" s="116"/>
      <c r="AR952" s="116"/>
      <c r="AS952" s="116"/>
      <c r="AT952" s="116"/>
      <c r="AU952" s="116"/>
      <c r="AV952" s="78"/>
      <c r="AW952" s="102"/>
      <c r="AX952" s="78"/>
      <c r="AY952" s="78"/>
      <c r="AZ952" s="78"/>
      <c r="BA952" s="78"/>
      <c r="BB952" s="78"/>
      <c r="BC952" s="78"/>
      <c r="BD952" s="78"/>
      <c r="BE952" s="465"/>
      <c r="BF952" s="165" t="str">
        <f t="shared" si="678"/>
        <v>https://www.google.com/search?tbm=isch&amp;q=Cercis%20canadensis%20Eastern%20Redbud</v>
      </c>
      <c r="BG952" s="165" t="str">
        <f t="shared" si="679"/>
        <v>C</v>
      </c>
      <c r="BH952" s="65"/>
      <c r="BI952" s="65"/>
      <c r="BJ952" s="65"/>
      <c r="BK952" s="65"/>
      <c r="BL952" s="99"/>
      <c r="BM952" s="99"/>
      <c r="BN952" s="99"/>
    </row>
    <row r="953" spans="1:66" s="51" customFormat="1" ht="15.75" x14ac:dyDescent="0.25">
      <c r="A953" s="634">
        <v>7</v>
      </c>
      <c r="B953" s="635" t="s">
        <v>291</v>
      </c>
      <c r="C953" s="636" t="s">
        <v>4961</v>
      </c>
      <c r="D953" s="637" t="s">
        <v>299</v>
      </c>
      <c r="E953" s="638">
        <v>102.95</v>
      </c>
      <c r="F953" s="639" t="s">
        <v>292</v>
      </c>
      <c r="G953" s="484">
        <v>0</v>
      </c>
      <c r="H953" s="691" t="str">
        <f t="shared" ref="H953:H958" si="697">IF(G953=0,"",IF(F953="Buy",IF(G953=1,"plant","plants"),IF(F953&gt;0.01,"warranty","Error")))</f>
        <v/>
      </c>
      <c r="I953" s="640">
        <f t="shared" ref="I953:I958" si="698">IF(H953="free",0,IF(H953="credit",((E953*(F953))*G953*-1),IF(F953="Buy",(E953*G953),((E953*(1-F953))*G953))))</f>
        <v>0</v>
      </c>
      <c r="J953" s="640">
        <f t="shared" ref="J953:J958" si="699">IF(H953="warranty",0,(I953*(_xlfn.SINGLE(SalesTaxPercentage))))</f>
        <v>0</v>
      </c>
      <c r="K953" s="716">
        <f t="shared" ref="K953" si="700">I953+J953</f>
        <v>0</v>
      </c>
      <c r="L953" s="716"/>
      <c r="M953" s="689" t="str">
        <f t="shared" ref="M953:M958" ca="1" si="701">IF(AND(G953&gt;0,E953=0),"WARNING - no PRICE inserted",IF(H953="free","FREE ~ no charge this plant",IF(H953="credit",CONCATENATE("-$",ROUND(K953*(1-_xlfn.SINGLE(T2GDiscount))*-1,2)," CREDIT after discount"),IF(_xlfn.SINGLE(T2GDiscount)=0,"",IF(G953=0,"",IF(F953="Buy",CONCATENATE("$",ROUND(K953*(1-_xlfn.SINGLE(T2GDiscount)),2)," with ",(_xlfn.SINGLE(T2GDiscount)*100),"% discount"),CONCATENATE("$",ROUND(K953*(1-_xlfn.SINGLE(T2GDiscount)),2)," with ",((_xlfn.SINGLE(T2GDiscount)*100+F953*100)-(_xlfn.SINGLE(T2GDiscount)*100*F953)),IF(F953&gt;0,"% discounts",IF(_xlfn.SINGLE(NoWarrantyDiscount)&gt;0,"% discounts","% discount")))))))))</f>
        <v/>
      </c>
      <c r="N953" s="690"/>
      <c r="O953" s="486"/>
      <c r="P953" s="486"/>
      <c r="Q953" s="486"/>
      <c r="R953" s="486"/>
      <c r="S953" s="486"/>
      <c r="T953" s="102">
        <f t="shared" si="667"/>
        <v>0</v>
      </c>
      <c r="U953" s="78">
        <f>IF(NOT(ISNUMBER(G953)), "", VLOOKUP(A953,'Discount Lookup'!D:E,2,FALSE)*G953)</f>
        <v>0</v>
      </c>
      <c r="V953" s="78">
        <f>IF(NOT(ISNUMBER(G953)), "", VLOOKUP(A953,'Discount Lookup'!G:H,2,FALSE)*G953)</f>
        <v>0</v>
      </c>
      <c r="W953" s="102">
        <f t="shared" si="668"/>
        <v>0</v>
      </c>
      <c r="X953" s="102">
        <f t="shared" si="669"/>
        <v>0</v>
      </c>
      <c r="Y953" s="120" t="b">
        <f t="shared" si="670"/>
        <v>0</v>
      </c>
      <c r="Z953" s="117">
        <f t="shared" si="671"/>
        <v>0</v>
      </c>
      <c r="AA953" s="118"/>
      <c r="AB953" s="118" t="str">
        <f t="shared" si="672"/>
        <v/>
      </c>
      <c r="AC953" s="712" t="str">
        <f>IF(AE953="T2G","no charge",IF(AND(OR(PlanterYesMe="No",PlanterYesMe="N",PlanterYesMe="me"),H953=""),"",IF(H953="credit","NO install",IF(AND(K953="",AE953="me"),"EACH row",IF(AND(K953="images",AE953="me"),"EACH row",IF(D953="","",IF(H953="credit","",IF(AE953="free","re-planting",IF(AE953="me","   not ELP, by",IF(AND(OR(PlanterYesMe="Yes",PlanterYesMe="Y"),G953&gt;0),(VLOOKUP(A953,'Discount Lookup'!J:K,2)*G953*(1-PlanterDiscount)*(1+PlanterDifficultyPercentage)),IF(AE953="ELP",(VLOOKUP(A953,'Discount Lookup'!J:K,2)*G953*(1-PlanterDiscount)*(1+PlanterDifficultyPercentage)),IF(AE953="free","re-planting",IF(G953=0,"",IF(PlanterYesMe="",IF(AE953="me","   not ELP, by",IF(AE953="",IF(G953&gt;0,(VLOOKUP(A953,'Discount Lookup'!J:K,2)*G953*(1-PlanterDiscount)*(1+PlanterDifficultyPercentage)),""),"")),"   not ELP, by"))))))))))))))</f>
        <v/>
      </c>
      <c r="AD953" s="712"/>
      <c r="AE953" s="513" t="str">
        <f t="shared" si="673"/>
        <v/>
      </c>
      <c r="AF953" s="713" t="str">
        <f t="shared" si="674"/>
        <v/>
      </c>
      <c r="AG953" s="713"/>
      <c r="AH953" s="713"/>
      <c r="AI953" s="112">
        <f>IF(H953="credit",0,IF(AE953="free",0,IF(AE953="me",0,IF(G953&gt;0,(VLOOKUP(A953,'Discount Lookup'!J:K,2)*G953),0))))</f>
        <v>0</v>
      </c>
      <c r="AJ953" s="107" t="str">
        <f t="shared" ca="1" si="675"/>
        <v/>
      </c>
      <c r="AK953" s="714" t="str">
        <f t="shared" si="676"/>
        <v/>
      </c>
      <c r="AL953" s="714"/>
      <c r="AM953" s="114" t="str">
        <f t="shared" si="677"/>
        <v/>
      </c>
      <c r="AN953" s="115"/>
      <c r="AO953" s="116"/>
      <c r="AP953" s="116"/>
      <c r="AQ953" s="116"/>
      <c r="AR953" s="116"/>
      <c r="AS953" s="116"/>
      <c r="AT953" s="116"/>
      <c r="AU953" s="116"/>
      <c r="AV953" s="78"/>
      <c r="AW953" s="102"/>
      <c r="AX953" s="78"/>
      <c r="AY953" s="78"/>
      <c r="AZ953" s="78"/>
      <c r="BA953" s="78"/>
      <c r="BB953" s="78"/>
      <c r="BC953" s="78"/>
      <c r="BD953" s="78"/>
      <c r="BE953" s="465"/>
      <c r="BF953" s="165" t="str">
        <f t="shared" si="678"/>
        <v>https://www.google.com/search?tbm=isch&amp;q=7%20G4</v>
      </c>
      <c r="BG953" s="165" t="str">
        <f t="shared" si="679"/>
        <v>C</v>
      </c>
      <c r="BH953" s="65"/>
      <c r="BI953" s="65"/>
      <c r="BJ953" s="65"/>
      <c r="BK953" s="65"/>
      <c r="BL953" s="99"/>
      <c r="BM953" s="99"/>
      <c r="BN953" s="99"/>
    </row>
    <row r="954" spans="1:66" s="51" customFormat="1" ht="15.75" x14ac:dyDescent="0.25">
      <c r="A954" s="634">
        <v>7</v>
      </c>
      <c r="B954" s="635" t="s">
        <v>291</v>
      </c>
      <c r="C954" s="636" t="s">
        <v>2014</v>
      </c>
      <c r="D954" s="637" t="s">
        <v>329</v>
      </c>
      <c r="E954" s="638">
        <v>126.95</v>
      </c>
      <c r="F954" s="639" t="s">
        <v>292</v>
      </c>
      <c r="G954" s="484">
        <v>0</v>
      </c>
      <c r="H954" s="691" t="str">
        <f t="shared" si="697"/>
        <v/>
      </c>
      <c r="I954" s="640">
        <f t="shared" si="698"/>
        <v>0</v>
      </c>
      <c r="J954" s="640">
        <f t="shared" si="699"/>
        <v>0</v>
      </c>
      <c r="K954" s="716">
        <f t="shared" ref="K954" si="702">I954+J954</f>
        <v>0</v>
      </c>
      <c r="L954" s="716"/>
      <c r="M954" s="689" t="str">
        <f t="shared" ca="1" si="701"/>
        <v/>
      </c>
      <c r="N954" s="690"/>
      <c r="O954" s="486"/>
      <c r="P954" s="486"/>
      <c r="Q954" s="486"/>
      <c r="R954" s="486"/>
      <c r="S954" s="486"/>
      <c r="T954" s="102">
        <f t="shared" si="667"/>
        <v>0</v>
      </c>
      <c r="U954" s="78">
        <f>IF(NOT(ISNUMBER(G954)), "", VLOOKUP(A954,'Discount Lookup'!D:E,2,FALSE)*G954)</f>
        <v>0</v>
      </c>
      <c r="V954" s="78">
        <f>IF(NOT(ISNUMBER(G954)), "", VLOOKUP(A954,'Discount Lookup'!G:H,2,FALSE)*G954)</f>
        <v>0</v>
      </c>
      <c r="W954" s="102">
        <f t="shared" si="668"/>
        <v>0</v>
      </c>
      <c r="X954" s="102">
        <f t="shared" si="669"/>
        <v>0</v>
      </c>
      <c r="Y954" s="120" t="b">
        <f t="shared" si="670"/>
        <v>0</v>
      </c>
      <c r="Z954" s="117">
        <f t="shared" si="671"/>
        <v>0</v>
      </c>
      <c r="AA954" s="118"/>
      <c r="AB954" s="118" t="str">
        <f t="shared" si="672"/>
        <v/>
      </c>
      <c r="AC954" s="712" t="str">
        <f>IF(AE954="T2G","no charge",IF(AND(OR(PlanterYesMe="No",PlanterYesMe="N",PlanterYesMe="me"),H954=""),"",IF(H954="credit","NO install",IF(AND(K954="",AE954="me"),"EACH row",IF(AND(K954="images",AE954="me"),"EACH row",IF(D954="","",IF(H954="credit","",IF(AE954="free","re-planting",IF(AE954="me","   not ELP, by",IF(AND(OR(PlanterYesMe="Yes",PlanterYesMe="Y"),G954&gt;0),(VLOOKUP(A954,'Discount Lookup'!J:K,2)*G954*(1-PlanterDiscount)*(1+PlanterDifficultyPercentage)),IF(AE954="ELP",(VLOOKUP(A954,'Discount Lookup'!J:K,2)*G954*(1-PlanterDiscount)*(1+PlanterDifficultyPercentage)),IF(AE954="free","re-planting",IF(G954=0,"",IF(PlanterYesMe="",IF(AE954="me","   not ELP, by",IF(AE954="",IF(G954&gt;0,(VLOOKUP(A954,'Discount Lookup'!J:K,2)*G954*(1-PlanterDiscount)*(1+PlanterDifficultyPercentage)),""),"")),"   not ELP, by"))))))))))))))</f>
        <v/>
      </c>
      <c r="AD954" s="712"/>
      <c r="AE954" s="513" t="str">
        <f t="shared" si="673"/>
        <v/>
      </c>
      <c r="AF954" s="713" t="str">
        <f t="shared" si="674"/>
        <v/>
      </c>
      <c r="AG954" s="713"/>
      <c r="AH954" s="713"/>
      <c r="AI954" s="112">
        <f>IF(H954="credit",0,IF(AE954="free",0,IF(AE954="me",0,IF(G954&gt;0,(VLOOKUP(A954,'Discount Lookup'!J:K,2)*G954),0))))</f>
        <v>0</v>
      </c>
      <c r="AJ954" s="107" t="str">
        <f t="shared" ca="1" si="675"/>
        <v/>
      </c>
      <c r="AK954" s="714" t="str">
        <f t="shared" si="676"/>
        <v/>
      </c>
      <c r="AL954" s="714"/>
      <c r="AM954" s="114" t="str">
        <f t="shared" si="677"/>
        <v/>
      </c>
      <c r="AN954" s="115"/>
      <c r="AO954" s="116"/>
      <c r="AP954" s="116"/>
      <c r="AQ954" s="116"/>
      <c r="AR954" s="116"/>
      <c r="AS954" s="116"/>
      <c r="AT954" s="116"/>
      <c r="AU954" s="116"/>
      <c r="AV954" s="78"/>
      <c r="AW954" s="102"/>
      <c r="AX954" s="78"/>
      <c r="AY954" s="78"/>
      <c r="AZ954" s="78"/>
      <c r="BA954" s="78"/>
      <c r="BB954" s="78"/>
      <c r="BC954" s="78"/>
      <c r="BD954" s="78"/>
      <c r="BE954" s="465"/>
      <c r="BF954" s="165" t="str">
        <f t="shared" si="678"/>
        <v>https://www.google.com/search?tbm=isch&amp;q=7%20G2</v>
      </c>
      <c r="BG954" s="165" t="str">
        <f t="shared" si="679"/>
        <v>C</v>
      </c>
      <c r="BH954" s="65"/>
      <c r="BI954" s="65"/>
      <c r="BJ954" s="65"/>
      <c r="BK954" s="65"/>
      <c r="BL954" s="99"/>
      <c r="BM954" s="99"/>
      <c r="BN954" s="99"/>
    </row>
    <row r="955" spans="1:66" s="51" customFormat="1" ht="15.75" x14ac:dyDescent="0.25">
      <c r="A955" s="634">
        <v>10</v>
      </c>
      <c r="B955" s="635" t="s">
        <v>291</v>
      </c>
      <c r="C955" s="636" t="s">
        <v>2015</v>
      </c>
      <c r="D955" s="637" t="s">
        <v>329</v>
      </c>
      <c r="E955" s="638">
        <v>146.94999999999999</v>
      </c>
      <c r="F955" s="639" t="s">
        <v>292</v>
      </c>
      <c r="G955" s="484">
        <v>0</v>
      </c>
      <c r="H955" s="691" t="str">
        <f t="shared" si="697"/>
        <v/>
      </c>
      <c r="I955" s="640">
        <f t="shared" si="698"/>
        <v>0</v>
      </c>
      <c r="J955" s="640">
        <f t="shared" si="699"/>
        <v>0</v>
      </c>
      <c r="K955" s="716">
        <f t="shared" ref="K955" si="703">I955+J955</f>
        <v>0</v>
      </c>
      <c r="L955" s="716"/>
      <c r="M955" s="689" t="str">
        <f t="shared" ca="1" si="701"/>
        <v/>
      </c>
      <c r="N955" s="690"/>
      <c r="O955" s="486"/>
      <c r="P955" s="486"/>
      <c r="Q955" s="486"/>
      <c r="R955" s="486"/>
      <c r="S955" s="486"/>
      <c r="T955" s="102">
        <f t="shared" si="667"/>
        <v>0</v>
      </c>
      <c r="U955" s="78">
        <f>IF(NOT(ISNUMBER(G955)), "", VLOOKUP(A955,'Discount Lookup'!D:E,2,FALSE)*G955)</f>
        <v>0</v>
      </c>
      <c r="V955" s="78">
        <f>IF(NOT(ISNUMBER(G955)), "", VLOOKUP(A955,'Discount Lookup'!G:H,2,FALSE)*G955)</f>
        <v>0</v>
      </c>
      <c r="W955" s="102">
        <f t="shared" si="668"/>
        <v>0</v>
      </c>
      <c r="X955" s="102">
        <f t="shared" si="669"/>
        <v>0</v>
      </c>
      <c r="Y955" s="120" t="b">
        <f t="shared" si="670"/>
        <v>0</v>
      </c>
      <c r="Z955" s="117">
        <f t="shared" si="671"/>
        <v>0</v>
      </c>
      <c r="AA955" s="118"/>
      <c r="AB955" s="118" t="str">
        <f t="shared" si="672"/>
        <v/>
      </c>
      <c r="AC955" s="712" t="str">
        <f>IF(AE955="T2G","no charge",IF(AND(OR(PlanterYesMe="No",PlanterYesMe="N",PlanterYesMe="me"),H955=""),"",IF(H955="credit","NO install",IF(AND(K955="",AE955="me"),"EACH row",IF(AND(K955="images",AE955="me"),"EACH row",IF(D955="","",IF(H955="credit","",IF(AE955="free","re-planting",IF(AE955="me","   not ELP, by",IF(AND(OR(PlanterYesMe="Yes",PlanterYesMe="Y"),G955&gt;0),(VLOOKUP(A955,'Discount Lookup'!J:K,2)*G955*(1-PlanterDiscount)*(1+PlanterDifficultyPercentage)),IF(AE955="ELP",(VLOOKUP(A955,'Discount Lookup'!J:K,2)*G955*(1-PlanterDiscount)*(1+PlanterDifficultyPercentage)),IF(AE955="free","re-planting",IF(G955=0,"",IF(PlanterYesMe="",IF(AE955="me","   not ELP, by",IF(AE955="",IF(G955&gt;0,(VLOOKUP(A955,'Discount Lookup'!J:K,2)*G955*(1-PlanterDiscount)*(1+PlanterDifficultyPercentage)),""),"")),"   not ELP, by"))))))))))))))</f>
        <v/>
      </c>
      <c r="AD955" s="712"/>
      <c r="AE955" s="513" t="str">
        <f t="shared" si="673"/>
        <v/>
      </c>
      <c r="AF955" s="713" t="str">
        <f t="shared" si="674"/>
        <v/>
      </c>
      <c r="AG955" s="713"/>
      <c r="AH955" s="713"/>
      <c r="AI955" s="112">
        <f>IF(H955="credit",0,IF(AE955="free",0,IF(AE955="me",0,IF(G955&gt;0,(VLOOKUP(A955,'Discount Lookup'!J:K,2)*G955),0))))</f>
        <v>0</v>
      </c>
      <c r="AJ955" s="107" t="str">
        <f t="shared" ca="1" si="675"/>
        <v/>
      </c>
      <c r="AK955" s="714" t="str">
        <f t="shared" si="676"/>
        <v/>
      </c>
      <c r="AL955" s="714"/>
      <c r="AM955" s="114" t="str">
        <f t="shared" si="677"/>
        <v/>
      </c>
      <c r="AN955" s="115"/>
      <c r="AO955" s="116"/>
      <c r="AP955" s="116"/>
      <c r="AQ955" s="116"/>
      <c r="AR955" s="116"/>
      <c r="AS955" s="116"/>
      <c r="AT955" s="116"/>
      <c r="AU955" s="116"/>
      <c r="AV955" s="78"/>
      <c r="AW955" s="102"/>
      <c r="AX955" s="78"/>
      <c r="AY955" s="78"/>
      <c r="AZ955" s="78"/>
      <c r="BA955" s="78"/>
      <c r="BB955" s="78"/>
      <c r="BC955" s="78"/>
      <c r="BD955" s="78"/>
      <c r="BE955" s="465"/>
      <c r="BF955" s="165" t="str">
        <f t="shared" si="678"/>
        <v>https://www.google.com/search?tbm=isch&amp;q=10%20G2</v>
      </c>
      <c r="BG955" s="165" t="str">
        <f t="shared" si="679"/>
        <v>C</v>
      </c>
      <c r="BH955" s="65"/>
      <c r="BI955" s="65"/>
      <c r="BJ955" s="65"/>
      <c r="BK955" s="65"/>
      <c r="BL955" s="99"/>
      <c r="BM955" s="99"/>
      <c r="BN955" s="99"/>
    </row>
    <row r="956" spans="1:66" s="51" customFormat="1" ht="15.75" x14ac:dyDescent="0.25">
      <c r="A956" s="634">
        <v>10</v>
      </c>
      <c r="B956" s="635" t="s">
        <v>291</v>
      </c>
      <c r="C956" s="636" t="s">
        <v>2016</v>
      </c>
      <c r="D956" s="637" t="s">
        <v>299</v>
      </c>
      <c r="E956" s="638">
        <v>148.94999999999999</v>
      </c>
      <c r="F956" s="639" t="s">
        <v>292</v>
      </c>
      <c r="G956" s="484">
        <v>0</v>
      </c>
      <c r="H956" s="691" t="str">
        <f t="shared" si="697"/>
        <v/>
      </c>
      <c r="I956" s="640">
        <f t="shared" si="698"/>
        <v>0</v>
      </c>
      <c r="J956" s="640">
        <f t="shared" si="699"/>
        <v>0</v>
      </c>
      <c r="K956" s="716">
        <f t="shared" ref="K956" si="704">I956+J956</f>
        <v>0</v>
      </c>
      <c r="L956" s="716"/>
      <c r="M956" s="689" t="str">
        <f t="shared" ca="1" si="701"/>
        <v/>
      </c>
      <c r="N956" s="690"/>
      <c r="O956" s="486"/>
      <c r="P956" s="486"/>
      <c r="Q956" s="486"/>
      <c r="R956" s="486"/>
      <c r="S956" s="486"/>
      <c r="T956" s="102">
        <f t="shared" si="667"/>
        <v>0</v>
      </c>
      <c r="U956" s="78">
        <f>IF(NOT(ISNUMBER(G956)), "", VLOOKUP(A956,'Discount Lookup'!D:E,2,FALSE)*G956)</f>
        <v>0</v>
      </c>
      <c r="V956" s="78">
        <f>IF(NOT(ISNUMBER(G956)), "", VLOOKUP(A956,'Discount Lookup'!G:H,2,FALSE)*G956)</f>
        <v>0</v>
      </c>
      <c r="W956" s="102">
        <f t="shared" si="668"/>
        <v>0</v>
      </c>
      <c r="X956" s="102">
        <f t="shared" si="669"/>
        <v>0</v>
      </c>
      <c r="Y956" s="120" t="b">
        <f t="shared" si="670"/>
        <v>0</v>
      </c>
      <c r="Z956" s="117">
        <f t="shared" si="671"/>
        <v>0</v>
      </c>
      <c r="AA956" s="118"/>
      <c r="AB956" s="118" t="str">
        <f t="shared" si="672"/>
        <v/>
      </c>
      <c r="AC956" s="712" t="str">
        <f>IF(AE956="T2G","no charge",IF(AND(OR(PlanterYesMe="No",PlanterYesMe="N",PlanterYesMe="me"),H956=""),"",IF(H956="credit","NO install",IF(AND(K956="",AE956="me"),"EACH row",IF(AND(K956="images",AE956="me"),"EACH row",IF(D956="","",IF(H956="credit","",IF(AE956="free","re-planting",IF(AE956="me","   not ELP, by",IF(AND(OR(PlanterYesMe="Yes",PlanterYesMe="Y"),G956&gt;0),(VLOOKUP(A956,'Discount Lookup'!J:K,2)*G956*(1-PlanterDiscount)*(1+PlanterDifficultyPercentage)),IF(AE956="ELP",(VLOOKUP(A956,'Discount Lookup'!J:K,2)*G956*(1-PlanterDiscount)*(1+PlanterDifficultyPercentage)),IF(AE956="free","re-planting",IF(G956=0,"",IF(PlanterYesMe="",IF(AE956="me","   not ELP, by",IF(AE956="",IF(G956&gt;0,(VLOOKUP(A956,'Discount Lookup'!J:K,2)*G956*(1-PlanterDiscount)*(1+PlanterDifficultyPercentage)),""),"")),"   not ELP, by"))))))))))))))</f>
        <v/>
      </c>
      <c r="AD956" s="712"/>
      <c r="AE956" s="513" t="str">
        <f t="shared" si="673"/>
        <v/>
      </c>
      <c r="AF956" s="713" t="str">
        <f t="shared" si="674"/>
        <v/>
      </c>
      <c r="AG956" s="713"/>
      <c r="AH956" s="713"/>
      <c r="AI956" s="112">
        <f>IF(H956="credit",0,IF(AE956="free",0,IF(AE956="me",0,IF(G956&gt;0,(VLOOKUP(A956,'Discount Lookup'!J:K,2)*G956),0))))</f>
        <v>0</v>
      </c>
      <c r="AJ956" s="107" t="str">
        <f t="shared" ca="1" si="675"/>
        <v/>
      </c>
      <c r="AK956" s="714" t="str">
        <f t="shared" si="676"/>
        <v/>
      </c>
      <c r="AL956" s="714"/>
      <c r="AM956" s="114" t="str">
        <f t="shared" si="677"/>
        <v/>
      </c>
      <c r="AN956" s="115"/>
      <c r="AO956" s="116"/>
      <c r="AP956" s="116"/>
      <c r="AQ956" s="116"/>
      <c r="AR956" s="116"/>
      <c r="AS956" s="116"/>
      <c r="AT956" s="116"/>
      <c r="AU956" s="116"/>
      <c r="AV956" s="78"/>
      <c r="AW956" s="102"/>
      <c r="AX956" s="78"/>
      <c r="AY956" s="78"/>
      <c r="AZ956" s="78"/>
      <c r="BA956" s="78"/>
      <c r="BB956" s="78"/>
      <c r="BC956" s="78"/>
      <c r="BD956" s="78"/>
      <c r="BE956" s="465"/>
      <c r="BF956" s="165" t="str">
        <f t="shared" si="678"/>
        <v>https://www.google.com/search?tbm=isch&amp;q=10%20G4</v>
      </c>
      <c r="BG956" s="165" t="str">
        <f t="shared" si="679"/>
        <v>C</v>
      </c>
      <c r="BH956" s="65"/>
      <c r="BI956" s="65"/>
      <c r="BJ956" s="65"/>
      <c r="BK956" s="65"/>
      <c r="BL956" s="99"/>
      <c r="BM956" s="99"/>
      <c r="BN956" s="99"/>
    </row>
    <row r="957" spans="1:66" s="51" customFormat="1" ht="27" x14ac:dyDescent="0.25">
      <c r="A957" s="634">
        <v>15</v>
      </c>
      <c r="B957" s="635" t="s">
        <v>291</v>
      </c>
      <c r="C957" s="636" t="s">
        <v>2017</v>
      </c>
      <c r="D957" s="637" t="s">
        <v>299</v>
      </c>
      <c r="E957" s="638">
        <v>180.95</v>
      </c>
      <c r="F957" s="639" t="s">
        <v>292</v>
      </c>
      <c r="G957" s="484">
        <v>0</v>
      </c>
      <c r="H957" s="691" t="str">
        <f t="shared" si="697"/>
        <v/>
      </c>
      <c r="I957" s="640">
        <f t="shared" si="698"/>
        <v>0</v>
      </c>
      <c r="J957" s="640">
        <f t="shared" si="699"/>
        <v>0</v>
      </c>
      <c r="K957" s="716">
        <f t="shared" ref="K957" si="705">I957+J957</f>
        <v>0</v>
      </c>
      <c r="L957" s="716"/>
      <c r="M957" s="689" t="str">
        <f t="shared" ca="1" si="701"/>
        <v/>
      </c>
      <c r="N957" s="690"/>
      <c r="O957" s="486"/>
      <c r="P957" s="486"/>
      <c r="Q957" s="486"/>
      <c r="R957" s="486"/>
      <c r="S957" s="486"/>
      <c r="T957" s="102">
        <f t="shared" si="667"/>
        <v>0</v>
      </c>
      <c r="U957" s="78">
        <f>IF(NOT(ISNUMBER(G957)), "", VLOOKUP(A957,'Discount Lookup'!D:E,2,FALSE)*G957)</f>
        <v>0</v>
      </c>
      <c r="V957" s="78">
        <f>IF(NOT(ISNUMBER(G957)), "", VLOOKUP(A957,'Discount Lookup'!G:H,2,FALSE)*G957)</f>
        <v>0</v>
      </c>
      <c r="W957" s="102">
        <f t="shared" si="668"/>
        <v>0</v>
      </c>
      <c r="X957" s="102">
        <f t="shared" si="669"/>
        <v>0</v>
      </c>
      <c r="Y957" s="120" t="b">
        <f t="shared" si="670"/>
        <v>0</v>
      </c>
      <c r="Z957" s="117">
        <f t="shared" si="671"/>
        <v>0</v>
      </c>
      <c r="AA957" s="118"/>
      <c r="AB957" s="118" t="str">
        <f t="shared" si="672"/>
        <v/>
      </c>
      <c r="AC957" s="712" t="str">
        <f>IF(AE957="T2G","no charge",IF(AND(OR(PlanterYesMe="No",PlanterYesMe="N",PlanterYesMe="me"),H957=""),"",IF(H957="credit","NO install",IF(AND(K957="",AE957="me"),"EACH row",IF(AND(K957="images",AE957="me"),"EACH row",IF(D957="","",IF(H957="credit","",IF(AE957="free","re-planting",IF(AE957="me","   not ELP, by",IF(AND(OR(PlanterYesMe="Yes",PlanterYesMe="Y"),G957&gt;0),(VLOOKUP(A957,'Discount Lookup'!J:K,2)*G957*(1-PlanterDiscount)*(1+PlanterDifficultyPercentage)),IF(AE957="ELP",(VLOOKUP(A957,'Discount Lookup'!J:K,2)*G957*(1-PlanterDiscount)*(1+PlanterDifficultyPercentage)),IF(AE957="free","re-planting",IF(G957=0,"",IF(PlanterYesMe="",IF(AE957="me","   not ELP, by",IF(AE957="",IF(G957&gt;0,(VLOOKUP(A957,'Discount Lookup'!J:K,2)*G957*(1-PlanterDiscount)*(1+PlanterDifficultyPercentage)),""),"")),"   not ELP, by"))))))))))))))</f>
        <v/>
      </c>
      <c r="AD957" s="712"/>
      <c r="AE957" s="513" t="str">
        <f t="shared" si="673"/>
        <v/>
      </c>
      <c r="AF957" s="713" t="str">
        <f t="shared" si="674"/>
        <v/>
      </c>
      <c r="AG957" s="713"/>
      <c r="AH957" s="713"/>
      <c r="AI957" s="112">
        <f>IF(H957="credit",0,IF(AE957="free",0,IF(AE957="me",0,IF(G957&gt;0,(VLOOKUP(A957,'Discount Lookup'!J:K,2)*G957),0))))</f>
        <v>0</v>
      </c>
      <c r="AJ957" s="107" t="str">
        <f t="shared" ca="1" si="675"/>
        <v/>
      </c>
      <c r="AK957" s="714" t="str">
        <f t="shared" si="676"/>
        <v/>
      </c>
      <c r="AL957" s="714"/>
      <c r="AM957" s="114" t="str">
        <f t="shared" si="677"/>
        <v/>
      </c>
      <c r="AN957" s="115"/>
      <c r="AO957" s="116"/>
      <c r="AP957" s="116"/>
      <c r="AQ957" s="116"/>
      <c r="AR957" s="116"/>
      <c r="AS957" s="116"/>
      <c r="AT957" s="116"/>
      <c r="AU957" s="116"/>
      <c r="AV957" s="78"/>
      <c r="AW957" s="102"/>
      <c r="AX957" s="78"/>
      <c r="AY957" s="78"/>
      <c r="AZ957" s="78"/>
      <c r="BA957" s="78"/>
      <c r="BB957" s="78"/>
      <c r="BC957" s="78"/>
      <c r="BD957" s="78"/>
      <c r="BE957" s="465"/>
      <c r="BF957" s="165" t="str">
        <f t="shared" si="678"/>
        <v>https://www.google.com/search?tbm=isch&amp;q=15%20G4</v>
      </c>
      <c r="BG957" s="165" t="str">
        <f t="shared" si="679"/>
        <v>C</v>
      </c>
      <c r="BH957" s="65"/>
      <c r="BI957" s="65"/>
      <c r="BJ957" s="65"/>
      <c r="BK957" s="65"/>
      <c r="BL957" s="99"/>
      <c r="BM957" s="99"/>
      <c r="BN957" s="99"/>
    </row>
    <row r="958" spans="1:66" s="51" customFormat="1" ht="15.75" x14ac:dyDescent="0.25">
      <c r="A958" s="634">
        <v>25</v>
      </c>
      <c r="B958" s="635" t="s">
        <v>291</v>
      </c>
      <c r="C958" s="636" t="s">
        <v>2018</v>
      </c>
      <c r="D958" s="637" t="s">
        <v>299</v>
      </c>
      <c r="E958" s="638">
        <v>275.95</v>
      </c>
      <c r="F958" s="639" t="s">
        <v>292</v>
      </c>
      <c r="G958" s="484">
        <v>0</v>
      </c>
      <c r="H958" s="691" t="str">
        <f t="shared" si="697"/>
        <v/>
      </c>
      <c r="I958" s="640">
        <f t="shared" si="698"/>
        <v>0</v>
      </c>
      <c r="J958" s="640">
        <f t="shared" si="699"/>
        <v>0</v>
      </c>
      <c r="K958" s="716">
        <f t="shared" ref="K958" si="706">I958+J958</f>
        <v>0</v>
      </c>
      <c r="L958" s="716"/>
      <c r="M958" s="689" t="str">
        <f t="shared" ca="1" si="701"/>
        <v/>
      </c>
      <c r="N958" s="690"/>
      <c r="O958" s="486"/>
      <c r="P958" s="486"/>
      <c r="Q958" s="486"/>
      <c r="R958" s="486"/>
      <c r="S958" s="486"/>
      <c r="T958" s="102">
        <f t="shared" si="667"/>
        <v>0</v>
      </c>
      <c r="U958" s="78">
        <f>IF(NOT(ISNUMBER(G958)), "", VLOOKUP(A958,'Discount Lookup'!D:E,2,FALSE)*G958)</f>
        <v>0</v>
      </c>
      <c r="V958" s="78">
        <f>IF(NOT(ISNUMBER(G958)), "", VLOOKUP(A958,'Discount Lookup'!G:H,2,FALSE)*G958)</f>
        <v>0</v>
      </c>
      <c r="W958" s="102">
        <f t="shared" si="668"/>
        <v>0</v>
      </c>
      <c r="X958" s="102">
        <f t="shared" si="669"/>
        <v>0</v>
      </c>
      <c r="Y958" s="120" t="b">
        <f t="shared" si="670"/>
        <v>0</v>
      </c>
      <c r="Z958" s="117">
        <f t="shared" si="671"/>
        <v>0</v>
      </c>
      <c r="AA958" s="118"/>
      <c r="AB958" s="118" t="str">
        <f t="shared" si="672"/>
        <v/>
      </c>
      <c r="AC958" s="712" t="str">
        <f>IF(AE958="T2G","no charge",IF(AND(OR(PlanterYesMe="No",PlanterYesMe="N",PlanterYesMe="me"),H958=""),"",IF(H958="credit","NO install",IF(AND(K958="",AE958="me"),"EACH row",IF(AND(K958="images",AE958="me"),"EACH row",IF(D958="","",IF(H958="credit","",IF(AE958="free","re-planting",IF(AE958="me","   not ELP, by",IF(AND(OR(PlanterYesMe="Yes",PlanterYesMe="Y"),G958&gt;0),(VLOOKUP(A958,'Discount Lookup'!J:K,2)*G958*(1-PlanterDiscount)*(1+PlanterDifficultyPercentage)),IF(AE958="ELP",(VLOOKUP(A958,'Discount Lookup'!J:K,2)*G958*(1-PlanterDiscount)*(1+PlanterDifficultyPercentage)),IF(AE958="free","re-planting",IF(G958=0,"",IF(PlanterYesMe="",IF(AE958="me","   not ELP, by",IF(AE958="",IF(G958&gt;0,(VLOOKUP(A958,'Discount Lookup'!J:K,2)*G958*(1-PlanterDiscount)*(1+PlanterDifficultyPercentage)),""),"")),"   not ELP, by"))))))))))))))</f>
        <v/>
      </c>
      <c r="AD958" s="712"/>
      <c r="AE958" s="513" t="str">
        <f t="shared" si="673"/>
        <v/>
      </c>
      <c r="AF958" s="713" t="str">
        <f t="shared" si="674"/>
        <v/>
      </c>
      <c r="AG958" s="713"/>
      <c r="AH958" s="713"/>
      <c r="AI958" s="112">
        <f>IF(H958="credit",0,IF(AE958="free",0,IF(AE958="me",0,IF(G958&gt;0,(VLOOKUP(A958,'Discount Lookup'!J:K,2)*G958),0))))</f>
        <v>0</v>
      </c>
      <c r="AJ958" s="107" t="str">
        <f t="shared" ca="1" si="675"/>
        <v/>
      </c>
      <c r="AK958" s="714" t="str">
        <f t="shared" si="676"/>
        <v/>
      </c>
      <c r="AL958" s="714"/>
      <c r="AM958" s="114" t="str">
        <f t="shared" si="677"/>
        <v/>
      </c>
      <c r="AN958" s="115"/>
      <c r="AO958" s="116"/>
      <c r="AP958" s="116"/>
      <c r="AQ958" s="116"/>
      <c r="AR958" s="116"/>
      <c r="AS958" s="116"/>
      <c r="AT958" s="116"/>
      <c r="AU958" s="116"/>
      <c r="AV958" s="78"/>
      <c r="AW958" s="102"/>
      <c r="AX958" s="78"/>
      <c r="AY958" s="78"/>
      <c r="AZ958" s="78"/>
      <c r="BA958" s="78"/>
      <c r="BB958" s="78"/>
      <c r="BC958" s="78"/>
      <c r="BD958" s="78"/>
      <c r="BE958" s="465"/>
      <c r="BF958" s="165" t="str">
        <f t="shared" si="678"/>
        <v>https://www.google.com/search?tbm=isch&amp;q=25%20G4</v>
      </c>
      <c r="BG958" s="165" t="str">
        <f t="shared" si="679"/>
        <v>C</v>
      </c>
      <c r="BH958" s="65"/>
      <c r="BI958" s="65"/>
      <c r="BJ958" s="65"/>
      <c r="BK958" s="65"/>
      <c r="BL958" s="99"/>
      <c r="BM958" s="99"/>
      <c r="BN958" s="99"/>
    </row>
    <row r="959" spans="1:66" s="51" customFormat="1" ht="17.25" thickBot="1" x14ac:dyDescent="0.3">
      <c r="A959" s="641" t="s">
        <v>2019</v>
      </c>
      <c r="B959" s="642"/>
      <c r="C959" s="710"/>
      <c r="D959" s="643"/>
      <c r="E959" s="643"/>
      <c r="F959" s="644"/>
      <c r="G959" s="645"/>
      <c r="H959" s="646"/>
      <c r="I959" s="647"/>
      <c r="J959" s="648"/>
      <c r="K959" s="649"/>
      <c r="L959" s="650"/>
      <c r="M959" s="650"/>
      <c r="N959" s="644"/>
      <c r="O959" s="644"/>
      <c r="P959" s="644"/>
      <c r="Q959" s="644"/>
      <c r="R959" s="644"/>
      <c r="S959" s="701" t="s">
        <v>5273</v>
      </c>
      <c r="T959" s="102">
        <f t="shared" si="667"/>
        <v>0</v>
      </c>
      <c r="U959" s="78" t="str">
        <f>IF(NOT(ISNUMBER(G959)), "", VLOOKUP(A959,'Discount Lookup'!D:E,2,FALSE)*G959)</f>
        <v/>
      </c>
      <c r="V959" s="78" t="str">
        <f>IF(NOT(ISNUMBER(G959)), "", VLOOKUP(A959,'Discount Lookup'!G:H,2,FALSE)*G959)</f>
        <v/>
      </c>
      <c r="W959" s="102">
        <f t="shared" si="668"/>
        <v>0</v>
      </c>
      <c r="X959" s="102">
        <f t="shared" si="669"/>
        <v>0</v>
      </c>
      <c r="Y959" s="120" t="b">
        <f t="shared" si="670"/>
        <v>0</v>
      </c>
      <c r="Z959" s="117">
        <f t="shared" si="671"/>
        <v>0</v>
      </c>
      <c r="AA959" s="118"/>
      <c r="AB959" s="118" t="str">
        <f t="shared" si="672"/>
        <v/>
      </c>
      <c r="AC959" s="712" t="str">
        <f>IF(AE959="T2G","no charge",IF(AND(OR(PlanterYesMe="No",PlanterYesMe="N",PlanterYesMe="me"),H959=""),"",IF(H959="credit","NO install",IF(AND(K959="",AE959="me"),"EACH row",IF(AND(K959="images",AE959="me"),"EACH row",IF(D959="","",IF(H959="credit","",IF(AE959="free","re-planting",IF(AE959="me","   not ELP, by",IF(AND(OR(PlanterYesMe="Yes",PlanterYesMe="Y"),G959&gt;0),(VLOOKUP(A959,'Discount Lookup'!J:K,2)*G959*(1-PlanterDiscount)*(1+PlanterDifficultyPercentage)),IF(AE959="ELP",(VLOOKUP(A959,'Discount Lookup'!J:K,2)*G959*(1-PlanterDiscount)*(1+PlanterDifficultyPercentage)),IF(AE959="free","re-planting",IF(G959=0,"",IF(PlanterYesMe="",IF(AE959="me","   not ELP, by",IF(AE959="",IF(G959&gt;0,(VLOOKUP(A959,'Discount Lookup'!J:K,2)*G959*(1-PlanterDiscount)*(1+PlanterDifficultyPercentage)),""),"")),"   not ELP, by"))))))))))))))</f>
        <v/>
      </c>
      <c r="AD959" s="712"/>
      <c r="AE959" s="513" t="str">
        <f t="shared" si="673"/>
        <v/>
      </c>
      <c r="AF959" s="713" t="str">
        <f t="shared" si="674"/>
        <v/>
      </c>
      <c r="AG959" s="713"/>
      <c r="AH959" s="713"/>
      <c r="AI959" s="112">
        <f>IF(H959="credit",0,IF(AE959="free",0,IF(AE959="me",0,IF(G959&gt;0,(VLOOKUP(A959,'Discount Lookup'!J:K,2)*G959),0))))</f>
        <v>0</v>
      </c>
      <c r="AJ959" s="107" t="str">
        <f t="shared" ca="1" si="675"/>
        <v/>
      </c>
      <c r="AK959" s="714" t="str">
        <f t="shared" si="676"/>
        <v/>
      </c>
      <c r="AL959" s="714"/>
      <c r="AM959" s="114" t="str">
        <f t="shared" si="677"/>
        <v/>
      </c>
      <c r="AN959" s="115"/>
      <c r="AO959" s="116"/>
      <c r="AP959" s="116"/>
      <c r="AQ959" s="116"/>
      <c r="AR959" s="116"/>
      <c r="AS959" s="116"/>
      <c r="AT959" s="116"/>
      <c r="AU959" s="116"/>
      <c r="AV959" s="78"/>
      <c r="AW959" s="102"/>
      <c r="AX959" s="78"/>
      <c r="AY959" s="78"/>
      <c r="AZ959" s="78"/>
      <c r="BA959" s="78"/>
      <c r="BB959" s="78"/>
      <c r="BC959" s="78"/>
      <c r="BD959" s="78"/>
      <c r="BE959" s="465"/>
      <c r="BF959" s="165" t="str">
        <f t="shared" si="678"/>
        <v>https://www.google.com/search?tbm=isch&amp;q=Eastern%20Redbud%20is%20a%20classic%20harbinger%20of%20spring%20in%20the%20NC%20forest%20</v>
      </c>
      <c r="BG959" s="165" t="str">
        <f t="shared" si="679"/>
        <v>E</v>
      </c>
      <c r="BH959" s="65"/>
      <c r="BI959" s="65"/>
      <c r="BJ959" s="65"/>
      <c r="BK959" s="65"/>
      <c r="BL959" s="99"/>
      <c r="BM959" s="99"/>
      <c r="BN959" s="99"/>
    </row>
    <row r="960" spans="1:66" s="51" customFormat="1" ht="18" x14ac:dyDescent="0.25">
      <c r="A960" s="623" t="s">
        <v>2020</v>
      </c>
      <c r="B960" s="624"/>
      <c r="C960" s="709"/>
      <c r="D960" s="625" t="s">
        <v>2021</v>
      </c>
      <c r="E960" s="626"/>
      <c r="F960" s="626"/>
      <c r="G960" s="626"/>
      <c r="H960" s="622" t="s">
        <v>1163</v>
      </c>
      <c r="I960" s="627" t="s">
        <v>1458</v>
      </c>
      <c r="J960" s="628"/>
      <c r="K960" s="628"/>
      <c r="L960" s="629"/>
      <c r="M960" s="700" t="s">
        <v>5249</v>
      </c>
      <c r="N960" s="693" t="str">
        <f>IF(AND(ISTEXT($A960), ISERROR($A960+0)), HYPERLINK($BF960, "Images"), "")</f>
        <v>Images</v>
      </c>
      <c r="O960" s="695" t="s">
        <v>5264</v>
      </c>
      <c r="P960" s="630"/>
      <c r="Q960" s="631"/>
      <c r="R960" s="632"/>
      <c r="S960" s="633" t="s">
        <v>294</v>
      </c>
      <c r="T960" s="102">
        <f t="shared" si="667"/>
        <v>0</v>
      </c>
      <c r="U960" s="78" t="str">
        <f>IF(NOT(ISNUMBER(G960)), "", VLOOKUP(A960,'Discount Lookup'!D:E,2,FALSE)*G960)</f>
        <v/>
      </c>
      <c r="V960" s="78" t="str">
        <f>IF(NOT(ISNUMBER(G960)), "", VLOOKUP(A960,'Discount Lookup'!G:H,2,FALSE)*G960)</f>
        <v/>
      </c>
      <c r="W960" s="102">
        <f t="shared" si="668"/>
        <v>0</v>
      </c>
      <c r="X960" s="102" t="str">
        <f t="shared" si="669"/>
        <v>Pink bloom</v>
      </c>
      <c r="Y960" s="120" t="b">
        <f t="shared" si="670"/>
        <v>0</v>
      </c>
      <c r="Z960" s="117">
        <f t="shared" si="671"/>
        <v>0</v>
      </c>
      <c r="AA960" s="118"/>
      <c r="AB960" s="118" t="str">
        <f t="shared" si="672"/>
        <v/>
      </c>
      <c r="AC960" s="712" t="str">
        <f>IF(AE960="T2G","no charge",IF(AND(OR(PlanterYesMe="No",PlanterYesMe="N",PlanterYesMe="me"),H960=""),"",IF(H960="credit","NO install",IF(AND(K960="",AE960="me"),"EACH row",IF(AND(K960="images",AE960="me"),"EACH row",IF(D960="","",IF(H960="credit","",IF(AE960="free","re-planting",IF(AE960="me","   not ELP, by",IF(AND(OR(PlanterYesMe="Yes",PlanterYesMe="Y"),G960&gt;0),(VLOOKUP(A960,'Discount Lookup'!J:K,2)*G960*(1-PlanterDiscount)*(1+PlanterDifficultyPercentage)),IF(AE960="ELP",(VLOOKUP(A960,'Discount Lookup'!J:K,2)*G960*(1-PlanterDiscount)*(1+PlanterDifficultyPercentage)),IF(AE960="free","re-planting",IF(G960=0,"",IF(PlanterYesMe="",IF(AE960="me","   not ELP, by",IF(AE960="",IF(G960&gt;0,(VLOOKUP(A960,'Discount Lookup'!J:K,2)*G960*(1-PlanterDiscount)*(1+PlanterDifficultyPercentage)),""),"")),"   not ELP, by"))))))))))))))</f>
        <v/>
      </c>
      <c r="AD960" s="712"/>
      <c r="AE960" s="513" t="str">
        <f t="shared" si="673"/>
        <v/>
      </c>
      <c r="AF960" s="713" t="str">
        <f t="shared" si="674"/>
        <v/>
      </c>
      <c r="AG960" s="713"/>
      <c r="AH960" s="713"/>
      <c r="AI960" s="112">
        <f>IF(H960="credit",0,IF(AE960="free",0,IF(AE960="me",0,IF(G960&gt;0,(VLOOKUP(A960,'Discount Lookup'!J:K,2)*G960),0))))</f>
        <v>0</v>
      </c>
      <c r="AJ960" s="107" t="str">
        <f t="shared" ca="1" si="675"/>
        <v/>
      </c>
      <c r="AK960" s="714" t="str">
        <f t="shared" si="676"/>
        <v/>
      </c>
      <c r="AL960" s="714"/>
      <c r="AM960" s="114" t="str">
        <f t="shared" si="677"/>
        <v/>
      </c>
      <c r="AN960" s="115"/>
      <c r="AO960" s="116"/>
      <c r="AP960" s="116"/>
      <c r="AQ960" s="116"/>
      <c r="AR960" s="116"/>
      <c r="AS960" s="116"/>
      <c r="AT960" s="116"/>
      <c r="AU960" s="116"/>
      <c r="AV960" s="78"/>
      <c r="AW960" s="102"/>
      <c r="AX960" s="78"/>
      <c r="AY960" s="78"/>
      <c r="AZ960" s="78"/>
      <c r="BA960" s="78"/>
      <c r="BB960" s="78"/>
      <c r="BC960" s="78"/>
      <c r="BD960" s="78"/>
      <c r="BE960" s="465"/>
      <c r="BF960" s="165" t="str">
        <f t="shared" si="678"/>
        <v>https://www.google.com/search?tbm=isch&amp;q=Cercis%20canadensis%20%27Alley%20Cat%27%20Alley%20Cat%20Eastern%20Redbud</v>
      </c>
      <c r="BG960" s="165" t="str">
        <f t="shared" si="679"/>
        <v>C</v>
      </c>
      <c r="BH960" s="65"/>
      <c r="BI960" s="65"/>
      <c r="BJ960" s="65"/>
      <c r="BK960" s="65"/>
      <c r="BL960" s="99"/>
      <c r="BM960" s="99"/>
      <c r="BN960" s="99"/>
    </row>
    <row r="961" spans="1:66" s="51" customFormat="1" ht="15.75" x14ac:dyDescent="0.25">
      <c r="A961" s="634">
        <v>7</v>
      </c>
      <c r="B961" s="635" t="s">
        <v>291</v>
      </c>
      <c r="C961" s="636" t="s">
        <v>2022</v>
      </c>
      <c r="D961" s="637" t="s">
        <v>299</v>
      </c>
      <c r="E961" s="638">
        <v>118.95</v>
      </c>
      <c r="F961" s="639" t="s">
        <v>292</v>
      </c>
      <c r="G961" s="484">
        <v>0</v>
      </c>
      <c r="H961" s="691" t="str">
        <f>IF(G961=0,"",IF(F961="Buy",IF(G961=1,"plant","plants"),IF(F961&gt;0.01,"warranty","Error")))</f>
        <v/>
      </c>
      <c r="I961" s="640">
        <f>IF(H961="free",0,IF(H961="credit",((E961*(F961))*G961*-1),IF(F961="Buy",(E961*G961),((E961*(1-F961))*G961))))</f>
        <v>0</v>
      </c>
      <c r="J961" s="640">
        <f>IF(H961="warranty",0,(I961*(_xlfn.SINGLE(SalesTaxPercentage))))</f>
        <v>0</v>
      </c>
      <c r="K961" s="716">
        <f t="shared" ref="K961" si="707">I961+J961</f>
        <v>0</v>
      </c>
      <c r="L961" s="716"/>
      <c r="M961" s="689" t="str">
        <f ca="1">IF(AND(G961&gt;0,E961=0),"WARNING - no PRICE inserted",IF(H961="free","FREE ~ no charge this plant",IF(H961="credit",CONCATENATE("-$",ROUND(K961*(1-_xlfn.SINGLE(T2GDiscount))*-1,2)," CREDIT after discount"),IF(_xlfn.SINGLE(T2GDiscount)=0,"",IF(G961=0,"",IF(F961="Buy",CONCATENATE("$",ROUND(K961*(1-_xlfn.SINGLE(T2GDiscount)),2)," with ",(_xlfn.SINGLE(T2GDiscount)*100),"% discount"),CONCATENATE("$",ROUND(K961*(1-_xlfn.SINGLE(T2GDiscount)),2)," with ",((_xlfn.SINGLE(T2GDiscount)*100+F961*100)-(_xlfn.SINGLE(T2GDiscount)*100*F961)),IF(F961&gt;0,"% discounts",IF(_xlfn.SINGLE(NoWarrantyDiscount)&gt;0,"% discounts","% discount")))))))))</f>
        <v/>
      </c>
      <c r="N961" s="690"/>
      <c r="O961" s="486"/>
      <c r="P961" s="486"/>
      <c r="Q961" s="486"/>
      <c r="R961" s="486"/>
      <c r="S961" s="486"/>
      <c r="T961" s="102">
        <f t="shared" si="667"/>
        <v>0</v>
      </c>
      <c r="U961" s="78">
        <f>IF(NOT(ISNUMBER(G961)), "", VLOOKUP(A961,'Discount Lookup'!D:E,2,FALSE)*G961)</f>
        <v>0</v>
      </c>
      <c r="V961" s="78">
        <f>IF(NOT(ISNUMBER(G961)), "", VLOOKUP(A961,'Discount Lookup'!G:H,2,FALSE)*G961)</f>
        <v>0</v>
      </c>
      <c r="W961" s="102">
        <f t="shared" si="668"/>
        <v>0</v>
      </c>
      <c r="X961" s="102">
        <f t="shared" si="669"/>
        <v>0</v>
      </c>
      <c r="Y961" s="120" t="b">
        <f t="shared" si="670"/>
        <v>0</v>
      </c>
      <c r="Z961" s="117">
        <f t="shared" si="671"/>
        <v>0</v>
      </c>
      <c r="AA961" s="118"/>
      <c r="AB961" s="118" t="str">
        <f t="shared" si="672"/>
        <v/>
      </c>
      <c r="AC961" s="712" t="str">
        <f>IF(AE961="T2G","no charge",IF(AND(OR(PlanterYesMe="No",PlanterYesMe="N",PlanterYesMe="me"),H961=""),"",IF(H961="credit","NO install",IF(AND(K961="",AE961="me"),"EACH row",IF(AND(K961="images",AE961="me"),"EACH row",IF(D961="","",IF(H961="credit","",IF(AE961="free","re-planting",IF(AE961="me","   not ELP, by",IF(AND(OR(PlanterYesMe="Yes",PlanterYesMe="Y"),G961&gt;0),(VLOOKUP(A961,'Discount Lookup'!J:K,2)*G961*(1-PlanterDiscount)*(1+PlanterDifficultyPercentage)),IF(AE961="ELP",(VLOOKUP(A961,'Discount Lookup'!J:K,2)*G961*(1-PlanterDiscount)*(1+PlanterDifficultyPercentage)),IF(AE961="free","re-planting",IF(G961=0,"",IF(PlanterYesMe="",IF(AE961="me","   not ELP, by",IF(AE961="",IF(G961&gt;0,(VLOOKUP(A961,'Discount Lookup'!J:K,2)*G961*(1-PlanterDiscount)*(1+PlanterDifficultyPercentage)),""),"")),"   not ELP, by"))))))))))))))</f>
        <v/>
      </c>
      <c r="AD961" s="712"/>
      <c r="AE961" s="513" t="str">
        <f t="shared" si="673"/>
        <v/>
      </c>
      <c r="AF961" s="713" t="str">
        <f t="shared" si="674"/>
        <v/>
      </c>
      <c r="AG961" s="713"/>
      <c r="AH961" s="713"/>
      <c r="AI961" s="112">
        <f>IF(H961="credit",0,IF(AE961="free",0,IF(AE961="me",0,IF(G961&gt;0,(VLOOKUP(A961,'Discount Lookup'!J:K,2)*G961),0))))</f>
        <v>0</v>
      </c>
      <c r="AJ961" s="107" t="str">
        <f t="shared" ca="1" si="675"/>
        <v/>
      </c>
      <c r="AK961" s="714" t="str">
        <f t="shared" si="676"/>
        <v/>
      </c>
      <c r="AL961" s="714"/>
      <c r="AM961" s="114" t="str">
        <f t="shared" si="677"/>
        <v/>
      </c>
      <c r="AN961" s="115"/>
      <c r="AO961" s="116"/>
      <c r="AP961" s="116"/>
      <c r="AQ961" s="116"/>
      <c r="AR961" s="116"/>
      <c r="AS961" s="116"/>
      <c r="AT961" s="116"/>
      <c r="AU961" s="116"/>
      <c r="AV961" s="78"/>
      <c r="AW961" s="102"/>
      <c r="AX961" s="78"/>
      <c r="AY961" s="78"/>
      <c r="AZ961" s="78"/>
      <c r="BA961" s="78"/>
      <c r="BB961" s="78"/>
      <c r="BC961" s="78"/>
      <c r="BD961" s="78"/>
      <c r="BE961" s="465"/>
      <c r="BF961" s="165" t="str">
        <f t="shared" si="678"/>
        <v>https://www.google.com/search?tbm=isch&amp;q=7%20G4</v>
      </c>
      <c r="BG961" s="165" t="str">
        <f t="shared" si="679"/>
        <v>C</v>
      </c>
      <c r="BH961" s="65"/>
      <c r="BI961" s="65"/>
      <c r="BJ961" s="65"/>
      <c r="BK961" s="65"/>
      <c r="BL961" s="99"/>
      <c r="BM961" s="99"/>
      <c r="BN961" s="99"/>
    </row>
    <row r="962" spans="1:66" s="51" customFormat="1" ht="15.75" x14ac:dyDescent="0.25">
      <c r="A962" s="634">
        <v>10</v>
      </c>
      <c r="B962" s="635" t="s">
        <v>291</v>
      </c>
      <c r="C962" s="636" t="s">
        <v>2023</v>
      </c>
      <c r="D962" s="637" t="s">
        <v>299</v>
      </c>
      <c r="E962" s="638">
        <v>169.95</v>
      </c>
      <c r="F962" s="639" t="s">
        <v>292</v>
      </c>
      <c r="G962" s="484">
        <v>0</v>
      </c>
      <c r="H962" s="691" t="str">
        <f>IF(G962=0,"",IF(F962="Buy",IF(G962=1,"plant","plants"),IF(F962&gt;0.01,"warranty","Error")))</f>
        <v/>
      </c>
      <c r="I962" s="640">
        <f>IF(H962="free",0,IF(H962="credit",((E962*(F962))*G962*-1),IF(F962="Buy",(E962*G962),((E962*(1-F962))*G962))))</f>
        <v>0</v>
      </c>
      <c r="J962" s="640">
        <f>IF(H962="warranty",0,(I962*(_xlfn.SINGLE(SalesTaxPercentage))))</f>
        <v>0</v>
      </c>
      <c r="K962" s="716">
        <f t="shared" ref="K962" si="708">I962+J962</f>
        <v>0</v>
      </c>
      <c r="L962" s="716"/>
      <c r="M962" s="689" t="str">
        <f ca="1">IF(AND(G962&gt;0,E962=0),"WARNING - no PRICE inserted",IF(H962="free","FREE ~ no charge this plant",IF(H962="credit",CONCATENATE("-$",ROUND(K962*(1-_xlfn.SINGLE(T2GDiscount))*-1,2)," CREDIT after discount"),IF(_xlfn.SINGLE(T2GDiscount)=0,"",IF(G962=0,"",IF(F962="Buy",CONCATENATE("$",ROUND(K962*(1-_xlfn.SINGLE(T2GDiscount)),2)," with ",(_xlfn.SINGLE(T2GDiscount)*100),"% discount"),CONCATENATE("$",ROUND(K962*(1-_xlfn.SINGLE(T2GDiscount)),2)," with ",((_xlfn.SINGLE(T2GDiscount)*100+F962*100)-(_xlfn.SINGLE(T2GDiscount)*100*F962)),IF(F962&gt;0,"% discounts",IF(_xlfn.SINGLE(NoWarrantyDiscount)&gt;0,"% discounts","% discount")))))))))</f>
        <v/>
      </c>
      <c r="N962" s="690"/>
      <c r="O962" s="486"/>
      <c r="P962" s="486"/>
      <c r="Q962" s="486"/>
      <c r="R962" s="486"/>
      <c r="S962" s="486"/>
      <c r="T962" s="102">
        <f t="shared" si="667"/>
        <v>0</v>
      </c>
      <c r="U962" s="78">
        <f>IF(NOT(ISNUMBER(G962)), "", VLOOKUP(A962,'Discount Lookup'!D:E,2,FALSE)*G962)</f>
        <v>0</v>
      </c>
      <c r="V962" s="78">
        <f>IF(NOT(ISNUMBER(G962)), "", VLOOKUP(A962,'Discount Lookup'!G:H,2,FALSE)*G962)</f>
        <v>0</v>
      </c>
      <c r="W962" s="102">
        <f t="shared" si="668"/>
        <v>0</v>
      </c>
      <c r="X962" s="102">
        <f t="shared" si="669"/>
        <v>0</v>
      </c>
      <c r="Y962" s="120" t="b">
        <f t="shared" si="670"/>
        <v>0</v>
      </c>
      <c r="Z962" s="117">
        <f t="shared" si="671"/>
        <v>0</v>
      </c>
      <c r="AA962" s="118"/>
      <c r="AB962" s="118" t="str">
        <f t="shared" si="672"/>
        <v/>
      </c>
      <c r="AC962" s="712" t="str">
        <f>IF(AE962="T2G","no charge",IF(AND(OR(PlanterYesMe="No",PlanterYesMe="N",PlanterYesMe="me"),H962=""),"",IF(H962="credit","NO install",IF(AND(K962="",AE962="me"),"EACH row",IF(AND(K962="images",AE962="me"),"EACH row",IF(D962="","",IF(H962="credit","",IF(AE962="free","re-planting",IF(AE962="me","   not ELP, by",IF(AND(OR(PlanterYesMe="Yes",PlanterYesMe="Y"),G962&gt;0),(VLOOKUP(A962,'Discount Lookup'!J:K,2)*G962*(1-PlanterDiscount)*(1+PlanterDifficultyPercentage)),IF(AE962="ELP",(VLOOKUP(A962,'Discount Lookup'!J:K,2)*G962*(1-PlanterDiscount)*(1+PlanterDifficultyPercentage)),IF(AE962="free","re-planting",IF(G962=0,"",IF(PlanterYesMe="",IF(AE962="me","   not ELP, by",IF(AE962="",IF(G962&gt;0,(VLOOKUP(A962,'Discount Lookup'!J:K,2)*G962*(1-PlanterDiscount)*(1+PlanterDifficultyPercentage)),""),"")),"   not ELP, by"))))))))))))))</f>
        <v/>
      </c>
      <c r="AD962" s="712"/>
      <c r="AE962" s="513" t="str">
        <f t="shared" si="673"/>
        <v/>
      </c>
      <c r="AF962" s="713" t="str">
        <f t="shared" si="674"/>
        <v/>
      </c>
      <c r="AG962" s="713"/>
      <c r="AH962" s="713"/>
      <c r="AI962" s="112">
        <f>IF(H962="credit",0,IF(AE962="free",0,IF(AE962="me",0,IF(G962&gt;0,(VLOOKUP(A962,'Discount Lookup'!J:K,2)*G962),0))))</f>
        <v>0</v>
      </c>
      <c r="AJ962" s="107" t="str">
        <f t="shared" ca="1" si="675"/>
        <v/>
      </c>
      <c r="AK962" s="714" t="str">
        <f t="shared" si="676"/>
        <v/>
      </c>
      <c r="AL962" s="714"/>
      <c r="AM962" s="114" t="str">
        <f t="shared" si="677"/>
        <v/>
      </c>
      <c r="AN962" s="115"/>
      <c r="AO962" s="116"/>
      <c r="AP962" s="116"/>
      <c r="AQ962" s="116"/>
      <c r="AR962" s="116"/>
      <c r="AS962" s="116"/>
      <c r="AT962" s="116"/>
      <c r="AU962" s="116"/>
      <c r="AV962" s="78"/>
      <c r="AW962" s="102"/>
      <c r="AX962" s="78"/>
      <c r="AY962" s="78"/>
      <c r="AZ962" s="78"/>
      <c r="BA962" s="78"/>
      <c r="BB962" s="78"/>
      <c r="BC962" s="78"/>
      <c r="BD962" s="78"/>
      <c r="BE962" s="465"/>
      <c r="BF962" s="165" t="str">
        <f t="shared" si="678"/>
        <v>https://www.google.com/search?tbm=isch&amp;q=10%20G4</v>
      </c>
      <c r="BG962" s="165" t="str">
        <f t="shared" si="679"/>
        <v>C</v>
      </c>
      <c r="BH962" s="65"/>
      <c r="BI962" s="65"/>
      <c r="BJ962" s="65"/>
      <c r="BK962" s="65"/>
      <c r="BL962" s="99"/>
      <c r="BM962" s="99"/>
      <c r="BN962" s="99"/>
    </row>
    <row r="963" spans="1:66" s="51" customFormat="1" ht="17.25" thickBot="1" x14ac:dyDescent="0.3">
      <c r="A963" s="641" t="s">
        <v>2024</v>
      </c>
      <c r="B963" s="642"/>
      <c r="C963" s="710"/>
      <c r="D963" s="643"/>
      <c r="E963" s="643"/>
      <c r="F963" s="644"/>
      <c r="G963" s="645"/>
      <c r="H963" s="646"/>
      <c r="I963" s="647"/>
      <c r="J963" s="648"/>
      <c r="K963" s="649"/>
      <c r="L963" s="650"/>
      <c r="M963" s="650"/>
      <c r="N963" s="644"/>
      <c r="O963" s="644"/>
      <c r="P963" s="644"/>
      <c r="Q963" s="644"/>
      <c r="R963" s="644"/>
      <c r="S963" s="701" t="s">
        <v>5273</v>
      </c>
      <c r="T963" s="102">
        <f t="shared" si="667"/>
        <v>0</v>
      </c>
      <c r="U963" s="78" t="str">
        <f>IF(NOT(ISNUMBER(G963)), "", VLOOKUP(A963,'Discount Lookup'!D:E,2,FALSE)*G963)</f>
        <v/>
      </c>
      <c r="V963" s="78" t="str">
        <f>IF(NOT(ISNUMBER(G963)), "", VLOOKUP(A963,'Discount Lookup'!G:H,2,FALSE)*G963)</f>
        <v/>
      </c>
      <c r="W963" s="102">
        <f t="shared" si="668"/>
        <v>0</v>
      </c>
      <c r="X963" s="102">
        <f t="shared" si="669"/>
        <v>0</v>
      </c>
      <c r="Y963" s="120" t="b">
        <f t="shared" si="670"/>
        <v>0</v>
      </c>
      <c r="Z963" s="117">
        <f t="shared" si="671"/>
        <v>0</v>
      </c>
      <c r="AA963" s="118"/>
      <c r="AB963" s="118" t="str">
        <f t="shared" si="672"/>
        <v/>
      </c>
      <c r="AC963" s="712" t="str">
        <f>IF(AE963="T2G","no charge",IF(AND(OR(PlanterYesMe="No",PlanterYesMe="N",PlanterYesMe="me"),H963=""),"",IF(H963="credit","NO install",IF(AND(K963="",AE963="me"),"EACH row",IF(AND(K963="images",AE963="me"),"EACH row",IF(D963="","",IF(H963="credit","",IF(AE963="free","re-planting",IF(AE963="me","   not ELP, by",IF(AND(OR(PlanterYesMe="Yes",PlanterYesMe="Y"),G963&gt;0),(VLOOKUP(A963,'Discount Lookup'!J:K,2)*G963*(1-PlanterDiscount)*(1+PlanterDifficultyPercentage)),IF(AE963="ELP",(VLOOKUP(A963,'Discount Lookup'!J:K,2)*G963*(1-PlanterDiscount)*(1+PlanterDifficultyPercentage)),IF(AE963="free","re-planting",IF(G963=0,"",IF(PlanterYesMe="",IF(AE963="me","   not ELP, by",IF(AE963="",IF(G963&gt;0,(VLOOKUP(A963,'Discount Lookup'!J:K,2)*G963*(1-PlanterDiscount)*(1+PlanterDifficultyPercentage)),""),"")),"   not ELP, by"))))))))))))))</f>
        <v/>
      </c>
      <c r="AD963" s="712"/>
      <c r="AE963" s="513" t="str">
        <f t="shared" si="673"/>
        <v/>
      </c>
      <c r="AF963" s="713" t="str">
        <f t="shared" si="674"/>
        <v/>
      </c>
      <c r="AG963" s="713"/>
      <c r="AH963" s="713"/>
      <c r="AI963" s="112">
        <f>IF(H963="credit",0,IF(AE963="free",0,IF(AE963="me",0,IF(G963&gt;0,(VLOOKUP(A963,'Discount Lookup'!J:K,2)*G963),0))))</f>
        <v>0</v>
      </c>
      <c r="AJ963" s="107" t="str">
        <f t="shared" ca="1" si="675"/>
        <v/>
      </c>
      <c r="AK963" s="714" t="str">
        <f t="shared" si="676"/>
        <v/>
      </c>
      <c r="AL963" s="714"/>
      <c r="AM963" s="114" t="str">
        <f t="shared" si="677"/>
        <v/>
      </c>
      <c r="AN963" s="115"/>
      <c r="AO963" s="116"/>
      <c r="AP963" s="116"/>
      <c r="AQ963" s="116"/>
      <c r="AR963" s="116"/>
      <c r="AS963" s="116"/>
      <c r="AT963" s="116"/>
      <c r="AU963" s="116"/>
      <c r="AV963" s="78"/>
      <c r="AW963" s="102"/>
      <c r="AX963" s="78"/>
      <c r="AY963" s="78"/>
      <c r="AZ963" s="78"/>
      <c r="BA963" s="78"/>
      <c r="BB963" s="78"/>
      <c r="BC963" s="78"/>
      <c r="BD963" s="78"/>
      <c r="BE963" s="465"/>
      <c r="BF963" s="165" t="str">
        <f t="shared" si="678"/>
        <v>https://www.google.com/search?tbm=isch&amp;q=Alley%20Cat%20has%20a%20variegated%20green%20%26%20white%20foliage%2C%20for%20interest%20after%20pink%20blooms%20are%20done%20in%20early%20spring.%20</v>
      </c>
      <c r="BG963" s="165" t="str">
        <f t="shared" si="679"/>
        <v>A</v>
      </c>
      <c r="BH963" s="65"/>
      <c r="BI963" s="65"/>
      <c r="BJ963" s="65"/>
      <c r="BK963" s="65"/>
      <c r="BL963" s="99"/>
      <c r="BM963" s="99"/>
      <c r="BN963" s="99"/>
    </row>
    <row r="964" spans="1:66" s="51" customFormat="1" ht="18" x14ac:dyDescent="0.25">
      <c r="A964" s="623" t="s">
        <v>2025</v>
      </c>
      <c r="B964" s="624"/>
      <c r="C964" s="709"/>
      <c r="D964" s="625" t="s">
        <v>5623</v>
      </c>
      <c r="E964" s="626"/>
      <c r="F964" s="626"/>
      <c r="G964" s="626"/>
      <c r="H964" s="622" t="s">
        <v>1264</v>
      </c>
      <c r="I964" s="627" t="s">
        <v>1083</v>
      </c>
      <c r="J964" s="628"/>
      <c r="K964" s="628"/>
      <c r="L964" s="629"/>
      <c r="M964" s="700" t="s">
        <v>5249</v>
      </c>
      <c r="N964" s="693" t="str">
        <f>IF(AND(ISTEXT($A964), ISERROR($A964+0)), HYPERLINK($BF964, "Images"), "")</f>
        <v>Images</v>
      </c>
      <c r="O964" s="695" t="s">
        <v>5247</v>
      </c>
      <c r="P964" s="630"/>
      <c r="Q964" s="631"/>
      <c r="R964" s="632"/>
      <c r="S964" s="633"/>
      <c r="T964" s="102">
        <f t="shared" si="667"/>
        <v>0</v>
      </c>
      <c r="U964" s="78" t="str">
        <f>IF(NOT(ISNUMBER(G964)), "", VLOOKUP(A964,'Discount Lookup'!D:E,2,FALSE)*G964)</f>
        <v/>
      </c>
      <c r="V964" s="78" t="str">
        <f>IF(NOT(ISNUMBER(G964)), "", VLOOKUP(A964,'Discount Lookup'!G:H,2,FALSE)*G964)</f>
        <v/>
      </c>
      <c r="W964" s="102">
        <f t="shared" si="668"/>
        <v>0</v>
      </c>
      <c r="X964" s="102" t="str">
        <f t="shared" si="669"/>
        <v>Lavender-Pink bloom</v>
      </c>
      <c r="Y964" s="120" t="b">
        <f t="shared" si="670"/>
        <v>0</v>
      </c>
      <c r="Z964" s="117">
        <f t="shared" si="671"/>
        <v>0</v>
      </c>
      <c r="AA964" s="118"/>
      <c r="AB964" s="118" t="str">
        <f t="shared" si="672"/>
        <v/>
      </c>
      <c r="AC964" s="712" t="str">
        <f>IF(AE964="T2G","no charge",IF(AND(OR(PlanterYesMe="No",PlanterYesMe="N",PlanterYesMe="me"),H964=""),"",IF(H964="credit","NO install",IF(AND(K964="",AE964="me"),"EACH row",IF(AND(K964="images",AE964="me"),"EACH row",IF(D964="","",IF(H964="credit","",IF(AE964="free","re-planting",IF(AE964="me","   not ELP, by",IF(AND(OR(PlanterYesMe="Yes",PlanterYesMe="Y"),G964&gt;0),(VLOOKUP(A964,'Discount Lookup'!J:K,2)*G964*(1-PlanterDiscount)*(1+PlanterDifficultyPercentage)),IF(AE964="ELP",(VLOOKUP(A964,'Discount Lookup'!J:K,2)*G964*(1-PlanterDiscount)*(1+PlanterDifficultyPercentage)),IF(AE964="free","re-planting",IF(G964=0,"",IF(PlanterYesMe="",IF(AE964="me","   not ELP, by",IF(AE964="",IF(G964&gt;0,(VLOOKUP(A964,'Discount Lookup'!J:K,2)*G964*(1-PlanterDiscount)*(1+PlanterDifficultyPercentage)),""),"")),"   not ELP, by"))))))))))))))</f>
        <v/>
      </c>
      <c r="AD964" s="712"/>
      <c r="AE964" s="513" t="str">
        <f t="shared" si="673"/>
        <v/>
      </c>
      <c r="AF964" s="713" t="str">
        <f t="shared" si="674"/>
        <v/>
      </c>
      <c r="AG964" s="713"/>
      <c r="AH964" s="713"/>
      <c r="AI964" s="112">
        <f>IF(H964="credit",0,IF(AE964="free",0,IF(AE964="me",0,IF(G964&gt;0,(VLOOKUP(A964,'Discount Lookup'!J:K,2)*G964),0))))</f>
        <v>0</v>
      </c>
      <c r="AJ964" s="107" t="str">
        <f t="shared" ca="1" si="675"/>
        <v/>
      </c>
      <c r="AK964" s="714" t="str">
        <f t="shared" si="676"/>
        <v/>
      </c>
      <c r="AL964" s="714"/>
      <c r="AM964" s="114" t="str">
        <f t="shared" si="677"/>
        <v/>
      </c>
      <c r="AN964" s="115"/>
      <c r="AO964" s="116"/>
      <c r="AP964" s="116"/>
      <c r="AQ964" s="116"/>
      <c r="AR964" s="116"/>
      <c r="AS964" s="116"/>
      <c r="AT964" s="116"/>
      <c r="AU964" s="116"/>
      <c r="AV964" s="78"/>
      <c r="AW964" s="102"/>
      <c r="AX964" s="78"/>
      <c r="AY964" s="78"/>
      <c r="AZ964" s="78"/>
      <c r="BA964" s="78"/>
      <c r="BB964" s="78"/>
      <c r="BC964" s="78"/>
      <c r="BD964" s="78"/>
      <c r="BE964" s="465"/>
      <c r="BF964" s="165" t="str">
        <f t="shared" si="678"/>
        <v>https://www.google.com/search?tbm=isch&amp;q=Cercis%20canadensis%20%27Covey%27%20PP%2310328%20Lavender%20Twist%C2%AE%20Weeping%20Redbud</v>
      </c>
      <c r="BG964" s="165" t="str">
        <f t="shared" si="679"/>
        <v>C</v>
      </c>
      <c r="BH964" s="65"/>
      <c r="BI964" s="65"/>
      <c r="BJ964" s="65"/>
      <c r="BK964" s="65"/>
      <c r="BL964" s="99"/>
      <c r="BM964" s="99"/>
      <c r="BN964" s="99"/>
    </row>
    <row r="965" spans="1:66" s="51" customFormat="1" ht="15.75" x14ac:dyDescent="0.25">
      <c r="A965" s="634">
        <v>7</v>
      </c>
      <c r="B965" s="635" t="s">
        <v>291</v>
      </c>
      <c r="C965" s="636" t="s">
        <v>1315</v>
      </c>
      <c r="D965" s="637" t="s">
        <v>299</v>
      </c>
      <c r="E965" s="638">
        <v>123.95</v>
      </c>
      <c r="F965" s="639" t="s">
        <v>292</v>
      </c>
      <c r="G965" s="484">
        <v>0</v>
      </c>
      <c r="H965" s="691" t="str">
        <f>IF(G965=0,"",IF(F965="Buy",IF(G965=1,"plant","plants"),IF(F965&gt;0.01,"warranty","Error")))</f>
        <v/>
      </c>
      <c r="I965" s="640">
        <f>IF(H965="free",0,IF(H965="credit",((E965*(F965))*G965*-1),IF(F965="Buy",(E965*G965),((E965*(1-F965))*G965))))</f>
        <v>0</v>
      </c>
      <c r="J965" s="640">
        <f>IF(H965="warranty",0,(I965*(_xlfn.SINGLE(SalesTaxPercentage))))</f>
        <v>0</v>
      </c>
      <c r="K965" s="716">
        <f t="shared" ref="K965" si="709">I965+J965</f>
        <v>0</v>
      </c>
      <c r="L965" s="716"/>
      <c r="M965" s="689" t="str">
        <f ca="1">IF(AND(G965&gt;0,E965=0),"WARNING - no PRICE inserted",IF(H965="free","FREE ~ no charge this plant",IF(H965="credit",CONCATENATE("-$",ROUND(K965*(1-_xlfn.SINGLE(T2GDiscount))*-1,2)," CREDIT after discount"),IF(_xlfn.SINGLE(T2GDiscount)=0,"",IF(G965=0,"",IF(F965="Buy",CONCATENATE("$",ROUND(K965*(1-_xlfn.SINGLE(T2GDiscount)),2)," with ",(_xlfn.SINGLE(T2GDiscount)*100),"% discount"),CONCATENATE("$",ROUND(K965*(1-_xlfn.SINGLE(T2GDiscount)),2)," with ",((_xlfn.SINGLE(T2GDiscount)*100+F965*100)-(_xlfn.SINGLE(T2GDiscount)*100*F965)),IF(F965&gt;0,"% discounts",IF(_xlfn.SINGLE(NoWarrantyDiscount)&gt;0,"% discounts","% discount")))))))))</f>
        <v/>
      </c>
      <c r="N965" s="690"/>
      <c r="O965" s="486"/>
      <c r="P965" s="486"/>
      <c r="Q965" s="486"/>
      <c r="R965" s="486"/>
      <c r="S965" s="486"/>
      <c r="T965" s="102">
        <f t="shared" si="667"/>
        <v>0</v>
      </c>
      <c r="U965" s="78">
        <f>IF(NOT(ISNUMBER(G965)), "", VLOOKUP(A965,'Discount Lookup'!D:E,2,FALSE)*G965)</f>
        <v>0</v>
      </c>
      <c r="V965" s="78">
        <f>IF(NOT(ISNUMBER(G965)), "", VLOOKUP(A965,'Discount Lookup'!G:H,2,FALSE)*G965)</f>
        <v>0</v>
      </c>
      <c r="W965" s="102">
        <f t="shared" si="668"/>
        <v>0</v>
      </c>
      <c r="X965" s="102">
        <f t="shared" si="669"/>
        <v>0</v>
      </c>
      <c r="Y965" s="120" t="b">
        <f t="shared" si="670"/>
        <v>0</v>
      </c>
      <c r="Z965" s="117">
        <f t="shared" si="671"/>
        <v>0</v>
      </c>
      <c r="AA965" s="118"/>
      <c r="AB965" s="118" t="str">
        <f t="shared" si="672"/>
        <v/>
      </c>
      <c r="AC965" s="712" t="str">
        <f>IF(AE965="T2G","no charge",IF(AND(OR(PlanterYesMe="No",PlanterYesMe="N",PlanterYesMe="me"),H965=""),"",IF(H965="credit","NO install",IF(AND(K965="",AE965="me"),"EACH row",IF(AND(K965="images",AE965="me"),"EACH row",IF(D965="","",IF(H965="credit","",IF(AE965="free","re-planting",IF(AE965="me","   not ELP, by",IF(AND(OR(PlanterYesMe="Yes",PlanterYesMe="Y"),G965&gt;0),(VLOOKUP(A965,'Discount Lookup'!J:K,2)*G965*(1-PlanterDiscount)*(1+PlanterDifficultyPercentage)),IF(AE965="ELP",(VLOOKUP(A965,'Discount Lookup'!J:K,2)*G965*(1-PlanterDiscount)*(1+PlanterDifficultyPercentage)),IF(AE965="free","re-planting",IF(G965=0,"",IF(PlanterYesMe="",IF(AE965="me","   not ELP, by",IF(AE965="",IF(G965&gt;0,(VLOOKUP(A965,'Discount Lookup'!J:K,2)*G965*(1-PlanterDiscount)*(1+PlanterDifficultyPercentage)),""),"")),"   not ELP, by"))))))))))))))</f>
        <v/>
      </c>
      <c r="AD965" s="712"/>
      <c r="AE965" s="513" t="str">
        <f t="shared" si="673"/>
        <v/>
      </c>
      <c r="AF965" s="713" t="str">
        <f t="shared" si="674"/>
        <v/>
      </c>
      <c r="AG965" s="713"/>
      <c r="AH965" s="713"/>
      <c r="AI965" s="112">
        <f>IF(H965="credit",0,IF(AE965="free",0,IF(AE965="me",0,IF(G965&gt;0,(VLOOKUP(A965,'Discount Lookup'!J:K,2)*G965),0))))</f>
        <v>0</v>
      </c>
      <c r="AJ965" s="107" t="str">
        <f t="shared" ca="1" si="675"/>
        <v/>
      </c>
      <c r="AK965" s="714" t="str">
        <f t="shared" si="676"/>
        <v/>
      </c>
      <c r="AL965" s="714"/>
      <c r="AM965" s="114" t="str">
        <f t="shared" si="677"/>
        <v/>
      </c>
      <c r="AN965" s="115"/>
      <c r="AO965" s="116"/>
      <c r="AP965" s="116"/>
      <c r="AQ965" s="116"/>
      <c r="AR965" s="116"/>
      <c r="AS965" s="116"/>
      <c r="AT965" s="116"/>
      <c r="AU965" s="116"/>
      <c r="AV965" s="78"/>
      <c r="AW965" s="102"/>
      <c r="AX965" s="78"/>
      <c r="AY965" s="78"/>
      <c r="AZ965" s="78"/>
      <c r="BA965" s="78"/>
      <c r="BB965" s="78"/>
      <c r="BC965" s="78"/>
      <c r="BD965" s="78"/>
      <c r="BE965" s="465"/>
      <c r="BF965" s="165" t="str">
        <f t="shared" si="678"/>
        <v>https://www.google.com/search?tbm=isch&amp;q=7%20G4</v>
      </c>
      <c r="BG965" s="165" t="str">
        <f t="shared" si="679"/>
        <v>C</v>
      </c>
      <c r="BH965" s="65"/>
      <c r="BI965" s="65"/>
      <c r="BJ965" s="65"/>
      <c r="BK965" s="65"/>
      <c r="BL965" s="99"/>
      <c r="BM965" s="99"/>
      <c r="BN965" s="99"/>
    </row>
    <row r="966" spans="1:66" s="51" customFormat="1" ht="15.75" x14ac:dyDescent="0.25">
      <c r="A966" s="634">
        <v>10</v>
      </c>
      <c r="B966" s="635" t="s">
        <v>291</v>
      </c>
      <c r="C966" s="636" t="s">
        <v>2026</v>
      </c>
      <c r="D966" s="637" t="s">
        <v>299</v>
      </c>
      <c r="E966" s="638">
        <v>160.94999999999999</v>
      </c>
      <c r="F966" s="639" t="s">
        <v>292</v>
      </c>
      <c r="G966" s="484">
        <v>0</v>
      </c>
      <c r="H966" s="691" t="str">
        <f>IF(G966=0,"",IF(F966="Buy",IF(G966=1,"plant","plants"),IF(F966&gt;0.01,"warranty","Error")))</f>
        <v/>
      </c>
      <c r="I966" s="640">
        <f>IF(H966="free",0,IF(H966="credit",((E966*(F966))*G966*-1),IF(F966="Buy",(E966*G966),((E966*(1-F966))*G966))))</f>
        <v>0</v>
      </c>
      <c r="J966" s="640">
        <f>IF(H966="warranty",0,(I966*(_xlfn.SINGLE(SalesTaxPercentage))))</f>
        <v>0</v>
      </c>
      <c r="K966" s="716">
        <f t="shared" ref="K966" si="710">I966+J966</f>
        <v>0</v>
      </c>
      <c r="L966" s="716"/>
      <c r="M966" s="689" t="str">
        <f ca="1">IF(AND(G966&gt;0,E966=0),"WARNING - no PRICE inserted",IF(H966="free","FREE ~ no charge this plant",IF(H966="credit",CONCATENATE("-$",ROUND(K966*(1-_xlfn.SINGLE(T2GDiscount))*-1,2)," CREDIT after discount"),IF(_xlfn.SINGLE(T2GDiscount)=0,"",IF(G966=0,"",IF(F966="Buy",CONCATENATE("$",ROUND(K966*(1-_xlfn.SINGLE(T2GDiscount)),2)," with ",(_xlfn.SINGLE(T2GDiscount)*100),"% discount"),CONCATENATE("$",ROUND(K966*(1-_xlfn.SINGLE(T2GDiscount)),2)," with ",((_xlfn.SINGLE(T2GDiscount)*100+F966*100)-(_xlfn.SINGLE(T2GDiscount)*100*F966)),IF(F966&gt;0,"% discounts",IF(_xlfn.SINGLE(NoWarrantyDiscount)&gt;0,"% discounts","% discount")))))))))</f>
        <v/>
      </c>
      <c r="N966" s="690"/>
      <c r="O966" s="486"/>
      <c r="P966" s="486"/>
      <c r="Q966" s="486"/>
      <c r="R966" s="486"/>
      <c r="S966" s="486"/>
      <c r="T966" s="102">
        <f t="shared" si="667"/>
        <v>0</v>
      </c>
      <c r="U966" s="78">
        <f>IF(NOT(ISNUMBER(G966)), "", VLOOKUP(A966,'Discount Lookup'!D:E,2,FALSE)*G966)</f>
        <v>0</v>
      </c>
      <c r="V966" s="78">
        <f>IF(NOT(ISNUMBER(G966)), "", VLOOKUP(A966,'Discount Lookup'!G:H,2,FALSE)*G966)</f>
        <v>0</v>
      </c>
      <c r="W966" s="102">
        <f t="shared" si="668"/>
        <v>0</v>
      </c>
      <c r="X966" s="102">
        <f t="shared" si="669"/>
        <v>0</v>
      </c>
      <c r="Y966" s="120" t="b">
        <f t="shared" si="670"/>
        <v>0</v>
      </c>
      <c r="Z966" s="117">
        <f t="shared" si="671"/>
        <v>0</v>
      </c>
      <c r="AA966" s="118"/>
      <c r="AB966" s="118" t="str">
        <f t="shared" si="672"/>
        <v/>
      </c>
      <c r="AC966" s="712" t="str">
        <f>IF(AE966="T2G","no charge",IF(AND(OR(PlanterYesMe="No",PlanterYesMe="N",PlanterYesMe="me"),H966=""),"",IF(H966="credit","NO install",IF(AND(K966="",AE966="me"),"EACH row",IF(AND(K966="images",AE966="me"),"EACH row",IF(D966="","",IF(H966="credit","",IF(AE966="free","re-planting",IF(AE966="me","   not ELP, by",IF(AND(OR(PlanterYesMe="Yes",PlanterYesMe="Y"),G966&gt;0),(VLOOKUP(A966,'Discount Lookup'!J:K,2)*G966*(1-PlanterDiscount)*(1+PlanterDifficultyPercentage)),IF(AE966="ELP",(VLOOKUP(A966,'Discount Lookup'!J:K,2)*G966*(1-PlanterDiscount)*(1+PlanterDifficultyPercentage)),IF(AE966="free","re-planting",IF(G966=0,"",IF(PlanterYesMe="",IF(AE966="me","   not ELP, by",IF(AE966="",IF(G966&gt;0,(VLOOKUP(A966,'Discount Lookup'!J:K,2)*G966*(1-PlanterDiscount)*(1+PlanterDifficultyPercentage)),""),"")),"   not ELP, by"))))))))))))))</f>
        <v/>
      </c>
      <c r="AD966" s="712"/>
      <c r="AE966" s="513" t="str">
        <f t="shared" si="673"/>
        <v/>
      </c>
      <c r="AF966" s="713" t="str">
        <f t="shared" si="674"/>
        <v/>
      </c>
      <c r="AG966" s="713"/>
      <c r="AH966" s="713"/>
      <c r="AI966" s="112">
        <f>IF(H966="credit",0,IF(AE966="free",0,IF(AE966="me",0,IF(G966&gt;0,(VLOOKUP(A966,'Discount Lookup'!J:K,2)*G966),0))))</f>
        <v>0</v>
      </c>
      <c r="AJ966" s="107" t="str">
        <f t="shared" ca="1" si="675"/>
        <v/>
      </c>
      <c r="AK966" s="714" t="str">
        <f t="shared" si="676"/>
        <v/>
      </c>
      <c r="AL966" s="714"/>
      <c r="AM966" s="114" t="str">
        <f t="shared" si="677"/>
        <v/>
      </c>
      <c r="AN966" s="115"/>
      <c r="AO966" s="116"/>
      <c r="AP966" s="116"/>
      <c r="AQ966" s="116"/>
      <c r="AR966" s="116"/>
      <c r="AS966" s="116"/>
      <c r="AT966" s="116"/>
      <c r="AU966" s="116"/>
      <c r="AV966" s="78"/>
      <c r="AW966" s="102"/>
      <c r="AX966" s="78"/>
      <c r="AY966" s="78"/>
      <c r="AZ966" s="78"/>
      <c r="BA966" s="78"/>
      <c r="BB966" s="78"/>
      <c r="BC966" s="78"/>
      <c r="BD966" s="78"/>
      <c r="BE966" s="465"/>
      <c r="BF966" s="165" t="str">
        <f t="shared" si="678"/>
        <v>https://www.google.com/search?tbm=isch&amp;q=10%20G4</v>
      </c>
      <c r="BG966" s="165" t="str">
        <f t="shared" si="679"/>
        <v>C</v>
      </c>
      <c r="BH966" s="65"/>
      <c r="BI966" s="65"/>
      <c r="BJ966" s="65"/>
      <c r="BK966" s="65"/>
      <c r="BL966" s="99"/>
      <c r="BM966" s="99"/>
      <c r="BN966" s="99"/>
    </row>
    <row r="967" spans="1:66" s="51" customFormat="1" ht="15.75" x14ac:dyDescent="0.25">
      <c r="A967" s="634">
        <v>15</v>
      </c>
      <c r="B967" s="635" t="s">
        <v>291</v>
      </c>
      <c r="C967" s="636" t="s">
        <v>2027</v>
      </c>
      <c r="D967" s="637" t="s">
        <v>299</v>
      </c>
      <c r="E967" s="638">
        <v>187.95</v>
      </c>
      <c r="F967" s="639" t="s">
        <v>292</v>
      </c>
      <c r="G967" s="484">
        <v>0</v>
      </c>
      <c r="H967" s="691" t="str">
        <f>IF(G967=0,"",IF(F967="Buy",IF(G967=1,"plant","plants"),IF(F967&gt;0.01,"warranty","Error")))</f>
        <v/>
      </c>
      <c r="I967" s="640">
        <f>IF(H967="free",0,IF(H967="credit",((E967*(F967))*G967*-1),IF(F967="Buy",(E967*G967),((E967*(1-F967))*G967))))</f>
        <v>0</v>
      </c>
      <c r="J967" s="640">
        <f>IF(H967="warranty",0,(I967*(_xlfn.SINGLE(SalesTaxPercentage))))</f>
        <v>0</v>
      </c>
      <c r="K967" s="716">
        <f t="shared" ref="K967" si="711">I967+J967</f>
        <v>0</v>
      </c>
      <c r="L967" s="716"/>
      <c r="M967" s="689" t="str">
        <f ca="1">IF(AND(G967&gt;0,E967=0),"WARNING - no PRICE inserted",IF(H967="free","FREE ~ no charge this plant",IF(H967="credit",CONCATENATE("-$",ROUND(K967*(1-_xlfn.SINGLE(T2GDiscount))*-1,2)," CREDIT after discount"),IF(_xlfn.SINGLE(T2GDiscount)=0,"",IF(G967=0,"",IF(F967="Buy",CONCATENATE("$",ROUND(K967*(1-_xlfn.SINGLE(T2GDiscount)),2)," with ",(_xlfn.SINGLE(T2GDiscount)*100),"% discount"),CONCATENATE("$",ROUND(K967*(1-_xlfn.SINGLE(T2GDiscount)),2)," with ",((_xlfn.SINGLE(T2GDiscount)*100+F967*100)-(_xlfn.SINGLE(T2GDiscount)*100*F967)),IF(F967&gt;0,"% discounts",IF(_xlfn.SINGLE(NoWarrantyDiscount)&gt;0,"% discounts","% discount")))))))))</f>
        <v/>
      </c>
      <c r="N967" s="690"/>
      <c r="O967" s="486"/>
      <c r="P967" s="486"/>
      <c r="Q967" s="486"/>
      <c r="R967" s="486"/>
      <c r="S967" s="486"/>
      <c r="T967" s="102">
        <f t="shared" si="667"/>
        <v>0</v>
      </c>
      <c r="U967" s="78">
        <f>IF(NOT(ISNUMBER(G967)), "", VLOOKUP(A967,'Discount Lookup'!D:E,2,FALSE)*G967)</f>
        <v>0</v>
      </c>
      <c r="V967" s="78">
        <f>IF(NOT(ISNUMBER(G967)), "", VLOOKUP(A967,'Discount Lookup'!G:H,2,FALSE)*G967)</f>
        <v>0</v>
      </c>
      <c r="W967" s="102">
        <f t="shared" si="668"/>
        <v>0</v>
      </c>
      <c r="X967" s="102">
        <f t="shared" si="669"/>
        <v>0</v>
      </c>
      <c r="Y967" s="120" t="b">
        <f t="shared" si="670"/>
        <v>0</v>
      </c>
      <c r="Z967" s="117">
        <f t="shared" si="671"/>
        <v>0</v>
      </c>
      <c r="AA967" s="118"/>
      <c r="AB967" s="118" t="str">
        <f t="shared" si="672"/>
        <v/>
      </c>
      <c r="AC967" s="712" t="str">
        <f>IF(AE967="T2G","no charge",IF(AND(OR(PlanterYesMe="No",PlanterYesMe="N",PlanterYesMe="me"),H967=""),"",IF(H967="credit","NO install",IF(AND(K967="",AE967="me"),"EACH row",IF(AND(K967="images",AE967="me"),"EACH row",IF(D967="","",IF(H967="credit","",IF(AE967="free","re-planting",IF(AE967="me","   not ELP, by",IF(AND(OR(PlanterYesMe="Yes",PlanterYesMe="Y"),G967&gt;0),(VLOOKUP(A967,'Discount Lookup'!J:K,2)*G967*(1-PlanterDiscount)*(1+PlanterDifficultyPercentage)),IF(AE967="ELP",(VLOOKUP(A967,'Discount Lookup'!J:K,2)*G967*(1-PlanterDiscount)*(1+PlanterDifficultyPercentage)),IF(AE967="free","re-planting",IF(G967=0,"",IF(PlanterYesMe="",IF(AE967="me","   not ELP, by",IF(AE967="",IF(G967&gt;0,(VLOOKUP(A967,'Discount Lookup'!J:K,2)*G967*(1-PlanterDiscount)*(1+PlanterDifficultyPercentage)),""),"")),"   not ELP, by"))))))))))))))</f>
        <v/>
      </c>
      <c r="AD967" s="712"/>
      <c r="AE967" s="513" t="str">
        <f t="shared" si="673"/>
        <v/>
      </c>
      <c r="AF967" s="713" t="str">
        <f t="shared" si="674"/>
        <v/>
      </c>
      <c r="AG967" s="713"/>
      <c r="AH967" s="713"/>
      <c r="AI967" s="112">
        <f>IF(H967="credit",0,IF(AE967="free",0,IF(AE967="me",0,IF(G967&gt;0,(VLOOKUP(A967,'Discount Lookup'!J:K,2)*G967),0))))</f>
        <v>0</v>
      </c>
      <c r="AJ967" s="107" t="str">
        <f t="shared" ca="1" si="675"/>
        <v/>
      </c>
      <c r="AK967" s="714" t="str">
        <f t="shared" si="676"/>
        <v/>
      </c>
      <c r="AL967" s="714"/>
      <c r="AM967" s="114" t="str">
        <f t="shared" si="677"/>
        <v/>
      </c>
      <c r="AN967" s="115"/>
      <c r="AO967" s="116"/>
      <c r="AP967" s="116"/>
      <c r="AQ967" s="116"/>
      <c r="AR967" s="116"/>
      <c r="AS967" s="116"/>
      <c r="AT967" s="116"/>
      <c r="AU967" s="116"/>
      <c r="AV967" s="78"/>
      <c r="AW967" s="102"/>
      <c r="AX967" s="78"/>
      <c r="AY967" s="78"/>
      <c r="AZ967" s="78"/>
      <c r="BA967" s="78"/>
      <c r="BB967" s="78"/>
      <c r="BC967" s="78"/>
      <c r="BD967" s="78"/>
      <c r="BE967" s="465"/>
      <c r="BF967" s="165" t="str">
        <f t="shared" si="678"/>
        <v>https://www.google.com/search?tbm=isch&amp;q=15%20G4</v>
      </c>
      <c r="BG967" s="165" t="str">
        <f t="shared" si="679"/>
        <v>C</v>
      </c>
      <c r="BH967" s="65"/>
      <c r="BI967" s="65"/>
      <c r="BJ967" s="65"/>
      <c r="BK967" s="65"/>
      <c r="BL967" s="99"/>
      <c r="BM967" s="99"/>
      <c r="BN967" s="99"/>
    </row>
    <row r="968" spans="1:66" s="51" customFormat="1" ht="17.25" thickBot="1" x14ac:dyDescent="0.3">
      <c r="A968" s="641" t="s">
        <v>4692</v>
      </c>
      <c r="B968" s="642"/>
      <c r="C968" s="710"/>
      <c r="D968" s="643"/>
      <c r="E968" s="643"/>
      <c r="F968" s="644"/>
      <c r="G968" s="645"/>
      <c r="H968" s="646"/>
      <c r="I968" s="647"/>
      <c r="J968" s="648"/>
      <c r="K968" s="649"/>
      <c r="L968" s="650"/>
      <c r="M968" s="650"/>
      <c r="N968" s="644"/>
      <c r="O968" s="644"/>
      <c r="P968" s="644"/>
      <c r="Q968" s="644"/>
      <c r="R968" s="644"/>
      <c r="S968" s="701" t="s">
        <v>5273</v>
      </c>
      <c r="T968" s="102">
        <f t="shared" si="667"/>
        <v>0</v>
      </c>
      <c r="U968" s="78" t="str">
        <f>IF(NOT(ISNUMBER(G968)), "", VLOOKUP(A968,'Discount Lookup'!D:E,2,FALSE)*G968)</f>
        <v/>
      </c>
      <c r="V968" s="78" t="str">
        <f>IF(NOT(ISNUMBER(G968)), "", VLOOKUP(A968,'Discount Lookup'!G:H,2,FALSE)*G968)</f>
        <v/>
      </c>
      <c r="W968" s="102">
        <f t="shared" si="668"/>
        <v>0</v>
      </c>
      <c r="X968" s="102">
        <f t="shared" si="669"/>
        <v>0</v>
      </c>
      <c r="Y968" s="120" t="b">
        <f t="shared" si="670"/>
        <v>0</v>
      </c>
      <c r="Z968" s="117">
        <f t="shared" si="671"/>
        <v>0</v>
      </c>
      <c r="AA968" s="118"/>
      <c r="AB968" s="118" t="str">
        <f t="shared" si="672"/>
        <v/>
      </c>
      <c r="AC968" s="712" t="str">
        <f>IF(AE968="T2G","no charge",IF(AND(OR(PlanterYesMe="No",PlanterYesMe="N",PlanterYesMe="me"),H968=""),"",IF(H968="credit","NO install",IF(AND(K968="",AE968="me"),"EACH row",IF(AND(K968="images",AE968="me"),"EACH row",IF(D968="","",IF(H968="credit","",IF(AE968="free","re-planting",IF(AE968="me","   not ELP, by",IF(AND(OR(PlanterYesMe="Yes",PlanterYesMe="Y"),G968&gt;0),(VLOOKUP(A968,'Discount Lookup'!J:K,2)*G968*(1-PlanterDiscount)*(1+PlanterDifficultyPercentage)),IF(AE968="ELP",(VLOOKUP(A968,'Discount Lookup'!J:K,2)*G968*(1-PlanterDiscount)*(1+PlanterDifficultyPercentage)),IF(AE968="free","re-planting",IF(G968=0,"",IF(PlanterYesMe="",IF(AE968="me","   not ELP, by",IF(AE968="",IF(G968&gt;0,(VLOOKUP(A968,'Discount Lookup'!J:K,2)*G968*(1-PlanterDiscount)*(1+PlanterDifficultyPercentage)),""),"")),"   not ELP, by"))))))))))))))</f>
        <v/>
      </c>
      <c r="AD968" s="712"/>
      <c r="AE968" s="513" t="str">
        <f t="shared" si="673"/>
        <v/>
      </c>
      <c r="AF968" s="713" t="str">
        <f t="shared" si="674"/>
        <v/>
      </c>
      <c r="AG968" s="713"/>
      <c r="AH968" s="713"/>
      <c r="AI968" s="112">
        <f>IF(H968="credit",0,IF(AE968="free",0,IF(AE968="me",0,IF(G968&gt;0,(VLOOKUP(A968,'Discount Lookup'!J:K,2)*G968),0))))</f>
        <v>0</v>
      </c>
      <c r="AJ968" s="107" t="str">
        <f t="shared" ca="1" si="675"/>
        <v/>
      </c>
      <c r="AK968" s="714" t="str">
        <f t="shared" si="676"/>
        <v/>
      </c>
      <c r="AL968" s="714"/>
      <c r="AM968" s="114" t="str">
        <f t="shared" si="677"/>
        <v/>
      </c>
      <c r="AN968" s="115"/>
      <c r="AO968" s="116"/>
      <c r="AP968" s="116"/>
      <c r="AQ968" s="116"/>
      <c r="AR968" s="116"/>
      <c r="AS968" s="116"/>
      <c r="AT968" s="116"/>
      <c r="AU968" s="116"/>
      <c r="AV968" s="78"/>
      <c r="AW968" s="102"/>
      <c r="AX968" s="78"/>
      <c r="AY968" s="78"/>
      <c r="AZ968" s="78"/>
      <c r="BA968" s="78"/>
      <c r="BB968" s="78"/>
      <c r="BC968" s="78"/>
      <c r="BD968" s="78"/>
      <c r="BE968" s="465"/>
      <c r="BF968" s="165" t="str">
        <f t="shared" si="678"/>
        <v>https://www.google.com/search?tbm=isch&amp;q=Lavender%20Twist%20has%20cascading%20blooms%20before%20leaf%E2%80%91out%20atop%20twisted%20pendulous%20branches%2C%20Green%20foliage%20turns%20Yellow%20in%20fall%20</v>
      </c>
      <c r="BG968" s="165" t="str">
        <f t="shared" si="679"/>
        <v>L</v>
      </c>
      <c r="BH968" s="65"/>
      <c r="BI968" s="65"/>
      <c r="BJ968" s="65"/>
      <c r="BK968" s="65"/>
      <c r="BL968" s="99"/>
      <c r="BM968" s="99"/>
      <c r="BN968" s="99"/>
    </row>
    <row r="969" spans="1:66" s="51" customFormat="1" ht="18" x14ac:dyDescent="0.25">
      <c r="A969" s="623" t="s">
        <v>2028</v>
      </c>
      <c r="B969" s="624"/>
      <c r="C969" s="709"/>
      <c r="D969" s="625" t="s">
        <v>2029</v>
      </c>
      <c r="E969" s="626"/>
      <c r="F969" s="626"/>
      <c r="G969" s="626"/>
      <c r="H969" s="622" t="s">
        <v>1506</v>
      </c>
      <c r="I969" s="627" t="s">
        <v>2030</v>
      </c>
      <c r="J969" s="628"/>
      <c r="K969" s="628"/>
      <c r="L969" s="629"/>
      <c r="M969" s="700" t="s">
        <v>5249</v>
      </c>
      <c r="N969" s="693" t="str">
        <f>IF(AND(ISTEXT($A969), ISERROR($A969+0)), HYPERLINK($BF969, "Images"), "")</f>
        <v>Images</v>
      </c>
      <c r="O969" s="695" t="s">
        <v>5264</v>
      </c>
      <c r="P969" s="630"/>
      <c r="Q969" s="631"/>
      <c r="R969" s="632"/>
      <c r="S969" s="633" t="s">
        <v>294</v>
      </c>
      <c r="T969" s="102">
        <f t="shared" si="667"/>
        <v>0</v>
      </c>
      <c r="U969" s="78" t="str">
        <f>IF(NOT(ISNUMBER(G969)), "", VLOOKUP(A969,'Discount Lookup'!D:E,2,FALSE)*G969)</f>
        <v/>
      </c>
      <c r="V969" s="78" t="str">
        <f>IF(NOT(ISNUMBER(G969)), "", VLOOKUP(A969,'Discount Lookup'!G:H,2,FALSE)*G969)</f>
        <v/>
      </c>
      <c r="W969" s="102">
        <f t="shared" si="668"/>
        <v>0</v>
      </c>
      <c r="X969" s="102" t="str">
        <f t="shared" si="669"/>
        <v>Rosy-Pink bloom</v>
      </c>
      <c r="Y969" s="120" t="b">
        <f t="shared" si="670"/>
        <v>0</v>
      </c>
      <c r="Z969" s="117">
        <f t="shared" si="671"/>
        <v>0</v>
      </c>
      <c r="AA969" s="118"/>
      <c r="AB969" s="118" t="str">
        <f t="shared" si="672"/>
        <v/>
      </c>
      <c r="AC969" s="712" t="str">
        <f>IF(AE969="T2G","no charge",IF(AND(OR(PlanterYesMe="No",PlanterYesMe="N",PlanterYesMe="me"),H969=""),"",IF(H969="credit","NO install",IF(AND(K969="",AE969="me"),"EACH row",IF(AND(K969="images",AE969="me"),"EACH row",IF(D969="","",IF(H969="credit","",IF(AE969="free","re-planting",IF(AE969="me","   not ELP, by",IF(AND(OR(PlanterYesMe="Yes",PlanterYesMe="Y"),G969&gt;0),(VLOOKUP(A969,'Discount Lookup'!J:K,2)*G969*(1-PlanterDiscount)*(1+PlanterDifficultyPercentage)),IF(AE969="ELP",(VLOOKUP(A969,'Discount Lookup'!J:K,2)*G969*(1-PlanterDiscount)*(1+PlanterDifficultyPercentage)),IF(AE969="free","re-planting",IF(G969=0,"",IF(PlanterYesMe="",IF(AE969="me","   not ELP, by",IF(AE969="",IF(G969&gt;0,(VLOOKUP(A969,'Discount Lookup'!J:K,2)*G969*(1-PlanterDiscount)*(1+PlanterDifficultyPercentage)),""),"")),"   not ELP, by"))))))))))))))</f>
        <v/>
      </c>
      <c r="AD969" s="712"/>
      <c r="AE969" s="513" t="str">
        <f t="shared" si="673"/>
        <v/>
      </c>
      <c r="AF969" s="713" t="str">
        <f t="shared" si="674"/>
        <v/>
      </c>
      <c r="AG969" s="713"/>
      <c r="AH969" s="713"/>
      <c r="AI969" s="112">
        <f>IF(H969="credit",0,IF(AE969="free",0,IF(AE969="me",0,IF(G969&gt;0,(VLOOKUP(A969,'Discount Lookup'!J:K,2)*G969),0))))</f>
        <v>0</v>
      </c>
      <c r="AJ969" s="107" t="str">
        <f t="shared" ca="1" si="675"/>
        <v/>
      </c>
      <c r="AK969" s="714" t="str">
        <f t="shared" si="676"/>
        <v/>
      </c>
      <c r="AL969" s="714"/>
      <c r="AM969" s="114" t="str">
        <f t="shared" si="677"/>
        <v/>
      </c>
      <c r="AN969" s="115"/>
      <c r="AO969" s="116"/>
      <c r="AP969" s="116"/>
      <c r="AQ969" s="116"/>
      <c r="AR969" s="116"/>
      <c r="AS969" s="116"/>
      <c r="AT969" s="116"/>
      <c r="AU969" s="116"/>
      <c r="AV969" s="78"/>
      <c r="AW969" s="102"/>
      <c r="AX969" s="78"/>
      <c r="AY969" s="78"/>
      <c r="AZ969" s="78"/>
      <c r="BA969" s="78"/>
      <c r="BB969" s="78"/>
      <c r="BC969" s="78"/>
      <c r="BD969" s="78"/>
      <c r="BE969" s="465"/>
      <c r="BF969" s="165" t="str">
        <f t="shared" si="678"/>
        <v>https://www.google.com/search?tbm=isch&amp;q=Cercis%20canadensis%20%27Forest%20Pansy%27%20PP%232556Exp.%20Forest%20Pansy%20Redbud</v>
      </c>
      <c r="BG969" s="165" t="str">
        <f t="shared" si="679"/>
        <v>C</v>
      </c>
      <c r="BH969" s="65"/>
      <c r="BI969" s="65"/>
      <c r="BJ969" s="65"/>
      <c r="BK969" s="65"/>
      <c r="BL969" s="99"/>
      <c r="BM969" s="99"/>
      <c r="BN969" s="99"/>
    </row>
    <row r="970" spans="1:66" s="51" customFormat="1" ht="15.75" x14ac:dyDescent="0.25">
      <c r="A970" s="634">
        <v>7</v>
      </c>
      <c r="B970" s="635" t="s">
        <v>291</v>
      </c>
      <c r="C970" s="636" t="s">
        <v>2031</v>
      </c>
      <c r="D970" s="637" t="s">
        <v>299</v>
      </c>
      <c r="E970" s="638">
        <v>104.95</v>
      </c>
      <c r="F970" s="639" t="s">
        <v>292</v>
      </c>
      <c r="G970" s="484">
        <v>0</v>
      </c>
      <c r="H970" s="691" t="str">
        <f>IF(G970=0,"",IF(F970="Buy",IF(G970=1,"plant","plants"),IF(F970&gt;0.01,"warranty","Error")))</f>
        <v/>
      </c>
      <c r="I970" s="640">
        <f>IF(H970="free",0,IF(H970="credit",((E970*(F970))*G970*-1),IF(F970="Buy",(E970*G970),((E970*(1-F970))*G970))))</f>
        <v>0</v>
      </c>
      <c r="J970" s="640">
        <f>IF(H970="warranty",0,(I970*(_xlfn.SINGLE(SalesTaxPercentage))))</f>
        <v>0</v>
      </c>
      <c r="K970" s="716">
        <f t="shared" ref="K970" si="712">I970+J970</f>
        <v>0</v>
      </c>
      <c r="L970" s="716"/>
      <c r="M970" s="689" t="str">
        <f ca="1">IF(AND(G970&gt;0,E970=0),"WARNING - no PRICE inserted",IF(H970="free","FREE ~ no charge this plant",IF(H970="credit",CONCATENATE("-$",ROUND(K970*(1-_xlfn.SINGLE(T2GDiscount))*-1,2)," CREDIT after discount"),IF(_xlfn.SINGLE(T2GDiscount)=0,"",IF(G970=0,"",IF(F970="Buy",CONCATENATE("$",ROUND(K970*(1-_xlfn.SINGLE(T2GDiscount)),2)," with ",(_xlfn.SINGLE(T2GDiscount)*100),"% discount"),CONCATENATE("$",ROUND(K970*(1-_xlfn.SINGLE(T2GDiscount)),2)," with ",((_xlfn.SINGLE(T2GDiscount)*100+F970*100)-(_xlfn.SINGLE(T2GDiscount)*100*F970)),IF(F970&gt;0,"% discounts",IF(_xlfn.SINGLE(NoWarrantyDiscount)&gt;0,"% discounts","% discount")))))))))</f>
        <v/>
      </c>
      <c r="N970" s="690"/>
      <c r="O970" s="486"/>
      <c r="P970" s="486"/>
      <c r="Q970" s="486"/>
      <c r="R970" s="486"/>
      <c r="S970" s="486"/>
      <c r="T970" s="102">
        <f t="shared" si="667"/>
        <v>0</v>
      </c>
      <c r="U970" s="78">
        <f>IF(NOT(ISNUMBER(G970)), "", VLOOKUP(A970,'Discount Lookup'!D:E,2,FALSE)*G970)</f>
        <v>0</v>
      </c>
      <c r="V970" s="78">
        <f>IF(NOT(ISNUMBER(G970)), "", VLOOKUP(A970,'Discount Lookup'!G:H,2,FALSE)*G970)</f>
        <v>0</v>
      </c>
      <c r="W970" s="102">
        <f t="shared" si="668"/>
        <v>0</v>
      </c>
      <c r="X970" s="102">
        <f t="shared" si="669"/>
        <v>0</v>
      </c>
      <c r="Y970" s="120" t="b">
        <f t="shared" si="670"/>
        <v>0</v>
      </c>
      <c r="Z970" s="117">
        <f t="shared" si="671"/>
        <v>0</v>
      </c>
      <c r="AA970" s="118"/>
      <c r="AB970" s="118" t="str">
        <f t="shared" si="672"/>
        <v/>
      </c>
      <c r="AC970" s="712" t="str">
        <f>IF(AE970="T2G","no charge",IF(AND(OR(PlanterYesMe="No",PlanterYesMe="N",PlanterYesMe="me"),H970=""),"",IF(H970="credit","NO install",IF(AND(K970="",AE970="me"),"EACH row",IF(AND(K970="images",AE970="me"),"EACH row",IF(D970="","",IF(H970="credit","",IF(AE970="free","re-planting",IF(AE970="me","   not ELP, by",IF(AND(OR(PlanterYesMe="Yes",PlanterYesMe="Y"),G970&gt;0),(VLOOKUP(A970,'Discount Lookup'!J:K,2)*G970*(1-PlanterDiscount)*(1+PlanterDifficultyPercentage)),IF(AE970="ELP",(VLOOKUP(A970,'Discount Lookup'!J:K,2)*G970*(1-PlanterDiscount)*(1+PlanterDifficultyPercentage)),IF(AE970="free","re-planting",IF(G970=0,"",IF(PlanterYesMe="",IF(AE970="me","   not ELP, by",IF(AE970="",IF(G970&gt;0,(VLOOKUP(A970,'Discount Lookup'!J:K,2)*G970*(1-PlanterDiscount)*(1+PlanterDifficultyPercentage)),""),"")),"   not ELP, by"))))))))))))))</f>
        <v/>
      </c>
      <c r="AD970" s="712"/>
      <c r="AE970" s="513" t="str">
        <f t="shared" si="673"/>
        <v/>
      </c>
      <c r="AF970" s="713" t="str">
        <f t="shared" si="674"/>
        <v/>
      </c>
      <c r="AG970" s="713"/>
      <c r="AH970" s="713"/>
      <c r="AI970" s="112">
        <f>IF(H970="credit",0,IF(AE970="free",0,IF(AE970="me",0,IF(G970&gt;0,(VLOOKUP(A970,'Discount Lookup'!J:K,2)*G970),0))))</f>
        <v>0</v>
      </c>
      <c r="AJ970" s="107" t="str">
        <f t="shared" ca="1" si="675"/>
        <v/>
      </c>
      <c r="AK970" s="714" t="str">
        <f t="shared" si="676"/>
        <v/>
      </c>
      <c r="AL970" s="714"/>
      <c r="AM970" s="114" t="str">
        <f t="shared" si="677"/>
        <v/>
      </c>
      <c r="AN970" s="115"/>
      <c r="AO970" s="116"/>
      <c r="AP970" s="116"/>
      <c r="AQ970" s="116"/>
      <c r="AR970" s="116"/>
      <c r="AS970" s="116"/>
      <c r="AT970" s="116"/>
      <c r="AU970" s="116"/>
      <c r="AV970" s="78"/>
      <c r="AW970" s="102"/>
      <c r="AX970" s="78"/>
      <c r="AY970" s="78"/>
      <c r="AZ970" s="78"/>
      <c r="BA970" s="78"/>
      <c r="BB970" s="78"/>
      <c r="BC970" s="78"/>
      <c r="BD970" s="78"/>
      <c r="BE970" s="465"/>
      <c r="BF970" s="165" t="str">
        <f t="shared" si="678"/>
        <v>https://www.google.com/search?tbm=isch&amp;q=7%20G4</v>
      </c>
      <c r="BG970" s="165" t="str">
        <f t="shared" si="679"/>
        <v>C</v>
      </c>
      <c r="BH970" s="65"/>
      <c r="BI970" s="65"/>
      <c r="BJ970" s="65"/>
      <c r="BK970" s="65"/>
      <c r="BL970" s="99"/>
      <c r="BM970" s="99"/>
      <c r="BN970" s="99"/>
    </row>
    <row r="971" spans="1:66" s="51" customFormat="1" ht="15.75" x14ac:dyDescent="0.25">
      <c r="A971" s="634">
        <v>10</v>
      </c>
      <c r="B971" s="635" t="s">
        <v>291</v>
      </c>
      <c r="C971" s="636" t="s">
        <v>2032</v>
      </c>
      <c r="D971" s="637" t="s">
        <v>299</v>
      </c>
      <c r="E971" s="638">
        <v>155.94999999999999</v>
      </c>
      <c r="F971" s="639" t="s">
        <v>292</v>
      </c>
      <c r="G971" s="484">
        <v>0</v>
      </c>
      <c r="H971" s="691" t="str">
        <f>IF(G971=0,"",IF(F971="Buy",IF(G971=1,"plant","plants"),IF(F971&gt;0.01,"warranty","Error")))</f>
        <v/>
      </c>
      <c r="I971" s="640">
        <f>IF(H971="free",0,IF(H971="credit",((E971*(F971))*G971*-1),IF(F971="Buy",(E971*G971),((E971*(1-F971))*G971))))</f>
        <v>0</v>
      </c>
      <c r="J971" s="640">
        <f>IF(H971="warranty",0,(I971*(_xlfn.SINGLE(SalesTaxPercentage))))</f>
        <v>0</v>
      </c>
      <c r="K971" s="716">
        <f t="shared" ref="K971" si="713">I971+J971</f>
        <v>0</v>
      </c>
      <c r="L971" s="716"/>
      <c r="M971" s="689" t="str">
        <f ca="1">IF(AND(G971&gt;0,E971=0),"WARNING - no PRICE inserted",IF(H971="free","FREE ~ no charge this plant",IF(H971="credit",CONCATENATE("-$",ROUND(K971*(1-_xlfn.SINGLE(T2GDiscount))*-1,2)," CREDIT after discount"),IF(_xlfn.SINGLE(T2GDiscount)=0,"",IF(G971=0,"",IF(F971="Buy",CONCATENATE("$",ROUND(K971*(1-_xlfn.SINGLE(T2GDiscount)),2)," with ",(_xlfn.SINGLE(T2GDiscount)*100),"% discount"),CONCATENATE("$",ROUND(K971*(1-_xlfn.SINGLE(T2GDiscount)),2)," with ",((_xlfn.SINGLE(T2GDiscount)*100+F971*100)-(_xlfn.SINGLE(T2GDiscount)*100*F971)),IF(F971&gt;0,"% discounts",IF(_xlfn.SINGLE(NoWarrantyDiscount)&gt;0,"% discounts","% discount")))))))))</f>
        <v/>
      </c>
      <c r="N971" s="690"/>
      <c r="O971" s="486"/>
      <c r="P971" s="486"/>
      <c r="Q971" s="486"/>
      <c r="R971" s="486"/>
      <c r="S971" s="486"/>
      <c r="T971" s="102">
        <f t="shared" si="667"/>
        <v>0</v>
      </c>
      <c r="U971" s="78">
        <f>IF(NOT(ISNUMBER(G971)), "", VLOOKUP(A971,'Discount Lookup'!D:E,2,FALSE)*G971)</f>
        <v>0</v>
      </c>
      <c r="V971" s="78">
        <f>IF(NOT(ISNUMBER(G971)), "", VLOOKUP(A971,'Discount Lookup'!G:H,2,FALSE)*G971)</f>
        <v>0</v>
      </c>
      <c r="W971" s="102">
        <f t="shared" si="668"/>
        <v>0</v>
      </c>
      <c r="X971" s="102">
        <f t="shared" si="669"/>
        <v>0</v>
      </c>
      <c r="Y971" s="120" t="b">
        <f t="shared" si="670"/>
        <v>0</v>
      </c>
      <c r="Z971" s="117">
        <f t="shared" si="671"/>
        <v>0</v>
      </c>
      <c r="AA971" s="118"/>
      <c r="AB971" s="118" t="str">
        <f t="shared" si="672"/>
        <v/>
      </c>
      <c r="AC971" s="712" t="str">
        <f>IF(AE971="T2G","no charge",IF(AND(OR(PlanterYesMe="No",PlanterYesMe="N",PlanterYesMe="me"),H971=""),"",IF(H971="credit","NO install",IF(AND(K971="",AE971="me"),"EACH row",IF(AND(K971="images",AE971="me"),"EACH row",IF(D971="","",IF(H971="credit","",IF(AE971="free","re-planting",IF(AE971="me","   not ELP, by",IF(AND(OR(PlanterYesMe="Yes",PlanterYesMe="Y"),G971&gt;0),(VLOOKUP(A971,'Discount Lookup'!J:K,2)*G971*(1-PlanterDiscount)*(1+PlanterDifficultyPercentage)),IF(AE971="ELP",(VLOOKUP(A971,'Discount Lookup'!J:K,2)*G971*(1-PlanterDiscount)*(1+PlanterDifficultyPercentage)),IF(AE971="free","re-planting",IF(G971=0,"",IF(PlanterYesMe="",IF(AE971="me","   not ELP, by",IF(AE971="",IF(G971&gt;0,(VLOOKUP(A971,'Discount Lookup'!J:K,2)*G971*(1-PlanterDiscount)*(1+PlanterDifficultyPercentage)),""),"")),"   not ELP, by"))))))))))))))</f>
        <v/>
      </c>
      <c r="AD971" s="712"/>
      <c r="AE971" s="513" t="str">
        <f t="shared" si="673"/>
        <v/>
      </c>
      <c r="AF971" s="713" t="str">
        <f t="shared" si="674"/>
        <v/>
      </c>
      <c r="AG971" s="713"/>
      <c r="AH971" s="713"/>
      <c r="AI971" s="112">
        <f>IF(H971="credit",0,IF(AE971="free",0,IF(AE971="me",0,IF(G971&gt;0,(VLOOKUP(A971,'Discount Lookup'!J:K,2)*G971),0))))</f>
        <v>0</v>
      </c>
      <c r="AJ971" s="107" t="str">
        <f t="shared" ca="1" si="675"/>
        <v/>
      </c>
      <c r="AK971" s="714" t="str">
        <f t="shared" si="676"/>
        <v/>
      </c>
      <c r="AL971" s="714"/>
      <c r="AM971" s="114" t="str">
        <f t="shared" si="677"/>
        <v/>
      </c>
      <c r="AN971" s="115"/>
      <c r="AO971" s="116"/>
      <c r="AP971" s="116"/>
      <c r="AQ971" s="116"/>
      <c r="AR971" s="116"/>
      <c r="AS971" s="116"/>
      <c r="AT971" s="116"/>
      <c r="AU971" s="116"/>
      <c r="AV971" s="78"/>
      <c r="AW971" s="102"/>
      <c r="AX971" s="78"/>
      <c r="AY971" s="78"/>
      <c r="AZ971" s="78"/>
      <c r="BA971" s="78"/>
      <c r="BB971" s="78"/>
      <c r="BC971" s="78"/>
      <c r="BD971" s="78"/>
      <c r="BE971" s="465"/>
      <c r="BF971" s="165" t="str">
        <f t="shared" si="678"/>
        <v>https://www.google.com/search?tbm=isch&amp;q=10%20G4</v>
      </c>
      <c r="BG971" s="165" t="str">
        <f t="shared" si="679"/>
        <v>C</v>
      </c>
      <c r="BH971" s="65"/>
      <c r="BI971" s="65"/>
      <c r="BJ971" s="65"/>
      <c r="BK971" s="65"/>
      <c r="BL971" s="99"/>
      <c r="BM971" s="99"/>
      <c r="BN971" s="99"/>
    </row>
    <row r="972" spans="1:66" s="51" customFormat="1" ht="15.75" x14ac:dyDescent="0.25">
      <c r="A972" s="634">
        <v>15</v>
      </c>
      <c r="B972" s="635" t="s">
        <v>291</v>
      </c>
      <c r="C972" s="636" t="s">
        <v>924</v>
      </c>
      <c r="D972" s="637" t="s">
        <v>299</v>
      </c>
      <c r="E972" s="638">
        <v>189.95</v>
      </c>
      <c r="F972" s="639" t="s">
        <v>292</v>
      </c>
      <c r="G972" s="484">
        <v>0</v>
      </c>
      <c r="H972" s="691" t="str">
        <f>IF(G972=0,"",IF(F972="Buy",IF(G972=1,"plant","plants"),IF(F972&gt;0.01,"warranty","Error")))</f>
        <v/>
      </c>
      <c r="I972" s="640">
        <f>IF(H972="free",0,IF(H972="credit",((E972*(F972))*G972*-1),IF(F972="Buy",(E972*G972),((E972*(1-F972))*G972))))</f>
        <v>0</v>
      </c>
      <c r="J972" s="640">
        <f>IF(H972="warranty",0,(I972*(_xlfn.SINGLE(SalesTaxPercentage))))</f>
        <v>0</v>
      </c>
      <c r="K972" s="716">
        <f t="shared" ref="K972" si="714">I972+J972</f>
        <v>0</v>
      </c>
      <c r="L972" s="716"/>
      <c r="M972" s="689" t="str">
        <f ca="1">IF(AND(G972&gt;0,E972=0),"WARNING - no PRICE inserted",IF(H972="free","FREE ~ no charge this plant",IF(H972="credit",CONCATENATE("-$",ROUND(K972*(1-_xlfn.SINGLE(T2GDiscount))*-1,2)," CREDIT after discount"),IF(_xlfn.SINGLE(T2GDiscount)=0,"",IF(G972=0,"",IF(F972="Buy",CONCATENATE("$",ROUND(K972*(1-_xlfn.SINGLE(T2GDiscount)),2)," with ",(_xlfn.SINGLE(T2GDiscount)*100),"% discount"),CONCATENATE("$",ROUND(K972*(1-_xlfn.SINGLE(T2GDiscount)),2)," with ",((_xlfn.SINGLE(T2GDiscount)*100+F972*100)-(_xlfn.SINGLE(T2GDiscount)*100*F972)),IF(F972&gt;0,"% discounts",IF(_xlfn.SINGLE(NoWarrantyDiscount)&gt;0,"% discounts","% discount")))))))))</f>
        <v/>
      </c>
      <c r="N972" s="690"/>
      <c r="O972" s="486"/>
      <c r="P972" s="486"/>
      <c r="Q972" s="486"/>
      <c r="R972" s="486"/>
      <c r="S972" s="486"/>
      <c r="T972" s="102">
        <f t="shared" si="667"/>
        <v>0</v>
      </c>
      <c r="U972" s="78">
        <f>IF(NOT(ISNUMBER(G972)), "", VLOOKUP(A972,'Discount Lookup'!D:E,2,FALSE)*G972)</f>
        <v>0</v>
      </c>
      <c r="V972" s="78">
        <f>IF(NOT(ISNUMBER(G972)), "", VLOOKUP(A972,'Discount Lookup'!G:H,2,FALSE)*G972)</f>
        <v>0</v>
      </c>
      <c r="W972" s="102">
        <f t="shared" si="668"/>
        <v>0</v>
      </c>
      <c r="X972" s="102">
        <f t="shared" si="669"/>
        <v>0</v>
      </c>
      <c r="Y972" s="120" t="b">
        <f t="shared" si="670"/>
        <v>0</v>
      </c>
      <c r="Z972" s="117">
        <f t="shared" si="671"/>
        <v>0</v>
      </c>
      <c r="AA972" s="118"/>
      <c r="AB972" s="118" t="str">
        <f t="shared" si="672"/>
        <v/>
      </c>
      <c r="AC972" s="712" t="str">
        <f>IF(AE972="T2G","no charge",IF(AND(OR(PlanterYesMe="No",PlanterYesMe="N",PlanterYesMe="me"),H972=""),"",IF(H972="credit","NO install",IF(AND(K972="",AE972="me"),"EACH row",IF(AND(K972="images",AE972="me"),"EACH row",IF(D972="","",IF(H972="credit","",IF(AE972="free","re-planting",IF(AE972="me","   not ELP, by",IF(AND(OR(PlanterYesMe="Yes",PlanterYesMe="Y"),G972&gt;0),(VLOOKUP(A972,'Discount Lookup'!J:K,2)*G972*(1-PlanterDiscount)*(1+PlanterDifficultyPercentage)),IF(AE972="ELP",(VLOOKUP(A972,'Discount Lookup'!J:K,2)*G972*(1-PlanterDiscount)*(1+PlanterDifficultyPercentage)),IF(AE972="free","re-planting",IF(G972=0,"",IF(PlanterYesMe="",IF(AE972="me","   not ELP, by",IF(AE972="",IF(G972&gt;0,(VLOOKUP(A972,'Discount Lookup'!J:K,2)*G972*(1-PlanterDiscount)*(1+PlanterDifficultyPercentage)),""),"")),"   not ELP, by"))))))))))))))</f>
        <v/>
      </c>
      <c r="AD972" s="712"/>
      <c r="AE972" s="513" t="str">
        <f t="shared" si="673"/>
        <v/>
      </c>
      <c r="AF972" s="713" t="str">
        <f t="shared" si="674"/>
        <v/>
      </c>
      <c r="AG972" s="713"/>
      <c r="AH972" s="713"/>
      <c r="AI972" s="112">
        <f>IF(H972="credit",0,IF(AE972="free",0,IF(AE972="me",0,IF(G972&gt;0,(VLOOKUP(A972,'Discount Lookup'!J:K,2)*G972),0))))</f>
        <v>0</v>
      </c>
      <c r="AJ972" s="107" t="str">
        <f t="shared" ca="1" si="675"/>
        <v/>
      </c>
      <c r="AK972" s="714" t="str">
        <f t="shared" si="676"/>
        <v/>
      </c>
      <c r="AL972" s="714"/>
      <c r="AM972" s="114" t="str">
        <f t="shared" si="677"/>
        <v/>
      </c>
      <c r="AN972" s="115"/>
      <c r="AO972" s="116"/>
      <c r="AP972" s="116"/>
      <c r="AQ972" s="116"/>
      <c r="AR972" s="116"/>
      <c r="AS972" s="116"/>
      <c r="AT972" s="116"/>
      <c r="AU972" s="116"/>
      <c r="AV972" s="78"/>
      <c r="AW972" s="102"/>
      <c r="AX972" s="78"/>
      <c r="AY972" s="78"/>
      <c r="AZ972" s="78"/>
      <c r="BA972" s="78"/>
      <c r="BB972" s="78"/>
      <c r="BC972" s="78"/>
      <c r="BD972" s="78"/>
      <c r="BE972" s="465"/>
      <c r="BF972" s="165" t="str">
        <f t="shared" si="678"/>
        <v>https://www.google.com/search?tbm=isch&amp;q=15%20G4</v>
      </c>
      <c r="BG972" s="165" t="str">
        <f t="shared" si="679"/>
        <v>C</v>
      </c>
      <c r="BH972" s="65"/>
      <c r="BI972" s="65"/>
      <c r="BJ972" s="65"/>
      <c r="BK972" s="65"/>
      <c r="BL972" s="99"/>
      <c r="BM972" s="99"/>
      <c r="BN972" s="99"/>
    </row>
    <row r="973" spans="1:66" s="51" customFormat="1" ht="17.25" thickBot="1" x14ac:dyDescent="0.3">
      <c r="A973" s="704" t="s">
        <v>5374</v>
      </c>
      <c r="B973" s="642"/>
      <c r="C973" s="710"/>
      <c r="D973" s="643"/>
      <c r="E973" s="643"/>
      <c r="F973" s="644"/>
      <c r="G973" s="645"/>
      <c r="H973" s="646"/>
      <c r="I973" s="647"/>
      <c r="J973" s="648"/>
      <c r="K973" s="649"/>
      <c r="L973" s="650"/>
      <c r="M973" s="650"/>
      <c r="N973" s="644"/>
      <c r="O973" s="644"/>
      <c r="P973" s="644"/>
      <c r="Q973" s="644"/>
      <c r="R973" s="644"/>
      <c r="S973" s="701" t="s">
        <v>5273</v>
      </c>
      <c r="T973" s="102">
        <f t="shared" si="667"/>
        <v>0</v>
      </c>
      <c r="U973" s="78" t="str">
        <f>IF(NOT(ISNUMBER(G973)), "", VLOOKUP(A973,'Discount Lookup'!D:E,2,FALSE)*G973)</f>
        <v/>
      </c>
      <c r="V973" s="78" t="str">
        <f>IF(NOT(ISNUMBER(G973)), "", VLOOKUP(A973,'Discount Lookup'!G:H,2,FALSE)*G973)</f>
        <v/>
      </c>
      <c r="W973" s="102">
        <f t="shared" si="668"/>
        <v>0</v>
      </c>
      <c r="X973" s="102">
        <f t="shared" si="669"/>
        <v>0</v>
      </c>
      <c r="Y973" s="120" t="b">
        <f t="shared" si="670"/>
        <v>0</v>
      </c>
      <c r="Z973" s="117">
        <f t="shared" si="671"/>
        <v>0</v>
      </c>
      <c r="AA973" s="118"/>
      <c r="AB973" s="118" t="str">
        <f t="shared" si="672"/>
        <v/>
      </c>
      <c r="AC973" s="712" t="str">
        <f>IF(AE973="T2G","no charge",IF(AND(OR(PlanterYesMe="No",PlanterYesMe="N",PlanterYesMe="me"),H973=""),"",IF(H973="credit","NO install",IF(AND(K973="",AE973="me"),"EACH row",IF(AND(K973="images",AE973="me"),"EACH row",IF(D973="","",IF(H973="credit","",IF(AE973="free","re-planting",IF(AE973="me","   not ELP, by",IF(AND(OR(PlanterYesMe="Yes",PlanterYesMe="Y"),G973&gt;0),(VLOOKUP(A973,'Discount Lookup'!J:K,2)*G973*(1-PlanterDiscount)*(1+PlanterDifficultyPercentage)),IF(AE973="ELP",(VLOOKUP(A973,'Discount Lookup'!J:K,2)*G973*(1-PlanterDiscount)*(1+PlanterDifficultyPercentage)),IF(AE973="free","re-planting",IF(G973=0,"",IF(PlanterYesMe="",IF(AE973="me","   not ELP, by",IF(AE973="",IF(G973&gt;0,(VLOOKUP(A973,'Discount Lookup'!J:K,2)*G973*(1-PlanterDiscount)*(1+PlanterDifficultyPercentage)),""),"")),"   not ELP, by"))))))))))))))</f>
        <v/>
      </c>
      <c r="AD973" s="712"/>
      <c r="AE973" s="513" t="str">
        <f t="shared" si="673"/>
        <v/>
      </c>
      <c r="AF973" s="713" t="str">
        <f t="shared" si="674"/>
        <v/>
      </c>
      <c r="AG973" s="713"/>
      <c r="AH973" s="713"/>
      <c r="AI973" s="112">
        <f>IF(H973="credit",0,IF(AE973="free",0,IF(AE973="me",0,IF(G973&gt;0,(VLOOKUP(A973,'Discount Lookup'!J:K,2)*G973),0))))</f>
        <v>0</v>
      </c>
      <c r="AJ973" s="107" t="str">
        <f t="shared" ca="1" si="675"/>
        <v/>
      </c>
      <c r="AK973" s="714" t="str">
        <f t="shared" si="676"/>
        <v/>
      </c>
      <c r="AL973" s="714"/>
      <c r="AM973" s="114" t="str">
        <f t="shared" si="677"/>
        <v/>
      </c>
      <c r="AN973" s="115"/>
      <c r="AO973" s="116"/>
      <c r="AP973" s="116"/>
      <c r="AQ973" s="116"/>
      <c r="AR973" s="116"/>
      <c r="AS973" s="116"/>
      <c r="AT973" s="116"/>
      <c r="AU973" s="116"/>
      <c r="AV973" s="78"/>
      <c r="AW973" s="102"/>
      <c r="AX973" s="78"/>
      <c r="AY973" s="78"/>
      <c r="AZ973" s="78"/>
      <c r="BA973" s="78"/>
      <c r="BB973" s="78"/>
      <c r="BC973" s="78"/>
      <c r="BD973" s="78"/>
      <c r="BE973" s="465"/>
      <c r="BF973" s="165" t="str">
        <f t="shared" si="678"/>
        <v>https://www.google.com/search?tbm=isch&amp;q=moist%20sites%F0%9F%92%A7GOOD%2C%20Forest%20Pansy%20foliage%20emerges%20Red-Purple%2C%20then%20turns%20shades%20of%20Orange-Bronze-Red-Purple%20in%20fall%20</v>
      </c>
      <c r="BG973" s="165" t="str">
        <f t="shared" si="679"/>
        <v>m</v>
      </c>
      <c r="BH973" s="65"/>
      <c r="BI973" s="65"/>
      <c r="BJ973" s="65"/>
      <c r="BK973" s="65"/>
      <c r="BL973" s="99"/>
      <c r="BM973" s="99"/>
      <c r="BN973" s="99"/>
    </row>
    <row r="974" spans="1:66" s="51" customFormat="1" ht="18" x14ac:dyDescent="0.25">
      <c r="A974" s="623" t="s">
        <v>2033</v>
      </c>
      <c r="B974" s="624"/>
      <c r="C974" s="709"/>
      <c r="D974" s="625" t="s">
        <v>2034</v>
      </c>
      <c r="E974" s="626"/>
      <c r="F974" s="626"/>
      <c r="G974" s="626"/>
      <c r="H974" s="622" t="s">
        <v>1174</v>
      </c>
      <c r="I974" s="627" t="s">
        <v>1083</v>
      </c>
      <c r="J974" s="628"/>
      <c r="K974" s="628"/>
      <c r="L974" s="629"/>
      <c r="M974" s="700" t="s">
        <v>5249</v>
      </c>
      <c r="N974" s="693" t="str">
        <f>IF(AND(ISTEXT($A974), ISERROR($A974+0)), HYPERLINK($BF974, "Images"), "")</f>
        <v>Images</v>
      </c>
      <c r="O974" s="695" t="s">
        <v>5247</v>
      </c>
      <c r="P974" s="630"/>
      <c r="Q974" s="631"/>
      <c r="R974" s="632"/>
      <c r="S974" s="633" t="s">
        <v>294</v>
      </c>
      <c r="T974" s="102">
        <f t="shared" si="667"/>
        <v>0</v>
      </c>
      <c r="U974" s="78" t="str">
        <f>IF(NOT(ISNUMBER(G974)), "", VLOOKUP(A974,'Discount Lookup'!D:E,2,FALSE)*G974)</f>
        <v/>
      </c>
      <c r="V974" s="78" t="str">
        <f>IF(NOT(ISNUMBER(G974)), "", VLOOKUP(A974,'Discount Lookup'!G:H,2,FALSE)*G974)</f>
        <v/>
      </c>
      <c r="W974" s="102">
        <f t="shared" si="668"/>
        <v>0</v>
      </c>
      <c r="X974" s="102" t="str">
        <f t="shared" si="669"/>
        <v>Lavender-Pink bloom</v>
      </c>
      <c r="Y974" s="120" t="b">
        <f t="shared" si="670"/>
        <v>0</v>
      </c>
      <c r="Z974" s="117">
        <f t="shared" si="671"/>
        <v>0</v>
      </c>
      <c r="AA974" s="118"/>
      <c r="AB974" s="118" t="str">
        <f t="shared" si="672"/>
        <v/>
      </c>
      <c r="AC974" s="712" t="str">
        <f>IF(AE974="T2G","no charge",IF(AND(OR(PlanterYesMe="No",PlanterYesMe="N",PlanterYesMe="me"),H974=""),"",IF(H974="credit","NO install",IF(AND(K974="",AE974="me"),"EACH row",IF(AND(K974="images",AE974="me"),"EACH row",IF(D974="","",IF(H974="credit","",IF(AE974="free","re-planting",IF(AE974="me","   not ELP, by",IF(AND(OR(PlanterYesMe="Yes",PlanterYesMe="Y"),G974&gt;0),(VLOOKUP(A974,'Discount Lookup'!J:K,2)*G974*(1-PlanterDiscount)*(1+PlanterDifficultyPercentage)),IF(AE974="ELP",(VLOOKUP(A974,'Discount Lookup'!J:K,2)*G974*(1-PlanterDiscount)*(1+PlanterDifficultyPercentage)),IF(AE974="free","re-planting",IF(G974=0,"",IF(PlanterYesMe="",IF(AE974="me","   not ELP, by",IF(AE974="",IF(G974&gt;0,(VLOOKUP(A974,'Discount Lookup'!J:K,2)*G974*(1-PlanterDiscount)*(1+PlanterDifficultyPercentage)),""),"")),"   not ELP, by"))))))))))))))</f>
        <v/>
      </c>
      <c r="AD974" s="712"/>
      <c r="AE974" s="513" t="str">
        <f t="shared" si="673"/>
        <v/>
      </c>
      <c r="AF974" s="713" t="str">
        <f t="shared" si="674"/>
        <v/>
      </c>
      <c r="AG974" s="713"/>
      <c r="AH974" s="713"/>
      <c r="AI974" s="112">
        <f>IF(H974="credit",0,IF(AE974="free",0,IF(AE974="me",0,IF(G974&gt;0,(VLOOKUP(A974,'Discount Lookup'!J:K,2)*G974),0))))</f>
        <v>0</v>
      </c>
      <c r="AJ974" s="107" t="str">
        <f t="shared" ca="1" si="675"/>
        <v/>
      </c>
      <c r="AK974" s="714" t="str">
        <f t="shared" si="676"/>
        <v/>
      </c>
      <c r="AL974" s="714"/>
      <c r="AM974" s="114" t="str">
        <f t="shared" si="677"/>
        <v/>
      </c>
      <c r="AN974" s="115"/>
      <c r="AO974" s="116"/>
      <c r="AP974" s="116"/>
      <c r="AQ974" s="116"/>
      <c r="AR974" s="116"/>
      <c r="AS974" s="116"/>
      <c r="AT974" s="116"/>
      <c r="AU974" s="116"/>
      <c r="AV974" s="78"/>
      <c r="AW974" s="102"/>
      <c r="AX974" s="78"/>
      <c r="AY974" s="78"/>
      <c r="AZ974" s="78"/>
      <c r="BA974" s="78"/>
      <c r="BB974" s="78"/>
      <c r="BC974" s="78"/>
      <c r="BD974" s="78"/>
      <c r="BE974" s="465"/>
      <c r="BF974" s="165" t="str">
        <f t="shared" si="678"/>
        <v>https://www.google.com/search?tbm=isch&amp;q=Cercis%20canadensis%20%27Hearts%20of%20Gold%27%20PP%2317740%20Hearts%20of%20Gold%20Eastern%20Redbud</v>
      </c>
      <c r="BG974" s="165" t="str">
        <f t="shared" si="679"/>
        <v>C</v>
      </c>
      <c r="BH974" s="65"/>
      <c r="BI974" s="65"/>
      <c r="BJ974" s="65"/>
      <c r="BK974" s="65"/>
      <c r="BL974" s="99"/>
      <c r="BM974" s="99"/>
      <c r="BN974" s="99"/>
    </row>
    <row r="975" spans="1:66" s="51" customFormat="1" ht="15.75" x14ac:dyDescent="0.25">
      <c r="A975" s="634">
        <v>7</v>
      </c>
      <c r="B975" s="635" t="s">
        <v>291</v>
      </c>
      <c r="C975" s="636" t="s">
        <v>2035</v>
      </c>
      <c r="D975" s="637" t="s">
        <v>299</v>
      </c>
      <c r="E975" s="638">
        <v>104.95</v>
      </c>
      <c r="F975" s="639" t="s">
        <v>292</v>
      </c>
      <c r="G975" s="484">
        <v>0</v>
      </c>
      <c r="H975" s="691" t="str">
        <f>IF(G975=0,"",IF(F975="Buy",IF(G975=1,"plant","plants"),IF(F975&gt;0.01,"warranty","Error")))</f>
        <v/>
      </c>
      <c r="I975" s="640">
        <f>IF(H975="free",0,IF(H975="credit",((E975*(F975))*G975*-1),IF(F975="Buy",(E975*G975),((E975*(1-F975))*G975))))</f>
        <v>0</v>
      </c>
      <c r="J975" s="640">
        <f>IF(H975="warranty",0,(I975*(_xlfn.SINGLE(SalesTaxPercentage))))</f>
        <v>0</v>
      </c>
      <c r="K975" s="716">
        <f t="shared" ref="K975" si="715">I975+J975</f>
        <v>0</v>
      </c>
      <c r="L975" s="716"/>
      <c r="M975" s="689" t="str">
        <f ca="1">IF(AND(G975&gt;0,E975=0),"WARNING - no PRICE inserted",IF(H975="free","FREE ~ no charge this plant",IF(H975="credit",CONCATENATE("-$",ROUND(K975*(1-_xlfn.SINGLE(T2GDiscount))*-1,2)," CREDIT after discount"),IF(_xlfn.SINGLE(T2GDiscount)=0,"",IF(G975=0,"",IF(F975="Buy",CONCATENATE("$",ROUND(K975*(1-_xlfn.SINGLE(T2GDiscount)),2)," with ",(_xlfn.SINGLE(T2GDiscount)*100),"% discount"),CONCATENATE("$",ROUND(K975*(1-_xlfn.SINGLE(T2GDiscount)),2)," with ",((_xlfn.SINGLE(T2GDiscount)*100+F975*100)-(_xlfn.SINGLE(T2GDiscount)*100*F975)),IF(F975&gt;0,"% discounts",IF(_xlfn.SINGLE(NoWarrantyDiscount)&gt;0,"% discounts","% discount")))))))))</f>
        <v/>
      </c>
      <c r="N975" s="690"/>
      <c r="O975" s="486"/>
      <c r="P975" s="486"/>
      <c r="Q975" s="486"/>
      <c r="R975" s="486"/>
      <c r="S975" s="486"/>
      <c r="T975" s="102">
        <f t="shared" si="667"/>
        <v>0</v>
      </c>
      <c r="U975" s="78">
        <f>IF(NOT(ISNUMBER(G975)), "", VLOOKUP(A975,'Discount Lookup'!D:E,2,FALSE)*G975)</f>
        <v>0</v>
      </c>
      <c r="V975" s="78">
        <f>IF(NOT(ISNUMBER(G975)), "", VLOOKUP(A975,'Discount Lookup'!G:H,2,FALSE)*G975)</f>
        <v>0</v>
      </c>
      <c r="W975" s="102">
        <f t="shared" si="668"/>
        <v>0</v>
      </c>
      <c r="X975" s="102">
        <f t="shared" si="669"/>
        <v>0</v>
      </c>
      <c r="Y975" s="120" t="b">
        <f t="shared" si="670"/>
        <v>0</v>
      </c>
      <c r="Z975" s="117">
        <f t="shared" si="671"/>
        <v>0</v>
      </c>
      <c r="AA975" s="118"/>
      <c r="AB975" s="118" t="str">
        <f t="shared" si="672"/>
        <v/>
      </c>
      <c r="AC975" s="712" t="str">
        <f>IF(AE975="T2G","no charge",IF(AND(OR(PlanterYesMe="No",PlanterYesMe="N",PlanterYesMe="me"),H975=""),"",IF(H975="credit","NO install",IF(AND(K975="",AE975="me"),"EACH row",IF(AND(K975="images",AE975="me"),"EACH row",IF(D975="","",IF(H975="credit","",IF(AE975="free","re-planting",IF(AE975="me","   not ELP, by",IF(AND(OR(PlanterYesMe="Yes",PlanterYesMe="Y"),G975&gt;0),(VLOOKUP(A975,'Discount Lookup'!J:K,2)*G975*(1-PlanterDiscount)*(1+PlanterDifficultyPercentage)),IF(AE975="ELP",(VLOOKUP(A975,'Discount Lookup'!J:K,2)*G975*(1-PlanterDiscount)*(1+PlanterDifficultyPercentage)),IF(AE975="free","re-planting",IF(G975=0,"",IF(PlanterYesMe="",IF(AE975="me","   not ELP, by",IF(AE975="",IF(G975&gt;0,(VLOOKUP(A975,'Discount Lookup'!J:K,2)*G975*(1-PlanterDiscount)*(1+PlanterDifficultyPercentage)),""),"")),"   not ELP, by"))))))))))))))</f>
        <v/>
      </c>
      <c r="AD975" s="712"/>
      <c r="AE975" s="513" t="str">
        <f t="shared" si="673"/>
        <v/>
      </c>
      <c r="AF975" s="713" t="str">
        <f t="shared" si="674"/>
        <v/>
      </c>
      <c r="AG975" s="713"/>
      <c r="AH975" s="713"/>
      <c r="AI975" s="112">
        <f>IF(H975="credit",0,IF(AE975="free",0,IF(AE975="me",0,IF(G975&gt;0,(VLOOKUP(A975,'Discount Lookup'!J:K,2)*G975),0))))</f>
        <v>0</v>
      </c>
      <c r="AJ975" s="107" t="str">
        <f t="shared" ca="1" si="675"/>
        <v/>
      </c>
      <c r="AK975" s="714" t="str">
        <f t="shared" si="676"/>
        <v/>
      </c>
      <c r="AL975" s="714"/>
      <c r="AM975" s="114" t="str">
        <f t="shared" si="677"/>
        <v/>
      </c>
      <c r="AN975" s="115"/>
      <c r="AO975" s="116"/>
      <c r="AP975" s="116"/>
      <c r="AQ975" s="116"/>
      <c r="AR975" s="116"/>
      <c r="AS975" s="116"/>
      <c r="AT975" s="116"/>
      <c r="AU975" s="116"/>
      <c r="AV975" s="78"/>
      <c r="AW975" s="102"/>
      <c r="AX975" s="78"/>
      <c r="AY975" s="78"/>
      <c r="AZ975" s="78"/>
      <c r="BA975" s="78"/>
      <c r="BB975" s="78"/>
      <c r="BC975" s="78"/>
      <c r="BD975" s="78"/>
      <c r="BE975" s="465"/>
      <c r="BF975" s="165" t="str">
        <f t="shared" si="678"/>
        <v>https://www.google.com/search?tbm=isch&amp;q=7%20G4</v>
      </c>
      <c r="BG975" s="165" t="str">
        <f t="shared" si="679"/>
        <v>C</v>
      </c>
      <c r="BH975" s="65"/>
      <c r="BI975" s="65"/>
      <c r="BJ975" s="65"/>
      <c r="BK975" s="65"/>
      <c r="BL975" s="99"/>
      <c r="BM975" s="99"/>
      <c r="BN975" s="99"/>
    </row>
    <row r="976" spans="1:66" s="51" customFormat="1" ht="17.25" thickBot="1" x14ac:dyDescent="0.3">
      <c r="A976" s="641" t="s">
        <v>2036</v>
      </c>
      <c r="B976" s="642"/>
      <c r="C976" s="710"/>
      <c r="D976" s="643"/>
      <c r="E976" s="643"/>
      <c r="F976" s="644"/>
      <c r="G976" s="645"/>
      <c r="H976" s="646"/>
      <c r="I976" s="647"/>
      <c r="J976" s="648"/>
      <c r="K976" s="649"/>
      <c r="L976" s="650"/>
      <c r="M976" s="650"/>
      <c r="N976" s="644"/>
      <c r="O976" s="644"/>
      <c r="P976" s="644"/>
      <c r="Q976" s="644"/>
      <c r="R976" s="644"/>
      <c r="S976" s="701" t="s">
        <v>5262</v>
      </c>
      <c r="T976" s="102">
        <f t="shared" si="667"/>
        <v>0</v>
      </c>
      <c r="U976" s="78" t="str">
        <f>IF(NOT(ISNUMBER(G976)), "", VLOOKUP(A976,'Discount Lookup'!D:E,2,FALSE)*G976)</f>
        <v/>
      </c>
      <c r="V976" s="78" t="str">
        <f>IF(NOT(ISNUMBER(G976)), "", VLOOKUP(A976,'Discount Lookup'!G:H,2,FALSE)*G976)</f>
        <v/>
      </c>
      <c r="W976" s="102">
        <f t="shared" si="668"/>
        <v>0</v>
      </c>
      <c r="X976" s="102">
        <f t="shared" si="669"/>
        <v>0</v>
      </c>
      <c r="Y976" s="120" t="b">
        <f t="shared" si="670"/>
        <v>0</v>
      </c>
      <c r="Z976" s="117">
        <f t="shared" si="671"/>
        <v>0</v>
      </c>
      <c r="AA976" s="118"/>
      <c r="AB976" s="118" t="str">
        <f t="shared" si="672"/>
        <v/>
      </c>
      <c r="AC976" s="712" t="str">
        <f>IF(AE976="T2G","no charge",IF(AND(OR(PlanterYesMe="No",PlanterYesMe="N",PlanterYesMe="me"),H976=""),"",IF(H976="credit","NO install",IF(AND(K976="",AE976="me"),"EACH row",IF(AND(K976="images",AE976="me"),"EACH row",IF(D976="","",IF(H976="credit","",IF(AE976="free","re-planting",IF(AE976="me","   not ELP, by",IF(AND(OR(PlanterYesMe="Yes",PlanterYesMe="Y"),G976&gt;0),(VLOOKUP(A976,'Discount Lookup'!J:K,2)*G976*(1-PlanterDiscount)*(1+PlanterDifficultyPercentage)),IF(AE976="ELP",(VLOOKUP(A976,'Discount Lookup'!J:K,2)*G976*(1-PlanterDiscount)*(1+PlanterDifficultyPercentage)),IF(AE976="free","re-planting",IF(G976=0,"",IF(PlanterYesMe="",IF(AE976="me","   not ELP, by",IF(AE976="",IF(G976&gt;0,(VLOOKUP(A976,'Discount Lookup'!J:K,2)*G976*(1-PlanterDiscount)*(1+PlanterDifficultyPercentage)),""),"")),"   not ELP, by"))))))))))))))</f>
        <v/>
      </c>
      <c r="AD976" s="712"/>
      <c r="AE976" s="513" t="str">
        <f t="shared" si="673"/>
        <v/>
      </c>
      <c r="AF976" s="713" t="str">
        <f t="shared" si="674"/>
        <v/>
      </c>
      <c r="AG976" s="713"/>
      <c r="AH976" s="713"/>
      <c r="AI976" s="112">
        <f>IF(H976="credit",0,IF(AE976="free",0,IF(AE976="me",0,IF(G976&gt;0,(VLOOKUP(A976,'Discount Lookup'!J:K,2)*G976),0))))</f>
        <v>0</v>
      </c>
      <c r="AJ976" s="107" t="str">
        <f t="shared" ca="1" si="675"/>
        <v/>
      </c>
      <c r="AK976" s="714" t="str">
        <f t="shared" si="676"/>
        <v/>
      </c>
      <c r="AL976" s="714"/>
      <c r="AM976" s="114" t="str">
        <f t="shared" si="677"/>
        <v/>
      </c>
      <c r="AN976" s="115"/>
      <c r="AO976" s="116"/>
      <c r="AP976" s="116"/>
      <c r="AQ976" s="116"/>
      <c r="AR976" s="116"/>
      <c r="AS976" s="116"/>
      <c r="AT976" s="116"/>
      <c r="AU976" s="116"/>
      <c r="AV976" s="78"/>
      <c r="AW976" s="102"/>
      <c r="AX976" s="78"/>
      <c r="AY976" s="78"/>
      <c r="AZ976" s="78"/>
      <c r="BA976" s="78"/>
      <c r="BB976" s="78"/>
      <c r="BC976" s="78"/>
      <c r="BD976" s="78"/>
      <c r="BE976" s="465"/>
      <c r="BF976" s="165" t="str">
        <f t="shared" si="678"/>
        <v>https://www.google.com/search?tbm=isch&amp;q=Hearts%20of%20Gold%20has%20heart-shaped%2C%20Chartreuse-Gold%20leaves%20that%20hold%20their%20color%20all%20summer.%20New%20foliage%20that%20has%20an%20Orange-Red%20tint%20</v>
      </c>
      <c r="BG976" s="165" t="str">
        <f t="shared" si="679"/>
        <v>H</v>
      </c>
      <c r="BH976" s="65"/>
      <c r="BI976" s="65"/>
      <c r="BJ976" s="65"/>
      <c r="BK976" s="65"/>
      <c r="BL976" s="99"/>
      <c r="BM976" s="99"/>
      <c r="BN976" s="99"/>
    </row>
    <row r="977" spans="1:66" s="51" customFormat="1" ht="18" x14ac:dyDescent="0.25">
      <c r="A977" s="623" t="s">
        <v>2037</v>
      </c>
      <c r="B977" s="624"/>
      <c r="C977" s="709"/>
      <c r="D977" s="625" t="s">
        <v>5624</v>
      </c>
      <c r="E977" s="626"/>
      <c r="F977" s="626"/>
      <c r="G977" s="626"/>
      <c r="H977" s="622" t="s">
        <v>1174</v>
      </c>
      <c r="I977" s="627" t="s">
        <v>2038</v>
      </c>
      <c r="J977" s="628"/>
      <c r="K977" s="628"/>
      <c r="L977" s="629"/>
      <c r="M977" s="700" t="s">
        <v>5249</v>
      </c>
      <c r="N977" s="693" t="str">
        <f>IF(AND(ISTEXT($A977), ISERROR($A977+0)), HYPERLINK($BF977, "Images"), "")</f>
        <v>Images</v>
      </c>
      <c r="O977" s="695" t="s">
        <v>5264</v>
      </c>
      <c r="P977" s="630"/>
      <c r="Q977" s="631"/>
      <c r="R977" s="632"/>
      <c r="S977" s="633" t="s">
        <v>294</v>
      </c>
      <c r="T977" s="102">
        <f t="shared" si="667"/>
        <v>0</v>
      </c>
      <c r="U977" s="78" t="str">
        <f>IF(NOT(ISNUMBER(G977)), "", VLOOKUP(A977,'Discount Lookup'!D:E,2,FALSE)*G977)</f>
        <v/>
      </c>
      <c r="V977" s="78" t="str">
        <f>IF(NOT(ISNUMBER(G977)), "", VLOOKUP(A977,'Discount Lookup'!G:H,2,FALSE)*G977)</f>
        <v/>
      </c>
      <c r="W977" s="102">
        <f t="shared" si="668"/>
        <v>0</v>
      </c>
      <c r="X977" s="102" t="str">
        <f t="shared" si="669"/>
        <v>Magenta-Pink bloom</v>
      </c>
      <c r="Y977" s="120" t="b">
        <f t="shared" si="670"/>
        <v>0</v>
      </c>
      <c r="Z977" s="117">
        <f t="shared" si="671"/>
        <v>0</v>
      </c>
      <c r="AA977" s="118"/>
      <c r="AB977" s="118" t="str">
        <f t="shared" si="672"/>
        <v/>
      </c>
      <c r="AC977" s="712" t="str">
        <f>IF(AE977="T2G","no charge",IF(AND(OR(PlanterYesMe="No",PlanterYesMe="N",PlanterYesMe="me"),H977=""),"",IF(H977="credit","NO install",IF(AND(K977="",AE977="me"),"EACH row",IF(AND(K977="images",AE977="me"),"EACH row",IF(D977="","",IF(H977="credit","",IF(AE977="free","re-planting",IF(AE977="me","   not ELP, by",IF(AND(OR(PlanterYesMe="Yes",PlanterYesMe="Y"),G977&gt;0),(VLOOKUP(A977,'Discount Lookup'!J:K,2)*G977*(1-PlanterDiscount)*(1+PlanterDifficultyPercentage)),IF(AE977="ELP",(VLOOKUP(A977,'Discount Lookup'!J:K,2)*G977*(1-PlanterDiscount)*(1+PlanterDifficultyPercentage)),IF(AE977="free","re-planting",IF(G977=0,"",IF(PlanterYesMe="",IF(AE977="me","   not ELP, by",IF(AE977="",IF(G977&gt;0,(VLOOKUP(A977,'Discount Lookup'!J:K,2)*G977*(1-PlanterDiscount)*(1+PlanterDifficultyPercentage)),""),"")),"   not ELP, by"))))))))))))))</f>
        <v/>
      </c>
      <c r="AD977" s="712"/>
      <c r="AE977" s="513" t="str">
        <f t="shared" si="673"/>
        <v/>
      </c>
      <c r="AF977" s="713" t="str">
        <f t="shared" si="674"/>
        <v/>
      </c>
      <c r="AG977" s="713"/>
      <c r="AH977" s="713"/>
      <c r="AI977" s="112">
        <f>IF(H977="credit",0,IF(AE977="free",0,IF(AE977="me",0,IF(G977&gt;0,(VLOOKUP(A977,'Discount Lookup'!J:K,2)*G977),0))))</f>
        <v>0</v>
      </c>
      <c r="AJ977" s="107" t="str">
        <f t="shared" ca="1" si="675"/>
        <v/>
      </c>
      <c r="AK977" s="714" t="str">
        <f t="shared" si="676"/>
        <v/>
      </c>
      <c r="AL977" s="714"/>
      <c r="AM977" s="114" t="str">
        <f t="shared" si="677"/>
        <v/>
      </c>
      <c r="AN977" s="115"/>
      <c r="AO977" s="116"/>
      <c r="AP977" s="116"/>
      <c r="AQ977" s="116"/>
      <c r="AR977" s="116"/>
      <c r="AS977" s="116"/>
      <c r="AT977" s="116"/>
      <c r="AU977" s="116"/>
      <c r="AV977" s="78"/>
      <c r="AW977" s="102"/>
      <c r="AX977" s="78"/>
      <c r="AY977" s="78"/>
      <c r="AZ977" s="78"/>
      <c r="BA977" s="78"/>
      <c r="BB977" s="78"/>
      <c r="BC977" s="78"/>
      <c r="BD977" s="78"/>
      <c r="BE977" s="465"/>
      <c r="BF977" s="165" t="str">
        <f t="shared" si="678"/>
        <v>https://www.google.com/search?tbm=isch&amp;q=Cercis%20canadensis%20%27JN100%27%20Hearts%20A%27fire%E2%84%A2%20Redbud</v>
      </c>
      <c r="BG977" s="165" t="str">
        <f t="shared" si="679"/>
        <v>C</v>
      </c>
      <c r="BH977" s="65"/>
      <c r="BI977" s="65"/>
      <c r="BJ977" s="65"/>
      <c r="BK977" s="65"/>
      <c r="BL977" s="99"/>
      <c r="BM977" s="99"/>
      <c r="BN977" s="99"/>
    </row>
    <row r="978" spans="1:66" s="51" customFormat="1" ht="15.75" x14ac:dyDescent="0.25">
      <c r="A978" s="634">
        <v>7</v>
      </c>
      <c r="B978" s="635" t="s">
        <v>291</v>
      </c>
      <c r="C978" s="636" t="s">
        <v>1303</v>
      </c>
      <c r="D978" s="637" t="s">
        <v>299</v>
      </c>
      <c r="E978" s="638">
        <v>125.95</v>
      </c>
      <c r="F978" s="639" t="s">
        <v>292</v>
      </c>
      <c r="G978" s="484">
        <v>0</v>
      </c>
      <c r="H978" s="691" t="str">
        <f>IF(G978=0,"",IF(F978="Buy",IF(G978=1,"plant","plants"),IF(F978&gt;0.01,"warranty","Error")))</f>
        <v/>
      </c>
      <c r="I978" s="640">
        <f>IF(H978="free",0,IF(H978="credit",((E978*(F978))*G978*-1),IF(F978="Buy",(E978*G978),((E978*(1-F978))*G978))))</f>
        <v>0</v>
      </c>
      <c r="J978" s="640">
        <f>IF(H978="warranty",0,(I978*(_xlfn.SINGLE(SalesTaxPercentage))))</f>
        <v>0</v>
      </c>
      <c r="K978" s="716">
        <f t="shared" ref="K978" si="716">I978+J978</f>
        <v>0</v>
      </c>
      <c r="L978" s="716"/>
      <c r="M978" s="689" t="str">
        <f ca="1">IF(AND(G978&gt;0,E978=0),"WARNING - no PRICE inserted",IF(H978="free","FREE ~ no charge this plant",IF(H978="credit",CONCATENATE("-$",ROUND(K978*(1-_xlfn.SINGLE(T2GDiscount))*-1,2)," CREDIT after discount"),IF(_xlfn.SINGLE(T2GDiscount)=0,"",IF(G978=0,"",IF(F978="Buy",CONCATENATE("$",ROUND(K978*(1-_xlfn.SINGLE(T2GDiscount)),2)," with ",(_xlfn.SINGLE(T2GDiscount)*100),"% discount"),CONCATENATE("$",ROUND(K978*(1-_xlfn.SINGLE(T2GDiscount)),2)," with ",((_xlfn.SINGLE(T2GDiscount)*100+F978*100)-(_xlfn.SINGLE(T2GDiscount)*100*F978)),IF(F978&gt;0,"% discounts",IF(_xlfn.SINGLE(NoWarrantyDiscount)&gt;0,"% discounts","% discount")))))))))</f>
        <v/>
      </c>
      <c r="N978" s="690"/>
      <c r="O978" s="486"/>
      <c r="P978" s="486"/>
      <c r="Q978" s="486"/>
      <c r="R978" s="486"/>
      <c r="S978" s="486"/>
      <c r="T978" s="102">
        <f t="shared" si="667"/>
        <v>0</v>
      </c>
      <c r="U978" s="78">
        <f>IF(NOT(ISNUMBER(G978)), "", VLOOKUP(A978,'Discount Lookup'!D:E,2,FALSE)*G978)</f>
        <v>0</v>
      </c>
      <c r="V978" s="78">
        <f>IF(NOT(ISNUMBER(G978)), "", VLOOKUP(A978,'Discount Lookup'!G:H,2,FALSE)*G978)</f>
        <v>0</v>
      </c>
      <c r="W978" s="102">
        <f t="shared" si="668"/>
        <v>0</v>
      </c>
      <c r="X978" s="102">
        <f t="shared" si="669"/>
        <v>0</v>
      </c>
      <c r="Y978" s="120" t="b">
        <f t="shared" si="670"/>
        <v>0</v>
      </c>
      <c r="Z978" s="117">
        <f t="shared" si="671"/>
        <v>0</v>
      </c>
      <c r="AA978" s="118"/>
      <c r="AB978" s="118" t="str">
        <f t="shared" si="672"/>
        <v/>
      </c>
      <c r="AC978" s="712" t="str">
        <f>IF(AE978="T2G","no charge",IF(AND(OR(PlanterYesMe="No",PlanterYesMe="N",PlanterYesMe="me"),H978=""),"",IF(H978="credit","NO install",IF(AND(K978="",AE978="me"),"EACH row",IF(AND(K978="images",AE978="me"),"EACH row",IF(D978="","",IF(H978="credit","",IF(AE978="free","re-planting",IF(AE978="me","   not ELP, by",IF(AND(OR(PlanterYesMe="Yes",PlanterYesMe="Y"),G978&gt;0),(VLOOKUP(A978,'Discount Lookup'!J:K,2)*G978*(1-PlanterDiscount)*(1+PlanterDifficultyPercentage)),IF(AE978="ELP",(VLOOKUP(A978,'Discount Lookup'!J:K,2)*G978*(1-PlanterDiscount)*(1+PlanterDifficultyPercentage)),IF(AE978="free","re-planting",IF(G978=0,"",IF(PlanterYesMe="",IF(AE978="me","   not ELP, by",IF(AE978="",IF(G978&gt;0,(VLOOKUP(A978,'Discount Lookup'!J:K,2)*G978*(1-PlanterDiscount)*(1+PlanterDifficultyPercentage)),""),"")),"   not ELP, by"))))))))))))))</f>
        <v/>
      </c>
      <c r="AD978" s="712"/>
      <c r="AE978" s="513" t="str">
        <f t="shared" si="673"/>
        <v/>
      </c>
      <c r="AF978" s="713" t="str">
        <f t="shared" si="674"/>
        <v/>
      </c>
      <c r="AG978" s="713"/>
      <c r="AH978" s="713"/>
      <c r="AI978" s="112">
        <f>IF(H978="credit",0,IF(AE978="free",0,IF(AE978="me",0,IF(G978&gt;0,(VLOOKUP(A978,'Discount Lookup'!J:K,2)*G978),0))))</f>
        <v>0</v>
      </c>
      <c r="AJ978" s="107" t="str">
        <f t="shared" ca="1" si="675"/>
        <v/>
      </c>
      <c r="AK978" s="714" t="str">
        <f t="shared" si="676"/>
        <v/>
      </c>
      <c r="AL978" s="714"/>
      <c r="AM978" s="114" t="str">
        <f t="shared" si="677"/>
        <v/>
      </c>
      <c r="AN978" s="115"/>
      <c r="AO978" s="116"/>
      <c r="AP978" s="116"/>
      <c r="AQ978" s="116"/>
      <c r="AR978" s="116"/>
      <c r="AS978" s="116"/>
      <c r="AT978" s="116"/>
      <c r="AU978" s="116"/>
      <c r="AV978" s="78"/>
      <c r="AW978" s="102"/>
      <c r="AX978" s="78"/>
      <c r="AY978" s="78"/>
      <c r="AZ978" s="78"/>
      <c r="BA978" s="78"/>
      <c r="BB978" s="78"/>
      <c r="BC978" s="78"/>
      <c r="BD978" s="78"/>
      <c r="BE978" s="465"/>
      <c r="BF978" s="165" t="str">
        <f t="shared" si="678"/>
        <v>https://www.google.com/search?tbm=isch&amp;q=7%20G4</v>
      </c>
      <c r="BG978" s="165" t="str">
        <f t="shared" si="679"/>
        <v>C</v>
      </c>
      <c r="BH978" s="65"/>
      <c r="BI978" s="65"/>
      <c r="BJ978" s="65"/>
      <c r="BK978" s="65"/>
      <c r="BL978" s="99"/>
      <c r="BM978" s="99"/>
      <c r="BN978" s="99"/>
    </row>
    <row r="979" spans="1:66" s="51" customFormat="1" ht="15.75" x14ac:dyDescent="0.25">
      <c r="A979" s="634">
        <v>10</v>
      </c>
      <c r="B979" s="635" t="s">
        <v>291</v>
      </c>
      <c r="C979" s="636" t="s">
        <v>2039</v>
      </c>
      <c r="D979" s="637" t="s">
        <v>299</v>
      </c>
      <c r="E979" s="638">
        <v>155.94999999999999</v>
      </c>
      <c r="F979" s="639" t="s">
        <v>292</v>
      </c>
      <c r="G979" s="484">
        <v>0</v>
      </c>
      <c r="H979" s="691" t="str">
        <f>IF(G979=0,"",IF(F979="Buy",IF(G979=1,"plant","plants"),IF(F979&gt;0.01,"warranty","Error")))</f>
        <v/>
      </c>
      <c r="I979" s="640">
        <f>IF(H979="free",0,IF(H979="credit",((E979*(F979))*G979*-1),IF(F979="Buy",(E979*G979),((E979*(1-F979))*G979))))</f>
        <v>0</v>
      </c>
      <c r="J979" s="640">
        <f>IF(H979="warranty",0,(I979*(_xlfn.SINGLE(SalesTaxPercentage))))</f>
        <v>0</v>
      </c>
      <c r="K979" s="716">
        <f t="shared" ref="K979" si="717">I979+J979</f>
        <v>0</v>
      </c>
      <c r="L979" s="716"/>
      <c r="M979" s="689" t="str">
        <f ca="1">IF(AND(G979&gt;0,E979=0),"WARNING - no PRICE inserted",IF(H979="free","FREE ~ no charge this plant",IF(H979="credit",CONCATENATE("-$",ROUND(K979*(1-_xlfn.SINGLE(T2GDiscount))*-1,2)," CREDIT after discount"),IF(_xlfn.SINGLE(T2GDiscount)=0,"",IF(G979=0,"",IF(F979="Buy",CONCATENATE("$",ROUND(K979*(1-_xlfn.SINGLE(T2GDiscount)),2)," with ",(_xlfn.SINGLE(T2GDiscount)*100),"% discount"),CONCATENATE("$",ROUND(K979*(1-_xlfn.SINGLE(T2GDiscount)),2)," with ",((_xlfn.SINGLE(T2GDiscount)*100+F979*100)-(_xlfn.SINGLE(T2GDiscount)*100*F979)),IF(F979&gt;0,"% discounts",IF(_xlfn.SINGLE(NoWarrantyDiscount)&gt;0,"% discounts","% discount")))))))))</f>
        <v/>
      </c>
      <c r="N979" s="690"/>
      <c r="O979" s="486"/>
      <c r="P979" s="486"/>
      <c r="Q979" s="486"/>
      <c r="R979" s="486"/>
      <c r="S979" s="486"/>
      <c r="T979" s="102">
        <f t="shared" si="667"/>
        <v>0</v>
      </c>
      <c r="U979" s="78">
        <f>IF(NOT(ISNUMBER(G979)), "", VLOOKUP(A979,'Discount Lookup'!D:E,2,FALSE)*G979)</f>
        <v>0</v>
      </c>
      <c r="V979" s="78">
        <f>IF(NOT(ISNUMBER(G979)), "", VLOOKUP(A979,'Discount Lookup'!G:H,2,FALSE)*G979)</f>
        <v>0</v>
      </c>
      <c r="W979" s="102">
        <f t="shared" si="668"/>
        <v>0</v>
      </c>
      <c r="X979" s="102">
        <f t="shared" si="669"/>
        <v>0</v>
      </c>
      <c r="Y979" s="120" t="b">
        <f t="shared" si="670"/>
        <v>0</v>
      </c>
      <c r="Z979" s="117">
        <f t="shared" si="671"/>
        <v>0</v>
      </c>
      <c r="AA979" s="118"/>
      <c r="AB979" s="118" t="str">
        <f t="shared" si="672"/>
        <v/>
      </c>
      <c r="AC979" s="712" t="str">
        <f>IF(AE979="T2G","no charge",IF(AND(OR(PlanterYesMe="No",PlanterYesMe="N",PlanterYesMe="me"),H979=""),"",IF(H979="credit","NO install",IF(AND(K979="",AE979="me"),"EACH row",IF(AND(K979="images",AE979="me"),"EACH row",IF(D979="","",IF(H979="credit","",IF(AE979="free","re-planting",IF(AE979="me","   not ELP, by",IF(AND(OR(PlanterYesMe="Yes",PlanterYesMe="Y"),G979&gt;0),(VLOOKUP(A979,'Discount Lookup'!J:K,2)*G979*(1-PlanterDiscount)*(1+PlanterDifficultyPercentage)),IF(AE979="ELP",(VLOOKUP(A979,'Discount Lookup'!J:K,2)*G979*(1-PlanterDiscount)*(1+PlanterDifficultyPercentage)),IF(AE979="free","re-planting",IF(G979=0,"",IF(PlanterYesMe="",IF(AE979="me","   not ELP, by",IF(AE979="",IF(G979&gt;0,(VLOOKUP(A979,'Discount Lookup'!J:K,2)*G979*(1-PlanterDiscount)*(1+PlanterDifficultyPercentage)),""),"")),"   not ELP, by"))))))))))))))</f>
        <v/>
      </c>
      <c r="AD979" s="712"/>
      <c r="AE979" s="513" t="str">
        <f t="shared" si="673"/>
        <v/>
      </c>
      <c r="AF979" s="713" t="str">
        <f t="shared" si="674"/>
        <v/>
      </c>
      <c r="AG979" s="713"/>
      <c r="AH979" s="713"/>
      <c r="AI979" s="112">
        <f>IF(H979="credit",0,IF(AE979="free",0,IF(AE979="me",0,IF(G979&gt;0,(VLOOKUP(A979,'Discount Lookup'!J:K,2)*G979),0))))</f>
        <v>0</v>
      </c>
      <c r="AJ979" s="107" t="str">
        <f t="shared" ca="1" si="675"/>
        <v/>
      </c>
      <c r="AK979" s="714" t="str">
        <f t="shared" si="676"/>
        <v/>
      </c>
      <c r="AL979" s="714"/>
      <c r="AM979" s="114" t="str">
        <f t="shared" si="677"/>
        <v/>
      </c>
      <c r="AN979" s="115"/>
      <c r="AO979" s="116"/>
      <c r="AP979" s="116"/>
      <c r="AQ979" s="116"/>
      <c r="AR979" s="116"/>
      <c r="AS979" s="116"/>
      <c r="AT979" s="116"/>
      <c r="AU979" s="116"/>
      <c r="AV979" s="78"/>
      <c r="AW979" s="102"/>
      <c r="AX979" s="78"/>
      <c r="AY979" s="78"/>
      <c r="AZ979" s="78"/>
      <c r="BA979" s="78"/>
      <c r="BB979" s="78"/>
      <c r="BC979" s="78"/>
      <c r="BD979" s="78"/>
      <c r="BE979" s="465"/>
      <c r="BF979" s="165" t="str">
        <f t="shared" si="678"/>
        <v>https://www.google.com/search?tbm=isch&amp;q=10%20G4</v>
      </c>
      <c r="BG979" s="165" t="str">
        <f t="shared" si="679"/>
        <v>C</v>
      </c>
      <c r="BH979" s="65"/>
      <c r="BI979" s="65"/>
      <c r="BJ979" s="65"/>
      <c r="BK979" s="65"/>
      <c r="BL979" s="99"/>
      <c r="BM979" s="99"/>
      <c r="BN979" s="99"/>
    </row>
    <row r="980" spans="1:66" s="51" customFormat="1" ht="15.75" x14ac:dyDescent="0.25">
      <c r="A980" s="634">
        <v>15</v>
      </c>
      <c r="B980" s="635" t="s">
        <v>291</v>
      </c>
      <c r="C980" s="636" t="s">
        <v>2040</v>
      </c>
      <c r="D980" s="637" t="s">
        <v>299</v>
      </c>
      <c r="E980" s="638">
        <v>196.95</v>
      </c>
      <c r="F980" s="639" t="s">
        <v>292</v>
      </c>
      <c r="G980" s="484">
        <v>0</v>
      </c>
      <c r="H980" s="691" t="str">
        <f>IF(G980=0,"",IF(F980="Buy",IF(G980=1,"plant","plants"),IF(F980&gt;0.01,"warranty","Error")))</f>
        <v/>
      </c>
      <c r="I980" s="640">
        <f>IF(H980="free",0,IF(H980="credit",((E980*(F980))*G980*-1),IF(F980="Buy",(E980*G980),((E980*(1-F980))*G980))))</f>
        <v>0</v>
      </c>
      <c r="J980" s="640">
        <f>IF(H980="warranty",0,(I980*(_xlfn.SINGLE(SalesTaxPercentage))))</f>
        <v>0</v>
      </c>
      <c r="K980" s="716">
        <f t="shared" ref="K980" si="718">I980+J980</f>
        <v>0</v>
      </c>
      <c r="L980" s="716"/>
      <c r="M980" s="689" t="str">
        <f ca="1">IF(AND(G980&gt;0,E980=0),"WARNING - no PRICE inserted",IF(H980="free","FREE ~ no charge this plant",IF(H980="credit",CONCATENATE("-$",ROUND(K980*(1-_xlfn.SINGLE(T2GDiscount))*-1,2)," CREDIT after discount"),IF(_xlfn.SINGLE(T2GDiscount)=0,"",IF(G980=0,"",IF(F980="Buy",CONCATENATE("$",ROUND(K980*(1-_xlfn.SINGLE(T2GDiscount)),2)," with ",(_xlfn.SINGLE(T2GDiscount)*100),"% discount"),CONCATENATE("$",ROUND(K980*(1-_xlfn.SINGLE(T2GDiscount)),2)," with ",((_xlfn.SINGLE(T2GDiscount)*100+F980*100)-(_xlfn.SINGLE(T2GDiscount)*100*F980)),IF(F980&gt;0,"% discounts",IF(_xlfn.SINGLE(NoWarrantyDiscount)&gt;0,"% discounts","% discount")))))))))</f>
        <v/>
      </c>
      <c r="N980" s="690"/>
      <c r="O980" s="486"/>
      <c r="P980" s="486"/>
      <c r="Q980" s="486"/>
      <c r="R980" s="486"/>
      <c r="S980" s="486"/>
      <c r="T980" s="102">
        <f t="shared" ref="T980:T1043" si="719">E980*G980</f>
        <v>0</v>
      </c>
      <c r="U980" s="78">
        <f>IF(NOT(ISNUMBER(G980)), "", VLOOKUP(A980,'Discount Lookup'!D:E,2,FALSE)*G980)</f>
        <v>0</v>
      </c>
      <c r="V980" s="78">
        <f>IF(NOT(ISNUMBER(G980)), "", VLOOKUP(A980,'Discount Lookup'!G:H,2,FALSE)*G980)</f>
        <v>0</v>
      </c>
      <c r="W980" s="102">
        <f t="shared" ref="W980:W1043" si="720">IF(H980="credit",0,E980*(SalesTaxPercentage)*G980)</f>
        <v>0</v>
      </c>
      <c r="X980" s="102">
        <f t="shared" ref="X980:X1043" si="721">I980</f>
        <v>0</v>
      </c>
      <c r="Y980" s="120" t="b">
        <f t="shared" ref="Y980:Y1043" si="722">IF(AE980="T2G",0,IF(H980="credit",0,IF(G980&gt;0,IF(AE980="me","",G980))))</f>
        <v>0</v>
      </c>
      <c r="Z980" s="117">
        <f t="shared" ref="Z980:Z1043" si="723">IF(H980="credit",G980,0)</f>
        <v>0</v>
      </c>
      <c r="AA980" s="118"/>
      <c r="AB980" s="118" t="str">
        <f t="shared" ref="AB980:AB1043" si="724">IF(AE980="T2G","by Trees2Go",IF(H980="credit","CREDIT only ~",IF(AND(K980="",AE980=OR(PlanterYesMe="No",PlanterYesMe="N",PlanterYesMe="me")),"not THIS line⇨",IF(AND(K980="images",AE980="me"),"not THIS line⇨",IF(H980="credit","",IF(G980=0,"",IF(AE980="me","",IF(OR(PlanterYesMe="No",PlanterYesMe="N",PlanterYesMe="me"),"",IF(AE980="free","warranty",IF(OR(PlanterYesMe="yes",PlanterYesMe="y"),"Edison install:","to install:"))))))))))</f>
        <v/>
      </c>
      <c r="AC980" s="712" t="str">
        <f>IF(AE980="T2G","no charge",IF(AND(OR(PlanterYesMe="No",PlanterYesMe="N",PlanterYesMe="me"),H980=""),"",IF(H980="credit","NO install",IF(AND(K980="",AE980="me"),"EACH row",IF(AND(K980="images",AE980="me"),"EACH row",IF(D980="","",IF(H980="credit","",IF(AE980="free","re-planting",IF(AE980="me","   not ELP, by",IF(AND(OR(PlanterYesMe="Yes",PlanterYesMe="Y"),G980&gt;0),(VLOOKUP(A980,'Discount Lookup'!J:K,2)*G980*(1-PlanterDiscount)*(1+PlanterDifficultyPercentage)),IF(AE980="ELP",(VLOOKUP(A980,'Discount Lookup'!J:K,2)*G980*(1-PlanterDiscount)*(1+PlanterDifficultyPercentage)),IF(AE980="free","re-planting",IF(G980=0,"",IF(PlanterYesMe="",IF(AE980="me","   not ELP, by",IF(AE980="",IF(G980&gt;0,(VLOOKUP(A980,'Discount Lookup'!J:K,2)*G980*(1-PlanterDiscount)*(1+PlanterDifficultyPercentage)),""),"")),"   not ELP, by"))))))))))))))</f>
        <v/>
      </c>
      <c r="AD980" s="712"/>
      <c r="AE980" s="513" t="str">
        <f t="shared" ref="AE980:AE1043" si="725">IF(H980="credit","",IF(G980=0,"",IF(OR(PlanterYesMe="No",PlanterYesMe="N",PlanterYesMe="me"),"me",IF(H980="warranty","free",IF(OR(PlanterYesMe="yes",PlanterYesMe="y"),"ELP","")))))</f>
        <v/>
      </c>
      <c r="AF980" s="713" t="str">
        <f t="shared" ref="AF980:AF1043" si="726">IF(OR(PlanterYesMe="No",PlanterYesMe="N",PlanterYesMe="me"),"",IF(H980="credit","",IF(G980&gt;0,(CONCATENATE((G980)," quantity, ",(A980)," ",B980)),"")))</f>
        <v/>
      </c>
      <c r="AG980" s="713"/>
      <c r="AH980" s="713"/>
      <c r="AI980" s="112">
        <f>IF(H980="credit",0,IF(AE980="free",0,IF(AE980="me",0,IF(G980&gt;0,(VLOOKUP(A980,'Discount Lookup'!J:K,2)*G980),0))))</f>
        <v>0</v>
      </c>
      <c r="AJ980" s="107" t="str">
        <f t="shared" ref="AJ980:AJ1043" ca="1" si="727">IF(AND(ISREF(H980),H980="credit"),"",IF(AND(AND(OFFSET(G980,0,0)=0,OFFSET(G980,1,0)&gt;0,ISNUMBER(OFFSET(AC980,1,0)),OFFSET(AC980,1,0)&gt;0),OR(PlanterYesMe="yes",PlanterYesMe="y")),"T2G+ELP=",IF(AND(OFFSET(G980,0,0)=0,OFFSET(G980,1,0)&gt;0,ISNUMBER(OFFSET(AC980,1,0)),OFFSET(AC980,1,0)&gt;0),"if T2G+ELP=",IF(AND(OFFSET(G980,0,0)=0,OFFSET(G980,1,0)&gt;0),"T2G Subtotal",IF(H980="credit","",IF(G980=0,"",IF(AE980="free",(K980*(1-T2GDiscount)),IF(OR(PlanterYesMe="No",PlanterYesMe="N",PlanterYesMe="me"),(K980*(1-T2GDiscount)),IF(OR(AE980="me",AE980="T2G"),(K980*(1-T2GDiscount)),(K980*(1-T2GDiscount))+AC980)))))))))</f>
        <v/>
      </c>
      <c r="AK980" s="714" t="str">
        <f t="shared" ref="AK980:AK1043" si="728">IF(H980="credit","",IF(G980=0,"",IF(OR(AE980="me",AE980="T2G"),"  delivery-only",IF(OR(PlanterYesMe="No",PlanterYesMe="N",PlanterYesMe="me"),"  delivery-only",CONCATENATE(" $",ROUND(AJ980/G980,2)," each")))))</f>
        <v/>
      </c>
      <c r="AL980" s="714"/>
      <c r="AM980" s="114" t="str">
        <f t="shared" ref="AM980:AM1043" si="729">IF(H980="credit","",IF(AE980="free","      ~ discounts included, no tax or planting fee applies ~",IF(G980=0,"",IF(OR(PlanterYesMe="No",PlanterYesMe="N",PlanterYesMe="me"),CONCATENATE(" $",ROUND(AJ980/G980,2)," per plant, with tax &amp; discount"),IF(OR(AE980="me",AE980="T2G"),CONCATENATE(" $",ROUND(AJ980/G980,2)," per plant, with tax &amp; discount"),CONCATENATE("= $",ROUND((K980*(1-T2GDiscount))/G980,2)," per plant + $",AC980/G980,(" per planting      ~ includes tax &amp; discounts ~")))))))</f>
        <v/>
      </c>
      <c r="AN980" s="115"/>
      <c r="AO980" s="116"/>
      <c r="AP980" s="116"/>
      <c r="AQ980" s="116"/>
      <c r="AR980" s="116"/>
      <c r="AS980" s="116"/>
      <c r="AT980" s="116"/>
      <c r="AU980" s="116"/>
      <c r="AV980" s="78"/>
      <c r="AW980" s="102"/>
      <c r="AX980" s="78"/>
      <c r="AY980" s="78"/>
      <c r="AZ980" s="78"/>
      <c r="BA980" s="78"/>
      <c r="BB980" s="78"/>
      <c r="BC980" s="78"/>
      <c r="BD980" s="78"/>
      <c r="BE980" s="465"/>
      <c r="BF980" s="165" t="str">
        <f t="shared" ref="BF980:BF1043" si="730">"https://www.google.com/search?tbm=isch&amp;q=" &amp; _xlfn.ENCODEURL($A980 &amp; " " &amp; $D980)</f>
        <v>https://www.google.com/search?tbm=isch&amp;q=15%20G4</v>
      </c>
      <c r="BG980" s="165" t="str">
        <f t="shared" ref="BG980:BG1043" si="731">IF(ISTEXT(A980),LEFT(A980,1),BG979)</f>
        <v>C</v>
      </c>
      <c r="BH980" s="65"/>
      <c r="BI980" s="65"/>
      <c r="BJ980" s="65"/>
      <c r="BK980" s="65"/>
      <c r="BL980" s="99"/>
      <c r="BM980" s="99"/>
      <c r="BN980" s="99"/>
    </row>
    <row r="981" spans="1:66" s="51" customFormat="1" ht="17.25" thickBot="1" x14ac:dyDescent="0.3">
      <c r="A981" s="641" t="s">
        <v>4693</v>
      </c>
      <c r="B981" s="642"/>
      <c r="C981" s="710"/>
      <c r="D981" s="643"/>
      <c r="E981" s="643"/>
      <c r="F981" s="644"/>
      <c r="G981" s="645"/>
      <c r="H981" s="646"/>
      <c r="I981" s="647"/>
      <c r="J981" s="648"/>
      <c r="K981" s="649"/>
      <c r="L981" s="650"/>
      <c r="M981" s="650"/>
      <c r="N981" s="644"/>
      <c r="O981" s="644"/>
      <c r="P981" s="644"/>
      <c r="Q981" s="644"/>
      <c r="R981" s="644"/>
      <c r="S981" s="701" t="s">
        <v>5273</v>
      </c>
      <c r="T981" s="102">
        <f t="shared" si="719"/>
        <v>0</v>
      </c>
      <c r="U981" s="78" t="str">
        <f>IF(NOT(ISNUMBER(G981)), "", VLOOKUP(A981,'Discount Lookup'!D:E,2,FALSE)*G981)</f>
        <v/>
      </c>
      <c r="V981" s="78" t="str">
        <f>IF(NOT(ISNUMBER(G981)), "", VLOOKUP(A981,'Discount Lookup'!G:H,2,FALSE)*G981)</f>
        <v/>
      </c>
      <c r="W981" s="102">
        <f t="shared" si="720"/>
        <v>0</v>
      </c>
      <c r="X981" s="102">
        <f t="shared" si="721"/>
        <v>0</v>
      </c>
      <c r="Y981" s="120" t="b">
        <f t="shared" si="722"/>
        <v>0</v>
      </c>
      <c r="Z981" s="117">
        <f t="shared" si="723"/>
        <v>0</v>
      </c>
      <c r="AA981" s="118"/>
      <c r="AB981" s="118" t="str">
        <f t="shared" si="724"/>
        <v/>
      </c>
      <c r="AC981" s="712" t="str">
        <f>IF(AE981="T2G","no charge",IF(AND(OR(PlanterYesMe="No",PlanterYesMe="N",PlanterYesMe="me"),H981=""),"",IF(H981="credit","NO install",IF(AND(K981="",AE981="me"),"EACH row",IF(AND(K981="images",AE981="me"),"EACH row",IF(D981="","",IF(H981="credit","",IF(AE981="free","re-planting",IF(AE981="me","   not ELP, by",IF(AND(OR(PlanterYesMe="Yes",PlanterYesMe="Y"),G981&gt;0),(VLOOKUP(A981,'Discount Lookup'!J:K,2)*G981*(1-PlanterDiscount)*(1+PlanterDifficultyPercentage)),IF(AE981="ELP",(VLOOKUP(A981,'Discount Lookup'!J:K,2)*G981*(1-PlanterDiscount)*(1+PlanterDifficultyPercentage)),IF(AE981="free","re-planting",IF(G981=0,"",IF(PlanterYesMe="",IF(AE981="me","   not ELP, by",IF(AE981="",IF(G981&gt;0,(VLOOKUP(A981,'Discount Lookup'!J:K,2)*G981*(1-PlanterDiscount)*(1+PlanterDifficultyPercentage)),""),"")),"   not ELP, by"))))))))))))))</f>
        <v/>
      </c>
      <c r="AD981" s="712"/>
      <c r="AE981" s="513" t="str">
        <f t="shared" si="725"/>
        <v/>
      </c>
      <c r="AF981" s="713" t="str">
        <f t="shared" si="726"/>
        <v/>
      </c>
      <c r="AG981" s="713"/>
      <c r="AH981" s="713"/>
      <c r="AI981" s="112">
        <f>IF(H981="credit",0,IF(AE981="free",0,IF(AE981="me",0,IF(G981&gt;0,(VLOOKUP(A981,'Discount Lookup'!J:K,2)*G981),0))))</f>
        <v>0</v>
      </c>
      <c r="AJ981" s="107" t="str">
        <f t="shared" ca="1" si="727"/>
        <v/>
      </c>
      <c r="AK981" s="714" t="str">
        <f t="shared" si="728"/>
        <v/>
      </c>
      <c r="AL981" s="714"/>
      <c r="AM981" s="114" t="str">
        <f t="shared" si="729"/>
        <v/>
      </c>
      <c r="AN981" s="115"/>
      <c r="AO981" s="116"/>
      <c r="AP981" s="116"/>
      <c r="AQ981" s="116"/>
      <c r="AR981" s="116"/>
      <c r="AS981" s="116"/>
      <c r="AT981" s="116"/>
      <c r="AU981" s="116"/>
      <c r="AV981" s="78"/>
      <c r="AW981" s="102"/>
      <c r="AX981" s="78"/>
      <c r="AY981" s="78"/>
      <c r="AZ981" s="78"/>
      <c r="BA981" s="78"/>
      <c r="BB981" s="78"/>
      <c r="BC981" s="78"/>
      <c r="BD981" s="78"/>
      <c r="BE981" s="465"/>
      <c r="BF981" s="165" t="str">
        <f t="shared" si="730"/>
        <v>https://www.google.com/search?tbm=isch&amp;q=Hearts%20A%27fire%20Redbud%20foliage%20that%20emerges%20a%20Deep%20Red%20and%20retains%20its%20vibrant%20color%20throughout%20the%20summer%20</v>
      </c>
      <c r="BG981" s="165" t="str">
        <f t="shared" si="731"/>
        <v>H</v>
      </c>
      <c r="BH981" s="65"/>
      <c r="BI981" s="65"/>
      <c r="BJ981" s="65"/>
      <c r="BK981" s="65"/>
      <c r="BL981" s="99"/>
      <c r="BM981" s="99"/>
      <c r="BN981" s="99"/>
    </row>
    <row r="982" spans="1:66" s="51" customFormat="1" ht="18" x14ac:dyDescent="0.25">
      <c r="A982" s="623" t="s">
        <v>2041</v>
      </c>
      <c r="B982" s="624"/>
      <c r="C982" s="709"/>
      <c r="D982" s="625" t="s">
        <v>5625</v>
      </c>
      <c r="E982" s="626"/>
      <c r="F982" s="626"/>
      <c r="G982" s="626"/>
      <c r="H982" s="622" t="s">
        <v>1174</v>
      </c>
      <c r="I982" s="627" t="s">
        <v>1083</v>
      </c>
      <c r="J982" s="628"/>
      <c r="K982" s="628"/>
      <c r="L982" s="629"/>
      <c r="M982" s="700" t="s">
        <v>5249</v>
      </c>
      <c r="N982" s="693" t="str">
        <f>IF(AND(ISTEXT($A982), ISERROR($A982+0)), HYPERLINK($BF982, "Images"), "")</f>
        <v>Images</v>
      </c>
      <c r="O982" s="695" t="s">
        <v>5247</v>
      </c>
      <c r="P982" s="630"/>
      <c r="Q982" s="631"/>
      <c r="R982" s="632"/>
      <c r="S982" s="633" t="s">
        <v>294</v>
      </c>
      <c r="T982" s="102">
        <f t="shared" si="719"/>
        <v>0</v>
      </c>
      <c r="U982" s="78" t="str">
        <f>IF(NOT(ISNUMBER(G982)), "", VLOOKUP(A982,'Discount Lookup'!D:E,2,FALSE)*G982)</f>
        <v/>
      </c>
      <c r="V982" s="78" t="str">
        <f>IF(NOT(ISNUMBER(G982)), "", VLOOKUP(A982,'Discount Lookup'!G:H,2,FALSE)*G982)</f>
        <v/>
      </c>
      <c r="W982" s="102">
        <f t="shared" si="720"/>
        <v>0</v>
      </c>
      <c r="X982" s="102" t="str">
        <f t="shared" si="721"/>
        <v>Lavender-Pink bloom</v>
      </c>
      <c r="Y982" s="120" t="b">
        <f t="shared" si="722"/>
        <v>0</v>
      </c>
      <c r="Z982" s="117">
        <f t="shared" si="723"/>
        <v>0</v>
      </c>
      <c r="AA982" s="118"/>
      <c r="AB982" s="118" t="str">
        <f t="shared" si="724"/>
        <v/>
      </c>
      <c r="AC982" s="712" t="str">
        <f>IF(AE982="T2G","no charge",IF(AND(OR(PlanterYesMe="No",PlanterYesMe="N",PlanterYesMe="me"),H982=""),"",IF(H982="credit","NO install",IF(AND(K982="",AE982="me"),"EACH row",IF(AND(K982="images",AE982="me"),"EACH row",IF(D982="","",IF(H982="credit","",IF(AE982="free","re-planting",IF(AE982="me","   not ELP, by",IF(AND(OR(PlanterYesMe="Yes",PlanterYesMe="Y"),G982&gt;0),(VLOOKUP(A982,'Discount Lookup'!J:K,2)*G982*(1-PlanterDiscount)*(1+PlanterDifficultyPercentage)),IF(AE982="ELP",(VLOOKUP(A982,'Discount Lookup'!J:K,2)*G982*(1-PlanterDiscount)*(1+PlanterDifficultyPercentage)),IF(AE982="free","re-planting",IF(G982=0,"",IF(PlanterYesMe="",IF(AE982="me","   not ELP, by",IF(AE982="",IF(G982&gt;0,(VLOOKUP(A982,'Discount Lookup'!J:K,2)*G982*(1-PlanterDiscount)*(1+PlanterDifficultyPercentage)),""),"")),"   not ELP, by"))))))))))))))</f>
        <v/>
      </c>
      <c r="AD982" s="712"/>
      <c r="AE982" s="513" t="str">
        <f t="shared" si="725"/>
        <v/>
      </c>
      <c r="AF982" s="713" t="str">
        <f t="shared" si="726"/>
        <v/>
      </c>
      <c r="AG982" s="713"/>
      <c r="AH982" s="713"/>
      <c r="AI982" s="112">
        <f>IF(H982="credit",0,IF(AE982="free",0,IF(AE982="me",0,IF(G982&gt;0,(VLOOKUP(A982,'Discount Lookup'!J:K,2)*G982),0))))</f>
        <v>0</v>
      </c>
      <c r="AJ982" s="107" t="str">
        <f t="shared" ca="1" si="727"/>
        <v/>
      </c>
      <c r="AK982" s="714" t="str">
        <f t="shared" si="728"/>
        <v/>
      </c>
      <c r="AL982" s="714"/>
      <c r="AM982" s="114" t="str">
        <f t="shared" si="729"/>
        <v/>
      </c>
      <c r="AN982" s="115"/>
      <c r="AO982" s="116"/>
      <c r="AP982" s="116"/>
      <c r="AQ982" s="116"/>
      <c r="AR982" s="116"/>
      <c r="AS982" s="116"/>
      <c r="AT982" s="116"/>
      <c r="AU982" s="116"/>
      <c r="AV982" s="78"/>
      <c r="AW982" s="102"/>
      <c r="AX982" s="78"/>
      <c r="AY982" s="78"/>
      <c r="AZ982" s="78"/>
      <c r="BA982" s="78"/>
      <c r="BB982" s="78"/>
      <c r="BC982" s="78"/>
      <c r="BD982" s="78"/>
      <c r="BE982" s="465"/>
      <c r="BF982" s="165" t="str">
        <f t="shared" si="730"/>
        <v>https://www.google.com/search?tbm=isch&amp;q=Cercis%20canadensis%20%27JN16%27%20PP%2328627%20Black%20Pearl%C2%AE%20Redbud</v>
      </c>
      <c r="BG982" s="165" t="str">
        <f t="shared" si="731"/>
        <v>C</v>
      </c>
      <c r="BH982" s="65"/>
      <c r="BI982" s="65"/>
      <c r="BJ982" s="65"/>
      <c r="BK982" s="65"/>
      <c r="BL982" s="99"/>
      <c r="BM982" s="99"/>
      <c r="BN982" s="99"/>
    </row>
    <row r="983" spans="1:66" s="51" customFormat="1" ht="15.75" x14ac:dyDescent="0.25">
      <c r="A983" s="634">
        <v>7</v>
      </c>
      <c r="B983" s="635" t="s">
        <v>291</v>
      </c>
      <c r="C983" s="636" t="s">
        <v>2042</v>
      </c>
      <c r="D983" s="637" t="s">
        <v>299</v>
      </c>
      <c r="E983" s="638">
        <v>109.95</v>
      </c>
      <c r="F983" s="639" t="s">
        <v>292</v>
      </c>
      <c r="G983" s="484">
        <v>0</v>
      </c>
      <c r="H983" s="691" t="str">
        <f>IF(G983=0,"",IF(F983="Buy",IF(G983=1,"plant","plants"),IF(F983&gt;0.01,"warranty","Error")))</f>
        <v/>
      </c>
      <c r="I983" s="640">
        <f>IF(H983="free",0,IF(H983="credit",((E983*(F983))*G983*-1),IF(F983="Buy",(E983*G983),((E983*(1-F983))*G983))))</f>
        <v>0</v>
      </c>
      <c r="J983" s="640">
        <f>IF(H983="warranty",0,(I983*(_xlfn.SINGLE(SalesTaxPercentage))))</f>
        <v>0</v>
      </c>
      <c r="K983" s="716">
        <f t="shared" ref="K983" si="732">I983+J983</f>
        <v>0</v>
      </c>
      <c r="L983" s="716"/>
      <c r="M983" s="689" t="str">
        <f ca="1">IF(AND(G983&gt;0,E983=0),"WARNING - no PRICE inserted",IF(H983="free","FREE ~ no charge this plant",IF(H983="credit",CONCATENATE("-$",ROUND(K983*(1-_xlfn.SINGLE(T2GDiscount))*-1,2)," CREDIT after discount"),IF(_xlfn.SINGLE(T2GDiscount)=0,"",IF(G983=0,"",IF(F983="Buy",CONCATENATE("$",ROUND(K983*(1-_xlfn.SINGLE(T2GDiscount)),2)," with ",(_xlfn.SINGLE(T2GDiscount)*100),"% discount"),CONCATENATE("$",ROUND(K983*(1-_xlfn.SINGLE(T2GDiscount)),2)," with ",((_xlfn.SINGLE(T2GDiscount)*100+F983*100)-(_xlfn.SINGLE(T2GDiscount)*100*F983)),IF(F983&gt;0,"% discounts",IF(_xlfn.SINGLE(NoWarrantyDiscount)&gt;0,"% discounts","% discount")))))))))</f>
        <v/>
      </c>
      <c r="N983" s="690"/>
      <c r="O983" s="486"/>
      <c r="P983" s="486"/>
      <c r="Q983" s="486"/>
      <c r="R983" s="486"/>
      <c r="S983" s="486"/>
      <c r="T983" s="102">
        <f t="shared" si="719"/>
        <v>0</v>
      </c>
      <c r="U983" s="78">
        <f>IF(NOT(ISNUMBER(G983)), "", VLOOKUP(A983,'Discount Lookup'!D:E,2,FALSE)*G983)</f>
        <v>0</v>
      </c>
      <c r="V983" s="78">
        <f>IF(NOT(ISNUMBER(G983)), "", VLOOKUP(A983,'Discount Lookup'!G:H,2,FALSE)*G983)</f>
        <v>0</v>
      </c>
      <c r="W983" s="102">
        <f t="shared" si="720"/>
        <v>0</v>
      </c>
      <c r="X983" s="102">
        <f t="shared" si="721"/>
        <v>0</v>
      </c>
      <c r="Y983" s="120" t="b">
        <f t="shared" si="722"/>
        <v>0</v>
      </c>
      <c r="Z983" s="117">
        <f t="shared" si="723"/>
        <v>0</v>
      </c>
      <c r="AA983" s="118"/>
      <c r="AB983" s="118" t="str">
        <f t="shared" si="724"/>
        <v/>
      </c>
      <c r="AC983" s="712" t="str">
        <f>IF(AE983="T2G","no charge",IF(AND(OR(PlanterYesMe="No",PlanterYesMe="N",PlanterYesMe="me"),H983=""),"",IF(H983="credit","NO install",IF(AND(K983="",AE983="me"),"EACH row",IF(AND(K983="images",AE983="me"),"EACH row",IF(D983="","",IF(H983="credit","",IF(AE983="free","re-planting",IF(AE983="me","   not ELP, by",IF(AND(OR(PlanterYesMe="Yes",PlanterYesMe="Y"),G983&gt;0),(VLOOKUP(A983,'Discount Lookup'!J:K,2)*G983*(1-PlanterDiscount)*(1+PlanterDifficultyPercentage)),IF(AE983="ELP",(VLOOKUP(A983,'Discount Lookup'!J:K,2)*G983*(1-PlanterDiscount)*(1+PlanterDifficultyPercentage)),IF(AE983="free","re-planting",IF(G983=0,"",IF(PlanterYesMe="",IF(AE983="me","   not ELP, by",IF(AE983="",IF(G983&gt;0,(VLOOKUP(A983,'Discount Lookup'!J:K,2)*G983*(1-PlanterDiscount)*(1+PlanterDifficultyPercentage)),""),"")),"   not ELP, by"))))))))))))))</f>
        <v/>
      </c>
      <c r="AD983" s="712"/>
      <c r="AE983" s="513" t="str">
        <f t="shared" si="725"/>
        <v/>
      </c>
      <c r="AF983" s="713" t="str">
        <f t="shared" si="726"/>
        <v/>
      </c>
      <c r="AG983" s="713"/>
      <c r="AH983" s="713"/>
      <c r="AI983" s="112">
        <f>IF(H983="credit",0,IF(AE983="free",0,IF(AE983="me",0,IF(G983&gt;0,(VLOOKUP(A983,'Discount Lookup'!J:K,2)*G983),0))))</f>
        <v>0</v>
      </c>
      <c r="AJ983" s="107" t="str">
        <f t="shared" ca="1" si="727"/>
        <v/>
      </c>
      <c r="AK983" s="714" t="str">
        <f t="shared" si="728"/>
        <v/>
      </c>
      <c r="AL983" s="714"/>
      <c r="AM983" s="114" t="str">
        <f t="shared" si="729"/>
        <v/>
      </c>
      <c r="AN983" s="115"/>
      <c r="AO983" s="116"/>
      <c r="AP983" s="116"/>
      <c r="AQ983" s="116"/>
      <c r="AR983" s="116"/>
      <c r="AS983" s="116"/>
      <c r="AT983" s="116"/>
      <c r="AU983" s="116"/>
      <c r="AV983" s="78"/>
      <c r="AW983" s="102"/>
      <c r="AX983" s="78"/>
      <c r="AY983" s="78"/>
      <c r="AZ983" s="78"/>
      <c r="BA983" s="78"/>
      <c r="BB983" s="78"/>
      <c r="BC983" s="78"/>
      <c r="BD983" s="78"/>
      <c r="BE983" s="465"/>
      <c r="BF983" s="165" t="str">
        <f t="shared" si="730"/>
        <v>https://www.google.com/search?tbm=isch&amp;q=7%20G4</v>
      </c>
      <c r="BG983" s="165" t="str">
        <f t="shared" si="731"/>
        <v>C</v>
      </c>
      <c r="BH983" s="65"/>
      <c r="BI983" s="65"/>
      <c r="BJ983" s="65"/>
      <c r="BK983" s="65"/>
      <c r="BL983" s="99"/>
      <c r="BM983" s="99"/>
      <c r="BN983" s="99"/>
    </row>
    <row r="984" spans="1:66" s="51" customFormat="1" ht="15.75" x14ac:dyDescent="0.25">
      <c r="A984" s="634">
        <v>10</v>
      </c>
      <c r="B984" s="635" t="s">
        <v>291</v>
      </c>
      <c r="C984" s="636" t="s">
        <v>2043</v>
      </c>
      <c r="D984" s="637" t="s">
        <v>299</v>
      </c>
      <c r="E984" s="638">
        <v>155.94999999999999</v>
      </c>
      <c r="F984" s="639" t="s">
        <v>292</v>
      </c>
      <c r="G984" s="484">
        <v>0</v>
      </c>
      <c r="H984" s="691" t="str">
        <f>IF(G984=0,"",IF(F984="Buy",IF(G984=1,"plant","plants"),IF(F984&gt;0.01,"warranty","Error")))</f>
        <v/>
      </c>
      <c r="I984" s="640">
        <f>IF(H984="free",0,IF(H984="credit",((E984*(F984))*G984*-1),IF(F984="Buy",(E984*G984),((E984*(1-F984))*G984))))</f>
        <v>0</v>
      </c>
      <c r="J984" s="640">
        <f>IF(H984="warranty",0,(I984*(_xlfn.SINGLE(SalesTaxPercentage))))</f>
        <v>0</v>
      </c>
      <c r="K984" s="716">
        <f t="shared" ref="K984" si="733">I984+J984</f>
        <v>0</v>
      </c>
      <c r="L984" s="716"/>
      <c r="M984" s="689" t="str">
        <f ca="1">IF(AND(G984&gt;0,E984=0),"WARNING - no PRICE inserted",IF(H984="free","FREE ~ no charge this plant",IF(H984="credit",CONCATENATE("-$",ROUND(K984*(1-_xlfn.SINGLE(T2GDiscount))*-1,2)," CREDIT after discount"),IF(_xlfn.SINGLE(T2GDiscount)=0,"",IF(G984=0,"",IF(F984="Buy",CONCATENATE("$",ROUND(K984*(1-_xlfn.SINGLE(T2GDiscount)),2)," with ",(_xlfn.SINGLE(T2GDiscount)*100),"% discount"),CONCATENATE("$",ROUND(K984*(1-_xlfn.SINGLE(T2GDiscount)),2)," with ",((_xlfn.SINGLE(T2GDiscount)*100+F984*100)-(_xlfn.SINGLE(T2GDiscount)*100*F984)),IF(F984&gt;0,"% discounts",IF(_xlfn.SINGLE(NoWarrantyDiscount)&gt;0,"% discounts","% discount")))))))))</f>
        <v/>
      </c>
      <c r="N984" s="690"/>
      <c r="O984" s="486"/>
      <c r="P984" s="486"/>
      <c r="Q984" s="486"/>
      <c r="R984" s="486"/>
      <c r="S984" s="486"/>
      <c r="T984" s="102">
        <f t="shared" si="719"/>
        <v>0</v>
      </c>
      <c r="U984" s="78">
        <f>IF(NOT(ISNUMBER(G984)), "", VLOOKUP(A984,'Discount Lookup'!D:E,2,FALSE)*G984)</f>
        <v>0</v>
      </c>
      <c r="V984" s="78">
        <f>IF(NOT(ISNUMBER(G984)), "", VLOOKUP(A984,'Discount Lookup'!G:H,2,FALSE)*G984)</f>
        <v>0</v>
      </c>
      <c r="W984" s="102">
        <f t="shared" si="720"/>
        <v>0</v>
      </c>
      <c r="X984" s="102">
        <f t="shared" si="721"/>
        <v>0</v>
      </c>
      <c r="Y984" s="120" t="b">
        <f t="shared" si="722"/>
        <v>0</v>
      </c>
      <c r="Z984" s="117">
        <f t="shared" si="723"/>
        <v>0</v>
      </c>
      <c r="AA984" s="118"/>
      <c r="AB984" s="118" t="str">
        <f t="shared" si="724"/>
        <v/>
      </c>
      <c r="AC984" s="712" t="str">
        <f>IF(AE984="T2G","no charge",IF(AND(OR(PlanterYesMe="No",PlanterYesMe="N",PlanterYesMe="me"),H984=""),"",IF(H984="credit","NO install",IF(AND(K984="",AE984="me"),"EACH row",IF(AND(K984="images",AE984="me"),"EACH row",IF(D984="","",IF(H984="credit","",IF(AE984="free","re-planting",IF(AE984="me","   not ELP, by",IF(AND(OR(PlanterYesMe="Yes",PlanterYesMe="Y"),G984&gt;0),(VLOOKUP(A984,'Discount Lookup'!J:K,2)*G984*(1-PlanterDiscount)*(1+PlanterDifficultyPercentage)),IF(AE984="ELP",(VLOOKUP(A984,'Discount Lookup'!J:K,2)*G984*(1-PlanterDiscount)*(1+PlanterDifficultyPercentage)),IF(AE984="free","re-planting",IF(G984=0,"",IF(PlanterYesMe="",IF(AE984="me","   not ELP, by",IF(AE984="",IF(G984&gt;0,(VLOOKUP(A984,'Discount Lookup'!J:K,2)*G984*(1-PlanterDiscount)*(1+PlanterDifficultyPercentage)),""),"")),"   not ELP, by"))))))))))))))</f>
        <v/>
      </c>
      <c r="AD984" s="712"/>
      <c r="AE984" s="513" t="str">
        <f t="shared" si="725"/>
        <v/>
      </c>
      <c r="AF984" s="713" t="str">
        <f t="shared" si="726"/>
        <v/>
      </c>
      <c r="AG984" s="713"/>
      <c r="AH984" s="713"/>
      <c r="AI984" s="112">
        <f>IF(H984="credit",0,IF(AE984="free",0,IF(AE984="me",0,IF(G984&gt;0,(VLOOKUP(A984,'Discount Lookup'!J:K,2)*G984),0))))</f>
        <v>0</v>
      </c>
      <c r="AJ984" s="107" t="str">
        <f t="shared" ca="1" si="727"/>
        <v/>
      </c>
      <c r="AK984" s="714" t="str">
        <f t="shared" si="728"/>
        <v/>
      </c>
      <c r="AL984" s="714"/>
      <c r="AM984" s="114" t="str">
        <f t="shared" si="729"/>
        <v/>
      </c>
      <c r="AN984" s="115"/>
      <c r="AO984" s="116"/>
      <c r="AP984" s="116"/>
      <c r="AQ984" s="116"/>
      <c r="AR984" s="116"/>
      <c r="AS984" s="116"/>
      <c r="AT984" s="116"/>
      <c r="AU984" s="116"/>
      <c r="AV984" s="78"/>
      <c r="AW984" s="102"/>
      <c r="AX984" s="78"/>
      <c r="AY984" s="78"/>
      <c r="AZ984" s="78"/>
      <c r="BA984" s="78"/>
      <c r="BB984" s="78"/>
      <c r="BC984" s="78"/>
      <c r="BD984" s="78"/>
      <c r="BE984" s="465"/>
      <c r="BF984" s="165" t="str">
        <f t="shared" si="730"/>
        <v>https://www.google.com/search?tbm=isch&amp;q=10%20G4</v>
      </c>
      <c r="BG984" s="165" t="str">
        <f t="shared" si="731"/>
        <v>C</v>
      </c>
      <c r="BH984" s="65"/>
      <c r="BI984" s="65"/>
      <c r="BJ984" s="65"/>
      <c r="BK984" s="65"/>
      <c r="BL984" s="99"/>
      <c r="BM984" s="99"/>
      <c r="BN984" s="99"/>
    </row>
    <row r="985" spans="1:66" s="51" customFormat="1" ht="17.25" thickBot="1" x14ac:dyDescent="0.3">
      <c r="A985" s="641" t="s">
        <v>4694</v>
      </c>
      <c r="B985" s="642"/>
      <c r="C985" s="710"/>
      <c r="D985" s="643"/>
      <c r="E985" s="643"/>
      <c r="F985" s="644"/>
      <c r="G985" s="645"/>
      <c r="H985" s="646"/>
      <c r="I985" s="647"/>
      <c r="J985" s="648"/>
      <c r="K985" s="649"/>
      <c r="L985" s="650"/>
      <c r="M985" s="650"/>
      <c r="N985" s="644"/>
      <c r="O985" s="644"/>
      <c r="P985" s="644"/>
      <c r="Q985" s="644"/>
      <c r="R985" s="644"/>
      <c r="S985" s="701" t="s">
        <v>5262</v>
      </c>
      <c r="T985" s="102">
        <f t="shared" si="719"/>
        <v>0</v>
      </c>
      <c r="U985" s="78" t="str">
        <f>IF(NOT(ISNUMBER(G985)), "", VLOOKUP(A985,'Discount Lookup'!D:E,2,FALSE)*G985)</f>
        <v/>
      </c>
      <c r="V985" s="78" t="str">
        <f>IF(NOT(ISNUMBER(G985)), "", VLOOKUP(A985,'Discount Lookup'!G:H,2,FALSE)*G985)</f>
        <v/>
      </c>
      <c r="W985" s="102">
        <f t="shared" si="720"/>
        <v>0</v>
      </c>
      <c r="X985" s="102">
        <f t="shared" si="721"/>
        <v>0</v>
      </c>
      <c r="Y985" s="120" t="b">
        <f t="shared" si="722"/>
        <v>0</v>
      </c>
      <c r="Z985" s="117">
        <f t="shared" si="723"/>
        <v>0</v>
      </c>
      <c r="AA985" s="118"/>
      <c r="AB985" s="118" t="str">
        <f t="shared" si="724"/>
        <v/>
      </c>
      <c r="AC985" s="712" t="str">
        <f>IF(AE985="T2G","no charge",IF(AND(OR(PlanterYesMe="No",PlanterYesMe="N",PlanterYesMe="me"),H985=""),"",IF(H985="credit","NO install",IF(AND(K985="",AE985="me"),"EACH row",IF(AND(K985="images",AE985="me"),"EACH row",IF(D985="","",IF(H985="credit","",IF(AE985="free","re-planting",IF(AE985="me","   not ELP, by",IF(AND(OR(PlanterYesMe="Yes",PlanterYesMe="Y"),G985&gt;0),(VLOOKUP(A985,'Discount Lookup'!J:K,2)*G985*(1-PlanterDiscount)*(1+PlanterDifficultyPercentage)),IF(AE985="ELP",(VLOOKUP(A985,'Discount Lookup'!J:K,2)*G985*(1-PlanterDiscount)*(1+PlanterDifficultyPercentage)),IF(AE985="free","re-planting",IF(G985=0,"",IF(PlanterYesMe="",IF(AE985="me","   not ELP, by",IF(AE985="",IF(G985&gt;0,(VLOOKUP(A985,'Discount Lookup'!J:K,2)*G985*(1-PlanterDiscount)*(1+PlanterDifficultyPercentage)),""),"")),"   not ELP, by"))))))))))))))</f>
        <v/>
      </c>
      <c r="AD985" s="712"/>
      <c r="AE985" s="513" t="str">
        <f t="shared" si="725"/>
        <v/>
      </c>
      <c r="AF985" s="713" t="str">
        <f t="shared" si="726"/>
        <v/>
      </c>
      <c r="AG985" s="713"/>
      <c r="AH985" s="713"/>
      <c r="AI985" s="112">
        <f>IF(H985="credit",0,IF(AE985="free",0,IF(AE985="me",0,IF(G985&gt;0,(VLOOKUP(A985,'Discount Lookup'!J:K,2)*G985),0))))</f>
        <v>0</v>
      </c>
      <c r="AJ985" s="107" t="str">
        <f t="shared" ca="1" si="727"/>
        <v/>
      </c>
      <c r="AK985" s="714" t="str">
        <f t="shared" si="728"/>
        <v/>
      </c>
      <c r="AL985" s="714"/>
      <c r="AM985" s="114" t="str">
        <f t="shared" si="729"/>
        <v/>
      </c>
      <c r="AN985" s="115"/>
      <c r="AO985" s="116"/>
      <c r="AP985" s="116"/>
      <c r="AQ985" s="116"/>
      <c r="AR985" s="116"/>
      <c r="AS985" s="116"/>
      <c r="AT985" s="116"/>
      <c r="AU985" s="116"/>
      <c r="AV985" s="78"/>
      <c r="AW985" s="102"/>
      <c r="AX985" s="78"/>
      <c r="AY985" s="78"/>
      <c r="AZ985" s="78"/>
      <c r="BA985" s="78"/>
      <c r="BB985" s="78"/>
      <c r="BC985" s="78"/>
      <c r="BD985" s="78"/>
      <c r="BE985" s="465"/>
      <c r="BF985" s="165" t="str">
        <f t="shared" si="730"/>
        <v>https://www.google.com/search?tbm=isch&amp;q=Black%20Pearl%20known%20for%20it%27s%20exceptionally%20dark%20foliage%2C%20that%20holds%20it%27s%20color%20well%20through%20the%20growing%20season%20</v>
      </c>
      <c r="BG985" s="165" t="str">
        <f t="shared" si="731"/>
        <v>B</v>
      </c>
      <c r="BH985" s="65"/>
      <c r="BI985" s="65"/>
      <c r="BJ985" s="65"/>
      <c r="BK985" s="65"/>
      <c r="BL985" s="99"/>
      <c r="BM985" s="99"/>
      <c r="BN985" s="99"/>
    </row>
    <row r="986" spans="1:66" s="51" customFormat="1" ht="18" x14ac:dyDescent="0.25">
      <c r="A986" s="623" t="s">
        <v>4695</v>
      </c>
      <c r="B986" s="624"/>
      <c r="C986" s="709"/>
      <c r="D986" s="625" t="s">
        <v>5626</v>
      </c>
      <c r="E986" s="626"/>
      <c r="F986" s="626"/>
      <c r="G986" s="626"/>
      <c r="H986" s="622" t="s">
        <v>330</v>
      </c>
      <c r="I986" s="627" t="s">
        <v>4696</v>
      </c>
      <c r="J986" s="628"/>
      <c r="K986" s="628"/>
      <c r="L986" s="629"/>
      <c r="M986" s="700" t="s">
        <v>5249</v>
      </c>
      <c r="N986" s="693" t="str">
        <f>IF(AND(ISTEXT($A986), ISERROR($A986+0)), HYPERLINK($BF986, "Images"), "")</f>
        <v>Images</v>
      </c>
      <c r="O986" s="695" t="s">
        <v>5264</v>
      </c>
      <c r="P986" s="630"/>
      <c r="Q986" s="631"/>
      <c r="R986" s="632"/>
      <c r="S986" s="633" t="s">
        <v>294</v>
      </c>
      <c r="T986" s="102">
        <f t="shared" si="719"/>
        <v>0</v>
      </c>
      <c r="U986" s="78" t="str">
        <f>IF(NOT(ISNUMBER(G986)), "", VLOOKUP(A986,'Discount Lookup'!D:E,2,FALSE)*G986)</f>
        <v/>
      </c>
      <c r="V986" s="78" t="str">
        <f>IF(NOT(ISNUMBER(G986)), "", VLOOKUP(A986,'Discount Lookup'!G:H,2,FALSE)*G986)</f>
        <v/>
      </c>
      <c r="W986" s="102">
        <f t="shared" si="720"/>
        <v>0</v>
      </c>
      <c r="X986" s="102" t="str">
        <f t="shared" si="721"/>
        <v>Rosy-Purple bloom</v>
      </c>
      <c r="Y986" s="120" t="b">
        <f t="shared" si="722"/>
        <v>0</v>
      </c>
      <c r="Z986" s="117">
        <f t="shared" si="723"/>
        <v>0</v>
      </c>
      <c r="AA986" s="118"/>
      <c r="AB986" s="118" t="str">
        <f t="shared" si="724"/>
        <v/>
      </c>
      <c r="AC986" s="712" t="str">
        <f>IF(AE986="T2G","no charge",IF(AND(OR(PlanterYesMe="No",PlanterYesMe="N",PlanterYesMe="me"),H986=""),"",IF(H986="credit","NO install",IF(AND(K986="",AE986="me"),"EACH row",IF(AND(K986="images",AE986="me"),"EACH row",IF(D986="","",IF(H986="credit","",IF(AE986="free","re-planting",IF(AE986="me","   not ELP, by",IF(AND(OR(PlanterYesMe="Yes",PlanterYesMe="Y"),G986&gt;0),(VLOOKUP(A986,'Discount Lookup'!J:K,2)*G986*(1-PlanterDiscount)*(1+PlanterDifficultyPercentage)),IF(AE986="ELP",(VLOOKUP(A986,'Discount Lookup'!J:K,2)*G986*(1-PlanterDiscount)*(1+PlanterDifficultyPercentage)),IF(AE986="free","re-planting",IF(G986=0,"",IF(PlanterYesMe="",IF(AE986="me","   not ELP, by",IF(AE986="",IF(G986&gt;0,(VLOOKUP(A986,'Discount Lookup'!J:K,2)*G986*(1-PlanterDiscount)*(1+PlanterDifficultyPercentage)),""),"")),"   not ELP, by"))))))))))))))</f>
        <v/>
      </c>
      <c r="AD986" s="712"/>
      <c r="AE986" s="513" t="str">
        <f t="shared" si="725"/>
        <v/>
      </c>
      <c r="AF986" s="713" t="str">
        <f t="shared" si="726"/>
        <v/>
      </c>
      <c r="AG986" s="713"/>
      <c r="AH986" s="713"/>
      <c r="AI986" s="112">
        <f>IF(H986="credit",0,IF(AE986="free",0,IF(AE986="me",0,IF(G986&gt;0,(VLOOKUP(A986,'Discount Lookup'!J:K,2)*G986),0))))</f>
        <v>0</v>
      </c>
      <c r="AJ986" s="107" t="str">
        <f t="shared" ca="1" si="727"/>
        <v/>
      </c>
      <c r="AK986" s="714" t="str">
        <f t="shared" si="728"/>
        <v/>
      </c>
      <c r="AL986" s="714"/>
      <c r="AM986" s="114" t="str">
        <f t="shared" si="729"/>
        <v/>
      </c>
      <c r="AN986" s="115"/>
      <c r="AO986" s="116"/>
      <c r="AP986" s="116"/>
      <c r="AQ986" s="116"/>
      <c r="AR986" s="116"/>
      <c r="AS986" s="116"/>
      <c r="AT986" s="116"/>
      <c r="AU986" s="116"/>
      <c r="AV986" s="78"/>
      <c r="AW986" s="102"/>
      <c r="AX986" s="78"/>
      <c r="AY986" s="78"/>
      <c r="AZ986" s="78"/>
      <c r="BA986" s="78"/>
      <c r="BB986" s="78"/>
      <c r="BC986" s="78"/>
      <c r="BD986" s="78"/>
      <c r="BE986" s="465"/>
      <c r="BF986" s="165" t="str">
        <f t="shared" si="730"/>
        <v>https://www.google.com/search?tbm=isch&amp;q=Cercis%20canadensis%20%27JN2%27%20PP%2321451%20The%20Rising%20Sun%E2%84%A2%20Redbud</v>
      </c>
      <c r="BG986" s="165" t="str">
        <f t="shared" si="731"/>
        <v>C</v>
      </c>
      <c r="BH986" s="65"/>
      <c r="BI986" s="65"/>
      <c r="BJ986" s="65"/>
      <c r="BK986" s="65"/>
      <c r="BL986" s="99"/>
      <c r="BM986" s="99"/>
      <c r="BN986" s="99"/>
    </row>
    <row r="987" spans="1:66" s="51" customFormat="1" ht="15.75" x14ac:dyDescent="0.25">
      <c r="A987" s="634">
        <v>7</v>
      </c>
      <c r="B987" s="635" t="s">
        <v>291</v>
      </c>
      <c r="C987" s="636" t="s">
        <v>4697</v>
      </c>
      <c r="D987" s="637" t="s">
        <v>299</v>
      </c>
      <c r="E987" s="638">
        <v>111.95</v>
      </c>
      <c r="F987" s="639" t="s">
        <v>292</v>
      </c>
      <c r="G987" s="484">
        <v>0</v>
      </c>
      <c r="H987" s="691" t="str">
        <f>IF(G987=0,"",IF(F987="Buy",IF(G987=1,"plant","plants"),IF(F987&gt;0.01,"warranty","Error")))</f>
        <v/>
      </c>
      <c r="I987" s="640">
        <f>IF(H987="free",0,IF(H987="credit",((E987*(F987))*G987*-1),IF(F987="Buy",(E987*G987),((E987*(1-F987))*G987))))</f>
        <v>0</v>
      </c>
      <c r="J987" s="640">
        <f>IF(H987="warranty",0,(I987*(_xlfn.SINGLE(SalesTaxPercentage))))</f>
        <v>0</v>
      </c>
      <c r="K987" s="716">
        <f t="shared" ref="K987" si="734">I987+J987</f>
        <v>0</v>
      </c>
      <c r="L987" s="716"/>
      <c r="M987" s="689" t="str">
        <f ca="1">IF(AND(G987&gt;0,E987=0),"WARNING - no PRICE inserted",IF(H987="free","FREE ~ no charge this plant",IF(H987="credit",CONCATENATE("-$",ROUND(K987*(1-_xlfn.SINGLE(T2GDiscount))*-1,2)," CREDIT after discount"),IF(_xlfn.SINGLE(T2GDiscount)=0,"",IF(G987=0,"",IF(F987="Buy",CONCATENATE("$",ROUND(K987*(1-_xlfn.SINGLE(T2GDiscount)),2)," with ",(_xlfn.SINGLE(T2GDiscount)*100),"% discount"),CONCATENATE("$",ROUND(K987*(1-_xlfn.SINGLE(T2GDiscount)),2)," with ",((_xlfn.SINGLE(T2GDiscount)*100+F987*100)-(_xlfn.SINGLE(T2GDiscount)*100*F987)),IF(F987&gt;0,"% discounts",IF(_xlfn.SINGLE(NoWarrantyDiscount)&gt;0,"% discounts","% discount")))))))))</f>
        <v/>
      </c>
      <c r="N987" s="690"/>
      <c r="O987" s="486"/>
      <c r="P987" s="486"/>
      <c r="Q987" s="486"/>
      <c r="R987" s="486"/>
      <c r="S987" s="486"/>
      <c r="T987" s="102">
        <f t="shared" si="719"/>
        <v>0</v>
      </c>
      <c r="U987" s="78">
        <f>IF(NOT(ISNUMBER(G987)), "", VLOOKUP(A987,'Discount Lookup'!D:E,2,FALSE)*G987)</f>
        <v>0</v>
      </c>
      <c r="V987" s="78">
        <f>IF(NOT(ISNUMBER(G987)), "", VLOOKUP(A987,'Discount Lookup'!G:H,2,FALSE)*G987)</f>
        <v>0</v>
      </c>
      <c r="W987" s="102">
        <f t="shared" si="720"/>
        <v>0</v>
      </c>
      <c r="X987" s="102">
        <f t="shared" si="721"/>
        <v>0</v>
      </c>
      <c r="Y987" s="120" t="b">
        <f t="shared" si="722"/>
        <v>0</v>
      </c>
      <c r="Z987" s="117">
        <f t="shared" si="723"/>
        <v>0</v>
      </c>
      <c r="AA987" s="118"/>
      <c r="AB987" s="118" t="str">
        <f t="shared" si="724"/>
        <v/>
      </c>
      <c r="AC987" s="712" t="str">
        <f>IF(AE987="T2G","no charge",IF(AND(OR(PlanterYesMe="No",PlanterYesMe="N",PlanterYesMe="me"),H987=""),"",IF(H987="credit","NO install",IF(AND(K987="",AE987="me"),"EACH row",IF(AND(K987="images",AE987="me"),"EACH row",IF(D987="","",IF(H987="credit","",IF(AE987="free","re-planting",IF(AE987="me","   not ELP, by",IF(AND(OR(PlanterYesMe="Yes",PlanterYesMe="Y"),G987&gt;0),(VLOOKUP(A987,'Discount Lookup'!J:K,2)*G987*(1-PlanterDiscount)*(1+PlanterDifficultyPercentage)),IF(AE987="ELP",(VLOOKUP(A987,'Discount Lookup'!J:K,2)*G987*(1-PlanterDiscount)*(1+PlanterDifficultyPercentage)),IF(AE987="free","re-planting",IF(G987=0,"",IF(PlanterYesMe="",IF(AE987="me","   not ELP, by",IF(AE987="",IF(G987&gt;0,(VLOOKUP(A987,'Discount Lookup'!J:K,2)*G987*(1-PlanterDiscount)*(1+PlanterDifficultyPercentage)),""),"")),"   not ELP, by"))))))))))))))</f>
        <v/>
      </c>
      <c r="AD987" s="712"/>
      <c r="AE987" s="513" t="str">
        <f t="shared" si="725"/>
        <v/>
      </c>
      <c r="AF987" s="713" t="str">
        <f t="shared" si="726"/>
        <v/>
      </c>
      <c r="AG987" s="713"/>
      <c r="AH987" s="713"/>
      <c r="AI987" s="112">
        <f>IF(H987="credit",0,IF(AE987="free",0,IF(AE987="me",0,IF(G987&gt;0,(VLOOKUP(A987,'Discount Lookup'!J:K,2)*G987),0))))</f>
        <v>0</v>
      </c>
      <c r="AJ987" s="107" t="str">
        <f t="shared" ca="1" si="727"/>
        <v/>
      </c>
      <c r="AK987" s="714" t="str">
        <f t="shared" si="728"/>
        <v/>
      </c>
      <c r="AL987" s="714"/>
      <c r="AM987" s="114" t="str">
        <f t="shared" si="729"/>
        <v/>
      </c>
      <c r="AN987" s="115"/>
      <c r="AO987" s="116"/>
      <c r="AP987" s="116"/>
      <c r="AQ987" s="116"/>
      <c r="AR987" s="116"/>
      <c r="AS987" s="116"/>
      <c r="AT987" s="116"/>
      <c r="AU987" s="116"/>
      <c r="AV987" s="78"/>
      <c r="AW987" s="102"/>
      <c r="AX987" s="78"/>
      <c r="AY987" s="78"/>
      <c r="AZ987" s="78"/>
      <c r="BA987" s="78"/>
      <c r="BB987" s="78"/>
      <c r="BC987" s="78"/>
      <c r="BD987" s="78"/>
      <c r="BE987" s="465"/>
      <c r="BF987" s="165" t="str">
        <f t="shared" si="730"/>
        <v>https://www.google.com/search?tbm=isch&amp;q=7%20G4</v>
      </c>
      <c r="BG987" s="165" t="str">
        <f t="shared" si="731"/>
        <v>C</v>
      </c>
      <c r="BH987" s="65"/>
      <c r="BI987" s="65"/>
      <c r="BJ987" s="65"/>
      <c r="BK987" s="65"/>
      <c r="BL987" s="99"/>
      <c r="BM987" s="99"/>
      <c r="BN987" s="99"/>
    </row>
    <row r="988" spans="1:66" s="51" customFormat="1" ht="15.75" x14ac:dyDescent="0.25">
      <c r="A988" s="634">
        <v>10</v>
      </c>
      <c r="B988" s="635" t="s">
        <v>291</v>
      </c>
      <c r="C988" s="636" t="s">
        <v>4698</v>
      </c>
      <c r="D988" s="637" t="s">
        <v>299</v>
      </c>
      <c r="E988" s="638">
        <v>169.95</v>
      </c>
      <c r="F988" s="639" t="s">
        <v>292</v>
      </c>
      <c r="G988" s="484">
        <v>0</v>
      </c>
      <c r="H988" s="691" t="str">
        <f>IF(G988=0,"",IF(F988="Buy",IF(G988=1,"plant","plants"),IF(F988&gt;0.01,"warranty","Error")))</f>
        <v/>
      </c>
      <c r="I988" s="640">
        <f>IF(H988="free",0,IF(H988="credit",((E988*(F988))*G988*-1),IF(F988="Buy",(E988*G988),((E988*(1-F988))*G988))))</f>
        <v>0</v>
      </c>
      <c r="J988" s="640">
        <f>IF(H988="warranty",0,(I988*(_xlfn.SINGLE(SalesTaxPercentage))))</f>
        <v>0</v>
      </c>
      <c r="K988" s="716">
        <f t="shared" ref="K988" si="735">I988+J988</f>
        <v>0</v>
      </c>
      <c r="L988" s="716"/>
      <c r="M988" s="689" t="str">
        <f ca="1">IF(AND(G988&gt;0,E988=0),"WARNING - no PRICE inserted",IF(H988="free","FREE ~ no charge this plant",IF(H988="credit",CONCATENATE("-$",ROUND(K988*(1-_xlfn.SINGLE(T2GDiscount))*-1,2)," CREDIT after discount"),IF(_xlfn.SINGLE(T2GDiscount)=0,"",IF(G988=0,"",IF(F988="Buy",CONCATENATE("$",ROUND(K988*(1-_xlfn.SINGLE(T2GDiscount)),2)," with ",(_xlfn.SINGLE(T2GDiscount)*100),"% discount"),CONCATENATE("$",ROUND(K988*(1-_xlfn.SINGLE(T2GDiscount)),2)," with ",((_xlfn.SINGLE(T2GDiscount)*100+F988*100)-(_xlfn.SINGLE(T2GDiscount)*100*F988)),IF(F988&gt;0,"% discounts",IF(_xlfn.SINGLE(NoWarrantyDiscount)&gt;0,"% discounts","% discount")))))))))</f>
        <v/>
      </c>
      <c r="N988" s="690"/>
      <c r="O988" s="486"/>
      <c r="P988" s="486"/>
      <c r="Q988" s="486"/>
      <c r="R988" s="486"/>
      <c r="S988" s="486"/>
      <c r="T988" s="102">
        <f t="shared" si="719"/>
        <v>0</v>
      </c>
      <c r="U988" s="78">
        <f>IF(NOT(ISNUMBER(G988)), "", VLOOKUP(A988,'Discount Lookup'!D:E,2,FALSE)*G988)</f>
        <v>0</v>
      </c>
      <c r="V988" s="78">
        <f>IF(NOT(ISNUMBER(G988)), "", VLOOKUP(A988,'Discount Lookup'!G:H,2,FALSE)*G988)</f>
        <v>0</v>
      </c>
      <c r="W988" s="102">
        <f t="shared" si="720"/>
        <v>0</v>
      </c>
      <c r="X988" s="102">
        <f t="shared" si="721"/>
        <v>0</v>
      </c>
      <c r="Y988" s="120" t="b">
        <f t="shared" si="722"/>
        <v>0</v>
      </c>
      <c r="Z988" s="117">
        <f t="shared" si="723"/>
        <v>0</v>
      </c>
      <c r="AA988" s="118"/>
      <c r="AB988" s="118" t="str">
        <f t="shared" si="724"/>
        <v/>
      </c>
      <c r="AC988" s="712" t="str">
        <f>IF(AE988="T2G","no charge",IF(AND(OR(PlanterYesMe="No",PlanterYesMe="N",PlanterYesMe="me"),H988=""),"",IF(H988="credit","NO install",IF(AND(K988="",AE988="me"),"EACH row",IF(AND(K988="images",AE988="me"),"EACH row",IF(D988="","",IF(H988="credit","",IF(AE988="free","re-planting",IF(AE988="me","   not ELP, by",IF(AND(OR(PlanterYesMe="Yes",PlanterYesMe="Y"),G988&gt;0),(VLOOKUP(A988,'Discount Lookup'!J:K,2)*G988*(1-PlanterDiscount)*(1+PlanterDifficultyPercentage)),IF(AE988="ELP",(VLOOKUP(A988,'Discount Lookup'!J:K,2)*G988*(1-PlanterDiscount)*(1+PlanterDifficultyPercentage)),IF(AE988="free","re-planting",IF(G988=0,"",IF(PlanterYesMe="",IF(AE988="me","   not ELP, by",IF(AE988="",IF(G988&gt;0,(VLOOKUP(A988,'Discount Lookup'!J:K,2)*G988*(1-PlanterDiscount)*(1+PlanterDifficultyPercentage)),""),"")),"   not ELP, by"))))))))))))))</f>
        <v/>
      </c>
      <c r="AD988" s="712"/>
      <c r="AE988" s="513" t="str">
        <f t="shared" si="725"/>
        <v/>
      </c>
      <c r="AF988" s="713" t="str">
        <f t="shared" si="726"/>
        <v/>
      </c>
      <c r="AG988" s="713"/>
      <c r="AH988" s="713"/>
      <c r="AI988" s="112">
        <f>IF(H988="credit",0,IF(AE988="free",0,IF(AE988="me",0,IF(G988&gt;0,(VLOOKUP(A988,'Discount Lookup'!J:K,2)*G988),0))))</f>
        <v>0</v>
      </c>
      <c r="AJ988" s="107" t="str">
        <f t="shared" ca="1" si="727"/>
        <v/>
      </c>
      <c r="AK988" s="714" t="str">
        <f t="shared" si="728"/>
        <v/>
      </c>
      <c r="AL988" s="714"/>
      <c r="AM988" s="114" t="str">
        <f t="shared" si="729"/>
        <v/>
      </c>
      <c r="AN988" s="115"/>
      <c r="AO988" s="116"/>
      <c r="AP988" s="116"/>
      <c r="AQ988" s="116"/>
      <c r="AR988" s="116"/>
      <c r="AS988" s="116"/>
      <c r="AT988" s="116"/>
      <c r="AU988" s="116"/>
      <c r="AV988" s="78"/>
      <c r="AW988" s="102"/>
      <c r="AX988" s="78"/>
      <c r="AY988" s="78"/>
      <c r="AZ988" s="78"/>
      <c r="BA988" s="78"/>
      <c r="BB988" s="78"/>
      <c r="BC988" s="78"/>
      <c r="BD988" s="78"/>
      <c r="BE988" s="465"/>
      <c r="BF988" s="165" t="str">
        <f t="shared" si="730"/>
        <v>https://www.google.com/search?tbm=isch&amp;q=10%20G4</v>
      </c>
      <c r="BG988" s="165" t="str">
        <f t="shared" si="731"/>
        <v>C</v>
      </c>
      <c r="BH988" s="65"/>
      <c r="BI988" s="65"/>
      <c r="BJ988" s="65"/>
      <c r="BK988" s="65"/>
      <c r="BL988" s="99"/>
      <c r="BM988" s="99"/>
      <c r="BN988" s="99"/>
    </row>
    <row r="989" spans="1:66" s="51" customFormat="1" ht="17.25" thickBot="1" x14ac:dyDescent="0.3">
      <c r="A989" s="641" t="s">
        <v>4699</v>
      </c>
      <c r="B989" s="642"/>
      <c r="C989" s="710"/>
      <c r="D989" s="643"/>
      <c r="E989" s="643"/>
      <c r="F989" s="644"/>
      <c r="G989" s="645"/>
      <c r="H989" s="646"/>
      <c r="I989" s="647"/>
      <c r="J989" s="648"/>
      <c r="K989" s="649"/>
      <c r="L989" s="650"/>
      <c r="M989" s="650"/>
      <c r="N989" s="644"/>
      <c r="O989" s="644"/>
      <c r="P989" s="644"/>
      <c r="Q989" s="644"/>
      <c r="R989" s="644"/>
      <c r="S989" s="701" t="s">
        <v>5273</v>
      </c>
      <c r="T989" s="102">
        <f t="shared" si="719"/>
        <v>0</v>
      </c>
      <c r="U989" s="78" t="str">
        <f>IF(NOT(ISNUMBER(G989)), "", VLOOKUP(A989,'Discount Lookup'!D:E,2,FALSE)*G989)</f>
        <v/>
      </c>
      <c r="V989" s="78" t="str">
        <f>IF(NOT(ISNUMBER(G989)), "", VLOOKUP(A989,'Discount Lookup'!G:H,2,FALSE)*G989)</f>
        <v/>
      </c>
      <c r="W989" s="102">
        <f t="shared" si="720"/>
        <v>0</v>
      </c>
      <c r="X989" s="102">
        <f t="shared" si="721"/>
        <v>0</v>
      </c>
      <c r="Y989" s="120" t="b">
        <f t="shared" si="722"/>
        <v>0</v>
      </c>
      <c r="Z989" s="117">
        <f t="shared" si="723"/>
        <v>0</v>
      </c>
      <c r="AA989" s="118"/>
      <c r="AB989" s="118" t="str">
        <f t="shared" si="724"/>
        <v/>
      </c>
      <c r="AC989" s="712" t="str">
        <f>IF(AE989="T2G","no charge",IF(AND(OR(PlanterYesMe="No",PlanterYesMe="N",PlanterYesMe="me"),H989=""),"",IF(H989="credit","NO install",IF(AND(K989="",AE989="me"),"EACH row",IF(AND(K989="images",AE989="me"),"EACH row",IF(D989="","",IF(H989="credit","",IF(AE989="free","re-planting",IF(AE989="me","   not ELP, by",IF(AND(OR(PlanterYesMe="Yes",PlanterYesMe="Y"),G989&gt;0),(VLOOKUP(A989,'Discount Lookup'!J:K,2)*G989*(1-PlanterDiscount)*(1+PlanterDifficultyPercentage)),IF(AE989="ELP",(VLOOKUP(A989,'Discount Lookup'!J:K,2)*G989*(1-PlanterDiscount)*(1+PlanterDifficultyPercentage)),IF(AE989="free","re-planting",IF(G989=0,"",IF(PlanterYesMe="",IF(AE989="me","   not ELP, by",IF(AE989="",IF(G989&gt;0,(VLOOKUP(A989,'Discount Lookup'!J:K,2)*G989*(1-PlanterDiscount)*(1+PlanterDifficultyPercentage)),""),"")),"   not ELP, by"))))))))))))))</f>
        <v/>
      </c>
      <c r="AD989" s="712"/>
      <c r="AE989" s="513" t="str">
        <f t="shared" si="725"/>
        <v/>
      </c>
      <c r="AF989" s="713" t="str">
        <f t="shared" si="726"/>
        <v/>
      </c>
      <c r="AG989" s="713"/>
      <c r="AH989" s="713"/>
      <c r="AI989" s="112">
        <f>IF(H989="credit",0,IF(AE989="free",0,IF(AE989="me",0,IF(G989&gt;0,(VLOOKUP(A989,'Discount Lookup'!J:K,2)*G989),0))))</f>
        <v>0</v>
      </c>
      <c r="AJ989" s="107" t="str">
        <f t="shared" ca="1" si="727"/>
        <v/>
      </c>
      <c r="AK989" s="714" t="str">
        <f t="shared" si="728"/>
        <v/>
      </c>
      <c r="AL989" s="714"/>
      <c r="AM989" s="114" t="str">
        <f t="shared" si="729"/>
        <v/>
      </c>
      <c r="AN989" s="115"/>
      <c r="AO989" s="116"/>
      <c r="AP989" s="116"/>
      <c r="AQ989" s="116"/>
      <c r="AR989" s="116"/>
      <c r="AS989" s="116"/>
      <c r="AT989" s="116"/>
      <c r="AU989" s="116"/>
      <c r="AV989" s="78"/>
      <c r="AW989" s="102"/>
      <c r="AX989" s="78"/>
      <c r="AY989" s="78"/>
      <c r="AZ989" s="78"/>
      <c r="BA989" s="78"/>
      <c r="BB989" s="78"/>
      <c r="BC989" s="78"/>
      <c r="BD989" s="78"/>
      <c r="BE989" s="465"/>
      <c r="BF989" s="165" t="str">
        <f t="shared" si="730"/>
        <v>https://www.google.com/search?tbm=isch&amp;q=Rising%20Sun%20foliage%20is%20gold%20and%20yellow%2C%20then%20lime-green%2C%20looking%20like%20a%20sun%20on%20it%27s%20path%20across%20the%20sky%20</v>
      </c>
      <c r="BG989" s="165" t="str">
        <f t="shared" si="731"/>
        <v>R</v>
      </c>
      <c r="BH989" s="65"/>
      <c r="BI989" s="65"/>
      <c r="BJ989" s="65"/>
      <c r="BK989" s="65"/>
      <c r="BL989" s="99"/>
      <c r="BM989" s="99"/>
      <c r="BN989" s="99"/>
    </row>
    <row r="990" spans="1:66" s="51" customFormat="1" ht="18" x14ac:dyDescent="0.25">
      <c r="A990" s="623" t="s">
        <v>2044</v>
      </c>
      <c r="B990" s="624"/>
      <c r="C990" s="709"/>
      <c r="D990" s="625" t="s">
        <v>2045</v>
      </c>
      <c r="E990" s="626"/>
      <c r="F990" s="626"/>
      <c r="G990" s="626"/>
      <c r="H990" s="622" t="s">
        <v>1147</v>
      </c>
      <c r="I990" s="627" t="s">
        <v>1083</v>
      </c>
      <c r="J990" s="628"/>
      <c r="K990" s="628"/>
      <c r="L990" s="629"/>
      <c r="M990" s="700" t="s">
        <v>5249</v>
      </c>
      <c r="N990" s="693" t="str">
        <f>IF(AND(ISTEXT($A990), ISERROR($A990+0)), HYPERLINK($BF990, "Images"), "")</f>
        <v>Images</v>
      </c>
      <c r="O990" s="695" t="s">
        <v>5247</v>
      </c>
      <c r="P990" s="630"/>
      <c r="Q990" s="631"/>
      <c r="R990" s="632"/>
      <c r="S990" s="633" t="s">
        <v>294</v>
      </c>
      <c r="T990" s="102">
        <f t="shared" si="719"/>
        <v>0</v>
      </c>
      <c r="U990" s="78" t="str">
        <f>IF(NOT(ISNUMBER(G990)), "", VLOOKUP(A990,'Discount Lookup'!D:E,2,FALSE)*G990)</f>
        <v/>
      </c>
      <c r="V990" s="78" t="str">
        <f>IF(NOT(ISNUMBER(G990)), "", VLOOKUP(A990,'Discount Lookup'!G:H,2,FALSE)*G990)</f>
        <v/>
      </c>
      <c r="W990" s="102">
        <f t="shared" si="720"/>
        <v>0</v>
      </c>
      <c r="X990" s="102" t="str">
        <f t="shared" si="721"/>
        <v>Lavender-Pink bloom</v>
      </c>
      <c r="Y990" s="120" t="b">
        <f t="shared" si="722"/>
        <v>0</v>
      </c>
      <c r="Z990" s="117">
        <f t="shared" si="723"/>
        <v>0</v>
      </c>
      <c r="AA990" s="118"/>
      <c r="AB990" s="118" t="str">
        <f t="shared" si="724"/>
        <v/>
      </c>
      <c r="AC990" s="712" t="str">
        <f>IF(AE990="T2G","no charge",IF(AND(OR(PlanterYesMe="No",PlanterYesMe="N",PlanterYesMe="me"),H990=""),"",IF(H990="credit","NO install",IF(AND(K990="",AE990="me"),"EACH row",IF(AND(K990="images",AE990="me"),"EACH row",IF(D990="","",IF(H990="credit","",IF(AE990="free","re-planting",IF(AE990="me","   not ELP, by",IF(AND(OR(PlanterYesMe="Yes",PlanterYesMe="Y"),G990&gt;0),(VLOOKUP(A990,'Discount Lookup'!J:K,2)*G990*(1-PlanterDiscount)*(1+PlanterDifficultyPercentage)),IF(AE990="ELP",(VLOOKUP(A990,'Discount Lookup'!J:K,2)*G990*(1-PlanterDiscount)*(1+PlanterDifficultyPercentage)),IF(AE990="free","re-planting",IF(G990=0,"",IF(PlanterYesMe="",IF(AE990="me","   not ELP, by",IF(AE990="",IF(G990&gt;0,(VLOOKUP(A990,'Discount Lookup'!J:K,2)*G990*(1-PlanterDiscount)*(1+PlanterDifficultyPercentage)),""),"")),"   not ELP, by"))))))))))))))</f>
        <v/>
      </c>
      <c r="AD990" s="712"/>
      <c r="AE990" s="513" t="str">
        <f t="shared" si="725"/>
        <v/>
      </c>
      <c r="AF990" s="713" t="str">
        <f t="shared" si="726"/>
        <v/>
      </c>
      <c r="AG990" s="713"/>
      <c r="AH990" s="713"/>
      <c r="AI990" s="112">
        <f>IF(H990="credit",0,IF(AE990="free",0,IF(AE990="me",0,IF(G990&gt;0,(VLOOKUP(A990,'Discount Lookup'!J:K,2)*G990),0))))</f>
        <v>0</v>
      </c>
      <c r="AJ990" s="107" t="str">
        <f t="shared" ca="1" si="727"/>
        <v/>
      </c>
      <c r="AK990" s="714" t="str">
        <f t="shared" si="728"/>
        <v/>
      </c>
      <c r="AL990" s="714"/>
      <c r="AM990" s="114" t="str">
        <f t="shared" si="729"/>
        <v/>
      </c>
      <c r="AN990" s="115"/>
      <c r="AO990" s="116"/>
      <c r="AP990" s="116"/>
      <c r="AQ990" s="116"/>
      <c r="AR990" s="116"/>
      <c r="AS990" s="116"/>
      <c r="AT990" s="116"/>
      <c r="AU990" s="116"/>
      <c r="AV990" s="78"/>
      <c r="AW990" s="102"/>
      <c r="AX990" s="78"/>
      <c r="AY990" s="78"/>
      <c r="AZ990" s="78"/>
      <c r="BA990" s="78"/>
      <c r="BB990" s="78"/>
      <c r="BC990" s="78"/>
      <c r="BD990" s="78"/>
      <c r="BE990" s="465"/>
      <c r="BF990" s="165" t="str">
        <f t="shared" si="730"/>
        <v>https://www.google.com/search?tbm=isch&amp;q=Cercis%20canadensis%20%27JN21%27%20PP%2332138%20Oklahoma%20Sparkler%20Redbud</v>
      </c>
      <c r="BG990" s="165" t="str">
        <f t="shared" si="731"/>
        <v>C</v>
      </c>
      <c r="BH990" s="65"/>
      <c r="BI990" s="65"/>
      <c r="BJ990" s="65"/>
      <c r="BK990" s="65"/>
      <c r="BL990" s="99"/>
      <c r="BM990" s="99"/>
      <c r="BN990" s="99"/>
    </row>
    <row r="991" spans="1:66" s="51" customFormat="1" ht="15.75" x14ac:dyDescent="0.25">
      <c r="A991" s="634">
        <v>7</v>
      </c>
      <c r="B991" s="635" t="s">
        <v>291</v>
      </c>
      <c r="C991" s="636" t="s">
        <v>2035</v>
      </c>
      <c r="D991" s="637" t="s">
        <v>299</v>
      </c>
      <c r="E991" s="638">
        <v>118.95</v>
      </c>
      <c r="F991" s="639" t="s">
        <v>292</v>
      </c>
      <c r="G991" s="484">
        <v>0</v>
      </c>
      <c r="H991" s="691" t="str">
        <f>IF(G991=0,"",IF(F991="Buy",IF(G991=1,"plant","plants"),IF(F991&gt;0.01,"warranty","Error")))</f>
        <v/>
      </c>
      <c r="I991" s="640">
        <f>IF(H991="free",0,IF(H991="credit",((E991*(F991))*G991*-1),IF(F991="Buy",(E991*G991),((E991*(1-F991))*G991))))</f>
        <v>0</v>
      </c>
      <c r="J991" s="640">
        <f>IF(H991="warranty",0,(I991*(_xlfn.SINGLE(SalesTaxPercentage))))</f>
        <v>0</v>
      </c>
      <c r="K991" s="716">
        <f t="shared" ref="K991" si="736">I991+J991</f>
        <v>0</v>
      </c>
      <c r="L991" s="716"/>
      <c r="M991" s="689" t="str">
        <f ca="1">IF(AND(G991&gt;0,E991=0),"WARNING - no PRICE inserted",IF(H991="free","FREE ~ no charge this plant",IF(H991="credit",CONCATENATE("-$",ROUND(K991*(1-_xlfn.SINGLE(T2GDiscount))*-1,2)," CREDIT after discount"),IF(_xlfn.SINGLE(T2GDiscount)=0,"",IF(G991=0,"",IF(F991="Buy",CONCATENATE("$",ROUND(K991*(1-_xlfn.SINGLE(T2GDiscount)),2)," with ",(_xlfn.SINGLE(T2GDiscount)*100),"% discount"),CONCATENATE("$",ROUND(K991*(1-_xlfn.SINGLE(T2GDiscount)),2)," with ",((_xlfn.SINGLE(T2GDiscount)*100+F991*100)-(_xlfn.SINGLE(T2GDiscount)*100*F991)),IF(F991&gt;0,"% discounts",IF(_xlfn.SINGLE(NoWarrantyDiscount)&gt;0,"% discounts","% discount")))))))))</f>
        <v/>
      </c>
      <c r="N991" s="690"/>
      <c r="O991" s="486"/>
      <c r="P991" s="486"/>
      <c r="Q991" s="486"/>
      <c r="R991" s="486"/>
      <c r="S991" s="486"/>
      <c r="T991" s="102">
        <f t="shared" si="719"/>
        <v>0</v>
      </c>
      <c r="U991" s="78">
        <f>IF(NOT(ISNUMBER(G991)), "", VLOOKUP(A991,'Discount Lookup'!D:E,2,FALSE)*G991)</f>
        <v>0</v>
      </c>
      <c r="V991" s="78">
        <f>IF(NOT(ISNUMBER(G991)), "", VLOOKUP(A991,'Discount Lookup'!G:H,2,FALSE)*G991)</f>
        <v>0</v>
      </c>
      <c r="W991" s="102">
        <f t="shared" si="720"/>
        <v>0</v>
      </c>
      <c r="X991" s="102">
        <f t="shared" si="721"/>
        <v>0</v>
      </c>
      <c r="Y991" s="120" t="b">
        <f t="shared" si="722"/>
        <v>0</v>
      </c>
      <c r="Z991" s="117">
        <f t="shared" si="723"/>
        <v>0</v>
      </c>
      <c r="AA991" s="118"/>
      <c r="AB991" s="118" t="str">
        <f t="shared" si="724"/>
        <v/>
      </c>
      <c r="AC991" s="712" t="str">
        <f>IF(AE991="T2G","no charge",IF(AND(OR(PlanterYesMe="No",PlanterYesMe="N",PlanterYesMe="me"),H991=""),"",IF(H991="credit","NO install",IF(AND(K991="",AE991="me"),"EACH row",IF(AND(K991="images",AE991="me"),"EACH row",IF(D991="","",IF(H991="credit","",IF(AE991="free","re-planting",IF(AE991="me","   not ELP, by",IF(AND(OR(PlanterYesMe="Yes",PlanterYesMe="Y"),G991&gt;0),(VLOOKUP(A991,'Discount Lookup'!J:K,2)*G991*(1-PlanterDiscount)*(1+PlanterDifficultyPercentage)),IF(AE991="ELP",(VLOOKUP(A991,'Discount Lookup'!J:K,2)*G991*(1-PlanterDiscount)*(1+PlanterDifficultyPercentage)),IF(AE991="free","re-planting",IF(G991=0,"",IF(PlanterYesMe="",IF(AE991="me","   not ELP, by",IF(AE991="",IF(G991&gt;0,(VLOOKUP(A991,'Discount Lookup'!J:K,2)*G991*(1-PlanterDiscount)*(1+PlanterDifficultyPercentage)),""),"")),"   not ELP, by"))))))))))))))</f>
        <v/>
      </c>
      <c r="AD991" s="712"/>
      <c r="AE991" s="513" t="str">
        <f t="shared" si="725"/>
        <v/>
      </c>
      <c r="AF991" s="713" t="str">
        <f t="shared" si="726"/>
        <v/>
      </c>
      <c r="AG991" s="713"/>
      <c r="AH991" s="713"/>
      <c r="AI991" s="112">
        <f>IF(H991="credit",0,IF(AE991="free",0,IF(AE991="me",0,IF(G991&gt;0,(VLOOKUP(A991,'Discount Lookup'!J:K,2)*G991),0))))</f>
        <v>0</v>
      </c>
      <c r="AJ991" s="107" t="str">
        <f t="shared" ca="1" si="727"/>
        <v/>
      </c>
      <c r="AK991" s="714" t="str">
        <f t="shared" si="728"/>
        <v/>
      </c>
      <c r="AL991" s="714"/>
      <c r="AM991" s="114" t="str">
        <f t="shared" si="729"/>
        <v/>
      </c>
      <c r="AN991" s="115"/>
      <c r="AO991" s="116"/>
      <c r="AP991" s="116"/>
      <c r="AQ991" s="116"/>
      <c r="AR991" s="116"/>
      <c r="AS991" s="116"/>
      <c r="AT991" s="116"/>
      <c r="AU991" s="116"/>
      <c r="AV991" s="78"/>
      <c r="AW991" s="102"/>
      <c r="AX991" s="78"/>
      <c r="AY991" s="78"/>
      <c r="AZ991" s="78"/>
      <c r="BA991" s="78"/>
      <c r="BB991" s="78"/>
      <c r="BC991" s="78"/>
      <c r="BD991" s="78"/>
      <c r="BE991" s="465"/>
      <c r="BF991" s="165" t="str">
        <f t="shared" si="730"/>
        <v>https://www.google.com/search?tbm=isch&amp;q=7%20G4</v>
      </c>
      <c r="BG991" s="165" t="str">
        <f t="shared" si="731"/>
        <v>C</v>
      </c>
      <c r="BH991" s="65"/>
      <c r="BI991" s="65"/>
      <c r="BJ991" s="65"/>
      <c r="BK991" s="65"/>
      <c r="BL991" s="99"/>
      <c r="BM991" s="99"/>
      <c r="BN991" s="99"/>
    </row>
    <row r="992" spans="1:66" s="51" customFormat="1" ht="15.75" x14ac:dyDescent="0.25">
      <c r="A992" s="634">
        <v>10</v>
      </c>
      <c r="B992" s="635" t="s">
        <v>291</v>
      </c>
      <c r="C992" s="636" t="s">
        <v>2046</v>
      </c>
      <c r="D992" s="637" t="s">
        <v>299</v>
      </c>
      <c r="E992" s="638">
        <v>148.94999999999999</v>
      </c>
      <c r="F992" s="639" t="s">
        <v>292</v>
      </c>
      <c r="G992" s="484">
        <v>0</v>
      </c>
      <c r="H992" s="691" t="str">
        <f>IF(G992=0,"",IF(F992="Buy",IF(G992=1,"plant","plants"),IF(F992&gt;0.01,"warranty","Error")))</f>
        <v/>
      </c>
      <c r="I992" s="640">
        <f>IF(H992="free",0,IF(H992="credit",((E992*(F992))*G992*-1),IF(F992="Buy",(E992*G992),((E992*(1-F992))*G992))))</f>
        <v>0</v>
      </c>
      <c r="J992" s="640">
        <f>IF(H992="warranty",0,(I992*(_xlfn.SINGLE(SalesTaxPercentage))))</f>
        <v>0</v>
      </c>
      <c r="K992" s="716">
        <f t="shared" ref="K992" si="737">I992+J992</f>
        <v>0</v>
      </c>
      <c r="L992" s="716"/>
      <c r="M992" s="689" t="str">
        <f ca="1">IF(AND(G992&gt;0,E992=0),"WARNING - no PRICE inserted",IF(H992="free","FREE ~ no charge this plant",IF(H992="credit",CONCATENATE("-$",ROUND(K992*(1-_xlfn.SINGLE(T2GDiscount))*-1,2)," CREDIT after discount"),IF(_xlfn.SINGLE(T2GDiscount)=0,"",IF(G992=0,"",IF(F992="Buy",CONCATENATE("$",ROUND(K992*(1-_xlfn.SINGLE(T2GDiscount)),2)," with ",(_xlfn.SINGLE(T2GDiscount)*100),"% discount"),CONCATENATE("$",ROUND(K992*(1-_xlfn.SINGLE(T2GDiscount)),2)," with ",((_xlfn.SINGLE(T2GDiscount)*100+F992*100)-(_xlfn.SINGLE(T2GDiscount)*100*F992)),IF(F992&gt;0,"% discounts",IF(_xlfn.SINGLE(NoWarrantyDiscount)&gt;0,"% discounts","% discount")))))))))</f>
        <v/>
      </c>
      <c r="N992" s="690"/>
      <c r="O992" s="486"/>
      <c r="P992" s="486"/>
      <c r="Q992" s="486"/>
      <c r="R992" s="486"/>
      <c r="S992" s="486"/>
      <c r="T992" s="102">
        <f t="shared" si="719"/>
        <v>0</v>
      </c>
      <c r="U992" s="78">
        <f>IF(NOT(ISNUMBER(G992)), "", VLOOKUP(A992,'Discount Lookup'!D:E,2,FALSE)*G992)</f>
        <v>0</v>
      </c>
      <c r="V992" s="78">
        <f>IF(NOT(ISNUMBER(G992)), "", VLOOKUP(A992,'Discount Lookup'!G:H,2,FALSE)*G992)</f>
        <v>0</v>
      </c>
      <c r="W992" s="102">
        <f t="shared" si="720"/>
        <v>0</v>
      </c>
      <c r="X992" s="102">
        <f t="shared" si="721"/>
        <v>0</v>
      </c>
      <c r="Y992" s="120" t="b">
        <f t="shared" si="722"/>
        <v>0</v>
      </c>
      <c r="Z992" s="117">
        <f t="shared" si="723"/>
        <v>0</v>
      </c>
      <c r="AA992" s="118"/>
      <c r="AB992" s="118" t="str">
        <f t="shared" si="724"/>
        <v/>
      </c>
      <c r="AC992" s="712" t="str">
        <f>IF(AE992="T2G","no charge",IF(AND(OR(PlanterYesMe="No",PlanterYesMe="N",PlanterYesMe="me"),H992=""),"",IF(H992="credit","NO install",IF(AND(K992="",AE992="me"),"EACH row",IF(AND(K992="images",AE992="me"),"EACH row",IF(D992="","",IF(H992="credit","",IF(AE992="free","re-planting",IF(AE992="me","   not ELP, by",IF(AND(OR(PlanterYesMe="Yes",PlanterYesMe="Y"),G992&gt;0),(VLOOKUP(A992,'Discount Lookup'!J:K,2)*G992*(1-PlanterDiscount)*(1+PlanterDifficultyPercentage)),IF(AE992="ELP",(VLOOKUP(A992,'Discount Lookup'!J:K,2)*G992*(1-PlanterDiscount)*(1+PlanterDifficultyPercentage)),IF(AE992="free","re-planting",IF(G992=0,"",IF(PlanterYesMe="",IF(AE992="me","   not ELP, by",IF(AE992="",IF(G992&gt;0,(VLOOKUP(A992,'Discount Lookup'!J:K,2)*G992*(1-PlanterDiscount)*(1+PlanterDifficultyPercentage)),""),"")),"   not ELP, by"))))))))))))))</f>
        <v/>
      </c>
      <c r="AD992" s="712"/>
      <c r="AE992" s="513" t="str">
        <f t="shared" si="725"/>
        <v/>
      </c>
      <c r="AF992" s="713" t="str">
        <f t="shared" si="726"/>
        <v/>
      </c>
      <c r="AG992" s="713"/>
      <c r="AH992" s="713"/>
      <c r="AI992" s="112">
        <f>IF(H992="credit",0,IF(AE992="free",0,IF(AE992="me",0,IF(G992&gt;0,(VLOOKUP(A992,'Discount Lookup'!J:K,2)*G992),0))))</f>
        <v>0</v>
      </c>
      <c r="AJ992" s="107" t="str">
        <f t="shared" ca="1" si="727"/>
        <v/>
      </c>
      <c r="AK992" s="714" t="str">
        <f t="shared" si="728"/>
        <v/>
      </c>
      <c r="AL992" s="714"/>
      <c r="AM992" s="114" t="str">
        <f t="shared" si="729"/>
        <v/>
      </c>
      <c r="AN992" s="115"/>
      <c r="AO992" s="116"/>
      <c r="AP992" s="116"/>
      <c r="AQ992" s="116"/>
      <c r="AR992" s="116"/>
      <c r="AS992" s="116"/>
      <c r="AT992" s="116"/>
      <c r="AU992" s="116"/>
      <c r="AV992" s="78"/>
      <c r="AW992" s="102"/>
      <c r="AX992" s="78"/>
      <c r="AY992" s="78"/>
      <c r="AZ992" s="78"/>
      <c r="BA992" s="78"/>
      <c r="BB992" s="78"/>
      <c r="BC992" s="78"/>
      <c r="BD992" s="78"/>
      <c r="BE992" s="465"/>
      <c r="BF992" s="165" t="str">
        <f t="shared" si="730"/>
        <v>https://www.google.com/search?tbm=isch&amp;q=10%20G4</v>
      </c>
      <c r="BG992" s="165" t="str">
        <f t="shared" si="731"/>
        <v>C</v>
      </c>
      <c r="BH992" s="65"/>
      <c r="BI992" s="65"/>
      <c r="BJ992" s="65"/>
      <c r="BK992" s="65"/>
      <c r="BL992" s="99"/>
      <c r="BM992" s="99"/>
      <c r="BN992" s="99"/>
    </row>
    <row r="993" spans="1:66" s="51" customFormat="1" ht="17.25" thickBot="1" x14ac:dyDescent="0.3">
      <c r="A993" s="641" t="s">
        <v>2047</v>
      </c>
      <c r="B993" s="642"/>
      <c r="C993" s="710"/>
      <c r="D993" s="643"/>
      <c r="E993" s="643"/>
      <c r="F993" s="644"/>
      <c r="G993" s="645"/>
      <c r="H993" s="646"/>
      <c r="I993" s="647"/>
      <c r="J993" s="648"/>
      <c r="K993" s="649"/>
      <c r="L993" s="650"/>
      <c r="M993" s="650"/>
      <c r="N993" s="644"/>
      <c r="O993" s="644"/>
      <c r="P993" s="644"/>
      <c r="Q993" s="644"/>
      <c r="R993" s="644"/>
      <c r="S993" s="701" t="s">
        <v>5262</v>
      </c>
      <c r="T993" s="102">
        <f t="shared" si="719"/>
        <v>0</v>
      </c>
      <c r="U993" s="78" t="str">
        <f>IF(NOT(ISNUMBER(G993)), "", VLOOKUP(A993,'Discount Lookup'!D:E,2,FALSE)*G993)</f>
        <v/>
      </c>
      <c r="V993" s="78" t="str">
        <f>IF(NOT(ISNUMBER(G993)), "", VLOOKUP(A993,'Discount Lookup'!G:H,2,FALSE)*G993)</f>
        <v/>
      </c>
      <c r="W993" s="102">
        <f t="shared" si="720"/>
        <v>0</v>
      </c>
      <c r="X993" s="102">
        <f t="shared" si="721"/>
        <v>0</v>
      </c>
      <c r="Y993" s="120" t="b">
        <f t="shared" si="722"/>
        <v>0</v>
      </c>
      <c r="Z993" s="117">
        <f t="shared" si="723"/>
        <v>0</v>
      </c>
      <c r="AA993" s="118"/>
      <c r="AB993" s="118" t="str">
        <f t="shared" si="724"/>
        <v/>
      </c>
      <c r="AC993" s="712" t="str">
        <f>IF(AE993="T2G","no charge",IF(AND(OR(PlanterYesMe="No",PlanterYesMe="N",PlanterYesMe="me"),H993=""),"",IF(H993="credit","NO install",IF(AND(K993="",AE993="me"),"EACH row",IF(AND(K993="images",AE993="me"),"EACH row",IF(D993="","",IF(H993="credit","",IF(AE993="free","re-planting",IF(AE993="me","   not ELP, by",IF(AND(OR(PlanterYesMe="Yes",PlanterYesMe="Y"),G993&gt;0),(VLOOKUP(A993,'Discount Lookup'!J:K,2)*G993*(1-PlanterDiscount)*(1+PlanterDifficultyPercentage)),IF(AE993="ELP",(VLOOKUP(A993,'Discount Lookup'!J:K,2)*G993*(1-PlanterDiscount)*(1+PlanterDifficultyPercentage)),IF(AE993="free","re-planting",IF(G993=0,"",IF(PlanterYesMe="",IF(AE993="me","   not ELP, by",IF(AE993="",IF(G993&gt;0,(VLOOKUP(A993,'Discount Lookup'!J:K,2)*G993*(1-PlanterDiscount)*(1+PlanterDifficultyPercentage)),""),"")),"   not ELP, by"))))))))))))))</f>
        <v/>
      </c>
      <c r="AD993" s="712"/>
      <c r="AE993" s="513" t="str">
        <f t="shared" si="725"/>
        <v/>
      </c>
      <c r="AF993" s="713" t="str">
        <f t="shared" si="726"/>
        <v/>
      </c>
      <c r="AG993" s="713"/>
      <c r="AH993" s="713"/>
      <c r="AI993" s="112">
        <f>IF(H993="credit",0,IF(AE993="free",0,IF(AE993="me",0,IF(G993&gt;0,(VLOOKUP(A993,'Discount Lookup'!J:K,2)*G993),0))))</f>
        <v>0</v>
      </c>
      <c r="AJ993" s="107" t="str">
        <f t="shared" ca="1" si="727"/>
        <v/>
      </c>
      <c r="AK993" s="714" t="str">
        <f t="shared" si="728"/>
        <v/>
      </c>
      <c r="AL993" s="714"/>
      <c r="AM993" s="114" t="str">
        <f t="shared" si="729"/>
        <v/>
      </c>
      <c r="AN993" s="115"/>
      <c r="AO993" s="116"/>
      <c r="AP993" s="116"/>
      <c r="AQ993" s="116"/>
      <c r="AR993" s="116"/>
      <c r="AS993" s="116"/>
      <c r="AT993" s="116"/>
      <c r="AU993" s="116"/>
      <c r="AV993" s="78"/>
      <c r="AW993" s="102"/>
      <c r="AX993" s="78"/>
      <c r="AY993" s="78"/>
      <c r="AZ993" s="78"/>
      <c r="BA993" s="78"/>
      <c r="BB993" s="78"/>
      <c r="BC993" s="78"/>
      <c r="BD993" s="78"/>
      <c r="BE993" s="465"/>
      <c r="BF993" s="165" t="str">
        <f t="shared" si="730"/>
        <v>https://www.google.com/search?tbm=isch&amp;q=Oklahoma%20Sparkler%20named%20for%20it%27s%20sparkling%20dark%20Burgundy%20to%20Green%20to%20Purple%20foliage%2C%20turning%20Yellow%20to%20Tan%20in%20the%20fall%20</v>
      </c>
      <c r="BG993" s="165" t="str">
        <f t="shared" si="731"/>
        <v>O</v>
      </c>
      <c r="BH993" s="65"/>
      <c r="BI993" s="65"/>
      <c r="BJ993" s="65"/>
      <c r="BK993" s="65"/>
      <c r="BL993" s="99"/>
      <c r="BM993" s="99"/>
      <c r="BN993" s="99"/>
    </row>
    <row r="994" spans="1:66" s="51" customFormat="1" ht="18" x14ac:dyDescent="0.25">
      <c r="A994" s="623" t="s">
        <v>5147</v>
      </c>
      <c r="B994" s="624"/>
      <c r="C994" s="709"/>
      <c r="D994" s="625" t="s">
        <v>5627</v>
      </c>
      <c r="E994" s="626"/>
      <c r="F994" s="626"/>
      <c r="G994" s="626"/>
      <c r="H994" s="622" t="s">
        <v>1158</v>
      </c>
      <c r="I994" s="627" t="s">
        <v>1083</v>
      </c>
      <c r="J994" s="628"/>
      <c r="K994" s="628"/>
      <c r="L994" s="629"/>
      <c r="M994" s="700" t="s">
        <v>5249</v>
      </c>
      <c r="N994" s="693" t="str">
        <f>IF(AND(ISTEXT($A994), ISERROR($A994+0)), HYPERLINK($BF994, "Images"), "")</f>
        <v>Images</v>
      </c>
      <c r="O994" s="695" t="s">
        <v>5264</v>
      </c>
      <c r="P994" s="630"/>
      <c r="Q994" s="631"/>
      <c r="R994" s="632"/>
      <c r="S994" s="633" t="s">
        <v>294</v>
      </c>
      <c r="T994" s="102">
        <f t="shared" si="719"/>
        <v>0</v>
      </c>
      <c r="U994" s="78" t="str">
        <f>IF(NOT(ISNUMBER(G994)), "", VLOOKUP(A994,'Discount Lookup'!D:E,2,FALSE)*G994)</f>
        <v/>
      </c>
      <c r="V994" s="78" t="str">
        <f>IF(NOT(ISNUMBER(G994)), "", VLOOKUP(A994,'Discount Lookup'!G:H,2,FALSE)*G994)</f>
        <v/>
      </c>
      <c r="W994" s="102">
        <f t="shared" si="720"/>
        <v>0</v>
      </c>
      <c r="X994" s="102" t="str">
        <f t="shared" si="721"/>
        <v>Lavender-Pink bloom</v>
      </c>
      <c r="Y994" s="120" t="b">
        <f t="shared" si="722"/>
        <v>0</v>
      </c>
      <c r="Z994" s="117">
        <f t="shared" si="723"/>
        <v>0</v>
      </c>
      <c r="AA994" s="118"/>
      <c r="AB994" s="118" t="str">
        <f t="shared" si="724"/>
        <v/>
      </c>
      <c r="AC994" s="712" t="str">
        <f>IF(AE994="T2G","no charge",IF(AND(OR(PlanterYesMe="No",PlanterYesMe="N",PlanterYesMe="me"),H994=""),"",IF(H994="credit","NO install",IF(AND(K994="",AE994="me"),"EACH row",IF(AND(K994="images",AE994="me"),"EACH row",IF(D994="","",IF(H994="credit","",IF(AE994="free","re-planting",IF(AE994="me","   not ELP, by",IF(AND(OR(PlanterYesMe="Yes",PlanterYesMe="Y"),G994&gt;0),(VLOOKUP(A994,'Discount Lookup'!J:K,2)*G994*(1-PlanterDiscount)*(1+PlanterDifficultyPercentage)),IF(AE994="ELP",(VLOOKUP(A994,'Discount Lookup'!J:K,2)*G994*(1-PlanterDiscount)*(1+PlanterDifficultyPercentage)),IF(AE994="free","re-planting",IF(G994=0,"",IF(PlanterYesMe="",IF(AE994="me","   not ELP, by",IF(AE994="",IF(G994&gt;0,(VLOOKUP(A994,'Discount Lookup'!J:K,2)*G994*(1-PlanterDiscount)*(1+PlanterDifficultyPercentage)),""),"")),"   not ELP, by"))))))))))))))</f>
        <v/>
      </c>
      <c r="AD994" s="712"/>
      <c r="AE994" s="513" t="str">
        <f t="shared" si="725"/>
        <v/>
      </c>
      <c r="AF994" s="713" t="str">
        <f t="shared" si="726"/>
        <v/>
      </c>
      <c r="AG994" s="713"/>
      <c r="AH994" s="713"/>
      <c r="AI994" s="112">
        <f>IF(H994="credit",0,IF(AE994="free",0,IF(AE994="me",0,IF(G994&gt;0,(VLOOKUP(A994,'Discount Lookup'!J:K,2)*G994),0))))</f>
        <v>0</v>
      </c>
      <c r="AJ994" s="107" t="str">
        <f t="shared" ca="1" si="727"/>
        <v/>
      </c>
      <c r="AK994" s="714" t="str">
        <f t="shared" si="728"/>
        <v/>
      </c>
      <c r="AL994" s="714"/>
      <c r="AM994" s="114" t="str">
        <f t="shared" si="729"/>
        <v/>
      </c>
      <c r="AN994" s="115"/>
      <c r="AO994" s="116"/>
      <c r="AP994" s="116"/>
      <c r="AQ994" s="116"/>
      <c r="AR994" s="116"/>
      <c r="AS994" s="116"/>
      <c r="AT994" s="116"/>
      <c r="AU994" s="116"/>
      <c r="AV994" s="78"/>
      <c r="AW994" s="102"/>
      <c r="AX994" s="78"/>
      <c r="AY994" s="78"/>
      <c r="AZ994" s="78"/>
      <c r="BA994" s="78"/>
      <c r="BB994" s="78"/>
      <c r="BC994" s="78"/>
      <c r="BD994" s="78"/>
      <c r="BE994" s="465"/>
      <c r="BF994" s="165" t="str">
        <f t="shared" si="730"/>
        <v>https://www.google.com/search?tbm=isch&amp;q=Cercis%20canadensis%20%E2%80%98JN31%E2%80%99%20PPAF%20Rise%20%26%20Shine%E2%84%A2%20Redbud</v>
      </c>
      <c r="BG994" s="165" t="str">
        <f t="shared" si="731"/>
        <v>C</v>
      </c>
      <c r="BH994" s="65"/>
      <c r="BI994" s="65"/>
      <c r="BJ994" s="65"/>
      <c r="BK994" s="65"/>
      <c r="BL994" s="99"/>
      <c r="BM994" s="99"/>
      <c r="BN994" s="99"/>
    </row>
    <row r="995" spans="1:66" s="51" customFormat="1" ht="15.75" x14ac:dyDescent="0.25">
      <c r="A995" s="634">
        <v>10</v>
      </c>
      <c r="B995" s="635" t="s">
        <v>291</v>
      </c>
      <c r="C995" s="636" t="s">
        <v>5148</v>
      </c>
      <c r="D995" s="637" t="s">
        <v>299</v>
      </c>
      <c r="E995" s="638">
        <v>148.94999999999999</v>
      </c>
      <c r="F995" s="639" t="s">
        <v>292</v>
      </c>
      <c r="G995" s="484">
        <v>0</v>
      </c>
      <c r="H995" s="691" t="str">
        <f>IF(G995=0,"",IF(F995="Buy",IF(G995=1,"plant","plants"),IF(F995&gt;0.01,"warranty","Error")))</f>
        <v/>
      </c>
      <c r="I995" s="640">
        <f>IF(H995="free",0,IF(H995="credit",((E995*(F995))*G995*-1),IF(F995="Buy",(E995*G995),((E995*(1-F995))*G995))))</f>
        <v>0</v>
      </c>
      <c r="J995" s="640">
        <f>IF(H995="warranty",0,(I995*(_xlfn.SINGLE(SalesTaxPercentage))))</f>
        <v>0</v>
      </c>
      <c r="K995" s="716">
        <f t="shared" ref="K995" si="738">I995+J995</f>
        <v>0</v>
      </c>
      <c r="L995" s="716"/>
      <c r="M995" s="689" t="str">
        <f ca="1">IF(AND(G995&gt;0,E995=0),"WARNING - no PRICE inserted",IF(H995="free","FREE ~ no charge this plant",IF(H995="credit",CONCATENATE("-$",ROUND(K995*(1-_xlfn.SINGLE(T2GDiscount))*-1,2)," CREDIT after discount"),IF(_xlfn.SINGLE(T2GDiscount)=0,"",IF(G995=0,"",IF(F995="Buy",CONCATENATE("$",ROUND(K995*(1-_xlfn.SINGLE(T2GDiscount)),2)," with ",(_xlfn.SINGLE(T2GDiscount)*100),"% discount"),CONCATENATE("$",ROUND(K995*(1-_xlfn.SINGLE(T2GDiscount)),2)," with ",((_xlfn.SINGLE(T2GDiscount)*100+F995*100)-(_xlfn.SINGLE(T2GDiscount)*100*F995)),IF(F995&gt;0,"% discounts",IF(_xlfn.SINGLE(NoWarrantyDiscount)&gt;0,"% discounts","% discount")))))))))</f>
        <v/>
      </c>
      <c r="N995" s="690"/>
      <c r="O995" s="486"/>
      <c r="P995" s="486"/>
      <c r="Q995" s="486"/>
      <c r="R995" s="486"/>
      <c r="S995" s="486"/>
      <c r="T995" s="102">
        <f t="shared" si="719"/>
        <v>0</v>
      </c>
      <c r="U995" s="78">
        <f>IF(NOT(ISNUMBER(G995)), "", VLOOKUP(A995,'Discount Lookup'!D:E,2,FALSE)*G995)</f>
        <v>0</v>
      </c>
      <c r="V995" s="78">
        <f>IF(NOT(ISNUMBER(G995)), "", VLOOKUP(A995,'Discount Lookup'!G:H,2,FALSE)*G995)</f>
        <v>0</v>
      </c>
      <c r="W995" s="102">
        <f t="shared" si="720"/>
        <v>0</v>
      </c>
      <c r="X995" s="102">
        <f t="shared" si="721"/>
        <v>0</v>
      </c>
      <c r="Y995" s="120" t="b">
        <f t="shared" si="722"/>
        <v>0</v>
      </c>
      <c r="Z995" s="117">
        <f t="shared" si="723"/>
        <v>0</v>
      </c>
      <c r="AA995" s="118"/>
      <c r="AB995" s="118" t="str">
        <f t="shared" si="724"/>
        <v/>
      </c>
      <c r="AC995" s="712" t="str">
        <f>IF(AE995="T2G","no charge",IF(AND(OR(PlanterYesMe="No",PlanterYesMe="N",PlanterYesMe="me"),H995=""),"",IF(H995="credit","NO install",IF(AND(K995="",AE995="me"),"EACH row",IF(AND(K995="images",AE995="me"),"EACH row",IF(D995="","",IF(H995="credit","",IF(AE995="free","re-planting",IF(AE995="me","   not ELP, by",IF(AND(OR(PlanterYesMe="Yes",PlanterYesMe="Y"),G995&gt;0),(VLOOKUP(A995,'Discount Lookup'!J:K,2)*G995*(1-PlanterDiscount)*(1+PlanterDifficultyPercentage)),IF(AE995="ELP",(VLOOKUP(A995,'Discount Lookup'!J:K,2)*G995*(1-PlanterDiscount)*(1+PlanterDifficultyPercentage)),IF(AE995="free","re-planting",IF(G995=0,"",IF(PlanterYesMe="",IF(AE995="me","   not ELP, by",IF(AE995="",IF(G995&gt;0,(VLOOKUP(A995,'Discount Lookup'!J:K,2)*G995*(1-PlanterDiscount)*(1+PlanterDifficultyPercentage)),""),"")),"   not ELP, by"))))))))))))))</f>
        <v/>
      </c>
      <c r="AD995" s="712"/>
      <c r="AE995" s="513" t="str">
        <f t="shared" si="725"/>
        <v/>
      </c>
      <c r="AF995" s="713" t="str">
        <f t="shared" si="726"/>
        <v/>
      </c>
      <c r="AG995" s="713"/>
      <c r="AH995" s="713"/>
      <c r="AI995" s="112">
        <f>IF(H995="credit",0,IF(AE995="free",0,IF(AE995="me",0,IF(G995&gt;0,(VLOOKUP(A995,'Discount Lookup'!J:K,2)*G995),0))))</f>
        <v>0</v>
      </c>
      <c r="AJ995" s="107" t="str">
        <f t="shared" ca="1" si="727"/>
        <v/>
      </c>
      <c r="AK995" s="714" t="str">
        <f t="shared" si="728"/>
        <v/>
      </c>
      <c r="AL995" s="714"/>
      <c r="AM995" s="114" t="str">
        <f t="shared" si="729"/>
        <v/>
      </c>
      <c r="AN995" s="115"/>
      <c r="AO995" s="116"/>
      <c r="AP995" s="116"/>
      <c r="AQ995" s="116"/>
      <c r="AR995" s="116"/>
      <c r="AS995" s="116"/>
      <c r="AT995" s="116"/>
      <c r="AU995" s="116"/>
      <c r="AV995" s="78"/>
      <c r="AW995" s="102"/>
      <c r="AX995" s="78"/>
      <c r="AY995" s="78"/>
      <c r="AZ995" s="78"/>
      <c r="BA995" s="78"/>
      <c r="BB995" s="78"/>
      <c r="BC995" s="78"/>
      <c r="BD995" s="78"/>
      <c r="BE995" s="465"/>
      <c r="BF995" s="165" t="str">
        <f t="shared" si="730"/>
        <v>https://www.google.com/search?tbm=isch&amp;q=10%20G4</v>
      </c>
      <c r="BG995" s="165" t="str">
        <f t="shared" si="731"/>
        <v>C</v>
      </c>
      <c r="BH995" s="65"/>
      <c r="BI995" s="65"/>
      <c r="BJ995" s="65"/>
      <c r="BK995" s="65"/>
      <c r="BL995" s="99"/>
      <c r="BM995" s="99"/>
      <c r="BN995" s="99"/>
    </row>
    <row r="996" spans="1:66" s="51" customFormat="1" ht="17.25" thickBot="1" x14ac:dyDescent="0.3">
      <c r="A996" s="641" t="s">
        <v>5149</v>
      </c>
      <c r="B996" s="642"/>
      <c r="C996" s="710"/>
      <c r="D996" s="643"/>
      <c r="E996" s="643"/>
      <c r="F996" s="644"/>
      <c r="G996" s="645"/>
      <c r="H996" s="646"/>
      <c r="I996" s="647"/>
      <c r="J996" s="648"/>
      <c r="K996" s="649"/>
      <c r="L996" s="650"/>
      <c r="M996" s="650"/>
      <c r="N996" s="644"/>
      <c r="O996" s="644"/>
      <c r="P996" s="644"/>
      <c r="Q996" s="644"/>
      <c r="R996" s="644"/>
      <c r="S996" s="701" t="s">
        <v>5273</v>
      </c>
      <c r="T996" s="102">
        <f t="shared" si="719"/>
        <v>0</v>
      </c>
      <c r="U996" s="78" t="str">
        <f>IF(NOT(ISNUMBER(G996)), "", VLOOKUP(A996,'Discount Lookup'!D:E,2,FALSE)*G996)</f>
        <v/>
      </c>
      <c r="V996" s="78" t="str">
        <f>IF(NOT(ISNUMBER(G996)), "", VLOOKUP(A996,'Discount Lookup'!G:H,2,FALSE)*G996)</f>
        <v/>
      </c>
      <c r="W996" s="102">
        <f t="shared" si="720"/>
        <v>0</v>
      </c>
      <c r="X996" s="102">
        <f t="shared" si="721"/>
        <v>0</v>
      </c>
      <c r="Y996" s="120" t="b">
        <f t="shared" si="722"/>
        <v>0</v>
      </c>
      <c r="Z996" s="117">
        <f t="shared" si="723"/>
        <v>0</v>
      </c>
      <c r="AA996" s="118"/>
      <c r="AB996" s="118" t="str">
        <f t="shared" si="724"/>
        <v/>
      </c>
      <c r="AC996" s="712" t="str">
        <f>IF(AE996="T2G","no charge",IF(AND(OR(PlanterYesMe="No",PlanterYesMe="N",PlanterYesMe="me"),H996=""),"",IF(H996="credit","NO install",IF(AND(K996="",AE996="me"),"EACH row",IF(AND(K996="images",AE996="me"),"EACH row",IF(D996="","",IF(H996="credit","",IF(AE996="free","re-planting",IF(AE996="me","   not ELP, by",IF(AND(OR(PlanterYesMe="Yes",PlanterYesMe="Y"),G996&gt;0),(VLOOKUP(A996,'Discount Lookup'!J:K,2)*G996*(1-PlanterDiscount)*(1+PlanterDifficultyPercentage)),IF(AE996="ELP",(VLOOKUP(A996,'Discount Lookup'!J:K,2)*G996*(1-PlanterDiscount)*(1+PlanterDifficultyPercentage)),IF(AE996="free","re-planting",IF(G996=0,"",IF(PlanterYesMe="",IF(AE996="me","   not ELP, by",IF(AE996="",IF(G996&gt;0,(VLOOKUP(A996,'Discount Lookup'!J:K,2)*G996*(1-PlanterDiscount)*(1+PlanterDifficultyPercentage)),""),"")),"   not ELP, by"))))))))))))))</f>
        <v/>
      </c>
      <c r="AD996" s="712"/>
      <c r="AE996" s="513" t="str">
        <f t="shared" si="725"/>
        <v/>
      </c>
      <c r="AF996" s="713" t="str">
        <f t="shared" si="726"/>
        <v/>
      </c>
      <c r="AG996" s="713"/>
      <c r="AH996" s="713"/>
      <c r="AI996" s="112">
        <f>IF(H996="credit",0,IF(AE996="free",0,IF(AE996="me",0,IF(G996&gt;0,(VLOOKUP(A996,'Discount Lookup'!J:K,2)*G996),0))))</f>
        <v>0</v>
      </c>
      <c r="AJ996" s="107" t="str">
        <f t="shared" ca="1" si="727"/>
        <v/>
      </c>
      <c r="AK996" s="714" t="str">
        <f t="shared" si="728"/>
        <v/>
      </c>
      <c r="AL996" s="714"/>
      <c r="AM996" s="114" t="str">
        <f t="shared" si="729"/>
        <v/>
      </c>
      <c r="AN996" s="115"/>
      <c r="AO996" s="116"/>
      <c r="AP996" s="116"/>
      <c r="AQ996" s="116"/>
      <c r="AR996" s="116"/>
      <c r="AS996" s="116"/>
      <c r="AT996" s="116"/>
      <c r="AU996" s="116"/>
      <c r="AV996" s="78"/>
      <c r="AW996" s="102"/>
      <c r="AX996" s="78"/>
      <c r="AY996" s="78"/>
      <c r="AZ996" s="78"/>
      <c r="BA996" s="78"/>
      <c r="BB996" s="78"/>
      <c r="BC996" s="78"/>
      <c r="BD996" s="78"/>
      <c r="BE996" s="465"/>
      <c r="BF996" s="165" t="str">
        <f t="shared" si="730"/>
        <v>https://www.google.com/search?tbm=isch&amp;q=Rise%20%26%20Shine%20has%20Apricot-to-Gold%20heart-shaped%20leaves%20that%20mature%20to%20Chartreuse%2C%20then%20Blaze%20Orange%20in%20fall%20</v>
      </c>
      <c r="BG996" s="165" t="str">
        <f t="shared" si="731"/>
        <v>R</v>
      </c>
      <c r="BH996" s="65"/>
      <c r="BI996" s="65"/>
      <c r="BJ996" s="65"/>
      <c r="BK996" s="65"/>
      <c r="BL996" s="99"/>
      <c r="BM996" s="99"/>
      <c r="BN996" s="99"/>
    </row>
    <row r="997" spans="1:66" s="51" customFormat="1" ht="18" x14ac:dyDescent="0.25">
      <c r="A997" s="623" t="s">
        <v>2048</v>
      </c>
      <c r="B997" s="624"/>
      <c r="C997" s="709"/>
      <c r="D997" s="625" t="s">
        <v>5628</v>
      </c>
      <c r="E997" s="626"/>
      <c r="F997" s="626"/>
      <c r="G997" s="626"/>
      <c r="H997" s="622" t="s">
        <v>1174</v>
      </c>
      <c r="I997" s="627" t="s">
        <v>2049</v>
      </c>
      <c r="J997" s="628"/>
      <c r="K997" s="628"/>
      <c r="L997" s="629"/>
      <c r="M997" s="700" t="s">
        <v>5249</v>
      </c>
      <c r="N997" s="693" t="str">
        <f>IF(AND(ISTEXT($A997), ISERROR($A997+0)), HYPERLINK($BF997, "Images"), "")</f>
        <v>Images</v>
      </c>
      <c r="O997" s="695" t="s">
        <v>5247</v>
      </c>
      <c r="P997" s="630"/>
      <c r="Q997" s="631"/>
      <c r="R997" s="632"/>
      <c r="S997" s="633" t="s">
        <v>294</v>
      </c>
      <c r="T997" s="102">
        <f t="shared" si="719"/>
        <v>0</v>
      </c>
      <c r="U997" s="78" t="str">
        <f>IF(NOT(ISNUMBER(G997)), "", VLOOKUP(A997,'Discount Lookup'!D:E,2,FALSE)*G997)</f>
        <v/>
      </c>
      <c r="V997" s="78" t="str">
        <f>IF(NOT(ISNUMBER(G997)), "", VLOOKUP(A997,'Discount Lookup'!G:H,2,FALSE)*G997)</f>
        <v/>
      </c>
      <c r="W997" s="102">
        <f t="shared" si="720"/>
        <v>0</v>
      </c>
      <c r="X997" s="102" t="str">
        <f t="shared" si="721"/>
        <v>Pink-Purple bloom</v>
      </c>
      <c r="Y997" s="120" t="b">
        <f t="shared" si="722"/>
        <v>0</v>
      </c>
      <c r="Z997" s="117">
        <f t="shared" si="723"/>
        <v>0</v>
      </c>
      <c r="AA997" s="118"/>
      <c r="AB997" s="118" t="str">
        <f t="shared" si="724"/>
        <v/>
      </c>
      <c r="AC997" s="712" t="str">
        <f>IF(AE997="T2G","no charge",IF(AND(OR(PlanterYesMe="No",PlanterYesMe="N",PlanterYesMe="me"),H997=""),"",IF(H997="credit","NO install",IF(AND(K997="",AE997="me"),"EACH row",IF(AND(K997="images",AE997="me"),"EACH row",IF(D997="","",IF(H997="credit","",IF(AE997="free","re-planting",IF(AE997="me","   not ELP, by",IF(AND(OR(PlanterYesMe="Yes",PlanterYesMe="Y"),G997&gt;0),(VLOOKUP(A997,'Discount Lookup'!J:K,2)*G997*(1-PlanterDiscount)*(1+PlanterDifficultyPercentage)),IF(AE997="ELP",(VLOOKUP(A997,'Discount Lookup'!J:K,2)*G997*(1-PlanterDiscount)*(1+PlanterDifficultyPercentage)),IF(AE997="free","re-planting",IF(G997=0,"",IF(PlanterYesMe="",IF(AE997="me","   not ELP, by",IF(AE997="",IF(G997&gt;0,(VLOOKUP(A997,'Discount Lookup'!J:K,2)*G997*(1-PlanterDiscount)*(1+PlanterDifficultyPercentage)),""),"")),"   not ELP, by"))))))))))))))</f>
        <v/>
      </c>
      <c r="AD997" s="712"/>
      <c r="AE997" s="513" t="str">
        <f t="shared" si="725"/>
        <v/>
      </c>
      <c r="AF997" s="713" t="str">
        <f t="shared" si="726"/>
        <v/>
      </c>
      <c r="AG997" s="713"/>
      <c r="AH997" s="713"/>
      <c r="AI997" s="112">
        <f>IF(H997="credit",0,IF(AE997="free",0,IF(AE997="me",0,IF(G997&gt;0,(VLOOKUP(A997,'Discount Lookup'!J:K,2)*G997),0))))</f>
        <v>0</v>
      </c>
      <c r="AJ997" s="107" t="str">
        <f t="shared" ca="1" si="727"/>
        <v/>
      </c>
      <c r="AK997" s="714" t="str">
        <f t="shared" si="728"/>
        <v/>
      </c>
      <c r="AL997" s="714"/>
      <c r="AM997" s="114" t="str">
        <f t="shared" si="729"/>
        <v/>
      </c>
      <c r="AN997" s="115"/>
      <c r="AO997" s="116"/>
      <c r="AP997" s="116"/>
      <c r="AQ997" s="116"/>
      <c r="AR997" s="116"/>
      <c r="AS997" s="116"/>
      <c r="AT997" s="116"/>
      <c r="AU997" s="116"/>
      <c r="AV997" s="78"/>
      <c r="AW997" s="102"/>
      <c r="AX997" s="78"/>
      <c r="AY997" s="78"/>
      <c r="AZ997" s="78"/>
      <c r="BA997" s="78"/>
      <c r="BB997" s="78"/>
      <c r="BC997" s="78"/>
      <c r="BD997" s="78"/>
      <c r="BE997" s="465"/>
      <c r="BF997" s="165" t="str">
        <f t="shared" si="730"/>
        <v>https://www.google.com/search?tbm=isch&amp;q=Cercis%20canadensis%20%27JN7%27%20Sparkling%20Wine%E2%84%A2%20Redbud</v>
      </c>
      <c r="BG997" s="165" t="str">
        <f t="shared" si="731"/>
        <v>C</v>
      </c>
      <c r="BH997" s="65"/>
      <c r="BI997" s="65"/>
      <c r="BJ997" s="65"/>
      <c r="BK997" s="65"/>
      <c r="BL997" s="99"/>
      <c r="BM997" s="99"/>
      <c r="BN997" s="99"/>
    </row>
    <row r="998" spans="1:66" s="51" customFormat="1" ht="15.75" x14ac:dyDescent="0.25">
      <c r="A998" s="634">
        <v>7</v>
      </c>
      <c r="B998" s="635" t="s">
        <v>291</v>
      </c>
      <c r="C998" s="636" t="s">
        <v>2050</v>
      </c>
      <c r="D998" s="637" t="s">
        <v>299</v>
      </c>
      <c r="E998" s="638">
        <v>104.95</v>
      </c>
      <c r="F998" s="639" t="s">
        <v>292</v>
      </c>
      <c r="G998" s="484">
        <v>0</v>
      </c>
      <c r="H998" s="691" t="str">
        <f>IF(G998=0,"",IF(F998="Buy",IF(G998=1,"plant","plants"),IF(F998&gt;0.01,"warranty","Error")))</f>
        <v/>
      </c>
      <c r="I998" s="640">
        <f>IF(H998="free",0,IF(H998="credit",((E998*(F998))*G998*-1),IF(F998="Buy",(E998*G998),((E998*(1-F998))*G998))))</f>
        <v>0</v>
      </c>
      <c r="J998" s="640">
        <f>IF(H998="warranty",0,(I998*(_xlfn.SINGLE(SalesTaxPercentage))))</f>
        <v>0</v>
      </c>
      <c r="K998" s="716">
        <f t="shared" ref="K998" si="739">I998+J998</f>
        <v>0</v>
      </c>
      <c r="L998" s="716"/>
      <c r="M998" s="689" t="str">
        <f ca="1">IF(AND(G998&gt;0,E998=0),"WARNING - no PRICE inserted",IF(H998="free","FREE ~ no charge this plant",IF(H998="credit",CONCATENATE("-$",ROUND(K998*(1-_xlfn.SINGLE(T2GDiscount))*-1,2)," CREDIT after discount"),IF(_xlfn.SINGLE(T2GDiscount)=0,"",IF(G998=0,"",IF(F998="Buy",CONCATENATE("$",ROUND(K998*(1-_xlfn.SINGLE(T2GDiscount)),2)," with ",(_xlfn.SINGLE(T2GDiscount)*100),"% discount"),CONCATENATE("$",ROUND(K998*(1-_xlfn.SINGLE(T2GDiscount)),2)," with ",((_xlfn.SINGLE(T2GDiscount)*100+F998*100)-(_xlfn.SINGLE(T2GDiscount)*100*F998)),IF(F998&gt;0,"% discounts",IF(_xlfn.SINGLE(NoWarrantyDiscount)&gt;0,"% discounts","% discount")))))))))</f>
        <v/>
      </c>
      <c r="N998" s="690"/>
      <c r="O998" s="486"/>
      <c r="P998" s="486"/>
      <c r="Q998" s="486"/>
      <c r="R998" s="486"/>
      <c r="S998" s="486"/>
      <c r="T998" s="102">
        <f t="shared" si="719"/>
        <v>0</v>
      </c>
      <c r="U998" s="78">
        <f>IF(NOT(ISNUMBER(G998)), "", VLOOKUP(A998,'Discount Lookup'!D:E,2,FALSE)*G998)</f>
        <v>0</v>
      </c>
      <c r="V998" s="78">
        <f>IF(NOT(ISNUMBER(G998)), "", VLOOKUP(A998,'Discount Lookup'!G:H,2,FALSE)*G998)</f>
        <v>0</v>
      </c>
      <c r="W998" s="102">
        <f t="shared" si="720"/>
        <v>0</v>
      </c>
      <c r="X998" s="102">
        <f t="shared" si="721"/>
        <v>0</v>
      </c>
      <c r="Y998" s="120" t="b">
        <f t="shared" si="722"/>
        <v>0</v>
      </c>
      <c r="Z998" s="117">
        <f t="shared" si="723"/>
        <v>0</v>
      </c>
      <c r="AA998" s="118"/>
      <c r="AB998" s="118" t="str">
        <f t="shared" si="724"/>
        <v/>
      </c>
      <c r="AC998" s="712" t="str">
        <f>IF(AE998="T2G","no charge",IF(AND(OR(PlanterYesMe="No",PlanterYesMe="N",PlanterYesMe="me"),H998=""),"",IF(H998="credit","NO install",IF(AND(K998="",AE998="me"),"EACH row",IF(AND(K998="images",AE998="me"),"EACH row",IF(D998="","",IF(H998="credit","",IF(AE998="free","re-planting",IF(AE998="me","   not ELP, by",IF(AND(OR(PlanterYesMe="Yes",PlanterYesMe="Y"),G998&gt;0),(VLOOKUP(A998,'Discount Lookup'!J:K,2)*G998*(1-PlanterDiscount)*(1+PlanterDifficultyPercentage)),IF(AE998="ELP",(VLOOKUP(A998,'Discount Lookup'!J:K,2)*G998*(1-PlanterDiscount)*(1+PlanterDifficultyPercentage)),IF(AE998="free","re-planting",IF(G998=0,"",IF(PlanterYesMe="",IF(AE998="me","   not ELP, by",IF(AE998="",IF(G998&gt;0,(VLOOKUP(A998,'Discount Lookup'!J:K,2)*G998*(1-PlanterDiscount)*(1+PlanterDifficultyPercentage)),""),"")),"   not ELP, by"))))))))))))))</f>
        <v/>
      </c>
      <c r="AD998" s="712"/>
      <c r="AE998" s="513" t="str">
        <f t="shared" si="725"/>
        <v/>
      </c>
      <c r="AF998" s="713" t="str">
        <f t="shared" si="726"/>
        <v/>
      </c>
      <c r="AG998" s="713"/>
      <c r="AH998" s="713"/>
      <c r="AI998" s="112">
        <f>IF(H998="credit",0,IF(AE998="free",0,IF(AE998="me",0,IF(G998&gt;0,(VLOOKUP(A998,'Discount Lookup'!J:K,2)*G998),0))))</f>
        <v>0</v>
      </c>
      <c r="AJ998" s="107" t="str">
        <f t="shared" ca="1" si="727"/>
        <v/>
      </c>
      <c r="AK998" s="714" t="str">
        <f t="shared" si="728"/>
        <v/>
      </c>
      <c r="AL998" s="714"/>
      <c r="AM998" s="114" t="str">
        <f t="shared" si="729"/>
        <v/>
      </c>
      <c r="AN998" s="115"/>
      <c r="AO998" s="116"/>
      <c r="AP998" s="116"/>
      <c r="AQ998" s="116"/>
      <c r="AR998" s="116"/>
      <c r="AS998" s="116"/>
      <c r="AT998" s="116"/>
      <c r="AU998" s="116"/>
      <c r="AV998" s="78"/>
      <c r="AW998" s="102"/>
      <c r="AX998" s="78"/>
      <c r="AY998" s="78"/>
      <c r="AZ998" s="78"/>
      <c r="BA998" s="78"/>
      <c r="BB998" s="78"/>
      <c r="BC998" s="78"/>
      <c r="BD998" s="78"/>
      <c r="BE998" s="465"/>
      <c r="BF998" s="165" t="str">
        <f t="shared" si="730"/>
        <v>https://www.google.com/search?tbm=isch&amp;q=7%20G4</v>
      </c>
      <c r="BG998" s="165" t="str">
        <f t="shared" si="731"/>
        <v>C</v>
      </c>
      <c r="BH998" s="65"/>
      <c r="BI998" s="65"/>
      <c r="BJ998" s="65"/>
      <c r="BK998" s="65"/>
      <c r="BL998" s="99"/>
      <c r="BM998" s="99"/>
      <c r="BN998" s="99"/>
    </row>
    <row r="999" spans="1:66" s="51" customFormat="1" ht="15.75" x14ac:dyDescent="0.25">
      <c r="A999" s="634">
        <v>10</v>
      </c>
      <c r="B999" s="635" t="s">
        <v>291</v>
      </c>
      <c r="C999" s="636" t="s">
        <v>5150</v>
      </c>
      <c r="D999" s="637" t="s">
        <v>299</v>
      </c>
      <c r="E999" s="638">
        <v>148.94999999999999</v>
      </c>
      <c r="F999" s="639" t="s">
        <v>292</v>
      </c>
      <c r="G999" s="484">
        <v>0</v>
      </c>
      <c r="H999" s="691" t="str">
        <f>IF(G999=0,"",IF(F999="Buy",IF(G999=1,"plant","plants"),IF(F999&gt;0.01,"warranty","Error")))</f>
        <v/>
      </c>
      <c r="I999" s="640">
        <f>IF(H999="free",0,IF(H999="credit",((E999*(F999))*G999*-1),IF(F999="Buy",(E999*G999),((E999*(1-F999))*G999))))</f>
        <v>0</v>
      </c>
      <c r="J999" s="640">
        <f>IF(H999="warranty",0,(I999*(_xlfn.SINGLE(SalesTaxPercentage))))</f>
        <v>0</v>
      </c>
      <c r="K999" s="716">
        <f t="shared" ref="K999" si="740">I999+J999</f>
        <v>0</v>
      </c>
      <c r="L999" s="716"/>
      <c r="M999" s="689" t="str">
        <f ca="1">IF(AND(G999&gt;0,E999=0),"WARNING - no PRICE inserted",IF(H999="free","FREE ~ no charge this plant",IF(H999="credit",CONCATENATE("-$",ROUND(K999*(1-_xlfn.SINGLE(T2GDiscount))*-1,2)," CREDIT after discount"),IF(_xlfn.SINGLE(T2GDiscount)=0,"",IF(G999=0,"",IF(F999="Buy",CONCATENATE("$",ROUND(K999*(1-_xlfn.SINGLE(T2GDiscount)),2)," with ",(_xlfn.SINGLE(T2GDiscount)*100),"% discount"),CONCATENATE("$",ROUND(K999*(1-_xlfn.SINGLE(T2GDiscount)),2)," with ",((_xlfn.SINGLE(T2GDiscount)*100+F999*100)-(_xlfn.SINGLE(T2GDiscount)*100*F999)),IF(F999&gt;0,"% discounts",IF(_xlfn.SINGLE(NoWarrantyDiscount)&gt;0,"% discounts","% discount")))))))))</f>
        <v/>
      </c>
      <c r="N999" s="690"/>
      <c r="O999" s="486"/>
      <c r="P999" s="486"/>
      <c r="Q999" s="486"/>
      <c r="R999" s="486"/>
      <c r="S999" s="486"/>
      <c r="T999" s="102">
        <f t="shared" si="719"/>
        <v>0</v>
      </c>
      <c r="U999" s="78">
        <f>IF(NOT(ISNUMBER(G999)), "", VLOOKUP(A999,'Discount Lookup'!D:E,2,FALSE)*G999)</f>
        <v>0</v>
      </c>
      <c r="V999" s="78">
        <f>IF(NOT(ISNUMBER(G999)), "", VLOOKUP(A999,'Discount Lookup'!G:H,2,FALSE)*G999)</f>
        <v>0</v>
      </c>
      <c r="W999" s="102">
        <f t="shared" si="720"/>
        <v>0</v>
      </c>
      <c r="X999" s="102">
        <f t="shared" si="721"/>
        <v>0</v>
      </c>
      <c r="Y999" s="120" t="b">
        <f t="shared" si="722"/>
        <v>0</v>
      </c>
      <c r="Z999" s="117">
        <f t="shared" si="723"/>
        <v>0</v>
      </c>
      <c r="AA999" s="118"/>
      <c r="AB999" s="118" t="str">
        <f t="shared" si="724"/>
        <v/>
      </c>
      <c r="AC999" s="712" t="str">
        <f>IF(AE999="T2G","no charge",IF(AND(OR(PlanterYesMe="No",PlanterYesMe="N",PlanterYesMe="me"),H999=""),"",IF(H999="credit","NO install",IF(AND(K999="",AE999="me"),"EACH row",IF(AND(K999="images",AE999="me"),"EACH row",IF(D999="","",IF(H999="credit","",IF(AE999="free","re-planting",IF(AE999="me","   not ELP, by",IF(AND(OR(PlanterYesMe="Yes",PlanterYesMe="Y"),G999&gt;0),(VLOOKUP(A999,'Discount Lookup'!J:K,2)*G999*(1-PlanterDiscount)*(1+PlanterDifficultyPercentage)),IF(AE999="ELP",(VLOOKUP(A999,'Discount Lookup'!J:K,2)*G999*(1-PlanterDiscount)*(1+PlanterDifficultyPercentage)),IF(AE999="free","re-planting",IF(G999=0,"",IF(PlanterYesMe="",IF(AE999="me","   not ELP, by",IF(AE999="",IF(G999&gt;0,(VLOOKUP(A999,'Discount Lookup'!J:K,2)*G999*(1-PlanterDiscount)*(1+PlanterDifficultyPercentage)),""),"")),"   not ELP, by"))))))))))))))</f>
        <v/>
      </c>
      <c r="AD999" s="712"/>
      <c r="AE999" s="513" t="str">
        <f t="shared" si="725"/>
        <v/>
      </c>
      <c r="AF999" s="713" t="str">
        <f t="shared" si="726"/>
        <v/>
      </c>
      <c r="AG999" s="713"/>
      <c r="AH999" s="713"/>
      <c r="AI999" s="112">
        <f>IF(H999="credit",0,IF(AE999="free",0,IF(AE999="me",0,IF(G999&gt;0,(VLOOKUP(A999,'Discount Lookup'!J:K,2)*G999),0))))</f>
        <v>0</v>
      </c>
      <c r="AJ999" s="107" t="str">
        <f t="shared" ca="1" si="727"/>
        <v/>
      </c>
      <c r="AK999" s="714" t="str">
        <f t="shared" si="728"/>
        <v/>
      </c>
      <c r="AL999" s="714"/>
      <c r="AM999" s="114" t="str">
        <f t="shared" si="729"/>
        <v/>
      </c>
      <c r="AN999" s="115"/>
      <c r="AO999" s="116"/>
      <c r="AP999" s="116"/>
      <c r="AQ999" s="116"/>
      <c r="AR999" s="116"/>
      <c r="AS999" s="116"/>
      <c r="AT999" s="116"/>
      <c r="AU999" s="116"/>
      <c r="AV999" s="78"/>
      <c r="AW999" s="102"/>
      <c r="AX999" s="78"/>
      <c r="AY999" s="78"/>
      <c r="AZ999" s="78"/>
      <c r="BA999" s="78"/>
      <c r="BB999" s="78"/>
      <c r="BC999" s="78"/>
      <c r="BD999" s="78"/>
      <c r="BE999" s="465"/>
      <c r="BF999" s="165" t="str">
        <f t="shared" si="730"/>
        <v>https://www.google.com/search?tbm=isch&amp;q=10%20G4</v>
      </c>
      <c r="BG999" s="165" t="str">
        <f t="shared" si="731"/>
        <v>C</v>
      </c>
      <c r="BH999" s="65"/>
      <c r="BI999" s="65"/>
      <c r="BJ999" s="65"/>
      <c r="BK999" s="65"/>
      <c r="BL999" s="99"/>
      <c r="BM999" s="99"/>
      <c r="BN999" s="99"/>
    </row>
    <row r="1000" spans="1:66" s="51" customFormat="1" ht="17.25" thickBot="1" x14ac:dyDescent="0.3">
      <c r="A1000" s="641" t="s">
        <v>4700</v>
      </c>
      <c r="B1000" s="642"/>
      <c r="C1000" s="710"/>
      <c r="D1000" s="643"/>
      <c r="E1000" s="643"/>
      <c r="F1000" s="644"/>
      <c r="G1000" s="645"/>
      <c r="H1000" s="646"/>
      <c r="I1000" s="647"/>
      <c r="J1000" s="648"/>
      <c r="K1000" s="649"/>
      <c r="L1000" s="650"/>
      <c r="M1000" s="650"/>
      <c r="N1000" s="644"/>
      <c r="O1000" s="644"/>
      <c r="P1000" s="644"/>
      <c r="Q1000" s="644"/>
      <c r="R1000" s="644"/>
      <c r="S1000" s="701" t="s">
        <v>5262</v>
      </c>
      <c r="T1000" s="102">
        <f t="shared" si="719"/>
        <v>0</v>
      </c>
      <c r="U1000" s="78" t="str">
        <f>IF(NOT(ISNUMBER(G1000)), "", VLOOKUP(A1000,'Discount Lookup'!D:E,2,FALSE)*G1000)</f>
        <v/>
      </c>
      <c r="V1000" s="78" t="str">
        <f>IF(NOT(ISNUMBER(G1000)), "", VLOOKUP(A1000,'Discount Lookup'!G:H,2,FALSE)*G1000)</f>
        <v/>
      </c>
      <c r="W1000" s="102">
        <f t="shared" si="720"/>
        <v>0</v>
      </c>
      <c r="X1000" s="102">
        <f t="shared" si="721"/>
        <v>0</v>
      </c>
      <c r="Y1000" s="120" t="b">
        <f t="shared" si="722"/>
        <v>0</v>
      </c>
      <c r="Z1000" s="117">
        <f t="shared" si="723"/>
        <v>0</v>
      </c>
      <c r="AA1000" s="118"/>
      <c r="AB1000" s="118" t="str">
        <f t="shared" si="724"/>
        <v/>
      </c>
      <c r="AC1000" s="712" t="str">
        <f>IF(AE1000="T2G","no charge",IF(AND(OR(PlanterYesMe="No",PlanterYesMe="N",PlanterYesMe="me"),H1000=""),"",IF(H1000="credit","NO install",IF(AND(K1000="",AE1000="me"),"EACH row",IF(AND(K1000="images",AE1000="me"),"EACH row",IF(D1000="","",IF(H1000="credit","",IF(AE1000="free","re-planting",IF(AE1000="me","   not ELP, by",IF(AND(OR(PlanterYesMe="Yes",PlanterYesMe="Y"),G1000&gt;0),(VLOOKUP(A1000,'Discount Lookup'!J:K,2)*G1000*(1-PlanterDiscount)*(1+PlanterDifficultyPercentage)),IF(AE1000="ELP",(VLOOKUP(A1000,'Discount Lookup'!J:K,2)*G1000*(1-PlanterDiscount)*(1+PlanterDifficultyPercentage)),IF(AE1000="free","re-planting",IF(G1000=0,"",IF(PlanterYesMe="",IF(AE1000="me","   not ELP, by",IF(AE1000="",IF(G1000&gt;0,(VLOOKUP(A1000,'Discount Lookup'!J:K,2)*G1000*(1-PlanterDiscount)*(1+PlanterDifficultyPercentage)),""),"")),"   not ELP, by"))))))))))))))</f>
        <v/>
      </c>
      <c r="AD1000" s="712"/>
      <c r="AE1000" s="513" t="str">
        <f t="shared" si="725"/>
        <v/>
      </c>
      <c r="AF1000" s="713" t="str">
        <f t="shared" si="726"/>
        <v/>
      </c>
      <c r="AG1000" s="713"/>
      <c r="AH1000" s="713"/>
      <c r="AI1000" s="112">
        <f>IF(H1000="credit",0,IF(AE1000="free",0,IF(AE1000="me",0,IF(G1000&gt;0,(VLOOKUP(A1000,'Discount Lookup'!J:K,2)*G1000),0))))</f>
        <v>0</v>
      </c>
      <c r="AJ1000" s="107" t="str">
        <f t="shared" ca="1" si="727"/>
        <v/>
      </c>
      <c r="AK1000" s="714" t="str">
        <f t="shared" si="728"/>
        <v/>
      </c>
      <c r="AL1000" s="714"/>
      <c r="AM1000" s="114" t="str">
        <f t="shared" si="729"/>
        <v/>
      </c>
      <c r="AN1000" s="115"/>
      <c r="AO1000" s="116"/>
      <c r="AP1000" s="116"/>
      <c r="AQ1000" s="116"/>
      <c r="AR1000" s="116"/>
      <c r="AS1000" s="116"/>
      <c r="AT1000" s="116"/>
      <c r="AU1000" s="116"/>
      <c r="AV1000" s="78"/>
      <c r="AW1000" s="102"/>
      <c r="AX1000" s="78"/>
      <c r="AY1000" s="78"/>
      <c r="AZ1000" s="78"/>
      <c r="BA1000" s="78"/>
      <c r="BB1000" s="78"/>
      <c r="BC1000" s="78"/>
      <c r="BD1000" s="78"/>
      <c r="BE1000" s="465"/>
      <c r="BF1000" s="165" t="str">
        <f t="shared" si="730"/>
        <v>https://www.google.com/search?tbm=isch&amp;q=Sparkling%20Wine%20named%20for%20shimmering%2C%20variegated%20new%20foliage%2C%20emerging%20with%20an%20Orange-Red%20hue%2C%20that%20holds%20well%20through%20summer%20</v>
      </c>
      <c r="BG1000" s="165" t="str">
        <f t="shared" si="731"/>
        <v>S</v>
      </c>
      <c r="BH1000" s="65"/>
      <c r="BI1000" s="65"/>
      <c r="BJ1000" s="65"/>
      <c r="BK1000" s="65"/>
      <c r="BL1000" s="99"/>
      <c r="BM1000" s="99"/>
      <c r="BN1000" s="99"/>
    </row>
    <row r="1001" spans="1:66" s="51" customFormat="1" ht="18" x14ac:dyDescent="0.25">
      <c r="A1001" s="623" t="s">
        <v>2052</v>
      </c>
      <c r="B1001" s="624"/>
      <c r="C1001" s="709"/>
      <c r="D1001" s="625" t="s">
        <v>2053</v>
      </c>
      <c r="E1001" s="626"/>
      <c r="F1001" s="626"/>
      <c r="G1001" s="626"/>
      <c r="H1001" s="622" t="s">
        <v>1147</v>
      </c>
      <c r="I1001" s="627" t="s">
        <v>1458</v>
      </c>
      <c r="J1001" s="628"/>
      <c r="K1001" s="628"/>
      <c r="L1001" s="629"/>
      <c r="M1001" s="700" t="s">
        <v>5249</v>
      </c>
      <c r="N1001" s="693" t="str">
        <f>IF(AND(ISTEXT($A1001), ISERROR($A1001+0)), HYPERLINK($BF1001, "Images"), "")</f>
        <v>Images</v>
      </c>
      <c r="O1001" s="695" t="s">
        <v>5264</v>
      </c>
      <c r="P1001" s="630"/>
      <c r="Q1001" s="631"/>
      <c r="R1001" s="632"/>
      <c r="S1001" s="633" t="s">
        <v>294</v>
      </c>
      <c r="T1001" s="102">
        <f t="shared" si="719"/>
        <v>0</v>
      </c>
      <c r="U1001" s="78" t="str">
        <f>IF(NOT(ISNUMBER(G1001)), "", VLOOKUP(A1001,'Discount Lookup'!D:E,2,FALSE)*G1001)</f>
        <v/>
      </c>
      <c r="V1001" s="78" t="str">
        <f>IF(NOT(ISNUMBER(G1001)), "", VLOOKUP(A1001,'Discount Lookup'!G:H,2,FALSE)*G1001)</f>
        <v/>
      </c>
      <c r="W1001" s="102">
        <f t="shared" si="720"/>
        <v>0</v>
      </c>
      <c r="X1001" s="102" t="str">
        <f t="shared" si="721"/>
        <v>Pink bloom</v>
      </c>
      <c r="Y1001" s="120" t="b">
        <f t="shared" si="722"/>
        <v>0</v>
      </c>
      <c r="Z1001" s="117">
        <f t="shared" si="723"/>
        <v>0</v>
      </c>
      <c r="AA1001" s="118"/>
      <c r="AB1001" s="118" t="str">
        <f t="shared" si="724"/>
        <v/>
      </c>
      <c r="AC1001" s="712" t="str">
        <f>IF(AE1001="T2G","no charge",IF(AND(OR(PlanterYesMe="No",PlanterYesMe="N",PlanterYesMe="me"),H1001=""),"",IF(H1001="credit","NO install",IF(AND(K1001="",AE1001="me"),"EACH row",IF(AND(K1001="images",AE1001="me"),"EACH row",IF(D1001="","",IF(H1001="credit","",IF(AE1001="free","re-planting",IF(AE1001="me","   not ELP, by",IF(AND(OR(PlanterYesMe="Yes",PlanterYesMe="Y"),G1001&gt;0),(VLOOKUP(A1001,'Discount Lookup'!J:K,2)*G1001*(1-PlanterDiscount)*(1+PlanterDifficultyPercentage)),IF(AE1001="ELP",(VLOOKUP(A1001,'Discount Lookup'!J:K,2)*G1001*(1-PlanterDiscount)*(1+PlanterDifficultyPercentage)),IF(AE1001="free","re-planting",IF(G1001=0,"",IF(PlanterYesMe="",IF(AE1001="me","   not ELP, by",IF(AE1001="",IF(G1001&gt;0,(VLOOKUP(A1001,'Discount Lookup'!J:K,2)*G1001*(1-PlanterDiscount)*(1+PlanterDifficultyPercentage)),""),"")),"   not ELP, by"))))))))))))))</f>
        <v/>
      </c>
      <c r="AD1001" s="712"/>
      <c r="AE1001" s="513" t="str">
        <f t="shared" si="725"/>
        <v/>
      </c>
      <c r="AF1001" s="713" t="str">
        <f t="shared" si="726"/>
        <v/>
      </c>
      <c r="AG1001" s="713"/>
      <c r="AH1001" s="713"/>
      <c r="AI1001" s="112">
        <f>IF(H1001="credit",0,IF(AE1001="free",0,IF(AE1001="me",0,IF(G1001&gt;0,(VLOOKUP(A1001,'Discount Lookup'!J:K,2)*G1001),0))))</f>
        <v>0</v>
      </c>
      <c r="AJ1001" s="107" t="str">
        <f t="shared" ca="1" si="727"/>
        <v/>
      </c>
      <c r="AK1001" s="714" t="str">
        <f t="shared" si="728"/>
        <v/>
      </c>
      <c r="AL1001" s="714"/>
      <c r="AM1001" s="114" t="str">
        <f t="shared" si="729"/>
        <v/>
      </c>
      <c r="AN1001" s="115"/>
      <c r="AO1001" s="116"/>
      <c r="AP1001" s="116"/>
      <c r="AQ1001" s="116"/>
      <c r="AR1001" s="116"/>
      <c r="AS1001" s="116"/>
      <c r="AT1001" s="116"/>
      <c r="AU1001" s="116"/>
      <c r="AV1001" s="78"/>
      <c r="AW1001" s="102"/>
      <c r="AX1001" s="78"/>
      <c r="AY1001" s="78"/>
      <c r="AZ1001" s="78"/>
      <c r="BA1001" s="78"/>
      <c r="BB1001" s="78"/>
      <c r="BC1001" s="78"/>
      <c r="BD1001" s="78"/>
      <c r="BE1001" s="465"/>
      <c r="BF1001" s="165" t="str">
        <f t="shared" si="730"/>
        <v>https://www.google.com/search?tbm=isch&amp;q=Cercis%20canadensis%20%27Merlot%27%20PP%2322297%20Merlot%20Redbud</v>
      </c>
      <c r="BG1001" s="165" t="str">
        <f t="shared" si="731"/>
        <v>C</v>
      </c>
      <c r="BH1001" s="65"/>
      <c r="BI1001" s="65"/>
      <c r="BJ1001" s="65"/>
      <c r="BK1001" s="65"/>
      <c r="BL1001" s="99"/>
      <c r="BM1001" s="99"/>
      <c r="BN1001" s="99"/>
    </row>
    <row r="1002" spans="1:66" s="51" customFormat="1" ht="15.75" x14ac:dyDescent="0.25">
      <c r="A1002" s="634">
        <v>7</v>
      </c>
      <c r="B1002" s="635" t="s">
        <v>291</v>
      </c>
      <c r="C1002" s="636" t="s">
        <v>4588</v>
      </c>
      <c r="D1002" s="637" t="s">
        <v>299</v>
      </c>
      <c r="E1002" s="638">
        <v>104.95</v>
      </c>
      <c r="F1002" s="639" t="s">
        <v>292</v>
      </c>
      <c r="G1002" s="484">
        <v>0</v>
      </c>
      <c r="H1002" s="691" t="str">
        <f>IF(G1002=0,"",IF(F1002="Buy",IF(G1002=1,"plant","plants"),IF(F1002&gt;0.01,"warranty","Error")))</f>
        <v/>
      </c>
      <c r="I1002" s="640">
        <f>IF(H1002="free",0,IF(H1002="credit",((E1002*(F1002))*G1002*-1),IF(F1002="Buy",(E1002*G1002),((E1002*(1-F1002))*G1002))))</f>
        <v>0</v>
      </c>
      <c r="J1002" s="640">
        <f>IF(H1002="warranty",0,(I1002*(_xlfn.SINGLE(SalesTaxPercentage))))</f>
        <v>0</v>
      </c>
      <c r="K1002" s="716">
        <f t="shared" ref="K1002" si="741">I1002+J1002</f>
        <v>0</v>
      </c>
      <c r="L1002" s="716"/>
      <c r="M1002" s="689" t="str">
        <f ca="1">IF(AND(G1002&gt;0,E1002=0),"WARNING - no PRICE inserted",IF(H1002="free","FREE ~ no charge this plant",IF(H1002="credit",CONCATENATE("-$",ROUND(K1002*(1-_xlfn.SINGLE(T2GDiscount))*-1,2)," CREDIT after discount"),IF(_xlfn.SINGLE(T2GDiscount)=0,"",IF(G1002=0,"",IF(F1002="Buy",CONCATENATE("$",ROUND(K1002*(1-_xlfn.SINGLE(T2GDiscount)),2)," with ",(_xlfn.SINGLE(T2GDiscount)*100),"% discount"),CONCATENATE("$",ROUND(K1002*(1-_xlfn.SINGLE(T2GDiscount)),2)," with ",((_xlfn.SINGLE(T2GDiscount)*100+F1002*100)-(_xlfn.SINGLE(T2GDiscount)*100*F1002)),IF(F1002&gt;0,"% discounts",IF(_xlfn.SINGLE(NoWarrantyDiscount)&gt;0,"% discounts","% discount")))))))))</f>
        <v/>
      </c>
      <c r="N1002" s="690"/>
      <c r="O1002" s="486"/>
      <c r="P1002" s="486"/>
      <c r="Q1002" s="486"/>
      <c r="R1002" s="486"/>
      <c r="S1002" s="486"/>
      <c r="T1002" s="102">
        <f t="shared" si="719"/>
        <v>0</v>
      </c>
      <c r="U1002" s="78">
        <f>IF(NOT(ISNUMBER(G1002)), "", VLOOKUP(A1002,'Discount Lookup'!D:E,2,FALSE)*G1002)</f>
        <v>0</v>
      </c>
      <c r="V1002" s="78">
        <f>IF(NOT(ISNUMBER(G1002)), "", VLOOKUP(A1002,'Discount Lookup'!G:H,2,FALSE)*G1002)</f>
        <v>0</v>
      </c>
      <c r="W1002" s="102">
        <f t="shared" si="720"/>
        <v>0</v>
      </c>
      <c r="X1002" s="102">
        <f t="shared" si="721"/>
        <v>0</v>
      </c>
      <c r="Y1002" s="120" t="b">
        <f t="shared" si="722"/>
        <v>0</v>
      </c>
      <c r="Z1002" s="117">
        <f t="shared" si="723"/>
        <v>0</v>
      </c>
      <c r="AA1002" s="118"/>
      <c r="AB1002" s="118" t="str">
        <f t="shared" si="724"/>
        <v/>
      </c>
      <c r="AC1002" s="712" t="str">
        <f>IF(AE1002="T2G","no charge",IF(AND(OR(PlanterYesMe="No",PlanterYesMe="N",PlanterYesMe="me"),H1002=""),"",IF(H1002="credit","NO install",IF(AND(K1002="",AE1002="me"),"EACH row",IF(AND(K1002="images",AE1002="me"),"EACH row",IF(D1002="","",IF(H1002="credit","",IF(AE1002="free","re-planting",IF(AE1002="me","   not ELP, by",IF(AND(OR(PlanterYesMe="Yes",PlanterYesMe="Y"),G1002&gt;0),(VLOOKUP(A1002,'Discount Lookup'!J:K,2)*G1002*(1-PlanterDiscount)*(1+PlanterDifficultyPercentage)),IF(AE1002="ELP",(VLOOKUP(A1002,'Discount Lookup'!J:K,2)*G1002*(1-PlanterDiscount)*(1+PlanterDifficultyPercentage)),IF(AE1002="free","re-planting",IF(G1002=0,"",IF(PlanterYesMe="",IF(AE1002="me","   not ELP, by",IF(AE1002="",IF(G1002&gt;0,(VLOOKUP(A1002,'Discount Lookup'!J:K,2)*G1002*(1-PlanterDiscount)*(1+PlanterDifficultyPercentage)),""),"")),"   not ELP, by"))))))))))))))</f>
        <v/>
      </c>
      <c r="AD1002" s="712"/>
      <c r="AE1002" s="513" t="str">
        <f t="shared" si="725"/>
        <v/>
      </c>
      <c r="AF1002" s="713" t="str">
        <f t="shared" si="726"/>
        <v/>
      </c>
      <c r="AG1002" s="713"/>
      <c r="AH1002" s="713"/>
      <c r="AI1002" s="112">
        <f>IF(H1002="credit",0,IF(AE1002="free",0,IF(AE1002="me",0,IF(G1002&gt;0,(VLOOKUP(A1002,'Discount Lookup'!J:K,2)*G1002),0))))</f>
        <v>0</v>
      </c>
      <c r="AJ1002" s="107" t="str">
        <f t="shared" ca="1" si="727"/>
        <v/>
      </c>
      <c r="AK1002" s="714" t="str">
        <f t="shared" si="728"/>
        <v/>
      </c>
      <c r="AL1002" s="714"/>
      <c r="AM1002" s="114" t="str">
        <f t="shared" si="729"/>
        <v/>
      </c>
      <c r="AN1002" s="115"/>
      <c r="AO1002" s="116"/>
      <c r="AP1002" s="116"/>
      <c r="AQ1002" s="116"/>
      <c r="AR1002" s="116"/>
      <c r="AS1002" s="116"/>
      <c r="AT1002" s="116"/>
      <c r="AU1002" s="116"/>
      <c r="AV1002" s="78"/>
      <c r="AW1002" s="102"/>
      <c r="AX1002" s="78"/>
      <c r="AY1002" s="78"/>
      <c r="AZ1002" s="78"/>
      <c r="BA1002" s="78"/>
      <c r="BB1002" s="78"/>
      <c r="BC1002" s="78"/>
      <c r="BD1002" s="78"/>
      <c r="BE1002" s="465"/>
      <c r="BF1002" s="165" t="str">
        <f t="shared" si="730"/>
        <v>https://www.google.com/search?tbm=isch&amp;q=7%20G4</v>
      </c>
      <c r="BG1002" s="165" t="str">
        <f t="shared" si="731"/>
        <v>C</v>
      </c>
      <c r="BH1002" s="65"/>
      <c r="BI1002" s="65"/>
      <c r="BJ1002" s="65"/>
      <c r="BK1002" s="65"/>
      <c r="BL1002" s="99"/>
      <c r="BM1002" s="99"/>
      <c r="BN1002" s="99"/>
    </row>
    <row r="1003" spans="1:66" s="51" customFormat="1" ht="15.75" x14ac:dyDescent="0.25">
      <c r="A1003" s="634">
        <v>10</v>
      </c>
      <c r="B1003" s="635" t="s">
        <v>291</v>
      </c>
      <c r="C1003" s="636" t="s">
        <v>2014</v>
      </c>
      <c r="D1003" s="637" t="s">
        <v>329</v>
      </c>
      <c r="E1003" s="638">
        <v>146.94999999999999</v>
      </c>
      <c r="F1003" s="639" t="s">
        <v>292</v>
      </c>
      <c r="G1003" s="484">
        <v>0</v>
      </c>
      <c r="H1003" s="691" t="str">
        <f>IF(G1003=0,"",IF(F1003="Buy",IF(G1003=1,"plant","plants"),IF(F1003&gt;0.01,"warranty","Error")))</f>
        <v/>
      </c>
      <c r="I1003" s="640">
        <f>IF(H1003="free",0,IF(H1003="credit",((E1003*(F1003))*G1003*-1),IF(F1003="Buy",(E1003*G1003),((E1003*(1-F1003))*G1003))))</f>
        <v>0</v>
      </c>
      <c r="J1003" s="640">
        <f>IF(H1003="warranty",0,(I1003*(_xlfn.SINGLE(SalesTaxPercentage))))</f>
        <v>0</v>
      </c>
      <c r="K1003" s="716">
        <f t="shared" ref="K1003" si="742">I1003+J1003</f>
        <v>0</v>
      </c>
      <c r="L1003" s="716"/>
      <c r="M1003" s="689" t="str">
        <f ca="1">IF(AND(G1003&gt;0,E1003=0),"WARNING - no PRICE inserted",IF(H1003="free","FREE ~ no charge this plant",IF(H1003="credit",CONCATENATE("-$",ROUND(K1003*(1-_xlfn.SINGLE(T2GDiscount))*-1,2)," CREDIT after discount"),IF(_xlfn.SINGLE(T2GDiscount)=0,"",IF(G1003=0,"",IF(F1003="Buy",CONCATENATE("$",ROUND(K1003*(1-_xlfn.SINGLE(T2GDiscount)),2)," with ",(_xlfn.SINGLE(T2GDiscount)*100),"% discount"),CONCATENATE("$",ROUND(K1003*(1-_xlfn.SINGLE(T2GDiscount)),2)," with ",((_xlfn.SINGLE(T2GDiscount)*100+F1003*100)-(_xlfn.SINGLE(T2GDiscount)*100*F1003)),IF(F1003&gt;0,"% discounts",IF(_xlfn.SINGLE(NoWarrantyDiscount)&gt;0,"% discounts","% discount")))))))))</f>
        <v/>
      </c>
      <c r="N1003" s="690"/>
      <c r="O1003" s="486"/>
      <c r="P1003" s="486"/>
      <c r="Q1003" s="486"/>
      <c r="R1003" s="486"/>
      <c r="S1003" s="486"/>
      <c r="T1003" s="102">
        <f t="shared" si="719"/>
        <v>0</v>
      </c>
      <c r="U1003" s="78">
        <f>IF(NOT(ISNUMBER(G1003)), "", VLOOKUP(A1003,'Discount Lookup'!D:E,2,FALSE)*G1003)</f>
        <v>0</v>
      </c>
      <c r="V1003" s="78">
        <f>IF(NOT(ISNUMBER(G1003)), "", VLOOKUP(A1003,'Discount Lookup'!G:H,2,FALSE)*G1003)</f>
        <v>0</v>
      </c>
      <c r="W1003" s="102">
        <f t="shared" si="720"/>
        <v>0</v>
      </c>
      <c r="X1003" s="102">
        <f t="shared" si="721"/>
        <v>0</v>
      </c>
      <c r="Y1003" s="120" t="b">
        <f t="shared" si="722"/>
        <v>0</v>
      </c>
      <c r="Z1003" s="117">
        <f t="shared" si="723"/>
        <v>0</v>
      </c>
      <c r="AA1003" s="118"/>
      <c r="AB1003" s="118" t="str">
        <f t="shared" si="724"/>
        <v/>
      </c>
      <c r="AC1003" s="712" t="str">
        <f>IF(AE1003="T2G","no charge",IF(AND(OR(PlanterYesMe="No",PlanterYesMe="N",PlanterYesMe="me"),H1003=""),"",IF(H1003="credit","NO install",IF(AND(K1003="",AE1003="me"),"EACH row",IF(AND(K1003="images",AE1003="me"),"EACH row",IF(D1003="","",IF(H1003="credit","",IF(AE1003="free","re-planting",IF(AE1003="me","   not ELP, by",IF(AND(OR(PlanterYesMe="Yes",PlanterYesMe="Y"),G1003&gt;0),(VLOOKUP(A1003,'Discount Lookup'!J:K,2)*G1003*(1-PlanterDiscount)*(1+PlanterDifficultyPercentage)),IF(AE1003="ELP",(VLOOKUP(A1003,'Discount Lookup'!J:K,2)*G1003*(1-PlanterDiscount)*(1+PlanterDifficultyPercentage)),IF(AE1003="free","re-planting",IF(G1003=0,"",IF(PlanterYesMe="",IF(AE1003="me","   not ELP, by",IF(AE1003="",IF(G1003&gt;0,(VLOOKUP(A1003,'Discount Lookup'!J:K,2)*G1003*(1-PlanterDiscount)*(1+PlanterDifficultyPercentage)),""),"")),"   not ELP, by"))))))))))))))</f>
        <v/>
      </c>
      <c r="AD1003" s="712"/>
      <c r="AE1003" s="513" t="str">
        <f t="shared" si="725"/>
        <v/>
      </c>
      <c r="AF1003" s="713" t="str">
        <f t="shared" si="726"/>
        <v/>
      </c>
      <c r="AG1003" s="713"/>
      <c r="AH1003" s="713"/>
      <c r="AI1003" s="112">
        <f>IF(H1003="credit",0,IF(AE1003="free",0,IF(AE1003="me",0,IF(G1003&gt;0,(VLOOKUP(A1003,'Discount Lookup'!J:K,2)*G1003),0))))</f>
        <v>0</v>
      </c>
      <c r="AJ1003" s="107" t="str">
        <f t="shared" ca="1" si="727"/>
        <v/>
      </c>
      <c r="AK1003" s="714" t="str">
        <f t="shared" si="728"/>
        <v/>
      </c>
      <c r="AL1003" s="714"/>
      <c r="AM1003" s="114" t="str">
        <f t="shared" si="729"/>
        <v/>
      </c>
      <c r="AN1003" s="115"/>
      <c r="AO1003" s="116"/>
      <c r="AP1003" s="116"/>
      <c r="AQ1003" s="116"/>
      <c r="AR1003" s="116"/>
      <c r="AS1003" s="116"/>
      <c r="AT1003" s="116"/>
      <c r="AU1003" s="116"/>
      <c r="AV1003" s="78"/>
      <c r="AW1003" s="102"/>
      <c r="AX1003" s="78"/>
      <c r="AY1003" s="78"/>
      <c r="AZ1003" s="78"/>
      <c r="BA1003" s="78"/>
      <c r="BB1003" s="78"/>
      <c r="BC1003" s="78"/>
      <c r="BD1003" s="78"/>
      <c r="BE1003" s="465"/>
      <c r="BF1003" s="165" t="str">
        <f t="shared" si="730"/>
        <v>https://www.google.com/search?tbm=isch&amp;q=10%20G2</v>
      </c>
      <c r="BG1003" s="165" t="str">
        <f t="shared" si="731"/>
        <v>C</v>
      </c>
      <c r="BH1003" s="65"/>
      <c r="BI1003" s="65"/>
      <c r="BJ1003" s="65"/>
      <c r="BK1003" s="65"/>
      <c r="BL1003" s="99"/>
      <c r="BM1003" s="99"/>
      <c r="BN1003" s="99"/>
    </row>
    <row r="1004" spans="1:66" s="51" customFormat="1" ht="15.75" x14ac:dyDescent="0.25">
      <c r="A1004" s="634">
        <v>15</v>
      </c>
      <c r="B1004" s="635" t="s">
        <v>291</v>
      </c>
      <c r="C1004" s="636" t="s">
        <v>924</v>
      </c>
      <c r="D1004" s="637" t="s">
        <v>299</v>
      </c>
      <c r="E1004" s="638">
        <v>178.95</v>
      </c>
      <c r="F1004" s="639" t="s">
        <v>292</v>
      </c>
      <c r="G1004" s="484">
        <v>0</v>
      </c>
      <c r="H1004" s="691" t="str">
        <f>IF(G1004=0,"",IF(F1004="Buy",IF(G1004=1,"plant","plants"),IF(F1004&gt;0.01,"warranty","Error")))</f>
        <v/>
      </c>
      <c r="I1004" s="640">
        <f>IF(H1004="free",0,IF(H1004="credit",((E1004*(F1004))*G1004*-1),IF(F1004="Buy",(E1004*G1004),((E1004*(1-F1004))*G1004))))</f>
        <v>0</v>
      </c>
      <c r="J1004" s="640">
        <f>IF(H1004="warranty",0,(I1004*(_xlfn.SINGLE(SalesTaxPercentage))))</f>
        <v>0</v>
      </c>
      <c r="K1004" s="716">
        <f t="shared" ref="K1004" si="743">I1004+J1004</f>
        <v>0</v>
      </c>
      <c r="L1004" s="716"/>
      <c r="M1004" s="689" t="str">
        <f ca="1">IF(AND(G1004&gt;0,E1004=0),"WARNING - no PRICE inserted",IF(H1004="free","FREE ~ no charge this plant",IF(H1004="credit",CONCATENATE("-$",ROUND(K1004*(1-_xlfn.SINGLE(T2GDiscount))*-1,2)," CREDIT after discount"),IF(_xlfn.SINGLE(T2GDiscount)=0,"",IF(G1004=0,"",IF(F1004="Buy",CONCATENATE("$",ROUND(K1004*(1-_xlfn.SINGLE(T2GDiscount)),2)," with ",(_xlfn.SINGLE(T2GDiscount)*100),"% discount"),CONCATENATE("$",ROUND(K1004*(1-_xlfn.SINGLE(T2GDiscount)),2)," with ",((_xlfn.SINGLE(T2GDiscount)*100+F1004*100)-(_xlfn.SINGLE(T2GDiscount)*100*F1004)),IF(F1004&gt;0,"% discounts",IF(_xlfn.SINGLE(NoWarrantyDiscount)&gt;0,"% discounts","% discount")))))))))</f>
        <v/>
      </c>
      <c r="N1004" s="690"/>
      <c r="O1004" s="486"/>
      <c r="P1004" s="486"/>
      <c r="Q1004" s="486"/>
      <c r="R1004" s="486"/>
      <c r="S1004" s="486"/>
      <c r="T1004" s="102">
        <f t="shared" si="719"/>
        <v>0</v>
      </c>
      <c r="U1004" s="78">
        <f>IF(NOT(ISNUMBER(G1004)), "", VLOOKUP(A1004,'Discount Lookup'!D:E,2,FALSE)*G1004)</f>
        <v>0</v>
      </c>
      <c r="V1004" s="78">
        <f>IF(NOT(ISNUMBER(G1004)), "", VLOOKUP(A1004,'Discount Lookup'!G:H,2,FALSE)*G1004)</f>
        <v>0</v>
      </c>
      <c r="W1004" s="102">
        <f t="shared" si="720"/>
        <v>0</v>
      </c>
      <c r="X1004" s="102">
        <f t="shared" si="721"/>
        <v>0</v>
      </c>
      <c r="Y1004" s="120" t="b">
        <f t="shared" si="722"/>
        <v>0</v>
      </c>
      <c r="Z1004" s="117">
        <f t="shared" si="723"/>
        <v>0</v>
      </c>
      <c r="AA1004" s="118"/>
      <c r="AB1004" s="118" t="str">
        <f t="shared" si="724"/>
        <v/>
      </c>
      <c r="AC1004" s="712" t="str">
        <f>IF(AE1004="T2G","no charge",IF(AND(OR(PlanterYesMe="No",PlanterYesMe="N",PlanterYesMe="me"),H1004=""),"",IF(H1004="credit","NO install",IF(AND(K1004="",AE1004="me"),"EACH row",IF(AND(K1004="images",AE1004="me"),"EACH row",IF(D1004="","",IF(H1004="credit","",IF(AE1004="free","re-planting",IF(AE1004="me","   not ELP, by",IF(AND(OR(PlanterYesMe="Yes",PlanterYesMe="Y"),G1004&gt;0),(VLOOKUP(A1004,'Discount Lookup'!J:K,2)*G1004*(1-PlanterDiscount)*(1+PlanterDifficultyPercentage)),IF(AE1004="ELP",(VLOOKUP(A1004,'Discount Lookup'!J:K,2)*G1004*(1-PlanterDiscount)*(1+PlanterDifficultyPercentage)),IF(AE1004="free","re-planting",IF(G1004=0,"",IF(PlanterYesMe="",IF(AE1004="me","   not ELP, by",IF(AE1004="",IF(G1004&gt;0,(VLOOKUP(A1004,'Discount Lookup'!J:K,2)*G1004*(1-PlanterDiscount)*(1+PlanterDifficultyPercentage)),""),"")),"   not ELP, by"))))))))))))))</f>
        <v/>
      </c>
      <c r="AD1004" s="712"/>
      <c r="AE1004" s="513" t="str">
        <f t="shared" si="725"/>
        <v/>
      </c>
      <c r="AF1004" s="713" t="str">
        <f t="shared" si="726"/>
        <v/>
      </c>
      <c r="AG1004" s="713"/>
      <c r="AH1004" s="713"/>
      <c r="AI1004" s="112">
        <f>IF(H1004="credit",0,IF(AE1004="free",0,IF(AE1004="me",0,IF(G1004&gt;0,(VLOOKUP(A1004,'Discount Lookup'!J:K,2)*G1004),0))))</f>
        <v>0</v>
      </c>
      <c r="AJ1004" s="107" t="str">
        <f t="shared" ca="1" si="727"/>
        <v/>
      </c>
      <c r="AK1004" s="714" t="str">
        <f t="shared" si="728"/>
        <v/>
      </c>
      <c r="AL1004" s="714"/>
      <c r="AM1004" s="114" t="str">
        <f t="shared" si="729"/>
        <v/>
      </c>
      <c r="AN1004" s="115"/>
      <c r="AO1004" s="116"/>
      <c r="AP1004" s="116"/>
      <c r="AQ1004" s="116"/>
      <c r="AR1004" s="116"/>
      <c r="AS1004" s="116"/>
      <c r="AT1004" s="116"/>
      <c r="AU1004" s="116"/>
      <c r="AV1004" s="78"/>
      <c r="AW1004" s="102"/>
      <c r="AX1004" s="78"/>
      <c r="AY1004" s="78"/>
      <c r="AZ1004" s="78"/>
      <c r="BA1004" s="78"/>
      <c r="BB1004" s="78"/>
      <c r="BC1004" s="78"/>
      <c r="BD1004" s="78"/>
      <c r="BE1004" s="465"/>
      <c r="BF1004" s="165" t="str">
        <f t="shared" si="730"/>
        <v>https://www.google.com/search?tbm=isch&amp;q=15%20G4</v>
      </c>
      <c r="BG1004" s="165" t="str">
        <f t="shared" si="731"/>
        <v>C</v>
      </c>
      <c r="BH1004" s="65"/>
      <c r="BI1004" s="65"/>
      <c r="BJ1004" s="65"/>
      <c r="BK1004" s="65"/>
      <c r="BL1004" s="99"/>
      <c r="BM1004" s="99"/>
      <c r="BN1004" s="99"/>
    </row>
    <row r="1005" spans="1:66" s="51" customFormat="1" ht="17.25" thickBot="1" x14ac:dyDescent="0.3">
      <c r="A1005" s="641" t="s">
        <v>2054</v>
      </c>
      <c r="B1005" s="642"/>
      <c r="C1005" s="710"/>
      <c r="D1005" s="643"/>
      <c r="E1005" s="643"/>
      <c r="F1005" s="644"/>
      <c r="G1005" s="645"/>
      <c r="H1005" s="646"/>
      <c r="I1005" s="647"/>
      <c r="J1005" s="648"/>
      <c r="K1005" s="649"/>
      <c r="L1005" s="650"/>
      <c r="M1005" s="650"/>
      <c r="N1005" s="644"/>
      <c r="O1005" s="644"/>
      <c r="P1005" s="644"/>
      <c r="Q1005" s="644"/>
      <c r="R1005" s="644"/>
      <c r="S1005" s="701" t="s">
        <v>5273</v>
      </c>
      <c r="T1005" s="102">
        <f t="shared" si="719"/>
        <v>0</v>
      </c>
      <c r="U1005" s="78" t="str">
        <f>IF(NOT(ISNUMBER(G1005)), "", VLOOKUP(A1005,'Discount Lookup'!D:E,2,FALSE)*G1005)</f>
        <v/>
      </c>
      <c r="V1005" s="78" t="str">
        <f>IF(NOT(ISNUMBER(G1005)), "", VLOOKUP(A1005,'Discount Lookup'!G:H,2,FALSE)*G1005)</f>
        <v/>
      </c>
      <c r="W1005" s="102">
        <f t="shared" si="720"/>
        <v>0</v>
      </c>
      <c r="X1005" s="102">
        <f t="shared" si="721"/>
        <v>0</v>
      </c>
      <c r="Y1005" s="120" t="b">
        <f t="shared" si="722"/>
        <v>0</v>
      </c>
      <c r="Z1005" s="117">
        <f t="shared" si="723"/>
        <v>0</v>
      </c>
      <c r="AA1005" s="118"/>
      <c r="AB1005" s="118" t="str">
        <f t="shared" si="724"/>
        <v/>
      </c>
      <c r="AC1005" s="712" t="str">
        <f>IF(AE1005="T2G","no charge",IF(AND(OR(PlanterYesMe="No",PlanterYesMe="N",PlanterYesMe="me"),H1005=""),"",IF(H1005="credit","NO install",IF(AND(K1005="",AE1005="me"),"EACH row",IF(AND(K1005="images",AE1005="me"),"EACH row",IF(D1005="","",IF(H1005="credit","",IF(AE1005="free","re-planting",IF(AE1005="me","   not ELP, by",IF(AND(OR(PlanterYesMe="Yes",PlanterYesMe="Y"),G1005&gt;0),(VLOOKUP(A1005,'Discount Lookup'!J:K,2)*G1005*(1-PlanterDiscount)*(1+PlanterDifficultyPercentage)),IF(AE1005="ELP",(VLOOKUP(A1005,'Discount Lookup'!J:K,2)*G1005*(1-PlanterDiscount)*(1+PlanterDifficultyPercentage)),IF(AE1005="free","re-planting",IF(G1005=0,"",IF(PlanterYesMe="",IF(AE1005="me","   not ELP, by",IF(AE1005="",IF(G1005&gt;0,(VLOOKUP(A1005,'Discount Lookup'!J:K,2)*G1005*(1-PlanterDiscount)*(1+PlanterDifficultyPercentage)),""),"")),"   not ELP, by"))))))))))))))</f>
        <v/>
      </c>
      <c r="AD1005" s="712"/>
      <c r="AE1005" s="513" t="str">
        <f t="shared" si="725"/>
        <v/>
      </c>
      <c r="AF1005" s="713" t="str">
        <f t="shared" si="726"/>
        <v/>
      </c>
      <c r="AG1005" s="713"/>
      <c r="AH1005" s="713"/>
      <c r="AI1005" s="112">
        <f>IF(H1005="credit",0,IF(AE1005="free",0,IF(AE1005="me",0,IF(G1005&gt;0,(VLOOKUP(A1005,'Discount Lookup'!J:K,2)*G1005),0))))</f>
        <v>0</v>
      </c>
      <c r="AJ1005" s="107" t="str">
        <f t="shared" ca="1" si="727"/>
        <v/>
      </c>
      <c r="AK1005" s="714" t="str">
        <f t="shared" si="728"/>
        <v/>
      </c>
      <c r="AL1005" s="714"/>
      <c r="AM1005" s="114" t="str">
        <f t="shared" si="729"/>
        <v/>
      </c>
      <c r="AN1005" s="115"/>
      <c r="AO1005" s="116"/>
      <c r="AP1005" s="116"/>
      <c r="AQ1005" s="116"/>
      <c r="AR1005" s="116"/>
      <c r="AS1005" s="116"/>
      <c r="AT1005" s="116"/>
      <c r="AU1005" s="116"/>
      <c r="AV1005" s="78"/>
      <c r="AW1005" s="102"/>
      <c r="AX1005" s="78"/>
      <c r="AY1005" s="78"/>
      <c r="AZ1005" s="78"/>
      <c r="BA1005" s="78"/>
      <c r="BB1005" s="78"/>
      <c r="BC1005" s="78"/>
      <c r="BD1005" s="78"/>
      <c r="BE1005" s="465"/>
      <c r="BF1005" s="165" t="str">
        <f t="shared" si="730"/>
        <v>https://www.google.com/search?tbm=isch&amp;q=Merlot%20foliage%20is%20color%20of%20wine%20by%20same%20name.%20Keeps%20color%20longer%20than%20most%20Redbuds.%20</v>
      </c>
      <c r="BG1005" s="165" t="str">
        <f t="shared" si="731"/>
        <v>M</v>
      </c>
      <c r="BH1005" s="65"/>
      <c r="BI1005" s="65"/>
      <c r="BJ1005" s="65"/>
      <c r="BK1005" s="65"/>
      <c r="BL1005" s="99"/>
      <c r="BM1005" s="99"/>
      <c r="BN1005" s="99"/>
    </row>
    <row r="1006" spans="1:66" s="51" customFormat="1" ht="18" x14ac:dyDescent="0.25">
      <c r="A1006" s="623" t="s">
        <v>2055</v>
      </c>
      <c r="B1006" s="624"/>
      <c r="C1006" s="709"/>
      <c r="D1006" s="625" t="s">
        <v>5867</v>
      </c>
      <c r="E1006" s="626"/>
      <c r="F1006" s="626"/>
      <c r="G1006" s="626"/>
      <c r="H1006" s="622" t="s">
        <v>2010</v>
      </c>
      <c r="I1006" s="627" t="s">
        <v>2030</v>
      </c>
      <c r="J1006" s="628"/>
      <c r="K1006" s="628"/>
      <c r="L1006" s="629"/>
      <c r="M1006" s="700" t="s">
        <v>5249</v>
      </c>
      <c r="N1006" s="693" t="str">
        <f>IF(AND(ISTEXT($A1006), ISERROR($A1006+0)), HYPERLINK($BF1006, "Images"), "")</f>
        <v>Images</v>
      </c>
      <c r="O1006" s="695" t="s">
        <v>5247</v>
      </c>
      <c r="P1006" s="630"/>
      <c r="Q1006" s="631"/>
      <c r="R1006" s="632"/>
      <c r="S1006" s="633" t="s">
        <v>294</v>
      </c>
      <c r="T1006" s="102">
        <f t="shared" si="719"/>
        <v>0</v>
      </c>
      <c r="U1006" s="78" t="str">
        <f>IF(NOT(ISNUMBER(G1006)), "", VLOOKUP(A1006,'Discount Lookup'!D:E,2,FALSE)*G1006)</f>
        <v/>
      </c>
      <c r="V1006" s="78" t="str">
        <f>IF(NOT(ISNUMBER(G1006)), "", VLOOKUP(A1006,'Discount Lookup'!G:H,2,FALSE)*G1006)</f>
        <v/>
      </c>
      <c r="W1006" s="102">
        <f t="shared" si="720"/>
        <v>0</v>
      </c>
      <c r="X1006" s="102" t="str">
        <f t="shared" si="721"/>
        <v>Rosy-Pink bloom</v>
      </c>
      <c r="Y1006" s="120" t="b">
        <f t="shared" si="722"/>
        <v>0</v>
      </c>
      <c r="Z1006" s="117">
        <f t="shared" si="723"/>
        <v>0</v>
      </c>
      <c r="AA1006" s="118"/>
      <c r="AB1006" s="118" t="str">
        <f t="shared" si="724"/>
        <v/>
      </c>
      <c r="AC1006" s="712" t="str">
        <f>IF(AE1006="T2G","no charge",IF(AND(OR(PlanterYesMe="No",PlanterYesMe="N",PlanterYesMe="me"),H1006=""),"",IF(H1006="credit","NO install",IF(AND(K1006="",AE1006="me"),"EACH row",IF(AND(K1006="images",AE1006="me"),"EACH row",IF(D1006="","",IF(H1006="credit","",IF(AE1006="free","re-planting",IF(AE1006="me","   not ELP, by",IF(AND(OR(PlanterYesMe="Yes",PlanterYesMe="Y"),G1006&gt;0),(VLOOKUP(A1006,'Discount Lookup'!J:K,2)*G1006*(1-PlanterDiscount)*(1+PlanterDifficultyPercentage)),IF(AE1006="ELP",(VLOOKUP(A1006,'Discount Lookup'!J:K,2)*G1006*(1-PlanterDiscount)*(1+PlanterDifficultyPercentage)),IF(AE1006="free","re-planting",IF(G1006=0,"",IF(PlanterYesMe="",IF(AE1006="me","   not ELP, by",IF(AE1006="",IF(G1006&gt;0,(VLOOKUP(A1006,'Discount Lookup'!J:K,2)*G1006*(1-PlanterDiscount)*(1+PlanterDifficultyPercentage)),""),"")),"   not ELP, by"))))))))))))))</f>
        <v/>
      </c>
      <c r="AD1006" s="712"/>
      <c r="AE1006" s="513" t="str">
        <f t="shared" si="725"/>
        <v/>
      </c>
      <c r="AF1006" s="713" t="str">
        <f t="shared" si="726"/>
        <v/>
      </c>
      <c r="AG1006" s="713"/>
      <c r="AH1006" s="713"/>
      <c r="AI1006" s="112">
        <f>IF(H1006="credit",0,IF(AE1006="free",0,IF(AE1006="me",0,IF(G1006&gt;0,(VLOOKUP(A1006,'Discount Lookup'!J:K,2)*G1006),0))))</f>
        <v>0</v>
      </c>
      <c r="AJ1006" s="107" t="str">
        <f t="shared" ca="1" si="727"/>
        <v/>
      </c>
      <c r="AK1006" s="714" t="str">
        <f t="shared" si="728"/>
        <v/>
      </c>
      <c r="AL1006" s="714"/>
      <c r="AM1006" s="114" t="str">
        <f t="shared" si="729"/>
        <v/>
      </c>
      <c r="AN1006" s="115"/>
      <c r="AO1006" s="116"/>
      <c r="AP1006" s="116"/>
      <c r="AQ1006" s="116"/>
      <c r="AR1006" s="116"/>
      <c r="AS1006" s="116"/>
      <c r="AT1006" s="116"/>
      <c r="AU1006" s="116"/>
      <c r="AV1006" s="78"/>
      <c r="AW1006" s="102"/>
      <c r="AX1006" s="78"/>
      <c r="AY1006" s="78"/>
      <c r="AZ1006" s="78"/>
      <c r="BA1006" s="78"/>
      <c r="BB1006" s="78"/>
      <c r="BC1006" s="78"/>
      <c r="BD1006" s="78"/>
      <c r="BE1006" s="465"/>
      <c r="BF1006" s="165" t="str">
        <f t="shared" si="730"/>
        <v>https://www.google.com/search?tbm=isch&amp;q=Cercis%20canadensis%20%27NC2014-5%27%20PP%2335079%20Emerald%20Redbud%20%28GG%C2%AE%29</v>
      </c>
      <c r="BG1006" s="165" t="str">
        <f t="shared" si="731"/>
        <v>C</v>
      </c>
      <c r="BH1006" s="65"/>
      <c r="BI1006" s="65"/>
      <c r="BJ1006" s="65"/>
      <c r="BK1006" s="65"/>
      <c r="BL1006" s="99"/>
      <c r="BM1006" s="99"/>
      <c r="BN1006" s="99"/>
    </row>
    <row r="1007" spans="1:66" s="51" customFormat="1" ht="15.75" x14ac:dyDescent="0.25">
      <c r="A1007" s="634">
        <v>3</v>
      </c>
      <c r="B1007" s="635" t="s">
        <v>291</v>
      </c>
      <c r="C1007" s="636" t="s">
        <v>335</v>
      </c>
      <c r="D1007" s="637" t="s">
        <v>329</v>
      </c>
      <c r="E1007" s="638">
        <v>55.95</v>
      </c>
      <c r="F1007" s="639" t="s">
        <v>292</v>
      </c>
      <c r="G1007" s="484">
        <v>0</v>
      </c>
      <c r="H1007" s="691" t="str">
        <f>IF(G1007=0,"",IF(F1007="Buy",IF(G1007=1,"plant","plants"),IF(F1007&gt;0.01,"warranty","Error")))</f>
        <v/>
      </c>
      <c r="I1007" s="640">
        <f>IF(H1007="free",0,IF(H1007="credit",((E1007*(F1007))*G1007*-1),IF(F1007="Buy",(E1007*G1007),((E1007*(1-F1007))*G1007))))</f>
        <v>0</v>
      </c>
      <c r="J1007" s="640">
        <f>IF(H1007="warranty",0,(I1007*(_xlfn.SINGLE(SalesTaxPercentage))))</f>
        <v>0</v>
      </c>
      <c r="K1007" s="716">
        <f t="shared" ref="K1007" si="744">I1007+J1007</f>
        <v>0</v>
      </c>
      <c r="L1007" s="716"/>
      <c r="M1007" s="689" t="str">
        <f ca="1">IF(AND(G1007&gt;0,E1007=0),"WARNING - no PRICE inserted",IF(H1007="free","FREE ~ no charge this plant",IF(H1007="credit",CONCATENATE("-$",ROUND(K1007*(1-_xlfn.SINGLE(T2GDiscount))*-1,2)," CREDIT after discount"),IF(_xlfn.SINGLE(T2GDiscount)=0,"",IF(G1007=0,"",IF(F1007="Buy",CONCATENATE("$",ROUND(K1007*(1-_xlfn.SINGLE(T2GDiscount)),2)," with ",(_xlfn.SINGLE(T2GDiscount)*100),"% discount"),CONCATENATE("$",ROUND(K1007*(1-_xlfn.SINGLE(T2GDiscount)),2)," with ",((_xlfn.SINGLE(T2GDiscount)*100+F1007*100)-(_xlfn.SINGLE(T2GDiscount)*100*F1007)),IF(F1007&gt;0,"% discounts",IF(_xlfn.SINGLE(NoWarrantyDiscount)&gt;0,"% discounts","% discount")))))))))</f>
        <v/>
      </c>
      <c r="N1007" s="690"/>
      <c r="O1007" s="486"/>
      <c r="P1007" s="486"/>
      <c r="Q1007" s="486"/>
      <c r="R1007" s="486"/>
      <c r="S1007" s="486"/>
      <c r="T1007" s="102">
        <f t="shared" si="719"/>
        <v>0</v>
      </c>
      <c r="U1007" s="78">
        <f>IF(NOT(ISNUMBER(G1007)), "", VLOOKUP(A1007,'Discount Lookup'!D:E,2,FALSE)*G1007)</f>
        <v>0</v>
      </c>
      <c r="V1007" s="78">
        <f>IF(NOT(ISNUMBER(G1007)), "", VLOOKUP(A1007,'Discount Lookup'!G:H,2,FALSE)*G1007)</f>
        <v>0</v>
      </c>
      <c r="W1007" s="102">
        <f t="shared" si="720"/>
        <v>0</v>
      </c>
      <c r="X1007" s="102">
        <f t="shared" si="721"/>
        <v>0</v>
      </c>
      <c r="Y1007" s="120" t="b">
        <f t="shared" si="722"/>
        <v>0</v>
      </c>
      <c r="Z1007" s="117">
        <f t="shared" si="723"/>
        <v>0</v>
      </c>
      <c r="AA1007" s="118"/>
      <c r="AB1007" s="118" t="str">
        <f t="shared" si="724"/>
        <v/>
      </c>
      <c r="AC1007" s="712" t="str">
        <f>IF(AE1007="T2G","no charge",IF(AND(OR(PlanterYesMe="No",PlanterYesMe="N",PlanterYesMe="me"),H1007=""),"",IF(H1007="credit","NO install",IF(AND(K1007="",AE1007="me"),"EACH row",IF(AND(K1007="images",AE1007="me"),"EACH row",IF(D1007="","",IF(H1007="credit","",IF(AE1007="free","re-planting",IF(AE1007="me","   not ELP, by",IF(AND(OR(PlanterYesMe="Yes",PlanterYesMe="Y"),G1007&gt;0),(VLOOKUP(A1007,'Discount Lookup'!J:K,2)*G1007*(1-PlanterDiscount)*(1+PlanterDifficultyPercentage)),IF(AE1007="ELP",(VLOOKUP(A1007,'Discount Lookup'!J:K,2)*G1007*(1-PlanterDiscount)*(1+PlanterDifficultyPercentage)),IF(AE1007="free","re-planting",IF(G1007=0,"",IF(PlanterYesMe="",IF(AE1007="me","   not ELP, by",IF(AE1007="",IF(G1007&gt;0,(VLOOKUP(A1007,'Discount Lookup'!J:K,2)*G1007*(1-PlanterDiscount)*(1+PlanterDifficultyPercentage)),""),"")),"   not ELP, by"))))))))))))))</f>
        <v/>
      </c>
      <c r="AD1007" s="712"/>
      <c r="AE1007" s="513" t="str">
        <f t="shared" si="725"/>
        <v/>
      </c>
      <c r="AF1007" s="713" t="str">
        <f t="shared" si="726"/>
        <v/>
      </c>
      <c r="AG1007" s="713"/>
      <c r="AH1007" s="713"/>
      <c r="AI1007" s="112">
        <f>IF(H1007="credit",0,IF(AE1007="free",0,IF(AE1007="me",0,IF(G1007&gt;0,(VLOOKUP(A1007,'Discount Lookup'!J:K,2)*G1007),0))))</f>
        <v>0</v>
      </c>
      <c r="AJ1007" s="107" t="str">
        <f t="shared" ca="1" si="727"/>
        <v/>
      </c>
      <c r="AK1007" s="714" t="str">
        <f t="shared" si="728"/>
        <v/>
      </c>
      <c r="AL1007" s="714"/>
      <c r="AM1007" s="114" t="str">
        <f t="shared" si="729"/>
        <v/>
      </c>
      <c r="AN1007" s="115"/>
      <c r="AO1007" s="116"/>
      <c r="AP1007" s="116"/>
      <c r="AQ1007" s="116"/>
      <c r="AR1007" s="116"/>
      <c r="AS1007" s="116"/>
      <c r="AT1007" s="116"/>
      <c r="AU1007" s="116"/>
      <c r="AV1007" s="78"/>
      <c r="AW1007" s="102"/>
      <c r="AX1007" s="78"/>
      <c r="AY1007" s="78"/>
      <c r="AZ1007" s="78"/>
      <c r="BA1007" s="78"/>
      <c r="BB1007" s="78"/>
      <c r="BC1007" s="78"/>
      <c r="BD1007" s="78"/>
      <c r="BE1007" s="465"/>
      <c r="BF1007" s="165" t="str">
        <f t="shared" si="730"/>
        <v>https://www.google.com/search?tbm=isch&amp;q=3%20G2</v>
      </c>
      <c r="BG1007" s="165" t="str">
        <f t="shared" si="731"/>
        <v>C</v>
      </c>
      <c r="BH1007" s="65"/>
      <c r="BI1007" s="65"/>
      <c r="BJ1007" s="65"/>
      <c r="BK1007" s="65"/>
      <c r="BL1007" s="99"/>
      <c r="BM1007" s="99"/>
      <c r="BN1007" s="99"/>
    </row>
    <row r="1008" spans="1:66" s="51" customFormat="1" ht="17.25" thickBot="1" x14ac:dyDescent="0.3">
      <c r="A1008" s="641" t="s">
        <v>5151</v>
      </c>
      <c r="B1008" s="642"/>
      <c r="C1008" s="710"/>
      <c r="D1008" s="643"/>
      <c r="E1008" s="643"/>
      <c r="F1008" s="644"/>
      <c r="G1008" s="645"/>
      <c r="H1008" s="646"/>
      <c r="I1008" s="647"/>
      <c r="J1008" s="648"/>
      <c r="K1008" s="649"/>
      <c r="L1008" s="650"/>
      <c r="M1008" s="650"/>
      <c r="N1008" s="644"/>
      <c r="O1008" s="644"/>
      <c r="P1008" s="644"/>
      <c r="Q1008" s="644"/>
      <c r="R1008" s="644"/>
      <c r="S1008" s="701" t="s">
        <v>5279</v>
      </c>
      <c r="T1008" s="102">
        <f t="shared" si="719"/>
        <v>0</v>
      </c>
      <c r="U1008" s="78" t="str">
        <f>IF(NOT(ISNUMBER(G1008)), "", VLOOKUP(A1008,'Discount Lookup'!D:E,2,FALSE)*G1008)</f>
        <v/>
      </c>
      <c r="V1008" s="78" t="str">
        <f>IF(NOT(ISNUMBER(G1008)), "", VLOOKUP(A1008,'Discount Lookup'!G:H,2,FALSE)*G1008)</f>
        <v/>
      </c>
      <c r="W1008" s="102">
        <f t="shared" si="720"/>
        <v>0</v>
      </c>
      <c r="X1008" s="102">
        <f t="shared" si="721"/>
        <v>0</v>
      </c>
      <c r="Y1008" s="120" t="b">
        <f t="shared" si="722"/>
        <v>0</v>
      </c>
      <c r="Z1008" s="117">
        <f t="shared" si="723"/>
        <v>0</v>
      </c>
      <c r="AA1008" s="118"/>
      <c r="AB1008" s="118" t="str">
        <f t="shared" si="724"/>
        <v/>
      </c>
      <c r="AC1008" s="712" t="str">
        <f>IF(AE1008="T2G","no charge",IF(AND(OR(PlanterYesMe="No",PlanterYesMe="N",PlanterYesMe="me"),H1008=""),"",IF(H1008="credit","NO install",IF(AND(K1008="",AE1008="me"),"EACH row",IF(AND(K1008="images",AE1008="me"),"EACH row",IF(D1008="","",IF(H1008="credit","",IF(AE1008="free","re-planting",IF(AE1008="me","   not ELP, by",IF(AND(OR(PlanterYesMe="Yes",PlanterYesMe="Y"),G1008&gt;0),(VLOOKUP(A1008,'Discount Lookup'!J:K,2)*G1008*(1-PlanterDiscount)*(1+PlanterDifficultyPercentage)),IF(AE1008="ELP",(VLOOKUP(A1008,'Discount Lookup'!J:K,2)*G1008*(1-PlanterDiscount)*(1+PlanterDifficultyPercentage)),IF(AE1008="free","re-planting",IF(G1008=0,"",IF(PlanterYesMe="",IF(AE1008="me","   not ELP, by",IF(AE1008="",IF(G1008&gt;0,(VLOOKUP(A1008,'Discount Lookup'!J:K,2)*G1008*(1-PlanterDiscount)*(1+PlanterDifficultyPercentage)),""),"")),"   not ELP, by"))))))))))))))</f>
        <v/>
      </c>
      <c r="AD1008" s="712"/>
      <c r="AE1008" s="513" t="str">
        <f t="shared" si="725"/>
        <v/>
      </c>
      <c r="AF1008" s="713" t="str">
        <f t="shared" si="726"/>
        <v/>
      </c>
      <c r="AG1008" s="713"/>
      <c r="AH1008" s="713"/>
      <c r="AI1008" s="112">
        <f>IF(H1008="credit",0,IF(AE1008="free",0,IF(AE1008="me",0,IF(G1008&gt;0,(VLOOKUP(A1008,'Discount Lookup'!J:K,2)*G1008),0))))</f>
        <v>0</v>
      </c>
      <c r="AJ1008" s="107" t="str">
        <f t="shared" ca="1" si="727"/>
        <v/>
      </c>
      <c r="AK1008" s="714" t="str">
        <f t="shared" si="728"/>
        <v/>
      </c>
      <c r="AL1008" s="714"/>
      <c r="AM1008" s="114" t="str">
        <f t="shared" si="729"/>
        <v/>
      </c>
      <c r="AN1008" s="115"/>
      <c r="AO1008" s="116"/>
      <c r="AP1008" s="116"/>
      <c r="AQ1008" s="116"/>
      <c r="AR1008" s="116"/>
      <c r="AS1008" s="116"/>
      <c r="AT1008" s="116"/>
      <c r="AU1008" s="116"/>
      <c r="AV1008" s="78"/>
      <c r="AW1008" s="102"/>
      <c r="AX1008" s="78"/>
      <c r="AY1008" s="78"/>
      <c r="AZ1008" s="78"/>
      <c r="BA1008" s="78"/>
      <c r="BB1008" s="78"/>
      <c r="BC1008" s="78"/>
      <c r="BD1008" s="78"/>
      <c r="BE1008" s="465"/>
      <c r="BF1008" s="165" t="str">
        <f t="shared" si="730"/>
        <v>https://www.google.com/search?tbm=isch&amp;q=Emerald%20named%20for%20it%27s%20rich%20Emerald-Green%20foliage.%20Bred%20at%20NCSU%20</v>
      </c>
      <c r="BG1008" s="165" t="str">
        <f t="shared" si="731"/>
        <v>E</v>
      </c>
      <c r="BH1008" s="65"/>
      <c r="BI1008" s="65"/>
      <c r="BJ1008" s="65"/>
      <c r="BK1008" s="65"/>
      <c r="BL1008" s="99"/>
      <c r="BM1008" s="99"/>
      <c r="BN1008" s="99"/>
    </row>
    <row r="1009" spans="1:66" s="51" customFormat="1" ht="18" x14ac:dyDescent="0.25">
      <c r="A1009" s="623" t="s">
        <v>2056</v>
      </c>
      <c r="B1009" s="624"/>
      <c r="C1009" s="709"/>
      <c r="D1009" s="625" t="s">
        <v>5629</v>
      </c>
      <c r="E1009" s="626"/>
      <c r="F1009" s="626"/>
      <c r="G1009" s="626"/>
      <c r="H1009" s="622" t="s">
        <v>340</v>
      </c>
      <c r="I1009" s="627" t="s">
        <v>1458</v>
      </c>
      <c r="J1009" s="628"/>
      <c r="K1009" s="628"/>
      <c r="L1009" s="629"/>
      <c r="M1009" s="700" t="s">
        <v>5249</v>
      </c>
      <c r="N1009" s="693" t="str">
        <f>IF(AND(ISTEXT($A1009), ISERROR($A1009+0)), HYPERLINK($BF1009, "Images"), "")</f>
        <v>Images</v>
      </c>
      <c r="O1009" s="695" t="s">
        <v>5264</v>
      </c>
      <c r="P1009" s="630"/>
      <c r="Q1009" s="631"/>
      <c r="R1009" s="632"/>
      <c r="S1009" s="633" t="s">
        <v>294</v>
      </c>
      <c r="T1009" s="102">
        <f t="shared" si="719"/>
        <v>0</v>
      </c>
      <c r="U1009" s="78" t="str">
        <f>IF(NOT(ISNUMBER(G1009)), "", VLOOKUP(A1009,'Discount Lookup'!D:E,2,FALSE)*G1009)</f>
        <v/>
      </c>
      <c r="V1009" s="78" t="str">
        <f>IF(NOT(ISNUMBER(G1009)), "", VLOOKUP(A1009,'Discount Lookup'!G:H,2,FALSE)*G1009)</f>
        <v/>
      </c>
      <c r="W1009" s="102">
        <f t="shared" si="720"/>
        <v>0</v>
      </c>
      <c r="X1009" s="102" t="str">
        <f t="shared" si="721"/>
        <v>Pink bloom</v>
      </c>
      <c r="Y1009" s="120" t="b">
        <f t="shared" si="722"/>
        <v>0</v>
      </c>
      <c r="Z1009" s="117">
        <f t="shared" si="723"/>
        <v>0</v>
      </c>
      <c r="AA1009" s="118"/>
      <c r="AB1009" s="118" t="str">
        <f t="shared" si="724"/>
        <v/>
      </c>
      <c r="AC1009" s="712" t="str">
        <f>IF(AE1009="T2G","no charge",IF(AND(OR(PlanterYesMe="No",PlanterYesMe="N",PlanterYesMe="me"),H1009=""),"",IF(H1009="credit","NO install",IF(AND(K1009="",AE1009="me"),"EACH row",IF(AND(K1009="images",AE1009="me"),"EACH row",IF(D1009="","",IF(H1009="credit","",IF(AE1009="free","re-planting",IF(AE1009="me","   not ELP, by",IF(AND(OR(PlanterYesMe="Yes",PlanterYesMe="Y"),G1009&gt;0),(VLOOKUP(A1009,'Discount Lookup'!J:K,2)*G1009*(1-PlanterDiscount)*(1+PlanterDifficultyPercentage)),IF(AE1009="ELP",(VLOOKUP(A1009,'Discount Lookup'!J:K,2)*G1009*(1-PlanterDiscount)*(1+PlanterDifficultyPercentage)),IF(AE1009="free","re-planting",IF(G1009=0,"",IF(PlanterYesMe="",IF(AE1009="me","   not ELP, by",IF(AE1009="",IF(G1009&gt;0,(VLOOKUP(A1009,'Discount Lookup'!J:K,2)*G1009*(1-PlanterDiscount)*(1+PlanterDifficultyPercentage)),""),"")),"   not ELP, by"))))))))))))))</f>
        <v/>
      </c>
      <c r="AD1009" s="712"/>
      <c r="AE1009" s="513" t="str">
        <f t="shared" si="725"/>
        <v/>
      </c>
      <c r="AF1009" s="713" t="str">
        <f t="shared" si="726"/>
        <v/>
      </c>
      <c r="AG1009" s="713"/>
      <c r="AH1009" s="713"/>
      <c r="AI1009" s="112">
        <f>IF(H1009="credit",0,IF(AE1009="free",0,IF(AE1009="me",0,IF(G1009&gt;0,(VLOOKUP(A1009,'Discount Lookup'!J:K,2)*G1009),0))))</f>
        <v>0</v>
      </c>
      <c r="AJ1009" s="107" t="str">
        <f t="shared" ca="1" si="727"/>
        <v/>
      </c>
      <c r="AK1009" s="714" t="str">
        <f t="shared" si="728"/>
        <v/>
      </c>
      <c r="AL1009" s="714"/>
      <c r="AM1009" s="114" t="str">
        <f t="shared" si="729"/>
        <v/>
      </c>
      <c r="AN1009" s="115"/>
      <c r="AO1009" s="116"/>
      <c r="AP1009" s="116"/>
      <c r="AQ1009" s="116"/>
      <c r="AR1009" s="116"/>
      <c r="AS1009" s="116"/>
      <c r="AT1009" s="116"/>
      <c r="AU1009" s="116"/>
      <c r="AV1009" s="78"/>
      <c r="AW1009" s="102"/>
      <c r="AX1009" s="78"/>
      <c r="AY1009" s="78"/>
      <c r="AZ1009" s="78"/>
      <c r="BA1009" s="78"/>
      <c r="BB1009" s="78"/>
      <c r="BC1009" s="78"/>
      <c r="BD1009" s="78"/>
      <c r="BE1009" s="465"/>
      <c r="BF1009" s="165" t="str">
        <f t="shared" si="730"/>
        <v>https://www.google.com/search?tbm=isch&amp;q=Cercis%20canadensis%20%27NC2015-12%27%20PP%2331658%20Golden%20Falls%C2%AE%20Weeping%20Redbud</v>
      </c>
      <c r="BG1009" s="165" t="str">
        <f t="shared" si="731"/>
        <v>C</v>
      </c>
      <c r="BH1009" s="65"/>
      <c r="BI1009" s="65"/>
      <c r="BJ1009" s="65"/>
      <c r="BK1009" s="65"/>
      <c r="BL1009" s="99"/>
      <c r="BM1009" s="99"/>
      <c r="BN1009" s="99"/>
    </row>
    <row r="1010" spans="1:66" s="51" customFormat="1" ht="15.75" x14ac:dyDescent="0.25">
      <c r="A1010" s="634">
        <v>7</v>
      </c>
      <c r="B1010" s="635" t="s">
        <v>291</v>
      </c>
      <c r="C1010" s="636" t="s">
        <v>2057</v>
      </c>
      <c r="D1010" s="637" t="s">
        <v>329</v>
      </c>
      <c r="E1010" s="638">
        <v>126.95</v>
      </c>
      <c r="F1010" s="639" t="s">
        <v>292</v>
      </c>
      <c r="G1010" s="484">
        <v>0</v>
      </c>
      <c r="H1010" s="691" t="str">
        <f>IF(G1010=0,"",IF(F1010="Buy",IF(G1010=1,"plant","plants"),IF(F1010&gt;0.01,"warranty","Error")))</f>
        <v/>
      </c>
      <c r="I1010" s="640">
        <f>IF(H1010="free",0,IF(H1010="credit",((E1010*(F1010))*G1010*-1),IF(F1010="Buy",(E1010*G1010),((E1010*(1-F1010))*G1010))))</f>
        <v>0</v>
      </c>
      <c r="J1010" s="640">
        <f>IF(H1010="warranty",0,(I1010*(_xlfn.SINGLE(SalesTaxPercentage))))</f>
        <v>0</v>
      </c>
      <c r="K1010" s="716">
        <f t="shared" ref="K1010" si="745">I1010+J1010</f>
        <v>0</v>
      </c>
      <c r="L1010" s="716"/>
      <c r="M1010" s="689" t="str">
        <f ca="1">IF(AND(G1010&gt;0,E1010=0),"WARNING - no PRICE inserted",IF(H1010="free","FREE ~ no charge this plant",IF(H1010="credit",CONCATENATE("-$",ROUND(K1010*(1-_xlfn.SINGLE(T2GDiscount))*-1,2)," CREDIT after discount"),IF(_xlfn.SINGLE(T2GDiscount)=0,"",IF(G1010=0,"",IF(F1010="Buy",CONCATENATE("$",ROUND(K1010*(1-_xlfn.SINGLE(T2GDiscount)),2)," with ",(_xlfn.SINGLE(T2GDiscount)*100),"% discount"),CONCATENATE("$",ROUND(K1010*(1-_xlfn.SINGLE(T2GDiscount)),2)," with ",((_xlfn.SINGLE(T2GDiscount)*100+F1010*100)-(_xlfn.SINGLE(T2GDiscount)*100*F1010)),IF(F1010&gt;0,"% discounts",IF(_xlfn.SINGLE(NoWarrantyDiscount)&gt;0,"% discounts","% discount")))))))))</f>
        <v/>
      </c>
      <c r="N1010" s="690"/>
      <c r="O1010" s="486"/>
      <c r="P1010" s="486"/>
      <c r="Q1010" s="486"/>
      <c r="R1010" s="486"/>
      <c r="S1010" s="486"/>
      <c r="T1010" s="102">
        <f t="shared" si="719"/>
        <v>0</v>
      </c>
      <c r="U1010" s="78">
        <f>IF(NOT(ISNUMBER(G1010)), "", VLOOKUP(A1010,'Discount Lookup'!D:E,2,FALSE)*G1010)</f>
        <v>0</v>
      </c>
      <c r="V1010" s="78">
        <f>IF(NOT(ISNUMBER(G1010)), "", VLOOKUP(A1010,'Discount Lookup'!G:H,2,FALSE)*G1010)</f>
        <v>0</v>
      </c>
      <c r="W1010" s="102">
        <f t="shared" si="720"/>
        <v>0</v>
      </c>
      <c r="X1010" s="102">
        <f t="shared" si="721"/>
        <v>0</v>
      </c>
      <c r="Y1010" s="120" t="b">
        <f t="shared" si="722"/>
        <v>0</v>
      </c>
      <c r="Z1010" s="117">
        <f t="shared" si="723"/>
        <v>0</v>
      </c>
      <c r="AA1010" s="118"/>
      <c r="AB1010" s="118" t="str">
        <f t="shared" si="724"/>
        <v/>
      </c>
      <c r="AC1010" s="712" t="str">
        <f>IF(AE1010="T2G","no charge",IF(AND(OR(PlanterYesMe="No",PlanterYesMe="N",PlanterYesMe="me"),H1010=""),"",IF(H1010="credit","NO install",IF(AND(K1010="",AE1010="me"),"EACH row",IF(AND(K1010="images",AE1010="me"),"EACH row",IF(D1010="","",IF(H1010="credit","",IF(AE1010="free","re-planting",IF(AE1010="me","   not ELP, by",IF(AND(OR(PlanterYesMe="Yes",PlanterYesMe="Y"),G1010&gt;0),(VLOOKUP(A1010,'Discount Lookup'!J:K,2)*G1010*(1-PlanterDiscount)*(1+PlanterDifficultyPercentage)),IF(AE1010="ELP",(VLOOKUP(A1010,'Discount Lookup'!J:K,2)*G1010*(1-PlanterDiscount)*(1+PlanterDifficultyPercentage)),IF(AE1010="free","re-planting",IF(G1010=0,"",IF(PlanterYesMe="",IF(AE1010="me","   not ELP, by",IF(AE1010="",IF(G1010&gt;0,(VLOOKUP(A1010,'Discount Lookup'!J:K,2)*G1010*(1-PlanterDiscount)*(1+PlanterDifficultyPercentage)),""),"")),"   not ELP, by"))))))))))))))</f>
        <v/>
      </c>
      <c r="AD1010" s="712"/>
      <c r="AE1010" s="513" t="str">
        <f t="shared" si="725"/>
        <v/>
      </c>
      <c r="AF1010" s="713" t="str">
        <f t="shared" si="726"/>
        <v/>
      </c>
      <c r="AG1010" s="713"/>
      <c r="AH1010" s="713"/>
      <c r="AI1010" s="112">
        <f>IF(H1010="credit",0,IF(AE1010="free",0,IF(AE1010="me",0,IF(G1010&gt;0,(VLOOKUP(A1010,'Discount Lookup'!J:K,2)*G1010),0))))</f>
        <v>0</v>
      </c>
      <c r="AJ1010" s="107" t="str">
        <f t="shared" ca="1" si="727"/>
        <v/>
      </c>
      <c r="AK1010" s="714" t="str">
        <f t="shared" si="728"/>
        <v/>
      </c>
      <c r="AL1010" s="714"/>
      <c r="AM1010" s="114" t="str">
        <f t="shared" si="729"/>
        <v/>
      </c>
      <c r="AN1010" s="115"/>
      <c r="AO1010" s="116"/>
      <c r="AP1010" s="116"/>
      <c r="AQ1010" s="116"/>
      <c r="AR1010" s="116"/>
      <c r="AS1010" s="116"/>
      <c r="AT1010" s="116"/>
      <c r="AU1010" s="116"/>
      <c r="AV1010" s="78"/>
      <c r="AW1010" s="102"/>
      <c r="AX1010" s="78"/>
      <c r="AY1010" s="78"/>
      <c r="AZ1010" s="78"/>
      <c r="BA1010" s="78"/>
      <c r="BB1010" s="78"/>
      <c r="BC1010" s="78"/>
      <c r="BD1010" s="78"/>
      <c r="BE1010" s="465"/>
      <c r="BF1010" s="165" t="str">
        <f t="shared" si="730"/>
        <v>https://www.google.com/search?tbm=isch&amp;q=7%20G2</v>
      </c>
      <c r="BG1010" s="165" t="str">
        <f t="shared" si="731"/>
        <v>C</v>
      </c>
      <c r="BH1010" s="65"/>
      <c r="BI1010" s="65"/>
      <c r="BJ1010" s="65"/>
      <c r="BK1010" s="65"/>
      <c r="BL1010" s="99"/>
      <c r="BM1010" s="99"/>
      <c r="BN1010" s="99"/>
    </row>
    <row r="1011" spans="1:66" s="51" customFormat="1" ht="15.75" x14ac:dyDescent="0.25">
      <c r="A1011" s="634">
        <v>7</v>
      </c>
      <c r="B1011" s="635" t="s">
        <v>291</v>
      </c>
      <c r="C1011" s="636" t="s">
        <v>2058</v>
      </c>
      <c r="D1011" s="637" t="s">
        <v>299</v>
      </c>
      <c r="E1011" s="638">
        <v>137.94999999999999</v>
      </c>
      <c r="F1011" s="639" t="s">
        <v>292</v>
      </c>
      <c r="G1011" s="484">
        <v>0</v>
      </c>
      <c r="H1011" s="691" t="str">
        <f>IF(G1011=0,"",IF(F1011="Buy",IF(G1011=1,"plant","plants"),IF(F1011&gt;0.01,"warranty","Error")))</f>
        <v/>
      </c>
      <c r="I1011" s="640">
        <f>IF(H1011="free",0,IF(H1011="credit",((E1011*(F1011))*G1011*-1),IF(F1011="Buy",(E1011*G1011),((E1011*(1-F1011))*G1011))))</f>
        <v>0</v>
      </c>
      <c r="J1011" s="640">
        <f>IF(H1011="warranty",0,(I1011*(_xlfn.SINGLE(SalesTaxPercentage))))</f>
        <v>0</v>
      </c>
      <c r="K1011" s="716">
        <f t="shared" ref="K1011" si="746">I1011+J1011</f>
        <v>0</v>
      </c>
      <c r="L1011" s="716"/>
      <c r="M1011" s="689" t="str">
        <f ca="1">IF(AND(G1011&gt;0,E1011=0),"WARNING - no PRICE inserted",IF(H1011="free","FREE ~ no charge this plant",IF(H1011="credit",CONCATENATE("-$",ROUND(K1011*(1-_xlfn.SINGLE(T2GDiscount))*-1,2)," CREDIT after discount"),IF(_xlfn.SINGLE(T2GDiscount)=0,"",IF(G1011=0,"",IF(F1011="Buy",CONCATENATE("$",ROUND(K1011*(1-_xlfn.SINGLE(T2GDiscount)),2)," with ",(_xlfn.SINGLE(T2GDiscount)*100),"% discount"),CONCATENATE("$",ROUND(K1011*(1-_xlfn.SINGLE(T2GDiscount)),2)," with ",((_xlfn.SINGLE(T2GDiscount)*100+F1011*100)-(_xlfn.SINGLE(T2GDiscount)*100*F1011)),IF(F1011&gt;0,"% discounts",IF(_xlfn.SINGLE(NoWarrantyDiscount)&gt;0,"% discounts","% discount")))))))))</f>
        <v/>
      </c>
      <c r="N1011" s="690"/>
      <c r="O1011" s="486"/>
      <c r="P1011" s="486"/>
      <c r="Q1011" s="486"/>
      <c r="R1011" s="486"/>
      <c r="S1011" s="486"/>
      <c r="T1011" s="102">
        <f t="shared" si="719"/>
        <v>0</v>
      </c>
      <c r="U1011" s="78">
        <f>IF(NOT(ISNUMBER(G1011)), "", VLOOKUP(A1011,'Discount Lookup'!D:E,2,FALSE)*G1011)</f>
        <v>0</v>
      </c>
      <c r="V1011" s="78">
        <f>IF(NOT(ISNUMBER(G1011)), "", VLOOKUP(A1011,'Discount Lookup'!G:H,2,FALSE)*G1011)</f>
        <v>0</v>
      </c>
      <c r="W1011" s="102">
        <f t="shared" si="720"/>
        <v>0</v>
      </c>
      <c r="X1011" s="102">
        <f t="shared" si="721"/>
        <v>0</v>
      </c>
      <c r="Y1011" s="120" t="b">
        <f t="shared" si="722"/>
        <v>0</v>
      </c>
      <c r="Z1011" s="117">
        <f t="shared" si="723"/>
        <v>0</v>
      </c>
      <c r="AA1011" s="118"/>
      <c r="AB1011" s="118" t="str">
        <f t="shared" si="724"/>
        <v/>
      </c>
      <c r="AC1011" s="712" t="str">
        <f>IF(AE1011="T2G","no charge",IF(AND(OR(PlanterYesMe="No",PlanterYesMe="N",PlanterYesMe="me"),H1011=""),"",IF(H1011="credit","NO install",IF(AND(K1011="",AE1011="me"),"EACH row",IF(AND(K1011="images",AE1011="me"),"EACH row",IF(D1011="","",IF(H1011="credit","",IF(AE1011="free","re-planting",IF(AE1011="me","   not ELP, by",IF(AND(OR(PlanterYesMe="Yes",PlanterYesMe="Y"),G1011&gt;0),(VLOOKUP(A1011,'Discount Lookup'!J:K,2)*G1011*(1-PlanterDiscount)*(1+PlanterDifficultyPercentage)),IF(AE1011="ELP",(VLOOKUP(A1011,'Discount Lookup'!J:K,2)*G1011*(1-PlanterDiscount)*(1+PlanterDifficultyPercentage)),IF(AE1011="free","re-planting",IF(G1011=0,"",IF(PlanterYesMe="",IF(AE1011="me","   not ELP, by",IF(AE1011="",IF(G1011&gt;0,(VLOOKUP(A1011,'Discount Lookup'!J:K,2)*G1011*(1-PlanterDiscount)*(1+PlanterDifficultyPercentage)),""),"")),"   not ELP, by"))))))))))))))</f>
        <v/>
      </c>
      <c r="AD1011" s="712"/>
      <c r="AE1011" s="513" t="str">
        <f t="shared" si="725"/>
        <v/>
      </c>
      <c r="AF1011" s="713" t="str">
        <f t="shared" si="726"/>
        <v/>
      </c>
      <c r="AG1011" s="713"/>
      <c r="AH1011" s="713"/>
      <c r="AI1011" s="112">
        <f>IF(H1011="credit",0,IF(AE1011="free",0,IF(AE1011="me",0,IF(G1011&gt;0,(VLOOKUP(A1011,'Discount Lookup'!J:K,2)*G1011),0))))</f>
        <v>0</v>
      </c>
      <c r="AJ1011" s="107" t="str">
        <f t="shared" ca="1" si="727"/>
        <v/>
      </c>
      <c r="AK1011" s="714" t="str">
        <f t="shared" si="728"/>
        <v/>
      </c>
      <c r="AL1011" s="714"/>
      <c r="AM1011" s="114" t="str">
        <f t="shared" si="729"/>
        <v/>
      </c>
      <c r="AN1011" s="115"/>
      <c r="AO1011" s="116"/>
      <c r="AP1011" s="116"/>
      <c r="AQ1011" s="116"/>
      <c r="AR1011" s="116"/>
      <c r="AS1011" s="116"/>
      <c r="AT1011" s="116"/>
      <c r="AU1011" s="116"/>
      <c r="AV1011" s="78"/>
      <c r="AW1011" s="102"/>
      <c r="AX1011" s="78"/>
      <c r="AY1011" s="78"/>
      <c r="AZ1011" s="78"/>
      <c r="BA1011" s="78"/>
      <c r="BB1011" s="78"/>
      <c r="BC1011" s="78"/>
      <c r="BD1011" s="78"/>
      <c r="BE1011" s="465"/>
      <c r="BF1011" s="165" t="str">
        <f t="shared" si="730"/>
        <v>https://www.google.com/search?tbm=isch&amp;q=7%20G4</v>
      </c>
      <c r="BG1011" s="165" t="str">
        <f t="shared" si="731"/>
        <v>C</v>
      </c>
      <c r="BH1011" s="65"/>
      <c r="BI1011" s="65"/>
      <c r="BJ1011" s="65"/>
      <c r="BK1011" s="65"/>
      <c r="BL1011" s="99"/>
      <c r="BM1011" s="99"/>
      <c r="BN1011" s="99"/>
    </row>
    <row r="1012" spans="1:66" s="51" customFormat="1" ht="15.75" x14ac:dyDescent="0.25">
      <c r="A1012" s="634">
        <v>10</v>
      </c>
      <c r="B1012" s="635" t="s">
        <v>291</v>
      </c>
      <c r="C1012" s="636" t="s">
        <v>2059</v>
      </c>
      <c r="D1012" s="637" t="s">
        <v>299</v>
      </c>
      <c r="E1012" s="638">
        <v>173.95</v>
      </c>
      <c r="F1012" s="639" t="s">
        <v>292</v>
      </c>
      <c r="G1012" s="484">
        <v>0</v>
      </c>
      <c r="H1012" s="691" t="str">
        <f>IF(G1012=0,"",IF(F1012="Buy",IF(G1012=1,"plant","plants"),IF(F1012&gt;0.01,"warranty","Error")))</f>
        <v/>
      </c>
      <c r="I1012" s="640">
        <f>IF(H1012="free",0,IF(H1012="credit",((E1012*(F1012))*G1012*-1),IF(F1012="Buy",(E1012*G1012),((E1012*(1-F1012))*G1012))))</f>
        <v>0</v>
      </c>
      <c r="J1012" s="640">
        <f>IF(H1012="warranty",0,(I1012*(_xlfn.SINGLE(SalesTaxPercentage))))</f>
        <v>0</v>
      </c>
      <c r="K1012" s="716">
        <f t="shared" ref="K1012" si="747">I1012+J1012</f>
        <v>0</v>
      </c>
      <c r="L1012" s="716"/>
      <c r="M1012" s="689" t="str">
        <f ca="1">IF(AND(G1012&gt;0,E1012=0),"WARNING - no PRICE inserted",IF(H1012="free","FREE ~ no charge this plant",IF(H1012="credit",CONCATENATE("-$",ROUND(K1012*(1-_xlfn.SINGLE(T2GDiscount))*-1,2)," CREDIT after discount"),IF(_xlfn.SINGLE(T2GDiscount)=0,"",IF(G1012=0,"",IF(F1012="Buy",CONCATENATE("$",ROUND(K1012*(1-_xlfn.SINGLE(T2GDiscount)),2)," with ",(_xlfn.SINGLE(T2GDiscount)*100),"% discount"),CONCATENATE("$",ROUND(K1012*(1-_xlfn.SINGLE(T2GDiscount)),2)," with ",((_xlfn.SINGLE(T2GDiscount)*100+F1012*100)-(_xlfn.SINGLE(T2GDiscount)*100*F1012)),IF(F1012&gt;0,"% discounts",IF(_xlfn.SINGLE(NoWarrantyDiscount)&gt;0,"% discounts","% discount")))))))))</f>
        <v/>
      </c>
      <c r="N1012" s="690"/>
      <c r="O1012" s="486"/>
      <c r="P1012" s="486"/>
      <c r="Q1012" s="486"/>
      <c r="R1012" s="486"/>
      <c r="S1012" s="486"/>
      <c r="T1012" s="102">
        <f t="shared" si="719"/>
        <v>0</v>
      </c>
      <c r="U1012" s="78">
        <f>IF(NOT(ISNUMBER(G1012)), "", VLOOKUP(A1012,'Discount Lookup'!D:E,2,FALSE)*G1012)</f>
        <v>0</v>
      </c>
      <c r="V1012" s="78">
        <f>IF(NOT(ISNUMBER(G1012)), "", VLOOKUP(A1012,'Discount Lookup'!G:H,2,FALSE)*G1012)</f>
        <v>0</v>
      </c>
      <c r="W1012" s="102">
        <f t="shared" si="720"/>
        <v>0</v>
      </c>
      <c r="X1012" s="102">
        <f t="shared" si="721"/>
        <v>0</v>
      </c>
      <c r="Y1012" s="120" t="b">
        <f t="shared" si="722"/>
        <v>0</v>
      </c>
      <c r="Z1012" s="117">
        <f t="shared" si="723"/>
        <v>0</v>
      </c>
      <c r="AA1012" s="118"/>
      <c r="AB1012" s="118" t="str">
        <f t="shared" si="724"/>
        <v/>
      </c>
      <c r="AC1012" s="712" t="str">
        <f>IF(AE1012="T2G","no charge",IF(AND(OR(PlanterYesMe="No",PlanterYesMe="N",PlanterYesMe="me"),H1012=""),"",IF(H1012="credit","NO install",IF(AND(K1012="",AE1012="me"),"EACH row",IF(AND(K1012="images",AE1012="me"),"EACH row",IF(D1012="","",IF(H1012="credit","",IF(AE1012="free","re-planting",IF(AE1012="me","   not ELP, by",IF(AND(OR(PlanterYesMe="Yes",PlanterYesMe="Y"),G1012&gt;0),(VLOOKUP(A1012,'Discount Lookup'!J:K,2)*G1012*(1-PlanterDiscount)*(1+PlanterDifficultyPercentage)),IF(AE1012="ELP",(VLOOKUP(A1012,'Discount Lookup'!J:K,2)*G1012*(1-PlanterDiscount)*(1+PlanterDifficultyPercentage)),IF(AE1012="free","re-planting",IF(G1012=0,"",IF(PlanterYesMe="",IF(AE1012="me","   not ELP, by",IF(AE1012="",IF(G1012&gt;0,(VLOOKUP(A1012,'Discount Lookup'!J:K,2)*G1012*(1-PlanterDiscount)*(1+PlanterDifficultyPercentage)),""),"")),"   not ELP, by"))))))))))))))</f>
        <v/>
      </c>
      <c r="AD1012" s="712"/>
      <c r="AE1012" s="513" t="str">
        <f t="shared" si="725"/>
        <v/>
      </c>
      <c r="AF1012" s="713" t="str">
        <f t="shared" si="726"/>
        <v/>
      </c>
      <c r="AG1012" s="713"/>
      <c r="AH1012" s="713"/>
      <c r="AI1012" s="112">
        <f>IF(H1012="credit",0,IF(AE1012="free",0,IF(AE1012="me",0,IF(G1012&gt;0,(VLOOKUP(A1012,'Discount Lookup'!J:K,2)*G1012),0))))</f>
        <v>0</v>
      </c>
      <c r="AJ1012" s="107" t="str">
        <f t="shared" ca="1" si="727"/>
        <v/>
      </c>
      <c r="AK1012" s="714" t="str">
        <f t="shared" si="728"/>
        <v/>
      </c>
      <c r="AL1012" s="714"/>
      <c r="AM1012" s="114" t="str">
        <f t="shared" si="729"/>
        <v/>
      </c>
      <c r="AN1012" s="115"/>
      <c r="AO1012" s="116"/>
      <c r="AP1012" s="116"/>
      <c r="AQ1012" s="116"/>
      <c r="AR1012" s="116"/>
      <c r="AS1012" s="116"/>
      <c r="AT1012" s="116"/>
      <c r="AU1012" s="116"/>
      <c r="AV1012" s="78"/>
      <c r="AW1012" s="102"/>
      <c r="AX1012" s="78"/>
      <c r="AY1012" s="78"/>
      <c r="AZ1012" s="78"/>
      <c r="BA1012" s="78"/>
      <c r="BB1012" s="78"/>
      <c r="BC1012" s="78"/>
      <c r="BD1012" s="78"/>
      <c r="BE1012" s="465"/>
      <c r="BF1012" s="165" t="str">
        <f t="shared" si="730"/>
        <v>https://www.google.com/search?tbm=isch&amp;q=10%20G4</v>
      </c>
      <c r="BG1012" s="165" t="str">
        <f t="shared" si="731"/>
        <v>C</v>
      </c>
      <c r="BH1012" s="65"/>
      <c r="BI1012" s="65"/>
      <c r="BJ1012" s="65"/>
      <c r="BK1012" s="65"/>
      <c r="BL1012" s="99"/>
      <c r="BM1012" s="99"/>
      <c r="BN1012" s="99"/>
    </row>
    <row r="1013" spans="1:66" s="51" customFormat="1" ht="15.75" x14ac:dyDescent="0.25">
      <c r="A1013" s="634">
        <v>15</v>
      </c>
      <c r="B1013" s="635" t="s">
        <v>291</v>
      </c>
      <c r="C1013" s="636" t="s">
        <v>1397</v>
      </c>
      <c r="D1013" s="637" t="s">
        <v>299</v>
      </c>
      <c r="E1013" s="638">
        <v>201.95</v>
      </c>
      <c r="F1013" s="639" t="s">
        <v>292</v>
      </c>
      <c r="G1013" s="484">
        <v>0</v>
      </c>
      <c r="H1013" s="691" t="str">
        <f>IF(G1013=0,"",IF(F1013="Buy",IF(G1013=1,"plant","plants"),IF(F1013&gt;0.01,"warranty","Error")))</f>
        <v/>
      </c>
      <c r="I1013" s="640">
        <f>IF(H1013="free",0,IF(H1013="credit",((E1013*(F1013))*G1013*-1),IF(F1013="Buy",(E1013*G1013),((E1013*(1-F1013))*G1013))))</f>
        <v>0</v>
      </c>
      <c r="J1013" s="640">
        <f>IF(H1013="warranty",0,(I1013*(_xlfn.SINGLE(SalesTaxPercentage))))</f>
        <v>0</v>
      </c>
      <c r="K1013" s="716">
        <f t="shared" ref="K1013" si="748">I1013+J1013</f>
        <v>0</v>
      </c>
      <c r="L1013" s="716"/>
      <c r="M1013" s="689" t="str">
        <f ca="1">IF(AND(G1013&gt;0,E1013=0),"WARNING - no PRICE inserted",IF(H1013="free","FREE ~ no charge this plant",IF(H1013="credit",CONCATENATE("-$",ROUND(K1013*(1-_xlfn.SINGLE(T2GDiscount))*-1,2)," CREDIT after discount"),IF(_xlfn.SINGLE(T2GDiscount)=0,"",IF(G1013=0,"",IF(F1013="Buy",CONCATENATE("$",ROUND(K1013*(1-_xlfn.SINGLE(T2GDiscount)),2)," with ",(_xlfn.SINGLE(T2GDiscount)*100),"% discount"),CONCATENATE("$",ROUND(K1013*(1-_xlfn.SINGLE(T2GDiscount)),2)," with ",((_xlfn.SINGLE(T2GDiscount)*100+F1013*100)-(_xlfn.SINGLE(T2GDiscount)*100*F1013)),IF(F1013&gt;0,"% discounts",IF(_xlfn.SINGLE(NoWarrantyDiscount)&gt;0,"% discounts","% discount")))))))))</f>
        <v/>
      </c>
      <c r="N1013" s="690"/>
      <c r="O1013" s="486"/>
      <c r="P1013" s="486"/>
      <c r="Q1013" s="486"/>
      <c r="R1013" s="486"/>
      <c r="S1013" s="486"/>
      <c r="T1013" s="102">
        <f t="shared" si="719"/>
        <v>0</v>
      </c>
      <c r="U1013" s="78">
        <f>IF(NOT(ISNUMBER(G1013)), "", VLOOKUP(A1013,'Discount Lookup'!D:E,2,FALSE)*G1013)</f>
        <v>0</v>
      </c>
      <c r="V1013" s="78">
        <f>IF(NOT(ISNUMBER(G1013)), "", VLOOKUP(A1013,'Discount Lookup'!G:H,2,FALSE)*G1013)</f>
        <v>0</v>
      </c>
      <c r="W1013" s="102">
        <f t="shared" si="720"/>
        <v>0</v>
      </c>
      <c r="X1013" s="102">
        <f t="shared" si="721"/>
        <v>0</v>
      </c>
      <c r="Y1013" s="120" t="b">
        <f t="shared" si="722"/>
        <v>0</v>
      </c>
      <c r="Z1013" s="117">
        <f t="shared" si="723"/>
        <v>0</v>
      </c>
      <c r="AA1013" s="118"/>
      <c r="AB1013" s="118" t="str">
        <f t="shared" si="724"/>
        <v/>
      </c>
      <c r="AC1013" s="712" t="str">
        <f>IF(AE1013="T2G","no charge",IF(AND(OR(PlanterYesMe="No",PlanterYesMe="N",PlanterYesMe="me"),H1013=""),"",IF(H1013="credit","NO install",IF(AND(K1013="",AE1013="me"),"EACH row",IF(AND(K1013="images",AE1013="me"),"EACH row",IF(D1013="","",IF(H1013="credit","",IF(AE1013="free","re-planting",IF(AE1013="me","   not ELP, by",IF(AND(OR(PlanterYesMe="Yes",PlanterYesMe="Y"),G1013&gt;0),(VLOOKUP(A1013,'Discount Lookup'!J:K,2)*G1013*(1-PlanterDiscount)*(1+PlanterDifficultyPercentage)),IF(AE1013="ELP",(VLOOKUP(A1013,'Discount Lookup'!J:K,2)*G1013*(1-PlanterDiscount)*(1+PlanterDifficultyPercentage)),IF(AE1013="free","re-planting",IF(G1013=0,"",IF(PlanterYesMe="",IF(AE1013="me","   not ELP, by",IF(AE1013="",IF(G1013&gt;0,(VLOOKUP(A1013,'Discount Lookup'!J:K,2)*G1013*(1-PlanterDiscount)*(1+PlanterDifficultyPercentage)),""),"")),"   not ELP, by"))))))))))))))</f>
        <v/>
      </c>
      <c r="AD1013" s="712"/>
      <c r="AE1013" s="513" t="str">
        <f t="shared" si="725"/>
        <v/>
      </c>
      <c r="AF1013" s="713" t="str">
        <f t="shared" si="726"/>
        <v/>
      </c>
      <c r="AG1013" s="713"/>
      <c r="AH1013" s="713"/>
      <c r="AI1013" s="112">
        <f>IF(H1013="credit",0,IF(AE1013="free",0,IF(AE1013="me",0,IF(G1013&gt;0,(VLOOKUP(A1013,'Discount Lookup'!J:K,2)*G1013),0))))</f>
        <v>0</v>
      </c>
      <c r="AJ1013" s="107" t="str">
        <f t="shared" ca="1" si="727"/>
        <v/>
      </c>
      <c r="AK1013" s="714" t="str">
        <f t="shared" si="728"/>
        <v/>
      </c>
      <c r="AL1013" s="714"/>
      <c r="AM1013" s="114" t="str">
        <f t="shared" si="729"/>
        <v/>
      </c>
      <c r="AN1013" s="115"/>
      <c r="AO1013" s="116"/>
      <c r="AP1013" s="116"/>
      <c r="AQ1013" s="116"/>
      <c r="AR1013" s="116"/>
      <c r="AS1013" s="116"/>
      <c r="AT1013" s="116"/>
      <c r="AU1013" s="116"/>
      <c r="AV1013" s="78"/>
      <c r="AW1013" s="102"/>
      <c r="AX1013" s="78"/>
      <c r="AY1013" s="78"/>
      <c r="AZ1013" s="78"/>
      <c r="BA1013" s="78"/>
      <c r="BB1013" s="78"/>
      <c r="BC1013" s="78"/>
      <c r="BD1013" s="78"/>
      <c r="BE1013" s="465"/>
      <c r="BF1013" s="165" t="str">
        <f t="shared" si="730"/>
        <v>https://www.google.com/search?tbm=isch&amp;q=15%20G4</v>
      </c>
      <c r="BG1013" s="165" t="str">
        <f t="shared" si="731"/>
        <v>C</v>
      </c>
      <c r="BH1013" s="65"/>
      <c r="BI1013" s="65"/>
      <c r="BJ1013" s="65"/>
      <c r="BK1013" s="65"/>
      <c r="BL1013" s="99"/>
      <c r="BM1013" s="99"/>
      <c r="BN1013" s="99"/>
    </row>
    <row r="1014" spans="1:66" s="51" customFormat="1" ht="17.25" thickBot="1" x14ac:dyDescent="0.3">
      <c r="A1014" s="641" t="s">
        <v>2060</v>
      </c>
      <c r="B1014" s="642"/>
      <c r="C1014" s="710"/>
      <c r="D1014" s="643"/>
      <c r="E1014" s="643"/>
      <c r="F1014" s="644"/>
      <c r="G1014" s="645"/>
      <c r="H1014" s="646"/>
      <c r="I1014" s="647"/>
      <c r="J1014" s="648"/>
      <c r="K1014" s="649"/>
      <c r="L1014" s="650"/>
      <c r="M1014" s="650"/>
      <c r="N1014" s="644"/>
      <c r="O1014" s="644"/>
      <c r="P1014" s="644"/>
      <c r="Q1014" s="644"/>
      <c r="R1014" s="644"/>
      <c r="S1014" s="651"/>
      <c r="T1014" s="102">
        <f t="shared" si="719"/>
        <v>0</v>
      </c>
      <c r="U1014" s="78" t="str">
        <f>IF(NOT(ISNUMBER(G1014)), "", VLOOKUP(A1014,'Discount Lookup'!D:E,2,FALSE)*G1014)</f>
        <v/>
      </c>
      <c r="V1014" s="78" t="str">
        <f>IF(NOT(ISNUMBER(G1014)), "", VLOOKUP(A1014,'Discount Lookup'!G:H,2,FALSE)*G1014)</f>
        <v/>
      </c>
      <c r="W1014" s="102">
        <f t="shared" si="720"/>
        <v>0</v>
      </c>
      <c r="X1014" s="102">
        <f t="shared" si="721"/>
        <v>0</v>
      </c>
      <c r="Y1014" s="120" t="b">
        <f t="shared" si="722"/>
        <v>0</v>
      </c>
      <c r="Z1014" s="117">
        <f t="shared" si="723"/>
        <v>0</v>
      </c>
      <c r="AA1014" s="118"/>
      <c r="AB1014" s="118" t="str">
        <f t="shared" si="724"/>
        <v/>
      </c>
      <c r="AC1014" s="712" t="str">
        <f>IF(AE1014="T2G","no charge",IF(AND(OR(PlanterYesMe="No",PlanterYesMe="N",PlanterYesMe="me"),H1014=""),"",IF(H1014="credit","NO install",IF(AND(K1014="",AE1014="me"),"EACH row",IF(AND(K1014="images",AE1014="me"),"EACH row",IF(D1014="","",IF(H1014="credit","",IF(AE1014="free","re-planting",IF(AE1014="me","   not ELP, by",IF(AND(OR(PlanterYesMe="Yes",PlanterYesMe="Y"),G1014&gt;0),(VLOOKUP(A1014,'Discount Lookup'!J:K,2)*G1014*(1-PlanterDiscount)*(1+PlanterDifficultyPercentage)),IF(AE1014="ELP",(VLOOKUP(A1014,'Discount Lookup'!J:K,2)*G1014*(1-PlanterDiscount)*(1+PlanterDifficultyPercentage)),IF(AE1014="free","re-planting",IF(G1014=0,"",IF(PlanterYesMe="",IF(AE1014="me","   not ELP, by",IF(AE1014="",IF(G1014&gt;0,(VLOOKUP(A1014,'Discount Lookup'!J:K,2)*G1014*(1-PlanterDiscount)*(1+PlanterDifficultyPercentage)),""),"")),"   not ELP, by"))))))))))))))</f>
        <v/>
      </c>
      <c r="AD1014" s="712"/>
      <c r="AE1014" s="513" t="str">
        <f t="shared" si="725"/>
        <v/>
      </c>
      <c r="AF1014" s="713" t="str">
        <f t="shared" si="726"/>
        <v/>
      </c>
      <c r="AG1014" s="713"/>
      <c r="AH1014" s="713"/>
      <c r="AI1014" s="112">
        <f>IF(H1014="credit",0,IF(AE1014="free",0,IF(AE1014="me",0,IF(G1014&gt;0,(VLOOKUP(A1014,'Discount Lookup'!J:K,2)*G1014),0))))</f>
        <v>0</v>
      </c>
      <c r="AJ1014" s="107" t="str">
        <f t="shared" ca="1" si="727"/>
        <v/>
      </c>
      <c r="AK1014" s="714" t="str">
        <f t="shared" si="728"/>
        <v/>
      </c>
      <c r="AL1014" s="714"/>
      <c r="AM1014" s="114" t="str">
        <f t="shared" si="729"/>
        <v/>
      </c>
      <c r="AN1014" s="115"/>
      <c r="AO1014" s="116"/>
      <c r="AP1014" s="116"/>
      <c r="AQ1014" s="116"/>
      <c r="AR1014" s="116"/>
      <c r="AS1014" s="116"/>
      <c r="AT1014" s="116"/>
      <c r="AU1014" s="116"/>
      <c r="AV1014" s="78"/>
      <c r="AW1014" s="102"/>
      <c r="AX1014" s="78"/>
      <c r="AY1014" s="78"/>
      <c r="AZ1014" s="78"/>
      <c r="BA1014" s="78"/>
      <c r="BB1014" s="78"/>
      <c r="BC1014" s="78"/>
      <c r="BD1014" s="78"/>
      <c r="BE1014" s="465"/>
      <c r="BF1014" s="165" t="str">
        <f t="shared" si="730"/>
        <v>https://www.google.com/search?tbm=isch&amp;q=Golden%20Falls%20foliage%20tinged%20with%20orange%20in%20spring%2C%20then%20a%20bright%20gold%20that%20persists%20all%20season%20</v>
      </c>
      <c r="BG1014" s="165" t="str">
        <f t="shared" si="731"/>
        <v>G</v>
      </c>
      <c r="BH1014" s="65"/>
      <c r="BI1014" s="65"/>
      <c r="BJ1014" s="65"/>
      <c r="BK1014" s="65"/>
      <c r="BL1014" s="99"/>
      <c r="BM1014" s="99"/>
      <c r="BN1014" s="99"/>
    </row>
    <row r="1015" spans="1:66" s="51" customFormat="1" ht="18" x14ac:dyDescent="0.25">
      <c r="A1015" s="623" t="s">
        <v>5045</v>
      </c>
      <c r="B1015" s="624"/>
      <c r="C1015" s="709"/>
      <c r="D1015" s="625" t="s">
        <v>5630</v>
      </c>
      <c r="E1015" s="626"/>
      <c r="F1015" s="626"/>
      <c r="G1015" s="626"/>
      <c r="H1015" s="622" t="s">
        <v>327</v>
      </c>
      <c r="I1015" s="627" t="s">
        <v>4394</v>
      </c>
      <c r="J1015" s="628"/>
      <c r="K1015" s="628"/>
      <c r="L1015" s="629"/>
      <c r="M1015" s="700" t="s">
        <v>5249</v>
      </c>
      <c r="N1015" s="693" t="str">
        <f>IF(AND(ISTEXT($A1015), ISERROR($A1015+0)), HYPERLINK($BF1015, "Images"), "")</f>
        <v>Images</v>
      </c>
      <c r="O1015" s="695" t="s">
        <v>5264</v>
      </c>
      <c r="P1015" s="630"/>
      <c r="Q1015" s="631"/>
      <c r="R1015" s="632"/>
      <c r="S1015" s="633" t="s">
        <v>294</v>
      </c>
      <c r="T1015" s="102">
        <f t="shared" si="719"/>
        <v>0</v>
      </c>
      <c r="U1015" s="78" t="str">
        <f>IF(NOT(ISNUMBER(G1015)), "", VLOOKUP(A1015,'Discount Lookup'!D:E,2,FALSE)*G1015)</f>
        <v/>
      </c>
      <c r="V1015" s="78" t="str">
        <f>IF(NOT(ISNUMBER(G1015)), "", VLOOKUP(A1015,'Discount Lookup'!G:H,2,FALSE)*G1015)</f>
        <v/>
      </c>
      <c r="W1015" s="102">
        <f t="shared" si="720"/>
        <v>0</v>
      </c>
      <c r="X1015" s="102" t="str">
        <f t="shared" si="721"/>
        <v>Multicolor foliage</v>
      </c>
      <c r="Y1015" s="120" t="b">
        <f t="shared" si="722"/>
        <v>0</v>
      </c>
      <c r="Z1015" s="117">
        <f t="shared" si="723"/>
        <v>0</v>
      </c>
      <c r="AA1015" s="118"/>
      <c r="AB1015" s="118" t="str">
        <f t="shared" si="724"/>
        <v/>
      </c>
      <c r="AC1015" s="712" t="str">
        <f>IF(AE1015="T2G","no charge",IF(AND(OR(PlanterYesMe="No",PlanterYesMe="N",PlanterYesMe="me"),H1015=""),"",IF(H1015="credit","NO install",IF(AND(K1015="",AE1015="me"),"EACH row",IF(AND(K1015="images",AE1015="me"),"EACH row",IF(D1015="","",IF(H1015="credit","",IF(AE1015="free","re-planting",IF(AE1015="me","   not ELP, by",IF(AND(OR(PlanterYesMe="Yes",PlanterYesMe="Y"),G1015&gt;0),(VLOOKUP(A1015,'Discount Lookup'!J:K,2)*G1015*(1-PlanterDiscount)*(1+PlanterDifficultyPercentage)),IF(AE1015="ELP",(VLOOKUP(A1015,'Discount Lookup'!J:K,2)*G1015*(1-PlanterDiscount)*(1+PlanterDifficultyPercentage)),IF(AE1015="free","re-planting",IF(G1015=0,"",IF(PlanterYesMe="",IF(AE1015="me","   not ELP, by",IF(AE1015="",IF(G1015&gt;0,(VLOOKUP(A1015,'Discount Lookup'!J:K,2)*G1015*(1-PlanterDiscount)*(1+PlanterDifficultyPercentage)),""),"")),"   not ELP, by"))))))))))))))</f>
        <v/>
      </c>
      <c r="AD1015" s="712"/>
      <c r="AE1015" s="513" t="str">
        <f t="shared" si="725"/>
        <v/>
      </c>
      <c r="AF1015" s="713" t="str">
        <f t="shared" si="726"/>
        <v/>
      </c>
      <c r="AG1015" s="713"/>
      <c r="AH1015" s="713"/>
      <c r="AI1015" s="112">
        <f>IF(H1015="credit",0,IF(AE1015="free",0,IF(AE1015="me",0,IF(G1015&gt;0,(VLOOKUP(A1015,'Discount Lookup'!J:K,2)*G1015),0))))</f>
        <v>0</v>
      </c>
      <c r="AJ1015" s="107" t="str">
        <f t="shared" ca="1" si="727"/>
        <v/>
      </c>
      <c r="AK1015" s="714" t="str">
        <f t="shared" si="728"/>
        <v/>
      </c>
      <c r="AL1015" s="714"/>
      <c r="AM1015" s="114" t="str">
        <f t="shared" si="729"/>
        <v/>
      </c>
      <c r="AN1015" s="115"/>
      <c r="AO1015" s="116"/>
      <c r="AP1015" s="116"/>
      <c r="AQ1015" s="116"/>
      <c r="AR1015" s="116"/>
      <c r="AS1015" s="116"/>
      <c r="AT1015" s="116"/>
      <c r="AU1015" s="116"/>
      <c r="AV1015" s="78"/>
      <c r="AW1015" s="102"/>
      <c r="AX1015" s="78"/>
      <c r="AY1015" s="78"/>
      <c r="AZ1015" s="78"/>
      <c r="BA1015" s="78"/>
      <c r="BB1015" s="78"/>
      <c r="BC1015" s="78"/>
      <c r="BD1015" s="78"/>
      <c r="BE1015" s="465"/>
      <c r="BF1015" s="165" t="str">
        <f t="shared" si="730"/>
        <v>https://www.google.com/search?tbm=isch&amp;q=Cercis%20canadensis%20%27NC2016-2%27%20PP%2331260%20Flame%20Thrower%C2%AE%20Redbud</v>
      </c>
      <c r="BG1015" s="165" t="str">
        <f t="shared" si="731"/>
        <v>C</v>
      </c>
      <c r="BH1015" s="65"/>
      <c r="BI1015" s="65"/>
      <c r="BJ1015" s="65"/>
      <c r="BK1015" s="65"/>
      <c r="BL1015" s="99"/>
      <c r="BM1015" s="99"/>
      <c r="BN1015" s="99"/>
    </row>
    <row r="1016" spans="1:66" s="51" customFormat="1" ht="15.75" x14ac:dyDescent="0.25">
      <c r="A1016" s="634">
        <v>15</v>
      </c>
      <c r="B1016" s="635" t="s">
        <v>291</v>
      </c>
      <c r="C1016" s="636" t="s">
        <v>5046</v>
      </c>
      <c r="D1016" s="637" t="s">
        <v>299</v>
      </c>
      <c r="E1016" s="638">
        <v>196.95</v>
      </c>
      <c r="F1016" s="639" t="s">
        <v>292</v>
      </c>
      <c r="G1016" s="484">
        <v>0</v>
      </c>
      <c r="H1016" s="691" t="str">
        <f>IF(G1016=0,"",IF(F1016="Buy",IF(G1016=1,"plant","plants"),IF(F1016&gt;0.01,"warranty","Error")))</f>
        <v/>
      </c>
      <c r="I1016" s="640">
        <f>IF(H1016="free",0,IF(H1016="credit",((E1016*(F1016))*G1016*-1),IF(F1016="Buy",(E1016*G1016),((E1016*(1-F1016))*G1016))))</f>
        <v>0</v>
      </c>
      <c r="J1016" s="640">
        <f>IF(H1016="warranty",0,(I1016*(_xlfn.SINGLE(SalesTaxPercentage))))</f>
        <v>0</v>
      </c>
      <c r="K1016" s="716">
        <f t="shared" ref="K1016" si="749">I1016+J1016</f>
        <v>0</v>
      </c>
      <c r="L1016" s="716"/>
      <c r="M1016" s="689" t="str">
        <f ca="1">IF(AND(G1016&gt;0,E1016=0),"WARNING - no PRICE inserted",IF(H1016="free","FREE ~ no charge this plant",IF(H1016="credit",CONCATENATE("-$",ROUND(K1016*(1-_xlfn.SINGLE(T2GDiscount))*-1,2)," CREDIT after discount"),IF(_xlfn.SINGLE(T2GDiscount)=0,"",IF(G1016=0,"",IF(F1016="Buy",CONCATENATE("$",ROUND(K1016*(1-_xlfn.SINGLE(T2GDiscount)),2)," with ",(_xlfn.SINGLE(T2GDiscount)*100),"% discount"),CONCATENATE("$",ROUND(K1016*(1-_xlfn.SINGLE(T2GDiscount)),2)," with ",((_xlfn.SINGLE(T2GDiscount)*100+F1016*100)-(_xlfn.SINGLE(T2GDiscount)*100*F1016)),IF(F1016&gt;0,"% discounts",IF(_xlfn.SINGLE(NoWarrantyDiscount)&gt;0,"% discounts","% discount")))))))))</f>
        <v/>
      </c>
      <c r="N1016" s="690"/>
      <c r="O1016" s="486"/>
      <c r="P1016" s="486"/>
      <c r="Q1016" s="486"/>
      <c r="R1016" s="486"/>
      <c r="S1016" s="486"/>
      <c r="T1016" s="102">
        <f t="shared" si="719"/>
        <v>0</v>
      </c>
      <c r="U1016" s="78">
        <f>IF(NOT(ISNUMBER(G1016)), "", VLOOKUP(A1016,'Discount Lookup'!D:E,2,FALSE)*G1016)</f>
        <v>0</v>
      </c>
      <c r="V1016" s="78">
        <f>IF(NOT(ISNUMBER(G1016)), "", VLOOKUP(A1016,'Discount Lookup'!G:H,2,FALSE)*G1016)</f>
        <v>0</v>
      </c>
      <c r="W1016" s="102">
        <f t="shared" si="720"/>
        <v>0</v>
      </c>
      <c r="X1016" s="102">
        <f t="shared" si="721"/>
        <v>0</v>
      </c>
      <c r="Y1016" s="120" t="b">
        <f t="shared" si="722"/>
        <v>0</v>
      </c>
      <c r="Z1016" s="117">
        <f t="shared" si="723"/>
        <v>0</v>
      </c>
      <c r="AA1016" s="118"/>
      <c r="AB1016" s="118" t="str">
        <f t="shared" si="724"/>
        <v/>
      </c>
      <c r="AC1016" s="712" t="str">
        <f>IF(AE1016="T2G","no charge",IF(AND(OR(PlanterYesMe="No",PlanterYesMe="N",PlanterYesMe="me"),H1016=""),"",IF(H1016="credit","NO install",IF(AND(K1016="",AE1016="me"),"EACH row",IF(AND(K1016="images",AE1016="me"),"EACH row",IF(D1016="","",IF(H1016="credit","",IF(AE1016="free","re-planting",IF(AE1016="me","   not ELP, by",IF(AND(OR(PlanterYesMe="Yes",PlanterYesMe="Y"),G1016&gt;0),(VLOOKUP(A1016,'Discount Lookup'!J:K,2)*G1016*(1-PlanterDiscount)*(1+PlanterDifficultyPercentage)),IF(AE1016="ELP",(VLOOKUP(A1016,'Discount Lookup'!J:K,2)*G1016*(1-PlanterDiscount)*(1+PlanterDifficultyPercentage)),IF(AE1016="free","re-planting",IF(G1016=0,"",IF(PlanterYesMe="",IF(AE1016="me","   not ELP, by",IF(AE1016="",IF(G1016&gt;0,(VLOOKUP(A1016,'Discount Lookup'!J:K,2)*G1016*(1-PlanterDiscount)*(1+PlanterDifficultyPercentage)),""),"")),"   not ELP, by"))))))))))))))</f>
        <v/>
      </c>
      <c r="AD1016" s="712"/>
      <c r="AE1016" s="513" t="str">
        <f t="shared" si="725"/>
        <v/>
      </c>
      <c r="AF1016" s="713" t="str">
        <f t="shared" si="726"/>
        <v/>
      </c>
      <c r="AG1016" s="713"/>
      <c r="AH1016" s="713"/>
      <c r="AI1016" s="112">
        <f>IF(H1016="credit",0,IF(AE1016="free",0,IF(AE1016="me",0,IF(G1016&gt;0,(VLOOKUP(A1016,'Discount Lookup'!J:K,2)*G1016),0))))</f>
        <v>0</v>
      </c>
      <c r="AJ1016" s="107" t="str">
        <f t="shared" ca="1" si="727"/>
        <v/>
      </c>
      <c r="AK1016" s="714" t="str">
        <f t="shared" si="728"/>
        <v/>
      </c>
      <c r="AL1016" s="714"/>
      <c r="AM1016" s="114" t="str">
        <f t="shared" si="729"/>
        <v/>
      </c>
      <c r="AN1016" s="115"/>
      <c r="AO1016" s="116"/>
      <c r="AP1016" s="116"/>
      <c r="AQ1016" s="116"/>
      <c r="AR1016" s="116"/>
      <c r="AS1016" s="116"/>
      <c r="AT1016" s="116"/>
      <c r="AU1016" s="116"/>
      <c r="AV1016" s="78"/>
      <c r="AW1016" s="102"/>
      <c r="AX1016" s="78"/>
      <c r="AY1016" s="78"/>
      <c r="AZ1016" s="78"/>
      <c r="BA1016" s="78"/>
      <c r="BB1016" s="78"/>
      <c r="BC1016" s="78"/>
      <c r="BD1016" s="78"/>
      <c r="BE1016" s="465"/>
      <c r="BF1016" s="165" t="str">
        <f t="shared" si="730"/>
        <v>https://www.google.com/search?tbm=isch&amp;q=15%20G4</v>
      </c>
      <c r="BG1016" s="165" t="str">
        <f t="shared" si="731"/>
        <v>C</v>
      </c>
      <c r="BH1016" s="65"/>
      <c r="BI1016" s="65"/>
      <c r="BJ1016" s="65"/>
      <c r="BK1016" s="65"/>
      <c r="BL1016" s="99"/>
      <c r="BM1016" s="99"/>
      <c r="BN1016" s="99"/>
    </row>
    <row r="1017" spans="1:66" s="51" customFormat="1" ht="17.25" thickBot="1" x14ac:dyDescent="0.3">
      <c r="A1017" s="641" t="s">
        <v>5047</v>
      </c>
      <c r="B1017" s="642"/>
      <c r="C1017" s="710"/>
      <c r="D1017" s="643"/>
      <c r="E1017" s="643"/>
      <c r="F1017" s="644"/>
      <c r="G1017" s="645"/>
      <c r="H1017" s="646"/>
      <c r="I1017" s="647"/>
      <c r="J1017" s="648"/>
      <c r="K1017" s="649"/>
      <c r="L1017" s="650"/>
      <c r="M1017" s="650"/>
      <c r="N1017" s="644"/>
      <c r="O1017" s="644"/>
      <c r="P1017" s="644"/>
      <c r="Q1017" s="644"/>
      <c r="R1017" s="644"/>
      <c r="S1017" s="701" t="s">
        <v>5273</v>
      </c>
      <c r="T1017" s="102">
        <f t="shared" si="719"/>
        <v>0</v>
      </c>
      <c r="U1017" s="78" t="str">
        <f>IF(NOT(ISNUMBER(G1017)), "", VLOOKUP(A1017,'Discount Lookup'!D:E,2,FALSE)*G1017)</f>
        <v/>
      </c>
      <c r="V1017" s="78" t="str">
        <f>IF(NOT(ISNUMBER(G1017)), "", VLOOKUP(A1017,'Discount Lookup'!G:H,2,FALSE)*G1017)</f>
        <v/>
      </c>
      <c r="W1017" s="102">
        <f t="shared" si="720"/>
        <v>0</v>
      </c>
      <c r="X1017" s="102">
        <f t="shared" si="721"/>
        <v>0</v>
      </c>
      <c r="Y1017" s="120" t="b">
        <f t="shared" si="722"/>
        <v>0</v>
      </c>
      <c r="Z1017" s="117">
        <f t="shared" si="723"/>
        <v>0</v>
      </c>
      <c r="AA1017" s="118"/>
      <c r="AB1017" s="118" t="str">
        <f t="shared" si="724"/>
        <v/>
      </c>
      <c r="AC1017" s="712" t="str">
        <f>IF(AE1017="T2G","no charge",IF(AND(OR(PlanterYesMe="No",PlanterYesMe="N",PlanterYesMe="me"),H1017=""),"",IF(H1017="credit","NO install",IF(AND(K1017="",AE1017="me"),"EACH row",IF(AND(K1017="images",AE1017="me"),"EACH row",IF(D1017="","",IF(H1017="credit","",IF(AE1017="free","re-planting",IF(AE1017="me","   not ELP, by",IF(AND(OR(PlanterYesMe="Yes",PlanterYesMe="Y"),G1017&gt;0),(VLOOKUP(A1017,'Discount Lookup'!J:K,2)*G1017*(1-PlanterDiscount)*(1+PlanterDifficultyPercentage)),IF(AE1017="ELP",(VLOOKUP(A1017,'Discount Lookup'!J:K,2)*G1017*(1-PlanterDiscount)*(1+PlanterDifficultyPercentage)),IF(AE1017="free","re-planting",IF(G1017=0,"",IF(PlanterYesMe="",IF(AE1017="me","   not ELP, by",IF(AE1017="",IF(G1017&gt;0,(VLOOKUP(A1017,'Discount Lookup'!J:K,2)*G1017*(1-PlanterDiscount)*(1+PlanterDifficultyPercentage)),""),"")),"   not ELP, by"))))))))))))))</f>
        <v/>
      </c>
      <c r="AD1017" s="712"/>
      <c r="AE1017" s="513" t="str">
        <f t="shared" si="725"/>
        <v/>
      </c>
      <c r="AF1017" s="713" t="str">
        <f t="shared" si="726"/>
        <v/>
      </c>
      <c r="AG1017" s="713"/>
      <c r="AH1017" s="713"/>
      <c r="AI1017" s="112">
        <f>IF(H1017="credit",0,IF(AE1017="free",0,IF(AE1017="me",0,IF(G1017&gt;0,(VLOOKUP(A1017,'Discount Lookup'!J:K,2)*G1017),0))))</f>
        <v>0</v>
      </c>
      <c r="AJ1017" s="107" t="str">
        <f t="shared" ca="1" si="727"/>
        <v/>
      </c>
      <c r="AK1017" s="714" t="str">
        <f t="shared" si="728"/>
        <v/>
      </c>
      <c r="AL1017" s="714"/>
      <c r="AM1017" s="114" t="str">
        <f t="shared" si="729"/>
        <v/>
      </c>
      <c r="AN1017" s="115"/>
      <c r="AO1017" s="116"/>
      <c r="AP1017" s="116"/>
      <c r="AQ1017" s="116"/>
      <c r="AR1017" s="116"/>
      <c r="AS1017" s="116"/>
      <c r="AT1017" s="116"/>
      <c r="AU1017" s="116"/>
      <c r="AV1017" s="78"/>
      <c r="AW1017" s="102"/>
      <c r="AX1017" s="78"/>
      <c r="AY1017" s="78"/>
      <c r="AZ1017" s="78"/>
      <c r="BA1017" s="78"/>
      <c r="BB1017" s="78"/>
      <c r="BC1017" s="78"/>
      <c r="BD1017" s="78"/>
      <c r="BE1017" s="465"/>
      <c r="BF1017" s="165" t="str">
        <f t="shared" si="730"/>
        <v>https://www.google.com/search?tbm=isch&amp;q=Flame%20Thrower%20boasts%20a%20stunning%20display%20of%20color%20throughout%20the%20season.%20Developed%20at%20JC%20Raulston%20Arboretum%20</v>
      </c>
      <c r="BG1017" s="165" t="str">
        <f t="shared" si="731"/>
        <v>F</v>
      </c>
      <c r="BH1017" s="65"/>
      <c r="BI1017" s="65"/>
      <c r="BJ1017" s="65"/>
      <c r="BK1017" s="65"/>
      <c r="BL1017" s="99"/>
      <c r="BM1017" s="99"/>
      <c r="BN1017" s="99"/>
    </row>
    <row r="1018" spans="1:66" s="51" customFormat="1" ht="18" x14ac:dyDescent="0.25">
      <c r="A1018" s="623" t="s">
        <v>2061</v>
      </c>
      <c r="B1018" s="624"/>
      <c r="C1018" s="709"/>
      <c r="D1018" s="625" t="s">
        <v>5868</v>
      </c>
      <c r="E1018" s="626"/>
      <c r="F1018" s="626"/>
      <c r="G1018" s="626"/>
      <c r="H1018" s="622" t="s">
        <v>1246</v>
      </c>
      <c r="I1018" s="627" t="s">
        <v>2062</v>
      </c>
      <c r="J1018" s="628"/>
      <c r="K1018" s="628"/>
      <c r="L1018" s="629"/>
      <c r="M1018" s="700" t="s">
        <v>5249</v>
      </c>
      <c r="N1018" s="693" t="str">
        <f>IF(AND(ISTEXT($A1018), ISERROR($A1018+0)), HYPERLINK($BF1018, "Images"), "")</f>
        <v>Images</v>
      </c>
      <c r="O1018" s="695" t="s">
        <v>5247</v>
      </c>
      <c r="P1018" s="630"/>
      <c r="Q1018" s="631"/>
      <c r="R1018" s="632"/>
      <c r="S1018" s="633" t="s">
        <v>294</v>
      </c>
      <c r="T1018" s="102">
        <f t="shared" si="719"/>
        <v>0</v>
      </c>
      <c r="U1018" s="78" t="str">
        <f>IF(NOT(ISNUMBER(G1018)), "", VLOOKUP(A1018,'Discount Lookup'!D:E,2,FALSE)*G1018)</f>
        <v/>
      </c>
      <c r="V1018" s="78" t="str">
        <f>IF(NOT(ISNUMBER(G1018)), "", VLOOKUP(A1018,'Discount Lookup'!G:H,2,FALSE)*G1018)</f>
        <v/>
      </c>
      <c r="W1018" s="102">
        <f t="shared" si="720"/>
        <v>0</v>
      </c>
      <c r="X1018" s="102" t="str">
        <f t="shared" si="721"/>
        <v>Rosy=Purple Bloom</v>
      </c>
      <c r="Y1018" s="120" t="b">
        <f t="shared" si="722"/>
        <v>0</v>
      </c>
      <c r="Z1018" s="117">
        <f t="shared" si="723"/>
        <v>0</v>
      </c>
      <c r="AA1018" s="118"/>
      <c r="AB1018" s="118" t="str">
        <f t="shared" si="724"/>
        <v/>
      </c>
      <c r="AC1018" s="712" t="str">
        <f>IF(AE1018="T2G","no charge",IF(AND(OR(PlanterYesMe="No",PlanterYesMe="N",PlanterYesMe="me"),H1018=""),"",IF(H1018="credit","NO install",IF(AND(K1018="",AE1018="me"),"EACH row",IF(AND(K1018="images",AE1018="me"),"EACH row",IF(D1018="","",IF(H1018="credit","",IF(AE1018="free","re-planting",IF(AE1018="me","   not ELP, by",IF(AND(OR(PlanterYesMe="Yes",PlanterYesMe="Y"),G1018&gt;0),(VLOOKUP(A1018,'Discount Lookup'!J:K,2)*G1018*(1-PlanterDiscount)*(1+PlanterDifficultyPercentage)),IF(AE1018="ELP",(VLOOKUP(A1018,'Discount Lookup'!J:K,2)*G1018*(1-PlanterDiscount)*(1+PlanterDifficultyPercentage)),IF(AE1018="free","re-planting",IF(G1018=0,"",IF(PlanterYesMe="",IF(AE1018="me","   not ELP, by",IF(AE1018="",IF(G1018&gt;0,(VLOOKUP(A1018,'Discount Lookup'!J:K,2)*G1018*(1-PlanterDiscount)*(1+PlanterDifficultyPercentage)),""),"")),"   not ELP, by"))))))))))))))</f>
        <v/>
      </c>
      <c r="AD1018" s="712"/>
      <c r="AE1018" s="513" t="str">
        <f t="shared" si="725"/>
        <v/>
      </c>
      <c r="AF1018" s="713" t="str">
        <f t="shared" si="726"/>
        <v/>
      </c>
      <c r="AG1018" s="713"/>
      <c r="AH1018" s="713"/>
      <c r="AI1018" s="112">
        <f>IF(H1018="credit",0,IF(AE1018="free",0,IF(AE1018="me",0,IF(G1018&gt;0,(VLOOKUP(A1018,'Discount Lookup'!J:K,2)*G1018),0))))</f>
        <v>0</v>
      </c>
      <c r="AJ1018" s="107" t="str">
        <f t="shared" ca="1" si="727"/>
        <v/>
      </c>
      <c r="AK1018" s="714" t="str">
        <f t="shared" si="728"/>
        <v/>
      </c>
      <c r="AL1018" s="714"/>
      <c r="AM1018" s="114" t="str">
        <f t="shared" si="729"/>
        <v/>
      </c>
      <c r="AN1018" s="115"/>
      <c r="AO1018" s="116"/>
      <c r="AP1018" s="116"/>
      <c r="AQ1018" s="116"/>
      <c r="AR1018" s="116"/>
      <c r="AS1018" s="116"/>
      <c r="AT1018" s="116"/>
      <c r="AU1018" s="116"/>
      <c r="AV1018" s="78"/>
      <c r="AW1018" s="102"/>
      <c r="AX1018" s="78"/>
      <c r="AY1018" s="78"/>
      <c r="AZ1018" s="78"/>
      <c r="BA1018" s="78"/>
      <c r="BB1018" s="78"/>
      <c r="BC1018" s="78"/>
      <c r="BD1018" s="78"/>
      <c r="BE1018" s="465"/>
      <c r="BF1018" s="165" t="str">
        <f t="shared" si="730"/>
        <v>https://www.google.com/search?tbm=isch&amp;q=Cercis%20canadensis%20%27NC2017-6%27%20PP%2335279%20Amethyst%20Redbud%20%28GG%C2%AE%29</v>
      </c>
      <c r="BG1018" s="165" t="str">
        <f t="shared" si="731"/>
        <v>C</v>
      </c>
      <c r="BH1018" s="65"/>
      <c r="BI1018" s="65"/>
      <c r="BJ1018" s="65"/>
      <c r="BK1018" s="65"/>
      <c r="BL1018" s="99"/>
      <c r="BM1018" s="99"/>
      <c r="BN1018" s="99"/>
    </row>
    <row r="1019" spans="1:66" s="51" customFormat="1" ht="15.75" x14ac:dyDescent="0.25">
      <c r="A1019" s="634">
        <v>7</v>
      </c>
      <c r="B1019" s="635" t="s">
        <v>291</v>
      </c>
      <c r="C1019" s="636" t="s">
        <v>2063</v>
      </c>
      <c r="D1019" s="637" t="s">
        <v>299</v>
      </c>
      <c r="E1019" s="638">
        <v>141.94999999999999</v>
      </c>
      <c r="F1019" s="639" t="s">
        <v>292</v>
      </c>
      <c r="G1019" s="484">
        <v>0</v>
      </c>
      <c r="H1019" s="691" t="str">
        <f>IF(G1019=0,"",IF(F1019="Buy",IF(G1019=1,"plant","plants"),IF(F1019&gt;0.01,"warranty","Error")))</f>
        <v/>
      </c>
      <c r="I1019" s="640">
        <f>IF(H1019="free",0,IF(H1019="credit",((E1019*(F1019))*G1019*-1),IF(F1019="Buy",(E1019*G1019),((E1019*(1-F1019))*G1019))))</f>
        <v>0</v>
      </c>
      <c r="J1019" s="640">
        <f>IF(H1019="warranty",0,(I1019*(_xlfn.SINGLE(SalesTaxPercentage))))</f>
        <v>0</v>
      </c>
      <c r="K1019" s="716">
        <f t="shared" ref="K1019" si="750">I1019+J1019</f>
        <v>0</v>
      </c>
      <c r="L1019" s="716"/>
      <c r="M1019" s="689" t="str">
        <f ca="1">IF(AND(G1019&gt;0,E1019=0),"WARNING - no PRICE inserted",IF(H1019="free","FREE ~ no charge this plant",IF(H1019="credit",CONCATENATE("-$",ROUND(K1019*(1-_xlfn.SINGLE(T2GDiscount))*-1,2)," CREDIT after discount"),IF(_xlfn.SINGLE(T2GDiscount)=0,"",IF(G1019=0,"",IF(F1019="Buy",CONCATENATE("$",ROUND(K1019*(1-_xlfn.SINGLE(T2GDiscount)),2)," with ",(_xlfn.SINGLE(T2GDiscount)*100),"% discount"),CONCATENATE("$",ROUND(K1019*(1-_xlfn.SINGLE(T2GDiscount)),2)," with ",((_xlfn.SINGLE(T2GDiscount)*100+F1019*100)-(_xlfn.SINGLE(T2GDiscount)*100*F1019)),IF(F1019&gt;0,"% discounts",IF(_xlfn.SINGLE(NoWarrantyDiscount)&gt;0,"% discounts","% discount")))))))))</f>
        <v/>
      </c>
      <c r="N1019" s="690"/>
      <c r="O1019" s="486"/>
      <c r="P1019" s="486"/>
      <c r="Q1019" s="486"/>
      <c r="R1019" s="486"/>
      <c r="S1019" s="486"/>
      <c r="T1019" s="102">
        <f t="shared" si="719"/>
        <v>0</v>
      </c>
      <c r="U1019" s="78">
        <f>IF(NOT(ISNUMBER(G1019)), "", VLOOKUP(A1019,'Discount Lookup'!D:E,2,FALSE)*G1019)</f>
        <v>0</v>
      </c>
      <c r="V1019" s="78">
        <f>IF(NOT(ISNUMBER(G1019)), "", VLOOKUP(A1019,'Discount Lookup'!G:H,2,FALSE)*G1019)</f>
        <v>0</v>
      </c>
      <c r="W1019" s="102">
        <f t="shared" si="720"/>
        <v>0</v>
      </c>
      <c r="X1019" s="102">
        <f t="shared" si="721"/>
        <v>0</v>
      </c>
      <c r="Y1019" s="120" t="b">
        <f t="shared" si="722"/>
        <v>0</v>
      </c>
      <c r="Z1019" s="117">
        <f t="shared" si="723"/>
        <v>0</v>
      </c>
      <c r="AA1019" s="118"/>
      <c r="AB1019" s="118" t="str">
        <f t="shared" si="724"/>
        <v/>
      </c>
      <c r="AC1019" s="712" t="str">
        <f>IF(AE1019="T2G","no charge",IF(AND(OR(PlanterYesMe="No",PlanterYesMe="N",PlanterYesMe="me"),H1019=""),"",IF(H1019="credit","NO install",IF(AND(K1019="",AE1019="me"),"EACH row",IF(AND(K1019="images",AE1019="me"),"EACH row",IF(D1019="","",IF(H1019="credit","",IF(AE1019="free","re-planting",IF(AE1019="me","   not ELP, by",IF(AND(OR(PlanterYesMe="Yes",PlanterYesMe="Y"),G1019&gt;0),(VLOOKUP(A1019,'Discount Lookup'!J:K,2)*G1019*(1-PlanterDiscount)*(1+PlanterDifficultyPercentage)),IF(AE1019="ELP",(VLOOKUP(A1019,'Discount Lookup'!J:K,2)*G1019*(1-PlanterDiscount)*(1+PlanterDifficultyPercentage)),IF(AE1019="free","re-planting",IF(G1019=0,"",IF(PlanterYesMe="",IF(AE1019="me","   not ELP, by",IF(AE1019="",IF(G1019&gt;0,(VLOOKUP(A1019,'Discount Lookup'!J:K,2)*G1019*(1-PlanterDiscount)*(1+PlanterDifficultyPercentage)),""),"")),"   not ELP, by"))))))))))))))</f>
        <v/>
      </c>
      <c r="AD1019" s="712"/>
      <c r="AE1019" s="513" t="str">
        <f t="shared" si="725"/>
        <v/>
      </c>
      <c r="AF1019" s="713" t="str">
        <f t="shared" si="726"/>
        <v/>
      </c>
      <c r="AG1019" s="713"/>
      <c r="AH1019" s="713"/>
      <c r="AI1019" s="112">
        <f>IF(H1019="credit",0,IF(AE1019="free",0,IF(AE1019="me",0,IF(G1019&gt;0,(VLOOKUP(A1019,'Discount Lookup'!J:K,2)*G1019),0))))</f>
        <v>0</v>
      </c>
      <c r="AJ1019" s="107" t="str">
        <f t="shared" ca="1" si="727"/>
        <v/>
      </c>
      <c r="AK1019" s="714" t="str">
        <f t="shared" si="728"/>
        <v/>
      </c>
      <c r="AL1019" s="714"/>
      <c r="AM1019" s="114" t="str">
        <f t="shared" si="729"/>
        <v/>
      </c>
      <c r="AN1019" s="115"/>
      <c r="AO1019" s="116"/>
      <c r="AP1019" s="116"/>
      <c r="AQ1019" s="116"/>
      <c r="AR1019" s="116"/>
      <c r="AS1019" s="116"/>
      <c r="AT1019" s="116"/>
      <c r="AU1019" s="116"/>
      <c r="AV1019" s="78"/>
      <c r="AW1019" s="102"/>
      <c r="AX1019" s="78"/>
      <c r="AY1019" s="78"/>
      <c r="AZ1019" s="78"/>
      <c r="BA1019" s="78"/>
      <c r="BB1019" s="78"/>
      <c r="BC1019" s="78"/>
      <c r="BD1019" s="78"/>
      <c r="BE1019" s="465"/>
      <c r="BF1019" s="165" t="str">
        <f t="shared" si="730"/>
        <v>https://www.google.com/search?tbm=isch&amp;q=7%20G4</v>
      </c>
      <c r="BG1019" s="165" t="str">
        <f t="shared" si="731"/>
        <v>C</v>
      </c>
      <c r="BH1019" s="65"/>
      <c r="BI1019" s="65"/>
      <c r="BJ1019" s="65"/>
      <c r="BK1019" s="65"/>
      <c r="BL1019" s="99"/>
      <c r="BM1019" s="99"/>
      <c r="BN1019" s="99"/>
    </row>
    <row r="1020" spans="1:66" s="51" customFormat="1" ht="15.75" x14ac:dyDescent="0.25">
      <c r="A1020" s="634">
        <v>7</v>
      </c>
      <c r="B1020" s="635" t="s">
        <v>291</v>
      </c>
      <c r="C1020" s="636" t="s">
        <v>2064</v>
      </c>
      <c r="D1020" s="637" t="s">
        <v>299</v>
      </c>
      <c r="E1020" s="638">
        <v>155.94999999999999</v>
      </c>
      <c r="F1020" s="639" t="s">
        <v>292</v>
      </c>
      <c r="G1020" s="484">
        <v>0</v>
      </c>
      <c r="H1020" s="691" t="str">
        <f>IF(G1020=0,"",IF(F1020="Buy",IF(G1020=1,"plant","plants"),IF(F1020&gt;0.01,"warranty","Error")))</f>
        <v/>
      </c>
      <c r="I1020" s="640">
        <f>IF(H1020="free",0,IF(H1020="credit",((E1020*(F1020))*G1020*-1),IF(F1020="Buy",(E1020*G1020),((E1020*(1-F1020))*G1020))))</f>
        <v>0</v>
      </c>
      <c r="J1020" s="640">
        <f>IF(H1020="warranty",0,(I1020*(_xlfn.SINGLE(SalesTaxPercentage))))</f>
        <v>0</v>
      </c>
      <c r="K1020" s="716">
        <f t="shared" ref="K1020" si="751">I1020+J1020</f>
        <v>0</v>
      </c>
      <c r="L1020" s="716"/>
      <c r="M1020" s="689" t="str">
        <f ca="1">IF(AND(G1020&gt;0,E1020=0),"WARNING - no PRICE inserted",IF(H1020="free","FREE ~ no charge this plant",IF(H1020="credit",CONCATENATE("-$",ROUND(K1020*(1-_xlfn.SINGLE(T2GDiscount))*-1,2)," CREDIT after discount"),IF(_xlfn.SINGLE(T2GDiscount)=0,"",IF(G1020=0,"",IF(F1020="Buy",CONCATENATE("$",ROUND(K1020*(1-_xlfn.SINGLE(T2GDiscount)),2)," with ",(_xlfn.SINGLE(T2GDiscount)*100),"% discount"),CONCATENATE("$",ROUND(K1020*(1-_xlfn.SINGLE(T2GDiscount)),2)," with ",((_xlfn.SINGLE(T2GDiscount)*100+F1020*100)-(_xlfn.SINGLE(T2GDiscount)*100*F1020)),IF(F1020&gt;0,"% discounts",IF(_xlfn.SINGLE(NoWarrantyDiscount)&gt;0,"% discounts","% discount")))))))))</f>
        <v/>
      </c>
      <c r="N1020" s="690"/>
      <c r="O1020" s="486"/>
      <c r="P1020" s="486"/>
      <c r="Q1020" s="486"/>
      <c r="R1020" s="486"/>
      <c r="S1020" s="486"/>
      <c r="T1020" s="102">
        <f t="shared" si="719"/>
        <v>0</v>
      </c>
      <c r="U1020" s="78">
        <f>IF(NOT(ISNUMBER(G1020)), "", VLOOKUP(A1020,'Discount Lookup'!D:E,2,FALSE)*G1020)</f>
        <v>0</v>
      </c>
      <c r="V1020" s="78">
        <f>IF(NOT(ISNUMBER(G1020)), "", VLOOKUP(A1020,'Discount Lookup'!G:H,2,FALSE)*G1020)</f>
        <v>0</v>
      </c>
      <c r="W1020" s="102">
        <f t="shared" si="720"/>
        <v>0</v>
      </c>
      <c r="X1020" s="102">
        <f t="shared" si="721"/>
        <v>0</v>
      </c>
      <c r="Y1020" s="120" t="b">
        <f t="shared" si="722"/>
        <v>0</v>
      </c>
      <c r="Z1020" s="117">
        <f t="shared" si="723"/>
        <v>0</v>
      </c>
      <c r="AA1020" s="118"/>
      <c r="AB1020" s="118" t="str">
        <f t="shared" si="724"/>
        <v/>
      </c>
      <c r="AC1020" s="712" t="str">
        <f>IF(AE1020="T2G","no charge",IF(AND(OR(PlanterYesMe="No",PlanterYesMe="N",PlanterYesMe="me"),H1020=""),"",IF(H1020="credit","NO install",IF(AND(K1020="",AE1020="me"),"EACH row",IF(AND(K1020="images",AE1020="me"),"EACH row",IF(D1020="","",IF(H1020="credit","",IF(AE1020="free","re-planting",IF(AE1020="me","   not ELP, by",IF(AND(OR(PlanterYesMe="Yes",PlanterYesMe="Y"),G1020&gt;0),(VLOOKUP(A1020,'Discount Lookup'!J:K,2)*G1020*(1-PlanterDiscount)*(1+PlanterDifficultyPercentage)),IF(AE1020="ELP",(VLOOKUP(A1020,'Discount Lookup'!J:K,2)*G1020*(1-PlanterDiscount)*(1+PlanterDifficultyPercentage)),IF(AE1020="free","re-planting",IF(G1020=0,"",IF(PlanterYesMe="",IF(AE1020="me","   not ELP, by",IF(AE1020="",IF(G1020&gt;0,(VLOOKUP(A1020,'Discount Lookup'!J:K,2)*G1020*(1-PlanterDiscount)*(1+PlanterDifficultyPercentage)),""),"")),"   not ELP, by"))))))))))))))</f>
        <v/>
      </c>
      <c r="AD1020" s="712"/>
      <c r="AE1020" s="513" t="str">
        <f t="shared" si="725"/>
        <v/>
      </c>
      <c r="AF1020" s="713" t="str">
        <f t="shared" si="726"/>
        <v/>
      </c>
      <c r="AG1020" s="713"/>
      <c r="AH1020" s="713"/>
      <c r="AI1020" s="112">
        <f>IF(H1020="credit",0,IF(AE1020="free",0,IF(AE1020="me",0,IF(G1020&gt;0,(VLOOKUP(A1020,'Discount Lookup'!J:K,2)*G1020),0))))</f>
        <v>0</v>
      </c>
      <c r="AJ1020" s="107" t="str">
        <f t="shared" ca="1" si="727"/>
        <v/>
      </c>
      <c r="AK1020" s="714" t="str">
        <f t="shared" si="728"/>
        <v/>
      </c>
      <c r="AL1020" s="714"/>
      <c r="AM1020" s="114" t="str">
        <f t="shared" si="729"/>
        <v/>
      </c>
      <c r="AN1020" s="115"/>
      <c r="AO1020" s="116"/>
      <c r="AP1020" s="116"/>
      <c r="AQ1020" s="116"/>
      <c r="AR1020" s="116"/>
      <c r="AS1020" s="116"/>
      <c r="AT1020" s="116"/>
      <c r="AU1020" s="116"/>
      <c r="AV1020" s="78"/>
      <c r="AW1020" s="102"/>
      <c r="AX1020" s="78"/>
      <c r="AY1020" s="78"/>
      <c r="AZ1020" s="78"/>
      <c r="BA1020" s="78"/>
      <c r="BB1020" s="78"/>
      <c r="BC1020" s="78"/>
      <c r="BD1020" s="78"/>
      <c r="BE1020" s="465"/>
      <c r="BF1020" s="165" t="str">
        <f t="shared" si="730"/>
        <v>https://www.google.com/search?tbm=isch&amp;q=7%20G4</v>
      </c>
      <c r="BG1020" s="165" t="str">
        <f t="shared" si="731"/>
        <v>C</v>
      </c>
      <c r="BH1020" s="65"/>
      <c r="BI1020" s="65"/>
      <c r="BJ1020" s="65"/>
      <c r="BK1020" s="65"/>
      <c r="BL1020" s="99"/>
      <c r="BM1020" s="99"/>
      <c r="BN1020" s="99"/>
    </row>
    <row r="1021" spans="1:66" s="51" customFormat="1" ht="15.75" x14ac:dyDescent="0.25">
      <c r="A1021" s="634">
        <v>10</v>
      </c>
      <c r="B1021" s="635" t="s">
        <v>291</v>
      </c>
      <c r="C1021" s="636" t="s">
        <v>2065</v>
      </c>
      <c r="D1021" s="637" t="s">
        <v>299</v>
      </c>
      <c r="E1021" s="638">
        <v>169.95</v>
      </c>
      <c r="F1021" s="639" t="s">
        <v>292</v>
      </c>
      <c r="G1021" s="484">
        <v>0</v>
      </c>
      <c r="H1021" s="691" t="str">
        <f>IF(G1021=0,"",IF(F1021="Buy",IF(G1021=1,"plant","plants"),IF(F1021&gt;0.01,"warranty","Error")))</f>
        <v/>
      </c>
      <c r="I1021" s="640">
        <f>IF(H1021="free",0,IF(H1021="credit",((E1021*(F1021))*G1021*-1),IF(F1021="Buy",(E1021*G1021),((E1021*(1-F1021))*G1021))))</f>
        <v>0</v>
      </c>
      <c r="J1021" s="640">
        <f>IF(H1021="warranty",0,(I1021*(_xlfn.SINGLE(SalesTaxPercentage))))</f>
        <v>0</v>
      </c>
      <c r="K1021" s="716">
        <f t="shared" ref="K1021" si="752">I1021+J1021</f>
        <v>0</v>
      </c>
      <c r="L1021" s="716"/>
      <c r="M1021" s="689" t="str">
        <f ca="1">IF(AND(G1021&gt;0,E1021=0),"WARNING - no PRICE inserted",IF(H1021="free","FREE ~ no charge this plant",IF(H1021="credit",CONCATENATE("-$",ROUND(K1021*(1-_xlfn.SINGLE(T2GDiscount))*-1,2)," CREDIT after discount"),IF(_xlfn.SINGLE(T2GDiscount)=0,"",IF(G1021=0,"",IF(F1021="Buy",CONCATENATE("$",ROUND(K1021*(1-_xlfn.SINGLE(T2GDiscount)),2)," with ",(_xlfn.SINGLE(T2GDiscount)*100),"% discount"),CONCATENATE("$",ROUND(K1021*(1-_xlfn.SINGLE(T2GDiscount)),2)," with ",((_xlfn.SINGLE(T2GDiscount)*100+F1021*100)-(_xlfn.SINGLE(T2GDiscount)*100*F1021)),IF(F1021&gt;0,"% discounts",IF(_xlfn.SINGLE(NoWarrantyDiscount)&gt;0,"% discounts","% discount")))))))))</f>
        <v/>
      </c>
      <c r="N1021" s="690"/>
      <c r="O1021" s="486"/>
      <c r="P1021" s="486"/>
      <c r="Q1021" s="486"/>
      <c r="R1021" s="486"/>
      <c r="S1021" s="486"/>
      <c r="T1021" s="102">
        <f t="shared" si="719"/>
        <v>0</v>
      </c>
      <c r="U1021" s="78">
        <f>IF(NOT(ISNUMBER(G1021)), "", VLOOKUP(A1021,'Discount Lookup'!D:E,2,FALSE)*G1021)</f>
        <v>0</v>
      </c>
      <c r="V1021" s="78">
        <f>IF(NOT(ISNUMBER(G1021)), "", VLOOKUP(A1021,'Discount Lookup'!G:H,2,FALSE)*G1021)</f>
        <v>0</v>
      </c>
      <c r="W1021" s="102">
        <f t="shared" si="720"/>
        <v>0</v>
      </c>
      <c r="X1021" s="102">
        <f t="shared" si="721"/>
        <v>0</v>
      </c>
      <c r="Y1021" s="120" t="b">
        <f t="shared" si="722"/>
        <v>0</v>
      </c>
      <c r="Z1021" s="117">
        <f t="shared" si="723"/>
        <v>0</v>
      </c>
      <c r="AA1021" s="118"/>
      <c r="AB1021" s="118" t="str">
        <f t="shared" si="724"/>
        <v/>
      </c>
      <c r="AC1021" s="712" t="str">
        <f>IF(AE1021="T2G","no charge",IF(AND(OR(PlanterYesMe="No",PlanterYesMe="N",PlanterYesMe="me"),H1021=""),"",IF(H1021="credit","NO install",IF(AND(K1021="",AE1021="me"),"EACH row",IF(AND(K1021="images",AE1021="me"),"EACH row",IF(D1021="","",IF(H1021="credit","",IF(AE1021="free","re-planting",IF(AE1021="me","   not ELP, by",IF(AND(OR(PlanterYesMe="Yes",PlanterYesMe="Y"),G1021&gt;0),(VLOOKUP(A1021,'Discount Lookup'!J:K,2)*G1021*(1-PlanterDiscount)*(1+PlanterDifficultyPercentage)),IF(AE1021="ELP",(VLOOKUP(A1021,'Discount Lookup'!J:K,2)*G1021*(1-PlanterDiscount)*(1+PlanterDifficultyPercentage)),IF(AE1021="free","re-planting",IF(G1021=0,"",IF(PlanterYesMe="",IF(AE1021="me","   not ELP, by",IF(AE1021="",IF(G1021&gt;0,(VLOOKUP(A1021,'Discount Lookup'!J:K,2)*G1021*(1-PlanterDiscount)*(1+PlanterDifficultyPercentage)),""),"")),"   not ELP, by"))))))))))))))</f>
        <v/>
      </c>
      <c r="AD1021" s="712"/>
      <c r="AE1021" s="513" t="str">
        <f t="shared" si="725"/>
        <v/>
      </c>
      <c r="AF1021" s="713" t="str">
        <f t="shared" si="726"/>
        <v/>
      </c>
      <c r="AG1021" s="713"/>
      <c r="AH1021" s="713"/>
      <c r="AI1021" s="112">
        <f>IF(H1021="credit",0,IF(AE1021="free",0,IF(AE1021="me",0,IF(G1021&gt;0,(VLOOKUP(A1021,'Discount Lookup'!J:K,2)*G1021),0))))</f>
        <v>0</v>
      </c>
      <c r="AJ1021" s="107" t="str">
        <f t="shared" ca="1" si="727"/>
        <v/>
      </c>
      <c r="AK1021" s="714" t="str">
        <f t="shared" si="728"/>
        <v/>
      </c>
      <c r="AL1021" s="714"/>
      <c r="AM1021" s="114" t="str">
        <f t="shared" si="729"/>
        <v/>
      </c>
      <c r="AN1021" s="115"/>
      <c r="AO1021" s="116"/>
      <c r="AP1021" s="116"/>
      <c r="AQ1021" s="116"/>
      <c r="AR1021" s="116"/>
      <c r="AS1021" s="116"/>
      <c r="AT1021" s="116"/>
      <c r="AU1021" s="116"/>
      <c r="AV1021" s="78"/>
      <c r="AW1021" s="102"/>
      <c r="AX1021" s="78"/>
      <c r="AY1021" s="78"/>
      <c r="AZ1021" s="78"/>
      <c r="BA1021" s="78"/>
      <c r="BB1021" s="78"/>
      <c r="BC1021" s="78"/>
      <c r="BD1021" s="78"/>
      <c r="BE1021" s="465"/>
      <c r="BF1021" s="165" t="str">
        <f t="shared" si="730"/>
        <v>https://www.google.com/search?tbm=isch&amp;q=10%20G4</v>
      </c>
      <c r="BG1021" s="165" t="str">
        <f t="shared" si="731"/>
        <v>C</v>
      </c>
      <c r="BH1021" s="65"/>
      <c r="BI1021" s="65"/>
      <c r="BJ1021" s="65"/>
      <c r="BK1021" s="65"/>
      <c r="BL1021" s="99"/>
      <c r="BM1021" s="99"/>
      <c r="BN1021" s="99"/>
    </row>
    <row r="1022" spans="1:66" s="51" customFormat="1" ht="17.25" thickBot="1" x14ac:dyDescent="0.3">
      <c r="A1022" s="641" t="s">
        <v>5152</v>
      </c>
      <c r="B1022" s="642"/>
      <c r="C1022" s="710"/>
      <c r="D1022" s="643"/>
      <c r="E1022" s="643"/>
      <c r="F1022" s="644"/>
      <c r="G1022" s="645"/>
      <c r="H1022" s="646"/>
      <c r="I1022" s="647"/>
      <c r="J1022" s="648"/>
      <c r="K1022" s="649"/>
      <c r="L1022" s="650"/>
      <c r="M1022" s="650"/>
      <c r="N1022" s="644"/>
      <c r="O1022" s="644"/>
      <c r="P1022" s="644"/>
      <c r="Q1022" s="644"/>
      <c r="R1022" s="644"/>
      <c r="S1022" s="701" t="s">
        <v>5279</v>
      </c>
      <c r="T1022" s="102">
        <f t="shared" si="719"/>
        <v>0</v>
      </c>
      <c r="U1022" s="78" t="str">
        <f>IF(NOT(ISNUMBER(G1022)), "", VLOOKUP(A1022,'Discount Lookup'!D:E,2,FALSE)*G1022)</f>
        <v/>
      </c>
      <c r="V1022" s="78" t="str">
        <f>IF(NOT(ISNUMBER(G1022)), "", VLOOKUP(A1022,'Discount Lookup'!G:H,2,FALSE)*G1022)</f>
        <v/>
      </c>
      <c r="W1022" s="102">
        <f t="shared" si="720"/>
        <v>0</v>
      </c>
      <c r="X1022" s="102">
        <f t="shared" si="721"/>
        <v>0</v>
      </c>
      <c r="Y1022" s="120" t="b">
        <f t="shared" si="722"/>
        <v>0</v>
      </c>
      <c r="Z1022" s="117">
        <f t="shared" si="723"/>
        <v>0</v>
      </c>
      <c r="AA1022" s="118"/>
      <c r="AB1022" s="118" t="str">
        <f t="shared" si="724"/>
        <v/>
      </c>
      <c r="AC1022" s="712" t="str">
        <f>IF(AE1022="T2G","no charge",IF(AND(OR(PlanterYesMe="No",PlanterYesMe="N",PlanterYesMe="me"),H1022=""),"",IF(H1022="credit","NO install",IF(AND(K1022="",AE1022="me"),"EACH row",IF(AND(K1022="images",AE1022="me"),"EACH row",IF(D1022="","",IF(H1022="credit","",IF(AE1022="free","re-planting",IF(AE1022="me","   not ELP, by",IF(AND(OR(PlanterYesMe="Yes",PlanterYesMe="Y"),G1022&gt;0),(VLOOKUP(A1022,'Discount Lookup'!J:K,2)*G1022*(1-PlanterDiscount)*(1+PlanterDifficultyPercentage)),IF(AE1022="ELP",(VLOOKUP(A1022,'Discount Lookup'!J:K,2)*G1022*(1-PlanterDiscount)*(1+PlanterDifficultyPercentage)),IF(AE1022="free","re-planting",IF(G1022=0,"",IF(PlanterYesMe="",IF(AE1022="me","   not ELP, by",IF(AE1022="",IF(G1022&gt;0,(VLOOKUP(A1022,'Discount Lookup'!J:K,2)*G1022*(1-PlanterDiscount)*(1+PlanterDifficultyPercentage)),""),"")),"   not ELP, by"))))))))))))))</f>
        <v/>
      </c>
      <c r="AD1022" s="712"/>
      <c r="AE1022" s="513" t="str">
        <f t="shared" si="725"/>
        <v/>
      </c>
      <c r="AF1022" s="713" t="str">
        <f t="shared" si="726"/>
        <v/>
      </c>
      <c r="AG1022" s="713"/>
      <c r="AH1022" s="713"/>
      <c r="AI1022" s="112">
        <f>IF(H1022="credit",0,IF(AE1022="free",0,IF(AE1022="me",0,IF(G1022&gt;0,(VLOOKUP(A1022,'Discount Lookup'!J:K,2)*G1022),0))))</f>
        <v>0</v>
      </c>
      <c r="AJ1022" s="107" t="str">
        <f t="shared" ca="1" si="727"/>
        <v/>
      </c>
      <c r="AK1022" s="714" t="str">
        <f t="shared" si="728"/>
        <v/>
      </c>
      <c r="AL1022" s="714"/>
      <c r="AM1022" s="114" t="str">
        <f t="shared" si="729"/>
        <v/>
      </c>
      <c r="AN1022" s="115"/>
      <c r="AO1022" s="116"/>
      <c r="AP1022" s="116"/>
      <c r="AQ1022" s="116"/>
      <c r="AR1022" s="116"/>
      <c r="AS1022" s="116"/>
      <c r="AT1022" s="116"/>
      <c r="AU1022" s="116"/>
      <c r="AV1022" s="78"/>
      <c r="AW1022" s="102"/>
      <c r="AX1022" s="78"/>
      <c r="AY1022" s="78"/>
      <c r="AZ1022" s="78"/>
      <c r="BA1022" s="78"/>
      <c r="BB1022" s="78"/>
      <c r="BC1022" s="78"/>
      <c r="BD1022" s="78"/>
      <c r="BE1022" s="465"/>
      <c r="BF1022" s="165" t="str">
        <f t="shared" si="730"/>
        <v>https://www.google.com/search?tbm=isch&amp;q=Amethyst%20is%20first%20compact%20Redbud%20with%20Red-Purple%20foliage.%20Holds%20foliage%20color%20through%20summer%20heat%20</v>
      </c>
      <c r="BG1022" s="165" t="str">
        <f t="shared" si="731"/>
        <v>A</v>
      </c>
      <c r="BH1022" s="65"/>
      <c r="BI1022" s="65"/>
      <c r="BJ1022" s="65"/>
      <c r="BK1022" s="65"/>
      <c r="BL1022" s="99"/>
      <c r="BM1022" s="99"/>
      <c r="BN1022" s="99"/>
    </row>
    <row r="1023" spans="1:66" s="51" customFormat="1" ht="18" x14ac:dyDescent="0.25">
      <c r="A1023" s="623" t="s">
        <v>2066</v>
      </c>
      <c r="B1023" s="624"/>
      <c r="C1023" s="709"/>
      <c r="D1023" s="625" t="s">
        <v>5631</v>
      </c>
      <c r="E1023" s="626"/>
      <c r="F1023" s="626"/>
      <c r="G1023" s="626"/>
      <c r="H1023" s="622" t="s">
        <v>1506</v>
      </c>
      <c r="I1023" s="627" t="s">
        <v>1450</v>
      </c>
      <c r="J1023" s="628"/>
      <c r="K1023" s="628"/>
      <c r="L1023" s="629"/>
      <c r="M1023" s="700" t="s">
        <v>5249</v>
      </c>
      <c r="N1023" s="693" t="str">
        <f>IF(AND(ISTEXT($A1023), ISERROR($A1023+0)), HYPERLINK($BF1023, "Images"), "")</f>
        <v>Images</v>
      </c>
      <c r="O1023" s="695" t="s">
        <v>5264</v>
      </c>
      <c r="P1023" s="630"/>
      <c r="Q1023" s="631"/>
      <c r="R1023" s="632"/>
      <c r="S1023" s="633" t="s">
        <v>294</v>
      </c>
      <c r="T1023" s="102">
        <f t="shared" si="719"/>
        <v>0</v>
      </c>
      <c r="U1023" s="78" t="str">
        <f>IF(NOT(ISNUMBER(G1023)), "", VLOOKUP(A1023,'Discount Lookup'!D:E,2,FALSE)*G1023)</f>
        <v/>
      </c>
      <c r="V1023" s="78" t="str">
        <f>IF(NOT(ISNUMBER(G1023)), "", VLOOKUP(A1023,'Discount Lookup'!G:H,2,FALSE)*G1023)</f>
        <v/>
      </c>
      <c r="W1023" s="102">
        <f t="shared" si="720"/>
        <v>0</v>
      </c>
      <c r="X1023" s="102" t="str">
        <f t="shared" si="721"/>
        <v>Purple bloom</v>
      </c>
      <c r="Y1023" s="120" t="b">
        <f t="shared" si="722"/>
        <v>0</v>
      </c>
      <c r="Z1023" s="117">
        <f t="shared" si="723"/>
        <v>0</v>
      </c>
      <c r="AA1023" s="118"/>
      <c r="AB1023" s="118" t="str">
        <f t="shared" si="724"/>
        <v/>
      </c>
      <c r="AC1023" s="712" t="str">
        <f>IF(AE1023="T2G","no charge",IF(AND(OR(PlanterYesMe="No",PlanterYesMe="N",PlanterYesMe="me"),H1023=""),"",IF(H1023="credit","NO install",IF(AND(K1023="",AE1023="me"),"EACH row",IF(AND(K1023="images",AE1023="me"),"EACH row",IF(D1023="","",IF(H1023="credit","",IF(AE1023="free","re-planting",IF(AE1023="me","   not ELP, by",IF(AND(OR(PlanterYesMe="Yes",PlanterYesMe="Y"),G1023&gt;0),(VLOOKUP(A1023,'Discount Lookup'!J:K,2)*G1023*(1-PlanterDiscount)*(1+PlanterDifficultyPercentage)),IF(AE1023="ELP",(VLOOKUP(A1023,'Discount Lookup'!J:K,2)*G1023*(1-PlanterDiscount)*(1+PlanterDifficultyPercentage)),IF(AE1023="free","re-planting",IF(G1023=0,"",IF(PlanterYesMe="",IF(AE1023="me","   not ELP, by",IF(AE1023="",IF(G1023&gt;0,(VLOOKUP(A1023,'Discount Lookup'!J:K,2)*G1023*(1-PlanterDiscount)*(1+PlanterDifficultyPercentage)),""),"")),"   not ELP, by"))))))))))))))</f>
        <v/>
      </c>
      <c r="AD1023" s="712"/>
      <c r="AE1023" s="513" t="str">
        <f t="shared" si="725"/>
        <v/>
      </c>
      <c r="AF1023" s="713" t="str">
        <f t="shared" si="726"/>
        <v/>
      </c>
      <c r="AG1023" s="713"/>
      <c r="AH1023" s="713"/>
      <c r="AI1023" s="112">
        <f>IF(H1023="credit",0,IF(AE1023="free",0,IF(AE1023="me",0,IF(G1023&gt;0,(VLOOKUP(A1023,'Discount Lookup'!J:K,2)*G1023),0))))</f>
        <v>0</v>
      </c>
      <c r="AJ1023" s="107" t="str">
        <f t="shared" ca="1" si="727"/>
        <v/>
      </c>
      <c r="AK1023" s="714" t="str">
        <f t="shared" si="728"/>
        <v/>
      </c>
      <c r="AL1023" s="714"/>
      <c r="AM1023" s="114" t="str">
        <f t="shared" si="729"/>
        <v/>
      </c>
      <c r="AN1023" s="115"/>
      <c r="AO1023" s="116"/>
      <c r="AP1023" s="116"/>
      <c r="AQ1023" s="116"/>
      <c r="AR1023" s="116"/>
      <c r="AS1023" s="116"/>
      <c r="AT1023" s="116"/>
      <c r="AU1023" s="116"/>
      <c r="AV1023" s="78"/>
      <c r="AW1023" s="102"/>
      <c r="AX1023" s="78"/>
      <c r="AY1023" s="78"/>
      <c r="AZ1023" s="78"/>
      <c r="BA1023" s="78"/>
      <c r="BB1023" s="78"/>
      <c r="BC1023" s="78"/>
      <c r="BD1023" s="78"/>
      <c r="BE1023" s="465"/>
      <c r="BF1023" s="165" t="str">
        <f t="shared" si="730"/>
        <v>https://www.google.com/search?tbm=isch&amp;q=Cercis%20canadensis%20%27NCCC1%27%20PP%2327712%20Carolina%20Sweetheart%C2%AE%20Redbud</v>
      </c>
      <c r="BG1023" s="165" t="str">
        <f t="shared" si="731"/>
        <v>C</v>
      </c>
      <c r="BH1023" s="65"/>
      <c r="BI1023" s="65"/>
      <c r="BJ1023" s="65"/>
      <c r="BK1023" s="65"/>
      <c r="BL1023" s="99"/>
      <c r="BM1023" s="99"/>
      <c r="BN1023" s="99"/>
    </row>
    <row r="1024" spans="1:66" s="51" customFormat="1" ht="15.75" x14ac:dyDescent="0.25">
      <c r="A1024" s="634">
        <v>7</v>
      </c>
      <c r="B1024" s="635" t="s">
        <v>291</v>
      </c>
      <c r="C1024" s="636" t="s">
        <v>921</v>
      </c>
      <c r="D1024" s="637" t="s">
        <v>299</v>
      </c>
      <c r="E1024" s="638">
        <v>118.95</v>
      </c>
      <c r="F1024" s="639" t="s">
        <v>292</v>
      </c>
      <c r="G1024" s="484">
        <v>0</v>
      </c>
      <c r="H1024" s="691" t="str">
        <f>IF(G1024=0,"",IF(F1024="Buy",IF(G1024=1,"plant","plants"),IF(F1024&gt;0.01,"warranty","Error")))</f>
        <v/>
      </c>
      <c r="I1024" s="640">
        <f>IF(H1024="free",0,IF(H1024="credit",((E1024*(F1024))*G1024*-1),IF(F1024="Buy",(E1024*G1024),((E1024*(1-F1024))*G1024))))</f>
        <v>0</v>
      </c>
      <c r="J1024" s="640">
        <f>IF(H1024="warranty",0,(I1024*(_xlfn.SINGLE(SalesTaxPercentage))))</f>
        <v>0</v>
      </c>
      <c r="K1024" s="716">
        <f t="shared" ref="K1024" si="753">I1024+J1024</f>
        <v>0</v>
      </c>
      <c r="L1024" s="716"/>
      <c r="M1024" s="689" t="str">
        <f ca="1">IF(AND(G1024&gt;0,E1024=0),"WARNING - no PRICE inserted",IF(H1024="free","FREE ~ no charge this plant",IF(H1024="credit",CONCATENATE("-$",ROUND(K1024*(1-_xlfn.SINGLE(T2GDiscount))*-1,2)," CREDIT after discount"),IF(_xlfn.SINGLE(T2GDiscount)=0,"",IF(G1024=0,"",IF(F1024="Buy",CONCATENATE("$",ROUND(K1024*(1-_xlfn.SINGLE(T2GDiscount)),2)," with ",(_xlfn.SINGLE(T2GDiscount)*100),"% discount"),CONCATENATE("$",ROUND(K1024*(1-_xlfn.SINGLE(T2GDiscount)),2)," with ",((_xlfn.SINGLE(T2GDiscount)*100+F1024*100)-(_xlfn.SINGLE(T2GDiscount)*100*F1024)),IF(F1024&gt;0,"% discounts",IF(_xlfn.SINGLE(NoWarrantyDiscount)&gt;0,"% discounts","% discount")))))))))</f>
        <v/>
      </c>
      <c r="N1024" s="690"/>
      <c r="O1024" s="486"/>
      <c r="P1024" s="486"/>
      <c r="Q1024" s="486"/>
      <c r="R1024" s="486"/>
      <c r="S1024" s="486"/>
      <c r="T1024" s="102">
        <f t="shared" si="719"/>
        <v>0</v>
      </c>
      <c r="U1024" s="78">
        <f>IF(NOT(ISNUMBER(G1024)), "", VLOOKUP(A1024,'Discount Lookup'!D:E,2,FALSE)*G1024)</f>
        <v>0</v>
      </c>
      <c r="V1024" s="78">
        <f>IF(NOT(ISNUMBER(G1024)), "", VLOOKUP(A1024,'Discount Lookup'!G:H,2,FALSE)*G1024)</f>
        <v>0</v>
      </c>
      <c r="W1024" s="102">
        <f t="shared" si="720"/>
        <v>0</v>
      </c>
      <c r="X1024" s="102">
        <f t="shared" si="721"/>
        <v>0</v>
      </c>
      <c r="Y1024" s="120" t="b">
        <f t="shared" si="722"/>
        <v>0</v>
      </c>
      <c r="Z1024" s="117">
        <f t="shared" si="723"/>
        <v>0</v>
      </c>
      <c r="AA1024" s="118"/>
      <c r="AB1024" s="118" t="str">
        <f t="shared" si="724"/>
        <v/>
      </c>
      <c r="AC1024" s="712" t="str">
        <f>IF(AE1024="T2G","no charge",IF(AND(OR(PlanterYesMe="No",PlanterYesMe="N",PlanterYesMe="me"),H1024=""),"",IF(H1024="credit","NO install",IF(AND(K1024="",AE1024="me"),"EACH row",IF(AND(K1024="images",AE1024="me"),"EACH row",IF(D1024="","",IF(H1024="credit","",IF(AE1024="free","re-planting",IF(AE1024="me","   not ELP, by",IF(AND(OR(PlanterYesMe="Yes",PlanterYesMe="Y"),G1024&gt;0),(VLOOKUP(A1024,'Discount Lookup'!J:K,2)*G1024*(1-PlanterDiscount)*(1+PlanterDifficultyPercentage)),IF(AE1024="ELP",(VLOOKUP(A1024,'Discount Lookup'!J:K,2)*G1024*(1-PlanterDiscount)*(1+PlanterDifficultyPercentage)),IF(AE1024="free","re-planting",IF(G1024=0,"",IF(PlanterYesMe="",IF(AE1024="me","   not ELP, by",IF(AE1024="",IF(G1024&gt;0,(VLOOKUP(A1024,'Discount Lookup'!J:K,2)*G1024*(1-PlanterDiscount)*(1+PlanterDifficultyPercentage)),""),"")),"   not ELP, by"))))))))))))))</f>
        <v/>
      </c>
      <c r="AD1024" s="712"/>
      <c r="AE1024" s="513" t="str">
        <f t="shared" si="725"/>
        <v/>
      </c>
      <c r="AF1024" s="713" t="str">
        <f t="shared" si="726"/>
        <v/>
      </c>
      <c r="AG1024" s="713"/>
      <c r="AH1024" s="713"/>
      <c r="AI1024" s="112">
        <f>IF(H1024="credit",0,IF(AE1024="free",0,IF(AE1024="me",0,IF(G1024&gt;0,(VLOOKUP(A1024,'Discount Lookup'!J:K,2)*G1024),0))))</f>
        <v>0</v>
      </c>
      <c r="AJ1024" s="107" t="str">
        <f t="shared" ca="1" si="727"/>
        <v/>
      </c>
      <c r="AK1024" s="714" t="str">
        <f t="shared" si="728"/>
        <v/>
      </c>
      <c r="AL1024" s="714"/>
      <c r="AM1024" s="114" t="str">
        <f t="shared" si="729"/>
        <v/>
      </c>
      <c r="AN1024" s="115"/>
      <c r="AO1024" s="116"/>
      <c r="AP1024" s="116"/>
      <c r="AQ1024" s="116"/>
      <c r="AR1024" s="116"/>
      <c r="AS1024" s="116"/>
      <c r="AT1024" s="116"/>
      <c r="AU1024" s="116"/>
      <c r="AV1024" s="78"/>
      <c r="AW1024" s="102"/>
      <c r="AX1024" s="78"/>
      <c r="AY1024" s="78"/>
      <c r="AZ1024" s="78"/>
      <c r="BA1024" s="78"/>
      <c r="BB1024" s="78"/>
      <c r="BC1024" s="78"/>
      <c r="BD1024" s="78"/>
      <c r="BE1024" s="465"/>
      <c r="BF1024" s="165" t="str">
        <f t="shared" si="730"/>
        <v>https://www.google.com/search?tbm=isch&amp;q=7%20G4</v>
      </c>
      <c r="BG1024" s="165" t="str">
        <f t="shared" si="731"/>
        <v>C</v>
      </c>
      <c r="BH1024" s="65"/>
      <c r="BI1024" s="65"/>
      <c r="BJ1024" s="65"/>
      <c r="BK1024" s="65"/>
      <c r="BL1024" s="99"/>
      <c r="BM1024" s="99"/>
      <c r="BN1024" s="99"/>
    </row>
    <row r="1025" spans="1:66" s="51" customFormat="1" ht="15.75" x14ac:dyDescent="0.25">
      <c r="A1025" s="634">
        <v>7</v>
      </c>
      <c r="B1025" s="635" t="s">
        <v>291</v>
      </c>
      <c r="C1025" s="636" t="s">
        <v>1253</v>
      </c>
      <c r="D1025" s="637" t="s">
        <v>329</v>
      </c>
      <c r="E1025" s="638">
        <v>126.95</v>
      </c>
      <c r="F1025" s="639" t="s">
        <v>292</v>
      </c>
      <c r="G1025" s="484">
        <v>0</v>
      </c>
      <c r="H1025" s="691" t="str">
        <f>IF(G1025=0,"",IF(F1025="Buy",IF(G1025=1,"plant","plants"),IF(F1025&gt;0.01,"warranty","Error")))</f>
        <v/>
      </c>
      <c r="I1025" s="640">
        <f>IF(H1025="free",0,IF(H1025="credit",((E1025*(F1025))*G1025*-1),IF(F1025="Buy",(E1025*G1025),((E1025*(1-F1025))*G1025))))</f>
        <v>0</v>
      </c>
      <c r="J1025" s="640">
        <f>IF(H1025="warranty",0,(I1025*(_xlfn.SINGLE(SalesTaxPercentage))))</f>
        <v>0</v>
      </c>
      <c r="K1025" s="716">
        <f t="shared" ref="K1025" si="754">I1025+J1025</f>
        <v>0</v>
      </c>
      <c r="L1025" s="716"/>
      <c r="M1025" s="689" t="str">
        <f ca="1">IF(AND(G1025&gt;0,E1025=0),"WARNING - no PRICE inserted",IF(H1025="free","FREE ~ no charge this plant",IF(H1025="credit",CONCATENATE("-$",ROUND(K1025*(1-_xlfn.SINGLE(T2GDiscount))*-1,2)," CREDIT after discount"),IF(_xlfn.SINGLE(T2GDiscount)=0,"",IF(G1025=0,"",IF(F1025="Buy",CONCATENATE("$",ROUND(K1025*(1-_xlfn.SINGLE(T2GDiscount)),2)," with ",(_xlfn.SINGLE(T2GDiscount)*100),"% discount"),CONCATENATE("$",ROUND(K1025*(1-_xlfn.SINGLE(T2GDiscount)),2)," with ",((_xlfn.SINGLE(T2GDiscount)*100+F1025*100)-(_xlfn.SINGLE(T2GDiscount)*100*F1025)),IF(F1025&gt;0,"% discounts",IF(_xlfn.SINGLE(NoWarrantyDiscount)&gt;0,"% discounts","% discount")))))))))</f>
        <v/>
      </c>
      <c r="N1025" s="690"/>
      <c r="O1025" s="486"/>
      <c r="P1025" s="486"/>
      <c r="Q1025" s="486"/>
      <c r="R1025" s="486"/>
      <c r="S1025" s="486"/>
      <c r="T1025" s="102">
        <f t="shared" si="719"/>
        <v>0</v>
      </c>
      <c r="U1025" s="78">
        <f>IF(NOT(ISNUMBER(G1025)), "", VLOOKUP(A1025,'Discount Lookup'!D:E,2,FALSE)*G1025)</f>
        <v>0</v>
      </c>
      <c r="V1025" s="78">
        <f>IF(NOT(ISNUMBER(G1025)), "", VLOOKUP(A1025,'Discount Lookup'!G:H,2,FALSE)*G1025)</f>
        <v>0</v>
      </c>
      <c r="W1025" s="102">
        <f t="shared" si="720"/>
        <v>0</v>
      </c>
      <c r="X1025" s="102">
        <f t="shared" si="721"/>
        <v>0</v>
      </c>
      <c r="Y1025" s="120" t="b">
        <f t="shared" si="722"/>
        <v>0</v>
      </c>
      <c r="Z1025" s="117">
        <f t="shared" si="723"/>
        <v>0</v>
      </c>
      <c r="AA1025" s="118"/>
      <c r="AB1025" s="118" t="str">
        <f t="shared" si="724"/>
        <v/>
      </c>
      <c r="AC1025" s="712" t="str">
        <f>IF(AE1025="T2G","no charge",IF(AND(OR(PlanterYesMe="No",PlanterYesMe="N",PlanterYesMe="me"),H1025=""),"",IF(H1025="credit","NO install",IF(AND(K1025="",AE1025="me"),"EACH row",IF(AND(K1025="images",AE1025="me"),"EACH row",IF(D1025="","",IF(H1025="credit","",IF(AE1025="free","re-planting",IF(AE1025="me","   not ELP, by",IF(AND(OR(PlanterYesMe="Yes",PlanterYesMe="Y"),G1025&gt;0),(VLOOKUP(A1025,'Discount Lookup'!J:K,2)*G1025*(1-PlanterDiscount)*(1+PlanterDifficultyPercentage)),IF(AE1025="ELP",(VLOOKUP(A1025,'Discount Lookup'!J:K,2)*G1025*(1-PlanterDiscount)*(1+PlanterDifficultyPercentage)),IF(AE1025="free","re-planting",IF(G1025=0,"",IF(PlanterYesMe="",IF(AE1025="me","   not ELP, by",IF(AE1025="",IF(G1025&gt;0,(VLOOKUP(A1025,'Discount Lookup'!J:K,2)*G1025*(1-PlanterDiscount)*(1+PlanterDifficultyPercentage)),""),"")),"   not ELP, by"))))))))))))))</f>
        <v/>
      </c>
      <c r="AD1025" s="712"/>
      <c r="AE1025" s="513" t="str">
        <f t="shared" si="725"/>
        <v/>
      </c>
      <c r="AF1025" s="713" t="str">
        <f t="shared" si="726"/>
        <v/>
      </c>
      <c r="AG1025" s="713"/>
      <c r="AH1025" s="713"/>
      <c r="AI1025" s="112">
        <f>IF(H1025="credit",0,IF(AE1025="free",0,IF(AE1025="me",0,IF(G1025&gt;0,(VLOOKUP(A1025,'Discount Lookup'!J:K,2)*G1025),0))))</f>
        <v>0</v>
      </c>
      <c r="AJ1025" s="107" t="str">
        <f t="shared" ca="1" si="727"/>
        <v/>
      </c>
      <c r="AK1025" s="714" t="str">
        <f t="shared" si="728"/>
        <v/>
      </c>
      <c r="AL1025" s="714"/>
      <c r="AM1025" s="114" t="str">
        <f t="shared" si="729"/>
        <v/>
      </c>
      <c r="AN1025" s="115"/>
      <c r="AO1025" s="116"/>
      <c r="AP1025" s="116"/>
      <c r="AQ1025" s="116"/>
      <c r="AR1025" s="116"/>
      <c r="AS1025" s="116"/>
      <c r="AT1025" s="116"/>
      <c r="AU1025" s="116"/>
      <c r="AV1025" s="78"/>
      <c r="AW1025" s="102"/>
      <c r="AX1025" s="78"/>
      <c r="AY1025" s="78"/>
      <c r="AZ1025" s="78"/>
      <c r="BA1025" s="78"/>
      <c r="BB1025" s="78"/>
      <c r="BC1025" s="78"/>
      <c r="BD1025" s="78"/>
      <c r="BE1025" s="465"/>
      <c r="BF1025" s="165" t="str">
        <f t="shared" si="730"/>
        <v>https://www.google.com/search?tbm=isch&amp;q=7%20G2</v>
      </c>
      <c r="BG1025" s="165" t="str">
        <f t="shared" si="731"/>
        <v>C</v>
      </c>
      <c r="BH1025" s="65"/>
      <c r="BI1025" s="65"/>
      <c r="BJ1025" s="65"/>
      <c r="BK1025" s="65"/>
      <c r="BL1025" s="99"/>
      <c r="BM1025" s="99"/>
      <c r="BN1025" s="99"/>
    </row>
    <row r="1026" spans="1:66" s="51" customFormat="1" ht="15.75" x14ac:dyDescent="0.25">
      <c r="A1026" s="634">
        <v>10</v>
      </c>
      <c r="B1026" s="635" t="s">
        <v>291</v>
      </c>
      <c r="C1026" s="636" t="s">
        <v>2014</v>
      </c>
      <c r="D1026" s="637" t="s">
        <v>329</v>
      </c>
      <c r="E1026" s="638">
        <v>146.94999999999999</v>
      </c>
      <c r="F1026" s="639" t="s">
        <v>292</v>
      </c>
      <c r="G1026" s="484">
        <v>0</v>
      </c>
      <c r="H1026" s="691" t="str">
        <f>IF(G1026=0,"",IF(F1026="Buy",IF(G1026=1,"plant","plants"),IF(F1026&gt;0.01,"warranty","Error")))</f>
        <v/>
      </c>
      <c r="I1026" s="640">
        <f>IF(H1026="free",0,IF(H1026="credit",((E1026*(F1026))*G1026*-1),IF(F1026="Buy",(E1026*G1026),((E1026*(1-F1026))*G1026))))</f>
        <v>0</v>
      </c>
      <c r="J1026" s="640">
        <f>IF(H1026="warranty",0,(I1026*(_xlfn.SINGLE(SalesTaxPercentage))))</f>
        <v>0</v>
      </c>
      <c r="K1026" s="716">
        <f t="shared" ref="K1026" si="755">I1026+J1026</f>
        <v>0</v>
      </c>
      <c r="L1026" s="716"/>
      <c r="M1026" s="689" t="str">
        <f ca="1">IF(AND(G1026&gt;0,E1026=0),"WARNING - no PRICE inserted",IF(H1026="free","FREE ~ no charge this plant",IF(H1026="credit",CONCATENATE("-$",ROUND(K1026*(1-_xlfn.SINGLE(T2GDiscount))*-1,2)," CREDIT after discount"),IF(_xlfn.SINGLE(T2GDiscount)=0,"",IF(G1026=0,"",IF(F1026="Buy",CONCATENATE("$",ROUND(K1026*(1-_xlfn.SINGLE(T2GDiscount)),2)," with ",(_xlfn.SINGLE(T2GDiscount)*100),"% discount"),CONCATENATE("$",ROUND(K1026*(1-_xlfn.SINGLE(T2GDiscount)),2)," with ",((_xlfn.SINGLE(T2GDiscount)*100+F1026*100)-(_xlfn.SINGLE(T2GDiscount)*100*F1026)),IF(F1026&gt;0,"% discounts",IF(_xlfn.SINGLE(NoWarrantyDiscount)&gt;0,"% discounts","% discount")))))))))</f>
        <v/>
      </c>
      <c r="N1026" s="690"/>
      <c r="O1026" s="486"/>
      <c r="P1026" s="486"/>
      <c r="Q1026" s="486"/>
      <c r="R1026" s="486"/>
      <c r="S1026" s="486"/>
      <c r="T1026" s="102">
        <f t="shared" si="719"/>
        <v>0</v>
      </c>
      <c r="U1026" s="78">
        <f>IF(NOT(ISNUMBER(G1026)), "", VLOOKUP(A1026,'Discount Lookup'!D:E,2,FALSE)*G1026)</f>
        <v>0</v>
      </c>
      <c r="V1026" s="78">
        <f>IF(NOT(ISNUMBER(G1026)), "", VLOOKUP(A1026,'Discount Lookup'!G:H,2,FALSE)*G1026)</f>
        <v>0</v>
      </c>
      <c r="W1026" s="102">
        <f t="shared" si="720"/>
        <v>0</v>
      </c>
      <c r="X1026" s="102">
        <f t="shared" si="721"/>
        <v>0</v>
      </c>
      <c r="Y1026" s="120" t="b">
        <f t="shared" si="722"/>
        <v>0</v>
      </c>
      <c r="Z1026" s="117">
        <f t="shared" si="723"/>
        <v>0</v>
      </c>
      <c r="AA1026" s="118"/>
      <c r="AB1026" s="118" t="str">
        <f t="shared" si="724"/>
        <v/>
      </c>
      <c r="AC1026" s="712" t="str">
        <f>IF(AE1026="T2G","no charge",IF(AND(OR(PlanterYesMe="No",PlanterYesMe="N",PlanterYesMe="me"),H1026=""),"",IF(H1026="credit","NO install",IF(AND(K1026="",AE1026="me"),"EACH row",IF(AND(K1026="images",AE1026="me"),"EACH row",IF(D1026="","",IF(H1026="credit","",IF(AE1026="free","re-planting",IF(AE1026="me","   not ELP, by",IF(AND(OR(PlanterYesMe="Yes",PlanterYesMe="Y"),G1026&gt;0),(VLOOKUP(A1026,'Discount Lookup'!J:K,2)*G1026*(1-PlanterDiscount)*(1+PlanterDifficultyPercentage)),IF(AE1026="ELP",(VLOOKUP(A1026,'Discount Lookup'!J:K,2)*G1026*(1-PlanterDiscount)*(1+PlanterDifficultyPercentage)),IF(AE1026="free","re-planting",IF(G1026=0,"",IF(PlanterYesMe="",IF(AE1026="me","   not ELP, by",IF(AE1026="",IF(G1026&gt;0,(VLOOKUP(A1026,'Discount Lookup'!J:K,2)*G1026*(1-PlanterDiscount)*(1+PlanterDifficultyPercentage)),""),"")),"   not ELP, by"))))))))))))))</f>
        <v/>
      </c>
      <c r="AD1026" s="712"/>
      <c r="AE1026" s="513" t="str">
        <f t="shared" si="725"/>
        <v/>
      </c>
      <c r="AF1026" s="713" t="str">
        <f t="shared" si="726"/>
        <v/>
      </c>
      <c r="AG1026" s="713"/>
      <c r="AH1026" s="713"/>
      <c r="AI1026" s="112">
        <f>IF(H1026="credit",0,IF(AE1026="free",0,IF(AE1026="me",0,IF(G1026&gt;0,(VLOOKUP(A1026,'Discount Lookup'!J:K,2)*G1026),0))))</f>
        <v>0</v>
      </c>
      <c r="AJ1026" s="107" t="str">
        <f t="shared" ca="1" si="727"/>
        <v/>
      </c>
      <c r="AK1026" s="714" t="str">
        <f t="shared" si="728"/>
        <v/>
      </c>
      <c r="AL1026" s="714"/>
      <c r="AM1026" s="114" t="str">
        <f t="shared" si="729"/>
        <v/>
      </c>
      <c r="AN1026" s="115"/>
      <c r="AO1026" s="116"/>
      <c r="AP1026" s="116"/>
      <c r="AQ1026" s="116"/>
      <c r="AR1026" s="116"/>
      <c r="AS1026" s="116"/>
      <c r="AT1026" s="116"/>
      <c r="AU1026" s="116"/>
      <c r="AV1026" s="78"/>
      <c r="AW1026" s="102"/>
      <c r="AX1026" s="78"/>
      <c r="AY1026" s="78"/>
      <c r="AZ1026" s="78"/>
      <c r="BA1026" s="78"/>
      <c r="BB1026" s="78"/>
      <c r="BC1026" s="78"/>
      <c r="BD1026" s="78"/>
      <c r="BE1026" s="465"/>
      <c r="BF1026" s="165" t="str">
        <f t="shared" si="730"/>
        <v>https://www.google.com/search?tbm=isch&amp;q=10%20G2</v>
      </c>
      <c r="BG1026" s="165" t="str">
        <f t="shared" si="731"/>
        <v>C</v>
      </c>
      <c r="BH1026" s="65"/>
      <c r="BI1026" s="65"/>
      <c r="BJ1026" s="65"/>
      <c r="BK1026" s="65"/>
      <c r="BL1026" s="99"/>
      <c r="BM1026" s="99"/>
      <c r="BN1026" s="99"/>
    </row>
    <row r="1027" spans="1:66" s="51" customFormat="1" ht="15.75" x14ac:dyDescent="0.25">
      <c r="A1027" s="634">
        <v>10</v>
      </c>
      <c r="B1027" s="635" t="s">
        <v>291</v>
      </c>
      <c r="C1027" s="636" t="s">
        <v>4701</v>
      </c>
      <c r="D1027" s="637" t="s">
        <v>299</v>
      </c>
      <c r="E1027" s="638">
        <v>155.94999999999999</v>
      </c>
      <c r="F1027" s="639" t="s">
        <v>292</v>
      </c>
      <c r="G1027" s="484">
        <v>0</v>
      </c>
      <c r="H1027" s="691" t="str">
        <f>IF(G1027=0,"",IF(F1027="Buy",IF(G1027=1,"plant","plants"),IF(F1027&gt;0.01,"warranty","Error")))</f>
        <v/>
      </c>
      <c r="I1027" s="640">
        <f>IF(H1027="free",0,IF(H1027="credit",((E1027*(F1027))*G1027*-1),IF(F1027="Buy",(E1027*G1027),((E1027*(1-F1027))*G1027))))</f>
        <v>0</v>
      </c>
      <c r="J1027" s="640">
        <f>IF(H1027="warranty",0,(I1027*(_xlfn.SINGLE(SalesTaxPercentage))))</f>
        <v>0</v>
      </c>
      <c r="K1027" s="716">
        <f t="shared" ref="K1027" si="756">I1027+J1027</f>
        <v>0</v>
      </c>
      <c r="L1027" s="716"/>
      <c r="M1027" s="689" t="str">
        <f ca="1">IF(AND(G1027&gt;0,E1027=0),"WARNING - no PRICE inserted",IF(H1027="free","FREE ~ no charge this plant",IF(H1027="credit",CONCATENATE("-$",ROUND(K1027*(1-_xlfn.SINGLE(T2GDiscount))*-1,2)," CREDIT after discount"),IF(_xlfn.SINGLE(T2GDiscount)=0,"",IF(G1027=0,"",IF(F1027="Buy",CONCATENATE("$",ROUND(K1027*(1-_xlfn.SINGLE(T2GDiscount)),2)," with ",(_xlfn.SINGLE(T2GDiscount)*100),"% discount"),CONCATENATE("$",ROUND(K1027*(1-_xlfn.SINGLE(T2GDiscount)),2)," with ",((_xlfn.SINGLE(T2GDiscount)*100+F1027*100)-(_xlfn.SINGLE(T2GDiscount)*100*F1027)),IF(F1027&gt;0,"% discounts",IF(_xlfn.SINGLE(NoWarrantyDiscount)&gt;0,"% discounts","% discount")))))))))</f>
        <v/>
      </c>
      <c r="N1027" s="690"/>
      <c r="O1027" s="486"/>
      <c r="P1027" s="486"/>
      <c r="Q1027" s="486"/>
      <c r="R1027" s="486"/>
      <c r="S1027" s="486"/>
      <c r="T1027" s="102">
        <f t="shared" si="719"/>
        <v>0</v>
      </c>
      <c r="U1027" s="78">
        <f>IF(NOT(ISNUMBER(G1027)), "", VLOOKUP(A1027,'Discount Lookup'!D:E,2,FALSE)*G1027)</f>
        <v>0</v>
      </c>
      <c r="V1027" s="78">
        <f>IF(NOT(ISNUMBER(G1027)), "", VLOOKUP(A1027,'Discount Lookup'!G:H,2,FALSE)*G1027)</f>
        <v>0</v>
      </c>
      <c r="W1027" s="102">
        <f t="shared" si="720"/>
        <v>0</v>
      </c>
      <c r="X1027" s="102">
        <f t="shared" si="721"/>
        <v>0</v>
      </c>
      <c r="Y1027" s="120" t="b">
        <f t="shared" si="722"/>
        <v>0</v>
      </c>
      <c r="Z1027" s="117">
        <f t="shared" si="723"/>
        <v>0</v>
      </c>
      <c r="AA1027" s="118"/>
      <c r="AB1027" s="118" t="str">
        <f t="shared" si="724"/>
        <v/>
      </c>
      <c r="AC1027" s="712" t="str">
        <f>IF(AE1027="T2G","no charge",IF(AND(OR(PlanterYesMe="No",PlanterYesMe="N",PlanterYesMe="me"),H1027=""),"",IF(H1027="credit","NO install",IF(AND(K1027="",AE1027="me"),"EACH row",IF(AND(K1027="images",AE1027="me"),"EACH row",IF(D1027="","",IF(H1027="credit","",IF(AE1027="free","re-planting",IF(AE1027="me","   not ELP, by",IF(AND(OR(PlanterYesMe="Yes",PlanterYesMe="Y"),G1027&gt;0),(VLOOKUP(A1027,'Discount Lookup'!J:K,2)*G1027*(1-PlanterDiscount)*(1+PlanterDifficultyPercentage)),IF(AE1027="ELP",(VLOOKUP(A1027,'Discount Lookup'!J:K,2)*G1027*(1-PlanterDiscount)*(1+PlanterDifficultyPercentage)),IF(AE1027="free","re-planting",IF(G1027=0,"",IF(PlanterYesMe="",IF(AE1027="me","   not ELP, by",IF(AE1027="",IF(G1027&gt;0,(VLOOKUP(A1027,'Discount Lookup'!J:K,2)*G1027*(1-PlanterDiscount)*(1+PlanterDifficultyPercentage)),""),"")),"   not ELP, by"))))))))))))))</f>
        <v/>
      </c>
      <c r="AD1027" s="712"/>
      <c r="AE1027" s="513" t="str">
        <f t="shared" si="725"/>
        <v/>
      </c>
      <c r="AF1027" s="713" t="str">
        <f t="shared" si="726"/>
        <v/>
      </c>
      <c r="AG1027" s="713"/>
      <c r="AH1027" s="713"/>
      <c r="AI1027" s="112">
        <f>IF(H1027="credit",0,IF(AE1027="free",0,IF(AE1027="me",0,IF(G1027&gt;0,(VLOOKUP(A1027,'Discount Lookup'!J:K,2)*G1027),0))))</f>
        <v>0</v>
      </c>
      <c r="AJ1027" s="107" t="str">
        <f t="shared" ca="1" si="727"/>
        <v/>
      </c>
      <c r="AK1027" s="714" t="str">
        <f t="shared" si="728"/>
        <v/>
      </c>
      <c r="AL1027" s="714"/>
      <c r="AM1027" s="114" t="str">
        <f t="shared" si="729"/>
        <v/>
      </c>
      <c r="AN1027" s="115"/>
      <c r="AO1027" s="116"/>
      <c r="AP1027" s="116"/>
      <c r="AQ1027" s="116"/>
      <c r="AR1027" s="116"/>
      <c r="AS1027" s="116"/>
      <c r="AT1027" s="116"/>
      <c r="AU1027" s="116"/>
      <c r="AV1027" s="78"/>
      <c r="AW1027" s="102"/>
      <c r="AX1027" s="78"/>
      <c r="AY1027" s="78"/>
      <c r="AZ1027" s="78"/>
      <c r="BA1027" s="78"/>
      <c r="BB1027" s="78"/>
      <c r="BC1027" s="78"/>
      <c r="BD1027" s="78"/>
      <c r="BE1027" s="465"/>
      <c r="BF1027" s="165" t="str">
        <f t="shared" si="730"/>
        <v>https://www.google.com/search?tbm=isch&amp;q=10%20G4</v>
      </c>
      <c r="BG1027" s="165" t="str">
        <f t="shared" si="731"/>
        <v>C</v>
      </c>
      <c r="BH1027" s="65"/>
      <c r="BI1027" s="65"/>
      <c r="BJ1027" s="65"/>
      <c r="BK1027" s="65"/>
      <c r="BL1027" s="99"/>
      <c r="BM1027" s="99"/>
      <c r="BN1027" s="99"/>
    </row>
    <row r="1028" spans="1:66" s="51" customFormat="1" ht="15.75" x14ac:dyDescent="0.25">
      <c r="A1028" s="634">
        <v>15</v>
      </c>
      <c r="B1028" s="635" t="s">
        <v>291</v>
      </c>
      <c r="C1028" s="636" t="s">
        <v>4702</v>
      </c>
      <c r="D1028" s="637" t="s">
        <v>299</v>
      </c>
      <c r="E1028" s="638">
        <v>178.95</v>
      </c>
      <c r="F1028" s="639" t="s">
        <v>292</v>
      </c>
      <c r="G1028" s="484">
        <v>0</v>
      </c>
      <c r="H1028" s="691" t="str">
        <f>IF(G1028=0,"",IF(F1028="Buy",IF(G1028=1,"plant","plants"),IF(F1028&gt;0.01,"warranty","Error")))</f>
        <v/>
      </c>
      <c r="I1028" s="640">
        <f>IF(H1028="free",0,IF(H1028="credit",((E1028*(F1028))*G1028*-1),IF(F1028="Buy",(E1028*G1028),((E1028*(1-F1028))*G1028))))</f>
        <v>0</v>
      </c>
      <c r="J1028" s="640">
        <f>IF(H1028="warranty",0,(I1028*(_xlfn.SINGLE(SalesTaxPercentage))))</f>
        <v>0</v>
      </c>
      <c r="K1028" s="716">
        <f t="shared" ref="K1028" si="757">I1028+J1028</f>
        <v>0</v>
      </c>
      <c r="L1028" s="716"/>
      <c r="M1028" s="689" t="str">
        <f ca="1">IF(AND(G1028&gt;0,E1028=0),"WARNING - no PRICE inserted",IF(H1028="free","FREE ~ no charge this plant",IF(H1028="credit",CONCATENATE("-$",ROUND(K1028*(1-_xlfn.SINGLE(T2GDiscount))*-1,2)," CREDIT after discount"),IF(_xlfn.SINGLE(T2GDiscount)=0,"",IF(G1028=0,"",IF(F1028="Buy",CONCATENATE("$",ROUND(K1028*(1-_xlfn.SINGLE(T2GDiscount)),2)," with ",(_xlfn.SINGLE(T2GDiscount)*100),"% discount"),CONCATENATE("$",ROUND(K1028*(1-_xlfn.SINGLE(T2GDiscount)),2)," with ",((_xlfn.SINGLE(T2GDiscount)*100+F1028*100)-(_xlfn.SINGLE(T2GDiscount)*100*F1028)),IF(F1028&gt;0,"% discounts",IF(_xlfn.SINGLE(NoWarrantyDiscount)&gt;0,"% discounts","% discount")))))))))</f>
        <v/>
      </c>
      <c r="N1028" s="690"/>
      <c r="O1028" s="486"/>
      <c r="P1028" s="486"/>
      <c r="Q1028" s="486"/>
      <c r="R1028" s="486"/>
      <c r="S1028" s="486"/>
      <c r="T1028" s="102">
        <f t="shared" si="719"/>
        <v>0</v>
      </c>
      <c r="U1028" s="78">
        <f>IF(NOT(ISNUMBER(G1028)), "", VLOOKUP(A1028,'Discount Lookup'!D:E,2,FALSE)*G1028)</f>
        <v>0</v>
      </c>
      <c r="V1028" s="78">
        <f>IF(NOT(ISNUMBER(G1028)), "", VLOOKUP(A1028,'Discount Lookup'!G:H,2,FALSE)*G1028)</f>
        <v>0</v>
      </c>
      <c r="W1028" s="102">
        <f t="shared" si="720"/>
        <v>0</v>
      </c>
      <c r="X1028" s="102">
        <f t="shared" si="721"/>
        <v>0</v>
      </c>
      <c r="Y1028" s="120" t="b">
        <f t="shared" si="722"/>
        <v>0</v>
      </c>
      <c r="Z1028" s="117">
        <f t="shared" si="723"/>
        <v>0</v>
      </c>
      <c r="AA1028" s="118"/>
      <c r="AB1028" s="118" t="str">
        <f t="shared" si="724"/>
        <v/>
      </c>
      <c r="AC1028" s="712" t="str">
        <f>IF(AE1028="T2G","no charge",IF(AND(OR(PlanterYesMe="No",PlanterYesMe="N",PlanterYesMe="me"),H1028=""),"",IF(H1028="credit","NO install",IF(AND(K1028="",AE1028="me"),"EACH row",IF(AND(K1028="images",AE1028="me"),"EACH row",IF(D1028="","",IF(H1028="credit","",IF(AE1028="free","re-planting",IF(AE1028="me","   not ELP, by",IF(AND(OR(PlanterYesMe="Yes",PlanterYesMe="Y"),G1028&gt;0),(VLOOKUP(A1028,'Discount Lookup'!J:K,2)*G1028*(1-PlanterDiscount)*(1+PlanterDifficultyPercentage)),IF(AE1028="ELP",(VLOOKUP(A1028,'Discount Lookup'!J:K,2)*G1028*(1-PlanterDiscount)*(1+PlanterDifficultyPercentage)),IF(AE1028="free","re-planting",IF(G1028=0,"",IF(PlanterYesMe="",IF(AE1028="me","   not ELP, by",IF(AE1028="",IF(G1028&gt;0,(VLOOKUP(A1028,'Discount Lookup'!J:K,2)*G1028*(1-PlanterDiscount)*(1+PlanterDifficultyPercentage)),""),"")),"   not ELP, by"))))))))))))))</f>
        <v/>
      </c>
      <c r="AD1028" s="712"/>
      <c r="AE1028" s="513" t="str">
        <f t="shared" si="725"/>
        <v/>
      </c>
      <c r="AF1028" s="713" t="str">
        <f t="shared" si="726"/>
        <v/>
      </c>
      <c r="AG1028" s="713"/>
      <c r="AH1028" s="713"/>
      <c r="AI1028" s="112">
        <f>IF(H1028="credit",0,IF(AE1028="free",0,IF(AE1028="me",0,IF(G1028&gt;0,(VLOOKUP(A1028,'Discount Lookup'!J:K,2)*G1028),0))))</f>
        <v>0</v>
      </c>
      <c r="AJ1028" s="107" t="str">
        <f t="shared" ca="1" si="727"/>
        <v/>
      </c>
      <c r="AK1028" s="714" t="str">
        <f t="shared" si="728"/>
        <v/>
      </c>
      <c r="AL1028" s="714"/>
      <c r="AM1028" s="114" t="str">
        <f t="shared" si="729"/>
        <v/>
      </c>
      <c r="AN1028" s="115"/>
      <c r="AO1028" s="116"/>
      <c r="AP1028" s="116"/>
      <c r="AQ1028" s="116"/>
      <c r="AR1028" s="116"/>
      <c r="AS1028" s="116"/>
      <c r="AT1028" s="116"/>
      <c r="AU1028" s="116"/>
      <c r="AV1028" s="78"/>
      <c r="AW1028" s="102"/>
      <c r="AX1028" s="78"/>
      <c r="AY1028" s="78"/>
      <c r="AZ1028" s="78"/>
      <c r="BA1028" s="78"/>
      <c r="BB1028" s="78"/>
      <c r="BC1028" s="78"/>
      <c r="BD1028" s="78"/>
      <c r="BE1028" s="465"/>
      <c r="BF1028" s="165" t="str">
        <f t="shared" si="730"/>
        <v>https://www.google.com/search?tbm=isch&amp;q=15%20G4</v>
      </c>
      <c r="BG1028" s="165" t="str">
        <f t="shared" si="731"/>
        <v>C</v>
      </c>
      <c r="BH1028" s="65"/>
      <c r="BI1028" s="65"/>
      <c r="BJ1028" s="65"/>
      <c r="BK1028" s="65"/>
      <c r="BL1028" s="99"/>
      <c r="BM1028" s="99"/>
      <c r="BN1028" s="99"/>
    </row>
    <row r="1029" spans="1:66" s="51" customFormat="1" ht="17.25" thickBot="1" x14ac:dyDescent="0.3">
      <c r="A1029" s="641" t="s">
        <v>2067</v>
      </c>
      <c r="B1029" s="642"/>
      <c r="C1029" s="710"/>
      <c r="D1029" s="643"/>
      <c r="E1029" s="643"/>
      <c r="F1029" s="644"/>
      <c r="G1029" s="645"/>
      <c r="H1029" s="646"/>
      <c r="I1029" s="647"/>
      <c r="J1029" s="648"/>
      <c r="K1029" s="649"/>
      <c r="L1029" s="650"/>
      <c r="M1029" s="650"/>
      <c r="N1029" s="644"/>
      <c r="O1029" s="644"/>
      <c r="P1029" s="644"/>
      <c r="Q1029" s="644"/>
      <c r="R1029" s="644"/>
      <c r="S1029" s="701" t="s">
        <v>5273</v>
      </c>
      <c r="T1029" s="102">
        <f t="shared" si="719"/>
        <v>0</v>
      </c>
      <c r="U1029" s="78" t="str">
        <f>IF(NOT(ISNUMBER(G1029)), "", VLOOKUP(A1029,'Discount Lookup'!D:E,2,FALSE)*G1029)</f>
        <v/>
      </c>
      <c r="V1029" s="78" t="str">
        <f>IF(NOT(ISNUMBER(G1029)), "", VLOOKUP(A1029,'Discount Lookup'!G:H,2,FALSE)*G1029)</f>
        <v/>
      </c>
      <c r="W1029" s="102">
        <f t="shared" si="720"/>
        <v>0</v>
      </c>
      <c r="X1029" s="102">
        <f t="shared" si="721"/>
        <v>0</v>
      </c>
      <c r="Y1029" s="120" t="b">
        <f t="shared" si="722"/>
        <v>0</v>
      </c>
      <c r="Z1029" s="117">
        <f t="shared" si="723"/>
        <v>0</v>
      </c>
      <c r="AA1029" s="118"/>
      <c r="AB1029" s="118" t="str">
        <f t="shared" si="724"/>
        <v/>
      </c>
      <c r="AC1029" s="712" t="str">
        <f>IF(AE1029="T2G","no charge",IF(AND(OR(PlanterYesMe="No",PlanterYesMe="N",PlanterYesMe="me"),H1029=""),"",IF(H1029="credit","NO install",IF(AND(K1029="",AE1029="me"),"EACH row",IF(AND(K1029="images",AE1029="me"),"EACH row",IF(D1029="","",IF(H1029="credit","",IF(AE1029="free","re-planting",IF(AE1029="me","   not ELP, by",IF(AND(OR(PlanterYesMe="Yes",PlanterYesMe="Y"),G1029&gt;0),(VLOOKUP(A1029,'Discount Lookup'!J:K,2)*G1029*(1-PlanterDiscount)*(1+PlanterDifficultyPercentage)),IF(AE1029="ELP",(VLOOKUP(A1029,'Discount Lookup'!J:K,2)*G1029*(1-PlanterDiscount)*(1+PlanterDifficultyPercentage)),IF(AE1029="free","re-planting",IF(G1029=0,"",IF(PlanterYesMe="",IF(AE1029="me","   not ELP, by",IF(AE1029="",IF(G1029&gt;0,(VLOOKUP(A1029,'Discount Lookup'!J:K,2)*G1029*(1-PlanterDiscount)*(1+PlanterDifficultyPercentage)),""),"")),"   not ELP, by"))))))))))))))</f>
        <v/>
      </c>
      <c r="AD1029" s="712"/>
      <c r="AE1029" s="513" t="str">
        <f t="shared" si="725"/>
        <v/>
      </c>
      <c r="AF1029" s="713" t="str">
        <f t="shared" si="726"/>
        <v/>
      </c>
      <c r="AG1029" s="713"/>
      <c r="AH1029" s="713"/>
      <c r="AI1029" s="112">
        <f>IF(H1029="credit",0,IF(AE1029="free",0,IF(AE1029="me",0,IF(G1029&gt;0,(VLOOKUP(A1029,'Discount Lookup'!J:K,2)*G1029),0))))</f>
        <v>0</v>
      </c>
      <c r="AJ1029" s="107" t="str">
        <f t="shared" ca="1" si="727"/>
        <v/>
      </c>
      <c r="AK1029" s="714" t="str">
        <f t="shared" si="728"/>
        <v/>
      </c>
      <c r="AL1029" s="714"/>
      <c r="AM1029" s="114" t="str">
        <f t="shared" si="729"/>
        <v/>
      </c>
      <c r="AN1029" s="115"/>
      <c r="AO1029" s="116"/>
      <c r="AP1029" s="116"/>
      <c r="AQ1029" s="116"/>
      <c r="AR1029" s="116"/>
      <c r="AS1029" s="116"/>
      <c r="AT1029" s="116"/>
      <c r="AU1029" s="116"/>
      <c r="AV1029" s="78"/>
      <c r="AW1029" s="102"/>
      <c r="AX1029" s="78"/>
      <c r="AY1029" s="78"/>
      <c r="AZ1029" s="78"/>
      <c r="BA1029" s="78"/>
      <c r="BB1029" s="78"/>
      <c r="BC1029" s="78"/>
      <c r="BD1029" s="78"/>
      <c r="BE1029" s="465"/>
      <c r="BF1029" s="165" t="str">
        <f t="shared" si="730"/>
        <v>https://www.google.com/search?tbm=isch&amp;q=Carolina%20Sweetheart%27s%20variegated%20foliage%20very%20colorful%2C%20with%20shades%20of%20pink%2C%20red%2C%20white%2C%20purple%2C%20and%20green%20</v>
      </c>
      <c r="BG1029" s="165" t="str">
        <f t="shared" si="731"/>
        <v>C</v>
      </c>
      <c r="BH1029" s="65"/>
      <c r="BI1029" s="65"/>
      <c r="BJ1029" s="65"/>
      <c r="BK1029" s="65"/>
      <c r="BL1029" s="99"/>
      <c r="BM1029" s="99"/>
      <c r="BN1029" s="99"/>
    </row>
    <row r="1030" spans="1:66" s="51" customFormat="1" ht="18" x14ac:dyDescent="0.25">
      <c r="A1030" s="623" t="s">
        <v>2068</v>
      </c>
      <c r="B1030" s="624"/>
      <c r="C1030" s="709"/>
      <c r="D1030" s="625" t="s">
        <v>5632</v>
      </c>
      <c r="E1030" s="626"/>
      <c r="F1030" s="626"/>
      <c r="G1030" s="626"/>
      <c r="H1030" s="622" t="s">
        <v>1231</v>
      </c>
      <c r="I1030" s="627" t="s">
        <v>1083</v>
      </c>
      <c r="J1030" s="628"/>
      <c r="K1030" s="628"/>
      <c r="L1030" s="629"/>
      <c r="M1030" s="700" t="s">
        <v>5249</v>
      </c>
      <c r="N1030" s="693" t="str">
        <f>IF(AND(ISTEXT($A1030), ISERROR($A1030+0)), HYPERLINK($BF1030, "Images"), "")</f>
        <v>Images</v>
      </c>
      <c r="O1030" s="695" t="s">
        <v>5264</v>
      </c>
      <c r="P1030" s="630"/>
      <c r="Q1030" s="631"/>
      <c r="R1030" s="632"/>
      <c r="S1030" s="633"/>
      <c r="T1030" s="102">
        <f t="shared" si="719"/>
        <v>0</v>
      </c>
      <c r="U1030" s="78" t="str">
        <f>IF(NOT(ISNUMBER(G1030)), "", VLOOKUP(A1030,'Discount Lookup'!D:E,2,FALSE)*G1030)</f>
        <v/>
      </c>
      <c r="V1030" s="78" t="str">
        <f>IF(NOT(ISNUMBER(G1030)), "", VLOOKUP(A1030,'Discount Lookup'!G:H,2,FALSE)*G1030)</f>
        <v/>
      </c>
      <c r="W1030" s="102">
        <f t="shared" si="720"/>
        <v>0</v>
      </c>
      <c r="X1030" s="102" t="str">
        <f t="shared" si="721"/>
        <v>Lavender-Pink bloom</v>
      </c>
      <c r="Y1030" s="120" t="b">
        <f t="shared" si="722"/>
        <v>0</v>
      </c>
      <c r="Z1030" s="117">
        <f t="shared" si="723"/>
        <v>0</v>
      </c>
      <c r="AA1030" s="118"/>
      <c r="AB1030" s="118" t="str">
        <f t="shared" si="724"/>
        <v/>
      </c>
      <c r="AC1030" s="712" t="str">
        <f>IF(AE1030="T2G","no charge",IF(AND(OR(PlanterYesMe="No",PlanterYesMe="N",PlanterYesMe="me"),H1030=""),"",IF(H1030="credit","NO install",IF(AND(K1030="",AE1030="me"),"EACH row",IF(AND(K1030="images",AE1030="me"),"EACH row",IF(D1030="","",IF(H1030="credit","",IF(AE1030="free","re-planting",IF(AE1030="me","   not ELP, by",IF(AND(OR(PlanterYesMe="Yes",PlanterYesMe="Y"),G1030&gt;0),(VLOOKUP(A1030,'Discount Lookup'!J:K,2)*G1030*(1-PlanterDiscount)*(1+PlanterDifficultyPercentage)),IF(AE1030="ELP",(VLOOKUP(A1030,'Discount Lookup'!J:K,2)*G1030*(1-PlanterDiscount)*(1+PlanterDifficultyPercentage)),IF(AE1030="free","re-planting",IF(G1030=0,"",IF(PlanterYesMe="",IF(AE1030="me","   not ELP, by",IF(AE1030="",IF(G1030&gt;0,(VLOOKUP(A1030,'Discount Lookup'!J:K,2)*G1030*(1-PlanterDiscount)*(1+PlanterDifficultyPercentage)),""),"")),"   not ELP, by"))))))))))))))</f>
        <v/>
      </c>
      <c r="AD1030" s="712"/>
      <c r="AE1030" s="513" t="str">
        <f t="shared" si="725"/>
        <v/>
      </c>
      <c r="AF1030" s="713" t="str">
        <f t="shared" si="726"/>
        <v/>
      </c>
      <c r="AG1030" s="713"/>
      <c r="AH1030" s="713"/>
      <c r="AI1030" s="112">
        <f>IF(H1030="credit",0,IF(AE1030="free",0,IF(AE1030="me",0,IF(G1030&gt;0,(VLOOKUP(A1030,'Discount Lookup'!J:K,2)*G1030),0))))</f>
        <v>0</v>
      </c>
      <c r="AJ1030" s="107" t="str">
        <f t="shared" ca="1" si="727"/>
        <v/>
      </c>
      <c r="AK1030" s="714" t="str">
        <f t="shared" si="728"/>
        <v/>
      </c>
      <c r="AL1030" s="714"/>
      <c r="AM1030" s="114" t="str">
        <f t="shared" si="729"/>
        <v/>
      </c>
      <c r="AN1030" s="115"/>
      <c r="AO1030" s="116"/>
      <c r="AP1030" s="116"/>
      <c r="AQ1030" s="116"/>
      <c r="AR1030" s="116"/>
      <c r="AS1030" s="116"/>
      <c r="AT1030" s="116"/>
      <c r="AU1030" s="116"/>
      <c r="AV1030" s="78"/>
      <c r="AW1030" s="102"/>
      <c r="AX1030" s="78"/>
      <c r="AY1030" s="78"/>
      <c r="AZ1030" s="78"/>
      <c r="BA1030" s="78"/>
      <c r="BB1030" s="78"/>
      <c r="BC1030" s="78"/>
      <c r="BD1030" s="78"/>
      <c r="BE1030" s="465"/>
      <c r="BF1030" s="165" t="str">
        <f t="shared" si="730"/>
        <v>https://www.google.com/search?tbm=isch&amp;q=Cercis%20canadensis%20%27Pink%20Heartbreaker%27%20PP%2323043%20Pink%20Heartbreaker%C2%AE%20Weeping%20Redbud</v>
      </c>
      <c r="BG1030" s="165" t="str">
        <f t="shared" si="731"/>
        <v>C</v>
      </c>
      <c r="BH1030" s="65"/>
      <c r="BI1030" s="65"/>
      <c r="BJ1030" s="65"/>
      <c r="BK1030" s="65"/>
      <c r="BL1030" s="99"/>
      <c r="BM1030" s="99"/>
      <c r="BN1030" s="99"/>
    </row>
    <row r="1031" spans="1:66" s="51" customFormat="1" ht="15.75" x14ac:dyDescent="0.25">
      <c r="A1031" s="634">
        <v>7</v>
      </c>
      <c r="B1031" s="635" t="s">
        <v>291</v>
      </c>
      <c r="C1031" s="636" t="s">
        <v>2069</v>
      </c>
      <c r="D1031" s="637" t="s">
        <v>299</v>
      </c>
      <c r="E1031" s="638">
        <v>123.95</v>
      </c>
      <c r="F1031" s="639" t="s">
        <v>292</v>
      </c>
      <c r="G1031" s="484">
        <v>0</v>
      </c>
      <c r="H1031" s="691" t="str">
        <f>IF(G1031=0,"",IF(F1031="Buy",IF(G1031=1,"plant","plants"),IF(F1031&gt;0.01,"warranty","Error")))</f>
        <v/>
      </c>
      <c r="I1031" s="640">
        <f>IF(H1031="free",0,IF(H1031="credit",((E1031*(F1031))*G1031*-1),IF(F1031="Buy",(E1031*G1031),((E1031*(1-F1031))*G1031))))</f>
        <v>0</v>
      </c>
      <c r="J1031" s="640">
        <f>IF(H1031="warranty",0,(I1031*(_xlfn.SINGLE(SalesTaxPercentage))))</f>
        <v>0</v>
      </c>
      <c r="K1031" s="716">
        <f t="shared" ref="K1031" si="758">I1031+J1031</f>
        <v>0</v>
      </c>
      <c r="L1031" s="716"/>
      <c r="M1031" s="689" t="str">
        <f ca="1">IF(AND(G1031&gt;0,E1031=0),"WARNING - no PRICE inserted",IF(H1031="free","FREE ~ no charge this plant",IF(H1031="credit",CONCATENATE("-$",ROUND(K1031*(1-_xlfn.SINGLE(T2GDiscount))*-1,2)," CREDIT after discount"),IF(_xlfn.SINGLE(T2GDiscount)=0,"",IF(G1031=0,"",IF(F1031="Buy",CONCATENATE("$",ROUND(K1031*(1-_xlfn.SINGLE(T2GDiscount)),2)," with ",(_xlfn.SINGLE(T2GDiscount)*100),"% discount"),CONCATENATE("$",ROUND(K1031*(1-_xlfn.SINGLE(T2GDiscount)),2)," with ",((_xlfn.SINGLE(T2GDiscount)*100+F1031*100)-(_xlfn.SINGLE(T2GDiscount)*100*F1031)),IF(F1031&gt;0,"% discounts",IF(_xlfn.SINGLE(NoWarrantyDiscount)&gt;0,"% discounts","% discount")))))))))</f>
        <v/>
      </c>
      <c r="N1031" s="690"/>
      <c r="O1031" s="486"/>
      <c r="P1031" s="486"/>
      <c r="Q1031" s="486"/>
      <c r="R1031" s="486"/>
      <c r="S1031" s="486"/>
      <c r="T1031" s="102">
        <f t="shared" si="719"/>
        <v>0</v>
      </c>
      <c r="U1031" s="78">
        <f>IF(NOT(ISNUMBER(G1031)), "", VLOOKUP(A1031,'Discount Lookup'!D:E,2,FALSE)*G1031)</f>
        <v>0</v>
      </c>
      <c r="V1031" s="78">
        <f>IF(NOT(ISNUMBER(G1031)), "", VLOOKUP(A1031,'Discount Lookup'!G:H,2,FALSE)*G1031)</f>
        <v>0</v>
      </c>
      <c r="W1031" s="102">
        <f t="shared" si="720"/>
        <v>0</v>
      </c>
      <c r="X1031" s="102">
        <f t="shared" si="721"/>
        <v>0</v>
      </c>
      <c r="Y1031" s="120" t="b">
        <f t="shared" si="722"/>
        <v>0</v>
      </c>
      <c r="Z1031" s="117">
        <f t="shared" si="723"/>
        <v>0</v>
      </c>
      <c r="AA1031" s="118"/>
      <c r="AB1031" s="118" t="str">
        <f t="shared" si="724"/>
        <v/>
      </c>
      <c r="AC1031" s="712" t="str">
        <f>IF(AE1031="T2G","no charge",IF(AND(OR(PlanterYesMe="No",PlanterYesMe="N",PlanterYesMe="me"),H1031=""),"",IF(H1031="credit","NO install",IF(AND(K1031="",AE1031="me"),"EACH row",IF(AND(K1031="images",AE1031="me"),"EACH row",IF(D1031="","",IF(H1031="credit","",IF(AE1031="free","re-planting",IF(AE1031="me","   not ELP, by",IF(AND(OR(PlanterYesMe="Yes",PlanterYesMe="Y"),G1031&gt;0),(VLOOKUP(A1031,'Discount Lookup'!J:K,2)*G1031*(1-PlanterDiscount)*(1+PlanterDifficultyPercentage)),IF(AE1031="ELP",(VLOOKUP(A1031,'Discount Lookup'!J:K,2)*G1031*(1-PlanterDiscount)*(1+PlanterDifficultyPercentage)),IF(AE1031="free","re-planting",IF(G1031=0,"",IF(PlanterYesMe="",IF(AE1031="me","   not ELP, by",IF(AE1031="",IF(G1031&gt;0,(VLOOKUP(A1031,'Discount Lookup'!J:K,2)*G1031*(1-PlanterDiscount)*(1+PlanterDifficultyPercentage)),""),"")),"   not ELP, by"))))))))))))))</f>
        <v/>
      </c>
      <c r="AD1031" s="712"/>
      <c r="AE1031" s="513" t="str">
        <f t="shared" si="725"/>
        <v/>
      </c>
      <c r="AF1031" s="713" t="str">
        <f t="shared" si="726"/>
        <v/>
      </c>
      <c r="AG1031" s="713"/>
      <c r="AH1031" s="713"/>
      <c r="AI1031" s="112">
        <f>IF(H1031="credit",0,IF(AE1031="free",0,IF(AE1031="me",0,IF(G1031&gt;0,(VLOOKUP(A1031,'Discount Lookup'!J:K,2)*G1031),0))))</f>
        <v>0</v>
      </c>
      <c r="AJ1031" s="107" t="str">
        <f t="shared" ca="1" si="727"/>
        <v/>
      </c>
      <c r="AK1031" s="714" t="str">
        <f t="shared" si="728"/>
        <v/>
      </c>
      <c r="AL1031" s="714"/>
      <c r="AM1031" s="114" t="str">
        <f t="shared" si="729"/>
        <v/>
      </c>
      <c r="AN1031" s="115"/>
      <c r="AO1031" s="116"/>
      <c r="AP1031" s="116"/>
      <c r="AQ1031" s="116"/>
      <c r="AR1031" s="116"/>
      <c r="AS1031" s="116"/>
      <c r="AT1031" s="116"/>
      <c r="AU1031" s="116"/>
      <c r="AV1031" s="78"/>
      <c r="AW1031" s="102"/>
      <c r="AX1031" s="78"/>
      <c r="AY1031" s="78"/>
      <c r="AZ1031" s="78"/>
      <c r="BA1031" s="78"/>
      <c r="BB1031" s="78"/>
      <c r="BC1031" s="78"/>
      <c r="BD1031" s="78"/>
      <c r="BE1031" s="465"/>
      <c r="BF1031" s="165" t="str">
        <f t="shared" si="730"/>
        <v>https://www.google.com/search?tbm=isch&amp;q=7%20G4</v>
      </c>
      <c r="BG1031" s="165" t="str">
        <f t="shared" si="731"/>
        <v>C</v>
      </c>
      <c r="BH1031" s="65"/>
      <c r="BI1031" s="65"/>
      <c r="BJ1031" s="65"/>
      <c r="BK1031" s="65"/>
      <c r="BL1031" s="99"/>
      <c r="BM1031" s="99"/>
      <c r="BN1031" s="99"/>
    </row>
    <row r="1032" spans="1:66" s="51" customFormat="1" ht="15.75" x14ac:dyDescent="0.25">
      <c r="A1032" s="634">
        <v>10</v>
      </c>
      <c r="B1032" s="635" t="s">
        <v>291</v>
      </c>
      <c r="C1032" s="636">
        <v>45846</v>
      </c>
      <c r="D1032" s="637" t="s">
        <v>329</v>
      </c>
      <c r="E1032" s="638">
        <v>146.94999999999999</v>
      </c>
      <c r="F1032" s="639" t="s">
        <v>292</v>
      </c>
      <c r="G1032" s="484">
        <v>0</v>
      </c>
      <c r="H1032" s="691" t="str">
        <f>IF(G1032=0,"",IF(F1032="Buy",IF(G1032=1,"plant","plants"),IF(F1032&gt;0.01,"warranty","Error")))</f>
        <v/>
      </c>
      <c r="I1032" s="640">
        <f>IF(H1032="free",0,IF(H1032="credit",((E1032*(F1032))*G1032*-1),IF(F1032="Buy",(E1032*G1032),((E1032*(1-F1032))*G1032))))</f>
        <v>0</v>
      </c>
      <c r="J1032" s="640">
        <f>IF(H1032="warranty",0,(I1032*(_xlfn.SINGLE(SalesTaxPercentage))))</f>
        <v>0</v>
      </c>
      <c r="K1032" s="716">
        <f t="shared" ref="K1032" si="759">I1032+J1032</f>
        <v>0</v>
      </c>
      <c r="L1032" s="716"/>
      <c r="M1032" s="689" t="str">
        <f ca="1">IF(AND(G1032&gt;0,E1032=0),"WARNING - no PRICE inserted",IF(H1032="free","FREE ~ no charge this plant",IF(H1032="credit",CONCATENATE("-$",ROUND(K1032*(1-_xlfn.SINGLE(T2GDiscount))*-1,2)," CREDIT after discount"),IF(_xlfn.SINGLE(T2GDiscount)=0,"",IF(G1032=0,"",IF(F1032="Buy",CONCATENATE("$",ROUND(K1032*(1-_xlfn.SINGLE(T2GDiscount)),2)," with ",(_xlfn.SINGLE(T2GDiscount)*100),"% discount"),CONCATENATE("$",ROUND(K1032*(1-_xlfn.SINGLE(T2GDiscount)),2)," with ",((_xlfn.SINGLE(T2GDiscount)*100+F1032*100)-(_xlfn.SINGLE(T2GDiscount)*100*F1032)),IF(F1032&gt;0,"% discounts",IF(_xlfn.SINGLE(NoWarrantyDiscount)&gt;0,"% discounts","% discount")))))))))</f>
        <v/>
      </c>
      <c r="N1032" s="690"/>
      <c r="O1032" s="486"/>
      <c r="P1032" s="486"/>
      <c r="Q1032" s="486"/>
      <c r="R1032" s="486"/>
      <c r="S1032" s="486"/>
      <c r="T1032" s="102">
        <f t="shared" si="719"/>
        <v>0</v>
      </c>
      <c r="U1032" s="78">
        <f>IF(NOT(ISNUMBER(G1032)), "", VLOOKUP(A1032,'Discount Lookup'!D:E,2,FALSE)*G1032)</f>
        <v>0</v>
      </c>
      <c r="V1032" s="78">
        <f>IF(NOT(ISNUMBER(G1032)), "", VLOOKUP(A1032,'Discount Lookup'!G:H,2,FALSE)*G1032)</f>
        <v>0</v>
      </c>
      <c r="W1032" s="102">
        <f t="shared" si="720"/>
        <v>0</v>
      </c>
      <c r="X1032" s="102">
        <f t="shared" si="721"/>
        <v>0</v>
      </c>
      <c r="Y1032" s="120" t="b">
        <f t="shared" si="722"/>
        <v>0</v>
      </c>
      <c r="Z1032" s="117">
        <f t="shared" si="723"/>
        <v>0</v>
      </c>
      <c r="AA1032" s="118"/>
      <c r="AB1032" s="118" t="str">
        <f t="shared" si="724"/>
        <v/>
      </c>
      <c r="AC1032" s="712" t="str">
        <f>IF(AE1032="T2G","no charge",IF(AND(OR(PlanterYesMe="No",PlanterYesMe="N",PlanterYesMe="me"),H1032=""),"",IF(H1032="credit","NO install",IF(AND(K1032="",AE1032="me"),"EACH row",IF(AND(K1032="images",AE1032="me"),"EACH row",IF(D1032="","",IF(H1032="credit","",IF(AE1032="free","re-planting",IF(AE1032="me","   not ELP, by",IF(AND(OR(PlanterYesMe="Yes",PlanterYesMe="Y"),G1032&gt;0),(VLOOKUP(A1032,'Discount Lookup'!J:K,2)*G1032*(1-PlanterDiscount)*(1+PlanterDifficultyPercentage)),IF(AE1032="ELP",(VLOOKUP(A1032,'Discount Lookup'!J:K,2)*G1032*(1-PlanterDiscount)*(1+PlanterDifficultyPercentage)),IF(AE1032="free","re-planting",IF(G1032=0,"",IF(PlanterYesMe="",IF(AE1032="me","   not ELP, by",IF(AE1032="",IF(G1032&gt;0,(VLOOKUP(A1032,'Discount Lookup'!J:K,2)*G1032*(1-PlanterDiscount)*(1+PlanterDifficultyPercentage)),""),"")),"   not ELP, by"))))))))))))))</f>
        <v/>
      </c>
      <c r="AD1032" s="712"/>
      <c r="AE1032" s="513" t="str">
        <f t="shared" si="725"/>
        <v/>
      </c>
      <c r="AF1032" s="713" t="str">
        <f t="shared" si="726"/>
        <v/>
      </c>
      <c r="AG1032" s="713"/>
      <c r="AH1032" s="713"/>
      <c r="AI1032" s="112">
        <f>IF(H1032="credit",0,IF(AE1032="free",0,IF(AE1032="me",0,IF(G1032&gt;0,(VLOOKUP(A1032,'Discount Lookup'!J:K,2)*G1032),0))))</f>
        <v>0</v>
      </c>
      <c r="AJ1032" s="107" t="str">
        <f t="shared" ca="1" si="727"/>
        <v/>
      </c>
      <c r="AK1032" s="714" t="str">
        <f t="shared" si="728"/>
        <v/>
      </c>
      <c r="AL1032" s="714"/>
      <c r="AM1032" s="114" t="str">
        <f t="shared" si="729"/>
        <v/>
      </c>
      <c r="AN1032" s="115"/>
      <c r="AO1032" s="116"/>
      <c r="AP1032" s="116"/>
      <c r="AQ1032" s="116"/>
      <c r="AR1032" s="116"/>
      <c r="AS1032" s="116"/>
      <c r="AT1032" s="116"/>
      <c r="AU1032" s="116"/>
      <c r="AV1032" s="78"/>
      <c r="AW1032" s="102"/>
      <c r="AX1032" s="78"/>
      <c r="AY1032" s="78"/>
      <c r="AZ1032" s="78"/>
      <c r="BA1032" s="78"/>
      <c r="BB1032" s="78"/>
      <c r="BC1032" s="78"/>
      <c r="BD1032" s="78"/>
      <c r="BE1032" s="465"/>
      <c r="BF1032" s="165" t="str">
        <f t="shared" si="730"/>
        <v>https://www.google.com/search?tbm=isch&amp;q=10%20G2</v>
      </c>
      <c r="BG1032" s="165" t="str">
        <f t="shared" si="731"/>
        <v>C</v>
      </c>
      <c r="BH1032" s="65"/>
      <c r="BI1032" s="65"/>
      <c r="BJ1032" s="65"/>
      <c r="BK1032" s="65"/>
      <c r="BL1032" s="99"/>
      <c r="BM1032" s="99"/>
      <c r="BN1032" s="99"/>
    </row>
    <row r="1033" spans="1:66" s="51" customFormat="1" ht="15.75" x14ac:dyDescent="0.25">
      <c r="A1033" s="634">
        <v>15</v>
      </c>
      <c r="B1033" s="635" t="s">
        <v>291</v>
      </c>
      <c r="C1033" s="636" t="s">
        <v>2069</v>
      </c>
      <c r="D1033" s="637" t="s">
        <v>299</v>
      </c>
      <c r="E1033" s="638">
        <v>169.95</v>
      </c>
      <c r="F1033" s="639" t="s">
        <v>292</v>
      </c>
      <c r="G1033" s="484">
        <v>0</v>
      </c>
      <c r="H1033" s="691" t="str">
        <f>IF(G1033=0,"",IF(F1033="Buy",IF(G1033=1,"plant","plants"),IF(F1033&gt;0.01,"warranty","Error")))</f>
        <v/>
      </c>
      <c r="I1033" s="640">
        <f>IF(H1033="free",0,IF(H1033="credit",((E1033*(F1033))*G1033*-1),IF(F1033="Buy",(E1033*G1033),((E1033*(1-F1033))*G1033))))</f>
        <v>0</v>
      </c>
      <c r="J1033" s="640">
        <f>IF(H1033="warranty",0,(I1033*(_xlfn.SINGLE(SalesTaxPercentage))))</f>
        <v>0</v>
      </c>
      <c r="K1033" s="716">
        <f t="shared" ref="K1033" si="760">I1033+J1033</f>
        <v>0</v>
      </c>
      <c r="L1033" s="716"/>
      <c r="M1033" s="689" t="str">
        <f ca="1">IF(AND(G1033&gt;0,E1033=0),"WARNING - no PRICE inserted",IF(H1033="free","FREE ~ no charge this plant",IF(H1033="credit",CONCATENATE("-$",ROUND(K1033*(1-_xlfn.SINGLE(T2GDiscount))*-1,2)," CREDIT after discount"),IF(_xlfn.SINGLE(T2GDiscount)=0,"",IF(G1033=0,"",IF(F1033="Buy",CONCATENATE("$",ROUND(K1033*(1-_xlfn.SINGLE(T2GDiscount)),2)," with ",(_xlfn.SINGLE(T2GDiscount)*100),"% discount"),CONCATENATE("$",ROUND(K1033*(1-_xlfn.SINGLE(T2GDiscount)),2)," with ",((_xlfn.SINGLE(T2GDiscount)*100+F1033*100)-(_xlfn.SINGLE(T2GDiscount)*100*F1033)),IF(F1033&gt;0,"% discounts",IF(_xlfn.SINGLE(NoWarrantyDiscount)&gt;0,"% discounts","% discount")))))))))</f>
        <v/>
      </c>
      <c r="N1033" s="690"/>
      <c r="O1033" s="486"/>
      <c r="P1033" s="486"/>
      <c r="Q1033" s="486"/>
      <c r="R1033" s="486"/>
      <c r="S1033" s="486"/>
      <c r="T1033" s="102">
        <f t="shared" si="719"/>
        <v>0</v>
      </c>
      <c r="U1033" s="78">
        <f>IF(NOT(ISNUMBER(G1033)), "", VLOOKUP(A1033,'Discount Lookup'!D:E,2,FALSE)*G1033)</f>
        <v>0</v>
      </c>
      <c r="V1033" s="78">
        <f>IF(NOT(ISNUMBER(G1033)), "", VLOOKUP(A1033,'Discount Lookup'!G:H,2,FALSE)*G1033)</f>
        <v>0</v>
      </c>
      <c r="W1033" s="102">
        <f t="shared" si="720"/>
        <v>0</v>
      </c>
      <c r="X1033" s="102">
        <f t="shared" si="721"/>
        <v>0</v>
      </c>
      <c r="Y1033" s="120" t="b">
        <f t="shared" si="722"/>
        <v>0</v>
      </c>
      <c r="Z1033" s="117">
        <f t="shared" si="723"/>
        <v>0</v>
      </c>
      <c r="AA1033" s="118"/>
      <c r="AB1033" s="118" t="str">
        <f t="shared" si="724"/>
        <v/>
      </c>
      <c r="AC1033" s="712" t="str">
        <f>IF(AE1033="T2G","no charge",IF(AND(OR(PlanterYesMe="No",PlanterYesMe="N",PlanterYesMe="me"),H1033=""),"",IF(H1033="credit","NO install",IF(AND(K1033="",AE1033="me"),"EACH row",IF(AND(K1033="images",AE1033="me"),"EACH row",IF(D1033="","",IF(H1033="credit","",IF(AE1033="free","re-planting",IF(AE1033="me","   not ELP, by",IF(AND(OR(PlanterYesMe="Yes",PlanterYesMe="Y"),G1033&gt;0),(VLOOKUP(A1033,'Discount Lookup'!J:K,2)*G1033*(1-PlanterDiscount)*(1+PlanterDifficultyPercentage)),IF(AE1033="ELP",(VLOOKUP(A1033,'Discount Lookup'!J:K,2)*G1033*(1-PlanterDiscount)*(1+PlanterDifficultyPercentage)),IF(AE1033="free","re-planting",IF(G1033=0,"",IF(PlanterYesMe="",IF(AE1033="me","   not ELP, by",IF(AE1033="",IF(G1033&gt;0,(VLOOKUP(A1033,'Discount Lookup'!J:K,2)*G1033*(1-PlanterDiscount)*(1+PlanterDifficultyPercentage)),""),"")),"   not ELP, by"))))))))))))))</f>
        <v/>
      </c>
      <c r="AD1033" s="712"/>
      <c r="AE1033" s="513" t="str">
        <f t="shared" si="725"/>
        <v/>
      </c>
      <c r="AF1033" s="713" t="str">
        <f t="shared" si="726"/>
        <v/>
      </c>
      <c r="AG1033" s="713"/>
      <c r="AH1033" s="713"/>
      <c r="AI1033" s="112">
        <f>IF(H1033="credit",0,IF(AE1033="free",0,IF(AE1033="me",0,IF(G1033&gt;0,(VLOOKUP(A1033,'Discount Lookup'!J:K,2)*G1033),0))))</f>
        <v>0</v>
      </c>
      <c r="AJ1033" s="107" t="str">
        <f t="shared" ca="1" si="727"/>
        <v/>
      </c>
      <c r="AK1033" s="714" t="str">
        <f t="shared" si="728"/>
        <v/>
      </c>
      <c r="AL1033" s="714"/>
      <c r="AM1033" s="114" t="str">
        <f t="shared" si="729"/>
        <v/>
      </c>
      <c r="AN1033" s="115"/>
      <c r="AO1033" s="116"/>
      <c r="AP1033" s="116"/>
      <c r="AQ1033" s="116"/>
      <c r="AR1033" s="116"/>
      <c r="AS1033" s="116"/>
      <c r="AT1033" s="116"/>
      <c r="AU1033" s="116"/>
      <c r="AV1033" s="78"/>
      <c r="AW1033" s="102"/>
      <c r="AX1033" s="78"/>
      <c r="AY1033" s="78"/>
      <c r="AZ1033" s="78"/>
      <c r="BA1033" s="78"/>
      <c r="BB1033" s="78"/>
      <c r="BC1033" s="78"/>
      <c r="BD1033" s="78"/>
      <c r="BE1033" s="465"/>
      <c r="BF1033" s="165" t="str">
        <f t="shared" si="730"/>
        <v>https://www.google.com/search?tbm=isch&amp;q=15%20G4</v>
      </c>
      <c r="BG1033" s="165" t="str">
        <f t="shared" si="731"/>
        <v>C</v>
      </c>
      <c r="BH1033" s="65"/>
      <c r="BI1033" s="65"/>
      <c r="BJ1033" s="65"/>
      <c r="BK1033" s="65"/>
      <c r="BL1033" s="99"/>
      <c r="BM1033" s="99"/>
      <c r="BN1033" s="99"/>
    </row>
    <row r="1034" spans="1:66" s="51" customFormat="1" ht="17.25" thickBot="1" x14ac:dyDescent="0.3">
      <c r="A1034" s="641" t="s">
        <v>2070</v>
      </c>
      <c r="B1034" s="642"/>
      <c r="C1034" s="710"/>
      <c r="D1034" s="643"/>
      <c r="E1034" s="643"/>
      <c r="F1034" s="644"/>
      <c r="G1034" s="645"/>
      <c r="H1034" s="646"/>
      <c r="I1034" s="647"/>
      <c r="J1034" s="648"/>
      <c r="K1034" s="649"/>
      <c r="L1034" s="650"/>
      <c r="M1034" s="650"/>
      <c r="N1034" s="644"/>
      <c r="O1034" s="644"/>
      <c r="P1034" s="644"/>
      <c r="Q1034" s="644"/>
      <c r="R1034" s="644"/>
      <c r="S1034" s="701" t="s">
        <v>5262</v>
      </c>
      <c r="T1034" s="102">
        <f t="shared" si="719"/>
        <v>0</v>
      </c>
      <c r="U1034" s="78" t="str">
        <f>IF(NOT(ISNUMBER(G1034)), "", VLOOKUP(A1034,'Discount Lookup'!D:E,2,FALSE)*G1034)</f>
        <v/>
      </c>
      <c r="V1034" s="78" t="str">
        <f>IF(NOT(ISNUMBER(G1034)), "", VLOOKUP(A1034,'Discount Lookup'!G:H,2,FALSE)*G1034)</f>
        <v/>
      </c>
      <c r="W1034" s="102">
        <f t="shared" si="720"/>
        <v>0</v>
      </c>
      <c r="X1034" s="102">
        <f t="shared" si="721"/>
        <v>0</v>
      </c>
      <c r="Y1034" s="120" t="b">
        <f t="shared" si="722"/>
        <v>0</v>
      </c>
      <c r="Z1034" s="117">
        <f t="shared" si="723"/>
        <v>0</v>
      </c>
      <c r="AA1034" s="118"/>
      <c r="AB1034" s="118" t="str">
        <f t="shared" si="724"/>
        <v/>
      </c>
      <c r="AC1034" s="712" t="str">
        <f>IF(AE1034="T2G","no charge",IF(AND(OR(PlanterYesMe="No",PlanterYesMe="N",PlanterYesMe="me"),H1034=""),"",IF(H1034="credit","NO install",IF(AND(K1034="",AE1034="me"),"EACH row",IF(AND(K1034="images",AE1034="me"),"EACH row",IF(D1034="","",IF(H1034="credit","",IF(AE1034="free","re-planting",IF(AE1034="me","   not ELP, by",IF(AND(OR(PlanterYesMe="Yes",PlanterYesMe="Y"),G1034&gt;0),(VLOOKUP(A1034,'Discount Lookup'!J:K,2)*G1034*(1-PlanterDiscount)*(1+PlanterDifficultyPercentage)),IF(AE1034="ELP",(VLOOKUP(A1034,'Discount Lookup'!J:K,2)*G1034*(1-PlanterDiscount)*(1+PlanterDifficultyPercentage)),IF(AE1034="free","re-planting",IF(G1034=0,"",IF(PlanterYesMe="",IF(AE1034="me","   not ELP, by",IF(AE1034="",IF(G1034&gt;0,(VLOOKUP(A1034,'Discount Lookup'!J:K,2)*G1034*(1-PlanterDiscount)*(1+PlanterDifficultyPercentage)),""),"")),"   not ELP, by"))))))))))))))</f>
        <v/>
      </c>
      <c r="AD1034" s="712"/>
      <c r="AE1034" s="513" t="str">
        <f t="shared" si="725"/>
        <v/>
      </c>
      <c r="AF1034" s="713" t="str">
        <f t="shared" si="726"/>
        <v/>
      </c>
      <c r="AG1034" s="713"/>
      <c r="AH1034" s="713"/>
      <c r="AI1034" s="112">
        <f>IF(H1034="credit",0,IF(AE1034="free",0,IF(AE1034="me",0,IF(G1034&gt;0,(VLOOKUP(A1034,'Discount Lookup'!J:K,2)*G1034),0))))</f>
        <v>0</v>
      </c>
      <c r="AJ1034" s="107" t="str">
        <f t="shared" ca="1" si="727"/>
        <v/>
      </c>
      <c r="AK1034" s="714" t="str">
        <f t="shared" si="728"/>
        <v/>
      </c>
      <c r="AL1034" s="714"/>
      <c r="AM1034" s="114" t="str">
        <f t="shared" si="729"/>
        <v/>
      </c>
      <c r="AN1034" s="115"/>
      <c r="AO1034" s="116"/>
      <c r="AP1034" s="116"/>
      <c r="AQ1034" s="116"/>
      <c r="AR1034" s="116"/>
      <c r="AS1034" s="116"/>
      <c r="AT1034" s="116"/>
      <c r="AU1034" s="116"/>
      <c r="AV1034" s="78"/>
      <c r="AW1034" s="102"/>
      <c r="AX1034" s="78"/>
      <c r="AY1034" s="78"/>
      <c r="AZ1034" s="78"/>
      <c r="BA1034" s="78"/>
      <c r="BB1034" s="78"/>
      <c r="BC1034" s="78"/>
      <c r="BD1034" s="78"/>
      <c r="BE1034" s="465"/>
      <c r="BF1034" s="165" t="str">
        <f t="shared" si="730"/>
        <v>https://www.google.com/search?tbm=isch&amp;q=Pink%20Heartbreaker%20foliage%20changes%20from%20red%20to%20green%20over%20season.%20Rambling%20brancshes%20are%20less%20formal%20</v>
      </c>
      <c r="BG1034" s="165" t="str">
        <f t="shared" si="731"/>
        <v>P</v>
      </c>
      <c r="BH1034" s="65"/>
      <c r="BI1034" s="65"/>
      <c r="BJ1034" s="65"/>
      <c r="BK1034" s="65"/>
      <c r="BL1034" s="99"/>
      <c r="BM1034" s="99"/>
      <c r="BN1034" s="99"/>
    </row>
    <row r="1035" spans="1:66" s="51" customFormat="1" ht="18" x14ac:dyDescent="0.25">
      <c r="A1035" s="623" t="s">
        <v>2071</v>
      </c>
      <c r="B1035" s="624"/>
      <c r="C1035" s="709"/>
      <c r="D1035" s="625" t="s">
        <v>2072</v>
      </c>
      <c r="E1035" s="626"/>
      <c r="F1035" s="626"/>
      <c r="G1035" s="626"/>
      <c r="H1035" s="622" t="s">
        <v>327</v>
      </c>
      <c r="I1035" s="627" t="s">
        <v>1458</v>
      </c>
      <c r="J1035" s="628"/>
      <c r="K1035" s="628"/>
      <c r="L1035" s="629"/>
      <c r="M1035" s="700" t="s">
        <v>5249</v>
      </c>
      <c r="N1035" s="693" t="str">
        <f>IF(AND(ISTEXT($A1035), ISERROR($A1035+0)), HYPERLINK($BF1035, "Images"), "")</f>
        <v>Images</v>
      </c>
      <c r="O1035" s="695" t="s">
        <v>5264</v>
      </c>
      <c r="P1035" s="630"/>
      <c r="Q1035" s="631"/>
      <c r="R1035" s="632"/>
      <c r="S1035" s="633" t="s">
        <v>294</v>
      </c>
      <c r="T1035" s="102">
        <f t="shared" si="719"/>
        <v>0</v>
      </c>
      <c r="U1035" s="78" t="str">
        <f>IF(NOT(ISNUMBER(G1035)), "", VLOOKUP(A1035,'Discount Lookup'!D:E,2,FALSE)*G1035)</f>
        <v/>
      </c>
      <c r="V1035" s="78" t="str">
        <f>IF(NOT(ISNUMBER(G1035)), "", VLOOKUP(A1035,'Discount Lookup'!G:H,2,FALSE)*G1035)</f>
        <v/>
      </c>
      <c r="W1035" s="102">
        <f t="shared" si="720"/>
        <v>0</v>
      </c>
      <c r="X1035" s="102" t="str">
        <f t="shared" si="721"/>
        <v>Pink bloom</v>
      </c>
      <c r="Y1035" s="120" t="b">
        <f t="shared" si="722"/>
        <v>0</v>
      </c>
      <c r="Z1035" s="117">
        <f t="shared" si="723"/>
        <v>0</v>
      </c>
      <c r="AA1035" s="118"/>
      <c r="AB1035" s="118" t="str">
        <f t="shared" si="724"/>
        <v/>
      </c>
      <c r="AC1035" s="712" t="str">
        <f>IF(AE1035="T2G","no charge",IF(AND(OR(PlanterYesMe="No",PlanterYesMe="N",PlanterYesMe="me"),H1035=""),"",IF(H1035="credit","NO install",IF(AND(K1035="",AE1035="me"),"EACH row",IF(AND(K1035="images",AE1035="me"),"EACH row",IF(D1035="","",IF(H1035="credit","",IF(AE1035="free","re-planting",IF(AE1035="me","   not ELP, by",IF(AND(OR(PlanterYesMe="Yes",PlanterYesMe="Y"),G1035&gt;0),(VLOOKUP(A1035,'Discount Lookup'!J:K,2)*G1035*(1-PlanterDiscount)*(1+PlanterDifficultyPercentage)),IF(AE1035="ELP",(VLOOKUP(A1035,'Discount Lookup'!J:K,2)*G1035*(1-PlanterDiscount)*(1+PlanterDifficultyPercentage)),IF(AE1035="free","re-planting",IF(G1035=0,"",IF(PlanterYesMe="",IF(AE1035="me","   not ELP, by",IF(AE1035="",IF(G1035&gt;0,(VLOOKUP(A1035,'Discount Lookup'!J:K,2)*G1035*(1-PlanterDiscount)*(1+PlanterDifficultyPercentage)),""),"")),"   not ELP, by"))))))))))))))</f>
        <v/>
      </c>
      <c r="AD1035" s="712"/>
      <c r="AE1035" s="513" t="str">
        <f t="shared" si="725"/>
        <v/>
      </c>
      <c r="AF1035" s="713" t="str">
        <f t="shared" si="726"/>
        <v/>
      </c>
      <c r="AG1035" s="713"/>
      <c r="AH1035" s="713"/>
      <c r="AI1035" s="112">
        <f>IF(H1035="credit",0,IF(AE1035="free",0,IF(AE1035="me",0,IF(G1035&gt;0,(VLOOKUP(A1035,'Discount Lookup'!J:K,2)*G1035),0))))</f>
        <v>0</v>
      </c>
      <c r="AJ1035" s="107" t="str">
        <f t="shared" ca="1" si="727"/>
        <v/>
      </c>
      <c r="AK1035" s="714" t="str">
        <f t="shared" si="728"/>
        <v/>
      </c>
      <c r="AL1035" s="714"/>
      <c r="AM1035" s="114" t="str">
        <f t="shared" si="729"/>
        <v/>
      </c>
      <c r="AN1035" s="115"/>
      <c r="AO1035" s="116"/>
      <c r="AP1035" s="116"/>
      <c r="AQ1035" s="116"/>
      <c r="AR1035" s="116"/>
      <c r="AS1035" s="116"/>
      <c r="AT1035" s="116"/>
      <c r="AU1035" s="116"/>
      <c r="AV1035" s="78"/>
      <c r="AW1035" s="102"/>
      <c r="AX1035" s="78"/>
      <c r="AY1035" s="78"/>
      <c r="AZ1035" s="78"/>
      <c r="BA1035" s="78"/>
      <c r="BB1035" s="78"/>
      <c r="BC1035" s="78"/>
      <c r="BD1035" s="78"/>
      <c r="BE1035" s="465"/>
      <c r="BF1035" s="165" t="str">
        <f t="shared" si="730"/>
        <v>https://www.google.com/search?tbm=isch&amp;q=Cercis%20canadensis%20%27Pink%20Pom%20Poms%27%20PP%2327630%20Pink%20Pom%20Poms%20Redbud</v>
      </c>
      <c r="BG1035" s="165" t="str">
        <f t="shared" si="731"/>
        <v>C</v>
      </c>
      <c r="BH1035" s="65"/>
      <c r="BI1035" s="65"/>
      <c r="BJ1035" s="65"/>
      <c r="BK1035" s="65"/>
      <c r="BL1035" s="99"/>
      <c r="BM1035" s="99"/>
      <c r="BN1035" s="99"/>
    </row>
    <row r="1036" spans="1:66" s="51" customFormat="1" ht="15.75" x14ac:dyDescent="0.25">
      <c r="A1036" s="634">
        <v>10</v>
      </c>
      <c r="B1036" s="635" t="s">
        <v>291</v>
      </c>
      <c r="C1036" s="636" t="s">
        <v>2014</v>
      </c>
      <c r="D1036" s="637" t="s">
        <v>329</v>
      </c>
      <c r="E1036" s="638">
        <v>146.94999999999999</v>
      </c>
      <c r="F1036" s="639" t="s">
        <v>292</v>
      </c>
      <c r="G1036" s="484">
        <v>0</v>
      </c>
      <c r="H1036" s="691" t="str">
        <f>IF(G1036=0,"",IF(F1036="Buy",IF(G1036=1,"plant","plants"),IF(F1036&gt;0.01,"warranty","Error")))</f>
        <v/>
      </c>
      <c r="I1036" s="640">
        <f>IF(H1036="free",0,IF(H1036="credit",((E1036*(F1036))*G1036*-1),IF(F1036="Buy",(E1036*G1036),((E1036*(1-F1036))*G1036))))</f>
        <v>0</v>
      </c>
      <c r="J1036" s="640">
        <f>IF(H1036="warranty",0,(I1036*(_xlfn.SINGLE(SalesTaxPercentage))))</f>
        <v>0</v>
      </c>
      <c r="K1036" s="716">
        <f t="shared" ref="K1036" si="761">I1036+J1036</f>
        <v>0</v>
      </c>
      <c r="L1036" s="716"/>
      <c r="M1036" s="689" t="str">
        <f ca="1">IF(AND(G1036&gt;0,E1036=0),"WARNING - no PRICE inserted",IF(H1036="free","FREE ~ no charge this plant",IF(H1036="credit",CONCATENATE("-$",ROUND(K1036*(1-_xlfn.SINGLE(T2GDiscount))*-1,2)," CREDIT after discount"),IF(_xlfn.SINGLE(T2GDiscount)=0,"",IF(G1036=0,"",IF(F1036="Buy",CONCATENATE("$",ROUND(K1036*(1-_xlfn.SINGLE(T2GDiscount)),2)," with ",(_xlfn.SINGLE(T2GDiscount)*100),"% discount"),CONCATENATE("$",ROUND(K1036*(1-_xlfn.SINGLE(T2GDiscount)),2)," with ",((_xlfn.SINGLE(T2GDiscount)*100+F1036*100)-(_xlfn.SINGLE(T2GDiscount)*100*F1036)),IF(F1036&gt;0,"% discounts",IF(_xlfn.SINGLE(NoWarrantyDiscount)&gt;0,"% discounts","% discount")))))))))</f>
        <v/>
      </c>
      <c r="N1036" s="690"/>
      <c r="O1036" s="486"/>
      <c r="P1036" s="486"/>
      <c r="Q1036" s="486"/>
      <c r="R1036" s="486"/>
      <c r="S1036" s="486"/>
      <c r="T1036" s="102">
        <f t="shared" si="719"/>
        <v>0</v>
      </c>
      <c r="U1036" s="78">
        <f>IF(NOT(ISNUMBER(G1036)), "", VLOOKUP(A1036,'Discount Lookup'!D:E,2,FALSE)*G1036)</f>
        <v>0</v>
      </c>
      <c r="V1036" s="78">
        <f>IF(NOT(ISNUMBER(G1036)), "", VLOOKUP(A1036,'Discount Lookup'!G:H,2,FALSE)*G1036)</f>
        <v>0</v>
      </c>
      <c r="W1036" s="102">
        <f t="shared" si="720"/>
        <v>0</v>
      </c>
      <c r="X1036" s="102">
        <f t="shared" si="721"/>
        <v>0</v>
      </c>
      <c r="Y1036" s="120" t="b">
        <f t="shared" si="722"/>
        <v>0</v>
      </c>
      <c r="Z1036" s="117">
        <f t="shared" si="723"/>
        <v>0</v>
      </c>
      <c r="AA1036" s="118"/>
      <c r="AB1036" s="118" t="str">
        <f t="shared" si="724"/>
        <v/>
      </c>
      <c r="AC1036" s="712" t="str">
        <f>IF(AE1036="T2G","no charge",IF(AND(OR(PlanterYesMe="No",PlanterYesMe="N",PlanterYesMe="me"),H1036=""),"",IF(H1036="credit","NO install",IF(AND(K1036="",AE1036="me"),"EACH row",IF(AND(K1036="images",AE1036="me"),"EACH row",IF(D1036="","",IF(H1036="credit","",IF(AE1036="free","re-planting",IF(AE1036="me","   not ELP, by",IF(AND(OR(PlanterYesMe="Yes",PlanterYesMe="Y"),G1036&gt;0),(VLOOKUP(A1036,'Discount Lookup'!J:K,2)*G1036*(1-PlanterDiscount)*(1+PlanterDifficultyPercentage)),IF(AE1036="ELP",(VLOOKUP(A1036,'Discount Lookup'!J:K,2)*G1036*(1-PlanterDiscount)*(1+PlanterDifficultyPercentage)),IF(AE1036="free","re-planting",IF(G1036=0,"",IF(PlanterYesMe="",IF(AE1036="me","   not ELP, by",IF(AE1036="",IF(G1036&gt;0,(VLOOKUP(A1036,'Discount Lookup'!J:K,2)*G1036*(1-PlanterDiscount)*(1+PlanterDifficultyPercentage)),""),"")),"   not ELP, by"))))))))))))))</f>
        <v/>
      </c>
      <c r="AD1036" s="712"/>
      <c r="AE1036" s="513" t="str">
        <f t="shared" si="725"/>
        <v/>
      </c>
      <c r="AF1036" s="713" t="str">
        <f t="shared" si="726"/>
        <v/>
      </c>
      <c r="AG1036" s="713"/>
      <c r="AH1036" s="713"/>
      <c r="AI1036" s="112">
        <f>IF(H1036="credit",0,IF(AE1036="free",0,IF(AE1036="me",0,IF(G1036&gt;0,(VLOOKUP(A1036,'Discount Lookup'!J:K,2)*G1036),0))))</f>
        <v>0</v>
      </c>
      <c r="AJ1036" s="107" t="str">
        <f t="shared" ca="1" si="727"/>
        <v/>
      </c>
      <c r="AK1036" s="714" t="str">
        <f t="shared" si="728"/>
        <v/>
      </c>
      <c r="AL1036" s="714"/>
      <c r="AM1036" s="114" t="str">
        <f t="shared" si="729"/>
        <v/>
      </c>
      <c r="AN1036" s="115"/>
      <c r="AO1036" s="116"/>
      <c r="AP1036" s="116"/>
      <c r="AQ1036" s="116"/>
      <c r="AR1036" s="116"/>
      <c r="AS1036" s="116"/>
      <c r="AT1036" s="116"/>
      <c r="AU1036" s="116"/>
      <c r="AV1036" s="78"/>
      <c r="AW1036" s="102"/>
      <c r="AX1036" s="78"/>
      <c r="AY1036" s="78"/>
      <c r="AZ1036" s="78"/>
      <c r="BA1036" s="78"/>
      <c r="BB1036" s="78"/>
      <c r="BC1036" s="78"/>
      <c r="BD1036" s="78"/>
      <c r="BE1036" s="465"/>
      <c r="BF1036" s="165" t="str">
        <f t="shared" si="730"/>
        <v>https://www.google.com/search?tbm=isch&amp;q=10%20G2</v>
      </c>
      <c r="BG1036" s="165" t="str">
        <f t="shared" si="731"/>
        <v>C</v>
      </c>
      <c r="BH1036" s="65"/>
      <c r="BI1036" s="65"/>
      <c r="BJ1036" s="65"/>
      <c r="BK1036" s="65"/>
      <c r="BL1036" s="99"/>
      <c r="BM1036" s="99"/>
      <c r="BN1036" s="99"/>
    </row>
    <row r="1037" spans="1:66" s="51" customFormat="1" ht="17.25" thickBot="1" x14ac:dyDescent="0.3">
      <c r="A1037" s="641" t="s">
        <v>2073</v>
      </c>
      <c r="B1037" s="642"/>
      <c r="C1037" s="710"/>
      <c r="D1037" s="643"/>
      <c r="E1037" s="643"/>
      <c r="F1037" s="644"/>
      <c r="G1037" s="645"/>
      <c r="H1037" s="646"/>
      <c r="I1037" s="647"/>
      <c r="J1037" s="648"/>
      <c r="K1037" s="649"/>
      <c r="L1037" s="650"/>
      <c r="M1037" s="650"/>
      <c r="N1037" s="644"/>
      <c r="O1037" s="644"/>
      <c r="P1037" s="644"/>
      <c r="Q1037" s="644"/>
      <c r="R1037" s="644"/>
      <c r="S1037" s="701" t="s">
        <v>5273</v>
      </c>
      <c r="T1037" s="102">
        <f t="shared" si="719"/>
        <v>0</v>
      </c>
      <c r="U1037" s="78" t="str">
        <f>IF(NOT(ISNUMBER(G1037)), "", VLOOKUP(A1037,'Discount Lookup'!D:E,2,FALSE)*G1037)</f>
        <v/>
      </c>
      <c r="V1037" s="78" t="str">
        <f>IF(NOT(ISNUMBER(G1037)), "", VLOOKUP(A1037,'Discount Lookup'!G:H,2,FALSE)*G1037)</f>
        <v/>
      </c>
      <c r="W1037" s="102">
        <f t="shared" si="720"/>
        <v>0</v>
      </c>
      <c r="X1037" s="102">
        <f t="shared" si="721"/>
        <v>0</v>
      </c>
      <c r="Y1037" s="120" t="b">
        <f t="shared" si="722"/>
        <v>0</v>
      </c>
      <c r="Z1037" s="117">
        <f t="shared" si="723"/>
        <v>0</v>
      </c>
      <c r="AA1037" s="118"/>
      <c r="AB1037" s="118" t="str">
        <f t="shared" si="724"/>
        <v/>
      </c>
      <c r="AC1037" s="712" t="str">
        <f>IF(AE1037="T2G","no charge",IF(AND(OR(PlanterYesMe="No",PlanterYesMe="N",PlanterYesMe="me"),H1037=""),"",IF(H1037="credit","NO install",IF(AND(K1037="",AE1037="me"),"EACH row",IF(AND(K1037="images",AE1037="me"),"EACH row",IF(D1037="","",IF(H1037="credit","",IF(AE1037="free","re-planting",IF(AE1037="me","   not ELP, by",IF(AND(OR(PlanterYesMe="Yes",PlanterYesMe="Y"),G1037&gt;0),(VLOOKUP(A1037,'Discount Lookup'!J:K,2)*G1037*(1-PlanterDiscount)*(1+PlanterDifficultyPercentage)),IF(AE1037="ELP",(VLOOKUP(A1037,'Discount Lookup'!J:K,2)*G1037*(1-PlanterDiscount)*(1+PlanterDifficultyPercentage)),IF(AE1037="free","re-planting",IF(G1037=0,"",IF(PlanterYesMe="",IF(AE1037="me","   not ELP, by",IF(AE1037="",IF(G1037&gt;0,(VLOOKUP(A1037,'Discount Lookup'!J:K,2)*G1037*(1-PlanterDiscount)*(1+PlanterDifficultyPercentage)),""),"")),"   not ELP, by"))))))))))))))</f>
        <v/>
      </c>
      <c r="AD1037" s="712"/>
      <c r="AE1037" s="513" t="str">
        <f t="shared" si="725"/>
        <v/>
      </c>
      <c r="AF1037" s="713" t="str">
        <f t="shared" si="726"/>
        <v/>
      </c>
      <c r="AG1037" s="713"/>
      <c r="AH1037" s="713"/>
      <c r="AI1037" s="112">
        <f>IF(H1037="credit",0,IF(AE1037="free",0,IF(AE1037="me",0,IF(G1037&gt;0,(VLOOKUP(A1037,'Discount Lookup'!J:K,2)*G1037),0))))</f>
        <v>0</v>
      </c>
      <c r="AJ1037" s="107" t="str">
        <f t="shared" ca="1" si="727"/>
        <v/>
      </c>
      <c r="AK1037" s="714" t="str">
        <f t="shared" si="728"/>
        <v/>
      </c>
      <c r="AL1037" s="714"/>
      <c r="AM1037" s="114" t="str">
        <f t="shared" si="729"/>
        <v/>
      </c>
      <c r="AN1037" s="115"/>
      <c r="AO1037" s="116"/>
      <c r="AP1037" s="116"/>
      <c r="AQ1037" s="116"/>
      <c r="AR1037" s="116"/>
      <c r="AS1037" s="116"/>
      <c r="AT1037" s="116"/>
      <c r="AU1037" s="116"/>
      <c r="AV1037" s="78"/>
      <c r="AW1037" s="102"/>
      <c r="AX1037" s="78"/>
      <c r="AY1037" s="78"/>
      <c r="AZ1037" s="78"/>
      <c r="BA1037" s="78"/>
      <c r="BB1037" s="78"/>
      <c r="BC1037" s="78"/>
      <c r="BD1037" s="78"/>
      <c r="BE1037" s="465"/>
      <c r="BF1037" s="165" t="str">
        <f t="shared" si="730"/>
        <v>https://www.google.com/search?tbm=isch&amp;q=Pink%20Pom%20Poms%20produces%20a%20heavy%20bloomset%20of%20double-pink%20flowers.%20Sterile%2C%20so%20no%20seed%20heads%20</v>
      </c>
      <c r="BG1037" s="165" t="str">
        <f t="shared" si="731"/>
        <v>P</v>
      </c>
      <c r="BH1037" s="65"/>
      <c r="BI1037" s="65"/>
      <c r="BJ1037" s="65"/>
      <c r="BK1037" s="65"/>
      <c r="BL1037" s="99"/>
      <c r="BM1037" s="99"/>
      <c r="BN1037" s="99"/>
    </row>
    <row r="1038" spans="1:66" s="51" customFormat="1" ht="18" x14ac:dyDescent="0.25">
      <c r="A1038" s="623" t="s">
        <v>2074</v>
      </c>
      <c r="B1038" s="624"/>
      <c r="C1038" s="709"/>
      <c r="D1038" s="625" t="s">
        <v>2075</v>
      </c>
      <c r="E1038" s="626"/>
      <c r="F1038" s="626"/>
      <c r="G1038" s="626"/>
      <c r="H1038" s="622" t="s">
        <v>1246</v>
      </c>
      <c r="I1038" s="627" t="s">
        <v>2076</v>
      </c>
      <c r="J1038" s="628"/>
      <c r="K1038" s="628"/>
      <c r="L1038" s="629"/>
      <c r="M1038" s="700" t="s">
        <v>5249</v>
      </c>
      <c r="N1038" s="693" t="str">
        <f>IF(AND(ISTEXT($A1038), ISERROR($A1038+0)), HYPERLINK($BF1038, "Images"), "")</f>
        <v>Images</v>
      </c>
      <c r="O1038" s="695" t="s">
        <v>5264</v>
      </c>
      <c r="P1038" s="630"/>
      <c r="Q1038" s="631"/>
      <c r="R1038" s="632"/>
      <c r="S1038" s="633" t="s">
        <v>294</v>
      </c>
      <c r="T1038" s="102">
        <f t="shared" si="719"/>
        <v>0</v>
      </c>
      <c r="U1038" s="78" t="str">
        <f>IF(NOT(ISNUMBER(G1038)), "", VLOOKUP(A1038,'Discount Lookup'!D:E,2,FALSE)*G1038)</f>
        <v/>
      </c>
      <c r="V1038" s="78" t="str">
        <f>IF(NOT(ISNUMBER(G1038)), "", VLOOKUP(A1038,'Discount Lookup'!G:H,2,FALSE)*G1038)</f>
        <v/>
      </c>
      <c r="W1038" s="102">
        <f t="shared" si="720"/>
        <v>0</v>
      </c>
      <c r="X1038" s="102" t="str">
        <f t="shared" si="721"/>
        <v>Rosey-Pink bloom</v>
      </c>
      <c r="Y1038" s="120" t="b">
        <f t="shared" si="722"/>
        <v>0</v>
      </c>
      <c r="Z1038" s="117">
        <f t="shared" si="723"/>
        <v>0</v>
      </c>
      <c r="AA1038" s="118"/>
      <c r="AB1038" s="118" t="str">
        <f t="shared" si="724"/>
        <v/>
      </c>
      <c r="AC1038" s="712" t="str">
        <f>IF(AE1038="T2G","no charge",IF(AND(OR(PlanterYesMe="No",PlanterYesMe="N",PlanterYesMe="me"),H1038=""),"",IF(H1038="credit","NO install",IF(AND(K1038="",AE1038="me"),"EACH row",IF(AND(K1038="images",AE1038="me"),"EACH row",IF(D1038="","",IF(H1038="credit","",IF(AE1038="free","re-planting",IF(AE1038="me","   not ELP, by",IF(AND(OR(PlanterYesMe="Yes",PlanterYesMe="Y"),G1038&gt;0),(VLOOKUP(A1038,'Discount Lookup'!J:K,2)*G1038*(1-PlanterDiscount)*(1+PlanterDifficultyPercentage)),IF(AE1038="ELP",(VLOOKUP(A1038,'Discount Lookup'!J:K,2)*G1038*(1-PlanterDiscount)*(1+PlanterDifficultyPercentage)),IF(AE1038="free","re-planting",IF(G1038=0,"",IF(PlanterYesMe="",IF(AE1038="me","   not ELP, by",IF(AE1038="",IF(G1038&gt;0,(VLOOKUP(A1038,'Discount Lookup'!J:K,2)*G1038*(1-PlanterDiscount)*(1+PlanterDifficultyPercentage)),""),"")),"   not ELP, by"))))))))))))))</f>
        <v/>
      </c>
      <c r="AD1038" s="712"/>
      <c r="AE1038" s="513" t="str">
        <f t="shared" si="725"/>
        <v/>
      </c>
      <c r="AF1038" s="713" t="str">
        <f t="shared" si="726"/>
        <v/>
      </c>
      <c r="AG1038" s="713"/>
      <c r="AH1038" s="713"/>
      <c r="AI1038" s="112">
        <f>IF(H1038="credit",0,IF(AE1038="free",0,IF(AE1038="me",0,IF(G1038&gt;0,(VLOOKUP(A1038,'Discount Lookup'!J:K,2)*G1038),0))))</f>
        <v>0</v>
      </c>
      <c r="AJ1038" s="107" t="str">
        <f t="shared" ca="1" si="727"/>
        <v/>
      </c>
      <c r="AK1038" s="714" t="str">
        <f t="shared" si="728"/>
        <v/>
      </c>
      <c r="AL1038" s="714"/>
      <c r="AM1038" s="114" t="str">
        <f t="shared" si="729"/>
        <v/>
      </c>
      <c r="AN1038" s="115"/>
      <c r="AO1038" s="116"/>
      <c r="AP1038" s="116"/>
      <c r="AQ1038" s="116"/>
      <c r="AR1038" s="116"/>
      <c r="AS1038" s="116"/>
      <c r="AT1038" s="116"/>
      <c r="AU1038" s="116"/>
      <c r="AV1038" s="78"/>
      <c r="AW1038" s="102"/>
      <c r="AX1038" s="78"/>
      <c r="AY1038" s="78"/>
      <c r="AZ1038" s="78"/>
      <c r="BA1038" s="78"/>
      <c r="BB1038" s="78"/>
      <c r="BC1038" s="78"/>
      <c r="BD1038" s="78"/>
      <c r="BE1038" s="465"/>
      <c r="BF1038" s="165" t="str">
        <f t="shared" si="730"/>
        <v>https://www.google.com/search?tbm=isch&amp;q=Cercis%20canadensis%20%27Purple%20Rain%27%20Purple%20Rain%20Weeping%20Redbud</v>
      </c>
      <c r="BG1038" s="165" t="str">
        <f t="shared" si="731"/>
        <v>C</v>
      </c>
      <c r="BH1038" s="65"/>
      <c r="BI1038" s="65"/>
      <c r="BJ1038" s="65"/>
      <c r="BK1038" s="65"/>
      <c r="BL1038" s="99"/>
      <c r="BM1038" s="99"/>
      <c r="BN1038" s="99"/>
    </row>
    <row r="1039" spans="1:66" s="51" customFormat="1" ht="15.75" x14ac:dyDescent="0.25">
      <c r="A1039" s="634">
        <v>7</v>
      </c>
      <c r="B1039" s="635" t="s">
        <v>291</v>
      </c>
      <c r="C1039" s="636" t="s">
        <v>2077</v>
      </c>
      <c r="D1039" s="637" t="s">
        <v>299</v>
      </c>
      <c r="E1039" s="638">
        <v>137.94999999999999</v>
      </c>
      <c r="F1039" s="639" t="s">
        <v>292</v>
      </c>
      <c r="G1039" s="484">
        <v>0</v>
      </c>
      <c r="H1039" s="691" t="str">
        <f>IF(G1039=0,"",IF(F1039="Buy",IF(G1039=1,"plant","plants"),IF(F1039&gt;0.01,"warranty","Error")))</f>
        <v/>
      </c>
      <c r="I1039" s="640">
        <f>IF(H1039="free",0,IF(H1039="credit",((E1039*(F1039))*G1039*-1),IF(F1039="Buy",(E1039*G1039),((E1039*(1-F1039))*G1039))))</f>
        <v>0</v>
      </c>
      <c r="J1039" s="640">
        <f>IF(H1039="warranty",0,(I1039*(_xlfn.SINGLE(SalesTaxPercentage))))</f>
        <v>0</v>
      </c>
      <c r="K1039" s="716">
        <f t="shared" ref="K1039" si="762">I1039+J1039</f>
        <v>0</v>
      </c>
      <c r="L1039" s="716"/>
      <c r="M1039" s="689" t="str">
        <f ca="1">IF(AND(G1039&gt;0,E1039=0),"WARNING - no PRICE inserted",IF(H1039="free","FREE ~ no charge this plant",IF(H1039="credit",CONCATENATE("-$",ROUND(K1039*(1-_xlfn.SINGLE(T2GDiscount))*-1,2)," CREDIT after discount"),IF(_xlfn.SINGLE(T2GDiscount)=0,"",IF(G1039=0,"",IF(F1039="Buy",CONCATENATE("$",ROUND(K1039*(1-_xlfn.SINGLE(T2GDiscount)),2)," with ",(_xlfn.SINGLE(T2GDiscount)*100),"% discount"),CONCATENATE("$",ROUND(K1039*(1-_xlfn.SINGLE(T2GDiscount)),2)," with ",((_xlfn.SINGLE(T2GDiscount)*100+F1039*100)-(_xlfn.SINGLE(T2GDiscount)*100*F1039)),IF(F1039&gt;0,"% discounts",IF(_xlfn.SINGLE(NoWarrantyDiscount)&gt;0,"% discounts","% discount")))))))))</f>
        <v/>
      </c>
      <c r="N1039" s="690"/>
      <c r="O1039" s="486"/>
      <c r="P1039" s="486"/>
      <c r="Q1039" s="486"/>
      <c r="R1039" s="486"/>
      <c r="S1039" s="486"/>
      <c r="T1039" s="102">
        <f t="shared" si="719"/>
        <v>0</v>
      </c>
      <c r="U1039" s="78">
        <f>IF(NOT(ISNUMBER(G1039)), "", VLOOKUP(A1039,'Discount Lookup'!D:E,2,FALSE)*G1039)</f>
        <v>0</v>
      </c>
      <c r="V1039" s="78">
        <f>IF(NOT(ISNUMBER(G1039)), "", VLOOKUP(A1039,'Discount Lookup'!G:H,2,FALSE)*G1039)</f>
        <v>0</v>
      </c>
      <c r="W1039" s="102">
        <f t="shared" si="720"/>
        <v>0</v>
      </c>
      <c r="X1039" s="102">
        <f t="shared" si="721"/>
        <v>0</v>
      </c>
      <c r="Y1039" s="120" t="b">
        <f t="shared" si="722"/>
        <v>0</v>
      </c>
      <c r="Z1039" s="117">
        <f t="shared" si="723"/>
        <v>0</v>
      </c>
      <c r="AA1039" s="118"/>
      <c r="AB1039" s="118" t="str">
        <f t="shared" si="724"/>
        <v/>
      </c>
      <c r="AC1039" s="712" t="str">
        <f>IF(AE1039="T2G","no charge",IF(AND(OR(PlanterYesMe="No",PlanterYesMe="N",PlanterYesMe="me"),H1039=""),"",IF(H1039="credit","NO install",IF(AND(K1039="",AE1039="me"),"EACH row",IF(AND(K1039="images",AE1039="me"),"EACH row",IF(D1039="","",IF(H1039="credit","",IF(AE1039="free","re-planting",IF(AE1039="me","   not ELP, by",IF(AND(OR(PlanterYesMe="Yes",PlanterYesMe="Y"),G1039&gt;0),(VLOOKUP(A1039,'Discount Lookup'!J:K,2)*G1039*(1-PlanterDiscount)*(1+PlanterDifficultyPercentage)),IF(AE1039="ELP",(VLOOKUP(A1039,'Discount Lookup'!J:K,2)*G1039*(1-PlanterDiscount)*(1+PlanterDifficultyPercentage)),IF(AE1039="free","re-planting",IF(G1039=0,"",IF(PlanterYesMe="",IF(AE1039="me","   not ELP, by",IF(AE1039="",IF(G1039&gt;0,(VLOOKUP(A1039,'Discount Lookup'!J:K,2)*G1039*(1-PlanterDiscount)*(1+PlanterDifficultyPercentage)),""),"")),"   not ELP, by"))))))))))))))</f>
        <v/>
      </c>
      <c r="AD1039" s="712"/>
      <c r="AE1039" s="513" t="str">
        <f t="shared" si="725"/>
        <v/>
      </c>
      <c r="AF1039" s="713" t="str">
        <f t="shared" si="726"/>
        <v/>
      </c>
      <c r="AG1039" s="713"/>
      <c r="AH1039" s="713"/>
      <c r="AI1039" s="112">
        <f>IF(H1039="credit",0,IF(AE1039="free",0,IF(AE1039="me",0,IF(G1039&gt;0,(VLOOKUP(A1039,'Discount Lookup'!J:K,2)*G1039),0))))</f>
        <v>0</v>
      </c>
      <c r="AJ1039" s="107" t="str">
        <f t="shared" ca="1" si="727"/>
        <v/>
      </c>
      <c r="AK1039" s="714" t="str">
        <f t="shared" si="728"/>
        <v/>
      </c>
      <c r="AL1039" s="714"/>
      <c r="AM1039" s="114" t="str">
        <f t="shared" si="729"/>
        <v/>
      </c>
      <c r="AN1039" s="115"/>
      <c r="AO1039" s="116"/>
      <c r="AP1039" s="116"/>
      <c r="AQ1039" s="116"/>
      <c r="AR1039" s="116"/>
      <c r="AS1039" s="116"/>
      <c r="AT1039" s="116"/>
      <c r="AU1039" s="116"/>
      <c r="AV1039" s="78"/>
      <c r="AW1039" s="102"/>
      <c r="AX1039" s="78"/>
      <c r="AY1039" s="78"/>
      <c r="AZ1039" s="78"/>
      <c r="BA1039" s="78"/>
      <c r="BB1039" s="78"/>
      <c r="BC1039" s="78"/>
      <c r="BD1039" s="78"/>
      <c r="BE1039" s="465"/>
      <c r="BF1039" s="165" t="str">
        <f t="shared" si="730"/>
        <v>https://www.google.com/search?tbm=isch&amp;q=7%20G4</v>
      </c>
      <c r="BG1039" s="165" t="str">
        <f t="shared" si="731"/>
        <v>C</v>
      </c>
      <c r="BH1039" s="65"/>
      <c r="BI1039" s="65"/>
      <c r="BJ1039" s="65"/>
      <c r="BK1039" s="65"/>
      <c r="BL1039" s="99"/>
      <c r="BM1039" s="99"/>
      <c r="BN1039" s="99"/>
    </row>
    <row r="1040" spans="1:66" s="51" customFormat="1" ht="15.75" x14ac:dyDescent="0.25">
      <c r="A1040" s="634">
        <v>10</v>
      </c>
      <c r="B1040" s="635" t="s">
        <v>291</v>
      </c>
      <c r="C1040" s="636" t="s">
        <v>2078</v>
      </c>
      <c r="D1040" s="637" t="s">
        <v>299</v>
      </c>
      <c r="E1040" s="638">
        <v>160.94999999999999</v>
      </c>
      <c r="F1040" s="639" t="s">
        <v>292</v>
      </c>
      <c r="G1040" s="484">
        <v>0</v>
      </c>
      <c r="H1040" s="691" t="str">
        <f>IF(G1040=0,"",IF(F1040="Buy",IF(G1040=1,"plant","plants"),IF(F1040&gt;0.01,"warranty","Error")))</f>
        <v/>
      </c>
      <c r="I1040" s="640">
        <f>IF(H1040="free",0,IF(H1040="credit",((E1040*(F1040))*G1040*-1),IF(F1040="Buy",(E1040*G1040),((E1040*(1-F1040))*G1040))))</f>
        <v>0</v>
      </c>
      <c r="J1040" s="640">
        <f>IF(H1040="warranty",0,(I1040*(_xlfn.SINGLE(SalesTaxPercentage))))</f>
        <v>0</v>
      </c>
      <c r="K1040" s="716">
        <f t="shared" ref="K1040" si="763">I1040+J1040</f>
        <v>0</v>
      </c>
      <c r="L1040" s="716"/>
      <c r="M1040" s="689" t="str">
        <f ca="1">IF(AND(G1040&gt;0,E1040=0),"WARNING - no PRICE inserted",IF(H1040="free","FREE ~ no charge this plant",IF(H1040="credit",CONCATENATE("-$",ROUND(K1040*(1-_xlfn.SINGLE(T2GDiscount))*-1,2)," CREDIT after discount"),IF(_xlfn.SINGLE(T2GDiscount)=0,"",IF(G1040=0,"",IF(F1040="Buy",CONCATENATE("$",ROUND(K1040*(1-_xlfn.SINGLE(T2GDiscount)),2)," with ",(_xlfn.SINGLE(T2GDiscount)*100),"% discount"),CONCATENATE("$",ROUND(K1040*(1-_xlfn.SINGLE(T2GDiscount)),2)," with ",((_xlfn.SINGLE(T2GDiscount)*100+F1040*100)-(_xlfn.SINGLE(T2GDiscount)*100*F1040)),IF(F1040&gt;0,"% discounts",IF(_xlfn.SINGLE(NoWarrantyDiscount)&gt;0,"% discounts","% discount")))))))))</f>
        <v/>
      </c>
      <c r="N1040" s="690"/>
      <c r="O1040" s="486"/>
      <c r="P1040" s="486"/>
      <c r="Q1040" s="486"/>
      <c r="R1040" s="486"/>
      <c r="S1040" s="486"/>
      <c r="T1040" s="102">
        <f t="shared" si="719"/>
        <v>0</v>
      </c>
      <c r="U1040" s="78">
        <f>IF(NOT(ISNUMBER(G1040)), "", VLOOKUP(A1040,'Discount Lookup'!D:E,2,FALSE)*G1040)</f>
        <v>0</v>
      </c>
      <c r="V1040" s="78">
        <f>IF(NOT(ISNUMBER(G1040)), "", VLOOKUP(A1040,'Discount Lookup'!G:H,2,FALSE)*G1040)</f>
        <v>0</v>
      </c>
      <c r="W1040" s="102">
        <f t="shared" si="720"/>
        <v>0</v>
      </c>
      <c r="X1040" s="102">
        <f t="shared" si="721"/>
        <v>0</v>
      </c>
      <c r="Y1040" s="120" t="b">
        <f t="shared" si="722"/>
        <v>0</v>
      </c>
      <c r="Z1040" s="117">
        <f t="shared" si="723"/>
        <v>0</v>
      </c>
      <c r="AA1040" s="118"/>
      <c r="AB1040" s="118" t="str">
        <f t="shared" si="724"/>
        <v/>
      </c>
      <c r="AC1040" s="712" t="str">
        <f>IF(AE1040="T2G","no charge",IF(AND(OR(PlanterYesMe="No",PlanterYesMe="N",PlanterYesMe="me"),H1040=""),"",IF(H1040="credit","NO install",IF(AND(K1040="",AE1040="me"),"EACH row",IF(AND(K1040="images",AE1040="me"),"EACH row",IF(D1040="","",IF(H1040="credit","",IF(AE1040="free","re-planting",IF(AE1040="me","   not ELP, by",IF(AND(OR(PlanterYesMe="Yes",PlanterYesMe="Y"),G1040&gt;0),(VLOOKUP(A1040,'Discount Lookup'!J:K,2)*G1040*(1-PlanterDiscount)*(1+PlanterDifficultyPercentage)),IF(AE1040="ELP",(VLOOKUP(A1040,'Discount Lookup'!J:K,2)*G1040*(1-PlanterDiscount)*(1+PlanterDifficultyPercentage)),IF(AE1040="free","re-planting",IF(G1040=0,"",IF(PlanterYesMe="",IF(AE1040="me","   not ELP, by",IF(AE1040="",IF(G1040&gt;0,(VLOOKUP(A1040,'Discount Lookup'!J:K,2)*G1040*(1-PlanterDiscount)*(1+PlanterDifficultyPercentage)),""),"")),"   not ELP, by"))))))))))))))</f>
        <v/>
      </c>
      <c r="AD1040" s="712"/>
      <c r="AE1040" s="513" t="str">
        <f t="shared" si="725"/>
        <v/>
      </c>
      <c r="AF1040" s="713" t="str">
        <f t="shared" si="726"/>
        <v/>
      </c>
      <c r="AG1040" s="713"/>
      <c r="AH1040" s="713"/>
      <c r="AI1040" s="112">
        <f>IF(H1040="credit",0,IF(AE1040="free",0,IF(AE1040="me",0,IF(G1040&gt;0,(VLOOKUP(A1040,'Discount Lookup'!J:K,2)*G1040),0))))</f>
        <v>0</v>
      </c>
      <c r="AJ1040" s="107" t="str">
        <f t="shared" ca="1" si="727"/>
        <v/>
      </c>
      <c r="AK1040" s="714" t="str">
        <f t="shared" si="728"/>
        <v/>
      </c>
      <c r="AL1040" s="714"/>
      <c r="AM1040" s="114" t="str">
        <f t="shared" si="729"/>
        <v/>
      </c>
      <c r="AN1040" s="115"/>
      <c r="AO1040" s="116"/>
      <c r="AP1040" s="116"/>
      <c r="AQ1040" s="116"/>
      <c r="AR1040" s="116"/>
      <c r="AS1040" s="116"/>
      <c r="AT1040" s="116"/>
      <c r="AU1040" s="116"/>
      <c r="AV1040" s="78"/>
      <c r="AW1040" s="102"/>
      <c r="AX1040" s="78"/>
      <c r="AY1040" s="78"/>
      <c r="AZ1040" s="78"/>
      <c r="BA1040" s="78"/>
      <c r="BB1040" s="78"/>
      <c r="BC1040" s="78"/>
      <c r="BD1040" s="78"/>
      <c r="BE1040" s="465"/>
      <c r="BF1040" s="165" t="str">
        <f t="shared" si="730"/>
        <v>https://www.google.com/search?tbm=isch&amp;q=10%20G4</v>
      </c>
      <c r="BG1040" s="165" t="str">
        <f t="shared" si="731"/>
        <v>C</v>
      </c>
      <c r="BH1040" s="65"/>
      <c r="BI1040" s="65"/>
      <c r="BJ1040" s="65"/>
      <c r="BK1040" s="65"/>
      <c r="BL1040" s="99"/>
      <c r="BM1040" s="99"/>
      <c r="BN1040" s="99"/>
    </row>
    <row r="1041" spans="1:66" s="51" customFormat="1" ht="17.25" thickBot="1" x14ac:dyDescent="0.3">
      <c r="A1041" s="641" t="s">
        <v>2079</v>
      </c>
      <c r="B1041" s="642"/>
      <c r="C1041" s="710"/>
      <c r="D1041" s="643"/>
      <c r="E1041" s="643"/>
      <c r="F1041" s="644"/>
      <c r="G1041" s="645"/>
      <c r="H1041" s="646"/>
      <c r="I1041" s="647"/>
      <c r="J1041" s="648"/>
      <c r="K1041" s="649"/>
      <c r="L1041" s="650"/>
      <c r="M1041" s="650"/>
      <c r="N1041" s="644"/>
      <c r="O1041" s="644"/>
      <c r="P1041" s="644"/>
      <c r="Q1041" s="644"/>
      <c r="R1041" s="644"/>
      <c r="S1041" s="701" t="s">
        <v>5262</v>
      </c>
      <c r="T1041" s="102">
        <f t="shared" si="719"/>
        <v>0</v>
      </c>
      <c r="U1041" s="78" t="str">
        <f>IF(NOT(ISNUMBER(G1041)), "", VLOOKUP(A1041,'Discount Lookup'!D:E,2,FALSE)*G1041)</f>
        <v/>
      </c>
      <c r="V1041" s="78" t="str">
        <f>IF(NOT(ISNUMBER(G1041)), "", VLOOKUP(A1041,'Discount Lookup'!G:H,2,FALSE)*G1041)</f>
        <v/>
      </c>
      <c r="W1041" s="102">
        <f t="shared" si="720"/>
        <v>0</v>
      </c>
      <c r="X1041" s="102">
        <f t="shared" si="721"/>
        <v>0</v>
      </c>
      <c r="Y1041" s="120" t="b">
        <f t="shared" si="722"/>
        <v>0</v>
      </c>
      <c r="Z1041" s="117">
        <f t="shared" si="723"/>
        <v>0</v>
      </c>
      <c r="AA1041" s="118"/>
      <c r="AB1041" s="118" t="str">
        <f t="shared" si="724"/>
        <v/>
      </c>
      <c r="AC1041" s="712" t="str">
        <f>IF(AE1041="T2G","no charge",IF(AND(OR(PlanterYesMe="No",PlanterYesMe="N",PlanterYesMe="me"),H1041=""),"",IF(H1041="credit","NO install",IF(AND(K1041="",AE1041="me"),"EACH row",IF(AND(K1041="images",AE1041="me"),"EACH row",IF(D1041="","",IF(H1041="credit","",IF(AE1041="free","re-planting",IF(AE1041="me","   not ELP, by",IF(AND(OR(PlanterYesMe="Yes",PlanterYesMe="Y"),G1041&gt;0),(VLOOKUP(A1041,'Discount Lookup'!J:K,2)*G1041*(1-PlanterDiscount)*(1+PlanterDifficultyPercentage)),IF(AE1041="ELP",(VLOOKUP(A1041,'Discount Lookup'!J:K,2)*G1041*(1-PlanterDiscount)*(1+PlanterDifficultyPercentage)),IF(AE1041="free","re-planting",IF(G1041=0,"",IF(PlanterYesMe="",IF(AE1041="me","   not ELP, by",IF(AE1041="",IF(G1041&gt;0,(VLOOKUP(A1041,'Discount Lookup'!J:K,2)*G1041*(1-PlanterDiscount)*(1+PlanterDifficultyPercentage)),""),"")),"   not ELP, by"))))))))))))))</f>
        <v/>
      </c>
      <c r="AD1041" s="712"/>
      <c r="AE1041" s="513" t="str">
        <f t="shared" si="725"/>
        <v/>
      </c>
      <c r="AF1041" s="713" t="str">
        <f t="shared" si="726"/>
        <v/>
      </c>
      <c r="AG1041" s="713"/>
      <c r="AH1041" s="713"/>
      <c r="AI1041" s="112">
        <f>IF(H1041="credit",0,IF(AE1041="free",0,IF(AE1041="me",0,IF(G1041&gt;0,(VLOOKUP(A1041,'Discount Lookup'!J:K,2)*G1041),0))))</f>
        <v>0</v>
      </c>
      <c r="AJ1041" s="107" t="str">
        <f t="shared" ca="1" si="727"/>
        <v/>
      </c>
      <c r="AK1041" s="714" t="str">
        <f t="shared" si="728"/>
        <v/>
      </c>
      <c r="AL1041" s="714"/>
      <c r="AM1041" s="114" t="str">
        <f t="shared" si="729"/>
        <v/>
      </c>
      <c r="AN1041" s="115"/>
      <c r="AO1041" s="116"/>
      <c r="AP1041" s="116"/>
      <c r="AQ1041" s="116"/>
      <c r="AR1041" s="116"/>
      <c r="AS1041" s="116"/>
      <c r="AT1041" s="116"/>
      <c r="AU1041" s="116"/>
      <c r="AV1041" s="78"/>
      <c r="AW1041" s="102"/>
      <c r="AX1041" s="78"/>
      <c r="AY1041" s="78"/>
      <c r="AZ1041" s="78"/>
      <c r="BA1041" s="78"/>
      <c r="BB1041" s="78"/>
      <c r="BC1041" s="78"/>
      <c r="BD1041" s="78"/>
      <c r="BE1041" s="465"/>
      <c r="BF1041" s="165" t="str">
        <f t="shared" si="730"/>
        <v>https://www.google.com/search?tbm=isch&amp;q=Purple%20Rain%20has%20cascading%20blooms%20and%20dramatic%20Purple%20foliage%20that%20shifts%20from%20Dark%20Purple%20to%20Purple-Green%20to%20Bright%20Yellow%20in%20fall%20</v>
      </c>
      <c r="BG1041" s="165" t="str">
        <f t="shared" si="731"/>
        <v>P</v>
      </c>
      <c r="BH1041" s="65"/>
      <c r="BI1041" s="65"/>
      <c r="BJ1041" s="65"/>
      <c r="BK1041" s="65"/>
      <c r="BL1041" s="99"/>
      <c r="BM1041" s="99"/>
      <c r="BN1041" s="99"/>
    </row>
    <row r="1042" spans="1:66" s="51" customFormat="1" ht="18" x14ac:dyDescent="0.25">
      <c r="A1042" s="623" t="s">
        <v>2080</v>
      </c>
      <c r="B1042" s="624"/>
      <c r="C1042" s="709"/>
      <c r="D1042" s="625" t="s">
        <v>5633</v>
      </c>
      <c r="E1042" s="626"/>
      <c r="F1042" s="626"/>
      <c r="G1042" s="626"/>
      <c r="H1042" s="622" t="s">
        <v>325</v>
      </c>
      <c r="I1042" s="627" t="s">
        <v>1766</v>
      </c>
      <c r="J1042" s="628"/>
      <c r="K1042" s="628"/>
      <c r="L1042" s="629"/>
      <c r="M1042" s="700" t="s">
        <v>5249</v>
      </c>
      <c r="N1042" s="693" t="str">
        <f>IF(AND(ISTEXT($A1042), ISERROR($A1042+0)), HYPERLINK($BF1042, "Images"), "")</f>
        <v>Images</v>
      </c>
      <c r="O1042" s="695" t="s">
        <v>5264</v>
      </c>
      <c r="P1042" s="630"/>
      <c r="Q1042" s="631"/>
      <c r="R1042" s="632"/>
      <c r="S1042" s="633"/>
      <c r="T1042" s="102">
        <f t="shared" si="719"/>
        <v>0</v>
      </c>
      <c r="U1042" s="78" t="str">
        <f>IF(NOT(ISNUMBER(G1042)), "", VLOOKUP(A1042,'Discount Lookup'!D:E,2,FALSE)*G1042)</f>
        <v/>
      </c>
      <c r="V1042" s="78" t="str">
        <f>IF(NOT(ISNUMBER(G1042)), "", VLOOKUP(A1042,'Discount Lookup'!G:H,2,FALSE)*G1042)</f>
        <v/>
      </c>
      <c r="W1042" s="102">
        <f t="shared" si="720"/>
        <v>0</v>
      </c>
      <c r="X1042" s="102" t="str">
        <f t="shared" si="721"/>
        <v>Light Pink bloom</v>
      </c>
      <c r="Y1042" s="120" t="b">
        <f t="shared" si="722"/>
        <v>0</v>
      </c>
      <c r="Z1042" s="117">
        <f t="shared" si="723"/>
        <v>0</v>
      </c>
      <c r="AA1042" s="118"/>
      <c r="AB1042" s="118" t="str">
        <f t="shared" si="724"/>
        <v/>
      </c>
      <c r="AC1042" s="712" t="str">
        <f>IF(AE1042="T2G","no charge",IF(AND(OR(PlanterYesMe="No",PlanterYesMe="N",PlanterYesMe="me"),H1042=""),"",IF(H1042="credit","NO install",IF(AND(K1042="",AE1042="me"),"EACH row",IF(AND(K1042="images",AE1042="me"),"EACH row",IF(D1042="","",IF(H1042="credit","",IF(AE1042="free","re-planting",IF(AE1042="me","   not ELP, by",IF(AND(OR(PlanterYesMe="Yes",PlanterYesMe="Y"),G1042&gt;0),(VLOOKUP(A1042,'Discount Lookup'!J:K,2)*G1042*(1-PlanterDiscount)*(1+PlanterDifficultyPercentage)),IF(AE1042="ELP",(VLOOKUP(A1042,'Discount Lookup'!J:K,2)*G1042*(1-PlanterDiscount)*(1+PlanterDifficultyPercentage)),IF(AE1042="free","re-planting",IF(G1042=0,"",IF(PlanterYesMe="",IF(AE1042="me","   not ELP, by",IF(AE1042="",IF(G1042&gt;0,(VLOOKUP(A1042,'Discount Lookup'!J:K,2)*G1042*(1-PlanterDiscount)*(1+PlanterDifficultyPercentage)),""),"")),"   not ELP, by"))))))))))))))</f>
        <v/>
      </c>
      <c r="AD1042" s="712"/>
      <c r="AE1042" s="513" t="str">
        <f t="shared" si="725"/>
        <v/>
      </c>
      <c r="AF1042" s="713" t="str">
        <f t="shared" si="726"/>
        <v/>
      </c>
      <c r="AG1042" s="713"/>
      <c r="AH1042" s="713"/>
      <c r="AI1042" s="112">
        <f>IF(H1042="credit",0,IF(AE1042="free",0,IF(AE1042="me",0,IF(G1042&gt;0,(VLOOKUP(A1042,'Discount Lookup'!J:K,2)*G1042),0))))</f>
        <v>0</v>
      </c>
      <c r="AJ1042" s="107" t="str">
        <f t="shared" ca="1" si="727"/>
        <v/>
      </c>
      <c r="AK1042" s="714" t="str">
        <f t="shared" si="728"/>
        <v/>
      </c>
      <c r="AL1042" s="714"/>
      <c r="AM1042" s="114" t="str">
        <f t="shared" si="729"/>
        <v/>
      </c>
      <c r="AN1042" s="115"/>
      <c r="AO1042" s="116"/>
      <c r="AP1042" s="116"/>
      <c r="AQ1042" s="116"/>
      <c r="AR1042" s="116"/>
      <c r="AS1042" s="116"/>
      <c r="AT1042" s="116"/>
      <c r="AU1042" s="116"/>
      <c r="AV1042" s="78"/>
      <c r="AW1042" s="102"/>
      <c r="AX1042" s="78"/>
      <c r="AY1042" s="78"/>
      <c r="AZ1042" s="78"/>
      <c r="BA1042" s="78"/>
      <c r="BB1042" s="78"/>
      <c r="BC1042" s="78"/>
      <c r="BD1042" s="78"/>
      <c r="BE1042" s="465"/>
      <c r="BF1042" s="165" t="str">
        <f t="shared" si="730"/>
        <v>https://www.google.com/search?tbm=isch&amp;q=Cercis%20canadensis%20%27RNI-RCC3%27%20PP%2334213%20Midnight%20Express%C2%AE%20Redbud</v>
      </c>
      <c r="BG1042" s="165" t="str">
        <f t="shared" si="731"/>
        <v>C</v>
      </c>
      <c r="BH1042" s="65"/>
      <c r="BI1042" s="65"/>
      <c r="BJ1042" s="65"/>
      <c r="BK1042" s="65"/>
      <c r="BL1042" s="99"/>
      <c r="BM1042" s="99"/>
      <c r="BN1042" s="99"/>
    </row>
    <row r="1043" spans="1:66" s="51" customFormat="1" ht="15.75" x14ac:dyDescent="0.25">
      <c r="A1043" s="634">
        <v>10</v>
      </c>
      <c r="B1043" s="635" t="s">
        <v>291</v>
      </c>
      <c r="C1043" s="636" t="s">
        <v>2336</v>
      </c>
      <c r="D1043" s="637" t="s">
        <v>299</v>
      </c>
      <c r="E1043" s="638">
        <v>155.94999999999999</v>
      </c>
      <c r="F1043" s="639" t="s">
        <v>292</v>
      </c>
      <c r="G1043" s="484">
        <v>0</v>
      </c>
      <c r="H1043" s="691" t="str">
        <f>IF(G1043=0,"",IF(F1043="Buy",IF(G1043=1,"plant","plants"),IF(F1043&gt;0.01,"warranty","Error")))</f>
        <v/>
      </c>
      <c r="I1043" s="640">
        <f>IF(H1043="free",0,IF(H1043="credit",((E1043*(F1043))*G1043*-1),IF(F1043="Buy",(E1043*G1043),((E1043*(1-F1043))*G1043))))</f>
        <v>0</v>
      </c>
      <c r="J1043" s="640">
        <f>IF(H1043="warranty",0,(I1043*(_xlfn.SINGLE(SalesTaxPercentage))))</f>
        <v>0</v>
      </c>
      <c r="K1043" s="716">
        <f t="shared" ref="K1043" si="764">I1043+J1043</f>
        <v>0</v>
      </c>
      <c r="L1043" s="716"/>
      <c r="M1043" s="689" t="str">
        <f ca="1">IF(AND(G1043&gt;0,E1043=0),"WARNING - no PRICE inserted",IF(H1043="free","FREE ~ no charge this plant",IF(H1043="credit",CONCATENATE("-$",ROUND(K1043*(1-_xlfn.SINGLE(T2GDiscount))*-1,2)," CREDIT after discount"),IF(_xlfn.SINGLE(T2GDiscount)=0,"",IF(G1043=0,"",IF(F1043="Buy",CONCATENATE("$",ROUND(K1043*(1-_xlfn.SINGLE(T2GDiscount)),2)," with ",(_xlfn.SINGLE(T2GDiscount)*100),"% discount"),CONCATENATE("$",ROUND(K1043*(1-_xlfn.SINGLE(T2GDiscount)),2)," with ",((_xlfn.SINGLE(T2GDiscount)*100+F1043*100)-(_xlfn.SINGLE(T2GDiscount)*100*F1043)),IF(F1043&gt;0,"% discounts",IF(_xlfn.SINGLE(NoWarrantyDiscount)&gt;0,"% discounts","% discount")))))))))</f>
        <v/>
      </c>
      <c r="N1043" s="690"/>
      <c r="O1043" s="486"/>
      <c r="P1043" s="486"/>
      <c r="Q1043" s="486"/>
      <c r="R1043" s="486"/>
      <c r="S1043" s="486"/>
      <c r="T1043" s="102">
        <f t="shared" si="719"/>
        <v>0</v>
      </c>
      <c r="U1043" s="78">
        <f>IF(NOT(ISNUMBER(G1043)), "", VLOOKUP(A1043,'Discount Lookup'!D:E,2,FALSE)*G1043)</f>
        <v>0</v>
      </c>
      <c r="V1043" s="78">
        <f>IF(NOT(ISNUMBER(G1043)), "", VLOOKUP(A1043,'Discount Lookup'!G:H,2,FALSE)*G1043)</f>
        <v>0</v>
      </c>
      <c r="W1043" s="102">
        <f t="shared" si="720"/>
        <v>0</v>
      </c>
      <c r="X1043" s="102">
        <f t="shared" si="721"/>
        <v>0</v>
      </c>
      <c r="Y1043" s="120" t="b">
        <f t="shared" si="722"/>
        <v>0</v>
      </c>
      <c r="Z1043" s="117">
        <f t="shared" si="723"/>
        <v>0</v>
      </c>
      <c r="AA1043" s="118"/>
      <c r="AB1043" s="118" t="str">
        <f t="shared" si="724"/>
        <v/>
      </c>
      <c r="AC1043" s="712" t="str">
        <f>IF(AE1043="T2G","no charge",IF(AND(OR(PlanterYesMe="No",PlanterYesMe="N",PlanterYesMe="me"),H1043=""),"",IF(H1043="credit","NO install",IF(AND(K1043="",AE1043="me"),"EACH row",IF(AND(K1043="images",AE1043="me"),"EACH row",IF(D1043="","",IF(H1043="credit","",IF(AE1043="free","re-planting",IF(AE1043="me","   not ELP, by",IF(AND(OR(PlanterYesMe="Yes",PlanterYesMe="Y"),G1043&gt;0),(VLOOKUP(A1043,'Discount Lookup'!J:K,2)*G1043*(1-PlanterDiscount)*(1+PlanterDifficultyPercentage)),IF(AE1043="ELP",(VLOOKUP(A1043,'Discount Lookup'!J:K,2)*G1043*(1-PlanterDiscount)*(1+PlanterDifficultyPercentage)),IF(AE1043="free","re-planting",IF(G1043=0,"",IF(PlanterYesMe="",IF(AE1043="me","   not ELP, by",IF(AE1043="",IF(G1043&gt;0,(VLOOKUP(A1043,'Discount Lookup'!J:K,2)*G1043*(1-PlanterDiscount)*(1+PlanterDifficultyPercentage)),""),"")),"   not ELP, by"))))))))))))))</f>
        <v/>
      </c>
      <c r="AD1043" s="712"/>
      <c r="AE1043" s="513" t="str">
        <f t="shared" si="725"/>
        <v/>
      </c>
      <c r="AF1043" s="713" t="str">
        <f t="shared" si="726"/>
        <v/>
      </c>
      <c r="AG1043" s="713"/>
      <c r="AH1043" s="713"/>
      <c r="AI1043" s="112">
        <f>IF(H1043="credit",0,IF(AE1043="free",0,IF(AE1043="me",0,IF(G1043&gt;0,(VLOOKUP(A1043,'Discount Lookup'!J:K,2)*G1043),0))))</f>
        <v>0</v>
      </c>
      <c r="AJ1043" s="107" t="str">
        <f t="shared" ca="1" si="727"/>
        <v/>
      </c>
      <c r="AK1043" s="714" t="str">
        <f t="shared" si="728"/>
        <v/>
      </c>
      <c r="AL1043" s="714"/>
      <c r="AM1043" s="114" t="str">
        <f t="shared" si="729"/>
        <v/>
      </c>
      <c r="AN1043" s="115"/>
      <c r="AO1043" s="116"/>
      <c r="AP1043" s="116"/>
      <c r="AQ1043" s="116"/>
      <c r="AR1043" s="116"/>
      <c r="AS1043" s="116"/>
      <c r="AT1043" s="116"/>
      <c r="AU1043" s="116"/>
      <c r="AV1043" s="78"/>
      <c r="AW1043" s="102"/>
      <c r="AX1043" s="78"/>
      <c r="AY1043" s="78"/>
      <c r="AZ1043" s="78"/>
      <c r="BA1043" s="78"/>
      <c r="BB1043" s="78"/>
      <c r="BC1043" s="78"/>
      <c r="BD1043" s="78"/>
      <c r="BE1043" s="465"/>
      <c r="BF1043" s="165" t="str">
        <f t="shared" si="730"/>
        <v>https://www.google.com/search?tbm=isch&amp;q=10%20G4</v>
      </c>
      <c r="BG1043" s="165" t="str">
        <f t="shared" si="731"/>
        <v>C</v>
      </c>
      <c r="BH1043" s="65"/>
      <c r="BI1043" s="65"/>
      <c r="BJ1043" s="65"/>
      <c r="BK1043" s="65"/>
      <c r="BL1043" s="99"/>
      <c r="BM1043" s="99"/>
      <c r="BN1043" s="99"/>
    </row>
    <row r="1044" spans="1:66" s="51" customFormat="1" ht="17.25" thickBot="1" x14ac:dyDescent="0.3">
      <c r="A1044" s="641" t="s">
        <v>2081</v>
      </c>
      <c r="B1044" s="642"/>
      <c r="C1044" s="710"/>
      <c r="D1044" s="643"/>
      <c r="E1044" s="643"/>
      <c r="F1044" s="644"/>
      <c r="G1044" s="645"/>
      <c r="H1044" s="646"/>
      <c r="I1044" s="647"/>
      <c r="J1044" s="648"/>
      <c r="K1044" s="649"/>
      <c r="L1044" s="650"/>
      <c r="M1044" s="650"/>
      <c r="N1044" s="644"/>
      <c r="O1044" s="644"/>
      <c r="P1044" s="644"/>
      <c r="Q1044" s="644"/>
      <c r="R1044" s="644"/>
      <c r="S1044" s="701" t="s">
        <v>5273</v>
      </c>
      <c r="T1044" s="102">
        <f t="shared" ref="T1044:T1107" si="765">E1044*G1044</f>
        <v>0</v>
      </c>
      <c r="U1044" s="78" t="str">
        <f>IF(NOT(ISNUMBER(G1044)), "", VLOOKUP(A1044,'Discount Lookup'!D:E,2,FALSE)*G1044)</f>
        <v/>
      </c>
      <c r="V1044" s="78" t="str">
        <f>IF(NOT(ISNUMBER(G1044)), "", VLOOKUP(A1044,'Discount Lookup'!G:H,2,FALSE)*G1044)</f>
        <v/>
      </c>
      <c r="W1044" s="102">
        <f t="shared" ref="W1044:W1107" si="766">IF(H1044="credit",0,E1044*(SalesTaxPercentage)*G1044)</f>
        <v>0</v>
      </c>
      <c r="X1044" s="102">
        <f t="shared" ref="X1044:X1107" si="767">I1044</f>
        <v>0</v>
      </c>
      <c r="Y1044" s="120" t="b">
        <f t="shared" ref="Y1044:Y1107" si="768">IF(AE1044="T2G",0,IF(H1044="credit",0,IF(G1044&gt;0,IF(AE1044="me","",G1044))))</f>
        <v>0</v>
      </c>
      <c r="Z1044" s="117">
        <f t="shared" ref="Z1044:Z1107" si="769">IF(H1044="credit",G1044,0)</f>
        <v>0</v>
      </c>
      <c r="AA1044" s="118"/>
      <c r="AB1044" s="118" t="str">
        <f t="shared" ref="AB1044:AB1107" si="770">IF(AE1044="T2G","by Trees2Go",IF(H1044="credit","CREDIT only ~",IF(AND(K1044="",AE1044=OR(PlanterYesMe="No",PlanterYesMe="N",PlanterYesMe="me")),"not THIS line⇨",IF(AND(K1044="images",AE1044="me"),"not THIS line⇨",IF(H1044="credit","",IF(G1044=0,"",IF(AE1044="me","",IF(OR(PlanterYesMe="No",PlanterYesMe="N",PlanterYesMe="me"),"",IF(AE1044="free","warranty",IF(OR(PlanterYesMe="yes",PlanterYesMe="y"),"Edison install:","to install:"))))))))))</f>
        <v/>
      </c>
      <c r="AC1044" s="712" t="str">
        <f>IF(AE1044="T2G","no charge",IF(AND(OR(PlanterYesMe="No",PlanterYesMe="N",PlanterYesMe="me"),H1044=""),"",IF(H1044="credit","NO install",IF(AND(K1044="",AE1044="me"),"EACH row",IF(AND(K1044="images",AE1044="me"),"EACH row",IF(D1044="","",IF(H1044="credit","",IF(AE1044="free","re-planting",IF(AE1044="me","   not ELP, by",IF(AND(OR(PlanterYesMe="Yes",PlanterYesMe="Y"),G1044&gt;0),(VLOOKUP(A1044,'Discount Lookup'!J:K,2)*G1044*(1-PlanterDiscount)*(1+PlanterDifficultyPercentage)),IF(AE1044="ELP",(VLOOKUP(A1044,'Discount Lookup'!J:K,2)*G1044*(1-PlanterDiscount)*(1+PlanterDifficultyPercentage)),IF(AE1044="free","re-planting",IF(G1044=0,"",IF(PlanterYesMe="",IF(AE1044="me","   not ELP, by",IF(AE1044="",IF(G1044&gt;0,(VLOOKUP(A1044,'Discount Lookup'!J:K,2)*G1044*(1-PlanterDiscount)*(1+PlanterDifficultyPercentage)),""),"")),"   not ELP, by"))))))))))))))</f>
        <v/>
      </c>
      <c r="AD1044" s="712"/>
      <c r="AE1044" s="513" t="str">
        <f t="shared" ref="AE1044:AE1107" si="771">IF(H1044="credit","",IF(G1044=0,"",IF(OR(PlanterYesMe="No",PlanterYesMe="N",PlanterYesMe="me"),"me",IF(H1044="warranty","free",IF(OR(PlanterYesMe="yes",PlanterYesMe="y"),"ELP","")))))</f>
        <v/>
      </c>
      <c r="AF1044" s="713" t="str">
        <f t="shared" ref="AF1044:AF1107" si="772">IF(OR(PlanterYesMe="No",PlanterYesMe="N",PlanterYesMe="me"),"",IF(H1044="credit","",IF(G1044&gt;0,(CONCATENATE((G1044)," quantity, ",(A1044)," ",B1044)),"")))</f>
        <v/>
      </c>
      <c r="AG1044" s="713"/>
      <c r="AH1044" s="713"/>
      <c r="AI1044" s="112">
        <f>IF(H1044="credit",0,IF(AE1044="free",0,IF(AE1044="me",0,IF(G1044&gt;0,(VLOOKUP(A1044,'Discount Lookup'!J:K,2)*G1044),0))))</f>
        <v>0</v>
      </c>
      <c r="AJ1044" s="107" t="str">
        <f t="shared" ref="AJ1044:AJ1107" ca="1" si="773">IF(AND(ISREF(H1044),H1044="credit"),"",IF(AND(AND(OFFSET(G1044,0,0)=0,OFFSET(G1044,1,0)&gt;0,ISNUMBER(OFFSET(AC1044,1,0)),OFFSET(AC1044,1,0)&gt;0),OR(PlanterYesMe="yes",PlanterYesMe="y")),"T2G+ELP=",IF(AND(OFFSET(G1044,0,0)=0,OFFSET(G1044,1,0)&gt;0,ISNUMBER(OFFSET(AC1044,1,0)),OFFSET(AC1044,1,0)&gt;0),"if T2G+ELP=",IF(AND(OFFSET(G1044,0,0)=0,OFFSET(G1044,1,0)&gt;0),"T2G Subtotal",IF(H1044="credit","",IF(G1044=0,"",IF(AE1044="free",(K1044*(1-T2GDiscount)),IF(OR(PlanterYesMe="No",PlanterYesMe="N",PlanterYesMe="me"),(K1044*(1-T2GDiscount)),IF(OR(AE1044="me",AE1044="T2G"),(K1044*(1-T2GDiscount)),(K1044*(1-T2GDiscount))+AC1044)))))))))</f>
        <v/>
      </c>
      <c r="AK1044" s="714" t="str">
        <f t="shared" ref="AK1044:AK1107" si="774">IF(H1044="credit","",IF(G1044=0,"",IF(OR(AE1044="me",AE1044="T2G"),"  delivery-only",IF(OR(PlanterYesMe="No",PlanterYesMe="N",PlanterYesMe="me"),"  delivery-only",CONCATENATE(" $",ROUND(AJ1044/G1044,2)," each")))))</f>
        <v/>
      </c>
      <c r="AL1044" s="714"/>
      <c r="AM1044" s="114" t="str">
        <f t="shared" ref="AM1044:AM1107" si="775">IF(H1044="credit","",IF(AE1044="free","      ~ discounts included, no tax or planting fee applies ~",IF(G1044=0,"",IF(OR(PlanterYesMe="No",PlanterYesMe="N",PlanterYesMe="me"),CONCATENATE(" $",ROUND(AJ1044/G1044,2)," per plant, with tax &amp; discount"),IF(OR(AE1044="me",AE1044="T2G"),CONCATENATE(" $",ROUND(AJ1044/G1044,2)," per plant, with tax &amp; discount"),CONCATENATE("= $",ROUND((K1044*(1-T2GDiscount))/G1044,2)," per plant + $",AC1044/G1044,(" per planting      ~ includes tax &amp; discounts ~")))))))</f>
        <v/>
      </c>
      <c r="AN1044" s="115"/>
      <c r="AO1044" s="116"/>
      <c r="AP1044" s="116"/>
      <c r="AQ1044" s="116"/>
      <c r="AR1044" s="116"/>
      <c r="AS1044" s="116"/>
      <c r="AT1044" s="116"/>
      <c r="AU1044" s="116"/>
      <c r="AV1044" s="78"/>
      <c r="AW1044" s="102"/>
      <c r="AX1044" s="78"/>
      <c r="AY1044" s="78"/>
      <c r="AZ1044" s="78"/>
      <c r="BA1044" s="78"/>
      <c r="BB1044" s="78"/>
      <c r="BC1044" s="78"/>
      <c r="BD1044" s="78"/>
      <c r="BE1044" s="465"/>
      <c r="BF1044" s="165" t="str">
        <f t="shared" ref="BF1044:BF1107" si="776">"https://www.google.com/search?tbm=isch&amp;q=" &amp; _xlfn.ENCODEURL($A1044 &amp; " " &amp; $D1044)</f>
        <v>https://www.google.com/search?tbm=isch&amp;q=Midnight%20Express%20has%20a%20straighter%20trunk%20than%20most%20redbuds.%20Deep%20burgundy%20foliage%20lasts%20longer%20than%20%27Forest%20Pansy%27.%20</v>
      </c>
      <c r="BG1044" s="165" t="str">
        <f t="shared" ref="BG1044:BG1107" si="777">IF(ISTEXT(A1044),LEFT(A1044,1),BG1043)</f>
        <v>M</v>
      </c>
      <c r="BH1044" s="65"/>
      <c r="BI1044" s="65"/>
      <c r="BJ1044" s="65"/>
      <c r="BK1044" s="65"/>
      <c r="BL1044" s="99"/>
      <c r="BM1044" s="99"/>
      <c r="BN1044" s="99"/>
    </row>
    <row r="1045" spans="1:66" s="51" customFormat="1" ht="18" x14ac:dyDescent="0.25">
      <c r="A1045" s="623" t="s">
        <v>2082</v>
      </c>
      <c r="B1045" s="624"/>
      <c r="C1045" s="709"/>
      <c r="D1045" s="625" t="s">
        <v>2083</v>
      </c>
      <c r="E1045" s="626"/>
      <c r="F1045" s="626"/>
      <c r="G1045" s="626"/>
      <c r="H1045" s="622" t="s">
        <v>2084</v>
      </c>
      <c r="I1045" s="627" t="s">
        <v>2085</v>
      </c>
      <c r="J1045" s="628"/>
      <c r="K1045" s="628"/>
      <c r="L1045" s="629"/>
      <c r="M1045" s="700" t="s">
        <v>5249</v>
      </c>
      <c r="N1045" s="693" t="str">
        <f>IF(AND(ISTEXT($A1045), ISERROR($A1045+0)), HYPERLINK($BF1045, "Images"), "")</f>
        <v>Images</v>
      </c>
      <c r="O1045" s="695" t="s">
        <v>5264</v>
      </c>
      <c r="P1045" s="630"/>
      <c r="Q1045" s="631"/>
      <c r="R1045" s="632"/>
      <c r="S1045" s="633" t="s">
        <v>294</v>
      </c>
      <c r="T1045" s="102">
        <f t="shared" si="765"/>
        <v>0</v>
      </c>
      <c r="U1045" s="78" t="str">
        <f>IF(NOT(ISNUMBER(G1045)), "", VLOOKUP(A1045,'Discount Lookup'!D:E,2,FALSE)*G1045)</f>
        <v/>
      </c>
      <c r="V1045" s="78" t="str">
        <f>IF(NOT(ISNUMBER(G1045)), "", VLOOKUP(A1045,'Discount Lookup'!G:H,2,FALSE)*G1045)</f>
        <v/>
      </c>
      <c r="W1045" s="102">
        <f t="shared" si="766"/>
        <v>0</v>
      </c>
      <c r="X1045" s="102" t="str">
        <f t="shared" si="767"/>
        <v>Dark Rose bloom</v>
      </c>
      <c r="Y1045" s="120" t="b">
        <f t="shared" si="768"/>
        <v>0</v>
      </c>
      <c r="Z1045" s="117">
        <f t="shared" si="769"/>
        <v>0</v>
      </c>
      <c r="AA1045" s="118"/>
      <c r="AB1045" s="118" t="str">
        <f t="shared" si="770"/>
        <v/>
      </c>
      <c r="AC1045" s="712" t="str">
        <f>IF(AE1045="T2G","no charge",IF(AND(OR(PlanterYesMe="No",PlanterYesMe="N",PlanterYesMe="me"),H1045=""),"",IF(H1045="credit","NO install",IF(AND(K1045="",AE1045="me"),"EACH row",IF(AND(K1045="images",AE1045="me"),"EACH row",IF(D1045="","",IF(H1045="credit","",IF(AE1045="free","re-planting",IF(AE1045="me","   not ELP, by",IF(AND(OR(PlanterYesMe="Yes",PlanterYesMe="Y"),G1045&gt;0),(VLOOKUP(A1045,'Discount Lookup'!J:K,2)*G1045*(1-PlanterDiscount)*(1+PlanterDifficultyPercentage)),IF(AE1045="ELP",(VLOOKUP(A1045,'Discount Lookup'!J:K,2)*G1045*(1-PlanterDiscount)*(1+PlanterDifficultyPercentage)),IF(AE1045="free","re-planting",IF(G1045=0,"",IF(PlanterYesMe="",IF(AE1045="me","   not ELP, by",IF(AE1045="",IF(G1045&gt;0,(VLOOKUP(A1045,'Discount Lookup'!J:K,2)*G1045*(1-PlanterDiscount)*(1+PlanterDifficultyPercentage)),""),"")),"   not ELP, by"))))))))))))))</f>
        <v/>
      </c>
      <c r="AD1045" s="712"/>
      <c r="AE1045" s="513" t="str">
        <f t="shared" si="771"/>
        <v/>
      </c>
      <c r="AF1045" s="713" t="str">
        <f t="shared" si="772"/>
        <v/>
      </c>
      <c r="AG1045" s="713"/>
      <c r="AH1045" s="713"/>
      <c r="AI1045" s="112">
        <f>IF(H1045="credit",0,IF(AE1045="free",0,IF(AE1045="me",0,IF(G1045&gt;0,(VLOOKUP(A1045,'Discount Lookup'!J:K,2)*G1045),0))))</f>
        <v>0</v>
      </c>
      <c r="AJ1045" s="107" t="str">
        <f t="shared" ca="1" si="773"/>
        <v/>
      </c>
      <c r="AK1045" s="714" t="str">
        <f t="shared" si="774"/>
        <v/>
      </c>
      <c r="AL1045" s="714"/>
      <c r="AM1045" s="114" t="str">
        <f t="shared" si="775"/>
        <v/>
      </c>
      <c r="AN1045" s="115"/>
      <c r="AO1045" s="116"/>
      <c r="AP1045" s="116"/>
      <c r="AQ1045" s="116"/>
      <c r="AR1045" s="116"/>
      <c r="AS1045" s="116"/>
      <c r="AT1045" s="116"/>
      <c r="AU1045" s="116"/>
      <c r="AV1045" s="78"/>
      <c r="AW1045" s="102"/>
      <c r="AX1045" s="78"/>
      <c r="AY1045" s="78"/>
      <c r="AZ1045" s="78"/>
      <c r="BA1045" s="78"/>
      <c r="BB1045" s="78"/>
      <c r="BC1045" s="78"/>
      <c r="BD1045" s="78"/>
      <c r="BE1045" s="465"/>
      <c r="BF1045" s="165" t="str">
        <f t="shared" si="776"/>
        <v>https://www.google.com/search?tbm=isch&amp;q=Cercis%20canadensis%20%27Ruby%20Falls%27%20PP%2322097%20Ruby%20Falls%20Weeping%20Redbud</v>
      </c>
      <c r="BG1045" s="165" t="str">
        <f t="shared" si="777"/>
        <v>C</v>
      </c>
      <c r="BH1045" s="65"/>
      <c r="BI1045" s="65"/>
      <c r="BJ1045" s="65"/>
      <c r="BK1045" s="65"/>
      <c r="BL1045" s="99"/>
      <c r="BM1045" s="99"/>
      <c r="BN1045" s="99"/>
    </row>
    <row r="1046" spans="1:66" s="51" customFormat="1" ht="15.75" x14ac:dyDescent="0.25">
      <c r="A1046" s="634">
        <v>7</v>
      </c>
      <c r="B1046" s="635" t="s">
        <v>291</v>
      </c>
      <c r="C1046" s="636" t="s">
        <v>1253</v>
      </c>
      <c r="D1046" s="637" t="s">
        <v>329</v>
      </c>
      <c r="E1046" s="638">
        <v>126.95</v>
      </c>
      <c r="F1046" s="639" t="s">
        <v>292</v>
      </c>
      <c r="G1046" s="484">
        <v>0</v>
      </c>
      <c r="H1046" s="691" t="str">
        <f>IF(G1046=0,"",IF(F1046="Buy",IF(G1046=1,"plant","plants"),IF(F1046&gt;0.01,"warranty","Error")))</f>
        <v/>
      </c>
      <c r="I1046" s="640">
        <f>IF(H1046="free",0,IF(H1046="credit",((E1046*(F1046))*G1046*-1),IF(F1046="Buy",(E1046*G1046),((E1046*(1-F1046))*G1046))))</f>
        <v>0</v>
      </c>
      <c r="J1046" s="640">
        <f>IF(H1046="warranty",0,(I1046*(_xlfn.SINGLE(SalesTaxPercentage))))</f>
        <v>0</v>
      </c>
      <c r="K1046" s="716">
        <f t="shared" ref="K1046" si="778">I1046+J1046</f>
        <v>0</v>
      </c>
      <c r="L1046" s="716"/>
      <c r="M1046" s="689" t="str">
        <f ca="1">IF(AND(G1046&gt;0,E1046=0),"WARNING - no PRICE inserted",IF(H1046="free","FREE ~ no charge this plant",IF(H1046="credit",CONCATENATE("-$",ROUND(K1046*(1-_xlfn.SINGLE(T2GDiscount))*-1,2)," CREDIT after discount"),IF(_xlfn.SINGLE(T2GDiscount)=0,"",IF(G1046=0,"",IF(F1046="Buy",CONCATENATE("$",ROUND(K1046*(1-_xlfn.SINGLE(T2GDiscount)),2)," with ",(_xlfn.SINGLE(T2GDiscount)*100),"% discount"),CONCATENATE("$",ROUND(K1046*(1-_xlfn.SINGLE(T2GDiscount)),2)," with ",((_xlfn.SINGLE(T2GDiscount)*100+F1046*100)-(_xlfn.SINGLE(T2GDiscount)*100*F1046)),IF(F1046&gt;0,"% discounts",IF(_xlfn.SINGLE(NoWarrantyDiscount)&gt;0,"% discounts","% discount")))))))))</f>
        <v/>
      </c>
      <c r="N1046" s="690"/>
      <c r="O1046" s="486"/>
      <c r="P1046" s="486"/>
      <c r="Q1046" s="486"/>
      <c r="R1046" s="486"/>
      <c r="S1046" s="486"/>
      <c r="T1046" s="102">
        <f t="shared" si="765"/>
        <v>0</v>
      </c>
      <c r="U1046" s="78">
        <f>IF(NOT(ISNUMBER(G1046)), "", VLOOKUP(A1046,'Discount Lookup'!D:E,2,FALSE)*G1046)</f>
        <v>0</v>
      </c>
      <c r="V1046" s="78">
        <f>IF(NOT(ISNUMBER(G1046)), "", VLOOKUP(A1046,'Discount Lookup'!G:H,2,FALSE)*G1046)</f>
        <v>0</v>
      </c>
      <c r="W1046" s="102">
        <f t="shared" si="766"/>
        <v>0</v>
      </c>
      <c r="X1046" s="102">
        <f t="shared" si="767"/>
        <v>0</v>
      </c>
      <c r="Y1046" s="120" t="b">
        <f t="shared" si="768"/>
        <v>0</v>
      </c>
      <c r="Z1046" s="117">
        <f t="shared" si="769"/>
        <v>0</v>
      </c>
      <c r="AA1046" s="118"/>
      <c r="AB1046" s="118" t="str">
        <f t="shared" si="770"/>
        <v/>
      </c>
      <c r="AC1046" s="712" t="str">
        <f>IF(AE1046="T2G","no charge",IF(AND(OR(PlanterYesMe="No",PlanterYesMe="N",PlanterYesMe="me"),H1046=""),"",IF(H1046="credit","NO install",IF(AND(K1046="",AE1046="me"),"EACH row",IF(AND(K1046="images",AE1046="me"),"EACH row",IF(D1046="","",IF(H1046="credit","",IF(AE1046="free","re-planting",IF(AE1046="me","   not ELP, by",IF(AND(OR(PlanterYesMe="Yes",PlanterYesMe="Y"),G1046&gt;0),(VLOOKUP(A1046,'Discount Lookup'!J:K,2)*G1046*(1-PlanterDiscount)*(1+PlanterDifficultyPercentage)),IF(AE1046="ELP",(VLOOKUP(A1046,'Discount Lookup'!J:K,2)*G1046*(1-PlanterDiscount)*(1+PlanterDifficultyPercentage)),IF(AE1046="free","re-planting",IF(G1046=0,"",IF(PlanterYesMe="",IF(AE1046="me","   not ELP, by",IF(AE1046="",IF(G1046&gt;0,(VLOOKUP(A1046,'Discount Lookup'!J:K,2)*G1046*(1-PlanterDiscount)*(1+PlanterDifficultyPercentage)),""),"")),"   not ELP, by"))))))))))))))</f>
        <v/>
      </c>
      <c r="AD1046" s="712"/>
      <c r="AE1046" s="513" t="str">
        <f t="shared" si="771"/>
        <v/>
      </c>
      <c r="AF1046" s="713" t="str">
        <f t="shared" si="772"/>
        <v/>
      </c>
      <c r="AG1046" s="713"/>
      <c r="AH1046" s="713"/>
      <c r="AI1046" s="112">
        <f>IF(H1046="credit",0,IF(AE1046="free",0,IF(AE1046="me",0,IF(G1046&gt;0,(VLOOKUP(A1046,'Discount Lookup'!J:K,2)*G1046),0))))</f>
        <v>0</v>
      </c>
      <c r="AJ1046" s="107" t="str">
        <f t="shared" ca="1" si="773"/>
        <v/>
      </c>
      <c r="AK1046" s="714" t="str">
        <f t="shared" si="774"/>
        <v/>
      </c>
      <c r="AL1046" s="714"/>
      <c r="AM1046" s="114" t="str">
        <f t="shared" si="775"/>
        <v/>
      </c>
      <c r="AN1046" s="115"/>
      <c r="AO1046" s="116"/>
      <c r="AP1046" s="116"/>
      <c r="AQ1046" s="116"/>
      <c r="AR1046" s="116"/>
      <c r="AS1046" s="116"/>
      <c r="AT1046" s="116"/>
      <c r="AU1046" s="116"/>
      <c r="AV1046" s="78"/>
      <c r="AW1046" s="102"/>
      <c r="AX1046" s="78"/>
      <c r="AY1046" s="78"/>
      <c r="AZ1046" s="78"/>
      <c r="BA1046" s="78"/>
      <c r="BB1046" s="78"/>
      <c r="BC1046" s="78"/>
      <c r="BD1046" s="78"/>
      <c r="BE1046" s="465"/>
      <c r="BF1046" s="165" t="str">
        <f t="shared" si="776"/>
        <v>https://www.google.com/search?tbm=isch&amp;q=7%20G2</v>
      </c>
      <c r="BG1046" s="165" t="str">
        <f t="shared" si="777"/>
        <v>C</v>
      </c>
      <c r="BH1046" s="65"/>
      <c r="BI1046" s="65"/>
      <c r="BJ1046" s="65"/>
      <c r="BK1046" s="65"/>
      <c r="BL1046" s="99"/>
      <c r="BM1046" s="99"/>
      <c r="BN1046" s="99"/>
    </row>
    <row r="1047" spans="1:66" s="51" customFormat="1" ht="15.75" x14ac:dyDescent="0.25">
      <c r="A1047" s="634">
        <v>10</v>
      </c>
      <c r="B1047" s="635" t="s">
        <v>291</v>
      </c>
      <c r="C1047" s="636" t="s">
        <v>2092</v>
      </c>
      <c r="D1047" s="637" t="s">
        <v>299</v>
      </c>
      <c r="E1047" s="638">
        <v>164.95</v>
      </c>
      <c r="F1047" s="639" t="s">
        <v>292</v>
      </c>
      <c r="G1047" s="484">
        <v>0</v>
      </c>
      <c r="H1047" s="691" t="str">
        <f>IF(G1047=0,"",IF(F1047="Buy",IF(G1047=1,"plant","plants"),IF(F1047&gt;0.01,"warranty","Error")))</f>
        <v/>
      </c>
      <c r="I1047" s="640">
        <f>IF(H1047="free",0,IF(H1047="credit",((E1047*(F1047))*G1047*-1),IF(F1047="Buy",(E1047*G1047),((E1047*(1-F1047))*G1047))))</f>
        <v>0</v>
      </c>
      <c r="J1047" s="640">
        <f>IF(H1047="warranty",0,(I1047*(_xlfn.SINGLE(SalesTaxPercentage))))</f>
        <v>0</v>
      </c>
      <c r="K1047" s="716">
        <f t="shared" ref="K1047" si="779">I1047+J1047</f>
        <v>0</v>
      </c>
      <c r="L1047" s="716"/>
      <c r="M1047" s="689" t="str">
        <f ca="1">IF(AND(G1047&gt;0,E1047=0),"WARNING - no PRICE inserted",IF(H1047="free","FREE ~ no charge this plant",IF(H1047="credit",CONCATENATE("-$",ROUND(K1047*(1-_xlfn.SINGLE(T2GDiscount))*-1,2)," CREDIT after discount"),IF(_xlfn.SINGLE(T2GDiscount)=0,"",IF(G1047=0,"",IF(F1047="Buy",CONCATENATE("$",ROUND(K1047*(1-_xlfn.SINGLE(T2GDiscount)),2)," with ",(_xlfn.SINGLE(T2GDiscount)*100),"% discount"),CONCATENATE("$",ROUND(K1047*(1-_xlfn.SINGLE(T2GDiscount)),2)," with ",((_xlfn.SINGLE(T2GDiscount)*100+F1047*100)-(_xlfn.SINGLE(T2GDiscount)*100*F1047)),IF(F1047&gt;0,"% discounts",IF(_xlfn.SINGLE(NoWarrantyDiscount)&gt;0,"% discounts","% discount")))))))))</f>
        <v/>
      </c>
      <c r="N1047" s="690"/>
      <c r="O1047" s="486"/>
      <c r="P1047" s="486"/>
      <c r="Q1047" s="486"/>
      <c r="R1047" s="486"/>
      <c r="S1047" s="486"/>
      <c r="T1047" s="102">
        <f t="shared" si="765"/>
        <v>0</v>
      </c>
      <c r="U1047" s="78">
        <f>IF(NOT(ISNUMBER(G1047)), "", VLOOKUP(A1047,'Discount Lookup'!D:E,2,FALSE)*G1047)</f>
        <v>0</v>
      </c>
      <c r="V1047" s="78">
        <f>IF(NOT(ISNUMBER(G1047)), "", VLOOKUP(A1047,'Discount Lookup'!G:H,2,FALSE)*G1047)</f>
        <v>0</v>
      </c>
      <c r="W1047" s="102">
        <f t="shared" si="766"/>
        <v>0</v>
      </c>
      <c r="X1047" s="102">
        <f t="shared" si="767"/>
        <v>0</v>
      </c>
      <c r="Y1047" s="120" t="b">
        <f t="shared" si="768"/>
        <v>0</v>
      </c>
      <c r="Z1047" s="117">
        <f t="shared" si="769"/>
        <v>0</v>
      </c>
      <c r="AA1047" s="118"/>
      <c r="AB1047" s="118" t="str">
        <f t="shared" si="770"/>
        <v/>
      </c>
      <c r="AC1047" s="712" t="str">
        <f>IF(AE1047="T2G","no charge",IF(AND(OR(PlanterYesMe="No",PlanterYesMe="N",PlanterYesMe="me"),H1047=""),"",IF(H1047="credit","NO install",IF(AND(K1047="",AE1047="me"),"EACH row",IF(AND(K1047="images",AE1047="me"),"EACH row",IF(D1047="","",IF(H1047="credit","",IF(AE1047="free","re-planting",IF(AE1047="me","   not ELP, by",IF(AND(OR(PlanterYesMe="Yes",PlanterYesMe="Y"),G1047&gt;0),(VLOOKUP(A1047,'Discount Lookup'!J:K,2)*G1047*(1-PlanterDiscount)*(1+PlanterDifficultyPercentage)),IF(AE1047="ELP",(VLOOKUP(A1047,'Discount Lookup'!J:K,2)*G1047*(1-PlanterDiscount)*(1+PlanterDifficultyPercentage)),IF(AE1047="free","re-planting",IF(G1047=0,"",IF(PlanterYesMe="",IF(AE1047="me","   not ELP, by",IF(AE1047="",IF(G1047&gt;0,(VLOOKUP(A1047,'Discount Lookup'!J:K,2)*G1047*(1-PlanterDiscount)*(1+PlanterDifficultyPercentage)),""),"")),"   not ELP, by"))))))))))))))</f>
        <v/>
      </c>
      <c r="AD1047" s="712"/>
      <c r="AE1047" s="513" t="str">
        <f t="shared" si="771"/>
        <v/>
      </c>
      <c r="AF1047" s="713" t="str">
        <f t="shared" si="772"/>
        <v/>
      </c>
      <c r="AG1047" s="713"/>
      <c r="AH1047" s="713"/>
      <c r="AI1047" s="112">
        <f>IF(H1047="credit",0,IF(AE1047="free",0,IF(AE1047="me",0,IF(G1047&gt;0,(VLOOKUP(A1047,'Discount Lookup'!J:K,2)*G1047),0))))</f>
        <v>0</v>
      </c>
      <c r="AJ1047" s="107" t="str">
        <f t="shared" ca="1" si="773"/>
        <v/>
      </c>
      <c r="AK1047" s="714" t="str">
        <f t="shared" si="774"/>
        <v/>
      </c>
      <c r="AL1047" s="714"/>
      <c r="AM1047" s="114" t="str">
        <f t="shared" si="775"/>
        <v/>
      </c>
      <c r="AN1047" s="115"/>
      <c r="AO1047" s="116"/>
      <c r="AP1047" s="116"/>
      <c r="AQ1047" s="116"/>
      <c r="AR1047" s="116"/>
      <c r="AS1047" s="116"/>
      <c r="AT1047" s="116"/>
      <c r="AU1047" s="116"/>
      <c r="AV1047" s="78"/>
      <c r="AW1047" s="102"/>
      <c r="AX1047" s="78"/>
      <c r="AY1047" s="78"/>
      <c r="AZ1047" s="78"/>
      <c r="BA1047" s="78"/>
      <c r="BB1047" s="78"/>
      <c r="BC1047" s="78"/>
      <c r="BD1047" s="78"/>
      <c r="BE1047" s="465"/>
      <c r="BF1047" s="165" t="str">
        <f t="shared" si="776"/>
        <v>https://www.google.com/search?tbm=isch&amp;q=10%20G4</v>
      </c>
      <c r="BG1047" s="165" t="str">
        <f t="shared" si="777"/>
        <v>C</v>
      </c>
      <c r="BH1047" s="65"/>
      <c r="BI1047" s="65"/>
      <c r="BJ1047" s="65"/>
      <c r="BK1047" s="65"/>
      <c r="BL1047" s="99"/>
      <c r="BM1047" s="99"/>
      <c r="BN1047" s="99"/>
    </row>
    <row r="1048" spans="1:66" s="51" customFormat="1" ht="15.75" x14ac:dyDescent="0.25">
      <c r="A1048" s="634">
        <v>15</v>
      </c>
      <c r="B1048" s="635" t="s">
        <v>291</v>
      </c>
      <c r="C1048" s="636" t="s">
        <v>4703</v>
      </c>
      <c r="D1048" s="637" t="s">
        <v>299</v>
      </c>
      <c r="E1048" s="638">
        <v>201.95</v>
      </c>
      <c r="F1048" s="639" t="s">
        <v>292</v>
      </c>
      <c r="G1048" s="484">
        <v>0</v>
      </c>
      <c r="H1048" s="691" t="str">
        <f>IF(G1048=0,"",IF(F1048="Buy",IF(G1048=1,"plant","plants"),IF(F1048&gt;0.01,"warranty","Error")))</f>
        <v/>
      </c>
      <c r="I1048" s="640">
        <f>IF(H1048="free",0,IF(H1048="credit",((E1048*(F1048))*G1048*-1),IF(F1048="Buy",(E1048*G1048),((E1048*(1-F1048))*G1048))))</f>
        <v>0</v>
      </c>
      <c r="J1048" s="640">
        <f>IF(H1048="warranty",0,(I1048*(_xlfn.SINGLE(SalesTaxPercentage))))</f>
        <v>0</v>
      </c>
      <c r="K1048" s="716">
        <f t="shared" ref="K1048" si="780">I1048+J1048</f>
        <v>0</v>
      </c>
      <c r="L1048" s="716"/>
      <c r="M1048" s="689" t="str">
        <f ca="1">IF(AND(G1048&gt;0,E1048=0),"WARNING - no PRICE inserted",IF(H1048="free","FREE ~ no charge this plant",IF(H1048="credit",CONCATENATE("-$",ROUND(K1048*(1-_xlfn.SINGLE(T2GDiscount))*-1,2)," CREDIT after discount"),IF(_xlfn.SINGLE(T2GDiscount)=0,"",IF(G1048=0,"",IF(F1048="Buy",CONCATENATE("$",ROUND(K1048*(1-_xlfn.SINGLE(T2GDiscount)),2)," with ",(_xlfn.SINGLE(T2GDiscount)*100),"% discount"),CONCATENATE("$",ROUND(K1048*(1-_xlfn.SINGLE(T2GDiscount)),2)," with ",((_xlfn.SINGLE(T2GDiscount)*100+F1048*100)-(_xlfn.SINGLE(T2GDiscount)*100*F1048)),IF(F1048&gt;0,"% discounts",IF(_xlfn.SINGLE(NoWarrantyDiscount)&gt;0,"% discounts","% discount")))))))))</f>
        <v/>
      </c>
      <c r="N1048" s="690"/>
      <c r="O1048" s="486"/>
      <c r="P1048" s="486"/>
      <c r="Q1048" s="486"/>
      <c r="R1048" s="486"/>
      <c r="S1048" s="486"/>
      <c r="T1048" s="102">
        <f t="shared" si="765"/>
        <v>0</v>
      </c>
      <c r="U1048" s="78">
        <f>IF(NOT(ISNUMBER(G1048)), "", VLOOKUP(A1048,'Discount Lookup'!D:E,2,FALSE)*G1048)</f>
        <v>0</v>
      </c>
      <c r="V1048" s="78">
        <f>IF(NOT(ISNUMBER(G1048)), "", VLOOKUP(A1048,'Discount Lookup'!G:H,2,FALSE)*G1048)</f>
        <v>0</v>
      </c>
      <c r="W1048" s="102">
        <f t="shared" si="766"/>
        <v>0</v>
      </c>
      <c r="X1048" s="102">
        <f t="shared" si="767"/>
        <v>0</v>
      </c>
      <c r="Y1048" s="120" t="b">
        <f t="shared" si="768"/>
        <v>0</v>
      </c>
      <c r="Z1048" s="117">
        <f t="shared" si="769"/>
        <v>0</v>
      </c>
      <c r="AA1048" s="118"/>
      <c r="AB1048" s="118" t="str">
        <f t="shared" si="770"/>
        <v/>
      </c>
      <c r="AC1048" s="712" t="str">
        <f>IF(AE1048="T2G","no charge",IF(AND(OR(PlanterYesMe="No",PlanterYesMe="N",PlanterYesMe="me"),H1048=""),"",IF(H1048="credit","NO install",IF(AND(K1048="",AE1048="me"),"EACH row",IF(AND(K1048="images",AE1048="me"),"EACH row",IF(D1048="","",IF(H1048="credit","",IF(AE1048="free","re-planting",IF(AE1048="me","   not ELP, by",IF(AND(OR(PlanterYesMe="Yes",PlanterYesMe="Y"),G1048&gt;0),(VLOOKUP(A1048,'Discount Lookup'!J:K,2)*G1048*(1-PlanterDiscount)*(1+PlanterDifficultyPercentage)),IF(AE1048="ELP",(VLOOKUP(A1048,'Discount Lookup'!J:K,2)*G1048*(1-PlanterDiscount)*(1+PlanterDifficultyPercentage)),IF(AE1048="free","re-planting",IF(G1048=0,"",IF(PlanterYesMe="",IF(AE1048="me","   not ELP, by",IF(AE1048="",IF(G1048&gt;0,(VLOOKUP(A1048,'Discount Lookup'!J:K,2)*G1048*(1-PlanterDiscount)*(1+PlanterDifficultyPercentage)),""),"")),"   not ELP, by"))))))))))))))</f>
        <v/>
      </c>
      <c r="AD1048" s="712"/>
      <c r="AE1048" s="513" t="str">
        <f t="shared" si="771"/>
        <v/>
      </c>
      <c r="AF1048" s="713" t="str">
        <f t="shared" si="772"/>
        <v/>
      </c>
      <c r="AG1048" s="713"/>
      <c r="AH1048" s="713"/>
      <c r="AI1048" s="112">
        <f>IF(H1048="credit",0,IF(AE1048="free",0,IF(AE1048="me",0,IF(G1048&gt;0,(VLOOKUP(A1048,'Discount Lookup'!J:K,2)*G1048),0))))</f>
        <v>0</v>
      </c>
      <c r="AJ1048" s="107" t="str">
        <f t="shared" ca="1" si="773"/>
        <v/>
      </c>
      <c r="AK1048" s="714" t="str">
        <f t="shared" si="774"/>
        <v/>
      </c>
      <c r="AL1048" s="714"/>
      <c r="AM1048" s="114" t="str">
        <f t="shared" si="775"/>
        <v/>
      </c>
      <c r="AN1048" s="115"/>
      <c r="AO1048" s="116"/>
      <c r="AP1048" s="116"/>
      <c r="AQ1048" s="116"/>
      <c r="AR1048" s="116"/>
      <c r="AS1048" s="116"/>
      <c r="AT1048" s="116"/>
      <c r="AU1048" s="116"/>
      <c r="AV1048" s="78"/>
      <c r="AW1048" s="102"/>
      <c r="AX1048" s="78"/>
      <c r="AY1048" s="78"/>
      <c r="AZ1048" s="78"/>
      <c r="BA1048" s="78"/>
      <c r="BB1048" s="78"/>
      <c r="BC1048" s="78"/>
      <c r="BD1048" s="78"/>
      <c r="BE1048" s="465"/>
      <c r="BF1048" s="165" t="str">
        <f t="shared" si="776"/>
        <v>https://www.google.com/search?tbm=isch&amp;q=15%20G4</v>
      </c>
      <c r="BG1048" s="165" t="str">
        <f t="shared" si="777"/>
        <v>C</v>
      </c>
      <c r="BH1048" s="65"/>
      <c r="BI1048" s="65"/>
      <c r="BJ1048" s="65"/>
      <c r="BK1048" s="65"/>
      <c r="BL1048" s="99"/>
      <c r="BM1048" s="99"/>
      <c r="BN1048" s="99"/>
    </row>
    <row r="1049" spans="1:66" s="51" customFormat="1" ht="17.25" thickBot="1" x14ac:dyDescent="0.3">
      <c r="A1049" s="641" t="s">
        <v>2086</v>
      </c>
      <c r="B1049" s="642"/>
      <c r="C1049" s="710"/>
      <c r="D1049" s="643"/>
      <c r="E1049" s="643"/>
      <c r="F1049" s="644"/>
      <c r="G1049" s="645"/>
      <c r="H1049" s="646"/>
      <c r="I1049" s="647"/>
      <c r="J1049" s="648"/>
      <c r="K1049" s="649"/>
      <c r="L1049" s="650"/>
      <c r="M1049" s="650"/>
      <c r="N1049" s="644"/>
      <c r="O1049" s="644"/>
      <c r="P1049" s="644"/>
      <c r="Q1049" s="644"/>
      <c r="R1049" s="644"/>
      <c r="S1049" s="701" t="s">
        <v>5262</v>
      </c>
      <c r="T1049" s="102">
        <f t="shared" si="765"/>
        <v>0</v>
      </c>
      <c r="U1049" s="78" t="str">
        <f>IF(NOT(ISNUMBER(G1049)), "", VLOOKUP(A1049,'Discount Lookup'!D:E,2,FALSE)*G1049)</f>
        <v/>
      </c>
      <c r="V1049" s="78" t="str">
        <f>IF(NOT(ISNUMBER(G1049)), "", VLOOKUP(A1049,'Discount Lookup'!G:H,2,FALSE)*G1049)</f>
        <v/>
      </c>
      <c r="W1049" s="102">
        <f t="shared" si="766"/>
        <v>0</v>
      </c>
      <c r="X1049" s="102">
        <f t="shared" si="767"/>
        <v>0</v>
      </c>
      <c r="Y1049" s="120" t="b">
        <f t="shared" si="768"/>
        <v>0</v>
      </c>
      <c r="Z1049" s="117">
        <f t="shared" si="769"/>
        <v>0</v>
      </c>
      <c r="AA1049" s="118"/>
      <c r="AB1049" s="118" t="str">
        <f t="shared" si="770"/>
        <v/>
      </c>
      <c r="AC1049" s="712" t="str">
        <f>IF(AE1049="T2G","no charge",IF(AND(OR(PlanterYesMe="No",PlanterYesMe="N",PlanterYesMe="me"),H1049=""),"",IF(H1049="credit","NO install",IF(AND(K1049="",AE1049="me"),"EACH row",IF(AND(K1049="images",AE1049="me"),"EACH row",IF(D1049="","",IF(H1049="credit","",IF(AE1049="free","re-planting",IF(AE1049="me","   not ELP, by",IF(AND(OR(PlanterYesMe="Yes",PlanterYesMe="Y"),G1049&gt;0),(VLOOKUP(A1049,'Discount Lookup'!J:K,2)*G1049*(1-PlanterDiscount)*(1+PlanterDifficultyPercentage)),IF(AE1049="ELP",(VLOOKUP(A1049,'Discount Lookup'!J:K,2)*G1049*(1-PlanterDiscount)*(1+PlanterDifficultyPercentage)),IF(AE1049="free","re-planting",IF(G1049=0,"",IF(PlanterYesMe="",IF(AE1049="me","   not ELP, by",IF(AE1049="",IF(G1049&gt;0,(VLOOKUP(A1049,'Discount Lookup'!J:K,2)*G1049*(1-PlanterDiscount)*(1+PlanterDifficultyPercentage)),""),"")),"   not ELP, by"))))))))))))))</f>
        <v/>
      </c>
      <c r="AD1049" s="712"/>
      <c r="AE1049" s="513" t="str">
        <f t="shared" si="771"/>
        <v/>
      </c>
      <c r="AF1049" s="713" t="str">
        <f t="shared" si="772"/>
        <v/>
      </c>
      <c r="AG1049" s="713"/>
      <c r="AH1049" s="713"/>
      <c r="AI1049" s="112">
        <f>IF(H1049="credit",0,IF(AE1049="free",0,IF(AE1049="me",0,IF(G1049&gt;0,(VLOOKUP(A1049,'Discount Lookup'!J:K,2)*G1049),0))))</f>
        <v>0</v>
      </c>
      <c r="AJ1049" s="107" t="str">
        <f t="shared" ca="1" si="773"/>
        <v/>
      </c>
      <c r="AK1049" s="714" t="str">
        <f t="shared" si="774"/>
        <v/>
      </c>
      <c r="AL1049" s="714"/>
      <c r="AM1049" s="114" t="str">
        <f t="shared" si="775"/>
        <v/>
      </c>
      <c r="AN1049" s="115"/>
      <c r="AO1049" s="116"/>
      <c r="AP1049" s="116"/>
      <c r="AQ1049" s="116"/>
      <c r="AR1049" s="116"/>
      <c r="AS1049" s="116"/>
      <c r="AT1049" s="116"/>
      <c r="AU1049" s="116"/>
      <c r="AV1049" s="78"/>
      <c r="AW1049" s="102"/>
      <c r="AX1049" s="78"/>
      <c r="AY1049" s="78"/>
      <c r="AZ1049" s="78"/>
      <c r="BA1049" s="78"/>
      <c r="BB1049" s="78"/>
      <c r="BC1049" s="78"/>
      <c r="BD1049" s="78"/>
      <c r="BE1049" s="465"/>
      <c r="BF1049" s="165" t="str">
        <f t="shared" si="776"/>
        <v>https://www.google.com/search?tbm=isch&amp;q=Ruby%20Falls%20heart-shaped%20foliage%20starts%20maroon%2C%20then%20burgundy%2C%20then%20matures%20to%20green%20in%20late%20summer%20</v>
      </c>
      <c r="BG1049" s="165" t="str">
        <f t="shared" si="777"/>
        <v>R</v>
      </c>
      <c r="BH1049" s="65"/>
      <c r="BI1049" s="65"/>
      <c r="BJ1049" s="65"/>
      <c r="BK1049" s="65"/>
      <c r="BL1049" s="99"/>
      <c r="BM1049" s="99"/>
      <c r="BN1049" s="99"/>
    </row>
    <row r="1050" spans="1:66" s="51" customFormat="1" ht="18" x14ac:dyDescent="0.25">
      <c r="A1050" s="623" t="s">
        <v>2087</v>
      </c>
      <c r="B1050" s="624"/>
      <c r="C1050" s="709"/>
      <c r="D1050" s="625" t="s">
        <v>5634</v>
      </c>
      <c r="E1050" s="626"/>
      <c r="F1050" s="626"/>
      <c r="G1050" s="626"/>
      <c r="H1050" s="622" t="s">
        <v>1454</v>
      </c>
      <c r="I1050" s="627" t="s">
        <v>2049</v>
      </c>
      <c r="J1050" s="628"/>
      <c r="K1050" s="628"/>
      <c r="L1050" s="629"/>
      <c r="M1050" s="700" t="s">
        <v>5249</v>
      </c>
      <c r="N1050" s="693" t="str">
        <f>IF(AND(ISTEXT($A1050), ISERROR($A1050+0)), HYPERLINK($BF1050, "Images"), "")</f>
        <v>Images</v>
      </c>
      <c r="O1050" s="695" t="s">
        <v>5247</v>
      </c>
      <c r="P1050" s="630"/>
      <c r="Q1050" s="631"/>
      <c r="R1050" s="632"/>
      <c r="S1050" s="633" t="s">
        <v>294</v>
      </c>
      <c r="T1050" s="102">
        <f t="shared" si="765"/>
        <v>0</v>
      </c>
      <c r="U1050" s="78" t="str">
        <f>IF(NOT(ISNUMBER(G1050)), "", VLOOKUP(A1050,'Discount Lookup'!D:E,2,FALSE)*G1050)</f>
        <v/>
      </c>
      <c r="V1050" s="78" t="str">
        <f>IF(NOT(ISNUMBER(G1050)), "", VLOOKUP(A1050,'Discount Lookup'!G:H,2,FALSE)*G1050)</f>
        <v/>
      </c>
      <c r="W1050" s="102">
        <f t="shared" si="766"/>
        <v>0</v>
      </c>
      <c r="X1050" s="102" t="str">
        <f t="shared" si="767"/>
        <v>Pink-Purple bloom</v>
      </c>
      <c r="Y1050" s="120" t="b">
        <f t="shared" si="768"/>
        <v>0</v>
      </c>
      <c r="Z1050" s="117">
        <f t="shared" si="769"/>
        <v>0</v>
      </c>
      <c r="AA1050" s="118"/>
      <c r="AB1050" s="118" t="str">
        <f t="shared" si="770"/>
        <v/>
      </c>
      <c r="AC1050" s="712" t="str">
        <f>IF(AE1050="T2G","no charge",IF(AND(OR(PlanterYesMe="No",PlanterYesMe="N",PlanterYesMe="me"),H1050=""),"",IF(H1050="credit","NO install",IF(AND(K1050="",AE1050="me"),"EACH row",IF(AND(K1050="images",AE1050="me"),"EACH row",IF(D1050="","",IF(H1050="credit","",IF(AE1050="free","re-planting",IF(AE1050="me","   not ELP, by",IF(AND(OR(PlanterYesMe="Yes",PlanterYesMe="Y"),G1050&gt;0),(VLOOKUP(A1050,'Discount Lookup'!J:K,2)*G1050*(1-PlanterDiscount)*(1+PlanterDifficultyPercentage)),IF(AE1050="ELP",(VLOOKUP(A1050,'Discount Lookup'!J:K,2)*G1050*(1-PlanterDiscount)*(1+PlanterDifficultyPercentage)),IF(AE1050="free","re-planting",IF(G1050=0,"",IF(PlanterYesMe="",IF(AE1050="me","   not ELP, by",IF(AE1050="",IF(G1050&gt;0,(VLOOKUP(A1050,'Discount Lookup'!J:K,2)*G1050*(1-PlanterDiscount)*(1+PlanterDifficultyPercentage)),""),"")),"   not ELP, by"))))))))))))))</f>
        <v/>
      </c>
      <c r="AD1050" s="712"/>
      <c r="AE1050" s="513" t="str">
        <f t="shared" si="771"/>
        <v/>
      </c>
      <c r="AF1050" s="713" t="str">
        <f t="shared" si="772"/>
        <v/>
      </c>
      <c r="AG1050" s="713"/>
      <c r="AH1050" s="713"/>
      <c r="AI1050" s="112">
        <f>IF(H1050="credit",0,IF(AE1050="free",0,IF(AE1050="me",0,IF(G1050&gt;0,(VLOOKUP(A1050,'Discount Lookup'!J:K,2)*G1050),0))))</f>
        <v>0</v>
      </c>
      <c r="AJ1050" s="107" t="str">
        <f t="shared" ca="1" si="773"/>
        <v/>
      </c>
      <c r="AK1050" s="714" t="str">
        <f t="shared" si="774"/>
        <v/>
      </c>
      <c r="AL1050" s="714"/>
      <c r="AM1050" s="114" t="str">
        <f t="shared" si="775"/>
        <v/>
      </c>
      <c r="AN1050" s="115"/>
      <c r="AO1050" s="116"/>
      <c r="AP1050" s="116"/>
      <c r="AQ1050" s="116"/>
      <c r="AR1050" s="116"/>
      <c r="AS1050" s="116"/>
      <c r="AT1050" s="116"/>
      <c r="AU1050" s="116"/>
      <c r="AV1050" s="78"/>
      <c r="AW1050" s="102"/>
      <c r="AX1050" s="78"/>
      <c r="AY1050" s="78"/>
      <c r="AZ1050" s="78"/>
      <c r="BA1050" s="78"/>
      <c r="BB1050" s="78"/>
      <c r="BC1050" s="78"/>
      <c r="BD1050" s="78"/>
      <c r="BE1050" s="465"/>
      <c r="BF1050" s="165" t="str">
        <f t="shared" si="776"/>
        <v>https://www.google.com/search?tbm=isch&amp;q=Cercis%20canadensis%20%27Seirb%27%20PP%2332895%20Zig%20Zag%C2%AE%20Redbud</v>
      </c>
      <c r="BG1050" s="165" t="str">
        <f t="shared" si="777"/>
        <v>C</v>
      </c>
      <c r="BH1050" s="65"/>
      <c r="BI1050" s="65"/>
      <c r="BJ1050" s="65"/>
      <c r="BK1050" s="65"/>
      <c r="BL1050" s="99"/>
      <c r="BM1050" s="99"/>
      <c r="BN1050" s="99"/>
    </row>
    <row r="1051" spans="1:66" s="51" customFormat="1" ht="27" x14ac:dyDescent="0.25">
      <c r="A1051" s="634">
        <v>5</v>
      </c>
      <c r="B1051" s="635" t="s">
        <v>291</v>
      </c>
      <c r="C1051" s="636" t="s">
        <v>2088</v>
      </c>
      <c r="D1051" s="637" t="s">
        <v>299</v>
      </c>
      <c r="E1051" s="638">
        <v>107.95</v>
      </c>
      <c r="F1051" s="639" t="s">
        <v>292</v>
      </c>
      <c r="G1051" s="484">
        <v>0</v>
      </c>
      <c r="H1051" s="691" t="str">
        <f>IF(G1051=0,"",IF(F1051="Buy",IF(G1051=1,"plant","plants"),IF(F1051&gt;0.01,"warranty","Error")))</f>
        <v/>
      </c>
      <c r="I1051" s="640">
        <f>IF(H1051="free",0,IF(H1051="credit",((E1051*(F1051))*G1051*-1),IF(F1051="Buy",(E1051*G1051),((E1051*(1-F1051))*G1051))))</f>
        <v>0</v>
      </c>
      <c r="J1051" s="640">
        <f>IF(H1051="warranty",0,(I1051*(_xlfn.SINGLE(SalesTaxPercentage))))</f>
        <v>0</v>
      </c>
      <c r="K1051" s="716">
        <f t="shared" ref="K1051" si="781">I1051+J1051</f>
        <v>0</v>
      </c>
      <c r="L1051" s="716"/>
      <c r="M1051" s="689" t="str">
        <f ca="1">IF(AND(G1051&gt;0,E1051=0),"WARNING - no PRICE inserted",IF(H1051="free","FREE ~ no charge this plant",IF(H1051="credit",CONCATENATE("-$",ROUND(K1051*(1-_xlfn.SINGLE(T2GDiscount))*-1,2)," CREDIT after discount"),IF(_xlfn.SINGLE(T2GDiscount)=0,"",IF(G1051=0,"",IF(F1051="Buy",CONCATENATE("$",ROUND(K1051*(1-_xlfn.SINGLE(T2GDiscount)),2)," with ",(_xlfn.SINGLE(T2GDiscount)*100),"% discount"),CONCATENATE("$",ROUND(K1051*(1-_xlfn.SINGLE(T2GDiscount)),2)," with ",((_xlfn.SINGLE(T2GDiscount)*100+F1051*100)-(_xlfn.SINGLE(T2GDiscount)*100*F1051)),IF(F1051&gt;0,"% discounts",IF(_xlfn.SINGLE(NoWarrantyDiscount)&gt;0,"% discounts","% discount")))))))))</f>
        <v/>
      </c>
      <c r="N1051" s="690"/>
      <c r="O1051" s="486"/>
      <c r="P1051" s="486"/>
      <c r="Q1051" s="486"/>
      <c r="R1051" s="486"/>
      <c r="S1051" s="486"/>
      <c r="T1051" s="102">
        <f t="shared" si="765"/>
        <v>0</v>
      </c>
      <c r="U1051" s="78">
        <f>IF(NOT(ISNUMBER(G1051)), "", VLOOKUP(A1051,'Discount Lookup'!D:E,2,FALSE)*G1051)</f>
        <v>0</v>
      </c>
      <c r="V1051" s="78">
        <f>IF(NOT(ISNUMBER(G1051)), "", VLOOKUP(A1051,'Discount Lookup'!G:H,2,FALSE)*G1051)</f>
        <v>0</v>
      </c>
      <c r="W1051" s="102">
        <f t="shared" si="766"/>
        <v>0</v>
      </c>
      <c r="X1051" s="102">
        <f t="shared" si="767"/>
        <v>0</v>
      </c>
      <c r="Y1051" s="120" t="b">
        <f t="shared" si="768"/>
        <v>0</v>
      </c>
      <c r="Z1051" s="117">
        <f t="shared" si="769"/>
        <v>0</v>
      </c>
      <c r="AA1051" s="118"/>
      <c r="AB1051" s="118" t="str">
        <f t="shared" si="770"/>
        <v/>
      </c>
      <c r="AC1051" s="712" t="str">
        <f>IF(AE1051="T2G","no charge",IF(AND(OR(PlanterYesMe="No",PlanterYesMe="N",PlanterYesMe="me"),H1051=""),"",IF(H1051="credit","NO install",IF(AND(K1051="",AE1051="me"),"EACH row",IF(AND(K1051="images",AE1051="me"),"EACH row",IF(D1051="","",IF(H1051="credit","",IF(AE1051="free","re-planting",IF(AE1051="me","   not ELP, by",IF(AND(OR(PlanterYesMe="Yes",PlanterYesMe="Y"),G1051&gt;0),(VLOOKUP(A1051,'Discount Lookup'!J:K,2)*G1051*(1-PlanterDiscount)*(1+PlanterDifficultyPercentage)),IF(AE1051="ELP",(VLOOKUP(A1051,'Discount Lookup'!J:K,2)*G1051*(1-PlanterDiscount)*(1+PlanterDifficultyPercentage)),IF(AE1051="free","re-planting",IF(G1051=0,"",IF(PlanterYesMe="",IF(AE1051="me","   not ELP, by",IF(AE1051="",IF(G1051&gt;0,(VLOOKUP(A1051,'Discount Lookup'!J:K,2)*G1051*(1-PlanterDiscount)*(1+PlanterDifficultyPercentage)),""),"")),"   not ELP, by"))))))))))))))</f>
        <v/>
      </c>
      <c r="AD1051" s="712"/>
      <c r="AE1051" s="513" t="str">
        <f t="shared" si="771"/>
        <v/>
      </c>
      <c r="AF1051" s="713" t="str">
        <f t="shared" si="772"/>
        <v/>
      </c>
      <c r="AG1051" s="713"/>
      <c r="AH1051" s="713"/>
      <c r="AI1051" s="112">
        <f>IF(H1051="credit",0,IF(AE1051="free",0,IF(AE1051="me",0,IF(G1051&gt;0,(VLOOKUP(A1051,'Discount Lookup'!J:K,2)*G1051),0))))</f>
        <v>0</v>
      </c>
      <c r="AJ1051" s="107" t="str">
        <f t="shared" ca="1" si="773"/>
        <v/>
      </c>
      <c r="AK1051" s="714" t="str">
        <f t="shared" si="774"/>
        <v/>
      </c>
      <c r="AL1051" s="714"/>
      <c r="AM1051" s="114" t="str">
        <f t="shared" si="775"/>
        <v/>
      </c>
      <c r="AN1051" s="115"/>
      <c r="AO1051" s="116"/>
      <c r="AP1051" s="116"/>
      <c r="AQ1051" s="116"/>
      <c r="AR1051" s="116"/>
      <c r="AS1051" s="116"/>
      <c r="AT1051" s="116"/>
      <c r="AU1051" s="116"/>
      <c r="AV1051" s="78"/>
      <c r="AW1051" s="102"/>
      <c r="AX1051" s="78"/>
      <c r="AY1051" s="78"/>
      <c r="AZ1051" s="78"/>
      <c r="BA1051" s="78"/>
      <c r="BB1051" s="78"/>
      <c r="BC1051" s="78"/>
      <c r="BD1051" s="78"/>
      <c r="BE1051" s="465"/>
      <c r="BF1051" s="165" t="str">
        <f t="shared" si="776"/>
        <v>https://www.google.com/search?tbm=isch&amp;q=5%20G4</v>
      </c>
      <c r="BG1051" s="165" t="str">
        <f t="shared" si="777"/>
        <v>C</v>
      </c>
      <c r="BH1051" s="65"/>
      <c r="BI1051" s="65"/>
      <c r="BJ1051" s="65"/>
      <c r="BK1051" s="65"/>
      <c r="BL1051" s="99"/>
      <c r="BM1051" s="99"/>
      <c r="BN1051" s="99"/>
    </row>
    <row r="1052" spans="1:66" s="51" customFormat="1" ht="27" x14ac:dyDescent="0.25">
      <c r="A1052" s="634">
        <v>15</v>
      </c>
      <c r="B1052" s="635" t="s">
        <v>291</v>
      </c>
      <c r="C1052" s="636" t="s">
        <v>2089</v>
      </c>
      <c r="D1052" s="637" t="s">
        <v>299</v>
      </c>
      <c r="E1052" s="638">
        <v>201.95</v>
      </c>
      <c r="F1052" s="639" t="s">
        <v>292</v>
      </c>
      <c r="G1052" s="484">
        <v>0</v>
      </c>
      <c r="H1052" s="691" t="str">
        <f>IF(G1052=0,"",IF(F1052="Buy",IF(G1052=1,"plant","plants"),IF(F1052&gt;0.01,"warranty","Error")))</f>
        <v/>
      </c>
      <c r="I1052" s="640">
        <f>IF(H1052="free",0,IF(H1052="credit",((E1052*(F1052))*G1052*-1),IF(F1052="Buy",(E1052*G1052),((E1052*(1-F1052))*G1052))))</f>
        <v>0</v>
      </c>
      <c r="J1052" s="640">
        <f>IF(H1052="warranty",0,(I1052*(_xlfn.SINGLE(SalesTaxPercentage))))</f>
        <v>0</v>
      </c>
      <c r="K1052" s="716">
        <f t="shared" ref="K1052" si="782">I1052+J1052</f>
        <v>0</v>
      </c>
      <c r="L1052" s="716"/>
      <c r="M1052" s="689" t="str">
        <f ca="1">IF(AND(G1052&gt;0,E1052=0),"WARNING - no PRICE inserted",IF(H1052="free","FREE ~ no charge this plant",IF(H1052="credit",CONCATENATE("-$",ROUND(K1052*(1-_xlfn.SINGLE(T2GDiscount))*-1,2)," CREDIT after discount"),IF(_xlfn.SINGLE(T2GDiscount)=0,"",IF(G1052=0,"",IF(F1052="Buy",CONCATENATE("$",ROUND(K1052*(1-_xlfn.SINGLE(T2GDiscount)),2)," with ",(_xlfn.SINGLE(T2GDiscount)*100),"% discount"),CONCATENATE("$",ROUND(K1052*(1-_xlfn.SINGLE(T2GDiscount)),2)," with ",((_xlfn.SINGLE(T2GDiscount)*100+F1052*100)-(_xlfn.SINGLE(T2GDiscount)*100*F1052)),IF(F1052&gt;0,"% discounts",IF(_xlfn.SINGLE(NoWarrantyDiscount)&gt;0,"% discounts","% discount")))))))))</f>
        <v/>
      </c>
      <c r="N1052" s="690"/>
      <c r="O1052" s="486"/>
      <c r="P1052" s="486"/>
      <c r="Q1052" s="486"/>
      <c r="R1052" s="486"/>
      <c r="S1052" s="486"/>
      <c r="T1052" s="102">
        <f t="shared" si="765"/>
        <v>0</v>
      </c>
      <c r="U1052" s="78">
        <f>IF(NOT(ISNUMBER(G1052)), "", VLOOKUP(A1052,'Discount Lookup'!D:E,2,FALSE)*G1052)</f>
        <v>0</v>
      </c>
      <c r="V1052" s="78">
        <f>IF(NOT(ISNUMBER(G1052)), "", VLOOKUP(A1052,'Discount Lookup'!G:H,2,FALSE)*G1052)</f>
        <v>0</v>
      </c>
      <c r="W1052" s="102">
        <f t="shared" si="766"/>
        <v>0</v>
      </c>
      <c r="X1052" s="102">
        <f t="shared" si="767"/>
        <v>0</v>
      </c>
      <c r="Y1052" s="120" t="b">
        <f t="shared" si="768"/>
        <v>0</v>
      </c>
      <c r="Z1052" s="117">
        <f t="shared" si="769"/>
        <v>0</v>
      </c>
      <c r="AA1052" s="118"/>
      <c r="AB1052" s="118" t="str">
        <f t="shared" si="770"/>
        <v/>
      </c>
      <c r="AC1052" s="712" t="str">
        <f>IF(AE1052="T2G","no charge",IF(AND(OR(PlanterYesMe="No",PlanterYesMe="N",PlanterYesMe="me"),H1052=""),"",IF(H1052="credit","NO install",IF(AND(K1052="",AE1052="me"),"EACH row",IF(AND(K1052="images",AE1052="me"),"EACH row",IF(D1052="","",IF(H1052="credit","",IF(AE1052="free","re-planting",IF(AE1052="me","   not ELP, by",IF(AND(OR(PlanterYesMe="Yes",PlanterYesMe="Y"),G1052&gt;0),(VLOOKUP(A1052,'Discount Lookup'!J:K,2)*G1052*(1-PlanterDiscount)*(1+PlanterDifficultyPercentage)),IF(AE1052="ELP",(VLOOKUP(A1052,'Discount Lookup'!J:K,2)*G1052*(1-PlanterDiscount)*(1+PlanterDifficultyPercentage)),IF(AE1052="free","re-planting",IF(G1052=0,"",IF(PlanterYesMe="",IF(AE1052="me","   not ELP, by",IF(AE1052="",IF(G1052&gt;0,(VLOOKUP(A1052,'Discount Lookup'!J:K,2)*G1052*(1-PlanterDiscount)*(1+PlanterDifficultyPercentage)),""),"")),"   not ELP, by"))))))))))))))</f>
        <v/>
      </c>
      <c r="AD1052" s="712"/>
      <c r="AE1052" s="513" t="str">
        <f t="shared" si="771"/>
        <v/>
      </c>
      <c r="AF1052" s="713" t="str">
        <f t="shared" si="772"/>
        <v/>
      </c>
      <c r="AG1052" s="713"/>
      <c r="AH1052" s="713"/>
      <c r="AI1052" s="112">
        <f>IF(H1052="credit",0,IF(AE1052="free",0,IF(AE1052="me",0,IF(G1052&gt;0,(VLOOKUP(A1052,'Discount Lookup'!J:K,2)*G1052),0))))</f>
        <v>0</v>
      </c>
      <c r="AJ1052" s="107" t="str">
        <f t="shared" ca="1" si="773"/>
        <v/>
      </c>
      <c r="AK1052" s="714" t="str">
        <f t="shared" si="774"/>
        <v/>
      </c>
      <c r="AL1052" s="714"/>
      <c r="AM1052" s="114" t="str">
        <f t="shared" si="775"/>
        <v/>
      </c>
      <c r="AN1052" s="115"/>
      <c r="AO1052" s="116"/>
      <c r="AP1052" s="116"/>
      <c r="AQ1052" s="116"/>
      <c r="AR1052" s="116"/>
      <c r="AS1052" s="116"/>
      <c r="AT1052" s="116"/>
      <c r="AU1052" s="116"/>
      <c r="AV1052" s="78"/>
      <c r="AW1052" s="102"/>
      <c r="AX1052" s="78"/>
      <c r="AY1052" s="78"/>
      <c r="AZ1052" s="78"/>
      <c r="BA1052" s="78"/>
      <c r="BB1052" s="78"/>
      <c r="BC1052" s="78"/>
      <c r="BD1052" s="78"/>
      <c r="BE1052" s="465"/>
      <c r="BF1052" s="165" t="str">
        <f t="shared" si="776"/>
        <v>https://www.google.com/search?tbm=isch&amp;q=15%20G4</v>
      </c>
      <c r="BG1052" s="165" t="str">
        <f t="shared" si="777"/>
        <v>C</v>
      </c>
      <c r="BH1052" s="65"/>
      <c r="BI1052" s="65"/>
      <c r="BJ1052" s="65"/>
      <c r="BK1052" s="65"/>
      <c r="BL1052" s="99"/>
      <c r="BM1052" s="99"/>
      <c r="BN1052" s="99"/>
    </row>
    <row r="1053" spans="1:66" s="51" customFormat="1" ht="17.25" thickBot="1" x14ac:dyDescent="0.3">
      <c r="A1053" s="641" t="s">
        <v>4704</v>
      </c>
      <c r="B1053" s="642"/>
      <c r="C1053" s="710"/>
      <c r="D1053" s="643"/>
      <c r="E1053" s="643"/>
      <c r="F1053" s="644"/>
      <c r="G1053" s="645"/>
      <c r="H1053" s="646"/>
      <c r="I1053" s="647"/>
      <c r="J1053" s="648"/>
      <c r="K1053" s="649"/>
      <c r="L1053" s="650"/>
      <c r="M1053" s="650"/>
      <c r="N1053" s="644"/>
      <c r="O1053" s="644"/>
      <c r="P1053" s="644"/>
      <c r="Q1053" s="644"/>
      <c r="R1053" s="644"/>
      <c r="S1053" s="651"/>
      <c r="T1053" s="102">
        <f t="shared" si="765"/>
        <v>0</v>
      </c>
      <c r="U1053" s="78" t="str">
        <f>IF(NOT(ISNUMBER(G1053)), "", VLOOKUP(A1053,'Discount Lookup'!D:E,2,FALSE)*G1053)</f>
        <v/>
      </c>
      <c r="V1053" s="78" t="str">
        <f>IF(NOT(ISNUMBER(G1053)), "", VLOOKUP(A1053,'Discount Lookup'!G:H,2,FALSE)*G1053)</f>
        <v/>
      </c>
      <c r="W1053" s="102">
        <f t="shared" si="766"/>
        <v>0</v>
      </c>
      <c r="X1053" s="102">
        <f t="shared" si="767"/>
        <v>0</v>
      </c>
      <c r="Y1053" s="120" t="b">
        <f t="shared" si="768"/>
        <v>0</v>
      </c>
      <c r="Z1053" s="117">
        <f t="shared" si="769"/>
        <v>0</v>
      </c>
      <c r="AA1053" s="118"/>
      <c r="AB1053" s="118" t="str">
        <f t="shared" si="770"/>
        <v/>
      </c>
      <c r="AC1053" s="712" t="str">
        <f>IF(AE1053="T2G","no charge",IF(AND(OR(PlanterYesMe="No",PlanterYesMe="N",PlanterYesMe="me"),H1053=""),"",IF(H1053="credit","NO install",IF(AND(K1053="",AE1053="me"),"EACH row",IF(AND(K1053="images",AE1053="me"),"EACH row",IF(D1053="","",IF(H1053="credit","",IF(AE1053="free","re-planting",IF(AE1053="me","   not ELP, by",IF(AND(OR(PlanterYesMe="Yes",PlanterYesMe="Y"),G1053&gt;0),(VLOOKUP(A1053,'Discount Lookup'!J:K,2)*G1053*(1-PlanterDiscount)*(1+PlanterDifficultyPercentage)),IF(AE1053="ELP",(VLOOKUP(A1053,'Discount Lookup'!J:K,2)*G1053*(1-PlanterDiscount)*(1+PlanterDifficultyPercentage)),IF(AE1053="free","re-planting",IF(G1053=0,"",IF(PlanterYesMe="",IF(AE1053="me","   not ELP, by",IF(AE1053="",IF(G1053&gt;0,(VLOOKUP(A1053,'Discount Lookup'!J:K,2)*G1053*(1-PlanterDiscount)*(1+PlanterDifficultyPercentage)),""),"")),"   not ELP, by"))))))))))))))</f>
        <v/>
      </c>
      <c r="AD1053" s="712"/>
      <c r="AE1053" s="513" t="str">
        <f t="shared" si="771"/>
        <v/>
      </c>
      <c r="AF1053" s="713" t="str">
        <f t="shared" si="772"/>
        <v/>
      </c>
      <c r="AG1053" s="713"/>
      <c r="AH1053" s="713"/>
      <c r="AI1053" s="112">
        <f>IF(H1053="credit",0,IF(AE1053="free",0,IF(AE1053="me",0,IF(G1053&gt;0,(VLOOKUP(A1053,'Discount Lookup'!J:K,2)*G1053),0))))</f>
        <v>0</v>
      </c>
      <c r="AJ1053" s="107" t="str">
        <f t="shared" ca="1" si="773"/>
        <v/>
      </c>
      <c r="AK1053" s="714" t="str">
        <f t="shared" si="774"/>
        <v/>
      </c>
      <c r="AL1053" s="714"/>
      <c r="AM1053" s="114" t="str">
        <f t="shared" si="775"/>
        <v/>
      </c>
      <c r="AN1053" s="115"/>
      <c r="AO1053" s="116"/>
      <c r="AP1053" s="116"/>
      <c r="AQ1053" s="116"/>
      <c r="AR1053" s="116"/>
      <c r="AS1053" s="116"/>
      <c r="AT1053" s="116"/>
      <c r="AU1053" s="116"/>
      <c r="AV1053" s="78"/>
      <c r="AW1053" s="102"/>
      <c r="AX1053" s="78"/>
      <c r="AY1053" s="78"/>
      <c r="AZ1053" s="78"/>
      <c r="BA1053" s="78"/>
      <c r="BB1053" s="78"/>
      <c r="BC1053" s="78"/>
      <c r="BD1053" s="78"/>
      <c r="BE1053" s="465"/>
      <c r="BF1053" s="165" t="str">
        <f t="shared" si="776"/>
        <v>https://www.google.com/search?tbm=isch&amp;q=Zig%20Zag%20is%20distinguished%20by%20its%20unique%20zigzagging%20branch%20structure%2C%20which%20provides%20exceptional%20winter%20interest.%20Foliage%20turns%20Yellow%20in%20fall%20</v>
      </c>
      <c r="BG1053" s="165" t="str">
        <f t="shared" si="777"/>
        <v>Z</v>
      </c>
      <c r="BH1053" s="65"/>
      <c r="BI1053" s="65"/>
      <c r="BJ1053" s="65"/>
      <c r="BK1053" s="65"/>
      <c r="BL1053" s="99"/>
      <c r="BM1053" s="99"/>
      <c r="BN1053" s="99"/>
    </row>
    <row r="1054" spans="1:66" s="51" customFormat="1" ht="18" x14ac:dyDescent="0.25">
      <c r="A1054" s="623" t="s">
        <v>5048</v>
      </c>
      <c r="B1054" s="624"/>
      <c r="C1054" s="709"/>
      <c r="D1054" s="625" t="s">
        <v>5049</v>
      </c>
      <c r="E1054" s="626"/>
      <c r="F1054" s="626"/>
      <c r="G1054" s="626"/>
      <c r="H1054" s="622" t="s">
        <v>5050</v>
      </c>
      <c r="I1054" s="627" t="s">
        <v>718</v>
      </c>
      <c r="J1054" s="628"/>
      <c r="K1054" s="628"/>
      <c r="L1054" s="629"/>
      <c r="M1054" s="700" t="s">
        <v>5249</v>
      </c>
      <c r="N1054" s="693" t="str">
        <f>IF(AND(ISTEXT($A1054), ISERROR($A1054+0)), HYPERLINK($BF1054, "Images"), "")</f>
        <v>Images</v>
      </c>
      <c r="O1054" s="695" t="s">
        <v>5247</v>
      </c>
      <c r="P1054" s="630"/>
      <c r="Q1054" s="631"/>
      <c r="R1054" s="632"/>
      <c r="S1054" s="633" t="s">
        <v>294</v>
      </c>
      <c r="T1054" s="102">
        <f t="shared" si="765"/>
        <v>0</v>
      </c>
      <c r="U1054" s="78" t="str">
        <f>IF(NOT(ISNUMBER(G1054)), "", VLOOKUP(A1054,'Discount Lookup'!D:E,2,FALSE)*G1054)</f>
        <v/>
      </c>
      <c r="V1054" s="78" t="str">
        <f>IF(NOT(ISNUMBER(G1054)), "", VLOOKUP(A1054,'Discount Lookup'!G:H,2,FALSE)*G1054)</f>
        <v/>
      </c>
      <c r="W1054" s="102">
        <f t="shared" si="766"/>
        <v>0</v>
      </c>
      <c r="X1054" s="102" t="str">
        <f t="shared" si="767"/>
        <v>Fuchsia-Pink bloom</v>
      </c>
      <c r="Y1054" s="120" t="b">
        <f t="shared" si="768"/>
        <v>0</v>
      </c>
      <c r="Z1054" s="117">
        <f t="shared" si="769"/>
        <v>0</v>
      </c>
      <c r="AA1054" s="118"/>
      <c r="AB1054" s="118" t="str">
        <f t="shared" si="770"/>
        <v/>
      </c>
      <c r="AC1054" s="712" t="str">
        <f>IF(AE1054="T2G","no charge",IF(AND(OR(PlanterYesMe="No",PlanterYesMe="N",PlanterYesMe="me"),H1054=""),"",IF(H1054="credit","NO install",IF(AND(K1054="",AE1054="me"),"EACH row",IF(AND(K1054="images",AE1054="me"),"EACH row",IF(D1054="","",IF(H1054="credit","",IF(AE1054="free","re-planting",IF(AE1054="me","   not ELP, by",IF(AND(OR(PlanterYesMe="Yes",PlanterYesMe="Y"),G1054&gt;0),(VLOOKUP(A1054,'Discount Lookup'!J:K,2)*G1054*(1-PlanterDiscount)*(1+PlanterDifficultyPercentage)),IF(AE1054="ELP",(VLOOKUP(A1054,'Discount Lookup'!J:K,2)*G1054*(1-PlanterDiscount)*(1+PlanterDifficultyPercentage)),IF(AE1054="free","re-planting",IF(G1054=0,"",IF(PlanterYesMe="",IF(AE1054="me","   not ELP, by",IF(AE1054="",IF(G1054&gt;0,(VLOOKUP(A1054,'Discount Lookup'!J:K,2)*G1054*(1-PlanterDiscount)*(1+PlanterDifficultyPercentage)),""),"")),"   not ELP, by"))))))))))))))</f>
        <v/>
      </c>
      <c r="AD1054" s="712"/>
      <c r="AE1054" s="513" t="str">
        <f t="shared" si="771"/>
        <v/>
      </c>
      <c r="AF1054" s="713" t="str">
        <f t="shared" si="772"/>
        <v/>
      </c>
      <c r="AG1054" s="713"/>
      <c r="AH1054" s="713"/>
      <c r="AI1054" s="112">
        <f>IF(H1054="credit",0,IF(AE1054="free",0,IF(AE1054="me",0,IF(G1054&gt;0,(VLOOKUP(A1054,'Discount Lookup'!J:K,2)*G1054),0))))</f>
        <v>0</v>
      </c>
      <c r="AJ1054" s="107" t="str">
        <f t="shared" ca="1" si="773"/>
        <v/>
      </c>
      <c r="AK1054" s="714" t="str">
        <f t="shared" si="774"/>
        <v/>
      </c>
      <c r="AL1054" s="714"/>
      <c r="AM1054" s="114" t="str">
        <f t="shared" si="775"/>
        <v/>
      </c>
      <c r="AN1054" s="115"/>
      <c r="AO1054" s="116"/>
      <c r="AP1054" s="116"/>
      <c r="AQ1054" s="116"/>
      <c r="AR1054" s="116"/>
      <c r="AS1054" s="116"/>
      <c r="AT1054" s="116"/>
      <c r="AU1054" s="116"/>
      <c r="AV1054" s="78"/>
      <c r="AW1054" s="102"/>
      <c r="AX1054" s="78"/>
      <c r="AY1054" s="78"/>
      <c r="AZ1054" s="78"/>
      <c r="BA1054" s="78"/>
      <c r="BB1054" s="78"/>
      <c r="BC1054" s="78"/>
      <c r="BD1054" s="78"/>
      <c r="BE1054" s="465"/>
      <c r="BF1054" s="165" t="str">
        <f t="shared" si="776"/>
        <v>https://www.google.com/search?tbm=isch&amp;q=Cercis%20canadensis%20%27Traveller%27%20Traveller%20Weeping%20Redbud</v>
      </c>
      <c r="BG1054" s="165" t="str">
        <f t="shared" si="777"/>
        <v>C</v>
      </c>
      <c r="BH1054" s="65"/>
      <c r="BI1054" s="65"/>
      <c r="BJ1054" s="65"/>
      <c r="BK1054" s="65"/>
      <c r="BL1054" s="99"/>
      <c r="BM1054" s="99"/>
      <c r="BN1054" s="99"/>
    </row>
    <row r="1055" spans="1:66" s="51" customFormat="1" ht="15.75" x14ac:dyDescent="0.25">
      <c r="A1055" s="634">
        <v>7</v>
      </c>
      <c r="B1055" s="635" t="s">
        <v>291</v>
      </c>
      <c r="C1055" s="636" t="s">
        <v>5051</v>
      </c>
      <c r="D1055" s="637" t="s">
        <v>299</v>
      </c>
      <c r="E1055" s="638">
        <v>137.94999999999999</v>
      </c>
      <c r="F1055" s="639" t="s">
        <v>292</v>
      </c>
      <c r="G1055" s="484">
        <v>0</v>
      </c>
      <c r="H1055" s="691" t="str">
        <f>IF(G1055=0,"",IF(F1055="Buy",IF(G1055=1,"plant","plants"),IF(F1055&gt;0.01,"warranty","Error")))</f>
        <v/>
      </c>
      <c r="I1055" s="640">
        <f>IF(H1055="free",0,IF(H1055="credit",((E1055*(F1055))*G1055*-1),IF(F1055="Buy",(E1055*G1055),((E1055*(1-F1055))*G1055))))</f>
        <v>0</v>
      </c>
      <c r="J1055" s="640">
        <f>IF(H1055="warranty",0,(I1055*(_xlfn.SINGLE(SalesTaxPercentage))))</f>
        <v>0</v>
      </c>
      <c r="K1055" s="716">
        <f t="shared" ref="K1055" si="783">I1055+J1055</f>
        <v>0</v>
      </c>
      <c r="L1055" s="716"/>
      <c r="M1055" s="689" t="str">
        <f ca="1">IF(AND(G1055&gt;0,E1055=0),"WARNING - no PRICE inserted",IF(H1055="free","FREE ~ no charge this plant",IF(H1055="credit",CONCATENATE("-$",ROUND(K1055*(1-_xlfn.SINGLE(T2GDiscount))*-1,2)," CREDIT after discount"),IF(_xlfn.SINGLE(T2GDiscount)=0,"",IF(G1055=0,"",IF(F1055="Buy",CONCATENATE("$",ROUND(K1055*(1-_xlfn.SINGLE(T2GDiscount)),2)," with ",(_xlfn.SINGLE(T2GDiscount)*100),"% discount"),CONCATENATE("$",ROUND(K1055*(1-_xlfn.SINGLE(T2GDiscount)),2)," with ",((_xlfn.SINGLE(T2GDiscount)*100+F1055*100)-(_xlfn.SINGLE(T2GDiscount)*100*F1055)),IF(F1055&gt;0,"% discounts",IF(_xlfn.SINGLE(NoWarrantyDiscount)&gt;0,"% discounts","% discount")))))))))</f>
        <v/>
      </c>
      <c r="N1055" s="690"/>
      <c r="O1055" s="486"/>
      <c r="P1055" s="486"/>
      <c r="Q1055" s="486"/>
      <c r="R1055" s="486"/>
      <c r="S1055" s="486"/>
      <c r="T1055" s="102">
        <f t="shared" si="765"/>
        <v>0</v>
      </c>
      <c r="U1055" s="78">
        <f>IF(NOT(ISNUMBER(G1055)), "", VLOOKUP(A1055,'Discount Lookup'!D:E,2,FALSE)*G1055)</f>
        <v>0</v>
      </c>
      <c r="V1055" s="78">
        <f>IF(NOT(ISNUMBER(G1055)), "", VLOOKUP(A1055,'Discount Lookup'!G:H,2,FALSE)*G1055)</f>
        <v>0</v>
      </c>
      <c r="W1055" s="102">
        <f t="shared" si="766"/>
        <v>0</v>
      </c>
      <c r="X1055" s="102">
        <f t="shared" si="767"/>
        <v>0</v>
      </c>
      <c r="Y1055" s="120" t="b">
        <f t="shared" si="768"/>
        <v>0</v>
      </c>
      <c r="Z1055" s="117">
        <f t="shared" si="769"/>
        <v>0</v>
      </c>
      <c r="AA1055" s="118"/>
      <c r="AB1055" s="118" t="str">
        <f t="shared" si="770"/>
        <v/>
      </c>
      <c r="AC1055" s="712" t="str">
        <f>IF(AE1055="T2G","no charge",IF(AND(OR(PlanterYesMe="No",PlanterYesMe="N",PlanterYesMe="me"),H1055=""),"",IF(H1055="credit","NO install",IF(AND(K1055="",AE1055="me"),"EACH row",IF(AND(K1055="images",AE1055="me"),"EACH row",IF(D1055="","",IF(H1055="credit","",IF(AE1055="free","re-planting",IF(AE1055="me","   not ELP, by",IF(AND(OR(PlanterYesMe="Yes",PlanterYesMe="Y"),G1055&gt;0),(VLOOKUP(A1055,'Discount Lookup'!J:K,2)*G1055*(1-PlanterDiscount)*(1+PlanterDifficultyPercentage)),IF(AE1055="ELP",(VLOOKUP(A1055,'Discount Lookup'!J:K,2)*G1055*(1-PlanterDiscount)*(1+PlanterDifficultyPercentage)),IF(AE1055="free","re-planting",IF(G1055=0,"",IF(PlanterYesMe="",IF(AE1055="me","   not ELP, by",IF(AE1055="",IF(G1055&gt;0,(VLOOKUP(A1055,'Discount Lookup'!J:K,2)*G1055*(1-PlanterDiscount)*(1+PlanterDifficultyPercentage)),""),"")),"   not ELP, by"))))))))))))))</f>
        <v/>
      </c>
      <c r="AD1055" s="712"/>
      <c r="AE1055" s="513" t="str">
        <f t="shared" si="771"/>
        <v/>
      </c>
      <c r="AF1055" s="713" t="str">
        <f t="shared" si="772"/>
        <v/>
      </c>
      <c r="AG1055" s="713"/>
      <c r="AH1055" s="713"/>
      <c r="AI1055" s="112">
        <f>IF(H1055="credit",0,IF(AE1055="free",0,IF(AE1055="me",0,IF(G1055&gt;0,(VLOOKUP(A1055,'Discount Lookup'!J:K,2)*G1055),0))))</f>
        <v>0</v>
      </c>
      <c r="AJ1055" s="107" t="str">
        <f t="shared" ca="1" si="773"/>
        <v/>
      </c>
      <c r="AK1055" s="714" t="str">
        <f t="shared" si="774"/>
        <v/>
      </c>
      <c r="AL1055" s="714"/>
      <c r="AM1055" s="114" t="str">
        <f t="shared" si="775"/>
        <v/>
      </c>
      <c r="AN1055" s="115"/>
      <c r="AO1055" s="116"/>
      <c r="AP1055" s="116"/>
      <c r="AQ1055" s="116"/>
      <c r="AR1055" s="116"/>
      <c r="AS1055" s="116"/>
      <c r="AT1055" s="116"/>
      <c r="AU1055" s="116"/>
      <c r="AV1055" s="78"/>
      <c r="AW1055" s="102"/>
      <c r="AX1055" s="78"/>
      <c r="AY1055" s="78"/>
      <c r="AZ1055" s="78"/>
      <c r="BA1055" s="78"/>
      <c r="BB1055" s="78"/>
      <c r="BC1055" s="78"/>
      <c r="BD1055" s="78"/>
      <c r="BE1055" s="465"/>
      <c r="BF1055" s="165" t="str">
        <f t="shared" si="776"/>
        <v>https://www.google.com/search?tbm=isch&amp;q=7%20G4</v>
      </c>
      <c r="BG1055" s="165" t="str">
        <f t="shared" si="777"/>
        <v>C</v>
      </c>
      <c r="BH1055" s="65"/>
      <c r="BI1055" s="65"/>
      <c r="BJ1055" s="65"/>
      <c r="BK1055" s="65"/>
      <c r="BL1055" s="99"/>
      <c r="BM1055" s="99"/>
      <c r="BN1055" s="99"/>
    </row>
    <row r="1056" spans="1:66" s="51" customFormat="1" ht="15.75" x14ac:dyDescent="0.25">
      <c r="A1056" s="634">
        <v>10</v>
      </c>
      <c r="B1056" s="635" t="s">
        <v>291</v>
      </c>
      <c r="C1056" s="636" t="s">
        <v>5052</v>
      </c>
      <c r="D1056" s="637" t="s">
        <v>299</v>
      </c>
      <c r="E1056" s="638">
        <v>169.95</v>
      </c>
      <c r="F1056" s="639" t="s">
        <v>292</v>
      </c>
      <c r="G1056" s="484">
        <v>0</v>
      </c>
      <c r="H1056" s="691" t="str">
        <f>IF(G1056=0,"",IF(F1056="Buy",IF(G1056=1,"plant","plants"),IF(F1056&gt;0.01,"warranty","Error")))</f>
        <v/>
      </c>
      <c r="I1056" s="640">
        <f>IF(H1056="free",0,IF(H1056="credit",((E1056*(F1056))*G1056*-1),IF(F1056="Buy",(E1056*G1056),((E1056*(1-F1056))*G1056))))</f>
        <v>0</v>
      </c>
      <c r="J1056" s="640">
        <f>IF(H1056="warranty",0,(I1056*(_xlfn.SINGLE(SalesTaxPercentage))))</f>
        <v>0</v>
      </c>
      <c r="K1056" s="716">
        <f t="shared" ref="K1056" si="784">I1056+J1056</f>
        <v>0</v>
      </c>
      <c r="L1056" s="716"/>
      <c r="M1056" s="689" t="str">
        <f ca="1">IF(AND(G1056&gt;0,E1056=0),"WARNING - no PRICE inserted",IF(H1056="free","FREE ~ no charge this plant",IF(H1056="credit",CONCATENATE("-$",ROUND(K1056*(1-_xlfn.SINGLE(T2GDiscount))*-1,2)," CREDIT after discount"),IF(_xlfn.SINGLE(T2GDiscount)=0,"",IF(G1056=0,"",IF(F1056="Buy",CONCATENATE("$",ROUND(K1056*(1-_xlfn.SINGLE(T2GDiscount)),2)," with ",(_xlfn.SINGLE(T2GDiscount)*100),"% discount"),CONCATENATE("$",ROUND(K1056*(1-_xlfn.SINGLE(T2GDiscount)),2)," with ",((_xlfn.SINGLE(T2GDiscount)*100+F1056*100)-(_xlfn.SINGLE(T2GDiscount)*100*F1056)),IF(F1056&gt;0,"% discounts",IF(_xlfn.SINGLE(NoWarrantyDiscount)&gt;0,"% discounts","% discount")))))))))</f>
        <v/>
      </c>
      <c r="N1056" s="690"/>
      <c r="O1056" s="486"/>
      <c r="P1056" s="486"/>
      <c r="Q1056" s="486"/>
      <c r="R1056" s="486"/>
      <c r="S1056" s="486"/>
      <c r="T1056" s="102">
        <f t="shared" si="765"/>
        <v>0</v>
      </c>
      <c r="U1056" s="78">
        <f>IF(NOT(ISNUMBER(G1056)), "", VLOOKUP(A1056,'Discount Lookup'!D:E,2,FALSE)*G1056)</f>
        <v>0</v>
      </c>
      <c r="V1056" s="78">
        <f>IF(NOT(ISNUMBER(G1056)), "", VLOOKUP(A1056,'Discount Lookup'!G:H,2,FALSE)*G1056)</f>
        <v>0</v>
      </c>
      <c r="W1056" s="102">
        <f t="shared" si="766"/>
        <v>0</v>
      </c>
      <c r="X1056" s="102">
        <f t="shared" si="767"/>
        <v>0</v>
      </c>
      <c r="Y1056" s="120" t="b">
        <f t="shared" si="768"/>
        <v>0</v>
      </c>
      <c r="Z1056" s="117">
        <f t="shared" si="769"/>
        <v>0</v>
      </c>
      <c r="AA1056" s="118"/>
      <c r="AB1056" s="118" t="str">
        <f t="shared" si="770"/>
        <v/>
      </c>
      <c r="AC1056" s="712" t="str">
        <f>IF(AE1056="T2G","no charge",IF(AND(OR(PlanterYesMe="No",PlanterYesMe="N",PlanterYesMe="me"),H1056=""),"",IF(H1056="credit","NO install",IF(AND(K1056="",AE1056="me"),"EACH row",IF(AND(K1056="images",AE1056="me"),"EACH row",IF(D1056="","",IF(H1056="credit","",IF(AE1056="free","re-planting",IF(AE1056="me","   not ELP, by",IF(AND(OR(PlanterYesMe="Yes",PlanterYesMe="Y"),G1056&gt;0),(VLOOKUP(A1056,'Discount Lookup'!J:K,2)*G1056*(1-PlanterDiscount)*(1+PlanterDifficultyPercentage)),IF(AE1056="ELP",(VLOOKUP(A1056,'Discount Lookup'!J:K,2)*G1056*(1-PlanterDiscount)*(1+PlanterDifficultyPercentage)),IF(AE1056="free","re-planting",IF(G1056=0,"",IF(PlanterYesMe="",IF(AE1056="me","   not ELP, by",IF(AE1056="",IF(G1056&gt;0,(VLOOKUP(A1056,'Discount Lookup'!J:K,2)*G1056*(1-PlanterDiscount)*(1+PlanterDifficultyPercentage)),""),"")),"   not ELP, by"))))))))))))))</f>
        <v/>
      </c>
      <c r="AD1056" s="712"/>
      <c r="AE1056" s="513" t="str">
        <f t="shared" si="771"/>
        <v/>
      </c>
      <c r="AF1056" s="713" t="str">
        <f t="shared" si="772"/>
        <v/>
      </c>
      <c r="AG1056" s="713"/>
      <c r="AH1056" s="713"/>
      <c r="AI1056" s="112">
        <f>IF(H1056="credit",0,IF(AE1056="free",0,IF(AE1056="me",0,IF(G1056&gt;0,(VLOOKUP(A1056,'Discount Lookup'!J:K,2)*G1056),0))))</f>
        <v>0</v>
      </c>
      <c r="AJ1056" s="107" t="str">
        <f t="shared" ca="1" si="773"/>
        <v/>
      </c>
      <c r="AK1056" s="714" t="str">
        <f t="shared" si="774"/>
        <v/>
      </c>
      <c r="AL1056" s="714"/>
      <c r="AM1056" s="114" t="str">
        <f t="shared" si="775"/>
        <v/>
      </c>
      <c r="AN1056" s="115"/>
      <c r="AO1056" s="116"/>
      <c r="AP1056" s="116"/>
      <c r="AQ1056" s="116"/>
      <c r="AR1056" s="116"/>
      <c r="AS1056" s="116"/>
      <c r="AT1056" s="116"/>
      <c r="AU1056" s="116"/>
      <c r="AV1056" s="78"/>
      <c r="AW1056" s="102"/>
      <c r="AX1056" s="78"/>
      <c r="AY1056" s="78"/>
      <c r="AZ1056" s="78"/>
      <c r="BA1056" s="78"/>
      <c r="BB1056" s="78"/>
      <c r="BC1056" s="78"/>
      <c r="BD1056" s="78"/>
      <c r="BE1056" s="465"/>
      <c r="BF1056" s="165" t="str">
        <f t="shared" si="776"/>
        <v>https://www.google.com/search?tbm=isch&amp;q=10%20G4</v>
      </c>
      <c r="BG1056" s="165" t="str">
        <f t="shared" si="777"/>
        <v>C</v>
      </c>
      <c r="BH1056" s="65"/>
      <c r="BI1056" s="65"/>
      <c r="BJ1056" s="65"/>
      <c r="BK1056" s="65"/>
      <c r="BL1056" s="99"/>
      <c r="BM1056" s="99"/>
      <c r="BN1056" s="99"/>
    </row>
    <row r="1057" spans="1:66" s="51" customFormat="1" ht="17.25" thickBot="1" x14ac:dyDescent="0.3">
      <c r="A1057" s="641" t="s">
        <v>5153</v>
      </c>
      <c r="B1057" s="642"/>
      <c r="C1057" s="710"/>
      <c r="D1057" s="643"/>
      <c r="E1057" s="643"/>
      <c r="F1057" s="644"/>
      <c r="G1057" s="645"/>
      <c r="H1057" s="646"/>
      <c r="I1057" s="647"/>
      <c r="J1057" s="648"/>
      <c r="K1057" s="649"/>
      <c r="L1057" s="650"/>
      <c r="M1057" s="650"/>
      <c r="N1057" s="644"/>
      <c r="O1057" s="644"/>
      <c r="P1057" s="644"/>
      <c r="Q1057" s="644"/>
      <c r="R1057" s="644"/>
      <c r="S1057" s="701" t="s">
        <v>5262</v>
      </c>
      <c r="T1057" s="102">
        <f t="shared" si="765"/>
        <v>0</v>
      </c>
      <c r="U1057" s="78" t="str">
        <f>IF(NOT(ISNUMBER(G1057)), "", VLOOKUP(A1057,'Discount Lookup'!D:E,2,FALSE)*G1057)</f>
        <v/>
      </c>
      <c r="V1057" s="78" t="str">
        <f>IF(NOT(ISNUMBER(G1057)), "", VLOOKUP(A1057,'Discount Lookup'!G:H,2,FALSE)*G1057)</f>
        <v/>
      </c>
      <c r="W1057" s="102">
        <f t="shared" si="766"/>
        <v>0</v>
      </c>
      <c r="X1057" s="102">
        <f t="shared" si="767"/>
        <v>0</v>
      </c>
      <c r="Y1057" s="120" t="b">
        <f t="shared" si="768"/>
        <v>0</v>
      </c>
      <c r="Z1057" s="117">
        <f t="shared" si="769"/>
        <v>0</v>
      </c>
      <c r="AA1057" s="118"/>
      <c r="AB1057" s="118" t="str">
        <f t="shared" si="770"/>
        <v/>
      </c>
      <c r="AC1057" s="712" t="str">
        <f>IF(AE1057="T2G","no charge",IF(AND(OR(PlanterYesMe="No",PlanterYesMe="N",PlanterYesMe="me"),H1057=""),"",IF(H1057="credit","NO install",IF(AND(K1057="",AE1057="me"),"EACH row",IF(AND(K1057="images",AE1057="me"),"EACH row",IF(D1057="","",IF(H1057="credit","",IF(AE1057="free","re-planting",IF(AE1057="me","   not ELP, by",IF(AND(OR(PlanterYesMe="Yes",PlanterYesMe="Y"),G1057&gt;0),(VLOOKUP(A1057,'Discount Lookup'!J:K,2)*G1057*(1-PlanterDiscount)*(1+PlanterDifficultyPercentage)),IF(AE1057="ELP",(VLOOKUP(A1057,'Discount Lookup'!J:K,2)*G1057*(1-PlanterDiscount)*(1+PlanterDifficultyPercentage)),IF(AE1057="free","re-planting",IF(G1057=0,"",IF(PlanterYesMe="",IF(AE1057="me","   not ELP, by",IF(AE1057="",IF(G1057&gt;0,(VLOOKUP(A1057,'Discount Lookup'!J:K,2)*G1057*(1-PlanterDiscount)*(1+PlanterDifficultyPercentage)),""),"")),"   not ELP, by"))))))))))))))</f>
        <v/>
      </c>
      <c r="AD1057" s="712"/>
      <c r="AE1057" s="513" t="str">
        <f t="shared" si="771"/>
        <v/>
      </c>
      <c r="AF1057" s="713" t="str">
        <f t="shared" si="772"/>
        <v/>
      </c>
      <c r="AG1057" s="713"/>
      <c r="AH1057" s="713"/>
      <c r="AI1057" s="112">
        <f>IF(H1057="credit",0,IF(AE1057="free",0,IF(AE1057="me",0,IF(G1057&gt;0,(VLOOKUP(A1057,'Discount Lookup'!J:K,2)*G1057),0))))</f>
        <v>0</v>
      </c>
      <c r="AJ1057" s="107" t="str">
        <f t="shared" ca="1" si="773"/>
        <v/>
      </c>
      <c r="AK1057" s="714" t="str">
        <f t="shared" si="774"/>
        <v/>
      </c>
      <c r="AL1057" s="714"/>
      <c r="AM1057" s="114" t="str">
        <f t="shared" si="775"/>
        <v/>
      </c>
      <c r="AN1057" s="115"/>
      <c r="AO1057" s="116"/>
      <c r="AP1057" s="116"/>
      <c r="AQ1057" s="116"/>
      <c r="AR1057" s="116"/>
      <c r="AS1057" s="116"/>
      <c r="AT1057" s="116"/>
      <c r="AU1057" s="116"/>
      <c r="AV1057" s="78"/>
      <c r="AW1057" s="102"/>
      <c r="AX1057" s="78"/>
      <c r="AY1057" s="78"/>
      <c r="AZ1057" s="78"/>
      <c r="BA1057" s="78"/>
      <c r="BB1057" s="78"/>
      <c r="BC1057" s="78"/>
      <c r="BD1057" s="78"/>
      <c r="BE1057" s="465"/>
      <c r="BF1057" s="165" t="str">
        <f t="shared" si="776"/>
        <v>https://www.google.com/search?tbm=isch&amp;q=Traveller%20has%20zig-zag%20branches%20and%20heart-shaped%20leaves%20that%20emerge%20Coppery%20and%20finish%20with%20Yellow%20to%20Copppery-Orange%20Fall%20color%20</v>
      </c>
      <c r="BG1057" s="165" t="str">
        <f t="shared" si="777"/>
        <v>T</v>
      </c>
      <c r="BH1057" s="65"/>
      <c r="BI1057" s="65"/>
      <c r="BJ1057" s="65"/>
      <c r="BK1057" s="65"/>
      <c r="BL1057" s="99"/>
      <c r="BM1057" s="99"/>
      <c r="BN1057" s="99"/>
    </row>
    <row r="1058" spans="1:66" s="51" customFormat="1" ht="18" x14ac:dyDescent="0.25">
      <c r="A1058" s="623" t="s">
        <v>2090</v>
      </c>
      <c r="B1058" s="624"/>
      <c r="C1058" s="709"/>
      <c r="D1058" s="625" t="s">
        <v>2091</v>
      </c>
      <c r="E1058" s="626"/>
      <c r="F1058" s="626"/>
      <c r="G1058" s="626"/>
      <c r="H1058" s="622" t="s">
        <v>330</v>
      </c>
      <c r="I1058" s="627" t="s">
        <v>349</v>
      </c>
      <c r="J1058" s="628"/>
      <c r="K1058" s="628"/>
      <c r="L1058" s="629"/>
      <c r="M1058" s="700" t="s">
        <v>5249</v>
      </c>
      <c r="N1058" s="693" t="str">
        <f>IF(AND(ISTEXT($A1058), ISERROR($A1058+0)), HYPERLINK($BF1058, "Images"), "")</f>
        <v>Images</v>
      </c>
      <c r="O1058" s="695" t="s">
        <v>5247</v>
      </c>
      <c r="P1058" s="630"/>
      <c r="Q1058" s="631"/>
      <c r="R1058" s="632"/>
      <c r="S1058" s="633" t="s">
        <v>294</v>
      </c>
      <c r="T1058" s="102">
        <f t="shared" si="765"/>
        <v>0</v>
      </c>
      <c r="U1058" s="78" t="str">
        <f>IF(NOT(ISNUMBER(G1058)), "", VLOOKUP(A1058,'Discount Lookup'!D:E,2,FALSE)*G1058)</f>
        <v/>
      </c>
      <c r="V1058" s="78" t="str">
        <f>IF(NOT(ISNUMBER(G1058)), "", VLOOKUP(A1058,'Discount Lookup'!G:H,2,FALSE)*G1058)</f>
        <v/>
      </c>
      <c r="W1058" s="102">
        <f t="shared" si="766"/>
        <v>0</v>
      </c>
      <c r="X1058" s="102" t="str">
        <f t="shared" si="767"/>
        <v>White bloom</v>
      </c>
      <c r="Y1058" s="120" t="b">
        <f t="shared" si="768"/>
        <v>0</v>
      </c>
      <c r="Z1058" s="117">
        <f t="shared" si="769"/>
        <v>0</v>
      </c>
      <c r="AA1058" s="118"/>
      <c r="AB1058" s="118" t="str">
        <f t="shared" si="770"/>
        <v/>
      </c>
      <c r="AC1058" s="712" t="str">
        <f>IF(AE1058="T2G","no charge",IF(AND(OR(PlanterYesMe="No",PlanterYesMe="N",PlanterYesMe="me"),H1058=""),"",IF(H1058="credit","NO install",IF(AND(K1058="",AE1058="me"),"EACH row",IF(AND(K1058="images",AE1058="me"),"EACH row",IF(D1058="","",IF(H1058="credit","",IF(AE1058="free","re-planting",IF(AE1058="me","   not ELP, by",IF(AND(OR(PlanterYesMe="Yes",PlanterYesMe="Y"),G1058&gt;0),(VLOOKUP(A1058,'Discount Lookup'!J:K,2)*G1058*(1-PlanterDiscount)*(1+PlanterDifficultyPercentage)),IF(AE1058="ELP",(VLOOKUP(A1058,'Discount Lookup'!J:K,2)*G1058*(1-PlanterDiscount)*(1+PlanterDifficultyPercentage)),IF(AE1058="free","re-planting",IF(G1058=0,"",IF(PlanterYesMe="",IF(AE1058="me","   not ELP, by",IF(AE1058="",IF(G1058&gt;0,(VLOOKUP(A1058,'Discount Lookup'!J:K,2)*G1058*(1-PlanterDiscount)*(1+PlanterDifficultyPercentage)),""),"")),"   not ELP, by"))))))))))))))</f>
        <v/>
      </c>
      <c r="AD1058" s="712"/>
      <c r="AE1058" s="513" t="str">
        <f t="shared" si="771"/>
        <v/>
      </c>
      <c r="AF1058" s="713" t="str">
        <f t="shared" si="772"/>
        <v/>
      </c>
      <c r="AG1058" s="713"/>
      <c r="AH1058" s="713"/>
      <c r="AI1058" s="112">
        <f>IF(H1058="credit",0,IF(AE1058="free",0,IF(AE1058="me",0,IF(G1058&gt;0,(VLOOKUP(A1058,'Discount Lookup'!J:K,2)*G1058),0))))</f>
        <v>0</v>
      </c>
      <c r="AJ1058" s="107" t="str">
        <f t="shared" ca="1" si="773"/>
        <v/>
      </c>
      <c r="AK1058" s="714" t="str">
        <f t="shared" si="774"/>
        <v/>
      </c>
      <c r="AL1058" s="714"/>
      <c r="AM1058" s="114" t="str">
        <f t="shared" si="775"/>
        <v/>
      </c>
      <c r="AN1058" s="115"/>
      <c r="AO1058" s="116"/>
      <c r="AP1058" s="116"/>
      <c r="AQ1058" s="116"/>
      <c r="AR1058" s="116"/>
      <c r="AS1058" s="116"/>
      <c r="AT1058" s="116"/>
      <c r="AU1058" s="116"/>
      <c r="AV1058" s="78"/>
      <c r="AW1058" s="102"/>
      <c r="AX1058" s="78"/>
      <c r="AY1058" s="78"/>
      <c r="AZ1058" s="78"/>
      <c r="BA1058" s="78"/>
      <c r="BB1058" s="78"/>
      <c r="BC1058" s="78"/>
      <c r="BD1058" s="78"/>
      <c r="BE1058" s="465"/>
      <c r="BF1058" s="165" t="str">
        <f t="shared" si="776"/>
        <v>https://www.google.com/search?tbm=isch&amp;q=Cercis%20canadensis%20%27Vanilla%20Twist%27%20PP%2322744%20Vanilla%20Twist%20Weeping%20Redbud</v>
      </c>
      <c r="BG1058" s="165" t="str">
        <f t="shared" si="777"/>
        <v>C</v>
      </c>
      <c r="BH1058" s="65"/>
      <c r="BI1058" s="65"/>
      <c r="BJ1058" s="65"/>
      <c r="BK1058" s="65"/>
      <c r="BL1058" s="99"/>
      <c r="BM1058" s="99"/>
      <c r="BN1058" s="99"/>
    </row>
    <row r="1059" spans="1:66" s="51" customFormat="1" ht="15.75" x14ac:dyDescent="0.25">
      <c r="A1059" s="634">
        <v>7</v>
      </c>
      <c r="B1059" s="635" t="s">
        <v>291</v>
      </c>
      <c r="C1059" s="636" t="s">
        <v>2092</v>
      </c>
      <c r="D1059" s="637" t="s">
        <v>299</v>
      </c>
      <c r="E1059" s="638">
        <v>132.94999999999999</v>
      </c>
      <c r="F1059" s="639" t="s">
        <v>292</v>
      </c>
      <c r="G1059" s="484">
        <v>0</v>
      </c>
      <c r="H1059" s="691" t="str">
        <f>IF(G1059=0,"",IF(F1059="Buy",IF(G1059=1,"plant","plants"),IF(F1059&gt;0.01,"warranty","Error")))</f>
        <v/>
      </c>
      <c r="I1059" s="640">
        <f>IF(H1059="free",0,IF(H1059="credit",((E1059*(F1059))*G1059*-1),IF(F1059="Buy",(E1059*G1059),((E1059*(1-F1059))*G1059))))</f>
        <v>0</v>
      </c>
      <c r="J1059" s="640">
        <f>IF(H1059="warranty",0,(I1059*(_xlfn.SINGLE(SalesTaxPercentage))))</f>
        <v>0</v>
      </c>
      <c r="K1059" s="716">
        <f t="shared" ref="K1059" si="785">I1059+J1059</f>
        <v>0</v>
      </c>
      <c r="L1059" s="716"/>
      <c r="M1059" s="689" t="str">
        <f ca="1">IF(AND(G1059&gt;0,E1059=0),"WARNING - no PRICE inserted",IF(H1059="free","FREE ~ no charge this plant",IF(H1059="credit",CONCATENATE("-$",ROUND(K1059*(1-_xlfn.SINGLE(T2GDiscount))*-1,2)," CREDIT after discount"),IF(_xlfn.SINGLE(T2GDiscount)=0,"",IF(G1059=0,"",IF(F1059="Buy",CONCATENATE("$",ROUND(K1059*(1-_xlfn.SINGLE(T2GDiscount)),2)," with ",(_xlfn.SINGLE(T2GDiscount)*100),"% discount"),CONCATENATE("$",ROUND(K1059*(1-_xlfn.SINGLE(T2GDiscount)),2)," with ",((_xlfn.SINGLE(T2GDiscount)*100+F1059*100)-(_xlfn.SINGLE(T2GDiscount)*100*F1059)),IF(F1059&gt;0,"% discounts",IF(_xlfn.SINGLE(NoWarrantyDiscount)&gt;0,"% discounts","% discount")))))))))</f>
        <v/>
      </c>
      <c r="N1059" s="690"/>
      <c r="O1059" s="486"/>
      <c r="P1059" s="486"/>
      <c r="Q1059" s="486"/>
      <c r="R1059" s="486"/>
      <c r="S1059" s="486"/>
      <c r="T1059" s="102">
        <f t="shared" si="765"/>
        <v>0</v>
      </c>
      <c r="U1059" s="78">
        <f>IF(NOT(ISNUMBER(G1059)), "", VLOOKUP(A1059,'Discount Lookup'!D:E,2,FALSE)*G1059)</f>
        <v>0</v>
      </c>
      <c r="V1059" s="78">
        <f>IF(NOT(ISNUMBER(G1059)), "", VLOOKUP(A1059,'Discount Lookup'!G:H,2,FALSE)*G1059)</f>
        <v>0</v>
      </c>
      <c r="W1059" s="102">
        <f t="shared" si="766"/>
        <v>0</v>
      </c>
      <c r="X1059" s="102">
        <f t="shared" si="767"/>
        <v>0</v>
      </c>
      <c r="Y1059" s="120" t="b">
        <f t="shared" si="768"/>
        <v>0</v>
      </c>
      <c r="Z1059" s="117">
        <f t="shared" si="769"/>
        <v>0</v>
      </c>
      <c r="AA1059" s="118"/>
      <c r="AB1059" s="118" t="str">
        <f t="shared" si="770"/>
        <v/>
      </c>
      <c r="AC1059" s="712" t="str">
        <f>IF(AE1059="T2G","no charge",IF(AND(OR(PlanterYesMe="No",PlanterYesMe="N",PlanterYesMe="me"),H1059=""),"",IF(H1059="credit","NO install",IF(AND(K1059="",AE1059="me"),"EACH row",IF(AND(K1059="images",AE1059="me"),"EACH row",IF(D1059="","",IF(H1059="credit","",IF(AE1059="free","re-planting",IF(AE1059="me","   not ELP, by",IF(AND(OR(PlanterYesMe="Yes",PlanterYesMe="Y"),G1059&gt;0),(VLOOKUP(A1059,'Discount Lookup'!J:K,2)*G1059*(1-PlanterDiscount)*(1+PlanterDifficultyPercentage)),IF(AE1059="ELP",(VLOOKUP(A1059,'Discount Lookup'!J:K,2)*G1059*(1-PlanterDiscount)*(1+PlanterDifficultyPercentage)),IF(AE1059="free","re-planting",IF(G1059=0,"",IF(PlanterYesMe="",IF(AE1059="me","   not ELP, by",IF(AE1059="",IF(G1059&gt;0,(VLOOKUP(A1059,'Discount Lookup'!J:K,2)*G1059*(1-PlanterDiscount)*(1+PlanterDifficultyPercentage)),""),"")),"   not ELP, by"))))))))))))))</f>
        <v/>
      </c>
      <c r="AD1059" s="712"/>
      <c r="AE1059" s="513" t="str">
        <f t="shared" si="771"/>
        <v/>
      </c>
      <c r="AF1059" s="713" t="str">
        <f t="shared" si="772"/>
        <v/>
      </c>
      <c r="AG1059" s="713"/>
      <c r="AH1059" s="713"/>
      <c r="AI1059" s="112">
        <f>IF(H1059="credit",0,IF(AE1059="free",0,IF(AE1059="me",0,IF(G1059&gt;0,(VLOOKUP(A1059,'Discount Lookup'!J:K,2)*G1059),0))))</f>
        <v>0</v>
      </c>
      <c r="AJ1059" s="107" t="str">
        <f t="shared" ca="1" si="773"/>
        <v/>
      </c>
      <c r="AK1059" s="714" t="str">
        <f t="shared" si="774"/>
        <v/>
      </c>
      <c r="AL1059" s="714"/>
      <c r="AM1059" s="114" t="str">
        <f t="shared" si="775"/>
        <v/>
      </c>
      <c r="AN1059" s="115"/>
      <c r="AO1059" s="116"/>
      <c r="AP1059" s="116"/>
      <c r="AQ1059" s="116"/>
      <c r="AR1059" s="116"/>
      <c r="AS1059" s="116"/>
      <c r="AT1059" s="116"/>
      <c r="AU1059" s="116"/>
      <c r="AV1059" s="78"/>
      <c r="AW1059" s="102"/>
      <c r="AX1059" s="78"/>
      <c r="AY1059" s="78"/>
      <c r="AZ1059" s="78"/>
      <c r="BA1059" s="78"/>
      <c r="BB1059" s="78"/>
      <c r="BC1059" s="78"/>
      <c r="BD1059" s="78"/>
      <c r="BE1059" s="465"/>
      <c r="BF1059" s="165" t="str">
        <f t="shared" si="776"/>
        <v>https://www.google.com/search?tbm=isch&amp;q=7%20G4</v>
      </c>
      <c r="BG1059" s="165" t="str">
        <f t="shared" si="777"/>
        <v>C</v>
      </c>
      <c r="BH1059" s="65"/>
      <c r="BI1059" s="65"/>
      <c r="BJ1059" s="65"/>
      <c r="BK1059" s="65"/>
      <c r="BL1059" s="99"/>
      <c r="BM1059" s="99"/>
      <c r="BN1059" s="99"/>
    </row>
    <row r="1060" spans="1:66" s="51" customFormat="1" ht="15.75" x14ac:dyDescent="0.25">
      <c r="A1060" s="634">
        <v>10</v>
      </c>
      <c r="B1060" s="635" t="s">
        <v>291</v>
      </c>
      <c r="C1060" s="636" t="s">
        <v>2014</v>
      </c>
      <c r="D1060" s="637" t="s">
        <v>329</v>
      </c>
      <c r="E1060" s="638">
        <v>146.94999999999999</v>
      </c>
      <c r="F1060" s="639" t="s">
        <v>292</v>
      </c>
      <c r="G1060" s="484">
        <v>0</v>
      </c>
      <c r="H1060" s="691" t="str">
        <f>IF(G1060=0,"",IF(F1060="Buy",IF(G1060=1,"plant","plants"),IF(F1060&gt;0.01,"warranty","Error")))</f>
        <v/>
      </c>
      <c r="I1060" s="640">
        <f>IF(H1060="free",0,IF(H1060="credit",((E1060*(F1060))*G1060*-1),IF(F1060="Buy",(E1060*G1060),((E1060*(1-F1060))*G1060))))</f>
        <v>0</v>
      </c>
      <c r="J1060" s="640">
        <f>IF(H1060="warranty",0,(I1060*(_xlfn.SINGLE(SalesTaxPercentage))))</f>
        <v>0</v>
      </c>
      <c r="K1060" s="716">
        <f t="shared" ref="K1060" si="786">I1060+J1060</f>
        <v>0</v>
      </c>
      <c r="L1060" s="716"/>
      <c r="M1060" s="689" t="str">
        <f ca="1">IF(AND(G1060&gt;0,E1060=0),"WARNING - no PRICE inserted",IF(H1060="free","FREE ~ no charge this plant",IF(H1060="credit",CONCATENATE("-$",ROUND(K1060*(1-_xlfn.SINGLE(T2GDiscount))*-1,2)," CREDIT after discount"),IF(_xlfn.SINGLE(T2GDiscount)=0,"",IF(G1060=0,"",IF(F1060="Buy",CONCATENATE("$",ROUND(K1060*(1-_xlfn.SINGLE(T2GDiscount)),2)," with ",(_xlfn.SINGLE(T2GDiscount)*100),"% discount"),CONCATENATE("$",ROUND(K1060*(1-_xlfn.SINGLE(T2GDiscount)),2)," with ",((_xlfn.SINGLE(T2GDiscount)*100+F1060*100)-(_xlfn.SINGLE(T2GDiscount)*100*F1060)),IF(F1060&gt;0,"% discounts",IF(_xlfn.SINGLE(NoWarrantyDiscount)&gt;0,"% discounts","% discount")))))))))</f>
        <v/>
      </c>
      <c r="N1060" s="690"/>
      <c r="O1060" s="486"/>
      <c r="P1060" s="486"/>
      <c r="Q1060" s="486"/>
      <c r="R1060" s="486"/>
      <c r="S1060" s="486"/>
      <c r="T1060" s="102">
        <f t="shared" si="765"/>
        <v>0</v>
      </c>
      <c r="U1060" s="78">
        <f>IF(NOT(ISNUMBER(G1060)), "", VLOOKUP(A1060,'Discount Lookup'!D:E,2,FALSE)*G1060)</f>
        <v>0</v>
      </c>
      <c r="V1060" s="78">
        <f>IF(NOT(ISNUMBER(G1060)), "", VLOOKUP(A1060,'Discount Lookup'!G:H,2,FALSE)*G1060)</f>
        <v>0</v>
      </c>
      <c r="W1060" s="102">
        <f t="shared" si="766"/>
        <v>0</v>
      </c>
      <c r="X1060" s="102">
        <f t="shared" si="767"/>
        <v>0</v>
      </c>
      <c r="Y1060" s="120" t="b">
        <f t="shared" si="768"/>
        <v>0</v>
      </c>
      <c r="Z1060" s="117">
        <f t="shared" si="769"/>
        <v>0</v>
      </c>
      <c r="AA1060" s="118"/>
      <c r="AB1060" s="118" t="str">
        <f t="shared" si="770"/>
        <v/>
      </c>
      <c r="AC1060" s="712" t="str">
        <f>IF(AE1060="T2G","no charge",IF(AND(OR(PlanterYesMe="No",PlanterYesMe="N",PlanterYesMe="me"),H1060=""),"",IF(H1060="credit","NO install",IF(AND(K1060="",AE1060="me"),"EACH row",IF(AND(K1060="images",AE1060="me"),"EACH row",IF(D1060="","",IF(H1060="credit","",IF(AE1060="free","re-planting",IF(AE1060="me","   not ELP, by",IF(AND(OR(PlanterYesMe="Yes",PlanterYesMe="Y"),G1060&gt;0),(VLOOKUP(A1060,'Discount Lookup'!J:K,2)*G1060*(1-PlanterDiscount)*(1+PlanterDifficultyPercentage)),IF(AE1060="ELP",(VLOOKUP(A1060,'Discount Lookup'!J:K,2)*G1060*(1-PlanterDiscount)*(1+PlanterDifficultyPercentage)),IF(AE1060="free","re-planting",IF(G1060=0,"",IF(PlanterYesMe="",IF(AE1060="me","   not ELP, by",IF(AE1060="",IF(G1060&gt;0,(VLOOKUP(A1060,'Discount Lookup'!J:K,2)*G1060*(1-PlanterDiscount)*(1+PlanterDifficultyPercentage)),""),"")),"   not ELP, by"))))))))))))))</f>
        <v/>
      </c>
      <c r="AD1060" s="712"/>
      <c r="AE1060" s="513" t="str">
        <f t="shared" si="771"/>
        <v/>
      </c>
      <c r="AF1060" s="713" t="str">
        <f t="shared" si="772"/>
        <v/>
      </c>
      <c r="AG1060" s="713"/>
      <c r="AH1060" s="713"/>
      <c r="AI1060" s="112">
        <f>IF(H1060="credit",0,IF(AE1060="free",0,IF(AE1060="me",0,IF(G1060&gt;0,(VLOOKUP(A1060,'Discount Lookup'!J:K,2)*G1060),0))))</f>
        <v>0</v>
      </c>
      <c r="AJ1060" s="107" t="str">
        <f t="shared" ca="1" si="773"/>
        <v/>
      </c>
      <c r="AK1060" s="714" t="str">
        <f t="shared" si="774"/>
        <v/>
      </c>
      <c r="AL1060" s="714"/>
      <c r="AM1060" s="114" t="str">
        <f t="shared" si="775"/>
        <v/>
      </c>
      <c r="AN1060" s="115"/>
      <c r="AO1060" s="116"/>
      <c r="AP1060" s="116"/>
      <c r="AQ1060" s="116"/>
      <c r="AR1060" s="116"/>
      <c r="AS1060" s="116"/>
      <c r="AT1060" s="116"/>
      <c r="AU1060" s="116"/>
      <c r="AV1060" s="78"/>
      <c r="AW1060" s="102"/>
      <c r="AX1060" s="78"/>
      <c r="AY1060" s="78"/>
      <c r="AZ1060" s="78"/>
      <c r="BA1060" s="78"/>
      <c r="BB1060" s="78"/>
      <c r="BC1060" s="78"/>
      <c r="BD1060" s="78"/>
      <c r="BE1060" s="465"/>
      <c r="BF1060" s="165" t="str">
        <f t="shared" si="776"/>
        <v>https://www.google.com/search?tbm=isch&amp;q=10%20G2</v>
      </c>
      <c r="BG1060" s="165" t="str">
        <f t="shared" si="777"/>
        <v>C</v>
      </c>
      <c r="BH1060" s="65"/>
      <c r="BI1060" s="65"/>
      <c r="BJ1060" s="65"/>
      <c r="BK1060" s="65"/>
      <c r="BL1060" s="99"/>
      <c r="BM1060" s="99"/>
      <c r="BN1060" s="99"/>
    </row>
    <row r="1061" spans="1:66" s="51" customFormat="1" ht="17.25" thickBot="1" x14ac:dyDescent="0.3">
      <c r="A1061" s="641" t="s">
        <v>2093</v>
      </c>
      <c r="B1061" s="642"/>
      <c r="C1061" s="710"/>
      <c r="D1061" s="643"/>
      <c r="E1061" s="643"/>
      <c r="F1061" s="644"/>
      <c r="G1061" s="645"/>
      <c r="H1061" s="646"/>
      <c r="I1061" s="647"/>
      <c r="J1061" s="648"/>
      <c r="K1061" s="649"/>
      <c r="L1061" s="650"/>
      <c r="M1061" s="650"/>
      <c r="N1061" s="644"/>
      <c r="O1061" s="644"/>
      <c r="P1061" s="644"/>
      <c r="Q1061" s="644"/>
      <c r="R1061" s="644"/>
      <c r="S1061" s="701" t="s">
        <v>5262</v>
      </c>
      <c r="T1061" s="102">
        <f t="shared" si="765"/>
        <v>0</v>
      </c>
      <c r="U1061" s="78" t="str">
        <f>IF(NOT(ISNUMBER(G1061)), "", VLOOKUP(A1061,'Discount Lookup'!D:E,2,FALSE)*G1061)</f>
        <v/>
      </c>
      <c r="V1061" s="78" t="str">
        <f>IF(NOT(ISNUMBER(G1061)), "", VLOOKUP(A1061,'Discount Lookup'!G:H,2,FALSE)*G1061)</f>
        <v/>
      </c>
      <c r="W1061" s="102">
        <f t="shared" si="766"/>
        <v>0</v>
      </c>
      <c r="X1061" s="102">
        <f t="shared" si="767"/>
        <v>0</v>
      </c>
      <c r="Y1061" s="120" t="b">
        <f t="shared" si="768"/>
        <v>0</v>
      </c>
      <c r="Z1061" s="117">
        <f t="shared" si="769"/>
        <v>0</v>
      </c>
      <c r="AA1061" s="118"/>
      <c r="AB1061" s="118" t="str">
        <f t="shared" si="770"/>
        <v/>
      </c>
      <c r="AC1061" s="712" t="str">
        <f>IF(AE1061="T2G","no charge",IF(AND(OR(PlanterYesMe="No",PlanterYesMe="N",PlanterYesMe="me"),H1061=""),"",IF(H1061="credit","NO install",IF(AND(K1061="",AE1061="me"),"EACH row",IF(AND(K1061="images",AE1061="me"),"EACH row",IF(D1061="","",IF(H1061="credit","",IF(AE1061="free","re-planting",IF(AE1061="me","   not ELP, by",IF(AND(OR(PlanterYesMe="Yes",PlanterYesMe="Y"),G1061&gt;0),(VLOOKUP(A1061,'Discount Lookup'!J:K,2)*G1061*(1-PlanterDiscount)*(1+PlanterDifficultyPercentage)),IF(AE1061="ELP",(VLOOKUP(A1061,'Discount Lookup'!J:K,2)*G1061*(1-PlanterDiscount)*(1+PlanterDifficultyPercentage)),IF(AE1061="free","re-planting",IF(G1061=0,"",IF(PlanterYesMe="",IF(AE1061="me","   not ELP, by",IF(AE1061="",IF(G1061&gt;0,(VLOOKUP(A1061,'Discount Lookup'!J:K,2)*G1061*(1-PlanterDiscount)*(1+PlanterDifficultyPercentage)),""),"")),"   not ELP, by"))))))))))))))</f>
        <v/>
      </c>
      <c r="AD1061" s="712"/>
      <c r="AE1061" s="513" t="str">
        <f t="shared" si="771"/>
        <v/>
      </c>
      <c r="AF1061" s="713" t="str">
        <f t="shared" si="772"/>
        <v/>
      </c>
      <c r="AG1061" s="713"/>
      <c r="AH1061" s="713"/>
      <c r="AI1061" s="112">
        <f>IF(H1061="credit",0,IF(AE1061="free",0,IF(AE1061="me",0,IF(G1061&gt;0,(VLOOKUP(A1061,'Discount Lookup'!J:K,2)*G1061),0))))</f>
        <v>0</v>
      </c>
      <c r="AJ1061" s="107" t="str">
        <f t="shared" ca="1" si="773"/>
        <v/>
      </c>
      <c r="AK1061" s="714" t="str">
        <f t="shared" si="774"/>
        <v/>
      </c>
      <c r="AL1061" s="714"/>
      <c r="AM1061" s="114" t="str">
        <f t="shared" si="775"/>
        <v/>
      </c>
      <c r="AN1061" s="115"/>
      <c r="AO1061" s="116"/>
      <c r="AP1061" s="116"/>
      <c r="AQ1061" s="116"/>
      <c r="AR1061" s="116"/>
      <c r="AS1061" s="116"/>
      <c r="AT1061" s="116"/>
      <c r="AU1061" s="116"/>
      <c r="AV1061" s="78"/>
      <c r="AW1061" s="102"/>
      <c r="AX1061" s="78"/>
      <c r="AY1061" s="78"/>
      <c r="AZ1061" s="78"/>
      <c r="BA1061" s="78"/>
      <c r="BB1061" s="78"/>
      <c r="BC1061" s="78"/>
      <c r="BD1061" s="78"/>
      <c r="BE1061" s="465"/>
      <c r="BF1061" s="165" t="str">
        <f t="shared" si="776"/>
        <v>https://www.google.com/search?tbm=isch&amp;q=Vanilla%20Twist%20named%20for%20being%20only%20Redbud%20with%20White%20bloom%2C%20not%20for%20any%20fragrance.%20Dramatic%20look.%20Zigzagging%20branches%20</v>
      </c>
      <c r="BG1061" s="165" t="str">
        <f t="shared" si="777"/>
        <v>V</v>
      </c>
      <c r="BH1061" s="65"/>
      <c r="BI1061" s="65"/>
      <c r="BJ1061" s="65"/>
      <c r="BK1061" s="65"/>
      <c r="BL1061" s="99"/>
      <c r="BM1061" s="99"/>
      <c r="BN1061" s="99"/>
    </row>
    <row r="1062" spans="1:66" s="51" customFormat="1" ht="18" x14ac:dyDescent="0.25">
      <c r="A1062" s="623" t="s">
        <v>5053</v>
      </c>
      <c r="B1062" s="624"/>
      <c r="C1062" s="709"/>
      <c r="D1062" s="625" t="s">
        <v>5054</v>
      </c>
      <c r="E1062" s="626"/>
      <c r="F1062" s="626"/>
      <c r="G1062" s="626"/>
      <c r="H1062" s="622" t="s">
        <v>333</v>
      </c>
      <c r="I1062" s="627" t="s">
        <v>5055</v>
      </c>
      <c r="J1062" s="628"/>
      <c r="K1062" s="628"/>
      <c r="L1062" s="629"/>
      <c r="M1062" s="700" t="s">
        <v>5249</v>
      </c>
      <c r="N1062" s="693" t="str">
        <f>IF(AND(ISTEXT($A1062), ISERROR($A1062+0)), HYPERLINK($BF1062, "Images"), "")</f>
        <v>Images</v>
      </c>
      <c r="O1062" s="695" t="s">
        <v>5247</v>
      </c>
      <c r="P1062" s="630"/>
      <c r="Q1062" s="631"/>
      <c r="R1062" s="632"/>
      <c r="S1062" s="633" t="s">
        <v>294</v>
      </c>
      <c r="T1062" s="102">
        <f t="shared" si="765"/>
        <v>0</v>
      </c>
      <c r="U1062" s="78" t="str">
        <f>IF(NOT(ISNUMBER(G1062)), "", VLOOKUP(A1062,'Discount Lookup'!D:E,2,FALSE)*G1062)</f>
        <v/>
      </c>
      <c r="V1062" s="78" t="str">
        <f>IF(NOT(ISNUMBER(G1062)), "", VLOOKUP(A1062,'Discount Lookup'!G:H,2,FALSE)*G1062)</f>
        <v/>
      </c>
      <c r="W1062" s="102">
        <f t="shared" si="766"/>
        <v>0</v>
      </c>
      <c r="X1062" s="102" t="str">
        <f t="shared" si="767"/>
        <v>Rosy Pink to Magenta bloom</v>
      </c>
      <c r="Y1062" s="120" t="b">
        <f t="shared" si="768"/>
        <v>0</v>
      </c>
      <c r="Z1062" s="117">
        <f t="shared" si="769"/>
        <v>0</v>
      </c>
      <c r="AA1062" s="118"/>
      <c r="AB1062" s="118" t="str">
        <f t="shared" si="770"/>
        <v/>
      </c>
      <c r="AC1062" s="712" t="str">
        <f>IF(AE1062="T2G","no charge",IF(AND(OR(PlanterYesMe="No",PlanterYesMe="N",PlanterYesMe="me"),H1062=""),"",IF(H1062="credit","NO install",IF(AND(K1062="",AE1062="me"),"EACH row",IF(AND(K1062="images",AE1062="me"),"EACH row",IF(D1062="","",IF(H1062="credit","",IF(AE1062="free","re-planting",IF(AE1062="me","   not ELP, by",IF(AND(OR(PlanterYesMe="Yes",PlanterYesMe="Y"),G1062&gt;0),(VLOOKUP(A1062,'Discount Lookup'!J:K,2)*G1062*(1-PlanterDiscount)*(1+PlanterDifficultyPercentage)),IF(AE1062="ELP",(VLOOKUP(A1062,'Discount Lookup'!J:K,2)*G1062*(1-PlanterDiscount)*(1+PlanterDifficultyPercentage)),IF(AE1062="free","re-planting",IF(G1062=0,"",IF(PlanterYesMe="",IF(AE1062="me","   not ELP, by",IF(AE1062="",IF(G1062&gt;0,(VLOOKUP(A1062,'Discount Lookup'!J:K,2)*G1062*(1-PlanterDiscount)*(1+PlanterDifficultyPercentage)),""),"")),"   not ELP, by"))))))))))))))</f>
        <v/>
      </c>
      <c r="AD1062" s="712"/>
      <c r="AE1062" s="513" t="str">
        <f t="shared" si="771"/>
        <v/>
      </c>
      <c r="AF1062" s="713" t="str">
        <f t="shared" si="772"/>
        <v/>
      </c>
      <c r="AG1062" s="713"/>
      <c r="AH1062" s="713"/>
      <c r="AI1062" s="112">
        <f>IF(H1062="credit",0,IF(AE1062="free",0,IF(AE1062="me",0,IF(G1062&gt;0,(VLOOKUP(A1062,'Discount Lookup'!J:K,2)*G1062),0))))</f>
        <v>0</v>
      </c>
      <c r="AJ1062" s="107" t="str">
        <f t="shared" ca="1" si="773"/>
        <v/>
      </c>
      <c r="AK1062" s="714" t="str">
        <f t="shared" si="774"/>
        <v/>
      </c>
      <c r="AL1062" s="714"/>
      <c r="AM1062" s="114" t="str">
        <f t="shared" si="775"/>
        <v/>
      </c>
      <c r="AN1062" s="115"/>
      <c r="AO1062" s="116"/>
      <c r="AP1062" s="116"/>
      <c r="AQ1062" s="116"/>
      <c r="AR1062" s="116"/>
      <c r="AS1062" s="116"/>
      <c r="AT1062" s="116"/>
      <c r="AU1062" s="116"/>
      <c r="AV1062" s="78"/>
      <c r="AW1062" s="102"/>
      <c r="AX1062" s="78"/>
      <c r="AY1062" s="78"/>
      <c r="AZ1062" s="78"/>
      <c r="BA1062" s="78"/>
      <c r="BB1062" s="78"/>
      <c r="BC1062" s="78"/>
      <c r="BD1062" s="78"/>
      <c r="BE1062" s="465"/>
      <c r="BF1062" s="165" t="str">
        <f t="shared" si="776"/>
        <v>https://www.google.com/search?tbm=isch&amp;q=Cercis%20canadensis%20%27Velvet%20Hearts%27%20Velvet%20Hearts%20Redbud</v>
      </c>
      <c r="BG1062" s="165" t="str">
        <f t="shared" si="777"/>
        <v>C</v>
      </c>
      <c r="BH1062" s="65"/>
      <c r="BI1062" s="65"/>
      <c r="BJ1062" s="65"/>
      <c r="BK1062" s="65"/>
      <c r="BL1062" s="99"/>
      <c r="BM1062" s="99"/>
      <c r="BN1062" s="99"/>
    </row>
    <row r="1063" spans="1:66" s="51" customFormat="1" ht="15.75" x14ac:dyDescent="0.25">
      <c r="A1063" s="634">
        <v>7</v>
      </c>
      <c r="B1063" s="635" t="s">
        <v>291</v>
      </c>
      <c r="C1063" s="636" t="s">
        <v>5056</v>
      </c>
      <c r="D1063" s="637" t="s">
        <v>299</v>
      </c>
      <c r="E1063" s="638">
        <v>111.95</v>
      </c>
      <c r="F1063" s="639" t="s">
        <v>292</v>
      </c>
      <c r="G1063" s="484">
        <v>0</v>
      </c>
      <c r="H1063" s="691" t="str">
        <f>IF(G1063=0,"",IF(F1063="Buy",IF(G1063=1,"plant","plants"),IF(F1063&gt;0.01,"warranty","Error")))</f>
        <v/>
      </c>
      <c r="I1063" s="640">
        <f>IF(H1063="free",0,IF(H1063="credit",((E1063*(F1063))*G1063*-1),IF(F1063="Buy",(E1063*G1063),((E1063*(1-F1063))*G1063))))</f>
        <v>0</v>
      </c>
      <c r="J1063" s="640">
        <f>IF(H1063="warranty",0,(I1063*(_xlfn.SINGLE(SalesTaxPercentage))))</f>
        <v>0</v>
      </c>
      <c r="K1063" s="716">
        <f t="shared" ref="K1063" si="787">I1063+J1063</f>
        <v>0</v>
      </c>
      <c r="L1063" s="716"/>
      <c r="M1063" s="689" t="str">
        <f ca="1">IF(AND(G1063&gt;0,E1063=0),"WARNING - no PRICE inserted",IF(H1063="free","FREE ~ no charge this plant",IF(H1063="credit",CONCATENATE("-$",ROUND(K1063*(1-_xlfn.SINGLE(T2GDiscount))*-1,2)," CREDIT after discount"),IF(_xlfn.SINGLE(T2GDiscount)=0,"",IF(G1063=0,"",IF(F1063="Buy",CONCATENATE("$",ROUND(K1063*(1-_xlfn.SINGLE(T2GDiscount)),2)," with ",(_xlfn.SINGLE(T2GDiscount)*100),"% discount"),CONCATENATE("$",ROUND(K1063*(1-_xlfn.SINGLE(T2GDiscount)),2)," with ",((_xlfn.SINGLE(T2GDiscount)*100+F1063*100)-(_xlfn.SINGLE(T2GDiscount)*100*F1063)),IF(F1063&gt;0,"% discounts",IF(_xlfn.SINGLE(NoWarrantyDiscount)&gt;0,"% discounts","% discount")))))))))</f>
        <v/>
      </c>
      <c r="N1063" s="690"/>
      <c r="O1063" s="486"/>
      <c r="P1063" s="486"/>
      <c r="Q1063" s="486"/>
      <c r="R1063" s="486"/>
      <c r="S1063" s="486"/>
      <c r="T1063" s="102">
        <f t="shared" si="765"/>
        <v>0</v>
      </c>
      <c r="U1063" s="78">
        <f>IF(NOT(ISNUMBER(G1063)), "", VLOOKUP(A1063,'Discount Lookup'!D:E,2,FALSE)*G1063)</f>
        <v>0</v>
      </c>
      <c r="V1063" s="78">
        <f>IF(NOT(ISNUMBER(G1063)), "", VLOOKUP(A1063,'Discount Lookup'!G:H,2,FALSE)*G1063)</f>
        <v>0</v>
      </c>
      <c r="W1063" s="102">
        <f t="shared" si="766"/>
        <v>0</v>
      </c>
      <c r="X1063" s="102">
        <f t="shared" si="767"/>
        <v>0</v>
      </c>
      <c r="Y1063" s="120" t="b">
        <f t="shared" si="768"/>
        <v>0</v>
      </c>
      <c r="Z1063" s="117">
        <f t="shared" si="769"/>
        <v>0</v>
      </c>
      <c r="AA1063" s="118"/>
      <c r="AB1063" s="118" t="str">
        <f t="shared" si="770"/>
        <v/>
      </c>
      <c r="AC1063" s="712" t="str">
        <f>IF(AE1063="T2G","no charge",IF(AND(OR(PlanterYesMe="No",PlanterYesMe="N",PlanterYesMe="me"),H1063=""),"",IF(H1063="credit","NO install",IF(AND(K1063="",AE1063="me"),"EACH row",IF(AND(K1063="images",AE1063="me"),"EACH row",IF(D1063="","",IF(H1063="credit","",IF(AE1063="free","re-planting",IF(AE1063="me","   not ELP, by",IF(AND(OR(PlanterYesMe="Yes",PlanterYesMe="Y"),G1063&gt;0),(VLOOKUP(A1063,'Discount Lookup'!J:K,2)*G1063*(1-PlanterDiscount)*(1+PlanterDifficultyPercentage)),IF(AE1063="ELP",(VLOOKUP(A1063,'Discount Lookup'!J:K,2)*G1063*(1-PlanterDiscount)*(1+PlanterDifficultyPercentage)),IF(AE1063="free","re-planting",IF(G1063=0,"",IF(PlanterYesMe="",IF(AE1063="me","   not ELP, by",IF(AE1063="",IF(G1063&gt;0,(VLOOKUP(A1063,'Discount Lookup'!J:K,2)*G1063*(1-PlanterDiscount)*(1+PlanterDifficultyPercentage)),""),"")),"   not ELP, by"))))))))))))))</f>
        <v/>
      </c>
      <c r="AD1063" s="712"/>
      <c r="AE1063" s="513" t="str">
        <f t="shared" si="771"/>
        <v/>
      </c>
      <c r="AF1063" s="713" t="str">
        <f t="shared" si="772"/>
        <v/>
      </c>
      <c r="AG1063" s="713"/>
      <c r="AH1063" s="713"/>
      <c r="AI1063" s="112">
        <f>IF(H1063="credit",0,IF(AE1063="free",0,IF(AE1063="me",0,IF(G1063&gt;0,(VLOOKUP(A1063,'Discount Lookup'!J:K,2)*G1063),0))))</f>
        <v>0</v>
      </c>
      <c r="AJ1063" s="107" t="str">
        <f t="shared" ca="1" si="773"/>
        <v/>
      </c>
      <c r="AK1063" s="714" t="str">
        <f t="shared" si="774"/>
        <v/>
      </c>
      <c r="AL1063" s="714"/>
      <c r="AM1063" s="114" t="str">
        <f t="shared" si="775"/>
        <v/>
      </c>
      <c r="AN1063" s="115"/>
      <c r="AO1063" s="116"/>
      <c r="AP1063" s="116"/>
      <c r="AQ1063" s="116"/>
      <c r="AR1063" s="116"/>
      <c r="AS1063" s="116"/>
      <c r="AT1063" s="116"/>
      <c r="AU1063" s="116"/>
      <c r="AV1063" s="78"/>
      <c r="AW1063" s="102"/>
      <c r="AX1063" s="78"/>
      <c r="AY1063" s="78"/>
      <c r="AZ1063" s="78"/>
      <c r="BA1063" s="78"/>
      <c r="BB1063" s="78"/>
      <c r="BC1063" s="78"/>
      <c r="BD1063" s="78"/>
      <c r="BE1063" s="465"/>
      <c r="BF1063" s="165" t="str">
        <f t="shared" si="776"/>
        <v>https://www.google.com/search?tbm=isch&amp;q=7%20G4</v>
      </c>
      <c r="BG1063" s="165" t="str">
        <f t="shared" si="777"/>
        <v>C</v>
      </c>
      <c r="BH1063" s="65"/>
      <c r="BI1063" s="65"/>
      <c r="BJ1063" s="65"/>
      <c r="BK1063" s="65"/>
      <c r="BL1063" s="99"/>
      <c r="BM1063" s="99"/>
      <c r="BN1063" s="99"/>
    </row>
    <row r="1064" spans="1:66" s="51" customFormat="1" ht="15.75" x14ac:dyDescent="0.25">
      <c r="A1064" s="634">
        <v>10</v>
      </c>
      <c r="B1064" s="635" t="s">
        <v>291</v>
      </c>
      <c r="C1064" s="636" t="s">
        <v>5057</v>
      </c>
      <c r="D1064" s="637" t="s">
        <v>299</v>
      </c>
      <c r="E1064" s="638">
        <v>155.94999999999999</v>
      </c>
      <c r="F1064" s="639" t="s">
        <v>292</v>
      </c>
      <c r="G1064" s="484">
        <v>0</v>
      </c>
      <c r="H1064" s="691" t="str">
        <f>IF(G1064=0,"",IF(F1064="Buy",IF(G1064=1,"plant","plants"),IF(F1064&gt;0.01,"warranty","Error")))</f>
        <v/>
      </c>
      <c r="I1064" s="640">
        <f>IF(H1064="free",0,IF(H1064="credit",((E1064*(F1064))*G1064*-1),IF(F1064="Buy",(E1064*G1064),((E1064*(1-F1064))*G1064))))</f>
        <v>0</v>
      </c>
      <c r="J1064" s="640">
        <f>IF(H1064="warranty",0,(I1064*(_xlfn.SINGLE(SalesTaxPercentage))))</f>
        <v>0</v>
      </c>
      <c r="K1064" s="716">
        <f t="shared" ref="K1064" si="788">I1064+J1064</f>
        <v>0</v>
      </c>
      <c r="L1064" s="716"/>
      <c r="M1064" s="689" t="str">
        <f ca="1">IF(AND(G1064&gt;0,E1064=0),"WARNING - no PRICE inserted",IF(H1064="free","FREE ~ no charge this plant",IF(H1064="credit",CONCATENATE("-$",ROUND(K1064*(1-_xlfn.SINGLE(T2GDiscount))*-1,2)," CREDIT after discount"),IF(_xlfn.SINGLE(T2GDiscount)=0,"",IF(G1064=0,"",IF(F1064="Buy",CONCATENATE("$",ROUND(K1064*(1-_xlfn.SINGLE(T2GDiscount)),2)," with ",(_xlfn.SINGLE(T2GDiscount)*100),"% discount"),CONCATENATE("$",ROUND(K1064*(1-_xlfn.SINGLE(T2GDiscount)),2)," with ",((_xlfn.SINGLE(T2GDiscount)*100+F1064*100)-(_xlfn.SINGLE(T2GDiscount)*100*F1064)),IF(F1064&gt;0,"% discounts",IF(_xlfn.SINGLE(NoWarrantyDiscount)&gt;0,"% discounts","% discount")))))))))</f>
        <v/>
      </c>
      <c r="N1064" s="690"/>
      <c r="O1064" s="486"/>
      <c r="P1064" s="486"/>
      <c r="Q1064" s="486"/>
      <c r="R1064" s="486"/>
      <c r="S1064" s="486"/>
      <c r="T1064" s="102">
        <f t="shared" si="765"/>
        <v>0</v>
      </c>
      <c r="U1064" s="78">
        <f>IF(NOT(ISNUMBER(G1064)), "", VLOOKUP(A1064,'Discount Lookup'!D:E,2,FALSE)*G1064)</f>
        <v>0</v>
      </c>
      <c r="V1064" s="78">
        <f>IF(NOT(ISNUMBER(G1064)), "", VLOOKUP(A1064,'Discount Lookup'!G:H,2,FALSE)*G1064)</f>
        <v>0</v>
      </c>
      <c r="W1064" s="102">
        <f t="shared" si="766"/>
        <v>0</v>
      </c>
      <c r="X1064" s="102">
        <f t="shared" si="767"/>
        <v>0</v>
      </c>
      <c r="Y1064" s="120" t="b">
        <f t="shared" si="768"/>
        <v>0</v>
      </c>
      <c r="Z1064" s="117">
        <f t="shared" si="769"/>
        <v>0</v>
      </c>
      <c r="AA1064" s="118"/>
      <c r="AB1064" s="118" t="str">
        <f t="shared" si="770"/>
        <v/>
      </c>
      <c r="AC1064" s="712" t="str">
        <f>IF(AE1064="T2G","no charge",IF(AND(OR(PlanterYesMe="No",PlanterYesMe="N",PlanterYesMe="me"),H1064=""),"",IF(H1064="credit","NO install",IF(AND(K1064="",AE1064="me"),"EACH row",IF(AND(K1064="images",AE1064="me"),"EACH row",IF(D1064="","",IF(H1064="credit","",IF(AE1064="free","re-planting",IF(AE1064="me","   not ELP, by",IF(AND(OR(PlanterYesMe="Yes",PlanterYesMe="Y"),G1064&gt;0),(VLOOKUP(A1064,'Discount Lookup'!J:K,2)*G1064*(1-PlanterDiscount)*(1+PlanterDifficultyPercentage)),IF(AE1064="ELP",(VLOOKUP(A1064,'Discount Lookup'!J:K,2)*G1064*(1-PlanterDiscount)*(1+PlanterDifficultyPercentage)),IF(AE1064="free","re-planting",IF(G1064=0,"",IF(PlanterYesMe="",IF(AE1064="me","   not ELP, by",IF(AE1064="",IF(G1064&gt;0,(VLOOKUP(A1064,'Discount Lookup'!J:K,2)*G1064*(1-PlanterDiscount)*(1+PlanterDifficultyPercentage)),""),"")),"   not ELP, by"))))))))))))))</f>
        <v/>
      </c>
      <c r="AD1064" s="712"/>
      <c r="AE1064" s="513" t="str">
        <f t="shared" si="771"/>
        <v/>
      </c>
      <c r="AF1064" s="713" t="str">
        <f t="shared" si="772"/>
        <v/>
      </c>
      <c r="AG1064" s="713"/>
      <c r="AH1064" s="713"/>
      <c r="AI1064" s="112">
        <f>IF(H1064="credit",0,IF(AE1064="free",0,IF(AE1064="me",0,IF(G1064&gt;0,(VLOOKUP(A1064,'Discount Lookup'!J:K,2)*G1064),0))))</f>
        <v>0</v>
      </c>
      <c r="AJ1064" s="107" t="str">
        <f t="shared" ca="1" si="773"/>
        <v/>
      </c>
      <c r="AK1064" s="714" t="str">
        <f t="shared" si="774"/>
        <v/>
      </c>
      <c r="AL1064" s="714"/>
      <c r="AM1064" s="114" t="str">
        <f t="shared" si="775"/>
        <v/>
      </c>
      <c r="AN1064" s="115"/>
      <c r="AO1064" s="116"/>
      <c r="AP1064" s="116"/>
      <c r="AQ1064" s="116"/>
      <c r="AR1064" s="116"/>
      <c r="AS1064" s="116"/>
      <c r="AT1064" s="116"/>
      <c r="AU1064" s="116"/>
      <c r="AV1064" s="78"/>
      <c r="AW1064" s="102"/>
      <c r="AX1064" s="78"/>
      <c r="AY1064" s="78"/>
      <c r="AZ1064" s="78"/>
      <c r="BA1064" s="78"/>
      <c r="BB1064" s="78"/>
      <c r="BC1064" s="78"/>
      <c r="BD1064" s="78"/>
      <c r="BE1064" s="465"/>
      <c r="BF1064" s="165" t="str">
        <f t="shared" si="776"/>
        <v>https://www.google.com/search?tbm=isch&amp;q=10%20G4</v>
      </c>
      <c r="BG1064" s="165" t="str">
        <f t="shared" si="777"/>
        <v>C</v>
      </c>
      <c r="BH1064" s="65"/>
      <c r="BI1064" s="65"/>
      <c r="BJ1064" s="65"/>
      <c r="BK1064" s="65"/>
      <c r="BL1064" s="99"/>
      <c r="BM1064" s="99"/>
      <c r="BN1064" s="99"/>
    </row>
    <row r="1065" spans="1:66" s="51" customFormat="1" ht="17.25" thickBot="1" x14ac:dyDescent="0.3">
      <c r="A1065" s="641" t="s">
        <v>5058</v>
      </c>
      <c r="B1065" s="642"/>
      <c r="C1065" s="710"/>
      <c r="D1065" s="643"/>
      <c r="E1065" s="643"/>
      <c r="F1065" s="644"/>
      <c r="G1065" s="645"/>
      <c r="H1065" s="646"/>
      <c r="I1065" s="647"/>
      <c r="J1065" s="648"/>
      <c r="K1065" s="649"/>
      <c r="L1065" s="650"/>
      <c r="M1065" s="650"/>
      <c r="N1065" s="644"/>
      <c r="O1065" s="644"/>
      <c r="P1065" s="644"/>
      <c r="Q1065" s="644"/>
      <c r="R1065" s="644"/>
      <c r="S1065" s="701" t="s">
        <v>5262</v>
      </c>
      <c r="T1065" s="102">
        <f t="shared" si="765"/>
        <v>0</v>
      </c>
      <c r="U1065" s="78" t="str">
        <f>IF(NOT(ISNUMBER(G1065)), "", VLOOKUP(A1065,'Discount Lookup'!D:E,2,FALSE)*G1065)</f>
        <v/>
      </c>
      <c r="V1065" s="78" t="str">
        <f>IF(NOT(ISNUMBER(G1065)), "", VLOOKUP(A1065,'Discount Lookup'!G:H,2,FALSE)*G1065)</f>
        <v/>
      </c>
      <c r="W1065" s="102">
        <f t="shared" si="766"/>
        <v>0</v>
      </c>
      <c r="X1065" s="102">
        <f t="shared" si="767"/>
        <v>0</v>
      </c>
      <c r="Y1065" s="120" t="b">
        <f t="shared" si="768"/>
        <v>0</v>
      </c>
      <c r="Z1065" s="117">
        <f t="shared" si="769"/>
        <v>0</v>
      </c>
      <c r="AA1065" s="118"/>
      <c r="AB1065" s="118" t="str">
        <f t="shared" si="770"/>
        <v/>
      </c>
      <c r="AC1065" s="712" t="str">
        <f>IF(AE1065="T2G","no charge",IF(AND(OR(PlanterYesMe="No",PlanterYesMe="N",PlanterYesMe="me"),H1065=""),"",IF(H1065="credit","NO install",IF(AND(K1065="",AE1065="me"),"EACH row",IF(AND(K1065="images",AE1065="me"),"EACH row",IF(D1065="","",IF(H1065="credit","",IF(AE1065="free","re-planting",IF(AE1065="me","   not ELP, by",IF(AND(OR(PlanterYesMe="Yes",PlanterYesMe="Y"),G1065&gt;0),(VLOOKUP(A1065,'Discount Lookup'!J:K,2)*G1065*(1-PlanterDiscount)*(1+PlanterDifficultyPercentage)),IF(AE1065="ELP",(VLOOKUP(A1065,'Discount Lookup'!J:K,2)*G1065*(1-PlanterDiscount)*(1+PlanterDifficultyPercentage)),IF(AE1065="free","re-planting",IF(G1065=0,"",IF(PlanterYesMe="",IF(AE1065="me","   not ELP, by",IF(AE1065="",IF(G1065&gt;0,(VLOOKUP(A1065,'Discount Lookup'!J:K,2)*G1065*(1-PlanterDiscount)*(1+PlanterDifficultyPercentage)),""),"")),"   not ELP, by"))))))))))))))</f>
        <v/>
      </c>
      <c r="AD1065" s="712"/>
      <c r="AE1065" s="513" t="str">
        <f t="shared" si="771"/>
        <v/>
      </c>
      <c r="AF1065" s="713" t="str">
        <f t="shared" si="772"/>
        <v/>
      </c>
      <c r="AG1065" s="713"/>
      <c r="AH1065" s="713"/>
      <c r="AI1065" s="112">
        <f>IF(H1065="credit",0,IF(AE1065="free",0,IF(AE1065="me",0,IF(G1065&gt;0,(VLOOKUP(A1065,'Discount Lookup'!J:K,2)*G1065),0))))</f>
        <v>0</v>
      </c>
      <c r="AJ1065" s="107" t="str">
        <f t="shared" ca="1" si="773"/>
        <v/>
      </c>
      <c r="AK1065" s="714" t="str">
        <f t="shared" si="774"/>
        <v/>
      </c>
      <c r="AL1065" s="714"/>
      <c r="AM1065" s="114" t="str">
        <f t="shared" si="775"/>
        <v/>
      </c>
      <c r="AN1065" s="115"/>
      <c r="AO1065" s="116"/>
      <c r="AP1065" s="116"/>
      <c r="AQ1065" s="116"/>
      <c r="AR1065" s="116"/>
      <c r="AS1065" s="116"/>
      <c r="AT1065" s="116"/>
      <c r="AU1065" s="116"/>
      <c r="AV1065" s="78"/>
      <c r="AW1065" s="102"/>
      <c r="AX1065" s="78"/>
      <c r="AY1065" s="78"/>
      <c r="AZ1065" s="78"/>
      <c r="BA1065" s="78"/>
      <c r="BB1065" s="78"/>
      <c r="BC1065" s="78"/>
      <c r="BD1065" s="78"/>
      <c r="BE1065" s="465"/>
      <c r="BF1065" s="165" t="str">
        <f t="shared" si="776"/>
        <v>https://www.google.com/search?tbm=isch&amp;q=Velvet%20Hearts%20has%20vivid%20Reddish-Purple%20foliage%20with%20glowing%20Red%20undersides%2C%20turning%20clear%20Yellow%20in%20fall.%20Very%20early%20spring%20blooms%20</v>
      </c>
      <c r="BG1065" s="165" t="str">
        <f t="shared" si="777"/>
        <v>V</v>
      </c>
      <c r="BH1065" s="65"/>
      <c r="BI1065" s="65"/>
      <c r="BJ1065" s="65"/>
      <c r="BK1065" s="65"/>
      <c r="BL1065" s="99"/>
      <c r="BM1065" s="99"/>
      <c r="BN1065" s="99"/>
    </row>
    <row r="1066" spans="1:66" s="51" customFormat="1" ht="18" x14ac:dyDescent="0.25">
      <c r="A1066" s="623" t="s">
        <v>2094</v>
      </c>
      <c r="B1066" s="624"/>
      <c r="C1066" s="709"/>
      <c r="D1066" s="625" t="s">
        <v>2095</v>
      </c>
      <c r="E1066" s="626"/>
      <c r="F1066" s="626"/>
      <c r="G1066" s="626"/>
      <c r="H1066" s="622" t="s">
        <v>2084</v>
      </c>
      <c r="I1066" s="627" t="s">
        <v>2096</v>
      </c>
      <c r="J1066" s="628"/>
      <c r="K1066" s="628"/>
      <c r="L1066" s="629"/>
      <c r="M1066" s="700" t="s">
        <v>5249</v>
      </c>
      <c r="N1066" s="693" t="str">
        <f>IF(AND(ISTEXT($A1066), ISERROR($A1066+0)), HYPERLINK($BF1066, "Images"), "")</f>
        <v>Images</v>
      </c>
      <c r="O1066" s="695" t="s">
        <v>5264</v>
      </c>
      <c r="P1066" s="630"/>
      <c r="Q1066" s="631"/>
      <c r="R1066" s="632"/>
      <c r="S1066" s="633" t="s">
        <v>294</v>
      </c>
      <c r="T1066" s="102">
        <f t="shared" si="765"/>
        <v>0</v>
      </c>
      <c r="U1066" s="78" t="str">
        <f>IF(NOT(ISNUMBER(G1066)), "", VLOOKUP(A1066,'Discount Lookup'!D:E,2,FALSE)*G1066)</f>
        <v/>
      </c>
      <c r="V1066" s="78" t="str">
        <f>IF(NOT(ISNUMBER(G1066)), "", VLOOKUP(A1066,'Discount Lookup'!G:H,2,FALSE)*G1066)</f>
        <v/>
      </c>
      <c r="W1066" s="102">
        <f t="shared" si="766"/>
        <v>0</v>
      </c>
      <c r="X1066" s="102" t="str">
        <f t="shared" si="767"/>
        <v>Rose-Purple bloom</v>
      </c>
      <c r="Y1066" s="120" t="b">
        <f t="shared" si="768"/>
        <v>0</v>
      </c>
      <c r="Z1066" s="117">
        <f t="shared" si="769"/>
        <v>0</v>
      </c>
      <c r="AA1066" s="118"/>
      <c r="AB1066" s="118" t="str">
        <f t="shared" si="770"/>
        <v/>
      </c>
      <c r="AC1066" s="712" t="str">
        <f>IF(AE1066="T2G","no charge",IF(AND(OR(PlanterYesMe="No",PlanterYesMe="N",PlanterYesMe="me"),H1066=""),"",IF(H1066="credit","NO install",IF(AND(K1066="",AE1066="me"),"EACH row",IF(AND(K1066="images",AE1066="me"),"EACH row",IF(D1066="","",IF(H1066="credit","",IF(AE1066="free","re-planting",IF(AE1066="me","   not ELP, by",IF(AND(OR(PlanterYesMe="Yes",PlanterYesMe="Y"),G1066&gt;0),(VLOOKUP(A1066,'Discount Lookup'!J:K,2)*G1066*(1-PlanterDiscount)*(1+PlanterDifficultyPercentage)),IF(AE1066="ELP",(VLOOKUP(A1066,'Discount Lookup'!J:K,2)*G1066*(1-PlanterDiscount)*(1+PlanterDifficultyPercentage)),IF(AE1066="free","re-planting",IF(G1066=0,"",IF(PlanterYesMe="",IF(AE1066="me","   not ELP, by",IF(AE1066="",IF(G1066&gt;0,(VLOOKUP(A1066,'Discount Lookup'!J:K,2)*G1066*(1-PlanterDiscount)*(1+PlanterDifficultyPercentage)),""),"")),"   not ELP, by"))))))))))))))</f>
        <v/>
      </c>
      <c r="AD1066" s="712"/>
      <c r="AE1066" s="513" t="str">
        <f t="shared" si="771"/>
        <v/>
      </c>
      <c r="AF1066" s="713" t="str">
        <f t="shared" si="772"/>
        <v/>
      </c>
      <c r="AG1066" s="713"/>
      <c r="AH1066" s="713"/>
      <c r="AI1066" s="112">
        <f>IF(H1066="credit",0,IF(AE1066="free",0,IF(AE1066="me",0,IF(G1066&gt;0,(VLOOKUP(A1066,'Discount Lookup'!J:K,2)*G1066),0))))</f>
        <v>0</v>
      </c>
      <c r="AJ1066" s="107" t="str">
        <f t="shared" ca="1" si="773"/>
        <v/>
      </c>
      <c r="AK1066" s="714" t="str">
        <f t="shared" si="774"/>
        <v/>
      </c>
      <c r="AL1066" s="714"/>
      <c r="AM1066" s="114" t="str">
        <f t="shared" si="775"/>
        <v/>
      </c>
      <c r="AN1066" s="115"/>
      <c r="AO1066" s="116"/>
      <c r="AP1066" s="116"/>
      <c r="AQ1066" s="116"/>
      <c r="AR1066" s="116"/>
      <c r="AS1066" s="116"/>
      <c r="AT1066" s="116"/>
      <c r="AU1066" s="116"/>
      <c r="AV1066" s="78"/>
      <c r="AW1066" s="102"/>
      <c r="AX1066" s="78"/>
      <c r="AY1066" s="78"/>
      <c r="AZ1066" s="78"/>
      <c r="BA1066" s="78"/>
      <c r="BB1066" s="78"/>
      <c r="BC1066" s="78"/>
      <c r="BD1066" s="78"/>
      <c r="BE1066" s="465"/>
      <c r="BF1066" s="165" t="str">
        <f t="shared" si="776"/>
        <v>https://www.google.com/search?tbm=isch&amp;q=Cercis%20canadensis%20%27Whitewater%27%20PP%2323998%20Whitewater%20Weeping%20Redbud</v>
      </c>
      <c r="BG1066" s="165" t="str">
        <f t="shared" si="777"/>
        <v>C</v>
      </c>
      <c r="BH1066" s="65"/>
      <c r="BI1066" s="65"/>
      <c r="BJ1066" s="65"/>
      <c r="BK1066" s="65"/>
      <c r="BL1066" s="99"/>
      <c r="BM1066" s="99"/>
      <c r="BN1066" s="99"/>
    </row>
    <row r="1067" spans="1:66" s="51" customFormat="1" ht="27" x14ac:dyDescent="0.25">
      <c r="A1067" s="634">
        <v>7</v>
      </c>
      <c r="B1067" s="635" t="s">
        <v>291</v>
      </c>
      <c r="C1067" s="636" t="s">
        <v>2097</v>
      </c>
      <c r="D1067" s="637" t="s">
        <v>299</v>
      </c>
      <c r="E1067" s="638">
        <v>137.94999999999999</v>
      </c>
      <c r="F1067" s="639" t="s">
        <v>292</v>
      </c>
      <c r="G1067" s="484">
        <v>0</v>
      </c>
      <c r="H1067" s="691" t="str">
        <f>IF(G1067=0,"",IF(F1067="Buy",IF(G1067=1,"plant","plants"),IF(F1067&gt;0.01,"warranty","Error")))</f>
        <v/>
      </c>
      <c r="I1067" s="640">
        <f>IF(H1067="free",0,IF(H1067="credit",((E1067*(F1067))*G1067*-1),IF(F1067="Buy",(E1067*G1067),((E1067*(1-F1067))*G1067))))</f>
        <v>0</v>
      </c>
      <c r="J1067" s="640">
        <f>IF(H1067="warranty",0,(I1067*(_xlfn.SINGLE(SalesTaxPercentage))))</f>
        <v>0</v>
      </c>
      <c r="K1067" s="716">
        <f t="shared" ref="K1067" si="789">I1067+J1067</f>
        <v>0</v>
      </c>
      <c r="L1067" s="716"/>
      <c r="M1067" s="689" t="str">
        <f ca="1">IF(AND(G1067&gt;0,E1067=0),"WARNING - no PRICE inserted",IF(H1067="free","FREE ~ no charge this plant",IF(H1067="credit",CONCATENATE("-$",ROUND(K1067*(1-_xlfn.SINGLE(T2GDiscount))*-1,2)," CREDIT after discount"),IF(_xlfn.SINGLE(T2GDiscount)=0,"",IF(G1067=0,"",IF(F1067="Buy",CONCATENATE("$",ROUND(K1067*(1-_xlfn.SINGLE(T2GDiscount)),2)," with ",(_xlfn.SINGLE(T2GDiscount)*100),"% discount"),CONCATENATE("$",ROUND(K1067*(1-_xlfn.SINGLE(T2GDiscount)),2)," with ",((_xlfn.SINGLE(T2GDiscount)*100+F1067*100)-(_xlfn.SINGLE(T2GDiscount)*100*F1067)),IF(F1067&gt;0,"% discounts",IF(_xlfn.SINGLE(NoWarrantyDiscount)&gt;0,"% discounts","% discount")))))))))</f>
        <v/>
      </c>
      <c r="N1067" s="690"/>
      <c r="O1067" s="486"/>
      <c r="P1067" s="486"/>
      <c r="Q1067" s="486"/>
      <c r="R1067" s="486"/>
      <c r="S1067" s="486"/>
      <c r="T1067" s="102">
        <f t="shared" si="765"/>
        <v>0</v>
      </c>
      <c r="U1067" s="78">
        <f>IF(NOT(ISNUMBER(G1067)), "", VLOOKUP(A1067,'Discount Lookup'!D:E,2,FALSE)*G1067)</f>
        <v>0</v>
      </c>
      <c r="V1067" s="78">
        <f>IF(NOT(ISNUMBER(G1067)), "", VLOOKUP(A1067,'Discount Lookup'!G:H,2,FALSE)*G1067)</f>
        <v>0</v>
      </c>
      <c r="W1067" s="102">
        <f t="shared" si="766"/>
        <v>0</v>
      </c>
      <c r="X1067" s="102">
        <f t="shared" si="767"/>
        <v>0</v>
      </c>
      <c r="Y1067" s="120" t="b">
        <f t="shared" si="768"/>
        <v>0</v>
      </c>
      <c r="Z1067" s="117">
        <f t="shared" si="769"/>
        <v>0</v>
      </c>
      <c r="AA1067" s="118"/>
      <c r="AB1067" s="118" t="str">
        <f t="shared" si="770"/>
        <v/>
      </c>
      <c r="AC1067" s="712" t="str">
        <f>IF(AE1067="T2G","no charge",IF(AND(OR(PlanterYesMe="No",PlanterYesMe="N",PlanterYesMe="me"),H1067=""),"",IF(H1067="credit","NO install",IF(AND(K1067="",AE1067="me"),"EACH row",IF(AND(K1067="images",AE1067="me"),"EACH row",IF(D1067="","",IF(H1067="credit","",IF(AE1067="free","re-planting",IF(AE1067="me","   not ELP, by",IF(AND(OR(PlanterYesMe="Yes",PlanterYesMe="Y"),G1067&gt;0),(VLOOKUP(A1067,'Discount Lookup'!J:K,2)*G1067*(1-PlanterDiscount)*(1+PlanterDifficultyPercentage)),IF(AE1067="ELP",(VLOOKUP(A1067,'Discount Lookup'!J:K,2)*G1067*(1-PlanterDiscount)*(1+PlanterDifficultyPercentage)),IF(AE1067="free","re-planting",IF(G1067=0,"",IF(PlanterYesMe="",IF(AE1067="me","   not ELP, by",IF(AE1067="",IF(G1067&gt;0,(VLOOKUP(A1067,'Discount Lookup'!J:K,2)*G1067*(1-PlanterDiscount)*(1+PlanterDifficultyPercentage)),""),"")),"   not ELP, by"))))))))))))))</f>
        <v/>
      </c>
      <c r="AD1067" s="712"/>
      <c r="AE1067" s="513" t="str">
        <f t="shared" si="771"/>
        <v/>
      </c>
      <c r="AF1067" s="713" t="str">
        <f t="shared" si="772"/>
        <v/>
      </c>
      <c r="AG1067" s="713"/>
      <c r="AH1067" s="713"/>
      <c r="AI1067" s="112">
        <f>IF(H1067="credit",0,IF(AE1067="free",0,IF(AE1067="me",0,IF(G1067&gt;0,(VLOOKUP(A1067,'Discount Lookup'!J:K,2)*G1067),0))))</f>
        <v>0</v>
      </c>
      <c r="AJ1067" s="107" t="str">
        <f t="shared" ca="1" si="773"/>
        <v/>
      </c>
      <c r="AK1067" s="714" t="str">
        <f t="shared" si="774"/>
        <v/>
      </c>
      <c r="AL1067" s="714"/>
      <c r="AM1067" s="114" t="str">
        <f t="shared" si="775"/>
        <v/>
      </c>
      <c r="AN1067" s="115"/>
      <c r="AO1067" s="116"/>
      <c r="AP1067" s="116"/>
      <c r="AQ1067" s="116"/>
      <c r="AR1067" s="116"/>
      <c r="AS1067" s="116"/>
      <c r="AT1067" s="116"/>
      <c r="AU1067" s="116"/>
      <c r="AV1067" s="78"/>
      <c r="AW1067" s="102"/>
      <c r="AX1067" s="78"/>
      <c r="AY1067" s="78"/>
      <c r="AZ1067" s="78"/>
      <c r="BA1067" s="78"/>
      <c r="BB1067" s="78"/>
      <c r="BC1067" s="78"/>
      <c r="BD1067" s="78"/>
      <c r="BE1067" s="465"/>
      <c r="BF1067" s="165" t="str">
        <f t="shared" si="776"/>
        <v>https://www.google.com/search?tbm=isch&amp;q=7%20G4</v>
      </c>
      <c r="BG1067" s="165" t="str">
        <f t="shared" si="777"/>
        <v>C</v>
      </c>
      <c r="BH1067" s="65"/>
      <c r="BI1067" s="65"/>
      <c r="BJ1067" s="65"/>
      <c r="BK1067" s="65"/>
      <c r="BL1067" s="99"/>
      <c r="BM1067" s="99"/>
      <c r="BN1067" s="99"/>
    </row>
    <row r="1068" spans="1:66" s="51" customFormat="1" ht="27" x14ac:dyDescent="0.25">
      <c r="A1068" s="634">
        <v>10</v>
      </c>
      <c r="B1068" s="635" t="s">
        <v>291</v>
      </c>
      <c r="C1068" s="636" t="s">
        <v>2098</v>
      </c>
      <c r="D1068" s="637" t="s">
        <v>299</v>
      </c>
      <c r="E1068" s="638">
        <v>173.95</v>
      </c>
      <c r="F1068" s="639" t="s">
        <v>292</v>
      </c>
      <c r="G1068" s="484">
        <v>0</v>
      </c>
      <c r="H1068" s="691" t="str">
        <f>IF(G1068=0,"",IF(F1068="Buy",IF(G1068=1,"plant","plants"),IF(F1068&gt;0.01,"warranty","Error")))</f>
        <v/>
      </c>
      <c r="I1068" s="640">
        <f>IF(H1068="free",0,IF(H1068="credit",((E1068*(F1068))*G1068*-1),IF(F1068="Buy",(E1068*G1068),((E1068*(1-F1068))*G1068))))</f>
        <v>0</v>
      </c>
      <c r="J1068" s="640">
        <f>IF(H1068="warranty",0,(I1068*(_xlfn.SINGLE(SalesTaxPercentage))))</f>
        <v>0</v>
      </c>
      <c r="K1068" s="716">
        <f t="shared" ref="K1068" si="790">I1068+J1068</f>
        <v>0</v>
      </c>
      <c r="L1068" s="716"/>
      <c r="M1068" s="689" t="str">
        <f ca="1">IF(AND(G1068&gt;0,E1068=0),"WARNING - no PRICE inserted",IF(H1068="free","FREE ~ no charge this plant",IF(H1068="credit",CONCATENATE("-$",ROUND(K1068*(1-_xlfn.SINGLE(T2GDiscount))*-1,2)," CREDIT after discount"),IF(_xlfn.SINGLE(T2GDiscount)=0,"",IF(G1068=0,"",IF(F1068="Buy",CONCATENATE("$",ROUND(K1068*(1-_xlfn.SINGLE(T2GDiscount)),2)," with ",(_xlfn.SINGLE(T2GDiscount)*100),"% discount"),CONCATENATE("$",ROUND(K1068*(1-_xlfn.SINGLE(T2GDiscount)),2)," with ",((_xlfn.SINGLE(T2GDiscount)*100+F1068*100)-(_xlfn.SINGLE(T2GDiscount)*100*F1068)),IF(F1068&gt;0,"% discounts",IF(_xlfn.SINGLE(NoWarrantyDiscount)&gt;0,"% discounts","% discount")))))))))</f>
        <v/>
      </c>
      <c r="N1068" s="690"/>
      <c r="O1068" s="486"/>
      <c r="P1068" s="486"/>
      <c r="Q1068" s="486"/>
      <c r="R1068" s="486"/>
      <c r="S1068" s="486"/>
      <c r="T1068" s="102">
        <f t="shared" si="765"/>
        <v>0</v>
      </c>
      <c r="U1068" s="78">
        <f>IF(NOT(ISNUMBER(G1068)), "", VLOOKUP(A1068,'Discount Lookup'!D:E,2,FALSE)*G1068)</f>
        <v>0</v>
      </c>
      <c r="V1068" s="78">
        <f>IF(NOT(ISNUMBER(G1068)), "", VLOOKUP(A1068,'Discount Lookup'!G:H,2,FALSE)*G1068)</f>
        <v>0</v>
      </c>
      <c r="W1068" s="102">
        <f t="shared" si="766"/>
        <v>0</v>
      </c>
      <c r="X1068" s="102">
        <f t="shared" si="767"/>
        <v>0</v>
      </c>
      <c r="Y1068" s="120" t="b">
        <f t="shared" si="768"/>
        <v>0</v>
      </c>
      <c r="Z1068" s="117">
        <f t="shared" si="769"/>
        <v>0</v>
      </c>
      <c r="AA1068" s="118"/>
      <c r="AB1068" s="118" t="str">
        <f t="shared" si="770"/>
        <v/>
      </c>
      <c r="AC1068" s="712" t="str">
        <f>IF(AE1068="T2G","no charge",IF(AND(OR(PlanterYesMe="No",PlanterYesMe="N",PlanterYesMe="me"),H1068=""),"",IF(H1068="credit","NO install",IF(AND(K1068="",AE1068="me"),"EACH row",IF(AND(K1068="images",AE1068="me"),"EACH row",IF(D1068="","",IF(H1068="credit","",IF(AE1068="free","re-planting",IF(AE1068="me","   not ELP, by",IF(AND(OR(PlanterYesMe="Yes",PlanterYesMe="Y"),G1068&gt;0),(VLOOKUP(A1068,'Discount Lookup'!J:K,2)*G1068*(1-PlanterDiscount)*(1+PlanterDifficultyPercentage)),IF(AE1068="ELP",(VLOOKUP(A1068,'Discount Lookup'!J:K,2)*G1068*(1-PlanterDiscount)*(1+PlanterDifficultyPercentage)),IF(AE1068="free","re-planting",IF(G1068=0,"",IF(PlanterYesMe="",IF(AE1068="me","   not ELP, by",IF(AE1068="",IF(G1068&gt;0,(VLOOKUP(A1068,'Discount Lookup'!J:K,2)*G1068*(1-PlanterDiscount)*(1+PlanterDifficultyPercentage)),""),"")),"   not ELP, by"))))))))))))))</f>
        <v/>
      </c>
      <c r="AD1068" s="712"/>
      <c r="AE1068" s="513" t="str">
        <f t="shared" si="771"/>
        <v/>
      </c>
      <c r="AF1068" s="713" t="str">
        <f t="shared" si="772"/>
        <v/>
      </c>
      <c r="AG1068" s="713"/>
      <c r="AH1068" s="713"/>
      <c r="AI1068" s="112">
        <f>IF(H1068="credit",0,IF(AE1068="free",0,IF(AE1068="me",0,IF(G1068&gt;0,(VLOOKUP(A1068,'Discount Lookup'!J:K,2)*G1068),0))))</f>
        <v>0</v>
      </c>
      <c r="AJ1068" s="107" t="str">
        <f t="shared" ca="1" si="773"/>
        <v/>
      </c>
      <c r="AK1068" s="714" t="str">
        <f t="shared" si="774"/>
        <v/>
      </c>
      <c r="AL1068" s="714"/>
      <c r="AM1068" s="114" t="str">
        <f t="shared" si="775"/>
        <v/>
      </c>
      <c r="AN1068" s="115"/>
      <c r="AO1068" s="116"/>
      <c r="AP1068" s="116"/>
      <c r="AQ1068" s="116"/>
      <c r="AR1068" s="116"/>
      <c r="AS1068" s="116"/>
      <c r="AT1068" s="116"/>
      <c r="AU1068" s="116"/>
      <c r="AV1068" s="78"/>
      <c r="AW1068" s="102"/>
      <c r="AX1068" s="78"/>
      <c r="AY1068" s="78"/>
      <c r="AZ1068" s="78"/>
      <c r="BA1068" s="78"/>
      <c r="BB1068" s="78"/>
      <c r="BC1068" s="78"/>
      <c r="BD1068" s="78"/>
      <c r="BE1068" s="465"/>
      <c r="BF1068" s="165" t="str">
        <f t="shared" si="776"/>
        <v>https://www.google.com/search?tbm=isch&amp;q=10%20G4</v>
      </c>
      <c r="BG1068" s="165" t="str">
        <f t="shared" si="777"/>
        <v>C</v>
      </c>
      <c r="BH1068" s="65"/>
      <c r="BI1068" s="65"/>
      <c r="BJ1068" s="65"/>
      <c r="BK1068" s="65"/>
      <c r="BL1068" s="99"/>
      <c r="BM1068" s="99"/>
      <c r="BN1068" s="99"/>
    </row>
    <row r="1069" spans="1:66" s="51" customFormat="1" ht="17.25" thickBot="1" x14ac:dyDescent="0.3">
      <c r="A1069" s="641" t="s">
        <v>2099</v>
      </c>
      <c r="B1069" s="642"/>
      <c r="C1069" s="710"/>
      <c r="D1069" s="643"/>
      <c r="E1069" s="643"/>
      <c r="F1069" s="644"/>
      <c r="G1069" s="645"/>
      <c r="H1069" s="646"/>
      <c r="I1069" s="647"/>
      <c r="J1069" s="648"/>
      <c r="K1069" s="649"/>
      <c r="L1069" s="650"/>
      <c r="M1069" s="650"/>
      <c r="N1069" s="644"/>
      <c r="O1069" s="644"/>
      <c r="P1069" s="644"/>
      <c r="Q1069" s="644"/>
      <c r="R1069" s="644"/>
      <c r="S1069" s="701" t="s">
        <v>5262</v>
      </c>
      <c r="T1069" s="102">
        <f t="shared" si="765"/>
        <v>0</v>
      </c>
      <c r="U1069" s="78" t="str">
        <f>IF(NOT(ISNUMBER(G1069)), "", VLOOKUP(A1069,'Discount Lookup'!D:E,2,FALSE)*G1069)</f>
        <v/>
      </c>
      <c r="V1069" s="78" t="str">
        <f>IF(NOT(ISNUMBER(G1069)), "", VLOOKUP(A1069,'Discount Lookup'!G:H,2,FALSE)*G1069)</f>
        <v/>
      </c>
      <c r="W1069" s="102">
        <f t="shared" si="766"/>
        <v>0</v>
      </c>
      <c r="X1069" s="102">
        <f t="shared" si="767"/>
        <v>0</v>
      </c>
      <c r="Y1069" s="120" t="b">
        <f t="shared" si="768"/>
        <v>0</v>
      </c>
      <c r="Z1069" s="117">
        <f t="shared" si="769"/>
        <v>0</v>
      </c>
      <c r="AA1069" s="118"/>
      <c r="AB1069" s="118" t="str">
        <f t="shared" si="770"/>
        <v/>
      </c>
      <c r="AC1069" s="712" t="str">
        <f>IF(AE1069="T2G","no charge",IF(AND(OR(PlanterYesMe="No",PlanterYesMe="N",PlanterYesMe="me"),H1069=""),"",IF(H1069="credit","NO install",IF(AND(K1069="",AE1069="me"),"EACH row",IF(AND(K1069="images",AE1069="me"),"EACH row",IF(D1069="","",IF(H1069="credit","",IF(AE1069="free","re-planting",IF(AE1069="me","   not ELP, by",IF(AND(OR(PlanterYesMe="Yes",PlanterYesMe="Y"),G1069&gt;0),(VLOOKUP(A1069,'Discount Lookup'!J:K,2)*G1069*(1-PlanterDiscount)*(1+PlanterDifficultyPercentage)),IF(AE1069="ELP",(VLOOKUP(A1069,'Discount Lookup'!J:K,2)*G1069*(1-PlanterDiscount)*(1+PlanterDifficultyPercentage)),IF(AE1069="free","re-planting",IF(G1069=0,"",IF(PlanterYesMe="",IF(AE1069="me","   not ELP, by",IF(AE1069="",IF(G1069&gt;0,(VLOOKUP(A1069,'Discount Lookup'!J:K,2)*G1069*(1-PlanterDiscount)*(1+PlanterDifficultyPercentage)),""),"")),"   not ELP, by"))))))))))))))</f>
        <v/>
      </c>
      <c r="AD1069" s="712"/>
      <c r="AE1069" s="513" t="str">
        <f t="shared" si="771"/>
        <v/>
      </c>
      <c r="AF1069" s="713" t="str">
        <f t="shared" si="772"/>
        <v/>
      </c>
      <c r="AG1069" s="713"/>
      <c r="AH1069" s="713"/>
      <c r="AI1069" s="112">
        <f>IF(H1069="credit",0,IF(AE1069="free",0,IF(AE1069="me",0,IF(G1069&gt;0,(VLOOKUP(A1069,'Discount Lookup'!J:K,2)*G1069),0))))</f>
        <v>0</v>
      </c>
      <c r="AJ1069" s="107" t="str">
        <f t="shared" ca="1" si="773"/>
        <v/>
      </c>
      <c r="AK1069" s="714" t="str">
        <f t="shared" si="774"/>
        <v/>
      </c>
      <c r="AL1069" s="714"/>
      <c r="AM1069" s="114" t="str">
        <f t="shared" si="775"/>
        <v/>
      </c>
      <c r="AN1069" s="115"/>
      <c r="AO1069" s="116"/>
      <c r="AP1069" s="116"/>
      <c r="AQ1069" s="116"/>
      <c r="AR1069" s="116"/>
      <c r="AS1069" s="116"/>
      <c r="AT1069" s="116"/>
      <c r="AU1069" s="116"/>
      <c r="AV1069" s="78"/>
      <c r="AW1069" s="102"/>
      <c r="AX1069" s="78"/>
      <c r="AY1069" s="78"/>
      <c r="AZ1069" s="78"/>
      <c r="BA1069" s="78"/>
      <c r="BB1069" s="78"/>
      <c r="BC1069" s="78"/>
      <c r="BD1069" s="78"/>
      <c r="BE1069" s="465"/>
      <c r="BF1069" s="165" t="str">
        <f t="shared" si="776"/>
        <v>https://www.google.com/search?tbm=isch&amp;q=Whitewater%20heart-shaped%20foliage%20emerges%20white%20with%20green%20flecks%2C%20matures%20to%20green%20with%20white%20flecks%20</v>
      </c>
      <c r="BG1069" s="165" t="str">
        <f t="shared" si="777"/>
        <v>W</v>
      </c>
      <c r="BH1069" s="65"/>
      <c r="BI1069" s="65"/>
      <c r="BJ1069" s="65"/>
      <c r="BK1069" s="65"/>
      <c r="BL1069" s="99"/>
      <c r="BM1069" s="99"/>
      <c r="BN1069" s="99"/>
    </row>
    <row r="1070" spans="1:66" s="51" customFormat="1" ht="18" x14ac:dyDescent="0.25">
      <c r="A1070" s="623" t="s">
        <v>2100</v>
      </c>
      <c r="B1070" s="624"/>
      <c r="C1070" s="709"/>
      <c r="D1070" s="625" t="s">
        <v>2101</v>
      </c>
      <c r="E1070" s="626"/>
      <c r="F1070" s="626"/>
      <c r="G1070" s="626"/>
      <c r="H1070" s="622" t="s">
        <v>1572</v>
      </c>
      <c r="I1070" s="627" t="s">
        <v>2102</v>
      </c>
      <c r="J1070" s="628"/>
      <c r="K1070" s="628"/>
      <c r="L1070" s="629"/>
      <c r="M1070" s="700" t="s">
        <v>5249</v>
      </c>
      <c r="N1070" s="693" t="str">
        <f>IF(AND(ISTEXT($A1070), ISERROR($A1070+0)), HYPERLINK($BF1070, "Images"), "")</f>
        <v>Images</v>
      </c>
      <c r="O1070" s="695" t="s">
        <v>5247</v>
      </c>
      <c r="P1070" s="630"/>
      <c r="Q1070" s="631"/>
      <c r="R1070" s="632"/>
      <c r="S1070" s="633"/>
      <c r="T1070" s="102">
        <f t="shared" si="765"/>
        <v>0</v>
      </c>
      <c r="U1070" s="78" t="str">
        <f>IF(NOT(ISNUMBER(G1070)), "", VLOOKUP(A1070,'Discount Lookup'!D:E,2,FALSE)*G1070)</f>
        <v/>
      </c>
      <c r="V1070" s="78" t="str">
        <f>IF(NOT(ISNUMBER(G1070)), "", VLOOKUP(A1070,'Discount Lookup'!G:H,2,FALSE)*G1070)</f>
        <v/>
      </c>
      <c r="W1070" s="102">
        <f t="shared" si="766"/>
        <v>0</v>
      </c>
      <c r="X1070" s="102" t="str">
        <f t="shared" si="767"/>
        <v>Pink-Mauve bloom</v>
      </c>
      <c r="Y1070" s="120" t="b">
        <f t="shared" si="768"/>
        <v>0</v>
      </c>
      <c r="Z1070" s="117">
        <f t="shared" si="769"/>
        <v>0</v>
      </c>
      <c r="AA1070" s="118"/>
      <c r="AB1070" s="118" t="str">
        <f t="shared" si="770"/>
        <v/>
      </c>
      <c r="AC1070" s="712" t="str">
        <f>IF(AE1070="T2G","no charge",IF(AND(OR(PlanterYesMe="No",PlanterYesMe="N",PlanterYesMe="me"),H1070=""),"",IF(H1070="credit","NO install",IF(AND(K1070="",AE1070="me"),"EACH row",IF(AND(K1070="images",AE1070="me"),"EACH row",IF(D1070="","",IF(H1070="credit","",IF(AE1070="free","re-planting",IF(AE1070="me","   not ELP, by",IF(AND(OR(PlanterYesMe="Yes",PlanterYesMe="Y"),G1070&gt;0),(VLOOKUP(A1070,'Discount Lookup'!J:K,2)*G1070*(1-PlanterDiscount)*(1+PlanterDifficultyPercentage)),IF(AE1070="ELP",(VLOOKUP(A1070,'Discount Lookup'!J:K,2)*G1070*(1-PlanterDiscount)*(1+PlanterDifficultyPercentage)),IF(AE1070="free","re-planting",IF(G1070=0,"",IF(PlanterYesMe="",IF(AE1070="me","   not ELP, by",IF(AE1070="",IF(G1070&gt;0,(VLOOKUP(A1070,'Discount Lookup'!J:K,2)*G1070*(1-PlanterDiscount)*(1+PlanterDifficultyPercentage)),""),"")),"   not ELP, by"))))))))))))))</f>
        <v/>
      </c>
      <c r="AD1070" s="712"/>
      <c r="AE1070" s="513" t="str">
        <f t="shared" si="771"/>
        <v/>
      </c>
      <c r="AF1070" s="713" t="str">
        <f t="shared" si="772"/>
        <v/>
      </c>
      <c r="AG1070" s="713"/>
      <c r="AH1070" s="713"/>
      <c r="AI1070" s="112">
        <f>IF(H1070="credit",0,IF(AE1070="free",0,IF(AE1070="me",0,IF(G1070&gt;0,(VLOOKUP(A1070,'Discount Lookup'!J:K,2)*G1070),0))))</f>
        <v>0</v>
      </c>
      <c r="AJ1070" s="107" t="str">
        <f t="shared" ca="1" si="773"/>
        <v/>
      </c>
      <c r="AK1070" s="714" t="str">
        <f t="shared" si="774"/>
        <v/>
      </c>
      <c r="AL1070" s="714"/>
      <c r="AM1070" s="114" t="str">
        <f t="shared" si="775"/>
        <v/>
      </c>
      <c r="AN1070" s="115"/>
      <c r="AO1070" s="116"/>
      <c r="AP1070" s="116"/>
      <c r="AQ1070" s="116"/>
      <c r="AR1070" s="116"/>
      <c r="AS1070" s="116"/>
      <c r="AT1070" s="116"/>
      <c r="AU1070" s="116"/>
      <c r="AV1070" s="78"/>
      <c r="AW1070" s="102"/>
      <c r="AX1070" s="78"/>
      <c r="AY1070" s="78"/>
      <c r="AZ1070" s="78"/>
      <c r="BA1070" s="78"/>
      <c r="BB1070" s="78"/>
      <c r="BC1070" s="78"/>
      <c r="BD1070" s="78"/>
      <c r="BE1070" s="465"/>
      <c r="BF1070" s="165" t="str">
        <f t="shared" si="776"/>
        <v>https://www.google.com/search?tbm=isch&amp;q=Cercis%20chinensis%20%27Don%20Egolf%27%20Don%20Egolf%20Redbud</v>
      </c>
      <c r="BG1070" s="165" t="str">
        <f t="shared" si="777"/>
        <v>C</v>
      </c>
      <c r="BH1070" s="65"/>
      <c r="BI1070" s="65"/>
      <c r="BJ1070" s="65"/>
      <c r="BK1070" s="65"/>
      <c r="BL1070" s="99"/>
      <c r="BM1070" s="99"/>
      <c r="BN1070" s="99"/>
    </row>
    <row r="1071" spans="1:66" s="51" customFormat="1" ht="15.75" x14ac:dyDescent="0.25">
      <c r="A1071" s="634">
        <v>7</v>
      </c>
      <c r="B1071" s="635" t="s">
        <v>291</v>
      </c>
      <c r="C1071" s="636" t="s">
        <v>2103</v>
      </c>
      <c r="D1071" s="637" t="s">
        <v>299</v>
      </c>
      <c r="E1071" s="638">
        <v>104.95</v>
      </c>
      <c r="F1071" s="639" t="s">
        <v>292</v>
      </c>
      <c r="G1071" s="484">
        <v>0</v>
      </c>
      <c r="H1071" s="691" t="str">
        <f>IF(G1071=0,"",IF(F1071="Buy",IF(G1071=1,"plant","plants"),IF(F1071&gt;0.01,"warranty","Error")))</f>
        <v/>
      </c>
      <c r="I1071" s="640">
        <f>IF(H1071="free",0,IF(H1071="credit",((E1071*(F1071))*G1071*-1),IF(F1071="Buy",(E1071*G1071),((E1071*(1-F1071))*G1071))))</f>
        <v>0</v>
      </c>
      <c r="J1071" s="640">
        <f>IF(H1071="warranty",0,(I1071*(_xlfn.SINGLE(SalesTaxPercentage))))</f>
        <v>0</v>
      </c>
      <c r="K1071" s="716">
        <f t="shared" ref="K1071" si="791">I1071+J1071</f>
        <v>0</v>
      </c>
      <c r="L1071" s="716"/>
      <c r="M1071" s="689" t="str">
        <f ca="1">IF(AND(G1071&gt;0,E1071=0),"WARNING - no PRICE inserted",IF(H1071="free","FREE ~ no charge this plant",IF(H1071="credit",CONCATENATE("-$",ROUND(K1071*(1-_xlfn.SINGLE(T2GDiscount))*-1,2)," CREDIT after discount"),IF(_xlfn.SINGLE(T2GDiscount)=0,"",IF(G1071=0,"",IF(F1071="Buy",CONCATENATE("$",ROUND(K1071*(1-_xlfn.SINGLE(T2GDiscount)),2)," with ",(_xlfn.SINGLE(T2GDiscount)*100),"% discount"),CONCATENATE("$",ROUND(K1071*(1-_xlfn.SINGLE(T2GDiscount)),2)," with ",((_xlfn.SINGLE(T2GDiscount)*100+F1071*100)-(_xlfn.SINGLE(T2GDiscount)*100*F1071)),IF(F1071&gt;0,"% discounts",IF(_xlfn.SINGLE(NoWarrantyDiscount)&gt;0,"% discounts","% discount")))))))))</f>
        <v/>
      </c>
      <c r="N1071" s="690"/>
      <c r="O1071" s="486"/>
      <c r="P1071" s="486"/>
      <c r="Q1071" s="486"/>
      <c r="R1071" s="486"/>
      <c r="S1071" s="486"/>
      <c r="T1071" s="102">
        <f t="shared" si="765"/>
        <v>0</v>
      </c>
      <c r="U1071" s="78">
        <f>IF(NOT(ISNUMBER(G1071)), "", VLOOKUP(A1071,'Discount Lookup'!D:E,2,FALSE)*G1071)</f>
        <v>0</v>
      </c>
      <c r="V1071" s="78">
        <f>IF(NOT(ISNUMBER(G1071)), "", VLOOKUP(A1071,'Discount Lookup'!G:H,2,FALSE)*G1071)</f>
        <v>0</v>
      </c>
      <c r="W1071" s="102">
        <f t="shared" si="766"/>
        <v>0</v>
      </c>
      <c r="X1071" s="102">
        <f t="shared" si="767"/>
        <v>0</v>
      </c>
      <c r="Y1071" s="120" t="b">
        <f t="shared" si="768"/>
        <v>0</v>
      </c>
      <c r="Z1071" s="117">
        <f t="shared" si="769"/>
        <v>0</v>
      </c>
      <c r="AA1071" s="118"/>
      <c r="AB1071" s="118" t="str">
        <f t="shared" si="770"/>
        <v/>
      </c>
      <c r="AC1071" s="712" t="str">
        <f>IF(AE1071="T2G","no charge",IF(AND(OR(PlanterYesMe="No",PlanterYesMe="N",PlanterYesMe="me"),H1071=""),"",IF(H1071="credit","NO install",IF(AND(K1071="",AE1071="me"),"EACH row",IF(AND(K1071="images",AE1071="me"),"EACH row",IF(D1071="","",IF(H1071="credit","",IF(AE1071="free","re-planting",IF(AE1071="me","   not ELP, by",IF(AND(OR(PlanterYesMe="Yes",PlanterYesMe="Y"),G1071&gt;0),(VLOOKUP(A1071,'Discount Lookup'!J:K,2)*G1071*(1-PlanterDiscount)*(1+PlanterDifficultyPercentage)),IF(AE1071="ELP",(VLOOKUP(A1071,'Discount Lookup'!J:K,2)*G1071*(1-PlanterDiscount)*(1+PlanterDifficultyPercentage)),IF(AE1071="free","re-planting",IF(G1071=0,"",IF(PlanterYesMe="",IF(AE1071="me","   not ELP, by",IF(AE1071="",IF(G1071&gt;0,(VLOOKUP(A1071,'Discount Lookup'!J:K,2)*G1071*(1-PlanterDiscount)*(1+PlanterDifficultyPercentage)),""),"")),"   not ELP, by"))))))))))))))</f>
        <v/>
      </c>
      <c r="AD1071" s="712"/>
      <c r="AE1071" s="513" t="str">
        <f t="shared" si="771"/>
        <v/>
      </c>
      <c r="AF1071" s="713" t="str">
        <f t="shared" si="772"/>
        <v/>
      </c>
      <c r="AG1071" s="713"/>
      <c r="AH1071" s="713"/>
      <c r="AI1071" s="112">
        <f>IF(H1071="credit",0,IF(AE1071="free",0,IF(AE1071="me",0,IF(G1071&gt;0,(VLOOKUP(A1071,'Discount Lookup'!J:K,2)*G1071),0))))</f>
        <v>0</v>
      </c>
      <c r="AJ1071" s="107" t="str">
        <f t="shared" ca="1" si="773"/>
        <v/>
      </c>
      <c r="AK1071" s="714" t="str">
        <f t="shared" si="774"/>
        <v/>
      </c>
      <c r="AL1071" s="714"/>
      <c r="AM1071" s="114" t="str">
        <f t="shared" si="775"/>
        <v/>
      </c>
      <c r="AN1071" s="115"/>
      <c r="AO1071" s="116"/>
      <c r="AP1071" s="116"/>
      <c r="AQ1071" s="116"/>
      <c r="AR1071" s="116"/>
      <c r="AS1071" s="116"/>
      <c r="AT1071" s="116"/>
      <c r="AU1071" s="116"/>
      <c r="AV1071" s="78"/>
      <c r="AW1071" s="102"/>
      <c r="AX1071" s="78"/>
      <c r="AY1071" s="78"/>
      <c r="AZ1071" s="78"/>
      <c r="BA1071" s="78"/>
      <c r="BB1071" s="78"/>
      <c r="BC1071" s="78"/>
      <c r="BD1071" s="78"/>
      <c r="BE1071" s="465"/>
      <c r="BF1071" s="165" t="str">
        <f t="shared" si="776"/>
        <v>https://www.google.com/search?tbm=isch&amp;q=7%20G4</v>
      </c>
      <c r="BG1071" s="165" t="str">
        <f t="shared" si="777"/>
        <v>C</v>
      </c>
      <c r="BH1071" s="65"/>
      <c r="BI1071" s="65"/>
      <c r="BJ1071" s="65"/>
      <c r="BK1071" s="65"/>
      <c r="BL1071" s="99"/>
      <c r="BM1071" s="99"/>
      <c r="BN1071" s="99"/>
    </row>
    <row r="1072" spans="1:66" s="51" customFormat="1" ht="15.75" x14ac:dyDescent="0.25">
      <c r="A1072" s="634">
        <v>7</v>
      </c>
      <c r="B1072" s="635" t="s">
        <v>291</v>
      </c>
      <c r="C1072" s="636" t="s">
        <v>2104</v>
      </c>
      <c r="D1072" s="637" t="s">
        <v>299</v>
      </c>
      <c r="E1072" s="638">
        <v>104.95</v>
      </c>
      <c r="F1072" s="639" t="s">
        <v>292</v>
      </c>
      <c r="G1072" s="484">
        <v>0</v>
      </c>
      <c r="H1072" s="691" t="str">
        <f>IF(G1072=0,"",IF(F1072="Buy",IF(G1072=1,"plant","plants"),IF(F1072&gt;0.01,"warranty","Error")))</f>
        <v/>
      </c>
      <c r="I1072" s="640">
        <f>IF(H1072="free",0,IF(H1072="credit",((E1072*(F1072))*G1072*-1),IF(F1072="Buy",(E1072*G1072),((E1072*(1-F1072))*G1072))))</f>
        <v>0</v>
      </c>
      <c r="J1072" s="640">
        <f>IF(H1072="warranty",0,(I1072*(_xlfn.SINGLE(SalesTaxPercentage))))</f>
        <v>0</v>
      </c>
      <c r="K1072" s="716">
        <f t="shared" ref="K1072" si="792">I1072+J1072</f>
        <v>0</v>
      </c>
      <c r="L1072" s="716"/>
      <c r="M1072" s="689" t="str">
        <f ca="1">IF(AND(G1072&gt;0,E1072=0),"WARNING - no PRICE inserted",IF(H1072="free","FREE ~ no charge this plant",IF(H1072="credit",CONCATENATE("-$",ROUND(K1072*(1-_xlfn.SINGLE(T2GDiscount))*-1,2)," CREDIT after discount"),IF(_xlfn.SINGLE(T2GDiscount)=0,"",IF(G1072=0,"",IF(F1072="Buy",CONCATENATE("$",ROUND(K1072*(1-_xlfn.SINGLE(T2GDiscount)),2)," with ",(_xlfn.SINGLE(T2GDiscount)*100),"% discount"),CONCATENATE("$",ROUND(K1072*(1-_xlfn.SINGLE(T2GDiscount)),2)," with ",((_xlfn.SINGLE(T2GDiscount)*100+F1072*100)-(_xlfn.SINGLE(T2GDiscount)*100*F1072)),IF(F1072&gt;0,"% discounts",IF(_xlfn.SINGLE(NoWarrantyDiscount)&gt;0,"% discounts","% discount")))))))))</f>
        <v/>
      </c>
      <c r="N1072" s="690"/>
      <c r="O1072" s="486"/>
      <c r="P1072" s="486"/>
      <c r="Q1072" s="486"/>
      <c r="R1072" s="486"/>
      <c r="S1072" s="486"/>
      <c r="T1072" s="102">
        <f t="shared" si="765"/>
        <v>0</v>
      </c>
      <c r="U1072" s="78">
        <f>IF(NOT(ISNUMBER(G1072)), "", VLOOKUP(A1072,'Discount Lookup'!D:E,2,FALSE)*G1072)</f>
        <v>0</v>
      </c>
      <c r="V1072" s="78">
        <f>IF(NOT(ISNUMBER(G1072)), "", VLOOKUP(A1072,'Discount Lookup'!G:H,2,FALSE)*G1072)</f>
        <v>0</v>
      </c>
      <c r="W1072" s="102">
        <f t="shared" si="766"/>
        <v>0</v>
      </c>
      <c r="X1072" s="102">
        <f t="shared" si="767"/>
        <v>0</v>
      </c>
      <c r="Y1072" s="120" t="b">
        <f t="shared" si="768"/>
        <v>0</v>
      </c>
      <c r="Z1072" s="117">
        <f t="shared" si="769"/>
        <v>0</v>
      </c>
      <c r="AA1072" s="118"/>
      <c r="AB1072" s="118" t="str">
        <f t="shared" si="770"/>
        <v/>
      </c>
      <c r="AC1072" s="712" t="str">
        <f>IF(AE1072="T2G","no charge",IF(AND(OR(PlanterYesMe="No",PlanterYesMe="N",PlanterYesMe="me"),H1072=""),"",IF(H1072="credit","NO install",IF(AND(K1072="",AE1072="me"),"EACH row",IF(AND(K1072="images",AE1072="me"),"EACH row",IF(D1072="","",IF(H1072="credit","",IF(AE1072="free","re-planting",IF(AE1072="me","   not ELP, by",IF(AND(OR(PlanterYesMe="Yes",PlanterYesMe="Y"),G1072&gt;0),(VLOOKUP(A1072,'Discount Lookup'!J:K,2)*G1072*(1-PlanterDiscount)*(1+PlanterDifficultyPercentage)),IF(AE1072="ELP",(VLOOKUP(A1072,'Discount Lookup'!J:K,2)*G1072*(1-PlanterDiscount)*(1+PlanterDifficultyPercentage)),IF(AE1072="free","re-planting",IF(G1072=0,"",IF(PlanterYesMe="",IF(AE1072="me","   not ELP, by",IF(AE1072="",IF(G1072&gt;0,(VLOOKUP(A1072,'Discount Lookup'!J:K,2)*G1072*(1-PlanterDiscount)*(1+PlanterDifficultyPercentage)),""),"")),"   not ELP, by"))))))))))))))</f>
        <v/>
      </c>
      <c r="AD1072" s="712"/>
      <c r="AE1072" s="513" t="str">
        <f t="shared" si="771"/>
        <v/>
      </c>
      <c r="AF1072" s="713" t="str">
        <f t="shared" si="772"/>
        <v/>
      </c>
      <c r="AG1072" s="713"/>
      <c r="AH1072" s="713"/>
      <c r="AI1072" s="112">
        <f>IF(H1072="credit",0,IF(AE1072="free",0,IF(AE1072="me",0,IF(G1072&gt;0,(VLOOKUP(A1072,'Discount Lookup'!J:K,2)*G1072),0))))</f>
        <v>0</v>
      </c>
      <c r="AJ1072" s="107" t="str">
        <f t="shared" ca="1" si="773"/>
        <v/>
      </c>
      <c r="AK1072" s="714" t="str">
        <f t="shared" si="774"/>
        <v/>
      </c>
      <c r="AL1072" s="714"/>
      <c r="AM1072" s="114" t="str">
        <f t="shared" si="775"/>
        <v/>
      </c>
      <c r="AN1072" s="115"/>
      <c r="AO1072" s="116"/>
      <c r="AP1072" s="116"/>
      <c r="AQ1072" s="116"/>
      <c r="AR1072" s="116"/>
      <c r="AS1072" s="116"/>
      <c r="AT1072" s="116"/>
      <c r="AU1072" s="116"/>
      <c r="AV1072" s="78"/>
      <c r="AW1072" s="102"/>
      <c r="AX1072" s="78"/>
      <c r="AY1072" s="78"/>
      <c r="AZ1072" s="78"/>
      <c r="BA1072" s="78"/>
      <c r="BB1072" s="78"/>
      <c r="BC1072" s="78"/>
      <c r="BD1072" s="78"/>
      <c r="BE1072" s="465"/>
      <c r="BF1072" s="165" t="str">
        <f t="shared" si="776"/>
        <v>https://www.google.com/search?tbm=isch&amp;q=7%20G4</v>
      </c>
      <c r="BG1072" s="165" t="str">
        <f t="shared" si="777"/>
        <v>C</v>
      </c>
      <c r="BH1072" s="65"/>
      <c r="BI1072" s="65"/>
      <c r="BJ1072" s="65"/>
      <c r="BK1072" s="65"/>
      <c r="BL1072" s="99"/>
      <c r="BM1072" s="99"/>
      <c r="BN1072" s="99"/>
    </row>
    <row r="1073" spans="1:66" s="51" customFormat="1" ht="15.75" x14ac:dyDescent="0.25">
      <c r="A1073" s="634">
        <v>10</v>
      </c>
      <c r="B1073" s="635" t="s">
        <v>291</v>
      </c>
      <c r="C1073" s="636" t="s">
        <v>2105</v>
      </c>
      <c r="D1073" s="637" t="s">
        <v>299</v>
      </c>
      <c r="E1073" s="638">
        <v>125.95</v>
      </c>
      <c r="F1073" s="639" t="s">
        <v>292</v>
      </c>
      <c r="G1073" s="484">
        <v>0</v>
      </c>
      <c r="H1073" s="691" t="str">
        <f>IF(G1073=0,"",IF(F1073="Buy",IF(G1073=1,"plant","plants"),IF(F1073&gt;0.01,"warranty","Error")))</f>
        <v/>
      </c>
      <c r="I1073" s="640">
        <f>IF(H1073="free",0,IF(H1073="credit",((E1073*(F1073))*G1073*-1),IF(F1073="Buy",(E1073*G1073),((E1073*(1-F1073))*G1073))))</f>
        <v>0</v>
      </c>
      <c r="J1073" s="640">
        <f>IF(H1073="warranty",0,(I1073*(_xlfn.SINGLE(SalesTaxPercentage))))</f>
        <v>0</v>
      </c>
      <c r="K1073" s="716">
        <f t="shared" ref="K1073" si="793">I1073+J1073</f>
        <v>0</v>
      </c>
      <c r="L1073" s="716"/>
      <c r="M1073" s="689" t="str">
        <f ca="1">IF(AND(G1073&gt;0,E1073=0),"WARNING - no PRICE inserted",IF(H1073="free","FREE ~ no charge this plant",IF(H1073="credit",CONCATENATE("-$",ROUND(K1073*(1-_xlfn.SINGLE(T2GDiscount))*-1,2)," CREDIT after discount"),IF(_xlfn.SINGLE(T2GDiscount)=0,"",IF(G1073=0,"",IF(F1073="Buy",CONCATENATE("$",ROUND(K1073*(1-_xlfn.SINGLE(T2GDiscount)),2)," with ",(_xlfn.SINGLE(T2GDiscount)*100),"% discount"),CONCATENATE("$",ROUND(K1073*(1-_xlfn.SINGLE(T2GDiscount)),2)," with ",((_xlfn.SINGLE(T2GDiscount)*100+F1073*100)-(_xlfn.SINGLE(T2GDiscount)*100*F1073)),IF(F1073&gt;0,"% discounts",IF(_xlfn.SINGLE(NoWarrantyDiscount)&gt;0,"% discounts","% discount")))))))))</f>
        <v/>
      </c>
      <c r="N1073" s="690"/>
      <c r="O1073" s="486"/>
      <c r="P1073" s="486"/>
      <c r="Q1073" s="486"/>
      <c r="R1073" s="486"/>
      <c r="S1073" s="486"/>
      <c r="T1073" s="102">
        <f t="shared" si="765"/>
        <v>0</v>
      </c>
      <c r="U1073" s="78">
        <f>IF(NOT(ISNUMBER(G1073)), "", VLOOKUP(A1073,'Discount Lookup'!D:E,2,FALSE)*G1073)</f>
        <v>0</v>
      </c>
      <c r="V1073" s="78">
        <f>IF(NOT(ISNUMBER(G1073)), "", VLOOKUP(A1073,'Discount Lookup'!G:H,2,FALSE)*G1073)</f>
        <v>0</v>
      </c>
      <c r="W1073" s="102">
        <f t="shared" si="766"/>
        <v>0</v>
      </c>
      <c r="X1073" s="102">
        <f t="shared" si="767"/>
        <v>0</v>
      </c>
      <c r="Y1073" s="120" t="b">
        <f t="shared" si="768"/>
        <v>0</v>
      </c>
      <c r="Z1073" s="117">
        <f t="shared" si="769"/>
        <v>0</v>
      </c>
      <c r="AA1073" s="118"/>
      <c r="AB1073" s="118" t="str">
        <f t="shared" si="770"/>
        <v/>
      </c>
      <c r="AC1073" s="712" t="str">
        <f>IF(AE1073="T2G","no charge",IF(AND(OR(PlanterYesMe="No",PlanterYesMe="N",PlanterYesMe="me"),H1073=""),"",IF(H1073="credit","NO install",IF(AND(K1073="",AE1073="me"),"EACH row",IF(AND(K1073="images",AE1073="me"),"EACH row",IF(D1073="","",IF(H1073="credit","",IF(AE1073="free","re-planting",IF(AE1073="me","   not ELP, by",IF(AND(OR(PlanterYesMe="Yes",PlanterYesMe="Y"),G1073&gt;0),(VLOOKUP(A1073,'Discount Lookup'!J:K,2)*G1073*(1-PlanterDiscount)*(1+PlanterDifficultyPercentage)),IF(AE1073="ELP",(VLOOKUP(A1073,'Discount Lookup'!J:K,2)*G1073*(1-PlanterDiscount)*(1+PlanterDifficultyPercentage)),IF(AE1073="free","re-planting",IF(G1073=0,"",IF(PlanterYesMe="",IF(AE1073="me","   not ELP, by",IF(AE1073="",IF(G1073&gt;0,(VLOOKUP(A1073,'Discount Lookup'!J:K,2)*G1073*(1-PlanterDiscount)*(1+PlanterDifficultyPercentage)),""),"")),"   not ELP, by"))))))))))))))</f>
        <v/>
      </c>
      <c r="AD1073" s="712"/>
      <c r="AE1073" s="513" t="str">
        <f t="shared" si="771"/>
        <v/>
      </c>
      <c r="AF1073" s="713" t="str">
        <f t="shared" si="772"/>
        <v/>
      </c>
      <c r="AG1073" s="713"/>
      <c r="AH1073" s="713"/>
      <c r="AI1073" s="112">
        <f>IF(H1073="credit",0,IF(AE1073="free",0,IF(AE1073="me",0,IF(G1073&gt;0,(VLOOKUP(A1073,'Discount Lookup'!J:K,2)*G1073),0))))</f>
        <v>0</v>
      </c>
      <c r="AJ1073" s="107" t="str">
        <f t="shared" ca="1" si="773"/>
        <v/>
      </c>
      <c r="AK1073" s="714" t="str">
        <f t="shared" si="774"/>
        <v/>
      </c>
      <c r="AL1073" s="714"/>
      <c r="AM1073" s="114" t="str">
        <f t="shared" si="775"/>
        <v/>
      </c>
      <c r="AN1073" s="115"/>
      <c r="AO1073" s="116"/>
      <c r="AP1073" s="116"/>
      <c r="AQ1073" s="116"/>
      <c r="AR1073" s="116"/>
      <c r="AS1073" s="116"/>
      <c r="AT1073" s="116"/>
      <c r="AU1073" s="116"/>
      <c r="AV1073" s="78"/>
      <c r="AW1073" s="102"/>
      <c r="AX1073" s="78"/>
      <c r="AY1073" s="78"/>
      <c r="AZ1073" s="78"/>
      <c r="BA1073" s="78"/>
      <c r="BB1073" s="78"/>
      <c r="BC1073" s="78"/>
      <c r="BD1073" s="78"/>
      <c r="BE1073" s="465"/>
      <c r="BF1073" s="165" t="str">
        <f t="shared" si="776"/>
        <v>https://www.google.com/search?tbm=isch&amp;q=10%20G4</v>
      </c>
      <c r="BG1073" s="165" t="str">
        <f t="shared" si="777"/>
        <v>C</v>
      </c>
      <c r="BH1073" s="65"/>
      <c r="BI1073" s="65"/>
      <c r="BJ1073" s="65"/>
      <c r="BK1073" s="65"/>
      <c r="BL1073" s="99"/>
      <c r="BM1073" s="99"/>
      <c r="BN1073" s="99"/>
    </row>
    <row r="1074" spans="1:66" s="51" customFormat="1" ht="15.75" x14ac:dyDescent="0.25">
      <c r="A1074" s="634">
        <v>15</v>
      </c>
      <c r="B1074" s="635" t="s">
        <v>291</v>
      </c>
      <c r="C1074" s="636" t="s">
        <v>2106</v>
      </c>
      <c r="D1074" s="637" t="s">
        <v>299</v>
      </c>
      <c r="E1074" s="638">
        <v>178.95</v>
      </c>
      <c r="F1074" s="639" t="s">
        <v>292</v>
      </c>
      <c r="G1074" s="484">
        <v>0</v>
      </c>
      <c r="H1074" s="691" t="str">
        <f>IF(G1074=0,"",IF(F1074="Buy",IF(G1074=1,"plant","plants"),IF(F1074&gt;0.01,"warranty","Error")))</f>
        <v/>
      </c>
      <c r="I1074" s="640">
        <f>IF(H1074="free",0,IF(H1074="credit",((E1074*(F1074))*G1074*-1),IF(F1074="Buy",(E1074*G1074),((E1074*(1-F1074))*G1074))))</f>
        <v>0</v>
      </c>
      <c r="J1074" s="640">
        <f>IF(H1074="warranty",0,(I1074*(_xlfn.SINGLE(SalesTaxPercentage))))</f>
        <v>0</v>
      </c>
      <c r="K1074" s="716">
        <f t="shared" ref="K1074" si="794">I1074+J1074</f>
        <v>0</v>
      </c>
      <c r="L1074" s="716"/>
      <c r="M1074" s="689" t="str">
        <f ca="1">IF(AND(G1074&gt;0,E1074=0),"WARNING - no PRICE inserted",IF(H1074="free","FREE ~ no charge this plant",IF(H1074="credit",CONCATENATE("-$",ROUND(K1074*(1-_xlfn.SINGLE(T2GDiscount))*-1,2)," CREDIT after discount"),IF(_xlfn.SINGLE(T2GDiscount)=0,"",IF(G1074=0,"",IF(F1074="Buy",CONCATENATE("$",ROUND(K1074*(1-_xlfn.SINGLE(T2GDiscount)),2)," with ",(_xlfn.SINGLE(T2GDiscount)*100),"% discount"),CONCATENATE("$",ROUND(K1074*(1-_xlfn.SINGLE(T2GDiscount)),2)," with ",((_xlfn.SINGLE(T2GDiscount)*100+F1074*100)-(_xlfn.SINGLE(T2GDiscount)*100*F1074)),IF(F1074&gt;0,"% discounts",IF(_xlfn.SINGLE(NoWarrantyDiscount)&gt;0,"% discounts","% discount")))))))))</f>
        <v/>
      </c>
      <c r="N1074" s="690"/>
      <c r="O1074" s="486"/>
      <c r="P1074" s="486"/>
      <c r="Q1074" s="486"/>
      <c r="R1074" s="486"/>
      <c r="S1074" s="486"/>
      <c r="T1074" s="102">
        <f t="shared" si="765"/>
        <v>0</v>
      </c>
      <c r="U1074" s="78">
        <f>IF(NOT(ISNUMBER(G1074)), "", VLOOKUP(A1074,'Discount Lookup'!D:E,2,FALSE)*G1074)</f>
        <v>0</v>
      </c>
      <c r="V1074" s="78">
        <f>IF(NOT(ISNUMBER(G1074)), "", VLOOKUP(A1074,'Discount Lookup'!G:H,2,FALSE)*G1074)</f>
        <v>0</v>
      </c>
      <c r="W1074" s="102">
        <f t="shared" si="766"/>
        <v>0</v>
      </c>
      <c r="X1074" s="102">
        <f t="shared" si="767"/>
        <v>0</v>
      </c>
      <c r="Y1074" s="120" t="b">
        <f t="shared" si="768"/>
        <v>0</v>
      </c>
      <c r="Z1074" s="117">
        <f t="shared" si="769"/>
        <v>0</v>
      </c>
      <c r="AA1074" s="118"/>
      <c r="AB1074" s="118" t="str">
        <f t="shared" si="770"/>
        <v/>
      </c>
      <c r="AC1074" s="712" t="str">
        <f>IF(AE1074="T2G","no charge",IF(AND(OR(PlanterYesMe="No",PlanterYesMe="N",PlanterYesMe="me"),H1074=""),"",IF(H1074="credit","NO install",IF(AND(K1074="",AE1074="me"),"EACH row",IF(AND(K1074="images",AE1074="me"),"EACH row",IF(D1074="","",IF(H1074="credit","",IF(AE1074="free","re-planting",IF(AE1074="me","   not ELP, by",IF(AND(OR(PlanterYesMe="Yes",PlanterYesMe="Y"),G1074&gt;0),(VLOOKUP(A1074,'Discount Lookup'!J:K,2)*G1074*(1-PlanterDiscount)*(1+PlanterDifficultyPercentage)),IF(AE1074="ELP",(VLOOKUP(A1074,'Discount Lookup'!J:K,2)*G1074*(1-PlanterDiscount)*(1+PlanterDifficultyPercentage)),IF(AE1074="free","re-planting",IF(G1074=0,"",IF(PlanterYesMe="",IF(AE1074="me","   not ELP, by",IF(AE1074="",IF(G1074&gt;0,(VLOOKUP(A1074,'Discount Lookup'!J:K,2)*G1074*(1-PlanterDiscount)*(1+PlanterDifficultyPercentage)),""),"")),"   not ELP, by"))))))))))))))</f>
        <v/>
      </c>
      <c r="AD1074" s="712"/>
      <c r="AE1074" s="513" t="str">
        <f t="shared" si="771"/>
        <v/>
      </c>
      <c r="AF1074" s="713" t="str">
        <f t="shared" si="772"/>
        <v/>
      </c>
      <c r="AG1074" s="713"/>
      <c r="AH1074" s="713"/>
      <c r="AI1074" s="112">
        <f>IF(H1074="credit",0,IF(AE1074="free",0,IF(AE1074="me",0,IF(G1074&gt;0,(VLOOKUP(A1074,'Discount Lookup'!J:K,2)*G1074),0))))</f>
        <v>0</v>
      </c>
      <c r="AJ1074" s="107" t="str">
        <f t="shared" ca="1" si="773"/>
        <v/>
      </c>
      <c r="AK1074" s="714" t="str">
        <f t="shared" si="774"/>
        <v/>
      </c>
      <c r="AL1074" s="714"/>
      <c r="AM1074" s="114" t="str">
        <f t="shared" si="775"/>
        <v/>
      </c>
      <c r="AN1074" s="115"/>
      <c r="AO1074" s="116"/>
      <c r="AP1074" s="116"/>
      <c r="AQ1074" s="116"/>
      <c r="AR1074" s="116"/>
      <c r="AS1074" s="116"/>
      <c r="AT1074" s="116"/>
      <c r="AU1074" s="116"/>
      <c r="AV1074" s="78"/>
      <c r="AW1074" s="102"/>
      <c r="AX1074" s="78"/>
      <c r="AY1074" s="78"/>
      <c r="AZ1074" s="78"/>
      <c r="BA1074" s="78"/>
      <c r="BB1074" s="78"/>
      <c r="BC1074" s="78"/>
      <c r="BD1074" s="78"/>
      <c r="BE1074" s="465"/>
      <c r="BF1074" s="165" t="str">
        <f t="shared" si="776"/>
        <v>https://www.google.com/search?tbm=isch&amp;q=15%20G4</v>
      </c>
      <c r="BG1074" s="165" t="str">
        <f t="shared" si="777"/>
        <v>C</v>
      </c>
      <c r="BH1074" s="65"/>
      <c r="BI1074" s="65"/>
      <c r="BJ1074" s="65"/>
      <c r="BK1074" s="65"/>
      <c r="BL1074" s="99"/>
      <c r="BM1074" s="99"/>
      <c r="BN1074" s="99"/>
    </row>
    <row r="1075" spans="1:66" s="51" customFormat="1" ht="17.25" thickBot="1" x14ac:dyDescent="0.3">
      <c r="A1075" s="641" t="s">
        <v>2107</v>
      </c>
      <c r="B1075" s="642"/>
      <c r="C1075" s="710"/>
      <c r="D1075" s="643"/>
      <c r="E1075" s="643"/>
      <c r="F1075" s="644"/>
      <c r="G1075" s="645"/>
      <c r="H1075" s="646"/>
      <c r="I1075" s="647"/>
      <c r="J1075" s="648"/>
      <c r="K1075" s="649"/>
      <c r="L1075" s="650"/>
      <c r="M1075" s="650"/>
      <c r="N1075" s="644"/>
      <c r="O1075" s="644"/>
      <c r="P1075" s="644"/>
      <c r="Q1075" s="644"/>
      <c r="R1075" s="644"/>
      <c r="S1075" s="701" t="s">
        <v>5273</v>
      </c>
      <c r="T1075" s="102">
        <f t="shared" si="765"/>
        <v>0</v>
      </c>
      <c r="U1075" s="78" t="str">
        <f>IF(NOT(ISNUMBER(G1075)), "", VLOOKUP(A1075,'Discount Lookup'!D:E,2,FALSE)*G1075)</f>
        <v/>
      </c>
      <c r="V1075" s="78" t="str">
        <f>IF(NOT(ISNUMBER(G1075)), "", VLOOKUP(A1075,'Discount Lookup'!G:H,2,FALSE)*G1075)</f>
        <v/>
      </c>
      <c r="W1075" s="102">
        <f t="shared" si="766"/>
        <v>0</v>
      </c>
      <c r="X1075" s="102">
        <f t="shared" si="767"/>
        <v>0</v>
      </c>
      <c r="Y1075" s="120" t="b">
        <f t="shared" si="768"/>
        <v>0</v>
      </c>
      <c r="Z1075" s="117">
        <f t="shared" si="769"/>
        <v>0</v>
      </c>
      <c r="AA1075" s="118"/>
      <c r="AB1075" s="118" t="str">
        <f t="shared" si="770"/>
        <v/>
      </c>
      <c r="AC1075" s="712" t="str">
        <f>IF(AE1075="T2G","no charge",IF(AND(OR(PlanterYesMe="No",PlanterYesMe="N",PlanterYesMe="me"),H1075=""),"",IF(H1075="credit","NO install",IF(AND(K1075="",AE1075="me"),"EACH row",IF(AND(K1075="images",AE1075="me"),"EACH row",IF(D1075="","",IF(H1075="credit","",IF(AE1075="free","re-planting",IF(AE1075="me","   not ELP, by",IF(AND(OR(PlanterYesMe="Yes",PlanterYesMe="Y"),G1075&gt;0),(VLOOKUP(A1075,'Discount Lookup'!J:K,2)*G1075*(1-PlanterDiscount)*(1+PlanterDifficultyPercentage)),IF(AE1075="ELP",(VLOOKUP(A1075,'Discount Lookup'!J:K,2)*G1075*(1-PlanterDiscount)*(1+PlanterDifficultyPercentage)),IF(AE1075="free","re-planting",IF(G1075=0,"",IF(PlanterYesMe="",IF(AE1075="me","   not ELP, by",IF(AE1075="",IF(G1075&gt;0,(VLOOKUP(A1075,'Discount Lookup'!J:K,2)*G1075*(1-PlanterDiscount)*(1+PlanterDifficultyPercentage)),""),"")),"   not ELP, by"))))))))))))))</f>
        <v/>
      </c>
      <c r="AD1075" s="712"/>
      <c r="AE1075" s="513" t="str">
        <f t="shared" si="771"/>
        <v/>
      </c>
      <c r="AF1075" s="713" t="str">
        <f t="shared" si="772"/>
        <v/>
      </c>
      <c r="AG1075" s="713"/>
      <c r="AH1075" s="713"/>
      <c r="AI1075" s="112">
        <f>IF(H1075="credit",0,IF(AE1075="free",0,IF(AE1075="me",0,IF(G1075&gt;0,(VLOOKUP(A1075,'Discount Lookup'!J:K,2)*G1075),0))))</f>
        <v>0</v>
      </c>
      <c r="AJ1075" s="107" t="str">
        <f t="shared" ca="1" si="773"/>
        <v/>
      </c>
      <c r="AK1075" s="714" t="str">
        <f t="shared" si="774"/>
        <v/>
      </c>
      <c r="AL1075" s="714"/>
      <c r="AM1075" s="114" t="str">
        <f t="shared" si="775"/>
        <v/>
      </c>
      <c r="AN1075" s="115"/>
      <c r="AO1075" s="116"/>
      <c r="AP1075" s="116"/>
      <c r="AQ1075" s="116"/>
      <c r="AR1075" s="116"/>
      <c r="AS1075" s="116"/>
      <c r="AT1075" s="116"/>
      <c r="AU1075" s="116"/>
      <c r="AV1075" s="78"/>
      <c r="AW1075" s="102"/>
      <c r="AX1075" s="78"/>
      <c r="AY1075" s="78"/>
      <c r="AZ1075" s="78"/>
      <c r="BA1075" s="78"/>
      <c r="BB1075" s="78"/>
      <c r="BC1075" s="78"/>
      <c r="BD1075" s="78"/>
      <c r="BE1075" s="465"/>
      <c r="BF1075" s="165" t="str">
        <f t="shared" si="776"/>
        <v>https://www.google.com/search?tbm=isch&amp;q=Don%20Egolf%20is%20slow%20growing%20and%20very%20disease%20resistant%20</v>
      </c>
      <c r="BG1075" s="165" t="str">
        <f t="shared" si="777"/>
        <v>D</v>
      </c>
      <c r="BH1075" s="65"/>
      <c r="BI1075" s="65"/>
      <c r="BJ1075" s="65"/>
      <c r="BK1075" s="65"/>
      <c r="BL1075" s="99"/>
      <c r="BM1075" s="99"/>
      <c r="BN1075" s="99"/>
    </row>
    <row r="1076" spans="1:66" s="51" customFormat="1" ht="18" x14ac:dyDescent="0.25">
      <c r="A1076" s="623" t="s">
        <v>2108</v>
      </c>
      <c r="B1076" s="624"/>
      <c r="C1076" s="709"/>
      <c r="D1076" s="625" t="s">
        <v>2109</v>
      </c>
      <c r="E1076" s="626"/>
      <c r="F1076" s="626"/>
      <c r="G1076" s="626"/>
      <c r="H1076" s="622" t="s">
        <v>1147</v>
      </c>
      <c r="I1076" s="627" t="s">
        <v>2110</v>
      </c>
      <c r="J1076" s="628"/>
      <c r="K1076" s="628"/>
      <c r="L1076" s="629"/>
      <c r="M1076" s="700" t="s">
        <v>5249</v>
      </c>
      <c r="N1076" s="693" t="str">
        <f>IF(AND(ISTEXT($A1076), ISERROR($A1076+0)), HYPERLINK($BF1076, "Images"), "")</f>
        <v>Images</v>
      </c>
      <c r="O1076" s="695" t="s">
        <v>5247</v>
      </c>
      <c r="P1076" s="630"/>
      <c r="Q1076" s="631"/>
      <c r="R1076" s="632"/>
      <c r="S1076" s="633"/>
      <c r="T1076" s="102">
        <f t="shared" si="765"/>
        <v>0</v>
      </c>
      <c r="U1076" s="78" t="str">
        <f>IF(NOT(ISNUMBER(G1076)), "", VLOOKUP(A1076,'Discount Lookup'!D:E,2,FALSE)*G1076)</f>
        <v/>
      </c>
      <c r="V1076" s="78" t="str">
        <f>IF(NOT(ISNUMBER(G1076)), "", VLOOKUP(A1076,'Discount Lookup'!G:H,2,FALSE)*G1076)</f>
        <v/>
      </c>
      <c r="W1076" s="102">
        <f t="shared" si="766"/>
        <v>0</v>
      </c>
      <c r="X1076" s="102" t="str">
        <f t="shared" si="767"/>
        <v>Pinkish Lavender bloom</v>
      </c>
      <c r="Y1076" s="120" t="b">
        <f t="shared" si="768"/>
        <v>0</v>
      </c>
      <c r="Z1076" s="117">
        <f t="shared" si="769"/>
        <v>0</v>
      </c>
      <c r="AA1076" s="118"/>
      <c r="AB1076" s="118" t="str">
        <f t="shared" si="770"/>
        <v/>
      </c>
      <c r="AC1076" s="712" t="str">
        <f>IF(AE1076="T2G","no charge",IF(AND(OR(PlanterYesMe="No",PlanterYesMe="N",PlanterYesMe="me"),H1076=""),"",IF(H1076="credit","NO install",IF(AND(K1076="",AE1076="me"),"EACH row",IF(AND(K1076="images",AE1076="me"),"EACH row",IF(D1076="","",IF(H1076="credit","",IF(AE1076="free","re-planting",IF(AE1076="me","   not ELP, by",IF(AND(OR(PlanterYesMe="Yes",PlanterYesMe="Y"),G1076&gt;0),(VLOOKUP(A1076,'Discount Lookup'!J:K,2)*G1076*(1-PlanterDiscount)*(1+PlanterDifficultyPercentage)),IF(AE1076="ELP",(VLOOKUP(A1076,'Discount Lookup'!J:K,2)*G1076*(1-PlanterDiscount)*(1+PlanterDifficultyPercentage)),IF(AE1076="free","re-planting",IF(G1076=0,"",IF(PlanterYesMe="",IF(AE1076="me","   not ELP, by",IF(AE1076="",IF(G1076&gt;0,(VLOOKUP(A1076,'Discount Lookup'!J:K,2)*G1076*(1-PlanterDiscount)*(1+PlanterDifficultyPercentage)),""),"")),"   not ELP, by"))))))))))))))</f>
        <v/>
      </c>
      <c r="AD1076" s="712"/>
      <c r="AE1076" s="513" t="str">
        <f t="shared" si="771"/>
        <v/>
      </c>
      <c r="AF1076" s="713" t="str">
        <f t="shared" si="772"/>
        <v/>
      </c>
      <c r="AG1076" s="713"/>
      <c r="AH1076" s="713"/>
      <c r="AI1076" s="112">
        <f>IF(H1076="credit",0,IF(AE1076="free",0,IF(AE1076="me",0,IF(G1076&gt;0,(VLOOKUP(A1076,'Discount Lookup'!J:K,2)*G1076),0))))</f>
        <v>0</v>
      </c>
      <c r="AJ1076" s="107" t="str">
        <f t="shared" ca="1" si="773"/>
        <v/>
      </c>
      <c r="AK1076" s="714" t="str">
        <f t="shared" si="774"/>
        <v/>
      </c>
      <c r="AL1076" s="714"/>
      <c r="AM1076" s="114" t="str">
        <f t="shared" si="775"/>
        <v/>
      </c>
      <c r="AN1076" s="115"/>
      <c r="AO1076" s="116"/>
      <c r="AP1076" s="116"/>
      <c r="AQ1076" s="116"/>
      <c r="AR1076" s="116"/>
      <c r="AS1076" s="116"/>
      <c r="AT1076" s="116"/>
      <c r="AU1076" s="116"/>
      <c r="AV1076" s="78"/>
      <c r="AW1076" s="102"/>
      <c r="AX1076" s="78"/>
      <c r="AY1076" s="78"/>
      <c r="AZ1076" s="78"/>
      <c r="BA1076" s="78"/>
      <c r="BB1076" s="78"/>
      <c r="BC1076" s="78"/>
      <c r="BD1076" s="78"/>
      <c r="BE1076" s="465"/>
      <c r="BF1076" s="165" t="str">
        <f t="shared" si="776"/>
        <v>https://www.google.com/search?tbm=isch&amp;q=Cercis%20chinensis%20%27Kay%27s%20Early%20Hope%27%20PP%2322097%20Kay%27s%20Early%20Hope%20Redbud</v>
      </c>
      <c r="BG1076" s="165" t="str">
        <f t="shared" si="777"/>
        <v>C</v>
      </c>
      <c r="BH1076" s="65"/>
      <c r="BI1076" s="65"/>
      <c r="BJ1076" s="65"/>
      <c r="BK1076" s="65"/>
      <c r="BL1076" s="99"/>
      <c r="BM1076" s="99"/>
      <c r="BN1076" s="99"/>
    </row>
    <row r="1077" spans="1:66" s="51" customFormat="1" ht="15.75" x14ac:dyDescent="0.25">
      <c r="A1077" s="634">
        <v>7</v>
      </c>
      <c r="B1077" s="635" t="s">
        <v>291</v>
      </c>
      <c r="C1077" s="636" t="s">
        <v>2111</v>
      </c>
      <c r="D1077" s="637" t="s">
        <v>299</v>
      </c>
      <c r="E1077" s="638">
        <v>95.95</v>
      </c>
      <c r="F1077" s="639" t="s">
        <v>292</v>
      </c>
      <c r="G1077" s="484">
        <v>0</v>
      </c>
      <c r="H1077" s="691" t="str">
        <f>IF(G1077=0,"",IF(F1077="Buy",IF(G1077=1,"plant","plants"),IF(F1077&gt;0.01,"warranty","Error")))</f>
        <v/>
      </c>
      <c r="I1077" s="640">
        <f>IF(H1077="free",0,IF(H1077="credit",((E1077*(F1077))*G1077*-1),IF(F1077="Buy",(E1077*G1077),((E1077*(1-F1077))*G1077))))</f>
        <v>0</v>
      </c>
      <c r="J1077" s="640">
        <f>IF(H1077="warranty",0,(I1077*(_xlfn.SINGLE(SalesTaxPercentage))))</f>
        <v>0</v>
      </c>
      <c r="K1077" s="716">
        <f t="shared" ref="K1077" si="795">I1077+J1077</f>
        <v>0</v>
      </c>
      <c r="L1077" s="716"/>
      <c r="M1077" s="689" t="str">
        <f ca="1">IF(AND(G1077&gt;0,E1077=0),"WARNING - no PRICE inserted",IF(H1077="free","FREE ~ no charge this plant",IF(H1077="credit",CONCATENATE("-$",ROUND(K1077*(1-_xlfn.SINGLE(T2GDiscount))*-1,2)," CREDIT after discount"),IF(_xlfn.SINGLE(T2GDiscount)=0,"",IF(G1077=0,"",IF(F1077="Buy",CONCATENATE("$",ROUND(K1077*(1-_xlfn.SINGLE(T2GDiscount)),2)," with ",(_xlfn.SINGLE(T2GDiscount)*100),"% discount"),CONCATENATE("$",ROUND(K1077*(1-_xlfn.SINGLE(T2GDiscount)),2)," with ",((_xlfn.SINGLE(T2GDiscount)*100+F1077*100)-(_xlfn.SINGLE(T2GDiscount)*100*F1077)),IF(F1077&gt;0,"% discounts",IF(_xlfn.SINGLE(NoWarrantyDiscount)&gt;0,"% discounts","% discount")))))))))</f>
        <v/>
      </c>
      <c r="N1077" s="690"/>
      <c r="O1077" s="486"/>
      <c r="P1077" s="486"/>
      <c r="Q1077" s="486"/>
      <c r="R1077" s="486"/>
      <c r="S1077" s="486"/>
      <c r="T1077" s="102">
        <f t="shared" si="765"/>
        <v>0</v>
      </c>
      <c r="U1077" s="78">
        <f>IF(NOT(ISNUMBER(G1077)), "", VLOOKUP(A1077,'Discount Lookup'!D:E,2,FALSE)*G1077)</f>
        <v>0</v>
      </c>
      <c r="V1077" s="78">
        <f>IF(NOT(ISNUMBER(G1077)), "", VLOOKUP(A1077,'Discount Lookup'!G:H,2,FALSE)*G1077)</f>
        <v>0</v>
      </c>
      <c r="W1077" s="102">
        <f t="shared" si="766"/>
        <v>0</v>
      </c>
      <c r="X1077" s="102">
        <f t="shared" si="767"/>
        <v>0</v>
      </c>
      <c r="Y1077" s="120" t="b">
        <f t="shared" si="768"/>
        <v>0</v>
      </c>
      <c r="Z1077" s="117">
        <f t="shared" si="769"/>
        <v>0</v>
      </c>
      <c r="AA1077" s="118"/>
      <c r="AB1077" s="118" t="str">
        <f t="shared" si="770"/>
        <v/>
      </c>
      <c r="AC1077" s="712" t="str">
        <f>IF(AE1077="T2G","no charge",IF(AND(OR(PlanterYesMe="No",PlanterYesMe="N",PlanterYesMe="me"),H1077=""),"",IF(H1077="credit","NO install",IF(AND(K1077="",AE1077="me"),"EACH row",IF(AND(K1077="images",AE1077="me"),"EACH row",IF(D1077="","",IF(H1077="credit","",IF(AE1077="free","re-planting",IF(AE1077="me","   not ELP, by",IF(AND(OR(PlanterYesMe="Yes",PlanterYesMe="Y"),G1077&gt;0),(VLOOKUP(A1077,'Discount Lookup'!J:K,2)*G1077*(1-PlanterDiscount)*(1+PlanterDifficultyPercentage)),IF(AE1077="ELP",(VLOOKUP(A1077,'Discount Lookup'!J:K,2)*G1077*(1-PlanterDiscount)*(1+PlanterDifficultyPercentage)),IF(AE1077="free","re-planting",IF(G1077=0,"",IF(PlanterYesMe="",IF(AE1077="me","   not ELP, by",IF(AE1077="",IF(G1077&gt;0,(VLOOKUP(A1077,'Discount Lookup'!J:K,2)*G1077*(1-PlanterDiscount)*(1+PlanterDifficultyPercentage)),""),"")),"   not ELP, by"))))))))))))))</f>
        <v/>
      </c>
      <c r="AD1077" s="712"/>
      <c r="AE1077" s="513" t="str">
        <f t="shared" si="771"/>
        <v/>
      </c>
      <c r="AF1077" s="713" t="str">
        <f t="shared" si="772"/>
        <v/>
      </c>
      <c r="AG1077" s="713"/>
      <c r="AH1077" s="713"/>
      <c r="AI1077" s="112">
        <f>IF(H1077="credit",0,IF(AE1077="free",0,IF(AE1077="me",0,IF(G1077&gt;0,(VLOOKUP(A1077,'Discount Lookup'!J:K,2)*G1077),0))))</f>
        <v>0</v>
      </c>
      <c r="AJ1077" s="107" t="str">
        <f t="shared" ca="1" si="773"/>
        <v/>
      </c>
      <c r="AK1077" s="714" t="str">
        <f t="shared" si="774"/>
        <v/>
      </c>
      <c r="AL1077" s="714"/>
      <c r="AM1077" s="114" t="str">
        <f t="shared" si="775"/>
        <v/>
      </c>
      <c r="AN1077" s="115"/>
      <c r="AO1077" s="116"/>
      <c r="AP1077" s="116"/>
      <c r="AQ1077" s="116"/>
      <c r="AR1077" s="116"/>
      <c r="AS1077" s="116"/>
      <c r="AT1077" s="116"/>
      <c r="AU1077" s="116"/>
      <c r="AV1077" s="78"/>
      <c r="AW1077" s="102"/>
      <c r="AX1077" s="78"/>
      <c r="AY1077" s="78"/>
      <c r="AZ1077" s="78"/>
      <c r="BA1077" s="78"/>
      <c r="BB1077" s="78"/>
      <c r="BC1077" s="78"/>
      <c r="BD1077" s="78"/>
      <c r="BE1077" s="465"/>
      <c r="BF1077" s="165" t="str">
        <f t="shared" si="776"/>
        <v>https://www.google.com/search?tbm=isch&amp;q=7%20G4</v>
      </c>
      <c r="BG1077" s="165" t="str">
        <f t="shared" si="777"/>
        <v>C</v>
      </c>
      <c r="BH1077" s="65"/>
      <c r="BI1077" s="65"/>
      <c r="BJ1077" s="65"/>
      <c r="BK1077" s="65"/>
      <c r="BL1077" s="99"/>
      <c r="BM1077" s="99"/>
      <c r="BN1077" s="99"/>
    </row>
    <row r="1078" spans="1:66" s="51" customFormat="1" ht="27" x14ac:dyDescent="0.25">
      <c r="A1078" s="634">
        <v>7</v>
      </c>
      <c r="B1078" s="635" t="s">
        <v>291</v>
      </c>
      <c r="C1078" s="636" t="s">
        <v>4589</v>
      </c>
      <c r="D1078" s="637" t="s">
        <v>311</v>
      </c>
      <c r="E1078" s="638">
        <v>102.95</v>
      </c>
      <c r="F1078" s="639" t="s">
        <v>292</v>
      </c>
      <c r="G1078" s="484">
        <v>0</v>
      </c>
      <c r="H1078" s="691" t="str">
        <f>IF(G1078=0,"",IF(F1078="Buy",IF(G1078=1,"plant","plants"),IF(F1078&gt;0.01,"warranty","Error")))</f>
        <v/>
      </c>
      <c r="I1078" s="640">
        <f>IF(H1078="free",0,IF(H1078="credit",((E1078*(F1078))*G1078*-1),IF(F1078="Buy",(E1078*G1078),((E1078*(1-F1078))*G1078))))</f>
        <v>0</v>
      </c>
      <c r="J1078" s="640">
        <f>IF(H1078="warranty",0,(I1078*(_xlfn.SINGLE(SalesTaxPercentage))))</f>
        <v>0</v>
      </c>
      <c r="K1078" s="716">
        <f t="shared" ref="K1078" si="796">I1078+J1078</f>
        <v>0</v>
      </c>
      <c r="L1078" s="716"/>
      <c r="M1078" s="689" t="str">
        <f ca="1">IF(AND(G1078&gt;0,E1078=0),"WARNING - no PRICE inserted",IF(H1078="free","FREE ~ no charge this plant",IF(H1078="credit",CONCATENATE("-$",ROUND(K1078*(1-_xlfn.SINGLE(T2GDiscount))*-1,2)," CREDIT after discount"),IF(_xlfn.SINGLE(T2GDiscount)=0,"",IF(G1078=0,"",IF(F1078="Buy",CONCATENATE("$",ROUND(K1078*(1-_xlfn.SINGLE(T2GDiscount)),2)," with ",(_xlfn.SINGLE(T2GDiscount)*100),"% discount"),CONCATENATE("$",ROUND(K1078*(1-_xlfn.SINGLE(T2GDiscount)),2)," with ",((_xlfn.SINGLE(T2GDiscount)*100+F1078*100)-(_xlfn.SINGLE(T2GDiscount)*100*F1078)),IF(F1078&gt;0,"% discounts",IF(_xlfn.SINGLE(NoWarrantyDiscount)&gt;0,"% discounts","% discount")))))))))</f>
        <v/>
      </c>
      <c r="N1078" s="690"/>
      <c r="O1078" s="486"/>
      <c r="P1078" s="486"/>
      <c r="Q1078" s="486"/>
      <c r="R1078" s="486"/>
      <c r="S1078" s="486"/>
      <c r="T1078" s="102">
        <f t="shared" si="765"/>
        <v>0</v>
      </c>
      <c r="U1078" s="78">
        <f>IF(NOT(ISNUMBER(G1078)), "", VLOOKUP(A1078,'Discount Lookup'!D:E,2,FALSE)*G1078)</f>
        <v>0</v>
      </c>
      <c r="V1078" s="78">
        <f>IF(NOT(ISNUMBER(G1078)), "", VLOOKUP(A1078,'Discount Lookup'!G:H,2,FALSE)*G1078)</f>
        <v>0</v>
      </c>
      <c r="W1078" s="102">
        <f t="shared" si="766"/>
        <v>0</v>
      </c>
      <c r="X1078" s="102">
        <f t="shared" si="767"/>
        <v>0</v>
      </c>
      <c r="Y1078" s="120" t="b">
        <f t="shared" si="768"/>
        <v>0</v>
      </c>
      <c r="Z1078" s="117">
        <f t="shared" si="769"/>
        <v>0</v>
      </c>
      <c r="AA1078" s="118"/>
      <c r="AB1078" s="118" t="str">
        <f t="shared" si="770"/>
        <v/>
      </c>
      <c r="AC1078" s="712" t="str">
        <f>IF(AE1078="T2G","no charge",IF(AND(OR(PlanterYesMe="No",PlanterYesMe="N",PlanterYesMe="me"),H1078=""),"",IF(H1078="credit","NO install",IF(AND(K1078="",AE1078="me"),"EACH row",IF(AND(K1078="images",AE1078="me"),"EACH row",IF(D1078="","",IF(H1078="credit","",IF(AE1078="free","re-planting",IF(AE1078="me","   not ELP, by",IF(AND(OR(PlanterYesMe="Yes",PlanterYesMe="Y"),G1078&gt;0),(VLOOKUP(A1078,'Discount Lookup'!J:K,2)*G1078*(1-PlanterDiscount)*(1+PlanterDifficultyPercentage)),IF(AE1078="ELP",(VLOOKUP(A1078,'Discount Lookup'!J:K,2)*G1078*(1-PlanterDiscount)*(1+PlanterDifficultyPercentage)),IF(AE1078="free","re-planting",IF(G1078=0,"",IF(PlanterYesMe="",IF(AE1078="me","   not ELP, by",IF(AE1078="",IF(G1078&gt;0,(VLOOKUP(A1078,'Discount Lookup'!J:K,2)*G1078*(1-PlanterDiscount)*(1+PlanterDifficultyPercentage)),""),"")),"   not ELP, by"))))))))))))))</f>
        <v/>
      </c>
      <c r="AD1078" s="712"/>
      <c r="AE1078" s="513" t="str">
        <f t="shared" si="771"/>
        <v/>
      </c>
      <c r="AF1078" s="713" t="str">
        <f t="shared" si="772"/>
        <v/>
      </c>
      <c r="AG1078" s="713"/>
      <c r="AH1078" s="713"/>
      <c r="AI1078" s="112">
        <f>IF(H1078="credit",0,IF(AE1078="free",0,IF(AE1078="me",0,IF(G1078&gt;0,(VLOOKUP(A1078,'Discount Lookup'!J:K,2)*G1078),0))))</f>
        <v>0</v>
      </c>
      <c r="AJ1078" s="107" t="str">
        <f t="shared" ca="1" si="773"/>
        <v/>
      </c>
      <c r="AK1078" s="714" t="str">
        <f t="shared" si="774"/>
        <v/>
      </c>
      <c r="AL1078" s="714"/>
      <c r="AM1078" s="114" t="str">
        <f t="shared" si="775"/>
        <v/>
      </c>
      <c r="AN1078" s="115"/>
      <c r="AO1078" s="116"/>
      <c r="AP1078" s="116"/>
      <c r="AQ1078" s="116"/>
      <c r="AR1078" s="116"/>
      <c r="AS1078" s="116"/>
      <c r="AT1078" s="116"/>
      <c r="AU1078" s="116"/>
      <c r="AV1078" s="78"/>
      <c r="AW1078" s="102"/>
      <c r="AX1078" s="78"/>
      <c r="AY1078" s="78"/>
      <c r="AZ1078" s="78"/>
      <c r="BA1078" s="78"/>
      <c r="BB1078" s="78"/>
      <c r="BC1078" s="78"/>
      <c r="BD1078" s="78"/>
      <c r="BE1078" s="465"/>
      <c r="BF1078" s="165" t="str">
        <f t="shared" si="776"/>
        <v>https://www.google.com/search?tbm=isch&amp;q=7%20G5</v>
      </c>
      <c r="BG1078" s="165" t="str">
        <f t="shared" si="777"/>
        <v>C</v>
      </c>
      <c r="BH1078" s="65"/>
      <c r="BI1078" s="65"/>
      <c r="BJ1078" s="65"/>
      <c r="BK1078" s="65"/>
      <c r="BL1078" s="99"/>
      <c r="BM1078" s="99"/>
      <c r="BN1078" s="99"/>
    </row>
    <row r="1079" spans="1:66" s="51" customFormat="1" ht="15.75" x14ac:dyDescent="0.25">
      <c r="A1079" s="634">
        <v>10</v>
      </c>
      <c r="B1079" s="635" t="s">
        <v>291</v>
      </c>
      <c r="C1079" s="636" t="s">
        <v>2112</v>
      </c>
      <c r="D1079" s="637" t="s">
        <v>299</v>
      </c>
      <c r="E1079" s="638">
        <v>137.94999999999999</v>
      </c>
      <c r="F1079" s="639" t="s">
        <v>292</v>
      </c>
      <c r="G1079" s="484">
        <v>0</v>
      </c>
      <c r="H1079" s="691" t="str">
        <f>IF(G1079=0,"",IF(F1079="Buy",IF(G1079=1,"plant","plants"),IF(F1079&gt;0.01,"warranty","Error")))</f>
        <v/>
      </c>
      <c r="I1079" s="640">
        <f>IF(H1079="free",0,IF(H1079="credit",((E1079*(F1079))*G1079*-1),IF(F1079="Buy",(E1079*G1079),((E1079*(1-F1079))*G1079))))</f>
        <v>0</v>
      </c>
      <c r="J1079" s="640">
        <f>IF(H1079="warranty",0,(I1079*(_xlfn.SINGLE(SalesTaxPercentage))))</f>
        <v>0</v>
      </c>
      <c r="K1079" s="716">
        <f t="shared" ref="K1079" si="797">I1079+J1079</f>
        <v>0</v>
      </c>
      <c r="L1079" s="716"/>
      <c r="M1079" s="689" t="str">
        <f ca="1">IF(AND(G1079&gt;0,E1079=0),"WARNING - no PRICE inserted",IF(H1079="free","FREE ~ no charge this plant",IF(H1079="credit",CONCATENATE("-$",ROUND(K1079*(1-_xlfn.SINGLE(T2GDiscount))*-1,2)," CREDIT after discount"),IF(_xlfn.SINGLE(T2GDiscount)=0,"",IF(G1079=0,"",IF(F1079="Buy",CONCATENATE("$",ROUND(K1079*(1-_xlfn.SINGLE(T2GDiscount)),2)," with ",(_xlfn.SINGLE(T2GDiscount)*100),"% discount"),CONCATENATE("$",ROUND(K1079*(1-_xlfn.SINGLE(T2GDiscount)),2)," with ",((_xlfn.SINGLE(T2GDiscount)*100+F1079*100)-(_xlfn.SINGLE(T2GDiscount)*100*F1079)),IF(F1079&gt;0,"% discounts",IF(_xlfn.SINGLE(NoWarrantyDiscount)&gt;0,"% discounts","% discount")))))))))</f>
        <v/>
      </c>
      <c r="N1079" s="690"/>
      <c r="O1079" s="486"/>
      <c r="P1079" s="486"/>
      <c r="Q1079" s="486"/>
      <c r="R1079" s="486"/>
      <c r="S1079" s="486"/>
      <c r="T1079" s="102">
        <f t="shared" si="765"/>
        <v>0</v>
      </c>
      <c r="U1079" s="78">
        <f>IF(NOT(ISNUMBER(G1079)), "", VLOOKUP(A1079,'Discount Lookup'!D:E,2,FALSE)*G1079)</f>
        <v>0</v>
      </c>
      <c r="V1079" s="78">
        <f>IF(NOT(ISNUMBER(G1079)), "", VLOOKUP(A1079,'Discount Lookup'!G:H,2,FALSE)*G1079)</f>
        <v>0</v>
      </c>
      <c r="W1079" s="102">
        <f t="shared" si="766"/>
        <v>0</v>
      </c>
      <c r="X1079" s="102">
        <f t="shared" si="767"/>
        <v>0</v>
      </c>
      <c r="Y1079" s="120" t="b">
        <f t="shared" si="768"/>
        <v>0</v>
      </c>
      <c r="Z1079" s="117">
        <f t="shared" si="769"/>
        <v>0</v>
      </c>
      <c r="AA1079" s="118"/>
      <c r="AB1079" s="118" t="str">
        <f t="shared" si="770"/>
        <v/>
      </c>
      <c r="AC1079" s="712" t="str">
        <f>IF(AE1079="T2G","no charge",IF(AND(OR(PlanterYesMe="No",PlanterYesMe="N",PlanterYesMe="me"),H1079=""),"",IF(H1079="credit","NO install",IF(AND(K1079="",AE1079="me"),"EACH row",IF(AND(K1079="images",AE1079="me"),"EACH row",IF(D1079="","",IF(H1079="credit","",IF(AE1079="free","re-planting",IF(AE1079="me","   not ELP, by",IF(AND(OR(PlanterYesMe="Yes",PlanterYesMe="Y"),G1079&gt;0),(VLOOKUP(A1079,'Discount Lookup'!J:K,2)*G1079*(1-PlanterDiscount)*(1+PlanterDifficultyPercentage)),IF(AE1079="ELP",(VLOOKUP(A1079,'Discount Lookup'!J:K,2)*G1079*(1-PlanterDiscount)*(1+PlanterDifficultyPercentage)),IF(AE1079="free","re-planting",IF(G1079=0,"",IF(PlanterYesMe="",IF(AE1079="me","   not ELP, by",IF(AE1079="",IF(G1079&gt;0,(VLOOKUP(A1079,'Discount Lookup'!J:K,2)*G1079*(1-PlanterDiscount)*(1+PlanterDifficultyPercentage)),""),"")),"   not ELP, by"))))))))))))))</f>
        <v/>
      </c>
      <c r="AD1079" s="712"/>
      <c r="AE1079" s="513" t="str">
        <f t="shared" si="771"/>
        <v/>
      </c>
      <c r="AF1079" s="713" t="str">
        <f t="shared" si="772"/>
        <v/>
      </c>
      <c r="AG1079" s="713"/>
      <c r="AH1079" s="713"/>
      <c r="AI1079" s="112">
        <f>IF(H1079="credit",0,IF(AE1079="free",0,IF(AE1079="me",0,IF(G1079&gt;0,(VLOOKUP(A1079,'Discount Lookup'!J:K,2)*G1079),0))))</f>
        <v>0</v>
      </c>
      <c r="AJ1079" s="107" t="str">
        <f t="shared" ca="1" si="773"/>
        <v/>
      </c>
      <c r="AK1079" s="714" t="str">
        <f t="shared" si="774"/>
        <v/>
      </c>
      <c r="AL1079" s="714"/>
      <c r="AM1079" s="114" t="str">
        <f t="shared" si="775"/>
        <v/>
      </c>
      <c r="AN1079" s="115"/>
      <c r="AO1079" s="116"/>
      <c r="AP1079" s="116"/>
      <c r="AQ1079" s="116"/>
      <c r="AR1079" s="116"/>
      <c r="AS1079" s="116"/>
      <c r="AT1079" s="116"/>
      <c r="AU1079" s="116"/>
      <c r="AV1079" s="78"/>
      <c r="AW1079" s="102"/>
      <c r="AX1079" s="78"/>
      <c r="AY1079" s="78"/>
      <c r="AZ1079" s="78"/>
      <c r="BA1079" s="78"/>
      <c r="BB1079" s="78"/>
      <c r="BC1079" s="78"/>
      <c r="BD1079" s="78"/>
      <c r="BE1079" s="465"/>
      <c r="BF1079" s="165" t="str">
        <f t="shared" si="776"/>
        <v>https://www.google.com/search?tbm=isch&amp;q=10%20G4</v>
      </c>
      <c r="BG1079" s="165" t="str">
        <f t="shared" si="777"/>
        <v>C</v>
      </c>
      <c r="BH1079" s="65"/>
      <c r="BI1079" s="65"/>
      <c r="BJ1079" s="65"/>
      <c r="BK1079" s="65"/>
      <c r="BL1079" s="99"/>
      <c r="BM1079" s="99"/>
      <c r="BN1079" s="99"/>
    </row>
    <row r="1080" spans="1:66" s="51" customFormat="1" ht="16.5" x14ac:dyDescent="0.25">
      <c r="A1080" s="641" t="s">
        <v>2113</v>
      </c>
      <c r="B1080" s="642"/>
      <c r="C1080" s="710"/>
      <c r="D1080" s="643"/>
      <c r="E1080" s="643"/>
      <c r="F1080" s="644"/>
      <c r="G1080" s="645"/>
      <c r="H1080" s="646"/>
      <c r="I1080" s="647"/>
      <c r="J1080" s="648"/>
      <c r="K1080" s="649"/>
      <c r="L1080" s="650"/>
      <c r="M1080" s="650"/>
      <c r="N1080" s="644"/>
      <c r="O1080" s="644"/>
      <c r="P1080" s="644"/>
      <c r="Q1080" s="644"/>
      <c r="R1080" s="644"/>
      <c r="S1080" s="701" t="s">
        <v>5273</v>
      </c>
      <c r="T1080" s="102">
        <f t="shared" si="765"/>
        <v>0</v>
      </c>
      <c r="U1080" s="78" t="str">
        <f>IF(NOT(ISNUMBER(G1080)), "", VLOOKUP(A1080,'Discount Lookup'!D:E,2,FALSE)*G1080)</f>
        <v/>
      </c>
      <c r="V1080" s="78" t="str">
        <f>IF(NOT(ISNUMBER(G1080)), "", VLOOKUP(A1080,'Discount Lookup'!G:H,2,FALSE)*G1080)</f>
        <v/>
      </c>
      <c r="W1080" s="102">
        <f t="shared" si="766"/>
        <v>0</v>
      </c>
      <c r="X1080" s="102">
        <f t="shared" si="767"/>
        <v>0</v>
      </c>
      <c r="Y1080" s="120" t="b">
        <f t="shared" si="768"/>
        <v>0</v>
      </c>
      <c r="Z1080" s="117">
        <f t="shared" si="769"/>
        <v>0</v>
      </c>
      <c r="AA1080" s="118"/>
      <c r="AB1080" s="118" t="str">
        <f t="shared" si="770"/>
        <v/>
      </c>
      <c r="AC1080" s="712" t="str">
        <f>IF(AE1080="T2G","no charge",IF(AND(OR(PlanterYesMe="No",PlanterYesMe="N",PlanterYesMe="me"),H1080=""),"",IF(H1080="credit","NO install",IF(AND(K1080="",AE1080="me"),"EACH row",IF(AND(K1080="images",AE1080="me"),"EACH row",IF(D1080="","",IF(H1080="credit","",IF(AE1080="free","re-planting",IF(AE1080="me","   not ELP, by",IF(AND(OR(PlanterYesMe="Yes",PlanterYesMe="Y"),G1080&gt;0),(VLOOKUP(A1080,'Discount Lookup'!J:K,2)*G1080*(1-PlanterDiscount)*(1+PlanterDifficultyPercentage)),IF(AE1080="ELP",(VLOOKUP(A1080,'Discount Lookup'!J:K,2)*G1080*(1-PlanterDiscount)*(1+PlanterDifficultyPercentage)),IF(AE1080="free","re-planting",IF(G1080=0,"",IF(PlanterYesMe="",IF(AE1080="me","   not ELP, by",IF(AE1080="",IF(G1080&gt;0,(VLOOKUP(A1080,'Discount Lookup'!J:K,2)*G1080*(1-PlanterDiscount)*(1+PlanterDifficultyPercentage)),""),"")),"   not ELP, by"))))))))))))))</f>
        <v/>
      </c>
      <c r="AD1080" s="712"/>
      <c r="AE1080" s="513" t="str">
        <f t="shared" si="771"/>
        <v/>
      </c>
      <c r="AF1080" s="713" t="str">
        <f t="shared" si="772"/>
        <v/>
      </c>
      <c r="AG1080" s="713"/>
      <c r="AH1080" s="713"/>
      <c r="AI1080" s="112">
        <f>IF(H1080="credit",0,IF(AE1080="free",0,IF(AE1080="me",0,IF(G1080&gt;0,(VLOOKUP(A1080,'Discount Lookup'!J:K,2)*G1080),0))))</f>
        <v>0</v>
      </c>
      <c r="AJ1080" s="107" t="str">
        <f t="shared" ca="1" si="773"/>
        <v/>
      </c>
      <c r="AK1080" s="714" t="str">
        <f t="shared" si="774"/>
        <v/>
      </c>
      <c r="AL1080" s="714"/>
      <c r="AM1080" s="114" t="str">
        <f t="shared" si="775"/>
        <v/>
      </c>
      <c r="AN1080" s="115"/>
      <c r="AO1080" s="116"/>
      <c r="AP1080" s="116"/>
      <c r="AQ1080" s="116"/>
      <c r="AR1080" s="116"/>
      <c r="AS1080" s="116"/>
      <c r="AT1080" s="116"/>
      <c r="AU1080" s="116"/>
      <c r="AV1080" s="78"/>
      <c r="AW1080" s="102"/>
      <c r="AX1080" s="78"/>
      <c r="AY1080" s="78"/>
      <c r="AZ1080" s="78"/>
      <c r="BA1080" s="78"/>
      <c r="BB1080" s="78"/>
      <c r="BC1080" s="78"/>
      <c r="BD1080" s="78"/>
      <c r="BE1080" s="465"/>
      <c r="BF1080" s="165" t="str">
        <f t="shared" si="776"/>
        <v>https://www.google.com/search?tbm=isch&amp;q=Named%20after%20Kay%20Yow%2C%20NCSU%20Women%27s%20Basketball%20Coach.%20Blooms%20same%20time%20as%20tournament.%20From%20JC%20Raulston%20</v>
      </c>
      <c r="BG1080" s="165" t="str">
        <f t="shared" si="777"/>
        <v>N</v>
      </c>
      <c r="BH1080" s="65"/>
      <c r="BI1080" s="65"/>
      <c r="BJ1080" s="65"/>
      <c r="BK1080" s="65"/>
      <c r="BL1080" s="99"/>
      <c r="BM1080" s="99"/>
      <c r="BN1080" s="99"/>
    </row>
    <row r="1081" spans="1:66" s="51" customFormat="1" ht="19.5" thickBot="1" x14ac:dyDescent="0.3">
      <c r="A1081" s="686" t="s">
        <v>912</v>
      </c>
      <c r="B1081" s="73"/>
      <c r="C1081" s="708"/>
      <c r="D1081" s="73"/>
      <c r="E1081" s="73"/>
      <c r="F1081" s="496"/>
      <c r="G1081" s="73"/>
      <c r="H1081" s="73"/>
      <c r="I1081" s="73"/>
      <c r="J1081" s="497" t="s">
        <v>357</v>
      </c>
      <c r="K1081" s="498"/>
      <c r="L1081" s="562"/>
      <c r="M1081" s="73"/>
      <c r="N1081"/>
      <c r="O1081"/>
      <c r="P1081"/>
      <c r="Q1081"/>
      <c r="R1081"/>
      <c r="S1081"/>
      <c r="T1081" s="102">
        <f t="shared" si="765"/>
        <v>0</v>
      </c>
      <c r="U1081" s="78" t="str">
        <f>IF(NOT(ISNUMBER(G1081)), "", VLOOKUP(A1081,'Discount Lookup'!D:E,2,FALSE)*G1081)</f>
        <v/>
      </c>
      <c r="V1081" s="78" t="str">
        <f>IF(NOT(ISNUMBER(G1081)), "", VLOOKUP(A1081,'Discount Lookup'!G:H,2,FALSE)*G1081)</f>
        <v/>
      </c>
      <c r="W1081" s="102">
        <f t="shared" si="766"/>
        <v>0</v>
      </c>
      <c r="X1081" s="102">
        <f t="shared" si="767"/>
        <v>0</v>
      </c>
      <c r="Y1081" s="120" t="b">
        <f t="shared" si="768"/>
        <v>0</v>
      </c>
      <c r="Z1081" s="117">
        <f t="shared" si="769"/>
        <v>0</v>
      </c>
      <c r="AA1081" s="118"/>
      <c r="AB1081" s="118" t="str">
        <f t="shared" si="770"/>
        <v/>
      </c>
      <c r="AC1081" s="712" t="str">
        <f>IF(AE1081="T2G","no charge",IF(AND(OR(PlanterYesMe="No",PlanterYesMe="N",PlanterYesMe="me"),H1081=""),"",IF(H1081="credit","NO install",IF(AND(K1081="",AE1081="me"),"EACH row",IF(AND(K1081="images",AE1081="me"),"EACH row",IF(D1081="","",IF(H1081="credit","",IF(AE1081="free","re-planting",IF(AE1081="me","   not ELP, by",IF(AND(OR(PlanterYesMe="Yes",PlanterYesMe="Y"),G1081&gt;0),(VLOOKUP(A1081,'Discount Lookup'!J:K,2)*G1081*(1-PlanterDiscount)*(1+PlanterDifficultyPercentage)),IF(AE1081="ELP",(VLOOKUP(A1081,'Discount Lookup'!J:K,2)*G1081*(1-PlanterDiscount)*(1+PlanterDifficultyPercentage)),IF(AE1081="free","re-planting",IF(G1081=0,"",IF(PlanterYesMe="",IF(AE1081="me","   not ELP, by",IF(AE1081="",IF(G1081&gt;0,(VLOOKUP(A1081,'Discount Lookup'!J:K,2)*G1081*(1-PlanterDiscount)*(1+PlanterDifficultyPercentage)),""),"")),"   not ELP, by"))))))))))))))</f>
        <v/>
      </c>
      <c r="AD1081" s="712"/>
      <c r="AE1081" s="513" t="str">
        <f t="shared" si="771"/>
        <v/>
      </c>
      <c r="AF1081" s="713" t="str">
        <f t="shared" si="772"/>
        <v/>
      </c>
      <c r="AG1081" s="713"/>
      <c r="AH1081" s="713"/>
      <c r="AI1081" s="112">
        <f>IF(H1081="credit",0,IF(AE1081="free",0,IF(AE1081="me",0,IF(G1081&gt;0,(VLOOKUP(A1081,'Discount Lookup'!J:K,2)*G1081),0))))</f>
        <v>0</v>
      </c>
      <c r="AJ1081" s="107" t="str">
        <f t="shared" ca="1" si="773"/>
        <v/>
      </c>
      <c r="AK1081" s="714" t="str">
        <f t="shared" si="774"/>
        <v/>
      </c>
      <c r="AL1081" s="714"/>
      <c r="AM1081" s="114" t="str">
        <f t="shared" si="775"/>
        <v/>
      </c>
      <c r="AN1081" s="115"/>
      <c r="AO1081" s="116"/>
      <c r="AP1081" s="116"/>
      <c r="AQ1081" s="116"/>
      <c r="AR1081" s="116"/>
      <c r="AS1081" s="116"/>
      <c r="AT1081" s="116"/>
      <c r="AU1081" s="116"/>
      <c r="AV1081" s="78"/>
      <c r="AW1081" s="102"/>
      <c r="AX1081" s="78"/>
      <c r="AY1081" s="78"/>
      <c r="AZ1081" s="78"/>
      <c r="BA1081" s="78"/>
      <c r="BB1081" s="78"/>
      <c r="BC1081" s="78"/>
      <c r="BD1081" s="78"/>
      <c r="BE1081" s="465"/>
      <c r="BF1081" s="165" t="str">
        <f t="shared" si="776"/>
        <v>https://www.google.com/search?tbm=isch&amp;q=Chaenomeles%20%3D%20Flowering%20Quince%20</v>
      </c>
      <c r="BG1081" s="165" t="str">
        <f t="shared" si="777"/>
        <v>C</v>
      </c>
      <c r="BH1081" s="65"/>
      <c r="BI1081" s="65"/>
      <c r="BJ1081" s="65"/>
      <c r="BK1081" s="65"/>
      <c r="BL1081" s="99"/>
      <c r="BM1081" s="99"/>
      <c r="BN1081" s="99"/>
    </row>
    <row r="1082" spans="1:66" s="51" customFormat="1" ht="18" x14ac:dyDescent="0.25">
      <c r="A1082" s="623" t="s">
        <v>2114</v>
      </c>
      <c r="B1082" s="624"/>
      <c r="C1082" s="709"/>
      <c r="D1082" s="625" t="s">
        <v>2115</v>
      </c>
      <c r="E1082" s="626"/>
      <c r="F1082" s="626"/>
      <c r="G1082" s="626"/>
      <c r="H1082" s="622" t="s">
        <v>1240</v>
      </c>
      <c r="I1082" s="627" t="s">
        <v>1524</v>
      </c>
      <c r="J1082" s="628"/>
      <c r="K1082" s="628"/>
      <c r="L1082" s="629"/>
      <c r="M1082" s="700" t="s">
        <v>5241</v>
      </c>
      <c r="N1082" s="693" t="str">
        <f>IF(AND(ISTEXT($A1082), ISERROR($A1082+0)), HYPERLINK($BF1082, "Images"), "")</f>
        <v>Images</v>
      </c>
      <c r="O1082" s="695" t="s">
        <v>5247</v>
      </c>
      <c r="P1082" s="630"/>
      <c r="Q1082" s="631"/>
      <c r="R1082" s="632"/>
      <c r="S1082" s="633"/>
      <c r="T1082" s="102">
        <f t="shared" si="765"/>
        <v>0</v>
      </c>
      <c r="U1082" s="78" t="str">
        <f>IF(NOT(ISNUMBER(G1082)), "", VLOOKUP(A1082,'Discount Lookup'!D:E,2,FALSE)*G1082)</f>
        <v/>
      </c>
      <c r="V1082" s="78" t="str">
        <f>IF(NOT(ISNUMBER(G1082)), "", VLOOKUP(A1082,'Discount Lookup'!G:H,2,FALSE)*G1082)</f>
        <v/>
      </c>
      <c r="W1082" s="102">
        <f t="shared" si="766"/>
        <v>0</v>
      </c>
      <c r="X1082" s="102" t="str">
        <f t="shared" si="767"/>
        <v>Crimson Red bloom</v>
      </c>
      <c r="Y1082" s="120" t="b">
        <f t="shared" si="768"/>
        <v>0</v>
      </c>
      <c r="Z1082" s="117">
        <f t="shared" si="769"/>
        <v>0</v>
      </c>
      <c r="AA1082" s="118"/>
      <c r="AB1082" s="118" t="str">
        <f t="shared" si="770"/>
        <v/>
      </c>
      <c r="AC1082" s="712" t="str">
        <f>IF(AE1082="T2G","no charge",IF(AND(OR(PlanterYesMe="No",PlanterYesMe="N",PlanterYesMe="me"),H1082=""),"",IF(H1082="credit","NO install",IF(AND(K1082="",AE1082="me"),"EACH row",IF(AND(K1082="images",AE1082="me"),"EACH row",IF(D1082="","",IF(H1082="credit","",IF(AE1082="free","re-planting",IF(AE1082="me","   not ELP, by",IF(AND(OR(PlanterYesMe="Yes",PlanterYesMe="Y"),G1082&gt;0),(VLOOKUP(A1082,'Discount Lookup'!J:K,2)*G1082*(1-PlanterDiscount)*(1+PlanterDifficultyPercentage)),IF(AE1082="ELP",(VLOOKUP(A1082,'Discount Lookup'!J:K,2)*G1082*(1-PlanterDiscount)*(1+PlanterDifficultyPercentage)),IF(AE1082="free","re-planting",IF(G1082=0,"",IF(PlanterYesMe="",IF(AE1082="me","   not ELP, by",IF(AE1082="",IF(G1082&gt;0,(VLOOKUP(A1082,'Discount Lookup'!J:K,2)*G1082*(1-PlanterDiscount)*(1+PlanterDifficultyPercentage)),""),"")),"   not ELP, by"))))))))))))))</f>
        <v/>
      </c>
      <c r="AD1082" s="712"/>
      <c r="AE1082" s="513" t="str">
        <f t="shared" si="771"/>
        <v/>
      </c>
      <c r="AF1082" s="713" t="str">
        <f t="shared" si="772"/>
        <v/>
      </c>
      <c r="AG1082" s="713"/>
      <c r="AH1082" s="713"/>
      <c r="AI1082" s="112">
        <f>IF(H1082="credit",0,IF(AE1082="free",0,IF(AE1082="me",0,IF(G1082&gt;0,(VLOOKUP(A1082,'Discount Lookup'!J:K,2)*G1082),0))))</f>
        <v>0</v>
      </c>
      <c r="AJ1082" s="107" t="str">
        <f t="shared" ca="1" si="773"/>
        <v/>
      </c>
      <c r="AK1082" s="714" t="str">
        <f t="shared" si="774"/>
        <v/>
      </c>
      <c r="AL1082" s="714"/>
      <c r="AM1082" s="114" t="str">
        <f t="shared" si="775"/>
        <v/>
      </c>
      <c r="AN1082" s="115"/>
      <c r="AO1082" s="116"/>
      <c r="AP1082" s="116"/>
      <c r="AQ1082" s="116"/>
      <c r="AR1082" s="116"/>
      <c r="AS1082" s="116"/>
      <c r="AT1082" s="116"/>
      <c r="AU1082" s="116"/>
      <c r="AV1082" s="78"/>
      <c r="AW1082" s="102"/>
      <c r="AX1082" s="78"/>
      <c r="AY1082" s="78"/>
      <c r="AZ1082" s="78"/>
      <c r="BA1082" s="78"/>
      <c r="BB1082" s="78"/>
      <c r="BC1082" s="78"/>
      <c r="BD1082" s="78"/>
      <c r="BE1082" s="465"/>
      <c r="BF1082" s="165" t="str">
        <f t="shared" si="776"/>
        <v>https://www.google.com/search?tbm=isch&amp;q=Chaenomeles%20speciosa%20%27Scarff%27s%20Red%27%20Scarff%27s%20Red%20Flowering%20Quince</v>
      </c>
      <c r="BG1082" s="165" t="str">
        <f t="shared" si="777"/>
        <v>C</v>
      </c>
      <c r="BH1082" s="65"/>
      <c r="BI1082" s="65"/>
      <c r="BJ1082" s="65"/>
      <c r="BK1082" s="65"/>
      <c r="BL1082" s="99"/>
      <c r="BM1082" s="99"/>
      <c r="BN1082" s="99"/>
    </row>
    <row r="1083" spans="1:66" s="51" customFormat="1" ht="15.75" x14ac:dyDescent="0.25">
      <c r="A1083" s="634">
        <v>3</v>
      </c>
      <c r="B1083" s="635" t="s">
        <v>291</v>
      </c>
      <c r="C1083" s="636"/>
      <c r="D1083" s="637" t="s">
        <v>310</v>
      </c>
      <c r="E1083" s="638">
        <v>25.95</v>
      </c>
      <c r="F1083" s="639" t="s">
        <v>292</v>
      </c>
      <c r="G1083" s="484">
        <v>0</v>
      </c>
      <c r="H1083" s="691" t="str">
        <f>IF(G1083=0,"",IF(F1083="Buy",IF(G1083=1,"plant","plants"),IF(F1083&gt;0.01,"warranty","Error")))</f>
        <v/>
      </c>
      <c r="I1083" s="640">
        <f>IF(H1083="free",0,IF(H1083="credit",((E1083*(F1083))*G1083*-1),IF(F1083="Buy",(E1083*G1083),((E1083*(1-F1083))*G1083))))</f>
        <v>0</v>
      </c>
      <c r="J1083" s="640">
        <f>IF(H1083="warranty",0,(I1083*(_xlfn.SINGLE(SalesTaxPercentage))))</f>
        <v>0</v>
      </c>
      <c r="K1083" s="716">
        <f t="shared" ref="K1083" si="798">I1083+J1083</f>
        <v>0</v>
      </c>
      <c r="L1083" s="716"/>
      <c r="M1083" s="689" t="str">
        <f ca="1">IF(AND(G1083&gt;0,E1083=0),"WARNING - no PRICE inserted",IF(H1083="free","FREE ~ no charge this plant",IF(H1083="credit",CONCATENATE("-$",ROUND(K1083*(1-_xlfn.SINGLE(T2GDiscount))*-1,2)," CREDIT after discount"),IF(_xlfn.SINGLE(T2GDiscount)=0,"",IF(G1083=0,"",IF(F1083="Buy",CONCATENATE("$",ROUND(K1083*(1-_xlfn.SINGLE(T2GDiscount)),2)," with ",(_xlfn.SINGLE(T2GDiscount)*100),"% discount"),CONCATENATE("$",ROUND(K1083*(1-_xlfn.SINGLE(T2GDiscount)),2)," with ",((_xlfn.SINGLE(T2GDiscount)*100+F1083*100)-(_xlfn.SINGLE(T2GDiscount)*100*F1083)),IF(F1083&gt;0,"% discounts",IF(_xlfn.SINGLE(NoWarrantyDiscount)&gt;0,"% discounts","% discount")))))))))</f>
        <v/>
      </c>
      <c r="N1083" s="690"/>
      <c r="O1083" s="486"/>
      <c r="P1083" s="486"/>
      <c r="Q1083" s="486"/>
      <c r="R1083" s="486"/>
      <c r="S1083" s="486"/>
      <c r="T1083" s="102">
        <f t="shared" si="765"/>
        <v>0</v>
      </c>
      <c r="U1083" s="78">
        <f>IF(NOT(ISNUMBER(G1083)), "", VLOOKUP(A1083,'Discount Lookup'!D:E,2,FALSE)*G1083)</f>
        <v>0</v>
      </c>
      <c r="V1083" s="78">
        <f>IF(NOT(ISNUMBER(G1083)), "", VLOOKUP(A1083,'Discount Lookup'!G:H,2,FALSE)*G1083)</f>
        <v>0</v>
      </c>
      <c r="W1083" s="102">
        <f t="shared" si="766"/>
        <v>0</v>
      </c>
      <c r="X1083" s="102">
        <f t="shared" si="767"/>
        <v>0</v>
      </c>
      <c r="Y1083" s="120" t="b">
        <f t="shared" si="768"/>
        <v>0</v>
      </c>
      <c r="Z1083" s="117">
        <f t="shared" si="769"/>
        <v>0</v>
      </c>
      <c r="AA1083" s="118"/>
      <c r="AB1083" s="118" t="str">
        <f t="shared" si="770"/>
        <v/>
      </c>
      <c r="AC1083" s="712" t="str">
        <f>IF(AE1083="T2G","no charge",IF(AND(OR(PlanterYesMe="No",PlanterYesMe="N",PlanterYesMe="me"),H1083=""),"",IF(H1083="credit","NO install",IF(AND(K1083="",AE1083="me"),"EACH row",IF(AND(K1083="images",AE1083="me"),"EACH row",IF(D1083="","",IF(H1083="credit","",IF(AE1083="free","re-planting",IF(AE1083="me","   not ELP, by",IF(AND(OR(PlanterYesMe="Yes",PlanterYesMe="Y"),G1083&gt;0),(VLOOKUP(A1083,'Discount Lookup'!J:K,2)*G1083*(1-PlanterDiscount)*(1+PlanterDifficultyPercentage)),IF(AE1083="ELP",(VLOOKUP(A1083,'Discount Lookup'!J:K,2)*G1083*(1-PlanterDiscount)*(1+PlanterDifficultyPercentage)),IF(AE1083="free","re-planting",IF(G1083=0,"",IF(PlanterYesMe="",IF(AE1083="me","   not ELP, by",IF(AE1083="",IF(G1083&gt;0,(VLOOKUP(A1083,'Discount Lookup'!J:K,2)*G1083*(1-PlanterDiscount)*(1+PlanterDifficultyPercentage)),""),"")),"   not ELP, by"))))))))))))))</f>
        <v/>
      </c>
      <c r="AD1083" s="712"/>
      <c r="AE1083" s="513" t="str">
        <f t="shared" si="771"/>
        <v/>
      </c>
      <c r="AF1083" s="713" t="str">
        <f t="shared" si="772"/>
        <v/>
      </c>
      <c r="AG1083" s="713"/>
      <c r="AH1083" s="713"/>
      <c r="AI1083" s="112">
        <f>IF(H1083="credit",0,IF(AE1083="free",0,IF(AE1083="me",0,IF(G1083&gt;0,(VLOOKUP(A1083,'Discount Lookup'!J:K,2)*G1083),0))))</f>
        <v>0</v>
      </c>
      <c r="AJ1083" s="107" t="str">
        <f t="shared" ca="1" si="773"/>
        <v/>
      </c>
      <c r="AK1083" s="714" t="str">
        <f t="shared" si="774"/>
        <v/>
      </c>
      <c r="AL1083" s="714"/>
      <c r="AM1083" s="114" t="str">
        <f t="shared" si="775"/>
        <v/>
      </c>
      <c r="AN1083" s="115"/>
      <c r="AO1083" s="116"/>
      <c r="AP1083" s="116"/>
      <c r="AQ1083" s="116"/>
      <c r="AR1083" s="116"/>
      <c r="AS1083" s="116"/>
      <c r="AT1083" s="116"/>
      <c r="AU1083" s="116"/>
      <c r="AV1083" s="78"/>
      <c r="AW1083" s="102"/>
      <c r="AX1083" s="78"/>
      <c r="AY1083" s="78"/>
      <c r="AZ1083" s="78"/>
      <c r="BA1083" s="78"/>
      <c r="BB1083" s="78"/>
      <c r="BC1083" s="78"/>
      <c r="BD1083" s="78"/>
      <c r="BE1083" s="465"/>
      <c r="BF1083" s="165" t="str">
        <f t="shared" si="776"/>
        <v>https://www.google.com/search?tbm=isch&amp;q=3%20G1</v>
      </c>
      <c r="BG1083" s="165" t="str">
        <f t="shared" si="777"/>
        <v>C</v>
      </c>
      <c r="BH1083" s="65"/>
      <c r="BI1083" s="65"/>
      <c r="BJ1083" s="65"/>
      <c r="BK1083" s="65"/>
      <c r="BL1083" s="99"/>
      <c r="BM1083" s="99"/>
      <c r="BN1083" s="99"/>
    </row>
    <row r="1084" spans="1:66" s="51" customFormat="1" ht="16.5" x14ac:dyDescent="0.25">
      <c r="A1084" s="641" t="s">
        <v>2116</v>
      </c>
      <c r="B1084" s="642"/>
      <c r="C1084" s="710"/>
      <c r="D1084" s="643"/>
      <c r="E1084" s="643"/>
      <c r="F1084" s="644"/>
      <c r="G1084" s="645"/>
      <c r="H1084" s="646"/>
      <c r="I1084" s="647"/>
      <c r="J1084" s="648"/>
      <c r="K1084" s="649"/>
      <c r="L1084" s="650"/>
      <c r="M1084" s="650"/>
      <c r="N1084" s="644"/>
      <c r="O1084" s="644"/>
      <c r="P1084" s="644"/>
      <c r="Q1084" s="644"/>
      <c r="R1084" s="644"/>
      <c r="S1084" s="701" t="s">
        <v>5251</v>
      </c>
      <c r="T1084" s="102">
        <f t="shared" si="765"/>
        <v>0</v>
      </c>
      <c r="U1084" s="78" t="str">
        <f>IF(NOT(ISNUMBER(G1084)), "", VLOOKUP(A1084,'Discount Lookup'!D:E,2,FALSE)*G1084)</f>
        <v/>
      </c>
      <c r="V1084" s="78" t="str">
        <f>IF(NOT(ISNUMBER(G1084)), "", VLOOKUP(A1084,'Discount Lookup'!G:H,2,FALSE)*G1084)</f>
        <v/>
      </c>
      <c r="W1084" s="102">
        <f t="shared" si="766"/>
        <v>0</v>
      </c>
      <c r="X1084" s="102">
        <f t="shared" si="767"/>
        <v>0</v>
      </c>
      <c r="Y1084" s="120" t="b">
        <f t="shared" si="768"/>
        <v>0</v>
      </c>
      <c r="Z1084" s="117">
        <f t="shared" si="769"/>
        <v>0</v>
      </c>
      <c r="AA1084" s="118"/>
      <c r="AB1084" s="118" t="str">
        <f t="shared" si="770"/>
        <v/>
      </c>
      <c r="AC1084" s="712" t="str">
        <f>IF(AE1084="T2G","no charge",IF(AND(OR(PlanterYesMe="No",PlanterYesMe="N",PlanterYesMe="me"),H1084=""),"",IF(H1084="credit","NO install",IF(AND(K1084="",AE1084="me"),"EACH row",IF(AND(K1084="images",AE1084="me"),"EACH row",IF(D1084="","",IF(H1084="credit","",IF(AE1084="free","re-planting",IF(AE1084="me","   not ELP, by",IF(AND(OR(PlanterYesMe="Yes",PlanterYesMe="Y"),G1084&gt;0),(VLOOKUP(A1084,'Discount Lookup'!J:K,2)*G1084*(1-PlanterDiscount)*(1+PlanterDifficultyPercentage)),IF(AE1084="ELP",(VLOOKUP(A1084,'Discount Lookup'!J:K,2)*G1084*(1-PlanterDiscount)*(1+PlanterDifficultyPercentage)),IF(AE1084="free","re-planting",IF(G1084=0,"",IF(PlanterYesMe="",IF(AE1084="me","   not ELP, by",IF(AE1084="",IF(G1084&gt;0,(VLOOKUP(A1084,'Discount Lookup'!J:K,2)*G1084*(1-PlanterDiscount)*(1+PlanterDifficultyPercentage)),""),"")),"   not ELP, by"))))))))))))))</f>
        <v/>
      </c>
      <c r="AD1084" s="712"/>
      <c r="AE1084" s="513" t="str">
        <f t="shared" si="771"/>
        <v/>
      </c>
      <c r="AF1084" s="713" t="str">
        <f t="shared" si="772"/>
        <v/>
      </c>
      <c r="AG1084" s="713"/>
      <c r="AH1084" s="713"/>
      <c r="AI1084" s="112">
        <f>IF(H1084="credit",0,IF(AE1084="free",0,IF(AE1084="me",0,IF(G1084&gt;0,(VLOOKUP(A1084,'Discount Lookup'!J:K,2)*G1084),0))))</f>
        <v>0</v>
      </c>
      <c r="AJ1084" s="107" t="str">
        <f t="shared" ca="1" si="773"/>
        <v/>
      </c>
      <c r="AK1084" s="714" t="str">
        <f t="shared" si="774"/>
        <v/>
      </c>
      <c r="AL1084" s="714"/>
      <c r="AM1084" s="114" t="str">
        <f t="shared" si="775"/>
        <v/>
      </c>
      <c r="AN1084" s="115"/>
      <c r="AO1084" s="116"/>
      <c r="AP1084" s="116"/>
      <c r="AQ1084" s="116"/>
      <c r="AR1084" s="116"/>
      <c r="AS1084" s="116"/>
      <c r="AT1084" s="116"/>
      <c r="AU1084" s="116"/>
      <c r="AV1084" s="78"/>
      <c r="AW1084" s="102"/>
      <c r="AX1084" s="78"/>
      <c r="AY1084" s="78"/>
      <c r="AZ1084" s="78"/>
      <c r="BA1084" s="78"/>
      <c r="BB1084" s="78"/>
      <c r="BC1084" s="78"/>
      <c r="BD1084" s="78"/>
      <c r="BE1084" s="465"/>
      <c r="BF1084" s="165" t="str">
        <f t="shared" si="776"/>
        <v>https://www.google.com/search?tbm=isch&amp;q=Scarff%27s%20Red%20has%20a%20profusion%20of%20showy%20flowers%20that%20appear%20on%20bare%20branches%20in%20early%20spring.%20Dense%2C%20thorny%20habit%20that%20makes%20it%20an%20effective%20barrier%20plant%20</v>
      </c>
      <c r="BG1084" s="165" t="str">
        <f t="shared" si="777"/>
        <v>S</v>
      </c>
      <c r="BH1084" s="65"/>
      <c r="BI1084" s="65"/>
      <c r="BJ1084" s="65"/>
      <c r="BK1084" s="65"/>
      <c r="BL1084" s="99"/>
      <c r="BM1084" s="99"/>
      <c r="BN1084" s="99"/>
    </row>
    <row r="1085" spans="1:66" s="51" customFormat="1" ht="19.5" thickBot="1" x14ac:dyDescent="0.3">
      <c r="A1085" s="686" t="s">
        <v>390</v>
      </c>
      <c r="B1085" s="73"/>
      <c r="C1085" s="708"/>
      <c r="D1085" s="73"/>
      <c r="E1085" s="73"/>
      <c r="F1085" s="496"/>
      <c r="G1085" s="73"/>
      <c r="H1085" s="73"/>
      <c r="I1085" s="73"/>
      <c r="J1085" s="497" t="s">
        <v>357</v>
      </c>
      <c r="K1085" s="498"/>
      <c r="L1085" s="562"/>
      <c r="M1085" s="73"/>
      <c r="N1085"/>
      <c r="O1085"/>
      <c r="P1085"/>
      <c r="Q1085"/>
      <c r="R1085"/>
      <c r="S1085"/>
      <c r="T1085" s="102">
        <f t="shared" si="765"/>
        <v>0</v>
      </c>
      <c r="U1085" s="78" t="str">
        <f>IF(NOT(ISNUMBER(G1085)), "", VLOOKUP(A1085,'Discount Lookup'!D:E,2,FALSE)*G1085)</f>
        <v/>
      </c>
      <c r="V1085" s="78" t="str">
        <f>IF(NOT(ISNUMBER(G1085)), "", VLOOKUP(A1085,'Discount Lookup'!G:H,2,FALSE)*G1085)</f>
        <v/>
      </c>
      <c r="W1085" s="102">
        <f t="shared" si="766"/>
        <v>0</v>
      </c>
      <c r="X1085" s="102">
        <f t="shared" si="767"/>
        <v>0</v>
      </c>
      <c r="Y1085" s="120" t="b">
        <f t="shared" si="768"/>
        <v>0</v>
      </c>
      <c r="Z1085" s="117">
        <f t="shared" si="769"/>
        <v>0</v>
      </c>
      <c r="AA1085" s="118"/>
      <c r="AB1085" s="118" t="str">
        <f t="shared" si="770"/>
        <v/>
      </c>
      <c r="AC1085" s="712" t="str">
        <f>IF(AE1085="T2G","no charge",IF(AND(OR(PlanterYesMe="No",PlanterYesMe="N",PlanterYesMe="me"),H1085=""),"",IF(H1085="credit","NO install",IF(AND(K1085="",AE1085="me"),"EACH row",IF(AND(K1085="images",AE1085="me"),"EACH row",IF(D1085="","",IF(H1085="credit","",IF(AE1085="free","re-planting",IF(AE1085="me","   not ELP, by",IF(AND(OR(PlanterYesMe="Yes",PlanterYesMe="Y"),G1085&gt;0),(VLOOKUP(A1085,'Discount Lookup'!J:K,2)*G1085*(1-PlanterDiscount)*(1+PlanterDifficultyPercentage)),IF(AE1085="ELP",(VLOOKUP(A1085,'Discount Lookup'!J:K,2)*G1085*(1-PlanterDiscount)*(1+PlanterDifficultyPercentage)),IF(AE1085="free","re-planting",IF(G1085=0,"",IF(PlanterYesMe="",IF(AE1085="me","   not ELP, by",IF(AE1085="",IF(G1085&gt;0,(VLOOKUP(A1085,'Discount Lookup'!J:K,2)*G1085*(1-PlanterDiscount)*(1+PlanterDifficultyPercentage)),""),"")),"   not ELP, by"))))))))))))))</f>
        <v/>
      </c>
      <c r="AD1085" s="712"/>
      <c r="AE1085" s="513" t="str">
        <f t="shared" si="771"/>
        <v/>
      </c>
      <c r="AF1085" s="713" t="str">
        <f t="shared" si="772"/>
        <v/>
      </c>
      <c r="AG1085" s="713"/>
      <c r="AH1085" s="713"/>
      <c r="AI1085" s="112">
        <f>IF(H1085="credit",0,IF(AE1085="free",0,IF(AE1085="me",0,IF(G1085&gt;0,(VLOOKUP(A1085,'Discount Lookup'!J:K,2)*G1085),0))))</f>
        <v>0</v>
      </c>
      <c r="AJ1085" s="107" t="str">
        <f t="shared" ca="1" si="773"/>
        <v/>
      </c>
      <c r="AK1085" s="714" t="str">
        <f t="shared" si="774"/>
        <v/>
      </c>
      <c r="AL1085" s="714"/>
      <c r="AM1085" s="114" t="str">
        <f t="shared" si="775"/>
        <v/>
      </c>
      <c r="AN1085" s="115"/>
      <c r="AO1085" s="116"/>
      <c r="AP1085" s="116"/>
      <c r="AQ1085" s="116"/>
      <c r="AR1085" s="116"/>
      <c r="AS1085" s="116"/>
      <c r="AT1085" s="116"/>
      <c r="AU1085" s="116"/>
      <c r="AV1085" s="78"/>
      <c r="AW1085" s="102"/>
      <c r="AX1085" s="78"/>
      <c r="AY1085" s="78"/>
      <c r="AZ1085" s="78"/>
      <c r="BA1085" s="78"/>
      <c r="BB1085" s="78"/>
      <c r="BC1085" s="78"/>
      <c r="BD1085" s="78"/>
      <c r="BE1085" s="465"/>
      <c r="BF1085" s="165" t="str">
        <f t="shared" si="776"/>
        <v>https://www.google.com/search?tbm=isch&amp;q=Chamaecyparis%20%3D%20False%20Cypress%20</v>
      </c>
      <c r="BG1085" s="165" t="str">
        <f t="shared" si="777"/>
        <v>C</v>
      </c>
      <c r="BH1085" s="65"/>
      <c r="BI1085" s="65"/>
      <c r="BJ1085" s="65"/>
      <c r="BK1085" s="65"/>
      <c r="BL1085" s="99"/>
      <c r="BM1085" s="99"/>
      <c r="BN1085" s="99"/>
    </row>
    <row r="1086" spans="1:66" s="51" customFormat="1" ht="18" x14ac:dyDescent="0.25">
      <c r="A1086" s="507" t="s">
        <v>2117</v>
      </c>
      <c r="B1086" s="470"/>
      <c r="C1086" s="706"/>
      <c r="D1086" s="471" t="s">
        <v>2118</v>
      </c>
      <c r="E1086" s="472"/>
      <c r="F1086" s="472"/>
      <c r="G1086" s="472"/>
      <c r="H1086" s="622" t="s">
        <v>1471</v>
      </c>
      <c r="I1086" s="473" t="s">
        <v>431</v>
      </c>
      <c r="J1086" s="472"/>
      <c r="K1086" s="472"/>
      <c r="L1086" s="561"/>
      <c r="M1086" s="698" t="s">
        <v>5246</v>
      </c>
      <c r="N1086" s="692" t="str">
        <f>IF(AND(ISTEXT($A1086), ISERROR($A1086+0)), HYPERLINK($BF1086, "Images"), "")</f>
        <v>Images</v>
      </c>
      <c r="O1086" s="694" t="s">
        <v>5244</v>
      </c>
      <c r="P1086" s="475"/>
      <c r="Q1086" s="476"/>
      <c r="R1086" s="476"/>
      <c r="S1086" s="477"/>
      <c r="T1086" s="102">
        <f t="shared" si="765"/>
        <v>0</v>
      </c>
      <c r="U1086" s="78" t="str">
        <f>IF(NOT(ISNUMBER(G1086)), "", VLOOKUP(A1086,'Discount Lookup'!D:E,2,FALSE)*G1086)</f>
        <v/>
      </c>
      <c r="V1086" s="78" t="str">
        <f>IF(NOT(ISNUMBER(G1086)), "", VLOOKUP(A1086,'Discount Lookup'!G:H,2,FALSE)*G1086)</f>
        <v/>
      </c>
      <c r="W1086" s="102">
        <f t="shared" si="766"/>
        <v>0</v>
      </c>
      <c r="X1086" s="102" t="str">
        <f t="shared" si="767"/>
        <v>Dark Green foliage</v>
      </c>
      <c r="Y1086" s="120" t="b">
        <f t="shared" si="768"/>
        <v>0</v>
      </c>
      <c r="Z1086" s="117">
        <f t="shared" si="769"/>
        <v>0</v>
      </c>
      <c r="AA1086" s="118"/>
      <c r="AB1086" s="118" t="str">
        <f t="shared" si="770"/>
        <v/>
      </c>
      <c r="AC1086" s="712" t="str">
        <f>IF(AE1086="T2G","no charge",IF(AND(OR(PlanterYesMe="No",PlanterYesMe="N",PlanterYesMe="me"),H1086=""),"",IF(H1086="credit","NO install",IF(AND(K1086="",AE1086="me"),"EACH row",IF(AND(K1086="images",AE1086="me"),"EACH row",IF(D1086="","",IF(H1086="credit","",IF(AE1086="free","re-planting",IF(AE1086="me","   not ELP, by",IF(AND(OR(PlanterYesMe="Yes",PlanterYesMe="Y"),G1086&gt;0),(VLOOKUP(A1086,'Discount Lookup'!J:K,2)*G1086*(1-PlanterDiscount)*(1+PlanterDifficultyPercentage)),IF(AE1086="ELP",(VLOOKUP(A1086,'Discount Lookup'!J:K,2)*G1086*(1-PlanterDiscount)*(1+PlanterDifficultyPercentage)),IF(AE1086="free","re-planting",IF(G1086=0,"",IF(PlanterYesMe="",IF(AE1086="me","   not ELP, by",IF(AE1086="",IF(G1086&gt;0,(VLOOKUP(A1086,'Discount Lookup'!J:K,2)*G1086*(1-PlanterDiscount)*(1+PlanterDifficultyPercentage)),""),"")),"   not ELP, by"))))))))))))))</f>
        <v/>
      </c>
      <c r="AD1086" s="712"/>
      <c r="AE1086" s="513" t="str">
        <f t="shared" si="771"/>
        <v/>
      </c>
      <c r="AF1086" s="713" t="str">
        <f t="shared" si="772"/>
        <v/>
      </c>
      <c r="AG1086" s="713"/>
      <c r="AH1086" s="713"/>
      <c r="AI1086" s="112">
        <f>IF(H1086="credit",0,IF(AE1086="free",0,IF(AE1086="me",0,IF(G1086&gt;0,(VLOOKUP(A1086,'Discount Lookup'!J:K,2)*G1086),0))))</f>
        <v>0</v>
      </c>
      <c r="AJ1086" s="107" t="str">
        <f t="shared" ca="1" si="773"/>
        <v/>
      </c>
      <c r="AK1086" s="714" t="str">
        <f t="shared" si="774"/>
        <v/>
      </c>
      <c r="AL1086" s="714"/>
      <c r="AM1086" s="114" t="str">
        <f t="shared" si="775"/>
        <v/>
      </c>
      <c r="AN1086" s="115"/>
      <c r="AO1086" s="116"/>
      <c r="AP1086" s="116"/>
      <c r="AQ1086" s="116"/>
      <c r="AR1086" s="116"/>
      <c r="AS1086" s="116"/>
      <c r="AT1086" s="116"/>
      <c r="AU1086" s="116"/>
      <c r="AV1086" s="78"/>
      <c r="AW1086" s="102"/>
      <c r="AX1086" s="78"/>
      <c r="AY1086" s="78"/>
      <c r="AZ1086" s="78"/>
      <c r="BA1086" s="78"/>
      <c r="BB1086" s="78"/>
      <c r="BC1086" s="78"/>
      <c r="BD1086" s="78"/>
      <c r="BE1086" s="465"/>
      <c r="BF1086" s="165" t="str">
        <f t="shared" si="776"/>
        <v>https://www.google.com/search?tbm=isch&amp;q=Chamaecyparis%20obtusa%20%27Compacta%27%20Compact%20Hinoki%20Cypress</v>
      </c>
      <c r="BG1086" s="165" t="str">
        <f t="shared" si="777"/>
        <v>C</v>
      </c>
      <c r="BH1086" s="65"/>
      <c r="BI1086" s="65"/>
      <c r="BJ1086" s="65"/>
      <c r="BK1086" s="65"/>
      <c r="BL1086" s="99"/>
      <c r="BM1086" s="99"/>
      <c r="BN1086" s="99"/>
    </row>
    <row r="1087" spans="1:66" s="51" customFormat="1" ht="15.75" x14ac:dyDescent="0.25">
      <c r="A1087" s="478">
        <v>7</v>
      </c>
      <c r="B1087" s="479" t="s">
        <v>291</v>
      </c>
      <c r="C1087" s="480" t="s">
        <v>4590</v>
      </c>
      <c r="D1087" s="481" t="s">
        <v>299</v>
      </c>
      <c r="E1087" s="482">
        <v>100.95</v>
      </c>
      <c r="F1087" s="483" t="s">
        <v>292</v>
      </c>
      <c r="G1087" s="484">
        <v>0</v>
      </c>
      <c r="H1087" s="688" t="str">
        <f>IF(G1087=0,"",IF(F1087="Buy",IF(G1087=1,"plant","plants"),IF(F1087&gt;0.01,"warranty","Error")))</f>
        <v/>
      </c>
      <c r="I1087" s="485">
        <f>IF(H1087="free",0,IF(H1087="credit",((E1087*(F1087))*G1087*-1),IF(F1087="Buy",(E1087*G1087),((E1087*(1-F1087))*G1087))))</f>
        <v>0</v>
      </c>
      <c r="J1087" s="485">
        <f>IF(H1087="warranty",0,(I1087*(_xlfn.SINGLE(SalesTaxPercentage))))</f>
        <v>0</v>
      </c>
      <c r="K1087" s="715">
        <f t="shared" ref="K1087" si="799">I1087+J1087</f>
        <v>0</v>
      </c>
      <c r="L1087" s="715"/>
      <c r="M1087" s="689" t="str">
        <f ca="1">IF(AND(G1087&gt;0,E1087=0),"WARNING - no PRICE inserted",IF(H1087="free","FREE ~ no charge this plant",IF(H1087="credit",CONCATENATE("-$",ROUND(K1087*(1-_xlfn.SINGLE(T2GDiscount))*-1,2)," CREDIT after discount"),IF(_xlfn.SINGLE(T2GDiscount)=0,"",IF(G1087=0,"",IF(F1087="Buy",CONCATENATE("$",ROUND(K1087*(1-_xlfn.SINGLE(T2GDiscount)),2)," with ",(_xlfn.SINGLE(T2GDiscount)*100),"% discount"),CONCATENATE("$",ROUND(K1087*(1-_xlfn.SINGLE(T2GDiscount)),2)," with ",((_xlfn.SINGLE(T2GDiscount)*100+F1087*100)-(_xlfn.SINGLE(T2GDiscount)*100*F1087)),IF(F1087&gt;0,"% discounts",IF(_xlfn.SINGLE(NoWarrantyDiscount)&gt;0,"% discounts","% discount")))))))))</f>
        <v/>
      </c>
      <c r="N1087" s="690"/>
      <c r="O1087" s="486"/>
      <c r="P1087" s="486"/>
      <c r="Q1087" s="486"/>
      <c r="R1087" s="486"/>
      <c r="S1087" s="486"/>
      <c r="T1087" s="102">
        <f t="shared" si="765"/>
        <v>0</v>
      </c>
      <c r="U1087" s="78">
        <f>IF(NOT(ISNUMBER(G1087)), "", VLOOKUP(A1087,'Discount Lookup'!D:E,2,FALSE)*G1087)</f>
        <v>0</v>
      </c>
      <c r="V1087" s="78">
        <f>IF(NOT(ISNUMBER(G1087)), "", VLOOKUP(A1087,'Discount Lookup'!G:H,2,FALSE)*G1087)</f>
        <v>0</v>
      </c>
      <c r="W1087" s="102">
        <f t="shared" si="766"/>
        <v>0</v>
      </c>
      <c r="X1087" s="102">
        <f t="shared" si="767"/>
        <v>0</v>
      </c>
      <c r="Y1087" s="120" t="b">
        <f t="shared" si="768"/>
        <v>0</v>
      </c>
      <c r="Z1087" s="117">
        <f t="shared" si="769"/>
        <v>0</v>
      </c>
      <c r="AA1087" s="118"/>
      <c r="AB1087" s="118" t="str">
        <f t="shared" si="770"/>
        <v/>
      </c>
      <c r="AC1087" s="712" t="str">
        <f>IF(AE1087="T2G","no charge",IF(AND(OR(PlanterYesMe="No",PlanterYesMe="N",PlanterYesMe="me"),H1087=""),"",IF(H1087="credit","NO install",IF(AND(K1087="",AE1087="me"),"EACH row",IF(AND(K1087="images",AE1087="me"),"EACH row",IF(D1087="","",IF(H1087="credit","",IF(AE1087="free","re-planting",IF(AE1087="me","   not ELP, by",IF(AND(OR(PlanterYesMe="Yes",PlanterYesMe="Y"),G1087&gt;0),(VLOOKUP(A1087,'Discount Lookup'!J:K,2)*G1087*(1-PlanterDiscount)*(1+PlanterDifficultyPercentage)),IF(AE1087="ELP",(VLOOKUP(A1087,'Discount Lookup'!J:K,2)*G1087*(1-PlanterDiscount)*(1+PlanterDifficultyPercentage)),IF(AE1087="free","re-planting",IF(G1087=0,"",IF(PlanterYesMe="",IF(AE1087="me","   not ELP, by",IF(AE1087="",IF(G1087&gt;0,(VLOOKUP(A1087,'Discount Lookup'!J:K,2)*G1087*(1-PlanterDiscount)*(1+PlanterDifficultyPercentage)),""),"")),"   not ELP, by"))))))))))))))</f>
        <v/>
      </c>
      <c r="AD1087" s="712"/>
      <c r="AE1087" s="513" t="str">
        <f t="shared" si="771"/>
        <v/>
      </c>
      <c r="AF1087" s="713" t="str">
        <f t="shared" si="772"/>
        <v/>
      </c>
      <c r="AG1087" s="713"/>
      <c r="AH1087" s="713"/>
      <c r="AI1087" s="112">
        <f>IF(H1087="credit",0,IF(AE1087="free",0,IF(AE1087="me",0,IF(G1087&gt;0,(VLOOKUP(A1087,'Discount Lookup'!J:K,2)*G1087),0))))</f>
        <v>0</v>
      </c>
      <c r="AJ1087" s="107" t="str">
        <f t="shared" ca="1" si="773"/>
        <v/>
      </c>
      <c r="AK1087" s="714" t="str">
        <f t="shared" si="774"/>
        <v/>
      </c>
      <c r="AL1087" s="714"/>
      <c r="AM1087" s="114" t="str">
        <f t="shared" si="775"/>
        <v/>
      </c>
      <c r="AN1087" s="115"/>
      <c r="AO1087" s="116"/>
      <c r="AP1087" s="116"/>
      <c r="AQ1087" s="116"/>
      <c r="AR1087" s="116"/>
      <c r="AS1087" s="116"/>
      <c r="AT1087" s="116"/>
      <c r="AU1087" s="116"/>
      <c r="AV1087" s="78"/>
      <c r="AW1087" s="102"/>
      <c r="AX1087" s="78"/>
      <c r="AY1087" s="78"/>
      <c r="AZ1087" s="78"/>
      <c r="BA1087" s="78"/>
      <c r="BB1087" s="78"/>
      <c r="BC1087" s="78"/>
      <c r="BD1087" s="78"/>
      <c r="BE1087" s="465"/>
      <c r="BF1087" s="165" t="str">
        <f t="shared" si="776"/>
        <v>https://www.google.com/search?tbm=isch&amp;q=7%20G4</v>
      </c>
      <c r="BG1087" s="165" t="str">
        <f t="shared" si="777"/>
        <v>C</v>
      </c>
      <c r="BH1087" s="65"/>
      <c r="BI1087" s="65"/>
      <c r="BJ1087" s="65"/>
      <c r="BK1087" s="65"/>
      <c r="BL1087" s="99"/>
      <c r="BM1087" s="99"/>
      <c r="BN1087" s="99"/>
    </row>
    <row r="1088" spans="1:66" s="51" customFormat="1" ht="17.25" thickBot="1" x14ac:dyDescent="0.3">
      <c r="A1088" s="508" t="s">
        <v>2119</v>
      </c>
      <c r="B1088" s="487"/>
      <c r="C1088" s="707"/>
      <c r="D1088" s="487"/>
      <c r="E1088" s="487"/>
      <c r="F1088" s="488"/>
      <c r="G1088" s="489"/>
      <c r="H1088" s="487"/>
      <c r="I1088" s="490"/>
      <c r="J1088" s="490"/>
      <c r="K1088" s="491"/>
      <c r="L1088" s="547"/>
      <c r="M1088" s="528"/>
      <c r="N1088" s="492"/>
      <c r="O1088" s="493"/>
      <c r="P1088" s="494"/>
      <c r="Q1088" s="492"/>
      <c r="R1088" s="492"/>
      <c r="S1088" s="699" t="s">
        <v>5268</v>
      </c>
      <c r="T1088" s="102">
        <f t="shared" si="765"/>
        <v>0</v>
      </c>
      <c r="U1088" s="78" t="str">
        <f>IF(NOT(ISNUMBER(G1088)), "", VLOOKUP(A1088,'Discount Lookup'!D:E,2,FALSE)*G1088)</f>
        <v/>
      </c>
      <c r="V1088" s="78" t="str">
        <f>IF(NOT(ISNUMBER(G1088)), "", VLOOKUP(A1088,'Discount Lookup'!G:H,2,FALSE)*G1088)</f>
        <v/>
      </c>
      <c r="W1088" s="102">
        <f t="shared" si="766"/>
        <v>0</v>
      </c>
      <c r="X1088" s="102">
        <f t="shared" si="767"/>
        <v>0</v>
      </c>
      <c r="Y1088" s="120" t="b">
        <f t="shared" si="768"/>
        <v>0</v>
      </c>
      <c r="Z1088" s="117">
        <f t="shared" si="769"/>
        <v>0</v>
      </c>
      <c r="AA1088" s="118"/>
      <c r="AB1088" s="118" t="str">
        <f t="shared" si="770"/>
        <v/>
      </c>
      <c r="AC1088" s="712" t="str">
        <f>IF(AE1088="T2G","no charge",IF(AND(OR(PlanterYesMe="No",PlanterYesMe="N",PlanterYesMe="me"),H1088=""),"",IF(H1088="credit","NO install",IF(AND(K1088="",AE1088="me"),"EACH row",IF(AND(K1088="images",AE1088="me"),"EACH row",IF(D1088="","",IF(H1088="credit","",IF(AE1088="free","re-planting",IF(AE1088="me","   not ELP, by",IF(AND(OR(PlanterYesMe="Yes",PlanterYesMe="Y"),G1088&gt;0),(VLOOKUP(A1088,'Discount Lookup'!J:K,2)*G1088*(1-PlanterDiscount)*(1+PlanterDifficultyPercentage)),IF(AE1088="ELP",(VLOOKUP(A1088,'Discount Lookup'!J:K,2)*G1088*(1-PlanterDiscount)*(1+PlanterDifficultyPercentage)),IF(AE1088="free","re-planting",IF(G1088=0,"",IF(PlanterYesMe="",IF(AE1088="me","   not ELP, by",IF(AE1088="",IF(G1088&gt;0,(VLOOKUP(A1088,'Discount Lookup'!J:K,2)*G1088*(1-PlanterDiscount)*(1+PlanterDifficultyPercentage)),""),"")),"   not ELP, by"))))))))))))))</f>
        <v/>
      </c>
      <c r="AD1088" s="712"/>
      <c r="AE1088" s="513" t="str">
        <f t="shared" si="771"/>
        <v/>
      </c>
      <c r="AF1088" s="713" t="str">
        <f t="shared" si="772"/>
        <v/>
      </c>
      <c r="AG1088" s="713"/>
      <c r="AH1088" s="713"/>
      <c r="AI1088" s="112">
        <f>IF(H1088="credit",0,IF(AE1088="free",0,IF(AE1088="me",0,IF(G1088&gt;0,(VLOOKUP(A1088,'Discount Lookup'!J:K,2)*G1088),0))))</f>
        <v>0</v>
      </c>
      <c r="AJ1088" s="107" t="str">
        <f t="shared" ca="1" si="773"/>
        <v/>
      </c>
      <c r="AK1088" s="714" t="str">
        <f t="shared" si="774"/>
        <v/>
      </c>
      <c r="AL1088" s="714"/>
      <c r="AM1088" s="114" t="str">
        <f t="shared" si="775"/>
        <v/>
      </c>
      <c r="AN1088" s="115"/>
      <c r="AO1088" s="116"/>
      <c r="AP1088" s="116"/>
      <c r="AQ1088" s="116"/>
      <c r="AR1088" s="116"/>
      <c r="AS1088" s="116"/>
      <c r="AT1088" s="116"/>
      <c r="AU1088" s="116"/>
      <c r="AV1088" s="78"/>
      <c r="AW1088" s="102"/>
      <c r="AX1088" s="78"/>
      <c r="AY1088" s="78"/>
      <c r="AZ1088" s="78"/>
      <c r="BA1088" s="78"/>
      <c r="BB1088" s="78"/>
      <c r="BC1088" s="78"/>
      <c r="BD1088" s="78"/>
      <c r="BE1088" s="465"/>
      <c r="BF1088" s="165" t="str">
        <f t="shared" si="776"/>
        <v>https://www.google.com/search?tbm=isch&amp;q=Compact%20Hinoki%20offers%20elegant%2C%20slow-growing%20structure%20with%20lush%2C%20fan-like%20foliage%20and%20a%20tidy%20habit%20</v>
      </c>
      <c r="BG1088" s="165" t="str">
        <f t="shared" si="777"/>
        <v>C</v>
      </c>
      <c r="BH1088" s="65"/>
      <c r="BI1088" s="65"/>
      <c r="BJ1088" s="65"/>
      <c r="BK1088" s="65"/>
      <c r="BL1088" s="99"/>
      <c r="BM1088" s="99"/>
      <c r="BN1088" s="99"/>
    </row>
    <row r="1089" spans="1:66" s="51" customFormat="1" ht="18" x14ac:dyDescent="0.25">
      <c r="A1089" s="507" t="s">
        <v>2120</v>
      </c>
      <c r="B1089" s="470"/>
      <c r="C1089" s="706"/>
      <c r="D1089" s="471" t="s">
        <v>2121</v>
      </c>
      <c r="E1089" s="472"/>
      <c r="F1089" s="472"/>
      <c r="G1089" s="472"/>
      <c r="H1089" s="622" t="s">
        <v>1246</v>
      </c>
      <c r="I1089" s="473" t="s">
        <v>431</v>
      </c>
      <c r="J1089" s="472"/>
      <c r="K1089" s="472"/>
      <c r="L1089" s="561"/>
      <c r="M1089" s="698" t="s">
        <v>5246</v>
      </c>
      <c r="N1089" s="692" t="str">
        <f>IF(AND(ISTEXT($A1089), ISERROR($A1089+0)), HYPERLINK($BF1089, "Images"), "")</f>
        <v>Images</v>
      </c>
      <c r="O1089" s="694" t="s">
        <v>5247</v>
      </c>
      <c r="P1089" s="475"/>
      <c r="Q1089" s="476"/>
      <c r="R1089" s="476"/>
      <c r="S1089" s="477"/>
      <c r="T1089" s="102">
        <f t="shared" si="765"/>
        <v>0</v>
      </c>
      <c r="U1089" s="78" t="str">
        <f>IF(NOT(ISNUMBER(G1089)), "", VLOOKUP(A1089,'Discount Lookup'!D:E,2,FALSE)*G1089)</f>
        <v/>
      </c>
      <c r="V1089" s="78" t="str">
        <f>IF(NOT(ISNUMBER(G1089)), "", VLOOKUP(A1089,'Discount Lookup'!G:H,2,FALSE)*G1089)</f>
        <v/>
      </c>
      <c r="W1089" s="102">
        <f t="shared" si="766"/>
        <v>0</v>
      </c>
      <c r="X1089" s="102" t="str">
        <f t="shared" si="767"/>
        <v>Dark Green foliage</v>
      </c>
      <c r="Y1089" s="120" t="b">
        <f t="shared" si="768"/>
        <v>0</v>
      </c>
      <c r="Z1089" s="117">
        <f t="shared" si="769"/>
        <v>0</v>
      </c>
      <c r="AA1089" s="118"/>
      <c r="AB1089" s="118" t="str">
        <f t="shared" si="770"/>
        <v/>
      </c>
      <c r="AC1089" s="712" t="str">
        <f>IF(AE1089="T2G","no charge",IF(AND(OR(PlanterYesMe="No",PlanterYesMe="N",PlanterYesMe="me"),H1089=""),"",IF(H1089="credit","NO install",IF(AND(K1089="",AE1089="me"),"EACH row",IF(AND(K1089="images",AE1089="me"),"EACH row",IF(D1089="","",IF(H1089="credit","",IF(AE1089="free","re-planting",IF(AE1089="me","   not ELP, by",IF(AND(OR(PlanterYesMe="Yes",PlanterYesMe="Y"),G1089&gt;0),(VLOOKUP(A1089,'Discount Lookup'!J:K,2)*G1089*(1-PlanterDiscount)*(1+PlanterDifficultyPercentage)),IF(AE1089="ELP",(VLOOKUP(A1089,'Discount Lookup'!J:K,2)*G1089*(1-PlanterDiscount)*(1+PlanterDifficultyPercentage)),IF(AE1089="free","re-planting",IF(G1089=0,"",IF(PlanterYesMe="",IF(AE1089="me","   not ELP, by",IF(AE1089="",IF(G1089&gt;0,(VLOOKUP(A1089,'Discount Lookup'!J:K,2)*G1089*(1-PlanterDiscount)*(1+PlanterDifficultyPercentage)),""),"")),"   not ELP, by"))))))))))))))</f>
        <v/>
      </c>
      <c r="AD1089" s="712"/>
      <c r="AE1089" s="513" t="str">
        <f t="shared" si="771"/>
        <v/>
      </c>
      <c r="AF1089" s="713" t="str">
        <f t="shared" si="772"/>
        <v/>
      </c>
      <c r="AG1089" s="713"/>
      <c r="AH1089" s="713"/>
      <c r="AI1089" s="112">
        <f>IF(H1089="credit",0,IF(AE1089="free",0,IF(AE1089="me",0,IF(G1089&gt;0,(VLOOKUP(A1089,'Discount Lookup'!J:K,2)*G1089),0))))</f>
        <v>0</v>
      </c>
      <c r="AJ1089" s="107" t="str">
        <f t="shared" ca="1" si="773"/>
        <v/>
      </c>
      <c r="AK1089" s="714" t="str">
        <f t="shared" si="774"/>
        <v/>
      </c>
      <c r="AL1089" s="714"/>
      <c r="AM1089" s="114" t="str">
        <f t="shared" si="775"/>
        <v/>
      </c>
      <c r="AN1089" s="115"/>
      <c r="AO1089" s="116"/>
      <c r="AP1089" s="116"/>
      <c r="AQ1089" s="116"/>
      <c r="AR1089" s="116"/>
      <c r="AS1089" s="116"/>
      <c r="AT1089" s="116"/>
      <c r="AU1089" s="116"/>
      <c r="AV1089" s="78"/>
      <c r="AW1089" s="102"/>
      <c r="AX1089" s="78"/>
      <c r="AY1089" s="78"/>
      <c r="AZ1089" s="78"/>
      <c r="BA1089" s="78"/>
      <c r="BB1089" s="78"/>
      <c r="BC1089" s="78"/>
      <c r="BD1089" s="78"/>
      <c r="BE1089" s="465"/>
      <c r="BF1089" s="165" t="str">
        <f t="shared" si="776"/>
        <v>https://www.google.com/search?tbm=isch&amp;q=Chamaecyparis%20obtusa%20%27Compacta%20Superba%27%20Compacta%20Superba%20Cypress</v>
      </c>
      <c r="BG1089" s="165" t="str">
        <f t="shared" si="777"/>
        <v>C</v>
      </c>
      <c r="BH1089" s="65"/>
      <c r="BI1089" s="65"/>
      <c r="BJ1089" s="65"/>
      <c r="BK1089" s="65"/>
      <c r="BL1089" s="99"/>
      <c r="BM1089" s="99"/>
      <c r="BN1089" s="99"/>
    </row>
    <row r="1090" spans="1:66" s="51" customFormat="1" ht="27" x14ac:dyDescent="0.25">
      <c r="A1090" s="478">
        <v>7</v>
      </c>
      <c r="B1090" s="479" t="s">
        <v>291</v>
      </c>
      <c r="C1090" s="480" t="s">
        <v>2122</v>
      </c>
      <c r="D1090" s="481" t="s">
        <v>299</v>
      </c>
      <c r="E1090" s="482">
        <v>111.95</v>
      </c>
      <c r="F1090" s="483" t="s">
        <v>292</v>
      </c>
      <c r="G1090" s="484">
        <v>0</v>
      </c>
      <c r="H1090" s="688" t="str">
        <f>IF(G1090=0,"",IF(F1090="Buy",IF(G1090=1,"plant","plants"),IF(F1090&gt;0.01,"warranty","Error")))</f>
        <v/>
      </c>
      <c r="I1090" s="485">
        <f>IF(H1090="free",0,IF(H1090="credit",((E1090*(F1090))*G1090*-1),IF(F1090="Buy",(E1090*G1090),((E1090*(1-F1090))*G1090))))</f>
        <v>0</v>
      </c>
      <c r="J1090" s="485">
        <f>IF(H1090="warranty",0,(I1090*(_xlfn.SINGLE(SalesTaxPercentage))))</f>
        <v>0</v>
      </c>
      <c r="K1090" s="715">
        <f t="shared" ref="K1090" si="800">I1090+J1090</f>
        <v>0</v>
      </c>
      <c r="L1090" s="715"/>
      <c r="M1090" s="689" t="str">
        <f ca="1">IF(AND(G1090&gt;0,E1090=0),"WARNING - no PRICE inserted",IF(H1090="free","FREE ~ no charge this plant",IF(H1090="credit",CONCATENATE("-$",ROUND(K1090*(1-_xlfn.SINGLE(T2GDiscount))*-1,2)," CREDIT after discount"),IF(_xlfn.SINGLE(T2GDiscount)=0,"",IF(G1090=0,"",IF(F1090="Buy",CONCATENATE("$",ROUND(K1090*(1-_xlfn.SINGLE(T2GDiscount)),2)," with ",(_xlfn.SINGLE(T2GDiscount)*100),"% discount"),CONCATENATE("$",ROUND(K1090*(1-_xlfn.SINGLE(T2GDiscount)),2)," with ",((_xlfn.SINGLE(T2GDiscount)*100+F1090*100)-(_xlfn.SINGLE(T2GDiscount)*100*F1090)),IF(F1090&gt;0,"% discounts",IF(_xlfn.SINGLE(NoWarrantyDiscount)&gt;0,"% discounts","% discount")))))))))</f>
        <v/>
      </c>
      <c r="N1090" s="690"/>
      <c r="O1090" s="486"/>
      <c r="P1090" s="486"/>
      <c r="Q1090" s="486"/>
      <c r="R1090" s="486"/>
      <c r="S1090" s="486"/>
      <c r="T1090" s="102">
        <f t="shared" si="765"/>
        <v>0</v>
      </c>
      <c r="U1090" s="78">
        <f>IF(NOT(ISNUMBER(G1090)), "", VLOOKUP(A1090,'Discount Lookup'!D:E,2,FALSE)*G1090)</f>
        <v>0</v>
      </c>
      <c r="V1090" s="78">
        <f>IF(NOT(ISNUMBER(G1090)), "", VLOOKUP(A1090,'Discount Lookup'!G:H,2,FALSE)*G1090)</f>
        <v>0</v>
      </c>
      <c r="W1090" s="102">
        <f t="shared" si="766"/>
        <v>0</v>
      </c>
      <c r="X1090" s="102">
        <f t="shared" si="767"/>
        <v>0</v>
      </c>
      <c r="Y1090" s="120" t="b">
        <f t="shared" si="768"/>
        <v>0</v>
      </c>
      <c r="Z1090" s="117">
        <f t="shared" si="769"/>
        <v>0</v>
      </c>
      <c r="AA1090" s="118"/>
      <c r="AB1090" s="118" t="str">
        <f t="shared" si="770"/>
        <v/>
      </c>
      <c r="AC1090" s="712" t="str">
        <f>IF(AE1090="T2G","no charge",IF(AND(OR(PlanterYesMe="No",PlanterYesMe="N",PlanterYesMe="me"),H1090=""),"",IF(H1090="credit","NO install",IF(AND(K1090="",AE1090="me"),"EACH row",IF(AND(K1090="images",AE1090="me"),"EACH row",IF(D1090="","",IF(H1090="credit","",IF(AE1090="free","re-planting",IF(AE1090="me","   not ELP, by",IF(AND(OR(PlanterYesMe="Yes",PlanterYesMe="Y"),G1090&gt;0),(VLOOKUP(A1090,'Discount Lookup'!J:K,2)*G1090*(1-PlanterDiscount)*(1+PlanterDifficultyPercentage)),IF(AE1090="ELP",(VLOOKUP(A1090,'Discount Lookup'!J:K,2)*G1090*(1-PlanterDiscount)*(1+PlanterDifficultyPercentage)),IF(AE1090="free","re-planting",IF(G1090=0,"",IF(PlanterYesMe="",IF(AE1090="me","   not ELP, by",IF(AE1090="",IF(G1090&gt;0,(VLOOKUP(A1090,'Discount Lookup'!J:K,2)*G1090*(1-PlanterDiscount)*(1+PlanterDifficultyPercentage)),""),"")),"   not ELP, by"))))))))))))))</f>
        <v/>
      </c>
      <c r="AD1090" s="712"/>
      <c r="AE1090" s="513" t="str">
        <f t="shared" si="771"/>
        <v/>
      </c>
      <c r="AF1090" s="713" t="str">
        <f t="shared" si="772"/>
        <v/>
      </c>
      <c r="AG1090" s="713"/>
      <c r="AH1090" s="713"/>
      <c r="AI1090" s="112">
        <f>IF(H1090="credit",0,IF(AE1090="free",0,IF(AE1090="me",0,IF(G1090&gt;0,(VLOOKUP(A1090,'Discount Lookup'!J:K,2)*G1090),0))))</f>
        <v>0</v>
      </c>
      <c r="AJ1090" s="107" t="str">
        <f t="shared" ca="1" si="773"/>
        <v/>
      </c>
      <c r="AK1090" s="714" t="str">
        <f t="shared" si="774"/>
        <v/>
      </c>
      <c r="AL1090" s="714"/>
      <c r="AM1090" s="114" t="str">
        <f t="shared" si="775"/>
        <v/>
      </c>
      <c r="AN1090" s="115"/>
      <c r="AO1090" s="116"/>
      <c r="AP1090" s="116"/>
      <c r="AQ1090" s="116"/>
      <c r="AR1090" s="116"/>
      <c r="AS1090" s="116"/>
      <c r="AT1090" s="116"/>
      <c r="AU1090" s="116"/>
      <c r="AV1090" s="78"/>
      <c r="AW1090" s="102"/>
      <c r="AX1090" s="78"/>
      <c r="AY1090" s="78"/>
      <c r="AZ1090" s="78"/>
      <c r="BA1090" s="78"/>
      <c r="BB1090" s="78"/>
      <c r="BC1090" s="78"/>
      <c r="BD1090" s="78"/>
      <c r="BE1090" s="465"/>
      <c r="BF1090" s="165" t="str">
        <f t="shared" si="776"/>
        <v>https://www.google.com/search?tbm=isch&amp;q=7%20G4</v>
      </c>
      <c r="BG1090" s="165" t="str">
        <f t="shared" si="777"/>
        <v>C</v>
      </c>
      <c r="BH1090" s="65"/>
      <c r="BI1090" s="65"/>
      <c r="BJ1090" s="65"/>
      <c r="BK1090" s="65"/>
      <c r="BL1090" s="99"/>
      <c r="BM1090" s="99"/>
      <c r="BN1090" s="99"/>
    </row>
    <row r="1091" spans="1:66" s="51" customFormat="1" ht="17.25" thickBot="1" x14ac:dyDescent="0.3">
      <c r="A1091" s="508" t="s">
        <v>2123</v>
      </c>
      <c r="B1091" s="487"/>
      <c r="C1091" s="707"/>
      <c r="D1091" s="487"/>
      <c r="E1091" s="487"/>
      <c r="F1091" s="488"/>
      <c r="G1091" s="489"/>
      <c r="H1091" s="487"/>
      <c r="I1091" s="490"/>
      <c r="J1091" s="490"/>
      <c r="K1091" s="491"/>
      <c r="L1091" s="547"/>
      <c r="M1091" s="528"/>
      <c r="N1091" s="492"/>
      <c r="O1091" s="493"/>
      <c r="P1091" s="494"/>
      <c r="Q1091" s="492"/>
      <c r="R1091" s="492"/>
      <c r="S1091" s="699" t="s">
        <v>5268</v>
      </c>
      <c r="T1091" s="102">
        <f t="shared" si="765"/>
        <v>0</v>
      </c>
      <c r="U1091" s="78" t="str">
        <f>IF(NOT(ISNUMBER(G1091)), "", VLOOKUP(A1091,'Discount Lookup'!D:E,2,FALSE)*G1091)</f>
        <v/>
      </c>
      <c r="V1091" s="78" t="str">
        <f>IF(NOT(ISNUMBER(G1091)), "", VLOOKUP(A1091,'Discount Lookup'!G:H,2,FALSE)*G1091)</f>
        <v/>
      </c>
      <c r="W1091" s="102">
        <f t="shared" si="766"/>
        <v>0</v>
      </c>
      <c r="X1091" s="102">
        <f t="shared" si="767"/>
        <v>0</v>
      </c>
      <c r="Y1091" s="120" t="b">
        <f t="shared" si="768"/>
        <v>0</v>
      </c>
      <c r="Z1091" s="117">
        <f t="shared" si="769"/>
        <v>0</v>
      </c>
      <c r="AA1091" s="118"/>
      <c r="AB1091" s="118" t="str">
        <f t="shared" si="770"/>
        <v/>
      </c>
      <c r="AC1091" s="712" t="str">
        <f>IF(AE1091="T2G","no charge",IF(AND(OR(PlanterYesMe="No",PlanterYesMe="N",PlanterYesMe="me"),H1091=""),"",IF(H1091="credit","NO install",IF(AND(K1091="",AE1091="me"),"EACH row",IF(AND(K1091="images",AE1091="me"),"EACH row",IF(D1091="","",IF(H1091="credit","",IF(AE1091="free","re-planting",IF(AE1091="me","   not ELP, by",IF(AND(OR(PlanterYesMe="Yes",PlanterYesMe="Y"),G1091&gt;0),(VLOOKUP(A1091,'Discount Lookup'!J:K,2)*G1091*(1-PlanterDiscount)*(1+PlanterDifficultyPercentage)),IF(AE1091="ELP",(VLOOKUP(A1091,'Discount Lookup'!J:K,2)*G1091*(1-PlanterDiscount)*(1+PlanterDifficultyPercentage)),IF(AE1091="free","re-planting",IF(G1091=0,"",IF(PlanterYesMe="",IF(AE1091="me","   not ELP, by",IF(AE1091="",IF(G1091&gt;0,(VLOOKUP(A1091,'Discount Lookup'!J:K,2)*G1091*(1-PlanterDiscount)*(1+PlanterDifficultyPercentage)),""),"")),"   not ELP, by"))))))))))))))</f>
        <v/>
      </c>
      <c r="AD1091" s="712"/>
      <c r="AE1091" s="513" t="str">
        <f t="shared" si="771"/>
        <v/>
      </c>
      <c r="AF1091" s="713" t="str">
        <f t="shared" si="772"/>
        <v/>
      </c>
      <c r="AG1091" s="713"/>
      <c r="AH1091" s="713"/>
      <c r="AI1091" s="112">
        <f>IF(H1091="credit",0,IF(AE1091="free",0,IF(AE1091="me",0,IF(G1091&gt;0,(VLOOKUP(A1091,'Discount Lookup'!J:K,2)*G1091),0))))</f>
        <v>0</v>
      </c>
      <c r="AJ1091" s="107" t="str">
        <f t="shared" ca="1" si="773"/>
        <v/>
      </c>
      <c r="AK1091" s="714" t="str">
        <f t="shared" si="774"/>
        <v/>
      </c>
      <c r="AL1091" s="714"/>
      <c r="AM1091" s="114" t="str">
        <f t="shared" si="775"/>
        <v/>
      </c>
      <c r="AN1091" s="115"/>
      <c r="AO1091" s="116"/>
      <c r="AP1091" s="116"/>
      <c r="AQ1091" s="116"/>
      <c r="AR1091" s="116"/>
      <c r="AS1091" s="116"/>
      <c r="AT1091" s="116"/>
      <c r="AU1091" s="116"/>
      <c r="AV1091" s="78"/>
      <c r="AW1091" s="102"/>
      <c r="AX1091" s="78"/>
      <c r="AY1091" s="78"/>
      <c r="AZ1091" s="78"/>
      <c r="BA1091" s="78"/>
      <c r="BB1091" s="78"/>
      <c r="BC1091" s="78"/>
      <c r="BD1091" s="78"/>
      <c r="BE1091" s="465"/>
      <c r="BF1091" s="165" t="str">
        <f t="shared" si="776"/>
        <v>https://www.google.com/search?tbm=isch&amp;q=Compacta%20Superba%20has%20rich%2C%20layered%20foliage%20with%20a%20refined%20pyramidal%20form%2C%20offering%20structure%20and%20subtle%20bluish%20tones%20</v>
      </c>
      <c r="BG1091" s="165" t="str">
        <f t="shared" si="777"/>
        <v>C</v>
      </c>
      <c r="BH1091" s="65"/>
      <c r="BI1091" s="65"/>
      <c r="BJ1091" s="65"/>
      <c r="BK1091" s="65"/>
      <c r="BL1091" s="99"/>
      <c r="BM1091" s="99"/>
      <c r="BN1091" s="99"/>
    </row>
    <row r="1092" spans="1:66" s="51" customFormat="1" ht="18" x14ac:dyDescent="0.25">
      <c r="A1092" s="507" t="s">
        <v>2124</v>
      </c>
      <c r="B1092" s="470"/>
      <c r="C1092" s="706"/>
      <c r="D1092" s="471" t="s">
        <v>5635</v>
      </c>
      <c r="E1092" s="472"/>
      <c r="F1092" s="472"/>
      <c r="G1092" s="472"/>
      <c r="H1092" s="622" t="s">
        <v>348</v>
      </c>
      <c r="I1092" s="473" t="s">
        <v>2125</v>
      </c>
      <c r="J1092" s="472"/>
      <c r="K1092" s="472"/>
      <c r="L1092" s="561"/>
      <c r="M1092" s="698" t="s">
        <v>5246</v>
      </c>
      <c r="N1092" s="692" t="str">
        <f>IF(AND(ISTEXT($A1092), ISERROR($A1092+0)), HYPERLINK($BF1092, "Images"), "")</f>
        <v>Images</v>
      </c>
      <c r="O1092" s="694" t="s">
        <v>5244</v>
      </c>
      <c r="P1092" s="475"/>
      <c r="Q1092" s="476"/>
      <c r="R1092" s="476"/>
      <c r="S1092" s="477"/>
      <c r="T1092" s="102">
        <f t="shared" si="765"/>
        <v>0</v>
      </c>
      <c r="U1092" s="78" t="str">
        <f>IF(NOT(ISNUMBER(G1092)), "", VLOOKUP(A1092,'Discount Lookup'!D:E,2,FALSE)*G1092)</f>
        <v/>
      </c>
      <c r="V1092" s="78" t="str">
        <f>IF(NOT(ISNUMBER(G1092)), "", VLOOKUP(A1092,'Discount Lookup'!G:H,2,FALSE)*G1092)</f>
        <v/>
      </c>
      <c r="W1092" s="102">
        <f t="shared" si="766"/>
        <v>0</v>
      </c>
      <c r="X1092" s="102" t="str">
        <f t="shared" si="767"/>
        <v>Chartreuse to lime green</v>
      </c>
      <c r="Y1092" s="120" t="b">
        <f t="shared" si="768"/>
        <v>0</v>
      </c>
      <c r="Z1092" s="117">
        <f t="shared" si="769"/>
        <v>0</v>
      </c>
      <c r="AA1092" s="118"/>
      <c r="AB1092" s="118" t="str">
        <f t="shared" si="770"/>
        <v/>
      </c>
      <c r="AC1092" s="712" t="str">
        <f>IF(AE1092="T2G","no charge",IF(AND(OR(PlanterYesMe="No",PlanterYesMe="N",PlanterYesMe="me"),H1092=""),"",IF(H1092="credit","NO install",IF(AND(K1092="",AE1092="me"),"EACH row",IF(AND(K1092="images",AE1092="me"),"EACH row",IF(D1092="","",IF(H1092="credit","",IF(AE1092="free","re-planting",IF(AE1092="me","   not ELP, by",IF(AND(OR(PlanterYesMe="Yes",PlanterYesMe="Y"),G1092&gt;0),(VLOOKUP(A1092,'Discount Lookup'!J:K,2)*G1092*(1-PlanterDiscount)*(1+PlanterDifficultyPercentage)),IF(AE1092="ELP",(VLOOKUP(A1092,'Discount Lookup'!J:K,2)*G1092*(1-PlanterDiscount)*(1+PlanterDifficultyPercentage)),IF(AE1092="free","re-planting",IF(G1092=0,"",IF(PlanterYesMe="",IF(AE1092="me","   not ELP, by",IF(AE1092="",IF(G1092&gt;0,(VLOOKUP(A1092,'Discount Lookup'!J:K,2)*G1092*(1-PlanterDiscount)*(1+PlanterDifficultyPercentage)),""),"")),"   not ELP, by"))))))))))))))</f>
        <v/>
      </c>
      <c r="AD1092" s="712"/>
      <c r="AE1092" s="513" t="str">
        <f t="shared" si="771"/>
        <v/>
      </c>
      <c r="AF1092" s="713" t="str">
        <f t="shared" si="772"/>
        <v/>
      </c>
      <c r="AG1092" s="713"/>
      <c r="AH1092" s="713"/>
      <c r="AI1092" s="112">
        <f>IF(H1092="credit",0,IF(AE1092="free",0,IF(AE1092="me",0,IF(G1092&gt;0,(VLOOKUP(A1092,'Discount Lookup'!J:K,2)*G1092),0))))</f>
        <v>0</v>
      </c>
      <c r="AJ1092" s="107" t="str">
        <f t="shared" ca="1" si="773"/>
        <v/>
      </c>
      <c r="AK1092" s="714" t="str">
        <f t="shared" si="774"/>
        <v/>
      </c>
      <c r="AL1092" s="714"/>
      <c r="AM1092" s="114" t="str">
        <f t="shared" si="775"/>
        <v/>
      </c>
      <c r="AN1092" s="115"/>
      <c r="AO1092" s="116"/>
      <c r="AP1092" s="116"/>
      <c r="AQ1092" s="116"/>
      <c r="AR1092" s="116"/>
      <c r="AS1092" s="116"/>
      <c r="AT1092" s="116"/>
      <c r="AU1092" s="116"/>
      <c r="AV1092" s="78"/>
      <c r="AW1092" s="102"/>
      <c r="AX1092" s="78"/>
      <c r="AY1092" s="78"/>
      <c r="AZ1092" s="78"/>
      <c r="BA1092" s="78"/>
      <c r="BB1092" s="78"/>
      <c r="BC1092" s="78"/>
      <c r="BD1092" s="78"/>
      <c r="BE1092" s="465"/>
      <c r="BF1092" s="165" t="str">
        <f t="shared" si="776"/>
        <v>https://www.google.com/search?tbm=isch&amp;q=Chamaecyparis%20obtusa%20%27Conschlecht%27%20PP%2324666%20Night%20Light%E2%84%A2%20Cypress</v>
      </c>
      <c r="BG1092" s="165" t="str">
        <f t="shared" si="777"/>
        <v>C</v>
      </c>
      <c r="BH1092" s="65"/>
      <c r="BI1092" s="65"/>
      <c r="BJ1092" s="65"/>
      <c r="BK1092" s="65"/>
      <c r="BL1092" s="99"/>
      <c r="BM1092" s="99"/>
      <c r="BN1092" s="99"/>
    </row>
    <row r="1093" spans="1:66" s="51" customFormat="1" ht="27" x14ac:dyDescent="0.25">
      <c r="A1093" s="478">
        <v>7</v>
      </c>
      <c r="B1093" s="479" t="s">
        <v>291</v>
      </c>
      <c r="C1093" s="480" t="s">
        <v>2126</v>
      </c>
      <c r="D1093" s="481" t="s">
        <v>299</v>
      </c>
      <c r="E1093" s="482">
        <v>104.95</v>
      </c>
      <c r="F1093" s="483" t="s">
        <v>292</v>
      </c>
      <c r="G1093" s="484">
        <v>0</v>
      </c>
      <c r="H1093" s="688" t="str">
        <f>IF(G1093=0,"",IF(F1093="Buy",IF(G1093=1,"plant","plants"),IF(F1093&gt;0.01,"warranty","Error")))</f>
        <v/>
      </c>
      <c r="I1093" s="485">
        <f>IF(H1093="free",0,IF(H1093="credit",((E1093*(F1093))*G1093*-1),IF(F1093="Buy",(E1093*G1093),((E1093*(1-F1093))*G1093))))</f>
        <v>0</v>
      </c>
      <c r="J1093" s="485">
        <f>IF(H1093="warranty",0,(I1093*(_xlfn.SINGLE(SalesTaxPercentage))))</f>
        <v>0</v>
      </c>
      <c r="K1093" s="715">
        <f t="shared" ref="K1093" si="801">I1093+J1093</f>
        <v>0</v>
      </c>
      <c r="L1093" s="715"/>
      <c r="M1093" s="689" t="str">
        <f ca="1">IF(AND(G1093&gt;0,E1093=0),"WARNING - no PRICE inserted",IF(H1093="free","FREE ~ no charge this plant",IF(H1093="credit",CONCATENATE("-$",ROUND(K1093*(1-_xlfn.SINGLE(T2GDiscount))*-1,2)," CREDIT after discount"),IF(_xlfn.SINGLE(T2GDiscount)=0,"",IF(G1093=0,"",IF(F1093="Buy",CONCATENATE("$",ROUND(K1093*(1-_xlfn.SINGLE(T2GDiscount)),2)," with ",(_xlfn.SINGLE(T2GDiscount)*100),"% discount"),CONCATENATE("$",ROUND(K1093*(1-_xlfn.SINGLE(T2GDiscount)),2)," with ",((_xlfn.SINGLE(T2GDiscount)*100+F1093*100)-(_xlfn.SINGLE(T2GDiscount)*100*F1093)),IF(F1093&gt;0,"% discounts",IF(_xlfn.SINGLE(NoWarrantyDiscount)&gt;0,"% discounts","% discount")))))))))</f>
        <v/>
      </c>
      <c r="N1093" s="690"/>
      <c r="O1093" s="486"/>
      <c r="P1093" s="486"/>
      <c r="Q1093" s="486"/>
      <c r="R1093" s="486"/>
      <c r="S1093" s="486"/>
      <c r="T1093" s="102">
        <f t="shared" si="765"/>
        <v>0</v>
      </c>
      <c r="U1093" s="78">
        <f>IF(NOT(ISNUMBER(G1093)), "", VLOOKUP(A1093,'Discount Lookup'!D:E,2,FALSE)*G1093)</f>
        <v>0</v>
      </c>
      <c r="V1093" s="78">
        <f>IF(NOT(ISNUMBER(G1093)), "", VLOOKUP(A1093,'Discount Lookup'!G:H,2,FALSE)*G1093)</f>
        <v>0</v>
      </c>
      <c r="W1093" s="102">
        <f t="shared" si="766"/>
        <v>0</v>
      </c>
      <c r="X1093" s="102">
        <f t="shared" si="767"/>
        <v>0</v>
      </c>
      <c r="Y1093" s="120" t="b">
        <f t="shared" si="768"/>
        <v>0</v>
      </c>
      <c r="Z1093" s="117">
        <f t="shared" si="769"/>
        <v>0</v>
      </c>
      <c r="AA1093" s="118"/>
      <c r="AB1093" s="118" t="str">
        <f t="shared" si="770"/>
        <v/>
      </c>
      <c r="AC1093" s="712" t="str">
        <f>IF(AE1093="T2G","no charge",IF(AND(OR(PlanterYesMe="No",PlanterYesMe="N",PlanterYesMe="me"),H1093=""),"",IF(H1093="credit","NO install",IF(AND(K1093="",AE1093="me"),"EACH row",IF(AND(K1093="images",AE1093="me"),"EACH row",IF(D1093="","",IF(H1093="credit","",IF(AE1093="free","re-planting",IF(AE1093="me","   not ELP, by",IF(AND(OR(PlanterYesMe="Yes",PlanterYesMe="Y"),G1093&gt;0),(VLOOKUP(A1093,'Discount Lookup'!J:K,2)*G1093*(1-PlanterDiscount)*(1+PlanterDifficultyPercentage)),IF(AE1093="ELP",(VLOOKUP(A1093,'Discount Lookup'!J:K,2)*G1093*(1-PlanterDiscount)*(1+PlanterDifficultyPercentage)),IF(AE1093="free","re-planting",IF(G1093=0,"",IF(PlanterYesMe="",IF(AE1093="me","   not ELP, by",IF(AE1093="",IF(G1093&gt;0,(VLOOKUP(A1093,'Discount Lookup'!J:K,2)*G1093*(1-PlanterDiscount)*(1+PlanterDifficultyPercentage)),""),"")),"   not ELP, by"))))))))))))))</f>
        <v/>
      </c>
      <c r="AD1093" s="712"/>
      <c r="AE1093" s="513" t="str">
        <f t="shared" si="771"/>
        <v/>
      </c>
      <c r="AF1093" s="713" t="str">
        <f t="shared" si="772"/>
        <v/>
      </c>
      <c r="AG1093" s="713"/>
      <c r="AH1093" s="713"/>
      <c r="AI1093" s="112">
        <f>IF(H1093="credit",0,IF(AE1093="free",0,IF(AE1093="me",0,IF(G1093&gt;0,(VLOOKUP(A1093,'Discount Lookup'!J:K,2)*G1093),0))))</f>
        <v>0</v>
      </c>
      <c r="AJ1093" s="107" t="str">
        <f t="shared" ca="1" si="773"/>
        <v/>
      </c>
      <c r="AK1093" s="714" t="str">
        <f t="shared" si="774"/>
        <v/>
      </c>
      <c r="AL1093" s="714"/>
      <c r="AM1093" s="114" t="str">
        <f t="shared" si="775"/>
        <v/>
      </c>
      <c r="AN1093" s="115"/>
      <c r="AO1093" s="116"/>
      <c r="AP1093" s="116"/>
      <c r="AQ1093" s="116"/>
      <c r="AR1093" s="116"/>
      <c r="AS1093" s="116"/>
      <c r="AT1093" s="116"/>
      <c r="AU1093" s="116"/>
      <c r="AV1093" s="78"/>
      <c r="AW1093" s="102"/>
      <c r="AX1093" s="78"/>
      <c r="AY1093" s="78"/>
      <c r="AZ1093" s="78"/>
      <c r="BA1093" s="78"/>
      <c r="BB1093" s="78"/>
      <c r="BC1093" s="78"/>
      <c r="BD1093" s="78"/>
      <c r="BE1093" s="465"/>
      <c r="BF1093" s="165" t="str">
        <f t="shared" si="776"/>
        <v>https://www.google.com/search?tbm=isch&amp;q=7%20G4</v>
      </c>
      <c r="BG1093" s="165" t="str">
        <f t="shared" si="777"/>
        <v>C</v>
      </c>
      <c r="BH1093" s="65"/>
      <c r="BI1093" s="65"/>
      <c r="BJ1093" s="65"/>
      <c r="BK1093" s="65"/>
      <c r="BL1093" s="99"/>
      <c r="BM1093" s="99"/>
      <c r="BN1093" s="99"/>
    </row>
    <row r="1094" spans="1:66" s="51" customFormat="1" ht="15.75" x14ac:dyDescent="0.25">
      <c r="A1094" s="478">
        <v>10</v>
      </c>
      <c r="B1094" s="479" t="s">
        <v>291</v>
      </c>
      <c r="C1094" s="480" t="s">
        <v>2127</v>
      </c>
      <c r="D1094" s="481" t="s">
        <v>299</v>
      </c>
      <c r="E1094" s="482">
        <v>173.95</v>
      </c>
      <c r="F1094" s="483" t="s">
        <v>292</v>
      </c>
      <c r="G1094" s="484">
        <v>0</v>
      </c>
      <c r="H1094" s="688" t="str">
        <f>IF(G1094=0,"",IF(F1094="Buy",IF(G1094=1,"plant","plants"),IF(F1094&gt;0.01,"warranty","Error")))</f>
        <v/>
      </c>
      <c r="I1094" s="485">
        <f>IF(H1094="free",0,IF(H1094="credit",((E1094*(F1094))*G1094*-1),IF(F1094="Buy",(E1094*G1094),((E1094*(1-F1094))*G1094))))</f>
        <v>0</v>
      </c>
      <c r="J1094" s="485">
        <f>IF(H1094="warranty",0,(I1094*(_xlfn.SINGLE(SalesTaxPercentage))))</f>
        <v>0</v>
      </c>
      <c r="K1094" s="715">
        <f t="shared" ref="K1094" si="802">I1094+J1094</f>
        <v>0</v>
      </c>
      <c r="L1094" s="715"/>
      <c r="M1094" s="689" t="str">
        <f ca="1">IF(AND(G1094&gt;0,E1094=0),"WARNING - no PRICE inserted",IF(H1094="free","FREE ~ no charge this plant",IF(H1094="credit",CONCATENATE("-$",ROUND(K1094*(1-_xlfn.SINGLE(T2GDiscount))*-1,2)," CREDIT after discount"),IF(_xlfn.SINGLE(T2GDiscount)=0,"",IF(G1094=0,"",IF(F1094="Buy",CONCATENATE("$",ROUND(K1094*(1-_xlfn.SINGLE(T2GDiscount)),2)," with ",(_xlfn.SINGLE(T2GDiscount)*100),"% discount"),CONCATENATE("$",ROUND(K1094*(1-_xlfn.SINGLE(T2GDiscount)),2)," with ",((_xlfn.SINGLE(T2GDiscount)*100+F1094*100)-(_xlfn.SINGLE(T2GDiscount)*100*F1094)),IF(F1094&gt;0,"% discounts",IF(_xlfn.SINGLE(NoWarrantyDiscount)&gt;0,"% discounts","% discount")))))))))</f>
        <v/>
      </c>
      <c r="N1094" s="690"/>
      <c r="O1094" s="486"/>
      <c r="P1094" s="486"/>
      <c r="Q1094" s="486"/>
      <c r="R1094" s="486"/>
      <c r="S1094" s="486"/>
      <c r="T1094" s="102">
        <f t="shared" si="765"/>
        <v>0</v>
      </c>
      <c r="U1094" s="78">
        <f>IF(NOT(ISNUMBER(G1094)), "", VLOOKUP(A1094,'Discount Lookup'!D:E,2,FALSE)*G1094)</f>
        <v>0</v>
      </c>
      <c r="V1094" s="78">
        <f>IF(NOT(ISNUMBER(G1094)), "", VLOOKUP(A1094,'Discount Lookup'!G:H,2,FALSE)*G1094)</f>
        <v>0</v>
      </c>
      <c r="W1094" s="102">
        <f t="shared" si="766"/>
        <v>0</v>
      </c>
      <c r="X1094" s="102">
        <f t="shared" si="767"/>
        <v>0</v>
      </c>
      <c r="Y1094" s="120" t="b">
        <f t="shared" si="768"/>
        <v>0</v>
      </c>
      <c r="Z1094" s="117">
        <f t="shared" si="769"/>
        <v>0</v>
      </c>
      <c r="AA1094" s="118"/>
      <c r="AB1094" s="118" t="str">
        <f t="shared" si="770"/>
        <v/>
      </c>
      <c r="AC1094" s="712" t="str">
        <f>IF(AE1094="T2G","no charge",IF(AND(OR(PlanterYesMe="No",PlanterYesMe="N",PlanterYesMe="me"),H1094=""),"",IF(H1094="credit","NO install",IF(AND(K1094="",AE1094="me"),"EACH row",IF(AND(K1094="images",AE1094="me"),"EACH row",IF(D1094="","",IF(H1094="credit","",IF(AE1094="free","re-planting",IF(AE1094="me","   not ELP, by",IF(AND(OR(PlanterYesMe="Yes",PlanterYesMe="Y"),G1094&gt;0),(VLOOKUP(A1094,'Discount Lookup'!J:K,2)*G1094*(1-PlanterDiscount)*(1+PlanterDifficultyPercentage)),IF(AE1094="ELP",(VLOOKUP(A1094,'Discount Lookup'!J:K,2)*G1094*(1-PlanterDiscount)*(1+PlanterDifficultyPercentage)),IF(AE1094="free","re-planting",IF(G1094=0,"",IF(PlanterYesMe="",IF(AE1094="me","   not ELP, by",IF(AE1094="",IF(G1094&gt;0,(VLOOKUP(A1094,'Discount Lookup'!J:K,2)*G1094*(1-PlanterDiscount)*(1+PlanterDifficultyPercentage)),""),"")),"   not ELP, by"))))))))))))))</f>
        <v/>
      </c>
      <c r="AD1094" s="712"/>
      <c r="AE1094" s="513" t="str">
        <f t="shared" si="771"/>
        <v/>
      </c>
      <c r="AF1094" s="713" t="str">
        <f t="shared" si="772"/>
        <v/>
      </c>
      <c r="AG1094" s="713"/>
      <c r="AH1094" s="713"/>
      <c r="AI1094" s="112">
        <f>IF(H1094="credit",0,IF(AE1094="free",0,IF(AE1094="me",0,IF(G1094&gt;0,(VLOOKUP(A1094,'Discount Lookup'!J:K,2)*G1094),0))))</f>
        <v>0</v>
      </c>
      <c r="AJ1094" s="107" t="str">
        <f t="shared" ca="1" si="773"/>
        <v/>
      </c>
      <c r="AK1094" s="714" t="str">
        <f t="shared" si="774"/>
        <v/>
      </c>
      <c r="AL1094" s="714"/>
      <c r="AM1094" s="114" t="str">
        <f t="shared" si="775"/>
        <v/>
      </c>
      <c r="AN1094" s="115"/>
      <c r="AO1094" s="116"/>
      <c r="AP1094" s="116"/>
      <c r="AQ1094" s="116"/>
      <c r="AR1094" s="116"/>
      <c r="AS1094" s="116"/>
      <c r="AT1094" s="116"/>
      <c r="AU1094" s="116"/>
      <c r="AV1094" s="78"/>
      <c r="AW1094" s="102"/>
      <c r="AX1094" s="78"/>
      <c r="AY1094" s="78"/>
      <c r="AZ1094" s="78"/>
      <c r="BA1094" s="78"/>
      <c r="BB1094" s="78"/>
      <c r="BC1094" s="78"/>
      <c r="BD1094" s="78"/>
      <c r="BE1094" s="465"/>
      <c r="BF1094" s="165" t="str">
        <f t="shared" si="776"/>
        <v>https://www.google.com/search?tbm=isch&amp;q=10%20G4</v>
      </c>
      <c r="BG1094" s="165" t="str">
        <f t="shared" si="777"/>
        <v>C</v>
      </c>
      <c r="BH1094" s="65"/>
      <c r="BI1094" s="65"/>
      <c r="BJ1094" s="65"/>
      <c r="BK1094" s="65"/>
      <c r="BL1094" s="99"/>
      <c r="BM1094" s="99"/>
      <c r="BN1094" s="99"/>
    </row>
    <row r="1095" spans="1:66" s="51" customFormat="1" ht="17.25" thickBot="1" x14ac:dyDescent="0.3">
      <c r="A1095" s="508" t="s">
        <v>4705</v>
      </c>
      <c r="B1095" s="487"/>
      <c r="C1095" s="707"/>
      <c r="D1095" s="487"/>
      <c r="E1095" s="487"/>
      <c r="F1095" s="488"/>
      <c r="G1095" s="489"/>
      <c r="H1095" s="487"/>
      <c r="I1095" s="490"/>
      <c r="J1095" s="490"/>
      <c r="K1095" s="491"/>
      <c r="L1095" s="547"/>
      <c r="M1095" s="528"/>
      <c r="N1095" s="492"/>
      <c r="O1095" s="493"/>
      <c r="P1095" s="494"/>
      <c r="Q1095" s="492"/>
      <c r="R1095" s="492"/>
      <c r="S1095" s="699" t="s">
        <v>5268</v>
      </c>
      <c r="T1095" s="102">
        <f t="shared" si="765"/>
        <v>0</v>
      </c>
      <c r="U1095" s="78" t="str">
        <f>IF(NOT(ISNUMBER(G1095)), "", VLOOKUP(A1095,'Discount Lookup'!D:E,2,FALSE)*G1095)</f>
        <v/>
      </c>
      <c r="V1095" s="78" t="str">
        <f>IF(NOT(ISNUMBER(G1095)), "", VLOOKUP(A1095,'Discount Lookup'!G:H,2,FALSE)*G1095)</f>
        <v/>
      </c>
      <c r="W1095" s="102">
        <f t="shared" si="766"/>
        <v>0</v>
      </c>
      <c r="X1095" s="102">
        <f t="shared" si="767"/>
        <v>0</v>
      </c>
      <c r="Y1095" s="120" t="b">
        <f t="shared" si="768"/>
        <v>0</v>
      </c>
      <c r="Z1095" s="117">
        <f t="shared" si="769"/>
        <v>0</v>
      </c>
      <c r="AA1095" s="118"/>
      <c r="AB1095" s="118" t="str">
        <f t="shared" si="770"/>
        <v/>
      </c>
      <c r="AC1095" s="712" t="str">
        <f>IF(AE1095="T2G","no charge",IF(AND(OR(PlanterYesMe="No",PlanterYesMe="N",PlanterYesMe="me"),H1095=""),"",IF(H1095="credit","NO install",IF(AND(K1095="",AE1095="me"),"EACH row",IF(AND(K1095="images",AE1095="me"),"EACH row",IF(D1095="","",IF(H1095="credit","",IF(AE1095="free","re-planting",IF(AE1095="me","   not ELP, by",IF(AND(OR(PlanterYesMe="Yes",PlanterYesMe="Y"),G1095&gt;0),(VLOOKUP(A1095,'Discount Lookup'!J:K,2)*G1095*(1-PlanterDiscount)*(1+PlanterDifficultyPercentage)),IF(AE1095="ELP",(VLOOKUP(A1095,'Discount Lookup'!J:K,2)*G1095*(1-PlanterDiscount)*(1+PlanterDifficultyPercentage)),IF(AE1095="free","re-planting",IF(G1095=0,"",IF(PlanterYesMe="",IF(AE1095="me","   not ELP, by",IF(AE1095="",IF(G1095&gt;0,(VLOOKUP(A1095,'Discount Lookup'!J:K,2)*G1095*(1-PlanterDiscount)*(1+PlanterDifficultyPercentage)),""),"")),"   not ELP, by"))))))))))))))</f>
        <v/>
      </c>
      <c r="AD1095" s="712"/>
      <c r="AE1095" s="513" t="str">
        <f t="shared" si="771"/>
        <v/>
      </c>
      <c r="AF1095" s="713" t="str">
        <f t="shared" si="772"/>
        <v/>
      </c>
      <c r="AG1095" s="713"/>
      <c r="AH1095" s="713"/>
      <c r="AI1095" s="112">
        <f>IF(H1095="credit",0,IF(AE1095="free",0,IF(AE1095="me",0,IF(G1095&gt;0,(VLOOKUP(A1095,'Discount Lookup'!J:K,2)*G1095),0))))</f>
        <v>0</v>
      </c>
      <c r="AJ1095" s="107" t="str">
        <f t="shared" ca="1" si="773"/>
        <v/>
      </c>
      <c r="AK1095" s="714" t="str">
        <f t="shared" si="774"/>
        <v/>
      </c>
      <c r="AL1095" s="714"/>
      <c r="AM1095" s="114" t="str">
        <f t="shared" si="775"/>
        <v/>
      </c>
      <c r="AN1095" s="115"/>
      <c r="AO1095" s="116"/>
      <c r="AP1095" s="116"/>
      <c r="AQ1095" s="116"/>
      <c r="AR1095" s="116"/>
      <c r="AS1095" s="116"/>
      <c r="AT1095" s="116"/>
      <c r="AU1095" s="116"/>
      <c r="AV1095" s="78"/>
      <c r="AW1095" s="102"/>
      <c r="AX1095" s="78"/>
      <c r="AY1095" s="78"/>
      <c r="AZ1095" s="78"/>
      <c r="BA1095" s="78"/>
      <c r="BB1095" s="78"/>
      <c r="BC1095" s="78"/>
      <c r="BD1095" s="78"/>
      <c r="BE1095" s="465"/>
      <c r="BF1095" s="165" t="str">
        <f t="shared" si="776"/>
        <v>https://www.google.com/search?tbm=isch&amp;q=Night%20Light%20offers%20vivid%20Golden%20foliage%20that%20transitions%20to%20Bronze%20in%20winter%2C%20keeping%20Green%20highlights%20deep%20within%20</v>
      </c>
      <c r="BG1095" s="165" t="str">
        <f t="shared" si="777"/>
        <v>N</v>
      </c>
      <c r="BH1095" s="65"/>
      <c r="BI1095" s="65"/>
      <c r="BJ1095" s="65"/>
      <c r="BK1095" s="65"/>
      <c r="BL1095" s="99"/>
      <c r="BM1095" s="99"/>
      <c r="BN1095" s="99"/>
    </row>
    <row r="1096" spans="1:66" s="51" customFormat="1" ht="18" x14ac:dyDescent="0.25">
      <c r="A1096" s="507" t="s">
        <v>305</v>
      </c>
      <c r="B1096" s="470"/>
      <c r="C1096" s="706"/>
      <c r="D1096" s="471" t="s">
        <v>306</v>
      </c>
      <c r="E1096" s="472"/>
      <c r="F1096" s="472"/>
      <c r="G1096" s="472"/>
      <c r="H1096" s="622" t="s">
        <v>510</v>
      </c>
      <c r="I1096" s="473" t="s">
        <v>443</v>
      </c>
      <c r="J1096" s="472"/>
      <c r="K1096" s="472"/>
      <c r="L1096" s="561"/>
      <c r="M1096" s="698" t="s">
        <v>5246</v>
      </c>
      <c r="N1096" s="692" t="str">
        <f>IF(AND(ISTEXT($A1096), ISERROR($A1096+0)), HYPERLINK($BF1096, "Images"), "")</f>
        <v>Images</v>
      </c>
      <c r="O1096" s="694" t="s">
        <v>5247</v>
      </c>
      <c r="P1096" s="475"/>
      <c r="Q1096" s="476"/>
      <c r="R1096" s="476"/>
      <c r="S1096" s="477"/>
      <c r="T1096" s="102">
        <f t="shared" si="765"/>
        <v>0</v>
      </c>
      <c r="U1096" s="78" t="str">
        <f>IF(NOT(ISNUMBER(G1096)), "", VLOOKUP(A1096,'Discount Lookup'!D:E,2,FALSE)*G1096)</f>
        <v/>
      </c>
      <c r="V1096" s="78" t="str">
        <f>IF(NOT(ISNUMBER(G1096)), "", VLOOKUP(A1096,'Discount Lookup'!G:H,2,FALSE)*G1096)</f>
        <v/>
      </c>
      <c r="W1096" s="102">
        <f t="shared" si="766"/>
        <v>0</v>
      </c>
      <c r="X1096" s="102" t="str">
        <f t="shared" si="767"/>
        <v>Golden-Yellow foliage</v>
      </c>
      <c r="Y1096" s="120" t="b">
        <f t="shared" si="768"/>
        <v>0</v>
      </c>
      <c r="Z1096" s="117">
        <f t="shared" si="769"/>
        <v>0</v>
      </c>
      <c r="AA1096" s="118"/>
      <c r="AB1096" s="118" t="str">
        <f t="shared" si="770"/>
        <v/>
      </c>
      <c r="AC1096" s="712" t="str">
        <f>IF(AE1096="T2G","no charge",IF(AND(OR(PlanterYesMe="No",PlanterYesMe="N",PlanterYesMe="me"),H1096=""),"",IF(H1096="credit","NO install",IF(AND(K1096="",AE1096="me"),"EACH row",IF(AND(K1096="images",AE1096="me"),"EACH row",IF(D1096="","",IF(H1096="credit","",IF(AE1096="free","re-planting",IF(AE1096="me","   not ELP, by",IF(AND(OR(PlanterYesMe="Yes",PlanterYesMe="Y"),G1096&gt;0),(VLOOKUP(A1096,'Discount Lookup'!J:K,2)*G1096*(1-PlanterDiscount)*(1+PlanterDifficultyPercentage)),IF(AE1096="ELP",(VLOOKUP(A1096,'Discount Lookup'!J:K,2)*G1096*(1-PlanterDiscount)*(1+PlanterDifficultyPercentage)),IF(AE1096="free","re-planting",IF(G1096=0,"",IF(PlanterYesMe="",IF(AE1096="me","   not ELP, by",IF(AE1096="",IF(G1096&gt;0,(VLOOKUP(A1096,'Discount Lookup'!J:K,2)*G1096*(1-PlanterDiscount)*(1+PlanterDifficultyPercentage)),""),"")),"   not ELP, by"))))))))))))))</f>
        <v/>
      </c>
      <c r="AD1096" s="712"/>
      <c r="AE1096" s="513" t="str">
        <f t="shared" si="771"/>
        <v/>
      </c>
      <c r="AF1096" s="713" t="str">
        <f t="shared" si="772"/>
        <v/>
      </c>
      <c r="AG1096" s="713"/>
      <c r="AH1096" s="713"/>
      <c r="AI1096" s="112">
        <f>IF(H1096="credit",0,IF(AE1096="free",0,IF(AE1096="me",0,IF(G1096&gt;0,(VLOOKUP(A1096,'Discount Lookup'!J:K,2)*G1096),0))))</f>
        <v>0</v>
      </c>
      <c r="AJ1096" s="107" t="str">
        <f t="shared" ca="1" si="773"/>
        <v/>
      </c>
      <c r="AK1096" s="714" t="str">
        <f t="shared" si="774"/>
        <v/>
      </c>
      <c r="AL1096" s="714"/>
      <c r="AM1096" s="114" t="str">
        <f t="shared" si="775"/>
        <v/>
      </c>
      <c r="AN1096" s="115"/>
      <c r="AO1096" s="116"/>
      <c r="AP1096" s="116"/>
      <c r="AQ1096" s="116"/>
      <c r="AR1096" s="116"/>
      <c r="AS1096" s="116"/>
      <c r="AT1096" s="116"/>
      <c r="AU1096" s="116"/>
      <c r="AV1096" s="78"/>
      <c r="AW1096" s="102"/>
      <c r="AX1096" s="78"/>
      <c r="AY1096" s="78"/>
      <c r="AZ1096" s="78"/>
      <c r="BA1096" s="78"/>
      <c r="BB1096" s="78"/>
      <c r="BC1096" s="78"/>
      <c r="BD1096" s="78"/>
      <c r="BE1096" s="465"/>
      <c r="BF1096" s="165" t="str">
        <f t="shared" si="776"/>
        <v>https://www.google.com/search?tbm=isch&amp;q=Chamaecyparis%20obtusa%20%27Crippsii%27%20Golden%20Hinoki%20Cypress</v>
      </c>
      <c r="BG1096" s="165" t="str">
        <f t="shared" si="777"/>
        <v>C</v>
      </c>
      <c r="BH1096" s="65"/>
      <c r="BI1096" s="65"/>
      <c r="BJ1096" s="65"/>
      <c r="BK1096" s="65"/>
      <c r="BL1096" s="99"/>
      <c r="BM1096" s="99"/>
      <c r="BN1096" s="99"/>
    </row>
    <row r="1097" spans="1:66" s="51" customFormat="1" ht="15.75" x14ac:dyDescent="0.25">
      <c r="A1097" s="478">
        <v>3</v>
      </c>
      <c r="B1097" s="479" t="s">
        <v>291</v>
      </c>
      <c r="C1097" s="480" t="s">
        <v>308</v>
      </c>
      <c r="D1097" s="481" t="s">
        <v>309</v>
      </c>
      <c r="E1097" s="482">
        <v>24.95</v>
      </c>
      <c r="F1097" s="483" t="s">
        <v>292</v>
      </c>
      <c r="G1097" s="484">
        <v>0</v>
      </c>
      <c r="H1097" s="688" t="str">
        <f t="shared" ref="H1097:H1103" si="803">IF(G1097=0,"",IF(F1097="Buy",IF(G1097=1,"plant","plants"),IF(F1097&gt;0.01,"warranty","Error")))</f>
        <v/>
      </c>
      <c r="I1097" s="485">
        <f t="shared" ref="I1097:I1103" si="804">IF(H1097="free",0,IF(H1097="credit",((E1097*(F1097))*G1097*-1),IF(F1097="Buy",(E1097*G1097),((E1097*(1-F1097))*G1097))))</f>
        <v>0</v>
      </c>
      <c r="J1097" s="485">
        <f t="shared" ref="J1097:J1103" si="805">IF(H1097="warranty",0,(I1097*(_xlfn.SINGLE(SalesTaxPercentage))))</f>
        <v>0</v>
      </c>
      <c r="K1097" s="715">
        <f t="shared" ref="K1097" si="806">I1097+J1097</f>
        <v>0</v>
      </c>
      <c r="L1097" s="715"/>
      <c r="M1097" s="689" t="str">
        <f t="shared" ref="M1097:M1103" ca="1" si="807">IF(AND(G1097&gt;0,E1097=0),"WARNING - no PRICE inserted",IF(H1097="free","FREE ~ no charge this plant",IF(H1097="credit",CONCATENATE("-$",ROUND(K1097*(1-_xlfn.SINGLE(T2GDiscount))*-1,2)," CREDIT after discount"),IF(_xlfn.SINGLE(T2GDiscount)=0,"",IF(G1097=0,"",IF(F1097="Buy",CONCATENATE("$",ROUND(K1097*(1-_xlfn.SINGLE(T2GDiscount)),2)," with ",(_xlfn.SINGLE(T2GDiscount)*100),"% discount"),CONCATENATE("$",ROUND(K1097*(1-_xlfn.SINGLE(T2GDiscount)),2)," with ",((_xlfn.SINGLE(T2GDiscount)*100+F1097*100)-(_xlfn.SINGLE(T2GDiscount)*100*F1097)),IF(F1097&gt;0,"% discounts",IF(_xlfn.SINGLE(NoWarrantyDiscount)&gt;0,"% discounts","% discount")))))))))</f>
        <v/>
      </c>
      <c r="N1097" s="690"/>
      <c r="O1097" s="486"/>
      <c r="P1097" s="486"/>
      <c r="Q1097" s="486"/>
      <c r="R1097" s="486"/>
      <c r="S1097" s="486"/>
      <c r="T1097" s="102">
        <f t="shared" si="765"/>
        <v>0</v>
      </c>
      <c r="U1097" s="78">
        <f>IF(NOT(ISNUMBER(G1097)), "", VLOOKUP(A1097,'Discount Lookup'!D:E,2,FALSE)*G1097)</f>
        <v>0</v>
      </c>
      <c r="V1097" s="78">
        <f>IF(NOT(ISNUMBER(G1097)), "", VLOOKUP(A1097,'Discount Lookup'!G:H,2,FALSE)*G1097)</f>
        <v>0</v>
      </c>
      <c r="W1097" s="102">
        <f t="shared" si="766"/>
        <v>0</v>
      </c>
      <c r="X1097" s="102">
        <f t="shared" si="767"/>
        <v>0</v>
      </c>
      <c r="Y1097" s="120" t="b">
        <f t="shared" si="768"/>
        <v>0</v>
      </c>
      <c r="Z1097" s="117">
        <f t="shared" si="769"/>
        <v>0</v>
      </c>
      <c r="AA1097" s="118"/>
      <c r="AB1097" s="118" t="str">
        <f t="shared" si="770"/>
        <v/>
      </c>
      <c r="AC1097" s="712" t="str">
        <f>IF(AE1097="T2G","no charge",IF(AND(OR(PlanterYesMe="No",PlanterYesMe="N",PlanterYesMe="me"),H1097=""),"",IF(H1097="credit","NO install",IF(AND(K1097="",AE1097="me"),"EACH row",IF(AND(K1097="images",AE1097="me"),"EACH row",IF(D1097="","",IF(H1097="credit","",IF(AE1097="free","re-planting",IF(AE1097="me","   not ELP, by",IF(AND(OR(PlanterYesMe="Yes",PlanterYesMe="Y"),G1097&gt;0),(VLOOKUP(A1097,'Discount Lookup'!J:K,2)*G1097*(1-PlanterDiscount)*(1+PlanterDifficultyPercentage)),IF(AE1097="ELP",(VLOOKUP(A1097,'Discount Lookup'!J:K,2)*G1097*(1-PlanterDiscount)*(1+PlanterDifficultyPercentage)),IF(AE1097="free","re-planting",IF(G1097=0,"",IF(PlanterYesMe="",IF(AE1097="me","   not ELP, by",IF(AE1097="",IF(G1097&gt;0,(VLOOKUP(A1097,'Discount Lookup'!J:K,2)*G1097*(1-PlanterDiscount)*(1+PlanterDifficultyPercentage)),""),"")),"   not ELP, by"))))))))))))))</f>
        <v/>
      </c>
      <c r="AD1097" s="712"/>
      <c r="AE1097" s="513" t="str">
        <f t="shared" si="771"/>
        <v/>
      </c>
      <c r="AF1097" s="713" t="str">
        <f t="shared" si="772"/>
        <v/>
      </c>
      <c r="AG1097" s="713"/>
      <c r="AH1097" s="713"/>
      <c r="AI1097" s="112">
        <f>IF(H1097="credit",0,IF(AE1097="free",0,IF(AE1097="me",0,IF(G1097&gt;0,(VLOOKUP(A1097,'Discount Lookup'!J:K,2)*G1097),0))))</f>
        <v>0</v>
      </c>
      <c r="AJ1097" s="107" t="str">
        <f t="shared" ca="1" si="773"/>
        <v/>
      </c>
      <c r="AK1097" s="714" t="str">
        <f t="shared" si="774"/>
        <v/>
      </c>
      <c r="AL1097" s="714"/>
      <c r="AM1097" s="114" t="str">
        <f t="shared" si="775"/>
        <v/>
      </c>
      <c r="AN1097" s="115"/>
      <c r="AO1097" s="116"/>
      <c r="AP1097" s="116"/>
      <c r="AQ1097" s="116"/>
      <c r="AR1097" s="116"/>
      <c r="AS1097" s="116"/>
      <c r="AT1097" s="116"/>
      <c r="AU1097" s="116"/>
      <c r="AV1097" s="78"/>
      <c r="AW1097" s="102"/>
      <c r="AX1097" s="78"/>
      <c r="AY1097" s="78"/>
      <c r="AZ1097" s="78"/>
      <c r="BA1097" s="78"/>
      <c r="BB1097" s="78"/>
      <c r="BC1097" s="78"/>
      <c r="BD1097" s="78"/>
      <c r="BE1097" s="465"/>
      <c r="BF1097" s="165" t="str">
        <f t="shared" si="776"/>
        <v>https://www.google.com/search?tbm=isch&amp;q=3%20G3</v>
      </c>
      <c r="BG1097" s="165" t="str">
        <f t="shared" si="777"/>
        <v>C</v>
      </c>
      <c r="BH1097" s="65"/>
      <c r="BI1097" s="65"/>
      <c r="BJ1097" s="65"/>
      <c r="BK1097" s="65"/>
      <c r="BL1097" s="99"/>
      <c r="BM1097" s="99"/>
      <c r="BN1097" s="99"/>
    </row>
    <row r="1098" spans="1:66" s="51" customFormat="1" ht="15.75" x14ac:dyDescent="0.25">
      <c r="A1098" s="478">
        <v>3</v>
      </c>
      <c r="B1098" s="479" t="s">
        <v>291</v>
      </c>
      <c r="C1098" s="480" t="s">
        <v>345</v>
      </c>
      <c r="D1098" s="481" t="s">
        <v>310</v>
      </c>
      <c r="E1098" s="482">
        <v>27.95</v>
      </c>
      <c r="F1098" s="483" t="s">
        <v>292</v>
      </c>
      <c r="G1098" s="484">
        <v>0</v>
      </c>
      <c r="H1098" s="688" t="str">
        <f t="shared" si="803"/>
        <v/>
      </c>
      <c r="I1098" s="485">
        <f t="shared" si="804"/>
        <v>0</v>
      </c>
      <c r="J1098" s="485">
        <f t="shared" si="805"/>
        <v>0</v>
      </c>
      <c r="K1098" s="715">
        <f t="shared" ref="K1098" si="808">I1098+J1098</f>
        <v>0</v>
      </c>
      <c r="L1098" s="715"/>
      <c r="M1098" s="689" t="str">
        <f t="shared" ca="1" si="807"/>
        <v/>
      </c>
      <c r="N1098" s="690"/>
      <c r="O1098" s="486"/>
      <c r="P1098" s="486"/>
      <c r="Q1098" s="486"/>
      <c r="R1098" s="486"/>
      <c r="S1098" s="486"/>
      <c r="T1098" s="102">
        <f t="shared" si="765"/>
        <v>0</v>
      </c>
      <c r="U1098" s="78">
        <f>IF(NOT(ISNUMBER(G1098)), "", VLOOKUP(A1098,'Discount Lookup'!D:E,2,FALSE)*G1098)</f>
        <v>0</v>
      </c>
      <c r="V1098" s="78">
        <f>IF(NOT(ISNUMBER(G1098)), "", VLOOKUP(A1098,'Discount Lookup'!G:H,2,FALSE)*G1098)</f>
        <v>0</v>
      </c>
      <c r="W1098" s="102">
        <f t="shared" si="766"/>
        <v>0</v>
      </c>
      <c r="X1098" s="102">
        <f t="shared" si="767"/>
        <v>0</v>
      </c>
      <c r="Y1098" s="120" t="b">
        <f t="shared" si="768"/>
        <v>0</v>
      </c>
      <c r="Z1098" s="117">
        <f t="shared" si="769"/>
        <v>0</v>
      </c>
      <c r="AA1098" s="118"/>
      <c r="AB1098" s="118" t="str">
        <f t="shared" si="770"/>
        <v/>
      </c>
      <c r="AC1098" s="712" t="str">
        <f>IF(AE1098="T2G","no charge",IF(AND(OR(PlanterYesMe="No",PlanterYesMe="N",PlanterYesMe="me"),H1098=""),"",IF(H1098="credit","NO install",IF(AND(K1098="",AE1098="me"),"EACH row",IF(AND(K1098="images",AE1098="me"),"EACH row",IF(D1098="","",IF(H1098="credit","",IF(AE1098="free","re-planting",IF(AE1098="me","   not ELP, by",IF(AND(OR(PlanterYesMe="Yes",PlanterYesMe="Y"),G1098&gt;0),(VLOOKUP(A1098,'Discount Lookup'!J:K,2)*G1098*(1-PlanterDiscount)*(1+PlanterDifficultyPercentage)),IF(AE1098="ELP",(VLOOKUP(A1098,'Discount Lookup'!J:K,2)*G1098*(1-PlanterDiscount)*(1+PlanterDifficultyPercentage)),IF(AE1098="free","re-planting",IF(G1098=0,"",IF(PlanterYesMe="",IF(AE1098="me","   not ELP, by",IF(AE1098="",IF(G1098&gt;0,(VLOOKUP(A1098,'Discount Lookup'!J:K,2)*G1098*(1-PlanterDiscount)*(1+PlanterDifficultyPercentage)),""),"")),"   not ELP, by"))))))))))))))</f>
        <v/>
      </c>
      <c r="AD1098" s="712"/>
      <c r="AE1098" s="513" t="str">
        <f t="shared" si="771"/>
        <v/>
      </c>
      <c r="AF1098" s="713" t="str">
        <f t="shared" si="772"/>
        <v/>
      </c>
      <c r="AG1098" s="713"/>
      <c r="AH1098" s="713"/>
      <c r="AI1098" s="112">
        <f>IF(H1098="credit",0,IF(AE1098="free",0,IF(AE1098="me",0,IF(G1098&gt;0,(VLOOKUP(A1098,'Discount Lookup'!J:K,2)*G1098),0))))</f>
        <v>0</v>
      </c>
      <c r="AJ1098" s="107" t="str">
        <f t="shared" ca="1" si="773"/>
        <v/>
      </c>
      <c r="AK1098" s="714" t="str">
        <f t="shared" si="774"/>
        <v/>
      </c>
      <c r="AL1098" s="714"/>
      <c r="AM1098" s="114" t="str">
        <f t="shared" si="775"/>
        <v/>
      </c>
      <c r="AN1098" s="115"/>
      <c r="AO1098" s="116"/>
      <c r="AP1098" s="116"/>
      <c r="AQ1098" s="116"/>
      <c r="AR1098" s="116"/>
      <c r="AS1098" s="116"/>
      <c r="AT1098" s="116"/>
      <c r="AU1098" s="116"/>
      <c r="AV1098" s="78"/>
      <c r="AW1098" s="102"/>
      <c r="AX1098" s="78"/>
      <c r="AY1098" s="78"/>
      <c r="AZ1098" s="78"/>
      <c r="BA1098" s="78"/>
      <c r="BB1098" s="78"/>
      <c r="BC1098" s="78"/>
      <c r="BD1098" s="78"/>
      <c r="BE1098" s="465"/>
      <c r="BF1098" s="165" t="str">
        <f t="shared" si="776"/>
        <v>https://www.google.com/search?tbm=isch&amp;q=3%20G1</v>
      </c>
      <c r="BG1098" s="165" t="str">
        <f t="shared" si="777"/>
        <v>C</v>
      </c>
      <c r="BH1098" s="65"/>
      <c r="BI1098" s="65"/>
      <c r="BJ1098" s="65"/>
      <c r="BK1098" s="65"/>
      <c r="BL1098" s="99"/>
      <c r="BM1098" s="99"/>
      <c r="BN1098" s="99"/>
    </row>
    <row r="1099" spans="1:66" s="51" customFormat="1" ht="15.75" x14ac:dyDescent="0.25">
      <c r="A1099" s="478">
        <v>7</v>
      </c>
      <c r="B1099" s="479" t="s">
        <v>291</v>
      </c>
      <c r="C1099" s="480" t="s">
        <v>840</v>
      </c>
      <c r="D1099" s="481" t="s">
        <v>309</v>
      </c>
      <c r="E1099" s="482">
        <v>56.95</v>
      </c>
      <c r="F1099" s="483" t="s">
        <v>292</v>
      </c>
      <c r="G1099" s="484">
        <v>0</v>
      </c>
      <c r="H1099" s="688" t="str">
        <f t="shared" si="803"/>
        <v/>
      </c>
      <c r="I1099" s="485">
        <f t="shared" si="804"/>
        <v>0</v>
      </c>
      <c r="J1099" s="485">
        <f t="shared" si="805"/>
        <v>0</v>
      </c>
      <c r="K1099" s="715">
        <f t="shared" ref="K1099" si="809">I1099+J1099</f>
        <v>0</v>
      </c>
      <c r="L1099" s="715"/>
      <c r="M1099" s="689" t="str">
        <f t="shared" ca="1" si="807"/>
        <v/>
      </c>
      <c r="N1099" s="690"/>
      <c r="O1099" s="486"/>
      <c r="P1099" s="486"/>
      <c r="Q1099" s="486"/>
      <c r="R1099" s="486"/>
      <c r="S1099" s="486"/>
      <c r="T1099" s="102">
        <f t="shared" si="765"/>
        <v>0</v>
      </c>
      <c r="U1099" s="78">
        <f>IF(NOT(ISNUMBER(G1099)), "", VLOOKUP(A1099,'Discount Lookup'!D:E,2,FALSE)*G1099)</f>
        <v>0</v>
      </c>
      <c r="V1099" s="78">
        <f>IF(NOT(ISNUMBER(G1099)), "", VLOOKUP(A1099,'Discount Lookup'!G:H,2,FALSE)*G1099)</f>
        <v>0</v>
      </c>
      <c r="W1099" s="102">
        <f t="shared" si="766"/>
        <v>0</v>
      </c>
      <c r="X1099" s="102">
        <f t="shared" si="767"/>
        <v>0</v>
      </c>
      <c r="Y1099" s="120" t="b">
        <f t="shared" si="768"/>
        <v>0</v>
      </c>
      <c r="Z1099" s="117">
        <f t="shared" si="769"/>
        <v>0</v>
      </c>
      <c r="AA1099" s="118"/>
      <c r="AB1099" s="118" t="str">
        <f t="shared" si="770"/>
        <v/>
      </c>
      <c r="AC1099" s="712" t="str">
        <f>IF(AE1099="T2G","no charge",IF(AND(OR(PlanterYesMe="No",PlanterYesMe="N",PlanterYesMe="me"),H1099=""),"",IF(H1099="credit","NO install",IF(AND(K1099="",AE1099="me"),"EACH row",IF(AND(K1099="images",AE1099="me"),"EACH row",IF(D1099="","",IF(H1099="credit","",IF(AE1099="free","re-planting",IF(AE1099="me","   not ELP, by",IF(AND(OR(PlanterYesMe="Yes",PlanterYesMe="Y"),G1099&gt;0),(VLOOKUP(A1099,'Discount Lookup'!J:K,2)*G1099*(1-PlanterDiscount)*(1+PlanterDifficultyPercentage)),IF(AE1099="ELP",(VLOOKUP(A1099,'Discount Lookup'!J:K,2)*G1099*(1-PlanterDiscount)*(1+PlanterDifficultyPercentage)),IF(AE1099="free","re-planting",IF(G1099=0,"",IF(PlanterYesMe="",IF(AE1099="me","   not ELP, by",IF(AE1099="",IF(G1099&gt;0,(VLOOKUP(A1099,'Discount Lookup'!J:K,2)*G1099*(1-PlanterDiscount)*(1+PlanterDifficultyPercentage)),""),"")),"   not ELP, by"))))))))))))))</f>
        <v/>
      </c>
      <c r="AD1099" s="712"/>
      <c r="AE1099" s="513" t="str">
        <f t="shared" si="771"/>
        <v/>
      </c>
      <c r="AF1099" s="713" t="str">
        <f t="shared" si="772"/>
        <v/>
      </c>
      <c r="AG1099" s="713"/>
      <c r="AH1099" s="713"/>
      <c r="AI1099" s="112">
        <f>IF(H1099="credit",0,IF(AE1099="free",0,IF(AE1099="me",0,IF(G1099&gt;0,(VLOOKUP(A1099,'Discount Lookup'!J:K,2)*G1099),0))))</f>
        <v>0</v>
      </c>
      <c r="AJ1099" s="107" t="str">
        <f t="shared" ca="1" si="773"/>
        <v/>
      </c>
      <c r="AK1099" s="714" t="str">
        <f t="shared" si="774"/>
        <v/>
      </c>
      <c r="AL1099" s="714"/>
      <c r="AM1099" s="114" t="str">
        <f t="shared" si="775"/>
        <v/>
      </c>
      <c r="AN1099" s="115"/>
      <c r="AO1099" s="116"/>
      <c r="AP1099" s="116"/>
      <c r="AQ1099" s="116"/>
      <c r="AR1099" s="116"/>
      <c r="AS1099" s="116"/>
      <c r="AT1099" s="116"/>
      <c r="AU1099" s="116"/>
      <c r="AV1099" s="78"/>
      <c r="AW1099" s="102"/>
      <c r="AX1099" s="78"/>
      <c r="AY1099" s="78"/>
      <c r="AZ1099" s="78"/>
      <c r="BA1099" s="78"/>
      <c r="BB1099" s="78"/>
      <c r="BC1099" s="78"/>
      <c r="BD1099" s="78"/>
      <c r="BE1099" s="465"/>
      <c r="BF1099" s="165" t="str">
        <f t="shared" si="776"/>
        <v>https://www.google.com/search?tbm=isch&amp;q=7%20G3</v>
      </c>
      <c r="BG1099" s="165" t="str">
        <f t="shared" si="777"/>
        <v>C</v>
      </c>
      <c r="BH1099" s="65"/>
      <c r="BI1099" s="65"/>
      <c r="BJ1099" s="65"/>
      <c r="BK1099" s="65"/>
      <c r="BL1099" s="99"/>
      <c r="BM1099" s="99"/>
      <c r="BN1099" s="99"/>
    </row>
    <row r="1100" spans="1:66" s="51" customFormat="1" ht="15.75" x14ac:dyDescent="0.25">
      <c r="A1100" s="478">
        <v>7</v>
      </c>
      <c r="B1100" s="479" t="s">
        <v>291</v>
      </c>
      <c r="C1100" s="480" t="s">
        <v>934</v>
      </c>
      <c r="D1100" s="481" t="s">
        <v>299</v>
      </c>
      <c r="E1100" s="482">
        <v>100.95</v>
      </c>
      <c r="F1100" s="483" t="s">
        <v>292</v>
      </c>
      <c r="G1100" s="484">
        <v>0</v>
      </c>
      <c r="H1100" s="688" t="str">
        <f t="shared" si="803"/>
        <v/>
      </c>
      <c r="I1100" s="485">
        <f t="shared" si="804"/>
        <v>0</v>
      </c>
      <c r="J1100" s="485">
        <f t="shared" si="805"/>
        <v>0</v>
      </c>
      <c r="K1100" s="715">
        <f t="shared" ref="K1100" si="810">I1100+J1100</f>
        <v>0</v>
      </c>
      <c r="L1100" s="715"/>
      <c r="M1100" s="689" t="str">
        <f t="shared" ca="1" si="807"/>
        <v/>
      </c>
      <c r="N1100" s="690"/>
      <c r="O1100" s="486"/>
      <c r="P1100" s="486"/>
      <c r="Q1100" s="486"/>
      <c r="R1100" s="486"/>
      <c r="S1100" s="486"/>
      <c r="T1100" s="102">
        <f t="shared" si="765"/>
        <v>0</v>
      </c>
      <c r="U1100" s="78">
        <f>IF(NOT(ISNUMBER(G1100)), "", VLOOKUP(A1100,'Discount Lookup'!D:E,2,FALSE)*G1100)</f>
        <v>0</v>
      </c>
      <c r="V1100" s="78">
        <f>IF(NOT(ISNUMBER(G1100)), "", VLOOKUP(A1100,'Discount Lookup'!G:H,2,FALSE)*G1100)</f>
        <v>0</v>
      </c>
      <c r="W1100" s="102">
        <f t="shared" si="766"/>
        <v>0</v>
      </c>
      <c r="X1100" s="102">
        <f t="shared" si="767"/>
        <v>0</v>
      </c>
      <c r="Y1100" s="120" t="b">
        <f t="shared" si="768"/>
        <v>0</v>
      </c>
      <c r="Z1100" s="117">
        <f t="shared" si="769"/>
        <v>0</v>
      </c>
      <c r="AA1100" s="118"/>
      <c r="AB1100" s="118" t="str">
        <f t="shared" si="770"/>
        <v/>
      </c>
      <c r="AC1100" s="712" t="str">
        <f>IF(AE1100="T2G","no charge",IF(AND(OR(PlanterYesMe="No",PlanterYesMe="N",PlanterYesMe="me"),H1100=""),"",IF(H1100="credit","NO install",IF(AND(K1100="",AE1100="me"),"EACH row",IF(AND(K1100="images",AE1100="me"),"EACH row",IF(D1100="","",IF(H1100="credit","",IF(AE1100="free","re-planting",IF(AE1100="me","   not ELP, by",IF(AND(OR(PlanterYesMe="Yes",PlanterYesMe="Y"),G1100&gt;0),(VLOOKUP(A1100,'Discount Lookup'!J:K,2)*G1100*(1-PlanterDiscount)*(1+PlanterDifficultyPercentage)),IF(AE1100="ELP",(VLOOKUP(A1100,'Discount Lookup'!J:K,2)*G1100*(1-PlanterDiscount)*(1+PlanterDifficultyPercentage)),IF(AE1100="free","re-planting",IF(G1100=0,"",IF(PlanterYesMe="",IF(AE1100="me","   not ELP, by",IF(AE1100="",IF(G1100&gt;0,(VLOOKUP(A1100,'Discount Lookup'!J:K,2)*G1100*(1-PlanterDiscount)*(1+PlanterDifficultyPercentage)),""),"")),"   not ELP, by"))))))))))))))</f>
        <v/>
      </c>
      <c r="AD1100" s="712"/>
      <c r="AE1100" s="513" t="str">
        <f t="shared" si="771"/>
        <v/>
      </c>
      <c r="AF1100" s="713" t="str">
        <f t="shared" si="772"/>
        <v/>
      </c>
      <c r="AG1100" s="713"/>
      <c r="AH1100" s="713"/>
      <c r="AI1100" s="112">
        <f>IF(H1100="credit",0,IF(AE1100="free",0,IF(AE1100="me",0,IF(G1100&gt;0,(VLOOKUP(A1100,'Discount Lookup'!J:K,2)*G1100),0))))</f>
        <v>0</v>
      </c>
      <c r="AJ1100" s="107" t="str">
        <f t="shared" ca="1" si="773"/>
        <v/>
      </c>
      <c r="AK1100" s="714" t="str">
        <f t="shared" si="774"/>
        <v/>
      </c>
      <c r="AL1100" s="714"/>
      <c r="AM1100" s="114" t="str">
        <f t="shared" si="775"/>
        <v/>
      </c>
      <c r="AN1100" s="115"/>
      <c r="AO1100" s="116"/>
      <c r="AP1100" s="116"/>
      <c r="AQ1100" s="116"/>
      <c r="AR1100" s="116"/>
      <c r="AS1100" s="116"/>
      <c r="AT1100" s="116"/>
      <c r="AU1100" s="116"/>
      <c r="AV1100" s="78"/>
      <c r="AW1100" s="102"/>
      <c r="AX1100" s="78"/>
      <c r="AY1100" s="78"/>
      <c r="AZ1100" s="78"/>
      <c r="BA1100" s="78"/>
      <c r="BB1100" s="78"/>
      <c r="BC1100" s="78"/>
      <c r="BD1100" s="78"/>
      <c r="BE1100" s="465"/>
      <c r="BF1100" s="165" t="str">
        <f t="shared" si="776"/>
        <v>https://www.google.com/search?tbm=isch&amp;q=7%20G4</v>
      </c>
      <c r="BG1100" s="165" t="str">
        <f t="shared" si="777"/>
        <v>C</v>
      </c>
      <c r="BH1100" s="65"/>
      <c r="BI1100" s="65"/>
      <c r="BJ1100" s="65"/>
      <c r="BK1100" s="65"/>
      <c r="BL1100" s="99"/>
      <c r="BM1100" s="99"/>
      <c r="BN1100" s="99"/>
    </row>
    <row r="1101" spans="1:66" s="51" customFormat="1" ht="15.75" x14ac:dyDescent="0.25">
      <c r="A1101" s="478">
        <v>7</v>
      </c>
      <c r="B1101" s="479" t="s">
        <v>291</v>
      </c>
      <c r="C1101" s="480" t="s">
        <v>439</v>
      </c>
      <c r="D1101" s="481" t="s">
        <v>293</v>
      </c>
      <c r="E1101" s="482">
        <v>114.95</v>
      </c>
      <c r="F1101" s="483" t="s">
        <v>292</v>
      </c>
      <c r="G1101" s="484">
        <v>0</v>
      </c>
      <c r="H1101" s="688" t="str">
        <f t="shared" si="803"/>
        <v/>
      </c>
      <c r="I1101" s="485">
        <f t="shared" si="804"/>
        <v>0</v>
      </c>
      <c r="J1101" s="485">
        <f t="shared" si="805"/>
        <v>0</v>
      </c>
      <c r="K1101" s="715">
        <f t="shared" ref="K1101" si="811">I1101+J1101</f>
        <v>0</v>
      </c>
      <c r="L1101" s="715"/>
      <c r="M1101" s="689" t="str">
        <f t="shared" ca="1" si="807"/>
        <v/>
      </c>
      <c r="N1101" s="690"/>
      <c r="O1101" s="486"/>
      <c r="P1101" s="486"/>
      <c r="Q1101" s="486"/>
      <c r="R1101" s="486"/>
      <c r="S1101" s="486"/>
      <c r="T1101" s="102">
        <f t="shared" si="765"/>
        <v>0</v>
      </c>
      <c r="U1101" s="78">
        <f>IF(NOT(ISNUMBER(G1101)), "", VLOOKUP(A1101,'Discount Lookup'!D:E,2,FALSE)*G1101)</f>
        <v>0</v>
      </c>
      <c r="V1101" s="78">
        <f>IF(NOT(ISNUMBER(G1101)), "", VLOOKUP(A1101,'Discount Lookup'!G:H,2,FALSE)*G1101)</f>
        <v>0</v>
      </c>
      <c r="W1101" s="102">
        <f t="shared" si="766"/>
        <v>0</v>
      </c>
      <c r="X1101" s="102">
        <f t="shared" si="767"/>
        <v>0</v>
      </c>
      <c r="Y1101" s="120" t="b">
        <f t="shared" si="768"/>
        <v>0</v>
      </c>
      <c r="Z1101" s="117">
        <f t="shared" si="769"/>
        <v>0</v>
      </c>
      <c r="AA1101" s="118"/>
      <c r="AB1101" s="118" t="str">
        <f t="shared" si="770"/>
        <v/>
      </c>
      <c r="AC1101" s="712" t="str">
        <f>IF(AE1101="T2G","no charge",IF(AND(OR(PlanterYesMe="No",PlanterYesMe="N",PlanterYesMe="me"),H1101=""),"",IF(H1101="credit","NO install",IF(AND(K1101="",AE1101="me"),"EACH row",IF(AND(K1101="images",AE1101="me"),"EACH row",IF(D1101="","",IF(H1101="credit","",IF(AE1101="free","re-planting",IF(AE1101="me","   not ELP, by",IF(AND(OR(PlanterYesMe="Yes",PlanterYesMe="Y"),G1101&gt;0),(VLOOKUP(A1101,'Discount Lookup'!J:K,2)*G1101*(1-PlanterDiscount)*(1+PlanterDifficultyPercentage)),IF(AE1101="ELP",(VLOOKUP(A1101,'Discount Lookup'!J:K,2)*G1101*(1-PlanterDiscount)*(1+PlanterDifficultyPercentage)),IF(AE1101="free","re-planting",IF(G1101=0,"",IF(PlanterYesMe="",IF(AE1101="me","   not ELP, by",IF(AE1101="",IF(G1101&gt;0,(VLOOKUP(A1101,'Discount Lookup'!J:K,2)*G1101*(1-PlanterDiscount)*(1+PlanterDifficultyPercentage)),""),"")),"   not ELP, by"))))))))))))))</f>
        <v/>
      </c>
      <c r="AD1101" s="712"/>
      <c r="AE1101" s="513" t="str">
        <f t="shared" si="771"/>
        <v/>
      </c>
      <c r="AF1101" s="713" t="str">
        <f t="shared" si="772"/>
        <v/>
      </c>
      <c r="AG1101" s="713"/>
      <c r="AH1101" s="713"/>
      <c r="AI1101" s="112">
        <f>IF(H1101="credit",0,IF(AE1101="free",0,IF(AE1101="me",0,IF(G1101&gt;0,(VLOOKUP(A1101,'Discount Lookup'!J:K,2)*G1101),0))))</f>
        <v>0</v>
      </c>
      <c r="AJ1101" s="107" t="str">
        <f t="shared" ca="1" si="773"/>
        <v/>
      </c>
      <c r="AK1101" s="714" t="str">
        <f t="shared" si="774"/>
        <v/>
      </c>
      <c r="AL1101" s="714"/>
      <c r="AM1101" s="114" t="str">
        <f t="shared" si="775"/>
        <v/>
      </c>
      <c r="AN1101" s="115"/>
      <c r="AO1101" s="116"/>
      <c r="AP1101" s="116"/>
      <c r="AQ1101" s="116"/>
      <c r="AR1101" s="116"/>
      <c r="AS1101" s="116"/>
      <c r="AT1101" s="116"/>
      <c r="AU1101" s="116"/>
      <c r="AV1101" s="78"/>
      <c r="AW1101" s="102"/>
      <c r="AX1101" s="78"/>
      <c r="AY1101" s="78"/>
      <c r="AZ1101" s="78"/>
      <c r="BA1101" s="78"/>
      <c r="BB1101" s="78"/>
      <c r="BC1101" s="78"/>
      <c r="BD1101" s="78"/>
      <c r="BE1101" s="465"/>
      <c r="BF1101" s="165" t="str">
        <f t="shared" si="776"/>
        <v>https://www.google.com/search?tbm=isch&amp;q=7%20G6</v>
      </c>
      <c r="BG1101" s="165" t="str">
        <f t="shared" si="777"/>
        <v>C</v>
      </c>
      <c r="BH1101" s="65"/>
      <c r="BI1101" s="65"/>
      <c r="BJ1101" s="65"/>
      <c r="BK1101" s="65"/>
      <c r="BL1101" s="99"/>
      <c r="BM1101" s="99"/>
      <c r="BN1101" s="99"/>
    </row>
    <row r="1102" spans="1:66" s="51" customFormat="1" ht="15.75" x14ac:dyDescent="0.25">
      <c r="A1102" s="478">
        <v>15</v>
      </c>
      <c r="B1102" s="479" t="s">
        <v>291</v>
      </c>
      <c r="C1102" s="480" t="s">
        <v>449</v>
      </c>
      <c r="D1102" s="481" t="s">
        <v>311</v>
      </c>
      <c r="E1102" s="482">
        <v>171.95</v>
      </c>
      <c r="F1102" s="483" t="s">
        <v>292</v>
      </c>
      <c r="G1102" s="484">
        <v>0</v>
      </c>
      <c r="H1102" s="688" t="str">
        <f t="shared" si="803"/>
        <v/>
      </c>
      <c r="I1102" s="485">
        <f t="shared" si="804"/>
        <v>0</v>
      </c>
      <c r="J1102" s="485">
        <f t="shared" si="805"/>
        <v>0</v>
      </c>
      <c r="K1102" s="715">
        <f t="shared" ref="K1102" si="812">I1102+J1102</f>
        <v>0</v>
      </c>
      <c r="L1102" s="715"/>
      <c r="M1102" s="689" t="str">
        <f t="shared" ca="1" si="807"/>
        <v/>
      </c>
      <c r="N1102" s="690"/>
      <c r="O1102" s="486"/>
      <c r="P1102" s="486"/>
      <c r="Q1102" s="486"/>
      <c r="R1102" s="486"/>
      <c r="S1102" s="486"/>
      <c r="T1102" s="102">
        <f t="shared" si="765"/>
        <v>0</v>
      </c>
      <c r="U1102" s="78">
        <f>IF(NOT(ISNUMBER(G1102)), "", VLOOKUP(A1102,'Discount Lookup'!D:E,2,FALSE)*G1102)</f>
        <v>0</v>
      </c>
      <c r="V1102" s="78">
        <f>IF(NOT(ISNUMBER(G1102)), "", VLOOKUP(A1102,'Discount Lookup'!G:H,2,FALSE)*G1102)</f>
        <v>0</v>
      </c>
      <c r="W1102" s="102">
        <f t="shared" si="766"/>
        <v>0</v>
      </c>
      <c r="X1102" s="102">
        <f t="shared" si="767"/>
        <v>0</v>
      </c>
      <c r="Y1102" s="120" t="b">
        <f t="shared" si="768"/>
        <v>0</v>
      </c>
      <c r="Z1102" s="117">
        <f t="shared" si="769"/>
        <v>0</v>
      </c>
      <c r="AA1102" s="118"/>
      <c r="AB1102" s="118" t="str">
        <f t="shared" si="770"/>
        <v/>
      </c>
      <c r="AC1102" s="712" t="str">
        <f>IF(AE1102="T2G","no charge",IF(AND(OR(PlanterYesMe="No",PlanterYesMe="N",PlanterYesMe="me"),H1102=""),"",IF(H1102="credit","NO install",IF(AND(K1102="",AE1102="me"),"EACH row",IF(AND(K1102="images",AE1102="me"),"EACH row",IF(D1102="","",IF(H1102="credit","",IF(AE1102="free","re-planting",IF(AE1102="me","   not ELP, by",IF(AND(OR(PlanterYesMe="Yes",PlanterYesMe="Y"),G1102&gt;0),(VLOOKUP(A1102,'Discount Lookup'!J:K,2)*G1102*(1-PlanterDiscount)*(1+PlanterDifficultyPercentage)),IF(AE1102="ELP",(VLOOKUP(A1102,'Discount Lookup'!J:K,2)*G1102*(1-PlanterDiscount)*(1+PlanterDifficultyPercentage)),IF(AE1102="free","re-planting",IF(G1102=0,"",IF(PlanterYesMe="",IF(AE1102="me","   not ELP, by",IF(AE1102="",IF(G1102&gt;0,(VLOOKUP(A1102,'Discount Lookup'!J:K,2)*G1102*(1-PlanterDiscount)*(1+PlanterDifficultyPercentage)),""),"")),"   not ELP, by"))))))))))))))</f>
        <v/>
      </c>
      <c r="AD1102" s="712"/>
      <c r="AE1102" s="513" t="str">
        <f t="shared" si="771"/>
        <v/>
      </c>
      <c r="AF1102" s="713" t="str">
        <f t="shared" si="772"/>
        <v/>
      </c>
      <c r="AG1102" s="713"/>
      <c r="AH1102" s="713"/>
      <c r="AI1102" s="112">
        <f>IF(H1102="credit",0,IF(AE1102="free",0,IF(AE1102="me",0,IF(G1102&gt;0,(VLOOKUP(A1102,'Discount Lookup'!J:K,2)*G1102),0))))</f>
        <v>0</v>
      </c>
      <c r="AJ1102" s="107" t="str">
        <f t="shared" ca="1" si="773"/>
        <v/>
      </c>
      <c r="AK1102" s="714" t="str">
        <f t="shared" si="774"/>
        <v/>
      </c>
      <c r="AL1102" s="714"/>
      <c r="AM1102" s="114" t="str">
        <f t="shared" si="775"/>
        <v/>
      </c>
      <c r="AN1102" s="115"/>
      <c r="AO1102" s="116"/>
      <c r="AP1102" s="116"/>
      <c r="AQ1102" s="116"/>
      <c r="AR1102" s="116"/>
      <c r="AS1102" s="116"/>
      <c r="AT1102" s="116"/>
      <c r="AU1102" s="116"/>
      <c r="AV1102" s="78"/>
      <c r="AW1102" s="102"/>
      <c r="AX1102" s="78"/>
      <c r="AY1102" s="78"/>
      <c r="AZ1102" s="78"/>
      <c r="BA1102" s="78"/>
      <c r="BB1102" s="78"/>
      <c r="BC1102" s="78"/>
      <c r="BD1102" s="78"/>
      <c r="BE1102" s="465"/>
      <c r="BF1102" s="165" t="str">
        <f t="shared" si="776"/>
        <v>https://www.google.com/search?tbm=isch&amp;q=15%20G5</v>
      </c>
      <c r="BG1102" s="165" t="str">
        <f t="shared" si="777"/>
        <v>C</v>
      </c>
      <c r="BH1102" s="65"/>
      <c r="BI1102" s="65"/>
      <c r="BJ1102" s="65"/>
      <c r="BK1102" s="65"/>
      <c r="BL1102" s="99"/>
      <c r="BM1102" s="99"/>
      <c r="BN1102" s="99"/>
    </row>
    <row r="1103" spans="1:66" s="51" customFormat="1" ht="15.75" x14ac:dyDescent="0.25">
      <c r="A1103" s="478">
        <v>15</v>
      </c>
      <c r="B1103" s="479" t="s">
        <v>291</v>
      </c>
      <c r="C1103" s="480" t="s">
        <v>4591</v>
      </c>
      <c r="D1103" s="481" t="s">
        <v>293</v>
      </c>
      <c r="E1103" s="482">
        <v>222.95</v>
      </c>
      <c r="F1103" s="483" t="s">
        <v>292</v>
      </c>
      <c r="G1103" s="484">
        <v>0</v>
      </c>
      <c r="H1103" s="688" t="str">
        <f t="shared" si="803"/>
        <v/>
      </c>
      <c r="I1103" s="485">
        <f t="shared" si="804"/>
        <v>0</v>
      </c>
      <c r="J1103" s="485">
        <f t="shared" si="805"/>
        <v>0</v>
      </c>
      <c r="K1103" s="715">
        <f t="shared" ref="K1103" si="813">I1103+J1103</f>
        <v>0</v>
      </c>
      <c r="L1103" s="715"/>
      <c r="M1103" s="689" t="str">
        <f t="shared" ca="1" si="807"/>
        <v/>
      </c>
      <c r="N1103" s="690"/>
      <c r="O1103" s="486"/>
      <c r="P1103" s="486"/>
      <c r="Q1103" s="486"/>
      <c r="R1103" s="486"/>
      <c r="S1103" s="486"/>
      <c r="T1103" s="102">
        <f t="shared" si="765"/>
        <v>0</v>
      </c>
      <c r="U1103" s="78">
        <f>IF(NOT(ISNUMBER(G1103)), "", VLOOKUP(A1103,'Discount Lookup'!D:E,2,FALSE)*G1103)</f>
        <v>0</v>
      </c>
      <c r="V1103" s="78">
        <f>IF(NOT(ISNUMBER(G1103)), "", VLOOKUP(A1103,'Discount Lookup'!G:H,2,FALSE)*G1103)</f>
        <v>0</v>
      </c>
      <c r="W1103" s="102">
        <f t="shared" si="766"/>
        <v>0</v>
      </c>
      <c r="X1103" s="102">
        <f t="shared" si="767"/>
        <v>0</v>
      </c>
      <c r="Y1103" s="120" t="b">
        <f t="shared" si="768"/>
        <v>0</v>
      </c>
      <c r="Z1103" s="117">
        <f t="shared" si="769"/>
        <v>0</v>
      </c>
      <c r="AA1103" s="118"/>
      <c r="AB1103" s="118" t="str">
        <f t="shared" si="770"/>
        <v/>
      </c>
      <c r="AC1103" s="712" t="str">
        <f>IF(AE1103="T2G","no charge",IF(AND(OR(PlanterYesMe="No",PlanterYesMe="N",PlanterYesMe="me"),H1103=""),"",IF(H1103="credit","NO install",IF(AND(K1103="",AE1103="me"),"EACH row",IF(AND(K1103="images",AE1103="me"),"EACH row",IF(D1103="","",IF(H1103="credit","",IF(AE1103="free","re-planting",IF(AE1103="me","   not ELP, by",IF(AND(OR(PlanterYesMe="Yes",PlanterYesMe="Y"),G1103&gt;0),(VLOOKUP(A1103,'Discount Lookup'!J:K,2)*G1103*(1-PlanterDiscount)*(1+PlanterDifficultyPercentage)),IF(AE1103="ELP",(VLOOKUP(A1103,'Discount Lookup'!J:K,2)*G1103*(1-PlanterDiscount)*(1+PlanterDifficultyPercentage)),IF(AE1103="free","re-planting",IF(G1103=0,"",IF(PlanterYesMe="",IF(AE1103="me","   not ELP, by",IF(AE1103="",IF(G1103&gt;0,(VLOOKUP(A1103,'Discount Lookup'!J:K,2)*G1103*(1-PlanterDiscount)*(1+PlanterDifficultyPercentage)),""),"")),"   not ELP, by"))))))))))))))</f>
        <v/>
      </c>
      <c r="AD1103" s="712"/>
      <c r="AE1103" s="513" t="str">
        <f t="shared" si="771"/>
        <v/>
      </c>
      <c r="AF1103" s="713" t="str">
        <f t="shared" si="772"/>
        <v/>
      </c>
      <c r="AG1103" s="713"/>
      <c r="AH1103" s="713"/>
      <c r="AI1103" s="112">
        <f>IF(H1103="credit",0,IF(AE1103="free",0,IF(AE1103="me",0,IF(G1103&gt;0,(VLOOKUP(A1103,'Discount Lookup'!J:K,2)*G1103),0))))</f>
        <v>0</v>
      </c>
      <c r="AJ1103" s="107" t="str">
        <f t="shared" ca="1" si="773"/>
        <v/>
      </c>
      <c r="AK1103" s="714" t="str">
        <f t="shared" si="774"/>
        <v/>
      </c>
      <c r="AL1103" s="714"/>
      <c r="AM1103" s="114" t="str">
        <f t="shared" si="775"/>
        <v/>
      </c>
      <c r="AN1103" s="115"/>
      <c r="AO1103" s="116"/>
      <c r="AP1103" s="116"/>
      <c r="AQ1103" s="116"/>
      <c r="AR1103" s="116"/>
      <c r="AS1103" s="116"/>
      <c r="AT1103" s="116"/>
      <c r="AU1103" s="116"/>
      <c r="AV1103" s="78"/>
      <c r="AW1103" s="102"/>
      <c r="AX1103" s="78"/>
      <c r="AY1103" s="78"/>
      <c r="AZ1103" s="78"/>
      <c r="BA1103" s="78"/>
      <c r="BB1103" s="78"/>
      <c r="BC1103" s="78"/>
      <c r="BD1103" s="78"/>
      <c r="BE1103" s="465"/>
      <c r="BF1103" s="165" t="str">
        <f t="shared" si="776"/>
        <v>https://www.google.com/search?tbm=isch&amp;q=15%20G6</v>
      </c>
      <c r="BG1103" s="165" t="str">
        <f t="shared" si="777"/>
        <v>C</v>
      </c>
      <c r="BH1103" s="65"/>
      <c r="BI1103" s="65"/>
      <c r="BJ1103" s="65"/>
      <c r="BK1103" s="65"/>
      <c r="BL1103" s="99"/>
      <c r="BM1103" s="99"/>
      <c r="BN1103" s="99"/>
    </row>
    <row r="1104" spans="1:66" s="51" customFormat="1" ht="17.25" thickBot="1" x14ac:dyDescent="0.3">
      <c r="A1104" s="508" t="s">
        <v>471</v>
      </c>
      <c r="B1104" s="487"/>
      <c r="C1104" s="707"/>
      <c r="D1104" s="487"/>
      <c r="E1104" s="487"/>
      <c r="F1104" s="488"/>
      <c r="G1104" s="489"/>
      <c r="H1104" s="487"/>
      <c r="I1104" s="490"/>
      <c r="J1104" s="490"/>
      <c r="K1104" s="491"/>
      <c r="L1104" s="547"/>
      <c r="M1104" s="528"/>
      <c r="N1104" s="492"/>
      <c r="O1104" s="493"/>
      <c r="P1104" s="494"/>
      <c r="Q1104" s="492"/>
      <c r="R1104" s="492"/>
      <c r="S1104" s="699" t="s">
        <v>5268</v>
      </c>
      <c r="T1104" s="102">
        <f t="shared" si="765"/>
        <v>0</v>
      </c>
      <c r="U1104" s="78" t="str">
        <f>IF(NOT(ISNUMBER(G1104)), "", VLOOKUP(A1104,'Discount Lookup'!D:E,2,FALSE)*G1104)</f>
        <v/>
      </c>
      <c r="V1104" s="78" t="str">
        <f>IF(NOT(ISNUMBER(G1104)), "", VLOOKUP(A1104,'Discount Lookup'!G:H,2,FALSE)*G1104)</f>
        <v/>
      </c>
      <c r="W1104" s="102">
        <f t="shared" si="766"/>
        <v>0</v>
      </c>
      <c r="X1104" s="102">
        <f t="shared" si="767"/>
        <v>0</v>
      </c>
      <c r="Y1104" s="120" t="b">
        <f t="shared" si="768"/>
        <v>0</v>
      </c>
      <c r="Z1104" s="117">
        <f t="shared" si="769"/>
        <v>0</v>
      </c>
      <c r="AA1104" s="118"/>
      <c r="AB1104" s="118" t="str">
        <f t="shared" si="770"/>
        <v/>
      </c>
      <c r="AC1104" s="712" t="str">
        <f>IF(AE1104="T2G","no charge",IF(AND(OR(PlanterYesMe="No",PlanterYesMe="N",PlanterYesMe="me"),H1104=""),"",IF(H1104="credit","NO install",IF(AND(K1104="",AE1104="me"),"EACH row",IF(AND(K1104="images",AE1104="me"),"EACH row",IF(D1104="","",IF(H1104="credit","",IF(AE1104="free","re-planting",IF(AE1104="me","   not ELP, by",IF(AND(OR(PlanterYesMe="Yes",PlanterYesMe="Y"),G1104&gt;0),(VLOOKUP(A1104,'Discount Lookup'!J:K,2)*G1104*(1-PlanterDiscount)*(1+PlanterDifficultyPercentage)),IF(AE1104="ELP",(VLOOKUP(A1104,'Discount Lookup'!J:K,2)*G1104*(1-PlanterDiscount)*(1+PlanterDifficultyPercentage)),IF(AE1104="free","re-planting",IF(G1104=0,"",IF(PlanterYesMe="",IF(AE1104="me","   not ELP, by",IF(AE1104="",IF(G1104&gt;0,(VLOOKUP(A1104,'Discount Lookup'!J:K,2)*G1104*(1-PlanterDiscount)*(1+PlanterDifficultyPercentage)),""),"")),"   not ELP, by"))))))))))))))</f>
        <v/>
      </c>
      <c r="AD1104" s="712"/>
      <c r="AE1104" s="513" t="str">
        <f t="shared" si="771"/>
        <v/>
      </c>
      <c r="AF1104" s="713" t="str">
        <f t="shared" si="772"/>
        <v/>
      </c>
      <c r="AG1104" s="713"/>
      <c r="AH1104" s="713"/>
      <c r="AI1104" s="112">
        <f>IF(H1104="credit",0,IF(AE1104="free",0,IF(AE1104="me",0,IF(G1104&gt;0,(VLOOKUP(A1104,'Discount Lookup'!J:K,2)*G1104),0))))</f>
        <v>0</v>
      </c>
      <c r="AJ1104" s="107" t="str">
        <f t="shared" ca="1" si="773"/>
        <v/>
      </c>
      <c r="AK1104" s="714" t="str">
        <f t="shared" si="774"/>
        <v/>
      </c>
      <c r="AL1104" s="714"/>
      <c r="AM1104" s="114" t="str">
        <f t="shared" si="775"/>
        <v/>
      </c>
      <c r="AN1104" s="115"/>
      <c r="AO1104" s="116"/>
      <c r="AP1104" s="116"/>
      <c r="AQ1104" s="116"/>
      <c r="AR1104" s="116"/>
      <c r="AS1104" s="116"/>
      <c r="AT1104" s="116"/>
      <c r="AU1104" s="116"/>
      <c r="AV1104" s="78"/>
      <c r="AW1104" s="102"/>
      <c r="AX1104" s="78"/>
      <c r="AY1104" s="78"/>
      <c r="AZ1104" s="78"/>
      <c r="BA1104" s="78"/>
      <c r="BB1104" s="78"/>
      <c r="BC1104" s="78"/>
      <c r="BD1104" s="78"/>
      <c r="BE1104" s="465"/>
      <c r="BF1104" s="165" t="str">
        <f t="shared" si="776"/>
        <v>https://www.google.com/search?tbm=isch&amp;q=Golden%20Hinoki%20is%20a%20dramatic%20mix%20of%20Yellow%20%26%20Green%20feathery%20foliage.%20optimal%20color%20in%20full%20sun.%20Slow%20grower%20</v>
      </c>
      <c r="BG1104" s="165" t="str">
        <f t="shared" si="777"/>
        <v>G</v>
      </c>
      <c r="BH1104" s="65"/>
      <c r="BI1104" s="65"/>
      <c r="BJ1104" s="65"/>
      <c r="BK1104" s="65"/>
      <c r="BL1104" s="99"/>
      <c r="BM1104" s="99"/>
      <c r="BN1104" s="99"/>
    </row>
    <row r="1105" spans="1:66" s="51" customFormat="1" ht="18" x14ac:dyDescent="0.25">
      <c r="A1105" s="507" t="s">
        <v>2128</v>
      </c>
      <c r="B1105" s="470"/>
      <c r="C1105" s="706"/>
      <c r="D1105" s="471" t="s">
        <v>2129</v>
      </c>
      <c r="E1105" s="472"/>
      <c r="F1105" s="472"/>
      <c r="G1105" s="472"/>
      <c r="H1105" s="622" t="s">
        <v>318</v>
      </c>
      <c r="I1105" s="473" t="s">
        <v>443</v>
      </c>
      <c r="J1105" s="472"/>
      <c r="K1105" s="472"/>
      <c r="L1105" s="561"/>
      <c r="M1105" s="698" t="s">
        <v>5246</v>
      </c>
      <c r="N1105" s="692" t="str">
        <f>IF(AND(ISTEXT($A1105), ISERROR($A1105+0)), HYPERLINK($BF1105, "Images"), "")</f>
        <v>Images</v>
      </c>
      <c r="O1105" s="694" t="s">
        <v>5247</v>
      </c>
      <c r="P1105" s="475"/>
      <c r="Q1105" s="476"/>
      <c r="R1105" s="476"/>
      <c r="S1105" s="477"/>
      <c r="T1105" s="102">
        <f t="shared" si="765"/>
        <v>0</v>
      </c>
      <c r="U1105" s="78" t="str">
        <f>IF(NOT(ISNUMBER(G1105)), "", VLOOKUP(A1105,'Discount Lookup'!D:E,2,FALSE)*G1105)</f>
        <v/>
      </c>
      <c r="V1105" s="78" t="str">
        <f>IF(NOT(ISNUMBER(G1105)), "", VLOOKUP(A1105,'Discount Lookup'!G:H,2,FALSE)*G1105)</f>
        <v/>
      </c>
      <c r="W1105" s="102">
        <f t="shared" si="766"/>
        <v>0</v>
      </c>
      <c r="X1105" s="102" t="str">
        <f t="shared" si="767"/>
        <v>Golden-Yellow foliage</v>
      </c>
      <c r="Y1105" s="120" t="b">
        <f t="shared" si="768"/>
        <v>0</v>
      </c>
      <c r="Z1105" s="117">
        <f t="shared" si="769"/>
        <v>0</v>
      </c>
      <c r="AA1105" s="118"/>
      <c r="AB1105" s="118" t="str">
        <f t="shared" si="770"/>
        <v/>
      </c>
      <c r="AC1105" s="712" t="str">
        <f>IF(AE1105="T2G","no charge",IF(AND(OR(PlanterYesMe="No",PlanterYesMe="N",PlanterYesMe="me"),H1105=""),"",IF(H1105="credit","NO install",IF(AND(K1105="",AE1105="me"),"EACH row",IF(AND(K1105="images",AE1105="me"),"EACH row",IF(D1105="","",IF(H1105="credit","",IF(AE1105="free","re-planting",IF(AE1105="me","   not ELP, by",IF(AND(OR(PlanterYesMe="Yes",PlanterYesMe="Y"),G1105&gt;0),(VLOOKUP(A1105,'Discount Lookup'!J:K,2)*G1105*(1-PlanterDiscount)*(1+PlanterDifficultyPercentage)),IF(AE1105="ELP",(VLOOKUP(A1105,'Discount Lookup'!J:K,2)*G1105*(1-PlanterDiscount)*(1+PlanterDifficultyPercentage)),IF(AE1105="free","re-planting",IF(G1105=0,"",IF(PlanterYesMe="",IF(AE1105="me","   not ELP, by",IF(AE1105="",IF(G1105&gt;0,(VLOOKUP(A1105,'Discount Lookup'!J:K,2)*G1105*(1-PlanterDiscount)*(1+PlanterDifficultyPercentage)),""),"")),"   not ELP, by"))))))))))))))</f>
        <v/>
      </c>
      <c r="AD1105" s="712"/>
      <c r="AE1105" s="513" t="str">
        <f t="shared" si="771"/>
        <v/>
      </c>
      <c r="AF1105" s="713" t="str">
        <f t="shared" si="772"/>
        <v/>
      </c>
      <c r="AG1105" s="713"/>
      <c r="AH1105" s="713"/>
      <c r="AI1105" s="112">
        <f>IF(H1105="credit",0,IF(AE1105="free",0,IF(AE1105="me",0,IF(G1105&gt;0,(VLOOKUP(A1105,'Discount Lookup'!J:K,2)*G1105),0))))</f>
        <v>0</v>
      </c>
      <c r="AJ1105" s="107" t="str">
        <f t="shared" ca="1" si="773"/>
        <v/>
      </c>
      <c r="AK1105" s="714" t="str">
        <f t="shared" si="774"/>
        <v/>
      </c>
      <c r="AL1105" s="714"/>
      <c r="AM1105" s="114" t="str">
        <f t="shared" si="775"/>
        <v/>
      </c>
      <c r="AN1105" s="115"/>
      <c r="AO1105" s="116"/>
      <c r="AP1105" s="116"/>
      <c r="AQ1105" s="116"/>
      <c r="AR1105" s="116"/>
      <c r="AS1105" s="116"/>
      <c r="AT1105" s="116"/>
      <c r="AU1105" s="116"/>
      <c r="AV1105" s="78"/>
      <c r="AW1105" s="102"/>
      <c r="AX1105" s="78"/>
      <c r="AY1105" s="78"/>
      <c r="AZ1105" s="78"/>
      <c r="BA1105" s="78"/>
      <c r="BB1105" s="78"/>
      <c r="BC1105" s="78"/>
      <c r="BD1105" s="78"/>
      <c r="BE1105" s="465"/>
      <c r="BF1105" s="165" t="str">
        <f t="shared" si="776"/>
        <v>https://www.google.com/search?tbm=isch&amp;q=Chamaecyparis%20obtusa%20%27Fernspray%20Gold%27%20Golden%20Fernspray%20Cypress</v>
      </c>
      <c r="BG1105" s="165" t="str">
        <f t="shared" si="777"/>
        <v>C</v>
      </c>
      <c r="BH1105" s="65"/>
      <c r="BI1105" s="65"/>
      <c r="BJ1105" s="65"/>
      <c r="BK1105" s="65"/>
      <c r="BL1105" s="99"/>
      <c r="BM1105" s="99"/>
      <c r="BN1105" s="99"/>
    </row>
    <row r="1106" spans="1:66" s="51" customFormat="1" ht="40.5" x14ac:dyDescent="0.25">
      <c r="A1106" s="478">
        <v>10</v>
      </c>
      <c r="B1106" s="479" t="s">
        <v>291</v>
      </c>
      <c r="C1106" s="480" t="s">
        <v>2130</v>
      </c>
      <c r="D1106" s="481" t="s">
        <v>299</v>
      </c>
      <c r="E1106" s="482">
        <v>332.95</v>
      </c>
      <c r="F1106" s="483" t="s">
        <v>292</v>
      </c>
      <c r="G1106" s="484">
        <v>0</v>
      </c>
      <c r="H1106" s="688" t="str">
        <f>IF(G1106=0,"",IF(F1106="Buy",IF(G1106=1,"plant","plants"),IF(F1106&gt;0.01,"warranty","Error")))</f>
        <v/>
      </c>
      <c r="I1106" s="485">
        <f>IF(H1106="free",0,IF(H1106="credit",((E1106*(F1106))*G1106*-1),IF(F1106="Buy",(E1106*G1106),((E1106*(1-F1106))*G1106))))</f>
        <v>0</v>
      </c>
      <c r="J1106" s="485">
        <f>IF(H1106="warranty",0,(I1106*(_xlfn.SINGLE(SalesTaxPercentage))))</f>
        <v>0</v>
      </c>
      <c r="K1106" s="715">
        <f t="shared" ref="K1106" si="814">I1106+J1106</f>
        <v>0</v>
      </c>
      <c r="L1106" s="715"/>
      <c r="M1106" s="689" t="str">
        <f ca="1">IF(AND(G1106&gt;0,E1106=0),"WARNING - no PRICE inserted",IF(H1106="free","FREE ~ no charge this plant",IF(H1106="credit",CONCATENATE("-$",ROUND(K1106*(1-_xlfn.SINGLE(T2GDiscount))*-1,2)," CREDIT after discount"),IF(_xlfn.SINGLE(T2GDiscount)=0,"",IF(G1106=0,"",IF(F1106="Buy",CONCATENATE("$",ROUND(K1106*(1-_xlfn.SINGLE(T2GDiscount)),2)," with ",(_xlfn.SINGLE(T2GDiscount)*100),"% discount"),CONCATENATE("$",ROUND(K1106*(1-_xlfn.SINGLE(T2GDiscount)),2)," with ",((_xlfn.SINGLE(T2GDiscount)*100+F1106*100)-(_xlfn.SINGLE(T2GDiscount)*100*F1106)),IF(F1106&gt;0,"% discounts",IF(_xlfn.SINGLE(NoWarrantyDiscount)&gt;0,"% discounts","% discount")))))))))</f>
        <v/>
      </c>
      <c r="N1106" s="690"/>
      <c r="O1106" s="486"/>
      <c r="P1106" s="486"/>
      <c r="Q1106" s="486"/>
      <c r="R1106" s="486"/>
      <c r="S1106" s="486"/>
      <c r="T1106" s="102">
        <f t="shared" si="765"/>
        <v>0</v>
      </c>
      <c r="U1106" s="78">
        <f>IF(NOT(ISNUMBER(G1106)), "", VLOOKUP(A1106,'Discount Lookup'!D:E,2,FALSE)*G1106)</f>
        <v>0</v>
      </c>
      <c r="V1106" s="78">
        <f>IF(NOT(ISNUMBER(G1106)), "", VLOOKUP(A1106,'Discount Lookup'!G:H,2,FALSE)*G1106)</f>
        <v>0</v>
      </c>
      <c r="W1106" s="102">
        <f t="shared" si="766"/>
        <v>0</v>
      </c>
      <c r="X1106" s="102">
        <f t="shared" si="767"/>
        <v>0</v>
      </c>
      <c r="Y1106" s="120" t="b">
        <f t="shared" si="768"/>
        <v>0</v>
      </c>
      <c r="Z1106" s="117">
        <f t="shared" si="769"/>
        <v>0</v>
      </c>
      <c r="AA1106" s="118"/>
      <c r="AB1106" s="118" t="str">
        <f t="shared" si="770"/>
        <v/>
      </c>
      <c r="AC1106" s="712" t="str">
        <f>IF(AE1106="T2G","no charge",IF(AND(OR(PlanterYesMe="No",PlanterYesMe="N",PlanterYesMe="me"),H1106=""),"",IF(H1106="credit","NO install",IF(AND(K1106="",AE1106="me"),"EACH row",IF(AND(K1106="images",AE1106="me"),"EACH row",IF(D1106="","",IF(H1106="credit","",IF(AE1106="free","re-planting",IF(AE1106="me","   not ELP, by",IF(AND(OR(PlanterYesMe="Yes",PlanterYesMe="Y"),G1106&gt;0),(VLOOKUP(A1106,'Discount Lookup'!J:K,2)*G1106*(1-PlanterDiscount)*(1+PlanterDifficultyPercentage)),IF(AE1106="ELP",(VLOOKUP(A1106,'Discount Lookup'!J:K,2)*G1106*(1-PlanterDiscount)*(1+PlanterDifficultyPercentage)),IF(AE1106="free","re-planting",IF(G1106=0,"",IF(PlanterYesMe="",IF(AE1106="me","   not ELP, by",IF(AE1106="",IF(G1106&gt;0,(VLOOKUP(A1106,'Discount Lookup'!J:K,2)*G1106*(1-PlanterDiscount)*(1+PlanterDifficultyPercentage)),""),"")),"   not ELP, by"))))))))))))))</f>
        <v/>
      </c>
      <c r="AD1106" s="712"/>
      <c r="AE1106" s="513" t="str">
        <f t="shared" si="771"/>
        <v/>
      </c>
      <c r="AF1106" s="713" t="str">
        <f t="shared" si="772"/>
        <v/>
      </c>
      <c r="AG1106" s="713"/>
      <c r="AH1106" s="713"/>
      <c r="AI1106" s="112">
        <f>IF(H1106="credit",0,IF(AE1106="free",0,IF(AE1106="me",0,IF(G1106&gt;0,(VLOOKUP(A1106,'Discount Lookup'!J:K,2)*G1106),0))))</f>
        <v>0</v>
      </c>
      <c r="AJ1106" s="107" t="str">
        <f t="shared" ca="1" si="773"/>
        <v/>
      </c>
      <c r="AK1106" s="714" t="str">
        <f t="shared" si="774"/>
        <v/>
      </c>
      <c r="AL1106" s="714"/>
      <c r="AM1106" s="114" t="str">
        <f t="shared" si="775"/>
        <v/>
      </c>
      <c r="AN1106" s="115"/>
      <c r="AO1106" s="116"/>
      <c r="AP1106" s="116"/>
      <c r="AQ1106" s="116"/>
      <c r="AR1106" s="116"/>
      <c r="AS1106" s="116"/>
      <c r="AT1106" s="116"/>
      <c r="AU1106" s="116"/>
      <c r="AV1106" s="78"/>
      <c r="AW1106" s="102"/>
      <c r="AX1106" s="78"/>
      <c r="AY1106" s="78"/>
      <c r="AZ1106" s="78"/>
      <c r="BA1106" s="78"/>
      <c r="BB1106" s="78"/>
      <c r="BC1106" s="78"/>
      <c r="BD1106" s="78"/>
      <c r="BE1106" s="465"/>
      <c r="BF1106" s="165" t="str">
        <f t="shared" si="776"/>
        <v>https://www.google.com/search?tbm=isch&amp;q=10%20G4</v>
      </c>
      <c r="BG1106" s="165" t="str">
        <f t="shared" si="777"/>
        <v>C</v>
      </c>
      <c r="BH1106" s="65"/>
      <c r="BI1106" s="65"/>
      <c r="BJ1106" s="65"/>
      <c r="BK1106" s="65"/>
      <c r="BL1106" s="99"/>
      <c r="BM1106" s="99"/>
      <c r="BN1106" s="99"/>
    </row>
    <row r="1107" spans="1:66" s="51" customFormat="1" ht="15.75" x14ac:dyDescent="0.25">
      <c r="A1107" s="478">
        <v>15</v>
      </c>
      <c r="B1107" s="479" t="s">
        <v>291</v>
      </c>
      <c r="C1107" s="480" t="s">
        <v>5154</v>
      </c>
      <c r="D1107" s="481" t="s">
        <v>299</v>
      </c>
      <c r="E1107" s="482">
        <v>332.95</v>
      </c>
      <c r="F1107" s="483" t="s">
        <v>292</v>
      </c>
      <c r="G1107" s="484">
        <v>0</v>
      </c>
      <c r="H1107" s="688" t="str">
        <f>IF(G1107=0,"",IF(F1107="Buy",IF(G1107=1,"plant","plants"),IF(F1107&gt;0.01,"warranty","Error")))</f>
        <v/>
      </c>
      <c r="I1107" s="485">
        <f>IF(H1107="free",0,IF(H1107="credit",((E1107*(F1107))*G1107*-1),IF(F1107="Buy",(E1107*G1107),((E1107*(1-F1107))*G1107))))</f>
        <v>0</v>
      </c>
      <c r="J1107" s="485">
        <f>IF(H1107="warranty",0,(I1107*(_xlfn.SINGLE(SalesTaxPercentage))))</f>
        <v>0</v>
      </c>
      <c r="K1107" s="715">
        <f t="shared" ref="K1107" si="815">I1107+J1107</f>
        <v>0</v>
      </c>
      <c r="L1107" s="715"/>
      <c r="M1107" s="689" t="str">
        <f ca="1">IF(AND(G1107&gt;0,E1107=0),"WARNING - no PRICE inserted",IF(H1107="free","FREE ~ no charge this plant",IF(H1107="credit",CONCATENATE("-$",ROUND(K1107*(1-_xlfn.SINGLE(T2GDiscount))*-1,2)," CREDIT after discount"),IF(_xlfn.SINGLE(T2GDiscount)=0,"",IF(G1107=0,"",IF(F1107="Buy",CONCATENATE("$",ROUND(K1107*(1-_xlfn.SINGLE(T2GDiscount)),2)," with ",(_xlfn.SINGLE(T2GDiscount)*100),"% discount"),CONCATENATE("$",ROUND(K1107*(1-_xlfn.SINGLE(T2GDiscount)),2)," with ",((_xlfn.SINGLE(T2GDiscount)*100+F1107*100)-(_xlfn.SINGLE(T2GDiscount)*100*F1107)),IF(F1107&gt;0,"% discounts",IF(_xlfn.SINGLE(NoWarrantyDiscount)&gt;0,"% discounts","% discount")))))))))</f>
        <v/>
      </c>
      <c r="N1107" s="690"/>
      <c r="O1107" s="486"/>
      <c r="P1107" s="486"/>
      <c r="Q1107" s="486"/>
      <c r="R1107" s="486"/>
      <c r="S1107" s="486"/>
      <c r="T1107" s="102">
        <f t="shared" si="765"/>
        <v>0</v>
      </c>
      <c r="U1107" s="78">
        <f>IF(NOT(ISNUMBER(G1107)), "", VLOOKUP(A1107,'Discount Lookup'!D:E,2,FALSE)*G1107)</f>
        <v>0</v>
      </c>
      <c r="V1107" s="78">
        <f>IF(NOT(ISNUMBER(G1107)), "", VLOOKUP(A1107,'Discount Lookup'!G:H,2,FALSE)*G1107)</f>
        <v>0</v>
      </c>
      <c r="W1107" s="102">
        <f t="shared" si="766"/>
        <v>0</v>
      </c>
      <c r="X1107" s="102">
        <f t="shared" si="767"/>
        <v>0</v>
      </c>
      <c r="Y1107" s="120" t="b">
        <f t="shared" si="768"/>
        <v>0</v>
      </c>
      <c r="Z1107" s="117">
        <f t="shared" si="769"/>
        <v>0</v>
      </c>
      <c r="AA1107" s="118"/>
      <c r="AB1107" s="118" t="str">
        <f t="shared" si="770"/>
        <v/>
      </c>
      <c r="AC1107" s="712" t="str">
        <f>IF(AE1107="T2G","no charge",IF(AND(OR(PlanterYesMe="No",PlanterYesMe="N",PlanterYesMe="me"),H1107=""),"",IF(H1107="credit","NO install",IF(AND(K1107="",AE1107="me"),"EACH row",IF(AND(K1107="images",AE1107="me"),"EACH row",IF(D1107="","",IF(H1107="credit","",IF(AE1107="free","re-planting",IF(AE1107="me","   not ELP, by",IF(AND(OR(PlanterYesMe="Yes",PlanterYesMe="Y"),G1107&gt;0),(VLOOKUP(A1107,'Discount Lookup'!J:K,2)*G1107*(1-PlanterDiscount)*(1+PlanterDifficultyPercentage)),IF(AE1107="ELP",(VLOOKUP(A1107,'Discount Lookup'!J:K,2)*G1107*(1-PlanterDiscount)*(1+PlanterDifficultyPercentage)),IF(AE1107="free","re-planting",IF(G1107=0,"",IF(PlanterYesMe="",IF(AE1107="me","   not ELP, by",IF(AE1107="",IF(G1107&gt;0,(VLOOKUP(A1107,'Discount Lookup'!J:K,2)*G1107*(1-PlanterDiscount)*(1+PlanterDifficultyPercentage)),""),"")),"   not ELP, by"))))))))))))))</f>
        <v/>
      </c>
      <c r="AD1107" s="712"/>
      <c r="AE1107" s="513" t="str">
        <f t="shared" si="771"/>
        <v/>
      </c>
      <c r="AF1107" s="713" t="str">
        <f t="shared" si="772"/>
        <v/>
      </c>
      <c r="AG1107" s="713"/>
      <c r="AH1107" s="713"/>
      <c r="AI1107" s="112">
        <f>IF(H1107="credit",0,IF(AE1107="free",0,IF(AE1107="me",0,IF(G1107&gt;0,(VLOOKUP(A1107,'Discount Lookup'!J:K,2)*G1107),0))))</f>
        <v>0</v>
      </c>
      <c r="AJ1107" s="107" t="str">
        <f t="shared" ca="1" si="773"/>
        <v/>
      </c>
      <c r="AK1107" s="714" t="str">
        <f t="shared" si="774"/>
        <v/>
      </c>
      <c r="AL1107" s="714"/>
      <c r="AM1107" s="114" t="str">
        <f t="shared" si="775"/>
        <v/>
      </c>
      <c r="AN1107" s="115"/>
      <c r="AO1107" s="116"/>
      <c r="AP1107" s="116"/>
      <c r="AQ1107" s="116"/>
      <c r="AR1107" s="116"/>
      <c r="AS1107" s="116"/>
      <c r="AT1107" s="116"/>
      <c r="AU1107" s="116"/>
      <c r="AV1107" s="78"/>
      <c r="AW1107" s="102"/>
      <c r="AX1107" s="78"/>
      <c r="AY1107" s="78"/>
      <c r="AZ1107" s="78"/>
      <c r="BA1107" s="78"/>
      <c r="BB1107" s="78"/>
      <c r="BC1107" s="78"/>
      <c r="BD1107" s="78"/>
      <c r="BE1107" s="465"/>
      <c r="BF1107" s="165" t="str">
        <f t="shared" si="776"/>
        <v>https://www.google.com/search?tbm=isch&amp;q=15%20G4</v>
      </c>
      <c r="BG1107" s="165" t="str">
        <f t="shared" si="777"/>
        <v>C</v>
      </c>
      <c r="BH1107" s="65"/>
      <c r="BI1107" s="65"/>
      <c r="BJ1107" s="65"/>
      <c r="BK1107" s="65"/>
      <c r="BL1107" s="99"/>
      <c r="BM1107" s="99"/>
      <c r="BN1107" s="99"/>
    </row>
    <row r="1108" spans="1:66" s="51" customFormat="1" ht="17.25" thickBot="1" x14ac:dyDescent="0.3">
      <c r="A1108" s="508" t="s">
        <v>2131</v>
      </c>
      <c r="B1108" s="487"/>
      <c r="C1108" s="707"/>
      <c r="D1108" s="487"/>
      <c r="E1108" s="487"/>
      <c r="F1108" s="488"/>
      <c r="G1108" s="489"/>
      <c r="H1108" s="487"/>
      <c r="I1108" s="490"/>
      <c r="J1108" s="490"/>
      <c r="K1108" s="491"/>
      <c r="L1108" s="547"/>
      <c r="M1108" s="528"/>
      <c r="N1108" s="492"/>
      <c r="O1108" s="493"/>
      <c r="P1108" s="494"/>
      <c r="Q1108" s="492"/>
      <c r="R1108" s="492"/>
      <c r="S1108" s="699" t="s">
        <v>5268</v>
      </c>
      <c r="T1108" s="102">
        <f t="shared" ref="T1108:T1171" si="816">E1108*G1108</f>
        <v>0</v>
      </c>
      <c r="U1108" s="78" t="str">
        <f>IF(NOT(ISNUMBER(G1108)), "", VLOOKUP(A1108,'Discount Lookup'!D:E,2,FALSE)*G1108)</f>
        <v/>
      </c>
      <c r="V1108" s="78" t="str">
        <f>IF(NOT(ISNUMBER(G1108)), "", VLOOKUP(A1108,'Discount Lookup'!G:H,2,FALSE)*G1108)</f>
        <v/>
      </c>
      <c r="W1108" s="102">
        <f t="shared" ref="W1108:W1171" si="817">IF(H1108="credit",0,E1108*(SalesTaxPercentage)*G1108)</f>
        <v>0</v>
      </c>
      <c r="X1108" s="102">
        <f t="shared" ref="X1108:X1171" si="818">I1108</f>
        <v>0</v>
      </c>
      <c r="Y1108" s="120" t="b">
        <f t="shared" ref="Y1108:Y1171" si="819">IF(AE1108="T2G",0,IF(H1108="credit",0,IF(G1108&gt;0,IF(AE1108="me","",G1108))))</f>
        <v>0</v>
      </c>
      <c r="Z1108" s="117">
        <f t="shared" ref="Z1108:Z1171" si="820">IF(H1108="credit",G1108,0)</f>
        <v>0</v>
      </c>
      <c r="AA1108" s="118"/>
      <c r="AB1108" s="118" t="str">
        <f t="shared" ref="AB1108:AB1171" si="821">IF(AE1108="T2G","by Trees2Go",IF(H1108="credit","CREDIT only ~",IF(AND(K1108="",AE1108=OR(PlanterYesMe="No",PlanterYesMe="N",PlanterYesMe="me")),"not THIS line⇨",IF(AND(K1108="images",AE1108="me"),"not THIS line⇨",IF(H1108="credit","",IF(G1108=0,"",IF(AE1108="me","",IF(OR(PlanterYesMe="No",PlanterYesMe="N",PlanterYesMe="me"),"",IF(AE1108="free","warranty",IF(OR(PlanterYesMe="yes",PlanterYesMe="y"),"Edison install:","to install:"))))))))))</f>
        <v/>
      </c>
      <c r="AC1108" s="712" t="str">
        <f>IF(AE1108="T2G","no charge",IF(AND(OR(PlanterYesMe="No",PlanterYesMe="N",PlanterYesMe="me"),H1108=""),"",IF(H1108="credit","NO install",IF(AND(K1108="",AE1108="me"),"EACH row",IF(AND(K1108="images",AE1108="me"),"EACH row",IF(D1108="","",IF(H1108="credit","",IF(AE1108="free","re-planting",IF(AE1108="me","   not ELP, by",IF(AND(OR(PlanterYesMe="Yes",PlanterYesMe="Y"),G1108&gt;0),(VLOOKUP(A1108,'Discount Lookup'!J:K,2)*G1108*(1-PlanterDiscount)*(1+PlanterDifficultyPercentage)),IF(AE1108="ELP",(VLOOKUP(A1108,'Discount Lookup'!J:K,2)*G1108*(1-PlanterDiscount)*(1+PlanterDifficultyPercentage)),IF(AE1108="free","re-planting",IF(G1108=0,"",IF(PlanterYesMe="",IF(AE1108="me","   not ELP, by",IF(AE1108="",IF(G1108&gt;0,(VLOOKUP(A1108,'Discount Lookup'!J:K,2)*G1108*(1-PlanterDiscount)*(1+PlanterDifficultyPercentage)),""),"")),"   not ELP, by"))))))))))))))</f>
        <v/>
      </c>
      <c r="AD1108" s="712"/>
      <c r="AE1108" s="513" t="str">
        <f t="shared" ref="AE1108:AE1171" si="822">IF(H1108="credit","",IF(G1108=0,"",IF(OR(PlanterYesMe="No",PlanterYesMe="N",PlanterYesMe="me"),"me",IF(H1108="warranty","free",IF(OR(PlanterYesMe="yes",PlanterYesMe="y"),"ELP","")))))</f>
        <v/>
      </c>
      <c r="AF1108" s="713" t="str">
        <f t="shared" ref="AF1108:AF1171" si="823">IF(OR(PlanterYesMe="No",PlanterYesMe="N",PlanterYesMe="me"),"",IF(H1108="credit","",IF(G1108&gt;0,(CONCATENATE((G1108)," quantity, ",(A1108)," ",B1108)),"")))</f>
        <v/>
      </c>
      <c r="AG1108" s="713"/>
      <c r="AH1108" s="713"/>
      <c r="AI1108" s="112">
        <f>IF(H1108="credit",0,IF(AE1108="free",0,IF(AE1108="me",0,IF(G1108&gt;0,(VLOOKUP(A1108,'Discount Lookup'!J:K,2)*G1108),0))))</f>
        <v>0</v>
      </c>
      <c r="AJ1108" s="107" t="str">
        <f t="shared" ref="AJ1108:AJ1171" ca="1" si="824">IF(AND(ISREF(H1108),H1108="credit"),"",IF(AND(AND(OFFSET(G1108,0,0)=0,OFFSET(G1108,1,0)&gt;0,ISNUMBER(OFFSET(AC1108,1,0)),OFFSET(AC1108,1,0)&gt;0),OR(PlanterYesMe="yes",PlanterYesMe="y")),"T2G+ELP=",IF(AND(OFFSET(G1108,0,0)=0,OFFSET(G1108,1,0)&gt;0,ISNUMBER(OFFSET(AC1108,1,0)),OFFSET(AC1108,1,0)&gt;0),"if T2G+ELP=",IF(AND(OFFSET(G1108,0,0)=0,OFFSET(G1108,1,0)&gt;0),"T2G Subtotal",IF(H1108="credit","",IF(G1108=0,"",IF(AE1108="free",(K1108*(1-T2GDiscount)),IF(OR(PlanterYesMe="No",PlanterYesMe="N",PlanterYesMe="me"),(K1108*(1-T2GDiscount)),IF(OR(AE1108="me",AE1108="T2G"),(K1108*(1-T2GDiscount)),(K1108*(1-T2GDiscount))+AC1108)))))))))</f>
        <v/>
      </c>
      <c r="AK1108" s="714" t="str">
        <f t="shared" ref="AK1108:AK1171" si="825">IF(H1108="credit","",IF(G1108=0,"",IF(OR(AE1108="me",AE1108="T2G"),"  delivery-only",IF(OR(PlanterYesMe="No",PlanterYesMe="N",PlanterYesMe="me"),"  delivery-only",CONCATENATE(" $",ROUND(AJ1108/G1108,2)," each")))))</f>
        <v/>
      </c>
      <c r="AL1108" s="714"/>
      <c r="AM1108" s="114" t="str">
        <f t="shared" ref="AM1108:AM1171" si="826">IF(H1108="credit","",IF(AE1108="free","      ~ discounts included, no tax or planting fee applies ~",IF(G1108=0,"",IF(OR(PlanterYesMe="No",PlanterYesMe="N",PlanterYesMe="me"),CONCATENATE(" $",ROUND(AJ1108/G1108,2)," per plant, with tax &amp; discount"),IF(OR(AE1108="me",AE1108="T2G"),CONCATENATE(" $",ROUND(AJ1108/G1108,2)," per plant, with tax &amp; discount"),CONCATENATE("= $",ROUND((K1108*(1-T2GDiscount))/G1108,2)," per plant + $",AC1108/G1108,(" per planting      ~ includes tax &amp; discounts ~")))))))</f>
        <v/>
      </c>
      <c r="AN1108" s="115"/>
      <c r="AO1108" s="116"/>
      <c r="AP1108" s="116"/>
      <c r="AQ1108" s="116"/>
      <c r="AR1108" s="116"/>
      <c r="AS1108" s="116"/>
      <c r="AT1108" s="116"/>
      <c r="AU1108" s="116"/>
      <c r="AV1108" s="78"/>
      <c r="AW1108" s="102"/>
      <c r="AX1108" s="78"/>
      <c r="AY1108" s="78"/>
      <c r="AZ1108" s="78"/>
      <c r="BA1108" s="78"/>
      <c r="BB1108" s="78"/>
      <c r="BC1108" s="78"/>
      <c r="BD1108" s="78"/>
      <c r="BE1108" s="465"/>
      <c r="BF1108" s="165" t="str">
        <f t="shared" ref="BF1108:BF1171" si="827">"https://www.google.com/search?tbm=isch&amp;q=" &amp; _xlfn.ENCODEURL($A1108 &amp; " " &amp; $D1108)</f>
        <v>https://www.google.com/search?tbm=isch&amp;q=Golden%20Fernspray%20has%20arching%20sprays%20that%20mimic%20fern%20fronds%2C%20glowing%20Gold%20in%20sun%2C%20deepening%20to%20copper%20in%20winter%20</v>
      </c>
      <c r="BG1108" s="165" t="str">
        <f t="shared" ref="BG1108:BG1171" si="828">IF(ISTEXT(A1108),LEFT(A1108,1),BG1107)</f>
        <v>G</v>
      </c>
      <c r="BH1108" s="65"/>
      <c r="BI1108" s="65"/>
      <c r="BJ1108" s="65"/>
      <c r="BK1108" s="65"/>
      <c r="BL1108" s="99"/>
      <c r="BM1108" s="99"/>
      <c r="BN1108" s="99"/>
    </row>
    <row r="1109" spans="1:66" s="51" customFormat="1" ht="18" x14ac:dyDescent="0.25">
      <c r="A1109" s="507" t="s">
        <v>2132</v>
      </c>
      <c r="B1109" s="470"/>
      <c r="C1109" s="706"/>
      <c r="D1109" s="471" t="s">
        <v>2133</v>
      </c>
      <c r="E1109" s="472"/>
      <c r="F1109" s="472"/>
      <c r="G1109" s="472"/>
      <c r="H1109" s="622" t="s">
        <v>1471</v>
      </c>
      <c r="I1109" s="473" t="s">
        <v>431</v>
      </c>
      <c r="J1109" s="472"/>
      <c r="K1109" s="472"/>
      <c r="L1109" s="561"/>
      <c r="M1109" s="698" t="s">
        <v>5246</v>
      </c>
      <c r="N1109" s="692" t="str">
        <f>IF(AND(ISTEXT($A1109), ISERROR($A1109+0)), HYPERLINK($BF1109, "Images"), "")</f>
        <v>Images</v>
      </c>
      <c r="O1109" s="694" t="s">
        <v>5247</v>
      </c>
      <c r="P1109" s="475"/>
      <c r="Q1109" s="476"/>
      <c r="R1109" s="476"/>
      <c r="S1109" s="477"/>
      <c r="T1109" s="102">
        <f t="shared" si="816"/>
        <v>0</v>
      </c>
      <c r="U1109" s="78" t="str">
        <f>IF(NOT(ISNUMBER(G1109)), "", VLOOKUP(A1109,'Discount Lookup'!D:E,2,FALSE)*G1109)</f>
        <v/>
      </c>
      <c r="V1109" s="78" t="str">
        <f>IF(NOT(ISNUMBER(G1109)), "", VLOOKUP(A1109,'Discount Lookup'!G:H,2,FALSE)*G1109)</f>
        <v/>
      </c>
      <c r="W1109" s="102">
        <f t="shared" si="817"/>
        <v>0</v>
      </c>
      <c r="X1109" s="102" t="str">
        <f t="shared" si="818"/>
        <v>Dark Green foliage</v>
      </c>
      <c r="Y1109" s="120" t="b">
        <f t="shared" si="819"/>
        <v>0</v>
      </c>
      <c r="Z1109" s="117">
        <f t="shared" si="820"/>
        <v>0</v>
      </c>
      <c r="AA1109" s="118"/>
      <c r="AB1109" s="118" t="str">
        <f t="shared" si="821"/>
        <v/>
      </c>
      <c r="AC1109" s="712" t="str">
        <f>IF(AE1109="T2G","no charge",IF(AND(OR(PlanterYesMe="No",PlanterYesMe="N",PlanterYesMe="me"),H1109=""),"",IF(H1109="credit","NO install",IF(AND(K1109="",AE1109="me"),"EACH row",IF(AND(K1109="images",AE1109="me"),"EACH row",IF(D1109="","",IF(H1109="credit","",IF(AE1109="free","re-planting",IF(AE1109="me","   not ELP, by",IF(AND(OR(PlanterYesMe="Yes",PlanterYesMe="Y"),G1109&gt;0),(VLOOKUP(A1109,'Discount Lookup'!J:K,2)*G1109*(1-PlanterDiscount)*(1+PlanterDifficultyPercentage)),IF(AE1109="ELP",(VLOOKUP(A1109,'Discount Lookup'!J:K,2)*G1109*(1-PlanterDiscount)*(1+PlanterDifficultyPercentage)),IF(AE1109="free","re-planting",IF(G1109=0,"",IF(PlanterYesMe="",IF(AE1109="me","   not ELP, by",IF(AE1109="",IF(G1109&gt;0,(VLOOKUP(A1109,'Discount Lookup'!J:K,2)*G1109*(1-PlanterDiscount)*(1+PlanterDifficultyPercentage)),""),"")),"   not ELP, by"))))))))))))))</f>
        <v/>
      </c>
      <c r="AD1109" s="712"/>
      <c r="AE1109" s="513" t="str">
        <f t="shared" si="822"/>
        <v/>
      </c>
      <c r="AF1109" s="713" t="str">
        <f t="shared" si="823"/>
        <v/>
      </c>
      <c r="AG1109" s="713"/>
      <c r="AH1109" s="713"/>
      <c r="AI1109" s="112">
        <f>IF(H1109="credit",0,IF(AE1109="free",0,IF(AE1109="me",0,IF(G1109&gt;0,(VLOOKUP(A1109,'Discount Lookup'!J:K,2)*G1109),0))))</f>
        <v>0</v>
      </c>
      <c r="AJ1109" s="107" t="str">
        <f t="shared" ca="1" si="824"/>
        <v/>
      </c>
      <c r="AK1109" s="714" t="str">
        <f t="shared" si="825"/>
        <v/>
      </c>
      <c r="AL1109" s="714"/>
      <c r="AM1109" s="114" t="str">
        <f t="shared" si="826"/>
        <v/>
      </c>
      <c r="AN1109" s="115"/>
      <c r="AO1109" s="116"/>
      <c r="AP1109" s="116"/>
      <c r="AQ1109" s="116"/>
      <c r="AR1109" s="116"/>
      <c r="AS1109" s="116"/>
      <c r="AT1109" s="116"/>
      <c r="AU1109" s="116"/>
      <c r="AV1109" s="78"/>
      <c r="AW1109" s="102"/>
      <c r="AX1109" s="78"/>
      <c r="AY1109" s="78"/>
      <c r="AZ1109" s="78"/>
      <c r="BA1109" s="78"/>
      <c r="BB1109" s="78"/>
      <c r="BC1109" s="78"/>
      <c r="BD1109" s="78"/>
      <c r="BE1109" s="465"/>
      <c r="BF1109" s="165" t="str">
        <f t="shared" si="827"/>
        <v>https://www.google.com/search?tbm=isch&amp;q=Chamaecyparis%20obtusa%20%27Filicoides%27%20Fernspray%20Cypress</v>
      </c>
      <c r="BG1109" s="165" t="str">
        <f t="shared" si="828"/>
        <v>C</v>
      </c>
      <c r="BH1109" s="65"/>
      <c r="BI1109" s="65"/>
      <c r="BJ1109" s="65"/>
      <c r="BK1109" s="65"/>
      <c r="BL1109" s="99"/>
      <c r="BM1109" s="99"/>
      <c r="BN1109" s="99"/>
    </row>
    <row r="1110" spans="1:66" s="51" customFormat="1" ht="15.75" x14ac:dyDescent="0.25">
      <c r="A1110" s="478">
        <v>7</v>
      </c>
      <c r="B1110" s="479" t="s">
        <v>291</v>
      </c>
      <c r="C1110" s="480" t="s">
        <v>2134</v>
      </c>
      <c r="D1110" s="481" t="s">
        <v>299</v>
      </c>
      <c r="E1110" s="482">
        <v>95.95</v>
      </c>
      <c r="F1110" s="483" t="s">
        <v>292</v>
      </c>
      <c r="G1110" s="484">
        <v>0</v>
      </c>
      <c r="H1110" s="688" t="str">
        <f>IF(G1110=0,"",IF(F1110="Buy",IF(G1110=1,"plant","plants"),IF(F1110&gt;0.01,"warranty","Error")))</f>
        <v/>
      </c>
      <c r="I1110" s="485">
        <f>IF(H1110="free",0,IF(H1110="credit",((E1110*(F1110))*G1110*-1),IF(F1110="Buy",(E1110*G1110),((E1110*(1-F1110))*G1110))))</f>
        <v>0</v>
      </c>
      <c r="J1110" s="485">
        <f>IF(H1110="warranty",0,(I1110*(_xlfn.SINGLE(SalesTaxPercentage))))</f>
        <v>0</v>
      </c>
      <c r="K1110" s="715">
        <f t="shared" ref="K1110" si="829">I1110+J1110</f>
        <v>0</v>
      </c>
      <c r="L1110" s="715"/>
      <c r="M1110" s="689" t="str">
        <f ca="1">IF(AND(G1110&gt;0,E1110=0),"WARNING - no PRICE inserted",IF(H1110="free","FREE ~ no charge this plant",IF(H1110="credit",CONCATENATE("-$",ROUND(K1110*(1-_xlfn.SINGLE(T2GDiscount))*-1,2)," CREDIT after discount"),IF(_xlfn.SINGLE(T2GDiscount)=0,"",IF(G1110=0,"",IF(F1110="Buy",CONCATENATE("$",ROUND(K1110*(1-_xlfn.SINGLE(T2GDiscount)),2)," with ",(_xlfn.SINGLE(T2GDiscount)*100),"% discount"),CONCATENATE("$",ROUND(K1110*(1-_xlfn.SINGLE(T2GDiscount)),2)," with ",((_xlfn.SINGLE(T2GDiscount)*100+F1110*100)-(_xlfn.SINGLE(T2GDiscount)*100*F1110)),IF(F1110&gt;0,"% discounts",IF(_xlfn.SINGLE(NoWarrantyDiscount)&gt;0,"% discounts","% discount")))))))))</f>
        <v/>
      </c>
      <c r="N1110" s="690"/>
      <c r="O1110" s="486"/>
      <c r="P1110" s="486"/>
      <c r="Q1110" s="486"/>
      <c r="R1110" s="486"/>
      <c r="S1110" s="486"/>
      <c r="T1110" s="102">
        <f t="shared" si="816"/>
        <v>0</v>
      </c>
      <c r="U1110" s="78">
        <f>IF(NOT(ISNUMBER(G1110)), "", VLOOKUP(A1110,'Discount Lookup'!D:E,2,FALSE)*G1110)</f>
        <v>0</v>
      </c>
      <c r="V1110" s="78">
        <f>IF(NOT(ISNUMBER(G1110)), "", VLOOKUP(A1110,'Discount Lookup'!G:H,2,FALSE)*G1110)</f>
        <v>0</v>
      </c>
      <c r="W1110" s="102">
        <f t="shared" si="817"/>
        <v>0</v>
      </c>
      <c r="X1110" s="102">
        <f t="shared" si="818"/>
        <v>0</v>
      </c>
      <c r="Y1110" s="120" t="b">
        <f t="shared" si="819"/>
        <v>0</v>
      </c>
      <c r="Z1110" s="117">
        <f t="shared" si="820"/>
        <v>0</v>
      </c>
      <c r="AA1110" s="118"/>
      <c r="AB1110" s="118" t="str">
        <f t="shared" si="821"/>
        <v/>
      </c>
      <c r="AC1110" s="712" t="str">
        <f>IF(AE1110="T2G","no charge",IF(AND(OR(PlanterYesMe="No",PlanterYesMe="N",PlanterYesMe="me"),H1110=""),"",IF(H1110="credit","NO install",IF(AND(K1110="",AE1110="me"),"EACH row",IF(AND(K1110="images",AE1110="me"),"EACH row",IF(D1110="","",IF(H1110="credit","",IF(AE1110="free","re-planting",IF(AE1110="me","   not ELP, by",IF(AND(OR(PlanterYesMe="Yes",PlanterYesMe="Y"),G1110&gt;0),(VLOOKUP(A1110,'Discount Lookup'!J:K,2)*G1110*(1-PlanterDiscount)*(1+PlanterDifficultyPercentage)),IF(AE1110="ELP",(VLOOKUP(A1110,'Discount Lookup'!J:K,2)*G1110*(1-PlanterDiscount)*(1+PlanterDifficultyPercentage)),IF(AE1110="free","re-planting",IF(G1110=0,"",IF(PlanterYesMe="",IF(AE1110="me","   not ELP, by",IF(AE1110="",IF(G1110&gt;0,(VLOOKUP(A1110,'Discount Lookup'!J:K,2)*G1110*(1-PlanterDiscount)*(1+PlanterDifficultyPercentage)),""),"")),"   not ELP, by"))))))))))))))</f>
        <v/>
      </c>
      <c r="AD1110" s="712"/>
      <c r="AE1110" s="513" t="str">
        <f t="shared" si="822"/>
        <v/>
      </c>
      <c r="AF1110" s="713" t="str">
        <f t="shared" si="823"/>
        <v/>
      </c>
      <c r="AG1110" s="713"/>
      <c r="AH1110" s="713"/>
      <c r="AI1110" s="112">
        <f>IF(H1110="credit",0,IF(AE1110="free",0,IF(AE1110="me",0,IF(G1110&gt;0,(VLOOKUP(A1110,'Discount Lookup'!J:K,2)*G1110),0))))</f>
        <v>0</v>
      </c>
      <c r="AJ1110" s="107" t="str">
        <f t="shared" ca="1" si="824"/>
        <v/>
      </c>
      <c r="AK1110" s="714" t="str">
        <f t="shared" si="825"/>
        <v/>
      </c>
      <c r="AL1110" s="714"/>
      <c r="AM1110" s="114" t="str">
        <f t="shared" si="826"/>
        <v/>
      </c>
      <c r="AN1110" s="115"/>
      <c r="AO1110" s="116"/>
      <c r="AP1110" s="116"/>
      <c r="AQ1110" s="116"/>
      <c r="AR1110" s="116"/>
      <c r="AS1110" s="116"/>
      <c r="AT1110" s="116"/>
      <c r="AU1110" s="116"/>
      <c r="AV1110" s="78"/>
      <c r="AW1110" s="102"/>
      <c r="AX1110" s="78"/>
      <c r="AY1110" s="78"/>
      <c r="AZ1110" s="78"/>
      <c r="BA1110" s="78"/>
      <c r="BB1110" s="78"/>
      <c r="BC1110" s="78"/>
      <c r="BD1110" s="78"/>
      <c r="BE1110" s="465"/>
      <c r="BF1110" s="165" t="str">
        <f t="shared" si="827"/>
        <v>https://www.google.com/search?tbm=isch&amp;q=7%20G4</v>
      </c>
      <c r="BG1110" s="165" t="str">
        <f t="shared" si="828"/>
        <v>C</v>
      </c>
      <c r="BH1110" s="65"/>
      <c r="BI1110" s="65"/>
      <c r="BJ1110" s="65"/>
      <c r="BK1110" s="65"/>
      <c r="BL1110" s="99"/>
      <c r="BM1110" s="99"/>
      <c r="BN1110" s="99"/>
    </row>
    <row r="1111" spans="1:66" s="51" customFormat="1" ht="15.75" x14ac:dyDescent="0.25">
      <c r="A1111" s="478">
        <v>15</v>
      </c>
      <c r="B1111" s="479" t="s">
        <v>291</v>
      </c>
      <c r="C1111" s="480" t="s">
        <v>935</v>
      </c>
      <c r="D1111" s="481" t="s">
        <v>299</v>
      </c>
      <c r="E1111" s="482">
        <v>206.95</v>
      </c>
      <c r="F1111" s="483" t="s">
        <v>292</v>
      </c>
      <c r="G1111" s="484">
        <v>0</v>
      </c>
      <c r="H1111" s="688" t="str">
        <f>IF(G1111=0,"",IF(F1111="Buy",IF(G1111=1,"plant","plants"),IF(F1111&gt;0.01,"warranty","Error")))</f>
        <v/>
      </c>
      <c r="I1111" s="485">
        <f>IF(H1111="free",0,IF(H1111="credit",((E1111*(F1111))*G1111*-1),IF(F1111="Buy",(E1111*G1111),((E1111*(1-F1111))*G1111))))</f>
        <v>0</v>
      </c>
      <c r="J1111" s="485">
        <f>IF(H1111="warranty",0,(I1111*(_xlfn.SINGLE(SalesTaxPercentage))))</f>
        <v>0</v>
      </c>
      <c r="K1111" s="715">
        <f t="shared" ref="K1111" si="830">I1111+J1111</f>
        <v>0</v>
      </c>
      <c r="L1111" s="715"/>
      <c r="M1111" s="689" t="str">
        <f ca="1">IF(AND(G1111&gt;0,E1111=0),"WARNING - no PRICE inserted",IF(H1111="free","FREE ~ no charge this plant",IF(H1111="credit",CONCATENATE("-$",ROUND(K1111*(1-_xlfn.SINGLE(T2GDiscount))*-1,2)," CREDIT after discount"),IF(_xlfn.SINGLE(T2GDiscount)=0,"",IF(G1111=0,"",IF(F1111="Buy",CONCATENATE("$",ROUND(K1111*(1-_xlfn.SINGLE(T2GDiscount)),2)," with ",(_xlfn.SINGLE(T2GDiscount)*100),"% discount"),CONCATENATE("$",ROUND(K1111*(1-_xlfn.SINGLE(T2GDiscount)),2)," with ",((_xlfn.SINGLE(T2GDiscount)*100+F1111*100)-(_xlfn.SINGLE(T2GDiscount)*100*F1111)),IF(F1111&gt;0,"% discounts",IF(_xlfn.SINGLE(NoWarrantyDiscount)&gt;0,"% discounts","% discount")))))))))</f>
        <v/>
      </c>
      <c r="N1111" s="690"/>
      <c r="O1111" s="486"/>
      <c r="P1111" s="486"/>
      <c r="Q1111" s="486"/>
      <c r="R1111" s="486"/>
      <c r="S1111" s="486"/>
      <c r="T1111" s="102">
        <f t="shared" si="816"/>
        <v>0</v>
      </c>
      <c r="U1111" s="78">
        <f>IF(NOT(ISNUMBER(G1111)), "", VLOOKUP(A1111,'Discount Lookup'!D:E,2,FALSE)*G1111)</f>
        <v>0</v>
      </c>
      <c r="V1111" s="78">
        <f>IF(NOT(ISNUMBER(G1111)), "", VLOOKUP(A1111,'Discount Lookup'!G:H,2,FALSE)*G1111)</f>
        <v>0</v>
      </c>
      <c r="W1111" s="102">
        <f t="shared" si="817"/>
        <v>0</v>
      </c>
      <c r="X1111" s="102">
        <f t="shared" si="818"/>
        <v>0</v>
      </c>
      <c r="Y1111" s="120" t="b">
        <f t="shared" si="819"/>
        <v>0</v>
      </c>
      <c r="Z1111" s="117">
        <f t="shared" si="820"/>
        <v>0</v>
      </c>
      <c r="AA1111" s="118"/>
      <c r="AB1111" s="118" t="str">
        <f t="shared" si="821"/>
        <v/>
      </c>
      <c r="AC1111" s="712" t="str">
        <f>IF(AE1111="T2G","no charge",IF(AND(OR(PlanterYesMe="No",PlanterYesMe="N",PlanterYesMe="me"),H1111=""),"",IF(H1111="credit","NO install",IF(AND(K1111="",AE1111="me"),"EACH row",IF(AND(K1111="images",AE1111="me"),"EACH row",IF(D1111="","",IF(H1111="credit","",IF(AE1111="free","re-planting",IF(AE1111="me","   not ELP, by",IF(AND(OR(PlanterYesMe="Yes",PlanterYesMe="Y"),G1111&gt;0),(VLOOKUP(A1111,'Discount Lookup'!J:K,2)*G1111*(1-PlanterDiscount)*(1+PlanterDifficultyPercentage)),IF(AE1111="ELP",(VLOOKUP(A1111,'Discount Lookup'!J:K,2)*G1111*(1-PlanterDiscount)*(1+PlanterDifficultyPercentage)),IF(AE1111="free","re-planting",IF(G1111=0,"",IF(PlanterYesMe="",IF(AE1111="me","   not ELP, by",IF(AE1111="",IF(G1111&gt;0,(VLOOKUP(A1111,'Discount Lookup'!J:K,2)*G1111*(1-PlanterDiscount)*(1+PlanterDifficultyPercentage)),""),"")),"   not ELP, by"))))))))))))))</f>
        <v/>
      </c>
      <c r="AD1111" s="712"/>
      <c r="AE1111" s="513" t="str">
        <f t="shared" si="822"/>
        <v/>
      </c>
      <c r="AF1111" s="713" t="str">
        <f t="shared" si="823"/>
        <v/>
      </c>
      <c r="AG1111" s="713"/>
      <c r="AH1111" s="713"/>
      <c r="AI1111" s="112">
        <f>IF(H1111="credit",0,IF(AE1111="free",0,IF(AE1111="me",0,IF(G1111&gt;0,(VLOOKUP(A1111,'Discount Lookup'!J:K,2)*G1111),0))))</f>
        <v>0</v>
      </c>
      <c r="AJ1111" s="107" t="str">
        <f t="shared" ca="1" si="824"/>
        <v/>
      </c>
      <c r="AK1111" s="714" t="str">
        <f t="shared" si="825"/>
        <v/>
      </c>
      <c r="AL1111" s="714"/>
      <c r="AM1111" s="114" t="str">
        <f t="shared" si="826"/>
        <v/>
      </c>
      <c r="AN1111" s="115"/>
      <c r="AO1111" s="116"/>
      <c r="AP1111" s="116"/>
      <c r="AQ1111" s="116"/>
      <c r="AR1111" s="116"/>
      <c r="AS1111" s="116"/>
      <c r="AT1111" s="116"/>
      <c r="AU1111" s="116"/>
      <c r="AV1111" s="78"/>
      <c r="AW1111" s="102"/>
      <c r="AX1111" s="78"/>
      <c r="AY1111" s="78"/>
      <c r="AZ1111" s="78"/>
      <c r="BA1111" s="78"/>
      <c r="BB1111" s="78"/>
      <c r="BC1111" s="78"/>
      <c r="BD1111" s="78"/>
      <c r="BE1111" s="465"/>
      <c r="BF1111" s="165" t="str">
        <f t="shared" si="827"/>
        <v>https://www.google.com/search?tbm=isch&amp;q=15%20G4</v>
      </c>
      <c r="BG1111" s="165" t="str">
        <f t="shared" si="828"/>
        <v>C</v>
      </c>
      <c r="BH1111" s="65"/>
      <c r="BI1111" s="65"/>
      <c r="BJ1111" s="65"/>
      <c r="BK1111" s="65"/>
      <c r="BL1111" s="99"/>
      <c r="BM1111" s="99"/>
      <c r="BN1111" s="99"/>
    </row>
    <row r="1112" spans="1:66" s="51" customFormat="1" ht="17.25" thickBot="1" x14ac:dyDescent="0.3">
      <c r="A1112" s="508" t="s">
        <v>2135</v>
      </c>
      <c r="B1112" s="487"/>
      <c r="C1112" s="707"/>
      <c r="D1112" s="487"/>
      <c r="E1112" s="487"/>
      <c r="F1112" s="488"/>
      <c r="G1112" s="489"/>
      <c r="H1112" s="487"/>
      <c r="I1112" s="490"/>
      <c r="J1112" s="490"/>
      <c r="K1112" s="491"/>
      <c r="L1112" s="547"/>
      <c r="M1112" s="528"/>
      <c r="N1112" s="492"/>
      <c r="O1112" s="493"/>
      <c r="P1112" s="494"/>
      <c r="Q1112" s="492"/>
      <c r="R1112" s="492"/>
      <c r="S1112" s="699" t="s">
        <v>5268</v>
      </c>
      <c r="T1112" s="102">
        <f t="shared" si="816"/>
        <v>0</v>
      </c>
      <c r="U1112" s="78" t="str">
        <f>IF(NOT(ISNUMBER(G1112)), "", VLOOKUP(A1112,'Discount Lookup'!D:E,2,FALSE)*G1112)</f>
        <v/>
      </c>
      <c r="V1112" s="78" t="str">
        <f>IF(NOT(ISNUMBER(G1112)), "", VLOOKUP(A1112,'Discount Lookup'!G:H,2,FALSE)*G1112)</f>
        <v/>
      </c>
      <c r="W1112" s="102">
        <f t="shared" si="817"/>
        <v>0</v>
      </c>
      <c r="X1112" s="102">
        <f t="shared" si="818"/>
        <v>0</v>
      </c>
      <c r="Y1112" s="120" t="b">
        <f t="shared" si="819"/>
        <v>0</v>
      </c>
      <c r="Z1112" s="117">
        <f t="shared" si="820"/>
        <v>0</v>
      </c>
      <c r="AA1112" s="118"/>
      <c r="AB1112" s="118" t="str">
        <f t="shared" si="821"/>
        <v/>
      </c>
      <c r="AC1112" s="712" t="str">
        <f>IF(AE1112="T2G","no charge",IF(AND(OR(PlanterYesMe="No",PlanterYesMe="N",PlanterYesMe="me"),H1112=""),"",IF(H1112="credit","NO install",IF(AND(K1112="",AE1112="me"),"EACH row",IF(AND(K1112="images",AE1112="me"),"EACH row",IF(D1112="","",IF(H1112="credit","",IF(AE1112="free","re-planting",IF(AE1112="me","   not ELP, by",IF(AND(OR(PlanterYesMe="Yes",PlanterYesMe="Y"),G1112&gt;0),(VLOOKUP(A1112,'Discount Lookup'!J:K,2)*G1112*(1-PlanterDiscount)*(1+PlanterDifficultyPercentage)),IF(AE1112="ELP",(VLOOKUP(A1112,'Discount Lookup'!J:K,2)*G1112*(1-PlanterDiscount)*(1+PlanterDifficultyPercentage)),IF(AE1112="free","re-planting",IF(G1112=0,"",IF(PlanterYesMe="",IF(AE1112="me","   not ELP, by",IF(AE1112="",IF(G1112&gt;0,(VLOOKUP(A1112,'Discount Lookup'!J:K,2)*G1112*(1-PlanterDiscount)*(1+PlanterDifficultyPercentage)),""),"")),"   not ELP, by"))))))))))))))</f>
        <v/>
      </c>
      <c r="AD1112" s="712"/>
      <c r="AE1112" s="513" t="str">
        <f t="shared" si="822"/>
        <v/>
      </c>
      <c r="AF1112" s="713" t="str">
        <f t="shared" si="823"/>
        <v/>
      </c>
      <c r="AG1112" s="713"/>
      <c r="AH1112" s="713"/>
      <c r="AI1112" s="112">
        <f>IF(H1112="credit",0,IF(AE1112="free",0,IF(AE1112="me",0,IF(G1112&gt;0,(VLOOKUP(A1112,'Discount Lookup'!J:K,2)*G1112),0))))</f>
        <v>0</v>
      </c>
      <c r="AJ1112" s="107" t="str">
        <f t="shared" ca="1" si="824"/>
        <v/>
      </c>
      <c r="AK1112" s="714" t="str">
        <f t="shared" si="825"/>
        <v/>
      </c>
      <c r="AL1112" s="714"/>
      <c r="AM1112" s="114" t="str">
        <f t="shared" si="826"/>
        <v/>
      </c>
      <c r="AN1112" s="115"/>
      <c r="AO1112" s="116"/>
      <c r="AP1112" s="116"/>
      <c r="AQ1112" s="116"/>
      <c r="AR1112" s="116"/>
      <c r="AS1112" s="116"/>
      <c r="AT1112" s="116"/>
      <c r="AU1112" s="116"/>
      <c r="AV1112" s="78"/>
      <c r="AW1112" s="102"/>
      <c r="AX1112" s="78"/>
      <c r="AY1112" s="78"/>
      <c r="AZ1112" s="78"/>
      <c r="BA1112" s="78"/>
      <c r="BB1112" s="78"/>
      <c r="BC1112" s="78"/>
      <c r="BD1112" s="78"/>
      <c r="BE1112" s="465"/>
      <c r="BF1112" s="165" t="str">
        <f t="shared" si="827"/>
        <v>https://www.google.com/search?tbm=isch&amp;q=Fernspray%20has%20arching%20branches%20with%20lush%2C%20fern-like%20texture%2C%20and%20rich%20color%20that%20endures%20through%20winter%20with%20minimal%20bronzing%20</v>
      </c>
      <c r="BG1112" s="165" t="str">
        <f t="shared" si="828"/>
        <v>F</v>
      </c>
      <c r="BH1112" s="65"/>
      <c r="BI1112" s="65"/>
      <c r="BJ1112" s="65"/>
      <c r="BK1112" s="65"/>
      <c r="BL1112" s="99"/>
      <c r="BM1112" s="99"/>
      <c r="BN1112" s="99"/>
    </row>
    <row r="1113" spans="1:66" s="51" customFormat="1" ht="18" x14ac:dyDescent="0.25">
      <c r="A1113" s="507" t="s">
        <v>312</v>
      </c>
      <c r="B1113" s="470"/>
      <c r="C1113" s="706"/>
      <c r="D1113" s="471" t="s">
        <v>313</v>
      </c>
      <c r="E1113" s="472"/>
      <c r="F1113" s="472"/>
      <c r="G1113" s="472"/>
      <c r="H1113" s="622" t="s">
        <v>339</v>
      </c>
      <c r="I1113" s="473" t="s">
        <v>430</v>
      </c>
      <c r="J1113" s="472"/>
      <c r="K1113" s="472"/>
      <c r="L1113" s="561"/>
      <c r="M1113" s="698" t="s">
        <v>5246</v>
      </c>
      <c r="N1113" s="692" t="str">
        <f>IF(AND(ISTEXT($A1113), ISERROR($A1113+0)), HYPERLINK($BF1113, "Images"), "")</f>
        <v>Images</v>
      </c>
      <c r="O1113" s="694" t="s">
        <v>5247</v>
      </c>
      <c r="P1113" s="475"/>
      <c r="Q1113" s="476"/>
      <c r="R1113" s="476"/>
      <c r="S1113" s="477"/>
      <c r="T1113" s="102">
        <f t="shared" si="816"/>
        <v>0</v>
      </c>
      <c r="U1113" s="78" t="str">
        <f>IF(NOT(ISNUMBER(G1113)), "", VLOOKUP(A1113,'Discount Lookup'!D:E,2,FALSE)*G1113)</f>
        <v/>
      </c>
      <c r="V1113" s="78" t="str">
        <f>IF(NOT(ISNUMBER(G1113)), "", VLOOKUP(A1113,'Discount Lookup'!G:H,2,FALSE)*G1113)</f>
        <v/>
      </c>
      <c r="W1113" s="102">
        <f t="shared" si="817"/>
        <v>0</v>
      </c>
      <c r="X1113" s="102" t="str">
        <f t="shared" si="818"/>
        <v>Deep Green foliage</v>
      </c>
      <c r="Y1113" s="120" t="b">
        <f t="shared" si="819"/>
        <v>0</v>
      </c>
      <c r="Z1113" s="117">
        <f t="shared" si="820"/>
        <v>0</v>
      </c>
      <c r="AA1113" s="118"/>
      <c r="AB1113" s="118" t="str">
        <f t="shared" si="821"/>
        <v/>
      </c>
      <c r="AC1113" s="712" t="str">
        <f>IF(AE1113="T2G","no charge",IF(AND(OR(PlanterYesMe="No",PlanterYesMe="N",PlanterYesMe="me"),H1113=""),"",IF(H1113="credit","NO install",IF(AND(K1113="",AE1113="me"),"EACH row",IF(AND(K1113="images",AE1113="me"),"EACH row",IF(D1113="","",IF(H1113="credit","",IF(AE1113="free","re-planting",IF(AE1113="me","   not ELP, by",IF(AND(OR(PlanterYesMe="Yes",PlanterYesMe="Y"),G1113&gt;0),(VLOOKUP(A1113,'Discount Lookup'!J:K,2)*G1113*(1-PlanterDiscount)*(1+PlanterDifficultyPercentage)),IF(AE1113="ELP",(VLOOKUP(A1113,'Discount Lookup'!J:K,2)*G1113*(1-PlanterDiscount)*(1+PlanterDifficultyPercentage)),IF(AE1113="free","re-planting",IF(G1113=0,"",IF(PlanterYesMe="",IF(AE1113="me","   not ELP, by",IF(AE1113="",IF(G1113&gt;0,(VLOOKUP(A1113,'Discount Lookup'!J:K,2)*G1113*(1-PlanterDiscount)*(1+PlanterDifficultyPercentage)),""),"")),"   not ELP, by"))))))))))))))</f>
        <v/>
      </c>
      <c r="AD1113" s="712"/>
      <c r="AE1113" s="513" t="str">
        <f t="shared" si="822"/>
        <v/>
      </c>
      <c r="AF1113" s="713" t="str">
        <f t="shared" si="823"/>
        <v/>
      </c>
      <c r="AG1113" s="713"/>
      <c r="AH1113" s="713"/>
      <c r="AI1113" s="112">
        <f>IF(H1113="credit",0,IF(AE1113="free",0,IF(AE1113="me",0,IF(G1113&gt;0,(VLOOKUP(A1113,'Discount Lookup'!J:K,2)*G1113),0))))</f>
        <v>0</v>
      </c>
      <c r="AJ1113" s="107" t="str">
        <f t="shared" ca="1" si="824"/>
        <v/>
      </c>
      <c r="AK1113" s="714" t="str">
        <f t="shared" si="825"/>
        <v/>
      </c>
      <c r="AL1113" s="714"/>
      <c r="AM1113" s="114" t="str">
        <f t="shared" si="826"/>
        <v/>
      </c>
      <c r="AN1113" s="115"/>
      <c r="AO1113" s="116"/>
      <c r="AP1113" s="116"/>
      <c r="AQ1113" s="116"/>
      <c r="AR1113" s="116"/>
      <c r="AS1113" s="116"/>
      <c r="AT1113" s="116"/>
      <c r="AU1113" s="116"/>
      <c r="AV1113" s="78"/>
      <c r="AW1113" s="102"/>
      <c r="AX1113" s="78"/>
      <c r="AY1113" s="78"/>
      <c r="AZ1113" s="78"/>
      <c r="BA1113" s="78"/>
      <c r="BB1113" s="78"/>
      <c r="BC1113" s="78"/>
      <c r="BD1113" s="78"/>
      <c r="BE1113" s="465"/>
      <c r="BF1113" s="165" t="str">
        <f t="shared" si="827"/>
        <v>https://www.google.com/search?tbm=isch&amp;q=Chamaecyparis%20obtusa%20%27Gracilis%27%20Slender%20Hinoki%20Cypress</v>
      </c>
      <c r="BG1113" s="165" t="str">
        <f t="shared" si="828"/>
        <v>C</v>
      </c>
      <c r="BH1113" s="65"/>
      <c r="BI1113" s="65"/>
      <c r="BJ1113" s="65"/>
      <c r="BK1113" s="65"/>
      <c r="BL1113" s="99"/>
      <c r="BM1113" s="99"/>
      <c r="BN1113" s="99"/>
    </row>
    <row r="1114" spans="1:66" s="51" customFormat="1" ht="15.75" x14ac:dyDescent="0.25">
      <c r="A1114" s="478">
        <v>7</v>
      </c>
      <c r="B1114" s="479" t="s">
        <v>291</v>
      </c>
      <c r="C1114" s="480" t="s">
        <v>936</v>
      </c>
      <c r="D1114" s="481" t="s">
        <v>299</v>
      </c>
      <c r="E1114" s="482">
        <v>104.95</v>
      </c>
      <c r="F1114" s="483" t="s">
        <v>292</v>
      </c>
      <c r="G1114" s="484">
        <v>0</v>
      </c>
      <c r="H1114" s="688" t="str">
        <f>IF(G1114=0,"",IF(F1114="Buy",IF(G1114=1,"plant","plants"),IF(F1114&gt;0.01,"warranty","Error")))</f>
        <v/>
      </c>
      <c r="I1114" s="485">
        <f>IF(H1114="free",0,IF(H1114="credit",((E1114*(F1114))*G1114*-1),IF(F1114="Buy",(E1114*G1114),((E1114*(1-F1114))*G1114))))</f>
        <v>0</v>
      </c>
      <c r="J1114" s="485">
        <f>IF(H1114="warranty",0,(I1114*(_xlfn.SINGLE(SalesTaxPercentage))))</f>
        <v>0</v>
      </c>
      <c r="K1114" s="715">
        <f t="shared" ref="K1114" si="831">I1114+J1114</f>
        <v>0</v>
      </c>
      <c r="L1114" s="715"/>
      <c r="M1114" s="689" t="str">
        <f ca="1">IF(AND(G1114&gt;0,E1114=0),"WARNING - no PRICE inserted",IF(H1114="free","FREE ~ no charge this plant",IF(H1114="credit",CONCATENATE("-$",ROUND(K1114*(1-_xlfn.SINGLE(T2GDiscount))*-1,2)," CREDIT after discount"),IF(_xlfn.SINGLE(T2GDiscount)=0,"",IF(G1114=0,"",IF(F1114="Buy",CONCATENATE("$",ROUND(K1114*(1-_xlfn.SINGLE(T2GDiscount)),2)," with ",(_xlfn.SINGLE(T2GDiscount)*100),"% discount"),CONCATENATE("$",ROUND(K1114*(1-_xlfn.SINGLE(T2GDiscount)),2)," with ",((_xlfn.SINGLE(T2GDiscount)*100+F1114*100)-(_xlfn.SINGLE(T2GDiscount)*100*F1114)),IF(F1114&gt;0,"% discounts",IF(_xlfn.SINGLE(NoWarrantyDiscount)&gt;0,"% discounts","% discount")))))))))</f>
        <v/>
      </c>
      <c r="N1114" s="690"/>
      <c r="O1114" s="486"/>
      <c r="P1114" s="486"/>
      <c r="Q1114" s="486"/>
      <c r="R1114" s="486"/>
      <c r="S1114" s="486"/>
      <c r="T1114" s="102">
        <f t="shared" si="816"/>
        <v>0</v>
      </c>
      <c r="U1114" s="78">
        <f>IF(NOT(ISNUMBER(G1114)), "", VLOOKUP(A1114,'Discount Lookup'!D:E,2,FALSE)*G1114)</f>
        <v>0</v>
      </c>
      <c r="V1114" s="78">
        <f>IF(NOT(ISNUMBER(G1114)), "", VLOOKUP(A1114,'Discount Lookup'!G:H,2,FALSE)*G1114)</f>
        <v>0</v>
      </c>
      <c r="W1114" s="102">
        <f t="shared" si="817"/>
        <v>0</v>
      </c>
      <c r="X1114" s="102">
        <f t="shared" si="818"/>
        <v>0</v>
      </c>
      <c r="Y1114" s="120" t="b">
        <f t="shared" si="819"/>
        <v>0</v>
      </c>
      <c r="Z1114" s="117">
        <f t="shared" si="820"/>
        <v>0</v>
      </c>
      <c r="AA1114" s="118"/>
      <c r="AB1114" s="118" t="str">
        <f t="shared" si="821"/>
        <v/>
      </c>
      <c r="AC1114" s="712" t="str">
        <f>IF(AE1114="T2G","no charge",IF(AND(OR(PlanterYesMe="No",PlanterYesMe="N",PlanterYesMe="me"),H1114=""),"",IF(H1114="credit","NO install",IF(AND(K1114="",AE1114="me"),"EACH row",IF(AND(K1114="images",AE1114="me"),"EACH row",IF(D1114="","",IF(H1114="credit","",IF(AE1114="free","re-planting",IF(AE1114="me","   not ELP, by",IF(AND(OR(PlanterYesMe="Yes",PlanterYesMe="Y"),G1114&gt;0),(VLOOKUP(A1114,'Discount Lookup'!J:K,2)*G1114*(1-PlanterDiscount)*(1+PlanterDifficultyPercentage)),IF(AE1114="ELP",(VLOOKUP(A1114,'Discount Lookup'!J:K,2)*G1114*(1-PlanterDiscount)*(1+PlanterDifficultyPercentage)),IF(AE1114="free","re-planting",IF(G1114=0,"",IF(PlanterYesMe="",IF(AE1114="me","   not ELP, by",IF(AE1114="",IF(G1114&gt;0,(VLOOKUP(A1114,'Discount Lookup'!J:K,2)*G1114*(1-PlanterDiscount)*(1+PlanterDifficultyPercentage)),""),"")),"   not ELP, by"))))))))))))))</f>
        <v/>
      </c>
      <c r="AD1114" s="712"/>
      <c r="AE1114" s="513" t="str">
        <f t="shared" si="822"/>
        <v/>
      </c>
      <c r="AF1114" s="713" t="str">
        <f t="shared" si="823"/>
        <v/>
      </c>
      <c r="AG1114" s="713"/>
      <c r="AH1114" s="713"/>
      <c r="AI1114" s="112">
        <f>IF(H1114="credit",0,IF(AE1114="free",0,IF(AE1114="me",0,IF(G1114&gt;0,(VLOOKUP(A1114,'Discount Lookup'!J:K,2)*G1114),0))))</f>
        <v>0</v>
      </c>
      <c r="AJ1114" s="107" t="str">
        <f t="shared" ca="1" si="824"/>
        <v/>
      </c>
      <c r="AK1114" s="714" t="str">
        <f t="shared" si="825"/>
        <v/>
      </c>
      <c r="AL1114" s="714"/>
      <c r="AM1114" s="114" t="str">
        <f t="shared" si="826"/>
        <v/>
      </c>
      <c r="AN1114" s="115"/>
      <c r="AO1114" s="116"/>
      <c r="AP1114" s="116"/>
      <c r="AQ1114" s="116"/>
      <c r="AR1114" s="116"/>
      <c r="AS1114" s="116"/>
      <c r="AT1114" s="116"/>
      <c r="AU1114" s="116"/>
      <c r="AV1114" s="78"/>
      <c r="AW1114" s="102"/>
      <c r="AX1114" s="78"/>
      <c r="AY1114" s="78"/>
      <c r="AZ1114" s="78"/>
      <c r="BA1114" s="78"/>
      <c r="BB1114" s="78"/>
      <c r="BC1114" s="78"/>
      <c r="BD1114" s="78"/>
      <c r="BE1114" s="465"/>
      <c r="BF1114" s="165" t="str">
        <f t="shared" si="827"/>
        <v>https://www.google.com/search?tbm=isch&amp;q=7%20G4</v>
      </c>
      <c r="BG1114" s="165" t="str">
        <f t="shared" si="828"/>
        <v>C</v>
      </c>
      <c r="BH1114" s="65"/>
      <c r="BI1114" s="65"/>
      <c r="BJ1114" s="65"/>
      <c r="BK1114" s="65"/>
      <c r="BL1114" s="99"/>
      <c r="BM1114" s="99"/>
      <c r="BN1114" s="99"/>
    </row>
    <row r="1115" spans="1:66" s="51" customFormat="1" ht="15.75" x14ac:dyDescent="0.25">
      <c r="A1115" s="478">
        <v>15</v>
      </c>
      <c r="B1115" s="479" t="s">
        <v>291</v>
      </c>
      <c r="C1115" s="480" t="s">
        <v>919</v>
      </c>
      <c r="D1115" s="481" t="s">
        <v>299</v>
      </c>
      <c r="E1115" s="482">
        <v>293.95</v>
      </c>
      <c r="F1115" s="483" t="s">
        <v>292</v>
      </c>
      <c r="G1115" s="484">
        <v>0</v>
      </c>
      <c r="H1115" s="688" t="str">
        <f>IF(G1115=0,"",IF(F1115="Buy",IF(G1115=1,"plant","plants"),IF(F1115&gt;0.01,"warranty","Error")))</f>
        <v/>
      </c>
      <c r="I1115" s="485">
        <f>IF(H1115="free",0,IF(H1115="credit",((E1115*(F1115))*G1115*-1),IF(F1115="Buy",(E1115*G1115),((E1115*(1-F1115))*G1115))))</f>
        <v>0</v>
      </c>
      <c r="J1115" s="485">
        <f>IF(H1115="warranty",0,(I1115*(_xlfn.SINGLE(SalesTaxPercentage))))</f>
        <v>0</v>
      </c>
      <c r="K1115" s="715">
        <f t="shared" ref="K1115" si="832">I1115+J1115</f>
        <v>0</v>
      </c>
      <c r="L1115" s="715"/>
      <c r="M1115" s="689" t="str">
        <f ca="1">IF(AND(G1115&gt;0,E1115=0),"WARNING - no PRICE inserted",IF(H1115="free","FREE ~ no charge this plant",IF(H1115="credit",CONCATENATE("-$",ROUND(K1115*(1-_xlfn.SINGLE(T2GDiscount))*-1,2)," CREDIT after discount"),IF(_xlfn.SINGLE(T2GDiscount)=0,"",IF(G1115=0,"",IF(F1115="Buy",CONCATENATE("$",ROUND(K1115*(1-_xlfn.SINGLE(T2GDiscount)),2)," with ",(_xlfn.SINGLE(T2GDiscount)*100),"% discount"),CONCATENATE("$",ROUND(K1115*(1-_xlfn.SINGLE(T2GDiscount)),2)," with ",((_xlfn.SINGLE(T2GDiscount)*100+F1115*100)-(_xlfn.SINGLE(T2GDiscount)*100*F1115)),IF(F1115&gt;0,"% discounts",IF(_xlfn.SINGLE(NoWarrantyDiscount)&gt;0,"% discounts","% discount")))))))))</f>
        <v/>
      </c>
      <c r="N1115" s="690"/>
      <c r="O1115" s="486"/>
      <c r="P1115" s="486"/>
      <c r="Q1115" s="486"/>
      <c r="R1115" s="486"/>
      <c r="S1115" s="486"/>
      <c r="T1115" s="102">
        <f t="shared" si="816"/>
        <v>0</v>
      </c>
      <c r="U1115" s="78">
        <f>IF(NOT(ISNUMBER(G1115)), "", VLOOKUP(A1115,'Discount Lookup'!D:E,2,FALSE)*G1115)</f>
        <v>0</v>
      </c>
      <c r="V1115" s="78">
        <f>IF(NOT(ISNUMBER(G1115)), "", VLOOKUP(A1115,'Discount Lookup'!G:H,2,FALSE)*G1115)</f>
        <v>0</v>
      </c>
      <c r="W1115" s="102">
        <f t="shared" si="817"/>
        <v>0</v>
      </c>
      <c r="X1115" s="102">
        <f t="shared" si="818"/>
        <v>0</v>
      </c>
      <c r="Y1115" s="120" t="b">
        <f t="shared" si="819"/>
        <v>0</v>
      </c>
      <c r="Z1115" s="117">
        <f t="shared" si="820"/>
        <v>0</v>
      </c>
      <c r="AA1115" s="118"/>
      <c r="AB1115" s="118" t="str">
        <f t="shared" si="821"/>
        <v/>
      </c>
      <c r="AC1115" s="712" t="str">
        <f>IF(AE1115="T2G","no charge",IF(AND(OR(PlanterYesMe="No",PlanterYesMe="N",PlanterYesMe="me"),H1115=""),"",IF(H1115="credit","NO install",IF(AND(K1115="",AE1115="me"),"EACH row",IF(AND(K1115="images",AE1115="me"),"EACH row",IF(D1115="","",IF(H1115="credit","",IF(AE1115="free","re-planting",IF(AE1115="me","   not ELP, by",IF(AND(OR(PlanterYesMe="Yes",PlanterYesMe="Y"),G1115&gt;0),(VLOOKUP(A1115,'Discount Lookup'!J:K,2)*G1115*(1-PlanterDiscount)*(1+PlanterDifficultyPercentage)),IF(AE1115="ELP",(VLOOKUP(A1115,'Discount Lookup'!J:K,2)*G1115*(1-PlanterDiscount)*(1+PlanterDifficultyPercentage)),IF(AE1115="free","re-planting",IF(G1115=0,"",IF(PlanterYesMe="",IF(AE1115="me","   not ELP, by",IF(AE1115="",IF(G1115&gt;0,(VLOOKUP(A1115,'Discount Lookup'!J:K,2)*G1115*(1-PlanterDiscount)*(1+PlanterDifficultyPercentage)),""),"")),"   not ELP, by"))))))))))))))</f>
        <v/>
      </c>
      <c r="AD1115" s="712"/>
      <c r="AE1115" s="513" t="str">
        <f t="shared" si="822"/>
        <v/>
      </c>
      <c r="AF1115" s="713" t="str">
        <f t="shared" si="823"/>
        <v/>
      </c>
      <c r="AG1115" s="713"/>
      <c r="AH1115" s="713"/>
      <c r="AI1115" s="112">
        <f>IF(H1115="credit",0,IF(AE1115="free",0,IF(AE1115="me",0,IF(G1115&gt;0,(VLOOKUP(A1115,'Discount Lookup'!J:K,2)*G1115),0))))</f>
        <v>0</v>
      </c>
      <c r="AJ1115" s="107" t="str">
        <f t="shared" ca="1" si="824"/>
        <v/>
      </c>
      <c r="AK1115" s="714" t="str">
        <f t="shared" si="825"/>
        <v/>
      </c>
      <c r="AL1115" s="714"/>
      <c r="AM1115" s="114" t="str">
        <f t="shared" si="826"/>
        <v/>
      </c>
      <c r="AN1115" s="115"/>
      <c r="AO1115" s="116"/>
      <c r="AP1115" s="116"/>
      <c r="AQ1115" s="116"/>
      <c r="AR1115" s="116"/>
      <c r="AS1115" s="116"/>
      <c r="AT1115" s="116"/>
      <c r="AU1115" s="116"/>
      <c r="AV1115" s="78"/>
      <c r="AW1115" s="102"/>
      <c r="AX1115" s="78"/>
      <c r="AY1115" s="78"/>
      <c r="AZ1115" s="78"/>
      <c r="BA1115" s="78"/>
      <c r="BB1115" s="78"/>
      <c r="BC1115" s="78"/>
      <c r="BD1115" s="78"/>
      <c r="BE1115" s="465"/>
      <c r="BF1115" s="165" t="str">
        <f t="shared" si="827"/>
        <v>https://www.google.com/search?tbm=isch&amp;q=15%20G4</v>
      </c>
      <c r="BG1115" s="165" t="str">
        <f t="shared" si="828"/>
        <v>C</v>
      </c>
      <c r="BH1115" s="65"/>
      <c r="BI1115" s="65"/>
      <c r="BJ1115" s="65"/>
      <c r="BK1115" s="65"/>
      <c r="BL1115" s="99"/>
      <c r="BM1115" s="99"/>
      <c r="BN1115" s="99"/>
    </row>
    <row r="1116" spans="1:66" s="51" customFormat="1" ht="15.75" x14ac:dyDescent="0.25">
      <c r="A1116" s="478">
        <v>25</v>
      </c>
      <c r="B1116" s="479" t="s">
        <v>291</v>
      </c>
      <c r="C1116" s="480" t="s">
        <v>937</v>
      </c>
      <c r="D1116" s="481" t="s">
        <v>299</v>
      </c>
      <c r="E1116" s="482">
        <v>385.95</v>
      </c>
      <c r="F1116" s="483" t="s">
        <v>292</v>
      </c>
      <c r="G1116" s="484">
        <v>0</v>
      </c>
      <c r="H1116" s="688" t="str">
        <f>IF(G1116=0,"",IF(F1116="Buy",IF(G1116=1,"plant","plants"),IF(F1116&gt;0.01,"warranty","Error")))</f>
        <v/>
      </c>
      <c r="I1116" s="485">
        <f>IF(H1116="free",0,IF(H1116="credit",((E1116*(F1116))*G1116*-1),IF(F1116="Buy",(E1116*G1116),((E1116*(1-F1116))*G1116))))</f>
        <v>0</v>
      </c>
      <c r="J1116" s="485">
        <f>IF(H1116="warranty",0,(I1116*(_xlfn.SINGLE(SalesTaxPercentage))))</f>
        <v>0</v>
      </c>
      <c r="K1116" s="715">
        <f t="shared" ref="K1116" si="833">I1116+J1116</f>
        <v>0</v>
      </c>
      <c r="L1116" s="715"/>
      <c r="M1116" s="689" t="str">
        <f ca="1">IF(AND(G1116&gt;0,E1116=0),"WARNING - no PRICE inserted",IF(H1116="free","FREE ~ no charge this plant",IF(H1116="credit",CONCATENATE("-$",ROUND(K1116*(1-_xlfn.SINGLE(T2GDiscount))*-1,2)," CREDIT after discount"),IF(_xlfn.SINGLE(T2GDiscount)=0,"",IF(G1116=0,"",IF(F1116="Buy",CONCATENATE("$",ROUND(K1116*(1-_xlfn.SINGLE(T2GDiscount)),2)," with ",(_xlfn.SINGLE(T2GDiscount)*100),"% discount"),CONCATENATE("$",ROUND(K1116*(1-_xlfn.SINGLE(T2GDiscount)),2)," with ",((_xlfn.SINGLE(T2GDiscount)*100+F1116*100)-(_xlfn.SINGLE(T2GDiscount)*100*F1116)),IF(F1116&gt;0,"% discounts",IF(_xlfn.SINGLE(NoWarrantyDiscount)&gt;0,"% discounts","% discount")))))))))</f>
        <v/>
      </c>
      <c r="N1116" s="690"/>
      <c r="O1116" s="486"/>
      <c r="P1116" s="486"/>
      <c r="Q1116" s="486"/>
      <c r="R1116" s="486"/>
      <c r="S1116" s="486"/>
      <c r="T1116" s="102">
        <f t="shared" si="816"/>
        <v>0</v>
      </c>
      <c r="U1116" s="78">
        <f>IF(NOT(ISNUMBER(G1116)), "", VLOOKUP(A1116,'Discount Lookup'!D:E,2,FALSE)*G1116)</f>
        <v>0</v>
      </c>
      <c r="V1116" s="78">
        <f>IF(NOT(ISNUMBER(G1116)), "", VLOOKUP(A1116,'Discount Lookup'!G:H,2,FALSE)*G1116)</f>
        <v>0</v>
      </c>
      <c r="W1116" s="102">
        <f t="shared" si="817"/>
        <v>0</v>
      </c>
      <c r="X1116" s="102">
        <f t="shared" si="818"/>
        <v>0</v>
      </c>
      <c r="Y1116" s="120" t="b">
        <f t="shared" si="819"/>
        <v>0</v>
      </c>
      <c r="Z1116" s="117">
        <f t="shared" si="820"/>
        <v>0</v>
      </c>
      <c r="AA1116" s="118"/>
      <c r="AB1116" s="118" t="str">
        <f t="shared" si="821"/>
        <v/>
      </c>
      <c r="AC1116" s="712" t="str">
        <f>IF(AE1116="T2G","no charge",IF(AND(OR(PlanterYesMe="No",PlanterYesMe="N",PlanterYesMe="me"),H1116=""),"",IF(H1116="credit","NO install",IF(AND(K1116="",AE1116="me"),"EACH row",IF(AND(K1116="images",AE1116="me"),"EACH row",IF(D1116="","",IF(H1116="credit","",IF(AE1116="free","re-planting",IF(AE1116="me","   not ELP, by",IF(AND(OR(PlanterYesMe="Yes",PlanterYesMe="Y"),G1116&gt;0),(VLOOKUP(A1116,'Discount Lookup'!J:K,2)*G1116*(1-PlanterDiscount)*(1+PlanterDifficultyPercentage)),IF(AE1116="ELP",(VLOOKUP(A1116,'Discount Lookup'!J:K,2)*G1116*(1-PlanterDiscount)*(1+PlanterDifficultyPercentage)),IF(AE1116="free","re-planting",IF(G1116=0,"",IF(PlanterYesMe="",IF(AE1116="me","   not ELP, by",IF(AE1116="",IF(G1116&gt;0,(VLOOKUP(A1116,'Discount Lookup'!J:K,2)*G1116*(1-PlanterDiscount)*(1+PlanterDifficultyPercentage)),""),"")),"   not ELP, by"))))))))))))))</f>
        <v/>
      </c>
      <c r="AD1116" s="712"/>
      <c r="AE1116" s="513" t="str">
        <f t="shared" si="822"/>
        <v/>
      </c>
      <c r="AF1116" s="713" t="str">
        <f t="shared" si="823"/>
        <v/>
      </c>
      <c r="AG1116" s="713"/>
      <c r="AH1116" s="713"/>
      <c r="AI1116" s="112">
        <f>IF(H1116="credit",0,IF(AE1116="free",0,IF(AE1116="me",0,IF(G1116&gt;0,(VLOOKUP(A1116,'Discount Lookup'!J:K,2)*G1116),0))))</f>
        <v>0</v>
      </c>
      <c r="AJ1116" s="107" t="str">
        <f t="shared" ca="1" si="824"/>
        <v/>
      </c>
      <c r="AK1116" s="714" t="str">
        <f t="shared" si="825"/>
        <v/>
      </c>
      <c r="AL1116" s="714"/>
      <c r="AM1116" s="114" t="str">
        <f t="shared" si="826"/>
        <v/>
      </c>
      <c r="AN1116" s="115"/>
      <c r="AO1116" s="116"/>
      <c r="AP1116" s="116"/>
      <c r="AQ1116" s="116"/>
      <c r="AR1116" s="116"/>
      <c r="AS1116" s="116"/>
      <c r="AT1116" s="116"/>
      <c r="AU1116" s="116"/>
      <c r="AV1116" s="78"/>
      <c r="AW1116" s="102"/>
      <c r="AX1116" s="78"/>
      <c r="AY1116" s="78"/>
      <c r="AZ1116" s="78"/>
      <c r="BA1116" s="78"/>
      <c r="BB1116" s="78"/>
      <c r="BC1116" s="78"/>
      <c r="BD1116" s="78"/>
      <c r="BE1116" s="465"/>
      <c r="BF1116" s="165" t="str">
        <f t="shared" si="827"/>
        <v>https://www.google.com/search?tbm=isch&amp;q=25%20G4</v>
      </c>
      <c r="BG1116" s="165" t="str">
        <f t="shared" si="828"/>
        <v>C</v>
      </c>
      <c r="BH1116" s="65"/>
      <c r="BI1116" s="65"/>
      <c r="BJ1116" s="65"/>
      <c r="BK1116" s="65"/>
      <c r="BL1116" s="99"/>
      <c r="BM1116" s="99"/>
      <c r="BN1116" s="99"/>
    </row>
    <row r="1117" spans="1:66" s="51" customFormat="1" ht="17.25" thickBot="1" x14ac:dyDescent="0.3">
      <c r="A1117" s="508" t="s">
        <v>450</v>
      </c>
      <c r="B1117" s="487"/>
      <c r="C1117" s="707"/>
      <c r="D1117" s="487"/>
      <c r="E1117" s="487"/>
      <c r="F1117" s="488"/>
      <c r="G1117" s="489"/>
      <c r="H1117" s="487"/>
      <c r="I1117" s="490"/>
      <c r="J1117" s="490"/>
      <c r="K1117" s="491"/>
      <c r="L1117" s="547"/>
      <c r="M1117" s="528"/>
      <c r="N1117" s="492"/>
      <c r="O1117" s="493"/>
      <c r="P1117" s="494"/>
      <c r="Q1117" s="492"/>
      <c r="R1117" s="492"/>
      <c r="S1117" s="699" t="s">
        <v>5280</v>
      </c>
      <c r="T1117" s="102">
        <f t="shared" si="816"/>
        <v>0</v>
      </c>
      <c r="U1117" s="78" t="str">
        <f>IF(NOT(ISNUMBER(G1117)), "", VLOOKUP(A1117,'Discount Lookup'!D:E,2,FALSE)*G1117)</f>
        <v/>
      </c>
      <c r="V1117" s="78" t="str">
        <f>IF(NOT(ISNUMBER(G1117)), "", VLOOKUP(A1117,'Discount Lookup'!G:H,2,FALSE)*G1117)</f>
        <v/>
      </c>
      <c r="W1117" s="102">
        <f t="shared" si="817"/>
        <v>0</v>
      </c>
      <c r="X1117" s="102">
        <f t="shared" si="818"/>
        <v>0</v>
      </c>
      <c r="Y1117" s="120" t="b">
        <f t="shared" si="819"/>
        <v>0</v>
      </c>
      <c r="Z1117" s="117">
        <f t="shared" si="820"/>
        <v>0</v>
      </c>
      <c r="AA1117" s="118"/>
      <c r="AB1117" s="118" t="str">
        <f t="shared" si="821"/>
        <v/>
      </c>
      <c r="AC1117" s="712" t="str">
        <f>IF(AE1117="T2G","no charge",IF(AND(OR(PlanterYesMe="No",PlanterYesMe="N",PlanterYesMe="me"),H1117=""),"",IF(H1117="credit","NO install",IF(AND(K1117="",AE1117="me"),"EACH row",IF(AND(K1117="images",AE1117="me"),"EACH row",IF(D1117="","",IF(H1117="credit","",IF(AE1117="free","re-planting",IF(AE1117="me","   not ELP, by",IF(AND(OR(PlanterYesMe="Yes",PlanterYesMe="Y"),G1117&gt;0),(VLOOKUP(A1117,'Discount Lookup'!J:K,2)*G1117*(1-PlanterDiscount)*(1+PlanterDifficultyPercentage)),IF(AE1117="ELP",(VLOOKUP(A1117,'Discount Lookup'!J:K,2)*G1117*(1-PlanterDiscount)*(1+PlanterDifficultyPercentage)),IF(AE1117="free","re-planting",IF(G1117=0,"",IF(PlanterYesMe="",IF(AE1117="me","   not ELP, by",IF(AE1117="",IF(G1117&gt;0,(VLOOKUP(A1117,'Discount Lookup'!J:K,2)*G1117*(1-PlanterDiscount)*(1+PlanterDifficultyPercentage)),""),"")),"   not ELP, by"))))))))))))))</f>
        <v/>
      </c>
      <c r="AD1117" s="712"/>
      <c r="AE1117" s="513" t="str">
        <f t="shared" si="822"/>
        <v/>
      </c>
      <c r="AF1117" s="713" t="str">
        <f t="shared" si="823"/>
        <v/>
      </c>
      <c r="AG1117" s="713"/>
      <c r="AH1117" s="713"/>
      <c r="AI1117" s="112">
        <f>IF(H1117="credit",0,IF(AE1117="free",0,IF(AE1117="me",0,IF(G1117&gt;0,(VLOOKUP(A1117,'Discount Lookup'!J:K,2)*G1117),0))))</f>
        <v>0</v>
      </c>
      <c r="AJ1117" s="107" t="str">
        <f t="shared" ca="1" si="824"/>
        <v/>
      </c>
      <c r="AK1117" s="714" t="str">
        <f t="shared" si="825"/>
        <v/>
      </c>
      <c r="AL1117" s="714"/>
      <c r="AM1117" s="114" t="str">
        <f t="shared" si="826"/>
        <v/>
      </c>
      <c r="AN1117" s="115"/>
      <c r="AO1117" s="116"/>
      <c r="AP1117" s="116"/>
      <c r="AQ1117" s="116"/>
      <c r="AR1117" s="116"/>
      <c r="AS1117" s="116"/>
      <c r="AT1117" s="116"/>
      <c r="AU1117" s="116"/>
      <c r="AV1117" s="78"/>
      <c r="AW1117" s="102"/>
      <c r="AX1117" s="78"/>
      <c r="AY1117" s="78"/>
      <c r="AZ1117" s="78"/>
      <c r="BA1117" s="78"/>
      <c r="BB1117" s="78"/>
      <c r="BC1117" s="78"/>
      <c r="BD1117" s="78"/>
      <c r="BE1117" s="465"/>
      <c r="BF1117" s="165" t="str">
        <f t="shared" si="827"/>
        <v>https://www.google.com/search?tbm=isch&amp;q=Slender%20Hinoki%20known%20for%20it%27s%20distinctive%2C%20open%2C%20graceful%2C%20and%20somewhat%20irregular%20shape.%20Slow%20grower%20</v>
      </c>
      <c r="BG1117" s="165" t="str">
        <f t="shared" si="828"/>
        <v>S</v>
      </c>
      <c r="BH1117" s="65"/>
      <c r="BI1117" s="65"/>
      <c r="BJ1117" s="65"/>
      <c r="BK1117" s="65"/>
      <c r="BL1117" s="99"/>
      <c r="BM1117" s="99"/>
      <c r="BN1117" s="99"/>
    </row>
    <row r="1118" spans="1:66" s="51" customFormat="1" ht="18" x14ac:dyDescent="0.25">
      <c r="A1118" s="507" t="s">
        <v>314</v>
      </c>
      <c r="B1118" s="470"/>
      <c r="C1118" s="706"/>
      <c r="D1118" s="471" t="s">
        <v>315</v>
      </c>
      <c r="E1118" s="472"/>
      <c r="F1118" s="472"/>
      <c r="G1118" s="472"/>
      <c r="H1118" s="622" t="s">
        <v>348</v>
      </c>
      <c r="I1118" s="473" t="s">
        <v>431</v>
      </c>
      <c r="J1118" s="472"/>
      <c r="K1118" s="472"/>
      <c r="L1118" s="561"/>
      <c r="M1118" s="698" t="s">
        <v>5246</v>
      </c>
      <c r="N1118" s="692" t="str">
        <f>IF(AND(ISTEXT($A1118), ISERROR($A1118+0)), HYPERLINK($BF1118, "Images"), "")</f>
        <v>Images</v>
      </c>
      <c r="O1118" s="694" t="s">
        <v>5244</v>
      </c>
      <c r="P1118" s="475"/>
      <c r="Q1118" s="476"/>
      <c r="R1118" s="476"/>
      <c r="S1118" s="477"/>
      <c r="T1118" s="102">
        <f t="shared" si="816"/>
        <v>0</v>
      </c>
      <c r="U1118" s="78" t="str">
        <f>IF(NOT(ISNUMBER(G1118)), "", VLOOKUP(A1118,'Discount Lookup'!D:E,2,FALSE)*G1118)</f>
        <v/>
      </c>
      <c r="V1118" s="78" t="str">
        <f>IF(NOT(ISNUMBER(G1118)), "", VLOOKUP(A1118,'Discount Lookup'!G:H,2,FALSE)*G1118)</f>
        <v/>
      </c>
      <c r="W1118" s="102">
        <f t="shared" si="817"/>
        <v>0</v>
      </c>
      <c r="X1118" s="102" t="str">
        <f t="shared" si="818"/>
        <v>Dark Green foliage</v>
      </c>
      <c r="Y1118" s="120" t="b">
        <f t="shared" si="819"/>
        <v>0</v>
      </c>
      <c r="Z1118" s="117">
        <f t="shared" si="820"/>
        <v>0</v>
      </c>
      <c r="AA1118" s="118"/>
      <c r="AB1118" s="118" t="str">
        <f t="shared" si="821"/>
        <v/>
      </c>
      <c r="AC1118" s="712" t="str">
        <f>IF(AE1118="T2G","no charge",IF(AND(OR(PlanterYesMe="No",PlanterYesMe="N",PlanterYesMe="me"),H1118=""),"",IF(H1118="credit","NO install",IF(AND(K1118="",AE1118="me"),"EACH row",IF(AND(K1118="images",AE1118="me"),"EACH row",IF(D1118="","",IF(H1118="credit","",IF(AE1118="free","re-planting",IF(AE1118="me","   not ELP, by",IF(AND(OR(PlanterYesMe="Yes",PlanterYesMe="Y"),G1118&gt;0),(VLOOKUP(A1118,'Discount Lookup'!J:K,2)*G1118*(1-PlanterDiscount)*(1+PlanterDifficultyPercentage)),IF(AE1118="ELP",(VLOOKUP(A1118,'Discount Lookup'!J:K,2)*G1118*(1-PlanterDiscount)*(1+PlanterDifficultyPercentage)),IF(AE1118="free","re-planting",IF(G1118=0,"",IF(PlanterYesMe="",IF(AE1118="me","   not ELP, by",IF(AE1118="",IF(G1118&gt;0,(VLOOKUP(A1118,'Discount Lookup'!J:K,2)*G1118*(1-PlanterDiscount)*(1+PlanterDifficultyPercentage)),""),"")),"   not ELP, by"))))))))))))))</f>
        <v/>
      </c>
      <c r="AD1118" s="712"/>
      <c r="AE1118" s="513" t="str">
        <f t="shared" si="822"/>
        <v/>
      </c>
      <c r="AF1118" s="713" t="str">
        <f t="shared" si="823"/>
        <v/>
      </c>
      <c r="AG1118" s="713"/>
      <c r="AH1118" s="713"/>
      <c r="AI1118" s="112">
        <f>IF(H1118="credit",0,IF(AE1118="free",0,IF(AE1118="me",0,IF(G1118&gt;0,(VLOOKUP(A1118,'Discount Lookup'!J:K,2)*G1118),0))))</f>
        <v>0</v>
      </c>
      <c r="AJ1118" s="107" t="str">
        <f t="shared" ca="1" si="824"/>
        <v/>
      </c>
      <c r="AK1118" s="714" t="str">
        <f t="shared" si="825"/>
        <v/>
      </c>
      <c r="AL1118" s="714"/>
      <c r="AM1118" s="114" t="str">
        <f t="shared" si="826"/>
        <v/>
      </c>
      <c r="AN1118" s="115"/>
      <c r="AO1118" s="116"/>
      <c r="AP1118" s="116"/>
      <c r="AQ1118" s="116"/>
      <c r="AR1118" s="116"/>
      <c r="AS1118" s="116"/>
      <c r="AT1118" s="116"/>
      <c r="AU1118" s="116"/>
      <c r="AV1118" s="78"/>
      <c r="AW1118" s="102"/>
      <c r="AX1118" s="78"/>
      <c r="AY1118" s="78"/>
      <c r="AZ1118" s="78"/>
      <c r="BA1118" s="78"/>
      <c r="BB1118" s="78"/>
      <c r="BC1118" s="78"/>
      <c r="BD1118" s="78"/>
      <c r="BE1118" s="465"/>
      <c r="BF1118" s="165" t="str">
        <f t="shared" si="827"/>
        <v>https://www.google.com/search?tbm=isch&amp;q=Chamaecyparis%20obtusa%20%27Kosteri%27%20Koster%27s%20Cypress</v>
      </c>
      <c r="BG1118" s="165" t="str">
        <f t="shared" si="828"/>
        <v>C</v>
      </c>
      <c r="BH1118" s="65"/>
      <c r="BI1118" s="65"/>
      <c r="BJ1118" s="65"/>
      <c r="BK1118" s="65"/>
      <c r="BL1118" s="99"/>
      <c r="BM1118" s="99"/>
      <c r="BN1118" s="99"/>
    </row>
    <row r="1119" spans="1:66" s="51" customFormat="1" ht="15.75" x14ac:dyDescent="0.25">
      <c r="A1119" s="478">
        <v>7</v>
      </c>
      <c r="B1119" s="479" t="s">
        <v>291</v>
      </c>
      <c r="C1119" s="480" t="s">
        <v>938</v>
      </c>
      <c r="D1119" s="481" t="s">
        <v>299</v>
      </c>
      <c r="E1119" s="482">
        <v>109.95</v>
      </c>
      <c r="F1119" s="483" t="s">
        <v>292</v>
      </c>
      <c r="G1119" s="484">
        <v>0</v>
      </c>
      <c r="H1119" s="688" t="str">
        <f>IF(G1119=0,"",IF(F1119="Buy",IF(G1119=1,"plant","plants"),IF(F1119&gt;0.01,"warranty","Error")))</f>
        <v/>
      </c>
      <c r="I1119" s="485">
        <f>IF(H1119="free",0,IF(H1119="credit",((E1119*(F1119))*G1119*-1),IF(F1119="Buy",(E1119*G1119),((E1119*(1-F1119))*G1119))))</f>
        <v>0</v>
      </c>
      <c r="J1119" s="485">
        <f>IF(H1119="warranty",0,(I1119*(_xlfn.SINGLE(SalesTaxPercentage))))</f>
        <v>0</v>
      </c>
      <c r="K1119" s="715">
        <f t="shared" ref="K1119" si="834">I1119+J1119</f>
        <v>0</v>
      </c>
      <c r="L1119" s="715"/>
      <c r="M1119" s="689" t="str">
        <f ca="1">IF(AND(G1119&gt;0,E1119=0),"WARNING - no PRICE inserted",IF(H1119="free","FREE ~ no charge this plant",IF(H1119="credit",CONCATENATE("-$",ROUND(K1119*(1-_xlfn.SINGLE(T2GDiscount))*-1,2)," CREDIT after discount"),IF(_xlfn.SINGLE(T2GDiscount)=0,"",IF(G1119=0,"",IF(F1119="Buy",CONCATENATE("$",ROUND(K1119*(1-_xlfn.SINGLE(T2GDiscount)),2)," with ",(_xlfn.SINGLE(T2GDiscount)*100),"% discount"),CONCATENATE("$",ROUND(K1119*(1-_xlfn.SINGLE(T2GDiscount)),2)," with ",((_xlfn.SINGLE(T2GDiscount)*100+F1119*100)-(_xlfn.SINGLE(T2GDiscount)*100*F1119)),IF(F1119&gt;0,"% discounts",IF(_xlfn.SINGLE(NoWarrantyDiscount)&gt;0,"% discounts","% discount")))))))))</f>
        <v/>
      </c>
      <c r="N1119" s="690"/>
      <c r="O1119" s="486"/>
      <c r="P1119" s="486"/>
      <c r="Q1119" s="486"/>
      <c r="R1119" s="486"/>
      <c r="S1119" s="486"/>
      <c r="T1119" s="102">
        <f t="shared" si="816"/>
        <v>0</v>
      </c>
      <c r="U1119" s="78">
        <f>IF(NOT(ISNUMBER(G1119)), "", VLOOKUP(A1119,'Discount Lookup'!D:E,2,FALSE)*G1119)</f>
        <v>0</v>
      </c>
      <c r="V1119" s="78">
        <f>IF(NOT(ISNUMBER(G1119)), "", VLOOKUP(A1119,'Discount Lookup'!G:H,2,FALSE)*G1119)</f>
        <v>0</v>
      </c>
      <c r="W1119" s="102">
        <f t="shared" si="817"/>
        <v>0</v>
      </c>
      <c r="X1119" s="102">
        <f t="shared" si="818"/>
        <v>0</v>
      </c>
      <c r="Y1119" s="120" t="b">
        <f t="shared" si="819"/>
        <v>0</v>
      </c>
      <c r="Z1119" s="117">
        <f t="shared" si="820"/>
        <v>0</v>
      </c>
      <c r="AA1119" s="118"/>
      <c r="AB1119" s="118" t="str">
        <f t="shared" si="821"/>
        <v/>
      </c>
      <c r="AC1119" s="712" t="str">
        <f>IF(AE1119="T2G","no charge",IF(AND(OR(PlanterYesMe="No",PlanterYesMe="N",PlanterYesMe="me"),H1119=""),"",IF(H1119="credit","NO install",IF(AND(K1119="",AE1119="me"),"EACH row",IF(AND(K1119="images",AE1119="me"),"EACH row",IF(D1119="","",IF(H1119="credit","",IF(AE1119="free","re-planting",IF(AE1119="me","   not ELP, by",IF(AND(OR(PlanterYesMe="Yes",PlanterYesMe="Y"),G1119&gt;0),(VLOOKUP(A1119,'Discount Lookup'!J:K,2)*G1119*(1-PlanterDiscount)*(1+PlanterDifficultyPercentage)),IF(AE1119="ELP",(VLOOKUP(A1119,'Discount Lookup'!J:K,2)*G1119*(1-PlanterDiscount)*(1+PlanterDifficultyPercentage)),IF(AE1119="free","re-planting",IF(G1119=0,"",IF(PlanterYesMe="",IF(AE1119="me","   not ELP, by",IF(AE1119="",IF(G1119&gt;0,(VLOOKUP(A1119,'Discount Lookup'!J:K,2)*G1119*(1-PlanterDiscount)*(1+PlanterDifficultyPercentage)),""),"")),"   not ELP, by"))))))))))))))</f>
        <v/>
      </c>
      <c r="AD1119" s="712"/>
      <c r="AE1119" s="513" t="str">
        <f t="shared" si="822"/>
        <v/>
      </c>
      <c r="AF1119" s="713" t="str">
        <f t="shared" si="823"/>
        <v/>
      </c>
      <c r="AG1119" s="713"/>
      <c r="AH1119" s="713"/>
      <c r="AI1119" s="112">
        <f>IF(H1119="credit",0,IF(AE1119="free",0,IF(AE1119="me",0,IF(G1119&gt;0,(VLOOKUP(A1119,'Discount Lookup'!J:K,2)*G1119),0))))</f>
        <v>0</v>
      </c>
      <c r="AJ1119" s="107" t="str">
        <f t="shared" ca="1" si="824"/>
        <v/>
      </c>
      <c r="AK1119" s="714" t="str">
        <f t="shared" si="825"/>
        <v/>
      </c>
      <c r="AL1119" s="714"/>
      <c r="AM1119" s="114" t="str">
        <f t="shared" si="826"/>
        <v/>
      </c>
      <c r="AN1119" s="115"/>
      <c r="AO1119" s="116"/>
      <c r="AP1119" s="116"/>
      <c r="AQ1119" s="116"/>
      <c r="AR1119" s="116"/>
      <c r="AS1119" s="116"/>
      <c r="AT1119" s="116"/>
      <c r="AU1119" s="116"/>
      <c r="AV1119" s="78"/>
      <c r="AW1119" s="102"/>
      <c r="AX1119" s="78"/>
      <c r="AY1119" s="78"/>
      <c r="AZ1119" s="78"/>
      <c r="BA1119" s="78"/>
      <c r="BB1119" s="78"/>
      <c r="BC1119" s="78"/>
      <c r="BD1119" s="78"/>
      <c r="BE1119" s="465"/>
      <c r="BF1119" s="165" t="str">
        <f t="shared" si="827"/>
        <v>https://www.google.com/search?tbm=isch&amp;q=7%20G4</v>
      </c>
      <c r="BG1119" s="165" t="str">
        <f t="shared" si="828"/>
        <v>C</v>
      </c>
      <c r="BH1119" s="65"/>
      <c r="BI1119" s="65"/>
      <c r="BJ1119" s="65"/>
      <c r="BK1119" s="65"/>
      <c r="BL1119" s="99"/>
      <c r="BM1119" s="99"/>
      <c r="BN1119" s="99"/>
    </row>
    <row r="1120" spans="1:66" s="51" customFormat="1" ht="15.75" x14ac:dyDescent="0.25">
      <c r="A1120" s="478">
        <v>15</v>
      </c>
      <c r="B1120" s="479" t="s">
        <v>291</v>
      </c>
      <c r="C1120" s="480" t="s">
        <v>935</v>
      </c>
      <c r="D1120" s="481" t="s">
        <v>299</v>
      </c>
      <c r="E1120" s="482">
        <v>224.95</v>
      </c>
      <c r="F1120" s="483" t="s">
        <v>292</v>
      </c>
      <c r="G1120" s="484">
        <v>0</v>
      </c>
      <c r="H1120" s="688" t="str">
        <f>IF(G1120=0,"",IF(F1120="Buy",IF(G1120=1,"plant","plants"),IF(F1120&gt;0.01,"warranty","Error")))</f>
        <v/>
      </c>
      <c r="I1120" s="485">
        <f>IF(H1120="free",0,IF(H1120="credit",((E1120*(F1120))*G1120*-1),IF(F1120="Buy",(E1120*G1120),((E1120*(1-F1120))*G1120))))</f>
        <v>0</v>
      </c>
      <c r="J1120" s="485">
        <f>IF(H1120="warranty",0,(I1120*(_xlfn.SINGLE(SalesTaxPercentage))))</f>
        <v>0</v>
      </c>
      <c r="K1120" s="715">
        <f t="shared" ref="K1120" si="835">I1120+J1120</f>
        <v>0</v>
      </c>
      <c r="L1120" s="715"/>
      <c r="M1120" s="689" t="str">
        <f ca="1">IF(AND(G1120&gt;0,E1120=0),"WARNING - no PRICE inserted",IF(H1120="free","FREE ~ no charge this plant",IF(H1120="credit",CONCATENATE("-$",ROUND(K1120*(1-_xlfn.SINGLE(T2GDiscount))*-1,2)," CREDIT after discount"),IF(_xlfn.SINGLE(T2GDiscount)=0,"",IF(G1120=0,"",IF(F1120="Buy",CONCATENATE("$",ROUND(K1120*(1-_xlfn.SINGLE(T2GDiscount)),2)," with ",(_xlfn.SINGLE(T2GDiscount)*100),"% discount"),CONCATENATE("$",ROUND(K1120*(1-_xlfn.SINGLE(T2GDiscount)),2)," with ",((_xlfn.SINGLE(T2GDiscount)*100+F1120*100)-(_xlfn.SINGLE(T2GDiscount)*100*F1120)),IF(F1120&gt;0,"% discounts",IF(_xlfn.SINGLE(NoWarrantyDiscount)&gt;0,"% discounts","% discount")))))))))</f>
        <v/>
      </c>
      <c r="N1120" s="690"/>
      <c r="O1120" s="486"/>
      <c r="P1120" s="486"/>
      <c r="Q1120" s="486"/>
      <c r="R1120" s="486"/>
      <c r="S1120" s="486"/>
      <c r="T1120" s="102">
        <f t="shared" si="816"/>
        <v>0</v>
      </c>
      <c r="U1120" s="78">
        <f>IF(NOT(ISNUMBER(G1120)), "", VLOOKUP(A1120,'Discount Lookup'!D:E,2,FALSE)*G1120)</f>
        <v>0</v>
      </c>
      <c r="V1120" s="78">
        <f>IF(NOT(ISNUMBER(G1120)), "", VLOOKUP(A1120,'Discount Lookup'!G:H,2,FALSE)*G1120)</f>
        <v>0</v>
      </c>
      <c r="W1120" s="102">
        <f t="shared" si="817"/>
        <v>0</v>
      </c>
      <c r="X1120" s="102">
        <f t="shared" si="818"/>
        <v>0</v>
      </c>
      <c r="Y1120" s="120" t="b">
        <f t="shared" si="819"/>
        <v>0</v>
      </c>
      <c r="Z1120" s="117">
        <f t="shared" si="820"/>
        <v>0</v>
      </c>
      <c r="AA1120" s="118"/>
      <c r="AB1120" s="118" t="str">
        <f t="shared" si="821"/>
        <v/>
      </c>
      <c r="AC1120" s="712" t="str">
        <f>IF(AE1120="T2G","no charge",IF(AND(OR(PlanterYesMe="No",PlanterYesMe="N",PlanterYesMe="me"),H1120=""),"",IF(H1120="credit","NO install",IF(AND(K1120="",AE1120="me"),"EACH row",IF(AND(K1120="images",AE1120="me"),"EACH row",IF(D1120="","",IF(H1120="credit","",IF(AE1120="free","re-planting",IF(AE1120="me","   not ELP, by",IF(AND(OR(PlanterYesMe="Yes",PlanterYesMe="Y"),G1120&gt;0),(VLOOKUP(A1120,'Discount Lookup'!J:K,2)*G1120*(1-PlanterDiscount)*(1+PlanterDifficultyPercentage)),IF(AE1120="ELP",(VLOOKUP(A1120,'Discount Lookup'!J:K,2)*G1120*(1-PlanterDiscount)*(1+PlanterDifficultyPercentage)),IF(AE1120="free","re-planting",IF(G1120=0,"",IF(PlanterYesMe="",IF(AE1120="me","   not ELP, by",IF(AE1120="",IF(G1120&gt;0,(VLOOKUP(A1120,'Discount Lookup'!J:K,2)*G1120*(1-PlanterDiscount)*(1+PlanterDifficultyPercentage)),""),"")),"   not ELP, by"))))))))))))))</f>
        <v/>
      </c>
      <c r="AD1120" s="712"/>
      <c r="AE1120" s="513" t="str">
        <f t="shared" si="822"/>
        <v/>
      </c>
      <c r="AF1120" s="713" t="str">
        <f t="shared" si="823"/>
        <v/>
      </c>
      <c r="AG1120" s="713"/>
      <c r="AH1120" s="713"/>
      <c r="AI1120" s="112">
        <f>IF(H1120="credit",0,IF(AE1120="free",0,IF(AE1120="me",0,IF(G1120&gt;0,(VLOOKUP(A1120,'Discount Lookup'!J:K,2)*G1120),0))))</f>
        <v>0</v>
      </c>
      <c r="AJ1120" s="107" t="str">
        <f t="shared" ca="1" si="824"/>
        <v/>
      </c>
      <c r="AK1120" s="714" t="str">
        <f t="shared" si="825"/>
        <v/>
      </c>
      <c r="AL1120" s="714"/>
      <c r="AM1120" s="114" t="str">
        <f t="shared" si="826"/>
        <v/>
      </c>
      <c r="AN1120" s="115"/>
      <c r="AO1120" s="116"/>
      <c r="AP1120" s="116"/>
      <c r="AQ1120" s="116"/>
      <c r="AR1120" s="116"/>
      <c r="AS1120" s="116"/>
      <c r="AT1120" s="116"/>
      <c r="AU1120" s="116"/>
      <c r="AV1120" s="78"/>
      <c r="AW1120" s="102"/>
      <c r="AX1120" s="78"/>
      <c r="AY1120" s="78"/>
      <c r="AZ1120" s="78"/>
      <c r="BA1120" s="78"/>
      <c r="BB1120" s="78"/>
      <c r="BC1120" s="78"/>
      <c r="BD1120" s="78"/>
      <c r="BE1120" s="465"/>
      <c r="BF1120" s="165" t="str">
        <f t="shared" si="827"/>
        <v>https://www.google.com/search?tbm=isch&amp;q=15%20G4</v>
      </c>
      <c r="BG1120" s="165" t="str">
        <f t="shared" si="828"/>
        <v>C</v>
      </c>
      <c r="BH1120" s="65"/>
      <c r="BI1120" s="65"/>
      <c r="BJ1120" s="65"/>
      <c r="BK1120" s="65"/>
      <c r="BL1120" s="99"/>
      <c r="BM1120" s="99"/>
      <c r="BN1120" s="99"/>
    </row>
    <row r="1121" spans="1:66" s="51" customFormat="1" ht="17.25" thickBot="1" x14ac:dyDescent="0.3">
      <c r="A1121" s="508" t="s">
        <v>451</v>
      </c>
      <c r="B1121" s="487"/>
      <c r="C1121" s="707"/>
      <c r="D1121" s="487"/>
      <c r="E1121" s="487"/>
      <c r="F1121" s="488"/>
      <c r="G1121" s="489"/>
      <c r="H1121" s="487"/>
      <c r="I1121" s="490"/>
      <c r="J1121" s="490"/>
      <c r="K1121" s="491"/>
      <c r="L1121" s="547"/>
      <c r="M1121" s="528"/>
      <c r="N1121" s="492"/>
      <c r="O1121" s="493"/>
      <c r="P1121" s="494"/>
      <c r="Q1121" s="492"/>
      <c r="R1121" s="492"/>
      <c r="S1121" s="699" t="s">
        <v>5275</v>
      </c>
      <c r="T1121" s="102">
        <f t="shared" si="816"/>
        <v>0</v>
      </c>
      <c r="U1121" s="78" t="str">
        <f>IF(NOT(ISNUMBER(G1121)), "", VLOOKUP(A1121,'Discount Lookup'!D:E,2,FALSE)*G1121)</f>
        <v/>
      </c>
      <c r="V1121" s="78" t="str">
        <f>IF(NOT(ISNUMBER(G1121)), "", VLOOKUP(A1121,'Discount Lookup'!G:H,2,FALSE)*G1121)</f>
        <v/>
      </c>
      <c r="W1121" s="102">
        <f t="shared" si="817"/>
        <v>0</v>
      </c>
      <c r="X1121" s="102">
        <f t="shared" si="818"/>
        <v>0</v>
      </c>
      <c r="Y1121" s="120" t="b">
        <f t="shared" si="819"/>
        <v>0</v>
      </c>
      <c r="Z1121" s="117">
        <f t="shared" si="820"/>
        <v>0</v>
      </c>
      <c r="AA1121" s="118"/>
      <c r="AB1121" s="118" t="str">
        <f t="shared" si="821"/>
        <v/>
      </c>
      <c r="AC1121" s="712" t="str">
        <f>IF(AE1121="T2G","no charge",IF(AND(OR(PlanterYesMe="No",PlanterYesMe="N",PlanterYesMe="me"),H1121=""),"",IF(H1121="credit","NO install",IF(AND(K1121="",AE1121="me"),"EACH row",IF(AND(K1121="images",AE1121="me"),"EACH row",IF(D1121="","",IF(H1121="credit","",IF(AE1121="free","re-planting",IF(AE1121="me","   not ELP, by",IF(AND(OR(PlanterYesMe="Yes",PlanterYesMe="Y"),G1121&gt;0),(VLOOKUP(A1121,'Discount Lookup'!J:K,2)*G1121*(1-PlanterDiscount)*(1+PlanterDifficultyPercentage)),IF(AE1121="ELP",(VLOOKUP(A1121,'Discount Lookup'!J:K,2)*G1121*(1-PlanterDiscount)*(1+PlanterDifficultyPercentage)),IF(AE1121="free","re-planting",IF(G1121=0,"",IF(PlanterYesMe="",IF(AE1121="me","   not ELP, by",IF(AE1121="",IF(G1121&gt;0,(VLOOKUP(A1121,'Discount Lookup'!J:K,2)*G1121*(1-PlanterDiscount)*(1+PlanterDifficultyPercentage)),""),"")),"   not ELP, by"))))))))))))))</f>
        <v/>
      </c>
      <c r="AD1121" s="712"/>
      <c r="AE1121" s="513" t="str">
        <f t="shared" si="822"/>
        <v/>
      </c>
      <c r="AF1121" s="713" t="str">
        <f t="shared" si="823"/>
        <v/>
      </c>
      <c r="AG1121" s="713"/>
      <c r="AH1121" s="713"/>
      <c r="AI1121" s="112">
        <f>IF(H1121="credit",0,IF(AE1121="free",0,IF(AE1121="me",0,IF(G1121&gt;0,(VLOOKUP(A1121,'Discount Lookup'!J:K,2)*G1121),0))))</f>
        <v>0</v>
      </c>
      <c r="AJ1121" s="107" t="str">
        <f t="shared" ca="1" si="824"/>
        <v/>
      </c>
      <c r="AK1121" s="714" t="str">
        <f t="shared" si="825"/>
        <v/>
      </c>
      <c r="AL1121" s="714"/>
      <c r="AM1121" s="114" t="str">
        <f t="shared" si="826"/>
        <v/>
      </c>
      <c r="AN1121" s="115"/>
      <c r="AO1121" s="116"/>
      <c r="AP1121" s="116"/>
      <c r="AQ1121" s="116"/>
      <c r="AR1121" s="116"/>
      <c r="AS1121" s="116"/>
      <c r="AT1121" s="116"/>
      <c r="AU1121" s="116"/>
      <c r="AV1121" s="78"/>
      <c r="AW1121" s="102"/>
      <c r="AX1121" s="78"/>
      <c r="AY1121" s="78"/>
      <c r="AZ1121" s="78"/>
      <c r="BA1121" s="78"/>
      <c r="BB1121" s="78"/>
      <c r="BC1121" s="78"/>
      <c r="BD1121" s="78"/>
      <c r="BE1121" s="465"/>
      <c r="BF1121" s="165" t="str">
        <f t="shared" si="827"/>
        <v>https://www.google.com/search?tbm=isch&amp;q=Koster%27s%20is%20a%20Hinoki%20type.%20Shell-like%20foliage%20and%20a%20unique%2C%20irregularly%20branched%2C%20conical%20form%20lend%20great%20texture%20and%20interest%20</v>
      </c>
      <c r="BG1121" s="165" t="str">
        <f t="shared" si="828"/>
        <v>K</v>
      </c>
      <c r="BH1121" s="65"/>
      <c r="BI1121" s="65"/>
      <c r="BJ1121" s="65"/>
      <c r="BK1121" s="65"/>
      <c r="BL1121" s="99"/>
      <c r="BM1121" s="99"/>
      <c r="BN1121" s="99"/>
    </row>
    <row r="1122" spans="1:66" s="51" customFormat="1" ht="18" x14ac:dyDescent="0.25">
      <c r="A1122" s="507" t="s">
        <v>2136</v>
      </c>
      <c r="B1122" s="470"/>
      <c r="C1122" s="706"/>
      <c r="D1122" s="471" t="s">
        <v>2137</v>
      </c>
      <c r="E1122" s="472"/>
      <c r="F1122" s="472"/>
      <c r="G1122" s="472"/>
      <c r="H1122" s="622" t="s">
        <v>1498</v>
      </c>
      <c r="I1122" s="473" t="s">
        <v>443</v>
      </c>
      <c r="J1122" s="472"/>
      <c r="K1122" s="472"/>
      <c r="L1122" s="561"/>
      <c r="M1122" s="698" t="s">
        <v>5246</v>
      </c>
      <c r="N1122" s="692" t="str">
        <f>IF(AND(ISTEXT($A1122), ISERROR($A1122+0)), HYPERLINK($BF1122, "Images"), "")</f>
        <v>Images</v>
      </c>
      <c r="O1122" s="694" t="s">
        <v>5244</v>
      </c>
      <c r="P1122" s="475"/>
      <c r="Q1122" s="476"/>
      <c r="R1122" s="476"/>
      <c r="S1122" s="477"/>
      <c r="T1122" s="102">
        <f t="shared" si="816"/>
        <v>0</v>
      </c>
      <c r="U1122" s="78" t="str">
        <f>IF(NOT(ISNUMBER(G1122)), "", VLOOKUP(A1122,'Discount Lookup'!D:E,2,FALSE)*G1122)</f>
        <v/>
      </c>
      <c r="V1122" s="78" t="str">
        <f>IF(NOT(ISNUMBER(G1122)), "", VLOOKUP(A1122,'Discount Lookup'!G:H,2,FALSE)*G1122)</f>
        <v/>
      </c>
      <c r="W1122" s="102">
        <f t="shared" si="817"/>
        <v>0</v>
      </c>
      <c r="X1122" s="102" t="str">
        <f t="shared" si="818"/>
        <v>Golden-Yellow foliage</v>
      </c>
      <c r="Y1122" s="120" t="b">
        <f t="shared" si="819"/>
        <v>0</v>
      </c>
      <c r="Z1122" s="117">
        <f t="shared" si="820"/>
        <v>0</v>
      </c>
      <c r="AA1122" s="118"/>
      <c r="AB1122" s="118" t="str">
        <f t="shared" si="821"/>
        <v/>
      </c>
      <c r="AC1122" s="712" t="str">
        <f>IF(AE1122="T2G","no charge",IF(AND(OR(PlanterYesMe="No",PlanterYesMe="N",PlanterYesMe="me"),H1122=""),"",IF(H1122="credit","NO install",IF(AND(K1122="",AE1122="me"),"EACH row",IF(AND(K1122="images",AE1122="me"),"EACH row",IF(D1122="","",IF(H1122="credit","",IF(AE1122="free","re-planting",IF(AE1122="me","   not ELP, by",IF(AND(OR(PlanterYesMe="Yes",PlanterYesMe="Y"),G1122&gt;0),(VLOOKUP(A1122,'Discount Lookup'!J:K,2)*G1122*(1-PlanterDiscount)*(1+PlanterDifficultyPercentage)),IF(AE1122="ELP",(VLOOKUP(A1122,'Discount Lookup'!J:K,2)*G1122*(1-PlanterDiscount)*(1+PlanterDifficultyPercentage)),IF(AE1122="free","re-planting",IF(G1122=0,"",IF(PlanterYesMe="",IF(AE1122="me","   not ELP, by",IF(AE1122="",IF(G1122&gt;0,(VLOOKUP(A1122,'Discount Lookup'!J:K,2)*G1122*(1-PlanterDiscount)*(1+PlanterDifficultyPercentage)),""),"")),"   not ELP, by"))))))))))))))</f>
        <v/>
      </c>
      <c r="AD1122" s="712"/>
      <c r="AE1122" s="513" t="str">
        <f t="shared" si="822"/>
        <v/>
      </c>
      <c r="AF1122" s="713" t="str">
        <f t="shared" si="823"/>
        <v/>
      </c>
      <c r="AG1122" s="713"/>
      <c r="AH1122" s="713"/>
      <c r="AI1122" s="112">
        <f>IF(H1122="credit",0,IF(AE1122="free",0,IF(AE1122="me",0,IF(G1122&gt;0,(VLOOKUP(A1122,'Discount Lookup'!J:K,2)*G1122),0))))</f>
        <v>0</v>
      </c>
      <c r="AJ1122" s="107" t="str">
        <f t="shared" ca="1" si="824"/>
        <v/>
      </c>
      <c r="AK1122" s="714" t="str">
        <f t="shared" si="825"/>
        <v/>
      </c>
      <c r="AL1122" s="714"/>
      <c r="AM1122" s="114" t="str">
        <f t="shared" si="826"/>
        <v/>
      </c>
      <c r="AN1122" s="115"/>
      <c r="AO1122" s="116"/>
      <c r="AP1122" s="116"/>
      <c r="AQ1122" s="116"/>
      <c r="AR1122" s="116"/>
      <c r="AS1122" s="116"/>
      <c r="AT1122" s="116"/>
      <c r="AU1122" s="116"/>
      <c r="AV1122" s="78"/>
      <c r="AW1122" s="102"/>
      <c r="AX1122" s="78"/>
      <c r="AY1122" s="78"/>
      <c r="AZ1122" s="78"/>
      <c r="BA1122" s="78"/>
      <c r="BB1122" s="78"/>
      <c r="BC1122" s="78"/>
      <c r="BD1122" s="78"/>
      <c r="BE1122" s="465"/>
      <c r="BF1122" s="165" t="str">
        <f t="shared" si="827"/>
        <v>https://www.google.com/search?tbm=isch&amp;q=Chamaecyparis%20obtusa%20%27Lutea%20Compacta%27%20Compact%20Golden%20Cypress</v>
      </c>
      <c r="BG1122" s="165" t="str">
        <f t="shared" si="828"/>
        <v>C</v>
      </c>
      <c r="BH1122" s="65"/>
      <c r="BI1122" s="65"/>
      <c r="BJ1122" s="65"/>
      <c r="BK1122" s="65"/>
      <c r="BL1122" s="99"/>
      <c r="BM1122" s="99"/>
      <c r="BN1122" s="99"/>
    </row>
    <row r="1123" spans="1:66" s="51" customFormat="1" ht="27" x14ac:dyDescent="0.25">
      <c r="A1123" s="478">
        <v>7</v>
      </c>
      <c r="B1123" s="479" t="s">
        <v>291</v>
      </c>
      <c r="C1123" s="480" t="s">
        <v>2138</v>
      </c>
      <c r="D1123" s="481" t="s">
        <v>299</v>
      </c>
      <c r="E1123" s="482">
        <v>107.95</v>
      </c>
      <c r="F1123" s="483" t="s">
        <v>292</v>
      </c>
      <c r="G1123" s="484">
        <v>0</v>
      </c>
      <c r="H1123" s="688" t="str">
        <f>IF(G1123=0,"",IF(F1123="Buy",IF(G1123=1,"plant","plants"),IF(F1123&gt;0.01,"warranty","Error")))</f>
        <v/>
      </c>
      <c r="I1123" s="485">
        <f>IF(H1123="free",0,IF(H1123="credit",((E1123*(F1123))*G1123*-1),IF(F1123="Buy",(E1123*G1123),((E1123*(1-F1123))*G1123))))</f>
        <v>0</v>
      </c>
      <c r="J1123" s="485">
        <f>IF(H1123="warranty",0,(I1123*(_xlfn.SINGLE(SalesTaxPercentage))))</f>
        <v>0</v>
      </c>
      <c r="K1123" s="715">
        <f t="shared" ref="K1123" si="836">I1123+J1123</f>
        <v>0</v>
      </c>
      <c r="L1123" s="715"/>
      <c r="M1123" s="689" t="str">
        <f ca="1">IF(AND(G1123&gt;0,E1123=0),"WARNING - no PRICE inserted",IF(H1123="free","FREE ~ no charge this plant",IF(H1123="credit",CONCATENATE("-$",ROUND(K1123*(1-_xlfn.SINGLE(T2GDiscount))*-1,2)," CREDIT after discount"),IF(_xlfn.SINGLE(T2GDiscount)=0,"",IF(G1123=0,"",IF(F1123="Buy",CONCATENATE("$",ROUND(K1123*(1-_xlfn.SINGLE(T2GDiscount)),2)," with ",(_xlfn.SINGLE(T2GDiscount)*100),"% discount"),CONCATENATE("$",ROUND(K1123*(1-_xlfn.SINGLE(T2GDiscount)),2)," with ",((_xlfn.SINGLE(T2GDiscount)*100+F1123*100)-(_xlfn.SINGLE(T2GDiscount)*100*F1123)),IF(F1123&gt;0,"% discounts",IF(_xlfn.SINGLE(NoWarrantyDiscount)&gt;0,"% discounts","% discount")))))))))</f>
        <v/>
      </c>
      <c r="N1123" s="690"/>
      <c r="O1123" s="486"/>
      <c r="P1123" s="486"/>
      <c r="Q1123" s="486"/>
      <c r="R1123" s="486"/>
      <c r="S1123" s="486"/>
      <c r="T1123" s="102">
        <f t="shared" si="816"/>
        <v>0</v>
      </c>
      <c r="U1123" s="78">
        <f>IF(NOT(ISNUMBER(G1123)), "", VLOOKUP(A1123,'Discount Lookup'!D:E,2,FALSE)*G1123)</f>
        <v>0</v>
      </c>
      <c r="V1123" s="78">
        <f>IF(NOT(ISNUMBER(G1123)), "", VLOOKUP(A1123,'Discount Lookup'!G:H,2,FALSE)*G1123)</f>
        <v>0</v>
      </c>
      <c r="W1123" s="102">
        <f t="shared" si="817"/>
        <v>0</v>
      </c>
      <c r="X1123" s="102">
        <f t="shared" si="818"/>
        <v>0</v>
      </c>
      <c r="Y1123" s="120" t="b">
        <f t="shared" si="819"/>
        <v>0</v>
      </c>
      <c r="Z1123" s="117">
        <f t="shared" si="820"/>
        <v>0</v>
      </c>
      <c r="AA1123" s="118"/>
      <c r="AB1123" s="118" t="str">
        <f t="shared" si="821"/>
        <v/>
      </c>
      <c r="AC1123" s="712" t="str">
        <f>IF(AE1123="T2G","no charge",IF(AND(OR(PlanterYesMe="No",PlanterYesMe="N",PlanterYesMe="me"),H1123=""),"",IF(H1123="credit","NO install",IF(AND(K1123="",AE1123="me"),"EACH row",IF(AND(K1123="images",AE1123="me"),"EACH row",IF(D1123="","",IF(H1123="credit","",IF(AE1123="free","re-planting",IF(AE1123="me","   not ELP, by",IF(AND(OR(PlanterYesMe="Yes",PlanterYesMe="Y"),G1123&gt;0),(VLOOKUP(A1123,'Discount Lookup'!J:K,2)*G1123*(1-PlanterDiscount)*(1+PlanterDifficultyPercentage)),IF(AE1123="ELP",(VLOOKUP(A1123,'Discount Lookup'!J:K,2)*G1123*(1-PlanterDiscount)*(1+PlanterDifficultyPercentage)),IF(AE1123="free","re-planting",IF(G1123=0,"",IF(PlanterYesMe="",IF(AE1123="me","   not ELP, by",IF(AE1123="",IF(G1123&gt;0,(VLOOKUP(A1123,'Discount Lookup'!J:K,2)*G1123*(1-PlanterDiscount)*(1+PlanterDifficultyPercentage)),""),"")),"   not ELP, by"))))))))))))))</f>
        <v/>
      </c>
      <c r="AD1123" s="712"/>
      <c r="AE1123" s="513" t="str">
        <f t="shared" si="822"/>
        <v/>
      </c>
      <c r="AF1123" s="713" t="str">
        <f t="shared" si="823"/>
        <v/>
      </c>
      <c r="AG1123" s="713"/>
      <c r="AH1123" s="713"/>
      <c r="AI1123" s="112">
        <f>IF(H1123="credit",0,IF(AE1123="free",0,IF(AE1123="me",0,IF(G1123&gt;0,(VLOOKUP(A1123,'Discount Lookup'!J:K,2)*G1123),0))))</f>
        <v>0</v>
      </c>
      <c r="AJ1123" s="107" t="str">
        <f t="shared" ca="1" si="824"/>
        <v/>
      </c>
      <c r="AK1123" s="714" t="str">
        <f t="shared" si="825"/>
        <v/>
      </c>
      <c r="AL1123" s="714"/>
      <c r="AM1123" s="114" t="str">
        <f t="shared" si="826"/>
        <v/>
      </c>
      <c r="AN1123" s="115"/>
      <c r="AO1123" s="116"/>
      <c r="AP1123" s="116"/>
      <c r="AQ1123" s="116"/>
      <c r="AR1123" s="116"/>
      <c r="AS1123" s="116"/>
      <c r="AT1123" s="116"/>
      <c r="AU1123" s="116"/>
      <c r="AV1123" s="78"/>
      <c r="AW1123" s="102"/>
      <c r="AX1123" s="78"/>
      <c r="AY1123" s="78"/>
      <c r="AZ1123" s="78"/>
      <c r="BA1123" s="78"/>
      <c r="BB1123" s="78"/>
      <c r="BC1123" s="78"/>
      <c r="BD1123" s="78"/>
      <c r="BE1123" s="465"/>
      <c r="BF1123" s="165" t="str">
        <f t="shared" si="827"/>
        <v>https://www.google.com/search?tbm=isch&amp;q=7%20G4</v>
      </c>
      <c r="BG1123" s="165" t="str">
        <f t="shared" si="828"/>
        <v>C</v>
      </c>
      <c r="BH1123" s="65"/>
      <c r="BI1123" s="65"/>
      <c r="BJ1123" s="65"/>
      <c r="BK1123" s="65"/>
      <c r="BL1123" s="99"/>
      <c r="BM1123" s="99"/>
      <c r="BN1123" s="99"/>
    </row>
    <row r="1124" spans="1:66" s="51" customFormat="1" ht="17.25" thickBot="1" x14ac:dyDescent="0.3">
      <c r="A1124" s="508" t="s">
        <v>2139</v>
      </c>
      <c r="B1124" s="487"/>
      <c r="C1124" s="707"/>
      <c r="D1124" s="487"/>
      <c r="E1124" s="487"/>
      <c r="F1124" s="488"/>
      <c r="G1124" s="489"/>
      <c r="H1124" s="487"/>
      <c r="I1124" s="490"/>
      <c r="J1124" s="490"/>
      <c r="K1124" s="491"/>
      <c r="L1124" s="547"/>
      <c r="M1124" s="528"/>
      <c r="N1124" s="492"/>
      <c r="O1124" s="493"/>
      <c r="P1124" s="494"/>
      <c r="Q1124" s="492"/>
      <c r="R1124" s="492"/>
      <c r="S1124" s="699" t="s">
        <v>5268</v>
      </c>
      <c r="T1124" s="102">
        <f t="shared" si="816"/>
        <v>0</v>
      </c>
      <c r="U1124" s="78" t="str">
        <f>IF(NOT(ISNUMBER(G1124)), "", VLOOKUP(A1124,'Discount Lookup'!D:E,2,FALSE)*G1124)</f>
        <v/>
      </c>
      <c r="V1124" s="78" t="str">
        <f>IF(NOT(ISNUMBER(G1124)), "", VLOOKUP(A1124,'Discount Lookup'!G:H,2,FALSE)*G1124)</f>
        <v/>
      </c>
      <c r="W1124" s="102">
        <f t="shared" si="817"/>
        <v>0</v>
      </c>
      <c r="X1124" s="102">
        <f t="shared" si="818"/>
        <v>0</v>
      </c>
      <c r="Y1124" s="120" t="b">
        <f t="shared" si="819"/>
        <v>0</v>
      </c>
      <c r="Z1124" s="117">
        <f t="shared" si="820"/>
        <v>0</v>
      </c>
      <c r="AA1124" s="118"/>
      <c r="AB1124" s="118" t="str">
        <f t="shared" si="821"/>
        <v/>
      </c>
      <c r="AC1124" s="712" t="str">
        <f>IF(AE1124="T2G","no charge",IF(AND(OR(PlanterYesMe="No",PlanterYesMe="N",PlanterYesMe="me"),H1124=""),"",IF(H1124="credit","NO install",IF(AND(K1124="",AE1124="me"),"EACH row",IF(AND(K1124="images",AE1124="me"),"EACH row",IF(D1124="","",IF(H1124="credit","",IF(AE1124="free","re-planting",IF(AE1124="me","   not ELP, by",IF(AND(OR(PlanterYesMe="Yes",PlanterYesMe="Y"),G1124&gt;0),(VLOOKUP(A1124,'Discount Lookup'!J:K,2)*G1124*(1-PlanterDiscount)*(1+PlanterDifficultyPercentage)),IF(AE1124="ELP",(VLOOKUP(A1124,'Discount Lookup'!J:K,2)*G1124*(1-PlanterDiscount)*(1+PlanterDifficultyPercentage)),IF(AE1124="free","re-planting",IF(G1124=0,"",IF(PlanterYesMe="",IF(AE1124="me","   not ELP, by",IF(AE1124="",IF(G1124&gt;0,(VLOOKUP(A1124,'Discount Lookup'!J:K,2)*G1124*(1-PlanterDiscount)*(1+PlanterDifficultyPercentage)),""),"")),"   not ELP, by"))))))))))))))</f>
        <v/>
      </c>
      <c r="AD1124" s="712"/>
      <c r="AE1124" s="513" t="str">
        <f t="shared" si="822"/>
        <v/>
      </c>
      <c r="AF1124" s="713" t="str">
        <f t="shared" si="823"/>
        <v/>
      </c>
      <c r="AG1124" s="713"/>
      <c r="AH1124" s="713"/>
      <c r="AI1124" s="112">
        <f>IF(H1124="credit",0,IF(AE1124="free",0,IF(AE1124="me",0,IF(G1124&gt;0,(VLOOKUP(A1124,'Discount Lookup'!J:K,2)*G1124),0))))</f>
        <v>0</v>
      </c>
      <c r="AJ1124" s="107" t="str">
        <f t="shared" ca="1" si="824"/>
        <v/>
      </c>
      <c r="AK1124" s="714" t="str">
        <f t="shared" si="825"/>
        <v/>
      </c>
      <c r="AL1124" s="714"/>
      <c r="AM1124" s="114" t="str">
        <f t="shared" si="826"/>
        <v/>
      </c>
      <c r="AN1124" s="115"/>
      <c r="AO1124" s="116"/>
      <c r="AP1124" s="116"/>
      <c r="AQ1124" s="116"/>
      <c r="AR1124" s="116"/>
      <c r="AS1124" s="116"/>
      <c r="AT1124" s="116"/>
      <c r="AU1124" s="116"/>
      <c r="AV1124" s="78"/>
      <c r="AW1124" s="102"/>
      <c r="AX1124" s="78"/>
      <c r="AY1124" s="78"/>
      <c r="AZ1124" s="78"/>
      <c r="BA1124" s="78"/>
      <c r="BB1124" s="78"/>
      <c r="BC1124" s="78"/>
      <c r="BD1124" s="78"/>
      <c r="BE1124" s="465"/>
      <c r="BF1124" s="165" t="str">
        <f t="shared" si="827"/>
        <v>https://www.google.com/search?tbm=isch&amp;q=Compact%20Golden%20offers%20a%20luminous%20Golden%20accent%20with%20gently%20twisting%20sprays%20and%20a%20compact%2C%20upright%20habit%20</v>
      </c>
      <c r="BG1124" s="165" t="str">
        <f t="shared" si="828"/>
        <v>C</v>
      </c>
      <c r="BH1124" s="65"/>
      <c r="BI1124" s="65"/>
      <c r="BJ1124" s="65"/>
      <c r="BK1124" s="65"/>
      <c r="BL1124" s="99"/>
      <c r="BM1124" s="99"/>
      <c r="BN1124" s="99"/>
    </row>
    <row r="1125" spans="1:66" s="51" customFormat="1" ht="18" x14ac:dyDescent="0.25">
      <c r="A1125" s="507" t="s">
        <v>2140</v>
      </c>
      <c r="B1125" s="470"/>
      <c r="C1125" s="706"/>
      <c r="D1125" s="471" t="s">
        <v>2141</v>
      </c>
      <c r="E1125" s="472"/>
      <c r="F1125" s="472"/>
      <c r="G1125" s="472"/>
      <c r="H1125" s="622" t="s">
        <v>1498</v>
      </c>
      <c r="I1125" s="473" t="s">
        <v>431</v>
      </c>
      <c r="J1125" s="472"/>
      <c r="K1125" s="472"/>
      <c r="L1125" s="561"/>
      <c r="M1125" s="698" t="s">
        <v>5246</v>
      </c>
      <c r="N1125" s="692" t="str">
        <f>IF(AND(ISTEXT($A1125), ISERROR($A1125+0)), HYPERLINK($BF1125, "Images"), "")</f>
        <v>Images</v>
      </c>
      <c r="O1125" s="694" t="s">
        <v>5247</v>
      </c>
      <c r="P1125" s="475"/>
      <c r="Q1125" s="476"/>
      <c r="R1125" s="476"/>
      <c r="S1125" s="477"/>
      <c r="T1125" s="102">
        <f t="shared" si="816"/>
        <v>0</v>
      </c>
      <c r="U1125" s="78" t="str">
        <f>IF(NOT(ISNUMBER(G1125)), "", VLOOKUP(A1125,'Discount Lookup'!D:E,2,FALSE)*G1125)</f>
        <v/>
      </c>
      <c r="V1125" s="78" t="str">
        <f>IF(NOT(ISNUMBER(G1125)), "", VLOOKUP(A1125,'Discount Lookup'!G:H,2,FALSE)*G1125)</f>
        <v/>
      </c>
      <c r="W1125" s="102">
        <f t="shared" si="817"/>
        <v>0</v>
      </c>
      <c r="X1125" s="102" t="str">
        <f t="shared" si="818"/>
        <v>Dark Green foliage</v>
      </c>
      <c r="Y1125" s="120" t="b">
        <f t="shared" si="819"/>
        <v>0</v>
      </c>
      <c r="Z1125" s="117">
        <f t="shared" si="820"/>
        <v>0</v>
      </c>
      <c r="AA1125" s="118"/>
      <c r="AB1125" s="118" t="str">
        <f t="shared" si="821"/>
        <v/>
      </c>
      <c r="AC1125" s="712" t="str">
        <f>IF(AE1125="T2G","no charge",IF(AND(OR(PlanterYesMe="No",PlanterYesMe="N",PlanterYesMe="me"),H1125=""),"",IF(H1125="credit","NO install",IF(AND(K1125="",AE1125="me"),"EACH row",IF(AND(K1125="images",AE1125="me"),"EACH row",IF(D1125="","",IF(H1125="credit","",IF(AE1125="free","re-planting",IF(AE1125="me","   not ELP, by",IF(AND(OR(PlanterYesMe="Yes",PlanterYesMe="Y"),G1125&gt;0),(VLOOKUP(A1125,'Discount Lookup'!J:K,2)*G1125*(1-PlanterDiscount)*(1+PlanterDifficultyPercentage)),IF(AE1125="ELP",(VLOOKUP(A1125,'Discount Lookup'!J:K,2)*G1125*(1-PlanterDiscount)*(1+PlanterDifficultyPercentage)),IF(AE1125="free","re-planting",IF(G1125=0,"",IF(PlanterYesMe="",IF(AE1125="me","   not ELP, by",IF(AE1125="",IF(G1125&gt;0,(VLOOKUP(A1125,'Discount Lookup'!J:K,2)*G1125*(1-PlanterDiscount)*(1+PlanterDifficultyPercentage)),""),"")),"   not ELP, by"))))))))))))))</f>
        <v/>
      </c>
      <c r="AD1125" s="712"/>
      <c r="AE1125" s="513" t="str">
        <f t="shared" si="822"/>
        <v/>
      </c>
      <c r="AF1125" s="713" t="str">
        <f t="shared" si="823"/>
        <v/>
      </c>
      <c r="AG1125" s="713"/>
      <c r="AH1125" s="713"/>
      <c r="AI1125" s="112">
        <f>IF(H1125="credit",0,IF(AE1125="free",0,IF(AE1125="me",0,IF(G1125&gt;0,(VLOOKUP(A1125,'Discount Lookup'!J:K,2)*G1125),0))))</f>
        <v>0</v>
      </c>
      <c r="AJ1125" s="107" t="str">
        <f t="shared" ca="1" si="824"/>
        <v/>
      </c>
      <c r="AK1125" s="714" t="str">
        <f t="shared" si="825"/>
        <v/>
      </c>
      <c r="AL1125" s="714"/>
      <c r="AM1125" s="114" t="str">
        <f t="shared" si="826"/>
        <v/>
      </c>
      <c r="AN1125" s="115"/>
      <c r="AO1125" s="116"/>
      <c r="AP1125" s="116"/>
      <c r="AQ1125" s="116"/>
      <c r="AR1125" s="116"/>
      <c r="AS1125" s="116"/>
      <c r="AT1125" s="116"/>
      <c r="AU1125" s="116"/>
      <c r="AV1125" s="78"/>
      <c r="AW1125" s="102"/>
      <c r="AX1125" s="78"/>
      <c r="AY1125" s="78"/>
      <c r="AZ1125" s="78"/>
      <c r="BA1125" s="78"/>
      <c r="BB1125" s="78"/>
      <c r="BC1125" s="78"/>
      <c r="BD1125" s="78"/>
      <c r="BE1125" s="465"/>
      <c r="BF1125" s="165" t="str">
        <f t="shared" si="827"/>
        <v>https://www.google.com/search?tbm=isch&amp;q=Chamaecyparis%20obtusa%20%27Nana%20Gracilis%27%20Dwarf%20Hinoki%20Cypress</v>
      </c>
      <c r="BG1125" s="165" t="str">
        <f t="shared" si="828"/>
        <v>C</v>
      </c>
      <c r="BH1125" s="65"/>
      <c r="BI1125" s="65"/>
      <c r="BJ1125" s="65"/>
      <c r="BK1125" s="65"/>
      <c r="BL1125" s="99"/>
      <c r="BM1125" s="99"/>
      <c r="BN1125" s="99"/>
    </row>
    <row r="1126" spans="1:66" s="51" customFormat="1" ht="15.75" x14ac:dyDescent="0.25">
      <c r="A1126" s="478">
        <v>3</v>
      </c>
      <c r="B1126" s="479" t="s">
        <v>291</v>
      </c>
      <c r="C1126" s="480" t="s">
        <v>2142</v>
      </c>
      <c r="D1126" s="481" t="s">
        <v>299</v>
      </c>
      <c r="E1126" s="482">
        <v>43.95</v>
      </c>
      <c r="F1126" s="483" t="s">
        <v>292</v>
      </c>
      <c r="G1126" s="484">
        <v>0</v>
      </c>
      <c r="H1126" s="688" t="str">
        <f>IF(G1126=0,"",IF(F1126="Buy",IF(G1126=1,"plant","plants"),IF(F1126&gt;0.01,"warranty","Error")))</f>
        <v/>
      </c>
      <c r="I1126" s="485">
        <f>IF(H1126="free",0,IF(H1126="credit",((E1126*(F1126))*G1126*-1),IF(F1126="Buy",(E1126*G1126),((E1126*(1-F1126))*G1126))))</f>
        <v>0</v>
      </c>
      <c r="J1126" s="485">
        <f>IF(H1126="warranty",0,(I1126*(_xlfn.SINGLE(SalesTaxPercentage))))</f>
        <v>0</v>
      </c>
      <c r="K1126" s="715">
        <f t="shared" ref="K1126" si="837">I1126+J1126</f>
        <v>0</v>
      </c>
      <c r="L1126" s="715"/>
      <c r="M1126" s="689" t="str">
        <f ca="1">IF(AND(G1126&gt;0,E1126=0),"WARNING - no PRICE inserted",IF(H1126="free","FREE ~ no charge this plant",IF(H1126="credit",CONCATENATE("-$",ROUND(K1126*(1-_xlfn.SINGLE(T2GDiscount))*-1,2)," CREDIT after discount"),IF(_xlfn.SINGLE(T2GDiscount)=0,"",IF(G1126=0,"",IF(F1126="Buy",CONCATENATE("$",ROUND(K1126*(1-_xlfn.SINGLE(T2GDiscount)),2)," with ",(_xlfn.SINGLE(T2GDiscount)*100),"% discount"),CONCATENATE("$",ROUND(K1126*(1-_xlfn.SINGLE(T2GDiscount)),2)," with ",((_xlfn.SINGLE(T2GDiscount)*100+F1126*100)-(_xlfn.SINGLE(T2GDiscount)*100*F1126)),IF(F1126&gt;0,"% discounts",IF(_xlfn.SINGLE(NoWarrantyDiscount)&gt;0,"% discounts","% discount")))))))))</f>
        <v/>
      </c>
      <c r="N1126" s="690"/>
      <c r="O1126" s="486"/>
      <c r="P1126" s="486"/>
      <c r="Q1126" s="486"/>
      <c r="R1126" s="486"/>
      <c r="S1126" s="486"/>
      <c r="T1126" s="102">
        <f t="shared" si="816"/>
        <v>0</v>
      </c>
      <c r="U1126" s="78">
        <f>IF(NOT(ISNUMBER(G1126)), "", VLOOKUP(A1126,'Discount Lookup'!D:E,2,FALSE)*G1126)</f>
        <v>0</v>
      </c>
      <c r="V1126" s="78">
        <f>IF(NOT(ISNUMBER(G1126)), "", VLOOKUP(A1126,'Discount Lookup'!G:H,2,FALSE)*G1126)</f>
        <v>0</v>
      </c>
      <c r="W1126" s="102">
        <f t="shared" si="817"/>
        <v>0</v>
      </c>
      <c r="X1126" s="102">
        <f t="shared" si="818"/>
        <v>0</v>
      </c>
      <c r="Y1126" s="120" t="b">
        <f t="shared" si="819"/>
        <v>0</v>
      </c>
      <c r="Z1126" s="117">
        <f t="shared" si="820"/>
        <v>0</v>
      </c>
      <c r="AA1126" s="118"/>
      <c r="AB1126" s="118" t="str">
        <f t="shared" si="821"/>
        <v/>
      </c>
      <c r="AC1126" s="712" t="str">
        <f>IF(AE1126="T2G","no charge",IF(AND(OR(PlanterYesMe="No",PlanterYesMe="N",PlanterYesMe="me"),H1126=""),"",IF(H1126="credit","NO install",IF(AND(K1126="",AE1126="me"),"EACH row",IF(AND(K1126="images",AE1126="me"),"EACH row",IF(D1126="","",IF(H1126="credit","",IF(AE1126="free","re-planting",IF(AE1126="me","   not ELP, by",IF(AND(OR(PlanterYesMe="Yes",PlanterYesMe="Y"),G1126&gt;0),(VLOOKUP(A1126,'Discount Lookup'!J:K,2)*G1126*(1-PlanterDiscount)*(1+PlanterDifficultyPercentage)),IF(AE1126="ELP",(VLOOKUP(A1126,'Discount Lookup'!J:K,2)*G1126*(1-PlanterDiscount)*(1+PlanterDifficultyPercentage)),IF(AE1126="free","re-planting",IF(G1126=0,"",IF(PlanterYesMe="",IF(AE1126="me","   not ELP, by",IF(AE1126="",IF(G1126&gt;0,(VLOOKUP(A1126,'Discount Lookup'!J:K,2)*G1126*(1-PlanterDiscount)*(1+PlanterDifficultyPercentage)),""),"")),"   not ELP, by"))))))))))))))</f>
        <v/>
      </c>
      <c r="AD1126" s="712"/>
      <c r="AE1126" s="513" t="str">
        <f t="shared" si="822"/>
        <v/>
      </c>
      <c r="AF1126" s="713" t="str">
        <f t="shared" si="823"/>
        <v/>
      </c>
      <c r="AG1126" s="713"/>
      <c r="AH1126" s="713"/>
      <c r="AI1126" s="112">
        <f>IF(H1126="credit",0,IF(AE1126="free",0,IF(AE1126="me",0,IF(G1126&gt;0,(VLOOKUP(A1126,'Discount Lookup'!J:K,2)*G1126),0))))</f>
        <v>0</v>
      </c>
      <c r="AJ1126" s="107" t="str">
        <f t="shared" ca="1" si="824"/>
        <v/>
      </c>
      <c r="AK1126" s="714" t="str">
        <f t="shared" si="825"/>
        <v/>
      </c>
      <c r="AL1126" s="714"/>
      <c r="AM1126" s="114" t="str">
        <f t="shared" si="826"/>
        <v/>
      </c>
      <c r="AN1126" s="115"/>
      <c r="AO1126" s="116"/>
      <c r="AP1126" s="116"/>
      <c r="AQ1126" s="116"/>
      <c r="AR1126" s="116"/>
      <c r="AS1126" s="116"/>
      <c r="AT1126" s="116"/>
      <c r="AU1126" s="116"/>
      <c r="AV1126" s="78"/>
      <c r="AW1126" s="102"/>
      <c r="AX1126" s="78"/>
      <c r="AY1126" s="78"/>
      <c r="AZ1126" s="78"/>
      <c r="BA1126" s="78"/>
      <c r="BB1126" s="78"/>
      <c r="BC1126" s="78"/>
      <c r="BD1126" s="78"/>
      <c r="BE1126" s="465"/>
      <c r="BF1126" s="165" t="str">
        <f t="shared" si="827"/>
        <v>https://www.google.com/search?tbm=isch&amp;q=3%20G4</v>
      </c>
      <c r="BG1126" s="165" t="str">
        <f t="shared" si="828"/>
        <v>C</v>
      </c>
      <c r="BH1126" s="65"/>
      <c r="BI1126" s="65"/>
      <c r="BJ1126" s="65"/>
      <c r="BK1126" s="65"/>
      <c r="BL1126" s="99"/>
      <c r="BM1126" s="99"/>
      <c r="BN1126" s="99"/>
    </row>
    <row r="1127" spans="1:66" s="51" customFormat="1" ht="15.75" x14ac:dyDescent="0.25">
      <c r="A1127" s="478">
        <v>7</v>
      </c>
      <c r="B1127" s="479" t="s">
        <v>291</v>
      </c>
      <c r="C1127" s="480" t="s">
        <v>2143</v>
      </c>
      <c r="D1127" s="481" t="s">
        <v>299</v>
      </c>
      <c r="E1127" s="482">
        <v>111.95</v>
      </c>
      <c r="F1127" s="483" t="s">
        <v>292</v>
      </c>
      <c r="G1127" s="484">
        <v>0</v>
      </c>
      <c r="H1127" s="688" t="str">
        <f>IF(G1127=0,"",IF(F1127="Buy",IF(G1127=1,"plant","plants"),IF(F1127&gt;0.01,"warranty","Error")))</f>
        <v/>
      </c>
      <c r="I1127" s="485">
        <f>IF(H1127="free",0,IF(H1127="credit",((E1127*(F1127))*G1127*-1),IF(F1127="Buy",(E1127*G1127),((E1127*(1-F1127))*G1127))))</f>
        <v>0</v>
      </c>
      <c r="J1127" s="485">
        <f>IF(H1127="warranty",0,(I1127*(_xlfn.SINGLE(SalesTaxPercentage))))</f>
        <v>0</v>
      </c>
      <c r="K1127" s="715">
        <f t="shared" ref="K1127" si="838">I1127+J1127</f>
        <v>0</v>
      </c>
      <c r="L1127" s="715"/>
      <c r="M1127" s="689" t="str">
        <f ca="1">IF(AND(G1127&gt;0,E1127=0),"WARNING - no PRICE inserted",IF(H1127="free","FREE ~ no charge this plant",IF(H1127="credit",CONCATENATE("-$",ROUND(K1127*(1-_xlfn.SINGLE(T2GDiscount))*-1,2)," CREDIT after discount"),IF(_xlfn.SINGLE(T2GDiscount)=0,"",IF(G1127=0,"",IF(F1127="Buy",CONCATENATE("$",ROUND(K1127*(1-_xlfn.SINGLE(T2GDiscount)),2)," with ",(_xlfn.SINGLE(T2GDiscount)*100),"% discount"),CONCATENATE("$",ROUND(K1127*(1-_xlfn.SINGLE(T2GDiscount)),2)," with ",((_xlfn.SINGLE(T2GDiscount)*100+F1127*100)-(_xlfn.SINGLE(T2GDiscount)*100*F1127)),IF(F1127&gt;0,"% discounts",IF(_xlfn.SINGLE(NoWarrantyDiscount)&gt;0,"% discounts","% discount")))))))))</f>
        <v/>
      </c>
      <c r="N1127" s="690"/>
      <c r="O1127" s="486"/>
      <c r="P1127" s="486"/>
      <c r="Q1127" s="486"/>
      <c r="R1127" s="486"/>
      <c r="S1127" s="486"/>
      <c r="T1127" s="102">
        <f t="shared" si="816"/>
        <v>0</v>
      </c>
      <c r="U1127" s="78">
        <f>IF(NOT(ISNUMBER(G1127)), "", VLOOKUP(A1127,'Discount Lookup'!D:E,2,FALSE)*G1127)</f>
        <v>0</v>
      </c>
      <c r="V1127" s="78">
        <f>IF(NOT(ISNUMBER(G1127)), "", VLOOKUP(A1127,'Discount Lookup'!G:H,2,FALSE)*G1127)</f>
        <v>0</v>
      </c>
      <c r="W1127" s="102">
        <f t="shared" si="817"/>
        <v>0</v>
      </c>
      <c r="X1127" s="102">
        <f t="shared" si="818"/>
        <v>0</v>
      </c>
      <c r="Y1127" s="120" t="b">
        <f t="shared" si="819"/>
        <v>0</v>
      </c>
      <c r="Z1127" s="117">
        <f t="shared" si="820"/>
        <v>0</v>
      </c>
      <c r="AA1127" s="118"/>
      <c r="AB1127" s="118" t="str">
        <f t="shared" si="821"/>
        <v/>
      </c>
      <c r="AC1127" s="712" t="str">
        <f>IF(AE1127="T2G","no charge",IF(AND(OR(PlanterYesMe="No",PlanterYesMe="N",PlanterYesMe="me"),H1127=""),"",IF(H1127="credit","NO install",IF(AND(K1127="",AE1127="me"),"EACH row",IF(AND(K1127="images",AE1127="me"),"EACH row",IF(D1127="","",IF(H1127="credit","",IF(AE1127="free","re-planting",IF(AE1127="me","   not ELP, by",IF(AND(OR(PlanterYesMe="Yes",PlanterYesMe="Y"),G1127&gt;0),(VLOOKUP(A1127,'Discount Lookup'!J:K,2)*G1127*(1-PlanterDiscount)*(1+PlanterDifficultyPercentage)),IF(AE1127="ELP",(VLOOKUP(A1127,'Discount Lookup'!J:K,2)*G1127*(1-PlanterDiscount)*(1+PlanterDifficultyPercentage)),IF(AE1127="free","re-planting",IF(G1127=0,"",IF(PlanterYesMe="",IF(AE1127="me","   not ELP, by",IF(AE1127="",IF(G1127&gt;0,(VLOOKUP(A1127,'Discount Lookup'!J:K,2)*G1127*(1-PlanterDiscount)*(1+PlanterDifficultyPercentage)),""),"")),"   not ELP, by"))))))))))))))</f>
        <v/>
      </c>
      <c r="AD1127" s="712"/>
      <c r="AE1127" s="513" t="str">
        <f t="shared" si="822"/>
        <v/>
      </c>
      <c r="AF1127" s="713" t="str">
        <f t="shared" si="823"/>
        <v/>
      </c>
      <c r="AG1127" s="713"/>
      <c r="AH1127" s="713"/>
      <c r="AI1127" s="112">
        <f>IF(H1127="credit",0,IF(AE1127="free",0,IF(AE1127="me",0,IF(G1127&gt;0,(VLOOKUP(A1127,'Discount Lookup'!J:K,2)*G1127),0))))</f>
        <v>0</v>
      </c>
      <c r="AJ1127" s="107" t="str">
        <f t="shared" ca="1" si="824"/>
        <v/>
      </c>
      <c r="AK1127" s="714" t="str">
        <f t="shared" si="825"/>
        <v/>
      </c>
      <c r="AL1127" s="714"/>
      <c r="AM1127" s="114" t="str">
        <f t="shared" si="826"/>
        <v/>
      </c>
      <c r="AN1127" s="115"/>
      <c r="AO1127" s="116"/>
      <c r="AP1127" s="116"/>
      <c r="AQ1127" s="116"/>
      <c r="AR1127" s="116"/>
      <c r="AS1127" s="116"/>
      <c r="AT1127" s="116"/>
      <c r="AU1127" s="116"/>
      <c r="AV1127" s="78"/>
      <c r="AW1127" s="102"/>
      <c r="AX1127" s="78"/>
      <c r="AY1127" s="78"/>
      <c r="AZ1127" s="78"/>
      <c r="BA1127" s="78"/>
      <c r="BB1127" s="78"/>
      <c r="BC1127" s="78"/>
      <c r="BD1127" s="78"/>
      <c r="BE1127" s="465"/>
      <c r="BF1127" s="165" t="str">
        <f t="shared" si="827"/>
        <v>https://www.google.com/search?tbm=isch&amp;q=7%20G4</v>
      </c>
      <c r="BG1127" s="165" t="str">
        <f t="shared" si="828"/>
        <v>C</v>
      </c>
      <c r="BH1127" s="65"/>
      <c r="BI1127" s="65"/>
      <c r="BJ1127" s="65"/>
      <c r="BK1127" s="65"/>
      <c r="BL1127" s="99"/>
      <c r="BM1127" s="99"/>
      <c r="BN1127" s="99"/>
    </row>
    <row r="1128" spans="1:66" s="51" customFormat="1" ht="27" x14ac:dyDescent="0.25">
      <c r="A1128" s="478">
        <v>15</v>
      </c>
      <c r="B1128" s="479" t="s">
        <v>291</v>
      </c>
      <c r="C1128" s="480" t="s">
        <v>2144</v>
      </c>
      <c r="D1128" s="481" t="s">
        <v>299</v>
      </c>
      <c r="E1128" s="482">
        <v>332.95</v>
      </c>
      <c r="F1128" s="483" t="s">
        <v>292</v>
      </c>
      <c r="G1128" s="484">
        <v>0</v>
      </c>
      <c r="H1128" s="688" t="str">
        <f>IF(G1128=0,"",IF(F1128="Buy",IF(G1128=1,"plant","plants"),IF(F1128&gt;0.01,"warranty","Error")))</f>
        <v/>
      </c>
      <c r="I1128" s="485">
        <f>IF(H1128="free",0,IF(H1128="credit",((E1128*(F1128))*G1128*-1),IF(F1128="Buy",(E1128*G1128),((E1128*(1-F1128))*G1128))))</f>
        <v>0</v>
      </c>
      <c r="J1128" s="485">
        <f>IF(H1128="warranty",0,(I1128*(_xlfn.SINGLE(SalesTaxPercentage))))</f>
        <v>0</v>
      </c>
      <c r="K1128" s="715">
        <f t="shared" ref="K1128" si="839">I1128+J1128</f>
        <v>0</v>
      </c>
      <c r="L1128" s="715"/>
      <c r="M1128" s="689" t="str">
        <f ca="1">IF(AND(G1128&gt;0,E1128=0),"WARNING - no PRICE inserted",IF(H1128="free","FREE ~ no charge this plant",IF(H1128="credit",CONCATENATE("-$",ROUND(K1128*(1-_xlfn.SINGLE(T2GDiscount))*-1,2)," CREDIT after discount"),IF(_xlfn.SINGLE(T2GDiscount)=0,"",IF(G1128=0,"",IF(F1128="Buy",CONCATENATE("$",ROUND(K1128*(1-_xlfn.SINGLE(T2GDiscount)),2)," with ",(_xlfn.SINGLE(T2GDiscount)*100),"% discount"),CONCATENATE("$",ROUND(K1128*(1-_xlfn.SINGLE(T2GDiscount)),2)," with ",((_xlfn.SINGLE(T2GDiscount)*100+F1128*100)-(_xlfn.SINGLE(T2GDiscount)*100*F1128)),IF(F1128&gt;0,"% discounts",IF(_xlfn.SINGLE(NoWarrantyDiscount)&gt;0,"% discounts","% discount")))))))))</f>
        <v/>
      </c>
      <c r="N1128" s="690"/>
      <c r="O1128" s="486"/>
      <c r="P1128" s="486"/>
      <c r="Q1128" s="486"/>
      <c r="R1128" s="486"/>
      <c r="S1128" s="486"/>
      <c r="T1128" s="102">
        <f t="shared" si="816"/>
        <v>0</v>
      </c>
      <c r="U1128" s="78">
        <f>IF(NOT(ISNUMBER(G1128)), "", VLOOKUP(A1128,'Discount Lookup'!D:E,2,FALSE)*G1128)</f>
        <v>0</v>
      </c>
      <c r="V1128" s="78">
        <f>IF(NOT(ISNUMBER(G1128)), "", VLOOKUP(A1128,'Discount Lookup'!G:H,2,FALSE)*G1128)</f>
        <v>0</v>
      </c>
      <c r="W1128" s="102">
        <f t="shared" si="817"/>
        <v>0</v>
      </c>
      <c r="X1128" s="102">
        <f t="shared" si="818"/>
        <v>0</v>
      </c>
      <c r="Y1128" s="120" t="b">
        <f t="shared" si="819"/>
        <v>0</v>
      </c>
      <c r="Z1128" s="117">
        <f t="shared" si="820"/>
        <v>0</v>
      </c>
      <c r="AA1128" s="118"/>
      <c r="AB1128" s="118" t="str">
        <f t="shared" si="821"/>
        <v/>
      </c>
      <c r="AC1128" s="712" t="str">
        <f>IF(AE1128="T2G","no charge",IF(AND(OR(PlanterYesMe="No",PlanterYesMe="N",PlanterYesMe="me"),H1128=""),"",IF(H1128="credit","NO install",IF(AND(K1128="",AE1128="me"),"EACH row",IF(AND(K1128="images",AE1128="me"),"EACH row",IF(D1128="","",IF(H1128="credit","",IF(AE1128="free","re-planting",IF(AE1128="me","   not ELP, by",IF(AND(OR(PlanterYesMe="Yes",PlanterYesMe="Y"),G1128&gt;0),(VLOOKUP(A1128,'Discount Lookup'!J:K,2)*G1128*(1-PlanterDiscount)*(1+PlanterDifficultyPercentage)),IF(AE1128="ELP",(VLOOKUP(A1128,'Discount Lookup'!J:K,2)*G1128*(1-PlanterDiscount)*(1+PlanterDifficultyPercentage)),IF(AE1128="free","re-planting",IF(G1128=0,"",IF(PlanterYesMe="",IF(AE1128="me","   not ELP, by",IF(AE1128="",IF(G1128&gt;0,(VLOOKUP(A1128,'Discount Lookup'!J:K,2)*G1128*(1-PlanterDiscount)*(1+PlanterDifficultyPercentage)),""),"")),"   not ELP, by"))))))))))))))</f>
        <v/>
      </c>
      <c r="AD1128" s="712"/>
      <c r="AE1128" s="513" t="str">
        <f t="shared" si="822"/>
        <v/>
      </c>
      <c r="AF1128" s="713" t="str">
        <f t="shared" si="823"/>
        <v/>
      </c>
      <c r="AG1128" s="713"/>
      <c r="AH1128" s="713"/>
      <c r="AI1128" s="112">
        <f>IF(H1128="credit",0,IF(AE1128="free",0,IF(AE1128="me",0,IF(G1128&gt;0,(VLOOKUP(A1128,'Discount Lookup'!J:K,2)*G1128),0))))</f>
        <v>0</v>
      </c>
      <c r="AJ1128" s="107" t="str">
        <f t="shared" ca="1" si="824"/>
        <v/>
      </c>
      <c r="AK1128" s="714" t="str">
        <f t="shared" si="825"/>
        <v/>
      </c>
      <c r="AL1128" s="714"/>
      <c r="AM1128" s="114" t="str">
        <f t="shared" si="826"/>
        <v/>
      </c>
      <c r="AN1128" s="115"/>
      <c r="AO1128" s="116"/>
      <c r="AP1128" s="116"/>
      <c r="AQ1128" s="116"/>
      <c r="AR1128" s="116"/>
      <c r="AS1128" s="116"/>
      <c r="AT1128" s="116"/>
      <c r="AU1128" s="116"/>
      <c r="AV1128" s="78"/>
      <c r="AW1128" s="102"/>
      <c r="AX1128" s="78"/>
      <c r="AY1128" s="78"/>
      <c r="AZ1128" s="78"/>
      <c r="BA1128" s="78"/>
      <c r="BB1128" s="78"/>
      <c r="BC1128" s="78"/>
      <c r="BD1128" s="78"/>
      <c r="BE1128" s="465"/>
      <c r="BF1128" s="165" t="str">
        <f t="shared" si="827"/>
        <v>https://www.google.com/search?tbm=isch&amp;q=15%20G4</v>
      </c>
      <c r="BG1128" s="165" t="str">
        <f t="shared" si="828"/>
        <v>C</v>
      </c>
      <c r="BH1128" s="65"/>
      <c r="BI1128" s="65"/>
      <c r="BJ1128" s="65"/>
      <c r="BK1128" s="65"/>
      <c r="BL1128" s="99"/>
      <c r="BM1128" s="99"/>
      <c r="BN1128" s="99"/>
    </row>
    <row r="1129" spans="1:66" s="51" customFormat="1" ht="16.5" thickBot="1" x14ac:dyDescent="0.3">
      <c r="A1129" s="508" t="s">
        <v>2145</v>
      </c>
      <c r="B1129" s="487"/>
      <c r="C1129" s="707"/>
      <c r="D1129" s="487"/>
      <c r="E1129" s="487"/>
      <c r="F1129" s="488"/>
      <c r="G1129" s="489"/>
      <c r="H1129" s="487"/>
      <c r="I1129" s="490"/>
      <c r="J1129" s="490"/>
      <c r="K1129" s="491"/>
      <c r="L1129" s="547"/>
      <c r="M1129" s="528"/>
      <c r="N1129" s="492"/>
      <c r="O1129" s="493"/>
      <c r="P1129" s="494"/>
      <c r="Q1129" s="492"/>
      <c r="R1129" s="492"/>
      <c r="S1129" s="495"/>
      <c r="T1129" s="102">
        <f t="shared" si="816"/>
        <v>0</v>
      </c>
      <c r="U1129" s="78" t="str">
        <f>IF(NOT(ISNUMBER(G1129)), "", VLOOKUP(A1129,'Discount Lookup'!D:E,2,FALSE)*G1129)</f>
        <v/>
      </c>
      <c r="V1129" s="78" t="str">
        <f>IF(NOT(ISNUMBER(G1129)), "", VLOOKUP(A1129,'Discount Lookup'!G:H,2,FALSE)*G1129)</f>
        <v/>
      </c>
      <c r="W1129" s="102">
        <f t="shared" si="817"/>
        <v>0</v>
      </c>
      <c r="X1129" s="102">
        <f t="shared" si="818"/>
        <v>0</v>
      </c>
      <c r="Y1129" s="120" t="b">
        <f t="shared" si="819"/>
        <v>0</v>
      </c>
      <c r="Z1129" s="117">
        <f t="shared" si="820"/>
        <v>0</v>
      </c>
      <c r="AA1129" s="118"/>
      <c r="AB1129" s="118" t="str">
        <f t="shared" si="821"/>
        <v/>
      </c>
      <c r="AC1129" s="712" t="str">
        <f>IF(AE1129="T2G","no charge",IF(AND(OR(PlanterYesMe="No",PlanterYesMe="N",PlanterYesMe="me"),H1129=""),"",IF(H1129="credit","NO install",IF(AND(K1129="",AE1129="me"),"EACH row",IF(AND(K1129="images",AE1129="me"),"EACH row",IF(D1129="","",IF(H1129="credit","",IF(AE1129="free","re-planting",IF(AE1129="me","   not ELP, by",IF(AND(OR(PlanterYesMe="Yes",PlanterYesMe="Y"),G1129&gt;0),(VLOOKUP(A1129,'Discount Lookup'!J:K,2)*G1129*(1-PlanterDiscount)*(1+PlanterDifficultyPercentage)),IF(AE1129="ELP",(VLOOKUP(A1129,'Discount Lookup'!J:K,2)*G1129*(1-PlanterDiscount)*(1+PlanterDifficultyPercentage)),IF(AE1129="free","re-planting",IF(G1129=0,"",IF(PlanterYesMe="",IF(AE1129="me","   not ELP, by",IF(AE1129="",IF(G1129&gt;0,(VLOOKUP(A1129,'Discount Lookup'!J:K,2)*G1129*(1-PlanterDiscount)*(1+PlanterDifficultyPercentage)),""),"")),"   not ELP, by"))))))))))))))</f>
        <v/>
      </c>
      <c r="AD1129" s="712"/>
      <c r="AE1129" s="513" t="str">
        <f t="shared" si="822"/>
        <v/>
      </c>
      <c r="AF1129" s="713" t="str">
        <f t="shared" si="823"/>
        <v/>
      </c>
      <c r="AG1129" s="713"/>
      <c r="AH1129" s="713"/>
      <c r="AI1129" s="112">
        <f>IF(H1129="credit",0,IF(AE1129="free",0,IF(AE1129="me",0,IF(G1129&gt;0,(VLOOKUP(A1129,'Discount Lookup'!J:K,2)*G1129),0))))</f>
        <v>0</v>
      </c>
      <c r="AJ1129" s="107" t="str">
        <f t="shared" ca="1" si="824"/>
        <v/>
      </c>
      <c r="AK1129" s="714" t="str">
        <f t="shared" si="825"/>
        <v/>
      </c>
      <c r="AL1129" s="714"/>
      <c r="AM1129" s="114" t="str">
        <f t="shared" si="826"/>
        <v/>
      </c>
      <c r="AN1129" s="115"/>
      <c r="AO1129" s="116"/>
      <c r="AP1129" s="116"/>
      <c r="AQ1129" s="116"/>
      <c r="AR1129" s="116"/>
      <c r="AS1129" s="116"/>
      <c r="AT1129" s="116"/>
      <c r="AU1129" s="116"/>
      <c r="AV1129" s="78"/>
      <c r="AW1129" s="102"/>
      <c r="AX1129" s="78"/>
      <c r="AY1129" s="78"/>
      <c r="AZ1129" s="78"/>
      <c r="BA1129" s="78"/>
      <c r="BB1129" s="78"/>
      <c r="BC1129" s="78"/>
      <c r="BD1129" s="78"/>
      <c r="BE1129" s="465"/>
      <c r="BF1129" s="165" t="str">
        <f t="shared" si="827"/>
        <v>https://www.google.com/search?tbm=isch&amp;q=Dwarf%20Hinoki%20is%20a%20slow-grower%2C%20with%20unique%20shell-like%20sprays%20that%20create%20a%20graceful%2C%20layered%20texture%20</v>
      </c>
      <c r="BG1129" s="165" t="str">
        <f t="shared" si="828"/>
        <v>D</v>
      </c>
      <c r="BH1129" s="65"/>
      <c r="BI1129" s="65"/>
      <c r="BJ1129" s="65"/>
      <c r="BK1129" s="65"/>
      <c r="BL1129" s="99"/>
      <c r="BM1129" s="99"/>
      <c r="BN1129" s="99"/>
    </row>
    <row r="1130" spans="1:66" s="51" customFormat="1" ht="18" x14ac:dyDescent="0.25">
      <c r="A1130" s="507" t="s">
        <v>2146</v>
      </c>
      <c r="B1130" s="470"/>
      <c r="C1130" s="706"/>
      <c r="D1130" s="471" t="s">
        <v>2147</v>
      </c>
      <c r="E1130" s="472"/>
      <c r="F1130" s="472"/>
      <c r="G1130" s="472"/>
      <c r="H1130" s="622" t="s">
        <v>1124</v>
      </c>
      <c r="I1130" s="473" t="s">
        <v>443</v>
      </c>
      <c r="J1130" s="472"/>
      <c r="K1130" s="472"/>
      <c r="L1130" s="561"/>
      <c r="M1130" s="698" t="s">
        <v>5246</v>
      </c>
      <c r="N1130" s="692" t="str">
        <f>IF(AND(ISTEXT($A1130), ISERROR($A1130+0)), HYPERLINK($BF1130, "Images"), "")</f>
        <v>Images</v>
      </c>
      <c r="O1130" s="694" t="s">
        <v>5247</v>
      </c>
      <c r="P1130" s="475"/>
      <c r="Q1130" s="476"/>
      <c r="R1130" s="476"/>
      <c r="S1130" s="477"/>
      <c r="T1130" s="102">
        <f t="shared" si="816"/>
        <v>0</v>
      </c>
      <c r="U1130" s="78" t="str">
        <f>IF(NOT(ISNUMBER(G1130)), "", VLOOKUP(A1130,'Discount Lookup'!D:E,2,FALSE)*G1130)</f>
        <v/>
      </c>
      <c r="V1130" s="78" t="str">
        <f>IF(NOT(ISNUMBER(G1130)), "", VLOOKUP(A1130,'Discount Lookup'!G:H,2,FALSE)*G1130)</f>
        <v/>
      </c>
      <c r="W1130" s="102">
        <f t="shared" si="817"/>
        <v>0</v>
      </c>
      <c r="X1130" s="102" t="str">
        <f t="shared" si="818"/>
        <v>Golden-Yellow foliage</v>
      </c>
      <c r="Y1130" s="120" t="b">
        <f t="shared" si="819"/>
        <v>0</v>
      </c>
      <c r="Z1130" s="117">
        <f t="shared" si="820"/>
        <v>0</v>
      </c>
      <c r="AA1130" s="118"/>
      <c r="AB1130" s="118" t="str">
        <f t="shared" si="821"/>
        <v/>
      </c>
      <c r="AC1130" s="712" t="str">
        <f>IF(AE1130="T2G","no charge",IF(AND(OR(PlanterYesMe="No",PlanterYesMe="N",PlanterYesMe="me"),H1130=""),"",IF(H1130="credit","NO install",IF(AND(K1130="",AE1130="me"),"EACH row",IF(AND(K1130="images",AE1130="me"),"EACH row",IF(D1130="","",IF(H1130="credit","",IF(AE1130="free","re-planting",IF(AE1130="me","   not ELP, by",IF(AND(OR(PlanterYesMe="Yes",PlanterYesMe="Y"),G1130&gt;0),(VLOOKUP(A1130,'Discount Lookup'!J:K,2)*G1130*(1-PlanterDiscount)*(1+PlanterDifficultyPercentage)),IF(AE1130="ELP",(VLOOKUP(A1130,'Discount Lookup'!J:K,2)*G1130*(1-PlanterDiscount)*(1+PlanterDifficultyPercentage)),IF(AE1130="free","re-planting",IF(G1130=0,"",IF(PlanterYesMe="",IF(AE1130="me","   not ELP, by",IF(AE1130="",IF(G1130&gt;0,(VLOOKUP(A1130,'Discount Lookup'!J:K,2)*G1130*(1-PlanterDiscount)*(1+PlanterDifficultyPercentage)),""),"")),"   not ELP, by"))))))))))))))</f>
        <v/>
      </c>
      <c r="AD1130" s="712"/>
      <c r="AE1130" s="513" t="str">
        <f t="shared" si="822"/>
        <v/>
      </c>
      <c r="AF1130" s="713" t="str">
        <f t="shared" si="823"/>
        <v/>
      </c>
      <c r="AG1130" s="713"/>
      <c r="AH1130" s="713"/>
      <c r="AI1130" s="112">
        <f>IF(H1130="credit",0,IF(AE1130="free",0,IF(AE1130="me",0,IF(G1130&gt;0,(VLOOKUP(A1130,'Discount Lookup'!J:K,2)*G1130),0))))</f>
        <v>0</v>
      </c>
      <c r="AJ1130" s="107" t="str">
        <f t="shared" ca="1" si="824"/>
        <v/>
      </c>
      <c r="AK1130" s="714" t="str">
        <f t="shared" si="825"/>
        <v/>
      </c>
      <c r="AL1130" s="714"/>
      <c r="AM1130" s="114" t="str">
        <f t="shared" si="826"/>
        <v/>
      </c>
      <c r="AN1130" s="115"/>
      <c r="AO1130" s="116"/>
      <c r="AP1130" s="116"/>
      <c r="AQ1130" s="116"/>
      <c r="AR1130" s="116"/>
      <c r="AS1130" s="116"/>
      <c r="AT1130" s="116"/>
      <c r="AU1130" s="116"/>
      <c r="AV1130" s="78"/>
      <c r="AW1130" s="102"/>
      <c r="AX1130" s="78"/>
      <c r="AY1130" s="78"/>
      <c r="AZ1130" s="78"/>
      <c r="BA1130" s="78"/>
      <c r="BB1130" s="78"/>
      <c r="BC1130" s="78"/>
      <c r="BD1130" s="78"/>
      <c r="BE1130" s="465"/>
      <c r="BF1130" s="165" t="str">
        <f t="shared" si="827"/>
        <v>https://www.google.com/search?tbm=isch&amp;q=Chamaecyparis%20obtusa%20%27Nana%20Lutea%27%20Golden%20Dwarf%20Hinoki%20Cypress</v>
      </c>
      <c r="BG1130" s="165" t="str">
        <f t="shared" si="828"/>
        <v>C</v>
      </c>
      <c r="BH1130" s="65"/>
      <c r="BI1130" s="65"/>
      <c r="BJ1130" s="65"/>
      <c r="BK1130" s="65"/>
      <c r="BL1130" s="99"/>
      <c r="BM1130" s="99"/>
      <c r="BN1130" s="99"/>
    </row>
    <row r="1131" spans="1:66" s="51" customFormat="1" ht="15.75" x14ac:dyDescent="0.25">
      <c r="A1131" s="478">
        <v>7</v>
      </c>
      <c r="B1131" s="479" t="s">
        <v>291</v>
      </c>
      <c r="C1131" s="480" t="s">
        <v>2148</v>
      </c>
      <c r="D1131" s="481" t="s">
        <v>299</v>
      </c>
      <c r="E1131" s="482">
        <v>155.94999999999999</v>
      </c>
      <c r="F1131" s="483" t="s">
        <v>292</v>
      </c>
      <c r="G1131" s="484">
        <v>0</v>
      </c>
      <c r="H1131" s="688" t="str">
        <f>IF(G1131=0,"",IF(F1131="Buy",IF(G1131=1,"plant","plants"),IF(F1131&gt;0.01,"warranty","Error")))</f>
        <v/>
      </c>
      <c r="I1131" s="485">
        <f>IF(H1131="free",0,IF(H1131="credit",((E1131*(F1131))*G1131*-1),IF(F1131="Buy",(E1131*G1131),((E1131*(1-F1131))*G1131))))</f>
        <v>0</v>
      </c>
      <c r="J1131" s="485">
        <f>IF(H1131="warranty",0,(I1131*(_xlfn.SINGLE(SalesTaxPercentage))))</f>
        <v>0</v>
      </c>
      <c r="K1131" s="715">
        <f t="shared" ref="K1131" si="840">I1131+J1131</f>
        <v>0</v>
      </c>
      <c r="L1131" s="715"/>
      <c r="M1131" s="689" t="str">
        <f ca="1">IF(AND(G1131&gt;0,E1131=0),"WARNING - no PRICE inserted",IF(H1131="free","FREE ~ no charge this plant",IF(H1131="credit",CONCATENATE("-$",ROUND(K1131*(1-_xlfn.SINGLE(T2GDiscount))*-1,2)," CREDIT after discount"),IF(_xlfn.SINGLE(T2GDiscount)=0,"",IF(G1131=0,"",IF(F1131="Buy",CONCATENATE("$",ROUND(K1131*(1-_xlfn.SINGLE(T2GDiscount)),2)," with ",(_xlfn.SINGLE(T2GDiscount)*100),"% discount"),CONCATENATE("$",ROUND(K1131*(1-_xlfn.SINGLE(T2GDiscount)),2)," with ",((_xlfn.SINGLE(T2GDiscount)*100+F1131*100)-(_xlfn.SINGLE(T2GDiscount)*100*F1131)),IF(F1131&gt;0,"% discounts",IF(_xlfn.SINGLE(NoWarrantyDiscount)&gt;0,"% discounts","% discount")))))))))</f>
        <v/>
      </c>
      <c r="N1131" s="690"/>
      <c r="O1131" s="486"/>
      <c r="P1131" s="486"/>
      <c r="Q1131" s="486"/>
      <c r="R1131" s="486"/>
      <c r="S1131" s="486"/>
      <c r="T1131" s="102">
        <f t="shared" si="816"/>
        <v>0</v>
      </c>
      <c r="U1131" s="78">
        <f>IF(NOT(ISNUMBER(G1131)), "", VLOOKUP(A1131,'Discount Lookup'!D:E,2,FALSE)*G1131)</f>
        <v>0</v>
      </c>
      <c r="V1131" s="78">
        <f>IF(NOT(ISNUMBER(G1131)), "", VLOOKUP(A1131,'Discount Lookup'!G:H,2,FALSE)*G1131)</f>
        <v>0</v>
      </c>
      <c r="W1131" s="102">
        <f t="shared" si="817"/>
        <v>0</v>
      </c>
      <c r="X1131" s="102">
        <f t="shared" si="818"/>
        <v>0</v>
      </c>
      <c r="Y1131" s="120" t="b">
        <f t="shared" si="819"/>
        <v>0</v>
      </c>
      <c r="Z1131" s="117">
        <f t="shared" si="820"/>
        <v>0</v>
      </c>
      <c r="AA1131" s="118"/>
      <c r="AB1131" s="118" t="str">
        <f t="shared" si="821"/>
        <v/>
      </c>
      <c r="AC1131" s="712" t="str">
        <f>IF(AE1131="T2G","no charge",IF(AND(OR(PlanterYesMe="No",PlanterYesMe="N",PlanterYesMe="me"),H1131=""),"",IF(H1131="credit","NO install",IF(AND(K1131="",AE1131="me"),"EACH row",IF(AND(K1131="images",AE1131="me"),"EACH row",IF(D1131="","",IF(H1131="credit","",IF(AE1131="free","re-planting",IF(AE1131="me","   not ELP, by",IF(AND(OR(PlanterYesMe="Yes",PlanterYesMe="Y"),G1131&gt;0),(VLOOKUP(A1131,'Discount Lookup'!J:K,2)*G1131*(1-PlanterDiscount)*(1+PlanterDifficultyPercentage)),IF(AE1131="ELP",(VLOOKUP(A1131,'Discount Lookup'!J:K,2)*G1131*(1-PlanterDiscount)*(1+PlanterDifficultyPercentage)),IF(AE1131="free","re-planting",IF(G1131=0,"",IF(PlanterYesMe="",IF(AE1131="me","   not ELP, by",IF(AE1131="",IF(G1131&gt;0,(VLOOKUP(A1131,'Discount Lookup'!J:K,2)*G1131*(1-PlanterDiscount)*(1+PlanterDifficultyPercentage)),""),"")),"   not ELP, by"))))))))))))))</f>
        <v/>
      </c>
      <c r="AD1131" s="712"/>
      <c r="AE1131" s="513" t="str">
        <f t="shared" si="822"/>
        <v/>
      </c>
      <c r="AF1131" s="713" t="str">
        <f t="shared" si="823"/>
        <v/>
      </c>
      <c r="AG1131" s="713"/>
      <c r="AH1131" s="713"/>
      <c r="AI1131" s="112">
        <f>IF(H1131="credit",0,IF(AE1131="free",0,IF(AE1131="me",0,IF(G1131&gt;0,(VLOOKUP(A1131,'Discount Lookup'!J:K,2)*G1131),0))))</f>
        <v>0</v>
      </c>
      <c r="AJ1131" s="107" t="str">
        <f t="shared" ca="1" si="824"/>
        <v/>
      </c>
      <c r="AK1131" s="714" t="str">
        <f t="shared" si="825"/>
        <v/>
      </c>
      <c r="AL1131" s="714"/>
      <c r="AM1131" s="114" t="str">
        <f t="shared" si="826"/>
        <v/>
      </c>
      <c r="AN1131" s="115"/>
      <c r="AO1131" s="116"/>
      <c r="AP1131" s="116"/>
      <c r="AQ1131" s="116"/>
      <c r="AR1131" s="116"/>
      <c r="AS1131" s="116"/>
      <c r="AT1131" s="116"/>
      <c r="AU1131" s="116"/>
      <c r="AV1131" s="78"/>
      <c r="AW1131" s="102"/>
      <c r="AX1131" s="78"/>
      <c r="AY1131" s="78"/>
      <c r="AZ1131" s="78"/>
      <c r="BA1131" s="78"/>
      <c r="BB1131" s="78"/>
      <c r="BC1131" s="78"/>
      <c r="BD1131" s="78"/>
      <c r="BE1131" s="465"/>
      <c r="BF1131" s="165" t="str">
        <f t="shared" si="827"/>
        <v>https://www.google.com/search?tbm=isch&amp;q=7%20G4</v>
      </c>
      <c r="BG1131" s="165" t="str">
        <f t="shared" si="828"/>
        <v>C</v>
      </c>
      <c r="BH1131" s="65"/>
      <c r="BI1131" s="65"/>
      <c r="BJ1131" s="65"/>
      <c r="BK1131" s="65"/>
      <c r="BL1131" s="99"/>
      <c r="BM1131" s="99"/>
      <c r="BN1131" s="99"/>
    </row>
    <row r="1132" spans="1:66" s="51" customFormat="1" ht="54" x14ac:dyDescent="0.25">
      <c r="A1132" s="478">
        <v>10</v>
      </c>
      <c r="B1132" s="479" t="s">
        <v>291</v>
      </c>
      <c r="C1132" s="480" t="s">
        <v>2149</v>
      </c>
      <c r="D1132" s="481" t="s">
        <v>299</v>
      </c>
      <c r="E1132" s="482">
        <v>339.95</v>
      </c>
      <c r="F1132" s="483" t="s">
        <v>292</v>
      </c>
      <c r="G1132" s="484">
        <v>0</v>
      </c>
      <c r="H1132" s="688" t="str">
        <f>IF(G1132=0,"",IF(F1132="Buy",IF(G1132=1,"plant","plants"),IF(F1132&gt;0.01,"warranty","Error")))</f>
        <v/>
      </c>
      <c r="I1132" s="485">
        <f>IF(H1132="free",0,IF(H1132="credit",((E1132*(F1132))*G1132*-1),IF(F1132="Buy",(E1132*G1132),((E1132*(1-F1132))*G1132))))</f>
        <v>0</v>
      </c>
      <c r="J1132" s="485">
        <f>IF(H1132="warranty",0,(I1132*(_xlfn.SINGLE(SalesTaxPercentage))))</f>
        <v>0</v>
      </c>
      <c r="K1132" s="715">
        <f t="shared" ref="K1132" si="841">I1132+J1132</f>
        <v>0</v>
      </c>
      <c r="L1132" s="715"/>
      <c r="M1132" s="689" t="str">
        <f ca="1">IF(AND(G1132&gt;0,E1132=0),"WARNING - no PRICE inserted",IF(H1132="free","FREE ~ no charge this plant",IF(H1132="credit",CONCATENATE("-$",ROUND(K1132*(1-_xlfn.SINGLE(T2GDiscount))*-1,2)," CREDIT after discount"),IF(_xlfn.SINGLE(T2GDiscount)=0,"",IF(G1132=0,"",IF(F1132="Buy",CONCATENATE("$",ROUND(K1132*(1-_xlfn.SINGLE(T2GDiscount)),2)," with ",(_xlfn.SINGLE(T2GDiscount)*100),"% discount"),CONCATENATE("$",ROUND(K1132*(1-_xlfn.SINGLE(T2GDiscount)),2)," with ",((_xlfn.SINGLE(T2GDiscount)*100+F1132*100)-(_xlfn.SINGLE(T2GDiscount)*100*F1132)),IF(F1132&gt;0,"% discounts",IF(_xlfn.SINGLE(NoWarrantyDiscount)&gt;0,"% discounts","% discount")))))))))</f>
        <v/>
      </c>
      <c r="N1132" s="690"/>
      <c r="O1132" s="486"/>
      <c r="P1132" s="486"/>
      <c r="Q1132" s="486"/>
      <c r="R1132" s="486"/>
      <c r="S1132" s="486"/>
      <c r="T1132" s="102">
        <f t="shared" si="816"/>
        <v>0</v>
      </c>
      <c r="U1132" s="78">
        <f>IF(NOT(ISNUMBER(G1132)), "", VLOOKUP(A1132,'Discount Lookup'!D:E,2,FALSE)*G1132)</f>
        <v>0</v>
      </c>
      <c r="V1132" s="78">
        <f>IF(NOT(ISNUMBER(G1132)), "", VLOOKUP(A1132,'Discount Lookup'!G:H,2,FALSE)*G1132)</f>
        <v>0</v>
      </c>
      <c r="W1132" s="102">
        <f t="shared" si="817"/>
        <v>0</v>
      </c>
      <c r="X1132" s="102">
        <f t="shared" si="818"/>
        <v>0</v>
      </c>
      <c r="Y1132" s="120" t="b">
        <f t="shared" si="819"/>
        <v>0</v>
      </c>
      <c r="Z1132" s="117">
        <f t="shared" si="820"/>
        <v>0</v>
      </c>
      <c r="AA1132" s="118"/>
      <c r="AB1132" s="118" t="str">
        <f t="shared" si="821"/>
        <v/>
      </c>
      <c r="AC1132" s="712" t="str">
        <f>IF(AE1132="T2G","no charge",IF(AND(OR(PlanterYesMe="No",PlanterYesMe="N",PlanterYesMe="me"),H1132=""),"",IF(H1132="credit","NO install",IF(AND(K1132="",AE1132="me"),"EACH row",IF(AND(K1132="images",AE1132="me"),"EACH row",IF(D1132="","",IF(H1132="credit","",IF(AE1132="free","re-planting",IF(AE1132="me","   not ELP, by",IF(AND(OR(PlanterYesMe="Yes",PlanterYesMe="Y"),G1132&gt;0),(VLOOKUP(A1132,'Discount Lookup'!J:K,2)*G1132*(1-PlanterDiscount)*(1+PlanterDifficultyPercentage)),IF(AE1132="ELP",(VLOOKUP(A1132,'Discount Lookup'!J:K,2)*G1132*(1-PlanterDiscount)*(1+PlanterDifficultyPercentage)),IF(AE1132="free","re-planting",IF(G1132=0,"",IF(PlanterYesMe="",IF(AE1132="me","   not ELP, by",IF(AE1132="",IF(G1132&gt;0,(VLOOKUP(A1132,'Discount Lookup'!J:K,2)*G1132*(1-PlanterDiscount)*(1+PlanterDifficultyPercentage)),""),"")),"   not ELP, by"))))))))))))))</f>
        <v/>
      </c>
      <c r="AD1132" s="712"/>
      <c r="AE1132" s="513" t="str">
        <f t="shared" si="822"/>
        <v/>
      </c>
      <c r="AF1132" s="713" t="str">
        <f t="shared" si="823"/>
        <v/>
      </c>
      <c r="AG1132" s="713"/>
      <c r="AH1132" s="713"/>
      <c r="AI1132" s="112">
        <f>IF(H1132="credit",0,IF(AE1132="free",0,IF(AE1132="me",0,IF(G1132&gt;0,(VLOOKUP(A1132,'Discount Lookup'!J:K,2)*G1132),0))))</f>
        <v>0</v>
      </c>
      <c r="AJ1132" s="107" t="str">
        <f t="shared" ca="1" si="824"/>
        <v/>
      </c>
      <c r="AK1132" s="714" t="str">
        <f t="shared" si="825"/>
        <v/>
      </c>
      <c r="AL1132" s="714"/>
      <c r="AM1132" s="114" t="str">
        <f t="shared" si="826"/>
        <v/>
      </c>
      <c r="AN1132" s="115"/>
      <c r="AO1132" s="116"/>
      <c r="AP1132" s="116"/>
      <c r="AQ1132" s="116"/>
      <c r="AR1132" s="116"/>
      <c r="AS1132" s="116"/>
      <c r="AT1132" s="116"/>
      <c r="AU1132" s="116"/>
      <c r="AV1132" s="78"/>
      <c r="AW1132" s="102"/>
      <c r="AX1132" s="78"/>
      <c r="AY1132" s="78"/>
      <c r="AZ1132" s="78"/>
      <c r="BA1132" s="78"/>
      <c r="BB1132" s="78"/>
      <c r="BC1132" s="78"/>
      <c r="BD1132" s="78"/>
      <c r="BE1132" s="465"/>
      <c r="BF1132" s="165" t="str">
        <f t="shared" si="827"/>
        <v>https://www.google.com/search?tbm=isch&amp;q=10%20G4</v>
      </c>
      <c r="BG1132" s="165" t="str">
        <f t="shared" si="828"/>
        <v>C</v>
      </c>
      <c r="BH1132" s="65"/>
      <c r="BI1132" s="65"/>
      <c r="BJ1132" s="65"/>
      <c r="BK1132" s="65"/>
      <c r="BL1132" s="99"/>
      <c r="BM1132" s="99"/>
      <c r="BN1132" s="99"/>
    </row>
    <row r="1133" spans="1:66" s="51" customFormat="1" ht="17.25" thickBot="1" x14ac:dyDescent="0.3">
      <c r="A1133" s="508" t="s">
        <v>2150</v>
      </c>
      <c r="B1133" s="487"/>
      <c r="C1133" s="707"/>
      <c r="D1133" s="487"/>
      <c r="E1133" s="487"/>
      <c r="F1133" s="488"/>
      <c r="G1133" s="489"/>
      <c r="H1133" s="487"/>
      <c r="I1133" s="490"/>
      <c r="J1133" s="490"/>
      <c r="K1133" s="491"/>
      <c r="L1133" s="547"/>
      <c r="M1133" s="528"/>
      <c r="N1133" s="492"/>
      <c r="O1133" s="493"/>
      <c r="P1133" s="494"/>
      <c r="Q1133" s="492"/>
      <c r="R1133" s="492"/>
      <c r="S1133" s="699" t="s">
        <v>5268</v>
      </c>
      <c r="T1133" s="102">
        <f t="shared" si="816"/>
        <v>0</v>
      </c>
      <c r="U1133" s="78" t="str">
        <f>IF(NOT(ISNUMBER(G1133)), "", VLOOKUP(A1133,'Discount Lookup'!D:E,2,FALSE)*G1133)</f>
        <v/>
      </c>
      <c r="V1133" s="78" t="str">
        <f>IF(NOT(ISNUMBER(G1133)), "", VLOOKUP(A1133,'Discount Lookup'!G:H,2,FALSE)*G1133)</f>
        <v/>
      </c>
      <c r="W1133" s="102">
        <f t="shared" si="817"/>
        <v>0</v>
      </c>
      <c r="X1133" s="102">
        <f t="shared" si="818"/>
        <v>0</v>
      </c>
      <c r="Y1133" s="120" t="b">
        <f t="shared" si="819"/>
        <v>0</v>
      </c>
      <c r="Z1133" s="117">
        <f t="shared" si="820"/>
        <v>0</v>
      </c>
      <c r="AA1133" s="118"/>
      <c r="AB1133" s="118" t="str">
        <f t="shared" si="821"/>
        <v/>
      </c>
      <c r="AC1133" s="712" t="str">
        <f>IF(AE1133="T2G","no charge",IF(AND(OR(PlanterYesMe="No",PlanterYesMe="N",PlanterYesMe="me"),H1133=""),"",IF(H1133="credit","NO install",IF(AND(K1133="",AE1133="me"),"EACH row",IF(AND(K1133="images",AE1133="me"),"EACH row",IF(D1133="","",IF(H1133="credit","",IF(AE1133="free","re-planting",IF(AE1133="me","   not ELP, by",IF(AND(OR(PlanterYesMe="Yes",PlanterYesMe="Y"),G1133&gt;0),(VLOOKUP(A1133,'Discount Lookup'!J:K,2)*G1133*(1-PlanterDiscount)*(1+PlanterDifficultyPercentage)),IF(AE1133="ELP",(VLOOKUP(A1133,'Discount Lookup'!J:K,2)*G1133*(1-PlanterDiscount)*(1+PlanterDifficultyPercentage)),IF(AE1133="free","re-planting",IF(G1133=0,"",IF(PlanterYesMe="",IF(AE1133="me","   not ELP, by",IF(AE1133="",IF(G1133&gt;0,(VLOOKUP(A1133,'Discount Lookup'!J:K,2)*G1133*(1-PlanterDiscount)*(1+PlanterDifficultyPercentage)),""),"")),"   not ELP, by"))))))))))))))</f>
        <v/>
      </c>
      <c r="AD1133" s="712"/>
      <c r="AE1133" s="513" t="str">
        <f t="shared" si="822"/>
        <v/>
      </c>
      <c r="AF1133" s="713" t="str">
        <f t="shared" si="823"/>
        <v/>
      </c>
      <c r="AG1133" s="713"/>
      <c r="AH1133" s="713"/>
      <c r="AI1133" s="112">
        <f>IF(H1133="credit",0,IF(AE1133="free",0,IF(AE1133="me",0,IF(G1133&gt;0,(VLOOKUP(A1133,'Discount Lookup'!J:K,2)*G1133),0))))</f>
        <v>0</v>
      </c>
      <c r="AJ1133" s="107" t="str">
        <f t="shared" ca="1" si="824"/>
        <v/>
      </c>
      <c r="AK1133" s="714" t="str">
        <f t="shared" si="825"/>
        <v/>
      </c>
      <c r="AL1133" s="714"/>
      <c r="AM1133" s="114" t="str">
        <f t="shared" si="826"/>
        <v/>
      </c>
      <c r="AN1133" s="115"/>
      <c r="AO1133" s="116"/>
      <c r="AP1133" s="116"/>
      <c r="AQ1133" s="116"/>
      <c r="AR1133" s="116"/>
      <c r="AS1133" s="116"/>
      <c r="AT1133" s="116"/>
      <c r="AU1133" s="116"/>
      <c r="AV1133" s="78"/>
      <c r="AW1133" s="102"/>
      <c r="AX1133" s="78"/>
      <c r="AY1133" s="78"/>
      <c r="AZ1133" s="78"/>
      <c r="BA1133" s="78"/>
      <c r="BB1133" s="78"/>
      <c r="BC1133" s="78"/>
      <c r="BD1133" s="78"/>
      <c r="BE1133" s="465"/>
      <c r="BF1133" s="165" t="str">
        <f t="shared" si="827"/>
        <v>https://www.google.com/search?tbm=isch&amp;q=Golden%20Dwarf%20Hinoki%20forms%20a%20compact%2C%20rounded%20mound%20of%20finely%20layered%20Golden%20foliage%2C%20with%20Green%20interior%20</v>
      </c>
      <c r="BG1133" s="165" t="str">
        <f t="shared" si="828"/>
        <v>G</v>
      </c>
      <c r="BH1133" s="65"/>
      <c r="BI1133" s="65"/>
      <c r="BJ1133" s="65"/>
      <c r="BK1133" s="65"/>
      <c r="BL1133" s="99"/>
      <c r="BM1133" s="99"/>
      <c r="BN1133" s="99"/>
    </row>
    <row r="1134" spans="1:66" s="51" customFormat="1" ht="18" x14ac:dyDescent="0.25">
      <c r="A1134" s="507" t="s">
        <v>2151</v>
      </c>
      <c r="B1134" s="470"/>
      <c r="C1134" s="706"/>
      <c r="D1134" s="471" t="s">
        <v>2152</v>
      </c>
      <c r="E1134" s="472"/>
      <c r="F1134" s="472"/>
      <c r="G1134" s="472"/>
      <c r="H1134" s="622" t="s">
        <v>1854</v>
      </c>
      <c r="I1134" s="473" t="s">
        <v>443</v>
      </c>
      <c r="J1134" s="472"/>
      <c r="K1134" s="472"/>
      <c r="L1134" s="561"/>
      <c r="M1134" s="698" t="s">
        <v>5246</v>
      </c>
      <c r="N1134" s="692" t="str">
        <f>IF(AND(ISTEXT($A1134), ISERROR($A1134+0)), HYPERLINK($BF1134, "Images"), "")</f>
        <v>Images</v>
      </c>
      <c r="O1134" s="694" t="s">
        <v>5244</v>
      </c>
      <c r="P1134" s="475"/>
      <c r="Q1134" s="476"/>
      <c r="R1134" s="476"/>
      <c r="S1134" s="477"/>
      <c r="T1134" s="102">
        <f t="shared" si="816"/>
        <v>0</v>
      </c>
      <c r="U1134" s="78" t="str">
        <f>IF(NOT(ISNUMBER(G1134)), "", VLOOKUP(A1134,'Discount Lookup'!D:E,2,FALSE)*G1134)</f>
        <v/>
      </c>
      <c r="V1134" s="78" t="str">
        <f>IF(NOT(ISNUMBER(G1134)), "", VLOOKUP(A1134,'Discount Lookup'!G:H,2,FALSE)*G1134)</f>
        <v/>
      </c>
      <c r="W1134" s="102">
        <f t="shared" si="817"/>
        <v>0</v>
      </c>
      <c r="X1134" s="102" t="str">
        <f t="shared" si="818"/>
        <v>Golden-Yellow foliage</v>
      </c>
      <c r="Y1134" s="120" t="b">
        <f t="shared" si="819"/>
        <v>0</v>
      </c>
      <c r="Z1134" s="117">
        <f t="shared" si="820"/>
        <v>0</v>
      </c>
      <c r="AA1134" s="118"/>
      <c r="AB1134" s="118" t="str">
        <f t="shared" si="821"/>
        <v/>
      </c>
      <c r="AC1134" s="712" t="str">
        <f>IF(AE1134="T2G","no charge",IF(AND(OR(PlanterYesMe="No",PlanterYesMe="N",PlanterYesMe="me"),H1134=""),"",IF(H1134="credit","NO install",IF(AND(K1134="",AE1134="me"),"EACH row",IF(AND(K1134="images",AE1134="me"),"EACH row",IF(D1134="","",IF(H1134="credit","",IF(AE1134="free","re-planting",IF(AE1134="me","   not ELP, by",IF(AND(OR(PlanterYesMe="Yes",PlanterYesMe="Y"),G1134&gt;0),(VLOOKUP(A1134,'Discount Lookup'!J:K,2)*G1134*(1-PlanterDiscount)*(1+PlanterDifficultyPercentage)),IF(AE1134="ELP",(VLOOKUP(A1134,'Discount Lookup'!J:K,2)*G1134*(1-PlanterDiscount)*(1+PlanterDifficultyPercentage)),IF(AE1134="free","re-planting",IF(G1134=0,"",IF(PlanterYesMe="",IF(AE1134="me","   not ELP, by",IF(AE1134="",IF(G1134&gt;0,(VLOOKUP(A1134,'Discount Lookup'!J:K,2)*G1134*(1-PlanterDiscount)*(1+PlanterDifficultyPercentage)),""),"")),"   not ELP, by"))))))))))))))</f>
        <v/>
      </c>
      <c r="AD1134" s="712"/>
      <c r="AE1134" s="513" t="str">
        <f t="shared" si="822"/>
        <v/>
      </c>
      <c r="AF1134" s="713" t="str">
        <f t="shared" si="823"/>
        <v/>
      </c>
      <c r="AG1134" s="713"/>
      <c r="AH1134" s="713"/>
      <c r="AI1134" s="112">
        <f>IF(H1134="credit",0,IF(AE1134="free",0,IF(AE1134="me",0,IF(G1134&gt;0,(VLOOKUP(A1134,'Discount Lookup'!J:K,2)*G1134),0))))</f>
        <v>0</v>
      </c>
      <c r="AJ1134" s="107" t="str">
        <f t="shared" ca="1" si="824"/>
        <v/>
      </c>
      <c r="AK1134" s="714" t="str">
        <f t="shared" si="825"/>
        <v/>
      </c>
      <c r="AL1134" s="714"/>
      <c r="AM1134" s="114" t="str">
        <f t="shared" si="826"/>
        <v/>
      </c>
      <c r="AN1134" s="115"/>
      <c r="AO1134" s="116"/>
      <c r="AP1134" s="116"/>
      <c r="AQ1134" s="116"/>
      <c r="AR1134" s="116"/>
      <c r="AS1134" s="116"/>
      <c r="AT1134" s="116"/>
      <c r="AU1134" s="116"/>
      <c r="AV1134" s="78"/>
      <c r="AW1134" s="102"/>
      <c r="AX1134" s="78"/>
      <c r="AY1134" s="78"/>
      <c r="AZ1134" s="78"/>
      <c r="BA1134" s="78"/>
      <c r="BB1134" s="78"/>
      <c r="BC1134" s="78"/>
      <c r="BD1134" s="78"/>
      <c r="BE1134" s="465"/>
      <c r="BF1134" s="165" t="str">
        <f t="shared" si="827"/>
        <v>https://www.google.com/search?tbm=isch&amp;q=Chamaecyparis%20obtusa%20%27Spirited%27%20Spirited%20Cypress</v>
      </c>
      <c r="BG1134" s="165" t="str">
        <f t="shared" si="828"/>
        <v>C</v>
      </c>
      <c r="BH1134" s="65"/>
      <c r="BI1134" s="65"/>
      <c r="BJ1134" s="65"/>
      <c r="BK1134" s="65"/>
      <c r="BL1134" s="99"/>
      <c r="BM1134" s="99"/>
      <c r="BN1134" s="99"/>
    </row>
    <row r="1135" spans="1:66" s="51" customFormat="1" ht="15.75" x14ac:dyDescent="0.25">
      <c r="A1135" s="478">
        <v>7</v>
      </c>
      <c r="B1135" s="479" t="s">
        <v>291</v>
      </c>
      <c r="C1135" s="480" t="s">
        <v>2153</v>
      </c>
      <c r="D1135" s="481" t="s">
        <v>299</v>
      </c>
      <c r="E1135" s="482">
        <v>111.95</v>
      </c>
      <c r="F1135" s="483" t="s">
        <v>292</v>
      </c>
      <c r="G1135" s="484">
        <v>0</v>
      </c>
      <c r="H1135" s="688" t="str">
        <f>IF(G1135=0,"",IF(F1135="Buy",IF(G1135=1,"plant","plants"),IF(F1135&gt;0.01,"warranty","Error")))</f>
        <v/>
      </c>
      <c r="I1135" s="485">
        <f>IF(H1135="free",0,IF(H1135="credit",((E1135*(F1135))*G1135*-1),IF(F1135="Buy",(E1135*G1135),((E1135*(1-F1135))*G1135))))</f>
        <v>0</v>
      </c>
      <c r="J1135" s="485">
        <f>IF(H1135="warranty",0,(I1135*(_xlfn.SINGLE(SalesTaxPercentage))))</f>
        <v>0</v>
      </c>
      <c r="K1135" s="715">
        <f t="shared" ref="K1135" si="842">I1135+J1135</f>
        <v>0</v>
      </c>
      <c r="L1135" s="715"/>
      <c r="M1135" s="689" t="str">
        <f ca="1">IF(AND(G1135&gt;0,E1135=0),"WARNING - no PRICE inserted",IF(H1135="free","FREE ~ no charge this plant",IF(H1135="credit",CONCATENATE("-$",ROUND(K1135*(1-_xlfn.SINGLE(T2GDiscount))*-1,2)," CREDIT after discount"),IF(_xlfn.SINGLE(T2GDiscount)=0,"",IF(G1135=0,"",IF(F1135="Buy",CONCATENATE("$",ROUND(K1135*(1-_xlfn.SINGLE(T2GDiscount)),2)," with ",(_xlfn.SINGLE(T2GDiscount)*100),"% discount"),CONCATENATE("$",ROUND(K1135*(1-_xlfn.SINGLE(T2GDiscount)),2)," with ",((_xlfn.SINGLE(T2GDiscount)*100+F1135*100)-(_xlfn.SINGLE(T2GDiscount)*100*F1135)),IF(F1135&gt;0,"% discounts",IF(_xlfn.SINGLE(NoWarrantyDiscount)&gt;0,"% discounts","% discount")))))))))</f>
        <v/>
      </c>
      <c r="N1135" s="690"/>
      <c r="O1135" s="486"/>
      <c r="P1135" s="486"/>
      <c r="Q1135" s="486"/>
      <c r="R1135" s="486"/>
      <c r="S1135" s="486"/>
      <c r="T1135" s="102">
        <f t="shared" si="816"/>
        <v>0</v>
      </c>
      <c r="U1135" s="78">
        <f>IF(NOT(ISNUMBER(G1135)), "", VLOOKUP(A1135,'Discount Lookup'!D:E,2,FALSE)*G1135)</f>
        <v>0</v>
      </c>
      <c r="V1135" s="78">
        <f>IF(NOT(ISNUMBER(G1135)), "", VLOOKUP(A1135,'Discount Lookup'!G:H,2,FALSE)*G1135)</f>
        <v>0</v>
      </c>
      <c r="W1135" s="102">
        <f t="shared" si="817"/>
        <v>0</v>
      </c>
      <c r="X1135" s="102">
        <f t="shared" si="818"/>
        <v>0</v>
      </c>
      <c r="Y1135" s="120" t="b">
        <f t="shared" si="819"/>
        <v>0</v>
      </c>
      <c r="Z1135" s="117">
        <f t="shared" si="820"/>
        <v>0</v>
      </c>
      <c r="AA1135" s="118"/>
      <c r="AB1135" s="118" t="str">
        <f t="shared" si="821"/>
        <v/>
      </c>
      <c r="AC1135" s="712" t="str">
        <f>IF(AE1135="T2G","no charge",IF(AND(OR(PlanterYesMe="No",PlanterYesMe="N",PlanterYesMe="me"),H1135=""),"",IF(H1135="credit","NO install",IF(AND(K1135="",AE1135="me"),"EACH row",IF(AND(K1135="images",AE1135="me"),"EACH row",IF(D1135="","",IF(H1135="credit","",IF(AE1135="free","re-planting",IF(AE1135="me","   not ELP, by",IF(AND(OR(PlanterYesMe="Yes",PlanterYesMe="Y"),G1135&gt;0),(VLOOKUP(A1135,'Discount Lookup'!J:K,2)*G1135*(1-PlanterDiscount)*(1+PlanterDifficultyPercentage)),IF(AE1135="ELP",(VLOOKUP(A1135,'Discount Lookup'!J:K,2)*G1135*(1-PlanterDiscount)*(1+PlanterDifficultyPercentage)),IF(AE1135="free","re-planting",IF(G1135=0,"",IF(PlanterYesMe="",IF(AE1135="me","   not ELP, by",IF(AE1135="",IF(G1135&gt;0,(VLOOKUP(A1135,'Discount Lookup'!J:K,2)*G1135*(1-PlanterDiscount)*(1+PlanterDifficultyPercentage)),""),"")),"   not ELP, by"))))))))))))))</f>
        <v/>
      </c>
      <c r="AD1135" s="712"/>
      <c r="AE1135" s="513" t="str">
        <f t="shared" si="822"/>
        <v/>
      </c>
      <c r="AF1135" s="713" t="str">
        <f t="shared" si="823"/>
        <v/>
      </c>
      <c r="AG1135" s="713"/>
      <c r="AH1135" s="713"/>
      <c r="AI1135" s="112">
        <f>IF(H1135="credit",0,IF(AE1135="free",0,IF(AE1135="me",0,IF(G1135&gt;0,(VLOOKUP(A1135,'Discount Lookup'!J:K,2)*G1135),0))))</f>
        <v>0</v>
      </c>
      <c r="AJ1135" s="107" t="str">
        <f t="shared" ca="1" si="824"/>
        <v/>
      </c>
      <c r="AK1135" s="714" t="str">
        <f t="shared" si="825"/>
        <v/>
      </c>
      <c r="AL1135" s="714"/>
      <c r="AM1135" s="114" t="str">
        <f t="shared" si="826"/>
        <v/>
      </c>
      <c r="AN1135" s="115"/>
      <c r="AO1135" s="116"/>
      <c r="AP1135" s="116"/>
      <c r="AQ1135" s="116"/>
      <c r="AR1135" s="116"/>
      <c r="AS1135" s="116"/>
      <c r="AT1135" s="116"/>
      <c r="AU1135" s="116"/>
      <c r="AV1135" s="78"/>
      <c r="AW1135" s="102"/>
      <c r="AX1135" s="78"/>
      <c r="AY1135" s="78"/>
      <c r="AZ1135" s="78"/>
      <c r="BA1135" s="78"/>
      <c r="BB1135" s="78"/>
      <c r="BC1135" s="78"/>
      <c r="BD1135" s="78"/>
      <c r="BE1135" s="465"/>
      <c r="BF1135" s="165" t="str">
        <f t="shared" si="827"/>
        <v>https://www.google.com/search?tbm=isch&amp;q=7%20G4</v>
      </c>
      <c r="BG1135" s="165" t="str">
        <f t="shared" si="828"/>
        <v>C</v>
      </c>
      <c r="BH1135" s="65"/>
      <c r="BI1135" s="65"/>
      <c r="BJ1135" s="65"/>
      <c r="BK1135" s="65"/>
      <c r="BL1135" s="99"/>
      <c r="BM1135" s="99"/>
      <c r="BN1135" s="99"/>
    </row>
    <row r="1136" spans="1:66" s="51" customFormat="1" ht="16.5" thickBot="1" x14ac:dyDescent="0.3">
      <c r="A1136" s="508" t="s">
        <v>2154</v>
      </c>
      <c r="B1136" s="487"/>
      <c r="C1136" s="707"/>
      <c r="D1136" s="487"/>
      <c r="E1136" s="487"/>
      <c r="F1136" s="488"/>
      <c r="G1136" s="489"/>
      <c r="H1136" s="487"/>
      <c r="I1136" s="490"/>
      <c r="J1136" s="490"/>
      <c r="K1136" s="491"/>
      <c r="L1136" s="547"/>
      <c r="M1136" s="528"/>
      <c r="N1136" s="492"/>
      <c r="O1136" s="493"/>
      <c r="P1136" s="494"/>
      <c r="Q1136" s="492"/>
      <c r="R1136" s="492"/>
      <c r="S1136" s="495"/>
      <c r="T1136" s="102">
        <f t="shared" si="816"/>
        <v>0</v>
      </c>
      <c r="U1136" s="78" t="str">
        <f>IF(NOT(ISNUMBER(G1136)), "", VLOOKUP(A1136,'Discount Lookup'!D:E,2,FALSE)*G1136)</f>
        <v/>
      </c>
      <c r="V1136" s="78" t="str">
        <f>IF(NOT(ISNUMBER(G1136)), "", VLOOKUP(A1136,'Discount Lookup'!G:H,2,FALSE)*G1136)</f>
        <v/>
      </c>
      <c r="W1136" s="102">
        <f t="shared" si="817"/>
        <v>0</v>
      </c>
      <c r="X1136" s="102">
        <f t="shared" si="818"/>
        <v>0</v>
      </c>
      <c r="Y1136" s="120" t="b">
        <f t="shared" si="819"/>
        <v>0</v>
      </c>
      <c r="Z1136" s="117">
        <f t="shared" si="820"/>
        <v>0</v>
      </c>
      <c r="AA1136" s="118"/>
      <c r="AB1136" s="118" t="str">
        <f t="shared" si="821"/>
        <v/>
      </c>
      <c r="AC1136" s="712" t="str">
        <f>IF(AE1136="T2G","no charge",IF(AND(OR(PlanterYesMe="No",PlanterYesMe="N",PlanterYesMe="me"),H1136=""),"",IF(H1136="credit","NO install",IF(AND(K1136="",AE1136="me"),"EACH row",IF(AND(K1136="images",AE1136="me"),"EACH row",IF(D1136="","",IF(H1136="credit","",IF(AE1136="free","re-planting",IF(AE1136="me","   not ELP, by",IF(AND(OR(PlanterYesMe="Yes",PlanterYesMe="Y"),G1136&gt;0),(VLOOKUP(A1136,'Discount Lookup'!J:K,2)*G1136*(1-PlanterDiscount)*(1+PlanterDifficultyPercentage)),IF(AE1136="ELP",(VLOOKUP(A1136,'Discount Lookup'!J:K,2)*G1136*(1-PlanterDiscount)*(1+PlanterDifficultyPercentage)),IF(AE1136="free","re-planting",IF(G1136=0,"",IF(PlanterYesMe="",IF(AE1136="me","   not ELP, by",IF(AE1136="",IF(G1136&gt;0,(VLOOKUP(A1136,'Discount Lookup'!J:K,2)*G1136*(1-PlanterDiscount)*(1+PlanterDifficultyPercentage)),""),"")),"   not ELP, by"))))))))))))))</f>
        <v/>
      </c>
      <c r="AD1136" s="712"/>
      <c r="AE1136" s="513" t="str">
        <f t="shared" si="822"/>
        <v/>
      </c>
      <c r="AF1136" s="713" t="str">
        <f t="shared" si="823"/>
        <v/>
      </c>
      <c r="AG1136" s="713"/>
      <c r="AH1136" s="713"/>
      <c r="AI1136" s="112">
        <f>IF(H1136="credit",0,IF(AE1136="free",0,IF(AE1136="me",0,IF(G1136&gt;0,(VLOOKUP(A1136,'Discount Lookup'!J:K,2)*G1136),0))))</f>
        <v>0</v>
      </c>
      <c r="AJ1136" s="107" t="str">
        <f t="shared" ca="1" si="824"/>
        <v/>
      </c>
      <c r="AK1136" s="714" t="str">
        <f t="shared" si="825"/>
        <v/>
      </c>
      <c r="AL1136" s="714"/>
      <c r="AM1136" s="114" t="str">
        <f t="shared" si="826"/>
        <v/>
      </c>
      <c r="AN1136" s="115"/>
      <c r="AO1136" s="116"/>
      <c r="AP1136" s="116"/>
      <c r="AQ1136" s="116"/>
      <c r="AR1136" s="116"/>
      <c r="AS1136" s="116"/>
      <c r="AT1136" s="116"/>
      <c r="AU1136" s="116"/>
      <c r="AV1136" s="78"/>
      <c r="AW1136" s="102"/>
      <c r="AX1136" s="78"/>
      <c r="AY1136" s="78"/>
      <c r="AZ1136" s="78"/>
      <c r="BA1136" s="78"/>
      <c r="BB1136" s="78"/>
      <c r="BC1136" s="78"/>
      <c r="BD1136" s="78"/>
      <c r="BE1136" s="465"/>
      <c r="BF1136" s="165" t="str">
        <f t="shared" si="827"/>
        <v>https://www.google.com/search?tbm=isch&amp;q=Spirited%20has%20vibrant%2C%20lace-like%20Golden%20foliage%20in%20a%20compact%20pyramidal%20form.%20Best%20color%20in%20full%20sun%20</v>
      </c>
      <c r="BG1136" s="165" t="str">
        <f t="shared" si="828"/>
        <v>S</v>
      </c>
      <c r="BH1136" s="65"/>
      <c r="BI1136" s="65"/>
      <c r="BJ1136" s="65"/>
      <c r="BK1136" s="65"/>
      <c r="BL1136" s="99"/>
      <c r="BM1136" s="99"/>
      <c r="BN1136" s="99"/>
    </row>
    <row r="1137" spans="1:66" s="51" customFormat="1" ht="18" x14ac:dyDescent="0.25">
      <c r="A1137" s="507" t="s">
        <v>2155</v>
      </c>
      <c r="B1137" s="470"/>
      <c r="C1137" s="706"/>
      <c r="D1137" s="471" t="s">
        <v>2156</v>
      </c>
      <c r="E1137" s="472"/>
      <c r="F1137" s="472"/>
      <c r="G1137" s="472"/>
      <c r="H1137" s="622" t="s">
        <v>1782</v>
      </c>
      <c r="I1137" s="473" t="s">
        <v>443</v>
      </c>
      <c r="J1137" s="472"/>
      <c r="K1137" s="472"/>
      <c r="L1137" s="561"/>
      <c r="M1137" s="698" t="s">
        <v>5246</v>
      </c>
      <c r="N1137" s="692" t="str">
        <f>IF(AND(ISTEXT($A1137), ISERROR($A1137+0)), HYPERLINK($BF1137, "Images"), "")</f>
        <v>Images</v>
      </c>
      <c r="O1137" s="694" t="s">
        <v>5247</v>
      </c>
      <c r="P1137" s="475"/>
      <c r="Q1137" s="476"/>
      <c r="R1137" s="476"/>
      <c r="S1137" s="477"/>
      <c r="T1137" s="102">
        <f t="shared" si="816"/>
        <v>0</v>
      </c>
      <c r="U1137" s="78" t="str">
        <f>IF(NOT(ISNUMBER(G1137)), "", VLOOKUP(A1137,'Discount Lookup'!D:E,2,FALSE)*G1137)</f>
        <v/>
      </c>
      <c r="V1137" s="78" t="str">
        <f>IF(NOT(ISNUMBER(G1137)), "", VLOOKUP(A1137,'Discount Lookup'!G:H,2,FALSE)*G1137)</f>
        <v/>
      </c>
      <c r="W1137" s="102">
        <f t="shared" si="817"/>
        <v>0</v>
      </c>
      <c r="X1137" s="102" t="str">
        <f t="shared" si="818"/>
        <v>Golden-Yellow foliage</v>
      </c>
      <c r="Y1137" s="120" t="b">
        <f t="shared" si="819"/>
        <v>0</v>
      </c>
      <c r="Z1137" s="117">
        <f t="shared" si="820"/>
        <v>0</v>
      </c>
      <c r="AA1137" s="118"/>
      <c r="AB1137" s="118" t="str">
        <f t="shared" si="821"/>
        <v/>
      </c>
      <c r="AC1137" s="712" t="str">
        <f>IF(AE1137="T2G","no charge",IF(AND(OR(PlanterYesMe="No",PlanterYesMe="N",PlanterYesMe="me"),H1137=""),"",IF(H1137="credit","NO install",IF(AND(K1137="",AE1137="me"),"EACH row",IF(AND(K1137="images",AE1137="me"),"EACH row",IF(D1137="","",IF(H1137="credit","",IF(AE1137="free","re-planting",IF(AE1137="me","   not ELP, by",IF(AND(OR(PlanterYesMe="Yes",PlanterYesMe="Y"),G1137&gt;0),(VLOOKUP(A1137,'Discount Lookup'!J:K,2)*G1137*(1-PlanterDiscount)*(1+PlanterDifficultyPercentage)),IF(AE1137="ELP",(VLOOKUP(A1137,'Discount Lookup'!J:K,2)*G1137*(1-PlanterDiscount)*(1+PlanterDifficultyPercentage)),IF(AE1137="free","re-planting",IF(G1137=0,"",IF(PlanterYesMe="",IF(AE1137="me","   not ELP, by",IF(AE1137="",IF(G1137&gt;0,(VLOOKUP(A1137,'Discount Lookup'!J:K,2)*G1137*(1-PlanterDiscount)*(1+PlanterDifficultyPercentage)),""),"")),"   not ELP, by"))))))))))))))</f>
        <v/>
      </c>
      <c r="AD1137" s="712"/>
      <c r="AE1137" s="513" t="str">
        <f t="shared" si="822"/>
        <v/>
      </c>
      <c r="AF1137" s="713" t="str">
        <f t="shared" si="823"/>
        <v/>
      </c>
      <c r="AG1137" s="713"/>
      <c r="AH1137" s="713"/>
      <c r="AI1137" s="112">
        <f>IF(H1137="credit",0,IF(AE1137="free",0,IF(AE1137="me",0,IF(G1137&gt;0,(VLOOKUP(A1137,'Discount Lookup'!J:K,2)*G1137),0))))</f>
        <v>0</v>
      </c>
      <c r="AJ1137" s="107" t="str">
        <f t="shared" ca="1" si="824"/>
        <v/>
      </c>
      <c r="AK1137" s="714" t="str">
        <f t="shared" si="825"/>
        <v/>
      </c>
      <c r="AL1137" s="714"/>
      <c r="AM1137" s="114" t="str">
        <f t="shared" si="826"/>
        <v/>
      </c>
      <c r="AN1137" s="115"/>
      <c r="AO1137" s="116"/>
      <c r="AP1137" s="116"/>
      <c r="AQ1137" s="116"/>
      <c r="AR1137" s="116"/>
      <c r="AS1137" s="116"/>
      <c r="AT1137" s="116"/>
      <c r="AU1137" s="116"/>
      <c r="AV1137" s="78"/>
      <c r="AW1137" s="102"/>
      <c r="AX1137" s="78"/>
      <c r="AY1137" s="78"/>
      <c r="AZ1137" s="78"/>
      <c r="BA1137" s="78"/>
      <c r="BB1137" s="78"/>
      <c r="BC1137" s="78"/>
      <c r="BD1137" s="78"/>
      <c r="BE1137" s="465"/>
      <c r="BF1137" s="165" t="str">
        <f t="shared" si="827"/>
        <v>https://www.google.com/search?tbm=isch&amp;q=Chamaecyparis%20obtusa%20%27Tetragona%20Aurea%27%20Golden%20Fernleaf%20Cypress</v>
      </c>
      <c r="BG1137" s="165" t="str">
        <f t="shared" si="828"/>
        <v>C</v>
      </c>
      <c r="BH1137" s="65"/>
      <c r="BI1137" s="65"/>
      <c r="BJ1137" s="65"/>
      <c r="BK1137" s="65"/>
      <c r="BL1137" s="99"/>
      <c r="BM1137" s="99"/>
      <c r="BN1137" s="99"/>
    </row>
    <row r="1138" spans="1:66" s="51" customFormat="1" ht="27" x14ac:dyDescent="0.25">
      <c r="A1138" s="478">
        <v>15</v>
      </c>
      <c r="B1138" s="479" t="s">
        <v>291</v>
      </c>
      <c r="C1138" s="480" t="s">
        <v>2157</v>
      </c>
      <c r="D1138" s="481" t="s">
        <v>299</v>
      </c>
      <c r="E1138" s="482">
        <v>252.95</v>
      </c>
      <c r="F1138" s="483" t="s">
        <v>292</v>
      </c>
      <c r="G1138" s="484">
        <v>0</v>
      </c>
      <c r="H1138" s="688" t="str">
        <f>IF(G1138=0,"",IF(F1138="Buy",IF(G1138=1,"plant","plants"),IF(F1138&gt;0.01,"warranty","Error")))</f>
        <v/>
      </c>
      <c r="I1138" s="485">
        <f>IF(H1138="free",0,IF(H1138="credit",((E1138*(F1138))*G1138*-1),IF(F1138="Buy",(E1138*G1138),((E1138*(1-F1138))*G1138))))</f>
        <v>0</v>
      </c>
      <c r="J1138" s="485">
        <f>IF(H1138="warranty",0,(I1138*(_xlfn.SINGLE(SalesTaxPercentage))))</f>
        <v>0</v>
      </c>
      <c r="K1138" s="715">
        <f t="shared" ref="K1138" si="843">I1138+J1138</f>
        <v>0</v>
      </c>
      <c r="L1138" s="715"/>
      <c r="M1138" s="689" t="str">
        <f ca="1">IF(AND(G1138&gt;0,E1138=0),"WARNING - no PRICE inserted",IF(H1138="free","FREE ~ no charge this plant",IF(H1138="credit",CONCATENATE("-$",ROUND(K1138*(1-_xlfn.SINGLE(T2GDiscount))*-1,2)," CREDIT after discount"),IF(_xlfn.SINGLE(T2GDiscount)=0,"",IF(G1138=0,"",IF(F1138="Buy",CONCATENATE("$",ROUND(K1138*(1-_xlfn.SINGLE(T2GDiscount)),2)," with ",(_xlfn.SINGLE(T2GDiscount)*100),"% discount"),CONCATENATE("$",ROUND(K1138*(1-_xlfn.SINGLE(T2GDiscount)),2)," with ",((_xlfn.SINGLE(T2GDiscount)*100+F1138*100)-(_xlfn.SINGLE(T2GDiscount)*100*F1138)),IF(F1138&gt;0,"% discounts",IF(_xlfn.SINGLE(NoWarrantyDiscount)&gt;0,"% discounts","% discount")))))))))</f>
        <v/>
      </c>
      <c r="N1138" s="690"/>
      <c r="O1138" s="486"/>
      <c r="P1138" s="486"/>
      <c r="Q1138" s="486"/>
      <c r="R1138" s="486"/>
      <c r="S1138" s="486"/>
      <c r="T1138" s="102">
        <f t="shared" si="816"/>
        <v>0</v>
      </c>
      <c r="U1138" s="78">
        <f>IF(NOT(ISNUMBER(G1138)), "", VLOOKUP(A1138,'Discount Lookup'!D:E,2,FALSE)*G1138)</f>
        <v>0</v>
      </c>
      <c r="V1138" s="78">
        <f>IF(NOT(ISNUMBER(G1138)), "", VLOOKUP(A1138,'Discount Lookup'!G:H,2,FALSE)*G1138)</f>
        <v>0</v>
      </c>
      <c r="W1138" s="102">
        <f t="shared" si="817"/>
        <v>0</v>
      </c>
      <c r="X1138" s="102">
        <f t="shared" si="818"/>
        <v>0</v>
      </c>
      <c r="Y1138" s="120" t="b">
        <f t="shared" si="819"/>
        <v>0</v>
      </c>
      <c r="Z1138" s="117">
        <f t="shared" si="820"/>
        <v>0</v>
      </c>
      <c r="AA1138" s="118"/>
      <c r="AB1138" s="118" t="str">
        <f t="shared" si="821"/>
        <v/>
      </c>
      <c r="AC1138" s="712" t="str">
        <f>IF(AE1138="T2G","no charge",IF(AND(OR(PlanterYesMe="No",PlanterYesMe="N",PlanterYesMe="me"),H1138=""),"",IF(H1138="credit","NO install",IF(AND(K1138="",AE1138="me"),"EACH row",IF(AND(K1138="images",AE1138="me"),"EACH row",IF(D1138="","",IF(H1138="credit","",IF(AE1138="free","re-planting",IF(AE1138="me","   not ELP, by",IF(AND(OR(PlanterYesMe="Yes",PlanterYesMe="Y"),G1138&gt;0),(VLOOKUP(A1138,'Discount Lookup'!J:K,2)*G1138*(1-PlanterDiscount)*(1+PlanterDifficultyPercentage)),IF(AE1138="ELP",(VLOOKUP(A1138,'Discount Lookup'!J:K,2)*G1138*(1-PlanterDiscount)*(1+PlanterDifficultyPercentage)),IF(AE1138="free","re-planting",IF(G1138=0,"",IF(PlanterYesMe="",IF(AE1138="me","   not ELP, by",IF(AE1138="",IF(G1138&gt;0,(VLOOKUP(A1138,'Discount Lookup'!J:K,2)*G1138*(1-PlanterDiscount)*(1+PlanterDifficultyPercentage)),""),"")),"   not ELP, by"))))))))))))))</f>
        <v/>
      </c>
      <c r="AD1138" s="712"/>
      <c r="AE1138" s="513" t="str">
        <f t="shared" si="822"/>
        <v/>
      </c>
      <c r="AF1138" s="713" t="str">
        <f t="shared" si="823"/>
        <v/>
      </c>
      <c r="AG1138" s="713"/>
      <c r="AH1138" s="713"/>
      <c r="AI1138" s="112">
        <f>IF(H1138="credit",0,IF(AE1138="free",0,IF(AE1138="me",0,IF(G1138&gt;0,(VLOOKUP(A1138,'Discount Lookup'!J:K,2)*G1138),0))))</f>
        <v>0</v>
      </c>
      <c r="AJ1138" s="107" t="str">
        <f t="shared" ca="1" si="824"/>
        <v/>
      </c>
      <c r="AK1138" s="714" t="str">
        <f t="shared" si="825"/>
        <v/>
      </c>
      <c r="AL1138" s="714"/>
      <c r="AM1138" s="114" t="str">
        <f t="shared" si="826"/>
        <v/>
      </c>
      <c r="AN1138" s="115"/>
      <c r="AO1138" s="116"/>
      <c r="AP1138" s="116"/>
      <c r="AQ1138" s="116"/>
      <c r="AR1138" s="116"/>
      <c r="AS1138" s="116"/>
      <c r="AT1138" s="116"/>
      <c r="AU1138" s="116"/>
      <c r="AV1138" s="78"/>
      <c r="AW1138" s="102"/>
      <c r="AX1138" s="78"/>
      <c r="AY1138" s="78"/>
      <c r="AZ1138" s="78"/>
      <c r="BA1138" s="78"/>
      <c r="BB1138" s="78"/>
      <c r="BC1138" s="78"/>
      <c r="BD1138" s="78"/>
      <c r="BE1138" s="465"/>
      <c r="BF1138" s="165" t="str">
        <f t="shared" si="827"/>
        <v>https://www.google.com/search?tbm=isch&amp;q=15%20G4</v>
      </c>
      <c r="BG1138" s="165" t="str">
        <f t="shared" si="828"/>
        <v>C</v>
      </c>
      <c r="BH1138" s="65"/>
      <c r="BI1138" s="65"/>
      <c r="BJ1138" s="65"/>
      <c r="BK1138" s="65"/>
      <c r="BL1138" s="99"/>
      <c r="BM1138" s="99"/>
      <c r="BN1138" s="99"/>
    </row>
    <row r="1139" spans="1:66" s="51" customFormat="1" ht="27" x14ac:dyDescent="0.25">
      <c r="A1139" s="478">
        <v>25</v>
      </c>
      <c r="B1139" s="479" t="s">
        <v>291</v>
      </c>
      <c r="C1139" s="480" t="s">
        <v>2158</v>
      </c>
      <c r="D1139" s="481" t="s">
        <v>299</v>
      </c>
      <c r="E1139" s="482">
        <v>424.95</v>
      </c>
      <c r="F1139" s="483" t="s">
        <v>292</v>
      </c>
      <c r="G1139" s="484">
        <v>0</v>
      </c>
      <c r="H1139" s="688" t="str">
        <f>IF(G1139=0,"",IF(F1139="Buy",IF(G1139=1,"plant","plants"),IF(F1139&gt;0.01,"warranty","Error")))</f>
        <v/>
      </c>
      <c r="I1139" s="485">
        <f>IF(H1139="free",0,IF(H1139="credit",((E1139*(F1139))*G1139*-1),IF(F1139="Buy",(E1139*G1139),((E1139*(1-F1139))*G1139))))</f>
        <v>0</v>
      </c>
      <c r="J1139" s="485">
        <f>IF(H1139="warranty",0,(I1139*(_xlfn.SINGLE(SalesTaxPercentage))))</f>
        <v>0</v>
      </c>
      <c r="K1139" s="715">
        <f t="shared" ref="K1139" si="844">I1139+J1139</f>
        <v>0</v>
      </c>
      <c r="L1139" s="715"/>
      <c r="M1139" s="689" t="str">
        <f ca="1">IF(AND(G1139&gt;0,E1139=0),"WARNING - no PRICE inserted",IF(H1139="free","FREE ~ no charge this plant",IF(H1139="credit",CONCATENATE("-$",ROUND(K1139*(1-_xlfn.SINGLE(T2GDiscount))*-1,2)," CREDIT after discount"),IF(_xlfn.SINGLE(T2GDiscount)=0,"",IF(G1139=0,"",IF(F1139="Buy",CONCATENATE("$",ROUND(K1139*(1-_xlfn.SINGLE(T2GDiscount)),2)," with ",(_xlfn.SINGLE(T2GDiscount)*100),"% discount"),CONCATENATE("$",ROUND(K1139*(1-_xlfn.SINGLE(T2GDiscount)),2)," with ",((_xlfn.SINGLE(T2GDiscount)*100+F1139*100)-(_xlfn.SINGLE(T2GDiscount)*100*F1139)),IF(F1139&gt;0,"% discounts",IF(_xlfn.SINGLE(NoWarrantyDiscount)&gt;0,"% discounts","% discount")))))))))</f>
        <v/>
      </c>
      <c r="N1139" s="690"/>
      <c r="O1139" s="486"/>
      <c r="P1139" s="486"/>
      <c r="Q1139" s="486"/>
      <c r="R1139" s="486"/>
      <c r="S1139" s="486"/>
      <c r="T1139" s="102">
        <f t="shared" si="816"/>
        <v>0</v>
      </c>
      <c r="U1139" s="78">
        <f>IF(NOT(ISNUMBER(G1139)), "", VLOOKUP(A1139,'Discount Lookup'!D:E,2,FALSE)*G1139)</f>
        <v>0</v>
      </c>
      <c r="V1139" s="78">
        <f>IF(NOT(ISNUMBER(G1139)), "", VLOOKUP(A1139,'Discount Lookup'!G:H,2,FALSE)*G1139)</f>
        <v>0</v>
      </c>
      <c r="W1139" s="102">
        <f t="shared" si="817"/>
        <v>0</v>
      </c>
      <c r="X1139" s="102">
        <f t="shared" si="818"/>
        <v>0</v>
      </c>
      <c r="Y1139" s="120" t="b">
        <f t="shared" si="819"/>
        <v>0</v>
      </c>
      <c r="Z1139" s="117">
        <f t="shared" si="820"/>
        <v>0</v>
      </c>
      <c r="AA1139" s="118"/>
      <c r="AB1139" s="118" t="str">
        <f t="shared" si="821"/>
        <v/>
      </c>
      <c r="AC1139" s="712" t="str">
        <f>IF(AE1139="T2G","no charge",IF(AND(OR(PlanterYesMe="No",PlanterYesMe="N",PlanterYesMe="me"),H1139=""),"",IF(H1139="credit","NO install",IF(AND(K1139="",AE1139="me"),"EACH row",IF(AND(K1139="images",AE1139="me"),"EACH row",IF(D1139="","",IF(H1139="credit","",IF(AE1139="free","re-planting",IF(AE1139="me","   not ELP, by",IF(AND(OR(PlanterYesMe="Yes",PlanterYesMe="Y"),G1139&gt;0),(VLOOKUP(A1139,'Discount Lookup'!J:K,2)*G1139*(1-PlanterDiscount)*(1+PlanterDifficultyPercentage)),IF(AE1139="ELP",(VLOOKUP(A1139,'Discount Lookup'!J:K,2)*G1139*(1-PlanterDiscount)*(1+PlanterDifficultyPercentage)),IF(AE1139="free","re-planting",IF(G1139=0,"",IF(PlanterYesMe="",IF(AE1139="me","   not ELP, by",IF(AE1139="",IF(G1139&gt;0,(VLOOKUP(A1139,'Discount Lookup'!J:K,2)*G1139*(1-PlanterDiscount)*(1+PlanterDifficultyPercentage)),""),"")),"   not ELP, by"))))))))))))))</f>
        <v/>
      </c>
      <c r="AD1139" s="712"/>
      <c r="AE1139" s="513" t="str">
        <f t="shared" si="822"/>
        <v/>
      </c>
      <c r="AF1139" s="713" t="str">
        <f t="shared" si="823"/>
        <v/>
      </c>
      <c r="AG1139" s="713"/>
      <c r="AH1139" s="713"/>
      <c r="AI1139" s="112">
        <f>IF(H1139="credit",0,IF(AE1139="free",0,IF(AE1139="me",0,IF(G1139&gt;0,(VLOOKUP(A1139,'Discount Lookup'!J:K,2)*G1139),0))))</f>
        <v>0</v>
      </c>
      <c r="AJ1139" s="107" t="str">
        <f t="shared" ca="1" si="824"/>
        <v/>
      </c>
      <c r="AK1139" s="714" t="str">
        <f t="shared" si="825"/>
        <v/>
      </c>
      <c r="AL1139" s="714"/>
      <c r="AM1139" s="114" t="str">
        <f t="shared" si="826"/>
        <v/>
      </c>
      <c r="AN1139" s="115"/>
      <c r="AO1139" s="116"/>
      <c r="AP1139" s="116"/>
      <c r="AQ1139" s="116"/>
      <c r="AR1139" s="116"/>
      <c r="AS1139" s="116"/>
      <c r="AT1139" s="116"/>
      <c r="AU1139" s="116"/>
      <c r="AV1139" s="78"/>
      <c r="AW1139" s="102"/>
      <c r="AX1139" s="78"/>
      <c r="AY1139" s="78"/>
      <c r="AZ1139" s="78"/>
      <c r="BA1139" s="78"/>
      <c r="BB1139" s="78"/>
      <c r="BC1139" s="78"/>
      <c r="BD1139" s="78"/>
      <c r="BE1139" s="465"/>
      <c r="BF1139" s="165" t="str">
        <f t="shared" si="827"/>
        <v>https://www.google.com/search?tbm=isch&amp;q=25%20G4</v>
      </c>
      <c r="BG1139" s="165" t="str">
        <f t="shared" si="828"/>
        <v>C</v>
      </c>
      <c r="BH1139" s="65"/>
      <c r="BI1139" s="65"/>
      <c r="BJ1139" s="65"/>
      <c r="BK1139" s="65"/>
      <c r="BL1139" s="99"/>
      <c r="BM1139" s="99"/>
      <c r="BN1139" s="99"/>
    </row>
    <row r="1140" spans="1:66" s="51" customFormat="1" ht="17.25" thickBot="1" x14ac:dyDescent="0.3">
      <c r="A1140" s="508" t="s">
        <v>2159</v>
      </c>
      <c r="B1140" s="487"/>
      <c r="C1140" s="707"/>
      <c r="D1140" s="487"/>
      <c r="E1140" s="487"/>
      <c r="F1140" s="488"/>
      <c r="G1140" s="489"/>
      <c r="H1140" s="487"/>
      <c r="I1140" s="490"/>
      <c r="J1140" s="490"/>
      <c r="K1140" s="491"/>
      <c r="L1140" s="547"/>
      <c r="M1140" s="528"/>
      <c r="N1140" s="492"/>
      <c r="O1140" s="493"/>
      <c r="P1140" s="494"/>
      <c r="Q1140" s="492"/>
      <c r="R1140" s="492"/>
      <c r="S1140" s="699" t="s">
        <v>5268</v>
      </c>
      <c r="T1140" s="102">
        <f t="shared" si="816"/>
        <v>0</v>
      </c>
      <c r="U1140" s="78" t="str">
        <f>IF(NOT(ISNUMBER(G1140)), "", VLOOKUP(A1140,'Discount Lookup'!D:E,2,FALSE)*G1140)</f>
        <v/>
      </c>
      <c r="V1140" s="78" t="str">
        <f>IF(NOT(ISNUMBER(G1140)), "", VLOOKUP(A1140,'Discount Lookup'!G:H,2,FALSE)*G1140)</f>
        <v/>
      </c>
      <c r="W1140" s="102">
        <f t="shared" si="817"/>
        <v>0</v>
      </c>
      <c r="X1140" s="102">
        <f t="shared" si="818"/>
        <v>0</v>
      </c>
      <c r="Y1140" s="120" t="b">
        <f t="shared" si="819"/>
        <v>0</v>
      </c>
      <c r="Z1140" s="117">
        <f t="shared" si="820"/>
        <v>0</v>
      </c>
      <c r="AA1140" s="118"/>
      <c r="AB1140" s="118" t="str">
        <f t="shared" si="821"/>
        <v/>
      </c>
      <c r="AC1140" s="712" t="str">
        <f>IF(AE1140="T2G","no charge",IF(AND(OR(PlanterYesMe="No",PlanterYesMe="N",PlanterYesMe="me"),H1140=""),"",IF(H1140="credit","NO install",IF(AND(K1140="",AE1140="me"),"EACH row",IF(AND(K1140="images",AE1140="me"),"EACH row",IF(D1140="","",IF(H1140="credit","",IF(AE1140="free","re-planting",IF(AE1140="me","   not ELP, by",IF(AND(OR(PlanterYesMe="Yes",PlanterYesMe="Y"),G1140&gt;0),(VLOOKUP(A1140,'Discount Lookup'!J:K,2)*G1140*(1-PlanterDiscount)*(1+PlanterDifficultyPercentage)),IF(AE1140="ELP",(VLOOKUP(A1140,'Discount Lookup'!J:K,2)*G1140*(1-PlanterDiscount)*(1+PlanterDifficultyPercentage)),IF(AE1140="free","re-planting",IF(G1140=0,"",IF(PlanterYesMe="",IF(AE1140="me","   not ELP, by",IF(AE1140="",IF(G1140&gt;0,(VLOOKUP(A1140,'Discount Lookup'!J:K,2)*G1140*(1-PlanterDiscount)*(1+PlanterDifficultyPercentage)),""),"")),"   not ELP, by"))))))))))))))</f>
        <v/>
      </c>
      <c r="AD1140" s="712"/>
      <c r="AE1140" s="513" t="str">
        <f t="shared" si="822"/>
        <v/>
      </c>
      <c r="AF1140" s="713" t="str">
        <f t="shared" si="823"/>
        <v/>
      </c>
      <c r="AG1140" s="713"/>
      <c r="AH1140" s="713"/>
      <c r="AI1140" s="112">
        <f>IF(H1140="credit",0,IF(AE1140="free",0,IF(AE1140="me",0,IF(G1140&gt;0,(VLOOKUP(A1140,'Discount Lookup'!J:K,2)*G1140),0))))</f>
        <v>0</v>
      </c>
      <c r="AJ1140" s="107" t="str">
        <f t="shared" ca="1" si="824"/>
        <v/>
      </c>
      <c r="AK1140" s="714" t="str">
        <f t="shared" si="825"/>
        <v/>
      </c>
      <c r="AL1140" s="714"/>
      <c r="AM1140" s="114" t="str">
        <f t="shared" si="826"/>
        <v/>
      </c>
      <c r="AN1140" s="115"/>
      <c r="AO1140" s="116"/>
      <c r="AP1140" s="116"/>
      <c r="AQ1140" s="116"/>
      <c r="AR1140" s="116"/>
      <c r="AS1140" s="116"/>
      <c r="AT1140" s="116"/>
      <c r="AU1140" s="116"/>
      <c r="AV1140" s="78"/>
      <c r="AW1140" s="102"/>
      <c r="AX1140" s="78"/>
      <c r="AY1140" s="78"/>
      <c r="AZ1140" s="78"/>
      <c r="BA1140" s="78"/>
      <c r="BB1140" s="78"/>
      <c r="BC1140" s="78"/>
      <c r="BD1140" s="78"/>
      <c r="BE1140" s="465"/>
      <c r="BF1140" s="165" t="str">
        <f t="shared" si="827"/>
        <v>https://www.google.com/search?tbm=isch&amp;q=Golden%20Fernleaf%20has%20stiff%2C%20four-angled%20feathery%20sprays%20that%20resemble%20fern%20fronds%2C%20glowing%20Golden%20in%20sun%2C%20Green%20toward%20interior%20</v>
      </c>
      <c r="BG1140" s="165" t="str">
        <f t="shared" si="828"/>
        <v>G</v>
      </c>
      <c r="BH1140" s="65"/>
      <c r="BI1140" s="65"/>
      <c r="BJ1140" s="65"/>
      <c r="BK1140" s="65"/>
      <c r="BL1140" s="99"/>
      <c r="BM1140" s="99"/>
      <c r="BN1140" s="99"/>
    </row>
    <row r="1141" spans="1:66" s="51" customFormat="1" ht="18" x14ac:dyDescent="0.25">
      <c r="A1141" s="507" t="s">
        <v>2160</v>
      </c>
      <c r="B1141" s="470"/>
      <c r="C1141" s="706"/>
      <c r="D1141" s="471" t="s">
        <v>2161</v>
      </c>
      <c r="E1141" s="472"/>
      <c r="F1141" s="472"/>
      <c r="G1141" s="472"/>
      <c r="H1141" s="622" t="s">
        <v>348</v>
      </c>
      <c r="I1141" s="473" t="s">
        <v>443</v>
      </c>
      <c r="J1141" s="472"/>
      <c r="K1141" s="472"/>
      <c r="L1141" s="561"/>
      <c r="M1141" s="698" t="s">
        <v>5246</v>
      </c>
      <c r="N1141" s="692" t="str">
        <f>IF(AND(ISTEXT($A1141), ISERROR($A1141+0)), HYPERLINK($BF1141, "Images"), "")</f>
        <v>Images</v>
      </c>
      <c r="O1141" s="694" t="s">
        <v>5247</v>
      </c>
      <c r="P1141" s="475"/>
      <c r="Q1141" s="476"/>
      <c r="R1141" s="476"/>
      <c r="S1141" s="477"/>
      <c r="T1141" s="102">
        <f t="shared" si="816"/>
        <v>0</v>
      </c>
      <c r="U1141" s="78" t="str">
        <f>IF(NOT(ISNUMBER(G1141)), "", VLOOKUP(A1141,'Discount Lookup'!D:E,2,FALSE)*G1141)</f>
        <v/>
      </c>
      <c r="V1141" s="78" t="str">
        <f>IF(NOT(ISNUMBER(G1141)), "", VLOOKUP(A1141,'Discount Lookup'!G:H,2,FALSE)*G1141)</f>
        <v/>
      </c>
      <c r="W1141" s="102">
        <f t="shared" si="817"/>
        <v>0</v>
      </c>
      <c r="X1141" s="102" t="str">
        <f t="shared" si="818"/>
        <v>Golden-Yellow foliage</v>
      </c>
      <c r="Y1141" s="120" t="b">
        <f t="shared" si="819"/>
        <v>0</v>
      </c>
      <c r="Z1141" s="117">
        <f t="shared" si="820"/>
        <v>0</v>
      </c>
      <c r="AA1141" s="118"/>
      <c r="AB1141" s="118" t="str">
        <f t="shared" si="821"/>
        <v/>
      </c>
      <c r="AC1141" s="712" t="str">
        <f>IF(AE1141="T2G","no charge",IF(AND(OR(PlanterYesMe="No",PlanterYesMe="N",PlanterYesMe="me"),H1141=""),"",IF(H1141="credit","NO install",IF(AND(K1141="",AE1141="me"),"EACH row",IF(AND(K1141="images",AE1141="me"),"EACH row",IF(D1141="","",IF(H1141="credit","",IF(AE1141="free","re-planting",IF(AE1141="me","   not ELP, by",IF(AND(OR(PlanterYesMe="Yes",PlanterYesMe="Y"),G1141&gt;0),(VLOOKUP(A1141,'Discount Lookup'!J:K,2)*G1141*(1-PlanterDiscount)*(1+PlanterDifficultyPercentage)),IF(AE1141="ELP",(VLOOKUP(A1141,'Discount Lookup'!J:K,2)*G1141*(1-PlanterDiscount)*(1+PlanterDifficultyPercentage)),IF(AE1141="free","re-planting",IF(G1141=0,"",IF(PlanterYesMe="",IF(AE1141="me","   not ELP, by",IF(AE1141="",IF(G1141&gt;0,(VLOOKUP(A1141,'Discount Lookup'!J:K,2)*G1141*(1-PlanterDiscount)*(1+PlanterDifficultyPercentage)),""),"")),"   not ELP, by"))))))))))))))</f>
        <v/>
      </c>
      <c r="AD1141" s="712"/>
      <c r="AE1141" s="513" t="str">
        <f t="shared" si="822"/>
        <v/>
      </c>
      <c r="AF1141" s="713" t="str">
        <f t="shared" si="823"/>
        <v/>
      </c>
      <c r="AG1141" s="713"/>
      <c r="AH1141" s="713"/>
      <c r="AI1141" s="112">
        <f>IF(H1141="credit",0,IF(AE1141="free",0,IF(AE1141="me",0,IF(G1141&gt;0,(VLOOKUP(A1141,'Discount Lookup'!J:K,2)*G1141),0))))</f>
        <v>0</v>
      </c>
      <c r="AJ1141" s="107" t="str">
        <f t="shared" ca="1" si="824"/>
        <v/>
      </c>
      <c r="AK1141" s="714" t="str">
        <f t="shared" si="825"/>
        <v/>
      </c>
      <c r="AL1141" s="714"/>
      <c r="AM1141" s="114" t="str">
        <f t="shared" si="826"/>
        <v/>
      </c>
      <c r="AN1141" s="115"/>
      <c r="AO1141" s="116"/>
      <c r="AP1141" s="116"/>
      <c r="AQ1141" s="116"/>
      <c r="AR1141" s="116"/>
      <c r="AS1141" s="116"/>
      <c r="AT1141" s="116"/>
      <c r="AU1141" s="116"/>
      <c r="AV1141" s="78"/>
      <c r="AW1141" s="102"/>
      <c r="AX1141" s="78"/>
      <c r="AY1141" s="78"/>
      <c r="AZ1141" s="78"/>
      <c r="BA1141" s="78"/>
      <c r="BB1141" s="78"/>
      <c r="BC1141" s="78"/>
      <c r="BD1141" s="78"/>
      <c r="BE1141" s="465"/>
      <c r="BF1141" s="165" t="str">
        <f t="shared" si="827"/>
        <v>https://www.google.com/search?tbm=isch&amp;q=Chamaecyparis%20obtusa%20%27Verdoni%27%20Verdoni%20Cypress</v>
      </c>
      <c r="BG1141" s="165" t="str">
        <f t="shared" si="828"/>
        <v>C</v>
      </c>
      <c r="BH1141" s="65"/>
      <c r="BI1141" s="65"/>
      <c r="BJ1141" s="65"/>
      <c r="BK1141" s="65"/>
      <c r="BL1141" s="99"/>
      <c r="BM1141" s="99"/>
      <c r="BN1141" s="99"/>
    </row>
    <row r="1142" spans="1:66" s="51" customFormat="1" ht="27" x14ac:dyDescent="0.25">
      <c r="A1142" s="478">
        <v>7</v>
      </c>
      <c r="B1142" s="479" t="s">
        <v>291</v>
      </c>
      <c r="C1142" s="480" t="s">
        <v>2162</v>
      </c>
      <c r="D1142" s="481" t="s">
        <v>299</v>
      </c>
      <c r="E1142" s="482">
        <v>155.94999999999999</v>
      </c>
      <c r="F1142" s="483" t="s">
        <v>292</v>
      </c>
      <c r="G1142" s="484">
        <v>0</v>
      </c>
      <c r="H1142" s="688" t="str">
        <f>IF(G1142=0,"",IF(F1142="Buy",IF(G1142=1,"plant","plants"),IF(F1142&gt;0.01,"warranty","Error")))</f>
        <v/>
      </c>
      <c r="I1142" s="485">
        <f>IF(H1142="free",0,IF(H1142="credit",((E1142*(F1142))*G1142*-1),IF(F1142="Buy",(E1142*G1142),((E1142*(1-F1142))*G1142))))</f>
        <v>0</v>
      </c>
      <c r="J1142" s="485">
        <f>IF(H1142="warranty",0,(I1142*(_xlfn.SINGLE(SalesTaxPercentage))))</f>
        <v>0</v>
      </c>
      <c r="K1142" s="715">
        <f t="shared" ref="K1142" si="845">I1142+J1142</f>
        <v>0</v>
      </c>
      <c r="L1142" s="715"/>
      <c r="M1142" s="689" t="str">
        <f ca="1">IF(AND(G1142&gt;0,E1142=0),"WARNING - no PRICE inserted",IF(H1142="free","FREE ~ no charge this plant",IF(H1142="credit",CONCATENATE("-$",ROUND(K1142*(1-_xlfn.SINGLE(T2GDiscount))*-1,2)," CREDIT after discount"),IF(_xlfn.SINGLE(T2GDiscount)=0,"",IF(G1142=0,"",IF(F1142="Buy",CONCATENATE("$",ROUND(K1142*(1-_xlfn.SINGLE(T2GDiscount)),2)," with ",(_xlfn.SINGLE(T2GDiscount)*100),"% discount"),CONCATENATE("$",ROUND(K1142*(1-_xlfn.SINGLE(T2GDiscount)),2)," with ",((_xlfn.SINGLE(T2GDiscount)*100+F1142*100)-(_xlfn.SINGLE(T2GDiscount)*100*F1142)),IF(F1142&gt;0,"% discounts",IF(_xlfn.SINGLE(NoWarrantyDiscount)&gt;0,"% discounts","% discount")))))))))</f>
        <v/>
      </c>
      <c r="N1142" s="690"/>
      <c r="O1142" s="486"/>
      <c r="P1142" s="486"/>
      <c r="Q1142" s="486"/>
      <c r="R1142" s="486"/>
      <c r="S1142" s="486"/>
      <c r="T1142" s="102">
        <f t="shared" si="816"/>
        <v>0</v>
      </c>
      <c r="U1142" s="78">
        <f>IF(NOT(ISNUMBER(G1142)), "", VLOOKUP(A1142,'Discount Lookup'!D:E,2,FALSE)*G1142)</f>
        <v>0</v>
      </c>
      <c r="V1142" s="78">
        <f>IF(NOT(ISNUMBER(G1142)), "", VLOOKUP(A1142,'Discount Lookup'!G:H,2,FALSE)*G1142)</f>
        <v>0</v>
      </c>
      <c r="W1142" s="102">
        <f t="shared" si="817"/>
        <v>0</v>
      </c>
      <c r="X1142" s="102">
        <f t="shared" si="818"/>
        <v>0</v>
      </c>
      <c r="Y1142" s="120" t="b">
        <f t="shared" si="819"/>
        <v>0</v>
      </c>
      <c r="Z1142" s="117">
        <f t="shared" si="820"/>
        <v>0</v>
      </c>
      <c r="AA1142" s="118"/>
      <c r="AB1142" s="118" t="str">
        <f t="shared" si="821"/>
        <v/>
      </c>
      <c r="AC1142" s="712" t="str">
        <f>IF(AE1142="T2G","no charge",IF(AND(OR(PlanterYesMe="No",PlanterYesMe="N",PlanterYesMe="me"),H1142=""),"",IF(H1142="credit","NO install",IF(AND(K1142="",AE1142="me"),"EACH row",IF(AND(K1142="images",AE1142="me"),"EACH row",IF(D1142="","",IF(H1142="credit","",IF(AE1142="free","re-planting",IF(AE1142="me","   not ELP, by",IF(AND(OR(PlanterYesMe="Yes",PlanterYesMe="Y"),G1142&gt;0),(VLOOKUP(A1142,'Discount Lookup'!J:K,2)*G1142*(1-PlanterDiscount)*(1+PlanterDifficultyPercentage)),IF(AE1142="ELP",(VLOOKUP(A1142,'Discount Lookup'!J:K,2)*G1142*(1-PlanterDiscount)*(1+PlanterDifficultyPercentage)),IF(AE1142="free","re-planting",IF(G1142=0,"",IF(PlanterYesMe="",IF(AE1142="me","   not ELP, by",IF(AE1142="",IF(G1142&gt;0,(VLOOKUP(A1142,'Discount Lookup'!J:K,2)*G1142*(1-PlanterDiscount)*(1+PlanterDifficultyPercentage)),""),"")),"   not ELP, by"))))))))))))))</f>
        <v/>
      </c>
      <c r="AD1142" s="712"/>
      <c r="AE1142" s="513" t="str">
        <f t="shared" si="822"/>
        <v/>
      </c>
      <c r="AF1142" s="713" t="str">
        <f t="shared" si="823"/>
        <v/>
      </c>
      <c r="AG1142" s="713"/>
      <c r="AH1142" s="713"/>
      <c r="AI1142" s="112">
        <f>IF(H1142="credit",0,IF(AE1142="free",0,IF(AE1142="me",0,IF(G1142&gt;0,(VLOOKUP(A1142,'Discount Lookup'!J:K,2)*G1142),0))))</f>
        <v>0</v>
      </c>
      <c r="AJ1142" s="107" t="str">
        <f t="shared" ca="1" si="824"/>
        <v/>
      </c>
      <c r="AK1142" s="714" t="str">
        <f t="shared" si="825"/>
        <v/>
      </c>
      <c r="AL1142" s="714"/>
      <c r="AM1142" s="114" t="str">
        <f t="shared" si="826"/>
        <v/>
      </c>
      <c r="AN1142" s="115"/>
      <c r="AO1142" s="116"/>
      <c r="AP1142" s="116"/>
      <c r="AQ1142" s="116"/>
      <c r="AR1142" s="116"/>
      <c r="AS1142" s="116"/>
      <c r="AT1142" s="116"/>
      <c r="AU1142" s="116"/>
      <c r="AV1142" s="78"/>
      <c r="AW1142" s="102"/>
      <c r="AX1142" s="78"/>
      <c r="AY1142" s="78"/>
      <c r="AZ1142" s="78"/>
      <c r="BA1142" s="78"/>
      <c r="BB1142" s="78"/>
      <c r="BC1142" s="78"/>
      <c r="BD1142" s="78"/>
      <c r="BE1142" s="465"/>
      <c r="BF1142" s="165" t="str">
        <f t="shared" si="827"/>
        <v>https://www.google.com/search?tbm=isch&amp;q=7%20G4</v>
      </c>
      <c r="BG1142" s="165" t="str">
        <f t="shared" si="828"/>
        <v>C</v>
      </c>
      <c r="BH1142" s="65"/>
      <c r="BI1142" s="65"/>
      <c r="BJ1142" s="65"/>
      <c r="BK1142" s="65"/>
      <c r="BL1142" s="99"/>
      <c r="BM1142" s="99"/>
      <c r="BN1142" s="99"/>
    </row>
    <row r="1143" spans="1:66" s="51" customFormat="1" ht="17.25" thickBot="1" x14ac:dyDescent="0.3">
      <c r="A1143" s="508" t="s">
        <v>2163</v>
      </c>
      <c r="B1143" s="487"/>
      <c r="C1143" s="707"/>
      <c r="D1143" s="487"/>
      <c r="E1143" s="487"/>
      <c r="F1143" s="488"/>
      <c r="G1143" s="489"/>
      <c r="H1143" s="487"/>
      <c r="I1143" s="490"/>
      <c r="J1143" s="490"/>
      <c r="K1143" s="491"/>
      <c r="L1143" s="547"/>
      <c r="M1143" s="528"/>
      <c r="N1143" s="492"/>
      <c r="O1143" s="493"/>
      <c r="P1143" s="494"/>
      <c r="Q1143" s="492"/>
      <c r="R1143" s="492"/>
      <c r="S1143" s="699" t="s">
        <v>5268</v>
      </c>
      <c r="T1143" s="102">
        <f t="shared" si="816"/>
        <v>0</v>
      </c>
      <c r="U1143" s="78" t="str">
        <f>IF(NOT(ISNUMBER(G1143)), "", VLOOKUP(A1143,'Discount Lookup'!D:E,2,FALSE)*G1143)</f>
        <v/>
      </c>
      <c r="V1143" s="78" t="str">
        <f>IF(NOT(ISNUMBER(G1143)), "", VLOOKUP(A1143,'Discount Lookup'!G:H,2,FALSE)*G1143)</f>
        <v/>
      </c>
      <c r="W1143" s="102">
        <f t="shared" si="817"/>
        <v>0</v>
      </c>
      <c r="X1143" s="102">
        <f t="shared" si="818"/>
        <v>0</v>
      </c>
      <c r="Y1143" s="120" t="b">
        <f t="shared" si="819"/>
        <v>0</v>
      </c>
      <c r="Z1143" s="117">
        <f t="shared" si="820"/>
        <v>0</v>
      </c>
      <c r="AA1143" s="118"/>
      <c r="AB1143" s="118" t="str">
        <f t="shared" si="821"/>
        <v/>
      </c>
      <c r="AC1143" s="712" t="str">
        <f>IF(AE1143="T2G","no charge",IF(AND(OR(PlanterYesMe="No",PlanterYesMe="N",PlanterYesMe="me"),H1143=""),"",IF(H1143="credit","NO install",IF(AND(K1143="",AE1143="me"),"EACH row",IF(AND(K1143="images",AE1143="me"),"EACH row",IF(D1143="","",IF(H1143="credit","",IF(AE1143="free","re-planting",IF(AE1143="me","   not ELP, by",IF(AND(OR(PlanterYesMe="Yes",PlanterYesMe="Y"),G1143&gt;0),(VLOOKUP(A1143,'Discount Lookup'!J:K,2)*G1143*(1-PlanterDiscount)*(1+PlanterDifficultyPercentage)),IF(AE1143="ELP",(VLOOKUP(A1143,'Discount Lookup'!J:K,2)*G1143*(1-PlanterDiscount)*(1+PlanterDifficultyPercentage)),IF(AE1143="free","re-planting",IF(G1143=0,"",IF(PlanterYesMe="",IF(AE1143="me","   not ELP, by",IF(AE1143="",IF(G1143&gt;0,(VLOOKUP(A1143,'Discount Lookup'!J:K,2)*G1143*(1-PlanterDiscount)*(1+PlanterDifficultyPercentage)),""),"")),"   not ELP, by"))))))))))))))</f>
        <v/>
      </c>
      <c r="AD1143" s="712"/>
      <c r="AE1143" s="513" t="str">
        <f t="shared" si="822"/>
        <v/>
      </c>
      <c r="AF1143" s="713" t="str">
        <f t="shared" si="823"/>
        <v/>
      </c>
      <c r="AG1143" s="713"/>
      <c r="AH1143" s="713"/>
      <c r="AI1143" s="112">
        <f>IF(H1143="credit",0,IF(AE1143="free",0,IF(AE1143="me",0,IF(G1143&gt;0,(VLOOKUP(A1143,'Discount Lookup'!J:K,2)*G1143),0))))</f>
        <v>0</v>
      </c>
      <c r="AJ1143" s="107" t="str">
        <f t="shared" ca="1" si="824"/>
        <v/>
      </c>
      <c r="AK1143" s="714" t="str">
        <f t="shared" si="825"/>
        <v/>
      </c>
      <c r="AL1143" s="714"/>
      <c r="AM1143" s="114" t="str">
        <f t="shared" si="826"/>
        <v/>
      </c>
      <c r="AN1143" s="115"/>
      <c r="AO1143" s="116"/>
      <c r="AP1143" s="116"/>
      <c r="AQ1143" s="116"/>
      <c r="AR1143" s="116"/>
      <c r="AS1143" s="116"/>
      <c r="AT1143" s="116"/>
      <c r="AU1143" s="116"/>
      <c r="AV1143" s="78"/>
      <c r="AW1143" s="102"/>
      <c r="AX1143" s="78"/>
      <c r="AY1143" s="78"/>
      <c r="AZ1143" s="78"/>
      <c r="BA1143" s="78"/>
      <c r="BB1143" s="78"/>
      <c r="BC1143" s="78"/>
      <c r="BD1143" s="78"/>
      <c r="BE1143" s="465"/>
      <c r="BF1143" s="165" t="str">
        <f t="shared" si="827"/>
        <v>https://www.google.com/search?tbm=isch&amp;q=Verdoni%20Cypress%20forms%20a%20dense%2C%20conical%20shape%20with%20vivid%20Golden%20foliage%20that%20holds%20its%20color%20well%2C%20with%20a%20Bronze%20winter%20cast%20</v>
      </c>
      <c r="BG1143" s="165" t="str">
        <f t="shared" si="828"/>
        <v>V</v>
      </c>
      <c r="BH1143" s="65"/>
      <c r="BI1143" s="65"/>
      <c r="BJ1143" s="65"/>
      <c r="BK1143" s="65"/>
      <c r="BL1143" s="99"/>
      <c r="BM1143" s="99"/>
      <c r="BN1143" s="99"/>
    </row>
    <row r="1144" spans="1:66" s="51" customFormat="1" ht="18" x14ac:dyDescent="0.25">
      <c r="A1144" s="507" t="s">
        <v>2164</v>
      </c>
      <c r="B1144" s="470"/>
      <c r="C1144" s="706"/>
      <c r="D1144" s="471" t="s">
        <v>2165</v>
      </c>
      <c r="E1144" s="472"/>
      <c r="F1144" s="472"/>
      <c r="G1144" s="472"/>
      <c r="H1144" s="622" t="s">
        <v>1246</v>
      </c>
      <c r="I1144" s="473" t="s">
        <v>443</v>
      </c>
      <c r="J1144" s="472"/>
      <c r="K1144" s="472"/>
      <c r="L1144" s="561"/>
      <c r="M1144" s="698" t="s">
        <v>5246</v>
      </c>
      <c r="N1144" s="692" t="str">
        <f>IF(AND(ISTEXT($A1144), ISERROR($A1144+0)), HYPERLINK($BF1144, "Images"), "")</f>
        <v>Images</v>
      </c>
      <c r="O1144" s="694" t="s">
        <v>5247</v>
      </c>
      <c r="P1144" s="475"/>
      <c r="Q1144" s="476"/>
      <c r="R1144" s="476"/>
      <c r="S1144" s="477"/>
      <c r="T1144" s="102">
        <f t="shared" si="816"/>
        <v>0</v>
      </c>
      <c r="U1144" s="78" t="str">
        <f>IF(NOT(ISNUMBER(G1144)), "", VLOOKUP(A1144,'Discount Lookup'!D:E,2,FALSE)*G1144)</f>
        <v/>
      </c>
      <c r="V1144" s="78" t="str">
        <f>IF(NOT(ISNUMBER(G1144)), "", VLOOKUP(A1144,'Discount Lookup'!G:H,2,FALSE)*G1144)</f>
        <v/>
      </c>
      <c r="W1144" s="102">
        <f t="shared" si="817"/>
        <v>0</v>
      </c>
      <c r="X1144" s="102" t="str">
        <f t="shared" si="818"/>
        <v>Golden-Yellow foliage</v>
      </c>
      <c r="Y1144" s="120" t="b">
        <f t="shared" si="819"/>
        <v>0</v>
      </c>
      <c r="Z1144" s="117">
        <f t="shared" si="820"/>
        <v>0</v>
      </c>
      <c r="AA1144" s="118"/>
      <c r="AB1144" s="118" t="str">
        <f t="shared" si="821"/>
        <v/>
      </c>
      <c r="AC1144" s="712" t="str">
        <f>IF(AE1144="T2G","no charge",IF(AND(OR(PlanterYesMe="No",PlanterYesMe="N",PlanterYesMe="me"),H1144=""),"",IF(H1144="credit","NO install",IF(AND(K1144="",AE1144="me"),"EACH row",IF(AND(K1144="images",AE1144="me"),"EACH row",IF(D1144="","",IF(H1144="credit","",IF(AE1144="free","re-planting",IF(AE1144="me","   not ELP, by",IF(AND(OR(PlanterYesMe="Yes",PlanterYesMe="Y"),G1144&gt;0),(VLOOKUP(A1144,'Discount Lookup'!J:K,2)*G1144*(1-PlanterDiscount)*(1+PlanterDifficultyPercentage)),IF(AE1144="ELP",(VLOOKUP(A1144,'Discount Lookup'!J:K,2)*G1144*(1-PlanterDiscount)*(1+PlanterDifficultyPercentage)),IF(AE1144="free","re-planting",IF(G1144=0,"",IF(PlanterYesMe="",IF(AE1144="me","   not ELP, by",IF(AE1144="",IF(G1144&gt;0,(VLOOKUP(A1144,'Discount Lookup'!J:K,2)*G1144*(1-PlanterDiscount)*(1+PlanterDifficultyPercentage)),""),"")),"   not ELP, by"))))))))))))))</f>
        <v/>
      </c>
      <c r="AD1144" s="712"/>
      <c r="AE1144" s="513" t="str">
        <f t="shared" si="822"/>
        <v/>
      </c>
      <c r="AF1144" s="713" t="str">
        <f t="shared" si="823"/>
        <v/>
      </c>
      <c r="AG1144" s="713"/>
      <c r="AH1144" s="713"/>
      <c r="AI1144" s="112">
        <f>IF(H1144="credit",0,IF(AE1144="free",0,IF(AE1144="me",0,IF(G1144&gt;0,(VLOOKUP(A1144,'Discount Lookup'!J:K,2)*G1144),0))))</f>
        <v>0</v>
      </c>
      <c r="AJ1144" s="107" t="str">
        <f t="shared" ca="1" si="824"/>
        <v/>
      </c>
      <c r="AK1144" s="714" t="str">
        <f t="shared" si="825"/>
        <v/>
      </c>
      <c r="AL1144" s="714"/>
      <c r="AM1144" s="114" t="str">
        <f t="shared" si="826"/>
        <v/>
      </c>
      <c r="AN1144" s="115"/>
      <c r="AO1144" s="116"/>
      <c r="AP1144" s="116"/>
      <c r="AQ1144" s="116"/>
      <c r="AR1144" s="116"/>
      <c r="AS1144" s="116"/>
      <c r="AT1144" s="116"/>
      <c r="AU1144" s="116"/>
      <c r="AV1144" s="78"/>
      <c r="AW1144" s="102"/>
      <c r="AX1144" s="78"/>
      <c r="AY1144" s="78"/>
      <c r="AZ1144" s="78"/>
      <c r="BA1144" s="78"/>
      <c r="BB1144" s="78"/>
      <c r="BC1144" s="78"/>
      <c r="BD1144" s="78"/>
      <c r="BE1144" s="465"/>
      <c r="BF1144" s="165" t="str">
        <f t="shared" si="827"/>
        <v>https://www.google.com/search?tbm=isch&amp;q=Chamaecyparis%20pisifera%20%27Filifera%20Aureovariegata%27%20Golden%20Variegated%20Sawara%20Cypress</v>
      </c>
      <c r="BG1144" s="165" t="str">
        <f t="shared" si="828"/>
        <v>C</v>
      </c>
      <c r="BH1144" s="65"/>
      <c r="BI1144" s="65"/>
      <c r="BJ1144" s="65"/>
      <c r="BK1144" s="65"/>
      <c r="BL1144" s="99"/>
      <c r="BM1144" s="99"/>
      <c r="BN1144" s="99"/>
    </row>
    <row r="1145" spans="1:66" s="51" customFormat="1" ht="27" x14ac:dyDescent="0.25">
      <c r="A1145" s="478">
        <v>45</v>
      </c>
      <c r="B1145" s="479" t="s">
        <v>291</v>
      </c>
      <c r="C1145" s="480" t="s">
        <v>2166</v>
      </c>
      <c r="D1145" s="481" t="s">
        <v>299</v>
      </c>
      <c r="E1145" s="482">
        <v>865.95</v>
      </c>
      <c r="F1145" s="483" t="s">
        <v>292</v>
      </c>
      <c r="G1145" s="484">
        <v>0</v>
      </c>
      <c r="H1145" s="688" t="str">
        <f>IF(G1145=0,"",IF(F1145="Buy",IF(G1145=1,"plant","plants"),IF(F1145&gt;0.01,"warranty","Error")))</f>
        <v/>
      </c>
      <c r="I1145" s="485">
        <f>IF(H1145="free",0,IF(H1145="credit",((E1145*(F1145))*G1145*-1),IF(F1145="Buy",(E1145*G1145),((E1145*(1-F1145))*G1145))))</f>
        <v>0</v>
      </c>
      <c r="J1145" s="485">
        <f>IF(H1145="warranty",0,(I1145*(_xlfn.SINGLE(SalesTaxPercentage))))</f>
        <v>0</v>
      </c>
      <c r="K1145" s="715">
        <f t="shared" ref="K1145" si="846">I1145+J1145</f>
        <v>0</v>
      </c>
      <c r="L1145" s="715"/>
      <c r="M1145" s="689" t="str">
        <f ca="1">IF(AND(G1145&gt;0,E1145=0),"WARNING - no PRICE inserted",IF(H1145="free","FREE ~ no charge this plant",IF(H1145="credit",CONCATENATE("-$",ROUND(K1145*(1-_xlfn.SINGLE(T2GDiscount))*-1,2)," CREDIT after discount"),IF(_xlfn.SINGLE(T2GDiscount)=0,"",IF(G1145=0,"",IF(F1145="Buy",CONCATENATE("$",ROUND(K1145*(1-_xlfn.SINGLE(T2GDiscount)),2)," with ",(_xlfn.SINGLE(T2GDiscount)*100),"% discount"),CONCATENATE("$",ROUND(K1145*(1-_xlfn.SINGLE(T2GDiscount)),2)," with ",((_xlfn.SINGLE(T2GDiscount)*100+F1145*100)-(_xlfn.SINGLE(T2GDiscount)*100*F1145)),IF(F1145&gt;0,"% discounts",IF(_xlfn.SINGLE(NoWarrantyDiscount)&gt;0,"% discounts","% discount")))))))))</f>
        <v/>
      </c>
      <c r="N1145" s="690"/>
      <c r="O1145" s="486"/>
      <c r="P1145" s="486"/>
      <c r="Q1145" s="486"/>
      <c r="R1145" s="486"/>
      <c r="S1145" s="486"/>
      <c r="T1145" s="102">
        <f t="shared" si="816"/>
        <v>0</v>
      </c>
      <c r="U1145" s="78">
        <f>IF(NOT(ISNUMBER(G1145)), "", VLOOKUP(A1145,'Discount Lookup'!D:E,2,FALSE)*G1145)</f>
        <v>0</v>
      </c>
      <c r="V1145" s="78">
        <f>IF(NOT(ISNUMBER(G1145)), "", VLOOKUP(A1145,'Discount Lookup'!G:H,2,FALSE)*G1145)</f>
        <v>0</v>
      </c>
      <c r="W1145" s="102">
        <f t="shared" si="817"/>
        <v>0</v>
      </c>
      <c r="X1145" s="102">
        <f t="shared" si="818"/>
        <v>0</v>
      </c>
      <c r="Y1145" s="120" t="b">
        <f t="shared" si="819"/>
        <v>0</v>
      </c>
      <c r="Z1145" s="117">
        <f t="shared" si="820"/>
        <v>0</v>
      </c>
      <c r="AA1145" s="118"/>
      <c r="AB1145" s="118" t="str">
        <f t="shared" si="821"/>
        <v/>
      </c>
      <c r="AC1145" s="712" t="str">
        <f>IF(AE1145="T2G","no charge",IF(AND(OR(PlanterYesMe="No",PlanterYesMe="N",PlanterYesMe="me"),H1145=""),"",IF(H1145="credit","NO install",IF(AND(K1145="",AE1145="me"),"EACH row",IF(AND(K1145="images",AE1145="me"),"EACH row",IF(D1145="","",IF(H1145="credit","",IF(AE1145="free","re-planting",IF(AE1145="me","   not ELP, by",IF(AND(OR(PlanterYesMe="Yes",PlanterYesMe="Y"),G1145&gt;0),(VLOOKUP(A1145,'Discount Lookup'!J:K,2)*G1145*(1-PlanterDiscount)*(1+PlanterDifficultyPercentage)),IF(AE1145="ELP",(VLOOKUP(A1145,'Discount Lookup'!J:K,2)*G1145*(1-PlanterDiscount)*(1+PlanterDifficultyPercentage)),IF(AE1145="free","re-planting",IF(G1145=0,"",IF(PlanterYesMe="",IF(AE1145="me","   not ELP, by",IF(AE1145="",IF(G1145&gt;0,(VLOOKUP(A1145,'Discount Lookup'!J:K,2)*G1145*(1-PlanterDiscount)*(1+PlanterDifficultyPercentage)),""),"")),"   not ELP, by"))))))))))))))</f>
        <v/>
      </c>
      <c r="AD1145" s="712"/>
      <c r="AE1145" s="513" t="str">
        <f t="shared" si="822"/>
        <v/>
      </c>
      <c r="AF1145" s="713" t="str">
        <f t="shared" si="823"/>
        <v/>
      </c>
      <c r="AG1145" s="713"/>
      <c r="AH1145" s="713"/>
      <c r="AI1145" s="112">
        <f>IF(H1145="credit",0,IF(AE1145="free",0,IF(AE1145="me",0,IF(G1145&gt;0,(VLOOKUP(A1145,'Discount Lookup'!J:K,2)*G1145),0))))</f>
        <v>0</v>
      </c>
      <c r="AJ1145" s="107" t="str">
        <f t="shared" ca="1" si="824"/>
        <v/>
      </c>
      <c r="AK1145" s="714" t="str">
        <f t="shared" si="825"/>
        <v/>
      </c>
      <c r="AL1145" s="714"/>
      <c r="AM1145" s="114" t="str">
        <f t="shared" si="826"/>
        <v/>
      </c>
      <c r="AN1145" s="115"/>
      <c r="AO1145" s="116"/>
      <c r="AP1145" s="116"/>
      <c r="AQ1145" s="116"/>
      <c r="AR1145" s="116"/>
      <c r="AS1145" s="116"/>
      <c r="AT1145" s="116"/>
      <c r="AU1145" s="116"/>
      <c r="AV1145" s="78"/>
      <c r="AW1145" s="102"/>
      <c r="AX1145" s="78"/>
      <c r="AY1145" s="78"/>
      <c r="AZ1145" s="78"/>
      <c r="BA1145" s="78"/>
      <c r="BB1145" s="78"/>
      <c r="BC1145" s="78"/>
      <c r="BD1145" s="78"/>
      <c r="BE1145" s="465"/>
      <c r="BF1145" s="165" t="str">
        <f t="shared" si="827"/>
        <v>https://www.google.com/search?tbm=isch&amp;q=45%20G4</v>
      </c>
      <c r="BG1145" s="165" t="str">
        <f t="shared" si="828"/>
        <v>C</v>
      </c>
      <c r="BH1145" s="65"/>
      <c r="BI1145" s="65"/>
      <c r="BJ1145" s="65"/>
      <c r="BK1145" s="65"/>
      <c r="BL1145" s="99"/>
      <c r="BM1145" s="99"/>
      <c r="BN1145" s="99"/>
    </row>
    <row r="1146" spans="1:66" s="51" customFormat="1" ht="17.25" thickBot="1" x14ac:dyDescent="0.3">
      <c r="A1146" s="705" t="s">
        <v>5375</v>
      </c>
      <c r="B1146" s="487"/>
      <c r="C1146" s="707"/>
      <c r="D1146" s="487"/>
      <c r="E1146" s="487"/>
      <c r="F1146" s="488"/>
      <c r="G1146" s="489"/>
      <c r="H1146" s="487"/>
      <c r="I1146" s="490"/>
      <c r="J1146" s="490"/>
      <c r="K1146" s="491"/>
      <c r="L1146" s="547"/>
      <c r="M1146" s="528"/>
      <c r="N1146" s="492"/>
      <c r="O1146" s="493"/>
      <c r="P1146" s="494"/>
      <c r="Q1146" s="492"/>
      <c r="R1146" s="492"/>
      <c r="S1146" s="699" t="s">
        <v>5268</v>
      </c>
      <c r="T1146" s="102">
        <f t="shared" si="816"/>
        <v>0</v>
      </c>
      <c r="U1146" s="78" t="str">
        <f>IF(NOT(ISNUMBER(G1146)), "", VLOOKUP(A1146,'Discount Lookup'!D:E,2,FALSE)*G1146)</f>
        <v/>
      </c>
      <c r="V1146" s="78" t="str">
        <f>IF(NOT(ISNUMBER(G1146)), "", VLOOKUP(A1146,'Discount Lookup'!G:H,2,FALSE)*G1146)</f>
        <v/>
      </c>
      <c r="W1146" s="102">
        <f t="shared" si="817"/>
        <v>0</v>
      </c>
      <c r="X1146" s="102">
        <f t="shared" si="818"/>
        <v>0</v>
      </c>
      <c r="Y1146" s="120" t="b">
        <f t="shared" si="819"/>
        <v>0</v>
      </c>
      <c r="Z1146" s="117">
        <f t="shared" si="820"/>
        <v>0</v>
      </c>
      <c r="AA1146" s="118"/>
      <c r="AB1146" s="118" t="str">
        <f t="shared" si="821"/>
        <v/>
      </c>
      <c r="AC1146" s="712" t="str">
        <f>IF(AE1146="T2G","no charge",IF(AND(OR(PlanterYesMe="No",PlanterYesMe="N",PlanterYesMe="me"),H1146=""),"",IF(H1146="credit","NO install",IF(AND(K1146="",AE1146="me"),"EACH row",IF(AND(K1146="images",AE1146="me"),"EACH row",IF(D1146="","",IF(H1146="credit","",IF(AE1146="free","re-planting",IF(AE1146="me","   not ELP, by",IF(AND(OR(PlanterYesMe="Yes",PlanterYesMe="Y"),G1146&gt;0),(VLOOKUP(A1146,'Discount Lookup'!J:K,2)*G1146*(1-PlanterDiscount)*(1+PlanterDifficultyPercentage)),IF(AE1146="ELP",(VLOOKUP(A1146,'Discount Lookup'!J:K,2)*G1146*(1-PlanterDiscount)*(1+PlanterDifficultyPercentage)),IF(AE1146="free","re-planting",IF(G1146=0,"",IF(PlanterYesMe="",IF(AE1146="me","   not ELP, by",IF(AE1146="",IF(G1146&gt;0,(VLOOKUP(A1146,'Discount Lookup'!J:K,2)*G1146*(1-PlanterDiscount)*(1+PlanterDifficultyPercentage)),""),"")),"   not ELP, by"))))))))))))))</f>
        <v/>
      </c>
      <c r="AD1146" s="712"/>
      <c r="AE1146" s="513" t="str">
        <f t="shared" si="822"/>
        <v/>
      </c>
      <c r="AF1146" s="713" t="str">
        <f t="shared" si="823"/>
        <v/>
      </c>
      <c r="AG1146" s="713"/>
      <c r="AH1146" s="713"/>
      <c r="AI1146" s="112">
        <f>IF(H1146="credit",0,IF(AE1146="free",0,IF(AE1146="me",0,IF(G1146&gt;0,(VLOOKUP(A1146,'Discount Lookup'!J:K,2)*G1146),0))))</f>
        <v>0</v>
      </c>
      <c r="AJ1146" s="107" t="str">
        <f t="shared" ca="1" si="824"/>
        <v/>
      </c>
      <c r="AK1146" s="714" t="str">
        <f t="shared" si="825"/>
        <v/>
      </c>
      <c r="AL1146" s="714"/>
      <c r="AM1146" s="114" t="str">
        <f t="shared" si="826"/>
        <v/>
      </c>
      <c r="AN1146" s="115"/>
      <c r="AO1146" s="116"/>
      <c r="AP1146" s="116"/>
      <c r="AQ1146" s="116"/>
      <c r="AR1146" s="116"/>
      <c r="AS1146" s="116"/>
      <c r="AT1146" s="116"/>
      <c r="AU1146" s="116"/>
      <c r="AV1146" s="78"/>
      <c r="AW1146" s="102"/>
      <c r="AX1146" s="78"/>
      <c r="AY1146" s="78"/>
      <c r="AZ1146" s="78"/>
      <c r="BA1146" s="78"/>
      <c r="BB1146" s="78"/>
      <c r="BC1146" s="78"/>
      <c r="BD1146" s="78"/>
      <c r="BE1146" s="465"/>
      <c r="BF1146" s="165" t="str">
        <f t="shared" si="827"/>
        <v>https://www.google.com/search?tbm=isch&amp;q=moist%20sites%F0%9F%92%A7OK%2C%20Golden%20Variegated%20Sawara%20has%20gracefully%20mounded%2C%20thread-like%20foliage%20splashed%20with%20Gold%20and%20Cream%2C%20with%20Green%20interior%20tones%20</v>
      </c>
      <c r="BG1146" s="165" t="str">
        <f t="shared" si="828"/>
        <v>m</v>
      </c>
      <c r="BH1146" s="65"/>
      <c r="BI1146" s="65"/>
      <c r="BJ1146" s="65"/>
      <c r="BK1146" s="65"/>
      <c r="BL1146" s="99"/>
      <c r="BM1146" s="99"/>
      <c r="BN1146" s="99"/>
    </row>
    <row r="1147" spans="1:66" s="51" customFormat="1" ht="18" x14ac:dyDescent="0.25">
      <c r="A1147" s="507" t="s">
        <v>2167</v>
      </c>
      <c r="B1147" s="470"/>
      <c r="C1147" s="706"/>
      <c r="D1147" s="471" t="s">
        <v>2168</v>
      </c>
      <c r="E1147" s="472"/>
      <c r="F1147" s="472"/>
      <c r="G1147" s="472"/>
      <c r="H1147" s="622" t="s">
        <v>1082</v>
      </c>
      <c r="I1147" s="473" t="s">
        <v>443</v>
      </c>
      <c r="J1147" s="472"/>
      <c r="K1147" s="472"/>
      <c r="L1147" s="561"/>
      <c r="M1147" s="698" t="s">
        <v>5246</v>
      </c>
      <c r="N1147" s="692" t="str">
        <f>IF(AND(ISTEXT($A1147), ISERROR($A1147+0)), HYPERLINK($BF1147, "Images"), "")</f>
        <v>Images</v>
      </c>
      <c r="O1147" s="694" t="s">
        <v>5247</v>
      </c>
      <c r="P1147" s="475"/>
      <c r="Q1147" s="476"/>
      <c r="R1147" s="476"/>
      <c r="S1147" s="477"/>
      <c r="T1147" s="102">
        <f t="shared" si="816"/>
        <v>0</v>
      </c>
      <c r="U1147" s="78" t="str">
        <f>IF(NOT(ISNUMBER(G1147)), "", VLOOKUP(A1147,'Discount Lookup'!D:E,2,FALSE)*G1147)</f>
        <v/>
      </c>
      <c r="V1147" s="78" t="str">
        <f>IF(NOT(ISNUMBER(G1147)), "", VLOOKUP(A1147,'Discount Lookup'!G:H,2,FALSE)*G1147)</f>
        <v/>
      </c>
      <c r="W1147" s="102">
        <f t="shared" si="817"/>
        <v>0</v>
      </c>
      <c r="X1147" s="102" t="str">
        <f t="shared" si="818"/>
        <v>Golden-Yellow foliage</v>
      </c>
      <c r="Y1147" s="120" t="b">
        <f t="shared" si="819"/>
        <v>0</v>
      </c>
      <c r="Z1147" s="117">
        <f t="shared" si="820"/>
        <v>0</v>
      </c>
      <c r="AA1147" s="118"/>
      <c r="AB1147" s="118" t="str">
        <f t="shared" si="821"/>
        <v/>
      </c>
      <c r="AC1147" s="712" t="str">
        <f>IF(AE1147="T2G","no charge",IF(AND(OR(PlanterYesMe="No",PlanterYesMe="N",PlanterYesMe="me"),H1147=""),"",IF(H1147="credit","NO install",IF(AND(K1147="",AE1147="me"),"EACH row",IF(AND(K1147="images",AE1147="me"),"EACH row",IF(D1147="","",IF(H1147="credit","",IF(AE1147="free","re-planting",IF(AE1147="me","   not ELP, by",IF(AND(OR(PlanterYesMe="Yes",PlanterYesMe="Y"),G1147&gt;0),(VLOOKUP(A1147,'Discount Lookup'!J:K,2)*G1147*(1-PlanterDiscount)*(1+PlanterDifficultyPercentage)),IF(AE1147="ELP",(VLOOKUP(A1147,'Discount Lookup'!J:K,2)*G1147*(1-PlanterDiscount)*(1+PlanterDifficultyPercentage)),IF(AE1147="free","re-planting",IF(G1147=0,"",IF(PlanterYesMe="",IF(AE1147="me","   not ELP, by",IF(AE1147="",IF(G1147&gt;0,(VLOOKUP(A1147,'Discount Lookup'!J:K,2)*G1147*(1-PlanterDiscount)*(1+PlanterDifficultyPercentage)),""),"")),"   not ELP, by"))))))))))))))</f>
        <v/>
      </c>
      <c r="AD1147" s="712"/>
      <c r="AE1147" s="513" t="str">
        <f t="shared" si="822"/>
        <v/>
      </c>
      <c r="AF1147" s="713" t="str">
        <f t="shared" si="823"/>
        <v/>
      </c>
      <c r="AG1147" s="713"/>
      <c r="AH1147" s="713"/>
      <c r="AI1147" s="112">
        <f>IF(H1147="credit",0,IF(AE1147="free",0,IF(AE1147="me",0,IF(G1147&gt;0,(VLOOKUP(A1147,'Discount Lookup'!J:K,2)*G1147),0))))</f>
        <v>0</v>
      </c>
      <c r="AJ1147" s="107" t="str">
        <f t="shared" ca="1" si="824"/>
        <v/>
      </c>
      <c r="AK1147" s="714" t="str">
        <f t="shared" si="825"/>
        <v/>
      </c>
      <c r="AL1147" s="714"/>
      <c r="AM1147" s="114" t="str">
        <f t="shared" si="826"/>
        <v/>
      </c>
      <c r="AN1147" s="115"/>
      <c r="AO1147" s="116"/>
      <c r="AP1147" s="116"/>
      <c r="AQ1147" s="116"/>
      <c r="AR1147" s="116"/>
      <c r="AS1147" s="116"/>
      <c r="AT1147" s="116"/>
      <c r="AU1147" s="116"/>
      <c r="AV1147" s="78"/>
      <c r="AW1147" s="102"/>
      <c r="AX1147" s="78"/>
      <c r="AY1147" s="78"/>
      <c r="AZ1147" s="78"/>
      <c r="BA1147" s="78"/>
      <c r="BB1147" s="78"/>
      <c r="BC1147" s="78"/>
      <c r="BD1147" s="78"/>
      <c r="BE1147" s="465"/>
      <c r="BF1147" s="165" t="str">
        <f t="shared" si="827"/>
        <v>https://www.google.com/search?tbm=isch&amp;q=Chamaecyparis%20pisifera%20%27Golden%20Mop%27%20Gold%20Mop%20Cypress</v>
      </c>
      <c r="BG1147" s="165" t="str">
        <f t="shared" si="828"/>
        <v>C</v>
      </c>
      <c r="BH1147" s="65"/>
      <c r="BI1147" s="65"/>
      <c r="BJ1147" s="65"/>
      <c r="BK1147" s="65"/>
      <c r="BL1147" s="99"/>
      <c r="BM1147" s="99"/>
      <c r="BN1147" s="99"/>
    </row>
    <row r="1148" spans="1:66" s="51" customFormat="1" ht="15.75" x14ac:dyDescent="0.25">
      <c r="A1148" s="478">
        <v>3</v>
      </c>
      <c r="B1148" s="479" t="s">
        <v>291</v>
      </c>
      <c r="C1148" s="480" t="s">
        <v>2169</v>
      </c>
      <c r="D1148" s="481" t="s">
        <v>309</v>
      </c>
      <c r="E1148" s="482">
        <v>24.95</v>
      </c>
      <c r="F1148" s="483" t="s">
        <v>292</v>
      </c>
      <c r="G1148" s="484">
        <v>0</v>
      </c>
      <c r="H1148" s="688" t="str">
        <f t="shared" ref="H1148:H1157" si="847">IF(G1148=0,"",IF(F1148="Buy",IF(G1148=1,"plant","plants"),IF(F1148&gt;0.01,"warranty","Error")))</f>
        <v/>
      </c>
      <c r="I1148" s="485">
        <f t="shared" ref="I1148:I1157" si="848">IF(H1148="free",0,IF(H1148="credit",((E1148*(F1148))*G1148*-1),IF(F1148="Buy",(E1148*G1148),((E1148*(1-F1148))*G1148))))</f>
        <v>0</v>
      </c>
      <c r="J1148" s="485">
        <f t="shared" ref="J1148:J1157" si="849">IF(H1148="warranty",0,(I1148*(_xlfn.SINGLE(SalesTaxPercentage))))</f>
        <v>0</v>
      </c>
      <c r="K1148" s="715">
        <f t="shared" ref="K1148" si="850">I1148+J1148</f>
        <v>0</v>
      </c>
      <c r="L1148" s="715"/>
      <c r="M1148" s="689" t="str">
        <f t="shared" ref="M1148:M1157" ca="1" si="851">IF(AND(G1148&gt;0,E1148=0),"WARNING - no PRICE inserted",IF(H1148="free","FREE ~ no charge this plant",IF(H1148="credit",CONCATENATE("-$",ROUND(K1148*(1-_xlfn.SINGLE(T2GDiscount))*-1,2)," CREDIT after discount"),IF(_xlfn.SINGLE(T2GDiscount)=0,"",IF(G1148=0,"",IF(F1148="Buy",CONCATENATE("$",ROUND(K1148*(1-_xlfn.SINGLE(T2GDiscount)),2)," with ",(_xlfn.SINGLE(T2GDiscount)*100),"% discount"),CONCATENATE("$",ROUND(K1148*(1-_xlfn.SINGLE(T2GDiscount)),2)," with ",((_xlfn.SINGLE(T2GDiscount)*100+F1148*100)-(_xlfn.SINGLE(T2GDiscount)*100*F1148)),IF(F1148&gt;0,"% discounts",IF(_xlfn.SINGLE(NoWarrantyDiscount)&gt;0,"% discounts","% discount")))))))))</f>
        <v/>
      </c>
      <c r="N1148" s="690"/>
      <c r="O1148" s="486"/>
      <c r="P1148" s="486"/>
      <c r="Q1148" s="486"/>
      <c r="R1148" s="486"/>
      <c r="S1148" s="486"/>
      <c r="T1148" s="102">
        <f t="shared" si="816"/>
        <v>0</v>
      </c>
      <c r="U1148" s="78">
        <f>IF(NOT(ISNUMBER(G1148)), "", VLOOKUP(A1148,'Discount Lookup'!D:E,2,FALSE)*G1148)</f>
        <v>0</v>
      </c>
      <c r="V1148" s="78">
        <f>IF(NOT(ISNUMBER(G1148)), "", VLOOKUP(A1148,'Discount Lookup'!G:H,2,FALSE)*G1148)</f>
        <v>0</v>
      </c>
      <c r="W1148" s="102">
        <f t="shared" si="817"/>
        <v>0</v>
      </c>
      <c r="X1148" s="102">
        <f t="shared" si="818"/>
        <v>0</v>
      </c>
      <c r="Y1148" s="120" t="b">
        <f t="shared" si="819"/>
        <v>0</v>
      </c>
      <c r="Z1148" s="117">
        <f t="shared" si="820"/>
        <v>0</v>
      </c>
      <c r="AA1148" s="118"/>
      <c r="AB1148" s="118" t="str">
        <f t="shared" si="821"/>
        <v/>
      </c>
      <c r="AC1148" s="712" t="str">
        <f>IF(AE1148="T2G","no charge",IF(AND(OR(PlanterYesMe="No",PlanterYesMe="N",PlanterYesMe="me"),H1148=""),"",IF(H1148="credit","NO install",IF(AND(K1148="",AE1148="me"),"EACH row",IF(AND(K1148="images",AE1148="me"),"EACH row",IF(D1148="","",IF(H1148="credit","",IF(AE1148="free","re-planting",IF(AE1148="me","   not ELP, by",IF(AND(OR(PlanterYesMe="Yes",PlanterYesMe="Y"),G1148&gt;0),(VLOOKUP(A1148,'Discount Lookup'!J:K,2)*G1148*(1-PlanterDiscount)*(1+PlanterDifficultyPercentage)),IF(AE1148="ELP",(VLOOKUP(A1148,'Discount Lookup'!J:K,2)*G1148*(1-PlanterDiscount)*(1+PlanterDifficultyPercentage)),IF(AE1148="free","re-planting",IF(G1148=0,"",IF(PlanterYesMe="",IF(AE1148="me","   not ELP, by",IF(AE1148="",IF(G1148&gt;0,(VLOOKUP(A1148,'Discount Lookup'!J:K,2)*G1148*(1-PlanterDiscount)*(1+PlanterDifficultyPercentage)),""),"")),"   not ELP, by"))))))))))))))</f>
        <v/>
      </c>
      <c r="AD1148" s="712"/>
      <c r="AE1148" s="513" t="str">
        <f t="shared" si="822"/>
        <v/>
      </c>
      <c r="AF1148" s="713" t="str">
        <f t="shared" si="823"/>
        <v/>
      </c>
      <c r="AG1148" s="713"/>
      <c r="AH1148" s="713"/>
      <c r="AI1148" s="112">
        <f>IF(H1148="credit",0,IF(AE1148="free",0,IF(AE1148="me",0,IF(G1148&gt;0,(VLOOKUP(A1148,'Discount Lookup'!J:K,2)*G1148),0))))</f>
        <v>0</v>
      </c>
      <c r="AJ1148" s="107" t="str">
        <f t="shared" ca="1" si="824"/>
        <v/>
      </c>
      <c r="AK1148" s="714" t="str">
        <f t="shared" si="825"/>
        <v/>
      </c>
      <c r="AL1148" s="714"/>
      <c r="AM1148" s="114" t="str">
        <f t="shared" si="826"/>
        <v/>
      </c>
      <c r="AN1148" s="115"/>
      <c r="AO1148" s="116"/>
      <c r="AP1148" s="116"/>
      <c r="AQ1148" s="116"/>
      <c r="AR1148" s="116"/>
      <c r="AS1148" s="116"/>
      <c r="AT1148" s="116"/>
      <c r="AU1148" s="116"/>
      <c r="AV1148" s="78"/>
      <c r="AW1148" s="102"/>
      <c r="AX1148" s="78"/>
      <c r="AY1148" s="78"/>
      <c r="AZ1148" s="78"/>
      <c r="BA1148" s="78"/>
      <c r="BB1148" s="78"/>
      <c r="BC1148" s="78"/>
      <c r="BD1148" s="78"/>
      <c r="BE1148" s="465"/>
      <c r="BF1148" s="165" t="str">
        <f t="shared" si="827"/>
        <v>https://www.google.com/search?tbm=isch&amp;q=3%20G3</v>
      </c>
      <c r="BG1148" s="165" t="str">
        <f t="shared" si="828"/>
        <v>C</v>
      </c>
      <c r="BH1148" s="65"/>
      <c r="BI1148" s="65"/>
      <c r="BJ1148" s="65"/>
      <c r="BK1148" s="65"/>
      <c r="BL1148" s="99"/>
      <c r="BM1148" s="99"/>
      <c r="BN1148" s="99"/>
    </row>
    <row r="1149" spans="1:66" s="51" customFormat="1" ht="15.75" x14ac:dyDescent="0.25">
      <c r="A1149" s="478">
        <v>3</v>
      </c>
      <c r="B1149" s="479" t="s">
        <v>291</v>
      </c>
      <c r="C1149" s="480" t="s">
        <v>4592</v>
      </c>
      <c r="D1149" s="481" t="s">
        <v>329</v>
      </c>
      <c r="E1149" s="482">
        <v>26.95</v>
      </c>
      <c r="F1149" s="483" t="s">
        <v>292</v>
      </c>
      <c r="G1149" s="484">
        <v>0</v>
      </c>
      <c r="H1149" s="688" t="str">
        <f t="shared" si="847"/>
        <v/>
      </c>
      <c r="I1149" s="485">
        <f t="shared" si="848"/>
        <v>0</v>
      </c>
      <c r="J1149" s="485">
        <f t="shared" si="849"/>
        <v>0</v>
      </c>
      <c r="K1149" s="715">
        <f t="shared" ref="K1149" si="852">I1149+J1149</f>
        <v>0</v>
      </c>
      <c r="L1149" s="715"/>
      <c r="M1149" s="689" t="str">
        <f t="shared" ca="1" si="851"/>
        <v/>
      </c>
      <c r="N1149" s="690"/>
      <c r="O1149" s="486"/>
      <c r="P1149" s="486"/>
      <c r="Q1149" s="486"/>
      <c r="R1149" s="486"/>
      <c r="S1149" s="486"/>
      <c r="T1149" s="102">
        <f t="shared" si="816"/>
        <v>0</v>
      </c>
      <c r="U1149" s="78">
        <f>IF(NOT(ISNUMBER(G1149)), "", VLOOKUP(A1149,'Discount Lookup'!D:E,2,FALSE)*G1149)</f>
        <v>0</v>
      </c>
      <c r="V1149" s="78">
        <f>IF(NOT(ISNUMBER(G1149)), "", VLOOKUP(A1149,'Discount Lookup'!G:H,2,FALSE)*G1149)</f>
        <v>0</v>
      </c>
      <c r="W1149" s="102">
        <f t="shared" si="817"/>
        <v>0</v>
      </c>
      <c r="X1149" s="102">
        <f t="shared" si="818"/>
        <v>0</v>
      </c>
      <c r="Y1149" s="120" t="b">
        <f t="shared" si="819"/>
        <v>0</v>
      </c>
      <c r="Z1149" s="117">
        <f t="shared" si="820"/>
        <v>0</v>
      </c>
      <c r="AA1149" s="118"/>
      <c r="AB1149" s="118" t="str">
        <f t="shared" si="821"/>
        <v/>
      </c>
      <c r="AC1149" s="712" t="str">
        <f>IF(AE1149="T2G","no charge",IF(AND(OR(PlanterYesMe="No",PlanterYesMe="N",PlanterYesMe="me"),H1149=""),"",IF(H1149="credit","NO install",IF(AND(K1149="",AE1149="me"),"EACH row",IF(AND(K1149="images",AE1149="me"),"EACH row",IF(D1149="","",IF(H1149="credit","",IF(AE1149="free","re-planting",IF(AE1149="me","   not ELP, by",IF(AND(OR(PlanterYesMe="Yes",PlanterYesMe="Y"),G1149&gt;0),(VLOOKUP(A1149,'Discount Lookup'!J:K,2)*G1149*(1-PlanterDiscount)*(1+PlanterDifficultyPercentage)),IF(AE1149="ELP",(VLOOKUP(A1149,'Discount Lookup'!J:K,2)*G1149*(1-PlanterDiscount)*(1+PlanterDifficultyPercentage)),IF(AE1149="free","re-planting",IF(G1149=0,"",IF(PlanterYesMe="",IF(AE1149="me","   not ELP, by",IF(AE1149="",IF(G1149&gt;0,(VLOOKUP(A1149,'Discount Lookup'!J:K,2)*G1149*(1-PlanterDiscount)*(1+PlanterDifficultyPercentage)),""),"")),"   not ELP, by"))))))))))))))</f>
        <v/>
      </c>
      <c r="AD1149" s="712"/>
      <c r="AE1149" s="513" t="str">
        <f t="shared" si="822"/>
        <v/>
      </c>
      <c r="AF1149" s="713" t="str">
        <f t="shared" si="823"/>
        <v/>
      </c>
      <c r="AG1149" s="713"/>
      <c r="AH1149" s="713"/>
      <c r="AI1149" s="112">
        <f>IF(H1149="credit",0,IF(AE1149="free",0,IF(AE1149="me",0,IF(G1149&gt;0,(VLOOKUP(A1149,'Discount Lookup'!J:K,2)*G1149),0))))</f>
        <v>0</v>
      </c>
      <c r="AJ1149" s="107" t="str">
        <f t="shared" ca="1" si="824"/>
        <v/>
      </c>
      <c r="AK1149" s="714" t="str">
        <f t="shared" si="825"/>
        <v/>
      </c>
      <c r="AL1149" s="714"/>
      <c r="AM1149" s="114" t="str">
        <f t="shared" si="826"/>
        <v/>
      </c>
      <c r="AN1149" s="115"/>
      <c r="AO1149" s="116"/>
      <c r="AP1149" s="116"/>
      <c r="AQ1149" s="116"/>
      <c r="AR1149" s="116"/>
      <c r="AS1149" s="116"/>
      <c r="AT1149" s="116"/>
      <c r="AU1149" s="116"/>
      <c r="AV1149" s="78"/>
      <c r="AW1149" s="102"/>
      <c r="AX1149" s="78"/>
      <c r="AY1149" s="78"/>
      <c r="AZ1149" s="78"/>
      <c r="BA1149" s="78"/>
      <c r="BB1149" s="78"/>
      <c r="BC1149" s="78"/>
      <c r="BD1149" s="78"/>
      <c r="BE1149" s="465"/>
      <c r="BF1149" s="165" t="str">
        <f t="shared" si="827"/>
        <v>https://www.google.com/search?tbm=isch&amp;q=3%20G2</v>
      </c>
      <c r="BG1149" s="165" t="str">
        <f t="shared" si="828"/>
        <v>C</v>
      </c>
      <c r="BH1149" s="65"/>
      <c r="BI1149" s="65"/>
      <c r="BJ1149" s="65"/>
      <c r="BK1149" s="65"/>
      <c r="BL1149" s="99"/>
      <c r="BM1149" s="99"/>
      <c r="BN1149" s="99"/>
    </row>
    <row r="1150" spans="1:66" s="51" customFormat="1" ht="15.75" x14ac:dyDescent="0.25">
      <c r="A1150" s="478">
        <v>3</v>
      </c>
      <c r="B1150" s="479" t="s">
        <v>291</v>
      </c>
      <c r="C1150" s="480" t="s">
        <v>1871</v>
      </c>
      <c r="D1150" s="481" t="s">
        <v>310</v>
      </c>
      <c r="E1150" s="482">
        <v>27.95</v>
      </c>
      <c r="F1150" s="483" t="s">
        <v>292</v>
      </c>
      <c r="G1150" s="484">
        <v>0</v>
      </c>
      <c r="H1150" s="688" t="str">
        <f t="shared" si="847"/>
        <v/>
      </c>
      <c r="I1150" s="485">
        <f t="shared" si="848"/>
        <v>0</v>
      </c>
      <c r="J1150" s="485">
        <f t="shared" si="849"/>
        <v>0</v>
      </c>
      <c r="K1150" s="715">
        <f t="shared" ref="K1150" si="853">I1150+J1150</f>
        <v>0</v>
      </c>
      <c r="L1150" s="715"/>
      <c r="M1150" s="689" t="str">
        <f t="shared" ca="1" si="851"/>
        <v/>
      </c>
      <c r="N1150" s="690"/>
      <c r="O1150" s="486"/>
      <c r="P1150" s="486"/>
      <c r="Q1150" s="486"/>
      <c r="R1150" s="486"/>
      <c r="S1150" s="486"/>
      <c r="T1150" s="102">
        <f t="shared" si="816"/>
        <v>0</v>
      </c>
      <c r="U1150" s="78">
        <f>IF(NOT(ISNUMBER(G1150)), "", VLOOKUP(A1150,'Discount Lookup'!D:E,2,FALSE)*G1150)</f>
        <v>0</v>
      </c>
      <c r="V1150" s="78">
        <f>IF(NOT(ISNUMBER(G1150)), "", VLOOKUP(A1150,'Discount Lookup'!G:H,2,FALSE)*G1150)</f>
        <v>0</v>
      </c>
      <c r="W1150" s="102">
        <f t="shared" si="817"/>
        <v>0</v>
      </c>
      <c r="X1150" s="102">
        <f t="shared" si="818"/>
        <v>0</v>
      </c>
      <c r="Y1150" s="120" t="b">
        <f t="shared" si="819"/>
        <v>0</v>
      </c>
      <c r="Z1150" s="117">
        <f t="shared" si="820"/>
        <v>0</v>
      </c>
      <c r="AA1150" s="118"/>
      <c r="AB1150" s="118" t="str">
        <f t="shared" si="821"/>
        <v/>
      </c>
      <c r="AC1150" s="712" t="str">
        <f>IF(AE1150="T2G","no charge",IF(AND(OR(PlanterYesMe="No",PlanterYesMe="N",PlanterYesMe="me"),H1150=""),"",IF(H1150="credit","NO install",IF(AND(K1150="",AE1150="me"),"EACH row",IF(AND(K1150="images",AE1150="me"),"EACH row",IF(D1150="","",IF(H1150="credit","",IF(AE1150="free","re-planting",IF(AE1150="me","   not ELP, by",IF(AND(OR(PlanterYesMe="Yes",PlanterYesMe="Y"),G1150&gt;0),(VLOOKUP(A1150,'Discount Lookup'!J:K,2)*G1150*(1-PlanterDiscount)*(1+PlanterDifficultyPercentage)),IF(AE1150="ELP",(VLOOKUP(A1150,'Discount Lookup'!J:K,2)*G1150*(1-PlanterDiscount)*(1+PlanterDifficultyPercentage)),IF(AE1150="free","re-planting",IF(G1150=0,"",IF(PlanterYesMe="",IF(AE1150="me","   not ELP, by",IF(AE1150="",IF(G1150&gt;0,(VLOOKUP(A1150,'Discount Lookup'!J:K,2)*G1150*(1-PlanterDiscount)*(1+PlanterDifficultyPercentage)),""),"")),"   not ELP, by"))))))))))))))</f>
        <v/>
      </c>
      <c r="AD1150" s="712"/>
      <c r="AE1150" s="513" t="str">
        <f t="shared" si="822"/>
        <v/>
      </c>
      <c r="AF1150" s="713" t="str">
        <f t="shared" si="823"/>
        <v/>
      </c>
      <c r="AG1150" s="713"/>
      <c r="AH1150" s="713"/>
      <c r="AI1150" s="112">
        <f>IF(H1150="credit",0,IF(AE1150="free",0,IF(AE1150="me",0,IF(G1150&gt;0,(VLOOKUP(A1150,'Discount Lookup'!J:K,2)*G1150),0))))</f>
        <v>0</v>
      </c>
      <c r="AJ1150" s="107" t="str">
        <f t="shared" ca="1" si="824"/>
        <v/>
      </c>
      <c r="AK1150" s="714" t="str">
        <f t="shared" si="825"/>
        <v/>
      </c>
      <c r="AL1150" s="714"/>
      <c r="AM1150" s="114" t="str">
        <f t="shared" si="826"/>
        <v/>
      </c>
      <c r="AN1150" s="115"/>
      <c r="AO1150" s="116"/>
      <c r="AP1150" s="116"/>
      <c r="AQ1150" s="116"/>
      <c r="AR1150" s="116"/>
      <c r="AS1150" s="116"/>
      <c r="AT1150" s="116"/>
      <c r="AU1150" s="116"/>
      <c r="AV1150" s="78"/>
      <c r="AW1150" s="102"/>
      <c r="AX1150" s="78"/>
      <c r="AY1150" s="78"/>
      <c r="AZ1150" s="78"/>
      <c r="BA1150" s="78"/>
      <c r="BB1150" s="78"/>
      <c r="BC1150" s="78"/>
      <c r="BD1150" s="78"/>
      <c r="BE1150" s="465"/>
      <c r="BF1150" s="165" t="str">
        <f t="shared" si="827"/>
        <v>https://www.google.com/search?tbm=isch&amp;q=3%20G1</v>
      </c>
      <c r="BG1150" s="165" t="str">
        <f t="shared" si="828"/>
        <v>C</v>
      </c>
      <c r="BH1150" s="65"/>
      <c r="BI1150" s="65"/>
      <c r="BJ1150" s="65"/>
      <c r="BK1150" s="65"/>
      <c r="BL1150" s="99"/>
      <c r="BM1150" s="99"/>
      <c r="BN1150" s="99"/>
    </row>
    <row r="1151" spans="1:66" s="51" customFormat="1" ht="15.75" x14ac:dyDescent="0.25">
      <c r="A1151" s="478">
        <v>3</v>
      </c>
      <c r="B1151" s="479" t="s">
        <v>291</v>
      </c>
      <c r="C1151" s="480" t="s">
        <v>2170</v>
      </c>
      <c r="D1151" s="481" t="s">
        <v>311</v>
      </c>
      <c r="E1151" s="482">
        <v>33.950000000000003</v>
      </c>
      <c r="F1151" s="483" t="s">
        <v>292</v>
      </c>
      <c r="G1151" s="484">
        <v>0</v>
      </c>
      <c r="H1151" s="688" t="str">
        <f t="shared" si="847"/>
        <v/>
      </c>
      <c r="I1151" s="485">
        <f t="shared" si="848"/>
        <v>0</v>
      </c>
      <c r="J1151" s="485">
        <f t="shared" si="849"/>
        <v>0</v>
      </c>
      <c r="K1151" s="715">
        <f t="shared" ref="K1151" si="854">I1151+J1151</f>
        <v>0</v>
      </c>
      <c r="L1151" s="715"/>
      <c r="M1151" s="689" t="str">
        <f t="shared" ca="1" si="851"/>
        <v/>
      </c>
      <c r="N1151" s="690"/>
      <c r="O1151" s="486"/>
      <c r="P1151" s="486"/>
      <c r="Q1151" s="486"/>
      <c r="R1151" s="486"/>
      <c r="S1151" s="486"/>
      <c r="T1151" s="102">
        <f t="shared" si="816"/>
        <v>0</v>
      </c>
      <c r="U1151" s="78">
        <f>IF(NOT(ISNUMBER(G1151)), "", VLOOKUP(A1151,'Discount Lookup'!D:E,2,FALSE)*G1151)</f>
        <v>0</v>
      </c>
      <c r="V1151" s="78">
        <f>IF(NOT(ISNUMBER(G1151)), "", VLOOKUP(A1151,'Discount Lookup'!G:H,2,FALSE)*G1151)</f>
        <v>0</v>
      </c>
      <c r="W1151" s="102">
        <f t="shared" si="817"/>
        <v>0</v>
      </c>
      <c r="X1151" s="102">
        <f t="shared" si="818"/>
        <v>0</v>
      </c>
      <c r="Y1151" s="120" t="b">
        <f t="shared" si="819"/>
        <v>0</v>
      </c>
      <c r="Z1151" s="117">
        <f t="shared" si="820"/>
        <v>0</v>
      </c>
      <c r="AA1151" s="118"/>
      <c r="AB1151" s="118" t="str">
        <f t="shared" si="821"/>
        <v/>
      </c>
      <c r="AC1151" s="712" t="str">
        <f>IF(AE1151="T2G","no charge",IF(AND(OR(PlanterYesMe="No",PlanterYesMe="N",PlanterYesMe="me"),H1151=""),"",IF(H1151="credit","NO install",IF(AND(K1151="",AE1151="me"),"EACH row",IF(AND(K1151="images",AE1151="me"),"EACH row",IF(D1151="","",IF(H1151="credit","",IF(AE1151="free","re-planting",IF(AE1151="me","   not ELP, by",IF(AND(OR(PlanterYesMe="Yes",PlanterYesMe="Y"),G1151&gt;0),(VLOOKUP(A1151,'Discount Lookup'!J:K,2)*G1151*(1-PlanterDiscount)*(1+PlanterDifficultyPercentage)),IF(AE1151="ELP",(VLOOKUP(A1151,'Discount Lookup'!J:K,2)*G1151*(1-PlanterDiscount)*(1+PlanterDifficultyPercentage)),IF(AE1151="free","re-planting",IF(G1151=0,"",IF(PlanterYesMe="",IF(AE1151="me","   not ELP, by",IF(AE1151="",IF(G1151&gt;0,(VLOOKUP(A1151,'Discount Lookup'!J:K,2)*G1151*(1-PlanterDiscount)*(1+PlanterDifficultyPercentage)),""),"")),"   not ELP, by"))))))))))))))</f>
        <v/>
      </c>
      <c r="AD1151" s="712"/>
      <c r="AE1151" s="513" t="str">
        <f t="shared" si="822"/>
        <v/>
      </c>
      <c r="AF1151" s="713" t="str">
        <f t="shared" si="823"/>
        <v/>
      </c>
      <c r="AG1151" s="713"/>
      <c r="AH1151" s="713"/>
      <c r="AI1151" s="112">
        <f>IF(H1151="credit",0,IF(AE1151="free",0,IF(AE1151="me",0,IF(G1151&gt;0,(VLOOKUP(A1151,'Discount Lookup'!J:K,2)*G1151),0))))</f>
        <v>0</v>
      </c>
      <c r="AJ1151" s="107" t="str">
        <f t="shared" ca="1" si="824"/>
        <v/>
      </c>
      <c r="AK1151" s="714" t="str">
        <f t="shared" si="825"/>
        <v/>
      </c>
      <c r="AL1151" s="714"/>
      <c r="AM1151" s="114" t="str">
        <f t="shared" si="826"/>
        <v/>
      </c>
      <c r="AN1151" s="115"/>
      <c r="AO1151" s="116"/>
      <c r="AP1151" s="116"/>
      <c r="AQ1151" s="116"/>
      <c r="AR1151" s="116"/>
      <c r="AS1151" s="116"/>
      <c r="AT1151" s="116"/>
      <c r="AU1151" s="116"/>
      <c r="AV1151" s="78"/>
      <c r="AW1151" s="102"/>
      <c r="AX1151" s="78"/>
      <c r="AY1151" s="78"/>
      <c r="AZ1151" s="78"/>
      <c r="BA1151" s="78"/>
      <c r="BB1151" s="78"/>
      <c r="BC1151" s="78"/>
      <c r="BD1151" s="78"/>
      <c r="BE1151" s="465"/>
      <c r="BF1151" s="165" t="str">
        <f t="shared" si="827"/>
        <v>https://www.google.com/search?tbm=isch&amp;q=3%20G5</v>
      </c>
      <c r="BG1151" s="165" t="str">
        <f t="shared" si="828"/>
        <v>C</v>
      </c>
      <c r="BH1151" s="65"/>
      <c r="BI1151" s="65"/>
      <c r="BJ1151" s="65"/>
      <c r="BK1151" s="65"/>
      <c r="BL1151" s="99"/>
      <c r="BM1151" s="99"/>
      <c r="BN1151" s="99"/>
    </row>
    <row r="1152" spans="1:66" s="51" customFormat="1" ht="27" x14ac:dyDescent="0.25">
      <c r="A1152" s="478">
        <v>7</v>
      </c>
      <c r="B1152" s="479" t="s">
        <v>291</v>
      </c>
      <c r="C1152" s="480" t="s">
        <v>2171</v>
      </c>
      <c r="D1152" s="481" t="s">
        <v>299</v>
      </c>
      <c r="E1152" s="482">
        <v>109.95</v>
      </c>
      <c r="F1152" s="483" t="s">
        <v>292</v>
      </c>
      <c r="G1152" s="484">
        <v>0</v>
      </c>
      <c r="H1152" s="688" t="str">
        <f t="shared" si="847"/>
        <v/>
      </c>
      <c r="I1152" s="485">
        <f t="shared" si="848"/>
        <v>0</v>
      </c>
      <c r="J1152" s="485">
        <f t="shared" si="849"/>
        <v>0</v>
      </c>
      <c r="K1152" s="715">
        <f t="shared" ref="K1152" si="855">I1152+J1152</f>
        <v>0</v>
      </c>
      <c r="L1152" s="715"/>
      <c r="M1152" s="689" t="str">
        <f t="shared" ca="1" si="851"/>
        <v/>
      </c>
      <c r="N1152" s="690"/>
      <c r="O1152" s="486"/>
      <c r="P1152" s="486"/>
      <c r="Q1152" s="486"/>
      <c r="R1152" s="486"/>
      <c r="S1152" s="486"/>
      <c r="T1152" s="102">
        <f t="shared" si="816"/>
        <v>0</v>
      </c>
      <c r="U1152" s="78">
        <f>IF(NOT(ISNUMBER(G1152)), "", VLOOKUP(A1152,'Discount Lookup'!D:E,2,FALSE)*G1152)</f>
        <v>0</v>
      </c>
      <c r="V1152" s="78">
        <f>IF(NOT(ISNUMBER(G1152)), "", VLOOKUP(A1152,'Discount Lookup'!G:H,2,FALSE)*G1152)</f>
        <v>0</v>
      </c>
      <c r="W1152" s="102">
        <f t="shared" si="817"/>
        <v>0</v>
      </c>
      <c r="X1152" s="102">
        <f t="shared" si="818"/>
        <v>0</v>
      </c>
      <c r="Y1152" s="120" t="b">
        <f t="shared" si="819"/>
        <v>0</v>
      </c>
      <c r="Z1152" s="117">
        <f t="shared" si="820"/>
        <v>0</v>
      </c>
      <c r="AA1152" s="118"/>
      <c r="AB1152" s="118" t="str">
        <f t="shared" si="821"/>
        <v/>
      </c>
      <c r="AC1152" s="712" t="str">
        <f>IF(AE1152="T2G","no charge",IF(AND(OR(PlanterYesMe="No",PlanterYesMe="N",PlanterYesMe="me"),H1152=""),"",IF(H1152="credit","NO install",IF(AND(K1152="",AE1152="me"),"EACH row",IF(AND(K1152="images",AE1152="me"),"EACH row",IF(D1152="","",IF(H1152="credit","",IF(AE1152="free","re-planting",IF(AE1152="me","   not ELP, by",IF(AND(OR(PlanterYesMe="Yes",PlanterYesMe="Y"),G1152&gt;0),(VLOOKUP(A1152,'Discount Lookup'!J:K,2)*G1152*(1-PlanterDiscount)*(1+PlanterDifficultyPercentage)),IF(AE1152="ELP",(VLOOKUP(A1152,'Discount Lookup'!J:K,2)*G1152*(1-PlanterDiscount)*(1+PlanterDifficultyPercentage)),IF(AE1152="free","re-planting",IF(G1152=0,"",IF(PlanterYesMe="",IF(AE1152="me","   not ELP, by",IF(AE1152="",IF(G1152&gt;0,(VLOOKUP(A1152,'Discount Lookup'!J:K,2)*G1152*(1-PlanterDiscount)*(1+PlanterDifficultyPercentage)),""),"")),"   not ELP, by"))))))))))))))</f>
        <v/>
      </c>
      <c r="AD1152" s="712"/>
      <c r="AE1152" s="513" t="str">
        <f t="shared" si="822"/>
        <v/>
      </c>
      <c r="AF1152" s="713" t="str">
        <f t="shared" si="823"/>
        <v/>
      </c>
      <c r="AG1152" s="713"/>
      <c r="AH1152" s="713"/>
      <c r="AI1152" s="112">
        <f>IF(H1152="credit",0,IF(AE1152="free",0,IF(AE1152="me",0,IF(G1152&gt;0,(VLOOKUP(A1152,'Discount Lookup'!J:K,2)*G1152),0))))</f>
        <v>0</v>
      </c>
      <c r="AJ1152" s="107" t="str">
        <f t="shared" ca="1" si="824"/>
        <v/>
      </c>
      <c r="AK1152" s="714" t="str">
        <f t="shared" si="825"/>
        <v/>
      </c>
      <c r="AL1152" s="714"/>
      <c r="AM1152" s="114" t="str">
        <f t="shared" si="826"/>
        <v/>
      </c>
      <c r="AN1152" s="115"/>
      <c r="AO1152" s="116"/>
      <c r="AP1152" s="116"/>
      <c r="AQ1152" s="116"/>
      <c r="AR1152" s="116"/>
      <c r="AS1152" s="116"/>
      <c r="AT1152" s="116"/>
      <c r="AU1152" s="116"/>
      <c r="AV1152" s="78"/>
      <c r="AW1152" s="102"/>
      <c r="AX1152" s="78"/>
      <c r="AY1152" s="78"/>
      <c r="AZ1152" s="78"/>
      <c r="BA1152" s="78"/>
      <c r="BB1152" s="78"/>
      <c r="BC1152" s="78"/>
      <c r="BD1152" s="78"/>
      <c r="BE1152" s="465"/>
      <c r="BF1152" s="165" t="str">
        <f t="shared" si="827"/>
        <v>https://www.google.com/search?tbm=isch&amp;q=7%20G4</v>
      </c>
      <c r="BG1152" s="165" t="str">
        <f t="shared" si="828"/>
        <v>C</v>
      </c>
      <c r="BH1152" s="65"/>
      <c r="BI1152" s="65"/>
      <c r="BJ1152" s="65"/>
      <c r="BK1152" s="65"/>
      <c r="BL1152" s="99"/>
      <c r="BM1152" s="99"/>
      <c r="BN1152" s="99"/>
    </row>
    <row r="1153" spans="1:66" s="51" customFormat="1" ht="40.5" x14ac:dyDescent="0.25">
      <c r="A1153" s="478">
        <v>7</v>
      </c>
      <c r="B1153" s="479" t="s">
        <v>291</v>
      </c>
      <c r="C1153" s="480" t="s">
        <v>2172</v>
      </c>
      <c r="D1153" s="481" t="s">
        <v>299</v>
      </c>
      <c r="E1153" s="482">
        <v>224.95</v>
      </c>
      <c r="F1153" s="483" t="s">
        <v>292</v>
      </c>
      <c r="G1153" s="484">
        <v>0</v>
      </c>
      <c r="H1153" s="688" t="str">
        <f t="shared" si="847"/>
        <v/>
      </c>
      <c r="I1153" s="485">
        <f t="shared" si="848"/>
        <v>0</v>
      </c>
      <c r="J1153" s="485">
        <f t="shared" si="849"/>
        <v>0</v>
      </c>
      <c r="K1153" s="715">
        <f t="shared" ref="K1153" si="856">I1153+J1153</f>
        <v>0</v>
      </c>
      <c r="L1153" s="715"/>
      <c r="M1153" s="689" t="str">
        <f t="shared" ca="1" si="851"/>
        <v/>
      </c>
      <c r="N1153" s="690"/>
      <c r="O1153" s="486"/>
      <c r="P1153" s="486"/>
      <c r="Q1153" s="486"/>
      <c r="R1153" s="486"/>
      <c r="S1153" s="486"/>
      <c r="T1153" s="102">
        <f t="shared" si="816"/>
        <v>0</v>
      </c>
      <c r="U1153" s="78">
        <f>IF(NOT(ISNUMBER(G1153)), "", VLOOKUP(A1153,'Discount Lookup'!D:E,2,FALSE)*G1153)</f>
        <v>0</v>
      </c>
      <c r="V1153" s="78">
        <f>IF(NOT(ISNUMBER(G1153)), "", VLOOKUP(A1153,'Discount Lookup'!G:H,2,FALSE)*G1153)</f>
        <v>0</v>
      </c>
      <c r="W1153" s="102">
        <f t="shared" si="817"/>
        <v>0</v>
      </c>
      <c r="X1153" s="102">
        <f t="shared" si="818"/>
        <v>0</v>
      </c>
      <c r="Y1153" s="120" t="b">
        <f t="shared" si="819"/>
        <v>0</v>
      </c>
      <c r="Z1153" s="117">
        <f t="shared" si="820"/>
        <v>0</v>
      </c>
      <c r="AA1153" s="118"/>
      <c r="AB1153" s="118" t="str">
        <f t="shared" si="821"/>
        <v/>
      </c>
      <c r="AC1153" s="712" t="str">
        <f>IF(AE1153="T2G","no charge",IF(AND(OR(PlanterYesMe="No",PlanterYesMe="N",PlanterYesMe="me"),H1153=""),"",IF(H1153="credit","NO install",IF(AND(K1153="",AE1153="me"),"EACH row",IF(AND(K1153="images",AE1153="me"),"EACH row",IF(D1153="","",IF(H1153="credit","",IF(AE1153="free","re-planting",IF(AE1153="me","   not ELP, by",IF(AND(OR(PlanterYesMe="Yes",PlanterYesMe="Y"),G1153&gt;0),(VLOOKUP(A1153,'Discount Lookup'!J:K,2)*G1153*(1-PlanterDiscount)*(1+PlanterDifficultyPercentage)),IF(AE1153="ELP",(VLOOKUP(A1153,'Discount Lookup'!J:K,2)*G1153*(1-PlanterDiscount)*(1+PlanterDifficultyPercentage)),IF(AE1153="free","re-planting",IF(G1153=0,"",IF(PlanterYesMe="",IF(AE1153="me","   not ELP, by",IF(AE1153="",IF(G1153&gt;0,(VLOOKUP(A1153,'Discount Lookup'!J:K,2)*G1153*(1-PlanterDiscount)*(1+PlanterDifficultyPercentage)),""),"")),"   not ELP, by"))))))))))))))</f>
        <v/>
      </c>
      <c r="AD1153" s="712"/>
      <c r="AE1153" s="513" t="str">
        <f t="shared" si="822"/>
        <v/>
      </c>
      <c r="AF1153" s="713" t="str">
        <f t="shared" si="823"/>
        <v/>
      </c>
      <c r="AG1153" s="713"/>
      <c r="AH1153" s="713"/>
      <c r="AI1153" s="112">
        <f>IF(H1153="credit",0,IF(AE1153="free",0,IF(AE1153="me",0,IF(G1153&gt;0,(VLOOKUP(A1153,'Discount Lookup'!J:K,2)*G1153),0))))</f>
        <v>0</v>
      </c>
      <c r="AJ1153" s="107" t="str">
        <f t="shared" ca="1" si="824"/>
        <v/>
      </c>
      <c r="AK1153" s="714" t="str">
        <f t="shared" si="825"/>
        <v/>
      </c>
      <c r="AL1153" s="714"/>
      <c r="AM1153" s="114" t="str">
        <f t="shared" si="826"/>
        <v/>
      </c>
      <c r="AN1153" s="115"/>
      <c r="AO1153" s="116"/>
      <c r="AP1153" s="116"/>
      <c r="AQ1153" s="116"/>
      <c r="AR1153" s="116"/>
      <c r="AS1153" s="116"/>
      <c r="AT1153" s="116"/>
      <c r="AU1153" s="116"/>
      <c r="AV1153" s="78"/>
      <c r="AW1153" s="102"/>
      <c r="AX1153" s="78"/>
      <c r="AY1153" s="78"/>
      <c r="AZ1153" s="78"/>
      <c r="BA1153" s="78"/>
      <c r="BB1153" s="78"/>
      <c r="BC1153" s="78"/>
      <c r="BD1153" s="78"/>
      <c r="BE1153" s="465"/>
      <c r="BF1153" s="165" t="str">
        <f t="shared" si="827"/>
        <v>https://www.google.com/search?tbm=isch&amp;q=7%20G4</v>
      </c>
      <c r="BG1153" s="165" t="str">
        <f t="shared" si="828"/>
        <v>C</v>
      </c>
      <c r="BH1153" s="65"/>
      <c r="BI1153" s="65"/>
      <c r="BJ1153" s="65"/>
      <c r="BK1153" s="65"/>
      <c r="BL1153" s="99"/>
      <c r="BM1153" s="99"/>
      <c r="BN1153" s="99"/>
    </row>
    <row r="1154" spans="1:66" s="51" customFormat="1" ht="15.75" x14ac:dyDescent="0.25">
      <c r="A1154" s="478">
        <v>25</v>
      </c>
      <c r="B1154" s="479" t="s">
        <v>291</v>
      </c>
      <c r="C1154" s="480" t="s">
        <v>2173</v>
      </c>
      <c r="D1154" s="481" t="s">
        <v>299</v>
      </c>
      <c r="E1154" s="482">
        <v>332.95</v>
      </c>
      <c r="F1154" s="483" t="s">
        <v>292</v>
      </c>
      <c r="G1154" s="484">
        <v>0</v>
      </c>
      <c r="H1154" s="688" t="str">
        <f t="shared" si="847"/>
        <v/>
      </c>
      <c r="I1154" s="485">
        <f t="shared" si="848"/>
        <v>0</v>
      </c>
      <c r="J1154" s="485">
        <f t="shared" si="849"/>
        <v>0</v>
      </c>
      <c r="K1154" s="715">
        <f t="shared" ref="K1154" si="857">I1154+J1154</f>
        <v>0</v>
      </c>
      <c r="L1154" s="715"/>
      <c r="M1154" s="689" t="str">
        <f t="shared" ca="1" si="851"/>
        <v/>
      </c>
      <c r="N1154" s="690"/>
      <c r="O1154" s="486"/>
      <c r="P1154" s="486"/>
      <c r="Q1154" s="486"/>
      <c r="R1154" s="486"/>
      <c r="S1154" s="486"/>
      <c r="T1154" s="102">
        <f t="shared" si="816"/>
        <v>0</v>
      </c>
      <c r="U1154" s="78">
        <f>IF(NOT(ISNUMBER(G1154)), "", VLOOKUP(A1154,'Discount Lookup'!D:E,2,FALSE)*G1154)</f>
        <v>0</v>
      </c>
      <c r="V1154" s="78">
        <f>IF(NOT(ISNUMBER(G1154)), "", VLOOKUP(A1154,'Discount Lookup'!G:H,2,FALSE)*G1154)</f>
        <v>0</v>
      </c>
      <c r="W1154" s="102">
        <f t="shared" si="817"/>
        <v>0</v>
      </c>
      <c r="X1154" s="102">
        <f t="shared" si="818"/>
        <v>0</v>
      </c>
      <c r="Y1154" s="120" t="b">
        <f t="shared" si="819"/>
        <v>0</v>
      </c>
      <c r="Z1154" s="117">
        <f t="shared" si="820"/>
        <v>0</v>
      </c>
      <c r="AA1154" s="118"/>
      <c r="AB1154" s="118" t="str">
        <f t="shared" si="821"/>
        <v/>
      </c>
      <c r="AC1154" s="712" t="str">
        <f>IF(AE1154="T2G","no charge",IF(AND(OR(PlanterYesMe="No",PlanterYesMe="N",PlanterYesMe="me"),H1154=""),"",IF(H1154="credit","NO install",IF(AND(K1154="",AE1154="me"),"EACH row",IF(AND(K1154="images",AE1154="me"),"EACH row",IF(D1154="","",IF(H1154="credit","",IF(AE1154="free","re-planting",IF(AE1154="me","   not ELP, by",IF(AND(OR(PlanterYesMe="Yes",PlanterYesMe="Y"),G1154&gt;0),(VLOOKUP(A1154,'Discount Lookup'!J:K,2)*G1154*(1-PlanterDiscount)*(1+PlanterDifficultyPercentage)),IF(AE1154="ELP",(VLOOKUP(A1154,'Discount Lookup'!J:K,2)*G1154*(1-PlanterDiscount)*(1+PlanterDifficultyPercentage)),IF(AE1154="free","re-planting",IF(G1154=0,"",IF(PlanterYesMe="",IF(AE1154="me","   not ELP, by",IF(AE1154="",IF(G1154&gt;0,(VLOOKUP(A1154,'Discount Lookup'!J:K,2)*G1154*(1-PlanterDiscount)*(1+PlanterDifficultyPercentage)),""),"")),"   not ELP, by"))))))))))))))</f>
        <v/>
      </c>
      <c r="AD1154" s="712"/>
      <c r="AE1154" s="513" t="str">
        <f t="shared" si="822"/>
        <v/>
      </c>
      <c r="AF1154" s="713" t="str">
        <f t="shared" si="823"/>
        <v/>
      </c>
      <c r="AG1154" s="713"/>
      <c r="AH1154" s="713"/>
      <c r="AI1154" s="112">
        <f>IF(H1154="credit",0,IF(AE1154="free",0,IF(AE1154="me",0,IF(G1154&gt;0,(VLOOKUP(A1154,'Discount Lookup'!J:K,2)*G1154),0))))</f>
        <v>0</v>
      </c>
      <c r="AJ1154" s="107" t="str">
        <f t="shared" ca="1" si="824"/>
        <v/>
      </c>
      <c r="AK1154" s="714" t="str">
        <f t="shared" si="825"/>
        <v/>
      </c>
      <c r="AL1154" s="714"/>
      <c r="AM1154" s="114" t="str">
        <f t="shared" si="826"/>
        <v/>
      </c>
      <c r="AN1154" s="115"/>
      <c r="AO1154" s="116"/>
      <c r="AP1154" s="116"/>
      <c r="AQ1154" s="116"/>
      <c r="AR1154" s="116"/>
      <c r="AS1154" s="116"/>
      <c r="AT1154" s="116"/>
      <c r="AU1154" s="116"/>
      <c r="AV1154" s="78"/>
      <c r="AW1154" s="102"/>
      <c r="AX1154" s="78"/>
      <c r="AY1154" s="78"/>
      <c r="AZ1154" s="78"/>
      <c r="BA1154" s="78"/>
      <c r="BB1154" s="78"/>
      <c r="BC1154" s="78"/>
      <c r="BD1154" s="78"/>
      <c r="BE1154" s="465"/>
      <c r="BF1154" s="165" t="str">
        <f t="shared" si="827"/>
        <v>https://www.google.com/search?tbm=isch&amp;q=25%20G4</v>
      </c>
      <c r="BG1154" s="165" t="str">
        <f t="shared" si="828"/>
        <v>C</v>
      </c>
      <c r="BH1154" s="65"/>
      <c r="BI1154" s="65"/>
      <c r="BJ1154" s="65"/>
      <c r="BK1154" s="65"/>
      <c r="BL1154" s="99"/>
      <c r="BM1154" s="99"/>
      <c r="BN1154" s="99"/>
    </row>
    <row r="1155" spans="1:66" s="51" customFormat="1" ht="15.75" x14ac:dyDescent="0.25">
      <c r="A1155" s="478">
        <v>30</v>
      </c>
      <c r="B1155" s="479" t="s">
        <v>291</v>
      </c>
      <c r="C1155" s="480" t="s">
        <v>2174</v>
      </c>
      <c r="D1155" s="481" t="s">
        <v>311</v>
      </c>
      <c r="E1155" s="482">
        <v>353.95</v>
      </c>
      <c r="F1155" s="483" t="s">
        <v>292</v>
      </c>
      <c r="G1155" s="484">
        <v>0</v>
      </c>
      <c r="H1155" s="688" t="str">
        <f t="shared" si="847"/>
        <v/>
      </c>
      <c r="I1155" s="485">
        <f t="shared" si="848"/>
        <v>0</v>
      </c>
      <c r="J1155" s="485">
        <f t="shared" si="849"/>
        <v>0</v>
      </c>
      <c r="K1155" s="715">
        <f t="shared" ref="K1155" si="858">I1155+J1155</f>
        <v>0</v>
      </c>
      <c r="L1155" s="715"/>
      <c r="M1155" s="689" t="str">
        <f t="shared" ca="1" si="851"/>
        <v/>
      </c>
      <c r="N1155" s="690"/>
      <c r="O1155" s="486"/>
      <c r="P1155" s="486"/>
      <c r="Q1155" s="486"/>
      <c r="R1155" s="486"/>
      <c r="S1155" s="486"/>
      <c r="T1155" s="102">
        <f t="shared" si="816"/>
        <v>0</v>
      </c>
      <c r="U1155" s="78">
        <f>IF(NOT(ISNUMBER(G1155)), "", VLOOKUP(A1155,'Discount Lookup'!D:E,2,FALSE)*G1155)</f>
        <v>0</v>
      </c>
      <c r="V1155" s="78">
        <f>IF(NOT(ISNUMBER(G1155)), "", VLOOKUP(A1155,'Discount Lookup'!G:H,2,FALSE)*G1155)</f>
        <v>0</v>
      </c>
      <c r="W1155" s="102">
        <f t="shared" si="817"/>
        <v>0</v>
      </c>
      <c r="X1155" s="102">
        <f t="shared" si="818"/>
        <v>0</v>
      </c>
      <c r="Y1155" s="120" t="b">
        <f t="shared" si="819"/>
        <v>0</v>
      </c>
      <c r="Z1155" s="117">
        <f t="shared" si="820"/>
        <v>0</v>
      </c>
      <c r="AA1155" s="118"/>
      <c r="AB1155" s="118" t="str">
        <f t="shared" si="821"/>
        <v/>
      </c>
      <c r="AC1155" s="712" t="str">
        <f>IF(AE1155="T2G","no charge",IF(AND(OR(PlanterYesMe="No",PlanterYesMe="N",PlanterYesMe="me"),H1155=""),"",IF(H1155="credit","NO install",IF(AND(K1155="",AE1155="me"),"EACH row",IF(AND(K1155="images",AE1155="me"),"EACH row",IF(D1155="","",IF(H1155="credit","",IF(AE1155="free","re-planting",IF(AE1155="me","   not ELP, by",IF(AND(OR(PlanterYesMe="Yes",PlanterYesMe="Y"),G1155&gt;0),(VLOOKUP(A1155,'Discount Lookup'!J:K,2)*G1155*(1-PlanterDiscount)*(1+PlanterDifficultyPercentage)),IF(AE1155="ELP",(VLOOKUP(A1155,'Discount Lookup'!J:K,2)*G1155*(1-PlanterDiscount)*(1+PlanterDifficultyPercentage)),IF(AE1155="free","re-planting",IF(G1155=0,"",IF(PlanterYesMe="",IF(AE1155="me","   not ELP, by",IF(AE1155="",IF(G1155&gt;0,(VLOOKUP(A1155,'Discount Lookup'!J:K,2)*G1155*(1-PlanterDiscount)*(1+PlanterDifficultyPercentage)),""),"")),"   not ELP, by"))))))))))))))</f>
        <v/>
      </c>
      <c r="AD1155" s="712"/>
      <c r="AE1155" s="513" t="str">
        <f t="shared" si="822"/>
        <v/>
      </c>
      <c r="AF1155" s="713" t="str">
        <f t="shared" si="823"/>
        <v/>
      </c>
      <c r="AG1155" s="713"/>
      <c r="AH1155" s="713"/>
      <c r="AI1155" s="112">
        <f>IF(H1155="credit",0,IF(AE1155="free",0,IF(AE1155="me",0,IF(G1155&gt;0,(VLOOKUP(A1155,'Discount Lookup'!J:K,2)*G1155),0))))</f>
        <v>0</v>
      </c>
      <c r="AJ1155" s="107" t="str">
        <f t="shared" ca="1" si="824"/>
        <v/>
      </c>
      <c r="AK1155" s="714" t="str">
        <f t="shared" si="825"/>
        <v/>
      </c>
      <c r="AL1155" s="714"/>
      <c r="AM1155" s="114" t="str">
        <f t="shared" si="826"/>
        <v/>
      </c>
      <c r="AN1155" s="115"/>
      <c r="AO1155" s="116"/>
      <c r="AP1155" s="116"/>
      <c r="AQ1155" s="116"/>
      <c r="AR1155" s="116"/>
      <c r="AS1155" s="116"/>
      <c r="AT1155" s="116"/>
      <c r="AU1155" s="116"/>
      <c r="AV1155" s="78"/>
      <c r="AW1155" s="102"/>
      <c r="AX1155" s="78"/>
      <c r="AY1155" s="78"/>
      <c r="AZ1155" s="78"/>
      <c r="BA1155" s="78"/>
      <c r="BB1155" s="78"/>
      <c r="BC1155" s="78"/>
      <c r="BD1155" s="78"/>
      <c r="BE1155" s="465"/>
      <c r="BF1155" s="165" t="str">
        <f t="shared" si="827"/>
        <v>https://www.google.com/search?tbm=isch&amp;q=30%20G5</v>
      </c>
      <c r="BG1155" s="165" t="str">
        <f t="shared" si="828"/>
        <v>C</v>
      </c>
      <c r="BH1155" s="65"/>
      <c r="BI1155" s="65"/>
      <c r="BJ1155" s="65"/>
      <c r="BK1155" s="65"/>
      <c r="BL1155" s="99"/>
      <c r="BM1155" s="99"/>
      <c r="BN1155" s="99"/>
    </row>
    <row r="1156" spans="1:66" s="51" customFormat="1" ht="15.75" x14ac:dyDescent="0.25">
      <c r="A1156" s="478">
        <v>15</v>
      </c>
      <c r="B1156" s="479" t="s">
        <v>291</v>
      </c>
      <c r="C1156" s="480" t="s">
        <v>2175</v>
      </c>
      <c r="D1156" s="481" t="s">
        <v>299</v>
      </c>
      <c r="E1156" s="482">
        <v>454.95</v>
      </c>
      <c r="F1156" s="483" t="s">
        <v>292</v>
      </c>
      <c r="G1156" s="484">
        <v>0</v>
      </c>
      <c r="H1156" s="688" t="str">
        <f t="shared" si="847"/>
        <v/>
      </c>
      <c r="I1156" s="485">
        <f t="shared" si="848"/>
        <v>0</v>
      </c>
      <c r="J1156" s="485">
        <f t="shared" si="849"/>
        <v>0</v>
      </c>
      <c r="K1156" s="715">
        <f t="shared" ref="K1156" si="859">I1156+J1156</f>
        <v>0</v>
      </c>
      <c r="L1156" s="715"/>
      <c r="M1156" s="689" t="str">
        <f t="shared" ca="1" si="851"/>
        <v/>
      </c>
      <c r="N1156" s="690"/>
      <c r="O1156" s="486"/>
      <c r="P1156" s="486"/>
      <c r="Q1156" s="486"/>
      <c r="R1156" s="486"/>
      <c r="S1156" s="486"/>
      <c r="T1156" s="102">
        <f t="shared" si="816"/>
        <v>0</v>
      </c>
      <c r="U1156" s="78">
        <f>IF(NOT(ISNUMBER(G1156)), "", VLOOKUP(A1156,'Discount Lookup'!D:E,2,FALSE)*G1156)</f>
        <v>0</v>
      </c>
      <c r="V1156" s="78">
        <f>IF(NOT(ISNUMBER(G1156)), "", VLOOKUP(A1156,'Discount Lookup'!G:H,2,FALSE)*G1156)</f>
        <v>0</v>
      </c>
      <c r="W1156" s="102">
        <f t="shared" si="817"/>
        <v>0</v>
      </c>
      <c r="X1156" s="102">
        <f t="shared" si="818"/>
        <v>0</v>
      </c>
      <c r="Y1156" s="120" t="b">
        <f t="shared" si="819"/>
        <v>0</v>
      </c>
      <c r="Z1156" s="117">
        <f t="shared" si="820"/>
        <v>0</v>
      </c>
      <c r="AA1156" s="118"/>
      <c r="AB1156" s="118" t="str">
        <f t="shared" si="821"/>
        <v/>
      </c>
      <c r="AC1156" s="712" t="str">
        <f>IF(AE1156="T2G","no charge",IF(AND(OR(PlanterYesMe="No",PlanterYesMe="N",PlanterYesMe="me"),H1156=""),"",IF(H1156="credit","NO install",IF(AND(K1156="",AE1156="me"),"EACH row",IF(AND(K1156="images",AE1156="me"),"EACH row",IF(D1156="","",IF(H1156="credit","",IF(AE1156="free","re-planting",IF(AE1156="me","   not ELP, by",IF(AND(OR(PlanterYesMe="Yes",PlanterYesMe="Y"),G1156&gt;0),(VLOOKUP(A1156,'Discount Lookup'!J:K,2)*G1156*(1-PlanterDiscount)*(1+PlanterDifficultyPercentage)),IF(AE1156="ELP",(VLOOKUP(A1156,'Discount Lookup'!J:K,2)*G1156*(1-PlanterDiscount)*(1+PlanterDifficultyPercentage)),IF(AE1156="free","re-planting",IF(G1156=0,"",IF(PlanterYesMe="",IF(AE1156="me","   not ELP, by",IF(AE1156="",IF(G1156&gt;0,(VLOOKUP(A1156,'Discount Lookup'!J:K,2)*G1156*(1-PlanterDiscount)*(1+PlanterDifficultyPercentage)),""),"")),"   not ELP, by"))))))))))))))</f>
        <v/>
      </c>
      <c r="AD1156" s="712"/>
      <c r="AE1156" s="513" t="str">
        <f t="shared" si="822"/>
        <v/>
      </c>
      <c r="AF1156" s="713" t="str">
        <f t="shared" si="823"/>
        <v/>
      </c>
      <c r="AG1156" s="713"/>
      <c r="AH1156" s="713"/>
      <c r="AI1156" s="112">
        <f>IF(H1156="credit",0,IF(AE1156="free",0,IF(AE1156="me",0,IF(G1156&gt;0,(VLOOKUP(A1156,'Discount Lookup'!J:K,2)*G1156),0))))</f>
        <v>0</v>
      </c>
      <c r="AJ1156" s="107" t="str">
        <f t="shared" ca="1" si="824"/>
        <v/>
      </c>
      <c r="AK1156" s="714" t="str">
        <f t="shared" si="825"/>
        <v/>
      </c>
      <c r="AL1156" s="714"/>
      <c r="AM1156" s="114" t="str">
        <f t="shared" si="826"/>
        <v/>
      </c>
      <c r="AN1156" s="115"/>
      <c r="AO1156" s="116"/>
      <c r="AP1156" s="116"/>
      <c r="AQ1156" s="116"/>
      <c r="AR1156" s="116"/>
      <c r="AS1156" s="116"/>
      <c r="AT1156" s="116"/>
      <c r="AU1156" s="116"/>
      <c r="AV1156" s="78"/>
      <c r="AW1156" s="102"/>
      <c r="AX1156" s="78"/>
      <c r="AY1156" s="78"/>
      <c r="AZ1156" s="78"/>
      <c r="BA1156" s="78"/>
      <c r="BB1156" s="78"/>
      <c r="BC1156" s="78"/>
      <c r="BD1156" s="78"/>
      <c r="BE1156" s="465"/>
      <c r="BF1156" s="165" t="str">
        <f t="shared" si="827"/>
        <v>https://www.google.com/search?tbm=isch&amp;q=15%20G4</v>
      </c>
      <c r="BG1156" s="165" t="str">
        <f t="shared" si="828"/>
        <v>C</v>
      </c>
      <c r="BH1156" s="65"/>
      <c r="BI1156" s="65"/>
      <c r="BJ1156" s="65"/>
      <c r="BK1156" s="65"/>
      <c r="BL1156" s="99"/>
      <c r="BM1156" s="99"/>
      <c r="BN1156" s="99"/>
    </row>
    <row r="1157" spans="1:66" s="51" customFormat="1" ht="15.75" x14ac:dyDescent="0.25">
      <c r="A1157" s="478">
        <v>20</v>
      </c>
      <c r="B1157" s="479" t="s">
        <v>291</v>
      </c>
      <c r="C1157" s="480" t="s">
        <v>939</v>
      </c>
      <c r="D1157" s="481" t="s">
        <v>299</v>
      </c>
      <c r="E1157" s="482">
        <v>665.95</v>
      </c>
      <c r="F1157" s="483" t="s">
        <v>292</v>
      </c>
      <c r="G1157" s="484">
        <v>0</v>
      </c>
      <c r="H1157" s="688" t="str">
        <f t="shared" si="847"/>
        <v/>
      </c>
      <c r="I1157" s="485">
        <f t="shared" si="848"/>
        <v>0</v>
      </c>
      <c r="J1157" s="485">
        <f t="shared" si="849"/>
        <v>0</v>
      </c>
      <c r="K1157" s="715">
        <f t="shared" ref="K1157" si="860">I1157+J1157</f>
        <v>0</v>
      </c>
      <c r="L1157" s="715"/>
      <c r="M1157" s="689" t="str">
        <f t="shared" ca="1" si="851"/>
        <v/>
      </c>
      <c r="N1157" s="690"/>
      <c r="O1157" s="486"/>
      <c r="P1157" s="486"/>
      <c r="Q1157" s="486"/>
      <c r="R1157" s="486"/>
      <c r="S1157" s="486"/>
      <c r="T1157" s="102">
        <f t="shared" si="816"/>
        <v>0</v>
      </c>
      <c r="U1157" s="78">
        <f>IF(NOT(ISNUMBER(G1157)), "", VLOOKUP(A1157,'Discount Lookup'!D:E,2,FALSE)*G1157)</f>
        <v>0</v>
      </c>
      <c r="V1157" s="78">
        <f>IF(NOT(ISNUMBER(G1157)), "", VLOOKUP(A1157,'Discount Lookup'!G:H,2,FALSE)*G1157)</f>
        <v>0</v>
      </c>
      <c r="W1157" s="102">
        <f t="shared" si="817"/>
        <v>0</v>
      </c>
      <c r="X1157" s="102">
        <f t="shared" si="818"/>
        <v>0</v>
      </c>
      <c r="Y1157" s="120" t="b">
        <f t="shared" si="819"/>
        <v>0</v>
      </c>
      <c r="Z1157" s="117">
        <f t="shared" si="820"/>
        <v>0</v>
      </c>
      <c r="AA1157" s="118"/>
      <c r="AB1157" s="118" t="str">
        <f t="shared" si="821"/>
        <v/>
      </c>
      <c r="AC1157" s="712" t="str">
        <f>IF(AE1157="T2G","no charge",IF(AND(OR(PlanterYesMe="No",PlanterYesMe="N",PlanterYesMe="me"),H1157=""),"",IF(H1157="credit","NO install",IF(AND(K1157="",AE1157="me"),"EACH row",IF(AND(K1157="images",AE1157="me"),"EACH row",IF(D1157="","",IF(H1157="credit","",IF(AE1157="free","re-planting",IF(AE1157="me","   not ELP, by",IF(AND(OR(PlanterYesMe="Yes",PlanterYesMe="Y"),G1157&gt;0),(VLOOKUP(A1157,'Discount Lookup'!J:K,2)*G1157*(1-PlanterDiscount)*(1+PlanterDifficultyPercentage)),IF(AE1157="ELP",(VLOOKUP(A1157,'Discount Lookup'!J:K,2)*G1157*(1-PlanterDiscount)*(1+PlanterDifficultyPercentage)),IF(AE1157="free","re-planting",IF(G1157=0,"",IF(PlanterYesMe="",IF(AE1157="me","   not ELP, by",IF(AE1157="",IF(G1157&gt;0,(VLOOKUP(A1157,'Discount Lookup'!J:K,2)*G1157*(1-PlanterDiscount)*(1+PlanterDifficultyPercentage)),""),"")),"   not ELP, by"))))))))))))))</f>
        <v/>
      </c>
      <c r="AD1157" s="712"/>
      <c r="AE1157" s="513" t="str">
        <f t="shared" si="822"/>
        <v/>
      </c>
      <c r="AF1157" s="713" t="str">
        <f t="shared" si="823"/>
        <v/>
      </c>
      <c r="AG1157" s="713"/>
      <c r="AH1157" s="713"/>
      <c r="AI1157" s="112">
        <f>IF(H1157="credit",0,IF(AE1157="free",0,IF(AE1157="me",0,IF(G1157&gt;0,(VLOOKUP(A1157,'Discount Lookup'!J:K,2)*G1157),0))))</f>
        <v>0</v>
      </c>
      <c r="AJ1157" s="107" t="str">
        <f t="shared" ca="1" si="824"/>
        <v/>
      </c>
      <c r="AK1157" s="714" t="str">
        <f t="shared" si="825"/>
        <v/>
      </c>
      <c r="AL1157" s="714"/>
      <c r="AM1157" s="114" t="str">
        <f t="shared" si="826"/>
        <v/>
      </c>
      <c r="AN1157" s="115"/>
      <c r="AO1157" s="116"/>
      <c r="AP1157" s="116"/>
      <c r="AQ1157" s="116"/>
      <c r="AR1157" s="116"/>
      <c r="AS1157" s="116"/>
      <c r="AT1157" s="116"/>
      <c r="AU1157" s="116"/>
      <c r="AV1157" s="78"/>
      <c r="AW1157" s="102"/>
      <c r="AX1157" s="78"/>
      <c r="AY1157" s="78"/>
      <c r="AZ1157" s="78"/>
      <c r="BA1157" s="78"/>
      <c r="BB1157" s="78"/>
      <c r="BC1157" s="78"/>
      <c r="BD1157" s="78"/>
      <c r="BE1157" s="465"/>
      <c r="BF1157" s="165" t="str">
        <f t="shared" si="827"/>
        <v>https://www.google.com/search?tbm=isch&amp;q=20%20G4</v>
      </c>
      <c r="BG1157" s="165" t="str">
        <f t="shared" si="828"/>
        <v>C</v>
      </c>
      <c r="BH1157" s="65"/>
      <c r="BI1157" s="65"/>
      <c r="BJ1157" s="65"/>
      <c r="BK1157" s="65"/>
      <c r="BL1157" s="99"/>
      <c r="BM1157" s="99"/>
      <c r="BN1157" s="99"/>
    </row>
    <row r="1158" spans="1:66" s="51" customFormat="1" ht="17.25" thickBot="1" x14ac:dyDescent="0.3">
      <c r="A1158" s="508" t="s">
        <v>2176</v>
      </c>
      <c r="B1158" s="487"/>
      <c r="C1158" s="707"/>
      <c r="D1158" s="487"/>
      <c r="E1158" s="487"/>
      <c r="F1158" s="488"/>
      <c r="G1158" s="489"/>
      <c r="H1158" s="487"/>
      <c r="I1158" s="490"/>
      <c r="J1158" s="490"/>
      <c r="K1158" s="491"/>
      <c r="L1158" s="547"/>
      <c r="M1158" s="528"/>
      <c r="N1158" s="492"/>
      <c r="O1158" s="493"/>
      <c r="P1158" s="494"/>
      <c r="Q1158" s="492"/>
      <c r="R1158" s="492"/>
      <c r="S1158" s="699" t="s">
        <v>5268</v>
      </c>
      <c r="T1158" s="102">
        <f t="shared" si="816"/>
        <v>0</v>
      </c>
      <c r="U1158" s="78" t="str">
        <f>IF(NOT(ISNUMBER(G1158)), "", VLOOKUP(A1158,'Discount Lookup'!D:E,2,FALSE)*G1158)</f>
        <v/>
      </c>
      <c r="V1158" s="78" t="str">
        <f>IF(NOT(ISNUMBER(G1158)), "", VLOOKUP(A1158,'Discount Lookup'!G:H,2,FALSE)*G1158)</f>
        <v/>
      </c>
      <c r="W1158" s="102">
        <f t="shared" si="817"/>
        <v>0</v>
      </c>
      <c r="X1158" s="102">
        <f t="shared" si="818"/>
        <v>0</v>
      </c>
      <c r="Y1158" s="120" t="b">
        <f t="shared" si="819"/>
        <v>0</v>
      </c>
      <c r="Z1158" s="117">
        <f t="shared" si="820"/>
        <v>0</v>
      </c>
      <c r="AA1158" s="118"/>
      <c r="AB1158" s="118" t="str">
        <f t="shared" si="821"/>
        <v/>
      </c>
      <c r="AC1158" s="712" t="str">
        <f>IF(AE1158="T2G","no charge",IF(AND(OR(PlanterYesMe="No",PlanterYesMe="N",PlanterYesMe="me"),H1158=""),"",IF(H1158="credit","NO install",IF(AND(K1158="",AE1158="me"),"EACH row",IF(AND(K1158="images",AE1158="me"),"EACH row",IF(D1158="","",IF(H1158="credit","",IF(AE1158="free","re-planting",IF(AE1158="me","   not ELP, by",IF(AND(OR(PlanterYesMe="Yes",PlanterYesMe="Y"),G1158&gt;0),(VLOOKUP(A1158,'Discount Lookup'!J:K,2)*G1158*(1-PlanterDiscount)*(1+PlanterDifficultyPercentage)),IF(AE1158="ELP",(VLOOKUP(A1158,'Discount Lookup'!J:K,2)*G1158*(1-PlanterDiscount)*(1+PlanterDifficultyPercentage)),IF(AE1158="free","re-planting",IF(G1158=0,"",IF(PlanterYesMe="",IF(AE1158="me","   not ELP, by",IF(AE1158="",IF(G1158&gt;0,(VLOOKUP(A1158,'Discount Lookup'!J:K,2)*G1158*(1-PlanterDiscount)*(1+PlanterDifficultyPercentage)),""),"")),"   not ELP, by"))))))))))))))</f>
        <v/>
      </c>
      <c r="AD1158" s="712"/>
      <c r="AE1158" s="513" t="str">
        <f t="shared" si="822"/>
        <v/>
      </c>
      <c r="AF1158" s="713" t="str">
        <f t="shared" si="823"/>
        <v/>
      </c>
      <c r="AG1158" s="713"/>
      <c r="AH1158" s="713"/>
      <c r="AI1158" s="112">
        <f>IF(H1158="credit",0,IF(AE1158="free",0,IF(AE1158="me",0,IF(G1158&gt;0,(VLOOKUP(A1158,'Discount Lookup'!J:K,2)*G1158),0))))</f>
        <v>0</v>
      </c>
      <c r="AJ1158" s="107" t="str">
        <f t="shared" ca="1" si="824"/>
        <v/>
      </c>
      <c r="AK1158" s="714" t="str">
        <f t="shared" si="825"/>
        <v/>
      </c>
      <c r="AL1158" s="714"/>
      <c r="AM1158" s="114" t="str">
        <f t="shared" si="826"/>
        <v/>
      </c>
      <c r="AN1158" s="115"/>
      <c r="AO1158" s="116"/>
      <c r="AP1158" s="116"/>
      <c r="AQ1158" s="116"/>
      <c r="AR1158" s="116"/>
      <c r="AS1158" s="116"/>
      <c r="AT1158" s="116"/>
      <c r="AU1158" s="116"/>
      <c r="AV1158" s="78"/>
      <c r="AW1158" s="102"/>
      <c r="AX1158" s="78"/>
      <c r="AY1158" s="78"/>
      <c r="AZ1158" s="78"/>
      <c r="BA1158" s="78"/>
      <c r="BB1158" s="78"/>
      <c r="BC1158" s="78"/>
      <c r="BD1158" s="78"/>
      <c r="BE1158" s="465"/>
      <c r="BF1158" s="165" t="str">
        <f t="shared" si="827"/>
        <v>https://www.google.com/search?tbm=isch&amp;q=Gold%20Mop%20has%20vibrant%2C%20thread-like%20foliage%20that%20creates%20a%20shaggy%2C%20mop-like%20mound%2C%20with%20year-round%20color%20</v>
      </c>
      <c r="BG1158" s="165" t="str">
        <f t="shared" si="828"/>
        <v>G</v>
      </c>
      <c r="BH1158" s="65"/>
      <c r="BI1158" s="65"/>
      <c r="BJ1158" s="65"/>
      <c r="BK1158" s="65"/>
      <c r="BL1158" s="99"/>
      <c r="BM1158" s="99"/>
      <c r="BN1158" s="99"/>
    </row>
    <row r="1159" spans="1:66" s="51" customFormat="1" ht="18" x14ac:dyDescent="0.25">
      <c r="A1159" s="507" t="s">
        <v>2177</v>
      </c>
      <c r="B1159" s="470"/>
      <c r="C1159" s="706"/>
      <c r="D1159" s="471" t="s">
        <v>2178</v>
      </c>
      <c r="E1159" s="472"/>
      <c r="F1159" s="472"/>
      <c r="G1159" s="472"/>
      <c r="H1159" s="622" t="s">
        <v>1076</v>
      </c>
      <c r="I1159" s="473" t="s">
        <v>443</v>
      </c>
      <c r="J1159" s="472"/>
      <c r="K1159" s="472"/>
      <c r="L1159" s="561"/>
      <c r="M1159" s="698" t="s">
        <v>5246</v>
      </c>
      <c r="N1159" s="692" t="str">
        <f>IF(AND(ISTEXT($A1159), ISERROR($A1159+0)), HYPERLINK($BF1159, "Images"), "")</f>
        <v>Images</v>
      </c>
      <c r="O1159" s="694" t="s">
        <v>5247</v>
      </c>
      <c r="P1159" s="475"/>
      <c r="Q1159" s="476"/>
      <c r="R1159" s="476"/>
      <c r="S1159" s="477"/>
      <c r="T1159" s="102">
        <f t="shared" si="816"/>
        <v>0</v>
      </c>
      <c r="U1159" s="78" t="str">
        <f>IF(NOT(ISNUMBER(G1159)), "", VLOOKUP(A1159,'Discount Lookup'!D:E,2,FALSE)*G1159)</f>
        <v/>
      </c>
      <c r="V1159" s="78" t="str">
        <f>IF(NOT(ISNUMBER(G1159)), "", VLOOKUP(A1159,'Discount Lookup'!G:H,2,FALSE)*G1159)</f>
        <v/>
      </c>
      <c r="W1159" s="102">
        <f t="shared" si="817"/>
        <v>0</v>
      </c>
      <c r="X1159" s="102" t="str">
        <f t="shared" si="818"/>
        <v>Golden-Yellow foliage</v>
      </c>
      <c r="Y1159" s="120" t="b">
        <f t="shared" si="819"/>
        <v>0</v>
      </c>
      <c r="Z1159" s="117">
        <f t="shared" si="820"/>
        <v>0</v>
      </c>
      <c r="AA1159" s="118"/>
      <c r="AB1159" s="118" t="str">
        <f t="shared" si="821"/>
        <v/>
      </c>
      <c r="AC1159" s="712" t="str">
        <f>IF(AE1159="T2G","no charge",IF(AND(OR(PlanterYesMe="No",PlanterYesMe="N",PlanterYesMe="me"),H1159=""),"",IF(H1159="credit","NO install",IF(AND(K1159="",AE1159="me"),"EACH row",IF(AND(K1159="images",AE1159="me"),"EACH row",IF(D1159="","",IF(H1159="credit","",IF(AE1159="free","re-planting",IF(AE1159="me","   not ELP, by",IF(AND(OR(PlanterYesMe="Yes",PlanterYesMe="Y"),G1159&gt;0),(VLOOKUP(A1159,'Discount Lookup'!J:K,2)*G1159*(1-PlanterDiscount)*(1+PlanterDifficultyPercentage)),IF(AE1159="ELP",(VLOOKUP(A1159,'Discount Lookup'!J:K,2)*G1159*(1-PlanterDiscount)*(1+PlanterDifficultyPercentage)),IF(AE1159="free","re-planting",IF(G1159=0,"",IF(PlanterYesMe="",IF(AE1159="me","   not ELP, by",IF(AE1159="",IF(G1159&gt;0,(VLOOKUP(A1159,'Discount Lookup'!J:K,2)*G1159*(1-PlanterDiscount)*(1+PlanterDifficultyPercentage)),""),"")),"   not ELP, by"))))))))))))))</f>
        <v/>
      </c>
      <c r="AD1159" s="712"/>
      <c r="AE1159" s="513" t="str">
        <f t="shared" si="822"/>
        <v/>
      </c>
      <c r="AF1159" s="713" t="str">
        <f t="shared" si="823"/>
        <v/>
      </c>
      <c r="AG1159" s="713"/>
      <c r="AH1159" s="713"/>
      <c r="AI1159" s="112">
        <f>IF(H1159="credit",0,IF(AE1159="free",0,IF(AE1159="me",0,IF(G1159&gt;0,(VLOOKUP(A1159,'Discount Lookup'!J:K,2)*G1159),0))))</f>
        <v>0</v>
      </c>
      <c r="AJ1159" s="107" t="str">
        <f t="shared" ca="1" si="824"/>
        <v/>
      </c>
      <c r="AK1159" s="714" t="str">
        <f t="shared" si="825"/>
        <v/>
      </c>
      <c r="AL1159" s="714"/>
      <c r="AM1159" s="114" t="str">
        <f t="shared" si="826"/>
        <v/>
      </c>
      <c r="AN1159" s="115"/>
      <c r="AO1159" s="116"/>
      <c r="AP1159" s="116"/>
      <c r="AQ1159" s="116"/>
      <c r="AR1159" s="116"/>
      <c r="AS1159" s="116"/>
      <c r="AT1159" s="116"/>
      <c r="AU1159" s="116"/>
      <c r="AV1159" s="78"/>
      <c r="AW1159" s="102"/>
      <c r="AX1159" s="78"/>
      <c r="AY1159" s="78"/>
      <c r="AZ1159" s="78"/>
      <c r="BA1159" s="78"/>
      <c r="BB1159" s="78"/>
      <c r="BC1159" s="78"/>
      <c r="BD1159" s="78"/>
      <c r="BE1159" s="465"/>
      <c r="BF1159" s="165" t="str">
        <f t="shared" si="827"/>
        <v>https://www.google.com/search?tbm=isch&amp;q=Chamaecyparis%20pisifera%20%27King%27s%20Gold%27%20King%27s%20Gold%20Threadleaf%20Cypress</v>
      </c>
      <c r="BG1159" s="165" t="str">
        <f t="shared" si="828"/>
        <v>C</v>
      </c>
      <c r="BH1159" s="65"/>
      <c r="BI1159" s="65"/>
      <c r="BJ1159" s="65"/>
      <c r="BK1159" s="65"/>
      <c r="BL1159" s="99"/>
      <c r="BM1159" s="99"/>
      <c r="BN1159" s="99"/>
    </row>
    <row r="1160" spans="1:66" s="51" customFormat="1" ht="15.75" x14ac:dyDescent="0.25">
      <c r="A1160" s="478">
        <v>3</v>
      </c>
      <c r="B1160" s="479" t="s">
        <v>291</v>
      </c>
      <c r="C1160" s="480" t="s">
        <v>2179</v>
      </c>
      <c r="D1160" s="481" t="s">
        <v>293</v>
      </c>
      <c r="E1160" s="482">
        <v>38.950000000000003</v>
      </c>
      <c r="F1160" s="483" t="s">
        <v>292</v>
      </c>
      <c r="G1160" s="484">
        <v>0</v>
      </c>
      <c r="H1160" s="688" t="str">
        <f>IF(G1160=0,"",IF(F1160="Buy",IF(G1160=1,"plant","plants"),IF(F1160&gt;0.01,"warranty","Error")))</f>
        <v/>
      </c>
      <c r="I1160" s="485">
        <f>IF(H1160="free",0,IF(H1160="credit",((E1160*(F1160))*G1160*-1),IF(F1160="Buy",(E1160*G1160),((E1160*(1-F1160))*G1160))))</f>
        <v>0</v>
      </c>
      <c r="J1160" s="485">
        <f>IF(H1160="warranty",0,(I1160*(_xlfn.SINGLE(SalesTaxPercentage))))</f>
        <v>0</v>
      </c>
      <c r="K1160" s="715">
        <f t="shared" ref="K1160" si="861">I1160+J1160</f>
        <v>0</v>
      </c>
      <c r="L1160" s="715"/>
      <c r="M1160" s="689" t="str">
        <f ca="1">IF(AND(G1160&gt;0,E1160=0),"WARNING - no PRICE inserted",IF(H1160="free","FREE ~ no charge this plant",IF(H1160="credit",CONCATENATE("-$",ROUND(K1160*(1-_xlfn.SINGLE(T2GDiscount))*-1,2)," CREDIT after discount"),IF(_xlfn.SINGLE(T2GDiscount)=0,"",IF(G1160=0,"",IF(F1160="Buy",CONCATENATE("$",ROUND(K1160*(1-_xlfn.SINGLE(T2GDiscount)),2)," with ",(_xlfn.SINGLE(T2GDiscount)*100),"% discount"),CONCATENATE("$",ROUND(K1160*(1-_xlfn.SINGLE(T2GDiscount)),2)," with ",((_xlfn.SINGLE(T2GDiscount)*100+F1160*100)-(_xlfn.SINGLE(T2GDiscount)*100*F1160)),IF(F1160&gt;0,"% discounts",IF(_xlfn.SINGLE(NoWarrantyDiscount)&gt;0,"% discounts","% discount")))))))))</f>
        <v/>
      </c>
      <c r="N1160" s="690"/>
      <c r="O1160" s="486"/>
      <c r="P1160" s="486"/>
      <c r="Q1160" s="486"/>
      <c r="R1160" s="486"/>
      <c r="S1160" s="486"/>
      <c r="T1160" s="102">
        <f t="shared" si="816"/>
        <v>0</v>
      </c>
      <c r="U1160" s="78">
        <f>IF(NOT(ISNUMBER(G1160)), "", VLOOKUP(A1160,'Discount Lookup'!D:E,2,FALSE)*G1160)</f>
        <v>0</v>
      </c>
      <c r="V1160" s="78">
        <f>IF(NOT(ISNUMBER(G1160)), "", VLOOKUP(A1160,'Discount Lookup'!G:H,2,FALSE)*G1160)</f>
        <v>0</v>
      </c>
      <c r="W1160" s="102">
        <f t="shared" si="817"/>
        <v>0</v>
      </c>
      <c r="X1160" s="102">
        <f t="shared" si="818"/>
        <v>0</v>
      </c>
      <c r="Y1160" s="120" t="b">
        <f t="shared" si="819"/>
        <v>0</v>
      </c>
      <c r="Z1160" s="117">
        <f t="shared" si="820"/>
        <v>0</v>
      </c>
      <c r="AA1160" s="118"/>
      <c r="AB1160" s="118" t="str">
        <f t="shared" si="821"/>
        <v/>
      </c>
      <c r="AC1160" s="712" t="str">
        <f>IF(AE1160="T2G","no charge",IF(AND(OR(PlanterYesMe="No",PlanterYesMe="N",PlanterYesMe="me"),H1160=""),"",IF(H1160="credit","NO install",IF(AND(K1160="",AE1160="me"),"EACH row",IF(AND(K1160="images",AE1160="me"),"EACH row",IF(D1160="","",IF(H1160="credit","",IF(AE1160="free","re-planting",IF(AE1160="me","   not ELP, by",IF(AND(OR(PlanterYesMe="Yes",PlanterYesMe="Y"),G1160&gt;0),(VLOOKUP(A1160,'Discount Lookup'!J:K,2)*G1160*(1-PlanterDiscount)*(1+PlanterDifficultyPercentage)),IF(AE1160="ELP",(VLOOKUP(A1160,'Discount Lookup'!J:K,2)*G1160*(1-PlanterDiscount)*(1+PlanterDifficultyPercentage)),IF(AE1160="free","re-planting",IF(G1160=0,"",IF(PlanterYesMe="",IF(AE1160="me","   not ELP, by",IF(AE1160="",IF(G1160&gt;0,(VLOOKUP(A1160,'Discount Lookup'!J:K,2)*G1160*(1-PlanterDiscount)*(1+PlanterDifficultyPercentage)),""),"")),"   not ELP, by"))))))))))))))</f>
        <v/>
      </c>
      <c r="AD1160" s="712"/>
      <c r="AE1160" s="513" t="str">
        <f t="shared" si="822"/>
        <v/>
      </c>
      <c r="AF1160" s="713" t="str">
        <f t="shared" si="823"/>
        <v/>
      </c>
      <c r="AG1160" s="713"/>
      <c r="AH1160" s="713"/>
      <c r="AI1160" s="112">
        <f>IF(H1160="credit",0,IF(AE1160="free",0,IF(AE1160="me",0,IF(G1160&gt;0,(VLOOKUP(A1160,'Discount Lookup'!J:K,2)*G1160),0))))</f>
        <v>0</v>
      </c>
      <c r="AJ1160" s="107" t="str">
        <f t="shared" ca="1" si="824"/>
        <v/>
      </c>
      <c r="AK1160" s="714" t="str">
        <f t="shared" si="825"/>
        <v/>
      </c>
      <c r="AL1160" s="714"/>
      <c r="AM1160" s="114" t="str">
        <f t="shared" si="826"/>
        <v/>
      </c>
      <c r="AN1160" s="115"/>
      <c r="AO1160" s="116"/>
      <c r="AP1160" s="116"/>
      <c r="AQ1160" s="116"/>
      <c r="AR1160" s="116"/>
      <c r="AS1160" s="116"/>
      <c r="AT1160" s="116"/>
      <c r="AU1160" s="116"/>
      <c r="AV1160" s="78"/>
      <c r="AW1160" s="102"/>
      <c r="AX1160" s="78"/>
      <c r="AY1160" s="78"/>
      <c r="AZ1160" s="78"/>
      <c r="BA1160" s="78"/>
      <c r="BB1160" s="78"/>
      <c r="BC1160" s="78"/>
      <c r="BD1160" s="78"/>
      <c r="BE1160" s="465"/>
      <c r="BF1160" s="165" t="str">
        <f t="shared" si="827"/>
        <v>https://www.google.com/search?tbm=isch&amp;q=3%20G6</v>
      </c>
      <c r="BG1160" s="165" t="str">
        <f t="shared" si="828"/>
        <v>C</v>
      </c>
      <c r="BH1160" s="65"/>
      <c r="BI1160" s="65"/>
      <c r="BJ1160" s="65"/>
      <c r="BK1160" s="65"/>
      <c r="BL1160" s="99"/>
      <c r="BM1160" s="99"/>
      <c r="BN1160" s="99"/>
    </row>
    <row r="1161" spans="1:66" s="51" customFormat="1" ht="17.25" thickBot="1" x14ac:dyDescent="0.3">
      <c r="A1161" s="705" t="s">
        <v>5376</v>
      </c>
      <c r="B1161" s="487"/>
      <c r="C1161" s="707"/>
      <c r="D1161" s="487"/>
      <c r="E1161" s="487"/>
      <c r="F1161" s="488"/>
      <c r="G1161" s="489"/>
      <c r="H1161" s="487"/>
      <c r="I1161" s="490"/>
      <c r="J1161" s="490"/>
      <c r="K1161" s="491"/>
      <c r="L1161" s="547"/>
      <c r="M1161" s="528"/>
      <c r="N1161" s="492"/>
      <c r="O1161" s="493"/>
      <c r="P1161" s="494"/>
      <c r="Q1161" s="492"/>
      <c r="R1161" s="492"/>
      <c r="S1161" s="699" t="s">
        <v>5268</v>
      </c>
      <c r="T1161" s="102">
        <f t="shared" si="816"/>
        <v>0</v>
      </c>
      <c r="U1161" s="78" t="str">
        <f>IF(NOT(ISNUMBER(G1161)), "", VLOOKUP(A1161,'Discount Lookup'!D:E,2,FALSE)*G1161)</f>
        <v/>
      </c>
      <c r="V1161" s="78" t="str">
        <f>IF(NOT(ISNUMBER(G1161)), "", VLOOKUP(A1161,'Discount Lookup'!G:H,2,FALSE)*G1161)</f>
        <v/>
      </c>
      <c r="W1161" s="102">
        <f t="shared" si="817"/>
        <v>0</v>
      </c>
      <c r="X1161" s="102">
        <f t="shared" si="818"/>
        <v>0</v>
      </c>
      <c r="Y1161" s="120" t="b">
        <f t="shared" si="819"/>
        <v>0</v>
      </c>
      <c r="Z1161" s="117">
        <f t="shared" si="820"/>
        <v>0</v>
      </c>
      <c r="AA1161" s="118"/>
      <c r="AB1161" s="118" t="str">
        <f t="shared" si="821"/>
        <v/>
      </c>
      <c r="AC1161" s="712" t="str">
        <f>IF(AE1161="T2G","no charge",IF(AND(OR(PlanterYesMe="No",PlanterYesMe="N",PlanterYesMe="me"),H1161=""),"",IF(H1161="credit","NO install",IF(AND(K1161="",AE1161="me"),"EACH row",IF(AND(K1161="images",AE1161="me"),"EACH row",IF(D1161="","",IF(H1161="credit","",IF(AE1161="free","re-planting",IF(AE1161="me","   not ELP, by",IF(AND(OR(PlanterYesMe="Yes",PlanterYesMe="Y"),G1161&gt;0),(VLOOKUP(A1161,'Discount Lookup'!J:K,2)*G1161*(1-PlanterDiscount)*(1+PlanterDifficultyPercentage)),IF(AE1161="ELP",(VLOOKUP(A1161,'Discount Lookup'!J:K,2)*G1161*(1-PlanterDiscount)*(1+PlanterDifficultyPercentage)),IF(AE1161="free","re-planting",IF(G1161=0,"",IF(PlanterYesMe="",IF(AE1161="me","   not ELP, by",IF(AE1161="",IF(G1161&gt;0,(VLOOKUP(A1161,'Discount Lookup'!J:K,2)*G1161*(1-PlanterDiscount)*(1+PlanterDifficultyPercentage)),""),"")),"   not ELP, by"))))))))))))))</f>
        <v/>
      </c>
      <c r="AD1161" s="712"/>
      <c r="AE1161" s="513" t="str">
        <f t="shared" si="822"/>
        <v/>
      </c>
      <c r="AF1161" s="713" t="str">
        <f t="shared" si="823"/>
        <v/>
      </c>
      <c r="AG1161" s="713"/>
      <c r="AH1161" s="713"/>
      <c r="AI1161" s="112">
        <f>IF(H1161="credit",0,IF(AE1161="free",0,IF(AE1161="me",0,IF(G1161&gt;0,(VLOOKUP(A1161,'Discount Lookup'!J:K,2)*G1161),0))))</f>
        <v>0</v>
      </c>
      <c r="AJ1161" s="107" t="str">
        <f t="shared" ca="1" si="824"/>
        <v/>
      </c>
      <c r="AK1161" s="714" t="str">
        <f t="shared" si="825"/>
        <v/>
      </c>
      <c r="AL1161" s="714"/>
      <c r="AM1161" s="114" t="str">
        <f t="shared" si="826"/>
        <v/>
      </c>
      <c r="AN1161" s="115"/>
      <c r="AO1161" s="116"/>
      <c r="AP1161" s="116"/>
      <c r="AQ1161" s="116"/>
      <c r="AR1161" s="116"/>
      <c r="AS1161" s="116"/>
      <c r="AT1161" s="116"/>
      <c r="AU1161" s="116"/>
      <c r="AV1161" s="78"/>
      <c r="AW1161" s="102"/>
      <c r="AX1161" s="78"/>
      <c r="AY1161" s="78"/>
      <c r="AZ1161" s="78"/>
      <c r="BA1161" s="78"/>
      <c r="BB1161" s="78"/>
      <c r="BC1161" s="78"/>
      <c r="BD1161" s="78"/>
      <c r="BE1161" s="465"/>
      <c r="BF1161" s="165" t="str">
        <f t="shared" si="827"/>
        <v>https://www.google.com/search?tbm=isch&amp;q=moist%20sites%F0%9F%92%A7OK%2C%20King%E2%80%99s%20Gold%20stands%20out%20for%20its%20bright%2C%20thread-like%20foliage%20that%20resists%20fading%20even%20in%20hot%2C%20humid%20conditions%20</v>
      </c>
      <c r="BG1161" s="165" t="str">
        <f t="shared" si="828"/>
        <v>m</v>
      </c>
      <c r="BH1161" s="65"/>
      <c r="BI1161" s="65"/>
      <c r="BJ1161" s="65"/>
      <c r="BK1161" s="65"/>
      <c r="BL1161" s="99"/>
      <c r="BM1161" s="99"/>
      <c r="BN1161" s="99"/>
    </row>
    <row r="1162" spans="1:66" s="51" customFormat="1" ht="18" x14ac:dyDescent="0.25">
      <c r="A1162" s="507" t="s">
        <v>2180</v>
      </c>
      <c r="B1162" s="470"/>
      <c r="C1162" s="706"/>
      <c r="D1162" s="471" t="s">
        <v>2181</v>
      </c>
      <c r="E1162" s="472"/>
      <c r="F1162" s="472"/>
      <c r="G1162" s="472"/>
      <c r="H1162" s="622" t="s">
        <v>1076</v>
      </c>
      <c r="I1162" s="473" t="s">
        <v>443</v>
      </c>
      <c r="J1162" s="472"/>
      <c r="K1162" s="472"/>
      <c r="L1162" s="561"/>
      <c r="M1162" s="698" t="s">
        <v>5246</v>
      </c>
      <c r="N1162" s="692" t="str">
        <f>IF(AND(ISTEXT($A1162), ISERROR($A1162+0)), HYPERLINK($BF1162, "Images"), "")</f>
        <v>Images</v>
      </c>
      <c r="O1162" s="694" t="s">
        <v>5247</v>
      </c>
      <c r="P1162" s="475"/>
      <c r="Q1162" s="476"/>
      <c r="R1162" s="476"/>
      <c r="S1162" s="477"/>
      <c r="T1162" s="102">
        <f t="shared" si="816"/>
        <v>0</v>
      </c>
      <c r="U1162" s="78" t="str">
        <f>IF(NOT(ISNUMBER(G1162)), "", VLOOKUP(A1162,'Discount Lookup'!D:E,2,FALSE)*G1162)</f>
        <v/>
      </c>
      <c r="V1162" s="78" t="str">
        <f>IF(NOT(ISNUMBER(G1162)), "", VLOOKUP(A1162,'Discount Lookup'!G:H,2,FALSE)*G1162)</f>
        <v/>
      </c>
      <c r="W1162" s="102">
        <f t="shared" si="817"/>
        <v>0</v>
      </c>
      <c r="X1162" s="102" t="str">
        <f t="shared" si="818"/>
        <v>Golden-Yellow foliage</v>
      </c>
      <c r="Y1162" s="120" t="b">
        <f t="shared" si="819"/>
        <v>0</v>
      </c>
      <c r="Z1162" s="117">
        <f t="shared" si="820"/>
        <v>0</v>
      </c>
      <c r="AA1162" s="118"/>
      <c r="AB1162" s="118" t="str">
        <f t="shared" si="821"/>
        <v/>
      </c>
      <c r="AC1162" s="712" t="str">
        <f>IF(AE1162="T2G","no charge",IF(AND(OR(PlanterYesMe="No",PlanterYesMe="N",PlanterYesMe="me"),H1162=""),"",IF(H1162="credit","NO install",IF(AND(K1162="",AE1162="me"),"EACH row",IF(AND(K1162="images",AE1162="me"),"EACH row",IF(D1162="","",IF(H1162="credit","",IF(AE1162="free","re-planting",IF(AE1162="me","   not ELP, by",IF(AND(OR(PlanterYesMe="Yes",PlanterYesMe="Y"),G1162&gt;0),(VLOOKUP(A1162,'Discount Lookup'!J:K,2)*G1162*(1-PlanterDiscount)*(1+PlanterDifficultyPercentage)),IF(AE1162="ELP",(VLOOKUP(A1162,'Discount Lookup'!J:K,2)*G1162*(1-PlanterDiscount)*(1+PlanterDifficultyPercentage)),IF(AE1162="free","re-planting",IF(G1162=0,"",IF(PlanterYesMe="",IF(AE1162="me","   not ELP, by",IF(AE1162="",IF(G1162&gt;0,(VLOOKUP(A1162,'Discount Lookup'!J:K,2)*G1162*(1-PlanterDiscount)*(1+PlanterDifficultyPercentage)),""),"")),"   not ELP, by"))))))))))))))</f>
        <v/>
      </c>
      <c r="AD1162" s="712"/>
      <c r="AE1162" s="513" t="str">
        <f t="shared" si="822"/>
        <v/>
      </c>
      <c r="AF1162" s="713" t="str">
        <f t="shared" si="823"/>
        <v/>
      </c>
      <c r="AG1162" s="713"/>
      <c r="AH1162" s="713"/>
      <c r="AI1162" s="112">
        <f>IF(H1162="credit",0,IF(AE1162="free",0,IF(AE1162="me",0,IF(G1162&gt;0,(VLOOKUP(A1162,'Discount Lookup'!J:K,2)*G1162),0))))</f>
        <v>0</v>
      </c>
      <c r="AJ1162" s="107" t="str">
        <f t="shared" ca="1" si="824"/>
        <v/>
      </c>
      <c r="AK1162" s="714" t="str">
        <f t="shared" si="825"/>
        <v/>
      </c>
      <c r="AL1162" s="714"/>
      <c r="AM1162" s="114" t="str">
        <f t="shared" si="826"/>
        <v/>
      </c>
      <c r="AN1162" s="115"/>
      <c r="AO1162" s="116"/>
      <c r="AP1162" s="116"/>
      <c r="AQ1162" s="116"/>
      <c r="AR1162" s="116"/>
      <c r="AS1162" s="116"/>
      <c r="AT1162" s="116"/>
      <c r="AU1162" s="116"/>
      <c r="AV1162" s="78"/>
      <c r="AW1162" s="102"/>
      <c r="AX1162" s="78"/>
      <c r="AY1162" s="78"/>
      <c r="AZ1162" s="78"/>
      <c r="BA1162" s="78"/>
      <c r="BB1162" s="78"/>
      <c r="BC1162" s="78"/>
      <c r="BD1162" s="78"/>
      <c r="BE1162" s="465"/>
      <c r="BF1162" s="165" t="str">
        <f t="shared" si="827"/>
        <v>https://www.google.com/search?tbm=isch&amp;q=Chamaecyparis%20pisifera%20%27Vintage%20Gold%27%20PP%2316418%20Vintage%20Gold%20Cypress</v>
      </c>
      <c r="BG1162" s="165" t="str">
        <f t="shared" si="828"/>
        <v>C</v>
      </c>
      <c r="BH1162" s="65"/>
      <c r="BI1162" s="65"/>
      <c r="BJ1162" s="65"/>
      <c r="BK1162" s="65"/>
      <c r="BL1162" s="99"/>
      <c r="BM1162" s="99"/>
      <c r="BN1162" s="99"/>
    </row>
    <row r="1163" spans="1:66" s="51" customFormat="1" ht="15.75" x14ac:dyDescent="0.25">
      <c r="A1163" s="478">
        <v>3</v>
      </c>
      <c r="B1163" s="479" t="s">
        <v>291</v>
      </c>
      <c r="C1163" s="480" t="s">
        <v>337</v>
      </c>
      <c r="D1163" s="481" t="s">
        <v>310</v>
      </c>
      <c r="E1163" s="482">
        <v>27.95</v>
      </c>
      <c r="F1163" s="483" t="s">
        <v>292</v>
      </c>
      <c r="G1163" s="484">
        <v>0</v>
      </c>
      <c r="H1163" s="688" t="str">
        <f>IF(G1163=0,"",IF(F1163="Buy",IF(G1163=1,"plant","plants"),IF(F1163&gt;0.01,"warranty","Error")))</f>
        <v/>
      </c>
      <c r="I1163" s="485">
        <f>IF(H1163="free",0,IF(H1163="credit",((E1163*(F1163))*G1163*-1),IF(F1163="Buy",(E1163*G1163),((E1163*(1-F1163))*G1163))))</f>
        <v>0</v>
      </c>
      <c r="J1163" s="485">
        <f>IF(H1163="warranty",0,(I1163*(_xlfn.SINGLE(SalesTaxPercentage))))</f>
        <v>0</v>
      </c>
      <c r="K1163" s="715">
        <f t="shared" ref="K1163" si="862">I1163+J1163</f>
        <v>0</v>
      </c>
      <c r="L1163" s="715"/>
      <c r="M1163" s="689" t="str">
        <f ca="1">IF(AND(G1163&gt;0,E1163=0),"WARNING - no PRICE inserted",IF(H1163="free","FREE ~ no charge this plant",IF(H1163="credit",CONCATENATE("-$",ROUND(K1163*(1-_xlfn.SINGLE(T2GDiscount))*-1,2)," CREDIT after discount"),IF(_xlfn.SINGLE(T2GDiscount)=0,"",IF(G1163=0,"",IF(F1163="Buy",CONCATENATE("$",ROUND(K1163*(1-_xlfn.SINGLE(T2GDiscount)),2)," with ",(_xlfn.SINGLE(T2GDiscount)*100),"% discount"),CONCATENATE("$",ROUND(K1163*(1-_xlfn.SINGLE(T2GDiscount)),2)," with ",((_xlfn.SINGLE(T2GDiscount)*100+F1163*100)-(_xlfn.SINGLE(T2GDiscount)*100*F1163)),IF(F1163&gt;0,"% discounts",IF(_xlfn.SINGLE(NoWarrantyDiscount)&gt;0,"% discounts","% discount")))))))))</f>
        <v/>
      </c>
      <c r="N1163" s="690"/>
      <c r="O1163" s="486"/>
      <c r="P1163" s="486"/>
      <c r="Q1163" s="486"/>
      <c r="R1163" s="486"/>
      <c r="S1163" s="486"/>
      <c r="T1163" s="102">
        <f t="shared" si="816"/>
        <v>0</v>
      </c>
      <c r="U1163" s="78">
        <f>IF(NOT(ISNUMBER(G1163)), "", VLOOKUP(A1163,'Discount Lookup'!D:E,2,FALSE)*G1163)</f>
        <v>0</v>
      </c>
      <c r="V1163" s="78">
        <f>IF(NOT(ISNUMBER(G1163)), "", VLOOKUP(A1163,'Discount Lookup'!G:H,2,FALSE)*G1163)</f>
        <v>0</v>
      </c>
      <c r="W1163" s="102">
        <f t="shared" si="817"/>
        <v>0</v>
      </c>
      <c r="X1163" s="102">
        <f t="shared" si="818"/>
        <v>0</v>
      </c>
      <c r="Y1163" s="120" t="b">
        <f t="shared" si="819"/>
        <v>0</v>
      </c>
      <c r="Z1163" s="117">
        <f t="shared" si="820"/>
        <v>0</v>
      </c>
      <c r="AA1163" s="118"/>
      <c r="AB1163" s="118" t="str">
        <f t="shared" si="821"/>
        <v/>
      </c>
      <c r="AC1163" s="712" t="str">
        <f>IF(AE1163="T2G","no charge",IF(AND(OR(PlanterYesMe="No",PlanterYesMe="N",PlanterYesMe="me"),H1163=""),"",IF(H1163="credit","NO install",IF(AND(K1163="",AE1163="me"),"EACH row",IF(AND(K1163="images",AE1163="me"),"EACH row",IF(D1163="","",IF(H1163="credit","",IF(AE1163="free","re-planting",IF(AE1163="me","   not ELP, by",IF(AND(OR(PlanterYesMe="Yes",PlanterYesMe="Y"),G1163&gt;0),(VLOOKUP(A1163,'Discount Lookup'!J:K,2)*G1163*(1-PlanterDiscount)*(1+PlanterDifficultyPercentage)),IF(AE1163="ELP",(VLOOKUP(A1163,'Discount Lookup'!J:K,2)*G1163*(1-PlanterDiscount)*(1+PlanterDifficultyPercentage)),IF(AE1163="free","re-planting",IF(G1163=0,"",IF(PlanterYesMe="",IF(AE1163="me","   not ELP, by",IF(AE1163="",IF(G1163&gt;0,(VLOOKUP(A1163,'Discount Lookup'!J:K,2)*G1163*(1-PlanterDiscount)*(1+PlanterDifficultyPercentage)),""),"")),"   not ELP, by"))))))))))))))</f>
        <v/>
      </c>
      <c r="AD1163" s="712"/>
      <c r="AE1163" s="513" t="str">
        <f t="shared" si="822"/>
        <v/>
      </c>
      <c r="AF1163" s="713" t="str">
        <f t="shared" si="823"/>
        <v/>
      </c>
      <c r="AG1163" s="713"/>
      <c r="AH1163" s="713"/>
      <c r="AI1163" s="112">
        <f>IF(H1163="credit",0,IF(AE1163="free",0,IF(AE1163="me",0,IF(G1163&gt;0,(VLOOKUP(A1163,'Discount Lookup'!J:K,2)*G1163),0))))</f>
        <v>0</v>
      </c>
      <c r="AJ1163" s="107" t="str">
        <f t="shared" ca="1" si="824"/>
        <v/>
      </c>
      <c r="AK1163" s="714" t="str">
        <f t="shared" si="825"/>
        <v/>
      </c>
      <c r="AL1163" s="714"/>
      <c r="AM1163" s="114" t="str">
        <f t="shared" si="826"/>
        <v/>
      </c>
      <c r="AN1163" s="115"/>
      <c r="AO1163" s="116"/>
      <c r="AP1163" s="116"/>
      <c r="AQ1163" s="116"/>
      <c r="AR1163" s="116"/>
      <c r="AS1163" s="116"/>
      <c r="AT1163" s="116"/>
      <c r="AU1163" s="116"/>
      <c r="AV1163" s="78"/>
      <c r="AW1163" s="102"/>
      <c r="AX1163" s="78"/>
      <c r="AY1163" s="78"/>
      <c r="AZ1163" s="78"/>
      <c r="BA1163" s="78"/>
      <c r="BB1163" s="78"/>
      <c r="BC1163" s="78"/>
      <c r="BD1163" s="78"/>
      <c r="BE1163" s="465"/>
      <c r="BF1163" s="165" t="str">
        <f t="shared" si="827"/>
        <v>https://www.google.com/search?tbm=isch&amp;q=3%20G1</v>
      </c>
      <c r="BG1163" s="165" t="str">
        <f t="shared" si="828"/>
        <v>C</v>
      </c>
      <c r="BH1163" s="65"/>
      <c r="BI1163" s="65"/>
      <c r="BJ1163" s="65"/>
      <c r="BK1163" s="65"/>
      <c r="BL1163" s="99"/>
      <c r="BM1163" s="99"/>
      <c r="BN1163" s="99"/>
    </row>
    <row r="1164" spans="1:66" s="51" customFormat="1" ht="15.75" x14ac:dyDescent="0.25">
      <c r="A1164" s="478">
        <v>3</v>
      </c>
      <c r="B1164" s="479" t="s">
        <v>291</v>
      </c>
      <c r="C1164" s="480" t="s">
        <v>2182</v>
      </c>
      <c r="D1164" s="481" t="s">
        <v>293</v>
      </c>
      <c r="E1164" s="482">
        <v>35.950000000000003</v>
      </c>
      <c r="F1164" s="483" t="s">
        <v>292</v>
      </c>
      <c r="G1164" s="484">
        <v>0</v>
      </c>
      <c r="H1164" s="688" t="str">
        <f>IF(G1164=0,"",IF(F1164="Buy",IF(G1164=1,"plant","plants"),IF(F1164&gt;0.01,"warranty","Error")))</f>
        <v/>
      </c>
      <c r="I1164" s="485">
        <f>IF(H1164="free",0,IF(H1164="credit",((E1164*(F1164))*G1164*-1),IF(F1164="Buy",(E1164*G1164),((E1164*(1-F1164))*G1164))))</f>
        <v>0</v>
      </c>
      <c r="J1164" s="485">
        <f>IF(H1164="warranty",0,(I1164*(_xlfn.SINGLE(SalesTaxPercentage))))</f>
        <v>0</v>
      </c>
      <c r="K1164" s="715">
        <f t="shared" ref="K1164" si="863">I1164+J1164</f>
        <v>0</v>
      </c>
      <c r="L1164" s="715"/>
      <c r="M1164" s="689" t="str">
        <f ca="1">IF(AND(G1164&gt;0,E1164=0),"WARNING - no PRICE inserted",IF(H1164="free","FREE ~ no charge this plant",IF(H1164="credit",CONCATENATE("-$",ROUND(K1164*(1-_xlfn.SINGLE(T2GDiscount))*-1,2)," CREDIT after discount"),IF(_xlfn.SINGLE(T2GDiscount)=0,"",IF(G1164=0,"",IF(F1164="Buy",CONCATENATE("$",ROUND(K1164*(1-_xlfn.SINGLE(T2GDiscount)),2)," with ",(_xlfn.SINGLE(T2GDiscount)*100),"% discount"),CONCATENATE("$",ROUND(K1164*(1-_xlfn.SINGLE(T2GDiscount)),2)," with ",((_xlfn.SINGLE(T2GDiscount)*100+F1164*100)-(_xlfn.SINGLE(T2GDiscount)*100*F1164)),IF(F1164&gt;0,"% discounts",IF(_xlfn.SINGLE(NoWarrantyDiscount)&gt;0,"% discounts","% discount")))))))))</f>
        <v/>
      </c>
      <c r="N1164" s="690"/>
      <c r="O1164" s="486"/>
      <c r="P1164" s="486"/>
      <c r="Q1164" s="486"/>
      <c r="R1164" s="486"/>
      <c r="S1164" s="486"/>
      <c r="T1164" s="102">
        <f t="shared" si="816"/>
        <v>0</v>
      </c>
      <c r="U1164" s="78">
        <f>IF(NOT(ISNUMBER(G1164)), "", VLOOKUP(A1164,'Discount Lookup'!D:E,2,FALSE)*G1164)</f>
        <v>0</v>
      </c>
      <c r="V1164" s="78">
        <f>IF(NOT(ISNUMBER(G1164)), "", VLOOKUP(A1164,'Discount Lookup'!G:H,2,FALSE)*G1164)</f>
        <v>0</v>
      </c>
      <c r="W1164" s="102">
        <f t="shared" si="817"/>
        <v>0</v>
      </c>
      <c r="X1164" s="102">
        <f t="shared" si="818"/>
        <v>0</v>
      </c>
      <c r="Y1164" s="120" t="b">
        <f t="shared" si="819"/>
        <v>0</v>
      </c>
      <c r="Z1164" s="117">
        <f t="shared" si="820"/>
        <v>0</v>
      </c>
      <c r="AA1164" s="118"/>
      <c r="AB1164" s="118" t="str">
        <f t="shared" si="821"/>
        <v/>
      </c>
      <c r="AC1164" s="712" t="str">
        <f>IF(AE1164="T2G","no charge",IF(AND(OR(PlanterYesMe="No",PlanterYesMe="N",PlanterYesMe="me"),H1164=""),"",IF(H1164="credit","NO install",IF(AND(K1164="",AE1164="me"),"EACH row",IF(AND(K1164="images",AE1164="me"),"EACH row",IF(D1164="","",IF(H1164="credit","",IF(AE1164="free","re-planting",IF(AE1164="me","   not ELP, by",IF(AND(OR(PlanterYesMe="Yes",PlanterYesMe="Y"),G1164&gt;0),(VLOOKUP(A1164,'Discount Lookup'!J:K,2)*G1164*(1-PlanterDiscount)*(1+PlanterDifficultyPercentage)),IF(AE1164="ELP",(VLOOKUP(A1164,'Discount Lookup'!J:K,2)*G1164*(1-PlanterDiscount)*(1+PlanterDifficultyPercentage)),IF(AE1164="free","re-planting",IF(G1164=0,"",IF(PlanterYesMe="",IF(AE1164="me","   not ELP, by",IF(AE1164="",IF(G1164&gt;0,(VLOOKUP(A1164,'Discount Lookup'!J:K,2)*G1164*(1-PlanterDiscount)*(1+PlanterDifficultyPercentage)),""),"")),"   not ELP, by"))))))))))))))</f>
        <v/>
      </c>
      <c r="AD1164" s="712"/>
      <c r="AE1164" s="513" t="str">
        <f t="shared" si="822"/>
        <v/>
      </c>
      <c r="AF1164" s="713" t="str">
        <f t="shared" si="823"/>
        <v/>
      </c>
      <c r="AG1164" s="713"/>
      <c r="AH1164" s="713"/>
      <c r="AI1164" s="112">
        <f>IF(H1164="credit",0,IF(AE1164="free",0,IF(AE1164="me",0,IF(G1164&gt;0,(VLOOKUP(A1164,'Discount Lookup'!J:K,2)*G1164),0))))</f>
        <v>0</v>
      </c>
      <c r="AJ1164" s="107" t="str">
        <f t="shared" ca="1" si="824"/>
        <v/>
      </c>
      <c r="AK1164" s="714" t="str">
        <f t="shared" si="825"/>
        <v/>
      </c>
      <c r="AL1164" s="714"/>
      <c r="AM1164" s="114" t="str">
        <f t="shared" si="826"/>
        <v/>
      </c>
      <c r="AN1164" s="115"/>
      <c r="AO1164" s="116"/>
      <c r="AP1164" s="116"/>
      <c r="AQ1164" s="116"/>
      <c r="AR1164" s="116"/>
      <c r="AS1164" s="116"/>
      <c r="AT1164" s="116"/>
      <c r="AU1164" s="116"/>
      <c r="AV1164" s="78"/>
      <c r="AW1164" s="102"/>
      <c r="AX1164" s="78"/>
      <c r="AY1164" s="78"/>
      <c r="AZ1164" s="78"/>
      <c r="BA1164" s="78"/>
      <c r="BB1164" s="78"/>
      <c r="BC1164" s="78"/>
      <c r="BD1164" s="78"/>
      <c r="BE1164" s="465"/>
      <c r="BF1164" s="165" t="str">
        <f t="shared" si="827"/>
        <v>https://www.google.com/search?tbm=isch&amp;q=3%20G6</v>
      </c>
      <c r="BG1164" s="165" t="str">
        <f t="shared" si="828"/>
        <v>C</v>
      </c>
      <c r="BH1164" s="65"/>
      <c r="BI1164" s="65"/>
      <c r="BJ1164" s="65"/>
      <c r="BK1164" s="65"/>
      <c r="BL1164" s="99"/>
      <c r="BM1164" s="99"/>
      <c r="BN1164" s="99"/>
    </row>
    <row r="1165" spans="1:66" s="51" customFormat="1" ht="16.5" x14ac:dyDescent="0.25">
      <c r="A1165" s="508" t="s">
        <v>2183</v>
      </c>
      <c r="B1165" s="487"/>
      <c r="C1165" s="707"/>
      <c r="D1165" s="487"/>
      <c r="E1165" s="487"/>
      <c r="F1165" s="488"/>
      <c r="G1165" s="489"/>
      <c r="H1165" s="487"/>
      <c r="I1165" s="490"/>
      <c r="J1165" s="490"/>
      <c r="K1165" s="491"/>
      <c r="L1165" s="547"/>
      <c r="M1165" s="528"/>
      <c r="N1165" s="492"/>
      <c r="O1165" s="493"/>
      <c r="P1165" s="494"/>
      <c r="Q1165" s="492"/>
      <c r="R1165" s="492"/>
      <c r="S1165" s="699" t="s">
        <v>5268</v>
      </c>
      <c r="T1165" s="102">
        <f t="shared" si="816"/>
        <v>0</v>
      </c>
      <c r="U1165" s="78" t="str">
        <f>IF(NOT(ISNUMBER(G1165)), "", VLOOKUP(A1165,'Discount Lookup'!D:E,2,FALSE)*G1165)</f>
        <v/>
      </c>
      <c r="V1165" s="78" t="str">
        <f>IF(NOT(ISNUMBER(G1165)), "", VLOOKUP(A1165,'Discount Lookup'!G:H,2,FALSE)*G1165)</f>
        <v/>
      </c>
      <c r="W1165" s="102">
        <f t="shared" si="817"/>
        <v>0</v>
      </c>
      <c r="X1165" s="102">
        <f t="shared" si="818"/>
        <v>0</v>
      </c>
      <c r="Y1165" s="120" t="b">
        <f t="shared" si="819"/>
        <v>0</v>
      </c>
      <c r="Z1165" s="117">
        <f t="shared" si="820"/>
        <v>0</v>
      </c>
      <c r="AA1165" s="118"/>
      <c r="AB1165" s="118" t="str">
        <f t="shared" si="821"/>
        <v/>
      </c>
      <c r="AC1165" s="712" t="str">
        <f>IF(AE1165="T2G","no charge",IF(AND(OR(PlanterYesMe="No",PlanterYesMe="N",PlanterYesMe="me"),H1165=""),"",IF(H1165="credit","NO install",IF(AND(K1165="",AE1165="me"),"EACH row",IF(AND(K1165="images",AE1165="me"),"EACH row",IF(D1165="","",IF(H1165="credit","",IF(AE1165="free","re-planting",IF(AE1165="me","   not ELP, by",IF(AND(OR(PlanterYesMe="Yes",PlanterYesMe="Y"),G1165&gt;0),(VLOOKUP(A1165,'Discount Lookup'!J:K,2)*G1165*(1-PlanterDiscount)*(1+PlanterDifficultyPercentage)),IF(AE1165="ELP",(VLOOKUP(A1165,'Discount Lookup'!J:K,2)*G1165*(1-PlanterDiscount)*(1+PlanterDifficultyPercentage)),IF(AE1165="free","re-planting",IF(G1165=0,"",IF(PlanterYesMe="",IF(AE1165="me","   not ELP, by",IF(AE1165="",IF(G1165&gt;0,(VLOOKUP(A1165,'Discount Lookup'!J:K,2)*G1165*(1-PlanterDiscount)*(1+PlanterDifficultyPercentage)),""),"")),"   not ELP, by"))))))))))))))</f>
        <v/>
      </c>
      <c r="AD1165" s="712"/>
      <c r="AE1165" s="513" t="str">
        <f t="shared" si="822"/>
        <v/>
      </c>
      <c r="AF1165" s="713" t="str">
        <f t="shared" si="823"/>
        <v/>
      </c>
      <c r="AG1165" s="713"/>
      <c r="AH1165" s="713"/>
      <c r="AI1165" s="112">
        <f>IF(H1165="credit",0,IF(AE1165="free",0,IF(AE1165="me",0,IF(G1165&gt;0,(VLOOKUP(A1165,'Discount Lookup'!J:K,2)*G1165),0))))</f>
        <v>0</v>
      </c>
      <c r="AJ1165" s="107" t="str">
        <f t="shared" ca="1" si="824"/>
        <v/>
      </c>
      <c r="AK1165" s="714" t="str">
        <f t="shared" si="825"/>
        <v/>
      </c>
      <c r="AL1165" s="714"/>
      <c r="AM1165" s="114" t="str">
        <f t="shared" si="826"/>
        <v/>
      </c>
      <c r="AN1165" s="115"/>
      <c r="AO1165" s="116"/>
      <c r="AP1165" s="116"/>
      <c r="AQ1165" s="116"/>
      <c r="AR1165" s="116"/>
      <c r="AS1165" s="116"/>
      <c r="AT1165" s="116"/>
      <c r="AU1165" s="116"/>
      <c r="AV1165" s="78"/>
      <c r="AW1165" s="102"/>
      <c r="AX1165" s="78"/>
      <c r="AY1165" s="78"/>
      <c r="AZ1165" s="78"/>
      <c r="BA1165" s="78"/>
      <c r="BB1165" s="78"/>
      <c r="BC1165" s="78"/>
      <c r="BD1165" s="78"/>
      <c r="BE1165" s="465"/>
      <c r="BF1165" s="165" t="str">
        <f t="shared" si="827"/>
        <v>https://www.google.com/search?tbm=isch&amp;q=Vintage%20Gold%20has%20delicate%2C%20thread-like%20foliage%20that%20glows%20with%20a%20rich%20Golden%20color%20%2C%20then%20a%20Bronze%20tint%20in%20colder%20weather%20</v>
      </c>
      <c r="BG1165" s="165" t="str">
        <f t="shared" si="828"/>
        <v>V</v>
      </c>
      <c r="BH1165" s="65"/>
      <c r="BI1165" s="65"/>
      <c r="BJ1165" s="65"/>
      <c r="BK1165" s="65"/>
      <c r="BL1165" s="99"/>
      <c r="BM1165" s="99"/>
      <c r="BN1165" s="99"/>
    </row>
    <row r="1166" spans="1:66" s="51" customFormat="1" ht="19.5" thickBot="1" x14ac:dyDescent="0.3">
      <c r="A1166" s="686" t="s">
        <v>387</v>
      </c>
      <c r="B1166" s="73"/>
      <c r="C1166" s="708"/>
      <c r="D1166" s="73"/>
      <c r="E1166" s="73"/>
      <c r="F1166" s="496"/>
      <c r="G1166" s="73"/>
      <c r="H1166" s="73"/>
      <c r="I1166" s="73"/>
      <c r="J1166" s="497" t="s">
        <v>357</v>
      </c>
      <c r="K1166" s="498"/>
      <c r="L1166" s="562"/>
      <c r="M1166" s="73"/>
      <c r="N1166"/>
      <c r="O1166"/>
      <c r="P1166"/>
      <c r="Q1166"/>
      <c r="R1166"/>
      <c r="S1166"/>
      <c r="T1166" s="102">
        <f t="shared" si="816"/>
        <v>0</v>
      </c>
      <c r="U1166" s="78" t="str">
        <f>IF(NOT(ISNUMBER(G1166)), "", VLOOKUP(A1166,'Discount Lookup'!D:E,2,FALSE)*G1166)</f>
        <v/>
      </c>
      <c r="V1166" s="78" t="str">
        <f>IF(NOT(ISNUMBER(G1166)), "", VLOOKUP(A1166,'Discount Lookup'!G:H,2,FALSE)*G1166)</f>
        <v/>
      </c>
      <c r="W1166" s="102">
        <f t="shared" si="817"/>
        <v>0</v>
      </c>
      <c r="X1166" s="102">
        <f t="shared" si="818"/>
        <v>0</v>
      </c>
      <c r="Y1166" s="120" t="b">
        <f t="shared" si="819"/>
        <v>0</v>
      </c>
      <c r="Z1166" s="117">
        <f t="shared" si="820"/>
        <v>0</v>
      </c>
      <c r="AA1166" s="118"/>
      <c r="AB1166" s="118" t="str">
        <f t="shared" si="821"/>
        <v/>
      </c>
      <c r="AC1166" s="712" t="str">
        <f>IF(AE1166="T2G","no charge",IF(AND(OR(PlanterYesMe="No",PlanterYesMe="N",PlanterYesMe="me"),H1166=""),"",IF(H1166="credit","NO install",IF(AND(K1166="",AE1166="me"),"EACH row",IF(AND(K1166="images",AE1166="me"),"EACH row",IF(D1166="","",IF(H1166="credit","",IF(AE1166="free","re-planting",IF(AE1166="me","   not ELP, by",IF(AND(OR(PlanterYesMe="Yes",PlanterYesMe="Y"),G1166&gt;0),(VLOOKUP(A1166,'Discount Lookup'!J:K,2)*G1166*(1-PlanterDiscount)*(1+PlanterDifficultyPercentage)),IF(AE1166="ELP",(VLOOKUP(A1166,'Discount Lookup'!J:K,2)*G1166*(1-PlanterDiscount)*(1+PlanterDifficultyPercentage)),IF(AE1166="free","re-planting",IF(G1166=0,"",IF(PlanterYesMe="",IF(AE1166="me","   not ELP, by",IF(AE1166="",IF(G1166&gt;0,(VLOOKUP(A1166,'Discount Lookup'!J:K,2)*G1166*(1-PlanterDiscount)*(1+PlanterDifficultyPercentage)),""),"")),"   not ELP, by"))))))))))))))</f>
        <v/>
      </c>
      <c r="AD1166" s="712"/>
      <c r="AE1166" s="513" t="str">
        <f t="shared" si="822"/>
        <v/>
      </c>
      <c r="AF1166" s="713" t="str">
        <f t="shared" si="823"/>
        <v/>
      </c>
      <c r="AG1166" s="713"/>
      <c r="AH1166" s="713"/>
      <c r="AI1166" s="112">
        <f>IF(H1166="credit",0,IF(AE1166="free",0,IF(AE1166="me",0,IF(G1166&gt;0,(VLOOKUP(A1166,'Discount Lookup'!J:K,2)*G1166),0))))</f>
        <v>0</v>
      </c>
      <c r="AJ1166" s="107" t="str">
        <f t="shared" ca="1" si="824"/>
        <v/>
      </c>
      <c r="AK1166" s="714" t="str">
        <f t="shared" si="825"/>
        <v/>
      </c>
      <c r="AL1166" s="714"/>
      <c r="AM1166" s="114" t="str">
        <f t="shared" si="826"/>
        <v/>
      </c>
      <c r="AN1166" s="115"/>
      <c r="AO1166" s="116"/>
      <c r="AP1166" s="116"/>
      <c r="AQ1166" s="116"/>
      <c r="AR1166" s="116"/>
      <c r="AS1166" s="116"/>
      <c r="AT1166" s="116"/>
      <c r="AU1166" s="116"/>
      <c r="AV1166" s="78"/>
      <c r="AW1166" s="102"/>
      <c r="AX1166" s="78"/>
      <c r="AY1166" s="78"/>
      <c r="AZ1166" s="78"/>
      <c r="BA1166" s="78"/>
      <c r="BB1166" s="78"/>
      <c r="BC1166" s="78"/>
      <c r="BD1166" s="78"/>
      <c r="BE1166" s="465"/>
      <c r="BF1166" s="165" t="str">
        <f t="shared" si="827"/>
        <v>https://www.google.com/search?tbm=isch&amp;q=Chaste%20%3D%20Chaste%20Tree%20</v>
      </c>
      <c r="BG1166" s="165" t="str">
        <f t="shared" si="828"/>
        <v>C</v>
      </c>
      <c r="BH1166" s="65"/>
      <c r="BI1166" s="65"/>
      <c r="BJ1166" s="65"/>
      <c r="BK1166" s="65"/>
      <c r="BL1166" s="99"/>
      <c r="BM1166" s="99"/>
      <c r="BN1166" s="99"/>
    </row>
    <row r="1167" spans="1:66" s="51" customFormat="1" ht="18" x14ac:dyDescent="0.25">
      <c r="A1167" s="623" t="s">
        <v>2184</v>
      </c>
      <c r="B1167" s="624"/>
      <c r="C1167" s="709"/>
      <c r="D1167" s="625" t="s">
        <v>2185</v>
      </c>
      <c r="E1167" s="626"/>
      <c r="F1167" s="626"/>
      <c r="G1167" s="626"/>
      <c r="H1167" s="622" t="s">
        <v>1147</v>
      </c>
      <c r="I1167" s="627" t="s">
        <v>2186</v>
      </c>
      <c r="J1167" s="628"/>
      <c r="K1167" s="628"/>
      <c r="L1167" s="629"/>
      <c r="M1167" s="700" t="s">
        <v>5241</v>
      </c>
      <c r="N1167" s="693" t="str">
        <f>IF(AND(ISTEXT($A1167), ISERROR($A1167+0)), HYPERLINK($BF1167, "Images"), "")</f>
        <v>Images</v>
      </c>
      <c r="O1167" s="695" t="s">
        <v>5244</v>
      </c>
      <c r="P1167" s="630"/>
      <c r="Q1167" s="631"/>
      <c r="R1167" s="632"/>
      <c r="S1167" s="633"/>
      <c r="T1167" s="102">
        <f t="shared" si="816"/>
        <v>0</v>
      </c>
      <c r="U1167" s="78" t="str">
        <f>IF(NOT(ISNUMBER(G1167)), "", VLOOKUP(A1167,'Discount Lookup'!D:E,2,FALSE)*G1167)</f>
        <v/>
      </c>
      <c r="V1167" s="78" t="str">
        <f>IF(NOT(ISNUMBER(G1167)), "", VLOOKUP(A1167,'Discount Lookup'!G:H,2,FALSE)*G1167)</f>
        <v/>
      </c>
      <c r="W1167" s="102">
        <f t="shared" si="817"/>
        <v>0</v>
      </c>
      <c r="X1167" s="102" t="str">
        <f t="shared" si="818"/>
        <v>Lavendar-Blue bloom</v>
      </c>
      <c r="Y1167" s="120" t="b">
        <f t="shared" si="819"/>
        <v>0</v>
      </c>
      <c r="Z1167" s="117">
        <f t="shared" si="820"/>
        <v>0</v>
      </c>
      <c r="AA1167" s="118"/>
      <c r="AB1167" s="118" t="str">
        <f t="shared" si="821"/>
        <v/>
      </c>
      <c r="AC1167" s="712" t="str">
        <f>IF(AE1167="T2G","no charge",IF(AND(OR(PlanterYesMe="No",PlanterYesMe="N",PlanterYesMe="me"),H1167=""),"",IF(H1167="credit","NO install",IF(AND(K1167="",AE1167="me"),"EACH row",IF(AND(K1167="images",AE1167="me"),"EACH row",IF(D1167="","",IF(H1167="credit","",IF(AE1167="free","re-planting",IF(AE1167="me","   not ELP, by",IF(AND(OR(PlanterYesMe="Yes",PlanterYesMe="Y"),G1167&gt;0),(VLOOKUP(A1167,'Discount Lookup'!J:K,2)*G1167*(1-PlanterDiscount)*(1+PlanterDifficultyPercentage)),IF(AE1167="ELP",(VLOOKUP(A1167,'Discount Lookup'!J:K,2)*G1167*(1-PlanterDiscount)*(1+PlanterDifficultyPercentage)),IF(AE1167="free","re-planting",IF(G1167=0,"",IF(PlanterYesMe="",IF(AE1167="me","   not ELP, by",IF(AE1167="",IF(G1167&gt;0,(VLOOKUP(A1167,'Discount Lookup'!J:K,2)*G1167*(1-PlanterDiscount)*(1+PlanterDifficultyPercentage)),""),"")),"   not ELP, by"))))))))))))))</f>
        <v/>
      </c>
      <c r="AD1167" s="712"/>
      <c r="AE1167" s="513" t="str">
        <f t="shared" si="822"/>
        <v/>
      </c>
      <c r="AF1167" s="713" t="str">
        <f t="shared" si="823"/>
        <v/>
      </c>
      <c r="AG1167" s="713"/>
      <c r="AH1167" s="713"/>
      <c r="AI1167" s="112">
        <f>IF(H1167="credit",0,IF(AE1167="free",0,IF(AE1167="me",0,IF(G1167&gt;0,(VLOOKUP(A1167,'Discount Lookup'!J:K,2)*G1167),0))))</f>
        <v>0</v>
      </c>
      <c r="AJ1167" s="107" t="str">
        <f t="shared" ca="1" si="824"/>
        <v/>
      </c>
      <c r="AK1167" s="714" t="str">
        <f t="shared" si="825"/>
        <v/>
      </c>
      <c r="AL1167" s="714"/>
      <c r="AM1167" s="114" t="str">
        <f t="shared" si="826"/>
        <v/>
      </c>
      <c r="AN1167" s="115"/>
      <c r="AO1167" s="116"/>
      <c r="AP1167" s="116"/>
      <c r="AQ1167" s="116"/>
      <c r="AR1167" s="116"/>
      <c r="AS1167" s="116"/>
      <c r="AT1167" s="116"/>
      <c r="AU1167" s="116"/>
      <c r="AV1167" s="78"/>
      <c r="AW1167" s="102"/>
      <c r="AX1167" s="78"/>
      <c r="AY1167" s="78"/>
      <c r="AZ1167" s="78"/>
      <c r="BA1167" s="78"/>
      <c r="BB1167" s="78"/>
      <c r="BC1167" s="78"/>
      <c r="BD1167" s="78"/>
      <c r="BE1167" s="465"/>
      <c r="BF1167" s="165" t="str">
        <f t="shared" si="827"/>
        <v>https://www.google.com/search?tbm=isch&amp;q=Chaste%20agnus-castus%20%27Lecompte%27%20Lecompte%20Chaste%20Tree</v>
      </c>
      <c r="BG1167" s="165" t="str">
        <f t="shared" si="828"/>
        <v>C</v>
      </c>
      <c r="BH1167" s="65"/>
      <c r="BI1167" s="65"/>
      <c r="BJ1167" s="65"/>
      <c r="BK1167" s="65"/>
      <c r="BL1167" s="99"/>
      <c r="BM1167" s="99"/>
      <c r="BN1167" s="99"/>
    </row>
    <row r="1168" spans="1:66" s="51" customFormat="1" ht="15.75" x14ac:dyDescent="0.25">
      <c r="A1168" s="634">
        <v>3</v>
      </c>
      <c r="B1168" s="635" t="s">
        <v>291</v>
      </c>
      <c r="C1168" s="636"/>
      <c r="D1168" s="637" t="s">
        <v>310</v>
      </c>
      <c r="E1168" s="638">
        <v>25.95</v>
      </c>
      <c r="F1168" s="639" t="s">
        <v>292</v>
      </c>
      <c r="G1168" s="484">
        <v>0</v>
      </c>
      <c r="H1168" s="691" t="str">
        <f>IF(G1168=0,"",IF(F1168="Buy",IF(G1168=1,"plant","plants"),IF(F1168&gt;0.01,"warranty","Error")))</f>
        <v/>
      </c>
      <c r="I1168" s="640">
        <f>IF(H1168="free",0,IF(H1168="credit",((E1168*(F1168))*G1168*-1),IF(F1168="Buy",(E1168*G1168),((E1168*(1-F1168))*G1168))))</f>
        <v>0</v>
      </c>
      <c r="J1168" s="640">
        <f>IF(H1168="warranty",0,(I1168*(_xlfn.SINGLE(SalesTaxPercentage))))</f>
        <v>0</v>
      </c>
      <c r="K1168" s="716">
        <f t="shared" ref="K1168" si="864">I1168+J1168</f>
        <v>0</v>
      </c>
      <c r="L1168" s="716"/>
      <c r="M1168" s="689" t="str">
        <f ca="1">IF(AND(G1168&gt;0,E1168=0),"WARNING - no PRICE inserted",IF(H1168="free","FREE ~ no charge this plant",IF(H1168="credit",CONCATENATE("-$",ROUND(K1168*(1-_xlfn.SINGLE(T2GDiscount))*-1,2)," CREDIT after discount"),IF(_xlfn.SINGLE(T2GDiscount)=0,"",IF(G1168=0,"",IF(F1168="Buy",CONCATENATE("$",ROUND(K1168*(1-_xlfn.SINGLE(T2GDiscount)),2)," with ",(_xlfn.SINGLE(T2GDiscount)*100),"% discount"),CONCATENATE("$",ROUND(K1168*(1-_xlfn.SINGLE(T2GDiscount)),2)," with ",((_xlfn.SINGLE(T2GDiscount)*100+F1168*100)-(_xlfn.SINGLE(T2GDiscount)*100*F1168)),IF(F1168&gt;0,"% discounts",IF(_xlfn.SINGLE(NoWarrantyDiscount)&gt;0,"% discounts","% discount")))))))))</f>
        <v/>
      </c>
      <c r="N1168" s="690"/>
      <c r="O1168" s="486"/>
      <c r="P1168" s="486"/>
      <c r="Q1168" s="486"/>
      <c r="R1168" s="486"/>
      <c r="S1168" s="486"/>
      <c r="T1168" s="102">
        <f t="shared" si="816"/>
        <v>0</v>
      </c>
      <c r="U1168" s="78">
        <f>IF(NOT(ISNUMBER(G1168)), "", VLOOKUP(A1168,'Discount Lookup'!D:E,2,FALSE)*G1168)</f>
        <v>0</v>
      </c>
      <c r="V1168" s="78">
        <f>IF(NOT(ISNUMBER(G1168)), "", VLOOKUP(A1168,'Discount Lookup'!G:H,2,FALSE)*G1168)</f>
        <v>0</v>
      </c>
      <c r="W1168" s="102">
        <f t="shared" si="817"/>
        <v>0</v>
      </c>
      <c r="X1168" s="102">
        <f t="shared" si="818"/>
        <v>0</v>
      </c>
      <c r="Y1168" s="120" t="b">
        <f t="shared" si="819"/>
        <v>0</v>
      </c>
      <c r="Z1168" s="117">
        <f t="shared" si="820"/>
        <v>0</v>
      </c>
      <c r="AA1168" s="118"/>
      <c r="AB1168" s="118" t="str">
        <f t="shared" si="821"/>
        <v/>
      </c>
      <c r="AC1168" s="712" t="str">
        <f>IF(AE1168="T2G","no charge",IF(AND(OR(PlanterYesMe="No",PlanterYesMe="N",PlanterYesMe="me"),H1168=""),"",IF(H1168="credit","NO install",IF(AND(K1168="",AE1168="me"),"EACH row",IF(AND(K1168="images",AE1168="me"),"EACH row",IF(D1168="","",IF(H1168="credit","",IF(AE1168="free","re-planting",IF(AE1168="me","   not ELP, by",IF(AND(OR(PlanterYesMe="Yes",PlanterYesMe="Y"),G1168&gt;0),(VLOOKUP(A1168,'Discount Lookup'!J:K,2)*G1168*(1-PlanterDiscount)*(1+PlanterDifficultyPercentage)),IF(AE1168="ELP",(VLOOKUP(A1168,'Discount Lookup'!J:K,2)*G1168*(1-PlanterDiscount)*(1+PlanterDifficultyPercentage)),IF(AE1168="free","re-planting",IF(G1168=0,"",IF(PlanterYesMe="",IF(AE1168="me","   not ELP, by",IF(AE1168="",IF(G1168&gt;0,(VLOOKUP(A1168,'Discount Lookup'!J:K,2)*G1168*(1-PlanterDiscount)*(1+PlanterDifficultyPercentage)),""),"")),"   not ELP, by"))))))))))))))</f>
        <v/>
      </c>
      <c r="AD1168" s="712"/>
      <c r="AE1168" s="513" t="str">
        <f t="shared" si="822"/>
        <v/>
      </c>
      <c r="AF1168" s="713" t="str">
        <f t="shared" si="823"/>
        <v/>
      </c>
      <c r="AG1168" s="713"/>
      <c r="AH1168" s="713"/>
      <c r="AI1168" s="112">
        <f>IF(H1168="credit",0,IF(AE1168="free",0,IF(AE1168="me",0,IF(G1168&gt;0,(VLOOKUP(A1168,'Discount Lookup'!J:K,2)*G1168),0))))</f>
        <v>0</v>
      </c>
      <c r="AJ1168" s="107" t="str">
        <f t="shared" ca="1" si="824"/>
        <v/>
      </c>
      <c r="AK1168" s="714" t="str">
        <f t="shared" si="825"/>
        <v/>
      </c>
      <c r="AL1168" s="714"/>
      <c r="AM1168" s="114" t="str">
        <f t="shared" si="826"/>
        <v/>
      </c>
      <c r="AN1168" s="115"/>
      <c r="AO1168" s="116"/>
      <c r="AP1168" s="116"/>
      <c r="AQ1168" s="116"/>
      <c r="AR1168" s="116"/>
      <c r="AS1168" s="116"/>
      <c r="AT1168" s="116"/>
      <c r="AU1168" s="116"/>
      <c r="AV1168" s="78"/>
      <c r="AW1168" s="102"/>
      <c r="AX1168" s="78"/>
      <c r="AY1168" s="78"/>
      <c r="AZ1168" s="78"/>
      <c r="BA1168" s="78"/>
      <c r="BB1168" s="78"/>
      <c r="BC1168" s="78"/>
      <c r="BD1168" s="78"/>
      <c r="BE1168" s="465"/>
      <c r="BF1168" s="165" t="str">
        <f t="shared" si="827"/>
        <v>https://www.google.com/search?tbm=isch&amp;q=3%20G1</v>
      </c>
      <c r="BG1168" s="165" t="str">
        <f t="shared" si="828"/>
        <v>C</v>
      </c>
      <c r="BH1168" s="65"/>
      <c r="BI1168" s="65"/>
      <c r="BJ1168" s="65"/>
      <c r="BK1168" s="65"/>
      <c r="BL1168" s="99"/>
      <c r="BM1168" s="99"/>
      <c r="BN1168" s="99"/>
    </row>
    <row r="1169" spans="1:66" s="51" customFormat="1" ht="15.75" x14ac:dyDescent="0.25">
      <c r="A1169" s="634">
        <v>7</v>
      </c>
      <c r="B1169" s="635" t="s">
        <v>291</v>
      </c>
      <c r="C1169" s="636" t="s">
        <v>18</v>
      </c>
      <c r="D1169" s="637" t="s">
        <v>310</v>
      </c>
      <c r="E1169" s="638">
        <v>56.95</v>
      </c>
      <c r="F1169" s="639" t="s">
        <v>292</v>
      </c>
      <c r="G1169" s="484">
        <v>0</v>
      </c>
      <c r="H1169" s="691" t="str">
        <f>IF(G1169=0,"",IF(F1169="Buy",IF(G1169=1,"plant","plants"),IF(F1169&gt;0.01,"warranty","Error")))</f>
        <v/>
      </c>
      <c r="I1169" s="640">
        <f>IF(H1169="free",0,IF(H1169="credit",((E1169*(F1169))*G1169*-1),IF(F1169="Buy",(E1169*G1169),((E1169*(1-F1169))*G1169))))</f>
        <v>0</v>
      </c>
      <c r="J1169" s="640">
        <f>IF(H1169="warranty",0,(I1169*(_xlfn.SINGLE(SalesTaxPercentage))))</f>
        <v>0</v>
      </c>
      <c r="K1169" s="716">
        <f t="shared" ref="K1169" si="865">I1169+J1169</f>
        <v>0</v>
      </c>
      <c r="L1169" s="716"/>
      <c r="M1169" s="689" t="str">
        <f ca="1">IF(AND(G1169&gt;0,E1169=0),"WARNING - no PRICE inserted",IF(H1169="free","FREE ~ no charge this plant",IF(H1169="credit",CONCATENATE("-$",ROUND(K1169*(1-_xlfn.SINGLE(T2GDiscount))*-1,2)," CREDIT after discount"),IF(_xlfn.SINGLE(T2GDiscount)=0,"",IF(G1169=0,"",IF(F1169="Buy",CONCATENATE("$",ROUND(K1169*(1-_xlfn.SINGLE(T2GDiscount)),2)," with ",(_xlfn.SINGLE(T2GDiscount)*100),"% discount"),CONCATENATE("$",ROUND(K1169*(1-_xlfn.SINGLE(T2GDiscount)),2)," with ",((_xlfn.SINGLE(T2GDiscount)*100+F1169*100)-(_xlfn.SINGLE(T2GDiscount)*100*F1169)),IF(F1169&gt;0,"% discounts",IF(_xlfn.SINGLE(NoWarrantyDiscount)&gt;0,"% discounts","% discount")))))))))</f>
        <v/>
      </c>
      <c r="N1169" s="690"/>
      <c r="O1169" s="486"/>
      <c r="P1169" s="486"/>
      <c r="Q1169" s="486"/>
      <c r="R1169" s="486"/>
      <c r="S1169" s="486"/>
      <c r="T1169" s="102">
        <f t="shared" si="816"/>
        <v>0</v>
      </c>
      <c r="U1169" s="78">
        <f>IF(NOT(ISNUMBER(G1169)), "", VLOOKUP(A1169,'Discount Lookup'!D:E,2,FALSE)*G1169)</f>
        <v>0</v>
      </c>
      <c r="V1169" s="78">
        <f>IF(NOT(ISNUMBER(G1169)), "", VLOOKUP(A1169,'Discount Lookup'!G:H,2,FALSE)*G1169)</f>
        <v>0</v>
      </c>
      <c r="W1169" s="102">
        <f t="shared" si="817"/>
        <v>0</v>
      </c>
      <c r="X1169" s="102">
        <f t="shared" si="818"/>
        <v>0</v>
      </c>
      <c r="Y1169" s="120" t="b">
        <f t="shared" si="819"/>
        <v>0</v>
      </c>
      <c r="Z1169" s="117">
        <f t="shared" si="820"/>
        <v>0</v>
      </c>
      <c r="AA1169" s="118"/>
      <c r="AB1169" s="118" t="str">
        <f t="shared" si="821"/>
        <v/>
      </c>
      <c r="AC1169" s="712" t="str">
        <f>IF(AE1169="T2G","no charge",IF(AND(OR(PlanterYesMe="No",PlanterYesMe="N",PlanterYesMe="me"),H1169=""),"",IF(H1169="credit","NO install",IF(AND(K1169="",AE1169="me"),"EACH row",IF(AND(K1169="images",AE1169="me"),"EACH row",IF(D1169="","",IF(H1169="credit","",IF(AE1169="free","re-planting",IF(AE1169="me","   not ELP, by",IF(AND(OR(PlanterYesMe="Yes",PlanterYesMe="Y"),G1169&gt;0),(VLOOKUP(A1169,'Discount Lookup'!J:K,2)*G1169*(1-PlanterDiscount)*(1+PlanterDifficultyPercentage)),IF(AE1169="ELP",(VLOOKUP(A1169,'Discount Lookup'!J:K,2)*G1169*(1-PlanterDiscount)*(1+PlanterDifficultyPercentage)),IF(AE1169="free","re-planting",IF(G1169=0,"",IF(PlanterYesMe="",IF(AE1169="me","   not ELP, by",IF(AE1169="",IF(G1169&gt;0,(VLOOKUP(A1169,'Discount Lookup'!J:K,2)*G1169*(1-PlanterDiscount)*(1+PlanterDifficultyPercentage)),""),"")),"   not ELP, by"))))))))))))))</f>
        <v/>
      </c>
      <c r="AD1169" s="712"/>
      <c r="AE1169" s="513" t="str">
        <f t="shared" si="822"/>
        <v/>
      </c>
      <c r="AF1169" s="713" t="str">
        <f t="shared" si="823"/>
        <v/>
      </c>
      <c r="AG1169" s="713"/>
      <c r="AH1169" s="713"/>
      <c r="AI1169" s="112">
        <f>IF(H1169="credit",0,IF(AE1169="free",0,IF(AE1169="me",0,IF(G1169&gt;0,(VLOOKUP(A1169,'Discount Lookup'!J:K,2)*G1169),0))))</f>
        <v>0</v>
      </c>
      <c r="AJ1169" s="107" t="str">
        <f t="shared" ca="1" si="824"/>
        <v/>
      </c>
      <c r="AK1169" s="714" t="str">
        <f t="shared" si="825"/>
        <v/>
      </c>
      <c r="AL1169" s="714"/>
      <c r="AM1169" s="114" t="str">
        <f t="shared" si="826"/>
        <v/>
      </c>
      <c r="AN1169" s="115"/>
      <c r="AO1169" s="116"/>
      <c r="AP1169" s="116"/>
      <c r="AQ1169" s="116"/>
      <c r="AR1169" s="116"/>
      <c r="AS1169" s="116"/>
      <c r="AT1169" s="116"/>
      <c r="AU1169" s="116"/>
      <c r="AV1169" s="78"/>
      <c r="AW1169" s="102"/>
      <c r="AX1169" s="78"/>
      <c r="AY1169" s="78"/>
      <c r="AZ1169" s="78"/>
      <c r="BA1169" s="78"/>
      <c r="BB1169" s="78"/>
      <c r="BC1169" s="78"/>
      <c r="BD1169" s="78"/>
      <c r="BE1169" s="465"/>
      <c r="BF1169" s="165" t="str">
        <f t="shared" si="827"/>
        <v>https://www.google.com/search?tbm=isch&amp;q=7%20G1</v>
      </c>
      <c r="BG1169" s="165" t="str">
        <f t="shared" si="828"/>
        <v>C</v>
      </c>
      <c r="BH1169" s="65"/>
      <c r="BI1169" s="65"/>
      <c r="BJ1169" s="65"/>
      <c r="BK1169" s="65"/>
      <c r="BL1169" s="99"/>
      <c r="BM1169" s="99"/>
      <c r="BN1169" s="99"/>
    </row>
    <row r="1170" spans="1:66" s="51" customFormat="1" ht="17.25" thickBot="1" x14ac:dyDescent="0.3">
      <c r="A1170" s="641" t="s">
        <v>2187</v>
      </c>
      <c r="B1170" s="642"/>
      <c r="C1170" s="710"/>
      <c r="D1170" s="643"/>
      <c r="E1170" s="643"/>
      <c r="F1170" s="644"/>
      <c r="G1170" s="645"/>
      <c r="H1170" s="646"/>
      <c r="I1170" s="647"/>
      <c r="J1170" s="648"/>
      <c r="K1170" s="649"/>
      <c r="L1170" s="650"/>
      <c r="M1170" s="650"/>
      <c r="N1170" s="644"/>
      <c r="O1170" s="644"/>
      <c r="P1170" s="644"/>
      <c r="Q1170" s="644"/>
      <c r="R1170" s="644"/>
      <c r="S1170" s="701" t="s">
        <v>5267</v>
      </c>
      <c r="T1170" s="102">
        <f t="shared" si="816"/>
        <v>0</v>
      </c>
      <c r="U1170" s="78" t="str">
        <f>IF(NOT(ISNUMBER(G1170)), "", VLOOKUP(A1170,'Discount Lookup'!D:E,2,FALSE)*G1170)</f>
        <v/>
      </c>
      <c r="V1170" s="78" t="str">
        <f>IF(NOT(ISNUMBER(G1170)), "", VLOOKUP(A1170,'Discount Lookup'!G:H,2,FALSE)*G1170)</f>
        <v/>
      </c>
      <c r="W1170" s="102">
        <f t="shared" si="817"/>
        <v>0</v>
      </c>
      <c r="X1170" s="102">
        <f t="shared" si="818"/>
        <v>0</v>
      </c>
      <c r="Y1170" s="120" t="b">
        <f t="shared" si="819"/>
        <v>0</v>
      </c>
      <c r="Z1170" s="117">
        <f t="shared" si="820"/>
        <v>0</v>
      </c>
      <c r="AA1170" s="118"/>
      <c r="AB1170" s="118" t="str">
        <f t="shared" si="821"/>
        <v/>
      </c>
      <c r="AC1170" s="712" t="str">
        <f>IF(AE1170="T2G","no charge",IF(AND(OR(PlanterYesMe="No",PlanterYesMe="N",PlanterYesMe="me"),H1170=""),"",IF(H1170="credit","NO install",IF(AND(K1170="",AE1170="me"),"EACH row",IF(AND(K1170="images",AE1170="me"),"EACH row",IF(D1170="","",IF(H1170="credit","",IF(AE1170="free","re-planting",IF(AE1170="me","   not ELP, by",IF(AND(OR(PlanterYesMe="Yes",PlanterYesMe="Y"),G1170&gt;0),(VLOOKUP(A1170,'Discount Lookup'!J:K,2)*G1170*(1-PlanterDiscount)*(1+PlanterDifficultyPercentage)),IF(AE1170="ELP",(VLOOKUP(A1170,'Discount Lookup'!J:K,2)*G1170*(1-PlanterDiscount)*(1+PlanterDifficultyPercentage)),IF(AE1170="free","re-planting",IF(G1170=0,"",IF(PlanterYesMe="",IF(AE1170="me","   not ELP, by",IF(AE1170="",IF(G1170&gt;0,(VLOOKUP(A1170,'Discount Lookup'!J:K,2)*G1170*(1-PlanterDiscount)*(1+PlanterDifficultyPercentage)),""),"")),"   not ELP, by"))))))))))))))</f>
        <v/>
      </c>
      <c r="AD1170" s="712"/>
      <c r="AE1170" s="513" t="str">
        <f t="shared" si="822"/>
        <v/>
      </c>
      <c r="AF1170" s="713" t="str">
        <f t="shared" si="823"/>
        <v/>
      </c>
      <c r="AG1170" s="713"/>
      <c r="AH1170" s="713"/>
      <c r="AI1170" s="112">
        <f>IF(H1170="credit",0,IF(AE1170="free",0,IF(AE1170="me",0,IF(G1170&gt;0,(VLOOKUP(A1170,'Discount Lookup'!J:K,2)*G1170),0))))</f>
        <v>0</v>
      </c>
      <c r="AJ1170" s="107" t="str">
        <f t="shared" ca="1" si="824"/>
        <v/>
      </c>
      <c r="AK1170" s="714" t="str">
        <f t="shared" si="825"/>
        <v/>
      </c>
      <c r="AL1170" s="714"/>
      <c r="AM1170" s="114" t="str">
        <f t="shared" si="826"/>
        <v/>
      </c>
      <c r="AN1170" s="115"/>
      <c r="AO1170" s="116"/>
      <c r="AP1170" s="116"/>
      <c r="AQ1170" s="116"/>
      <c r="AR1170" s="116"/>
      <c r="AS1170" s="116"/>
      <c r="AT1170" s="116"/>
      <c r="AU1170" s="116"/>
      <c r="AV1170" s="78"/>
      <c r="AW1170" s="102"/>
      <c r="AX1170" s="78"/>
      <c r="AY1170" s="78"/>
      <c r="AZ1170" s="78"/>
      <c r="BA1170" s="78"/>
      <c r="BB1170" s="78"/>
      <c r="BC1170" s="78"/>
      <c r="BD1170" s="78"/>
      <c r="BE1170" s="465"/>
      <c r="BF1170" s="165" t="str">
        <f t="shared" si="827"/>
        <v>https://www.google.com/search?tbm=isch&amp;q=Lecompte%20has%20aromatic%2C%20sage-scented%20foliage.%20Very%20low%20water%20needs%20once%20established%20</v>
      </c>
      <c r="BG1170" s="165" t="str">
        <f t="shared" si="828"/>
        <v>L</v>
      </c>
      <c r="BH1170" s="65"/>
      <c r="BI1170" s="65"/>
      <c r="BJ1170" s="65"/>
      <c r="BK1170" s="65"/>
      <c r="BL1170" s="99"/>
      <c r="BM1170" s="99"/>
      <c r="BN1170" s="99"/>
    </row>
    <row r="1171" spans="1:66" s="51" customFormat="1" ht="18" x14ac:dyDescent="0.25">
      <c r="A1171" s="623" t="s">
        <v>2188</v>
      </c>
      <c r="B1171" s="624"/>
      <c r="C1171" s="709"/>
      <c r="D1171" s="625" t="s">
        <v>2189</v>
      </c>
      <c r="E1171" s="626"/>
      <c r="F1171" s="626"/>
      <c r="G1171" s="626"/>
      <c r="H1171" s="622" t="s">
        <v>333</v>
      </c>
      <c r="I1171" s="627" t="s">
        <v>2186</v>
      </c>
      <c r="J1171" s="628"/>
      <c r="K1171" s="628"/>
      <c r="L1171" s="629"/>
      <c r="M1171" s="700" t="s">
        <v>5241</v>
      </c>
      <c r="N1171" s="693" t="str">
        <f>IF(AND(ISTEXT($A1171), ISERROR($A1171+0)), HYPERLINK($BF1171, "Images"), "")</f>
        <v>Images</v>
      </c>
      <c r="O1171" s="695" t="s">
        <v>5244</v>
      </c>
      <c r="P1171" s="630"/>
      <c r="Q1171" s="631"/>
      <c r="R1171" s="632"/>
      <c r="S1171" s="633"/>
      <c r="T1171" s="102">
        <f t="shared" si="816"/>
        <v>0</v>
      </c>
      <c r="U1171" s="78" t="str">
        <f>IF(NOT(ISNUMBER(G1171)), "", VLOOKUP(A1171,'Discount Lookup'!D:E,2,FALSE)*G1171)</f>
        <v/>
      </c>
      <c r="V1171" s="78" t="str">
        <f>IF(NOT(ISNUMBER(G1171)), "", VLOOKUP(A1171,'Discount Lookup'!G:H,2,FALSE)*G1171)</f>
        <v/>
      </c>
      <c r="W1171" s="102">
        <f t="shared" si="817"/>
        <v>0</v>
      </c>
      <c r="X1171" s="102" t="str">
        <f t="shared" si="818"/>
        <v>Lavendar-Blue bloom</v>
      </c>
      <c r="Y1171" s="120" t="b">
        <f t="shared" si="819"/>
        <v>0</v>
      </c>
      <c r="Z1171" s="117">
        <f t="shared" si="820"/>
        <v>0</v>
      </c>
      <c r="AA1171" s="118"/>
      <c r="AB1171" s="118" t="str">
        <f t="shared" si="821"/>
        <v/>
      </c>
      <c r="AC1171" s="712" t="str">
        <f>IF(AE1171="T2G","no charge",IF(AND(OR(PlanterYesMe="No",PlanterYesMe="N",PlanterYesMe="me"),H1171=""),"",IF(H1171="credit","NO install",IF(AND(K1171="",AE1171="me"),"EACH row",IF(AND(K1171="images",AE1171="me"),"EACH row",IF(D1171="","",IF(H1171="credit","",IF(AE1171="free","re-planting",IF(AE1171="me","   not ELP, by",IF(AND(OR(PlanterYesMe="Yes",PlanterYesMe="Y"),G1171&gt;0),(VLOOKUP(A1171,'Discount Lookup'!J:K,2)*G1171*(1-PlanterDiscount)*(1+PlanterDifficultyPercentage)),IF(AE1171="ELP",(VLOOKUP(A1171,'Discount Lookup'!J:K,2)*G1171*(1-PlanterDiscount)*(1+PlanterDifficultyPercentage)),IF(AE1171="free","re-planting",IF(G1171=0,"",IF(PlanterYesMe="",IF(AE1171="me","   not ELP, by",IF(AE1171="",IF(G1171&gt;0,(VLOOKUP(A1171,'Discount Lookup'!J:K,2)*G1171*(1-PlanterDiscount)*(1+PlanterDifficultyPercentage)),""),"")),"   not ELP, by"))))))))))))))</f>
        <v/>
      </c>
      <c r="AD1171" s="712"/>
      <c r="AE1171" s="513" t="str">
        <f t="shared" si="822"/>
        <v/>
      </c>
      <c r="AF1171" s="713" t="str">
        <f t="shared" si="823"/>
        <v/>
      </c>
      <c r="AG1171" s="713"/>
      <c r="AH1171" s="713"/>
      <c r="AI1171" s="112">
        <f>IF(H1171="credit",0,IF(AE1171="free",0,IF(AE1171="me",0,IF(G1171&gt;0,(VLOOKUP(A1171,'Discount Lookup'!J:K,2)*G1171),0))))</f>
        <v>0</v>
      </c>
      <c r="AJ1171" s="107" t="str">
        <f t="shared" ca="1" si="824"/>
        <v/>
      </c>
      <c r="AK1171" s="714" t="str">
        <f t="shared" si="825"/>
        <v/>
      </c>
      <c r="AL1171" s="714"/>
      <c r="AM1171" s="114" t="str">
        <f t="shared" si="826"/>
        <v/>
      </c>
      <c r="AN1171" s="115"/>
      <c r="AO1171" s="116"/>
      <c r="AP1171" s="116"/>
      <c r="AQ1171" s="116"/>
      <c r="AR1171" s="116"/>
      <c r="AS1171" s="116"/>
      <c r="AT1171" s="116"/>
      <c r="AU1171" s="116"/>
      <c r="AV1171" s="78"/>
      <c r="AW1171" s="102"/>
      <c r="AX1171" s="78"/>
      <c r="AY1171" s="78"/>
      <c r="AZ1171" s="78"/>
      <c r="BA1171" s="78"/>
      <c r="BB1171" s="78"/>
      <c r="BC1171" s="78"/>
      <c r="BD1171" s="78"/>
      <c r="BE1171" s="465"/>
      <c r="BF1171" s="165" t="str">
        <f t="shared" si="827"/>
        <v>https://www.google.com/search?tbm=isch&amp;q=Chaste%20agnus-castus%20%27Shoal%20Creek%27%20Shoal%20Creek%20Chaste%20Tree</v>
      </c>
      <c r="BG1171" s="165" t="str">
        <f t="shared" si="828"/>
        <v>C</v>
      </c>
      <c r="BH1171" s="65"/>
      <c r="BI1171" s="65"/>
      <c r="BJ1171" s="65"/>
      <c r="BK1171" s="65"/>
      <c r="BL1171" s="99"/>
      <c r="BM1171" s="99"/>
      <c r="BN1171" s="99"/>
    </row>
    <row r="1172" spans="1:66" s="51" customFormat="1" ht="15.75" x14ac:dyDescent="0.25">
      <c r="A1172" s="634">
        <v>3</v>
      </c>
      <c r="B1172" s="635" t="s">
        <v>291</v>
      </c>
      <c r="C1172" s="636" t="s">
        <v>2190</v>
      </c>
      <c r="D1172" s="637" t="s">
        <v>311</v>
      </c>
      <c r="E1172" s="638">
        <v>31.95</v>
      </c>
      <c r="F1172" s="639" t="s">
        <v>292</v>
      </c>
      <c r="G1172" s="484">
        <v>0</v>
      </c>
      <c r="H1172" s="691" t="str">
        <f t="shared" ref="H1172:H1180" si="866">IF(G1172=0,"",IF(F1172="Buy",IF(G1172=1,"plant","plants"),IF(F1172&gt;0.01,"warranty","Error")))</f>
        <v/>
      </c>
      <c r="I1172" s="640">
        <f t="shared" ref="I1172:I1180" si="867">IF(H1172="free",0,IF(H1172="credit",((E1172*(F1172))*G1172*-1),IF(F1172="Buy",(E1172*G1172),((E1172*(1-F1172))*G1172))))</f>
        <v>0</v>
      </c>
      <c r="J1172" s="640">
        <f t="shared" ref="J1172:J1180" si="868">IF(H1172="warranty",0,(I1172*(_xlfn.SINGLE(SalesTaxPercentage))))</f>
        <v>0</v>
      </c>
      <c r="K1172" s="716">
        <f t="shared" ref="K1172" si="869">I1172+J1172</f>
        <v>0</v>
      </c>
      <c r="L1172" s="716"/>
      <c r="M1172" s="689" t="str">
        <f t="shared" ref="M1172:M1180" ca="1" si="870">IF(AND(G1172&gt;0,E1172=0),"WARNING - no PRICE inserted",IF(H1172="free","FREE ~ no charge this plant",IF(H1172="credit",CONCATENATE("-$",ROUND(K1172*(1-_xlfn.SINGLE(T2GDiscount))*-1,2)," CREDIT after discount"),IF(_xlfn.SINGLE(T2GDiscount)=0,"",IF(G1172=0,"",IF(F1172="Buy",CONCATENATE("$",ROUND(K1172*(1-_xlfn.SINGLE(T2GDiscount)),2)," with ",(_xlfn.SINGLE(T2GDiscount)*100),"% discount"),CONCATENATE("$",ROUND(K1172*(1-_xlfn.SINGLE(T2GDiscount)),2)," with ",((_xlfn.SINGLE(T2GDiscount)*100+F1172*100)-(_xlfn.SINGLE(T2GDiscount)*100*F1172)),IF(F1172&gt;0,"% discounts",IF(_xlfn.SINGLE(NoWarrantyDiscount)&gt;0,"% discounts","% discount")))))))))</f>
        <v/>
      </c>
      <c r="N1172" s="690"/>
      <c r="O1172" s="486"/>
      <c r="P1172" s="486"/>
      <c r="Q1172" s="486"/>
      <c r="R1172" s="486"/>
      <c r="S1172" s="486"/>
      <c r="T1172" s="102">
        <f t="shared" ref="T1172:T1235" si="871">E1172*G1172</f>
        <v>0</v>
      </c>
      <c r="U1172" s="78">
        <f>IF(NOT(ISNUMBER(G1172)), "", VLOOKUP(A1172,'Discount Lookup'!D:E,2,FALSE)*G1172)</f>
        <v>0</v>
      </c>
      <c r="V1172" s="78">
        <f>IF(NOT(ISNUMBER(G1172)), "", VLOOKUP(A1172,'Discount Lookup'!G:H,2,FALSE)*G1172)</f>
        <v>0</v>
      </c>
      <c r="W1172" s="102">
        <f t="shared" ref="W1172:W1235" si="872">IF(H1172="credit",0,E1172*(SalesTaxPercentage)*G1172)</f>
        <v>0</v>
      </c>
      <c r="X1172" s="102">
        <f t="shared" ref="X1172:X1235" si="873">I1172</f>
        <v>0</v>
      </c>
      <c r="Y1172" s="120" t="b">
        <f t="shared" ref="Y1172:Y1235" si="874">IF(AE1172="T2G",0,IF(H1172="credit",0,IF(G1172&gt;0,IF(AE1172="me","",G1172))))</f>
        <v>0</v>
      </c>
      <c r="Z1172" s="117">
        <f t="shared" ref="Z1172:Z1235" si="875">IF(H1172="credit",G1172,0)</f>
        <v>0</v>
      </c>
      <c r="AA1172" s="118"/>
      <c r="AB1172" s="118" t="str">
        <f t="shared" ref="AB1172:AB1235" si="876">IF(AE1172="T2G","by Trees2Go",IF(H1172="credit","CREDIT only ~",IF(AND(K1172="",AE1172=OR(PlanterYesMe="No",PlanterYesMe="N",PlanterYesMe="me")),"not THIS line⇨",IF(AND(K1172="images",AE1172="me"),"not THIS line⇨",IF(H1172="credit","",IF(G1172=0,"",IF(AE1172="me","",IF(OR(PlanterYesMe="No",PlanterYesMe="N",PlanterYesMe="me"),"",IF(AE1172="free","warranty",IF(OR(PlanterYesMe="yes",PlanterYesMe="y"),"Edison install:","to install:"))))))))))</f>
        <v/>
      </c>
      <c r="AC1172" s="712" t="str">
        <f>IF(AE1172="T2G","no charge",IF(AND(OR(PlanterYesMe="No",PlanterYesMe="N",PlanterYesMe="me"),H1172=""),"",IF(H1172="credit","NO install",IF(AND(K1172="",AE1172="me"),"EACH row",IF(AND(K1172="images",AE1172="me"),"EACH row",IF(D1172="","",IF(H1172="credit","",IF(AE1172="free","re-planting",IF(AE1172="me","   not ELP, by",IF(AND(OR(PlanterYesMe="Yes",PlanterYesMe="Y"),G1172&gt;0),(VLOOKUP(A1172,'Discount Lookup'!J:K,2)*G1172*(1-PlanterDiscount)*(1+PlanterDifficultyPercentage)),IF(AE1172="ELP",(VLOOKUP(A1172,'Discount Lookup'!J:K,2)*G1172*(1-PlanterDiscount)*(1+PlanterDifficultyPercentage)),IF(AE1172="free","re-planting",IF(G1172=0,"",IF(PlanterYesMe="",IF(AE1172="me","   not ELP, by",IF(AE1172="",IF(G1172&gt;0,(VLOOKUP(A1172,'Discount Lookup'!J:K,2)*G1172*(1-PlanterDiscount)*(1+PlanterDifficultyPercentage)),""),"")),"   not ELP, by"))))))))))))))</f>
        <v/>
      </c>
      <c r="AD1172" s="712"/>
      <c r="AE1172" s="513" t="str">
        <f t="shared" ref="AE1172:AE1235" si="877">IF(H1172="credit","",IF(G1172=0,"",IF(OR(PlanterYesMe="No",PlanterYesMe="N",PlanterYesMe="me"),"me",IF(H1172="warranty","free",IF(OR(PlanterYesMe="yes",PlanterYesMe="y"),"ELP","")))))</f>
        <v/>
      </c>
      <c r="AF1172" s="713" t="str">
        <f t="shared" ref="AF1172:AF1235" si="878">IF(OR(PlanterYesMe="No",PlanterYesMe="N",PlanterYesMe="me"),"",IF(H1172="credit","",IF(G1172&gt;0,(CONCATENATE((G1172)," quantity, ",(A1172)," ",B1172)),"")))</f>
        <v/>
      </c>
      <c r="AG1172" s="713"/>
      <c r="AH1172" s="713"/>
      <c r="AI1172" s="112">
        <f>IF(H1172="credit",0,IF(AE1172="free",0,IF(AE1172="me",0,IF(G1172&gt;0,(VLOOKUP(A1172,'Discount Lookup'!J:K,2)*G1172),0))))</f>
        <v>0</v>
      </c>
      <c r="AJ1172" s="107" t="str">
        <f t="shared" ref="AJ1172:AJ1235" ca="1" si="879">IF(AND(ISREF(H1172),H1172="credit"),"",IF(AND(AND(OFFSET(G1172,0,0)=0,OFFSET(G1172,1,0)&gt;0,ISNUMBER(OFFSET(AC1172,1,0)),OFFSET(AC1172,1,0)&gt;0),OR(PlanterYesMe="yes",PlanterYesMe="y")),"T2G+ELP=",IF(AND(OFFSET(G1172,0,0)=0,OFFSET(G1172,1,0)&gt;0,ISNUMBER(OFFSET(AC1172,1,0)),OFFSET(AC1172,1,0)&gt;0),"if T2G+ELP=",IF(AND(OFFSET(G1172,0,0)=0,OFFSET(G1172,1,0)&gt;0),"T2G Subtotal",IF(H1172="credit","",IF(G1172=0,"",IF(AE1172="free",(K1172*(1-T2GDiscount)),IF(OR(PlanterYesMe="No",PlanterYesMe="N",PlanterYesMe="me"),(K1172*(1-T2GDiscount)),IF(OR(AE1172="me",AE1172="T2G"),(K1172*(1-T2GDiscount)),(K1172*(1-T2GDiscount))+AC1172)))))))))</f>
        <v/>
      </c>
      <c r="AK1172" s="714" t="str">
        <f t="shared" ref="AK1172:AK1235" si="880">IF(H1172="credit","",IF(G1172=0,"",IF(OR(AE1172="me",AE1172="T2G"),"  delivery-only",IF(OR(PlanterYesMe="No",PlanterYesMe="N",PlanterYesMe="me"),"  delivery-only",CONCATENATE(" $",ROUND(AJ1172/G1172,2)," each")))))</f>
        <v/>
      </c>
      <c r="AL1172" s="714"/>
      <c r="AM1172" s="114" t="str">
        <f t="shared" ref="AM1172:AM1235" si="881">IF(H1172="credit","",IF(AE1172="free","      ~ discounts included, no tax or planting fee applies ~",IF(G1172=0,"",IF(OR(PlanterYesMe="No",PlanterYesMe="N",PlanterYesMe="me"),CONCATENATE(" $",ROUND(AJ1172/G1172,2)," per plant, with tax &amp; discount"),IF(OR(AE1172="me",AE1172="T2G"),CONCATENATE(" $",ROUND(AJ1172/G1172,2)," per plant, with tax &amp; discount"),CONCATENATE("= $",ROUND((K1172*(1-T2GDiscount))/G1172,2)," per plant + $",AC1172/G1172,(" per planting      ~ includes tax &amp; discounts ~")))))))</f>
        <v/>
      </c>
      <c r="AN1172" s="115"/>
      <c r="AO1172" s="116"/>
      <c r="AP1172" s="116"/>
      <c r="AQ1172" s="116"/>
      <c r="AR1172" s="116"/>
      <c r="AS1172" s="116"/>
      <c r="AT1172" s="116"/>
      <c r="AU1172" s="116"/>
      <c r="AV1172" s="78"/>
      <c r="AW1172" s="102"/>
      <c r="AX1172" s="78"/>
      <c r="AY1172" s="78"/>
      <c r="AZ1172" s="78"/>
      <c r="BA1172" s="78"/>
      <c r="BB1172" s="78"/>
      <c r="BC1172" s="78"/>
      <c r="BD1172" s="78"/>
      <c r="BE1172" s="465"/>
      <c r="BF1172" s="165" t="str">
        <f t="shared" ref="BF1172:BF1235" si="882">"https://www.google.com/search?tbm=isch&amp;q=" &amp; _xlfn.ENCODEURL($A1172 &amp; " " &amp; $D1172)</f>
        <v>https://www.google.com/search?tbm=isch&amp;q=3%20G5</v>
      </c>
      <c r="BG1172" s="165" t="str">
        <f t="shared" ref="BG1172:BG1235" si="883">IF(ISTEXT(A1172),LEFT(A1172,1),BG1171)</f>
        <v>C</v>
      </c>
      <c r="BH1172" s="65"/>
      <c r="BI1172" s="65"/>
      <c r="BJ1172" s="65"/>
      <c r="BK1172" s="65"/>
      <c r="BL1172" s="99"/>
      <c r="BM1172" s="99"/>
      <c r="BN1172" s="99"/>
    </row>
    <row r="1173" spans="1:66" s="51" customFormat="1" ht="15.75" x14ac:dyDescent="0.25">
      <c r="A1173" s="634">
        <v>7</v>
      </c>
      <c r="B1173" s="635" t="s">
        <v>291</v>
      </c>
      <c r="C1173" s="636" t="s">
        <v>2191</v>
      </c>
      <c r="D1173" s="637" t="s">
        <v>311</v>
      </c>
      <c r="E1173" s="638">
        <v>68.95</v>
      </c>
      <c r="F1173" s="639" t="s">
        <v>292</v>
      </c>
      <c r="G1173" s="484">
        <v>0</v>
      </c>
      <c r="H1173" s="691" t="str">
        <f t="shared" si="866"/>
        <v/>
      </c>
      <c r="I1173" s="640">
        <f t="shared" si="867"/>
        <v>0</v>
      </c>
      <c r="J1173" s="640">
        <f t="shared" si="868"/>
        <v>0</v>
      </c>
      <c r="K1173" s="716">
        <f t="shared" ref="K1173" si="884">I1173+J1173</f>
        <v>0</v>
      </c>
      <c r="L1173" s="716"/>
      <c r="M1173" s="689" t="str">
        <f t="shared" ca="1" si="870"/>
        <v/>
      </c>
      <c r="N1173" s="690"/>
      <c r="O1173" s="486"/>
      <c r="P1173" s="486"/>
      <c r="Q1173" s="486"/>
      <c r="R1173" s="486"/>
      <c r="S1173" s="486"/>
      <c r="T1173" s="102">
        <f t="shared" si="871"/>
        <v>0</v>
      </c>
      <c r="U1173" s="78">
        <f>IF(NOT(ISNUMBER(G1173)), "", VLOOKUP(A1173,'Discount Lookup'!D:E,2,FALSE)*G1173)</f>
        <v>0</v>
      </c>
      <c r="V1173" s="78">
        <f>IF(NOT(ISNUMBER(G1173)), "", VLOOKUP(A1173,'Discount Lookup'!G:H,2,FALSE)*G1173)</f>
        <v>0</v>
      </c>
      <c r="W1173" s="102">
        <f t="shared" si="872"/>
        <v>0</v>
      </c>
      <c r="X1173" s="102">
        <f t="shared" si="873"/>
        <v>0</v>
      </c>
      <c r="Y1173" s="120" t="b">
        <f t="shared" si="874"/>
        <v>0</v>
      </c>
      <c r="Z1173" s="117">
        <f t="shared" si="875"/>
        <v>0</v>
      </c>
      <c r="AA1173" s="118"/>
      <c r="AB1173" s="118" t="str">
        <f t="shared" si="876"/>
        <v/>
      </c>
      <c r="AC1173" s="712" t="str">
        <f>IF(AE1173="T2G","no charge",IF(AND(OR(PlanterYesMe="No",PlanterYesMe="N",PlanterYesMe="me"),H1173=""),"",IF(H1173="credit","NO install",IF(AND(K1173="",AE1173="me"),"EACH row",IF(AND(K1173="images",AE1173="me"),"EACH row",IF(D1173="","",IF(H1173="credit","",IF(AE1173="free","re-planting",IF(AE1173="me","   not ELP, by",IF(AND(OR(PlanterYesMe="Yes",PlanterYesMe="Y"),G1173&gt;0),(VLOOKUP(A1173,'Discount Lookup'!J:K,2)*G1173*(1-PlanterDiscount)*(1+PlanterDifficultyPercentage)),IF(AE1173="ELP",(VLOOKUP(A1173,'Discount Lookup'!J:K,2)*G1173*(1-PlanterDiscount)*(1+PlanterDifficultyPercentage)),IF(AE1173="free","re-planting",IF(G1173=0,"",IF(PlanterYesMe="",IF(AE1173="me","   not ELP, by",IF(AE1173="",IF(G1173&gt;0,(VLOOKUP(A1173,'Discount Lookup'!J:K,2)*G1173*(1-PlanterDiscount)*(1+PlanterDifficultyPercentage)),""),"")),"   not ELP, by"))))))))))))))</f>
        <v/>
      </c>
      <c r="AD1173" s="712"/>
      <c r="AE1173" s="513" t="str">
        <f t="shared" si="877"/>
        <v/>
      </c>
      <c r="AF1173" s="713" t="str">
        <f t="shared" si="878"/>
        <v/>
      </c>
      <c r="AG1173" s="713"/>
      <c r="AH1173" s="713"/>
      <c r="AI1173" s="112">
        <f>IF(H1173="credit",0,IF(AE1173="free",0,IF(AE1173="me",0,IF(G1173&gt;0,(VLOOKUP(A1173,'Discount Lookup'!J:K,2)*G1173),0))))</f>
        <v>0</v>
      </c>
      <c r="AJ1173" s="107" t="str">
        <f t="shared" ca="1" si="879"/>
        <v/>
      </c>
      <c r="AK1173" s="714" t="str">
        <f t="shared" si="880"/>
        <v/>
      </c>
      <c r="AL1173" s="714"/>
      <c r="AM1173" s="114" t="str">
        <f t="shared" si="881"/>
        <v/>
      </c>
      <c r="AN1173" s="115"/>
      <c r="AO1173" s="116"/>
      <c r="AP1173" s="116"/>
      <c r="AQ1173" s="116"/>
      <c r="AR1173" s="116"/>
      <c r="AS1173" s="116"/>
      <c r="AT1173" s="116"/>
      <c r="AU1173" s="116"/>
      <c r="AV1173" s="78"/>
      <c r="AW1173" s="102"/>
      <c r="AX1173" s="78"/>
      <c r="AY1173" s="78"/>
      <c r="AZ1173" s="78"/>
      <c r="BA1173" s="78"/>
      <c r="BB1173" s="78"/>
      <c r="BC1173" s="78"/>
      <c r="BD1173" s="78"/>
      <c r="BE1173" s="465"/>
      <c r="BF1173" s="165" t="str">
        <f t="shared" si="882"/>
        <v>https://www.google.com/search?tbm=isch&amp;q=7%20G5</v>
      </c>
      <c r="BG1173" s="165" t="str">
        <f t="shared" si="883"/>
        <v>C</v>
      </c>
      <c r="BH1173" s="65"/>
      <c r="BI1173" s="65"/>
      <c r="BJ1173" s="65"/>
      <c r="BK1173" s="65"/>
      <c r="BL1173" s="99"/>
      <c r="BM1173" s="99"/>
      <c r="BN1173" s="99"/>
    </row>
    <row r="1174" spans="1:66" s="51" customFormat="1" ht="15.75" x14ac:dyDescent="0.25">
      <c r="A1174" s="634">
        <v>7</v>
      </c>
      <c r="B1174" s="635" t="s">
        <v>291</v>
      </c>
      <c r="C1174" s="636" t="s">
        <v>2192</v>
      </c>
      <c r="D1174" s="637" t="s">
        <v>299</v>
      </c>
      <c r="E1174" s="638">
        <v>86.95</v>
      </c>
      <c r="F1174" s="639" t="s">
        <v>292</v>
      </c>
      <c r="G1174" s="484">
        <v>0</v>
      </c>
      <c r="H1174" s="691" t="str">
        <f t="shared" si="866"/>
        <v/>
      </c>
      <c r="I1174" s="640">
        <f t="shared" si="867"/>
        <v>0</v>
      </c>
      <c r="J1174" s="640">
        <f t="shared" si="868"/>
        <v>0</v>
      </c>
      <c r="K1174" s="716">
        <f t="shared" ref="K1174" si="885">I1174+J1174</f>
        <v>0</v>
      </c>
      <c r="L1174" s="716"/>
      <c r="M1174" s="689" t="str">
        <f t="shared" ca="1" si="870"/>
        <v/>
      </c>
      <c r="N1174" s="690"/>
      <c r="O1174" s="486"/>
      <c r="P1174" s="486"/>
      <c r="Q1174" s="486"/>
      <c r="R1174" s="486"/>
      <c r="S1174" s="486"/>
      <c r="T1174" s="102">
        <f t="shared" si="871"/>
        <v>0</v>
      </c>
      <c r="U1174" s="78">
        <f>IF(NOT(ISNUMBER(G1174)), "", VLOOKUP(A1174,'Discount Lookup'!D:E,2,FALSE)*G1174)</f>
        <v>0</v>
      </c>
      <c r="V1174" s="78">
        <f>IF(NOT(ISNUMBER(G1174)), "", VLOOKUP(A1174,'Discount Lookup'!G:H,2,FALSE)*G1174)</f>
        <v>0</v>
      </c>
      <c r="W1174" s="102">
        <f t="shared" si="872"/>
        <v>0</v>
      </c>
      <c r="X1174" s="102">
        <f t="shared" si="873"/>
        <v>0</v>
      </c>
      <c r="Y1174" s="120" t="b">
        <f t="shared" si="874"/>
        <v>0</v>
      </c>
      <c r="Z1174" s="117">
        <f t="shared" si="875"/>
        <v>0</v>
      </c>
      <c r="AA1174" s="118"/>
      <c r="AB1174" s="118" t="str">
        <f t="shared" si="876"/>
        <v/>
      </c>
      <c r="AC1174" s="712" t="str">
        <f>IF(AE1174="T2G","no charge",IF(AND(OR(PlanterYesMe="No",PlanterYesMe="N",PlanterYesMe="me"),H1174=""),"",IF(H1174="credit","NO install",IF(AND(K1174="",AE1174="me"),"EACH row",IF(AND(K1174="images",AE1174="me"),"EACH row",IF(D1174="","",IF(H1174="credit","",IF(AE1174="free","re-planting",IF(AE1174="me","   not ELP, by",IF(AND(OR(PlanterYesMe="Yes",PlanterYesMe="Y"),G1174&gt;0),(VLOOKUP(A1174,'Discount Lookup'!J:K,2)*G1174*(1-PlanterDiscount)*(1+PlanterDifficultyPercentage)),IF(AE1174="ELP",(VLOOKUP(A1174,'Discount Lookup'!J:K,2)*G1174*(1-PlanterDiscount)*(1+PlanterDifficultyPercentage)),IF(AE1174="free","re-planting",IF(G1174=0,"",IF(PlanterYesMe="",IF(AE1174="me","   not ELP, by",IF(AE1174="",IF(G1174&gt;0,(VLOOKUP(A1174,'Discount Lookup'!J:K,2)*G1174*(1-PlanterDiscount)*(1+PlanterDifficultyPercentage)),""),"")),"   not ELP, by"))))))))))))))</f>
        <v/>
      </c>
      <c r="AD1174" s="712"/>
      <c r="AE1174" s="513" t="str">
        <f t="shared" si="877"/>
        <v/>
      </c>
      <c r="AF1174" s="713" t="str">
        <f t="shared" si="878"/>
        <v/>
      </c>
      <c r="AG1174" s="713"/>
      <c r="AH1174" s="713"/>
      <c r="AI1174" s="112">
        <f>IF(H1174="credit",0,IF(AE1174="free",0,IF(AE1174="me",0,IF(G1174&gt;0,(VLOOKUP(A1174,'Discount Lookup'!J:K,2)*G1174),0))))</f>
        <v>0</v>
      </c>
      <c r="AJ1174" s="107" t="str">
        <f t="shared" ca="1" si="879"/>
        <v/>
      </c>
      <c r="AK1174" s="714" t="str">
        <f t="shared" si="880"/>
        <v/>
      </c>
      <c r="AL1174" s="714"/>
      <c r="AM1174" s="114" t="str">
        <f t="shared" si="881"/>
        <v/>
      </c>
      <c r="AN1174" s="115"/>
      <c r="AO1174" s="116"/>
      <c r="AP1174" s="116"/>
      <c r="AQ1174" s="116"/>
      <c r="AR1174" s="116"/>
      <c r="AS1174" s="116"/>
      <c r="AT1174" s="116"/>
      <c r="AU1174" s="116"/>
      <c r="AV1174" s="78"/>
      <c r="AW1174" s="102"/>
      <c r="AX1174" s="78"/>
      <c r="AY1174" s="78"/>
      <c r="AZ1174" s="78"/>
      <c r="BA1174" s="78"/>
      <c r="BB1174" s="78"/>
      <c r="BC1174" s="78"/>
      <c r="BD1174" s="78"/>
      <c r="BE1174" s="465"/>
      <c r="BF1174" s="165" t="str">
        <f t="shared" si="882"/>
        <v>https://www.google.com/search?tbm=isch&amp;q=7%20G4</v>
      </c>
      <c r="BG1174" s="165" t="str">
        <f t="shared" si="883"/>
        <v>C</v>
      </c>
      <c r="BH1174" s="65"/>
      <c r="BI1174" s="65"/>
      <c r="BJ1174" s="65"/>
      <c r="BK1174" s="65"/>
      <c r="BL1174" s="99"/>
      <c r="BM1174" s="99"/>
      <c r="BN1174" s="99"/>
    </row>
    <row r="1175" spans="1:66" s="51" customFormat="1" ht="15.75" x14ac:dyDescent="0.25">
      <c r="A1175" s="634">
        <v>15</v>
      </c>
      <c r="B1175" s="635" t="s">
        <v>291</v>
      </c>
      <c r="C1175" s="636" t="s">
        <v>2193</v>
      </c>
      <c r="D1175" s="637" t="s">
        <v>309</v>
      </c>
      <c r="E1175" s="638">
        <v>155.94999999999999</v>
      </c>
      <c r="F1175" s="639" t="s">
        <v>292</v>
      </c>
      <c r="G1175" s="484">
        <v>0</v>
      </c>
      <c r="H1175" s="691" t="str">
        <f t="shared" si="866"/>
        <v/>
      </c>
      <c r="I1175" s="640">
        <f t="shared" si="867"/>
        <v>0</v>
      </c>
      <c r="J1175" s="640">
        <f t="shared" si="868"/>
        <v>0</v>
      </c>
      <c r="K1175" s="716">
        <f t="shared" ref="K1175" si="886">I1175+J1175</f>
        <v>0</v>
      </c>
      <c r="L1175" s="716"/>
      <c r="M1175" s="689" t="str">
        <f t="shared" ca="1" si="870"/>
        <v/>
      </c>
      <c r="N1175" s="690"/>
      <c r="O1175" s="486"/>
      <c r="P1175" s="486"/>
      <c r="Q1175" s="486"/>
      <c r="R1175" s="486"/>
      <c r="S1175" s="486"/>
      <c r="T1175" s="102">
        <f t="shared" si="871"/>
        <v>0</v>
      </c>
      <c r="U1175" s="78">
        <f>IF(NOT(ISNUMBER(G1175)), "", VLOOKUP(A1175,'Discount Lookup'!D:E,2,FALSE)*G1175)</f>
        <v>0</v>
      </c>
      <c r="V1175" s="78">
        <f>IF(NOT(ISNUMBER(G1175)), "", VLOOKUP(A1175,'Discount Lookup'!G:H,2,FALSE)*G1175)</f>
        <v>0</v>
      </c>
      <c r="W1175" s="102">
        <f t="shared" si="872"/>
        <v>0</v>
      </c>
      <c r="X1175" s="102">
        <f t="shared" si="873"/>
        <v>0</v>
      </c>
      <c r="Y1175" s="120" t="b">
        <f t="shared" si="874"/>
        <v>0</v>
      </c>
      <c r="Z1175" s="117">
        <f t="shared" si="875"/>
        <v>0</v>
      </c>
      <c r="AA1175" s="118"/>
      <c r="AB1175" s="118" t="str">
        <f t="shared" si="876"/>
        <v/>
      </c>
      <c r="AC1175" s="712" t="str">
        <f>IF(AE1175="T2G","no charge",IF(AND(OR(PlanterYesMe="No",PlanterYesMe="N",PlanterYesMe="me"),H1175=""),"",IF(H1175="credit","NO install",IF(AND(K1175="",AE1175="me"),"EACH row",IF(AND(K1175="images",AE1175="me"),"EACH row",IF(D1175="","",IF(H1175="credit","",IF(AE1175="free","re-planting",IF(AE1175="me","   not ELP, by",IF(AND(OR(PlanterYesMe="Yes",PlanterYesMe="Y"),G1175&gt;0),(VLOOKUP(A1175,'Discount Lookup'!J:K,2)*G1175*(1-PlanterDiscount)*(1+PlanterDifficultyPercentage)),IF(AE1175="ELP",(VLOOKUP(A1175,'Discount Lookup'!J:K,2)*G1175*(1-PlanterDiscount)*(1+PlanterDifficultyPercentage)),IF(AE1175="free","re-planting",IF(G1175=0,"",IF(PlanterYesMe="",IF(AE1175="me","   not ELP, by",IF(AE1175="",IF(G1175&gt;0,(VLOOKUP(A1175,'Discount Lookup'!J:K,2)*G1175*(1-PlanterDiscount)*(1+PlanterDifficultyPercentage)),""),"")),"   not ELP, by"))))))))))))))</f>
        <v/>
      </c>
      <c r="AD1175" s="712"/>
      <c r="AE1175" s="513" t="str">
        <f t="shared" si="877"/>
        <v/>
      </c>
      <c r="AF1175" s="713" t="str">
        <f t="shared" si="878"/>
        <v/>
      </c>
      <c r="AG1175" s="713"/>
      <c r="AH1175" s="713"/>
      <c r="AI1175" s="112">
        <f>IF(H1175="credit",0,IF(AE1175="free",0,IF(AE1175="me",0,IF(G1175&gt;0,(VLOOKUP(A1175,'Discount Lookup'!J:K,2)*G1175),0))))</f>
        <v>0</v>
      </c>
      <c r="AJ1175" s="107" t="str">
        <f t="shared" ca="1" si="879"/>
        <v/>
      </c>
      <c r="AK1175" s="714" t="str">
        <f t="shared" si="880"/>
        <v/>
      </c>
      <c r="AL1175" s="714"/>
      <c r="AM1175" s="114" t="str">
        <f t="shared" si="881"/>
        <v/>
      </c>
      <c r="AN1175" s="115"/>
      <c r="AO1175" s="116"/>
      <c r="AP1175" s="116"/>
      <c r="AQ1175" s="116"/>
      <c r="AR1175" s="116"/>
      <c r="AS1175" s="116"/>
      <c r="AT1175" s="116"/>
      <c r="AU1175" s="116"/>
      <c r="AV1175" s="78"/>
      <c r="AW1175" s="102"/>
      <c r="AX1175" s="78"/>
      <c r="AY1175" s="78"/>
      <c r="AZ1175" s="78"/>
      <c r="BA1175" s="78"/>
      <c r="BB1175" s="78"/>
      <c r="BC1175" s="78"/>
      <c r="BD1175" s="78"/>
      <c r="BE1175" s="465"/>
      <c r="BF1175" s="165" t="str">
        <f t="shared" si="882"/>
        <v>https://www.google.com/search?tbm=isch&amp;q=15%20G3</v>
      </c>
      <c r="BG1175" s="165" t="str">
        <f t="shared" si="883"/>
        <v>C</v>
      </c>
      <c r="BH1175" s="65"/>
      <c r="BI1175" s="65"/>
      <c r="BJ1175" s="65"/>
      <c r="BK1175" s="65"/>
      <c r="BL1175" s="99"/>
      <c r="BM1175" s="99"/>
      <c r="BN1175" s="99"/>
    </row>
    <row r="1176" spans="1:66" s="51" customFormat="1" ht="15.75" x14ac:dyDescent="0.25">
      <c r="A1176" s="634">
        <v>15</v>
      </c>
      <c r="B1176" s="635" t="s">
        <v>291</v>
      </c>
      <c r="C1176" s="636" t="s">
        <v>2194</v>
      </c>
      <c r="D1176" s="637" t="s">
        <v>299</v>
      </c>
      <c r="E1176" s="638">
        <v>155.94999999999999</v>
      </c>
      <c r="F1176" s="639" t="s">
        <v>292</v>
      </c>
      <c r="G1176" s="484">
        <v>0</v>
      </c>
      <c r="H1176" s="691" t="str">
        <f t="shared" si="866"/>
        <v/>
      </c>
      <c r="I1176" s="640">
        <f t="shared" si="867"/>
        <v>0</v>
      </c>
      <c r="J1176" s="640">
        <f t="shared" si="868"/>
        <v>0</v>
      </c>
      <c r="K1176" s="716">
        <f t="shared" ref="K1176" si="887">I1176+J1176</f>
        <v>0</v>
      </c>
      <c r="L1176" s="716"/>
      <c r="M1176" s="689" t="str">
        <f t="shared" ca="1" si="870"/>
        <v/>
      </c>
      <c r="N1176" s="690"/>
      <c r="O1176" s="486"/>
      <c r="P1176" s="486"/>
      <c r="Q1176" s="486"/>
      <c r="R1176" s="486"/>
      <c r="S1176" s="486"/>
      <c r="T1176" s="102">
        <f t="shared" si="871"/>
        <v>0</v>
      </c>
      <c r="U1176" s="78">
        <f>IF(NOT(ISNUMBER(G1176)), "", VLOOKUP(A1176,'Discount Lookup'!D:E,2,FALSE)*G1176)</f>
        <v>0</v>
      </c>
      <c r="V1176" s="78">
        <f>IF(NOT(ISNUMBER(G1176)), "", VLOOKUP(A1176,'Discount Lookup'!G:H,2,FALSE)*G1176)</f>
        <v>0</v>
      </c>
      <c r="W1176" s="102">
        <f t="shared" si="872"/>
        <v>0</v>
      </c>
      <c r="X1176" s="102">
        <f t="shared" si="873"/>
        <v>0</v>
      </c>
      <c r="Y1176" s="120" t="b">
        <f t="shared" si="874"/>
        <v>0</v>
      </c>
      <c r="Z1176" s="117">
        <f t="shared" si="875"/>
        <v>0</v>
      </c>
      <c r="AA1176" s="118"/>
      <c r="AB1176" s="118" t="str">
        <f t="shared" si="876"/>
        <v/>
      </c>
      <c r="AC1176" s="712" t="str">
        <f>IF(AE1176="T2G","no charge",IF(AND(OR(PlanterYesMe="No",PlanterYesMe="N",PlanterYesMe="me"),H1176=""),"",IF(H1176="credit","NO install",IF(AND(K1176="",AE1176="me"),"EACH row",IF(AND(K1176="images",AE1176="me"),"EACH row",IF(D1176="","",IF(H1176="credit","",IF(AE1176="free","re-planting",IF(AE1176="me","   not ELP, by",IF(AND(OR(PlanterYesMe="Yes",PlanterYesMe="Y"),G1176&gt;0),(VLOOKUP(A1176,'Discount Lookup'!J:K,2)*G1176*(1-PlanterDiscount)*(1+PlanterDifficultyPercentage)),IF(AE1176="ELP",(VLOOKUP(A1176,'Discount Lookup'!J:K,2)*G1176*(1-PlanterDiscount)*(1+PlanterDifficultyPercentage)),IF(AE1176="free","re-planting",IF(G1176=0,"",IF(PlanterYesMe="",IF(AE1176="me","   not ELP, by",IF(AE1176="",IF(G1176&gt;0,(VLOOKUP(A1176,'Discount Lookup'!J:K,2)*G1176*(1-PlanterDiscount)*(1+PlanterDifficultyPercentage)),""),"")),"   not ELP, by"))))))))))))))</f>
        <v/>
      </c>
      <c r="AD1176" s="712"/>
      <c r="AE1176" s="513" t="str">
        <f t="shared" si="877"/>
        <v/>
      </c>
      <c r="AF1176" s="713" t="str">
        <f t="shared" si="878"/>
        <v/>
      </c>
      <c r="AG1176" s="713"/>
      <c r="AH1176" s="713"/>
      <c r="AI1176" s="112">
        <f>IF(H1176="credit",0,IF(AE1176="free",0,IF(AE1176="me",0,IF(G1176&gt;0,(VLOOKUP(A1176,'Discount Lookup'!J:K,2)*G1176),0))))</f>
        <v>0</v>
      </c>
      <c r="AJ1176" s="107" t="str">
        <f t="shared" ca="1" si="879"/>
        <v/>
      </c>
      <c r="AK1176" s="714" t="str">
        <f t="shared" si="880"/>
        <v/>
      </c>
      <c r="AL1176" s="714"/>
      <c r="AM1176" s="114" t="str">
        <f t="shared" si="881"/>
        <v/>
      </c>
      <c r="AN1176" s="115"/>
      <c r="AO1176" s="116"/>
      <c r="AP1176" s="116"/>
      <c r="AQ1176" s="116"/>
      <c r="AR1176" s="116"/>
      <c r="AS1176" s="116"/>
      <c r="AT1176" s="116"/>
      <c r="AU1176" s="116"/>
      <c r="AV1176" s="78"/>
      <c r="AW1176" s="102"/>
      <c r="AX1176" s="78"/>
      <c r="AY1176" s="78"/>
      <c r="AZ1176" s="78"/>
      <c r="BA1176" s="78"/>
      <c r="BB1176" s="78"/>
      <c r="BC1176" s="78"/>
      <c r="BD1176" s="78"/>
      <c r="BE1176" s="465"/>
      <c r="BF1176" s="165" t="str">
        <f t="shared" si="882"/>
        <v>https://www.google.com/search?tbm=isch&amp;q=15%20G4</v>
      </c>
      <c r="BG1176" s="165" t="str">
        <f t="shared" si="883"/>
        <v>C</v>
      </c>
      <c r="BH1176" s="65"/>
      <c r="BI1176" s="65"/>
      <c r="BJ1176" s="65"/>
      <c r="BK1176" s="65"/>
      <c r="BL1176" s="99"/>
      <c r="BM1176" s="99"/>
      <c r="BN1176" s="99"/>
    </row>
    <row r="1177" spans="1:66" s="51" customFormat="1" ht="15.75" x14ac:dyDescent="0.25">
      <c r="A1177" s="634">
        <v>15</v>
      </c>
      <c r="B1177" s="635" t="s">
        <v>291</v>
      </c>
      <c r="C1177" s="636" t="s">
        <v>4962</v>
      </c>
      <c r="D1177" s="637" t="s">
        <v>311</v>
      </c>
      <c r="E1177" s="638">
        <v>160.94999999999999</v>
      </c>
      <c r="F1177" s="639" t="s">
        <v>292</v>
      </c>
      <c r="G1177" s="484">
        <v>0</v>
      </c>
      <c r="H1177" s="691" t="str">
        <f t="shared" si="866"/>
        <v/>
      </c>
      <c r="I1177" s="640">
        <f t="shared" si="867"/>
        <v>0</v>
      </c>
      <c r="J1177" s="640">
        <f t="shared" si="868"/>
        <v>0</v>
      </c>
      <c r="K1177" s="716">
        <f t="shared" ref="K1177" si="888">I1177+J1177</f>
        <v>0</v>
      </c>
      <c r="L1177" s="716"/>
      <c r="M1177" s="689" t="str">
        <f t="shared" ca="1" si="870"/>
        <v/>
      </c>
      <c r="N1177" s="690"/>
      <c r="O1177" s="486"/>
      <c r="P1177" s="486"/>
      <c r="Q1177" s="486"/>
      <c r="R1177" s="486"/>
      <c r="S1177" s="486"/>
      <c r="T1177" s="102">
        <f t="shared" si="871"/>
        <v>0</v>
      </c>
      <c r="U1177" s="78">
        <f>IF(NOT(ISNUMBER(G1177)), "", VLOOKUP(A1177,'Discount Lookup'!D:E,2,FALSE)*G1177)</f>
        <v>0</v>
      </c>
      <c r="V1177" s="78">
        <f>IF(NOT(ISNUMBER(G1177)), "", VLOOKUP(A1177,'Discount Lookup'!G:H,2,FALSE)*G1177)</f>
        <v>0</v>
      </c>
      <c r="W1177" s="102">
        <f t="shared" si="872"/>
        <v>0</v>
      </c>
      <c r="X1177" s="102">
        <f t="shared" si="873"/>
        <v>0</v>
      </c>
      <c r="Y1177" s="120" t="b">
        <f t="shared" si="874"/>
        <v>0</v>
      </c>
      <c r="Z1177" s="117">
        <f t="shared" si="875"/>
        <v>0</v>
      </c>
      <c r="AA1177" s="118"/>
      <c r="AB1177" s="118" t="str">
        <f t="shared" si="876"/>
        <v/>
      </c>
      <c r="AC1177" s="712" t="str">
        <f>IF(AE1177="T2G","no charge",IF(AND(OR(PlanterYesMe="No",PlanterYesMe="N",PlanterYesMe="me"),H1177=""),"",IF(H1177="credit","NO install",IF(AND(K1177="",AE1177="me"),"EACH row",IF(AND(K1177="images",AE1177="me"),"EACH row",IF(D1177="","",IF(H1177="credit","",IF(AE1177="free","re-planting",IF(AE1177="me","   not ELP, by",IF(AND(OR(PlanterYesMe="Yes",PlanterYesMe="Y"),G1177&gt;0),(VLOOKUP(A1177,'Discount Lookup'!J:K,2)*G1177*(1-PlanterDiscount)*(1+PlanterDifficultyPercentage)),IF(AE1177="ELP",(VLOOKUP(A1177,'Discount Lookup'!J:K,2)*G1177*(1-PlanterDiscount)*(1+PlanterDifficultyPercentage)),IF(AE1177="free","re-planting",IF(G1177=0,"",IF(PlanterYesMe="",IF(AE1177="me","   not ELP, by",IF(AE1177="",IF(G1177&gt;0,(VLOOKUP(A1177,'Discount Lookup'!J:K,2)*G1177*(1-PlanterDiscount)*(1+PlanterDifficultyPercentage)),""),"")),"   not ELP, by"))))))))))))))</f>
        <v/>
      </c>
      <c r="AD1177" s="712"/>
      <c r="AE1177" s="513" t="str">
        <f t="shared" si="877"/>
        <v/>
      </c>
      <c r="AF1177" s="713" t="str">
        <f t="shared" si="878"/>
        <v/>
      </c>
      <c r="AG1177" s="713"/>
      <c r="AH1177" s="713"/>
      <c r="AI1177" s="112">
        <f>IF(H1177="credit",0,IF(AE1177="free",0,IF(AE1177="me",0,IF(G1177&gt;0,(VLOOKUP(A1177,'Discount Lookup'!J:K,2)*G1177),0))))</f>
        <v>0</v>
      </c>
      <c r="AJ1177" s="107" t="str">
        <f t="shared" ca="1" si="879"/>
        <v/>
      </c>
      <c r="AK1177" s="714" t="str">
        <f t="shared" si="880"/>
        <v/>
      </c>
      <c r="AL1177" s="714"/>
      <c r="AM1177" s="114" t="str">
        <f t="shared" si="881"/>
        <v/>
      </c>
      <c r="AN1177" s="115"/>
      <c r="AO1177" s="116"/>
      <c r="AP1177" s="116"/>
      <c r="AQ1177" s="116"/>
      <c r="AR1177" s="116"/>
      <c r="AS1177" s="116"/>
      <c r="AT1177" s="116"/>
      <c r="AU1177" s="116"/>
      <c r="AV1177" s="78"/>
      <c r="AW1177" s="102"/>
      <c r="AX1177" s="78"/>
      <c r="AY1177" s="78"/>
      <c r="AZ1177" s="78"/>
      <c r="BA1177" s="78"/>
      <c r="BB1177" s="78"/>
      <c r="BC1177" s="78"/>
      <c r="BD1177" s="78"/>
      <c r="BE1177" s="465"/>
      <c r="BF1177" s="165" t="str">
        <f t="shared" si="882"/>
        <v>https://www.google.com/search?tbm=isch&amp;q=15%20G5</v>
      </c>
      <c r="BG1177" s="165" t="str">
        <f t="shared" si="883"/>
        <v>C</v>
      </c>
      <c r="BH1177" s="65"/>
      <c r="BI1177" s="65"/>
      <c r="BJ1177" s="65"/>
      <c r="BK1177" s="65"/>
      <c r="BL1177" s="99"/>
      <c r="BM1177" s="99"/>
      <c r="BN1177" s="99"/>
    </row>
    <row r="1178" spans="1:66" s="51" customFormat="1" ht="15.75" x14ac:dyDescent="0.25">
      <c r="A1178" s="634">
        <v>25</v>
      </c>
      <c r="B1178" s="635" t="s">
        <v>291</v>
      </c>
      <c r="C1178" s="636" t="s">
        <v>2195</v>
      </c>
      <c r="D1178" s="637" t="s">
        <v>293</v>
      </c>
      <c r="E1178" s="638">
        <v>168.95</v>
      </c>
      <c r="F1178" s="639" t="s">
        <v>292</v>
      </c>
      <c r="G1178" s="484">
        <v>0</v>
      </c>
      <c r="H1178" s="691" t="str">
        <f t="shared" si="866"/>
        <v/>
      </c>
      <c r="I1178" s="640">
        <f t="shared" si="867"/>
        <v>0</v>
      </c>
      <c r="J1178" s="640">
        <f t="shared" si="868"/>
        <v>0</v>
      </c>
      <c r="K1178" s="716">
        <f t="shared" ref="K1178" si="889">I1178+J1178</f>
        <v>0</v>
      </c>
      <c r="L1178" s="716"/>
      <c r="M1178" s="689" t="str">
        <f t="shared" ca="1" si="870"/>
        <v/>
      </c>
      <c r="N1178" s="690"/>
      <c r="O1178" s="486"/>
      <c r="P1178" s="486"/>
      <c r="Q1178" s="486"/>
      <c r="R1178" s="486"/>
      <c r="S1178" s="486"/>
      <c r="T1178" s="102">
        <f t="shared" si="871"/>
        <v>0</v>
      </c>
      <c r="U1178" s="78">
        <f>IF(NOT(ISNUMBER(G1178)), "", VLOOKUP(A1178,'Discount Lookup'!D:E,2,FALSE)*G1178)</f>
        <v>0</v>
      </c>
      <c r="V1178" s="78">
        <f>IF(NOT(ISNUMBER(G1178)), "", VLOOKUP(A1178,'Discount Lookup'!G:H,2,FALSE)*G1178)</f>
        <v>0</v>
      </c>
      <c r="W1178" s="102">
        <f t="shared" si="872"/>
        <v>0</v>
      </c>
      <c r="X1178" s="102">
        <f t="shared" si="873"/>
        <v>0</v>
      </c>
      <c r="Y1178" s="120" t="b">
        <f t="shared" si="874"/>
        <v>0</v>
      </c>
      <c r="Z1178" s="117">
        <f t="shared" si="875"/>
        <v>0</v>
      </c>
      <c r="AA1178" s="118"/>
      <c r="AB1178" s="118" t="str">
        <f t="shared" si="876"/>
        <v/>
      </c>
      <c r="AC1178" s="712" t="str">
        <f>IF(AE1178="T2G","no charge",IF(AND(OR(PlanterYesMe="No",PlanterYesMe="N",PlanterYesMe="me"),H1178=""),"",IF(H1178="credit","NO install",IF(AND(K1178="",AE1178="me"),"EACH row",IF(AND(K1178="images",AE1178="me"),"EACH row",IF(D1178="","",IF(H1178="credit","",IF(AE1178="free","re-planting",IF(AE1178="me","   not ELP, by",IF(AND(OR(PlanterYesMe="Yes",PlanterYesMe="Y"),G1178&gt;0),(VLOOKUP(A1178,'Discount Lookup'!J:K,2)*G1178*(1-PlanterDiscount)*(1+PlanterDifficultyPercentage)),IF(AE1178="ELP",(VLOOKUP(A1178,'Discount Lookup'!J:K,2)*G1178*(1-PlanterDiscount)*(1+PlanterDifficultyPercentage)),IF(AE1178="free","re-planting",IF(G1178=0,"",IF(PlanterYesMe="",IF(AE1178="me","   not ELP, by",IF(AE1178="",IF(G1178&gt;0,(VLOOKUP(A1178,'Discount Lookup'!J:K,2)*G1178*(1-PlanterDiscount)*(1+PlanterDifficultyPercentage)),""),"")),"   not ELP, by"))))))))))))))</f>
        <v/>
      </c>
      <c r="AD1178" s="712"/>
      <c r="AE1178" s="513" t="str">
        <f t="shared" si="877"/>
        <v/>
      </c>
      <c r="AF1178" s="713" t="str">
        <f t="shared" si="878"/>
        <v/>
      </c>
      <c r="AG1178" s="713"/>
      <c r="AH1178" s="713"/>
      <c r="AI1178" s="112">
        <f>IF(H1178="credit",0,IF(AE1178="free",0,IF(AE1178="me",0,IF(G1178&gt;0,(VLOOKUP(A1178,'Discount Lookup'!J:K,2)*G1178),0))))</f>
        <v>0</v>
      </c>
      <c r="AJ1178" s="107" t="str">
        <f t="shared" ca="1" si="879"/>
        <v/>
      </c>
      <c r="AK1178" s="714" t="str">
        <f t="shared" si="880"/>
        <v/>
      </c>
      <c r="AL1178" s="714"/>
      <c r="AM1178" s="114" t="str">
        <f t="shared" si="881"/>
        <v/>
      </c>
      <c r="AN1178" s="115"/>
      <c r="AO1178" s="116"/>
      <c r="AP1178" s="116"/>
      <c r="AQ1178" s="116"/>
      <c r="AR1178" s="116"/>
      <c r="AS1178" s="116"/>
      <c r="AT1178" s="116"/>
      <c r="AU1178" s="116"/>
      <c r="AV1178" s="78"/>
      <c r="AW1178" s="102"/>
      <c r="AX1178" s="78"/>
      <c r="AY1178" s="78"/>
      <c r="AZ1178" s="78"/>
      <c r="BA1178" s="78"/>
      <c r="BB1178" s="78"/>
      <c r="BC1178" s="78"/>
      <c r="BD1178" s="78"/>
      <c r="BE1178" s="465"/>
      <c r="BF1178" s="165" t="str">
        <f t="shared" si="882"/>
        <v>https://www.google.com/search?tbm=isch&amp;q=25%20G6</v>
      </c>
      <c r="BG1178" s="165" t="str">
        <f t="shared" si="883"/>
        <v>C</v>
      </c>
      <c r="BH1178" s="65"/>
      <c r="BI1178" s="65"/>
      <c r="BJ1178" s="65"/>
      <c r="BK1178" s="65"/>
      <c r="BL1178" s="99"/>
      <c r="BM1178" s="99"/>
      <c r="BN1178" s="99"/>
    </row>
    <row r="1179" spans="1:66" s="51" customFormat="1" ht="15.75" x14ac:dyDescent="0.25">
      <c r="A1179" s="634">
        <v>15</v>
      </c>
      <c r="B1179" s="635" t="s">
        <v>291</v>
      </c>
      <c r="C1179" s="636" t="s">
        <v>2196</v>
      </c>
      <c r="D1179" s="637" t="s">
        <v>311</v>
      </c>
      <c r="E1179" s="638">
        <v>194.95</v>
      </c>
      <c r="F1179" s="639" t="s">
        <v>292</v>
      </c>
      <c r="G1179" s="484">
        <v>0</v>
      </c>
      <c r="H1179" s="691" t="str">
        <f t="shared" si="866"/>
        <v/>
      </c>
      <c r="I1179" s="640">
        <f t="shared" si="867"/>
        <v>0</v>
      </c>
      <c r="J1179" s="640">
        <f t="shared" si="868"/>
        <v>0</v>
      </c>
      <c r="K1179" s="716">
        <f t="shared" ref="K1179" si="890">I1179+J1179</f>
        <v>0</v>
      </c>
      <c r="L1179" s="716"/>
      <c r="M1179" s="689" t="str">
        <f t="shared" ca="1" si="870"/>
        <v/>
      </c>
      <c r="N1179" s="690"/>
      <c r="O1179" s="486"/>
      <c r="P1179" s="486"/>
      <c r="Q1179" s="486"/>
      <c r="R1179" s="486"/>
      <c r="S1179" s="486"/>
      <c r="T1179" s="102">
        <f t="shared" si="871"/>
        <v>0</v>
      </c>
      <c r="U1179" s="78">
        <f>IF(NOT(ISNUMBER(G1179)), "", VLOOKUP(A1179,'Discount Lookup'!D:E,2,FALSE)*G1179)</f>
        <v>0</v>
      </c>
      <c r="V1179" s="78">
        <f>IF(NOT(ISNUMBER(G1179)), "", VLOOKUP(A1179,'Discount Lookup'!G:H,2,FALSE)*G1179)</f>
        <v>0</v>
      </c>
      <c r="W1179" s="102">
        <f t="shared" si="872"/>
        <v>0</v>
      </c>
      <c r="X1179" s="102">
        <f t="shared" si="873"/>
        <v>0</v>
      </c>
      <c r="Y1179" s="120" t="b">
        <f t="shared" si="874"/>
        <v>0</v>
      </c>
      <c r="Z1179" s="117">
        <f t="shared" si="875"/>
        <v>0</v>
      </c>
      <c r="AA1179" s="118"/>
      <c r="AB1179" s="118" t="str">
        <f t="shared" si="876"/>
        <v/>
      </c>
      <c r="AC1179" s="712" t="str">
        <f>IF(AE1179="T2G","no charge",IF(AND(OR(PlanterYesMe="No",PlanterYesMe="N",PlanterYesMe="me"),H1179=""),"",IF(H1179="credit","NO install",IF(AND(K1179="",AE1179="me"),"EACH row",IF(AND(K1179="images",AE1179="me"),"EACH row",IF(D1179="","",IF(H1179="credit","",IF(AE1179="free","re-planting",IF(AE1179="me","   not ELP, by",IF(AND(OR(PlanterYesMe="Yes",PlanterYesMe="Y"),G1179&gt;0),(VLOOKUP(A1179,'Discount Lookup'!J:K,2)*G1179*(1-PlanterDiscount)*(1+PlanterDifficultyPercentage)),IF(AE1179="ELP",(VLOOKUP(A1179,'Discount Lookup'!J:K,2)*G1179*(1-PlanterDiscount)*(1+PlanterDifficultyPercentage)),IF(AE1179="free","re-planting",IF(G1179=0,"",IF(PlanterYesMe="",IF(AE1179="me","   not ELP, by",IF(AE1179="",IF(G1179&gt;0,(VLOOKUP(A1179,'Discount Lookup'!J:K,2)*G1179*(1-PlanterDiscount)*(1+PlanterDifficultyPercentage)),""),"")),"   not ELP, by"))))))))))))))</f>
        <v/>
      </c>
      <c r="AD1179" s="712"/>
      <c r="AE1179" s="513" t="str">
        <f t="shared" si="877"/>
        <v/>
      </c>
      <c r="AF1179" s="713" t="str">
        <f t="shared" si="878"/>
        <v/>
      </c>
      <c r="AG1179" s="713"/>
      <c r="AH1179" s="713"/>
      <c r="AI1179" s="112">
        <f>IF(H1179="credit",0,IF(AE1179="free",0,IF(AE1179="me",0,IF(G1179&gt;0,(VLOOKUP(A1179,'Discount Lookup'!J:K,2)*G1179),0))))</f>
        <v>0</v>
      </c>
      <c r="AJ1179" s="107" t="str">
        <f t="shared" ca="1" si="879"/>
        <v/>
      </c>
      <c r="AK1179" s="714" t="str">
        <f t="shared" si="880"/>
        <v/>
      </c>
      <c r="AL1179" s="714"/>
      <c r="AM1179" s="114" t="str">
        <f t="shared" si="881"/>
        <v/>
      </c>
      <c r="AN1179" s="115"/>
      <c r="AO1179" s="116"/>
      <c r="AP1179" s="116"/>
      <c r="AQ1179" s="116"/>
      <c r="AR1179" s="116"/>
      <c r="AS1179" s="116"/>
      <c r="AT1179" s="116"/>
      <c r="AU1179" s="116"/>
      <c r="AV1179" s="78"/>
      <c r="AW1179" s="102"/>
      <c r="AX1179" s="78"/>
      <c r="AY1179" s="78"/>
      <c r="AZ1179" s="78"/>
      <c r="BA1179" s="78"/>
      <c r="BB1179" s="78"/>
      <c r="BC1179" s="78"/>
      <c r="BD1179" s="78"/>
      <c r="BE1179" s="465"/>
      <c r="BF1179" s="165" t="str">
        <f t="shared" si="882"/>
        <v>https://www.google.com/search?tbm=isch&amp;q=15%20G5</v>
      </c>
      <c r="BG1179" s="165" t="str">
        <f t="shared" si="883"/>
        <v>C</v>
      </c>
      <c r="BH1179" s="65"/>
      <c r="BI1179" s="65"/>
      <c r="BJ1179" s="65"/>
      <c r="BK1179" s="65"/>
      <c r="BL1179" s="99"/>
      <c r="BM1179" s="99"/>
      <c r="BN1179" s="99"/>
    </row>
    <row r="1180" spans="1:66" s="51" customFormat="1" ht="27" x14ac:dyDescent="0.25">
      <c r="A1180" s="634">
        <v>25</v>
      </c>
      <c r="B1180" s="635" t="s">
        <v>291</v>
      </c>
      <c r="C1180" s="636" t="s">
        <v>4593</v>
      </c>
      <c r="D1180" s="637" t="s">
        <v>299</v>
      </c>
      <c r="E1180" s="638">
        <v>263.95</v>
      </c>
      <c r="F1180" s="639" t="s">
        <v>292</v>
      </c>
      <c r="G1180" s="484">
        <v>0</v>
      </c>
      <c r="H1180" s="691" t="str">
        <f t="shared" si="866"/>
        <v/>
      </c>
      <c r="I1180" s="640">
        <f t="shared" si="867"/>
        <v>0</v>
      </c>
      <c r="J1180" s="640">
        <f t="shared" si="868"/>
        <v>0</v>
      </c>
      <c r="K1180" s="716">
        <f t="shared" ref="K1180" si="891">I1180+J1180</f>
        <v>0</v>
      </c>
      <c r="L1180" s="716"/>
      <c r="M1180" s="689" t="str">
        <f t="shared" ca="1" si="870"/>
        <v/>
      </c>
      <c r="N1180" s="690"/>
      <c r="O1180" s="486"/>
      <c r="P1180" s="486"/>
      <c r="Q1180" s="486"/>
      <c r="R1180" s="486"/>
      <c r="S1180" s="486"/>
      <c r="T1180" s="102">
        <f t="shared" si="871"/>
        <v>0</v>
      </c>
      <c r="U1180" s="78">
        <f>IF(NOT(ISNUMBER(G1180)), "", VLOOKUP(A1180,'Discount Lookup'!D:E,2,FALSE)*G1180)</f>
        <v>0</v>
      </c>
      <c r="V1180" s="78">
        <f>IF(NOT(ISNUMBER(G1180)), "", VLOOKUP(A1180,'Discount Lookup'!G:H,2,FALSE)*G1180)</f>
        <v>0</v>
      </c>
      <c r="W1180" s="102">
        <f t="shared" si="872"/>
        <v>0</v>
      </c>
      <c r="X1180" s="102">
        <f t="shared" si="873"/>
        <v>0</v>
      </c>
      <c r="Y1180" s="120" t="b">
        <f t="shared" si="874"/>
        <v>0</v>
      </c>
      <c r="Z1180" s="117">
        <f t="shared" si="875"/>
        <v>0</v>
      </c>
      <c r="AA1180" s="118"/>
      <c r="AB1180" s="118" t="str">
        <f t="shared" si="876"/>
        <v/>
      </c>
      <c r="AC1180" s="712" t="str">
        <f>IF(AE1180="T2G","no charge",IF(AND(OR(PlanterYesMe="No",PlanterYesMe="N",PlanterYesMe="me"),H1180=""),"",IF(H1180="credit","NO install",IF(AND(K1180="",AE1180="me"),"EACH row",IF(AND(K1180="images",AE1180="me"),"EACH row",IF(D1180="","",IF(H1180="credit","",IF(AE1180="free","re-planting",IF(AE1180="me","   not ELP, by",IF(AND(OR(PlanterYesMe="Yes",PlanterYesMe="Y"),G1180&gt;0),(VLOOKUP(A1180,'Discount Lookup'!J:K,2)*G1180*(1-PlanterDiscount)*(1+PlanterDifficultyPercentage)),IF(AE1180="ELP",(VLOOKUP(A1180,'Discount Lookup'!J:K,2)*G1180*(1-PlanterDiscount)*(1+PlanterDifficultyPercentage)),IF(AE1180="free","re-planting",IF(G1180=0,"",IF(PlanterYesMe="",IF(AE1180="me","   not ELP, by",IF(AE1180="",IF(G1180&gt;0,(VLOOKUP(A1180,'Discount Lookup'!J:K,2)*G1180*(1-PlanterDiscount)*(1+PlanterDifficultyPercentage)),""),"")),"   not ELP, by"))))))))))))))</f>
        <v/>
      </c>
      <c r="AD1180" s="712"/>
      <c r="AE1180" s="513" t="str">
        <f t="shared" si="877"/>
        <v/>
      </c>
      <c r="AF1180" s="713" t="str">
        <f t="shared" si="878"/>
        <v/>
      </c>
      <c r="AG1180" s="713"/>
      <c r="AH1180" s="713"/>
      <c r="AI1180" s="112">
        <f>IF(H1180="credit",0,IF(AE1180="free",0,IF(AE1180="me",0,IF(G1180&gt;0,(VLOOKUP(A1180,'Discount Lookup'!J:K,2)*G1180),0))))</f>
        <v>0</v>
      </c>
      <c r="AJ1180" s="107" t="str">
        <f t="shared" ca="1" si="879"/>
        <v/>
      </c>
      <c r="AK1180" s="714" t="str">
        <f t="shared" si="880"/>
        <v/>
      </c>
      <c r="AL1180" s="714"/>
      <c r="AM1180" s="114" t="str">
        <f t="shared" si="881"/>
        <v/>
      </c>
      <c r="AN1180" s="115"/>
      <c r="AO1180" s="116"/>
      <c r="AP1180" s="116"/>
      <c r="AQ1180" s="116"/>
      <c r="AR1180" s="116"/>
      <c r="AS1180" s="116"/>
      <c r="AT1180" s="116"/>
      <c r="AU1180" s="116"/>
      <c r="AV1180" s="78"/>
      <c r="AW1180" s="102"/>
      <c r="AX1180" s="78"/>
      <c r="AY1180" s="78"/>
      <c r="AZ1180" s="78"/>
      <c r="BA1180" s="78"/>
      <c r="BB1180" s="78"/>
      <c r="BC1180" s="78"/>
      <c r="BD1180" s="78"/>
      <c r="BE1180" s="465"/>
      <c r="BF1180" s="165" t="str">
        <f t="shared" si="882"/>
        <v>https://www.google.com/search?tbm=isch&amp;q=25%20G4</v>
      </c>
      <c r="BG1180" s="165" t="str">
        <f t="shared" si="883"/>
        <v>C</v>
      </c>
      <c r="BH1180" s="65"/>
      <c r="BI1180" s="65"/>
      <c r="BJ1180" s="65"/>
      <c r="BK1180" s="65"/>
      <c r="BL1180" s="99"/>
      <c r="BM1180" s="99"/>
      <c r="BN1180" s="99"/>
    </row>
    <row r="1181" spans="1:66" s="51" customFormat="1" ht="17.25" thickBot="1" x14ac:dyDescent="0.3">
      <c r="A1181" s="641" t="s">
        <v>2197</v>
      </c>
      <c r="B1181" s="642"/>
      <c r="C1181" s="710"/>
      <c r="D1181" s="643"/>
      <c r="E1181" s="643"/>
      <c r="F1181" s="644"/>
      <c r="G1181" s="645"/>
      <c r="H1181" s="646"/>
      <c r="I1181" s="647"/>
      <c r="J1181" s="648"/>
      <c r="K1181" s="649"/>
      <c r="L1181" s="650"/>
      <c r="M1181" s="650"/>
      <c r="N1181" s="644"/>
      <c r="O1181" s="644"/>
      <c r="P1181" s="644"/>
      <c r="Q1181" s="644"/>
      <c r="R1181" s="644"/>
      <c r="S1181" s="701" t="s">
        <v>5267</v>
      </c>
      <c r="T1181" s="102">
        <f t="shared" si="871"/>
        <v>0</v>
      </c>
      <c r="U1181" s="78" t="str">
        <f>IF(NOT(ISNUMBER(G1181)), "", VLOOKUP(A1181,'Discount Lookup'!D:E,2,FALSE)*G1181)</f>
        <v/>
      </c>
      <c r="V1181" s="78" t="str">
        <f>IF(NOT(ISNUMBER(G1181)), "", VLOOKUP(A1181,'Discount Lookup'!G:H,2,FALSE)*G1181)</f>
        <v/>
      </c>
      <c r="W1181" s="102">
        <f t="shared" si="872"/>
        <v>0</v>
      </c>
      <c r="X1181" s="102">
        <f t="shared" si="873"/>
        <v>0</v>
      </c>
      <c r="Y1181" s="120" t="b">
        <f t="shared" si="874"/>
        <v>0</v>
      </c>
      <c r="Z1181" s="117">
        <f t="shared" si="875"/>
        <v>0</v>
      </c>
      <c r="AA1181" s="118"/>
      <c r="AB1181" s="118" t="str">
        <f t="shared" si="876"/>
        <v/>
      </c>
      <c r="AC1181" s="712" t="str">
        <f>IF(AE1181="T2G","no charge",IF(AND(OR(PlanterYesMe="No",PlanterYesMe="N",PlanterYesMe="me"),H1181=""),"",IF(H1181="credit","NO install",IF(AND(K1181="",AE1181="me"),"EACH row",IF(AND(K1181="images",AE1181="me"),"EACH row",IF(D1181="","",IF(H1181="credit","",IF(AE1181="free","re-planting",IF(AE1181="me","   not ELP, by",IF(AND(OR(PlanterYesMe="Yes",PlanterYesMe="Y"),G1181&gt;0),(VLOOKUP(A1181,'Discount Lookup'!J:K,2)*G1181*(1-PlanterDiscount)*(1+PlanterDifficultyPercentage)),IF(AE1181="ELP",(VLOOKUP(A1181,'Discount Lookup'!J:K,2)*G1181*(1-PlanterDiscount)*(1+PlanterDifficultyPercentage)),IF(AE1181="free","re-planting",IF(G1181=0,"",IF(PlanterYesMe="",IF(AE1181="me","   not ELP, by",IF(AE1181="",IF(G1181&gt;0,(VLOOKUP(A1181,'Discount Lookup'!J:K,2)*G1181*(1-PlanterDiscount)*(1+PlanterDifficultyPercentage)),""),"")),"   not ELP, by"))))))))))))))</f>
        <v/>
      </c>
      <c r="AD1181" s="712"/>
      <c r="AE1181" s="513" t="str">
        <f t="shared" si="877"/>
        <v/>
      </c>
      <c r="AF1181" s="713" t="str">
        <f t="shared" si="878"/>
        <v/>
      </c>
      <c r="AG1181" s="713"/>
      <c r="AH1181" s="713"/>
      <c r="AI1181" s="112">
        <f>IF(H1181="credit",0,IF(AE1181="free",0,IF(AE1181="me",0,IF(G1181&gt;0,(VLOOKUP(A1181,'Discount Lookup'!J:K,2)*G1181),0))))</f>
        <v>0</v>
      </c>
      <c r="AJ1181" s="107" t="str">
        <f t="shared" ca="1" si="879"/>
        <v/>
      </c>
      <c r="AK1181" s="714" t="str">
        <f t="shared" si="880"/>
        <v/>
      </c>
      <c r="AL1181" s="714"/>
      <c r="AM1181" s="114" t="str">
        <f t="shared" si="881"/>
        <v/>
      </c>
      <c r="AN1181" s="115"/>
      <c r="AO1181" s="116"/>
      <c r="AP1181" s="116"/>
      <c r="AQ1181" s="116"/>
      <c r="AR1181" s="116"/>
      <c r="AS1181" s="116"/>
      <c r="AT1181" s="116"/>
      <c r="AU1181" s="116"/>
      <c r="AV1181" s="78"/>
      <c r="AW1181" s="102"/>
      <c r="AX1181" s="78"/>
      <c r="AY1181" s="78"/>
      <c r="AZ1181" s="78"/>
      <c r="BA1181" s="78"/>
      <c r="BB1181" s="78"/>
      <c r="BC1181" s="78"/>
      <c r="BD1181" s="78"/>
      <c r="BE1181" s="465"/>
      <c r="BF1181" s="165" t="str">
        <f t="shared" si="882"/>
        <v>https://www.google.com/search?tbm=isch&amp;q=Shoal%20Creek%2C%20like%20most%20Chaste%2C%20has%20a%20long%20bloom%20season.%20Foliage%20%26%20blooms%20are%20especially%20fragrant%20</v>
      </c>
      <c r="BG1181" s="165" t="str">
        <f t="shared" si="883"/>
        <v>S</v>
      </c>
      <c r="BH1181" s="65"/>
      <c r="BI1181" s="65"/>
      <c r="BJ1181" s="65"/>
      <c r="BK1181" s="65"/>
      <c r="BL1181" s="99"/>
      <c r="BM1181" s="99"/>
      <c r="BN1181" s="99"/>
    </row>
    <row r="1182" spans="1:66" s="51" customFormat="1" ht="18" x14ac:dyDescent="0.25">
      <c r="A1182" s="623" t="s">
        <v>2198</v>
      </c>
      <c r="B1182" s="624"/>
      <c r="C1182" s="709"/>
      <c r="D1182" s="625" t="s">
        <v>5636</v>
      </c>
      <c r="E1182" s="626"/>
      <c r="F1182" s="626"/>
      <c r="G1182" s="626"/>
      <c r="H1182" s="622" t="s">
        <v>1326</v>
      </c>
      <c r="I1182" s="627" t="s">
        <v>2199</v>
      </c>
      <c r="J1182" s="628"/>
      <c r="K1182" s="628"/>
      <c r="L1182" s="629"/>
      <c r="M1182" s="700" t="s">
        <v>5241</v>
      </c>
      <c r="N1182" s="693" t="str">
        <f>IF(AND(ISTEXT($A1182), ISERROR($A1182+0)), HYPERLINK($BF1182, "Images"), "")</f>
        <v>Images</v>
      </c>
      <c r="O1182" s="695" t="s">
        <v>5244</v>
      </c>
      <c r="P1182" s="630"/>
      <c r="Q1182" s="631"/>
      <c r="R1182" s="632"/>
      <c r="S1182" s="633"/>
      <c r="T1182" s="102">
        <f t="shared" si="871"/>
        <v>0</v>
      </c>
      <c r="U1182" s="78" t="str">
        <f>IF(NOT(ISNUMBER(G1182)), "", VLOOKUP(A1182,'Discount Lookup'!D:E,2,FALSE)*G1182)</f>
        <v/>
      </c>
      <c r="V1182" s="78" t="str">
        <f>IF(NOT(ISNUMBER(G1182)), "", VLOOKUP(A1182,'Discount Lookup'!G:H,2,FALSE)*G1182)</f>
        <v/>
      </c>
      <c r="W1182" s="102">
        <f t="shared" si="872"/>
        <v>0</v>
      </c>
      <c r="X1182" s="102" t="str">
        <f t="shared" si="873"/>
        <v>Purple blooms &amp; foliage</v>
      </c>
      <c r="Y1182" s="120" t="b">
        <f t="shared" si="874"/>
        <v>0</v>
      </c>
      <c r="Z1182" s="117">
        <f t="shared" si="875"/>
        <v>0</v>
      </c>
      <c r="AA1182" s="118"/>
      <c r="AB1182" s="118" t="str">
        <f t="shared" si="876"/>
        <v/>
      </c>
      <c r="AC1182" s="712" t="str">
        <f>IF(AE1182="T2G","no charge",IF(AND(OR(PlanterYesMe="No",PlanterYesMe="N",PlanterYesMe="me"),H1182=""),"",IF(H1182="credit","NO install",IF(AND(K1182="",AE1182="me"),"EACH row",IF(AND(K1182="images",AE1182="me"),"EACH row",IF(D1182="","",IF(H1182="credit","",IF(AE1182="free","re-planting",IF(AE1182="me","   not ELP, by",IF(AND(OR(PlanterYesMe="Yes",PlanterYesMe="Y"),G1182&gt;0),(VLOOKUP(A1182,'Discount Lookup'!J:K,2)*G1182*(1-PlanterDiscount)*(1+PlanterDifficultyPercentage)),IF(AE1182="ELP",(VLOOKUP(A1182,'Discount Lookup'!J:K,2)*G1182*(1-PlanterDiscount)*(1+PlanterDifficultyPercentage)),IF(AE1182="free","re-planting",IF(G1182=0,"",IF(PlanterYesMe="",IF(AE1182="me","   not ELP, by",IF(AE1182="",IF(G1182&gt;0,(VLOOKUP(A1182,'Discount Lookup'!J:K,2)*G1182*(1-PlanterDiscount)*(1+PlanterDifficultyPercentage)),""),"")),"   not ELP, by"))))))))))))))</f>
        <v/>
      </c>
      <c r="AD1182" s="712"/>
      <c r="AE1182" s="513" t="str">
        <f t="shared" si="877"/>
        <v/>
      </c>
      <c r="AF1182" s="713" t="str">
        <f t="shared" si="878"/>
        <v/>
      </c>
      <c r="AG1182" s="713"/>
      <c r="AH1182" s="713"/>
      <c r="AI1182" s="112">
        <f>IF(H1182="credit",0,IF(AE1182="free",0,IF(AE1182="me",0,IF(G1182&gt;0,(VLOOKUP(A1182,'Discount Lookup'!J:K,2)*G1182),0))))</f>
        <v>0</v>
      </c>
      <c r="AJ1182" s="107" t="str">
        <f t="shared" ca="1" si="879"/>
        <v/>
      </c>
      <c r="AK1182" s="714" t="str">
        <f t="shared" si="880"/>
        <v/>
      </c>
      <c r="AL1182" s="714"/>
      <c r="AM1182" s="114" t="str">
        <f t="shared" si="881"/>
        <v/>
      </c>
      <c r="AN1182" s="115"/>
      <c r="AO1182" s="116"/>
      <c r="AP1182" s="116"/>
      <c r="AQ1182" s="116"/>
      <c r="AR1182" s="116"/>
      <c r="AS1182" s="116"/>
      <c r="AT1182" s="116"/>
      <c r="AU1182" s="116"/>
      <c r="AV1182" s="78"/>
      <c r="AW1182" s="102"/>
      <c r="AX1182" s="78"/>
      <c r="AY1182" s="78"/>
      <c r="AZ1182" s="78"/>
      <c r="BA1182" s="78"/>
      <c r="BB1182" s="78"/>
      <c r="BC1182" s="78"/>
      <c r="BD1182" s="78"/>
      <c r="BE1182" s="465"/>
      <c r="BF1182" s="165" t="str">
        <f t="shared" si="882"/>
        <v>https://www.google.com/search?tbm=isch&amp;q=Chaste%20%27Bailtexone%27%20PP%2330283%20Flip%20Side%C2%AE%20Chaste%20Tree</v>
      </c>
      <c r="BG1182" s="165" t="str">
        <f t="shared" si="883"/>
        <v>C</v>
      </c>
      <c r="BH1182" s="65"/>
      <c r="BI1182" s="65"/>
      <c r="BJ1182" s="65"/>
      <c r="BK1182" s="65"/>
      <c r="BL1182" s="99"/>
      <c r="BM1182" s="99"/>
      <c r="BN1182" s="99"/>
    </row>
    <row r="1183" spans="1:66" s="51" customFormat="1" ht="15.75" x14ac:dyDescent="0.25">
      <c r="A1183" s="634">
        <v>3</v>
      </c>
      <c r="B1183" s="635" t="s">
        <v>291</v>
      </c>
      <c r="C1183" s="636" t="s">
        <v>2200</v>
      </c>
      <c r="D1183" s="637" t="s">
        <v>329</v>
      </c>
      <c r="E1183" s="638">
        <v>27.95</v>
      </c>
      <c r="F1183" s="639" t="s">
        <v>292</v>
      </c>
      <c r="G1183" s="484">
        <v>0</v>
      </c>
      <c r="H1183" s="691" t="str">
        <f>IF(G1183=0,"",IF(F1183="Buy",IF(G1183=1,"plant","plants"),IF(F1183&gt;0.01,"warranty","Error")))</f>
        <v/>
      </c>
      <c r="I1183" s="640">
        <f>IF(H1183="free",0,IF(H1183="credit",((E1183*(F1183))*G1183*-1),IF(F1183="Buy",(E1183*G1183),((E1183*(1-F1183))*G1183))))</f>
        <v>0</v>
      </c>
      <c r="J1183" s="640">
        <f>IF(H1183="warranty",0,(I1183*(_xlfn.SINGLE(SalesTaxPercentage))))</f>
        <v>0</v>
      </c>
      <c r="K1183" s="716">
        <f t="shared" ref="K1183" si="892">I1183+J1183</f>
        <v>0</v>
      </c>
      <c r="L1183" s="716"/>
      <c r="M1183" s="689" t="str">
        <f ca="1">IF(AND(G1183&gt;0,E1183=0),"WARNING - no PRICE inserted",IF(H1183="free","FREE ~ no charge this plant",IF(H1183="credit",CONCATENATE("-$",ROUND(K1183*(1-_xlfn.SINGLE(T2GDiscount))*-1,2)," CREDIT after discount"),IF(_xlfn.SINGLE(T2GDiscount)=0,"",IF(G1183=0,"",IF(F1183="Buy",CONCATENATE("$",ROUND(K1183*(1-_xlfn.SINGLE(T2GDiscount)),2)," with ",(_xlfn.SINGLE(T2GDiscount)*100),"% discount"),CONCATENATE("$",ROUND(K1183*(1-_xlfn.SINGLE(T2GDiscount)),2)," with ",((_xlfn.SINGLE(T2GDiscount)*100+F1183*100)-(_xlfn.SINGLE(T2GDiscount)*100*F1183)),IF(F1183&gt;0,"% discounts",IF(_xlfn.SINGLE(NoWarrantyDiscount)&gt;0,"% discounts","% discount")))))))))</f>
        <v/>
      </c>
      <c r="N1183" s="690"/>
      <c r="O1183" s="486"/>
      <c r="P1183" s="486"/>
      <c r="Q1183" s="486"/>
      <c r="R1183" s="486"/>
      <c r="S1183" s="486"/>
      <c r="T1183" s="102">
        <f t="shared" si="871"/>
        <v>0</v>
      </c>
      <c r="U1183" s="78">
        <f>IF(NOT(ISNUMBER(G1183)), "", VLOOKUP(A1183,'Discount Lookup'!D:E,2,FALSE)*G1183)</f>
        <v>0</v>
      </c>
      <c r="V1183" s="78">
        <f>IF(NOT(ISNUMBER(G1183)), "", VLOOKUP(A1183,'Discount Lookup'!G:H,2,FALSE)*G1183)</f>
        <v>0</v>
      </c>
      <c r="W1183" s="102">
        <f t="shared" si="872"/>
        <v>0</v>
      </c>
      <c r="X1183" s="102">
        <f t="shared" si="873"/>
        <v>0</v>
      </c>
      <c r="Y1183" s="120" t="b">
        <f t="shared" si="874"/>
        <v>0</v>
      </c>
      <c r="Z1183" s="117">
        <f t="shared" si="875"/>
        <v>0</v>
      </c>
      <c r="AA1183" s="118"/>
      <c r="AB1183" s="118" t="str">
        <f t="shared" si="876"/>
        <v/>
      </c>
      <c r="AC1183" s="712" t="str">
        <f>IF(AE1183="T2G","no charge",IF(AND(OR(PlanterYesMe="No",PlanterYesMe="N",PlanterYesMe="me"),H1183=""),"",IF(H1183="credit","NO install",IF(AND(K1183="",AE1183="me"),"EACH row",IF(AND(K1183="images",AE1183="me"),"EACH row",IF(D1183="","",IF(H1183="credit","",IF(AE1183="free","re-planting",IF(AE1183="me","   not ELP, by",IF(AND(OR(PlanterYesMe="Yes",PlanterYesMe="Y"),G1183&gt;0),(VLOOKUP(A1183,'Discount Lookup'!J:K,2)*G1183*(1-PlanterDiscount)*(1+PlanterDifficultyPercentage)),IF(AE1183="ELP",(VLOOKUP(A1183,'Discount Lookup'!J:K,2)*G1183*(1-PlanterDiscount)*(1+PlanterDifficultyPercentage)),IF(AE1183="free","re-planting",IF(G1183=0,"",IF(PlanterYesMe="",IF(AE1183="me","   not ELP, by",IF(AE1183="",IF(G1183&gt;0,(VLOOKUP(A1183,'Discount Lookup'!J:K,2)*G1183*(1-PlanterDiscount)*(1+PlanterDifficultyPercentage)),""),"")),"   not ELP, by"))))))))))))))</f>
        <v/>
      </c>
      <c r="AD1183" s="712"/>
      <c r="AE1183" s="513" t="str">
        <f t="shared" si="877"/>
        <v/>
      </c>
      <c r="AF1183" s="713" t="str">
        <f t="shared" si="878"/>
        <v/>
      </c>
      <c r="AG1183" s="713"/>
      <c r="AH1183" s="713"/>
      <c r="AI1183" s="112">
        <f>IF(H1183="credit",0,IF(AE1183="free",0,IF(AE1183="me",0,IF(G1183&gt;0,(VLOOKUP(A1183,'Discount Lookup'!J:K,2)*G1183),0))))</f>
        <v>0</v>
      </c>
      <c r="AJ1183" s="107" t="str">
        <f t="shared" ca="1" si="879"/>
        <v/>
      </c>
      <c r="AK1183" s="714" t="str">
        <f t="shared" si="880"/>
        <v/>
      </c>
      <c r="AL1183" s="714"/>
      <c r="AM1183" s="114" t="str">
        <f t="shared" si="881"/>
        <v/>
      </c>
      <c r="AN1183" s="115"/>
      <c r="AO1183" s="116"/>
      <c r="AP1183" s="116"/>
      <c r="AQ1183" s="116"/>
      <c r="AR1183" s="116"/>
      <c r="AS1183" s="116"/>
      <c r="AT1183" s="116"/>
      <c r="AU1183" s="116"/>
      <c r="AV1183" s="78"/>
      <c r="AW1183" s="102"/>
      <c r="AX1183" s="78"/>
      <c r="AY1183" s="78"/>
      <c r="AZ1183" s="78"/>
      <c r="BA1183" s="78"/>
      <c r="BB1183" s="78"/>
      <c r="BC1183" s="78"/>
      <c r="BD1183" s="78"/>
      <c r="BE1183" s="465"/>
      <c r="BF1183" s="165" t="str">
        <f t="shared" si="882"/>
        <v>https://www.google.com/search?tbm=isch&amp;q=3%20G2</v>
      </c>
      <c r="BG1183" s="165" t="str">
        <f t="shared" si="883"/>
        <v>C</v>
      </c>
      <c r="BH1183" s="65"/>
      <c r="BI1183" s="65"/>
      <c r="BJ1183" s="65"/>
      <c r="BK1183" s="65"/>
      <c r="BL1183" s="99"/>
      <c r="BM1183" s="99"/>
      <c r="BN1183" s="99"/>
    </row>
    <row r="1184" spans="1:66" s="51" customFormat="1" ht="16.5" x14ac:dyDescent="0.25">
      <c r="A1184" s="641" t="s">
        <v>2201</v>
      </c>
      <c r="B1184" s="642"/>
      <c r="C1184" s="710"/>
      <c r="D1184" s="643"/>
      <c r="E1184" s="643"/>
      <c r="F1184" s="644"/>
      <c r="G1184" s="645"/>
      <c r="H1184" s="646"/>
      <c r="I1184" s="647"/>
      <c r="J1184" s="648"/>
      <c r="K1184" s="649"/>
      <c r="L1184" s="650"/>
      <c r="M1184" s="650"/>
      <c r="N1184" s="644"/>
      <c r="O1184" s="644"/>
      <c r="P1184" s="644"/>
      <c r="Q1184" s="644"/>
      <c r="R1184" s="644"/>
      <c r="S1184" s="701" t="s">
        <v>5267</v>
      </c>
      <c r="T1184" s="102">
        <f t="shared" si="871"/>
        <v>0</v>
      </c>
      <c r="U1184" s="78" t="str">
        <f>IF(NOT(ISNUMBER(G1184)), "", VLOOKUP(A1184,'Discount Lookup'!D:E,2,FALSE)*G1184)</f>
        <v/>
      </c>
      <c r="V1184" s="78" t="str">
        <f>IF(NOT(ISNUMBER(G1184)), "", VLOOKUP(A1184,'Discount Lookup'!G:H,2,FALSE)*G1184)</f>
        <v/>
      </c>
      <c r="W1184" s="102">
        <f t="shared" si="872"/>
        <v>0</v>
      </c>
      <c r="X1184" s="102">
        <f t="shared" si="873"/>
        <v>0</v>
      </c>
      <c r="Y1184" s="120" t="b">
        <f t="shared" si="874"/>
        <v>0</v>
      </c>
      <c r="Z1184" s="117">
        <f t="shared" si="875"/>
        <v>0</v>
      </c>
      <c r="AA1184" s="118"/>
      <c r="AB1184" s="118" t="str">
        <f t="shared" si="876"/>
        <v/>
      </c>
      <c r="AC1184" s="712" t="str">
        <f>IF(AE1184="T2G","no charge",IF(AND(OR(PlanterYesMe="No",PlanterYesMe="N",PlanterYesMe="me"),H1184=""),"",IF(H1184="credit","NO install",IF(AND(K1184="",AE1184="me"),"EACH row",IF(AND(K1184="images",AE1184="me"),"EACH row",IF(D1184="","",IF(H1184="credit","",IF(AE1184="free","re-planting",IF(AE1184="me","   not ELP, by",IF(AND(OR(PlanterYesMe="Yes",PlanterYesMe="Y"),G1184&gt;0),(VLOOKUP(A1184,'Discount Lookup'!J:K,2)*G1184*(1-PlanterDiscount)*(1+PlanterDifficultyPercentage)),IF(AE1184="ELP",(VLOOKUP(A1184,'Discount Lookup'!J:K,2)*G1184*(1-PlanterDiscount)*(1+PlanterDifficultyPercentage)),IF(AE1184="free","re-planting",IF(G1184=0,"",IF(PlanterYesMe="",IF(AE1184="me","   not ELP, by",IF(AE1184="",IF(G1184&gt;0,(VLOOKUP(A1184,'Discount Lookup'!J:K,2)*G1184*(1-PlanterDiscount)*(1+PlanterDifficultyPercentage)),""),"")),"   not ELP, by"))))))))))))))</f>
        <v/>
      </c>
      <c r="AD1184" s="712"/>
      <c r="AE1184" s="513" t="str">
        <f t="shared" si="877"/>
        <v/>
      </c>
      <c r="AF1184" s="713" t="str">
        <f t="shared" si="878"/>
        <v/>
      </c>
      <c r="AG1184" s="713"/>
      <c r="AH1184" s="713"/>
      <c r="AI1184" s="112">
        <f>IF(H1184="credit",0,IF(AE1184="free",0,IF(AE1184="me",0,IF(G1184&gt;0,(VLOOKUP(A1184,'Discount Lookup'!J:K,2)*G1184),0))))</f>
        <v>0</v>
      </c>
      <c r="AJ1184" s="107" t="str">
        <f t="shared" ca="1" si="879"/>
        <v/>
      </c>
      <c r="AK1184" s="714" t="str">
        <f t="shared" si="880"/>
        <v/>
      </c>
      <c r="AL1184" s="714"/>
      <c r="AM1184" s="114" t="str">
        <f t="shared" si="881"/>
        <v/>
      </c>
      <c r="AN1184" s="115"/>
      <c r="AO1184" s="116"/>
      <c r="AP1184" s="116"/>
      <c r="AQ1184" s="116"/>
      <c r="AR1184" s="116"/>
      <c r="AS1184" s="116"/>
      <c r="AT1184" s="116"/>
      <c r="AU1184" s="116"/>
      <c r="AV1184" s="78"/>
      <c r="AW1184" s="102"/>
      <c r="AX1184" s="78"/>
      <c r="AY1184" s="78"/>
      <c r="AZ1184" s="78"/>
      <c r="BA1184" s="78"/>
      <c r="BB1184" s="78"/>
      <c r="BC1184" s="78"/>
      <c r="BD1184" s="78"/>
      <c r="BE1184" s="465"/>
      <c r="BF1184" s="165" t="str">
        <f t="shared" si="882"/>
        <v>https://www.google.com/search?tbm=isch&amp;q=Flip%20Side%20is%20named%20for%20the%20olive-green-mauve%20leaves%2C%20purple%20below.%20Any%20breeze%20will%20expose%20this%20as%20a%20purple%20plant%20</v>
      </c>
      <c r="BG1184" s="165" t="str">
        <f t="shared" si="883"/>
        <v>F</v>
      </c>
      <c r="BH1184" s="65"/>
      <c r="BI1184" s="65"/>
      <c r="BJ1184" s="65"/>
      <c r="BK1184" s="65"/>
      <c r="BL1184" s="99"/>
      <c r="BM1184" s="99"/>
      <c r="BN1184" s="99"/>
    </row>
    <row r="1185" spans="1:66" s="51" customFormat="1" ht="19.5" thickBot="1" x14ac:dyDescent="0.3">
      <c r="A1185" s="686" t="s">
        <v>405</v>
      </c>
      <c r="B1185" s="73"/>
      <c r="C1185" s="708"/>
      <c r="D1185" s="73"/>
      <c r="E1185" s="73"/>
      <c r="F1185" s="496"/>
      <c r="G1185" s="73"/>
      <c r="H1185" s="73"/>
      <c r="I1185" s="73"/>
      <c r="J1185" s="497" t="s">
        <v>357</v>
      </c>
      <c r="K1185" s="498"/>
      <c r="L1185" s="562"/>
      <c r="M1185" s="73"/>
      <c r="N1185"/>
      <c r="O1185"/>
      <c r="P1185"/>
      <c r="Q1185"/>
      <c r="R1185"/>
      <c r="S1185"/>
      <c r="T1185" s="102">
        <f t="shared" si="871"/>
        <v>0</v>
      </c>
      <c r="U1185" s="78" t="str">
        <f>IF(NOT(ISNUMBER(G1185)), "", VLOOKUP(A1185,'Discount Lookup'!D:E,2,FALSE)*G1185)</f>
        <v/>
      </c>
      <c r="V1185" s="78" t="str">
        <f>IF(NOT(ISNUMBER(G1185)), "", VLOOKUP(A1185,'Discount Lookup'!G:H,2,FALSE)*G1185)</f>
        <v/>
      </c>
      <c r="W1185" s="102">
        <f t="shared" si="872"/>
        <v>0</v>
      </c>
      <c r="X1185" s="102">
        <f t="shared" si="873"/>
        <v>0</v>
      </c>
      <c r="Y1185" s="120" t="b">
        <f t="shared" si="874"/>
        <v>0</v>
      </c>
      <c r="Z1185" s="117">
        <f t="shared" si="875"/>
        <v>0</v>
      </c>
      <c r="AA1185" s="118"/>
      <c r="AB1185" s="118" t="str">
        <f t="shared" si="876"/>
        <v/>
      </c>
      <c r="AC1185" s="712" t="str">
        <f>IF(AE1185="T2G","no charge",IF(AND(OR(PlanterYesMe="No",PlanterYesMe="N",PlanterYesMe="me"),H1185=""),"",IF(H1185="credit","NO install",IF(AND(K1185="",AE1185="me"),"EACH row",IF(AND(K1185="images",AE1185="me"),"EACH row",IF(D1185="","",IF(H1185="credit","",IF(AE1185="free","re-planting",IF(AE1185="me","   not ELP, by",IF(AND(OR(PlanterYesMe="Yes",PlanterYesMe="Y"),G1185&gt;0),(VLOOKUP(A1185,'Discount Lookup'!J:K,2)*G1185*(1-PlanterDiscount)*(1+PlanterDifficultyPercentage)),IF(AE1185="ELP",(VLOOKUP(A1185,'Discount Lookup'!J:K,2)*G1185*(1-PlanterDiscount)*(1+PlanterDifficultyPercentage)),IF(AE1185="free","re-planting",IF(G1185=0,"",IF(PlanterYesMe="",IF(AE1185="me","   not ELP, by",IF(AE1185="",IF(G1185&gt;0,(VLOOKUP(A1185,'Discount Lookup'!J:K,2)*G1185*(1-PlanterDiscount)*(1+PlanterDifficultyPercentage)),""),"")),"   not ELP, by"))))))))))))))</f>
        <v/>
      </c>
      <c r="AD1185" s="712"/>
      <c r="AE1185" s="513" t="str">
        <f t="shared" si="877"/>
        <v/>
      </c>
      <c r="AF1185" s="713" t="str">
        <f t="shared" si="878"/>
        <v/>
      </c>
      <c r="AG1185" s="713"/>
      <c r="AH1185" s="713"/>
      <c r="AI1185" s="112">
        <f>IF(H1185="credit",0,IF(AE1185="free",0,IF(AE1185="me",0,IF(G1185&gt;0,(VLOOKUP(A1185,'Discount Lookup'!J:K,2)*G1185),0))))</f>
        <v>0</v>
      </c>
      <c r="AJ1185" s="107" t="str">
        <f t="shared" ca="1" si="879"/>
        <v/>
      </c>
      <c r="AK1185" s="714" t="str">
        <f t="shared" si="880"/>
        <v/>
      </c>
      <c r="AL1185" s="714"/>
      <c r="AM1185" s="114" t="str">
        <f t="shared" si="881"/>
        <v/>
      </c>
      <c r="AN1185" s="115"/>
      <c r="AO1185" s="116"/>
      <c r="AP1185" s="116"/>
      <c r="AQ1185" s="116"/>
      <c r="AR1185" s="116"/>
      <c r="AS1185" s="116"/>
      <c r="AT1185" s="116"/>
      <c r="AU1185" s="116"/>
      <c r="AV1185" s="78"/>
      <c r="AW1185" s="102"/>
      <c r="AX1185" s="78"/>
      <c r="AY1185" s="78"/>
      <c r="AZ1185" s="78"/>
      <c r="BA1185" s="78"/>
      <c r="BB1185" s="78"/>
      <c r="BC1185" s="78"/>
      <c r="BD1185" s="78"/>
      <c r="BE1185" s="465"/>
      <c r="BF1185" s="165" t="str">
        <f t="shared" si="882"/>
        <v>https://www.google.com/search?tbm=isch&amp;q=Chimonanthus%20%3D%20Wintersweet%20</v>
      </c>
      <c r="BG1185" s="165" t="str">
        <f t="shared" si="883"/>
        <v>C</v>
      </c>
      <c r="BH1185" s="65"/>
      <c r="BI1185" s="65"/>
      <c r="BJ1185" s="65"/>
      <c r="BK1185" s="65"/>
      <c r="BL1185" s="99"/>
      <c r="BM1185" s="99"/>
      <c r="BN1185" s="99"/>
    </row>
    <row r="1186" spans="1:66" s="51" customFormat="1" ht="18" x14ac:dyDescent="0.25">
      <c r="A1186" s="623" t="s">
        <v>2202</v>
      </c>
      <c r="B1186" s="624"/>
      <c r="C1186" s="709"/>
      <c r="D1186" s="625" t="s">
        <v>2203</v>
      </c>
      <c r="E1186" s="626"/>
      <c r="F1186" s="626"/>
      <c r="G1186" s="626"/>
      <c r="H1186" s="622" t="s">
        <v>2204</v>
      </c>
      <c r="I1186" s="627" t="s">
        <v>5155</v>
      </c>
      <c r="J1186" s="628"/>
      <c r="K1186" s="628"/>
      <c r="L1186" s="629"/>
      <c r="M1186" s="700" t="s">
        <v>5249</v>
      </c>
      <c r="N1186" s="693" t="str">
        <f>IF(AND(ISTEXT($A1186), ISERROR($A1186+0)), HYPERLINK($BF1186, "Images"), "")</f>
        <v>Images</v>
      </c>
      <c r="O1186" s="695" t="s">
        <v>5247</v>
      </c>
      <c r="P1186" s="630"/>
      <c r="Q1186" s="631"/>
      <c r="R1186" s="632"/>
      <c r="S1186" s="633"/>
      <c r="T1186" s="102">
        <f t="shared" si="871"/>
        <v>0</v>
      </c>
      <c r="U1186" s="78" t="str">
        <f>IF(NOT(ISNUMBER(G1186)), "", VLOOKUP(A1186,'Discount Lookup'!D:E,2,FALSE)*G1186)</f>
        <v/>
      </c>
      <c r="V1186" s="78" t="str">
        <f>IF(NOT(ISNUMBER(G1186)), "", VLOOKUP(A1186,'Discount Lookup'!G:H,2,FALSE)*G1186)</f>
        <v/>
      </c>
      <c r="W1186" s="102">
        <f t="shared" si="872"/>
        <v>0</v>
      </c>
      <c r="X1186" s="102" t="str">
        <f t="shared" si="873"/>
        <v>Pale Yellow, Maroon eye</v>
      </c>
      <c r="Y1186" s="120" t="b">
        <f t="shared" si="874"/>
        <v>0</v>
      </c>
      <c r="Z1186" s="117">
        <f t="shared" si="875"/>
        <v>0</v>
      </c>
      <c r="AA1186" s="118"/>
      <c r="AB1186" s="118" t="str">
        <f t="shared" si="876"/>
        <v/>
      </c>
      <c r="AC1186" s="712" t="str">
        <f>IF(AE1186="T2G","no charge",IF(AND(OR(PlanterYesMe="No",PlanterYesMe="N",PlanterYesMe="me"),H1186=""),"",IF(H1186="credit","NO install",IF(AND(K1186="",AE1186="me"),"EACH row",IF(AND(K1186="images",AE1186="me"),"EACH row",IF(D1186="","",IF(H1186="credit","",IF(AE1186="free","re-planting",IF(AE1186="me","   not ELP, by",IF(AND(OR(PlanterYesMe="Yes",PlanterYesMe="Y"),G1186&gt;0),(VLOOKUP(A1186,'Discount Lookup'!J:K,2)*G1186*(1-PlanterDiscount)*(1+PlanterDifficultyPercentage)),IF(AE1186="ELP",(VLOOKUP(A1186,'Discount Lookup'!J:K,2)*G1186*(1-PlanterDiscount)*(1+PlanterDifficultyPercentage)),IF(AE1186="free","re-planting",IF(G1186=0,"",IF(PlanterYesMe="",IF(AE1186="me","   not ELP, by",IF(AE1186="",IF(G1186&gt;0,(VLOOKUP(A1186,'Discount Lookup'!J:K,2)*G1186*(1-PlanterDiscount)*(1+PlanterDifficultyPercentage)),""),"")),"   not ELP, by"))))))))))))))</f>
        <v/>
      </c>
      <c r="AD1186" s="712"/>
      <c r="AE1186" s="513" t="str">
        <f t="shared" si="877"/>
        <v/>
      </c>
      <c r="AF1186" s="713" t="str">
        <f t="shared" si="878"/>
        <v/>
      </c>
      <c r="AG1186" s="713"/>
      <c r="AH1186" s="713"/>
      <c r="AI1186" s="112">
        <f>IF(H1186="credit",0,IF(AE1186="free",0,IF(AE1186="me",0,IF(G1186&gt;0,(VLOOKUP(A1186,'Discount Lookup'!J:K,2)*G1186),0))))</f>
        <v>0</v>
      </c>
      <c r="AJ1186" s="107" t="str">
        <f t="shared" ca="1" si="879"/>
        <v/>
      </c>
      <c r="AK1186" s="714" t="str">
        <f t="shared" si="880"/>
        <v/>
      </c>
      <c r="AL1186" s="714"/>
      <c r="AM1186" s="114" t="str">
        <f t="shared" si="881"/>
        <v/>
      </c>
      <c r="AN1186" s="115"/>
      <c r="AO1186" s="116"/>
      <c r="AP1186" s="116"/>
      <c r="AQ1186" s="116"/>
      <c r="AR1186" s="116"/>
      <c r="AS1186" s="116"/>
      <c r="AT1186" s="116"/>
      <c r="AU1186" s="116"/>
      <c r="AV1186" s="78"/>
      <c r="AW1186" s="102"/>
      <c r="AX1186" s="78"/>
      <c r="AY1186" s="78"/>
      <c r="AZ1186" s="78"/>
      <c r="BA1186" s="78"/>
      <c r="BB1186" s="78"/>
      <c r="BC1186" s="78"/>
      <c r="BD1186" s="78"/>
      <c r="BE1186" s="465"/>
      <c r="BF1186" s="165" t="str">
        <f t="shared" si="882"/>
        <v>https://www.google.com/search?tbm=isch&amp;q=Chimonanthus%20praecox%20Fragrant%20Wintersweet</v>
      </c>
      <c r="BG1186" s="165" t="str">
        <f t="shared" si="883"/>
        <v>C</v>
      </c>
      <c r="BH1186" s="65"/>
      <c r="BI1186" s="65"/>
      <c r="BJ1186" s="65"/>
      <c r="BK1186" s="65"/>
      <c r="BL1186" s="99"/>
      <c r="BM1186" s="99"/>
      <c r="BN1186" s="99"/>
    </row>
    <row r="1187" spans="1:66" s="51" customFormat="1" ht="27" x14ac:dyDescent="0.25">
      <c r="A1187" s="634">
        <v>7</v>
      </c>
      <c r="B1187" s="635" t="s">
        <v>291</v>
      </c>
      <c r="C1187" s="636" t="s">
        <v>2205</v>
      </c>
      <c r="D1187" s="637" t="s">
        <v>299</v>
      </c>
      <c r="E1187" s="638">
        <v>86.95</v>
      </c>
      <c r="F1187" s="639" t="s">
        <v>292</v>
      </c>
      <c r="G1187" s="484">
        <v>0</v>
      </c>
      <c r="H1187" s="691" t="str">
        <f>IF(G1187=0,"",IF(F1187="Buy",IF(G1187=1,"plant","plants"),IF(F1187&gt;0.01,"warranty","Error")))</f>
        <v/>
      </c>
      <c r="I1187" s="640">
        <f>IF(H1187="free",0,IF(H1187="credit",((E1187*(F1187))*G1187*-1),IF(F1187="Buy",(E1187*G1187),((E1187*(1-F1187))*G1187))))</f>
        <v>0</v>
      </c>
      <c r="J1187" s="640">
        <f>IF(H1187="warranty",0,(I1187*(_xlfn.SINGLE(SalesTaxPercentage))))</f>
        <v>0</v>
      </c>
      <c r="K1187" s="716">
        <f t="shared" ref="K1187" si="893">I1187+J1187</f>
        <v>0</v>
      </c>
      <c r="L1187" s="716"/>
      <c r="M1187" s="689" t="str">
        <f ca="1">IF(AND(G1187&gt;0,E1187=0),"WARNING - no PRICE inserted",IF(H1187="free","FREE ~ no charge this plant",IF(H1187="credit",CONCATENATE("-$",ROUND(K1187*(1-_xlfn.SINGLE(T2GDiscount))*-1,2)," CREDIT after discount"),IF(_xlfn.SINGLE(T2GDiscount)=0,"",IF(G1187=0,"",IF(F1187="Buy",CONCATENATE("$",ROUND(K1187*(1-_xlfn.SINGLE(T2GDiscount)),2)," with ",(_xlfn.SINGLE(T2GDiscount)*100),"% discount"),CONCATENATE("$",ROUND(K1187*(1-_xlfn.SINGLE(T2GDiscount)),2)," with ",((_xlfn.SINGLE(T2GDiscount)*100+F1187*100)-(_xlfn.SINGLE(T2GDiscount)*100*F1187)),IF(F1187&gt;0,"% discounts",IF(_xlfn.SINGLE(NoWarrantyDiscount)&gt;0,"% discounts","% discount")))))))))</f>
        <v/>
      </c>
      <c r="N1187" s="690"/>
      <c r="O1187" s="486"/>
      <c r="P1187" s="486"/>
      <c r="Q1187" s="486"/>
      <c r="R1187" s="486"/>
      <c r="S1187" s="486"/>
      <c r="T1187" s="102">
        <f t="shared" si="871"/>
        <v>0</v>
      </c>
      <c r="U1187" s="78">
        <f>IF(NOT(ISNUMBER(G1187)), "", VLOOKUP(A1187,'Discount Lookup'!D:E,2,FALSE)*G1187)</f>
        <v>0</v>
      </c>
      <c r="V1187" s="78">
        <f>IF(NOT(ISNUMBER(G1187)), "", VLOOKUP(A1187,'Discount Lookup'!G:H,2,FALSE)*G1187)</f>
        <v>0</v>
      </c>
      <c r="W1187" s="102">
        <f t="shared" si="872"/>
        <v>0</v>
      </c>
      <c r="X1187" s="102">
        <f t="shared" si="873"/>
        <v>0</v>
      </c>
      <c r="Y1187" s="120" t="b">
        <f t="shared" si="874"/>
        <v>0</v>
      </c>
      <c r="Z1187" s="117">
        <f t="shared" si="875"/>
        <v>0</v>
      </c>
      <c r="AA1187" s="118"/>
      <c r="AB1187" s="118" t="str">
        <f t="shared" si="876"/>
        <v/>
      </c>
      <c r="AC1187" s="712" t="str">
        <f>IF(AE1187="T2G","no charge",IF(AND(OR(PlanterYesMe="No",PlanterYesMe="N",PlanterYesMe="me"),H1187=""),"",IF(H1187="credit","NO install",IF(AND(K1187="",AE1187="me"),"EACH row",IF(AND(K1187="images",AE1187="me"),"EACH row",IF(D1187="","",IF(H1187="credit","",IF(AE1187="free","re-planting",IF(AE1187="me","   not ELP, by",IF(AND(OR(PlanterYesMe="Yes",PlanterYesMe="Y"),G1187&gt;0),(VLOOKUP(A1187,'Discount Lookup'!J:K,2)*G1187*(1-PlanterDiscount)*(1+PlanterDifficultyPercentage)),IF(AE1187="ELP",(VLOOKUP(A1187,'Discount Lookup'!J:K,2)*G1187*(1-PlanterDiscount)*(1+PlanterDifficultyPercentage)),IF(AE1187="free","re-planting",IF(G1187=0,"",IF(PlanterYesMe="",IF(AE1187="me","   not ELP, by",IF(AE1187="",IF(G1187&gt;0,(VLOOKUP(A1187,'Discount Lookup'!J:K,2)*G1187*(1-PlanterDiscount)*(1+PlanterDifficultyPercentage)),""),"")),"   not ELP, by"))))))))))))))</f>
        <v/>
      </c>
      <c r="AD1187" s="712"/>
      <c r="AE1187" s="513" t="str">
        <f t="shared" si="877"/>
        <v/>
      </c>
      <c r="AF1187" s="713" t="str">
        <f t="shared" si="878"/>
        <v/>
      </c>
      <c r="AG1187" s="713"/>
      <c r="AH1187" s="713"/>
      <c r="AI1187" s="112">
        <f>IF(H1187="credit",0,IF(AE1187="free",0,IF(AE1187="me",0,IF(G1187&gt;0,(VLOOKUP(A1187,'Discount Lookup'!J:K,2)*G1187),0))))</f>
        <v>0</v>
      </c>
      <c r="AJ1187" s="107" t="str">
        <f t="shared" ca="1" si="879"/>
        <v/>
      </c>
      <c r="AK1187" s="714" t="str">
        <f t="shared" si="880"/>
        <v/>
      </c>
      <c r="AL1187" s="714"/>
      <c r="AM1187" s="114" t="str">
        <f t="shared" si="881"/>
        <v/>
      </c>
      <c r="AN1187" s="115"/>
      <c r="AO1187" s="116"/>
      <c r="AP1187" s="116"/>
      <c r="AQ1187" s="116"/>
      <c r="AR1187" s="116"/>
      <c r="AS1187" s="116"/>
      <c r="AT1187" s="116"/>
      <c r="AU1187" s="116"/>
      <c r="AV1187" s="78"/>
      <c r="AW1187" s="102"/>
      <c r="AX1187" s="78"/>
      <c r="AY1187" s="78"/>
      <c r="AZ1187" s="78"/>
      <c r="BA1187" s="78"/>
      <c r="BB1187" s="78"/>
      <c r="BC1187" s="78"/>
      <c r="BD1187" s="78"/>
      <c r="BE1187" s="465"/>
      <c r="BF1187" s="165" t="str">
        <f t="shared" si="882"/>
        <v>https://www.google.com/search?tbm=isch&amp;q=7%20G4</v>
      </c>
      <c r="BG1187" s="165" t="str">
        <f t="shared" si="883"/>
        <v>C</v>
      </c>
      <c r="BH1187" s="65"/>
      <c r="BI1187" s="65"/>
      <c r="BJ1187" s="65"/>
      <c r="BK1187" s="65"/>
      <c r="BL1187" s="99"/>
      <c r="BM1187" s="99"/>
      <c r="BN1187" s="99"/>
    </row>
    <row r="1188" spans="1:66" s="51" customFormat="1" ht="27" x14ac:dyDescent="0.25">
      <c r="A1188" s="634">
        <v>7</v>
      </c>
      <c r="B1188" s="635" t="s">
        <v>291</v>
      </c>
      <c r="C1188" s="636" t="s">
        <v>2206</v>
      </c>
      <c r="D1188" s="637" t="s">
        <v>299</v>
      </c>
      <c r="E1188" s="638">
        <v>100.95</v>
      </c>
      <c r="F1188" s="639" t="s">
        <v>292</v>
      </c>
      <c r="G1188" s="484">
        <v>0</v>
      </c>
      <c r="H1188" s="691" t="str">
        <f>IF(G1188=0,"",IF(F1188="Buy",IF(G1188=1,"plant","plants"),IF(F1188&gt;0.01,"warranty","Error")))</f>
        <v/>
      </c>
      <c r="I1188" s="640">
        <f>IF(H1188="free",0,IF(H1188="credit",((E1188*(F1188))*G1188*-1),IF(F1188="Buy",(E1188*G1188),((E1188*(1-F1188))*G1188))))</f>
        <v>0</v>
      </c>
      <c r="J1188" s="640">
        <f>IF(H1188="warranty",0,(I1188*(_xlfn.SINGLE(SalesTaxPercentage))))</f>
        <v>0</v>
      </c>
      <c r="K1188" s="716">
        <f t="shared" ref="K1188" si="894">I1188+J1188</f>
        <v>0</v>
      </c>
      <c r="L1188" s="716"/>
      <c r="M1188" s="689" t="str">
        <f ca="1">IF(AND(G1188&gt;0,E1188=0),"WARNING - no PRICE inserted",IF(H1188="free","FREE ~ no charge this plant",IF(H1188="credit",CONCATENATE("-$",ROUND(K1188*(1-_xlfn.SINGLE(T2GDiscount))*-1,2)," CREDIT after discount"),IF(_xlfn.SINGLE(T2GDiscount)=0,"",IF(G1188=0,"",IF(F1188="Buy",CONCATENATE("$",ROUND(K1188*(1-_xlfn.SINGLE(T2GDiscount)),2)," with ",(_xlfn.SINGLE(T2GDiscount)*100),"% discount"),CONCATENATE("$",ROUND(K1188*(1-_xlfn.SINGLE(T2GDiscount)),2)," with ",((_xlfn.SINGLE(T2GDiscount)*100+F1188*100)-(_xlfn.SINGLE(T2GDiscount)*100*F1188)),IF(F1188&gt;0,"% discounts",IF(_xlfn.SINGLE(NoWarrantyDiscount)&gt;0,"% discounts","% discount")))))))))</f>
        <v/>
      </c>
      <c r="N1188" s="690"/>
      <c r="O1188" s="486"/>
      <c r="P1188" s="486"/>
      <c r="Q1188" s="486"/>
      <c r="R1188" s="486"/>
      <c r="S1188" s="486"/>
      <c r="T1188" s="102">
        <f t="shared" si="871"/>
        <v>0</v>
      </c>
      <c r="U1188" s="78">
        <f>IF(NOT(ISNUMBER(G1188)), "", VLOOKUP(A1188,'Discount Lookup'!D:E,2,FALSE)*G1188)</f>
        <v>0</v>
      </c>
      <c r="V1188" s="78">
        <f>IF(NOT(ISNUMBER(G1188)), "", VLOOKUP(A1188,'Discount Lookup'!G:H,2,FALSE)*G1188)</f>
        <v>0</v>
      </c>
      <c r="W1188" s="102">
        <f t="shared" si="872"/>
        <v>0</v>
      </c>
      <c r="X1188" s="102">
        <f t="shared" si="873"/>
        <v>0</v>
      </c>
      <c r="Y1188" s="120" t="b">
        <f t="shared" si="874"/>
        <v>0</v>
      </c>
      <c r="Z1188" s="117">
        <f t="shared" si="875"/>
        <v>0</v>
      </c>
      <c r="AA1188" s="118"/>
      <c r="AB1188" s="118" t="str">
        <f t="shared" si="876"/>
        <v/>
      </c>
      <c r="AC1188" s="712" t="str">
        <f>IF(AE1188="T2G","no charge",IF(AND(OR(PlanterYesMe="No",PlanterYesMe="N",PlanterYesMe="me"),H1188=""),"",IF(H1188="credit","NO install",IF(AND(K1188="",AE1188="me"),"EACH row",IF(AND(K1188="images",AE1188="me"),"EACH row",IF(D1188="","",IF(H1188="credit","",IF(AE1188="free","re-planting",IF(AE1188="me","   not ELP, by",IF(AND(OR(PlanterYesMe="Yes",PlanterYesMe="Y"),G1188&gt;0),(VLOOKUP(A1188,'Discount Lookup'!J:K,2)*G1188*(1-PlanterDiscount)*(1+PlanterDifficultyPercentage)),IF(AE1188="ELP",(VLOOKUP(A1188,'Discount Lookup'!J:K,2)*G1188*(1-PlanterDiscount)*(1+PlanterDifficultyPercentage)),IF(AE1188="free","re-planting",IF(G1188=0,"",IF(PlanterYesMe="",IF(AE1188="me","   not ELP, by",IF(AE1188="",IF(G1188&gt;0,(VLOOKUP(A1188,'Discount Lookup'!J:K,2)*G1188*(1-PlanterDiscount)*(1+PlanterDifficultyPercentage)),""),"")),"   not ELP, by"))))))))))))))</f>
        <v/>
      </c>
      <c r="AD1188" s="712"/>
      <c r="AE1188" s="513" t="str">
        <f t="shared" si="877"/>
        <v/>
      </c>
      <c r="AF1188" s="713" t="str">
        <f t="shared" si="878"/>
        <v/>
      </c>
      <c r="AG1188" s="713"/>
      <c r="AH1188" s="713"/>
      <c r="AI1188" s="112">
        <f>IF(H1188="credit",0,IF(AE1188="free",0,IF(AE1188="me",0,IF(G1188&gt;0,(VLOOKUP(A1188,'Discount Lookup'!J:K,2)*G1188),0))))</f>
        <v>0</v>
      </c>
      <c r="AJ1188" s="107" t="str">
        <f t="shared" ca="1" si="879"/>
        <v/>
      </c>
      <c r="AK1188" s="714" t="str">
        <f t="shared" si="880"/>
        <v/>
      </c>
      <c r="AL1188" s="714"/>
      <c r="AM1188" s="114" t="str">
        <f t="shared" si="881"/>
        <v/>
      </c>
      <c r="AN1188" s="115"/>
      <c r="AO1188" s="116"/>
      <c r="AP1188" s="116"/>
      <c r="AQ1188" s="116"/>
      <c r="AR1188" s="116"/>
      <c r="AS1188" s="116"/>
      <c r="AT1188" s="116"/>
      <c r="AU1188" s="116"/>
      <c r="AV1188" s="78"/>
      <c r="AW1188" s="102"/>
      <c r="AX1188" s="78"/>
      <c r="AY1188" s="78"/>
      <c r="AZ1188" s="78"/>
      <c r="BA1188" s="78"/>
      <c r="BB1188" s="78"/>
      <c r="BC1188" s="78"/>
      <c r="BD1188" s="78"/>
      <c r="BE1188" s="465"/>
      <c r="BF1188" s="165" t="str">
        <f t="shared" si="882"/>
        <v>https://www.google.com/search?tbm=isch&amp;q=7%20G4</v>
      </c>
      <c r="BG1188" s="165" t="str">
        <f t="shared" si="883"/>
        <v>C</v>
      </c>
      <c r="BH1188" s="65"/>
      <c r="BI1188" s="65"/>
      <c r="BJ1188" s="65"/>
      <c r="BK1188" s="65"/>
      <c r="BL1188" s="99"/>
      <c r="BM1188" s="99"/>
      <c r="BN1188" s="99"/>
    </row>
    <row r="1189" spans="1:66" s="51" customFormat="1" ht="16.5" x14ac:dyDescent="0.25">
      <c r="A1189" s="641" t="s">
        <v>2207</v>
      </c>
      <c r="B1189" s="642"/>
      <c r="C1189" s="710"/>
      <c r="D1189" s="643"/>
      <c r="E1189" s="643"/>
      <c r="F1189" s="644"/>
      <c r="G1189" s="645"/>
      <c r="H1189" s="646"/>
      <c r="I1189" s="647"/>
      <c r="J1189" s="648"/>
      <c r="K1189" s="649"/>
      <c r="L1189" s="650"/>
      <c r="M1189" s="650"/>
      <c r="N1189" s="644"/>
      <c r="O1189" s="644"/>
      <c r="P1189" s="644"/>
      <c r="Q1189" s="644"/>
      <c r="R1189" s="644"/>
      <c r="S1189" s="651"/>
      <c r="T1189" s="102">
        <f t="shared" si="871"/>
        <v>0</v>
      </c>
      <c r="U1189" s="78" t="str">
        <f>IF(NOT(ISNUMBER(G1189)), "", VLOOKUP(A1189,'Discount Lookup'!D:E,2,FALSE)*G1189)</f>
        <v/>
      </c>
      <c r="V1189" s="78" t="str">
        <f>IF(NOT(ISNUMBER(G1189)), "", VLOOKUP(A1189,'Discount Lookup'!G:H,2,FALSE)*G1189)</f>
        <v/>
      </c>
      <c r="W1189" s="102">
        <f t="shared" si="872"/>
        <v>0</v>
      </c>
      <c r="X1189" s="102">
        <f t="shared" si="873"/>
        <v>0</v>
      </c>
      <c r="Y1189" s="120" t="b">
        <f t="shared" si="874"/>
        <v>0</v>
      </c>
      <c r="Z1189" s="117">
        <f t="shared" si="875"/>
        <v>0</v>
      </c>
      <c r="AA1189" s="118"/>
      <c r="AB1189" s="118" t="str">
        <f t="shared" si="876"/>
        <v/>
      </c>
      <c r="AC1189" s="712" t="str">
        <f>IF(AE1189="T2G","no charge",IF(AND(OR(PlanterYesMe="No",PlanterYesMe="N",PlanterYesMe="me"),H1189=""),"",IF(H1189="credit","NO install",IF(AND(K1189="",AE1189="me"),"EACH row",IF(AND(K1189="images",AE1189="me"),"EACH row",IF(D1189="","",IF(H1189="credit","",IF(AE1189="free","re-planting",IF(AE1189="me","   not ELP, by",IF(AND(OR(PlanterYesMe="Yes",PlanterYesMe="Y"),G1189&gt;0),(VLOOKUP(A1189,'Discount Lookup'!J:K,2)*G1189*(1-PlanterDiscount)*(1+PlanterDifficultyPercentage)),IF(AE1189="ELP",(VLOOKUP(A1189,'Discount Lookup'!J:K,2)*G1189*(1-PlanterDiscount)*(1+PlanterDifficultyPercentage)),IF(AE1189="free","re-planting",IF(G1189=0,"",IF(PlanterYesMe="",IF(AE1189="me","   not ELP, by",IF(AE1189="",IF(G1189&gt;0,(VLOOKUP(A1189,'Discount Lookup'!J:K,2)*G1189*(1-PlanterDiscount)*(1+PlanterDifficultyPercentage)),""),"")),"   not ELP, by"))))))))))))))</f>
        <v/>
      </c>
      <c r="AD1189" s="712"/>
      <c r="AE1189" s="513" t="str">
        <f t="shared" si="877"/>
        <v/>
      </c>
      <c r="AF1189" s="713" t="str">
        <f t="shared" si="878"/>
        <v/>
      </c>
      <c r="AG1189" s="713"/>
      <c r="AH1189" s="713"/>
      <c r="AI1189" s="112">
        <f>IF(H1189="credit",0,IF(AE1189="free",0,IF(AE1189="me",0,IF(G1189&gt;0,(VLOOKUP(A1189,'Discount Lookup'!J:K,2)*G1189),0))))</f>
        <v>0</v>
      </c>
      <c r="AJ1189" s="107" t="str">
        <f t="shared" ca="1" si="879"/>
        <v/>
      </c>
      <c r="AK1189" s="714" t="str">
        <f t="shared" si="880"/>
        <v/>
      </c>
      <c r="AL1189" s="714"/>
      <c r="AM1189" s="114" t="str">
        <f t="shared" si="881"/>
        <v/>
      </c>
      <c r="AN1189" s="115"/>
      <c r="AO1189" s="116"/>
      <c r="AP1189" s="116"/>
      <c r="AQ1189" s="116"/>
      <c r="AR1189" s="116"/>
      <c r="AS1189" s="116"/>
      <c r="AT1189" s="116"/>
      <c r="AU1189" s="116"/>
      <c r="AV1189" s="78"/>
      <c r="AW1189" s="102"/>
      <c r="AX1189" s="78"/>
      <c r="AY1189" s="78"/>
      <c r="AZ1189" s="78"/>
      <c r="BA1189" s="78"/>
      <c r="BB1189" s="78"/>
      <c r="BC1189" s="78"/>
      <c r="BD1189" s="78"/>
      <c r="BE1189" s="465"/>
      <c r="BF1189" s="165" t="str">
        <f t="shared" si="882"/>
        <v>https://www.google.com/search?tbm=isch&amp;q=Fragrant%20Wintersweet%20has%20intensely%20sweet%2C%20lemony-scented%20blooms%20that%20appear%20on%20bare%20branches%20in%20mid%20to%20late%20winter%2C%20then%20Dark%20Green%20foliage%20</v>
      </c>
      <c r="BG1189" s="165" t="str">
        <f t="shared" si="883"/>
        <v>F</v>
      </c>
      <c r="BH1189" s="65"/>
      <c r="BI1189" s="65"/>
      <c r="BJ1189" s="65"/>
      <c r="BK1189" s="65"/>
      <c r="BL1189" s="99"/>
      <c r="BM1189" s="99"/>
      <c r="BN1189" s="99"/>
    </row>
    <row r="1190" spans="1:66" s="51" customFormat="1" ht="19.5" thickBot="1" x14ac:dyDescent="0.3">
      <c r="A1190" s="686" t="s">
        <v>391</v>
      </c>
      <c r="B1190" s="73"/>
      <c r="C1190" s="708"/>
      <c r="D1190" s="73"/>
      <c r="E1190" s="73"/>
      <c r="F1190" s="496"/>
      <c r="G1190" s="73"/>
      <c r="H1190" s="73"/>
      <c r="I1190" s="73"/>
      <c r="J1190" s="497" t="s">
        <v>357</v>
      </c>
      <c r="K1190" s="498"/>
      <c r="L1190" s="562"/>
      <c r="M1190" s="73"/>
      <c r="N1190"/>
      <c r="O1190"/>
      <c r="P1190"/>
      <c r="Q1190"/>
      <c r="R1190"/>
      <c r="S1190"/>
      <c r="T1190" s="102">
        <f t="shared" si="871"/>
        <v>0</v>
      </c>
      <c r="U1190" s="78" t="str">
        <f>IF(NOT(ISNUMBER(G1190)), "", VLOOKUP(A1190,'Discount Lookup'!D:E,2,FALSE)*G1190)</f>
        <v/>
      </c>
      <c r="V1190" s="78" t="str">
        <f>IF(NOT(ISNUMBER(G1190)), "", VLOOKUP(A1190,'Discount Lookup'!G:H,2,FALSE)*G1190)</f>
        <v/>
      </c>
      <c r="W1190" s="102">
        <f t="shared" si="872"/>
        <v>0</v>
      </c>
      <c r="X1190" s="102">
        <f t="shared" si="873"/>
        <v>0</v>
      </c>
      <c r="Y1190" s="120" t="b">
        <f t="shared" si="874"/>
        <v>0</v>
      </c>
      <c r="Z1190" s="117">
        <f t="shared" si="875"/>
        <v>0</v>
      </c>
      <c r="AA1190" s="118"/>
      <c r="AB1190" s="118" t="str">
        <f t="shared" si="876"/>
        <v/>
      </c>
      <c r="AC1190" s="712" t="str">
        <f>IF(AE1190="T2G","no charge",IF(AND(OR(PlanterYesMe="No",PlanterYesMe="N",PlanterYesMe="me"),H1190=""),"",IF(H1190="credit","NO install",IF(AND(K1190="",AE1190="me"),"EACH row",IF(AND(K1190="images",AE1190="me"),"EACH row",IF(D1190="","",IF(H1190="credit","",IF(AE1190="free","re-planting",IF(AE1190="me","   not ELP, by",IF(AND(OR(PlanterYesMe="Yes",PlanterYesMe="Y"),G1190&gt;0),(VLOOKUP(A1190,'Discount Lookup'!J:K,2)*G1190*(1-PlanterDiscount)*(1+PlanterDifficultyPercentage)),IF(AE1190="ELP",(VLOOKUP(A1190,'Discount Lookup'!J:K,2)*G1190*(1-PlanterDiscount)*(1+PlanterDifficultyPercentage)),IF(AE1190="free","re-planting",IF(G1190=0,"",IF(PlanterYesMe="",IF(AE1190="me","   not ELP, by",IF(AE1190="",IF(G1190&gt;0,(VLOOKUP(A1190,'Discount Lookup'!J:K,2)*G1190*(1-PlanterDiscount)*(1+PlanterDifficultyPercentage)),""),"")),"   not ELP, by"))))))))))))))</f>
        <v/>
      </c>
      <c r="AD1190" s="712"/>
      <c r="AE1190" s="513" t="str">
        <f t="shared" si="877"/>
        <v/>
      </c>
      <c r="AF1190" s="713" t="str">
        <f t="shared" si="878"/>
        <v/>
      </c>
      <c r="AG1190" s="713"/>
      <c r="AH1190" s="713"/>
      <c r="AI1190" s="112">
        <f>IF(H1190="credit",0,IF(AE1190="free",0,IF(AE1190="me",0,IF(G1190&gt;0,(VLOOKUP(A1190,'Discount Lookup'!J:K,2)*G1190),0))))</f>
        <v>0</v>
      </c>
      <c r="AJ1190" s="107" t="str">
        <f t="shared" ca="1" si="879"/>
        <v/>
      </c>
      <c r="AK1190" s="714" t="str">
        <f t="shared" si="880"/>
        <v/>
      </c>
      <c r="AL1190" s="714"/>
      <c r="AM1190" s="114" t="str">
        <f t="shared" si="881"/>
        <v/>
      </c>
      <c r="AN1190" s="115"/>
      <c r="AO1190" s="116"/>
      <c r="AP1190" s="116"/>
      <c r="AQ1190" s="116"/>
      <c r="AR1190" s="116"/>
      <c r="AS1190" s="116"/>
      <c r="AT1190" s="116"/>
      <c r="AU1190" s="116"/>
      <c r="AV1190" s="78"/>
      <c r="AW1190" s="102"/>
      <c r="AX1190" s="78"/>
      <c r="AY1190" s="78"/>
      <c r="AZ1190" s="78"/>
      <c r="BA1190" s="78"/>
      <c r="BB1190" s="78"/>
      <c r="BC1190" s="78"/>
      <c r="BD1190" s="78"/>
      <c r="BE1190" s="465"/>
      <c r="BF1190" s="165" t="str">
        <f t="shared" si="882"/>
        <v>https://www.google.com/search?tbm=isch&amp;q=Chionanthus%20%3D%20Fringe%20Tree%20</v>
      </c>
      <c r="BG1190" s="165" t="str">
        <f t="shared" si="883"/>
        <v>C</v>
      </c>
      <c r="BH1190" s="65"/>
      <c r="BI1190" s="65"/>
      <c r="BJ1190" s="65"/>
      <c r="BK1190" s="65"/>
      <c r="BL1190" s="99"/>
      <c r="BM1190" s="99"/>
      <c r="BN1190" s="99"/>
    </row>
    <row r="1191" spans="1:66" s="51" customFormat="1" ht="18" x14ac:dyDescent="0.25">
      <c r="A1191" s="623" t="s">
        <v>2208</v>
      </c>
      <c r="B1191" s="624"/>
      <c r="C1191" s="709"/>
      <c r="D1191" s="625" t="s">
        <v>2209</v>
      </c>
      <c r="E1191" s="626"/>
      <c r="F1191" s="626"/>
      <c r="G1191" s="626"/>
      <c r="H1191" s="622" t="s">
        <v>1240</v>
      </c>
      <c r="I1191" s="627" t="s">
        <v>349</v>
      </c>
      <c r="J1191" s="628"/>
      <c r="K1191" s="628"/>
      <c r="L1191" s="629"/>
      <c r="M1191" s="700" t="s">
        <v>5249</v>
      </c>
      <c r="N1191" s="693" t="str">
        <f>IF(AND(ISTEXT($A1191), ISERROR($A1191+0)), HYPERLINK($BF1191, "Images"), "")</f>
        <v>Images</v>
      </c>
      <c r="O1191" s="695" t="s">
        <v>5247</v>
      </c>
      <c r="P1191" s="630"/>
      <c r="Q1191" s="631"/>
      <c r="R1191" s="632"/>
      <c r="S1191" s="633" t="s">
        <v>294</v>
      </c>
      <c r="T1191" s="102">
        <f t="shared" si="871"/>
        <v>0</v>
      </c>
      <c r="U1191" s="78" t="str">
        <f>IF(NOT(ISNUMBER(G1191)), "", VLOOKUP(A1191,'Discount Lookup'!D:E,2,FALSE)*G1191)</f>
        <v/>
      </c>
      <c r="V1191" s="78" t="str">
        <f>IF(NOT(ISNUMBER(G1191)), "", VLOOKUP(A1191,'Discount Lookup'!G:H,2,FALSE)*G1191)</f>
        <v/>
      </c>
      <c r="W1191" s="102">
        <f t="shared" si="872"/>
        <v>0</v>
      </c>
      <c r="X1191" s="102" t="str">
        <f t="shared" si="873"/>
        <v>White bloom</v>
      </c>
      <c r="Y1191" s="120" t="b">
        <f t="shared" si="874"/>
        <v>0</v>
      </c>
      <c r="Z1191" s="117">
        <f t="shared" si="875"/>
        <v>0</v>
      </c>
      <c r="AA1191" s="118"/>
      <c r="AB1191" s="118" t="str">
        <f t="shared" si="876"/>
        <v/>
      </c>
      <c r="AC1191" s="712" t="str">
        <f>IF(AE1191="T2G","no charge",IF(AND(OR(PlanterYesMe="No",PlanterYesMe="N",PlanterYesMe="me"),H1191=""),"",IF(H1191="credit","NO install",IF(AND(K1191="",AE1191="me"),"EACH row",IF(AND(K1191="images",AE1191="me"),"EACH row",IF(D1191="","",IF(H1191="credit","",IF(AE1191="free","re-planting",IF(AE1191="me","   not ELP, by",IF(AND(OR(PlanterYesMe="Yes",PlanterYesMe="Y"),G1191&gt;0),(VLOOKUP(A1191,'Discount Lookup'!J:K,2)*G1191*(1-PlanterDiscount)*(1+PlanterDifficultyPercentage)),IF(AE1191="ELP",(VLOOKUP(A1191,'Discount Lookup'!J:K,2)*G1191*(1-PlanterDiscount)*(1+PlanterDifficultyPercentage)),IF(AE1191="free","re-planting",IF(G1191=0,"",IF(PlanterYesMe="",IF(AE1191="me","   not ELP, by",IF(AE1191="",IF(G1191&gt;0,(VLOOKUP(A1191,'Discount Lookup'!J:K,2)*G1191*(1-PlanterDiscount)*(1+PlanterDifficultyPercentage)),""),"")),"   not ELP, by"))))))))))))))</f>
        <v/>
      </c>
      <c r="AD1191" s="712"/>
      <c r="AE1191" s="513" t="str">
        <f t="shared" si="877"/>
        <v/>
      </c>
      <c r="AF1191" s="713" t="str">
        <f t="shared" si="878"/>
        <v/>
      </c>
      <c r="AG1191" s="713"/>
      <c r="AH1191" s="713"/>
      <c r="AI1191" s="112">
        <f>IF(H1191="credit",0,IF(AE1191="free",0,IF(AE1191="me",0,IF(G1191&gt;0,(VLOOKUP(A1191,'Discount Lookup'!J:K,2)*G1191),0))))</f>
        <v>0</v>
      </c>
      <c r="AJ1191" s="107" t="str">
        <f t="shared" ca="1" si="879"/>
        <v/>
      </c>
      <c r="AK1191" s="714" t="str">
        <f t="shared" si="880"/>
        <v/>
      </c>
      <c r="AL1191" s="714"/>
      <c r="AM1191" s="114" t="str">
        <f t="shared" si="881"/>
        <v/>
      </c>
      <c r="AN1191" s="115"/>
      <c r="AO1191" s="116"/>
      <c r="AP1191" s="116"/>
      <c r="AQ1191" s="116"/>
      <c r="AR1191" s="116"/>
      <c r="AS1191" s="116"/>
      <c r="AT1191" s="116"/>
      <c r="AU1191" s="116"/>
      <c r="AV1191" s="78"/>
      <c r="AW1191" s="102"/>
      <c r="AX1191" s="78"/>
      <c r="AY1191" s="78"/>
      <c r="AZ1191" s="78"/>
      <c r="BA1191" s="78"/>
      <c r="BB1191" s="78"/>
      <c r="BC1191" s="78"/>
      <c r="BD1191" s="78"/>
      <c r="BE1191" s="465"/>
      <c r="BF1191" s="165" t="str">
        <f t="shared" si="882"/>
        <v>https://www.google.com/search?tbm=isch&amp;q=Chionanthus%20pygmaeus%20Pygmy%20Fringetree</v>
      </c>
      <c r="BG1191" s="165" t="str">
        <f t="shared" si="883"/>
        <v>C</v>
      </c>
      <c r="BH1191" s="65"/>
      <c r="BI1191" s="65"/>
      <c r="BJ1191" s="65"/>
      <c r="BK1191" s="65"/>
      <c r="BL1191" s="99"/>
      <c r="BM1191" s="99"/>
      <c r="BN1191" s="99"/>
    </row>
    <row r="1192" spans="1:66" s="51" customFormat="1" ht="27" x14ac:dyDescent="0.25">
      <c r="A1192" s="634">
        <v>7</v>
      </c>
      <c r="B1192" s="635" t="s">
        <v>291</v>
      </c>
      <c r="C1192" s="636" t="s">
        <v>2210</v>
      </c>
      <c r="D1192" s="637" t="s">
        <v>299</v>
      </c>
      <c r="E1192" s="638">
        <v>104.95</v>
      </c>
      <c r="F1192" s="639" t="s">
        <v>292</v>
      </c>
      <c r="G1192" s="484">
        <v>0</v>
      </c>
      <c r="H1192" s="691" t="str">
        <f>IF(G1192=0,"",IF(F1192="Buy",IF(G1192=1,"plant","plants"),IF(F1192&gt;0.01,"warranty","Error")))</f>
        <v/>
      </c>
      <c r="I1192" s="640">
        <f>IF(H1192="free",0,IF(H1192="credit",((E1192*(F1192))*G1192*-1),IF(F1192="Buy",(E1192*G1192),((E1192*(1-F1192))*G1192))))</f>
        <v>0</v>
      </c>
      <c r="J1192" s="640">
        <f>IF(H1192="warranty",0,(I1192*(_xlfn.SINGLE(SalesTaxPercentage))))</f>
        <v>0</v>
      </c>
      <c r="K1192" s="716">
        <f t="shared" ref="K1192" si="895">I1192+J1192</f>
        <v>0</v>
      </c>
      <c r="L1192" s="716"/>
      <c r="M1192" s="689" t="str">
        <f ca="1">IF(AND(G1192&gt;0,E1192=0),"WARNING - no PRICE inserted",IF(H1192="free","FREE ~ no charge this plant",IF(H1192="credit",CONCATENATE("-$",ROUND(K1192*(1-_xlfn.SINGLE(T2GDiscount))*-1,2)," CREDIT after discount"),IF(_xlfn.SINGLE(T2GDiscount)=0,"",IF(G1192=0,"",IF(F1192="Buy",CONCATENATE("$",ROUND(K1192*(1-_xlfn.SINGLE(T2GDiscount)),2)," with ",(_xlfn.SINGLE(T2GDiscount)*100),"% discount"),CONCATENATE("$",ROUND(K1192*(1-_xlfn.SINGLE(T2GDiscount)),2)," with ",((_xlfn.SINGLE(T2GDiscount)*100+F1192*100)-(_xlfn.SINGLE(T2GDiscount)*100*F1192)),IF(F1192&gt;0,"% discounts",IF(_xlfn.SINGLE(NoWarrantyDiscount)&gt;0,"% discounts","% discount")))))))))</f>
        <v/>
      </c>
      <c r="N1192" s="690"/>
      <c r="O1192" s="486"/>
      <c r="P1192" s="486"/>
      <c r="Q1192" s="486"/>
      <c r="R1192" s="486"/>
      <c r="S1192" s="486"/>
      <c r="T1192" s="102">
        <f t="shared" si="871"/>
        <v>0</v>
      </c>
      <c r="U1192" s="78">
        <f>IF(NOT(ISNUMBER(G1192)), "", VLOOKUP(A1192,'Discount Lookup'!D:E,2,FALSE)*G1192)</f>
        <v>0</v>
      </c>
      <c r="V1192" s="78">
        <f>IF(NOT(ISNUMBER(G1192)), "", VLOOKUP(A1192,'Discount Lookup'!G:H,2,FALSE)*G1192)</f>
        <v>0</v>
      </c>
      <c r="W1192" s="102">
        <f t="shared" si="872"/>
        <v>0</v>
      </c>
      <c r="X1192" s="102">
        <f t="shared" si="873"/>
        <v>0</v>
      </c>
      <c r="Y1192" s="120" t="b">
        <f t="shared" si="874"/>
        <v>0</v>
      </c>
      <c r="Z1192" s="117">
        <f t="shared" si="875"/>
        <v>0</v>
      </c>
      <c r="AA1192" s="118"/>
      <c r="AB1192" s="118" t="str">
        <f t="shared" si="876"/>
        <v/>
      </c>
      <c r="AC1192" s="712" t="str">
        <f>IF(AE1192="T2G","no charge",IF(AND(OR(PlanterYesMe="No",PlanterYesMe="N",PlanterYesMe="me"),H1192=""),"",IF(H1192="credit","NO install",IF(AND(K1192="",AE1192="me"),"EACH row",IF(AND(K1192="images",AE1192="me"),"EACH row",IF(D1192="","",IF(H1192="credit","",IF(AE1192="free","re-planting",IF(AE1192="me","   not ELP, by",IF(AND(OR(PlanterYesMe="Yes",PlanterYesMe="Y"),G1192&gt;0),(VLOOKUP(A1192,'Discount Lookup'!J:K,2)*G1192*(1-PlanterDiscount)*(1+PlanterDifficultyPercentage)),IF(AE1192="ELP",(VLOOKUP(A1192,'Discount Lookup'!J:K,2)*G1192*(1-PlanterDiscount)*(1+PlanterDifficultyPercentage)),IF(AE1192="free","re-planting",IF(G1192=0,"",IF(PlanterYesMe="",IF(AE1192="me","   not ELP, by",IF(AE1192="",IF(G1192&gt;0,(VLOOKUP(A1192,'Discount Lookup'!J:K,2)*G1192*(1-PlanterDiscount)*(1+PlanterDifficultyPercentage)),""),"")),"   not ELP, by"))))))))))))))</f>
        <v/>
      </c>
      <c r="AD1192" s="712"/>
      <c r="AE1192" s="513" t="str">
        <f t="shared" si="877"/>
        <v/>
      </c>
      <c r="AF1192" s="713" t="str">
        <f t="shared" si="878"/>
        <v/>
      </c>
      <c r="AG1192" s="713"/>
      <c r="AH1192" s="713"/>
      <c r="AI1192" s="112">
        <f>IF(H1192="credit",0,IF(AE1192="free",0,IF(AE1192="me",0,IF(G1192&gt;0,(VLOOKUP(A1192,'Discount Lookup'!J:K,2)*G1192),0))))</f>
        <v>0</v>
      </c>
      <c r="AJ1192" s="107" t="str">
        <f t="shared" ca="1" si="879"/>
        <v/>
      </c>
      <c r="AK1192" s="714" t="str">
        <f t="shared" si="880"/>
        <v/>
      </c>
      <c r="AL1192" s="714"/>
      <c r="AM1192" s="114" t="str">
        <f t="shared" si="881"/>
        <v/>
      </c>
      <c r="AN1192" s="115"/>
      <c r="AO1192" s="116"/>
      <c r="AP1192" s="116"/>
      <c r="AQ1192" s="116"/>
      <c r="AR1192" s="116"/>
      <c r="AS1192" s="116"/>
      <c r="AT1192" s="116"/>
      <c r="AU1192" s="116"/>
      <c r="AV1192" s="78"/>
      <c r="AW1192" s="102"/>
      <c r="AX1192" s="78"/>
      <c r="AY1192" s="78"/>
      <c r="AZ1192" s="78"/>
      <c r="BA1192" s="78"/>
      <c r="BB1192" s="78"/>
      <c r="BC1192" s="78"/>
      <c r="BD1192" s="78"/>
      <c r="BE1192" s="465"/>
      <c r="BF1192" s="165" t="str">
        <f t="shared" si="882"/>
        <v>https://www.google.com/search?tbm=isch&amp;q=7%20G4</v>
      </c>
      <c r="BG1192" s="165" t="str">
        <f t="shared" si="883"/>
        <v>C</v>
      </c>
      <c r="BH1192" s="65"/>
      <c r="BI1192" s="65"/>
      <c r="BJ1192" s="65"/>
      <c r="BK1192" s="65"/>
      <c r="BL1192" s="99"/>
      <c r="BM1192" s="99"/>
      <c r="BN1192" s="99"/>
    </row>
    <row r="1193" spans="1:66" s="51" customFormat="1" ht="27" x14ac:dyDescent="0.25">
      <c r="A1193" s="634">
        <v>15</v>
      </c>
      <c r="B1193" s="635" t="s">
        <v>291</v>
      </c>
      <c r="C1193" s="636" t="s">
        <v>2211</v>
      </c>
      <c r="D1193" s="637" t="s">
        <v>299</v>
      </c>
      <c r="E1193" s="638">
        <v>183.95</v>
      </c>
      <c r="F1193" s="639" t="s">
        <v>292</v>
      </c>
      <c r="G1193" s="484">
        <v>0</v>
      </c>
      <c r="H1193" s="691" t="str">
        <f>IF(G1193=0,"",IF(F1193="Buy",IF(G1193=1,"plant","plants"),IF(F1193&gt;0.01,"warranty","Error")))</f>
        <v/>
      </c>
      <c r="I1193" s="640">
        <f>IF(H1193="free",0,IF(H1193="credit",((E1193*(F1193))*G1193*-1),IF(F1193="Buy",(E1193*G1193),((E1193*(1-F1193))*G1193))))</f>
        <v>0</v>
      </c>
      <c r="J1193" s="640">
        <f>IF(H1193="warranty",0,(I1193*(_xlfn.SINGLE(SalesTaxPercentage))))</f>
        <v>0</v>
      </c>
      <c r="K1193" s="716">
        <f t="shared" ref="K1193" si="896">I1193+J1193</f>
        <v>0</v>
      </c>
      <c r="L1193" s="716"/>
      <c r="M1193" s="689" t="str">
        <f ca="1">IF(AND(G1193&gt;0,E1193=0),"WARNING - no PRICE inserted",IF(H1193="free","FREE ~ no charge this plant",IF(H1193="credit",CONCATENATE("-$",ROUND(K1193*(1-_xlfn.SINGLE(T2GDiscount))*-1,2)," CREDIT after discount"),IF(_xlfn.SINGLE(T2GDiscount)=0,"",IF(G1193=0,"",IF(F1193="Buy",CONCATENATE("$",ROUND(K1193*(1-_xlfn.SINGLE(T2GDiscount)),2)," with ",(_xlfn.SINGLE(T2GDiscount)*100),"% discount"),CONCATENATE("$",ROUND(K1193*(1-_xlfn.SINGLE(T2GDiscount)),2)," with ",((_xlfn.SINGLE(T2GDiscount)*100+F1193*100)-(_xlfn.SINGLE(T2GDiscount)*100*F1193)),IF(F1193&gt;0,"% discounts",IF(_xlfn.SINGLE(NoWarrantyDiscount)&gt;0,"% discounts","% discount")))))))))</f>
        <v/>
      </c>
      <c r="N1193" s="690"/>
      <c r="O1193" s="486"/>
      <c r="P1193" s="486"/>
      <c r="Q1193" s="486"/>
      <c r="R1193" s="486"/>
      <c r="S1193" s="486"/>
      <c r="T1193" s="102">
        <f t="shared" si="871"/>
        <v>0</v>
      </c>
      <c r="U1193" s="78">
        <f>IF(NOT(ISNUMBER(G1193)), "", VLOOKUP(A1193,'Discount Lookup'!D:E,2,FALSE)*G1193)</f>
        <v>0</v>
      </c>
      <c r="V1193" s="78">
        <f>IF(NOT(ISNUMBER(G1193)), "", VLOOKUP(A1193,'Discount Lookup'!G:H,2,FALSE)*G1193)</f>
        <v>0</v>
      </c>
      <c r="W1193" s="102">
        <f t="shared" si="872"/>
        <v>0</v>
      </c>
      <c r="X1193" s="102">
        <f t="shared" si="873"/>
        <v>0</v>
      </c>
      <c r="Y1193" s="120" t="b">
        <f t="shared" si="874"/>
        <v>0</v>
      </c>
      <c r="Z1193" s="117">
        <f t="shared" si="875"/>
        <v>0</v>
      </c>
      <c r="AA1193" s="118"/>
      <c r="AB1193" s="118" t="str">
        <f t="shared" si="876"/>
        <v/>
      </c>
      <c r="AC1193" s="712" t="str">
        <f>IF(AE1193="T2G","no charge",IF(AND(OR(PlanterYesMe="No",PlanterYesMe="N",PlanterYesMe="me"),H1193=""),"",IF(H1193="credit","NO install",IF(AND(K1193="",AE1193="me"),"EACH row",IF(AND(K1193="images",AE1193="me"),"EACH row",IF(D1193="","",IF(H1193="credit","",IF(AE1193="free","re-planting",IF(AE1193="me","   not ELP, by",IF(AND(OR(PlanterYesMe="Yes",PlanterYesMe="Y"),G1193&gt;0),(VLOOKUP(A1193,'Discount Lookup'!J:K,2)*G1193*(1-PlanterDiscount)*(1+PlanterDifficultyPercentage)),IF(AE1193="ELP",(VLOOKUP(A1193,'Discount Lookup'!J:K,2)*G1193*(1-PlanterDiscount)*(1+PlanterDifficultyPercentage)),IF(AE1193="free","re-planting",IF(G1193=0,"",IF(PlanterYesMe="",IF(AE1193="me","   not ELP, by",IF(AE1193="",IF(G1193&gt;0,(VLOOKUP(A1193,'Discount Lookup'!J:K,2)*G1193*(1-PlanterDiscount)*(1+PlanterDifficultyPercentage)),""),"")),"   not ELP, by"))))))))))))))</f>
        <v/>
      </c>
      <c r="AD1193" s="712"/>
      <c r="AE1193" s="513" t="str">
        <f t="shared" si="877"/>
        <v/>
      </c>
      <c r="AF1193" s="713" t="str">
        <f t="shared" si="878"/>
        <v/>
      </c>
      <c r="AG1193" s="713"/>
      <c r="AH1193" s="713"/>
      <c r="AI1193" s="112">
        <f>IF(H1193="credit",0,IF(AE1193="free",0,IF(AE1193="me",0,IF(G1193&gt;0,(VLOOKUP(A1193,'Discount Lookup'!J:K,2)*G1193),0))))</f>
        <v>0</v>
      </c>
      <c r="AJ1193" s="107" t="str">
        <f t="shared" ca="1" si="879"/>
        <v/>
      </c>
      <c r="AK1193" s="714" t="str">
        <f t="shared" si="880"/>
        <v/>
      </c>
      <c r="AL1193" s="714"/>
      <c r="AM1193" s="114" t="str">
        <f t="shared" si="881"/>
        <v/>
      </c>
      <c r="AN1193" s="115"/>
      <c r="AO1193" s="116"/>
      <c r="AP1193" s="116"/>
      <c r="AQ1193" s="116"/>
      <c r="AR1193" s="116"/>
      <c r="AS1193" s="116"/>
      <c r="AT1193" s="116"/>
      <c r="AU1193" s="116"/>
      <c r="AV1193" s="78"/>
      <c r="AW1193" s="102"/>
      <c r="AX1193" s="78"/>
      <c r="AY1193" s="78"/>
      <c r="AZ1193" s="78"/>
      <c r="BA1193" s="78"/>
      <c r="BB1193" s="78"/>
      <c r="BC1193" s="78"/>
      <c r="BD1193" s="78"/>
      <c r="BE1193" s="465"/>
      <c r="BF1193" s="165" t="str">
        <f t="shared" si="882"/>
        <v>https://www.google.com/search?tbm=isch&amp;q=15%20G4</v>
      </c>
      <c r="BG1193" s="165" t="str">
        <f t="shared" si="883"/>
        <v>C</v>
      </c>
      <c r="BH1193" s="65"/>
      <c r="BI1193" s="65"/>
      <c r="BJ1193" s="65"/>
      <c r="BK1193" s="65"/>
      <c r="BL1193" s="99"/>
      <c r="BM1193" s="99"/>
      <c r="BN1193" s="99"/>
    </row>
    <row r="1194" spans="1:66" s="51" customFormat="1" ht="27" x14ac:dyDescent="0.25">
      <c r="A1194" s="634">
        <v>15</v>
      </c>
      <c r="B1194" s="635" t="s">
        <v>291</v>
      </c>
      <c r="C1194" s="636" t="s">
        <v>2212</v>
      </c>
      <c r="D1194" s="637" t="s">
        <v>299</v>
      </c>
      <c r="E1194" s="638">
        <v>210.95</v>
      </c>
      <c r="F1194" s="639" t="s">
        <v>292</v>
      </c>
      <c r="G1194" s="484">
        <v>0</v>
      </c>
      <c r="H1194" s="691" t="str">
        <f>IF(G1194=0,"",IF(F1194="Buy",IF(G1194=1,"plant","plants"),IF(F1194&gt;0.01,"warranty","Error")))</f>
        <v/>
      </c>
      <c r="I1194" s="640">
        <f>IF(H1194="free",0,IF(H1194="credit",((E1194*(F1194))*G1194*-1),IF(F1194="Buy",(E1194*G1194),((E1194*(1-F1194))*G1194))))</f>
        <v>0</v>
      </c>
      <c r="J1194" s="640">
        <f>IF(H1194="warranty",0,(I1194*(_xlfn.SINGLE(SalesTaxPercentage))))</f>
        <v>0</v>
      </c>
      <c r="K1194" s="716">
        <f t="shared" ref="K1194" si="897">I1194+J1194</f>
        <v>0</v>
      </c>
      <c r="L1194" s="716"/>
      <c r="M1194" s="689" t="str">
        <f ca="1">IF(AND(G1194&gt;0,E1194=0),"WARNING - no PRICE inserted",IF(H1194="free","FREE ~ no charge this plant",IF(H1194="credit",CONCATENATE("-$",ROUND(K1194*(1-_xlfn.SINGLE(T2GDiscount))*-1,2)," CREDIT after discount"),IF(_xlfn.SINGLE(T2GDiscount)=0,"",IF(G1194=0,"",IF(F1194="Buy",CONCATENATE("$",ROUND(K1194*(1-_xlfn.SINGLE(T2GDiscount)),2)," with ",(_xlfn.SINGLE(T2GDiscount)*100),"% discount"),CONCATENATE("$",ROUND(K1194*(1-_xlfn.SINGLE(T2GDiscount)),2)," with ",((_xlfn.SINGLE(T2GDiscount)*100+F1194*100)-(_xlfn.SINGLE(T2GDiscount)*100*F1194)),IF(F1194&gt;0,"% discounts",IF(_xlfn.SINGLE(NoWarrantyDiscount)&gt;0,"% discounts","% discount")))))))))</f>
        <v/>
      </c>
      <c r="N1194" s="690"/>
      <c r="O1194" s="486"/>
      <c r="P1194" s="486"/>
      <c r="Q1194" s="486"/>
      <c r="R1194" s="486"/>
      <c r="S1194" s="486"/>
      <c r="T1194" s="102">
        <f t="shared" si="871"/>
        <v>0</v>
      </c>
      <c r="U1194" s="78">
        <f>IF(NOT(ISNUMBER(G1194)), "", VLOOKUP(A1194,'Discount Lookup'!D:E,2,FALSE)*G1194)</f>
        <v>0</v>
      </c>
      <c r="V1194" s="78">
        <f>IF(NOT(ISNUMBER(G1194)), "", VLOOKUP(A1194,'Discount Lookup'!G:H,2,FALSE)*G1194)</f>
        <v>0</v>
      </c>
      <c r="W1194" s="102">
        <f t="shared" si="872"/>
        <v>0</v>
      </c>
      <c r="X1194" s="102">
        <f t="shared" si="873"/>
        <v>0</v>
      </c>
      <c r="Y1194" s="120" t="b">
        <f t="shared" si="874"/>
        <v>0</v>
      </c>
      <c r="Z1194" s="117">
        <f t="shared" si="875"/>
        <v>0</v>
      </c>
      <c r="AA1194" s="118"/>
      <c r="AB1194" s="118" t="str">
        <f t="shared" si="876"/>
        <v/>
      </c>
      <c r="AC1194" s="712" t="str">
        <f>IF(AE1194="T2G","no charge",IF(AND(OR(PlanterYesMe="No",PlanterYesMe="N",PlanterYesMe="me"),H1194=""),"",IF(H1194="credit","NO install",IF(AND(K1194="",AE1194="me"),"EACH row",IF(AND(K1194="images",AE1194="me"),"EACH row",IF(D1194="","",IF(H1194="credit","",IF(AE1194="free","re-planting",IF(AE1194="me","   not ELP, by",IF(AND(OR(PlanterYesMe="Yes",PlanterYesMe="Y"),G1194&gt;0),(VLOOKUP(A1194,'Discount Lookup'!J:K,2)*G1194*(1-PlanterDiscount)*(1+PlanterDifficultyPercentage)),IF(AE1194="ELP",(VLOOKUP(A1194,'Discount Lookup'!J:K,2)*G1194*(1-PlanterDiscount)*(1+PlanterDifficultyPercentage)),IF(AE1194="free","re-planting",IF(G1194=0,"",IF(PlanterYesMe="",IF(AE1194="me","   not ELP, by",IF(AE1194="",IF(G1194&gt;0,(VLOOKUP(A1194,'Discount Lookup'!J:K,2)*G1194*(1-PlanterDiscount)*(1+PlanterDifficultyPercentage)),""),"")),"   not ELP, by"))))))))))))))</f>
        <v/>
      </c>
      <c r="AD1194" s="712"/>
      <c r="AE1194" s="513" t="str">
        <f t="shared" si="877"/>
        <v/>
      </c>
      <c r="AF1194" s="713" t="str">
        <f t="shared" si="878"/>
        <v/>
      </c>
      <c r="AG1194" s="713"/>
      <c r="AH1194" s="713"/>
      <c r="AI1194" s="112">
        <f>IF(H1194="credit",0,IF(AE1194="free",0,IF(AE1194="me",0,IF(G1194&gt;0,(VLOOKUP(A1194,'Discount Lookup'!J:K,2)*G1194),0))))</f>
        <v>0</v>
      </c>
      <c r="AJ1194" s="107" t="str">
        <f t="shared" ca="1" si="879"/>
        <v/>
      </c>
      <c r="AK1194" s="714" t="str">
        <f t="shared" si="880"/>
        <v/>
      </c>
      <c r="AL1194" s="714"/>
      <c r="AM1194" s="114" t="str">
        <f t="shared" si="881"/>
        <v/>
      </c>
      <c r="AN1194" s="115"/>
      <c r="AO1194" s="116"/>
      <c r="AP1194" s="116"/>
      <c r="AQ1194" s="116"/>
      <c r="AR1194" s="116"/>
      <c r="AS1194" s="116"/>
      <c r="AT1194" s="116"/>
      <c r="AU1194" s="116"/>
      <c r="AV1194" s="78"/>
      <c r="AW1194" s="102"/>
      <c r="AX1194" s="78"/>
      <c r="AY1194" s="78"/>
      <c r="AZ1194" s="78"/>
      <c r="BA1194" s="78"/>
      <c r="BB1194" s="78"/>
      <c r="BC1194" s="78"/>
      <c r="BD1194" s="78"/>
      <c r="BE1194" s="465"/>
      <c r="BF1194" s="165" t="str">
        <f t="shared" si="882"/>
        <v>https://www.google.com/search?tbm=isch&amp;q=15%20G4</v>
      </c>
      <c r="BG1194" s="165" t="str">
        <f t="shared" si="883"/>
        <v>C</v>
      </c>
      <c r="BH1194" s="65"/>
      <c r="BI1194" s="65"/>
      <c r="BJ1194" s="65"/>
      <c r="BK1194" s="65"/>
      <c r="BL1194" s="99"/>
      <c r="BM1194" s="99"/>
      <c r="BN1194" s="99"/>
    </row>
    <row r="1195" spans="1:66" s="51" customFormat="1" ht="15.75" x14ac:dyDescent="0.25">
      <c r="A1195" s="634">
        <v>15</v>
      </c>
      <c r="B1195" s="635" t="s">
        <v>291</v>
      </c>
      <c r="C1195" s="636" t="s">
        <v>2213</v>
      </c>
      <c r="D1195" s="637" t="s">
        <v>293</v>
      </c>
      <c r="E1195" s="638">
        <v>299.95</v>
      </c>
      <c r="F1195" s="639" t="s">
        <v>292</v>
      </c>
      <c r="G1195" s="484">
        <v>0</v>
      </c>
      <c r="H1195" s="691" t="str">
        <f>IF(G1195=0,"",IF(F1195="Buy",IF(G1195=1,"plant","plants"),IF(F1195&gt;0.01,"warranty","Error")))</f>
        <v/>
      </c>
      <c r="I1195" s="640">
        <f>IF(H1195="free",0,IF(H1195="credit",((E1195*(F1195))*G1195*-1),IF(F1195="Buy",(E1195*G1195),((E1195*(1-F1195))*G1195))))</f>
        <v>0</v>
      </c>
      <c r="J1195" s="640">
        <f>IF(H1195="warranty",0,(I1195*(_xlfn.SINGLE(SalesTaxPercentage))))</f>
        <v>0</v>
      </c>
      <c r="K1195" s="716">
        <f t="shared" ref="K1195" si="898">I1195+J1195</f>
        <v>0</v>
      </c>
      <c r="L1195" s="716"/>
      <c r="M1195" s="689" t="str">
        <f ca="1">IF(AND(G1195&gt;0,E1195=0),"WARNING - no PRICE inserted",IF(H1195="free","FREE ~ no charge this plant",IF(H1195="credit",CONCATENATE("-$",ROUND(K1195*(1-_xlfn.SINGLE(T2GDiscount))*-1,2)," CREDIT after discount"),IF(_xlfn.SINGLE(T2GDiscount)=0,"",IF(G1195=0,"",IF(F1195="Buy",CONCATENATE("$",ROUND(K1195*(1-_xlfn.SINGLE(T2GDiscount)),2)," with ",(_xlfn.SINGLE(T2GDiscount)*100),"% discount"),CONCATENATE("$",ROUND(K1195*(1-_xlfn.SINGLE(T2GDiscount)),2)," with ",((_xlfn.SINGLE(T2GDiscount)*100+F1195*100)-(_xlfn.SINGLE(T2GDiscount)*100*F1195)),IF(F1195&gt;0,"% discounts",IF(_xlfn.SINGLE(NoWarrantyDiscount)&gt;0,"% discounts","% discount")))))))))</f>
        <v/>
      </c>
      <c r="N1195" s="690"/>
      <c r="O1195" s="486"/>
      <c r="P1195" s="486"/>
      <c r="Q1195" s="486"/>
      <c r="R1195" s="486"/>
      <c r="S1195" s="486"/>
      <c r="T1195" s="102">
        <f t="shared" si="871"/>
        <v>0</v>
      </c>
      <c r="U1195" s="78">
        <f>IF(NOT(ISNUMBER(G1195)), "", VLOOKUP(A1195,'Discount Lookup'!D:E,2,FALSE)*G1195)</f>
        <v>0</v>
      </c>
      <c r="V1195" s="78">
        <f>IF(NOT(ISNUMBER(G1195)), "", VLOOKUP(A1195,'Discount Lookup'!G:H,2,FALSE)*G1195)</f>
        <v>0</v>
      </c>
      <c r="W1195" s="102">
        <f t="shared" si="872"/>
        <v>0</v>
      </c>
      <c r="X1195" s="102">
        <f t="shared" si="873"/>
        <v>0</v>
      </c>
      <c r="Y1195" s="120" t="b">
        <f t="shared" si="874"/>
        <v>0</v>
      </c>
      <c r="Z1195" s="117">
        <f t="shared" si="875"/>
        <v>0</v>
      </c>
      <c r="AA1195" s="118"/>
      <c r="AB1195" s="118" t="str">
        <f t="shared" si="876"/>
        <v/>
      </c>
      <c r="AC1195" s="712" t="str">
        <f>IF(AE1195="T2G","no charge",IF(AND(OR(PlanterYesMe="No",PlanterYesMe="N",PlanterYesMe="me"),H1195=""),"",IF(H1195="credit","NO install",IF(AND(K1195="",AE1195="me"),"EACH row",IF(AND(K1195="images",AE1195="me"),"EACH row",IF(D1195="","",IF(H1195="credit","",IF(AE1195="free","re-planting",IF(AE1195="me","   not ELP, by",IF(AND(OR(PlanterYesMe="Yes",PlanterYesMe="Y"),G1195&gt;0),(VLOOKUP(A1195,'Discount Lookup'!J:K,2)*G1195*(1-PlanterDiscount)*(1+PlanterDifficultyPercentage)),IF(AE1195="ELP",(VLOOKUP(A1195,'Discount Lookup'!J:K,2)*G1195*(1-PlanterDiscount)*(1+PlanterDifficultyPercentage)),IF(AE1195="free","re-planting",IF(G1195=0,"",IF(PlanterYesMe="",IF(AE1195="me","   not ELP, by",IF(AE1195="",IF(G1195&gt;0,(VLOOKUP(A1195,'Discount Lookup'!J:K,2)*G1195*(1-PlanterDiscount)*(1+PlanterDifficultyPercentage)),""),"")),"   not ELP, by"))))))))))))))</f>
        <v/>
      </c>
      <c r="AD1195" s="712"/>
      <c r="AE1195" s="513" t="str">
        <f t="shared" si="877"/>
        <v/>
      </c>
      <c r="AF1195" s="713" t="str">
        <f t="shared" si="878"/>
        <v/>
      </c>
      <c r="AG1195" s="713"/>
      <c r="AH1195" s="713"/>
      <c r="AI1195" s="112">
        <f>IF(H1195="credit",0,IF(AE1195="free",0,IF(AE1195="me",0,IF(G1195&gt;0,(VLOOKUP(A1195,'Discount Lookup'!J:K,2)*G1195),0))))</f>
        <v>0</v>
      </c>
      <c r="AJ1195" s="107" t="str">
        <f t="shared" ca="1" si="879"/>
        <v/>
      </c>
      <c r="AK1195" s="714" t="str">
        <f t="shared" si="880"/>
        <v/>
      </c>
      <c r="AL1195" s="714"/>
      <c r="AM1195" s="114" t="str">
        <f t="shared" si="881"/>
        <v/>
      </c>
      <c r="AN1195" s="115"/>
      <c r="AO1195" s="116"/>
      <c r="AP1195" s="116"/>
      <c r="AQ1195" s="116"/>
      <c r="AR1195" s="116"/>
      <c r="AS1195" s="116"/>
      <c r="AT1195" s="116"/>
      <c r="AU1195" s="116"/>
      <c r="AV1195" s="78"/>
      <c r="AW1195" s="102"/>
      <c r="AX1195" s="78"/>
      <c r="AY1195" s="78"/>
      <c r="AZ1195" s="78"/>
      <c r="BA1195" s="78"/>
      <c r="BB1195" s="78"/>
      <c r="BC1195" s="78"/>
      <c r="BD1195" s="78"/>
      <c r="BE1195" s="465"/>
      <c r="BF1195" s="165" t="str">
        <f t="shared" si="882"/>
        <v>https://www.google.com/search?tbm=isch&amp;q=15%20G6</v>
      </c>
      <c r="BG1195" s="165" t="str">
        <f t="shared" si="883"/>
        <v>C</v>
      </c>
      <c r="BH1195" s="65"/>
      <c r="BI1195" s="65"/>
      <c r="BJ1195" s="65"/>
      <c r="BK1195" s="65"/>
      <c r="BL1195" s="99"/>
      <c r="BM1195" s="99"/>
      <c r="BN1195" s="99"/>
    </row>
    <row r="1196" spans="1:66" s="51" customFormat="1" ht="17.25" thickBot="1" x14ac:dyDescent="0.3">
      <c r="A1196" s="641" t="s">
        <v>2214</v>
      </c>
      <c r="B1196" s="642"/>
      <c r="C1196" s="710"/>
      <c r="D1196" s="643"/>
      <c r="E1196" s="643"/>
      <c r="F1196" s="644"/>
      <c r="G1196" s="645"/>
      <c r="H1196" s="646"/>
      <c r="I1196" s="647"/>
      <c r="J1196" s="648"/>
      <c r="K1196" s="649"/>
      <c r="L1196" s="650"/>
      <c r="M1196" s="650"/>
      <c r="N1196" s="644"/>
      <c r="O1196" s="644"/>
      <c r="P1196" s="644"/>
      <c r="Q1196" s="644"/>
      <c r="R1196" s="644"/>
      <c r="S1196" s="701" t="s">
        <v>5253</v>
      </c>
      <c r="T1196" s="102">
        <f t="shared" si="871"/>
        <v>0</v>
      </c>
      <c r="U1196" s="78" t="str">
        <f>IF(NOT(ISNUMBER(G1196)), "", VLOOKUP(A1196,'Discount Lookup'!D:E,2,FALSE)*G1196)</f>
        <v/>
      </c>
      <c r="V1196" s="78" t="str">
        <f>IF(NOT(ISNUMBER(G1196)), "", VLOOKUP(A1196,'Discount Lookup'!G:H,2,FALSE)*G1196)</f>
        <v/>
      </c>
      <c r="W1196" s="102">
        <f t="shared" si="872"/>
        <v>0</v>
      </c>
      <c r="X1196" s="102">
        <f t="shared" si="873"/>
        <v>0</v>
      </c>
      <c r="Y1196" s="120" t="b">
        <f t="shared" si="874"/>
        <v>0</v>
      </c>
      <c r="Z1196" s="117">
        <f t="shared" si="875"/>
        <v>0</v>
      </c>
      <c r="AA1196" s="118"/>
      <c r="AB1196" s="118" t="str">
        <f t="shared" si="876"/>
        <v/>
      </c>
      <c r="AC1196" s="712" t="str">
        <f>IF(AE1196="T2G","no charge",IF(AND(OR(PlanterYesMe="No",PlanterYesMe="N",PlanterYesMe="me"),H1196=""),"",IF(H1196="credit","NO install",IF(AND(K1196="",AE1196="me"),"EACH row",IF(AND(K1196="images",AE1196="me"),"EACH row",IF(D1196="","",IF(H1196="credit","",IF(AE1196="free","re-planting",IF(AE1196="me","   not ELP, by",IF(AND(OR(PlanterYesMe="Yes",PlanterYesMe="Y"),G1196&gt;0),(VLOOKUP(A1196,'Discount Lookup'!J:K,2)*G1196*(1-PlanterDiscount)*(1+PlanterDifficultyPercentage)),IF(AE1196="ELP",(VLOOKUP(A1196,'Discount Lookup'!J:K,2)*G1196*(1-PlanterDiscount)*(1+PlanterDifficultyPercentage)),IF(AE1196="free","re-planting",IF(G1196=0,"",IF(PlanterYesMe="",IF(AE1196="me","   not ELP, by",IF(AE1196="",IF(G1196&gt;0,(VLOOKUP(A1196,'Discount Lookup'!J:K,2)*G1196*(1-PlanterDiscount)*(1+PlanterDifficultyPercentage)),""),"")),"   not ELP, by"))))))))))))))</f>
        <v/>
      </c>
      <c r="AD1196" s="712"/>
      <c r="AE1196" s="513" t="str">
        <f t="shared" si="877"/>
        <v/>
      </c>
      <c r="AF1196" s="713" t="str">
        <f t="shared" si="878"/>
        <v/>
      </c>
      <c r="AG1196" s="713"/>
      <c r="AH1196" s="713"/>
      <c r="AI1196" s="112">
        <f>IF(H1196="credit",0,IF(AE1196="free",0,IF(AE1196="me",0,IF(G1196&gt;0,(VLOOKUP(A1196,'Discount Lookup'!J:K,2)*G1196),0))))</f>
        <v>0</v>
      </c>
      <c r="AJ1196" s="107" t="str">
        <f t="shared" ca="1" si="879"/>
        <v/>
      </c>
      <c r="AK1196" s="714" t="str">
        <f t="shared" si="880"/>
        <v/>
      </c>
      <c r="AL1196" s="714"/>
      <c r="AM1196" s="114" t="str">
        <f t="shared" si="881"/>
        <v/>
      </c>
      <c r="AN1196" s="115"/>
      <c r="AO1196" s="116"/>
      <c r="AP1196" s="116"/>
      <c r="AQ1196" s="116"/>
      <c r="AR1196" s="116"/>
      <c r="AS1196" s="116"/>
      <c r="AT1196" s="116"/>
      <c r="AU1196" s="116"/>
      <c r="AV1196" s="78"/>
      <c r="AW1196" s="102"/>
      <c r="AX1196" s="78"/>
      <c r="AY1196" s="78"/>
      <c r="AZ1196" s="78"/>
      <c r="BA1196" s="78"/>
      <c r="BB1196" s="78"/>
      <c r="BC1196" s="78"/>
      <c r="BD1196" s="78"/>
      <c r="BE1196" s="465"/>
      <c r="BF1196" s="165" t="str">
        <f t="shared" si="882"/>
        <v>https://www.google.com/search?tbm=isch&amp;q=Pygmy%20is%20endangered%2C%20so%20plant%20if%20you%20can.%20Fragrant.%20Yellow-Green%20summer%20foliage%20follow%20by%20Golden%20tones%20in%20the%20fall%20</v>
      </c>
      <c r="BG1196" s="165" t="str">
        <f t="shared" si="883"/>
        <v>P</v>
      </c>
      <c r="BH1196" s="65"/>
      <c r="BI1196" s="65"/>
      <c r="BJ1196" s="65"/>
      <c r="BK1196" s="65"/>
      <c r="BL1196" s="99"/>
      <c r="BM1196" s="99"/>
      <c r="BN1196" s="99"/>
    </row>
    <row r="1197" spans="1:66" s="51" customFormat="1" ht="18" x14ac:dyDescent="0.25">
      <c r="A1197" s="623" t="s">
        <v>2215</v>
      </c>
      <c r="B1197" s="624"/>
      <c r="C1197" s="709"/>
      <c r="D1197" s="625" t="s">
        <v>2216</v>
      </c>
      <c r="E1197" s="626"/>
      <c r="F1197" s="626"/>
      <c r="G1197" s="626"/>
      <c r="H1197" s="622" t="s">
        <v>1454</v>
      </c>
      <c r="I1197" s="627" t="s">
        <v>349</v>
      </c>
      <c r="J1197" s="628"/>
      <c r="K1197" s="628"/>
      <c r="L1197" s="629"/>
      <c r="M1197" s="700" t="s">
        <v>5249</v>
      </c>
      <c r="N1197" s="693" t="str">
        <f>IF(AND(ISTEXT($A1197), ISERROR($A1197+0)), HYPERLINK($BF1197, "Images"), "")</f>
        <v>Images</v>
      </c>
      <c r="O1197" s="695" t="s">
        <v>5247</v>
      </c>
      <c r="P1197" s="630"/>
      <c r="Q1197" s="631"/>
      <c r="R1197" s="632"/>
      <c r="S1197" s="633"/>
      <c r="T1197" s="102">
        <f t="shared" si="871"/>
        <v>0</v>
      </c>
      <c r="U1197" s="78" t="str">
        <f>IF(NOT(ISNUMBER(G1197)), "", VLOOKUP(A1197,'Discount Lookup'!D:E,2,FALSE)*G1197)</f>
        <v/>
      </c>
      <c r="V1197" s="78" t="str">
        <f>IF(NOT(ISNUMBER(G1197)), "", VLOOKUP(A1197,'Discount Lookup'!G:H,2,FALSE)*G1197)</f>
        <v/>
      </c>
      <c r="W1197" s="102">
        <f t="shared" si="872"/>
        <v>0</v>
      </c>
      <c r="X1197" s="102" t="str">
        <f t="shared" si="873"/>
        <v>White bloom</v>
      </c>
      <c r="Y1197" s="120" t="b">
        <f t="shared" si="874"/>
        <v>0</v>
      </c>
      <c r="Z1197" s="117">
        <f t="shared" si="875"/>
        <v>0</v>
      </c>
      <c r="AA1197" s="118"/>
      <c r="AB1197" s="118" t="str">
        <f t="shared" si="876"/>
        <v/>
      </c>
      <c r="AC1197" s="712" t="str">
        <f>IF(AE1197="T2G","no charge",IF(AND(OR(PlanterYesMe="No",PlanterYesMe="N",PlanterYesMe="me"),H1197=""),"",IF(H1197="credit","NO install",IF(AND(K1197="",AE1197="me"),"EACH row",IF(AND(K1197="images",AE1197="me"),"EACH row",IF(D1197="","",IF(H1197="credit","",IF(AE1197="free","re-planting",IF(AE1197="me","   not ELP, by",IF(AND(OR(PlanterYesMe="Yes",PlanterYesMe="Y"),G1197&gt;0),(VLOOKUP(A1197,'Discount Lookup'!J:K,2)*G1197*(1-PlanterDiscount)*(1+PlanterDifficultyPercentage)),IF(AE1197="ELP",(VLOOKUP(A1197,'Discount Lookup'!J:K,2)*G1197*(1-PlanterDiscount)*(1+PlanterDifficultyPercentage)),IF(AE1197="free","re-planting",IF(G1197=0,"",IF(PlanterYesMe="",IF(AE1197="me","   not ELP, by",IF(AE1197="",IF(G1197&gt;0,(VLOOKUP(A1197,'Discount Lookup'!J:K,2)*G1197*(1-PlanterDiscount)*(1+PlanterDifficultyPercentage)),""),"")),"   not ELP, by"))))))))))))))</f>
        <v/>
      </c>
      <c r="AD1197" s="712"/>
      <c r="AE1197" s="513" t="str">
        <f t="shared" si="877"/>
        <v/>
      </c>
      <c r="AF1197" s="713" t="str">
        <f t="shared" si="878"/>
        <v/>
      </c>
      <c r="AG1197" s="713"/>
      <c r="AH1197" s="713"/>
      <c r="AI1197" s="112">
        <f>IF(H1197="credit",0,IF(AE1197="free",0,IF(AE1197="me",0,IF(G1197&gt;0,(VLOOKUP(A1197,'Discount Lookup'!J:K,2)*G1197),0))))</f>
        <v>0</v>
      </c>
      <c r="AJ1197" s="107" t="str">
        <f t="shared" ca="1" si="879"/>
        <v/>
      </c>
      <c r="AK1197" s="714" t="str">
        <f t="shared" si="880"/>
        <v/>
      </c>
      <c r="AL1197" s="714"/>
      <c r="AM1197" s="114" t="str">
        <f t="shared" si="881"/>
        <v/>
      </c>
      <c r="AN1197" s="115"/>
      <c r="AO1197" s="116"/>
      <c r="AP1197" s="116"/>
      <c r="AQ1197" s="116"/>
      <c r="AR1197" s="116"/>
      <c r="AS1197" s="116"/>
      <c r="AT1197" s="116"/>
      <c r="AU1197" s="116"/>
      <c r="AV1197" s="78"/>
      <c r="AW1197" s="102"/>
      <c r="AX1197" s="78"/>
      <c r="AY1197" s="78"/>
      <c r="AZ1197" s="78"/>
      <c r="BA1197" s="78"/>
      <c r="BB1197" s="78"/>
      <c r="BC1197" s="78"/>
      <c r="BD1197" s="78"/>
      <c r="BE1197" s="465"/>
      <c r="BF1197" s="165" t="str">
        <f t="shared" si="882"/>
        <v>https://www.google.com/search?tbm=isch&amp;q=Chionanthus%20retusus%20Chinese%20Fringetree</v>
      </c>
      <c r="BG1197" s="165" t="str">
        <f t="shared" si="883"/>
        <v>C</v>
      </c>
      <c r="BH1197" s="65"/>
      <c r="BI1197" s="65"/>
      <c r="BJ1197" s="65"/>
      <c r="BK1197" s="65"/>
      <c r="BL1197" s="99"/>
      <c r="BM1197" s="99"/>
      <c r="BN1197" s="99"/>
    </row>
    <row r="1198" spans="1:66" s="51" customFormat="1" ht="15.75" x14ac:dyDescent="0.25">
      <c r="A1198" s="634">
        <v>7</v>
      </c>
      <c r="B1198" s="635" t="s">
        <v>291</v>
      </c>
      <c r="C1198" s="636"/>
      <c r="D1198" s="637" t="s">
        <v>311</v>
      </c>
      <c r="E1198" s="638">
        <v>102.95</v>
      </c>
      <c r="F1198" s="639" t="s">
        <v>292</v>
      </c>
      <c r="G1198" s="484">
        <v>0</v>
      </c>
      <c r="H1198" s="691" t="str">
        <f t="shared" ref="H1198:H1203" si="899">IF(G1198=0,"",IF(F1198="Buy",IF(G1198=1,"plant","plants"),IF(F1198&gt;0.01,"warranty","Error")))</f>
        <v/>
      </c>
      <c r="I1198" s="640">
        <f t="shared" ref="I1198:I1203" si="900">IF(H1198="free",0,IF(H1198="credit",((E1198*(F1198))*G1198*-1),IF(F1198="Buy",(E1198*G1198),((E1198*(1-F1198))*G1198))))</f>
        <v>0</v>
      </c>
      <c r="J1198" s="640">
        <f t="shared" ref="J1198:J1203" si="901">IF(H1198="warranty",0,(I1198*(_xlfn.SINGLE(SalesTaxPercentage))))</f>
        <v>0</v>
      </c>
      <c r="K1198" s="716">
        <f t="shared" ref="K1198" si="902">I1198+J1198</f>
        <v>0</v>
      </c>
      <c r="L1198" s="716"/>
      <c r="M1198" s="689" t="str">
        <f t="shared" ref="M1198:M1203" ca="1" si="903">IF(AND(G1198&gt;0,E1198=0),"WARNING - no PRICE inserted",IF(H1198="free","FREE ~ no charge this plant",IF(H1198="credit",CONCATENATE("-$",ROUND(K1198*(1-_xlfn.SINGLE(T2GDiscount))*-1,2)," CREDIT after discount"),IF(_xlfn.SINGLE(T2GDiscount)=0,"",IF(G1198=0,"",IF(F1198="Buy",CONCATENATE("$",ROUND(K1198*(1-_xlfn.SINGLE(T2GDiscount)),2)," with ",(_xlfn.SINGLE(T2GDiscount)*100),"% discount"),CONCATENATE("$",ROUND(K1198*(1-_xlfn.SINGLE(T2GDiscount)),2)," with ",((_xlfn.SINGLE(T2GDiscount)*100+F1198*100)-(_xlfn.SINGLE(T2GDiscount)*100*F1198)),IF(F1198&gt;0,"% discounts",IF(_xlfn.SINGLE(NoWarrantyDiscount)&gt;0,"% discounts","% discount")))))))))</f>
        <v/>
      </c>
      <c r="N1198" s="690"/>
      <c r="O1198" s="486"/>
      <c r="P1198" s="486"/>
      <c r="Q1198" s="486"/>
      <c r="R1198" s="486"/>
      <c r="S1198" s="486"/>
      <c r="T1198" s="102">
        <f t="shared" si="871"/>
        <v>0</v>
      </c>
      <c r="U1198" s="78">
        <f>IF(NOT(ISNUMBER(G1198)), "", VLOOKUP(A1198,'Discount Lookup'!D:E,2,FALSE)*G1198)</f>
        <v>0</v>
      </c>
      <c r="V1198" s="78">
        <f>IF(NOT(ISNUMBER(G1198)), "", VLOOKUP(A1198,'Discount Lookup'!G:H,2,FALSE)*G1198)</f>
        <v>0</v>
      </c>
      <c r="W1198" s="102">
        <f t="shared" si="872"/>
        <v>0</v>
      </c>
      <c r="X1198" s="102">
        <f t="shared" si="873"/>
        <v>0</v>
      </c>
      <c r="Y1198" s="120" t="b">
        <f t="shared" si="874"/>
        <v>0</v>
      </c>
      <c r="Z1198" s="117">
        <f t="shared" si="875"/>
        <v>0</v>
      </c>
      <c r="AA1198" s="118"/>
      <c r="AB1198" s="118" t="str">
        <f t="shared" si="876"/>
        <v/>
      </c>
      <c r="AC1198" s="712" t="str">
        <f>IF(AE1198="T2G","no charge",IF(AND(OR(PlanterYesMe="No",PlanterYesMe="N",PlanterYesMe="me"),H1198=""),"",IF(H1198="credit","NO install",IF(AND(K1198="",AE1198="me"),"EACH row",IF(AND(K1198="images",AE1198="me"),"EACH row",IF(D1198="","",IF(H1198="credit","",IF(AE1198="free","re-planting",IF(AE1198="me","   not ELP, by",IF(AND(OR(PlanterYesMe="Yes",PlanterYesMe="Y"),G1198&gt;0),(VLOOKUP(A1198,'Discount Lookup'!J:K,2)*G1198*(1-PlanterDiscount)*(1+PlanterDifficultyPercentage)),IF(AE1198="ELP",(VLOOKUP(A1198,'Discount Lookup'!J:K,2)*G1198*(1-PlanterDiscount)*(1+PlanterDifficultyPercentage)),IF(AE1198="free","re-planting",IF(G1198=0,"",IF(PlanterYesMe="",IF(AE1198="me","   not ELP, by",IF(AE1198="",IF(G1198&gt;0,(VLOOKUP(A1198,'Discount Lookup'!J:K,2)*G1198*(1-PlanterDiscount)*(1+PlanterDifficultyPercentage)),""),"")),"   not ELP, by"))))))))))))))</f>
        <v/>
      </c>
      <c r="AD1198" s="712"/>
      <c r="AE1198" s="513" t="str">
        <f t="shared" si="877"/>
        <v/>
      </c>
      <c r="AF1198" s="713" t="str">
        <f t="shared" si="878"/>
        <v/>
      </c>
      <c r="AG1198" s="713"/>
      <c r="AH1198" s="713"/>
      <c r="AI1198" s="112">
        <f>IF(H1198="credit",0,IF(AE1198="free",0,IF(AE1198="me",0,IF(G1198&gt;0,(VLOOKUP(A1198,'Discount Lookup'!J:K,2)*G1198),0))))</f>
        <v>0</v>
      </c>
      <c r="AJ1198" s="107" t="str">
        <f t="shared" ca="1" si="879"/>
        <v/>
      </c>
      <c r="AK1198" s="714" t="str">
        <f t="shared" si="880"/>
        <v/>
      </c>
      <c r="AL1198" s="714"/>
      <c r="AM1198" s="114" t="str">
        <f t="shared" si="881"/>
        <v/>
      </c>
      <c r="AN1198" s="115"/>
      <c r="AO1198" s="116"/>
      <c r="AP1198" s="116"/>
      <c r="AQ1198" s="116"/>
      <c r="AR1198" s="116"/>
      <c r="AS1198" s="116"/>
      <c r="AT1198" s="116"/>
      <c r="AU1198" s="116"/>
      <c r="AV1198" s="78"/>
      <c r="AW1198" s="102"/>
      <c r="AX1198" s="78"/>
      <c r="AY1198" s="78"/>
      <c r="AZ1198" s="78"/>
      <c r="BA1198" s="78"/>
      <c r="BB1198" s="78"/>
      <c r="BC1198" s="78"/>
      <c r="BD1198" s="78"/>
      <c r="BE1198" s="465"/>
      <c r="BF1198" s="165" t="str">
        <f t="shared" si="882"/>
        <v>https://www.google.com/search?tbm=isch&amp;q=7%20G5</v>
      </c>
      <c r="BG1198" s="165" t="str">
        <f t="shared" si="883"/>
        <v>C</v>
      </c>
      <c r="BH1198" s="65"/>
      <c r="BI1198" s="65"/>
      <c r="BJ1198" s="65"/>
      <c r="BK1198" s="65"/>
      <c r="BL1198" s="99"/>
      <c r="BM1198" s="99"/>
      <c r="BN1198" s="99"/>
    </row>
    <row r="1199" spans="1:66" s="51" customFormat="1" ht="15.75" x14ac:dyDescent="0.25">
      <c r="A1199" s="634">
        <v>7</v>
      </c>
      <c r="B1199" s="635" t="s">
        <v>291</v>
      </c>
      <c r="C1199" s="636" t="s">
        <v>1253</v>
      </c>
      <c r="D1199" s="637" t="s">
        <v>329</v>
      </c>
      <c r="E1199" s="638">
        <v>111.95</v>
      </c>
      <c r="F1199" s="639" t="s">
        <v>292</v>
      </c>
      <c r="G1199" s="484">
        <v>0</v>
      </c>
      <c r="H1199" s="691" t="str">
        <f t="shared" si="899"/>
        <v/>
      </c>
      <c r="I1199" s="640">
        <f t="shared" si="900"/>
        <v>0</v>
      </c>
      <c r="J1199" s="640">
        <f t="shared" si="901"/>
        <v>0</v>
      </c>
      <c r="K1199" s="716">
        <f t="shared" ref="K1199" si="904">I1199+J1199</f>
        <v>0</v>
      </c>
      <c r="L1199" s="716"/>
      <c r="M1199" s="689" t="str">
        <f t="shared" ca="1" si="903"/>
        <v/>
      </c>
      <c r="N1199" s="690"/>
      <c r="O1199" s="486"/>
      <c r="P1199" s="486"/>
      <c r="Q1199" s="486"/>
      <c r="R1199" s="486"/>
      <c r="S1199" s="486"/>
      <c r="T1199" s="102">
        <f t="shared" si="871"/>
        <v>0</v>
      </c>
      <c r="U1199" s="78">
        <f>IF(NOT(ISNUMBER(G1199)), "", VLOOKUP(A1199,'Discount Lookup'!D:E,2,FALSE)*G1199)</f>
        <v>0</v>
      </c>
      <c r="V1199" s="78">
        <f>IF(NOT(ISNUMBER(G1199)), "", VLOOKUP(A1199,'Discount Lookup'!G:H,2,FALSE)*G1199)</f>
        <v>0</v>
      </c>
      <c r="W1199" s="102">
        <f t="shared" si="872"/>
        <v>0</v>
      </c>
      <c r="X1199" s="102">
        <f t="shared" si="873"/>
        <v>0</v>
      </c>
      <c r="Y1199" s="120" t="b">
        <f t="shared" si="874"/>
        <v>0</v>
      </c>
      <c r="Z1199" s="117">
        <f t="shared" si="875"/>
        <v>0</v>
      </c>
      <c r="AA1199" s="118"/>
      <c r="AB1199" s="118" t="str">
        <f t="shared" si="876"/>
        <v/>
      </c>
      <c r="AC1199" s="712" t="str">
        <f>IF(AE1199="T2G","no charge",IF(AND(OR(PlanterYesMe="No",PlanterYesMe="N",PlanterYesMe="me"),H1199=""),"",IF(H1199="credit","NO install",IF(AND(K1199="",AE1199="me"),"EACH row",IF(AND(K1199="images",AE1199="me"),"EACH row",IF(D1199="","",IF(H1199="credit","",IF(AE1199="free","re-planting",IF(AE1199="me","   not ELP, by",IF(AND(OR(PlanterYesMe="Yes",PlanterYesMe="Y"),G1199&gt;0),(VLOOKUP(A1199,'Discount Lookup'!J:K,2)*G1199*(1-PlanterDiscount)*(1+PlanterDifficultyPercentage)),IF(AE1199="ELP",(VLOOKUP(A1199,'Discount Lookup'!J:K,2)*G1199*(1-PlanterDiscount)*(1+PlanterDifficultyPercentage)),IF(AE1199="free","re-planting",IF(G1199=0,"",IF(PlanterYesMe="",IF(AE1199="me","   not ELP, by",IF(AE1199="",IF(G1199&gt;0,(VLOOKUP(A1199,'Discount Lookup'!J:K,2)*G1199*(1-PlanterDiscount)*(1+PlanterDifficultyPercentage)),""),"")),"   not ELP, by"))))))))))))))</f>
        <v/>
      </c>
      <c r="AD1199" s="712"/>
      <c r="AE1199" s="513" t="str">
        <f t="shared" si="877"/>
        <v/>
      </c>
      <c r="AF1199" s="713" t="str">
        <f t="shared" si="878"/>
        <v/>
      </c>
      <c r="AG1199" s="713"/>
      <c r="AH1199" s="713"/>
      <c r="AI1199" s="112">
        <f>IF(H1199="credit",0,IF(AE1199="free",0,IF(AE1199="me",0,IF(G1199&gt;0,(VLOOKUP(A1199,'Discount Lookup'!J:K,2)*G1199),0))))</f>
        <v>0</v>
      </c>
      <c r="AJ1199" s="107" t="str">
        <f t="shared" ca="1" si="879"/>
        <v/>
      </c>
      <c r="AK1199" s="714" t="str">
        <f t="shared" si="880"/>
        <v/>
      </c>
      <c r="AL1199" s="714"/>
      <c r="AM1199" s="114" t="str">
        <f t="shared" si="881"/>
        <v/>
      </c>
      <c r="AN1199" s="115"/>
      <c r="AO1199" s="116"/>
      <c r="AP1199" s="116"/>
      <c r="AQ1199" s="116"/>
      <c r="AR1199" s="116"/>
      <c r="AS1199" s="116"/>
      <c r="AT1199" s="116"/>
      <c r="AU1199" s="116"/>
      <c r="AV1199" s="78"/>
      <c r="AW1199" s="102"/>
      <c r="AX1199" s="78"/>
      <c r="AY1199" s="78"/>
      <c r="AZ1199" s="78"/>
      <c r="BA1199" s="78"/>
      <c r="BB1199" s="78"/>
      <c r="BC1199" s="78"/>
      <c r="BD1199" s="78"/>
      <c r="BE1199" s="465"/>
      <c r="BF1199" s="165" t="str">
        <f t="shared" si="882"/>
        <v>https://www.google.com/search?tbm=isch&amp;q=7%20G2</v>
      </c>
      <c r="BG1199" s="165" t="str">
        <f t="shared" si="883"/>
        <v>C</v>
      </c>
      <c r="BH1199" s="65"/>
      <c r="BI1199" s="65"/>
      <c r="BJ1199" s="65"/>
      <c r="BK1199" s="65"/>
      <c r="BL1199" s="99"/>
      <c r="BM1199" s="99"/>
      <c r="BN1199" s="99"/>
    </row>
    <row r="1200" spans="1:66" s="51" customFormat="1" ht="15.75" x14ac:dyDescent="0.25">
      <c r="A1200" s="634">
        <v>7</v>
      </c>
      <c r="B1200" s="635" t="s">
        <v>291</v>
      </c>
      <c r="C1200" s="636" t="s">
        <v>2217</v>
      </c>
      <c r="D1200" s="637" t="s">
        <v>299</v>
      </c>
      <c r="E1200" s="638">
        <v>118.95</v>
      </c>
      <c r="F1200" s="639" t="s">
        <v>292</v>
      </c>
      <c r="G1200" s="484">
        <v>0</v>
      </c>
      <c r="H1200" s="691" t="str">
        <f t="shared" si="899"/>
        <v/>
      </c>
      <c r="I1200" s="640">
        <f t="shared" si="900"/>
        <v>0</v>
      </c>
      <c r="J1200" s="640">
        <f t="shared" si="901"/>
        <v>0</v>
      </c>
      <c r="K1200" s="716">
        <f t="shared" ref="K1200" si="905">I1200+J1200</f>
        <v>0</v>
      </c>
      <c r="L1200" s="716"/>
      <c r="M1200" s="689" t="str">
        <f t="shared" ca="1" si="903"/>
        <v/>
      </c>
      <c r="N1200" s="690"/>
      <c r="O1200" s="486"/>
      <c r="P1200" s="486"/>
      <c r="Q1200" s="486"/>
      <c r="R1200" s="486"/>
      <c r="S1200" s="486"/>
      <c r="T1200" s="102">
        <f t="shared" si="871"/>
        <v>0</v>
      </c>
      <c r="U1200" s="78">
        <f>IF(NOT(ISNUMBER(G1200)), "", VLOOKUP(A1200,'Discount Lookup'!D:E,2,FALSE)*G1200)</f>
        <v>0</v>
      </c>
      <c r="V1200" s="78">
        <f>IF(NOT(ISNUMBER(G1200)), "", VLOOKUP(A1200,'Discount Lookup'!G:H,2,FALSE)*G1200)</f>
        <v>0</v>
      </c>
      <c r="W1200" s="102">
        <f t="shared" si="872"/>
        <v>0</v>
      </c>
      <c r="X1200" s="102">
        <f t="shared" si="873"/>
        <v>0</v>
      </c>
      <c r="Y1200" s="120" t="b">
        <f t="shared" si="874"/>
        <v>0</v>
      </c>
      <c r="Z1200" s="117">
        <f t="shared" si="875"/>
        <v>0</v>
      </c>
      <c r="AA1200" s="118"/>
      <c r="AB1200" s="118" t="str">
        <f t="shared" si="876"/>
        <v/>
      </c>
      <c r="AC1200" s="712" t="str">
        <f>IF(AE1200="T2G","no charge",IF(AND(OR(PlanterYesMe="No",PlanterYesMe="N",PlanterYesMe="me"),H1200=""),"",IF(H1200="credit","NO install",IF(AND(K1200="",AE1200="me"),"EACH row",IF(AND(K1200="images",AE1200="me"),"EACH row",IF(D1200="","",IF(H1200="credit","",IF(AE1200="free","re-planting",IF(AE1200="me","   not ELP, by",IF(AND(OR(PlanterYesMe="Yes",PlanterYesMe="Y"),G1200&gt;0),(VLOOKUP(A1200,'Discount Lookup'!J:K,2)*G1200*(1-PlanterDiscount)*(1+PlanterDifficultyPercentage)),IF(AE1200="ELP",(VLOOKUP(A1200,'Discount Lookup'!J:K,2)*G1200*(1-PlanterDiscount)*(1+PlanterDifficultyPercentage)),IF(AE1200="free","re-planting",IF(G1200=0,"",IF(PlanterYesMe="",IF(AE1200="me","   not ELP, by",IF(AE1200="",IF(G1200&gt;0,(VLOOKUP(A1200,'Discount Lookup'!J:K,2)*G1200*(1-PlanterDiscount)*(1+PlanterDifficultyPercentage)),""),"")),"   not ELP, by"))))))))))))))</f>
        <v/>
      </c>
      <c r="AD1200" s="712"/>
      <c r="AE1200" s="513" t="str">
        <f t="shared" si="877"/>
        <v/>
      </c>
      <c r="AF1200" s="713" t="str">
        <f t="shared" si="878"/>
        <v/>
      </c>
      <c r="AG1200" s="713"/>
      <c r="AH1200" s="713"/>
      <c r="AI1200" s="112">
        <f>IF(H1200="credit",0,IF(AE1200="free",0,IF(AE1200="me",0,IF(G1200&gt;0,(VLOOKUP(A1200,'Discount Lookup'!J:K,2)*G1200),0))))</f>
        <v>0</v>
      </c>
      <c r="AJ1200" s="107" t="str">
        <f t="shared" ca="1" si="879"/>
        <v/>
      </c>
      <c r="AK1200" s="714" t="str">
        <f t="shared" si="880"/>
        <v/>
      </c>
      <c r="AL1200" s="714"/>
      <c r="AM1200" s="114" t="str">
        <f t="shared" si="881"/>
        <v/>
      </c>
      <c r="AN1200" s="115"/>
      <c r="AO1200" s="116"/>
      <c r="AP1200" s="116"/>
      <c r="AQ1200" s="116"/>
      <c r="AR1200" s="116"/>
      <c r="AS1200" s="116"/>
      <c r="AT1200" s="116"/>
      <c r="AU1200" s="116"/>
      <c r="AV1200" s="78"/>
      <c r="AW1200" s="102"/>
      <c r="AX1200" s="78"/>
      <c r="AY1200" s="78"/>
      <c r="AZ1200" s="78"/>
      <c r="BA1200" s="78"/>
      <c r="BB1200" s="78"/>
      <c r="BC1200" s="78"/>
      <c r="BD1200" s="78"/>
      <c r="BE1200" s="465"/>
      <c r="BF1200" s="165" t="str">
        <f t="shared" si="882"/>
        <v>https://www.google.com/search?tbm=isch&amp;q=7%20G4</v>
      </c>
      <c r="BG1200" s="165" t="str">
        <f t="shared" si="883"/>
        <v>C</v>
      </c>
      <c r="BH1200" s="65"/>
      <c r="BI1200" s="65"/>
      <c r="BJ1200" s="65"/>
      <c r="BK1200" s="65"/>
      <c r="BL1200" s="99"/>
      <c r="BM1200" s="99"/>
      <c r="BN1200" s="99"/>
    </row>
    <row r="1201" spans="1:66" s="51" customFormat="1" ht="15.75" x14ac:dyDescent="0.25">
      <c r="A1201" s="634">
        <v>15</v>
      </c>
      <c r="B1201" s="635" t="s">
        <v>291</v>
      </c>
      <c r="C1201" s="636" t="s">
        <v>2218</v>
      </c>
      <c r="D1201" s="637" t="s">
        <v>311</v>
      </c>
      <c r="E1201" s="638">
        <v>160.94999999999999</v>
      </c>
      <c r="F1201" s="639" t="s">
        <v>292</v>
      </c>
      <c r="G1201" s="484">
        <v>0</v>
      </c>
      <c r="H1201" s="691" t="str">
        <f t="shared" si="899"/>
        <v/>
      </c>
      <c r="I1201" s="640">
        <f t="shared" si="900"/>
        <v>0</v>
      </c>
      <c r="J1201" s="640">
        <f t="shared" si="901"/>
        <v>0</v>
      </c>
      <c r="K1201" s="716">
        <f t="shared" ref="K1201" si="906">I1201+J1201</f>
        <v>0</v>
      </c>
      <c r="L1201" s="716"/>
      <c r="M1201" s="689" t="str">
        <f t="shared" ca="1" si="903"/>
        <v/>
      </c>
      <c r="N1201" s="690"/>
      <c r="O1201" s="486"/>
      <c r="P1201" s="486"/>
      <c r="Q1201" s="486"/>
      <c r="R1201" s="486"/>
      <c r="S1201" s="486"/>
      <c r="T1201" s="102">
        <f t="shared" si="871"/>
        <v>0</v>
      </c>
      <c r="U1201" s="78">
        <f>IF(NOT(ISNUMBER(G1201)), "", VLOOKUP(A1201,'Discount Lookup'!D:E,2,FALSE)*G1201)</f>
        <v>0</v>
      </c>
      <c r="V1201" s="78">
        <f>IF(NOT(ISNUMBER(G1201)), "", VLOOKUP(A1201,'Discount Lookup'!G:H,2,FALSE)*G1201)</f>
        <v>0</v>
      </c>
      <c r="W1201" s="102">
        <f t="shared" si="872"/>
        <v>0</v>
      </c>
      <c r="X1201" s="102">
        <f t="shared" si="873"/>
        <v>0</v>
      </c>
      <c r="Y1201" s="120" t="b">
        <f t="shared" si="874"/>
        <v>0</v>
      </c>
      <c r="Z1201" s="117">
        <f t="shared" si="875"/>
        <v>0</v>
      </c>
      <c r="AA1201" s="118"/>
      <c r="AB1201" s="118" t="str">
        <f t="shared" si="876"/>
        <v/>
      </c>
      <c r="AC1201" s="712" t="str">
        <f>IF(AE1201="T2G","no charge",IF(AND(OR(PlanterYesMe="No",PlanterYesMe="N",PlanterYesMe="me"),H1201=""),"",IF(H1201="credit","NO install",IF(AND(K1201="",AE1201="me"),"EACH row",IF(AND(K1201="images",AE1201="me"),"EACH row",IF(D1201="","",IF(H1201="credit","",IF(AE1201="free","re-planting",IF(AE1201="me","   not ELP, by",IF(AND(OR(PlanterYesMe="Yes",PlanterYesMe="Y"),G1201&gt;0),(VLOOKUP(A1201,'Discount Lookup'!J:K,2)*G1201*(1-PlanterDiscount)*(1+PlanterDifficultyPercentage)),IF(AE1201="ELP",(VLOOKUP(A1201,'Discount Lookup'!J:K,2)*G1201*(1-PlanterDiscount)*(1+PlanterDifficultyPercentage)),IF(AE1201="free","re-planting",IF(G1201=0,"",IF(PlanterYesMe="",IF(AE1201="me","   not ELP, by",IF(AE1201="",IF(G1201&gt;0,(VLOOKUP(A1201,'Discount Lookup'!J:K,2)*G1201*(1-PlanterDiscount)*(1+PlanterDifficultyPercentage)),""),"")),"   not ELP, by"))))))))))))))</f>
        <v/>
      </c>
      <c r="AD1201" s="712"/>
      <c r="AE1201" s="513" t="str">
        <f t="shared" si="877"/>
        <v/>
      </c>
      <c r="AF1201" s="713" t="str">
        <f t="shared" si="878"/>
        <v/>
      </c>
      <c r="AG1201" s="713"/>
      <c r="AH1201" s="713"/>
      <c r="AI1201" s="112">
        <f>IF(H1201="credit",0,IF(AE1201="free",0,IF(AE1201="me",0,IF(G1201&gt;0,(VLOOKUP(A1201,'Discount Lookup'!J:K,2)*G1201),0))))</f>
        <v>0</v>
      </c>
      <c r="AJ1201" s="107" t="str">
        <f t="shared" ca="1" si="879"/>
        <v/>
      </c>
      <c r="AK1201" s="714" t="str">
        <f t="shared" si="880"/>
        <v/>
      </c>
      <c r="AL1201" s="714"/>
      <c r="AM1201" s="114" t="str">
        <f t="shared" si="881"/>
        <v/>
      </c>
      <c r="AN1201" s="115"/>
      <c r="AO1201" s="116"/>
      <c r="AP1201" s="116"/>
      <c r="AQ1201" s="116"/>
      <c r="AR1201" s="116"/>
      <c r="AS1201" s="116"/>
      <c r="AT1201" s="116"/>
      <c r="AU1201" s="116"/>
      <c r="AV1201" s="78"/>
      <c r="AW1201" s="102"/>
      <c r="AX1201" s="78"/>
      <c r="AY1201" s="78"/>
      <c r="AZ1201" s="78"/>
      <c r="BA1201" s="78"/>
      <c r="BB1201" s="78"/>
      <c r="BC1201" s="78"/>
      <c r="BD1201" s="78"/>
      <c r="BE1201" s="465"/>
      <c r="BF1201" s="165" t="str">
        <f t="shared" si="882"/>
        <v>https://www.google.com/search?tbm=isch&amp;q=15%20G5</v>
      </c>
      <c r="BG1201" s="165" t="str">
        <f t="shared" si="883"/>
        <v>C</v>
      </c>
      <c r="BH1201" s="65"/>
      <c r="BI1201" s="65"/>
      <c r="BJ1201" s="65"/>
      <c r="BK1201" s="65"/>
      <c r="BL1201" s="99"/>
      <c r="BM1201" s="99"/>
      <c r="BN1201" s="99"/>
    </row>
    <row r="1202" spans="1:66" s="51" customFormat="1" ht="15.75" x14ac:dyDescent="0.25">
      <c r="A1202" s="634">
        <v>15</v>
      </c>
      <c r="B1202" s="635" t="s">
        <v>291</v>
      </c>
      <c r="C1202" s="636" t="s">
        <v>2219</v>
      </c>
      <c r="D1202" s="637" t="s">
        <v>299</v>
      </c>
      <c r="E1202" s="638">
        <v>196.95</v>
      </c>
      <c r="F1202" s="639" t="s">
        <v>292</v>
      </c>
      <c r="G1202" s="484">
        <v>0</v>
      </c>
      <c r="H1202" s="691" t="str">
        <f t="shared" si="899"/>
        <v/>
      </c>
      <c r="I1202" s="640">
        <f t="shared" si="900"/>
        <v>0</v>
      </c>
      <c r="J1202" s="640">
        <f t="shared" si="901"/>
        <v>0</v>
      </c>
      <c r="K1202" s="716">
        <f t="shared" ref="K1202" si="907">I1202+J1202</f>
        <v>0</v>
      </c>
      <c r="L1202" s="716"/>
      <c r="M1202" s="689" t="str">
        <f t="shared" ca="1" si="903"/>
        <v/>
      </c>
      <c r="N1202" s="690"/>
      <c r="O1202" s="486"/>
      <c r="P1202" s="486"/>
      <c r="Q1202" s="486"/>
      <c r="R1202" s="486"/>
      <c r="S1202" s="486"/>
      <c r="T1202" s="102">
        <f t="shared" si="871"/>
        <v>0</v>
      </c>
      <c r="U1202" s="78">
        <f>IF(NOT(ISNUMBER(G1202)), "", VLOOKUP(A1202,'Discount Lookup'!D:E,2,FALSE)*G1202)</f>
        <v>0</v>
      </c>
      <c r="V1202" s="78">
        <f>IF(NOT(ISNUMBER(G1202)), "", VLOOKUP(A1202,'Discount Lookup'!G:H,2,FALSE)*G1202)</f>
        <v>0</v>
      </c>
      <c r="W1202" s="102">
        <f t="shared" si="872"/>
        <v>0</v>
      </c>
      <c r="X1202" s="102">
        <f t="shared" si="873"/>
        <v>0</v>
      </c>
      <c r="Y1202" s="120" t="b">
        <f t="shared" si="874"/>
        <v>0</v>
      </c>
      <c r="Z1202" s="117">
        <f t="shared" si="875"/>
        <v>0</v>
      </c>
      <c r="AA1202" s="118"/>
      <c r="AB1202" s="118" t="str">
        <f t="shared" si="876"/>
        <v/>
      </c>
      <c r="AC1202" s="712" t="str">
        <f>IF(AE1202="T2G","no charge",IF(AND(OR(PlanterYesMe="No",PlanterYesMe="N",PlanterYesMe="me"),H1202=""),"",IF(H1202="credit","NO install",IF(AND(K1202="",AE1202="me"),"EACH row",IF(AND(K1202="images",AE1202="me"),"EACH row",IF(D1202="","",IF(H1202="credit","",IF(AE1202="free","re-planting",IF(AE1202="me","   not ELP, by",IF(AND(OR(PlanterYesMe="Yes",PlanterYesMe="Y"),G1202&gt;0),(VLOOKUP(A1202,'Discount Lookup'!J:K,2)*G1202*(1-PlanterDiscount)*(1+PlanterDifficultyPercentage)),IF(AE1202="ELP",(VLOOKUP(A1202,'Discount Lookup'!J:K,2)*G1202*(1-PlanterDiscount)*(1+PlanterDifficultyPercentage)),IF(AE1202="free","re-planting",IF(G1202=0,"",IF(PlanterYesMe="",IF(AE1202="me","   not ELP, by",IF(AE1202="",IF(G1202&gt;0,(VLOOKUP(A1202,'Discount Lookup'!J:K,2)*G1202*(1-PlanterDiscount)*(1+PlanterDifficultyPercentage)),""),"")),"   not ELP, by"))))))))))))))</f>
        <v/>
      </c>
      <c r="AD1202" s="712"/>
      <c r="AE1202" s="513" t="str">
        <f t="shared" si="877"/>
        <v/>
      </c>
      <c r="AF1202" s="713" t="str">
        <f t="shared" si="878"/>
        <v/>
      </c>
      <c r="AG1202" s="713"/>
      <c r="AH1202" s="713"/>
      <c r="AI1202" s="112">
        <f>IF(H1202="credit",0,IF(AE1202="free",0,IF(AE1202="me",0,IF(G1202&gt;0,(VLOOKUP(A1202,'Discount Lookup'!J:K,2)*G1202),0))))</f>
        <v>0</v>
      </c>
      <c r="AJ1202" s="107" t="str">
        <f t="shared" ca="1" si="879"/>
        <v/>
      </c>
      <c r="AK1202" s="714" t="str">
        <f t="shared" si="880"/>
        <v/>
      </c>
      <c r="AL1202" s="714"/>
      <c r="AM1202" s="114" t="str">
        <f t="shared" si="881"/>
        <v/>
      </c>
      <c r="AN1202" s="115"/>
      <c r="AO1202" s="116"/>
      <c r="AP1202" s="116"/>
      <c r="AQ1202" s="116"/>
      <c r="AR1202" s="116"/>
      <c r="AS1202" s="116"/>
      <c r="AT1202" s="116"/>
      <c r="AU1202" s="116"/>
      <c r="AV1202" s="78"/>
      <c r="AW1202" s="102"/>
      <c r="AX1202" s="78"/>
      <c r="AY1202" s="78"/>
      <c r="AZ1202" s="78"/>
      <c r="BA1202" s="78"/>
      <c r="BB1202" s="78"/>
      <c r="BC1202" s="78"/>
      <c r="BD1202" s="78"/>
      <c r="BE1202" s="465"/>
      <c r="BF1202" s="165" t="str">
        <f t="shared" si="882"/>
        <v>https://www.google.com/search?tbm=isch&amp;q=15%20G4</v>
      </c>
      <c r="BG1202" s="165" t="str">
        <f t="shared" si="883"/>
        <v>C</v>
      </c>
      <c r="BH1202" s="65"/>
      <c r="BI1202" s="65"/>
      <c r="BJ1202" s="65"/>
      <c r="BK1202" s="65"/>
      <c r="BL1202" s="99"/>
      <c r="BM1202" s="99"/>
      <c r="BN1202" s="99"/>
    </row>
    <row r="1203" spans="1:66" s="51" customFormat="1" ht="15.75" x14ac:dyDescent="0.25">
      <c r="A1203" s="634">
        <v>15</v>
      </c>
      <c r="B1203" s="635" t="s">
        <v>291</v>
      </c>
      <c r="C1203" s="636" t="s">
        <v>2220</v>
      </c>
      <c r="D1203" s="637" t="s">
        <v>293</v>
      </c>
      <c r="E1203" s="638">
        <v>299.95</v>
      </c>
      <c r="F1203" s="639" t="s">
        <v>292</v>
      </c>
      <c r="G1203" s="484">
        <v>0</v>
      </c>
      <c r="H1203" s="691" t="str">
        <f t="shared" si="899"/>
        <v/>
      </c>
      <c r="I1203" s="640">
        <f t="shared" si="900"/>
        <v>0</v>
      </c>
      <c r="J1203" s="640">
        <f t="shared" si="901"/>
        <v>0</v>
      </c>
      <c r="K1203" s="716">
        <f t="shared" ref="K1203" si="908">I1203+J1203</f>
        <v>0</v>
      </c>
      <c r="L1203" s="716"/>
      <c r="M1203" s="689" t="str">
        <f t="shared" ca="1" si="903"/>
        <v/>
      </c>
      <c r="N1203" s="690"/>
      <c r="O1203" s="486"/>
      <c r="P1203" s="486"/>
      <c r="Q1203" s="486"/>
      <c r="R1203" s="486"/>
      <c r="S1203" s="486"/>
      <c r="T1203" s="102">
        <f t="shared" si="871"/>
        <v>0</v>
      </c>
      <c r="U1203" s="78">
        <f>IF(NOT(ISNUMBER(G1203)), "", VLOOKUP(A1203,'Discount Lookup'!D:E,2,FALSE)*G1203)</f>
        <v>0</v>
      </c>
      <c r="V1203" s="78">
        <f>IF(NOT(ISNUMBER(G1203)), "", VLOOKUP(A1203,'Discount Lookup'!G:H,2,FALSE)*G1203)</f>
        <v>0</v>
      </c>
      <c r="W1203" s="102">
        <f t="shared" si="872"/>
        <v>0</v>
      </c>
      <c r="X1203" s="102">
        <f t="shared" si="873"/>
        <v>0</v>
      </c>
      <c r="Y1203" s="120" t="b">
        <f t="shared" si="874"/>
        <v>0</v>
      </c>
      <c r="Z1203" s="117">
        <f t="shared" si="875"/>
        <v>0</v>
      </c>
      <c r="AA1203" s="118"/>
      <c r="AB1203" s="118" t="str">
        <f t="shared" si="876"/>
        <v/>
      </c>
      <c r="AC1203" s="712" t="str">
        <f>IF(AE1203="T2G","no charge",IF(AND(OR(PlanterYesMe="No",PlanterYesMe="N",PlanterYesMe="me"),H1203=""),"",IF(H1203="credit","NO install",IF(AND(K1203="",AE1203="me"),"EACH row",IF(AND(K1203="images",AE1203="me"),"EACH row",IF(D1203="","",IF(H1203="credit","",IF(AE1203="free","re-planting",IF(AE1203="me","   not ELP, by",IF(AND(OR(PlanterYesMe="Yes",PlanterYesMe="Y"),G1203&gt;0),(VLOOKUP(A1203,'Discount Lookup'!J:K,2)*G1203*(1-PlanterDiscount)*(1+PlanterDifficultyPercentage)),IF(AE1203="ELP",(VLOOKUP(A1203,'Discount Lookup'!J:K,2)*G1203*(1-PlanterDiscount)*(1+PlanterDifficultyPercentage)),IF(AE1203="free","re-planting",IF(G1203=0,"",IF(PlanterYesMe="",IF(AE1203="me","   not ELP, by",IF(AE1203="",IF(G1203&gt;0,(VLOOKUP(A1203,'Discount Lookup'!J:K,2)*G1203*(1-PlanterDiscount)*(1+PlanterDifficultyPercentage)),""),"")),"   not ELP, by"))))))))))))))</f>
        <v/>
      </c>
      <c r="AD1203" s="712"/>
      <c r="AE1203" s="513" t="str">
        <f t="shared" si="877"/>
        <v/>
      </c>
      <c r="AF1203" s="713" t="str">
        <f t="shared" si="878"/>
        <v/>
      </c>
      <c r="AG1203" s="713"/>
      <c r="AH1203" s="713"/>
      <c r="AI1203" s="112">
        <f>IF(H1203="credit",0,IF(AE1203="free",0,IF(AE1203="me",0,IF(G1203&gt;0,(VLOOKUP(A1203,'Discount Lookup'!J:K,2)*G1203),0))))</f>
        <v>0</v>
      </c>
      <c r="AJ1203" s="107" t="str">
        <f t="shared" ca="1" si="879"/>
        <v/>
      </c>
      <c r="AK1203" s="714" t="str">
        <f t="shared" si="880"/>
        <v/>
      </c>
      <c r="AL1203" s="714"/>
      <c r="AM1203" s="114" t="str">
        <f t="shared" si="881"/>
        <v/>
      </c>
      <c r="AN1203" s="115"/>
      <c r="AO1203" s="116"/>
      <c r="AP1203" s="116"/>
      <c r="AQ1203" s="116"/>
      <c r="AR1203" s="116"/>
      <c r="AS1203" s="116"/>
      <c r="AT1203" s="116"/>
      <c r="AU1203" s="116"/>
      <c r="AV1203" s="78"/>
      <c r="AW1203" s="102"/>
      <c r="AX1203" s="78"/>
      <c r="AY1203" s="78"/>
      <c r="AZ1203" s="78"/>
      <c r="BA1203" s="78"/>
      <c r="BB1203" s="78"/>
      <c r="BC1203" s="78"/>
      <c r="BD1203" s="78"/>
      <c r="BE1203" s="465"/>
      <c r="BF1203" s="165" t="str">
        <f t="shared" si="882"/>
        <v>https://www.google.com/search?tbm=isch&amp;q=15%20G6</v>
      </c>
      <c r="BG1203" s="165" t="str">
        <f t="shared" si="883"/>
        <v>C</v>
      </c>
      <c r="BH1203" s="65"/>
      <c r="BI1203" s="65"/>
      <c r="BJ1203" s="65"/>
      <c r="BK1203" s="65"/>
      <c r="BL1203" s="99"/>
      <c r="BM1203" s="99"/>
      <c r="BN1203" s="99"/>
    </row>
    <row r="1204" spans="1:66" s="51" customFormat="1" ht="17.25" thickBot="1" x14ac:dyDescent="0.3">
      <c r="A1204" s="641" t="s">
        <v>2221</v>
      </c>
      <c r="B1204" s="642"/>
      <c r="C1204" s="710"/>
      <c r="D1204" s="643"/>
      <c r="E1204" s="643"/>
      <c r="F1204" s="644"/>
      <c r="G1204" s="645"/>
      <c r="H1204" s="646"/>
      <c r="I1204" s="647"/>
      <c r="J1204" s="648"/>
      <c r="K1204" s="649"/>
      <c r="L1204" s="650"/>
      <c r="M1204" s="650"/>
      <c r="N1204" s="644"/>
      <c r="O1204" s="644"/>
      <c r="P1204" s="644"/>
      <c r="Q1204" s="644"/>
      <c r="R1204" s="644"/>
      <c r="S1204" s="701" t="s">
        <v>5253</v>
      </c>
      <c r="T1204" s="102">
        <f t="shared" si="871"/>
        <v>0</v>
      </c>
      <c r="U1204" s="78" t="str">
        <f>IF(NOT(ISNUMBER(G1204)), "", VLOOKUP(A1204,'Discount Lookup'!D:E,2,FALSE)*G1204)</f>
        <v/>
      </c>
      <c r="V1204" s="78" t="str">
        <f>IF(NOT(ISNUMBER(G1204)), "", VLOOKUP(A1204,'Discount Lookup'!G:H,2,FALSE)*G1204)</f>
        <v/>
      </c>
      <c r="W1204" s="102">
        <f t="shared" si="872"/>
        <v>0</v>
      </c>
      <c r="X1204" s="102">
        <f t="shared" si="873"/>
        <v>0</v>
      </c>
      <c r="Y1204" s="120" t="b">
        <f t="shared" si="874"/>
        <v>0</v>
      </c>
      <c r="Z1204" s="117">
        <f t="shared" si="875"/>
        <v>0</v>
      </c>
      <c r="AA1204" s="118"/>
      <c r="AB1204" s="118" t="str">
        <f t="shared" si="876"/>
        <v/>
      </c>
      <c r="AC1204" s="712" t="str">
        <f>IF(AE1204="T2G","no charge",IF(AND(OR(PlanterYesMe="No",PlanterYesMe="N",PlanterYesMe="me"),H1204=""),"",IF(H1204="credit","NO install",IF(AND(K1204="",AE1204="me"),"EACH row",IF(AND(K1204="images",AE1204="me"),"EACH row",IF(D1204="","",IF(H1204="credit","",IF(AE1204="free","re-planting",IF(AE1204="me","   not ELP, by",IF(AND(OR(PlanterYesMe="Yes",PlanterYesMe="Y"),G1204&gt;0),(VLOOKUP(A1204,'Discount Lookup'!J:K,2)*G1204*(1-PlanterDiscount)*(1+PlanterDifficultyPercentage)),IF(AE1204="ELP",(VLOOKUP(A1204,'Discount Lookup'!J:K,2)*G1204*(1-PlanterDiscount)*(1+PlanterDifficultyPercentage)),IF(AE1204="free","re-planting",IF(G1204=0,"",IF(PlanterYesMe="",IF(AE1204="me","   not ELP, by",IF(AE1204="",IF(G1204&gt;0,(VLOOKUP(A1204,'Discount Lookup'!J:K,2)*G1204*(1-PlanterDiscount)*(1+PlanterDifficultyPercentage)),""),"")),"   not ELP, by"))))))))))))))</f>
        <v/>
      </c>
      <c r="AD1204" s="712"/>
      <c r="AE1204" s="513" t="str">
        <f t="shared" si="877"/>
        <v/>
      </c>
      <c r="AF1204" s="713" t="str">
        <f t="shared" si="878"/>
        <v/>
      </c>
      <c r="AG1204" s="713"/>
      <c r="AH1204" s="713"/>
      <c r="AI1204" s="112">
        <f>IF(H1204="credit",0,IF(AE1204="free",0,IF(AE1204="me",0,IF(G1204&gt;0,(VLOOKUP(A1204,'Discount Lookup'!J:K,2)*G1204),0))))</f>
        <v>0</v>
      </c>
      <c r="AJ1204" s="107" t="str">
        <f t="shared" ca="1" si="879"/>
        <v/>
      </c>
      <c r="AK1204" s="714" t="str">
        <f t="shared" si="880"/>
        <v/>
      </c>
      <c r="AL1204" s="714"/>
      <c r="AM1204" s="114" t="str">
        <f t="shared" si="881"/>
        <v/>
      </c>
      <c r="AN1204" s="115"/>
      <c r="AO1204" s="116"/>
      <c r="AP1204" s="116"/>
      <c r="AQ1204" s="116"/>
      <c r="AR1204" s="116"/>
      <c r="AS1204" s="116"/>
      <c r="AT1204" s="116"/>
      <c r="AU1204" s="116"/>
      <c r="AV1204" s="78"/>
      <c r="AW1204" s="102"/>
      <c r="AX1204" s="78"/>
      <c r="AY1204" s="78"/>
      <c r="AZ1204" s="78"/>
      <c r="BA1204" s="78"/>
      <c r="BB1204" s="78"/>
      <c r="BC1204" s="78"/>
      <c r="BD1204" s="78"/>
      <c r="BE1204" s="465"/>
      <c r="BF1204" s="165" t="str">
        <f t="shared" si="882"/>
        <v>https://www.google.com/search?tbm=isch&amp;q=Fringetree%20blooms%20May%2FJune.%20Fragrant%20blooms%20will%20fall%20to%20ground%2C%20looking%20like%20a%20snowfall%20</v>
      </c>
      <c r="BG1204" s="165" t="str">
        <f t="shared" si="883"/>
        <v>F</v>
      </c>
      <c r="BH1204" s="65"/>
      <c r="BI1204" s="65"/>
      <c r="BJ1204" s="65"/>
      <c r="BK1204" s="65"/>
      <c r="BL1204" s="99"/>
      <c r="BM1204" s="99"/>
      <c r="BN1204" s="99"/>
    </row>
    <row r="1205" spans="1:66" s="51" customFormat="1" ht="18" x14ac:dyDescent="0.25">
      <c r="A1205" s="623" t="s">
        <v>2222</v>
      </c>
      <c r="B1205" s="624"/>
      <c r="C1205" s="709"/>
      <c r="D1205" s="625" t="s">
        <v>2223</v>
      </c>
      <c r="E1205" s="626"/>
      <c r="F1205" s="626"/>
      <c r="G1205" s="626"/>
      <c r="H1205" s="622" t="s">
        <v>1158</v>
      </c>
      <c r="I1205" s="627" t="s">
        <v>2224</v>
      </c>
      <c r="J1205" s="628"/>
      <c r="K1205" s="628"/>
      <c r="L1205" s="629"/>
      <c r="M1205" s="700" t="s">
        <v>5249</v>
      </c>
      <c r="N1205" s="693" t="str">
        <f>IF(AND(ISTEXT($A1205), ISERROR($A1205+0)), HYPERLINK($BF1205, "Images"), "")</f>
        <v>Images</v>
      </c>
      <c r="O1205" s="695" t="s">
        <v>5247</v>
      </c>
      <c r="P1205" s="630"/>
      <c r="Q1205" s="631"/>
      <c r="R1205" s="632"/>
      <c r="S1205" s="633"/>
      <c r="T1205" s="102">
        <f t="shared" si="871"/>
        <v>0</v>
      </c>
      <c r="U1205" s="78" t="str">
        <f>IF(NOT(ISNUMBER(G1205)), "", VLOOKUP(A1205,'Discount Lookup'!D:E,2,FALSE)*G1205)</f>
        <v/>
      </c>
      <c r="V1205" s="78" t="str">
        <f>IF(NOT(ISNUMBER(G1205)), "", VLOOKUP(A1205,'Discount Lookup'!G:H,2,FALSE)*G1205)</f>
        <v/>
      </c>
      <c r="W1205" s="102">
        <f t="shared" si="872"/>
        <v>0</v>
      </c>
      <c r="X1205" s="102" t="str">
        <f t="shared" si="873"/>
        <v>Snow White bloom</v>
      </c>
      <c r="Y1205" s="120" t="b">
        <f t="shared" si="874"/>
        <v>0</v>
      </c>
      <c r="Z1205" s="117">
        <f t="shared" si="875"/>
        <v>0</v>
      </c>
      <c r="AA1205" s="118"/>
      <c r="AB1205" s="118" t="str">
        <f t="shared" si="876"/>
        <v/>
      </c>
      <c r="AC1205" s="712" t="str">
        <f>IF(AE1205="T2G","no charge",IF(AND(OR(PlanterYesMe="No",PlanterYesMe="N",PlanterYesMe="me"),H1205=""),"",IF(H1205="credit","NO install",IF(AND(K1205="",AE1205="me"),"EACH row",IF(AND(K1205="images",AE1205="me"),"EACH row",IF(D1205="","",IF(H1205="credit","",IF(AE1205="free","re-planting",IF(AE1205="me","   not ELP, by",IF(AND(OR(PlanterYesMe="Yes",PlanterYesMe="Y"),G1205&gt;0),(VLOOKUP(A1205,'Discount Lookup'!J:K,2)*G1205*(1-PlanterDiscount)*(1+PlanterDifficultyPercentage)),IF(AE1205="ELP",(VLOOKUP(A1205,'Discount Lookup'!J:K,2)*G1205*(1-PlanterDiscount)*(1+PlanterDifficultyPercentage)),IF(AE1205="free","re-planting",IF(G1205=0,"",IF(PlanterYesMe="",IF(AE1205="me","   not ELP, by",IF(AE1205="",IF(G1205&gt;0,(VLOOKUP(A1205,'Discount Lookup'!J:K,2)*G1205*(1-PlanterDiscount)*(1+PlanterDifficultyPercentage)),""),"")),"   not ELP, by"))))))))))))))</f>
        <v/>
      </c>
      <c r="AD1205" s="712"/>
      <c r="AE1205" s="513" t="str">
        <f t="shared" si="877"/>
        <v/>
      </c>
      <c r="AF1205" s="713" t="str">
        <f t="shared" si="878"/>
        <v/>
      </c>
      <c r="AG1205" s="713"/>
      <c r="AH1205" s="713"/>
      <c r="AI1205" s="112">
        <f>IF(H1205="credit",0,IF(AE1205="free",0,IF(AE1205="me",0,IF(G1205&gt;0,(VLOOKUP(A1205,'Discount Lookup'!J:K,2)*G1205),0))))</f>
        <v>0</v>
      </c>
      <c r="AJ1205" s="107" t="str">
        <f t="shared" ca="1" si="879"/>
        <v/>
      </c>
      <c r="AK1205" s="714" t="str">
        <f t="shared" si="880"/>
        <v/>
      </c>
      <c r="AL1205" s="714"/>
      <c r="AM1205" s="114" t="str">
        <f t="shared" si="881"/>
        <v/>
      </c>
      <c r="AN1205" s="115"/>
      <c r="AO1205" s="116"/>
      <c r="AP1205" s="116"/>
      <c r="AQ1205" s="116"/>
      <c r="AR1205" s="116"/>
      <c r="AS1205" s="116"/>
      <c r="AT1205" s="116"/>
      <c r="AU1205" s="116"/>
      <c r="AV1205" s="78"/>
      <c r="AW1205" s="102"/>
      <c r="AX1205" s="78"/>
      <c r="AY1205" s="78"/>
      <c r="AZ1205" s="78"/>
      <c r="BA1205" s="78"/>
      <c r="BB1205" s="78"/>
      <c r="BC1205" s="78"/>
      <c r="BD1205" s="78"/>
      <c r="BE1205" s="465"/>
      <c r="BF1205" s="165" t="str">
        <f t="shared" si="882"/>
        <v>https://www.google.com/search?tbm=isch&amp;q=Chionanthus%20retusus%20%27China%20Doll%27%20China%20Doll%20Fringetree</v>
      </c>
      <c r="BG1205" s="165" t="str">
        <f t="shared" si="883"/>
        <v>C</v>
      </c>
      <c r="BH1205" s="65"/>
      <c r="BI1205" s="65"/>
      <c r="BJ1205" s="65"/>
      <c r="BK1205" s="65"/>
      <c r="BL1205" s="99"/>
      <c r="BM1205" s="99"/>
      <c r="BN1205" s="99"/>
    </row>
    <row r="1206" spans="1:66" s="51" customFormat="1" ht="27" x14ac:dyDescent="0.25">
      <c r="A1206" s="634">
        <v>7</v>
      </c>
      <c r="B1206" s="635" t="s">
        <v>291</v>
      </c>
      <c r="C1206" s="636" t="s">
        <v>2225</v>
      </c>
      <c r="D1206" s="637" t="s">
        <v>299</v>
      </c>
      <c r="E1206" s="638">
        <v>118.95</v>
      </c>
      <c r="F1206" s="639" t="s">
        <v>292</v>
      </c>
      <c r="G1206" s="484">
        <v>0</v>
      </c>
      <c r="H1206" s="691" t="str">
        <f>IF(G1206=0,"",IF(F1206="Buy",IF(G1206=1,"plant","plants"),IF(F1206&gt;0.01,"warranty","Error")))</f>
        <v/>
      </c>
      <c r="I1206" s="640">
        <f>IF(H1206="free",0,IF(H1206="credit",((E1206*(F1206))*G1206*-1),IF(F1206="Buy",(E1206*G1206),((E1206*(1-F1206))*G1206))))</f>
        <v>0</v>
      </c>
      <c r="J1206" s="640">
        <f>IF(H1206="warranty",0,(I1206*(_xlfn.SINGLE(SalesTaxPercentage))))</f>
        <v>0</v>
      </c>
      <c r="K1206" s="716">
        <f t="shared" ref="K1206" si="909">I1206+J1206</f>
        <v>0</v>
      </c>
      <c r="L1206" s="716"/>
      <c r="M1206" s="689" t="str">
        <f ca="1">IF(AND(G1206&gt;0,E1206=0),"WARNING - no PRICE inserted",IF(H1206="free","FREE ~ no charge this plant",IF(H1206="credit",CONCATENATE("-$",ROUND(K1206*(1-_xlfn.SINGLE(T2GDiscount))*-1,2)," CREDIT after discount"),IF(_xlfn.SINGLE(T2GDiscount)=0,"",IF(G1206=0,"",IF(F1206="Buy",CONCATENATE("$",ROUND(K1206*(1-_xlfn.SINGLE(T2GDiscount)),2)," with ",(_xlfn.SINGLE(T2GDiscount)*100),"% discount"),CONCATENATE("$",ROUND(K1206*(1-_xlfn.SINGLE(T2GDiscount)),2)," with ",((_xlfn.SINGLE(T2GDiscount)*100+F1206*100)-(_xlfn.SINGLE(T2GDiscount)*100*F1206)),IF(F1206&gt;0,"% discounts",IF(_xlfn.SINGLE(NoWarrantyDiscount)&gt;0,"% discounts","% discount")))))))))</f>
        <v/>
      </c>
      <c r="N1206" s="690"/>
      <c r="O1206" s="486"/>
      <c r="P1206" s="486"/>
      <c r="Q1206" s="486"/>
      <c r="R1206" s="486"/>
      <c r="S1206" s="486"/>
      <c r="T1206" s="102">
        <f t="shared" si="871"/>
        <v>0</v>
      </c>
      <c r="U1206" s="78">
        <f>IF(NOT(ISNUMBER(G1206)), "", VLOOKUP(A1206,'Discount Lookup'!D:E,2,FALSE)*G1206)</f>
        <v>0</v>
      </c>
      <c r="V1206" s="78">
        <f>IF(NOT(ISNUMBER(G1206)), "", VLOOKUP(A1206,'Discount Lookup'!G:H,2,FALSE)*G1206)</f>
        <v>0</v>
      </c>
      <c r="W1206" s="102">
        <f t="shared" si="872"/>
        <v>0</v>
      </c>
      <c r="X1206" s="102">
        <f t="shared" si="873"/>
        <v>0</v>
      </c>
      <c r="Y1206" s="120" t="b">
        <f t="shared" si="874"/>
        <v>0</v>
      </c>
      <c r="Z1206" s="117">
        <f t="shared" si="875"/>
        <v>0</v>
      </c>
      <c r="AA1206" s="118"/>
      <c r="AB1206" s="118" t="str">
        <f t="shared" si="876"/>
        <v/>
      </c>
      <c r="AC1206" s="712" t="str">
        <f>IF(AE1206="T2G","no charge",IF(AND(OR(PlanterYesMe="No",PlanterYesMe="N",PlanterYesMe="me"),H1206=""),"",IF(H1206="credit","NO install",IF(AND(K1206="",AE1206="me"),"EACH row",IF(AND(K1206="images",AE1206="me"),"EACH row",IF(D1206="","",IF(H1206="credit","",IF(AE1206="free","re-planting",IF(AE1206="me","   not ELP, by",IF(AND(OR(PlanterYesMe="Yes",PlanterYesMe="Y"),G1206&gt;0),(VLOOKUP(A1206,'Discount Lookup'!J:K,2)*G1206*(1-PlanterDiscount)*(1+PlanterDifficultyPercentage)),IF(AE1206="ELP",(VLOOKUP(A1206,'Discount Lookup'!J:K,2)*G1206*(1-PlanterDiscount)*(1+PlanterDifficultyPercentage)),IF(AE1206="free","re-planting",IF(G1206=0,"",IF(PlanterYesMe="",IF(AE1206="me","   not ELP, by",IF(AE1206="",IF(G1206&gt;0,(VLOOKUP(A1206,'Discount Lookup'!J:K,2)*G1206*(1-PlanterDiscount)*(1+PlanterDifficultyPercentage)),""),"")),"   not ELP, by"))))))))))))))</f>
        <v/>
      </c>
      <c r="AD1206" s="712"/>
      <c r="AE1206" s="513" t="str">
        <f t="shared" si="877"/>
        <v/>
      </c>
      <c r="AF1206" s="713" t="str">
        <f t="shared" si="878"/>
        <v/>
      </c>
      <c r="AG1206" s="713"/>
      <c r="AH1206" s="713"/>
      <c r="AI1206" s="112">
        <f>IF(H1206="credit",0,IF(AE1206="free",0,IF(AE1206="me",0,IF(G1206&gt;0,(VLOOKUP(A1206,'Discount Lookup'!J:K,2)*G1206),0))))</f>
        <v>0</v>
      </c>
      <c r="AJ1206" s="107" t="str">
        <f t="shared" ca="1" si="879"/>
        <v/>
      </c>
      <c r="AK1206" s="714" t="str">
        <f t="shared" si="880"/>
        <v/>
      </c>
      <c r="AL1206" s="714"/>
      <c r="AM1206" s="114" t="str">
        <f t="shared" si="881"/>
        <v/>
      </c>
      <c r="AN1206" s="115"/>
      <c r="AO1206" s="116"/>
      <c r="AP1206" s="116"/>
      <c r="AQ1206" s="116"/>
      <c r="AR1206" s="116"/>
      <c r="AS1206" s="116"/>
      <c r="AT1206" s="116"/>
      <c r="AU1206" s="116"/>
      <c r="AV1206" s="78"/>
      <c r="AW1206" s="102"/>
      <c r="AX1206" s="78"/>
      <c r="AY1206" s="78"/>
      <c r="AZ1206" s="78"/>
      <c r="BA1206" s="78"/>
      <c r="BB1206" s="78"/>
      <c r="BC1206" s="78"/>
      <c r="BD1206" s="78"/>
      <c r="BE1206" s="465"/>
      <c r="BF1206" s="165" t="str">
        <f t="shared" si="882"/>
        <v>https://www.google.com/search?tbm=isch&amp;q=7%20G4</v>
      </c>
      <c r="BG1206" s="165" t="str">
        <f t="shared" si="883"/>
        <v>C</v>
      </c>
      <c r="BH1206" s="65"/>
      <c r="BI1206" s="65"/>
      <c r="BJ1206" s="65"/>
      <c r="BK1206" s="65"/>
      <c r="BL1206" s="99"/>
      <c r="BM1206" s="99"/>
      <c r="BN1206" s="99"/>
    </row>
    <row r="1207" spans="1:66" s="51" customFormat="1" ht="17.25" thickBot="1" x14ac:dyDescent="0.3">
      <c r="A1207" s="641" t="s">
        <v>2226</v>
      </c>
      <c r="B1207" s="642"/>
      <c r="C1207" s="710"/>
      <c r="D1207" s="643"/>
      <c r="E1207" s="643"/>
      <c r="F1207" s="644"/>
      <c r="G1207" s="645"/>
      <c r="H1207" s="646"/>
      <c r="I1207" s="647"/>
      <c r="J1207" s="648"/>
      <c r="K1207" s="649"/>
      <c r="L1207" s="650"/>
      <c r="M1207" s="650"/>
      <c r="N1207" s="644"/>
      <c r="O1207" s="644"/>
      <c r="P1207" s="644"/>
      <c r="Q1207" s="644"/>
      <c r="R1207" s="644"/>
      <c r="S1207" s="651"/>
      <c r="T1207" s="102">
        <f t="shared" si="871"/>
        <v>0</v>
      </c>
      <c r="U1207" s="78" t="str">
        <f>IF(NOT(ISNUMBER(G1207)), "", VLOOKUP(A1207,'Discount Lookup'!D:E,2,FALSE)*G1207)</f>
        <v/>
      </c>
      <c r="V1207" s="78" t="str">
        <f>IF(NOT(ISNUMBER(G1207)), "", VLOOKUP(A1207,'Discount Lookup'!G:H,2,FALSE)*G1207)</f>
        <v/>
      </c>
      <c r="W1207" s="102">
        <f t="shared" si="872"/>
        <v>0</v>
      </c>
      <c r="X1207" s="102">
        <f t="shared" si="873"/>
        <v>0</v>
      </c>
      <c r="Y1207" s="120" t="b">
        <f t="shared" si="874"/>
        <v>0</v>
      </c>
      <c r="Z1207" s="117">
        <f t="shared" si="875"/>
        <v>0</v>
      </c>
      <c r="AA1207" s="118"/>
      <c r="AB1207" s="118" t="str">
        <f t="shared" si="876"/>
        <v/>
      </c>
      <c r="AC1207" s="712" t="str">
        <f>IF(AE1207="T2G","no charge",IF(AND(OR(PlanterYesMe="No",PlanterYesMe="N",PlanterYesMe="me"),H1207=""),"",IF(H1207="credit","NO install",IF(AND(K1207="",AE1207="me"),"EACH row",IF(AND(K1207="images",AE1207="me"),"EACH row",IF(D1207="","",IF(H1207="credit","",IF(AE1207="free","re-planting",IF(AE1207="me","   not ELP, by",IF(AND(OR(PlanterYesMe="Yes",PlanterYesMe="Y"),G1207&gt;0),(VLOOKUP(A1207,'Discount Lookup'!J:K,2)*G1207*(1-PlanterDiscount)*(1+PlanterDifficultyPercentage)),IF(AE1207="ELP",(VLOOKUP(A1207,'Discount Lookup'!J:K,2)*G1207*(1-PlanterDiscount)*(1+PlanterDifficultyPercentage)),IF(AE1207="free","re-planting",IF(G1207=0,"",IF(PlanterYesMe="",IF(AE1207="me","   not ELP, by",IF(AE1207="",IF(G1207&gt;0,(VLOOKUP(A1207,'Discount Lookup'!J:K,2)*G1207*(1-PlanterDiscount)*(1+PlanterDifficultyPercentage)),""),"")),"   not ELP, by"))))))))))))))</f>
        <v/>
      </c>
      <c r="AD1207" s="712"/>
      <c r="AE1207" s="513" t="str">
        <f t="shared" si="877"/>
        <v/>
      </c>
      <c r="AF1207" s="713" t="str">
        <f t="shared" si="878"/>
        <v/>
      </c>
      <c r="AG1207" s="713"/>
      <c r="AH1207" s="713"/>
      <c r="AI1207" s="112">
        <f>IF(H1207="credit",0,IF(AE1207="free",0,IF(AE1207="me",0,IF(G1207&gt;0,(VLOOKUP(A1207,'Discount Lookup'!J:K,2)*G1207),0))))</f>
        <v>0</v>
      </c>
      <c r="AJ1207" s="107" t="str">
        <f t="shared" ca="1" si="879"/>
        <v/>
      </c>
      <c r="AK1207" s="714" t="str">
        <f t="shared" si="880"/>
        <v/>
      </c>
      <c r="AL1207" s="714"/>
      <c r="AM1207" s="114" t="str">
        <f t="shared" si="881"/>
        <v/>
      </c>
      <c r="AN1207" s="115"/>
      <c r="AO1207" s="116"/>
      <c r="AP1207" s="116"/>
      <c r="AQ1207" s="116"/>
      <c r="AR1207" s="116"/>
      <c r="AS1207" s="116"/>
      <c r="AT1207" s="116"/>
      <c r="AU1207" s="116"/>
      <c r="AV1207" s="78"/>
      <c r="AW1207" s="102"/>
      <c r="AX1207" s="78"/>
      <c r="AY1207" s="78"/>
      <c r="AZ1207" s="78"/>
      <c r="BA1207" s="78"/>
      <c r="BB1207" s="78"/>
      <c r="BC1207" s="78"/>
      <c r="BD1207" s="78"/>
      <c r="BE1207" s="465"/>
      <c r="BF1207" s="165" t="str">
        <f t="shared" si="882"/>
        <v>https://www.google.com/search?tbm=isch&amp;q=China%20Doll%20blooms%20earlier%20than%20native%20fringetree%2C%20for%20a%20longer%20season%20</v>
      </c>
      <c r="BG1207" s="165" t="str">
        <f t="shared" si="883"/>
        <v>C</v>
      </c>
      <c r="BH1207" s="65"/>
      <c r="BI1207" s="65"/>
      <c r="BJ1207" s="65"/>
      <c r="BK1207" s="65"/>
      <c r="BL1207" s="99"/>
      <c r="BM1207" s="99"/>
      <c r="BN1207" s="99"/>
    </row>
    <row r="1208" spans="1:66" s="51" customFormat="1" ht="18" x14ac:dyDescent="0.25">
      <c r="A1208" s="623" t="s">
        <v>2227</v>
      </c>
      <c r="B1208" s="624"/>
      <c r="C1208" s="709"/>
      <c r="D1208" s="625" t="s">
        <v>2228</v>
      </c>
      <c r="E1208" s="626"/>
      <c r="F1208" s="626"/>
      <c r="G1208" s="626"/>
      <c r="H1208" s="622" t="s">
        <v>1158</v>
      </c>
      <c r="I1208" s="627" t="s">
        <v>2229</v>
      </c>
      <c r="J1208" s="628"/>
      <c r="K1208" s="628"/>
      <c r="L1208" s="629"/>
      <c r="M1208" s="700" t="s">
        <v>5249</v>
      </c>
      <c r="N1208" s="693" t="str">
        <f>IF(AND(ISTEXT($A1208), ISERROR($A1208+0)), HYPERLINK($BF1208, "Images"), "")</f>
        <v>Images</v>
      </c>
      <c r="O1208" s="695" t="s">
        <v>5247</v>
      </c>
      <c r="P1208" s="630"/>
      <c r="Q1208" s="631"/>
      <c r="R1208" s="632"/>
      <c r="S1208" s="633"/>
      <c r="T1208" s="102">
        <f t="shared" si="871"/>
        <v>0</v>
      </c>
      <c r="U1208" s="78" t="str">
        <f>IF(NOT(ISNUMBER(G1208)), "", VLOOKUP(A1208,'Discount Lookup'!D:E,2,FALSE)*G1208)</f>
        <v/>
      </c>
      <c r="V1208" s="78" t="str">
        <f>IF(NOT(ISNUMBER(G1208)), "", VLOOKUP(A1208,'Discount Lookup'!G:H,2,FALSE)*G1208)</f>
        <v/>
      </c>
      <c r="W1208" s="102">
        <f t="shared" si="872"/>
        <v>0</v>
      </c>
      <c r="X1208" s="102" t="str">
        <f t="shared" si="873"/>
        <v>Pure White bloom</v>
      </c>
      <c r="Y1208" s="120" t="b">
        <f t="shared" si="874"/>
        <v>0</v>
      </c>
      <c r="Z1208" s="117">
        <f t="shared" si="875"/>
        <v>0</v>
      </c>
      <c r="AA1208" s="118"/>
      <c r="AB1208" s="118" t="str">
        <f t="shared" si="876"/>
        <v/>
      </c>
      <c r="AC1208" s="712" t="str">
        <f>IF(AE1208="T2G","no charge",IF(AND(OR(PlanterYesMe="No",PlanterYesMe="N",PlanterYesMe="me"),H1208=""),"",IF(H1208="credit","NO install",IF(AND(K1208="",AE1208="me"),"EACH row",IF(AND(K1208="images",AE1208="me"),"EACH row",IF(D1208="","",IF(H1208="credit","",IF(AE1208="free","re-planting",IF(AE1208="me","   not ELP, by",IF(AND(OR(PlanterYesMe="Yes",PlanterYesMe="Y"),G1208&gt;0),(VLOOKUP(A1208,'Discount Lookup'!J:K,2)*G1208*(1-PlanterDiscount)*(1+PlanterDifficultyPercentage)),IF(AE1208="ELP",(VLOOKUP(A1208,'Discount Lookup'!J:K,2)*G1208*(1-PlanterDiscount)*(1+PlanterDifficultyPercentage)),IF(AE1208="free","re-planting",IF(G1208=0,"",IF(PlanterYesMe="",IF(AE1208="me","   not ELP, by",IF(AE1208="",IF(G1208&gt;0,(VLOOKUP(A1208,'Discount Lookup'!J:K,2)*G1208*(1-PlanterDiscount)*(1+PlanterDifficultyPercentage)),""),"")),"   not ELP, by"))))))))))))))</f>
        <v/>
      </c>
      <c r="AD1208" s="712"/>
      <c r="AE1208" s="513" t="str">
        <f t="shared" si="877"/>
        <v/>
      </c>
      <c r="AF1208" s="713" t="str">
        <f t="shared" si="878"/>
        <v/>
      </c>
      <c r="AG1208" s="713"/>
      <c r="AH1208" s="713"/>
      <c r="AI1208" s="112">
        <f>IF(H1208="credit",0,IF(AE1208="free",0,IF(AE1208="me",0,IF(G1208&gt;0,(VLOOKUP(A1208,'Discount Lookup'!J:K,2)*G1208),0))))</f>
        <v>0</v>
      </c>
      <c r="AJ1208" s="107" t="str">
        <f t="shared" ca="1" si="879"/>
        <v/>
      </c>
      <c r="AK1208" s="714" t="str">
        <f t="shared" si="880"/>
        <v/>
      </c>
      <c r="AL1208" s="714"/>
      <c r="AM1208" s="114" t="str">
        <f t="shared" si="881"/>
        <v/>
      </c>
      <c r="AN1208" s="115"/>
      <c r="AO1208" s="116"/>
      <c r="AP1208" s="116"/>
      <c r="AQ1208" s="116"/>
      <c r="AR1208" s="116"/>
      <c r="AS1208" s="116"/>
      <c r="AT1208" s="116"/>
      <c r="AU1208" s="116"/>
      <c r="AV1208" s="78"/>
      <c r="AW1208" s="102"/>
      <c r="AX1208" s="78"/>
      <c r="AY1208" s="78"/>
      <c r="AZ1208" s="78"/>
      <c r="BA1208" s="78"/>
      <c r="BB1208" s="78"/>
      <c r="BC1208" s="78"/>
      <c r="BD1208" s="78"/>
      <c r="BE1208" s="465"/>
      <c r="BF1208" s="165" t="str">
        <f t="shared" si="882"/>
        <v>https://www.google.com/search?tbm=isch&amp;q=Chionanthus%20retusus%20%27China%20Snow%27%20China%20Snow%20Fringetree</v>
      </c>
      <c r="BG1208" s="165" t="str">
        <f t="shared" si="883"/>
        <v>C</v>
      </c>
      <c r="BH1208" s="65"/>
      <c r="BI1208" s="65"/>
      <c r="BJ1208" s="65"/>
      <c r="BK1208" s="65"/>
      <c r="BL1208" s="99"/>
      <c r="BM1208" s="99"/>
      <c r="BN1208" s="99"/>
    </row>
    <row r="1209" spans="1:66" s="51" customFormat="1" ht="15.75" x14ac:dyDescent="0.25">
      <c r="A1209" s="634">
        <v>7</v>
      </c>
      <c r="B1209" s="635" t="s">
        <v>291</v>
      </c>
      <c r="C1209" s="636" t="s">
        <v>5156</v>
      </c>
      <c r="D1209" s="637" t="s">
        <v>299</v>
      </c>
      <c r="E1209" s="638">
        <v>123.95</v>
      </c>
      <c r="F1209" s="639" t="s">
        <v>292</v>
      </c>
      <c r="G1209" s="484">
        <v>0</v>
      </c>
      <c r="H1209" s="691" t="str">
        <f>IF(G1209=0,"",IF(F1209="Buy",IF(G1209=1,"plant","plants"),IF(F1209&gt;0.01,"warranty","Error")))</f>
        <v/>
      </c>
      <c r="I1209" s="640">
        <f>IF(H1209="free",0,IF(H1209="credit",((E1209*(F1209))*G1209*-1),IF(F1209="Buy",(E1209*G1209),((E1209*(1-F1209))*G1209))))</f>
        <v>0</v>
      </c>
      <c r="J1209" s="640">
        <f>IF(H1209="warranty",0,(I1209*(_xlfn.SINGLE(SalesTaxPercentage))))</f>
        <v>0</v>
      </c>
      <c r="K1209" s="716">
        <f t="shared" ref="K1209" si="910">I1209+J1209</f>
        <v>0</v>
      </c>
      <c r="L1209" s="716"/>
      <c r="M1209" s="689" t="str">
        <f ca="1">IF(AND(G1209&gt;0,E1209=0),"WARNING - no PRICE inserted",IF(H1209="free","FREE ~ no charge this plant",IF(H1209="credit",CONCATENATE("-$",ROUND(K1209*(1-_xlfn.SINGLE(T2GDiscount))*-1,2)," CREDIT after discount"),IF(_xlfn.SINGLE(T2GDiscount)=0,"",IF(G1209=0,"",IF(F1209="Buy",CONCATENATE("$",ROUND(K1209*(1-_xlfn.SINGLE(T2GDiscount)),2)," with ",(_xlfn.SINGLE(T2GDiscount)*100),"% discount"),CONCATENATE("$",ROUND(K1209*(1-_xlfn.SINGLE(T2GDiscount)),2)," with ",((_xlfn.SINGLE(T2GDiscount)*100+F1209*100)-(_xlfn.SINGLE(T2GDiscount)*100*F1209)),IF(F1209&gt;0,"% discounts",IF(_xlfn.SINGLE(NoWarrantyDiscount)&gt;0,"% discounts","% discount")))))))))</f>
        <v/>
      </c>
      <c r="N1209" s="690"/>
      <c r="O1209" s="486"/>
      <c r="P1209" s="486"/>
      <c r="Q1209" s="486"/>
      <c r="R1209" s="486"/>
      <c r="S1209" s="486"/>
      <c r="T1209" s="102">
        <f t="shared" si="871"/>
        <v>0</v>
      </c>
      <c r="U1209" s="78">
        <f>IF(NOT(ISNUMBER(G1209)), "", VLOOKUP(A1209,'Discount Lookup'!D:E,2,FALSE)*G1209)</f>
        <v>0</v>
      </c>
      <c r="V1209" s="78">
        <f>IF(NOT(ISNUMBER(G1209)), "", VLOOKUP(A1209,'Discount Lookup'!G:H,2,FALSE)*G1209)</f>
        <v>0</v>
      </c>
      <c r="W1209" s="102">
        <f t="shared" si="872"/>
        <v>0</v>
      </c>
      <c r="X1209" s="102">
        <f t="shared" si="873"/>
        <v>0</v>
      </c>
      <c r="Y1209" s="120" t="b">
        <f t="shared" si="874"/>
        <v>0</v>
      </c>
      <c r="Z1209" s="117">
        <f t="shared" si="875"/>
        <v>0</v>
      </c>
      <c r="AA1209" s="118"/>
      <c r="AB1209" s="118" t="str">
        <f t="shared" si="876"/>
        <v/>
      </c>
      <c r="AC1209" s="712" t="str">
        <f>IF(AE1209="T2G","no charge",IF(AND(OR(PlanterYesMe="No",PlanterYesMe="N",PlanterYesMe="me"),H1209=""),"",IF(H1209="credit","NO install",IF(AND(K1209="",AE1209="me"),"EACH row",IF(AND(K1209="images",AE1209="me"),"EACH row",IF(D1209="","",IF(H1209="credit","",IF(AE1209="free","re-planting",IF(AE1209="me","   not ELP, by",IF(AND(OR(PlanterYesMe="Yes",PlanterYesMe="Y"),G1209&gt;0),(VLOOKUP(A1209,'Discount Lookup'!J:K,2)*G1209*(1-PlanterDiscount)*(1+PlanterDifficultyPercentage)),IF(AE1209="ELP",(VLOOKUP(A1209,'Discount Lookup'!J:K,2)*G1209*(1-PlanterDiscount)*(1+PlanterDifficultyPercentage)),IF(AE1209="free","re-planting",IF(G1209=0,"",IF(PlanterYesMe="",IF(AE1209="me","   not ELP, by",IF(AE1209="",IF(G1209&gt;0,(VLOOKUP(A1209,'Discount Lookup'!J:K,2)*G1209*(1-PlanterDiscount)*(1+PlanterDifficultyPercentage)),""),"")),"   not ELP, by"))))))))))))))</f>
        <v/>
      </c>
      <c r="AD1209" s="712"/>
      <c r="AE1209" s="513" t="str">
        <f t="shared" si="877"/>
        <v/>
      </c>
      <c r="AF1209" s="713" t="str">
        <f t="shared" si="878"/>
        <v/>
      </c>
      <c r="AG1209" s="713"/>
      <c r="AH1209" s="713"/>
      <c r="AI1209" s="112">
        <f>IF(H1209="credit",0,IF(AE1209="free",0,IF(AE1209="me",0,IF(G1209&gt;0,(VLOOKUP(A1209,'Discount Lookup'!J:K,2)*G1209),0))))</f>
        <v>0</v>
      </c>
      <c r="AJ1209" s="107" t="str">
        <f t="shared" ca="1" si="879"/>
        <v/>
      </c>
      <c r="AK1209" s="714" t="str">
        <f t="shared" si="880"/>
        <v/>
      </c>
      <c r="AL1209" s="714"/>
      <c r="AM1209" s="114" t="str">
        <f t="shared" si="881"/>
        <v/>
      </c>
      <c r="AN1209" s="115"/>
      <c r="AO1209" s="116"/>
      <c r="AP1209" s="116"/>
      <c r="AQ1209" s="116"/>
      <c r="AR1209" s="116"/>
      <c r="AS1209" s="116"/>
      <c r="AT1209" s="116"/>
      <c r="AU1209" s="116"/>
      <c r="AV1209" s="78"/>
      <c r="AW1209" s="102"/>
      <c r="AX1209" s="78"/>
      <c r="AY1209" s="78"/>
      <c r="AZ1209" s="78"/>
      <c r="BA1209" s="78"/>
      <c r="BB1209" s="78"/>
      <c r="BC1209" s="78"/>
      <c r="BD1209" s="78"/>
      <c r="BE1209" s="465"/>
      <c r="BF1209" s="165" t="str">
        <f t="shared" si="882"/>
        <v>https://www.google.com/search?tbm=isch&amp;q=7%20G4</v>
      </c>
      <c r="BG1209" s="165" t="str">
        <f t="shared" si="883"/>
        <v>C</v>
      </c>
      <c r="BH1209" s="65"/>
      <c r="BI1209" s="65"/>
      <c r="BJ1209" s="65"/>
      <c r="BK1209" s="65"/>
      <c r="BL1209" s="99"/>
      <c r="BM1209" s="99"/>
      <c r="BN1209" s="99"/>
    </row>
    <row r="1210" spans="1:66" s="51" customFormat="1" ht="15.75" x14ac:dyDescent="0.25">
      <c r="A1210" s="634">
        <v>15</v>
      </c>
      <c r="B1210" s="635" t="s">
        <v>291</v>
      </c>
      <c r="C1210" s="636" t="s">
        <v>2230</v>
      </c>
      <c r="D1210" s="637" t="s">
        <v>299</v>
      </c>
      <c r="E1210" s="638">
        <v>206.95</v>
      </c>
      <c r="F1210" s="639" t="s">
        <v>292</v>
      </c>
      <c r="G1210" s="484">
        <v>0</v>
      </c>
      <c r="H1210" s="691" t="str">
        <f>IF(G1210=0,"",IF(F1210="Buy",IF(G1210=1,"plant","plants"),IF(F1210&gt;0.01,"warranty","Error")))</f>
        <v/>
      </c>
      <c r="I1210" s="640">
        <f>IF(H1210="free",0,IF(H1210="credit",((E1210*(F1210))*G1210*-1),IF(F1210="Buy",(E1210*G1210),((E1210*(1-F1210))*G1210))))</f>
        <v>0</v>
      </c>
      <c r="J1210" s="640">
        <f>IF(H1210="warranty",0,(I1210*(_xlfn.SINGLE(SalesTaxPercentage))))</f>
        <v>0</v>
      </c>
      <c r="K1210" s="716">
        <f t="shared" ref="K1210" si="911">I1210+J1210</f>
        <v>0</v>
      </c>
      <c r="L1210" s="716"/>
      <c r="M1210" s="689" t="str">
        <f ca="1">IF(AND(G1210&gt;0,E1210=0),"WARNING - no PRICE inserted",IF(H1210="free","FREE ~ no charge this plant",IF(H1210="credit",CONCATENATE("-$",ROUND(K1210*(1-_xlfn.SINGLE(T2GDiscount))*-1,2)," CREDIT after discount"),IF(_xlfn.SINGLE(T2GDiscount)=0,"",IF(G1210=0,"",IF(F1210="Buy",CONCATENATE("$",ROUND(K1210*(1-_xlfn.SINGLE(T2GDiscount)),2)," with ",(_xlfn.SINGLE(T2GDiscount)*100),"% discount"),CONCATENATE("$",ROUND(K1210*(1-_xlfn.SINGLE(T2GDiscount)),2)," with ",((_xlfn.SINGLE(T2GDiscount)*100+F1210*100)-(_xlfn.SINGLE(T2GDiscount)*100*F1210)),IF(F1210&gt;0,"% discounts",IF(_xlfn.SINGLE(NoWarrantyDiscount)&gt;0,"% discounts","% discount")))))))))</f>
        <v/>
      </c>
      <c r="N1210" s="690"/>
      <c r="O1210" s="486"/>
      <c r="P1210" s="486"/>
      <c r="Q1210" s="486"/>
      <c r="R1210" s="486"/>
      <c r="S1210" s="486"/>
      <c r="T1210" s="102">
        <f t="shared" si="871"/>
        <v>0</v>
      </c>
      <c r="U1210" s="78">
        <f>IF(NOT(ISNUMBER(G1210)), "", VLOOKUP(A1210,'Discount Lookup'!D:E,2,FALSE)*G1210)</f>
        <v>0</v>
      </c>
      <c r="V1210" s="78">
        <f>IF(NOT(ISNUMBER(G1210)), "", VLOOKUP(A1210,'Discount Lookup'!G:H,2,FALSE)*G1210)</f>
        <v>0</v>
      </c>
      <c r="W1210" s="102">
        <f t="shared" si="872"/>
        <v>0</v>
      </c>
      <c r="X1210" s="102">
        <f t="shared" si="873"/>
        <v>0</v>
      </c>
      <c r="Y1210" s="120" t="b">
        <f t="shared" si="874"/>
        <v>0</v>
      </c>
      <c r="Z1210" s="117">
        <f t="shared" si="875"/>
        <v>0</v>
      </c>
      <c r="AA1210" s="118"/>
      <c r="AB1210" s="118" t="str">
        <f t="shared" si="876"/>
        <v/>
      </c>
      <c r="AC1210" s="712" t="str">
        <f>IF(AE1210="T2G","no charge",IF(AND(OR(PlanterYesMe="No",PlanterYesMe="N",PlanterYesMe="me"),H1210=""),"",IF(H1210="credit","NO install",IF(AND(K1210="",AE1210="me"),"EACH row",IF(AND(K1210="images",AE1210="me"),"EACH row",IF(D1210="","",IF(H1210="credit","",IF(AE1210="free","re-planting",IF(AE1210="me","   not ELP, by",IF(AND(OR(PlanterYesMe="Yes",PlanterYesMe="Y"),G1210&gt;0),(VLOOKUP(A1210,'Discount Lookup'!J:K,2)*G1210*(1-PlanterDiscount)*(1+PlanterDifficultyPercentage)),IF(AE1210="ELP",(VLOOKUP(A1210,'Discount Lookup'!J:K,2)*G1210*(1-PlanterDiscount)*(1+PlanterDifficultyPercentage)),IF(AE1210="free","re-planting",IF(G1210=0,"",IF(PlanterYesMe="",IF(AE1210="me","   not ELP, by",IF(AE1210="",IF(G1210&gt;0,(VLOOKUP(A1210,'Discount Lookup'!J:K,2)*G1210*(1-PlanterDiscount)*(1+PlanterDifficultyPercentage)),""),"")),"   not ELP, by"))))))))))))))</f>
        <v/>
      </c>
      <c r="AD1210" s="712"/>
      <c r="AE1210" s="513" t="str">
        <f t="shared" si="877"/>
        <v/>
      </c>
      <c r="AF1210" s="713" t="str">
        <f t="shared" si="878"/>
        <v/>
      </c>
      <c r="AG1210" s="713"/>
      <c r="AH1210" s="713"/>
      <c r="AI1210" s="112">
        <f>IF(H1210="credit",0,IF(AE1210="free",0,IF(AE1210="me",0,IF(G1210&gt;0,(VLOOKUP(A1210,'Discount Lookup'!J:K,2)*G1210),0))))</f>
        <v>0</v>
      </c>
      <c r="AJ1210" s="107" t="str">
        <f t="shared" ca="1" si="879"/>
        <v/>
      </c>
      <c r="AK1210" s="714" t="str">
        <f t="shared" si="880"/>
        <v/>
      </c>
      <c r="AL1210" s="714"/>
      <c r="AM1210" s="114" t="str">
        <f t="shared" si="881"/>
        <v/>
      </c>
      <c r="AN1210" s="115"/>
      <c r="AO1210" s="116"/>
      <c r="AP1210" s="116"/>
      <c r="AQ1210" s="116"/>
      <c r="AR1210" s="116"/>
      <c r="AS1210" s="116"/>
      <c r="AT1210" s="116"/>
      <c r="AU1210" s="116"/>
      <c r="AV1210" s="78"/>
      <c r="AW1210" s="102"/>
      <c r="AX1210" s="78"/>
      <c r="AY1210" s="78"/>
      <c r="AZ1210" s="78"/>
      <c r="BA1210" s="78"/>
      <c r="BB1210" s="78"/>
      <c r="BC1210" s="78"/>
      <c r="BD1210" s="78"/>
      <c r="BE1210" s="465"/>
      <c r="BF1210" s="165" t="str">
        <f t="shared" si="882"/>
        <v>https://www.google.com/search?tbm=isch&amp;q=15%20G4</v>
      </c>
      <c r="BG1210" s="165" t="str">
        <f t="shared" si="883"/>
        <v>C</v>
      </c>
      <c r="BH1210" s="65"/>
      <c r="BI1210" s="65"/>
      <c r="BJ1210" s="65"/>
      <c r="BK1210" s="65"/>
      <c r="BL1210" s="99"/>
      <c r="BM1210" s="99"/>
      <c r="BN1210" s="99"/>
    </row>
    <row r="1211" spans="1:66" s="51" customFormat="1" ht="27" x14ac:dyDescent="0.25">
      <c r="A1211" s="634">
        <v>15</v>
      </c>
      <c r="B1211" s="635" t="s">
        <v>291</v>
      </c>
      <c r="C1211" s="636" t="s">
        <v>2231</v>
      </c>
      <c r="D1211" s="637" t="s">
        <v>299</v>
      </c>
      <c r="E1211" s="638">
        <v>206.95</v>
      </c>
      <c r="F1211" s="639" t="s">
        <v>292</v>
      </c>
      <c r="G1211" s="484">
        <v>0</v>
      </c>
      <c r="H1211" s="691" t="str">
        <f>IF(G1211=0,"",IF(F1211="Buy",IF(G1211=1,"plant","plants"),IF(F1211&gt;0.01,"warranty","Error")))</f>
        <v/>
      </c>
      <c r="I1211" s="640">
        <f>IF(H1211="free",0,IF(H1211="credit",((E1211*(F1211))*G1211*-1),IF(F1211="Buy",(E1211*G1211),((E1211*(1-F1211))*G1211))))</f>
        <v>0</v>
      </c>
      <c r="J1211" s="640">
        <f>IF(H1211="warranty",0,(I1211*(_xlfn.SINGLE(SalesTaxPercentage))))</f>
        <v>0</v>
      </c>
      <c r="K1211" s="716">
        <f t="shared" ref="K1211" si="912">I1211+J1211</f>
        <v>0</v>
      </c>
      <c r="L1211" s="716"/>
      <c r="M1211" s="689" t="str">
        <f ca="1">IF(AND(G1211&gt;0,E1211=0),"WARNING - no PRICE inserted",IF(H1211="free","FREE ~ no charge this plant",IF(H1211="credit",CONCATENATE("-$",ROUND(K1211*(1-_xlfn.SINGLE(T2GDiscount))*-1,2)," CREDIT after discount"),IF(_xlfn.SINGLE(T2GDiscount)=0,"",IF(G1211=0,"",IF(F1211="Buy",CONCATENATE("$",ROUND(K1211*(1-_xlfn.SINGLE(T2GDiscount)),2)," with ",(_xlfn.SINGLE(T2GDiscount)*100),"% discount"),CONCATENATE("$",ROUND(K1211*(1-_xlfn.SINGLE(T2GDiscount)),2)," with ",((_xlfn.SINGLE(T2GDiscount)*100+F1211*100)-(_xlfn.SINGLE(T2GDiscount)*100*F1211)),IF(F1211&gt;0,"% discounts",IF(_xlfn.SINGLE(NoWarrantyDiscount)&gt;0,"% discounts","% discount")))))))))</f>
        <v/>
      </c>
      <c r="N1211" s="690"/>
      <c r="O1211" s="486"/>
      <c r="P1211" s="486"/>
      <c r="Q1211" s="486"/>
      <c r="R1211" s="486"/>
      <c r="S1211" s="486"/>
      <c r="T1211" s="102">
        <f t="shared" si="871"/>
        <v>0</v>
      </c>
      <c r="U1211" s="78">
        <f>IF(NOT(ISNUMBER(G1211)), "", VLOOKUP(A1211,'Discount Lookup'!D:E,2,FALSE)*G1211)</f>
        <v>0</v>
      </c>
      <c r="V1211" s="78">
        <f>IF(NOT(ISNUMBER(G1211)), "", VLOOKUP(A1211,'Discount Lookup'!G:H,2,FALSE)*G1211)</f>
        <v>0</v>
      </c>
      <c r="W1211" s="102">
        <f t="shared" si="872"/>
        <v>0</v>
      </c>
      <c r="X1211" s="102">
        <f t="shared" si="873"/>
        <v>0</v>
      </c>
      <c r="Y1211" s="120" t="b">
        <f t="shared" si="874"/>
        <v>0</v>
      </c>
      <c r="Z1211" s="117">
        <f t="shared" si="875"/>
        <v>0</v>
      </c>
      <c r="AA1211" s="118"/>
      <c r="AB1211" s="118" t="str">
        <f t="shared" si="876"/>
        <v/>
      </c>
      <c r="AC1211" s="712" t="str">
        <f>IF(AE1211="T2G","no charge",IF(AND(OR(PlanterYesMe="No",PlanterYesMe="N",PlanterYesMe="me"),H1211=""),"",IF(H1211="credit","NO install",IF(AND(K1211="",AE1211="me"),"EACH row",IF(AND(K1211="images",AE1211="me"),"EACH row",IF(D1211="","",IF(H1211="credit","",IF(AE1211="free","re-planting",IF(AE1211="me","   not ELP, by",IF(AND(OR(PlanterYesMe="Yes",PlanterYesMe="Y"),G1211&gt;0),(VLOOKUP(A1211,'Discount Lookup'!J:K,2)*G1211*(1-PlanterDiscount)*(1+PlanterDifficultyPercentage)),IF(AE1211="ELP",(VLOOKUP(A1211,'Discount Lookup'!J:K,2)*G1211*(1-PlanterDiscount)*(1+PlanterDifficultyPercentage)),IF(AE1211="free","re-planting",IF(G1211=0,"",IF(PlanterYesMe="",IF(AE1211="me","   not ELP, by",IF(AE1211="",IF(G1211&gt;0,(VLOOKUP(A1211,'Discount Lookup'!J:K,2)*G1211*(1-PlanterDiscount)*(1+PlanterDifficultyPercentage)),""),"")),"   not ELP, by"))))))))))))))</f>
        <v/>
      </c>
      <c r="AD1211" s="712"/>
      <c r="AE1211" s="513" t="str">
        <f t="shared" si="877"/>
        <v/>
      </c>
      <c r="AF1211" s="713" t="str">
        <f t="shared" si="878"/>
        <v/>
      </c>
      <c r="AG1211" s="713"/>
      <c r="AH1211" s="713"/>
      <c r="AI1211" s="112">
        <f>IF(H1211="credit",0,IF(AE1211="free",0,IF(AE1211="me",0,IF(G1211&gt;0,(VLOOKUP(A1211,'Discount Lookup'!J:K,2)*G1211),0))))</f>
        <v>0</v>
      </c>
      <c r="AJ1211" s="107" t="str">
        <f t="shared" ca="1" si="879"/>
        <v/>
      </c>
      <c r="AK1211" s="714" t="str">
        <f t="shared" si="880"/>
        <v/>
      </c>
      <c r="AL1211" s="714"/>
      <c r="AM1211" s="114" t="str">
        <f t="shared" si="881"/>
        <v/>
      </c>
      <c r="AN1211" s="115"/>
      <c r="AO1211" s="116"/>
      <c r="AP1211" s="116"/>
      <c r="AQ1211" s="116"/>
      <c r="AR1211" s="116"/>
      <c r="AS1211" s="116"/>
      <c r="AT1211" s="116"/>
      <c r="AU1211" s="116"/>
      <c r="AV1211" s="78"/>
      <c r="AW1211" s="102"/>
      <c r="AX1211" s="78"/>
      <c r="AY1211" s="78"/>
      <c r="AZ1211" s="78"/>
      <c r="BA1211" s="78"/>
      <c r="BB1211" s="78"/>
      <c r="BC1211" s="78"/>
      <c r="BD1211" s="78"/>
      <c r="BE1211" s="465"/>
      <c r="BF1211" s="165" t="str">
        <f t="shared" si="882"/>
        <v>https://www.google.com/search?tbm=isch&amp;q=15%20G4</v>
      </c>
      <c r="BG1211" s="165" t="str">
        <f t="shared" si="883"/>
        <v>C</v>
      </c>
      <c r="BH1211" s="65"/>
      <c r="BI1211" s="65"/>
      <c r="BJ1211" s="65"/>
      <c r="BK1211" s="65"/>
      <c r="BL1211" s="99"/>
      <c r="BM1211" s="99"/>
      <c r="BN1211" s="99"/>
    </row>
    <row r="1212" spans="1:66" s="51" customFormat="1" ht="17.25" thickBot="1" x14ac:dyDescent="0.3">
      <c r="A1212" s="641" t="s">
        <v>2232</v>
      </c>
      <c r="B1212" s="642"/>
      <c r="C1212" s="710"/>
      <c r="D1212" s="643"/>
      <c r="E1212" s="643"/>
      <c r="F1212" s="644"/>
      <c r="G1212" s="645"/>
      <c r="H1212" s="646"/>
      <c r="I1212" s="647"/>
      <c r="J1212" s="648"/>
      <c r="K1212" s="649"/>
      <c r="L1212" s="650"/>
      <c r="M1212" s="650"/>
      <c r="N1212" s="644"/>
      <c r="O1212" s="644"/>
      <c r="P1212" s="644"/>
      <c r="Q1212" s="644"/>
      <c r="R1212" s="644"/>
      <c r="S1212" s="651"/>
      <c r="T1212" s="102">
        <f t="shared" si="871"/>
        <v>0</v>
      </c>
      <c r="U1212" s="78" t="str">
        <f>IF(NOT(ISNUMBER(G1212)), "", VLOOKUP(A1212,'Discount Lookup'!D:E,2,FALSE)*G1212)</f>
        <v/>
      </c>
      <c r="V1212" s="78" t="str">
        <f>IF(NOT(ISNUMBER(G1212)), "", VLOOKUP(A1212,'Discount Lookup'!G:H,2,FALSE)*G1212)</f>
        <v/>
      </c>
      <c r="W1212" s="102">
        <f t="shared" si="872"/>
        <v>0</v>
      </c>
      <c r="X1212" s="102">
        <f t="shared" si="873"/>
        <v>0</v>
      </c>
      <c r="Y1212" s="120" t="b">
        <f t="shared" si="874"/>
        <v>0</v>
      </c>
      <c r="Z1212" s="117">
        <f t="shared" si="875"/>
        <v>0</v>
      </c>
      <c r="AA1212" s="118"/>
      <c r="AB1212" s="118" t="str">
        <f t="shared" si="876"/>
        <v/>
      </c>
      <c r="AC1212" s="712" t="str">
        <f>IF(AE1212="T2G","no charge",IF(AND(OR(PlanterYesMe="No",PlanterYesMe="N",PlanterYesMe="me"),H1212=""),"",IF(H1212="credit","NO install",IF(AND(K1212="",AE1212="me"),"EACH row",IF(AND(K1212="images",AE1212="me"),"EACH row",IF(D1212="","",IF(H1212="credit","",IF(AE1212="free","re-planting",IF(AE1212="me","   not ELP, by",IF(AND(OR(PlanterYesMe="Yes",PlanterYesMe="Y"),G1212&gt;0),(VLOOKUP(A1212,'Discount Lookup'!J:K,2)*G1212*(1-PlanterDiscount)*(1+PlanterDifficultyPercentage)),IF(AE1212="ELP",(VLOOKUP(A1212,'Discount Lookup'!J:K,2)*G1212*(1-PlanterDiscount)*(1+PlanterDifficultyPercentage)),IF(AE1212="free","re-planting",IF(G1212=0,"",IF(PlanterYesMe="",IF(AE1212="me","   not ELP, by",IF(AE1212="",IF(G1212&gt;0,(VLOOKUP(A1212,'Discount Lookup'!J:K,2)*G1212*(1-PlanterDiscount)*(1+PlanterDifficultyPercentage)),""),"")),"   not ELP, by"))))))))))))))</f>
        <v/>
      </c>
      <c r="AD1212" s="712"/>
      <c r="AE1212" s="513" t="str">
        <f t="shared" si="877"/>
        <v/>
      </c>
      <c r="AF1212" s="713" t="str">
        <f t="shared" si="878"/>
        <v/>
      </c>
      <c r="AG1212" s="713"/>
      <c r="AH1212" s="713"/>
      <c r="AI1212" s="112">
        <f>IF(H1212="credit",0,IF(AE1212="free",0,IF(AE1212="me",0,IF(G1212&gt;0,(VLOOKUP(A1212,'Discount Lookup'!J:K,2)*G1212),0))))</f>
        <v>0</v>
      </c>
      <c r="AJ1212" s="107" t="str">
        <f t="shared" ca="1" si="879"/>
        <v/>
      </c>
      <c r="AK1212" s="714" t="str">
        <f t="shared" si="880"/>
        <v/>
      </c>
      <c r="AL1212" s="714"/>
      <c r="AM1212" s="114" t="str">
        <f t="shared" si="881"/>
        <v/>
      </c>
      <c r="AN1212" s="115"/>
      <c r="AO1212" s="116"/>
      <c r="AP1212" s="116"/>
      <c r="AQ1212" s="116"/>
      <c r="AR1212" s="116"/>
      <c r="AS1212" s="116"/>
      <c r="AT1212" s="116"/>
      <c r="AU1212" s="116"/>
      <c r="AV1212" s="78"/>
      <c r="AW1212" s="102"/>
      <c r="AX1212" s="78"/>
      <c r="AY1212" s="78"/>
      <c r="AZ1212" s="78"/>
      <c r="BA1212" s="78"/>
      <c r="BB1212" s="78"/>
      <c r="BC1212" s="78"/>
      <c r="BD1212" s="78"/>
      <c r="BE1212" s="465"/>
      <c r="BF1212" s="165" t="str">
        <f t="shared" si="882"/>
        <v>https://www.google.com/search?tbm=isch&amp;q=China%20Snow%20exceptionally%20heavy.%20Bark%20exfoliates%20to%20a%20Cinnamon-Brown%20inner%20bark%20</v>
      </c>
      <c r="BG1212" s="165" t="str">
        <f t="shared" si="883"/>
        <v>C</v>
      </c>
      <c r="BH1212" s="65"/>
      <c r="BI1212" s="65"/>
      <c r="BJ1212" s="65"/>
      <c r="BK1212" s="65"/>
      <c r="BL1212" s="99"/>
      <c r="BM1212" s="99"/>
      <c r="BN1212" s="99"/>
    </row>
    <row r="1213" spans="1:66" s="51" customFormat="1" ht="18" x14ac:dyDescent="0.25">
      <c r="A1213" s="623" t="s">
        <v>2233</v>
      </c>
      <c r="B1213" s="624"/>
      <c r="C1213" s="709"/>
      <c r="D1213" s="625" t="s">
        <v>2234</v>
      </c>
      <c r="E1213" s="626"/>
      <c r="F1213" s="626"/>
      <c r="G1213" s="626"/>
      <c r="H1213" s="622" t="s">
        <v>339</v>
      </c>
      <c r="I1213" s="627" t="s">
        <v>349</v>
      </c>
      <c r="J1213" s="628"/>
      <c r="K1213" s="628"/>
      <c r="L1213" s="629"/>
      <c r="M1213" s="700" t="s">
        <v>5249</v>
      </c>
      <c r="N1213" s="693" t="str">
        <f>IF(AND(ISTEXT($A1213), ISERROR($A1213+0)), HYPERLINK($BF1213, "Images"), "")</f>
        <v>Images</v>
      </c>
      <c r="O1213" s="695" t="s">
        <v>5247</v>
      </c>
      <c r="P1213" s="630"/>
      <c r="Q1213" s="631"/>
      <c r="R1213" s="632"/>
      <c r="S1213" s="633"/>
      <c r="T1213" s="102">
        <f t="shared" si="871"/>
        <v>0</v>
      </c>
      <c r="U1213" s="78" t="str">
        <f>IF(NOT(ISNUMBER(G1213)), "", VLOOKUP(A1213,'Discount Lookup'!D:E,2,FALSE)*G1213)</f>
        <v/>
      </c>
      <c r="V1213" s="78" t="str">
        <f>IF(NOT(ISNUMBER(G1213)), "", VLOOKUP(A1213,'Discount Lookup'!G:H,2,FALSE)*G1213)</f>
        <v/>
      </c>
      <c r="W1213" s="102">
        <f t="shared" si="872"/>
        <v>0</v>
      </c>
      <c r="X1213" s="102" t="str">
        <f t="shared" si="873"/>
        <v>White bloom</v>
      </c>
      <c r="Y1213" s="120" t="b">
        <f t="shared" si="874"/>
        <v>0</v>
      </c>
      <c r="Z1213" s="117">
        <f t="shared" si="875"/>
        <v>0</v>
      </c>
      <c r="AA1213" s="118"/>
      <c r="AB1213" s="118" t="str">
        <f t="shared" si="876"/>
        <v/>
      </c>
      <c r="AC1213" s="712" t="str">
        <f>IF(AE1213="T2G","no charge",IF(AND(OR(PlanterYesMe="No",PlanterYesMe="N",PlanterYesMe="me"),H1213=""),"",IF(H1213="credit","NO install",IF(AND(K1213="",AE1213="me"),"EACH row",IF(AND(K1213="images",AE1213="me"),"EACH row",IF(D1213="","",IF(H1213="credit","",IF(AE1213="free","re-planting",IF(AE1213="me","   not ELP, by",IF(AND(OR(PlanterYesMe="Yes",PlanterYesMe="Y"),G1213&gt;0),(VLOOKUP(A1213,'Discount Lookup'!J:K,2)*G1213*(1-PlanterDiscount)*(1+PlanterDifficultyPercentage)),IF(AE1213="ELP",(VLOOKUP(A1213,'Discount Lookup'!J:K,2)*G1213*(1-PlanterDiscount)*(1+PlanterDifficultyPercentage)),IF(AE1213="free","re-planting",IF(G1213=0,"",IF(PlanterYesMe="",IF(AE1213="me","   not ELP, by",IF(AE1213="",IF(G1213&gt;0,(VLOOKUP(A1213,'Discount Lookup'!J:K,2)*G1213*(1-PlanterDiscount)*(1+PlanterDifficultyPercentage)),""),"")),"   not ELP, by"))))))))))))))</f>
        <v/>
      </c>
      <c r="AD1213" s="712"/>
      <c r="AE1213" s="513" t="str">
        <f t="shared" si="877"/>
        <v/>
      </c>
      <c r="AF1213" s="713" t="str">
        <f t="shared" si="878"/>
        <v/>
      </c>
      <c r="AG1213" s="713"/>
      <c r="AH1213" s="713"/>
      <c r="AI1213" s="112">
        <f>IF(H1213="credit",0,IF(AE1213="free",0,IF(AE1213="me",0,IF(G1213&gt;0,(VLOOKUP(A1213,'Discount Lookup'!J:K,2)*G1213),0))))</f>
        <v>0</v>
      </c>
      <c r="AJ1213" s="107" t="str">
        <f t="shared" ca="1" si="879"/>
        <v/>
      </c>
      <c r="AK1213" s="714" t="str">
        <f t="shared" si="880"/>
        <v/>
      </c>
      <c r="AL1213" s="714"/>
      <c r="AM1213" s="114" t="str">
        <f t="shared" si="881"/>
        <v/>
      </c>
      <c r="AN1213" s="115"/>
      <c r="AO1213" s="116"/>
      <c r="AP1213" s="116"/>
      <c r="AQ1213" s="116"/>
      <c r="AR1213" s="116"/>
      <c r="AS1213" s="116"/>
      <c r="AT1213" s="116"/>
      <c r="AU1213" s="116"/>
      <c r="AV1213" s="78"/>
      <c r="AW1213" s="102"/>
      <c r="AX1213" s="78"/>
      <c r="AY1213" s="78"/>
      <c r="AZ1213" s="78"/>
      <c r="BA1213" s="78"/>
      <c r="BB1213" s="78"/>
      <c r="BC1213" s="78"/>
      <c r="BD1213" s="78"/>
      <c r="BE1213" s="465"/>
      <c r="BF1213" s="165" t="str">
        <f t="shared" si="882"/>
        <v>https://www.google.com/search?tbm=isch&amp;q=Chionanthus%20retusus%20%27Tokyo%20Tower%27%20Tokyo%20Tower%20Fringetree</v>
      </c>
      <c r="BG1213" s="165" t="str">
        <f t="shared" si="883"/>
        <v>C</v>
      </c>
      <c r="BH1213" s="65"/>
      <c r="BI1213" s="65"/>
      <c r="BJ1213" s="65"/>
      <c r="BK1213" s="65"/>
      <c r="BL1213" s="99"/>
      <c r="BM1213" s="99"/>
      <c r="BN1213" s="99"/>
    </row>
    <row r="1214" spans="1:66" s="51" customFormat="1" ht="15.75" x14ac:dyDescent="0.25">
      <c r="A1214" s="634">
        <v>7</v>
      </c>
      <c r="B1214" s="635" t="s">
        <v>291</v>
      </c>
      <c r="C1214" s="636" t="s">
        <v>940</v>
      </c>
      <c r="D1214" s="637" t="s">
        <v>299</v>
      </c>
      <c r="E1214" s="638">
        <v>109.95</v>
      </c>
      <c r="F1214" s="639" t="s">
        <v>292</v>
      </c>
      <c r="G1214" s="484">
        <v>0</v>
      </c>
      <c r="H1214" s="691" t="str">
        <f t="shared" ref="H1214:H1219" si="913">IF(G1214=0,"",IF(F1214="Buy",IF(G1214=1,"plant","plants"),IF(F1214&gt;0.01,"warranty","Error")))</f>
        <v/>
      </c>
      <c r="I1214" s="640">
        <f t="shared" ref="I1214:I1219" si="914">IF(H1214="free",0,IF(H1214="credit",((E1214*(F1214))*G1214*-1),IF(F1214="Buy",(E1214*G1214),((E1214*(1-F1214))*G1214))))</f>
        <v>0</v>
      </c>
      <c r="J1214" s="640">
        <f t="shared" ref="J1214:J1219" si="915">IF(H1214="warranty",0,(I1214*(_xlfn.SINGLE(SalesTaxPercentage))))</f>
        <v>0</v>
      </c>
      <c r="K1214" s="716">
        <f t="shared" ref="K1214" si="916">I1214+J1214</f>
        <v>0</v>
      </c>
      <c r="L1214" s="716"/>
      <c r="M1214" s="689" t="str">
        <f t="shared" ref="M1214:M1219" ca="1" si="917">IF(AND(G1214&gt;0,E1214=0),"WARNING - no PRICE inserted",IF(H1214="free","FREE ~ no charge this plant",IF(H1214="credit",CONCATENATE("-$",ROUND(K1214*(1-_xlfn.SINGLE(T2GDiscount))*-1,2)," CREDIT after discount"),IF(_xlfn.SINGLE(T2GDiscount)=0,"",IF(G1214=0,"",IF(F1214="Buy",CONCATENATE("$",ROUND(K1214*(1-_xlfn.SINGLE(T2GDiscount)),2)," with ",(_xlfn.SINGLE(T2GDiscount)*100),"% discount"),CONCATENATE("$",ROUND(K1214*(1-_xlfn.SINGLE(T2GDiscount)),2)," with ",((_xlfn.SINGLE(T2GDiscount)*100+F1214*100)-(_xlfn.SINGLE(T2GDiscount)*100*F1214)),IF(F1214&gt;0,"% discounts",IF(_xlfn.SINGLE(NoWarrantyDiscount)&gt;0,"% discounts","% discount")))))))))</f>
        <v/>
      </c>
      <c r="N1214" s="690"/>
      <c r="O1214" s="486"/>
      <c r="P1214" s="486"/>
      <c r="Q1214" s="486"/>
      <c r="R1214" s="486"/>
      <c r="S1214" s="486"/>
      <c r="T1214" s="102">
        <f t="shared" si="871"/>
        <v>0</v>
      </c>
      <c r="U1214" s="78">
        <f>IF(NOT(ISNUMBER(G1214)), "", VLOOKUP(A1214,'Discount Lookup'!D:E,2,FALSE)*G1214)</f>
        <v>0</v>
      </c>
      <c r="V1214" s="78">
        <f>IF(NOT(ISNUMBER(G1214)), "", VLOOKUP(A1214,'Discount Lookup'!G:H,2,FALSE)*G1214)</f>
        <v>0</v>
      </c>
      <c r="W1214" s="102">
        <f t="shared" si="872"/>
        <v>0</v>
      </c>
      <c r="X1214" s="102">
        <f t="shared" si="873"/>
        <v>0</v>
      </c>
      <c r="Y1214" s="120" t="b">
        <f t="shared" si="874"/>
        <v>0</v>
      </c>
      <c r="Z1214" s="117">
        <f t="shared" si="875"/>
        <v>0</v>
      </c>
      <c r="AA1214" s="118"/>
      <c r="AB1214" s="118" t="str">
        <f t="shared" si="876"/>
        <v/>
      </c>
      <c r="AC1214" s="712" t="str">
        <f>IF(AE1214="T2G","no charge",IF(AND(OR(PlanterYesMe="No",PlanterYesMe="N",PlanterYesMe="me"),H1214=""),"",IF(H1214="credit","NO install",IF(AND(K1214="",AE1214="me"),"EACH row",IF(AND(K1214="images",AE1214="me"),"EACH row",IF(D1214="","",IF(H1214="credit","",IF(AE1214="free","re-planting",IF(AE1214="me","   not ELP, by",IF(AND(OR(PlanterYesMe="Yes",PlanterYesMe="Y"),G1214&gt;0),(VLOOKUP(A1214,'Discount Lookup'!J:K,2)*G1214*(1-PlanterDiscount)*(1+PlanterDifficultyPercentage)),IF(AE1214="ELP",(VLOOKUP(A1214,'Discount Lookup'!J:K,2)*G1214*(1-PlanterDiscount)*(1+PlanterDifficultyPercentage)),IF(AE1214="free","re-planting",IF(G1214=0,"",IF(PlanterYesMe="",IF(AE1214="me","   not ELP, by",IF(AE1214="",IF(G1214&gt;0,(VLOOKUP(A1214,'Discount Lookup'!J:K,2)*G1214*(1-PlanterDiscount)*(1+PlanterDifficultyPercentage)),""),"")),"   not ELP, by"))))))))))))))</f>
        <v/>
      </c>
      <c r="AD1214" s="712"/>
      <c r="AE1214" s="513" t="str">
        <f t="shared" si="877"/>
        <v/>
      </c>
      <c r="AF1214" s="713" t="str">
        <f t="shared" si="878"/>
        <v/>
      </c>
      <c r="AG1214" s="713"/>
      <c r="AH1214" s="713"/>
      <c r="AI1214" s="112">
        <f>IF(H1214="credit",0,IF(AE1214="free",0,IF(AE1214="me",0,IF(G1214&gt;0,(VLOOKUP(A1214,'Discount Lookup'!J:K,2)*G1214),0))))</f>
        <v>0</v>
      </c>
      <c r="AJ1214" s="107" t="str">
        <f t="shared" ca="1" si="879"/>
        <v/>
      </c>
      <c r="AK1214" s="714" t="str">
        <f t="shared" si="880"/>
        <v/>
      </c>
      <c r="AL1214" s="714"/>
      <c r="AM1214" s="114" t="str">
        <f t="shared" si="881"/>
        <v/>
      </c>
      <c r="AN1214" s="115"/>
      <c r="AO1214" s="116"/>
      <c r="AP1214" s="116"/>
      <c r="AQ1214" s="116"/>
      <c r="AR1214" s="116"/>
      <c r="AS1214" s="116"/>
      <c r="AT1214" s="116"/>
      <c r="AU1214" s="116"/>
      <c r="AV1214" s="78"/>
      <c r="AW1214" s="102"/>
      <c r="AX1214" s="78"/>
      <c r="AY1214" s="78"/>
      <c r="AZ1214" s="78"/>
      <c r="BA1214" s="78"/>
      <c r="BB1214" s="78"/>
      <c r="BC1214" s="78"/>
      <c r="BD1214" s="78"/>
      <c r="BE1214" s="465"/>
      <c r="BF1214" s="165" t="str">
        <f t="shared" si="882"/>
        <v>https://www.google.com/search?tbm=isch&amp;q=7%20G4</v>
      </c>
      <c r="BG1214" s="165" t="str">
        <f t="shared" si="883"/>
        <v>C</v>
      </c>
      <c r="BH1214" s="65"/>
      <c r="BI1214" s="65"/>
      <c r="BJ1214" s="65"/>
      <c r="BK1214" s="65"/>
      <c r="BL1214" s="99"/>
      <c r="BM1214" s="99"/>
      <c r="BN1214" s="99"/>
    </row>
    <row r="1215" spans="1:66" s="51" customFormat="1" ht="15.75" x14ac:dyDescent="0.25">
      <c r="A1215" s="634">
        <v>7</v>
      </c>
      <c r="B1215" s="635" t="s">
        <v>291</v>
      </c>
      <c r="C1215" s="636" t="s">
        <v>2235</v>
      </c>
      <c r="D1215" s="637" t="s">
        <v>311</v>
      </c>
      <c r="E1215" s="638">
        <v>109.95</v>
      </c>
      <c r="F1215" s="639" t="s">
        <v>292</v>
      </c>
      <c r="G1215" s="484">
        <v>0</v>
      </c>
      <c r="H1215" s="691" t="str">
        <f t="shared" si="913"/>
        <v/>
      </c>
      <c r="I1215" s="640">
        <f t="shared" si="914"/>
        <v>0</v>
      </c>
      <c r="J1215" s="640">
        <f t="shared" si="915"/>
        <v>0</v>
      </c>
      <c r="K1215" s="716">
        <f t="shared" ref="K1215" si="918">I1215+J1215</f>
        <v>0</v>
      </c>
      <c r="L1215" s="716"/>
      <c r="M1215" s="689" t="str">
        <f t="shared" ca="1" si="917"/>
        <v/>
      </c>
      <c r="N1215" s="690"/>
      <c r="O1215" s="486"/>
      <c r="P1215" s="486"/>
      <c r="Q1215" s="486"/>
      <c r="R1215" s="486"/>
      <c r="S1215" s="486"/>
      <c r="T1215" s="102">
        <f t="shared" si="871"/>
        <v>0</v>
      </c>
      <c r="U1215" s="78">
        <f>IF(NOT(ISNUMBER(G1215)), "", VLOOKUP(A1215,'Discount Lookup'!D:E,2,FALSE)*G1215)</f>
        <v>0</v>
      </c>
      <c r="V1215" s="78">
        <f>IF(NOT(ISNUMBER(G1215)), "", VLOOKUP(A1215,'Discount Lookup'!G:H,2,FALSE)*G1215)</f>
        <v>0</v>
      </c>
      <c r="W1215" s="102">
        <f t="shared" si="872"/>
        <v>0</v>
      </c>
      <c r="X1215" s="102">
        <f t="shared" si="873"/>
        <v>0</v>
      </c>
      <c r="Y1215" s="120" t="b">
        <f t="shared" si="874"/>
        <v>0</v>
      </c>
      <c r="Z1215" s="117">
        <f t="shared" si="875"/>
        <v>0</v>
      </c>
      <c r="AA1215" s="118"/>
      <c r="AB1215" s="118" t="str">
        <f t="shared" si="876"/>
        <v/>
      </c>
      <c r="AC1215" s="712" t="str">
        <f>IF(AE1215="T2G","no charge",IF(AND(OR(PlanterYesMe="No",PlanterYesMe="N",PlanterYesMe="me"),H1215=""),"",IF(H1215="credit","NO install",IF(AND(K1215="",AE1215="me"),"EACH row",IF(AND(K1215="images",AE1215="me"),"EACH row",IF(D1215="","",IF(H1215="credit","",IF(AE1215="free","re-planting",IF(AE1215="me","   not ELP, by",IF(AND(OR(PlanterYesMe="Yes",PlanterYesMe="Y"),G1215&gt;0),(VLOOKUP(A1215,'Discount Lookup'!J:K,2)*G1215*(1-PlanterDiscount)*(1+PlanterDifficultyPercentage)),IF(AE1215="ELP",(VLOOKUP(A1215,'Discount Lookup'!J:K,2)*G1215*(1-PlanterDiscount)*(1+PlanterDifficultyPercentage)),IF(AE1215="free","re-planting",IF(G1215=0,"",IF(PlanterYesMe="",IF(AE1215="me","   not ELP, by",IF(AE1215="",IF(G1215&gt;0,(VLOOKUP(A1215,'Discount Lookup'!J:K,2)*G1215*(1-PlanterDiscount)*(1+PlanterDifficultyPercentage)),""),"")),"   not ELP, by"))))))))))))))</f>
        <v/>
      </c>
      <c r="AD1215" s="712"/>
      <c r="AE1215" s="513" t="str">
        <f t="shared" si="877"/>
        <v/>
      </c>
      <c r="AF1215" s="713" t="str">
        <f t="shared" si="878"/>
        <v/>
      </c>
      <c r="AG1215" s="713"/>
      <c r="AH1215" s="713"/>
      <c r="AI1215" s="112">
        <f>IF(H1215="credit",0,IF(AE1215="free",0,IF(AE1215="me",0,IF(G1215&gt;0,(VLOOKUP(A1215,'Discount Lookup'!J:K,2)*G1215),0))))</f>
        <v>0</v>
      </c>
      <c r="AJ1215" s="107" t="str">
        <f t="shared" ca="1" si="879"/>
        <v/>
      </c>
      <c r="AK1215" s="714" t="str">
        <f t="shared" si="880"/>
        <v/>
      </c>
      <c r="AL1215" s="714"/>
      <c r="AM1215" s="114" t="str">
        <f t="shared" si="881"/>
        <v/>
      </c>
      <c r="AN1215" s="115"/>
      <c r="AO1215" s="116"/>
      <c r="AP1215" s="116"/>
      <c r="AQ1215" s="116"/>
      <c r="AR1215" s="116"/>
      <c r="AS1215" s="116"/>
      <c r="AT1215" s="116"/>
      <c r="AU1215" s="116"/>
      <c r="AV1215" s="78"/>
      <c r="AW1215" s="102"/>
      <c r="AX1215" s="78"/>
      <c r="AY1215" s="78"/>
      <c r="AZ1215" s="78"/>
      <c r="BA1215" s="78"/>
      <c r="BB1215" s="78"/>
      <c r="BC1215" s="78"/>
      <c r="BD1215" s="78"/>
      <c r="BE1215" s="465"/>
      <c r="BF1215" s="165" t="str">
        <f t="shared" si="882"/>
        <v>https://www.google.com/search?tbm=isch&amp;q=7%20G5</v>
      </c>
      <c r="BG1215" s="165" t="str">
        <f t="shared" si="883"/>
        <v>C</v>
      </c>
      <c r="BH1215" s="65"/>
      <c r="BI1215" s="65"/>
      <c r="BJ1215" s="65"/>
      <c r="BK1215" s="65"/>
      <c r="BL1215" s="99"/>
      <c r="BM1215" s="99"/>
      <c r="BN1215" s="99"/>
    </row>
    <row r="1216" spans="1:66" s="51" customFormat="1" ht="15.75" x14ac:dyDescent="0.25">
      <c r="A1216" s="634">
        <v>15</v>
      </c>
      <c r="B1216" s="635" t="s">
        <v>291</v>
      </c>
      <c r="C1216" s="636" t="s">
        <v>2236</v>
      </c>
      <c r="D1216" s="637" t="s">
        <v>311</v>
      </c>
      <c r="E1216" s="638">
        <v>194.95</v>
      </c>
      <c r="F1216" s="639" t="s">
        <v>292</v>
      </c>
      <c r="G1216" s="484">
        <v>0</v>
      </c>
      <c r="H1216" s="691" t="str">
        <f t="shared" si="913"/>
        <v/>
      </c>
      <c r="I1216" s="640">
        <f t="shared" si="914"/>
        <v>0</v>
      </c>
      <c r="J1216" s="640">
        <f t="shared" si="915"/>
        <v>0</v>
      </c>
      <c r="K1216" s="716">
        <f t="shared" ref="K1216" si="919">I1216+J1216</f>
        <v>0</v>
      </c>
      <c r="L1216" s="716"/>
      <c r="M1216" s="689" t="str">
        <f t="shared" ca="1" si="917"/>
        <v/>
      </c>
      <c r="N1216" s="690"/>
      <c r="O1216" s="486"/>
      <c r="P1216" s="486"/>
      <c r="Q1216" s="486"/>
      <c r="R1216" s="486"/>
      <c r="S1216" s="486"/>
      <c r="T1216" s="102">
        <f t="shared" si="871"/>
        <v>0</v>
      </c>
      <c r="U1216" s="78">
        <f>IF(NOT(ISNUMBER(G1216)), "", VLOOKUP(A1216,'Discount Lookup'!D:E,2,FALSE)*G1216)</f>
        <v>0</v>
      </c>
      <c r="V1216" s="78">
        <f>IF(NOT(ISNUMBER(G1216)), "", VLOOKUP(A1216,'Discount Lookup'!G:H,2,FALSE)*G1216)</f>
        <v>0</v>
      </c>
      <c r="W1216" s="102">
        <f t="shared" si="872"/>
        <v>0</v>
      </c>
      <c r="X1216" s="102">
        <f t="shared" si="873"/>
        <v>0</v>
      </c>
      <c r="Y1216" s="120" t="b">
        <f t="shared" si="874"/>
        <v>0</v>
      </c>
      <c r="Z1216" s="117">
        <f t="shared" si="875"/>
        <v>0</v>
      </c>
      <c r="AA1216" s="118"/>
      <c r="AB1216" s="118" t="str">
        <f t="shared" si="876"/>
        <v/>
      </c>
      <c r="AC1216" s="712" t="str">
        <f>IF(AE1216="T2G","no charge",IF(AND(OR(PlanterYesMe="No",PlanterYesMe="N",PlanterYesMe="me"),H1216=""),"",IF(H1216="credit","NO install",IF(AND(K1216="",AE1216="me"),"EACH row",IF(AND(K1216="images",AE1216="me"),"EACH row",IF(D1216="","",IF(H1216="credit","",IF(AE1216="free","re-planting",IF(AE1216="me","   not ELP, by",IF(AND(OR(PlanterYesMe="Yes",PlanterYesMe="Y"),G1216&gt;0),(VLOOKUP(A1216,'Discount Lookup'!J:K,2)*G1216*(1-PlanterDiscount)*(1+PlanterDifficultyPercentage)),IF(AE1216="ELP",(VLOOKUP(A1216,'Discount Lookup'!J:K,2)*G1216*(1-PlanterDiscount)*(1+PlanterDifficultyPercentage)),IF(AE1216="free","re-planting",IF(G1216=0,"",IF(PlanterYesMe="",IF(AE1216="me","   not ELP, by",IF(AE1216="",IF(G1216&gt;0,(VLOOKUP(A1216,'Discount Lookup'!J:K,2)*G1216*(1-PlanterDiscount)*(1+PlanterDifficultyPercentage)),""),"")),"   not ELP, by"))))))))))))))</f>
        <v/>
      </c>
      <c r="AD1216" s="712"/>
      <c r="AE1216" s="513" t="str">
        <f t="shared" si="877"/>
        <v/>
      </c>
      <c r="AF1216" s="713" t="str">
        <f t="shared" si="878"/>
        <v/>
      </c>
      <c r="AG1216" s="713"/>
      <c r="AH1216" s="713"/>
      <c r="AI1216" s="112">
        <f>IF(H1216="credit",0,IF(AE1216="free",0,IF(AE1216="me",0,IF(G1216&gt;0,(VLOOKUP(A1216,'Discount Lookup'!J:K,2)*G1216),0))))</f>
        <v>0</v>
      </c>
      <c r="AJ1216" s="107" t="str">
        <f t="shared" ca="1" si="879"/>
        <v/>
      </c>
      <c r="AK1216" s="714" t="str">
        <f t="shared" si="880"/>
        <v/>
      </c>
      <c r="AL1216" s="714"/>
      <c r="AM1216" s="114" t="str">
        <f t="shared" si="881"/>
        <v/>
      </c>
      <c r="AN1216" s="115"/>
      <c r="AO1216" s="116"/>
      <c r="AP1216" s="116"/>
      <c r="AQ1216" s="116"/>
      <c r="AR1216" s="116"/>
      <c r="AS1216" s="116"/>
      <c r="AT1216" s="116"/>
      <c r="AU1216" s="116"/>
      <c r="AV1216" s="78"/>
      <c r="AW1216" s="102"/>
      <c r="AX1216" s="78"/>
      <c r="AY1216" s="78"/>
      <c r="AZ1216" s="78"/>
      <c r="BA1216" s="78"/>
      <c r="BB1216" s="78"/>
      <c r="BC1216" s="78"/>
      <c r="BD1216" s="78"/>
      <c r="BE1216" s="465"/>
      <c r="BF1216" s="165" t="str">
        <f t="shared" si="882"/>
        <v>https://www.google.com/search?tbm=isch&amp;q=15%20G5</v>
      </c>
      <c r="BG1216" s="165" t="str">
        <f t="shared" si="883"/>
        <v>C</v>
      </c>
      <c r="BH1216" s="65"/>
      <c r="BI1216" s="65"/>
      <c r="BJ1216" s="65"/>
      <c r="BK1216" s="65"/>
      <c r="BL1216" s="99"/>
      <c r="BM1216" s="99"/>
      <c r="BN1216" s="99"/>
    </row>
    <row r="1217" spans="1:66" s="51" customFormat="1" ht="15.75" x14ac:dyDescent="0.25">
      <c r="A1217" s="634">
        <v>15</v>
      </c>
      <c r="B1217" s="635" t="s">
        <v>291</v>
      </c>
      <c r="C1217" s="636" t="s">
        <v>2237</v>
      </c>
      <c r="D1217" s="637" t="s">
        <v>299</v>
      </c>
      <c r="E1217" s="638">
        <v>201.95</v>
      </c>
      <c r="F1217" s="639" t="s">
        <v>292</v>
      </c>
      <c r="G1217" s="484">
        <v>0</v>
      </c>
      <c r="H1217" s="691" t="str">
        <f t="shared" si="913"/>
        <v/>
      </c>
      <c r="I1217" s="640">
        <f t="shared" si="914"/>
        <v>0</v>
      </c>
      <c r="J1217" s="640">
        <f t="shared" si="915"/>
        <v>0</v>
      </c>
      <c r="K1217" s="716">
        <f t="shared" ref="K1217" si="920">I1217+J1217</f>
        <v>0</v>
      </c>
      <c r="L1217" s="716"/>
      <c r="M1217" s="689" t="str">
        <f t="shared" ca="1" si="917"/>
        <v/>
      </c>
      <c r="N1217" s="690"/>
      <c r="O1217" s="486"/>
      <c r="P1217" s="486"/>
      <c r="Q1217" s="486"/>
      <c r="R1217" s="486"/>
      <c r="S1217" s="486"/>
      <c r="T1217" s="102">
        <f t="shared" si="871"/>
        <v>0</v>
      </c>
      <c r="U1217" s="78">
        <f>IF(NOT(ISNUMBER(G1217)), "", VLOOKUP(A1217,'Discount Lookup'!D:E,2,FALSE)*G1217)</f>
        <v>0</v>
      </c>
      <c r="V1217" s="78">
        <f>IF(NOT(ISNUMBER(G1217)), "", VLOOKUP(A1217,'Discount Lookup'!G:H,2,FALSE)*G1217)</f>
        <v>0</v>
      </c>
      <c r="W1217" s="102">
        <f t="shared" si="872"/>
        <v>0</v>
      </c>
      <c r="X1217" s="102">
        <f t="shared" si="873"/>
        <v>0</v>
      </c>
      <c r="Y1217" s="120" t="b">
        <f t="shared" si="874"/>
        <v>0</v>
      </c>
      <c r="Z1217" s="117">
        <f t="shared" si="875"/>
        <v>0</v>
      </c>
      <c r="AA1217" s="118"/>
      <c r="AB1217" s="118" t="str">
        <f t="shared" si="876"/>
        <v/>
      </c>
      <c r="AC1217" s="712" t="str">
        <f>IF(AE1217="T2G","no charge",IF(AND(OR(PlanterYesMe="No",PlanterYesMe="N",PlanterYesMe="me"),H1217=""),"",IF(H1217="credit","NO install",IF(AND(K1217="",AE1217="me"),"EACH row",IF(AND(K1217="images",AE1217="me"),"EACH row",IF(D1217="","",IF(H1217="credit","",IF(AE1217="free","re-planting",IF(AE1217="me","   not ELP, by",IF(AND(OR(PlanterYesMe="Yes",PlanterYesMe="Y"),G1217&gt;0),(VLOOKUP(A1217,'Discount Lookup'!J:K,2)*G1217*(1-PlanterDiscount)*(1+PlanterDifficultyPercentage)),IF(AE1217="ELP",(VLOOKUP(A1217,'Discount Lookup'!J:K,2)*G1217*(1-PlanterDiscount)*(1+PlanterDifficultyPercentage)),IF(AE1217="free","re-planting",IF(G1217=0,"",IF(PlanterYesMe="",IF(AE1217="me","   not ELP, by",IF(AE1217="",IF(G1217&gt;0,(VLOOKUP(A1217,'Discount Lookup'!J:K,2)*G1217*(1-PlanterDiscount)*(1+PlanterDifficultyPercentage)),""),"")),"   not ELP, by"))))))))))))))</f>
        <v/>
      </c>
      <c r="AD1217" s="712"/>
      <c r="AE1217" s="513" t="str">
        <f t="shared" si="877"/>
        <v/>
      </c>
      <c r="AF1217" s="713" t="str">
        <f t="shared" si="878"/>
        <v/>
      </c>
      <c r="AG1217" s="713"/>
      <c r="AH1217" s="713"/>
      <c r="AI1217" s="112">
        <f>IF(H1217="credit",0,IF(AE1217="free",0,IF(AE1217="me",0,IF(G1217&gt;0,(VLOOKUP(A1217,'Discount Lookup'!J:K,2)*G1217),0))))</f>
        <v>0</v>
      </c>
      <c r="AJ1217" s="107" t="str">
        <f t="shared" ca="1" si="879"/>
        <v/>
      </c>
      <c r="AK1217" s="714" t="str">
        <f t="shared" si="880"/>
        <v/>
      </c>
      <c r="AL1217" s="714"/>
      <c r="AM1217" s="114" t="str">
        <f t="shared" si="881"/>
        <v/>
      </c>
      <c r="AN1217" s="115"/>
      <c r="AO1217" s="116"/>
      <c r="AP1217" s="116"/>
      <c r="AQ1217" s="116"/>
      <c r="AR1217" s="116"/>
      <c r="AS1217" s="116"/>
      <c r="AT1217" s="116"/>
      <c r="AU1217" s="116"/>
      <c r="AV1217" s="78"/>
      <c r="AW1217" s="102"/>
      <c r="AX1217" s="78"/>
      <c r="AY1217" s="78"/>
      <c r="AZ1217" s="78"/>
      <c r="BA1217" s="78"/>
      <c r="BB1217" s="78"/>
      <c r="BC1217" s="78"/>
      <c r="BD1217" s="78"/>
      <c r="BE1217" s="465"/>
      <c r="BF1217" s="165" t="str">
        <f t="shared" si="882"/>
        <v>https://www.google.com/search?tbm=isch&amp;q=15%20G4</v>
      </c>
      <c r="BG1217" s="165" t="str">
        <f t="shared" si="883"/>
        <v>C</v>
      </c>
      <c r="BH1217" s="65"/>
      <c r="BI1217" s="65"/>
      <c r="BJ1217" s="65"/>
      <c r="BK1217" s="65"/>
      <c r="BL1217" s="99"/>
      <c r="BM1217" s="99"/>
      <c r="BN1217" s="99"/>
    </row>
    <row r="1218" spans="1:66" s="51" customFormat="1" ht="15.75" x14ac:dyDescent="0.25">
      <c r="A1218" s="634">
        <v>15</v>
      </c>
      <c r="B1218" s="635" t="s">
        <v>291</v>
      </c>
      <c r="C1218" s="636" t="s">
        <v>332</v>
      </c>
      <c r="D1218" s="637" t="s">
        <v>293</v>
      </c>
      <c r="E1218" s="638">
        <v>299.95</v>
      </c>
      <c r="F1218" s="639" t="s">
        <v>292</v>
      </c>
      <c r="G1218" s="484">
        <v>0</v>
      </c>
      <c r="H1218" s="691" t="str">
        <f t="shared" si="913"/>
        <v/>
      </c>
      <c r="I1218" s="640">
        <f t="shared" si="914"/>
        <v>0</v>
      </c>
      <c r="J1218" s="640">
        <f t="shared" si="915"/>
        <v>0</v>
      </c>
      <c r="K1218" s="716">
        <f t="shared" ref="K1218" si="921">I1218+J1218</f>
        <v>0</v>
      </c>
      <c r="L1218" s="716"/>
      <c r="M1218" s="689" t="str">
        <f t="shared" ca="1" si="917"/>
        <v/>
      </c>
      <c r="N1218" s="690"/>
      <c r="O1218" s="486"/>
      <c r="P1218" s="486"/>
      <c r="Q1218" s="486"/>
      <c r="R1218" s="486"/>
      <c r="S1218" s="486"/>
      <c r="T1218" s="102">
        <f t="shared" si="871"/>
        <v>0</v>
      </c>
      <c r="U1218" s="78">
        <f>IF(NOT(ISNUMBER(G1218)), "", VLOOKUP(A1218,'Discount Lookup'!D:E,2,FALSE)*G1218)</f>
        <v>0</v>
      </c>
      <c r="V1218" s="78">
        <f>IF(NOT(ISNUMBER(G1218)), "", VLOOKUP(A1218,'Discount Lookup'!G:H,2,FALSE)*G1218)</f>
        <v>0</v>
      </c>
      <c r="W1218" s="102">
        <f t="shared" si="872"/>
        <v>0</v>
      </c>
      <c r="X1218" s="102">
        <f t="shared" si="873"/>
        <v>0</v>
      </c>
      <c r="Y1218" s="120" t="b">
        <f t="shared" si="874"/>
        <v>0</v>
      </c>
      <c r="Z1218" s="117">
        <f t="shared" si="875"/>
        <v>0</v>
      </c>
      <c r="AA1218" s="118"/>
      <c r="AB1218" s="118" t="str">
        <f t="shared" si="876"/>
        <v/>
      </c>
      <c r="AC1218" s="712" t="str">
        <f>IF(AE1218="T2G","no charge",IF(AND(OR(PlanterYesMe="No",PlanterYesMe="N",PlanterYesMe="me"),H1218=""),"",IF(H1218="credit","NO install",IF(AND(K1218="",AE1218="me"),"EACH row",IF(AND(K1218="images",AE1218="me"),"EACH row",IF(D1218="","",IF(H1218="credit","",IF(AE1218="free","re-planting",IF(AE1218="me","   not ELP, by",IF(AND(OR(PlanterYesMe="Yes",PlanterYesMe="Y"),G1218&gt;0),(VLOOKUP(A1218,'Discount Lookup'!J:K,2)*G1218*(1-PlanterDiscount)*(1+PlanterDifficultyPercentage)),IF(AE1218="ELP",(VLOOKUP(A1218,'Discount Lookup'!J:K,2)*G1218*(1-PlanterDiscount)*(1+PlanterDifficultyPercentage)),IF(AE1218="free","re-planting",IF(G1218=0,"",IF(PlanterYesMe="",IF(AE1218="me","   not ELP, by",IF(AE1218="",IF(G1218&gt;0,(VLOOKUP(A1218,'Discount Lookup'!J:K,2)*G1218*(1-PlanterDiscount)*(1+PlanterDifficultyPercentage)),""),"")),"   not ELP, by"))))))))))))))</f>
        <v/>
      </c>
      <c r="AD1218" s="712"/>
      <c r="AE1218" s="513" t="str">
        <f t="shared" si="877"/>
        <v/>
      </c>
      <c r="AF1218" s="713" t="str">
        <f t="shared" si="878"/>
        <v/>
      </c>
      <c r="AG1218" s="713"/>
      <c r="AH1218" s="713"/>
      <c r="AI1218" s="112">
        <f>IF(H1218="credit",0,IF(AE1218="free",0,IF(AE1218="me",0,IF(G1218&gt;0,(VLOOKUP(A1218,'Discount Lookup'!J:K,2)*G1218),0))))</f>
        <v>0</v>
      </c>
      <c r="AJ1218" s="107" t="str">
        <f t="shared" ca="1" si="879"/>
        <v/>
      </c>
      <c r="AK1218" s="714" t="str">
        <f t="shared" si="880"/>
        <v/>
      </c>
      <c r="AL1218" s="714"/>
      <c r="AM1218" s="114" t="str">
        <f t="shared" si="881"/>
        <v/>
      </c>
      <c r="AN1218" s="115"/>
      <c r="AO1218" s="116"/>
      <c r="AP1218" s="116"/>
      <c r="AQ1218" s="116"/>
      <c r="AR1218" s="116"/>
      <c r="AS1218" s="116"/>
      <c r="AT1218" s="116"/>
      <c r="AU1218" s="116"/>
      <c r="AV1218" s="78"/>
      <c r="AW1218" s="102"/>
      <c r="AX1218" s="78"/>
      <c r="AY1218" s="78"/>
      <c r="AZ1218" s="78"/>
      <c r="BA1218" s="78"/>
      <c r="BB1218" s="78"/>
      <c r="BC1218" s="78"/>
      <c r="BD1218" s="78"/>
      <c r="BE1218" s="465"/>
      <c r="BF1218" s="165" t="str">
        <f t="shared" si="882"/>
        <v>https://www.google.com/search?tbm=isch&amp;q=15%20G6</v>
      </c>
      <c r="BG1218" s="165" t="str">
        <f t="shared" si="883"/>
        <v>C</v>
      </c>
      <c r="BH1218" s="65"/>
      <c r="BI1218" s="65"/>
      <c r="BJ1218" s="65"/>
      <c r="BK1218" s="65"/>
      <c r="BL1218" s="99"/>
      <c r="BM1218" s="99"/>
      <c r="BN1218" s="99"/>
    </row>
    <row r="1219" spans="1:66" s="51" customFormat="1" ht="15.75" x14ac:dyDescent="0.25">
      <c r="A1219" s="634">
        <v>25</v>
      </c>
      <c r="B1219" s="635" t="s">
        <v>291</v>
      </c>
      <c r="C1219" s="636"/>
      <c r="D1219" s="637" t="s">
        <v>293</v>
      </c>
      <c r="E1219" s="638">
        <v>407.95</v>
      </c>
      <c r="F1219" s="639" t="s">
        <v>292</v>
      </c>
      <c r="G1219" s="484">
        <v>0</v>
      </c>
      <c r="H1219" s="691" t="str">
        <f t="shared" si="913"/>
        <v/>
      </c>
      <c r="I1219" s="640">
        <f t="shared" si="914"/>
        <v>0</v>
      </c>
      <c r="J1219" s="640">
        <f t="shared" si="915"/>
        <v>0</v>
      </c>
      <c r="K1219" s="716">
        <f t="shared" ref="K1219" si="922">I1219+J1219</f>
        <v>0</v>
      </c>
      <c r="L1219" s="716"/>
      <c r="M1219" s="689" t="str">
        <f t="shared" ca="1" si="917"/>
        <v/>
      </c>
      <c r="N1219" s="690"/>
      <c r="O1219" s="486"/>
      <c r="P1219" s="486"/>
      <c r="Q1219" s="486"/>
      <c r="R1219" s="486"/>
      <c r="S1219" s="486"/>
      <c r="T1219" s="102">
        <f t="shared" si="871"/>
        <v>0</v>
      </c>
      <c r="U1219" s="78">
        <f>IF(NOT(ISNUMBER(G1219)), "", VLOOKUP(A1219,'Discount Lookup'!D:E,2,FALSE)*G1219)</f>
        <v>0</v>
      </c>
      <c r="V1219" s="78">
        <f>IF(NOT(ISNUMBER(G1219)), "", VLOOKUP(A1219,'Discount Lookup'!G:H,2,FALSE)*G1219)</f>
        <v>0</v>
      </c>
      <c r="W1219" s="102">
        <f t="shared" si="872"/>
        <v>0</v>
      </c>
      <c r="X1219" s="102">
        <f t="shared" si="873"/>
        <v>0</v>
      </c>
      <c r="Y1219" s="120" t="b">
        <f t="shared" si="874"/>
        <v>0</v>
      </c>
      <c r="Z1219" s="117">
        <f t="shared" si="875"/>
        <v>0</v>
      </c>
      <c r="AA1219" s="118"/>
      <c r="AB1219" s="118" t="str">
        <f t="shared" si="876"/>
        <v/>
      </c>
      <c r="AC1219" s="712" t="str">
        <f>IF(AE1219="T2G","no charge",IF(AND(OR(PlanterYesMe="No",PlanterYesMe="N",PlanterYesMe="me"),H1219=""),"",IF(H1219="credit","NO install",IF(AND(K1219="",AE1219="me"),"EACH row",IF(AND(K1219="images",AE1219="me"),"EACH row",IF(D1219="","",IF(H1219="credit","",IF(AE1219="free","re-planting",IF(AE1219="me","   not ELP, by",IF(AND(OR(PlanterYesMe="Yes",PlanterYesMe="Y"),G1219&gt;0),(VLOOKUP(A1219,'Discount Lookup'!J:K,2)*G1219*(1-PlanterDiscount)*(1+PlanterDifficultyPercentage)),IF(AE1219="ELP",(VLOOKUP(A1219,'Discount Lookup'!J:K,2)*G1219*(1-PlanterDiscount)*(1+PlanterDifficultyPercentage)),IF(AE1219="free","re-planting",IF(G1219=0,"",IF(PlanterYesMe="",IF(AE1219="me","   not ELP, by",IF(AE1219="",IF(G1219&gt;0,(VLOOKUP(A1219,'Discount Lookup'!J:K,2)*G1219*(1-PlanterDiscount)*(1+PlanterDifficultyPercentage)),""),"")),"   not ELP, by"))))))))))))))</f>
        <v/>
      </c>
      <c r="AD1219" s="712"/>
      <c r="AE1219" s="513" t="str">
        <f t="shared" si="877"/>
        <v/>
      </c>
      <c r="AF1219" s="713" t="str">
        <f t="shared" si="878"/>
        <v/>
      </c>
      <c r="AG1219" s="713"/>
      <c r="AH1219" s="713"/>
      <c r="AI1219" s="112">
        <f>IF(H1219="credit",0,IF(AE1219="free",0,IF(AE1219="me",0,IF(G1219&gt;0,(VLOOKUP(A1219,'Discount Lookup'!J:K,2)*G1219),0))))</f>
        <v>0</v>
      </c>
      <c r="AJ1219" s="107" t="str">
        <f t="shared" ca="1" si="879"/>
        <v/>
      </c>
      <c r="AK1219" s="714" t="str">
        <f t="shared" si="880"/>
        <v/>
      </c>
      <c r="AL1219" s="714"/>
      <c r="AM1219" s="114" t="str">
        <f t="shared" si="881"/>
        <v/>
      </c>
      <c r="AN1219" s="115"/>
      <c r="AO1219" s="116"/>
      <c r="AP1219" s="116"/>
      <c r="AQ1219" s="116"/>
      <c r="AR1219" s="116"/>
      <c r="AS1219" s="116"/>
      <c r="AT1219" s="116"/>
      <c r="AU1219" s="116"/>
      <c r="AV1219" s="78"/>
      <c r="AW1219" s="102"/>
      <c r="AX1219" s="78"/>
      <c r="AY1219" s="78"/>
      <c r="AZ1219" s="78"/>
      <c r="BA1219" s="78"/>
      <c r="BB1219" s="78"/>
      <c r="BC1219" s="78"/>
      <c r="BD1219" s="78"/>
      <c r="BE1219" s="465"/>
      <c r="BF1219" s="165" t="str">
        <f t="shared" si="882"/>
        <v>https://www.google.com/search?tbm=isch&amp;q=25%20G6</v>
      </c>
      <c r="BG1219" s="165" t="str">
        <f t="shared" si="883"/>
        <v>C</v>
      </c>
      <c r="BH1219" s="65"/>
      <c r="BI1219" s="65"/>
      <c r="BJ1219" s="65"/>
      <c r="BK1219" s="65"/>
      <c r="BL1219" s="99"/>
      <c r="BM1219" s="99"/>
      <c r="BN1219" s="99"/>
    </row>
    <row r="1220" spans="1:66" s="51" customFormat="1" ht="17.25" thickBot="1" x14ac:dyDescent="0.3">
      <c r="A1220" s="641" t="s">
        <v>2238</v>
      </c>
      <c r="B1220" s="642"/>
      <c r="C1220" s="710"/>
      <c r="D1220" s="643"/>
      <c r="E1220" s="643"/>
      <c r="F1220" s="644"/>
      <c r="G1220" s="645"/>
      <c r="H1220" s="646"/>
      <c r="I1220" s="647"/>
      <c r="J1220" s="648"/>
      <c r="K1220" s="649"/>
      <c r="L1220" s="650"/>
      <c r="M1220" s="650"/>
      <c r="N1220" s="644"/>
      <c r="O1220" s="644"/>
      <c r="P1220" s="644"/>
      <c r="Q1220" s="644"/>
      <c r="R1220" s="644"/>
      <c r="S1220" s="701" t="s">
        <v>5253</v>
      </c>
      <c r="T1220" s="102">
        <f t="shared" si="871"/>
        <v>0</v>
      </c>
      <c r="U1220" s="78" t="str">
        <f>IF(NOT(ISNUMBER(G1220)), "", VLOOKUP(A1220,'Discount Lookup'!D:E,2,FALSE)*G1220)</f>
        <v/>
      </c>
      <c r="V1220" s="78" t="str">
        <f>IF(NOT(ISNUMBER(G1220)), "", VLOOKUP(A1220,'Discount Lookup'!G:H,2,FALSE)*G1220)</f>
        <v/>
      </c>
      <c r="W1220" s="102">
        <f t="shared" si="872"/>
        <v>0</v>
      </c>
      <c r="X1220" s="102">
        <f t="shared" si="873"/>
        <v>0</v>
      </c>
      <c r="Y1220" s="120" t="b">
        <f t="shared" si="874"/>
        <v>0</v>
      </c>
      <c r="Z1220" s="117">
        <f t="shared" si="875"/>
        <v>0</v>
      </c>
      <c r="AA1220" s="118"/>
      <c r="AB1220" s="118" t="str">
        <f t="shared" si="876"/>
        <v/>
      </c>
      <c r="AC1220" s="712" t="str">
        <f>IF(AE1220="T2G","no charge",IF(AND(OR(PlanterYesMe="No",PlanterYesMe="N",PlanterYesMe="me"),H1220=""),"",IF(H1220="credit","NO install",IF(AND(K1220="",AE1220="me"),"EACH row",IF(AND(K1220="images",AE1220="me"),"EACH row",IF(D1220="","",IF(H1220="credit","",IF(AE1220="free","re-planting",IF(AE1220="me","   not ELP, by",IF(AND(OR(PlanterYesMe="Yes",PlanterYesMe="Y"),G1220&gt;0),(VLOOKUP(A1220,'Discount Lookup'!J:K,2)*G1220*(1-PlanterDiscount)*(1+PlanterDifficultyPercentage)),IF(AE1220="ELP",(VLOOKUP(A1220,'Discount Lookup'!J:K,2)*G1220*(1-PlanterDiscount)*(1+PlanterDifficultyPercentage)),IF(AE1220="free","re-planting",IF(G1220=0,"",IF(PlanterYesMe="",IF(AE1220="me","   not ELP, by",IF(AE1220="",IF(G1220&gt;0,(VLOOKUP(A1220,'Discount Lookup'!J:K,2)*G1220*(1-PlanterDiscount)*(1+PlanterDifficultyPercentage)),""),"")),"   not ELP, by"))))))))))))))</f>
        <v/>
      </c>
      <c r="AD1220" s="712"/>
      <c r="AE1220" s="513" t="str">
        <f t="shared" si="877"/>
        <v/>
      </c>
      <c r="AF1220" s="713" t="str">
        <f t="shared" si="878"/>
        <v/>
      </c>
      <c r="AG1220" s="713"/>
      <c r="AH1220" s="713"/>
      <c r="AI1220" s="112">
        <f>IF(H1220="credit",0,IF(AE1220="free",0,IF(AE1220="me",0,IF(G1220&gt;0,(VLOOKUP(A1220,'Discount Lookup'!J:K,2)*G1220),0))))</f>
        <v>0</v>
      </c>
      <c r="AJ1220" s="107" t="str">
        <f t="shared" ca="1" si="879"/>
        <v/>
      </c>
      <c r="AK1220" s="714" t="str">
        <f t="shared" si="880"/>
        <v/>
      </c>
      <c r="AL1220" s="714"/>
      <c r="AM1220" s="114" t="str">
        <f t="shared" si="881"/>
        <v/>
      </c>
      <c r="AN1220" s="115"/>
      <c r="AO1220" s="116"/>
      <c r="AP1220" s="116"/>
      <c r="AQ1220" s="116"/>
      <c r="AR1220" s="116"/>
      <c r="AS1220" s="116"/>
      <c r="AT1220" s="116"/>
      <c r="AU1220" s="116"/>
      <c r="AV1220" s="78"/>
      <c r="AW1220" s="102"/>
      <c r="AX1220" s="78"/>
      <c r="AY1220" s="78"/>
      <c r="AZ1220" s="78"/>
      <c r="BA1220" s="78"/>
      <c r="BB1220" s="78"/>
      <c r="BC1220" s="78"/>
      <c r="BD1220" s="78"/>
      <c r="BE1220" s="465"/>
      <c r="BF1220" s="165" t="str">
        <f t="shared" si="882"/>
        <v>https://www.google.com/search?tbm=isch&amp;q=Tokyo%20Tower%20has%20abundant%20fluffy%20flowers.%20Blueberry-like%20fruit.%20Foliage%20turns%20bright%20yellow%20in%20fall.%20Exfoliating%20bark%20</v>
      </c>
      <c r="BG1220" s="165" t="str">
        <f t="shared" si="883"/>
        <v>T</v>
      </c>
      <c r="BH1220" s="65"/>
      <c r="BI1220" s="65"/>
      <c r="BJ1220" s="65"/>
      <c r="BK1220" s="65"/>
      <c r="BL1220" s="99"/>
      <c r="BM1220" s="99"/>
      <c r="BN1220" s="99"/>
    </row>
    <row r="1221" spans="1:66" s="51" customFormat="1" ht="18" x14ac:dyDescent="0.25">
      <c r="A1221" s="623" t="s">
        <v>2239</v>
      </c>
      <c r="B1221" s="624"/>
      <c r="C1221" s="709"/>
      <c r="D1221" s="625" t="s">
        <v>2240</v>
      </c>
      <c r="E1221" s="626"/>
      <c r="F1221" s="626"/>
      <c r="G1221" s="626"/>
      <c r="H1221" s="622" t="s">
        <v>1454</v>
      </c>
      <c r="I1221" s="627" t="s">
        <v>349</v>
      </c>
      <c r="J1221" s="628"/>
      <c r="K1221" s="628"/>
      <c r="L1221" s="629"/>
      <c r="M1221" s="700" t="s">
        <v>5249</v>
      </c>
      <c r="N1221" s="693" t="str">
        <f>IF(AND(ISTEXT($A1221), ISERROR($A1221+0)), HYPERLINK($BF1221, "Images"), "")</f>
        <v>Images</v>
      </c>
      <c r="O1221" s="695" t="s">
        <v>5264</v>
      </c>
      <c r="P1221" s="630"/>
      <c r="Q1221" s="631"/>
      <c r="R1221" s="632"/>
      <c r="S1221" s="633" t="s">
        <v>294</v>
      </c>
      <c r="T1221" s="102">
        <f t="shared" si="871"/>
        <v>0</v>
      </c>
      <c r="U1221" s="78" t="str">
        <f>IF(NOT(ISNUMBER(G1221)), "", VLOOKUP(A1221,'Discount Lookup'!D:E,2,FALSE)*G1221)</f>
        <v/>
      </c>
      <c r="V1221" s="78" t="str">
        <f>IF(NOT(ISNUMBER(G1221)), "", VLOOKUP(A1221,'Discount Lookup'!G:H,2,FALSE)*G1221)</f>
        <v/>
      </c>
      <c r="W1221" s="102">
        <f t="shared" si="872"/>
        <v>0</v>
      </c>
      <c r="X1221" s="102" t="str">
        <f t="shared" si="873"/>
        <v>White bloom</v>
      </c>
      <c r="Y1221" s="120" t="b">
        <f t="shared" si="874"/>
        <v>0</v>
      </c>
      <c r="Z1221" s="117">
        <f t="shared" si="875"/>
        <v>0</v>
      </c>
      <c r="AA1221" s="118"/>
      <c r="AB1221" s="118" t="str">
        <f t="shared" si="876"/>
        <v/>
      </c>
      <c r="AC1221" s="712" t="str">
        <f>IF(AE1221="T2G","no charge",IF(AND(OR(PlanterYesMe="No",PlanterYesMe="N",PlanterYesMe="me"),H1221=""),"",IF(H1221="credit","NO install",IF(AND(K1221="",AE1221="me"),"EACH row",IF(AND(K1221="images",AE1221="me"),"EACH row",IF(D1221="","",IF(H1221="credit","",IF(AE1221="free","re-planting",IF(AE1221="me","   not ELP, by",IF(AND(OR(PlanterYesMe="Yes",PlanterYesMe="Y"),G1221&gt;0),(VLOOKUP(A1221,'Discount Lookup'!J:K,2)*G1221*(1-PlanterDiscount)*(1+PlanterDifficultyPercentage)),IF(AE1221="ELP",(VLOOKUP(A1221,'Discount Lookup'!J:K,2)*G1221*(1-PlanterDiscount)*(1+PlanterDifficultyPercentage)),IF(AE1221="free","re-planting",IF(G1221=0,"",IF(PlanterYesMe="",IF(AE1221="me","   not ELP, by",IF(AE1221="",IF(G1221&gt;0,(VLOOKUP(A1221,'Discount Lookup'!J:K,2)*G1221*(1-PlanterDiscount)*(1+PlanterDifficultyPercentage)),""),"")),"   not ELP, by"))))))))))))))</f>
        <v/>
      </c>
      <c r="AD1221" s="712"/>
      <c r="AE1221" s="513" t="str">
        <f t="shared" si="877"/>
        <v/>
      </c>
      <c r="AF1221" s="713" t="str">
        <f t="shared" si="878"/>
        <v/>
      </c>
      <c r="AG1221" s="713"/>
      <c r="AH1221" s="713"/>
      <c r="AI1221" s="112">
        <f>IF(H1221="credit",0,IF(AE1221="free",0,IF(AE1221="me",0,IF(G1221&gt;0,(VLOOKUP(A1221,'Discount Lookup'!J:K,2)*G1221),0))))</f>
        <v>0</v>
      </c>
      <c r="AJ1221" s="107" t="str">
        <f t="shared" ca="1" si="879"/>
        <v/>
      </c>
      <c r="AK1221" s="714" t="str">
        <f t="shared" si="880"/>
        <v/>
      </c>
      <c r="AL1221" s="714"/>
      <c r="AM1221" s="114" t="str">
        <f t="shared" si="881"/>
        <v/>
      </c>
      <c r="AN1221" s="115"/>
      <c r="AO1221" s="116"/>
      <c r="AP1221" s="116"/>
      <c r="AQ1221" s="116"/>
      <c r="AR1221" s="116"/>
      <c r="AS1221" s="116"/>
      <c r="AT1221" s="116"/>
      <c r="AU1221" s="116"/>
      <c r="AV1221" s="78"/>
      <c r="AW1221" s="102"/>
      <c r="AX1221" s="78"/>
      <c r="AY1221" s="78"/>
      <c r="AZ1221" s="78"/>
      <c r="BA1221" s="78"/>
      <c r="BB1221" s="78"/>
      <c r="BC1221" s="78"/>
      <c r="BD1221" s="78"/>
      <c r="BE1221" s="465"/>
      <c r="BF1221" s="165" t="str">
        <f t="shared" si="882"/>
        <v>https://www.google.com/search?tbm=isch&amp;q=Chionanthus%20virginicus%20White%20Fringetree</v>
      </c>
      <c r="BG1221" s="165" t="str">
        <f t="shared" si="883"/>
        <v>C</v>
      </c>
      <c r="BH1221" s="65"/>
      <c r="BI1221" s="65"/>
      <c r="BJ1221" s="65"/>
      <c r="BK1221" s="65"/>
      <c r="BL1221" s="99"/>
      <c r="BM1221" s="99"/>
      <c r="BN1221" s="99"/>
    </row>
    <row r="1222" spans="1:66" s="51" customFormat="1" ht="15.75" x14ac:dyDescent="0.25">
      <c r="A1222" s="634">
        <v>7</v>
      </c>
      <c r="B1222" s="635" t="s">
        <v>291</v>
      </c>
      <c r="C1222" s="636" t="s">
        <v>2241</v>
      </c>
      <c r="D1222" s="637" t="s">
        <v>299</v>
      </c>
      <c r="E1222" s="638">
        <v>109.95</v>
      </c>
      <c r="F1222" s="639" t="s">
        <v>292</v>
      </c>
      <c r="G1222" s="484">
        <v>0</v>
      </c>
      <c r="H1222" s="691" t="str">
        <f>IF(G1222=0,"",IF(F1222="Buy",IF(G1222=1,"plant","plants"),IF(F1222&gt;0.01,"warranty","Error")))</f>
        <v/>
      </c>
      <c r="I1222" s="640">
        <f>IF(H1222="free",0,IF(H1222="credit",((E1222*(F1222))*G1222*-1),IF(F1222="Buy",(E1222*G1222),((E1222*(1-F1222))*G1222))))</f>
        <v>0</v>
      </c>
      <c r="J1222" s="640">
        <f>IF(H1222="warranty",0,(I1222*(_xlfn.SINGLE(SalesTaxPercentage))))</f>
        <v>0</v>
      </c>
      <c r="K1222" s="716">
        <f t="shared" ref="K1222" si="923">I1222+J1222</f>
        <v>0</v>
      </c>
      <c r="L1222" s="716"/>
      <c r="M1222" s="689" t="str">
        <f ca="1">IF(AND(G1222&gt;0,E1222=0),"WARNING - no PRICE inserted",IF(H1222="free","FREE ~ no charge this plant",IF(H1222="credit",CONCATENATE("-$",ROUND(K1222*(1-_xlfn.SINGLE(T2GDiscount))*-1,2)," CREDIT after discount"),IF(_xlfn.SINGLE(T2GDiscount)=0,"",IF(G1222=0,"",IF(F1222="Buy",CONCATENATE("$",ROUND(K1222*(1-_xlfn.SINGLE(T2GDiscount)),2)," with ",(_xlfn.SINGLE(T2GDiscount)*100),"% discount"),CONCATENATE("$",ROUND(K1222*(1-_xlfn.SINGLE(T2GDiscount)),2)," with ",((_xlfn.SINGLE(T2GDiscount)*100+F1222*100)-(_xlfn.SINGLE(T2GDiscount)*100*F1222)),IF(F1222&gt;0,"% discounts",IF(_xlfn.SINGLE(NoWarrantyDiscount)&gt;0,"% discounts","% discount")))))))))</f>
        <v/>
      </c>
      <c r="N1222" s="690"/>
      <c r="O1222" s="486"/>
      <c r="P1222" s="486"/>
      <c r="Q1222" s="486"/>
      <c r="R1222" s="486"/>
      <c r="S1222" s="486"/>
      <c r="T1222" s="102">
        <f t="shared" si="871"/>
        <v>0</v>
      </c>
      <c r="U1222" s="78">
        <f>IF(NOT(ISNUMBER(G1222)), "", VLOOKUP(A1222,'Discount Lookup'!D:E,2,FALSE)*G1222)</f>
        <v>0</v>
      </c>
      <c r="V1222" s="78">
        <f>IF(NOT(ISNUMBER(G1222)), "", VLOOKUP(A1222,'Discount Lookup'!G:H,2,FALSE)*G1222)</f>
        <v>0</v>
      </c>
      <c r="W1222" s="102">
        <f t="shared" si="872"/>
        <v>0</v>
      </c>
      <c r="X1222" s="102">
        <f t="shared" si="873"/>
        <v>0</v>
      </c>
      <c r="Y1222" s="120" t="b">
        <f t="shared" si="874"/>
        <v>0</v>
      </c>
      <c r="Z1222" s="117">
        <f t="shared" si="875"/>
        <v>0</v>
      </c>
      <c r="AA1222" s="118"/>
      <c r="AB1222" s="118" t="str">
        <f t="shared" si="876"/>
        <v/>
      </c>
      <c r="AC1222" s="712" t="str">
        <f>IF(AE1222="T2G","no charge",IF(AND(OR(PlanterYesMe="No",PlanterYesMe="N",PlanterYesMe="me"),H1222=""),"",IF(H1222="credit","NO install",IF(AND(K1222="",AE1222="me"),"EACH row",IF(AND(K1222="images",AE1222="me"),"EACH row",IF(D1222="","",IF(H1222="credit","",IF(AE1222="free","re-planting",IF(AE1222="me","   not ELP, by",IF(AND(OR(PlanterYesMe="Yes",PlanterYesMe="Y"),G1222&gt;0),(VLOOKUP(A1222,'Discount Lookup'!J:K,2)*G1222*(1-PlanterDiscount)*(1+PlanterDifficultyPercentage)),IF(AE1222="ELP",(VLOOKUP(A1222,'Discount Lookup'!J:K,2)*G1222*(1-PlanterDiscount)*(1+PlanterDifficultyPercentage)),IF(AE1222="free","re-planting",IF(G1222=0,"",IF(PlanterYesMe="",IF(AE1222="me","   not ELP, by",IF(AE1222="",IF(G1222&gt;0,(VLOOKUP(A1222,'Discount Lookup'!J:K,2)*G1222*(1-PlanterDiscount)*(1+PlanterDifficultyPercentage)),""),"")),"   not ELP, by"))))))))))))))</f>
        <v/>
      </c>
      <c r="AD1222" s="712"/>
      <c r="AE1222" s="513" t="str">
        <f t="shared" si="877"/>
        <v/>
      </c>
      <c r="AF1222" s="713" t="str">
        <f t="shared" si="878"/>
        <v/>
      </c>
      <c r="AG1222" s="713"/>
      <c r="AH1222" s="713"/>
      <c r="AI1222" s="112">
        <f>IF(H1222="credit",0,IF(AE1222="free",0,IF(AE1222="me",0,IF(G1222&gt;0,(VLOOKUP(A1222,'Discount Lookup'!J:K,2)*G1222),0))))</f>
        <v>0</v>
      </c>
      <c r="AJ1222" s="107" t="str">
        <f t="shared" ca="1" si="879"/>
        <v/>
      </c>
      <c r="AK1222" s="714" t="str">
        <f t="shared" si="880"/>
        <v/>
      </c>
      <c r="AL1222" s="714"/>
      <c r="AM1222" s="114" t="str">
        <f t="shared" si="881"/>
        <v/>
      </c>
      <c r="AN1222" s="115"/>
      <c r="AO1222" s="116"/>
      <c r="AP1222" s="116"/>
      <c r="AQ1222" s="116"/>
      <c r="AR1222" s="116"/>
      <c r="AS1222" s="116"/>
      <c r="AT1222" s="116"/>
      <c r="AU1222" s="116"/>
      <c r="AV1222" s="78"/>
      <c r="AW1222" s="102"/>
      <c r="AX1222" s="78"/>
      <c r="AY1222" s="78"/>
      <c r="AZ1222" s="78"/>
      <c r="BA1222" s="78"/>
      <c r="BB1222" s="78"/>
      <c r="BC1222" s="78"/>
      <c r="BD1222" s="78"/>
      <c r="BE1222" s="465"/>
      <c r="BF1222" s="165" t="str">
        <f t="shared" si="882"/>
        <v>https://www.google.com/search?tbm=isch&amp;q=7%20G4</v>
      </c>
      <c r="BG1222" s="165" t="str">
        <f t="shared" si="883"/>
        <v>C</v>
      </c>
      <c r="BH1222" s="65"/>
      <c r="BI1222" s="65"/>
      <c r="BJ1222" s="65"/>
      <c r="BK1222" s="65"/>
      <c r="BL1222" s="99"/>
      <c r="BM1222" s="99"/>
      <c r="BN1222" s="99"/>
    </row>
    <row r="1223" spans="1:66" s="51" customFormat="1" ht="27" x14ac:dyDescent="0.25">
      <c r="A1223" s="634">
        <v>7</v>
      </c>
      <c r="B1223" s="635" t="s">
        <v>291</v>
      </c>
      <c r="C1223" s="636" t="s">
        <v>2242</v>
      </c>
      <c r="D1223" s="637" t="s">
        <v>299</v>
      </c>
      <c r="E1223" s="638">
        <v>111.95</v>
      </c>
      <c r="F1223" s="639" t="s">
        <v>292</v>
      </c>
      <c r="G1223" s="484">
        <v>0</v>
      </c>
      <c r="H1223" s="691" t="str">
        <f>IF(G1223=0,"",IF(F1223="Buy",IF(G1223=1,"plant","plants"),IF(F1223&gt;0.01,"warranty","Error")))</f>
        <v/>
      </c>
      <c r="I1223" s="640">
        <f>IF(H1223="free",0,IF(H1223="credit",((E1223*(F1223))*G1223*-1),IF(F1223="Buy",(E1223*G1223),((E1223*(1-F1223))*G1223))))</f>
        <v>0</v>
      </c>
      <c r="J1223" s="640">
        <f>IF(H1223="warranty",0,(I1223*(_xlfn.SINGLE(SalesTaxPercentage))))</f>
        <v>0</v>
      </c>
      <c r="K1223" s="716">
        <f t="shared" ref="K1223" si="924">I1223+J1223</f>
        <v>0</v>
      </c>
      <c r="L1223" s="716"/>
      <c r="M1223" s="689" t="str">
        <f ca="1">IF(AND(G1223&gt;0,E1223=0),"WARNING - no PRICE inserted",IF(H1223="free","FREE ~ no charge this plant",IF(H1223="credit",CONCATENATE("-$",ROUND(K1223*(1-_xlfn.SINGLE(T2GDiscount))*-1,2)," CREDIT after discount"),IF(_xlfn.SINGLE(T2GDiscount)=0,"",IF(G1223=0,"",IF(F1223="Buy",CONCATENATE("$",ROUND(K1223*(1-_xlfn.SINGLE(T2GDiscount)),2)," with ",(_xlfn.SINGLE(T2GDiscount)*100),"% discount"),CONCATENATE("$",ROUND(K1223*(1-_xlfn.SINGLE(T2GDiscount)),2)," with ",((_xlfn.SINGLE(T2GDiscount)*100+F1223*100)-(_xlfn.SINGLE(T2GDiscount)*100*F1223)),IF(F1223&gt;0,"% discounts",IF(_xlfn.SINGLE(NoWarrantyDiscount)&gt;0,"% discounts","% discount")))))))))</f>
        <v/>
      </c>
      <c r="N1223" s="690"/>
      <c r="O1223" s="486"/>
      <c r="P1223" s="486"/>
      <c r="Q1223" s="486"/>
      <c r="R1223" s="486"/>
      <c r="S1223" s="486"/>
      <c r="T1223" s="102">
        <f t="shared" si="871"/>
        <v>0</v>
      </c>
      <c r="U1223" s="78">
        <f>IF(NOT(ISNUMBER(G1223)), "", VLOOKUP(A1223,'Discount Lookup'!D:E,2,FALSE)*G1223)</f>
        <v>0</v>
      </c>
      <c r="V1223" s="78">
        <f>IF(NOT(ISNUMBER(G1223)), "", VLOOKUP(A1223,'Discount Lookup'!G:H,2,FALSE)*G1223)</f>
        <v>0</v>
      </c>
      <c r="W1223" s="102">
        <f t="shared" si="872"/>
        <v>0</v>
      </c>
      <c r="X1223" s="102">
        <f t="shared" si="873"/>
        <v>0</v>
      </c>
      <c r="Y1223" s="120" t="b">
        <f t="shared" si="874"/>
        <v>0</v>
      </c>
      <c r="Z1223" s="117">
        <f t="shared" si="875"/>
        <v>0</v>
      </c>
      <c r="AA1223" s="118"/>
      <c r="AB1223" s="118" t="str">
        <f t="shared" si="876"/>
        <v/>
      </c>
      <c r="AC1223" s="712" t="str">
        <f>IF(AE1223="T2G","no charge",IF(AND(OR(PlanterYesMe="No",PlanterYesMe="N",PlanterYesMe="me"),H1223=""),"",IF(H1223="credit","NO install",IF(AND(K1223="",AE1223="me"),"EACH row",IF(AND(K1223="images",AE1223="me"),"EACH row",IF(D1223="","",IF(H1223="credit","",IF(AE1223="free","re-planting",IF(AE1223="me","   not ELP, by",IF(AND(OR(PlanterYesMe="Yes",PlanterYesMe="Y"),G1223&gt;0),(VLOOKUP(A1223,'Discount Lookup'!J:K,2)*G1223*(1-PlanterDiscount)*(1+PlanterDifficultyPercentage)),IF(AE1223="ELP",(VLOOKUP(A1223,'Discount Lookup'!J:K,2)*G1223*(1-PlanterDiscount)*(1+PlanterDifficultyPercentage)),IF(AE1223="free","re-planting",IF(G1223=0,"",IF(PlanterYesMe="",IF(AE1223="me","   not ELP, by",IF(AE1223="",IF(G1223&gt;0,(VLOOKUP(A1223,'Discount Lookup'!J:K,2)*G1223*(1-PlanterDiscount)*(1+PlanterDifficultyPercentage)),""),"")),"   not ELP, by"))))))))))))))</f>
        <v/>
      </c>
      <c r="AD1223" s="712"/>
      <c r="AE1223" s="513" t="str">
        <f t="shared" si="877"/>
        <v/>
      </c>
      <c r="AF1223" s="713" t="str">
        <f t="shared" si="878"/>
        <v/>
      </c>
      <c r="AG1223" s="713"/>
      <c r="AH1223" s="713"/>
      <c r="AI1223" s="112">
        <f>IF(H1223="credit",0,IF(AE1223="free",0,IF(AE1223="me",0,IF(G1223&gt;0,(VLOOKUP(A1223,'Discount Lookup'!J:K,2)*G1223),0))))</f>
        <v>0</v>
      </c>
      <c r="AJ1223" s="107" t="str">
        <f t="shared" ca="1" si="879"/>
        <v/>
      </c>
      <c r="AK1223" s="714" t="str">
        <f t="shared" si="880"/>
        <v/>
      </c>
      <c r="AL1223" s="714"/>
      <c r="AM1223" s="114" t="str">
        <f t="shared" si="881"/>
        <v/>
      </c>
      <c r="AN1223" s="115"/>
      <c r="AO1223" s="116"/>
      <c r="AP1223" s="116"/>
      <c r="AQ1223" s="116"/>
      <c r="AR1223" s="116"/>
      <c r="AS1223" s="116"/>
      <c r="AT1223" s="116"/>
      <c r="AU1223" s="116"/>
      <c r="AV1223" s="78"/>
      <c r="AW1223" s="102"/>
      <c r="AX1223" s="78"/>
      <c r="AY1223" s="78"/>
      <c r="AZ1223" s="78"/>
      <c r="BA1223" s="78"/>
      <c r="BB1223" s="78"/>
      <c r="BC1223" s="78"/>
      <c r="BD1223" s="78"/>
      <c r="BE1223" s="465"/>
      <c r="BF1223" s="165" t="str">
        <f t="shared" si="882"/>
        <v>https://www.google.com/search?tbm=isch&amp;q=7%20G4</v>
      </c>
      <c r="BG1223" s="165" t="str">
        <f t="shared" si="883"/>
        <v>C</v>
      </c>
      <c r="BH1223" s="65"/>
      <c r="BI1223" s="65"/>
      <c r="BJ1223" s="65"/>
      <c r="BK1223" s="65"/>
      <c r="BL1223" s="99"/>
      <c r="BM1223" s="99"/>
      <c r="BN1223" s="99"/>
    </row>
    <row r="1224" spans="1:66" s="51" customFormat="1" ht="15.75" x14ac:dyDescent="0.25">
      <c r="A1224" s="634">
        <v>10</v>
      </c>
      <c r="B1224" s="635" t="s">
        <v>291</v>
      </c>
      <c r="C1224" s="636" t="s">
        <v>5157</v>
      </c>
      <c r="D1224" s="637" t="s">
        <v>299</v>
      </c>
      <c r="E1224" s="638">
        <v>164.95</v>
      </c>
      <c r="F1224" s="639" t="s">
        <v>292</v>
      </c>
      <c r="G1224" s="484">
        <v>0</v>
      </c>
      <c r="H1224" s="691" t="str">
        <f>IF(G1224=0,"",IF(F1224="Buy",IF(G1224=1,"plant","plants"),IF(F1224&gt;0.01,"warranty","Error")))</f>
        <v/>
      </c>
      <c r="I1224" s="640">
        <f>IF(H1224="free",0,IF(H1224="credit",((E1224*(F1224))*G1224*-1),IF(F1224="Buy",(E1224*G1224),((E1224*(1-F1224))*G1224))))</f>
        <v>0</v>
      </c>
      <c r="J1224" s="640">
        <f>IF(H1224="warranty",0,(I1224*(_xlfn.SINGLE(SalesTaxPercentage))))</f>
        <v>0</v>
      </c>
      <c r="K1224" s="716">
        <f t="shared" ref="K1224" si="925">I1224+J1224</f>
        <v>0</v>
      </c>
      <c r="L1224" s="716"/>
      <c r="M1224" s="689" t="str">
        <f ca="1">IF(AND(G1224&gt;0,E1224=0),"WARNING - no PRICE inserted",IF(H1224="free","FREE ~ no charge this plant",IF(H1224="credit",CONCATENATE("-$",ROUND(K1224*(1-_xlfn.SINGLE(T2GDiscount))*-1,2)," CREDIT after discount"),IF(_xlfn.SINGLE(T2GDiscount)=0,"",IF(G1224=0,"",IF(F1224="Buy",CONCATENATE("$",ROUND(K1224*(1-_xlfn.SINGLE(T2GDiscount)),2)," with ",(_xlfn.SINGLE(T2GDiscount)*100),"% discount"),CONCATENATE("$",ROUND(K1224*(1-_xlfn.SINGLE(T2GDiscount)),2)," with ",((_xlfn.SINGLE(T2GDiscount)*100+F1224*100)-(_xlfn.SINGLE(T2GDiscount)*100*F1224)),IF(F1224&gt;0,"% discounts",IF(_xlfn.SINGLE(NoWarrantyDiscount)&gt;0,"% discounts","% discount")))))))))</f>
        <v/>
      </c>
      <c r="N1224" s="690"/>
      <c r="O1224" s="486"/>
      <c r="P1224" s="486"/>
      <c r="Q1224" s="486"/>
      <c r="R1224" s="486"/>
      <c r="S1224" s="486"/>
      <c r="T1224" s="102">
        <f t="shared" si="871"/>
        <v>0</v>
      </c>
      <c r="U1224" s="78">
        <f>IF(NOT(ISNUMBER(G1224)), "", VLOOKUP(A1224,'Discount Lookup'!D:E,2,FALSE)*G1224)</f>
        <v>0</v>
      </c>
      <c r="V1224" s="78">
        <f>IF(NOT(ISNUMBER(G1224)), "", VLOOKUP(A1224,'Discount Lookup'!G:H,2,FALSE)*G1224)</f>
        <v>0</v>
      </c>
      <c r="W1224" s="102">
        <f t="shared" si="872"/>
        <v>0</v>
      </c>
      <c r="X1224" s="102">
        <f t="shared" si="873"/>
        <v>0</v>
      </c>
      <c r="Y1224" s="120" t="b">
        <f t="shared" si="874"/>
        <v>0</v>
      </c>
      <c r="Z1224" s="117">
        <f t="shared" si="875"/>
        <v>0</v>
      </c>
      <c r="AA1224" s="118"/>
      <c r="AB1224" s="118" t="str">
        <f t="shared" si="876"/>
        <v/>
      </c>
      <c r="AC1224" s="712" t="str">
        <f>IF(AE1224="T2G","no charge",IF(AND(OR(PlanterYesMe="No",PlanterYesMe="N",PlanterYesMe="me"),H1224=""),"",IF(H1224="credit","NO install",IF(AND(K1224="",AE1224="me"),"EACH row",IF(AND(K1224="images",AE1224="me"),"EACH row",IF(D1224="","",IF(H1224="credit","",IF(AE1224="free","re-planting",IF(AE1224="me","   not ELP, by",IF(AND(OR(PlanterYesMe="Yes",PlanterYesMe="Y"),G1224&gt;0),(VLOOKUP(A1224,'Discount Lookup'!J:K,2)*G1224*(1-PlanterDiscount)*(1+PlanterDifficultyPercentage)),IF(AE1224="ELP",(VLOOKUP(A1224,'Discount Lookup'!J:K,2)*G1224*(1-PlanterDiscount)*(1+PlanterDifficultyPercentage)),IF(AE1224="free","re-planting",IF(G1224=0,"",IF(PlanterYesMe="",IF(AE1224="me","   not ELP, by",IF(AE1224="",IF(G1224&gt;0,(VLOOKUP(A1224,'Discount Lookup'!J:K,2)*G1224*(1-PlanterDiscount)*(1+PlanterDifficultyPercentage)),""),"")),"   not ELP, by"))))))))))))))</f>
        <v/>
      </c>
      <c r="AD1224" s="712"/>
      <c r="AE1224" s="513" t="str">
        <f t="shared" si="877"/>
        <v/>
      </c>
      <c r="AF1224" s="713" t="str">
        <f t="shared" si="878"/>
        <v/>
      </c>
      <c r="AG1224" s="713"/>
      <c r="AH1224" s="713"/>
      <c r="AI1224" s="112">
        <f>IF(H1224="credit",0,IF(AE1224="free",0,IF(AE1224="me",0,IF(G1224&gt;0,(VLOOKUP(A1224,'Discount Lookup'!J:K,2)*G1224),0))))</f>
        <v>0</v>
      </c>
      <c r="AJ1224" s="107" t="str">
        <f t="shared" ca="1" si="879"/>
        <v/>
      </c>
      <c r="AK1224" s="714" t="str">
        <f t="shared" si="880"/>
        <v/>
      </c>
      <c r="AL1224" s="714"/>
      <c r="AM1224" s="114" t="str">
        <f t="shared" si="881"/>
        <v/>
      </c>
      <c r="AN1224" s="115"/>
      <c r="AO1224" s="116"/>
      <c r="AP1224" s="116"/>
      <c r="AQ1224" s="116"/>
      <c r="AR1224" s="116"/>
      <c r="AS1224" s="116"/>
      <c r="AT1224" s="116"/>
      <c r="AU1224" s="116"/>
      <c r="AV1224" s="78"/>
      <c r="AW1224" s="102"/>
      <c r="AX1224" s="78"/>
      <c r="AY1224" s="78"/>
      <c r="AZ1224" s="78"/>
      <c r="BA1224" s="78"/>
      <c r="BB1224" s="78"/>
      <c r="BC1224" s="78"/>
      <c r="BD1224" s="78"/>
      <c r="BE1224" s="465"/>
      <c r="BF1224" s="165" t="str">
        <f t="shared" si="882"/>
        <v>https://www.google.com/search?tbm=isch&amp;q=10%20G4</v>
      </c>
      <c r="BG1224" s="165" t="str">
        <f t="shared" si="883"/>
        <v>C</v>
      </c>
      <c r="BH1224" s="65"/>
      <c r="BI1224" s="65"/>
      <c r="BJ1224" s="65"/>
      <c r="BK1224" s="65"/>
      <c r="BL1224" s="99"/>
      <c r="BM1224" s="99"/>
      <c r="BN1224" s="99"/>
    </row>
    <row r="1225" spans="1:66" s="51" customFormat="1" ht="15.75" x14ac:dyDescent="0.25">
      <c r="A1225" s="634">
        <v>15</v>
      </c>
      <c r="B1225" s="635" t="s">
        <v>291</v>
      </c>
      <c r="C1225" s="636" t="s">
        <v>4594</v>
      </c>
      <c r="D1225" s="637" t="s">
        <v>299</v>
      </c>
      <c r="E1225" s="638">
        <v>183.95</v>
      </c>
      <c r="F1225" s="639" t="s">
        <v>292</v>
      </c>
      <c r="G1225" s="484">
        <v>0</v>
      </c>
      <c r="H1225" s="691" t="str">
        <f>IF(G1225=0,"",IF(F1225="Buy",IF(G1225=1,"plant","plants"),IF(F1225&gt;0.01,"warranty","Error")))</f>
        <v/>
      </c>
      <c r="I1225" s="640">
        <f>IF(H1225="free",0,IF(H1225="credit",((E1225*(F1225))*G1225*-1),IF(F1225="Buy",(E1225*G1225),((E1225*(1-F1225))*G1225))))</f>
        <v>0</v>
      </c>
      <c r="J1225" s="640">
        <f>IF(H1225="warranty",0,(I1225*(_xlfn.SINGLE(SalesTaxPercentage))))</f>
        <v>0</v>
      </c>
      <c r="K1225" s="716">
        <f t="shared" ref="K1225" si="926">I1225+J1225</f>
        <v>0</v>
      </c>
      <c r="L1225" s="716"/>
      <c r="M1225" s="689" t="str">
        <f ca="1">IF(AND(G1225&gt;0,E1225=0),"WARNING - no PRICE inserted",IF(H1225="free","FREE ~ no charge this plant",IF(H1225="credit",CONCATENATE("-$",ROUND(K1225*(1-_xlfn.SINGLE(T2GDiscount))*-1,2)," CREDIT after discount"),IF(_xlfn.SINGLE(T2GDiscount)=0,"",IF(G1225=0,"",IF(F1225="Buy",CONCATENATE("$",ROUND(K1225*(1-_xlfn.SINGLE(T2GDiscount)),2)," with ",(_xlfn.SINGLE(T2GDiscount)*100),"% discount"),CONCATENATE("$",ROUND(K1225*(1-_xlfn.SINGLE(T2GDiscount)),2)," with ",((_xlfn.SINGLE(T2GDiscount)*100+F1225*100)-(_xlfn.SINGLE(T2GDiscount)*100*F1225)),IF(F1225&gt;0,"% discounts",IF(_xlfn.SINGLE(NoWarrantyDiscount)&gt;0,"% discounts","% discount")))))))))</f>
        <v/>
      </c>
      <c r="N1225" s="690"/>
      <c r="O1225" s="486"/>
      <c r="P1225" s="486"/>
      <c r="Q1225" s="486"/>
      <c r="R1225" s="486"/>
      <c r="S1225" s="486"/>
      <c r="T1225" s="102">
        <f t="shared" si="871"/>
        <v>0</v>
      </c>
      <c r="U1225" s="78">
        <f>IF(NOT(ISNUMBER(G1225)), "", VLOOKUP(A1225,'Discount Lookup'!D:E,2,FALSE)*G1225)</f>
        <v>0</v>
      </c>
      <c r="V1225" s="78">
        <f>IF(NOT(ISNUMBER(G1225)), "", VLOOKUP(A1225,'Discount Lookup'!G:H,2,FALSE)*G1225)</f>
        <v>0</v>
      </c>
      <c r="W1225" s="102">
        <f t="shared" si="872"/>
        <v>0</v>
      </c>
      <c r="X1225" s="102">
        <f t="shared" si="873"/>
        <v>0</v>
      </c>
      <c r="Y1225" s="120" t="b">
        <f t="shared" si="874"/>
        <v>0</v>
      </c>
      <c r="Z1225" s="117">
        <f t="shared" si="875"/>
        <v>0</v>
      </c>
      <c r="AA1225" s="118"/>
      <c r="AB1225" s="118" t="str">
        <f t="shared" si="876"/>
        <v/>
      </c>
      <c r="AC1225" s="712" t="str">
        <f>IF(AE1225="T2G","no charge",IF(AND(OR(PlanterYesMe="No",PlanterYesMe="N",PlanterYesMe="me"),H1225=""),"",IF(H1225="credit","NO install",IF(AND(K1225="",AE1225="me"),"EACH row",IF(AND(K1225="images",AE1225="me"),"EACH row",IF(D1225="","",IF(H1225="credit","",IF(AE1225="free","re-planting",IF(AE1225="me","   not ELP, by",IF(AND(OR(PlanterYesMe="Yes",PlanterYesMe="Y"),G1225&gt;0),(VLOOKUP(A1225,'Discount Lookup'!J:K,2)*G1225*(1-PlanterDiscount)*(1+PlanterDifficultyPercentage)),IF(AE1225="ELP",(VLOOKUP(A1225,'Discount Lookup'!J:K,2)*G1225*(1-PlanterDiscount)*(1+PlanterDifficultyPercentage)),IF(AE1225="free","re-planting",IF(G1225=0,"",IF(PlanterYesMe="",IF(AE1225="me","   not ELP, by",IF(AE1225="",IF(G1225&gt;0,(VLOOKUP(A1225,'Discount Lookup'!J:K,2)*G1225*(1-PlanterDiscount)*(1+PlanterDifficultyPercentage)),""),"")),"   not ELP, by"))))))))))))))</f>
        <v/>
      </c>
      <c r="AD1225" s="712"/>
      <c r="AE1225" s="513" t="str">
        <f t="shared" si="877"/>
        <v/>
      </c>
      <c r="AF1225" s="713" t="str">
        <f t="shared" si="878"/>
        <v/>
      </c>
      <c r="AG1225" s="713"/>
      <c r="AH1225" s="713"/>
      <c r="AI1225" s="112">
        <f>IF(H1225="credit",0,IF(AE1225="free",0,IF(AE1225="me",0,IF(G1225&gt;0,(VLOOKUP(A1225,'Discount Lookup'!J:K,2)*G1225),0))))</f>
        <v>0</v>
      </c>
      <c r="AJ1225" s="107" t="str">
        <f t="shared" ca="1" si="879"/>
        <v/>
      </c>
      <c r="AK1225" s="714" t="str">
        <f t="shared" si="880"/>
        <v/>
      </c>
      <c r="AL1225" s="714"/>
      <c r="AM1225" s="114" t="str">
        <f t="shared" si="881"/>
        <v/>
      </c>
      <c r="AN1225" s="115"/>
      <c r="AO1225" s="116"/>
      <c r="AP1225" s="116"/>
      <c r="AQ1225" s="116"/>
      <c r="AR1225" s="116"/>
      <c r="AS1225" s="116"/>
      <c r="AT1225" s="116"/>
      <c r="AU1225" s="116"/>
      <c r="AV1225" s="78"/>
      <c r="AW1225" s="102"/>
      <c r="AX1225" s="78"/>
      <c r="AY1225" s="78"/>
      <c r="AZ1225" s="78"/>
      <c r="BA1225" s="78"/>
      <c r="BB1225" s="78"/>
      <c r="BC1225" s="78"/>
      <c r="BD1225" s="78"/>
      <c r="BE1225" s="465"/>
      <c r="BF1225" s="165" t="str">
        <f t="shared" si="882"/>
        <v>https://www.google.com/search?tbm=isch&amp;q=15%20G4</v>
      </c>
      <c r="BG1225" s="165" t="str">
        <f t="shared" si="883"/>
        <v>C</v>
      </c>
      <c r="BH1225" s="65"/>
      <c r="BI1225" s="65"/>
      <c r="BJ1225" s="65"/>
      <c r="BK1225" s="65"/>
      <c r="BL1225" s="99"/>
      <c r="BM1225" s="99"/>
      <c r="BN1225" s="99"/>
    </row>
    <row r="1226" spans="1:66" s="51" customFormat="1" ht="15.75" x14ac:dyDescent="0.25">
      <c r="A1226" s="634">
        <v>15</v>
      </c>
      <c r="B1226" s="635" t="s">
        <v>291</v>
      </c>
      <c r="C1226" s="636" t="s">
        <v>2243</v>
      </c>
      <c r="D1226" s="637" t="s">
        <v>293</v>
      </c>
      <c r="E1226" s="638">
        <v>299.95</v>
      </c>
      <c r="F1226" s="639" t="s">
        <v>292</v>
      </c>
      <c r="G1226" s="484">
        <v>0</v>
      </c>
      <c r="H1226" s="691" t="str">
        <f>IF(G1226=0,"",IF(F1226="Buy",IF(G1226=1,"plant","plants"),IF(F1226&gt;0.01,"warranty","Error")))</f>
        <v/>
      </c>
      <c r="I1226" s="640">
        <f>IF(H1226="free",0,IF(H1226="credit",((E1226*(F1226))*G1226*-1),IF(F1226="Buy",(E1226*G1226),((E1226*(1-F1226))*G1226))))</f>
        <v>0</v>
      </c>
      <c r="J1226" s="640">
        <f>IF(H1226="warranty",0,(I1226*(_xlfn.SINGLE(SalesTaxPercentage))))</f>
        <v>0</v>
      </c>
      <c r="K1226" s="716">
        <f t="shared" ref="K1226" si="927">I1226+J1226</f>
        <v>0</v>
      </c>
      <c r="L1226" s="716"/>
      <c r="M1226" s="689" t="str">
        <f ca="1">IF(AND(G1226&gt;0,E1226=0),"WARNING - no PRICE inserted",IF(H1226="free","FREE ~ no charge this plant",IF(H1226="credit",CONCATENATE("-$",ROUND(K1226*(1-_xlfn.SINGLE(T2GDiscount))*-1,2)," CREDIT after discount"),IF(_xlfn.SINGLE(T2GDiscount)=0,"",IF(G1226=0,"",IF(F1226="Buy",CONCATENATE("$",ROUND(K1226*(1-_xlfn.SINGLE(T2GDiscount)),2)," with ",(_xlfn.SINGLE(T2GDiscount)*100),"% discount"),CONCATENATE("$",ROUND(K1226*(1-_xlfn.SINGLE(T2GDiscount)),2)," with ",((_xlfn.SINGLE(T2GDiscount)*100+F1226*100)-(_xlfn.SINGLE(T2GDiscount)*100*F1226)),IF(F1226&gt;0,"% discounts",IF(_xlfn.SINGLE(NoWarrantyDiscount)&gt;0,"% discounts","% discount")))))))))</f>
        <v/>
      </c>
      <c r="N1226" s="690"/>
      <c r="O1226" s="486"/>
      <c r="P1226" s="486"/>
      <c r="Q1226" s="486"/>
      <c r="R1226" s="486"/>
      <c r="S1226" s="486"/>
      <c r="T1226" s="102">
        <f t="shared" si="871"/>
        <v>0</v>
      </c>
      <c r="U1226" s="78">
        <f>IF(NOT(ISNUMBER(G1226)), "", VLOOKUP(A1226,'Discount Lookup'!D:E,2,FALSE)*G1226)</f>
        <v>0</v>
      </c>
      <c r="V1226" s="78">
        <f>IF(NOT(ISNUMBER(G1226)), "", VLOOKUP(A1226,'Discount Lookup'!G:H,2,FALSE)*G1226)</f>
        <v>0</v>
      </c>
      <c r="W1226" s="102">
        <f t="shared" si="872"/>
        <v>0</v>
      </c>
      <c r="X1226" s="102">
        <f t="shared" si="873"/>
        <v>0</v>
      </c>
      <c r="Y1226" s="120" t="b">
        <f t="shared" si="874"/>
        <v>0</v>
      </c>
      <c r="Z1226" s="117">
        <f t="shared" si="875"/>
        <v>0</v>
      </c>
      <c r="AA1226" s="118"/>
      <c r="AB1226" s="118" t="str">
        <f t="shared" si="876"/>
        <v/>
      </c>
      <c r="AC1226" s="712" t="str">
        <f>IF(AE1226="T2G","no charge",IF(AND(OR(PlanterYesMe="No",PlanterYesMe="N",PlanterYesMe="me"),H1226=""),"",IF(H1226="credit","NO install",IF(AND(K1226="",AE1226="me"),"EACH row",IF(AND(K1226="images",AE1226="me"),"EACH row",IF(D1226="","",IF(H1226="credit","",IF(AE1226="free","re-planting",IF(AE1226="me","   not ELP, by",IF(AND(OR(PlanterYesMe="Yes",PlanterYesMe="Y"),G1226&gt;0),(VLOOKUP(A1226,'Discount Lookup'!J:K,2)*G1226*(1-PlanterDiscount)*(1+PlanterDifficultyPercentage)),IF(AE1226="ELP",(VLOOKUP(A1226,'Discount Lookup'!J:K,2)*G1226*(1-PlanterDiscount)*(1+PlanterDifficultyPercentage)),IF(AE1226="free","re-planting",IF(G1226=0,"",IF(PlanterYesMe="",IF(AE1226="me","   not ELP, by",IF(AE1226="",IF(G1226&gt;0,(VLOOKUP(A1226,'Discount Lookup'!J:K,2)*G1226*(1-PlanterDiscount)*(1+PlanterDifficultyPercentage)),""),"")),"   not ELP, by"))))))))))))))</f>
        <v/>
      </c>
      <c r="AD1226" s="712"/>
      <c r="AE1226" s="513" t="str">
        <f t="shared" si="877"/>
        <v/>
      </c>
      <c r="AF1226" s="713" t="str">
        <f t="shared" si="878"/>
        <v/>
      </c>
      <c r="AG1226" s="713"/>
      <c r="AH1226" s="713"/>
      <c r="AI1226" s="112">
        <f>IF(H1226="credit",0,IF(AE1226="free",0,IF(AE1226="me",0,IF(G1226&gt;0,(VLOOKUP(A1226,'Discount Lookup'!J:K,2)*G1226),0))))</f>
        <v>0</v>
      </c>
      <c r="AJ1226" s="107" t="str">
        <f t="shared" ca="1" si="879"/>
        <v/>
      </c>
      <c r="AK1226" s="714" t="str">
        <f t="shared" si="880"/>
        <v/>
      </c>
      <c r="AL1226" s="714"/>
      <c r="AM1226" s="114" t="str">
        <f t="shared" si="881"/>
        <v/>
      </c>
      <c r="AN1226" s="115"/>
      <c r="AO1226" s="116"/>
      <c r="AP1226" s="116"/>
      <c r="AQ1226" s="116"/>
      <c r="AR1226" s="116"/>
      <c r="AS1226" s="116"/>
      <c r="AT1226" s="116"/>
      <c r="AU1226" s="116"/>
      <c r="AV1226" s="78"/>
      <c r="AW1226" s="102"/>
      <c r="AX1226" s="78"/>
      <c r="AY1226" s="78"/>
      <c r="AZ1226" s="78"/>
      <c r="BA1226" s="78"/>
      <c r="BB1226" s="78"/>
      <c r="BC1226" s="78"/>
      <c r="BD1226" s="78"/>
      <c r="BE1226" s="465"/>
      <c r="BF1226" s="165" t="str">
        <f t="shared" si="882"/>
        <v>https://www.google.com/search?tbm=isch&amp;q=15%20G6</v>
      </c>
      <c r="BG1226" s="165" t="str">
        <f t="shared" si="883"/>
        <v>C</v>
      </c>
      <c r="BH1226" s="65"/>
      <c r="BI1226" s="65"/>
      <c r="BJ1226" s="65"/>
      <c r="BK1226" s="65"/>
      <c r="BL1226" s="99"/>
      <c r="BM1226" s="99"/>
      <c r="BN1226" s="99"/>
    </row>
    <row r="1227" spans="1:66" s="51" customFormat="1" ht="17.25" thickBot="1" x14ac:dyDescent="0.3">
      <c r="A1227" s="704" t="s">
        <v>5377</v>
      </c>
      <c r="B1227" s="642"/>
      <c r="C1227" s="710"/>
      <c r="D1227" s="643"/>
      <c r="E1227" s="643"/>
      <c r="F1227" s="644"/>
      <c r="G1227" s="645"/>
      <c r="H1227" s="646"/>
      <c r="I1227" s="647"/>
      <c r="J1227" s="648"/>
      <c r="K1227" s="649"/>
      <c r="L1227" s="650"/>
      <c r="M1227" s="650"/>
      <c r="N1227" s="644"/>
      <c r="O1227" s="644"/>
      <c r="P1227" s="644"/>
      <c r="Q1227" s="644"/>
      <c r="R1227" s="644"/>
      <c r="S1227" s="701" t="s">
        <v>5253</v>
      </c>
      <c r="T1227" s="102">
        <f t="shared" si="871"/>
        <v>0</v>
      </c>
      <c r="U1227" s="78" t="str">
        <f>IF(NOT(ISNUMBER(G1227)), "", VLOOKUP(A1227,'Discount Lookup'!D:E,2,FALSE)*G1227)</f>
        <v/>
      </c>
      <c r="V1227" s="78" t="str">
        <f>IF(NOT(ISNUMBER(G1227)), "", VLOOKUP(A1227,'Discount Lookup'!G:H,2,FALSE)*G1227)</f>
        <v/>
      </c>
      <c r="W1227" s="102">
        <f t="shared" si="872"/>
        <v>0</v>
      </c>
      <c r="X1227" s="102">
        <f t="shared" si="873"/>
        <v>0</v>
      </c>
      <c r="Y1227" s="120" t="b">
        <f t="shared" si="874"/>
        <v>0</v>
      </c>
      <c r="Z1227" s="117">
        <f t="shared" si="875"/>
        <v>0</v>
      </c>
      <c r="AA1227" s="118"/>
      <c r="AB1227" s="118" t="str">
        <f t="shared" si="876"/>
        <v/>
      </c>
      <c r="AC1227" s="712" t="str">
        <f>IF(AE1227="T2G","no charge",IF(AND(OR(PlanterYesMe="No",PlanterYesMe="N",PlanterYesMe="me"),H1227=""),"",IF(H1227="credit","NO install",IF(AND(K1227="",AE1227="me"),"EACH row",IF(AND(K1227="images",AE1227="me"),"EACH row",IF(D1227="","",IF(H1227="credit","",IF(AE1227="free","re-planting",IF(AE1227="me","   not ELP, by",IF(AND(OR(PlanterYesMe="Yes",PlanterYesMe="Y"),G1227&gt;0),(VLOOKUP(A1227,'Discount Lookup'!J:K,2)*G1227*(1-PlanterDiscount)*(1+PlanterDifficultyPercentage)),IF(AE1227="ELP",(VLOOKUP(A1227,'Discount Lookup'!J:K,2)*G1227*(1-PlanterDiscount)*(1+PlanterDifficultyPercentage)),IF(AE1227="free","re-planting",IF(G1227=0,"",IF(PlanterYesMe="",IF(AE1227="me","   not ELP, by",IF(AE1227="",IF(G1227&gt;0,(VLOOKUP(A1227,'Discount Lookup'!J:K,2)*G1227*(1-PlanterDiscount)*(1+PlanterDifficultyPercentage)),""),"")),"   not ELP, by"))))))))))))))</f>
        <v/>
      </c>
      <c r="AD1227" s="712"/>
      <c r="AE1227" s="513" t="str">
        <f t="shared" si="877"/>
        <v/>
      </c>
      <c r="AF1227" s="713" t="str">
        <f t="shared" si="878"/>
        <v/>
      </c>
      <c r="AG1227" s="713"/>
      <c r="AH1227" s="713"/>
      <c r="AI1227" s="112">
        <f>IF(H1227="credit",0,IF(AE1227="free",0,IF(AE1227="me",0,IF(G1227&gt;0,(VLOOKUP(A1227,'Discount Lookup'!J:K,2)*G1227),0))))</f>
        <v>0</v>
      </c>
      <c r="AJ1227" s="107" t="str">
        <f t="shared" ca="1" si="879"/>
        <v/>
      </c>
      <c r="AK1227" s="714" t="str">
        <f t="shared" si="880"/>
        <v/>
      </c>
      <c r="AL1227" s="714"/>
      <c r="AM1227" s="114" t="str">
        <f t="shared" si="881"/>
        <v/>
      </c>
      <c r="AN1227" s="115"/>
      <c r="AO1227" s="116"/>
      <c r="AP1227" s="116"/>
      <c r="AQ1227" s="116"/>
      <c r="AR1227" s="116"/>
      <c r="AS1227" s="116"/>
      <c r="AT1227" s="116"/>
      <c r="AU1227" s="116"/>
      <c r="AV1227" s="78"/>
      <c r="AW1227" s="102"/>
      <c r="AX1227" s="78"/>
      <c r="AY1227" s="78"/>
      <c r="AZ1227" s="78"/>
      <c r="BA1227" s="78"/>
      <c r="BB1227" s="78"/>
      <c r="BC1227" s="78"/>
      <c r="BD1227" s="78"/>
      <c r="BE1227" s="465"/>
      <c r="BF1227" s="165" t="str">
        <f t="shared" si="882"/>
        <v>https://www.google.com/search?tbm=isch&amp;q=moist%20sites%F0%9F%92%A7GOOD%2C%20White%20Fringetree%20blooms%20late%20spring.%20Mild%20fragrance.%20Olive-like%20fruit%20ripens%20late%20summer%20for%20birds%2Fwildlife%20</v>
      </c>
      <c r="BG1227" s="165" t="str">
        <f t="shared" si="883"/>
        <v>m</v>
      </c>
      <c r="BH1227" s="65"/>
      <c r="BI1227" s="65"/>
      <c r="BJ1227" s="65"/>
      <c r="BK1227" s="65"/>
      <c r="BL1227" s="99"/>
      <c r="BM1227" s="99"/>
      <c r="BN1227" s="99"/>
    </row>
    <row r="1228" spans="1:66" s="51" customFormat="1" ht="18" x14ac:dyDescent="0.25">
      <c r="A1228" s="623" t="s">
        <v>2244</v>
      </c>
      <c r="B1228" s="624"/>
      <c r="C1228" s="709"/>
      <c r="D1228" s="625" t="s">
        <v>2245</v>
      </c>
      <c r="E1228" s="626"/>
      <c r="F1228" s="626"/>
      <c r="G1228" s="626"/>
      <c r="H1228" s="622" t="s">
        <v>1174</v>
      </c>
      <c r="I1228" s="627" t="s">
        <v>349</v>
      </c>
      <c r="J1228" s="628"/>
      <c r="K1228" s="628"/>
      <c r="L1228" s="629"/>
      <c r="M1228" s="700" t="s">
        <v>5249</v>
      </c>
      <c r="N1228" s="693" t="str">
        <f>IF(AND(ISTEXT($A1228), ISERROR($A1228+0)), HYPERLINK($BF1228, "Images"), "")</f>
        <v>Images</v>
      </c>
      <c r="O1228" s="695" t="s">
        <v>5264</v>
      </c>
      <c r="P1228" s="630"/>
      <c r="Q1228" s="631"/>
      <c r="R1228" s="632"/>
      <c r="S1228" s="633" t="s">
        <v>294</v>
      </c>
      <c r="T1228" s="102">
        <f t="shared" si="871"/>
        <v>0</v>
      </c>
      <c r="U1228" s="78" t="str">
        <f>IF(NOT(ISNUMBER(G1228)), "", VLOOKUP(A1228,'Discount Lookup'!D:E,2,FALSE)*G1228)</f>
        <v/>
      </c>
      <c r="V1228" s="78" t="str">
        <f>IF(NOT(ISNUMBER(G1228)), "", VLOOKUP(A1228,'Discount Lookup'!G:H,2,FALSE)*G1228)</f>
        <v/>
      </c>
      <c r="W1228" s="102">
        <f t="shared" si="872"/>
        <v>0</v>
      </c>
      <c r="X1228" s="102" t="str">
        <f t="shared" si="873"/>
        <v>White bloom</v>
      </c>
      <c r="Y1228" s="120" t="b">
        <f t="shared" si="874"/>
        <v>0</v>
      </c>
      <c r="Z1228" s="117">
        <f t="shared" si="875"/>
        <v>0</v>
      </c>
      <c r="AA1228" s="118"/>
      <c r="AB1228" s="118" t="str">
        <f t="shared" si="876"/>
        <v/>
      </c>
      <c r="AC1228" s="712" t="str">
        <f>IF(AE1228="T2G","no charge",IF(AND(OR(PlanterYesMe="No",PlanterYesMe="N",PlanterYesMe="me"),H1228=""),"",IF(H1228="credit","NO install",IF(AND(K1228="",AE1228="me"),"EACH row",IF(AND(K1228="images",AE1228="me"),"EACH row",IF(D1228="","",IF(H1228="credit","",IF(AE1228="free","re-planting",IF(AE1228="me","   not ELP, by",IF(AND(OR(PlanterYesMe="Yes",PlanterYesMe="Y"),G1228&gt;0),(VLOOKUP(A1228,'Discount Lookup'!J:K,2)*G1228*(1-PlanterDiscount)*(1+PlanterDifficultyPercentage)),IF(AE1228="ELP",(VLOOKUP(A1228,'Discount Lookup'!J:K,2)*G1228*(1-PlanterDiscount)*(1+PlanterDifficultyPercentage)),IF(AE1228="free","re-planting",IF(G1228=0,"",IF(PlanterYesMe="",IF(AE1228="me","   not ELP, by",IF(AE1228="",IF(G1228&gt;0,(VLOOKUP(A1228,'Discount Lookup'!J:K,2)*G1228*(1-PlanterDiscount)*(1+PlanterDifficultyPercentage)),""),"")),"   not ELP, by"))))))))))))))</f>
        <v/>
      </c>
      <c r="AD1228" s="712"/>
      <c r="AE1228" s="513" t="str">
        <f t="shared" si="877"/>
        <v/>
      </c>
      <c r="AF1228" s="713" t="str">
        <f t="shared" si="878"/>
        <v/>
      </c>
      <c r="AG1228" s="713"/>
      <c r="AH1228" s="713"/>
      <c r="AI1228" s="112">
        <f>IF(H1228="credit",0,IF(AE1228="free",0,IF(AE1228="me",0,IF(G1228&gt;0,(VLOOKUP(A1228,'Discount Lookup'!J:K,2)*G1228),0))))</f>
        <v>0</v>
      </c>
      <c r="AJ1228" s="107" t="str">
        <f t="shared" ca="1" si="879"/>
        <v/>
      </c>
      <c r="AK1228" s="714" t="str">
        <f t="shared" si="880"/>
        <v/>
      </c>
      <c r="AL1228" s="714"/>
      <c r="AM1228" s="114" t="str">
        <f t="shared" si="881"/>
        <v/>
      </c>
      <c r="AN1228" s="115"/>
      <c r="AO1228" s="116"/>
      <c r="AP1228" s="116"/>
      <c r="AQ1228" s="116"/>
      <c r="AR1228" s="116"/>
      <c r="AS1228" s="116"/>
      <c r="AT1228" s="116"/>
      <c r="AU1228" s="116"/>
      <c r="AV1228" s="78"/>
      <c r="AW1228" s="102"/>
      <c r="AX1228" s="78"/>
      <c r="AY1228" s="78"/>
      <c r="AZ1228" s="78"/>
      <c r="BA1228" s="78"/>
      <c r="BB1228" s="78"/>
      <c r="BC1228" s="78"/>
      <c r="BD1228" s="78"/>
      <c r="BE1228" s="465"/>
      <c r="BF1228" s="165" t="str">
        <f t="shared" si="882"/>
        <v>https://www.google.com/search?tbm=isch&amp;q=Chionanthus%20virginicus%20%27Spring%20Fleecing%27%20Spring%20Fleecing%20White%20Fringetree</v>
      </c>
      <c r="BG1228" s="165" t="str">
        <f t="shared" si="883"/>
        <v>C</v>
      </c>
      <c r="BH1228" s="65"/>
      <c r="BI1228" s="65"/>
      <c r="BJ1228" s="65"/>
      <c r="BK1228" s="65"/>
      <c r="BL1228" s="99"/>
      <c r="BM1228" s="99"/>
      <c r="BN1228" s="99"/>
    </row>
    <row r="1229" spans="1:66" s="51" customFormat="1" ht="15.75" x14ac:dyDescent="0.25">
      <c r="A1229" s="634">
        <v>7</v>
      </c>
      <c r="B1229" s="635" t="s">
        <v>291</v>
      </c>
      <c r="C1229" s="636" t="s">
        <v>4595</v>
      </c>
      <c r="D1229" s="637" t="s">
        <v>299</v>
      </c>
      <c r="E1229" s="638">
        <v>111.95</v>
      </c>
      <c r="F1229" s="639" t="s">
        <v>292</v>
      </c>
      <c r="G1229" s="484">
        <v>0</v>
      </c>
      <c r="H1229" s="691" t="str">
        <f>IF(G1229=0,"",IF(F1229="Buy",IF(G1229=1,"plant","plants"),IF(F1229&gt;0.01,"warranty","Error")))</f>
        <v/>
      </c>
      <c r="I1229" s="640">
        <f>IF(H1229="free",0,IF(H1229="credit",((E1229*(F1229))*G1229*-1),IF(F1229="Buy",(E1229*G1229),((E1229*(1-F1229))*G1229))))</f>
        <v>0</v>
      </c>
      <c r="J1229" s="640">
        <f>IF(H1229="warranty",0,(I1229*(_xlfn.SINGLE(SalesTaxPercentage))))</f>
        <v>0</v>
      </c>
      <c r="K1229" s="716">
        <f t="shared" ref="K1229" si="928">I1229+J1229</f>
        <v>0</v>
      </c>
      <c r="L1229" s="716"/>
      <c r="M1229" s="689" t="str">
        <f ca="1">IF(AND(G1229&gt;0,E1229=0),"WARNING - no PRICE inserted",IF(H1229="free","FREE ~ no charge this plant",IF(H1229="credit",CONCATENATE("-$",ROUND(K1229*(1-_xlfn.SINGLE(T2GDiscount))*-1,2)," CREDIT after discount"),IF(_xlfn.SINGLE(T2GDiscount)=0,"",IF(G1229=0,"",IF(F1229="Buy",CONCATENATE("$",ROUND(K1229*(1-_xlfn.SINGLE(T2GDiscount)),2)," with ",(_xlfn.SINGLE(T2GDiscount)*100),"% discount"),CONCATENATE("$",ROUND(K1229*(1-_xlfn.SINGLE(T2GDiscount)),2)," with ",((_xlfn.SINGLE(T2GDiscount)*100+F1229*100)-(_xlfn.SINGLE(T2GDiscount)*100*F1229)),IF(F1229&gt;0,"% discounts",IF(_xlfn.SINGLE(NoWarrantyDiscount)&gt;0,"% discounts","% discount")))))))))</f>
        <v/>
      </c>
      <c r="N1229" s="690"/>
      <c r="O1229" s="486"/>
      <c r="P1229" s="486"/>
      <c r="Q1229" s="486"/>
      <c r="R1229" s="486"/>
      <c r="S1229" s="486"/>
      <c r="T1229" s="102">
        <f t="shared" si="871"/>
        <v>0</v>
      </c>
      <c r="U1229" s="78">
        <f>IF(NOT(ISNUMBER(G1229)), "", VLOOKUP(A1229,'Discount Lookup'!D:E,2,FALSE)*G1229)</f>
        <v>0</v>
      </c>
      <c r="V1229" s="78">
        <f>IF(NOT(ISNUMBER(G1229)), "", VLOOKUP(A1229,'Discount Lookup'!G:H,2,FALSE)*G1229)</f>
        <v>0</v>
      </c>
      <c r="W1229" s="102">
        <f t="shared" si="872"/>
        <v>0</v>
      </c>
      <c r="X1229" s="102">
        <f t="shared" si="873"/>
        <v>0</v>
      </c>
      <c r="Y1229" s="120" t="b">
        <f t="shared" si="874"/>
        <v>0</v>
      </c>
      <c r="Z1229" s="117">
        <f t="shared" si="875"/>
        <v>0</v>
      </c>
      <c r="AA1229" s="118"/>
      <c r="AB1229" s="118" t="str">
        <f t="shared" si="876"/>
        <v/>
      </c>
      <c r="AC1229" s="712" t="str">
        <f>IF(AE1229="T2G","no charge",IF(AND(OR(PlanterYesMe="No",PlanterYesMe="N",PlanterYesMe="me"),H1229=""),"",IF(H1229="credit","NO install",IF(AND(K1229="",AE1229="me"),"EACH row",IF(AND(K1229="images",AE1229="me"),"EACH row",IF(D1229="","",IF(H1229="credit","",IF(AE1229="free","re-planting",IF(AE1229="me","   not ELP, by",IF(AND(OR(PlanterYesMe="Yes",PlanterYesMe="Y"),G1229&gt;0),(VLOOKUP(A1229,'Discount Lookup'!J:K,2)*G1229*(1-PlanterDiscount)*(1+PlanterDifficultyPercentage)),IF(AE1229="ELP",(VLOOKUP(A1229,'Discount Lookup'!J:K,2)*G1229*(1-PlanterDiscount)*(1+PlanterDifficultyPercentage)),IF(AE1229="free","re-planting",IF(G1229=0,"",IF(PlanterYesMe="",IF(AE1229="me","   not ELP, by",IF(AE1229="",IF(G1229&gt;0,(VLOOKUP(A1229,'Discount Lookup'!J:K,2)*G1229*(1-PlanterDiscount)*(1+PlanterDifficultyPercentage)),""),"")),"   not ELP, by"))))))))))))))</f>
        <v/>
      </c>
      <c r="AD1229" s="712"/>
      <c r="AE1229" s="513" t="str">
        <f t="shared" si="877"/>
        <v/>
      </c>
      <c r="AF1229" s="713" t="str">
        <f t="shared" si="878"/>
        <v/>
      </c>
      <c r="AG1229" s="713"/>
      <c r="AH1229" s="713"/>
      <c r="AI1229" s="112">
        <f>IF(H1229="credit",0,IF(AE1229="free",0,IF(AE1229="me",0,IF(G1229&gt;0,(VLOOKUP(A1229,'Discount Lookup'!J:K,2)*G1229),0))))</f>
        <v>0</v>
      </c>
      <c r="AJ1229" s="107" t="str">
        <f t="shared" ca="1" si="879"/>
        <v/>
      </c>
      <c r="AK1229" s="714" t="str">
        <f t="shared" si="880"/>
        <v/>
      </c>
      <c r="AL1229" s="714"/>
      <c r="AM1229" s="114" t="str">
        <f t="shared" si="881"/>
        <v/>
      </c>
      <c r="AN1229" s="115"/>
      <c r="AO1229" s="116"/>
      <c r="AP1229" s="116"/>
      <c r="AQ1229" s="116"/>
      <c r="AR1229" s="116"/>
      <c r="AS1229" s="116"/>
      <c r="AT1229" s="116"/>
      <c r="AU1229" s="116"/>
      <c r="AV1229" s="78"/>
      <c r="AW1229" s="102"/>
      <c r="AX1229" s="78"/>
      <c r="AY1229" s="78"/>
      <c r="AZ1229" s="78"/>
      <c r="BA1229" s="78"/>
      <c r="BB1229" s="78"/>
      <c r="BC1229" s="78"/>
      <c r="BD1229" s="78"/>
      <c r="BE1229" s="465"/>
      <c r="BF1229" s="165" t="str">
        <f t="shared" si="882"/>
        <v>https://www.google.com/search?tbm=isch&amp;q=7%20G4</v>
      </c>
      <c r="BG1229" s="165" t="str">
        <f t="shared" si="883"/>
        <v>C</v>
      </c>
      <c r="BH1229" s="65"/>
      <c r="BI1229" s="65"/>
      <c r="BJ1229" s="65"/>
      <c r="BK1229" s="65"/>
      <c r="BL1229" s="99"/>
      <c r="BM1229" s="99"/>
      <c r="BN1229" s="99"/>
    </row>
    <row r="1230" spans="1:66" s="51" customFormat="1" ht="15.75" x14ac:dyDescent="0.25">
      <c r="A1230" s="634">
        <v>7</v>
      </c>
      <c r="B1230" s="635" t="s">
        <v>291</v>
      </c>
      <c r="C1230" s="636" t="s">
        <v>4596</v>
      </c>
      <c r="D1230" s="637" t="s">
        <v>311</v>
      </c>
      <c r="E1230" s="638">
        <v>148.94999999999999</v>
      </c>
      <c r="F1230" s="639" t="s">
        <v>292</v>
      </c>
      <c r="G1230" s="484">
        <v>0</v>
      </c>
      <c r="H1230" s="691" t="str">
        <f>IF(G1230=0,"",IF(F1230="Buy",IF(G1230=1,"plant","plants"),IF(F1230&gt;0.01,"warranty","Error")))</f>
        <v/>
      </c>
      <c r="I1230" s="640">
        <f>IF(H1230="free",0,IF(H1230="credit",((E1230*(F1230))*G1230*-1),IF(F1230="Buy",(E1230*G1230),((E1230*(1-F1230))*G1230))))</f>
        <v>0</v>
      </c>
      <c r="J1230" s="640">
        <f>IF(H1230="warranty",0,(I1230*(_xlfn.SINGLE(SalesTaxPercentage))))</f>
        <v>0</v>
      </c>
      <c r="K1230" s="716">
        <f t="shared" ref="K1230" si="929">I1230+J1230</f>
        <v>0</v>
      </c>
      <c r="L1230" s="716"/>
      <c r="M1230" s="689" t="str">
        <f ca="1">IF(AND(G1230&gt;0,E1230=0),"WARNING - no PRICE inserted",IF(H1230="free","FREE ~ no charge this plant",IF(H1230="credit",CONCATENATE("-$",ROUND(K1230*(1-_xlfn.SINGLE(T2GDiscount))*-1,2)," CREDIT after discount"),IF(_xlfn.SINGLE(T2GDiscount)=0,"",IF(G1230=0,"",IF(F1230="Buy",CONCATENATE("$",ROUND(K1230*(1-_xlfn.SINGLE(T2GDiscount)),2)," with ",(_xlfn.SINGLE(T2GDiscount)*100),"% discount"),CONCATENATE("$",ROUND(K1230*(1-_xlfn.SINGLE(T2GDiscount)),2)," with ",((_xlfn.SINGLE(T2GDiscount)*100+F1230*100)-(_xlfn.SINGLE(T2GDiscount)*100*F1230)),IF(F1230&gt;0,"% discounts",IF(_xlfn.SINGLE(NoWarrantyDiscount)&gt;0,"% discounts","% discount")))))))))</f>
        <v/>
      </c>
      <c r="N1230" s="690"/>
      <c r="O1230" s="486"/>
      <c r="P1230" s="486"/>
      <c r="Q1230" s="486"/>
      <c r="R1230" s="486"/>
      <c r="S1230" s="486"/>
      <c r="T1230" s="102">
        <f t="shared" si="871"/>
        <v>0</v>
      </c>
      <c r="U1230" s="78">
        <f>IF(NOT(ISNUMBER(G1230)), "", VLOOKUP(A1230,'Discount Lookup'!D:E,2,FALSE)*G1230)</f>
        <v>0</v>
      </c>
      <c r="V1230" s="78">
        <f>IF(NOT(ISNUMBER(G1230)), "", VLOOKUP(A1230,'Discount Lookup'!G:H,2,FALSE)*G1230)</f>
        <v>0</v>
      </c>
      <c r="W1230" s="102">
        <f t="shared" si="872"/>
        <v>0</v>
      </c>
      <c r="X1230" s="102">
        <f t="shared" si="873"/>
        <v>0</v>
      </c>
      <c r="Y1230" s="120" t="b">
        <f t="shared" si="874"/>
        <v>0</v>
      </c>
      <c r="Z1230" s="117">
        <f t="shared" si="875"/>
        <v>0</v>
      </c>
      <c r="AA1230" s="118"/>
      <c r="AB1230" s="118" t="str">
        <f t="shared" si="876"/>
        <v/>
      </c>
      <c r="AC1230" s="712" t="str">
        <f>IF(AE1230="T2G","no charge",IF(AND(OR(PlanterYesMe="No",PlanterYesMe="N",PlanterYesMe="me"),H1230=""),"",IF(H1230="credit","NO install",IF(AND(K1230="",AE1230="me"),"EACH row",IF(AND(K1230="images",AE1230="me"),"EACH row",IF(D1230="","",IF(H1230="credit","",IF(AE1230="free","re-planting",IF(AE1230="me","   not ELP, by",IF(AND(OR(PlanterYesMe="Yes",PlanterYesMe="Y"),G1230&gt;0),(VLOOKUP(A1230,'Discount Lookup'!J:K,2)*G1230*(1-PlanterDiscount)*(1+PlanterDifficultyPercentage)),IF(AE1230="ELP",(VLOOKUP(A1230,'Discount Lookup'!J:K,2)*G1230*(1-PlanterDiscount)*(1+PlanterDifficultyPercentage)),IF(AE1230="free","re-planting",IF(G1230=0,"",IF(PlanterYesMe="",IF(AE1230="me","   not ELP, by",IF(AE1230="",IF(G1230&gt;0,(VLOOKUP(A1230,'Discount Lookup'!J:K,2)*G1230*(1-PlanterDiscount)*(1+PlanterDifficultyPercentage)),""),"")),"   not ELP, by"))))))))))))))</f>
        <v/>
      </c>
      <c r="AD1230" s="712"/>
      <c r="AE1230" s="513" t="str">
        <f t="shared" si="877"/>
        <v/>
      </c>
      <c r="AF1230" s="713" t="str">
        <f t="shared" si="878"/>
        <v/>
      </c>
      <c r="AG1230" s="713"/>
      <c r="AH1230" s="713"/>
      <c r="AI1230" s="112">
        <f>IF(H1230="credit",0,IF(AE1230="free",0,IF(AE1230="me",0,IF(G1230&gt;0,(VLOOKUP(A1230,'Discount Lookup'!J:K,2)*G1230),0))))</f>
        <v>0</v>
      </c>
      <c r="AJ1230" s="107" t="str">
        <f t="shared" ca="1" si="879"/>
        <v/>
      </c>
      <c r="AK1230" s="714" t="str">
        <f t="shared" si="880"/>
        <v/>
      </c>
      <c r="AL1230" s="714"/>
      <c r="AM1230" s="114" t="str">
        <f t="shared" si="881"/>
        <v/>
      </c>
      <c r="AN1230" s="115"/>
      <c r="AO1230" s="116"/>
      <c r="AP1230" s="116"/>
      <c r="AQ1230" s="116"/>
      <c r="AR1230" s="116"/>
      <c r="AS1230" s="116"/>
      <c r="AT1230" s="116"/>
      <c r="AU1230" s="116"/>
      <c r="AV1230" s="78"/>
      <c r="AW1230" s="102"/>
      <c r="AX1230" s="78"/>
      <c r="AY1230" s="78"/>
      <c r="AZ1230" s="78"/>
      <c r="BA1230" s="78"/>
      <c r="BB1230" s="78"/>
      <c r="BC1230" s="78"/>
      <c r="BD1230" s="78"/>
      <c r="BE1230" s="465"/>
      <c r="BF1230" s="165" t="str">
        <f t="shared" si="882"/>
        <v>https://www.google.com/search?tbm=isch&amp;q=7%20G5</v>
      </c>
      <c r="BG1230" s="165" t="str">
        <f t="shared" si="883"/>
        <v>C</v>
      </c>
      <c r="BH1230" s="65"/>
      <c r="BI1230" s="65"/>
      <c r="BJ1230" s="65"/>
      <c r="BK1230" s="65"/>
      <c r="BL1230" s="99"/>
      <c r="BM1230" s="99"/>
      <c r="BN1230" s="99"/>
    </row>
    <row r="1231" spans="1:66" s="51" customFormat="1" ht="15.75" x14ac:dyDescent="0.25">
      <c r="A1231" s="634">
        <v>15</v>
      </c>
      <c r="B1231" s="635" t="s">
        <v>291</v>
      </c>
      <c r="C1231" s="636" t="s">
        <v>2246</v>
      </c>
      <c r="D1231" s="637" t="s">
        <v>293</v>
      </c>
      <c r="E1231" s="638">
        <v>299.95</v>
      </c>
      <c r="F1231" s="639" t="s">
        <v>292</v>
      </c>
      <c r="G1231" s="484">
        <v>0</v>
      </c>
      <c r="H1231" s="691" t="str">
        <f>IF(G1231=0,"",IF(F1231="Buy",IF(G1231=1,"plant","plants"),IF(F1231&gt;0.01,"warranty","Error")))</f>
        <v/>
      </c>
      <c r="I1231" s="640">
        <f>IF(H1231="free",0,IF(H1231="credit",((E1231*(F1231))*G1231*-1),IF(F1231="Buy",(E1231*G1231),((E1231*(1-F1231))*G1231))))</f>
        <v>0</v>
      </c>
      <c r="J1231" s="640">
        <f>IF(H1231="warranty",0,(I1231*(_xlfn.SINGLE(SalesTaxPercentage))))</f>
        <v>0</v>
      </c>
      <c r="K1231" s="716">
        <f t="shared" ref="K1231" si="930">I1231+J1231</f>
        <v>0</v>
      </c>
      <c r="L1231" s="716"/>
      <c r="M1231" s="689" t="str">
        <f ca="1">IF(AND(G1231&gt;0,E1231=0),"WARNING - no PRICE inserted",IF(H1231="free","FREE ~ no charge this plant",IF(H1231="credit",CONCATENATE("-$",ROUND(K1231*(1-_xlfn.SINGLE(T2GDiscount))*-1,2)," CREDIT after discount"),IF(_xlfn.SINGLE(T2GDiscount)=0,"",IF(G1231=0,"",IF(F1231="Buy",CONCATENATE("$",ROUND(K1231*(1-_xlfn.SINGLE(T2GDiscount)),2)," with ",(_xlfn.SINGLE(T2GDiscount)*100),"% discount"),CONCATENATE("$",ROUND(K1231*(1-_xlfn.SINGLE(T2GDiscount)),2)," with ",((_xlfn.SINGLE(T2GDiscount)*100+F1231*100)-(_xlfn.SINGLE(T2GDiscount)*100*F1231)),IF(F1231&gt;0,"% discounts",IF(_xlfn.SINGLE(NoWarrantyDiscount)&gt;0,"% discounts","% discount")))))))))</f>
        <v/>
      </c>
      <c r="N1231" s="690"/>
      <c r="O1231" s="486"/>
      <c r="P1231" s="486"/>
      <c r="Q1231" s="486"/>
      <c r="R1231" s="486"/>
      <c r="S1231" s="486"/>
      <c r="T1231" s="102">
        <f t="shared" si="871"/>
        <v>0</v>
      </c>
      <c r="U1231" s="78">
        <f>IF(NOT(ISNUMBER(G1231)), "", VLOOKUP(A1231,'Discount Lookup'!D:E,2,FALSE)*G1231)</f>
        <v>0</v>
      </c>
      <c r="V1231" s="78">
        <f>IF(NOT(ISNUMBER(G1231)), "", VLOOKUP(A1231,'Discount Lookup'!G:H,2,FALSE)*G1231)</f>
        <v>0</v>
      </c>
      <c r="W1231" s="102">
        <f t="shared" si="872"/>
        <v>0</v>
      </c>
      <c r="X1231" s="102">
        <f t="shared" si="873"/>
        <v>0</v>
      </c>
      <c r="Y1231" s="120" t="b">
        <f t="shared" si="874"/>
        <v>0</v>
      </c>
      <c r="Z1231" s="117">
        <f t="shared" si="875"/>
        <v>0</v>
      </c>
      <c r="AA1231" s="118"/>
      <c r="AB1231" s="118" t="str">
        <f t="shared" si="876"/>
        <v/>
      </c>
      <c r="AC1231" s="712" t="str">
        <f>IF(AE1231="T2G","no charge",IF(AND(OR(PlanterYesMe="No",PlanterYesMe="N",PlanterYesMe="me"),H1231=""),"",IF(H1231="credit","NO install",IF(AND(K1231="",AE1231="me"),"EACH row",IF(AND(K1231="images",AE1231="me"),"EACH row",IF(D1231="","",IF(H1231="credit","",IF(AE1231="free","re-planting",IF(AE1231="me","   not ELP, by",IF(AND(OR(PlanterYesMe="Yes",PlanterYesMe="Y"),G1231&gt;0),(VLOOKUP(A1231,'Discount Lookup'!J:K,2)*G1231*(1-PlanterDiscount)*(1+PlanterDifficultyPercentage)),IF(AE1231="ELP",(VLOOKUP(A1231,'Discount Lookup'!J:K,2)*G1231*(1-PlanterDiscount)*(1+PlanterDifficultyPercentage)),IF(AE1231="free","re-planting",IF(G1231=0,"",IF(PlanterYesMe="",IF(AE1231="me","   not ELP, by",IF(AE1231="",IF(G1231&gt;0,(VLOOKUP(A1231,'Discount Lookup'!J:K,2)*G1231*(1-PlanterDiscount)*(1+PlanterDifficultyPercentage)),""),"")),"   not ELP, by"))))))))))))))</f>
        <v/>
      </c>
      <c r="AD1231" s="712"/>
      <c r="AE1231" s="513" t="str">
        <f t="shared" si="877"/>
        <v/>
      </c>
      <c r="AF1231" s="713" t="str">
        <f t="shared" si="878"/>
        <v/>
      </c>
      <c r="AG1231" s="713"/>
      <c r="AH1231" s="713"/>
      <c r="AI1231" s="112">
        <f>IF(H1231="credit",0,IF(AE1231="free",0,IF(AE1231="me",0,IF(G1231&gt;0,(VLOOKUP(A1231,'Discount Lookup'!J:K,2)*G1231),0))))</f>
        <v>0</v>
      </c>
      <c r="AJ1231" s="107" t="str">
        <f t="shared" ca="1" si="879"/>
        <v/>
      </c>
      <c r="AK1231" s="714" t="str">
        <f t="shared" si="880"/>
        <v/>
      </c>
      <c r="AL1231" s="714"/>
      <c r="AM1231" s="114" t="str">
        <f t="shared" si="881"/>
        <v/>
      </c>
      <c r="AN1231" s="115"/>
      <c r="AO1231" s="116"/>
      <c r="AP1231" s="116"/>
      <c r="AQ1231" s="116"/>
      <c r="AR1231" s="116"/>
      <c r="AS1231" s="116"/>
      <c r="AT1231" s="116"/>
      <c r="AU1231" s="116"/>
      <c r="AV1231" s="78"/>
      <c r="AW1231" s="102"/>
      <c r="AX1231" s="78"/>
      <c r="AY1231" s="78"/>
      <c r="AZ1231" s="78"/>
      <c r="BA1231" s="78"/>
      <c r="BB1231" s="78"/>
      <c r="BC1231" s="78"/>
      <c r="BD1231" s="78"/>
      <c r="BE1231" s="465"/>
      <c r="BF1231" s="165" t="str">
        <f t="shared" si="882"/>
        <v>https://www.google.com/search?tbm=isch&amp;q=15%20G6</v>
      </c>
      <c r="BG1231" s="165" t="str">
        <f t="shared" si="883"/>
        <v>C</v>
      </c>
      <c r="BH1231" s="65"/>
      <c r="BI1231" s="65"/>
      <c r="BJ1231" s="65"/>
      <c r="BK1231" s="65"/>
      <c r="BL1231" s="99"/>
      <c r="BM1231" s="99"/>
      <c r="BN1231" s="99"/>
    </row>
    <row r="1232" spans="1:66" s="51" customFormat="1" ht="16.5" x14ac:dyDescent="0.25">
      <c r="A1232" s="704" t="s">
        <v>5378</v>
      </c>
      <c r="B1232" s="642"/>
      <c r="C1232" s="710"/>
      <c r="D1232" s="643"/>
      <c r="E1232" s="643"/>
      <c r="F1232" s="644"/>
      <c r="G1232" s="645"/>
      <c r="H1232" s="646"/>
      <c r="I1232" s="647"/>
      <c r="J1232" s="648"/>
      <c r="K1232" s="649"/>
      <c r="L1232" s="650"/>
      <c r="M1232" s="650"/>
      <c r="N1232" s="644"/>
      <c r="O1232" s="644"/>
      <c r="P1232" s="644"/>
      <c r="Q1232" s="644"/>
      <c r="R1232" s="644"/>
      <c r="S1232" s="701" t="s">
        <v>5253</v>
      </c>
      <c r="T1232" s="102">
        <f t="shared" si="871"/>
        <v>0</v>
      </c>
      <c r="U1232" s="78" t="str">
        <f>IF(NOT(ISNUMBER(G1232)), "", VLOOKUP(A1232,'Discount Lookup'!D:E,2,FALSE)*G1232)</f>
        <v/>
      </c>
      <c r="V1232" s="78" t="str">
        <f>IF(NOT(ISNUMBER(G1232)), "", VLOOKUP(A1232,'Discount Lookup'!G:H,2,FALSE)*G1232)</f>
        <v/>
      </c>
      <c r="W1232" s="102">
        <f t="shared" si="872"/>
        <v>0</v>
      </c>
      <c r="X1232" s="102">
        <f t="shared" si="873"/>
        <v>0</v>
      </c>
      <c r="Y1232" s="120" t="b">
        <f t="shared" si="874"/>
        <v>0</v>
      </c>
      <c r="Z1232" s="117">
        <f t="shared" si="875"/>
        <v>0</v>
      </c>
      <c r="AA1232" s="118"/>
      <c r="AB1232" s="118" t="str">
        <f t="shared" si="876"/>
        <v/>
      </c>
      <c r="AC1232" s="712" t="str">
        <f>IF(AE1232="T2G","no charge",IF(AND(OR(PlanterYesMe="No",PlanterYesMe="N",PlanterYesMe="me"),H1232=""),"",IF(H1232="credit","NO install",IF(AND(K1232="",AE1232="me"),"EACH row",IF(AND(K1232="images",AE1232="me"),"EACH row",IF(D1232="","",IF(H1232="credit","",IF(AE1232="free","re-planting",IF(AE1232="me","   not ELP, by",IF(AND(OR(PlanterYesMe="Yes",PlanterYesMe="Y"),G1232&gt;0),(VLOOKUP(A1232,'Discount Lookup'!J:K,2)*G1232*(1-PlanterDiscount)*(1+PlanterDifficultyPercentage)),IF(AE1232="ELP",(VLOOKUP(A1232,'Discount Lookup'!J:K,2)*G1232*(1-PlanterDiscount)*(1+PlanterDifficultyPercentage)),IF(AE1232="free","re-planting",IF(G1232=0,"",IF(PlanterYesMe="",IF(AE1232="me","   not ELP, by",IF(AE1232="",IF(G1232&gt;0,(VLOOKUP(A1232,'Discount Lookup'!J:K,2)*G1232*(1-PlanterDiscount)*(1+PlanterDifficultyPercentage)),""),"")),"   not ELP, by"))))))))))))))</f>
        <v/>
      </c>
      <c r="AD1232" s="712"/>
      <c r="AE1232" s="513" t="str">
        <f t="shared" si="877"/>
        <v/>
      </c>
      <c r="AF1232" s="713" t="str">
        <f t="shared" si="878"/>
        <v/>
      </c>
      <c r="AG1232" s="713"/>
      <c r="AH1232" s="713"/>
      <c r="AI1232" s="112">
        <f>IF(H1232="credit",0,IF(AE1232="free",0,IF(AE1232="me",0,IF(G1232&gt;0,(VLOOKUP(A1232,'Discount Lookup'!J:K,2)*G1232),0))))</f>
        <v>0</v>
      </c>
      <c r="AJ1232" s="107" t="str">
        <f t="shared" ca="1" si="879"/>
        <v/>
      </c>
      <c r="AK1232" s="714" t="str">
        <f t="shared" si="880"/>
        <v/>
      </c>
      <c r="AL1232" s="714"/>
      <c r="AM1232" s="114" t="str">
        <f t="shared" si="881"/>
        <v/>
      </c>
      <c r="AN1232" s="115"/>
      <c r="AO1232" s="116"/>
      <c r="AP1232" s="116"/>
      <c r="AQ1232" s="116"/>
      <c r="AR1232" s="116"/>
      <c r="AS1232" s="116"/>
      <c r="AT1232" s="116"/>
      <c r="AU1232" s="116"/>
      <c r="AV1232" s="78"/>
      <c r="AW1232" s="102"/>
      <c r="AX1232" s="78"/>
      <c r="AY1232" s="78"/>
      <c r="AZ1232" s="78"/>
      <c r="BA1232" s="78"/>
      <c r="BB1232" s="78"/>
      <c r="BC1232" s="78"/>
      <c r="BD1232" s="78"/>
      <c r="BE1232" s="465"/>
      <c r="BF1232" s="165" t="str">
        <f t="shared" si="882"/>
        <v>https://www.google.com/search?tbm=isch&amp;q=moist%20sites%F0%9F%92%A7GOOD%2C%20Spring%20Fleecing%20boasts%20heavy%20bloom%20of%20large%2C%20fragrant%2C%20lacy%20flowers.%20Male-only%2C%20so%20no%20messy%20fruit%20</v>
      </c>
      <c r="BG1232" s="165" t="str">
        <f t="shared" si="883"/>
        <v>m</v>
      </c>
      <c r="BH1232" s="65"/>
      <c r="BI1232" s="65"/>
      <c r="BJ1232" s="65"/>
      <c r="BK1232" s="65"/>
      <c r="BL1232" s="99"/>
      <c r="BM1232" s="99"/>
      <c r="BN1232" s="99"/>
    </row>
    <row r="1233" spans="1:66" s="51" customFormat="1" ht="19.5" thickBot="1" x14ac:dyDescent="0.3">
      <c r="A1233" s="686" t="s">
        <v>395</v>
      </c>
      <c r="B1233" s="73"/>
      <c r="C1233" s="708"/>
      <c r="D1233" s="73"/>
      <c r="E1233" s="73"/>
      <c r="F1233" s="496"/>
      <c r="G1233" s="73"/>
      <c r="H1233" s="73"/>
      <c r="I1233" s="73"/>
      <c r="J1233" s="497" t="s">
        <v>357</v>
      </c>
      <c r="K1233" s="498"/>
      <c r="L1233" s="562"/>
      <c r="M1233" s="73"/>
      <c r="N1233"/>
      <c r="O1233"/>
      <c r="P1233"/>
      <c r="Q1233"/>
      <c r="R1233"/>
      <c r="S1233"/>
      <c r="T1233" s="102">
        <f t="shared" si="871"/>
        <v>0</v>
      </c>
      <c r="U1233" s="78" t="str">
        <f>IF(NOT(ISNUMBER(G1233)), "", VLOOKUP(A1233,'Discount Lookup'!D:E,2,FALSE)*G1233)</f>
        <v/>
      </c>
      <c r="V1233" s="78" t="str">
        <f>IF(NOT(ISNUMBER(G1233)), "", VLOOKUP(A1233,'Discount Lookup'!G:H,2,FALSE)*G1233)</f>
        <v/>
      </c>
      <c r="W1233" s="102">
        <f t="shared" si="872"/>
        <v>0</v>
      </c>
      <c r="X1233" s="102">
        <f t="shared" si="873"/>
        <v>0</v>
      </c>
      <c r="Y1233" s="120" t="b">
        <f t="shared" si="874"/>
        <v>0</v>
      </c>
      <c r="Z1233" s="117">
        <f t="shared" si="875"/>
        <v>0</v>
      </c>
      <c r="AA1233" s="118"/>
      <c r="AB1233" s="118" t="str">
        <f t="shared" si="876"/>
        <v/>
      </c>
      <c r="AC1233" s="712" t="str">
        <f>IF(AE1233="T2G","no charge",IF(AND(OR(PlanterYesMe="No",PlanterYesMe="N",PlanterYesMe="me"),H1233=""),"",IF(H1233="credit","NO install",IF(AND(K1233="",AE1233="me"),"EACH row",IF(AND(K1233="images",AE1233="me"),"EACH row",IF(D1233="","",IF(H1233="credit","",IF(AE1233="free","re-planting",IF(AE1233="me","   not ELP, by",IF(AND(OR(PlanterYesMe="Yes",PlanterYesMe="Y"),G1233&gt;0),(VLOOKUP(A1233,'Discount Lookup'!J:K,2)*G1233*(1-PlanterDiscount)*(1+PlanterDifficultyPercentage)),IF(AE1233="ELP",(VLOOKUP(A1233,'Discount Lookup'!J:K,2)*G1233*(1-PlanterDiscount)*(1+PlanterDifficultyPercentage)),IF(AE1233="free","re-planting",IF(G1233=0,"",IF(PlanterYesMe="",IF(AE1233="me","   not ELP, by",IF(AE1233="",IF(G1233&gt;0,(VLOOKUP(A1233,'Discount Lookup'!J:K,2)*G1233*(1-PlanterDiscount)*(1+PlanterDifficultyPercentage)),""),"")),"   not ELP, by"))))))))))))))</f>
        <v/>
      </c>
      <c r="AD1233" s="712"/>
      <c r="AE1233" s="513" t="str">
        <f t="shared" si="877"/>
        <v/>
      </c>
      <c r="AF1233" s="713" t="str">
        <f t="shared" si="878"/>
        <v/>
      </c>
      <c r="AG1233" s="713"/>
      <c r="AH1233" s="713"/>
      <c r="AI1233" s="112">
        <f>IF(H1233="credit",0,IF(AE1233="free",0,IF(AE1233="me",0,IF(G1233&gt;0,(VLOOKUP(A1233,'Discount Lookup'!J:K,2)*G1233),0))))</f>
        <v>0</v>
      </c>
      <c r="AJ1233" s="107" t="str">
        <f t="shared" ca="1" si="879"/>
        <v/>
      </c>
      <c r="AK1233" s="714" t="str">
        <f t="shared" si="880"/>
        <v/>
      </c>
      <c r="AL1233" s="714"/>
      <c r="AM1233" s="114" t="str">
        <f t="shared" si="881"/>
        <v/>
      </c>
      <c r="AN1233" s="115"/>
      <c r="AO1233" s="116"/>
      <c r="AP1233" s="116"/>
      <c r="AQ1233" s="116"/>
      <c r="AR1233" s="116"/>
      <c r="AS1233" s="116"/>
      <c r="AT1233" s="116"/>
      <c r="AU1233" s="116"/>
      <c r="AV1233" s="78"/>
      <c r="AW1233" s="102"/>
      <c r="AX1233" s="78"/>
      <c r="AY1233" s="78"/>
      <c r="AZ1233" s="78"/>
      <c r="BA1233" s="78"/>
      <c r="BB1233" s="78"/>
      <c r="BC1233" s="78"/>
      <c r="BD1233" s="78"/>
      <c r="BE1233" s="465"/>
      <c r="BF1233" s="165" t="str">
        <f t="shared" si="882"/>
        <v>https://www.google.com/search?tbm=isch&amp;q=Citrofortunella%20%3D%20Panama%20Orange%20</v>
      </c>
      <c r="BG1233" s="165" t="str">
        <f t="shared" si="883"/>
        <v>C</v>
      </c>
      <c r="BH1233" s="65"/>
      <c r="BI1233" s="65"/>
      <c r="BJ1233" s="65"/>
      <c r="BK1233" s="65"/>
      <c r="BL1233" s="99"/>
      <c r="BM1233" s="99"/>
      <c r="BN1233" s="99"/>
    </row>
    <row r="1234" spans="1:66" s="51" customFormat="1" ht="18" x14ac:dyDescent="0.25">
      <c r="A1234" s="507" t="s">
        <v>2247</v>
      </c>
      <c r="B1234" s="470"/>
      <c r="C1234" s="706"/>
      <c r="D1234" s="471" t="s">
        <v>2248</v>
      </c>
      <c r="E1234" s="472"/>
      <c r="F1234" s="472"/>
      <c r="G1234" s="472"/>
      <c r="H1234" s="622" t="s">
        <v>333</v>
      </c>
      <c r="I1234" s="473" t="s">
        <v>349</v>
      </c>
      <c r="J1234" s="472"/>
      <c r="K1234" s="472"/>
      <c r="L1234" s="561"/>
      <c r="M1234" s="698" t="s">
        <v>5240</v>
      </c>
      <c r="N1234" s="692" t="str">
        <f>IF(AND(ISTEXT($A1234), ISERROR($A1234+0)), HYPERLINK($BF1234, "Images"), "")</f>
        <v>Images</v>
      </c>
      <c r="O1234" s="694" t="s">
        <v>5264</v>
      </c>
      <c r="P1234" s="475"/>
      <c r="Q1234" s="476"/>
      <c r="R1234" s="476"/>
      <c r="S1234" s="477"/>
      <c r="T1234" s="102">
        <f t="shared" si="871"/>
        <v>0</v>
      </c>
      <c r="U1234" s="78" t="str">
        <f>IF(NOT(ISNUMBER(G1234)), "", VLOOKUP(A1234,'Discount Lookup'!D:E,2,FALSE)*G1234)</f>
        <v/>
      </c>
      <c r="V1234" s="78" t="str">
        <f>IF(NOT(ISNUMBER(G1234)), "", VLOOKUP(A1234,'Discount Lookup'!G:H,2,FALSE)*G1234)</f>
        <v/>
      </c>
      <c r="W1234" s="102">
        <f t="shared" si="872"/>
        <v>0</v>
      </c>
      <c r="X1234" s="102" t="str">
        <f t="shared" si="873"/>
        <v>White bloom</v>
      </c>
      <c r="Y1234" s="120" t="b">
        <f t="shared" si="874"/>
        <v>0</v>
      </c>
      <c r="Z1234" s="117">
        <f t="shared" si="875"/>
        <v>0</v>
      </c>
      <c r="AA1234" s="118"/>
      <c r="AB1234" s="118" t="str">
        <f t="shared" si="876"/>
        <v/>
      </c>
      <c r="AC1234" s="712" t="str">
        <f>IF(AE1234="T2G","no charge",IF(AND(OR(PlanterYesMe="No",PlanterYesMe="N",PlanterYesMe="me"),H1234=""),"",IF(H1234="credit","NO install",IF(AND(K1234="",AE1234="me"),"EACH row",IF(AND(K1234="images",AE1234="me"),"EACH row",IF(D1234="","",IF(H1234="credit","",IF(AE1234="free","re-planting",IF(AE1234="me","   not ELP, by",IF(AND(OR(PlanterYesMe="Yes",PlanterYesMe="Y"),G1234&gt;0),(VLOOKUP(A1234,'Discount Lookup'!J:K,2)*G1234*(1-PlanterDiscount)*(1+PlanterDifficultyPercentage)),IF(AE1234="ELP",(VLOOKUP(A1234,'Discount Lookup'!J:K,2)*G1234*(1-PlanterDiscount)*(1+PlanterDifficultyPercentage)),IF(AE1234="free","re-planting",IF(G1234=0,"",IF(PlanterYesMe="",IF(AE1234="me","   not ELP, by",IF(AE1234="",IF(G1234&gt;0,(VLOOKUP(A1234,'Discount Lookup'!J:K,2)*G1234*(1-PlanterDiscount)*(1+PlanterDifficultyPercentage)),""),"")),"   not ELP, by"))))))))))))))</f>
        <v/>
      </c>
      <c r="AD1234" s="712"/>
      <c r="AE1234" s="513" t="str">
        <f t="shared" si="877"/>
        <v/>
      </c>
      <c r="AF1234" s="713" t="str">
        <f t="shared" si="878"/>
        <v/>
      </c>
      <c r="AG1234" s="713"/>
      <c r="AH1234" s="713"/>
      <c r="AI1234" s="112">
        <f>IF(H1234="credit",0,IF(AE1234="free",0,IF(AE1234="me",0,IF(G1234&gt;0,(VLOOKUP(A1234,'Discount Lookup'!J:K,2)*G1234),0))))</f>
        <v>0</v>
      </c>
      <c r="AJ1234" s="107" t="str">
        <f t="shared" ca="1" si="879"/>
        <v/>
      </c>
      <c r="AK1234" s="714" t="str">
        <f t="shared" si="880"/>
        <v/>
      </c>
      <c r="AL1234" s="714"/>
      <c r="AM1234" s="114" t="str">
        <f t="shared" si="881"/>
        <v/>
      </c>
      <c r="AN1234" s="115"/>
      <c r="AO1234" s="116"/>
      <c r="AP1234" s="116"/>
      <c r="AQ1234" s="116"/>
      <c r="AR1234" s="116"/>
      <c r="AS1234" s="116"/>
      <c r="AT1234" s="116"/>
      <c r="AU1234" s="116"/>
      <c r="AV1234" s="78"/>
      <c r="AW1234" s="102"/>
      <c r="AX1234" s="78"/>
      <c r="AY1234" s="78"/>
      <c r="AZ1234" s="78"/>
      <c r="BA1234" s="78"/>
      <c r="BB1234" s="78"/>
      <c r="BC1234" s="78"/>
      <c r="BD1234" s="78"/>
      <c r="BE1234" s="465"/>
      <c r="BF1234" s="165" t="str">
        <f t="shared" si="882"/>
        <v>https://www.google.com/search?tbm=isch&amp;q=Citrofortunella%20x%20mitis%20Calamondin%20Orange</v>
      </c>
      <c r="BG1234" s="165" t="str">
        <f t="shared" si="883"/>
        <v>C</v>
      </c>
      <c r="BH1234" s="65"/>
      <c r="BI1234" s="65"/>
      <c r="BJ1234" s="65"/>
      <c r="BK1234" s="65"/>
      <c r="BL1234" s="99"/>
      <c r="BM1234" s="99"/>
      <c r="BN1234" s="99"/>
    </row>
    <row r="1235" spans="1:66" s="51" customFormat="1" ht="15.75" x14ac:dyDescent="0.25">
      <c r="A1235" s="478">
        <v>4</v>
      </c>
      <c r="B1235" s="479" t="s">
        <v>338</v>
      </c>
      <c r="C1235" s="480" t="s">
        <v>1871</v>
      </c>
      <c r="D1235" s="481" t="s">
        <v>329</v>
      </c>
      <c r="E1235" s="482">
        <v>41.95</v>
      </c>
      <c r="F1235" s="483" t="s">
        <v>292</v>
      </c>
      <c r="G1235" s="484">
        <v>0</v>
      </c>
      <c r="H1235" s="688" t="str">
        <f>IF(G1235=0,"",IF(F1235="Buy",IF(G1235=1,"plant","plants"),IF(F1235&gt;0.01,"warranty","Error")))</f>
        <v/>
      </c>
      <c r="I1235" s="485">
        <f>IF(H1235="free",0,IF(H1235="credit",((E1235*(F1235))*G1235*-1),IF(F1235="Buy",(E1235*G1235),((E1235*(1-F1235))*G1235))))</f>
        <v>0</v>
      </c>
      <c r="J1235" s="485">
        <f>IF(H1235="warranty",0,(I1235*(_xlfn.SINGLE(SalesTaxPercentage))))</f>
        <v>0</v>
      </c>
      <c r="K1235" s="715">
        <f t="shared" ref="K1235" si="931">I1235+J1235</f>
        <v>0</v>
      </c>
      <c r="L1235" s="715"/>
      <c r="M1235" s="689" t="str">
        <f ca="1">IF(AND(G1235&gt;0,E1235=0),"WARNING - no PRICE inserted",IF(H1235="free","FREE ~ no charge this plant",IF(H1235="credit",CONCATENATE("-$",ROUND(K1235*(1-_xlfn.SINGLE(T2GDiscount))*-1,2)," CREDIT after discount"),IF(_xlfn.SINGLE(T2GDiscount)=0,"",IF(G1235=0,"",IF(F1235="Buy",CONCATENATE("$",ROUND(K1235*(1-_xlfn.SINGLE(T2GDiscount)),2)," with ",(_xlfn.SINGLE(T2GDiscount)*100),"% discount"),CONCATENATE("$",ROUND(K1235*(1-_xlfn.SINGLE(T2GDiscount)),2)," with ",((_xlfn.SINGLE(T2GDiscount)*100+F1235*100)-(_xlfn.SINGLE(T2GDiscount)*100*F1235)),IF(F1235&gt;0,"% discounts",IF(_xlfn.SINGLE(NoWarrantyDiscount)&gt;0,"% discounts","% discount")))))))))</f>
        <v/>
      </c>
      <c r="N1235" s="690"/>
      <c r="O1235" s="486"/>
      <c r="P1235" s="486"/>
      <c r="Q1235" s="486"/>
      <c r="R1235" s="486"/>
      <c r="S1235" s="486"/>
      <c r="T1235" s="102">
        <f t="shared" si="871"/>
        <v>0</v>
      </c>
      <c r="U1235" s="78">
        <f>IF(NOT(ISNUMBER(G1235)), "", VLOOKUP(A1235,'Discount Lookup'!D:E,2,FALSE)*G1235)</f>
        <v>0</v>
      </c>
      <c r="V1235" s="78">
        <f>IF(NOT(ISNUMBER(G1235)), "", VLOOKUP(A1235,'Discount Lookup'!G:H,2,FALSE)*G1235)</f>
        <v>0</v>
      </c>
      <c r="W1235" s="102">
        <f t="shared" si="872"/>
        <v>0</v>
      </c>
      <c r="X1235" s="102">
        <f t="shared" si="873"/>
        <v>0</v>
      </c>
      <c r="Y1235" s="120" t="b">
        <f t="shared" si="874"/>
        <v>0</v>
      </c>
      <c r="Z1235" s="117">
        <f t="shared" si="875"/>
        <v>0</v>
      </c>
      <c r="AA1235" s="118"/>
      <c r="AB1235" s="118" t="str">
        <f t="shared" si="876"/>
        <v/>
      </c>
      <c r="AC1235" s="712" t="str">
        <f>IF(AE1235="T2G","no charge",IF(AND(OR(PlanterYesMe="No",PlanterYesMe="N",PlanterYesMe="me"),H1235=""),"",IF(H1235="credit","NO install",IF(AND(K1235="",AE1235="me"),"EACH row",IF(AND(K1235="images",AE1235="me"),"EACH row",IF(D1235="","",IF(H1235="credit","",IF(AE1235="free","re-planting",IF(AE1235="me","   not ELP, by",IF(AND(OR(PlanterYesMe="Yes",PlanterYesMe="Y"),G1235&gt;0),(VLOOKUP(A1235,'Discount Lookup'!J:K,2)*G1235*(1-PlanterDiscount)*(1+PlanterDifficultyPercentage)),IF(AE1235="ELP",(VLOOKUP(A1235,'Discount Lookup'!J:K,2)*G1235*(1-PlanterDiscount)*(1+PlanterDifficultyPercentage)),IF(AE1235="free","re-planting",IF(G1235=0,"",IF(PlanterYesMe="",IF(AE1235="me","   not ELP, by",IF(AE1235="",IF(G1235&gt;0,(VLOOKUP(A1235,'Discount Lookup'!J:K,2)*G1235*(1-PlanterDiscount)*(1+PlanterDifficultyPercentage)),""),"")),"   not ELP, by"))))))))))))))</f>
        <v/>
      </c>
      <c r="AD1235" s="712"/>
      <c r="AE1235" s="513" t="str">
        <f t="shared" si="877"/>
        <v/>
      </c>
      <c r="AF1235" s="713" t="str">
        <f t="shared" si="878"/>
        <v/>
      </c>
      <c r="AG1235" s="713"/>
      <c r="AH1235" s="713"/>
      <c r="AI1235" s="112">
        <f>IF(H1235="credit",0,IF(AE1235="free",0,IF(AE1235="me",0,IF(G1235&gt;0,(VLOOKUP(A1235,'Discount Lookup'!J:K,2)*G1235),0))))</f>
        <v>0</v>
      </c>
      <c r="AJ1235" s="107" t="str">
        <f t="shared" ca="1" si="879"/>
        <v/>
      </c>
      <c r="AK1235" s="714" t="str">
        <f t="shared" si="880"/>
        <v/>
      </c>
      <c r="AL1235" s="714"/>
      <c r="AM1235" s="114" t="str">
        <f t="shared" si="881"/>
        <v/>
      </c>
      <c r="AN1235" s="115"/>
      <c r="AO1235" s="116"/>
      <c r="AP1235" s="116"/>
      <c r="AQ1235" s="116"/>
      <c r="AR1235" s="116"/>
      <c r="AS1235" s="116"/>
      <c r="AT1235" s="116"/>
      <c r="AU1235" s="116"/>
      <c r="AV1235" s="78"/>
      <c r="AW1235" s="102"/>
      <c r="AX1235" s="78"/>
      <c r="AY1235" s="78"/>
      <c r="AZ1235" s="78"/>
      <c r="BA1235" s="78"/>
      <c r="BB1235" s="78"/>
      <c r="BC1235" s="78"/>
      <c r="BD1235" s="78"/>
      <c r="BE1235" s="465"/>
      <c r="BF1235" s="165" t="str">
        <f t="shared" si="882"/>
        <v>https://www.google.com/search?tbm=isch&amp;q=4%20G2</v>
      </c>
      <c r="BG1235" s="165" t="str">
        <f t="shared" si="883"/>
        <v>C</v>
      </c>
      <c r="BH1235" s="65"/>
      <c r="BI1235" s="65"/>
      <c r="BJ1235" s="65"/>
      <c r="BK1235" s="65"/>
      <c r="BL1235" s="99"/>
      <c r="BM1235" s="99"/>
      <c r="BN1235" s="99"/>
    </row>
    <row r="1236" spans="1:66" s="51" customFormat="1" ht="15.75" x14ac:dyDescent="0.25">
      <c r="A1236" s="508" t="s">
        <v>2249</v>
      </c>
      <c r="B1236" s="487"/>
      <c r="C1236" s="707"/>
      <c r="D1236" s="487"/>
      <c r="E1236" s="487"/>
      <c r="F1236" s="488"/>
      <c r="G1236" s="489"/>
      <c r="H1236" s="487"/>
      <c r="I1236" s="490"/>
      <c r="J1236" s="490"/>
      <c r="K1236" s="491"/>
      <c r="L1236" s="547"/>
      <c r="M1236" s="528"/>
      <c r="N1236" s="492"/>
      <c r="O1236" s="493"/>
      <c r="P1236" s="494"/>
      <c r="Q1236" s="492"/>
      <c r="R1236" s="492"/>
      <c r="S1236" s="495"/>
      <c r="T1236" s="102">
        <f t="shared" ref="T1236:T1299" si="932">E1236*G1236</f>
        <v>0</v>
      </c>
      <c r="U1236" s="78" t="str">
        <f>IF(NOT(ISNUMBER(G1236)), "", VLOOKUP(A1236,'Discount Lookup'!D:E,2,FALSE)*G1236)</f>
        <v/>
      </c>
      <c r="V1236" s="78" t="str">
        <f>IF(NOT(ISNUMBER(G1236)), "", VLOOKUP(A1236,'Discount Lookup'!G:H,2,FALSE)*G1236)</f>
        <v/>
      </c>
      <c r="W1236" s="102">
        <f t="shared" ref="W1236:W1299" si="933">IF(H1236="credit",0,E1236*(SalesTaxPercentage)*G1236)</f>
        <v>0</v>
      </c>
      <c r="X1236" s="102">
        <f t="shared" ref="X1236:X1299" si="934">I1236</f>
        <v>0</v>
      </c>
      <c r="Y1236" s="120" t="b">
        <f t="shared" ref="Y1236:Y1299" si="935">IF(AE1236="T2G",0,IF(H1236="credit",0,IF(G1236&gt;0,IF(AE1236="me","",G1236))))</f>
        <v>0</v>
      </c>
      <c r="Z1236" s="117">
        <f t="shared" ref="Z1236:Z1299" si="936">IF(H1236="credit",G1236,0)</f>
        <v>0</v>
      </c>
      <c r="AA1236" s="118"/>
      <c r="AB1236" s="118" t="str">
        <f t="shared" ref="AB1236:AB1299" si="937">IF(AE1236="T2G","by Trees2Go",IF(H1236="credit","CREDIT only ~",IF(AND(K1236="",AE1236=OR(PlanterYesMe="No",PlanterYesMe="N",PlanterYesMe="me")),"not THIS line⇨",IF(AND(K1236="images",AE1236="me"),"not THIS line⇨",IF(H1236="credit","",IF(G1236=0,"",IF(AE1236="me","",IF(OR(PlanterYesMe="No",PlanterYesMe="N",PlanterYesMe="me"),"",IF(AE1236="free","warranty",IF(OR(PlanterYesMe="yes",PlanterYesMe="y"),"Edison install:","to install:"))))))))))</f>
        <v/>
      </c>
      <c r="AC1236" s="712" t="str">
        <f>IF(AE1236="T2G","no charge",IF(AND(OR(PlanterYesMe="No",PlanterYesMe="N",PlanterYesMe="me"),H1236=""),"",IF(H1236="credit","NO install",IF(AND(K1236="",AE1236="me"),"EACH row",IF(AND(K1236="images",AE1236="me"),"EACH row",IF(D1236="","",IF(H1236="credit","",IF(AE1236="free","re-planting",IF(AE1236="me","   not ELP, by",IF(AND(OR(PlanterYesMe="Yes",PlanterYesMe="Y"),G1236&gt;0),(VLOOKUP(A1236,'Discount Lookup'!J:K,2)*G1236*(1-PlanterDiscount)*(1+PlanterDifficultyPercentage)),IF(AE1236="ELP",(VLOOKUP(A1236,'Discount Lookup'!J:K,2)*G1236*(1-PlanterDiscount)*(1+PlanterDifficultyPercentage)),IF(AE1236="free","re-planting",IF(G1236=0,"",IF(PlanterYesMe="",IF(AE1236="me","   not ELP, by",IF(AE1236="",IF(G1236&gt;0,(VLOOKUP(A1236,'Discount Lookup'!J:K,2)*G1236*(1-PlanterDiscount)*(1+PlanterDifficultyPercentage)),""),"")),"   not ELP, by"))))))))))))))</f>
        <v/>
      </c>
      <c r="AD1236" s="712"/>
      <c r="AE1236" s="513" t="str">
        <f t="shared" ref="AE1236:AE1299" si="938">IF(H1236="credit","",IF(G1236=0,"",IF(OR(PlanterYesMe="No",PlanterYesMe="N",PlanterYesMe="me"),"me",IF(H1236="warranty","free",IF(OR(PlanterYesMe="yes",PlanterYesMe="y"),"ELP","")))))</f>
        <v/>
      </c>
      <c r="AF1236" s="713" t="str">
        <f t="shared" ref="AF1236:AF1299" si="939">IF(OR(PlanterYesMe="No",PlanterYesMe="N",PlanterYesMe="me"),"",IF(H1236="credit","",IF(G1236&gt;0,(CONCATENATE((G1236)," quantity, ",(A1236)," ",B1236)),"")))</f>
        <v/>
      </c>
      <c r="AG1236" s="713"/>
      <c r="AH1236" s="713"/>
      <c r="AI1236" s="112">
        <f>IF(H1236="credit",0,IF(AE1236="free",0,IF(AE1236="me",0,IF(G1236&gt;0,(VLOOKUP(A1236,'Discount Lookup'!J:K,2)*G1236),0))))</f>
        <v>0</v>
      </c>
      <c r="AJ1236" s="107" t="str">
        <f t="shared" ref="AJ1236:AJ1299" ca="1" si="940">IF(AND(ISREF(H1236),H1236="credit"),"",IF(AND(AND(OFFSET(G1236,0,0)=0,OFFSET(G1236,1,0)&gt;0,ISNUMBER(OFFSET(AC1236,1,0)),OFFSET(AC1236,1,0)&gt;0),OR(PlanterYesMe="yes",PlanterYesMe="y")),"T2G+ELP=",IF(AND(OFFSET(G1236,0,0)=0,OFFSET(G1236,1,0)&gt;0,ISNUMBER(OFFSET(AC1236,1,0)),OFFSET(AC1236,1,0)&gt;0),"if T2G+ELP=",IF(AND(OFFSET(G1236,0,0)=0,OFFSET(G1236,1,0)&gt;0),"T2G Subtotal",IF(H1236="credit","",IF(G1236=0,"",IF(AE1236="free",(K1236*(1-T2GDiscount)),IF(OR(PlanterYesMe="No",PlanterYesMe="N",PlanterYesMe="me"),(K1236*(1-T2GDiscount)),IF(OR(AE1236="me",AE1236="T2G"),(K1236*(1-T2GDiscount)),(K1236*(1-T2GDiscount))+AC1236)))))))))</f>
        <v/>
      </c>
      <c r="AK1236" s="714" t="str">
        <f t="shared" ref="AK1236:AK1299" si="941">IF(H1236="credit","",IF(G1236=0,"",IF(OR(AE1236="me",AE1236="T2G"),"  delivery-only",IF(OR(PlanterYesMe="No",PlanterYesMe="N",PlanterYesMe="me"),"  delivery-only",CONCATENATE(" $",ROUND(AJ1236/G1236,2)," each")))))</f>
        <v/>
      </c>
      <c r="AL1236" s="714"/>
      <c r="AM1236" s="114" t="str">
        <f t="shared" ref="AM1236:AM1299" si="942">IF(H1236="credit","",IF(AE1236="free","      ~ discounts included, no tax or planting fee applies ~",IF(G1236=0,"",IF(OR(PlanterYesMe="No",PlanterYesMe="N",PlanterYesMe="me"),CONCATENATE(" $",ROUND(AJ1236/G1236,2)," per plant, with tax &amp; discount"),IF(OR(AE1236="me",AE1236="T2G"),CONCATENATE(" $",ROUND(AJ1236/G1236,2)," per plant, with tax &amp; discount"),CONCATENATE("= $",ROUND((K1236*(1-T2GDiscount))/G1236,2)," per plant + $",AC1236/G1236,(" per planting      ~ includes tax &amp; discounts ~")))))))</f>
        <v/>
      </c>
      <c r="AN1236" s="115"/>
      <c r="AO1236" s="116"/>
      <c r="AP1236" s="116"/>
      <c r="AQ1236" s="116"/>
      <c r="AR1236" s="116"/>
      <c r="AS1236" s="116"/>
      <c r="AT1236" s="116"/>
      <c r="AU1236" s="116"/>
      <c r="AV1236" s="78"/>
      <c r="AW1236" s="102"/>
      <c r="AX1236" s="78"/>
      <c r="AY1236" s="78"/>
      <c r="AZ1236" s="78"/>
      <c r="BA1236" s="78"/>
      <c r="BB1236" s="78"/>
      <c r="BC1236" s="78"/>
      <c r="BD1236" s="78"/>
      <c r="BE1236" s="465"/>
      <c r="BF1236" s="165" t="str">
        <f t="shared" ref="BF1236:BF1299" si="943">"https://www.google.com/search?tbm=isch&amp;q=" &amp; _xlfn.ENCODEURL($A1236 &amp; " " &amp; $D1236)</f>
        <v>https://www.google.com/search?tbm=isch&amp;q=Calamondin%20continuously%20produces%20small%2C%20round%2C%20intensely%20tart%20fruit%20like%20a%20miniature%20orange.Entire%20fruit%2C%20peel%20and%20all%2C%20is%20edible.%20Self%20pollinates%20</v>
      </c>
      <c r="BG1236" s="165" t="str">
        <f t="shared" ref="BG1236:BG1299" si="944">IF(ISTEXT(A1236),LEFT(A1236,1),BG1235)</f>
        <v>C</v>
      </c>
      <c r="BH1236" s="65"/>
      <c r="BI1236" s="65"/>
      <c r="BJ1236" s="65"/>
      <c r="BK1236" s="65"/>
      <c r="BL1236" s="99"/>
      <c r="BM1236" s="99"/>
      <c r="BN1236" s="99"/>
    </row>
    <row r="1237" spans="1:66" s="51" customFormat="1" ht="19.5" thickBot="1" x14ac:dyDescent="0.3">
      <c r="A1237" s="686" t="s">
        <v>406</v>
      </c>
      <c r="B1237" s="73"/>
      <c r="C1237" s="708"/>
      <c r="D1237" s="73"/>
      <c r="E1237" s="73"/>
      <c r="F1237" s="496"/>
      <c r="G1237" s="73"/>
      <c r="H1237" s="73"/>
      <c r="I1237" s="73"/>
      <c r="J1237" s="497" t="s">
        <v>357</v>
      </c>
      <c r="K1237" s="498"/>
      <c r="L1237" s="562"/>
      <c r="M1237" s="73"/>
      <c r="N1237"/>
      <c r="O1237"/>
      <c r="P1237"/>
      <c r="Q1237"/>
      <c r="R1237"/>
      <c r="S1237"/>
      <c r="T1237" s="102">
        <f t="shared" si="932"/>
        <v>0</v>
      </c>
      <c r="U1237" s="78" t="str">
        <f>IF(NOT(ISNUMBER(G1237)), "", VLOOKUP(A1237,'Discount Lookup'!D:E,2,FALSE)*G1237)</f>
        <v/>
      </c>
      <c r="V1237" s="78" t="str">
        <f>IF(NOT(ISNUMBER(G1237)), "", VLOOKUP(A1237,'Discount Lookup'!G:H,2,FALSE)*G1237)</f>
        <v/>
      </c>
      <c r="W1237" s="102">
        <f t="shared" si="933"/>
        <v>0</v>
      </c>
      <c r="X1237" s="102">
        <f t="shared" si="934"/>
        <v>0</v>
      </c>
      <c r="Y1237" s="120" t="b">
        <f t="shared" si="935"/>
        <v>0</v>
      </c>
      <c r="Z1237" s="117">
        <f t="shared" si="936"/>
        <v>0</v>
      </c>
      <c r="AA1237" s="118"/>
      <c r="AB1237" s="118" t="str">
        <f t="shared" si="937"/>
        <v/>
      </c>
      <c r="AC1237" s="712" t="str">
        <f>IF(AE1237="T2G","no charge",IF(AND(OR(PlanterYesMe="No",PlanterYesMe="N",PlanterYesMe="me"),H1237=""),"",IF(H1237="credit","NO install",IF(AND(K1237="",AE1237="me"),"EACH row",IF(AND(K1237="images",AE1237="me"),"EACH row",IF(D1237="","",IF(H1237="credit","",IF(AE1237="free","re-planting",IF(AE1237="me","   not ELP, by",IF(AND(OR(PlanterYesMe="Yes",PlanterYesMe="Y"),G1237&gt;0),(VLOOKUP(A1237,'Discount Lookup'!J:K,2)*G1237*(1-PlanterDiscount)*(1+PlanterDifficultyPercentage)),IF(AE1237="ELP",(VLOOKUP(A1237,'Discount Lookup'!J:K,2)*G1237*(1-PlanterDiscount)*(1+PlanterDifficultyPercentage)),IF(AE1237="free","re-planting",IF(G1237=0,"",IF(PlanterYesMe="",IF(AE1237="me","   not ELP, by",IF(AE1237="",IF(G1237&gt;0,(VLOOKUP(A1237,'Discount Lookup'!J:K,2)*G1237*(1-PlanterDiscount)*(1+PlanterDifficultyPercentage)),""),"")),"   not ELP, by"))))))))))))))</f>
        <v/>
      </c>
      <c r="AD1237" s="712"/>
      <c r="AE1237" s="513" t="str">
        <f t="shared" si="938"/>
        <v/>
      </c>
      <c r="AF1237" s="713" t="str">
        <f t="shared" si="939"/>
        <v/>
      </c>
      <c r="AG1237" s="713"/>
      <c r="AH1237" s="713"/>
      <c r="AI1237" s="112">
        <f>IF(H1237="credit",0,IF(AE1237="free",0,IF(AE1237="me",0,IF(G1237&gt;0,(VLOOKUP(A1237,'Discount Lookup'!J:K,2)*G1237),0))))</f>
        <v>0</v>
      </c>
      <c r="AJ1237" s="107" t="str">
        <f t="shared" ca="1" si="940"/>
        <v/>
      </c>
      <c r="AK1237" s="714" t="str">
        <f t="shared" si="941"/>
        <v/>
      </c>
      <c r="AL1237" s="714"/>
      <c r="AM1237" s="114" t="str">
        <f t="shared" si="942"/>
        <v/>
      </c>
      <c r="AN1237" s="115"/>
      <c r="AO1237" s="116"/>
      <c r="AP1237" s="116"/>
      <c r="AQ1237" s="116"/>
      <c r="AR1237" s="116"/>
      <c r="AS1237" s="116"/>
      <c r="AT1237" s="116"/>
      <c r="AU1237" s="116"/>
      <c r="AV1237" s="78"/>
      <c r="AW1237" s="102"/>
      <c r="AX1237" s="78"/>
      <c r="AY1237" s="78"/>
      <c r="AZ1237" s="78"/>
      <c r="BA1237" s="78"/>
      <c r="BB1237" s="78"/>
      <c r="BC1237" s="78"/>
      <c r="BD1237" s="78"/>
      <c r="BE1237" s="465"/>
      <c r="BF1237" s="165" t="str">
        <f t="shared" si="943"/>
        <v>https://www.google.com/search?tbm=isch&amp;q=Citrus%20Trifoliata%20%3D%20Trifoliate%20Orange%20</v>
      </c>
      <c r="BG1237" s="165" t="str">
        <f t="shared" si="944"/>
        <v>C</v>
      </c>
      <c r="BH1237" s="65"/>
      <c r="BI1237" s="65"/>
      <c r="BJ1237" s="65"/>
      <c r="BK1237" s="65"/>
      <c r="BL1237" s="99"/>
      <c r="BM1237" s="99"/>
      <c r="BN1237" s="99"/>
    </row>
    <row r="1238" spans="1:66" s="51" customFormat="1" ht="18" x14ac:dyDescent="0.25">
      <c r="A1238" s="623" t="s">
        <v>2250</v>
      </c>
      <c r="B1238" s="624"/>
      <c r="C1238" s="709"/>
      <c r="D1238" s="625" t="s">
        <v>2251</v>
      </c>
      <c r="E1238" s="626"/>
      <c r="F1238" s="626"/>
      <c r="G1238" s="626"/>
      <c r="H1238" s="622" t="s">
        <v>333</v>
      </c>
      <c r="I1238" s="627" t="s">
        <v>349</v>
      </c>
      <c r="J1238" s="628"/>
      <c r="K1238" s="628"/>
      <c r="L1238" s="629"/>
      <c r="M1238" s="700" t="s">
        <v>5241</v>
      </c>
      <c r="N1238" s="693" t="str">
        <f>IF(AND(ISTEXT($A1238), ISERROR($A1238+0)), HYPERLINK($BF1238, "Images"), "")</f>
        <v>Images</v>
      </c>
      <c r="O1238" s="695" t="s">
        <v>5244</v>
      </c>
      <c r="P1238" s="630"/>
      <c r="Q1238" s="631"/>
      <c r="R1238" s="632"/>
      <c r="S1238" s="633"/>
      <c r="T1238" s="102">
        <f t="shared" si="932"/>
        <v>0</v>
      </c>
      <c r="U1238" s="78" t="str">
        <f>IF(NOT(ISNUMBER(G1238)), "", VLOOKUP(A1238,'Discount Lookup'!D:E,2,FALSE)*G1238)</f>
        <v/>
      </c>
      <c r="V1238" s="78" t="str">
        <f>IF(NOT(ISNUMBER(G1238)), "", VLOOKUP(A1238,'Discount Lookup'!G:H,2,FALSE)*G1238)</f>
        <v/>
      </c>
      <c r="W1238" s="102">
        <f t="shared" si="933"/>
        <v>0</v>
      </c>
      <c r="X1238" s="102" t="str">
        <f t="shared" si="934"/>
        <v>White bloom</v>
      </c>
      <c r="Y1238" s="120" t="b">
        <f t="shared" si="935"/>
        <v>0</v>
      </c>
      <c r="Z1238" s="117">
        <f t="shared" si="936"/>
        <v>0</v>
      </c>
      <c r="AA1238" s="118"/>
      <c r="AB1238" s="118" t="str">
        <f t="shared" si="937"/>
        <v/>
      </c>
      <c r="AC1238" s="712" t="str">
        <f>IF(AE1238="T2G","no charge",IF(AND(OR(PlanterYesMe="No",PlanterYesMe="N",PlanterYesMe="me"),H1238=""),"",IF(H1238="credit","NO install",IF(AND(K1238="",AE1238="me"),"EACH row",IF(AND(K1238="images",AE1238="me"),"EACH row",IF(D1238="","",IF(H1238="credit","",IF(AE1238="free","re-planting",IF(AE1238="me","   not ELP, by",IF(AND(OR(PlanterYesMe="Yes",PlanterYesMe="Y"),G1238&gt;0),(VLOOKUP(A1238,'Discount Lookup'!J:K,2)*G1238*(1-PlanterDiscount)*(1+PlanterDifficultyPercentage)),IF(AE1238="ELP",(VLOOKUP(A1238,'Discount Lookup'!J:K,2)*G1238*(1-PlanterDiscount)*(1+PlanterDifficultyPercentage)),IF(AE1238="free","re-planting",IF(G1238=0,"",IF(PlanterYesMe="",IF(AE1238="me","   not ELP, by",IF(AE1238="",IF(G1238&gt;0,(VLOOKUP(A1238,'Discount Lookup'!J:K,2)*G1238*(1-PlanterDiscount)*(1+PlanterDifficultyPercentage)),""),"")),"   not ELP, by"))))))))))))))</f>
        <v/>
      </c>
      <c r="AD1238" s="712"/>
      <c r="AE1238" s="513" t="str">
        <f t="shared" si="938"/>
        <v/>
      </c>
      <c r="AF1238" s="713" t="str">
        <f t="shared" si="939"/>
        <v/>
      </c>
      <c r="AG1238" s="713"/>
      <c r="AH1238" s="713"/>
      <c r="AI1238" s="112">
        <f>IF(H1238="credit",0,IF(AE1238="free",0,IF(AE1238="me",0,IF(G1238&gt;0,(VLOOKUP(A1238,'Discount Lookup'!J:K,2)*G1238),0))))</f>
        <v>0</v>
      </c>
      <c r="AJ1238" s="107" t="str">
        <f t="shared" ca="1" si="940"/>
        <v/>
      </c>
      <c r="AK1238" s="714" t="str">
        <f t="shared" si="941"/>
        <v/>
      </c>
      <c r="AL1238" s="714"/>
      <c r="AM1238" s="114" t="str">
        <f t="shared" si="942"/>
        <v/>
      </c>
      <c r="AN1238" s="115"/>
      <c r="AO1238" s="116"/>
      <c r="AP1238" s="116"/>
      <c r="AQ1238" s="116"/>
      <c r="AR1238" s="116"/>
      <c r="AS1238" s="116"/>
      <c r="AT1238" s="116"/>
      <c r="AU1238" s="116"/>
      <c r="AV1238" s="78"/>
      <c r="AW1238" s="102"/>
      <c r="AX1238" s="78"/>
      <c r="AY1238" s="78"/>
      <c r="AZ1238" s="78"/>
      <c r="BA1238" s="78"/>
      <c r="BB1238" s="78"/>
      <c r="BC1238" s="78"/>
      <c r="BD1238" s="78"/>
      <c r="BE1238" s="465"/>
      <c r="BF1238" s="165" t="str">
        <f t="shared" si="943"/>
        <v>https://www.google.com/search?tbm=isch&amp;q=Citrus%20trifoliata%20%27Flying%20Dragon%27%20Flying%20Dragon%20Orange%20Tree</v>
      </c>
      <c r="BG1238" s="165" t="str">
        <f t="shared" si="944"/>
        <v>C</v>
      </c>
      <c r="BH1238" s="65"/>
      <c r="BI1238" s="65"/>
      <c r="BJ1238" s="65"/>
      <c r="BK1238" s="65"/>
      <c r="BL1238" s="99"/>
      <c r="BM1238" s="99"/>
      <c r="BN1238" s="99"/>
    </row>
    <row r="1239" spans="1:66" s="51" customFormat="1" ht="15.75" x14ac:dyDescent="0.25">
      <c r="A1239" s="634">
        <v>7</v>
      </c>
      <c r="B1239" s="635" t="s">
        <v>291</v>
      </c>
      <c r="C1239" s="636" t="s">
        <v>2252</v>
      </c>
      <c r="D1239" s="637" t="s">
        <v>299</v>
      </c>
      <c r="E1239" s="638">
        <v>95.95</v>
      </c>
      <c r="F1239" s="639" t="s">
        <v>292</v>
      </c>
      <c r="G1239" s="484">
        <v>0</v>
      </c>
      <c r="H1239" s="691" t="str">
        <f>IF(G1239=0,"",IF(F1239="Buy",IF(G1239=1,"plant","plants"),IF(F1239&gt;0.01,"warranty","Error")))</f>
        <v/>
      </c>
      <c r="I1239" s="640">
        <f>IF(H1239="free",0,IF(H1239="credit",((E1239*(F1239))*G1239*-1),IF(F1239="Buy",(E1239*G1239),((E1239*(1-F1239))*G1239))))</f>
        <v>0</v>
      </c>
      <c r="J1239" s="640">
        <f>IF(H1239="warranty",0,(I1239*(_xlfn.SINGLE(SalesTaxPercentage))))</f>
        <v>0</v>
      </c>
      <c r="K1239" s="716">
        <f t="shared" ref="K1239" si="945">I1239+J1239</f>
        <v>0</v>
      </c>
      <c r="L1239" s="716"/>
      <c r="M1239" s="689" t="str">
        <f ca="1">IF(AND(G1239&gt;0,E1239=0),"WARNING - no PRICE inserted",IF(H1239="free","FREE ~ no charge this plant",IF(H1239="credit",CONCATENATE("-$",ROUND(K1239*(1-_xlfn.SINGLE(T2GDiscount))*-1,2)," CREDIT after discount"),IF(_xlfn.SINGLE(T2GDiscount)=0,"",IF(G1239=0,"",IF(F1239="Buy",CONCATENATE("$",ROUND(K1239*(1-_xlfn.SINGLE(T2GDiscount)),2)," with ",(_xlfn.SINGLE(T2GDiscount)*100),"% discount"),CONCATENATE("$",ROUND(K1239*(1-_xlfn.SINGLE(T2GDiscount)),2)," with ",((_xlfn.SINGLE(T2GDiscount)*100+F1239*100)-(_xlfn.SINGLE(T2GDiscount)*100*F1239)),IF(F1239&gt;0,"% discounts",IF(_xlfn.SINGLE(NoWarrantyDiscount)&gt;0,"% discounts","% discount")))))))))</f>
        <v/>
      </c>
      <c r="N1239" s="690"/>
      <c r="O1239" s="486"/>
      <c r="P1239" s="486"/>
      <c r="Q1239" s="486"/>
      <c r="R1239" s="486"/>
      <c r="S1239" s="486"/>
      <c r="T1239" s="102">
        <f t="shared" si="932"/>
        <v>0</v>
      </c>
      <c r="U1239" s="78">
        <f>IF(NOT(ISNUMBER(G1239)), "", VLOOKUP(A1239,'Discount Lookup'!D:E,2,FALSE)*G1239)</f>
        <v>0</v>
      </c>
      <c r="V1239" s="78">
        <f>IF(NOT(ISNUMBER(G1239)), "", VLOOKUP(A1239,'Discount Lookup'!G:H,2,FALSE)*G1239)</f>
        <v>0</v>
      </c>
      <c r="W1239" s="102">
        <f t="shared" si="933"/>
        <v>0</v>
      </c>
      <c r="X1239" s="102">
        <f t="shared" si="934"/>
        <v>0</v>
      </c>
      <c r="Y1239" s="120" t="b">
        <f t="shared" si="935"/>
        <v>0</v>
      </c>
      <c r="Z1239" s="117">
        <f t="shared" si="936"/>
        <v>0</v>
      </c>
      <c r="AA1239" s="118"/>
      <c r="AB1239" s="118" t="str">
        <f t="shared" si="937"/>
        <v/>
      </c>
      <c r="AC1239" s="712" t="str">
        <f>IF(AE1239="T2G","no charge",IF(AND(OR(PlanterYesMe="No",PlanterYesMe="N",PlanterYesMe="me"),H1239=""),"",IF(H1239="credit","NO install",IF(AND(K1239="",AE1239="me"),"EACH row",IF(AND(K1239="images",AE1239="me"),"EACH row",IF(D1239="","",IF(H1239="credit","",IF(AE1239="free","re-planting",IF(AE1239="me","   not ELP, by",IF(AND(OR(PlanterYesMe="Yes",PlanterYesMe="Y"),G1239&gt;0),(VLOOKUP(A1239,'Discount Lookup'!J:K,2)*G1239*(1-PlanterDiscount)*(1+PlanterDifficultyPercentage)),IF(AE1239="ELP",(VLOOKUP(A1239,'Discount Lookup'!J:K,2)*G1239*(1-PlanterDiscount)*(1+PlanterDifficultyPercentage)),IF(AE1239="free","re-planting",IF(G1239=0,"",IF(PlanterYesMe="",IF(AE1239="me","   not ELP, by",IF(AE1239="",IF(G1239&gt;0,(VLOOKUP(A1239,'Discount Lookup'!J:K,2)*G1239*(1-PlanterDiscount)*(1+PlanterDifficultyPercentage)),""),"")),"   not ELP, by"))))))))))))))</f>
        <v/>
      </c>
      <c r="AD1239" s="712"/>
      <c r="AE1239" s="513" t="str">
        <f t="shared" si="938"/>
        <v/>
      </c>
      <c r="AF1239" s="713" t="str">
        <f t="shared" si="939"/>
        <v/>
      </c>
      <c r="AG1239" s="713"/>
      <c r="AH1239" s="713"/>
      <c r="AI1239" s="112">
        <f>IF(H1239="credit",0,IF(AE1239="free",0,IF(AE1239="me",0,IF(G1239&gt;0,(VLOOKUP(A1239,'Discount Lookup'!J:K,2)*G1239),0))))</f>
        <v>0</v>
      </c>
      <c r="AJ1239" s="107" t="str">
        <f t="shared" ca="1" si="940"/>
        <v/>
      </c>
      <c r="AK1239" s="714" t="str">
        <f t="shared" si="941"/>
        <v/>
      </c>
      <c r="AL1239" s="714"/>
      <c r="AM1239" s="114" t="str">
        <f t="shared" si="942"/>
        <v/>
      </c>
      <c r="AN1239" s="115"/>
      <c r="AO1239" s="116"/>
      <c r="AP1239" s="116"/>
      <c r="AQ1239" s="116"/>
      <c r="AR1239" s="116"/>
      <c r="AS1239" s="116"/>
      <c r="AT1239" s="116"/>
      <c r="AU1239" s="116"/>
      <c r="AV1239" s="78"/>
      <c r="AW1239" s="102"/>
      <c r="AX1239" s="78"/>
      <c r="AY1239" s="78"/>
      <c r="AZ1239" s="78"/>
      <c r="BA1239" s="78"/>
      <c r="BB1239" s="78"/>
      <c r="BC1239" s="78"/>
      <c r="BD1239" s="78"/>
      <c r="BE1239" s="465"/>
      <c r="BF1239" s="165" t="str">
        <f t="shared" si="943"/>
        <v>https://www.google.com/search?tbm=isch&amp;q=7%20G4</v>
      </c>
      <c r="BG1239" s="165" t="str">
        <f t="shared" si="944"/>
        <v>C</v>
      </c>
      <c r="BH1239" s="65"/>
      <c r="BI1239" s="65"/>
      <c r="BJ1239" s="65"/>
      <c r="BK1239" s="65"/>
      <c r="BL1239" s="99"/>
      <c r="BM1239" s="99"/>
      <c r="BN1239" s="99"/>
    </row>
    <row r="1240" spans="1:66" s="51" customFormat="1" ht="27" x14ac:dyDescent="0.25">
      <c r="A1240" s="634">
        <v>10</v>
      </c>
      <c r="B1240" s="635" t="s">
        <v>291</v>
      </c>
      <c r="C1240" s="636" t="s">
        <v>2253</v>
      </c>
      <c r="D1240" s="637" t="s">
        <v>299</v>
      </c>
      <c r="E1240" s="638">
        <v>210.95</v>
      </c>
      <c r="F1240" s="639" t="s">
        <v>292</v>
      </c>
      <c r="G1240" s="484">
        <v>0</v>
      </c>
      <c r="H1240" s="691" t="str">
        <f>IF(G1240=0,"",IF(F1240="Buy",IF(G1240=1,"plant","plants"),IF(F1240&gt;0.01,"warranty","Error")))</f>
        <v/>
      </c>
      <c r="I1240" s="640">
        <f>IF(H1240="free",0,IF(H1240="credit",((E1240*(F1240))*G1240*-1),IF(F1240="Buy",(E1240*G1240),((E1240*(1-F1240))*G1240))))</f>
        <v>0</v>
      </c>
      <c r="J1240" s="640">
        <f>IF(H1240="warranty",0,(I1240*(_xlfn.SINGLE(SalesTaxPercentage))))</f>
        <v>0</v>
      </c>
      <c r="K1240" s="716">
        <f t="shared" ref="K1240" si="946">I1240+J1240</f>
        <v>0</v>
      </c>
      <c r="L1240" s="716"/>
      <c r="M1240" s="689" t="str">
        <f ca="1">IF(AND(G1240&gt;0,E1240=0),"WARNING - no PRICE inserted",IF(H1240="free","FREE ~ no charge this plant",IF(H1240="credit",CONCATENATE("-$",ROUND(K1240*(1-_xlfn.SINGLE(T2GDiscount))*-1,2)," CREDIT after discount"),IF(_xlfn.SINGLE(T2GDiscount)=0,"",IF(G1240=0,"",IF(F1240="Buy",CONCATENATE("$",ROUND(K1240*(1-_xlfn.SINGLE(T2GDiscount)),2)," with ",(_xlfn.SINGLE(T2GDiscount)*100),"% discount"),CONCATENATE("$",ROUND(K1240*(1-_xlfn.SINGLE(T2GDiscount)),2)," with ",((_xlfn.SINGLE(T2GDiscount)*100+F1240*100)-(_xlfn.SINGLE(T2GDiscount)*100*F1240)),IF(F1240&gt;0,"% discounts",IF(_xlfn.SINGLE(NoWarrantyDiscount)&gt;0,"% discounts","% discount")))))))))</f>
        <v/>
      </c>
      <c r="N1240" s="690"/>
      <c r="O1240" s="486"/>
      <c r="P1240" s="486"/>
      <c r="Q1240" s="486"/>
      <c r="R1240" s="486"/>
      <c r="S1240" s="486"/>
      <c r="T1240" s="102">
        <f t="shared" si="932"/>
        <v>0</v>
      </c>
      <c r="U1240" s="78">
        <f>IF(NOT(ISNUMBER(G1240)), "", VLOOKUP(A1240,'Discount Lookup'!D:E,2,FALSE)*G1240)</f>
        <v>0</v>
      </c>
      <c r="V1240" s="78">
        <f>IF(NOT(ISNUMBER(G1240)), "", VLOOKUP(A1240,'Discount Lookup'!G:H,2,FALSE)*G1240)</f>
        <v>0</v>
      </c>
      <c r="W1240" s="102">
        <f t="shared" si="933"/>
        <v>0</v>
      </c>
      <c r="X1240" s="102">
        <f t="shared" si="934"/>
        <v>0</v>
      </c>
      <c r="Y1240" s="120" t="b">
        <f t="shared" si="935"/>
        <v>0</v>
      </c>
      <c r="Z1240" s="117">
        <f t="shared" si="936"/>
        <v>0</v>
      </c>
      <c r="AA1240" s="118"/>
      <c r="AB1240" s="118" t="str">
        <f t="shared" si="937"/>
        <v/>
      </c>
      <c r="AC1240" s="712" t="str">
        <f>IF(AE1240="T2G","no charge",IF(AND(OR(PlanterYesMe="No",PlanterYesMe="N",PlanterYesMe="me"),H1240=""),"",IF(H1240="credit","NO install",IF(AND(K1240="",AE1240="me"),"EACH row",IF(AND(K1240="images",AE1240="me"),"EACH row",IF(D1240="","",IF(H1240="credit","",IF(AE1240="free","re-planting",IF(AE1240="me","   not ELP, by",IF(AND(OR(PlanterYesMe="Yes",PlanterYesMe="Y"),G1240&gt;0),(VLOOKUP(A1240,'Discount Lookup'!J:K,2)*G1240*(1-PlanterDiscount)*(1+PlanterDifficultyPercentage)),IF(AE1240="ELP",(VLOOKUP(A1240,'Discount Lookup'!J:K,2)*G1240*(1-PlanterDiscount)*(1+PlanterDifficultyPercentage)),IF(AE1240="free","re-planting",IF(G1240=0,"",IF(PlanterYesMe="",IF(AE1240="me","   not ELP, by",IF(AE1240="",IF(G1240&gt;0,(VLOOKUP(A1240,'Discount Lookup'!J:K,2)*G1240*(1-PlanterDiscount)*(1+PlanterDifficultyPercentage)),""),"")),"   not ELP, by"))))))))))))))</f>
        <v/>
      </c>
      <c r="AD1240" s="712"/>
      <c r="AE1240" s="513" t="str">
        <f t="shared" si="938"/>
        <v/>
      </c>
      <c r="AF1240" s="713" t="str">
        <f t="shared" si="939"/>
        <v/>
      </c>
      <c r="AG1240" s="713"/>
      <c r="AH1240" s="713"/>
      <c r="AI1240" s="112">
        <f>IF(H1240="credit",0,IF(AE1240="free",0,IF(AE1240="me",0,IF(G1240&gt;0,(VLOOKUP(A1240,'Discount Lookup'!J:K,2)*G1240),0))))</f>
        <v>0</v>
      </c>
      <c r="AJ1240" s="107" t="str">
        <f t="shared" ca="1" si="940"/>
        <v/>
      </c>
      <c r="AK1240" s="714" t="str">
        <f t="shared" si="941"/>
        <v/>
      </c>
      <c r="AL1240" s="714"/>
      <c r="AM1240" s="114" t="str">
        <f t="shared" si="942"/>
        <v/>
      </c>
      <c r="AN1240" s="115"/>
      <c r="AO1240" s="116"/>
      <c r="AP1240" s="116"/>
      <c r="AQ1240" s="116"/>
      <c r="AR1240" s="116"/>
      <c r="AS1240" s="116"/>
      <c r="AT1240" s="116"/>
      <c r="AU1240" s="116"/>
      <c r="AV1240" s="78"/>
      <c r="AW1240" s="102"/>
      <c r="AX1240" s="78"/>
      <c r="AY1240" s="78"/>
      <c r="AZ1240" s="78"/>
      <c r="BA1240" s="78"/>
      <c r="BB1240" s="78"/>
      <c r="BC1240" s="78"/>
      <c r="BD1240" s="78"/>
      <c r="BE1240" s="465"/>
      <c r="BF1240" s="165" t="str">
        <f t="shared" si="943"/>
        <v>https://www.google.com/search?tbm=isch&amp;q=10%20G4</v>
      </c>
      <c r="BG1240" s="165" t="str">
        <f t="shared" si="944"/>
        <v>C</v>
      </c>
      <c r="BH1240" s="65"/>
      <c r="BI1240" s="65"/>
      <c r="BJ1240" s="65"/>
      <c r="BK1240" s="65"/>
      <c r="BL1240" s="99"/>
      <c r="BM1240" s="99"/>
      <c r="BN1240" s="99"/>
    </row>
    <row r="1241" spans="1:66" s="51" customFormat="1" ht="27" x14ac:dyDescent="0.25">
      <c r="A1241" s="634">
        <v>15</v>
      </c>
      <c r="B1241" s="635" t="s">
        <v>291</v>
      </c>
      <c r="C1241" s="636" t="s">
        <v>2254</v>
      </c>
      <c r="D1241" s="637" t="s">
        <v>299</v>
      </c>
      <c r="E1241" s="638">
        <v>299.95</v>
      </c>
      <c r="F1241" s="639" t="s">
        <v>292</v>
      </c>
      <c r="G1241" s="484">
        <v>0</v>
      </c>
      <c r="H1241" s="691" t="str">
        <f>IF(G1241=0,"",IF(F1241="Buy",IF(G1241=1,"plant","plants"),IF(F1241&gt;0.01,"warranty","Error")))</f>
        <v/>
      </c>
      <c r="I1241" s="640">
        <f>IF(H1241="free",0,IF(H1241="credit",((E1241*(F1241))*G1241*-1),IF(F1241="Buy",(E1241*G1241),((E1241*(1-F1241))*G1241))))</f>
        <v>0</v>
      </c>
      <c r="J1241" s="640">
        <f>IF(H1241="warranty",0,(I1241*(_xlfn.SINGLE(SalesTaxPercentage))))</f>
        <v>0</v>
      </c>
      <c r="K1241" s="716">
        <f t="shared" ref="K1241" si="947">I1241+J1241</f>
        <v>0</v>
      </c>
      <c r="L1241" s="716"/>
      <c r="M1241" s="689" t="str">
        <f ca="1">IF(AND(G1241&gt;0,E1241=0),"WARNING - no PRICE inserted",IF(H1241="free","FREE ~ no charge this plant",IF(H1241="credit",CONCATENATE("-$",ROUND(K1241*(1-_xlfn.SINGLE(T2GDiscount))*-1,2)," CREDIT after discount"),IF(_xlfn.SINGLE(T2GDiscount)=0,"",IF(G1241=0,"",IF(F1241="Buy",CONCATENATE("$",ROUND(K1241*(1-_xlfn.SINGLE(T2GDiscount)),2)," with ",(_xlfn.SINGLE(T2GDiscount)*100),"% discount"),CONCATENATE("$",ROUND(K1241*(1-_xlfn.SINGLE(T2GDiscount)),2)," with ",((_xlfn.SINGLE(T2GDiscount)*100+F1241*100)-(_xlfn.SINGLE(T2GDiscount)*100*F1241)),IF(F1241&gt;0,"% discounts",IF(_xlfn.SINGLE(NoWarrantyDiscount)&gt;0,"% discounts","% discount")))))))))</f>
        <v/>
      </c>
      <c r="N1241" s="690"/>
      <c r="O1241" s="486"/>
      <c r="P1241" s="486"/>
      <c r="Q1241" s="486"/>
      <c r="R1241" s="486"/>
      <c r="S1241" s="486"/>
      <c r="T1241" s="102">
        <f t="shared" si="932"/>
        <v>0</v>
      </c>
      <c r="U1241" s="78">
        <f>IF(NOT(ISNUMBER(G1241)), "", VLOOKUP(A1241,'Discount Lookup'!D:E,2,FALSE)*G1241)</f>
        <v>0</v>
      </c>
      <c r="V1241" s="78">
        <f>IF(NOT(ISNUMBER(G1241)), "", VLOOKUP(A1241,'Discount Lookup'!G:H,2,FALSE)*G1241)</f>
        <v>0</v>
      </c>
      <c r="W1241" s="102">
        <f t="shared" si="933"/>
        <v>0</v>
      </c>
      <c r="X1241" s="102">
        <f t="shared" si="934"/>
        <v>0</v>
      </c>
      <c r="Y1241" s="120" t="b">
        <f t="shared" si="935"/>
        <v>0</v>
      </c>
      <c r="Z1241" s="117">
        <f t="shared" si="936"/>
        <v>0</v>
      </c>
      <c r="AA1241" s="118"/>
      <c r="AB1241" s="118" t="str">
        <f t="shared" si="937"/>
        <v/>
      </c>
      <c r="AC1241" s="712" t="str">
        <f>IF(AE1241="T2G","no charge",IF(AND(OR(PlanterYesMe="No",PlanterYesMe="N",PlanterYesMe="me"),H1241=""),"",IF(H1241="credit","NO install",IF(AND(K1241="",AE1241="me"),"EACH row",IF(AND(K1241="images",AE1241="me"),"EACH row",IF(D1241="","",IF(H1241="credit","",IF(AE1241="free","re-planting",IF(AE1241="me","   not ELP, by",IF(AND(OR(PlanterYesMe="Yes",PlanterYesMe="Y"),G1241&gt;0),(VLOOKUP(A1241,'Discount Lookup'!J:K,2)*G1241*(1-PlanterDiscount)*(1+PlanterDifficultyPercentage)),IF(AE1241="ELP",(VLOOKUP(A1241,'Discount Lookup'!J:K,2)*G1241*(1-PlanterDiscount)*(1+PlanterDifficultyPercentage)),IF(AE1241="free","re-planting",IF(G1241=0,"",IF(PlanterYesMe="",IF(AE1241="me","   not ELP, by",IF(AE1241="",IF(G1241&gt;0,(VLOOKUP(A1241,'Discount Lookup'!J:K,2)*G1241*(1-PlanterDiscount)*(1+PlanterDifficultyPercentage)),""),"")),"   not ELP, by"))))))))))))))</f>
        <v/>
      </c>
      <c r="AD1241" s="712"/>
      <c r="AE1241" s="513" t="str">
        <f t="shared" si="938"/>
        <v/>
      </c>
      <c r="AF1241" s="713" t="str">
        <f t="shared" si="939"/>
        <v/>
      </c>
      <c r="AG1241" s="713"/>
      <c r="AH1241" s="713"/>
      <c r="AI1241" s="112">
        <f>IF(H1241="credit",0,IF(AE1241="free",0,IF(AE1241="me",0,IF(G1241&gt;0,(VLOOKUP(A1241,'Discount Lookup'!J:K,2)*G1241),0))))</f>
        <v>0</v>
      </c>
      <c r="AJ1241" s="107" t="str">
        <f t="shared" ca="1" si="940"/>
        <v/>
      </c>
      <c r="AK1241" s="714" t="str">
        <f t="shared" si="941"/>
        <v/>
      </c>
      <c r="AL1241" s="714"/>
      <c r="AM1241" s="114" t="str">
        <f t="shared" si="942"/>
        <v/>
      </c>
      <c r="AN1241" s="115"/>
      <c r="AO1241" s="116"/>
      <c r="AP1241" s="116"/>
      <c r="AQ1241" s="116"/>
      <c r="AR1241" s="116"/>
      <c r="AS1241" s="116"/>
      <c r="AT1241" s="116"/>
      <c r="AU1241" s="116"/>
      <c r="AV1241" s="78"/>
      <c r="AW1241" s="102"/>
      <c r="AX1241" s="78"/>
      <c r="AY1241" s="78"/>
      <c r="AZ1241" s="78"/>
      <c r="BA1241" s="78"/>
      <c r="BB1241" s="78"/>
      <c r="BC1241" s="78"/>
      <c r="BD1241" s="78"/>
      <c r="BE1241" s="465"/>
      <c r="BF1241" s="165" t="str">
        <f t="shared" si="943"/>
        <v>https://www.google.com/search?tbm=isch&amp;q=15%20G4</v>
      </c>
      <c r="BG1241" s="165" t="str">
        <f t="shared" si="944"/>
        <v>C</v>
      </c>
      <c r="BH1241" s="65"/>
      <c r="BI1241" s="65"/>
      <c r="BJ1241" s="65"/>
      <c r="BK1241" s="65"/>
      <c r="BL1241" s="99"/>
      <c r="BM1241" s="99"/>
      <c r="BN1241" s="99"/>
    </row>
    <row r="1242" spans="1:66" s="51" customFormat="1" ht="16.5" x14ac:dyDescent="0.25">
      <c r="A1242" s="641" t="s">
        <v>2255</v>
      </c>
      <c r="B1242" s="642"/>
      <c r="C1242" s="710"/>
      <c r="D1242" s="643"/>
      <c r="E1242" s="643"/>
      <c r="F1242" s="644"/>
      <c r="G1242" s="645"/>
      <c r="H1242" s="646"/>
      <c r="I1242" s="647"/>
      <c r="J1242" s="648"/>
      <c r="K1242" s="649"/>
      <c r="L1242" s="650"/>
      <c r="M1242" s="650"/>
      <c r="N1242" s="644"/>
      <c r="O1242" s="644"/>
      <c r="P1242" s="644"/>
      <c r="Q1242" s="644"/>
      <c r="R1242" s="644"/>
      <c r="S1242" s="701" t="s">
        <v>5261</v>
      </c>
      <c r="T1242" s="102">
        <f t="shared" si="932"/>
        <v>0</v>
      </c>
      <c r="U1242" s="78" t="str">
        <f>IF(NOT(ISNUMBER(G1242)), "", VLOOKUP(A1242,'Discount Lookup'!D:E,2,FALSE)*G1242)</f>
        <v/>
      </c>
      <c r="V1242" s="78" t="str">
        <f>IF(NOT(ISNUMBER(G1242)), "", VLOOKUP(A1242,'Discount Lookup'!G:H,2,FALSE)*G1242)</f>
        <v/>
      </c>
      <c r="W1242" s="102">
        <f t="shared" si="933"/>
        <v>0</v>
      </c>
      <c r="X1242" s="102">
        <f t="shared" si="934"/>
        <v>0</v>
      </c>
      <c r="Y1242" s="120" t="b">
        <f t="shared" si="935"/>
        <v>0</v>
      </c>
      <c r="Z1242" s="117">
        <f t="shared" si="936"/>
        <v>0</v>
      </c>
      <c r="AA1242" s="118"/>
      <c r="AB1242" s="118" t="str">
        <f t="shared" si="937"/>
        <v/>
      </c>
      <c r="AC1242" s="712" t="str">
        <f>IF(AE1242="T2G","no charge",IF(AND(OR(PlanterYesMe="No",PlanterYesMe="N",PlanterYesMe="me"),H1242=""),"",IF(H1242="credit","NO install",IF(AND(K1242="",AE1242="me"),"EACH row",IF(AND(K1242="images",AE1242="me"),"EACH row",IF(D1242="","",IF(H1242="credit","",IF(AE1242="free","re-planting",IF(AE1242="me","   not ELP, by",IF(AND(OR(PlanterYesMe="Yes",PlanterYesMe="Y"),G1242&gt;0),(VLOOKUP(A1242,'Discount Lookup'!J:K,2)*G1242*(1-PlanterDiscount)*(1+PlanterDifficultyPercentage)),IF(AE1242="ELP",(VLOOKUP(A1242,'Discount Lookup'!J:K,2)*G1242*(1-PlanterDiscount)*(1+PlanterDifficultyPercentage)),IF(AE1242="free","re-planting",IF(G1242=0,"",IF(PlanterYesMe="",IF(AE1242="me","   not ELP, by",IF(AE1242="",IF(G1242&gt;0,(VLOOKUP(A1242,'Discount Lookup'!J:K,2)*G1242*(1-PlanterDiscount)*(1+PlanterDifficultyPercentage)),""),"")),"   not ELP, by"))))))))))))))</f>
        <v/>
      </c>
      <c r="AD1242" s="712"/>
      <c r="AE1242" s="513" t="str">
        <f t="shared" si="938"/>
        <v/>
      </c>
      <c r="AF1242" s="713" t="str">
        <f t="shared" si="939"/>
        <v/>
      </c>
      <c r="AG1242" s="713"/>
      <c r="AH1242" s="713"/>
      <c r="AI1242" s="112">
        <f>IF(H1242="credit",0,IF(AE1242="free",0,IF(AE1242="me",0,IF(G1242&gt;0,(VLOOKUP(A1242,'Discount Lookup'!J:K,2)*G1242),0))))</f>
        <v>0</v>
      </c>
      <c r="AJ1242" s="107" t="str">
        <f t="shared" ca="1" si="940"/>
        <v/>
      </c>
      <c r="AK1242" s="714" t="str">
        <f t="shared" si="941"/>
        <v/>
      </c>
      <c r="AL1242" s="714"/>
      <c r="AM1242" s="114" t="str">
        <f t="shared" si="942"/>
        <v/>
      </c>
      <c r="AN1242" s="115"/>
      <c r="AO1242" s="116"/>
      <c r="AP1242" s="116"/>
      <c r="AQ1242" s="116"/>
      <c r="AR1242" s="116"/>
      <c r="AS1242" s="116"/>
      <c r="AT1242" s="116"/>
      <c r="AU1242" s="116"/>
      <c r="AV1242" s="78"/>
      <c r="AW1242" s="102"/>
      <c r="AX1242" s="78"/>
      <c r="AY1242" s="78"/>
      <c r="AZ1242" s="78"/>
      <c r="BA1242" s="78"/>
      <c r="BB1242" s="78"/>
      <c r="BC1242" s="78"/>
      <c r="BD1242" s="78"/>
      <c r="BE1242" s="465"/>
      <c r="BF1242" s="165" t="str">
        <f t="shared" si="943"/>
        <v>https://www.google.com/search?tbm=isch&amp;q=Flying%20Dragon%20grown%20for%20its%20wild%20twisted%20branches%20and%20big%20thorns.%20Small%20fruit%20is%20sour%2C%20but%20edible.%20Self%20pollinates%20</v>
      </c>
      <c r="BG1242" s="165" t="str">
        <f t="shared" si="944"/>
        <v>F</v>
      </c>
      <c r="BH1242" s="65"/>
      <c r="BI1242" s="65"/>
      <c r="BJ1242" s="65"/>
      <c r="BK1242" s="65"/>
      <c r="BL1242" s="99"/>
      <c r="BM1242" s="99"/>
      <c r="BN1242" s="99"/>
    </row>
    <row r="1243" spans="1:66" s="51" customFormat="1" ht="19.5" thickBot="1" x14ac:dyDescent="0.3">
      <c r="A1243" s="686" t="s">
        <v>404</v>
      </c>
      <c r="B1243" s="73"/>
      <c r="C1243" s="708"/>
      <c r="D1243" s="73"/>
      <c r="E1243" s="73"/>
      <c r="F1243" s="496"/>
      <c r="G1243" s="73"/>
      <c r="H1243" s="73"/>
      <c r="I1243" s="73"/>
      <c r="J1243" s="497" t="s">
        <v>357</v>
      </c>
      <c r="K1243" s="498"/>
      <c r="L1243" s="562"/>
      <c r="M1243" s="73"/>
      <c r="N1243"/>
      <c r="O1243"/>
      <c r="P1243"/>
      <c r="Q1243"/>
      <c r="R1243"/>
      <c r="S1243"/>
      <c r="T1243" s="102">
        <f t="shared" si="932"/>
        <v>0</v>
      </c>
      <c r="U1243" s="78" t="str">
        <f>IF(NOT(ISNUMBER(G1243)), "", VLOOKUP(A1243,'Discount Lookup'!D:E,2,FALSE)*G1243)</f>
        <v/>
      </c>
      <c r="V1243" s="78" t="str">
        <f>IF(NOT(ISNUMBER(G1243)), "", VLOOKUP(A1243,'Discount Lookup'!G:H,2,FALSE)*G1243)</f>
        <v/>
      </c>
      <c r="W1243" s="102">
        <f t="shared" si="933"/>
        <v>0</v>
      </c>
      <c r="X1243" s="102">
        <f t="shared" si="934"/>
        <v>0</v>
      </c>
      <c r="Y1243" s="120" t="b">
        <f t="shared" si="935"/>
        <v>0</v>
      </c>
      <c r="Z1243" s="117">
        <f t="shared" si="936"/>
        <v>0</v>
      </c>
      <c r="AA1243" s="118"/>
      <c r="AB1243" s="118" t="str">
        <f t="shared" si="937"/>
        <v/>
      </c>
      <c r="AC1243" s="712" t="str">
        <f>IF(AE1243="T2G","no charge",IF(AND(OR(PlanterYesMe="No",PlanterYesMe="N",PlanterYesMe="me"),H1243=""),"",IF(H1243="credit","NO install",IF(AND(K1243="",AE1243="me"),"EACH row",IF(AND(K1243="images",AE1243="me"),"EACH row",IF(D1243="","",IF(H1243="credit","",IF(AE1243="free","re-planting",IF(AE1243="me","   not ELP, by",IF(AND(OR(PlanterYesMe="Yes",PlanterYesMe="Y"),G1243&gt;0),(VLOOKUP(A1243,'Discount Lookup'!J:K,2)*G1243*(1-PlanterDiscount)*(1+PlanterDifficultyPercentage)),IF(AE1243="ELP",(VLOOKUP(A1243,'Discount Lookup'!J:K,2)*G1243*(1-PlanterDiscount)*(1+PlanterDifficultyPercentage)),IF(AE1243="free","re-planting",IF(G1243=0,"",IF(PlanterYesMe="",IF(AE1243="me","   not ELP, by",IF(AE1243="",IF(G1243&gt;0,(VLOOKUP(A1243,'Discount Lookup'!J:K,2)*G1243*(1-PlanterDiscount)*(1+PlanterDifficultyPercentage)),""),"")),"   not ELP, by"))))))))))))))</f>
        <v/>
      </c>
      <c r="AD1243" s="712"/>
      <c r="AE1243" s="513" t="str">
        <f t="shared" si="938"/>
        <v/>
      </c>
      <c r="AF1243" s="713" t="str">
        <f t="shared" si="939"/>
        <v/>
      </c>
      <c r="AG1243" s="713"/>
      <c r="AH1243" s="713"/>
      <c r="AI1243" s="112">
        <f>IF(H1243="credit",0,IF(AE1243="free",0,IF(AE1243="me",0,IF(G1243&gt;0,(VLOOKUP(A1243,'Discount Lookup'!J:K,2)*G1243),0))))</f>
        <v>0</v>
      </c>
      <c r="AJ1243" s="107" t="str">
        <f t="shared" ca="1" si="940"/>
        <v/>
      </c>
      <c r="AK1243" s="714" t="str">
        <f t="shared" si="941"/>
        <v/>
      </c>
      <c r="AL1243" s="714"/>
      <c r="AM1243" s="114" t="str">
        <f t="shared" si="942"/>
        <v/>
      </c>
      <c r="AN1243" s="115"/>
      <c r="AO1243" s="116"/>
      <c r="AP1243" s="116"/>
      <c r="AQ1243" s="116"/>
      <c r="AR1243" s="116"/>
      <c r="AS1243" s="116"/>
      <c r="AT1243" s="116"/>
      <c r="AU1243" s="116"/>
      <c r="AV1243" s="78"/>
      <c r="AW1243" s="102"/>
      <c r="AX1243" s="78"/>
      <c r="AY1243" s="78"/>
      <c r="AZ1243" s="78"/>
      <c r="BA1243" s="78"/>
      <c r="BB1243" s="78"/>
      <c r="BC1243" s="78"/>
      <c r="BD1243" s="78"/>
      <c r="BE1243" s="465"/>
      <c r="BF1243" s="165" t="str">
        <f t="shared" si="943"/>
        <v>https://www.google.com/search?tbm=isch&amp;q=Cladrastis%20%3D%20Yellowwood%20</v>
      </c>
      <c r="BG1243" s="165" t="str">
        <f t="shared" si="944"/>
        <v>C</v>
      </c>
      <c r="BH1243" s="65"/>
      <c r="BI1243" s="65"/>
      <c r="BJ1243" s="65"/>
      <c r="BK1243" s="65"/>
      <c r="BL1243" s="99"/>
      <c r="BM1243" s="99"/>
      <c r="BN1243" s="99"/>
    </row>
    <row r="1244" spans="1:66" s="51" customFormat="1" ht="18" x14ac:dyDescent="0.25">
      <c r="A1244" s="623" t="s">
        <v>2256</v>
      </c>
      <c r="B1244" s="624"/>
      <c r="C1244" s="709"/>
      <c r="D1244" s="625" t="s">
        <v>2257</v>
      </c>
      <c r="E1244" s="626"/>
      <c r="F1244" s="626"/>
      <c r="G1244" s="626"/>
      <c r="H1244" s="622" t="s">
        <v>2258</v>
      </c>
      <c r="I1244" s="627" t="s">
        <v>349</v>
      </c>
      <c r="J1244" s="628"/>
      <c r="K1244" s="628"/>
      <c r="L1244" s="629"/>
      <c r="M1244" s="700" t="s">
        <v>5249</v>
      </c>
      <c r="N1244" s="693" t="str">
        <f>IF(AND(ISTEXT($A1244), ISERROR($A1244+0)), HYPERLINK($BF1244, "Images"), "")</f>
        <v>Images</v>
      </c>
      <c r="O1244" s="695" t="s">
        <v>5244</v>
      </c>
      <c r="P1244" s="630"/>
      <c r="Q1244" s="631"/>
      <c r="R1244" s="632"/>
      <c r="S1244" s="633" t="s">
        <v>294</v>
      </c>
      <c r="T1244" s="102">
        <f t="shared" si="932"/>
        <v>0</v>
      </c>
      <c r="U1244" s="78" t="str">
        <f>IF(NOT(ISNUMBER(G1244)), "", VLOOKUP(A1244,'Discount Lookup'!D:E,2,FALSE)*G1244)</f>
        <v/>
      </c>
      <c r="V1244" s="78" t="str">
        <f>IF(NOT(ISNUMBER(G1244)), "", VLOOKUP(A1244,'Discount Lookup'!G:H,2,FALSE)*G1244)</f>
        <v/>
      </c>
      <c r="W1244" s="102">
        <f t="shared" si="933"/>
        <v>0</v>
      </c>
      <c r="X1244" s="102" t="str">
        <f t="shared" si="934"/>
        <v>White bloom</v>
      </c>
      <c r="Y1244" s="120" t="b">
        <f t="shared" si="935"/>
        <v>0</v>
      </c>
      <c r="Z1244" s="117">
        <f t="shared" si="936"/>
        <v>0</v>
      </c>
      <c r="AA1244" s="118"/>
      <c r="AB1244" s="118" t="str">
        <f t="shared" si="937"/>
        <v/>
      </c>
      <c r="AC1244" s="712" t="str">
        <f>IF(AE1244="T2G","no charge",IF(AND(OR(PlanterYesMe="No",PlanterYesMe="N",PlanterYesMe="me"),H1244=""),"",IF(H1244="credit","NO install",IF(AND(K1244="",AE1244="me"),"EACH row",IF(AND(K1244="images",AE1244="me"),"EACH row",IF(D1244="","",IF(H1244="credit","",IF(AE1244="free","re-planting",IF(AE1244="me","   not ELP, by",IF(AND(OR(PlanterYesMe="Yes",PlanterYesMe="Y"),G1244&gt;0),(VLOOKUP(A1244,'Discount Lookup'!J:K,2)*G1244*(1-PlanterDiscount)*(1+PlanterDifficultyPercentage)),IF(AE1244="ELP",(VLOOKUP(A1244,'Discount Lookup'!J:K,2)*G1244*(1-PlanterDiscount)*(1+PlanterDifficultyPercentage)),IF(AE1244="free","re-planting",IF(G1244=0,"",IF(PlanterYesMe="",IF(AE1244="me","   not ELP, by",IF(AE1244="",IF(G1244&gt;0,(VLOOKUP(A1244,'Discount Lookup'!J:K,2)*G1244*(1-PlanterDiscount)*(1+PlanterDifficultyPercentage)),""),"")),"   not ELP, by"))))))))))))))</f>
        <v/>
      </c>
      <c r="AD1244" s="712"/>
      <c r="AE1244" s="513" t="str">
        <f t="shared" si="938"/>
        <v/>
      </c>
      <c r="AF1244" s="713" t="str">
        <f t="shared" si="939"/>
        <v/>
      </c>
      <c r="AG1244" s="713"/>
      <c r="AH1244" s="713"/>
      <c r="AI1244" s="112">
        <f>IF(H1244="credit",0,IF(AE1244="free",0,IF(AE1244="me",0,IF(G1244&gt;0,(VLOOKUP(A1244,'Discount Lookup'!J:K,2)*G1244),0))))</f>
        <v>0</v>
      </c>
      <c r="AJ1244" s="107" t="str">
        <f t="shared" ca="1" si="940"/>
        <v/>
      </c>
      <c r="AK1244" s="714" t="str">
        <f t="shared" si="941"/>
        <v/>
      </c>
      <c r="AL1244" s="714"/>
      <c r="AM1244" s="114" t="str">
        <f t="shared" si="942"/>
        <v/>
      </c>
      <c r="AN1244" s="115"/>
      <c r="AO1244" s="116"/>
      <c r="AP1244" s="116"/>
      <c r="AQ1244" s="116"/>
      <c r="AR1244" s="116"/>
      <c r="AS1244" s="116"/>
      <c r="AT1244" s="116"/>
      <c r="AU1244" s="116"/>
      <c r="AV1244" s="78"/>
      <c r="AW1244" s="102"/>
      <c r="AX1244" s="78"/>
      <c r="AY1244" s="78"/>
      <c r="AZ1244" s="78"/>
      <c r="BA1244" s="78"/>
      <c r="BB1244" s="78"/>
      <c r="BC1244" s="78"/>
      <c r="BD1244" s="78"/>
      <c r="BE1244" s="465"/>
      <c r="BF1244" s="165" t="str">
        <f t="shared" si="943"/>
        <v>https://www.google.com/search?tbm=isch&amp;q=Cladrastis%20kentukea%20Kentucky%20Yellowwood</v>
      </c>
      <c r="BG1244" s="165" t="str">
        <f t="shared" si="944"/>
        <v>C</v>
      </c>
      <c r="BH1244" s="65"/>
      <c r="BI1244" s="65"/>
      <c r="BJ1244" s="65"/>
      <c r="BK1244" s="65"/>
      <c r="BL1244" s="99"/>
      <c r="BM1244" s="99"/>
      <c r="BN1244" s="99"/>
    </row>
    <row r="1245" spans="1:66" s="51" customFormat="1" ht="15.75" x14ac:dyDescent="0.25">
      <c r="A1245" s="634">
        <v>7</v>
      </c>
      <c r="B1245" s="635" t="s">
        <v>291</v>
      </c>
      <c r="C1245" s="636" t="s">
        <v>2259</v>
      </c>
      <c r="D1245" s="637" t="s">
        <v>299</v>
      </c>
      <c r="E1245" s="638">
        <v>153.94999999999999</v>
      </c>
      <c r="F1245" s="639" t="s">
        <v>292</v>
      </c>
      <c r="G1245" s="484">
        <v>0</v>
      </c>
      <c r="H1245" s="691" t="str">
        <f>IF(G1245=0,"",IF(F1245="Buy",IF(G1245=1,"plant","plants"),IF(F1245&gt;0.01,"warranty","Error")))</f>
        <v/>
      </c>
      <c r="I1245" s="640">
        <f>IF(H1245="free",0,IF(H1245="credit",((E1245*(F1245))*G1245*-1),IF(F1245="Buy",(E1245*G1245),((E1245*(1-F1245))*G1245))))</f>
        <v>0</v>
      </c>
      <c r="J1245" s="640">
        <f>IF(H1245="warranty",0,(I1245*(_xlfn.SINGLE(SalesTaxPercentage))))</f>
        <v>0</v>
      </c>
      <c r="K1245" s="716">
        <f t="shared" ref="K1245" si="948">I1245+J1245</f>
        <v>0</v>
      </c>
      <c r="L1245" s="716"/>
      <c r="M1245" s="689" t="str">
        <f ca="1">IF(AND(G1245&gt;0,E1245=0),"WARNING - no PRICE inserted",IF(H1245="free","FREE ~ no charge this plant",IF(H1245="credit",CONCATENATE("-$",ROUND(K1245*(1-_xlfn.SINGLE(T2GDiscount))*-1,2)," CREDIT after discount"),IF(_xlfn.SINGLE(T2GDiscount)=0,"",IF(G1245=0,"",IF(F1245="Buy",CONCATENATE("$",ROUND(K1245*(1-_xlfn.SINGLE(T2GDiscount)),2)," with ",(_xlfn.SINGLE(T2GDiscount)*100),"% discount"),CONCATENATE("$",ROUND(K1245*(1-_xlfn.SINGLE(T2GDiscount)),2)," with ",((_xlfn.SINGLE(T2GDiscount)*100+F1245*100)-(_xlfn.SINGLE(T2GDiscount)*100*F1245)),IF(F1245&gt;0,"% discounts",IF(_xlfn.SINGLE(NoWarrantyDiscount)&gt;0,"% discounts","% discount")))))))))</f>
        <v/>
      </c>
      <c r="N1245" s="690"/>
      <c r="O1245" s="486"/>
      <c r="P1245" s="486"/>
      <c r="Q1245" s="486"/>
      <c r="R1245" s="486"/>
      <c r="S1245" s="486"/>
      <c r="T1245" s="102">
        <f t="shared" si="932"/>
        <v>0</v>
      </c>
      <c r="U1245" s="78">
        <f>IF(NOT(ISNUMBER(G1245)), "", VLOOKUP(A1245,'Discount Lookup'!D:E,2,FALSE)*G1245)</f>
        <v>0</v>
      </c>
      <c r="V1245" s="78">
        <f>IF(NOT(ISNUMBER(G1245)), "", VLOOKUP(A1245,'Discount Lookup'!G:H,2,FALSE)*G1245)</f>
        <v>0</v>
      </c>
      <c r="W1245" s="102">
        <f t="shared" si="933"/>
        <v>0</v>
      </c>
      <c r="X1245" s="102">
        <f t="shared" si="934"/>
        <v>0</v>
      </c>
      <c r="Y1245" s="120" t="b">
        <f t="shared" si="935"/>
        <v>0</v>
      </c>
      <c r="Z1245" s="117">
        <f t="shared" si="936"/>
        <v>0</v>
      </c>
      <c r="AA1245" s="118"/>
      <c r="AB1245" s="118" t="str">
        <f t="shared" si="937"/>
        <v/>
      </c>
      <c r="AC1245" s="712" t="str">
        <f>IF(AE1245="T2G","no charge",IF(AND(OR(PlanterYesMe="No",PlanterYesMe="N",PlanterYesMe="me"),H1245=""),"",IF(H1245="credit","NO install",IF(AND(K1245="",AE1245="me"),"EACH row",IF(AND(K1245="images",AE1245="me"),"EACH row",IF(D1245="","",IF(H1245="credit","",IF(AE1245="free","re-planting",IF(AE1245="me","   not ELP, by",IF(AND(OR(PlanterYesMe="Yes",PlanterYesMe="Y"),G1245&gt;0),(VLOOKUP(A1245,'Discount Lookup'!J:K,2)*G1245*(1-PlanterDiscount)*(1+PlanterDifficultyPercentage)),IF(AE1245="ELP",(VLOOKUP(A1245,'Discount Lookup'!J:K,2)*G1245*(1-PlanterDiscount)*(1+PlanterDifficultyPercentage)),IF(AE1245="free","re-planting",IF(G1245=0,"",IF(PlanterYesMe="",IF(AE1245="me","   not ELP, by",IF(AE1245="",IF(G1245&gt;0,(VLOOKUP(A1245,'Discount Lookup'!J:K,2)*G1245*(1-PlanterDiscount)*(1+PlanterDifficultyPercentage)),""),"")),"   not ELP, by"))))))))))))))</f>
        <v/>
      </c>
      <c r="AD1245" s="712"/>
      <c r="AE1245" s="513" t="str">
        <f t="shared" si="938"/>
        <v/>
      </c>
      <c r="AF1245" s="713" t="str">
        <f t="shared" si="939"/>
        <v/>
      </c>
      <c r="AG1245" s="713"/>
      <c r="AH1245" s="713"/>
      <c r="AI1245" s="112">
        <f>IF(H1245="credit",0,IF(AE1245="free",0,IF(AE1245="me",0,IF(G1245&gt;0,(VLOOKUP(A1245,'Discount Lookup'!J:K,2)*G1245),0))))</f>
        <v>0</v>
      </c>
      <c r="AJ1245" s="107" t="str">
        <f t="shared" ca="1" si="940"/>
        <v/>
      </c>
      <c r="AK1245" s="714" t="str">
        <f t="shared" si="941"/>
        <v/>
      </c>
      <c r="AL1245" s="714"/>
      <c r="AM1245" s="114" t="str">
        <f t="shared" si="942"/>
        <v/>
      </c>
      <c r="AN1245" s="115"/>
      <c r="AO1245" s="116"/>
      <c r="AP1245" s="116"/>
      <c r="AQ1245" s="116"/>
      <c r="AR1245" s="116"/>
      <c r="AS1245" s="116"/>
      <c r="AT1245" s="116"/>
      <c r="AU1245" s="116"/>
      <c r="AV1245" s="78"/>
      <c r="AW1245" s="102"/>
      <c r="AX1245" s="78"/>
      <c r="AY1245" s="78"/>
      <c r="AZ1245" s="78"/>
      <c r="BA1245" s="78"/>
      <c r="BB1245" s="78"/>
      <c r="BC1245" s="78"/>
      <c r="BD1245" s="78"/>
      <c r="BE1245" s="465"/>
      <c r="BF1245" s="165" t="str">
        <f t="shared" si="943"/>
        <v>https://www.google.com/search?tbm=isch&amp;q=7%20G4</v>
      </c>
      <c r="BG1245" s="165" t="str">
        <f t="shared" si="944"/>
        <v>C</v>
      </c>
      <c r="BH1245" s="65"/>
      <c r="BI1245" s="65"/>
      <c r="BJ1245" s="65"/>
      <c r="BK1245" s="65"/>
      <c r="BL1245" s="99"/>
      <c r="BM1245" s="99"/>
      <c r="BN1245" s="99"/>
    </row>
    <row r="1246" spans="1:66" s="51" customFormat="1" ht="16.5" x14ac:dyDescent="0.25">
      <c r="A1246" s="641" t="s">
        <v>2260</v>
      </c>
      <c r="B1246" s="642"/>
      <c r="C1246" s="710"/>
      <c r="D1246" s="643"/>
      <c r="E1246" s="643"/>
      <c r="F1246" s="644"/>
      <c r="G1246" s="645"/>
      <c r="H1246" s="646"/>
      <c r="I1246" s="647"/>
      <c r="J1246" s="648"/>
      <c r="K1246" s="649"/>
      <c r="L1246" s="650"/>
      <c r="M1246" s="650"/>
      <c r="N1246" s="644"/>
      <c r="O1246" s="644"/>
      <c r="P1246" s="644"/>
      <c r="Q1246" s="644"/>
      <c r="R1246" s="644"/>
      <c r="S1246" s="701" t="s">
        <v>5250</v>
      </c>
      <c r="T1246" s="102">
        <f t="shared" si="932"/>
        <v>0</v>
      </c>
      <c r="U1246" s="78" t="str">
        <f>IF(NOT(ISNUMBER(G1246)), "", VLOOKUP(A1246,'Discount Lookup'!D:E,2,FALSE)*G1246)</f>
        <v/>
      </c>
      <c r="V1246" s="78" t="str">
        <f>IF(NOT(ISNUMBER(G1246)), "", VLOOKUP(A1246,'Discount Lookup'!G:H,2,FALSE)*G1246)</f>
        <v/>
      </c>
      <c r="W1246" s="102">
        <f t="shared" si="933"/>
        <v>0</v>
      </c>
      <c r="X1246" s="102">
        <f t="shared" si="934"/>
        <v>0</v>
      </c>
      <c r="Y1246" s="120" t="b">
        <f t="shared" si="935"/>
        <v>0</v>
      </c>
      <c r="Z1246" s="117">
        <f t="shared" si="936"/>
        <v>0</v>
      </c>
      <c r="AA1246" s="118"/>
      <c r="AB1246" s="118" t="str">
        <f t="shared" si="937"/>
        <v/>
      </c>
      <c r="AC1246" s="712" t="str">
        <f>IF(AE1246="T2G","no charge",IF(AND(OR(PlanterYesMe="No",PlanterYesMe="N",PlanterYesMe="me"),H1246=""),"",IF(H1246="credit","NO install",IF(AND(K1246="",AE1246="me"),"EACH row",IF(AND(K1246="images",AE1246="me"),"EACH row",IF(D1246="","",IF(H1246="credit","",IF(AE1246="free","re-planting",IF(AE1246="me","   not ELP, by",IF(AND(OR(PlanterYesMe="Yes",PlanterYesMe="Y"),G1246&gt;0),(VLOOKUP(A1246,'Discount Lookup'!J:K,2)*G1246*(1-PlanterDiscount)*(1+PlanterDifficultyPercentage)),IF(AE1246="ELP",(VLOOKUP(A1246,'Discount Lookup'!J:K,2)*G1246*(1-PlanterDiscount)*(1+PlanterDifficultyPercentage)),IF(AE1246="free","re-planting",IF(G1246=0,"",IF(PlanterYesMe="",IF(AE1246="me","   not ELP, by",IF(AE1246="",IF(G1246&gt;0,(VLOOKUP(A1246,'Discount Lookup'!J:K,2)*G1246*(1-PlanterDiscount)*(1+PlanterDifficultyPercentage)),""),"")),"   not ELP, by"))))))))))))))</f>
        <v/>
      </c>
      <c r="AD1246" s="712"/>
      <c r="AE1246" s="513" t="str">
        <f t="shared" si="938"/>
        <v/>
      </c>
      <c r="AF1246" s="713" t="str">
        <f t="shared" si="939"/>
        <v/>
      </c>
      <c r="AG1246" s="713"/>
      <c r="AH1246" s="713"/>
      <c r="AI1246" s="112">
        <f>IF(H1246="credit",0,IF(AE1246="free",0,IF(AE1246="me",0,IF(G1246&gt;0,(VLOOKUP(A1246,'Discount Lookup'!J:K,2)*G1246),0))))</f>
        <v>0</v>
      </c>
      <c r="AJ1246" s="107" t="str">
        <f t="shared" ca="1" si="940"/>
        <v/>
      </c>
      <c r="AK1246" s="714" t="str">
        <f t="shared" si="941"/>
        <v/>
      </c>
      <c r="AL1246" s="714"/>
      <c r="AM1246" s="114" t="str">
        <f t="shared" si="942"/>
        <v/>
      </c>
      <c r="AN1246" s="115"/>
      <c r="AO1246" s="116"/>
      <c r="AP1246" s="116"/>
      <c r="AQ1246" s="116"/>
      <c r="AR1246" s="116"/>
      <c r="AS1246" s="116"/>
      <c r="AT1246" s="116"/>
      <c r="AU1246" s="116"/>
      <c r="AV1246" s="78"/>
      <c r="AW1246" s="102"/>
      <c r="AX1246" s="78"/>
      <c r="AY1246" s="78"/>
      <c r="AZ1246" s="78"/>
      <c r="BA1246" s="78"/>
      <c r="BB1246" s="78"/>
      <c r="BC1246" s="78"/>
      <c r="BD1246" s="78"/>
      <c r="BE1246" s="465"/>
      <c r="BF1246" s="165" t="str">
        <f t="shared" si="943"/>
        <v>https://www.google.com/search?tbm=isch&amp;q=Kentucky%20Yellowwood%20has%20spectaular%20bloom%2C%20but%20may%20take%208-10%20years%20to%20start%2C%20then%20blooms%20heavily%20only%20every%202-3%20years%20</v>
      </c>
      <c r="BG1246" s="165" t="str">
        <f t="shared" si="944"/>
        <v>K</v>
      </c>
      <c r="BH1246" s="65"/>
      <c r="BI1246" s="65"/>
      <c r="BJ1246" s="65"/>
      <c r="BK1246" s="65"/>
      <c r="BL1246" s="99"/>
      <c r="BM1246" s="99"/>
      <c r="BN1246" s="99"/>
    </row>
    <row r="1247" spans="1:66" s="51" customFormat="1" ht="19.5" thickBot="1" x14ac:dyDescent="0.3">
      <c r="A1247" s="686" t="s">
        <v>388</v>
      </c>
      <c r="B1247" s="73"/>
      <c r="C1247" s="708"/>
      <c r="D1247" s="73"/>
      <c r="E1247" s="73"/>
      <c r="F1247" s="496"/>
      <c r="G1247" s="73"/>
      <c r="H1247" s="73"/>
      <c r="I1247" s="73"/>
      <c r="J1247" s="497" t="s">
        <v>357</v>
      </c>
      <c r="K1247" s="498"/>
      <c r="L1247" s="562"/>
      <c r="M1247" s="73"/>
      <c r="N1247"/>
      <c r="O1247"/>
      <c r="P1247"/>
      <c r="Q1247"/>
      <c r="R1247"/>
      <c r="S1247"/>
      <c r="T1247" s="102">
        <f t="shared" si="932"/>
        <v>0</v>
      </c>
      <c r="U1247" s="78" t="str">
        <f>IF(NOT(ISNUMBER(G1247)), "", VLOOKUP(A1247,'Discount Lookup'!D:E,2,FALSE)*G1247)</f>
        <v/>
      </c>
      <c r="V1247" s="78" t="str">
        <f>IF(NOT(ISNUMBER(G1247)), "", VLOOKUP(A1247,'Discount Lookup'!G:H,2,FALSE)*G1247)</f>
        <v/>
      </c>
      <c r="W1247" s="102">
        <f t="shared" si="933"/>
        <v>0</v>
      </c>
      <c r="X1247" s="102">
        <f t="shared" si="934"/>
        <v>0</v>
      </c>
      <c r="Y1247" s="120" t="b">
        <f t="shared" si="935"/>
        <v>0</v>
      </c>
      <c r="Z1247" s="117">
        <f t="shared" si="936"/>
        <v>0</v>
      </c>
      <c r="AA1247" s="118"/>
      <c r="AB1247" s="118" t="str">
        <f t="shared" si="937"/>
        <v/>
      </c>
      <c r="AC1247" s="712" t="str">
        <f>IF(AE1247="T2G","no charge",IF(AND(OR(PlanterYesMe="No",PlanterYesMe="N",PlanterYesMe="me"),H1247=""),"",IF(H1247="credit","NO install",IF(AND(K1247="",AE1247="me"),"EACH row",IF(AND(K1247="images",AE1247="me"),"EACH row",IF(D1247="","",IF(H1247="credit","",IF(AE1247="free","re-planting",IF(AE1247="me","   not ELP, by",IF(AND(OR(PlanterYesMe="Yes",PlanterYesMe="Y"),G1247&gt;0),(VLOOKUP(A1247,'Discount Lookup'!J:K,2)*G1247*(1-PlanterDiscount)*(1+PlanterDifficultyPercentage)),IF(AE1247="ELP",(VLOOKUP(A1247,'Discount Lookup'!J:K,2)*G1247*(1-PlanterDiscount)*(1+PlanterDifficultyPercentage)),IF(AE1247="free","re-planting",IF(G1247=0,"",IF(PlanterYesMe="",IF(AE1247="me","   not ELP, by",IF(AE1247="",IF(G1247&gt;0,(VLOOKUP(A1247,'Discount Lookup'!J:K,2)*G1247*(1-PlanterDiscount)*(1+PlanterDifficultyPercentage)),""),"")),"   not ELP, by"))))))))))))))</f>
        <v/>
      </c>
      <c r="AD1247" s="712"/>
      <c r="AE1247" s="513" t="str">
        <f t="shared" si="938"/>
        <v/>
      </c>
      <c r="AF1247" s="713" t="str">
        <f t="shared" si="939"/>
        <v/>
      </c>
      <c r="AG1247" s="713"/>
      <c r="AH1247" s="713"/>
      <c r="AI1247" s="112">
        <f>IF(H1247="credit",0,IF(AE1247="free",0,IF(AE1247="me",0,IF(G1247&gt;0,(VLOOKUP(A1247,'Discount Lookup'!J:K,2)*G1247),0))))</f>
        <v>0</v>
      </c>
      <c r="AJ1247" s="107" t="str">
        <f t="shared" ca="1" si="940"/>
        <v/>
      </c>
      <c r="AK1247" s="714" t="str">
        <f t="shared" si="941"/>
        <v/>
      </c>
      <c r="AL1247" s="714"/>
      <c r="AM1247" s="114" t="str">
        <f t="shared" si="942"/>
        <v/>
      </c>
      <c r="AN1247" s="115"/>
      <c r="AO1247" s="116"/>
      <c r="AP1247" s="116"/>
      <c r="AQ1247" s="116"/>
      <c r="AR1247" s="116"/>
      <c r="AS1247" s="116"/>
      <c r="AT1247" s="116"/>
      <c r="AU1247" s="116"/>
      <c r="AV1247" s="78"/>
      <c r="AW1247" s="102"/>
      <c r="AX1247" s="78"/>
      <c r="AY1247" s="78"/>
      <c r="AZ1247" s="78"/>
      <c r="BA1247" s="78"/>
      <c r="BB1247" s="78"/>
      <c r="BC1247" s="78"/>
      <c r="BD1247" s="78"/>
      <c r="BE1247" s="465"/>
      <c r="BF1247" s="165" t="str">
        <f t="shared" si="943"/>
        <v>https://www.google.com/search?tbm=isch&amp;q=Clematis%20%3D%20Clematis%20Vine%20</v>
      </c>
      <c r="BG1247" s="165" t="str">
        <f t="shared" si="944"/>
        <v>C</v>
      </c>
      <c r="BH1247" s="65"/>
      <c r="BI1247" s="65"/>
      <c r="BJ1247" s="65"/>
      <c r="BK1247" s="65"/>
      <c r="BL1247" s="99"/>
      <c r="BM1247" s="99"/>
      <c r="BN1247" s="99"/>
    </row>
    <row r="1248" spans="1:66" s="51" customFormat="1" ht="18" x14ac:dyDescent="0.25">
      <c r="A1248" s="623" t="s">
        <v>2261</v>
      </c>
      <c r="B1248" s="624"/>
      <c r="C1248" s="709"/>
      <c r="D1248" s="625" t="s">
        <v>4911</v>
      </c>
      <c r="E1248" s="626"/>
      <c r="F1248" s="626"/>
      <c r="G1248" s="626"/>
      <c r="H1248" s="622" t="s">
        <v>2262</v>
      </c>
      <c r="I1248" s="627" t="s">
        <v>349</v>
      </c>
      <c r="J1248" s="628"/>
      <c r="K1248" s="628"/>
      <c r="L1248" s="629"/>
      <c r="M1248" s="700" t="s">
        <v>5249</v>
      </c>
      <c r="N1248" s="693" t="str">
        <f>IF(AND(ISTEXT($A1248), ISERROR($A1248+0)), HYPERLINK($BF1248, "Images"), "")</f>
        <v>Images</v>
      </c>
      <c r="O1248" s="695" t="s">
        <v>5264</v>
      </c>
      <c r="P1248" s="630"/>
      <c r="Q1248" s="631"/>
      <c r="R1248" s="632"/>
      <c r="S1248" s="633"/>
      <c r="T1248" s="102">
        <f t="shared" si="932"/>
        <v>0</v>
      </c>
      <c r="U1248" s="78" t="str">
        <f>IF(NOT(ISNUMBER(G1248)), "", VLOOKUP(A1248,'Discount Lookup'!D:E,2,FALSE)*G1248)</f>
        <v/>
      </c>
      <c r="V1248" s="78" t="str">
        <f>IF(NOT(ISNUMBER(G1248)), "", VLOOKUP(A1248,'Discount Lookup'!G:H,2,FALSE)*G1248)</f>
        <v/>
      </c>
      <c r="W1248" s="102">
        <f t="shared" si="933"/>
        <v>0</v>
      </c>
      <c r="X1248" s="102" t="str">
        <f t="shared" si="934"/>
        <v>White bloom</v>
      </c>
      <c r="Y1248" s="120" t="b">
        <f t="shared" si="935"/>
        <v>0</v>
      </c>
      <c r="Z1248" s="117">
        <f t="shared" si="936"/>
        <v>0</v>
      </c>
      <c r="AA1248" s="118"/>
      <c r="AB1248" s="118" t="str">
        <f t="shared" si="937"/>
        <v/>
      </c>
      <c r="AC1248" s="712" t="str">
        <f>IF(AE1248="T2G","no charge",IF(AND(OR(PlanterYesMe="No",PlanterYesMe="N",PlanterYesMe="me"),H1248=""),"",IF(H1248="credit","NO install",IF(AND(K1248="",AE1248="me"),"EACH row",IF(AND(K1248="images",AE1248="me"),"EACH row",IF(D1248="","",IF(H1248="credit","",IF(AE1248="free","re-planting",IF(AE1248="me","   not ELP, by",IF(AND(OR(PlanterYesMe="Yes",PlanterYesMe="Y"),G1248&gt;0),(VLOOKUP(A1248,'Discount Lookup'!J:K,2)*G1248*(1-PlanterDiscount)*(1+PlanterDifficultyPercentage)),IF(AE1248="ELP",(VLOOKUP(A1248,'Discount Lookup'!J:K,2)*G1248*(1-PlanterDiscount)*(1+PlanterDifficultyPercentage)),IF(AE1248="free","re-planting",IF(G1248=0,"",IF(PlanterYesMe="",IF(AE1248="me","   not ELP, by",IF(AE1248="",IF(G1248&gt;0,(VLOOKUP(A1248,'Discount Lookup'!J:K,2)*G1248*(1-PlanterDiscount)*(1+PlanterDifficultyPercentage)),""),"")),"   not ELP, by"))))))))))))))</f>
        <v/>
      </c>
      <c r="AD1248" s="712"/>
      <c r="AE1248" s="513" t="str">
        <f t="shared" si="938"/>
        <v/>
      </c>
      <c r="AF1248" s="713" t="str">
        <f t="shared" si="939"/>
        <v/>
      </c>
      <c r="AG1248" s="713"/>
      <c r="AH1248" s="713"/>
      <c r="AI1248" s="112">
        <f>IF(H1248="credit",0,IF(AE1248="free",0,IF(AE1248="me",0,IF(G1248&gt;0,(VLOOKUP(A1248,'Discount Lookup'!J:K,2)*G1248),0))))</f>
        <v>0</v>
      </c>
      <c r="AJ1248" s="107" t="str">
        <f t="shared" ca="1" si="940"/>
        <v/>
      </c>
      <c r="AK1248" s="714" t="str">
        <f t="shared" si="941"/>
        <v/>
      </c>
      <c r="AL1248" s="714"/>
      <c r="AM1248" s="114" t="str">
        <f t="shared" si="942"/>
        <v/>
      </c>
      <c r="AN1248" s="115"/>
      <c r="AO1248" s="116"/>
      <c r="AP1248" s="116"/>
      <c r="AQ1248" s="116"/>
      <c r="AR1248" s="116"/>
      <c r="AS1248" s="116"/>
      <c r="AT1248" s="116"/>
      <c r="AU1248" s="116"/>
      <c r="AV1248" s="78"/>
      <c r="AW1248" s="102"/>
      <c r="AX1248" s="78"/>
      <c r="AY1248" s="78"/>
      <c r="AZ1248" s="78"/>
      <c r="BA1248" s="78"/>
      <c r="BB1248" s="78"/>
      <c r="BC1248" s="78"/>
      <c r="BD1248" s="78"/>
      <c r="BE1248" s="465"/>
      <c r="BF1248" s="165" t="str">
        <f t="shared" si="943"/>
        <v>https://www.google.com/search?tbm=isch&amp;q=Clematis%20%27Henryi%27%20Henryi%20Clematis%20Vine</v>
      </c>
      <c r="BG1248" s="165" t="str">
        <f t="shared" si="944"/>
        <v>C</v>
      </c>
      <c r="BH1248" s="65"/>
      <c r="BI1248" s="65"/>
      <c r="BJ1248" s="65"/>
      <c r="BK1248" s="65"/>
      <c r="BL1248" s="99"/>
      <c r="BM1248" s="99"/>
      <c r="BN1248" s="99"/>
    </row>
    <row r="1249" spans="1:66" s="51" customFormat="1" ht="15.75" x14ac:dyDescent="0.25">
      <c r="A1249" s="634">
        <v>4</v>
      </c>
      <c r="B1249" s="635" t="s">
        <v>338</v>
      </c>
      <c r="C1249" s="636"/>
      <c r="D1249" s="637" t="s">
        <v>329</v>
      </c>
      <c r="E1249" s="638">
        <v>16.95</v>
      </c>
      <c r="F1249" s="639" t="s">
        <v>292</v>
      </c>
      <c r="G1249" s="484">
        <v>0</v>
      </c>
      <c r="H1249" s="691" t="str">
        <f>IF(G1249=0,"",IF(F1249="Buy",IF(G1249=1,"plant","plants"),IF(F1249&gt;0.01,"warranty","Error")))</f>
        <v/>
      </c>
      <c r="I1249" s="640">
        <f>IF(H1249="free",0,IF(H1249="credit",((E1249*(F1249))*G1249*-1),IF(F1249="Buy",(E1249*G1249),((E1249*(1-F1249))*G1249))))</f>
        <v>0</v>
      </c>
      <c r="J1249" s="640">
        <f>IF(H1249="warranty",0,(I1249*(_xlfn.SINGLE(SalesTaxPercentage))))</f>
        <v>0</v>
      </c>
      <c r="K1249" s="716">
        <f t="shared" ref="K1249" si="949">I1249+J1249</f>
        <v>0</v>
      </c>
      <c r="L1249" s="716"/>
      <c r="M1249" s="689" t="str">
        <f ca="1">IF(AND(G1249&gt;0,E1249=0),"WARNING - no PRICE inserted",IF(H1249="free","FREE ~ no charge this plant",IF(H1249="credit",CONCATENATE("-$",ROUND(K1249*(1-_xlfn.SINGLE(T2GDiscount))*-1,2)," CREDIT after discount"),IF(_xlfn.SINGLE(T2GDiscount)=0,"",IF(G1249=0,"",IF(F1249="Buy",CONCATENATE("$",ROUND(K1249*(1-_xlfn.SINGLE(T2GDiscount)),2)," with ",(_xlfn.SINGLE(T2GDiscount)*100),"% discount"),CONCATENATE("$",ROUND(K1249*(1-_xlfn.SINGLE(T2GDiscount)),2)," with ",((_xlfn.SINGLE(T2GDiscount)*100+F1249*100)-(_xlfn.SINGLE(T2GDiscount)*100*F1249)),IF(F1249&gt;0,"% discounts",IF(_xlfn.SINGLE(NoWarrantyDiscount)&gt;0,"% discounts","% discount")))))))))</f>
        <v/>
      </c>
      <c r="N1249" s="690"/>
      <c r="O1249" s="486"/>
      <c r="P1249" s="486"/>
      <c r="Q1249" s="486"/>
      <c r="R1249" s="486"/>
      <c r="S1249" s="486"/>
      <c r="T1249" s="102">
        <f t="shared" si="932"/>
        <v>0</v>
      </c>
      <c r="U1249" s="78">
        <f>IF(NOT(ISNUMBER(G1249)), "", VLOOKUP(A1249,'Discount Lookup'!D:E,2,FALSE)*G1249)</f>
        <v>0</v>
      </c>
      <c r="V1249" s="78">
        <f>IF(NOT(ISNUMBER(G1249)), "", VLOOKUP(A1249,'Discount Lookup'!G:H,2,FALSE)*G1249)</f>
        <v>0</v>
      </c>
      <c r="W1249" s="102">
        <f t="shared" si="933"/>
        <v>0</v>
      </c>
      <c r="X1249" s="102">
        <f t="shared" si="934"/>
        <v>0</v>
      </c>
      <c r="Y1249" s="120" t="b">
        <f t="shared" si="935"/>
        <v>0</v>
      </c>
      <c r="Z1249" s="117">
        <f t="shared" si="936"/>
        <v>0</v>
      </c>
      <c r="AA1249" s="118"/>
      <c r="AB1249" s="118" t="str">
        <f t="shared" si="937"/>
        <v/>
      </c>
      <c r="AC1249" s="712" t="str">
        <f>IF(AE1249="T2G","no charge",IF(AND(OR(PlanterYesMe="No",PlanterYesMe="N",PlanterYesMe="me"),H1249=""),"",IF(H1249="credit","NO install",IF(AND(K1249="",AE1249="me"),"EACH row",IF(AND(K1249="images",AE1249="me"),"EACH row",IF(D1249="","",IF(H1249="credit","",IF(AE1249="free","re-planting",IF(AE1249="me","   not ELP, by",IF(AND(OR(PlanterYesMe="Yes",PlanterYesMe="Y"),G1249&gt;0),(VLOOKUP(A1249,'Discount Lookup'!J:K,2)*G1249*(1-PlanterDiscount)*(1+PlanterDifficultyPercentage)),IF(AE1249="ELP",(VLOOKUP(A1249,'Discount Lookup'!J:K,2)*G1249*(1-PlanterDiscount)*(1+PlanterDifficultyPercentage)),IF(AE1249="free","re-planting",IF(G1249=0,"",IF(PlanterYesMe="",IF(AE1249="me","   not ELP, by",IF(AE1249="",IF(G1249&gt;0,(VLOOKUP(A1249,'Discount Lookup'!J:K,2)*G1249*(1-PlanterDiscount)*(1+PlanterDifficultyPercentage)),""),"")),"   not ELP, by"))))))))))))))</f>
        <v/>
      </c>
      <c r="AD1249" s="712"/>
      <c r="AE1249" s="513" t="str">
        <f t="shared" si="938"/>
        <v/>
      </c>
      <c r="AF1249" s="713" t="str">
        <f t="shared" si="939"/>
        <v/>
      </c>
      <c r="AG1249" s="713"/>
      <c r="AH1249" s="713"/>
      <c r="AI1249" s="112">
        <f>IF(H1249="credit",0,IF(AE1249="free",0,IF(AE1249="me",0,IF(G1249&gt;0,(VLOOKUP(A1249,'Discount Lookup'!J:K,2)*G1249),0))))</f>
        <v>0</v>
      </c>
      <c r="AJ1249" s="107" t="str">
        <f t="shared" ca="1" si="940"/>
        <v/>
      </c>
      <c r="AK1249" s="714" t="str">
        <f t="shared" si="941"/>
        <v/>
      </c>
      <c r="AL1249" s="714"/>
      <c r="AM1249" s="114" t="str">
        <f t="shared" si="942"/>
        <v/>
      </c>
      <c r="AN1249" s="115"/>
      <c r="AO1249" s="116"/>
      <c r="AP1249" s="116"/>
      <c r="AQ1249" s="116"/>
      <c r="AR1249" s="116"/>
      <c r="AS1249" s="116"/>
      <c r="AT1249" s="116"/>
      <c r="AU1249" s="116"/>
      <c r="AV1249" s="78"/>
      <c r="AW1249" s="102"/>
      <c r="AX1249" s="78"/>
      <c r="AY1249" s="78"/>
      <c r="AZ1249" s="78"/>
      <c r="BA1249" s="78"/>
      <c r="BB1249" s="78"/>
      <c r="BC1249" s="78"/>
      <c r="BD1249" s="78"/>
      <c r="BE1249" s="465"/>
      <c r="BF1249" s="165" t="str">
        <f t="shared" si="943"/>
        <v>https://www.google.com/search?tbm=isch&amp;q=4%20G2</v>
      </c>
      <c r="BG1249" s="165" t="str">
        <f t="shared" si="944"/>
        <v>C</v>
      </c>
      <c r="BH1249" s="65"/>
      <c r="BI1249" s="65"/>
      <c r="BJ1249" s="65"/>
      <c r="BK1249" s="65"/>
      <c r="BL1249" s="99"/>
      <c r="BM1249" s="99"/>
      <c r="BN1249" s="99"/>
    </row>
    <row r="1250" spans="1:66" s="51" customFormat="1" ht="17.25" thickBot="1" x14ac:dyDescent="0.3">
      <c r="A1250" s="641" t="s">
        <v>4912</v>
      </c>
      <c r="B1250" s="642"/>
      <c r="C1250" s="710"/>
      <c r="D1250" s="643"/>
      <c r="E1250" s="643"/>
      <c r="F1250" s="644"/>
      <c r="G1250" s="645"/>
      <c r="H1250" s="646"/>
      <c r="I1250" s="647"/>
      <c r="J1250" s="648"/>
      <c r="K1250" s="649"/>
      <c r="L1250" s="650"/>
      <c r="M1250" s="650"/>
      <c r="N1250" s="644"/>
      <c r="O1250" s="644"/>
      <c r="P1250" s="644"/>
      <c r="Q1250" s="644"/>
      <c r="R1250" s="644"/>
      <c r="S1250" s="701" t="s">
        <v>5273</v>
      </c>
      <c r="T1250" s="102">
        <f t="shared" si="932"/>
        <v>0</v>
      </c>
      <c r="U1250" s="78" t="str">
        <f>IF(NOT(ISNUMBER(G1250)), "", VLOOKUP(A1250,'Discount Lookup'!D:E,2,FALSE)*G1250)</f>
        <v/>
      </c>
      <c r="V1250" s="78" t="str">
        <f>IF(NOT(ISNUMBER(G1250)), "", VLOOKUP(A1250,'Discount Lookup'!G:H,2,FALSE)*G1250)</f>
        <v/>
      </c>
      <c r="W1250" s="102">
        <f t="shared" si="933"/>
        <v>0</v>
      </c>
      <c r="X1250" s="102">
        <f t="shared" si="934"/>
        <v>0</v>
      </c>
      <c r="Y1250" s="120" t="b">
        <f t="shared" si="935"/>
        <v>0</v>
      </c>
      <c r="Z1250" s="117">
        <f t="shared" si="936"/>
        <v>0</v>
      </c>
      <c r="AA1250" s="118"/>
      <c r="AB1250" s="118" t="str">
        <f t="shared" si="937"/>
        <v/>
      </c>
      <c r="AC1250" s="712" t="str">
        <f>IF(AE1250="T2G","no charge",IF(AND(OR(PlanterYesMe="No",PlanterYesMe="N",PlanterYesMe="me"),H1250=""),"",IF(H1250="credit","NO install",IF(AND(K1250="",AE1250="me"),"EACH row",IF(AND(K1250="images",AE1250="me"),"EACH row",IF(D1250="","",IF(H1250="credit","",IF(AE1250="free","re-planting",IF(AE1250="me","   not ELP, by",IF(AND(OR(PlanterYesMe="Yes",PlanterYesMe="Y"),G1250&gt;0),(VLOOKUP(A1250,'Discount Lookup'!J:K,2)*G1250*(1-PlanterDiscount)*(1+PlanterDifficultyPercentage)),IF(AE1250="ELP",(VLOOKUP(A1250,'Discount Lookup'!J:K,2)*G1250*(1-PlanterDiscount)*(1+PlanterDifficultyPercentage)),IF(AE1250="free","re-planting",IF(G1250=0,"",IF(PlanterYesMe="",IF(AE1250="me","   not ELP, by",IF(AE1250="",IF(G1250&gt;0,(VLOOKUP(A1250,'Discount Lookup'!J:K,2)*G1250*(1-PlanterDiscount)*(1+PlanterDifficultyPercentage)),""),"")),"   not ELP, by"))))))))))))))</f>
        <v/>
      </c>
      <c r="AD1250" s="712"/>
      <c r="AE1250" s="513" t="str">
        <f t="shared" si="938"/>
        <v/>
      </c>
      <c r="AF1250" s="713" t="str">
        <f t="shared" si="939"/>
        <v/>
      </c>
      <c r="AG1250" s="713"/>
      <c r="AH1250" s="713"/>
      <c r="AI1250" s="112">
        <f>IF(H1250="credit",0,IF(AE1250="free",0,IF(AE1250="me",0,IF(G1250&gt;0,(VLOOKUP(A1250,'Discount Lookup'!J:K,2)*G1250),0))))</f>
        <v>0</v>
      </c>
      <c r="AJ1250" s="107" t="str">
        <f t="shared" ca="1" si="940"/>
        <v/>
      </c>
      <c r="AK1250" s="714" t="str">
        <f t="shared" si="941"/>
        <v/>
      </c>
      <c r="AL1250" s="714"/>
      <c r="AM1250" s="114" t="str">
        <f t="shared" si="942"/>
        <v/>
      </c>
      <c r="AN1250" s="115"/>
      <c r="AO1250" s="116"/>
      <c r="AP1250" s="116"/>
      <c r="AQ1250" s="116"/>
      <c r="AR1250" s="116"/>
      <c r="AS1250" s="116"/>
      <c r="AT1250" s="116"/>
      <c r="AU1250" s="116"/>
      <c r="AV1250" s="78"/>
      <c r="AW1250" s="102"/>
      <c r="AX1250" s="78"/>
      <c r="AY1250" s="78"/>
      <c r="AZ1250" s="78"/>
      <c r="BA1250" s="78"/>
      <c r="BB1250" s="78"/>
      <c r="BC1250" s="78"/>
      <c r="BD1250" s="78"/>
      <c r="BE1250" s="465"/>
      <c r="BF1250" s="165" t="str">
        <f t="shared" si="943"/>
        <v>https://www.google.com/search?tbm=isch&amp;q=Henryi%20is%20known%20as%20the%20largest%20of%20the%20white%20clematis.%20Prune%20Clematis%20often%20for%20optimal%20flower%20set%20</v>
      </c>
      <c r="BG1250" s="165" t="str">
        <f t="shared" si="944"/>
        <v>H</v>
      </c>
      <c r="BH1250" s="65"/>
      <c r="BI1250" s="65"/>
      <c r="BJ1250" s="65"/>
      <c r="BK1250" s="65"/>
      <c r="BL1250" s="99"/>
      <c r="BM1250" s="99"/>
      <c r="BN1250" s="99"/>
    </row>
    <row r="1251" spans="1:66" s="51" customFormat="1" ht="18" x14ac:dyDescent="0.25">
      <c r="A1251" s="623" t="s">
        <v>2263</v>
      </c>
      <c r="B1251" s="624"/>
      <c r="C1251" s="709"/>
      <c r="D1251" s="625" t="s">
        <v>4913</v>
      </c>
      <c r="E1251" s="626"/>
      <c r="F1251" s="626"/>
      <c r="G1251" s="626"/>
      <c r="H1251" s="622" t="s">
        <v>4305</v>
      </c>
      <c r="I1251" s="627" t="s">
        <v>4914</v>
      </c>
      <c r="J1251" s="628"/>
      <c r="K1251" s="628"/>
      <c r="L1251" s="629"/>
      <c r="M1251" s="700" t="s">
        <v>5249</v>
      </c>
      <c r="N1251" s="693" t="str">
        <f>IF(AND(ISTEXT($A1251), ISERROR($A1251+0)), HYPERLINK($BF1251, "Images"), "")</f>
        <v>Images</v>
      </c>
      <c r="O1251" s="695" t="s">
        <v>5264</v>
      </c>
      <c r="P1251" s="630"/>
      <c r="Q1251" s="631"/>
      <c r="R1251" s="632"/>
      <c r="S1251" s="633"/>
      <c r="T1251" s="102">
        <f t="shared" si="932"/>
        <v>0</v>
      </c>
      <c r="U1251" s="78" t="str">
        <f>IF(NOT(ISNUMBER(G1251)), "", VLOOKUP(A1251,'Discount Lookup'!D:E,2,FALSE)*G1251)</f>
        <v/>
      </c>
      <c r="V1251" s="78" t="str">
        <f>IF(NOT(ISNUMBER(G1251)), "", VLOOKUP(A1251,'Discount Lookup'!G:H,2,FALSE)*G1251)</f>
        <v/>
      </c>
      <c r="W1251" s="102">
        <f t="shared" si="933"/>
        <v>0</v>
      </c>
      <c r="X1251" s="102" t="str">
        <f t="shared" si="934"/>
        <v>Deep Ruby-Red bloom</v>
      </c>
      <c r="Y1251" s="120" t="b">
        <f t="shared" si="935"/>
        <v>0</v>
      </c>
      <c r="Z1251" s="117">
        <f t="shared" si="936"/>
        <v>0</v>
      </c>
      <c r="AA1251" s="118"/>
      <c r="AB1251" s="118" t="str">
        <f t="shared" si="937"/>
        <v/>
      </c>
      <c r="AC1251" s="712" t="str">
        <f>IF(AE1251="T2G","no charge",IF(AND(OR(PlanterYesMe="No",PlanterYesMe="N",PlanterYesMe="me"),H1251=""),"",IF(H1251="credit","NO install",IF(AND(K1251="",AE1251="me"),"EACH row",IF(AND(K1251="images",AE1251="me"),"EACH row",IF(D1251="","",IF(H1251="credit","",IF(AE1251="free","re-planting",IF(AE1251="me","   not ELP, by",IF(AND(OR(PlanterYesMe="Yes",PlanterYesMe="Y"),G1251&gt;0),(VLOOKUP(A1251,'Discount Lookup'!J:K,2)*G1251*(1-PlanterDiscount)*(1+PlanterDifficultyPercentage)),IF(AE1251="ELP",(VLOOKUP(A1251,'Discount Lookup'!J:K,2)*G1251*(1-PlanterDiscount)*(1+PlanterDifficultyPercentage)),IF(AE1251="free","re-planting",IF(G1251=0,"",IF(PlanterYesMe="",IF(AE1251="me","   not ELP, by",IF(AE1251="",IF(G1251&gt;0,(VLOOKUP(A1251,'Discount Lookup'!J:K,2)*G1251*(1-PlanterDiscount)*(1+PlanterDifficultyPercentage)),""),"")),"   not ELP, by"))))))))))))))</f>
        <v/>
      </c>
      <c r="AD1251" s="712"/>
      <c r="AE1251" s="513" t="str">
        <f t="shared" si="938"/>
        <v/>
      </c>
      <c r="AF1251" s="713" t="str">
        <f t="shared" si="939"/>
        <v/>
      </c>
      <c r="AG1251" s="713"/>
      <c r="AH1251" s="713"/>
      <c r="AI1251" s="112">
        <f>IF(H1251="credit",0,IF(AE1251="free",0,IF(AE1251="me",0,IF(G1251&gt;0,(VLOOKUP(A1251,'Discount Lookup'!J:K,2)*G1251),0))))</f>
        <v>0</v>
      </c>
      <c r="AJ1251" s="107" t="str">
        <f t="shared" ca="1" si="940"/>
        <v/>
      </c>
      <c r="AK1251" s="714" t="str">
        <f t="shared" si="941"/>
        <v/>
      </c>
      <c r="AL1251" s="714"/>
      <c r="AM1251" s="114" t="str">
        <f t="shared" si="942"/>
        <v/>
      </c>
      <c r="AN1251" s="115"/>
      <c r="AO1251" s="116"/>
      <c r="AP1251" s="116"/>
      <c r="AQ1251" s="116"/>
      <c r="AR1251" s="116"/>
      <c r="AS1251" s="116"/>
      <c r="AT1251" s="116"/>
      <c r="AU1251" s="116"/>
      <c r="AV1251" s="78"/>
      <c r="AW1251" s="102"/>
      <c r="AX1251" s="78"/>
      <c r="AY1251" s="78"/>
      <c r="AZ1251" s="78"/>
      <c r="BA1251" s="78"/>
      <c r="BB1251" s="78"/>
      <c r="BC1251" s="78"/>
      <c r="BD1251" s="78"/>
      <c r="BE1251" s="465"/>
      <c r="BF1251" s="165" t="str">
        <f t="shared" si="943"/>
        <v>https://www.google.com/search?tbm=isch&amp;q=Clematis%20%27Niobe%27%20Niobe%20Clematis%20Vine</v>
      </c>
      <c r="BG1251" s="165" t="str">
        <f t="shared" si="944"/>
        <v>C</v>
      </c>
      <c r="BH1251" s="65"/>
      <c r="BI1251" s="65"/>
      <c r="BJ1251" s="65"/>
      <c r="BK1251" s="65"/>
      <c r="BL1251" s="99"/>
      <c r="BM1251" s="99"/>
      <c r="BN1251" s="99"/>
    </row>
    <row r="1252" spans="1:66" s="51" customFormat="1" ht="15.75" x14ac:dyDescent="0.25">
      <c r="A1252" s="634">
        <v>4</v>
      </c>
      <c r="B1252" s="635" t="s">
        <v>338</v>
      </c>
      <c r="C1252" s="636"/>
      <c r="D1252" s="637" t="s">
        <v>329</v>
      </c>
      <c r="E1252" s="638">
        <v>16.95</v>
      </c>
      <c r="F1252" s="639" t="s">
        <v>292</v>
      </c>
      <c r="G1252" s="484">
        <v>0</v>
      </c>
      <c r="H1252" s="691" t="str">
        <f>IF(G1252=0,"",IF(F1252="Buy",IF(G1252=1,"plant","plants"),IF(F1252&gt;0.01,"warranty","Error")))</f>
        <v/>
      </c>
      <c r="I1252" s="640">
        <f>IF(H1252="free",0,IF(H1252="credit",((E1252*(F1252))*G1252*-1),IF(F1252="Buy",(E1252*G1252),((E1252*(1-F1252))*G1252))))</f>
        <v>0</v>
      </c>
      <c r="J1252" s="640">
        <f>IF(H1252="warranty",0,(I1252*(_xlfn.SINGLE(SalesTaxPercentage))))</f>
        <v>0</v>
      </c>
      <c r="K1252" s="716">
        <f t="shared" ref="K1252" si="950">I1252+J1252</f>
        <v>0</v>
      </c>
      <c r="L1252" s="716"/>
      <c r="M1252" s="689" t="str">
        <f ca="1">IF(AND(G1252&gt;0,E1252=0),"WARNING - no PRICE inserted",IF(H1252="free","FREE ~ no charge this plant",IF(H1252="credit",CONCATENATE("-$",ROUND(K1252*(1-_xlfn.SINGLE(T2GDiscount))*-1,2)," CREDIT after discount"),IF(_xlfn.SINGLE(T2GDiscount)=0,"",IF(G1252=0,"",IF(F1252="Buy",CONCATENATE("$",ROUND(K1252*(1-_xlfn.SINGLE(T2GDiscount)),2)," with ",(_xlfn.SINGLE(T2GDiscount)*100),"% discount"),CONCATENATE("$",ROUND(K1252*(1-_xlfn.SINGLE(T2GDiscount)),2)," with ",((_xlfn.SINGLE(T2GDiscount)*100+F1252*100)-(_xlfn.SINGLE(T2GDiscount)*100*F1252)),IF(F1252&gt;0,"% discounts",IF(_xlfn.SINGLE(NoWarrantyDiscount)&gt;0,"% discounts","% discount")))))))))</f>
        <v/>
      </c>
      <c r="N1252" s="690"/>
      <c r="O1252" s="486"/>
      <c r="P1252" s="486"/>
      <c r="Q1252" s="486"/>
      <c r="R1252" s="486"/>
      <c r="S1252" s="486"/>
      <c r="T1252" s="102">
        <f t="shared" si="932"/>
        <v>0</v>
      </c>
      <c r="U1252" s="78">
        <f>IF(NOT(ISNUMBER(G1252)), "", VLOOKUP(A1252,'Discount Lookup'!D:E,2,FALSE)*G1252)</f>
        <v>0</v>
      </c>
      <c r="V1252" s="78">
        <f>IF(NOT(ISNUMBER(G1252)), "", VLOOKUP(A1252,'Discount Lookup'!G:H,2,FALSE)*G1252)</f>
        <v>0</v>
      </c>
      <c r="W1252" s="102">
        <f t="shared" si="933"/>
        <v>0</v>
      </c>
      <c r="X1252" s="102">
        <f t="shared" si="934"/>
        <v>0</v>
      </c>
      <c r="Y1252" s="120" t="b">
        <f t="shared" si="935"/>
        <v>0</v>
      </c>
      <c r="Z1252" s="117">
        <f t="shared" si="936"/>
        <v>0</v>
      </c>
      <c r="AA1252" s="118"/>
      <c r="AB1252" s="118" t="str">
        <f t="shared" si="937"/>
        <v/>
      </c>
      <c r="AC1252" s="712" t="str">
        <f>IF(AE1252="T2G","no charge",IF(AND(OR(PlanterYesMe="No",PlanterYesMe="N",PlanterYesMe="me"),H1252=""),"",IF(H1252="credit","NO install",IF(AND(K1252="",AE1252="me"),"EACH row",IF(AND(K1252="images",AE1252="me"),"EACH row",IF(D1252="","",IF(H1252="credit","",IF(AE1252="free","re-planting",IF(AE1252="me","   not ELP, by",IF(AND(OR(PlanterYesMe="Yes",PlanterYesMe="Y"),G1252&gt;0),(VLOOKUP(A1252,'Discount Lookup'!J:K,2)*G1252*(1-PlanterDiscount)*(1+PlanterDifficultyPercentage)),IF(AE1252="ELP",(VLOOKUP(A1252,'Discount Lookup'!J:K,2)*G1252*(1-PlanterDiscount)*(1+PlanterDifficultyPercentage)),IF(AE1252="free","re-planting",IF(G1252=0,"",IF(PlanterYesMe="",IF(AE1252="me","   not ELP, by",IF(AE1252="",IF(G1252&gt;0,(VLOOKUP(A1252,'Discount Lookup'!J:K,2)*G1252*(1-PlanterDiscount)*(1+PlanterDifficultyPercentage)),""),"")),"   not ELP, by"))))))))))))))</f>
        <v/>
      </c>
      <c r="AD1252" s="712"/>
      <c r="AE1252" s="513" t="str">
        <f t="shared" si="938"/>
        <v/>
      </c>
      <c r="AF1252" s="713" t="str">
        <f t="shared" si="939"/>
        <v/>
      </c>
      <c r="AG1252" s="713"/>
      <c r="AH1252" s="713"/>
      <c r="AI1252" s="112">
        <f>IF(H1252="credit",0,IF(AE1252="free",0,IF(AE1252="me",0,IF(G1252&gt;0,(VLOOKUP(A1252,'Discount Lookup'!J:K,2)*G1252),0))))</f>
        <v>0</v>
      </c>
      <c r="AJ1252" s="107" t="str">
        <f t="shared" ca="1" si="940"/>
        <v/>
      </c>
      <c r="AK1252" s="714" t="str">
        <f t="shared" si="941"/>
        <v/>
      </c>
      <c r="AL1252" s="714"/>
      <c r="AM1252" s="114" t="str">
        <f t="shared" si="942"/>
        <v/>
      </c>
      <c r="AN1252" s="115"/>
      <c r="AO1252" s="116"/>
      <c r="AP1252" s="116"/>
      <c r="AQ1252" s="116"/>
      <c r="AR1252" s="116"/>
      <c r="AS1252" s="116"/>
      <c r="AT1252" s="116"/>
      <c r="AU1252" s="116"/>
      <c r="AV1252" s="78"/>
      <c r="AW1252" s="102"/>
      <c r="AX1252" s="78"/>
      <c r="AY1252" s="78"/>
      <c r="AZ1252" s="78"/>
      <c r="BA1252" s="78"/>
      <c r="BB1252" s="78"/>
      <c r="BC1252" s="78"/>
      <c r="BD1252" s="78"/>
      <c r="BE1252" s="465"/>
      <c r="BF1252" s="165" t="str">
        <f t="shared" si="943"/>
        <v>https://www.google.com/search?tbm=isch&amp;q=4%20G2</v>
      </c>
      <c r="BG1252" s="165" t="str">
        <f t="shared" si="944"/>
        <v>C</v>
      </c>
      <c r="BH1252" s="65"/>
      <c r="BI1252" s="65"/>
      <c r="BJ1252" s="65"/>
      <c r="BK1252" s="65"/>
      <c r="BL1252" s="99"/>
      <c r="BM1252" s="99"/>
      <c r="BN1252" s="99"/>
    </row>
    <row r="1253" spans="1:66" s="51" customFormat="1" ht="16.5" x14ac:dyDescent="0.25">
      <c r="A1253" s="641" t="s">
        <v>4915</v>
      </c>
      <c r="B1253" s="642"/>
      <c r="C1253" s="710"/>
      <c r="D1253" s="643"/>
      <c r="E1253" s="643"/>
      <c r="F1253" s="644"/>
      <c r="G1253" s="645"/>
      <c r="H1253" s="646"/>
      <c r="I1253" s="647"/>
      <c r="J1253" s="648"/>
      <c r="K1253" s="649"/>
      <c r="L1253" s="650"/>
      <c r="M1253" s="650"/>
      <c r="N1253" s="644"/>
      <c r="O1253" s="644"/>
      <c r="P1253" s="644"/>
      <c r="Q1253" s="644"/>
      <c r="R1253" s="644"/>
      <c r="S1253" s="701" t="s">
        <v>5271</v>
      </c>
      <c r="T1253" s="102">
        <f t="shared" si="932"/>
        <v>0</v>
      </c>
      <c r="U1253" s="78" t="str">
        <f>IF(NOT(ISNUMBER(G1253)), "", VLOOKUP(A1253,'Discount Lookup'!D:E,2,FALSE)*G1253)</f>
        <v/>
      </c>
      <c r="V1253" s="78" t="str">
        <f>IF(NOT(ISNUMBER(G1253)), "", VLOOKUP(A1253,'Discount Lookup'!G:H,2,FALSE)*G1253)</f>
        <v/>
      </c>
      <c r="W1253" s="102">
        <f t="shared" si="933"/>
        <v>0</v>
      </c>
      <c r="X1253" s="102">
        <f t="shared" si="934"/>
        <v>0</v>
      </c>
      <c r="Y1253" s="120" t="b">
        <f t="shared" si="935"/>
        <v>0</v>
      </c>
      <c r="Z1253" s="117">
        <f t="shared" si="936"/>
        <v>0</v>
      </c>
      <c r="AA1253" s="118"/>
      <c r="AB1253" s="118" t="str">
        <f t="shared" si="937"/>
        <v/>
      </c>
      <c r="AC1253" s="712" t="str">
        <f>IF(AE1253="T2G","no charge",IF(AND(OR(PlanterYesMe="No",PlanterYesMe="N",PlanterYesMe="me"),H1253=""),"",IF(H1253="credit","NO install",IF(AND(K1253="",AE1253="me"),"EACH row",IF(AND(K1253="images",AE1253="me"),"EACH row",IF(D1253="","",IF(H1253="credit","",IF(AE1253="free","re-planting",IF(AE1253="me","   not ELP, by",IF(AND(OR(PlanterYesMe="Yes",PlanterYesMe="Y"),G1253&gt;0),(VLOOKUP(A1253,'Discount Lookup'!J:K,2)*G1253*(1-PlanterDiscount)*(1+PlanterDifficultyPercentage)),IF(AE1253="ELP",(VLOOKUP(A1253,'Discount Lookup'!J:K,2)*G1253*(1-PlanterDiscount)*(1+PlanterDifficultyPercentage)),IF(AE1253="free","re-planting",IF(G1253=0,"",IF(PlanterYesMe="",IF(AE1253="me","   not ELP, by",IF(AE1253="",IF(G1253&gt;0,(VLOOKUP(A1253,'Discount Lookup'!J:K,2)*G1253*(1-PlanterDiscount)*(1+PlanterDifficultyPercentage)),""),"")),"   not ELP, by"))))))))))))))</f>
        <v/>
      </c>
      <c r="AD1253" s="712"/>
      <c r="AE1253" s="513" t="str">
        <f t="shared" si="938"/>
        <v/>
      </c>
      <c r="AF1253" s="713" t="str">
        <f t="shared" si="939"/>
        <v/>
      </c>
      <c r="AG1253" s="713"/>
      <c r="AH1253" s="713"/>
      <c r="AI1253" s="112">
        <f>IF(H1253="credit",0,IF(AE1253="free",0,IF(AE1253="me",0,IF(G1253&gt;0,(VLOOKUP(A1253,'Discount Lookup'!J:K,2)*G1253),0))))</f>
        <v>0</v>
      </c>
      <c r="AJ1253" s="107" t="str">
        <f t="shared" ca="1" si="940"/>
        <v/>
      </c>
      <c r="AK1253" s="714" t="str">
        <f t="shared" si="941"/>
        <v/>
      </c>
      <c r="AL1253" s="714"/>
      <c r="AM1253" s="114" t="str">
        <f t="shared" si="942"/>
        <v/>
      </c>
      <c r="AN1253" s="115"/>
      <c r="AO1253" s="116"/>
      <c r="AP1253" s="116"/>
      <c r="AQ1253" s="116"/>
      <c r="AR1253" s="116"/>
      <c r="AS1253" s="116"/>
      <c r="AT1253" s="116"/>
      <c r="AU1253" s="116"/>
      <c r="AV1253" s="78"/>
      <c r="AW1253" s="102"/>
      <c r="AX1253" s="78"/>
      <c r="AY1253" s="78"/>
      <c r="AZ1253" s="78"/>
      <c r="BA1253" s="78"/>
      <c r="BB1253" s="78"/>
      <c r="BC1253" s="78"/>
      <c r="BD1253" s="78"/>
      <c r="BE1253" s="465"/>
      <c r="BF1253" s="165" t="str">
        <f t="shared" si="943"/>
        <v>https://www.google.com/search?tbm=isch&amp;q=Niobedazzles%20with%20large%2C%20velvety%20blooms%20and%20Golden%20stamens%2C%20blooming%20from%20late%20spring%20through%20summer%3B%20fluffy%20seed%20heads%20follow%20</v>
      </c>
      <c r="BG1253" s="165" t="str">
        <f t="shared" si="944"/>
        <v>N</v>
      </c>
      <c r="BH1253" s="65"/>
      <c r="BI1253" s="65"/>
      <c r="BJ1253" s="65"/>
      <c r="BK1253" s="65"/>
      <c r="BL1253" s="99"/>
      <c r="BM1253" s="99"/>
      <c r="BN1253" s="99"/>
    </row>
    <row r="1254" spans="1:66" s="51" customFormat="1" ht="19.5" thickBot="1" x14ac:dyDescent="0.3">
      <c r="A1254" s="686" t="s">
        <v>400</v>
      </c>
      <c r="B1254" s="73"/>
      <c r="C1254" s="708"/>
      <c r="D1254" s="73"/>
      <c r="E1254" s="73"/>
      <c r="F1254" s="496"/>
      <c r="G1254" s="73"/>
      <c r="H1254" s="73"/>
      <c r="I1254" s="73"/>
      <c r="J1254" s="497" t="s">
        <v>357</v>
      </c>
      <c r="K1254" s="498"/>
      <c r="L1254" s="562"/>
      <c r="M1254" s="73"/>
      <c r="N1254"/>
      <c r="O1254"/>
      <c r="P1254"/>
      <c r="Q1254"/>
      <c r="R1254"/>
      <c r="S1254"/>
      <c r="T1254" s="102">
        <f t="shared" si="932"/>
        <v>0</v>
      </c>
      <c r="U1254" s="78" t="str">
        <f>IF(NOT(ISNUMBER(G1254)), "", VLOOKUP(A1254,'Discount Lookup'!D:E,2,FALSE)*G1254)</f>
        <v/>
      </c>
      <c r="V1254" s="78" t="str">
        <f>IF(NOT(ISNUMBER(G1254)), "", VLOOKUP(A1254,'Discount Lookup'!G:H,2,FALSE)*G1254)</f>
        <v/>
      </c>
      <c r="W1254" s="102">
        <f t="shared" si="933"/>
        <v>0</v>
      </c>
      <c r="X1254" s="102">
        <f t="shared" si="934"/>
        <v>0</v>
      </c>
      <c r="Y1254" s="120" t="b">
        <f t="shared" si="935"/>
        <v>0</v>
      </c>
      <c r="Z1254" s="117">
        <f t="shared" si="936"/>
        <v>0</v>
      </c>
      <c r="AA1254" s="118"/>
      <c r="AB1254" s="118" t="str">
        <f t="shared" si="937"/>
        <v/>
      </c>
      <c r="AC1254" s="712" t="str">
        <f>IF(AE1254="T2G","no charge",IF(AND(OR(PlanterYesMe="No",PlanterYesMe="N",PlanterYesMe="me"),H1254=""),"",IF(H1254="credit","NO install",IF(AND(K1254="",AE1254="me"),"EACH row",IF(AND(K1254="images",AE1254="me"),"EACH row",IF(D1254="","",IF(H1254="credit","",IF(AE1254="free","re-planting",IF(AE1254="me","   not ELP, by",IF(AND(OR(PlanterYesMe="Yes",PlanterYesMe="Y"),G1254&gt;0),(VLOOKUP(A1254,'Discount Lookup'!J:K,2)*G1254*(1-PlanterDiscount)*(1+PlanterDifficultyPercentage)),IF(AE1254="ELP",(VLOOKUP(A1254,'Discount Lookup'!J:K,2)*G1254*(1-PlanterDiscount)*(1+PlanterDifficultyPercentage)),IF(AE1254="free","re-planting",IF(G1254=0,"",IF(PlanterYesMe="",IF(AE1254="me","   not ELP, by",IF(AE1254="",IF(G1254&gt;0,(VLOOKUP(A1254,'Discount Lookup'!J:K,2)*G1254*(1-PlanterDiscount)*(1+PlanterDifficultyPercentage)),""),"")),"   not ELP, by"))))))))))))))</f>
        <v/>
      </c>
      <c r="AD1254" s="712"/>
      <c r="AE1254" s="513" t="str">
        <f t="shared" si="938"/>
        <v/>
      </c>
      <c r="AF1254" s="713" t="str">
        <f t="shared" si="939"/>
        <v/>
      </c>
      <c r="AG1254" s="713"/>
      <c r="AH1254" s="713"/>
      <c r="AI1254" s="112">
        <f>IF(H1254="credit",0,IF(AE1254="free",0,IF(AE1254="me",0,IF(G1254&gt;0,(VLOOKUP(A1254,'Discount Lookup'!J:K,2)*G1254),0))))</f>
        <v>0</v>
      </c>
      <c r="AJ1254" s="107" t="str">
        <f t="shared" ca="1" si="940"/>
        <v/>
      </c>
      <c r="AK1254" s="714" t="str">
        <f t="shared" si="941"/>
        <v/>
      </c>
      <c r="AL1254" s="714"/>
      <c r="AM1254" s="114" t="str">
        <f t="shared" si="942"/>
        <v/>
      </c>
      <c r="AN1254" s="115"/>
      <c r="AO1254" s="116"/>
      <c r="AP1254" s="116"/>
      <c r="AQ1254" s="116"/>
      <c r="AR1254" s="116"/>
      <c r="AS1254" s="116"/>
      <c r="AT1254" s="116"/>
      <c r="AU1254" s="116"/>
      <c r="AV1254" s="78"/>
      <c r="AW1254" s="102"/>
      <c r="AX1254" s="78"/>
      <c r="AY1254" s="78"/>
      <c r="AZ1254" s="78"/>
      <c r="BA1254" s="78"/>
      <c r="BB1254" s="78"/>
      <c r="BC1254" s="78"/>
      <c r="BD1254" s="78"/>
      <c r="BE1254" s="465"/>
      <c r="BF1254" s="165" t="str">
        <f t="shared" si="943"/>
        <v>https://www.google.com/search?tbm=isch&amp;q=Clethra%20%3D%20Summersweet%20</v>
      </c>
      <c r="BG1254" s="165" t="str">
        <f t="shared" si="944"/>
        <v>C</v>
      </c>
      <c r="BH1254" s="65"/>
      <c r="BI1254" s="65"/>
      <c r="BJ1254" s="65"/>
      <c r="BK1254" s="65"/>
      <c r="BL1254" s="99"/>
      <c r="BM1254" s="99"/>
      <c r="BN1254" s="99"/>
    </row>
    <row r="1255" spans="1:66" s="51" customFormat="1" ht="18" x14ac:dyDescent="0.25">
      <c r="A1255" s="623" t="s">
        <v>2264</v>
      </c>
      <c r="B1255" s="624"/>
      <c r="C1255" s="709"/>
      <c r="D1255" s="625" t="s">
        <v>2265</v>
      </c>
      <c r="E1255" s="626"/>
      <c r="F1255" s="626"/>
      <c r="G1255" s="626"/>
      <c r="H1255" s="622" t="s">
        <v>1076</v>
      </c>
      <c r="I1255" s="627" t="s">
        <v>349</v>
      </c>
      <c r="J1255" s="628"/>
      <c r="K1255" s="628"/>
      <c r="L1255" s="629"/>
      <c r="M1255" s="700" t="s">
        <v>5242</v>
      </c>
      <c r="N1255" s="693" t="str">
        <f>IF(AND(ISTEXT($A1255), ISERROR($A1255+0)), HYPERLINK($BF1255, "Images"), "")</f>
        <v>Images</v>
      </c>
      <c r="O1255" s="695" t="s">
        <v>5247</v>
      </c>
      <c r="P1255" s="630"/>
      <c r="Q1255" s="631"/>
      <c r="R1255" s="632"/>
      <c r="S1255" s="633" t="s">
        <v>294</v>
      </c>
      <c r="T1255" s="102">
        <f t="shared" si="932"/>
        <v>0</v>
      </c>
      <c r="U1255" s="78" t="str">
        <f>IF(NOT(ISNUMBER(G1255)), "", VLOOKUP(A1255,'Discount Lookup'!D:E,2,FALSE)*G1255)</f>
        <v/>
      </c>
      <c r="V1255" s="78" t="str">
        <f>IF(NOT(ISNUMBER(G1255)), "", VLOOKUP(A1255,'Discount Lookup'!G:H,2,FALSE)*G1255)</f>
        <v/>
      </c>
      <c r="W1255" s="102">
        <f t="shared" si="933"/>
        <v>0</v>
      </c>
      <c r="X1255" s="102" t="str">
        <f t="shared" si="934"/>
        <v>White bloom</v>
      </c>
      <c r="Y1255" s="120" t="b">
        <f t="shared" si="935"/>
        <v>0</v>
      </c>
      <c r="Z1255" s="117">
        <f t="shared" si="936"/>
        <v>0</v>
      </c>
      <c r="AA1255" s="118"/>
      <c r="AB1255" s="118" t="str">
        <f t="shared" si="937"/>
        <v/>
      </c>
      <c r="AC1255" s="712" t="str">
        <f>IF(AE1255="T2G","no charge",IF(AND(OR(PlanterYesMe="No",PlanterYesMe="N",PlanterYesMe="me"),H1255=""),"",IF(H1255="credit","NO install",IF(AND(K1255="",AE1255="me"),"EACH row",IF(AND(K1255="images",AE1255="me"),"EACH row",IF(D1255="","",IF(H1255="credit","",IF(AE1255="free","re-planting",IF(AE1255="me","   not ELP, by",IF(AND(OR(PlanterYesMe="Yes",PlanterYesMe="Y"),G1255&gt;0),(VLOOKUP(A1255,'Discount Lookup'!J:K,2)*G1255*(1-PlanterDiscount)*(1+PlanterDifficultyPercentage)),IF(AE1255="ELP",(VLOOKUP(A1255,'Discount Lookup'!J:K,2)*G1255*(1-PlanterDiscount)*(1+PlanterDifficultyPercentage)),IF(AE1255="free","re-planting",IF(G1255=0,"",IF(PlanterYesMe="",IF(AE1255="me","   not ELP, by",IF(AE1255="",IF(G1255&gt;0,(VLOOKUP(A1255,'Discount Lookup'!J:K,2)*G1255*(1-PlanterDiscount)*(1+PlanterDifficultyPercentage)),""),"")),"   not ELP, by"))))))))))))))</f>
        <v/>
      </c>
      <c r="AD1255" s="712"/>
      <c r="AE1255" s="513" t="str">
        <f t="shared" si="938"/>
        <v/>
      </c>
      <c r="AF1255" s="713" t="str">
        <f t="shared" si="939"/>
        <v/>
      </c>
      <c r="AG1255" s="713"/>
      <c r="AH1255" s="713"/>
      <c r="AI1255" s="112">
        <f>IF(H1255="credit",0,IF(AE1255="free",0,IF(AE1255="me",0,IF(G1255&gt;0,(VLOOKUP(A1255,'Discount Lookup'!J:K,2)*G1255),0))))</f>
        <v>0</v>
      </c>
      <c r="AJ1255" s="107" t="str">
        <f t="shared" ca="1" si="940"/>
        <v/>
      </c>
      <c r="AK1255" s="714" t="str">
        <f t="shared" si="941"/>
        <v/>
      </c>
      <c r="AL1255" s="714"/>
      <c r="AM1255" s="114" t="str">
        <f t="shared" si="942"/>
        <v/>
      </c>
      <c r="AN1255" s="115"/>
      <c r="AO1255" s="116"/>
      <c r="AP1255" s="116"/>
      <c r="AQ1255" s="116"/>
      <c r="AR1255" s="116"/>
      <c r="AS1255" s="116"/>
      <c r="AT1255" s="116"/>
      <c r="AU1255" s="116"/>
      <c r="AV1255" s="78"/>
      <c r="AW1255" s="102"/>
      <c r="AX1255" s="78"/>
      <c r="AY1255" s="78"/>
      <c r="AZ1255" s="78"/>
      <c r="BA1255" s="78"/>
      <c r="BB1255" s="78"/>
      <c r="BC1255" s="78"/>
      <c r="BD1255" s="78"/>
      <c r="BE1255" s="465"/>
      <c r="BF1255" s="165" t="str">
        <f t="shared" si="943"/>
        <v>https://www.google.com/search?tbm=isch&amp;q=Clethra%20alnifolia%20%27Hummingbird%27%20Hummingbird%20Summersweet</v>
      </c>
      <c r="BG1255" s="165" t="str">
        <f t="shared" si="944"/>
        <v>C</v>
      </c>
      <c r="BH1255" s="65"/>
      <c r="BI1255" s="65"/>
      <c r="BJ1255" s="65"/>
      <c r="BK1255" s="65"/>
      <c r="BL1255" s="99"/>
      <c r="BM1255" s="99"/>
      <c r="BN1255" s="99"/>
    </row>
    <row r="1256" spans="1:66" s="51" customFormat="1" ht="15.75" x14ac:dyDescent="0.25">
      <c r="A1256" s="634">
        <v>3</v>
      </c>
      <c r="B1256" s="635" t="s">
        <v>291</v>
      </c>
      <c r="C1256" s="636"/>
      <c r="D1256" s="637" t="s">
        <v>310</v>
      </c>
      <c r="E1256" s="638">
        <v>25.95</v>
      </c>
      <c r="F1256" s="639" t="s">
        <v>292</v>
      </c>
      <c r="G1256" s="484">
        <v>0</v>
      </c>
      <c r="H1256" s="691" t="str">
        <f>IF(G1256=0,"",IF(F1256="Buy",IF(G1256=1,"plant","plants"),IF(F1256&gt;0.01,"warranty","Error")))</f>
        <v/>
      </c>
      <c r="I1256" s="640">
        <f>IF(H1256="free",0,IF(H1256="credit",((E1256*(F1256))*G1256*-1),IF(F1256="Buy",(E1256*G1256),((E1256*(1-F1256))*G1256))))</f>
        <v>0</v>
      </c>
      <c r="J1256" s="640">
        <f>IF(H1256="warranty",0,(I1256*(_xlfn.SINGLE(SalesTaxPercentage))))</f>
        <v>0</v>
      </c>
      <c r="K1256" s="716">
        <f t="shared" ref="K1256" si="951">I1256+J1256</f>
        <v>0</v>
      </c>
      <c r="L1256" s="716"/>
      <c r="M1256" s="689" t="str">
        <f ca="1">IF(AND(G1256&gt;0,E1256=0),"WARNING - no PRICE inserted",IF(H1256="free","FREE ~ no charge this plant",IF(H1256="credit",CONCATENATE("-$",ROUND(K1256*(1-_xlfn.SINGLE(T2GDiscount))*-1,2)," CREDIT after discount"),IF(_xlfn.SINGLE(T2GDiscount)=0,"",IF(G1256=0,"",IF(F1256="Buy",CONCATENATE("$",ROUND(K1256*(1-_xlfn.SINGLE(T2GDiscount)),2)," with ",(_xlfn.SINGLE(T2GDiscount)*100),"% discount"),CONCATENATE("$",ROUND(K1256*(1-_xlfn.SINGLE(T2GDiscount)),2)," with ",((_xlfn.SINGLE(T2GDiscount)*100+F1256*100)-(_xlfn.SINGLE(T2GDiscount)*100*F1256)),IF(F1256&gt;0,"% discounts",IF(_xlfn.SINGLE(NoWarrantyDiscount)&gt;0,"% discounts","% discount")))))))))</f>
        <v/>
      </c>
      <c r="N1256" s="690"/>
      <c r="O1256" s="486"/>
      <c r="P1256" s="486"/>
      <c r="Q1256" s="486"/>
      <c r="R1256" s="486"/>
      <c r="S1256" s="486"/>
      <c r="T1256" s="102">
        <f t="shared" si="932"/>
        <v>0</v>
      </c>
      <c r="U1256" s="78">
        <f>IF(NOT(ISNUMBER(G1256)), "", VLOOKUP(A1256,'Discount Lookup'!D:E,2,FALSE)*G1256)</f>
        <v>0</v>
      </c>
      <c r="V1256" s="78">
        <f>IF(NOT(ISNUMBER(G1256)), "", VLOOKUP(A1256,'Discount Lookup'!G:H,2,FALSE)*G1256)</f>
        <v>0</v>
      </c>
      <c r="W1256" s="102">
        <f t="shared" si="933"/>
        <v>0</v>
      </c>
      <c r="X1256" s="102">
        <f t="shared" si="934"/>
        <v>0</v>
      </c>
      <c r="Y1256" s="120" t="b">
        <f t="shared" si="935"/>
        <v>0</v>
      </c>
      <c r="Z1256" s="117">
        <f t="shared" si="936"/>
        <v>0</v>
      </c>
      <c r="AA1256" s="118"/>
      <c r="AB1256" s="118" t="str">
        <f t="shared" si="937"/>
        <v/>
      </c>
      <c r="AC1256" s="712" t="str">
        <f>IF(AE1256="T2G","no charge",IF(AND(OR(PlanterYesMe="No",PlanterYesMe="N",PlanterYesMe="me"),H1256=""),"",IF(H1256="credit","NO install",IF(AND(K1256="",AE1256="me"),"EACH row",IF(AND(K1256="images",AE1256="me"),"EACH row",IF(D1256="","",IF(H1256="credit","",IF(AE1256="free","re-planting",IF(AE1256="me","   not ELP, by",IF(AND(OR(PlanterYesMe="Yes",PlanterYesMe="Y"),G1256&gt;0),(VLOOKUP(A1256,'Discount Lookup'!J:K,2)*G1256*(1-PlanterDiscount)*(1+PlanterDifficultyPercentage)),IF(AE1256="ELP",(VLOOKUP(A1256,'Discount Lookup'!J:K,2)*G1256*(1-PlanterDiscount)*(1+PlanterDifficultyPercentage)),IF(AE1256="free","re-planting",IF(G1256=0,"",IF(PlanterYesMe="",IF(AE1256="me","   not ELP, by",IF(AE1256="",IF(G1256&gt;0,(VLOOKUP(A1256,'Discount Lookup'!J:K,2)*G1256*(1-PlanterDiscount)*(1+PlanterDifficultyPercentage)),""),"")),"   not ELP, by"))))))))))))))</f>
        <v/>
      </c>
      <c r="AD1256" s="712"/>
      <c r="AE1256" s="513" t="str">
        <f t="shared" si="938"/>
        <v/>
      </c>
      <c r="AF1256" s="713" t="str">
        <f t="shared" si="939"/>
        <v/>
      </c>
      <c r="AG1256" s="713"/>
      <c r="AH1256" s="713"/>
      <c r="AI1256" s="112">
        <f>IF(H1256="credit",0,IF(AE1256="free",0,IF(AE1256="me",0,IF(G1256&gt;0,(VLOOKUP(A1256,'Discount Lookup'!J:K,2)*G1256),0))))</f>
        <v>0</v>
      </c>
      <c r="AJ1256" s="107" t="str">
        <f t="shared" ca="1" si="940"/>
        <v/>
      </c>
      <c r="AK1256" s="714" t="str">
        <f t="shared" si="941"/>
        <v/>
      </c>
      <c r="AL1256" s="714"/>
      <c r="AM1256" s="114" t="str">
        <f t="shared" si="942"/>
        <v/>
      </c>
      <c r="AN1256" s="115"/>
      <c r="AO1256" s="116"/>
      <c r="AP1256" s="116"/>
      <c r="AQ1256" s="116"/>
      <c r="AR1256" s="116"/>
      <c r="AS1256" s="116"/>
      <c r="AT1256" s="116"/>
      <c r="AU1256" s="116"/>
      <c r="AV1256" s="78"/>
      <c r="AW1256" s="102"/>
      <c r="AX1256" s="78"/>
      <c r="AY1256" s="78"/>
      <c r="AZ1256" s="78"/>
      <c r="BA1256" s="78"/>
      <c r="BB1256" s="78"/>
      <c r="BC1256" s="78"/>
      <c r="BD1256" s="78"/>
      <c r="BE1256" s="465"/>
      <c r="BF1256" s="165" t="str">
        <f t="shared" si="943"/>
        <v>https://www.google.com/search?tbm=isch&amp;q=3%20G1</v>
      </c>
      <c r="BG1256" s="165" t="str">
        <f t="shared" si="944"/>
        <v>C</v>
      </c>
      <c r="BH1256" s="65"/>
      <c r="BI1256" s="65"/>
      <c r="BJ1256" s="65"/>
      <c r="BK1256" s="65"/>
      <c r="BL1256" s="99"/>
      <c r="BM1256" s="99"/>
      <c r="BN1256" s="99"/>
    </row>
    <row r="1257" spans="1:66" s="51" customFormat="1" ht="15.75" x14ac:dyDescent="0.25">
      <c r="A1257" s="634">
        <v>7</v>
      </c>
      <c r="B1257" s="635" t="s">
        <v>291</v>
      </c>
      <c r="C1257" s="636" t="s">
        <v>4597</v>
      </c>
      <c r="D1257" s="637" t="s">
        <v>293</v>
      </c>
      <c r="E1257" s="638">
        <v>93.95</v>
      </c>
      <c r="F1257" s="639" t="s">
        <v>292</v>
      </c>
      <c r="G1257" s="484">
        <v>0</v>
      </c>
      <c r="H1257" s="691" t="str">
        <f>IF(G1257=0,"",IF(F1257="Buy",IF(G1257=1,"plant","plants"),IF(F1257&gt;0.01,"warranty","Error")))</f>
        <v/>
      </c>
      <c r="I1257" s="640">
        <f>IF(H1257="free",0,IF(H1257="credit",((E1257*(F1257))*G1257*-1),IF(F1257="Buy",(E1257*G1257),((E1257*(1-F1257))*G1257))))</f>
        <v>0</v>
      </c>
      <c r="J1257" s="640">
        <f>IF(H1257="warranty",0,(I1257*(_xlfn.SINGLE(SalesTaxPercentage))))</f>
        <v>0</v>
      </c>
      <c r="K1257" s="716">
        <f t="shared" ref="K1257" si="952">I1257+J1257</f>
        <v>0</v>
      </c>
      <c r="L1257" s="716"/>
      <c r="M1257" s="689" t="str">
        <f ca="1">IF(AND(G1257&gt;0,E1257=0),"WARNING - no PRICE inserted",IF(H1257="free","FREE ~ no charge this plant",IF(H1257="credit",CONCATENATE("-$",ROUND(K1257*(1-_xlfn.SINGLE(T2GDiscount))*-1,2)," CREDIT after discount"),IF(_xlfn.SINGLE(T2GDiscount)=0,"",IF(G1257=0,"",IF(F1257="Buy",CONCATENATE("$",ROUND(K1257*(1-_xlfn.SINGLE(T2GDiscount)),2)," with ",(_xlfn.SINGLE(T2GDiscount)*100),"% discount"),CONCATENATE("$",ROUND(K1257*(1-_xlfn.SINGLE(T2GDiscount)),2)," with ",((_xlfn.SINGLE(T2GDiscount)*100+F1257*100)-(_xlfn.SINGLE(T2GDiscount)*100*F1257)),IF(F1257&gt;0,"% discounts",IF(_xlfn.SINGLE(NoWarrantyDiscount)&gt;0,"% discounts","% discount")))))))))</f>
        <v/>
      </c>
      <c r="N1257" s="690"/>
      <c r="O1257" s="486"/>
      <c r="P1257" s="486"/>
      <c r="Q1257" s="486"/>
      <c r="R1257" s="486"/>
      <c r="S1257" s="486"/>
      <c r="T1257" s="102">
        <f t="shared" si="932"/>
        <v>0</v>
      </c>
      <c r="U1257" s="78">
        <f>IF(NOT(ISNUMBER(G1257)), "", VLOOKUP(A1257,'Discount Lookup'!D:E,2,FALSE)*G1257)</f>
        <v>0</v>
      </c>
      <c r="V1257" s="78">
        <f>IF(NOT(ISNUMBER(G1257)), "", VLOOKUP(A1257,'Discount Lookup'!G:H,2,FALSE)*G1257)</f>
        <v>0</v>
      </c>
      <c r="W1257" s="102">
        <f t="shared" si="933"/>
        <v>0</v>
      </c>
      <c r="X1257" s="102">
        <f t="shared" si="934"/>
        <v>0</v>
      </c>
      <c r="Y1257" s="120" t="b">
        <f t="shared" si="935"/>
        <v>0</v>
      </c>
      <c r="Z1257" s="117">
        <f t="shared" si="936"/>
        <v>0</v>
      </c>
      <c r="AA1257" s="118"/>
      <c r="AB1257" s="118" t="str">
        <f t="shared" si="937"/>
        <v/>
      </c>
      <c r="AC1257" s="712" t="str">
        <f>IF(AE1257="T2G","no charge",IF(AND(OR(PlanterYesMe="No",PlanterYesMe="N",PlanterYesMe="me"),H1257=""),"",IF(H1257="credit","NO install",IF(AND(K1257="",AE1257="me"),"EACH row",IF(AND(K1257="images",AE1257="me"),"EACH row",IF(D1257="","",IF(H1257="credit","",IF(AE1257="free","re-planting",IF(AE1257="me","   not ELP, by",IF(AND(OR(PlanterYesMe="Yes",PlanterYesMe="Y"),G1257&gt;0),(VLOOKUP(A1257,'Discount Lookup'!J:K,2)*G1257*(1-PlanterDiscount)*(1+PlanterDifficultyPercentage)),IF(AE1257="ELP",(VLOOKUP(A1257,'Discount Lookup'!J:K,2)*G1257*(1-PlanterDiscount)*(1+PlanterDifficultyPercentage)),IF(AE1257="free","re-planting",IF(G1257=0,"",IF(PlanterYesMe="",IF(AE1257="me","   not ELP, by",IF(AE1257="",IF(G1257&gt;0,(VLOOKUP(A1257,'Discount Lookup'!J:K,2)*G1257*(1-PlanterDiscount)*(1+PlanterDifficultyPercentage)),""),"")),"   not ELP, by"))))))))))))))</f>
        <v/>
      </c>
      <c r="AD1257" s="712"/>
      <c r="AE1257" s="513" t="str">
        <f t="shared" si="938"/>
        <v/>
      </c>
      <c r="AF1257" s="713" t="str">
        <f t="shared" si="939"/>
        <v/>
      </c>
      <c r="AG1257" s="713"/>
      <c r="AH1257" s="713"/>
      <c r="AI1257" s="112">
        <f>IF(H1257="credit",0,IF(AE1257="free",0,IF(AE1257="me",0,IF(G1257&gt;0,(VLOOKUP(A1257,'Discount Lookup'!J:K,2)*G1257),0))))</f>
        <v>0</v>
      </c>
      <c r="AJ1257" s="107" t="str">
        <f t="shared" ca="1" si="940"/>
        <v/>
      </c>
      <c r="AK1257" s="714" t="str">
        <f t="shared" si="941"/>
        <v/>
      </c>
      <c r="AL1257" s="714"/>
      <c r="AM1257" s="114" t="str">
        <f t="shared" si="942"/>
        <v/>
      </c>
      <c r="AN1257" s="115"/>
      <c r="AO1257" s="116"/>
      <c r="AP1257" s="116"/>
      <c r="AQ1257" s="116"/>
      <c r="AR1257" s="116"/>
      <c r="AS1257" s="116"/>
      <c r="AT1257" s="116"/>
      <c r="AU1257" s="116"/>
      <c r="AV1257" s="78"/>
      <c r="AW1257" s="102"/>
      <c r="AX1257" s="78"/>
      <c r="AY1257" s="78"/>
      <c r="AZ1257" s="78"/>
      <c r="BA1257" s="78"/>
      <c r="BB1257" s="78"/>
      <c r="BC1257" s="78"/>
      <c r="BD1257" s="78"/>
      <c r="BE1257" s="465"/>
      <c r="BF1257" s="165" t="str">
        <f t="shared" si="943"/>
        <v>https://www.google.com/search?tbm=isch&amp;q=7%20G6</v>
      </c>
      <c r="BG1257" s="165" t="str">
        <f t="shared" si="944"/>
        <v>C</v>
      </c>
      <c r="BH1257" s="65"/>
      <c r="BI1257" s="65"/>
      <c r="BJ1257" s="65"/>
      <c r="BK1257" s="65"/>
      <c r="BL1257" s="99"/>
      <c r="BM1257" s="99"/>
      <c r="BN1257" s="99"/>
    </row>
    <row r="1258" spans="1:66" s="51" customFormat="1" ht="17.25" thickBot="1" x14ac:dyDescent="0.3">
      <c r="A1258" s="704" t="s">
        <v>5379</v>
      </c>
      <c r="B1258" s="642"/>
      <c r="C1258" s="710"/>
      <c r="D1258" s="643"/>
      <c r="E1258" s="643"/>
      <c r="F1258" s="644"/>
      <c r="G1258" s="645"/>
      <c r="H1258" s="646"/>
      <c r="I1258" s="647"/>
      <c r="J1258" s="648"/>
      <c r="K1258" s="649"/>
      <c r="L1258" s="650"/>
      <c r="M1258" s="650"/>
      <c r="N1258" s="644"/>
      <c r="O1258" s="644"/>
      <c r="P1258" s="644"/>
      <c r="Q1258" s="644"/>
      <c r="R1258" s="644"/>
      <c r="S1258" s="701" t="s">
        <v>5273</v>
      </c>
      <c r="T1258" s="102">
        <f t="shared" si="932"/>
        <v>0</v>
      </c>
      <c r="U1258" s="78" t="str">
        <f>IF(NOT(ISNUMBER(G1258)), "", VLOOKUP(A1258,'Discount Lookup'!D:E,2,FALSE)*G1258)</f>
        <v/>
      </c>
      <c r="V1258" s="78" t="str">
        <f>IF(NOT(ISNUMBER(G1258)), "", VLOOKUP(A1258,'Discount Lookup'!G:H,2,FALSE)*G1258)</f>
        <v/>
      </c>
      <c r="W1258" s="102">
        <f t="shared" si="933"/>
        <v>0</v>
      </c>
      <c r="X1258" s="102">
        <f t="shared" si="934"/>
        <v>0</v>
      </c>
      <c r="Y1258" s="120" t="b">
        <f t="shared" si="935"/>
        <v>0</v>
      </c>
      <c r="Z1258" s="117">
        <f t="shared" si="936"/>
        <v>0</v>
      </c>
      <c r="AA1258" s="118"/>
      <c r="AB1258" s="118" t="str">
        <f t="shared" si="937"/>
        <v/>
      </c>
      <c r="AC1258" s="712" t="str">
        <f>IF(AE1258="T2G","no charge",IF(AND(OR(PlanterYesMe="No",PlanterYesMe="N",PlanterYesMe="me"),H1258=""),"",IF(H1258="credit","NO install",IF(AND(K1258="",AE1258="me"),"EACH row",IF(AND(K1258="images",AE1258="me"),"EACH row",IF(D1258="","",IF(H1258="credit","",IF(AE1258="free","re-planting",IF(AE1258="me","   not ELP, by",IF(AND(OR(PlanterYesMe="Yes",PlanterYesMe="Y"),G1258&gt;0),(VLOOKUP(A1258,'Discount Lookup'!J:K,2)*G1258*(1-PlanterDiscount)*(1+PlanterDifficultyPercentage)),IF(AE1258="ELP",(VLOOKUP(A1258,'Discount Lookup'!J:K,2)*G1258*(1-PlanterDiscount)*(1+PlanterDifficultyPercentage)),IF(AE1258="free","re-planting",IF(G1258=0,"",IF(PlanterYesMe="",IF(AE1258="me","   not ELP, by",IF(AE1258="",IF(G1258&gt;0,(VLOOKUP(A1258,'Discount Lookup'!J:K,2)*G1258*(1-PlanterDiscount)*(1+PlanterDifficultyPercentage)),""),"")),"   not ELP, by"))))))))))))))</f>
        <v/>
      </c>
      <c r="AD1258" s="712"/>
      <c r="AE1258" s="513" t="str">
        <f t="shared" si="938"/>
        <v/>
      </c>
      <c r="AF1258" s="713" t="str">
        <f t="shared" si="939"/>
        <v/>
      </c>
      <c r="AG1258" s="713"/>
      <c r="AH1258" s="713"/>
      <c r="AI1258" s="112">
        <f>IF(H1258="credit",0,IF(AE1258="free",0,IF(AE1258="me",0,IF(G1258&gt;0,(VLOOKUP(A1258,'Discount Lookup'!J:K,2)*G1258),0))))</f>
        <v>0</v>
      </c>
      <c r="AJ1258" s="107" t="str">
        <f t="shared" ca="1" si="940"/>
        <v/>
      </c>
      <c r="AK1258" s="714" t="str">
        <f t="shared" si="941"/>
        <v/>
      </c>
      <c r="AL1258" s="714"/>
      <c r="AM1258" s="114" t="str">
        <f t="shared" si="942"/>
        <v/>
      </c>
      <c r="AN1258" s="115"/>
      <c r="AO1258" s="116"/>
      <c r="AP1258" s="116"/>
      <c r="AQ1258" s="116"/>
      <c r="AR1258" s="116"/>
      <c r="AS1258" s="116"/>
      <c r="AT1258" s="116"/>
      <c r="AU1258" s="116"/>
      <c r="AV1258" s="78"/>
      <c r="AW1258" s="102"/>
      <c r="AX1258" s="78"/>
      <c r="AY1258" s="78"/>
      <c r="AZ1258" s="78"/>
      <c r="BA1258" s="78"/>
      <c r="BB1258" s="78"/>
      <c r="BC1258" s="78"/>
      <c r="BD1258" s="78"/>
      <c r="BE1258" s="465"/>
      <c r="BF1258" s="165" t="str">
        <f t="shared" si="943"/>
        <v>https://www.google.com/search?tbm=isch&amp;q=wet%20sites%F0%9F%92%A7GOOD%2C%20Hummingbird%2C%20like%20all%20Clethra%2C%20is%20known%20for%20blooming%20in%20shady%20areas%2C%20after%20other%20plants%20finish%20</v>
      </c>
      <c r="BG1258" s="165" t="str">
        <f t="shared" si="944"/>
        <v>w</v>
      </c>
      <c r="BH1258" s="65"/>
      <c r="BI1258" s="65"/>
      <c r="BJ1258" s="65"/>
      <c r="BK1258" s="65"/>
      <c r="BL1258" s="99"/>
      <c r="BM1258" s="99"/>
      <c r="BN1258" s="99"/>
    </row>
    <row r="1259" spans="1:66" s="51" customFormat="1" ht="18" x14ac:dyDescent="0.25">
      <c r="A1259" s="623" t="s">
        <v>2266</v>
      </c>
      <c r="B1259" s="624"/>
      <c r="C1259" s="709"/>
      <c r="D1259" s="625" t="s">
        <v>5637</v>
      </c>
      <c r="E1259" s="626"/>
      <c r="F1259" s="626"/>
      <c r="G1259" s="626"/>
      <c r="H1259" s="622" t="s">
        <v>1124</v>
      </c>
      <c r="I1259" s="627" t="s">
        <v>350</v>
      </c>
      <c r="J1259" s="628"/>
      <c r="K1259" s="628"/>
      <c r="L1259" s="629"/>
      <c r="M1259" s="700" t="s">
        <v>5242</v>
      </c>
      <c r="N1259" s="693" t="str">
        <f>IF(AND(ISTEXT($A1259), ISERROR($A1259+0)), HYPERLINK($BF1259, "Images"), "")</f>
        <v>Images</v>
      </c>
      <c r="O1259" s="695" t="s">
        <v>5247</v>
      </c>
      <c r="P1259" s="630"/>
      <c r="Q1259" s="631"/>
      <c r="R1259" s="632"/>
      <c r="S1259" s="633" t="s">
        <v>294</v>
      </c>
      <c r="T1259" s="102">
        <f t="shared" si="932"/>
        <v>0</v>
      </c>
      <c r="U1259" s="78" t="str">
        <f>IF(NOT(ISNUMBER(G1259)), "", VLOOKUP(A1259,'Discount Lookup'!D:E,2,FALSE)*G1259)</f>
        <v/>
      </c>
      <c r="V1259" s="78" t="str">
        <f>IF(NOT(ISNUMBER(G1259)), "", VLOOKUP(A1259,'Discount Lookup'!G:H,2,FALSE)*G1259)</f>
        <v/>
      </c>
      <c r="W1259" s="102">
        <f t="shared" si="933"/>
        <v>0</v>
      </c>
      <c r="X1259" s="102" t="str">
        <f t="shared" si="934"/>
        <v>Creamy White bloom</v>
      </c>
      <c r="Y1259" s="120" t="b">
        <f t="shared" si="935"/>
        <v>0</v>
      </c>
      <c r="Z1259" s="117">
        <f t="shared" si="936"/>
        <v>0</v>
      </c>
      <c r="AA1259" s="118"/>
      <c r="AB1259" s="118" t="str">
        <f t="shared" si="937"/>
        <v/>
      </c>
      <c r="AC1259" s="712" t="str">
        <f>IF(AE1259="T2G","no charge",IF(AND(OR(PlanterYesMe="No",PlanterYesMe="N",PlanterYesMe="me"),H1259=""),"",IF(H1259="credit","NO install",IF(AND(K1259="",AE1259="me"),"EACH row",IF(AND(K1259="images",AE1259="me"),"EACH row",IF(D1259="","",IF(H1259="credit","",IF(AE1259="free","re-planting",IF(AE1259="me","   not ELP, by",IF(AND(OR(PlanterYesMe="Yes",PlanterYesMe="Y"),G1259&gt;0),(VLOOKUP(A1259,'Discount Lookup'!J:K,2)*G1259*(1-PlanterDiscount)*(1+PlanterDifficultyPercentage)),IF(AE1259="ELP",(VLOOKUP(A1259,'Discount Lookup'!J:K,2)*G1259*(1-PlanterDiscount)*(1+PlanterDifficultyPercentage)),IF(AE1259="free","re-planting",IF(G1259=0,"",IF(PlanterYesMe="",IF(AE1259="me","   not ELP, by",IF(AE1259="",IF(G1259&gt;0,(VLOOKUP(A1259,'Discount Lookup'!J:K,2)*G1259*(1-PlanterDiscount)*(1+PlanterDifficultyPercentage)),""),"")),"   not ELP, by"))))))))))))))</f>
        <v/>
      </c>
      <c r="AD1259" s="712"/>
      <c r="AE1259" s="513" t="str">
        <f t="shared" si="938"/>
        <v/>
      </c>
      <c r="AF1259" s="713" t="str">
        <f t="shared" si="939"/>
        <v/>
      </c>
      <c r="AG1259" s="713"/>
      <c r="AH1259" s="713"/>
      <c r="AI1259" s="112">
        <f>IF(H1259="credit",0,IF(AE1259="free",0,IF(AE1259="me",0,IF(G1259&gt;0,(VLOOKUP(A1259,'Discount Lookup'!J:K,2)*G1259),0))))</f>
        <v>0</v>
      </c>
      <c r="AJ1259" s="107" t="str">
        <f t="shared" ca="1" si="940"/>
        <v/>
      </c>
      <c r="AK1259" s="714" t="str">
        <f t="shared" si="941"/>
        <v/>
      </c>
      <c r="AL1259" s="714"/>
      <c r="AM1259" s="114" t="str">
        <f t="shared" si="942"/>
        <v/>
      </c>
      <c r="AN1259" s="115"/>
      <c r="AO1259" s="116"/>
      <c r="AP1259" s="116"/>
      <c r="AQ1259" s="116"/>
      <c r="AR1259" s="116"/>
      <c r="AS1259" s="116"/>
      <c r="AT1259" s="116"/>
      <c r="AU1259" s="116"/>
      <c r="AV1259" s="78"/>
      <c r="AW1259" s="102"/>
      <c r="AX1259" s="78"/>
      <c r="AY1259" s="78"/>
      <c r="AZ1259" s="78"/>
      <c r="BA1259" s="78"/>
      <c r="BB1259" s="78"/>
      <c r="BC1259" s="78"/>
      <c r="BD1259" s="78"/>
      <c r="BE1259" s="465"/>
      <c r="BF1259" s="165" t="str">
        <f t="shared" si="943"/>
        <v>https://www.google.com/search?tbm=isch&amp;q=Clethra%20alnifolia%20%27Novacleein%27%20PP%2327590%20Summer%20Sparkler%E2%84%A2%20Summersweet</v>
      </c>
      <c r="BG1259" s="165" t="str">
        <f t="shared" si="944"/>
        <v>C</v>
      </c>
      <c r="BH1259" s="65"/>
      <c r="BI1259" s="65"/>
      <c r="BJ1259" s="65"/>
      <c r="BK1259" s="65"/>
      <c r="BL1259" s="99"/>
      <c r="BM1259" s="99"/>
      <c r="BN1259" s="99"/>
    </row>
    <row r="1260" spans="1:66" s="51" customFormat="1" ht="15.75" x14ac:dyDescent="0.25">
      <c r="A1260" s="634">
        <v>3</v>
      </c>
      <c r="B1260" s="635" t="s">
        <v>291</v>
      </c>
      <c r="C1260" s="636" t="s">
        <v>2267</v>
      </c>
      <c r="D1260" s="637" t="s">
        <v>311</v>
      </c>
      <c r="E1260" s="638">
        <v>36.950000000000003</v>
      </c>
      <c r="F1260" s="639" t="s">
        <v>292</v>
      </c>
      <c r="G1260" s="484">
        <v>0</v>
      </c>
      <c r="H1260" s="691" t="str">
        <f>IF(G1260=0,"",IF(F1260="Buy",IF(G1260=1,"plant","plants"),IF(F1260&gt;0.01,"warranty","Error")))</f>
        <v/>
      </c>
      <c r="I1260" s="640">
        <f>IF(H1260="free",0,IF(H1260="credit",((E1260*(F1260))*G1260*-1),IF(F1260="Buy",(E1260*G1260),((E1260*(1-F1260))*G1260))))</f>
        <v>0</v>
      </c>
      <c r="J1260" s="640">
        <f>IF(H1260="warranty",0,(I1260*(_xlfn.SINGLE(SalesTaxPercentage))))</f>
        <v>0</v>
      </c>
      <c r="K1260" s="716">
        <f t="shared" ref="K1260" si="953">I1260+J1260</f>
        <v>0</v>
      </c>
      <c r="L1260" s="716"/>
      <c r="M1260" s="689" t="str">
        <f ca="1">IF(AND(G1260&gt;0,E1260=0),"WARNING - no PRICE inserted",IF(H1260="free","FREE ~ no charge this plant",IF(H1260="credit",CONCATENATE("-$",ROUND(K1260*(1-_xlfn.SINGLE(T2GDiscount))*-1,2)," CREDIT after discount"),IF(_xlfn.SINGLE(T2GDiscount)=0,"",IF(G1260=0,"",IF(F1260="Buy",CONCATENATE("$",ROUND(K1260*(1-_xlfn.SINGLE(T2GDiscount)),2)," with ",(_xlfn.SINGLE(T2GDiscount)*100),"% discount"),CONCATENATE("$",ROUND(K1260*(1-_xlfn.SINGLE(T2GDiscount)),2)," with ",((_xlfn.SINGLE(T2GDiscount)*100+F1260*100)-(_xlfn.SINGLE(T2GDiscount)*100*F1260)),IF(F1260&gt;0,"% discounts",IF(_xlfn.SINGLE(NoWarrantyDiscount)&gt;0,"% discounts","% discount")))))))))</f>
        <v/>
      </c>
      <c r="N1260" s="690"/>
      <c r="O1260" s="486"/>
      <c r="P1260" s="486"/>
      <c r="Q1260" s="486"/>
      <c r="R1260" s="486"/>
      <c r="S1260" s="486"/>
      <c r="T1260" s="102">
        <f t="shared" si="932"/>
        <v>0</v>
      </c>
      <c r="U1260" s="78">
        <f>IF(NOT(ISNUMBER(G1260)), "", VLOOKUP(A1260,'Discount Lookup'!D:E,2,FALSE)*G1260)</f>
        <v>0</v>
      </c>
      <c r="V1260" s="78">
        <f>IF(NOT(ISNUMBER(G1260)), "", VLOOKUP(A1260,'Discount Lookup'!G:H,2,FALSE)*G1260)</f>
        <v>0</v>
      </c>
      <c r="W1260" s="102">
        <f t="shared" si="933"/>
        <v>0</v>
      </c>
      <c r="X1260" s="102">
        <f t="shared" si="934"/>
        <v>0</v>
      </c>
      <c r="Y1260" s="120" t="b">
        <f t="shared" si="935"/>
        <v>0</v>
      </c>
      <c r="Z1260" s="117">
        <f t="shared" si="936"/>
        <v>0</v>
      </c>
      <c r="AA1260" s="118"/>
      <c r="AB1260" s="118" t="str">
        <f t="shared" si="937"/>
        <v/>
      </c>
      <c r="AC1260" s="712" t="str">
        <f>IF(AE1260="T2G","no charge",IF(AND(OR(PlanterYesMe="No",PlanterYesMe="N",PlanterYesMe="me"),H1260=""),"",IF(H1260="credit","NO install",IF(AND(K1260="",AE1260="me"),"EACH row",IF(AND(K1260="images",AE1260="me"),"EACH row",IF(D1260="","",IF(H1260="credit","",IF(AE1260="free","re-planting",IF(AE1260="me","   not ELP, by",IF(AND(OR(PlanterYesMe="Yes",PlanterYesMe="Y"),G1260&gt;0),(VLOOKUP(A1260,'Discount Lookup'!J:K,2)*G1260*(1-PlanterDiscount)*(1+PlanterDifficultyPercentage)),IF(AE1260="ELP",(VLOOKUP(A1260,'Discount Lookup'!J:K,2)*G1260*(1-PlanterDiscount)*(1+PlanterDifficultyPercentage)),IF(AE1260="free","re-planting",IF(G1260=0,"",IF(PlanterYesMe="",IF(AE1260="me","   not ELP, by",IF(AE1260="",IF(G1260&gt;0,(VLOOKUP(A1260,'Discount Lookup'!J:K,2)*G1260*(1-PlanterDiscount)*(1+PlanterDifficultyPercentage)),""),"")),"   not ELP, by"))))))))))))))</f>
        <v/>
      </c>
      <c r="AD1260" s="712"/>
      <c r="AE1260" s="513" t="str">
        <f t="shared" si="938"/>
        <v/>
      </c>
      <c r="AF1260" s="713" t="str">
        <f t="shared" si="939"/>
        <v/>
      </c>
      <c r="AG1260" s="713"/>
      <c r="AH1260" s="713"/>
      <c r="AI1260" s="112">
        <f>IF(H1260="credit",0,IF(AE1260="free",0,IF(AE1260="me",0,IF(G1260&gt;0,(VLOOKUP(A1260,'Discount Lookup'!J:K,2)*G1260),0))))</f>
        <v>0</v>
      </c>
      <c r="AJ1260" s="107" t="str">
        <f t="shared" ca="1" si="940"/>
        <v/>
      </c>
      <c r="AK1260" s="714" t="str">
        <f t="shared" si="941"/>
        <v/>
      </c>
      <c r="AL1260" s="714"/>
      <c r="AM1260" s="114" t="str">
        <f t="shared" si="942"/>
        <v/>
      </c>
      <c r="AN1260" s="115"/>
      <c r="AO1260" s="116"/>
      <c r="AP1260" s="116"/>
      <c r="AQ1260" s="116"/>
      <c r="AR1260" s="116"/>
      <c r="AS1260" s="116"/>
      <c r="AT1260" s="116"/>
      <c r="AU1260" s="116"/>
      <c r="AV1260" s="78"/>
      <c r="AW1260" s="102"/>
      <c r="AX1260" s="78"/>
      <c r="AY1260" s="78"/>
      <c r="AZ1260" s="78"/>
      <c r="BA1260" s="78"/>
      <c r="BB1260" s="78"/>
      <c r="BC1260" s="78"/>
      <c r="BD1260" s="78"/>
      <c r="BE1260" s="465"/>
      <c r="BF1260" s="165" t="str">
        <f t="shared" si="943"/>
        <v>https://www.google.com/search?tbm=isch&amp;q=3%20G5</v>
      </c>
      <c r="BG1260" s="165" t="str">
        <f t="shared" si="944"/>
        <v>C</v>
      </c>
      <c r="BH1260" s="65"/>
      <c r="BI1260" s="65"/>
      <c r="BJ1260" s="65"/>
      <c r="BK1260" s="65"/>
      <c r="BL1260" s="99"/>
      <c r="BM1260" s="99"/>
      <c r="BN1260" s="99"/>
    </row>
    <row r="1261" spans="1:66" s="51" customFormat="1" ht="17.25" thickBot="1" x14ac:dyDescent="0.3">
      <c r="A1261" s="704" t="s">
        <v>5380</v>
      </c>
      <c r="B1261" s="642"/>
      <c r="C1261" s="710"/>
      <c r="D1261" s="643"/>
      <c r="E1261" s="643"/>
      <c r="F1261" s="644"/>
      <c r="G1261" s="645"/>
      <c r="H1261" s="646"/>
      <c r="I1261" s="647"/>
      <c r="J1261" s="648"/>
      <c r="K1261" s="649"/>
      <c r="L1261" s="650"/>
      <c r="M1261" s="650"/>
      <c r="N1261" s="644"/>
      <c r="O1261" s="644"/>
      <c r="P1261" s="644"/>
      <c r="Q1261" s="644"/>
      <c r="R1261" s="644"/>
      <c r="S1261" s="701" t="s">
        <v>5273</v>
      </c>
      <c r="T1261" s="102">
        <f t="shared" si="932"/>
        <v>0</v>
      </c>
      <c r="U1261" s="78" t="str">
        <f>IF(NOT(ISNUMBER(G1261)), "", VLOOKUP(A1261,'Discount Lookup'!D:E,2,FALSE)*G1261)</f>
        <v/>
      </c>
      <c r="V1261" s="78" t="str">
        <f>IF(NOT(ISNUMBER(G1261)), "", VLOOKUP(A1261,'Discount Lookup'!G:H,2,FALSE)*G1261)</f>
        <v/>
      </c>
      <c r="W1261" s="102">
        <f t="shared" si="933"/>
        <v>0</v>
      </c>
      <c r="X1261" s="102">
        <f t="shared" si="934"/>
        <v>0</v>
      </c>
      <c r="Y1261" s="120" t="b">
        <f t="shared" si="935"/>
        <v>0</v>
      </c>
      <c r="Z1261" s="117">
        <f t="shared" si="936"/>
        <v>0</v>
      </c>
      <c r="AA1261" s="118"/>
      <c r="AB1261" s="118" t="str">
        <f t="shared" si="937"/>
        <v/>
      </c>
      <c r="AC1261" s="712" t="str">
        <f>IF(AE1261="T2G","no charge",IF(AND(OR(PlanterYesMe="No",PlanterYesMe="N",PlanterYesMe="me"),H1261=""),"",IF(H1261="credit","NO install",IF(AND(K1261="",AE1261="me"),"EACH row",IF(AND(K1261="images",AE1261="me"),"EACH row",IF(D1261="","",IF(H1261="credit","",IF(AE1261="free","re-planting",IF(AE1261="me","   not ELP, by",IF(AND(OR(PlanterYesMe="Yes",PlanterYesMe="Y"),G1261&gt;0),(VLOOKUP(A1261,'Discount Lookup'!J:K,2)*G1261*(1-PlanterDiscount)*(1+PlanterDifficultyPercentage)),IF(AE1261="ELP",(VLOOKUP(A1261,'Discount Lookup'!J:K,2)*G1261*(1-PlanterDiscount)*(1+PlanterDifficultyPercentage)),IF(AE1261="free","re-planting",IF(G1261=0,"",IF(PlanterYesMe="",IF(AE1261="me","   not ELP, by",IF(AE1261="",IF(G1261&gt;0,(VLOOKUP(A1261,'Discount Lookup'!J:K,2)*G1261*(1-PlanterDiscount)*(1+PlanterDifficultyPercentage)),""),"")),"   not ELP, by"))))))))))))))</f>
        <v/>
      </c>
      <c r="AD1261" s="712"/>
      <c r="AE1261" s="513" t="str">
        <f t="shared" si="938"/>
        <v/>
      </c>
      <c r="AF1261" s="713" t="str">
        <f t="shared" si="939"/>
        <v/>
      </c>
      <c r="AG1261" s="713"/>
      <c r="AH1261" s="713"/>
      <c r="AI1261" s="112">
        <f>IF(H1261="credit",0,IF(AE1261="free",0,IF(AE1261="me",0,IF(G1261&gt;0,(VLOOKUP(A1261,'Discount Lookup'!J:K,2)*G1261),0))))</f>
        <v>0</v>
      </c>
      <c r="AJ1261" s="107" t="str">
        <f t="shared" ca="1" si="940"/>
        <v/>
      </c>
      <c r="AK1261" s="714" t="str">
        <f t="shared" si="941"/>
        <v/>
      </c>
      <c r="AL1261" s="714"/>
      <c r="AM1261" s="114" t="str">
        <f t="shared" si="942"/>
        <v/>
      </c>
      <c r="AN1261" s="115"/>
      <c r="AO1261" s="116"/>
      <c r="AP1261" s="116"/>
      <c r="AQ1261" s="116"/>
      <c r="AR1261" s="116"/>
      <c r="AS1261" s="116"/>
      <c r="AT1261" s="116"/>
      <c r="AU1261" s="116"/>
      <c r="AV1261" s="78"/>
      <c r="AW1261" s="102"/>
      <c r="AX1261" s="78"/>
      <c r="AY1261" s="78"/>
      <c r="AZ1261" s="78"/>
      <c r="BA1261" s="78"/>
      <c r="BB1261" s="78"/>
      <c r="BC1261" s="78"/>
      <c r="BD1261" s="78"/>
      <c r="BE1261" s="465"/>
      <c r="BF1261" s="165" t="str">
        <f t="shared" si="943"/>
        <v>https://www.google.com/search?tbm=isch&amp;q=wet%20sites%F0%9F%92%A7GOOD%2C%20Summer%20Sparkler%20has%20twisted%20flower%20spikes%20with%20a%20spicy%20clove-like%20fragrance%20from%20early%20to%20late%20summer%20</v>
      </c>
      <c r="BG1261" s="165" t="str">
        <f t="shared" si="944"/>
        <v>w</v>
      </c>
      <c r="BH1261" s="65"/>
      <c r="BI1261" s="65"/>
      <c r="BJ1261" s="65"/>
      <c r="BK1261" s="65"/>
      <c r="BL1261" s="99"/>
      <c r="BM1261" s="99"/>
      <c r="BN1261" s="99"/>
    </row>
    <row r="1262" spans="1:66" s="51" customFormat="1" ht="18" x14ac:dyDescent="0.25">
      <c r="A1262" s="623" t="s">
        <v>2268</v>
      </c>
      <c r="B1262" s="624"/>
      <c r="C1262" s="709"/>
      <c r="D1262" s="625" t="s">
        <v>2269</v>
      </c>
      <c r="E1262" s="626"/>
      <c r="F1262" s="626"/>
      <c r="G1262" s="626"/>
      <c r="H1262" s="622" t="s">
        <v>2084</v>
      </c>
      <c r="I1262" s="627" t="s">
        <v>1458</v>
      </c>
      <c r="J1262" s="628"/>
      <c r="K1262" s="628"/>
      <c r="L1262" s="629"/>
      <c r="M1262" s="700" t="s">
        <v>5242</v>
      </c>
      <c r="N1262" s="693" t="str">
        <f>IF(AND(ISTEXT($A1262), ISERROR($A1262+0)), HYPERLINK($BF1262, "Images"), "")</f>
        <v>Images</v>
      </c>
      <c r="O1262" s="695" t="s">
        <v>5247</v>
      </c>
      <c r="P1262" s="630"/>
      <c r="Q1262" s="631"/>
      <c r="R1262" s="632"/>
      <c r="S1262" s="633" t="s">
        <v>294</v>
      </c>
      <c r="T1262" s="102">
        <f t="shared" si="932"/>
        <v>0</v>
      </c>
      <c r="U1262" s="78" t="str">
        <f>IF(NOT(ISNUMBER(G1262)), "", VLOOKUP(A1262,'Discount Lookup'!D:E,2,FALSE)*G1262)</f>
        <v/>
      </c>
      <c r="V1262" s="78" t="str">
        <f>IF(NOT(ISNUMBER(G1262)), "", VLOOKUP(A1262,'Discount Lookup'!G:H,2,FALSE)*G1262)</f>
        <v/>
      </c>
      <c r="W1262" s="102">
        <f t="shared" si="933"/>
        <v>0</v>
      </c>
      <c r="X1262" s="102" t="str">
        <f t="shared" si="934"/>
        <v>Pink bloom</v>
      </c>
      <c r="Y1262" s="120" t="b">
        <f t="shared" si="935"/>
        <v>0</v>
      </c>
      <c r="Z1262" s="117">
        <f t="shared" si="936"/>
        <v>0</v>
      </c>
      <c r="AA1262" s="118"/>
      <c r="AB1262" s="118" t="str">
        <f t="shared" si="937"/>
        <v/>
      </c>
      <c r="AC1262" s="712" t="str">
        <f>IF(AE1262="T2G","no charge",IF(AND(OR(PlanterYesMe="No",PlanterYesMe="N",PlanterYesMe="me"),H1262=""),"",IF(H1262="credit","NO install",IF(AND(K1262="",AE1262="me"),"EACH row",IF(AND(K1262="images",AE1262="me"),"EACH row",IF(D1262="","",IF(H1262="credit","",IF(AE1262="free","re-planting",IF(AE1262="me","   not ELP, by",IF(AND(OR(PlanterYesMe="Yes",PlanterYesMe="Y"),G1262&gt;0),(VLOOKUP(A1262,'Discount Lookup'!J:K,2)*G1262*(1-PlanterDiscount)*(1+PlanterDifficultyPercentage)),IF(AE1262="ELP",(VLOOKUP(A1262,'Discount Lookup'!J:K,2)*G1262*(1-PlanterDiscount)*(1+PlanterDifficultyPercentage)),IF(AE1262="free","re-planting",IF(G1262=0,"",IF(PlanterYesMe="",IF(AE1262="me","   not ELP, by",IF(AE1262="",IF(G1262&gt;0,(VLOOKUP(A1262,'Discount Lookup'!J:K,2)*G1262*(1-PlanterDiscount)*(1+PlanterDifficultyPercentage)),""),"")),"   not ELP, by"))))))))))))))</f>
        <v/>
      </c>
      <c r="AD1262" s="712"/>
      <c r="AE1262" s="513" t="str">
        <f t="shared" si="938"/>
        <v/>
      </c>
      <c r="AF1262" s="713" t="str">
        <f t="shared" si="939"/>
        <v/>
      </c>
      <c r="AG1262" s="713"/>
      <c r="AH1262" s="713"/>
      <c r="AI1262" s="112">
        <f>IF(H1262="credit",0,IF(AE1262="free",0,IF(AE1262="me",0,IF(G1262&gt;0,(VLOOKUP(A1262,'Discount Lookup'!J:K,2)*G1262),0))))</f>
        <v>0</v>
      </c>
      <c r="AJ1262" s="107" t="str">
        <f t="shared" ca="1" si="940"/>
        <v/>
      </c>
      <c r="AK1262" s="714" t="str">
        <f t="shared" si="941"/>
        <v/>
      </c>
      <c r="AL1262" s="714"/>
      <c r="AM1262" s="114" t="str">
        <f t="shared" si="942"/>
        <v/>
      </c>
      <c r="AN1262" s="115"/>
      <c r="AO1262" s="116"/>
      <c r="AP1262" s="116"/>
      <c r="AQ1262" s="116"/>
      <c r="AR1262" s="116"/>
      <c r="AS1262" s="116"/>
      <c r="AT1262" s="116"/>
      <c r="AU1262" s="116"/>
      <c r="AV1262" s="78"/>
      <c r="AW1262" s="102"/>
      <c r="AX1262" s="78"/>
      <c r="AY1262" s="78"/>
      <c r="AZ1262" s="78"/>
      <c r="BA1262" s="78"/>
      <c r="BB1262" s="78"/>
      <c r="BC1262" s="78"/>
      <c r="BD1262" s="78"/>
      <c r="BE1262" s="465"/>
      <c r="BF1262" s="165" t="str">
        <f t="shared" si="943"/>
        <v>https://www.google.com/search?tbm=isch&amp;q=Clethra%20alnifolia%20%27Ruby%20Spice%27%20Ruby%20Spice%20Summersweet</v>
      </c>
      <c r="BG1262" s="165" t="str">
        <f t="shared" si="944"/>
        <v>C</v>
      </c>
      <c r="BH1262" s="65"/>
      <c r="BI1262" s="65"/>
      <c r="BJ1262" s="65"/>
      <c r="BK1262" s="65"/>
      <c r="BL1262" s="99"/>
      <c r="BM1262" s="99"/>
      <c r="BN1262" s="99"/>
    </row>
    <row r="1263" spans="1:66" s="51" customFormat="1" ht="15.75" x14ac:dyDescent="0.25">
      <c r="A1263" s="634">
        <v>3</v>
      </c>
      <c r="B1263" s="635" t="s">
        <v>291</v>
      </c>
      <c r="C1263" s="636" t="s">
        <v>337</v>
      </c>
      <c r="D1263" s="637" t="s">
        <v>329</v>
      </c>
      <c r="E1263" s="638">
        <v>31.95</v>
      </c>
      <c r="F1263" s="639" t="s">
        <v>292</v>
      </c>
      <c r="G1263" s="484">
        <v>0</v>
      </c>
      <c r="H1263" s="691" t="str">
        <f>IF(G1263=0,"",IF(F1263="Buy",IF(G1263=1,"plant","plants"),IF(F1263&gt;0.01,"warranty","Error")))</f>
        <v/>
      </c>
      <c r="I1263" s="640">
        <f>IF(H1263="free",0,IF(H1263="credit",((E1263*(F1263))*G1263*-1),IF(F1263="Buy",(E1263*G1263),((E1263*(1-F1263))*G1263))))</f>
        <v>0</v>
      </c>
      <c r="J1263" s="640">
        <f>IF(H1263="warranty",0,(I1263*(_xlfn.SINGLE(SalesTaxPercentage))))</f>
        <v>0</v>
      </c>
      <c r="K1263" s="716">
        <f t="shared" ref="K1263" si="954">I1263+J1263</f>
        <v>0</v>
      </c>
      <c r="L1263" s="716"/>
      <c r="M1263" s="689" t="str">
        <f ca="1">IF(AND(G1263&gt;0,E1263=0),"WARNING - no PRICE inserted",IF(H1263="free","FREE ~ no charge this plant",IF(H1263="credit",CONCATENATE("-$",ROUND(K1263*(1-_xlfn.SINGLE(T2GDiscount))*-1,2)," CREDIT after discount"),IF(_xlfn.SINGLE(T2GDiscount)=0,"",IF(G1263=0,"",IF(F1263="Buy",CONCATENATE("$",ROUND(K1263*(1-_xlfn.SINGLE(T2GDiscount)),2)," with ",(_xlfn.SINGLE(T2GDiscount)*100),"% discount"),CONCATENATE("$",ROUND(K1263*(1-_xlfn.SINGLE(T2GDiscount)),2)," with ",((_xlfn.SINGLE(T2GDiscount)*100+F1263*100)-(_xlfn.SINGLE(T2GDiscount)*100*F1263)),IF(F1263&gt;0,"% discounts",IF(_xlfn.SINGLE(NoWarrantyDiscount)&gt;0,"% discounts","% discount")))))))))</f>
        <v/>
      </c>
      <c r="N1263" s="690"/>
      <c r="O1263" s="486"/>
      <c r="P1263" s="486"/>
      <c r="Q1263" s="486"/>
      <c r="R1263" s="486"/>
      <c r="S1263" s="486"/>
      <c r="T1263" s="102">
        <f t="shared" si="932"/>
        <v>0</v>
      </c>
      <c r="U1263" s="78">
        <f>IF(NOT(ISNUMBER(G1263)), "", VLOOKUP(A1263,'Discount Lookup'!D:E,2,FALSE)*G1263)</f>
        <v>0</v>
      </c>
      <c r="V1263" s="78">
        <f>IF(NOT(ISNUMBER(G1263)), "", VLOOKUP(A1263,'Discount Lookup'!G:H,2,FALSE)*G1263)</f>
        <v>0</v>
      </c>
      <c r="W1263" s="102">
        <f t="shared" si="933"/>
        <v>0</v>
      </c>
      <c r="X1263" s="102">
        <f t="shared" si="934"/>
        <v>0</v>
      </c>
      <c r="Y1263" s="120" t="b">
        <f t="shared" si="935"/>
        <v>0</v>
      </c>
      <c r="Z1263" s="117">
        <f t="shared" si="936"/>
        <v>0</v>
      </c>
      <c r="AA1263" s="118"/>
      <c r="AB1263" s="118" t="str">
        <f t="shared" si="937"/>
        <v/>
      </c>
      <c r="AC1263" s="712" t="str">
        <f>IF(AE1263="T2G","no charge",IF(AND(OR(PlanterYesMe="No",PlanterYesMe="N",PlanterYesMe="me"),H1263=""),"",IF(H1263="credit","NO install",IF(AND(K1263="",AE1263="me"),"EACH row",IF(AND(K1263="images",AE1263="me"),"EACH row",IF(D1263="","",IF(H1263="credit","",IF(AE1263="free","re-planting",IF(AE1263="me","   not ELP, by",IF(AND(OR(PlanterYesMe="Yes",PlanterYesMe="Y"),G1263&gt;0),(VLOOKUP(A1263,'Discount Lookup'!J:K,2)*G1263*(1-PlanterDiscount)*(1+PlanterDifficultyPercentage)),IF(AE1263="ELP",(VLOOKUP(A1263,'Discount Lookup'!J:K,2)*G1263*(1-PlanterDiscount)*(1+PlanterDifficultyPercentage)),IF(AE1263="free","re-planting",IF(G1263=0,"",IF(PlanterYesMe="",IF(AE1263="me","   not ELP, by",IF(AE1263="",IF(G1263&gt;0,(VLOOKUP(A1263,'Discount Lookup'!J:K,2)*G1263*(1-PlanterDiscount)*(1+PlanterDifficultyPercentage)),""),"")),"   not ELP, by"))))))))))))))</f>
        <v/>
      </c>
      <c r="AD1263" s="712"/>
      <c r="AE1263" s="513" t="str">
        <f t="shared" si="938"/>
        <v/>
      </c>
      <c r="AF1263" s="713" t="str">
        <f t="shared" si="939"/>
        <v/>
      </c>
      <c r="AG1263" s="713"/>
      <c r="AH1263" s="713"/>
      <c r="AI1263" s="112">
        <f>IF(H1263="credit",0,IF(AE1263="free",0,IF(AE1263="me",0,IF(G1263&gt;0,(VLOOKUP(A1263,'Discount Lookup'!J:K,2)*G1263),0))))</f>
        <v>0</v>
      </c>
      <c r="AJ1263" s="107" t="str">
        <f t="shared" ca="1" si="940"/>
        <v/>
      </c>
      <c r="AK1263" s="714" t="str">
        <f t="shared" si="941"/>
        <v/>
      </c>
      <c r="AL1263" s="714"/>
      <c r="AM1263" s="114" t="str">
        <f t="shared" si="942"/>
        <v/>
      </c>
      <c r="AN1263" s="115"/>
      <c r="AO1263" s="116"/>
      <c r="AP1263" s="116"/>
      <c r="AQ1263" s="116"/>
      <c r="AR1263" s="116"/>
      <c r="AS1263" s="116"/>
      <c r="AT1263" s="116"/>
      <c r="AU1263" s="116"/>
      <c r="AV1263" s="78"/>
      <c r="AW1263" s="102"/>
      <c r="AX1263" s="78"/>
      <c r="AY1263" s="78"/>
      <c r="AZ1263" s="78"/>
      <c r="BA1263" s="78"/>
      <c r="BB1263" s="78"/>
      <c r="BC1263" s="78"/>
      <c r="BD1263" s="78"/>
      <c r="BE1263" s="465"/>
      <c r="BF1263" s="165" t="str">
        <f t="shared" si="943"/>
        <v>https://www.google.com/search?tbm=isch&amp;q=3%20G2</v>
      </c>
      <c r="BG1263" s="165" t="str">
        <f t="shared" si="944"/>
        <v>C</v>
      </c>
      <c r="BH1263" s="65"/>
      <c r="BI1263" s="65"/>
      <c r="BJ1263" s="65"/>
      <c r="BK1263" s="65"/>
      <c r="BL1263" s="99"/>
      <c r="BM1263" s="99"/>
      <c r="BN1263" s="99"/>
    </row>
    <row r="1264" spans="1:66" s="51" customFormat="1" ht="15.75" x14ac:dyDescent="0.25">
      <c r="A1264" s="634">
        <v>3</v>
      </c>
      <c r="B1264" s="635" t="s">
        <v>291</v>
      </c>
      <c r="C1264" s="636" t="s">
        <v>2267</v>
      </c>
      <c r="D1264" s="637" t="s">
        <v>311</v>
      </c>
      <c r="E1264" s="638">
        <v>33.950000000000003</v>
      </c>
      <c r="F1264" s="639" t="s">
        <v>292</v>
      </c>
      <c r="G1264" s="484">
        <v>0</v>
      </c>
      <c r="H1264" s="691" t="str">
        <f>IF(G1264=0,"",IF(F1264="Buy",IF(G1264=1,"plant","plants"),IF(F1264&gt;0.01,"warranty","Error")))</f>
        <v/>
      </c>
      <c r="I1264" s="640">
        <f>IF(H1264="free",0,IF(H1264="credit",((E1264*(F1264))*G1264*-1),IF(F1264="Buy",(E1264*G1264),((E1264*(1-F1264))*G1264))))</f>
        <v>0</v>
      </c>
      <c r="J1264" s="640">
        <f>IF(H1264="warranty",0,(I1264*(_xlfn.SINGLE(SalesTaxPercentage))))</f>
        <v>0</v>
      </c>
      <c r="K1264" s="716">
        <f t="shared" ref="K1264" si="955">I1264+J1264</f>
        <v>0</v>
      </c>
      <c r="L1264" s="716"/>
      <c r="M1264" s="689" t="str">
        <f ca="1">IF(AND(G1264&gt;0,E1264=0),"WARNING - no PRICE inserted",IF(H1264="free","FREE ~ no charge this plant",IF(H1264="credit",CONCATENATE("-$",ROUND(K1264*(1-_xlfn.SINGLE(T2GDiscount))*-1,2)," CREDIT after discount"),IF(_xlfn.SINGLE(T2GDiscount)=0,"",IF(G1264=0,"",IF(F1264="Buy",CONCATENATE("$",ROUND(K1264*(1-_xlfn.SINGLE(T2GDiscount)),2)," with ",(_xlfn.SINGLE(T2GDiscount)*100),"% discount"),CONCATENATE("$",ROUND(K1264*(1-_xlfn.SINGLE(T2GDiscount)),2)," with ",((_xlfn.SINGLE(T2GDiscount)*100+F1264*100)-(_xlfn.SINGLE(T2GDiscount)*100*F1264)),IF(F1264&gt;0,"% discounts",IF(_xlfn.SINGLE(NoWarrantyDiscount)&gt;0,"% discounts","% discount")))))))))</f>
        <v/>
      </c>
      <c r="N1264" s="690"/>
      <c r="O1264" s="486"/>
      <c r="P1264" s="486"/>
      <c r="Q1264" s="486"/>
      <c r="R1264" s="486"/>
      <c r="S1264" s="486"/>
      <c r="T1264" s="102">
        <f t="shared" si="932"/>
        <v>0</v>
      </c>
      <c r="U1264" s="78">
        <f>IF(NOT(ISNUMBER(G1264)), "", VLOOKUP(A1264,'Discount Lookup'!D:E,2,FALSE)*G1264)</f>
        <v>0</v>
      </c>
      <c r="V1264" s="78">
        <f>IF(NOT(ISNUMBER(G1264)), "", VLOOKUP(A1264,'Discount Lookup'!G:H,2,FALSE)*G1264)</f>
        <v>0</v>
      </c>
      <c r="W1264" s="102">
        <f t="shared" si="933"/>
        <v>0</v>
      </c>
      <c r="X1264" s="102">
        <f t="shared" si="934"/>
        <v>0</v>
      </c>
      <c r="Y1264" s="120" t="b">
        <f t="shared" si="935"/>
        <v>0</v>
      </c>
      <c r="Z1264" s="117">
        <f t="shared" si="936"/>
        <v>0</v>
      </c>
      <c r="AA1264" s="118"/>
      <c r="AB1264" s="118" t="str">
        <f t="shared" si="937"/>
        <v/>
      </c>
      <c r="AC1264" s="712" t="str">
        <f>IF(AE1264="T2G","no charge",IF(AND(OR(PlanterYesMe="No",PlanterYesMe="N",PlanterYesMe="me"),H1264=""),"",IF(H1264="credit","NO install",IF(AND(K1264="",AE1264="me"),"EACH row",IF(AND(K1264="images",AE1264="me"),"EACH row",IF(D1264="","",IF(H1264="credit","",IF(AE1264="free","re-planting",IF(AE1264="me","   not ELP, by",IF(AND(OR(PlanterYesMe="Yes",PlanterYesMe="Y"),G1264&gt;0),(VLOOKUP(A1264,'Discount Lookup'!J:K,2)*G1264*(1-PlanterDiscount)*(1+PlanterDifficultyPercentage)),IF(AE1264="ELP",(VLOOKUP(A1264,'Discount Lookup'!J:K,2)*G1264*(1-PlanterDiscount)*(1+PlanterDifficultyPercentage)),IF(AE1264="free","re-planting",IF(G1264=0,"",IF(PlanterYesMe="",IF(AE1264="me","   not ELP, by",IF(AE1264="",IF(G1264&gt;0,(VLOOKUP(A1264,'Discount Lookup'!J:K,2)*G1264*(1-PlanterDiscount)*(1+PlanterDifficultyPercentage)),""),"")),"   not ELP, by"))))))))))))))</f>
        <v/>
      </c>
      <c r="AD1264" s="712"/>
      <c r="AE1264" s="513" t="str">
        <f t="shared" si="938"/>
        <v/>
      </c>
      <c r="AF1264" s="713" t="str">
        <f t="shared" si="939"/>
        <v/>
      </c>
      <c r="AG1264" s="713"/>
      <c r="AH1264" s="713"/>
      <c r="AI1264" s="112">
        <f>IF(H1264="credit",0,IF(AE1264="free",0,IF(AE1264="me",0,IF(G1264&gt;0,(VLOOKUP(A1264,'Discount Lookup'!J:K,2)*G1264),0))))</f>
        <v>0</v>
      </c>
      <c r="AJ1264" s="107" t="str">
        <f t="shared" ca="1" si="940"/>
        <v/>
      </c>
      <c r="AK1264" s="714" t="str">
        <f t="shared" si="941"/>
        <v/>
      </c>
      <c r="AL1264" s="714"/>
      <c r="AM1264" s="114" t="str">
        <f t="shared" si="942"/>
        <v/>
      </c>
      <c r="AN1264" s="115"/>
      <c r="AO1264" s="116"/>
      <c r="AP1264" s="116"/>
      <c r="AQ1264" s="116"/>
      <c r="AR1264" s="116"/>
      <c r="AS1264" s="116"/>
      <c r="AT1264" s="116"/>
      <c r="AU1264" s="116"/>
      <c r="AV1264" s="78"/>
      <c r="AW1264" s="102"/>
      <c r="AX1264" s="78"/>
      <c r="AY1264" s="78"/>
      <c r="AZ1264" s="78"/>
      <c r="BA1264" s="78"/>
      <c r="BB1264" s="78"/>
      <c r="BC1264" s="78"/>
      <c r="BD1264" s="78"/>
      <c r="BE1264" s="465"/>
      <c r="BF1264" s="165" t="str">
        <f t="shared" si="943"/>
        <v>https://www.google.com/search?tbm=isch&amp;q=3%20G5</v>
      </c>
      <c r="BG1264" s="165" t="str">
        <f t="shared" si="944"/>
        <v>C</v>
      </c>
      <c r="BH1264" s="65"/>
      <c r="BI1264" s="65"/>
      <c r="BJ1264" s="65"/>
      <c r="BK1264" s="65"/>
      <c r="BL1264" s="99"/>
      <c r="BM1264" s="99"/>
      <c r="BN1264" s="99"/>
    </row>
    <row r="1265" spans="1:66" s="51" customFormat="1" ht="17.25" thickBot="1" x14ac:dyDescent="0.3">
      <c r="A1265" s="704" t="s">
        <v>5381</v>
      </c>
      <c r="B1265" s="642"/>
      <c r="C1265" s="710"/>
      <c r="D1265" s="643"/>
      <c r="E1265" s="643"/>
      <c r="F1265" s="644"/>
      <c r="G1265" s="645"/>
      <c r="H1265" s="646"/>
      <c r="I1265" s="647"/>
      <c r="J1265" s="648"/>
      <c r="K1265" s="649"/>
      <c r="L1265" s="650"/>
      <c r="M1265" s="650"/>
      <c r="N1265" s="644"/>
      <c r="O1265" s="644"/>
      <c r="P1265" s="644"/>
      <c r="Q1265" s="644"/>
      <c r="R1265" s="644"/>
      <c r="S1265" s="701" t="s">
        <v>5273</v>
      </c>
      <c r="T1265" s="102">
        <f t="shared" si="932"/>
        <v>0</v>
      </c>
      <c r="U1265" s="78" t="str">
        <f>IF(NOT(ISNUMBER(G1265)), "", VLOOKUP(A1265,'Discount Lookup'!D:E,2,FALSE)*G1265)</f>
        <v/>
      </c>
      <c r="V1265" s="78" t="str">
        <f>IF(NOT(ISNUMBER(G1265)), "", VLOOKUP(A1265,'Discount Lookup'!G:H,2,FALSE)*G1265)</f>
        <v/>
      </c>
      <c r="W1265" s="102">
        <f t="shared" si="933"/>
        <v>0</v>
      </c>
      <c r="X1265" s="102">
        <f t="shared" si="934"/>
        <v>0</v>
      </c>
      <c r="Y1265" s="120" t="b">
        <f t="shared" si="935"/>
        <v>0</v>
      </c>
      <c r="Z1265" s="117">
        <f t="shared" si="936"/>
        <v>0</v>
      </c>
      <c r="AA1265" s="118"/>
      <c r="AB1265" s="118" t="str">
        <f t="shared" si="937"/>
        <v/>
      </c>
      <c r="AC1265" s="712" t="str">
        <f>IF(AE1265="T2G","no charge",IF(AND(OR(PlanterYesMe="No",PlanterYesMe="N",PlanterYesMe="me"),H1265=""),"",IF(H1265="credit","NO install",IF(AND(K1265="",AE1265="me"),"EACH row",IF(AND(K1265="images",AE1265="me"),"EACH row",IF(D1265="","",IF(H1265="credit","",IF(AE1265="free","re-planting",IF(AE1265="me","   not ELP, by",IF(AND(OR(PlanterYesMe="Yes",PlanterYesMe="Y"),G1265&gt;0),(VLOOKUP(A1265,'Discount Lookup'!J:K,2)*G1265*(1-PlanterDiscount)*(1+PlanterDifficultyPercentage)),IF(AE1265="ELP",(VLOOKUP(A1265,'Discount Lookup'!J:K,2)*G1265*(1-PlanterDiscount)*(1+PlanterDifficultyPercentage)),IF(AE1265="free","re-planting",IF(G1265=0,"",IF(PlanterYesMe="",IF(AE1265="me","   not ELP, by",IF(AE1265="",IF(G1265&gt;0,(VLOOKUP(A1265,'Discount Lookup'!J:K,2)*G1265*(1-PlanterDiscount)*(1+PlanterDifficultyPercentage)),""),"")),"   not ELP, by"))))))))))))))</f>
        <v/>
      </c>
      <c r="AD1265" s="712"/>
      <c r="AE1265" s="513" t="str">
        <f t="shared" si="938"/>
        <v/>
      </c>
      <c r="AF1265" s="713" t="str">
        <f t="shared" si="939"/>
        <v/>
      </c>
      <c r="AG1265" s="713"/>
      <c r="AH1265" s="713"/>
      <c r="AI1265" s="112">
        <f>IF(H1265="credit",0,IF(AE1265="free",0,IF(AE1265="me",0,IF(G1265&gt;0,(VLOOKUP(A1265,'Discount Lookup'!J:K,2)*G1265),0))))</f>
        <v>0</v>
      </c>
      <c r="AJ1265" s="107" t="str">
        <f t="shared" ca="1" si="940"/>
        <v/>
      </c>
      <c r="AK1265" s="714" t="str">
        <f t="shared" si="941"/>
        <v/>
      </c>
      <c r="AL1265" s="714"/>
      <c r="AM1265" s="114" t="str">
        <f t="shared" si="942"/>
        <v/>
      </c>
      <c r="AN1265" s="115"/>
      <c r="AO1265" s="116"/>
      <c r="AP1265" s="116"/>
      <c r="AQ1265" s="116"/>
      <c r="AR1265" s="116"/>
      <c r="AS1265" s="116"/>
      <c r="AT1265" s="116"/>
      <c r="AU1265" s="116"/>
      <c r="AV1265" s="78"/>
      <c r="AW1265" s="102"/>
      <c r="AX1265" s="78"/>
      <c r="AY1265" s="78"/>
      <c r="AZ1265" s="78"/>
      <c r="BA1265" s="78"/>
      <c r="BB1265" s="78"/>
      <c r="BC1265" s="78"/>
      <c r="BD1265" s="78"/>
      <c r="BE1265" s="465"/>
      <c r="BF1265" s="165" t="str">
        <f t="shared" si="943"/>
        <v>https://www.google.com/search?tbm=isch&amp;q=wet%20sites%F0%9F%92%A7GOOD%2C%20Ruby%20Spice%2C%20like%20all%20Clethra%2C%20has%20long-lasting%20flower%20spikes%20and%20fragrance%2C%20mid%20to%20late%20summer%20</v>
      </c>
      <c r="BG1265" s="165" t="str">
        <f t="shared" si="944"/>
        <v>w</v>
      </c>
      <c r="BH1265" s="65"/>
      <c r="BI1265" s="65"/>
      <c r="BJ1265" s="65"/>
      <c r="BK1265" s="65"/>
      <c r="BL1265" s="99"/>
      <c r="BM1265" s="99"/>
      <c r="BN1265" s="99"/>
    </row>
    <row r="1266" spans="1:66" s="51" customFormat="1" ht="18" x14ac:dyDescent="0.25">
      <c r="A1266" s="623" t="s">
        <v>2270</v>
      </c>
      <c r="B1266" s="624"/>
      <c r="C1266" s="709"/>
      <c r="D1266" s="625" t="s">
        <v>2271</v>
      </c>
      <c r="E1266" s="626"/>
      <c r="F1266" s="626"/>
      <c r="G1266" s="626"/>
      <c r="H1266" s="622" t="s">
        <v>1126</v>
      </c>
      <c r="I1266" s="627" t="s">
        <v>350</v>
      </c>
      <c r="J1266" s="628"/>
      <c r="K1266" s="628"/>
      <c r="L1266" s="629"/>
      <c r="M1266" s="700" t="s">
        <v>5242</v>
      </c>
      <c r="N1266" s="693" t="str">
        <f>IF(AND(ISTEXT($A1266), ISERROR($A1266+0)), HYPERLINK($BF1266, "Images"), "")</f>
        <v>Images</v>
      </c>
      <c r="O1266" s="695" t="s">
        <v>5247</v>
      </c>
      <c r="P1266" s="630"/>
      <c r="Q1266" s="631"/>
      <c r="R1266" s="632"/>
      <c r="S1266" s="633" t="s">
        <v>294</v>
      </c>
      <c r="T1266" s="102">
        <f t="shared" si="932"/>
        <v>0</v>
      </c>
      <c r="U1266" s="78" t="str">
        <f>IF(NOT(ISNUMBER(G1266)), "", VLOOKUP(A1266,'Discount Lookup'!D:E,2,FALSE)*G1266)</f>
        <v/>
      </c>
      <c r="V1266" s="78" t="str">
        <f>IF(NOT(ISNUMBER(G1266)), "", VLOOKUP(A1266,'Discount Lookup'!G:H,2,FALSE)*G1266)</f>
        <v/>
      </c>
      <c r="W1266" s="102">
        <f t="shared" si="933"/>
        <v>0</v>
      </c>
      <c r="X1266" s="102" t="str">
        <f t="shared" si="934"/>
        <v>Creamy White bloom</v>
      </c>
      <c r="Y1266" s="120" t="b">
        <f t="shared" si="935"/>
        <v>0</v>
      </c>
      <c r="Z1266" s="117">
        <f t="shared" si="936"/>
        <v>0</v>
      </c>
      <c r="AA1266" s="118"/>
      <c r="AB1266" s="118" t="str">
        <f t="shared" si="937"/>
        <v/>
      </c>
      <c r="AC1266" s="712" t="str">
        <f>IF(AE1266="T2G","no charge",IF(AND(OR(PlanterYesMe="No",PlanterYesMe="N",PlanterYesMe="me"),H1266=""),"",IF(H1266="credit","NO install",IF(AND(K1266="",AE1266="me"),"EACH row",IF(AND(K1266="images",AE1266="me"),"EACH row",IF(D1266="","",IF(H1266="credit","",IF(AE1266="free","re-planting",IF(AE1266="me","   not ELP, by",IF(AND(OR(PlanterYesMe="Yes",PlanterYesMe="Y"),G1266&gt;0),(VLOOKUP(A1266,'Discount Lookup'!J:K,2)*G1266*(1-PlanterDiscount)*(1+PlanterDifficultyPercentage)),IF(AE1266="ELP",(VLOOKUP(A1266,'Discount Lookup'!J:K,2)*G1266*(1-PlanterDiscount)*(1+PlanterDifficultyPercentage)),IF(AE1266="free","re-planting",IF(G1266=0,"",IF(PlanterYesMe="",IF(AE1266="me","   not ELP, by",IF(AE1266="",IF(G1266&gt;0,(VLOOKUP(A1266,'Discount Lookup'!J:K,2)*G1266*(1-PlanterDiscount)*(1+PlanterDifficultyPercentage)),""),"")),"   not ELP, by"))))))))))))))</f>
        <v/>
      </c>
      <c r="AD1266" s="712"/>
      <c r="AE1266" s="513" t="str">
        <f t="shared" si="938"/>
        <v/>
      </c>
      <c r="AF1266" s="713" t="str">
        <f t="shared" si="939"/>
        <v/>
      </c>
      <c r="AG1266" s="713"/>
      <c r="AH1266" s="713"/>
      <c r="AI1266" s="112">
        <f>IF(H1266="credit",0,IF(AE1266="free",0,IF(AE1266="me",0,IF(G1266&gt;0,(VLOOKUP(A1266,'Discount Lookup'!J:K,2)*G1266),0))))</f>
        <v>0</v>
      </c>
      <c r="AJ1266" s="107" t="str">
        <f t="shared" ca="1" si="940"/>
        <v/>
      </c>
      <c r="AK1266" s="714" t="str">
        <f t="shared" si="941"/>
        <v/>
      </c>
      <c r="AL1266" s="714"/>
      <c r="AM1266" s="114" t="str">
        <f t="shared" si="942"/>
        <v/>
      </c>
      <c r="AN1266" s="115"/>
      <c r="AO1266" s="116"/>
      <c r="AP1266" s="116"/>
      <c r="AQ1266" s="116"/>
      <c r="AR1266" s="116"/>
      <c r="AS1266" s="116"/>
      <c r="AT1266" s="116"/>
      <c r="AU1266" s="116"/>
      <c r="AV1266" s="78"/>
      <c r="AW1266" s="102"/>
      <c r="AX1266" s="78"/>
      <c r="AY1266" s="78"/>
      <c r="AZ1266" s="78"/>
      <c r="BA1266" s="78"/>
      <c r="BB1266" s="78"/>
      <c r="BC1266" s="78"/>
      <c r="BD1266" s="78"/>
      <c r="BE1266" s="465"/>
      <c r="BF1266" s="165" t="str">
        <f t="shared" si="943"/>
        <v>https://www.google.com/search?tbm=isch&amp;q=Clethra%20alnifolia%20%27Sixteen%20Candles%27%20Sixteen%20Candles%20Summersweet</v>
      </c>
      <c r="BG1266" s="165" t="str">
        <f t="shared" si="944"/>
        <v>C</v>
      </c>
      <c r="BH1266" s="65"/>
      <c r="BI1266" s="65"/>
      <c r="BJ1266" s="65"/>
      <c r="BK1266" s="65"/>
      <c r="BL1266" s="99"/>
      <c r="BM1266" s="99"/>
      <c r="BN1266" s="99"/>
    </row>
    <row r="1267" spans="1:66" s="51" customFormat="1" ht="15.75" x14ac:dyDescent="0.25">
      <c r="A1267" s="634">
        <v>3</v>
      </c>
      <c r="B1267" s="635" t="s">
        <v>291</v>
      </c>
      <c r="C1267" s="636" t="s">
        <v>345</v>
      </c>
      <c r="D1267" s="637" t="s">
        <v>329</v>
      </c>
      <c r="E1267" s="638">
        <v>31.95</v>
      </c>
      <c r="F1267" s="639" t="s">
        <v>292</v>
      </c>
      <c r="G1267" s="484">
        <v>0</v>
      </c>
      <c r="H1267" s="691" t="str">
        <f>IF(G1267=0,"",IF(F1267="Buy",IF(G1267=1,"plant","plants"),IF(F1267&gt;0.01,"warranty","Error")))</f>
        <v/>
      </c>
      <c r="I1267" s="640">
        <f>IF(H1267="free",0,IF(H1267="credit",((E1267*(F1267))*G1267*-1),IF(F1267="Buy",(E1267*G1267),((E1267*(1-F1267))*G1267))))</f>
        <v>0</v>
      </c>
      <c r="J1267" s="640">
        <f>IF(H1267="warranty",0,(I1267*(_xlfn.SINGLE(SalesTaxPercentage))))</f>
        <v>0</v>
      </c>
      <c r="K1267" s="716">
        <f t="shared" ref="K1267" si="956">I1267+J1267</f>
        <v>0</v>
      </c>
      <c r="L1267" s="716"/>
      <c r="M1267" s="689" t="str">
        <f ca="1">IF(AND(G1267&gt;0,E1267=0),"WARNING - no PRICE inserted",IF(H1267="free","FREE ~ no charge this plant",IF(H1267="credit",CONCATENATE("-$",ROUND(K1267*(1-_xlfn.SINGLE(T2GDiscount))*-1,2)," CREDIT after discount"),IF(_xlfn.SINGLE(T2GDiscount)=0,"",IF(G1267=0,"",IF(F1267="Buy",CONCATENATE("$",ROUND(K1267*(1-_xlfn.SINGLE(T2GDiscount)),2)," with ",(_xlfn.SINGLE(T2GDiscount)*100),"% discount"),CONCATENATE("$",ROUND(K1267*(1-_xlfn.SINGLE(T2GDiscount)),2)," with ",((_xlfn.SINGLE(T2GDiscount)*100+F1267*100)-(_xlfn.SINGLE(T2GDiscount)*100*F1267)),IF(F1267&gt;0,"% discounts",IF(_xlfn.SINGLE(NoWarrantyDiscount)&gt;0,"% discounts","% discount")))))))))</f>
        <v/>
      </c>
      <c r="N1267" s="690"/>
      <c r="O1267" s="486"/>
      <c r="P1267" s="486"/>
      <c r="Q1267" s="486"/>
      <c r="R1267" s="486"/>
      <c r="S1267" s="486"/>
      <c r="T1267" s="102">
        <f t="shared" si="932"/>
        <v>0</v>
      </c>
      <c r="U1267" s="78">
        <f>IF(NOT(ISNUMBER(G1267)), "", VLOOKUP(A1267,'Discount Lookup'!D:E,2,FALSE)*G1267)</f>
        <v>0</v>
      </c>
      <c r="V1267" s="78">
        <f>IF(NOT(ISNUMBER(G1267)), "", VLOOKUP(A1267,'Discount Lookup'!G:H,2,FALSE)*G1267)</f>
        <v>0</v>
      </c>
      <c r="W1267" s="102">
        <f t="shared" si="933"/>
        <v>0</v>
      </c>
      <c r="X1267" s="102">
        <f t="shared" si="934"/>
        <v>0</v>
      </c>
      <c r="Y1267" s="120" t="b">
        <f t="shared" si="935"/>
        <v>0</v>
      </c>
      <c r="Z1267" s="117">
        <f t="shared" si="936"/>
        <v>0</v>
      </c>
      <c r="AA1267" s="118"/>
      <c r="AB1267" s="118" t="str">
        <f t="shared" si="937"/>
        <v/>
      </c>
      <c r="AC1267" s="712" t="str">
        <f>IF(AE1267="T2G","no charge",IF(AND(OR(PlanterYesMe="No",PlanterYesMe="N",PlanterYesMe="me"),H1267=""),"",IF(H1267="credit","NO install",IF(AND(K1267="",AE1267="me"),"EACH row",IF(AND(K1267="images",AE1267="me"),"EACH row",IF(D1267="","",IF(H1267="credit","",IF(AE1267="free","re-planting",IF(AE1267="me","   not ELP, by",IF(AND(OR(PlanterYesMe="Yes",PlanterYesMe="Y"),G1267&gt;0),(VLOOKUP(A1267,'Discount Lookup'!J:K,2)*G1267*(1-PlanterDiscount)*(1+PlanterDifficultyPercentage)),IF(AE1267="ELP",(VLOOKUP(A1267,'Discount Lookup'!J:K,2)*G1267*(1-PlanterDiscount)*(1+PlanterDifficultyPercentage)),IF(AE1267="free","re-planting",IF(G1267=0,"",IF(PlanterYesMe="",IF(AE1267="me","   not ELP, by",IF(AE1267="",IF(G1267&gt;0,(VLOOKUP(A1267,'Discount Lookup'!J:K,2)*G1267*(1-PlanterDiscount)*(1+PlanterDifficultyPercentage)),""),"")),"   not ELP, by"))))))))))))))</f>
        <v/>
      </c>
      <c r="AD1267" s="712"/>
      <c r="AE1267" s="513" t="str">
        <f t="shared" si="938"/>
        <v/>
      </c>
      <c r="AF1267" s="713" t="str">
        <f t="shared" si="939"/>
        <v/>
      </c>
      <c r="AG1267" s="713"/>
      <c r="AH1267" s="713"/>
      <c r="AI1267" s="112">
        <f>IF(H1267="credit",0,IF(AE1267="free",0,IF(AE1267="me",0,IF(G1267&gt;0,(VLOOKUP(A1267,'Discount Lookup'!J:K,2)*G1267),0))))</f>
        <v>0</v>
      </c>
      <c r="AJ1267" s="107" t="str">
        <f t="shared" ca="1" si="940"/>
        <v/>
      </c>
      <c r="AK1267" s="714" t="str">
        <f t="shared" si="941"/>
        <v/>
      </c>
      <c r="AL1267" s="714"/>
      <c r="AM1267" s="114" t="str">
        <f t="shared" si="942"/>
        <v/>
      </c>
      <c r="AN1267" s="115"/>
      <c r="AO1267" s="116"/>
      <c r="AP1267" s="116"/>
      <c r="AQ1267" s="116"/>
      <c r="AR1267" s="116"/>
      <c r="AS1267" s="116"/>
      <c r="AT1267" s="116"/>
      <c r="AU1267" s="116"/>
      <c r="AV1267" s="78"/>
      <c r="AW1267" s="102"/>
      <c r="AX1267" s="78"/>
      <c r="AY1267" s="78"/>
      <c r="AZ1267" s="78"/>
      <c r="BA1267" s="78"/>
      <c r="BB1267" s="78"/>
      <c r="BC1267" s="78"/>
      <c r="BD1267" s="78"/>
      <c r="BE1267" s="465"/>
      <c r="BF1267" s="165" t="str">
        <f t="shared" si="943"/>
        <v>https://www.google.com/search?tbm=isch&amp;q=3%20G2</v>
      </c>
      <c r="BG1267" s="165" t="str">
        <f t="shared" si="944"/>
        <v>C</v>
      </c>
      <c r="BH1267" s="65"/>
      <c r="BI1267" s="65"/>
      <c r="BJ1267" s="65"/>
      <c r="BK1267" s="65"/>
      <c r="BL1267" s="99"/>
      <c r="BM1267" s="99"/>
      <c r="BN1267" s="99"/>
    </row>
    <row r="1268" spans="1:66" s="51" customFormat="1" ht="16.5" x14ac:dyDescent="0.25">
      <c r="A1268" s="704" t="s">
        <v>5382</v>
      </c>
      <c r="B1268" s="642"/>
      <c r="C1268" s="710"/>
      <c r="D1268" s="643"/>
      <c r="E1268" s="643"/>
      <c r="F1268" s="644"/>
      <c r="G1268" s="645"/>
      <c r="H1268" s="646"/>
      <c r="I1268" s="647"/>
      <c r="J1268" s="648"/>
      <c r="K1268" s="649"/>
      <c r="L1268" s="650"/>
      <c r="M1268" s="650"/>
      <c r="N1268" s="644"/>
      <c r="O1268" s="644"/>
      <c r="P1268" s="644"/>
      <c r="Q1268" s="644"/>
      <c r="R1268" s="644"/>
      <c r="S1268" s="701" t="s">
        <v>5273</v>
      </c>
      <c r="T1268" s="102">
        <f t="shared" si="932"/>
        <v>0</v>
      </c>
      <c r="U1268" s="78" t="str">
        <f>IF(NOT(ISNUMBER(G1268)), "", VLOOKUP(A1268,'Discount Lookup'!D:E,2,FALSE)*G1268)</f>
        <v/>
      </c>
      <c r="V1268" s="78" t="str">
        <f>IF(NOT(ISNUMBER(G1268)), "", VLOOKUP(A1268,'Discount Lookup'!G:H,2,FALSE)*G1268)</f>
        <v/>
      </c>
      <c r="W1268" s="102">
        <f t="shared" si="933"/>
        <v>0</v>
      </c>
      <c r="X1268" s="102">
        <f t="shared" si="934"/>
        <v>0</v>
      </c>
      <c r="Y1268" s="120" t="b">
        <f t="shared" si="935"/>
        <v>0</v>
      </c>
      <c r="Z1268" s="117">
        <f t="shared" si="936"/>
        <v>0</v>
      </c>
      <c r="AA1268" s="118"/>
      <c r="AB1268" s="118" t="str">
        <f t="shared" si="937"/>
        <v/>
      </c>
      <c r="AC1268" s="712" t="str">
        <f>IF(AE1268="T2G","no charge",IF(AND(OR(PlanterYesMe="No",PlanterYesMe="N",PlanterYesMe="me"),H1268=""),"",IF(H1268="credit","NO install",IF(AND(K1268="",AE1268="me"),"EACH row",IF(AND(K1268="images",AE1268="me"),"EACH row",IF(D1268="","",IF(H1268="credit","",IF(AE1268="free","re-planting",IF(AE1268="me","   not ELP, by",IF(AND(OR(PlanterYesMe="Yes",PlanterYesMe="Y"),G1268&gt;0),(VLOOKUP(A1268,'Discount Lookup'!J:K,2)*G1268*(1-PlanterDiscount)*(1+PlanterDifficultyPercentage)),IF(AE1268="ELP",(VLOOKUP(A1268,'Discount Lookup'!J:K,2)*G1268*(1-PlanterDiscount)*(1+PlanterDifficultyPercentage)),IF(AE1268="free","re-planting",IF(G1268=0,"",IF(PlanterYesMe="",IF(AE1268="me","   not ELP, by",IF(AE1268="",IF(G1268&gt;0,(VLOOKUP(A1268,'Discount Lookup'!J:K,2)*G1268*(1-PlanterDiscount)*(1+PlanterDifficultyPercentage)),""),"")),"   not ELP, by"))))))))))))))</f>
        <v/>
      </c>
      <c r="AD1268" s="712"/>
      <c r="AE1268" s="513" t="str">
        <f t="shared" si="938"/>
        <v/>
      </c>
      <c r="AF1268" s="713" t="str">
        <f t="shared" si="939"/>
        <v/>
      </c>
      <c r="AG1268" s="713"/>
      <c r="AH1268" s="713"/>
      <c r="AI1268" s="112">
        <f>IF(H1268="credit",0,IF(AE1268="free",0,IF(AE1268="me",0,IF(G1268&gt;0,(VLOOKUP(A1268,'Discount Lookup'!J:K,2)*G1268),0))))</f>
        <v>0</v>
      </c>
      <c r="AJ1268" s="107" t="str">
        <f t="shared" ca="1" si="940"/>
        <v/>
      </c>
      <c r="AK1268" s="714" t="str">
        <f t="shared" si="941"/>
        <v/>
      </c>
      <c r="AL1268" s="714"/>
      <c r="AM1268" s="114" t="str">
        <f t="shared" si="942"/>
        <v/>
      </c>
      <c r="AN1268" s="115"/>
      <c r="AO1268" s="116"/>
      <c r="AP1268" s="116"/>
      <c r="AQ1268" s="116"/>
      <c r="AR1268" s="116"/>
      <c r="AS1268" s="116"/>
      <c r="AT1268" s="116"/>
      <c r="AU1268" s="116"/>
      <c r="AV1268" s="78"/>
      <c r="AW1268" s="102"/>
      <c r="AX1268" s="78"/>
      <c r="AY1268" s="78"/>
      <c r="AZ1268" s="78"/>
      <c r="BA1268" s="78"/>
      <c r="BB1268" s="78"/>
      <c r="BC1268" s="78"/>
      <c r="BD1268" s="78"/>
      <c r="BE1268" s="465"/>
      <c r="BF1268" s="165" t="str">
        <f t="shared" si="943"/>
        <v>https://www.google.com/search?tbm=isch&amp;q=wet%20sites%F0%9F%92%A7GOOD%2C%20Sixteen%20Candles%20has%20upright%2C%20candle-like%20flower%20spikes%20in%20mid%20to%20late%20summer%2C%20with%20a%20sweet%20fragrance%20</v>
      </c>
      <c r="BG1268" s="165" t="str">
        <f t="shared" si="944"/>
        <v>w</v>
      </c>
      <c r="BH1268" s="65"/>
      <c r="BI1268" s="65"/>
      <c r="BJ1268" s="65"/>
      <c r="BK1268" s="65"/>
      <c r="BL1268" s="99"/>
      <c r="BM1268" s="99"/>
      <c r="BN1268" s="99"/>
    </row>
    <row r="1269" spans="1:66" s="51" customFormat="1" ht="19.5" thickBot="1" x14ac:dyDescent="0.3">
      <c r="A1269" s="686" t="s">
        <v>4941</v>
      </c>
      <c r="B1269" s="73"/>
      <c r="C1269" s="708"/>
      <c r="D1269" s="73"/>
      <c r="E1269" s="73"/>
      <c r="F1269" s="496"/>
      <c r="G1269" s="73"/>
      <c r="H1269" s="73"/>
      <c r="I1269" s="73"/>
      <c r="J1269" s="497" t="s">
        <v>357</v>
      </c>
      <c r="K1269" s="498"/>
      <c r="L1269" s="562"/>
      <c r="M1269" s="73"/>
      <c r="N1269"/>
      <c r="O1269"/>
      <c r="P1269"/>
      <c r="Q1269"/>
      <c r="R1269"/>
      <c r="S1269"/>
      <c r="T1269" s="102">
        <f t="shared" si="932"/>
        <v>0</v>
      </c>
      <c r="U1269" s="78" t="str">
        <f>IF(NOT(ISNUMBER(G1269)), "", VLOOKUP(A1269,'Discount Lookup'!D:E,2,FALSE)*G1269)</f>
        <v/>
      </c>
      <c r="V1269" s="78" t="str">
        <f>IF(NOT(ISNUMBER(G1269)), "", VLOOKUP(A1269,'Discount Lookup'!G:H,2,FALSE)*G1269)</f>
        <v/>
      </c>
      <c r="W1269" s="102">
        <f t="shared" si="933"/>
        <v>0</v>
      </c>
      <c r="X1269" s="102">
        <f t="shared" si="934"/>
        <v>0</v>
      </c>
      <c r="Y1269" s="120" t="b">
        <f t="shared" si="935"/>
        <v>0</v>
      </c>
      <c r="Z1269" s="117">
        <f t="shared" si="936"/>
        <v>0</v>
      </c>
      <c r="AA1269" s="118"/>
      <c r="AB1269" s="118" t="str">
        <f t="shared" si="937"/>
        <v/>
      </c>
      <c r="AC1269" s="712" t="str">
        <f>IF(AE1269="T2G","no charge",IF(AND(OR(PlanterYesMe="No",PlanterYesMe="N",PlanterYesMe="me"),H1269=""),"",IF(H1269="credit","NO install",IF(AND(K1269="",AE1269="me"),"EACH row",IF(AND(K1269="images",AE1269="me"),"EACH row",IF(D1269="","",IF(H1269="credit","",IF(AE1269="free","re-planting",IF(AE1269="me","   not ELP, by",IF(AND(OR(PlanterYesMe="Yes",PlanterYesMe="Y"),G1269&gt;0),(VLOOKUP(A1269,'Discount Lookup'!J:K,2)*G1269*(1-PlanterDiscount)*(1+PlanterDifficultyPercentage)),IF(AE1269="ELP",(VLOOKUP(A1269,'Discount Lookup'!J:K,2)*G1269*(1-PlanterDiscount)*(1+PlanterDifficultyPercentage)),IF(AE1269="free","re-planting",IF(G1269=0,"",IF(PlanterYesMe="",IF(AE1269="me","   not ELP, by",IF(AE1269="",IF(G1269&gt;0,(VLOOKUP(A1269,'Discount Lookup'!J:K,2)*G1269*(1-PlanterDiscount)*(1+PlanterDifficultyPercentage)),""),"")),"   not ELP, by"))))))))))))))</f>
        <v/>
      </c>
      <c r="AD1269" s="712"/>
      <c r="AE1269" s="513" t="str">
        <f t="shared" si="938"/>
        <v/>
      </c>
      <c r="AF1269" s="713" t="str">
        <f t="shared" si="939"/>
        <v/>
      </c>
      <c r="AG1269" s="713"/>
      <c r="AH1269" s="713"/>
      <c r="AI1269" s="112">
        <f>IF(H1269="credit",0,IF(AE1269="free",0,IF(AE1269="me",0,IF(G1269&gt;0,(VLOOKUP(A1269,'Discount Lookup'!J:K,2)*G1269),0))))</f>
        <v>0</v>
      </c>
      <c r="AJ1269" s="107" t="str">
        <f t="shared" ca="1" si="940"/>
        <v/>
      </c>
      <c r="AK1269" s="714" t="str">
        <f t="shared" si="941"/>
        <v/>
      </c>
      <c r="AL1269" s="714"/>
      <c r="AM1269" s="114" t="str">
        <f t="shared" si="942"/>
        <v/>
      </c>
      <c r="AN1269" s="115"/>
      <c r="AO1269" s="116"/>
      <c r="AP1269" s="116"/>
      <c r="AQ1269" s="116"/>
      <c r="AR1269" s="116"/>
      <c r="AS1269" s="116"/>
      <c r="AT1269" s="116"/>
      <c r="AU1269" s="116"/>
      <c r="AV1269" s="78"/>
      <c r="AW1269" s="102"/>
      <c r="AX1269" s="78"/>
      <c r="AY1269" s="78"/>
      <c r="AZ1269" s="78"/>
      <c r="BA1269" s="78"/>
      <c r="BB1269" s="78"/>
      <c r="BC1269" s="78"/>
      <c r="BD1269" s="78"/>
      <c r="BE1269" s="465"/>
      <c r="BF1269" s="165" t="str">
        <f t="shared" si="943"/>
        <v>https://www.google.com/search?tbm=isch&amp;q=Colocasia%20%3D%201%20of%202%20Elephant%20Ear%20types%20%28see%20also%20Alocasia%29%20</v>
      </c>
      <c r="BG1269" s="165" t="str">
        <f t="shared" si="944"/>
        <v>C</v>
      </c>
      <c r="BH1269" s="65"/>
      <c r="BI1269" s="65"/>
      <c r="BJ1269" s="65"/>
      <c r="BK1269" s="65"/>
      <c r="BL1269" s="99"/>
      <c r="BM1269" s="99"/>
      <c r="BN1269" s="99"/>
    </row>
    <row r="1270" spans="1:66" s="51" customFormat="1" ht="18" x14ac:dyDescent="0.25">
      <c r="A1270" s="623" t="s">
        <v>2272</v>
      </c>
      <c r="B1270" s="624"/>
      <c r="C1270" s="709"/>
      <c r="D1270" s="625" t="s">
        <v>5869</v>
      </c>
      <c r="E1270" s="626"/>
      <c r="F1270" s="626"/>
      <c r="G1270" s="626"/>
      <c r="H1270" s="622" t="s">
        <v>1124</v>
      </c>
      <c r="I1270" s="627" t="s">
        <v>2273</v>
      </c>
      <c r="J1270" s="628"/>
      <c r="K1270" s="628"/>
      <c r="L1270" s="629"/>
      <c r="M1270" s="700" t="s">
        <v>5249</v>
      </c>
      <c r="N1270" s="693" t="str">
        <f>IF(AND(ISTEXT($A1270), ISERROR($A1270+0)), HYPERLINK($BF1270, "Images"), "")</f>
        <v>Images</v>
      </c>
      <c r="O1270" s="695" t="s">
        <v>5244</v>
      </c>
      <c r="P1270" s="630"/>
      <c r="Q1270" s="631"/>
      <c r="R1270" s="632"/>
      <c r="S1270" s="633"/>
      <c r="T1270" s="102">
        <f t="shared" si="932"/>
        <v>0</v>
      </c>
      <c r="U1270" s="78" t="str">
        <f>IF(NOT(ISNUMBER(G1270)), "", VLOOKUP(A1270,'Discount Lookup'!D:E,2,FALSE)*G1270)</f>
        <v/>
      </c>
      <c r="V1270" s="78" t="str">
        <f>IF(NOT(ISNUMBER(G1270)), "", VLOOKUP(A1270,'Discount Lookup'!G:H,2,FALSE)*G1270)</f>
        <v/>
      </c>
      <c r="W1270" s="102">
        <f t="shared" si="933"/>
        <v>0</v>
      </c>
      <c r="X1270" s="102" t="str">
        <f t="shared" si="934"/>
        <v>Jet-Black foliage</v>
      </c>
      <c r="Y1270" s="120" t="b">
        <f t="shared" si="935"/>
        <v>0</v>
      </c>
      <c r="Z1270" s="117">
        <f t="shared" si="936"/>
        <v>0</v>
      </c>
      <c r="AA1270" s="118"/>
      <c r="AB1270" s="118" t="str">
        <f t="shared" si="937"/>
        <v/>
      </c>
      <c r="AC1270" s="712" t="str">
        <f>IF(AE1270="T2G","no charge",IF(AND(OR(PlanterYesMe="No",PlanterYesMe="N",PlanterYesMe="me"),H1270=""),"",IF(H1270="credit","NO install",IF(AND(K1270="",AE1270="me"),"EACH row",IF(AND(K1270="images",AE1270="me"),"EACH row",IF(D1270="","",IF(H1270="credit","",IF(AE1270="free","re-planting",IF(AE1270="me","   not ELP, by",IF(AND(OR(PlanterYesMe="Yes",PlanterYesMe="Y"),G1270&gt;0),(VLOOKUP(A1270,'Discount Lookup'!J:K,2)*G1270*(1-PlanterDiscount)*(1+PlanterDifficultyPercentage)),IF(AE1270="ELP",(VLOOKUP(A1270,'Discount Lookup'!J:K,2)*G1270*(1-PlanterDiscount)*(1+PlanterDifficultyPercentage)),IF(AE1270="free","re-planting",IF(G1270=0,"",IF(PlanterYesMe="",IF(AE1270="me","   not ELP, by",IF(AE1270="",IF(G1270&gt;0,(VLOOKUP(A1270,'Discount Lookup'!J:K,2)*G1270*(1-PlanterDiscount)*(1+PlanterDifficultyPercentage)),""),"")),"   not ELP, by"))))))))))))))</f>
        <v/>
      </c>
      <c r="AD1270" s="712"/>
      <c r="AE1270" s="513" t="str">
        <f t="shared" si="938"/>
        <v/>
      </c>
      <c r="AF1270" s="713" t="str">
        <f t="shared" si="939"/>
        <v/>
      </c>
      <c r="AG1270" s="713"/>
      <c r="AH1270" s="713"/>
      <c r="AI1270" s="112">
        <f>IF(H1270="credit",0,IF(AE1270="free",0,IF(AE1270="me",0,IF(G1270&gt;0,(VLOOKUP(A1270,'Discount Lookup'!J:K,2)*G1270),0))))</f>
        <v>0</v>
      </c>
      <c r="AJ1270" s="107" t="str">
        <f t="shared" ca="1" si="940"/>
        <v/>
      </c>
      <c r="AK1270" s="714" t="str">
        <f t="shared" si="941"/>
        <v/>
      </c>
      <c r="AL1270" s="714"/>
      <c r="AM1270" s="114" t="str">
        <f t="shared" si="942"/>
        <v/>
      </c>
      <c r="AN1270" s="115"/>
      <c r="AO1270" s="116"/>
      <c r="AP1270" s="116"/>
      <c r="AQ1270" s="116"/>
      <c r="AR1270" s="116"/>
      <c r="AS1270" s="116"/>
      <c r="AT1270" s="116"/>
      <c r="AU1270" s="116"/>
      <c r="AV1270" s="78"/>
      <c r="AW1270" s="102"/>
      <c r="AX1270" s="78"/>
      <c r="AY1270" s="78"/>
      <c r="AZ1270" s="78"/>
      <c r="BA1270" s="78"/>
      <c r="BB1270" s="78"/>
      <c r="BC1270" s="78"/>
      <c r="BD1270" s="78"/>
      <c r="BE1270" s="465"/>
      <c r="BF1270" s="165" t="str">
        <f t="shared" si="943"/>
        <v>https://www.google.com/search?tbm=isch&amp;q=Colocasia%20esculenta%20%27Black%20Coral%27%20PP%2323896%20Black%20Coral%20Elephant%20Ear%20%28RH%C2%AE%29</v>
      </c>
      <c r="BG1270" s="165" t="str">
        <f t="shared" si="944"/>
        <v>C</v>
      </c>
      <c r="BH1270" s="65"/>
      <c r="BI1270" s="65"/>
      <c r="BJ1270" s="65"/>
      <c r="BK1270" s="65"/>
      <c r="BL1270" s="99"/>
      <c r="BM1270" s="99"/>
      <c r="BN1270" s="99"/>
    </row>
    <row r="1271" spans="1:66" s="51" customFormat="1" ht="15.75" x14ac:dyDescent="0.25">
      <c r="A1271" s="634">
        <v>4</v>
      </c>
      <c r="B1271" s="635" t="s">
        <v>338</v>
      </c>
      <c r="C1271" s="636"/>
      <c r="D1271" s="637" t="s">
        <v>329</v>
      </c>
      <c r="E1271" s="638">
        <v>16.95</v>
      </c>
      <c r="F1271" s="639" t="s">
        <v>292</v>
      </c>
      <c r="G1271" s="484">
        <v>0</v>
      </c>
      <c r="H1271" s="691" t="str">
        <f>IF(G1271=0,"",IF(F1271="Buy",IF(G1271=1,"plant","plants"),IF(F1271&gt;0.01,"warranty","Error")))</f>
        <v/>
      </c>
      <c r="I1271" s="640">
        <f>IF(H1271="free",0,IF(H1271="credit",((E1271*(F1271))*G1271*-1),IF(F1271="Buy",(E1271*G1271),((E1271*(1-F1271))*G1271))))</f>
        <v>0</v>
      </c>
      <c r="J1271" s="640">
        <f>IF(H1271="warranty",0,(I1271*(_xlfn.SINGLE(SalesTaxPercentage))))</f>
        <v>0</v>
      </c>
      <c r="K1271" s="716">
        <f t="shared" ref="K1271" si="957">I1271+J1271</f>
        <v>0</v>
      </c>
      <c r="L1271" s="716"/>
      <c r="M1271" s="689" t="str">
        <f ca="1">IF(AND(G1271&gt;0,E1271=0),"WARNING - no PRICE inserted",IF(H1271="free","FREE ~ no charge this plant",IF(H1271="credit",CONCATENATE("-$",ROUND(K1271*(1-_xlfn.SINGLE(T2GDiscount))*-1,2)," CREDIT after discount"),IF(_xlfn.SINGLE(T2GDiscount)=0,"",IF(G1271=0,"",IF(F1271="Buy",CONCATENATE("$",ROUND(K1271*(1-_xlfn.SINGLE(T2GDiscount)),2)," with ",(_xlfn.SINGLE(T2GDiscount)*100),"% discount"),CONCATENATE("$",ROUND(K1271*(1-_xlfn.SINGLE(T2GDiscount)),2)," with ",((_xlfn.SINGLE(T2GDiscount)*100+F1271*100)-(_xlfn.SINGLE(T2GDiscount)*100*F1271)),IF(F1271&gt;0,"% discounts",IF(_xlfn.SINGLE(NoWarrantyDiscount)&gt;0,"% discounts","% discount")))))))))</f>
        <v/>
      </c>
      <c r="N1271" s="690"/>
      <c r="O1271" s="486"/>
      <c r="P1271" s="486"/>
      <c r="Q1271" s="486"/>
      <c r="R1271" s="486"/>
      <c r="S1271" s="486"/>
      <c r="T1271" s="102">
        <f t="shared" si="932"/>
        <v>0</v>
      </c>
      <c r="U1271" s="78">
        <f>IF(NOT(ISNUMBER(G1271)), "", VLOOKUP(A1271,'Discount Lookup'!D:E,2,FALSE)*G1271)</f>
        <v>0</v>
      </c>
      <c r="V1271" s="78">
        <f>IF(NOT(ISNUMBER(G1271)), "", VLOOKUP(A1271,'Discount Lookup'!G:H,2,FALSE)*G1271)</f>
        <v>0</v>
      </c>
      <c r="W1271" s="102">
        <f t="shared" si="933"/>
        <v>0</v>
      </c>
      <c r="X1271" s="102">
        <f t="shared" si="934"/>
        <v>0</v>
      </c>
      <c r="Y1271" s="120" t="b">
        <f t="shared" si="935"/>
        <v>0</v>
      </c>
      <c r="Z1271" s="117">
        <f t="shared" si="936"/>
        <v>0</v>
      </c>
      <c r="AA1271" s="118"/>
      <c r="AB1271" s="118" t="str">
        <f t="shared" si="937"/>
        <v/>
      </c>
      <c r="AC1271" s="712" t="str">
        <f>IF(AE1271="T2G","no charge",IF(AND(OR(PlanterYesMe="No",PlanterYesMe="N",PlanterYesMe="me"),H1271=""),"",IF(H1271="credit","NO install",IF(AND(K1271="",AE1271="me"),"EACH row",IF(AND(K1271="images",AE1271="me"),"EACH row",IF(D1271="","",IF(H1271="credit","",IF(AE1271="free","re-planting",IF(AE1271="me","   not ELP, by",IF(AND(OR(PlanterYesMe="Yes",PlanterYesMe="Y"),G1271&gt;0),(VLOOKUP(A1271,'Discount Lookup'!J:K,2)*G1271*(1-PlanterDiscount)*(1+PlanterDifficultyPercentage)),IF(AE1271="ELP",(VLOOKUP(A1271,'Discount Lookup'!J:K,2)*G1271*(1-PlanterDiscount)*(1+PlanterDifficultyPercentage)),IF(AE1271="free","re-planting",IF(G1271=0,"",IF(PlanterYesMe="",IF(AE1271="me","   not ELP, by",IF(AE1271="",IF(G1271&gt;0,(VLOOKUP(A1271,'Discount Lookup'!J:K,2)*G1271*(1-PlanterDiscount)*(1+PlanterDifficultyPercentage)),""),"")),"   not ELP, by"))))))))))))))</f>
        <v/>
      </c>
      <c r="AD1271" s="712"/>
      <c r="AE1271" s="513" t="str">
        <f t="shared" si="938"/>
        <v/>
      </c>
      <c r="AF1271" s="713" t="str">
        <f t="shared" si="939"/>
        <v/>
      </c>
      <c r="AG1271" s="713"/>
      <c r="AH1271" s="713"/>
      <c r="AI1271" s="112">
        <f>IF(H1271="credit",0,IF(AE1271="free",0,IF(AE1271="me",0,IF(G1271&gt;0,(VLOOKUP(A1271,'Discount Lookup'!J:K,2)*G1271),0))))</f>
        <v>0</v>
      </c>
      <c r="AJ1271" s="107" t="str">
        <f t="shared" ca="1" si="940"/>
        <v/>
      </c>
      <c r="AK1271" s="714" t="str">
        <f t="shared" si="941"/>
        <v/>
      </c>
      <c r="AL1271" s="714"/>
      <c r="AM1271" s="114" t="str">
        <f t="shared" si="942"/>
        <v/>
      </c>
      <c r="AN1271" s="115"/>
      <c r="AO1271" s="116"/>
      <c r="AP1271" s="116"/>
      <c r="AQ1271" s="116"/>
      <c r="AR1271" s="116"/>
      <c r="AS1271" s="116"/>
      <c r="AT1271" s="116"/>
      <c r="AU1271" s="116"/>
      <c r="AV1271" s="78"/>
      <c r="AW1271" s="102"/>
      <c r="AX1271" s="78"/>
      <c r="AY1271" s="78"/>
      <c r="AZ1271" s="78"/>
      <c r="BA1271" s="78"/>
      <c r="BB1271" s="78"/>
      <c r="BC1271" s="78"/>
      <c r="BD1271" s="78"/>
      <c r="BE1271" s="465"/>
      <c r="BF1271" s="165" t="str">
        <f t="shared" si="943"/>
        <v>https://www.google.com/search?tbm=isch&amp;q=4%20G2</v>
      </c>
      <c r="BG1271" s="165" t="str">
        <f t="shared" si="944"/>
        <v>C</v>
      </c>
      <c r="BH1271" s="65"/>
      <c r="BI1271" s="65"/>
      <c r="BJ1271" s="65"/>
      <c r="BK1271" s="65"/>
      <c r="BL1271" s="99"/>
      <c r="BM1271" s="99"/>
      <c r="BN1271" s="99"/>
    </row>
    <row r="1272" spans="1:66" s="51" customFormat="1" ht="16.5" x14ac:dyDescent="0.25">
      <c r="A1272" s="704" t="s">
        <v>5383</v>
      </c>
      <c r="B1272" s="642"/>
      <c r="C1272" s="710"/>
      <c r="D1272" s="643"/>
      <c r="E1272" s="643"/>
      <c r="F1272" s="644"/>
      <c r="G1272" s="645"/>
      <c r="H1272" s="646"/>
      <c r="I1272" s="647"/>
      <c r="J1272" s="648"/>
      <c r="K1272" s="649"/>
      <c r="L1272" s="650"/>
      <c r="M1272" s="650"/>
      <c r="N1272" s="644"/>
      <c r="O1272" s="644"/>
      <c r="P1272" s="644"/>
      <c r="Q1272" s="644"/>
      <c r="R1272" s="644"/>
      <c r="S1272" s="701" t="s">
        <v>5250</v>
      </c>
      <c r="T1272" s="102">
        <f t="shared" si="932"/>
        <v>0</v>
      </c>
      <c r="U1272" s="78" t="str">
        <f>IF(NOT(ISNUMBER(G1272)), "", VLOOKUP(A1272,'Discount Lookup'!D:E,2,FALSE)*G1272)</f>
        <v/>
      </c>
      <c r="V1272" s="78" t="str">
        <f>IF(NOT(ISNUMBER(G1272)), "", VLOOKUP(A1272,'Discount Lookup'!G:H,2,FALSE)*G1272)</f>
        <v/>
      </c>
      <c r="W1272" s="102">
        <f t="shared" si="933"/>
        <v>0</v>
      </c>
      <c r="X1272" s="102">
        <f t="shared" si="934"/>
        <v>0</v>
      </c>
      <c r="Y1272" s="120" t="b">
        <f t="shared" si="935"/>
        <v>0</v>
      </c>
      <c r="Z1272" s="117">
        <f t="shared" si="936"/>
        <v>0</v>
      </c>
      <c r="AA1272" s="118"/>
      <c r="AB1272" s="118" t="str">
        <f t="shared" si="937"/>
        <v/>
      </c>
      <c r="AC1272" s="712" t="str">
        <f>IF(AE1272="T2G","no charge",IF(AND(OR(PlanterYesMe="No",PlanterYesMe="N",PlanterYesMe="me"),H1272=""),"",IF(H1272="credit","NO install",IF(AND(K1272="",AE1272="me"),"EACH row",IF(AND(K1272="images",AE1272="me"),"EACH row",IF(D1272="","",IF(H1272="credit","",IF(AE1272="free","re-planting",IF(AE1272="me","   not ELP, by",IF(AND(OR(PlanterYesMe="Yes",PlanterYesMe="Y"),G1272&gt;0),(VLOOKUP(A1272,'Discount Lookup'!J:K,2)*G1272*(1-PlanterDiscount)*(1+PlanterDifficultyPercentage)),IF(AE1272="ELP",(VLOOKUP(A1272,'Discount Lookup'!J:K,2)*G1272*(1-PlanterDiscount)*(1+PlanterDifficultyPercentage)),IF(AE1272="free","re-planting",IF(G1272=0,"",IF(PlanterYesMe="",IF(AE1272="me","   not ELP, by",IF(AE1272="",IF(G1272&gt;0,(VLOOKUP(A1272,'Discount Lookup'!J:K,2)*G1272*(1-PlanterDiscount)*(1+PlanterDifficultyPercentage)),""),"")),"   not ELP, by"))))))))))))))</f>
        <v/>
      </c>
      <c r="AD1272" s="712"/>
      <c r="AE1272" s="513" t="str">
        <f t="shared" si="938"/>
        <v/>
      </c>
      <c r="AF1272" s="713" t="str">
        <f t="shared" si="939"/>
        <v/>
      </c>
      <c r="AG1272" s="713"/>
      <c r="AH1272" s="713"/>
      <c r="AI1272" s="112">
        <f>IF(H1272="credit",0,IF(AE1272="free",0,IF(AE1272="me",0,IF(G1272&gt;0,(VLOOKUP(A1272,'Discount Lookup'!J:K,2)*G1272),0))))</f>
        <v>0</v>
      </c>
      <c r="AJ1272" s="107" t="str">
        <f t="shared" ca="1" si="940"/>
        <v/>
      </c>
      <c r="AK1272" s="714" t="str">
        <f t="shared" si="941"/>
        <v/>
      </c>
      <c r="AL1272" s="714"/>
      <c r="AM1272" s="114" t="str">
        <f t="shared" si="942"/>
        <v/>
      </c>
      <c r="AN1272" s="115"/>
      <c r="AO1272" s="116"/>
      <c r="AP1272" s="116"/>
      <c r="AQ1272" s="116"/>
      <c r="AR1272" s="116"/>
      <c r="AS1272" s="116"/>
      <c r="AT1272" s="116"/>
      <c r="AU1272" s="116"/>
      <c r="AV1272" s="78"/>
      <c r="AW1272" s="102"/>
      <c r="AX1272" s="78"/>
      <c r="AY1272" s="78"/>
      <c r="AZ1272" s="78"/>
      <c r="BA1272" s="78"/>
      <c r="BB1272" s="78"/>
      <c r="BC1272" s="78"/>
      <c r="BD1272" s="78"/>
      <c r="BE1272" s="465"/>
      <c r="BF1272" s="165" t="str">
        <f t="shared" si="943"/>
        <v>https://www.google.com/search?tbm=isch&amp;q=wet%20sites%F0%9F%92%A7BEST%2C%20Black%20Coral%20sports%20dramatic%2C%20dark%2C%20heart-shaped%20leaves%20with%20a%20strong%20tropical%20feel.%20Will%20die%20back%20in%20winter%20</v>
      </c>
      <c r="BG1272" s="165" t="str">
        <f t="shared" si="944"/>
        <v>w</v>
      </c>
      <c r="BH1272" s="65"/>
      <c r="BI1272" s="65"/>
      <c r="BJ1272" s="65"/>
      <c r="BK1272" s="65"/>
      <c r="BL1272" s="99"/>
      <c r="BM1272" s="99"/>
      <c r="BN1272" s="99"/>
    </row>
    <row r="1273" spans="1:66" s="51" customFormat="1" ht="19.5" thickBot="1" x14ac:dyDescent="0.3">
      <c r="A1273" s="686" t="s">
        <v>402</v>
      </c>
      <c r="B1273" s="73"/>
      <c r="C1273" s="708"/>
      <c r="D1273" s="73"/>
      <c r="E1273" s="73"/>
      <c r="F1273" s="496"/>
      <c r="G1273" s="73"/>
      <c r="H1273" s="73"/>
      <c r="I1273" s="73"/>
      <c r="J1273" s="497" t="s">
        <v>357</v>
      </c>
      <c r="K1273" s="498"/>
      <c r="L1273" s="562"/>
      <c r="M1273" s="73"/>
      <c r="N1273"/>
      <c r="O1273"/>
      <c r="P1273"/>
      <c r="Q1273"/>
      <c r="R1273"/>
      <c r="S1273"/>
      <c r="T1273" s="102">
        <f t="shared" si="932"/>
        <v>0</v>
      </c>
      <c r="U1273" s="78" t="str">
        <f>IF(NOT(ISNUMBER(G1273)), "", VLOOKUP(A1273,'Discount Lookup'!D:E,2,FALSE)*G1273)</f>
        <v/>
      </c>
      <c r="V1273" s="78" t="str">
        <f>IF(NOT(ISNUMBER(G1273)), "", VLOOKUP(A1273,'Discount Lookup'!G:H,2,FALSE)*G1273)</f>
        <v/>
      </c>
      <c r="W1273" s="102">
        <f t="shared" si="933"/>
        <v>0</v>
      </c>
      <c r="X1273" s="102">
        <f t="shared" si="934"/>
        <v>0</v>
      </c>
      <c r="Y1273" s="120" t="b">
        <f t="shared" si="935"/>
        <v>0</v>
      </c>
      <c r="Z1273" s="117">
        <f t="shared" si="936"/>
        <v>0</v>
      </c>
      <c r="AA1273" s="118"/>
      <c r="AB1273" s="118" t="str">
        <f t="shared" si="937"/>
        <v/>
      </c>
      <c r="AC1273" s="712" t="str">
        <f>IF(AE1273="T2G","no charge",IF(AND(OR(PlanterYesMe="No",PlanterYesMe="N",PlanterYesMe="me"),H1273=""),"",IF(H1273="credit","NO install",IF(AND(K1273="",AE1273="me"),"EACH row",IF(AND(K1273="images",AE1273="me"),"EACH row",IF(D1273="","",IF(H1273="credit","",IF(AE1273="free","re-planting",IF(AE1273="me","   not ELP, by",IF(AND(OR(PlanterYesMe="Yes",PlanterYesMe="Y"),G1273&gt;0),(VLOOKUP(A1273,'Discount Lookup'!J:K,2)*G1273*(1-PlanterDiscount)*(1+PlanterDifficultyPercentage)),IF(AE1273="ELP",(VLOOKUP(A1273,'Discount Lookup'!J:K,2)*G1273*(1-PlanterDiscount)*(1+PlanterDifficultyPercentage)),IF(AE1273="free","re-planting",IF(G1273=0,"",IF(PlanterYesMe="",IF(AE1273="me","   not ELP, by",IF(AE1273="",IF(G1273&gt;0,(VLOOKUP(A1273,'Discount Lookup'!J:K,2)*G1273*(1-PlanterDiscount)*(1+PlanterDifficultyPercentage)),""),"")),"   not ELP, by"))))))))))))))</f>
        <v/>
      </c>
      <c r="AD1273" s="712"/>
      <c r="AE1273" s="513" t="str">
        <f t="shared" si="938"/>
        <v/>
      </c>
      <c r="AF1273" s="713" t="str">
        <f t="shared" si="939"/>
        <v/>
      </c>
      <c r="AG1273" s="713"/>
      <c r="AH1273" s="713"/>
      <c r="AI1273" s="112">
        <f>IF(H1273="credit",0,IF(AE1273="free",0,IF(AE1273="me",0,IF(G1273&gt;0,(VLOOKUP(A1273,'Discount Lookup'!J:K,2)*G1273),0))))</f>
        <v>0</v>
      </c>
      <c r="AJ1273" s="107" t="str">
        <f t="shared" ca="1" si="940"/>
        <v/>
      </c>
      <c r="AK1273" s="714" t="str">
        <f t="shared" si="941"/>
        <v/>
      </c>
      <c r="AL1273" s="714"/>
      <c r="AM1273" s="114" t="str">
        <f t="shared" si="942"/>
        <v/>
      </c>
      <c r="AN1273" s="115"/>
      <c r="AO1273" s="116"/>
      <c r="AP1273" s="116"/>
      <c r="AQ1273" s="116"/>
      <c r="AR1273" s="116"/>
      <c r="AS1273" s="116"/>
      <c r="AT1273" s="116"/>
      <c r="AU1273" s="116"/>
      <c r="AV1273" s="78"/>
      <c r="AW1273" s="102"/>
      <c r="AX1273" s="78"/>
      <c r="AY1273" s="78"/>
      <c r="AZ1273" s="78"/>
      <c r="BA1273" s="78"/>
      <c r="BB1273" s="78"/>
      <c r="BC1273" s="78"/>
      <c r="BD1273" s="78"/>
      <c r="BE1273" s="465"/>
      <c r="BF1273" s="165" t="str">
        <f t="shared" si="943"/>
        <v>https://www.google.com/search?tbm=isch&amp;q=Coreopsis%20%3D%20Tickseed%20</v>
      </c>
      <c r="BG1273" s="165" t="str">
        <f t="shared" si="944"/>
        <v>C</v>
      </c>
      <c r="BH1273" s="65"/>
      <c r="BI1273" s="65"/>
      <c r="BJ1273" s="65"/>
      <c r="BK1273" s="65"/>
      <c r="BL1273" s="99"/>
      <c r="BM1273" s="99"/>
      <c r="BN1273" s="99"/>
    </row>
    <row r="1274" spans="1:66" s="51" customFormat="1" ht="18" x14ac:dyDescent="0.25">
      <c r="A1274" s="623" t="s">
        <v>2274</v>
      </c>
      <c r="B1274" s="624"/>
      <c r="C1274" s="709"/>
      <c r="D1274" s="625" t="s">
        <v>5638</v>
      </c>
      <c r="E1274" s="626"/>
      <c r="F1274" s="626"/>
      <c r="G1274" s="626"/>
      <c r="H1274" s="622" t="s">
        <v>4864</v>
      </c>
      <c r="I1274" s="627" t="s">
        <v>4865</v>
      </c>
      <c r="J1274" s="628"/>
      <c r="K1274" s="628"/>
      <c r="L1274" s="629"/>
      <c r="M1274" s="700" t="s">
        <v>5241</v>
      </c>
      <c r="N1274" s="693" t="str">
        <f>IF(AND(ISTEXT($A1274), ISERROR($A1274+0)), HYPERLINK($BF1274, "Images"), "")</f>
        <v>Images</v>
      </c>
      <c r="O1274" s="695" t="s">
        <v>5244</v>
      </c>
      <c r="P1274" s="630"/>
      <c r="Q1274" s="631"/>
      <c r="R1274" s="632"/>
      <c r="S1274" s="633"/>
      <c r="T1274" s="102">
        <f t="shared" si="932"/>
        <v>0</v>
      </c>
      <c r="U1274" s="78" t="str">
        <f>IF(NOT(ISNUMBER(G1274)), "", VLOOKUP(A1274,'Discount Lookup'!D:E,2,FALSE)*G1274)</f>
        <v/>
      </c>
      <c r="V1274" s="78" t="str">
        <f>IF(NOT(ISNUMBER(G1274)), "", VLOOKUP(A1274,'Discount Lookup'!G:H,2,FALSE)*G1274)</f>
        <v/>
      </c>
      <c r="W1274" s="102">
        <f t="shared" si="933"/>
        <v>0</v>
      </c>
      <c r="X1274" s="102" t="str">
        <f t="shared" si="934"/>
        <v>Bright Yellow rays, Red eye</v>
      </c>
      <c r="Y1274" s="120" t="b">
        <f t="shared" si="935"/>
        <v>0</v>
      </c>
      <c r="Z1274" s="117">
        <f t="shared" si="936"/>
        <v>0</v>
      </c>
      <c r="AA1274" s="118"/>
      <c r="AB1274" s="118" t="str">
        <f t="shared" si="937"/>
        <v/>
      </c>
      <c r="AC1274" s="712" t="str">
        <f>IF(AE1274="T2G","no charge",IF(AND(OR(PlanterYesMe="No",PlanterYesMe="N",PlanterYesMe="me"),H1274=""),"",IF(H1274="credit","NO install",IF(AND(K1274="",AE1274="me"),"EACH row",IF(AND(K1274="images",AE1274="me"),"EACH row",IF(D1274="","",IF(H1274="credit","",IF(AE1274="free","re-planting",IF(AE1274="me","   not ELP, by",IF(AND(OR(PlanterYesMe="Yes",PlanterYesMe="Y"),G1274&gt;0),(VLOOKUP(A1274,'Discount Lookup'!J:K,2)*G1274*(1-PlanterDiscount)*(1+PlanterDifficultyPercentage)),IF(AE1274="ELP",(VLOOKUP(A1274,'Discount Lookup'!J:K,2)*G1274*(1-PlanterDiscount)*(1+PlanterDifficultyPercentage)),IF(AE1274="free","re-planting",IF(G1274=0,"",IF(PlanterYesMe="",IF(AE1274="me","   not ELP, by",IF(AE1274="",IF(G1274&gt;0,(VLOOKUP(A1274,'Discount Lookup'!J:K,2)*G1274*(1-PlanterDiscount)*(1+PlanterDifficultyPercentage)),""),"")),"   not ELP, by"))))))))))))))</f>
        <v/>
      </c>
      <c r="AD1274" s="712"/>
      <c r="AE1274" s="513" t="str">
        <f t="shared" si="938"/>
        <v/>
      </c>
      <c r="AF1274" s="713" t="str">
        <f t="shared" si="939"/>
        <v/>
      </c>
      <c r="AG1274" s="713"/>
      <c r="AH1274" s="713"/>
      <c r="AI1274" s="112">
        <f>IF(H1274="credit",0,IF(AE1274="free",0,IF(AE1274="me",0,IF(G1274&gt;0,(VLOOKUP(A1274,'Discount Lookup'!J:K,2)*G1274),0))))</f>
        <v>0</v>
      </c>
      <c r="AJ1274" s="107" t="str">
        <f t="shared" ca="1" si="940"/>
        <v/>
      </c>
      <c r="AK1274" s="714" t="str">
        <f t="shared" si="941"/>
        <v/>
      </c>
      <c r="AL1274" s="714"/>
      <c r="AM1274" s="114" t="str">
        <f t="shared" si="942"/>
        <v/>
      </c>
      <c r="AN1274" s="115"/>
      <c r="AO1274" s="116"/>
      <c r="AP1274" s="116"/>
      <c r="AQ1274" s="116"/>
      <c r="AR1274" s="116"/>
      <c r="AS1274" s="116"/>
      <c r="AT1274" s="116"/>
      <c r="AU1274" s="116"/>
      <c r="AV1274" s="78"/>
      <c r="AW1274" s="102"/>
      <c r="AX1274" s="78"/>
      <c r="AY1274" s="78"/>
      <c r="AZ1274" s="78"/>
      <c r="BA1274" s="78"/>
      <c r="BB1274" s="78"/>
      <c r="BC1274" s="78"/>
      <c r="BD1274" s="78"/>
      <c r="BE1274" s="465"/>
      <c r="BF1274" s="165" t="str">
        <f t="shared" si="943"/>
        <v>https://www.google.com/search?tbm=isch&amp;q=Coreopsis%20%27Baluptowed%27%20PP%2328865%20UPTICK%E2%84%A2%20Yellow%20%26%20Red%20Tickseed</v>
      </c>
      <c r="BG1274" s="165" t="str">
        <f t="shared" si="944"/>
        <v>C</v>
      </c>
      <c r="BH1274" s="65"/>
      <c r="BI1274" s="65"/>
      <c r="BJ1274" s="65"/>
      <c r="BK1274" s="65"/>
      <c r="BL1274" s="99"/>
      <c r="BM1274" s="99"/>
      <c r="BN1274" s="99"/>
    </row>
    <row r="1275" spans="1:66" s="51" customFormat="1" ht="15.75" x14ac:dyDescent="0.25">
      <c r="A1275" s="634">
        <v>2</v>
      </c>
      <c r="B1275" s="635" t="s">
        <v>291</v>
      </c>
      <c r="C1275" s="636" t="s">
        <v>4963</v>
      </c>
      <c r="D1275" s="637" t="s">
        <v>293</v>
      </c>
      <c r="E1275" s="638">
        <v>28.95</v>
      </c>
      <c r="F1275" s="639" t="s">
        <v>292</v>
      </c>
      <c r="G1275" s="484">
        <v>0</v>
      </c>
      <c r="H1275" s="691" t="str">
        <f>IF(G1275=0,"",IF(F1275="Buy",IF(G1275=1,"plant","plants"),IF(F1275&gt;0.01,"warranty","Error")))</f>
        <v/>
      </c>
      <c r="I1275" s="640">
        <f>IF(H1275="free",0,IF(H1275="credit",((E1275*(F1275))*G1275*-1),IF(F1275="Buy",(E1275*G1275),((E1275*(1-F1275))*G1275))))</f>
        <v>0</v>
      </c>
      <c r="J1275" s="640">
        <f>IF(H1275="warranty",0,(I1275*(_xlfn.SINGLE(SalesTaxPercentage))))</f>
        <v>0</v>
      </c>
      <c r="K1275" s="716">
        <f t="shared" ref="K1275" si="958">I1275+J1275</f>
        <v>0</v>
      </c>
      <c r="L1275" s="716"/>
      <c r="M1275" s="689" t="str">
        <f ca="1">IF(AND(G1275&gt;0,E1275=0),"WARNING - no PRICE inserted",IF(H1275="free","FREE ~ no charge this plant",IF(H1275="credit",CONCATENATE("-$",ROUND(K1275*(1-_xlfn.SINGLE(T2GDiscount))*-1,2)," CREDIT after discount"),IF(_xlfn.SINGLE(T2GDiscount)=0,"",IF(G1275=0,"",IF(F1275="Buy",CONCATENATE("$",ROUND(K1275*(1-_xlfn.SINGLE(T2GDiscount)),2)," with ",(_xlfn.SINGLE(T2GDiscount)*100),"% discount"),CONCATENATE("$",ROUND(K1275*(1-_xlfn.SINGLE(T2GDiscount)),2)," with ",((_xlfn.SINGLE(T2GDiscount)*100+F1275*100)-(_xlfn.SINGLE(T2GDiscount)*100*F1275)),IF(F1275&gt;0,"% discounts",IF(_xlfn.SINGLE(NoWarrantyDiscount)&gt;0,"% discounts","% discount")))))))))</f>
        <v/>
      </c>
      <c r="N1275" s="690"/>
      <c r="O1275" s="486"/>
      <c r="P1275" s="486"/>
      <c r="Q1275" s="486"/>
      <c r="R1275" s="486"/>
      <c r="S1275" s="486"/>
      <c r="T1275" s="102">
        <f t="shared" si="932"/>
        <v>0</v>
      </c>
      <c r="U1275" s="78">
        <f>IF(NOT(ISNUMBER(G1275)), "", VLOOKUP(A1275,'Discount Lookup'!D:E,2,FALSE)*G1275)</f>
        <v>0</v>
      </c>
      <c r="V1275" s="78">
        <f>IF(NOT(ISNUMBER(G1275)), "", VLOOKUP(A1275,'Discount Lookup'!G:H,2,FALSE)*G1275)</f>
        <v>0</v>
      </c>
      <c r="W1275" s="102">
        <f t="shared" si="933"/>
        <v>0</v>
      </c>
      <c r="X1275" s="102">
        <f t="shared" si="934"/>
        <v>0</v>
      </c>
      <c r="Y1275" s="120" t="b">
        <f t="shared" si="935"/>
        <v>0</v>
      </c>
      <c r="Z1275" s="117">
        <f t="shared" si="936"/>
        <v>0</v>
      </c>
      <c r="AA1275" s="118"/>
      <c r="AB1275" s="118" t="str">
        <f t="shared" si="937"/>
        <v/>
      </c>
      <c r="AC1275" s="712" t="str">
        <f>IF(AE1275="T2G","no charge",IF(AND(OR(PlanterYesMe="No",PlanterYesMe="N",PlanterYesMe="me"),H1275=""),"",IF(H1275="credit","NO install",IF(AND(K1275="",AE1275="me"),"EACH row",IF(AND(K1275="images",AE1275="me"),"EACH row",IF(D1275="","",IF(H1275="credit","",IF(AE1275="free","re-planting",IF(AE1275="me","   not ELP, by",IF(AND(OR(PlanterYesMe="Yes",PlanterYesMe="Y"),G1275&gt;0),(VLOOKUP(A1275,'Discount Lookup'!J:K,2)*G1275*(1-PlanterDiscount)*(1+PlanterDifficultyPercentage)),IF(AE1275="ELP",(VLOOKUP(A1275,'Discount Lookup'!J:K,2)*G1275*(1-PlanterDiscount)*(1+PlanterDifficultyPercentage)),IF(AE1275="free","re-planting",IF(G1275=0,"",IF(PlanterYesMe="",IF(AE1275="me","   not ELP, by",IF(AE1275="",IF(G1275&gt;0,(VLOOKUP(A1275,'Discount Lookup'!J:K,2)*G1275*(1-PlanterDiscount)*(1+PlanterDifficultyPercentage)),""),"")),"   not ELP, by"))))))))))))))</f>
        <v/>
      </c>
      <c r="AD1275" s="712"/>
      <c r="AE1275" s="513" t="str">
        <f t="shared" si="938"/>
        <v/>
      </c>
      <c r="AF1275" s="713" t="str">
        <f t="shared" si="939"/>
        <v/>
      </c>
      <c r="AG1275" s="713"/>
      <c r="AH1275" s="713"/>
      <c r="AI1275" s="112">
        <f>IF(H1275="credit",0,IF(AE1275="free",0,IF(AE1275="me",0,IF(G1275&gt;0,(VLOOKUP(A1275,'Discount Lookup'!J:K,2)*G1275),0))))</f>
        <v>0</v>
      </c>
      <c r="AJ1275" s="107" t="str">
        <f t="shared" ca="1" si="940"/>
        <v/>
      </c>
      <c r="AK1275" s="714" t="str">
        <f t="shared" si="941"/>
        <v/>
      </c>
      <c r="AL1275" s="714"/>
      <c r="AM1275" s="114" t="str">
        <f t="shared" si="942"/>
        <v/>
      </c>
      <c r="AN1275" s="115"/>
      <c r="AO1275" s="116"/>
      <c r="AP1275" s="116"/>
      <c r="AQ1275" s="116"/>
      <c r="AR1275" s="116"/>
      <c r="AS1275" s="116"/>
      <c r="AT1275" s="116"/>
      <c r="AU1275" s="116"/>
      <c r="AV1275" s="78"/>
      <c r="AW1275" s="102"/>
      <c r="AX1275" s="78"/>
      <c r="AY1275" s="78"/>
      <c r="AZ1275" s="78"/>
      <c r="BA1275" s="78"/>
      <c r="BB1275" s="78"/>
      <c r="BC1275" s="78"/>
      <c r="BD1275" s="78"/>
      <c r="BE1275" s="465"/>
      <c r="BF1275" s="165" t="str">
        <f t="shared" si="943"/>
        <v>https://www.google.com/search?tbm=isch&amp;q=2%20G6</v>
      </c>
      <c r="BG1275" s="165" t="str">
        <f t="shared" si="944"/>
        <v>C</v>
      </c>
      <c r="BH1275" s="65"/>
      <c r="BI1275" s="65"/>
      <c r="BJ1275" s="65"/>
      <c r="BK1275" s="65"/>
      <c r="BL1275" s="99"/>
      <c r="BM1275" s="99"/>
      <c r="BN1275" s="99"/>
    </row>
    <row r="1276" spans="1:66" s="51" customFormat="1" ht="17.25" thickBot="1" x14ac:dyDescent="0.3">
      <c r="A1276" s="641" t="s">
        <v>4866</v>
      </c>
      <c r="B1276" s="642"/>
      <c r="C1276" s="710"/>
      <c r="D1276" s="643"/>
      <c r="E1276" s="643"/>
      <c r="F1276" s="644"/>
      <c r="G1276" s="645"/>
      <c r="H1276" s="646"/>
      <c r="I1276" s="647"/>
      <c r="J1276" s="648"/>
      <c r="K1276" s="649"/>
      <c r="L1276" s="650"/>
      <c r="M1276" s="650"/>
      <c r="N1276" s="644"/>
      <c r="O1276" s="644"/>
      <c r="P1276" s="644"/>
      <c r="Q1276" s="644"/>
      <c r="R1276" s="644"/>
      <c r="S1276" s="701" t="s">
        <v>5271</v>
      </c>
      <c r="T1276" s="102">
        <f t="shared" si="932"/>
        <v>0</v>
      </c>
      <c r="U1276" s="78" t="str">
        <f>IF(NOT(ISNUMBER(G1276)), "", VLOOKUP(A1276,'Discount Lookup'!D:E,2,FALSE)*G1276)</f>
        <v/>
      </c>
      <c r="V1276" s="78" t="str">
        <f>IF(NOT(ISNUMBER(G1276)), "", VLOOKUP(A1276,'Discount Lookup'!G:H,2,FALSE)*G1276)</f>
        <v/>
      </c>
      <c r="W1276" s="102">
        <f t="shared" si="933"/>
        <v>0</v>
      </c>
      <c r="X1276" s="102">
        <f t="shared" si="934"/>
        <v>0</v>
      </c>
      <c r="Y1276" s="120" t="b">
        <f t="shared" si="935"/>
        <v>0</v>
      </c>
      <c r="Z1276" s="117">
        <f t="shared" si="936"/>
        <v>0</v>
      </c>
      <c r="AA1276" s="118"/>
      <c r="AB1276" s="118" t="str">
        <f t="shared" si="937"/>
        <v/>
      </c>
      <c r="AC1276" s="712" t="str">
        <f>IF(AE1276="T2G","no charge",IF(AND(OR(PlanterYesMe="No",PlanterYesMe="N",PlanterYesMe="me"),H1276=""),"",IF(H1276="credit","NO install",IF(AND(K1276="",AE1276="me"),"EACH row",IF(AND(K1276="images",AE1276="me"),"EACH row",IF(D1276="","",IF(H1276="credit","",IF(AE1276="free","re-planting",IF(AE1276="me","   not ELP, by",IF(AND(OR(PlanterYesMe="Yes",PlanterYesMe="Y"),G1276&gt;0),(VLOOKUP(A1276,'Discount Lookup'!J:K,2)*G1276*(1-PlanterDiscount)*(1+PlanterDifficultyPercentage)),IF(AE1276="ELP",(VLOOKUP(A1276,'Discount Lookup'!J:K,2)*G1276*(1-PlanterDiscount)*(1+PlanterDifficultyPercentage)),IF(AE1276="free","re-planting",IF(G1276=0,"",IF(PlanterYesMe="",IF(AE1276="me","   not ELP, by",IF(AE1276="",IF(G1276&gt;0,(VLOOKUP(A1276,'Discount Lookup'!J:K,2)*G1276*(1-PlanterDiscount)*(1+PlanterDifficultyPercentage)),""),"")),"   not ELP, by"))))))))))))))</f>
        <v/>
      </c>
      <c r="AD1276" s="712"/>
      <c r="AE1276" s="513" t="str">
        <f t="shared" si="938"/>
        <v/>
      </c>
      <c r="AF1276" s="713" t="str">
        <f t="shared" si="939"/>
        <v/>
      </c>
      <c r="AG1276" s="713"/>
      <c r="AH1276" s="713"/>
      <c r="AI1276" s="112">
        <f>IF(H1276="credit",0,IF(AE1276="free",0,IF(AE1276="me",0,IF(G1276&gt;0,(VLOOKUP(A1276,'Discount Lookup'!J:K,2)*G1276),0))))</f>
        <v>0</v>
      </c>
      <c r="AJ1276" s="107" t="str">
        <f t="shared" ca="1" si="940"/>
        <v/>
      </c>
      <c r="AK1276" s="714" t="str">
        <f t="shared" si="941"/>
        <v/>
      </c>
      <c r="AL1276" s="714"/>
      <c r="AM1276" s="114" t="str">
        <f t="shared" si="942"/>
        <v/>
      </c>
      <c r="AN1276" s="115"/>
      <c r="AO1276" s="116"/>
      <c r="AP1276" s="116"/>
      <c r="AQ1276" s="116"/>
      <c r="AR1276" s="116"/>
      <c r="AS1276" s="116"/>
      <c r="AT1276" s="116"/>
      <c r="AU1276" s="116"/>
      <c r="AV1276" s="78"/>
      <c r="AW1276" s="102"/>
      <c r="AX1276" s="78"/>
      <c r="AY1276" s="78"/>
      <c r="AZ1276" s="78"/>
      <c r="BA1276" s="78"/>
      <c r="BB1276" s="78"/>
      <c r="BC1276" s="78"/>
      <c r="BD1276" s="78"/>
      <c r="BE1276" s="465"/>
      <c r="BF1276" s="165" t="str">
        <f t="shared" si="943"/>
        <v>https://www.google.com/search?tbm=isch&amp;q=UPTICK%20Yellow%20%26%20Red%20has%20a%20vigorous%2C%20compact%20habit%20and%20long-lasting%2C%20large%20bicolored%20flowers%2C%20providing%20continuous%20color%20from%20late%20spring%20to%20fall%20</v>
      </c>
      <c r="BG1276" s="165" t="str">
        <f t="shared" si="944"/>
        <v>U</v>
      </c>
      <c r="BH1276" s="65"/>
      <c r="BI1276" s="65"/>
      <c r="BJ1276" s="65"/>
      <c r="BK1276" s="65"/>
      <c r="BL1276" s="99"/>
      <c r="BM1276" s="99"/>
      <c r="BN1276" s="99"/>
    </row>
    <row r="1277" spans="1:66" s="51" customFormat="1" ht="18" x14ac:dyDescent="0.25">
      <c r="A1277" s="623" t="s">
        <v>2275</v>
      </c>
      <c r="B1277" s="624"/>
      <c r="C1277" s="709"/>
      <c r="D1277" s="625" t="s">
        <v>2276</v>
      </c>
      <c r="E1277" s="626"/>
      <c r="F1277" s="626"/>
      <c r="G1277" s="626"/>
      <c r="H1277" s="622" t="s">
        <v>1917</v>
      </c>
      <c r="I1277" s="627" t="s">
        <v>4867</v>
      </c>
      <c r="J1277" s="628"/>
      <c r="K1277" s="628"/>
      <c r="L1277" s="629"/>
      <c r="M1277" s="700" t="s">
        <v>5241</v>
      </c>
      <c r="N1277" s="693" t="str">
        <f>IF(AND(ISTEXT($A1277), ISERROR($A1277+0)), HYPERLINK($BF1277, "Images"), "")</f>
        <v>Images</v>
      </c>
      <c r="O1277" s="695" t="s">
        <v>5244</v>
      </c>
      <c r="P1277" s="630"/>
      <c r="Q1277" s="631"/>
      <c r="R1277" s="632"/>
      <c r="S1277" s="633"/>
      <c r="T1277" s="102">
        <f t="shared" si="932"/>
        <v>0</v>
      </c>
      <c r="U1277" s="78" t="str">
        <f>IF(NOT(ISNUMBER(G1277)), "", VLOOKUP(A1277,'Discount Lookup'!D:E,2,FALSE)*G1277)</f>
        <v/>
      </c>
      <c r="V1277" s="78" t="str">
        <f>IF(NOT(ISNUMBER(G1277)), "", VLOOKUP(A1277,'Discount Lookup'!G:H,2,FALSE)*G1277)</f>
        <v/>
      </c>
      <c r="W1277" s="102">
        <f t="shared" si="933"/>
        <v>0</v>
      </c>
      <c r="X1277" s="102" t="str">
        <f t="shared" si="934"/>
        <v>Orange-Red center, Yellow rim</v>
      </c>
      <c r="Y1277" s="120" t="b">
        <f t="shared" si="935"/>
        <v>0</v>
      </c>
      <c r="Z1277" s="117">
        <f t="shared" si="936"/>
        <v>0</v>
      </c>
      <c r="AA1277" s="118"/>
      <c r="AB1277" s="118" t="str">
        <f t="shared" si="937"/>
        <v/>
      </c>
      <c r="AC1277" s="712" t="str">
        <f>IF(AE1277="T2G","no charge",IF(AND(OR(PlanterYesMe="No",PlanterYesMe="N",PlanterYesMe="me"),H1277=""),"",IF(H1277="credit","NO install",IF(AND(K1277="",AE1277="me"),"EACH row",IF(AND(K1277="images",AE1277="me"),"EACH row",IF(D1277="","",IF(H1277="credit","",IF(AE1277="free","re-planting",IF(AE1277="me","   not ELP, by",IF(AND(OR(PlanterYesMe="Yes",PlanterYesMe="Y"),G1277&gt;0),(VLOOKUP(A1277,'Discount Lookup'!J:K,2)*G1277*(1-PlanterDiscount)*(1+PlanterDifficultyPercentage)),IF(AE1277="ELP",(VLOOKUP(A1277,'Discount Lookup'!J:K,2)*G1277*(1-PlanterDiscount)*(1+PlanterDifficultyPercentage)),IF(AE1277="free","re-planting",IF(G1277=0,"",IF(PlanterYesMe="",IF(AE1277="me","   not ELP, by",IF(AE1277="",IF(G1277&gt;0,(VLOOKUP(A1277,'Discount Lookup'!J:K,2)*G1277*(1-PlanterDiscount)*(1+PlanterDifficultyPercentage)),""),"")),"   not ELP, by"))))))))))))))</f>
        <v/>
      </c>
      <c r="AD1277" s="712"/>
      <c r="AE1277" s="513" t="str">
        <f t="shared" si="938"/>
        <v/>
      </c>
      <c r="AF1277" s="713" t="str">
        <f t="shared" si="939"/>
        <v/>
      </c>
      <c r="AG1277" s="713"/>
      <c r="AH1277" s="713"/>
      <c r="AI1277" s="112">
        <f>IF(H1277="credit",0,IF(AE1277="free",0,IF(AE1277="me",0,IF(G1277&gt;0,(VLOOKUP(A1277,'Discount Lookup'!J:K,2)*G1277),0))))</f>
        <v>0</v>
      </c>
      <c r="AJ1277" s="107" t="str">
        <f t="shared" ca="1" si="940"/>
        <v/>
      </c>
      <c r="AK1277" s="714" t="str">
        <f t="shared" si="941"/>
        <v/>
      </c>
      <c r="AL1277" s="714"/>
      <c r="AM1277" s="114" t="str">
        <f t="shared" si="942"/>
        <v/>
      </c>
      <c r="AN1277" s="115"/>
      <c r="AO1277" s="116"/>
      <c r="AP1277" s="116"/>
      <c r="AQ1277" s="116"/>
      <c r="AR1277" s="116"/>
      <c r="AS1277" s="116"/>
      <c r="AT1277" s="116"/>
      <c r="AU1277" s="116"/>
      <c r="AV1277" s="78"/>
      <c r="AW1277" s="102"/>
      <c r="AX1277" s="78"/>
      <c r="AY1277" s="78"/>
      <c r="AZ1277" s="78"/>
      <c r="BA1277" s="78"/>
      <c r="BB1277" s="78"/>
      <c r="BC1277" s="78"/>
      <c r="BD1277" s="78"/>
      <c r="BE1277" s="465"/>
      <c r="BF1277" s="165" t="str">
        <f t="shared" si="943"/>
        <v>https://www.google.com/search?tbm=isch&amp;q=Coreopsis%20%27Daybreak%27%20PP%2327138%20Daybreak%20Tickseed</v>
      </c>
      <c r="BG1277" s="165" t="str">
        <f t="shared" si="944"/>
        <v>C</v>
      </c>
      <c r="BH1277" s="65"/>
      <c r="BI1277" s="65"/>
      <c r="BJ1277" s="65"/>
      <c r="BK1277" s="65"/>
      <c r="BL1277" s="99"/>
      <c r="BM1277" s="99"/>
      <c r="BN1277" s="99"/>
    </row>
    <row r="1278" spans="1:66" s="51" customFormat="1" ht="15.75" x14ac:dyDescent="0.25">
      <c r="A1278" s="634">
        <v>2</v>
      </c>
      <c r="B1278" s="635" t="s">
        <v>291</v>
      </c>
      <c r="C1278" s="636"/>
      <c r="D1278" s="637" t="s">
        <v>293</v>
      </c>
      <c r="E1278" s="638">
        <v>17.95</v>
      </c>
      <c r="F1278" s="639" t="s">
        <v>292</v>
      </c>
      <c r="G1278" s="484">
        <v>0</v>
      </c>
      <c r="H1278" s="691" t="str">
        <f>IF(G1278=0,"",IF(F1278="Buy",IF(G1278=1,"plant","plants"),IF(F1278&gt;0.01,"warranty","Error")))</f>
        <v/>
      </c>
      <c r="I1278" s="640">
        <f>IF(H1278="free",0,IF(H1278="credit",((E1278*(F1278))*G1278*-1),IF(F1278="Buy",(E1278*G1278),((E1278*(1-F1278))*G1278))))</f>
        <v>0</v>
      </c>
      <c r="J1278" s="640">
        <f>IF(H1278="warranty",0,(I1278*(_xlfn.SINGLE(SalesTaxPercentage))))</f>
        <v>0</v>
      </c>
      <c r="K1278" s="716">
        <f t="shared" ref="K1278" si="959">I1278+J1278</f>
        <v>0</v>
      </c>
      <c r="L1278" s="716"/>
      <c r="M1278" s="689" t="str">
        <f ca="1">IF(AND(G1278&gt;0,E1278=0),"WARNING - no PRICE inserted",IF(H1278="free","FREE ~ no charge this plant",IF(H1278="credit",CONCATENATE("-$",ROUND(K1278*(1-_xlfn.SINGLE(T2GDiscount))*-1,2)," CREDIT after discount"),IF(_xlfn.SINGLE(T2GDiscount)=0,"",IF(G1278=0,"",IF(F1278="Buy",CONCATENATE("$",ROUND(K1278*(1-_xlfn.SINGLE(T2GDiscount)),2)," with ",(_xlfn.SINGLE(T2GDiscount)*100),"% discount"),CONCATENATE("$",ROUND(K1278*(1-_xlfn.SINGLE(T2GDiscount)),2)," with ",((_xlfn.SINGLE(T2GDiscount)*100+F1278*100)-(_xlfn.SINGLE(T2GDiscount)*100*F1278)),IF(F1278&gt;0,"% discounts",IF(_xlfn.SINGLE(NoWarrantyDiscount)&gt;0,"% discounts","% discount")))))))))</f>
        <v/>
      </c>
      <c r="N1278" s="690"/>
      <c r="O1278" s="486"/>
      <c r="P1278" s="486"/>
      <c r="Q1278" s="486"/>
      <c r="R1278" s="486"/>
      <c r="S1278" s="486"/>
      <c r="T1278" s="102">
        <f t="shared" si="932"/>
        <v>0</v>
      </c>
      <c r="U1278" s="78">
        <f>IF(NOT(ISNUMBER(G1278)), "", VLOOKUP(A1278,'Discount Lookup'!D:E,2,FALSE)*G1278)</f>
        <v>0</v>
      </c>
      <c r="V1278" s="78">
        <f>IF(NOT(ISNUMBER(G1278)), "", VLOOKUP(A1278,'Discount Lookup'!G:H,2,FALSE)*G1278)</f>
        <v>0</v>
      </c>
      <c r="W1278" s="102">
        <f t="shared" si="933"/>
        <v>0</v>
      </c>
      <c r="X1278" s="102">
        <f t="shared" si="934"/>
        <v>0</v>
      </c>
      <c r="Y1278" s="120" t="b">
        <f t="shared" si="935"/>
        <v>0</v>
      </c>
      <c r="Z1278" s="117">
        <f t="shared" si="936"/>
        <v>0</v>
      </c>
      <c r="AA1278" s="118"/>
      <c r="AB1278" s="118" t="str">
        <f t="shared" si="937"/>
        <v/>
      </c>
      <c r="AC1278" s="712" t="str">
        <f>IF(AE1278="T2G","no charge",IF(AND(OR(PlanterYesMe="No",PlanterYesMe="N",PlanterYesMe="me"),H1278=""),"",IF(H1278="credit","NO install",IF(AND(K1278="",AE1278="me"),"EACH row",IF(AND(K1278="images",AE1278="me"),"EACH row",IF(D1278="","",IF(H1278="credit","",IF(AE1278="free","re-planting",IF(AE1278="me","   not ELP, by",IF(AND(OR(PlanterYesMe="Yes",PlanterYesMe="Y"),G1278&gt;0),(VLOOKUP(A1278,'Discount Lookup'!J:K,2)*G1278*(1-PlanterDiscount)*(1+PlanterDifficultyPercentage)),IF(AE1278="ELP",(VLOOKUP(A1278,'Discount Lookup'!J:K,2)*G1278*(1-PlanterDiscount)*(1+PlanterDifficultyPercentage)),IF(AE1278="free","re-planting",IF(G1278=0,"",IF(PlanterYesMe="",IF(AE1278="me","   not ELP, by",IF(AE1278="",IF(G1278&gt;0,(VLOOKUP(A1278,'Discount Lookup'!J:K,2)*G1278*(1-PlanterDiscount)*(1+PlanterDifficultyPercentage)),""),"")),"   not ELP, by"))))))))))))))</f>
        <v/>
      </c>
      <c r="AD1278" s="712"/>
      <c r="AE1278" s="513" t="str">
        <f t="shared" si="938"/>
        <v/>
      </c>
      <c r="AF1278" s="713" t="str">
        <f t="shared" si="939"/>
        <v/>
      </c>
      <c r="AG1278" s="713"/>
      <c r="AH1278" s="713"/>
      <c r="AI1278" s="112">
        <f>IF(H1278="credit",0,IF(AE1278="free",0,IF(AE1278="me",0,IF(G1278&gt;0,(VLOOKUP(A1278,'Discount Lookup'!J:K,2)*G1278),0))))</f>
        <v>0</v>
      </c>
      <c r="AJ1278" s="107" t="str">
        <f t="shared" ca="1" si="940"/>
        <v/>
      </c>
      <c r="AK1278" s="714" t="str">
        <f t="shared" si="941"/>
        <v/>
      </c>
      <c r="AL1278" s="714"/>
      <c r="AM1278" s="114" t="str">
        <f t="shared" si="942"/>
        <v/>
      </c>
      <c r="AN1278" s="115"/>
      <c r="AO1278" s="116"/>
      <c r="AP1278" s="116"/>
      <c r="AQ1278" s="116"/>
      <c r="AR1278" s="116"/>
      <c r="AS1278" s="116"/>
      <c r="AT1278" s="116"/>
      <c r="AU1278" s="116"/>
      <c r="AV1278" s="78"/>
      <c r="AW1278" s="102"/>
      <c r="AX1278" s="78"/>
      <c r="AY1278" s="78"/>
      <c r="AZ1278" s="78"/>
      <c r="BA1278" s="78"/>
      <c r="BB1278" s="78"/>
      <c r="BC1278" s="78"/>
      <c r="BD1278" s="78"/>
      <c r="BE1278" s="465"/>
      <c r="BF1278" s="165" t="str">
        <f t="shared" si="943"/>
        <v>https://www.google.com/search?tbm=isch&amp;q=2%20G6</v>
      </c>
      <c r="BG1278" s="165" t="str">
        <f t="shared" si="944"/>
        <v>C</v>
      </c>
      <c r="BH1278" s="65"/>
      <c r="BI1278" s="65"/>
      <c r="BJ1278" s="65"/>
      <c r="BK1278" s="65"/>
      <c r="BL1278" s="99"/>
      <c r="BM1278" s="99"/>
      <c r="BN1278" s="99"/>
    </row>
    <row r="1279" spans="1:66" s="51" customFormat="1" ht="17.25" thickBot="1" x14ac:dyDescent="0.3">
      <c r="A1279" s="641" t="s">
        <v>4868</v>
      </c>
      <c r="B1279" s="642"/>
      <c r="C1279" s="710"/>
      <c r="D1279" s="643"/>
      <c r="E1279" s="643"/>
      <c r="F1279" s="644"/>
      <c r="G1279" s="645"/>
      <c r="H1279" s="646"/>
      <c r="I1279" s="647"/>
      <c r="J1279" s="648"/>
      <c r="K1279" s="649"/>
      <c r="L1279" s="650"/>
      <c r="M1279" s="650"/>
      <c r="N1279" s="644"/>
      <c r="O1279" s="644"/>
      <c r="P1279" s="644"/>
      <c r="Q1279" s="644"/>
      <c r="R1279" s="644"/>
      <c r="S1279" s="701" t="s">
        <v>5271</v>
      </c>
      <c r="T1279" s="102">
        <f t="shared" si="932"/>
        <v>0</v>
      </c>
      <c r="U1279" s="78" t="str">
        <f>IF(NOT(ISNUMBER(G1279)), "", VLOOKUP(A1279,'Discount Lookup'!D:E,2,FALSE)*G1279)</f>
        <v/>
      </c>
      <c r="V1279" s="78" t="str">
        <f>IF(NOT(ISNUMBER(G1279)), "", VLOOKUP(A1279,'Discount Lookup'!G:H,2,FALSE)*G1279)</f>
        <v/>
      </c>
      <c r="W1279" s="102">
        <f t="shared" si="933"/>
        <v>0</v>
      </c>
      <c r="X1279" s="102">
        <f t="shared" si="934"/>
        <v>0</v>
      </c>
      <c r="Y1279" s="120" t="b">
        <f t="shared" si="935"/>
        <v>0</v>
      </c>
      <c r="Z1279" s="117">
        <f t="shared" si="936"/>
        <v>0</v>
      </c>
      <c r="AA1279" s="118"/>
      <c r="AB1279" s="118" t="str">
        <f t="shared" si="937"/>
        <v/>
      </c>
      <c r="AC1279" s="712" t="str">
        <f>IF(AE1279="T2G","no charge",IF(AND(OR(PlanterYesMe="No",PlanterYesMe="N",PlanterYesMe="me"),H1279=""),"",IF(H1279="credit","NO install",IF(AND(K1279="",AE1279="me"),"EACH row",IF(AND(K1279="images",AE1279="me"),"EACH row",IF(D1279="","",IF(H1279="credit","",IF(AE1279="free","re-planting",IF(AE1279="me","   not ELP, by",IF(AND(OR(PlanterYesMe="Yes",PlanterYesMe="Y"),G1279&gt;0),(VLOOKUP(A1279,'Discount Lookup'!J:K,2)*G1279*(1-PlanterDiscount)*(1+PlanterDifficultyPercentage)),IF(AE1279="ELP",(VLOOKUP(A1279,'Discount Lookup'!J:K,2)*G1279*(1-PlanterDiscount)*(1+PlanterDifficultyPercentage)),IF(AE1279="free","re-planting",IF(G1279=0,"",IF(PlanterYesMe="",IF(AE1279="me","   not ELP, by",IF(AE1279="",IF(G1279&gt;0,(VLOOKUP(A1279,'Discount Lookup'!J:K,2)*G1279*(1-PlanterDiscount)*(1+PlanterDifficultyPercentage)),""),"")),"   not ELP, by"))))))))))))))</f>
        <v/>
      </c>
      <c r="AD1279" s="712"/>
      <c r="AE1279" s="513" t="str">
        <f t="shared" si="938"/>
        <v/>
      </c>
      <c r="AF1279" s="713" t="str">
        <f t="shared" si="939"/>
        <v/>
      </c>
      <c r="AG1279" s="713"/>
      <c r="AH1279" s="713"/>
      <c r="AI1279" s="112">
        <f>IF(H1279="credit",0,IF(AE1279="free",0,IF(AE1279="me",0,IF(G1279&gt;0,(VLOOKUP(A1279,'Discount Lookup'!J:K,2)*G1279),0))))</f>
        <v>0</v>
      </c>
      <c r="AJ1279" s="107" t="str">
        <f t="shared" ca="1" si="940"/>
        <v/>
      </c>
      <c r="AK1279" s="714" t="str">
        <f t="shared" si="941"/>
        <v/>
      </c>
      <c r="AL1279" s="714"/>
      <c r="AM1279" s="114" t="str">
        <f t="shared" si="942"/>
        <v/>
      </c>
      <c r="AN1279" s="115"/>
      <c r="AO1279" s="116"/>
      <c r="AP1279" s="116"/>
      <c r="AQ1279" s="116"/>
      <c r="AR1279" s="116"/>
      <c r="AS1279" s="116"/>
      <c r="AT1279" s="116"/>
      <c r="AU1279" s="116"/>
      <c r="AV1279" s="78"/>
      <c r="AW1279" s="102"/>
      <c r="AX1279" s="78"/>
      <c r="AY1279" s="78"/>
      <c r="AZ1279" s="78"/>
      <c r="BA1279" s="78"/>
      <c r="BB1279" s="78"/>
      <c r="BC1279" s="78"/>
      <c r="BD1279" s="78"/>
      <c r="BE1279" s="465"/>
      <c r="BF1279" s="165" t="str">
        <f t="shared" si="943"/>
        <v>https://www.google.com/search?tbm=isch&amp;q=Daybreak%20has%20striking%2C%20bicolored%20flowers%2C%20providing%20a%20long%20season%20of%20brilliant%20color%2C%20with%20no%20deadheading%20required%20</v>
      </c>
      <c r="BG1279" s="165" t="str">
        <f t="shared" si="944"/>
        <v>D</v>
      </c>
      <c r="BH1279" s="65"/>
      <c r="BI1279" s="65"/>
      <c r="BJ1279" s="65"/>
      <c r="BK1279" s="65"/>
      <c r="BL1279" s="99"/>
      <c r="BM1279" s="99"/>
      <c r="BN1279" s="99"/>
    </row>
    <row r="1280" spans="1:66" s="51" customFormat="1" ht="18" x14ac:dyDescent="0.25">
      <c r="A1280" s="623" t="s">
        <v>2277</v>
      </c>
      <c r="B1280" s="624"/>
      <c r="C1280" s="709"/>
      <c r="D1280" s="625" t="s">
        <v>5639</v>
      </c>
      <c r="E1280" s="626"/>
      <c r="F1280" s="626"/>
      <c r="G1280" s="626"/>
      <c r="H1280" s="622" t="s">
        <v>4869</v>
      </c>
      <c r="I1280" s="627" t="s">
        <v>4865</v>
      </c>
      <c r="J1280" s="628"/>
      <c r="K1280" s="628"/>
      <c r="L1280" s="629"/>
      <c r="M1280" s="700" t="s">
        <v>5241</v>
      </c>
      <c r="N1280" s="693" t="str">
        <f>IF(AND(ISTEXT($A1280), ISERROR($A1280+0)), HYPERLINK($BF1280, "Images"), "")</f>
        <v>Images</v>
      </c>
      <c r="O1280" s="695" t="s">
        <v>5244</v>
      </c>
      <c r="P1280" s="630"/>
      <c r="Q1280" s="631"/>
      <c r="R1280" s="632"/>
      <c r="S1280" s="633"/>
      <c r="T1280" s="102">
        <f t="shared" si="932"/>
        <v>0</v>
      </c>
      <c r="U1280" s="78" t="str">
        <f>IF(NOT(ISNUMBER(G1280)), "", VLOOKUP(A1280,'Discount Lookup'!D:E,2,FALSE)*G1280)</f>
        <v/>
      </c>
      <c r="V1280" s="78" t="str">
        <f>IF(NOT(ISNUMBER(G1280)), "", VLOOKUP(A1280,'Discount Lookup'!G:H,2,FALSE)*G1280)</f>
        <v/>
      </c>
      <c r="W1280" s="102">
        <f t="shared" si="933"/>
        <v>0</v>
      </c>
      <c r="X1280" s="102" t="str">
        <f t="shared" si="934"/>
        <v>Bright Yellow rays, Red eye</v>
      </c>
      <c r="Y1280" s="120" t="b">
        <f t="shared" si="935"/>
        <v>0</v>
      </c>
      <c r="Z1280" s="117">
        <f t="shared" si="936"/>
        <v>0</v>
      </c>
      <c r="AA1280" s="118"/>
      <c r="AB1280" s="118" t="str">
        <f t="shared" si="937"/>
        <v/>
      </c>
      <c r="AC1280" s="712" t="str">
        <f>IF(AE1280="T2G","no charge",IF(AND(OR(PlanterYesMe="No",PlanterYesMe="N",PlanterYesMe="me"),H1280=""),"",IF(H1280="credit","NO install",IF(AND(K1280="",AE1280="me"),"EACH row",IF(AND(K1280="images",AE1280="me"),"EACH row",IF(D1280="","",IF(H1280="credit","",IF(AE1280="free","re-planting",IF(AE1280="me","   not ELP, by",IF(AND(OR(PlanterYesMe="Yes",PlanterYesMe="Y"),G1280&gt;0),(VLOOKUP(A1280,'Discount Lookup'!J:K,2)*G1280*(1-PlanterDiscount)*(1+PlanterDifficultyPercentage)),IF(AE1280="ELP",(VLOOKUP(A1280,'Discount Lookup'!J:K,2)*G1280*(1-PlanterDiscount)*(1+PlanterDifficultyPercentage)),IF(AE1280="free","re-planting",IF(G1280=0,"",IF(PlanterYesMe="",IF(AE1280="me","   not ELP, by",IF(AE1280="",IF(G1280&gt;0,(VLOOKUP(A1280,'Discount Lookup'!J:K,2)*G1280*(1-PlanterDiscount)*(1+PlanterDifficultyPercentage)),""),"")),"   not ELP, by"))))))))))))))</f>
        <v/>
      </c>
      <c r="AD1280" s="712"/>
      <c r="AE1280" s="513" t="str">
        <f t="shared" si="938"/>
        <v/>
      </c>
      <c r="AF1280" s="713" t="str">
        <f t="shared" si="939"/>
        <v/>
      </c>
      <c r="AG1280" s="713"/>
      <c r="AH1280" s="713"/>
      <c r="AI1280" s="112">
        <f>IF(H1280="credit",0,IF(AE1280="free",0,IF(AE1280="me",0,IF(G1280&gt;0,(VLOOKUP(A1280,'Discount Lookup'!J:K,2)*G1280),0))))</f>
        <v>0</v>
      </c>
      <c r="AJ1280" s="107" t="str">
        <f t="shared" ca="1" si="940"/>
        <v/>
      </c>
      <c r="AK1280" s="714" t="str">
        <f t="shared" si="941"/>
        <v/>
      </c>
      <c r="AL1280" s="714"/>
      <c r="AM1280" s="114" t="str">
        <f t="shared" si="942"/>
        <v/>
      </c>
      <c r="AN1280" s="115"/>
      <c r="AO1280" s="116"/>
      <c r="AP1280" s="116"/>
      <c r="AQ1280" s="116"/>
      <c r="AR1280" s="116"/>
      <c r="AS1280" s="116"/>
      <c r="AT1280" s="116"/>
      <c r="AU1280" s="116"/>
      <c r="AV1280" s="78"/>
      <c r="AW1280" s="102"/>
      <c r="AX1280" s="78"/>
      <c r="AY1280" s="78"/>
      <c r="AZ1280" s="78"/>
      <c r="BA1280" s="78"/>
      <c r="BB1280" s="78"/>
      <c r="BC1280" s="78"/>
      <c r="BD1280" s="78"/>
      <c r="BE1280" s="465"/>
      <c r="BF1280" s="165" t="str">
        <f t="shared" si="943"/>
        <v>https://www.google.com/search?tbm=isch&amp;q=Coreopsis%20%27Jethro%20Tull%27%20PP%2318798%20Jethro%20Tull%E2%84%A2%20Tickseed</v>
      </c>
      <c r="BG1280" s="165" t="str">
        <f t="shared" si="944"/>
        <v>C</v>
      </c>
      <c r="BH1280" s="65"/>
      <c r="BI1280" s="65"/>
      <c r="BJ1280" s="65"/>
      <c r="BK1280" s="65"/>
      <c r="BL1280" s="99"/>
      <c r="BM1280" s="99"/>
      <c r="BN1280" s="99"/>
    </row>
    <row r="1281" spans="1:66" s="51" customFormat="1" ht="15.75" x14ac:dyDescent="0.25">
      <c r="A1281" s="634">
        <v>1</v>
      </c>
      <c r="B1281" s="635" t="s">
        <v>291</v>
      </c>
      <c r="C1281" s="636"/>
      <c r="D1281" s="637" t="s">
        <v>329</v>
      </c>
      <c r="E1281" s="638">
        <v>10.95</v>
      </c>
      <c r="F1281" s="639" t="s">
        <v>292</v>
      </c>
      <c r="G1281" s="484">
        <v>0</v>
      </c>
      <c r="H1281" s="691" t="str">
        <f>IF(G1281=0,"",IF(F1281="Buy",IF(G1281=1,"plant","plants"),IF(F1281&gt;0.01,"warranty","Error")))</f>
        <v/>
      </c>
      <c r="I1281" s="640">
        <f>IF(H1281="free",0,IF(H1281="credit",((E1281*(F1281))*G1281*-1),IF(F1281="Buy",(E1281*G1281),((E1281*(1-F1281))*G1281))))</f>
        <v>0</v>
      </c>
      <c r="J1281" s="640">
        <f>IF(H1281="warranty",0,(I1281*(_xlfn.SINGLE(SalesTaxPercentage))))</f>
        <v>0</v>
      </c>
      <c r="K1281" s="716">
        <f t="shared" ref="K1281" si="960">I1281+J1281</f>
        <v>0</v>
      </c>
      <c r="L1281" s="716"/>
      <c r="M1281" s="689" t="str">
        <f ca="1">IF(AND(G1281&gt;0,E1281=0),"WARNING - no PRICE inserted",IF(H1281="free","FREE ~ no charge this plant",IF(H1281="credit",CONCATENATE("-$",ROUND(K1281*(1-_xlfn.SINGLE(T2GDiscount))*-1,2)," CREDIT after discount"),IF(_xlfn.SINGLE(T2GDiscount)=0,"",IF(G1281=0,"",IF(F1281="Buy",CONCATENATE("$",ROUND(K1281*(1-_xlfn.SINGLE(T2GDiscount)),2)," with ",(_xlfn.SINGLE(T2GDiscount)*100),"% discount"),CONCATENATE("$",ROUND(K1281*(1-_xlfn.SINGLE(T2GDiscount)),2)," with ",((_xlfn.SINGLE(T2GDiscount)*100+F1281*100)-(_xlfn.SINGLE(T2GDiscount)*100*F1281)),IF(F1281&gt;0,"% discounts",IF(_xlfn.SINGLE(NoWarrantyDiscount)&gt;0,"% discounts","% discount")))))))))</f>
        <v/>
      </c>
      <c r="N1281" s="690"/>
      <c r="O1281" s="486"/>
      <c r="P1281" s="486"/>
      <c r="Q1281" s="486"/>
      <c r="R1281" s="486"/>
      <c r="S1281" s="486"/>
      <c r="T1281" s="102">
        <f t="shared" si="932"/>
        <v>0</v>
      </c>
      <c r="U1281" s="78">
        <f>IF(NOT(ISNUMBER(G1281)), "", VLOOKUP(A1281,'Discount Lookup'!D:E,2,FALSE)*G1281)</f>
        <v>0</v>
      </c>
      <c r="V1281" s="78">
        <f>IF(NOT(ISNUMBER(G1281)), "", VLOOKUP(A1281,'Discount Lookup'!G:H,2,FALSE)*G1281)</f>
        <v>0</v>
      </c>
      <c r="W1281" s="102">
        <f t="shared" si="933"/>
        <v>0</v>
      </c>
      <c r="X1281" s="102">
        <f t="shared" si="934"/>
        <v>0</v>
      </c>
      <c r="Y1281" s="120" t="b">
        <f t="shared" si="935"/>
        <v>0</v>
      </c>
      <c r="Z1281" s="117">
        <f t="shared" si="936"/>
        <v>0</v>
      </c>
      <c r="AA1281" s="118"/>
      <c r="AB1281" s="118" t="str">
        <f t="shared" si="937"/>
        <v/>
      </c>
      <c r="AC1281" s="712" t="str">
        <f>IF(AE1281="T2G","no charge",IF(AND(OR(PlanterYesMe="No",PlanterYesMe="N",PlanterYesMe="me"),H1281=""),"",IF(H1281="credit","NO install",IF(AND(K1281="",AE1281="me"),"EACH row",IF(AND(K1281="images",AE1281="me"),"EACH row",IF(D1281="","",IF(H1281="credit","",IF(AE1281="free","re-planting",IF(AE1281="me","   not ELP, by",IF(AND(OR(PlanterYesMe="Yes",PlanterYesMe="Y"),G1281&gt;0),(VLOOKUP(A1281,'Discount Lookup'!J:K,2)*G1281*(1-PlanterDiscount)*(1+PlanterDifficultyPercentage)),IF(AE1281="ELP",(VLOOKUP(A1281,'Discount Lookup'!J:K,2)*G1281*(1-PlanterDiscount)*(1+PlanterDifficultyPercentage)),IF(AE1281="free","re-planting",IF(G1281=0,"",IF(PlanterYesMe="",IF(AE1281="me","   not ELP, by",IF(AE1281="",IF(G1281&gt;0,(VLOOKUP(A1281,'Discount Lookup'!J:K,2)*G1281*(1-PlanterDiscount)*(1+PlanterDifficultyPercentage)),""),"")),"   not ELP, by"))))))))))))))</f>
        <v/>
      </c>
      <c r="AD1281" s="712"/>
      <c r="AE1281" s="513" t="str">
        <f t="shared" si="938"/>
        <v/>
      </c>
      <c r="AF1281" s="713" t="str">
        <f t="shared" si="939"/>
        <v/>
      </c>
      <c r="AG1281" s="713"/>
      <c r="AH1281" s="713"/>
      <c r="AI1281" s="112">
        <f>IF(H1281="credit",0,IF(AE1281="free",0,IF(AE1281="me",0,IF(G1281&gt;0,(VLOOKUP(A1281,'Discount Lookup'!J:K,2)*G1281),0))))</f>
        <v>0</v>
      </c>
      <c r="AJ1281" s="107" t="str">
        <f t="shared" ca="1" si="940"/>
        <v/>
      </c>
      <c r="AK1281" s="714" t="str">
        <f t="shared" si="941"/>
        <v/>
      </c>
      <c r="AL1281" s="714"/>
      <c r="AM1281" s="114" t="str">
        <f t="shared" si="942"/>
        <v/>
      </c>
      <c r="AN1281" s="115"/>
      <c r="AO1281" s="116"/>
      <c r="AP1281" s="116"/>
      <c r="AQ1281" s="116"/>
      <c r="AR1281" s="116"/>
      <c r="AS1281" s="116"/>
      <c r="AT1281" s="116"/>
      <c r="AU1281" s="116"/>
      <c r="AV1281" s="78"/>
      <c r="AW1281" s="102"/>
      <c r="AX1281" s="78"/>
      <c r="AY1281" s="78"/>
      <c r="AZ1281" s="78"/>
      <c r="BA1281" s="78"/>
      <c r="BB1281" s="78"/>
      <c r="BC1281" s="78"/>
      <c r="BD1281" s="78"/>
      <c r="BE1281" s="465"/>
      <c r="BF1281" s="165" t="str">
        <f t="shared" si="943"/>
        <v>https://www.google.com/search?tbm=isch&amp;q=1%20G2</v>
      </c>
      <c r="BG1281" s="165" t="str">
        <f t="shared" si="944"/>
        <v>C</v>
      </c>
      <c r="BH1281" s="65"/>
      <c r="BI1281" s="65"/>
      <c r="BJ1281" s="65"/>
      <c r="BK1281" s="65"/>
      <c r="BL1281" s="99"/>
      <c r="BM1281" s="99"/>
      <c r="BN1281" s="99"/>
    </row>
    <row r="1282" spans="1:66" s="51" customFormat="1" ht="17.25" thickBot="1" x14ac:dyDescent="0.3">
      <c r="A1282" s="641" t="s">
        <v>4870</v>
      </c>
      <c r="B1282" s="642"/>
      <c r="C1282" s="710"/>
      <c r="D1282" s="643"/>
      <c r="E1282" s="643"/>
      <c r="F1282" s="644"/>
      <c r="G1282" s="645"/>
      <c r="H1282" s="646"/>
      <c r="I1282" s="647"/>
      <c r="J1282" s="648"/>
      <c r="K1282" s="649"/>
      <c r="L1282" s="650"/>
      <c r="M1282" s="650"/>
      <c r="N1282" s="644"/>
      <c r="O1282" s="644"/>
      <c r="P1282" s="644"/>
      <c r="Q1282" s="644"/>
      <c r="R1282" s="644"/>
      <c r="S1282" s="701" t="s">
        <v>5271</v>
      </c>
      <c r="T1282" s="102">
        <f t="shared" si="932"/>
        <v>0</v>
      </c>
      <c r="U1282" s="78" t="str">
        <f>IF(NOT(ISNUMBER(G1282)), "", VLOOKUP(A1282,'Discount Lookup'!D:E,2,FALSE)*G1282)</f>
        <v/>
      </c>
      <c r="V1282" s="78" t="str">
        <f>IF(NOT(ISNUMBER(G1282)), "", VLOOKUP(A1282,'Discount Lookup'!G:H,2,FALSE)*G1282)</f>
        <v/>
      </c>
      <c r="W1282" s="102">
        <f t="shared" si="933"/>
        <v>0</v>
      </c>
      <c r="X1282" s="102">
        <f t="shared" si="934"/>
        <v>0</v>
      </c>
      <c r="Y1282" s="120" t="b">
        <f t="shared" si="935"/>
        <v>0</v>
      </c>
      <c r="Z1282" s="117">
        <f t="shared" si="936"/>
        <v>0</v>
      </c>
      <c r="AA1282" s="118"/>
      <c r="AB1282" s="118" t="str">
        <f t="shared" si="937"/>
        <v/>
      </c>
      <c r="AC1282" s="712" t="str">
        <f>IF(AE1282="T2G","no charge",IF(AND(OR(PlanterYesMe="No",PlanterYesMe="N",PlanterYesMe="me"),H1282=""),"",IF(H1282="credit","NO install",IF(AND(K1282="",AE1282="me"),"EACH row",IF(AND(K1282="images",AE1282="me"),"EACH row",IF(D1282="","",IF(H1282="credit","",IF(AE1282="free","re-planting",IF(AE1282="me","   not ELP, by",IF(AND(OR(PlanterYesMe="Yes",PlanterYesMe="Y"),G1282&gt;0),(VLOOKUP(A1282,'Discount Lookup'!J:K,2)*G1282*(1-PlanterDiscount)*(1+PlanterDifficultyPercentage)),IF(AE1282="ELP",(VLOOKUP(A1282,'Discount Lookup'!J:K,2)*G1282*(1-PlanterDiscount)*(1+PlanterDifficultyPercentage)),IF(AE1282="free","re-planting",IF(G1282=0,"",IF(PlanterYesMe="",IF(AE1282="me","   not ELP, by",IF(AE1282="",IF(G1282&gt;0,(VLOOKUP(A1282,'Discount Lookup'!J:K,2)*G1282*(1-PlanterDiscount)*(1+PlanterDifficultyPercentage)),""),"")),"   not ELP, by"))))))))))))))</f>
        <v/>
      </c>
      <c r="AD1282" s="712"/>
      <c r="AE1282" s="513" t="str">
        <f t="shared" si="938"/>
        <v/>
      </c>
      <c r="AF1282" s="713" t="str">
        <f t="shared" si="939"/>
        <v/>
      </c>
      <c r="AG1282" s="713"/>
      <c r="AH1282" s="713"/>
      <c r="AI1282" s="112">
        <f>IF(H1282="credit",0,IF(AE1282="free",0,IF(AE1282="me",0,IF(G1282&gt;0,(VLOOKUP(A1282,'Discount Lookup'!J:K,2)*G1282),0))))</f>
        <v>0</v>
      </c>
      <c r="AJ1282" s="107" t="str">
        <f t="shared" ca="1" si="940"/>
        <v/>
      </c>
      <c r="AK1282" s="714" t="str">
        <f t="shared" si="941"/>
        <v/>
      </c>
      <c r="AL1282" s="714"/>
      <c r="AM1282" s="114" t="str">
        <f t="shared" si="942"/>
        <v/>
      </c>
      <c r="AN1282" s="115"/>
      <c r="AO1282" s="116"/>
      <c r="AP1282" s="116"/>
      <c r="AQ1282" s="116"/>
      <c r="AR1282" s="116"/>
      <c r="AS1282" s="116"/>
      <c r="AT1282" s="116"/>
      <c r="AU1282" s="116"/>
      <c r="AV1282" s="78"/>
      <c r="AW1282" s="102"/>
      <c r="AX1282" s="78"/>
      <c r="AY1282" s="78"/>
      <c r="AZ1282" s="78"/>
      <c r="BA1282" s="78"/>
      <c r="BB1282" s="78"/>
      <c r="BC1282" s="78"/>
      <c r="BD1282" s="78"/>
      <c r="BE1282" s="465"/>
      <c r="BF1282" s="165" t="str">
        <f t="shared" si="943"/>
        <v>https://www.google.com/search?tbm=isch&amp;q=Jethro%20Tull%20is%20a%20sun-loving%20rebloomer%20with%20unique%20fluted%20Golden%20petals%20that%20flower%20from%20early%20summer%20to%20fall%20</v>
      </c>
      <c r="BG1282" s="165" t="str">
        <f t="shared" si="944"/>
        <v>J</v>
      </c>
      <c r="BH1282" s="65"/>
      <c r="BI1282" s="65"/>
      <c r="BJ1282" s="65"/>
      <c r="BK1282" s="65"/>
      <c r="BL1282" s="99"/>
      <c r="BM1282" s="99"/>
      <c r="BN1282" s="99"/>
    </row>
    <row r="1283" spans="1:66" s="51" customFormat="1" ht="18" x14ac:dyDescent="0.25">
      <c r="A1283" s="623" t="s">
        <v>2278</v>
      </c>
      <c r="B1283" s="624"/>
      <c r="C1283" s="709"/>
      <c r="D1283" s="625" t="s">
        <v>5640</v>
      </c>
      <c r="E1283" s="626"/>
      <c r="F1283" s="626"/>
      <c r="G1283" s="626"/>
      <c r="H1283" s="622" t="s">
        <v>1525</v>
      </c>
      <c r="I1283" s="627" t="s">
        <v>4871</v>
      </c>
      <c r="J1283" s="628"/>
      <c r="K1283" s="628"/>
      <c r="L1283" s="629"/>
      <c r="M1283" s="700" t="s">
        <v>5241</v>
      </c>
      <c r="N1283" s="693" t="str">
        <f>IF(AND(ISTEXT($A1283), ISERROR($A1283+0)), HYPERLINK($BF1283, "Images"), "")</f>
        <v>Images</v>
      </c>
      <c r="O1283" s="695" t="s">
        <v>5244</v>
      </c>
      <c r="P1283" s="630"/>
      <c r="Q1283" s="631"/>
      <c r="R1283" s="632"/>
      <c r="S1283" s="633"/>
      <c r="T1283" s="102">
        <f t="shared" si="932"/>
        <v>0</v>
      </c>
      <c r="U1283" s="78" t="str">
        <f>IF(NOT(ISNUMBER(G1283)), "", VLOOKUP(A1283,'Discount Lookup'!D:E,2,FALSE)*G1283)</f>
        <v/>
      </c>
      <c r="V1283" s="78" t="str">
        <f>IF(NOT(ISNUMBER(G1283)), "", VLOOKUP(A1283,'Discount Lookup'!G:H,2,FALSE)*G1283)</f>
        <v/>
      </c>
      <c r="W1283" s="102">
        <f t="shared" si="933"/>
        <v>0</v>
      </c>
      <c r="X1283" s="102" t="str">
        <f t="shared" si="934"/>
        <v>Ruby-Red rays, Golden eye</v>
      </c>
      <c r="Y1283" s="120" t="b">
        <f t="shared" si="935"/>
        <v>0</v>
      </c>
      <c r="Z1283" s="117">
        <f t="shared" si="936"/>
        <v>0</v>
      </c>
      <c r="AA1283" s="118"/>
      <c r="AB1283" s="118" t="str">
        <f t="shared" si="937"/>
        <v/>
      </c>
      <c r="AC1283" s="712" t="str">
        <f>IF(AE1283="T2G","no charge",IF(AND(OR(PlanterYesMe="No",PlanterYesMe="N",PlanterYesMe="me"),H1283=""),"",IF(H1283="credit","NO install",IF(AND(K1283="",AE1283="me"),"EACH row",IF(AND(K1283="images",AE1283="me"),"EACH row",IF(D1283="","",IF(H1283="credit","",IF(AE1283="free","re-planting",IF(AE1283="me","   not ELP, by",IF(AND(OR(PlanterYesMe="Yes",PlanterYesMe="Y"),G1283&gt;0),(VLOOKUP(A1283,'Discount Lookup'!J:K,2)*G1283*(1-PlanterDiscount)*(1+PlanterDifficultyPercentage)),IF(AE1283="ELP",(VLOOKUP(A1283,'Discount Lookup'!J:K,2)*G1283*(1-PlanterDiscount)*(1+PlanterDifficultyPercentage)),IF(AE1283="free","re-planting",IF(G1283=0,"",IF(PlanterYesMe="",IF(AE1283="me","   not ELP, by",IF(AE1283="",IF(G1283&gt;0,(VLOOKUP(A1283,'Discount Lookup'!J:K,2)*G1283*(1-PlanterDiscount)*(1+PlanterDifficultyPercentage)),""),"")),"   not ELP, by"))))))))))))))</f>
        <v/>
      </c>
      <c r="AD1283" s="712"/>
      <c r="AE1283" s="513" t="str">
        <f t="shared" si="938"/>
        <v/>
      </c>
      <c r="AF1283" s="713" t="str">
        <f t="shared" si="939"/>
        <v/>
      </c>
      <c r="AG1283" s="713"/>
      <c r="AH1283" s="713"/>
      <c r="AI1283" s="112">
        <f>IF(H1283="credit",0,IF(AE1283="free",0,IF(AE1283="me",0,IF(G1283&gt;0,(VLOOKUP(A1283,'Discount Lookup'!J:K,2)*G1283),0))))</f>
        <v>0</v>
      </c>
      <c r="AJ1283" s="107" t="str">
        <f t="shared" ca="1" si="940"/>
        <v/>
      </c>
      <c r="AK1283" s="714" t="str">
        <f t="shared" si="941"/>
        <v/>
      </c>
      <c r="AL1283" s="714"/>
      <c r="AM1283" s="114" t="str">
        <f t="shared" si="942"/>
        <v/>
      </c>
      <c r="AN1283" s="115"/>
      <c r="AO1283" s="116"/>
      <c r="AP1283" s="116"/>
      <c r="AQ1283" s="116"/>
      <c r="AR1283" s="116"/>
      <c r="AS1283" s="116"/>
      <c r="AT1283" s="116"/>
      <c r="AU1283" s="116"/>
      <c r="AV1283" s="78"/>
      <c r="AW1283" s="102"/>
      <c r="AX1283" s="78"/>
      <c r="AY1283" s="78"/>
      <c r="AZ1283" s="78"/>
      <c r="BA1283" s="78"/>
      <c r="BB1283" s="78"/>
      <c r="BC1283" s="78"/>
      <c r="BD1283" s="78"/>
      <c r="BE1283" s="465"/>
      <c r="BF1283" s="165" t="str">
        <f t="shared" si="943"/>
        <v>https://www.google.com/search?tbm=isch&amp;q=Coreopsis%20%27Red%20Satin%27%20PP%2325736%20PermaThread%E2%84%A2%20Red%20Satin%20Tickseed</v>
      </c>
      <c r="BG1283" s="165" t="str">
        <f t="shared" si="944"/>
        <v>C</v>
      </c>
      <c r="BH1283" s="65"/>
      <c r="BI1283" s="65"/>
      <c r="BJ1283" s="65"/>
      <c r="BK1283" s="65"/>
      <c r="BL1283" s="99"/>
      <c r="BM1283" s="99"/>
      <c r="BN1283" s="99"/>
    </row>
    <row r="1284" spans="1:66" s="51" customFormat="1" ht="15.75" x14ac:dyDescent="0.25">
      <c r="A1284" s="634">
        <v>1</v>
      </c>
      <c r="B1284" s="635" t="s">
        <v>291</v>
      </c>
      <c r="C1284" s="636"/>
      <c r="D1284" s="637" t="s">
        <v>329</v>
      </c>
      <c r="E1284" s="638">
        <v>10.95</v>
      </c>
      <c r="F1284" s="639" t="s">
        <v>292</v>
      </c>
      <c r="G1284" s="484">
        <v>0</v>
      </c>
      <c r="H1284" s="691" t="str">
        <f>IF(G1284=0,"",IF(F1284="Buy",IF(G1284=1,"plant","plants"),IF(F1284&gt;0.01,"warranty","Error")))</f>
        <v/>
      </c>
      <c r="I1284" s="640">
        <f>IF(H1284="free",0,IF(H1284="credit",((E1284*(F1284))*G1284*-1),IF(F1284="Buy",(E1284*G1284),((E1284*(1-F1284))*G1284))))</f>
        <v>0</v>
      </c>
      <c r="J1284" s="640">
        <f>IF(H1284="warranty",0,(I1284*(_xlfn.SINGLE(SalesTaxPercentage))))</f>
        <v>0</v>
      </c>
      <c r="K1284" s="716">
        <f t="shared" ref="K1284" si="961">I1284+J1284</f>
        <v>0</v>
      </c>
      <c r="L1284" s="716"/>
      <c r="M1284" s="689" t="str">
        <f ca="1">IF(AND(G1284&gt;0,E1284=0),"WARNING - no PRICE inserted",IF(H1284="free","FREE ~ no charge this plant",IF(H1284="credit",CONCATENATE("-$",ROUND(K1284*(1-_xlfn.SINGLE(T2GDiscount))*-1,2)," CREDIT after discount"),IF(_xlfn.SINGLE(T2GDiscount)=0,"",IF(G1284=0,"",IF(F1284="Buy",CONCATENATE("$",ROUND(K1284*(1-_xlfn.SINGLE(T2GDiscount)),2)," with ",(_xlfn.SINGLE(T2GDiscount)*100),"% discount"),CONCATENATE("$",ROUND(K1284*(1-_xlfn.SINGLE(T2GDiscount)),2)," with ",((_xlfn.SINGLE(T2GDiscount)*100+F1284*100)-(_xlfn.SINGLE(T2GDiscount)*100*F1284)),IF(F1284&gt;0,"% discounts",IF(_xlfn.SINGLE(NoWarrantyDiscount)&gt;0,"% discounts","% discount")))))))))</f>
        <v/>
      </c>
      <c r="N1284" s="690"/>
      <c r="O1284" s="486"/>
      <c r="P1284" s="486"/>
      <c r="Q1284" s="486"/>
      <c r="R1284" s="486"/>
      <c r="S1284" s="486"/>
      <c r="T1284" s="102">
        <f t="shared" si="932"/>
        <v>0</v>
      </c>
      <c r="U1284" s="78">
        <f>IF(NOT(ISNUMBER(G1284)), "", VLOOKUP(A1284,'Discount Lookup'!D:E,2,FALSE)*G1284)</f>
        <v>0</v>
      </c>
      <c r="V1284" s="78">
        <f>IF(NOT(ISNUMBER(G1284)), "", VLOOKUP(A1284,'Discount Lookup'!G:H,2,FALSE)*G1284)</f>
        <v>0</v>
      </c>
      <c r="W1284" s="102">
        <f t="shared" si="933"/>
        <v>0</v>
      </c>
      <c r="X1284" s="102">
        <f t="shared" si="934"/>
        <v>0</v>
      </c>
      <c r="Y1284" s="120" t="b">
        <f t="shared" si="935"/>
        <v>0</v>
      </c>
      <c r="Z1284" s="117">
        <f t="shared" si="936"/>
        <v>0</v>
      </c>
      <c r="AA1284" s="118"/>
      <c r="AB1284" s="118" t="str">
        <f t="shared" si="937"/>
        <v/>
      </c>
      <c r="AC1284" s="712" t="str">
        <f>IF(AE1284="T2G","no charge",IF(AND(OR(PlanterYesMe="No",PlanterYesMe="N",PlanterYesMe="me"),H1284=""),"",IF(H1284="credit","NO install",IF(AND(K1284="",AE1284="me"),"EACH row",IF(AND(K1284="images",AE1284="me"),"EACH row",IF(D1284="","",IF(H1284="credit","",IF(AE1284="free","re-planting",IF(AE1284="me","   not ELP, by",IF(AND(OR(PlanterYesMe="Yes",PlanterYesMe="Y"),G1284&gt;0),(VLOOKUP(A1284,'Discount Lookup'!J:K,2)*G1284*(1-PlanterDiscount)*(1+PlanterDifficultyPercentage)),IF(AE1284="ELP",(VLOOKUP(A1284,'Discount Lookup'!J:K,2)*G1284*(1-PlanterDiscount)*(1+PlanterDifficultyPercentage)),IF(AE1284="free","re-planting",IF(G1284=0,"",IF(PlanterYesMe="",IF(AE1284="me","   not ELP, by",IF(AE1284="",IF(G1284&gt;0,(VLOOKUP(A1284,'Discount Lookup'!J:K,2)*G1284*(1-PlanterDiscount)*(1+PlanterDifficultyPercentage)),""),"")),"   not ELP, by"))))))))))))))</f>
        <v/>
      </c>
      <c r="AD1284" s="712"/>
      <c r="AE1284" s="513" t="str">
        <f t="shared" si="938"/>
        <v/>
      </c>
      <c r="AF1284" s="713" t="str">
        <f t="shared" si="939"/>
        <v/>
      </c>
      <c r="AG1284" s="713"/>
      <c r="AH1284" s="713"/>
      <c r="AI1284" s="112">
        <f>IF(H1284="credit",0,IF(AE1284="free",0,IF(AE1284="me",0,IF(G1284&gt;0,(VLOOKUP(A1284,'Discount Lookup'!J:K,2)*G1284),0))))</f>
        <v>0</v>
      </c>
      <c r="AJ1284" s="107" t="str">
        <f t="shared" ca="1" si="940"/>
        <v/>
      </c>
      <c r="AK1284" s="714" t="str">
        <f t="shared" si="941"/>
        <v/>
      </c>
      <c r="AL1284" s="714"/>
      <c r="AM1284" s="114" t="str">
        <f t="shared" si="942"/>
        <v/>
      </c>
      <c r="AN1284" s="115"/>
      <c r="AO1284" s="116"/>
      <c r="AP1284" s="116"/>
      <c r="AQ1284" s="116"/>
      <c r="AR1284" s="116"/>
      <c r="AS1284" s="116"/>
      <c r="AT1284" s="116"/>
      <c r="AU1284" s="116"/>
      <c r="AV1284" s="78"/>
      <c r="AW1284" s="102"/>
      <c r="AX1284" s="78"/>
      <c r="AY1284" s="78"/>
      <c r="AZ1284" s="78"/>
      <c r="BA1284" s="78"/>
      <c r="BB1284" s="78"/>
      <c r="BC1284" s="78"/>
      <c r="BD1284" s="78"/>
      <c r="BE1284" s="465"/>
      <c r="BF1284" s="165" t="str">
        <f t="shared" si="943"/>
        <v>https://www.google.com/search?tbm=isch&amp;q=1%20G2</v>
      </c>
      <c r="BG1284" s="165" t="str">
        <f t="shared" si="944"/>
        <v>C</v>
      </c>
      <c r="BH1284" s="65"/>
      <c r="BI1284" s="65"/>
      <c r="BJ1284" s="65"/>
      <c r="BK1284" s="65"/>
      <c r="BL1284" s="99"/>
      <c r="BM1284" s="99"/>
      <c r="BN1284" s="99"/>
    </row>
    <row r="1285" spans="1:66" s="51" customFormat="1" ht="17.25" thickBot="1" x14ac:dyDescent="0.3">
      <c r="A1285" s="641" t="s">
        <v>4872</v>
      </c>
      <c r="B1285" s="642"/>
      <c r="C1285" s="710"/>
      <c r="D1285" s="643"/>
      <c r="E1285" s="643"/>
      <c r="F1285" s="644"/>
      <c r="G1285" s="645"/>
      <c r="H1285" s="646"/>
      <c r="I1285" s="647"/>
      <c r="J1285" s="648"/>
      <c r="K1285" s="649"/>
      <c r="L1285" s="650"/>
      <c r="M1285" s="650"/>
      <c r="N1285" s="644"/>
      <c r="O1285" s="644"/>
      <c r="P1285" s="644"/>
      <c r="Q1285" s="644"/>
      <c r="R1285" s="644"/>
      <c r="S1285" s="701" t="s">
        <v>5271</v>
      </c>
      <c r="T1285" s="102">
        <f t="shared" si="932"/>
        <v>0</v>
      </c>
      <c r="U1285" s="78" t="str">
        <f>IF(NOT(ISNUMBER(G1285)), "", VLOOKUP(A1285,'Discount Lookup'!D:E,2,FALSE)*G1285)</f>
        <v/>
      </c>
      <c r="V1285" s="78" t="str">
        <f>IF(NOT(ISNUMBER(G1285)), "", VLOOKUP(A1285,'Discount Lookup'!G:H,2,FALSE)*G1285)</f>
        <v/>
      </c>
      <c r="W1285" s="102">
        <f t="shared" si="933"/>
        <v>0</v>
      </c>
      <c r="X1285" s="102">
        <f t="shared" si="934"/>
        <v>0</v>
      </c>
      <c r="Y1285" s="120" t="b">
        <f t="shared" si="935"/>
        <v>0</v>
      </c>
      <c r="Z1285" s="117">
        <f t="shared" si="936"/>
        <v>0</v>
      </c>
      <c r="AA1285" s="118"/>
      <c r="AB1285" s="118" t="str">
        <f t="shared" si="937"/>
        <v/>
      </c>
      <c r="AC1285" s="712" t="str">
        <f>IF(AE1285="T2G","no charge",IF(AND(OR(PlanterYesMe="No",PlanterYesMe="N",PlanterYesMe="me"),H1285=""),"",IF(H1285="credit","NO install",IF(AND(K1285="",AE1285="me"),"EACH row",IF(AND(K1285="images",AE1285="me"),"EACH row",IF(D1285="","",IF(H1285="credit","",IF(AE1285="free","re-planting",IF(AE1285="me","   not ELP, by",IF(AND(OR(PlanterYesMe="Yes",PlanterYesMe="Y"),G1285&gt;0),(VLOOKUP(A1285,'Discount Lookup'!J:K,2)*G1285*(1-PlanterDiscount)*(1+PlanterDifficultyPercentage)),IF(AE1285="ELP",(VLOOKUP(A1285,'Discount Lookup'!J:K,2)*G1285*(1-PlanterDiscount)*(1+PlanterDifficultyPercentage)),IF(AE1285="free","re-planting",IF(G1285=0,"",IF(PlanterYesMe="",IF(AE1285="me","   not ELP, by",IF(AE1285="",IF(G1285&gt;0,(VLOOKUP(A1285,'Discount Lookup'!J:K,2)*G1285*(1-PlanterDiscount)*(1+PlanterDifficultyPercentage)),""),"")),"   not ELP, by"))))))))))))))</f>
        <v/>
      </c>
      <c r="AD1285" s="712"/>
      <c r="AE1285" s="513" t="str">
        <f t="shared" si="938"/>
        <v/>
      </c>
      <c r="AF1285" s="713" t="str">
        <f t="shared" si="939"/>
        <v/>
      </c>
      <c r="AG1285" s="713"/>
      <c r="AH1285" s="713"/>
      <c r="AI1285" s="112">
        <f>IF(H1285="credit",0,IF(AE1285="free",0,IF(AE1285="me",0,IF(G1285&gt;0,(VLOOKUP(A1285,'Discount Lookup'!J:K,2)*G1285),0))))</f>
        <v>0</v>
      </c>
      <c r="AJ1285" s="107" t="str">
        <f t="shared" ca="1" si="940"/>
        <v/>
      </c>
      <c r="AK1285" s="714" t="str">
        <f t="shared" si="941"/>
        <v/>
      </c>
      <c r="AL1285" s="714"/>
      <c r="AM1285" s="114" t="str">
        <f t="shared" si="942"/>
        <v/>
      </c>
      <c r="AN1285" s="115"/>
      <c r="AO1285" s="116"/>
      <c r="AP1285" s="116"/>
      <c r="AQ1285" s="116"/>
      <c r="AR1285" s="116"/>
      <c r="AS1285" s="116"/>
      <c r="AT1285" s="116"/>
      <c r="AU1285" s="116"/>
      <c r="AV1285" s="78"/>
      <c r="AW1285" s="102"/>
      <c r="AX1285" s="78"/>
      <c r="AY1285" s="78"/>
      <c r="AZ1285" s="78"/>
      <c r="BA1285" s="78"/>
      <c r="BB1285" s="78"/>
      <c r="BC1285" s="78"/>
      <c r="BD1285" s="78"/>
      <c r="BE1285" s="465"/>
      <c r="BF1285" s="165" t="str">
        <f t="shared" si="943"/>
        <v>https://www.google.com/search?tbm=isch&amp;q=Red%20Satin%20known%20for%20its%20vivid%2C%20daisy-like%20flowers%20that%20are%20produced%20continuously%20from%20early%20summer%20through%20fall%20</v>
      </c>
      <c r="BG1285" s="165" t="str">
        <f t="shared" si="944"/>
        <v>R</v>
      </c>
      <c r="BH1285" s="65"/>
      <c r="BI1285" s="65"/>
      <c r="BJ1285" s="65"/>
      <c r="BK1285" s="65"/>
      <c r="BL1285" s="99"/>
      <c r="BM1285" s="99"/>
      <c r="BN1285" s="99"/>
    </row>
    <row r="1286" spans="1:66" s="51" customFormat="1" ht="18" x14ac:dyDescent="0.25">
      <c r="A1286" s="623" t="s">
        <v>2279</v>
      </c>
      <c r="B1286" s="624"/>
      <c r="C1286" s="709"/>
      <c r="D1286" s="625" t="s">
        <v>2280</v>
      </c>
      <c r="E1286" s="626"/>
      <c r="F1286" s="626"/>
      <c r="G1286" s="626"/>
      <c r="H1286" s="622" t="s">
        <v>1511</v>
      </c>
      <c r="I1286" s="627" t="s">
        <v>4873</v>
      </c>
      <c r="J1286" s="628"/>
      <c r="K1286" s="628"/>
      <c r="L1286" s="629"/>
      <c r="M1286" s="700" t="s">
        <v>5241</v>
      </c>
      <c r="N1286" s="693" t="str">
        <f>IF(AND(ISTEXT($A1286), ISERROR($A1286+0)), HYPERLINK($BF1286, "Images"), "")</f>
        <v>Images</v>
      </c>
      <c r="O1286" s="695" t="s">
        <v>5244</v>
      </c>
      <c r="P1286" s="630"/>
      <c r="Q1286" s="631"/>
      <c r="R1286" s="632"/>
      <c r="S1286" s="633"/>
      <c r="T1286" s="102">
        <f t="shared" si="932"/>
        <v>0</v>
      </c>
      <c r="U1286" s="78" t="str">
        <f>IF(NOT(ISNUMBER(G1286)), "", VLOOKUP(A1286,'Discount Lookup'!D:E,2,FALSE)*G1286)</f>
        <v/>
      </c>
      <c r="V1286" s="78" t="str">
        <f>IF(NOT(ISNUMBER(G1286)), "", VLOOKUP(A1286,'Discount Lookup'!G:H,2,FALSE)*G1286)</f>
        <v/>
      </c>
      <c r="W1286" s="102">
        <f t="shared" si="933"/>
        <v>0</v>
      </c>
      <c r="X1286" s="102" t="str">
        <f t="shared" si="934"/>
        <v>Lemon-Yellow rays</v>
      </c>
      <c r="Y1286" s="120" t="b">
        <f t="shared" si="935"/>
        <v>0</v>
      </c>
      <c r="Z1286" s="117">
        <f t="shared" si="936"/>
        <v>0</v>
      </c>
      <c r="AA1286" s="118"/>
      <c r="AB1286" s="118" t="str">
        <f t="shared" si="937"/>
        <v/>
      </c>
      <c r="AC1286" s="712" t="str">
        <f>IF(AE1286="T2G","no charge",IF(AND(OR(PlanterYesMe="No",PlanterYesMe="N",PlanterYesMe="me"),H1286=""),"",IF(H1286="credit","NO install",IF(AND(K1286="",AE1286="me"),"EACH row",IF(AND(K1286="images",AE1286="me"),"EACH row",IF(D1286="","",IF(H1286="credit","",IF(AE1286="free","re-planting",IF(AE1286="me","   not ELP, by",IF(AND(OR(PlanterYesMe="Yes",PlanterYesMe="Y"),G1286&gt;0),(VLOOKUP(A1286,'Discount Lookup'!J:K,2)*G1286*(1-PlanterDiscount)*(1+PlanterDifficultyPercentage)),IF(AE1286="ELP",(VLOOKUP(A1286,'Discount Lookup'!J:K,2)*G1286*(1-PlanterDiscount)*(1+PlanterDifficultyPercentage)),IF(AE1286="free","re-planting",IF(G1286=0,"",IF(PlanterYesMe="",IF(AE1286="me","   not ELP, by",IF(AE1286="",IF(G1286&gt;0,(VLOOKUP(A1286,'Discount Lookup'!J:K,2)*G1286*(1-PlanterDiscount)*(1+PlanterDifficultyPercentage)),""),"")),"   not ELP, by"))))))))))))))</f>
        <v/>
      </c>
      <c r="AD1286" s="712"/>
      <c r="AE1286" s="513" t="str">
        <f t="shared" si="938"/>
        <v/>
      </c>
      <c r="AF1286" s="713" t="str">
        <f t="shared" si="939"/>
        <v/>
      </c>
      <c r="AG1286" s="713"/>
      <c r="AH1286" s="713"/>
      <c r="AI1286" s="112">
        <f>IF(H1286="credit",0,IF(AE1286="free",0,IF(AE1286="me",0,IF(G1286&gt;0,(VLOOKUP(A1286,'Discount Lookup'!J:K,2)*G1286),0))))</f>
        <v>0</v>
      </c>
      <c r="AJ1286" s="107" t="str">
        <f t="shared" ca="1" si="940"/>
        <v/>
      </c>
      <c r="AK1286" s="714" t="str">
        <f t="shared" si="941"/>
        <v/>
      </c>
      <c r="AL1286" s="714"/>
      <c r="AM1286" s="114" t="str">
        <f t="shared" si="942"/>
        <v/>
      </c>
      <c r="AN1286" s="115"/>
      <c r="AO1286" s="116"/>
      <c r="AP1286" s="116"/>
      <c r="AQ1286" s="116"/>
      <c r="AR1286" s="116"/>
      <c r="AS1286" s="116"/>
      <c r="AT1286" s="116"/>
      <c r="AU1286" s="116"/>
      <c r="AV1286" s="78"/>
      <c r="AW1286" s="102"/>
      <c r="AX1286" s="78"/>
      <c r="AY1286" s="78"/>
      <c r="AZ1286" s="78"/>
      <c r="BA1286" s="78"/>
      <c r="BB1286" s="78"/>
      <c r="BC1286" s="78"/>
      <c r="BD1286" s="78"/>
      <c r="BE1286" s="465"/>
      <c r="BF1286" s="165" t="str">
        <f t="shared" si="943"/>
        <v>https://www.google.com/search?tbm=isch&amp;q=Coreopsis%20verticillata%20%27Moonbeam%27%20Moonbeam%20Tickseed</v>
      </c>
      <c r="BG1286" s="165" t="str">
        <f t="shared" si="944"/>
        <v>C</v>
      </c>
      <c r="BH1286" s="65"/>
      <c r="BI1286" s="65"/>
      <c r="BJ1286" s="65"/>
      <c r="BK1286" s="65"/>
      <c r="BL1286" s="99"/>
      <c r="BM1286" s="99"/>
      <c r="BN1286" s="99"/>
    </row>
    <row r="1287" spans="1:66" s="51" customFormat="1" ht="15.75" x14ac:dyDescent="0.25">
      <c r="A1287" s="634">
        <v>1</v>
      </c>
      <c r="B1287" s="635" t="s">
        <v>291</v>
      </c>
      <c r="C1287" s="636"/>
      <c r="D1287" s="637" t="s">
        <v>329</v>
      </c>
      <c r="E1287" s="638">
        <v>10.95</v>
      </c>
      <c r="F1287" s="639" t="s">
        <v>292</v>
      </c>
      <c r="G1287" s="484">
        <v>0</v>
      </c>
      <c r="H1287" s="691" t="str">
        <f>IF(G1287=0,"",IF(F1287="Buy",IF(G1287=1,"plant","plants"),IF(F1287&gt;0.01,"warranty","Error")))</f>
        <v/>
      </c>
      <c r="I1287" s="640">
        <f>IF(H1287="free",0,IF(H1287="credit",((E1287*(F1287))*G1287*-1),IF(F1287="Buy",(E1287*G1287),((E1287*(1-F1287))*G1287))))</f>
        <v>0</v>
      </c>
      <c r="J1287" s="640">
        <f>IF(H1287="warranty",0,(I1287*(_xlfn.SINGLE(SalesTaxPercentage))))</f>
        <v>0</v>
      </c>
      <c r="K1287" s="716">
        <f t="shared" ref="K1287" si="962">I1287+J1287</f>
        <v>0</v>
      </c>
      <c r="L1287" s="716"/>
      <c r="M1287" s="689" t="str">
        <f ca="1">IF(AND(G1287&gt;0,E1287=0),"WARNING - no PRICE inserted",IF(H1287="free","FREE ~ no charge this plant",IF(H1287="credit",CONCATENATE("-$",ROUND(K1287*(1-_xlfn.SINGLE(T2GDiscount))*-1,2)," CREDIT after discount"),IF(_xlfn.SINGLE(T2GDiscount)=0,"",IF(G1287=0,"",IF(F1287="Buy",CONCATENATE("$",ROUND(K1287*(1-_xlfn.SINGLE(T2GDiscount)),2)," with ",(_xlfn.SINGLE(T2GDiscount)*100),"% discount"),CONCATENATE("$",ROUND(K1287*(1-_xlfn.SINGLE(T2GDiscount)),2)," with ",((_xlfn.SINGLE(T2GDiscount)*100+F1287*100)-(_xlfn.SINGLE(T2GDiscount)*100*F1287)),IF(F1287&gt;0,"% discounts",IF(_xlfn.SINGLE(NoWarrantyDiscount)&gt;0,"% discounts","% discount")))))))))</f>
        <v/>
      </c>
      <c r="N1287" s="690"/>
      <c r="O1287" s="486"/>
      <c r="P1287" s="486"/>
      <c r="Q1287" s="486"/>
      <c r="R1287" s="486"/>
      <c r="S1287" s="486"/>
      <c r="T1287" s="102">
        <f t="shared" si="932"/>
        <v>0</v>
      </c>
      <c r="U1287" s="78">
        <f>IF(NOT(ISNUMBER(G1287)), "", VLOOKUP(A1287,'Discount Lookup'!D:E,2,FALSE)*G1287)</f>
        <v>0</v>
      </c>
      <c r="V1287" s="78">
        <f>IF(NOT(ISNUMBER(G1287)), "", VLOOKUP(A1287,'Discount Lookup'!G:H,2,FALSE)*G1287)</f>
        <v>0</v>
      </c>
      <c r="W1287" s="102">
        <f t="shared" si="933"/>
        <v>0</v>
      </c>
      <c r="X1287" s="102">
        <f t="shared" si="934"/>
        <v>0</v>
      </c>
      <c r="Y1287" s="120" t="b">
        <f t="shared" si="935"/>
        <v>0</v>
      </c>
      <c r="Z1287" s="117">
        <f t="shared" si="936"/>
        <v>0</v>
      </c>
      <c r="AA1287" s="118"/>
      <c r="AB1287" s="118" t="str">
        <f t="shared" si="937"/>
        <v/>
      </c>
      <c r="AC1287" s="712" t="str">
        <f>IF(AE1287="T2G","no charge",IF(AND(OR(PlanterYesMe="No",PlanterYesMe="N",PlanterYesMe="me"),H1287=""),"",IF(H1287="credit","NO install",IF(AND(K1287="",AE1287="me"),"EACH row",IF(AND(K1287="images",AE1287="me"),"EACH row",IF(D1287="","",IF(H1287="credit","",IF(AE1287="free","re-planting",IF(AE1287="me","   not ELP, by",IF(AND(OR(PlanterYesMe="Yes",PlanterYesMe="Y"),G1287&gt;0),(VLOOKUP(A1287,'Discount Lookup'!J:K,2)*G1287*(1-PlanterDiscount)*(1+PlanterDifficultyPercentage)),IF(AE1287="ELP",(VLOOKUP(A1287,'Discount Lookup'!J:K,2)*G1287*(1-PlanterDiscount)*(1+PlanterDifficultyPercentage)),IF(AE1287="free","re-planting",IF(G1287=0,"",IF(PlanterYesMe="",IF(AE1287="me","   not ELP, by",IF(AE1287="",IF(G1287&gt;0,(VLOOKUP(A1287,'Discount Lookup'!J:K,2)*G1287*(1-PlanterDiscount)*(1+PlanterDifficultyPercentage)),""),"")),"   not ELP, by"))))))))))))))</f>
        <v/>
      </c>
      <c r="AD1287" s="712"/>
      <c r="AE1287" s="513" t="str">
        <f t="shared" si="938"/>
        <v/>
      </c>
      <c r="AF1287" s="713" t="str">
        <f t="shared" si="939"/>
        <v/>
      </c>
      <c r="AG1287" s="713"/>
      <c r="AH1287" s="713"/>
      <c r="AI1287" s="112">
        <f>IF(H1287="credit",0,IF(AE1287="free",0,IF(AE1287="me",0,IF(G1287&gt;0,(VLOOKUP(A1287,'Discount Lookup'!J:K,2)*G1287),0))))</f>
        <v>0</v>
      </c>
      <c r="AJ1287" s="107" t="str">
        <f t="shared" ca="1" si="940"/>
        <v/>
      </c>
      <c r="AK1287" s="714" t="str">
        <f t="shared" si="941"/>
        <v/>
      </c>
      <c r="AL1287" s="714"/>
      <c r="AM1287" s="114" t="str">
        <f t="shared" si="942"/>
        <v/>
      </c>
      <c r="AN1287" s="115"/>
      <c r="AO1287" s="116"/>
      <c r="AP1287" s="116"/>
      <c r="AQ1287" s="116"/>
      <c r="AR1287" s="116"/>
      <c r="AS1287" s="116"/>
      <c r="AT1287" s="116"/>
      <c r="AU1287" s="116"/>
      <c r="AV1287" s="78"/>
      <c r="AW1287" s="102"/>
      <c r="AX1287" s="78"/>
      <c r="AY1287" s="78"/>
      <c r="AZ1287" s="78"/>
      <c r="BA1287" s="78"/>
      <c r="BB1287" s="78"/>
      <c r="BC1287" s="78"/>
      <c r="BD1287" s="78"/>
      <c r="BE1287" s="465"/>
      <c r="BF1287" s="165" t="str">
        <f t="shared" si="943"/>
        <v>https://www.google.com/search?tbm=isch&amp;q=1%20G2</v>
      </c>
      <c r="BG1287" s="165" t="str">
        <f t="shared" si="944"/>
        <v>C</v>
      </c>
      <c r="BH1287" s="65"/>
      <c r="BI1287" s="65"/>
      <c r="BJ1287" s="65"/>
      <c r="BK1287" s="65"/>
      <c r="BL1287" s="99"/>
      <c r="BM1287" s="99"/>
      <c r="BN1287" s="99"/>
    </row>
    <row r="1288" spans="1:66" s="51" customFormat="1" ht="17.25" thickBot="1" x14ac:dyDescent="0.3">
      <c r="A1288" s="641" t="s">
        <v>2282</v>
      </c>
      <c r="B1288" s="642"/>
      <c r="C1288" s="710"/>
      <c r="D1288" s="643"/>
      <c r="E1288" s="643"/>
      <c r="F1288" s="644"/>
      <c r="G1288" s="645"/>
      <c r="H1288" s="646"/>
      <c r="I1288" s="647"/>
      <c r="J1288" s="648"/>
      <c r="K1288" s="649"/>
      <c r="L1288" s="650"/>
      <c r="M1288" s="650"/>
      <c r="N1288" s="644"/>
      <c r="O1288" s="644"/>
      <c r="P1288" s="644"/>
      <c r="Q1288" s="644"/>
      <c r="R1288" s="644"/>
      <c r="S1288" s="701" t="s">
        <v>5271</v>
      </c>
      <c r="T1288" s="102">
        <f t="shared" si="932"/>
        <v>0</v>
      </c>
      <c r="U1288" s="78" t="str">
        <f>IF(NOT(ISNUMBER(G1288)), "", VLOOKUP(A1288,'Discount Lookup'!D:E,2,FALSE)*G1288)</f>
        <v/>
      </c>
      <c r="V1288" s="78" t="str">
        <f>IF(NOT(ISNUMBER(G1288)), "", VLOOKUP(A1288,'Discount Lookup'!G:H,2,FALSE)*G1288)</f>
        <v/>
      </c>
      <c r="W1288" s="102">
        <f t="shared" si="933"/>
        <v>0</v>
      </c>
      <c r="X1288" s="102">
        <f t="shared" si="934"/>
        <v>0</v>
      </c>
      <c r="Y1288" s="120" t="b">
        <f t="shared" si="935"/>
        <v>0</v>
      </c>
      <c r="Z1288" s="117">
        <f t="shared" si="936"/>
        <v>0</v>
      </c>
      <c r="AA1288" s="118"/>
      <c r="AB1288" s="118" t="str">
        <f t="shared" si="937"/>
        <v/>
      </c>
      <c r="AC1288" s="712" t="str">
        <f>IF(AE1288="T2G","no charge",IF(AND(OR(PlanterYesMe="No",PlanterYesMe="N",PlanterYesMe="me"),H1288=""),"",IF(H1288="credit","NO install",IF(AND(K1288="",AE1288="me"),"EACH row",IF(AND(K1288="images",AE1288="me"),"EACH row",IF(D1288="","",IF(H1288="credit","",IF(AE1288="free","re-planting",IF(AE1288="me","   not ELP, by",IF(AND(OR(PlanterYesMe="Yes",PlanterYesMe="Y"),G1288&gt;0),(VLOOKUP(A1288,'Discount Lookup'!J:K,2)*G1288*(1-PlanterDiscount)*(1+PlanterDifficultyPercentage)),IF(AE1288="ELP",(VLOOKUP(A1288,'Discount Lookup'!J:K,2)*G1288*(1-PlanterDiscount)*(1+PlanterDifficultyPercentage)),IF(AE1288="free","re-planting",IF(G1288=0,"",IF(PlanterYesMe="",IF(AE1288="me","   not ELP, by",IF(AE1288="",IF(G1288&gt;0,(VLOOKUP(A1288,'Discount Lookup'!J:K,2)*G1288*(1-PlanterDiscount)*(1+PlanterDifficultyPercentage)),""),"")),"   not ELP, by"))))))))))))))</f>
        <v/>
      </c>
      <c r="AD1288" s="712"/>
      <c r="AE1288" s="513" t="str">
        <f t="shared" si="938"/>
        <v/>
      </c>
      <c r="AF1288" s="713" t="str">
        <f t="shared" si="939"/>
        <v/>
      </c>
      <c r="AG1288" s="713"/>
      <c r="AH1288" s="713"/>
      <c r="AI1288" s="112">
        <f>IF(H1288="credit",0,IF(AE1288="free",0,IF(AE1288="me",0,IF(G1288&gt;0,(VLOOKUP(A1288,'Discount Lookup'!J:K,2)*G1288),0))))</f>
        <v>0</v>
      </c>
      <c r="AJ1288" s="107" t="str">
        <f t="shared" ca="1" si="940"/>
        <v/>
      </c>
      <c r="AK1288" s="714" t="str">
        <f t="shared" si="941"/>
        <v/>
      </c>
      <c r="AL1288" s="714"/>
      <c r="AM1288" s="114" t="str">
        <f t="shared" si="942"/>
        <v/>
      </c>
      <c r="AN1288" s="115"/>
      <c r="AO1288" s="116"/>
      <c r="AP1288" s="116"/>
      <c r="AQ1288" s="116"/>
      <c r="AR1288" s="116"/>
      <c r="AS1288" s="116"/>
      <c r="AT1288" s="116"/>
      <c r="AU1288" s="116"/>
      <c r="AV1288" s="78"/>
      <c r="AW1288" s="102"/>
      <c r="AX1288" s="78"/>
      <c r="AY1288" s="78"/>
      <c r="AZ1288" s="78"/>
      <c r="BA1288" s="78"/>
      <c r="BB1288" s="78"/>
      <c r="BC1288" s="78"/>
      <c r="BD1288" s="78"/>
      <c r="BE1288" s="465"/>
      <c r="BF1288" s="165" t="str">
        <f t="shared" si="943"/>
        <v>https://www.google.com/search?tbm=isch&amp;q=Moonbeam%2C%20like%20all%20Coreopsis%2C%20withstands%20high%20heat%20and%20humidity%20once%20established%20</v>
      </c>
      <c r="BG1288" s="165" t="str">
        <f t="shared" si="944"/>
        <v>M</v>
      </c>
      <c r="BH1288" s="65"/>
      <c r="BI1288" s="65"/>
      <c r="BJ1288" s="65"/>
      <c r="BK1288" s="65"/>
      <c r="BL1288" s="99"/>
      <c r="BM1288" s="99"/>
      <c r="BN1288" s="99"/>
    </row>
    <row r="1289" spans="1:66" s="51" customFormat="1" ht="18" x14ac:dyDescent="0.25">
      <c r="A1289" s="623" t="s">
        <v>2283</v>
      </c>
      <c r="B1289" s="624"/>
      <c r="C1289" s="709"/>
      <c r="D1289" s="625" t="s">
        <v>2284</v>
      </c>
      <c r="E1289" s="626"/>
      <c r="F1289" s="626"/>
      <c r="G1289" s="626"/>
      <c r="H1289" s="622" t="s">
        <v>1525</v>
      </c>
      <c r="I1289" s="627" t="s">
        <v>4874</v>
      </c>
      <c r="J1289" s="628"/>
      <c r="K1289" s="628"/>
      <c r="L1289" s="629"/>
      <c r="M1289" s="700" t="s">
        <v>5241</v>
      </c>
      <c r="N1289" s="693" t="str">
        <f>IF(AND(ISTEXT($A1289), ISERROR($A1289+0)), HYPERLINK($BF1289, "Images"), "")</f>
        <v>Images</v>
      </c>
      <c r="O1289" s="695" t="s">
        <v>5244</v>
      </c>
      <c r="P1289" s="630"/>
      <c r="Q1289" s="631"/>
      <c r="R1289" s="632"/>
      <c r="S1289" s="633"/>
      <c r="T1289" s="102">
        <f t="shared" si="932"/>
        <v>0</v>
      </c>
      <c r="U1289" s="78" t="str">
        <f>IF(NOT(ISNUMBER(G1289)), "", VLOOKUP(A1289,'Discount Lookup'!D:E,2,FALSE)*G1289)</f>
        <v/>
      </c>
      <c r="V1289" s="78" t="str">
        <f>IF(NOT(ISNUMBER(G1289)), "", VLOOKUP(A1289,'Discount Lookup'!G:H,2,FALSE)*G1289)</f>
        <v/>
      </c>
      <c r="W1289" s="102">
        <f t="shared" si="933"/>
        <v>0</v>
      </c>
      <c r="X1289" s="102" t="str">
        <f t="shared" si="934"/>
        <v>Golden-Yellow rays, Dark Yellow eye</v>
      </c>
      <c r="Y1289" s="120" t="b">
        <f t="shared" si="935"/>
        <v>0</v>
      </c>
      <c r="Z1289" s="117">
        <f t="shared" si="936"/>
        <v>0</v>
      </c>
      <c r="AA1289" s="118"/>
      <c r="AB1289" s="118" t="str">
        <f t="shared" si="937"/>
        <v/>
      </c>
      <c r="AC1289" s="712" t="str">
        <f>IF(AE1289="T2G","no charge",IF(AND(OR(PlanterYesMe="No",PlanterYesMe="N",PlanterYesMe="me"),H1289=""),"",IF(H1289="credit","NO install",IF(AND(K1289="",AE1289="me"),"EACH row",IF(AND(K1289="images",AE1289="me"),"EACH row",IF(D1289="","",IF(H1289="credit","",IF(AE1289="free","re-planting",IF(AE1289="me","   not ELP, by",IF(AND(OR(PlanterYesMe="Yes",PlanterYesMe="Y"),G1289&gt;0),(VLOOKUP(A1289,'Discount Lookup'!J:K,2)*G1289*(1-PlanterDiscount)*(1+PlanterDifficultyPercentage)),IF(AE1289="ELP",(VLOOKUP(A1289,'Discount Lookup'!J:K,2)*G1289*(1-PlanterDiscount)*(1+PlanterDifficultyPercentage)),IF(AE1289="free","re-planting",IF(G1289=0,"",IF(PlanterYesMe="",IF(AE1289="me","   not ELP, by",IF(AE1289="",IF(G1289&gt;0,(VLOOKUP(A1289,'Discount Lookup'!J:K,2)*G1289*(1-PlanterDiscount)*(1+PlanterDifficultyPercentage)),""),"")),"   not ELP, by"))))))))))))))</f>
        <v/>
      </c>
      <c r="AD1289" s="712"/>
      <c r="AE1289" s="513" t="str">
        <f t="shared" si="938"/>
        <v/>
      </c>
      <c r="AF1289" s="713" t="str">
        <f t="shared" si="939"/>
        <v/>
      </c>
      <c r="AG1289" s="713"/>
      <c r="AH1289" s="713"/>
      <c r="AI1289" s="112">
        <f>IF(H1289="credit",0,IF(AE1289="free",0,IF(AE1289="me",0,IF(G1289&gt;0,(VLOOKUP(A1289,'Discount Lookup'!J:K,2)*G1289),0))))</f>
        <v>0</v>
      </c>
      <c r="AJ1289" s="107" t="str">
        <f t="shared" ca="1" si="940"/>
        <v/>
      </c>
      <c r="AK1289" s="714" t="str">
        <f t="shared" si="941"/>
        <v/>
      </c>
      <c r="AL1289" s="714"/>
      <c r="AM1289" s="114" t="str">
        <f t="shared" si="942"/>
        <v/>
      </c>
      <c r="AN1289" s="115"/>
      <c r="AO1289" s="116"/>
      <c r="AP1289" s="116"/>
      <c r="AQ1289" s="116"/>
      <c r="AR1289" s="116"/>
      <c r="AS1289" s="116"/>
      <c r="AT1289" s="116"/>
      <c r="AU1289" s="116"/>
      <c r="AV1289" s="78"/>
      <c r="AW1289" s="102"/>
      <c r="AX1289" s="78"/>
      <c r="AY1289" s="78"/>
      <c r="AZ1289" s="78"/>
      <c r="BA1289" s="78"/>
      <c r="BB1289" s="78"/>
      <c r="BC1289" s="78"/>
      <c r="BD1289" s="78"/>
      <c r="BE1289" s="465"/>
      <c r="BF1289" s="165" t="str">
        <f t="shared" si="943"/>
        <v>https://www.google.com/search?tbm=isch&amp;q=Coreopsis%20verticillata%20%27Zagreb%27%20Zagreb%20Tickseed</v>
      </c>
      <c r="BG1289" s="165" t="str">
        <f t="shared" si="944"/>
        <v>C</v>
      </c>
      <c r="BH1289" s="65"/>
      <c r="BI1289" s="65"/>
      <c r="BJ1289" s="65"/>
      <c r="BK1289" s="65"/>
      <c r="BL1289" s="99"/>
      <c r="BM1289" s="99"/>
      <c r="BN1289" s="99"/>
    </row>
    <row r="1290" spans="1:66" s="51" customFormat="1" ht="15.75" x14ac:dyDescent="0.25">
      <c r="A1290" s="634">
        <v>1</v>
      </c>
      <c r="B1290" s="635" t="s">
        <v>291</v>
      </c>
      <c r="C1290" s="636"/>
      <c r="D1290" s="637" t="s">
        <v>329</v>
      </c>
      <c r="E1290" s="638">
        <v>10.95</v>
      </c>
      <c r="F1290" s="639" t="s">
        <v>292</v>
      </c>
      <c r="G1290" s="484">
        <v>0</v>
      </c>
      <c r="H1290" s="691" t="str">
        <f>IF(G1290=0,"",IF(F1290="Buy",IF(G1290=1,"plant","plants"),IF(F1290&gt;0.01,"warranty","Error")))</f>
        <v/>
      </c>
      <c r="I1290" s="640">
        <f>IF(H1290="free",0,IF(H1290="credit",((E1290*(F1290))*G1290*-1),IF(F1290="Buy",(E1290*G1290),((E1290*(1-F1290))*G1290))))</f>
        <v>0</v>
      </c>
      <c r="J1290" s="640">
        <f>IF(H1290="warranty",0,(I1290*(_xlfn.SINGLE(SalesTaxPercentage))))</f>
        <v>0</v>
      </c>
      <c r="K1290" s="716">
        <f t="shared" ref="K1290" si="963">I1290+J1290</f>
        <v>0</v>
      </c>
      <c r="L1290" s="716"/>
      <c r="M1290" s="689" t="str">
        <f ca="1">IF(AND(G1290&gt;0,E1290=0),"WARNING - no PRICE inserted",IF(H1290="free","FREE ~ no charge this plant",IF(H1290="credit",CONCATENATE("-$",ROUND(K1290*(1-_xlfn.SINGLE(T2GDiscount))*-1,2)," CREDIT after discount"),IF(_xlfn.SINGLE(T2GDiscount)=0,"",IF(G1290=0,"",IF(F1290="Buy",CONCATENATE("$",ROUND(K1290*(1-_xlfn.SINGLE(T2GDiscount)),2)," with ",(_xlfn.SINGLE(T2GDiscount)*100),"% discount"),CONCATENATE("$",ROUND(K1290*(1-_xlfn.SINGLE(T2GDiscount)),2)," with ",((_xlfn.SINGLE(T2GDiscount)*100+F1290*100)-(_xlfn.SINGLE(T2GDiscount)*100*F1290)),IF(F1290&gt;0,"% discounts",IF(_xlfn.SINGLE(NoWarrantyDiscount)&gt;0,"% discounts","% discount")))))))))</f>
        <v/>
      </c>
      <c r="N1290" s="690"/>
      <c r="O1290" s="486"/>
      <c r="P1290" s="486"/>
      <c r="Q1290" s="486"/>
      <c r="R1290" s="486"/>
      <c r="S1290" s="486"/>
      <c r="T1290" s="102">
        <f t="shared" si="932"/>
        <v>0</v>
      </c>
      <c r="U1290" s="78">
        <f>IF(NOT(ISNUMBER(G1290)), "", VLOOKUP(A1290,'Discount Lookup'!D:E,2,FALSE)*G1290)</f>
        <v>0</v>
      </c>
      <c r="V1290" s="78">
        <f>IF(NOT(ISNUMBER(G1290)), "", VLOOKUP(A1290,'Discount Lookup'!G:H,2,FALSE)*G1290)</f>
        <v>0</v>
      </c>
      <c r="W1290" s="102">
        <f t="shared" si="933"/>
        <v>0</v>
      </c>
      <c r="X1290" s="102">
        <f t="shared" si="934"/>
        <v>0</v>
      </c>
      <c r="Y1290" s="120" t="b">
        <f t="shared" si="935"/>
        <v>0</v>
      </c>
      <c r="Z1290" s="117">
        <f t="shared" si="936"/>
        <v>0</v>
      </c>
      <c r="AA1290" s="118"/>
      <c r="AB1290" s="118" t="str">
        <f t="shared" si="937"/>
        <v/>
      </c>
      <c r="AC1290" s="712" t="str">
        <f>IF(AE1290="T2G","no charge",IF(AND(OR(PlanterYesMe="No",PlanterYesMe="N",PlanterYesMe="me"),H1290=""),"",IF(H1290="credit","NO install",IF(AND(K1290="",AE1290="me"),"EACH row",IF(AND(K1290="images",AE1290="me"),"EACH row",IF(D1290="","",IF(H1290="credit","",IF(AE1290="free","re-planting",IF(AE1290="me","   not ELP, by",IF(AND(OR(PlanterYesMe="Yes",PlanterYesMe="Y"),G1290&gt;0),(VLOOKUP(A1290,'Discount Lookup'!J:K,2)*G1290*(1-PlanterDiscount)*(1+PlanterDifficultyPercentage)),IF(AE1290="ELP",(VLOOKUP(A1290,'Discount Lookup'!J:K,2)*G1290*(1-PlanterDiscount)*(1+PlanterDifficultyPercentage)),IF(AE1290="free","re-planting",IF(G1290=0,"",IF(PlanterYesMe="",IF(AE1290="me","   not ELP, by",IF(AE1290="",IF(G1290&gt;0,(VLOOKUP(A1290,'Discount Lookup'!J:K,2)*G1290*(1-PlanterDiscount)*(1+PlanterDifficultyPercentage)),""),"")),"   not ELP, by"))))))))))))))</f>
        <v/>
      </c>
      <c r="AD1290" s="712"/>
      <c r="AE1290" s="513" t="str">
        <f t="shared" si="938"/>
        <v/>
      </c>
      <c r="AF1290" s="713" t="str">
        <f t="shared" si="939"/>
        <v/>
      </c>
      <c r="AG1290" s="713"/>
      <c r="AH1290" s="713"/>
      <c r="AI1290" s="112">
        <f>IF(H1290="credit",0,IF(AE1290="free",0,IF(AE1290="me",0,IF(G1290&gt;0,(VLOOKUP(A1290,'Discount Lookup'!J:K,2)*G1290),0))))</f>
        <v>0</v>
      </c>
      <c r="AJ1290" s="107" t="str">
        <f t="shared" ca="1" si="940"/>
        <v/>
      </c>
      <c r="AK1290" s="714" t="str">
        <f t="shared" si="941"/>
        <v/>
      </c>
      <c r="AL1290" s="714"/>
      <c r="AM1290" s="114" t="str">
        <f t="shared" si="942"/>
        <v/>
      </c>
      <c r="AN1290" s="115"/>
      <c r="AO1290" s="116"/>
      <c r="AP1290" s="116"/>
      <c r="AQ1290" s="116"/>
      <c r="AR1290" s="116"/>
      <c r="AS1290" s="116"/>
      <c r="AT1290" s="116"/>
      <c r="AU1290" s="116"/>
      <c r="AV1290" s="78"/>
      <c r="AW1290" s="102"/>
      <c r="AX1290" s="78"/>
      <c r="AY1290" s="78"/>
      <c r="AZ1290" s="78"/>
      <c r="BA1290" s="78"/>
      <c r="BB1290" s="78"/>
      <c r="BC1290" s="78"/>
      <c r="BD1290" s="78"/>
      <c r="BE1290" s="465"/>
      <c r="BF1290" s="165" t="str">
        <f t="shared" si="943"/>
        <v>https://www.google.com/search?tbm=isch&amp;q=1%20G2</v>
      </c>
      <c r="BG1290" s="165" t="str">
        <f t="shared" si="944"/>
        <v>C</v>
      </c>
      <c r="BH1290" s="65"/>
      <c r="BI1290" s="65"/>
      <c r="BJ1290" s="65"/>
      <c r="BK1290" s="65"/>
      <c r="BL1290" s="99"/>
      <c r="BM1290" s="99"/>
      <c r="BN1290" s="99"/>
    </row>
    <row r="1291" spans="1:66" s="51" customFormat="1" ht="15.75" x14ac:dyDescent="0.25">
      <c r="A1291" s="634">
        <v>2</v>
      </c>
      <c r="B1291" s="635" t="s">
        <v>291</v>
      </c>
      <c r="C1291" s="636"/>
      <c r="D1291" s="637" t="s">
        <v>293</v>
      </c>
      <c r="E1291" s="638">
        <v>28.95</v>
      </c>
      <c r="F1291" s="639" t="s">
        <v>292</v>
      </c>
      <c r="G1291" s="484">
        <v>0</v>
      </c>
      <c r="H1291" s="691" t="str">
        <f>IF(G1291=0,"",IF(F1291="Buy",IF(G1291=1,"plant","plants"),IF(F1291&gt;0.01,"warranty","Error")))</f>
        <v/>
      </c>
      <c r="I1291" s="640">
        <f>IF(H1291="free",0,IF(H1291="credit",((E1291*(F1291))*G1291*-1),IF(F1291="Buy",(E1291*G1291),((E1291*(1-F1291))*G1291))))</f>
        <v>0</v>
      </c>
      <c r="J1291" s="640">
        <f>IF(H1291="warranty",0,(I1291*(_xlfn.SINGLE(SalesTaxPercentage))))</f>
        <v>0</v>
      </c>
      <c r="K1291" s="716">
        <f t="shared" ref="K1291" si="964">I1291+J1291</f>
        <v>0</v>
      </c>
      <c r="L1291" s="716"/>
      <c r="M1291" s="689" t="str">
        <f ca="1">IF(AND(G1291&gt;0,E1291=0),"WARNING - no PRICE inserted",IF(H1291="free","FREE ~ no charge this plant",IF(H1291="credit",CONCATENATE("-$",ROUND(K1291*(1-_xlfn.SINGLE(T2GDiscount))*-1,2)," CREDIT after discount"),IF(_xlfn.SINGLE(T2GDiscount)=0,"",IF(G1291=0,"",IF(F1291="Buy",CONCATENATE("$",ROUND(K1291*(1-_xlfn.SINGLE(T2GDiscount)),2)," with ",(_xlfn.SINGLE(T2GDiscount)*100),"% discount"),CONCATENATE("$",ROUND(K1291*(1-_xlfn.SINGLE(T2GDiscount)),2)," with ",((_xlfn.SINGLE(T2GDiscount)*100+F1291*100)-(_xlfn.SINGLE(T2GDiscount)*100*F1291)),IF(F1291&gt;0,"% discounts",IF(_xlfn.SINGLE(NoWarrantyDiscount)&gt;0,"% discounts","% discount")))))))))</f>
        <v/>
      </c>
      <c r="N1291" s="690"/>
      <c r="O1291" s="486"/>
      <c r="P1291" s="486"/>
      <c r="Q1291" s="486"/>
      <c r="R1291" s="486"/>
      <c r="S1291" s="486"/>
      <c r="T1291" s="102">
        <f t="shared" si="932"/>
        <v>0</v>
      </c>
      <c r="U1291" s="78">
        <f>IF(NOT(ISNUMBER(G1291)), "", VLOOKUP(A1291,'Discount Lookup'!D:E,2,FALSE)*G1291)</f>
        <v>0</v>
      </c>
      <c r="V1291" s="78">
        <f>IF(NOT(ISNUMBER(G1291)), "", VLOOKUP(A1291,'Discount Lookup'!G:H,2,FALSE)*G1291)</f>
        <v>0</v>
      </c>
      <c r="W1291" s="102">
        <f t="shared" si="933"/>
        <v>0</v>
      </c>
      <c r="X1291" s="102">
        <f t="shared" si="934"/>
        <v>0</v>
      </c>
      <c r="Y1291" s="120" t="b">
        <f t="shared" si="935"/>
        <v>0</v>
      </c>
      <c r="Z1291" s="117">
        <f t="shared" si="936"/>
        <v>0</v>
      </c>
      <c r="AA1291" s="118"/>
      <c r="AB1291" s="118" t="str">
        <f t="shared" si="937"/>
        <v/>
      </c>
      <c r="AC1291" s="712" t="str">
        <f>IF(AE1291="T2G","no charge",IF(AND(OR(PlanterYesMe="No",PlanterYesMe="N",PlanterYesMe="me"),H1291=""),"",IF(H1291="credit","NO install",IF(AND(K1291="",AE1291="me"),"EACH row",IF(AND(K1291="images",AE1291="me"),"EACH row",IF(D1291="","",IF(H1291="credit","",IF(AE1291="free","re-planting",IF(AE1291="me","   not ELP, by",IF(AND(OR(PlanterYesMe="Yes",PlanterYesMe="Y"),G1291&gt;0),(VLOOKUP(A1291,'Discount Lookup'!J:K,2)*G1291*(1-PlanterDiscount)*(1+PlanterDifficultyPercentage)),IF(AE1291="ELP",(VLOOKUP(A1291,'Discount Lookup'!J:K,2)*G1291*(1-PlanterDiscount)*(1+PlanterDifficultyPercentage)),IF(AE1291="free","re-planting",IF(G1291=0,"",IF(PlanterYesMe="",IF(AE1291="me","   not ELP, by",IF(AE1291="",IF(G1291&gt;0,(VLOOKUP(A1291,'Discount Lookup'!J:K,2)*G1291*(1-PlanterDiscount)*(1+PlanterDifficultyPercentage)),""),"")),"   not ELP, by"))))))))))))))</f>
        <v/>
      </c>
      <c r="AD1291" s="712"/>
      <c r="AE1291" s="513" t="str">
        <f t="shared" si="938"/>
        <v/>
      </c>
      <c r="AF1291" s="713" t="str">
        <f t="shared" si="939"/>
        <v/>
      </c>
      <c r="AG1291" s="713"/>
      <c r="AH1291" s="713"/>
      <c r="AI1291" s="112">
        <f>IF(H1291="credit",0,IF(AE1291="free",0,IF(AE1291="me",0,IF(G1291&gt;0,(VLOOKUP(A1291,'Discount Lookup'!J:K,2)*G1291),0))))</f>
        <v>0</v>
      </c>
      <c r="AJ1291" s="107" t="str">
        <f t="shared" ca="1" si="940"/>
        <v/>
      </c>
      <c r="AK1291" s="714" t="str">
        <f t="shared" si="941"/>
        <v/>
      </c>
      <c r="AL1291" s="714"/>
      <c r="AM1291" s="114" t="str">
        <f t="shared" si="942"/>
        <v/>
      </c>
      <c r="AN1291" s="115"/>
      <c r="AO1291" s="116"/>
      <c r="AP1291" s="116"/>
      <c r="AQ1291" s="116"/>
      <c r="AR1291" s="116"/>
      <c r="AS1291" s="116"/>
      <c r="AT1291" s="116"/>
      <c r="AU1291" s="116"/>
      <c r="AV1291" s="78"/>
      <c r="AW1291" s="102"/>
      <c r="AX1291" s="78"/>
      <c r="AY1291" s="78"/>
      <c r="AZ1291" s="78"/>
      <c r="BA1291" s="78"/>
      <c r="BB1291" s="78"/>
      <c r="BC1291" s="78"/>
      <c r="BD1291" s="78"/>
      <c r="BE1291" s="465"/>
      <c r="BF1291" s="165" t="str">
        <f t="shared" si="943"/>
        <v>https://www.google.com/search?tbm=isch&amp;q=2%20G6</v>
      </c>
      <c r="BG1291" s="165" t="str">
        <f t="shared" si="944"/>
        <v>C</v>
      </c>
      <c r="BH1291" s="65"/>
      <c r="BI1291" s="65"/>
      <c r="BJ1291" s="65"/>
      <c r="BK1291" s="65"/>
      <c r="BL1291" s="99"/>
      <c r="BM1291" s="99"/>
      <c r="BN1291" s="99"/>
    </row>
    <row r="1292" spans="1:66" s="51" customFormat="1" ht="16.5" x14ac:dyDescent="0.25">
      <c r="A1292" s="641" t="s">
        <v>4875</v>
      </c>
      <c r="B1292" s="642"/>
      <c r="C1292" s="710"/>
      <c r="D1292" s="643"/>
      <c r="E1292" s="643"/>
      <c r="F1292" s="644"/>
      <c r="G1292" s="645"/>
      <c r="H1292" s="646"/>
      <c r="I1292" s="647"/>
      <c r="J1292" s="648"/>
      <c r="K1292" s="649"/>
      <c r="L1292" s="650"/>
      <c r="M1292" s="650"/>
      <c r="N1292" s="644"/>
      <c r="O1292" s="644"/>
      <c r="P1292" s="644"/>
      <c r="Q1292" s="644"/>
      <c r="R1292" s="644"/>
      <c r="S1292" s="701" t="s">
        <v>5271</v>
      </c>
      <c r="T1292" s="102">
        <f t="shared" si="932"/>
        <v>0</v>
      </c>
      <c r="U1292" s="78" t="str">
        <f>IF(NOT(ISNUMBER(G1292)), "", VLOOKUP(A1292,'Discount Lookup'!D:E,2,FALSE)*G1292)</f>
        <v/>
      </c>
      <c r="V1292" s="78" t="str">
        <f>IF(NOT(ISNUMBER(G1292)), "", VLOOKUP(A1292,'Discount Lookup'!G:H,2,FALSE)*G1292)</f>
        <v/>
      </c>
      <c r="W1292" s="102">
        <f t="shared" si="933"/>
        <v>0</v>
      </c>
      <c r="X1292" s="102">
        <f t="shared" si="934"/>
        <v>0</v>
      </c>
      <c r="Y1292" s="120" t="b">
        <f t="shared" si="935"/>
        <v>0</v>
      </c>
      <c r="Z1292" s="117">
        <f t="shared" si="936"/>
        <v>0</v>
      </c>
      <c r="AA1292" s="118"/>
      <c r="AB1292" s="118" t="str">
        <f t="shared" si="937"/>
        <v/>
      </c>
      <c r="AC1292" s="712" t="str">
        <f>IF(AE1292="T2G","no charge",IF(AND(OR(PlanterYesMe="No",PlanterYesMe="N",PlanterYesMe="me"),H1292=""),"",IF(H1292="credit","NO install",IF(AND(K1292="",AE1292="me"),"EACH row",IF(AND(K1292="images",AE1292="me"),"EACH row",IF(D1292="","",IF(H1292="credit","",IF(AE1292="free","re-planting",IF(AE1292="me","   not ELP, by",IF(AND(OR(PlanterYesMe="Yes",PlanterYesMe="Y"),G1292&gt;0),(VLOOKUP(A1292,'Discount Lookup'!J:K,2)*G1292*(1-PlanterDiscount)*(1+PlanterDifficultyPercentage)),IF(AE1292="ELP",(VLOOKUP(A1292,'Discount Lookup'!J:K,2)*G1292*(1-PlanterDiscount)*(1+PlanterDifficultyPercentage)),IF(AE1292="free","re-planting",IF(G1292=0,"",IF(PlanterYesMe="",IF(AE1292="me","   not ELP, by",IF(AE1292="",IF(G1292&gt;0,(VLOOKUP(A1292,'Discount Lookup'!J:K,2)*G1292*(1-PlanterDiscount)*(1+PlanterDifficultyPercentage)),""),"")),"   not ELP, by"))))))))))))))</f>
        <v/>
      </c>
      <c r="AD1292" s="712"/>
      <c r="AE1292" s="513" t="str">
        <f t="shared" si="938"/>
        <v/>
      </c>
      <c r="AF1292" s="713" t="str">
        <f t="shared" si="939"/>
        <v/>
      </c>
      <c r="AG1292" s="713"/>
      <c r="AH1292" s="713"/>
      <c r="AI1292" s="112">
        <f>IF(H1292="credit",0,IF(AE1292="free",0,IF(AE1292="me",0,IF(G1292&gt;0,(VLOOKUP(A1292,'Discount Lookup'!J:K,2)*G1292),0))))</f>
        <v>0</v>
      </c>
      <c r="AJ1292" s="107" t="str">
        <f t="shared" ca="1" si="940"/>
        <v/>
      </c>
      <c r="AK1292" s="714" t="str">
        <f t="shared" si="941"/>
        <v/>
      </c>
      <c r="AL1292" s="714"/>
      <c r="AM1292" s="114" t="str">
        <f t="shared" si="942"/>
        <v/>
      </c>
      <c r="AN1292" s="115"/>
      <c r="AO1292" s="116"/>
      <c r="AP1292" s="116"/>
      <c r="AQ1292" s="116"/>
      <c r="AR1292" s="116"/>
      <c r="AS1292" s="116"/>
      <c r="AT1292" s="116"/>
      <c r="AU1292" s="116"/>
      <c r="AV1292" s="78"/>
      <c r="AW1292" s="102"/>
      <c r="AX1292" s="78"/>
      <c r="AY1292" s="78"/>
      <c r="AZ1292" s="78"/>
      <c r="BA1292" s="78"/>
      <c r="BB1292" s="78"/>
      <c r="BC1292" s="78"/>
      <c r="BD1292" s="78"/>
      <c r="BE1292" s="465"/>
      <c r="BF1292" s="165" t="str">
        <f t="shared" si="943"/>
        <v>https://www.google.com/search?tbm=isch&amp;q=Zagreb%20has%20finely%20textured%2C%20thread-like%20foliage%2C%20which%20creates%20an%20airy%2C%20lacy%20mound%2C%20and%20a%20prolific%20display%20of%20cheerful%20flowers%20from%20summer%20to%20fall%20</v>
      </c>
      <c r="BG1292" s="165" t="str">
        <f t="shared" si="944"/>
        <v>Z</v>
      </c>
      <c r="BH1292" s="65"/>
      <c r="BI1292" s="65"/>
      <c r="BJ1292" s="65"/>
      <c r="BK1292" s="65"/>
      <c r="BL1292" s="99"/>
      <c r="BM1292" s="99"/>
      <c r="BN1292" s="99"/>
    </row>
    <row r="1293" spans="1:66" s="51" customFormat="1" ht="19.5" thickBot="1" x14ac:dyDescent="0.3">
      <c r="A1293" s="686" t="s">
        <v>389</v>
      </c>
      <c r="B1293" s="73"/>
      <c r="C1293" s="708"/>
      <c r="D1293" s="73"/>
      <c r="E1293" s="73"/>
      <c r="F1293" s="496"/>
      <c r="G1293" s="73"/>
      <c r="H1293" s="73"/>
      <c r="I1293" s="73"/>
      <c r="J1293" s="497" t="s">
        <v>357</v>
      </c>
      <c r="K1293" s="498"/>
      <c r="L1293" s="562"/>
      <c r="M1293" s="73"/>
      <c r="N1293"/>
      <c r="O1293"/>
      <c r="P1293"/>
      <c r="Q1293"/>
      <c r="R1293"/>
      <c r="S1293"/>
      <c r="T1293" s="102">
        <f t="shared" si="932"/>
        <v>0</v>
      </c>
      <c r="U1293" s="78" t="str">
        <f>IF(NOT(ISNUMBER(G1293)), "", VLOOKUP(A1293,'Discount Lookup'!D:E,2,FALSE)*G1293)</f>
        <v/>
      </c>
      <c r="V1293" s="78" t="str">
        <f>IF(NOT(ISNUMBER(G1293)), "", VLOOKUP(A1293,'Discount Lookup'!G:H,2,FALSE)*G1293)</f>
        <v/>
      </c>
      <c r="W1293" s="102">
        <f t="shared" si="933"/>
        <v>0</v>
      </c>
      <c r="X1293" s="102">
        <f t="shared" si="934"/>
        <v>0</v>
      </c>
      <c r="Y1293" s="120" t="b">
        <f t="shared" si="935"/>
        <v>0</v>
      </c>
      <c r="Z1293" s="117">
        <f t="shared" si="936"/>
        <v>0</v>
      </c>
      <c r="AA1293" s="118"/>
      <c r="AB1293" s="118" t="str">
        <f t="shared" si="937"/>
        <v/>
      </c>
      <c r="AC1293" s="712" t="str">
        <f>IF(AE1293="T2G","no charge",IF(AND(OR(PlanterYesMe="No",PlanterYesMe="N",PlanterYesMe="me"),H1293=""),"",IF(H1293="credit","NO install",IF(AND(K1293="",AE1293="me"),"EACH row",IF(AND(K1293="images",AE1293="me"),"EACH row",IF(D1293="","",IF(H1293="credit","",IF(AE1293="free","re-planting",IF(AE1293="me","   not ELP, by",IF(AND(OR(PlanterYesMe="Yes",PlanterYesMe="Y"),G1293&gt;0),(VLOOKUP(A1293,'Discount Lookup'!J:K,2)*G1293*(1-PlanterDiscount)*(1+PlanterDifficultyPercentage)),IF(AE1293="ELP",(VLOOKUP(A1293,'Discount Lookup'!J:K,2)*G1293*(1-PlanterDiscount)*(1+PlanterDifficultyPercentage)),IF(AE1293="free","re-planting",IF(G1293=0,"",IF(PlanterYesMe="",IF(AE1293="me","   not ELP, by",IF(AE1293="",IF(G1293&gt;0,(VLOOKUP(A1293,'Discount Lookup'!J:K,2)*G1293*(1-PlanterDiscount)*(1+PlanterDifficultyPercentage)),""),"")),"   not ELP, by"))))))))))))))</f>
        <v/>
      </c>
      <c r="AD1293" s="712"/>
      <c r="AE1293" s="513" t="str">
        <f t="shared" si="938"/>
        <v/>
      </c>
      <c r="AF1293" s="713" t="str">
        <f t="shared" si="939"/>
        <v/>
      </c>
      <c r="AG1293" s="713"/>
      <c r="AH1293" s="713"/>
      <c r="AI1293" s="112">
        <f>IF(H1293="credit",0,IF(AE1293="free",0,IF(AE1293="me",0,IF(G1293&gt;0,(VLOOKUP(A1293,'Discount Lookup'!J:K,2)*G1293),0))))</f>
        <v>0</v>
      </c>
      <c r="AJ1293" s="107" t="str">
        <f t="shared" ca="1" si="940"/>
        <v/>
      </c>
      <c r="AK1293" s="714" t="str">
        <f t="shared" si="941"/>
        <v/>
      </c>
      <c r="AL1293" s="714"/>
      <c r="AM1293" s="114" t="str">
        <f t="shared" si="942"/>
        <v/>
      </c>
      <c r="AN1293" s="115"/>
      <c r="AO1293" s="116"/>
      <c r="AP1293" s="116"/>
      <c r="AQ1293" s="116"/>
      <c r="AR1293" s="116"/>
      <c r="AS1293" s="116"/>
      <c r="AT1293" s="116"/>
      <c r="AU1293" s="116"/>
      <c r="AV1293" s="78"/>
      <c r="AW1293" s="102"/>
      <c r="AX1293" s="78"/>
      <c r="AY1293" s="78"/>
      <c r="AZ1293" s="78"/>
      <c r="BA1293" s="78"/>
      <c r="BB1293" s="78"/>
      <c r="BC1293" s="78"/>
      <c r="BD1293" s="78"/>
      <c r="BE1293" s="465"/>
      <c r="BF1293" s="165" t="str">
        <f t="shared" si="943"/>
        <v>https://www.google.com/search?tbm=isch&amp;q=Cornus%20%3D%20Dogwood%20</v>
      </c>
      <c r="BG1293" s="165" t="str">
        <f t="shared" si="944"/>
        <v>C</v>
      </c>
      <c r="BH1293" s="65"/>
      <c r="BI1293" s="65"/>
      <c r="BJ1293" s="65"/>
      <c r="BK1293" s="65"/>
      <c r="BL1293" s="99"/>
      <c r="BM1293" s="99"/>
      <c r="BN1293" s="99"/>
    </row>
    <row r="1294" spans="1:66" s="51" customFormat="1" ht="18" x14ac:dyDescent="0.25">
      <c r="A1294" s="623" t="s">
        <v>4706</v>
      </c>
      <c r="B1294" s="624"/>
      <c r="C1294" s="709"/>
      <c r="D1294" s="625" t="s">
        <v>4707</v>
      </c>
      <c r="E1294" s="626"/>
      <c r="F1294" s="626"/>
      <c r="G1294" s="626"/>
      <c r="H1294" s="622" t="s">
        <v>1158</v>
      </c>
      <c r="I1294" s="627" t="s">
        <v>350</v>
      </c>
      <c r="J1294" s="628"/>
      <c r="K1294" s="628"/>
      <c r="L1294" s="629"/>
      <c r="M1294" s="700" t="s">
        <v>5249</v>
      </c>
      <c r="N1294" s="693" t="str">
        <f>IF(AND(ISTEXT($A1294), ISERROR($A1294+0)), HYPERLINK($BF1294, "Images"), "")</f>
        <v>Images</v>
      </c>
      <c r="O1294" s="695" t="s">
        <v>5247</v>
      </c>
      <c r="P1294" s="630"/>
      <c r="Q1294" s="631"/>
      <c r="R1294" s="632"/>
      <c r="S1294" s="633" t="s">
        <v>294</v>
      </c>
      <c r="T1294" s="102">
        <f t="shared" si="932"/>
        <v>0</v>
      </c>
      <c r="U1294" s="78" t="str">
        <f>IF(NOT(ISNUMBER(G1294)), "", VLOOKUP(A1294,'Discount Lookup'!D:E,2,FALSE)*G1294)</f>
        <v/>
      </c>
      <c r="V1294" s="78" t="str">
        <f>IF(NOT(ISNUMBER(G1294)), "", VLOOKUP(A1294,'Discount Lookup'!G:H,2,FALSE)*G1294)</f>
        <v/>
      </c>
      <c r="W1294" s="102">
        <f t="shared" si="933"/>
        <v>0</v>
      </c>
      <c r="X1294" s="102" t="str">
        <f t="shared" si="934"/>
        <v>Creamy White bloom</v>
      </c>
      <c r="Y1294" s="120" t="b">
        <f t="shared" si="935"/>
        <v>0</v>
      </c>
      <c r="Z1294" s="117">
        <f t="shared" si="936"/>
        <v>0</v>
      </c>
      <c r="AA1294" s="118"/>
      <c r="AB1294" s="118" t="str">
        <f t="shared" si="937"/>
        <v/>
      </c>
      <c r="AC1294" s="712" t="str">
        <f>IF(AE1294="T2G","no charge",IF(AND(OR(PlanterYesMe="No",PlanterYesMe="N",PlanterYesMe="me"),H1294=""),"",IF(H1294="credit","NO install",IF(AND(K1294="",AE1294="me"),"EACH row",IF(AND(K1294="images",AE1294="me"),"EACH row",IF(D1294="","",IF(H1294="credit","",IF(AE1294="free","re-planting",IF(AE1294="me","   not ELP, by",IF(AND(OR(PlanterYesMe="Yes",PlanterYesMe="Y"),G1294&gt;0),(VLOOKUP(A1294,'Discount Lookup'!J:K,2)*G1294*(1-PlanterDiscount)*(1+PlanterDifficultyPercentage)),IF(AE1294="ELP",(VLOOKUP(A1294,'Discount Lookup'!J:K,2)*G1294*(1-PlanterDiscount)*(1+PlanterDifficultyPercentage)),IF(AE1294="free","re-planting",IF(G1294=0,"",IF(PlanterYesMe="",IF(AE1294="me","   not ELP, by",IF(AE1294="",IF(G1294&gt;0,(VLOOKUP(A1294,'Discount Lookup'!J:K,2)*G1294*(1-PlanterDiscount)*(1+PlanterDifficultyPercentage)),""),"")),"   not ELP, by"))))))))))))))</f>
        <v/>
      </c>
      <c r="AD1294" s="712"/>
      <c r="AE1294" s="513" t="str">
        <f t="shared" si="938"/>
        <v/>
      </c>
      <c r="AF1294" s="713" t="str">
        <f t="shared" si="939"/>
        <v/>
      </c>
      <c r="AG1294" s="713"/>
      <c r="AH1294" s="713"/>
      <c r="AI1294" s="112">
        <f>IF(H1294="credit",0,IF(AE1294="free",0,IF(AE1294="me",0,IF(G1294&gt;0,(VLOOKUP(A1294,'Discount Lookup'!J:K,2)*G1294),0))))</f>
        <v>0</v>
      </c>
      <c r="AJ1294" s="107" t="str">
        <f t="shared" ca="1" si="940"/>
        <v/>
      </c>
      <c r="AK1294" s="714" t="str">
        <f t="shared" si="941"/>
        <v/>
      </c>
      <c r="AL1294" s="714"/>
      <c r="AM1294" s="114" t="str">
        <f t="shared" si="942"/>
        <v/>
      </c>
      <c r="AN1294" s="115"/>
      <c r="AO1294" s="116"/>
      <c r="AP1294" s="116"/>
      <c r="AQ1294" s="116"/>
      <c r="AR1294" s="116"/>
      <c r="AS1294" s="116"/>
      <c r="AT1294" s="116"/>
      <c r="AU1294" s="116"/>
      <c r="AV1294" s="78"/>
      <c r="AW1294" s="102"/>
      <c r="AX1294" s="78"/>
      <c r="AY1294" s="78"/>
      <c r="AZ1294" s="78"/>
      <c r="BA1294" s="78"/>
      <c r="BB1294" s="78"/>
      <c r="BC1294" s="78"/>
      <c r="BD1294" s="78"/>
      <c r="BE1294" s="465"/>
      <c r="BF1294" s="165" t="str">
        <f t="shared" si="943"/>
        <v>https://www.google.com/search?tbm=isch&amp;q=Cornus%20florida%20%27Super%20Princess%27%20Super%20Princess%20Dogwood</v>
      </c>
      <c r="BG1294" s="165" t="str">
        <f t="shared" si="944"/>
        <v>C</v>
      </c>
      <c r="BH1294" s="65"/>
      <c r="BI1294" s="65"/>
      <c r="BJ1294" s="65"/>
      <c r="BK1294" s="65"/>
      <c r="BL1294" s="99"/>
      <c r="BM1294" s="99"/>
      <c r="BN1294" s="99"/>
    </row>
    <row r="1295" spans="1:66" s="51" customFormat="1" ht="15.75" x14ac:dyDescent="0.25">
      <c r="A1295" s="634">
        <v>7</v>
      </c>
      <c r="B1295" s="635" t="s">
        <v>291</v>
      </c>
      <c r="C1295" s="636" t="s">
        <v>5158</v>
      </c>
      <c r="D1295" s="637" t="s">
        <v>299</v>
      </c>
      <c r="E1295" s="638">
        <v>104.95</v>
      </c>
      <c r="F1295" s="639" t="s">
        <v>292</v>
      </c>
      <c r="G1295" s="484">
        <v>0</v>
      </c>
      <c r="H1295" s="691" t="str">
        <f>IF(G1295=0,"",IF(F1295="Buy",IF(G1295=1,"plant","plants"),IF(F1295&gt;0.01,"warranty","Error")))</f>
        <v/>
      </c>
      <c r="I1295" s="640">
        <f>IF(H1295="free",0,IF(H1295="credit",((E1295*(F1295))*G1295*-1),IF(F1295="Buy",(E1295*G1295),((E1295*(1-F1295))*G1295))))</f>
        <v>0</v>
      </c>
      <c r="J1295" s="640">
        <f>IF(H1295="warranty",0,(I1295*(_xlfn.SINGLE(SalesTaxPercentage))))</f>
        <v>0</v>
      </c>
      <c r="K1295" s="716">
        <f t="shared" ref="K1295" si="965">I1295+J1295</f>
        <v>0</v>
      </c>
      <c r="L1295" s="716"/>
      <c r="M1295" s="689" t="str">
        <f ca="1">IF(AND(G1295&gt;0,E1295=0),"WARNING - no PRICE inserted",IF(H1295="free","FREE ~ no charge this plant",IF(H1295="credit",CONCATENATE("-$",ROUND(K1295*(1-_xlfn.SINGLE(T2GDiscount))*-1,2)," CREDIT after discount"),IF(_xlfn.SINGLE(T2GDiscount)=0,"",IF(G1295=0,"",IF(F1295="Buy",CONCATENATE("$",ROUND(K1295*(1-_xlfn.SINGLE(T2GDiscount)),2)," with ",(_xlfn.SINGLE(T2GDiscount)*100),"% discount"),CONCATENATE("$",ROUND(K1295*(1-_xlfn.SINGLE(T2GDiscount)),2)," with ",((_xlfn.SINGLE(T2GDiscount)*100+F1295*100)-(_xlfn.SINGLE(T2GDiscount)*100*F1295)),IF(F1295&gt;0,"% discounts",IF(_xlfn.SINGLE(NoWarrantyDiscount)&gt;0,"% discounts","% discount")))))))))</f>
        <v/>
      </c>
      <c r="N1295" s="690"/>
      <c r="O1295" s="486"/>
      <c r="P1295" s="486"/>
      <c r="Q1295" s="486"/>
      <c r="R1295" s="486"/>
      <c r="S1295" s="486"/>
      <c r="T1295" s="102">
        <f t="shared" si="932"/>
        <v>0</v>
      </c>
      <c r="U1295" s="78">
        <f>IF(NOT(ISNUMBER(G1295)), "", VLOOKUP(A1295,'Discount Lookup'!D:E,2,FALSE)*G1295)</f>
        <v>0</v>
      </c>
      <c r="V1295" s="78">
        <f>IF(NOT(ISNUMBER(G1295)), "", VLOOKUP(A1295,'Discount Lookup'!G:H,2,FALSE)*G1295)</f>
        <v>0</v>
      </c>
      <c r="W1295" s="102">
        <f t="shared" si="933"/>
        <v>0</v>
      </c>
      <c r="X1295" s="102">
        <f t="shared" si="934"/>
        <v>0</v>
      </c>
      <c r="Y1295" s="120" t="b">
        <f t="shared" si="935"/>
        <v>0</v>
      </c>
      <c r="Z1295" s="117">
        <f t="shared" si="936"/>
        <v>0</v>
      </c>
      <c r="AA1295" s="118"/>
      <c r="AB1295" s="118" t="str">
        <f t="shared" si="937"/>
        <v/>
      </c>
      <c r="AC1295" s="712" t="str">
        <f>IF(AE1295="T2G","no charge",IF(AND(OR(PlanterYesMe="No",PlanterYesMe="N",PlanterYesMe="me"),H1295=""),"",IF(H1295="credit","NO install",IF(AND(K1295="",AE1295="me"),"EACH row",IF(AND(K1295="images",AE1295="me"),"EACH row",IF(D1295="","",IF(H1295="credit","",IF(AE1295="free","re-planting",IF(AE1295="me","   not ELP, by",IF(AND(OR(PlanterYesMe="Yes",PlanterYesMe="Y"),G1295&gt;0),(VLOOKUP(A1295,'Discount Lookup'!J:K,2)*G1295*(1-PlanterDiscount)*(1+PlanterDifficultyPercentage)),IF(AE1295="ELP",(VLOOKUP(A1295,'Discount Lookup'!J:K,2)*G1295*(1-PlanterDiscount)*(1+PlanterDifficultyPercentage)),IF(AE1295="free","re-planting",IF(G1295=0,"",IF(PlanterYesMe="",IF(AE1295="me","   not ELP, by",IF(AE1295="",IF(G1295&gt;0,(VLOOKUP(A1295,'Discount Lookup'!J:K,2)*G1295*(1-PlanterDiscount)*(1+PlanterDifficultyPercentage)),""),"")),"   not ELP, by"))))))))))))))</f>
        <v/>
      </c>
      <c r="AD1295" s="712"/>
      <c r="AE1295" s="513" t="str">
        <f t="shared" si="938"/>
        <v/>
      </c>
      <c r="AF1295" s="713" t="str">
        <f t="shared" si="939"/>
        <v/>
      </c>
      <c r="AG1295" s="713"/>
      <c r="AH1295" s="713"/>
      <c r="AI1295" s="112">
        <f>IF(H1295="credit",0,IF(AE1295="free",0,IF(AE1295="me",0,IF(G1295&gt;0,(VLOOKUP(A1295,'Discount Lookup'!J:K,2)*G1295),0))))</f>
        <v>0</v>
      </c>
      <c r="AJ1295" s="107" t="str">
        <f t="shared" ca="1" si="940"/>
        <v/>
      </c>
      <c r="AK1295" s="714" t="str">
        <f t="shared" si="941"/>
        <v/>
      </c>
      <c r="AL1295" s="714"/>
      <c r="AM1295" s="114" t="str">
        <f t="shared" si="942"/>
        <v/>
      </c>
      <c r="AN1295" s="115"/>
      <c r="AO1295" s="116"/>
      <c r="AP1295" s="116"/>
      <c r="AQ1295" s="116"/>
      <c r="AR1295" s="116"/>
      <c r="AS1295" s="116"/>
      <c r="AT1295" s="116"/>
      <c r="AU1295" s="116"/>
      <c r="AV1295" s="78"/>
      <c r="AW1295" s="102"/>
      <c r="AX1295" s="78"/>
      <c r="AY1295" s="78"/>
      <c r="AZ1295" s="78"/>
      <c r="BA1295" s="78"/>
      <c r="BB1295" s="78"/>
      <c r="BC1295" s="78"/>
      <c r="BD1295" s="78"/>
      <c r="BE1295" s="465"/>
      <c r="BF1295" s="165" t="str">
        <f t="shared" si="943"/>
        <v>https://www.google.com/search?tbm=isch&amp;q=7%20G4</v>
      </c>
      <c r="BG1295" s="165" t="str">
        <f t="shared" si="944"/>
        <v>C</v>
      </c>
      <c r="BH1295" s="65"/>
      <c r="BI1295" s="65"/>
      <c r="BJ1295" s="65"/>
      <c r="BK1295" s="65"/>
      <c r="BL1295" s="99"/>
      <c r="BM1295" s="99"/>
      <c r="BN1295" s="99"/>
    </row>
    <row r="1296" spans="1:66" s="51" customFormat="1" ht="17.25" thickBot="1" x14ac:dyDescent="0.3">
      <c r="A1296" s="641" t="s">
        <v>4708</v>
      </c>
      <c r="B1296" s="642"/>
      <c r="C1296" s="710"/>
      <c r="D1296" s="643"/>
      <c r="E1296" s="643"/>
      <c r="F1296" s="644"/>
      <c r="G1296" s="645"/>
      <c r="H1296" s="646"/>
      <c r="I1296" s="647"/>
      <c r="J1296" s="648"/>
      <c r="K1296" s="649"/>
      <c r="L1296" s="650"/>
      <c r="M1296" s="650"/>
      <c r="N1296" s="644"/>
      <c r="O1296" s="644"/>
      <c r="P1296" s="644"/>
      <c r="Q1296" s="644"/>
      <c r="R1296" s="644"/>
      <c r="S1296" s="701" t="s">
        <v>5271</v>
      </c>
      <c r="T1296" s="102">
        <f t="shared" si="932"/>
        <v>0</v>
      </c>
      <c r="U1296" s="78" t="str">
        <f>IF(NOT(ISNUMBER(G1296)), "", VLOOKUP(A1296,'Discount Lookup'!D:E,2,FALSE)*G1296)</f>
        <v/>
      </c>
      <c r="V1296" s="78" t="str">
        <f>IF(NOT(ISNUMBER(G1296)), "", VLOOKUP(A1296,'Discount Lookup'!G:H,2,FALSE)*G1296)</f>
        <v/>
      </c>
      <c r="W1296" s="102">
        <f t="shared" si="933"/>
        <v>0</v>
      </c>
      <c r="X1296" s="102">
        <f t="shared" si="934"/>
        <v>0</v>
      </c>
      <c r="Y1296" s="120" t="b">
        <f t="shared" si="935"/>
        <v>0</v>
      </c>
      <c r="Z1296" s="117">
        <f t="shared" si="936"/>
        <v>0</v>
      </c>
      <c r="AA1296" s="118"/>
      <c r="AB1296" s="118" t="str">
        <f t="shared" si="937"/>
        <v/>
      </c>
      <c r="AC1296" s="712" t="str">
        <f>IF(AE1296="T2G","no charge",IF(AND(OR(PlanterYesMe="No",PlanterYesMe="N",PlanterYesMe="me"),H1296=""),"",IF(H1296="credit","NO install",IF(AND(K1296="",AE1296="me"),"EACH row",IF(AND(K1296="images",AE1296="me"),"EACH row",IF(D1296="","",IF(H1296="credit","",IF(AE1296="free","re-planting",IF(AE1296="me","   not ELP, by",IF(AND(OR(PlanterYesMe="Yes",PlanterYesMe="Y"),G1296&gt;0),(VLOOKUP(A1296,'Discount Lookup'!J:K,2)*G1296*(1-PlanterDiscount)*(1+PlanterDifficultyPercentage)),IF(AE1296="ELP",(VLOOKUP(A1296,'Discount Lookup'!J:K,2)*G1296*(1-PlanterDiscount)*(1+PlanterDifficultyPercentage)),IF(AE1296="free","re-planting",IF(G1296=0,"",IF(PlanterYesMe="",IF(AE1296="me","   not ELP, by",IF(AE1296="",IF(G1296&gt;0,(VLOOKUP(A1296,'Discount Lookup'!J:K,2)*G1296*(1-PlanterDiscount)*(1+PlanterDifficultyPercentage)),""),"")),"   not ELP, by"))))))))))))))</f>
        <v/>
      </c>
      <c r="AD1296" s="712"/>
      <c r="AE1296" s="513" t="str">
        <f t="shared" si="938"/>
        <v/>
      </c>
      <c r="AF1296" s="713" t="str">
        <f t="shared" si="939"/>
        <v/>
      </c>
      <c r="AG1296" s="713"/>
      <c r="AH1296" s="713"/>
      <c r="AI1296" s="112">
        <f>IF(H1296="credit",0,IF(AE1296="free",0,IF(AE1296="me",0,IF(G1296&gt;0,(VLOOKUP(A1296,'Discount Lookup'!J:K,2)*G1296),0))))</f>
        <v>0</v>
      </c>
      <c r="AJ1296" s="107" t="str">
        <f t="shared" ca="1" si="940"/>
        <v/>
      </c>
      <c r="AK1296" s="714" t="str">
        <f t="shared" si="941"/>
        <v/>
      </c>
      <c r="AL1296" s="714"/>
      <c r="AM1296" s="114" t="str">
        <f t="shared" si="942"/>
        <v/>
      </c>
      <c r="AN1296" s="115"/>
      <c r="AO1296" s="116"/>
      <c r="AP1296" s="116"/>
      <c r="AQ1296" s="116"/>
      <c r="AR1296" s="116"/>
      <c r="AS1296" s="116"/>
      <c r="AT1296" s="116"/>
      <c r="AU1296" s="116"/>
      <c r="AV1296" s="78"/>
      <c r="AW1296" s="102"/>
      <c r="AX1296" s="78"/>
      <c r="AY1296" s="78"/>
      <c r="AZ1296" s="78"/>
      <c r="BA1296" s="78"/>
      <c r="BB1296" s="78"/>
      <c r="BC1296" s="78"/>
      <c r="BD1296" s="78"/>
      <c r="BE1296" s="465"/>
      <c r="BF1296" s="165" t="str">
        <f t="shared" si="943"/>
        <v>https://www.google.com/search?tbm=isch&amp;q=Super%20Princess%20is%20bred%20for%20extra-large%20white%20bracts%2C%20vigorous%20growth%2C%20and%20brilliant%20Red%20to%20Burgundy%20fall%20color%20</v>
      </c>
      <c r="BG1296" s="165" t="str">
        <f t="shared" si="944"/>
        <v>S</v>
      </c>
      <c r="BH1296" s="65"/>
      <c r="BI1296" s="65"/>
      <c r="BJ1296" s="65"/>
      <c r="BK1296" s="65"/>
      <c r="BL1296" s="99"/>
      <c r="BM1296" s="99"/>
      <c r="BN1296" s="99"/>
    </row>
    <row r="1297" spans="1:66" s="51" customFormat="1" ht="18" x14ac:dyDescent="0.25">
      <c r="A1297" s="623" t="s">
        <v>2285</v>
      </c>
      <c r="B1297" s="624"/>
      <c r="C1297" s="709"/>
      <c r="D1297" s="625" t="s">
        <v>2286</v>
      </c>
      <c r="E1297" s="626"/>
      <c r="F1297" s="626"/>
      <c r="G1297" s="626"/>
      <c r="H1297" s="622" t="s">
        <v>2287</v>
      </c>
      <c r="I1297" s="627" t="s">
        <v>349</v>
      </c>
      <c r="J1297" s="628"/>
      <c r="K1297" s="628"/>
      <c r="L1297" s="629"/>
      <c r="M1297" s="700" t="s">
        <v>5249</v>
      </c>
      <c r="N1297" s="693" t="str">
        <f>IF(AND(ISTEXT($A1297), ISERROR($A1297+0)), HYPERLINK($BF1297, "Images"), "")</f>
        <v>Images</v>
      </c>
      <c r="O1297" s="695" t="s">
        <v>5247</v>
      </c>
      <c r="P1297" s="630"/>
      <c r="Q1297" s="631"/>
      <c r="R1297" s="632"/>
      <c r="S1297" s="633"/>
      <c r="T1297" s="102">
        <f t="shared" si="932"/>
        <v>0</v>
      </c>
      <c r="U1297" s="78" t="str">
        <f>IF(NOT(ISNUMBER(G1297)), "", VLOOKUP(A1297,'Discount Lookup'!D:E,2,FALSE)*G1297)</f>
        <v/>
      </c>
      <c r="V1297" s="78" t="str">
        <f>IF(NOT(ISNUMBER(G1297)), "", VLOOKUP(A1297,'Discount Lookup'!G:H,2,FALSE)*G1297)</f>
        <v/>
      </c>
      <c r="W1297" s="102">
        <f t="shared" si="933"/>
        <v>0</v>
      </c>
      <c r="X1297" s="102" t="str">
        <f t="shared" si="934"/>
        <v>White bloom</v>
      </c>
      <c r="Y1297" s="120" t="b">
        <f t="shared" si="935"/>
        <v>0</v>
      </c>
      <c r="Z1297" s="117">
        <f t="shared" si="936"/>
        <v>0</v>
      </c>
      <c r="AA1297" s="118"/>
      <c r="AB1297" s="118" t="str">
        <f t="shared" si="937"/>
        <v/>
      </c>
      <c r="AC1297" s="712" t="str">
        <f>IF(AE1297="T2G","no charge",IF(AND(OR(PlanterYesMe="No",PlanterYesMe="N",PlanterYesMe="me"),H1297=""),"",IF(H1297="credit","NO install",IF(AND(K1297="",AE1297="me"),"EACH row",IF(AND(K1297="images",AE1297="me"),"EACH row",IF(D1297="","",IF(H1297="credit","",IF(AE1297="free","re-planting",IF(AE1297="me","   not ELP, by",IF(AND(OR(PlanterYesMe="Yes",PlanterYesMe="Y"),G1297&gt;0),(VLOOKUP(A1297,'Discount Lookup'!J:K,2)*G1297*(1-PlanterDiscount)*(1+PlanterDifficultyPercentage)),IF(AE1297="ELP",(VLOOKUP(A1297,'Discount Lookup'!J:K,2)*G1297*(1-PlanterDiscount)*(1+PlanterDifficultyPercentage)),IF(AE1297="free","re-planting",IF(G1297=0,"",IF(PlanterYesMe="",IF(AE1297="me","   not ELP, by",IF(AE1297="",IF(G1297&gt;0,(VLOOKUP(A1297,'Discount Lookup'!J:K,2)*G1297*(1-PlanterDiscount)*(1+PlanterDifficultyPercentage)),""),"")),"   not ELP, by"))))))))))))))</f>
        <v/>
      </c>
      <c r="AD1297" s="712"/>
      <c r="AE1297" s="513" t="str">
        <f t="shared" si="938"/>
        <v/>
      </c>
      <c r="AF1297" s="713" t="str">
        <f t="shared" si="939"/>
        <v/>
      </c>
      <c r="AG1297" s="713"/>
      <c r="AH1297" s="713"/>
      <c r="AI1297" s="112">
        <f>IF(H1297="credit",0,IF(AE1297="free",0,IF(AE1297="me",0,IF(G1297&gt;0,(VLOOKUP(A1297,'Discount Lookup'!J:K,2)*G1297),0))))</f>
        <v>0</v>
      </c>
      <c r="AJ1297" s="107" t="str">
        <f t="shared" ca="1" si="940"/>
        <v/>
      </c>
      <c r="AK1297" s="714" t="str">
        <f t="shared" si="941"/>
        <v/>
      </c>
      <c r="AL1297" s="714"/>
      <c r="AM1297" s="114" t="str">
        <f t="shared" si="942"/>
        <v/>
      </c>
      <c r="AN1297" s="115"/>
      <c r="AO1297" s="116"/>
      <c r="AP1297" s="116"/>
      <c r="AQ1297" s="116"/>
      <c r="AR1297" s="116"/>
      <c r="AS1297" s="116"/>
      <c r="AT1297" s="116"/>
      <c r="AU1297" s="116"/>
      <c r="AV1297" s="78"/>
      <c r="AW1297" s="102"/>
      <c r="AX1297" s="78"/>
      <c r="AY1297" s="78"/>
      <c r="AZ1297" s="78"/>
      <c r="BA1297" s="78"/>
      <c r="BB1297" s="78"/>
      <c r="BC1297" s="78"/>
      <c r="BD1297" s="78"/>
      <c r="BE1297" s="465"/>
      <c r="BF1297" s="165" t="str">
        <f t="shared" si="943"/>
        <v>https://www.google.com/search?tbm=isch&amp;q=Cornus%20%27KN30-8%27%20PP%2316309%20Venus%20Dogwood</v>
      </c>
      <c r="BG1297" s="165" t="str">
        <f t="shared" si="944"/>
        <v>C</v>
      </c>
      <c r="BH1297" s="65"/>
      <c r="BI1297" s="65"/>
      <c r="BJ1297" s="65"/>
      <c r="BK1297" s="65"/>
      <c r="BL1297" s="99"/>
      <c r="BM1297" s="99"/>
      <c r="BN1297" s="99"/>
    </row>
    <row r="1298" spans="1:66" s="51" customFormat="1" ht="15.75" x14ac:dyDescent="0.25">
      <c r="A1298" s="634">
        <v>3</v>
      </c>
      <c r="B1298" s="635" t="s">
        <v>291</v>
      </c>
      <c r="C1298" s="636" t="s">
        <v>2288</v>
      </c>
      <c r="D1298" s="637" t="s">
        <v>299</v>
      </c>
      <c r="E1298" s="638">
        <v>54.95</v>
      </c>
      <c r="F1298" s="639" t="s">
        <v>292</v>
      </c>
      <c r="G1298" s="484">
        <v>0</v>
      </c>
      <c r="H1298" s="691" t="str">
        <f>IF(G1298=0,"",IF(F1298="Buy",IF(G1298=1,"plant","plants"),IF(F1298&gt;0.01,"warranty","Error")))</f>
        <v/>
      </c>
      <c r="I1298" s="640">
        <f>IF(H1298="free",0,IF(H1298="credit",((E1298*(F1298))*G1298*-1),IF(F1298="Buy",(E1298*G1298),((E1298*(1-F1298))*G1298))))</f>
        <v>0</v>
      </c>
      <c r="J1298" s="640">
        <f>IF(H1298="warranty",0,(I1298*(_xlfn.SINGLE(SalesTaxPercentage))))</f>
        <v>0</v>
      </c>
      <c r="K1298" s="716">
        <f t="shared" ref="K1298" si="966">I1298+J1298</f>
        <v>0</v>
      </c>
      <c r="L1298" s="716"/>
      <c r="M1298" s="689" t="str">
        <f ca="1">IF(AND(G1298&gt;0,E1298=0),"WARNING - no PRICE inserted",IF(H1298="free","FREE ~ no charge this plant",IF(H1298="credit",CONCATENATE("-$",ROUND(K1298*(1-_xlfn.SINGLE(T2GDiscount))*-1,2)," CREDIT after discount"),IF(_xlfn.SINGLE(T2GDiscount)=0,"",IF(G1298=0,"",IF(F1298="Buy",CONCATENATE("$",ROUND(K1298*(1-_xlfn.SINGLE(T2GDiscount)),2)," with ",(_xlfn.SINGLE(T2GDiscount)*100),"% discount"),CONCATENATE("$",ROUND(K1298*(1-_xlfn.SINGLE(T2GDiscount)),2)," with ",((_xlfn.SINGLE(T2GDiscount)*100+F1298*100)-(_xlfn.SINGLE(T2GDiscount)*100*F1298)),IF(F1298&gt;0,"% discounts",IF(_xlfn.SINGLE(NoWarrantyDiscount)&gt;0,"% discounts","% discount")))))))))</f>
        <v/>
      </c>
      <c r="N1298" s="690"/>
      <c r="O1298" s="486"/>
      <c r="P1298" s="486"/>
      <c r="Q1298" s="486"/>
      <c r="R1298" s="486"/>
      <c r="S1298" s="486"/>
      <c r="T1298" s="102">
        <f t="shared" si="932"/>
        <v>0</v>
      </c>
      <c r="U1298" s="78">
        <f>IF(NOT(ISNUMBER(G1298)), "", VLOOKUP(A1298,'Discount Lookup'!D:E,2,FALSE)*G1298)</f>
        <v>0</v>
      </c>
      <c r="V1298" s="78">
        <f>IF(NOT(ISNUMBER(G1298)), "", VLOOKUP(A1298,'Discount Lookup'!G:H,2,FALSE)*G1298)</f>
        <v>0</v>
      </c>
      <c r="W1298" s="102">
        <f t="shared" si="933"/>
        <v>0</v>
      </c>
      <c r="X1298" s="102">
        <f t="shared" si="934"/>
        <v>0</v>
      </c>
      <c r="Y1298" s="120" t="b">
        <f t="shared" si="935"/>
        <v>0</v>
      </c>
      <c r="Z1298" s="117">
        <f t="shared" si="936"/>
        <v>0</v>
      </c>
      <c r="AA1298" s="118"/>
      <c r="AB1298" s="118" t="str">
        <f t="shared" si="937"/>
        <v/>
      </c>
      <c r="AC1298" s="712" t="str">
        <f>IF(AE1298="T2G","no charge",IF(AND(OR(PlanterYesMe="No",PlanterYesMe="N",PlanterYesMe="me"),H1298=""),"",IF(H1298="credit","NO install",IF(AND(K1298="",AE1298="me"),"EACH row",IF(AND(K1298="images",AE1298="me"),"EACH row",IF(D1298="","",IF(H1298="credit","",IF(AE1298="free","re-planting",IF(AE1298="me","   not ELP, by",IF(AND(OR(PlanterYesMe="Yes",PlanterYesMe="Y"),G1298&gt;0),(VLOOKUP(A1298,'Discount Lookup'!J:K,2)*G1298*(1-PlanterDiscount)*(1+PlanterDifficultyPercentage)),IF(AE1298="ELP",(VLOOKUP(A1298,'Discount Lookup'!J:K,2)*G1298*(1-PlanterDiscount)*(1+PlanterDifficultyPercentage)),IF(AE1298="free","re-planting",IF(G1298=0,"",IF(PlanterYesMe="",IF(AE1298="me","   not ELP, by",IF(AE1298="",IF(G1298&gt;0,(VLOOKUP(A1298,'Discount Lookup'!J:K,2)*G1298*(1-PlanterDiscount)*(1+PlanterDifficultyPercentage)),""),"")),"   not ELP, by"))))))))))))))</f>
        <v/>
      </c>
      <c r="AD1298" s="712"/>
      <c r="AE1298" s="513" t="str">
        <f t="shared" si="938"/>
        <v/>
      </c>
      <c r="AF1298" s="713" t="str">
        <f t="shared" si="939"/>
        <v/>
      </c>
      <c r="AG1298" s="713"/>
      <c r="AH1298" s="713"/>
      <c r="AI1298" s="112">
        <f>IF(H1298="credit",0,IF(AE1298="free",0,IF(AE1298="me",0,IF(G1298&gt;0,(VLOOKUP(A1298,'Discount Lookup'!J:K,2)*G1298),0))))</f>
        <v>0</v>
      </c>
      <c r="AJ1298" s="107" t="str">
        <f t="shared" ca="1" si="940"/>
        <v/>
      </c>
      <c r="AK1298" s="714" t="str">
        <f t="shared" si="941"/>
        <v/>
      </c>
      <c r="AL1298" s="714"/>
      <c r="AM1298" s="114" t="str">
        <f t="shared" si="942"/>
        <v/>
      </c>
      <c r="AN1298" s="115"/>
      <c r="AO1298" s="116"/>
      <c r="AP1298" s="116"/>
      <c r="AQ1298" s="116"/>
      <c r="AR1298" s="116"/>
      <c r="AS1298" s="116"/>
      <c r="AT1298" s="116"/>
      <c r="AU1298" s="116"/>
      <c r="AV1298" s="78"/>
      <c r="AW1298" s="102"/>
      <c r="AX1298" s="78"/>
      <c r="AY1298" s="78"/>
      <c r="AZ1298" s="78"/>
      <c r="BA1298" s="78"/>
      <c r="BB1298" s="78"/>
      <c r="BC1298" s="78"/>
      <c r="BD1298" s="78"/>
      <c r="BE1298" s="465"/>
      <c r="BF1298" s="165" t="str">
        <f t="shared" si="943"/>
        <v>https://www.google.com/search?tbm=isch&amp;q=3%20G4</v>
      </c>
      <c r="BG1298" s="165" t="str">
        <f t="shared" si="944"/>
        <v>C</v>
      </c>
      <c r="BH1298" s="65"/>
      <c r="BI1298" s="65"/>
      <c r="BJ1298" s="65"/>
      <c r="BK1298" s="65"/>
      <c r="BL1298" s="99"/>
      <c r="BM1298" s="99"/>
      <c r="BN1298" s="99"/>
    </row>
    <row r="1299" spans="1:66" s="51" customFormat="1" ht="17.25" thickBot="1" x14ac:dyDescent="0.3">
      <c r="A1299" s="641" t="s">
        <v>2289</v>
      </c>
      <c r="B1299" s="642"/>
      <c r="C1299" s="710"/>
      <c r="D1299" s="643"/>
      <c r="E1299" s="643"/>
      <c r="F1299" s="644"/>
      <c r="G1299" s="645"/>
      <c r="H1299" s="646"/>
      <c r="I1299" s="647"/>
      <c r="J1299" s="648"/>
      <c r="K1299" s="649"/>
      <c r="L1299" s="650"/>
      <c r="M1299" s="650"/>
      <c r="N1299" s="644"/>
      <c r="O1299" s="644"/>
      <c r="P1299" s="644"/>
      <c r="Q1299" s="644"/>
      <c r="R1299" s="644"/>
      <c r="S1299" s="701" t="s">
        <v>5271</v>
      </c>
      <c r="T1299" s="102">
        <f t="shared" si="932"/>
        <v>0</v>
      </c>
      <c r="U1299" s="78" t="str">
        <f>IF(NOT(ISNUMBER(G1299)), "", VLOOKUP(A1299,'Discount Lookup'!D:E,2,FALSE)*G1299)</f>
        <v/>
      </c>
      <c r="V1299" s="78" t="str">
        <f>IF(NOT(ISNUMBER(G1299)), "", VLOOKUP(A1299,'Discount Lookup'!G:H,2,FALSE)*G1299)</f>
        <v/>
      </c>
      <c r="W1299" s="102">
        <f t="shared" si="933"/>
        <v>0</v>
      </c>
      <c r="X1299" s="102">
        <f t="shared" si="934"/>
        <v>0</v>
      </c>
      <c r="Y1299" s="120" t="b">
        <f t="shared" si="935"/>
        <v>0</v>
      </c>
      <c r="Z1299" s="117">
        <f t="shared" si="936"/>
        <v>0</v>
      </c>
      <c r="AA1299" s="118"/>
      <c r="AB1299" s="118" t="str">
        <f t="shared" si="937"/>
        <v/>
      </c>
      <c r="AC1299" s="712" t="str">
        <f>IF(AE1299="T2G","no charge",IF(AND(OR(PlanterYesMe="No",PlanterYesMe="N",PlanterYesMe="me"),H1299=""),"",IF(H1299="credit","NO install",IF(AND(K1299="",AE1299="me"),"EACH row",IF(AND(K1299="images",AE1299="me"),"EACH row",IF(D1299="","",IF(H1299="credit","",IF(AE1299="free","re-planting",IF(AE1299="me","   not ELP, by",IF(AND(OR(PlanterYesMe="Yes",PlanterYesMe="Y"),G1299&gt;0),(VLOOKUP(A1299,'Discount Lookup'!J:K,2)*G1299*(1-PlanterDiscount)*(1+PlanterDifficultyPercentage)),IF(AE1299="ELP",(VLOOKUP(A1299,'Discount Lookup'!J:K,2)*G1299*(1-PlanterDiscount)*(1+PlanterDifficultyPercentage)),IF(AE1299="free","re-planting",IF(G1299=0,"",IF(PlanterYesMe="",IF(AE1299="me","   not ELP, by",IF(AE1299="",IF(G1299&gt;0,(VLOOKUP(A1299,'Discount Lookup'!J:K,2)*G1299*(1-PlanterDiscount)*(1+PlanterDifficultyPercentage)),""),"")),"   not ELP, by"))))))))))))))</f>
        <v/>
      </c>
      <c r="AD1299" s="712"/>
      <c r="AE1299" s="513" t="str">
        <f t="shared" si="938"/>
        <v/>
      </c>
      <c r="AF1299" s="713" t="str">
        <f t="shared" si="939"/>
        <v/>
      </c>
      <c r="AG1299" s="713"/>
      <c r="AH1299" s="713"/>
      <c r="AI1299" s="112">
        <f>IF(H1299="credit",0,IF(AE1299="free",0,IF(AE1299="me",0,IF(G1299&gt;0,(VLOOKUP(A1299,'Discount Lookup'!J:K,2)*G1299),0))))</f>
        <v>0</v>
      </c>
      <c r="AJ1299" s="107" t="str">
        <f t="shared" ca="1" si="940"/>
        <v/>
      </c>
      <c r="AK1299" s="714" t="str">
        <f t="shared" si="941"/>
        <v/>
      </c>
      <c r="AL1299" s="714"/>
      <c r="AM1299" s="114" t="str">
        <f t="shared" si="942"/>
        <v/>
      </c>
      <c r="AN1299" s="115"/>
      <c r="AO1299" s="116"/>
      <c r="AP1299" s="116"/>
      <c r="AQ1299" s="116"/>
      <c r="AR1299" s="116"/>
      <c r="AS1299" s="116"/>
      <c r="AT1299" s="116"/>
      <c r="AU1299" s="116"/>
      <c r="AV1299" s="78"/>
      <c r="AW1299" s="102"/>
      <c r="AX1299" s="78"/>
      <c r="AY1299" s="78"/>
      <c r="AZ1299" s="78"/>
      <c r="BA1299" s="78"/>
      <c r="BB1299" s="78"/>
      <c r="BC1299" s="78"/>
      <c r="BD1299" s="78"/>
      <c r="BE1299" s="465"/>
      <c r="BF1299" s="165" t="str">
        <f t="shared" si="943"/>
        <v>https://www.google.com/search?tbm=isch&amp;q=Venus%20is%20a%20vigorous%20grower%2C%20is%20rather%20disease%20resistant%2C%20and%20has%20very%20large%20flowers.%20Decorative%20red%20fruit%20in%20the%20fall%20</v>
      </c>
      <c r="BG1299" s="165" t="str">
        <f t="shared" si="944"/>
        <v>V</v>
      </c>
      <c r="BH1299" s="65"/>
      <c r="BI1299" s="65"/>
      <c r="BJ1299" s="65"/>
      <c r="BK1299" s="65"/>
      <c r="BL1299" s="99"/>
      <c r="BM1299" s="99"/>
      <c r="BN1299" s="99"/>
    </row>
    <row r="1300" spans="1:66" s="51" customFormat="1" ht="18" x14ac:dyDescent="0.25">
      <c r="A1300" s="623" t="s">
        <v>2290</v>
      </c>
      <c r="B1300" s="624"/>
      <c r="C1300" s="709"/>
      <c r="D1300" s="625" t="s">
        <v>2291</v>
      </c>
      <c r="E1300" s="626"/>
      <c r="F1300" s="626"/>
      <c r="G1300" s="626"/>
      <c r="H1300" s="622" t="s">
        <v>1506</v>
      </c>
      <c r="I1300" s="627" t="s">
        <v>349</v>
      </c>
      <c r="J1300" s="628"/>
      <c r="K1300" s="628"/>
      <c r="L1300" s="629"/>
      <c r="M1300" s="700" t="s">
        <v>5249</v>
      </c>
      <c r="N1300" s="693" t="str">
        <f>IF(AND(ISTEXT($A1300), ISERROR($A1300+0)), HYPERLINK($BF1300, "Images"), "")</f>
        <v>Images</v>
      </c>
      <c r="O1300" s="695" t="s">
        <v>5247</v>
      </c>
      <c r="P1300" s="630"/>
      <c r="Q1300" s="631"/>
      <c r="R1300" s="632"/>
      <c r="S1300" s="633"/>
      <c r="T1300" s="102">
        <f t="shared" ref="T1300:T1363" si="967">E1300*G1300</f>
        <v>0</v>
      </c>
      <c r="U1300" s="78" t="str">
        <f>IF(NOT(ISNUMBER(G1300)), "", VLOOKUP(A1300,'Discount Lookup'!D:E,2,FALSE)*G1300)</f>
        <v/>
      </c>
      <c r="V1300" s="78" t="str">
        <f>IF(NOT(ISNUMBER(G1300)), "", VLOOKUP(A1300,'Discount Lookup'!G:H,2,FALSE)*G1300)</f>
        <v/>
      </c>
      <c r="W1300" s="102">
        <f t="shared" ref="W1300:W1363" si="968">IF(H1300="credit",0,E1300*(SalesTaxPercentage)*G1300)</f>
        <v>0</v>
      </c>
      <c r="X1300" s="102" t="str">
        <f t="shared" ref="X1300:X1363" si="969">I1300</f>
        <v>White bloom</v>
      </c>
      <c r="Y1300" s="120" t="b">
        <f t="shared" ref="Y1300:Y1363" si="970">IF(AE1300="T2G",0,IF(H1300="credit",0,IF(G1300&gt;0,IF(AE1300="me","",G1300))))</f>
        <v>0</v>
      </c>
      <c r="Z1300" s="117">
        <f t="shared" ref="Z1300:Z1363" si="971">IF(H1300="credit",G1300,0)</f>
        <v>0</v>
      </c>
      <c r="AA1300" s="118"/>
      <c r="AB1300" s="118" t="str">
        <f t="shared" ref="AB1300:AB1363" si="972">IF(AE1300="T2G","by Trees2Go",IF(H1300="credit","CREDIT only ~",IF(AND(K1300="",AE1300=OR(PlanterYesMe="No",PlanterYesMe="N",PlanterYesMe="me")),"not THIS line⇨",IF(AND(K1300="images",AE1300="me"),"not THIS line⇨",IF(H1300="credit","",IF(G1300=0,"",IF(AE1300="me","",IF(OR(PlanterYesMe="No",PlanterYesMe="N",PlanterYesMe="me"),"",IF(AE1300="free","warranty",IF(OR(PlanterYesMe="yes",PlanterYesMe="y"),"Edison install:","to install:"))))))))))</f>
        <v/>
      </c>
      <c r="AC1300" s="712" t="str">
        <f>IF(AE1300="T2G","no charge",IF(AND(OR(PlanterYesMe="No",PlanterYesMe="N",PlanterYesMe="me"),H1300=""),"",IF(H1300="credit","NO install",IF(AND(K1300="",AE1300="me"),"EACH row",IF(AND(K1300="images",AE1300="me"),"EACH row",IF(D1300="","",IF(H1300="credit","",IF(AE1300="free","re-planting",IF(AE1300="me","   not ELP, by",IF(AND(OR(PlanterYesMe="Yes",PlanterYesMe="Y"),G1300&gt;0),(VLOOKUP(A1300,'Discount Lookup'!J:K,2)*G1300*(1-PlanterDiscount)*(1+PlanterDifficultyPercentage)),IF(AE1300="ELP",(VLOOKUP(A1300,'Discount Lookup'!J:K,2)*G1300*(1-PlanterDiscount)*(1+PlanterDifficultyPercentage)),IF(AE1300="free","re-planting",IF(G1300=0,"",IF(PlanterYesMe="",IF(AE1300="me","   not ELP, by",IF(AE1300="",IF(G1300&gt;0,(VLOOKUP(A1300,'Discount Lookup'!J:K,2)*G1300*(1-PlanterDiscount)*(1+PlanterDifficultyPercentage)),""),"")),"   not ELP, by"))))))))))))))</f>
        <v/>
      </c>
      <c r="AD1300" s="712"/>
      <c r="AE1300" s="513" t="str">
        <f t="shared" ref="AE1300:AE1363" si="973">IF(H1300="credit","",IF(G1300=0,"",IF(OR(PlanterYesMe="No",PlanterYesMe="N",PlanterYesMe="me"),"me",IF(H1300="warranty","free",IF(OR(PlanterYesMe="yes",PlanterYesMe="y"),"ELP","")))))</f>
        <v/>
      </c>
      <c r="AF1300" s="713" t="str">
        <f t="shared" ref="AF1300:AF1363" si="974">IF(OR(PlanterYesMe="No",PlanterYesMe="N",PlanterYesMe="me"),"",IF(H1300="credit","",IF(G1300&gt;0,(CONCATENATE((G1300)," quantity, ",(A1300)," ",B1300)),"")))</f>
        <v/>
      </c>
      <c r="AG1300" s="713"/>
      <c r="AH1300" s="713"/>
      <c r="AI1300" s="112">
        <f>IF(H1300="credit",0,IF(AE1300="free",0,IF(AE1300="me",0,IF(G1300&gt;0,(VLOOKUP(A1300,'Discount Lookup'!J:K,2)*G1300),0))))</f>
        <v>0</v>
      </c>
      <c r="AJ1300" s="107" t="str">
        <f t="shared" ref="AJ1300:AJ1363" ca="1" si="975">IF(AND(ISREF(H1300),H1300="credit"),"",IF(AND(AND(OFFSET(G1300,0,0)=0,OFFSET(G1300,1,0)&gt;0,ISNUMBER(OFFSET(AC1300,1,0)),OFFSET(AC1300,1,0)&gt;0),OR(PlanterYesMe="yes",PlanterYesMe="y")),"T2G+ELP=",IF(AND(OFFSET(G1300,0,0)=0,OFFSET(G1300,1,0)&gt;0,ISNUMBER(OFFSET(AC1300,1,0)),OFFSET(AC1300,1,0)&gt;0),"if T2G+ELP=",IF(AND(OFFSET(G1300,0,0)=0,OFFSET(G1300,1,0)&gt;0),"T2G Subtotal",IF(H1300="credit","",IF(G1300=0,"",IF(AE1300="free",(K1300*(1-T2GDiscount)),IF(OR(PlanterYesMe="No",PlanterYesMe="N",PlanterYesMe="me"),(K1300*(1-T2GDiscount)),IF(OR(AE1300="me",AE1300="T2G"),(K1300*(1-T2GDiscount)),(K1300*(1-T2GDiscount))+AC1300)))))))))</f>
        <v/>
      </c>
      <c r="AK1300" s="714" t="str">
        <f t="shared" ref="AK1300:AK1363" si="976">IF(H1300="credit","",IF(G1300=0,"",IF(OR(AE1300="me",AE1300="T2G"),"  delivery-only",IF(OR(PlanterYesMe="No",PlanterYesMe="N",PlanterYesMe="me"),"  delivery-only",CONCATENATE(" $",ROUND(AJ1300/G1300,2)," each")))))</f>
        <v/>
      </c>
      <c r="AL1300" s="714"/>
      <c r="AM1300" s="114" t="str">
        <f t="shared" ref="AM1300:AM1363" si="977">IF(H1300="credit","",IF(AE1300="free","      ~ discounts included, no tax or planting fee applies ~",IF(G1300=0,"",IF(OR(PlanterYesMe="No",PlanterYesMe="N",PlanterYesMe="me"),CONCATENATE(" $",ROUND(AJ1300/G1300,2)," per plant, with tax &amp; discount"),IF(OR(AE1300="me",AE1300="T2G"),CONCATENATE(" $",ROUND(AJ1300/G1300,2)," per plant, with tax &amp; discount"),CONCATENATE("= $",ROUND((K1300*(1-T2GDiscount))/G1300,2)," per plant + $",AC1300/G1300,(" per planting      ~ includes tax &amp; discounts ~")))))))</f>
        <v/>
      </c>
      <c r="AN1300" s="115"/>
      <c r="AO1300" s="116"/>
      <c r="AP1300" s="116"/>
      <c r="AQ1300" s="116"/>
      <c r="AR1300" s="116"/>
      <c r="AS1300" s="116"/>
      <c r="AT1300" s="116"/>
      <c r="AU1300" s="116"/>
      <c r="AV1300" s="78"/>
      <c r="AW1300" s="102"/>
      <c r="AX1300" s="78"/>
      <c r="AY1300" s="78"/>
      <c r="AZ1300" s="78"/>
      <c r="BA1300" s="78"/>
      <c r="BB1300" s="78"/>
      <c r="BC1300" s="78"/>
      <c r="BD1300" s="78"/>
      <c r="BE1300" s="465"/>
      <c r="BF1300" s="165" t="str">
        <f t="shared" ref="BF1300:BF1363" si="978">"https://www.google.com/search?tbm=isch&amp;q=" &amp; _xlfn.ENCODEURL($A1300 &amp; " " &amp; $D1300)</f>
        <v>https://www.google.com/search?tbm=isch&amp;q=Cornus%20kousa%20Kousa%20Dogwood</v>
      </c>
      <c r="BG1300" s="165" t="str">
        <f t="shared" ref="BG1300:BG1363" si="979">IF(ISTEXT(A1300),LEFT(A1300,1),BG1299)</f>
        <v>C</v>
      </c>
      <c r="BH1300" s="65"/>
      <c r="BI1300" s="65"/>
      <c r="BJ1300" s="65"/>
      <c r="BK1300" s="65"/>
      <c r="BL1300" s="99"/>
      <c r="BM1300" s="99"/>
      <c r="BN1300" s="99"/>
    </row>
    <row r="1301" spans="1:66" s="51" customFormat="1" ht="15.75" x14ac:dyDescent="0.25">
      <c r="A1301" s="634">
        <v>7</v>
      </c>
      <c r="B1301" s="635" t="s">
        <v>291</v>
      </c>
      <c r="C1301" s="636" t="s">
        <v>2292</v>
      </c>
      <c r="D1301" s="637" t="s">
        <v>299</v>
      </c>
      <c r="E1301" s="638">
        <v>100.95</v>
      </c>
      <c r="F1301" s="639" t="s">
        <v>292</v>
      </c>
      <c r="G1301" s="484">
        <v>0</v>
      </c>
      <c r="H1301" s="691" t="str">
        <f>IF(G1301=0,"",IF(F1301="Buy",IF(G1301=1,"plant","plants"),IF(F1301&gt;0.01,"warranty","Error")))</f>
        <v/>
      </c>
      <c r="I1301" s="640">
        <f>IF(H1301="free",0,IF(H1301="credit",((E1301*(F1301))*G1301*-1),IF(F1301="Buy",(E1301*G1301),((E1301*(1-F1301))*G1301))))</f>
        <v>0</v>
      </c>
      <c r="J1301" s="640">
        <f>IF(H1301="warranty",0,(I1301*(_xlfn.SINGLE(SalesTaxPercentage))))</f>
        <v>0</v>
      </c>
      <c r="K1301" s="716">
        <f t="shared" ref="K1301" si="980">I1301+J1301</f>
        <v>0</v>
      </c>
      <c r="L1301" s="716"/>
      <c r="M1301" s="689" t="str">
        <f ca="1">IF(AND(G1301&gt;0,E1301=0),"WARNING - no PRICE inserted",IF(H1301="free","FREE ~ no charge this plant",IF(H1301="credit",CONCATENATE("-$",ROUND(K1301*(1-_xlfn.SINGLE(T2GDiscount))*-1,2)," CREDIT after discount"),IF(_xlfn.SINGLE(T2GDiscount)=0,"",IF(G1301=0,"",IF(F1301="Buy",CONCATENATE("$",ROUND(K1301*(1-_xlfn.SINGLE(T2GDiscount)),2)," with ",(_xlfn.SINGLE(T2GDiscount)*100),"% discount"),CONCATENATE("$",ROUND(K1301*(1-_xlfn.SINGLE(T2GDiscount)),2)," with ",((_xlfn.SINGLE(T2GDiscount)*100+F1301*100)-(_xlfn.SINGLE(T2GDiscount)*100*F1301)),IF(F1301&gt;0,"% discounts",IF(_xlfn.SINGLE(NoWarrantyDiscount)&gt;0,"% discounts","% discount")))))))))</f>
        <v/>
      </c>
      <c r="N1301" s="690"/>
      <c r="O1301" s="486"/>
      <c r="P1301" s="486"/>
      <c r="Q1301" s="486"/>
      <c r="R1301" s="486"/>
      <c r="S1301" s="486"/>
      <c r="T1301" s="102">
        <f t="shared" si="967"/>
        <v>0</v>
      </c>
      <c r="U1301" s="78">
        <f>IF(NOT(ISNUMBER(G1301)), "", VLOOKUP(A1301,'Discount Lookup'!D:E,2,FALSE)*G1301)</f>
        <v>0</v>
      </c>
      <c r="V1301" s="78">
        <f>IF(NOT(ISNUMBER(G1301)), "", VLOOKUP(A1301,'Discount Lookup'!G:H,2,FALSE)*G1301)</f>
        <v>0</v>
      </c>
      <c r="W1301" s="102">
        <f t="shared" si="968"/>
        <v>0</v>
      </c>
      <c r="X1301" s="102">
        <f t="shared" si="969"/>
        <v>0</v>
      </c>
      <c r="Y1301" s="120" t="b">
        <f t="shared" si="970"/>
        <v>0</v>
      </c>
      <c r="Z1301" s="117">
        <f t="shared" si="971"/>
        <v>0</v>
      </c>
      <c r="AA1301" s="118"/>
      <c r="AB1301" s="118" t="str">
        <f t="shared" si="972"/>
        <v/>
      </c>
      <c r="AC1301" s="712" t="str">
        <f>IF(AE1301="T2G","no charge",IF(AND(OR(PlanterYesMe="No",PlanterYesMe="N",PlanterYesMe="me"),H1301=""),"",IF(H1301="credit","NO install",IF(AND(K1301="",AE1301="me"),"EACH row",IF(AND(K1301="images",AE1301="me"),"EACH row",IF(D1301="","",IF(H1301="credit","",IF(AE1301="free","re-planting",IF(AE1301="me","   not ELP, by",IF(AND(OR(PlanterYesMe="Yes",PlanterYesMe="Y"),G1301&gt;0),(VLOOKUP(A1301,'Discount Lookup'!J:K,2)*G1301*(1-PlanterDiscount)*(1+PlanterDifficultyPercentage)),IF(AE1301="ELP",(VLOOKUP(A1301,'Discount Lookup'!J:K,2)*G1301*(1-PlanterDiscount)*(1+PlanterDifficultyPercentage)),IF(AE1301="free","re-planting",IF(G1301=0,"",IF(PlanterYesMe="",IF(AE1301="me","   not ELP, by",IF(AE1301="",IF(G1301&gt;0,(VLOOKUP(A1301,'Discount Lookup'!J:K,2)*G1301*(1-PlanterDiscount)*(1+PlanterDifficultyPercentage)),""),"")),"   not ELP, by"))))))))))))))</f>
        <v/>
      </c>
      <c r="AD1301" s="712"/>
      <c r="AE1301" s="513" t="str">
        <f t="shared" si="973"/>
        <v/>
      </c>
      <c r="AF1301" s="713" t="str">
        <f t="shared" si="974"/>
        <v/>
      </c>
      <c r="AG1301" s="713"/>
      <c r="AH1301" s="713"/>
      <c r="AI1301" s="112">
        <f>IF(H1301="credit",0,IF(AE1301="free",0,IF(AE1301="me",0,IF(G1301&gt;0,(VLOOKUP(A1301,'Discount Lookup'!J:K,2)*G1301),0))))</f>
        <v>0</v>
      </c>
      <c r="AJ1301" s="107" t="str">
        <f t="shared" ca="1" si="975"/>
        <v/>
      </c>
      <c r="AK1301" s="714" t="str">
        <f t="shared" si="976"/>
        <v/>
      </c>
      <c r="AL1301" s="714"/>
      <c r="AM1301" s="114" t="str">
        <f t="shared" si="977"/>
        <v/>
      </c>
      <c r="AN1301" s="115"/>
      <c r="AO1301" s="116"/>
      <c r="AP1301" s="116"/>
      <c r="AQ1301" s="116"/>
      <c r="AR1301" s="116"/>
      <c r="AS1301" s="116"/>
      <c r="AT1301" s="116"/>
      <c r="AU1301" s="116"/>
      <c r="AV1301" s="78"/>
      <c r="AW1301" s="102"/>
      <c r="AX1301" s="78"/>
      <c r="AY1301" s="78"/>
      <c r="AZ1301" s="78"/>
      <c r="BA1301" s="78"/>
      <c r="BB1301" s="78"/>
      <c r="BC1301" s="78"/>
      <c r="BD1301" s="78"/>
      <c r="BE1301" s="465"/>
      <c r="BF1301" s="165" t="str">
        <f t="shared" si="978"/>
        <v>https://www.google.com/search?tbm=isch&amp;q=7%20G4</v>
      </c>
      <c r="BG1301" s="165" t="str">
        <f t="shared" si="979"/>
        <v>C</v>
      </c>
      <c r="BH1301" s="65"/>
      <c r="BI1301" s="65"/>
      <c r="BJ1301" s="65"/>
      <c r="BK1301" s="65"/>
      <c r="BL1301" s="99"/>
      <c r="BM1301" s="99"/>
      <c r="BN1301" s="99"/>
    </row>
    <row r="1302" spans="1:66" s="51" customFormat="1" ht="15.75" x14ac:dyDescent="0.25">
      <c r="A1302" s="634">
        <v>7</v>
      </c>
      <c r="B1302" s="635" t="s">
        <v>291</v>
      </c>
      <c r="C1302" s="636" t="s">
        <v>919</v>
      </c>
      <c r="D1302" s="637" t="s">
        <v>299</v>
      </c>
      <c r="E1302" s="638">
        <v>102.95</v>
      </c>
      <c r="F1302" s="639" t="s">
        <v>292</v>
      </c>
      <c r="G1302" s="484">
        <v>0</v>
      </c>
      <c r="H1302" s="691" t="str">
        <f>IF(G1302=0,"",IF(F1302="Buy",IF(G1302=1,"plant","plants"),IF(F1302&gt;0.01,"warranty","Error")))</f>
        <v/>
      </c>
      <c r="I1302" s="640">
        <f>IF(H1302="free",0,IF(H1302="credit",((E1302*(F1302))*G1302*-1),IF(F1302="Buy",(E1302*G1302),((E1302*(1-F1302))*G1302))))</f>
        <v>0</v>
      </c>
      <c r="J1302" s="640">
        <f>IF(H1302="warranty",0,(I1302*(_xlfn.SINGLE(SalesTaxPercentage))))</f>
        <v>0</v>
      </c>
      <c r="K1302" s="716">
        <f t="shared" ref="K1302" si="981">I1302+J1302</f>
        <v>0</v>
      </c>
      <c r="L1302" s="716"/>
      <c r="M1302" s="689" t="str">
        <f ca="1">IF(AND(G1302&gt;0,E1302=0),"WARNING - no PRICE inserted",IF(H1302="free","FREE ~ no charge this plant",IF(H1302="credit",CONCATENATE("-$",ROUND(K1302*(1-_xlfn.SINGLE(T2GDiscount))*-1,2)," CREDIT after discount"),IF(_xlfn.SINGLE(T2GDiscount)=0,"",IF(G1302=0,"",IF(F1302="Buy",CONCATENATE("$",ROUND(K1302*(1-_xlfn.SINGLE(T2GDiscount)),2)," with ",(_xlfn.SINGLE(T2GDiscount)*100),"% discount"),CONCATENATE("$",ROUND(K1302*(1-_xlfn.SINGLE(T2GDiscount)),2)," with ",((_xlfn.SINGLE(T2GDiscount)*100+F1302*100)-(_xlfn.SINGLE(T2GDiscount)*100*F1302)),IF(F1302&gt;0,"% discounts",IF(_xlfn.SINGLE(NoWarrantyDiscount)&gt;0,"% discounts","% discount")))))))))</f>
        <v/>
      </c>
      <c r="N1302" s="690"/>
      <c r="O1302" s="486"/>
      <c r="P1302" s="486"/>
      <c r="Q1302" s="486"/>
      <c r="R1302" s="486"/>
      <c r="S1302" s="486"/>
      <c r="T1302" s="102">
        <f t="shared" si="967"/>
        <v>0</v>
      </c>
      <c r="U1302" s="78">
        <f>IF(NOT(ISNUMBER(G1302)), "", VLOOKUP(A1302,'Discount Lookup'!D:E,2,FALSE)*G1302)</f>
        <v>0</v>
      </c>
      <c r="V1302" s="78">
        <f>IF(NOT(ISNUMBER(G1302)), "", VLOOKUP(A1302,'Discount Lookup'!G:H,2,FALSE)*G1302)</f>
        <v>0</v>
      </c>
      <c r="W1302" s="102">
        <f t="shared" si="968"/>
        <v>0</v>
      </c>
      <c r="X1302" s="102">
        <f t="shared" si="969"/>
        <v>0</v>
      </c>
      <c r="Y1302" s="120" t="b">
        <f t="shared" si="970"/>
        <v>0</v>
      </c>
      <c r="Z1302" s="117">
        <f t="shared" si="971"/>
        <v>0</v>
      </c>
      <c r="AA1302" s="118"/>
      <c r="AB1302" s="118" t="str">
        <f t="shared" si="972"/>
        <v/>
      </c>
      <c r="AC1302" s="712" t="str">
        <f>IF(AE1302="T2G","no charge",IF(AND(OR(PlanterYesMe="No",PlanterYesMe="N",PlanterYesMe="me"),H1302=""),"",IF(H1302="credit","NO install",IF(AND(K1302="",AE1302="me"),"EACH row",IF(AND(K1302="images",AE1302="me"),"EACH row",IF(D1302="","",IF(H1302="credit","",IF(AE1302="free","re-planting",IF(AE1302="me","   not ELP, by",IF(AND(OR(PlanterYesMe="Yes",PlanterYesMe="Y"),G1302&gt;0),(VLOOKUP(A1302,'Discount Lookup'!J:K,2)*G1302*(1-PlanterDiscount)*(1+PlanterDifficultyPercentage)),IF(AE1302="ELP",(VLOOKUP(A1302,'Discount Lookup'!J:K,2)*G1302*(1-PlanterDiscount)*(1+PlanterDifficultyPercentage)),IF(AE1302="free","re-planting",IF(G1302=0,"",IF(PlanterYesMe="",IF(AE1302="me","   not ELP, by",IF(AE1302="",IF(G1302&gt;0,(VLOOKUP(A1302,'Discount Lookup'!J:K,2)*G1302*(1-PlanterDiscount)*(1+PlanterDifficultyPercentage)),""),"")),"   not ELP, by"))))))))))))))</f>
        <v/>
      </c>
      <c r="AD1302" s="712"/>
      <c r="AE1302" s="513" t="str">
        <f t="shared" si="973"/>
        <v/>
      </c>
      <c r="AF1302" s="713" t="str">
        <f t="shared" si="974"/>
        <v/>
      </c>
      <c r="AG1302" s="713"/>
      <c r="AH1302" s="713"/>
      <c r="AI1302" s="112">
        <f>IF(H1302="credit",0,IF(AE1302="free",0,IF(AE1302="me",0,IF(G1302&gt;0,(VLOOKUP(A1302,'Discount Lookup'!J:K,2)*G1302),0))))</f>
        <v>0</v>
      </c>
      <c r="AJ1302" s="107" t="str">
        <f t="shared" ca="1" si="975"/>
        <v/>
      </c>
      <c r="AK1302" s="714" t="str">
        <f t="shared" si="976"/>
        <v/>
      </c>
      <c r="AL1302" s="714"/>
      <c r="AM1302" s="114" t="str">
        <f t="shared" si="977"/>
        <v/>
      </c>
      <c r="AN1302" s="115"/>
      <c r="AO1302" s="116"/>
      <c r="AP1302" s="116"/>
      <c r="AQ1302" s="116"/>
      <c r="AR1302" s="116"/>
      <c r="AS1302" s="116"/>
      <c r="AT1302" s="116"/>
      <c r="AU1302" s="116"/>
      <c r="AV1302" s="78"/>
      <c r="AW1302" s="102"/>
      <c r="AX1302" s="78"/>
      <c r="AY1302" s="78"/>
      <c r="AZ1302" s="78"/>
      <c r="BA1302" s="78"/>
      <c r="BB1302" s="78"/>
      <c r="BC1302" s="78"/>
      <c r="BD1302" s="78"/>
      <c r="BE1302" s="465"/>
      <c r="BF1302" s="165" t="str">
        <f t="shared" si="978"/>
        <v>https://www.google.com/search?tbm=isch&amp;q=7%20G4</v>
      </c>
      <c r="BG1302" s="165" t="str">
        <f t="shared" si="979"/>
        <v>C</v>
      </c>
      <c r="BH1302" s="65"/>
      <c r="BI1302" s="65"/>
      <c r="BJ1302" s="65"/>
      <c r="BK1302" s="65"/>
      <c r="BL1302" s="99"/>
      <c r="BM1302" s="99"/>
      <c r="BN1302" s="99"/>
    </row>
    <row r="1303" spans="1:66" s="51" customFormat="1" ht="15.75" x14ac:dyDescent="0.25">
      <c r="A1303" s="634">
        <v>10</v>
      </c>
      <c r="B1303" s="635" t="s">
        <v>291</v>
      </c>
      <c r="C1303" s="636" t="s">
        <v>2031</v>
      </c>
      <c r="D1303" s="637" t="s">
        <v>299</v>
      </c>
      <c r="E1303" s="638">
        <v>157.94999999999999</v>
      </c>
      <c r="F1303" s="639" t="s">
        <v>292</v>
      </c>
      <c r="G1303" s="484">
        <v>0</v>
      </c>
      <c r="H1303" s="691" t="str">
        <f>IF(G1303=0,"",IF(F1303="Buy",IF(G1303=1,"plant","plants"),IF(F1303&gt;0.01,"warranty","Error")))</f>
        <v/>
      </c>
      <c r="I1303" s="640">
        <f>IF(H1303="free",0,IF(H1303="credit",((E1303*(F1303))*G1303*-1),IF(F1303="Buy",(E1303*G1303),((E1303*(1-F1303))*G1303))))</f>
        <v>0</v>
      </c>
      <c r="J1303" s="640">
        <f>IF(H1303="warranty",0,(I1303*(_xlfn.SINGLE(SalesTaxPercentage))))</f>
        <v>0</v>
      </c>
      <c r="K1303" s="716">
        <f t="shared" ref="K1303" si="982">I1303+J1303</f>
        <v>0</v>
      </c>
      <c r="L1303" s="716"/>
      <c r="M1303" s="689" t="str">
        <f ca="1">IF(AND(G1303&gt;0,E1303=0),"WARNING - no PRICE inserted",IF(H1303="free","FREE ~ no charge this plant",IF(H1303="credit",CONCATENATE("-$",ROUND(K1303*(1-_xlfn.SINGLE(T2GDiscount))*-1,2)," CREDIT after discount"),IF(_xlfn.SINGLE(T2GDiscount)=0,"",IF(G1303=0,"",IF(F1303="Buy",CONCATENATE("$",ROUND(K1303*(1-_xlfn.SINGLE(T2GDiscount)),2)," with ",(_xlfn.SINGLE(T2GDiscount)*100),"% discount"),CONCATENATE("$",ROUND(K1303*(1-_xlfn.SINGLE(T2GDiscount)),2)," with ",((_xlfn.SINGLE(T2GDiscount)*100+F1303*100)-(_xlfn.SINGLE(T2GDiscount)*100*F1303)),IF(F1303&gt;0,"% discounts",IF(_xlfn.SINGLE(NoWarrantyDiscount)&gt;0,"% discounts","% discount")))))))))</f>
        <v/>
      </c>
      <c r="N1303" s="690"/>
      <c r="O1303" s="486"/>
      <c r="P1303" s="486"/>
      <c r="Q1303" s="486"/>
      <c r="R1303" s="486"/>
      <c r="S1303" s="486"/>
      <c r="T1303" s="102">
        <f t="shared" si="967"/>
        <v>0</v>
      </c>
      <c r="U1303" s="78">
        <f>IF(NOT(ISNUMBER(G1303)), "", VLOOKUP(A1303,'Discount Lookup'!D:E,2,FALSE)*G1303)</f>
        <v>0</v>
      </c>
      <c r="V1303" s="78">
        <f>IF(NOT(ISNUMBER(G1303)), "", VLOOKUP(A1303,'Discount Lookup'!G:H,2,FALSE)*G1303)</f>
        <v>0</v>
      </c>
      <c r="W1303" s="102">
        <f t="shared" si="968"/>
        <v>0</v>
      </c>
      <c r="X1303" s="102">
        <f t="shared" si="969"/>
        <v>0</v>
      </c>
      <c r="Y1303" s="120" t="b">
        <f t="shared" si="970"/>
        <v>0</v>
      </c>
      <c r="Z1303" s="117">
        <f t="shared" si="971"/>
        <v>0</v>
      </c>
      <c r="AA1303" s="118"/>
      <c r="AB1303" s="118" t="str">
        <f t="shared" si="972"/>
        <v/>
      </c>
      <c r="AC1303" s="712" t="str">
        <f>IF(AE1303="T2G","no charge",IF(AND(OR(PlanterYesMe="No",PlanterYesMe="N",PlanterYesMe="me"),H1303=""),"",IF(H1303="credit","NO install",IF(AND(K1303="",AE1303="me"),"EACH row",IF(AND(K1303="images",AE1303="me"),"EACH row",IF(D1303="","",IF(H1303="credit","",IF(AE1303="free","re-planting",IF(AE1303="me","   not ELP, by",IF(AND(OR(PlanterYesMe="Yes",PlanterYesMe="Y"),G1303&gt;0),(VLOOKUP(A1303,'Discount Lookup'!J:K,2)*G1303*(1-PlanterDiscount)*(1+PlanterDifficultyPercentage)),IF(AE1303="ELP",(VLOOKUP(A1303,'Discount Lookup'!J:K,2)*G1303*(1-PlanterDiscount)*(1+PlanterDifficultyPercentage)),IF(AE1303="free","re-planting",IF(G1303=0,"",IF(PlanterYesMe="",IF(AE1303="me","   not ELP, by",IF(AE1303="",IF(G1303&gt;0,(VLOOKUP(A1303,'Discount Lookup'!J:K,2)*G1303*(1-PlanterDiscount)*(1+PlanterDifficultyPercentage)),""),"")),"   not ELP, by"))))))))))))))</f>
        <v/>
      </c>
      <c r="AD1303" s="712"/>
      <c r="AE1303" s="513" t="str">
        <f t="shared" si="973"/>
        <v/>
      </c>
      <c r="AF1303" s="713" t="str">
        <f t="shared" si="974"/>
        <v/>
      </c>
      <c r="AG1303" s="713"/>
      <c r="AH1303" s="713"/>
      <c r="AI1303" s="112">
        <f>IF(H1303="credit",0,IF(AE1303="free",0,IF(AE1303="me",0,IF(G1303&gt;0,(VLOOKUP(A1303,'Discount Lookup'!J:K,2)*G1303),0))))</f>
        <v>0</v>
      </c>
      <c r="AJ1303" s="107" t="str">
        <f t="shared" ca="1" si="975"/>
        <v/>
      </c>
      <c r="AK1303" s="714" t="str">
        <f t="shared" si="976"/>
        <v/>
      </c>
      <c r="AL1303" s="714"/>
      <c r="AM1303" s="114" t="str">
        <f t="shared" si="977"/>
        <v/>
      </c>
      <c r="AN1303" s="115"/>
      <c r="AO1303" s="116"/>
      <c r="AP1303" s="116"/>
      <c r="AQ1303" s="116"/>
      <c r="AR1303" s="116"/>
      <c r="AS1303" s="116"/>
      <c r="AT1303" s="116"/>
      <c r="AU1303" s="116"/>
      <c r="AV1303" s="78"/>
      <c r="AW1303" s="102"/>
      <c r="AX1303" s="78"/>
      <c r="AY1303" s="78"/>
      <c r="AZ1303" s="78"/>
      <c r="BA1303" s="78"/>
      <c r="BB1303" s="78"/>
      <c r="BC1303" s="78"/>
      <c r="BD1303" s="78"/>
      <c r="BE1303" s="465"/>
      <c r="BF1303" s="165" t="str">
        <f t="shared" si="978"/>
        <v>https://www.google.com/search?tbm=isch&amp;q=10%20G4</v>
      </c>
      <c r="BG1303" s="165" t="str">
        <f t="shared" si="979"/>
        <v>C</v>
      </c>
      <c r="BH1303" s="65"/>
      <c r="BI1303" s="65"/>
      <c r="BJ1303" s="65"/>
      <c r="BK1303" s="65"/>
      <c r="BL1303" s="99"/>
      <c r="BM1303" s="99"/>
      <c r="BN1303" s="99"/>
    </row>
    <row r="1304" spans="1:66" s="51" customFormat="1" ht="15.75" x14ac:dyDescent="0.25">
      <c r="A1304" s="634">
        <v>15</v>
      </c>
      <c r="B1304" s="635" t="s">
        <v>291</v>
      </c>
      <c r="C1304" s="636" t="s">
        <v>4964</v>
      </c>
      <c r="D1304" s="637" t="s">
        <v>299</v>
      </c>
      <c r="E1304" s="638">
        <v>178.95</v>
      </c>
      <c r="F1304" s="639" t="s">
        <v>292</v>
      </c>
      <c r="G1304" s="484">
        <v>0</v>
      </c>
      <c r="H1304" s="691" t="str">
        <f>IF(G1304=0,"",IF(F1304="Buy",IF(G1304=1,"plant","plants"),IF(F1304&gt;0.01,"warranty","Error")))</f>
        <v/>
      </c>
      <c r="I1304" s="640">
        <f>IF(H1304="free",0,IF(H1304="credit",((E1304*(F1304))*G1304*-1),IF(F1304="Buy",(E1304*G1304),((E1304*(1-F1304))*G1304))))</f>
        <v>0</v>
      </c>
      <c r="J1304" s="640">
        <f>IF(H1304="warranty",0,(I1304*(_xlfn.SINGLE(SalesTaxPercentage))))</f>
        <v>0</v>
      </c>
      <c r="K1304" s="716">
        <f t="shared" ref="K1304" si="983">I1304+J1304</f>
        <v>0</v>
      </c>
      <c r="L1304" s="716"/>
      <c r="M1304" s="689" t="str">
        <f ca="1">IF(AND(G1304&gt;0,E1304=0),"WARNING - no PRICE inserted",IF(H1304="free","FREE ~ no charge this plant",IF(H1304="credit",CONCATENATE("-$",ROUND(K1304*(1-_xlfn.SINGLE(T2GDiscount))*-1,2)," CREDIT after discount"),IF(_xlfn.SINGLE(T2GDiscount)=0,"",IF(G1304=0,"",IF(F1304="Buy",CONCATENATE("$",ROUND(K1304*(1-_xlfn.SINGLE(T2GDiscount)),2)," with ",(_xlfn.SINGLE(T2GDiscount)*100),"% discount"),CONCATENATE("$",ROUND(K1304*(1-_xlfn.SINGLE(T2GDiscount)),2)," with ",((_xlfn.SINGLE(T2GDiscount)*100+F1304*100)-(_xlfn.SINGLE(T2GDiscount)*100*F1304)),IF(F1304&gt;0,"% discounts",IF(_xlfn.SINGLE(NoWarrantyDiscount)&gt;0,"% discounts","% discount")))))))))</f>
        <v/>
      </c>
      <c r="N1304" s="690"/>
      <c r="O1304" s="486"/>
      <c r="P1304" s="486"/>
      <c r="Q1304" s="486"/>
      <c r="R1304" s="486"/>
      <c r="S1304" s="486"/>
      <c r="T1304" s="102">
        <f t="shared" si="967"/>
        <v>0</v>
      </c>
      <c r="U1304" s="78">
        <f>IF(NOT(ISNUMBER(G1304)), "", VLOOKUP(A1304,'Discount Lookup'!D:E,2,FALSE)*G1304)</f>
        <v>0</v>
      </c>
      <c r="V1304" s="78">
        <f>IF(NOT(ISNUMBER(G1304)), "", VLOOKUP(A1304,'Discount Lookup'!G:H,2,FALSE)*G1304)</f>
        <v>0</v>
      </c>
      <c r="W1304" s="102">
        <f t="shared" si="968"/>
        <v>0</v>
      </c>
      <c r="X1304" s="102">
        <f t="shared" si="969"/>
        <v>0</v>
      </c>
      <c r="Y1304" s="120" t="b">
        <f t="shared" si="970"/>
        <v>0</v>
      </c>
      <c r="Z1304" s="117">
        <f t="shared" si="971"/>
        <v>0</v>
      </c>
      <c r="AA1304" s="118"/>
      <c r="AB1304" s="118" t="str">
        <f t="shared" si="972"/>
        <v/>
      </c>
      <c r="AC1304" s="712" t="str">
        <f>IF(AE1304="T2G","no charge",IF(AND(OR(PlanterYesMe="No",PlanterYesMe="N",PlanterYesMe="me"),H1304=""),"",IF(H1304="credit","NO install",IF(AND(K1304="",AE1304="me"),"EACH row",IF(AND(K1304="images",AE1304="me"),"EACH row",IF(D1304="","",IF(H1304="credit","",IF(AE1304="free","re-planting",IF(AE1304="me","   not ELP, by",IF(AND(OR(PlanterYesMe="Yes",PlanterYesMe="Y"),G1304&gt;0),(VLOOKUP(A1304,'Discount Lookup'!J:K,2)*G1304*(1-PlanterDiscount)*(1+PlanterDifficultyPercentage)),IF(AE1304="ELP",(VLOOKUP(A1304,'Discount Lookup'!J:K,2)*G1304*(1-PlanterDiscount)*(1+PlanterDifficultyPercentage)),IF(AE1304="free","re-planting",IF(G1304=0,"",IF(PlanterYesMe="",IF(AE1304="me","   not ELP, by",IF(AE1304="",IF(G1304&gt;0,(VLOOKUP(A1304,'Discount Lookup'!J:K,2)*G1304*(1-PlanterDiscount)*(1+PlanterDifficultyPercentage)),""),"")),"   not ELP, by"))))))))))))))</f>
        <v/>
      </c>
      <c r="AD1304" s="712"/>
      <c r="AE1304" s="513" t="str">
        <f t="shared" si="973"/>
        <v/>
      </c>
      <c r="AF1304" s="713" t="str">
        <f t="shared" si="974"/>
        <v/>
      </c>
      <c r="AG1304" s="713"/>
      <c r="AH1304" s="713"/>
      <c r="AI1304" s="112">
        <f>IF(H1304="credit",0,IF(AE1304="free",0,IF(AE1304="me",0,IF(G1304&gt;0,(VLOOKUP(A1304,'Discount Lookup'!J:K,2)*G1304),0))))</f>
        <v>0</v>
      </c>
      <c r="AJ1304" s="107" t="str">
        <f t="shared" ca="1" si="975"/>
        <v/>
      </c>
      <c r="AK1304" s="714" t="str">
        <f t="shared" si="976"/>
        <v/>
      </c>
      <c r="AL1304" s="714"/>
      <c r="AM1304" s="114" t="str">
        <f t="shared" si="977"/>
        <v/>
      </c>
      <c r="AN1304" s="115"/>
      <c r="AO1304" s="116"/>
      <c r="AP1304" s="116"/>
      <c r="AQ1304" s="116"/>
      <c r="AR1304" s="116"/>
      <c r="AS1304" s="116"/>
      <c r="AT1304" s="116"/>
      <c r="AU1304" s="116"/>
      <c r="AV1304" s="78"/>
      <c r="AW1304" s="102"/>
      <c r="AX1304" s="78"/>
      <c r="AY1304" s="78"/>
      <c r="AZ1304" s="78"/>
      <c r="BA1304" s="78"/>
      <c r="BB1304" s="78"/>
      <c r="BC1304" s="78"/>
      <c r="BD1304" s="78"/>
      <c r="BE1304" s="465"/>
      <c r="BF1304" s="165" t="str">
        <f t="shared" si="978"/>
        <v>https://www.google.com/search?tbm=isch&amp;q=15%20G4</v>
      </c>
      <c r="BG1304" s="165" t="str">
        <f t="shared" si="979"/>
        <v>C</v>
      </c>
      <c r="BH1304" s="65"/>
      <c r="BI1304" s="65"/>
      <c r="BJ1304" s="65"/>
      <c r="BK1304" s="65"/>
      <c r="BL1304" s="99"/>
      <c r="BM1304" s="99"/>
      <c r="BN1304" s="99"/>
    </row>
    <row r="1305" spans="1:66" s="51" customFormat="1" ht="15.75" x14ac:dyDescent="0.25">
      <c r="A1305" s="634">
        <v>25</v>
      </c>
      <c r="B1305" s="635" t="s">
        <v>291</v>
      </c>
      <c r="C1305" s="636" t="s">
        <v>2293</v>
      </c>
      <c r="D1305" s="637" t="s">
        <v>299</v>
      </c>
      <c r="E1305" s="638">
        <v>321.95</v>
      </c>
      <c r="F1305" s="639" t="s">
        <v>292</v>
      </c>
      <c r="G1305" s="484">
        <v>0</v>
      </c>
      <c r="H1305" s="691" t="str">
        <f>IF(G1305=0,"",IF(F1305="Buy",IF(G1305=1,"plant","plants"),IF(F1305&gt;0.01,"warranty","Error")))</f>
        <v/>
      </c>
      <c r="I1305" s="640">
        <f>IF(H1305="free",0,IF(H1305="credit",((E1305*(F1305))*G1305*-1),IF(F1305="Buy",(E1305*G1305),((E1305*(1-F1305))*G1305))))</f>
        <v>0</v>
      </c>
      <c r="J1305" s="640">
        <f>IF(H1305="warranty",0,(I1305*(_xlfn.SINGLE(SalesTaxPercentage))))</f>
        <v>0</v>
      </c>
      <c r="K1305" s="716">
        <f t="shared" ref="K1305" si="984">I1305+J1305</f>
        <v>0</v>
      </c>
      <c r="L1305" s="716"/>
      <c r="M1305" s="689" t="str">
        <f ca="1">IF(AND(G1305&gt;0,E1305=0),"WARNING - no PRICE inserted",IF(H1305="free","FREE ~ no charge this plant",IF(H1305="credit",CONCATENATE("-$",ROUND(K1305*(1-_xlfn.SINGLE(T2GDiscount))*-1,2)," CREDIT after discount"),IF(_xlfn.SINGLE(T2GDiscount)=0,"",IF(G1305=0,"",IF(F1305="Buy",CONCATENATE("$",ROUND(K1305*(1-_xlfn.SINGLE(T2GDiscount)),2)," with ",(_xlfn.SINGLE(T2GDiscount)*100),"% discount"),CONCATENATE("$",ROUND(K1305*(1-_xlfn.SINGLE(T2GDiscount)),2)," with ",((_xlfn.SINGLE(T2GDiscount)*100+F1305*100)-(_xlfn.SINGLE(T2GDiscount)*100*F1305)),IF(F1305&gt;0,"% discounts",IF(_xlfn.SINGLE(NoWarrantyDiscount)&gt;0,"% discounts","% discount")))))))))</f>
        <v/>
      </c>
      <c r="N1305" s="690"/>
      <c r="O1305" s="486"/>
      <c r="P1305" s="486"/>
      <c r="Q1305" s="486"/>
      <c r="R1305" s="486"/>
      <c r="S1305" s="486"/>
      <c r="T1305" s="102">
        <f t="shared" si="967"/>
        <v>0</v>
      </c>
      <c r="U1305" s="78">
        <f>IF(NOT(ISNUMBER(G1305)), "", VLOOKUP(A1305,'Discount Lookup'!D:E,2,FALSE)*G1305)</f>
        <v>0</v>
      </c>
      <c r="V1305" s="78">
        <f>IF(NOT(ISNUMBER(G1305)), "", VLOOKUP(A1305,'Discount Lookup'!G:H,2,FALSE)*G1305)</f>
        <v>0</v>
      </c>
      <c r="W1305" s="102">
        <f t="shared" si="968"/>
        <v>0</v>
      </c>
      <c r="X1305" s="102">
        <f t="shared" si="969"/>
        <v>0</v>
      </c>
      <c r="Y1305" s="120" t="b">
        <f t="shared" si="970"/>
        <v>0</v>
      </c>
      <c r="Z1305" s="117">
        <f t="shared" si="971"/>
        <v>0</v>
      </c>
      <c r="AA1305" s="118"/>
      <c r="AB1305" s="118" t="str">
        <f t="shared" si="972"/>
        <v/>
      </c>
      <c r="AC1305" s="712" t="str">
        <f>IF(AE1305="T2G","no charge",IF(AND(OR(PlanterYesMe="No",PlanterYesMe="N",PlanterYesMe="me"),H1305=""),"",IF(H1305="credit","NO install",IF(AND(K1305="",AE1305="me"),"EACH row",IF(AND(K1305="images",AE1305="me"),"EACH row",IF(D1305="","",IF(H1305="credit","",IF(AE1305="free","re-planting",IF(AE1305="me","   not ELP, by",IF(AND(OR(PlanterYesMe="Yes",PlanterYesMe="Y"),G1305&gt;0),(VLOOKUP(A1305,'Discount Lookup'!J:K,2)*G1305*(1-PlanterDiscount)*(1+PlanterDifficultyPercentage)),IF(AE1305="ELP",(VLOOKUP(A1305,'Discount Lookup'!J:K,2)*G1305*(1-PlanterDiscount)*(1+PlanterDifficultyPercentage)),IF(AE1305="free","re-planting",IF(G1305=0,"",IF(PlanterYesMe="",IF(AE1305="me","   not ELP, by",IF(AE1305="",IF(G1305&gt;0,(VLOOKUP(A1305,'Discount Lookup'!J:K,2)*G1305*(1-PlanterDiscount)*(1+PlanterDifficultyPercentage)),""),"")),"   not ELP, by"))))))))))))))</f>
        <v/>
      </c>
      <c r="AD1305" s="712"/>
      <c r="AE1305" s="513" t="str">
        <f t="shared" si="973"/>
        <v/>
      </c>
      <c r="AF1305" s="713" t="str">
        <f t="shared" si="974"/>
        <v/>
      </c>
      <c r="AG1305" s="713"/>
      <c r="AH1305" s="713"/>
      <c r="AI1305" s="112">
        <f>IF(H1305="credit",0,IF(AE1305="free",0,IF(AE1305="me",0,IF(G1305&gt;0,(VLOOKUP(A1305,'Discount Lookup'!J:K,2)*G1305),0))))</f>
        <v>0</v>
      </c>
      <c r="AJ1305" s="107" t="str">
        <f t="shared" ca="1" si="975"/>
        <v/>
      </c>
      <c r="AK1305" s="714" t="str">
        <f t="shared" si="976"/>
        <v/>
      </c>
      <c r="AL1305" s="714"/>
      <c r="AM1305" s="114" t="str">
        <f t="shared" si="977"/>
        <v/>
      </c>
      <c r="AN1305" s="115"/>
      <c r="AO1305" s="116"/>
      <c r="AP1305" s="116"/>
      <c r="AQ1305" s="116"/>
      <c r="AR1305" s="116"/>
      <c r="AS1305" s="116"/>
      <c r="AT1305" s="116"/>
      <c r="AU1305" s="116"/>
      <c r="AV1305" s="78"/>
      <c r="AW1305" s="102"/>
      <c r="AX1305" s="78"/>
      <c r="AY1305" s="78"/>
      <c r="AZ1305" s="78"/>
      <c r="BA1305" s="78"/>
      <c r="BB1305" s="78"/>
      <c r="BC1305" s="78"/>
      <c r="BD1305" s="78"/>
      <c r="BE1305" s="465"/>
      <c r="BF1305" s="165" t="str">
        <f t="shared" si="978"/>
        <v>https://www.google.com/search?tbm=isch&amp;q=25%20G4</v>
      </c>
      <c r="BG1305" s="165" t="str">
        <f t="shared" si="979"/>
        <v>C</v>
      </c>
      <c r="BH1305" s="65"/>
      <c r="BI1305" s="65"/>
      <c r="BJ1305" s="65"/>
      <c r="BK1305" s="65"/>
      <c r="BL1305" s="99"/>
      <c r="BM1305" s="99"/>
      <c r="BN1305" s="99"/>
    </row>
    <row r="1306" spans="1:66" s="51" customFormat="1" ht="17.25" thickBot="1" x14ac:dyDescent="0.3">
      <c r="A1306" s="641" t="s">
        <v>2294</v>
      </c>
      <c r="B1306" s="642"/>
      <c r="C1306" s="710"/>
      <c r="D1306" s="643"/>
      <c r="E1306" s="643"/>
      <c r="F1306" s="644"/>
      <c r="G1306" s="645"/>
      <c r="H1306" s="646"/>
      <c r="I1306" s="647"/>
      <c r="J1306" s="648"/>
      <c r="K1306" s="649"/>
      <c r="L1306" s="650"/>
      <c r="M1306" s="650"/>
      <c r="N1306" s="644"/>
      <c r="O1306" s="644"/>
      <c r="P1306" s="644"/>
      <c r="Q1306" s="644"/>
      <c r="R1306" s="644"/>
      <c r="S1306" s="701" t="s">
        <v>5253</v>
      </c>
      <c r="T1306" s="102">
        <f t="shared" si="967"/>
        <v>0</v>
      </c>
      <c r="U1306" s="78" t="str">
        <f>IF(NOT(ISNUMBER(G1306)), "", VLOOKUP(A1306,'Discount Lookup'!D:E,2,FALSE)*G1306)</f>
        <v/>
      </c>
      <c r="V1306" s="78" t="str">
        <f>IF(NOT(ISNUMBER(G1306)), "", VLOOKUP(A1306,'Discount Lookup'!G:H,2,FALSE)*G1306)</f>
        <v/>
      </c>
      <c r="W1306" s="102">
        <f t="shared" si="968"/>
        <v>0</v>
      </c>
      <c r="X1306" s="102">
        <f t="shared" si="969"/>
        <v>0</v>
      </c>
      <c r="Y1306" s="120" t="b">
        <f t="shared" si="970"/>
        <v>0</v>
      </c>
      <c r="Z1306" s="117">
        <f t="shared" si="971"/>
        <v>0</v>
      </c>
      <c r="AA1306" s="118"/>
      <c r="AB1306" s="118" t="str">
        <f t="shared" si="972"/>
        <v/>
      </c>
      <c r="AC1306" s="712" t="str">
        <f>IF(AE1306="T2G","no charge",IF(AND(OR(PlanterYesMe="No",PlanterYesMe="N",PlanterYesMe="me"),H1306=""),"",IF(H1306="credit","NO install",IF(AND(K1306="",AE1306="me"),"EACH row",IF(AND(K1306="images",AE1306="me"),"EACH row",IF(D1306="","",IF(H1306="credit","",IF(AE1306="free","re-planting",IF(AE1306="me","   not ELP, by",IF(AND(OR(PlanterYesMe="Yes",PlanterYesMe="Y"),G1306&gt;0),(VLOOKUP(A1306,'Discount Lookup'!J:K,2)*G1306*(1-PlanterDiscount)*(1+PlanterDifficultyPercentage)),IF(AE1306="ELP",(VLOOKUP(A1306,'Discount Lookup'!J:K,2)*G1306*(1-PlanterDiscount)*(1+PlanterDifficultyPercentage)),IF(AE1306="free","re-planting",IF(G1306=0,"",IF(PlanterYesMe="",IF(AE1306="me","   not ELP, by",IF(AE1306="",IF(G1306&gt;0,(VLOOKUP(A1306,'Discount Lookup'!J:K,2)*G1306*(1-PlanterDiscount)*(1+PlanterDifficultyPercentage)),""),"")),"   not ELP, by"))))))))))))))</f>
        <v/>
      </c>
      <c r="AD1306" s="712"/>
      <c r="AE1306" s="513" t="str">
        <f t="shared" si="973"/>
        <v/>
      </c>
      <c r="AF1306" s="713" t="str">
        <f t="shared" si="974"/>
        <v/>
      </c>
      <c r="AG1306" s="713"/>
      <c r="AH1306" s="713"/>
      <c r="AI1306" s="112">
        <f>IF(H1306="credit",0,IF(AE1306="free",0,IF(AE1306="me",0,IF(G1306&gt;0,(VLOOKUP(A1306,'Discount Lookup'!J:K,2)*G1306),0))))</f>
        <v>0</v>
      </c>
      <c r="AJ1306" s="107" t="str">
        <f t="shared" ca="1" si="975"/>
        <v/>
      </c>
      <c r="AK1306" s="714" t="str">
        <f t="shared" si="976"/>
        <v/>
      </c>
      <c r="AL1306" s="714"/>
      <c r="AM1306" s="114" t="str">
        <f t="shared" si="977"/>
        <v/>
      </c>
      <c r="AN1306" s="115"/>
      <c r="AO1306" s="116"/>
      <c r="AP1306" s="116"/>
      <c r="AQ1306" s="116"/>
      <c r="AR1306" s="116"/>
      <c r="AS1306" s="116"/>
      <c r="AT1306" s="116"/>
      <c r="AU1306" s="116"/>
      <c r="AV1306" s="78"/>
      <c r="AW1306" s="102"/>
      <c r="AX1306" s="78"/>
      <c r="AY1306" s="78"/>
      <c r="AZ1306" s="78"/>
      <c r="BA1306" s="78"/>
      <c r="BB1306" s="78"/>
      <c r="BC1306" s="78"/>
      <c r="BD1306" s="78"/>
      <c r="BE1306" s="465"/>
      <c r="BF1306" s="165" t="str">
        <f t="shared" si="978"/>
        <v>https://www.google.com/search?tbm=isch&amp;q=Kousa%20has%20a%20lovely%20spring%20show%2C%20layered%20branches%2C%20and%20jigsaw-like%20bark%20</v>
      </c>
      <c r="BG1306" s="165" t="str">
        <f t="shared" si="979"/>
        <v>K</v>
      </c>
      <c r="BH1306" s="65"/>
      <c r="BI1306" s="65"/>
      <c r="BJ1306" s="65"/>
      <c r="BK1306" s="65"/>
      <c r="BL1306" s="99"/>
      <c r="BM1306" s="99"/>
      <c r="BN1306" s="99"/>
    </row>
    <row r="1307" spans="1:66" s="51" customFormat="1" ht="18" x14ac:dyDescent="0.25">
      <c r="A1307" s="623" t="s">
        <v>2295</v>
      </c>
      <c r="B1307" s="624"/>
      <c r="C1307" s="709"/>
      <c r="D1307" s="625" t="s">
        <v>5641</v>
      </c>
      <c r="E1307" s="626"/>
      <c r="F1307" s="626"/>
      <c r="G1307" s="626"/>
      <c r="H1307" s="622" t="s">
        <v>1158</v>
      </c>
      <c r="I1307" s="627" t="s">
        <v>349</v>
      </c>
      <c r="J1307" s="628"/>
      <c r="K1307" s="628"/>
      <c r="L1307" s="629"/>
      <c r="M1307" s="700" t="s">
        <v>5249</v>
      </c>
      <c r="N1307" s="693" t="str">
        <f>IF(AND(ISTEXT($A1307), ISERROR($A1307+0)), HYPERLINK($BF1307, "Images"), "")</f>
        <v>Images</v>
      </c>
      <c r="O1307" s="695" t="s">
        <v>5247</v>
      </c>
      <c r="P1307" s="630"/>
      <c r="Q1307" s="631"/>
      <c r="R1307" s="632"/>
      <c r="S1307" s="633"/>
      <c r="T1307" s="102">
        <f t="shared" si="967"/>
        <v>0</v>
      </c>
      <c r="U1307" s="78" t="str">
        <f>IF(NOT(ISNUMBER(G1307)), "", VLOOKUP(A1307,'Discount Lookup'!D:E,2,FALSE)*G1307)</f>
        <v/>
      </c>
      <c r="V1307" s="78" t="str">
        <f>IF(NOT(ISNUMBER(G1307)), "", VLOOKUP(A1307,'Discount Lookup'!G:H,2,FALSE)*G1307)</f>
        <v/>
      </c>
      <c r="W1307" s="102">
        <f t="shared" si="968"/>
        <v>0</v>
      </c>
      <c r="X1307" s="102" t="str">
        <f t="shared" si="969"/>
        <v>White bloom</v>
      </c>
      <c r="Y1307" s="120" t="b">
        <f t="shared" si="970"/>
        <v>0</v>
      </c>
      <c r="Z1307" s="117">
        <f t="shared" si="971"/>
        <v>0</v>
      </c>
      <c r="AA1307" s="118"/>
      <c r="AB1307" s="118" t="str">
        <f t="shared" si="972"/>
        <v/>
      </c>
      <c r="AC1307" s="712" t="str">
        <f>IF(AE1307="T2G","no charge",IF(AND(OR(PlanterYesMe="No",PlanterYesMe="N",PlanterYesMe="me"),H1307=""),"",IF(H1307="credit","NO install",IF(AND(K1307="",AE1307="me"),"EACH row",IF(AND(K1307="images",AE1307="me"),"EACH row",IF(D1307="","",IF(H1307="credit","",IF(AE1307="free","re-planting",IF(AE1307="me","   not ELP, by",IF(AND(OR(PlanterYesMe="Yes",PlanterYesMe="Y"),G1307&gt;0),(VLOOKUP(A1307,'Discount Lookup'!J:K,2)*G1307*(1-PlanterDiscount)*(1+PlanterDifficultyPercentage)),IF(AE1307="ELP",(VLOOKUP(A1307,'Discount Lookup'!J:K,2)*G1307*(1-PlanterDiscount)*(1+PlanterDifficultyPercentage)),IF(AE1307="free","re-planting",IF(G1307=0,"",IF(PlanterYesMe="",IF(AE1307="me","   not ELP, by",IF(AE1307="",IF(G1307&gt;0,(VLOOKUP(A1307,'Discount Lookup'!J:K,2)*G1307*(1-PlanterDiscount)*(1+PlanterDifficultyPercentage)),""),"")),"   not ELP, by"))))))))))))))</f>
        <v/>
      </c>
      <c r="AD1307" s="712"/>
      <c r="AE1307" s="513" t="str">
        <f t="shared" si="973"/>
        <v/>
      </c>
      <c r="AF1307" s="713" t="str">
        <f t="shared" si="974"/>
        <v/>
      </c>
      <c r="AG1307" s="713"/>
      <c r="AH1307" s="713"/>
      <c r="AI1307" s="112">
        <f>IF(H1307="credit",0,IF(AE1307="free",0,IF(AE1307="me",0,IF(G1307&gt;0,(VLOOKUP(A1307,'Discount Lookup'!J:K,2)*G1307),0))))</f>
        <v>0</v>
      </c>
      <c r="AJ1307" s="107" t="str">
        <f t="shared" ca="1" si="975"/>
        <v/>
      </c>
      <c r="AK1307" s="714" t="str">
        <f t="shared" si="976"/>
        <v/>
      </c>
      <c r="AL1307" s="714"/>
      <c r="AM1307" s="114" t="str">
        <f t="shared" si="977"/>
        <v/>
      </c>
      <c r="AN1307" s="115"/>
      <c r="AO1307" s="116"/>
      <c r="AP1307" s="116"/>
      <c r="AQ1307" s="116"/>
      <c r="AR1307" s="116"/>
      <c r="AS1307" s="116"/>
      <c r="AT1307" s="116"/>
      <c r="AU1307" s="116"/>
      <c r="AV1307" s="78"/>
      <c r="AW1307" s="102"/>
      <c r="AX1307" s="78"/>
      <c r="AY1307" s="78"/>
      <c r="AZ1307" s="78"/>
      <c r="BA1307" s="78"/>
      <c r="BB1307" s="78"/>
      <c r="BC1307" s="78"/>
      <c r="BD1307" s="78"/>
      <c r="BE1307" s="465"/>
      <c r="BF1307" s="165" t="str">
        <f t="shared" si="978"/>
        <v>https://www.google.com/search?tbm=isch&amp;q=Cornus%20kousa%20%27Galzam%27%20PP%2315788%20Galilean%E2%84%A2%20Kousa%20Dogwood</v>
      </c>
      <c r="BG1307" s="165" t="str">
        <f t="shared" si="979"/>
        <v>C</v>
      </c>
      <c r="BH1307" s="65"/>
      <c r="BI1307" s="65"/>
      <c r="BJ1307" s="65"/>
      <c r="BK1307" s="65"/>
      <c r="BL1307" s="99"/>
      <c r="BM1307" s="99"/>
      <c r="BN1307" s="99"/>
    </row>
    <row r="1308" spans="1:66" s="51" customFormat="1" ht="15.75" x14ac:dyDescent="0.25">
      <c r="A1308" s="634">
        <v>7</v>
      </c>
      <c r="B1308" s="635" t="s">
        <v>291</v>
      </c>
      <c r="C1308" s="636" t="s">
        <v>2296</v>
      </c>
      <c r="D1308" s="637" t="s">
        <v>299</v>
      </c>
      <c r="E1308" s="638">
        <v>104.95</v>
      </c>
      <c r="F1308" s="639" t="s">
        <v>292</v>
      </c>
      <c r="G1308" s="484">
        <v>0</v>
      </c>
      <c r="H1308" s="691" t="str">
        <f>IF(G1308=0,"",IF(F1308="Buy",IF(G1308=1,"plant","plants"),IF(F1308&gt;0.01,"warranty","Error")))</f>
        <v/>
      </c>
      <c r="I1308" s="640">
        <f>IF(H1308="free",0,IF(H1308="credit",((E1308*(F1308))*G1308*-1),IF(F1308="Buy",(E1308*G1308),((E1308*(1-F1308))*G1308))))</f>
        <v>0</v>
      </c>
      <c r="J1308" s="640">
        <f>IF(H1308="warranty",0,(I1308*(_xlfn.SINGLE(SalesTaxPercentage))))</f>
        <v>0</v>
      </c>
      <c r="K1308" s="716">
        <f t="shared" ref="K1308" si="985">I1308+J1308</f>
        <v>0</v>
      </c>
      <c r="L1308" s="716"/>
      <c r="M1308" s="689" t="str">
        <f ca="1">IF(AND(G1308&gt;0,E1308=0),"WARNING - no PRICE inserted",IF(H1308="free","FREE ~ no charge this plant",IF(H1308="credit",CONCATENATE("-$",ROUND(K1308*(1-_xlfn.SINGLE(T2GDiscount))*-1,2)," CREDIT after discount"),IF(_xlfn.SINGLE(T2GDiscount)=0,"",IF(G1308=0,"",IF(F1308="Buy",CONCATENATE("$",ROUND(K1308*(1-_xlfn.SINGLE(T2GDiscount)),2)," with ",(_xlfn.SINGLE(T2GDiscount)*100),"% discount"),CONCATENATE("$",ROUND(K1308*(1-_xlfn.SINGLE(T2GDiscount)),2)," with ",((_xlfn.SINGLE(T2GDiscount)*100+F1308*100)-(_xlfn.SINGLE(T2GDiscount)*100*F1308)),IF(F1308&gt;0,"% discounts",IF(_xlfn.SINGLE(NoWarrantyDiscount)&gt;0,"% discounts","% discount")))))))))</f>
        <v/>
      </c>
      <c r="N1308" s="690"/>
      <c r="O1308" s="486"/>
      <c r="P1308" s="486"/>
      <c r="Q1308" s="486"/>
      <c r="R1308" s="486"/>
      <c r="S1308" s="486"/>
      <c r="T1308" s="102">
        <f t="shared" si="967"/>
        <v>0</v>
      </c>
      <c r="U1308" s="78">
        <f>IF(NOT(ISNUMBER(G1308)), "", VLOOKUP(A1308,'Discount Lookup'!D:E,2,FALSE)*G1308)</f>
        <v>0</v>
      </c>
      <c r="V1308" s="78">
        <f>IF(NOT(ISNUMBER(G1308)), "", VLOOKUP(A1308,'Discount Lookup'!G:H,2,FALSE)*G1308)</f>
        <v>0</v>
      </c>
      <c r="W1308" s="102">
        <f t="shared" si="968"/>
        <v>0</v>
      </c>
      <c r="X1308" s="102">
        <f t="shared" si="969"/>
        <v>0</v>
      </c>
      <c r="Y1308" s="120" t="b">
        <f t="shared" si="970"/>
        <v>0</v>
      </c>
      <c r="Z1308" s="117">
        <f t="shared" si="971"/>
        <v>0</v>
      </c>
      <c r="AA1308" s="118"/>
      <c r="AB1308" s="118" t="str">
        <f t="shared" si="972"/>
        <v/>
      </c>
      <c r="AC1308" s="712" t="str">
        <f>IF(AE1308="T2G","no charge",IF(AND(OR(PlanterYesMe="No",PlanterYesMe="N",PlanterYesMe="me"),H1308=""),"",IF(H1308="credit","NO install",IF(AND(K1308="",AE1308="me"),"EACH row",IF(AND(K1308="images",AE1308="me"),"EACH row",IF(D1308="","",IF(H1308="credit","",IF(AE1308="free","re-planting",IF(AE1308="me","   not ELP, by",IF(AND(OR(PlanterYesMe="Yes",PlanterYesMe="Y"),G1308&gt;0),(VLOOKUP(A1308,'Discount Lookup'!J:K,2)*G1308*(1-PlanterDiscount)*(1+PlanterDifficultyPercentage)),IF(AE1308="ELP",(VLOOKUP(A1308,'Discount Lookup'!J:K,2)*G1308*(1-PlanterDiscount)*(1+PlanterDifficultyPercentage)),IF(AE1308="free","re-planting",IF(G1308=0,"",IF(PlanterYesMe="",IF(AE1308="me","   not ELP, by",IF(AE1308="",IF(G1308&gt;0,(VLOOKUP(A1308,'Discount Lookup'!J:K,2)*G1308*(1-PlanterDiscount)*(1+PlanterDifficultyPercentage)),""),"")),"   not ELP, by"))))))))))))))</f>
        <v/>
      </c>
      <c r="AD1308" s="712"/>
      <c r="AE1308" s="513" t="str">
        <f t="shared" si="973"/>
        <v/>
      </c>
      <c r="AF1308" s="713" t="str">
        <f t="shared" si="974"/>
        <v/>
      </c>
      <c r="AG1308" s="713"/>
      <c r="AH1308" s="713"/>
      <c r="AI1308" s="112">
        <f>IF(H1308="credit",0,IF(AE1308="free",0,IF(AE1308="me",0,IF(G1308&gt;0,(VLOOKUP(A1308,'Discount Lookup'!J:K,2)*G1308),0))))</f>
        <v>0</v>
      </c>
      <c r="AJ1308" s="107" t="str">
        <f t="shared" ca="1" si="975"/>
        <v/>
      </c>
      <c r="AK1308" s="714" t="str">
        <f t="shared" si="976"/>
        <v/>
      </c>
      <c r="AL1308" s="714"/>
      <c r="AM1308" s="114" t="str">
        <f t="shared" si="977"/>
        <v/>
      </c>
      <c r="AN1308" s="115"/>
      <c r="AO1308" s="116"/>
      <c r="AP1308" s="116"/>
      <c r="AQ1308" s="116"/>
      <c r="AR1308" s="116"/>
      <c r="AS1308" s="116"/>
      <c r="AT1308" s="116"/>
      <c r="AU1308" s="116"/>
      <c r="AV1308" s="78"/>
      <c r="AW1308" s="102"/>
      <c r="AX1308" s="78"/>
      <c r="AY1308" s="78"/>
      <c r="AZ1308" s="78"/>
      <c r="BA1308" s="78"/>
      <c r="BB1308" s="78"/>
      <c r="BC1308" s="78"/>
      <c r="BD1308" s="78"/>
      <c r="BE1308" s="465"/>
      <c r="BF1308" s="165" t="str">
        <f t="shared" si="978"/>
        <v>https://www.google.com/search?tbm=isch&amp;q=7%20G4</v>
      </c>
      <c r="BG1308" s="165" t="str">
        <f t="shared" si="979"/>
        <v>C</v>
      </c>
      <c r="BH1308" s="65"/>
      <c r="BI1308" s="65"/>
      <c r="BJ1308" s="65"/>
      <c r="BK1308" s="65"/>
      <c r="BL1308" s="99"/>
      <c r="BM1308" s="99"/>
      <c r="BN1308" s="99"/>
    </row>
    <row r="1309" spans="1:66" s="51" customFormat="1" ht="17.25" thickBot="1" x14ac:dyDescent="0.3">
      <c r="A1309" s="641" t="s">
        <v>2297</v>
      </c>
      <c r="B1309" s="642"/>
      <c r="C1309" s="710"/>
      <c r="D1309" s="643"/>
      <c r="E1309" s="643"/>
      <c r="F1309" s="644"/>
      <c r="G1309" s="645"/>
      <c r="H1309" s="646"/>
      <c r="I1309" s="647"/>
      <c r="J1309" s="648"/>
      <c r="K1309" s="649"/>
      <c r="L1309" s="650"/>
      <c r="M1309" s="650"/>
      <c r="N1309" s="644"/>
      <c r="O1309" s="644"/>
      <c r="P1309" s="644"/>
      <c r="Q1309" s="644"/>
      <c r="R1309" s="644"/>
      <c r="S1309" s="701" t="s">
        <v>5262</v>
      </c>
      <c r="T1309" s="102">
        <f t="shared" si="967"/>
        <v>0</v>
      </c>
      <c r="U1309" s="78" t="str">
        <f>IF(NOT(ISNUMBER(G1309)), "", VLOOKUP(A1309,'Discount Lookup'!D:E,2,FALSE)*G1309)</f>
        <v/>
      </c>
      <c r="V1309" s="78" t="str">
        <f>IF(NOT(ISNUMBER(G1309)), "", VLOOKUP(A1309,'Discount Lookup'!G:H,2,FALSE)*G1309)</f>
        <v/>
      </c>
      <c r="W1309" s="102">
        <f t="shared" si="968"/>
        <v>0</v>
      </c>
      <c r="X1309" s="102">
        <f t="shared" si="969"/>
        <v>0</v>
      </c>
      <c r="Y1309" s="120" t="b">
        <f t="shared" si="970"/>
        <v>0</v>
      </c>
      <c r="Z1309" s="117">
        <f t="shared" si="971"/>
        <v>0</v>
      </c>
      <c r="AA1309" s="118"/>
      <c r="AB1309" s="118" t="str">
        <f t="shared" si="972"/>
        <v/>
      </c>
      <c r="AC1309" s="712" t="str">
        <f>IF(AE1309="T2G","no charge",IF(AND(OR(PlanterYesMe="No",PlanterYesMe="N",PlanterYesMe="me"),H1309=""),"",IF(H1309="credit","NO install",IF(AND(K1309="",AE1309="me"),"EACH row",IF(AND(K1309="images",AE1309="me"),"EACH row",IF(D1309="","",IF(H1309="credit","",IF(AE1309="free","re-planting",IF(AE1309="me","   not ELP, by",IF(AND(OR(PlanterYesMe="Yes",PlanterYesMe="Y"),G1309&gt;0),(VLOOKUP(A1309,'Discount Lookup'!J:K,2)*G1309*(1-PlanterDiscount)*(1+PlanterDifficultyPercentage)),IF(AE1309="ELP",(VLOOKUP(A1309,'Discount Lookup'!J:K,2)*G1309*(1-PlanterDiscount)*(1+PlanterDifficultyPercentage)),IF(AE1309="free","re-planting",IF(G1309=0,"",IF(PlanterYesMe="",IF(AE1309="me","   not ELP, by",IF(AE1309="",IF(G1309&gt;0,(VLOOKUP(A1309,'Discount Lookup'!J:K,2)*G1309*(1-PlanterDiscount)*(1+PlanterDifficultyPercentage)),""),"")),"   not ELP, by"))))))))))))))</f>
        <v/>
      </c>
      <c r="AD1309" s="712"/>
      <c r="AE1309" s="513" t="str">
        <f t="shared" si="973"/>
        <v/>
      </c>
      <c r="AF1309" s="713" t="str">
        <f t="shared" si="974"/>
        <v/>
      </c>
      <c r="AG1309" s="713"/>
      <c r="AH1309" s="713"/>
      <c r="AI1309" s="112">
        <f>IF(H1309="credit",0,IF(AE1309="free",0,IF(AE1309="me",0,IF(G1309&gt;0,(VLOOKUP(A1309,'Discount Lookup'!J:K,2)*G1309),0))))</f>
        <v>0</v>
      </c>
      <c r="AJ1309" s="107" t="str">
        <f t="shared" ca="1" si="975"/>
        <v/>
      </c>
      <c r="AK1309" s="714" t="str">
        <f t="shared" si="976"/>
        <v/>
      </c>
      <c r="AL1309" s="714"/>
      <c r="AM1309" s="114" t="str">
        <f t="shared" si="977"/>
        <v/>
      </c>
      <c r="AN1309" s="115"/>
      <c r="AO1309" s="116"/>
      <c r="AP1309" s="116"/>
      <c r="AQ1309" s="116"/>
      <c r="AR1309" s="116"/>
      <c r="AS1309" s="116"/>
      <c r="AT1309" s="116"/>
      <c r="AU1309" s="116"/>
      <c r="AV1309" s="78"/>
      <c r="AW1309" s="102"/>
      <c r="AX1309" s="78"/>
      <c r="AY1309" s="78"/>
      <c r="AZ1309" s="78"/>
      <c r="BA1309" s="78"/>
      <c r="BB1309" s="78"/>
      <c r="BC1309" s="78"/>
      <c r="BD1309" s="78"/>
      <c r="BE1309" s="465"/>
      <c r="BF1309" s="165" t="str">
        <f t="shared" si="978"/>
        <v>https://www.google.com/search?tbm=isch&amp;q=Galilean%20sports%20extra-large%20flowers.%20Late%20summer%20fruit%20resembles%20raspberiies.%20Exfoliating%20gray%20bark%20</v>
      </c>
      <c r="BG1309" s="165" t="str">
        <f t="shared" si="979"/>
        <v>G</v>
      </c>
      <c r="BH1309" s="65"/>
      <c r="BI1309" s="65"/>
      <c r="BJ1309" s="65"/>
      <c r="BK1309" s="65"/>
      <c r="BL1309" s="99"/>
      <c r="BM1309" s="99"/>
      <c r="BN1309" s="99"/>
    </row>
    <row r="1310" spans="1:66" s="51" customFormat="1" ht="18" x14ac:dyDescent="0.25">
      <c r="A1310" s="623" t="s">
        <v>2298</v>
      </c>
      <c r="B1310" s="624"/>
      <c r="C1310" s="709"/>
      <c r="D1310" s="625" t="s">
        <v>2299</v>
      </c>
      <c r="E1310" s="626"/>
      <c r="F1310" s="626"/>
      <c r="G1310" s="626"/>
      <c r="H1310" s="622" t="s">
        <v>1174</v>
      </c>
      <c r="I1310" s="627" t="s">
        <v>2300</v>
      </c>
      <c r="J1310" s="628"/>
      <c r="K1310" s="628"/>
      <c r="L1310" s="629"/>
      <c r="M1310" s="700" t="s">
        <v>5249</v>
      </c>
      <c r="N1310" s="693" t="str">
        <f>IF(AND(ISTEXT($A1310), ISERROR($A1310+0)), HYPERLINK($BF1310, "Images"), "")</f>
        <v>Images</v>
      </c>
      <c r="O1310" s="695" t="s">
        <v>5247</v>
      </c>
      <c r="P1310" s="630"/>
      <c r="Q1310" s="631"/>
      <c r="R1310" s="632"/>
      <c r="S1310" s="633"/>
      <c r="T1310" s="102">
        <f t="shared" si="967"/>
        <v>0</v>
      </c>
      <c r="U1310" s="78" t="str">
        <f>IF(NOT(ISNUMBER(G1310)), "", VLOOKUP(A1310,'Discount Lookup'!D:E,2,FALSE)*G1310)</f>
        <v/>
      </c>
      <c r="V1310" s="78" t="str">
        <f>IF(NOT(ISNUMBER(G1310)), "", VLOOKUP(A1310,'Discount Lookup'!G:H,2,FALSE)*G1310)</f>
        <v/>
      </c>
      <c r="W1310" s="102">
        <f t="shared" si="968"/>
        <v>0</v>
      </c>
      <c r="X1310" s="102" t="str">
        <f t="shared" si="969"/>
        <v>Green morphs to White</v>
      </c>
      <c r="Y1310" s="120" t="b">
        <f t="shared" si="970"/>
        <v>0</v>
      </c>
      <c r="Z1310" s="117">
        <f t="shared" si="971"/>
        <v>0</v>
      </c>
      <c r="AA1310" s="118"/>
      <c r="AB1310" s="118" t="str">
        <f t="shared" si="972"/>
        <v/>
      </c>
      <c r="AC1310" s="712" t="str">
        <f>IF(AE1310="T2G","no charge",IF(AND(OR(PlanterYesMe="No",PlanterYesMe="N",PlanterYesMe="me"),H1310=""),"",IF(H1310="credit","NO install",IF(AND(K1310="",AE1310="me"),"EACH row",IF(AND(K1310="images",AE1310="me"),"EACH row",IF(D1310="","",IF(H1310="credit","",IF(AE1310="free","re-planting",IF(AE1310="me","   not ELP, by",IF(AND(OR(PlanterYesMe="Yes",PlanterYesMe="Y"),G1310&gt;0),(VLOOKUP(A1310,'Discount Lookup'!J:K,2)*G1310*(1-PlanterDiscount)*(1+PlanterDifficultyPercentage)),IF(AE1310="ELP",(VLOOKUP(A1310,'Discount Lookup'!J:K,2)*G1310*(1-PlanterDiscount)*(1+PlanterDifficultyPercentage)),IF(AE1310="free","re-planting",IF(G1310=0,"",IF(PlanterYesMe="",IF(AE1310="me","   not ELP, by",IF(AE1310="",IF(G1310&gt;0,(VLOOKUP(A1310,'Discount Lookup'!J:K,2)*G1310*(1-PlanterDiscount)*(1+PlanterDifficultyPercentage)),""),"")),"   not ELP, by"))))))))))))))</f>
        <v/>
      </c>
      <c r="AD1310" s="712"/>
      <c r="AE1310" s="513" t="str">
        <f t="shared" si="973"/>
        <v/>
      </c>
      <c r="AF1310" s="713" t="str">
        <f t="shared" si="974"/>
        <v/>
      </c>
      <c r="AG1310" s="713"/>
      <c r="AH1310" s="713"/>
      <c r="AI1310" s="112">
        <f>IF(H1310="credit",0,IF(AE1310="free",0,IF(AE1310="me",0,IF(G1310&gt;0,(VLOOKUP(A1310,'Discount Lookup'!J:K,2)*G1310),0))))</f>
        <v>0</v>
      </c>
      <c r="AJ1310" s="107" t="str">
        <f t="shared" ca="1" si="975"/>
        <v/>
      </c>
      <c r="AK1310" s="714" t="str">
        <f t="shared" si="976"/>
        <v/>
      </c>
      <c r="AL1310" s="714"/>
      <c r="AM1310" s="114" t="str">
        <f t="shared" si="977"/>
        <v/>
      </c>
      <c r="AN1310" s="115"/>
      <c r="AO1310" s="116"/>
      <c r="AP1310" s="116"/>
      <c r="AQ1310" s="116"/>
      <c r="AR1310" s="116"/>
      <c r="AS1310" s="116"/>
      <c r="AT1310" s="116"/>
      <c r="AU1310" s="116"/>
      <c r="AV1310" s="78"/>
      <c r="AW1310" s="102"/>
      <c r="AX1310" s="78"/>
      <c r="AY1310" s="78"/>
      <c r="AZ1310" s="78"/>
      <c r="BA1310" s="78"/>
      <c r="BB1310" s="78"/>
      <c r="BC1310" s="78"/>
      <c r="BD1310" s="78"/>
      <c r="BE1310" s="465"/>
      <c r="BF1310" s="165" t="str">
        <f t="shared" si="978"/>
        <v>https://www.google.com/search?tbm=isch&amp;q=Cornus%20kousa%20%27Greensleeves%27%20Greensleeves%20Kousa%20Dogwood</v>
      </c>
      <c r="BG1310" s="165" t="str">
        <f t="shared" si="979"/>
        <v>C</v>
      </c>
      <c r="BH1310" s="65"/>
      <c r="BI1310" s="65"/>
      <c r="BJ1310" s="65"/>
      <c r="BK1310" s="65"/>
      <c r="BL1310" s="99"/>
      <c r="BM1310" s="99"/>
      <c r="BN1310" s="99"/>
    </row>
    <row r="1311" spans="1:66" s="51" customFormat="1" ht="15.75" x14ac:dyDescent="0.25">
      <c r="A1311" s="634">
        <v>7</v>
      </c>
      <c r="B1311" s="635" t="s">
        <v>291</v>
      </c>
      <c r="C1311" s="636" t="s">
        <v>4598</v>
      </c>
      <c r="D1311" s="637" t="s">
        <v>299</v>
      </c>
      <c r="E1311" s="638">
        <v>102.95</v>
      </c>
      <c r="F1311" s="639" t="s">
        <v>292</v>
      </c>
      <c r="G1311" s="484">
        <v>0</v>
      </c>
      <c r="H1311" s="691" t="str">
        <f>IF(G1311=0,"",IF(F1311="Buy",IF(G1311=1,"plant","plants"),IF(F1311&gt;0.01,"warranty","Error")))</f>
        <v/>
      </c>
      <c r="I1311" s="640">
        <f>IF(H1311="free",0,IF(H1311="credit",((E1311*(F1311))*G1311*-1),IF(F1311="Buy",(E1311*G1311),((E1311*(1-F1311))*G1311))))</f>
        <v>0</v>
      </c>
      <c r="J1311" s="640">
        <f>IF(H1311="warranty",0,(I1311*(_xlfn.SINGLE(SalesTaxPercentage))))</f>
        <v>0</v>
      </c>
      <c r="K1311" s="716">
        <f t="shared" ref="K1311" si="986">I1311+J1311</f>
        <v>0</v>
      </c>
      <c r="L1311" s="716"/>
      <c r="M1311" s="689" t="str">
        <f ca="1">IF(AND(G1311&gt;0,E1311=0),"WARNING - no PRICE inserted",IF(H1311="free","FREE ~ no charge this plant",IF(H1311="credit",CONCATENATE("-$",ROUND(K1311*(1-_xlfn.SINGLE(T2GDiscount))*-1,2)," CREDIT after discount"),IF(_xlfn.SINGLE(T2GDiscount)=0,"",IF(G1311=0,"",IF(F1311="Buy",CONCATENATE("$",ROUND(K1311*(1-_xlfn.SINGLE(T2GDiscount)),2)," with ",(_xlfn.SINGLE(T2GDiscount)*100),"% discount"),CONCATENATE("$",ROUND(K1311*(1-_xlfn.SINGLE(T2GDiscount)),2)," with ",((_xlfn.SINGLE(T2GDiscount)*100+F1311*100)-(_xlfn.SINGLE(T2GDiscount)*100*F1311)),IF(F1311&gt;0,"% discounts",IF(_xlfn.SINGLE(NoWarrantyDiscount)&gt;0,"% discounts","% discount")))))))))</f>
        <v/>
      </c>
      <c r="N1311" s="690"/>
      <c r="O1311" s="486"/>
      <c r="P1311" s="486"/>
      <c r="Q1311" s="486"/>
      <c r="R1311" s="486"/>
      <c r="S1311" s="486"/>
      <c r="T1311" s="102">
        <f t="shared" si="967"/>
        <v>0</v>
      </c>
      <c r="U1311" s="78">
        <f>IF(NOT(ISNUMBER(G1311)), "", VLOOKUP(A1311,'Discount Lookup'!D:E,2,FALSE)*G1311)</f>
        <v>0</v>
      </c>
      <c r="V1311" s="78">
        <f>IF(NOT(ISNUMBER(G1311)), "", VLOOKUP(A1311,'Discount Lookup'!G:H,2,FALSE)*G1311)</f>
        <v>0</v>
      </c>
      <c r="W1311" s="102">
        <f t="shared" si="968"/>
        <v>0</v>
      </c>
      <c r="X1311" s="102">
        <f t="shared" si="969"/>
        <v>0</v>
      </c>
      <c r="Y1311" s="120" t="b">
        <f t="shared" si="970"/>
        <v>0</v>
      </c>
      <c r="Z1311" s="117">
        <f t="shared" si="971"/>
        <v>0</v>
      </c>
      <c r="AA1311" s="118"/>
      <c r="AB1311" s="118" t="str">
        <f t="shared" si="972"/>
        <v/>
      </c>
      <c r="AC1311" s="712" t="str">
        <f>IF(AE1311="T2G","no charge",IF(AND(OR(PlanterYesMe="No",PlanterYesMe="N",PlanterYesMe="me"),H1311=""),"",IF(H1311="credit","NO install",IF(AND(K1311="",AE1311="me"),"EACH row",IF(AND(K1311="images",AE1311="me"),"EACH row",IF(D1311="","",IF(H1311="credit","",IF(AE1311="free","re-planting",IF(AE1311="me","   not ELP, by",IF(AND(OR(PlanterYesMe="Yes",PlanterYesMe="Y"),G1311&gt;0),(VLOOKUP(A1311,'Discount Lookup'!J:K,2)*G1311*(1-PlanterDiscount)*(1+PlanterDifficultyPercentage)),IF(AE1311="ELP",(VLOOKUP(A1311,'Discount Lookup'!J:K,2)*G1311*(1-PlanterDiscount)*(1+PlanterDifficultyPercentage)),IF(AE1311="free","re-planting",IF(G1311=0,"",IF(PlanterYesMe="",IF(AE1311="me","   not ELP, by",IF(AE1311="",IF(G1311&gt;0,(VLOOKUP(A1311,'Discount Lookup'!J:K,2)*G1311*(1-PlanterDiscount)*(1+PlanterDifficultyPercentage)),""),"")),"   not ELP, by"))))))))))))))</f>
        <v/>
      </c>
      <c r="AD1311" s="712"/>
      <c r="AE1311" s="513" t="str">
        <f t="shared" si="973"/>
        <v/>
      </c>
      <c r="AF1311" s="713" t="str">
        <f t="shared" si="974"/>
        <v/>
      </c>
      <c r="AG1311" s="713"/>
      <c r="AH1311" s="713"/>
      <c r="AI1311" s="112">
        <f>IF(H1311="credit",0,IF(AE1311="free",0,IF(AE1311="me",0,IF(G1311&gt;0,(VLOOKUP(A1311,'Discount Lookup'!J:K,2)*G1311),0))))</f>
        <v>0</v>
      </c>
      <c r="AJ1311" s="107" t="str">
        <f t="shared" ca="1" si="975"/>
        <v/>
      </c>
      <c r="AK1311" s="714" t="str">
        <f t="shared" si="976"/>
        <v/>
      </c>
      <c r="AL1311" s="714"/>
      <c r="AM1311" s="114" t="str">
        <f t="shared" si="977"/>
        <v/>
      </c>
      <c r="AN1311" s="115"/>
      <c r="AO1311" s="116"/>
      <c r="AP1311" s="116"/>
      <c r="AQ1311" s="116"/>
      <c r="AR1311" s="116"/>
      <c r="AS1311" s="116"/>
      <c r="AT1311" s="116"/>
      <c r="AU1311" s="116"/>
      <c r="AV1311" s="78"/>
      <c r="AW1311" s="102"/>
      <c r="AX1311" s="78"/>
      <c r="AY1311" s="78"/>
      <c r="AZ1311" s="78"/>
      <c r="BA1311" s="78"/>
      <c r="BB1311" s="78"/>
      <c r="BC1311" s="78"/>
      <c r="BD1311" s="78"/>
      <c r="BE1311" s="465"/>
      <c r="BF1311" s="165" t="str">
        <f t="shared" si="978"/>
        <v>https://www.google.com/search?tbm=isch&amp;q=7%20G4</v>
      </c>
      <c r="BG1311" s="165" t="str">
        <f t="shared" si="979"/>
        <v>C</v>
      </c>
      <c r="BH1311" s="65"/>
      <c r="BI1311" s="65"/>
      <c r="BJ1311" s="65"/>
      <c r="BK1311" s="65"/>
      <c r="BL1311" s="99"/>
      <c r="BM1311" s="99"/>
      <c r="BN1311" s="99"/>
    </row>
    <row r="1312" spans="1:66" s="51" customFormat="1" ht="15.75" x14ac:dyDescent="0.25">
      <c r="A1312" s="634">
        <v>15</v>
      </c>
      <c r="B1312" s="635" t="s">
        <v>291</v>
      </c>
      <c r="C1312" s="636" t="s">
        <v>2301</v>
      </c>
      <c r="D1312" s="637" t="s">
        <v>311</v>
      </c>
      <c r="E1312" s="638">
        <v>183.95</v>
      </c>
      <c r="F1312" s="639" t="s">
        <v>292</v>
      </c>
      <c r="G1312" s="484">
        <v>0</v>
      </c>
      <c r="H1312" s="691" t="str">
        <f>IF(G1312=0,"",IF(F1312="Buy",IF(G1312=1,"plant","plants"),IF(F1312&gt;0.01,"warranty","Error")))</f>
        <v/>
      </c>
      <c r="I1312" s="640">
        <f>IF(H1312="free",0,IF(H1312="credit",((E1312*(F1312))*G1312*-1),IF(F1312="Buy",(E1312*G1312),((E1312*(1-F1312))*G1312))))</f>
        <v>0</v>
      </c>
      <c r="J1312" s="640">
        <f>IF(H1312="warranty",0,(I1312*(_xlfn.SINGLE(SalesTaxPercentage))))</f>
        <v>0</v>
      </c>
      <c r="K1312" s="716">
        <f t="shared" ref="K1312" si="987">I1312+J1312</f>
        <v>0</v>
      </c>
      <c r="L1312" s="716"/>
      <c r="M1312" s="689" t="str">
        <f ca="1">IF(AND(G1312&gt;0,E1312=0),"WARNING - no PRICE inserted",IF(H1312="free","FREE ~ no charge this plant",IF(H1312="credit",CONCATENATE("-$",ROUND(K1312*(1-_xlfn.SINGLE(T2GDiscount))*-1,2)," CREDIT after discount"),IF(_xlfn.SINGLE(T2GDiscount)=0,"",IF(G1312=0,"",IF(F1312="Buy",CONCATENATE("$",ROUND(K1312*(1-_xlfn.SINGLE(T2GDiscount)),2)," with ",(_xlfn.SINGLE(T2GDiscount)*100),"% discount"),CONCATENATE("$",ROUND(K1312*(1-_xlfn.SINGLE(T2GDiscount)),2)," with ",((_xlfn.SINGLE(T2GDiscount)*100+F1312*100)-(_xlfn.SINGLE(T2GDiscount)*100*F1312)),IF(F1312&gt;0,"% discounts",IF(_xlfn.SINGLE(NoWarrantyDiscount)&gt;0,"% discounts","% discount")))))))))</f>
        <v/>
      </c>
      <c r="N1312" s="690"/>
      <c r="O1312" s="486"/>
      <c r="P1312" s="486"/>
      <c r="Q1312" s="486"/>
      <c r="R1312" s="486"/>
      <c r="S1312" s="486"/>
      <c r="T1312" s="102">
        <f t="shared" si="967"/>
        <v>0</v>
      </c>
      <c r="U1312" s="78">
        <f>IF(NOT(ISNUMBER(G1312)), "", VLOOKUP(A1312,'Discount Lookup'!D:E,2,FALSE)*G1312)</f>
        <v>0</v>
      </c>
      <c r="V1312" s="78">
        <f>IF(NOT(ISNUMBER(G1312)), "", VLOOKUP(A1312,'Discount Lookup'!G:H,2,FALSE)*G1312)</f>
        <v>0</v>
      </c>
      <c r="W1312" s="102">
        <f t="shared" si="968"/>
        <v>0</v>
      </c>
      <c r="X1312" s="102">
        <f t="shared" si="969"/>
        <v>0</v>
      </c>
      <c r="Y1312" s="120" t="b">
        <f t="shared" si="970"/>
        <v>0</v>
      </c>
      <c r="Z1312" s="117">
        <f t="shared" si="971"/>
        <v>0</v>
      </c>
      <c r="AA1312" s="118"/>
      <c r="AB1312" s="118" t="str">
        <f t="shared" si="972"/>
        <v/>
      </c>
      <c r="AC1312" s="712" t="str">
        <f>IF(AE1312="T2G","no charge",IF(AND(OR(PlanterYesMe="No",PlanterYesMe="N",PlanterYesMe="me"),H1312=""),"",IF(H1312="credit","NO install",IF(AND(K1312="",AE1312="me"),"EACH row",IF(AND(K1312="images",AE1312="me"),"EACH row",IF(D1312="","",IF(H1312="credit","",IF(AE1312="free","re-planting",IF(AE1312="me","   not ELP, by",IF(AND(OR(PlanterYesMe="Yes",PlanterYesMe="Y"),G1312&gt;0),(VLOOKUP(A1312,'Discount Lookup'!J:K,2)*G1312*(1-PlanterDiscount)*(1+PlanterDifficultyPercentage)),IF(AE1312="ELP",(VLOOKUP(A1312,'Discount Lookup'!J:K,2)*G1312*(1-PlanterDiscount)*(1+PlanterDifficultyPercentage)),IF(AE1312="free","re-planting",IF(G1312=0,"",IF(PlanterYesMe="",IF(AE1312="me","   not ELP, by",IF(AE1312="",IF(G1312&gt;0,(VLOOKUP(A1312,'Discount Lookup'!J:K,2)*G1312*(1-PlanterDiscount)*(1+PlanterDifficultyPercentage)),""),"")),"   not ELP, by"))))))))))))))</f>
        <v/>
      </c>
      <c r="AD1312" s="712"/>
      <c r="AE1312" s="513" t="str">
        <f t="shared" si="973"/>
        <v/>
      </c>
      <c r="AF1312" s="713" t="str">
        <f t="shared" si="974"/>
        <v/>
      </c>
      <c r="AG1312" s="713"/>
      <c r="AH1312" s="713"/>
      <c r="AI1312" s="112">
        <f>IF(H1312="credit",0,IF(AE1312="free",0,IF(AE1312="me",0,IF(G1312&gt;0,(VLOOKUP(A1312,'Discount Lookup'!J:K,2)*G1312),0))))</f>
        <v>0</v>
      </c>
      <c r="AJ1312" s="107" t="str">
        <f t="shared" ca="1" si="975"/>
        <v/>
      </c>
      <c r="AK1312" s="714" t="str">
        <f t="shared" si="976"/>
        <v/>
      </c>
      <c r="AL1312" s="714"/>
      <c r="AM1312" s="114" t="str">
        <f t="shared" si="977"/>
        <v/>
      </c>
      <c r="AN1312" s="115"/>
      <c r="AO1312" s="116"/>
      <c r="AP1312" s="116"/>
      <c r="AQ1312" s="116"/>
      <c r="AR1312" s="116"/>
      <c r="AS1312" s="116"/>
      <c r="AT1312" s="116"/>
      <c r="AU1312" s="116"/>
      <c r="AV1312" s="78"/>
      <c r="AW1312" s="102"/>
      <c r="AX1312" s="78"/>
      <c r="AY1312" s="78"/>
      <c r="AZ1312" s="78"/>
      <c r="BA1312" s="78"/>
      <c r="BB1312" s="78"/>
      <c r="BC1312" s="78"/>
      <c r="BD1312" s="78"/>
      <c r="BE1312" s="465"/>
      <c r="BF1312" s="165" t="str">
        <f t="shared" si="978"/>
        <v>https://www.google.com/search?tbm=isch&amp;q=15%20G5</v>
      </c>
      <c r="BG1312" s="165" t="str">
        <f t="shared" si="979"/>
        <v>C</v>
      </c>
      <c r="BH1312" s="65"/>
      <c r="BI1312" s="65"/>
      <c r="BJ1312" s="65"/>
      <c r="BK1312" s="65"/>
      <c r="BL1312" s="99"/>
      <c r="BM1312" s="99"/>
      <c r="BN1312" s="99"/>
    </row>
    <row r="1313" spans="1:66" s="51" customFormat="1" ht="15.75" x14ac:dyDescent="0.25">
      <c r="A1313" s="634">
        <v>15</v>
      </c>
      <c r="B1313" s="635" t="s">
        <v>291</v>
      </c>
      <c r="C1313" s="636" t="s">
        <v>939</v>
      </c>
      <c r="D1313" s="637" t="s">
        <v>299</v>
      </c>
      <c r="E1313" s="638">
        <v>192.95</v>
      </c>
      <c r="F1313" s="639" t="s">
        <v>292</v>
      </c>
      <c r="G1313" s="484">
        <v>0</v>
      </c>
      <c r="H1313" s="691" t="str">
        <f>IF(G1313=0,"",IF(F1313="Buy",IF(G1313=1,"plant","plants"),IF(F1313&gt;0.01,"warranty","Error")))</f>
        <v/>
      </c>
      <c r="I1313" s="640">
        <f>IF(H1313="free",0,IF(H1313="credit",((E1313*(F1313))*G1313*-1),IF(F1313="Buy",(E1313*G1313),((E1313*(1-F1313))*G1313))))</f>
        <v>0</v>
      </c>
      <c r="J1313" s="640">
        <f>IF(H1313="warranty",0,(I1313*(_xlfn.SINGLE(SalesTaxPercentage))))</f>
        <v>0</v>
      </c>
      <c r="K1313" s="716">
        <f t="shared" ref="K1313" si="988">I1313+J1313</f>
        <v>0</v>
      </c>
      <c r="L1313" s="716"/>
      <c r="M1313" s="689" t="str">
        <f ca="1">IF(AND(G1313&gt;0,E1313=0),"WARNING - no PRICE inserted",IF(H1313="free","FREE ~ no charge this plant",IF(H1313="credit",CONCATENATE("-$",ROUND(K1313*(1-_xlfn.SINGLE(T2GDiscount))*-1,2)," CREDIT after discount"),IF(_xlfn.SINGLE(T2GDiscount)=0,"",IF(G1313=0,"",IF(F1313="Buy",CONCATENATE("$",ROUND(K1313*(1-_xlfn.SINGLE(T2GDiscount)),2)," with ",(_xlfn.SINGLE(T2GDiscount)*100),"% discount"),CONCATENATE("$",ROUND(K1313*(1-_xlfn.SINGLE(T2GDiscount)),2)," with ",((_xlfn.SINGLE(T2GDiscount)*100+F1313*100)-(_xlfn.SINGLE(T2GDiscount)*100*F1313)),IF(F1313&gt;0,"% discounts",IF(_xlfn.SINGLE(NoWarrantyDiscount)&gt;0,"% discounts","% discount")))))))))</f>
        <v/>
      </c>
      <c r="N1313" s="690"/>
      <c r="O1313" s="486"/>
      <c r="P1313" s="486"/>
      <c r="Q1313" s="486"/>
      <c r="R1313" s="486"/>
      <c r="S1313" s="486"/>
      <c r="T1313" s="102">
        <f t="shared" si="967"/>
        <v>0</v>
      </c>
      <c r="U1313" s="78">
        <f>IF(NOT(ISNUMBER(G1313)), "", VLOOKUP(A1313,'Discount Lookup'!D:E,2,FALSE)*G1313)</f>
        <v>0</v>
      </c>
      <c r="V1313" s="78">
        <f>IF(NOT(ISNUMBER(G1313)), "", VLOOKUP(A1313,'Discount Lookup'!G:H,2,FALSE)*G1313)</f>
        <v>0</v>
      </c>
      <c r="W1313" s="102">
        <f t="shared" si="968"/>
        <v>0</v>
      </c>
      <c r="X1313" s="102">
        <f t="shared" si="969"/>
        <v>0</v>
      </c>
      <c r="Y1313" s="120" t="b">
        <f t="shared" si="970"/>
        <v>0</v>
      </c>
      <c r="Z1313" s="117">
        <f t="shared" si="971"/>
        <v>0</v>
      </c>
      <c r="AA1313" s="118"/>
      <c r="AB1313" s="118" t="str">
        <f t="shared" si="972"/>
        <v/>
      </c>
      <c r="AC1313" s="712" t="str">
        <f>IF(AE1313="T2G","no charge",IF(AND(OR(PlanterYesMe="No",PlanterYesMe="N",PlanterYesMe="me"),H1313=""),"",IF(H1313="credit","NO install",IF(AND(K1313="",AE1313="me"),"EACH row",IF(AND(K1313="images",AE1313="me"),"EACH row",IF(D1313="","",IF(H1313="credit","",IF(AE1313="free","re-planting",IF(AE1313="me","   not ELP, by",IF(AND(OR(PlanterYesMe="Yes",PlanterYesMe="Y"),G1313&gt;0),(VLOOKUP(A1313,'Discount Lookup'!J:K,2)*G1313*(1-PlanterDiscount)*(1+PlanterDifficultyPercentage)),IF(AE1313="ELP",(VLOOKUP(A1313,'Discount Lookup'!J:K,2)*G1313*(1-PlanterDiscount)*(1+PlanterDifficultyPercentage)),IF(AE1313="free","re-planting",IF(G1313=0,"",IF(PlanterYesMe="",IF(AE1313="me","   not ELP, by",IF(AE1313="",IF(G1313&gt;0,(VLOOKUP(A1313,'Discount Lookup'!J:K,2)*G1313*(1-PlanterDiscount)*(1+PlanterDifficultyPercentage)),""),"")),"   not ELP, by"))))))))))))))</f>
        <v/>
      </c>
      <c r="AD1313" s="712"/>
      <c r="AE1313" s="513" t="str">
        <f t="shared" si="973"/>
        <v/>
      </c>
      <c r="AF1313" s="713" t="str">
        <f t="shared" si="974"/>
        <v/>
      </c>
      <c r="AG1313" s="713"/>
      <c r="AH1313" s="713"/>
      <c r="AI1313" s="112">
        <f>IF(H1313="credit",0,IF(AE1313="free",0,IF(AE1313="me",0,IF(G1313&gt;0,(VLOOKUP(A1313,'Discount Lookup'!J:K,2)*G1313),0))))</f>
        <v>0</v>
      </c>
      <c r="AJ1313" s="107" t="str">
        <f t="shared" ca="1" si="975"/>
        <v/>
      </c>
      <c r="AK1313" s="714" t="str">
        <f t="shared" si="976"/>
        <v/>
      </c>
      <c r="AL1313" s="714"/>
      <c r="AM1313" s="114" t="str">
        <f t="shared" si="977"/>
        <v/>
      </c>
      <c r="AN1313" s="115"/>
      <c r="AO1313" s="116"/>
      <c r="AP1313" s="116"/>
      <c r="AQ1313" s="116"/>
      <c r="AR1313" s="116"/>
      <c r="AS1313" s="116"/>
      <c r="AT1313" s="116"/>
      <c r="AU1313" s="116"/>
      <c r="AV1313" s="78"/>
      <c r="AW1313" s="102"/>
      <c r="AX1313" s="78"/>
      <c r="AY1313" s="78"/>
      <c r="AZ1313" s="78"/>
      <c r="BA1313" s="78"/>
      <c r="BB1313" s="78"/>
      <c r="BC1313" s="78"/>
      <c r="BD1313" s="78"/>
      <c r="BE1313" s="465"/>
      <c r="BF1313" s="165" t="str">
        <f t="shared" si="978"/>
        <v>https://www.google.com/search?tbm=isch&amp;q=15%20G4</v>
      </c>
      <c r="BG1313" s="165" t="str">
        <f t="shared" si="979"/>
        <v>C</v>
      </c>
      <c r="BH1313" s="65"/>
      <c r="BI1313" s="65"/>
      <c r="BJ1313" s="65"/>
      <c r="BK1313" s="65"/>
      <c r="BL1313" s="99"/>
      <c r="BM1313" s="99"/>
      <c r="BN1313" s="99"/>
    </row>
    <row r="1314" spans="1:66" s="51" customFormat="1" ht="17.25" thickBot="1" x14ac:dyDescent="0.3">
      <c r="A1314" s="641" t="s">
        <v>2302</v>
      </c>
      <c r="B1314" s="642"/>
      <c r="C1314" s="710"/>
      <c r="D1314" s="643"/>
      <c r="E1314" s="643"/>
      <c r="F1314" s="644"/>
      <c r="G1314" s="645"/>
      <c r="H1314" s="646"/>
      <c r="I1314" s="647"/>
      <c r="J1314" s="648"/>
      <c r="K1314" s="649"/>
      <c r="L1314" s="650"/>
      <c r="M1314" s="650"/>
      <c r="N1314" s="644"/>
      <c r="O1314" s="644"/>
      <c r="P1314" s="644"/>
      <c r="Q1314" s="644"/>
      <c r="R1314" s="644"/>
      <c r="S1314" s="701" t="s">
        <v>5262</v>
      </c>
      <c r="T1314" s="102">
        <f t="shared" si="967"/>
        <v>0</v>
      </c>
      <c r="U1314" s="78" t="str">
        <f>IF(NOT(ISNUMBER(G1314)), "", VLOOKUP(A1314,'Discount Lookup'!D:E,2,FALSE)*G1314)</f>
        <v/>
      </c>
      <c r="V1314" s="78" t="str">
        <f>IF(NOT(ISNUMBER(G1314)), "", VLOOKUP(A1314,'Discount Lookup'!G:H,2,FALSE)*G1314)</f>
        <v/>
      </c>
      <c r="W1314" s="102">
        <f t="shared" si="968"/>
        <v>0</v>
      </c>
      <c r="X1314" s="102">
        <f t="shared" si="969"/>
        <v>0</v>
      </c>
      <c r="Y1314" s="120" t="b">
        <f t="shared" si="970"/>
        <v>0</v>
      </c>
      <c r="Z1314" s="117">
        <f t="shared" si="971"/>
        <v>0</v>
      </c>
      <c r="AA1314" s="118"/>
      <c r="AB1314" s="118" t="str">
        <f t="shared" si="972"/>
        <v/>
      </c>
      <c r="AC1314" s="712" t="str">
        <f>IF(AE1314="T2G","no charge",IF(AND(OR(PlanterYesMe="No",PlanterYesMe="N",PlanterYesMe="me"),H1314=""),"",IF(H1314="credit","NO install",IF(AND(K1314="",AE1314="me"),"EACH row",IF(AND(K1314="images",AE1314="me"),"EACH row",IF(D1314="","",IF(H1314="credit","",IF(AE1314="free","re-planting",IF(AE1314="me","   not ELP, by",IF(AND(OR(PlanterYesMe="Yes",PlanterYesMe="Y"),G1314&gt;0),(VLOOKUP(A1314,'Discount Lookup'!J:K,2)*G1314*(1-PlanterDiscount)*(1+PlanterDifficultyPercentage)),IF(AE1314="ELP",(VLOOKUP(A1314,'Discount Lookup'!J:K,2)*G1314*(1-PlanterDiscount)*(1+PlanterDifficultyPercentage)),IF(AE1314="free","re-planting",IF(G1314=0,"",IF(PlanterYesMe="",IF(AE1314="me","   not ELP, by",IF(AE1314="",IF(G1314&gt;0,(VLOOKUP(A1314,'Discount Lookup'!J:K,2)*G1314*(1-PlanterDiscount)*(1+PlanterDifficultyPercentage)),""),"")),"   not ELP, by"))))))))))))))</f>
        <v/>
      </c>
      <c r="AD1314" s="712"/>
      <c r="AE1314" s="513" t="str">
        <f t="shared" si="973"/>
        <v/>
      </c>
      <c r="AF1314" s="713" t="str">
        <f t="shared" si="974"/>
        <v/>
      </c>
      <c r="AG1314" s="713"/>
      <c r="AH1314" s="713"/>
      <c r="AI1314" s="112">
        <f>IF(H1314="credit",0,IF(AE1314="free",0,IF(AE1314="me",0,IF(G1314&gt;0,(VLOOKUP(A1314,'Discount Lookup'!J:K,2)*G1314),0))))</f>
        <v>0</v>
      </c>
      <c r="AJ1314" s="107" t="str">
        <f t="shared" ca="1" si="975"/>
        <v/>
      </c>
      <c r="AK1314" s="714" t="str">
        <f t="shared" si="976"/>
        <v/>
      </c>
      <c r="AL1314" s="714"/>
      <c r="AM1314" s="114" t="str">
        <f t="shared" si="977"/>
        <v/>
      </c>
      <c r="AN1314" s="115"/>
      <c r="AO1314" s="116"/>
      <c r="AP1314" s="116"/>
      <c r="AQ1314" s="116"/>
      <c r="AR1314" s="116"/>
      <c r="AS1314" s="116"/>
      <c r="AT1314" s="116"/>
      <c r="AU1314" s="116"/>
      <c r="AV1314" s="78"/>
      <c r="AW1314" s="102"/>
      <c r="AX1314" s="78"/>
      <c r="AY1314" s="78"/>
      <c r="AZ1314" s="78"/>
      <c r="BA1314" s="78"/>
      <c r="BB1314" s="78"/>
      <c r="BC1314" s="78"/>
      <c r="BD1314" s="78"/>
      <c r="BE1314" s="465"/>
      <c r="BF1314" s="165" t="str">
        <f t="shared" si="978"/>
        <v>https://www.google.com/search?tbm=isch&amp;q=Greensleeves%20is%20an%20improved%20Kousa%20type%20that%20grows%20faster%20%26%20fuller.%20Dark%20green%20foliage%20turns%20Reddish-Purple%20in%20fall%20</v>
      </c>
      <c r="BG1314" s="165" t="str">
        <f t="shared" si="979"/>
        <v>G</v>
      </c>
      <c r="BH1314" s="65"/>
      <c r="BI1314" s="65"/>
      <c r="BJ1314" s="65"/>
      <c r="BK1314" s="65"/>
      <c r="BL1314" s="99"/>
      <c r="BM1314" s="99"/>
      <c r="BN1314" s="99"/>
    </row>
    <row r="1315" spans="1:66" s="51" customFormat="1" ht="18" x14ac:dyDescent="0.25">
      <c r="A1315" s="623" t="s">
        <v>2303</v>
      </c>
      <c r="B1315" s="624"/>
      <c r="C1315" s="709"/>
      <c r="D1315" s="625" t="s">
        <v>5642</v>
      </c>
      <c r="E1315" s="626"/>
      <c r="F1315" s="626"/>
      <c r="G1315" s="626"/>
      <c r="H1315" s="622" t="s">
        <v>1174</v>
      </c>
      <c r="I1315" s="627" t="s">
        <v>2304</v>
      </c>
      <c r="J1315" s="628"/>
      <c r="K1315" s="628"/>
      <c r="L1315" s="629"/>
      <c r="M1315" s="700" t="s">
        <v>5249</v>
      </c>
      <c r="N1315" s="693" t="str">
        <f>IF(AND(ISTEXT($A1315), ISERROR($A1315+0)), HYPERLINK($BF1315, "Images"), "")</f>
        <v>Images</v>
      </c>
      <c r="O1315" s="695" t="s">
        <v>5247</v>
      </c>
      <c r="P1315" s="630"/>
      <c r="Q1315" s="631"/>
      <c r="R1315" s="632"/>
      <c r="S1315" s="633"/>
      <c r="T1315" s="102">
        <f t="shared" si="967"/>
        <v>0</v>
      </c>
      <c r="U1315" s="78" t="str">
        <f>IF(NOT(ISNUMBER(G1315)), "", VLOOKUP(A1315,'Discount Lookup'!D:E,2,FALSE)*G1315)</f>
        <v/>
      </c>
      <c r="V1315" s="78" t="str">
        <f>IF(NOT(ISNUMBER(G1315)), "", VLOOKUP(A1315,'Discount Lookup'!G:H,2,FALSE)*G1315)</f>
        <v/>
      </c>
      <c r="W1315" s="102">
        <f t="shared" si="968"/>
        <v>0</v>
      </c>
      <c r="X1315" s="102" t="str">
        <f t="shared" si="969"/>
        <v>Creamy Wihite bloom</v>
      </c>
      <c r="Y1315" s="120" t="b">
        <f t="shared" si="970"/>
        <v>0</v>
      </c>
      <c r="Z1315" s="117">
        <f t="shared" si="971"/>
        <v>0</v>
      </c>
      <c r="AA1315" s="118"/>
      <c r="AB1315" s="118" t="str">
        <f t="shared" si="972"/>
        <v/>
      </c>
      <c r="AC1315" s="712" t="str">
        <f>IF(AE1315="T2G","no charge",IF(AND(OR(PlanterYesMe="No",PlanterYesMe="N",PlanterYesMe="me"),H1315=""),"",IF(H1315="credit","NO install",IF(AND(K1315="",AE1315="me"),"EACH row",IF(AND(K1315="images",AE1315="me"),"EACH row",IF(D1315="","",IF(H1315="credit","",IF(AE1315="free","re-planting",IF(AE1315="me","   not ELP, by",IF(AND(OR(PlanterYesMe="Yes",PlanterYesMe="Y"),G1315&gt;0),(VLOOKUP(A1315,'Discount Lookup'!J:K,2)*G1315*(1-PlanterDiscount)*(1+PlanterDifficultyPercentage)),IF(AE1315="ELP",(VLOOKUP(A1315,'Discount Lookup'!J:K,2)*G1315*(1-PlanterDiscount)*(1+PlanterDifficultyPercentage)),IF(AE1315="free","re-planting",IF(G1315=0,"",IF(PlanterYesMe="",IF(AE1315="me","   not ELP, by",IF(AE1315="",IF(G1315&gt;0,(VLOOKUP(A1315,'Discount Lookup'!J:K,2)*G1315*(1-PlanterDiscount)*(1+PlanterDifficultyPercentage)),""),"")),"   not ELP, by"))))))))))))))</f>
        <v/>
      </c>
      <c r="AD1315" s="712"/>
      <c r="AE1315" s="513" t="str">
        <f t="shared" si="973"/>
        <v/>
      </c>
      <c r="AF1315" s="713" t="str">
        <f t="shared" si="974"/>
        <v/>
      </c>
      <c r="AG1315" s="713"/>
      <c r="AH1315" s="713"/>
      <c r="AI1315" s="112">
        <f>IF(H1315="credit",0,IF(AE1315="free",0,IF(AE1315="me",0,IF(G1315&gt;0,(VLOOKUP(A1315,'Discount Lookup'!J:K,2)*G1315),0))))</f>
        <v>0</v>
      </c>
      <c r="AJ1315" s="107" t="str">
        <f t="shared" ca="1" si="975"/>
        <v/>
      </c>
      <c r="AK1315" s="714" t="str">
        <f t="shared" si="976"/>
        <v/>
      </c>
      <c r="AL1315" s="714"/>
      <c r="AM1315" s="114" t="str">
        <f t="shared" si="977"/>
        <v/>
      </c>
      <c r="AN1315" s="115"/>
      <c r="AO1315" s="116"/>
      <c r="AP1315" s="116"/>
      <c r="AQ1315" s="116"/>
      <c r="AR1315" s="116"/>
      <c r="AS1315" s="116"/>
      <c r="AT1315" s="116"/>
      <c r="AU1315" s="116"/>
      <c r="AV1315" s="78"/>
      <c r="AW1315" s="102"/>
      <c r="AX1315" s="78"/>
      <c r="AY1315" s="78"/>
      <c r="AZ1315" s="78"/>
      <c r="BA1315" s="78"/>
      <c r="BB1315" s="78"/>
      <c r="BC1315" s="78"/>
      <c r="BD1315" s="78"/>
      <c r="BE1315" s="465"/>
      <c r="BF1315" s="165" t="str">
        <f t="shared" si="978"/>
        <v>https://www.google.com/search?tbm=isch&amp;q=Cornus%20kousa%20%27JN6%27%20PP%2328936%20Blue%20Ray%E2%84%A2%20Kousa%20Dogwood</v>
      </c>
      <c r="BG1315" s="165" t="str">
        <f t="shared" si="979"/>
        <v>C</v>
      </c>
      <c r="BH1315" s="65"/>
      <c r="BI1315" s="65"/>
      <c r="BJ1315" s="65"/>
      <c r="BK1315" s="65"/>
      <c r="BL1315" s="99"/>
      <c r="BM1315" s="99"/>
      <c r="BN1315" s="99"/>
    </row>
    <row r="1316" spans="1:66" s="51" customFormat="1" ht="15.75" x14ac:dyDescent="0.25">
      <c r="A1316" s="634">
        <v>7</v>
      </c>
      <c r="B1316" s="635" t="s">
        <v>291</v>
      </c>
      <c r="C1316" s="636" t="s">
        <v>2305</v>
      </c>
      <c r="D1316" s="637" t="s">
        <v>299</v>
      </c>
      <c r="E1316" s="638">
        <v>104.95</v>
      </c>
      <c r="F1316" s="639" t="s">
        <v>292</v>
      </c>
      <c r="G1316" s="484">
        <v>0</v>
      </c>
      <c r="H1316" s="691" t="str">
        <f>IF(G1316=0,"",IF(F1316="Buy",IF(G1316=1,"plant","plants"),IF(F1316&gt;0.01,"warranty","Error")))</f>
        <v/>
      </c>
      <c r="I1316" s="640">
        <f>IF(H1316="free",0,IF(H1316="credit",((E1316*(F1316))*G1316*-1),IF(F1316="Buy",(E1316*G1316),((E1316*(1-F1316))*G1316))))</f>
        <v>0</v>
      </c>
      <c r="J1316" s="640">
        <f>IF(H1316="warranty",0,(I1316*(_xlfn.SINGLE(SalesTaxPercentage))))</f>
        <v>0</v>
      </c>
      <c r="K1316" s="716">
        <f t="shared" ref="K1316" si="989">I1316+J1316</f>
        <v>0</v>
      </c>
      <c r="L1316" s="716"/>
      <c r="M1316" s="689" t="str">
        <f ca="1">IF(AND(G1316&gt;0,E1316=0),"WARNING - no PRICE inserted",IF(H1316="free","FREE ~ no charge this plant",IF(H1316="credit",CONCATENATE("-$",ROUND(K1316*(1-_xlfn.SINGLE(T2GDiscount))*-1,2)," CREDIT after discount"),IF(_xlfn.SINGLE(T2GDiscount)=0,"",IF(G1316=0,"",IF(F1316="Buy",CONCATENATE("$",ROUND(K1316*(1-_xlfn.SINGLE(T2GDiscount)),2)," with ",(_xlfn.SINGLE(T2GDiscount)*100),"% discount"),CONCATENATE("$",ROUND(K1316*(1-_xlfn.SINGLE(T2GDiscount)),2)," with ",((_xlfn.SINGLE(T2GDiscount)*100+F1316*100)-(_xlfn.SINGLE(T2GDiscount)*100*F1316)),IF(F1316&gt;0,"% discounts",IF(_xlfn.SINGLE(NoWarrantyDiscount)&gt;0,"% discounts","% discount")))))))))</f>
        <v/>
      </c>
      <c r="N1316" s="690"/>
      <c r="O1316" s="486"/>
      <c r="P1316" s="486"/>
      <c r="Q1316" s="486"/>
      <c r="R1316" s="486"/>
      <c r="S1316" s="486"/>
      <c r="T1316" s="102">
        <f t="shared" si="967"/>
        <v>0</v>
      </c>
      <c r="U1316" s="78">
        <f>IF(NOT(ISNUMBER(G1316)), "", VLOOKUP(A1316,'Discount Lookup'!D:E,2,FALSE)*G1316)</f>
        <v>0</v>
      </c>
      <c r="V1316" s="78">
        <f>IF(NOT(ISNUMBER(G1316)), "", VLOOKUP(A1316,'Discount Lookup'!G:H,2,FALSE)*G1316)</f>
        <v>0</v>
      </c>
      <c r="W1316" s="102">
        <f t="shared" si="968"/>
        <v>0</v>
      </c>
      <c r="X1316" s="102">
        <f t="shared" si="969"/>
        <v>0</v>
      </c>
      <c r="Y1316" s="120" t="b">
        <f t="shared" si="970"/>
        <v>0</v>
      </c>
      <c r="Z1316" s="117">
        <f t="shared" si="971"/>
        <v>0</v>
      </c>
      <c r="AA1316" s="118"/>
      <c r="AB1316" s="118" t="str">
        <f t="shared" si="972"/>
        <v/>
      </c>
      <c r="AC1316" s="712" t="str">
        <f>IF(AE1316="T2G","no charge",IF(AND(OR(PlanterYesMe="No",PlanterYesMe="N",PlanterYesMe="me"),H1316=""),"",IF(H1316="credit","NO install",IF(AND(K1316="",AE1316="me"),"EACH row",IF(AND(K1316="images",AE1316="me"),"EACH row",IF(D1316="","",IF(H1316="credit","",IF(AE1316="free","re-planting",IF(AE1316="me","   not ELP, by",IF(AND(OR(PlanterYesMe="Yes",PlanterYesMe="Y"),G1316&gt;0),(VLOOKUP(A1316,'Discount Lookup'!J:K,2)*G1316*(1-PlanterDiscount)*(1+PlanterDifficultyPercentage)),IF(AE1316="ELP",(VLOOKUP(A1316,'Discount Lookup'!J:K,2)*G1316*(1-PlanterDiscount)*(1+PlanterDifficultyPercentage)),IF(AE1316="free","re-planting",IF(G1316=0,"",IF(PlanterYesMe="",IF(AE1316="me","   not ELP, by",IF(AE1316="",IF(G1316&gt;0,(VLOOKUP(A1316,'Discount Lookup'!J:K,2)*G1316*(1-PlanterDiscount)*(1+PlanterDifficultyPercentage)),""),"")),"   not ELP, by"))))))))))))))</f>
        <v/>
      </c>
      <c r="AD1316" s="712"/>
      <c r="AE1316" s="513" t="str">
        <f t="shared" si="973"/>
        <v/>
      </c>
      <c r="AF1316" s="713" t="str">
        <f t="shared" si="974"/>
        <v/>
      </c>
      <c r="AG1316" s="713"/>
      <c r="AH1316" s="713"/>
      <c r="AI1316" s="112">
        <f>IF(H1316="credit",0,IF(AE1316="free",0,IF(AE1316="me",0,IF(G1316&gt;0,(VLOOKUP(A1316,'Discount Lookup'!J:K,2)*G1316),0))))</f>
        <v>0</v>
      </c>
      <c r="AJ1316" s="107" t="str">
        <f t="shared" ca="1" si="975"/>
        <v/>
      </c>
      <c r="AK1316" s="714" t="str">
        <f t="shared" si="976"/>
        <v/>
      </c>
      <c r="AL1316" s="714"/>
      <c r="AM1316" s="114" t="str">
        <f t="shared" si="977"/>
        <v/>
      </c>
      <c r="AN1316" s="115"/>
      <c r="AO1316" s="116"/>
      <c r="AP1316" s="116"/>
      <c r="AQ1316" s="116"/>
      <c r="AR1316" s="116"/>
      <c r="AS1316" s="116"/>
      <c r="AT1316" s="116"/>
      <c r="AU1316" s="116"/>
      <c r="AV1316" s="78"/>
      <c r="AW1316" s="102"/>
      <c r="AX1316" s="78"/>
      <c r="AY1316" s="78"/>
      <c r="AZ1316" s="78"/>
      <c r="BA1316" s="78"/>
      <c r="BB1316" s="78"/>
      <c r="BC1316" s="78"/>
      <c r="BD1316" s="78"/>
      <c r="BE1316" s="465"/>
      <c r="BF1316" s="165" t="str">
        <f t="shared" si="978"/>
        <v>https://www.google.com/search?tbm=isch&amp;q=7%20G4</v>
      </c>
      <c r="BG1316" s="165" t="str">
        <f t="shared" si="979"/>
        <v>C</v>
      </c>
      <c r="BH1316" s="65"/>
      <c r="BI1316" s="65"/>
      <c r="BJ1316" s="65"/>
      <c r="BK1316" s="65"/>
      <c r="BL1316" s="99"/>
      <c r="BM1316" s="99"/>
      <c r="BN1316" s="99"/>
    </row>
    <row r="1317" spans="1:66" s="51" customFormat="1" ht="15.75" x14ac:dyDescent="0.25">
      <c r="A1317" s="634">
        <v>10</v>
      </c>
      <c r="B1317" s="635" t="s">
        <v>291</v>
      </c>
      <c r="C1317" s="636" t="s">
        <v>2306</v>
      </c>
      <c r="D1317" s="637" t="s">
        <v>299</v>
      </c>
      <c r="E1317" s="638">
        <v>171.95</v>
      </c>
      <c r="F1317" s="639" t="s">
        <v>292</v>
      </c>
      <c r="G1317" s="484">
        <v>0</v>
      </c>
      <c r="H1317" s="691" t="str">
        <f>IF(G1317=0,"",IF(F1317="Buy",IF(G1317=1,"plant","plants"),IF(F1317&gt;0.01,"warranty","Error")))</f>
        <v/>
      </c>
      <c r="I1317" s="640">
        <f>IF(H1317="free",0,IF(H1317="credit",((E1317*(F1317))*G1317*-1),IF(F1317="Buy",(E1317*G1317),((E1317*(1-F1317))*G1317))))</f>
        <v>0</v>
      </c>
      <c r="J1317" s="640">
        <f>IF(H1317="warranty",0,(I1317*(_xlfn.SINGLE(SalesTaxPercentage))))</f>
        <v>0</v>
      </c>
      <c r="K1317" s="716">
        <f t="shared" ref="K1317" si="990">I1317+J1317</f>
        <v>0</v>
      </c>
      <c r="L1317" s="716"/>
      <c r="M1317" s="689" t="str">
        <f ca="1">IF(AND(G1317&gt;0,E1317=0),"WARNING - no PRICE inserted",IF(H1317="free","FREE ~ no charge this plant",IF(H1317="credit",CONCATENATE("-$",ROUND(K1317*(1-_xlfn.SINGLE(T2GDiscount))*-1,2)," CREDIT after discount"),IF(_xlfn.SINGLE(T2GDiscount)=0,"",IF(G1317=0,"",IF(F1317="Buy",CONCATENATE("$",ROUND(K1317*(1-_xlfn.SINGLE(T2GDiscount)),2)," with ",(_xlfn.SINGLE(T2GDiscount)*100),"% discount"),CONCATENATE("$",ROUND(K1317*(1-_xlfn.SINGLE(T2GDiscount)),2)," with ",((_xlfn.SINGLE(T2GDiscount)*100+F1317*100)-(_xlfn.SINGLE(T2GDiscount)*100*F1317)),IF(F1317&gt;0,"% discounts",IF(_xlfn.SINGLE(NoWarrantyDiscount)&gt;0,"% discounts","% discount")))))))))</f>
        <v/>
      </c>
      <c r="N1317" s="690"/>
      <c r="O1317" s="486"/>
      <c r="P1317" s="486"/>
      <c r="Q1317" s="486"/>
      <c r="R1317" s="486"/>
      <c r="S1317" s="486"/>
      <c r="T1317" s="102">
        <f t="shared" si="967"/>
        <v>0</v>
      </c>
      <c r="U1317" s="78">
        <f>IF(NOT(ISNUMBER(G1317)), "", VLOOKUP(A1317,'Discount Lookup'!D:E,2,FALSE)*G1317)</f>
        <v>0</v>
      </c>
      <c r="V1317" s="78">
        <f>IF(NOT(ISNUMBER(G1317)), "", VLOOKUP(A1317,'Discount Lookup'!G:H,2,FALSE)*G1317)</f>
        <v>0</v>
      </c>
      <c r="W1317" s="102">
        <f t="shared" si="968"/>
        <v>0</v>
      </c>
      <c r="X1317" s="102">
        <f t="shared" si="969"/>
        <v>0</v>
      </c>
      <c r="Y1317" s="120" t="b">
        <f t="shared" si="970"/>
        <v>0</v>
      </c>
      <c r="Z1317" s="117">
        <f t="shared" si="971"/>
        <v>0</v>
      </c>
      <c r="AA1317" s="118"/>
      <c r="AB1317" s="118" t="str">
        <f t="shared" si="972"/>
        <v/>
      </c>
      <c r="AC1317" s="712" t="str">
        <f>IF(AE1317="T2G","no charge",IF(AND(OR(PlanterYesMe="No",PlanterYesMe="N",PlanterYesMe="me"),H1317=""),"",IF(H1317="credit","NO install",IF(AND(K1317="",AE1317="me"),"EACH row",IF(AND(K1317="images",AE1317="me"),"EACH row",IF(D1317="","",IF(H1317="credit","",IF(AE1317="free","re-planting",IF(AE1317="me","   not ELP, by",IF(AND(OR(PlanterYesMe="Yes",PlanterYesMe="Y"),G1317&gt;0),(VLOOKUP(A1317,'Discount Lookup'!J:K,2)*G1317*(1-PlanterDiscount)*(1+PlanterDifficultyPercentage)),IF(AE1317="ELP",(VLOOKUP(A1317,'Discount Lookup'!J:K,2)*G1317*(1-PlanterDiscount)*(1+PlanterDifficultyPercentage)),IF(AE1317="free","re-planting",IF(G1317=0,"",IF(PlanterYesMe="",IF(AE1317="me","   not ELP, by",IF(AE1317="",IF(G1317&gt;0,(VLOOKUP(A1317,'Discount Lookup'!J:K,2)*G1317*(1-PlanterDiscount)*(1+PlanterDifficultyPercentage)),""),"")),"   not ELP, by"))))))))))))))</f>
        <v/>
      </c>
      <c r="AD1317" s="712"/>
      <c r="AE1317" s="513" t="str">
        <f t="shared" si="973"/>
        <v/>
      </c>
      <c r="AF1317" s="713" t="str">
        <f t="shared" si="974"/>
        <v/>
      </c>
      <c r="AG1317" s="713"/>
      <c r="AH1317" s="713"/>
      <c r="AI1317" s="112">
        <f>IF(H1317="credit",0,IF(AE1317="free",0,IF(AE1317="me",0,IF(G1317&gt;0,(VLOOKUP(A1317,'Discount Lookup'!J:K,2)*G1317),0))))</f>
        <v>0</v>
      </c>
      <c r="AJ1317" s="107" t="str">
        <f t="shared" ca="1" si="975"/>
        <v/>
      </c>
      <c r="AK1317" s="714" t="str">
        <f t="shared" si="976"/>
        <v/>
      </c>
      <c r="AL1317" s="714"/>
      <c r="AM1317" s="114" t="str">
        <f t="shared" si="977"/>
        <v/>
      </c>
      <c r="AN1317" s="115"/>
      <c r="AO1317" s="116"/>
      <c r="AP1317" s="116"/>
      <c r="AQ1317" s="116"/>
      <c r="AR1317" s="116"/>
      <c r="AS1317" s="116"/>
      <c r="AT1317" s="116"/>
      <c r="AU1317" s="116"/>
      <c r="AV1317" s="78"/>
      <c r="AW1317" s="102"/>
      <c r="AX1317" s="78"/>
      <c r="AY1317" s="78"/>
      <c r="AZ1317" s="78"/>
      <c r="BA1317" s="78"/>
      <c r="BB1317" s="78"/>
      <c r="BC1317" s="78"/>
      <c r="BD1317" s="78"/>
      <c r="BE1317" s="465"/>
      <c r="BF1317" s="165" t="str">
        <f t="shared" si="978"/>
        <v>https://www.google.com/search?tbm=isch&amp;q=10%20G4</v>
      </c>
      <c r="BG1317" s="165" t="str">
        <f t="shared" si="979"/>
        <v>C</v>
      </c>
      <c r="BH1317" s="65"/>
      <c r="BI1317" s="65"/>
      <c r="BJ1317" s="65"/>
      <c r="BK1317" s="65"/>
      <c r="BL1317" s="99"/>
      <c r="BM1317" s="99"/>
      <c r="BN1317" s="99"/>
    </row>
    <row r="1318" spans="1:66" s="51" customFormat="1" ht="17.25" thickBot="1" x14ac:dyDescent="0.3">
      <c r="A1318" s="641" t="s">
        <v>4709</v>
      </c>
      <c r="B1318" s="642"/>
      <c r="C1318" s="710"/>
      <c r="D1318" s="643"/>
      <c r="E1318" s="643"/>
      <c r="F1318" s="644"/>
      <c r="G1318" s="645"/>
      <c r="H1318" s="646"/>
      <c r="I1318" s="647"/>
      <c r="J1318" s="648"/>
      <c r="K1318" s="649"/>
      <c r="L1318" s="650"/>
      <c r="M1318" s="650"/>
      <c r="N1318" s="644"/>
      <c r="O1318" s="644"/>
      <c r="P1318" s="644"/>
      <c r="Q1318" s="644"/>
      <c r="R1318" s="644"/>
      <c r="S1318" s="701" t="s">
        <v>5262</v>
      </c>
      <c r="T1318" s="102">
        <f t="shared" si="967"/>
        <v>0</v>
      </c>
      <c r="U1318" s="78" t="str">
        <f>IF(NOT(ISNUMBER(G1318)), "", VLOOKUP(A1318,'Discount Lookup'!D:E,2,FALSE)*G1318)</f>
        <v/>
      </c>
      <c r="V1318" s="78" t="str">
        <f>IF(NOT(ISNUMBER(G1318)), "", VLOOKUP(A1318,'Discount Lookup'!G:H,2,FALSE)*G1318)</f>
        <v/>
      </c>
      <c r="W1318" s="102">
        <f t="shared" si="968"/>
        <v>0</v>
      </c>
      <c r="X1318" s="102">
        <f t="shared" si="969"/>
        <v>0</v>
      </c>
      <c r="Y1318" s="120" t="b">
        <f t="shared" si="970"/>
        <v>0</v>
      </c>
      <c r="Z1318" s="117">
        <f t="shared" si="971"/>
        <v>0</v>
      </c>
      <c r="AA1318" s="118"/>
      <c r="AB1318" s="118" t="str">
        <f t="shared" si="972"/>
        <v/>
      </c>
      <c r="AC1318" s="712" t="str">
        <f>IF(AE1318="T2G","no charge",IF(AND(OR(PlanterYesMe="No",PlanterYesMe="N",PlanterYesMe="me"),H1318=""),"",IF(H1318="credit","NO install",IF(AND(K1318="",AE1318="me"),"EACH row",IF(AND(K1318="images",AE1318="me"),"EACH row",IF(D1318="","",IF(H1318="credit","",IF(AE1318="free","re-planting",IF(AE1318="me","   not ELP, by",IF(AND(OR(PlanterYesMe="Yes",PlanterYesMe="Y"),G1318&gt;0),(VLOOKUP(A1318,'Discount Lookup'!J:K,2)*G1318*(1-PlanterDiscount)*(1+PlanterDifficultyPercentage)),IF(AE1318="ELP",(VLOOKUP(A1318,'Discount Lookup'!J:K,2)*G1318*(1-PlanterDiscount)*(1+PlanterDifficultyPercentage)),IF(AE1318="free","re-planting",IF(G1318=0,"",IF(PlanterYesMe="",IF(AE1318="me","   not ELP, by",IF(AE1318="",IF(G1318&gt;0,(VLOOKUP(A1318,'Discount Lookup'!J:K,2)*G1318*(1-PlanterDiscount)*(1+PlanterDifficultyPercentage)),""),"")),"   not ELP, by"))))))))))))))</f>
        <v/>
      </c>
      <c r="AD1318" s="712"/>
      <c r="AE1318" s="513" t="str">
        <f t="shared" si="973"/>
        <v/>
      </c>
      <c r="AF1318" s="713" t="str">
        <f t="shared" si="974"/>
        <v/>
      </c>
      <c r="AG1318" s="713"/>
      <c r="AH1318" s="713"/>
      <c r="AI1318" s="112">
        <f>IF(H1318="credit",0,IF(AE1318="free",0,IF(AE1318="me",0,IF(G1318&gt;0,(VLOOKUP(A1318,'Discount Lookup'!J:K,2)*G1318),0))))</f>
        <v>0</v>
      </c>
      <c r="AJ1318" s="107" t="str">
        <f t="shared" ca="1" si="975"/>
        <v/>
      </c>
      <c r="AK1318" s="714" t="str">
        <f t="shared" si="976"/>
        <v/>
      </c>
      <c r="AL1318" s="714"/>
      <c r="AM1318" s="114" t="str">
        <f t="shared" si="977"/>
        <v/>
      </c>
      <c r="AN1318" s="115"/>
      <c r="AO1318" s="116"/>
      <c r="AP1318" s="116"/>
      <c r="AQ1318" s="116"/>
      <c r="AR1318" s="116"/>
      <c r="AS1318" s="116"/>
      <c r="AT1318" s="116"/>
      <c r="AU1318" s="116"/>
      <c r="AV1318" s="78"/>
      <c r="AW1318" s="102"/>
      <c r="AX1318" s="78"/>
      <c r="AY1318" s="78"/>
      <c r="AZ1318" s="78"/>
      <c r="BA1318" s="78"/>
      <c r="BB1318" s="78"/>
      <c r="BC1318" s="78"/>
      <c r="BD1318" s="78"/>
      <c r="BE1318" s="465"/>
      <c r="BF1318" s="165" t="str">
        <f t="shared" si="978"/>
        <v>https://www.google.com/search?tbm=isch&amp;q=Blue%20Ray%20named%20for%20unique%20Blue-Green%20foliage.%20Vibrant%20Red-Burgundy%20fall.%20Tan%20to%20Olive%20exfoliating%20bark%20</v>
      </c>
      <c r="BG1318" s="165" t="str">
        <f t="shared" si="979"/>
        <v>B</v>
      </c>
      <c r="BH1318" s="65"/>
      <c r="BI1318" s="65"/>
      <c r="BJ1318" s="65"/>
      <c r="BK1318" s="65"/>
      <c r="BL1318" s="99"/>
      <c r="BM1318" s="99"/>
      <c r="BN1318" s="99"/>
    </row>
    <row r="1319" spans="1:66" s="51" customFormat="1" ht="18" x14ac:dyDescent="0.25">
      <c r="A1319" s="623" t="s">
        <v>2307</v>
      </c>
      <c r="B1319" s="624"/>
      <c r="C1319" s="709"/>
      <c r="D1319" s="625" t="s">
        <v>2308</v>
      </c>
      <c r="E1319" s="626"/>
      <c r="F1319" s="626"/>
      <c r="G1319" s="626"/>
      <c r="H1319" s="622" t="s">
        <v>327</v>
      </c>
      <c r="I1319" s="627" t="s">
        <v>2309</v>
      </c>
      <c r="J1319" s="628"/>
      <c r="K1319" s="628"/>
      <c r="L1319" s="629"/>
      <c r="M1319" s="700" t="s">
        <v>5249</v>
      </c>
      <c r="N1319" s="693" t="str">
        <f>IF(AND(ISTEXT($A1319), ISERROR($A1319+0)), HYPERLINK($BF1319, "Images"), "")</f>
        <v>Images</v>
      </c>
      <c r="O1319" s="695" t="s">
        <v>5247</v>
      </c>
      <c r="P1319" s="630"/>
      <c r="Q1319" s="631"/>
      <c r="R1319" s="632"/>
      <c r="S1319" s="633"/>
      <c r="T1319" s="102">
        <f t="shared" si="967"/>
        <v>0</v>
      </c>
      <c r="U1319" s="78" t="str">
        <f>IF(NOT(ISNUMBER(G1319)), "", VLOOKUP(A1319,'Discount Lookup'!D:E,2,FALSE)*G1319)</f>
        <v/>
      </c>
      <c r="V1319" s="78" t="str">
        <f>IF(NOT(ISNUMBER(G1319)), "", VLOOKUP(A1319,'Discount Lookup'!G:H,2,FALSE)*G1319)</f>
        <v/>
      </c>
      <c r="W1319" s="102">
        <f t="shared" si="968"/>
        <v>0</v>
      </c>
      <c r="X1319" s="102" t="str">
        <f t="shared" si="969"/>
        <v>Rosy Pink bloom</v>
      </c>
      <c r="Y1319" s="120" t="b">
        <f t="shared" si="970"/>
        <v>0</v>
      </c>
      <c r="Z1319" s="117">
        <f t="shared" si="971"/>
        <v>0</v>
      </c>
      <c r="AA1319" s="118"/>
      <c r="AB1319" s="118" t="str">
        <f t="shared" si="972"/>
        <v/>
      </c>
      <c r="AC1319" s="712" t="str">
        <f>IF(AE1319="T2G","no charge",IF(AND(OR(PlanterYesMe="No",PlanterYesMe="N",PlanterYesMe="me"),H1319=""),"",IF(H1319="credit","NO install",IF(AND(K1319="",AE1319="me"),"EACH row",IF(AND(K1319="images",AE1319="me"),"EACH row",IF(D1319="","",IF(H1319="credit","",IF(AE1319="free","re-planting",IF(AE1319="me","   not ELP, by",IF(AND(OR(PlanterYesMe="Yes",PlanterYesMe="Y"),G1319&gt;0),(VLOOKUP(A1319,'Discount Lookup'!J:K,2)*G1319*(1-PlanterDiscount)*(1+PlanterDifficultyPercentage)),IF(AE1319="ELP",(VLOOKUP(A1319,'Discount Lookup'!J:K,2)*G1319*(1-PlanterDiscount)*(1+PlanterDifficultyPercentage)),IF(AE1319="free","re-planting",IF(G1319=0,"",IF(PlanterYesMe="",IF(AE1319="me","   not ELP, by",IF(AE1319="",IF(G1319&gt;0,(VLOOKUP(A1319,'Discount Lookup'!J:K,2)*G1319*(1-PlanterDiscount)*(1+PlanterDifficultyPercentage)),""),"")),"   not ELP, by"))))))))))))))</f>
        <v/>
      </c>
      <c r="AD1319" s="712"/>
      <c r="AE1319" s="513" t="str">
        <f t="shared" si="973"/>
        <v/>
      </c>
      <c r="AF1319" s="713" t="str">
        <f t="shared" si="974"/>
        <v/>
      </c>
      <c r="AG1319" s="713"/>
      <c r="AH1319" s="713"/>
      <c r="AI1319" s="112">
        <f>IF(H1319="credit",0,IF(AE1319="free",0,IF(AE1319="me",0,IF(G1319&gt;0,(VLOOKUP(A1319,'Discount Lookup'!J:K,2)*G1319),0))))</f>
        <v>0</v>
      </c>
      <c r="AJ1319" s="107" t="str">
        <f t="shared" ca="1" si="975"/>
        <v/>
      </c>
      <c r="AK1319" s="714" t="str">
        <f t="shared" si="976"/>
        <v/>
      </c>
      <c r="AL1319" s="714"/>
      <c r="AM1319" s="114" t="str">
        <f t="shared" si="977"/>
        <v/>
      </c>
      <c r="AN1319" s="115"/>
      <c r="AO1319" s="116"/>
      <c r="AP1319" s="116"/>
      <c r="AQ1319" s="116"/>
      <c r="AR1319" s="116"/>
      <c r="AS1319" s="116"/>
      <c r="AT1319" s="116"/>
      <c r="AU1319" s="116"/>
      <c r="AV1319" s="78"/>
      <c r="AW1319" s="102"/>
      <c r="AX1319" s="78"/>
      <c r="AY1319" s="78"/>
      <c r="AZ1319" s="78"/>
      <c r="BA1319" s="78"/>
      <c r="BB1319" s="78"/>
      <c r="BC1319" s="78"/>
      <c r="BD1319" s="78"/>
      <c r="BE1319" s="465"/>
      <c r="BF1319" s="165" t="str">
        <f t="shared" si="978"/>
        <v>https://www.google.com/search?tbm=isch&amp;q=Cornus%20kousa%20%27KN144-2%27%20PP%2326211%20Rosy%20Teacups%20Dogwood</v>
      </c>
      <c r="BG1319" s="165" t="str">
        <f t="shared" si="979"/>
        <v>C</v>
      </c>
      <c r="BH1319" s="65"/>
      <c r="BI1319" s="65"/>
      <c r="BJ1319" s="65"/>
      <c r="BK1319" s="65"/>
      <c r="BL1319" s="99"/>
      <c r="BM1319" s="99"/>
      <c r="BN1319" s="99"/>
    </row>
    <row r="1320" spans="1:66" s="51" customFormat="1" ht="15.75" x14ac:dyDescent="0.25">
      <c r="A1320" s="634">
        <v>7</v>
      </c>
      <c r="B1320" s="635" t="s">
        <v>291</v>
      </c>
      <c r="C1320" s="636" t="s">
        <v>2310</v>
      </c>
      <c r="D1320" s="637" t="s">
        <v>299</v>
      </c>
      <c r="E1320" s="638">
        <v>107.95</v>
      </c>
      <c r="F1320" s="639" t="s">
        <v>292</v>
      </c>
      <c r="G1320" s="484">
        <v>0</v>
      </c>
      <c r="H1320" s="691" t="str">
        <f>IF(G1320=0,"",IF(F1320="Buy",IF(G1320=1,"plant","plants"),IF(F1320&gt;0.01,"warranty","Error")))</f>
        <v/>
      </c>
      <c r="I1320" s="640">
        <f>IF(H1320="free",0,IF(H1320="credit",((E1320*(F1320))*G1320*-1),IF(F1320="Buy",(E1320*G1320),((E1320*(1-F1320))*G1320))))</f>
        <v>0</v>
      </c>
      <c r="J1320" s="640">
        <f>IF(H1320="warranty",0,(I1320*(_xlfn.SINGLE(SalesTaxPercentage))))</f>
        <v>0</v>
      </c>
      <c r="K1320" s="716">
        <f t="shared" ref="K1320" si="991">I1320+J1320</f>
        <v>0</v>
      </c>
      <c r="L1320" s="716"/>
      <c r="M1320" s="689" t="str">
        <f ca="1">IF(AND(G1320&gt;0,E1320=0),"WARNING - no PRICE inserted",IF(H1320="free","FREE ~ no charge this plant",IF(H1320="credit",CONCATENATE("-$",ROUND(K1320*(1-_xlfn.SINGLE(T2GDiscount))*-1,2)," CREDIT after discount"),IF(_xlfn.SINGLE(T2GDiscount)=0,"",IF(G1320=0,"",IF(F1320="Buy",CONCATENATE("$",ROUND(K1320*(1-_xlfn.SINGLE(T2GDiscount)),2)," with ",(_xlfn.SINGLE(T2GDiscount)*100),"% discount"),CONCATENATE("$",ROUND(K1320*(1-_xlfn.SINGLE(T2GDiscount)),2)," with ",((_xlfn.SINGLE(T2GDiscount)*100+F1320*100)-(_xlfn.SINGLE(T2GDiscount)*100*F1320)),IF(F1320&gt;0,"% discounts",IF(_xlfn.SINGLE(NoWarrantyDiscount)&gt;0,"% discounts","% discount")))))))))</f>
        <v/>
      </c>
      <c r="N1320" s="690"/>
      <c r="O1320" s="486"/>
      <c r="P1320" s="486"/>
      <c r="Q1320" s="486"/>
      <c r="R1320" s="486"/>
      <c r="S1320" s="486"/>
      <c r="T1320" s="102">
        <f t="shared" si="967"/>
        <v>0</v>
      </c>
      <c r="U1320" s="78">
        <f>IF(NOT(ISNUMBER(G1320)), "", VLOOKUP(A1320,'Discount Lookup'!D:E,2,FALSE)*G1320)</f>
        <v>0</v>
      </c>
      <c r="V1320" s="78">
        <f>IF(NOT(ISNUMBER(G1320)), "", VLOOKUP(A1320,'Discount Lookup'!G:H,2,FALSE)*G1320)</f>
        <v>0</v>
      </c>
      <c r="W1320" s="102">
        <f t="shared" si="968"/>
        <v>0</v>
      </c>
      <c r="X1320" s="102">
        <f t="shared" si="969"/>
        <v>0</v>
      </c>
      <c r="Y1320" s="120" t="b">
        <f t="shared" si="970"/>
        <v>0</v>
      </c>
      <c r="Z1320" s="117">
        <f t="shared" si="971"/>
        <v>0</v>
      </c>
      <c r="AA1320" s="118"/>
      <c r="AB1320" s="118" t="str">
        <f t="shared" si="972"/>
        <v/>
      </c>
      <c r="AC1320" s="712" t="str">
        <f>IF(AE1320="T2G","no charge",IF(AND(OR(PlanterYesMe="No",PlanterYesMe="N",PlanterYesMe="me"),H1320=""),"",IF(H1320="credit","NO install",IF(AND(K1320="",AE1320="me"),"EACH row",IF(AND(K1320="images",AE1320="me"),"EACH row",IF(D1320="","",IF(H1320="credit","",IF(AE1320="free","re-planting",IF(AE1320="me","   not ELP, by",IF(AND(OR(PlanterYesMe="Yes",PlanterYesMe="Y"),G1320&gt;0),(VLOOKUP(A1320,'Discount Lookup'!J:K,2)*G1320*(1-PlanterDiscount)*(1+PlanterDifficultyPercentage)),IF(AE1320="ELP",(VLOOKUP(A1320,'Discount Lookup'!J:K,2)*G1320*(1-PlanterDiscount)*(1+PlanterDifficultyPercentage)),IF(AE1320="free","re-planting",IF(G1320=0,"",IF(PlanterYesMe="",IF(AE1320="me","   not ELP, by",IF(AE1320="",IF(G1320&gt;0,(VLOOKUP(A1320,'Discount Lookup'!J:K,2)*G1320*(1-PlanterDiscount)*(1+PlanterDifficultyPercentage)),""),"")),"   not ELP, by"))))))))))))))</f>
        <v/>
      </c>
      <c r="AD1320" s="712"/>
      <c r="AE1320" s="513" t="str">
        <f t="shared" si="973"/>
        <v/>
      </c>
      <c r="AF1320" s="713" t="str">
        <f t="shared" si="974"/>
        <v/>
      </c>
      <c r="AG1320" s="713"/>
      <c r="AH1320" s="713"/>
      <c r="AI1320" s="112">
        <f>IF(H1320="credit",0,IF(AE1320="free",0,IF(AE1320="me",0,IF(G1320&gt;0,(VLOOKUP(A1320,'Discount Lookup'!J:K,2)*G1320),0))))</f>
        <v>0</v>
      </c>
      <c r="AJ1320" s="107" t="str">
        <f t="shared" ca="1" si="975"/>
        <v/>
      </c>
      <c r="AK1320" s="714" t="str">
        <f t="shared" si="976"/>
        <v/>
      </c>
      <c r="AL1320" s="714"/>
      <c r="AM1320" s="114" t="str">
        <f t="shared" si="977"/>
        <v/>
      </c>
      <c r="AN1320" s="115"/>
      <c r="AO1320" s="116"/>
      <c r="AP1320" s="116"/>
      <c r="AQ1320" s="116"/>
      <c r="AR1320" s="116"/>
      <c r="AS1320" s="116"/>
      <c r="AT1320" s="116"/>
      <c r="AU1320" s="116"/>
      <c r="AV1320" s="78"/>
      <c r="AW1320" s="102"/>
      <c r="AX1320" s="78"/>
      <c r="AY1320" s="78"/>
      <c r="AZ1320" s="78"/>
      <c r="BA1320" s="78"/>
      <c r="BB1320" s="78"/>
      <c r="BC1320" s="78"/>
      <c r="BD1320" s="78"/>
      <c r="BE1320" s="465"/>
      <c r="BF1320" s="165" t="str">
        <f t="shared" si="978"/>
        <v>https://www.google.com/search?tbm=isch&amp;q=7%20G4</v>
      </c>
      <c r="BG1320" s="165" t="str">
        <f t="shared" si="979"/>
        <v>C</v>
      </c>
      <c r="BH1320" s="65"/>
      <c r="BI1320" s="65"/>
      <c r="BJ1320" s="65"/>
      <c r="BK1320" s="65"/>
      <c r="BL1320" s="99"/>
      <c r="BM1320" s="99"/>
      <c r="BN1320" s="99"/>
    </row>
    <row r="1321" spans="1:66" s="51" customFormat="1" ht="17.25" thickBot="1" x14ac:dyDescent="0.3">
      <c r="A1321" s="641" t="s">
        <v>2311</v>
      </c>
      <c r="B1321" s="642"/>
      <c r="C1321" s="710"/>
      <c r="D1321" s="643"/>
      <c r="E1321" s="643"/>
      <c r="F1321" s="644"/>
      <c r="G1321" s="645"/>
      <c r="H1321" s="646"/>
      <c r="I1321" s="647"/>
      <c r="J1321" s="648"/>
      <c r="K1321" s="649"/>
      <c r="L1321" s="650"/>
      <c r="M1321" s="650"/>
      <c r="N1321" s="644"/>
      <c r="O1321" s="644"/>
      <c r="P1321" s="644"/>
      <c r="Q1321" s="644"/>
      <c r="R1321" s="644"/>
      <c r="S1321" s="701" t="s">
        <v>5262</v>
      </c>
      <c r="T1321" s="102">
        <f t="shared" si="967"/>
        <v>0</v>
      </c>
      <c r="U1321" s="78" t="str">
        <f>IF(NOT(ISNUMBER(G1321)), "", VLOOKUP(A1321,'Discount Lookup'!D:E,2,FALSE)*G1321)</f>
        <v/>
      </c>
      <c r="V1321" s="78" t="str">
        <f>IF(NOT(ISNUMBER(G1321)), "", VLOOKUP(A1321,'Discount Lookup'!G:H,2,FALSE)*G1321)</f>
        <v/>
      </c>
      <c r="W1321" s="102">
        <f t="shared" si="968"/>
        <v>0</v>
      </c>
      <c r="X1321" s="102">
        <f t="shared" si="969"/>
        <v>0</v>
      </c>
      <c r="Y1321" s="120" t="b">
        <f t="shared" si="970"/>
        <v>0</v>
      </c>
      <c r="Z1321" s="117">
        <f t="shared" si="971"/>
        <v>0</v>
      </c>
      <c r="AA1321" s="118"/>
      <c r="AB1321" s="118" t="str">
        <f t="shared" si="972"/>
        <v/>
      </c>
      <c r="AC1321" s="712" t="str">
        <f>IF(AE1321="T2G","no charge",IF(AND(OR(PlanterYesMe="No",PlanterYesMe="N",PlanterYesMe="me"),H1321=""),"",IF(H1321="credit","NO install",IF(AND(K1321="",AE1321="me"),"EACH row",IF(AND(K1321="images",AE1321="me"),"EACH row",IF(D1321="","",IF(H1321="credit","",IF(AE1321="free","re-planting",IF(AE1321="me","   not ELP, by",IF(AND(OR(PlanterYesMe="Yes",PlanterYesMe="Y"),G1321&gt;0),(VLOOKUP(A1321,'Discount Lookup'!J:K,2)*G1321*(1-PlanterDiscount)*(1+PlanterDifficultyPercentage)),IF(AE1321="ELP",(VLOOKUP(A1321,'Discount Lookup'!J:K,2)*G1321*(1-PlanterDiscount)*(1+PlanterDifficultyPercentage)),IF(AE1321="free","re-planting",IF(G1321=0,"",IF(PlanterYesMe="",IF(AE1321="me","   not ELP, by",IF(AE1321="",IF(G1321&gt;0,(VLOOKUP(A1321,'Discount Lookup'!J:K,2)*G1321*(1-PlanterDiscount)*(1+PlanterDifficultyPercentage)),""),"")),"   not ELP, by"))))))))))))))</f>
        <v/>
      </c>
      <c r="AD1321" s="712"/>
      <c r="AE1321" s="513" t="str">
        <f t="shared" si="973"/>
        <v/>
      </c>
      <c r="AF1321" s="713" t="str">
        <f t="shared" si="974"/>
        <v/>
      </c>
      <c r="AG1321" s="713"/>
      <c r="AH1321" s="713"/>
      <c r="AI1321" s="112">
        <f>IF(H1321="credit",0,IF(AE1321="free",0,IF(AE1321="me",0,IF(G1321&gt;0,(VLOOKUP(A1321,'Discount Lookup'!J:K,2)*G1321),0))))</f>
        <v>0</v>
      </c>
      <c r="AJ1321" s="107" t="str">
        <f t="shared" ca="1" si="975"/>
        <v/>
      </c>
      <c r="AK1321" s="714" t="str">
        <f t="shared" si="976"/>
        <v/>
      </c>
      <c r="AL1321" s="714"/>
      <c r="AM1321" s="114" t="str">
        <f t="shared" si="977"/>
        <v/>
      </c>
      <c r="AN1321" s="115"/>
      <c r="AO1321" s="116"/>
      <c r="AP1321" s="116"/>
      <c r="AQ1321" s="116"/>
      <c r="AR1321" s="116"/>
      <c r="AS1321" s="116"/>
      <c r="AT1321" s="116"/>
      <c r="AU1321" s="116"/>
      <c r="AV1321" s="78"/>
      <c r="AW1321" s="102"/>
      <c r="AX1321" s="78"/>
      <c r="AY1321" s="78"/>
      <c r="AZ1321" s="78"/>
      <c r="BA1321" s="78"/>
      <c r="BB1321" s="78"/>
      <c r="BC1321" s="78"/>
      <c r="BD1321" s="78"/>
      <c r="BE1321" s="465"/>
      <c r="BF1321" s="165" t="str">
        <f t="shared" si="978"/>
        <v>https://www.google.com/search?tbm=isch&amp;q=Rosy%20Teacups%20produces%20large%20blooms%2C%20in%20a%20large%20bloom%20set.%20Glossy%20green%20foliage%20turns%20striking%20red%20in%20fall%20</v>
      </c>
      <c r="BG1321" s="165" t="str">
        <f t="shared" si="979"/>
        <v>R</v>
      </c>
      <c r="BH1321" s="65"/>
      <c r="BI1321" s="65"/>
      <c r="BJ1321" s="65"/>
      <c r="BK1321" s="65"/>
      <c r="BL1321" s="99"/>
      <c r="BM1321" s="99"/>
      <c r="BN1321" s="99"/>
    </row>
    <row r="1322" spans="1:66" s="51" customFormat="1" ht="18" x14ac:dyDescent="0.25">
      <c r="A1322" s="623" t="s">
        <v>2312</v>
      </c>
      <c r="B1322" s="624"/>
      <c r="C1322" s="709"/>
      <c r="D1322" s="625" t="s">
        <v>2313</v>
      </c>
      <c r="E1322" s="626"/>
      <c r="F1322" s="626"/>
      <c r="G1322" s="626"/>
      <c r="H1322" s="622" t="s">
        <v>1158</v>
      </c>
      <c r="I1322" s="627" t="s">
        <v>350</v>
      </c>
      <c r="J1322" s="628"/>
      <c r="K1322" s="628"/>
      <c r="L1322" s="629"/>
      <c r="M1322" s="700" t="s">
        <v>5249</v>
      </c>
      <c r="N1322" s="693" t="str">
        <f>IF(AND(ISTEXT($A1322), ISERROR($A1322+0)), HYPERLINK($BF1322, "Images"), "")</f>
        <v>Images</v>
      </c>
      <c r="O1322" s="695" t="s">
        <v>5247</v>
      </c>
      <c r="P1322" s="630"/>
      <c r="Q1322" s="631"/>
      <c r="R1322" s="632"/>
      <c r="S1322" s="633"/>
      <c r="T1322" s="102">
        <f t="shared" si="967"/>
        <v>0</v>
      </c>
      <c r="U1322" s="78" t="str">
        <f>IF(NOT(ISNUMBER(G1322)), "", VLOOKUP(A1322,'Discount Lookup'!D:E,2,FALSE)*G1322)</f>
        <v/>
      </c>
      <c r="V1322" s="78" t="str">
        <f>IF(NOT(ISNUMBER(G1322)), "", VLOOKUP(A1322,'Discount Lookup'!G:H,2,FALSE)*G1322)</f>
        <v/>
      </c>
      <c r="W1322" s="102">
        <f t="shared" si="968"/>
        <v>0</v>
      </c>
      <c r="X1322" s="102" t="str">
        <f t="shared" si="969"/>
        <v>Creamy White bloom</v>
      </c>
      <c r="Y1322" s="120" t="b">
        <f t="shared" si="970"/>
        <v>0</v>
      </c>
      <c r="Z1322" s="117">
        <f t="shared" si="971"/>
        <v>0</v>
      </c>
      <c r="AA1322" s="118"/>
      <c r="AB1322" s="118" t="str">
        <f t="shared" si="972"/>
        <v/>
      </c>
      <c r="AC1322" s="712" t="str">
        <f>IF(AE1322="T2G","no charge",IF(AND(OR(PlanterYesMe="No",PlanterYesMe="N",PlanterYesMe="me"),H1322=""),"",IF(H1322="credit","NO install",IF(AND(K1322="",AE1322="me"),"EACH row",IF(AND(K1322="images",AE1322="me"),"EACH row",IF(D1322="","",IF(H1322="credit","",IF(AE1322="free","re-planting",IF(AE1322="me","   not ELP, by",IF(AND(OR(PlanterYesMe="Yes",PlanterYesMe="Y"),G1322&gt;0),(VLOOKUP(A1322,'Discount Lookup'!J:K,2)*G1322*(1-PlanterDiscount)*(1+PlanterDifficultyPercentage)),IF(AE1322="ELP",(VLOOKUP(A1322,'Discount Lookup'!J:K,2)*G1322*(1-PlanterDiscount)*(1+PlanterDifficultyPercentage)),IF(AE1322="free","re-planting",IF(G1322=0,"",IF(PlanterYesMe="",IF(AE1322="me","   not ELP, by",IF(AE1322="",IF(G1322&gt;0,(VLOOKUP(A1322,'Discount Lookup'!J:K,2)*G1322*(1-PlanterDiscount)*(1+PlanterDifficultyPercentage)),""),"")),"   not ELP, by"))))))))))))))</f>
        <v/>
      </c>
      <c r="AD1322" s="712"/>
      <c r="AE1322" s="513" t="str">
        <f t="shared" si="973"/>
        <v/>
      </c>
      <c r="AF1322" s="713" t="str">
        <f t="shared" si="974"/>
        <v/>
      </c>
      <c r="AG1322" s="713"/>
      <c r="AH1322" s="713"/>
      <c r="AI1322" s="112">
        <f>IF(H1322="credit",0,IF(AE1322="free",0,IF(AE1322="me",0,IF(G1322&gt;0,(VLOOKUP(A1322,'Discount Lookup'!J:K,2)*G1322),0))))</f>
        <v>0</v>
      </c>
      <c r="AJ1322" s="107" t="str">
        <f t="shared" ca="1" si="975"/>
        <v/>
      </c>
      <c r="AK1322" s="714" t="str">
        <f t="shared" si="976"/>
        <v/>
      </c>
      <c r="AL1322" s="714"/>
      <c r="AM1322" s="114" t="str">
        <f t="shared" si="977"/>
        <v/>
      </c>
      <c r="AN1322" s="115"/>
      <c r="AO1322" s="116"/>
      <c r="AP1322" s="116"/>
      <c r="AQ1322" s="116"/>
      <c r="AR1322" s="116"/>
      <c r="AS1322" s="116"/>
      <c r="AT1322" s="116"/>
      <c r="AU1322" s="116"/>
      <c r="AV1322" s="78"/>
      <c r="AW1322" s="102"/>
      <c r="AX1322" s="78"/>
      <c r="AY1322" s="78"/>
      <c r="AZ1322" s="78"/>
      <c r="BA1322" s="78"/>
      <c r="BB1322" s="78"/>
      <c r="BC1322" s="78"/>
      <c r="BD1322" s="78"/>
      <c r="BE1322" s="465"/>
      <c r="BF1322" s="165" t="str">
        <f t="shared" si="978"/>
        <v>https://www.google.com/search?tbm=isch&amp;q=Cornus%20kousa%20%27National%27%20National%20Kousa%20Dogwood</v>
      </c>
      <c r="BG1322" s="165" t="str">
        <f t="shared" si="979"/>
        <v>C</v>
      </c>
      <c r="BH1322" s="65"/>
      <c r="BI1322" s="65"/>
      <c r="BJ1322" s="65"/>
      <c r="BK1322" s="65"/>
      <c r="BL1322" s="99"/>
      <c r="BM1322" s="99"/>
      <c r="BN1322" s="99"/>
    </row>
    <row r="1323" spans="1:66" s="51" customFormat="1" ht="15.75" x14ac:dyDescent="0.25">
      <c r="A1323" s="634">
        <v>5</v>
      </c>
      <c r="B1323" s="635" t="s">
        <v>291</v>
      </c>
      <c r="C1323" s="636" t="s">
        <v>2314</v>
      </c>
      <c r="D1323" s="637" t="s">
        <v>329</v>
      </c>
      <c r="E1323" s="638">
        <v>79.95</v>
      </c>
      <c r="F1323" s="639" t="s">
        <v>292</v>
      </c>
      <c r="G1323" s="484">
        <v>0</v>
      </c>
      <c r="H1323" s="691" t="str">
        <f>IF(G1323=0,"",IF(F1323="Buy",IF(G1323=1,"plant","plants"),IF(F1323&gt;0.01,"warranty","Error")))</f>
        <v/>
      </c>
      <c r="I1323" s="640">
        <f>IF(H1323="free",0,IF(H1323="credit",((E1323*(F1323))*G1323*-1),IF(F1323="Buy",(E1323*G1323),((E1323*(1-F1323))*G1323))))</f>
        <v>0</v>
      </c>
      <c r="J1323" s="640">
        <f>IF(H1323="warranty",0,(I1323*(_xlfn.SINGLE(SalesTaxPercentage))))</f>
        <v>0</v>
      </c>
      <c r="K1323" s="716">
        <f t="shared" ref="K1323" si="992">I1323+J1323</f>
        <v>0</v>
      </c>
      <c r="L1323" s="716"/>
      <c r="M1323" s="689" t="str">
        <f ca="1">IF(AND(G1323&gt;0,E1323=0),"WARNING - no PRICE inserted",IF(H1323="free","FREE ~ no charge this plant",IF(H1323="credit",CONCATENATE("-$",ROUND(K1323*(1-_xlfn.SINGLE(T2GDiscount))*-1,2)," CREDIT after discount"),IF(_xlfn.SINGLE(T2GDiscount)=0,"",IF(G1323=0,"",IF(F1323="Buy",CONCATENATE("$",ROUND(K1323*(1-_xlfn.SINGLE(T2GDiscount)),2)," with ",(_xlfn.SINGLE(T2GDiscount)*100),"% discount"),CONCATENATE("$",ROUND(K1323*(1-_xlfn.SINGLE(T2GDiscount)),2)," with ",((_xlfn.SINGLE(T2GDiscount)*100+F1323*100)-(_xlfn.SINGLE(T2GDiscount)*100*F1323)),IF(F1323&gt;0,"% discounts",IF(_xlfn.SINGLE(NoWarrantyDiscount)&gt;0,"% discounts","% discount")))))))))</f>
        <v/>
      </c>
      <c r="N1323" s="690"/>
      <c r="O1323" s="486"/>
      <c r="P1323" s="486"/>
      <c r="Q1323" s="486"/>
      <c r="R1323" s="486"/>
      <c r="S1323" s="486"/>
      <c r="T1323" s="102">
        <f t="shared" si="967"/>
        <v>0</v>
      </c>
      <c r="U1323" s="78">
        <f>IF(NOT(ISNUMBER(G1323)), "", VLOOKUP(A1323,'Discount Lookup'!D:E,2,FALSE)*G1323)</f>
        <v>0</v>
      </c>
      <c r="V1323" s="78">
        <f>IF(NOT(ISNUMBER(G1323)), "", VLOOKUP(A1323,'Discount Lookup'!G:H,2,FALSE)*G1323)</f>
        <v>0</v>
      </c>
      <c r="W1323" s="102">
        <f t="shared" si="968"/>
        <v>0</v>
      </c>
      <c r="X1323" s="102">
        <f t="shared" si="969"/>
        <v>0</v>
      </c>
      <c r="Y1323" s="120" t="b">
        <f t="shared" si="970"/>
        <v>0</v>
      </c>
      <c r="Z1323" s="117">
        <f t="shared" si="971"/>
        <v>0</v>
      </c>
      <c r="AA1323" s="118"/>
      <c r="AB1323" s="118" t="str">
        <f t="shared" si="972"/>
        <v/>
      </c>
      <c r="AC1323" s="712" t="str">
        <f>IF(AE1323="T2G","no charge",IF(AND(OR(PlanterYesMe="No",PlanterYesMe="N",PlanterYesMe="me"),H1323=""),"",IF(H1323="credit","NO install",IF(AND(K1323="",AE1323="me"),"EACH row",IF(AND(K1323="images",AE1323="me"),"EACH row",IF(D1323="","",IF(H1323="credit","",IF(AE1323="free","re-planting",IF(AE1323="me","   not ELP, by",IF(AND(OR(PlanterYesMe="Yes",PlanterYesMe="Y"),G1323&gt;0),(VLOOKUP(A1323,'Discount Lookup'!J:K,2)*G1323*(1-PlanterDiscount)*(1+PlanterDifficultyPercentage)),IF(AE1323="ELP",(VLOOKUP(A1323,'Discount Lookup'!J:K,2)*G1323*(1-PlanterDiscount)*(1+PlanterDifficultyPercentage)),IF(AE1323="free","re-planting",IF(G1323=0,"",IF(PlanterYesMe="",IF(AE1323="me","   not ELP, by",IF(AE1323="",IF(G1323&gt;0,(VLOOKUP(A1323,'Discount Lookup'!J:K,2)*G1323*(1-PlanterDiscount)*(1+PlanterDifficultyPercentage)),""),"")),"   not ELP, by"))))))))))))))</f>
        <v/>
      </c>
      <c r="AD1323" s="712"/>
      <c r="AE1323" s="513" t="str">
        <f t="shared" si="973"/>
        <v/>
      </c>
      <c r="AF1323" s="713" t="str">
        <f t="shared" si="974"/>
        <v/>
      </c>
      <c r="AG1323" s="713"/>
      <c r="AH1323" s="713"/>
      <c r="AI1323" s="112">
        <f>IF(H1323="credit",0,IF(AE1323="free",0,IF(AE1323="me",0,IF(G1323&gt;0,(VLOOKUP(A1323,'Discount Lookup'!J:K,2)*G1323),0))))</f>
        <v>0</v>
      </c>
      <c r="AJ1323" s="107" t="str">
        <f t="shared" ca="1" si="975"/>
        <v/>
      </c>
      <c r="AK1323" s="714" t="str">
        <f t="shared" si="976"/>
        <v/>
      </c>
      <c r="AL1323" s="714"/>
      <c r="AM1323" s="114" t="str">
        <f t="shared" si="977"/>
        <v/>
      </c>
      <c r="AN1323" s="115"/>
      <c r="AO1323" s="116"/>
      <c r="AP1323" s="116"/>
      <c r="AQ1323" s="116"/>
      <c r="AR1323" s="116"/>
      <c r="AS1323" s="116"/>
      <c r="AT1323" s="116"/>
      <c r="AU1323" s="116"/>
      <c r="AV1323" s="78"/>
      <c r="AW1323" s="102"/>
      <c r="AX1323" s="78"/>
      <c r="AY1323" s="78"/>
      <c r="AZ1323" s="78"/>
      <c r="BA1323" s="78"/>
      <c r="BB1323" s="78"/>
      <c r="BC1323" s="78"/>
      <c r="BD1323" s="78"/>
      <c r="BE1323" s="465"/>
      <c r="BF1323" s="165" t="str">
        <f t="shared" si="978"/>
        <v>https://www.google.com/search?tbm=isch&amp;q=5%20G2</v>
      </c>
      <c r="BG1323" s="165" t="str">
        <f t="shared" si="979"/>
        <v>C</v>
      </c>
      <c r="BH1323" s="65"/>
      <c r="BI1323" s="65"/>
      <c r="BJ1323" s="65"/>
      <c r="BK1323" s="65"/>
      <c r="BL1323" s="99"/>
      <c r="BM1323" s="99"/>
      <c r="BN1323" s="99"/>
    </row>
    <row r="1324" spans="1:66" s="51" customFormat="1" ht="27" x14ac:dyDescent="0.25">
      <c r="A1324" s="634">
        <v>7</v>
      </c>
      <c r="B1324" s="635" t="s">
        <v>291</v>
      </c>
      <c r="C1324" s="636" t="s">
        <v>2315</v>
      </c>
      <c r="D1324" s="637" t="s">
        <v>299</v>
      </c>
      <c r="E1324" s="638">
        <v>102.95</v>
      </c>
      <c r="F1324" s="639" t="s">
        <v>292</v>
      </c>
      <c r="G1324" s="484">
        <v>0</v>
      </c>
      <c r="H1324" s="691" t="str">
        <f>IF(G1324=0,"",IF(F1324="Buy",IF(G1324=1,"plant","plants"),IF(F1324&gt;0.01,"warranty","Error")))</f>
        <v/>
      </c>
      <c r="I1324" s="640">
        <f>IF(H1324="free",0,IF(H1324="credit",((E1324*(F1324))*G1324*-1),IF(F1324="Buy",(E1324*G1324),((E1324*(1-F1324))*G1324))))</f>
        <v>0</v>
      </c>
      <c r="J1324" s="640">
        <f>IF(H1324="warranty",0,(I1324*(_xlfn.SINGLE(SalesTaxPercentage))))</f>
        <v>0</v>
      </c>
      <c r="K1324" s="716">
        <f t="shared" ref="K1324" si="993">I1324+J1324</f>
        <v>0</v>
      </c>
      <c r="L1324" s="716"/>
      <c r="M1324" s="689" t="str">
        <f ca="1">IF(AND(G1324&gt;0,E1324=0),"WARNING - no PRICE inserted",IF(H1324="free","FREE ~ no charge this plant",IF(H1324="credit",CONCATENATE("-$",ROUND(K1324*(1-_xlfn.SINGLE(T2GDiscount))*-1,2)," CREDIT after discount"),IF(_xlfn.SINGLE(T2GDiscount)=0,"",IF(G1324=0,"",IF(F1324="Buy",CONCATENATE("$",ROUND(K1324*(1-_xlfn.SINGLE(T2GDiscount)),2)," with ",(_xlfn.SINGLE(T2GDiscount)*100),"% discount"),CONCATENATE("$",ROUND(K1324*(1-_xlfn.SINGLE(T2GDiscount)),2)," with ",((_xlfn.SINGLE(T2GDiscount)*100+F1324*100)-(_xlfn.SINGLE(T2GDiscount)*100*F1324)),IF(F1324&gt;0,"% discounts",IF(_xlfn.SINGLE(NoWarrantyDiscount)&gt;0,"% discounts","% discount")))))))))</f>
        <v/>
      </c>
      <c r="N1324" s="690"/>
      <c r="O1324" s="486"/>
      <c r="P1324" s="486"/>
      <c r="Q1324" s="486"/>
      <c r="R1324" s="486"/>
      <c r="S1324" s="486"/>
      <c r="T1324" s="102">
        <f t="shared" si="967"/>
        <v>0</v>
      </c>
      <c r="U1324" s="78">
        <f>IF(NOT(ISNUMBER(G1324)), "", VLOOKUP(A1324,'Discount Lookup'!D:E,2,FALSE)*G1324)</f>
        <v>0</v>
      </c>
      <c r="V1324" s="78">
        <f>IF(NOT(ISNUMBER(G1324)), "", VLOOKUP(A1324,'Discount Lookup'!G:H,2,FALSE)*G1324)</f>
        <v>0</v>
      </c>
      <c r="W1324" s="102">
        <f t="shared" si="968"/>
        <v>0</v>
      </c>
      <c r="X1324" s="102">
        <f t="shared" si="969"/>
        <v>0</v>
      </c>
      <c r="Y1324" s="120" t="b">
        <f t="shared" si="970"/>
        <v>0</v>
      </c>
      <c r="Z1324" s="117">
        <f t="shared" si="971"/>
        <v>0</v>
      </c>
      <c r="AA1324" s="118"/>
      <c r="AB1324" s="118" t="str">
        <f t="shared" si="972"/>
        <v/>
      </c>
      <c r="AC1324" s="712" t="str">
        <f>IF(AE1324="T2G","no charge",IF(AND(OR(PlanterYesMe="No",PlanterYesMe="N",PlanterYesMe="me"),H1324=""),"",IF(H1324="credit","NO install",IF(AND(K1324="",AE1324="me"),"EACH row",IF(AND(K1324="images",AE1324="me"),"EACH row",IF(D1324="","",IF(H1324="credit","",IF(AE1324="free","re-planting",IF(AE1324="me","   not ELP, by",IF(AND(OR(PlanterYesMe="Yes",PlanterYesMe="Y"),G1324&gt;0),(VLOOKUP(A1324,'Discount Lookup'!J:K,2)*G1324*(1-PlanterDiscount)*(1+PlanterDifficultyPercentage)),IF(AE1324="ELP",(VLOOKUP(A1324,'Discount Lookup'!J:K,2)*G1324*(1-PlanterDiscount)*(1+PlanterDifficultyPercentage)),IF(AE1324="free","re-planting",IF(G1324=0,"",IF(PlanterYesMe="",IF(AE1324="me","   not ELP, by",IF(AE1324="",IF(G1324&gt;0,(VLOOKUP(A1324,'Discount Lookup'!J:K,2)*G1324*(1-PlanterDiscount)*(1+PlanterDifficultyPercentage)),""),"")),"   not ELP, by"))))))))))))))</f>
        <v/>
      </c>
      <c r="AD1324" s="712"/>
      <c r="AE1324" s="513" t="str">
        <f t="shared" si="973"/>
        <v/>
      </c>
      <c r="AF1324" s="713" t="str">
        <f t="shared" si="974"/>
        <v/>
      </c>
      <c r="AG1324" s="713"/>
      <c r="AH1324" s="713"/>
      <c r="AI1324" s="112">
        <f>IF(H1324="credit",0,IF(AE1324="free",0,IF(AE1324="me",0,IF(G1324&gt;0,(VLOOKUP(A1324,'Discount Lookup'!J:K,2)*G1324),0))))</f>
        <v>0</v>
      </c>
      <c r="AJ1324" s="107" t="str">
        <f t="shared" ca="1" si="975"/>
        <v/>
      </c>
      <c r="AK1324" s="714" t="str">
        <f t="shared" si="976"/>
        <v/>
      </c>
      <c r="AL1324" s="714"/>
      <c r="AM1324" s="114" t="str">
        <f t="shared" si="977"/>
        <v/>
      </c>
      <c r="AN1324" s="115"/>
      <c r="AO1324" s="116"/>
      <c r="AP1324" s="116"/>
      <c r="AQ1324" s="116"/>
      <c r="AR1324" s="116"/>
      <c r="AS1324" s="116"/>
      <c r="AT1324" s="116"/>
      <c r="AU1324" s="116"/>
      <c r="AV1324" s="78"/>
      <c r="AW1324" s="102"/>
      <c r="AX1324" s="78"/>
      <c r="AY1324" s="78"/>
      <c r="AZ1324" s="78"/>
      <c r="BA1324" s="78"/>
      <c r="BB1324" s="78"/>
      <c r="BC1324" s="78"/>
      <c r="BD1324" s="78"/>
      <c r="BE1324" s="465"/>
      <c r="BF1324" s="165" t="str">
        <f t="shared" si="978"/>
        <v>https://www.google.com/search?tbm=isch&amp;q=7%20G4</v>
      </c>
      <c r="BG1324" s="165" t="str">
        <f t="shared" si="979"/>
        <v>C</v>
      </c>
      <c r="BH1324" s="65"/>
      <c r="BI1324" s="65"/>
      <c r="BJ1324" s="65"/>
      <c r="BK1324" s="65"/>
      <c r="BL1324" s="99"/>
      <c r="BM1324" s="99"/>
      <c r="BN1324" s="99"/>
    </row>
    <row r="1325" spans="1:66" s="51" customFormat="1" ht="15.75" x14ac:dyDescent="0.25">
      <c r="A1325" s="634">
        <v>10</v>
      </c>
      <c r="B1325" s="635" t="s">
        <v>291</v>
      </c>
      <c r="C1325" s="636" t="s">
        <v>1707</v>
      </c>
      <c r="D1325" s="637" t="s">
        <v>299</v>
      </c>
      <c r="E1325" s="638">
        <v>160.94999999999999</v>
      </c>
      <c r="F1325" s="639" t="s">
        <v>292</v>
      </c>
      <c r="G1325" s="484">
        <v>0</v>
      </c>
      <c r="H1325" s="691" t="str">
        <f>IF(G1325=0,"",IF(F1325="Buy",IF(G1325=1,"plant","plants"),IF(F1325&gt;0.01,"warranty","Error")))</f>
        <v/>
      </c>
      <c r="I1325" s="640">
        <f>IF(H1325="free",0,IF(H1325="credit",((E1325*(F1325))*G1325*-1),IF(F1325="Buy",(E1325*G1325),((E1325*(1-F1325))*G1325))))</f>
        <v>0</v>
      </c>
      <c r="J1325" s="640">
        <f>IF(H1325="warranty",0,(I1325*(_xlfn.SINGLE(SalesTaxPercentage))))</f>
        <v>0</v>
      </c>
      <c r="K1325" s="716">
        <f t="shared" ref="K1325" si="994">I1325+J1325</f>
        <v>0</v>
      </c>
      <c r="L1325" s="716"/>
      <c r="M1325" s="689" t="str">
        <f ca="1">IF(AND(G1325&gt;0,E1325=0),"WARNING - no PRICE inserted",IF(H1325="free","FREE ~ no charge this plant",IF(H1325="credit",CONCATENATE("-$",ROUND(K1325*(1-_xlfn.SINGLE(T2GDiscount))*-1,2)," CREDIT after discount"),IF(_xlfn.SINGLE(T2GDiscount)=0,"",IF(G1325=0,"",IF(F1325="Buy",CONCATENATE("$",ROUND(K1325*(1-_xlfn.SINGLE(T2GDiscount)),2)," with ",(_xlfn.SINGLE(T2GDiscount)*100),"% discount"),CONCATENATE("$",ROUND(K1325*(1-_xlfn.SINGLE(T2GDiscount)),2)," with ",((_xlfn.SINGLE(T2GDiscount)*100+F1325*100)-(_xlfn.SINGLE(T2GDiscount)*100*F1325)),IF(F1325&gt;0,"% discounts",IF(_xlfn.SINGLE(NoWarrantyDiscount)&gt;0,"% discounts","% discount")))))))))</f>
        <v/>
      </c>
      <c r="N1325" s="690"/>
      <c r="O1325" s="486"/>
      <c r="P1325" s="486"/>
      <c r="Q1325" s="486"/>
      <c r="R1325" s="486"/>
      <c r="S1325" s="486"/>
      <c r="T1325" s="102">
        <f t="shared" si="967"/>
        <v>0</v>
      </c>
      <c r="U1325" s="78">
        <f>IF(NOT(ISNUMBER(G1325)), "", VLOOKUP(A1325,'Discount Lookup'!D:E,2,FALSE)*G1325)</f>
        <v>0</v>
      </c>
      <c r="V1325" s="78">
        <f>IF(NOT(ISNUMBER(G1325)), "", VLOOKUP(A1325,'Discount Lookup'!G:H,2,FALSE)*G1325)</f>
        <v>0</v>
      </c>
      <c r="W1325" s="102">
        <f t="shared" si="968"/>
        <v>0</v>
      </c>
      <c r="X1325" s="102">
        <f t="shared" si="969"/>
        <v>0</v>
      </c>
      <c r="Y1325" s="120" t="b">
        <f t="shared" si="970"/>
        <v>0</v>
      </c>
      <c r="Z1325" s="117">
        <f t="shared" si="971"/>
        <v>0</v>
      </c>
      <c r="AA1325" s="118"/>
      <c r="AB1325" s="118" t="str">
        <f t="shared" si="972"/>
        <v/>
      </c>
      <c r="AC1325" s="712" t="str">
        <f>IF(AE1325="T2G","no charge",IF(AND(OR(PlanterYesMe="No",PlanterYesMe="N",PlanterYesMe="me"),H1325=""),"",IF(H1325="credit","NO install",IF(AND(K1325="",AE1325="me"),"EACH row",IF(AND(K1325="images",AE1325="me"),"EACH row",IF(D1325="","",IF(H1325="credit","",IF(AE1325="free","re-planting",IF(AE1325="me","   not ELP, by",IF(AND(OR(PlanterYesMe="Yes",PlanterYesMe="Y"),G1325&gt;0),(VLOOKUP(A1325,'Discount Lookup'!J:K,2)*G1325*(1-PlanterDiscount)*(1+PlanterDifficultyPercentage)),IF(AE1325="ELP",(VLOOKUP(A1325,'Discount Lookup'!J:K,2)*G1325*(1-PlanterDiscount)*(1+PlanterDifficultyPercentage)),IF(AE1325="free","re-planting",IF(G1325=0,"",IF(PlanterYesMe="",IF(AE1325="me","   not ELP, by",IF(AE1325="",IF(G1325&gt;0,(VLOOKUP(A1325,'Discount Lookup'!J:K,2)*G1325*(1-PlanterDiscount)*(1+PlanterDifficultyPercentage)),""),"")),"   not ELP, by"))))))))))))))</f>
        <v/>
      </c>
      <c r="AD1325" s="712"/>
      <c r="AE1325" s="513" t="str">
        <f t="shared" si="973"/>
        <v/>
      </c>
      <c r="AF1325" s="713" t="str">
        <f t="shared" si="974"/>
        <v/>
      </c>
      <c r="AG1325" s="713"/>
      <c r="AH1325" s="713"/>
      <c r="AI1325" s="112">
        <f>IF(H1325="credit",0,IF(AE1325="free",0,IF(AE1325="me",0,IF(G1325&gt;0,(VLOOKUP(A1325,'Discount Lookup'!J:K,2)*G1325),0))))</f>
        <v>0</v>
      </c>
      <c r="AJ1325" s="107" t="str">
        <f t="shared" ca="1" si="975"/>
        <v/>
      </c>
      <c r="AK1325" s="714" t="str">
        <f t="shared" si="976"/>
        <v/>
      </c>
      <c r="AL1325" s="714"/>
      <c r="AM1325" s="114" t="str">
        <f t="shared" si="977"/>
        <v/>
      </c>
      <c r="AN1325" s="115"/>
      <c r="AO1325" s="116"/>
      <c r="AP1325" s="116"/>
      <c r="AQ1325" s="116"/>
      <c r="AR1325" s="116"/>
      <c r="AS1325" s="116"/>
      <c r="AT1325" s="116"/>
      <c r="AU1325" s="116"/>
      <c r="AV1325" s="78"/>
      <c r="AW1325" s="102"/>
      <c r="AX1325" s="78"/>
      <c r="AY1325" s="78"/>
      <c r="AZ1325" s="78"/>
      <c r="BA1325" s="78"/>
      <c r="BB1325" s="78"/>
      <c r="BC1325" s="78"/>
      <c r="BD1325" s="78"/>
      <c r="BE1325" s="465"/>
      <c r="BF1325" s="165" t="str">
        <f t="shared" si="978"/>
        <v>https://www.google.com/search?tbm=isch&amp;q=10%20G4</v>
      </c>
      <c r="BG1325" s="165" t="str">
        <f t="shared" si="979"/>
        <v>C</v>
      </c>
      <c r="BH1325" s="65"/>
      <c r="BI1325" s="65"/>
      <c r="BJ1325" s="65"/>
      <c r="BK1325" s="65"/>
      <c r="BL1325" s="99"/>
      <c r="BM1325" s="99"/>
      <c r="BN1325" s="99"/>
    </row>
    <row r="1326" spans="1:66" s="51" customFormat="1" ht="15.75" x14ac:dyDescent="0.25">
      <c r="A1326" s="634">
        <v>15</v>
      </c>
      <c r="B1326" s="635" t="s">
        <v>291</v>
      </c>
      <c r="C1326" s="636" t="s">
        <v>5159</v>
      </c>
      <c r="D1326" s="637" t="s">
        <v>299</v>
      </c>
      <c r="E1326" s="638">
        <v>192.95</v>
      </c>
      <c r="F1326" s="639" t="s">
        <v>292</v>
      </c>
      <c r="G1326" s="484">
        <v>0</v>
      </c>
      <c r="H1326" s="691" t="str">
        <f>IF(G1326=0,"",IF(F1326="Buy",IF(G1326=1,"plant","plants"),IF(F1326&gt;0.01,"warranty","Error")))</f>
        <v/>
      </c>
      <c r="I1326" s="640">
        <f>IF(H1326="free",0,IF(H1326="credit",((E1326*(F1326))*G1326*-1),IF(F1326="Buy",(E1326*G1326),((E1326*(1-F1326))*G1326))))</f>
        <v>0</v>
      </c>
      <c r="J1326" s="640">
        <f>IF(H1326="warranty",0,(I1326*(_xlfn.SINGLE(SalesTaxPercentage))))</f>
        <v>0</v>
      </c>
      <c r="K1326" s="716">
        <f t="shared" ref="K1326" si="995">I1326+J1326</f>
        <v>0</v>
      </c>
      <c r="L1326" s="716"/>
      <c r="M1326" s="689" t="str">
        <f ca="1">IF(AND(G1326&gt;0,E1326=0),"WARNING - no PRICE inserted",IF(H1326="free","FREE ~ no charge this plant",IF(H1326="credit",CONCATENATE("-$",ROUND(K1326*(1-_xlfn.SINGLE(T2GDiscount))*-1,2)," CREDIT after discount"),IF(_xlfn.SINGLE(T2GDiscount)=0,"",IF(G1326=0,"",IF(F1326="Buy",CONCATENATE("$",ROUND(K1326*(1-_xlfn.SINGLE(T2GDiscount)),2)," with ",(_xlfn.SINGLE(T2GDiscount)*100),"% discount"),CONCATENATE("$",ROUND(K1326*(1-_xlfn.SINGLE(T2GDiscount)),2)," with ",((_xlfn.SINGLE(T2GDiscount)*100+F1326*100)-(_xlfn.SINGLE(T2GDiscount)*100*F1326)),IF(F1326&gt;0,"% discounts",IF(_xlfn.SINGLE(NoWarrantyDiscount)&gt;0,"% discounts","% discount")))))))))</f>
        <v/>
      </c>
      <c r="N1326" s="690"/>
      <c r="O1326" s="486"/>
      <c r="P1326" s="486"/>
      <c r="Q1326" s="486"/>
      <c r="R1326" s="486"/>
      <c r="S1326" s="486"/>
      <c r="T1326" s="102">
        <f t="shared" si="967"/>
        <v>0</v>
      </c>
      <c r="U1326" s="78">
        <f>IF(NOT(ISNUMBER(G1326)), "", VLOOKUP(A1326,'Discount Lookup'!D:E,2,FALSE)*G1326)</f>
        <v>0</v>
      </c>
      <c r="V1326" s="78">
        <f>IF(NOT(ISNUMBER(G1326)), "", VLOOKUP(A1326,'Discount Lookup'!G:H,2,FALSE)*G1326)</f>
        <v>0</v>
      </c>
      <c r="W1326" s="102">
        <f t="shared" si="968"/>
        <v>0</v>
      </c>
      <c r="X1326" s="102">
        <f t="shared" si="969"/>
        <v>0</v>
      </c>
      <c r="Y1326" s="120" t="b">
        <f t="shared" si="970"/>
        <v>0</v>
      </c>
      <c r="Z1326" s="117">
        <f t="shared" si="971"/>
        <v>0</v>
      </c>
      <c r="AA1326" s="118"/>
      <c r="AB1326" s="118" t="str">
        <f t="shared" si="972"/>
        <v/>
      </c>
      <c r="AC1326" s="712" t="str">
        <f>IF(AE1326="T2G","no charge",IF(AND(OR(PlanterYesMe="No",PlanterYesMe="N",PlanterYesMe="me"),H1326=""),"",IF(H1326="credit","NO install",IF(AND(K1326="",AE1326="me"),"EACH row",IF(AND(K1326="images",AE1326="me"),"EACH row",IF(D1326="","",IF(H1326="credit","",IF(AE1326="free","re-planting",IF(AE1326="me","   not ELP, by",IF(AND(OR(PlanterYesMe="Yes",PlanterYesMe="Y"),G1326&gt;0),(VLOOKUP(A1326,'Discount Lookup'!J:K,2)*G1326*(1-PlanterDiscount)*(1+PlanterDifficultyPercentage)),IF(AE1326="ELP",(VLOOKUP(A1326,'Discount Lookup'!J:K,2)*G1326*(1-PlanterDiscount)*(1+PlanterDifficultyPercentage)),IF(AE1326="free","re-planting",IF(G1326=0,"",IF(PlanterYesMe="",IF(AE1326="me","   not ELP, by",IF(AE1326="",IF(G1326&gt;0,(VLOOKUP(A1326,'Discount Lookup'!J:K,2)*G1326*(1-PlanterDiscount)*(1+PlanterDifficultyPercentage)),""),"")),"   not ELP, by"))))))))))))))</f>
        <v/>
      </c>
      <c r="AD1326" s="712"/>
      <c r="AE1326" s="513" t="str">
        <f t="shared" si="973"/>
        <v/>
      </c>
      <c r="AF1326" s="713" t="str">
        <f t="shared" si="974"/>
        <v/>
      </c>
      <c r="AG1326" s="713"/>
      <c r="AH1326" s="713"/>
      <c r="AI1326" s="112">
        <f>IF(H1326="credit",0,IF(AE1326="free",0,IF(AE1326="me",0,IF(G1326&gt;0,(VLOOKUP(A1326,'Discount Lookup'!J:K,2)*G1326),0))))</f>
        <v>0</v>
      </c>
      <c r="AJ1326" s="107" t="str">
        <f t="shared" ca="1" si="975"/>
        <v/>
      </c>
      <c r="AK1326" s="714" t="str">
        <f t="shared" si="976"/>
        <v/>
      </c>
      <c r="AL1326" s="714"/>
      <c r="AM1326" s="114" t="str">
        <f t="shared" si="977"/>
        <v/>
      </c>
      <c r="AN1326" s="115"/>
      <c r="AO1326" s="116"/>
      <c r="AP1326" s="116"/>
      <c r="AQ1326" s="116"/>
      <c r="AR1326" s="116"/>
      <c r="AS1326" s="116"/>
      <c r="AT1326" s="116"/>
      <c r="AU1326" s="116"/>
      <c r="AV1326" s="78"/>
      <c r="AW1326" s="102"/>
      <c r="AX1326" s="78"/>
      <c r="AY1326" s="78"/>
      <c r="AZ1326" s="78"/>
      <c r="BA1326" s="78"/>
      <c r="BB1326" s="78"/>
      <c r="BC1326" s="78"/>
      <c r="BD1326" s="78"/>
      <c r="BE1326" s="465"/>
      <c r="BF1326" s="165" t="str">
        <f t="shared" si="978"/>
        <v>https://www.google.com/search?tbm=isch&amp;q=15%20G4</v>
      </c>
      <c r="BG1326" s="165" t="str">
        <f t="shared" si="979"/>
        <v>C</v>
      </c>
      <c r="BH1326" s="65"/>
      <c r="BI1326" s="65"/>
      <c r="BJ1326" s="65"/>
      <c r="BK1326" s="65"/>
      <c r="BL1326" s="99"/>
      <c r="BM1326" s="99"/>
      <c r="BN1326" s="99"/>
    </row>
    <row r="1327" spans="1:66" s="51" customFormat="1" ht="17.25" thickBot="1" x14ac:dyDescent="0.3">
      <c r="A1327" s="641" t="s">
        <v>2316</v>
      </c>
      <c r="B1327" s="642"/>
      <c r="C1327" s="710"/>
      <c r="D1327" s="643"/>
      <c r="E1327" s="643"/>
      <c r="F1327" s="644"/>
      <c r="G1327" s="645"/>
      <c r="H1327" s="646"/>
      <c r="I1327" s="647"/>
      <c r="J1327" s="648"/>
      <c r="K1327" s="649"/>
      <c r="L1327" s="650"/>
      <c r="M1327" s="650"/>
      <c r="N1327" s="644"/>
      <c r="O1327" s="644"/>
      <c r="P1327" s="644"/>
      <c r="Q1327" s="644"/>
      <c r="R1327" s="644"/>
      <c r="S1327" s="701" t="s">
        <v>5262</v>
      </c>
      <c r="T1327" s="102">
        <f t="shared" si="967"/>
        <v>0</v>
      </c>
      <c r="U1327" s="78" t="str">
        <f>IF(NOT(ISNUMBER(G1327)), "", VLOOKUP(A1327,'Discount Lookup'!D:E,2,FALSE)*G1327)</f>
        <v/>
      </c>
      <c r="V1327" s="78" t="str">
        <f>IF(NOT(ISNUMBER(G1327)), "", VLOOKUP(A1327,'Discount Lookup'!G:H,2,FALSE)*G1327)</f>
        <v/>
      </c>
      <c r="W1327" s="102">
        <f t="shared" si="968"/>
        <v>0</v>
      </c>
      <c r="X1327" s="102">
        <f t="shared" si="969"/>
        <v>0</v>
      </c>
      <c r="Y1327" s="120" t="b">
        <f t="shared" si="970"/>
        <v>0</v>
      </c>
      <c r="Z1327" s="117">
        <f t="shared" si="971"/>
        <v>0</v>
      </c>
      <c r="AA1327" s="118"/>
      <c r="AB1327" s="118" t="str">
        <f t="shared" si="972"/>
        <v/>
      </c>
      <c r="AC1327" s="712" t="str">
        <f>IF(AE1327="T2G","no charge",IF(AND(OR(PlanterYesMe="No",PlanterYesMe="N",PlanterYesMe="me"),H1327=""),"",IF(H1327="credit","NO install",IF(AND(K1327="",AE1327="me"),"EACH row",IF(AND(K1327="images",AE1327="me"),"EACH row",IF(D1327="","",IF(H1327="credit","",IF(AE1327="free","re-planting",IF(AE1327="me","   not ELP, by",IF(AND(OR(PlanterYesMe="Yes",PlanterYesMe="Y"),G1327&gt;0),(VLOOKUP(A1327,'Discount Lookup'!J:K,2)*G1327*(1-PlanterDiscount)*(1+PlanterDifficultyPercentage)),IF(AE1327="ELP",(VLOOKUP(A1327,'Discount Lookup'!J:K,2)*G1327*(1-PlanterDiscount)*(1+PlanterDifficultyPercentage)),IF(AE1327="free","re-planting",IF(G1327=0,"",IF(PlanterYesMe="",IF(AE1327="me","   not ELP, by",IF(AE1327="",IF(G1327&gt;0,(VLOOKUP(A1327,'Discount Lookup'!J:K,2)*G1327*(1-PlanterDiscount)*(1+PlanterDifficultyPercentage)),""),"")),"   not ELP, by"))))))))))))))</f>
        <v/>
      </c>
      <c r="AD1327" s="712"/>
      <c r="AE1327" s="513" t="str">
        <f t="shared" si="973"/>
        <v/>
      </c>
      <c r="AF1327" s="713" t="str">
        <f t="shared" si="974"/>
        <v/>
      </c>
      <c r="AG1327" s="713"/>
      <c r="AH1327" s="713"/>
      <c r="AI1327" s="112">
        <f>IF(H1327="credit",0,IF(AE1327="free",0,IF(AE1327="me",0,IF(G1327&gt;0,(VLOOKUP(A1327,'Discount Lookup'!J:K,2)*G1327),0))))</f>
        <v>0</v>
      </c>
      <c r="AJ1327" s="107" t="str">
        <f t="shared" ca="1" si="975"/>
        <v/>
      </c>
      <c r="AK1327" s="714" t="str">
        <f t="shared" si="976"/>
        <v/>
      </c>
      <c r="AL1327" s="714"/>
      <c r="AM1327" s="114" t="str">
        <f t="shared" si="977"/>
        <v/>
      </c>
      <c r="AN1327" s="115"/>
      <c r="AO1327" s="116"/>
      <c r="AP1327" s="116"/>
      <c r="AQ1327" s="116"/>
      <c r="AR1327" s="116"/>
      <c r="AS1327" s="116"/>
      <c r="AT1327" s="116"/>
      <c r="AU1327" s="116"/>
      <c r="AV1327" s="78"/>
      <c r="AW1327" s="102"/>
      <c r="AX1327" s="78"/>
      <c r="AY1327" s="78"/>
      <c r="AZ1327" s="78"/>
      <c r="BA1327" s="78"/>
      <c r="BB1327" s="78"/>
      <c r="BC1327" s="78"/>
      <c r="BD1327" s="78"/>
      <c r="BE1327" s="465"/>
      <c r="BF1327" s="165" t="str">
        <f t="shared" si="978"/>
        <v>https://www.google.com/search?tbm=isch&amp;q=National%20is%20vigorous%20and%20vase-shaped.%20Birds%20enjoy%20the%20large%20showy%20red%20fruit%20</v>
      </c>
      <c r="BG1327" s="165" t="str">
        <f t="shared" si="979"/>
        <v>N</v>
      </c>
      <c r="BH1327" s="65"/>
      <c r="BI1327" s="65"/>
      <c r="BJ1327" s="65"/>
      <c r="BK1327" s="65"/>
      <c r="BL1327" s="99"/>
      <c r="BM1327" s="99"/>
      <c r="BN1327" s="99"/>
    </row>
    <row r="1328" spans="1:66" s="51" customFormat="1" ht="18" x14ac:dyDescent="0.25">
      <c r="A1328" s="623" t="s">
        <v>2317</v>
      </c>
      <c r="B1328" s="624"/>
      <c r="C1328" s="709"/>
      <c r="D1328" s="625" t="s">
        <v>5643</v>
      </c>
      <c r="E1328" s="626"/>
      <c r="F1328" s="626"/>
      <c r="G1328" s="626"/>
      <c r="H1328" s="622" t="s">
        <v>1158</v>
      </c>
      <c r="I1328" s="627" t="s">
        <v>2318</v>
      </c>
      <c r="J1328" s="628"/>
      <c r="K1328" s="628"/>
      <c r="L1328" s="629"/>
      <c r="M1328" s="700" t="s">
        <v>5249</v>
      </c>
      <c r="N1328" s="693" t="str">
        <f>IF(AND(ISTEXT($A1328), ISERROR($A1328+0)), HYPERLINK($BF1328, "Images"), "")</f>
        <v>Images</v>
      </c>
      <c r="O1328" s="695" t="s">
        <v>5247</v>
      </c>
      <c r="P1328" s="630"/>
      <c r="Q1328" s="631"/>
      <c r="R1328" s="632"/>
      <c r="S1328" s="633"/>
      <c r="T1328" s="102">
        <f t="shared" si="967"/>
        <v>0</v>
      </c>
      <c r="U1328" s="78" t="str">
        <f>IF(NOT(ISNUMBER(G1328)), "", VLOOKUP(A1328,'Discount Lookup'!D:E,2,FALSE)*G1328)</f>
        <v/>
      </c>
      <c r="V1328" s="78" t="str">
        <f>IF(NOT(ISNUMBER(G1328)), "", VLOOKUP(A1328,'Discount Lookup'!G:H,2,FALSE)*G1328)</f>
        <v/>
      </c>
      <c r="W1328" s="102">
        <f t="shared" si="968"/>
        <v>0</v>
      </c>
      <c r="X1328" s="102" t="str">
        <f t="shared" si="969"/>
        <v>Fuchsia bloom</v>
      </c>
      <c r="Y1328" s="120" t="b">
        <f t="shared" si="970"/>
        <v>0</v>
      </c>
      <c r="Z1328" s="117">
        <f t="shared" si="971"/>
        <v>0</v>
      </c>
      <c r="AA1328" s="118"/>
      <c r="AB1328" s="118" t="str">
        <f t="shared" si="972"/>
        <v/>
      </c>
      <c r="AC1328" s="712" t="str">
        <f>IF(AE1328="T2G","no charge",IF(AND(OR(PlanterYesMe="No",PlanterYesMe="N",PlanterYesMe="me"),H1328=""),"",IF(H1328="credit","NO install",IF(AND(K1328="",AE1328="me"),"EACH row",IF(AND(K1328="images",AE1328="me"),"EACH row",IF(D1328="","",IF(H1328="credit","",IF(AE1328="free","re-planting",IF(AE1328="me","   not ELP, by",IF(AND(OR(PlanterYesMe="Yes",PlanterYesMe="Y"),G1328&gt;0),(VLOOKUP(A1328,'Discount Lookup'!J:K,2)*G1328*(1-PlanterDiscount)*(1+PlanterDifficultyPercentage)),IF(AE1328="ELP",(VLOOKUP(A1328,'Discount Lookup'!J:K,2)*G1328*(1-PlanterDiscount)*(1+PlanterDifficultyPercentage)),IF(AE1328="free","re-planting",IF(G1328=0,"",IF(PlanterYesMe="",IF(AE1328="me","   not ELP, by",IF(AE1328="",IF(G1328&gt;0,(VLOOKUP(A1328,'Discount Lookup'!J:K,2)*G1328*(1-PlanterDiscount)*(1+PlanterDifficultyPercentage)),""),"")),"   not ELP, by"))))))))))))))</f>
        <v/>
      </c>
      <c r="AD1328" s="712"/>
      <c r="AE1328" s="513" t="str">
        <f t="shared" si="973"/>
        <v/>
      </c>
      <c r="AF1328" s="713" t="str">
        <f t="shared" si="974"/>
        <v/>
      </c>
      <c r="AG1328" s="713"/>
      <c r="AH1328" s="713"/>
      <c r="AI1328" s="112">
        <f>IF(H1328="credit",0,IF(AE1328="free",0,IF(AE1328="me",0,IF(G1328&gt;0,(VLOOKUP(A1328,'Discount Lookup'!J:K,2)*G1328),0))))</f>
        <v>0</v>
      </c>
      <c r="AJ1328" s="107" t="str">
        <f t="shared" ca="1" si="975"/>
        <v/>
      </c>
      <c r="AK1328" s="714" t="str">
        <f t="shared" si="976"/>
        <v/>
      </c>
      <c r="AL1328" s="714"/>
      <c r="AM1328" s="114" t="str">
        <f t="shared" si="977"/>
        <v/>
      </c>
      <c r="AN1328" s="115"/>
      <c r="AO1328" s="116"/>
      <c r="AP1328" s="116"/>
      <c r="AQ1328" s="116"/>
      <c r="AR1328" s="116"/>
      <c r="AS1328" s="116"/>
      <c r="AT1328" s="116"/>
      <c r="AU1328" s="116"/>
      <c r="AV1328" s="78"/>
      <c r="AW1328" s="102"/>
      <c r="AX1328" s="78"/>
      <c r="AY1328" s="78"/>
      <c r="AZ1328" s="78"/>
      <c r="BA1328" s="78"/>
      <c r="BB1328" s="78"/>
      <c r="BC1328" s="78"/>
      <c r="BD1328" s="78"/>
      <c r="BE1328" s="465"/>
      <c r="BF1328" s="165" t="str">
        <f t="shared" si="978"/>
        <v>https://www.google.com/search?tbm=isch&amp;q=Cornus%20kousa%20%27Rutpink%27%20PP%2328311%20Scarlet%20Fire%E2%84%A2%20Kousa%20Dogwood</v>
      </c>
      <c r="BG1328" s="165" t="str">
        <f t="shared" si="979"/>
        <v>C</v>
      </c>
      <c r="BH1328" s="65"/>
      <c r="BI1328" s="65"/>
      <c r="BJ1328" s="65"/>
      <c r="BK1328" s="65"/>
      <c r="BL1328" s="99"/>
      <c r="BM1328" s="99"/>
      <c r="BN1328" s="99"/>
    </row>
    <row r="1329" spans="1:66" s="51" customFormat="1" ht="15.75" x14ac:dyDescent="0.25">
      <c r="A1329" s="634">
        <v>5</v>
      </c>
      <c r="B1329" s="635" t="s">
        <v>291</v>
      </c>
      <c r="C1329" s="636" t="s">
        <v>2319</v>
      </c>
      <c r="D1329" s="637" t="s">
        <v>299</v>
      </c>
      <c r="E1329" s="638">
        <v>79.95</v>
      </c>
      <c r="F1329" s="639" t="s">
        <v>292</v>
      </c>
      <c r="G1329" s="484">
        <v>0</v>
      </c>
      <c r="H1329" s="691" t="str">
        <f>IF(G1329=0,"",IF(F1329="Buy",IF(G1329=1,"plant","plants"),IF(F1329&gt;0.01,"warranty","Error")))</f>
        <v/>
      </c>
      <c r="I1329" s="640">
        <f>IF(H1329="free",0,IF(H1329="credit",((E1329*(F1329))*G1329*-1),IF(F1329="Buy",(E1329*G1329),((E1329*(1-F1329))*G1329))))</f>
        <v>0</v>
      </c>
      <c r="J1329" s="640">
        <f>IF(H1329="warranty",0,(I1329*(_xlfn.SINGLE(SalesTaxPercentage))))</f>
        <v>0</v>
      </c>
      <c r="K1329" s="716">
        <f t="shared" ref="K1329" si="996">I1329+J1329</f>
        <v>0</v>
      </c>
      <c r="L1329" s="716"/>
      <c r="M1329" s="689" t="str">
        <f ca="1">IF(AND(G1329&gt;0,E1329=0),"WARNING - no PRICE inserted",IF(H1329="free","FREE ~ no charge this plant",IF(H1329="credit",CONCATENATE("-$",ROUND(K1329*(1-_xlfn.SINGLE(T2GDiscount))*-1,2)," CREDIT after discount"),IF(_xlfn.SINGLE(T2GDiscount)=0,"",IF(G1329=0,"",IF(F1329="Buy",CONCATENATE("$",ROUND(K1329*(1-_xlfn.SINGLE(T2GDiscount)),2)," with ",(_xlfn.SINGLE(T2GDiscount)*100),"% discount"),CONCATENATE("$",ROUND(K1329*(1-_xlfn.SINGLE(T2GDiscount)),2)," with ",((_xlfn.SINGLE(T2GDiscount)*100+F1329*100)-(_xlfn.SINGLE(T2GDiscount)*100*F1329)),IF(F1329&gt;0,"% discounts",IF(_xlfn.SINGLE(NoWarrantyDiscount)&gt;0,"% discounts","% discount")))))))))</f>
        <v/>
      </c>
      <c r="N1329" s="690"/>
      <c r="O1329" s="486"/>
      <c r="P1329" s="486"/>
      <c r="Q1329" s="486"/>
      <c r="R1329" s="486"/>
      <c r="S1329" s="486"/>
      <c r="T1329" s="102">
        <f t="shared" si="967"/>
        <v>0</v>
      </c>
      <c r="U1329" s="78">
        <f>IF(NOT(ISNUMBER(G1329)), "", VLOOKUP(A1329,'Discount Lookup'!D:E,2,FALSE)*G1329)</f>
        <v>0</v>
      </c>
      <c r="V1329" s="78">
        <f>IF(NOT(ISNUMBER(G1329)), "", VLOOKUP(A1329,'Discount Lookup'!G:H,2,FALSE)*G1329)</f>
        <v>0</v>
      </c>
      <c r="W1329" s="102">
        <f t="shared" si="968"/>
        <v>0</v>
      </c>
      <c r="X1329" s="102">
        <f t="shared" si="969"/>
        <v>0</v>
      </c>
      <c r="Y1329" s="120" t="b">
        <f t="shared" si="970"/>
        <v>0</v>
      </c>
      <c r="Z1329" s="117">
        <f t="shared" si="971"/>
        <v>0</v>
      </c>
      <c r="AA1329" s="118"/>
      <c r="AB1329" s="118" t="str">
        <f t="shared" si="972"/>
        <v/>
      </c>
      <c r="AC1329" s="712" t="str">
        <f>IF(AE1329="T2G","no charge",IF(AND(OR(PlanterYesMe="No",PlanterYesMe="N",PlanterYesMe="me"),H1329=""),"",IF(H1329="credit","NO install",IF(AND(K1329="",AE1329="me"),"EACH row",IF(AND(K1329="images",AE1329="me"),"EACH row",IF(D1329="","",IF(H1329="credit","",IF(AE1329="free","re-planting",IF(AE1329="me","   not ELP, by",IF(AND(OR(PlanterYesMe="Yes",PlanterYesMe="Y"),G1329&gt;0),(VLOOKUP(A1329,'Discount Lookup'!J:K,2)*G1329*(1-PlanterDiscount)*(1+PlanterDifficultyPercentage)),IF(AE1329="ELP",(VLOOKUP(A1329,'Discount Lookup'!J:K,2)*G1329*(1-PlanterDiscount)*(1+PlanterDifficultyPercentage)),IF(AE1329="free","re-planting",IF(G1329=0,"",IF(PlanterYesMe="",IF(AE1329="me","   not ELP, by",IF(AE1329="",IF(G1329&gt;0,(VLOOKUP(A1329,'Discount Lookup'!J:K,2)*G1329*(1-PlanterDiscount)*(1+PlanterDifficultyPercentage)),""),"")),"   not ELP, by"))))))))))))))</f>
        <v/>
      </c>
      <c r="AD1329" s="712"/>
      <c r="AE1329" s="513" t="str">
        <f t="shared" si="973"/>
        <v/>
      </c>
      <c r="AF1329" s="713" t="str">
        <f t="shared" si="974"/>
        <v/>
      </c>
      <c r="AG1329" s="713"/>
      <c r="AH1329" s="713"/>
      <c r="AI1329" s="112">
        <f>IF(H1329="credit",0,IF(AE1329="free",0,IF(AE1329="me",0,IF(G1329&gt;0,(VLOOKUP(A1329,'Discount Lookup'!J:K,2)*G1329),0))))</f>
        <v>0</v>
      </c>
      <c r="AJ1329" s="107" t="str">
        <f t="shared" ca="1" si="975"/>
        <v/>
      </c>
      <c r="AK1329" s="714" t="str">
        <f t="shared" si="976"/>
        <v/>
      </c>
      <c r="AL1329" s="714"/>
      <c r="AM1329" s="114" t="str">
        <f t="shared" si="977"/>
        <v/>
      </c>
      <c r="AN1329" s="115"/>
      <c r="AO1329" s="116"/>
      <c r="AP1329" s="116"/>
      <c r="AQ1329" s="116"/>
      <c r="AR1329" s="116"/>
      <c r="AS1329" s="116"/>
      <c r="AT1329" s="116"/>
      <c r="AU1329" s="116"/>
      <c r="AV1329" s="78"/>
      <c r="AW1329" s="102"/>
      <c r="AX1329" s="78"/>
      <c r="AY1329" s="78"/>
      <c r="AZ1329" s="78"/>
      <c r="BA1329" s="78"/>
      <c r="BB1329" s="78"/>
      <c r="BC1329" s="78"/>
      <c r="BD1329" s="78"/>
      <c r="BE1329" s="465"/>
      <c r="BF1329" s="165" t="str">
        <f t="shared" si="978"/>
        <v>https://www.google.com/search?tbm=isch&amp;q=5%20G4</v>
      </c>
      <c r="BG1329" s="165" t="str">
        <f t="shared" si="979"/>
        <v>C</v>
      </c>
      <c r="BH1329" s="65"/>
      <c r="BI1329" s="65"/>
      <c r="BJ1329" s="65"/>
      <c r="BK1329" s="65"/>
      <c r="BL1329" s="99"/>
      <c r="BM1329" s="99"/>
      <c r="BN1329" s="99"/>
    </row>
    <row r="1330" spans="1:66" s="51" customFormat="1" ht="15.75" x14ac:dyDescent="0.25">
      <c r="A1330" s="634">
        <v>7</v>
      </c>
      <c r="B1330" s="635" t="s">
        <v>291</v>
      </c>
      <c r="C1330" s="636" t="s">
        <v>2320</v>
      </c>
      <c r="D1330" s="637" t="s">
        <v>299</v>
      </c>
      <c r="E1330" s="638">
        <v>104.95</v>
      </c>
      <c r="F1330" s="639" t="s">
        <v>292</v>
      </c>
      <c r="G1330" s="484">
        <v>0</v>
      </c>
      <c r="H1330" s="691" t="str">
        <f>IF(G1330=0,"",IF(F1330="Buy",IF(G1330=1,"plant","plants"),IF(F1330&gt;0.01,"warranty","Error")))</f>
        <v/>
      </c>
      <c r="I1330" s="640">
        <f>IF(H1330="free",0,IF(H1330="credit",((E1330*(F1330))*G1330*-1),IF(F1330="Buy",(E1330*G1330),((E1330*(1-F1330))*G1330))))</f>
        <v>0</v>
      </c>
      <c r="J1330" s="640">
        <f>IF(H1330="warranty",0,(I1330*(_xlfn.SINGLE(SalesTaxPercentage))))</f>
        <v>0</v>
      </c>
      <c r="K1330" s="716">
        <f t="shared" ref="K1330" si="997">I1330+J1330</f>
        <v>0</v>
      </c>
      <c r="L1330" s="716"/>
      <c r="M1330" s="689" t="str">
        <f ca="1">IF(AND(G1330&gt;0,E1330=0),"WARNING - no PRICE inserted",IF(H1330="free","FREE ~ no charge this plant",IF(H1330="credit",CONCATENATE("-$",ROUND(K1330*(1-_xlfn.SINGLE(T2GDiscount))*-1,2)," CREDIT after discount"),IF(_xlfn.SINGLE(T2GDiscount)=0,"",IF(G1330=0,"",IF(F1330="Buy",CONCATENATE("$",ROUND(K1330*(1-_xlfn.SINGLE(T2GDiscount)),2)," with ",(_xlfn.SINGLE(T2GDiscount)*100),"% discount"),CONCATENATE("$",ROUND(K1330*(1-_xlfn.SINGLE(T2GDiscount)),2)," with ",((_xlfn.SINGLE(T2GDiscount)*100+F1330*100)-(_xlfn.SINGLE(T2GDiscount)*100*F1330)),IF(F1330&gt;0,"% discounts",IF(_xlfn.SINGLE(NoWarrantyDiscount)&gt;0,"% discounts","% discount")))))))))</f>
        <v/>
      </c>
      <c r="N1330" s="690"/>
      <c r="O1330" s="486"/>
      <c r="P1330" s="486"/>
      <c r="Q1330" s="486"/>
      <c r="R1330" s="486"/>
      <c r="S1330" s="486"/>
      <c r="T1330" s="102">
        <f t="shared" si="967"/>
        <v>0</v>
      </c>
      <c r="U1330" s="78">
        <f>IF(NOT(ISNUMBER(G1330)), "", VLOOKUP(A1330,'Discount Lookup'!D:E,2,FALSE)*G1330)</f>
        <v>0</v>
      </c>
      <c r="V1330" s="78">
        <f>IF(NOT(ISNUMBER(G1330)), "", VLOOKUP(A1330,'Discount Lookup'!G:H,2,FALSE)*G1330)</f>
        <v>0</v>
      </c>
      <c r="W1330" s="102">
        <f t="shared" si="968"/>
        <v>0</v>
      </c>
      <c r="X1330" s="102">
        <f t="shared" si="969"/>
        <v>0</v>
      </c>
      <c r="Y1330" s="120" t="b">
        <f t="shared" si="970"/>
        <v>0</v>
      </c>
      <c r="Z1330" s="117">
        <f t="shared" si="971"/>
        <v>0</v>
      </c>
      <c r="AA1330" s="118"/>
      <c r="AB1330" s="118" t="str">
        <f t="shared" si="972"/>
        <v/>
      </c>
      <c r="AC1330" s="712" t="str">
        <f>IF(AE1330="T2G","no charge",IF(AND(OR(PlanterYesMe="No",PlanterYesMe="N",PlanterYesMe="me"),H1330=""),"",IF(H1330="credit","NO install",IF(AND(K1330="",AE1330="me"),"EACH row",IF(AND(K1330="images",AE1330="me"),"EACH row",IF(D1330="","",IF(H1330="credit","",IF(AE1330="free","re-planting",IF(AE1330="me","   not ELP, by",IF(AND(OR(PlanterYesMe="Yes",PlanterYesMe="Y"),G1330&gt;0),(VLOOKUP(A1330,'Discount Lookup'!J:K,2)*G1330*(1-PlanterDiscount)*(1+PlanterDifficultyPercentage)),IF(AE1330="ELP",(VLOOKUP(A1330,'Discount Lookup'!J:K,2)*G1330*(1-PlanterDiscount)*(1+PlanterDifficultyPercentage)),IF(AE1330="free","re-planting",IF(G1330=0,"",IF(PlanterYesMe="",IF(AE1330="me","   not ELP, by",IF(AE1330="",IF(G1330&gt;0,(VLOOKUP(A1330,'Discount Lookup'!J:K,2)*G1330*(1-PlanterDiscount)*(1+PlanterDifficultyPercentage)),""),"")),"   not ELP, by"))))))))))))))</f>
        <v/>
      </c>
      <c r="AD1330" s="712"/>
      <c r="AE1330" s="513" t="str">
        <f t="shared" si="973"/>
        <v/>
      </c>
      <c r="AF1330" s="713" t="str">
        <f t="shared" si="974"/>
        <v/>
      </c>
      <c r="AG1330" s="713"/>
      <c r="AH1330" s="713"/>
      <c r="AI1330" s="112">
        <f>IF(H1330="credit",0,IF(AE1330="free",0,IF(AE1330="me",0,IF(G1330&gt;0,(VLOOKUP(A1330,'Discount Lookup'!J:K,2)*G1330),0))))</f>
        <v>0</v>
      </c>
      <c r="AJ1330" s="107" t="str">
        <f t="shared" ca="1" si="975"/>
        <v/>
      </c>
      <c r="AK1330" s="714" t="str">
        <f t="shared" si="976"/>
        <v/>
      </c>
      <c r="AL1330" s="714"/>
      <c r="AM1330" s="114" t="str">
        <f t="shared" si="977"/>
        <v/>
      </c>
      <c r="AN1330" s="115"/>
      <c r="AO1330" s="116"/>
      <c r="AP1330" s="116"/>
      <c r="AQ1330" s="116"/>
      <c r="AR1330" s="116"/>
      <c r="AS1330" s="116"/>
      <c r="AT1330" s="116"/>
      <c r="AU1330" s="116"/>
      <c r="AV1330" s="78"/>
      <c r="AW1330" s="102"/>
      <c r="AX1330" s="78"/>
      <c r="AY1330" s="78"/>
      <c r="AZ1330" s="78"/>
      <c r="BA1330" s="78"/>
      <c r="BB1330" s="78"/>
      <c r="BC1330" s="78"/>
      <c r="BD1330" s="78"/>
      <c r="BE1330" s="465"/>
      <c r="BF1330" s="165" t="str">
        <f t="shared" si="978"/>
        <v>https://www.google.com/search?tbm=isch&amp;q=7%20G4</v>
      </c>
      <c r="BG1330" s="165" t="str">
        <f t="shared" si="979"/>
        <v>C</v>
      </c>
      <c r="BH1330" s="65"/>
      <c r="BI1330" s="65"/>
      <c r="BJ1330" s="65"/>
      <c r="BK1330" s="65"/>
      <c r="BL1330" s="99"/>
      <c r="BM1330" s="99"/>
      <c r="BN1330" s="99"/>
    </row>
    <row r="1331" spans="1:66" s="51" customFormat="1" ht="15.75" x14ac:dyDescent="0.25">
      <c r="A1331" s="634">
        <v>15</v>
      </c>
      <c r="B1331" s="635" t="s">
        <v>291</v>
      </c>
      <c r="C1331" s="636" t="s">
        <v>4703</v>
      </c>
      <c r="D1331" s="637" t="s">
        <v>299</v>
      </c>
      <c r="E1331" s="638">
        <v>192.95</v>
      </c>
      <c r="F1331" s="639" t="s">
        <v>292</v>
      </c>
      <c r="G1331" s="484">
        <v>0</v>
      </c>
      <c r="H1331" s="691" t="str">
        <f>IF(G1331=0,"",IF(F1331="Buy",IF(G1331=1,"plant","plants"),IF(F1331&gt;0.01,"warranty","Error")))</f>
        <v/>
      </c>
      <c r="I1331" s="640">
        <f>IF(H1331="free",0,IF(H1331="credit",((E1331*(F1331))*G1331*-1),IF(F1331="Buy",(E1331*G1331),((E1331*(1-F1331))*G1331))))</f>
        <v>0</v>
      </c>
      <c r="J1331" s="640">
        <f>IF(H1331="warranty",0,(I1331*(_xlfn.SINGLE(SalesTaxPercentage))))</f>
        <v>0</v>
      </c>
      <c r="K1331" s="716">
        <f t="shared" ref="K1331" si="998">I1331+J1331</f>
        <v>0</v>
      </c>
      <c r="L1331" s="716"/>
      <c r="M1331" s="689" t="str">
        <f ca="1">IF(AND(G1331&gt;0,E1331=0),"WARNING - no PRICE inserted",IF(H1331="free","FREE ~ no charge this plant",IF(H1331="credit",CONCATENATE("-$",ROUND(K1331*(1-_xlfn.SINGLE(T2GDiscount))*-1,2)," CREDIT after discount"),IF(_xlfn.SINGLE(T2GDiscount)=0,"",IF(G1331=0,"",IF(F1331="Buy",CONCATENATE("$",ROUND(K1331*(1-_xlfn.SINGLE(T2GDiscount)),2)," with ",(_xlfn.SINGLE(T2GDiscount)*100),"% discount"),CONCATENATE("$",ROUND(K1331*(1-_xlfn.SINGLE(T2GDiscount)),2)," with ",((_xlfn.SINGLE(T2GDiscount)*100+F1331*100)-(_xlfn.SINGLE(T2GDiscount)*100*F1331)),IF(F1331&gt;0,"% discounts",IF(_xlfn.SINGLE(NoWarrantyDiscount)&gt;0,"% discounts","% discount")))))))))</f>
        <v/>
      </c>
      <c r="N1331" s="690"/>
      <c r="O1331" s="486"/>
      <c r="P1331" s="486"/>
      <c r="Q1331" s="486"/>
      <c r="R1331" s="486"/>
      <c r="S1331" s="486"/>
      <c r="T1331" s="102">
        <f t="shared" si="967"/>
        <v>0</v>
      </c>
      <c r="U1331" s="78">
        <f>IF(NOT(ISNUMBER(G1331)), "", VLOOKUP(A1331,'Discount Lookup'!D:E,2,FALSE)*G1331)</f>
        <v>0</v>
      </c>
      <c r="V1331" s="78">
        <f>IF(NOT(ISNUMBER(G1331)), "", VLOOKUP(A1331,'Discount Lookup'!G:H,2,FALSE)*G1331)</f>
        <v>0</v>
      </c>
      <c r="W1331" s="102">
        <f t="shared" si="968"/>
        <v>0</v>
      </c>
      <c r="X1331" s="102">
        <f t="shared" si="969"/>
        <v>0</v>
      </c>
      <c r="Y1331" s="120" t="b">
        <f t="shared" si="970"/>
        <v>0</v>
      </c>
      <c r="Z1331" s="117">
        <f t="shared" si="971"/>
        <v>0</v>
      </c>
      <c r="AA1331" s="118"/>
      <c r="AB1331" s="118" t="str">
        <f t="shared" si="972"/>
        <v/>
      </c>
      <c r="AC1331" s="712" t="str">
        <f>IF(AE1331="T2G","no charge",IF(AND(OR(PlanterYesMe="No",PlanterYesMe="N",PlanterYesMe="me"),H1331=""),"",IF(H1331="credit","NO install",IF(AND(K1331="",AE1331="me"),"EACH row",IF(AND(K1331="images",AE1331="me"),"EACH row",IF(D1331="","",IF(H1331="credit","",IF(AE1331="free","re-planting",IF(AE1331="me","   not ELP, by",IF(AND(OR(PlanterYesMe="Yes",PlanterYesMe="Y"),G1331&gt;0),(VLOOKUP(A1331,'Discount Lookup'!J:K,2)*G1331*(1-PlanterDiscount)*(1+PlanterDifficultyPercentage)),IF(AE1331="ELP",(VLOOKUP(A1331,'Discount Lookup'!J:K,2)*G1331*(1-PlanterDiscount)*(1+PlanterDifficultyPercentage)),IF(AE1331="free","re-planting",IF(G1331=0,"",IF(PlanterYesMe="",IF(AE1331="me","   not ELP, by",IF(AE1331="",IF(G1331&gt;0,(VLOOKUP(A1331,'Discount Lookup'!J:K,2)*G1331*(1-PlanterDiscount)*(1+PlanterDifficultyPercentage)),""),"")),"   not ELP, by"))))))))))))))</f>
        <v/>
      </c>
      <c r="AD1331" s="712"/>
      <c r="AE1331" s="513" t="str">
        <f t="shared" si="973"/>
        <v/>
      </c>
      <c r="AF1331" s="713" t="str">
        <f t="shared" si="974"/>
        <v/>
      </c>
      <c r="AG1331" s="713"/>
      <c r="AH1331" s="713"/>
      <c r="AI1331" s="112">
        <f>IF(H1331="credit",0,IF(AE1331="free",0,IF(AE1331="me",0,IF(G1331&gt;0,(VLOOKUP(A1331,'Discount Lookup'!J:K,2)*G1331),0))))</f>
        <v>0</v>
      </c>
      <c r="AJ1331" s="107" t="str">
        <f t="shared" ca="1" si="975"/>
        <v/>
      </c>
      <c r="AK1331" s="714" t="str">
        <f t="shared" si="976"/>
        <v/>
      </c>
      <c r="AL1331" s="714"/>
      <c r="AM1331" s="114" t="str">
        <f t="shared" si="977"/>
        <v/>
      </c>
      <c r="AN1331" s="115"/>
      <c r="AO1331" s="116"/>
      <c r="AP1331" s="116"/>
      <c r="AQ1331" s="116"/>
      <c r="AR1331" s="116"/>
      <c r="AS1331" s="116"/>
      <c r="AT1331" s="116"/>
      <c r="AU1331" s="116"/>
      <c r="AV1331" s="78"/>
      <c r="AW1331" s="102"/>
      <c r="AX1331" s="78"/>
      <c r="AY1331" s="78"/>
      <c r="AZ1331" s="78"/>
      <c r="BA1331" s="78"/>
      <c r="BB1331" s="78"/>
      <c r="BC1331" s="78"/>
      <c r="BD1331" s="78"/>
      <c r="BE1331" s="465"/>
      <c r="BF1331" s="165" t="str">
        <f t="shared" si="978"/>
        <v>https://www.google.com/search?tbm=isch&amp;q=15%20G4</v>
      </c>
      <c r="BG1331" s="165" t="str">
        <f t="shared" si="979"/>
        <v>C</v>
      </c>
      <c r="BH1331" s="65"/>
      <c r="BI1331" s="65"/>
      <c r="BJ1331" s="65"/>
      <c r="BK1331" s="65"/>
      <c r="BL1331" s="99"/>
      <c r="BM1331" s="99"/>
      <c r="BN1331" s="99"/>
    </row>
    <row r="1332" spans="1:66" s="51" customFormat="1" ht="17.25" thickBot="1" x14ac:dyDescent="0.3">
      <c r="A1332" s="641" t="s">
        <v>2321</v>
      </c>
      <c r="B1332" s="642"/>
      <c r="C1332" s="710"/>
      <c r="D1332" s="643"/>
      <c r="E1332" s="643"/>
      <c r="F1332" s="644"/>
      <c r="G1332" s="645"/>
      <c r="H1332" s="646"/>
      <c r="I1332" s="647"/>
      <c r="J1332" s="648"/>
      <c r="K1332" s="649"/>
      <c r="L1332" s="650"/>
      <c r="M1332" s="650"/>
      <c r="N1332" s="644"/>
      <c r="O1332" s="644"/>
      <c r="P1332" s="644"/>
      <c r="Q1332" s="644"/>
      <c r="R1332" s="644"/>
      <c r="S1332" s="701" t="s">
        <v>5262</v>
      </c>
      <c r="T1332" s="102">
        <f t="shared" si="967"/>
        <v>0</v>
      </c>
      <c r="U1332" s="78" t="str">
        <f>IF(NOT(ISNUMBER(G1332)), "", VLOOKUP(A1332,'Discount Lookup'!D:E,2,FALSE)*G1332)</f>
        <v/>
      </c>
      <c r="V1332" s="78" t="str">
        <f>IF(NOT(ISNUMBER(G1332)), "", VLOOKUP(A1332,'Discount Lookup'!G:H,2,FALSE)*G1332)</f>
        <v/>
      </c>
      <c r="W1332" s="102">
        <f t="shared" si="968"/>
        <v>0</v>
      </c>
      <c r="X1332" s="102">
        <f t="shared" si="969"/>
        <v>0</v>
      </c>
      <c r="Y1332" s="120" t="b">
        <f t="shared" si="970"/>
        <v>0</v>
      </c>
      <c r="Z1332" s="117">
        <f t="shared" si="971"/>
        <v>0</v>
      </c>
      <c r="AA1332" s="118"/>
      <c r="AB1332" s="118" t="str">
        <f t="shared" si="972"/>
        <v/>
      </c>
      <c r="AC1332" s="712" t="str">
        <f>IF(AE1332="T2G","no charge",IF(AND(OR(PlanterYesMe="No",PlanterYesMe="N",PlanterYesMe="me"),H1332=""),"",IF(H1332="credit","NO install",IF(AND(K1332="",AE1332="me"),"EACH row",IF(AND(K1332="images",AE1332="me"),"EACH row",IF(D1332="","",IF(H1332="credit","",IF(AE1332="free","re-planting",IF(AE1332="me","   not ELP, by",IF(AND(OR(PlanterYesMe="Yes",PlanterYesMe="Y"),G1332&gt;0),(VLOOKUP(A1332,'Discount Lookup'!J:K,2)*G1332*(1-PlanterDiscount)*(1+PlanterDifficultyPercentage)),IF(AE1332="ELP",(VLOOKUP(A1332,'Discount Lookup'!J:K,2)*G1332*(1-PlanterDiscount)*(1+PlanterDifficultyPercentage)),IF(AE1332="free","re-planting",IF(G1332=0,"",IF(PlanterYesMe="",IF(AE1332="me","   not ELP, by",IF(AE1332="",IF(G1332&gt;0,(VLOOKUP(A1332,'Discount Lookup'!J:K,2)*G1332*(1-PlanterDiscount)*(1+PlanterDifficultyPercentage)),""),"")),"   not ELP, by"))))))))))))))</f>
        <v/>
      </c>
      <c r="AD1332" s="712"/>
      <c r="AE1332" s="513" t="str">
        <f t="shared" si="973"/>
        <v/>
      </c>
      <c r="AF1332" s="713" t="str">
        <f t="shared" si="974"/>
        <v/>
      </c>
      <c r="AG1332" s="713"/>
      <c r="AH1332" s="713"/>
      <c r="AI1332" s="112">
        <f>IF(H1332="credit",0,IF(AE1332="free",0,IF(AE1332="me",0,IF(G1332&gt;0,(VLOOKUP(A1332,'Discount Lookup'!J:K,2)*G1332),0))))</f>
        <v>0</v>
      </c>
      <c r="AJ1332" s="107" t="str">
        <f t="shared" ca="1" si="975"/>
        <v/>
      </c>
      <c r="AK1332" s="714" t="str">
        <f t="shared" si="976"/>
        <v/>
      </c>
      <c r="AL1332" s="714"/>
      <c r="AM1332" s="114" t="str">
        <f t="shared" si="977"/>
        <v/>
      </c>
      <c r="AN1332" s="115"/>
      <c r="AO1332" s="116"/>
      <c r="AP1332" s="116"/>
      <c r="AQ1332" s="116"/>
      <c r="AR1332" s="116"/>
      <c r="AS1332" s="116"/>
      <c r="AT1332" s="116"/>
      <c r="AU1332" s="116"/>
      <c r="AV1332" s="78"/>
      <c r="AW1332" s="102"/>
      <c r="AX1332" s="78"/>
      <c r="AY1332" s="78"/>
      <c r="AZ1332" s="78"/>
      <c r="BA1332" s="78"/>
      <c r="BB1332" s="78"/>
      <c r="BC1332" s="78"/>
      <c r="BD1332" s="78"/>
      <c r="BE1332" s="465"/>
      <c r="BF1332" s="165" t="str">
        <f t="shared" si="978"/>
        <v>https://www.google.com/search?tbm=isch&amp;q=Scarlet%20Fire%20is%20very%20showy%2C%20very%20long%20blooming%20%28up%20to%208%20weeks%29%2C%20and%20rather%20disease%20resistant%20</v>
      </c>
      <c r="BG1332" s="165" t="str">
        <f t="shared" si="979"/>
        <v>S</v>
      </c>
      <c r="BH1332" s="65"/>
      <c r="BI1332" s="65"/>
      <c r="BJ1332" s="65"/>
      <c r="BK1332" s="65"/>
      <c r="BL1332" s="99"/>
      <c r="BM1332" s="99"/>
      <c r="BN1332" s="99"/>
    </row>
    <row r="1333" spans="1:66" s="51" customFormat="1" ht="18" x14ac:dyDescent="0.25">
      <c r="A1333" s="623" t="s">
        <v>2322</v>
      </c>
      <c r="B1333" s="624"/>
      <c r="C1333" s="709"/>
      <c r="D1333" s="625" t="s">
        <v>2323</v>
      </c>
      <c r="E1333" s="626"/>
      <c r="F1333" s="626"/>
      <c r="G1333" s="626"/>
      <c r="H1333" s="622" t="s">
        <v>1147</v>
      </c>
      <c r="I1333" s="627" t="s">
        <v>1458</v>
      </c>
      <c r="J1333" s="628"/>
      <c r="K1333" s="628"/>
      <c r="L1333" s="629"/>
      <c r="M1333" s="700" t="s">
        <v>5249</v>
      </c>
      <c r="N1333" s="693" t="str">
        <f>IF(AND(ISTEXT($A1333), ISERROR($A1333+0)), HYPERLINK($BF1333, "Images"), "")</f>
        <v>Images</v>
      </c>
      <c r="O1333" s="695" t="s">
        <v>5247</v>
      </c>
      <c r="P1333" s="630"/>
      <c r="Q1333" s="631"/>
      <c r="R1333" s="632"/>
      <c r="S1333" s="633"/>
      <c r="T1333" s="102">
        <f t="shared" si="967"/>
        <v>0</v>
      </c>
      <c r="U1333" s="78" t="str">
        <f>IF(NOT(ISNUMBER(G1333)), "", VLOOKUP(A1333,'Discount Lookup'!D:E,2,FALSE)*G1333)</f>
        <v/>
      </c>
      <c r="V1333" s="78" t="str">
        <f>IF(NOT(ISNUMBER(G1333)), "", VLOOKUP(A1333,'Discount Lookup'!G:H,2,FALSE)*G1333)</f>
        <v/>
      </c>
      <c r="W1333" s="102">
        <f t="shared" si="968"/>
        <v>0</v>
      </c>
      <c r="X1333" s="102" t="str">
        <f t="shared" si="969"/>
        <v>Pink bloom</v>
      </c>
      <c r="Y1333" s="120" t="b">
        <f t="shared" si="970"/>
        <v>0</v>
      </c>
      <c r="Z1333" s="117">
        <f t="shared" si="971"/>
        <v>0</v>
      </c>
      <c r="AA1333" s="118"/>
      <c r="AB1333" s="118" t="str">
        <f t="shared" si="972"/>
        <v/>
      </c>
      <c r="AC1333" s="712" t="str">
        <f>IF(AE1333="T2G","no charge",IF(AND(OR(PlanterYesMe="No",PlanterYesMe="N",PlanterYesMe="me"),H1333=""),"",IF(H1333="credit","NO install",IF(AND(K1333="",AE1333="me"),"EACH row",IF(AND(K1333="images",AE1333="me"),"EACH row",IF(D1333="","",IF(H1333="credit","",IF(AE1333="free","re-planting",IF(AE1333="me","   not ELP, by",IF(AND(OR(PlanterYesMe="Yes",PlanterYesMe="Y"),G1333&gt;0),(VLOOKUP(A1333,'Discount Lookup'!J:K,2)*G1333*(1-PlanterDiscount)*(1+PlanterDifficultyPercentage)),IF(AE1333="ELP",(VLOOKUP(A1333,'Discount Lookup'!J:K,2)*G1333*(1-PlanterDiscount)*(1+PlanterDifficultyPercentage)),IF(AE1333="free","re-planting",IF(G1333=0,"",IF(PlanterYesMe="",IF(AE1333="me","   not ELP, by",IF(AE1333="",IF(G1333&gt;0,(VLOOKUP(A1333,'Discount Lookup'!J:K,2)*G1333*(1-PlanterDiscount)*(1+PlanterDifficultyPercentage)),""),"")),"   not ELP, by"))))))))))))))</f>
        <v/>
      </c>
      <c r="AD1333" s="712"/>
      <c r="AE1333" s="513" t="str">
        <f t="shared" si="973"/>
        <v/>
      </c>
      <c r="AF1333" s="713" t="str">
        <f t="shared" si="974"/>
        <v/>
      </c>
      <c r="AG1333" s="713"/>
      <c r="AH1333" s="713"/>
      <c r="AI1333" s="112">
        <f>IF(H1333="credit",0,IF(AE1333="free",0,IF(AE1333="me",0,IF(G1333&gt;0,(VLOOKUP(A1333,'Discount Lookup'!J:K,2)*G1333),0))))</f>
        <v>0</v>
      </c>
      <c r="AJ1333" s="107" t="str">
        <f t="shared" ca="1" si="975"/>
        <v/>
      </c>
      <c r="AK1333" s="714" t="str">
        <f t="shared" si="976"/>
        <v/>
      </c>
      <c r="AL1333" s="714"/>
      <c r="AM1333" s="114" t="str">
        <f t="shared" si="977"/>
        <v/>
      </c>
      <c r="AN1333" s="115"/>
      <c r="AO1333" s="116"/>
      <c r="AP1333" s="116"/>
      <c r="AQ1333" s="116"/>
      <c r="AR1333" s="116"/>
      <c r="AS1333" s="116"/>
      <c r="AT1333" s="116"/>
      <c r="AU1333" s="116"/>
      <c r="AV1333" s="78"/>
      <c r="AW1333" s="102"/>
      <c r="AX1333" s="78"/>
      <c r="AY1333" s="78"/>
      <c r="AZ1333" s="78"/>
      <c r="BA1333" s="78"/>
      <c r="BB1333" s="78"/>
      <c r="BC1333" s="78"/>
      <c r="BD1333" s="78"/>
      <c r="BE1333" s="465"/>
      <c r="BF1333" s="165" t="str">
        <f t="shared" si="978"/>
        <v>https://www.google.com/search?tbm=isch&amp;q=Cornus%20kousa%20%27Satomi%27%20Satomi%20Pink%20Kousa%20Dogwood</v>
      </c>
      <c r="BG1333" s="165" t="str">
        <f t="shared" si="979"/>
        <v>C</v>
      </c>
      <c r="BH1333" s="65"/>
      <c r="BI1333" s="65"/>
      <c r="BJ1333" s="65"/>
      <c r="BK1333" s="65"/>
      <c r="BL1333" s="99"/>
      <c r="BM1333" s="99"/>
      <c r="BN1333" s="99"/>
    </row>
    <row r="1334" spans="1:66" s="51" customFormat="1" ht="27" x14ac:dyDescent="0.25">
      <c r="A1334" s="634">
        <v>10</v>
      </c>
      <c r="B1334" s="635" t="s">
        <v>291</v>
      </c>
      <c r="C1334" s="636" t="s">
        <v>2324</v>
      </c>
      <c r="D1334" s="637" t="s">
        <v>299</v>
      </c>
      <c r="E1334" s="638">
        <v>169.95</v>
      </c>
      <c r="F1334" s="639" t="s">
        <v>292</v>
      </c>
      <c r="G1334" s="484">
        <v>0</v>
      </c>
      <c r="H1334" s="691" t="str">
        <f>IF(G1334=0,"",IF(F1334="Buy",IF(G1334=1,"plant","plants"),IF(F1334&gt;0.01,"warranty","Error")))</f>
        <v/>
      </c>
      <c r="I1334" s="640">
        <f>IF(H1334="free",0,IF(H1334="credit",((E1334*(F1334))*G1334*-1),IF(F1334="Buy",(E1334*G1334),((E1334*(1-F1334))*G1334))))</f>
        <v>0</v>
      </c>
      <c r="J1334" s="640">
        <f>IF(H1334="warranty",0,(I1334*(_xlfn.SINGLE(SalesTaxPercentage))))</f>
        <v>0</v>
      </c>
      <c r="K1334" s="716">
        <f t="shared" ref="K1334" si="999">I1334+J1334</f>
        <v>0</v>
      </c>
      <c r="L1334" s="716"/>
      <c r="M1334" s="689" t="str">
        <f ca="1">IF(AND(G1334&gt;0,E1334=0),"WARNING - no PRICE inserted",IF(H1334="free","FREE ~ no charge this plant",IF(H1334="credit",CONCATENATE("-$",ROUND(K1334*(1-_xlfn.SINGLE(T2GDiscount))*-1,2)," CREDIT after discount"),IF(_xlfn.SINGLE(T2GDiscount)=0,"",IF(G1334=0,"",IF(F1334="Buy",CONCATENATE("$",ROUND(K1334*(1-_xlfn.SINGLE(T2GDiscount)),2)," with ",(_xlfn.SINGLE(T2GDiscount)*100),"% discount"),CONCATENATE("$",ROUND(K1334*(1-_xlfn.SINGLE(T2GDiscount)),2)," with ",((_xlfn.SINGLE(T2GDiscount)*100+F1334*100)-(_xlfn.SINGLE(T2GDiscount)*100*F1334)),IF(F1334&gt;0,"% discounts",IF(_xlfn.SINGLE(NoWarrantyDiscount)&gt;0,"% discounts","% discount")))))))))</f>
        <v/>
      </c>
      <c r="N1334" s="690"/>
      <c r="O1334" s="486"/>
      <c r="P1334" s="486"/>
      <c r="Q1334" s="486"/>
      <c r="R1334" s="486"/>
      <c r="S1334" s="486"/>
      <c r="T1334" s="102">
        <f t="shared" si="967"/>
        <v>0</v>
      </c>
      <c r="U1334" s="78">
        <f>IF(NOT(ISNUMBER(G1334)), "", VLOOKUP(A1334,'Discount Lookup'!D:E,2,FALSE)*G1334)</f>
        <v>0</v>
      </c>
      <c r="V1334" s="78">
        <f>IF(NOT(ISNUMBER(G1334)), "", VLOOKUP(A1334,'Discount Lookup'!G:H,2,FALSE)*G1334)</f>
        <v>0</v>
      </c>
      <c r="W1334" s="102">
        <f t="shared" si="968"/>
        <v>0</v>
      </c>
      <c r="X1334" s="102">
        <f t="shared" si="969"/>
        <v>0</v>
      </c>
      <c r="Y1334" s="120" t="b">
        <f t="shared" si="970"/>
        <v>0</v>
      </c>
      <c r="Z1334" s="117">
        <f t="shared" si="971"/>
        <v>0</v>
      </c>
      <c r="AA1334" s="118"/>
      <c r="AB1334" s="118" t="str">
        <f t="shared" si="972"/>
        <v/>
      </c>
      <c r="AC1334" s="712" t="str">
        <f>IF(AE1334="T2G","no charge",IF(AND(OR(PlanterYesMe="No",PlanterYesMe="N",PlanterYesMe="me"),H1334=""),"",IF(H1334="credit","NO install",IF(AND(K1334="",AE1334="me"),"EACH row",IF(AND(K1334="images",AE1334="me"),"EACH row",IF(D1334="","",IF(H1334="credit","",IF(AE1334="free","re-planting",IF(AE1334="me","   not ELP, by",IF(AND(OR(PlanterYesMe="Yes",PlanterYesMe="Y"),G1334&gt;0),(VLOOKUP(A1334,'Discount Lookup'!J:K,2)*G1334*(1-PlanterDiscount)*(1+PlanterDifficultyPercentage)),IF(AE1334="ELP",(VLOOKUP(A1334,'Discount Lookup'!J:K,2)*G1334*(1-PlanterDiscount)*(1+PlanterDifficultyPercentage)),IF(AE1334="free","re-planting",IF(G1334=0,"",IF(PlanterYesMe="",IF(AE1334="me","   not ELP, by",IF(AE1334="",IF(G1334&gt;0,(VLOOKUP(A1334,'Discount Lookup'!J:K,2)*G1334*(1-PlanterDiscount)*(1+PlanterDifficultyPercentage)),""),"")),"   not ELP, by"))))))))))))))</f>
        <v/>
      </c>
      <c r="AD1334" s="712"/>
      <c r="AE1334" s="513" t="str">
        <f t="shared" si="973"/>
        <v/>
      </c>
      <c r="AF1334" s="713" t="str">
        <f t="shared" si="974"/>
        <v/>
      </c>
      <c r="AG1334" s="713"/>
      <c r="AH1334" s="713"/>
      <c r="AI1334" s="112">
        <f>IF(H1334="credit",0,IF(AE1334="free",0,IF(AE1334="me",0,IF(G1334&gt;0,(VLOOKUP(A1334,'Discount Lookup'!J:K,2)*G1334),0))))</f>
        <v>0</v>
      </c>
      <c r="AJ1334" s="107" t="str">
        <f t="shared" ca="1" si="975"/>
        <v/>
      </c>
      <c r="AK1334" s="714" t="str">
        <f t="shared" si="976"/>
        <v/>
      </c>
      <c r="AL1334" s="714"/>
      <c r="AM1334" s="114" t="str">
        <f t="shared" si="977"/>
        <v/>
      </c>
      <c r="AN1334" s="115"/>
      <c r="AO1334" s="116"/>
      <c r="AP1334" s="116"/>
      <c r="AQ1334" s="116"/>
      <c r="AR1334" s="116"/>
      <c r="AS1334" s="116"/>
      <c r="AT1334" s="116"/>
      <c r="AU1334" s="116"/>
      <c r="AV1334" s="78"/>
      <c r="AW1334" s="102"/>
      <c r="AX1334" s="78"/>
      <c r="AY1334" s="78"/>
      <c r="AZ1334" s="78"/>
      <c r="BA1334" s="78"/>
      <c r="BB1334" s="78"/>
      <c r="BC1334" s="78"/>
      <c r="BD1334" s="78"/>
      <c r="BE1334" s="465"/>
      <c r="BF1334" s="165" t="str">
        <f t="shared" si="978"/>
        <v>https://www.google.com/search?tbm=isch&amp;q=10%20G4</v>
      </c>
      <c r="BG1334" s="165" t="str">
        <f t="shared" si="979"/>
        <v>C</v>
      </c>
      <c r="BH1334" s="65"/>
      <c r="BI1334" s="65"/>
      <c r="BJ1334" s="65"/>
      <c r="BK1334" s="65"/>
      <c r="BL1334" s="99"/>
      <c r="BM1334" s="99"/>
      <c r="BN1334" s="99"/>
    </row>
    <row r="1335" spans="1:66" s="51" customFormat="1" ht="17.25" thickBot="1" x14ac:dyDescent="0.3">
      <c r="A1335" s="641" t="s">
        <v>2325</v>
      </c>
      <c r="B1335" s="642"/>
      <c r="C1335" s="710"/>
      <c r="D1335" s="643"/>
      <c r="E1335" s="643"/>
      <c r="F1335" s="644"/>
      <c r="G1335" s="645"/>
      <c r="H1335" s="646"/>
      <c r="I1335" s="647"/>
      <c r="J1335" s="648"/>
      <c r="K1335" s="649"/>
      <c r="L1335" s="650"/>
      <c r="M1335" s="650"/>
      <c r="N1335" s="644"/>
      <c r="O1335" s="644"/>
      <c r="P1335" s="644"/>
      <c r="Q1335" s="644"/>
      <c r="R1335" s="644"/>
      <c r="S1335" s="701" t="s">
        <v>5262</v>
      </c>
      <c r="T1335" s="102">
        <f t="shared" si="967"/>
        <v>0</v>
      </c>
      <c r="U1335" s="78" t="str">
        <f>IF(NOT(ISNUMBER(G1335)), "", VLOOKUP(A1335,'Discount Lookup'!D:E,2,FALSE)*G1335)</f>
        <v/>
      </c>
      <c r="V1335" s="78" t="str">
        <f>IF(NOT(ISNUMBER(G1335)), "", VLOOKUP(A1335,'Discount Lookup'!G:H,2,FALSE)*G1335)</f>
        <v/>
      </c>
      <c r="W1335" s="102">
        <f t="shared" si="968"/>
        <v>0</v>
      </c>
      <c r="X1335" s="102">
        <f t="shared" si="969"/>
        <v>0</v>
      </c>
      <c r="Y1335" s="120" t="b">
        <f t="shared" si="970"/>
        <v>0</v>
      </c>
      <c r="Z1335" s="117">
        <f t="shared" si="971"/>
        <v>0</v>
      </c>
      <c r="AA1335" s="118"/>
      <c r="AB1335" s="118" t="str">
        <f t="shared" si="972"/>
        <v/>
      </c>
      <c r="AC1335" s="712" t="str">
        <f>IF(AE1335="T2G","no charge",IF(AND(OR(PlanterYesMe="No",PlanterYesMe="N",PlanterYesMe="me"),H1335=""),"",IF(H1335="credit","NO install",IF(AND(K1335="",AE1335="me"),"EACH row",IF(AND(K1335="images",AE1335="me"),"EACH row",IF(D1335="","",IF(H1335="credit","",IF(AE1335="free","re-planting",IF(AE1335="me","   not ELP, by",IF(AND(OR(PlanterYesMe="Yes",PlanterYesMe="Y"),G1335&gt;0),(VLOOKUP(A1335,'Discount Lookup'!J:K,2)*G1335*(1-PlanterDiscount)*(1+PlanterDifficultyPercentage)),IF(AE1335="ELP",(VLOOKUP(A1335,'Discount Lookup'!J:K,2)*G1335*(1-PlanterDiscount)*(1+PlanterDifficultyPercentage)),IF(AE1335="free","re-planting",IF(G1335=0,"",IF(PlanterYesMe="",IF(AE1335="me","   not ELP, by",IF(AE1335="",IF(G1335&gt;0,(VLOOKUP(A1335,'Discount Lookup'!J:K,2)*G1335*(1-PlanterDiscount)*(1+PlanterDifficultyPercentage)),""),"")),"   not ELP, by"))))))))))))))</f>
        <v/>
      </c>
      <c r="AD1335" s="712"/>
      <c r="AE1335" s="513" t="str">
        <f t="shared" si="973"/>
        <v/>
      </c>
      <c r="AF1335" s="713" t="str">
        <f t="shared" si="974"/>
        <v/>
      </c>
      <c r="AG1335" s="713"/>
      <c r="AH1335" s="713"/>
      <c r="AI1335" s="112">
        <f>IF(H1335="credit",0,IF(AE1335="free",0,IF(AE1335="me",0,IF(G1335&gt;0,(VLOOKUP(A1335,'Discount Lookup'!J:K,2)*G1335),0))))</f>
        <v>0</v>
      </c>
      <c r="AJ1335" s="107" t="str">
        <f t="shared" ca="1" si="975"/>
        <v/>
      </c>
      <c r="AK1335" s="714" t="str">
        <f t="shared" si="976"/>
        <v/>
      </c>
      <c r="AL1335" s="714"/>
      <c r="AM1335" s="114" t="str">
        <f t="shared" si="977"/>
        <v/>
      </c>
      <c r="AN1335" s="115"/>
      <c r="AO1335" s="116"/>
      <c r="AP1335" s="116"/>
      <c r="AQ1335" s="116"/>
      <c r="AR1335" s="116"/>
      <c r="AS1335" s="116"/>
      <c r="AT1335" s="116"/>
      <c r="AU1335" s="116"/>
      <c r="AV1335" s="78"/>
      <c r="AW1335" s="102"/>
      <c r="AX1335" s="78"/>
      <c r="AY1335" s="78"/>
      <c r="AZ1335" s="78"/>
      <c r="BA1335" s="78"/>
      <c r="BB1335" s="78"/>
      <c r="BC1335" s="78"/>
      <c r="BD1335" s="78"/>
      <c r="BE1335" s="465"/>
      <c r="BF1335" s="165" t="str">
        <f t="shared" si="978"/>
        <v>https://www.google.com/search?tbm=isch&amp;q=Satomi%20has%20showy%20clusters%20of%20blooms%20in%20spring.%20Purplish-to-brick-red%20fall%20foliage.%20Exfoliating%20bark%20is%20nice%20</v>
      </c>
      <c r="BG1335" s="165" t="str">
        <f t="shared" si="979"/>
        <v>S</v>
      </c>
      <c r="BH1335" s="65"/>
      <c r="BI1335" s="65"/>
      <c r="BJ1335" s="65"/>
      <c r="BK1335" s="65"/>
      <c r="BL1335" s="99"/>
      <c r="BM1335" s="99"/>
      <c r="BN1335" s="99"/>
    </row>
    <row r="1336" spans="1:66" s="51" customFormat="1" ht="18" x14ac:dyDescent="0.25">
      <c r="A1336" s="623" t="s">
        <v>2326</v>
      </c>
      <c r="B1336" s="624"/>
      <c r="C1336" s="709"/>
      <c r="D1336" s="625" t="s">
        <v>5644</v>
      </c>
      <c r="E1336" s="626"/>
      <c r="F1336" s="626"/>
      <c r="G1336" s="626"/>
      <c r="H1336" s="622" t="s">
        <v>326</v>
      </c>
      <c r="I1336" s="627" t="s">
        <v>349</v>
      </c>
      <c r="J1336" s="628"/>
      <c r="K1336" s="628"/>
      <c r="L1336" s="629"/>
      <c r="M1336" s="700" t="s">
        <v>5249</v>
      </c>
      <c r="N1336" s="693" t="str">
        <f>IF(AND(ISTEXT($A1336), ISERROR($A1336+0)), HYPERLINK($BF1336, "Images"), "")</f>
        <v>Images</v>
      </c>
      <c r="O1336" s="695" t="s">
        <v>5247</v>
      </c>
      <c r="P1336" s="630"/>
      <c r="Q1336" s="631"/>
      <c r="R1336" s="632"/>
      <c r="S1336" s="633"/>
      <c r="T1336" s="102">
        <f t="shared" si="967"/>
        <v>0</v>
      </c>
      <c r="U1336" s="78" t="str">
        <f>IF(NOT(ISNUMBER(G1336)), "", VLOOKUP(A1336,'Discount Lookup'!D:E,2,FALSE)*G1336)</f>
        <v/>
      </c>
      <c r="V1336" s="78" t="str">
        <f>IF(NOT(ISNUMBER(G1336)), "", VLOOKUP(A1336,'Discount Lookup'!G:H,2,FALSE)*G1336)</f>
        <v/>
      </c>
      <c r="W1336" s="102">
        <f t="shared" si="968"/>
        <v>0</v>
      </c>
      <c r="X1336" s="102" t="str">
        <f t="shared" si="969"/>
        <v>White bloom</v>
      </c>
      <c r="Y1336" s="120" t="b">
        <f t="shared" si="970"/>
        <v>0</v>
      </c>
      <c r="Z1336" s="117">
        <f t="shared" si="971"/>
        <v>0</v>
      </c>
      <c r="AA1336" s="118"/>
      <c r="AB1336" s="118" t="str">
        <f t="shared" si="972"/>
        <v/>
      </c>
      <c r="AC1336" s="712" t="str">
        <f>IF(AE1336="T2G","no charge",IF(AND(OR(PlanterYesMe="No",PlanterYesMe="N",PlanterYesMe="me"),H1336=""),"",IF(H1336="credit","NO install",IF(AND(K1336="",AE1336="me"),"EACH row",IF(AND(K1336="images",AE1336="me"),"EACH row",IF(D1336="","",IF(H1336="credit","",IF(AE1336="free","re-planting",IF(AE1336="me","   not ELP, by",IF(AND(OR(PlanterYesMe="Yes",PlanterYesMe="Y"),G1336&gt;0),(VLOOKUP(A1336,'Discount Lookup'!J:K,2)*G1336*(1-PlanterDiscount)*(1+PlanterDifficultyPercentage)),IF(AE1336="ELP",(VLOOKUP(A1336,'Discount Lookup'!J:K,2)*G1336*(1-PlanterDiscount)*(1+PlanterDifficultyPercentage)),IF(AE1336="free","re-planting",IF(G1336=0,"",IF(PlanterYesMe="",IF(AE1336="me","   not ELP, by",IF(AE1336="",IF(G1336&gt;0,(VLOOKUP(A1336,'Discount Lookup'!J:K,2)*G1336*(1-PlanterDiscount)*(1+PlanterDifficultyPercentage)),""),"")),"   not ELP, by"))))))))))))))</f>
        <v/>
      </c>
      <c r="AD1336" s="712"/>
      <c r="AE1336" s="513" t="str">
        <f t="shared" si="973"/>
        <v/>
      </c>
      <c r="AF1336" s="713" t="str">
        <f t="shared" si="974"/>
        <v/>
      </c>
      <c r="AG1336" s="713"/>
      <c r="AH1336" s="713"/>
      <c r="AI1336" s="112">
        <f>IF(H1336="credit",0,IF(AE1336="free",0,IF(AE1336="me",0,IF(G1336&gt;0,(VLOOKUP(A1336,'Discount Lookup'!J:K,2)*G1336),0))))</f>
        <v>0</v>
      </c>
      <c r="AJ1336" s="107" t="str">
        <f t="shared" ca="1" si="975"/>
        <v/>
      </c>
      <c r="AK1336" s="714" t="str">
        <f t="shared" si="976"/>
        <v/>
      </c>
      <c r="AL1336" s="714"/>
      <c r="AM1336" s="114" t="str">
        <f t="shared" si="977"/>
        <v/>
      </c>
      <c r="AN1336" s="115"/>
      <c r="AO1336" s="116"/>
      <c r="AP1336" s="116"/>
      <c r="AQ1336" s="116"/>
      <c r="AR1336" s="116"/>
      <c r="AS1336" s="116"/>
      <c r="AT1336" s="116"/>
      <c r="AU1336" s="116"/>
      <c r="AV1336" s="78"/>
      <c r="AW1336" s="102"/>
      <c r="AX1336" s="78"/>
      <c r="AY1336" s="78"/>
      <c r="AZ1336" s="78"/>
      <c r="BA1336" s="78"/>
      <c r="BB1336" s="78"/>
      <c r="BC1336" s="78"/>
      <c r="BD1336" s="78"/>
      <c r="BE1336" s="465"/>
      <c r="BF1336" s="165" t="str">
        <f t="shared" si="978"/>
        <v>https://www.google.com/search?tbm=isch&amp;q=Cornus%20kousa%20%27Snow%20Tower%27%20Snow%20Tower%E2%84%A2%20Kousa%20Dogwood</v>
      </c>
      <c r="BG1336" s="165" t="str">
        <f t="shared" si="979"/>
        <v>C</v>
      </c>
      <c r="BH1336" s="65"/>
      <c r="BI1336" s="65"/>
      <c r="BJ1336" s="65"/>
      <c r="BK1336" s="65"/>
      <c r="BL1336" s="99"/>
      <c r="BM1336" s="99"/>
      <c r="BN1336" s="99"/>
    </row>
    <row r="1337" spans="1:66" s="51" customFormat="1" ht="15.75" x14ac:dyDescent="0.25">
      <c r="A1337" s="634">
        <v>10</v>
      </c>
      <c r="B1337" s="635" t="s">
        <v>291</v>
      </c>
      <c r="C1337" s="636" t="s">
        <v>5160</v>
      </c>
      <c r="D1337" s="637" t="s">
        <v>299</v>
      </c>
      <c r="E1337" s="638">
        <v>171.95</v>
      </c>
      <c r="F1337" s="639" t="s">
        <v>292</v>
      </c>
      <c r="G1337" s="484">
        <v>0</v>
      </c>
      <c r="H1337" s="691" t="str">
        <f>IF(G1337=0,"",IF(F1337="Buy",IF(G1337=1,"plant","plants"),IF(F1337&gt;0.01,"warranty","Error")))</f>
        <v/>
      </c>
      <c r="I1337" s="640">
        <f>IF(H1337="free",0,IF(H1337="credit",((E1337*(F1337))*G1337*-1),IF(F1337="Buy",(E1337*G1337),((E1337*(1-F1337))*G1337))))</f>
        <v>0</v>
      </c>
      <c r="J1337" s="640">
        <f>IF(H1337="warranty",0,(I1337*(_xlfn.SINGLE(SalesTaxPercentage))))</f>
        <v>0</v>
      </c>
      <c r="K1337" s="716">
        <f t="shared" ref="K1337" si="1000">I1337+J1337</f>
        <v>0</v>
      </c>
      <c r="L1337" s="716"/>
      <c r="M1337" s="689" t="str">
        <f ca="1">IF(AND(G1337&gt;0,E1337=0),"WARNING - no PRICE inserted",IF(H1337="free","FREE ~ no charge this plant",IF(H1337="credit",CONCATENATE("-$",ROUND(K1337*(1-_xlfn.SINGLE(T2GDiscount))*-1,2)," CREDIT after discount"),IF(_xlfn.SINGLE(T2GDiscount)=0,"",IF(G1337=0,"",IF(F1337="Buy",CONCATENATE("$",ROUND(K1337*(1-_xlfn.SINGLE(T2GDiscount)),2)," with ",(_xlfn.SINGLE(T2GDiscount)*100),"% discount"),CONCATENATE("$",ROUND(K1337*(1-_xlfn.SINGLE(T2GDiscount)),2)," with ",((_xlfn.SINGLE(T2GDiscount)*100+F1337*100)-(_xlfn.SINGLE(T2GDiscount)*100*F1337)),IF(F1337&gt;0,"% discounts",IF(_xlfn.SINGLE(NoWarrantyDiscount)&gt;0,"% discounts","% discount")))))))))</f>
        <v/>
      </c>
      <c r="N1337" s="690"/>
      <c r="O1337" s="486"/>
      <c r="P1337" s="486"/>
      <c r="Q1337" s="486"/>
      <c r="R1337" s="486"/>
      <c r="S1337" s="486"/>
      <c r="T1337" s="102">
        <f t="shared" si="967"/>
        <v>0</v>
      </c>
      <c r="U1337" s="78">
        <f>IF(NOT(ISNUMBER(G1337)), "", VLOOKUP(A1337,'Discount Lookup'!D:E,2,FALSE)*G1337)</f>
        <v>0</v>
      </c>
      <c r="V1337" s="78">
        <f>IF(NOT(ISNUMBER(G1337)), "", VLOOKUP(A1337,'Discount Lookup'!G:H,2,FALSE)*G1337)</f>
        <v>0</v>
      </c>
      <c r="W1337" s="102">
        <f t="shared" si="968"/>
        <v>0</v>
      </c>
      <c r="X1337" s="102">
        <f t="shared" si="969"/>
        <v>0</v>
      </c>
      <c r="Y1337" s="120" t="b">
        <f t="shared" si="970"/>
        <v>0</v>
      </c>
      <c r="Z1337" s="117">
        <f t="shared" si="971"/>
        <v>0</v>
      </c>
      <c r="AA1337" s="118"/>
      <c r="AB1337" s="118" t="str">
        <f t="shared" si="972"/>
        <v/>
      </c>
      <c r="AC1337" s="712" t="str">
        <f>IF(AE1337="T2G","no charge",IF(AND(OR(PlanterYesMe="No",PlanterYesMe="N",PlanterYesMe="me"),H1337=""),"",IF(H1337="credit","NO install",IF(AND(K1337="",AE1337="me"),"EACH row",IF(AND(K1337="images",AE1337="me"),"EACH row",IF(D1337="","",IF(H1337="credit","",IF(AE1337="free","re-planting",IF(AE1337="me","   not ELP, by",IF(AND(OR(PlanterYesMe="Yes",PlanterYesMe="Y"),G1337&gt;0),(VLOOKUP(A1337,'Discount Lookup'!J:K,2)*G1337*(1-PlanterDiscount)*(1+PlanterDifficultyPercentage)),IF(AE1337="ELP",(VLOOKUP(A1337,'Discount Lookup'!J:K,2)*G1337*(1-PlanterDiscount)*(1+PlanterDifficultyPercentage)),IF(AE1337="free","re-planting",IF(G1337=0,"",IF(PlanterYesMe="",IF(AE1337="me","   not ELP, by",IF(AE1337="",IF(G1337&gt;0,(VLOOKUP(A1337,'Discount Lookup'!J:K,2)*G1337*(1-PlanterDiscount)*(1+PlanterDifficultyPercentage)),""),"")),"   not ELP, by"))))))))))))))</f>
        <v/>
      </c>
      <c r="AD1337" s="712"/>
      <c r="AE1337" s="513" t="str">
        <f t="shared" si="973"/>
        <v/>
      </c>
      <c r="AF1337" s="713" t="str">
        <f t="shared" si="974"/>
        <v/>
      </c>
      <c r="AG1337" s="713"/>
      <c r="AH1337" s="713"/>
      <c r="AI1337" s="112">
        <f>IF(H1337="credit",0,IF(AE1337="free",0,IF(AE1337="me",0,IF(G1337&gt;0,(VLOOKUP(A1337,'Discount Lookup'!J:K,2)*G1337),0))))</f>
        <v>0</v>
      </c>
      <c r="AJ1337" s="107" t="str">
        <f t="shared" ca="1" si="975"/>
        <v/>
      </c>
      <c r="AK1337" s="714" t="str">
        <f t="shared" si="976"/>
        <v/>
      </c>
      <c r="AL1337" s="714"/>
      <c r="AM1337" s="114" t="str">
        <f t="shared" si="977"/>
        <v/>
      </c>
      <c r="AN1337" s="115"/>
      <c r="AO1337" s="116"/>
      <c r="AP1337" s="116"/>
      <c r="AQ1337" s="116"/>
      <c r="AR1337" s="116"/>
      <c r="AS1337" s="116"/>
      <c r="AT1337" s="116"/>
      <c r="AU1337" s="116"/>
      <c r="AV1337" s="78"/>
      <c r="AW1337" s="102"/>
      <c r="AX1337" s="78"/>
      <c r="AY1337" s="78"/>
      <c r="AZ1337" s="78"/>
      <c r="BA1337" s="78"/>
      <c r="BB1337" s="78"/>
      <c r="BC1337" s="78"/>
      <c r="BD1337" s="78"/>
      <c r="BE1337" s="465"/>
      <c r="BF1337" s="165" t="str">
        <f t="shared" si="978"/>
        <v>https://www.google.com/search?tbm=isch&amp;q=10%20G4</v>
      </c>
      <c r="BG1337" s="165" t="str">
        <f t="shared" si="979"/>
        <v>C</v>
      </c>
      <c r="BH1337" s="65"/>
      <c r="BI1337" s="65"/>
      <c r="BJ1337" s="65"/>
      <c r="BK1337" s="65"/>
      <c r="BL1337" s="99"/>
      <c r="BM1337" s="99"/>
      <c r="BN1337" s="99"/>
    </row>
    <row r="1338" spans="1:66" s="51" customFormat="1" ht="15.75" x14ac:dyDescent="0.25">
      <c r="A1338" s="634">
        <v>15</v>
      </c>
      <c r="B1338" s="635" t="s">
        <v>291</v>
      </c>
      <c r="C1338" s="636" t="s">
        <v>5161</v>
      </c>
      <c r="D1338" s="637" t="s">
        <v>299</v>
      </c>
      <c r="E1338" s="638">
        <v>201.95</v>
      </c>
      <c r="F1338" s="639" t="s">
        <v>292</v>
      </c>
      <c r="G1338" s="484">
        <v>0</v>
      </c>
      <c r="H1338" s="691" t="str">
        <f>IF(G1338=0,"",IF(F1338="Buy",IF(G1338=1,"plant","plants"),IF(F1338&gt;0.01,"warranty","Error")))</f>
        <v/>
      </c>
      <c r="I1338" s="640">
        <f>IF(H1338="free",0,IF(H1338="credit",((E1338*(F1338))*G1338*-1),IF(F1338="Buy",(E1338*G1338),((E1338*(1-F1338))*G1338))))</f>
        <v>0</v>
      </c>
      <c r="J1338" s="640">
        <f>IF(H1338="warranty",0,(I1338*(_xlfn.SINGLE(SalesTaxPercentage))))</f>
        <v>0</v>
      </c>
      <c r="K1338" s="716">
        <f t="shared" ref="K1338" si="1001">I1338+J1338</f>
        <v>0</v>
      </c>
      <c r="L1338" s="716"/>
      <c r="M1338" s="689" t="str">
        <f ca="1">IF(AND(G1338&gt;0,E1338=0),"WARNING - no PRICE inserted",IF(H1338="free","FREE ~ no charge this plant",IF(H1338="credit",CONCATENATE("-$",ROUND(K1338*(1-_xlfn.SINGLE(T2GDiscount))*-1,2)," CREDIT after discount"),IF(_xlfn.SINGLE(T2GDiscount)=0,"",IF(G1338=0,"",IF(F1338="Buy",CONCATENATE("$",ROUND(K1338*(1-_xlfn.SINGLE(T2GDiscount)),2)," with ",(_xlfn.SINGLE(T2GDiscount)*100),"% discount"),CONCATENATE("$",ROUND(K1338*(1-_xlfn.SINGLE(T2GDiscount)),2)," with ",((_xlfn.SINGLE(T2GDiscount)*100+F1338*100)-(_xlfn.SINGLE(T2GDiscount)*100*F1338)),IF(F1338&gt;0,"% discounts",IF(_xlfn.SINGLE(NoWarrantyDiscount)&gt;0,"% discounts","% discount")))))))))</f>
        <v/>
      </c>
      <c r="N1338" s="690"/>
      <c r="O1338" s="486"/>
      <c r="P1338" s="486"/>
      <c r="Q1338" s="486"/>
      <c r="R1338" s="486"/>
      <c r="S1338" s="486"/>
      <c r="T1338" s="102">
        <f t="shared" si="967"/>
        <v>0</v>
      </c>
      <c r="U1338" s="78">
        <f>IF(NOT(ISNUMBER(G1338)), "", VLOOKUP(A1338,'Discount Lookup'!D:E,2,FALSE)*G1338)</f>
        <v>0</v>
      </c>
      <c r="V1338" s="78">
        <f>IF(NOT(ISNUMBER(G1338)), "", VLOOKUP(A1338,'Discount Lookup'!G:H,2,FALSE)*G1338)</f>
        <v>0</v>
      </c>
      <c r="W1338" s="102">
        <f t="shared" si="968"/>
        <v>0</v>
      </c>
      <c r="X1338" s="102">
        <f t="shared" si="969"/>
        <v>0</v>
      </c>
      <c r="Y1338" s="120" t="b">
        <f t="shared" si="970"/>
        <v>0</v>
      </c>
      <c r="Z1338" s="117">
        <f t="shared" si="971"/>
        <v>0</v>
      </c>
      <c r="AA1338" s="118"/>
      <c r="AB1338" s="118" t="str">
        <f t="shared" si="972"/>
        <v/>
      </c>
      <c r="AC1338" s="712" t="str">
        <f>IF(AE1338="T2G","no charge",IF(AND(OR(PlanterYesMe="No",PlanterYesMe="N",PlanterYesMe="me"),H1338=""),"",IF(H1338="credit","NO install",IF(AND(K1338="",AE1338="me"),"EACH row",IF(AND(K1338="images",AE1338="me"),"EACH row",IF(D1338="","",IF(H1338="credit","",IF(AE1338="free","re-planting",IF(AE1338="me","   not ELP, by",IF(AND(OR(PlanterYesMe="Yes",PlanterYesMe="Y"),G1338&gt;0),(VLOOKUP(A1338,'Discount Lookup'!J:K,2)*G1338*(1-PlanterDiscount)*(1+PlanterDifficultyPercentage)),IF(AE1338="ELP",(VLOOKUP(A1338,'Discount Lookup'!J:K,2)*G1338*(1-PlanterDiscount)*(1+PlanterDifficultyPercentage)),IF(AE1338="free","re-planting",IF(G1338=0,"",IF(PlanterYesMe="",IF(AE1338="me","   not ELP, by",IF(AE1338="",IF(G1338&gt;0,(VLOOKUP(A1338,'Discount Lookup'!J:K,2)*G1338*(1-PlanterDiscount)*(1+PlanterDifficultyPercentage)),""),"")),"   not ELP, by"))))))))))))))</f>
        <v/>
      </c>
      <c r="AD1338" s="712"/>
      <c r="AE1338" s="513" t="str">
        <f t="shared" si="973"/>
        <v/>
      </c>
      <c r="AF1338" s="713" t="str">
        <f t="shared" si="974"/>
        <v/>
      </c>
      <c r="AG1338" s="713"/>
      <c r="AH1338" s="713"/>
      <c r="AI1338" s="112">
        <f>IF(H1338="credit",0,IF(AE1338="free",0,IF(AE1338="me",0,IF(G1338&gt;0,(VLOOKUP(A1338,'Discount Lookup'!J:K,2)*G1338),0))))</f>
        <v>0</v>
      </c>
      <c r="AJ1338" s="107" t="str">
        <f t="shared" ca="1" si="975"/>
        <v/>
      </c>
      <c r="AK1338" s="714" t="str">
        <f t="shared" si="976"/>
        <v/>
      </c>
      <c r="AL1338" s="714"/>
      <c r="AM1338" s="114" t="str">
        <f t="shared" si="977"/>
        <v/>
      </c>
      <c r="AN1338" s="115"/>
      <c r="AO1338" s="116"/>
      <c r="AP1338" s="116"/>
      <c r="AQ1338" s="116"/>
      <c r="AR1338" s="116"/>
      <c r="AS1338" s="116"/>
      <c r="AT1338" s="116"/>
      <c r="AU1338" s="116"/>
      <c r="AV1338" s="78"/>
      <c r="AW1338" s="102"/>
      <c r="AX1338" s="78"/>
      <c r="AY1338" s="78"/>
      <c r="AZ1338" s="78"/>
      <c r="BA1338" s="78"/>
      <c r="BB1338" s="78"/>
      <c r="BC1338" s="78"/>
      <c r="BD1338" s="78"/>
      <c r="BE1338" s="465"/>
      <c r="BF1338" s="165" t="str">
        <f t="shared" si="978"/>
        <v>https://www.google.com/search?tbm=isch&amp;q=15%20G4</v>
      </c>
      <c r="BG1338" s="165" t="str">
        <f t="shared" si="979"/>
        <v>C</v>
      </c>
      <c r="BH1338" s="65"/>
      <c r="BI1338" s="65"/>
      <c r="BJ1338" s="65"/>
      <c r="BK1338" s="65"/>
      <c r="BL1338" s="99"/>
      <c r="BM1338" s="99"/>
      <c r="BN1338" s="99"/>
    </row>
    <row r="1339" spans="1:66" s="51" customFormat="1" ht="17.25" thickBot="1" x14ac:dyDescent="0.3">
      <c r="A1339" s="641" t="s">
        <v>4710</v>
      </c>
      <c r="B1339" s="642"/>
      <c r="C1339" s="710"/>
      <c r="D1339" s="643"/>
      <c r="E1339" s="643"/>
      <c r="F1339" s="644"/>
      <c r="G1339" s="645"/>
      <c r="H1339" s="646"/>
      <c r="I1339" s="647"/>
      <c r="J1339" s="648"/>
      <c r="K1339" s="649"/>
      <c r="L1339" s="650"/>
      <c r="M1339" s="650"/>
      <c r="N1339" s="644"/>
      <c r="O1339" s="644"/>
      <c r="P1339" s="644"/>
      <c r="Q1339" s="644"/>
      <c r="R1339" s="644"/>
      <c r="S1339" s="701" t="s">
        <v>5253</v>
      </c>
      <c r="T1339" s="102">
        <f t="shared" si="967"/>
        <v>0</v>
      </c>
      <c r="U1339" s="78" t="str">
        <f>IF(NOT(ISNUMBER(G1339)), "", VLOOKUP(A1339,'Discount Lookup'!D:E,2,FALSE)*G1339)</f>
        <v/>
      </c>
      <c r="V1339" s="78" t="str">
        <f>IF(NOT(ISNUMBER(G1339)), "", VLOOKUP(A1339,'Discount Lookup'!G:H,2,FALSE)*G1339)</f>
        <v/>
      </c>
      <c r="W1339" s="102">
        <f t="shared" si="968"/>
        <v>0</v>
      </c>
      <c r="X1339" s="102">
        <f t="shared" si="969"/>
        <v>0</v>
      </c>
      <c r="Y1339" s="120" t="b">
        <f t="shared" si="970"/>
        <v>0</v>
      </c>
      <c r="Z1339" s="117">
        <f t="shared" si="971"/>
        <v>0</v>
      </c>
      <c r="AA1339" s="118"/>
      <c r="AB1339" s="118" t="str">
        <f t="shared" si="972"/>
        <v/>
      </c>
      <c r="AC1339" s="712" t="str">
        <f>IF(AE1339="T2G","no charge",IF(AND(OR(PlanterYesMe="No",PlanterYesMe="N",PlanterYesMe="me"),H1339=""),"",IF(H1339="credit","NO install",IF(AND(K1339="",AE1339="me"),"EACH row",IF(AND(K1339="images",AE1339="me"),"EACH row",IF(D1339="","",IF(H1339="credit","",IF(AE1339="free","re-planting",IF(AE1339="me","   not ELP, by",IF(AND(OR(PlanterYesMe="Yes",PlanterYesMe="Y"),G1339&gt;0),(VLOOKUP(A1339,'Discount Lookup'!J:K,2)*G1339*(1-PlanterDiscount)*(1+PlanterDifficultyPercentage)),IF(AE1339="ELP",(VLOOKUP(A1339,'Discount Lookup'!J:K,2)*G1339*(1-PlanterDiscount)*(1+PlanterDifficultyPercentage)),IF(AE1339="free","re-planting",IF(G1339=0,"",IF(PlanterYesMe="",IF(AE1339="me","   not ELP, by",IF(AE1339="",IF(G1339&gt;0,(VLOOKUP(A1339,'Discount Lookup'!J:K,2)*G1339*(1-PlanterDiscount)*(1+PlanterDifficultyPercentage)),""),"")),"   not ELP, by"))))))))))))))</f>
        <v/>
      </c>
      <c r="AD1339" s="712"/>
      <c r="AE1339" s="513" t="str">
        <f t="shared" si="973"/>
        <v/>
      </c>
      <c r="AF1339" s="713" t="str">
        <f t="shared" si="974"/>
        <v/>
      </c>
      <c r="AG1339" s="713"/>
      <c r="AH1339" s="713"/>
      <c r="AI1339" s="112">
        <f>IF(H1339="credit",0,IF(AE1339="free",0,IF(AE1339="me",0,IF(G1339&gt;0,(VLOOKUP(A1339,'Discount Lookup'!J:K,2)*G1339),0))))</f>
        <v>0</v>
      </c>
      <c r="AJ1339" s="107" t="str">
        <f t="shared" ca="1" si="975"/>
        <v/>
      </c>
      <c r="AK1339" s="714" t="str">
        <f t="shared" si="976"/>
        <v/>
      </c>
      <c r="AL1339" s="714"/>
      <c r="AM1339" s="114" t="str">
        <f t="shared" si="977"/>
        <v/>
      </c>
      <c r="AN1339" s="115"/>
      <c r="AO1339" s="116"/>
      <c r="AP1339" s="116"/>
      <c r="AQ1339" s="116"/>
      <c r="AR1339" s="116"/>
      <c r="AS1339" s="116"/>
      <c r="AT1339" s="116"/>
      <c r="AU1339" s="116"/>
      <c r="AV1339" s="78"/>
      <c r="AW1339" s="102"/>
      <c r="AX1339" s="78"/>
      <c r="AY1339" s="78"/>
      <c r="AZ1339" s="78"/>
      <c r="BA1339" s="78"/>
      <c r="BB1339" s="78"/>
      <c r="BC1339" s="78"/>
      <c r="BD1339" s="78"/>
      <c r="BE1339" s="465"/>
      <c r="BF1339" s="165" t="str">
        <f t="shared" si="978"/>
        <v>https://www.google.com/search?tbm=isch&amp;q=Snow%20Tower%20foliage%20is%20Dark%20Green%2C%20turning%20Reddish-Purple%20to%20Scarlet%20in%20fall.%20Exfoliating%20bark%20</v>
      </c>
      <c r="BG1339" s="165" t="str">
        <f t="shared" si="979"/>
        <v>S</v>
      </c>
      <c r="BH1339" s="65"/>
      <c r="BI1339" s="65"/>
      <c r="BJ1339" s="65"/>
      <c r="BK1339" s="65"/>
      <c r="BL1339" s="99"/>
      <c r="BM1339" s="99"/>
      <c r="BN1339" s="99"/>
    </row>
    <row r="1340" spans="1:66" s="51" customFormat="1" ht="18" x14ac:dyDescent="0.25">
      <c r="A1340" s="623" t="s">
        <v>2327</v>
      </c>
      <c r="B1340" s="624"/>
      <c r="C1340" s="709"/>
      <c r="D1340" s="625" t="s">
        <v>2328</v>
      </c>
      <c r="E1340" s="626"/>
      <c r="F1340" s="626"/>
      <c r="G1340" s="626"/>
      <c r="H1340" s="622" t="s">
        <v>2010</v>
      </c>
      <c r="I1340" s="627" t="s">
        <v>349</v>
      </c>
      <c r="J1340" s="628"/>
      <c r="K1340" s="628"/>
      <c r="L1340" s="629"/>
      <c r="M1340" s="700" t="s">
        <v>5242</v>
      </c>
      <c r="N1340" s="693" t="str">
        <f>IF(AND(ISTEXT($A1340), ISERROR($A1340+0)), HYPERLINK($BF1340, "Images"), "")</f>
        <v>Images</v>
      </c>
      <c r="O1340" s="695" t="s">
        <v>5264</v>
      </c>
      <c r="P1340" s="630"/>
      <c r="Q1340" s="631"/>
      <c r="R1340" s="632"/>
      <c r="S1340" s="633" t="s">
        <v>294</v>
      </c>
      <c r="T1340" s="102">
        <f t="shared" si="967"/>
        <v>0</v>
      </c>
      <c r="U1340" s="78" t="str">
        <f>IF(NOT(ISNUMBER(G1340)), "", VLOOKUP(A1340,'Discount Lookup'!D:E,2,FALSE)*G1340)</f>
        <v/>
      </c>
      <c r="V1340" s="78" t="str">
        <f>IF(NOT(ISNUMBER(G1340)), "", VLOOKUP(A1340,'Discount Lookup'!G:H,2,FALSE)*G1340)</f>
        <v/>
      </c>
      <c r="W1340" s="102">
        <f t="shared" si="968"/>
        <v>0</v>
      </c>
      <c r="X1340" s="102" t="str">
        <f t="shared" si="969"/>
        <v>White bloom</v>
      </c>
      <c r="Y1340" s="120" t="b">
        <f t="shared" si="970"/>
        <v>0</v>
      </c>
      <c r="Z1340" s="117">
        <f t="shared" si="971"/>
        <v>0</v>
      </c>
      <c r="AA1340" s="118"/>
      <c r="AB1340" s="118" t="str">
        <f t="shared" si="972"/>
        <v/>
      </c>
      <c r="AC1340" s="712" t="str">
        <f>IF(AE1340="T2G","no charge",IF(AND(OR(PlanterYesMe="No",PlanterYesMe="N",PlanterYesMe="me"),H1340=""),"",IF(H1340="credit","NO install",IF(AND(K1340="",AE1340="me"),"EACH row",IF(AND(K1340="images",AE1340="me"),"EACH row",IF(D1340="","",IF(H1340="credit","",IF(AE1340="free","re-planting",IF(AE1340="me","   not ELP, by",IF(AND(OR(PlanterYesMe="Yes",PlanterYesMe="Y"),G1340&gt;0),(VLOOKUP(A1340,'Discount Lookup'!J:K,2)*G1340*(1-PlanterDiscount)*(1+PlanterDifficultyPercentage)),IF(AE1340="ELP",(VLOOKUP(A1340,'Discount Lookup'!J:K,2)*G1340*(1-PlanterDiscount)*(1+PlanterDifficultyPercentage)),IF(AE1340="free","re-planting",IF(G1340=0,"",IF(PlanterYesMe="",IF(AE1340="me","   not ELP, by",IF(AE1340="",IF(G1340&gt;0,(VLOOKUP(A1340,'Discount Lookup'!J:K,2)*G1340*(1-PlanterDiscount)*(1+PlanterDifficultyPercentage)),""),"")),"   not ELP, by"))))))))))))))</f>
        <v/>
      </c>
      <c r="AD1340" s="712"/>
      <c r="AE1340" s="513" t="str">
        <f t="shared" si="973"/>
        <v/>
      </c>
      <c r="AF1340" s="713" t="str">
        <f t="shared" si="974"/>
        <v/>
      </c>
      <c r="AG1340" s="713"/>
      <c r="AH1340" s="713"/>
      <c r="AI1340" s="112">
        <f>IF(H1340="credit",0,IF(AE1340="free",0,IF(AE1340="me",0,IF(G1340&gt;0,(VLOOKUP(A1340,'Discount Lookup'!J:K,2)*G1340),0))))</f>
        <v>0</v>
      </c>
      <c r="AJ1340" s="107" t="str">
        <f t="shared" ca="1" si="975"/>
        <v/>
      </c>
      <c r="AK1340" s="714" t="str">
        <f t="shared" si="976"/>
        <v/>
      </c>
      <c r="AL1340" s="714"/>
      <c r="AM1340" s="114" t="str">
        <f t="shared" si="977"/>
        <v/>
      </c>
      <c r="AN1340" s="115"/>
      <c r="AO1340" s="116"/>
      <c r="AP1340" s="116"/>
      <c r="AQ1340" s="116"/>
      <c r="AR1340" s="116"/>
      <c r="AS1340" s="116"/>
      <c r="AT1340" s="116"/>
      <c r="AU1340" s="116"/>
      <c r="AV1340" s="78"/>
      <c r="AW1340" s="102"/>
      <c r="AX1340" s="78"/>
      <c r="AY1340" s="78"/>
      <c r="AZ1340" s="78"/>
      <c r="BA1340" s="78"/>
      <c r="BB1340" s="78"/>
      <c r="BC1340" s="78"/>
      <c r="BD1340" s="78"/>
      <c r="BE1340" s="465"/>
      <c r="BF1340" s="165" t="str">
        <f t="shared" si="978"/>
        <v>https://www.google.com/search?tbm=isch&amp;q=Cornus%20sericea%20%27Baileyi%27%20Bailey%20Red%20Twig%20Dogwood</v>
      </c>
      <c r="BG1340" s="165" t="str">
        <f t="shared" si="979"/>
        <v>C</v>
      </c>
      <c r="BH1340" s="65"/>
      <c r="BI1340" s="65"/>
      <c r="BJ1340" s="65"/>
      <c r="BK1340" s="65"/>
      <c r="BL1340" s="99"/>
      <c r="BM1340" s="99"/>
      <c r="BN1340" s="99"/>
    </row>
    <row r="1341" spans="1:66" s="51" customFormat="1" ht="15.75" x14ac:dyDescent="0.25">
      <c r="A1341" s="634">
        <v>3</v>
      </c>
      <c r="B1341" s="635" t="s">
        <v>291</v>
      </c>
      <c r="C1341" s="636" t="s">
        <v>2329</v>
      </c>
      <c r="D1341" s="637" t="s">
        <v>329</v>
      </c>
      <c r="E1341" s="638">
        <v>28.95</v>
      </c>
      <c r="F1341" s="639" t="s">
        <v>292</v>
      </c>
      <c r="G1341" s="484">
        <v>0</v>
      </c>
      <c r="H1341" s="691" t="str">
        <f>IF(G1341=0,"",IF(F1341="Buy",IF(G1341=1,"plant","plants"),IF(F1341&gt;0.01,"warranty","Error")))</f>
        <v/>
      </c>
      <c r="I1341" s="640">
        <f>IF(H1341="free",0,IF(H1341="credit",((E1341*(F1341))*G1341*-1),IF(F1341="Buy",(E1341*G1341),((E1341*(1-F1341))*G1341))))</f>
        <v>0</v>
      </c>
      <c r="J1341" s="640">
        <f>IF(H1341="warranty",0,(I1341*(_xlfn.SINGLE(SalesTaxPercentage))))</f>
        <v>0</v>
      </c>
      <c r="K1341" s="716">
        <f t="shared" ref="K1341" si="1002">I1341+J1341</f>
        <v>0</v>
      </c>
      <c r="L1341" s="716"/>
      <c r="M1341" s="689" t="str">
        <f ca="1">IF(AND(G1341&gt;0,E1341=0),"WARNING - no PRICE inserted",IF(H1341="free","FREE ~ no charge this plant",IF(H1341="credit",CONCATENATE("-$",ROUND(K1341*(1-_xlfn.SINGLE(T2GDiscount))*-1,2)," CREDIT after discount"),IF(_xlfn.SINGLE(T2GDiscount)=0,"",IF(G1341=0,"",IF(F1341="Buy",CONCATENATE("$",ROUND(K1341*(1-_xlfn.SINGLE(T2GDiscount)),2)," with ",(_xlfn.SINGLE(T2GDiscount)*100),"% discount"),CONCATENATE("$",ROUND(K1341*(1-_xlfn.SINGLE(T2GDiscount)),2)," with ",((_xlfn.SINGLE(T2GDiscount)*100+F1341*100)-(_xlfn.SINGLE(T2GDiscount)*100*F1341)),IF(F1341&gt;0,"% discounts",IF(_xlfn.SINGLE(NoWarrantyDiscount)&gt;0,"% discounts","% discount")))))))))</f>
        <v/>
      </c>
      <c r="N1341" s="690"/>
      <c r="O1341" s="486"/>
      <c r="P1341" s="486"/>
      <c r="Q1341" s="486"/>
      <c r="R1341" s="486"/>
      <c r="S1341" s="486"/>
      <c r="T1341" s="102">
        <f t="shared" si="967"/>
        <v>0</v>
      </c>
      <c r="U1341" s="78">
        <f>IF(NOT(ISNUMBER(G1341)), "", VLOOKUP(A1341,'Discount Lookup'!D:E,2,FALSE)*G1341)</f>
        <v>0</v>
      </c>
      <c r="V1341" s="78">
        <f>IF(NOT(ISNUMBER(G1341)), "", VLOOKUP(A1341,'Discount Lookup'!G:H,2,FALSE)*G1341)</f>
        <v>0</v>
      </c>
      <c r="W1341" s="102">
        <f t="shared" si="968"/>
        <v>0</v>
      </c>
      <c r="X1341" s="102">
        <f t="shared" si="969"/>
        <v>0</v>
      </c>
      <c r="Y1341" s="120" t="b">
        <f t="shared" si="970"/>
        <v>0</v>
      </c>
      <c r="Z1341" s="117">
        <f t="shared" si="971"/>
        <v>0</v>
      </c>
      <c r="AA1341" s="118"/>
      <c r="AB1341" s="118" t="str">
        <f t="shared" si="972"/>
        <v/>
      </c>
      <c r="AC1341" s="712" t="str">
        <f>IF(AE1341="T2G","no charge",IF(AND(OR(PlanterYesMe="No",PlanterYesMe="N",PlanterYesMe="me"),H1341=""),"",IF(H1341="credit","NO install",IF(AND(K1341="",AE1341="me"),"EACH row",IF(AND(K1341="images",AE1341="me"),"EACH row",IF(D1341="","",IF(H1341="credit","",IF(AE1341="free","re-planting",IF(AE1341="me","   not ELP, by",IF(AND(OR(PlanterYesMe="Yes",PlanterYesMe="Y"),G1341&gt;0),(VLOOKUP(A1341,'Discount Lookup'!J:K,2)*G1341*(1-PlanterDiscount)*(1+PlanterDifficultyPercentage)),IF(AE1341="ELP",(VLOOKUP(A1341,'Discount Lookup'!J:K,2)*G1341*(1-PlanterDiscount)*(1+PlanterDifficultyPercentage)),IF(AE1341="free","re-planting",IF(G1341=0,"",IF(PlanterYesMe="",IF(AE1341="me","   not ELP, by",IF(AE1341="",IF(G1341&gt;0,(VLOOKUP(A1341,'Discount Lookup'!J:K,2)*G1341*(1-PlanterDiscount)*(1+PlanterDifficultyPercentage)),""),"")),"   not ELP, by"))))))))))))))</f>
        <v/>
      </c>
      <c r="AD1341" s="712"/>
      <c r="AE1341" s="513" t="str">
        <f t="shared" si="973"/>
        <v/>
      </c>
      <c r="AF1341" s="713" t="str">
        <f t="shared" si="974"/>
        <v/>
      </c>
      <c r="AG1341" s="713"/>
      <c r="AH1341" s="713"/>
      <c r="AI1341" s="112">
        <f>IF(H1341="credit",0,IF(AE1341="free",0,IF(AE1341="me",0,IF(G1341&gt;0,(VLOOKUP(A1341,'Discount Lookup'!J:K,2)*G1341),0))))</f>
        <v>0</v>
      </c>
      <c r="AJ1341" s="107" t="str">
        <f t="shared" ca="1" si="975"/>
        <v/>
      </c>
      <c r="AK1341" s="714" t="str">
        <f t="shared" si="976"/>
        <v/>
      </c>
      <c r="AL1341" s="714"/>
      <c r="AM1341" s="114" t="str">
        <f t="shared" si="977"/>
        <v/>
      </c>
      <c r="AN1341" s="115"/>
      <c r="AO1341" s="116"/>
      <c r="AP1341" s="116"/>
      <c r="AQ1341" s="116"/>
      <c r="AR1341" s="116"/>
      <c r="AS1341" s="116"/>
      <c r="AT1341" s="116"/>
      <c r="AU1341" s="116"/>
      <c r="AV1341" s="78"/>
      <c r="AW1341" s="102"/>
      <c r="AX1341" s="78"/>
      <c r="AY1341" s="78"/>
      <c r="AZ1341" s="78"/>
      <c r="BA1341" s="78"/>
      <c r="BB1341" s="78"/>
      <c r="BC1341" s="78"/>
      <c r="BD1341" s="78"/>
      <c r="BE1341" s="465"/>
      <c r="BF1341" s="165" t="str">
        <f t="shared" si="978"/>
        <v>https://www.google.com/search?tbm=isch&amp;q=3%20G2</v>
      </c>
      <c r="BG1341" s="165" t="str">
        <f t="shared" si="979"/>
        <v>C</v>
      </c>
      <c r="BH1341" s="65"/>
      <c r="BI1341" s="65"/>
      <c r="BJ1341" s="65"/>
      <c r="BK1341" s="65"/>
      <c r="BL1341" s="99"/>
      <c r="BM1341" s="99"/>
      <c r="BN1341" s="99"/>
    </row>
    <row r="1342" spans="1:66" s="51" customFormat="1" ht="15.75" x14ac:dyDescent="0.25">
      <c r="A1342" s="634">
        <v>3</v>
      </c>
      <c r="B1342" s="635" t="s">
        <v>291</v>
      </c>
      <c r="C1342" s="636" t="s">
        <v>2330</v>
      </c>
      <c r="D1342" s="637" t="s">
        <v>311</v>
      </c>
      <c r="E1342" s="638">
        <v>32.950000000000003</v>
      </c>
      <c r="F1342" s="639" t="s">
        <v>292</v>
      </c>
      <c r="G1342" s="484">
        <v>0</v>
      </c>
      <c r="H1342" s="691" t="str">
        <f>IF(G1342=0,"",IF(F1342="Buy",IF(G1342=1,"plant","plants"),IF(F1342&gt;0.01,"warranty","Error")))</f>
        <v/>
      </c>
      <c r="I1342" s="640">
        <f>IF(H1342="free",0,IF(H1342="credit",((E1342*(F1342))*G1342*-1),IF(F1342="Buy",(E1342*G1342),((E1342*(1-F1342))*G1342))))</f>
        <v>0</v>
      </c>
      <c r="J1342" s="640">
        <f>IF(H1342="warranty",0,(I1342*(_xlfn.SINGLE(SalesTaxPercentage))))</f>
        <v>0</v>
      </c>
      <c r="K1342" s="716">
        <f t="shared" ref="K1342" si="1003">I1342+J1342</f>
        <v>0</v>
      </c>
      <c r="L1342" s="716"/>
      <c r="M1342" s="689" t="str">
        <f ca="1">IF(AND(G1342&gt;0,E1342=0),"WARNING - no PRICE inserted",IF(H1342="free","FREE ~ no charge this plant",IF(H1342="credit",CONCATENATE("-$",ROUND(K1342*(1-_xlfn.SINGLE(T2GDiscount))*-1,2)," CREDIT after discount"),IF(_xlfn.SINGLE(T2GDiscount)=0,"",IF(G1342=0,"",IF(F1342="Buy",CONCATENATE("$",ROUND(K1342*(1-_xlfn.SINGLE(T2GDiscount)),2)," with ",(_xlfn.SINGLE(T2GDiscount)*100),"% discount"),CONCATENATE("$",ROUND(K1342*(1-_xlfn.SINGLE(T2GDiscount)),2)," with ",((_xlfn.SINGLE(T2GDiscount)*100+F1342*100)-(_xlfn.SINGLE(T2GDiscount)*100*F1342)),IF(F1342&gt;0,"% discounts",IF(_xlfn.SINGLE(NoWarrantyDiscount)&gt;0,"% discounts","% discount")))))))))</f>
        <v/>
      </c>
      <c r="N1342" s="690"/>
      <c r="O1342" s="486"/>
      <c r="P1342" s="486"/>
      <c r="Q1342" s="486"/>
      <c r="R1342" s="486"/>
      <c r="S1342" s="486"/>
      <c r="T1342" s="102">
        <f t="shared" si="967"/>
        <v>0</v>
      </c>
      <c r="U1342" s="78">
        <f>IF(NOT(ISNUMBER(G1342)), "", VLOOKUP(A1342,'Discount Lookup'!D:E,2,FALSE)*G1342)</f>
        <v>0</v>
      </c>
      <c r="V1342" s="78">
        <f>IF(NOT(ISNUMBER(G1342)), "", VLOOKUP(A1342,'Discount Lookup'!G:H,2,FALSE)*G1342)</f>
        <v>0</v>
      </c>
      <c r="W1342" s="102">
        <f t="shared" si="968"/>
        <v>0</v>
      </c>
      <c r="X1342" s="102">
        <f t="shared" si="969"/>
        <v>0</v>
      </c>
      <c r="Y1342" s="120" t="b">
        <f t="shared" si="970"/>
        <v>0</v>
      </c>
      <c r="Z1342" s="117">
        <f t="shared" si="971"/>
        <v>0</v>
      </c>
      <c r="AA1342" s="118"/>
      <c r="AB1342" s="118" t="str">
        <f t="shared" si="972"/>
        <v/>
      </c>
      <c r="AC1342" s="712" t="str">
        <f>IF(AE1342="T2G","no charge",IF(AND(OR(PlanterYesMe="No",PlanterYesMe="N",PlanterYesMe="me"),H1342=""),"",IF(H1342="credit","NO install",IF(AND(K1342="",AE1342="me"),"EACH row",IF(AND(K1342="images",AE1342="me"),"EACH row",IF(D1342="","",IF(H1342="credit","",IF(AE1342="free","re-planting",IF(AE1342="me","   not ELP, by",IF(AND(OR(PlanterYesMe="Yes",PlanterYesMe="Y"),G1342&gt;0),(VLOOKUP(A1342,'Discount Lookup'!J:K,2)*G1342*(1-PlanterDiscount)*(1+PlanterDifficultyPercentage)),IF(AE1342="ELP",(VLOOKUP(A1342,'Discount Lookup'!J:K,2)*G1342*(1-PlanterDiscount)*(1+PlanterDifficultyPercentage)),IF(AE1342="free","re-planting",IF(G1342=0,"",IF(PlanterYesMe="",IF(AE1342="me","   not ELP, by",IF(AE1342="",IF(G1342&gt;0,(VLOOKUP(A1342,'Discount Lookup'!J:K,2)*G1342*(1-PlanterDiscount)*(1+PlanterDifficultyPercentage)),""),"")),"   not ELP, by"))))))))))))))</f>
        <v/>
      </c>
      <c r="AD1342" s="712"/>
      <c r="AE1342" s="513" t="str">
        <f t="shared" si="973"/>
        <v/>
      </c>
      <c r="AF1342" s="713" t="str">
        <f t="shared" si="974"/>
        <v/>
      </c>
      <c r="AG1342" s="713"/>
      <c r="AH1342" s="713"/>
      <c r="AI1342" s="112">
        <f>IF(H1342="credit",0,IF(AE1342="free",0,IF(AE1342="me",0,IF(G1342&gt;0,(VLOOKUP(A1342,'Discount Lookup'!J:K,2)*G1342),0))))</f>
        <v>0</v>
      </c>
      <c r="AJ1342" s="107" t="str">
        <f t="shared" ca="1" si="975"/>
        <v/>
      </c>
      <c r="AK1342" s="714" t="str">
        <f t="shared" si="976"/>
        <v/>
      </c>
      <c r="AL1342" s="714"/>
      <c r="AM1342" s="114" t="str">
        <f t="shared" si="977"/>
        <v/>
      </c>
      <c r="AN1342" s="115"/>
      <c r="AO1342" s="116"/>
      <c r="AP1342" s="116"/>
      <c r="AQ1342" s="116"/>
      <c r="AR1342" s="116"/>
      <c r="AS1342" s="116"/>
      <c r="AT1342" s="116"/>
      <c r="AU1342" s="116"/>
      <c r="AV1342" s="78"/>
      <c r="AW1342" s="102"/>
      <c r="AX1342" s="78"/>
      <c r="AY1342" s="78"/>
      <c r="AZ1342" s="78"/>
      <c r="BA1342" s="78"/>
      <c r="BB1342" s="78"/>
      <c r="BC1342" s="78"/>
      <c r="BD1342" s="78"/>
      <c r="BE1342" s="465"/>
      <c r="BF1342" s="165" t="str">
        <f t="shared" si="978"/>
        <v>https://www.google.com/search?tbm=isch&amp;q=3%20G5</v>
      </c>
      <c r="BG1342" s="165" t="str">
        <f t="shared" si="979"/>
        <v>C</v>
      </c>
      <c r="BH1342" s="65"/>
      <c r="BI1342" s="65"/>
      <c r="BJ1342" s="65"/>
      <c r="BK1342" s="65"/>
      <c r="BL1342" s="99"/>
      <c r="BM1342" s="99"/>
      <c r="BN1342" s="99"/>
    </row>
    <row r="1343" spans="1:66" s="51" customFormat="1" ht="17.25" thickBot="1" x14ac:dyDescent="0.3">
      <c r="A1343" s="704" t="s">
        <v>5384</v>
      </c>
      <c r="B1343" s="642"/>
      <c r="C1343" s="710"/>
      <c r="D1343" s="643"/>
      <c r="E1343" s="643"/>
      <c r="F1343" s="644"/>
      <c r="G1343" s="645"/>
      <c r="H1343" s="646"/>
      <c r="I1343" s="647"/>
      <c r="J1343" s="648"/>
      <c r="K1343" s="649"/>
      <c r="L1343" s="650"/>
      <c r="M1343" s="650"/>
      <c r="N1343" s="644"/>
      <c r="O1343" s="644"/>
      <c r="P1343" s="644"/>
      <c r="Q1343" s="644"/>
      <c r="R1343" s="644"/>
      <c r="S1343" s="701" t="s">
        <v>5271</v>
      </c>
      <c r="T1343" s="102">
        <f t="shared" si="967"/>
        <v>0</v>
      </c>
      <c r="U1343" s="78" t="str">
        <f>IF(NOT(ISNUMBER(G1343)), "", VLOOKUP(A1343,'Discount Lookup'!D:E,2,FALSE)*G1343)</f>
        <v/>
      </c>
      <c r="V1343" s="78" t="str">
        <f>IF(NOT(ISNUMBER(G1343)), "", VLOOKUP(A1343,'Discount Lookup'!G:H,2,FALSE)*G1343)</f>
        <v/>
      </c>
      <c r="W1343" s="102">
        <f t="shared" si="968"/>
        <v>0</v>
      </c>
      <c r="X1343" s="102">
        <f t="shared" si="969"/>
        <v>0</v>
      </c>
      <c r="Y1343" s="120" t="b">
        <f t="shared" si="970"/>
        <v>0</v>
      </c>
      <c r="Z1343" s="117">
        <f t="shared" si="971"/>
        <v>0</v>
      </c>
      <c r="AA1343" s="118"/>
      <c r="AB1343" s="118" t="str">
        <f t="shared" si="972"/>
        <v/>
      </c>
      <c r="AC1343" s="712" t="str">
        <f>IF(AE1343="T2G","no charge",IF(AND(OR(PlanterYesMe="No",PlanterYesMe="N",PlanterYesMe="me"),H1343=""),"",IF(H1343="credit","NO install",IF(AND(K1343="",AE1343="me"),"EACH row",IF(AND(K1343="images",AE1343="me"),"EACH row",IF(D1343="","",IF(H1343="credit","",IF(AE1343="free","re-planting",IF(AE1343="me","   not ELP, by",IF(AND(OR(PlanterYesMe="Yes",PlanterYesMe="Y"),G1343&gt;0),(VLOOKUP(A1343,'Discount Lookup'!J:K,2)*G1343*(1-PlanterDiscount)*(1+PlanterDifficultyPercentage)),IF(AE1343="ELP",(VLOOKUP(A1343,'Discount Lookup'!J:K,2)*G1343*(1-PlanterDiscount)*(1+PlanterDifficultyPercentage)),IF(AE1343="free","re-planting",IF(G1343=0,"",IF(PlanterYesMe="",IF(AE1343="me","   not ELP, by",IF(AE1343="",IF(G1343&gt;0,(VLOOKUP(A1343,'Discount Lookup'!J:K,2)*G1343*(1-PlanterDiscount)*(1+PlanterDifficultyPercentage)),""),"")),"   not ELP, by"))))))))))))))</f>
        <v/>
      </c>
      <c r="AD1343" s="712"/>
      <c r="AE1343" s="513" t="str">
        <f t="shared" si="973"/>
        <v/>
      </c>
      <c r="AF1343" s="713" t="str">
        <f t="shared" si="974"/>
        <v/>
      </c>
      <c r="AG1343" s="713"/>
      <c r="AH1343" s="713"/>
      <c r="AI1343" s="112">
        <f>IF(H1343="credit",0,IF(AE1343="free",0,IF(AE1343="me",0,IF(G1343&gt;0,(VLOOKUP(A1343,'Discount Lookup'!J:K,2)*G1343),0))))</f>
        <v>0</v>
      </c>
      <c r="AJ1343" s="107" t="str">
        <f t="shared" ca="1" si="975"/>
        <v/>
      </c>
      <c r="AK1343" s="714" t="str">
        <f t="shared" si="976"/>
        <v/>
      </c>
      <c r="AL1343" s="714"/>
      <c r="AM1343" s="114" t="str">
        <f t="shared" si="977"/>
        <v/>
      </c>
      <c r="AN1343" s="115"/>
      <c r="AO1343" s="116"/>
      <c r="AP1343" s="116"/>
      <c r="AQ1343" s="116"/>
      <c r="AR1343" s="116"/>
      <c r="AS1343" s="116"/>
      <c r="AT1343" s="116"/>
      <c r="AU1343" s="116"/>
      <c r="AV1343" s="78"/>
      <c r="AW1343" s="102"/>
      <c r="AX1343" s="78"/>
      <c r="AY1343" s="78"/>
      <c r="AZ1343" s="78"/>
      <c r="BA1343" s="78"/>
      <c r="BB1343" s="78"/>
      <c r="BC1343" s="78"/>
      <c r="BD1343" s="78"/>
      <c r="BE1343" s="465"/>
      <c r="BF1343" s="165" t="str">
        <f t="shared" si="978"/>
        <v>https://www.google.com/search?tbm=isch&amp;q=wet%20sites%F0%9F%92%A7GOOD%2C%20Bailey%20%28and%20other%20Red%20Twig%29%20are%20known%20for%20their%20bright%20red%20winter%20stems%20</v>
      </c>
      <c r="BG1343" s="165" t="str">
        <f t="shared" si="979"/>
        <v>w</v>
      </c>
      <c r="BH1343" s="65"/>
      <c r="BI1343" s="65"/>
      <c r="BJ1343" s="65"/>
      <c r="BK1343" s="65"/>
      <c r="BL1343" s="99"/>
      <c r="BM1343" s="99"/>
      <c r="BN1343" s="99"/>
    </row>
    <row r="1344" spans="1:66" s="51" customFormat="1" ht="18" x14ac:dyDescent="0.25">
      <c r="A1344" s="623" t="s">
        <v>2331</v>
      </c>
      <c r="B1344" s="624"/>
      <c r="C1344" s="709"/>
      <c r="D1344" s="625" t="s">
        <v>5645</v>
      </c>
      <c r="E1344" s="626"/>
      <c r="F1344" s="626"/>
      <c r="G1344" s="626"/>
      <c r="H1344" s="622" t="s">
        <v>1082</v>
      </c>
      <c r="I1344" s="627" t="s">
        <v>349</v>
      </c>
      <c r="J1344" s="628"/>
      <c r="K1344" s="628"/>
      <c r="L1344" s="629"/>
      <c r="M1344" s="700" t="s">
        <v>5242</v>
      </c>
      <c r="N1344" s="693" t="str">
        <f>IF(AND(ISTEXT($A1344), ISERROR($A1344+0)), HYPERLINK($BF1344, "Images"), "")</f>
        <v>Images</v>
      </c>
      <c r="O1344" s="695" t="s">
        <v>5264</v>
      </c>
      <c r="P1344" s="630"/>
      <c r="Q1344" s="631"/>
      <c r="R1344" s="632"/>
      <c r="S1344" s="633"/>
      <c r="T1344" s="102">
        <f t="shared" si="967"/>
        <v>0</v>
      </c>
      <c r="U1344" s="78" t="str">
        <f>IF(NOT(ISNUMBER(G1344)), "", VLOOKUP(A1344,'Discount Lookup'!D:E,2,FALSE)*G1344)</f>
        <v/>
      </c>
      <c r="V1344" s="78" t="str">
        <f>IF(NOT(ISNUMBER(G1344)), "", VLOOKUP(A1344,'Discount Lookup'!G:H,2,FALSE)*G1344)</f>
        <v/>
      </c>
      <c r="W1344" s="102">
        <f t="shared" si="968"/>
        <v>0</v>
      </c>
      <c r="X1344" s="102" t="str">
        <f t="shared" si="969"/>
        <v>White bloom</v>
      </c>
      <c r="Y1344" s="120" t="b">
        <f t="shared" si="970"/>
        <v>0</v>
      </c>
      <c r="Z1344" s="117">
        <f t="shared" si="971"/>
        <v>0</v>
      </c>
      <c r="AA1344" s="118"/>
      <c r="AB1344" s="118" t="str">
        <f t="shared" si="972"/>
        <v/>
      </c>
      <c r="AC1344" s="712" t="str">
        <f>IF(AE1344="T2G","no charge",IF(AND(OR(PlanterYesMe="No",PlanterYesMe="N",PlanterYesMe="me"),H1344=""),"",IF(H1344="credit","NO install",IF(AND(K1344="",AE1344="me"),"EACH row",IF(AND(K1344="images",AE1344="me"),"EACH row",IF(D1344="","",IF(H1344="credit","",IF(AE1344="free","re-planting",IF(AE1344="me","   not ELP, by",IF(AND(OR(PlanterYesMe="Yes",PlanterYesMe="Y"),G1344&gt;0),(VLOOKUP(A1344,'Discount Lookup'!J:K,2)*G1344*(1-PlanterDiscount)*(1+PlanterDifficultyPercentage)),IF(AE1344="ELP",(VLOOKUP(A1344,'Discount Lookup'!J:K,2)*G1344*(1-PlanterDiscount)*(1+PlanterDifficultyPercentage)),IF(AE1344="free","re-planting",IF(G1344=0,"",IF(PlanterYesMe="",IF(AE1344="me","   not ELP, by",IF(AE1344="",IF(G1344&gt;0,(VLOOKUP(A1344,'Discount Lookup'!J:K,2)*G1344*(1-PlanterDiscount)*(1+PlanterDifficultyPercentage)),""),"")),"   not ELP, by"))))))))))))))</f>
        <v/>
      </c>
      <c r="AD1344" s="712"/>
      <c r="AE1344" s="513" t="str">
        <f t="shared" si="973"/>
        <v/>
      </c>
      <c r="AF1344" s="713" t="str">
        <f t="shared" si="974"/>
        <v/>
      </c>
      <c r="AG1344" s="713"/>
      <c r="AH1344" s="713"/>
      <c r="AI1344" s="112">
        <f>IF(H1344="credit",0,IF(AE1344="free",0,IF(AE1344="me",0,IF(G1344&gt;0,(VLOOKUP(A1344,'Discount Lookup'!J:K,2)*G1344),0))))</f>
        <v>0</v>
      </c>
      <c r="AJ1344" s="107" t="str">
        <f t="shared" ca="1" si="975"/>
        <v/>
      </c>
      <c r="AK1344" s="714" t="str">
        <f t="shared" si="976"/>
        <v/>
      </c>
      <c r="AL1344" s="714"/>
      <c r="AM1344" s="114" t="str">
        <f t="shared" si="977"/>
        <v/>
      </c>
      <c r="AN1344" s="115"/>
      <c r="AO1344" s="116"/>
      <c r="AP1344" s="116"/>
      <c r="AQ1344" s="116"/>
      <c r="AR1344" s="116"/>
      <c r="AS1344" s="116"/>
      <c r="AT1344" s="116"/>
      <c r="AU1344" s="116"/>
      <c r="AV1344" s="78"/>
      <c r="AW1344" s="102"/>
      <c r="AX1344" s="78"/>
      <c r="AY1344" s="78"/>
      <c r="AZ1344" s="78"/>
      <c r="BA1344" s="78"/>
      <c r="BB1344" s="78"/>
      <c r="BC1344" s="78"/>
      <c r="BD1344" s="78"/>
      <c r="BE1344" s="465"/>
      <c r="BF1344" s="165" t="str">
        <f t="shared" si="978"/>
        <v>https://www.google.com/search?tbm=isch&amp;q=Cornus%20stolonifera%20%27Farrow%27%20PP%2318523%20Arctic%20Fire%C2%AE%20Red%20Twig%20Dogwood</v>
      </c>
      <c r="BG1344" s="165" t="str">
        <f t="shared" si="979"/>
        <v>C</v>
      </c>
      <c r="BH1344" s="65"/>
      <c r="BI1344" s="65"/>
      <c r="BJ1344" s="65"/>
      <c r="BK1344" s="65"/>
      <c r="BL1344" s="99"/>
      <c r="BM1344" s="99"/>
      <c r="BN1344" s="99"/>
    </row>
    <row r="1345" spans="1:66" s="51" customFormat="1" ht="15.75" x14ac:dyDescent="0.25">
      <c r="A1345" s="634">
        <v>3</v>
      </c>
      <c r="B1345" s="635" t="s">
        <v>291</v>
      </c>
      <c r="C1345" s="636" t="s">
        <v>2332</v>
      </c>
      <c r="D1345" s="637" t="s">
        <v>329</v>
      </c>
      <c r="E1345" s="638">
        <v>40.950000000000003</v>
      </c>
      <c r="F1345" s="639" t="s">
        <v>292</v>
      </c>
      <c r="G1345" s="484">
        <v>0</v>
      </c>
      <c r="H1345" s="691" t="str">
        <f>IF(G1345=0,"",IF(F1345="Buy",IF(G1345=1,"plant","plants"),IF(F1345&gt;0.01,"warranty","Error")))</f>
        <v/>
      </c>
      <c r="I1345" s="640">
        <f>IF(H1345="free",0,IF(H1345="credit",((E1345*(F1345))*G1345*-1),IF(F1345="Buy",(E1345*G1345),((E1345*(1-F1345))*G1345))))</f>
        <v>0</v>
      </c>
      <c r="J1345" s="640">
        <f>IF(H1345="warranty",0,(I1345*(_xlfn.SINGLE(SalesTaxPercentage))))</f>
        <v>0</v>
      </c>
      <c r="K1345" s="716">
        <f t="shared" ref="K1345" si="1004">I1345+J1345</f>
        <v>0</v>
      </c>
      <c r="L1345" s="716"/>
      <c r="M1345" s="689" t="str">
        <f ca="1">IF(AND(G1345&gt;0,E1345=0),"WARNING - no PRICE inserted",IF(H1345="free","FREE ~ no charge this plant",IF(H1345="credit",CONCATENATE("-$",ROUND(K1345*(1-_xlfn.SINGLE(T2GDiscount))*-1,2)," CREDIT after discount"),IF(_xlfn.SINGLE(T2GDiscount)=0,"",IF(G1345=0,"",IF(F1345="Buy",CONCATENATE("$",ROUND(K1345*(1-_xlfn.SINGLE(T2GDiscount)),2)," with ",(_xlfn.SINGLE(T2GDiscount)*100),"% discount"),CONCATENATE("$",ROUND(K1345*(1-_xlfn.SINGLE(T2GDiscount)),2)," with ",((_xlfn.SINGLE(T2GDiscount)*100+F1345*100)-(_xlfn.SINGLE(T2GDiscount)*100*F1345)),IF(F1345&gt;0,"% discounts",IF(_xlfn.SINGLE(NoWarrantyDiscount)&gt;0,"% discounts","% discount")))))))))</f>
        <v/>
      </c>
      <c r="N1345" s="690"/>
      <c r="O1345" s="486"/>
      <c r="P1345" s="486"/>
      <c r="Q1345" s="486"/>
      <c r="R1345" s="486"/>
      <c r="S1345" s="486"/>
      <c r="T1345" s="102">
        <f t="shared" si="967"/>
        <v>0</v>
      </c>
      <c r="U1345" s="78">
        <f>IF(NOT(ISNUMBER(G1345)), "", VLOOKUP(A1345,'Discount Lookup'!D:E,2,FALSE)*G1345)</f>
        <v>0</v>
      </c>
      <c r="V1345" s="78">
        <f>IF(NOT(ISNUMBER(G1345)), "", VLOOKUP(A1345,'Discount Lookup'!G:H,2,FALSE)*G1345)</f>
        <v>0</v>
      </c>
      <c r="W1345" s="102">
        <f t="shared" si="968"/>
        <v>0</v>
      </c>
      <c r="X1345" s="102">
        <f t="shared" si="969"/>
        <v>0</v>
      </c>
      <c r="Y1345" s="120" t="b">
        <f t="shared" si="970"/>
        <v>0</v>
      </c>
      <c r="Z1345" s="117">
        <f t="shared" si="971"/>
        <v>0</v>
      </c>
      <c r="AA1345" s="118"/>
      <c r="AB1345" s="118" t="str">
        <f t="shared" si="972"/>
        <v/>
      </c>
      <c r="AC1345" s="712" t="str">
        <f>IF(AE1345="T2G","no charge",IF(AND(OR(PlanterYesMe="No",PlanterYesMe="N",PlanterYesMe="me"),H1345=""),"",IF(H1345="credit","NO install",IF(AND(K1345="",AE1345="me"),"EACH row",IF(AND(K1345="images",AE1345="me"),"EACH row",IF(D1345="","",IF(H1345="credit","",IF(AE1345="free","re-planting",IF(AE1345="me","   not ELP, by",IF(AND(OR(PlanterYesMe="Yes",PlanterYesMe="Y"),G1345&gt;0),(VLOOKUP(A1345,'Discount Lookup'!J:K,2)*G1345*(1-PlanterDiscount)*(1+PlanterDifficultyPercentage)),IF(AE1345="ELP",(VLOOKUP(A1345,'Discount Lookup'!J:K,2)*G1345*(1-PlanterDiscount)*(1+PlanterDifficultyPercentage)),IF(AE1345="free","re-planting",IF(G1345=0,"",IF(PlanterYesMe="",IF(AE1345="me","   not ELP, by",IF(AE1345="",IF(G1345&gt;0,(VLOOKUP(A1345,'Discount Lookup'!J:K,2)*G1345*(1-PlanterDiscount)*(1+PlanterDifficultyPercentage)),""),"")),"   not ELP, by"))))))))))))))</f>
        <v/>
      </c>
      <c r="AD1345" s="712"/>
      <c r="AE1345" s="513" t="str">
        <f t="shared" si="973"/>
        <v/>
      </c>
      <c r="AF1345" s="713" t="str">
        <f t="shared" si="974"/>
        <v/>
      </c>
      <c r="AG1345" s="713"/>
      <c r="AH1345" s="713"/>
      <c r="AI1345" s="112">
        <f>IF(H1345="credit",0,IF(AE1345="free",0,IF(AE1345="me",0,IF(G1345&gt;0,(VLOOKUP(A1345,'Discount Lookup'!J:K,2)*G1345),0))))</f>
        <v>0</v>
      </c>
      <c r="AJ1345" s="107" t="str">
        <f t="shared" ca="1" si="975"/>
        <v/>
      </c>
      <c r="AK1345" s="714" t="str">
        <f t="shared" si="976"/>
        <v/>
      </c>
      <c r="AL1345" s="714"/>
      <c r="AM1345" s="114" t="str">
        <f t="shared" si="977"/>
        <v/>
      </c>
      <c r="AN1345" s="115"/>
      <c r="AO1345" s="116"/>
      <c r="AP1345" s="116"/>
      <c r="AQ1345" s="116"/>
      <c r="AR1345" s="116"/>
      <c r="AS1345" s="116"/>
      <c r="AT1345" s="116"/>
      <c r="AU1345" s="116"/>
      <c r="AV1345" s="78"/>
      <c r="AW1345" s="102"/>
      <c r="AX1345" s="78"/>
      <c r="AY1345" s="78"/>
      <c r="AZ1345" s="78"/>
      <c r="BA1345" s="78"/>
      <c r="BB1345" s="78"/>
      <c r="BC1345" s="78"/>
      <c r="BD1345" s="78"/>
      <c r="BE1345" s="465"/>
      <c r="BF1345" s="165" t="str">
        <f t="shared" si="978"/>
        <v>https://www.google.com/search?tbm=isch&amp;q=3%20G2</v>
      </c>
      <c r="BG1345" s="165" t="str">
        <f t="shared" si="979"/>
        <v>C</v>
      </c>
      <c r="BH1345" s="65"/>
      <c r="BI1345" s="65"/>
      <c r="BJ1345" s="65"/>
      <c r="BK1345" s="65"/>
      <c r="BL1345" s="99"/>
      <c r="BM1345" s="99"/>
      <c r="BN1345" s="99"/>
    </row>
    <row r="1346" spans="1:66" s="51" customFormat="1" ht="17.25" thickBot="1" x14ac:dyDescent="0.3">
      <c r="A1346" s="704" t="s">
        <v>5385</v>
      </c>
      <c r="B1346" s="642"/>
      <c r="C1346" s="710"/>
      <c r="D1346" s="643"/>
      <c r="E1346" s="643"/>
      <c r="F1346" s="644"/>
      <c r="G1346" s="645"/>
      <c r="H1346" s="646"/>
      <c r="I1346" s="647"/>
      <c r="J1346" s="648"/>
      <c r="K1346" s="649"/>
      <c r="L1346" s="650"/>
      <c r="M1346" s="650"/>
      <c r="N1346" s="644"/>
      <c r="O1346" s="644"/>
      <c r="P1346" s="644"/>
      <c r="Q1346" s="644"/>
      <c r="R1346" s="644"/>
      <c r="S1346" s="701" t="s">
        <v>5271</v>
      </c>
      <c r="T1346" s="102">
        <f t="shared" si="967"/>
        <v>0</v>
      </c>
      <c r="U1346" s="78" t="str">
        <f>IF(NOT(ISNUMBER(G1346)), "", VLOOKUP(A1346,'Discount Lookup'!D:E,2,FALSE)*G1346)</f>
        <v/>
      </c>
      <c r="V1346" s="78" t="str">
        <f>IF(NOT(ISNUMBER(G1346)), "", VLOOKUP(A1346,'Discount Lookup'!G:H,2,FALSE)*G1346)</f>
        <v/>
      </c>
      <c r="W1346" s="102">
        <f t="shared" si="968"/>
        <v>0</v>
      </c>
      <c r="X1346" s="102">
        <f t="shared" si="969"/>
        <v>0</v>
      </c>
      <c r="Y1346" s="120" t="b">
        <f t="shared" si="970"/>
        <v>0</v>
      </c>
      <c r="Z1346" s="117">
        <f t="shared" si="971"/>
        <v>0</v>
      </c>
      <c r="AA1346" s="118"/>
      <c r="AB1346" s="118" t="str">
        <f t="shared" si="972"/>
        <v/>
      </c>
      <c r="AC1346" s="712" t="str">
        <f>IF(AE1346="T2G","no charge",IF(AND(OR(PlanterYesMe="No",PlanterYesMe="N",PlanterYesMe="me"),H1346=""),"",IF(H1346="credit","NO install",IF(AND(K1346="",AE1346="me"),"EACH row",IF(AND(K1346="images",AE1346="me"),"EACH row",IF(D1346="","",IF(H1346="credit","",IF(AE1346="free","re-planting",IF(AE1346="me","   not ELP, by",IF(AND(OR(PlanterYesMe="Yes",PlanterYesMe="Y"),G1346&gt;0),(VLOOKUP(A1346,'Discount Lookup'!J:K,2)*G1346*(1-PlanterDiscount)*(1+PlanterDifficultyPercentage)),IF(AE1346="ELP",(VLOOKUP(A1346,'Discount Lookup'!J:K,2)*G1346*(1-PlanterDiscount)*(1+PlanterDifficultyPercentage)),IF(AE1346="free","re-planting",IF(G1346=0,"",IF(PlanterYesMe="",IF(AE1346="me","   not ELP, by",IF(AE1346="",IF(G1346&gt;0,(VLOOKUP(A1346,'Discount Lookup'!J:K,2)*G1346*(1-PlanterDiscount)*(1+PlanterDifficultyPercentage)),""),"")),"   not ELP, by"))))))))))))))</f>
        <v/>
      </c>
      <c r="AD1346" s="712"/>
      <c r="AE1346" s="513" t="str">
        <f t="shared" si="973"/>
        <v/>
      </c>
      <c r="AF1346" s="713" t="str">
        <f t="shared" si="974"/>
        <v/>
      </c>
      <c r="AG1346" s="713"/>
      <c r="AH1346" s="713"/>
      <c r="AI1346" s="112">
        <f>IF(H1346="credit",0,IF(AE1346="free",0,IF(AE1346="me",0,IF(G1346&gt;0,(VLOOKUP(A1346,'Discount Lookup'!J:K,2)*G1346),0))))</f>
        <v>0</v>
      </c>
      <c r="AJ1346" s="107" t="str">
        <f t="shared" ca="1" si="975"/>
        <v/>
      </c>
      <c r="AK1346" s="714" t="str">
        <f t="shared" si="976"/>
        <v/>
      </c>
      <c r="AL1346" s="714"/>
      <c r="AM1346" s="114" t="str">
        <f t="shared" si="977"/>
        <v/>
      </c>
      <c r="AN1346" s="115"/>
      <c r="AO1346" s="116"/>
      <c r="AP1346" s="116"/>
      <c r="AQ1346" s="116"/>
      <c r="AR1346" s="116"/>
      <c r="AS1346" s="116"/>
      <c r="AT1346" s="116"/>
      <c r="AU1346" s="116"/>
      <c r="AV1346" s="78"/>
      <c r="AW1346" s="102"/>
      <c r="AX1346" s="78"/>
      <c r="AY1346" s="78"/>
      <c r="AZ1346" s="78"/>
      <c r="BA1346" s="78"/>
      <c r="BB1346" s="78"/>
      <c r="BC1346" s="78"/>
      <c r="BD1346" s="78"/>
      <c r="BE1346" s="465"/>
      <c r="BF1346" s="165" t="str">
        <f t="shared" si="978"/>
        <v>https://www.google.com/search?tbm=isch&amp;q=wet%20sites%F0%9F%92%A7GOOD%2C%20Arctic%20Fire%20%28and%20other%20Red%20Twig%29%20are%20known%20for%20their%20bright%20red%20winter%20stems%20</v>
      </c>
      <c r="BG1346" s="165" t="str">
        <f t="shared" si="979"/>
        <v>w</v>
      </c>
      <c r="BH1346" s="65"/>
      <c r="BI1346" s="65"/>
      <c r="BJ1346" s="65"/>
      <c r="BK1346" s="65"/>
      <c r="BL1346" s="99"/>
      <c r="BM1346" s="99"/>
      <c r="BN1346" s="99"/>
    </row>
    <row r="1347" spans="1:66" s="51" customFormat="1" ht="18" x14ac:dyDescent="0.25">
      <c r="A1347" s="623" t="s">
        <v>2333</v>
      </c>
      <c r="B1347" s="624"/>
      <c r="C1347" s="709"/>
      <c r="D1347" s="625" t="s">
        <v>2334</v>
      </c>
      <c r="E1347" s="626"/>
      <c r="F1347" s="626"/>
      <c r="G1347" s="626"/>
      <c r="H1347" s="622" t="s">
        <v>325</v>
      </c>
      <c r="I1347" s="627" t="s">
        <v>349</v>
      </c>
      <c r="J1347" s="628"/>
      <c r="K1347" s="628"/>
      <c r="L1347" s="629"/>
      <c r="M1347" s="700" t="s">
        <v>5249</v>
      </c>
      <c r="N1347" s="693" t="str">
        <f>IF(AND(ISTEXT($A1347), ISERROR($A1347+0)), HYPERLINK($BF1347, "Images"), "")</f>
        <v>Images</v>
      </c>
      <c r="O1347" s="695" t="s">
        <v>5247</v>
      </c>
      <c r="P1347" s="630"/>
      <c r="Q1347" s="631"/>
      <c r="R1347" s="632"/>
      <c r="S1347" s="633"/>
      <c r="T1347" s="102">
        <f t="shared" si="967"/>
        <v>0</v>
      </c>
      <c r="U1347" s="78" t="str">
        <f>IF(NOT(ISNUMBER(G1347)), "", VLOOKUP(A1347,'Discount Lookup'!D:E,2,FALSE)*G1347)</f>
        <v/>
      </c>
      <c r="V1347" s="78" t="str">
        <f>IF(NOT(ISNUMBER(G1347)), "", VLOOKUP(A1347,'Discount Lookup'!G:H,2,FALSE)*G1347)</f>
        <v/>
      </c>
      <c r="W1347" s="102">
        <f t="shared" si="968"/>
        <v>0</v>
      </c>
      <c r="X1347" s="102" t="str">
        <f t="shared" si="969"/>
        <v>White bloom</v>
      </c>
      <c r="Y1347" s="120" t="b">
        <f t="shared" si="970"/>
        <v>0</v>
      </c>
      <c r="Z1347" s="117">
        <f t="shared" si="971"/>
        <v>0</v>
      </c>
      <c r="AA1347" s="118"/>
      <c r="AB1347" s="118" t="str">
        <f t="shared" si="972"/>
        <v/>
      </c>
      <c r="AC1347" s="712" t="str">
        <f>IF(AE1347="T2G","no charge",IF(AND(OR(PlanterYesMe="No",PlanterYesMe="N",PlanterYesMe="me"),H1347=""),"",IF(H1347="credit","NO install",IF(AND(K1347="",AE1347="me"),"EACH row",IF(AND(K1347="images",AE1347="me"),"EACH row",IF(D1347="","",IF(H1347="credit","",IF(AE1347="free","re-planting",IF(AE1347="me","   not ELP, by",IF(AND(OR(PlanterYesMe="Yes",PlanterYesMe="Y"),G1347&gt;0),(VLOOKUP(A1347,'Discount Lookup'!J:K,2)*G1347*(1-PlanterDiscount)*(1+PlanterDifficultyPercentage)),IF(AE1347="ELP",(VLOOKUP(A1347,'Discount Lookup'!J:K,2)*G1347*(1-PlanterDiscount)*(1+PlanterDifficultyPercentage)),IF(AE1347="free","re-planting",IF(G1347=0,"",IF(PlanterYesMe="",IF(AE1347="me","   not ELP, by",IF(AE1347="",IF(G1347&gt;0,(VLOOKUP(A1347,'Discount Lookup'!J:K,2)*G1347*(1-PlanterDiscount)*(1+PlanterDifficultyPercentage)),""),"")),"   not ELP, by"))))))))))))))</f>
        <v/>
      </c>
      <c r="AD1347" s="712"/>
      <c r="AE1347" s="513" t="str">
        <f t="shared" si="973"/>
        <v/>
      </c>
      <c r="AF1347" s="713" t="str">
        <f t="shared" si="974"/>
        <v/>
      </c>
      <c r="AG1347" s="713"/>
      <c r="AH1347" s="713"/>
      <c r="AI1347" s="112">
        <f>IF(H1347="credit",0,IF(AE1347="free",0,IF(AE1347="me",0,IF(G1347&gt;0,(VLOOKUP(A1347,'Discount Lookup'!J:K,2)*G1347),0))))</f>
        <v>0</v>
      </c>
      <c r="AJ1347" s="107" t="str">
        <f t="shared" ca="1" si="975"/>
        <v/>
      </c>
      <c r="AK1347" s="714" t="str">
        <f t="shared" si="976"/>
        <v/>
      </c>
      <c r="AL1347" s="714"/>
      <c r="AM1347" s="114" t="str">
        <f t="shared" si="977"/>
        <v/>
      </c>
      <c r="AN1347" s="115"/>
      <c r="AO1347" s="116"/>
      <c r="AP1347" s="116"/>
      <c r="AQ1347" s="116"/>
      <c r="AR1347" s="116"/>
      <c r="AS1347" s="116"/>
      <c r="AT1347" s="116"/>
      <c r="AU1347" s="116"/>
      <c r="AV1347" s="78"/>
      <c r="AW1347" s="102"/>
      <c r="AX1347" s="78"/>
      <c r="AY1347" s="78"/>
      <c r="AZ1347" s="78"/>
      <c r="BA1347" s="78"/>
      <c r="BB1347" s="78"/>
      <c r="BC1347" s="78"/>
      <c r="BD1347" s="78"/>
      <c r="BE1347" s="465"/>
      <c r="BF1347" s="165" t="str">
        <f t="shared" si="978"/>
        <v>https://www.google.com/search?tbm=isch&amp;q=Cornus%20x%20elwinortonii%20%27Starlight%27%20Starlight%20Dogwood</v>
      </c>
      <c r="BG1347" s="165" t="str">
        <f t="shared" si="979"/>
        <v>C</v>
      </c>
      <c r="BH1347" s="65"/>
      <c r="BI1347" s="65"/>
      <c r="BJ1347" s="65"/>
      <c r="BK1347" s="65"/>
      <c r="BL1347" s="99"/>
      <c r="BM1347" s="99"/>
      <c r="BN1347" s="99"/>
    </row>
    <row r="1348" spans="1:66" s="51" customFormat="1" ht="15.75" x14ac:dyDescent="0.25">
      <c r="A1348" s="634">
        <v>7</v>
      </c>
      <c r="B1348" s="635" t="s">
        <v>291</v>
      </c>
      <c r="C1348" s="636" t="s">
        <v>2335</v>
      </c>
      <c r="D1348" s="637" t="s">
        <v>299</v>
      </c>
      <c r="E1348" s="638">
        <v>102.95</v>
      </c>
      <c r="F1348" s="639" t="s">
        <v>292</v>
      </c>
      <c r="G1348" s="484">
        <v>0</v>
      </c>
      <c r="H1348" s="691" t="str">
        <f>IF(G1348=0,"",IF(F1348="Buy",IF(G1348=1,"plant","plants"),IF(F1348&gt;0.01,"warranty","Error")))</f>
        <v/>
      </c>
      <c r="I1348" s="640">
        <f>IF(H1348="free",0,IF(H1348="credit",((E1348*(F1348))*G1348*-1),IF(F1348="Buy",(E1348*G1348),((E1348*(1-F1348))*G1348))))</f>
        <v>0</v>
      </c>
      <c r="J1348" s="640">
        <f>IF(H1348="warranty",0,(I1348*(_xlfn.SINGLE(SalesTaxPercentage))))</f>
        <v>0</v>
      </c>
      <c r="K1348" s="716">
        <f t="shared" ref="K1348" si="1005">I1348+J1348</f>
        <v>0</v>
      </c>
      <c r="L1348" s="716"/>
      <c r="M1348" s="689" t="str">
        <f ca="1">IF(AND(G1348&gt;0,E1348=0),"WARNING - no PRICE inserted",IF(H1348="free","FREE ~ no charge this plant",IF(H1348="credit",CONCATENATE("-$",ROUND(K1348*(1-_xlfn.SINGLE(T2GDiscount))*-1,2)," CREDIT after discount"),IF(_xlfn.SINGLE(T2GDiscount)=0,"",IF(G1348=0,"",IF(F1348="Buy",CONCATENATE("$",ROUND(K1348*(1-_xlfn.SINGLE(T2GDiscount)),2)," with ",(_xlfn.SINGLE(T2GDiscount)*100),"% discount"),CONCATENATE("$",ROUND(K1348*(1-_xlfn.SINGLE(T2GDiscount)),2)," with ",((_xlfn.SINGLE(T2GDiscount)*100+F1348*100)-(_xlfn.SINGLE(T2GDiscount)*100*F1348)),IF(F1348&gt;0,"% discounts",IF(_xlfn.SINGLE(NoWarrantyDiscount)&gt;0,"% discounts","% discount")))))))))</f>
        <v/>
      </c>
      <c r="N1348" s="690"/>
      <c r="O1348" s="486"/>
      <c r="P1348" s="486"/>
      <c r="Q1348" s="486"/>
      <c r="R1348" s="486"/>
      <c r="S1348" s="486"/>
      <c r="T1348" s="102">
        <f t="shared" si="967"/>
        <v>0</v>
      </c>
      <c r="U1348" s="78">
        <f>IF(NOT(ISNUMBER(G1348)), "", VLOOKUP(A1348,'Discount Lookup'!D:E,2,FALSE)*G1348)</f>
        <v>0</v>
      </c>
      <c r="V1348" s="78">
        <f>IF(NOT(ISNUMBER(G1348)), "", VLOOKUP(A1348,'Discount Lookup'!G:H,2,FALSE)*G1348)</f>
        <v>0</v>
      </c>
      <c r="W1348" s="102">
        <f t="shared" si="968"/>
        <v>0</v>
      </c>
      <c r="X1348" s="102">
        <f t="shared" si="969"/>
        <v>0</v>
      </c>
      <c r="Y1348" s="120" t="b">
        <f t="shared" si="970"/>
        <v>0</v>
      </c>
      <c r="Z1348" s="117">
        <f t="shared" si="971"/>
        <v>0</v>
      </c>
      <c r="AA1348" s="118"/>
      <c r="AB1348" s="118" t="str">
        <f t="shared" si="972"/>
        <v/>
      </c>
      <c r="AC1348" s="712" t="str">
        <f>IF(AE1348="T2G","no charge",IF(AND(OR(PlanterYesMe="No",PlanterYesMe="N",PlanterYesMe="me"),H1348=""),"",IF(H1348="credit","NO install",IF(AND(K1348="",AE1348="me"),"EACH row",IF(AND(K1348="images",AE1348="me"),"EACH row",IF(D1348="","",IF(H1348="credit","",IF(AE1348="free","re-planting",IF(AE1348="me","   not ELP, by",IF(AND(OR(PlanterYesMe="Yes",PlanterYesMe="Y"),G1348&gt;0),(VLOOKUP(A1348,'Discount Lookup'!J:K,2)*G1348*(1-PlanterDiscount)*(1+PlanterDifficultyPercentage)),IF(AE1348="ELP",(VLOOKUP(A1348,'Discount Lookup'!J:K,2)*G1348*(1-PlanterDiscount)*(1+PlanterDifficultyPercentage)),IF(AE1348="free","re-planting",IF(G1348=0,"",IF(PlanterYesMe="",IF(AE1348="me","   not ELP, by",IF(AE1348="",IF(G1348&gt;0,(VLOOKUP(A1348,'Discount Lookup'!J:K,2)*G1348*(1-PlanterDiscount)*(1+PlanterDifficultyPercentage)),""),"")),"   not ELP, by"))))))))))))))</f>
        <v/>
      </c>
      <c r="AD1348" s="712"/>
      <c r="AE1348" s="513" t="str">
        <f t="shared" si="973"/>
        <v/>
      </c>
      <c r="AF1348" s="713" t="str">
        <f t="shared" si="974"/>
        <v/>
      </c>
      <c r="AG1348" s="713"/>
      <c r="AH1348" s="713"/>
      <c r="AI1348" s="112">
        <f>IF(H1348="credit",0,IF(AE1348="free",0,IF(AE1348="me",0,IF(G1348&gt;0,(VLOOKUP(A1348,'Discount Lookup'!J:K,2)*G1348),0))))</f>
        <v>0</v>
      </c>
      <c r="AJ1348" s="107" t="str">
        <f t="shared" ca="1" si="975"/>
        <v/>
      </c>
      <c r="AK1348" s="714" t="str">
        <f t="shared" si="976"/>
        <v/>
      </c>
      <c r="AL1348" s="714"/>
      <c r="AM1348" s="114" t="str">
        <f t="shared" si="977"/>
        <v/>
      </c>
      <c r="AN1348" s="115"/>
      <c r="AO1348" s="116"/>
      <c r="AP1348" s="116"/>
      <c r="AQ1348" s="116"/>
      <c r="AR1348" s="116"/>
      <c r="AS1348" s="116"/>
      <c r="AT1348" s="116"/>
      <c r="AU1348" s="116"/>
      <c r="AV1348" s="78"/>
      <c r="AW1348" s="102"/>
      <c r="AX1348" s="78"/>
      <c r="AY1348" s="78"/>
      <c r="AZ1348" s="78"/>
      <c r="BA1348" s="78"/>
      <c r="BB1348" s="78"/>
      <c r="BC1348" s="78"/>
      <c r="BD1348" s="78"/>
      <c r="BE1348" s="465"/>
      <c r="BF1348" s="165" t="str">
        <f t="shared" si="978"/>
        <v>https://www.google.com/search?tbm=isch&amp;q=7%20G4</v>
      </c>
      <c r="BG1348" s="165" t="str">
        <f t="shared" si="979"/>
        <v>C</v>
      </c>
      <c r="BH1348" s="65"/>
      <c r="BI1348" s="65"/>
      <c r="BJ1348" s="65"/>
      <c r="BK1348" s="65"/>
      <c r="BL1348" s="99"/>
      <c r="BM1348" s="99"/>
      <c r="BN1348" s="99"/>
    </row>
    <row r="1349" spans="1:66" s="51" customFormat="1" ht="15.75" x14ac:dyDescent="0.25">
      <c r="A1349" s="634">
        <v>10</v>
      </c>
      <c r="B1349" s="635" t="s">
        <v>291</v>
      </c>
      <c r="C1349" s="636" t="s">
        <v>2336</v>
      </c>
      <c r="D1349" s="637" t="s">
        <v>299</v>
      </c>
      <c r="E1349" s="638">
        <v>160.94999999999999</v>
      </c>
      <c r="F1349" s="639" t="s">
        <v>292</v>
      </c>
      <c r="G1349" s="484">
        <v>0</v>
      </c>
      <c r="H1349" s="691" t="str">
        <f>IF(G1349=0,"",IF(F1349="Buy",IF(G1349=1,"plant","plants"),IF(F1349&gt;0.01,"warranty","Error")))</f>
        <v/>
      </c>
      <c r="I1349" s="640">
        <f>IF(H1349="free",0,IF(H1349="credit",((E1349*(F1349))*G1349*-1),IF(F1349="Buy",(E1349*G1349),((E1349*(1-F1349))*G1349))))</f>
        <v>0</v>
      </c>
      <c r="J1349" s="640">
        <f>IF(H1349="warranty",0,(I1349*(_xlfn.SINGLE(SalesTaxPercentage))))</f>
        <v>0</v>
      </c>
      <c r="K1349" s="716">
        <f t="shared" ref="K1349" si="1006">I1349+J1349</f>
        <v>0</v>
      </c>
      <c r="L1349" s="716"/>
      <c r="M1349" s="689" t="str">
        <f ca="1">IF(AND(G1349&gt;0,E1349=0),"WARNING - no PRICE inserted",IF(H1349="free","FREE ~ no charge this plant",IF(H1349="credit",CONCATENATE("-$",ROUND(K1349*(1-_xlfn.SINGLE(T2GDiscount))*-1,2)," CREDIT after discount"),IF(_xlfn.SINGLE(T2GDiscount)=0,"",IF(G1349=0,"",IF(F1349="Buy",CONCATENATE("$",ROUND(K1349*(1-_xlfn.SINGLE(T2GDiscount)),2)," with ",(_xlfn.SINGLE(T2GDiscount)*100),"% discount"),CONCATENATE("$",ROUND(K1349*(1-_xlfn.SINGLE(T2GDiscount)),2)," with ",((_xlfn.SINGLE(T2GDiscount)*100+F1349*100)-(_xlfn.SINGLE(T2GDiscount)*100*F1349)),IF(F1349&gt;0,"% discounts",IF(_xlfn.SINGLE(NoWarrantyDiscount)&gt;0,"% discounts","% discount")))))))))</f>
        <v/>
      </c>
      <c r="N1349" s="690"/>
      <c r="O1349" s="486"/>
      <c r="P1349" s="486"/>
      <c r="Q1349" s="486"/>
      <c r="R1349" s="486"/>
      <c r="S1349" s="486"/>
      <c r="T1349" s="102">
        <f t="shared" si="967"/>
        <v>0</v>
      </c>
      <c r="U1349" s="78">
        <f>IF(NOT(ISNUMBER(G1349)), "", VLOOKUP(A1349,'Discount Lookup'!D:E,2,FALSE)*G1349)</f>
        <v>0</v>
      </c>
      <c r="V1349" s="78">
        <f>IF(NOT(ISNUMBER(G1349)), "", VLOOKUP(A1349,'Discount Lookup'!G:H,2,FALSE)*G1349)</f>
        <v>0</v>
      </c>
      <c r="W1349" s="102">
        <f t="shared" si="968"/>
        <v>0</v>
      </c>
      <c r="X1349" s="102">
        <f t="shared" si="969"/>
        <v>0</v>
      </c>
      <c r="Y1349" s="120" t="b">
        <f t="shared" si="970"/>
        <v>0</v>
      </c>
      <c r="Z1349" s="117">
        <f t="shared" si="971"/>
        <v>0</v>
      </c>
      <c r="AA1349" s="118"/>
      <c r="AB1349" s="118" t="str">
        <f t="shared" si="972"/>
        <v/>
      </c>
      <c r="AC1349" s="712" t="str">
        <f>IF(AE1349="T2G","no charge",IF(AND(OR(PlanterYesMe="No",PlanterYesMe="N",PlanterYesMe="me"),H1349=""),"",IF(H1349="credit","NO install",IF(AND(K1349="",AE1349="me"),"EACH row",IF(AND(K1349="images",AE1349="me"),"EACH row",IF(D1349="","",IF(H1349="credit","",IF(AE1349="free","re-planting",IF(AE1349="me","   not ELP, by",IF(AND(OR(PlanterYesMe="Yes",PlanterYesMe="Y"),G1349&gt;0),(VLOOKUP(A1349,'Discount Lookup'!J:K,2)*G1349*(1-PlanterDiscount)*(1+PlanterDifficultyPercentage)),IF(AE1349="ELP",(VLOOKUP(A1349,'Discount Lookup'!J:K,2)*G1349*(1-PlanterDiscount)*(1+PlanterDifficultyPercentage)),IF(AE1349="free","re-planting",IF(G1349=0,"",IF(PlanterYesMe="",IF(AE1349="me","   not ELP, by",IF(AE1349="",IF(G1349&gt;0,(VLOOKUP(A1349,'Discount Lookup'!J:K,2)*G1349*(1-PlanterDiscount)*(1+PlanterDifficultyPercentage)),""),"")),"   not ELP, by"))))))))))))))</f>
        <v/>
      </c>
      <c r="AD1349" s="712"/>
      <c r="AE1349" s="513" t="str">
        <f t="shared" si="973"/>
        <v/>
      </c>
      <c r="AF1349" s="713" t="str">
        <f t="shared" si="974"/>
        <v/>
      </c>
      <c r="AG1349" s="713"/>
      <c r="AH1349" s="713"/>
      <c r="AI1349" s="112">
        <f>IF(H1349="credit",0,IF(AE1349="free",0,IF(AE1349="me",0,IF(G1349&gt;0,(VLOOKUP(A1349,'Discount Lookup'!J:K,2)*G1349),0))))</f>
        <v>0</v>
      </c>
      <c r="AJ1349" s="107" t="str">
        <f t="shared" ca="1" si="975"/>
        <v/>
      </c>
      <c r="AK1349" s="714" t="str">
        <f t="shared" si="976"/>
        <v/>
      </c>
      <c r="AL1349" s="714"/>
      <c r="AM1349" s="114" t="str">
        <f t="shared" si="977"/>
        <v/>
      </c>
      <c r="AN1349" s="115"/>
      <c r="AO1349" s="116"/>
      <c r="AP1349" s="116"/>
      <c r="AQ1349" s="116"/>
      <c r="AR1349" s="116"/>
      <c r="AS1349" s="116"/>
      <c r="AT1349" s="116"/>
      <c r="AU1349" s="116"/>
      <c r="AV1349" s="78"/>
      <c r="AW1349" s="102"/>
      <c r="AX1349" s="78"/>
      <c r="AY1349" s="78"/>
      <c r="AZ1349" s="78"/>
      <c r="BA1349" s="78"/>
      <c r="BB1349" s="78"/>
      <c r="BC1349" s="78"/>
      <c r="BD1349" s="78"/>
      <c r="BE1349" s="465"/>
      <c r="BF1349" s="165" t="str">
        <f t="shared" si="978"/>
        <v>https://www.google.com/search?tbm=isch&amp;q=10%20G4</v>
      </c>
      <c r="BG1349" s="165" t="str">
        <f t="shared" si="979"/>
        <v>C</v>
      </c>
      <c r="BH1349" s="65"/>
      <c r="BI1349" s="65"/>
      <c r="BJ1349" s="65"/>
      <c r="BK1349" s="65"/>
      <c r="BL1349" s="99"/>
      <c r="BM1349" s="99"/>
      <c r="BN1349" s="99"/>
    </row>
    <row r="1350" spans="1:66" s="51" customFormat="1" ht="15.75" x14ac:dyDescent="0.25">
      <c r="A1350" s="634">
        <v>15</v>
      </c>
      <c r="B1350" s="635" t="s">
        <v>291</v>
      </c>
      <c r="C1350" s="636" t="s">
        <v>4711</v>
      </c>
      <c r="D1350" s="637" t="s">
        <v>299</v>
      </c>
      <c r="E1350" s="638">
        <v>183.95</v>
      </c>
      <c r="F1350" s="639" t="s">
        <v>292</v>
      </c>
      <c r="G1350" s="484">
        <v>0</v>
      </c>
      <c r="H1350" s="691" t="str">
        <f>IF(G1350=0,"",IF(F1350="Buy",IF(G1350=1,"plant","plants"),IF(F1350&gt;0.01,"warranty","Error")))</f>
        <v/>
      </c>
      <c r="I1350" s="640">
        <f>IF(H1350="free",0,IF(H1350="credit",((E1350*(F1350))*G1350*-1),IF(F1350="Buy",(E1350*G1350),((E1350*(1-F1350))*G1350))))</f>
        <v>0</v>
      </c>
      <c r="J1350" s="640">
        <f>IF(H1350="warranty",0,(I1350*(_xlfn.SINGLE(SalesTaxPercentage))))</f>
        <v>0</v>
      </c>
      <c r="K1350" s="716">
        <f t="shared" ref="K1350" si="1007">I1350+J1350</f>
        <v>0</v>
      </c>
      <c r="L1350" s="716"/>
      <c r="M1350" s="689" t="str">
        <f ca="1">IF(AND(G1350&gt;0,E1350=0),"WARNING - no PRICE inserted",IF(H1350="free","FREE ~ no charge this plant",IF(H1350="credit",CONCATENATE("-$",ROUND(K1350*(1-_xlfn.SINGLE(T2GDiscount))*-1,2)," CREDIT after discount"),IF(_xlfn.SINGLE(T2GDiscount)=0,"",IF(G1350=0,"",IF(F1350="Buy",CONCATENATE("$",ROUND(K1350*(1-_xlfn.SINGLE(T2GDiscount)),2)," with ",(_xlfn.SINGLE(T2GDiscount)*100),"% discount"),CONCATENATE("$",ROUND(K1350*(1-_xlfn.SINGLE(T2GDiscount)),2)," with ",((_xlfn.SINGLE(T2GDiscount)*100+F1350*100)-(_xlfn.SINGLE(T2GDiscount)*100*F1350)),IF(F1350&gt;0,"% discounts",IF(_xlfn.SINGLE(NoWarrantyDiscount)&gt;0,"% discounts","% discount")))))))))</f>
        <v/>
      </c>
      <c r="N1350" s="690"/>
      <c r="O1350" s="486"/>
      <c r="P1350" s="486"/>
      <c r="Q1350" s="486"/>
      <c r="R1350" s="486"/>
      <c r="S1350" s="486"/>
      <c r="T1350" s="102">
        <f t="shared" si="967"/>
        <v>0</v>
      </c>
      <c r="U1350" s="78">
        <f>IF(NOT(ISNUMBER(G1350)), "", VLOOKUP(A1350,'Discount Lookup'!D:E,2,FALSE)*G1350)</f>
        <v>0</v>
      </c>
      <c r="V1350" s="78">
        <f>IF(NOT(ISNUMBER(G1350)), "", VLOOKUP(A1350,'Discount Lookup'!G:H,2,FALSE)*G1350)</f>
        <v>0</v>
      </c>
      <c r="W1350" s="102">
        <f t="shared" si="968"/>
        <v>0</v>
      </c>
      <c r="X1350" s="102">
        <f t="shared" si="969"/>
        <v>0</v>
      </c>
      <c r="Y1350" s="120" t="b">
        <f t="shared" si="970"/>
        <v>0</v>
      </c>
      <c r="Z1350" s="117">
        <f t="shared" si="971"/>
        <v>0</v>
      </c>
      <c r="AA1350" s="118"/>
      <c r="AB1350" s="118" t="str">
        <f t="shared" si="972"/>
        <v/>
      </c>
      <c r="AC1350" s="712" t="str">
        <f>IF(AE1350="T2G","no charge",IF(AND(OR(PlanterYesMe="No",PlanterYesMe="N",PlanterYesMe="me"),H1350=""),"",IF(H1350="credit","NO install",IF(AND(K1350="",AE1350="me"),"EACH row",IF(AND(K1350="images",AE1350="me"),"EACH row",IF(D1350="","",IF(H1350="credit","",IF(AE1350="free","re-planting",IF(AE1350="me","   not ELP, by",IF(AND(OR(PlanterYesMe="Yes",PlanterYesMe="Y"),G1350&gt;0),(VLOOKUP(A1350,'Discount Lookup'!J:K,2)*G1350*(1-PlanterDiscount)*(1+PlanterDifficultyPercentage)),IF(AE1350="ELP",(VLOOKUP(A1350,'Discount Lookup'!J:K,2)*G1350*(1-PlanterDiscount)*(1+PlanterDifficultyPercentage)),IF(AE1350="free","re-planting",IF(G1350=0,"",IF(PlanterYesMe="",IF(AE1350="me","   not ELP, by",IF(AE1350="",IF(G1350&gt;0,(VLOOKUP(A1350,'Discount Lookup'!J:K,2)*G1350*(1-PlanterDiscount)*(1+PlanterDifficultyPercentage)),""),"")),"   not ELP, by"))))))))))))))</f>
        <v/>
      </c>
      <c r="AD1350" s="712"/>
      <c r="AE1350" s="513" t="str">
        <f t="shared" si="973"/>
        <v/>
      </c>
      <c r="AF1350" s="713" t="str">
        <f t="shared" si="974"/>
        <v/>
      </c>
      <c r="AG1350" s="713"/>
      <c r="AH1350" s="713"/>
      <c r="AI1350" s="112">
        <f>IF(H1350="credit",0,IF(AE1350="free",0,IF(AE1350="me",0,IF(G1350&gt;0,(VLOOKUP(A1350,'Discount Lookup'!J:K,2)*G1350),0))))</f>
        <v>0</v>
      </c>
      <c r="AJ1350" s="107" t="str">
        <f t="shared" ca="1" si="975"/>
        <v/>
      </c>
      <c r="AK1350" s="714" t="str">
        <f t="shared" si="976"/>
        <v/>
      </c>
      <c r="AL1350" s="714"/>
      <c r="AM1350" s="114" t="str">
        <f t="shared" si="977"/>
        <v/>
      </c>
      <c r="AN1350" s="115"/>
      <c r="AO1350" s="116"/>
      <c r="AP1350" s="116"/>
      <c r="AQ1350" s="116"/>
      <c r="AR1350" s="116"/>
      <c r="AS1350" s="116"/>
      <c r="AT1350" s="116"/>
      <c r="AU1350" s="116"/>
      <c r="AV1350" s="78"/>
      <c r="AW1350" s="102"/>
      <c r="AX1350" s="78"/>
      <c r="AY1350" s="78"/>
      <c r="AZ1350" s="78"/>
      <c r="BA1350" s="78"/>
      <c r="BB1350" s="78"/>
      <c r="BC1350" s="78"/>
      <c r="BD1350" s="78"/>
      <c r="BE1350" s="465"/>
      <c r="BF1350" s="165" t="str">
        <f t="shared" si="978"/>
        <v>https://www.google.com/search?tbm=isch&amp;q=15%20G4</v>
      </c>
      <c r="BG1350" s="165" t="str">
        <f t="shared" si="979"/>
        <v>C</v>
      </c>
      <c r="BH1350" s="65"/>
      <c r="BI1350" s="65"/>
      <c r="BJ1350" s="65"/>
      <c r="BK1350" s="65"/>
      <c r="BL1350" s="99"/>
      <c r="BM1350" s="99"/>
      <c r="BN1350" s="99"/>
    </row>
    <row r="1351" spans="1:66" s="51" customFormat="1" ht="17.25" thickBot="1" x14ac:dyDescent="0.3">
      <c r="A1351" s="641" t="s">
        <v>2337</v>
      </c>
      <c r="B1351" s="642"/>
      <c r="C1351" s="710"/>
      <c r="D1351" s="643"/>
      <c r="E1351" s="643"/>
      <c r="F1351" s="644"/>
      <c r="G1351" s="645"/>
      <c r="H1351" s="646"/>
      <c r="I1351" s="647"/>
      <c r="J1351" s="648"/>
      <c r="K1351" s="649"/>
      <c r="L1351" s="650"/>
      <c r="M1351" s="650"/>
      <c r="N1351" s="644"/>
      <c r="O1351" s="644"/>
      <c r="P1351" s="644"/>
      <c r="Q1351" s="644"/>
      <c r="R1351" s="644"/>
      <c r="S1351" s="701" t="s">
        <v>5271</v>
      </c>
      <c r="T1351" s="102">
        <f t="shared" si="967"/>
        <v>0</v>
      </c>
      <c r="U1351" s="78" t="str">
        <f>IF(NOT(ISNUMBER(G1351)), "", VLOOKUP(A1351,'Discount Lookup'!D:E,2,FALSE)*G1351)</f>
        <v/>
      </c>
      <c r="V1351" s="78" t="str">
        <f>IF(NOT(ISNUMBER(G1351)), "", VLOOKUP(A1351,'Discount Lookup'!G:H,2,FALSE)*G1351)</f>
        <v/>
      </c>
      <c r="W1351" s="102">
        <f t="shared" si="968"/>
        <v>0</v>
      </c>
      <c r="X1351" s="102">
        <f t="shared" si="969"/>
        <v>0</v>
      </c>
      <c r="Y1351" s="120" t="b">
        <f t="shared" si="970"/>
        <v>0</v>
      </c>
      <c r="Z1351" s="117">
        <f t="shared" si="971"/>
        <v>0</v>
      </c>
      <c r="AA1351" s="118"/>
      <c r="AB1351" s="118" t="str">
        <f t="shared" si="972"/>
        <v/>
      </c>
      <c r="AC1351" s="712" t="str">
        <f>IF(AE1351="T2G","no charge",IF(AND(OR(PlanterYesMe="No",PlanterYesMe="N",PlanterYesMe="me"),H1351=""),"",IF(H1351="credit","NO install",IF(AND(K1351="",AE1351="me"),"EACH row",IF(AND(K1351="images",AE1351="me"),"EACH row",IF(D1351="","",IF(H1351="credit","",IF(AE1351="free","re-planting",IF(AE1351="me","   not ELP, by",IF(AND(OR(PlanterYesMe="Yes",PlanterYesMe="Y"),G1351&gt;0),(VLOOKUP(A1351,'Discount Lookup'!J:K,2)*G1351*(1-PlanterDiscount)*(1+PlanterDifficultyPercentage)),IF(AE1351="ELP",(VLOOKUP(A1351,'Discount Lookup'!J:K,2)*G1351*(1-PlanterDiscount)*(1+PlanterDifficultyPercentage)),IF(AE1351="free","re-planting",IF(G1351=0,"",IF(PlanterYesMe="",IF(AE1351="me","   not ELP, by",IF(AE1351="",IF(G1351&gt;0,(VLOOKUP(A1351,'Discount Lookup'!J:K,2)*G1351*(1-PlanterDiscount)*(1+PlanterDifficultyPercentage)),""),"")),"   not ELP, by"))))))))))))))</f>
        <v/>
      </c>
      <c r="AD1351" s="712"/>
      <c r="AE1351" s="513" t="str">
        <f t="shared" si="973"/>
        <v/>
      </c>
      <c r="AF1351" s="713" t="str">
        <f t="shared" si="974"/>
        <v/>
      </c>
      <c r="AG1351" s="713"/>
      <c r="AH1351" s="713"/>
      <c r="AI1351" s="112">
        <f>IF(H1351="credit",0,IF(AE1351="free",0,IF(AE1351="me",0,IF(G1351&gt;0,(VLOOKUP(A1351,'Discount Lookup'!J:K,2)*G1351),0))))</f>
        <v>0</v>
      </c>
      <c r="AJ1351" s="107" t="str">
        <f t="shared" ca="1" si="975"/>
        <v/>
      </c>
      <c r="AK1351" s="714" t="str">
        <f t="shared" si="976"/>
        <v/>
      </c>
      <c r="AL1351" s="714"/>
      <c r="AM1351" s="114" t="str">
        <f t="shared" si="977"/>
        <v/>
      </c>
      <c r="AN1351" s="115"/>
      <c r="AO1351" s="116"/>
      <c r="AP1351" s="116"/>
      <c r="AQ1351" s="116"/>
      <c r="AR1351" s="116"/>
      <c r="AS1351" s="116"/>
      <c r="AT1351" s="116"/>
      <c r="AU1351" s="116"/>
      <c r="AV1351" s="78"/>
      <c r="AW1351" s="102"/>
      <c r="AX1351" s="78"/>
      <c r="AY1351" s="78"/>
      <c r="AZ1351" s="78"/>
      <c r="BA1351" s="78"/>
      <c r="BB1351" s="78"/>
      <c r="BC1351" s="78"/>
      <c r="BD1351" s="78"/>
      <c r="BE1351" s="465"/>
      <c r="BF1351" s="165" t="str">
        <f t="shared" si="978"/>
        <v>https://www.google.com/search?tbm=isch&amp;q=Starlight%20is%20a%20sturdy%20Dogwood%2C%20with%20good%20drought%20tolerance%2C%20and%20good%20insect%20and%20disease%20resistance%20</v>
      </c>
      <c r="BG1351" s="165" t="str">
        <f t="shared" si="979"/>
        <v>S</v>
      </c>
      <c r="BH1351" s="65"/>
      <c r="BI1351" s="65"/>
      <c r="BJ1351" s="65"/>
      <c r="BK1351" s="65"/>
      <c r="BL1351" s="99"/>
      <c r="BM1351" s="99"/>
      <c r="BN1351" s="99"/>
    </row>
    <row r="1352" spans="1:66" s="51" customFormat="1" ht="18" x14ac:dyDescent="0.25">
      <c r="A1352" s="623" t="s">
        <v>2338</v>
      </c>
      <c r="B1352" s="624"/>
      <c r="C1352" s="709"/>
      <c r="D1352" s="625" t="s">
        <v>5646</v>
      </c>
      <c r="E1352" s="626"/>
      <c r="F1352" s="626"/>
      <c r="G1352" s="626"/>
      <c r="H1352" s="622" t="s">
        <v>1174</v>
      </c>
      <c r="I1352" s="627" t="s">
        <v>1458</v>
      </c>
      <c r="J1352" s="628"/>
      <c r="K1352" s="628"/>
      <c r="L1352" s="629"/>
      <c r="M1352" s="700" t="s">
        <v>5249</v>
      </c>
      <c r="N1352" s="693" t="str">
        <f>IF(AND(ISTEXT($A1352), ISERROR($A1352+0)), HYPERLINK($BF1352, "Images"), "")</f>
        <v>Images</v>
      </c>
      <c r="O1352" s="695" t="s">
        <v>5247</v>
      </c>
      <c r="P1352" s="630"/>
      <c r="Q1352" s="631"/>
      <c r="R1352" s="632"/>
      <c r="S1352" s="633" t="s">
        <v>294</v>
      </c>
      <c r="T1352" s="102">
        <f t="shared" si="967"/>
        <v>0</v>
      </c>
      <c r="U1352" s="78" t="str">
        <f>IF(NOT(ISNUMBER(G1352)), "", VLOOKUP(A1352,'Discount Lookup'!D:E,2,FALSE)*G1352)</f>
        <v/>
      </c>
      <c r="V1352" s="78" t="str">
        <f>IF(NOT(ISNUMBER(G1352)), "", VLOOKUP(A1352,'Discount Lookup'!G:H,2,FALSE)*G1352)</f>
        <v/>
      </c>
      <c r="W1352" s="102">
        <f t="shared" si="968"/>
        <v>0</v>
      </c>
      <c r="X1352" s="102" t="str">
        <f t="shared" si="969"/>
        <v>Pink bloom</v>
      </c>
      <c r="Y1352" s="120" t="b">
        <f t="shared" si="970"/>
        <v>0</v>
      </c>
      <c r="Z1352" s="117">
        <f t="shared" si="971"/>
        <v>0</v>
      </c>
      <c r="AA1352" s="118"/>
      <c r="AB1352" s="118" t="str">
        <f t="shared" si="972"/>
        <v/>
      </c>
      <c r="AC1352" s="712" t="str">
        <f>IF(AE1352="T2G","no charge",IF(AND(OR(PlanterYesMe="No",PlanterYesMe="N",PlanterYesMe="me"),H1352=""),"",IF(H1352="credit","NO install",IF(AND(K1352="",AE1352="me"),"EACH row",IF(AND(K1352="images",AE1352="me"),"EACH row",IF(D1352="","",IF(H1352="credit","",IF(AE1352="free","re-planting",IF(AE1352="me","   not ELP, by",IF(AND(OR(PlanterYesMe="Yes",PlanterYesMe="Y"),G1352&gt;0),(VLOOKUP(A1352,'Discount Lookup'!J:K,2)*G1352*(1-PlanterDiscount)*(1+PlanterDifficultyPercentage)),IF(AE1352="ELP",(VLOOKUP(A1352,'Discount Lookup'!J:K,2)*G1352*(1-PlanterDiscount)*(1+PlanterDifficultyPercentage)),IF(AE1352="free","re-planting",IF(G1352=0,"",IF(PlanterYesMe="",IF(AE1352="me","   not ELP, by",IF(AE1352="",IF(G1352&gt;0,(VLOOKUP(A1352,'Discount Lookup'!J:K,2)*G1352*(1-PlanterDiscount)*(1+PlanterDifficultyPercentage)),""),"")),"   not ELP, by"))))))))))))))</f>
        <v/>
      </c>
      <c r="AD1352" s="712"/>
      <c r="AE1352" s="513" t="str">
        <f t="shared" si="973"/>
        <v/>
      </c>
      <c r="AF1352" s="713" t="str">
        <f t="shared" si="974"/>
        <v/>
      </c>
      <c r="AG1352" s="713"/>
      <c r="AH1352" s="713"/>
      <c r="AI1352" s="112">
        <f>IF(H1352="credit",0,IF(AE1352="free",0,IF(AE1352="me",0,IF(G1352&gt;0,(VLOOKUP(A1352,'Discount Lookup'!J:K,2)*G1352),0))))</f>
        <v>0</v>
      </c>
      <c r="AJ1352" s="107" t="str">
        <f t="shared" ca="1" si="975"/>
        <v/>
      </c>
      <c r="AK1352" s="714" t="str">
        <f t="shared" si="976"/>
        <v/>
      </c>
      <c r="AL1352" s="714"/>
      <c r="AM1352" s="114" t="str">
        <f t="shared" si="977"/>
        <v/>
      </c>
      <c r="AN1352" s="115"/>
      <c r="AO1352" s="116"/>
      <c r="AP1352" s="116"/>
      <c r="AQ1352" s="116"/>
      <c r="AR1352" s="116"/>
      <c r="AS1352" s="116"/>
      <c r="AT1352" s="116"/>
      <c r="AU1352" s="116"/>
      <c r="AV1352" s="78"/>
      <c r="AW1352" s="102"/>
      <c r="AX1352" s="78"/>
      <c r="AY1352" s="78"/>
      <c r="AZ1352" s="78"/>
      <c r="BA1352" s="78"/>
      <c r="BB1352" s="78"/>
      <c r="BC1352" s="78"/>
      <c r="BD1352" s="78"/>
      <c r="BE1352" s="465"/>
      <c r="BF1352" s="165" t="str">
        <f t="shared" si="978"/>
        <v>https://www.google.com/search?tbm=isch&amp;q=Cornus%20x%20florida%20%27Retgen%27%20PP%237207Exp.%20Stellar%20Pink%E2%84%A2%20Dogwood</v>
      </c>
      <c r="BG1352" s="165" t="str">
        <f t="shared" si="979"/>
        <v>C</v>
      </c>
      <c r="BH1352" s="65"/>
      <c r="BI1352" s="65"/>
      <c r="BJ1352" s="65"/>
      <c r="BK1352" s="65"/>
      <c r="BL1352" s="99"/>
      <c r="BM1352" s="99"/>
      <c r="BN1352" s="99"/>
    </row>
    <row r="1353" spans="1:66" s="51" customFormat="1" ht="15.75" x14ac:dyDescent="0.25">
      <c r="A1353" s="634">
        <v>5</v>
      </c>
      <c r="B1353" s="635" t="s">
        <v>291</v>
      </c>
      <c r="C1353" s="636" t="s">
        <v>970</v>
      </c>
      <c r="D1353" s="637" t="s">
        <v>299</v>
      </c>
      <c r="E1353" s="638">
        <v>81.95</v>
      </c>
      <c r="F1353" s="639" t="s">
        <v>292</v>
      </c>
      <c r="G1353" s="484">
        <v>0</v>
      </c>
      <c r="H1353" s="691" t="str">
        <f>IF(G1353=0,"",IF(F1353="Buy",IF(G1353=1,"plant","plants"),IF(F1353&gt;0.01,"warranty","Error")))</f>
        <v/>
      </c>
      <c r="I1353" s="640">
        <f>IF(H1353="free",0,IF(H1353="credit",((E1353*(F1353))*G1353*-1),IF(F1353="Buy",(E1353*G1353),((E1353*(1-F1353))*G1353))))</f>
        <v>0</v>
      </c>
      <c r="J1353" s="640">
        <f>IF(H1353="warranty",0,(I1353*(_xlfn.SINGLE(SalesTaxPercentage))))</f>
        <v>0</v>
      </c>
      <c r="K1353" s="716">
        <f t="shared" ref="K1353" si="1008">I1353+J1353</f>
        <v>0</v>
      </c>
      <c r="L1353" s="716"/>
      <c r="M1353" s="689" t="str">
        <f ca="1">IF(AND(G1353&gt;0,E1353=0),"WARNING - no PRICE inserted",IF(H1353="free","FREE ~ no charge this plant",IF(H1353="credit",CONCATENATE("-$",ROUND(K1353*(1-_xlfn.SINGLE(T2GDiscount))*-1,2)," CREDIT after discount"),IF(_xlfn.SINGLE(T2GDiscount)=0,"",IF(G1353=0,"",IF(F1353="Buy",CONCATENATE("$",ROUND(K1353*(1-_xlfn.SINGLE(T2GDiscount)),2)," with ",(_xlfn.SINGLE(T2GDiscount)*100),"% discount"),CONCATENATE("$",ROUND(K1353*(1-_xlfn.SINGLE(T2GDiscount)),2)," with ",((_xlfn.SINGLE(T2GDiscount)*100+F1353*100)-(_xlfn.SINGLE(T2GDiscount)*100*F1353)),IF(F1353&gt;0,"% discounts",IF(_xlfn.SINGLE(NoWarrantyDiscount)&gt;0,"% discounts","% discount")))))))))</f>
        <v/>
      </c>
      <c r="N1353" s="690"/>
      <c r="O1353" s="486"/>
      <c r="P1353" s="486"/>
      <c r="Q1353" s="486"/>
      <c r="R1353" s="486"/>
      <c r="S1353" s="486"/>
      <c r="T1353" s="102">
        <f t="shared" si="967"/>
        <v>0</v>
      </c>
      <c r="U1353" s="78">
        <f>IF(NOT(ISNUMBER(G1353)), "", VLOOKUP(A1353,'Discount Lookup'!D:E,2,FALSE)*G1353)</f>
        <v>0</v>
      </c>
      <c r="V1353" s="78">
        <f>IF(NOT(ISNUMBER(G1353)), "", VLOOKUP(A1353,'Discount Lookup'!G:H,2,FALSE)*G1353)</f>
        <v>0</v>
      </c>
      <c r="W1353" s="102">
        <f t="shared" si="968"/>
        <v>0</v>
      </c>
      <c r="X1353" s="102">
        <f t="shared" si="969"/>
        <v>0</v>
      </c>
      <c r="Y1353" s="120" t="b">
        <f t="shared" si="970"/>
        <v>0</v>
      </c>
      <c r="Z1353" s="117">
        <f t="shared" si="971"/>
        <v>0</v>
      </c>
      <c r="AA1353" s="118"/>
      <c r="AB1353" s="118" t="str">
        <f t="shared" si="972"/>
        <v/>
      </c>
      <c r="AC1353" s="712" t="str">
        <f>IF(AE1353="T2G","no charge",IF(AND(OR(PlanterYesMe="No",PlanterYesMe="N",PlanterYesMe="me"),H1353=""),"",IF(H1353="credit","NO install",IF(AND(K1353="",AE1353="me"),"EACH row",IF(AND(K1353="images",AE1353="me"),"EACH row",IF(D1353="","",IF(H1353="credit","",IF(AE1353="free","re-planting",IF(AE1353="me","   not ELP, by",IF(AND(OR(PlanterYesMe="Yes",PlanterYesMe="Y"),G1353&gt;0),(VLOOKUP(A1353,'Discount Lookup'!J:K,2)*G1353*(1-PlanterDiscount)*(1+PlanterDifficultyPercentage)),IF(AE1353="ELP",(VLOOKUP(A1353,'Discount Lookup'!J:K,2)*G1353*(1-PlanterDiscount)*(1+PlanterDifficultyPercentage)),IF(AE1353="free","re-planting",IF(G1353=0,"",IF(PlanterYesMe="",IF(AE1353="me","   not ELP, by",IF(AE1353="",IF(G1353&gt;0,(VLOOKUP(A1353,'Discount Lookup'!J:K,2)*G1353*(1-PlanterDiscount)*(1+PlanterDifficultyPercentage)),""),"")),"   not ELP, by"))))))))))))))</f>
        <v/>
      </c>
      <c r="AD1353" s="712"/>
      <c r="AE1353" s="513" t="str">
        <f t="shared" si="973"/>
        <v/>
      </c>
      <c r="AF1353" s="713" t="str">
        <f t="shared" si="974"/>
        <v/>
      </c>
      <c r="AG1353" s="713"/>
      <c r="AH1353" s="713"/>
      <c r="AI1353" s="112">
        <f>IF(H1353="credit",0,IF(AE1353="free",0,IF(AE1353="me",0,IF(G1353&gt;0,(VLOOKUP(A1353,'Discount Lookup'!J:K,2)*G1353),0))))</f>
        <v>0</v>
      </c>
      <c r="AJ1353" s="107" t="str">
        <f t="shared" ca="1" si="975"/>
        <v/>
      </c>
      <c r="AK1353" s="714" t="str">
        <f t="shared" si="976"/>
        <v/>
      </c>
      <c r="AL1353" s="714"/>
      <c r="AM1353" s="114" t="str">
        <f t="shared" si="977"/>
        <v/>
      </c>
      <c r="AN1353" s="115"/>
      <c r="AO1353" s="116"/>
      <c r="AP1353" s="116"/>
      <c r="AQ1353" s="116"/>
      <c r="AR1353" s="116"/>
      <c r="AS1353" s="116"/>
      <c r="AT1353" s="116"/>
      <c r="AU1353" s="116"/>
      <c r="AV1353" s="78"/>
      <c r="AW1353" s="102"/>
      <c r="AX1353" s="78"/>
      <c r="AY1353" s="78"/>
      <c r="AZ1353" s="78"/>
      <c r="BA1353" s="78"/>
      <c r="BB1353" s="78"/>
      <c r="BC1353" s="78"/>
      <c r="BD1353" s="78"/>
      <c r="BE1353" s="465"/>
      <c r="BF1353" s="165" t="str">
        <f t="shared" si="978"/>
        <v>https://www.google.com/search?tbm=isch&amp;q=5%20G4</v>
      </c>
      <c r="BG1353" s="165" t="str">
        <f t="shared" si="979"/>
        <v>C</v>
      </c>
      <c r="BH1353" s="65"/>
      <c r="BI1353" s="65"/>
      <c r="BJ1353" s="65"/>
      <c r="BK1353" s="65"/>
      <c r="BL1353" s="99"/>
      <c r="BM1353" s="99"/>
      <c r="BN1353" s="99"/>
    </row>
    <row r="1354" spans="1:66" s="51" customFormat="1" ht="15.75" x14ac:dyDescent="0.25">
      <c r="A1354" s="634">
        <v>7</v>
      </c>
      <c r="B1354" s="635" t="s">
        <v>291</v>
      </c>
      <c r="C1354" s="636" t="s">
        <v>919</v>
      </c>
      <c r="D1354" s="637" t="s">
        <v>299</v>
      </c>
      <c r="E1354" s="638">
        <v>104.95</v>
      </c>
      <c r="F1354" s="639" t="s">
        <v>292</v>
      </c>
      <c r="G1354" s="484">
        <v>0</v>
      </c>
      <c r="H1354" s="691" t="str">
        <f>IF(G1354=0,"",IF(F1354="Buy",IF(G1354=1,"plant","plants"),IF(F1354&gt;0.01,"warranty","Error")))</f>
        <v/>
      </c>
      <c r="I1354" s="640">
        <f>IF(H1354="free",0,IF(H1354="credit",((E1354*(F1354))*G1354*-1),IF(F1354="Buy",(E1354*G1354),((E1354*(1-F1354))*G1354))))</f>
        <v>0</v>
      </c>
      <c r="J1354" s="640">
        <f>IF(H1354="warranty",0,(I1354*(_xlfn.SINGLE(SalesTaxPercentage))))</f>
        <v>0</v>
      </c>
      <c r="K1354" s="716">
        <f t="shared" ref="K1354" si="1009">I1354+J1354</f>
        <v>0</v>
      </c>
      <c r="L1354" s="716"/>
      <c r="M1354" s="689" t="str">
        <f ca="1">IF(AND(G1354&gt;0,E1354=0),"WARNING - no PRICE inserted",IF(H1354="free","FREE ~ no charge this plant",IF(H1354="credit",CONCATENATE("-$",ROUND(K1354*(1-_xlfn.SINGLE(T2GDiscount))*-1,2)," CREDIT after discount"),IF(_xlfn.SINGLE(T2GDiscount)=0,"",IF(G1354=0,"",IF(F1354="Buy",CONCATENATE("$",ROUND(K1354*(1-_xlfn.SINGLE(T2GDiscount)),2)," with ",(_xlfn.SINGLE(T2GDiscount)*100),"% discount"),CONCATENATE("$",ROUND(K1354*(1-_xlfn.SINGLE(T2GDiscount)),2)," with ",((_xlfn.SINGLE(T2GDiscount)*100+F1354*100)-(_xlfn.SINGLE(T2GDiscount)*100*F1354)),IF(F1354&gt;0,"% discounts",IF(_xlfn.SINGLE(NoWarrantyDiscount)&gt;0,"% discounts","% discount")))))))))</f>
        <v/>
      </c>
      <c r="N1354" s="690"/>
      <c r="O1354" s="486"/>
      <c r="P1354" s="486"/>
      <c r="Q1354" s="486"/>
      <c r="R1354" s="486"/>
      <c r="S1354" s="486"/>
      <c r="T1354" s="102">
        <f t="shared" si="967"/>
        <v>0</v>
      </c>
      <c r="U1354" s="78">
        <f>IF(NOT(ISNUMBER(G1354)), "", VLOOKUP(A1354,'Discount Lookup'!D:E,2,FALSE)*G1354)</f>
        <v>0</v>
      </c>
      <c r="V1354" s="78">
        <f>IF(NOT(ISNUMBER(G1354)), "", VLOOKUP(A1354,'Discount Lookup'!G:H,2,FALSE)*G1354)</f>
        <v>0</v>
      </c>
      <c r="W1354" s="102">
        <f t="shared" si="968"/>
        <v>0</v>
      </c>
      <c r="X1354" s="102">
        <f t="shared" si="969"/>
        <v>0</v>
      </c>
      <c r="Y1354" s="120" t="b">
        <f t="shared" si="970"/>
        <v>0</v>
      </c>
      <c r="Z1354" s="117">
        <f t="shared" si="971"/>
        <v>0</v>
      </c>
      <c r="AA1354" s="118"/>
      <c r="AB1354" s="118" t="str">
        <f t="shared" si="972"/>
        <v/>
      </c>
      <c r="AC1354" s="712" t="str">
        <f>IF(AE1354="T2G","no charge",IF(AND(OR(PlanterYesMe="No",PlanterYesMe="N",PlanterYesMe="me"),H1354=""),"",IF(H1354="credit","NO install",IF(AND(K1354="",AE1354="me"),"EACH row",IF(AND(K1354="images",AE1354="me"),"EACH row",IF(D1354="","",IF(H1354="credit","",IF(AE1354="free","re-planting",IF(AE1354="me","   not ELP, by",IF(AND(OR(PlanterYesMe="Yes",PlanterYesMe="Y"),G1354&gt;0),(VLOOKUP(A1354,'Discount Lookup'!J:K,2)*G1354*(1-PlanterDiscount)*(1+PlanterDifficultyPercentage)),IF(AE1354="ELP",(VLOOKUP(A1354,'Discount Lookup'!J:K,2)*G1354*(1-PlanterDiscount)*(1+PlanterDifficultyPercentage)),IF(AE1354="free","re-planting",IF(G1354=0,"",IF(PlanterYesMe="",IF(AE1354="me","   not ELP, by",IF(AE1354="",IF(G1354&gt;0,(VLOOKUP(A1354,'Discount Lookup'!J:K,2)*G1354*(1-PlanterDiscount)*(1+PlanterDifficultyPercentage)),""),"")),"   not ELP, by"))))))))))))))</f>
        <v/>
      </c>
      <c r="AD1354" s="712"/>
      <c r="AE1354" s="513" t="str">
        <f t="shared" si="973"/>
        <v/>
      </c>
      <c r="AF1354" s="713" t="str">
        <f t="shared" si="974"/>
        <v/>
      </c>
      <c r="AG1354" s="713"/>
      <c r="AH1354" s="713"/>
      <c r="AI1354" s="112">
        <f>IF(H1354="credit",0,IF(AE1354="free",0,IF(AE1354="me",0,IF(G1354&gt;0,(VLOOKUP(A1354,'Discount Lookup'!J:K,2)*G1354),0))))</f>
        <v>0</v>
      </c>
      <c r="AJ1354" s="107" t="str">
        <f t="shared" ca="1" si="975"/>
        <v/>
      </c>
      <c r="AK1354" s="714" t="str">
        <f t="shared" si="976"/>
        <v/>
      </c>
      <c r="AL1354" s="714"/>
      <c r="AM1354" s="114" t="str">
        <f t="shared" si="977"/>
        <v/>
      </c>
      <c r="AN1354" s="115"/>
      <c r="AO1354" s="116"/>
      <c r="AP1354" s="116"/>
      <c r="AQ1354" s="116"/>
      <c r="AR1354" s="116"/>
      <c r="AS1354" s="116"/>
      <c r="AT1354" s="116"/>
      <c r="AU1354" s="116"/>
      <c r="AV1354" s="78"/>
      <c r="AW1354" s="102"/>
      <c r="AX1354" s="78"/>
      <c r="AY1354" s="78"/>
      <c r="AZ1354" s="78"/>
      <c r="BA1354" s="78"/>
      <c r="BB1354" s="78"/>
      <c r="BC1354" s="78"/>
      <c r="BD1354" s="78"/>
      <c r="BE1354" s="465"/>
      <c r="BF1354" s="165" t="str">
        <f t="shared" si="978"/>
        <v>https://www.google.com/search?tbm=isch&amp;q=7%20G4</v>
      </c>
      <c r="BG1354" s="165" t="str">
        <f t="shared" si="979"/>
        <v>C</v>
      </c>
      <c r="BH1354" s="65"/>
      <c r="BI1354" s="65"/>
      <c r="BJ1354" s="65"/>
      <c r="BK1354" s="65"/>
      <c r="BL1354" s="99"/>
      <c r="BM1354" s="99"/>
      <c r="BN1354" s="99"/>
    </row>
    <row r="1355" spans="1:66" s="51" customFormat="1" ht="15.75" x14ac:dyDescent="0.25">
      <c r="A1355" s="634">
        <v>10</v>
      </c>
      <c r="B1355" s="635" t="s">
        <v>291</v>
      </c>
      <c r="C1355" s="636" t="s">
        <v>5162</v>
      </c>
      <c r="D1355" s="637" t="s">
        <v>299</v>
      </c>
      <c r="E1355" s="638">
        <v>164.95</v>
      </c>
      <c r="F1355" s="639" t="s">
        <v>292</v>
      </c>
      <c r="G1355" s="484">
        <v>0</v>
      </c>
      <c r="H1355" s="691" t="str">
        <f>IF(G1355=0,"",IF(F1355="Buy",IF(G1355=1,"plant","plants"),IF(F1355&gt;0.01,"warranty","Error")))</f>
        <v/>
      </c>
      <c r="I1355" s="640">
        <f>IF(H1355="free",0,IF(H1355="credit",((E1355*(F1355))*G1355*-1),IF(F1355="Buy",(E1355*G1355),((E1355*(1-F1355))*G1355))))</f>
        <v>0</v>
      </c>
      <c r="J1355" s="640">
        <f>IF(H1355="warranty",0,(I1355*(_xlfn.SINGLE(SalesTaxPercentage))))</f>
        <v>0</v>
      </c>
      <c r="K1355" s="716">
        <f t="shared" ref="K1355" si="1010">I1355+J1355</f>
        <v>0</v>
      </c>
      <c r="L1355" s="716"/>
      <c r="M1355" s="689" t="str">
        <f ca="1">IF(AND(G1355&gt;0,E1355=0),"WARNING - no PRICE inserted",IF(H1355="free","FREE ~ no charge this plant",IF(H1355="credit",CONCATENATE("-$",ROUND(K1355*(1-_xlfn.SINGLE(T2GDiscount))*-1,2)," CREDIT after discount"),IF(_xlfn.SINGLE(T2GDiscount)=0,"",IF(G1355=0,"",IF(F1355="Buy",CONCATENATE("$",ROUND(K1355*(1-_xlfn.SINGLE(T2GDiscount)),2)," with ",(_xlfn.SINGLE(T2GDiscount)*100),"% discount"),CONCATENATE("$",ROUND(K1355*(1-_xlfn.SINGLE(T2GDiscount)),2)," with ",((_xlfn.SINGLE(T2GDiscount)*100+F1355*100)-(_xlfn.SINGLE(T2GDiscount)*100*F1355)),IF(F1355&gt;0,"% discounts",IF(_xlfn.SINGLE(NoWarrantyDiscount)&gt;0,"% discounts","% discount")))))))))</f>
        <v/>
      </c>
      <c r="N1355" s="690"/>
      <c r="O1355" s="486"/>
      <c r="P1355" s="486"/>
      <c r="Q1355" s="486"/>
      <c r="R1355" s="486"/>
      <c r="S1355" s="486"/>
      <c r="T1355" s="102">
        <f t="shared" si="967"/>
        <v>0</v>
      </c>
      <c r="U1355" s="78">
        <f>IF(NOT(ISNUMBER(G1355)), "", VLOOKUP(A1355,'Discount Lookup'!D:E,2,FALSE)*G1355)</f>
        <v>0</v>
      </c>
      <c r="V1355" s="78">
        <f>IF(NOT(ISNUMBER(G1355)), "", VLOOKUP(A1355,'Discount Lookup'!G:H,2,FALSE)*G1355)</f>
        <v>0</v>
      </c>
      <c r="W1355" s="102">
        <f t="shared" si="968"/>
        <v>0</v>
      </c>
      <c r="X1355" s="102">
        <f t="shared" si="969"/>
        <v>0</v>
      </c>
      <c r="Y1355" s="120" t="b">
        <f t="shared" si="970"/>
        <v>0</v>
      </c>
      <c r="Z1355" s="117">
        <f t="shared" si="971"/>
        <v>0</v>
      </c>
      <c r="AA1355" s="118"/>
      <c r="AB1355" s="118" t="str">
        <f t="shared" si="972"/>
        <v/>
      </c>
      <c r="AC1355" s="712" t="str">
        <f>IF(AE1355="T2G","no charge",IF(AND(OR(PlanterYesMe="No",PlanterYesMe="N",PlanterYesMe="me"),H1355=""),"",IF(H1355="credit","NO install",IF(AND(K1355="",AE1355="me"),"EACH row",IF(AND(K1355="images",AE1355="me"),"EACH row",IF(D1355="","",IF(H1355="credit","",IF(AE1355="free","re-planting",IF(AE1355="me","   not ELP, by",IF(AND(OR(PlanterYesMe="Yes",PlanterYesMe="Y"),G1355&gt;0),(VLOOKUP(A1355,'Discount Lookup'!J:K,2)*G1355*(1-PlanterDiscount)*(1+PlanterDifficultyPercentage)),IF(AE1355="ELP",(VLOOKUP(A1355,'Discount Lookup'!J:K,2)*G1355*(1-PlanterDiscount)*(1+PlanterDifficultyPercentage)),IF(AE1355="free","re-planting",IF(G1355=0,"",IF(PlanterYesMe="",IF(AE1355="me","   not ELP, by",IF(AE1355="",IF(G1355&gt;0,(VLOOKUP(A1355,'Discount Lookup'!J:K,2)*G1355*(1-PlanterDiscount)*(1+PlanterDifficultyPercentage)),""),"")),"   not ELP, by"))))))))))))))</f>
        <v/>
      </c>
      <c r="AD1355" s="712"/>
      <c r="AE1355" s="513" t="str">
        <f t="shared" si="973"/>
        <v/>
      </c>
      <c r="AF1355" s="713" t="str">
        <f t="shared" si="974"/>
        <v/>
      </c>
      <c r="AG1355" s="713"/>
      <c r="AH1355" s="713"/>
      <c r="AI1355" s="112">
        <f>IF(H1355="credit",0,IF(AE1355="free",0,IF(AE1355="me",0,IF(G1355&gt;0,(VLOOKUP(A1355,'Discount Lookup'!J:K,2)*G1355),0))))</f>
        <v>0</v>
      </c>
      <c r="AJ1355" s="107" t="str">
        <f t="shared" ca="1" si="975"/>
        <v/>
      </c>
      <c r="AK1355" s="714" t="str">
        <f t="shared" si="976"/>
        <v/>
      </c>
      <c r="AL1355" s="714"/>
      <c r="AM1355" s="114" t="str">
        <f t="shared" si="977"/>
        <v/>
      </c>
      <c r="AN1355" s="115"/>
      <c r="AO1355" s="116"/>
      <c r="AP1355" s="116"/>
      <c r="AQ1355" s="116"/>
      <c r="AR1355" s="116"/>
      <c r="AS1355" s="116"/>
      <c r="AT1355" s="116"/>
      <c r="AU1355" s="116"/>
      <c r="AV1355" s="78"/>
      <c r="AW1355" s="102"/>
      <c r="AX1355" s="78"/>
      <c r="AY1355" s="78"/>
      <c r="AZ1355" s="78"/>
      <c r="BA1355" s="78"/>
      <c r="BB1355" s="78"/>
      <c r="BC1355" s="78"/>
      <c r="BD1355" s="78"/>
      <c r="BE1355" s="465"/>
      <c r="BF1355" s="165" t="str">
        <f t="shared" si="978"/>
        <v>https://www.google.com/search?tbm=isch&amp;q=10%20G4</v>
      </c>
      <c r="BG1355" s="165" t="str">
        <f t="shared" si="979"/>
        <v>C</v>
      </c>
      <c r="BH1355" s="65"/>
      <c r="BI1355" s="65"/>
      <c r="BJ1355" s="65"/>
      <c r="BK1355" s="65"/>
      <c r="BL1355" s="99"/>
      <c r="BM1355" s="99"/>
      <c r="BN1355" s="99"/>
    </row>
    <row r="1356" spans="1:66" s="51" customFormat="1" ht="15.75" x14ac:dyDescent="0.25">
      <c r="A1356" s="634">
        <v>15</v>
      </c>
      <c r="B1356" s="635" t="s">
        <v>291</v>
      </c>
      <c r="C1356" s="636" t="s">
        <v>5163</v>
      </c>
      <c r="D1356" s="637" t="s">
        <v>299</v>
      </c>
      <c r="E1356" s="638">
        <v>192.95</v>
      </c>
      <c r="F1356" s="639" t="s">
        <v>292</v>
      </c>
      <c r="G1356" s="484">
        <v>0</v>
      </c>
      <c r="H1356" s="691" t="str">
        <f>IF(G1356=0,"",IF(F1356="Buy",IF(G1356=1,"plant","plants"),IF(F1356&gt;0.01,"warranty","Error")))</f>
        <v/>
      </c>
      <c r="I1356" s="640">
        <f>IF(H1356="free",0,IF(H1356="credit",((E1356*(F1356))*G1356*-1),IF(F1356="Buy",(E1356*G1356),((E1356*(1-F1356))*G1356))))</f>
        <v>0</v>
      </c>
      <c r="J1356" s="640">
        <f>IF(H1356="warranty",0,(I1356*(_xlfn.SINGLE(SalesTaxPercentage))))</f>
        <v>0</v>
      </c>
      <c r="K1356" s="716">
        <f t="shared" ref="K1356" si="1011">I1356+J1356</f>
        <v>0</v>
      </c>
      <c r="L1356" s="716"/>
      <c r="M1356" s="689" t="str">
        <f ca="1">IF(AND(G1356&gt;0,E1356=0),"WARNING - no PRICE inserted",IF(H1356="free","FREE ~ no charge this plant",IF(H1356="credit",CONCATENATE("-$",ROUND(K1356*(1-_xlfn.SINGLE(T2GDiscount))*-1,2)," CREDIT after discount"),IF(_xlfn.SINGLE(T2GDiscount)=0,"",IF(G1356=0,"",IF(F1356="Buy",CONCATENATE("$",ROUND(K1356*(1-_xlfn.SINGLE(T2GDiscount)),2)," with ",(_xlfn.SINGLE(T2GDiscount)*100),"% discount"),CONCATENATE("$",ROUND(K1356*(1-_xlfn.SINGLE(T2GDiscount)),2)," with ",((_xlfn.SINGLE(T2GDiscount)*100+F1356*100)-(_xlfn.SINGLE(T2GDiscount)*100*F1356)),IF(F1356&gt;0,"% discounts",IF(_xlfn.SINGLE(NoWarrantyDiscount)&gt;0,"% discounts","% discount")))))))))</f>
        <v/>
      </c>
      <c r="N1356" s="690"/>
      <c r="O1356" s="486"/>
      <c r="P1356" s="486"/>
      <c r="Q1356" s="486"/>
      <c r="R1356" s="486"/>
      <c r="S1356" s="486"/>
      <c r="T1356" s="102">
        <f t="shared" si="967"/>
        <v>0</v>
      </c>
      <c r="U1356" s="78">
        <f>IF(NOT(ISNUMBER(G1356)), "", VLOOKUP(A1356,'Discount Lookup'!D:E,2,FALSE)*G1356)</f>
        <v>0</v>
      </c>
      <c r="V1356" s="78">
        <f>IF(NOT(ISNUMBER(G1356)), "", VLOOKUP(A1356,'Discount Lookup'!G:H,2,FALSE)*G1356)</f>
        <v>0</v>
      </c>
      <c r="W1356" s="102">
        <f t="shared" si="968"/>
        <v>0</v>
      </c>
      <c r="X1356" s="102">
        <f t="shared" si="969"/>
        <v>0</v>
      </c>
      <c r="Y1356" s="120" t="b">
        <f t="shared" si="970"/>
        <v>0</v>
      </c>
      <c r="Z1356" s="117">
        <f t="shared" si="971"/>
        <v>0</v>
      </c>
      <c r="AA1356" s="118"/>
      <c r="AB1356" s="118" t="str">
        <f t="shared" si="972"/>
        <v/>
      </c>
      <c r="AC1356" s="712" t="str">
        <f>IF(AE1356="T2G","no charge",IF(AND(OR(PlanterYesMe="No",PlanterYesMe="N",PlanterYesMe="me"),H1356=""),"",IF(H1356="credit","NO install",IF(AND(K1356="",AE1356="me"),"EACH row",IF(AND(K1356="images",AE1356="me"),"EACH row",IF(D1356="","",IF(H1356="credit","",IF(AE1356="free","re-planting",IF(AE1356="me","   not ELP, by",IF(AND(OR(PlanterYesMe="Yes",PlanterYesMe="Y"),G1356&gt;0),(VLOOKUP(A1356,'Discount Lookup'!J:K,2)*G1356*(1-PlanterDiscount)*(1+PlanterDifficultyPercentage)),IF(AE1356="ELP",(VLOOKUP(A1356,'Discount Lookup'!J:K,2)*G1356*(1-PlanterDiscount)*(1+PlanterDifficultyPercentage)),IF(AE1356="free","re-planting",IF(G1356=0,"",IF(PlanterYesMe="",IF(AE1356="me","   not ELP, by",IF(AE1356="",IF(G1356&gt;0,(VLOOKUP(A1356,'Discount Lookup'!J:K,2)*G1356*(1-PlanterDiscount)*(1+PlanterDifficultyPercentage)),""),"")),"   not ELP, by"))))))))))))))</f>
        <v/>
      </c>
      <c r="AD1356" s="712"/>
      <c r="AE1356" s="513" t="str">
        <f t="shared" si="973"/>
        <v/>
      </c>
      <c r="AF1356" s="713" t="str">
        <f t="shared" si="974"/>
        <v/>
      </c>
      <c r="AG1356" s="713"/>
      <c r="AH1356" s="713"/>
      <c r="AI1356" s="112">
        <f>IF(H1356="credit",0,IF(AE1356="free",0,IF(AE1356="me",0,IF(G1356&gt;0,(VLOOKUP(A1356,'Discount Lookup'!J:K,2)*G1356),0))))</f>
        <v>0</v>
      </c>
      <c r="AJ1356" s="107" t="str">
        <f t="shared" ca="1" si="975"/>
        <v/>
      </c>
      <c r="AK1356" s="714" t="str">
        <f t="shared" si="976"/>
        <v/>
      </c>
      <c r="AL1356" s="714"/>
      <c r="AM1356" s="114" t="str">
        <f t="shared" si="977"/>
        <v/>
      </c>
      <c r="AN1356" s="115"/>
      <c r="AO1356" s="116"/>
      <c r="AP1356" s="116"/>
      <c r="AQ1356" s="116"/>
      <c r="AR1356" s="116"/>
      <c r="AS1356" s="116"/>
      <c r="AT1356" s="116"/>
      <c r="AU1356" s="116"/>
      <c r="AV1356" s="78"/>
      <c r="AW1356" s="102"/>
      <c r="AX1356" s="78"/>
      <c r="AY1356" s="78"/>
      <c r="AZ1356" s="78"/>
      <c r="BA1356" s="78"/>
      <c r="BB1356" s="78"/>
      <c r="BC1356" s="78"/>
      <c r="BD1356" s="78"/>
      <c r="BE1356" s="465"/>
      <c r="BF1356" s="165" t="str">
        <f t="shared" si="978"/>
        <v>https://www.google.com/search?tbm=isch&amp;q=15%20G4</v>
      </c>
      <c r="BG1356" s="165" t="str">
        <f t="shared" si="979"/>
        <v>C</v>
      </c>
      <c r="BH1356" s="65"/>
      <c r="BI1356" s="65"/>
      <c r="BJ1356" s="65"/>
      <c r="BK1356" s="65"/>
      <c r="BL1356" s="99"/>
      <c r="BM1356" s="99"/>
      <c r="BN1356" s="99"/>
    </row>
    <row r="1357" spans="1:66" s="51" customFormat="1" ht="17.25" thickBot="1" x14ac:dyDescent="0.3">
      <c r="A1357" s="641" t="s">
        <v>2339</v>
      </c>
      <c r="B1357" s="642"/>
      <c r="C1357" s="710"/>
      <c r="D1357" s="643"/>
      <c r="E1357" s="643"/>
      <c r="F1357" s="644"/>
      <c r="G1357" s="645"/>
      <c r="H1357" s="646"/>
      <c r="I1357" s="647"/>
      <c r="J1357" s="648"/>
      <c r="K1357" s="649"/>
      <c r="L1357" s="650"/>
      <c r="M1357" s="650"/>
      <c r="N1357" s="644"/>
      <c r="O1357" s="644"/>
      <c r="P1357" s="644"/>
      <c r="Q1357" s="644"/>
      <c r="R1357" s="644"/>
      <c r="S1357" s="701" t="s">
        <v>5271</v>
      </c>
      <c r="T1357" s="102">
        <f t="shared" si="967"/>
        <v>0</v>
      </c>
      <c r="U1357" s="78" t="str">
        <f>IF(NOT(ISNUMBER(G1357)), "", VLOOKUP(A1357,'Discount Lookup'!D:E,2,FALSE)*G1357)</f>
        <v/>
      </c>
      <c r="V1357" s="78" t="str">
        <f>IF(NOT(ISNUMBER(G1357)), "", VLOOKUP(A1357,'Discount Lookup'!G:H,2,FALSE)*G1357)</f>
        <v/>
      </c>
      <c r="W1357" s="102">
        <f t="shared" si="968"/>
        <v>0</v>
      </c>
      <c r="X1357" s="102">
        <f t="shared" si="969"/>
        <v>0</v>
      </c>
      <c r="Y1357" s="120" t="b">
        <f t="shared" si="970"/>
        <v>0</v>
      </c>
      <c r="Z1357" s="117">
        <f t="shared" si="971"/>
        <v>0</v>
      </c>
      <c r="AA1357" s="118"/>
      <c r="AB1357" s="118" t="str">
        <f t="shared" si="972"/>
        <v/>
      </c>
      <c r="AC1357" s="712" t="str">
        <f>IF(AE1357="T2G","no charge",IF(AND(OR(PlanterYesMe="No",PlanterYesMe="N",PlanterYesMe="me"),H1357=""),"",IF(H1357="credit","NO install",IF(AND(K1357="",AE1357="me"),"EACH row",IF(AND(K1357="images",AE1357="me"),"EACH row",IF(D1357="","",IF(H1357="credit","",IF(AE1357="free","re-planting",IF(AE1357="me","   not ELP, by",IF(AND(OR(PlanterYesMe="Yes",PlanterYesMe="Y"),G1357&gt;0),(VLOOKUP(A1357,'Discount Lookup'!J:K,2)*G1357*(1-PlanterDiscount)*(1+PlanterDifficultyPercentage)),IF(AE1357="ELP",(VLOOKUP(A1357,'Discount Lookup'!J:K,2)*G1357*(1-PlanterDiscount)*(1+PlanterDifficultyPercentage)),IF(AE1357="free","re-planting",IF(G1357=0,"",IF(PlanterYesMe="",IF(AE1357="me","   not ELP, by",IF(AE1357="",IF(G1357&gt;0,(VLOOKUP(A1357,'Discount Lookup'!J:K,2)*G1357*(1-PlanterDiscount)*(1+PlanterDifficultyPercentage)),""),"")),"   not ELP, by"))))))))))))))</f>
        <v/>
      </c>
      <c r="AD1357" s="712"/>
      <c r="AE1357" s="513" t="str">
        <f t="shared" si="973"/>
        <v/>
      </c>
      <c r="AF1357" s="713" t="str">
        <f t="shared" si="974"/>
        <v/>
      </c>
      <c r="AG1357" s="713"/>
      <c r="AH1357" s="713"/>
      <c r="AI1357" s="112">
        <f>IF(H1357="credit",0,IF(AE1357="free",0,IF(AE1357="me",0,IF(G1357&gt;0,(VLOOKUP(A1357,'Discount Lookup'!J:K,2)*G1357),0))))</f>
        <v>0</v>
      </c>
      <c r="AJ1357" s="107" t="str">
        <f t="shared" ca="1" si="975"/>
        <v/>
      </c>
      <c r="AK1357" s="714" t="str">
        <f t="shared" si="976"/>
        <v/>
      </c>
      <c r="AL1357" s="714"/>
      <c r="AM1357" s="114" t="str">
        <f t="shared" si="977"/>
        <v/>
      </c>
      <c r="AN1357" s="115"/>
      <c r="AO1357" s="116"/>
      <c r="AP1357" s="116"/>
      <c r="AQ1357" s="116"/>
      <c r="AR1357" s="116"/>
      <c r="AS1357" s="116"/>
      <c r="AT1357" s="116"/>
      <c r="AU1357" s="116"/>
      <c r="AV1357" s="78"/>
      <c r="AW1357" s="102"/>
      <c r="AX1357" s="78"/>
      <c r="AY1357" s="78"/>
      <c r="AZ1357" s="78"/>
      <c r="BA1357" s="78"/>
      <c r="BB1357" s="78"/>
      <c r="BC1357" s="78"/>
      <c r="BD1357" s="78"/>
      <c r="BE1357" s="465"/>
      <c r="BF1357" s="165" t="str">
        <f t="shared" si="978"/>
        <v>https://www.google.com/search?tbm=isch&amp;q=Stellar%20Pink%27s%20dark%20green%20foliage%20turns%20purplish-red%20in%20the%20fall.%20Produces%20no%20fruit%20</v>
      </c>
      <c r="BG1357" s="165" t="str">
        <f t="shared" si="979"/>
        <v>S</v>
      </c>
      <c r="BH1357" s="65"/>
      <c r="BI1357" s="65"/>
      <c r="BJ1357" s="65"/>
      <c r="BK1357" s="65"/>
      <c r="BL1357" s="99"/>
      <c r="BM1357" s="99"/>
      <c r="BN1357" s="99"/>
    </row>
    <row r="1358" spans="1:66" s="51" customFormat="1" ht="18" x14ac:dyDescent="0.25">
      <c r="A1358" s="623" t="s">
        <v>2340</v>
      </c>
      <c r="B1358" s="624"/>
      <c r="C1358" s="709"/>
      <c r="D1358" s="625" t="s">
        <v>5647</v>
      </c>
      <c r="E1358" s="626"/>
      <c r="F1358" s="626"/>
      <c r="G1358" s="626"/>
      <c r="H1358" s="622" t="s">
        <v>1174</v>
      </c>
      <c r="I1358" s="627" t="s">
        <v>349</v>
      </c>
      <c r="J1358" s="628"/>
      <c r="K1358" s="628"/>
      <c r="L1358" s="629"/>
      <c r="M1358" s="700" t="s">
        <v>5249</v>
      </c>
      <c r="N1358" s="693" t="str">
        <f>IF(AND(ISTEXT($A1358), ISERROR($A1358+0)), HYPERLINK($BF1358, "Images"), "")</f>
        <v>Images</v>
      </c>
      <c r="O1358" s="695" t="s">
        <v>5247</v>
      </c>
      <c r="P1358" s="630"/>
      <c r="Q1358" s="631"/>
      <c r="R1358" s="632"/>
      <c r="S1358" s="633"/>
      <c r="T1358" s="102">
        <f t="shared" si="967"/>
        <v>0</v>
      </c>
      <c r="U1358" s="78" t="str">
        <f>IF(NOT(ISNUMBER(G1358)), "", VLOOKUP(A1358,'Discount Lookup'!D:E,2,FALSE)*G1358)</f>
        <v/>
      </c>
      <c r="V1358" s="78" t="str">
        <f>IF(NOT(ISNUMBER(G1358)), "", VLOOKUP(A1358,'Discount Lookup'!G:H,2,FALSE)*G1358)</f>
        <v/>
      </c>
      <c r="W1358" s="102">
        <f t="shared" si="968"/>
        <v>0</v>
      </c>
      <c r="X1358" s="102" t="str">
        <f t="shared" si="969"/>
        <v>White bloom</v>
      </c>
      <c r="Y1358" s="120" t="b">
        <f t="shared" si="970"/>
        <v>0</v>
      </c>
      <c r="Z1358" s="117">
        <f t="shared" si="971"/>
        <v>0</v>
      </c>
      <c r="AA1358" s="118"/>
      <c r="AB1358" s="118" t="str">
        <f t="shared" si="972"/>
        <v/>
      </c>
      <c r="AC1358" s="712" t="str">
        <f>IF(AE1358="T2G","no charge",IF(AND(OR(PlanterYesMe="No",PlanterYesMe="N",PlanterYesMe="me"),H1358=""),"",IF(H1358="credit","NO install",IF(AND(K1358="",AE1358="me"),"EACH row",IF(AND(K1358="images",AE1358="me"),"EACH row",IF(D1358="","",IF(H1358="credit","",IF(AE1358="free","re-planting",IF(AE1358="me","   not ELP, by",IF(AND(OR(PlanterYesMe="Yes",PlanterYesMe="Y"),G1358&gt;0),(VLOOKUP(A1358,'Discount Lookup'!J:K,2)*G1358*(1-PlanterDiscount)*(1+PlanterDifficultyPercentage)),IF(AE1358="ELP",(VLOOKUP(A1358,'Discount Lookup'!J:K,2)*G1358*(1-PlanterDiscount)*(1+PlanterDifficultyPercentage)),IF(AE1358="free","re-planting",IF(G1358=0,"",IF(PlanterYesMe="",IF(AE1358="me","   not ELP, by",IF(AE1358="",IF(G1358&gt;0,(VLOOKUP(A1358,'Discount Lookup'!J:K,2)*G1358*(1-PlanterDiscount)*(1+PlanterDifficultyPercentage)),""),"")),"   not ELP, by"))))))))))))))</f>
        <v/>
      </c>
      <c r="AD1358" s="712"/>
      <c r="AE1358" s="513" t="str">
        <f t="shared" si="973"/>
        <v/>
      </c>
      <c r="AF1358" s="713" t="str">
        <f t="shared" si="974"/>
        <v/>
      </c>
      <c r="AG1358" s="713"/>
      <c r="AH1358" s="713"/>
      <c r="AI1358" s="112">
        <f>IF(H1358="credit",0,IF(AE1358="free",0,IF(AE1358="me",0,IF(G1358&gt;0,(VLOOKUP(A1358,'Discount Lookup'!J:K,2)*G1358),0))))</f>
        <v>0</v>
      </c>
      <c r="AJ1358" s="107" t="str">
        <f t="shared" ca="1" si="975"/>
        <v/>
      </c>
      <c r="AK1358" s="714" t="str">
        <f t="shared" si="976"/>
        <v/>
      </c>
      <c r="AL1358" s="714"/>
      <c r="AM1358" s="114" t="str">
        <f t="shared" si="977"/>
        <v/>
      </c>
      <c r="AN1358" s="115"/>
      <c r="AO1358" s="116"/>
      <c r="AP1358" s="116"/>
      <c r="AQ1358" s="116"/>
      <c r="AR1358" s="116"/>
      <c r="AS1358" s="116"/>
      <c r="AT1358" s="116"/>
      <c r="AU1358" s="116"/>
      <c r="AV1358" s="78"/>
      <c r="AW1358" s="102"/>
      <c r="AX1358" s="78"/>
      <c r="AY1358" s="78"/>
      <c r="AZ1358" s="78"/>
      <c r="BA1358" s="78"/>
      <c r="BB1358" s="78"/>
      <c r="BC1358" s="78"/>
      <c r="BD1358" s="78"/>
      <c r="BE1358" s="465"/>
      <c r="BF1358" s="165" t="str">
        <f t="shared" si="978"/>
        <v>https://www.google.com/search?tbm=isch&amp;q=Cornus%20x%20rutgersensis%20%27Celestial%20Shadow%27%20Celestial%20Shadow%C2%AE%20Dogwood</v>
      </c>
      <c r="BG1358" s="165" t="str">
        <f t="shared" si="979"/>
        <v>C</v>
      </c>
      <c r="BH1358" s="65"/>
      <c r="BI1358" s="65"/>
      <c r="BJ1358" s="65"/>
      <c r="BK1358" s="65"/>
      <c r="BL1358" s="99"/>
      <c r="BM1358" s="99"/>
      <c r="BN1358" s="99"/>
    </row>
    <row r="1359" spans="1:66" s="51" customFormat="1" ht="15.75" x14ac:dyDescent="0.25">
      <c r="A1359" s="634">
        <v>7</v>
      </c>
      <c r="B1359" s="635" t="s">
        <v>291</v>
      </c>
      <c r="C1359" s="636" t="s">
        <v>2341</v>
      </c>
      <c r="D1359" s="637" t="s">
        <v>299</v>
      </c>
      <c r="E1359" s="638">
        <v>109.95</v>
      </c>
      <c r="F1359" s="639" t="s">
        <v>292</v>
      </c>
      <c r="G1359" s="484">
        <v>0</v>
      </c>
      <c r="H1359" s="691" t="str">
        <f>IF(G1359=0,"",IF(F1359="Buy",IF(G1359=1,"plant","plants"),IF(F1359&gt;0.01,"warranty","Error")))</f>
        <v/>
      </c>
      <c r="I1359" s="640">
        <f>IF(H1359="free",0,IF(H1359="credit",((E1359*(F1359))*G1359*-1),IF(F1359="Buy",(E1359*G1359),((E1359*(1-F1359))*G1359))))</f>
        <v>0</v>
      </c>
      <c r="J1359" s="640">
        <f>IF(H1359="warranty",0,(I1359*(_xlfn.SINGLE(SalesTaxPercentage))))</f>
        <v>0</v>
      </c>
      <c r="K1359" s="716">
        <f t="shared" ref="K1359" si="1012">I1359+J1359</f>
        <v>0</v>
      </c>
      <c r="L1359" s="716"/>
      <c r="M1359" s="689" t="str">
        <f ca="1">IF(AND(G1359&gt;0,E1359=0),"WARNING - no PRICE inserted",IF(H1359="free","FREE ~ no charge this plant",IF(H1359="credit",CONCATENATE("-$",ROUND(K1359*(1-_xlfn.SINGLE(T2GDiscount))*-1,2)," CREDIT after discount"),IF(_xlfn.SINGLE(T2GDiscount)=0,"",IF(G1359=0,"",IF(F1359="Buy",CONCATENATE("$",ROUND(K1359*(1-_xlfn.SINGLE(T2GDiscount)),2)," with ",(_xlfn.SINGLE(T2GDiscount)*100),"% discount"),CONCATENATE("$",ROUND(K1359*(1-_xlfn.SINGLE(T2GDiscount)),2)," with ",((_xlfn.SINGLE(T2GDiscount)*100+F1359*100)-(_xlfn.SINGLE(T2GDiscount)*100*F1359)),IF(F1359&gt;0,"% discounts",IF(_xlfn.SINGLE(NoWarrantyDiscount)&gt;0,"% discounts","% discount")))))))))</f>
        <v/>
      </c>
      <c r="N1359" s="690"/>
      <c r="O1359" s="486"/>
      <c r="P1359" s="486"/>
      <c r="Q1359" s="486"/>
      <c r="R1359" s="486"/>
      <c r="S1359" s="486"/>
      <c r="T1359" s="102">
        <f t="shared" si="967"/>
        <v>0</v>
      </c>
      <c r="U1359" s="78">
        <f>IF(NOT(ISNUMBER(G1359)), "", VLOOKUP(A1359,'Discount Lookup'!D:E,2,FALSE)*G1359)</f>
        <v>0</v>
      </c>
      <c r="V1359" s="78">
        <f>IF(NOT(ISNUMBER(G1359)), "", VLOOKUP(A1359,'Discount Lookup'!G:H,2,FALSE)*G1359)</f>
        <v>0</v>
      </c>
      <c r="W1359" s="102">
        <f t="shared" si="968"/>
        <v>0</v>
      </c>
      <c r="X1359" s="102">
        <f t="shared" si="969"/>
        <v>0</v>
      </c>
      <c r="Y1359" s="120" t="b">
        <f t="shared" si="970"/>
        <v>0</v>
      </c>
      <c r="Z1359" s="117">
        <f t="shared" si="971"/>
        <v>0</v>
      </c>
      <c r="AA1359" s="118"/>
      <c r="AB1359" s="118" t="str">
        <f t="shared" si="972"/>
        <v/>
      </c>
      <c r="AC1359" s="712" t="str">
        <f>IF(AE1359="T2G","no charge",IF(AND(OR(PlanterYesMe="No",PlanterYesMe="N",PlanterYesMe="me"),H1359=""),"",IF(H1359="credit","NO install",IF(AND(K1359="",AE1359="me"),"EACH row",IF(AND(K1359="images",AE1359="me"),"EACH row",IF(D1359="","",IF(H1359="credit","",IF(AE1359="free","re-planting",IF(AE1359="me","   not ELP, by",IF(AND(OR(PlanterYesMe="Yes",PlanterYesMe="Y"),G1359&gt;0),(VLOOKUP(A1359,'Discount Lookup'!J:K,2)*G1359*(1-PlanterDiscount)*(1+PlanterDifficultyPercentage)),IF(AE1359="ELP",(VLOOKUP(A1359,'Discount Lookup'!J:K,2)*G1359*(1-PlanterDiscount)*(1+PlanterDifficultyPercentage)),IF(AE1359="free","re-planting",IF(G1359=0,"",IF(PlanterYesMe="",IF(AE1359="me","   not ELP, by",IF(AE1359="",IF(G1359&gt;0,(VLOOKUP(A1359,'Discount Lookup'!J:K,2)*G1359*(1-PlanterDiscount)*(1+PlanterDifficultyPercentage)),""),"")),"   not ELP, by"))))))))))))))</f>
        <v/>
      </c>
      <c r="AD1359" s="712"/>
      <c r="AE1359" s="513" t="str">
        <f t="shared" si="973"/>
        <v/>
      </c>
      <c r="AF1359" s="713" t="str">
        <f t="shared" si="974"/>
        <v/>
      </c>
      <c r="AG1359" s="713"/>
      <c r="AH1359" s="713"/>
      <c r="AI1359" s="112">
        <f>IF(H1359="credit",0,IF(AE1359="free",0,IF(AE1359="me",0,IF(G1359&gt;0,(VLOOKUP(A1359,'Discount Lookup'!J:K,2)*G1359),0))))</f>
        <v>0</v>
      </c>
      <c r="AJ1359" s="107" t="str">
        <f t="shared" ca="1" si="975"/>
        <v/>
      </c>
      <c r="AK1359" s="714" t="str">
        <f t="shared" si="976"/>
        <v/>
      </c>
      <c r="AL1359" s="714"/>
      <c r="AM1359" s="114" t="str">
        <f t="shared" si="977"/>
        <v/>
      </c>
      <c r="AN1359" s="115"/>
      <c r="AO1359" s="116"/>
      <c r="AP1359" s="116"/>
      <c r="AQ1359" s="116"/>
      <c r="AR1359" s="116"/>
      <c r="AS1359" s="116"/>
      <c r="AT1359" s="116"/>
      <c r="AU1359" s="116"/>
      <c r="AV1359" s="78"/>
      <c r="AW1359" s="102"/>
      <c r="AX1359" s="78"/>
      <c r="AY1359" s="78"/>
      <c r="AZ1359" s="78"/>
      <c r="BA1359" s="78"/>
      <c r="BB1359" s="78"/>
      <c r="BC1359" s="78"/>
      <c r="BD1359" s="78"/>
      <c r="BE1359" s="465"/>
      <c r="BF1359" s="165" t="str">
        <f t="shared" si="978"/>
        <v>https://www.google.com/search?tbm=isch&amp;q=7%20G4</v>
      </c>
      <c r="BG1359" s="165" t="str">
        <f t="shared" si="979"/>
        <v>C</v>
      </c>
      <c r="BH1359" s="65"/>
      <c r="BI1359" s="65"/>
      <c r="BJ1359" s="65"/>
      <c r="BK1359" s="65"/>
      <c r="BL1359" s="99"/>
      <c r="BM1359" s="99"/>
      <c r="BN1359" s="99"/>
    </row>
    <row r="1360" spans="1:66" s="51" customFormat="1" ht="15.75" x14ac:dyDescent="0.25">
      <c r="A1360" s="634">
        <v>10</v>
      </c>
      <c r="B1360" s="635" t="s">
        <v>291</v>
      </c>
      <c r="C1360" s="636" t="s">
        <v>2031</v>
      </c>
      <c r="D1360" s="637" t="s">
        <v>299</v>
      </c>
      <c r="E1360" s="638">
        <v>171.95</v>
      </c>
      <c r="F1360" s="639" t="s">
        <v>292</v>
      </c>
      <c r="G1360" s="484">
        <v>0</v>
      </c>
      <c r="H1360" s="691" t="str">
        <f>IF(G1360=0,"",IF(F1360="Buy",IF(G1360=1,"plant","plants"),IF(F1360&gt;0.01,"warranty","Error")))</f>
        <v/>
      </c>
      <c r="I1360" s="640">
        <f>IF(H1360="free",0,IF(H1360="credit",((E1360*(F1360))*G1360*-1),IF(F1360="Buy",(E1360*G1360),((E1360*(1-F1360))*G1360))))</f>
        <v>0</v>
      </c>
      <c r="J1360" s="640">
        <f>IF(H1360="warranty",0,(I1360*(_xlfn.SINGLE(SalesTaxPercentage))))</f>
        <v>0</v>
      </c>
      <c r="K1360" s="716">
        <f t="shared" ref="K1360" si="1013">I1360+J1360</f>
        <v>0</v>
      </c>
      <c r="L1360" s="716"/>
      <c r="M1360" s="689" t="str">
        <f ca="1">IF(AND(G1360&gt;0,E1360=0),"WARNING - no PRICE inserted",IF(H1360="free","FREE ~ no charge this plant",IF(H1360="credit",CONCATENATE("-$",ROUND(K1360*(1-_xlfn.SINGLE(T2GDiscount))*-1,2)," CREDIT after discount"),IF(_xlfn.SINGLE(T2GDiscount)=0,"",IF(G1360=0,"",IF(F1360="Buy",CONCATENATE("$",ROUND(K1360*(1-_xlfn.SINGLE(T2GDiscount)),2)," with ",(_xlfn.SINGLE(T2GDiscount)*100),"% discount"),CONCATENATE("$",ROUND(K1360*(1-_xlfn.SINGLE(T2GDiscount)),2)," with ",((_xlfn.SINGLE(T2GDiscount)*100+F1360*100)-(_xlfn.SINGLE(T2GDiscount)*100*F1360)),IF(F1360&gt;0,"% discounts",IF(_xlfn.SINGLE(NoWarrantyDiscount)&gt;0,"% discounts","% discount")))))))))</f>
        <v/>
      </c>
      <c r="N1360" s="690"/>
      <c r="O1360" s="486"/>
      <c r="P1360" s="486"/>
      <c r="Q1360" s="486"/>
      <c r="R1360" s="486"/>
      <c r="S1360" s="486"/>
      <c r="T1360" s="102">
        <f t="shared" si="967"/>
        <v>0</v>
      </c>
      <c r="U1360" s="78">
        <f>IF(NOT(ISNUMBER(G1360)), "", VLOOKUP(A1360,'Discount Lookup'!D:E,2,FALSE)*G1360)</f>
        <v>0</v>
      </c>
      <c r="V1360" s="78">
        <f>IF(NOT(ISNUMBER(G1360)), "", VLOOKUP(A1360,'Discount Lookup'!G:H,2,FALSE)*G1360)</f>
        <v>0</v>
      </c>
      <c r="W1360" s="102">
        <f t="shared" si="968"/>
        <v>0</v>
      </c>
      <c r="X1360" s="102">
        <f t="shared" si="969"/>
        <v>0</v>
      </c>
      <c r="Y1360" s="120" t="b">
        <f t="shared" si="970"/>
        <v>0</v>
      </c>
      <c r="Z1360" s="117">
        <f t="shared" si="971"/>
        <v>0</v>
      </c>
      <c r="AA1360" s="118"/>
      <c r="AB1360" s="118" t="str">
        <f t="shared" si="972"/>
        <v/>
      </c>
      <c r="AC1360" s="712" t="str">
        <f>IF(AE1360="T2G","no charge",IF(AND(OR(PlanterYesMe="No",PlanterYesMe="N",PlanterYesMe="me"),H1360=""),"",IF(H1360="credit","NO install",IF(AND(K1360="",AE1360="me"),"EACH row",IF(AND(K1360="images",AE1360="me"),"EACH row",IF(D1360="","",IF(H1360="credit","",IF(AE1360="free","re-planting",IF(AE1360="me","   not ELP, by",IF(AND(OR(PlanterYesMe="Yes",PlanterYesMe="Y"),G1360&gt;0),(VLOOKUP(A1360,'Discount Lookup'!J:K,2)*G1360*(1-PlanterDiscount)*(1+PlanterDifficultyPercentage)),IF(AE1360="ELP",(VLOOKUP(A1360,'Discount Lookup'!J:K,2)*G1360*(1-PlanterDiscount)*(1+PlanterDifficultyPercentage)),IF(AE1360="free","re-planting",IF(G1360=0,"",IF(PlanterYesMe="",IF(AE1360="me","   not ELP, by",IF(AE1360="",IF(G1360&gt;0,(VLOOKUP(A1360,'Discount Lookup'!J:K,2)*G1360*(1-PlanterDiscount)*(1+PlanterDifficultyPercentage)),""),"")),"   not ELP, by"))))))))))))))</f>
        <v/>
      </c>
      <c r="AD1360" s="712"/>
      <c r="AE1360" s="513" t="str">
        <f t="shared" si="973"/>
        <v/>
      </c>
      <c r="AF1360" s="713" t="str">
        <f t="shared" si="974"/>
        <v/>
      </c>
      <c r="AG1360" s="713"/>
      <c r="AH1360" s="713"/>
      <c r="AI1360" s="112">
        <f>IF(H1360="credit",0,IF(AE1360="free",0,IF(AE1360="me",0,IF(G1360&gt;0,(VLOOKUP(A1360,'Discount Lookup'!J:K,2)*G1360),0))))</f>
        <v>0</v>
      </c>
      <c r="AJ1360" s="107" t="str">
        <f t="shared" ca="1" si="975"/>
        <v/>
      </c>
      <c r="AK1360" s="714" t="str">
        <f t="shared" si="976"/>
        <v/>
      </c>
      <c r="AL1360" s="714"/>
      <c r="AM1360" s="114" t="str">
        <f t="shared" si="977"/>
        <v/>
      </c>
      <c r="AN1360" s="115"/>
      <c r="AO1360" s="116"/>
      <c r="AP1360" s="116"/>
      <c r="AQ1360" s="116"/>
      <c r="AR1360" s="116"/>
      <c r="AS1360" s="116"/>
      <c r="AT1360" s="116"/>
      <c r="AU1360" s="116"/>
      <c r="AV1360" s="78"/>
      <c r="AW1360" s="102"/>
      <c r="AX1360" s="78"/>
      <c r="AY1360" s="78"/>
      <c r="AZ1360" s="78"/>
      <c r="BA1360" s="78"/>
      <c r="BB1360" s="78"/>
      <c r="BC1360" s="78"/>
      <c r="BD1360" s="78"/>
      <c r="BE1360" s="465"/>
      <c r="BF1360" s="165" t="str">
        <f t="shared" si="978"/>
        <v>https://www.google.com/search?tbm=isch&amp;q=10%20G4</v>
      </c>
      <c r="BG1360" s="165" t="str">
        <f t="shared" si="979"/>
        <v>C</v>
      </c>
      <c r="BH1360" s="65"/>
      <c r="BI1360" s="65"/>
      <c r="BJ1360" s="65"/>
      <c r="BK1360" s="65"/>
      <c r="BL1360" s="99"/>
      <c r="BM1360" s="99"/>
      <c r="BN1360" s="99"/>
    </row>
    <row r="1361" spans="1:66" s="51" customFormat="1" ht="15.75" x14ac:dyDescent="0.25">
      <c r="A1361" s="634">
        <v>20</v>
      </c>
      <c r="B1361" s="635" t="s">
        <v>291</v>
      </c>
      <c r="C1361" s="636" t="s">
        <v>2342</v>
      </c>
      <c r="D1361" s="637" t="s">
        <v>299</v>
      </c>
      <c r="E1361" s="638">
        <v>424.95</v>
      </c>
      <c r="F1361" s="639" t="s">
        <v>292</v>
      </c>
      <c r="G1361" s="484">
        <v>0</v>
      </c>
      <c r="H1361" s="691" t="str">
        <f>IF(G1361=0,"",IF(F1361="Buy",IF(G1361=1,"plant","plants"),IF(F1361&gt;0.01,"warranty","Error")))</f>
        <v/>
      </c>
      <c r="I1361" s="640">
        <f>IF(H1361="free",0,IF(H1361="credit",((E1361*(F1361))*G1361*-1),IF(F1361="Buy",(E1361*G1361),((E1361*(1-F1361))*G1361))))</f>
        <v>0</v>
      </c>
      <c r="J1361" s="640">
        <f>IF(H1361="warranty",0,(I1361*(_xlfn.SINGLE(SalesTaxPercentage))))</f>
        <v>0</v>
      </c>
      <c r="K1361" s="716">
        <f t="shared" ref="K1361" si="1014">I1361+J1361</f>
        <v>0</v>
      </c>
      <c r="L1361" s="716"/>
      <c r="M1361" s="689" t="str">
        <f ca="1">IF(AND(G1361&gt;0,E1361=0),"WARNING - no PRICE inserted",IF(H1361="free","FREE ~ no charge this plant",IF(H1361="credit",CONCATENATE("-$",ROUND(K1361*(1-_xlfn.SINGLE(T2GDiscount))*-1,2)," CREDIT after discount"),IF(_xlfn.SINGLE(T2GDiscount)=0,"",IF(G1361=0,"",IF(F1361="Buy",CONCATENATE("$",ROUND(K1361*(1-_xlfn.SINGLE(T2GDiscount)),2)," with ",(_xlfn.SINGLE(T2GDiscount)*100),"% discount"),CONCATENATE("$",ROUND(K1361*(1-_xlfn.SINGLE(T2GDiscount)),2)," with ",((_xlfn.SINGLE(T2GDiscount)*100+F1361*100)-(_xlfn.SINGLE(T2GDiscount)*100*F1361)),IF(F1361&gt;0,"% discounts",IF(_xlfn.SINGLE(NoWarrantyDiscount)&gt;0,"% discounts","% discount")))))))))</f>
        <v/>
      </c>
      <c r="N1361" s="690"/>
      <c r="O1361" s="486"/>
      <c r="P1361" s="486"/>
      <c r="Q1361" s="486"/>
      <c r="R1361" s="486"/>
      <c r="S1361" s="486"/>
      <c r="T1361" s="102">
        <f t="shared" si="967"/>
        <v>0</v>
      </c>
      <c r="U1361" s="78">
        <f>IF(NOT(ISNUMBER(G1361)), "", VLOOKUP(A1361,'Discount Lookup'!D:E,2,FALSE)*G1361)</f>
        <v>0</v>
      </c>
      <c r="V1361" s="78">
        <f>IF(NOT(ISNUMBER(G1361)), "", VLOOKUP(A1361,'Discount Lookup'!G:H,2,FALSE)*G1361)</f>
        <v>0</v>
      </c>
      <c r="W1361" s="102">
        <f t="shared" si="968"/>
        <v>0</v>
      </c>
      <c r="X1361" s="102">
        <f t="shared" si="969"/>
        <v>0</v>
      </c>
      <c r="Y1361" s="120" t="b">
        <f t="shared" si="970"/>
        <v>0</v>
      </c>
      <c r="Z1361" s="117">
        <f t="shared" si="971"/>
        <v>0</v>
      </c>
      <c r="AA1361" s="118"/>
      <c r="AB1361" s="118" t="str">
        <f t="shared" si="972"/>
        <v/>
      </c>
      <c r="AC1361" s="712" t="str">
        <f>IF(AE1361="T2G","no charge",IF(AND(OR(PlanterYesMe="No",PlanterYesMe="N",PlanterYesMe="me"),H1361=""),"",IF(H1361="credit","NO install",IF(AND(K1361="",AE1361="me"),"EACH row",IF(AND(K1361="images",AE1361="me"),"EACH row",IF(D1361="","",IF(H1361="credit","",IF(AE1361="free","re-planting",IF(AE1361="me","   not ELP, by",IF(AND(OR(PlanterYesMe="Yes",PlanterYesMe="Y"),G1361&gt;0),(VLOOKUP(A1361,'Discount Lookup'!J:K,2)*G1361*(1-PlanterDiscount)*(1+PlanterDifficultyPercentage)),IF(AE1361="ELP",(VLOOKUP(A1361,'Discount Lookup'!J:K,2)*G1361*(1-PlanterDiscount)*(1+PlanterDifficultyPercentage)),IF(AE1361="free","re-planting",IF(G1361=0,"",IF(PlanterYesMe="",IF(AE1361="me","   not ELP, by",IF(AE1361="",IF(G1361&gt;0,(VLOOKUP(A1361,'Discount Lookup'!J:K,2)*G1361*(1-PlanterDiscount)*(1+PlanterDifficultyPercentage)),""),"")),"   not ELP, by"))))))))))))))</f>
        <v/>
      </c>
      <c r="AD1361" s="712"/>
      <c r="AE1361" s="513" t="str">
        <f t="shared" si="973"/>
        <v/>
      </c>
      <c r="AF1361" s="713" t="str">
        <f t="shared" si="974"/>
        <v/>
      </c>
      <c r="AG1361" s="713"/>
      <c r="AH1361" s="713"/>
      <c r="AI1361" s="112">
        <f>IF(H1361="credit",0,IF(AE1361="free",0,IF(AE1361="me",0,IF(G1361&gt;0,(VLOOKUP(A1361,'Discount Lookup'!J:K,2)*G1361),0))))</f>
        <v>0</v>
      </c>
      <c r="AJ1361" s="107" t="str">
        <f t="shared" ca="1" si="975"/>
        <v/>
      </c>
      <c r="AK1361" s="714" t="str">
        <f t="shared" si="976"/>
        <v/>
      </c>
      <c r="AL1361" s="714"/>
      <c r="AM1361" s="114" t="str">
        <f t="shared" si="977"/>
        <v/>
      </c>
      <c r="AN1361" s="115"/>
      <c r="AO1361" s="116"/>
      <c r="AP1361" s="116"/>
      <c r="AQ1361" s="116"/>
      <c r="AR1361" s="116"/>
      <c r="AS1361" s="116"/>
      <c r="AT1361" s="116"/>
      <c r="AU1361" s="116"/>
      <c r="AV1361" s="78"/>
      <c r="AW1361" s="102"/>
      <c r="AX1361" s="78"/>
      <c r="AY1361" s="78"/>
      <c r="AZ1361" s="78"/>
      <c r="BA1361" s="78"/>
      <c r="BB1361" s="78"/>
      <c r="BC1361" s="78"/>
      <c r="BD1361" s="78"/>
      <c r="BE1361" s="465"/>
      <c r="BF1361" s="165" t="str">
        <f t="shared" si="978"/>
        <v>https://www.google.com/search?tbm=isch&amp;q=20%20G4</v>
      </c>
      <c r="BG1361" s="165" t="str">
        <f t="shared" si="979"/>
        <v>C</v>
      </c>
      <c r="BH1361" s="65"/>
      <c r="BI1361" s="65"/>
      <c r="BJ1361" s="65"/>
      <c r="BK1361" s="65"/>
      <c r="BL1361" s="99"/>
      <c r="BM1361" s="99"/>
      <c r="BN1361" s="99"/>
    </row>
    <row r="1362" spans="1:66" s="51" customFormat="1" ht="17.25" thickBot="1" x14ac:dyDescent="0.3">
      <c r="A1362" s="641" t="s">
        <v>4712</v>
      </c>
      <c r="B1362" s="642"/>
      <c r="C1362" s="710"/>
      <c r="D1362" s="643"/>
      <c r="E1362" s="643"/>
      <c r="F1362" s="644"/>
      <c r="G1362" s="645"/>
      <c r="H1362" s="646"/>
      <c r="I1362" s="647"/>
      <c r="J1362" s="648"/>
      <c r="K1362" s="649"/>
      <c r="L1362" s="650"/>
      <c r="M1362" s="650"/>
      <c r="N1362" s="644"/>
      <c r="O1362" s="644"/>
      <c r="P1362" s="644"/>
      <c r="Q1362" s="644"/>
      <c r="R1362" s="644"/>
      <c r="S1362" s="701" t="s">
        <v>5271</v>
      </c>
      <c r="T1362" s="102">
        <f t="shared" si="967"/>
        <v>0</v>
      </c>
      <c r="U1362" s="78" t="str">
        <f>IF(NOT(ISNUMBER(G1362)), "", VLOOKUP(A1362,'Discount Lookup'!D:E,2,FALSE)*G1362)</f>
        <v/>
      </c>
      <c r="V1362" s="78" t="str">
        <f>IF(NOT(ISNUMBER(G1362)), "", VLOOKUP(A1362,'Discount Lookup'!G:H,2,FALSE)*G1362)</f>
        <v/>
      </c>
      <c r="W1362" s="102">
        <f t="shared" si="968"/>
        <v>0</v>
      </c>
      <c r="X1362" s="102">
        <f t="shared" si="969"/>
        <v>0</v>
      </c>
      <c r="Y1362" s="120" t="b">
        <f t="shared" si="970"/>
        <v>0</v>
      </c>
      <c r="Z1362" s="117">
        <f t="shared" si="971"/>
        <v>0</v>
      </c>
      <c r="AA1362" s="118"/>
      <c r="AB1362" s="118" t="str">
        <f t="shared" si="972"/>
        <v/>
      </c>
      <c r="AC1362" s="712" t="str">
        <f>IF(AE1362="T2G","no charge",IF(AND(OR(PlanterYesMe="No",PlanterYesMe="N",PlanterYesMe="me"),H1362=""),"",IF(H1362="credit","NO install",IF(AND(K1362="",AE1362="me"),"EACH row",IF(AND(K1362="images",AE1362="me"),"EACH row",IF(D1362="","",IF(H1362="credit","",IF(AE1362="free","re-planting",IF(AE1362="me","   not ELP, by",IF(AND(OR(PlanterYesMe="Yes",PlanterYesMe="Y"),G1362&gt;0),(VLOOKUP(A1362,'Discount Lookup'!J:K,2)*G1362*(1-PlanterDiscount)*(1+PlanterDifficultyPercentage)),IF(AE1362="ELP",(VLOOKUP(A1362,'Discount Lookup'!J:K,2)*G1362*(1-PlanterDiscount)*(1+PlanterDifficultyPercentage)),IF(AE1362="free","re-planting",IF(G1362=0,"",IF(PlanterYesMe="",IF(AE1362="me","   not ELP, by",IF(AE1362="",IF(G1362&gt;0,(VLOOKUP(A1362,'Discount Lookup'!J:K,2)*G1362*(1-PlanterDiscount)*(1+PlanterDifficultyPercentage)),""),"")),"   not ELP, by"))))))))))))))</f>
        <v/>
      </c>
      <c r="AD1362" s="712"/>
      <c r="AE1362" s="513" t="str">
        <f t="shared" si="973"/>
        <v/>
      </c>
      <c r="AF1362" s="713" t="str">
        <f t="shared" si="974"/>
        <v/>
      </c>
      <c r="AG1362" s="713"/>
      <c r="AH1362" s="713"/>
      <c r="AI1362" s="112">
        <f>IF(H1362="credit",0,IF(AE1362="free",0,IF(AE1362="me",0,IF(G1362&gt;0,(VLOOKUP(A1362,'Discount Lookup'!J:K,2)*G1362),0))))</f>
        <v>0</v>
      </c>
      <c r="AJ1362" s="107" t="str">
        <f t="shared" ca="1" si="975"/>
        <v/>
      </c>
      <c r="AK1362" s="714" t="str">
        <f t="shared" si="976"/>
        <v/>
      </c>
      <c r="AL1362" s="714"/>
      <c r="AM1362" s="114" t="str">
        <f t="shared" si="977"/>
        <v/>
      </c>
      <c r="AN1362" s="115"/>
      <c r="AO1362" s="116"/>
      <c r="AP1362" s="116"/>
      <c r="AQ1362" s="116"/>
      <c r="AR1362" s="116"/>
      <c r="AS1362" s="116"/>
      <c r="AT1362" s="116"/>
      <c r="AU1362" s="116"/>
      <c r="AV1362" s="78"/>
      <c r="AW1362" s="102"/>
      <c r="AX1362" s="78"/>
      <c r="AY1362" s="78"/>
      <c r="AZ1362" s="78"/>
      <c r="BA1362" s="78"/>
      <c r="BB1362" s="78"/>
      <c r="BC1362" s="78"/>
      <c r="BD1362" s="78"/>
      <c r="BE1362" s="465"/>
      <c r="BF1362" s="165" t="str">
        <f t="shared" si="978"/>
        <v>https://www.google.com/search?tbm=isch&amp;q=Celestial%20Shadow%20bright%20yellow%20foliage%20variegated%20with%20deep%20green%20centers.%20Rather%20sun-tolerant%20dogwood%20</v>
      </c>
      <c r="BG1362" s="165" t="str">
        <f t="shared" si="979"/>
        <v>C</v>
      </c>
      <c r="BH1362" s="65"/>
      <c r="BI1362" s="65"/>
      <c r="BJ1362" s="65"/>
      <c r="BK1362" s="65"/>
      <c r="BL1362" s="99"/>
      <c r="BM1362" s="99"/>
      <c r="BN1362" s="99"/>
    </row>
    <row r="1363" spans="1:66" s="51" customFormat="1" ht="18" x14ac:dyDescent="0.25">
      <c r="A1363" s="623" t="s">
        <v>4713</v>
      </c>
      <c r="B1363" s="624"/>
      <c r="C1363" s="709"/>
      <c r="D1363" s="625" t="s">
        <v>5648</v>
      </c>
      <c r="E1363" s="626"/>
      <c r="F1363" s="626"/>
      <c r="G1363" s="626"/>
      <c r="H1363" s="622" t="s">
        <v>1158</v>
      </c>
      <c r="I1363" s="627" t="s">
        <v>349</v>
      </c>
      <c r="J1363" s="628"/>
      <c r="K1363" s="628"/>
      <c r="L1363" s="629"/>
      <c r="M1363" s="700" t="s">
        <v>5249</v>
      </c>
      <c r="N1363" s="693" t="str">
        <f>IF(AND(ISTEXT($A1363), ISERROR($A1363+0)), HYPERLINK($BF1363, "Images"), "")</f>
        <v>Images</v>
      </c>
      <c r="O1363" s="695" t="s">
        <v>5247</v>
      </c>
      <c r="P1363" s="630"/>
      <c r="Q1363" s="631"/>
      <c r="R1363" s="632"/>
      <c r="S1363" s="633"/>
      <c r="T1363" s="102">
        <f t="shared" si="967"/>
        <v>0</v>
      </c>
      <c r="U1363" s="78" t="str">
        <f>IF(NOT(ISNUMBER(G1363)), "", VLOOKUP(A1363,'Discount Lookup'!D:E,2,FALSE)*G1363)</f>
        <v/>
      </c>
      <c r="V1363" s="78" t="str">
        <f>IF(NOT(ISNUMBER(G1363)), "", VLOOKUP(A1363,'Discount Lookup'!G:H,2,FALSE)*G1363)</f>
        <v/>
      </c>
      <c r="W1363" s="102">
        <f t="shared" si="968"/>
        <v>0</v>
      </c>
      <c r="X1363" s="102" t="str">
        <f t="shared" si="969"/>
        <v>White bloom</v>
      </c>
      <c r="Y1363" s="120" t="b">
        <f t="shared" si="970"/>
        <v>0</v>
      </c>
      <c r="Z1363" s="117">
        <f t="shared" si="971"/>
        <v>0</v>
      </c>
      <c r="AA1363" s="118"/>
      <c r="AB1363" s="118" t="str">
        <f t="shared" si="972"/>
        <v/>
      </c>
      <c r="AC1363" s="712" t="str">
        <f>IF(AE1363="T2G","no charge",IF(AND(OR(PlanterYesMe="No",PlanterYesMe="N",PlanterYesMe="me"),H1363=""),"",IF(H1363="credit","NO install",IF(AND(K1363="",AE1363="me"),"EACH row",IF(AND(K1363="images",AE1363="me"),"EACH row",IF(D1363="","",IF(H1363="credit","",IF(AE1363="free","re-planting",IF(AE1363="me","   not ELP, by",IF(AND(OR(PlanterYesMe="Yes",PlanterYesMe="Y"),G1363&gt;0),(VLOOKUP(A1363,'Discount Lookup'!J:K,2)*G1363*(1-PlanterDiscount)*(1+PlanterDifficultyPercentage)),IF(AE1363="ELP",(VLOOKUP(A1363,'Discount Lookup'!J:K,2)*G1363*(1-PlanterDiscount)*(1+PlanterDifficultyPercentage)),IF(AE1363="free","re-planting",IF(G1363=0,"",IF(PlanterYesMe="",IF(AE1363="me","   not ELP, by",IF(AE1363="",IF(G1363&gt;0,(VLOOKUP(A1363,'Discount Lookup'!J:K,2)*G1363*(1-PlanterDiscount)*(1+PlanterDifficultyPercentage)),""),"")),"   not ELP, by"))))))))))))))</f>
        <v/>
      </c>
      <c r="AD1363" s="712"/>
      <c r="AE1363" s="513" t="str">
        <f t="shared" si="973"/>
        <v/>
      </c>
      <c r="AF1363" s="713" t="str">
        <f t="shared" si="974"/>
        <v/>
      </c>
      <c r="AG1363" s="713"/>
      <c r="AH1363" s="713"/>
      <c r="AI1363" s="112">
        <f>IF(H1363="credit",0,IF(AE1363="free",0,IF(AE1363="me",0,IF(G1363&gt;0,(VLOOKUP(A1363,'Discount Lookup'!J:K,2)*G1363),0))))</f>
        <v>0</v>
      </c>
      <c r="AJ1363" s="107" t="str">
        <f t="shared" ca="1" si="975"/>
        <v/>
      </c>
      <c r="AK1363" s="714" t="str">
        <f t="shared" si="976"/>
        <v/>
      </c>
      <c r="AL1363" s="714"/>
      <c r="AM1363" s="114" t="str">
        <f t="shared" si="977"/>
        <v/>
      </c>
      <c r="AN1363" s="115"/>
      <c r="AO1363" s="116"/>
      <c r="AP1363" s="116"/>
      <c r="AQ1363" s="116"/>
      <c r="AR1363" s="116"/>
      <c r="AS1363" s="116"/>
      <c r="AT1363" s="116"/>
      <c r="AU1363" s="116"/>
      <c r="AV1363" s="78"/>
      <c r="AW1363" s="102"/>
      <c r="AX1363" s="78"/>
      <c r="AY1363" s="78"/>
      <c r="AZ1363" s="78"/>
      <c r="BA1363" s="78"/>
      <c r="BB1363" s="78"/>
      <c r="BC1363" s="78"/>
      <c r="BD1363" s="78"/>
      <c r="BE1363" s="465"/>
      <c r="BF1363" s="165" t="str">
        <f t="shared" si="978"/>
        <v>https://www.google.com/search?tbm=isch&amp;q=Cornus%20x%20rutgersensis%20%27Rutcan%27%20PP%237210Exp.%20Constellation%C2%AE%20Dogwood</v>
      </c>
      <c r="BG1363" s="165" t="str">
        <f t="shared" si="979"/>
        <v>C</v>
      </c>
      <c r="BH1363" s="65"/>
      <c r="BI1363" s="65"/>
      <c r="BJ1363" s="65"/>
      <c r="BK1363" s="65"/>
      <c r="BL1363" s="99"/>
      <c r="BM1363" s="99"/>
      <c r="BN1363" s="99"/>
    </row>
    <row r="1364" spans="1:66" s="51" customFormat="1" ht="15.75" x14ac:dyDescent="0.25">
      <c r="A1364" s="634">
        <v>15</v>
      </c>
      <c r="B1364" s="635" t="s">
        <v>291</v>
      </c>
      <c r="C1364" s="636" t="s">
        <v>5164</v>
      </c>
      <c r="D1364" s="637" t="s">
        <v>299</v>
      </c>
      <c r="E1364" s="638">
        <v>192.95</v>
      </c>
      <c r="F1364" s="639" t="s">
        <v>292</v>
      </c>
      <c r="G1364" s="484">
        <v>0</v>
      </c>
      <c r="H1364" s="691" t="str">
        <f>IF(G1364=0,"",IF(F1364="Buy",IF(G1364=1,"plant","plants"),IF(F1364&gt;0.01,"warranty","Error")))</f>
        <v/>
      </c>
      <c r="I1364" s="640">
        <f>IF(H1364="free",0,IF(H1364="credit",((E1364*(F1364))*G1364*-1),IF(F1364="Buy",(E1364*G1364),((E1364*(1-F1364))*G1364))))</f>
        <v>0</v>
      </c>
      <c r="J1364" s="640">
        <f>IF(H1364="warranty",0,(I1364*(_xlfn.SINGLE(SalesTaxPercentage))))</f>
        <v>0</v>
      </c>
      <c r="K1364" s="716">
        <f t="shared" ref="K1364" si="1015">I1364+J1364</f>
        <v>0</v>
      </c>
      <c r="L1364" s="716"/>
      <c r="M1364" s="689" t="str">
        <f ca="1">IF(AND(G1364&gt;0,E1364=0),"WARNING - no PRICE inserted",IF(H1364="free","FREE ~ no charge this plant",IF(H1364="credit",CONCATENATE("-$",ROUND(K1364*(1-_xlfn.SINGLE(T2GDiscount))*-1,2)," CREDIT after discount"),IF(_xlfn.SINGLE(T2GDiscount)=0,"",IF(G1364=0,"",IF(F1364="Buy",CONCATENATE("$",ROUND(K1364*(1-_xlfn.SINGLE(T2GDiscount)),2)," with ",(_xlfn.SINGLE(T2GDiscount)*100),"% discount"),CONCATENATE("$",ROUND(K1364*(1-_xlfn.SINGLE(T2GDiscount)),2)," with ",((_xlfn.SINGLE(T2GDiscount)*100+F1364*100)-(_xlfn.SINGLE(T2GDiscount)*100*F1364)),IF(F1364&gt;0,"% discounts",IF(_xlfn.SINGLE(NoWarrantyDiscount)&gt;0,"% discounts","% discount")))))))))</f>
        <v/>
      </c>
      <c r="N1364" s="690"/>
      <c r="O1364" s="486"/>
      <c r="P1364" s="486"/>
      <c r="Q1364" s="486"/>
      <c r="R1364" s="486"/>
      <c r="S1364" s="486"/>
      <c r="T1364" s="102">
        <f t="shared" ref="T1364:T1427" si="1016">E1364*G1364</f>
        <v>0</v>
      </c>
      <c r="U1364" s="78">
        <f>IF(NOT(ISNUMBER(G1364)), "", VLOOKUP(A1364,'Discount Lookup'!D:E,2,FALSE)*G1364)</f>
        <v>0</v>
      </c>
      <c r="V1364" s="78">
        <f>IF(NOT(ISNUMBER(G1364)), "", VLOOKUP(A1364,'Discount Lookup'!G:H,2,FALSE)*G1364)</f>
        <v>0</v>
      </c>
      <c r="W1364" s="102">
        <f t="shared" ref="W1364:W1427" si="1017">IF(H1364="credit",0,E1364*(SalesTaxPercentage)*G1364)</f>
        <v>0</v>
      </c>
      <c r="X1364" s="102">
        <f t="shared" ref="X1364:X1427" si="1018">I1364</f>
        <v>0</v>
      </c>
      <c r="Y1364" s="120" t="b">
        <f t="shared" ref="Y1364:Y1427" si="1019">IF(AE1364="T2G",0,IF(H1364="credit",0,IF(G1364&gt;0,IF(AE1364="me","",G1364))))</f>
        <v>0</v>
      </c>
      <c r="Z1364" s="117">
        <f t="shared" ref="Z1364:Z1427" si="1020">IF(H1364="credit",G1364,0)</f>
        <v>0</v>
      </c>
      <c r="AA1364" s="118"/>
      <c r="AB1364" s="118" t="str">
        <f t="shared" ref="AB1364:AB1427" si="1021">IF(AE1364="T2G","by Trees2Go",IF(H1364="credit","CREDIT only ~",IF(AND(K1364="",AE1364=OR(PlanterYesMe="No",PlanterYesMe="N",PlanterYesMe="me")),"not THIS line⇨",IF(AND(K1364="images",AE1364="me"),"not THIS line⇨",IF(H1364="credit","",IF(G1364=0,"",IF(AE1364="me","",IF(OR(PlanterYesMe="No",PlanterYesMe="N",PlanterYesMe="me"),"",IF(AE1364="free","warranty",IF(OR(PlanterYesMe="yes",PlanterYesMe="y"),"Edison install:","to install:"))))))))))</f>
        <v/>
      </c>
      <c r="AC1364" s="712" t="str">
        <f>IF(AE1364="T2G","no charge",IF(AND(OR(PlanterYesMe="No",PlanterYesMe="N",PlanterYesMe="me"),H1364=""),"",IF(H1364="credit","NO install",IF(AND(K1364="",AE1364="me"),"EACH row",IF(AND(K1364="images",AE1364="me"),"EACH row",IF(D1364="","",IF(H1364="credit","",IF(AE1364="free","re-planting",IF(AE1364="me","   not ELP, by",IF(AND(OR(PlanterYesMe="Yes",PlanterYesMe="Y"),G1364&gt;0),(VLOOKUP(A1364,'Discount Lookup'!J:K,2)*G1364*(1-PlanterDiscount)*(1+PlanterDifficultyPercentage)),IF(AE1364="ELP",(VLOOKUP(A1364,'Discount Lookup'!J:K,2)*G1364*(1-PlanterDiscount)*(1+PlanterDifficultyPercentage)),IF(AE1364="free","re-planting",IF(G1364=0,"",IF(PlanterYesMe="",IF(AE1364="me","   not ELP, by",IF(AE1364="",IF(G1364&gt;0,(VLOOKUP(A1364,'Discount Lookup'!J:K,2)*G1364*(1-PlanterDiscount)*(1+PlanterDifficultyPercentage)),""),"")),"   not ELP, by"))))))))))))))</f>
        <v/>
      </c>
      <c r="AD1364" s="712"/>
      <c r="AE1364" s="513" t="str">
        <f t="shared" ref="AE1364:AE1427" si="1022">IF(H1364="credit","",IF(G1364=0,"",IF(OR(PlanterYesMe="No",PlanterYesMe="N",PlanterYesMe="me"),"me",IF(H1364="warranty","free",IF(OR(PlanterYesMe="yes",PlanterYesMe="y"),"ELP","")))))</f>
        <v/>
      </c>
      <c r="AF1364" s="713" t="str">
        <f t="shared" ref="AF1364:AF1427" si="1023">IF(OR(PlanterYesMe="No",PlanterYesMe="N",PlanterYesMe="me"),"",IF(H1364="credit","",IF(G1364&gt;0,(CONCATENATE((G1364)," quantity, ",(A1364)," ",B1364)),"")))</f>
        <v/>
      </c>
      <c r="AG1364" s="713"/>
      <c r="AH1364" s="713"/>
      <c r="AI1364" s="112">
        <f>IF(H1364="credit",0,IF(AE1364="free",0,IF(AE1364="me",0,IF(G1364&gt;0,(VLOOKUP(A1364,'Discount Lookup'!J:K,2)*G1364),0))))</f>
        <v>0</v>
      </c>
      <c r="AJ1364" s="107" t="str">
        <f t="shared" ref="AJ1364:AJ1427" ca="1" si="1024">IF(AND(ISREF(H1364),H1364="credit"),"",IF(AND(AND(OFFSET(G1364,0,0)=0,OFFSET(G1364,1,0)&gt;0,ISNUMBER(OFFSET(AC1364,1,0)),OFFSET(AC1364,1,0)&gt;0),OR(PlanterYesMe="yes",PlanterYesMe="y")),"T2G+ELP=",IF(AND(OFFSET(G1364,0,0)=0,OFFSET(G1364,1,0)&gt;0,ISNUMBER(OFFSET(AC1364,1,0)),OFFSET(AC1364,1,0)&gt;0),"if T2G+ELP=",IF(AND(OFFSET(G1364,0,0)=0,OFFSET(G1364,1,0)&gt;0),"T2G Subtotal",IF(H1364="credit","",IF(G1364=0,"",IF(AE1364="free",(K1364*(1-T2GDiscount)),IF(OR(PlanterYesMe="No",PlanterYesMe="N",PlanterYesMe="me"),(K1364*(1-T2GDiscount)),IF(OR(AE1364="me",AE1364="T2G"),(K1364*(1-T2GDiscount)),(K1364*(1-T2GDiscount))+AC1364)))))))))</f>
        <v/>
      </c>
      <c r="AK1364" s="714" t="str">
        <f t="shared" ref="AK1364:AK1427" si="1025">IF(H1364="credit","",IF(G1364=0,"",IF(OR(AE1364="me",AE1364="T2G"),"  delivery-only",IF(OR(PlanterYesMe="No",PlanterYesMe="N",PlanterYesMe="me"),"  delivery-only",CONCATENATE(" $",ROUND(AJ1364/G1364,2)," each")))))</f>
        <v/>
      </c>
      <c r="AL1364" s="714"/>
      <c r="AM1364" s="114" t="str">
        <f t="shared" ref="AM1364:AM1427" si="1026">IF(H1364="credit","",IF(AE1364="free","      ~ discounts included, no tax or planting fee applies ~",IF(G1364=0,"",IF(OR(PlanterYesMe="No",PlanterYesMe="N",PlanterYesMe="me"),CONCATENATE(" $",ROUND(AJ1364/G1364,2)," per plant, with tax &amp; discount"),IF(OR(AE1364="me",AE1364="T2G"),CONCATENATE(" $",ROUND(AJ1364/G1364,2)," per plant, with tax &amp; discount"),CONCATENATE("= $",ROUND((K1364*(1-T2GDiscount))/G1364,2)," per plant + $",AC1364/G1364,(" per planting      ~ includes tax &amp; discounts ~")))))))</f>
        <v/>
      </c>
      <c r="AN1364" s="115"/>
      <c r="AO1364" s="116"/>
      <c r="AP1364" s="116"/>
      <c r="AQ1364" s="116"/>
      <c r="AR1364" s="116"/>
      <c r="AS1364" s="116"/>
      <c r="AT1364" s="116"/>
      <c r="AU1364" s="116"/>
      <c r="AV1364" s="78"/>
      <c r="AW1364" s="102"/>
      <c r="AX1364" s="78"/>
      <c r="AY1364" s="78"/>
      <c r="AZ1364" s="78"/>
      <c r="BA1364" s="78"/>
      <c r="BB1364" s="78"/>
      <c r="BC1364" s="78"/>
      <c r="BD1364" s="78"/>
      <c r="BE1364" s="465"/>
      <c r="BF1364" s="165" t="str">
        <f t="shared" ref="BF1364:BF1427" si="1027">"https://www.google.com/search?tbm=isch&amp;q=" &amp; _xlfn.ENCODEURL($A1364 &amp; " " &amp; $D1364)</f>
        <v>https://www.google.com/search?tbm=isch&amp;q=15%20G4</v>
      </c>
      <c r="BG1364" s="165" t="str">
        <f t="shared" ref="BG1364:BG1427" si="1028">IF(ISTEXT(A1364),LEFT(A1364,1),BG1363)</f>
        <v>C</v>
      </c>
      <c r="BH1364" s="65"/>
      <c r="BI1364" s="65"/>
      <c r="BJ1364" s="65"/>
      <c r="BK1364" s="65"/>
      <c r="BL1364" s="99"/>
      <c r="BM1364" s="99"/>
      <c r="BN1364" s="99"/>
    </row>
    <row r="1365" spans="1:66" s="51" customFormat="1" ht="17.25" thickBot="1" x14ac:dyDescent="0.3">
      <c r="A1365" s="641" t="s">
        <v>4714</v>
      </c>
      <c r="B1365" s="642"/>
      <c r="C1365" s="710"/>
      <c r="D1365" s="643"/>
      <c r="E1365" s="643"/>
      <c r="F1365" s="644"/>
      <c r="G1365" s="645"/>
      <c r="H1365" s="646"/>
      <c r="I1365" s="647"/>
      <c r="J1365" s="648"/>
      <c r="K1365" s="649"/>
      <c r="L1365" s="650"/>
      <c r="M1365" s="650"/>
      <c r="N1365" s="644"/>
      <c r="O1365" s="644"/>
      <c r="P1365" s="644"/>
      <c r="Q1365" s="644"/>
      <c r="R1365" s="644"/>
      <c r="S1365" s="701" t="s">
        <v>5271</v>
      </c>
      <c r="T1365" s="102">
        <f t="shared" si="1016"/>
        <v>0</v>
      </c>
      <c r="U1365" s="78" t="str">
        <f>IF(NOT(ISNUMBER(G1365)), "", VLOOKUP(A1365,'Discount Lookup'!D:E,2,FALSE)*G1365)</f>
        <v/>
      </c>
      <c r="V1365" s="78" t="str">
        <f>IF(NOT(ISNUMBER(G1365)), "", VLOOKUP(A1365,'Discount Lookup'!G:H,2,FALSE)*G1365)</f>
        <v/>
      </c>
      <c r="W1365" s="102">
        <f t="shared" si="1017"/>
        <v>0</v>
      </c>
      <c r="X1365" s="102">
        <f t="shared" si="1018"/>
        <v>0</v>
      </c>
      <c r="Y1365" s="120" t="b">
        <f t="shared" si="1019"/>
        <v>0</v>
      </c>
      <c r="Z1365" s="117">
        <f t="shared" si="1020"/>
        <v>0</v>
      </c>
      <c r="AA1365" s="118"/>
      <c r="AB1365" s="118" t="str">
        <f t="shared" si="1021"/>
        <v/>
      </c>
      <c r="AC1365" s="712" t="str">
        <f>IF(AE1365="T2G","no charge",IF(AND(OR(PlanterYesMe="No",PlanterYesMe="N",PlanterYesMe="me"),H1365=""),"",IF(H1365="credit","NO install",IF(AND(K1365="",AE1365="me"),"EACH row",IF(AND(K1365="images",AE1365="me"),"EACH row",IF(D1365="","",IF(H1365="credit","",IF(AE1365="free","re-planting",IF(AE1365="me","   not ELP, by",IF(AND(OR(PlanterYesMe="Yes",PlanterYesMe="Y"),G1365&gt;0),(VLOOKUP(A1365,'Discount Lookup'!J:K,2)*G1365*(1-PlanterDiscount)*(1+PlanterDifficultyPercentage)),IF(AE1365="ELP",(VLOOKUP(A1365,'Discount Lookup'!J:K,2)*G1365*(1-PlanterDiscount)*(1+PlanterDifficultyPercentage)),IF(AE1365="free","re-planting",IF(G1365=0,"",IF(PlanterYesMe="",IF(AE1365="me","   not ELP, by",IF(AE1365="",IF(G1365&gt;0,(VLOOKUP(A1365,'Discount Lookup'!J:K,2)*G1365*(1-PlanterDiscount)*(1+PlanterDifficultyPercentage)),""),"")),"   not ELP, by"))))))))))))))</f>
        <v/>
      </c>
      <c r="AD1365" s="712"/>
      <c r="AE1365" s="513" t="str">
        <f t="shared" si="1022"/>
        <v/>
      </c>
      <c r="AF1365" s="713" t="str">
        <f t="shared" si="1023"/>
        <v/>
      </c>
      <c r="AG1365" s="713"/>
      <c r="AH1365" s="713"/>
      <c r="AI1365" s="112">
        <f>IF(H1365="credit",0,IF(AE1365="free",0,IF(AE1365="me",0,IF(G1365&gt;0,(VLOOKUP(A1365,'Discount Lookup'!J:K,2)*G1365),0))))</f>
        <v>0</v>
      </c>
      <c r="AJ1365" s="107" t="str">
        <f t="shared" ca="1" si="1024"/>
        <v/>
      </c>
      <c r="AK1365" s="714" t="str">
        <f t="shared" si="1025"/>
        <v/>
      </c>
      <c r="AL1365" s="714"/>
      <c r="AM1365" s="114" t="str">
        <f t="shared" si="1026"/>
        <v/>
      </c>
      <c r="AN1365" s="115"/>
      <c r="AO1365" s="116"/>
      <c r="AP1365" s="116"/>
      <c r="AQ1365" s="116"/>
      <c r="AR1365" s="116"/>
      <c r="AS1365" s="116"/>
      <c r="AT1365" s="116"/>
      <c r="AU1365" s="116"/>
      <c r="AV1365" s="78"/>
      <c r="AW1365" s="102"/>
      <c r="AX1365" s="78"/>
      <c r="AY1365" s="78"/>
      <c r="AZ1365" s="78"/>
      <c r="BA1365" s="78"/>
      <c r="BB1365" s="78"/>
      <c r="BC1365" s="78"/>
      <c r="BD1365" s="78"/>
      <c r="BE1365" s="465"/>
      <c r="BF1365" s="165" t="str">
        <f t="shared" si="1027"/>
        <v>https://www.google.com/search?tbm=isch&amp;q=Constellation%20has%20a%20vigorous%20habit%20and%20profuse%20blooming.%20Good%20resistance%20to%20anthracnose%20and%20borers%20</v>
      </c>
      <c r="BG1365" s="165" t="str">
        <f t="shared" si="1028"/>
        <v>C</v>
      </c>
      <c r="BH1365" s="65"/>
      <c r="BI1365" s="65"/>
      <c r="BJ1365" s="65"/>
      <c r="BK1365" s="65"/>
      <c r="BL1365" s="99"/>
      <c r="BM1365" s="99"/>
      <c r="BN1365" s="99"/>
    </row>
    <row r="1366" spans="1:66" s="51" customFormat="1" ht="18" x14ac:dyDescent="0.25">
      <c r="A1366" s="623" t="s">
        <v>2343</v>
      </c>
      <c r="B1366" s="624"/>
      <c r="C1366" s="709"/>
      <c r="D1366" s="625" t="s">
        <v>5649</v>
      </c>
      <c r="E1366" s="626"/>
      <c r="F1366" s="626"/>
      <c r="G1366" s="626"/>
      <c r="H1366" s="622" t="s">
        <v>1158</v>
      </c>
      <c r="I1366" s="627" t="s">
        <v>349</v>
      </c>
      <c r="J1366" s="628"/>
      <c r="K1366" s="628"/>
      <c r="L1366" s="629"/>
      <c r="M1366" s="700" t="s">
        <v>5249</v>
      </c>
      <c r="N1366" s="693" t="str">
        <f>IF(AND(ISTEXT($A1366), ISERROR($A1366+0)), HYPERLINK($BF1366, "Images"), "")</f>
        <v>Images</v>
      </c>
      <c r="O1366" s="695" t="s">
        <v>5247</v>
      </c>
      <c r="P1366" s="630"/>
      <c r="Q1366" s="631"/>
      <c r="R1366" s="632"/>
      <c r="S1366" s="633"/>
      <c r="T1366" s="102">
        <f t="shared" si="1016"/>
        <v>0</v>
      </c>
      <c r="U1366" s="78" t="str">
        <f>IF(NOT(ISNUMBER(G1366)), "", VLOOKUP(A1366,'Discount Lookup'!D:E,2,FALSE)*G1366)</f>
        <v/>
      </c>
      <c r="V1366" s="78" t="str">
        <f>IF(NOT(ISNUMBER(G1366)), "", VLOOKUP(A1366,'Discount Lookup'!G:H,2,FALSE)*G1366)</f>
        <v/>
      </c>
      <c r="W1366" s="102">
        <f t="shared" si="1017"/>
        <v>0</v>
      </c>
      <c r="X1366" s="102" t="str">
        <f t="shared" si="1018"/>
        <v>White bloom</v>
      </c>
      <c r="Y1366" s="120" t="b">
        <f t="shared" si="1019"/>
        <v>0</v>
      </c>
      <c r="Z1366" s="117">
        <f t="shared" si="1020"/>
        <v>0</v>
      </c>
      <c r="AA1366" s="118"/>
      <c r="AB1366" s="118" t="str">
        <f t="shared" si="1021"/>
        <v/>
      </c>
      <c r="AC1366" s="712" t="str">
        <f>IF(AE1366="T2G","no charge",IF(AND(OR(PlanterYesMe="No",PlanterYesMe="N",PlanterYesMe="me"),H1366=""),"",IF(H1366="credit","NO install",IF(AND(K1366="",AE1366="me"),"EACH row",IF(AND(K1366="images",AE1366="me"),"EACH row",IF(D1366="","",IF(H1366="credit","",IF(AE1366="free","re-planting",IF(AE1366="me","   not ELP, by",IF(AND(OR(PlanterYesMe="Yes",PlanterYesMe="Y"),G1366&gt;0),(VLOOKUP(A1366,'Discount Lookup'!J:K,2)*G1366*(1-PlanterDiscount)*(1+PlanterDifficultyPercentage)),IF(AE1366="ELP",(VLOOKUP(A1366,'Discount Lookup'!J:K,2)*G1366*(1-PlanterDiscount)*(1+PlanterDifficultyPercentage)),IF(AE1366="free","re-planting",IF(G1366=0,"",IF(PlanterYesMe="",IF(AE1366="me","   not ELP, by",IF(AE1366="",IF(G1366&gt;0,(VLOOKUP(A1366,'Discount Lookup'!J:K,2)*G1366*(1-PlanterDiscount)*(1+PlanterDifficultyPercentage)),""),"")),"   not ELP, by"))))))))))))))</f>
        <v/>
      </c>
      <c r="AD1366" s="712"/>
      <c r="AE1366" s="513" t="str">
        <f t="shared" si="1022"/>
        <v/>
      </c>
      <c r="AF1366" s="713" t="str">
        <f t="shared" si="1023"/>
        <v/>
      </c>
      <c r="AG1366" s="713"/>
      <c r="AH1366" s="713"/>
      <c r="AI1366" s="112">
        <f>IF(H1366="credit",0,IF(AE1366="free",0,IF(AE1366="me",0,IF(G1366&gt;0,(VLOOKUP(A1366,'Discount Lookup'!J:K,2)*G1366),0))))</f>
        <v>0</v>
      </c>
      <c r="AJ1366" s="107" t="str">
        <f t="shared" ca="1" si="1024"/>
        <v/>
      </c>
      <c r="AK1366" s="714" t="str">
        <f t="shared" si="1025"/>
        <v/>
      </c>
      <c r="AL1366" s="714"/>
      <c r="AM1366" s="114" t="str">
        <f t="shared" si="1026"/>
        <v/>
      </c>
      <c r="AN1366" s="115"/>
      <c r="AO1366" s="116"/>
      <c r="AP1366" s="116"/>
      <c r="AQ1366" s="116"/>
      <c r="AR1366" s="116"/>
      <c r="AS1366" s="116"/>
      <c r="AT1366" s="116"/>
      <c r="AU1366" s="116"/>
      <c r="AV1366" s="78"/>
      <c r="AW1366" s="102"/>
      <c r="AX1366" s="78"/>
      <c r="AY1366" s="78"/>
      <c r="AZ1366" s="78"/>
      <c r="BA1366" s="78"/>
      <c r="BB1366" s="78"/>
      <c r="BC1366" s="78"/>
      <c r="BD1366" s="78"/>
      <c r="BE1366" s="465"/>
      <c r="BF1366" s="165" t="str">
        <f t="shared" si="1027"/>
        <v>https://www.google.com/search?tbm=isch&amp;q=Cornus%20x%20rutgersensis%20%27Rutdan%27%20PP%237204Exp.%20Celestial%C2%AE%20Dogwood</v>
      </c>
      <c r="BG1366" s="165" t="str">
        <f t="shared" si="1028"/>
        <v>C</v>
      </c>
      <c r="BH1366" s="65"/>
      <c r="BI1366" s="65"/>
      <c r="BJ1366" s="65"/>
      <c r="BK1366" s="65"/>
      <c r="BL1366" s="99"/>
      <c r="BM1366" s="99"/>
      <c r="BN1366" s="99"/>
    </row>
    <row r="1367" spans="1:66" s="51" customFormat="1" ht="15.75" x14ac:dyDescent="0.25">
      <c r="A1367" s="634">
        <v>7</v>
      </c>
      <c r="B1367" s="635" t="s">
        <v>291</v>
      </c>
      <c r="C1367" s="636" t="s">
        <v>2344</v>
      </c>
      <c r="D1367" s="637" t="s">
        <v>299</v>
      </c>
      <c r="E1367" s="638">
        <v>104.95</v>
      </c>
      <c r="F1367" s="639" t="s">
        <v>292</v>
      </c>
      <c r="G1367" s="484">
        <v>0</v>
      </c>
      <c r="H1367" s="691" t="str">
        <f>IF(G1367=0,"",IF(F1367="Buy",IF(G1367=1,"plant","plants"),IF(F1367&gt;0.01,"warranty","Error")))</f>
        <v/>
      </c>
      <c r="I1367" s="640">
        <f>IF(H1367="free",0,IF(H1367="credit",((E1367*(F1367))*G1367*-1),IF(F1367="Buy",(E1367*G1367),((E1367*(1-F1367))*G1367))))</f>
        <v>0</v>
      </c>
      <c r="J1367" s="640">
        <f>IF(H1367="warranty",0,(I1367*(_xlfn.SINGLE(SalesTaxPercentage))))</f>
        <v>0</v>
      </c>
      <c r="K1367" s="716">
        <f t="shared" ref="K1367" si="1029">I1367+J1367</f>
        <v>0</v>
      </c>
      <c r="L1367" s="716"/>
      <c r="M1367" s="689" t="str">
        <f ca="1">IF(AND(G1367&gt;0,E1367=0),"WARNING - no PRICE inserted",IF(H1367="free","FREE ~ no charge this plant",IF(H1367="credit",CONCATENATE("-$",ROUND(K1367*(1-_xlfn.SINGLE(T2GDiscount))*-1,2)," CREDIT after discount"),IF(_xlfn.SINGLE(T2GDiscount)=0,"",IF(G1367=0,"",IF(F1367="Buy",CONCATENATE("$",ROUND(K1367*(1-_xlfn.SINGLE(T2GDiscount)),2)," with ",(_xlfn.SINGLE(T2GDiscount)*100),"% discount"),CONCATENATE("$",ROUND(K1367*(1-_xlfn.SINGLE(T2GDiscount)),2)," with ",((_xlfn.SINGLE(T2GDiscount)*100+F1367*100)-(_xlfn.SINGLE(T2GDiscount)*100*F1367)),IF(F1367&gt;0,"% discounts",IF(_xlfn.SINGLE(NoWarrantyDiscount)&gt;0,"% discounts","% discount")))))))))</f>
        <v/>
      </c>
      <c r="N1367" s="690"/>
      <c r="O1367" s="486"/>
      <c r="P1367" s="486"/>
      <c r="Q1367" s="486"/>
      <c r="R1367" s="486"/>
      <c r="S1367" s="486"/>
      <c r="T1367" s="102">
        <f t="shared" si="1016"/>
        <v>0</v>
      </c>
      <c r="U1367" s="78">
        <f>IF(NOT(ISNUMBER(G1367)), "", VLOOKUP(A1367,'Discount Lookup'!D:E,2,FALSE)*G1367)</f>
        <v>0</v>
      </c>
      <c r="V1367" s="78">
        <f>IF(NOT(ISNUMBER(G1367)), "", VLOOKUP(A1367,'Discount Lookup'!G:H,2,FALSE)*G1367)</f>
        <v>0</v>
      </c>
      <c r="W1367" s="102">
        <f t="shared" si="1017"/>
        <v>0</v>
      </c>
      <c r="X1367" s="102">
        <f t="shared" si="1018"/>
        <v>0</v>
      </c>
      <c r="Y1367" s="120" t="b">
        <f t="shared" si="1019"/>
        <v>0</v>
      </c>
      <c r="Z1367" s="117">
        <f t="shared" si="1020"/>
        <v>0</v>
      </c>
      <c r="AA1367" s="118"/>
      <c r="AB1367" s="118" t="str">
        <f t="shared" si="1021"/>
        <v/>
      </c>
      <c r="AC1367" s="712" t="str">
        <f>IF(AE1367="T2G","no charge",IF(AND(OR(PlanterYesMe="No",PlanterYesMe="N",PlanterYesMe="me"),H1367=""),"",IF(H1367="credit","NO install",IF(AND(K1367="",AE1367="me"),"EACH row",IF(AND(K1367="images",AE1367="me"),"EACH row",IF(D1367="","",IF(H1367="credit","",IF(AE1367="free","re-planting",IF(AE1367="me","   not ELP, by",IF(AND(OR(PlanterYesMe="Yes",PlanterYesMe="Y"),G1367&gt;0),(VLOOKUP(A1367,'Discount Lookup'!J:K,2)*G1367*(1-PlanterDiscount)*(1+PlanterDifficultyPercentage)),IF(AE1367="ELP",(VLOOKUP(A1367,'Discount Lookup'!J:K,2)*G1367*(1-PlanterDiscount)*(1+PlanterDifficultyPercentage)),IF(AE1367="free","re-planting",IF(G1367=0,"",IF(PlanterYesMe="",IF(AE1367="me","   not ELP, by",IF(AE1367="",IF(G1367&gt;0,(VLOOKUP(A1367,'Discount Lookup'!J:K,2)*G1367*(1-PlanterDiscount)*(1+PlanterDifficultyPercentage)),""),"")),"   not ELP, by"))))))))))))))</f>
        <v/>
      </c>
      <c r="AD1367" s="712"/>
      <c r="AE1367" s="513" t="str">
        <f t="shared" si="1022"/>
        <v/>
      </c>
      <c r="AF1367" s="713" t="str">
        <f t="shared" si="1023"/>
        <v/>
      </c>
      <c r="AG1367" s="713"/>
      <c r="AH1367" s="713"/>
      <c r="AI1367" s="112">
        <f>IF(H1367="credit",0,IF(AE1367="free",0,IF(AE1367="me",0,IF(G1367&gt;0,(VLOOKUP(A1367,'Discount Lookup'!J:K,2)*G1367),0))))</f>
        <v>0</v>
      </c>
      <c r="AJ1367" s="107" t="str">
        <f t="shared" ca="1" si="1024"/>
        <v/>
      </c>
      <c r="AK1367" s="714" t="str">
        <f t="shared" si="1025"/>
        <v/>
      </c>
      <c r="AL1367" s="714"/>
      <c r="AM1367" s="114" t="str">
        <f t="shared" si="1026"/>
        <v/>
      </c>
      <c r="AN1367" s="115"/>
      <c r="AO1367" s="116"/>
      <c r="AP1367" s="116"/>
      <c r="AQ1367" s="116"/>
      <c r="AR1367" s="116"/>
      <c r="AS1367" s="116"/>
      <c r="AT1367" s="116"/>
      <c r="AU1367" s="116"/>
      <c r="AV1367" s="78"/>
      <c r="AW1367" s="102"/>
      <c r="AX1367" s="78"/>
      <c r="AY1367" s="78"/>
      <c r="AZ1367" s="78"/>
      <c r="BA1367" s="78"/>
      <c r="BB1367" s="78"/>
      <c r="BC1367" s="78"/>
      <c r="BD1367" s="78"/>
      <c r="BE1367" s="465"/>
      <c r="BF1367" s="165" t="str">
        <f t="shared" si="1027"/>
        <v>https://www.google.com/search?tbm=isch&amp;q=7%20G4</v>
      </c>
      <c r="BG1367" s="165" t="str">
        <f t="shared" si="1028"/>
        <v>C</v>
      </c>
      <c r="BH1367" s="65"/>
      <c r="BI1367" s="65"/>
      <c r="BJ1367" s="65"/>
      <c r="BK1367" s="65"/>
      <c r="BL1367" s="99"/>
      <c r="BM1367" s="99"/>
      <c r="BN1367" s="99"/>
    </row>
    <row r="1368" spans="1:66" s="51" customFormat="1" ht="16.5" x14ac:dyDescent="0.25">
      <c r="A1368" s="641" t="s">
        <v>4715</v>
      </c>
      <c r="B1368" s="642"/>
      <c r="C1368" s="710"/>
      <c r="D1368" s="643"/>
      <c r="E1368" s="643"/>
      <c r="F1368" s="644"/>
      <c r="G1368" s="645"/>
      <c r="H1368" s="646"/>
      <c r="I1368" s="647"/>
      <c r="J1368" s="648"/>
      <c r="K1368" s="649"/>
      <c r="L1368" s="650"/>
      <c r="M1368" s="650"/>
      <c r="N1368" s="644"/>
      <c r="O1368" s="644"/>
      <c r="P1368" s="644"/>
      <c r="Q1368" s="644"/>
      <c r="R1368" s="644"/>
      <c r="S1368" s="701" t="s">
        <v>5251</v>
      </c>
      <c r="T1368" s="102">
        <f t="shared" si="1016"/>
        <v>0</v>
      </c>
      <c r="U1368" s="78" t="str">
        <f>IF(NOT(ISNUMBER(G1368)), "", VLOOKUP(A1368,'Discount Lookup'!D:E,2,FALSE)*G1368)</f>
        <v/>
      </c>
      <c r="V1368" s="78" t="str">
        <f>IF(NOT(ISNUMBER(G1368)), "", VLOOKUP(A1368,'Discount Lookup'!G:H,2,FALSE)*G1368)</f>
        <v/>
      </c>
      <c r="W1368" s="102">
        <f t="shared" si="1017"/>
        <v>0</v>
      </c>
      <c r="X1368" s="102">
        <f t="shared" si="1018"/>
        <v>0</v>
      </c>
      <c r="Y1368" s="120" t="b">
        <f t="shared" si="1019"/>
        <v>0</v>
      </c>
      <c r="Z1368" s="117">
        <f t="shared" si="1020"/>
        <v>0</v>
      </c>
      <c r="AA1368" s="118"/>
      <c r="AB1368" s="118" t="str">
        <f t="shared" si="1021"/>
        <v/>
      </c>
      <c r="AC1368" s="712" t="str">
        <f>IF(AE1368="T2G","no charge",IF(AND(OR(PlanterYesMe="No",PlanterYesMe="N",PlanterYesMe="me"),H1368=""),"",IF(H1368="credit","NO install",IF(AND(K1368="",AE1368="me"),"EACH row",IF(AND(K1368="images",AE1368="me"),"EACH row",IF(D1368="","",IF(H1368="credit","",IF(AE1368="free","re-planting",IF(AE1368="me","   not ELP, by",IF(AND(OR(PlanterYesMe="Yes",PlanterYesMe="Y"),G1368&gt;0),(VLOOKUP(A1368,'Discount Lookup'!J:K,2)*G1368*(1-PlanterDiscount)*(1+PlanterDifficultyPercentage)),IF(AE1368="ELP",(VLOOKUP(A1368,'Discount Lookup'!J:K,2)*G1368*(1-PlanterDiscount)*(1+PlanterDifficultyPercentage)),IF(AE1368="free","re-planting",IF(G1368=0,"",IF(PlanterYesMe="",IF(AE1368="me","   not ELP, by",IF(AE1368="",IF(G1368&gt;0,(VLOOKUP(A1368,'Discount Lookup'!J:K,2)*G1368*(1-PlanterDiscount)*(1+PlanterDifficultyPercentage)),""),"")),"   not ELP, by"))))))))))))))</f>
        <v/>
      </c>
      <c r="AD1368" s="712"/>
      <c r="AE1368" s="513" t="str">
        <f t="shared" si="1022"/>
        <v/>
      </c>
      <c r="AF1368" s="713" t="str">
        <f t="shared" si="1023"/>
        <v/>
      </c>
      <c r="AG1368" s="713"/>
      <c r="AH1368" s="713"/>
      <c r="AI1368" s="112">
        <f>IF(H1368="credit",0,IF(AE1368="free",0,IF(AE1368="me",0,IF(G1368&gt;0,(VLOOKUP(A1368,'Discount Lookup'!J:K,2)*G1368),0))))</f>
        <v>0</v>
      </c>
      <c r="AJ1368" s="107" t="str">
        <f t="shared" ca="1" si="1024"/>
        <v/>
      </c>
      <c r="AK1368" s="714" t="str">
        <f t="shared" si="1025"/>
        <v/>
      </c>
      <c r="AL1368" s="714"/>
      <c r="AM1368" s="114" t="str">
        <f t="shared" si="1026"/>
        <v/>
      </c>
      <c r="AN1368" s="115"/>
      <c r="AO1368" s="116"/>
      <c r="AP1368" s="116"/>
      <c r="AQ1368" s="116"/>
      <c r="AR1368" s="116"/>
      <c r="AS1368" s="116"/>
      <c r="AT1368" s="116"/>
      <c r="AU1368" s="116"/>
      <c r="AV1368" s="78"/>
      <c r="AW1368" s="102"/>
      <c r="AX1368" s="78"/>
      <c r="AY1368" s="78"/>
      <c r="AZ1368" s="78"/>
      <c r="BA1368" s="78"/>
      <c r="BB1368" s="78"/>
      <c r="BC1368" s="78"/>
      <c r="BD1368" s="78"/>
      <c r="BE1368" s="465"/>
      <c r="BF1368" s="165" t="str">
        <f t="shared" si="1027"/>
        <v>https://www.google.com/search?tbm=isch&amp;q=Celestial%20known%20for%20prolific%20blooms%20of%20large%2C%20long%20lasting%20flowers.%20Dark%20Green%20foliage%20turns%20Purple-Red%20in%20fall%20</v>
      </c>
      <c r="BG1368" s="165" t="str">
        <f t="shared" si="1028"/>
        <v>C</v>
      </c>
      <c r="BH1368" s="65"/>
      <c r="BI1368" s="65"/>
      <c r="BJ1368" s="65"/>
      <c r="BK1368" s="65"/>
      <c r="BL1368" s="99"/>
      <c r="BM1368" s="99"/>
      <c r="BN1368" s="99"/>
    </row>
    <row r="1369" spans="1:66" s="51" customFormat="1" ht="19.5" thickBot="1" x14ac:dyDescent="0.3">
      <c r="A1369" s="686" t="s">
        <v>403</v>
      </c>
      <c r="B1369" s="73"/>
      <c r="C1369" s="708"/>
      <c r="D1369" s="73"/>
      <c r="E1369" s="73"/>
      <c r="F1369" s="496"/>
      <c r="G1369" s="73"/>
      <c r="H1369" s="73"/>
      <c r="I1369" s="73"/>
      <c r="J1369" s="497" t="s">
        <v>357</v>
      </c>
      <c r="K1369" s="498"/>
      <c r="L1369" s="562"/>
      <c r="M1369" s="73"/>
      <c r="N1369"/>
      <c r="O1369"/>
      <c r="P1369"/>
      <c r="Q1369"/>
      <c r="R1369"/>
      <c r="S1369"/>
      <c r="T1369" s="102">
        <f t="shared" si="1016"/>
        <v>0</v>
      </c>
      <c r="U1369" s="78" t="str">
        <f>IF(NOT(ISNUMBER(G1369)), "", VLOOKUP(A1369,'Discount Lookup'!D:E,2,FALSE)*G1369)</f>
        <v/>
      </c>
      <c r="V1369" s="78" t="str">
        <f>IF(NOT(ISNUMBER(G1369)), "", VLOOKUP(A1369,'Discount Lookup'!G:H,2,FALSE)*G1369)</f>
        <v/>
      </c>
      <c r="W1369" s="102">
        <f t="shared" si="1017"/>
        <v>0</v>
      </c>
      <c r="X1369" s="102">
        <f t="shared" si="1018"/>
        <v>0</v>
      </c>
      <c r="Y1369" s="120" t="b">
        <f t="shared" si="1019"/>
        <v>0</v>
      </c>
      <c r="Z1369" s="117">
        <f t="shared" si="1020"/>
        <v>0</v>
      </c>
      <c r="AA1369" s="118"/>
      <c r="AB1369" s="118" t="str">
        <f t="shared" si="1021"/>
        <v/>
      </c>
      <c r="AC1369" s="712" t="str">
        <f>IF(AE1369="T2G","no charge",IF(AND(OR(PlanterYesMe="No",PlanterYesMe="N",PlanterYesMe="me"),H1369=""),"",IF(H1369="credit","NO install",IF(AND(K1369="",AE1369="me"),"EACH row",IF(AND(K1369="images",AE1369="me"),"EACH row",IF(D1369="","",IF(H1369="credit","",IF(AE1369="free","re-planting",IF(AE1369="me","   not ELP, by",IF(AND(OR(PlanterYesMe="Yes",PlanterYesMe="Y"),G1369&gt;0),(VLOOKUP(A1369,'Discount Lookup'!J:K,2)*G1369*(1-PlanterDiscount)*(1+PlanterDifficultyPercentage)),IF(AE1369="ELP",(VLOOKUP(A1369,'Discount Lookup'!J:K,2)*G1369*(1-PlanterDiscount)*(1+PlanterDifficultyPercentage)),IF(AE1369="free","re-planting",IF(G1369=0,"",IF(PlanterYesMe="",IF(AE1369="me","   not ELP, by",IF(AE1369="",IF(G1369&gt;0,(VLOOKUP(A1369,'Discount Lookup'!J:K,2)*G1369*(1-PlanterDiscount)*(1+PlanterDifficultyPercentage)),""),"")),"   not ELP, by"))))))))))))))</f>
        <v/>
      </c>
      <c r="AD1369" s="712"/>
      <c r="AE1369" s="513" t="str">
        <f t="shared" si="1022"/>
        <v/>
      </c>
      <c r="AF1369" s="713" t="str">
        <f t="shared" si="1023"/>
        <v/>
      </c>
      <c r="AG1369" s="713"/>
      <c r="AH1369" s="713"/>
      <c r="AI1369" s="112">
        <f>IF(H1369="credit",0,IF(AE1369="free",0,IF(AE1369="me",0,IF(G1369&gt;0,(VLOOKUP(A1369,'Discount Lookup'!J:K,2)*G1369),0))))</f>
        <v>0</v>
      </c>
      <c r="AJ1369" s="107" t="str">
        <f t="shared" ca="1" si="1024"/>
        <v/>
      </c>
      <c r="AK1369" s="714" t="str">
        <f t="shared" si="1025"/>
        <v/>
      </c>
      <c r="AL1369" s="714"/>
      <c r="AM1369" s="114" t="str">
        <f t="shared" si="1026"/>
        <v/>
      </c>
      <c r="AN1369" s="115"/>
      <c r="AO1369" s="116"/>
      <c r="AP1369" s="116"/>
      <c r="AQ1369" s="116"/>
      <c r="AR1369" s="116"/>
      <c r="AS1369" s="116"/>
      <c r="AT1369" s="116"/>
      <c r="AU1369" s="116"/>
      <c r="AV1369" s="78"/>
      <c r="AW1369" s="102"/>
      <c r="AX1369" s="78"/>
      <c r="AY1369" s="78"/>
      <c r="AZ1369" s="78"/>
      <c r="BA1369" s="78"/>
      <c r="BB1369" s="78"/>
      <c r="BC1369" s="78"/>
      <c r="BD1369" s="78"/>
      <c r="BE1369" s="465"/>
      <c r="BF1369" s="165" t="str">
        <f t="shared" si="1027"/>
        <v>https://www.google.com/search?tbm=isch&amp;q=Corylopsis%20%3D%20Winter%20Hazel%20</v>
      </c>
      <c r="BG1369" s="165" t="str">
        <f t="shared" si="1028"/>
        <v>C</v>
      </c>
      <c r="BH1369" s="65"/>
      <c r="BI1369" s="65"/>
      <c r="BJ1369" s="65"/>
      <c r="BK1369" s="65"/>
      <c r="BL1369" s="99"/>
      <c r="BM1369" s="99"/>
      <c r="BN1369" s="99"/>
    </row>
    <row r="1370" spans="1:66" s="51" customFormat="1" ht="18" x14ac:dyDescent="0.25">
      <c r="A1370" s="623" t="s">
        <v>5059</v>
      </c>
      <c r="B1370" s="624"/>
      <c r="C1370" s="709"/>
      <c r="D1370" s="625" t="s">
        <v>5060</v>
      </c>
      <c r="E1370" s="626"/>
      <c r="F1370" s="626"/>
      <c r="G1370" s="626"/>
      <c r="H1370" s="622" t="s">
        <v>3068</v>
      </c>
      <c r="I1370" s="627" t="s">
        <v>3458</v>
      </c>
      <c r="J1370" s="628"/>
      <c r="K1370" s="628"/>
      <c r="L1370" s="629"/>
      <c r="M1370" s="702" t="s">
        <v>5252</v>
      </c>
      <c r="N1370" s="693" t="str">
        <f>IF(AND(ISTEXT($A1370), ISERROR($A1370+0)), HYPERLINK($BF1370, "Images"), "")</f>
        <v>Images</v>
      </c>
      <c r="O1370" s="695" t="s">
        <v>5247</v>
      </c>
      <c r="P1370" s="630"/>
      <c r="Q1370" s="631"/>
      <c r="R1370" s="632"/>
      <c r="S1370" s="633"/>
      <c r="T1370" s="102">
        <f t="shared" si="1016"/>
        <v>0</v>
      </c>
      <c r="U1370" s="78" t="str">
        <f>IF(NOT(ISNUMBER(G1370)), "", VLOOKUP(A1370,'Discount Lookup'!D:E,2,FALSE)*G1370)</f>
        <v/>
      </c>
      <c r="V1370" s="78" t="str">
        <f>IF(NOT(ISNUMBER(G1370)), "", VLOOKUP(A1370,'Discount Lookup'!G:H,2,FALSE)*G1370)</f>
        <v/>
      </c>
      <c r="W1370" s="102">
        <f t="shared" si="1017"/>
        <v>0</v>
      </c>
      <c r="X1370" s="102" t="str">
        <f t="shared" si="1018"/>
        <v>Pale Yellow bloom</v>
      </c>
      <c r="Y1370" s="120" t="b">
        <f t="shared" si="1019"/>
        <v>0</v>
      </c>
      <c r="Z1370" s="117">
        <f t="shared" si="1020"/>
        <v>0</v>
      </c>
      <c r="AA1370" s="118"/>
      <c r="AB1370" s="118" t="str">
        <f t="shared" si="1021"/>
        <v/>
      </c>
      <c r="AC1370" s="712" t="str">
        <f>IF(AE1370="T2G","no charge",IF(AND(OR(PlanterYesMe="No",PlanterYesMe="N",PlanterYesMe="me"),H1370=""),"",IF(H1370="credit","NO install",IF(AND(K1370="",AE1370="me"),"EACH row",IF(AND(K1370="images",AE1370="me"),"EACH row",IF(D1370="","",IF(H1370="credit","",IF(AE1370="free","re-planting",IF(AE1370="me","   not ELP, by",IF(AND(OR(PlanterYesMe="Yes",PlanterYesMe="Y"),G1370&gt;0),(VLOOKUP(A1370,'Discount Lookup'!J:K,2)*G1370*(1-PlanterDiscount)*(1+PlanterDifficultyPercentage)),IF(AE1370="ELP",(VLOOKUP(A1370,'Discount Lookup'!J:K,2)*G1370*(1-PlanterDiscount)*(1+PlanterDifficultyPercentage)),IF(AE1370="free","re-planting",IF(G1370=0,"",IF(PlanterYesMe="",IF(AE1370="me","   not ELP, by",IF(AE1370="",IF(G1370&gt;0,(VLOOKUP(A1370,'Discount Lookup'!J:K,2)*G1370*(1-PlanterDiscount)*(1+PlanterDifficultyPercentage)),""),"")),"   not ELP, by"))))))))))))))</f>
        <v/>
      </c>
      <c r="AD1370" s="712"/>
      <c r="AE1370" s="513" t="str">
        <f t="shared" si="1022"/>
        <v/>
      </c>
      <c r="AF1370" s="713" t="str">
        <f t="shared" si="1023"/>
        <v/>
      </c>
      <c r="AG1370" s="713"/>
      <c r="AH1370" s="713"/>
      <c r="AI1370" s="112">
        <f>IF(H1370="credit",0,IF(AE1370="free",0,IF(AE1370="me",0,IF(G1370&gt;0,(VLOOKUP(A1370,'Discount Lookup'!J:K,2)*G1370),0))))</f>
        <v>0</v>
      </c>
      <c r="AJ1370" s="107" t="str">
        <f t="shared" ca="1" si="1024"/>
        <v/>
      </c>
      <c r="AK1370" s="714" t="str">
        <f t="shared" si="1025"/>
        <v/>
      </c>
      <c r="AL1370" s="714"/>
      <c r="AM1370" s="114" t="str">
        <f t="shared" si="1026"/>
        <v/>
      </c>
      <c r="AN1370" s="115"/>
      <c r="AO1370" s="116"/>
      <c r="AP1370" s="116"/>
      <c r="AQ1370" s="116"/>
      <c r="AR1370" s="116"/>
      <c r="AS1370" s="116"/>
      <c r="AT1370" s="116"/>
      <c r="AU1370" s="116"/>
      <c r="AV1370" s="78"/>
      <c r="AW1370" s="102"/>
      <c r="AX1370" s="78"/>
      <c r="AY1370" s="78"/>
      <c r="AZ1370" s="78"/>
      <c r="BA1370" s="78"/>
      <c r="BB1370" s="78"/>
      <c r="BC1370" s="78"/>
      <c r="BD1370" s="78"/>
      <c r="BE1370" s="465"/>
      <c r="BF1370" s="165" t="str">
        <f t="shared" si="1027"/>
        <v>https://www.google.com/search?tbm=isch&amp;q=Corylopsis%20pauciflora%20Buttercup%20Winterhazel</v>
      </c>
      <c r="BG1370" s="165" t="str">
        <f t="shared" si="1028"/>
        <v>C</v>
      </c>
      <c r="BH1370" s="65"/>
      <c r="BI1370" s="65"/>
      <c r="BJ1370" s="65"/>
      <c r="BK1370" s="65"/>
      <c r="BL1370" s="99"/>
      <c r="BM1370" s="99"/>
      <c r="BN1370" s="99"/>
    </row>
    <row r="1371" spans="1:66" s="51" customFormat="1" ht="15.75" x14ac:dyDescent="0.25">
      <c r="A1371" s="634">
        <v>5</v>
      </c>
      <c r="B1371" s="635" t="s">
        <v>291</v>
      </c>
      <c r="C1371" s="636" t="s">
        <v>5165</v>
      </c>
      <c r="D1371" s="637" t="s">
        <v>299</v>
      </c>
      <c r="E1371" s="638">
        <v>77.95</v>
      </c>
      <c r="F1371" s="639" t="s">
        <v>292</v>
      </c>
      <c r="G1371" s="484">
        <v>0</v>
      </c>
      <c r="H1371" s="691" t="str">
        <f>IF(G1371=0,"",IF(F1371="Buy",IF(G1371=1,"plant","plants"),IF(F1371&gt;0.01,"warranty","Error")))</f>
        <v/>
      </c>
      <c r="I1371" s="640">
        <f>IF(H1371="free",0,IF(H1371="credit",((E1371*(F1371))*G1371*-1),IF(F1371="Buy",(E1371*G1371),((E1371*(1-F1371))*G1371))))</f>
        <v>0</v>
      </c>
      <c r="J1371" s="640">
        <f>IF(H1371="warranty",0,(I1371*(_xlfn.SINGLE(SalesTaxPercentage))))</f>
        <v>0</v>
      </c>
      <c r="K1371" s="716">
        <f t="shared" ref="K1371" si="1030">I1371+J1371</f>
        <v>0</v>
      </c>
      <c r="L1371" s="716"/>
      <c r="M1371" s="689" t="str">
        <f ca="1">IF(AND(G1371&gt;0,E1371=0),"WARNING - no PRICE inserted",IF(H1371="free","FREE ~ no charge this plant",IF(H1371="credit",CONCATENATE("-$",ROUND(K1371*(1-_xlfn.SINGLE(T2GDiscount))*-1,2)," CREDIT after discount"),IF(_xlfn.SINGLE(T2GDiscount)=0,"",IF(G1371=0,"",IF(F1371="Buy",CONCATENATE("$",ROUND(K1371*(1-_xlfn.SINGLE(T2GDiscount)),2)," with ",(_xlfn.SINGLE(T2GDiscount)*100),"% discount"),CONCATENATE("$",ROUND(K1371*(1-_xlfn.SINGLE(T2GDiscount)),2)," with ",((_xlfn.SINGLE(T2GDiscount)*100+F1371*100)-(_xlfn.SINGLE(T2GDiscount)*100*F1371)),IF(F1371&gt;0,"% discounts",IF(_xlfn.SINGLE(NoWarrantyDiscount)&gt;0,"% discounts","% discount")))))))))</f>
        <v/>
      </c>
      <c r="N1371" s="690"/>
      <c r="O1371" s="486"/>
      <c r="P1371" s="486"/>
      <c r="Q1371" s="486"/>
      <c r="R1371" s="486"/>
      <c r="S1371" s="486"/>
      <c r="T1371" s="102">
        <f t="shared" si="1016"/>
        <v>0</v>
      </c>
      <c r="U1371" s="78">
        <f>IF(NOT(ISNUMBER(G1371)), "", VLOOKUP(A1371,'Discount Lookup'!D:E,2,FALSE)*G1371)</f>
        <v>0</v>
      </c>
      <c r="V1371" s="78">
        <f>IF(NOT(ISNUMBER(G1371)), "", VLOOKUP(A1371,'Discount Lookup'!G:H,2,FALSE)*G1371)</f>
        <v>0</v>
      </c>
      <c r="W1371" s="102">
        <f t="shared" si="1017"/>
        <v>0</v>
      </c>
      <c r="X1371" s="102">
        <f t="shared" si="1018"/>
        <v>0</v>
      </c>
      <c r="Y1371" s="120" t="b">
        <f t="shared" si="1019"/>
        <v>0</v>
      </c>
      <c r="Z1371" s="117">
        <f t="shared" si="1020"/>
        <v>0</v>
      </c>
      <c r="AA1371" s="118"/>
      <c r="AB1371" s="118" t="str">
        <f t="shared" si="1021"/>
        <v/>
      </c>
      <c r="AC1371" s="712" t="str">
        <f>IF(AE1371="T2G","no charge",IF(AND(OR(PlanterYesMe="No",PlanterYesMe="N",PlanterYesMe="me"),H1371=""),"",IF(H1371="credit","NO install",IF(AND(K1371="",AE1371="me"),"EACH row",IF(AND(K1371="images",AE1371="me"),"EACH row",IF(D1371="","",IF(H1371="credit","",IF(AE1371="free","re-planting",IF(AE1371="me","   not ELP, by",IF(AND(OR(PlanterYesMe="Yes",PlanterYesMe="Y"),G1371&gt;0),(VLOOKUP(A1371,'Discount Lookup'!J:K,2)*G1371*(1-PlanterDiscount)*(1+PlanterDifficultyPercentage)),IF(AE1371="ELP",(VLOOKUP(A1371,'Discount Lookup'!J:K,2)*G1371*(1-PlanterDiscount)*(1+PlanterDifficultyPercentage)),IF(AE1371="free","re-planting",IF(G1371=0,"",IF(PlanterYesMe="",IF(AE1371="me","   not ELP, by",IF(AE1371="",IF(G1371&gt;0,(VLOOKUP(A1371,'Discount Lookup'!J:K,2)*G1371*(1-PlanterDiscount)*(1+PlanterDifficultyPercentage)),""),"")),"   not ELP, by"))))))))))))))</f>
        <v/>
      </c>
      <c r="AD1371" s="712"/>
      <c r="AE1371" s="513" t="str">
        <f t="shared" si="1022"/>
        <v/>
      </c>
      <c r="AF1371" s="713" t="str">
        <f t="shared" si="1023"/>
        <v/>
      </c>
      <c r="AG1371" s="713"/>
      <c r="AH1371" s="713"/>
      <c r="AI1371" s="112">
        <f>IF(H1371="credit",0,IF(AE1371="free",0,IF(AE1371="me",0,IF(G1371&gt;0,(VLOOKUP(A1371,'Discount Lookup'!J:K,2)*G1371),0))))</f>
        <v>0</v>
      </c>
      <c r="AJ1371" s="107" t="str">
        <f t="shared" ca="1" si="1024"/>
        <v/>
      </c>
      <c r="AK1371" s="714" t="str">
        <f t="shared" si="1025"/>
        <v/>
      </c>
      <c r="AL1371" s="714"/>
      <c r="AM1371" s="114" t="str">
        <f t="shared" si="1026"/>
        <v/>
      </c>
      <c r="AN1371" s="115"/>
      <c r="AO1371" s="116"/>
      <c r="AP1371" s="116"/>
      <c r="AQ1371" s="116"/>
      <c r="AR1371" s="116"/>
      <c r="AS1371" s="116"/>
      <c r="AT1371" s="116"/>
      <c r="AU1371" s="116"/>
      <c r="AV1371" s="78"/>
      <c r="AW1371" s="102"/>
      <c r="AX1371" s="78"/>
      <c r="AY1371" s="78"/>
      <c r="AZ1371" s="78"/>
      <c r="BA1371" s="78"/>
      <c r="BB1371" s="78"/>
      <c r="BC1371" s="78"/>
      <c r="BD1371" s="78"/>
      <c r="BE1371" s="465"/>
      <c r="BF1371" s="165" t="str">
        <f t="shared" si="1027"/>
        <v>https://www.google.com/search?tbm=isch&amp;q=5%20G4</v>
      </c>
      <c r="BG1371" s="165" t="str">
        <f t="shared" si="1028"/>
        <v>C</v>
      </c>
      <c r="BH1371" s="65"/>
      <c r="BI1371" s="65"/>
      <c r="BJ1371" s="65"/>
      <c r="BK1371" s="65"/>
      <c r="BL1371" s="99"/>
      <c r="BM1371" s="99"/>
      <c r="BN1371" s="99"/>
    </row>
    <row r="1372" spans="1:66" s="51" customFormat="1" ht="17.25" thickBot="1" x14ac:dyDescent="0.3">
      <c r="A1372" s="641" t="s">
        <v>5061</v>
      </c>
      <c r="B1372" s="642"/>
      <c r="C1372" s="710"/>
      <c r="D1372" s="643"/>
      <c r="E1372" s="643"/>
      <c r="F1372" s="644"/>
      <c r="G1372" s="645"/>
      <c r="H1372" s="646"/>
      <c r="I1372" s="647"/>
      <c r="J1372" s="648"/>
      <c r="K1372" s="649"/>
      <c r="L1372" s="650"/>
      <c r="M1372" s="650"/>
      <c r="N1372" s="644"/>
      <c r="O1372" s="644"/>
      <c r="P1372" s="644"/>
      <c r="Q1372" s="644"/>
      <c r="R1372" s="644"/>
      <c r="S1372" s="651"/>
      <c r="T1372" s="102">
        <f t="shared" si="1016"/>
        <v>0</v>
      </c>
      <c r="U1372" s="78" t="str">
        <f>IF(NOT(ISNUMBER(G1372)), "", VLOOKUP(A1372,'Discount Lookup'!D:E,2,FALSE)*G1372)</f>
        <v/>
      </c>
      <c r="V1372" s="78" t="str">
        <f>IF(NOT(ISNUMBER(G1372)), "", VLOOKUP(A1372,'Discount Lookup'!G:H,2,FALSE)*G1372)</f>
        <v/>
      </c>
      <c r="W1372" s="102">
        <f t="shared" si="1017"/>
        <v>0</v>
      </c>
      <c r="X1372" s="102">
        <f t="shared" si="1018"/>
        <v>0</v>
      </c>
      <c r="Y1372" s="120" t="b">
        <f t="shared" si="1019"/>
        <v>0</v>
      </c>
      <c r="Z1372" s="117">
        <f t="shared" si="1020"/>
        <v>0</v>
      </c>
      <c r="AA1372" s="118"/>
      <c r="AB1372" s="118" t="str">
        <f t="shared" si="1021"/>
        <v/>
      </c>
      <c r="AC1372" s="712" t="str">
        <f>IF(AE1372="T2G","no charge",IF(AND(OR(PlanterYesMe="No",PlanterYesMe="N",PlanterYesMe="me"),H1372=""),"",IF(H1372="credit","NO install",IF(AND(K1372="",AE1372="me"),"EACH row",IF(AND(K1372="images",AE1372="me"),"EACH row",IF(D1372="","",IF(H1372="credit","",IF(AE1372="free","re-planting",IF(AE1372="me","   not ELP, by",IF(AND(OR(PlanterYesMe="Yes",PlanterYesMe="Y"),G1372&gt;0),(VLOOKUP(A1372,'Discount Lookup'!J:K,2)*G1372*(1-PlanterDiscount)*(1+PlanterDifficultyPercentage)),IF(AE1372="ELP",(VLOOKUP(A1372,'Discount Lookup'!J:K,2)*G1372*(1-PlanterDiscount)*(1+PlanterDifficultyPercentage)),IF(AE1372="free","re-planting",IF(G1372=0,"",IF(PlanterYesMe="",IF(AE1372="me","   not ELP, by",IF(AE1372="",IF(G1372&gt;0,(VLOOKUP(A1372,'Discount Lookup'!J:K,2)*G1372*(1-PlanterDiscount)*(1+PlanterDifficultyPercentage)),""),"")),"   not ELP, by"))))))))))))))</f>
        <v/>
      </c>
      <c r="AD1372" s="712"/>
      <c r="AE1372" s="513" t="str">
        <f t="shared" si="1022"/>
        <v/>
      </c>
      <c r="AF1372" s="713" t="str">
        <f t="shared" si="1023"/>
        <v/>
      </c>
      <c r="AG1372" s="713"/>
      <c r="AH1372" s="713"/>
      <c r="AI1372" s="112">
        <f>IF(H1372="credit",0,IF(AE1372="free",0,IF(AE1372="me",0,IF(G1372&gt;0,(VLOOKUP(A1372,'Discount Lookup'!J:K,2)*G1372),0))))</f>
        <v>0</v>
      </c>
      <c r="AJ1372" s="107" t="str">
        <f t="shared" ca="1" si="1024"/>
        <v/>
      </c>
      <c r="AK1372" s="714" t="str">
        <f t="shared" si="1025"/>
        <v/>
      </c>
      <c r="AL1372" s="714"/>
      <c r="AM1372" s="114" t="str">
        <f t="shared" si="1026"/>
        <v/>
      </c>
      <c r="AN1372" s="115"/>
      <c r="AO1372" s="116"/>
      <c r="AP1372" s="116"/>
      <c r="AQ1372" s="116"/>
      <c r="AR1372" s="116"/>
      <c r="AS1372" s="116"/>
      <c r="AT1372" s="116"/>
      <c r="AU1372" s="116"/>
      <c r="AV1372" s="78"/>
      <c r="AW1372" s="102"/>
      <c r="AX1372" s="78"/>
      <c r="AY1372" s="78"/>
      <c r="AZ1372" s="78"/>
      <c r="BA1372" s="78"/>
      <c r="BB1372" s="78"/>
      <c r="BC1372" s="78"/>
      <c r="BD1372" s="78"/>
      <c r="BE1372" s="465"/>
      <c r="BF1372" s="165" t="str">
        <f t="shared" si="1027"/>
        <v>https://www.google.com/search?tbm=isch&amp;q=Buttercup%20has%20fragrant%2C%20bell-shaped%20blooms%20on%20bare%20branches%20in%20late%20winter%2C%20followed%20by%20Bronze-tinged%20foliage%20and%20smooth%20Reddish%20bark%20</v>
      </c>
      <c r="BG1372" s="165" t="str">
        <f t="shared" si="1028"/>
        <v>B</v>
      </c>
      <c r="BH1372" s="65"/>
      <c r="BI1372" s="65"/>
      <c r="BJ1372" s="65"/>
      <c r="BK1372" s="65"/>
      <c r="BL1372" s="99"/>
      <c r="BM1372" s="99"/>
      <c r="BN1372" s="99"/>
    </row>
    <row r="1373" spans="1:66" s="51" customFormat="1" ht="18" x14ac:dyDescent="0.25">
      <c r="A1373" s="623" t="s">
        <v>2345</v>
      </c>
      <c r="B1373" s="624"/>
      <c r="C1373" s="709"/>
      <c r="D1373" s="625" t="s">
        <v>5062</v>
      </c>
      <c r="E1373" s="626"/>
      <c r="F1373" s="626"/>
      <c r="G1373" s="626"/>
      <c r="H1373" s="622" t="s">
        <v>1240</v>
      </c>
      <c r="I1373" s="627" t="s">
        <v>2346</v>
      </c>
      <c r="J1373" s="628"/>
      <c r="K1373" s="628"/>
      <c r="L1373" s="629"/>
      <c r="M1373" s="702" t="s">
        <v>5252</v>
      </c>
      <c r="N1373" s="693" t="str">
        <f>IF(AND(ISTEXT($A1373), ISERROR($A1373+0)), HYPERLINK($BF1373, "Images"), "")</f>
        <v>Images</v>
      </c>
      <c r="O1373" s="695" t="s">
        <v>5247</v>
      </c>
      <c r="P1373" s="630"/>
      <c r="Q1373" s="631"/>
      <c r="R1373" s="632"/>
      <c r="S1373" s="633"/>
      <c r="T1373" s="102">
        <f t="shared" si="1016"/>
        <v>0</v>
      </c>
      <c r="U1373" s="78" t="str">
        <f>IF(NOT(ISNUMBER(G1373)), "", VLOOKUP(A1373,'Discount Lookup'!D:E,2,FALSE)*G1373)</f>
        <v/>
      </c>
      <c r="V1373" s="78" t="str">
        <f>IF(NOT(ISNUMBER(G1373)), "", VLOOKUP(A1373,'Discount Lookup'!G:H,2,FALSE)*G1373)</f>
        <v/>
      </c>
      <c r="W1373" s="102">
        <f t="shared" si="1017"/>
        <v>0</v>
      </c>
      <c r="X1373" s="102" t="str">
        <f t="shared" si="1018"/>
        <v>Yellow to Chartreuse bloom</v>
      </c>
      <c r="Y1373" s="120" t="b">
        <f t="shared" si="1019"/>
        <v>0</v>
      </c>
      <c r="Z1373" s="117">
        <f t="shared" si="1020"/>
        <v>0</v>
      </c>
      <c r="AA1373" s="118"/>
      <c r="AB1373" s="118" t="str">
        <f t="shared" si="1021"/>
        <v/>
      </c>
      <c r="AC1373" s="712" t="str">
        <f>IF(AE1373="T2G","no charge",IF(AND(OR(PlanterYesMe="No",PlanterYesMe="N",PlanterYesMe="me"),H1373=""),"",IF(H1373="credit","NO install",IF(AND(K1373="",AE1373="me"),"EACH row",IF(AND(K1373="images",AE1373="me"),"EACH row",IF(D1373="","",IF(H1373="credit","",IF(AE1373="free","re-planting",IF(AE1373="me","   not ELP, by",IF(AND(OR(PlanterYesMe="Yes",PlanterYesMe="Y"),G1373&gt;0),(VLOOKUP(A1373,'Discount Lookup'!J:K,2)*G1373*(1-PlanterDiscount)*(1+PlanterDifficultyPercentage)),IF(AE1373="ELP",(VLOOKUP(A1373,'Discount Lookup'!J:K,2)*G1373*(1-PlanterDiscount)*(1+PlanterDifficultyPercentage)),IF(AE1373="free","re-planting",IF(G1373=0,"",IF(PlanterYesMe="",IF(AE1373="me","   not ELP, by",IF(AE1373="",IF(G1373&gt;0,(VLOOKUP(A1373,'Discount Lookup'!J:K,2)*G1373*(1-PlanterDiscount)*(1+PlanterDifficultyPercentage)),""),"")),"   not ELP, by"))))))))))))))</f>
        <v/>
      </c>
      <c r="AD1373" s="712"/>
      <c r="AE1373" s="513" t="str">
        <f t="shared" si="1022"/>
        <v/>
      </c>
      <c r="AF1373" s="713" t="str">
        <f t="shared" si="1023"/>
        <v/>
      </c>
      <c r="AG1373" s="713"/>
      <c r="AH1373" s="713"/>
      <c r="AI1373" s="112">
        <f>IF(H1373="credit",0,IF(AE1373="free",0,IF(AE1373="me",0,IF(G1373&gt;0,(VLOOKUP(A1373,'Discount Lookup'!J:K,2)*G1373),0))))</f>
        <v>0</v>
      </c>
      <c r="AJ1373" s="107" t="str">
        <f t="shared" ca="1" si="1024"/>
        <v/>
      </c>
      <c r="AK1373" s="714" t="str">
        <f t="shared" si="1025"/>
        <v/>
      </c>
      <c r="AL1373" s="714"/>
      <c r="AM1373" s="114" t="str">
        <f t="shared" si="1026"/>
        <v/>
      </c>
      <c r="AN1373" s="115"/>
      <c r="AO1373" s="116"/>
      <c r="AP1373" s="116"/>
      <c r="AQ1373" s="116"/>
      <c r="AR1373" s="116"/>
      <c r="AS1373" s="116"/>
      <c r="AT1373" s="116"/>
      <c r="AU1373" s="116"/>
      <c r="AV1373" s="78"/>
      <c r="AW1373" s="102"/>
      <c r="AX1373" s="78"/>
      <c r="AY1373" s="78"/>
      <c r="AZ1373" s="78"/>
      <c r="BA1373" s="78"/>
      <c r="BB1373" s="78"/>
      <c r="BC1373" s="78"/>
      <c r="BD1373" s="78"/>
      <c r="BE1373" s="465"/>
      <c r="BF1373" s="165" t="str">
        <f t="shared" si="1027"/>
        <v>https://www.google.com/search?tbm=isch&amp;q=Corylopsis%20spicata%20%27Golden%20Spring%27%20PP%2313821%20Golden%20Spring%20Winterhazel</v>
      </c>
      <c r="BG1373" s="165" t="str">
        <f t="shared" si="1028"/>
        <v>C</v>
      </c>
      <c r="BH1373" s="65"/>
      <c r="BI1373" s="65"/>
      <c r="BJ1373" s="65"/>
      <c r="BK1373" s="65"/>
      <c r="BL1373" s="99"/>
      <c r="BM1373" s="99"/>
      <c r="BN1373" s="99"/>
    </row>
    <row r="1374" spans="1:66" s="51" customFormat="1" ht="27" x14ac:dyDescent="0.25">
      <c r="A1374" s="634">
        <v>7</v>
      </c>
      <c r="B1374" s="635" t="s">
        <v>291</v>
      </c>
      <c r="C1374" s="636" t="s">
        <v>2347</v>
      </c>
      <c r="D1374" s="637" t="s">
        <v>299</v>
      </c>
      <c r="E1374" s="638">
        <v>137.94999999999999</v>
      </c>
      <c r="F1374" s="639" t="s">
        <v>292</v>
      </c>
      <c r="G1374" s="484">
        <v>0</v>
      </c>
      <c r="H1374" s="691" t="str">
        <f>IF(G1374=0,"",IF(F1374="Buy",IF(G1374=1,"plant","plants"),IF(F1374&gt;0.01,"warranty","Error")))</f>
        <v/>
      </c>
      <c r="I1374" s="640">
        <f>IF(H1374="free",0,IF(H1374="credit",((E1374*(F1374))*G1374*-1),IF(F1374="Buy",(E1374*G1374),((E1374*(1-F1374))*G1374))))</f>
        <v>0</v>
      </c>
      <c r="J1374" s="640">
        <f>IF(H1374="warranty",0,(I1374*(_xlfn.SINGLE(SalesTaxPercentage))))</f>
        <v>0</v>
      </c>
      <c r="K1374" s="716">
        <f t="shared" ref="K1374" si="1031">I1374+J1374</f>
        <v>0</v>
      </c>
      <c r="L1374" s="716"/>
      <c r="M1374" s="689" t="str">
        <f ca="1">IF(AND(G1374&gt;0,E1374=0),"WARNING - no PRICE inserted",IF(H1374="free","FREE ~ no charge this plant",IF(H1374="credit",CONCATENATE("-$",ROUND(K1374*(1-_xlfn.SINGLE(T2GDiscount))*-1,2)," CREDIT after discount"),IF(_xlfn.SINGLE(T2GDiscount)=0,"",IF(G1374=0,"",IF(F1374="Buy",CONCATENATE("$",ROUND(K1374*(1-_xlfn.SINGLE(T2GDiscount)),2)," with ",(_xlfn.SINGLE(T2GDiscount)*100),"% discount"),CONCATENATE("$",ROUND(K1374*(1-_xlfn.SINGLE(T2GDiscount)),2)," with ",((_xlfn.SINGLE(T2GDiscount)*100+F1374*100)-(_xlfn.SINGLE(T2GDiscount)*100*F1374)),IF(F1374&gt;0,"% discounts",IF(_xlfn.SINGLE(NoWarrantyDiscount)&gt;0,"% discounts","% discount")))))))))</f>
        <v/>
      </c>
      <c r="N1374" s="690"/>
      <c r="O1374" s="486"/>
      <c r="P1374" s="486"/>
      <c r="Q1374" s="486"/>
      <c r="R1374" s="486"/>
      <c r="S1374" s="486"/>
      <c r="T1374" s="102">
        <f t="shared" si="1016"/>
        <v>0</v>
      </c>
      <c r="U1374" s="78">
        <f>IF(NOT(ISNUMBER(G1374)), "", VLOOKUP(A1374,'Discount Lookup'!D:E,2,FALSE)*G1374)</f>
        <v>0</v>
      </c>
      <c r="V1374" s="78">
        <f>IF(NOT(ISNUMBER(G1374)), "", VLOOKUP(A1374,'Discount Lookup'!G:H,2,FALSE)*G1374)</f>
        <v>0</v>
      </c>
      <c r="W1374" s="102">
        <f t="shared" si="1017"/>
        <v>0</v>
      </c>
      <c r="X1374" s="102">
        <f t="shared" si="1018"/>
        <v>0</v>
      </c>
      <c r="Y1374" s="120" t="b">
        <f t="shared" si="1019"/>
        <v>0</v>
      </c>
      <c r="Z1374" s="117">
        <f t="shared" si="1020"/>
        <v>0</v>
      </c>
      <c r="AA1374" s="118"/>
      <c r="AB1374" s="118" t="str">
        <f t="shared" si="1021"/>
        <v/>
      </c>
      <c r="AC1374" s="712" t="str">
        <f>IF(AE1374="T2G","no charge",IF(AND(OR(PlanterYesMe="No",PlanterYesMe="N",PlanterYesMe="me"),H1374=""),"",IF(H1374="credit","NO install",IF(AND(K1374="",AE1374="me"),"EACH row",IF(AND(K1374="images",AE1374="me"),"EACH row",IF(D1374="","",IF(H1374="credit","",IF(AE1374="free","re-planting",IF(AE1374="me","   not ELP, by",IF(AND(OR(PlanterYesMe="Yes",PlanterYesMe="Y"),G1374&gt;0),(VLOOKUP(A1374,'Discount Lookup'!J:K,2)*G1374*(1-PlanterDiscount)*(1+PlanterDifficultyPercentage)),IF(AE1374="ELP",(VLOOKUP(A1374,'Discount Lookup'!J:K,2)*G1374*(1-PlanterDiscount)*(1+PlanterDifficultyPercentage)),IF(AE1374="free","re-planting",IF(G1374=0,"",IF(PlanterYesMe="",IF(AE1374="me","   not ELP, by",IF(AE1374="",IF(G1374&gt;0,(VLOOKUP(A1374,'Discount Lookup'!J:K,2)*G1374*(1-PlanterDiscount)*(1+PlanterDifficultyPercentage)),""),"")),"   not ELP, by"))))))))))))))</f>
        <v/>
      </c>
      <c r="AD1374" s="712"/>
      <c r="AE1374" s="513" t="str">
        <f t="shared" si="1022"/>
        <v/>
      </c>
      <c r="AF1374" s="713" t="str">
        <f t="shared" si="1023"/>
        <v/>
      </c>
      <c r="AG1374" s="713"/>
      <c r="AH1374" s="713"/>
      <c r="AI1374" s="112">
        <f>IF(H1374="credit",0,IF(AE1374="free",0,IF(AE1374="me",0,IF(G1374&gt;0,(VLOOKUP(A1374,'Discount Lookup'!J:K,2)*G1374),0))))</f>
        <v>0</v>
      </c>
      <c r="AJ1374" s="107" t="str">
        <f t="shared" ca="1" si="1024"/>
        <v/>
      </c>
      <c r="AK1374" s="714" t="str">
        <f t="shared" si="1025"/>
        <v/>
      </c>
      <c r="AL1374" s="714"/>
      <c r="AM1374" s="114" t="str">
        <f t="shared" si="1026"/>
        <v/>
      </c>
      <c r="AN1374" s="115"/>
      <c r="AO1374" s="116"/>
      <c r="AP1374" s="116"/>
      <c r="AQ1374" s="116"/>
      <c r="AR1374" s="116"/>
      <c r="AS1374" s="116"/>
      <c r="AT1374" s="116"/>
      <c r="AU1374" s="116"/>
      <c r="AV1374" s="78"/>
      <c r="AW1374" s="102"/>
      <c r="AX1374" s="78"/>
      <c r="AY1374" s="78"/>
      <c r="AZ1374" s="78"/>
      <c r="BA1374" s="78"/>
      <c r="BB1374" s="78"/>
      <c r="BC1374" s="78"/>
      <c r="BD1374" s="78"/>
      <c r="BE1374" s="465"/>
      <c r="BF1374" s="165" t="str">
        <f t="shared" si="1027"/>
        <v>https://www.google.com/search?tbm=isch&amp;q=7%20G4</v>
      </c>
      <c r="BG1374" s="165" t="str">
        <f t="shared" si="1028"/>
        <v>C</v>
      </c>
      <c r="BH1374" s="65"/>
      <c r="BI1374" s="65"/>
      <c r="BJ1374" s="65"/>
      <c r="BK1374" s="65"/>
      <c r="BL1374" s="99"/>
      <c r="BM1374" s="99"/>
      <c r="BN1374" s="99"/>
    </row>
    <row r="1375" spans="1:66" s="51" customFormat="1" ht="16.5" x14ac:dyDescent="0.25">
      <c r="A1375" s="641" t="s">
        <v>2348</v>
      </c>
      <c r="B1375" s="642"/>
      <c r="C1375" s="710"/>
      <c r="D1375" s="643"/>
      <c r="E1375" s="643"/>
      <c r="F1375" s="644"/>
      <c r="G1375" s="645"/>
      <c r="H1375" s="646"/>
      <c r="I1375" s="647"/>
      <c r="J1375" s="648"/>
      <c r="K1375" s="649"/>
      <c r="L1375" s="650"/>
      <c r="M1375" s="650"/>
      <c r="N1375" s="644"/>
      <c r="O1375" s="644"/>
      <c r="P1375" s="644"/>
      <c r="Q1375" s="644"/>
      <c r="R1375" s="644"/>
      <c r="S1375" s="651"/>
      <c r="T1375" s="102">
        <f t="shared" si="1016"/>
        <v>0</v>
      </c>
      <c r="U1375" s="78" t="str">
        <f>IF(NOT(ISNUMBER(G1375)), "", VLOOKUP(A1375,'Discount Lookup'!D:E,2,FALSE)*G1375)</f>
        <v/>
      </c>
      <c r="V1375" s="78" t="str">
        <f>IF(NOT(ISNUMBER(G1375)), "", VLOOKUP(A1375,'Discount Lookup'!G:H,2,FALSE)*G1375)</f>
        <v/>
      </c>
      <c r="W1375" s="102">
        <f t="shared" si="1017"/>
        <v>0</v>
      </c>
      <c r="X1375" s="102">
        <f t="shared" si="1018"/>
        <v>0</v>
      </c>
      <c r="Y1375" s="120" t="b">
        <f t="shared" si="1019"/>
        <v>0</v>
      </c>
      <c r="Z1375" s="117">
        <f t="shared" si="1020"/>
        <v>0</v>
      </c>
      <c r="AA1375" s="118"/>
      <c r="AB1375" s="118" t="str">
        <f t="shared" si="1021"/>
        <v/>
      </c>
      <c r="AC1375" s="712" t="str">
        <f>IF(AE1375="T2G","no charge",IF(AND(OR(PlanterYesMe="No",PlanterYesMe="N",PlanterYesMe="me"),H1375=""),"",IF(H1375="credit","NO install",IF(AND(K1375="",AE1375="me"),"EACH row",IF(AND(K1375="images",AE1375="me"),"EACH row",IF(D1375="","",IF(H1375="credit","",IF(AE1375="free","re-planting",IF(AE1375="me","   not ELP, by",IF(AND(OR(PlanterYesMe="Yes",PlanterYesMe="Y"),G1375&gt;0),(VLOOKUP(A1375,'Discount Lookup'!J:K,2)*G1375*(1-PlanterDiscount)*(1+PlanterDifficultyPercentage)),IF(AE1375="ELP",(VLOOKUP(A1375,'Discount Lookup'!J:K,2)*G1375*(1-PlanterDiscount)*(1+PlanterDifficultyPercentage)),IF(AE1375="free","re-planting",IF(G1375=0,"",IF(PlanterYesMe="",IF(AE1375="me","   not ELP, by",IF(AE1375="",IF(G1375&gt;0,(VLOOKUP(A1375,'Discount Lookup'!J:K,2)*G1375*(1-PlanterDiscount)*(1+PlanterDifficultyPercentage)),""),"")),"   not ELP, by"))))))))))))))</f>
        <v/>
      </c>
      <c r="AD1375" s="712"/>
      <c r="AE1375" s="513" t="str">
        <f t="shared" si="1022"/>
        <v/>
      </c>
      <c r="AF1375" s="713" t="str">
        <f t="shared" si="1023"/>
        <v/>
      </c>
      <c r="AG1375" s="713"/>
      <c r="AH1375" s="713"/>
      <c r="AI1375" s="112">
        <f>IF(H1375="credit",0,IF(AE1375="free",0,IF(AE1375="me",0,IF(G1375&gt;0,(VLOOKUP(A1375,'Discount Lookup'!J:K,2)*G1375),0))))</f>
        <v>0</v>
      </c>
      <c r="AJ1375" s="107" t="str">
        <f t="shared" ca="1" si="1024"/>
        <v/>
      </c>
      <c r="AK1375" s="714" t="str">
        <f t="shared" si="1025"/>
        <v/>
      </c>
      <c r="AL1375" s="714"/>
      <c r="AM1375" s="114" t="str">
        <f t="shared" si="1026"/>
        <v/>
      </c>
      <c r="AN1375" s="115"/>
      <c r="AO1375" s="116"/>
      <c r="AP1375" s="116"/>
      <c r="AQ1375" s="116"/>
      <c r="AR1375" s="116"/>
      <c r="AS1375" s="116"/>
      <c r="AT1375" s="116"/>
      <c r="AU1375" s="116"/>
      <c r="AV1375" s="78"/>
      <c r="AW1375" s="102"/>
      <c r="AX1375" s="78"/>
      <c r="AY1375" s="78"/>
      <c r="AZ1375" s="78"/>
      <c r="BA1375" s="78"/>
      <c r="BB1375" s="78"/>
      <c r="BC1375" s="78"/>
      <c r="BD1375" s="78"/>
      <c r="BE1375" s="465"/>
      <c r="BF1375" s="165" t="str">
        <f t="shared" si="1027"/>
        <v>https://www.google.com/search?tbm=isch&amp;q=Golden%20Spring%20has%20fragrant%20late-winter%20bloom%2C%20vivid%20Golden-Chartreuse%20spring%20leaves%2C%20and%20warm%20Butter-Gold%20fall%20color.%20Best%20located%20in%20bright%20shade%20</v>
      </c>
      <c r="BG1375" s="165" t="str">
        <f t="shared" si="1028"/>
        <v>G</v>
      </c>
      <c r="BH1375" s="65"/>
      <c r="BI1375" s="65"/>
      <c r="BJ1375" s="65"/>
      <c r="BK1375" s="65"/>
      <c r="BL1375" s="99"/>
      <c r="BM1375" s="99"/>
      <c r="BN1375" s="99"/>
    </row>
    <row r="1376" spans="1:66" s="51" customFormat="1" ht="19.5" thickBot="1" x14ac:dyDescent="0.3">
      <c r="A1376" s="686" t="s">
        <v>407</v>
      </c>
      <c r="B1376" s="73"/>
      <c r="C1376" s="708"/>
      <c r="D1376" s="73"/>
      <c r="E1376" s="73"/>
      <c r="F1376" s="496"/>
      <c r="G1376" s="73"/>
      <c r="H1376" s="73"/>
      <c r="I1376" s="73"/>
      <c r="J1376" s="497" t="s">
        <v>357</v>
      </c>
      <c r="K1376" s="498"/>
      <c r="L1376" s="562"/>
      <c r="M1376" s="73"/>
      <c r="N1376"/>
      <c r="O1376"/>
      <c r="P1376"/>
      <c r="Q1376"/>
      <c r="R1376"/>
      <c r="S1376"/>
      <c r="T1376" s="102">
        <f t="shared" si="1016"/>
        <v>0</v>
      </c>
      <c r="U1376" s="78" t="str">
        <f>IF(NOT(ISNUMBER(G1376)), "", VLOOKUP(A1376,'Discount Lookup'!D:E,2,FALSE)*G1376)</f>
        <v/>
      </c>
      <c r="V1376" s="78" t="str">
        <f>IF(NOT(ISNUMBER(G1376)), "", VLOOKUP(A1376,'Discount Lookup'!G:H,2,FALSE)*G1376)</f>
        <v/>
      </c>
      <c r="W1376" s="102">
        <f t="shared" si="1017"/>
        <v>0</v>
      </c>
      <c r="X1376" s="102">
        <f t="shared" si="1018"/>
        <v>0</v>
      </c>
      <c r="Y1376" s="120" t="b">
        <f t="shared" si="1019"/>
        <v>0</v>
      </c>
      <c r="Z1376" s="117">
        <f t="shared" si="1020"/>
        <v>0</v>
      </c>
      <c r="AA1376" s="118"/>
      <c r="AB1376" s="118" t="str">
        <f t="shared" si="1021"/>
        <v/>
      </c>
      <c r="AC1376" s="712" t="str">
        <f>IF(AE1376="T2G","no charge",IF(AND(OR(PlanterYesMe="No",PlanterYesMe="N",PlanterYesMe="me"),H1376=""),"",IF(H1376="credit","NO install",IF(AND(K1376="",AE1376="me"),"EACH row",IF(AND(K1376="images",AE1376="me"),"EACH row",IF(D1376="","",IF(H1376="credit","",IF(AE1376="free","re-planting",IF(AE1376="me","   not ELP, by",IF(AND(OR(PlanterYesMe="Yes",PlanterYesMe="Y"),G1376&gt;0),(VLOOKUP(A1376,'Discount Lookup'!J:K,2)*G1376*(1-PlanterDiscount)*(1+PlanterDifficultyPercentage)),IF(AE1376="ELP",(VLOOKUP(A1376,'Discount Lookup'!J:K,2)*G1376*(1-PlanterDiscount)*(1+PlanterDifficultyPercentage)),IF(AE1376="free","re-planting",IF(G1376=0,"",IF(PlanterYesMe="",IF(AE1376="me","   not ELP, by",IF(AE1376="",IF(G1376&gt;0,(VLOOKUP(A1376,'Discount Lookup'!J:K,2)*G1376*(1-PlanterDiscount)*(1+PlanterDifficultyPercentage)),""),"")),"   not ELP, by"))))))))))))))</f>
        <v/>
      </c>
      <c r="AD1376" s="712"/>
      <c r="AE1376" s="513" t="str">
        <f t="shared" si="1022"/>
        <v/>
      </c>
      <c r="AF1376" s="713" t="str">
        <f t="shared" si="1023"/>
        <v/>
      </c>
      <c r="AG1376" s="713"/>
      <c r="AH1376" s="713"/>
      <c r="AI1376" s="112">
        <f>IF(H1376="credit",0,IF(AE1376="free",0,IF(AE1376="me",0,IF(G1376&gt;0,(VLOOKUP(A1376,'Discount Lookup'!J:K,2)*G1376),0))))</f>
        <v>0</v>
      </c>
      <c r="AJ1376" s="107" t="str">
        <f t="shared" ca="1" si="1024"/>
        <v/>
      </c>
      <c r="AK1376" s="714" t="str">
        <f t="shared" si="1025"/>
        <v/>
      </c>
      <c r="AL1376" s="714"/>
      <c r="AM1376" s="114" t="str">
        <f t="shared" si="1026"/>
        <v/>
      </c>
      <c r="AN1376" s="115"/>
      <c r="AO1376" s="116"/>
      <c r="AP1376" s="116"/>
      <c r="AQ1376" s="116"/>
      <c r="AR1376" s="116"/>
      <c r="AS1376" s="116"/>
      <c r="AT1376" s="116"/>
      <c r="AU1376" s="116"/>
      <c r="AV1376" s="78"/>
      <c r="AW1376" s="102"/>
      <c r="AX1376" s="78"/>
      <c r="AY1376" s="78"/>
      <c r="AZ1376" s="78"/>
      <c r="BA1376" s="78"/>
      <c r="BB1376" s="78"/>
      <c r="BC1376" s="78"/>
      <c r="BD1376" s="78"/>
      <c r="BE1376" s="465"/>
      <c r="BF1376" s="165" t="str">
        <f t="shared" si="1027"/>
        <v>https://www.google.com/search?tbm=isch&amp;q=Corylus%20%3D%20Filbert%20</v>
      </c>
      <c r="BG1376" s="165" t="str">
        <f t="shared" si="1028"/>
        <v>C</v>
      </c>
      <c r="BH1376" s="65"/>
      <c r="BI1376" s="65"/>
      <c r="BJ1376" s="65"/>
      <c r="BK1376" s="65"/>
      <c r="BL1376" s="99"/>
      <c r="BM1376" s="99"/>
      <c r="BN1376" s="99"/>
    </row>
    <row r="1377" spans="1:66" s="51" customFormat="1" ht="18" x14ac:dyDescent="0.25">
      <c r="A1377" s="623" t="s">
        <v>2349</v>
      </c>
      <c r="B1377" s="624"/>
      <c r="C1377" s="709"/>
      <c r="D1377" s="625" t="s">
        <v>2350</v>
      </c>
      <c r="E1377" s="626"/>
      <c r="F1377" s="626"/>
      <c r="G1377" s="626"/>
      <c r="H1377" s="622" t="s">
        <v>1174</v>
      </c>
      <c r="I1377" s="627" t="s">
        <v>1199</v>
      </c>
      <c r="J1377" s="628"/>
      <c r="K1377" s="628"/>
      <c r="L1377" s="629"/>
      <c r="M1377" s="700" t="s">
        <v>5249</v>
      </c>
      <c r="N1377" s="693" t="str">
        <f>IF(AND(ISTEXT($A1377), ISERROR($A1377+0)), HYPERLINK($BF1377, "Images"), "")</f>
        <v>Images</v>
      </c>
      <c r="O1377" s="695" t="s">
        <v>5247</v>
      </c>
      <c r="P1377" s="630"/>
      <c r="Q1377" s="631"/>
      <c r="R1377" s="632"/>
      <c r="S1377" s="633"/>
      <c r="T1377" s="102">
        <f t="shared" si="1016"/>
        <v>0</v>
      </c>
      <c r="U1377" s="78" t="str">
        <f>IF(NOT(ISNUMBER(G1377)), "", VLOOKUP(A1377,'Discount Lookup'!D:E,2,FALSE)*G1377)</f>
        <v/>
      </c>
      <c r="V1377" s="78" t="str">
        <f>IF(NOT(ISNUMBER(G1377)), "", VLOOKUP(A1377,'Discount Lookup'!G:H,2,FALSE)*G1377)</f>
        <v/>
      </c>
      <c r="W1377" s="102">
        <f t="shared" si="1017"/>
        <v>0</v>
      </c>
      <c r="X1377" s="102" t="str">
        <f t="shared" si="1018"/>
        <v>Burgundy-Red foliage</v>
      </c>
      <c r="Y1377" s="120" t="b">
        <f t="shared" si="1019"/>
        <v>0</v>
      </c>
      <c r="Z1377" s="117">
        <f t="shared" si="1020"/>
        <v>0</v>
      </c>
      <c r="AA1377" s="118"/>
      <c r="AB1377" s="118" t="str">
        <f t="shared" si="1021"/>
        <v/>
      </c>
      <c r="AC1377" s="712" t="str">
        <f>IF(AE1377="T2G","no charge",IF(AND(OR(PlanterYesMe="No",PlanterYesMe="N",PlanterYesMe="me"),H1377=""),"",IF(H1377="credit","NO install",IF(AND(K1377="",AE1377="me"),"EACH row",IF(AND(K1377="images",AE1377="me"),"EACH row",IF(D1377="","",IF(H1377="credit","",IF(AE1377="free","re-planting",IF(AE1377="me","   not ELP, by",IF(AND(OR(PlanterYesMe="Yes",PlanterYesMe="Y"),G1377&gt;0),(VLOOKUP(A1377,'Discount Lookup'!J:K,2)*G1377*(1-PlanterDiscount)*(1+PlanterDifficultyPercentage)),IF(AE1377="ELP",(VLOOKUP(A1377,'Discount Lookup'!J:K,2)*G1377*(1-PlanterDiscount)*(1+PlanterDifficultyPercentage)),IF(AE1377="free","re-planting",IF(G1377=0,"",IF(PlanterYesMe="",IF(AE1377="me","   not ELP, by",IF(AE1377="",IF(G1377&gt;0,(VLOOKUP(A1377,'Discount Lookup'!J:K,2)*G1377*(1-PlanterDiscount)*(1+PlanterDifficultyPercentage)),""),"")),"   not ELP, by"))))))))))))))</f>
        <v/>
      </c>
      <c r="AD1377" s="712"/>
      <c r="AE1377" s="513" t="str">
        <f t="shared" si="1022"/>
        <v/>
      </c>
      <c r="AF1377" s="713" t="str">
        <f t="shared" si="1023"/>
        <v/>
      </c>
      <c r="AG1377" s="713"/>
      <c r="AH1377" s="713"/>
      <c r="AI1377" s="112">
        <f>IF(H1377="credit",0,IF(AE1377="free",0,IF(AE1377="me",0,IF(G1377&gt;0,(VLOOKUP(A1377,'Discount Lookup'!J:K,2)*G1377),0))))</f>
        <v>0</v>
      </c>
      <c r="AJ1377" s="107" t="str">
        <f t="shared" ca="1" si="1024"/>
        <v/>
      </c>
      <c r="AK1377" s="714" t="str">
        <f t="shared" si="1025"/>
        <v/>
      </c>
      <c r="AL1377" s="714"/>
      <c r="AM1377" s="114" t="str">
        <f t="shared" si="1026"/>
        <v/>
      </c>
      <c r="AN1377" s="115"/>
      <c r="AO1377" s="116"/>
      <c r="AP1377" s="116"/>
      <c r="AQ1377" s="116"/>
      <c r="AR1377" s="116"/>
      <c r="AS1377" s="116"/>
      <c r="AT1377" s="116"/>
      <c r="AU1377" s="116"/>
      <c r="AV1377" s="78"/>
      <c r="AW1377" s="102"/>
      <c r="AX1377" s="78"/>
      <c r="AY1377" s="78"/>
      <c r="AZ1377" s="78"/>
      <c r="BA1377" s="78"/>
      <c r="BB1377" s="78"/>
      <c r="BC1377" s="78"/>
      <c r="BD1377" s="78"/>
      <c r="BE1377" s="465"/>
      <c r="BF1377" s="165" t="str">
        <f t="shared" si="1027"/>
        <v>https://www.google.com/search?tbm=isch&amp;q=Corylus%20avellana%20%27Burgundy%20Lace%27%20PP%2328216%20Burgundy%20Lace%20Filbert</v>
      </c>
      <c r="BG1377" s="165" t="str">
        <f t="shared" si="1028"/>
        <v>C</v>
      </c>
      <c r="BH1377" s="65"/>
      <c r="BI1377" s="65"/>
      <c r="BJ1377" s="65"/>
      <c r="BK1377" s="65"/>
      <c r="BL1377" s="99"/>
      <c r="BM1377" s="99"/>
      <c r="BN1377" s="99"/>
    </row>
    <row r="1378" spans="1:66" s="51" customFormat="1" ht="27" x14ac:dyDescent="0.25">
      <c r="A1378" s="634">
        <v>15</v>
      </c>
      <c r="B1378" s="635" t="s">
        <v>291</v>
      </c>
      <c r="C1378" s="636" t="s">
        <v>2351</v>
      </c>
      <c r="D1378" s="637" t="s">
        <v>299</v>
      </c>
      <c r="E1378" s="638">
        <v>252.95</v>
      </c>
      <c r="F1378" s="639" t="s">
        <v>292</v>
      </c>
      <c r="G1378" s="484">
        <v>0</v>
      </c>
      <c r="H1378" s="691" t="str">
        <f>IF(G1378=0,"",IF(F1378="Buy",IF(G1378=1,"plant","plants"),IF(F1378&gt;0.01,"warranty","Error")))</f>
        <v/>
      </c>
      <c r="I1378" s="640">
        <f>IF(H1378="free",0,IF(H1378="credit",((E1378*(F1378))*G1378*-1),IF(F1378="Buy",(E1378*G1378),((E1378*(1-F1378))*G1378))))</f>
        <v>0</v>
      </c>
      <c r="J1378" s="640">
        <f>IF(H1378="warranty",0,(I1378*(_xlfn.SINGLE(SalesTaxPercentage))))</f>
        <v>0</v>
      </c>
      <c r="K1378" s="716">
        <f t="shared" ref="K1378" si="1032">I1378+J1378</f>
        <v>0</v>
      </c>
      <c r="L1378" s="716"/>
      <c r="M1378" s="689" t="str">
        <f ca="1">IF(AND(G1378&gt;0,E1378=0),"WARNING - no PRICE inserted",IF(H1378="free","FREE ~ no charge this plant",IF(H1378="credit",CONCATENATE("-$",ROUND(K1378*(1-_xlfn.SINGLE(T2GDiscount))*-1,2)," CREDIT after discount"),IF(_xlfn.SINGLE(T2GDiscount)=0,"",IF(G1378=0,"",IF(F1378="Buy",CONCATENATE("$",ROUND(K1378*(1-_xlfn.SINGLE(T2GDiscount)),2)," with ",(_xlfn.SINGLE(T2GDiscount)*100),"% discount"),CONCATENATE("$",ROUND(K1378*(1-_xlfn.SINGLE(T2GDiscount)),2)," with ",((_xlfn.SINGLE(T2GDiscount)*100+F1378*100)-(_xlfn.SINGLE(T2GDiscount)*100*F1378)),IF(F1378&gt;0,"% discounts",IF(_xlfn.SINGLE(NoWarrantyDiscount)&gt;0,"% discounts","% discount")))))))))</f>
        <v/>
      </c>
      <c r="N1378" s="690"/>
      <c r="O1378" s="486"/>
      <c r="P1378" s="486"/>
      <c r="Q1378" s="486"/>
      <c r="R1378" s="486"/>
      <c r="S1378" s="486"/>
      <c r="T1378" s="102">
        <f t="shared" si="1016"/>
        <v>0</v>
      </c>
      <c r="U1378" s="78">
        <f>IF(NOT(ISNUMBER(G1378)), "", VLOOKUP(A1378,'Discount Lookup'!D:E,2,FALSE)*G1378)</f>
        <v>0</v>
      </c>
      <c r="V1378" s="78">
        <f>IF(NOT(ISNUMBER(G1378)), "", VLOOKUP(A1378,'Discount Lookup'!G:H,2,FALSE)*G1378)</f>
        <v>0</v>
      </c>
      <c r="W1378" s="102">
        <f t="shared" si="1017"/>
        <v>0</v>
      </c>
      <c r="X1378" s="102">
        <f t="shared" si="1018"/>
        <v>0</v>
      </c>
      <c r="Y1378" s="120" t="b">
        <f t="shared" si="1019"/>
        <v>0</v>
      </c>
      <c r="Z1378" s="117">
        <f t="shared" si="1020"/>
        <v>0</v>
      </c>
      <c r="AA1378" s="118"/>
      <c r="AB1378" s="118" t="str">
        <f t="shared" si="1021"/>
        <v/>
      </c>
      <c r="AC1378" s="712" t="str">
        <f>IF(AE1378="T2G","no charge",IF(AND(OR(PlanterYesMe="No",PlanterYesMe="N",PlanterYesMe="me"),H1378=""),"",IF(H1378="credit","NO install",IF(AND(K1378="",AE1378="me"),"EACH row",IF(AND(K1378="images",AE1378="me"),"EACH row",IF(D1378="","",IF(H1378="credit","",IF(AE1378="free","re-planting",IF(AE1378="me","   not ELP, by",IF(AND(OR(PlanterYesMe="Yes",PlanterYesMe="Y"),G1378&gt;0),(VLOOKUP(A1378,'Discount Lookup'!J:K,2)*G1378*(1-PlanterDiscount)*(1+PlanterDifficultyPercentage)),IF(AE1378="ELP",(VLOOKUP(A1378,'Discount Lookup'!J:K,2)*G1378*(1-PlanterDiscount)*(1+PlanterDifficultyPercentage)),IF(AE1378="free","re-planting",IF(G1378=0,"",IF(PlanterYesMe="",IF(AE1378="me","   not ELP, by",IF(AE1378="",IF(G1378&gt;0,(VLOOKUP(A1378,'Discount Lookup'!J:K,2)*G1378*(1-PlanterDiscount)*(1+PlanterDifficultyPercentage)),""),"")),"   not ELP, by"))))))))))))))</f>
        <v/>
      </c>
      <c r="AD1378" s="712"/>
      <c r="AE1378" s="513" t="str">
        <f t="shared" si="1022"/>
        <v/>
      </c>
      <c r="AF1378" s="713" t="str">
        <f t="shared" si="1023"/>
        <v/>
      </c>
      <c r="AG1378" s="713"/>
      <c r="AH1378" s="713"/>
      <c r="AI1378" s="112">
        <f>IF(H1378="credit",0,IF(AE1378="free",0,IF(AE1378="me",0,IF(G1378&gt;0,(VLOOKUP(A1378,'Discount Lookup'!J:K,2)*G1378),0))))</f>
        <v>0</v>
      </c>
      <c r="AJ1378" s="107" t="str">
        <f t="shared" ca="1" si="1024"/>
        <v/>
      </c>
      <c r="AK1378" s="714" t="str">
        <f t="shared" si="1025"/>
        <v/>
      </c>
      <c r="AL1378" s="714"/>
      <c r="AM1378" s="114" t="str">
        <f t="shared" si="1026"/>
        <v/>
      </c>
      <c r="AN1378" s="115"/>
      <c r="AO1378" s="116"/>
      <c r="AP1378" s="116"/>
      <c r="AQ1378" s="116"/>
      <c r="AR1378" s="116"/>
      <c r="AS1378" s="116"/>
      <c r="AT1378" s="116"/>
      <c r="AU1378" s="116"/>
      <c r="AV1378" s="78"/>
      <c r="AW1378" s="102"/>
      <c r="AX1378" s="78"/>
      <c r="AY1378" s="78"/>
      <c r="AZ1378" s="78"/>
      <c r="BA1378" s="78"/>
      <c r="BB1378" s="78"/>
      <c r="BC1378" s="78"/>
      <c r="BD1378" s="78"/>
      <c r="BE1378" s="465"/>
      <c r="BF1378" s="165" t="str">
        <f t="shared" si="1027"/>
        <v>https://www.google.com/search?tbm=isch&amp;q=15%20G4</v>
      </c>
      <c r="BG1378" s="165" t="str">
        <f t="shared" si="1028"/>
        <v>C</v>
      </c>
      <c r="BH1378" s="65"/>
      <c r="BI1378" s="65"/>
      <c r="BJ1378" s="65"/>
      <c r="BK1378" s="65"/>
      <c r="BL1378" s="99"/>
      <c r="BM1378" s="99"/>
      <c r="BN1378" s="99"/>
    </row>
    <row r="1379" spans="1:66" s="51" customFormat="1" ht="17.25" thickBot="1" x14ac:dyDescent="0.3">
      <c r="A1379" s="641" t="s">
        <v>2352</v>
      </c>
      <c r="B1379" s="642"/>
      <c r="C1379" s="710"/>
      <c r="D1379" s="643"/>
      <c r="E1379" s="643"/>
      <c r="F1379" s="644"/>
      <c r="G1379" s="645"/>
      <c r="H1379" s="646"/>
      <c r="I1379" s="647"/>
      <c r="J1379" s="648"/>
      <c r="K1379" s="649"/>
      <c r="L1379" s="650"/>
      <c r="M1379" s="650"/>
      <c r="N1379" s="644"/>
      <c r="O1379" s="644"/>
      <c r="P1379" s="644"/>
      <c r="Q1379" s="644"/>
      <c r="R1379" s="644"/>
      <c r="S1379" s="701" t="s">
        <v>5253</v>
      </c>
      <c r="T1379" s="102">
        <f t="shared" si="1016"/>
        <v>0</v>
      </c>
      <c r="U1379" s="78" t="str">
        <f>IF(NOT(ISNUMBER(G1379)), "", VLOOKUP(A1379,'Discount Lookup'!D:E,2,FALSE)*G1379)</f>
        <v/>
      </c>
      <c r="V1379" s="78" t="str">
        <f>IF(NOT(ISNUMBER(G1379)), "", VLOOKUP(A1379,'Discount Lookup'!G:H,2,FALSE)*G1379)</f>
        <v/>
      </c>
      <c r="W1379" s="102">
        <f t="shared" si="1017"/>
        <v>0</v>
      </c>
      <c r="X1379" s="102">
        <f t="shared" si="1018"/>
        <v>0</v>
      </c>
      <c r="Y1379" s="120" t="b">
        <f t="shared" si="1019"/>
        <v>0</v>
      </c>
      <c r="Z1379" s="117">
        <f t="shared" si="1020"/>
        <v>0</v>
      </c>
      <c r="AA1379" s="118"/>
      <c r="AB1379" s="118" t="str">
        <f t="shared" si="1021"/>
        <v/>
      </c>
      <c r="AC1379" s="712" t="str">
        <f>IF(AE1379="T2G","no charge",IF(AND(OR(PlanterYesMe="No",PlanterYesMe="N",PlanterYesMe="me"),H1379=""),"",IF(H1379="credit","NO install",IF(AND(K1379="",AE1379="me"),"EACH row",IF(AND(K1379="images",AE1379="me"),"EACH row",IF(D1379="","",IF(H1379="credit","",IF(AE1379="free","re-planting",IF(AE1379="me","   not ELP, by",IF(AND(OR(PlanterYesMe="Yes",PlanterYesMe="Y"),G1379&gt;0),(VLOOKUP(A1379,'Discount Lookup'!J:K,2)*G1379*(1-PlanterDiscount)*(1+PlanterDifficultyPercentage)),IF(AE1379="ELP",(VLOOKUP(A1379,'Discount Lookup'!J:K,2)*G1379*(1-PlanterDiscount)*(1+PlanterDifficultyPercentage)),IF(AE1379="free","re-planting",IF(G1379=0,"",IF(PlanterYesMe="",IF(AE1379="me","   not ELP, by",IF(AE1379="",IF(G1379&gt;0,(VLOOKUP(A1379,'Discount Lookup'!J:K,2)*G1379*(1-PlanterDiscount)*(1+PlanterDifficultyPercentage)),""),"")),"   not ELP, by"))))))))))))))</f>
        <v/>
      </c>
      <c r="AD1379" s="712"/>
      <c r="AE1379" s="513" t="str">
        <f t="shared" si="1022"/>
        <v/>
      </c>
      <c r="AF1379" s="713" t="str">
        <f t="shared" si="1023"/>
        <v/>
      </c>
      <c r="AG1379" s="713"/>
      <c r="AH1379" s="713"/>
      <c r="AI1379" s="112">
        <f>IF(H1379="credit",0,IF(AE1379="free",0,IF(AE1379="me",0,IF(G1379&gt;0,(VLOOKUP(A1379,'Discount Lookup'!J:K,2)*G1379),0))))</f>
        <v>0</v>
      </c>
      <c r="AJ1379" s="107" t="str">
        <f t="shared" ca="1" si="1024"/>
        <v/>
      </c>
      <c r="AK1379" s="714" t="str">
        <f t="shared" si="1025"/>
        <v/>
      </c>
      <c r="AL1379" s="714"/>
      <c r="AM1379" s="114" t="str">
        <f t="shared" si="1026"/>
        <v/>
      </c>
      <c r="AN1379" s="115"/>
      <c r="AO1379" s="116"/>
      <c r="AP1379" s="116"/>
      <c r="AQ1379" s="116"/>
      <c r="AR1379" s="116"/>
      <c r="AS1379" s="116"/>
      <c r="AT1379" s="116"/>
      <c r="AU1379" s="116"/>
      <c r="AV1379" s="78"/>
      <c r="AW1379" s="102"/>
      <c r="AX1379" s="78"/>
      <c r="AY1379" s="78"/>
      <c r="AZ1379" s="78"/>
      <c r="BA1379" s="78"/>
      <c r="BB1379" s="78"/>
      <c r="BC1379" s="78"/>
      <c r="BD1379" s="78"/>
      <c r="BE1379" s="465"/>
      <c r="BF1379" s="165" t="str">
        <f t="shared" si="1027"/>
        <v>https://www.google.com/search?tbm=isch&amp;q=Burgundy%20Lace%20is%20notable%20for%20its%20finely%20dissected%2C%20lace-like%20foliage%20that%20holds%20its%20color%20well%2C%20gradually%20turning%20Green%2C%20then%20Yellow-Gold%20in%20fall%20</v>
      </c>
      <c r="BG1379" s="165" t="str">
        <f t="shared" si="1028"/>
        <v>B</v>
      </c>
      <c r="BH1379" s="65"/>
      <c r="BI1379" s="65"/>
      <c r="BJ1379" s="65"/>
      <c r="BK1379" s="65"/>
      <c r="BL1379" s="99"/>
      <c r="BM1379" s="99"/>
      <c r="BN1379" s="99"/>
    </row>
    <row r="1380" spans="1:66" s="51" customFormat="1" ht="18" x14ac:dyDescent="0.25">
      <c r="A1380" s="623" t="s">
        <v>5063</v>
      </c>
      <c r="B1380" s="624"/>
      <c r="C1380" s="709"/>
      <c r="D1380" s="625" t="s">
        <v>5064</v>
      </c>
      <c r="E1380" s="626"/>
      <c r="F1380" s="626"/>
      <c r="G1380" s="626"/>
      <c r="H1380" s="622" t="s">
        <v>2010</v>
      </c>
      <c r="I1380" s="627" t="s">
        <v>432</v>
      </c>
      <c r="J1380" s="628"/>
      <c r="K1380" s="628"/>
      <c r="L1380" s="629"/>
      <c r="M1380" s="700" t="s">
        <v>5249</v>
      </c>
      <c r="N1380" s="693" t="str">
        <f>IF(AND(ISTEXT($A1380), ISERROR($A1380+0)), HYPERLINK($BF1380, "Images"), "")</f>
        <v>Images</v>
      </c>
      <c r="O1380" s="695" t="s">
        <v>5264</v>
      </c>
      <c r="P1380" s="630"/>
      <c r="Q1380" s="631"/>
      <c r="R1380" s="632"/>
      <c r="S1380" s="633"/>
      <c r="T1380" s="102">
        <f t="shared" si="1016"/>
        <v>0</v>
      </c>
      <c r="U1380" s="78" t="str">
        <f>IF(NOT(ISNUMBER(G1380)), "", VLOOKUP(A1380,'Discount Lookup'!D:E,2,FALSE)*G1380)</f>
        <v/>
      </c>
      <c r="V1380" s="78" t="str">
        <f>IF(NOT(ISNUMBER(G1380)), "", VLOOKUP(A1380,'Discount Lookup'!G:H,2,FALSE)*G1380)</f>
        <v/>
      </c>
      <c r="W1380" s="102">
        <f t="shared" si="1017"/>
        <v>0</v>
      </c>
      <c r="X1380" s="102" t="str">
        <f t="shared" si="1018"/>
        <v>Green foliage</v>
      </c>
      <c r="Y1380" s="120" t="b">
        <f t="shared" si="1019"/>
        <v>0</v>
      </c>
      <c r="Z1380" s="117">
        <f t="shared" si="1020"/>
        <v>0</v>
      </c>
      <c r="AA1380" s="118"/>
      <c r="AB1380" s="118" t="str">
        <f t="shared" si="1021"/>
        <v/>
      </c>
      <c r="AC1380" s="712" t="str">
        <f>IF(AE1380="T2G","no charge",IF(AND(OR(PlanterYesMe="No",PlanterYesMe="N",PlanterYesMe="me"),H1380=""),"",IF(H1380="credit","NO install",IF(AND(K1380="",AE1380="me"),"EACH row",IF(AND(K1380="images",AE1380="me"),"EACH row",IF(D1380="","",IF(H1380="credit","",IF(AE1380="free","re-planting",IF(AE1380="me","   not ELP, by",IF(AND(OR(PlanterYesMe="Yes",PlanterYesMe="Y"),G1380&gt;0),(VLOOKUP(A1380,'Discount Lookup'!J:K,2)*G1380*(1-PlanterDiscount)*(1+PlanterDifficultyPercentage)),IF(AE1380="ELP",(VLOOKUP(A1380,'Discount Lookup'!J:K,2)*G1380*(1-PlanterDiscount)*(1+PlanterDifficultyPercentage)),IF(AE1380="free","re-planting",IF(G1380=0,"",IF(PlanterYesMe="",IF(AE1380="me","   not ELP, by",IF(AE1380="",IF(G1380&gt;0,(VLOOKUP(A1380,'Discount Lookup'!J:K,2)*G1380*(1-PlanterDiscount)*(1+PlanterDifficultyPercentage)),""),"")),"   not ELP, by"))))))))))))))</f>
        <v/>
      </c>
      <c r="AD1380" s="712"/>
      <c r="AE1380" s="513" t="str">
        <f t="shared" si="1022"/>
        <v/>
      </c>
      <c r="AF1380" s="713" t="str">
        <f t="shared" si="1023"/>
        <v/>
      </c>
      <c r="AG1380" s="713"/>
      <c r="AH1380" s="713"/>
      <c r="AI1380" s="112">
        <f>IF(H1380="credit",0,IF(AE1380="free",0,IF(AE1380="me",0,IF(G1380&gt;0,(VLOOKUP(A1380,'Discount Lookup'!J:K,2)*G1380),0))))</f>
        <v>0</v>
      </c>
      <c r="AJ1380" s="107" t="str">
        <f t="shared" ca="1" si="1024"/>
        <v/>
      </c>
      <c r="AK1380" s="714" t="str">
        <f t="shared" si="1025"/>
        <v/>
      </c>
      <c r="AL1380" s="714"/>
      <c r="AM1380" s="114" t="str">
        <f t="shared" si="1026"/>
        <v/>
      </c>
      <c r="AN1380" s="115"/>
      <c r="AO1380" s="116"/>
      <c r="AP1380" s="116"/>
      <c r="AQ1380" s="116"/>
      <c r="AR1380" s="116"/>
      <c r="AS1380" s="116"/>
      <c r="AT1380" s="116"/>
      <c r="AU1380" s="116"/>
      <c r="AV1380" s="78"/>
      <c r="AW1380" s="102"/>
      <c r="AX1380" s="78"/>
      <c r="AY1380" s="78"/>
      <c r="AZ1380" s="78"/>
      <c r="BA1380" s="78"/>
      <c r="BB1380" s="78"/>
      <c r="BC1380" s="78"/>
      <c r="BD1380" s="78"/>
      <c r="BE1380" s="465"/>
      <c r="BF1380" s="165" t="str">
        <f t="shared" si="1027"/>
        <v>https://www.google.com/search?tbm=isch&amp;q=Corylus%20avellana%20%27Contorta%27%20Harry%20Lauder%E2%80%99s%20Walking%20Stick</v>
      </c>
      <c r="BG1380" s="165" t="str">
        <f t="shared" si="1028"/>
        <v>C</v>
      </c>
      <c r="BH1380" s="65"/>
      <c r="BI1380" s="65"/>
      <c r="BJ1380" s="65"/>
      <c r="BK1380" s="65"/>
      <c r="BL1380" s="99"/>
      <c r="BM1380" s="99"/>
      <c r="BN1380" s="99"/>
    </row>
    <row r="1381" spans="1:66" s="51" customFormat="1" ht="15.75" x14ac:dyDescent="0.25">
      <c r="A1381" s="634">
        <v>7</v>
      </c>
      <c r="B1381" s="635" t="s">
        <v>291</v>
      </c>
      <c r="C1381" s="636" t="s">
        <v>5065</v>
      </c>
      <c r="D1381" s="637" t="s">
        <v>299</v>
      </c>
      <c r="E1381" s="638">
        <v>146.94999999999999</v>
      </c>
      <c r="F1381" s="639" t="s">
        <v>292</v>
      </c>
      <c r="G1381" s="484">
        <v>0</v>
      </c>
      <c r="H1381" s="691" t="str">
        <f>IF(G1381=0,"",IF(F1381="Buy",IF(G1381=1,"plant","plants"),IF(F1381&gt;0.01,"warranty","Error")))</f>
        <v/>
      </c>
      <c r="I1381" s="640">
        <f>IF(H1381="free",0,IF(H1381="credit",((E1381*(F1381))*G1381*-1),IF(F1381="Buy",(E1381*G1381),((E1381*(1-F1381))*G1381))))</f>
        <v>0</v>
      </c>
      <c r="J1381" s="640">
        <f>IF(H1381="warranty",0,(I1381*(_xlfn.SINGLE(SalesTaxPercentage))))</f>
        <v>0</v>
      </c>
      <c r="K1381" s="716">
        <f t="shared" ref="K1381" si="1033">I1381+J1381</f>
        <v>0</v>
      </c>
      <c r="L1381" s="716"/>
      <c r="M1381" s="689" t="str">
        <f ca="1">IF(AND(G1381&gt;0,E1381=0),"WARNING - no PRICE inserted",IF(H1381="free","FREE ~ no charge this plant",IF(H1381="credit",CONCATENATE("-$",ROUND(K1381*(1-_xlfn.SINGLE(T2GDiscount))*-1,2)," CREDIT after discount"),IF(_xlfn.SINGLE(T2GDiscount)=0,"",IF(G1381=0,"",IF(F1381="Buy",CONCATENATE("$",ROUND(K1381*(1-_xlfn.SINGLE(T2GDiscount)),2)," with ",(_xlfn.SINGLE(T2GDiscount)*100),"% discount"),CONCATENATE("$",ROUND(K1381*(1-_xlfn.SINGLE(T2GDiscount)),2)," with ",((_xlfn.SINGLE(T2GDiscount)*100+F1381*100)-(_xlfn.SINGLE(T2GDiscount)*100*F1381)),IF(F1381&gt;0,"% discounts",IF(_xlfn.SINGLE(NoWarrantyDiscount)&gt;0,"% discounts","% discount")))))))))</f>
        <v/>
      </c>
      <c r="N1381" s="690"/>
      <c r="O1381" s="486"/>
      <c r="P1381" s="486"/>
      <c r="Q1381" s="486"/>
      <c r="R1381" s="486"/>
      <c r="S1381" s="486"/>
      <c r="T1381" s="102">
        <f t="shared" si="1016"/>
        <v>0</v>
      </c>
      <c r="U1381" s="78">
        <f>IF(NOT(ISNUMBER(G1381)), "", VLOOKUP(A1381,'Discount Lookup'!D:E,2,FALSE)*G1381)</f>
        <v>0</v>
      </c>
      <c r="V1381" s="78">
        <f>IF(NOT(ISNUMBER(G1381)), "", VLOOKUP(A1381,'Discount Lookup'!G:H,2,FALSE)*G1381)</f>
        <v>0</v>
      </c>
      <c r="W1381" s="102">
        <f t="shared" si="1017"/>
        <v>0</v>
      </c>
      <c r="X1381" s="102">
        <f t="shared" si="1018"/>
        <v>0</v>
      </c>
      <c r="Y1381" s="120" t="b">
        <f t="shared" si="1019"/>
        <v>0</v>
      </c>
      <c r="Z1381" s="117">
        <f t="shared" si="1020"/>
        <v>0</v>
      </c>
      <c r="AA1381" s="118"/>
      <c r="AB1381" s="118" t="str">
        <f t="shared" si="1021"/>
        <v/>
      </c>
      <c r="AC1381" s="712" t="str">
        <f>IF(AE1381="T2G","no charge",IF(AND(OR(PlanterYesMe="No",PlanterYesMe="N",PlanterYesMe="me"),H1381=""),"",IF(H1381="credit","NO install",IF(AND(K1381="",AE1381="me"),"EACH row",IF(AND(K1381="images",AE1381="me"),"EACH row",IF(D1381="","",IF(H1381="credit","",IF(AE1381="free","re-planting",IF(AE1381="me","   not ELP, by",IF(AND(OR(PlanterYesMe="Yes",PlanterYesMe="Y"),G1381&gt;0),(VLOOKUP(A1381,'Discount Lookup'!J:K,2)*G1381*(1-PlanterDiscount)*(1+PlanterDifficultyPercentage)),IF(AE1381="ELP",(VLOOKUP(A1381,'Discount Lookup'!J:K,2)*G1381*(1-PlanterDiscount)*(1+PlanterDifficultyPercentage)),IF(AE1381="free","re-planting",IF(G1381=0,"",IF(PlanterYesMe="",IF(AE1381="me","   not ELP, by",IF(AE1381="",IF(G1381&gt;0,(VLOOKUP(A1381,'Discount Lookup'!J:K,2)*G1381*(1-PlanterDiscount)*(1+PlanterDifficultyPercentage)),""),"")),"   not ELP, by"))))))))))))))</f>
        <v/>
      </c>
      <c r="AD1381" s="712"/>
      <c r="AE1381" s="513" t="str">
        <f t="shared" si="1022"/>
        <v/>
      </c>
      <c r="AF1381" s="713" t="str">
        <f t="shared" si="1023"/>
        <v/>
      </c>
      <c r="AG1381" s="713"/>
      <c r="AH1381" s="713"/>
      <c r="AI1381" s="112">
        <f>IF(H1381="credit",0,IF(AE1381="free",0,IF(AE1381="me",0,IF(G1381&gt;0,(VLOOKUP(A1381,'Discount Lookup'!J:K,2)*G1381),0))))</f>
        <v>0</v>
      </c>
      <c r="AJ1381" s="107" t="str">
        <f t="shared" ca="1" si="1024"/>
        <v/>
      </c>
      <c r="AK1381" s="714" t="str">
        <f t="shared" si="1025"/>
        <v/>
      </c>
      <c r="AL1381" s="714"/>
      <c r="AM1381" s="114" t="str">
        <f t="shared" si="1026"/>
        <v/>
      </c>
      <c r="AN1381" s="115"/>
      <c r="AO1381" s="116"/>
      <c r="AP1381" s="116"/>
      <c r="AQ1381" s="116"/>
      <c r="AR1381" s="116"/>
      <c r="AS1381" s="116"/>
      <c r="AT1381" s="116"/>
      <c r="AU1381" s="116"/>
      <c r="AV1381" s="78"/>
      <c r="AW1381" s="102"/>
      <c r="AX1381" s="78"/>
      <c r="AY1381" s="78"/>
      <c r="AZ1381" s="78"/>
      <c r="BA1381" s="78"/>
      <c r="BB1381" s="78"/>
      <c r="BC1381" s="78"/>
      <c r="BD1381" s="78"/>
      <c r="BE1381" s="465"/>
      <c r="BF1381" s="165" t="str">
        <f t="shared" si="1027"/>
        <v>https://www.google.com/search?tbm=isch&amp;q=7%20G4</v>
      </c>
      <c r="BG1381" s="165" t="str">
        <f t="shared" si="1028"/>
        <v>C</v>
      </c>
      <c r="BH1381" s="65"/>
      <c r="BI1381" s="65"/>
      <c r="BJ1381" s="65"/>
      <c r="BK1381" s="65"/>
      <c r="BL1381" s="99"/>
      <c r="BM1381" s="99"/>
      <c r="BN1381" s="99"/>
    </row>
    <row r="1382" spans="1:66" s="51" customFormat="1" ht="17.25" thickBot="1" x14ac:dyDescent="0.3">
      <c r="A1382" s="641" t="s">
        <v>5066</v>
      </c>
      <c r="B1382" s="642"/>
      <c r="C1382" s="710"/>
      <c r="D1382" s="643"/>
      <c r="E1382" s="643"/>
      <c r="F1382" s="644"/>
      <c r="G1382" s="645"/>
      <c r="H1382" s="646"/>
      <c r="I1382" s="647"/>
      <c r="J1382" s="648"/>
      <c r="K1382" s="649"/>
      <c r="L1382" s="650"/>
      <c r="M1382" s="650"/>
      <c r="N1382" s="644"/>
      <c r="O1382" s="644"/>
      <c r="P1382" s="644"/>
      <c r="Q1382" s="644"/>
      <c r="R1382" s="644"/>
      <c r="S1382" s="701" t="s">
        <v>5269</v>
      </c>
      <c r="T1382" s="102">
        <f t="shared" si="1016"/>
        <v>0</v>
      </c>
      <c r="U1382" s="78" t="str">
        <f>IF(NOT(ISNUMBER(G1382)), "", VLOOKUP(A1382,'Discount Lookup'!D:E,2,FALSE)*G1382)</f>
        <v/>
      </c>
      <c r="V1382" s="78" t="str">
        <f>IF(NOT(ISNUMBER(G1382)), "", VLOOKUP(A1382,'Discount Lookup'!G:H,2,FALSE)*G1382)</f>
        <v/>
      </c>
      <c r="W1382" s="102">
        <f t="shared" si="1017"/>
        <v>0</v>
      </c>
      <c r="X1382" s="102">
        <f t="shared" si="1018"/>
        <v>0</v>
      </c>
      <c r="Y1382" s="120" t="b">
        <f t="shared" si="1019"/>
        <v>0</v>
      </c>
      <c r="Z1382" s="117">
        <f t="shared" si="1020"/>
        <v>0</v>
      </c>
      <c r="AA1382" s="118"/>
      <c r="AB1382" s="118" t="str">
        <f t="shared" si="1021"/>
        <v/>
      </c>
      <c r="AC1382" s="712" t="str">
        <f>IF(AE1382="T2G","no charge",IF(AND(OR(PlanterYesMe="No",PlanterYesMe="N",PlanterYesMe="me"),H1382=""),"",IF(H1382="credit","NO install",IF(AND(K1382="",AE1382="me"),"EACH row",IF(AND(K1382="images",AE1382="me"),"EACH row",IF(D1382="","",IF(H1382="credit","",IF(AE1382="free","re-planting",IF(AE1382="me","   not ELP, by",IF(AND(OR(PlanterYesMe="Yes",PlanterYesMe="Y"),G1382&gt;0),(VLOOKUP(A1382,'Discount Lookup'!J:K,2)*G1382*(1-PlanterDiscount)*(1+PlanterDifficultyPercentage)),IF(AE1382="ELP",(VLOOKUP(A1382,'Discount Lookup'!J:K,2)*G1382*(1-PlanterDiscount)*(1+PlanterDifficultyPercentage)),IF(AE1382="free","re-planting",IF(G1382=0,"",IF(PlanterYesMe="",IF(AE1382="me","   not ELP, by",IF(AE1382="",IF(G1382&gt;0,(VLOOKUP(A1382,'Discount Lookup'!J:K,2)*G1382*(1-PlanterDiscount)*(1+PlanterDifficultyPercentage)),""),"")),"   not ELP, by"))))))))))))))</f>
        <v/>
      </c>
      <c r="AD1382" s="712"/>
      <c r="AE1382" s="513" t="str">
        <f t="shared" si="1022"/>
        <v/>
      </c>
      <c r="AF1382" s="713" t="str">
        <f t="shared" si="1023"/>
        <v/>
      </c>
      <c r="AG1382" s="713"/>
      <c r="AH1382" s="713"/>
      <c r="AI1382" s="112">
        <f>IF(H1382="credit",0,IF(AE1382="free",0,IF(AE1382="me",0,IF(G1382&gt;0,(VLOOKUP(A1382,'Discount Lookup'!J:K,2)*G1382),0))))</f>
        <v>0</v>
      </c>
      <c r="AJ1382" s="107" t="str">
        <f t="shared" ca="1" si="1024"/>
        <v/>
      </c>
      <c r="AK1382" s="714" t="str">
        <f t="shared" si="1025"/>
        <v/>
      </c>
      <c r="AL1382" s="714"/>
      <c r="AM1382" s="114" t="str">
        <f t="shared" si="1026"/>
        <v/>
      </c>
      <c r="AN1382" s="115"/>
      <c r="AO1382" s="116"/>
      <c r="AP1382" s="116"/>
      <c r="AQ1382" s="116"/>
      <c r="AR1382" s="116"/>
      <c r="AS1382" s="116"/>
      <c r="AT1382" s="116"/>
      <c r="AU1382" s="116"/>
      <c r="AV1382" s="78"/>
      <c r="AW1382" s="102"/>
      <c r="AX1382" s="78"/>
      <c r="AY1382" s="78"/>
      <c r="AZ1382" s="78"/>
      <c r="BA1382" s="78"/>
      <c r="BB1382" s="78"/>
      <c r="BC1382" s="78"/>
      <c r="BD1382" s="78"/>
      <c r="BE1382" s="465"/>
      <c r="BF1382" s="165" t="str">
        <f t="shared" si="1027"/>
        <v>https://www.google.com/search?tbm=isch&amp;q=Harry%20Lauder%27s%20Walking%20Stick%20is%20noted%20for%20its%20severely%20twisted%20and%20contorted%20stems%2C%20especially%20when%20covered%20in%20showy%2C%20pendulous%20catkins%20in%20winter%20</v>
      </c>
      <c r="BG1382" s="165" t="str">
        <f t="shared" si="1028"/>
        <v>H</v>
      </c>
      <c r="BH1382" s="65"/>
      <c r="BI1382" s="65"/>
      <c r="BJ1382" s="65"/>
      <c r="BK1382" s="65"/>
      <c r="BL1382" s="99"/>
      <c r="BM1382" s="99"/>
      <c r="BN1382" s="99"/>
    </row>
    <row r="1383" spans="1:66" s="51" customFormat="1" ht="18" x14ac:dyDescent="0.25">
      <c r="A1383" s="623" t="s">
        <v>2353</v>
      </c>
      <c r="B1383" s="624"/>
      <c r="C1383" s="709"/>
      <c r="D1383" s="625" t="s">
        <v>2354</v>
      </c>
      <c r="E1383" s="626"/>
      <c r="F1383" s="626"/>
      <c r="G1383" s="626"/>
      <c r="H1383" s="622" t="s">
        <v>2010</v>
      </c>
      <c r="I1383" s="627" t="s">
        <v>2355</v>
      </c>
      <c r="J1383" s="628"/>
      <c r="K1383" s="628"/>
      <c r="L1383" s="629"/>
      <c r="M1383" s="700" t="s">
        <v>5249</v>
      </c>
      <c r="N1383" s="693" t="str">
        <f>IF(AND(ISTEXT($A1383), ISERROR($A1383+0)), HYPERLINK($BF1383, "Images"), "")</f>
        <v>Images</v>
      </c>
      <c r="O1383" s="695" t="s">
        <v>5247</v>
      </c>
      <c r="P1383" s="630"/>
      <c r="Q1383" s="631"/>
      <c r="R1383" s="632"/>
      <c r="S1383" s="633"/>
      <c r="T1383" s="102">
        <f t="shared" si="1016"/>
        <v>0</v>
      </c>
      <c r="U1383" s="78" t="str">
        <f>IF(NOT(ISNUMBER(G1383)), "", VLOOKUP(A1383,'Discount Lookup'!D:E,2,FALSE)*G1383)</f>
        <v/>
      </c>
      <c r="V1383" s="78" t="str">
        <f>IF(NOT(ISNUMBER(G1383)), "", VLOOKUP(A1383,'Discount Lookup'!G:H,2,FALSE)*G1383)</f>
        <v/>
      </c>
      <c r="W1383" s="102">
        <f t="shared" si="1017"/>
        <v>0</v>
      </c>
      <c r="X1383" s="102" t="str">
        <f t="shared" si="1018"/>
        <v>Dark Burgundy-Red foliage</v>
      </c>
      <c r="Y1383" s="120" t="b">
        <f t="shared" si="1019"/>
        <v>0</v>
      </c>
      <c r="Z1383" s="117">
        <f t="shared" si="1020"/>
        <v>0</v>
      </c>
      <c r="AA1383" s="118"/>
      <c r="AB1383" s="118" t="str">
        <f t="shared" si="1021"/>
        <v/>
      </c>
      <c r="AC1383" s="712" t="str">
        <f>IF(AE1383="T2G","no charge",IF(AND(OR(PlanterYesMe="No",PlanterYesMe="N",PlanterYesMe="me"),H1383=""),"",IF(H1383="credit","NO install",IF(AND(K1383="",AE1383="me"),"EACH row",IF(AND(K1383="images",AE1383="me"),"EACH row",IF(D1383="","",IF(H1383="credit","",IF(AE1383="free","re-planting",IF(AE1383="me","   not ELP, by",IF(AND(OR(PlanterYesMe="Yes",PlanterYesMe="Y"),G1383&gt;0),(VLOOKUP(A1383,'Discount Lookup'!J:K,2)*G1383*(1-PlanterDiscount)*(1+PlanterDifficultyPercentage)),IF(AE1383="ELP",(VLOOKUP(A1383,'Discount Lookup'!J:K,2)*G1383*(1-PlanterDiscount)*(1+PlanterDifficultyPercentage)),IF(AE1383="free","re-planting",IF(G1383=0,"",IF(PlanterYesMe="",IF(AE1383="me","   not ELP, by",IF(AE1383="",IF(G1383&gt;0,(VLOOKUP(A1383,'Discount Lookup'!J:K,2)*G1383*(1-PlanterDiscount)*(1+PlanterDifficultyPercentage)),""),"")),"   not ELP, by"))))))))))))))</f>
        <v/>
      </c>
      <c r="AD1383" s="712"/>
      <c r="AE1383" s="513" t="str">
        <f t="shared" si="1022"/>
        <v/>
      </c>
      <c r="AF1383" s="713" t="str">
        <f t="shared" si="1023"/>
        <v/>
      </c>
      <c r="AG1383" s="713"/>
      <c r="AH1383" s="713"/>
      <c r="AI1383" s="112">
        <f>IF(H1383="credit",0,IF(AE1383="free",0,IF(AE1383="me",0,IF(G1383&gt;0,(VLOOKUP(A1383,'Discount Lookup'!J:K,2)*G1383),0))))</f>
        <v>0</v>
      </c>
      <c r="AJ1383" s="107" t="str">
        <f t="shared" ca="1" si="1024"/>
        <v/>
      </c>
      <c r="AK1383" s="714" t="str">
        <f t="shared" si="1025"/>
        <v/>
      </c>
      <c r="AL1383" s="714"/>
      <c r="AM1383" s="114" t="str">
        <f t="shared" si="1026"/>
        <v/>
      </c>
      <c r="AN1383" s="115"/>
      <c r="AO1383" s="116"/>
      <c r="AP1383" s="116"/>
      <c r="AQ1383" s="116"/>
      <c r="AR1383" s="116"/>
      <c r="AS1383" s="116"/>
      <c r="AT1383" s="116"/>
      <c r="AU1383" s="116"/>
      <c r="AV1383" s="78"/>
      <c r="AW1383" s="102"/>
      <c r="AX1383" s="78"/>
      <c r="AY1383" s="78"/>
      <c r="AZ1383" s="78"/>
      <c r="BA1383" s="78"/>
      <c r="BB1383" s="78"/>
      <c r="BC1383" s="78"/>
      <c r="BD1383" s="78"/>
      <c r="BE1383" s="465"/>
      <c r="BF1383" s="165" t="str">
        <f t="shared" si="1027"/>
        <v>https://www.google.com/search?tbm=isch&amp;q=Corylus%20avellana%20%27Red%20Dragon%27%20PP%2320694%20Red%20Dragon%20Contorted%20Filbert</v>
      </c>
      <c r="BG1383" s="165" t="str">
        <f t="shared" si="1028"/>
        <v>C</v>
      </c>
      <c r="BH1383" s="65"/>
      <c r="BI1383" s="65"/>
      <c r="BJ1383" s="65"/>
      <c r="BK1383" s="65"/>
      <c r="BL1383" s="99"/>
      <c r="BM1383" s="99"/>
      <c r="BN1383" s="99"/>
    </row>
    <row r="1384" spans="1:66" s="51" customFormat="1" ht="15.75" x14ac:dyDescent="0.25">
      <c r="A1384" s="634">
        <v>7</v>
      </c>
      <c r="B1384" s="635" t="s">
        <v>291</v>
      </c>
      <c r="C1384" s="636" t="s">
        <v>2356</v>
      </c>
      <c r="D1384" s="637" t="s">
        <v>299</v>
      </c>
      <c r="E1384" s="638">
        <v>146.94999999999999</v>
      </c>
      <c r="F1384" s="639" t="s">
        <v>292</v>
      </c>
      <c r="G1384" s="484">
        <v>0</v>
      </c>
      <c r="H1384" s="691" t="str">
        <f>IF(G1384=0,"",IF(F1384="Buy",IF(G1384=1,"plant","plants"),IF(F1384&gt;0.01,"warranty","Error")))</f>
        <v/>
      </c>
      <c r="I1384" s="640">
        <f>IF(H1384="free",0,IF(H1384="credit",((E1384*(F1384))*G1384*-1),IF(F1384="Buy",(E1384*G1384),((E1384*(1-F1384))*G1384))))</f>
        <v>0</v>
      </c>
      <c r="J1384" s="640">
        <f>IF(H1384="warranty",0,(I1384*(_xlfn.SINGLE(SalesTaxPercentage))))</f>
        <v>0</v>
      </c>
      <c r="K1384" s="716">
        <f t="shared" ref="K1384" si="1034">I1384+J1384</f>
        <v>0</v>
      </c>
      <c r="L1384" s="716"/>
      <c r="M1384" s="689" t="str">
        <f ca="1">IF(AND(G1384&gt;0,E1384=0),"WARNING - no PRICE inserted",IF(H1384="free","FREE ~ no charge this plant",IF(H1384="credit",CONCATENATE("-$",ROUND(K1384*(1-_xlfn.SINGLE(T2GDiscount))*-1,2)," CREDIT after discount"),IF(_xlfn.SINGLE(T2GDiscount)=0,"",IF(G1384=0,"",IF(F1384="Buy",CONCATENATE("$",ROUND(K1384*(1-_xlfn.SINGLE(T2GDiscount)),2)," with ",(_xlfn.SINGLE(T2GDiscount)*100),"% discount"),CONCATENATE("$",ROUND(K1384*(1-_xlfn.SINGLE(T2GDiscount)),2)," with ",((_xlfn.SINGLE(T2GDiscount)*100+F1384*100)-(_xlfn.SINGLE(T2GDiscount)*100*F1384)),IF(F1384&gt;0,"% discounts",IF(_xlfn.SINGLE(NoWarrantyDiscount)&gt;0,"% discounts","% discount")))))))))</f>
        <v/>
      </c>
      <c r="N1384" s="690"/>
      <c r="O1384" s="486"/>
      <c r="P1384" s="486"/>
      <c r="Q1384" s="486"/>
      <c r="R1384" s="486"/>
      <c r="S1384" s="486"/>
      <c r="T1384" s="102">
        <f t="shared" si="1016"/>
        <v>0</v>
      </c>
      <c r="U1384" s="78">
        <f>IF(NOT(ISNUMBER(G1384)), "", VLOOKUP(A1384,'Discount Lookup'!D:E,2,FALSE)*G1384)</f>
        <v>0</v>
      </c>
      <c r="V1384" s="78">
        <f>IF(NOT(ISNUMBER(G1384)), "", VLOOKUP(A1384,'Discount Lookup'!G:H,2,FALSE)*G1384)</f>
        <v>0</v>
      </c>
      <c r="W1384" s="102">
        <f t="shared" si="1017"/>
        <v>0</v>
      </c>
      <c r="X1384" s="102">
        <f t="shared" si="1018"/>
        <v>0</v>
      </c>
      <c r="Y1384" s="120" t="b">
        <f t="shared" si="1019"/>
        <v>0</v>
      </c>
      <c r="Z1384" s="117">
        <f t="shared" si="1020"/>
        <v>0</v>
      </c>
      <c r="AA1384" s="118"/>
      <c r="AB1384" s="118" t="str">
        <f t="shared" si="1021"/>
        <v/>
      </c>
      <c r="AC1384" s="712" t="str">
        <f>IF(AE1384="T2G","no charge",IF(AND(OR(PlanterYesMe="No",PlanterYesMe="N",PlanterYesMe="me"),H1384=""),"",IF(H1384="credit","NO install",IF(AND(K1384="",AE1384="me"),"EACH row",IF(AND(K1384="images",AE1384="me"),"EACH row",IF(D1384="","",IF(H1384="credit","",IF(AE1384="free","re-planting",IF(AE1384="me","   not ELP, by",IF(AND(OR(PlanterYesMe="Yes",PlanterYesMe="Y"),G1384&gt;0),(VLOOKUP(A1384,'Discount Lookup'!J:K,2)*G1384*(1-PlanterDiscount)*(1+PlanterDifficultyPercentage)),IF(AE1384="ELP",(VLOOKUP(A1384,'Discount Lookup'!J:K,2)*G1384*(1-PlanterDiscount)*(1+PlanterDifficultyPercentage)),IF(AE1384="free","re-planting",IF(G1384=0,"",IF(PlanterYesMe="",IF(AE1384="me","   not ELP, by",IF(AE1384="",IF(G1384&gt;0,(VLOOKUP(A1384,'Discount Lookup'!J:K,2)*G1384*(1-PlanterDiscount)*(1+PlanterDifficultyPercentage)),""),"")),"   not ELP, by"))))))))))))))</f>
        <v/>
      </c>
      <c r="AD1384" s="712"/>
      <c r="AE1384" s="513" t="str">
        <f t="shared" si="1022"/>
        <v/>
      </c>
      <c r="AF1384" s="713" t="str">
        <f t="shared" si="1023"/>
        <v/>
      </c>
      <c r="AG1384" s="713"/>
      <c r="AH1384" s="713"/>
      <c r="AI1384" s="112">
        <f>IF(H1384="credit",0,IF(AE1384="free",0,IF(AE1384="me",0,IF(G1384&gt;0,(VLOOKUP(A1384,'Discount Lookup'!J:K,2)*G1384),0))))</f>
        <v>0</v>
      </c>
      <c r="AJ1384" s="107" t="str">
        <f t="shared" ca="1" si="1024"/>
        <v/>
      </c>
      <c r="AK1384" s="714" t="str">
        <f t="shared" si="1025"/>
        <v/>
      </c>
      <c r="AL1384" s="714"/>
      <c r="AM1384" s="114" t="str">
        <f t="shared" si="1026"/>
        <v/>
      </c>
      <c r="AN1384" s="115"/>
      <c r="AO1384" s="116"/>
      <c r="AP1384" s="116"/>
      <c r="AQ1384" s="116"/>
      <c r="AR1384" s="116"/>
      <c r="AS1384" s="116"/>
      <c r="AT1384" s="116"/>
      <c r="AU1384" s="116"/>
      <c r="AV1384" s="78"/>
      <c r="AW1384" s="102"/>
      <c r="AX1384" s="78"/>
      <c r="AY1384" s="78"/>
      <c r="AZ1384" s="78"/>
      <c r="BA1384" s="78"/>
      <c r="BB1384" s="78"/>
      <c r="BC1384" s="78"/>
      <c r="BD1384" s="78"/>
      <c r="BE1384" s="465"/>
      <c r="BF1384" s="165" t="str">
        <f t="shared" si="1027"/>
        <v>https://www.google.com/search?tbm=isch&amp;q=7%20G4</v>
      </c>
      <c r="BG1384" s="165" t="str">
        <f t="shared" si="1028"/>
        <v>C</v>
      </c>
      <c r="BH1384" s="65"/>
      <c r="BI1384" s="65"/>
      <c r="BJ1384" s="65"/>
      <c r="BK1384" s="65"/>
      <c r="BL1384" s="99"/>
      <c r="BM1384" s="99"/>
      <c r="BN1384" s="99"/>
    </row>
    <row r="1385" spans="1:66" s="51" customFormat="1" ht="15.75" x14ac:dyDescent="0.25">
      <c r="A1385" s="634">
        <v>10</v>
      </c>
      <c r="B1385" s="635" t="s">
        <v>291</v>
      </c>
      <c r="C1385" s="636" t="s">
        <v>2357</v>
      </c>
      <c r="D1385" s="637" t="s">
        <v>299</v>
      </c>
      <c r="E1385" s="638">
        <v>178.95</v>
      </c>
      <c r="F1385" s="639" t="s">
        <v>292</v>
      </c>
      <c r="G1385" s="484">
        <v>0</v>
      </c>
      <c r="H1385" s="691" t="str">
        <f>IF(G1385=0,"",IF(F1385="Buy",IF(G1385=1,"plant","plants"),IF(F1385&gt;0.01,"warranty","Error")))</f>
        <v/>
      </c>
      <c r="I1385" s="640">
        <f>IF(H1385="free",0,IF(H1385="credit",((E1385*(F1385))*G1385*-1),IF(F1385="Buy",(E1385*G1385),((E1385*(1-F1385))*G1385))))</f>
        <v>0</v>
      </c>
      <c r="J1385" s="640">
        <f>IF(H1385="warranty",0,(I1385*(_xlfn.SINGLE(SalesTaxPercentage))))</f>
        <v>0</v>
      </c>
      <c r="K1385" s="716">
        <f t="shared" ref="K1385" si="1035">I1385+J1385</f>
        <v>0</v>
      </c>
      <c r="L1385" s="716"/>
      <c r="M1385" s="689" t="str">
        <f ca="1">IF(AND(G1385&gt;0,E1385=0),"WARNING - no PRICE inserted",IF(H1385="free","FREE ~ no charge this plant",IF(H1385="credit",CONCATENATE("-$",ROUND(K1385*(1-_xlfn.SINGLE(T2GDiscount))*-1,2)," CREDIT after discount"),IF(_xlfn.SINGLE(T2GDiscount)=0,"",IF(G1385=0,"",IF(F1385="Buy",CONCATENATE("$",ROUND(K1385*(1-_xlfn.SINGLE(T2GDiscount)),2)," with ",(_xlfn.SINGLE(T2GDiscount)*100),"% discount"),CONCATENATE("$",ROUND(K1385*(1-_xlfn.SINGLE(T2GDiscount)),2)," with ",((_xlfn.SINGLE(T2GDiscount)*100+F1385*100)-(_xlfn.SINGLE(T2GDiscount)*100*F1385)),IF(F1385&gt;0,"% discounts",IF(_xlfn.SINGLE(NoWarrantyDiscount)&gt;0,"% discounts","% discount")))))))))</f>
        <v/>
      </c>
      <c r="N1385" s="690"/>
      <c r="O1385" s="486"/>
      <c r="P1385" s="486"/>
      <c r="Q1385" s="486"/>
      <c r="R1385" s="486"/>
      <c r="S1385" s="486"/>
      <c r="T1385" s="102">
        <f t="shared" si="1016"/>
        <v>0</v>
      </c>
      <c r="U1385" s="78">
        <f>IF(NOT(ISNUMBER(G1385)), "", VLOOKUP(A1385,'Discount Lookup'!D:E,2,FALSE)*G1385)</f>
        <v>0</v>
      </c>
      <c r="V1385" s="78">
        <f>IF(NOT(ISNUMBER(G1385)), "", VLOOKUP(A1385,'Discount Lookup'!G:H,2,FALSE)*G1385)</f>
        <v>0</v>
      </c>
      <c r="W1385" s="102">
        <f t="shared" si="1017"/>
        <v>0</v>
      </c>
      <c r="X1385" s="102">
        <f t="shared" si="1018"/>
        <v>0</v>
      </c>
      <c r="Y1385" s="120" t="b">
        <f t="shared" si="1019"/>
        <v>0</v>
      </c>
      <c r="Z1385" s="117">
        <f t="shared" si="1020"/>
        <v>0</v>
      </c>
      <c r="AA1385" s="118"/>
      <c r="AB1385" s="118" t="str">
        <f t="shared" si="1021"/>
        <v/>
      </c>
      <c r="AC1385" s="712" t="str">
        <f>IF(AE1385="T2G","no charge",IF(AND(OR(PlanterYesMe="No",PlanterYesMe="N",PlanterYesMe="me"),H1385=""),"",IF(H1385="credit","NO install",IF(AND(K1385="",AE1385="me"),"EACH row",IF(AND(K1385="images",AE1385="me"),"EACH row",IF(D1385="","",IF(H1385="credit","",IF(AE1385="free","re-planting",IF(AE1385="me","   not ELP, by",IF(AND(OR(PlanterYesMe="Yes",PlanterYesMe="Y"),G1385&gt;0),(VLOOKUP(A1385,'Discount Lookup'!J:K,2)*G1385*(1-PlanterDiscount)*(1+PlanterDifficultyPercentage)),IF(AE1385="ELP",(VLOOKUP(A1385,'Discount Lookup'!J:K,2)*G1385*(1-PlanterDiscount)*(1+PlanterDifficultyPercentage)),IF(AE1385="free","re-planting",IF(G1385=0,"",IF(PlanterYesMe="",IF(AE1385="me","   not ELP, by",IF(AE1385="",IF(G1385&gt;0,(VLOOKUP(A1385,'Discount Lookup'!J:K,2)*G1385*(1-PlanterDiscount)*(1+PlanterDifficultyPercentage)),""),"")),"   not ELP, by"))))))))))))))</f>
        <v/>
      </c>
      <c r="AD1385" s="712"/>
      <c r="AE1385" s="513" t="str">
        <f t="shared" si="1022"/>
        <v/>
      </c>
      <c r="AF1385" s="713" t="str">
        <f t="shared" si="1023"/>
        <v/>
      </c>
      <c r="AG1385" s="713"/>
      <c r="AH1385" s="713"/>
      <c r="AI1385" s="112">
        <f>IF(H1385="credit",0,IF(AE1385="free",0,IF(AE1385="me",0,IF(G1385&gt;0,(VLOOKUP(A1385,'Discount Lookup'!J:K,2)*G1385),0))))</f>
        <v>0</v>
      </c>
      <c r="AJ1385" s="107" t="str">
        <f t="shared" ca="1" si="1024"/>
        <v/>
      </c>
      <c r="AK1385" s="714" t="str">
        <f t="shared" si="1025"/>
        <v/>
      </c>
      <c r="AL1385" s="714"/>
      <c r="AM1385" s="114" t="str">
        <f t="shared" si="1026"/>
        <v/>
      </c>
      <c r="AN1385" s="115"/>
      <c r="AO1385" s="116"/>
      <c r="AP1385" s="116"/>
      <c r="AQ1385" s="116"/>
      <c r="AR1385" s="116"/>
      <c r="AS1385" s="116"/>
      <c r="AT1385" s="116"/>
      <c r="AU1385" s="116"/>
      <c r="AV1385" s="78"/>
      <c r="AW1385" s="102"/>
      <c r="AX1385" s="78"/>
      <c r="AY1385" s="78"/>
      <c r="AZ1385" s="78"/>
      <c r="BA1385" s="78"/>
      <c r="BB1385" s="78"/>
      <c r="BC1385" s="78"/>
      <c r="BD1385" s="78"/>
      <c r="BE1385" s="465"/>
      <c r="BF1385" s="165" t="str">
        <f t="shared" si="1027"/>
        <v>https://www.google.com/search?tbm=isch&amp;q=10%20G4</v>
      </c>
      <c r="BG1385" s="165" t="str">
        <f t="shared" si="1028"/>
        <v>C</v>
      </c>
      <c r="BH1385" s="65"/>
      <c r="BI1385" s="65"/>
      <c r="BJ1385" s="65"/>
      <c r="BK1385" s="65"/>
      <c r="BL1385" s="99"/>
      <c r="BM1385" s="99"/>
      <c r="BN1385" s="99"/>
    </row>
    <row r="1386" spans="1:66" s="51" customFormat="1" ht="16.5" x14ac:dyDescent="0.25">
      <c r="A1386" s="641" t="s">
        <v>2358</v>
      </c>
      <c r="B1386" s="642"/>
      <c r="C1386" s="710"/>
      <c r="D1386" s="643"/>
      <c r="E1386" s="643"/>
      <c r="F1386" s="644"/>
      <c r="G1386" s="645"/>
      <c r="H1386" s="646"/>
      <c r="I1386" s="647"/>
      <c r="J1386" s="648"/>
      <c r="K1386" s="649"/>
      <c r="L1386" s="650"/>
      <c r="M1386" s="650"/>
      <c r="N1386" s="644"/>
      <c r="O1386" s="644"/>
      <c r="P1386" s="644"/>
      <c r="Q1386" s="644"/>
      <c r="R1386" s="644"/>
      <c r="S1386" s="701" t="s">
        <v>5253</v>
      </c>
      <c r="T1386" s="102">
        <f t="shared" si="1016"/>
        <v>0</v>
      </c>
      <c r="U1386" s="78" t="str">
        <f>IF(NOT(ISNUMBER(G1386)), "", VLOOKUP(A1386,'Discount Lookup'!D:E,2,FALSE)*G1386)</f>
        <v/>
      </c>
      <c r="V1386" s="78" t="str">
        <f>IF(NOT(ISNUMBER(G1386)), "", VLOOKUP(A1386,'Discount Lookup'!G:H,2,FALSE)*G1386)</f>
        <v/>
      </c>
      <c r="W1386" s="102">
        <f t="shared" si="1017"/>
        <v>0</v>
      </c>
      <c r="X1386" s="102">
        <f t="shared" si="1018"/>
        <v>0</v>
      </c>
      <c r="Y1386" s="120" t="b">
        <f t="shared" si="1019"/>
        <v>0</v>
      </c>
      <c r="Z1386" s="117">
        <f t="shared" si="1020"/>
        <v>0</v>
      </c>
      <c r="AA1386" s="118"/>
      <c r="AB1386" s="118" t="str">
        <f t="shared" si="1021"/>
        <v/>
      </c>
      <c r="AC1386" s="712" t="str">
        <f>IF(AE1386="T2G","no charge",IF(AND(OR(PlanterYesMe="No",PlanterYesMe="N",PlanterYesMe="me"),H1386=""),"",IF(H1386="credit","NO install",IF(AND(K1386="",AE1386="me"),"EACH row",IF(AND(K1386="images",AE1386="me"),"EACH row",IF(D1386="","",IF(H1386="credit","",IF(AE1386="free","re-planting",IF(AE1386="me","   not ELP, by",IF(AND(OR(PlanterYesMe="Yes",PlanterYesMe="Y"),G1386&gt;0),(VLOOKUP(A1386,'Discount Lookup'!J:K,2)*G1386*(1-PlanterDiscount)*(1+PlanterDifficultyPercentage)),IF(AE1386="ELP",(VLOOKUP(A1386,'Discount Lookup'!J:K,2)*G1386*(1-PlanterDiscount)*(1+PlanterDifficultyPercentage)),IF(AE1386="free","re-planting",IF(G1386=0,"",IF(PlanterYesMe="",IF(AE1386="me","   not ELP, by",IF(AE1386="",IF(G1386&gt;0,(VLOOKUP(A1386,'Discount Lookup'!J:K,2)*G1386*(1-PlanterDiscount)*(1+PlanterDifficultyPercentage)),""),"")),"   not ELP, by"))))))))))))))</f>
        <v/>
      </c>
      <c r="AD1386" s="712"/>
      <c r="AE1386" s="513" t="str">
        <f t="shared" si="1022"/>
        <v/>
      </c>
      <c r="AF1386" s="713" t="str">
        <f t="shared" si="1023"/>
        <v/>
      </c>
      <c r="AG1386" s="713"/>
      <c r="AH1386" s="713"/>
      <c r="AI1386" s="112">
        <f>IF(H1386="credit",0,IF(AE1386="free",0,IF(AE1386="me",0,IF(G1386&gt;0,(VLOOKUP(A1386,'Discount Lookup'!J:K,2)*G1386),0))))</f>
        <v>0</v>
      </c>
      <c r="AJ1386" s="107" t="str">
        <f t="shared" ca="1" si="1024"/>
        <v/>
      </c>
      <c r="AK1386" s="714" t="str">
        <f t="shared" si="1025"/>
        <v/>
      </c>
      <c r="AL1386" s="714"/>
      <c r="AM1386" s="114" t="str">
        <f t="shared" si="1026"/>
        <v/>
      </c>
      <c r="AN1386" s="115"/>
      <c r="AO1386" s="116"/>
      <c r="AP1386" s="116"/>
      <c r="AQ1386" s="116"/>
      <c r="AR1386" s="116"/>
      <c r="AS1386" s="116"/>
      <c r="AT1386" s="116"/>
      <c r="AU1386" s="116"/>
      <c r="AV1386" s="78"/>
      <c r="AW1386" s="102"/>
      <c r="AX1386" s="78"/>
      <c r="AY1386" s="78"/>
      <c r="AZ1386" s="78"/>
      <c r="BA1386" s="78"/>
      <c r="BB1386" s="78"/>
      <c r="BC1386" s="78"/>
      <c r="BD1386" s="78"/>
      <c r="BE1386" s="465"/>
      <c r="BF1386" s="165" t="str">
        <f t="shared" si="1027"/>
        <v>https://www.google.com/search?tbm=isch&amp;q=Red%20Dragon%20known%20for%20twisted%20Burgundy%20stems.%20Foliage%20Bronzes%20by%20late%20season%2C%20then%20Yellow-Copper%20in%20fall.%20Showy%20Red%20winter%20catkins%2C%20</v>
      </c>
      <c r="BG1386" s="165" t="str">
        <f t="shared" si="1028"/>
        <v>R</v>
      </c>
      <c r="BH1386" s="65"/>
      <c r="BI1386" s="65"/>
      <c r="BJ1386" s="65"/>
      <c r="BK1386" s="65"/>
      <c r="BL1386" s="99"/>
      <c r="BM1386" s="99"/>
      <c r="BN1386" s="99"/>
    </row>
    <row r="1387" spans="1:66" s="51" customFormat="1" ht="19.5" thickBot="1" x14ac:dyDescent="0.3">
      <c r="A1387" s="686" t="s">
        <v>429</v>
      </c>
      <c r="B1387" s="73"/>
      <c r="C1387" s="708"/>
      <c r="D1387" s="73"/>
      <c r="E1387" s="73"/>
      <c r="F1387" s="496"/>
      <c r="G1387" s="73"/>
      <c r="H1387" s="73"/>
      <c r="I1387" s="73"/>
      <c r="J1387" s="497" t="s">
        <v>357</v>
      </c>
      <c r="K1387" s="498"/>
      <c r="L1387" s="562"/>
      <c r="M1387" s="73"/>
      <c r="N1387"/>
      <c r="O1387"/>
      <c r="P1387"/>
      <c r="Q1387"/>
      <c r="R1387"/>
      <c r="S1387"/>
      <c r="T1387" s="102">
        <f t="shared" si="1016"/>
        <v>0</v>
      </c>
      <c r="U1387" s="78" t="str">
        <f>IF(NOT(ISNUMBER(G1387)), "", VLOOKUP(A1387,'Discount Lookup'!D:E,2,FALSE)*G1387)</f>
        <v/>
      </c>
      <c r="V1387" s="78" t="str">
        <f>IF(NOT(ISNUMBER(G1387)), "", VLOOKUP(A1387,'Discount Lookup'!G:H,2,FALSE)*G1387)</f>
        <v/>
      </c>
      <c r="W1387" s="102">
        <f t="shared" si="1017"/>
        <v>0</v>
      </c>
      <c r="X1387" s="102">
        <f t="shared" si="1018"/>
        <v>0</v>
      </c>
      <c r="Y1387" s="120" t="b">
        <f t="shared" si="1019"/>
        <v>0</v>
      </c>
      <c r="Z1387" s="117">
        <f t="shared" si="1020"/>
        <v>0</v>
      </c>
      <c r="AA1387" s="118"/>
      <c r="AB1387" s="118" t="str">
        <f t="shared" si="1021"/>
        <v/>
      </c>
      <c r="AC1387" s="712" t="str">
        <f>IF(AE1387="T2G","no charge",IF(AND(OR(PlanterYesMe="No",PlanterYesMe="N",PlanterYesMe="me"),H1387=""),"",IF(H1387="credit","NO install",IF(AND(K1387="",AE1387="me"),"EACH row",IF(AND(K1387="images",AE1387="me"),"EACH row",IF(D1387="","",IF(H1387="credit","",IF(AE1387="free","re-planting",IF(AE1387="me","   not ELP, by",IF(AND(OR(PlanterYesMe="Yes",PlanterYesMe="Y"),G1387&gt;0),(VLOOKUP(A1387,'Discount Lookup'!J:K,2)*G1387*(1-PlanterDiscount)*(1+PlanterDifficultyPercentage)),IF(AE1387="ELP",(VLOOKUP(A1387,'Discount Lookup'!J:K,2)*G1387*(1-PlanterDiscount)*(1+PlanterDifficultyPercentage)),IF(AE1387="free","re-planting",IF(G1387=0,"",IF(PlanterYesMe="",IF(AE1387="me","   not ELP, by",IF(AE1387="",IF(G1387&gt;0,(VLOOKUP(A1387,'Discount Lookup'!J:K,2)*G1387*(1-PlanterDiscount)*(1+PlanterDifficultyPercentage)),""),"")),"   not ELP, by"))))))))))))))</f>
        <v/>
      </c>
      <c r="AD1387" s="712"/>
      <c r="AE1387" s="513" t="str">
        <f t="shared" si="1022"/>
        <v/>
      </c>
      <c r="AF1387" s="713" t="str">
        <f t="shared" si="1023"/>
        <v/>
      </c>
      <c r="AG1387" s="713"/>
      <c r="AH1387" s="713"/>
      <c r="AI1387" s="112">
        <f>IF(H1387="credit",0,IF(AE1387="free",0,IF(AE1387="me",0,IF(G1387&gt;0,(VLOOKUP(A1387,'Discount Lookup'!J:K,2)*G1387),0))))</f>
        <v>0</v>
      </c>
      <c r="AJ1387" s="107" t="str">
        <f t="shared" ca="1" si="1024"/>
        <v/>
      </c>
      <c r="AK1387" s="714" t="str">
        <f t="shared" si="1025"/>
        <v/>
      </c>
      <c r="AL1387" s="714"/>
      <c r="AM1387" s="114" t="str">
        <f t="shared" si="1026"/>
        <v/>
      </c>
      <c r="AN1387" s="115"/>
      <c r="AO1387" s="116"/>
      <c r="AP1387" s="116"/>
      <c r="AQ1387" s="116"/>
      <c r="AR1387" s="116"/>
      <c r="AS1387" s="116"/>
      <c r="AT1387" s="116"/>
      <c r="AU1387" s="116"/>
      <c r="AV1387" s="78"/>
      <c r="AW1387" s="102"/>
      <c r="AX1387" s="78"/>
      <c r="AY1387" s="78"/>
      <c r="AZ1387" s="78"/>
      <c r="BA1387" s="78"/>
      <c r="BB1387" s="78"/>
      <c r="BC1387" s="78"/>
      <c r="BD1387" s="78"/>
      <c r="BE1387" s="465"/>
      <c r="BF1387" s="165" t="str">
        <f t="shared" si="1027"/>
        <v>https://www.google.com/search?tbm=isch&amp;q=Cotinus%20%3D%20Smokebush%20%26%20Smoke%20Tree%20</v>
      </c>
      <c r="BG1387" s="165" t="str">
        <f t="shared" si="1028"/>
        <v>C</v>
      </c>
      <c r="BH1387" s="65"/>
      <c r="BI1387" s="65"/>
      <c r="BJ1387" s="65"/>
      <c r="BK1387" s="65"/>
      <c r="BL1387" s="99"/>
      <c r="BM1387" s="99"/>
      <c r="BN1387" s="99"/>
    </row>
    <row r="1388" spans="1:66" s="51" customFormat="1" ht="18" x14ac:dyDescent="0.25">
      <c r="A1388" s="623" t="s">
        <v>2359</v>
      </c>
      <c r="B1388" s="624"/>
      <c r="C1388" s="709"/>
      <c r="D1388" s="625" t="s">
        <v>2360</v>
      </c>
      <c r="E1388" s="626"/>
      <c r="F1388" s="626"/>
      <c r="G1388" s="626"/>
      <c r="H1388" s="622" t="s">
        <v>333</v>
      </c>
      <c r="I1388" s="627" t="s">
        <v>2361</v>
      </c>
      <c r="J1388" s="628"/>
      <c r="K1388" s="628"/>
      <c r="L1388" s="629"/>
      <c r="M1388" s="700" t="s">
        <v>5241</v>
      </c>
      <c r="N1388" s="693" t="str">
        <f>IF(AND(ISTEXT($A1388), ISERROR($A1388+0)), HYPERLINK($BF1388, "Images"), "")</f>
        <v>Images</v>
      </c>
      <c r="O1388" s="695" t="s">
        <v>5247</v>
      </c>
      <c r="P1388" s="630"/>
      <c r="Q1388" s="631"/>
      <c r="R1388" s="632"/>
      <c r="S1388" s="633"/>
      <c r="T1388" s="102">
        <f t="shared" si="1016"/>
        <v>0</v>
      </c>
      <c r="U1388" s="78" t="str">
        <f>IF(NOT(ISNUMBER(G1388)), "", VLOOKUP(A1388,'Discount Lookup'!D:E,2,FALSE)*G1388)</f>
        <v/>
      </c>
      <c r="V1388" s="78" t="str">
        <f>IF(NOT(ISNUMBER(G1388)), "", VLOOKUP(A1388,'Discount Lookup'!G:H,2,FALSE)*G1388)</f>
        <v/>
      </c>
      <c r="W1388" s="102">
        <f t="shared" si="1017"/>
        <v>0</v>
      </c>
      <c r="X1388" s="102" t="str">
        <f t="shared" si="1018"/>
        <v>Pink "smoke"</v>
      </c>
      <c r="Y1388" s="120" t="b">
        <f t="shared" si="1019"/>
        <v>0</v>
      </c>
      <c r="Z1388" s="117">
        <f t="shared" si="1020"/>
        <v>0</v>
      </c>
      <c r="AA1388" s="118"/>
      <c r="AB1388" s="118" t="str">
        <f t="shared" si="1021"/>
        <v/>
      </c>
      <c r="AC1388" s="712" t="str">
        <f>IF(AE1388="T2G","no charge",IF(AND(OR(PlanterYesMe="No",PlanterYesMe="N",PlanterYesMe="me"),H1388=""),"",IF(H1388="credit","NO install",IF(AND(K1388="",AE1388="me"),"EACH row",IF(AND(K1388="images",AE1388="me"),"EACH row",IF(D1388="","",IF(H1388="credit","",IF(AE1388="free","re-planting",IF(AE1388="me","   not ELP, by",IF(AND(OR(PlanterYesMe="Yes",PlanterYesMe="Y"),G1388&gt;0),(VLOOKUP(A1388,'Discount Lookup'!J:K,2)*G1388*(1-PlanterDiscount)*(1+PlanterDifficultyPercentage)),IF(AE1388="ELP",(VLOOKUP(A1388,'Discount Lookup'!J:K,2)*G1388*(1-PlanterDiscount)*(1+PlanterDifficultyPercentage)),IF(AE1388="free","re-planting",IF(G1388=0,"",IF(PlanterYesMe="",IF(AE1388="me","   not ELP, by",IF(AE1388="",IF(G1388&gt;0,(VLOOKUP(A1388,'Discount Lookup'!J:K,2)*G1388*(1-PlanterDiscount)*(1+PlanterDifficultyPercentage)),""),"")),"   not ELP, by"))))))))))))))</f>
        <v/>
      </c>
      <c r="AD1388" s="712"/>
      <c r="AE1388" s="513" t="str">
        <f t="shared" si="1022"/>
        <v/>
      </c>
      <c r="AF1388" s="713" t="str">
        <f t="shared" si="1023"/>
        <v/>
      </c>
      <c r="AG1388" s="713"/>
      <c r="AH1388" s="713"/>
      <c r="AI1388" s="112">
        <f>IF(H1388="credit",0,IF(AE1388="free",0,IF(AE1388="me",0,IF(G1388&gt;0,(VLOOKUP(A1388,'Discount Lookup'!J:K,2)*G1388),0))))</f>
        <v>0</v>
      </c>
      <c r="AJ1388" s="107" t="str">
        <f t="shared" ca="1" si="1024"/>
        <v/>
      </c>
      <c r="AK1388" s="714" t="str">
        <f t="shared" si="1025"/>
        <v/>
      </c>
      <c r="AL1388" s="714"/>
      <c r="AM1388" s="114" t="str">
        <f t="shared" si="1026"/>
        <v/>
      </c>
      <c r="AN1388" s="115"/>
      <c r="AO1388" s="116"/>
      <c r="AP1388" s="116"/>
      <c r="AQ1388" s="116"/>
      <c r="AR1388" s="116"/>
      <c r="AS1388" s="116"/>
      <c r="AT1388" s="116"/>
      <c r="AU1388" s="116"/>
      <c r="AV1388" s="78"/>
      <c r="AW1388" s="102"/>
      <c r="AX1388" s="78"/>
      <c r="AY1388" s="78"/>
      <c r="AZ1388" s="78"/>
      <c r="BA1388" s="78"/>
      <c r="BB1388" s="78"/>
      <c r="BC1388" s="78"/>
      <c r="BD1388" s="78"/>
      <c r="BE1388" s="465"/>
      <c r="BF1388" s="165" t="str">
        <f t="shared" si="1027"/>
        <v>https://www.google.com/search?tbm=isch&amp;q=Cotinus%20coggygria%20%27Royal%20Purple%27%20Royal%20Purple%20Smoke%20Tree</v>
      </c>
      <c r="BG1388" s="165" t="str">
        <f t="shared" si="1028"/>
        <v>C</v>
      </c>
      <c r="BH1388" s="65"/>
      <c r="BI1388" s="65"/>
      <c r="BJ1388" s="65"/>
      <c r="BK1388" s="65"/>
      <c r="BL1388" s="99"/>
      <c r="BM1388" s="99"/>
      <c r="BN1388" s="99"/>
    </row>
    <row r="1389" spans="1:66" s="51" customFormat="1" ht="15.75" x14ac:dyDescent="0.25">
      <c r="A1389" s="634">
        <v>7</v>
      </c>
      <c r="B1389" s="635" t="s">
        <v>291</v>
      </c>
      <c r="C1389" s="636" t="s">
        <v>2305</v>
      </c>
      <c r="D1389" s="637" t="s">
        <v>299</v>
      </c>
      <c r="E1389" s="638">
        <v>107.95</v>
      </c>
      <c r="F1389" s="639" t="s">
        <v>292</v>
      </c>
      <c r="G1389" s="484">
        <v>0</v>
      </c>
      <c r="H1389" s="691" t="str">
        <f>IF(G1389=0,"",IF(F1389="Buy",IF(G1389=1,"plant","plants"),IF(F1389&gt;0.01,"warranty","Error")))</f>
        <v/>
      </c>
      <c r="I1389" s="640">
        <f>IF(H1389="free",0,IF(H1389="credit",((E1389*(F1389))*G1389*-1),IF(F1389="Buy",(E1389*G1389),((E1389*(1-F1389))*G1389))))</f>
        <v>0</v>
      </c>
      <c r="J1389" s="640">
        <f>IF(H1389="warranty",0,(I1389*(_xlfn.SINGLE(SalesTaxPercentage))))</f>
        <v>0</v>
      </c>
      <c r="K1389" s="716">
        <f t="shared" ref="K1389" si="1036">I1389+J1389</f>
        <v>0</v>
      </c>
      <c r="L1389" s="716"/>
      <c r="M1389" s="689" t="str">
        <f ca="1">IF(AND(G1389&gt;0,E1389=0),"WARNING - no PRICE inserted",IF(H1389="free","FREE ~ no charge this plant",IF(H1389="credit",CONCATENATE("-$",ROUND(K1389*(1-_xlfn.SINGLE(T2GDiscount))*-1,2)," CREDIT after discount"),IF(_xlfn.SINGLE(T2GDiscount)=0,"",IF(G1389=0,"",IF(F1389="Buy",CONCATENATE("$",ROUND(K1389*(1-_xlfn.SINGLE(T2GDiscount)),2)," with ",(_xlfn.SINGLE(T2GDiscount)*100),"% discount"),CONCATENATE("$",ROUND(K1389*(1-_xlfn.SINGLE(T2GDiscount)),2)," with ",((_xlfn.SINGLE(T2GDiscount)*100+F1389*100)-(_xlfn.SINGLE(T2GDiscount)*100*F1389)),IF(F1389&gt;0,"% discounts",IF(_xlfn.SINGLE(NoWarrantyDiscount)&gt;0,"% discounts","% discount")))))))))</f>
        <v/>
      </c>
      <c r="N1389" s="690"/>
      <c r="O1389" s="486"/>
      <c r="P1389" s="486"/>
      <c r="Q1389" s="486"/>
      <c r="R1389" s="486"/>
      <c r="S1389" s="486"/>
      <c r="T1389" s="102">
        <f t="shared" si="1016"/>
        <v>0</v>
      </c>
      <c r="U1389" s="78">
        <f>IF(NOT(ISNUMBER(G1389)), "", VLOOKUP(A1389,'Discount Lookup'!D:E,2,FALSE)*G1389)</f>
        <v>0</v>
      </c>
      <c r="V1389" s="78">
        <f>IF(NOT(ISNUMBER(G1389)), "", VLOOKUP(A1389,'Discount Lookup'!G:H,2,FALSE)*G1389)</f>
        <v>0</v>
      </c>
      <c r="W1389" s="102">
        <f t="shared" si="1017"/>
        <v>0</v>
      </c>
      <c r="X1389" s="102">
        <f t="shared" si="1018"/>
        <v>0</v>
      </c>
      <c r="Y1389" s="120" t="b">
        <f t="shared" si="1019"/>
        <v>0</v>
      </c>
      <c r="Z1389" s="117">
        <f t="shared" si="1020"/>
        <v>0</v>
      </c>
      <c r="AA1389" s="118"/>
      <c r="AB1389" s="118" t="str">
        <f t="shared" si="1021"/>
        <v/>
      </c>
      <c r="AC1389" s="712" t="str">
        <f>IF(AE1389="T2G","no charge",IF(AND(OR(PlanterYesMe="No",PlanterYesMe="N",PlanterYesMe="me"),H1389=""),"",IF(H1389="credit","NO install",IF(AND(K1389="",AE1389="me"),"EACH row",IF(AND(K1389="images",AE1389="me"),"EACH row",IF(D1389="","",IF(H1389="credit","",IF(AE1389="free","re-planting",IF(AE1389="me","   not ELP, by",IF(AND(OR(PlanterYesMe="Yes",PlanterYesMe="Y"),G1389&gt;0),(VLOOKUP(A1389,'Discount Lookup'!J:K,2)*G1389*(1-PlanterDiscount)*(1+PlanterDifficultyPercentage)),IF(AE1389="ELP",(VLOOKUP(A1389,'Discount Lookup'!J:K,2)*G1389*(1-PlanterDiscount)*(1+PlanterDifficultyPercentage)),IF(AE1389="free","re-planting",IF(G1389=0,"",IF(PlanterYesMe="",IF(AE1389="me","   not ELP, by",IF(AE1389="",IF(G1389&gt;0,(VLOOKUP(A1389,'Discount Lookup'!J:K,2)*G1389*(1-PlanterDiscount)*(1+PlanterDifficultyPercentage)),""),"")),"   not ELP, by"))))))))))))))</f>
        <v/>
      </c>
      <c r="AD1389" s="712"/>
      <c r="AE1389" s="513" t="str">
        <f t="shared" si="1022"/>
        <v/>
      </c>
      <c r="AF1389" s="713" t="str">
        <f t="shared" si="1023"/>
        <v/>
      </c>
      <c r="AG1389" s="713"/>
      <c r="AH1389" s="713"/>
      <c r="AI1389" s="112">
        <f>IF(H1389="credit",0,IF(AE1389="free",0,IF(AE1389="me",0,IF(G1389&gt;0,(VLOOKUP(A1389,'Discount Lookup'!J:K,2)*G1389),0))))</f>
        <v>0</v>
      </c>
      <c r="AJ1389" s="107" t="str">
        <f t="shared" ca="1" si="1024"/>
        <v/>
      </c>
      <c r="AK1389" s="714" t="str">
        <f t="shared" si="1025"/>
        <v/>
      </c>
      <c r="AL1389" s="714"/>
      <c r="AM1389" s="114" t="str">
        <f t="shared" si="1026"/>
        <v/>
      </c>
      <c r="AN1389" s="115"/>
      <c r="AO1389" s="116"/>
      <c r="AP1389" s="116"/>
      <c r="AQ1389" s="116"/>
      <c r="AR1389" s="116"/>
      <c r="AS1389" s="116"/>
      <c r="AT1389" s="116"/>
      <c r="AU1389" s="116"/>
      <c r="AV1389" s="78"/>
      <c r="AW1389" s="102"/>
      <c r="AX1389" s="78"/>
      <c r="AY1389" s="78"/>
      <c r="AZ1389" s="78"/>
      <c r="BA1389" s="78"/>
      <c r="BB1389" s="78"/>
      <c r="BC1389" s="78"/>
      <c r="BD1389" s="78"/>
      <c r="BE1389" s="465"/>
      <c r="BF1389" s="165" t="str">
        <f t="shared" si="1027"/>
        <v>https://www.google.com/search?tbm=isch&amp;q=7%20G4</v>
      </c>
      <c r="BG1389" s="165" t="str">
        <f t="shared" si="1028"/>
        <v>C</v>
      </c>
      <c r="BH1389" s="65"/>
      <c r="BI1389" s="65"/>
      <c r="BJ1389" s="65"/>
      <c r="BK1389" s="65"/>
      <c r="BL1389" s="99"/>
      <c r="BM1389" s="99"/>
      <c r="BN1389" s="99"/>
    </row>
    <row r="1390" spans="1:66" s="51" customFormat="1" ht="15.75" x14ac:dyDescent="0.25">
      <c r="A1390" s="634">
        <v>10</v>
      </c>
      <c r="B1390" s="635" t="s">
        <v>291</v>
      </c>
      <c r="C1390" s="636" t="s">
        <v>2362</v>
      </c>
      <c r="D1390" s="637" t="s">
        <v>299</v>
      </c>
      <c r="E1390" s="638">
        <v>148.94999999999999</v>
      </c>
      <c r="F1390" s="639" t="s">
        <v>292</v>
      </c>
      <c r="G1390" s="484">
        <v>0</v>
      </c>
      <c r="H1390" s="691" t="str">
        <f>IF(G1390=0,"",IF(F1390="Buy",IF(G1390=1,"plant","plants"),IF(F1390&gt;0.01,"warranty","Error")))</f>
        <v/>
      </c>
      <c r="I1390" s="640">
        <f>IF(H1390="free",0,IF(H1390="credit",((E1390*(F1390))*G1390*-1),IF(F1390="Buy",(E1390*G1390),((E1390*(1-F1390))*G1390))))</f>
        <v>0</v>
      </c>
      <c r="J1390" s="640">
        <f>IF(H1390="warranty",0,(I1390*(_xlfn.SINGLE(SalesTaxPercentage))))</f>
        <v>0</v>
      </c>
      <c r="K1390" s="716">
        <f t="shared" ref="K1390" si="1037">I1390+J1390</f>
        <v>0</v>
      </c>
      <c r="L1390" s="716"/>
      <c r="M1390" s="689" t="str">
        <f ca="1">IF(AND(G1390&gt;0,E1390=0),"WARNING - no PRICE inserted",IF(H1390="free","FREE ~ no charge this plant",IF(H1390="credit",CONCATENATE("-$",ROUND(K1390*(1-_xlfn.SINGLE(T2GDiscount))*-1,2)," CREDIT after discount"),IF(_xlfn.SINGLE(T2GDiscount)=0,"",IF(G1390=0,"",IF(F1390="Buy",CONCATENATE("$",ROUND(K1390*(1-_xlfn.SINGLE(T2GDiscount)),2)," with ",(_xlfn.SINGLE(T2GDiscount)*100),"% discount"),CONCATENATE("$",ROUND(K1390*(1-_xlfn.SINGLE(T2GDiscount)),2)," with ",((_xlfn.SINGLE(T2GDiscount)*100+F1390*100)-(_xlfn.SINGLE(T2GDiscount)*100*F1390)),IF(F1390&gt;0,"% discounts",IF(_xlfn.SINGLE(NoWarrantyDiscount)&gt;0,"% discounts","% discount")))))))))</f>
        <v/>
      </c>
      <c r="N1390" s="690"/>
      <c r="O1390" s="486"/>
      <c r="P1390" s="486"/>
      <c r="Q1390" s="486"/>
      <c r="R1390" s="486"/>
      <c r="S1390" s="486"/>
      <c r="T1390" s="102">
        <f t="shared" si="1016"/>
        <v>0</v>
      </c>
      <c r="U1390" s="78">
        <f>IF(NOT(ISNUMBER(G1390)), "", VLOOKUP(A1390,'Discount Lookup'!D:E,2,FALSE)*G1390)</f>
        <v>0</v>
      </c>
      <c r="V1390" s="78">
        <f>IF(NOT(ISNUMBER(G1390)), "", VLOOKUP(A1390,'Discount Lookup'!G:H,2,FALSE)*G1390)</f>
        <v>0</v>
      </c>
      <c r="W1390" s="102">
        <f t="shared" si="1017"/>
        <v>0</v>
      </c>
      <c r="X1390" s="102">
        <f t="shared" si="1018"/>
        <v>0</v>
      </c>
      <c r="Y1390" s="120" t="b">
        <f t="shared" si="1019"/>
        <v>0</v>
      </c>
      <c r="Z1390" s="117">
        <f t="shared" si="1020"/>
        <v>0</v>
      </c>
      <c r="AA1390" s="118"/>
      <c r="AB1390" s="118" t="str">
        <f t="shared" si="1021"/>
        <v/>
      </c>
      <c r="AC1390" s="712" t="str">
        <f>IF(AE1390="T2G","no charge",IF(AND(OR(PlanterYesMe="No",PlanterYesMe="N",PlanterYesMe="me"),H1390=""),"",IF(H1390="credit","NO install",IF(AND(K1390="",AE1390="me"),"EACH row",IF(AND(K1390="images",AE1390="me"),"EACH row",IF(D1390="","",IF(H1390="credit","",IF(AE1390="free","re-planting",IF(AE1390="me","   not ELP, by",IF(AND(OR(PlanterYesMe="Yes",PlanterYesMe="Y"),G1390&gt;0),(VLOOKUP(A1390,'Discount Lookup'!J:K,2)*G1390*(1-PlanterDiscount)*(1+PlanterDifficultyPercentage)),IF(AE1390="ELP",(VLOOKUP(A1390,'Discount Lookup'!J:K,2)*G1390*(1-PlanterDiscount)*(1+PlanterDifficultyPercentage)),IF(AE1390="free","re-planting",IF(G1390=0,"",IF(PlanterYesMe="",IF(AE1390="me","   not ELP, by",IF(AE1390="",IF(G1390&gt;0,(VLOOKUP(A1390,'Discount Lookup'!J:K,2)*G1390*(1-PlanterDiscount)*(1+PlanterDifficultyPercentage)),""),"")),"   not ELP, by"))))))))))))))</f>
        <v/>
      </c>
      <c r="AD1390" s="712"/>
      <c r="AE1390" s="513" t="str">
        <f t="shared" si="1022"/>
        <v/>
      </c>
      <c r="AF1390" s="713" t="str">
        <f t="shared" si="1023"/>
        <v/>
      </c>
      <c r="AG1390" s="713"/>
      <c r="AH1390" s="713"/>
      <c r="AI1390" s="112">
        <f>IF(H1390="credit",0,IF(AE1390="free",0,IF(AE1390="me",0,IF(G1390&gt;0,(VLOOKUP(A1390,'Discount Lookup'!J:K,2)*G1390),0))))</f>
        <v>0</v>
      </c>
      <c r="AJ1390" s="107" t="str">
        <f t="shared" ca="1" si="1024"/>
        <v/>
      </c>
      <c r="AK1390" s="714" t="str">
        <f t="shared" si="1025"/>
        <v/>
      </c>
      <c r="AL1390" s="714"/>
      <c r="AM1390" s="114" t="str">
        <f t="shared" si="1026"/>
        <v/>
      </c>
      <c r="AN1390" s="115"/>
      <c r="AO1390" s="116"/>
      <c r="AP1390" s="116"/>
      <c r="AQ1390" s="116"/>
      <c r="AR1390" s="116"/>
      <c r="AS1390" s="116"/>
      <c r="AT1390" s="116"/>
      <c r="AU1390" s="116"/>
      <c r="AV1390" s="78"/>
      <c r="AW1390" s="102"/>
      <c r="AX1390" s="78"/>
      <c r="AY1390" s="78"/>
      <c r="AZ1390" s="78"/>
      <c r="BA1390" s="78"/>
      <c r="BB1390" s="78"/>
      <c r="BC1390" s="78"/>
      <c r="BD1390" s="78"/>
      <c r="BE1390" s="465"/>
      <c r="BF1390" s="165" t="str">
        <f t="shared" si="1027"/>
        <v>https://www.google.com/search?tbm=isch&amp;q=10%20G4</v>
      </c>
      <c r="BG1390" s="165" t="str">
        <f t="shared" si="1028"/>
        <v>C</v>
      </c>
      <c r="BH1390" s="65"/>
      <c r="BI1390" s="65"/>
      <c r="BJ1390" s="65"/>
      <c r="BK1390" s="65"/>
      <c r="BL1390" s="99"/>
      <c r="BM1390" s="99"/>
      <c r="BN1390" s="99"/>
    </row>
    <row r="1391" spans="1:66" s="51" customFormat="1" ht="17.25" thickBot="1" x14ac:dyDescent="0.3">
      <c r="A1391" s="641" t="s">
        <v>2363</v>
      </c>
      <c r="B1391" s="642"/>
      <c r="C1391" s="710"/>
      <c r="D1391" s="643"/>
      <c r="E1391" s="643"/>
      <c r="F1391" s="644"/>
      <c r="G1391" s="645"/>
      <c r="H1391" s="646"/>
      <c r="I1391" s="647"/>
      <c r="J1391" s="648"/>
      <c r="K1391" s="649"/>
      <c r="L1391" s="650"/>
      <c r="M1391" s="650"/>
      <c r="N1391" s="644"/>
      <c r="O1391" s="644"/>
      <c r="P1391" s="644"/>
      <c r="Q1391" s="644"/>
      <c r="R1391" s="644"/>
      <c r="S1391" s="651"/>
      <c r="T1391" s="102">
        <f t="shared" si="1016"/>
        <v>0</v>
      </c>
      <c r="U1391" s="78" t="str">
        <f>IF(NOT(ISNUMBER(G1391)), "", VLOOKUP(A1391,'Discount Lookup'!D:E,2,FALSE)*G1391)</f>
        <v/>
      </c>
      <c r="V1391" s="78" t="str">
        <f>IF(NOT(ISNUMBER(G1391)), "", VLOOKUP(A1391,'Discount Lookup'!G:H,2,FALSE)*G1391)</f>
        <v/>
      </c>
      <c r="W1391" s="102">
        <f t="shared" si="1017"/>
        <v>0</v>
      </c>
      <c r="X1391" s="102">
        <f t="shared" si="1018"/>
        <v>0</v>
      </c>
      <c r="Y1391" s="120" t="b">
        <f t="shared" si="1019"/>
        <v>0</v>
      </c>
      <c r="Z1391" s="117">
        <f t="shared" si="1020"/>
        <v>0</v>
      </c>
      <c r="AA1391" s="118"/>
      <c r="AB1391" s="118" t="str">
        <f t="shared" si="1021"/>
        <v/>
      </c>
      <c r="AC1391" s="712" t="str">
        <f>IF(AE1391="T2G","no charge",IF(AND(OR(PlanterYesMe="No",PlanterYesMe="N",PlanterYesMe="me"),H1391=""),"",IF(H1391="credit","NO install",IF(AND(K1391="",AE1391="me"),"EACH row",IF(AND(K1391="images",AE1391="me"),"EACH row",IF(D1391="","",IF(H1391="credit","",IF(AE1391="free","re-planting",IF(AE1391="me","   not ELP, by",IF(AND(OR(PlanterYesMe="Yes",PlanterYesMe="Y"),G1391&gt;0),(VLOOKUP(A1391,'Discount Lookup'!J:K,2)*G1391*(1-PlanterDiscount)*(1+PlanterDifficultyPercentage)),IF(AE1391="ELP",(VLOOKUP(A1391,'Discount Lookup'!J:K,2)*G1391*(1-PlanterDiscount)*(1+PlanterDifficultyPercentage)),IF(AE1391="free","re-planting",IF(G1391=0,"",IF(PlanterYesMe="",IF(AE1391="me","   not ELP, by",IF(AE1391="",IF(G1391&gt;0,(VLOOKUP(A1391,'Discount Lookup'!J:K,2)*G1391*(1-PlanterDiscount)*(1+PlanterDifficultyPercentage)),""),"")),"   not ELP, by"))))))))))))))</f>
        <v/>
      </c>
      <c r="AD1391" s="712"/>
      <c r="AE1391" s="513" t="str">
        <f t="shared" si="1022"/>
        <v/>
      </c>
      <c r="AF1391" s="713" t="str">
        <f t="shared" si="1023"/>
        <v/>
      </c>
      <c r="AG1391" s="713"/>
      <c r="AH1391" s="713"/>
      <c r="AI1391" s="112">
        <f>IF(H1391="credit",0,IF(AE1391="free",0,IF(AE1391="me",0,IF(G1391&gt;0,(VLOOKUP(A1391,'Discount Lookup'!J:K,2)*G1391),0))))</f>
        <v>0</v>
      </c>
      <c r="AJ1391" s="107" t="str">
        <f t="shared" ca="1" si="1024"/>
        <v/>
      </c>
      <c r="AK1391" s="714" t="str">
        <f t="shared" si="1025"/>
        <v/>
      </c>
      <c r="AL1391" s="714"/>
      <c r="AM1391" s="114" t="str">
        <f t="shared" si="1026"/>
        <v/>
      </c>
      <c r="AN1391" s="115"/>
      <c r="AO1391" s="116"/>
      <c r="AP1391" s="116"/>
      <c r="AQ1391" s="116"/>
      <c r="AR1391" s="116"/>
      <c r="AS1391" s="116"/>
      <c r="AT1391" s="116"/>
      <c r="AU1391" s="116"/>
      <c r="AV1391" s="78"/>
      <c r="AW1391" s="102"/>
      <c r="AX1391" s="78"/>
      <c r="AY1391" s="78"/>
      <c r="AZ1391" s="78"/>
      <c r="BA1391" s="78"/>
      <c r="BB1391" s="78"/>
      <c r="BC1391" s="78"/>
      <c r="BD1391" s="78"/>
      <c r="BE1391" s="465"/>
      <c r="BF1391" s="165" t="str">
        <f t="shared" si="1027"/>
        <v>https://www.google.com/search?tbm=isch&amp;q=Royal%20Purple%20combines%20rich%2C%20maroon-red%20foliage%20%28turning%20redder%20in%20fall%29%20with%20large%20feathery%20%27smoky%27%20flower%20plumes%20</v>
      </c>
      <c r="BG1391" s="165" t="str">
        <f t="shared" si="1028"/>
        <v>R</v>
      </c>
      <c r="BH1391" s="65"/>
      <c r="BI1391" s="65"/>
      <c r="BJ1391" s="65"/>
      <c r="BK1391" s="65"/>
      <c r="BL1391" s="99"/>
      <c r="BM1391" s="99"/>
      <c r="BN1391" s="99"/>
    </row>
    <row r="1392" spans="1:66" s="51" customFormat="1" ht="18" x14ac:dyDescent="0.25">
      <c r="A1392" s="623" t="s">
        <v>2364</v>
      </c>
      <c r="B1392" s="624"/>
      <c r="C1392" s="709"/>
      <c r="D1392" s="625" t="s">
        <v>5650</v>
      </c>
      <c r="E1392" s="626"/>
      <c r="F1392" s="626"/>
      <c r="G1392" s="626"/>
      <c r="H1392" s="622" t="s">
        <v>1124</v>
      </c>
      <c r="I1392" s="627" t="s">
        <v>2365</v>
      </c>
      <c r="J1392" s="628"/>
      <c r="K1392" s="628"/>
      <c r="L1392" s="629"/>
      <c r="M1392" s="700" t="s">
        <v>5241</v>
      </c>
      <c r="N1392" s="693" t="str">
        <f>IF(AND(ISTEXT($A1392), ISERROR($A1392+0)), HYPERLINK($BF1392, "Images"), "")</f>
        <v>Images</v>
      </c>
      <c r="O1392" s="695" t="s">
        <v>5247</v>
      </c>
      <c r="P1392" s="630"/>
      <c r="Q1392" s="631"/>
      <c r="R1392" s="632"/>
      <c r="S1392" s="633"/>
      <c r="T1392" s="102">
        <f t="shared" si="1016"/>
        <v>0</v>
      </c>
      <c r="U1392" s="78" t="str">
        <f>IF(NOT(ISNUMBER(G1392)), "", VLOOKUP(A1392,'Discount Lookup'!D:E,2,FALSE)*G1392)</f>
        <v/>
      </c>
      <c r="V1392" s="78" t="str">
        <f>IF(NOT(ISNUMBER(G1392)), "", VLOOKUP(A1392,'Discount Lookup'!G:H,2,FALSE)*G1392)</f>
        <v/>
      </c>
      <c r="W1392" s="102">
        <f t="shared" si="1017"/>
        <v>0</v>
      </c>
      <c r="X1392" s="102" t="str">
        <f t="shared" si="1018"/>
        <v>Soft Pink-Mauve "smoke"</v>
      </c>
      <c r="Y1392" s="120" t="b">
        <f t="shared" si="1019"/>
        <v>0</v>
      </c>
      <c r="Z1392" s="117">
        <f t="shared" si="1020"/>
        <v>0</v>
      </c>
      <c r="AA1392" s="118"/>
      <c r="AB1392" s="118" t="str">
        <f t="shared" si="1021"/>
        <v/>
      </c>
      <c r="AC1392" s="712" t="str">
        <f>IF(AE1392="T2G","no charge",IF(AND(OR(PlanterYesMe="No",PlanterYesMe="N",PlanterYesMe="me"),H1392=""),"",IF(H1392="credit","NO install",IF(AND(K1392="",AE1392="me"),"EACH row",IF(AND(K1392="images",AE1392="me"),"EACH row",IF(D1392="","",IF(H1392="credit","",IF(AE1392="free","re-planting",IF(AE1392="me","   not ELP, by",IF(AND(OR(PlanterYesMe="Yes",PlanterYesMe="Y"),G1392&gt;0),(VLOOKUP(A1392,'Discount Lookup'!J:K,2)*G1392*(1-PlanterDiscount)*(1+PlanterDifficultyPercentage)),IF(AE1392="ELP",(VLOOKUP(A1392,'Discount Lookup'!J:K,2)*G1392*(1-PlanterDiscount)*(1+PlanterDifficultyPercentage)),IF(AE1392="free","re-planting",IF(G1392=0,"",IF(PlanterYesMe="",IF(AE1392="me","   not ELP, by",IF(AE1392="",IF(G1392&gt;0,(VLOOKUP(A1392,'Discount Lookup'!J:K,2)*G1392*(1-PlanterDiscount)*(1+PlanterDifficultyPercentage)),""),"")),"   not ELP, by"))))))))))))))</f>
        <v/>
      </c>
      <c r="AD1392" s="712"/>
      <c r="AE1392" s="513" t="str">
        <f t="shared" si="1022"/>
        <v/>
      </c>
      <c r="AF1392" s="713" t="str">
        <f t="shared" si="1023"/>
        <v/>
      </c>
      <c r="AG1392" s="713"/>
      <c r="AH1392" s="713"/>
      <c r="AI1392" s="112">
        <f>IF(H1392="credit",0,IF(AE1392="free",0,IF(AE1392="me",0,IF(G1392&gt;0,(VLOOKUP(A1392,'Discount Lookup'!J:K,2)*G1392),0))))</f>
        <v>0</v>
      </c>
      <c r="AJ1392" s="107" t="str">
        <f t="shared" ca="1" si="1024"/>
        <v/>
      </c>
      <c r="AK1392" s="714" t="str">
        <f t="shared" si="1025"/>
        <v/>
      </c>
      <c r="AL1392" s="714"/>
      <c r="AM1392" s="114" t="str">
        <f t="shared" si="1026"/>
        <v/>
      </c>
      <c r="AN1392" s="115"/>
      <c r="AO1392" s="116"/>
      <c r="AP1392" s="116"/>
      <c r="AQ1392" s="116"/>
      <c r="AR1392" s="116"/>
      <c r="AS1392" s="116"/>
      <c r="AT1392" s="116"/>
      <c r="AU1392" s="116"/>
      <c r="AV1392" s="78"/>
      <c r="AW1392" s="102"/>
      <c r="AX1392" s="78"/>
      <c r="AY1392" s="78"/>
      <c r="AZ1392" s="78"/>
      <c r="BA1392" s="78"/>
      <c r="BB1392" s="78"/>
      <c r="BC1392" s="78"/>
      <c r="BD1392" s="78"/>
      <c r="BE1392" s="465"/>
      <c r="BF1392" s="165" t="str">
        <f t="shared" si="1027"/>
        <v>https://www.google.com/search?tbm=isch&amp;q=Cotinus%20coggygria%20%27Velveteeny%27%20PP%2330328%20Velveteeny%E2%84%A2%20Dwarf%20Purple%20Smokebush</v>
      </c>
      <c r="BG1392" s="165" t="str">
        <f t="shared" si="1028"/>
        <v>C</v>
      </c>
      <c r="BH1392" s="65"/>
      <c r="BI1392" s="65"/>
      <c r="BJ1392" s="65"/>
      <c r="BK1392" s="65"/>
      <c r="BL1392" s="99"/>
      <c r="BM1392" s="99"/>
      <c r="BN1392" s="99"/>
    </row>
    <row r="1393" spans="1:66" s="51" customFormat="1" ht="15.75" x14ac:dyDescent="0.25">
      <c r="A1393" s="634">
        <v>3</v>
      </c>
      <c r="B1393" s="635" t="s">
        <v>291</v>
      </c>
      <c r="C1393" s="636" t="s">
        <v>1689</v>
      </c>
      <c r="D1393" s="637" t="s">
        <v>329</v>
      </c>
      <c r="E1393" s="638">
        <v>29.95</v>
      </c>
      <c r="F1393" s="639" t="s">
        <v>292</v>
      </c>
      <c r="G1393" s="484">
        <v>0</v>
      </c>
      <c r="H1393" s="691" t="str">
        <f>IF(G1393=0,"",IF(F1393="Buy",IF(G1393=1,"plant","plants"),IF(F1393&gt;0.01,"warranty","Error")))</f>
        <v/>
      </c>
      <c r="I1393" s="640">
        <f>IF(H1393="free",0,IF(H1393="credit",((E1393*(F1393))*G1393*-1),IF(F1393="Buy",(E1393*G1393),((E1393*(1-F1393))*G1393))))</f>
        <v>0</v>
      </c>
      <c r="J1393" s="640">
        <f>IF(H1393="warranty",0,(I1393*(_xlfn.SINGLE(SalesTaxPercentage))))</f>
        <v>0</v>
      </c>
      <c r="K1393" s="716">
        <f t="shared" ref="K1393" si="1038">I1393+J1393</f>
        <v>0</v>
      </c>
      <c r="L1393" s="716"/>
      <c r="M1393" s="689" t="str">
        <f ca="1">IF(AND(G1393&gt;0,E1393=0),"WARNING - no PRICE inserted",IF(H1393="free","FREE ~ no charge this plant",IF(H1393="credit",CONCATENATE("-$",ROUND(K1393*(1-_xlfn.SINGLE(T2GDiscount))*-1,2)," CREDIT after discount"),IF(_xlfn.SINGLE(T2GDiscount)=0,"",IF(G1393=0,"",IF(F1393="Buy",CONCATENATE("$",ROUND(K1393*(1-_xlfn.SINGLE(T2GDiscount)),2)," with ",(_xlfn.SINGLE(T2GDiscount)*100),"% discount"),CONCATENATE("$",ROUND(K1393*(1-_xlfn.SINGLE(T2GDiscount)),2)," with ",((_xlfn.SINGLE(T2GDiscount)*100+F1393*100)-(_xlfn.SINGLE(T2GDiscount)*100*F1393)),IF(F1393&gt;0,"% discounts",IF(_xlfn.SINGLE(NoWarrantyDiscount)&gt;0,"% discounts","% discount")))))))))</f>
        <v/>
      </c>
      <c r="N1393" s="690"/>
      <c r="O1393" s="486"/>
      <c r="P1393" s="486"/>
      <c r="Q1393" s="486"/>
      <c r="R1393" s="486"/>
      <c r="S1393" s="486"/>
      <c r="T1393" s="102">
        <f t="shared" si="1016"/>
        <v>0</v>
      </c>
      <c r="U1393" s="78">
        <f>IF(NOT(ISNUMBER(G1393)), "", VLOOKUP(A1393,'Discount Lookup'!D:E,2,FALSE)*G1393)</f>
        <v>0</v>
      </c>
      <c r="V1393" s="78">
        <f>IF(NOT(ISNUMBER(G1393)), "", VLOOKUP(A1393,'Discount Lookup'!G:H,2,FALSE)*G1393)</f>
        <v>0</v>
      </c>
      <c r="W1393" s="102">
        <f t="shared" si="1017"/>
        <v>0</v>
      </c>
      <c r="X1393" s="102">
        <f t="shared" si="1018"/>
        <v>0</v>
      </c>
      <c r="Y1393" s="120" t="b">
        <f t="shared" si="1019"/>
        <v>0</v>
      </c>
      <c r="Z1393" s="117">
        <f t="shared" si="1020"/>
        <v>0</v>
      </c>
      <c r="AA1393" s="118"/>
      <c r="AB1393" s="118" t="str">
        <f t="shared" si="1021"/>
        <v/>
      </c>
      <c r="AC1393" s="712" t="str">
        <f>IF(AE1393="T2G","no charge",IF(AND(OR(PlanterYesMe="No",PlanterYesMe="N",PlanterYesMe="me"),H1393=""),"",IF(H1393="credit","NO install",IF(AND(K1393="",AE1393="me"),"EACH row",IF(AND(K1393="images",AE1393="me"),"EACH row",IF(D1393="","",IF(H1393="credit","",IF(AE1393="free","re-planting",IF(AE1393="me","   not ELP, by",IF(AND(OR(PlanterYesMe="Yes",PlanterYesMe="Y"),G1393&gt;0),(VLOOKUP(A1393,'Discount Lookup'!J:K,2)*G1393*(1-PlanterDiscount)*(1+PlanterDifficultyPercentage)),IF(AE1393="ELP",(VLOOKUP(A1393,'Discount Lookup'!J:K,2)*G1393*(1-PlanterDiscount)*(1+PlanterDifficultyPercentage)),IF(AE1393="free","re-planting",IF(G1393=0,"",IF(PlanterYesMe="",IF(AE1393="me","   not ELP, by",IF(AE1393="",IF(G1393&gt;0,(VLOOKUP(A1393,'Discount Lookup'!J:K,2)*G1393*(1-PlanterDiscount)*(1+PlanterDifficultyPercentage)),""),"")),"   not ELP, by"))))))))))))))</f>
        <v/>
      </c>
      <c r="AD1393" s="712"/>
      <c r="AE1393" s="513" t="str">
        <f t="shared" si="1022"/>
        <v/>
      </c>
      <c r="AF1393" s="713" t="str">
        <f t="shared" si="1023"/>
        <v/>
      </c>
      <c r="AG1393" s="713"/>
      <c r="AH1393" s="713"/>
      <c r="AI1393" s="112">
        <f>IF(H1393="credit",0,IF(AE1393="free",0,IF(AE1393="me",0,IF(G1393&gt;0,(VLOOKUP(A1393,'Discount Lookup'!J:K,2)*G1393),0))))</f>
        <v>0</v>
      </c>
      <c r="AJ1393" s="107" t="str">
        <f t="shared" ca="1" si="1024"/>
        <v/>
      </c>
      <c r="AK1393" s="714" t="str">
        <f t="shared" si="1025"/>
        <v/>
      </c>
      <c r="AL1393" s="714"/>
      <c r="AM1393" s="114" t="str">
        <f t="shared" si="1026"/>
        <v/>
      </c>
      <c r="AN1393" s="115"/>
      <c r="AO1393" s="116"/>
      <c r="AP1393" s="116"/>
      <c r="AQ1393" s="116"/>
      <c r="AR1393" s="116"/>
      <c r="AS1393" s="116"/>
      <c r="AT1393" s="116"/>
      <c r="AU1393" s="116"/>
      <c r="AV1393" s="78"/>
      <c r="AW1393" s="102"/>
      <c r="AX1393" s="78"/>
      <c r="AY1393" s="78"/>
      <c r="AZ1393" s="78"/>
      <c r="BA1393" s="78"/>
      <c r="BB1393" s="78"/>
      <c r="BC1393" s="78"/>
      <c r="BD1393" s="78"/>
      <c r="BE1393" s="465"/>
      <c r="BF1393" s="165" t="str">
        <f t="shared" si="1027"/>
        <v>https://www.google.com/search?tbm=isch&amp;q=3%20G2</v>
      </c>
      <c r="BG1393" s="165" t="str">
        <f t="shared" si="1028"/>
        <v>C</v>
      </c>
      <c r="BH1393" s="65"/>
      <c r="BI1393" s="65"/>
      <c r="BJ1393" s="65"/>
      <c r="BK1393" s="65"/>
      <c r="BL1393" s="99"/>
      <c r="BM1393" s="99"/>
      <c r="BN1393" s="99"/>
    </row>
    <row r="1394" spans="1:66" s="51" customFormat="1" ht="17.25" thickBot="1" x14ac:dyDescent="0.3">
      <c r="A1394" s="641" t="s">
        <v>4716</v>
      </c>
      <c r="B1394" s="642"/>
      <c r="C1394" s="710"/>
      <c r="D1394" s="643"/>
      <c r="E1394" s="643"/>
      <c r="F1394" s="644"/>
      <c r="G1394" s="645"/>
      <c r="H1394" s="646"/>
      <c r="I1394" s="647"/>
      <c r="J1394" s="648"/>
      <c r="K1394" s="649"/>
      <c r="L1394" s="650"/>
      <c r="M1394" s="650"/>
      <c r="N1394" s="644"/>
      <c r="O1394" s="644"/>
      <c r="P1394" s="644"/>
      <c r="Q1394" s="644"/>
      <c r="R1394" s="644"/>
      <c r="S1394" s="651"/>
      <c r="T1394" s="102">
        <f t="shared" si="1016"/>
        <v>0</v>
      </c>
      <c r="U1394" s="78" t="str">
        <f>IF(NOT(ISNUMBER(G1394)), "", VLOOKUP(A1394,'Discount Lookup'!D:E,2,FALSE)*G1394)</f>
        <v/>
      </c>
      <c r="V1394" s="78" t="str">
        <f>IF(NOT(ISNUMBER(G1394)), "", VLOOKUP(A1394,'Discount Lookup'!G:H,2,FALSE)*G1394)</f>
        <v/>
      </c>
      <c r="W1394" s="102">
        <f t="shared" si="1017"/>
        <v>0</v>
      </c>
      <c r="X1394" s="102">
        <f t="shared" si="1018"/>
        <v>0</v>
      </c>
      <c r="Y1394" s="120" t="b">
        <f t="shared" si="1019"/>
        <v>0</v>
      </c>
      <c r="Z1394" s="117">
        <f t="shared" si="1020"/>
        <v>0</v>
      </c>
      <c r="AA1394" s="118"/>
      <c r="AB1394" s="118" t="str">
        <f t="shared" si="1021"/>
        <v/>
      </c>
      <c r="AC1394" s="712" t="str">
        <f>IF(AE1394="T2G","no charge",IF(AND(OR(PlanterYesMe="No",PlanterYesMe="N",PlanterYesMe="me"),H1394=""),"",IF(H1394="credit","NO install",IF(AND(K1394="",AE1394="me"),"EACH row",IF(AND(K1394="images",AE1394="me"),"EACH row",IF(D1394="","",IF(H1394="credit","",IF(AE1394="free","re-planting",IF(AE1394="me","   not ELP, by",IF(AND(OR(PlanterYesMe="Yes",PlanterYesMe="Y"),G1394&gt;0),(VLOOKUP(A1394,'Discount Lookup'!J:K,2)*G1394*(1-PlanterDiscount)*(1+PlanterDifficultyPercentage)),IF(AE1394="ELP",(VLOOKUP(A1394,'Discount Lookup'!J:K,2)*G1394*(1-PlanterDiscount)*(1+PlanterDifficultyPercentage)),IF(AE1394="free","re-planting",IF(G1394=0,"",IF(PlanterYesMe="",IF(AE1394="me","   not ELP, by",IF(AE1394="",IF(G1394&gt;0,(VLOOKUP(A1394,'Discount Lookup'!J:K,2)*G1394*(1-PlanterDiscount)*(1+PlanterDifficultyPercentage)),""),"")),"   not ELP, by"))))))))))))))</f>
        <v/>
      </c>
      <c r="AD1394" s="712"/>
      <c r="AE1394" s="513" t="str">
        <f t="shared" si="1022"/>
        <v/>
      </c>
      <c r="AF1394" s="713" t="str">
        <f t="shared" si="1023"/>
        <v/>
      </c>
      <c r="AG1394" s="713"/>
      <c r="AH1394" s="713"/>
      <c r="AI1394" s="112">
        <f>IF(H1394="credit",0,IF(AE1394="free",0,IF(AE1394="me",0,IF(G1394&gt;0,(VLOOKUP(A1394,'Discount Lookup'!J:K,2)*G1394),0))))</f>
        <v>0</v>
      </c>
      <c r="AJ1394" s="107" t="str">
        <f t="shared" ca="1" si="1024"/>
        <v/>
      </c>
      <c r="AK1394" s="714" t="str">
        <f t="shared" si="1025"/>
        <v/>
      </c>
      <c r="AL1394" s="714"/>
      <c r="AM1394" s="114" t="str">
        <f t="shared" si="1026"/>
        <v/>
      </c>
      <c r="AN1394" s="115"/>
      <c r="AO1394" s="116"/>
      <c r="AP1394" s="116"/>
      <c r="AQ1394" s="116"/>
      <c r="AR1394" s="116"/>
      <c r="AS1394" s="116"/>
      <c r="AT1394" s="116"/>
      <c r="AU1394" s="116"/>
      <c r="AV1394" s="78"/>
      <c r="AW1394" s="102"/>
      <c r="AX1394" s="78"/>
      <c r="AY1394" s="78"/>
      <c r="AZ1394" s="78"/>
      <c r="BA1394" s="78"/>
      <c r="BB1394" s="78"/>
      <c r="BC1394" s="78"/>
      <c r="BD1394" s="78"/>
      <c r="BE1394" s="465"/>
      <c r="BF1394" s="165" t="str">
        <f t="shared" si="1027"/>
        <v>https://www.google.com/search?tbm=isch&amp;q=Velveteeny%20has%20saturated%20Burgundy%20foliage%2C%20Pink%20%E2%80%9Csmoke%E2%80%9D%20in%20summer%2C%20and%20vivid%20Red-Orange%20fall%20color%20</v>
      </c>
      <c r="BG1394" s="165" t="str">
        <f t="shared" si="1028"/>
        <v>V</v>
      </c>
      <c r="BH1394" s="65"/>
      <c r="BI1394" s="65"/>
      <c r="BJ1394" s="65"/>
      <c r="BK1394" s="65"/>
      <c r="BL1394" s="99"/>
      <c r="BM1394" s="99"/>
      <c r="BN1394" s="99"/>
    </row>
    <row r="1395" spans="1:66" s="51" customFormat="1" ht="18" x14ac:dyDescent="0.25">
      <c r="A1395" s="623" t="s">
        <v>2366</v>
      </c>
      <c r="B1395" s="624"/>
      <c r="C1395" s="709"/>
      <c r="D1395" s="625" t="s">
        <v>5651</v>
      </c>
      <c r="E1395" s="626"/>
      <c r="F1395" s="626"/>
      <c r="G1395" s="626"/>
      <c r="H1395" s="622" t="s">
        <v>1217</v>
      </c>
      <c r="I1395" s="627" t="s">
        <v>2367</v>
      </c>
      <c r="J1395" s="628"/>
      <c r="K1395" s="628"/>
      <c r="L1395" s="629"/>
      <c r="M1395" s="700" t="s">
        <v>5241</v>
      </c>
      <c r="N1395" s="693" t="str">
        <f>IF(AND(ISTEXT($A1395), ISERROR($A1395+0)), HYPERLINK($BF1395, "Images"), "")</f>
        <v>Images</v>
      </c>
      <c r="O1395" s="695" t="s">
        <v>5247</v>
      </c>
      <c r="P1395" s="630"/>
      <c r="Q1395" s="631"/>
      <c r="R1395" s="632"/>
      <c r="S1395" s="633"/>
      <c r="T1395" s="102">
        <f t="shared" si="1016"/>
        <v>0</v>
      </c>
      <c r="U1395" s="78" t="str">
        <f>IF(NOT(ISNUMBER(G1395)), "", VLOOKUP(A1395,'Discount Lookup'!D:E,2,FALSE)*G1395)</f>
        <v/>
      </c>
      <c r="V1395" s="78" t="str">
        <f>IF(NOT(ISNUMBER(G1395)), "", VLOOKUP(A1395,'Discount Lookup'!G:H,2,FALSE)*G1395)</f>
        <v/>
      </c>
      <c r="W1395" s="102">
        <f t="shared" si="1017"/>
        <v>0</v>
      </c>
      <c r="X1395" s="102" t="str">
        <f t="shared" si="1018"/>
        <v>Pink-Violet "smoke"</v>
      </c>
      <c r="Y1395" s="120" t="b">
        <f t="shared" si="1019"/>
        <v>0</v>
      </c>
      <c r="Z1395" s="117">
        <f t="shared" si="1020"/>
        <v>0</v>
      </c>
      <c r="AA1395" s="118"/>
      <c r="AB1395" s="118" t="str">
        <f t="shared" si="1021"/>
        <v/>
      </c>
      <c r="AC1395" s="712" t="str">
        <f>IF(AE1395="T2G","no charge",IF(AND(OR(PlanterYesMe="No",PlanterYesMe="N",PlanterYesMe="me"),H1395=""),"",IF(H1395="credit","NO install",IF(AND(K1395="",AE1395="me"),"EACH row",IF(AND(K1395="images",AE1395="me"),"EACH row",IF(D1395="","",IF(H1395="credit","",IF(AE1395="free","re-planting",IF(AE1395="me","   not ELP, by",IF(AND(OR(PlanterYesMe="Yes",PlanterYesMe="Y"),G1395&gt;0),(VLOOKUP(A1395,'Discount Lookup'!J:K,2)*G1395*(1-PlanterDiscount)*(1+PlanterDifficultyPercentage)),IF(AE1395="ELP",(VLOOKUP(A1395,'Discount Lookup'!J:K,2)*G1395*(1-PlanterDiscount)*(1+PlanterDifficultyPercentage)),IF(AE1395="free","re-planting",IF(G1395=0,"",IF(PlanterYesMe="",IF(AE1395="me","   not ELP, by",IF(AE1395="",IF(G1395&gt;0,(VLOOKUP(A1395,'Discount Lookup'!J:K,2)*G1395*(1-PlanterDiscount)*(1+PlanterDifficultyPercentage)),""),"")),"   not ELP, by"))))))))))))))</f>
        <v/>
      </c>
      <c r="AD1395" s="712"/>
      <c r="AE1395" s="513" t="str">
        <f t="shared" si="1022"/>
        <v/>
      </c>
      <c r="AF1395" s="713" t="str">
        <f t="shared" si="1023"/>
        <v/>
      </c>
      <c r="AG1395" s="713"/>
      <c r="AH1395" s="713"/>
      <c r="AI1395" s="112">
        <f>IF(H1395="credit",0,IF(AE1395="free",0,IF(AE1395="me",0,IF(G1395&gt;0,(VLOOKUP(A1395,'Discount Lookup'!J:K,2)*G1395),0))))</f>
        <v>0</v>
      </c>
      <c r="AJ1395" s="107" t="str">
        <f t="shared" ca="1" si="1024"/>
        <v/>
      </c>
      <c r="AK1395" s="714" t="str">
        <f t="shared" si="1025"/>
        <v/>
      </c>
      <c r="AL1395" s="714"/>
      <c r="AM1395" s="114" t="str">
        <f t="shared" si="1026"/>
        <v/>
      </c>
      <c r="AN1395" s="115"/>
      <c r="AO1395" s="116"/>
      <c r="AP1395" s="116"/>
      <c r="AQ1395" s="116"/>
      <c r="AR1395" s="116"/>
      <c r="AS1395" s="116"/>
      <c r="AT1395" s="116"/>
      <c r="AU1395" s="116"/>
      <c r="AV1395" s="78"/>
      <c r="AW1395" s="102"/>
      <c r="AX1395" s="78"/>
      <c r="AY1395" s="78"/>
      <c r="AZ1395" s="78"/>
      <c r="BA1395" s="78"/>
      <c r="BB1395" s="78"/>
      <c r="BC1395" s="78"/>
      <c r="BD1395" s="78"/>
      <c r="BE1395" s="465"/>
      <c r="BF1395" s="165" t="str">
        <f t="shared" si="1027"/>
        <v>https://www.google.com/search?tbm=isch&amp;q=Cotinus%20coggygria%20%27Winecraft%20Black%27%20PP%2330216%20Winecraft%20Black%C2%AE%20Smokebush</v>
      </c>
      <c r="BG1395" s="165" t="str">
        <f t="shared" si="1028"/>
        <v>C</v>
      </c>
      <c r="BH1395" s="65"/>
      <c r="BI1395" s="65"/>
      <c r="BJ1395" s="65"/>
      <c r="BK1395" s="65"/>
      <c r="BL1395" s="99"/>
      <c r="BM1395" s="99"/>
      <c r="BN1395" s="99"/>
    </row>
    <row r="1396" spans="1:66" s="51" customFormat="1" ht="15.75" x14ac:dyDescent="0.25">
      <c r="A1396" s="634">
        <v>3</v>
      </c>
      <c r="B1396" s="635" t="s">
        <v>291</v>
      </c>
      <c r="C1396" s="636" t="s">
        <v>454</v>
      </c>
      <c r="D1396" s="637" t="s">
        <v>329</v>
      </c>
      <c r="E1396" s="638">
        <v>42.95</v>
      </c>
      <c r="F1396" s="639" t="s">
        <v>292</v>
      </c>
      <c r="G1396" s="484">
        <v>0</v>
      </c>
      <c r="H1396" s="691" t="str">
        <f>IF(G1396=0,"",IF(F1396="Buy",IF(G1396=1,"plant","plants"),IF(F1396&gt;0.01,"warranty","Error")))</f>
        <v/>
      </c>
      <c r="I1396" s="640">
        <f>IF(H1396="free",0,IF(H1396="credit",((E1396*(F1396))*G1396*-1),IF(F1396="Buy",(E1396*G1396),((E1396*(1-F1396))*G1396))))</f>
        <v>0</v>
      </c>
      <c r="J1396" s="640">
        <f>IF(H1396="warranty",0,(I1396*(_xlfn.SINGLE(SalesTaxPercentage))))</f>
        <v>0</v>
      </c>
      <c r="K1396" s="716">
        <f t="shared" ref="K1396" si="1039">I1396+J1396</f>
        <v>0</v>
      </c>
      <c r="L1396" s="716"/>
      <c r="M1396" s="689" t="str">
        <f ca="1">IF(AND(G1396&gt;0,E1396=0),"WARNING - no PRICE inserted",IF(H1396="free","FREE ~ no charge this plant",IF(H1396="credit",CONCATENATE("-$",ROUND(K1396*(1-_xlfn.SINGLE(T2GDiscount))*-1,2)," CREDIT after discount"),IF(_xlfn.SINGLE(T2GDiscount)=0,"",IF(G1396=0,"",IF(F1396="Buy",CONCATENATE("$",ROUND(K1396*(1-_xlfn.SINGLE(T2GDiscount)),2)," with ",(_xlfn.SINGLE(T2GDiscount)*100),"% discount"),CONCATENATE("$",ROUND(K1396*(1-_xlfn.SINGLE(T2GDiscount)),2)," with ",((_xlfn.SINGLE(T2GDiscount)*100+F1396*100)-(_xlfn.SINGLE(T2GDiscount)*100*F1396)),IF(F1396&gt;0,"% discounts",IF(_xlfn.SINGLE(NoWarrantyDiscount)&gt;0,"% discounts","% discount")))))))))</f>
        <v/>
      </c>
      <c r="N1396" s="690"/>
      <c r="O1396" s="486"/>
      <c r="P1396" s="486"/>
      <c r="Q1396" s="486"/>
      <c r="R1396" s="486"/>
      <c r="S1396" s="486"/>
      <c r="T1396" s="102">
        <f t="shared" si="1016"/>
        <v>0</v>
      </c>
      <c r="U1396" s="78">
        <f>IF(NOT(ISNUMBER(G1396)), "", VLOOKUP(A1396,'Discount Lookup'!D:E,2,FALSE)*G1396)</f>
        <v>0</v>
      </c>
      <c r="V1396" s="78">
        <f>IF(NOT(ISNUMBER(G1396)), "", VLOOKUP(A1396,'Discount Lookup'!G:H,2,FALSE)*G1396)</f>
        <v>0</v>
      </c>
      <c r="W1396" s="102">
        <f t="shared" si="1017"/>
        <v>0</v>
      </c>
      <c r="X1396" s="102">
        <f t="shared" si="1018"/>
        <v>0</v>
      </c>
      <c r="Y1396" s="120" t="b">
        <f t="shared" si="1019"/>
        <v>0</v>
      </c>
      <c r="Z1396" s="117">
        <f t="shared" si="1020"/>
        <v>0</v>
      </c>
      <c r="AA1396" s="118"/>
      <c r="AB1396" s="118" t="str">
        <f t="shared" si="1021"/>
        <v/>
      </c>
      <c r="AC1396" s="712" t="str">
        <f>IF(AE1396="T2G","no charge",IF(AND(OR(PlanterYesMe="No",PlanterYesMe="N",PlanterYesMe="me"),H1396=""),"",IF(H1396="credit","NO install",IF(AND(K1396="",AE1396="me"),"EACH row",IF(AND(K1396="images",AE1396="me"),"EACH row",IF(D1396="","",IF(H1396="credit","",IF(AE1396="free","re-planting",IF(AE1396="me","   not ELP, by",IF(AND(OR(PlanterYesMe="Yes",PlanterYesMe="Y"),G1396&gt;0),(VLOOKUP(A1396,'Discount Lookup'!J:K,2)*G1396*(1-PlanterDiscount)*(1+PlanterDifficultyPercentage)),IF(AE1396="ELP",(VLOOKUP(A1396,'Discount Lookup'!J:K,2)*G1396*(1-PlanterDiscount)*(1+PlanterDifficultyPercentage)),IF(AE1396="free","re-planting",IF(G1396=0,"",IF(PlanterYesMe="",IF(AE1396="me","   not ELP, by",IF(AE1396="",IF(G1396&gt;0,(VLOOKUP(A1396,'Discount Lookup'!J:K,2)*G1396*(1-PlanterDiscount)*(1+PlanterDifficultyPercentage)),""),"")),"   not ELP, by"))))))))))))))</f>
        <v/>
      </c>
      <c r="AD1396" s="712"/>
      <c r="AE1396" s="513" t="str">
        <f t="shared" si="1022"/>
        <v/>
      </c>
      <c r="AF1396" s="713" t="str">
        <f t="shared" si="1023"/>
        <v/>
      </c>
      <c r="AG1396" s="713"/>
      <c r="AH1396" s="713"/>
      <c r="AI1396" s="112">
        <f>IF(H1396="credit",0,IF(AE1396="free",0,IF(AE1396="me",0,IF(G1396&gt;0,(VLOOKUP(A1396,'Discount Lookup'!J:K,2)*G1396),0))))</f>
        <v>0</v>
      </c>
      <c r="AJ1396" s="107" t="str">
        <f t="shared" ca="1" si="1024"/>
        <v/>
      </c>
      <c r="AK1396" s="714" t="str">
        <f t="shared" si="1025"/>
        <v/>
      </c>
      <c r="AL1396" s="714"/>
      <c r="AM1396" s="114" t="str">
        <f t="shared" si="1026"/>
        <v/>
      </c>
      <c r="AN1396" s="115"/>
      <c r="AO1396" s="116"/>
      <c r="AP1396" s="116"/>
      <c r="AQ1396" s="116"/>
      <c r="AR1396" s="116"/>
      <c r="AS1396" s="116"/>
      <c r="AT1396" s="116"/>
      <c r="AU1396" s="116"/>
      <c r="AV1396" s="78"/>
      <c r="AW1396" s="102"/>
      <c r="AX1396" s="78"/>
      <c r="AY1396" s="78"/>
      <c r="AZ1396" s="78"/>
      <c r="BA1396" s="78"/>
      <c r="BB1396" s="78"/>
      <c r="BC1396" s="78"/>
      <c r="BD1396" s="78"/>
      <c r="BE1396" s="465"/>
      <c r="BF1396" s="165" t="str">
        <f t="shared" si="1027"/>
        <v>https://www.google.com/search?tbm=isch&amp;q=3%20G2</v>
      </c>
      <c r="BG1396" s="165" t="str">
        <f t="shared" si="1028"/>
        <v>C</v>
      </c>
      <c r="BH1396" s="65"/>
      <c r="BI1396" s="65"/>
      <c r="BJ1396" s="65"/>
      <c r="BK1396" s="65"/>
      <c r="BL1396" s="99"/>
      <c r="BM1396" s="99"/>
      <c r="BN1396" s="99"/>
    </row>
    <row r="1397" spans="1:66" s="51" customFormat="1" ht="16.5" x14ac:dyDescent="0.25">
      <c r="A1397" s="641" t="s">
        <v>4717</v>
      </c>
      <c r="B1397" s="642"/>
      <c r="C1397" s="710"/>
      <c r="D1397" s="643"/>
      <c r="E1397" s="643"/>
      <c r="F1397" s="644"/>
      <c r="G1397" s="645"/>
      <c r="H1397" s="646"/>
      <c r="I1397" s="647"/>
      <c r="J1397" s="648"/>
      <c r="K1397" s="649"/>
      <c r="L1397" s="650"/>
      <c r="M1397" s="650"/>
      <c r="N1397" s="644"/>
      <c r="O1397" s="644"/>
      <c r="P1397" s="644"/>
      <c r="Q1397" s="644"/>
      <c r="R1397" s="644"/>
      <c r="S1397" s="651"/>
      <c r="T1397" s="102">
        <f t="shared" si="1016"/>
        <v>0</v>
      </c>
      <c r="U1397" s="78" t="str">
        <f>IF(NOT(ISNUMBER(G1397)), "", VLOOKUP(A1397,'Discount Lookup'!D:E,2,FALSE)*G1397)</f>
        <v/>
      </c>
      <c r="V1397" s="78" t="str">
        <f>IF(NOT(ISNUMBER(G1397)), "", VLOOKUP(A1397,'Discount Lookup'!G:H,2,FALSE)*G1397)</f>
        <v/>
      </c>
      <c r="W1397" s="102">
        <f t="shared" si="1017"/>
        <v>0</v>
      </c>
      <c r="X1397" s="102">
        <f t="shared" si="1018"/>
        <v>0</v>
      </c>
      <c r="Y1397" s="120" t="b">
        <f t="shared" si="1019"/>
        <v>0</v>
      </c>
      <c r="Z1397" s="117">
        <f t="shared" si="1020"/>
        <v>0</v>
      </c>
      <c r="AA1397" s="118"/>
      <c r="AB1397" s="118" t="str">
        <f t="shared" si="1021"/>
        <v/>
      </c>
      <c r="AC1397" s="712" t="str">
        <f>IF(AE1397="T2G","no charge",IF(AND(OR(PlanterYesMe="No",PlanterYesMe="N",PlanterYesMe="me"),H1397=""),"",IF(H1397="credit","NO install",IF(AND(K1397="",AE1397="me"),"EACH row",IF(AND(K1397="images",AE1397="me"),"EACH row",IF(D1397="","",IF(H1397="credit","",IF(AE1397="free","re-planting",IF(AE1397="me","   not ELP, by",IF(AND(OR(PlanterYesMe="Yes",PlanterYesMe="Y"),G1397&gt;0),(VLOOKUP(A1397,'Discount Lookup'!J:K,2)*G1397*(1-PlanterDiscount)*(1+PlanterDifficultyPercentage)),IF(AE1397="ELP",(VLOOKUP(A1397,'Discount Lookup'!J:K,2)*G1397*(1-PlanterDiscount)*(1+PlanterDifficultyPercentage)),IF(AE1397="free","re-planting",IF(G1397=0,"",IF(PlanterYesMe="",IF(AE1397="me","   not ELP, by",IF(AE1397="",IF(G1397&gt;0,(VLOOKUP(A1397,'Discount Lookup'!J:K,2)*G1397*(1-PlanterDiscount)*(1+PlanterDifficultyPercentage)),""),"")),"   not ELP, by"))))))))))))))</f>
        <v/>
      </c>
      <c r="AD1397" s="712"/>
      <c r="AE1397" s="513" t="str">
        <f t="shared" si="1022"/>
        <v/>
      </c>
      <c r="AF1397" s="713" t="str">
        <f t="shared" si="1023"/>
        <v/>
      </c>
      <c r="AG1397" s="713"/>
      <c r="AH1397" s="713"/>
      <c r="AI1397" s="112">
        <f>IF(H1397="credit",0,IF(AE1397="free",0,IF(AE1397="me",0,IF(G1397&gt;0,(VLOOKUP(A1397,'Discount Lookup'!J:K,2)*G1397),0))))</f>
        <v>0</v>
      </c>
      <c r="AJ1397" s="107" t="str">
        <f t="shared" ca="1" si="1024"/>
        <v/>
      </c>
      <c r="AK1397" s="714" t="str">
        <f t="shared" si="1025"/>
        <v/>
      </c>
      <c r="AL1397" s="714"/>
      <c r="AM1397" s="114" t="str">
        <f t="shared" si="1026"/>
        <v/>
      </c>
      <c r="AN1397" s="115"/>
      <c r="AO1397" s="116"/>
      <c r="AP1397" s="116"/>
      <c r="AQ1397" s="116"/>
      <c r="AR1397" s="116"/>
      <c r="AS1397" s="116"/>
      <c r="AT1397" s="116"/>
      <c r="AU1397" s="116"/>
      <c r="AV1397" s="78"/>
      <c r="AW1397" s="102"/>
      <c r="AX1397" s="78"/>
      <c r="AY1397" s="78"/>
      <c r="AZ1397" s="78"/>
      <c r="BA1397" s="78"/>
      <c r="BB1397" s="78"/>
      <c r="BC1397" s="78"/>
      <c r="BD1397" s="78"/>
      <c r="BE1397" s="465"/>
      <c r="BF1397" s="165" t="str">
        <f t="shared" si="1027"/>
        <v>https://www.google.com/search?tbm=isch&amp;q=Winecraft%20Black%20foliage%20emerges%20Rich%20Purple%2C%20turning%20near-Black%20in%20summer%2C%20then%20Fiery%20Orange-Red%20fall%20color%20</v>
      </c>
      <c r="BG1397" s="165" t="str">
        <f t="shared" si="1028"/>
        <v>W</v>
      </c>
      <c r="BH1397" s="65"/>
      <c r="BI1397" s="65"/>
      <c r="BJ1397" s="65"/>
      <c r="BK1397" s="65"/>
      <c r="BL1397" s="99"/>
      <c r="BM1397" s="99"/>
      <c r="BN1397" s="99"/>
    </row>
    <row r="1398" spans="1:66" s="51" customFormat="1" ht="19.5" thickBot="1" x14ac:dyDescent="0.3">
      <c r="A1398" s="686" t="s">
        <v>398</v>
      </c>
      <c r="B1398" s="73"/>
      <c r="C1398" s="708"/>
      <c r="D1398" s="73"/>
      <c r="E1398" s="73"/>
      <c r="F1398" s="496"/>
      <c r="G1398" s="73"/>
      <c r="H1398" s="73"/>
      <c r="I1398" s="73"/>
      <c r="J1398" s="497" t="s">
        <v>357</v>
      </c>
      <c r="K1398" s="498"/>
      <c r="L1398" s="562"/>
      <c r="M1398" s="73"/>
      <c r="N1398"/>
      <c r="O1398"/>
      <c r="P1398"/>
      <c r="Q1398"/>
      <c r="R1398"/>
      <c r="S1398"/>
      <c r="T1398" s="102">
        <f t="shared" si="1016"/>
        <v>0</v>
      </c>
      <c r="U1398" s="78" t="str">
        <f>IF(NOT(ISNUMBER(G1398)), "", VLOOKUP(A1398,'Discount Lookup'!D:E,2,FALSE)*G1398)</f>
        <v/>
      </c>
      <c r="V1398" s="78" t="str">
        <f>IF(NOT(ISNUMBER(G1398)), "", VLOOKUP(A1398,'Discount Lookup'!G:H,2,FALSE)*G1398)</f>
        <v/>
      </c>
      <c r="W1398" s="102">
        <f t="shared" si="1017"/>
        <v>0</v>
      </c>
      <c r="X1398" s="102">
        <f t="shared" si="1018"/>
        <v>0</v>
      </c>
      <c r="Y1398" s="120" t="b">
        <f t="shared" si="1019"/>
        <v>0</v>
      </c>
      <c r="Z1398" s="117">
        <f t="shared" si="1020"/>
        <v>0</v>
      </c>
      <c r="AA1398" s="118"/>
      <c r="AB1398" s="118" t="str">
        <f t="shared" si="1021"/>
        <v/>
      </c>
      <c r="AC1398" s="712" t="str">
        <f>IF(AE1398="T2G","no charge",IF(AND(OR(PlanterYesMe="No",PlanterYesMe="N",PlanterYesMe="me"),H1398=""),"",IF(H1398="credit","NO install",IF(AND(K1398="",AE1398="me"),"EACH row",IF(AND(K1398="images",AE1398="me"),"EACH row",IF(D1398="","",IF(H1398="credit","",IF(AE1398="free","re-planting",IF(AE1398="me","   not ELP, by",IF(AND(OR(PlanterYesMe="Yes",PlanterYesMe="Y"),G1398&gt;0),(VLOOKUP(A1398,'Discount Lookup'!J:K,2)*G1398*(1-PlanterDiscount)*(1+PlanterDifficultyPercentage)),IF(AE1398="ELP",(VLOOKUP(A1398,'Discount Lookup'!J:K,2)*G1398*(1-PlanterDiscount)*(1+PlanterDifficultyPercentage)),IF(AE1398="free","re-planting",IF(G1398=0,"",IF(PlanterYesMe="",IF(AE1398="me","   not ELP, by",IF(AE1398="",IF(G1398&gt;0,(VLOOKUP(A1398,'Discount Lookup'!J:K,2)*G1398*(1-PlanterDiscount)*(1+PlanterDifficultyPercentage)),""),"")),"   not ELP, by"))))))))))))))</f>
        <v/>
      </c>
      <c r="AD1398" s="712"/>
      <c r="AE1398" s="513" t="str">
        <f t="shared" si="1022"/>
        <v/>
      </c>
      <c r="AF1398" s="713" t="str">
        <f t="shared" si="1023"/>
        <v/>
      </c>
      <c r="AG1398" s="713"/>
      <c r="AH1398" s="713"/>
      <c r="AI1398" s="112">
        <f>IF(H1398="credit",0,IF(AE1398="free",0,IF(AE1398="me",0,IF(G1398&gt;0,(VLOOKUP(A1398,'Discount Lookup'!J:K,2)*G1398),0))))</f>
        <v>0</v>
      </c>
      <c r="AJ1398" s="107" t="str">
        <f t="shared" ca="1" si="1024"/>
        <v/>
      </c>
      <c r="AK1398" s="714" t="str">
        <f t="shared" si="1025"/>
        <v/>
      </c>
      <c r="AL1398" s="714"/>
      <c r="AM1398" s="114" t="str">
        <f t="shared" si="1026"/>
        <v/>
      </c>
      <c r="AN1398" s="115"/>
      <c r="AO1398" s="116"/>
      <c r="AP1398" s="116"/>
      <c r="AQ1398" s="116"/>
      <c r="AR1398" s="116"/>
      <c r="AS1398" s="116"/>
      <c r="AT1398" s="116"/>
      <c r="AU1398" s="116"/>
      <c r="AV1398" s="78"/>
      <c r="AW1398" s="102"/>
      <c r="AX1398" s="78"/>
      <c r="AY1398" s="78"/>
      <c r="AZ1398" s="78"/>
      <c r="BA1398" s="78"/>
      <c r="BB1398" s="78"/>
      <c r="BC1398" s="78"/>
      <c r="BD1398" s="78"/>
      <c r="BE1398" s="465"/>
      <c r="BF1398" s="165" t="str">
        <f t="shared" si="1027"/>
        <v>https://www.google.com/search?tbm=isch&amp;q=Cotoneaster%20%3D%20Rockspray%20</v>
      </c>
      <c r="BG1398" s="165" t="str">
        <f t="shared" si="1028"/>
        <v>C</v>
      </c>
      <c r="BH1398" s="65"/>
      <c r="BI1398" s="65"/>
      <c r="BJ1398" s="65"/>
      <c r="BK1398" s="65"/>
      <c r="BL1398" s="99"/>
      <c r="BM1398" s="99"/>
      <c r="BN1398" s="99"/>
    </row>
    <row r="1399" spans="1:66" s="51" customFormat="1" ht="18" x14ac:dyDescent="0.25">
      <c r="A1399" s="507" t="s">
        <v>2368</v>
      </c>
      <c r="B1399" s="470"/>
      <c r="C1399" s="706"/>
      <c r="D1399" s="471" t="s">
        <v>2369</v>
      </c>
      <c r="E1399" s="472"/>
      <c r="F1399" s="472"/>
      <c r="G1399" s="472"/>
      <c r="H1399" s="622" t="s">
        <v>2370</v>
      </c>
      <c r="I1399" s="473" t="s">
        <v>349</v>
      </c>
      <c r="J1399" s="472"/>
      <c r="K1399" s="472"/>
      <c r="L1399" s="561"/>
      <c r="M1399" s="698" t="s">
        <v>5246</v>
      </c>
      <c r="N1399" s="692" t="str">
        <f>IF(AND(ISTEXT($A1399), ISERROR($A1399+0)), HYPERLINK($BF1399, "Images"), "")</f>
        <v>Images</v>
      </c>
      <c r="O1399" s="694" t="s">
        <v>5247</v>
      </c>
      <c r="P1399" s="475"/>
      <c r="Q1399" s="476"/>
      <c r="R1399" s="476"/>
      <c r="S1399" s="477"/>
      <c r="T1399" s="102">
        <f t="shared" si="1016"/>
        <v>0</v>
      </c>
      <c r="U1399" s="78" t="str">
        <f>IF(NOT(ISNUMBER(G1399)), "", VLOOKUP(A1399,'Discount Lookup'!D:E,2,FALSE)*G1399)</f>
        <v/>
      </c>
      <c r="V1399" s="78" t="str">
        <f>IF(NOT(ISNUMBER(G1399)), "", VLOOKUP(A1399,'Discount Lookup'!G:H,2,FALSE)*G1399)</f>
        <v/>
      </c>
      <c r="W1399" s="102">
        <f t="shared" si="1017"/>
        <v>0</v>
      </c>
      <c r="X1399" s="102" t="str">
        <f t="shared" si="1018"/>
        <v>White bloom</v>
      </c>
      <c r="Y1399" s="120" t="b">
        <f t="shared" si="1019"/>
        <v>0</v>
      </c>
      <c r="Z1399" s="117">
        <f t="shared" si="1020"/>
        <v>0</v>
      </c>
      <c r="AA1399" s="118"/>
      <c r="AB1399" s="118" t="str">
        <f t="shared" si="1021"/>
        <v/>
      </c>
      <c r="AC1399" s="712" t="str">
        <f>IF(AE1399="T2G","no charge",IF(AND(OR(PlanterYesMe="No",PlanterYesMe="N",PlanterYesMe="me"),H1399=""),"",IF(H1399="credit","NO install",IF(AND(K1399="",AE1399="me"),"EACH row",IF(AND(K1399="images",AE1399="me"),"EACH row",IF(D1399="","",IF(H1399="credit","",IF(AE1399="free","re-planting",IF(AE1399="me","   not ELP, by",IF(AND(OR(PlanterYesMe="Yes",PlanterYesMe="Y"),G1399&gt;0),(VLOOKUP(A1399,'Discount Lookup'!J:K,2)*G1399*(1-PlanterDiscount)*(1+PlanterDifficultyPercentage)),IF(AE1399="ELP",(VLOOKUP(A1399,'Discount Lookup'!J:K,2)*G1399*(1-PlanterDiscount)*(1+PlanterDifficultyPercentage)),IF(AE1399="free","re-planting",IF(G1399=0,"",IF(PlanterYesMe="",IF(AE1399="me","   not ELP, by",IF(AE1399="",IF(G1399&gt;0,(VLOOKUP(A1399,'Discount Lookup'!J:K,2)*G1399*(1-PlanterDiscount)*(1+PlanterDifficultyPercentage)),""),"")),"   not ELP, by"))))))))))))))</f>
        <v/>
      </c>
      <c r="AD1399" s="712"/>
      <c r="AE1399" s="513" t="str">
        <f t="shared" si="1022"/>
        <v/>
      </c>
      <c r="AF1399" s="713" t="str">
        <f t="shared" si="1023"/>
        <v/>
      </c>
      <c r="AG1399" s="713"/>
      <c r="AH1399" s="713"/>
      <c r="AI1399" s="112">
        <f>IF(H1399="credit",0,IF(AE1399="free",0,IF(AE1399="me",0,IF(G1399&gt;0,(VLOOKUP(A1399,'Discount Lookup'!J:K,2)*G1399),0))))</f>
        <v>0</v>
      </c>
      <c r="AJ1399" s="107" t="str">
        <f t="shared" ca="1" si="1024"/>
        <v/>
      </c>
      <c r="AK1399" s="714" t="str">
        <f t="shared" si="1025"/>
        <v/>
      </c>
      <c r="AL1399" s="714"/>
      <c r="AM1399" s="114" t="str">
        <f t="shared" si="1026"/>
        <v/>
      </c>
      <c r="AN1399" s="115"/>
      <c r="AO1399" s="116"/>
      <c r="AP1399" s="116"/>
      <c r="AQ1399" s="116"/>
      <c r="AR1399" s="116"/>
      <c r="AS1399" s="116"/>
      <c r="AT1399" s="116"/>
      <c r="AU1399" s="116"/>
      <c r="AV1399" s="78"/>
      <c r="AW1399" s="102"/>
      <c r="AX1399" s="78"/>
      <c r="AY1399" s="78"/>
      <c r="AZ1399" s="78"/>
      <c r="BA1399" s="78"/>
      <c r="BB1399" s="78"/>
      <c r="BC1399" s="78"/>
      <c r="BD1399" s="78"/>
      <c r="BE1399" s="465"/>
      <c r="BF1399" s="165" t="str">
        <f t="shared" si="1027"/>
        <v>https://www.google.com/search?tbm=isch&amp;q=Cotoneaster%20dammeri%20%27Coral%20Beauty%27%20Coral%20Beauty%20Cotoneaster</v>
      </c>
      <c r="BG1399" s="165" t="str">
        <f t="shared" si="1028"/>
        <v>C</v>
      </c>
      <c r="BH1399" s="65"/>
      <c r="BI1399" s="65"/>
      <c r="BJ1399" s="65"/>
      <c r="BK1399" s="65"/>
      <c r="BL1399" s="99"/>
      <c r="BM1399" s="99"/>
      <c r="BN1399" s="99"/>
    </row>
    <row r="1400" spans="1:66" s="51" customFormat="1" ht="15.75" x14ac:dyDescent="0.25">
      <c r="A1400" s="478">
        <v>1</v>
      </c>
      <c r="B1400" s="479" t="s">
        <v>291</v>
      </c>
      <c r="C1400" s="480"/>
      <c r="D1400" s="481" t="s">
        <v>310</v>
      </c>
      <c r="E1400" s="482">
        <v>7.95</v>
      </c>
      <c r="F1400" s="483" t="s">
        <v>292</v>
      </c>
      <c r="G1400" s="484">
        <v>0</v>
      </c>
      <c r="H1400" s="688" t="str">
        <f>IF(G1400=0,"",IF(F1400="Buy",IF(G1400=1,"plant","plants"),IF(F1400&gt;0.01,"warranty","Error")))</f>
        <v/>
      </c>
      <c r="I1400" s="485">
        <f>IF(H1400="free",0,IF(H1400="credit",((E1400*(F1400))*G1400*-1),IF(F1400="Buy",(E1400*G1400),((E1400*(1-F1400))*G1400))))</f>
        <v>0</v>
      </c>
      <c r="J1400" s="485">
        <f>IF(H1400="warranty",0,(I1400*(_xlfn.SINGLE(SalesTaxPercentage))))</f>
        <v>0</v>
      </c>
      <c r="K1400" s="715">
        <f t="shared" ref="K1400" si="1040">I1400+J1400</f>
        <v>0</v>
      </c>
      <c r="L1400" s="715"/>
      <c r="M1400" s="689" t="str">
        <f ca="1">IF(AND(G1400&gt;0,E1400=0),"WARNING - no PRICE inserted",IF(H1400="free","FREE ~ no charge this plant",IF(H1400="credit",CONCATENATE("-$",ROUND(K1400*(1-_xlfn.SINGLE(T2GDiscount))*-1,2)," CREDIT after discount"),IF(_xlfn.SINGLE(T2GDiscount)=0,"",IF(G1400=0,"",IF(F1400="Buy",CONCATENATE("$",ROUND(K1400*(1-_xlfn.SINGLE(T2GDiscount)),2)," with ",(_xlfn.SINGLE(T2GDiscount)*100),"% discount"),CONCATENATE("$",ROUND(K1400*(1-_xlfn.SINGLE(T2GDiscount)),2)," with ",((_xlfn.SINGLE(T2GDiscount)*100+F1400*100)-(_xlfn.SINGLE(T2GDiscount)*100*F1400)),IF(F1400&gt;0,"% discounts",IF(_xlfn.SINGLE(NoWarrantyDiscount)&gt;0,"% discounts","% discount")))))))))</f>
        <v/>
      </c>
      <c r="N1400" s="690"/>
      <c r="O1400" s="486"/>
      <c r="P1400" s="486"/>
      <c r="Q1400" s="486"/>
      <c r="R1400" s="486"/>
      <c r="S1400" s="486"/>
      <c r="T1400" s="102">
        <f t="shared" si="1016"/>
        <v>0</v>
      </c>
      <c r="U1400" s="78">
        <f>IF(NOT(ISNUMBER(G1400)), "", VLOOKUP(A1400,'Discount Lookup'!D:E,2,FALSE)*G1400)</f>
        <v>0</v>
      </c>
      <c r="V1400" s="78">
        <f>IF(NOT(ISNUMBER(G1400)), "", VLOOKUP(A1400,'Discount Lookup'!G:H,2,FALSE)*G1400)</f>
        <v>0</v>
      </c>
      <c r="W1400" s="102">
        <f t="shared" si="1017"/>
        <v>0</v>
      </c>
      <c r="X1400" s="102">
        <f t="shared" si="1018"/>
        <v>0</v>
      </c>
      <c r="Y1400" s="120" t="b">
        <f t="shared" si="1019"/>
        <v>0</v>
      </c>
      <c r="Z1400" s="117">
        <f t="shared" si="1020"/>
        <v>0</v>
      </c>
      <c r="AA1400" s="118"/>
      <c r="AB1400" s="118" t="str">
        <f t="shared" si="1021"/>
        <v/>
      </c>
      <c r="AC1400" s="712" t="str">
        <f>IF(AE1400="T2G","no charge",IF(AND(OR(PlanterYesMe="No",PlanterYesMe="N",PlanterYesMe="me"),H1400=""),"",IF(H1400="credit","NO install",IF(AND(K1400="",AE1400="me"),"EACH row",IF(AND(K1400="images",AE1400="me"),"EACH row",IF(D1400="","",IF(H1400="credit","",IF(AE1400="free","re-planting",IF(AE1400="me","   not ELP, by",IF(AND(OR(PlanterYesMe="Yes",PlanterYesMe="Y"),G1400&gt;0),(VLOOKUP(A1400,'Discount Lookup'!J:K,2)*G1400*(1-PlanterDiscount)*(1+PlanterDifficultyPercentage)),IF(AE1400="ELP",(VLOOKUP(A1400,'Discount Lookup'!J:K,2)*G1400*(1-PlanterDiscount)*(1+PlanterDifficultyPercentage)),IF(AE1400="free","re-planting",IF(G1400=0,"",IF(PlanterYesMe="",IF(AE1400="me","   not ELP, by",IF(AE1400="",IF(G1400&gt;0,(VLOOKUP(A1400,'Discount Lookup'!J:K,2)*G1400*(1-PlanterDiscount)*(1+PlanterDifficultyPercentage)),""),"")),"   not ELP, by"))))))))))))))</f>
        <v/>
      </c>
      <c r="AD1400" s="712"/>
      <c r="AE1400" s="513" t="str">
        <f t="shared" si="1022"/>
        <v/>
      </c>
      <c r="AF1400" s="713" t="str">
        <f t="shared" si="1023"/>
        <v/>
      </c>
      <c r="AG1400" s="713"/>
      <c r="AH1400" s="713"/>
      <c r="AI1400" s="112">
        <f>IF(H1400="credit",0,IF(AE1400="free",0,IF(AE1400="me",0,IF(G1400&gt;0,(VLOOKUP(A1400,'Discount Lookup'!J:K,2)*G1400),0))))</f>
        <v>0</v>
      </c>
      <c r="AJ1400" s="107" t="str">
        <f t="shared" ca="1" si="1024"/>
        <v/>
      </c>
      <c r="AK1400" s="714" t="str">
        <f t="shared" si="1025"/>
        <v/>
      </c>
      <c r="AL1400" s="714"/>
      <c r="AM1400" s="114" t="str">
        <f t="shared" si="1026"/>
        <v/>
      </c>
      <c r="AN1400" s="115"/>
      <c r="AO1400" s="116"/>
      <c r="AP1400" s="116"/>
      <c r="AQ1400" s="116"/>
      <c r="AR1400" s="116"/>
      <c r="AS1400" s="116"/>
      <c r="AT1400" s="116"/>
      <c r="AU1400" s="116"/>
      <c r="AV1400" s="78"/>
      <c r="AW1400" s="102"/>
      <c r="AX1400" s="78"/>
      <c r="AY1400" s="78"/>
      <c r="AZ1400" s="78"/>
      <c r="BA1400" s="78"/>
      <c r="BB1400" s="78"/>
      <c r="BC1400" s="78"/>
      <c r="BD1400" s="78"/>
      <c r="BE1400" s="465"/>
      <c r="BF1400" s="165" t="str">
        <f t="shared" si="1027"/>
        <v>https://www.google.com/search?tbm=isch&amp;q=1%20G1</v>
      </c>
      <c r="BG1400" s="165" t="str">
        <f t="shared" si="1028"/>
        <v>C</v>
      </c>
      <c r="BH1400" s="65"/>
      <c r="BI1400" s="65"/>
      <c r="BJ1400" s="65"/>
      <c r="BK1400" s="65"/>
      <c r="BL1400" s="99"/>
      <c r="BM1400" s="99"/>
      <c r="BN1400" s="99"/>
    </row>
    <row r="1401" spans="1:66" s="51" customFormat="1" ht="17.25" thickBot="1" x14ac:dyDescent="0.3">
      <c r="A1401" s="508" t="s">
        <v>2371</v>
      </c>
      <c r="B1401" s="487"/>
      <c r="C1401" s="707"/>
      <c r="D1401" s="487"/>
      <c r="E1401" s="487"/>
      <c r="F1401" s="488"/>
      <c r="G1401" s="489"/>
      <c r="H1401" s="487"/>
      <c r="I1401" s="490"/>
      <c r="J1401" s="490"/>
      <c r="K1401" s="491"/>
      <c r="L1401" s="547"/>
      <c r="M1401" s="528"/>
      <c r="N1401" s="492"/>
      <c r="O1401" s="493"/>
      <c r="P1401" s="494"/>
      <c r="Q1401" s="492"/>
      <c r="R1401" s="492"/>
      <c r="S1401" s="699" t="s">
        <v>5281</v>
      </c>
      <c r="T1401" s="102">
        <f t="shared" si="1016"/>
        <v>0</v>
      </c>
      <c r="U1401" s="78" t="str">
        <f>IF(NOT(ISNUMBER(G1401)), "", VLOOKUP(A1401,'Discount Lookup'!D:E,2,FALSE)*G1401)</f>
        <v/>
      </c>
      <c r="V1401" s="78" t="str">
        <f>IF(NOT(ISNUMBER(G1401)), "", VLOOKUP(A1401,'Discount Lookup'!G:H,2,FALSE)*G1401)</f>
        <v/>
      </c>
      <c r="W1401" s="102">
        <f t="shared" si="1017"/>
        <v>0</v>
      </c>
      <c r="X1401" s="102">
        <f t="shared" si="1018"/>
        <v>0</v>
      </c>
      <c r="Y1401" s="120" t="b">
        <f t="shared" si="1019"/>
        <v>0</v>
      </c>
      <c r="Z1401" s="117">
        <f t="shared" si="1020"/>
        <v>0</v>
      </c>
      <c r="AA1401" s="118"/>
      <c r="AB1401" s="118" t="str">
        <f t="shared" si="1021"/>
        <v/>
      </c>
      <c r="AC1401" s="712" t="str">
        <f>IF(AE1401="T2G","no charge",IF(AND(OR(PlanterYesMe="No",PlanterYesMe="N",PlanterYesMe="me"),H1401=""),"",IF(H1401="credit","NO install",IF(AND(K1401="",AE1401="me"),"EACH row",IF(AND(K1401="images",AE1401="me"),"EACH row",IF(D1401="","",IF(H1401="credit","",IF(AE1401="free","re-planting",IF(AE1401="me","   not ELP, by",IF(AND(OR(PlanterYesMe="Yes",PlanterYesMe="Y"),G1401&gt;0),(VLOOKUP(A1401,'Discount Lookup'!J:K,2)*G1401*(1-PlanterDiscount)*(1+PlanterDifficultyPercentage)),IF(AE1401="ELP",(VLOOKUP(A1401,'Discount Lookup'!J:K,2)*G1401*(1-PlanterDiscount)*(1+PlanterDifficultyPercentage)),IF(AE1401="free","re-planting",IF(G1401=0,"",IF(PlanterYesMe="",IF(AE1401="me","   not ELP, by",IF(AE1401="",IF(G1401&gt;0,(VLOOKUP(A1401,'Discount Lookup'!J:K,2)*G1401*(1-PlanterDiscount)*(1+PlanterDifficultyPercentage)),""),"")),"   not ELP, by"))))))))))))))</f>
        <v/>
      </c>
      <c r="AD1401" s="712"/>
      <c r="AE1401" s="513" t="str">
        <f t="shared" si="1022"/>
        <v/>
      </c>
      <c r="AF1401" s="713" t="str">
        <f t="shared" si="1023"/>
        <v/>
      </c>
      <c r="AG1401" s="713"/>
      <c r="AH1401" s="713"/>
      <c r="AI1401" s="112">
        <f>IF(H1401="credit",0,IF(AE1401="free",0,IF(AE1401="me",0,IF(G1401&gt;0,(VLOOKUP(A1401,'Discount Lookup'!J:K,2)*G1401),0))))</f>
        <v>0</v>
      </c>
      <c r="AJ1401" s="107" t="str">
        <f t="shared" ca="1" si="1024"/>
        <v/>
      </c>
      <c r="AK1401" s="714" t="str">
        <f t="shared" si="1025"/>
        <v/>
      </c>
      <c r="AL1401" s="714"/>
      <c r="AM1401" s="114" t="str">
        <f t="shared" si="1026"/>
        <v/>
      </c>
      <c r="AN1401" s="115"/>
      <c r="AO1401" s="116"/>
      <c r="AP1401" s="116"/>
      <c r="AQ1401" s="116"/>
      <c r="AR1401" s="116"/>
      <c r="AS1401" s="116"/>
      <c r="AT1401" s="116"/>
      <c r="AU1401" s="116"/>
      <c r="AV1401" s="78"/>
      <c r="AW1401" s="102"/>
      <c r="AX1401" s="78"/>
      <c r="AY1401" s="78"/>
      <c r="AZ1401" s="78"/>
      <c r="BA1401" s="78"/>
      <c r="BB1401" s="78"/>
      <c r="BC1401" s="78"/>
      <c r="BD1401" s="78"/>
      <c r="BE1401" s="465"/>
      <c r="BF1401" s="165" t="str">
        <f t="shared" si="1027"/>
        <v>https://www.google.com/search?tbm=isch&amp;q=Coral%20Beauty%20blooms%20followed%20by%20ornamental%20coral-red%20berries%2C%20against%20finely%20textured%20foliage%20</v>
      </c>
      <c r="BG1401" s="165" t="str">
        <f t="shared" si="1028"/>
        <v>C</v>
      </c>
      <c r="BH1401" s="65"/>
      <c r="BI1401" s="65"/>
      <c r="BJ1401" s="65"/>
      <c r="BK1401" s="65"/>
      <c r="BL1401" s="99"/>
      <c r="BM1401" s="99"/>
      <c r="BN1401" s="99"/>
    </row>
    <row r="1402" spans="1:66" s="51" customFormat="1" ht="18" x14ac:dyDescent="0.25">
      <c r="A1402" s="507" t="s">
        <v>2372</v>
      </c>
      <c r="B1402" s="470"/>
      <c r="C1402" s="706"/>
      <c r="D1402" s="471" t="s">
        <v>2373</v>
      </c>
      <c r="E1402" s="472"/>
      <c r="F1402" s="472"/>
      <c r="G1402" s="472"/>
      <c r="H1402" s="622" t="s">
        <v>2374</v>
      </c>
      <c r="I1402" s="473" t="s">
        <v>349</v>
      </c>
      <c r="J1402" s="472"/>
      <c r="K1402" s="472"/>
      <c r="L1402" s="561"/>
      <c r="M1402" s="698" t="s">
        <v>5246</v>
      </c>
      <c r="N1402" s="692" t="str">
        <f>IF(AND(ISTEXT($A1402), ISERROR($A1402+0)), HYPERLINK($BF1402, "Images"), "")</f>
        <v>Images</v>
      </c>
      <c r="O1402" s="694" t="s">
        <v>5247</v>
      </c>
      <c r="P1402" s="475"/>
      <c r="Q1402" s="476"/>
      <c r="R1402" s="476"/>
      <c r="S1402" s="477"/>
      <c r="T1402" s="102">
        <f t="shared" si="1016"/>
        <v>0</v>
      </c>
      <c r="U1402" s="78" t="str">
        <f>IF(NOT(ISNUMBER(G1402)), "", VLOOKUP(A1402,'Discount Lookup'!D:E,2,FALSE)*G1402)</f>
        <v/>
      </c>
      <c r="V1402" s="78" t="str">
        <f>IF(NOT(ISNUMBER(G1402)), "", VLOOKUP(A1402,'Discount Lookup'!G:H,2,FALSE)*G1402)</f>
        <v/>
      </c>
      <c r="W1402" s="102">
        <f t="shared" si="1017"/>
        <v>0</v>
      </c>
      <c r="X1402" s="102" t="str">
        <f t="shared" si="1018"/>
        <v>White bloom</v>
      </c>
      <c r="Y1402" s="120" t="b">
        <f t="shared" si="1019"/>
        <v>0</v>
      </c>
      <c r="Z1402" s="117">
        <f t="shared" si="1020"/>
        <v>0</v>
      </c>
      <c r="AA1402" s="118"/>
      <c r="AB1402" s="118" t="str">
        <f t="shared" si="1021"/>
        <v/>
      </c>
      <c r="AC1402" s="712" t="str">
        <f>IF(AE1402="T2G","no charge",IF(AND(OR(PlanterYesMe="No",PlanterYesMe="N",PlanterYesMe="me"),H1402=""),"",IF(H1402="credit","NO install",IF(AND(K1402="",AE1402="me"),"EACH row",IF(AND(K1402="images",AE1402="me"),"EACH row",IF(D1402="","",IF(H1402="credit","",IF(AE1402="free","re-planting",IF(AE1402="me","   not ELP, by",IF(AND(OR(PlanterYesMe="Yes",PlanterYesMe="Y"),G1402&gt;0),(VLOOKUP(A1402,'Discount Lookup'!J:K,2)*G1402*(1-PlanterDiscount)*(1+PlanterDifficultyPercentage)),IF(AE1402="ELP",(VLOOKUP(A1402,'Discount Lookup'!J:K,2)*G1402*(1-PlanterDiscount)*(1+PlanterDifficultyPercentage)),IF(AE1402="free","re-planting",IF(G1402=0,"",IF(PlanterYesMe="",IF(AE1402="me","   not ELP, by",IF(AE1402="",IF(G1402&gt;0,(VLOOKUP(A1402,'Discount Lookup'!J:K,2)*G1402*(1-PlanterDiscount)*(1+PlanterDifficultyPercentage)),""),"")),"   not ELP, by"))))))))))))))</f>
        <v/>
      </c>
      <c r="AD1402" s="712"/>
      <c r="AE1402" s="513" t="str">
        <f t="shared" si="1022"/>
        <v/>
      </c>
      <c r="AF1402" s="713" t="str">
        <f t="shared" si="1023"/>
        <v/>
      </c>
      <c r="AG1402" s="713"/>
      <c r="AH1402" s="713"/>
      <c r="AI1402" s="112">
        <f>IF(H1402="credit",0,IF(AE1402="free",0,IF(AE1402="me",0,IF(G1402&gt;0,(VLOOKUP(A1402,'Discount Lookup'!J:K,2)*G1402),0))))</f>
        <v>0</v>
      </c>
      <c r="AJ1402" s="107" t="str">
        <f t="shared" ca="1" si="1024"/>
        <v/>
      </c>
      <c r="AK1402" s="714" t="str">
        <f t="shared" si="1025"/>
        <v/>
      </c>
      <c r="AL1402" s="714"/>
      <c r="AM1402" s="114" t="str">
        <f t="shared" si="1026"/>
        <v/>
      </c>
      <c r="AN1402" s="115"/>
      <c r="AO1402" s="116"/>
      <c r="AP1402" s="116"/>
      <c r="AQ1402" s="116"/>
      <c r="AR1402" s="116"/>
      <c r="AS1402" s="116"/>
      <c r="AT1402" s="116"/>
      <c r="AU1402" s="116"/>
      <c r="AV1402" s="78"/>
      <c r="AW1402" s="102"/>
      <c r="AX1402" s="78"/>
      <c r="AY1402" s="78"/>
      <c r="AZ1402" s="78"/>
      <c r="BA1402" s="78"/>
      <c r="BB1402" s="78"/>
      <c r="BC1402" s="78"/>
      <c r="BD1402" s="78"/>
      <c r="BE1402" s="465"/>
      <c r="BF1402" s="165" t="str">
        <f t="shared" si="1027"/>
        <v>https://www.google.com/search?tbm=isch&amp;q=Cotoneaster%20salicifolius%20Willow%20Leaf%20Cotoneaster</v>
      </c>
      <c r="BG1402" s="165" t="str">
        <f t="shared" si="1028"/>
        <v>C</v>
      </c>
      <c r="BH1402" s="65"/>
      <c r="BI1402" s="65"/>
      <c r="BJ1402" s="65"/>
      <c r="BK1402" s="65"/>
      <c r="BL1402" s="99"/>
      <c r="BM1402" s="99"/>
      <c r="BN1402" s="99"/>
    </row>
    <row r="1403" spans="1:66" s="51" customFormat="1" ht="15.75" x14ac:dyDescent="0.25">
      <c r="A1403" s="478">
        <v>1</v>
      </c>
      <c r="B1403" s="479" t="s">
        <v>291</v>
      </c>
      <c r="C1403" s="480"/>
      <c r="D1403" s="481" t="s">
        <v>310</v>
      </c>
      <c r="E1403" s="482">
        <v>7.95</v>
      </c>
      <c r="F1403" s="483" t="s">
        <v>292</v>
      </c>
      <c r="G1403" s="484">
        <v>0</v>
      </c>
      <c r="H1403" s="688" t="str">
        <f>IF(G1403=0,"",IF(F1403="Buy",IF(G1403=1,"plant","plants"),IF(F1403&gt;0.01,"warranty","Error")))</f>
        <v/>
      </c>
      <c r="I1403" s="485">
        <f>IF(H1403="free",0,IF(H1403="credit",((E1403*(F1403))*G1403*-1),IF(F1403="Buy",(E1403*G1403),((E1403*(1-F1403))*G1403))))</f>
        <v>0</v>
      </c>
      <c r="J1403" s="485">
        <f>IF(H1403="warranty",0,(I1403*(_xlfn.SINGLE(SalesTaxPercentage))))</f>
        <v>0</v>
      </c>
      <c r="K1403" s="715">
        <f t="shared" ref="K1403" si="1041">I1403+J1403</f>
        <v>0</v>
      </c>
      <c r="L1403" s="715"/>
      <c r="M1403" s="689" t="str">
        <f ca="1">IF(AND(G1403&gt;0,E1403=0),"WARNING - no PRICE inserted",IF(H1403="free","FREE ~ no charge this plant",IF(H1403="credit",CONCATENATE("-$",ROUND(K1403*(1-_xlfn.SINGLE(T2GDiscount))*-1,2)," CREDIT after discount"),IF(_xlfn.SINGLE(T2GDiscount)=0,"",IF(G1403=0,"",IF(F1403="Buy",CONCATENATE("$",ROUND(K1403*(1-_xlfn.SINGLE(T2GDiscount)),2)," with ",(_xlfn.SINGLE(T2GDiscount)*100),"% discount"),CONCATENATE("$",ROUND(K1403*(1-_xlfn.SINGLE(T2GDiscount)),2)," with ",((_xlfn.SINGLE(T2GDiscount)*100+F1403*100)-(_xlfn.SINGLE(T2GDiscount)*100*F1403)),IF(F1403&gt;0,"% discounts",IF(_xlfn.SINGLE(NoWarrantyDiscount)&gt;0,"% discounts","% discount")))))))))</f>
        <v/>
      </c>
      <c r="N1403" s="690"/>
      <c r="O1403" s="486"/>
      <c r="P1403" s="486"/>
      <c r="Q1403" s="486"/>
      <c r="R1403" s="486"/>
      <c r="S1403" s="486"/>
      <c r="T1403" s="102">
        <f t="shared" si="1016"/>
        <v>0</v>
      </c>
      <c r="U1403" s="78">
        <f>IF(NOT(ISNUMBER(G1403)), "", VLOOKUP(A1403,'Discount Lookup'!D:E,2,FALSE)*G1403)</f>
        <v>0</v>
      </c>
      <c r="V1403" s="78">
        <f>IF(NOT(ISNUMBER(G1403)), "", VLOOKUP(A1403,'Discount Lookup'!G:H,2,FALSE)*G1403)</f>
        <v>0</v>
      </c>
      <c r="W1403" s="102">
        <f t="shared" si="1017"/>
        <v>0</v>
      </c>
      <c r="X1403" s="102">
        <f t="shared" si="1018"/>
        <v>0</v>
      </c>
      <c r="Y1403" s="120" t="b">
        <f t="shared" si="1019"/>
        <v>0</v>
      </c>
      <c r="Z1403" s="117">
        <f t="shared" si="1020"/>
        <v>0</v>
      </c>
      <c r="AA1403" s="118"/>
      <c r="AB1403" s="118" t="str">
        <f t="shared" si="1021"/>
        <v/>
      </c>
      <c r="AC1403" s="712" t="str">
        <f>IF(AE1403="T2G","no charge",IF(AND(OR(PlanterYesMe="No",PlanterYesMe="N",PlanterYesMe="me"),H1403=""),"",IF(H1403="credit","NO install",IF(AND(K1403="",AE1403="me"),"EACH row",IF(AND(K1403="images",AE1403="me"),"EACH row",IF(D1403="","",IF(H1403="credit","",IF(AE1403="free","re-planting",IF(AE1403="me","   not ELP, by",IF(AND(OR(PlanterYesMe="Yes",PlanterYesMe="Y"),G1403&gt;0),(VLOOKUP(A1403,'Discount Lookup'!J:K,2)*G1403*(1-PlanterDiscount)*(1+PlanterDifficultyPercentage)),IF(AE1403="ELP",(VLOOKUP(A1403,'Discount Lookup'!J:K,2)*G1403*(1-PlanterDiscount)*(1+PlanterDifficultyPercentage)),IF(AE1403="free","re-planting",IF(G1403=0,"",IF(PlanterYesMe="",IF(AE1403="me","   not ELP, by",IF(AE1403="",IF(G1403&gt;0,(VLOOKUP(A1403,'Discount Lookup'!J:K,2)*G1403*(1-PlanterDiscount)*(1+PlanterDifficultyPercentage)),""),"")),"   not ELP, by"))))))))))))))</f>
        <v/>
      </c>
      <c r="AD1403" s="712"/>
      <c r="AE1403" s="513" t="str">
        <f t="shared" si="1022"/>
        <v/>
      </c>
      <c r="AF1403" s="713" t="str">
        <f t="shared" si="1023"/>
        <v/>
      </c>
      <c r="AG1403" s="713"/>
      <c r="AH1403" s="713"/>
      <c r="AI1403" s="112">
        <f>IF(H1403="credit",0,IF(AE1403="free",0,IF(AE1403="me",0,IF(G1403&gt;0,(VLOOKUP(A1403,'Discount Lookup'!J:K,2)*G1403),0))))</f>
        <v>0</v>
      </c>
      <c r="AJ1403" s="107" t="str">
        <f t="shared" ca="1" si="1024"/>
        <v/>
      </c>
      <c r="AK1403" s="714" t="str">
        <f t="shared" si="1025"/>
        <v/>
      </c>
      <c r="AL1403" s="714"/>
      <c r="AM1403" s="114" t="str">
        <f t="shared" si="1026"/>
        <v/>
      </c>
      <c r="AN1403" s="115"/>
      <c r="AO1403" s="116"/>
      <c r="AP1403" s="116"/>
      <c r="AQ1403" s="116"/>
      <c r="AR1403" s="116"/>
      <c r="AS1403" s="116"/>
      <c r="AT1403" s="116"/>
      <c r="AU1403" s="116"/>
      <c r="AV1403" s="78"/>
      <c r="AW1403" s="102"/>
      <c r="AX1403" s="78"/>
      <c r="AY1403" s="78"/>
      <c r="AZ1403" s="78"/>
      <c r="BA1403" s="78"/>
      <c r="BB1403" s="78"/>
      <c r="BC1403" s="78"/>
      <c r="BD1403" s="78"/>
      <c r="BE1403" s="465"/>
      <c r="BF1403" s="165" t="str">
        <f t="shared" si="1027"/>
        <v>https://www.google.com/search?tbm=isch&amp;q=1%20G1</v>
      </c>
      <c r="BG1403" s="165" t="str">
        <f t="shared" si="1028"/>
        <v>C</v>
      </c>
      <c r="BH1403" s="65"/>
      <c r="BI1403" s="65"/>
      <c r="BJ1403" s="65"/>
      <c r="BK1403" s="65"/>
      <c r="BL1403" s="99"/>
      <c r="BM1403" s="99"/>
      <c r="BN1403" s="99"/>
    </row>
    <row r="1404" spans="1:66" s="51" customFormat="1" ht="16.5" x14ac:dyDescent="0.25">
      <c r="A1404" s="508" t="s">
        <v>2375</v>
      </c>
      <c r="B1404" s="487"/>
      <c r="C1404" s="707"/>
      <c r="D1404" s="487"/>
      <c r="E1404" s="487"/>
      <c r="F1404" s="488"/>
      <c r="G1404" s="489"/>
      <c r="H1404" s="487"/>
      <c r="I1404" s="490"/>
      <c r="J1404" s="490"/>
      <c r="K1404" s="491"/>
      <c r="L1404" s="547"/>
      <c r="M1404" s="528"/>
      <c r="N1404" s="492"/>
      <c r="O1404" s="493"/>
      <c r="P1404" s="494"/>
      <c r="Q1404" s="492"/>
      <c r="R1404" s="492"/>
      <c r="S1404" s="699" t="s">
        <v>5282</v>
      </c>
      <c r="T1404" s="102">
        <f t="shared" si="1016"/>
        <v>0</v>
      </c>
      <c r="U1404" s="78" t="str">
        <f>IF(NOT(ISNUMBER(G1404)), "", VLOOKUP(A1404,'Discount Lookup'!D:E,2,FALSE)*G1404)</f>
        <v/>
      </c>
      <c r="V1404" s="78" t="str">
        <f>IF(NOT(ISNUMBER(G1404)), "", VLOOKUP(A1404,'Discount Lookup'!G:H,2,FALSE)*G1404)</f>
        <v/>
      </c>
      <c r="W1404" s="102">
        <f t="shared" si="1017"/>
        <v>0</v>
      </c>
      <c r="X1404" s="102">
        <f t="shared" si="1018"/>
        <v>0</v>
      </c>
      <c r="Y1404" s="120" t="b">
        <f t="shared" si="1019"/>
        <v>0</v>
      </c>
      <c r="Z1404" s="117">
        <f t="shared" si="1020"/>
        <v>0</v>
      </c>
      <c r="AA1404" s="118"/>
      <c r="AB1404" s="118" t="str">
        <f t="shared" si="1021"/>
        <v/>
      </c>
      <c r="AC1404" s="712" t="str">
        <f>IF(AE1404="T2G","no charge",IF(AND(OR(PlanterYesMe="No",PlanterYesMe="N",PlanterYesMe="me"),H1404=""),"",IF(H1404="credit","NO install",IF(AND(K1404="",AE1404="me"),"EACH row",IF(AND(K1404="images",AE1404="me"),"EACH row",IF(D1404="","",IF(H1404="credit","",IF(AE1404="free","re-planting",IF(AE1404="me","   not ELP, by",IF(AND(OR(PlanterYesMe="Yes",PlanterYesMe="Y"),G1404&gt;0),(VLOOKUP(A1404,'Discount Lookup'!J:K,2)*G1404*(1-PlanterDiscount)*(1+PlanterDifficultyPercentage)),IF(AE1404="ELP",(VLOOKUP(A1404,'Discount Lookup'!J:K,2)*G1404*(1-PlanterDiscount)*(1+PlanterDifficultyPercentage)),IF(AE1404="free","re-planting",IF(G1404=0,"",IF(PlanterYesMe="",IF(AE1404="me","   not ELP, by",IF(AE1404="",IF(G1404&gt;0,(VLOOKUP(A1404,'Discount Lookup'!J:K,2)*G1404*(1-PlanterDiscount)*(1+PlanterDifficultyPercentage)),""),"")),"   not ELP, by"))))))))))))))</f>
        <v/>
      </c>
      <c r="AD1404" s="712"/>
      <c r="AE1404" s="513" t="str">
        <f t="shared" si="1022"/>
        <v/>
      </c>
      <c r="AF1404" s="713" t="str">
        <f t="shared" si="1023"/>
        <v/>
      </c>
      <c r="AG1404" s="713"/>
      <c r="AH1404" s="713"/>
      <c r="AI1404" s="112">
        <f>IF(H1404="credit",0,IF(AE1404="free",0,IF(AE1404="me",0,IF(G1404&gt;0,(VLOOKUP(A1404,'Discount Lookup'!J:K,2)*G1404),0))))</f>
        <v>0</v>
      </c>
      <c r="AJ1404" s="107" t="str">
        <f t="shared" ca="1" si="1024"/>
        <v/>
      </c>
      <c r="AK1404" s="714" t="str">
        <f t="shared" si="1025"/>
        <v/>
      </c>
      <c r="AL1404" s="714"/>
      <c r="AM1404" s="114" t="str">
        <f t="shared" si="1026"/>
        <v/>
      </c>
      <c r="AN1404" s="115"/>
      <c r="AO1404" s="116"/>
      <c r="AP1404" s="116"/>
      <c r="AQ1404" s="116"/>
      <c r="AR1404" s="116"/>
      <c r="AS1404" s="116"/>
      <c r="AT1404" s="116"/>
      <c r="AU1404" s="116"/>
      <c r="AV1404" s="78"/>
      <c r="AW1404" s="102"/>
      <c r="AX1404" s="78"/>
      <c r="AY1404" s="78"/>
      <c r="AZ1404" s="78"/>
      <c r="BA1404" s="78"/>
      <c r="BB1404" s="78"/>
      <c r="BC1404" s="78"/>
      <c r="BD1404" s="78"/>
      <c r="BE1404" s="465"/>
      <c r="BF1404" s="165" t="str">
        <f t="shared" si="1027"/>
        <v>https://www.google.com/search?tbm=isch&amp;q=Willow%20Leaf%20foliage%20resembles%20a%20Willow.%20Scarlet-red%20berries%20after%20bloom.%20Reddish-Purple%20winter%20foliage%20</v>
      </c>
      <c r="BG1404" s="165" t="str">
        <f t="shared" si="1028"/>
        <v>W</v>
      </c>
      <c r="BH1404" s="65"/>
      <c r="BI1404" s="65"/>
      <c r="BJ1404" s="65"/>
      <c r="BK1404" s="65"/>
      <c r="BL1404" s="99"/>
      <c r="BM1404" s="99"/>
      <c r="BN1404" s="99"/>
    </row>
    <row r="1405" spans="1:66" s="51" customFormat="1" ht="19.5" thickBot="1" x14ac:dyDescent="0.3">
      <c r="A1405" s="686" t="s">
        <v>392</v>
      </c>
      <c r="B1405" s="73"/>
      <c r="C1405" s="708"/>
      <c r="D1405" s="73"/>
      <c r="E1405" s="73"/>
      <c r="F1405" s="496"/>
      <c r="G1405" s="73"/>
      <c r="H1405" s="73"/>
      <c r="I1405" s="73"/>
      <c r="J1405" s="497" t="s">
        <v>357</v>
      </c>
      <c r="K1405" s="498"/>
      <c r="L1405" s="562"/>
      <c r="M1405" s="73"/>
      <c r="N1405"/>
      <c r="O1405"/>
      <c r="P1405"/>
      <c r="Q1405"/>
      <c r="R1405"/>
      <c r="S1405"/>
      <c r="T1405" s="102">
        <f t="shared" si="1016"/>
        <v>0</v>
      </c>
      <c r="U1405" s="78" t="str">
        <f>IF(NOT(ISNUMBER(G1405)), "", VLOOKUP(A1405,'Discount Lookup'!D:E,2,FALSE)*G1405)</f>
        <v/>
      </c>
      <c r="V1405" s="78" t="str">
        <f>IF(NOT(ISNUMBER(G1405)), "", VLOOKUP(A1405,'Discount Lookup'!G:H,2,FALSE)*G1405)</f>
        <v/>
      </c>
      <c r="W1405" s="102">
        <f t="shared" si="1017"/>
        <v>0</v>
      </c>
      <c r="X1405" s="102">
        <f t="shared" si="1018"/>
        <v>0</v>
      </c>
      <c r="Y1405" s="120" t="b">
        <f t="shared" si="1019"/>
        <v>0</v>
      </c>
      <c r="Z1405" s="117">
        <f t="shared" si="1020"/>
        <v>0</v>
      </c>
      <c r="AA1405" s="118"/>
      <c r="AB1405" s="118" t="str">
        <f t="shared" si="1021"/>
        <v/>
      </c>
      <c r="AC1405" s="712" t="str">
        <f>IF(AE1405="T2G","no charge",IF(AND(OR(PlanterYesMe="No",PlanterYesMe="N",PlanterYesMe="me"),H1405=""),"",IF(H1405="credit","NO install",IF(AND(K1405="",AE1405="me"),"EACH row",IF(AND(K1405="images",AE1405="me"),"EACH row",IF(D1405="","",IF(H1405="credit","",IF(AE1405="free","re-planting",IF(AE1405="me","   not ELP, by",IF(AND(OR(PlanterYesMe="Yes",PlanterYesMe="Y"),G1405&gt;0),(VLOOKUP(A1405,'Discount Lookup'!J:K,2)*G1405*(1-PlanterDiscount)*(1+PlanterDifficultyPercentage)),IF(AE1405="ELP",(VLOOKUP(A1405,'Discount Lookup'!J:K,2)*G1405*(1-PlanterDiscount)*(1+PlanterDifficultyPercentage)),IF(AE1405="free","re-planting",IF(G1405=0,"",IF(PlanterYesMe="",IF(AE1405="me","   not ELP, by",IF(AE1405="",IF(G1405&gt;0,(VLOOKUP(A1405,'Discount Lookup'!J:K,2)*G1405*(1-PlanterDiscount)*(1+PlanterDifficultyPercentage)),""),"")),"   not ELP, by"))))))))))))))</f>
        <v/>
      </c>
      <c r="AD1405" s="712"/>
      <c r="AE1405" s="513" t="str">
        <f t="shared" si="1022"/>
        <v/>
      </c>
      <c r="AF1405" s="713" t="str">
        <f t="shared" si="1023"/>
        <v/>
      </c>
      <c r="AG1405" s="713"/>
      <c r="AH1405" s="713"/>
      <c r="AI1405" s="112">
        <f>IF(H1405="credit",0,IF(AE1405="free",0,IF(AE1405="me",0,IF(G1405&gt;0,(VLOOKUP(A1405,'Discount Lookup'!J:K,2)*G1405),0))))</f>
        <v>0</v>
      </c>
      <c r="AJ1405" s="107" t="str">
        <f t="shared" ca="1" si="1024"/>
        <v/>
      </c>
      <c r="AK1405" s="714" t="str">
        <f t="shared" si="1025"/>
        <v/>
      </c>
      <c r="AL1405" s="714"/>
      <c r="AM1405" s="114" t="str">
        <f t="shared" si="1026"/>
        <v/>
      </c>
      <c r="AN1405" s="115"/>
      <c r="AO1405" s="116"/>
      <c r="AP1405" s="116"/>
      <c r="AQ1405" s="116"/>
      <c r="AR1405" s="116"/>
      <c r="AS1405" s="116"/>
      <c r="AT1405" s="116"/>
      <c r="AU1405" s="116"/>
      <c r="AV1405" s="78"/>
      <c r="AW1405" s="102"/>
      <c r="AX1405" s="78"/>
      <c r="AY1405" s="78"/>
      <c r="AZ1405" s="78"/>
      <c r="BA1405" s="78"/>
      <c r="BB1405" s="78"/>
      <c r="BC1405" s="78"/>
      <c r="BD1405" s="78"/>
      <c r="BE1405" s="465"/>
      <c r="BF1405" s="165" t="str">
        <f t="shared" si="1027"/>
        <v>https://www.google.com/search?tbm=isch&amp;q=Crataegus%20%3D%20Hawthorn%20</v>
      </c>
      <c r="BG1405" s="165" t="str">
        <f t="shared" si="1028"/>
        <v>C</v>
      </c>
      <c r="BH1405" s="65"/>
      <c r="BI1405" s="65"/>
      <c r="BJ1405" s="65"/>
      <c r="BK1405" s="65"/>
      <c r="BL1405" s="99"/>
      <c r="BM1405" s="99"/>
      <c r="BN1405" s="99"/>
    </row>
    <row r="1406" spans="1:66" s="51" customFormat="1" ht="18" x14ac:dyDescent="0.25">
      <c r="A1406" s="623" t="s">
        <v>2376</v>
      </c>
      <c r="B1406" s="624"/>
      <c r="C1406" s="709"/>
      <c r="D1406" s="625" t="s">
        <v>2377</v>
      </c>
      <c r="E1406" s="626"/>
      <c r="F1406" s="626"/>
      <c r="G1406" s="626"/>
      <c r="H1406" s="622" t="s">
        <v>1506</v>
      </c>
      <c r="I1406" s="627" t="s">
        <v>349</v>
      </c>
      <c r="J1406" s="628"/>
      <c r="K1406" s="628"/>
      <c r="L1406" s="629"/>
      <c r="M1406" s="700" t="s">
        <v>5241</v>
      </c>
      <c r="N1406" s="693" t="str">
        <f>IF(AND(ISTEXT($A1406), ISERROR($A1406+0)), HYPERLINK($BF1406, "Images"), "")</f>
        <v>Images</v>
      </c>
      <c r="O1406" s="695" t="s">
        <v>5247</v>
      </c>
      <c r="P1406" s="630"/>
      <c r="Q1406" s="631"/>
      <c r="R1406" s="632"/>
      <c r="S1406" s="633"/>
      <c r="T1406" s="102">
        <f t="shared" si="1016"/>
        <v>0</v>
      </c>
      <c r="U1406" s="78" t="str">
        <f>IF(NOT(ISNUMBER(G1406)), "", VLOOKUP(A1406,'Discount Lookup'!D:E,2,FALSE)*G1406)</f>
        <v/>
      </c>
      <c r="V1406" s="78" t="str">
        <f>IF(NOT(ISNUMBER(G1406)), "", VLOOKUP(A1406,'Discount Lookup'!G:H,2,FALSE)*G1406)</f>
        <v/>
      </c>
      <c r="W1406" s="102">
        <f t="shared" si="1017"/>
        <v>0</v>
      </c>
      <c r="X1406" s="102" t="str">
        <f t="shared" si="1018"/>
        <v>White bloom</v>
      </c>
      <c r="Y1406" s="120" t="b">
        <f t="shared" si="1019"/>
        <v>0</v>
      </c>
      <c r="Z1406" s="117">
        <f t="shared" si="1020"/>
        <v>0</v>
      </c>
      <c r="AA1406" s="118"/>
      <c r="AB1406" s="118" t="str">
        <f t="shared" si="1021"/>
        <v/>
      </c>
      <c r="AC1406" s="712" t="str">
        <f>IF(AE1406="T2G","no charge",IF(AND(OR(PlanterYesMe="No",PlanterYesMe="N",PlanterYesMe="me"),H1406=""),"",IF(H1406="credit","NO install",IF(AND(K1406="",AE1406="me"),"EACH row",IF(AND(K1406="images",AE1406="me"),"EACH row",IF(D1406="","",IF(H1406="credit","",IF(AE1406="free","re-planting",IF(AE1406="me","   not ELP, by",IF(AND(OR(PlanterYesMe="Yes",PlanterYesMe="Y"),G1406&gt;0),(VLOOKUP(A1406,'Discount Lookup'!J:K,2)*G1406*(1-PlanterDiscount)*(1+PlanterDifficultyPercentage)),IF(AE1406="ELP",(VLOOKUP(A1406,'Discount Lookup'!J:K,2)*G1406*(1-PlanterDiscount)*(1+PlanterDifficultyPercentage)),IF(AE1406="free","re-planting",IF(G1406=0,"",IF(PlanterYesMe="",IF(AE1406="me","   not ELP, by",IF(AE1406="",IF(G1406&gt;0,(VLOOKUP(A1406,'Discount Lookup'!J:K,2)*G1406*(1-PlanterDiscount)*(1+PlanterDifficultyPercentage)),""),"")),"   not ELP, by"))))))))))))))</f>
        <v/>
      </c>
      <c r="AD1406" s="712"/>
      <c r="AE1406" s="513" t="str">
        <f t="shared" si="1022"/>
        <v/>
      </c>
      <c r="AF1406" s="713" t="str">
        <f t="shared" si="1023"/>
        <v/>
      </c>
      <c r="AG1406" s="713"/>
      <c r="AH1406" s="713"/>
      <c r="AI1406" s="112">
        <f>IF(H1406="credit",0,IF(AE1406="free",0,IF(AE1406="me",0,IF(G1406&gt;0,(VLOOKUP(A1406,'Discount Lookup'!J:K,2)*G1406),0))))</f>
        <v>0</v>
      </c>
      <c r="AJ1406" s="107" t="str">
        <f t="shared" ca="1" si="1024"/>
        <v/>
      </c>
      <c r="AK1406" s="714" t="str">
        <f t="shared" si="1025"/>
        <v/>
      </c>
      <c r="AL1406" s="714"/>
      <c r="AM1406" s="114" t="str">
        <f t="shared" si="1026"/>
        <v/>
      </c>
      <c r="AN1406" s="115"/>
      <c r="AO1406" s="116"/>
      <c r="AP1406" s="116"/>
      <c r="AQ1406" s="116"/>
      <c r="AR1406" s="116"/>
      <c r="AS1406" s="116"/>
      <c r="AT1406" s="116"/>
      <c r="AU1406" s="116"/>
      <c r="AV1406" s="78"/>
      <c r="AW1406" s="102"/>
      <c r="AX1406" s="78"/>
      <c r="AY1406" s="78"/>
      <c r="AZ1406" s="78"/>
      <c r="BA1406" s="78"/>
      <c r="BB1406" s="78"/>
      <c r="BC1406" s="78"/>
      <c r="BD1406" s="78"/>
      <c r="BE1406" s="465"/>
      <c r="BF1406" s="165" t="str">
        <f t="shared" si="1027"/>
        <v>https://www.google.com/search?tbm=isch&amp;q=Crataegus%20viridis%20%27Winter%20King%27%20Winter%20King%20Green%20Hawthorne</v>
      </c>
      <c r="BG1406" s="165" t="str">
        <f t="shared" si="1028"/>
        <v>C</v>
      </c>
      <c r="BH1406" s="65"/>
      <c r="BI1406" s="65"/>
      <c r="BJ1406" s="65"/>
      <c r="BK1406" s="65"/>
      <c r="BL1406" s="99"/>
      <c r="BM1406" s="99"/>
      <c r="BN1406" s="99"/>
    </row>
    <row r="1407" spans="1:66" s="51" customFormat="1" ht="15.75" x14ac:dyDescent="0.25">
      <c r="A1407" s="634">
        <v>7</v>
      </c>
      <c r="B1407" s="635" t="s">
        <v>291</v>
      </c>
      <c r="C1407" s="636" t="s">
        <v>5166</v>
      </c>
      <c r="D1407" s="637" t="s">
        <v>299</v>
      </c>
      <c r="E1407" s="638">
        <v>100.95</v>
      </c>
      <c r="F1407" s="639" t="s">
        <v>292</v>
      </c>
      <c r="G1407" s="484">
        <v>0</v>
      </c>
      <c r="H1407" s="691" t="str">
        <f>IF(G1407=0,"",IF(F1407="Buy",IF(G1407=1,"plant","plants"),IF(F1407&gt;0.01,"warranty","Error")))</f>
        <v/>
      </c>
      <c r="I1407" s="640">
        <f>IF(H1407="free",0,IF(H1407="credit",((E1407*(F1407))*G1407*-1),IF(F1407="Buy",(E1407*G1407),((E1407*(1-F1407))*G1407))))</f>
        <v>0</v>
      </c>
      <c r="J1407" s="640">
        <f>IF(H1407="warranty",0,(I1407*(_xlfn.SINGLE(SalesTaxPercentage))))</f>
        <v>0</v>
      </c>
      <c r="K1407" s="716">
        <f t="shared" ref="K1407" si="1042">I1407+J1407</f>
        <v>0</v>
      </c>
      <c r="L1407" s="716"/>
      <c r="M1407" s="689" t="str">
        <f ca="1">IF(AND(G1407&gt;0,E1407=0),"WARNING - no PRICE inserted",IF(H1407="free","FREE ~ no charge this plant",IF(H1407="credit",CONCATENATE("-$",ROUND(K1407*(1-_xlfn.SINGLE(T2GDiscount))*-1,2)," CREDIT after discount"),IF(_xlfn.SINGLE(T2GDiscount)=0,"",IF(G1407=0,"",IF(F1407="Buy",CONCATENATE("$",ROUND(K1407*(1-_xlfn.SINGLE(T2GDiscount)),2)," with ",(_xlfn.SINGLE(T2GDiscount)*100),"% discount"),CONCATENATE("$",ROUND(K1407*(1-_xlfn.SINGLE(T2GDiscount)),2)," with ",((_xlfn.SINGLE(T2GDiscount)*100+F1407*100)-(_xlfn.SINGLE(T2GDiscount)*100*F1407)),IF(F1407&gt;0,"% discounts",IF(_xlfn.SINGLE(NoWarrantyDiscount)&gt;0,"% discounts","% discount")))))))))</f>
        <v/>
      </c>
      <c r="N1407" s="690"/>
      <c r="O1407" s="486"/>
      <c r="P1407" s="486"/>
      <c r="Q1407" s="486"/>
      <c r="R1407" s="486"/>
      <c r="S1407" s="486"/>
      <c r="T1407" s="102">
        <f t="shared" si="1016"/>
        <v>0</v>
      </c>
      <c r="U1407" s="78">
        <f>IF(NOT(ISNUMBER(G1407)), "", VLOOKUP(A1407,'Discount Lookup'!D:E,2,FALSE)*G1407)</f>
        <v>0</v>
      </c>
      <c r="V1407" s="78">
        <f>IF(NOT(ISNUMBER(G1407)), "", VLOOKUP(A1407,'Discount Lookup'!G:H,2,FALSE)*G1407)</f>
        <v>0</v>
      </c>
      <c r="W1407" s="102">
        <f t="shared" si="1017"/>
        <v>0</v>
      </c>
      <c r="X1407" s="102">
        <f t="shared" si="1018"/>
        <v>0</v>
      </c>
      <c r="Y1407" s="120" t="b">
        <f t="shared" si="1019"/>
        <v>0</v>
      </c>
      <c r="Z1407" s="117">
        <f t="shared" si="1020"/>
        <v>0</v>
      </c>
      <c r="AA1407" s="118"/>
      <c r="AB1407" s="118" t="str">
        <f t="shared" si="1021"/>
        <v/>
      </c>
      <c r="AC1407" s="712" t="str">
        <f>IF(AE1407="T2G","no charge",IF(AND(OR(PlanterYesMe="No",PlanterYesMe="N",PlanterYesMe="me"),H1407=""),"",IF(H1407="credit","NO install",IF(AND(K1407="",AE1407="me"),"EACH row",IF(AND(K1407="images",AE1407="me"),"EACH row",IF(D1407="","",IF(H1407="credit","",IF(AE1407="free","re-planting",IF(AE1407="me","   not ELP, by",IF(AND(OR(PlanterYesMe="Yes",PlanterYesMe="Y"),G1407&gt;0),(VLOOKUP(A1407,'Discount Lookup'!J:K,2)*G1407*(1-PlanterDiscount)*(1+PlanterDifficultyPercentage)),IF(AE1407="ELP",(VLOOKUP(A1407,'Discount Lookup'!J:K,2)*G1407*(1-PlanterDiscount)*(1+PlanterDifficultyPercentage)),IF(AE1407="free","re-planting",IF(G1407=0,"",IF(PlanterYesMe="",IF(AE1407="me","   not ELP, by",IF(AE1407="",IF(G1407&gt;0,(VLOOKUP(A1407,'Discount Lookup'!J:K,2)*G1407*(1-PlanterDiscount)*(1+PlanterDifficultyPercentage)),""),"")),"   not ELP, by"))))))))))))))</f>
        <v/>
      </c>
      <c r="AD1407" s="712"/>
      <c r="AE1407" s="513" t="str">
        <f t="shared" si="1022"/>
        <v/>
      </c>
      <c r="AF1407" s="713" t="str">
        <f t="shared" si="1023"/>
        <v/>
      </c>
      <c r="AG1407" s="713"/>
      <c r="AH1407" s="713"/>
      <c r="AI1407" s="112">
        <f>IF(H1407="credit",0,IF(AE1407="free",0,IF(AE1407="me",0,IF(G1407&gt;0,(VLOOKUP(A1407,'Discount Lookup'!J:K,2)*G1407),0))))</f>
        <v>0</v>
      </c>
      <c r="AJ1407" s="107" t="str">
        <f t="shared" ca="1" si="1024"/>
        <v/>
      </c>
      <c r="AK1407" s="714" t="str">
        <f t="shared" si="1025"/>
        <v/>
      </c>
      <c r="AL1407" s="714"/>
      <c r="AM1407" s="114" t="str">
        <f t="shared" si="1026"/>
        <v/>
      </c>
      <c r="AN1407" s="115"/>
      <c r="AO1407" s="116"/>
      <c r="AP1407" s="116"/>
      <c r="AQ1407" s="116"/>
      <c r="AR1407" s="116"/>
      <c r="AS1407" s="116"/>
      <c r="AT1407" s="116"/>
      <c r="AU1407" s="116"/>
      <c r="AV1407" s="78"/>
      <c r="AW1407" s="102"/>
      <c r="AX1407" s="78"/>
      <c r="AY1407" s="78"/>
      <c r="AZ1407" s="78"/>
      <c r="BA1407" s="78"/>
      <c r="BB1407" s="78"/>
      <c r="BC1407" s="78"/>
      <c r="BD1407" s="78"/>
      <c r="BE1407" s="465"/>
      <c r="BF1407" s="165" t="str">
        <f t="shared" si="1027"/>
        <v>https://www.google.com/search?tbm=isch&amp;q=7%20G4</v>
      </c>
      <c r="BG1407" s="165" t="str">
        <f t="shared" si="1028"/>
        <v>C</v>
      </c>
      <c r="BH1407" s="65"/>
      <c r="BI1407" s="65"/>
      <c r="BJ1407" s="65"/>
      <c r="BK1407" s="65"/>
      <c r="BL1407" s="99"/>
      <c r="BM1407" s="99"/>
      <c r="BN1407" s="99"/>
    </row>
    <row r="1408" spans="1:66" s="51" customFormat="1" ht="27" x14ac:dyDescent="0.25">
      <c r="A1408" s="634">
        <v>10</v>
      </c>
      <c r="B1408" s="635" t="s">
        <v>291</v>
      </c>
      <c r="C1408" s="636" t="s">
        <v>2378</v>
      </c>
      <c r="D1408" s="637" t="s">
        <v>299</v>
      </c>
      <c r="E1408" s="638">
        <v>137.94999999999999</v>
      </c>
      <c r="F1408" s="639" t="s">
        <v>292</v>
      </c>
      <c r="G1408" s="484">
        <v>0</v>
      </c>
      <c r="H1408" s="691" t="str">
        <f>IF(G1408=0,"",IF(F1408="Buy",IF(G1408=1,"plant","plants"),IF(F1408&gt;0.01,"warranty","Error")))</f>
        <v/>
      </c>
      <c r="I1408" s="640">
        <f>IF(H1408="free",0,IF(H1408="credit",((E1408*(F1408))*G1408*-1),IF(F1408="Buy",(E1408*G1408),((E1408*(1-F1408))*G1408))))</f>
        <v>0</v>
      </c>
      <c r="J1408" s="640">
        <f>IF(H1408="warranty",0,(I1408*(_xlfn.SINGLE(SalesTaxPercentage))))</f>
        <v>0</v>
      </c>
      <c r="K1408" s="716">
        <f t="shared" ref="K1408" si="1043">I1408+J1408</f>
        <v>0</v>
      </c>
      <c r="L1408" s="716"/>
      <c r="M1408" s="689" t="str">
        <f ca="1">IF(AND(G1408&gt;0,E1408=0),"WARNING - no PRICE inserted",IF(H1408="free","FREE ~ no charge this plant",IF(H1408="credit",CONCATENATE("-$",ROUND(K1408*(1-_xlfn.SINGLE(T2GDiscount))*-1,2)," CREDIT after discount"),IF(_xlfn.SINGLE(T2GDiscount)=0,"",IF(G1408=0,"",IF(F1408="Buy",CONCATENATE("$",ROUND(K1408*(1-_xlfn.SINGLE(T2GDiscount)),2)," with ",(_xlfn.SINGLE(T2GDiscount)*100),"% discount"),CONCATENATE("$",ROUND(K1408*(1-_xlfn.SINGLE(T2GDiscount)),2)," with ",((_xlfn.SINGLE(T2GDiscount)*100+F1408*100)-(_xlfn.SINGLE(T2GDiscount)*100*F1408)),IF(F1408&gt;0,"% discounts",IF(_xlfn.SINGLE(NoWarrantyDiscount)&gt;0,"% discounts","% discount")))))))))</f>
        <v/>
      </c>
      <c r="N1408" s="690"/>
      <c r="O1408" s="486"/>
      <c r="P1408" s="486"/>
      <c r="Q1408" s="486"/>
      <c r="R1408" s="486"/>
      <c r="S1408" s="486"/>
      <c r="T1408" s="102">
        <f t="shared" si="1016"/>
        <v>0</v>
      </c>
      <c r="U1408" s="78">
        <f>IF(NOT(ISNUMBER(G1408)), "", VLOOKUP(A1408,'Discount Lookup'!D:E,2,FALSE)*G1408)</f>
        <v>0</v>
      </c>
      <c r="V1408" s="78">
        <f>IF(NOT(ISNUMBER(G1408)), "", VLOOKUP(A1408,'Discount Lookup'!G:H,2,FALSE)*G1408)</f>
        <v>0</v>
      </c>
      <c r="W1408" s="102">
        <f t="shared" si="1017"/>
        <v>0</v>
      </c>
      <c r="X1408" s="102">
        <f t="shared" si="1018"/>
        <v>0</v>
      </c>
      <c r="Y1408" s="120" t="b">
        <f t="shared" si="1019"/>
        <v>0</v>
      </c>
      <c r="Z1408" s="117">
        <f t="shared" si="1020"/>
        <v>0</v>
      </c>
      <c r="AA1408" s="118"/>
      <c r="AB1408" s="118" t="str">
        <f t="shared" si="1021"/>
        <v/>
      </c>
      <c r="AC1408" s="712" t="str">
        <f>IF(AE1408="T2G","no charge",IF(AND(OR(PlanterYesMe="No",PlanterYesMe="N",PlanterYesMe="me"),H1408=""),"",IF(H1408="credit","NO install",IF(AND(K1408="",AE1408="me"),"EACH row",IF(AND(K1408="images",AE1408="me"),"EACH row",IF(D1408="","",IF(H1408="credit","",IF(AE1408="free","re-planting",IF(AE1408="me","   not ELP, by",IF(AND(OR(PlanterYesMe="Yes",PlanterYesMe="Y"),G1408&gt;0),(VLOOKUP(A1408,'Discount Lookup'!J:K,2)*G1408*(1-PlanterDiscount)*(1+PlanterDifficultyPercentage)),IF(AE1408="ELP",(VLOOKUP(A1408,'Discount Lookup'!J:K,2)*G1408*(1-PlanterDiscount)*(1+PlanterDifficultyPercentage)),IF(AE1408="free","re-planting",IF(G1408=0,"",IF(PlanterYesMe="",IF(AE1408="me","   not ELP, by",IF(AE1408="",IF(G1408&gt;0,(VLOOKUP(A1408,'Discount Lookup'!J:K,2)*G1408*(1-PlanterDiscount)*(1+PlanterDifficultyPercentage)),""),"")),"   not ELP, by"))))))))))))))</f>
        <v/>
      </c>
      <c r="AD1408" s="712"/>
      <c r="AE1408" s="513" t="str">
        <f t="shared" si="1022"/>
        <v/>
      </c>
      <c r="AF1408" s="713" t="str">
        <f t="shared" si="1023"/>
        <v/>
      </c>
      <c r="AG1408" s="713"/>
      <c r="AH1408" s="713"/>
      <c r="AI1408" s="112">
        <f>IF(H1408="credit",0,IF(AE1408="free",0,IF(AE1408="me",0,IF(G1408&gt;0,(VLOOKUP(A1408,'Discount Lookup'!J:K,2)*G1408),0))))</f>
        <v>0</v>
      </c>
      <c r="AJ1408" s="107" t="str">
        <f t="shared" ca="1" si="1024"/>
        <v/>
      </c>
      <c r="AK1408" s="714" t="str">
        <f t="shared" si="1025"/>
        <v/>
      </c>
      <c r="AL1408" s="714"/>
      <c r="AM1408" s="114" t="str">
        <f t="shared" si="1026"/>
        <v/>
      </c>
      <c r="AN1408" s="115"/>
      <c r="AO1408" s="116"/>
      <c r="AP1408" s="116"/>
      <c r="AQ1408" s="116"/>
      <c r="AR1408" s="116"/>
      <c r="AS1408" s="116"/>
      <c r="AT1408" s="116"/>
      <c r="AU1408" s="116"/>
      <c r="AV1408" s="78"/>
      <c r="AW1408" s="102"/>
      <c r="AX1408" s="78"/>
      <c r="AY1408" s="78"/>
      <c r="AZ1408" s="78"/>
      <c r="BA1408" s="78"/>
      <c r="BB1408" s="78"/>
      <c r="BC1408" s="78"/>
      <c r="BD1408" s="78"/>
      <c r="BE1408" s="465"/>
      <c r="BF1408" s="165" t="str">
        <f t="shared" si="1027"/>
        <v>https://www.google.com/search?tbm=isch&amp;q=10%20G4</v>
      </c>
      <c r="BG1408" s="165" t="str">
        <f t="shared" si="1028"/>
        <v>C</v>
      </c>
      <c r="BH1408" s="65"/>
      <c r="BI1408" s="65"/>
      <c r="BJ1408" s="65"/>
      <c r="BK1408" s="65"/>
      <c r="BL1408" s="99"/>
      <c r="BM1408" s="99"/>
      <c r="BN1408" s="99"/>
    </row>
    <row r="1409" spans="1:66" s="51" customFormat="1" ht="15.75" x14ac:dyDescent="0.25">
      <c r="A1409" s="634">
        <v>15</v>
      </c>
      <c r="B1409" s="635" t="s">
        <v>291</v>
      </c>
      <c r="C1409" s="636" t="s">
        <v>4599</v>
      </c>
      <c r="D1409" s="637" t="s">
        <v>299</v>
      </c>
      <c r="E1409" s="638">
        <v>171.95</v>
      </c>
      <c r="F1409" s="639" t="s">
        <v>292</v>
      </c>
      <c r="G1409" s="484">
        <v>0</v>
      </c>
      <c r="H1409" s="691" t="str">
        <f>IF(G1409=0,"",IF(F1409="Buy",IF(G1409=1,"plant","plants"),IF(F1409&gt;0.01,"warranty","Error")))</f>
        <v/>
      </c>
      <c r="I1409" s="640">
        <f>IF(H1409="free",0,IF(H1409="credit",((E1409*(F1409))*G1409*-1),IF(F1409="Buy",(E1409*G1409),((E1409*(1-F1409))*G1409))))</f>
        <v>0</v>
      </c>
      <c r="J1409" s="640">
        <f>IF(H1409="warranty",0,(I1409*(_xlfn.SINGLE(SalesTaxPercentage))))</f>
        <v>0</v>
      </c>
      <c r="K1409" s="716">
        <f t="shared" ref="K1409" si="1044">I1409+J1409</f>
        <v>0</v>
      </c>
      <c r="L1409" s="716"/>
      <c r="M1409" s="689" t="str">
        <f ca="1">IF(AND(G1409&gt;0,E1409=0),"WARNING - no PRICE inserted",IF(H1409="free","FREE ~ no charge this plant",IF(H1409="credit",CONCATENATE("-$",ROUND(K1409*(1-_xlfn.SINGLE(T2GDiscount))*-1,2)," CREDIT after discount"),IF(_xlfn.SINGLE(T2GDiscount)=0,"",IF(G1409=0,"",IF(F1409="Buy",CONCATENATE("$",ROUND(K1409*(1-_xlfn.SINGLE(T2GDiscount)),2)," with ",(_xlfn.SINGLE(T2GDiscount)*100),"% discount"),CONCATENATE("$",ROUND(K1409*(1-_xlfn.SINGLE(T2GDiscount)),2)," with ",((_xlfn.SINGLE(T2GDiscount)*100+F1409*100)-(_xlfn.SINGLE(T2GDiscount)*100*F1409)),IF(F1409&gt;0,"% discounts",IF(_xlfn.SINGLE(NoWarrantyDiscount)&gt;0,"% discounts","% discount")))))))))</f>
        <v/>
      </c>
      <c r="N1409" s="690"/>
      <c r="O1409" s="486"/>
      <c r="P1409" s="486"/>
      <c r="Q1409" s="486"/>
      <c r="R1409" s="486"/>
      <c r="S1409" s="486"/>
      <c r="T1409" s="102">
        <f t="shared" si="1016"/>
        <v>0</v>
      </c>
      <c r="U1409" s="78">
        <f>IF(NOT(ISNUMBER(G1409)), "", VLOOKUP(A1409,'Discount Lookup'!D:E,2,FALSE)*G1409)</f>
        <v>0</v>
      </c>
      <c r="V1409" s="78">
        <f>IF(NOT(ISNUMBER(G1409)), "", VLOOKUP(A1409,'Discount Lookup'!G:H,2,FALSE)*G1409)</f>
        <v>0</v>
      </c>
      <c r="W1409" s="102">
        <f t="shared" si="1017"/>
        <v>0</v>
      </c>
      <c r="X1409" s="102">
        <f t="shared" si="1018"/>
        <v>0</v>
      </c>
      <c r="Y1409" s="120" t="b">
        <f t="shared" si="1019"/>
        <v>0</v>
      </c>
      <c r="Z1409" s="117">
        <f t="shared" si="1020"/>
        <v>0</v>
      </c>
      <c r="AA1409" s="118"/>
      <c r="AB1409" s="118" t="str">
        <f t="shared" si="1021"/>
        <v/>
      </c>
      <c r="AC1409" s="712" t="str">
        <f>IF(AE1409="T2G","no charge",IF(AND(OR(PlanterYesMe="No",PlanterYesMe="N",PlanterYesMe="me"),H1409=""),"",IF(H1409="credit","NO install",IF(AND(K1409="",AE1409="me"),"EACH row",IF(AND(K1409="images",AE1409="me"),"EACH row",IF(D1409="","",IF(H1409="credit","",IF(AE1409="free","re-planting",IF(AE1409="me","   not ELP, by",IF(AND(OR(PlanterYesMe="Yes",PlanterYesMe="Y"),G1409&gt;0),(VLOOKUP(A1409,'Discount Lookup'!J:K,2)*G1409*(1-PlanterDiscount)*(1+PlanterDifficultyPercentage)),IF(AE1409="ELP",(VLOOKUP(A1409,'Discount Lookup'!J:K,2)*G1409*(1-PlanterDiscount)*(1+PlanterDifficultyPercentage)),IF(AE1409="free","re-planting",IF(G1409=0,"",IF(PlanterYesMe="",IF(AE1409="me","   not ELP, by",IF(AE1409="",IF(G1409&gt;0,(VLOOKUP(A1409,'Discount Lookup'!J:K,2)*G1409*(1-PlanterDiscount)*(1+PlanterDifficultyPercentage)),""),"")),"   not ELP, by"))))))))))))))</f>
        <v/>
      </c>
      <c r="AD1409" s="712"/>
      <c r="AE1409" s="513" t="str">
        <f t="shared" si="1022"/>
        <v/>
      </c>
      <c r="AF1409" s="713" t="str">
        <f t="shared" si="1023"/>
        <v/>
      </c>
      <c r="AG1409" s="713"/>
      <c r="AH1409" s="713"/>
      <c r="AI1409" s="112">
        <f>IF(H1409="credit",0,IF(AE1409="free",0,IF(AE1409="me",0,IF(G1409&gt;0,(VLOOKUP(A1409,'Discount Lookup'!J:K,2)*G1409),0))))</f>
        <v>0</v>
      </c>
      <c r="AJ1409" s="107" t="str">
        <f t="shared" ca="1" si="1024"/>
        <v/>
      </c>
      <c r="AK1409" s="714" t="str">
        <f t="shared" si="1025"/>
        <v/>
      </c>
      <c r="AL1409" s="714"/>
      <c r="AM1409" s="114" t="str">
        <f t="shared" si="1026"/>
        <v/>
      </c>
      <c r="AN1409" s="115"/>
      <c r="AO1409" s="116"/>
      <c r="AP1409" s="116"/>
      <c r="AQ1409" s="116"/>
      <c r="AR1409" s="116"/>
      <c r="AS1409" s="116"/>
      <c r="AT1409" s="116"/>
      <c r="AU1409" s="116"/>
      <c r="AV1409" s="78"/>
      <c r="AW1409" s="102"/>
      <c r="AX1409" s="78"/>
      <c r="AY1409" s="78"/>
      <c r="AZ1409" s="78"/>
      <c r="BA1409" s="78"/>
      <c r="BB1409" s="78"/>
      <c r="BC1409" s="78"/>
      <c r="BD1409" s="78"/>
      <c r="BE1409" s="465"/>
      <c r="BF1409" s="165" t="str">
        <f t="shared" si="1027"/>
        <v>https://www.google.com/search?tbm=isch&amp;q=15%20G4</v>
      </c>
      <c r="BG1409" s="165" t="str">
        <f t="shared" si="1028"/>
        <v>C</v>
      </c>
      <c r="BH1409" s="65"/>
      <c r="BI1409" s="65"/>
      <c r="BJ1409" s="65"/>
      <c r="BK1409" s="65"/>
      <c r="BL1409" s="99"/>
      <c r="BM1409" s="99"/>
      <c r="BN1409" s="99"/>
    </row>
    <row r="1410" spans="1:66" s="51" customFormat="1" ht="16.5" x14ac:dyDescent="0.25">
      <c r="A1410" s="641" t="s">
        <v>2379</v>
      </c>
      <c r="B1410" s="642"/>
      <c r="C1410" s="710"/>
      <c r="D1410" s="643"/>
      <c r="E1410" s="643"/>
      <c r="F1410" s="644"/>
      <c r="G1410" s="645"/>
      <c r="H1410" s="646"/>
      <c r="I1410" s="647"/>
      <c r="J1410" s="648"/>
      <c r="K1410" s="649"/>
      <c r="L1410" s="650"/>
      <c r="M1410" s="650"/>
      <c r="N1410" s="644"/>
      <c r="O1410" s="644"/>
      <c r="P1410" s="644"/>
      <c r="Q1410" s="644"/>
      <c r="R1410" s="644"/>
      <c r="S1410" s="701" t="s">
        <v>5251</v>
      </c>
      <c r="T1410" s="102">
        <f t="shared" si="1016"/>
        <v>0</v>
      </c>
      <c r="U1410" s="78" t="str">
        <f>IF(NOT(ISNUMBER(G1410)), "", VLOOKUP(A1410,'Discount Lookup'!D:E,2,FALSE)*G1410)</f>
        <v/>
      </c>
      <c r="V1410" s="78" t="str">
        <f>IF(NOT(ISNUMBER(G1410)), "", VLOOKUP(A1410,'Discount Lookup'!G:H,2,FALSE)*G1410)</f>
        <v/>
      </c>
      <c r="W1410" s="102">
        <f t="shared" si="1017"/>
        <v>0</v>
      </c>
      <c r="X1410" s="102">
        <f t="shared" si="1018"/>
        <v>0</v>
      </c>
      <c r="Y1410" s="120" t="b">
        <f t="shared" si="1019"/>
        <v>0</v>
      </c>
      <c r="Z1410" s="117">
        <f t="shared" si="1020"/>
        <v>0</v>
      </c>
      <c r="AA1410" s="118"/>
      <c r="AB1410" s="118" t="str">
        <f t="shared" si="1021"/>
        <v/>
      </c>
      <c r="AC1410" s="712" t="str">
        <f>IF(AE1410="T2G","no charge",IF(AND(OR(PlanterYesMe="No",PlanterYesMe="N",PlanterYesMe="me"),H1410=""),"",IF(H1410="credit","NO install",IF(AND(K1410="",AE1410="me"),"EACH row",IF(AND(K1410="images",AE1410="me"),"EACH row",IF(D1410="","",IF(H1410="credit","",IF(AE1410="free","re-planting",IF(AE1410="me","   not ELP, by",IF(AND(OR(PlanterYesMe="Yes",PlanterYesMe="Y"),G1410&gt;0),(VLOOKUP(A1410,'Discount Lookup'!J:K,2)*G1410*(1-PlanterDiscount)*(1+PlanterDifficultyPercentage)),IF(AE1410="ELP",(VLOOKUP(A1410,'Discount Lookup'!J:K,2)*G1410*(1-PlanterDiscount)*(1+PlanterDifficultyPercentage)),IF(AE1410="free","re-planting",IF(G1410=0,"",IF(PlanterYesMe="",IF(AE1410="me","   not ELP, by",IF(AE1410="",IF(G1410&gt;0,(VLOOKUP(A1410,'Discount Lookup'!J:K,2)*G1410*(1-PlanterDiscount)*(1+PlanterDifficultyPercentage)),""),"")),"   not ELP, by"))))))))))))))</f>
        <v/>
      </c>
      <c r="AD1410" s="712"/>
      <c r="AE1410" s="513" t="str">
        <f t="shared" si="1022"/>
        <v/>
      </c>
      <c r="AF1410" s="713" t="str">
        <f t="shared" si="1023"/>
        <v/>
      </c>
      <c r="AG1410" s="713"/>
      <c r="AH1410" s="713"/>
      <c r="AI1410" s="112">
        <f>IF(H1410="credit",0,IF(AE1410="free",0,IF(AE1410="me",0,IF(G1410&gt;0,(VLOOKUP(A1410,'Discount Lookup'!J:K,2)*G1410),0))))</f>
        <v>0</v>
      </c>
      <c r="AJ1410" s="107" t="str">
        <f t="shared" ca="1" si="1024"/>
        <v/>
      </c>
      <c r="AK1410" s="714" t="str">
        <f t="shared" si="1025"/>
        <v/>
      </c>
      <c r="AL1410" s="714"/>
      <c r="AM1410" s="114" t="str">
        <f t="shared" si="1026"/>
        <v/>
      </c>
      <c r="AN1410" s="115"/>
      <c r="AO1410" s="116"/>
      <c r="AP1410" s="116"/>
      <c r="AQ1410" s="116"/>
      <c r="AR1410" s="116"/>
      <c r="AS1410" s="116"/>
      <c r="AT1410" s="116"/>
      <c r="AU1410" s="116"/>
      <c r="AV1410" s="78"/>
      <c r="AW1410" s="102"/>
      <c r="AX1410" s="78"/>
      <c r="AY1410" s="78"/>
      <c r="AZ1410" s="78"/>
      <c r="BA1410" s="78"/>
      <c r="BB1410" s="78"/>
      <c r="BC1410" s="78"/>
      <c r="BD1410" s="78"/>
      <c r="BE1410" s="465"/>
      <c r="BF1410" s="165" t="str">
        <f t="shared" si="1027"/>
        <v>https://www.google.com/search?tbm=isch&amp;q=Winter%20King%20sports%20abundant%20persistent%20red%20berries%2C%20distinctive%20Silvery-Grey%20exfoliating%20bark%2C%20and%20Yellow-Purplish-Red%20fall%20foliage%20</v>
      </c>
      <c r="BG1410" s="165" t="str">
        <f t="shared" si="1028"/>
        <v>W</v>
      </c>
      <c r="BH1410" s="65"/>
      <c r="BI1410" s="65"/>
      <c r="BJ1410" s="65"/>
      <c r="BK1410" s="65"/>
      <c r="BL1410" s="99"/>
      <c r="BM1410" s="99"/>
      <c r="BN1410" s="99"/>
    </row>
    <row r="1411" spans="1:66" s="51" customFormat="1" ht="19.5" thickBot="1" x14ac:dyDescent="0.3">
      <c r="A1411" s="686" t="s">
        <v>394</v>
      </c>
      <c r="B1411" s="73"/>
      <c r="C1411" s="708"/>
      <c r="D1411" s="73"/>
      <c r="E1411" s="73"/>
      <c r="F1411" s="496"/>
      <c r="G1411" s="73"/>
      <c r="H1411" s="73"/>
      <c r="I1411" s="73"/>
      <c r="J1411" s="497" t="s">
        <v>357</v>
      </c>
      <c r="K1411" s="498"/>
      <c r="L1411" s="562"/>
      <c r="M1411" s="73"/>
      <c r="N1411"/>
      <c r="O1411"/>
      <c r="P1411"/>
      <c r="Q1411"/>
      <c r="R1411"/>
      <c r="S1411"/>
      <c r="T1411" s="102">
        <f t="shared" si="1016"/>
        <v>0</v>
      </c>
      <c r="U1411" s="78" t="str">
        <f>IF(NOT(ISNUMBER(G1411)), "", VLOOKUP(A1411,'Discount Lookup'!D:E,2,FALSE)*G1411)</f>
        <v/>
      </c>
      <c r="V1411" s="78" t="str">
        <f>IF(NOT(ISNUMBER(G1411)), "", VLOOKUP(A1411,'Discount Lookup'!G:H,2,FALSE)*G1411)</f>
        <v/>
      </c>
      <c r="W1411" s="102">
        <f t="shared" si="1017"/>
        <v>0</v>
      </c>
      <c r="X1411" s="102">
        <f t="shared" si="1018"/>
        <v>0</v>
      </c>
      <c r="Y1411" s="120" t="b">
        <f t="shared" si="1019"/>
        <v>0</v>
      </c>
      <c r="Z1411" s="117">
        <f t="shared" si="1020"/>
        <v>0</v>
      </c>
      <c r="AA1411" s="118"/>
      <c r="AB1411" s="118" t="str">
        <f t="shared" si="1021"/>
        <v/>
      </c>
      <c r="AC1411" s="712" t="str">
        <f>IF(AE1411="T2G","no charge",IF(AND(OR(PlanterYesMe="No",PlanterYesMe="N",PlanterYesMe="me"),H1411=""),"",IF(H1411="credit","NO install",IF(AND(K1411="",AE1411="me"),"EACH row",IF(AND(K1411="images",AE1411="me"),"EACH row",IF(D1411="","",IF(H1411="credit","",IF(AE1411="free","re-planting",IF(AE1411="me","   not ELP, by",IF(AND(OR(PlanterYesMe="Yes",PlanterYesMe="Y"),G1411&gt;0),(VLOOKUP(A1411,'Discount Lookup'!J:K,2)*G1411*(1-PlanterDiscount)*(1+PlanterDifficultyPercentage)),IF(AE1411="ELP",(VLOOKUP(A1411,'Discount Lookup'!J:K,2)*G1411*(1-PlanterDiscount)*(1+PlanterDifficultyPercentage)),IF(AE1411="free","re-planting",IF(G1411=0,"",IF(PlanterYesMe="",IF(AE1411="me","   not ELP, by",IF(AE1411="",IF(G1411&gt;0,(VLOOKUP(A1411,'Discount Lookup'!J:K,2)*G1411*(1-PlanterDiscount)*(1+PlanterDifficultyPercentage)),""),"")),"   not ELP, by"))))))))))))))</f>
        <v/>
      </c>
      <c r="AD1411" s="712"/>
      <c r="AE1411" s="513" t="str">
        <f t="shared" si="1022"/>
        <v/>
      </c>
      <c r="AF1411" s="713" t="str">
        <f t="shared" si="1023"/>
        <v/>
      </c>
      <c r="AG1411" s="713"/>
      <c r="AH1411" s="713"/>
      <c r="AI1411" s="112">
        <f>IF(H1411="credit",0,IF(AE1411="free",0,IF(AE1411="me",0,IF(G1411&gt;0,(VLOOKUP(A1411,'Discount Lookup'!J:K,2)*G1411),0))))</f>
        <v>0</v>
      </c>
      <c r="AJ1411" s="107" t="str">
        <f t="shared" ca="1" si="1024"/>
        <v/>
      </c>
      <c r="AK1411" s="714" t="str">
        <f t="shared" si="1025"/>
        <v/>
      </c>
      <c r="AL1411" s="714"/>
      <c r="AM1411" s="114" t="str">
        <f t="shared" si="1026"/>
        <v/>
      </c>
      <c r="AN1411" s="115"/>
      <c r="AO1411" s="116"/>
      <c r="AP1411" s="116"/>
      <c r="AQ1411" s="116"/>
      <c r="AR1411" s="116"/>
      <c r="AS1411" s="116"/>
      <c r="AT1411" s="116"/>
      <c r="AU1411" s="116"/>
      <c r="AV1411" s="78"/>
      <c r="AW1411" s="102"/>
      <c r="AX1411" s="78"/>
      <c r="AY1411" s="78"/>
      <c r="AZ1411" s="78"/>
      <c r="BA1411" s="78"/>
      <c r="BB1411" s="78"/>
      <c r="BC1411" s="78"/>
      <c r="BD1411" s="78"/>
      <c r="BE1411" s="465"/>
      <c r="BF1411" s="165" t="str">
        <f t="shared" si="1027"/>
        <v>https://www.google.com/search?tbm=isch&amp;q=Cryptomeria%20%3D%20Japanese%20Cedar%20</v>
      </c>
      <c r="BG1411" s="165" t="str">
        <f t="shared" si="1028"/>
        <v>C</v>
      </c>
      <c r="BH1411" s="65"/>
      <c r="BI1411" s="65"/>
      <c r="BJ1411" s="65"/>
      <c r="BK1411" s="65"/>
      <c r="BL1411" s="99"/>
      <c r="BM1411" s="99"/>
      <c r="BN1411" s="99"/>
    </row>
    <row r="1412" spans="1:66" s="51" customFormat="1" ht="18" x14ac:dyDescent="0.25">
      <c r="A1412" s="507" t="s">
        <v>316</v>
      </c>
      <c r="B1412" s="470"/>
      <c r="C1412" s="706"/>
      <c r="D1412" s="471" t="s">
        <v>317</v>
      </c>
      <c r="E1412" s="472"/>
      <c r="F1412" s="472"/>
      <c r="G1412" s="472"/>
      <c r="H1412" s="622" t="s">
        <v>318</v>
      </c>
      <c r="I1412" s="473" t="s">
        <v>431</v>
      </c>
      <c r="J1412" s="472"/>
      <c r="K1412" s="472"/>
      <c r="L1412" s="561"/>
      <c r="M1412" s="698" t="s">
        <v>5240</v>
      </c>
      <c r="N1412" s="692" t="str">
        <f>IF(AND(ISTEXT($A1412), ISERROR($A1412+0)), HYPERLINK($BF1412, "Images"), "")</f>
        <v>Images</v>
      </c>
      <c r="O1412" s="694" t="s">
        <v>5247</v>
      </c>
      <c r="P1412" s="475"/>
      <c r="Q1412" s="476"/>
      <c r="R1412" s="476"/>
      <c r="S1412" s="477"/>
      <c r="T1412" s="102">
        <f t="shared" si="1016"/>
        <v>0</v>
      </c>
      <c r="U1412" s="78" t="str">
        <f>IF(NOT(ISNUMBER(G1412)), "", VLOOKUP(A1412,'Discount Lookup'!D:E,2,FALSE)*G1412)</f>
        <v/>
      </c>
      <c r="V1412" s="78" t="str">
        <f>IF(NOT(ISNUMBER(G1412)), "", VLOOKUP(A1412,'Discount Lookup'!G:H,2,FALSE)*G1412)</f>
        <v/>
      </c>
      <c r="W1412" s="102">
        <f t="shared" si="1017"/>
        <v>0</v>
      </c>
      <c r="X1412" s="102" t="str">
        <f t="shared" si="1018"/>
        <v>Dark Green foliage</v>
      </c>
      <c r="Y1412" s="120" t="b">
        <f t="shared" si="1019"/>
        <v>0</v>
      </c>
      <c r="Z1412" s="117">
        <f t="shared" si="1020"/>
        <v>0</v>
      </c>
      <c r="AA1412" s="118"/>
      <c r="AB1412" s="118" t="str">
        <f t="shared" si="1021"/>
        <v/>
      </c>
      <c r="AC1412" s="712" t="str">
        <f>IF(AE1412="T2G","no charge",IF(AND(OR(PlanterYesMe="No",PlanterYesMe="N",PlanterYesMe="me"),H1412=""),"",IF(H1412="credit","NO install",IF(AND(K1412="",AE1412="me"),"EACH row",IF(AND(K1412="images",AE1412="me"),"EACH row",IF(D1412="","",IF(H1412="credit","",IF(AE1412="free","re-planting",IF(AE1412="me","   not ELP, by",IF(AND(OR(PlanterYesMe="Yes",PlanterYesMe="Y"),G1412&gt;0),(VLOOKUP(A1412,'Discount Lookup'!J:K,2)*G1412*(1-PlanterDiscount)*(1+PlanterDifficultyPercentage)),IF(AE1412="ELP",(VLOOKUP(A1412,'Discount Lookup'!J:K,2)*G1412*(1-PlanterDiscount)*(1+PlanterDifficultyPercentage)),IF(AE1412="free","re-planting",IF(G1412=0,"",IF(PlanterYesMe="",IF(AE1412="me","   not ELP, by",IF(AE1412="",IF(G1412&gt;0,(VLOOKUP(A1412,'Discount Lookup'!J:K,2)*G1412*(1-PlanterDiscount)*(1+PlanterDifficultyPercentage)),""),"")),"   not ELP, by"))))))))))))))</f>
        <v/>
      </c>
      <c r="AD1412" s="712"/>
      <c r="AE1412" s="513" t="str">
        <f t="shared" si="1022"/>
        <v/>
      </c>
      <c r="AF1412" s="713" t="str">
        <f t="shared" si="1023"/>
        <v/>
      </c>
      <c r="AG1412" s="713"/>
      <c r="AH1412" s="713"/>
      <c r="AI1412" s="112">
        <f>IF(H1412="credit",0,IF(AE1412="free",0,IF(AE1412="me",0,IF(G1412&gt;0,(VLOOKUP(A1412,'Discount Lookup'!J:K,2)*G1412),0))))</f>
        <v>0</v>
      </c>
      <c r="AJ1412" s="107" t="str">
        <f t="shared" ca="1" si="1024"/>
        <v/>
      </c>
      <c r="AK1412" s="714" t="str">
        <f t="shared" si="1025"/>
        <v/>
      </c>
      <c r="AL1412" s="714"/>
      <c r="AM1412" s="114" t="str">
        <f t="shared" si="1026"/>
        <v/>
      </c>
      <c r="AN1412" s="115"/>
      <c r="AO1412" s="116"/>
      <c r="AP1412" s="116"/>
      <c r="AQ1412" s="116"/>
      <c r="AR1412" s="116"/>
      <c r="AS1412" s="116"/>
      <c r="AT1412" s="116"/>
      <c r="AU1412" s="116"/>
      <c r="AV1412" s="78"/>
      <c r="AW1412" s="102"/>
      <c r="AX1412" s="78"/>
      <c r="AY1412" s="78"/>
      <c r="AZ1412" s="78"/>
      <c r="BA1412" s="78"/>
      <c r="BB1412" s="78"/>
      <c r="BC1412" s="78"/>
      <c r="BD1412" s="78"/>
      <c r="BE1412" s="465"/>
      <c r="BF1412" s="165" t="str">
        <f t="shared" si="1027"/>
        <v>https://www.google.com/search?tbm=isch&amp;q=Cryptomeria%20japonica%20%27Black%20Dragon%27%20Black%20Dragon%20Cryptomeria</v>
      </c>
      <c r="BG1412" s="165" t="str">
        <f t="shared" si="1028"/>
        <v>C</v>
      </c>
      <c r="BH1412" s="65"/>
      <c r="BI1412" s="65"/>
      <c r="BJ1412" s="65"/>
      <c r="BK1412" s="65"/>
      <c r="BL1412" s="99"/>
      <c r="BM1412" s="99"/>
      <c r="BN1412" s="99"/>
    </row>
    <row r="1413" spans="1:66" s="51" customFormat="1" ht="27" x14ac:dyDescent="0.25">
      <c r="A1413" s="478">
        <v>7</v>
      </c>
      <c r="B1413" s="479" t="s">
        <v>291</v>
      </c>
      <c r="C1413" s="480" t="s">
        <v>941</v>
      </c>
      <c r="D1413" s="481" t="s">
        <v>299</v>
      </c>
      <c r="E1413" s="482">
        <v>150.94999999999999</v>
      </c>
      <c r="F1413" s="483" t="s">
        <v>292</v>
      </c>
      <c r="G1413" s="484">
        <v>0</v>
      </c>
      <c r="H1413" s="688" t="str">
        <f>IF(G1413=0,"",IF(F1413="Buy",IF(G1413=1,"plant","plants"),IF(F1413&gt;0.01,"warranty","Error")))</f>
        <v/>
      </c>
      <c r="I1413" s="485">
        <f>IF(H1413="free",0,IF(H1413="credit",((E1413*(F1413))*G1413*-1),IF(F1413="Buy",(E1413*G1413),((E1413*(1-F1413))*G1413))))</f>
        <v>0</v>
      </c>
      <c r="J1413" s="485">
        <f>IF(H1413="warranty",0,(I1413*(_xlfn.SINGLE(SalesTaxPercentage))))</f>
        <v>0</v>
      </c>
      <c r="K1413" s="715">
        <f t="shared" ref="K1413" si="1045">I1413+J1413</f>
        <v>0</v>
      </c>
      <c r="L1413" s="715"/>
      <c r="M1413" s="689" t="str">
        <f ca="1">IF(AND(G1413&gt;0,E1413=0),"WARNING - no PRICE inserted",IF(H1413="free","FREE ~ no charge this plant",IF(H1413="credit",CONCATENATE("-$",ROUND(K1413*(1-_xlfn.SINGLE(T2GDiscount))*-1,2)," CREDIT after discount"),IF(_xlfn.SINGLE(T2GDiscount)=0,"",IF(G1413=0,"",IF(F1413="Buy",CONCATENATE("$",ROUND(K1413*(1-_xlfn.SINGLE(T2GDiscount)),2)," with ",(_xlfn.SINGLE(T2GDiscount)*100),"% discount"),CONCATENATE("$",ROUND(K1413*(1-_xlfn.SINGLE(T2GDiscount)),2)," with ",((_xlfn.SINGLE(T2GDiscount)*100+F1413*100)-(_xlfn.SINGLE(T2GDiscount)*100*F1413)),IF(F1413&gt;0,"% discounts",IF(_xlfn.SINGLE(NoWarrantyDiscount)&gt;0,"% discounts","% discount")))))))))</f>
        <v/>
      </c>
      <c r="N1413" s="690"/>
      <c r="O1413" s="486"/>
      <c r="P1413" s="486"/>
      <c r="Q1413" s="486"/>
      <c r="R1413" s="486"/>
      <c r="S1413" s="486"/>
      <c r="T1413" s="102">
        <f t="shared" si="1016"/>
        <v>0</v>
      </c>
      <c r="U1413" s="78">
        <f>IF(NOT(ISNUMBER(G1413)), "", VLOOKUP(A1413,'Discount Lookup'!D:E,2,FALSE)*G1413)</f>
        <v>0</v>
      </c>
      <c r="V1413" s="78">
        <f>IF(NOT(ISNUMBER(G1413)), "", VLOOKUP(A1413,'Discount Lookup'!G:H,2,FALSE)*G1413)</f>
        <v>0</v>
      </c>
      <c r="W1413" s="102">
        <f t="shared" si="1017"/>
        <v>0</v>
      </c>
      <c r="X1413" s="102">
        <f t="shared" si="1018"/>
        <v>0</v>
      </c>
      <c r="Y1413" s="120" t="b">
        <f t="shared" si="1019"/>
        <v>0</v>
      </c>
      <c r="Z1413" s="117">
        <f t="shared" si="1020"/>
        <v>0</v>
      </c>
      <c r="AA1413" s="118"/>
      <c r="AB1413" s="118" t="str">
        <f t="shared" si="1021"/>
        <v/>
      </c>
      <c r="AC1413" s="712" t="str">
        <f>IF(AE1413="T2G","no charge",IF(AND(OR(PlanterYesMe="No",PlanterYesMe="N",PlanterYesMe="me"),H1413=""),"",IF(H1413="credit","NO install",IF(AND(K1413="",AE1413="me"),"EACH row",IF(AND(K1413="images",AE1413="me"),"EACH row",IF(D1413="","",IF(H1413="credit","",IF(AE1413="free","re-planting",IF(AE1413="me","   not ELP, by",IF(AND(OR(PlanterYesMe="Yes",PlanterYesMe="Y"),G1413&gt;0),(VLOOKUP(A1413,'Discount Lookup'!J:K,2)*G1413*(1-PlanterDiscount)*(1+PlanterDifficultyPercentage)),IF(AE1413="ELP",(VLOOKUP(A1413,'Discount Lookup'!J:K,2)*G1413*(1-PlanterDiscount)*(1+PlanterDifficultyPercentage)),IF(AE1413="free","re-planting",IF(G1413=0,"",IF(PlanterYesMe="",IF(AE1413="me","   not ELP, by",IF(AE1413="",IF(G1413&gt;0,(VLOOKUP(A1413,'Discount Lookup'!J:K,2)*G1413*(1-PlanterDiscount)*(1+PlanterDifficultyPercentage)),""),"")),"   not ELP, by"))))))))))))))</f>
        <v/>
      </c>
      <c r="AD1413" s="712"/>
      <c r="AE1413" s="513" t="str">
        <f t="shared" si="1022"/>
        <v/>
      </c>
      <c r="AF1413" s="713" t="str">
        <f t="shared" si="1023"/>
        <v/>
      </c>
      <c r="AG1413" s="713"/>
      <c r="AH1413" s="713"/>
      <c r="AI1413" s="112">
        <f>IF(H1413="credit",0,IF(AE1413="free",0,IF(AE1413="me",0,IF(G1413&gt;0,(VLOOKUP(A1413,'Discount Lookup'!J:K,2)*G1413),0))))</f>
        <v>0</v>
      </c>
      <c r="AJ1413" s="107" t="str">
        <f t="shared" ca="1" si="1024"/>
        <v/>
      </c>
      <c r="AK1413" s="714" t="str">
        <f t="shared" si="1025"/>
        <v/>
      </c>
      <c r="AL1413" s="714"/>
      <c r="AM1413" s="114" t="str">
        <f t="shared" si="1026"/>
        <v/>
      </c>
      <c r="AN1413" s="115"/>
      <c r="AO1413" s="116"/>
      <c r="AP1413" s="116"/>
      <c r="AQ1413" s="116"/>
      <c r="AR1413" s="116"/>
      <c r="AS1413" s="116"/>
      <c r="AT1413" s="116"/>
      <c r="AU1413" s="116"/>
      <c r="AV1413" s="78"/>
      <c r="AW1413" s="102"/>
      <c r="AX1413" s="78"/>
      <c r="AY1413" s="78"/>
      <c r="AZ1413" s="78"/>
      <c r="BA1413" s="78"/>
      <c r="BB1413" s="78"/>
      <c r="BC1413" s="78"/>
      <c r="BD1413" s="78"/>
      <c r="BE1413" s="465"/>
      <c r="BF1413" s="165" t="str">
        <f t="shared" si="1027"/>
        <v>https://www.google.com/search?tbm=isch&amp;q=7%20G4</v>
      </c>
      <c r="BG1413" s="165" t="str">
        <f t="shared" si="1028"/>
        <v>C</v>
      </c>
      <c r="BH1413" s="65"/>
      <c r="BI1413" s="65"/>
      <c r="BJ1413" s="65"/>
      <c r="BK1413" s="65"/>
      <c r="BL1413" s="99"/>
      <c r="BM1413" s="99"/>
      <c r="BN1413" s="99"/>
    </row>
    <row r="1414" spans="1:66" s="51" customFormat="1" ht="15.75" x14ac:dyDescent="0.25">
      <c r="A1414" s="478">
        <v>15</v>
      </c>
      <c r="B1414" s="479" t="s">
        <v>291</v>
      </c>
      <c r="C1414" s="480" t="s">
        <v>4600</v>
      </c>
      <c r="D1414" s="481" t="s">
        <v>299</v>
      </c>
      <c r="E1414" s="482">
        <v>293.95</v>
      </c>
      <c r="F1414" s="483" t="s">
        <v>292</v>
      </c>
      <c r="G1414" s="484">
        <v>0</v>
      </c>
      <c r="H1414" s="688" t="str">
        <f>IF(G1414=0,"",IF(F1414="Buy",IF(G1414=1,"plant","plants"),IF(F1414&gt;0.01,"warranty","Error")))</f>
        <v/>
      </c>
      <c r="I1414" s="485">
        <f>IF(H1414="free",0,IF(H1414="credit",((E1414*(F1414))*G1414*-1),IF(F1414="Buy",(E1414*G1414),((E1414*(1-F1414))*G1414))))</f>
        <v>0</v>
      </c>
      <c r="J1414" s="485">
        <f>IF(H1414="warranty",0,(I1414*(_xlfn.SINGLE(SalesTaxPercentage))))</f>
        <v>0</v>
      </c>
      <c r="K1414" s="715">
        <f t="shared" ref="K1414" si="1046">I1414+J1414</f>
        <v>0</v>
      </c>
      <c r="L1414" s="715"/>
      <c r="M1414" s="689" t="str">
        <f ca="1">IF(AND(G1414&gt;0,E1414=0),"WARNING - no PRICE inserted",IF(H1414="free","FREE ~ no charge this plant",IF(H1414="credit",CONCATENATE("-$",ROUND(K1414*(1-_xlfn.SINGLE(T2GDiscount))*-1,2)," CREDIT after discount"),IF(_xlfn.SINGLE(T2GDiscount)=0,"",IF(G1414=0,"",IF(F1414="Buy",CONCATENATE("$",ROUND(K1414*(1-_xlfn.SINGLE(T2GDiscount)),2)," with ",(_xlfn.SINGLE(T2GDiscount)*100),"% discount"),CONCATENATE("$",ROUND(K1414*(1-_xlfn.SINGLE(T2GDiscount)),2)," with ",((_xlfn.SINGLE(T2GDiscount)*100+F1414*100)-(_xlfn.SINGLE(T2GDiscount)*100*F1414)),IF(F1414&gt;0,"% discounts",IF(_xlfn.SINGLE(NoWarrantyDiscount)&gt;0,"% discounts","% discount")))))))))</f>
        <v/>
      </c>
      <c r="N1414" s="690"/>
      <c r="O1414" s="486"/>
      <c r="P1414" s="486"/>
      <c r="Q1414" s="486"/>
      <c r="R1414" s="486"/>
      <c r="S1414" s="486"/>
      <c r="T1414" s="102">
        <f t="shared" si="1016"/>
        <v>0</v>
      </c>
      <c r="U1414" s="78">
        <f>IF(NOT(ISNUMBER(G1414)), "", VLOOKUP(A1414,'Discount Lookup'!D:E,2,FALSE)*G1414)</f>
        <v>0</v>
      </c>
      <c r="V1414" s="78">
        <f>IF(NOT(ISNUMBER(G1414)), "", VLOOKUP(A1414,'Discount Lookup'!G:H,2,FALSE)*G1414)</f>
        <v>0</v>
      </c>
      <c r="W1414" s="102">
        <f t="shared" si="1017"/>
        <v>0</v>
      </c>
      <c r="X1414" s="102">
        <f t="shared" si="1018"/>
        <v>0</v>
      </c>
      <c r="Y1414" s="120" t="b">
        <f t="shared" si="1019"/>
        <v>0</v>
      </c>
      <c r="Z1414" s="117">
        <f t="shared" si="1020"/>
        <v>0</v>
      </c>
      <c r="AA1414" s="118"/>
      <c r="AB1414" s="118" t="str">
        <f t="shared" si="1021"/>
        <v/>
      </c>
      <c r="AC1414" s="712" t="str">
        <f>IF(AE1414="T2G","no charge",IF(AND(OR(PlanterYesMe="No",PlanterYesMe="N",PlanterYesMe="me"),H1414=""),"",IF(H1414="credit","NO install",IF(AND(K1414="",AE1414="me"),"EACH row",IF(AND(K1414="images",AE1414="me"),"EACH row",IF(D1414="","",IF(H1414="credit","",IF(AE1414="free","re-planting",IF(AE1414="me","   not ELP, by",IF(AND(OR(PlanterYesMe="Yes",PlanterYesMe="Y"),G1414&gt;0),(VLOOKUP(A1414,'Discount Lookup'!J:K,2)*G1414*(1-PlanterDiscount)*(1+PlanterDifficultyPercentage)),IF(AE1414="ELP",(VLOOKUP(A1414,'Discount Lookup'!J:K,2)*G1414*(1-PlanterDiscount)*(1+PlanterDifficultyPercentage)),IF(AE1414="free","re-planting",IF(G1414=0,"",IF(PlanterYesMe="",IF(AE1414="me","   not ELP, by",IF(AE1414="",IF(G1414&gt;0,(VLOOKUP(A1414,'Discount Lookup'!J:K,2)*G1414*(1-PlanterDiscount)*(1+PlanterDifficultyPercentage)),""),"")),"   not ELP, by"))))))))))))))</f>
        <v/>
      </c>
      <c r="AD1414" s="712"/>
      <c r="AE1414" s="513" t="str">
        <f t="shared" si="1022"/>
        <v/>
      </c>
      <c r="AF1414" s="713" t="str">
        <f t="shared" si="1023"/>
        <v/>
      </c>
      <c r="AG1414" s="713"/>
      <c r="AH1414" s="713"/>
      <c r="AI1414" s="112">
        <f>IF(H1414="credit",0,IF(AE1414="free",0,IF(AE1414="me",0,IF(G1414&gt;0,(VLOOKUP(A1414,'Discount Lookup'!J:K,2)*G1414),0))))</f>
        <v>0</v>
      </c>
      <c r="AJ1414" s="107" t="str">
        <f t="shared" ca="1" si="1024"/>
        <v/>
      </c>
      <c r="AK1414" s="714" t="str">
        <f t="shared" si="1025"/>
        <v/>
      </c>
      <c r="AL1414" s="714"/>
      <c r="AM1414" s="114" t="str">
        <f t="shared" si="1026"/>
        <v/>
      </c>
      <c r="AN1414" s="115"/>
      <c r="AO1414" s="116"/>
      <c r="AP1414" s="116"/>
      <c r="AQ1414" s="116"/>
      <c r="AR1414" s="116"/>
      <c r="AS1414" s="116"/>
      <c r="AT1414" s="116"/>
      <c r="AU1414" s="116"/>
      <c r="AV1414" s="78"/>
      <c r="AW1414" s="102"/>
      <c r="AX1414" s="78"/>
      <c r="AY1414" s="78"/>
      <c r="AZ1414" s="78"/>
      <c r="BA1414" s="78"/>
      <c r="BB1414" s="78"/>
      <c r="BC1414" s="78"/>
      <c r="BD1414" s="78"/>
      <c r="BE1414" s="465"/>
      <c r="BF1414" s="165" t="str">
        <f t="shared" si="1027"/>
        <v>https://www.google.com/search?tbm=isch&amp;q=15%20G4</v>
      </c>
      <c r="BG1414" s="165" t="str">
        <f t="shared" si="1028"/>
        <v>C</v>
      </c>
      <c r="BH1414" s="65"/>
      <c r="BI1414" s="65"/>
      <c r="BJ1414" s="65"/>
      <c r="BK1414" s="65"/>
      <c r="BL1414" s="99"/>
      <c r="BM1414" s="99"/>
      <c r="BN1414" s="99"/>
    </row>
    <row r="1415" spans="1:66" s="51" customFormat="1" ht="16.5" thickBot="1" x14ac:dyDescent="0.3">
      <c r="A1415" s="508" t="s">
        <v>472</v>
      </c>
      <c r="B1415" s="487"/>
      <c r="C1415" s="707"/>
      <c r="D1415" s="487"/>
      <c r="E1415" s="487"/>
      <c r="F1415" s="488"/>
      <c r="G1415" s="489"/>
      <c r="H1415" s="487"/>
      <c r="I1415" s="490"/>
      <c r="J1415" s="490"/>
      <c r="K1415" s="491"/>
      <c r="L1415" s="547"/>
      <c r="M1415" s="528"/>
      <c r="N1415" s="492"/>
      <c r="O1415" s="493"/>
      <c r="P1415" s="494"/>
      <c r="Q1415" s="492"/>
      <c r="R1415" s="492"/>
      <c r="S1415" s="495"/>
      <c r="T1415" s="102">
        <f t="shared" si="1016"/>
        <v>0</v>
      </c>
      <c r="U1415" s="78" t="str">
        <f>IF(NOT(ISNUMBER(G1415)), "", VLOOKUP(A1415,'Discount Lookup'!D:E,2,FALSE)*G1415)</f>
        <v/>
      </c>
      <c r="V1415" s="78" t="str">
        <f>IF(NOT(ISNUMBER(G1415)), "", VLOOKUP(A1415,'Discount Lookup'!G:H,2,FALSE)*G1415)</f>
        <v/>
      </c>
      <c r="W1415" s="102">
        <f t="shared" si="1017"/>
        <v>0</v>
      </c>
      <c r="X1415" s="102">
        <f t="shared" si="1018"/>
        <v>0</v>
      </c>
      <c r="Y1415" s="120" t="b">
        <f t="shared" si="1019"/>
        <v>0</v>
      </c>
      <c r="Z1415" s="117">
        <f t="shared" si="1020"/>
        <v>0</v>
      </c>
      <c r="AA1415" s="118"/>
      <c r="AB1415" s="118" t="str">
        <f t="shared" si="1021"/>
        <v/>
      </c>
      <c r="AC1415" s="712" t="str">
        <f>IF(AE1415="T2G","no charge",IF(AND(OR(PlanterYesMe="No",PlanterYesMe="N",PlanterYesMe="me"),H1415=""),"",IF(H1415="credit","NO install",IF(AND(K1415="",AE1415="me"),"EACH row",IF(AND(K1415="images",AE1415="me"),"EACH row",IF(D1415="","",IF(H1415="credit","",IF(AE1415="free","re-planting",IF(AE1415="me","   not ELP, by",IF(AND(OR(PlanterYesMe="Yes",PlanterYesMe="Y"),G1415&gt;0),(VLOOKUP(A1415,'Discount Lookup'!J:K,2)*G1415*(1-PlanterDiscount)*(1+PlanterDifficultyPercentage)),IF(AE1415="ELP",(VLOOKUP(A1415,'Discount Lookup'!J:K,2)*G1415*(1-PlanterDiscount)*(1+PlanterDifficultyPercentage)),IF(AE1415="free","re-planting",IF(G1415=0,"",IF(PlanterYesMe="",IF(AE1415="me","   not ELP, by",IF(AE1415="",IF(G1415&gt;0,(VLOOKUP(A1415,'Discount Lookup'!J:K,2)*G1415*(1-PlanterDiscount)*(1+PlanterDifficultyPercentage)),""),"")),"   not ELP, by"))))))))))))))</f>
        <v/>
      </c>
      <c r="AD1415" s="712"/>
      <c r="AE1415" s="513" t="str">
        <f t="shared" si="1022"/>
        <v/>
      </c>
      <c r="AF1415" s="713" t="str">
        <f t="shared" si="1023"/>
        <v/>
      </c>
      <c r="AG1415" s="713"/>
      <c r="AH1415" s="713"/>
      <c r="AI1415" s="112">
        <f>IF(H1415="credit",0,IF(AE1415="free",0,IF(AE1415="me",0,IF(G1415&gt;0,(VLOOKUP(A1415,'Discount Lookup'!J:K,2)*G1415),0))))</f>
        <v>0</v>
      </c>
      <c r="AJ1415" s="107" t="str">
        <f t="shared" ca="1" si="1024"/>
        <v/>
      </c>
      <c r="AK1415" s="714" t="str">
        <f t="shared" si="1025"/>
        <v/>
      </c>
      <c r="AL1415" s="714"/>
      <c r="AM1415" s="114" t="str">
        <f t="shared" si="1026"/>
        <v/>
      </c>
      <c r="AN1415" s="115"/>
      <c r="AO1415" s="116"/>
      <c r="AP1415" s="116"/>
      <c r="AQ1415" s="116"/>
      <c r="AR1415" s="116"/>
      <c r="AS1415" s="116"/>
      <c r="AT1415" s="116"/>
      <c r="AU1415" s="116"/>
      <c r="AV1415" s="78"/>
      <c r="AW1415" s="102"/>
      <c r="AX1415" s="78"/>
      <c r="AY1415" s="78"/>
      <c r="AZ1415" s="78"/>
      <c r="BA1415" s="78"/>
      <c r="BB1415" s="78"/>
      <c r="BC1415" s="78"/>
      <c r="BD1415" s="78"/>
      <c r="BE1415" s="465"/>
      <c r="BF1415" s="165" t="str">
        <f t="shared" si="1027"/>
        <v>https://www.google.com/search?tbm=isch&amp;q=Black%20Dragon%20foliage%20emerges%20Bright%20Green%2C%20then%20changes%20from%20Dark%20Green%20to%20near%20Black%20in%20winter.%20optimal%20with%20afternoon%20shade%20</v>
      </c>
      <c r="BG1415" s="165" t="str">
        <f t="shared" si="1028"/>
        <v>B</v>
      </c>
      <c r="BH1415" s="65"/>
      <c r="BI1415" s="65"/>
      <c r="BJ1415" s="65"/>
      <c r="BK1415" s="65"/>
      <c r="BL1415" s="99"/>
      <c r="BM1415" s="99"/>
      <c r="BN1415" s="99"/>
    </row>
    <row r="1416" spans="1:66" s="51" customFormat="1" ht="18" x14ac:dyDescent="0.25">
      <c r="A1416" s="507" t="s">
        <v>2380</v>
      </c>
      <c r="B1416" s="470"/>
      <c r="C1416" s="706"/>
      <c r="D1416" s="471" t="s">
        <v>2381</v>
      </c>
      <c r="E1416" s="472"/>
      <c r="F1416" s="472"/>
      <c r="G1416" s="472"/>
      <c r="H1416" s="622" t="s">
        <v>1264</v>
      </c>
      <c r="I1416" s="473" t="s">
        <v>432</v>
      </c>
      <c r="J1416" s="472"/>
      <c r="K1416" s="472"/>
      <c r="L1416" s="561"/>
      <c r="M1416" s="698" t="s">
        <v>5246</v>
      </c>
      <c r="N1416" s="692" t="str">
        <f>IF(AND(ISTEXT($A1416), ISERROR($A1416+0)), HYPERLINK($BF1416, "Images"), "")</f>
        <v>Images</v>
      </c>
      <c r="O1416" s="694" t="s">
        <v>5247</v>
      </c>
      <c r="P1416" s="475"/>
      <c r="Q1416" s="476"/>
      <c r="R1416" s="476"/>
      <c r="S1416" s="477"/>
      <c r="T1416" s="102">
        <f t="shared" si="1016"/>
        <v>0</v>
      </c>
      <c r="U1416" s="78" t="str">
        <f>IF(NOT(ISNUMBER(G1416)), "", VLOOKUP(A1416,'Discount Lookup'!D:E,2,FALSE)*G1416)</f>
        <v/>
      </c>
      <c r="V1416" s="78" t="str">
        <f>IF(NOT(ISNUMBER(G1416)), "", VLOOKUP(A1416,'Discount Lookup'!G:H,2,FALSE)*G1416)</f>
        <v/>
      </c>
      <c r="W1416" s="102">
        <f t="shared" si="1017"/>
        <v>0</v>
      </c>
      <c r="X1416" s="102" t="str">
        <f t="shared" si="1018"/>
        <v>Green foliage</v>
      </c>
      <c r="Y1416" s="120" t="b">
        <f t="shared" si="1019"/>
        <v>0</v>
      </c>
      <c r="Z1416" s="117">
        <f t="shared" si="1020"/>
        <v>0</v>
      </c>
      <c r="AA1416" s="118"/>
      <c r="AB1416" s="118" t="str">
        <f t="shared" si="1021"/>
        <v/>
      </c>
      <c r="AC1416" s="712" t="str">
        <f>IF(AE1416="T2G","no charge",IF(AND(OR(PlanterYesMe="No",PlanterYesMe="N",PlanterYesMe="me"),H1416=""),"",IF(H1416="credit","NO install",IF(AND(K1416="",AE1416="me"),"EACH row",IF(AND(K1416="images",AE1416="me"),"EACH row",IF(D1416="","",IF(H1416="credit","",IF(AE1416="free","re-planting",IF(AE1416="me","   not ELP, by",IF(AND(OR(PlanterYesMe="Yes",PlanterYesMe="Y"),G1416&gt;0),(VLOOKUP(A1416,'Discount Lookup'!J:K,2)*G1416*(1-PlanterDiscount)*(1+PlanterDifficultyPercentage)),IF(AE1416="ELP",(VLOOKUP(A1416,'Discount Lookup'!J:K,2)*G1416*(1-PlanterDiscount)*(1+PlanterDifficultyPercentage)),IF(AE1416="free","re-planting",IF(G1416=0,"",IF(PlanterYesMe="",IF(AE1416="me","   not ELP, by",IF(AE1416="",IF(G1416&gt;0,(VLOOKUP(A1416,'Discount Lookup'!J:K,2)*G1416*(1-PlanterDiscount)*(1+PlanterDifficultyPercentage)),""),"")),"   not ELP, by"))))))))))))))</f>
        <v/>
      </c>
      <c r="AD1416" s="712"/>
      <c r="AE1416" s="513" t="str">
        <f t="shared" si="1022"/>
        <v/>
      </c>
      <c r="AF1416" s="713" t="str">
        <f t="shared" si="1023"/>
        <v/>
      </c>
      <c r="AG1416" s="713"/>
      <c r="AH1416" s="713"/>
      <c r="AI1416" s="112">
        <f>IF(H1416="credit",0,IF(AE1416="free",0,IF(AE1416="me",0,IF(G1416&gt;0,(VLOOKUP(A1416,'Discount Lookup'!J:K,2)*G1416),0))))</f>
        <v>0</v>
      </c>
      <c r="AJ1416" s="107" t="str">
        <f t="shared" ca="1" si="1024"/>
        <v/>
      </c>
      <c r="AK1416" s="714" t="str">
        <f t="shared" si="1025"/>
        <v/>
      </c>
      <c r="AL1416" s="714"/>
      <c r="AM1416" s="114" t="str">
        <f t="shared" si="1026"/>
        <v/>
      </c>
      <c r="AN1416" s="115"/>
      <c r="AO1416" s="116"/>
      <c r="AP1416" s="116"/>
      <c r="AQ1416" s="116"/>
      <c r="AR1416" s="116"/>
      <c r="AS1416" s="116"/>
      <c r="AT1416" s="116"/>
      <c r="AU1416" s="116"/>
      <c r="AV1416" s="78"/>
      <c r="AW1416" s="102"/>
      <c r="AX1416" s="78"/>
      <c r="AY1416" s="78"/>
      <c r="AZ1416" s="78"/>
      <c r="BA1416" s="78"/>
      <c r="BB1416" s="78"/>
      <c r="BC1416" s="78"/>
      <c r="BD1416" s="78"/>
      <c r="BE1416" s="465"/>
      <c r="BF1416" s="165" t="str">
        <f t="shared" si="1027"/>
        <v>https://www.google.com/search?tbm=isch&amp;q=Cryptomeria%20japonica%20%27Globosa%20Nana%27%20Globosa%20Nana%20Cryptomeria</v>
      </c>
      <c r="BG1416" s="165" t="str">
        <f t="shared" si="1028"/>
        <v>C</v>
      </c>
      <c r="BH1416" s="65"/>
      <c r="BI1416" s="65"/>
      <c r="BJ1416" s="65"/>
      <c r="BK1416" s="65"/>
      <c r="BL1416" s="99"/>
      <c r="BM1416" s="99"/>
      <c r="BN1416" s="99"/>
    </row>
    <row r="1417" spans="1:66" s="51" customFormat="1" ht="15.75" x14ac:dyDescent="0.25">
      <c r="A1417" s="478">
        <v>3</v>
      </c>
      <c r="B1417" s="479" t="s">
        <v>291</v>
      </c>
      <c r="C1417" s="480"/>
      <c r="D1417" s="481" t="s">
        <v>310</v>
      </c>
      <c r="E1417" s="482">
        <v>27.95</v>
      </c>
      <c r="F1417" s="483" t="s">
        <v>292</v>
      </c>
      <c r="G1417" s="484">
        <v>0</v>
      </c>
      <c r="H1417" s="688" t="str">
        <f>IF(G1417=0,"",IF(F1417="Buy",IF(G1417=1,"plant","plants"),IF(F1417&gt;0.01,"warranty","Error")))</f>
        <v/>
      </c>
      <c r="I1417" s="485">
        <f>IF(H1417="free",0,IF(H1417="credit",((E1417*(F1417))*G1417*-1),IF(F1417="Buy",(E1417*G1417),((E1417*(1-F1417))*G1417))))</f>
        <v>0</v>
      </c>
      <c r="J1417" s="485">
        <f>IF(H1417="warranty",0,(I1417*(_xlfn.SINGLE(SalesTaxPercentage))))</f>
        <v>0</v>
      </c>
      <c r="K1417" s="715">
        <f t="shared" ref="K1417" si="1047">I1417+J1417</f>
        <v>0</v>
      </c>
      <c r="L1417" s="715"/>
      <c r="M1417" s="689" t="str">
        <f ca="1">IF(AND(G1417&gt;0,E1417=0),"WARNING - no PRICE inserted",IF(H1417="free","FREE ~ no charge this plant",IF(H1417="credit",CONCATENATE("-$",ROUND(K1417*(1-_xlfn.SINGLE(T2GDiscount))*-1,2)," CREDIT after discount"),IF(_xlfn.SINGLE(T2GDiscount)=0,"",IF(G1417=0,"",IF(F1417="Buy",CONCATENATE("$",ROUND(K1417*(1-_xlfn.SINGLE(T2GDiscount)),2)," with ",(_xlfn.SINGLE(T2GDiscount)*100),"% discount"),CONCATENATE("$",ROUND(K1417*(1-_xlfn.SINGLE(T2GDiscount)),2)," with ",((_xlfn.SINGLE(T2GDiscount)*100+F1417*100)-(_xlfn.SINGLE(T2GDiscount)*100*F1417)),IF(F1417&gt;0,"% discounts",IF(_xlfn.SINGLE(NoWarrantyDiscount)&gt;0,"% discounts","% discount")))))))))</f>
        <v/>
      </c>
      <c r="N1417" s="690"/>
      <c r="O1417" s="486"/>
      <c r="P1417" s="486"/>
      <c r="Q1417" s="486"/>
      <c r="R1417" s="486"/>
      <c r="S1417" s="486"/>
      <c r="T1417" s="102">
        <f t="shared" si="1016"/>
        <v>0</v>
      </c>
      <c r="U1417" s="78">
        <f>IF(NOT(ISNUMBER(G1417)), "", VLOOKUP(A1417,'Discount Lookup'!D:E,2,FALSE)*G1417)</f>
        <v>0</v>
      </c>
      <c r="V1417" s="78">
        <f>IF(NOT(ISNUMBER(G1417)), "", VLOOKUP(A1417,'Discount Lookup'!G:H,2,FALSE)*G1417)</f>
        <v>0</v>
      </c>
      <c r="W1417" s="102">
        <f t="shared" si="1017"/>
        <v>0</v>
      </c>
      <c r="X1417" s="102">
        <f t="shared" si="1018"/>
        <v>0</v>
      </c>
      <c r="Y1417" s="120" t="b">
        <f t="shared" si="1019"/>
        <v>0</v>
      </c>
      <c r="Z1417" s="117">
        <f t="shared" si="1020"/>
        <v>0</v>
      </c>
      <c r="AA1417" s="118"/>
      <c r="AB1417" s="118" t="str">
        <f t="shared" si="1021"/>
        <v/>
      </c>
      <c r="AC1417" s="712" t="str">
        <f>IF(AE1417="T2G","no charge",IF(AND(OR(PlanterYesMe="No",PlanterYesMe="N",PlanterYesMe="me"),H1417=""),"",IF(H1417="credit","NO install",IF(AND(K1417="",AE1417="me"),"EACH row",IF(AND(K1417="images",AE1417="me"),"EACH row",IF(D1417="","",IF(H1417="credit","",IF(AE1417="free","re-planting",IF(AE1417="me","   not ELP, by",IF(AND(OR(PlanterYesMe="Yes",PlanterYesMe="Y"),G1417&gt;0),(VLOOKUP(A1417,'Discount Lookup'!J:K,2)*G1417*(1-PlanterDiscount)*(1+PlanterDifficultyPercentage)),IF(AE1417="ELP",(VLOOKUP(A1417,'Discount Lookup'!J:K,2)*G1417*(1-PlanterDiscount)*(1+PlanterDifficultyPercentage)),IF(AE1417="free","re-planting",IF(G1417=0,"",IF(PlanterYesMe="",IF(AE1417="me","   not ELP, by",IF(AE1417="",IF(G1417&gt;0,(VLOOKUP(A1417,'Discount Lookup'!J:K,2)*G1417*(1-PlanterDiscount)*(1+PlanterDifficultyPercentage)),""),"")),"   not ELP, by"))))))))))))))</f>
        <v/>
      </c>
      <c r="AD1417" s="712"/>
      <c r="AE1417" s="513" t="str">
        <f t="shared" si="1022"/>
        <v/>
      </c>
      <c r="AF1417" s="713" t="str">
        <f t="shared" si="1023"/>
        <v/>
      </c>
      <c r="AG1417" s="713"/>
      <c r="AH1417" s="713"/>
      <c r="AI1417" s="112">
        <f>IF(H1417="credit",0,IF(AE1417="free",0,IF(AE1417="me",0,IF(G1417&gt;0,(VLOOKUP(A1417,'Discount Lookup'!J:K,2)*G1417),0))))</f>
        <v>0</v>
      </c>
      <c r="AJ1417" s="107" t="str">
        <f t="shared" ca="1" si="1024"/>
        <v/>
      </c>
      <c r="AK1417" s="714" t="str">
        <f t="shared" si="1025"/>
        <v/>
      </c>
      <c r="AL1417" s="714"/>
      <c r="AM1417" s="114" t="str">
        <f t="shared" si="1026"/>
        <v/>
      </c>
      <c r="AN1417" s="115"/>
      <c r="AO1417" s="116"/>
      <c r="AP1417" s="116"/>
      <c r="AQ1417" s="116"/>
      <c r="AR1417" s="116"/>
      <c r="AS1417" s="116"/>
      <c r="AT1417" s="116"/>
      <c r="AU1417" s="116"/>
      <c r="AV1417" s="78"/>
      <c r="AW1417" s="102"/>
      <c r="AX1417" s="78"/>
      <c r="AY1417" s="78"/>
      <c r="AZ1417" s="78"/>
      <c r="BA1417" s="78"/>
      <c r="BB1417" s="78"/>
      <c r="BC1417" s="78"/>
      <c r="BD1417" s="78"/>
      <c r="BE1417" s="465"/>
      <c r="BF1417" s="165" t="str">
        <f t="shared" si="1027"/>
        <v>https://www.google.com/search?tbm=isch&amp;q=3%20G1</v>
      </c>
      <c r="BG1417" s="165" t="str">
        <f t="shared" si="1028"/>
        <v>C</v>
      </c>
      <c r="BH1417" s="65"/>
      <c r="BI1417" s="65"/>
      <c r="BJ1417" s="65"/>
      <c r="BK1417" s="65"/>
      <c r="BL1417" s="99"/>
      <c r="BM1417" s="99"/>
      <c r="BN1417" s="99"/>
    </row>
    <row r="1418" spans="1:66" s="51" customFormat="1" ht="15.75" x14ac:dyDescent="0.25">
      <c r="A1418" s="478">
        <v>3</v>
      </c>
      <c r="B1418" s="479" t="s">
        <v>291</v>
      </c>
      <c r="C1418" s="480" t="s">
        <v>337</v>
      </c>
      <c r="D1418" s="481" t="s">
        <v>329</v>
      </c>
      <c r="E1418" s="482">
        <v>31.95</v>
      </c>
      <c r="F1418" s="483" t="s">
        <v>292</v>
      </c>
      <c r="G1418" s="484">
        <v>0</v>
      </c>
      <c r="H1418" s="688" t="str">
        <f>IF(G1418=0,"",IF(F1418="Buy",IF(G1418=1,"plant","plants"),IF(F1418&gt;0.01,"warranty","Error")))</f>
        <v/>
      </c>
      <c r="I1418" s="485">
        <f>IF(H1418="free",0,IF(H1418="credit",((E1418*(F1418))*G1418*-1),IF(F1418="Buy",(E1418*G1418),((E1418*(1-F1418))*G1418))))</f>
        <v>0</v>
      </c>
      <c r="J1418" s="485">
        <f>IF(H1418="warranty",0,(I1418*(_xlfn.SINGLE(SalesTaxPercentage))))</f>
        <v>0</v>
      </c>
      <c r="K1418" s="715">
        <f t="shared" ref="K1418" si="1048">I1418+J1418</f>
        <v>0</v>
      </c>
      <c r="L1418" s="715"/>
      <c r="M1418" s="689" t="str">
        <f ca="1">IF(AND(G1418&gt;0,E1418=0),"WARNING - no PRICE inserted",IF(H1418="free","FREE ~ no charge this plant",IF(H1418="credit",CONCATENATE("-$",ROUND(K1418*(1-_xlfn.SINGLE(T2GDiscount))*-1,2)," CREDIT after discount"),IF(_xlfn.SINGLE(T2GDiscount)=0,"",IF(G1418=0,"",IF(F1418="Buy",CONCATENATE("$",ROUND(K1418*(1-_xlfn.SINGLE(T2GDiscount)),2)," with ",(_xlfn.SINGLE(T2GDiscount)*100),"% discount"),CONCATENATE("$",ROUND(K1418*(1-_xlfn.SINGLE(T2GDiscount)),2)," with ",((_xlfn.SINGLE(T2GDiscount)*100+F1418*100)-(_xlfn.SINGLE(T2GDiscount)*100*F1418)),IF(F1418&gt;0,"% discounts",IF(_xlfn.SINGLE(NoWarrantyDiscount)&gt;0,"% discounts","% discount")))))))))</f>
        <v/>
      </c>
      <c r="N1418" s="690"/>
      <c r="O1418" s="486"/>
      <c r="P1418" s="486"/>
      <c r="Q1418" s="486"/>
      <c r="R1418" s="486"/>
      <c r="S1418" s="486"/>
      <c r="T1418" s="102">
        <f t="shared" si="1016"/>
        <v>0</v>
      </c>
      <c r="U1418" s="78">
        <f>IF(NOT(ISNUMBER(G1418)), "", VLOOKUP(A1418,'Discount Lookup'!D:E,2,FALSE)*G1418)</f>
        <v>0</v>
      </c>
      <c r="V1418" s="78">
        <f>IF(NOT(ISNUMBER(G1418)), "", VLOOKUP(A1418,'Discount Lookup'!G:H,2,FALSE)*G1418)</f>
        <v>0</v>
      </c>
      <c r="W1418" s="102">
        <f t="shared" si="1017"/>
        <v>0</v>
      </c>
      <c r="X1418" s="102">
        <f t="shared" si="1018"/>
        <v>0</v>
      </c>
      <c r="Y1418" s="120" t="b">
        <f t="shared" si="1019"/>
        <v>0</v>
      </c>
      <c r="Z1418" s="117">
        <f t="shared" si="1020"/>
        <v>0</v>
      </c>
      <c r="AA1418" s="118"/>
      <c r="AB1418" s="118" t="str">
        <f t="shared" si="1021"/>
        <v/>
      </c>
      <c r="AC1418" s="712" t="str">
        <f>IF(AE1418="T2G","no charge",IF(AND(OR(PlanterYesMe="No",PlanterYesMe="N",PlanterYesMe="me"),H1418=""),"",IF(H1418="credit","NO install",IF(AND(K1418="",AE1418="me"),"EACH row",IF(AND(K1418="images",AE1418="me"),"EACH row",IF(D1418="","",IF(H1418="credit","",IF(AE1418="free","re-planting",IF(AE1418="me","   not ELP, by",IF(AND(OR(PlanterYesMe="Yes",PlanterYesMe="Y"),G1418&gt;0),(VLOOKUP(A1418,'Discount Lookup'!J:K,2)*G1418*(1-PlanterDiscount)*(1+PlanterDifficultyPercentage)),IF(AE1418="ELP",(VLOOKUP(A1418,'Discount Lookup'!J:K,2)*G1418*(1-PlanterDiscount)*(1+PlanterDifficultyPercentage)),IF(AE1418="free","re-planting",IF(G1418=0,"",IF(PlanterYesMe="",IF(AE1418="me","   not ELP, by",IF(AE1418="",IF(G1418&gt;0,(VLOOKUP(A1418,'Discount Lookup'!J:K,2)*G1418*(1-PlanterDiscount)*(1+PlanterDifficultyPercentage)),""),"")),"   not ELP, by"))))))))))))))</f>
        <v/>
      </c>
      <c r="AD1418" s="712"/>
      <c r="AE1418" s="513" t="str">
        <f t="shared" si="1022"/>
        <v/>
      </c>
      <c r="AF1418" s="713" t="str">
        <f t="shared" si="1023"/>
        <v/>
      </c>
      <c r="AG1418" s="713"/>
      <c r="AH1418" s="713"/>
      <c r="AI1418" s="112">
        <f>IF(H1418="credit",0,IF(AE1418="free",0,IF(AE1418="me",0,IF(G1418&gt;0,(VLOOKUP(A1418,'Discount Lookup'!J:K,2)*G1418),0))))</f>
        <v>0</v>
      </c>
      <c r="AJ1418" s="107" t="str">
        <f t="shared" ca="1" si="1024"/>
        <v/>
      </c>
      <c r="AK1418" s="714" t="str">
        <f t="shared" si="1025"/>
        <v/>
      </c>
      <c r="AL1418" s="714"/>
      <c r="AM1418" s="114" t="str">
        <f t="shared" si="1026"/>
        <v/>
      </c>
      <c r="AN1418" s="115"/>
      <c r="AO1418" s="116"/>
      <c r="AP1418" s="116"/>
      <c r="AQ1418" s="116"/>
      <c r="AR1418" s="116"/>
      <c r="AS1418" s="116"/>
      <c r="AT1418" s="116"/>
      <c r="AU1418" s="116"/>
      <c r="AV1418" s="78"/>
      <c r="AW1418" s="102"/>
      <c r="AX1418" s="78"/>
      <c r="AY1418" s="78"/>
      <c r="AZ1418" s="78"/>
      <c r="BA1418" s="78"/>
      <c r="BB1418" s="78"/>
      <c r="BC1418" s="78"/>
      <c r="BD1418" s="78"/>
      <c r="BE1418" s="465"/>
      <c r="BF1418" s="165" t="str">
        <f t="shared" si="1027"/>
        <v>https://www.google.com/search?tbm=isch&amp;q=3%20G2</v>
      </c>
      <c r="BG1418" s="165" t="str">
        <f t="shared" si="1028"/>
        <v>C</v>
      </c>
      <c r="BH1418" s="65"/>
      <c r="BI1418" s="65"/>
      <c r="BJ1418" s="65"/>
      <c r="BK1418" s="65"/>
      <c r="BL1418" s="99"/>
      <c r="BM1418" s="99"/>
      <c r="BN1418" s="99"/>
    </row>
    <row r="1419" spans="1:66" s="51" customFormat="1" ht="15.75" x14ac:dyDescent="0.25">
      <c r="A1419" s="478">
        <v>3</v>
      </c>
      <c r="B1419" s="479" t="s">
        <v>291</v>
      </c>
      <c r="C1419" s="480"/>
      <c r="D1419" s="481" t="s">
        <v>329</v>
      </c>
      <c r="E1419" s="482">
        <v>31.95</v>
      </c>
      <c r="F1419" s="483" t="s">
        <v>292</v>
      </c>
      <c r="G1419" s="484">
        <v>0</v>
      </c>
      <c r="H1419" s="688" t="str">
        <f>IF(G1419=0,"",IF(F1419="Buy",IF(G1419=1,"plant","plants"),IF(F1419&gt;0.01,"warranty","Error")))</f>
        <v/>
      </c>
      <c r="I1419" s="485">
        <f>IF(H1419="free",0,IF(H1419="credit",((E1419*(F1419))*G1419*-1),IF(F1419="Buy",(E1419*G1419),((E1419*(1-F1419))*G1419))))</f>
        <v>0</v>
      </c>
      <c r="J1419" s="485">
        <f>IF(H1419="warranty",0,(I1419*(_xlfn.SINGLE(SalesTaxPercentage))))</f>
        <v>0</v>
      </c>
      <c r="K1419" s="715">
        <f t="shared" ref="K1419" si="1049">I1419+J1419</f>
        <v>0</v>
      </c>
      <c r="L1419" s="715"/>
      <c r="M1419" s="689" t="str">
        <f ca="1">IF(AND(G1419&gt;0,E1419=0),"WARNING - no PRICE inserted",IF(H1419="free","FREE ~ no charge this plant",IF(H1419="credit",CONCATENATE("-$",ROUND(K1419*(1-_xlfn.SINGLE(T2GDiscount))*-1,2)," CREDIT after discount"),IF(_xlfn.SINGLE(T2GDiscount)=0,"",IF(G1419=0,"",IF(F1419="Buy",CONCATENATE("$",ROUND(K1419*(1-_xlfn.SINGLE(T2GDiscount)),2)," with ",(_xlfn.SINGLE(T2GDiscount)*100),"% discount"),CONCATENATE("$",ROUND(K1419*(1-_xlfn.SINGLE(T2GDiscount)),2)," with ",((_xlfn.SINGLE(T2GDiscount)*100+F1419*100)-(_xlfn.SINGLE(T2GDiscount)*100*F1419)),IF(F1419&gt;0,"% discounts",IF(_xlfn.SINGLE(NoWarrantyDiscount)&gt;0,"% discounts","% discount")))))))))</f>
        <v/>
      </c>
      <c r="N1419" s="690"/>
      <c r="O1419" s="486"/>
      <c r="P1419" s="486"/>
      <c r="Q1419" s="486"/>
      <c r="R1419" s="486"/>
      <c r="S1419" s="486"/>
      <c r="T1419" s="102">
        <f t="shared" si="1016"/>
        <v>0</v>
      </c>
      <c r="U1419" s="78">
        <f>IF(NOT(ISNUMBER(G1419)), "", VLOOKUP(A1419,'Discount Lookup'!D:E,2,FALSE)*G1419)</f>
        <v>0</v>
      </c>
      <c r="V1419" s="78">
        <f>IF(NOT(ISNUMBER(G1419)), "", VLOOKUP(A1419,'Discount Lookup'!G:H,2,FALSE)*G1419)</f>
        <v>0</v>
      </c>
      <c r="W1419" s="102">
        <f t="shared" si="1017"/>
        <v>0</v>
      </c>
      <c r="X1419" s="102">
        <f t="shared" si="1018"/>
        <v>0</v>
      </c>
      <c r="Y1419" s="120" t="b">
        <f t="shared" si="1019"/>
        <v>0</v>
      </c>
      <c r="Z1419" s="117">
        <f t="shared" si="1020"/>
        <v>0</v>
      </c>
      <c r="AA1419" s="118"/>
      <c r="AB1419" s="118" t="str">
        <f t="shared" si="1021"/>
        <v/>
      </c>
      <c r="AC1419" s="712" t="str">
        <f>IF(AE1419="T2G","no charge",IF(AND(OR(PlanterYesMe="No",PlanterYesMe="N",PlanterYesMe="me"),H1419=""),"",IF(H1419="credit","NO install",IF(AND(K1419="",AE1419="me"),"EACH row",IF(AND(K1419="images",AE1419="me"),"EACH row",IF(D1419="","",IF(H1419="credit","",IF(AE1419="free","re-planting",IF(AE1419="me","   not ELP, by",IF(AND(OR(PlanterYesMe="Yes",PlanterYesMe="Y"),G1419&gt;0),(VLOOKUP(A1419,'Discount Lookup'!J:K,2)*G1419*(1-PlanterDiscount)*(1+PlanterDifficultyPercentage)),IF(AE1419="ELP",(VLOOKUP(A1419,'Discount Lookup'!J:K,2)*G1419*(1-PlanterDiscount)*(1+PlanterDifficultyPercentage)),IF(AE1419="free","re-planting",IF(G1419=0,"",IF(PlanterYesMe="",IF(AE1419="me","   not ELP, by",IF(AE1419="",IF(G1419&gt;0,(VLOOKUP(A1419,'Discount Lookup'!J:K,2)*G1419*(1-PlanterDiscount)*(1+PlanterDifficultyPercentage)),""),"")),"   not ELP, by"))))))))))))))</f>
        <v/>
      </c>
      <c r="AD1419" s="712"/>
      <c r="AE1419" s="513" t="str">
        <f t="shared" si="1022"/>
        <v/>
      </c>
      <c r="AF1419" s="713" t="str">
        <f t="shared" si="1023"/>
        <v/>
      </c>
      <c r="AG1419" s="713"/>
      <c r="AH1419" s="713"/>
      <c r="AI1419" s="112">
        <f>IF(H1419="credit",0,IF(AE1419="free",0,IF(AE1419="me",0,IF(G1419&gt;0,(VLOOKUP(A1419,'Discount Lookup'!J:K,2)*G1419),0))))</f>
        <v>0</v>
      </c>
      <c r="AJ1419" s="107" t="str">
        <f t="shared" ca="1" si="1024"/>
        <v/>
      </c>
      <c r="AK1419" s="714" t="str">
        <f t="shared" si="1025"/>
        <v/>
      </c>
      <c r="AL1419" s="714"/>
      <c r="AM1419" s="114" t="str">
        <f t="shared" si="1026"/>
        <v/>
      </c>
      <c r="AN1419" s="115"/>
      <c r="AO1419" s="116"/>
      <c r="AP1419" s="116"/>
      <c r="AQ1419" s="116"/>
      <c r="AR1419" s="116"/>
      <c r="AS1419" s="116"/>
      <c r="AT1419" s="116"/>
      <c r="AU1419" s="116"/>
      <c r="AV1419" s="78"/>
      <c r="AW1419" s="102"/>
      <c r="AX1419" s="78"/>
      <c r="AY1419" s="78"/>
      <c r="AZ1419" s="78"/>
      <c r="BA1419" s="78"/>
      <c r="BB1419" s="78"/>
      <c r="BC1419" s="78"/>
      <c r="BD1419" s="78"/>
      <c r="BE1419" s="465"/>
      <c r="BF1419" s="165" t="str">
        <f t="shared" si="1027"/>
        <v>https://www.google.com/search?tbm=isch&amp;q=3%20G2</v>
      </c>
      <c r="BG1419" s="165" t="str">
        <f t="shared" si="1028"/>
        <v>C</v>
      </c>
      <c r="BH1419" s="65"/>
      <c r="BI1419" s="65"/>
      <c r="BJ1419" s="65"/>
      <c r="BK1419" s="65"/>
      <c r="BL1419" s="99"/>
      <c r="BM1419" s="99"/>
      <c r="BN1419" s="99"/>
    </row>
    <row r="1420" spans="1:66" s="51" customFormat="1" ht="15.75" x14ac:dyDescent="0.25">
      <c r="A1420" s="478">
        <v>7</v>
      </c>
      <c r="B1420" s="479" t="s">
        <v>291</v>
      </c>
      <c r="C1420" s="480" t="s">
        <v>2382</v>
      </c>
      <c r="D1420" s="481" t="s">
        <v>293</v>
      </c>
      <c r="E1420" s="482">
        <v>83.95</v>
      </c>
      <c r="F1420" s="483" t="s">
        <v>292</v>
      </c>
      <c r="G1420" s="484">
        <v>0</v>
      </c>
      <c r="H1420" s="688" t="str">
        <f>IF(G1420=0,"",IF(F1420="Buy",IF(G1420=1,"plant","plants"),IF(F1420&gt;0.01,"warranty","Error")))</f>
        <v/>
      </c>
      <c r="I1420" s="485">
        <f>IF(H1420="free",0,IF(H1420="credit",((E1420*(F1420))*G1420*-1),IF(F1420="Buy",(E1420*G1420),((E1420*(1-F1420))*G1420))))</f>
        <v>0</v>
      </c>
      <c r="J1420" s="485">
        <f>IF(H1420="warranty",0,(I1420*(_xlfn.SINGLE(SalesTaxPercentage))))</f>
        <v>0</v>
      </c>
      <c r="K1420" s="715">
        <f t="shared" ref="K1420" si="1050">I1420+J1420</f>
        <v>0</v>
      </c>
      <c r="L1420" s="715"/>
      <c r="M1420" s="689" t="str">
        <f ca="1">IF(AND(G1420&gt;0,E1420=0),"WARNING - no PRICE inserted",IF(H1420="free","FREE ~ no charge this plant",IF(H1420="credit",CONCATENATE("-$",ROUND(K1420*(1-_xlfn.SINGLE(T2GDiscount))*-1,2)," CREDIT after discount"),IF(_xlfn.SINGLE(T2GDiscount)=0,"",IF(G1420=0,"",IF(F1420="Buy",CONCATENATE("$",ROUND(K1420*(1-_xlfn.SINGLE(T2GDiscount)),2)," with ",(_xlfn.SINGLE(T2GDiscount)*100),"% discount"),CONCATENATE("$",ROUND(K1420*(1-_xlfn.SINGLE(T2GDiscount)),2)," with ",((_xlfn.SINGLE(T2GDiscount)*100+F1420*100)-(_xlfn.SINGLE(T2GDiscount)*100*F1420)),IF(F1420&gt;0,"% discounts",IF(_xlfn.SINGLE(NoWarrantyDiscount)&gt;0,"% discounts","% discount")))))))))</f>
        <v/>
      </c>
      <c r="N1420" s="690"/>
      <c r="O1420" s="486"/>
      <c r="P1420" s="486"/>
      <c r="Q1420" s="486"/>
      <c r="R1420" s="486"/>
      <c r="S1420" s="486"/>
      <c r="T1420" s="102">
        <f t="shared" si="1016"/>
        <v>0</v>
      </c>
      <c r="U1420" s="78">
        <f>IF(NOT(ISNUMBER(G1420)), "", VLOOKUP(A1420,'Discount Lookup'!D:E,2,FALSE)*G1420)</f>
        <v>0</v>
      </c>
      <c r="V1420" s="78">
        <f>IF(NOT(ISNUMBER(G1420)), "", VLOOKUP(A1420,'Discount Lookup'!G:H,2,FALSE)*G1420)</f>
        <v>0</v>
      </c>
      <c r="W1420" s="102">
        <f t="shared" si="1017"/>
        <v>0</v>
      </c>
      <c r="X1420" s="102">
        <f t="shared" si="1018"/>
        <v>0</v>
      </c>
      <c r="Y1420" s="120" t="b">
        <f t="shared" si="1019"/>
        <v>0</v>
      </c>
      <c r="Z1420" s="117">
        <f t="shared" si="1020"/>
        <v>0</v>
      </c>
      <c r="AA1420" s="118"/>
      <c r="AB1420" s="118" t="str">
        <f t="shared" si="1021"/>
        <v/>
      </c>
      <c r="AC1420" s="712" t="str">
        <f>IF(AE1420="T2G","no charge",IF(AND(OR(PlanterYesMe="No",PlanterYesMe="N",PlanterYesMe="me"),H1420=""),"",IF(H1420="credit","NO install",IF(AND(K1420="",AE1420="me"),"EACH row",IF(AND(K1420="images",AE1420="me"),"EACH row",IF(D1420="","",IF(H1420="credit","",IF(AE1420="free","re-planting",IF(AE1420="me","   not ELP, by",IF(AND(OR(PlanterYesMe="Yes",PlanterYesMe="Y"),G1420&gt;0),(VLOOKUP(A1420,'Discount Lookup'!J:K,2)*G1420*(1-PlanterDiscount)*(1+PlanterDifficultyPercentage)),IF(AE1420="ELP",(VLOOKUP(A1420,'Discount Lookup'!J:K,2)*G1420*(1-PlanterDiscount)*(1+PlanterDifficultyPercentage)),IF(AE1420="free","re-planting",IF(G1420=0,"",IF(PlanterYesMe="",IF(AE1420="me","   not ELP, by",IF(AE1420="",IF(G1420&gt;0,(VLOOKUP(A1420,'Discount Lookup'!J:K,2)*G1420*(1-PlanterDiscount)*(1+PlanterDifficultyPercentage)),""),"")),"   not ELP, by"))))))))))))))</f>
        <v/>
      </c>
      <c r="AD1420" s="712"/>
      <c r="AE1420" s="513" t="str">
        <f t="shared" si="1022"/>
        <v/>
      </c>
      <c r="AF1420" s="713" t="str">
        <f t="shared" si="1023"/>
        <v/>
      </c>
      <c r="AG1420" s="713"/>
      <c r="AH1420" s="713"/>
      <c r="AI1420" s="112">
        <f>IF(H1420="credit",0,IF(AE1420="free",0,IF(AE1420="me",0,IF(G1420&gt;0,(VLOOKUP(A1420,'Discount Lookup'!J:K,2)*G1420),0))))</f>
        <v>0</v>
      </c>
      <c r="AJ1420" s="107" t="str">
        <f t="shared" ca="1" si="1024"/>
        <v/>
      </c>
      <c r="AK1420" s="714" t="str">
        <f t="shared" si="1025"/>
        <v/>
      </c>
      <c r="AL1420" s="714"/>
      <c r="AM1420" s="114" t="str">
        <f t="shared" si="1026"/>
        <v/>
      </c>
      <c r="AN1420" s="115"/>
      <c r="AO1420" s="116"/>
      <c r="AP1420" s="116"/>
      <c r="AQ1420" s="116"/>
      <c r="AR1420" s="116"/>
      <c r="AS1420" s="116"/>
      <c r="AT1420" s="116"/>
      <c r="AU1420" s="116"/>
      <c r="AV1420" s="78"/>
      <c r="AW1420" s="102"/>
      <c r="AX1420" s="78"/>
      <c r="AY1420" s="78"/>
      <c r="AZ1420" s="78"/>
      <c r="BA1420" s="78"/>
      <c r="BB1420" s="78"/>
      <c r="BC1420" s="78"/>
      <c r="BD1420" s="78"/>
      <c r="BE1420" s="465"/>
      <c r="BF1420" s="165" t="str">
        <f t="shared" si="1027"/>
        <v>https://www.google.com/search?tbm=isch&amp;q=7%20G6</v>
      </c>
      <c r="BG1420" s="165" t="str">
        <f t="shared" si="1028"/>
        <v>C</v>
      </c>
      <c r="BH1420" s="65"/>
      <c r="BI1420" s="65"/>
      <c r="BJ1420" s="65"/>
      <c r="BK1420" s="65"/>
      <c r="BL1420" s="99"/>
      <c r="BM1420" s="99"/>
      <c r="BN1420" s="99"/>
    </row>
    <row r="1421" spans="1:66" s="51" customFormat="1" ht="15.75" x14ac:dyDescent="0.25">
      <c r="A1421" s="478">
        <v>7</v>
      </c>
      <c r="B1421" s="479" t="s">
        <v>291</v>
      </c>
      <c r="C1421" s="480" t="s">
        <v>2383</v>
      </c>
      <c r="D1421" s="481" t="s">
        <v>299</v>
      </c>
      <c r="E1421" s="482">
        <v>100.95</v>
      </c>
      <c r="F1421" s="483" t="s">
        <v>292</v>
      </c>
      <c r="G1421" s="484">
        <v>0</v>
      </c>
      <c r="H1421" s="688" t="str">
        <f>IF(G1421=0,"",IF(F1421="Buy",IF(G1421=1,"plant","plants"),IF(F1421&gt;0.01,"warranty","Error")))</f>
        <v/>
      </c>
      <c r="I1421" s="485">
        <f>IF(H1421="free",0,IF(H1421="credit",((E1421*(F1421))*G1421*-1),IF(F1421="Buy",(E1421*G1421),((E1421*(1-F1421))*G1421))))</f>
        <v>0</v>
      </c>
      <c r="J1421" s="485">
        <f>IF(H1421="warranty",0,(I1421*(_xlfn.SINGLE(SalesTaxPercentage))))</f>
        <v>0</v>
      </c>
      <c r="K1421" s="715">
        <f t="shared" ref="K1421" si="1051">I1421+J1421</f>
        <v>0</v>
      </c>
      <c r="L1421" s="715"/>
      <c r="M1421" s="689" t="str">
        <f ca="1">IF(AND(G1421&gt;0,E1421=0),"WARNING - no PRICE inserted",IF(H1421="free","FREE ~ no charge this plant",IF(H1421="credit",CONCATENATE("-$",ROUND(K1421*(1-_xlfn.SINGLE(T2GDiscount))*-1,2)," CREDIT after discount"),IF(_xlfn.SINGLE(T2GDiscount)=0,"",IF(G1421=0,"",IF(F1421="Buy",CONCATENATE("$",ROUND(K1421*(1-_xlfn.SINGLE(T2GDiscount)),2)," with ",(_xlfn.SINGLE(T2GDiscount)*100),"% discount"),CONCATENATE("$",ROUND(K1421*(1-_xlfn.SINGLE(T2GDiscount)),2)," with ",((_xlfn.SINGLE(T2GDiscount)*100+F1421*100)-(_xlfn.SINGLE(T2GDiscount)*100*F1421)),IF(F1421&gt;0,"% discounts",IF(_xlfn.SINGLE(NoWarrantyDiscount)&gt;0,"% discounts","% discount")))))))))</f>
        <v/>
      </c>
      <c r="N1421" s="690"/>
      <c r="O1421" s="486"/>
      <c r="P1421" s="486"/>
      <c r="Q1421" s="486"/>
      <c r="R1421" s="486"/>
      <c r="S1421" s="486"/>
      <c r="T1421" s="102">
        <f t="shared" si="1016"/>
        <v>0</v>
      </c>
      <c r="U1421" s="78">
        <f>IF(NOT(ISNUMBER(G1421)), "", VLOOKUP(A1421,'Discount Lookup'!D:E,2,FALSE)*G1421)</f>
        <v>0</v>
      </c>
      <c r="V1421" s="78">
        <f>IF(NOT(ISNUMBER(G1421)), "", VLOOKUP(A1421,'Discount Lookup'!G:H,2,FALSE)*G1421)</f>
        <v>0</v>
      </c>
      <c r="W1421" s="102">
        <f t="shared" si="1017"/>
        <v>0</v>
      </c>
      <c r="X1421" s="102">
        <f t="shared" si="1018"/>
        <v>0</v>
      </c>
      <c r="Y1421" s="120" t="b">
        <f t="shared" si="1019"/>
        <v>0</v>
      </c>
      <c r="Z1421" s="117">
        <f t="shared" si="1020"/>
        <v>0</v>
      </c>
      <c r="AA1421" s="118"/>
      <c r="AB1421" s="118" t="str">
        <f t="shared" si="1021"/>
        <v/>
      </c>
      <c r="AC1421" s="712" t="str">
        <f>IF(AE1421="T2G","no charge",IF(AND(OR(PlanterYesMe="No",PlanterYesMe="N",PlanterYesMe="me"),H1421=""),"",IF(H1421="credit","NO install",IF(AND(K1421="",AE1421="me"),"EACH row",IF(AND(K1421="images",AE1421="me"),"EACH row",IF(D1421="","",IF(H1421="credit","",IF(AE1421="free","re-planting",IF(AE1421="me","   not ELP, by",IF(AND(OR(PlanterYesMe="Yes",PlanterYesMe="Y"),G1421&gt;0),(VLOOKUP(A1421,'Discount Lookup'!J:K,2)*G1421*(1-PlanterDiscount)*(1+PlanterDifficultyPercentage)),IF(AE1421="ELP",(VLOOKUP(A1421,'Discount Lookup'!J:K,2)*G1421*(1-PlanterDiscount)*(1+PlanterDifficultyPercentage)),IF(AE1421="free","re-planting",IF(G1421=0,"",IF(PlanterYesMe="",IF(AE1421="me","   not ELP, by",IF(AE1421="",IF(G1421&gt;0,(VLOOKUP(A1421,'Discount Lookup'!J:K,2)*G1421*(1-PlanterDiscount)*(1+PlanterDifficultyPercentage)),""),"")),"   not ELP, by"))))))))))))))</f>
        <v/>
      </c>
      <c r="AD1421" s="712"/>
      <c r="AE1421" s="513" t="str">
        <f t="shared" si="1022"/>
        <v/>
      </c>
      <c r="AF1421" s="713" t="str">
        <f t="shared" si="1023"/>
        <v/>
      </c>
      <c r="AG1421" s="713"/>
      <c r="AH1421" s="713"/>
      <c r="AI1421" s="112">
        <f>IF(H1421="credit",0,IF(AE1421="free",0,IF(AE1421="me",0,IF(G1421&gt;0,(VLOOKUP(A1421,'Discount Lookup'!J:K,2)*G1421),0))))</f>
        <v>0</v>
      </c>
      <c r="AJ1421" s="107" t="str">
        <f t="shared" ca="1" si="1024"/>
        <v/>
      </c>
      <c r="AK1421" s="714" t="str">
        <f t="shared" si="1025"/>
        <v/>
      </c>
      <c r="AL1421" s="714"/>
      <c r="AM1421" s="114" t="str">
        <f t="shared" si="1026"/>
        <v/>
      </c>
      <c r="AN1421" s="115"/>
      <c r="AO1421" s="116"/>
      <c r="AP1421" s="116"/>
      <c r="AQ1421" s="116"/>
      <c r="AR1421" s="116"/>
      <c r="AS1421" s="116"/>
      <c r="AT1421" s="116"/>
      <c r="AU1421" s="116"/>
      <c r="AV1421" s="78"/>
      <c r="AW1421" s="102"/>
      <c r="AX1421" s="78"/>
      <c r="AY1421" s="78"/>
      <c r="AZ1421" s="78"/>
      <c r="BA1421" s="78"/>
      <c r="BB1421" s="78"/>
      <c r="BC1421" s="78"/>
      <c r="BD1421" s="78"/>
      <c r="BE1421" s="465"/>
      <c r="BF1421" s="165" t="str">
        <f t="shared" si="1027"/>
        <v>https://www.google.com/search?tbm=isch&amp;q=7%20G4</v>
      </c>
      <c r="BG1421" s="165" t="str">
        <f t="shared" si="1028"/>
        <v>C</v>
      </c>
      <c r="BH1421" s="65"/>
      <c r="BI1421" s="65"/>
      <c r="BJ1421" s="65"/>
      <c r="BK1421" s="65"/>
      <c r="BL1421" s="99"/>
      <c r="BM1421" s="99"/>
      <c r="BN1421" s="99"/>
    </row>
    <row r="1422" spans="1:66" s="51" customFormat="1" ht="16.5" thickBot="1" x14ac:dyDescent="0.3">
      <c r="A1422" s="508" t="s">
        <v>2384</v>
      </c>
      <c r="B1422" s="487"/>
      <c r="C1422" s="707"/>
      <c r="D1422" s="487"/>
      <c r="E1422" s="487"/>
      <c r="F1422" s="488"/>
      <c r="G1422" s="489"/>
      <c r="H1422" s="487"/>
      <c r="I1422" s="490"/>
      <c r="J1422" s="490"/>
      <c r="K1422" s="491"/>
      <c r="L1422" s="547"/>
      <c r="M1422" s="528"/>
      <c r="N1422" s="492"/>
      <c r="O1422" s="493"/>
      <c r="P1422" s="494"/>
      <c r="Q1422" s="492"/>
      <c r="R1422" s="492"/>
      <c r="S1422" s="495"/>
      <c r="T1422" s="102">
        <f t="shared" si="1016"/>
        <v>0</v>
      </c>
      <c r="U1422" s="78" t="str">
        <f>IF(NOT(ISNUMBER(G1422)), "", VLOOKUP(A1422,'Discount Lookup'!D:E,2,FALSE)*G1422)</f>
        <v/>
      </c>
      <c r="V1422" s="78" t="str">
        <f>IF(NOT(ISNUMBER(G1422)), "", VLOOKUP(A1422,'Discount Lookup'!G:H,2,FALSE)*G1422)</f>
        <v/>
      </c>
      <c r="W1422" s="102">
        <f t="shared" si="1017"/>
        <v>0</v>
      </c>
      <c r="X1422" s="102">
        <f t="shared" si="1018"/>
        <v>0</v>
      </c>
      <c r="Y1422" s="120" t="b">
        <f t="shared" si="1019"/>
        <v>0</v>
      </c>
      <c r="Z1422" s="117">
        <f t="shared" si="1020"/>
        <v>0</v>
      </c>
      <c r="AA1422" s="118"/>
      <c r="AB1422" s="118" t="str">
        <f t="shared" si="1021"/>
        <v/>
      </c>
      <c r="AC1422" s="712" t="str">
        <f>IF(AE1422="T2G","no charge",IF(AND(OR(PlanterYesMe="No",PlanterYesMe="N",PlanterYesMe="me"),H1422=""),"",IF(H1422="credit","NO install",IF(AND(K1422="",AE1422="me"),"EACH row",IF(AND(K1422="images",AE1422="me"),"EACH row",IF(D1422="","",IF(H1422="credit","",IF(AE1422="free","re-planting",IF(AE1422="me","   not ELP, by",IF(AND(OR(PlanterYesMe="Yes",PlanterYesMe="Y"),G1422&gt;0),(VLOOKUP(A1422,'Discount Lookup'!J:K,2)*G1422*(1-PlanterDiscount)*(1+PlanterDifficultyPercentage)),IF(AE1422="ELP",(VLOOKUP(A1422,'Discount Lookup'!J:K,2)*G1422*(1-PlanterDiscount)*(1+PlanterDifficultyPercentage)),IF(AE1422="free","re-planting",IF(G1422=0,"",IF(PlanterYesMe="",IF(AE1422="me","   not ELP, by",IF(AE1422="",IF(G1422&gt;0,(VLOOKUP(A1422,'Discount Lookup'!J:K,2)*G1422*(1-PlanterDiscount)*(1+PlanterDifficultyPercentage)),""),"")),"   not ELP, by"))))))))))))))</f>
        <v/>
      </c>
      <c r="AD1422" s="712"/>
      <c r="AE1422" s="513" t="str">
        <f t="shared" si="1022"/>
        <v/>
      </c>
      <c r="AF1422" s="713" t="str">
        <f t="shared" si="1023"/>
        <v/>
      </c>
      <c r="AG1422" s="713"/>
      <c r="AH1422" s="713"/>
      <c r="AI1422" s="112">
        <f>IF(H1422="credit",0,IF(AE1422="free",0,IF(AE1422="me",0,IF(G1422&gt;0,(VLOOKUP(A1422,'Discount Lookup'!J:K,2)*G1422),0))))</f>
        <v>0</v>
      </c>
      <c r="AJ1422" s="107" t="str">
        <f t="shared" ca="1" si="1024"/>
        <v/>
      </c>
      <c r="AK1422" s="714" t="str">
        <f t="shared" si="1025"/>
        <v/>
      </c>
      <c r="AL1422" s="714"/>
      <c r="AM1422" s="114" t="str">
        <f t="shared" si="1026"/>
        <v/>
      </c>
      <c r="AN1422" s="115"/>
      <c r="AO1422" s="116"/>
      <c r="AP1422" s="116"/>
      <c r="AQ1422" s="116"/>
      <c r="AR1422" s="116"/>
      <c r="AS1422" s="116"/>
      <c r="AT1422" s="116"/>
      <c r="AU1422" s="116"/>
      <c r="AV1422" s="78"/>
      <c r="AW1422" s="102"/>
      <c r="AX1422" s="78"/>
      <c r="AY1422" s="78"/>
      <c r="AZ1422" s="78"/>
      <c r="BA1422" s="78"/>
      <c r="BB1422" s="78"/>
      <c r="BC1422" s="78"/>
      <c r="BD1422" s="78"/>
      <c r="BE1422" s="465"/>
      <c r="BF1422" s="165" t="str">
        <f t="shared" si="1027"/>
        <v>https://www.google.com/search?tbm=isch&amp;q=Globosa%20Nana%20grows%20naturally%20into%20a%20dense%2C%20dome%20shape.%20Bluish-green%20foliage%20turns%20rusty-red%20in%20winter%20</v>
      </c>
      <c r="BG1422" s="165" t="str">
        <f t="shared" si="1028"/>
        <v>G</v>
      </c>
      <c r="BH1422" s="65"/>
      <c r="BI1422" s="65"/>
      <c r="BJ1422" s="65"/>
      <c r="BK1422" s="65"/>
      <c r="BL1422" s="99"/>
      <c r="BM1422" s="99"/>
      <c r="BN1422" s="99"/>
    </row>
    <row r="1423" spans="1:66" s="51" customFormat="1" ht="18" x14ac:dyDescent="0.25">
      <c r="A1423" s="507" t="s">
        <v>319</v>
      </c>
      <c r="B1423" s="470"/>
      <c r="C1423" s="706"/>
      <c r="D1423" s="471" t="s">
        <v>320</v>
      </c>
      <c r="E1423" s="472"/>
      <c r="F1423" s="472"/>
      <c r="G1423" s="472"/>
      <c r="H1423" s="622" t="s">
        <v>318</v>
      </c>
      <c r="I1423" s="473" t="s">
        <v>440</v>
      </c>
      <c r="J1423" s="472"/>
      <c r="K1423" s="472"/>
      <c r="L1423" s="561"/>
      <c r="M1423" s="698" t="s">
        <v>5240</v>
      </c>
      <c r="N1423" s="692" t="str">
        <f>IF(AND(ISTEXT($A1423), ISERROR($A1423+0)), HYPERLINK($BF1423, "Images"), "")</f>
        <v>Images</v>
      </c>
      <c r="O1423" s="694" t="s">
        <v>5247</v>
      </c>
      <c r="P1423" s="475"/>
      <c r="Q1423" s="476"/>
      <c r="R1423" s="476"/>
      <c r="S1423" s="477"/>
      <c r="T1423" s="102">
        <f t="shared" si="1016"/>
        <v>0</v>
      </c>
      <c r="U1423" s="78" t="str">
        <f>IF(NOT(ISNUMBER(G1423)), "", VLOOKUP(A1423,'Discount Lookup'!D:E,2,FALSE)*G1423)</f>
        <v/>
      </c>
      <c r="V1423" s="78" t="str">
        <f>IF(NOT(ISNUMBER(G1423)), "", VLOOKUP(A1423,'Discount Lookup'!G:H,2,FALSE)*G1423)</f>
        <v/>
      </c>
      <c r="W1423" s="102">
        <f t="shared" si="1017"/>
        <v>0</v>
      </c>
      <c r="X1423" s="102" t="str">
        <f t="shared" si="1018"/>
        <v>Rich Green foliage</v>
      </c>
      <c r="Y1423" s="120" t="b">
        <f t="shared" si="1019"/>
        <v>0</v>
      </c>
      <c r="Z1423" s="117">
        <f t="shared" si="1020"/>
        <v>0</v>
      </c>
      <c r="AA1423" s="118"/>
      <c r="AB1423" s="118" t="str">
        <f t="shared" si="1021"/>
        <v/>
      </c>
      <c r="AC1423" s="712" t="str">
        <f>IF(AE1423="T2G","no charge",IF(AND(OR(PlanterYesMe="No",PlanterYesMe="N",PlanterYesMe="me"),H1423=""),"",IF(H1423="credit","NO install",IF(AND(K1423="",AE1423="me"),"EACH row",IF(AND(K1423="images",AE1423="me"),"EACH row",IF(D1423="","",IF(H1423="credit","",IF(AE1423="free","re-planting",IF(AE1423="me","   not ELP, by",IF(AND(OR(PlanterYesMe="Yes",PlanterYesMe="Y"),G1423&gt;0),(VLOOKUP(A1423,'Discount Lookup'!J:K,2)*G1423*(1-PlanterDiscount)*(1+PlanterDifficultyPercentage)),IF(AE1423="ELP",(VLOOKUP(A1423,'Discount Lookup'!J:K,2)*G1423*(1-PlanterDiscount)*(1+PlanterDifficultyPercentage)),IF(AE1423="free","re-planting",IF(G1423=0,"",IF(PlanterYesMe="",IF(AE1423="me","   not ELP, by",IF(AE1423="",IF(G1423&gt;0,(VLOOKUP(A1423,'Discount Lookup'!J:K,2)*G1423*(1-PlanterDiscount)*(1+PlanterDifficultyPercentage)),""),"")),"   not ELP, by"))))))))))))))</f>
        <v/>
      </c>
      <c r="AD1423" s="712"/>
      <c r="AE1423" s="513" t="str">
        <f t="shared" si="1022"/>
        <v/>
      </c>
      <c r="AF1423" s="713" t="str">
        <f t="shared" si="1023"/>
        <v/>
      </c>
      <c r="AG1423" s="713"/>
      <c r="AH1423" s="713"/>
      <c r="AI1423" s="112">
        <f>IF(H1423="credit",0,IF(AE1423="free",0,IF(AE1423="me",0,IF(G1423&gt;0,(VLOOKUP(A1423,'Discount Lookup'!J:K,2)*G1423),0))))</f>
        <v>0</v>
      </c>
      <c r="AJ1423" s="107" t="str">
        <f t="shared" ca="1" si="1024"/>
        <v/>
      </c>
      <c r="AK1423" s="714" t="str">
        <f t="shared" si="1025"/>
        <v/>
      </c>
      <c r="AL1423" s="714"/>
      <c r="AM1423" s="114" t="str">
        <f t="shared" si="1026"/>
        <v/>
      </c>
      <c r="AN1423" s="115"/>
      <c r="AO1423" s="116"/>
      <c r="AP1423" s="116"/>
      <c r="AQ1423" s="116"/>
      <c r="AR1423" s="116"/>
      <c r="AS1423" s="116"/>
      <c r="AT1423" s="116"/>
      <c r="AU1423" s="116"/>
      <c r="AV1423" s="78"/>
      <c r="AW1423" s="102"/>
      <c r="AX1423" s="78"/>
      <c r="AY1423" s="78"/>
      <c r="AZ1423" s="78"/>
      <c r="BA1423" s="78"/>
      <c r="BB1423" s="78"/>
      <c r="BC1423" s="78"/>
      <c r="BD1423" s="78"/>
      <c r="BE1423" s="465"/>
      <c r="BF1423" s="165" t="str">
        <f t="shared" si="1027"/>
        <v>https://www.google.com/search?tbm=isch&amp;q=Cryptomeria%20japonica%20%27Gyokuryu%27%20Gyokuryu%20Japanese%20Cedar</v>
      </c>
      <c r="BG1423" s="165" t="str">
        <f t="shared" si="1028"/>
        <v>C</v>
      </c>
      <c r="BH1423" s="65"/>
      <c r="BI1423" s="65"/>
      <c r="BJ1423" s="65"/>
      <c r="BK1423" s="65"/>
      <c r="BL1423" s="99"/>
      <c r="BM1423" s="99"/>
      <c r="BN1423" s="99"/>
    </row>
    <row r="1424" spans="1:66" s="51" customFormat="1" ht="15.75" x14ac:dyDescent="0.25">
      <c r="A1424" s="478">
        <v>15</v>
      </c>
      <c r="B1424" s="479" t="s">
        <v>291</v>
      </c>
      <c r="C1424" s="480" t="s">
        <v>841</v>
      </c>
      <c r="D1424" s="481" t="s">
        <v>311</v>
      </c>
      <c r="E1424" s="482">
        <v>137.94999999999999</v>
      </c>
      <c r="F1424" s="483" t="s">
        <v>292</v>
      </c>
      <c r="G1424" s="484">
        <v>0</v>
      </c>
      <c r="H1424" s="688" t="str">
        <f>IF(G1424=0,"",IF(F1424="Buy",IF(G1424=1,"plant","plants"),IF(F1424&gt;0.01,"warranty","Error")))</f>
        <v/>
      </c>
      <c r="I1424" s="485">
        <f>IF(H1424="free",0,IF(H1424="credit",((E1424*(F1424))*G1424*-1),IF(F1424="Buy",(E1424*G1424),((E1424*(1-F1424))*G1424))))</f>
        <v>0</v>
      </c>
      <c r="J1424" s="485">
        <f>IF(H1424="warranty",0,(I1424*(_xlfn.SINGLE(SalesTaxPercentage))))</f>
        <v>0</v>
      </c>
      <c r="K1424" s="715">
        <f t="shared" ref="K1424" si="1052">I1424+J1424</f>
        <v>0</v>
      </c>
      <c r="L1424" s="715"/>
      <c r="M1424" s="689" t="str">
        <f ca="1">IF(AND(G1424&gt;0,E1424=0),"WARNING - no PRICE inserted",IF(H1424="free","FREE ~ no charge this plant",IF(H1424="credit",CONCATENATE("-$",ROUND(K1424*(1-_xlfn.SINGLE(T2GDiscount))*-1,2)," CREDIT after discount"),IF(_xlfn.SINGLE(T2GDiscount)=0,"",IF(G1424=0,"",IF(F1424="Buy",CONCATENATE("$",ROUND(K1424*(1-_xlfn.SINGLE(T2GDiscount)),2)," with ",(_xlfn.SINGLE(T2GDiscount)*100),"% discount"),CONCATENATE("$",ROUND(K1424*(1-_xlfn.SINGLE(T2GDiscount)),2)," with ",((_xlfn.SINGLE(T2GDiscount)*100+F1424*100)-(_xlfn.SINGLE(T2GDiscount)*100*F1424)),IF(F1424&gt;0,"% discounts",IF(_xlfn.SINGLE(NoWarrantyDiscount)&gt;0,"% discounts","% discount")))))))))</f>
        <v/>
      </c>
      <c r="N1424" s="690"/>
      <c r="O1424" s="486"/>
      <c r="P1424" s="486"/>
      <c r="Q1424" s="486"/>
      <c r="R1424" s="486"/>
      <c r="S1424" s="486"/>
      <c r="T1424" s="102">
        <f t="shared" si="1016"/>
        <v>0</v>
      </c>
      <c r="U1424" s="78">
        <f>IF(NOT(ISNUMBER(G1424)), "", VLOOKUP(A1424,'Discount Lookup'!D:E,2,FALSE)*G1424)</f>
        <v>0</v>
      </c>
      <c r="V1424" s="78">
        <f>IF(NOT(ISNUMBER(G1424)), "", VLOOKUP(A1424,'Discount Lookup'!G:H,2,FALSE)*G1424)</f>
        <v>0</v>
      </c>
      <c r="W1424" s="102">
        <f t="shared" si="1017"/>
        <v>0</v>
      </c>
      <c r="X1424" s="102">
        <f t="shared" si="1018"/>
        <v>0</v>
      </c>
      <c r="Y1424" s="120" t="b">
        <f t="shared" si="1019"/>
        <v>0</v>
      </c>
      <c r="Z1424" s="117">
        <f t="shared" si="1020"/>
        <v>0</v>
      </c>
      <c r="AA1424" s="118"/>
      <c r="AB1424" s="118" t="str">
        <f t="shared" si="1021"/>
        <v/>
      </c>
      <c r="AC1424" s="712" t="str">
        <f>IF(AE1424="T2G","no charge",IF(AND(OR(PlanterYesMe="No",PlanterYesMe="N",PlanterYesMe="me"),H1424=""),"",IF(H1424="credit","NO install",IF(AND(K1424="",AE1424="me"),"EACH row",IF(AND(K1424="images",AE1424="me"),"EACH row",IF(D1424="","",IF(H1424="credit","",IF(AE1424="free","re-planting",IF(AE1424="me","   not ELP, by",IF(AND(OR(PlanterYesMe="Yes",PlanterYesMe="Y"),G1424&gt;0),(VLOOKUP(A1424,'Discount Lookup'!J:K,2)*G1424*(1-PlanterDiscount)*(1+PlanterDifficultyPercentage)),IF(AE1424="ELP",(VLOOKUP(A1424,'Discount Lookup'!J:K,2)*G1424*(1-PlanterDiscount)*(1+PlanterDifficultyPercentage)),IF(AE1424="free","re-planting",IF(G1424=0,"",IF(PlanterYesMe="",IF(AE1424="me","   not ELP, by",IF(AE1424="",IF(G1424&gt;0,(VLOOKUP(A1424,'Discount Lookup'!J:K,2)*G1424*(1-PlanterDiscount)*(1+PlanterDifficultyPercentage)),""),"")),"   not ELP, by"))))))))))))))</f>
        <v/>
      </c>
      <c r="AD1424" s="712"/>
      <c r="AE1424" s="513" t="str">
        <f t="shared" si="1022"/>
        <v/>
      </c>
      <c r="AF1424" s="713" t="str">
        <f t="shared" si="1023"/>
        <v/>
      </c>
      <c r="AG1424" s="713"/>
      <c r="AH1424" s="713"/>
      <c r="AI1424" s="112">
        <f>IF(H1424="credit",0,IF(AE1424="free",0,IF(AE1424="me",0,IF(G1424&gt;0,(VLOOKUP(A1424,'Discount Lookup'!J:K,2)*G1424),0))))</f>
        <v>0</v>
      </c>
      <c r="AJ1424" s="107" t="str">
        <f t="shared" ca="1" si="1024"/>
        <v/>
      </c>
      <c r="AK1424" s="714" t="str">
        <f t="shared" si="1025"/>
        <v/>
      </c>
      <c r="AL1424" s="714"/>
      <c r="AM1424" s="114" t="str">
        <f t="shared" si="1026"/>
        <v/>
      </c>
      <c r="AN1424" s="115"/>
      <c r="AO1424" s="116"/>
      <c r="AP1424" s="116"/>
      <c r="AQ1424" s="116"/>
      <c r="AR1424" s="116"/>
      <c r="AS1424" s="116"/>
      <c r="AT1424" s="116"/>
      <c r="AU1424" s="116"/>
      <c r="AV1424" s="78"/>
      <c r="AW1424" s="102"/>
      <c r="AX1424" s="78"/>
      <c r="AY1424" s="78"/>
      <c r="AZ1424" s="78"/>
      <c r="BA1424" s="78"/>
      <c r="BB1424" s="78"/>
      <c r="BC1424" s="78"/>
      <c r="BD1424" s="78"/>
      <c r="BE1424" s="465"/>
      <c r="BF1424" s="165" t="str">
        <f t="shared" si="1027"/>
        <v>https://www.google.com/search?tbm=isch&amp;q=15%20G5</v>
      </c>
      <c r="BG1424" s="165" t="str">
        <f t="shared" si="1028"/>
        <v>C</v>
      </c>
      <c r="BH1424" s="65"/>
      <c r="BI1424" s="65"/>
      <c r="BJ1424" s="65"/>
      <c r="BK1424" s="65"/>
      <c r="BL1424" s="99"/>
      <c r="BM1424" s="99"/>
      <c r="BN1424" s="99"/>
    </row>
    <row r="1425" spans="1:66" s="51" customFormat="1" ht="15.75" x14ac:dyDescent="0.25">
      <c r="A1425" s="478">
        <v>15</v>
      </c>
      <c r="B1425" s="479" t="s">
        <v>291</v>
      </c>
      <c r="C1425" s="480" t="s">
        <v>942</v>
      </c>
      <c r="D1425" s="481" t="s">
        <v>299</v>
      </c>
      <c r="E1425" s="482">
        <v>201.95</v>
      </c>
      <c r="F1425" s="483" t="s">
        <v>292</v>
      </c>
      <c r="G1425" s="484">
        <v>0</v>
      </c>
      <c r="H1425" s="688" t="str">
        <f>IF(G1425=0,"",IF(F1425="Buy",IF(G1425=1,"plant","plants"),IF(F1425&gt;0.01,"warranty","Error")))</f>
        <v/>
      </c>
      <c r="I1425" s="485">
        <f>IF(H1425="free",0,IF(H1425="credit",((E1425*(F1425))*G1425*-1),IF(F1425="Buy",(E1425*G1425),((E1425*(1-F1425))*G1425))))</f>
        <v>0</v>
      </c>
      <c r="J1425" s="485">
        <f>IF(H1425="warranty",0,(I1425*(_xlfn.SINGLE(SalesTaxPercentage))))</f>
        <v>0</v>
      </c>
      <c r="K1425" s="715">
        <f t="shared" ref="K1425" si="1053">I1425+J1425</f>
        <v>0</v>
      </c>
      <c r="L1425" s="715"/>
      <c r="M1425" s="689" t="str">
        <f ca="1">IF(AND(G1425&gt;0,E1425=0),"WARNING - no PRICE inserted",IF(H1425="free","FREE ~ no charge this plant",IF(H1425="credit",CONCATENATE("-$",ROUND(K1425*(1-_xlfn.SINGLE(T2GDiscount))*-1,2)," CREDIT after discount"),IF(_xlfn.SINGLE(T2GDiscount)=0,"",IF(G1425=0,"",IF(F1425="Buy",CONCATENATE("$",ROUND(K1425*(1-_xlfn.SINGLE(T2GDiscount)),2)," with ",(_xlfn.SINGLE(T2GDiscount)*100),"% discount"),CONCATENATE("$",ROUND(K1425*(1-_xlfn.SINGLE(T2GDiscount)),2)," with ",((_xlfn.SINGLE(T2GDiscount)*100+F1425*100)-(_xlfn.SINGLE(T2GDiscount)*100*F1425)),IF(F1425&gt;0,"% discounts",IF(_xlfn.SINGLE(NoWarrantyDiscount)&gt;0,"% discounts","% discount")))))))))</f>
        <v/>
      </c>
      <c r="N1425" s="690"/>
      <c r="O1425" s="486"/>
      <c r="P1425" s="486"/>
      <c r="Q1425" s="486"/>
      <c r="R1425" s="486"/>
      <c r="S1425" s="486"/>
      <c r="T1425" s="102">
        <f t="shared" si="1016"/>
        <v>0</v>
      </c>
      <c r="U1425" s="78">
        <f>IF(NOT(ISNUMBER(G1425)), "", VLOOKUP(A1425,'Discount Lookup'!D:E,2,FALSE)*G1425)</f>
        <v>0</v>
      </c>
      <c r="V1425" s="78">
        <f>IF(NOT(ISNUMBER(G1425)), "", VLOOKUP(A1425,'Discount Lookup'!G:H,2,FALSE)*G1425)</f>
        <v>0</v>
      </c>
      <c r="W1425" s="102">
        <f t="shared" si="1017"/>
        <v>0</v>
      </c>
      <c r="X1425" s="102">
        <f t="shared" si="1018"/>
        <v>0</v>
      </c>
      <c r="Y1425" s="120" t="b">
        <f t="shared" si="1019"/>
        <v>0</v>
      </c>
      <c r="Z1425" s="117">
        <f t="shared" si="1020"/>
        <v>0</v>
      </c>
      <c r="AA1425" s="118"/>
      <c r="AB1425" s="118" t="str">
        <f t="shared" si="1021"/>
        <v/>
      </c>
      <c r="AC1425" s="712" t="str">
        <f>IF(AE1425="T2G","no charge",IF(AND(OR(PlanterYesMe="No",PlanterYesMe="N",PlanterYesMe="me"),H1425=""),"",IF(H1425="credit","NO install",IF(AND(K1425="",AE1425="me"),"EACH row",IF(AND(K1425="images",AE1425="me"),"EACH row",IF(D1425="","",IF(H1425="credit","",IF(AE1425="free","re-planting",IF(AE1425="me","   not ELP, by",IF(AND(OR(PlanterYesMe="Yes",PlanterYesMe="Y"),G1425&gt;0),(VLOOKUP(A1425,'Discount Lookup'!J:K,2)*G1425*(1-PlanterDiscount)*(1+PlanterDifficultyPercentage)),IF(AE1425="ELP",(VLOOKUP(A1425,'Discount Lookup'!J:K,2)*G1425*(1-PlanterDiscount)*(1+PlanterDifficultyPercentage)),IF(AE1425="free","re-planting",IF(G1425=0,"",IF(PlanterYesMe="",IF(AE1425="me","   not ELP, by",IF(AE1425="",IF(G1425&gt;0,(VLOOKUP(A1425,'Discount Lookup'!J:K,2)*G1425*(1-PlanterDiscount)*(1+PlanterDifficultyPercentage)),""),"")),"   not ELP, by"))))))))))))))</f>
        <v/>
      </c>
      <c r="AD1425" s="712"/>
      <c r="AE1425" s="513" t="str">
        <f t="shared" si="1022"/>
        <v/>
      </c>
      <c r="AF1425" s="713" t="str">
        <f t="shared" si="1023"/>
        <v/>
      </c>
      <c r="AG1425" s="713"/>
      <c r="AH1425" s="713"/>
      <c r="AI1425" s="112">
        <f>IF(H1425="credit",0,IF(AE1425="free",0,IF(AE1425="me",0,IF(G1425&gt;0,(VLOOKUP(A1425,'Discount Lookup'!J:K,2)*G1425),0))))</f>
        <v>0</v>
      </c>
      <c r="AJ1425" s="107" t="str">
        <f t="shared" ca="1" si="1024"/>
        <v/>
      </c>
      <c r="AK1425" s="714" t="str">
        <f t="shared" si="1025"/>
        <v/>
      </c>
      <c r="AL1425" s="714"/>
      <c r="AM1425" s="114" t="str">
        <f t="shared" si="1026"/>
        <v/>
      </c>
      <c r="AN1425" s="115"/>
      <c r="AO1425" s="116"/>
      <c r="AP1425" s="116"/>
      <c r="AQ1425" s="116"/>
      <c r="AR1425" s="116"/>
      <c r="AS1425" s="116"/>
      <c r="AT1425" s="116"/>
      <c r="AU1425" s="116"/>
      <c r="AV1425" s="78"/>
      <c r="AW1425" s="102"/>
      <c r="AX1425" s="78"/>
      <c r="AY1425" s="78"/>
      <c r="AZ1425" s="78"/>
      <c r="BA1425" s="78"/>
      <c r="BB1425" s="78"/>
      <c r="BC1425" s="78"/>
      <c r="BD1425" s="78"/>
      <c r="BE1425" s="465"/>
      <c r="BF1425" s="165" t="str">
        <f t="shared" si="1027"/>
        <v>https://www.google.com/search?tbm=isch&amp;q=15%20G4</v>
      </c>
      <c r="BG1425" s="165" t="str">
        <f t="shared" si="1028"/>
        <v>C</v>
      </c>
      <c r="BH1425" s="65"/>
      <c r="BI1425" s="65"/>
      <c r="BJ1425" s="65"/>
      <c r="BK1425" s="65"/>
      <c r="BL1425" s="99"/>
      <c r="BM1425" s="99"/>
      <c r="BN1425" s="99"/>
    </row>
    <row r="1426" spans="1:66" s="51" customFormat="1" ht="16.5" thickBot="1" x14ac:dyDescent="0.3">
      <c r="A1426" s="508" t="s">
        <v>452</v>
      </c>
      <c r="B1426" s="487"/>
      <c r="C1426" s="707"/>
      <c r="D1426" s="487"/>
      <c r="E1426" s="487"/>
      <c r="F1426" s="488"/>
      <c r="G1426" s="489"/>
      <c r="H1426" s="487"/>
      <c r="I1426" s="490"/>
      <c r="J1426" s="490"/>
      <c r="K1426" s="491"/>
      <c r="L1426" s="547"/>
      <c r="M1426" s="528"/>
      <c r="N1426" s="492"/>
      <c r="O1426" s="493"/>
      <c r="P1426" s="494"/>
      <c r="Q1426" s="492"/>
      <c r="R1426" s="492"/>
      <c r="S1426" s="495"/>
      <c r="T1426" s="102">
        <f t="shared" si="1016"/>
        <v>0</v>
      </c>
      <c r="U1426" s="78" t="str">
        <f>IF(NOT(ISNUMBER(G1426)), "", VLOOKUP(A1426,'Discount Lookup'!D:E,2,FALSE)*G1426)</f>
        <v/>
      </c>
      <c r="V1426" s="78" t="str">
        <f>IF(NOT(ISNUMBER(G1426)), "", VLOOKUP(A1426,'Discount Lookup'!G:H,2,FALSE)*G1426)</f>
        <v/>
      </c>
      <c r="W1426" s="102">
        <f t="shared" si="1017"/>
        <v>0</v>
      </c>
      <c r="X1426" s="102">
        <f t="shared" si="1018"/>
        <v>0</v>
      </c>
      <c r="Y1426" s="120" t="b">
        <f t="shared" si="1019"/>
        <v>0</v>
      </c>
      <c r="Z1426" s="117">
        <f t="shared" si="1020"/>
        <v>0</v>
      </c>
      <c r="AA1426" s="118"/>
      <c r="AB1426" s="118" t="str">
        <f t="shared" si="1021"/>
        <v/>
      </c>
      <c r="AC1426" s="712" t="str">
        <f>IF(AE1426="T2G","no charge",IF(AND(OR(PlanterYesMe="No",PlanterYesMe="N",PlanterYesMe="me"),H1426=""),"",IF(H1426="credit","NO install",IF(AND(K1426="",AE1426="me"),"EACH row",IF(AND(K1426="images",AE1426="me"),"EACH row",IF(D1426="","",IF(H1426="credit","",IF(AE1426="free","re-planting",IF(AE1426="me","   not ELP, by",IF(AND(OR(PlanterYesMe="Yes",PlanterYesMe="Y"),G1426&gt;0),(VLOOKUP(A1426,'Discount Lookup'!J:K,2)*G1426*(1-PlanterDiscount)*(1+PlanterDifficultyPercentage)),IF(AE1426="ELP",(VLOOKUP(A1426,'Discount Lookup'!J:K,2)*G1426*(1-PlanterDiscount)*(1+PlanterDifficultyPercentage)),IF(AE1426="free","re-planting",IF(G1426=0,"",IF(PlanterYesMe="",IF(AE1426="me","   not ELP, by",IF(AE1426="",IF(G1426&gt;0,(VLOOKUP(A1426,'Discount Lookup'!J:K,2)*G1426*(1-PlanterDiscount)*(1+PlanterDifficultyPercentage)),""),"")),"   not ELP, by"))))))))))))))</f>
        <v/>
      </c>
      <c r="AD1426" s="712"/>
      <c r="AE1426" s="513" t="str">
        <f t="shared" si="1022"/>
        <v/>
      </c>
      <c r="AF1426" s="713" t="str">
        <f t="shared" si="1023"/>
        <v/>
      </c>
      <c r="AG1426" s="713"/>
      <c r="AH1426" s="713"/>
      <c r="AI1426" s="112">
        <f>IF(H1426="credit",0,IF(AE1426="free",0,IF(AE1426="me",0,IF(G1426&gt;0,(VLOOKUP(A1426,'Discount Lookup'!J:K,2)*G1426),0))))</f>
        <v>0</v>
      </c>
      <c r="AJ1426" s="107" t="str">
        <f t="shared" ca="1" si="1024"/>
        <v/>
      </c>
      <c r="AK1426" s="714" t="str">
        <f t="shared" si="1025"/>
        <v/>
      </c>
      <c r="AL1426" s="714"/>
      <c r="AM1426" s="114" t="str">
        <f t="shared" si="1026"/>
        <v/>
      </c>
      <c r="AN1426" s="115"/>
      <c r="AO1426" s="116"/>
      <c r="AP1426" s="116"/>
      <c r="AQ1426" s="116"/>
      <c r="AR1426" s="116"/>
      <c r="AS1426" s="116"/>
      <c r="AT1426" s="116"/>
      <c r="AU1426" s="116"/>
      <c r="AV1426" s="78"/>
      <c r="AW1426" s="102"/>
      <c r="AX1426" s="78"/>
      <c r="AY1426" s="78"/>
      <c r="AZ1426" s="78"/>
      <c r="BA1426" s="78"/>
      <c r="BB1426" s="78"/>
      <c r="BC1426" s="78"/>
      <c r="BD1426" s="78"/>
      <c r="BE1426" s="465"/>
      <c r="BF1426" s="165" t="str">
        <f t="shared" si="1027"/>
        <v>https://www.google.com/search?tbm=isch&amp;q=Gyokuryu%20prized%20for%20its%20dense%2C%20naturally%20broad%20form%20and%20its%20excellent%20ability%20to%20maintain%20good%20color%20right%20through%20cold%20winters%20</v>
      </c>
      <c r="BG1426" s="165" t="str">
        <f t="shared" si="1028"/>
        <v>G</v>
      </c>
      <c r="BH1426" s="65"/>
      <c r="BI1426" s="65"/>
      <c r="BJ1426" s="65"/>
      <c r="BK1426" s="65"/>
      <c r="BL1426" s="99"/>
      <c r="BM1426" s="99"/>
      <c r="BN1426" s="99"/>
    </row>
    <row r="1427" spans="1:66" s="51" customFormat="1" ht="18" x14ac:dyDescent="0.25">
      <c r="A1427" s="507" t="s">
        <v>321</v>
      </c>
      <c r="B1427" s="470"/>
      <c r="C1427" s="706"/>
      <c r="D1427" s="471" t="s">
        <v>322</v>
      </c>
      <c r="E1427" s="472"/>
      <c r="F1427" s="472"/>
      <c r="G1427" s="472"/>
      <c r="H1427" s="622" t="s">
        <v>444</v>
      </c>
      <c r="I1427" s="473" t="s">
        <v>431</v>
      </c>
      <c r="J1427" s="472"/>
      <c r="K1427" s="472"/>
      <c r="L1427" s="561"/>
      <c r="M1427" s="698" t="s">
        <v>5240</v>
      </c>
      <c r="N1427" s="692" t="str">
        <f>IF(AND(ISTEXT($A1427), ISERROR($A1427+0)), HYPERLINK($BF1427, "Images"), "")</f>
        <v>Images</v>
      </c>
      <c r="O1427" s="694" t="s">
        <v>5247</v>
      </c>
      <c r="P1427" s="475"/>
      <c r="Q1427" s="476"/>
      <c r="R1427" s="476"/>
      <c r="S1427" s="477"/>
      <c r="T1427" s="102">
        <f t="shared" si="1016"/>
        <v>0</v>
      </c>
      <c r="U1427" s="78" t="str">
        <f>IF(NOT(ISNUMBER(G1427)), "", VLOOKUP(A1427,'Discount Lookup'!D:E,2,FALSE)*G1427)</f>
        <v/>
      </c>
      <c r="V1427" s="78" t="str">
        <f>IF(NOT(ISNUMBER(G1427)), "", VLOOKUP(A1427,'Discount Lookup'!G:H,2,FALSE)*G1427)</f>
        <v/>
      </c>
      <c r="W1427" s="102">
        <f t="shared" si="1017"/>
        <v>0</v>
      </c>
      <c r="X1427" s="102" t="str">
        <f t="shared" si="1018"/>
        <v>Dark Green foliage</v>
      </c>
      <c r="Y1427" s="120" t="b">
        <f t="shared" si="1019"/>
        <v>0</v>
      </c>
      <c r="Z1427" s="117">
        <f t="shared" si="1020"/>
        <v>0</v>
      </c>
      <c r="AA1427" s="118"/>
      <c r="AB1427" s="118" t="str">
        <f t="shared" si="1021"/>
        <v/>
      </c>
      <c r="AC1427" s="712" t="str">
        <f>IF(AE1427="T2G","no charge",IF(AND(OR(PlanterYesMe="No",PlanterYesMe="N",PlanterYesMe="me"),H1427=""),"",IF(H1427="credit","NO install",IF(AND(K1427="",AE1427="me"),"EACH row",IF(AND(K1427="images",AE1427="me"),"EACH row",IF(D1427="","",IF(H1427="credit","",IF(AE1427="free","re-planting",IF(AE1427="me","   not ELP, by",IF(AND(OR(PlanterYesMe="Yes",PlanterYesMe="Y"),G1427&gt;0),(VLOOKUP(A1427,'Discount Lookup'!J:K,2)*G1427*(1-PlanterDiscount)*(1+PlanterDifficultyPercentage)),IF(AE1427="ELP",(VLOOKUP(A1427,'Discount Lookup'!J:K,2)*G1427*(1-PlanterDiscount)*(1+PlanterDifficultyPercentage)),IF(AE1427="free","re-planting",IF(G1427=0,"",IF(PlanterYesMe="",IF(AE1427="me","   not ELP, by",IF(AE1427="",IF(G1427&gt;0,(VLOOKUP(A1427,'Discount Lookup'!J:K,2)*G1427*(1-PlanterDiscount)*(1+PlanterDifficultyPercentage)),""),"")),"   not ELP, by"))))))))))))))</f>
        <v/>
      </c>
      <c r="AD1427" s="712"/>
      <c r="AE1427" s="513" t="str">
        <f t="shared" si="1022"/>
        <v/>
      </c>
      <c r="AF1427" s="713" t="str">
        <f t="shared" si="1023"/>
        <v/>
      </c>
      <c r="AG1427" s="713"/>
      <c r="AH1427" s="713"/>
      <c r="AI1427" s="112">
        <f>IF(H1427="credit",0,IF(AE1427="free",0,IF(AE1427="me",0,IF(G1427&gt;0,(VLOOKUP(A1427,'Discount Lookup'!J:K,2)*G1427),0))))</f>
        <v>0</v>
      </c>
      <c r="AJ1427" s="107" t="str">
        <f t="shared" ca="1" si="1024"/>
        <v/>
      </c>
      <c r="AK1427" s="714" t="str">
        <f t="shared" si="1025"/>
        <v/>
      </c>
      <c r="AL1427" s="714"/>
      <c r="AM1427" s="114" t="str">
        <f t="shared" si="1026"/>
        <v/>
      </c>
      <c r="AN1427" s="115"/>
      <c r="AO1427" s="116"/>
      <c r="AP1427" s="116"/>
      <c r="AQ1427" s="116"/>
      <c r="AR1427" s="116"/>
      <c r="AS1427" s="116"/>
      <c r="AT1427" s="116"/>
      <c r="AU1427" s="116"/>
      <c r="AV1427" s="78"/>
      <c r="AW1427" s="102"/>
      <c r="AX1427" s="78"/>
      <c r="AY1427" s="78"/>
      <c r="AZ1427" s="78"/>
      <c r="BA1427" s="78"/>
      <c r="BB1427" s="78"/>
      <c r="BC1427" s="78"/>
      <c r="BD1427" s="78"/>
      <c r="BE1427" s="465"/>
      <c r="BF1427" s="165" t="str">
        <f t="shared" si="1027"/>
        <v>https://www.google.com/search?tbm=isch&amp;q=Cryptomeria%20japonica%20%27Radicans%27%20Radicans%20Cryptomeria</v>
      </c>
      <c r="BG1427" s="165" t="str">
        <f t="shared" si="1028"/>
        <v>C</v>
      </c>
      <c r="BH1427" s="65"/>
      <c r="BI1427" s="65"/>
      <c r="BJ1427" s="65"/>
      <c r="BK1427" s="65"/>
      <c r="BL1427" s="99"/>
      <c r="BM1427" s="99"/>
      <c r="BN1427" s="99"/>
    </row>
    <row r="1428" spans="1:66" s="51" customFormat="1" ht="15.75" x14ac:dyDescent="0.25">
      <c r="A1428" s="478">
        <v>7</v>
      </c>
      <c r="B1428" s="479" t="s">
        <v>291</v>
      </c>
      <c r="C1428" s="480" t="s">
        <v>943</v>
      </c>
      <c r="D1428" s="481" t="s">
        <v>299</v>
      </c>
      <c r="E1428" s="482">
        <v>95.95</v>
      </c>
      <c r="F1428" s="483" t="s">
        <v>292</v>
      </c>
      <c r="G1428" s="484">
        <v>0</v>
      </c>
      <c r="H1428" s="688" t="str">
        <f>IF(G1428=0,"",IF(F1428="Buy",IF(G1428=1,"plant","plants"),IF(F1428&gt;0.01,"warranty","Error")))</f>
        <v/>
      </c>
      <c r="I1428" s="485">
        <f>IF(H1428="free",0,IF(H1428="credit",((E1428*(F1428))*G1428*-1),IF(F1428="Buy",(E1428*G1428),((E1428*(1-F1428))*G1428))))</f>
        <v>0</v>
      </c>
      <c r="J1428" s="485">
        <f>IF(H1428="warranty",0,(I1428*(_xlfn.SINGLE(SalesTaxPercentage))))</f>
        <v>0</v>
      </c>
      <c r="K1428" s="715">
        <f t="shared" ref="K1428" si="1054">I1428+J1428</f>
        <v>0</v>
      </c>
      <c r="L1428" s="715"/>
      <c r="M1428" s="689" t="str">
        <f ca="1">IF(AND(G1428&gt;0,E1428=0),"WARNING - no PRICE inserted",IF(H1428="free","FREE ~ no charge this plant",IF(H1428="credit",CONCATENATE("-$",ROUND(K1428*(1-_xlfn.SINGLE(T2GDiscount))*-1,2)," CREDIT after discount"),IF(_xlfn.SINGLE(T2GDiscount)=0,"",IF(G1428=0,"",IF(F1428="Buy",CONCATENATE("$",ROUND(K1428*(1-_xlfn.SINGLE(T2GDiscount)),2)," with ",(_xlfn.SINGLE(T2GDiscount)*100),"% discount"),CONCATENATE("$",ROUND(K1428*(1-_xlfn.SINGLE(T2GDiscount)),2)," with ",((_xlfn.SINGLE(T2GDiscount)*100+F1428*100)-(_xlfn.SINGLE(T2GDiscount)*100*F1428)),IF(F1428&gt;0,"% discounts",IF(_xlfn.SINGLE(NoWarrantyDiscount)&gt;0,"% discounts","% discount")))))))))</f>
        <v/>
      </c>
      <c r="N1428" s="690"/>
      <c r="O1428" s="486"/>
      <c r="P1428" s="486"/>
      <c r="Q1428" s="486"/>
      <c r="R1428" s="486"/>
      <c r="S1428" s="486"/>
      <c r="T1428" s="102">
        <f t="shared" ref="T1428:T1491" si="1055">E1428*G1428</f>
        <v>0</v>
      </c>
      <c r="U1428" s="78">
        <f>IF(NOT(ISNUMBER(G1428)), "", VLOOKUP(A1428,'Discount Lookup'!D:E,2,FALSE)*G1428)</f>
        <v>0</v>
      </c>
      <c r="V1428" s="78">
        <f>IF(NOT(ISNUMBER(G1428)), "", VLOOKUP(A1428,'Discount Lookup'!G:H,2,FALSE)*G1428)</f>
        <v>0</v>
      </c>
      <c r="W1428" s="102">
        <f t="shared" ref="W1428:W1491" si="1056">IF(H1428="credit",0,E1428*(SalesTaxPercentage)*G1428)</f>
        <v>0</v>
      </c>
      <c r="X1428" s="102">
        <f t="shared" ref="X1428:X1491" si="1057">I1428</f>
        <v>0</v>
      </c>
      <c r="Y1428" s="120" t="b">
        <f t="shared" ref="Y1428:Y1491" si="1058">IF(AE1428="T2G",0,IF(H1428="credit",0,IF(G1428&gt;0,IF(AE1428="me","",G1428))))</f>
        <v>0</v>
      </c>
      <c r="Z1428" s="117">
        <f t="shared" ref="Z1428:Z1491" si="1059">IF(H1428="credit",G1428,0)</f>
        <v>0</v>
      </c>
      <c r="AA1428" s="118"/>
      <c r="AB1428" s="118" t="str">
        <f t="shared" ref="AB1428:AB1491" si="1060">IF(AE1428="T2G","by Trees2Go",IF(H1428="credit","CREDIT only ~",IF(AND(K1428="",AE1428=OR(PlanterYesMe="No",PlanterYesMe="N",PlanterYesMe="me")),"not THIS line⇨",IF(AND(K1428="images",AE1428="me"),"not THIS line⇨",IF(H1428="credit","",IF(G1428=0,"",IF(AE1428="me","",IF(OR(PlanterYesMe="No",PlanterYesMe="N",PlanterYesMe="me"),"",IF(AE1428="free","warranty",IF(OR(PlanterYesMe="yes",PlanterYesMe="y"),"Edison install:","to install:"))))))))))</f>
        <v/>
      </c>
      <c r="AC1428" s="712" t="str">
        <f>IF(AE1428="T2G","no charge",IF(AND(OR(PlanterYesMe="No",PlanterYesMe="N",PlanterYesMe="me"),H1428=""),"",IF(H1428="credit","NO install",IF(AND(K1428="",AE1428="me"),"EACH row",IF(AND(K1428="images",AE1428="me"),"EACH row",IF(D1428="","",IF(H1428="credit","",IF(AE1428="free","re-planting",IF(AE1428="me","   not ELP, by",IF(AND(OR(PlanterYesMe="Yes",PlanterYesMe="Y"),G1428&gt;0),(VLOOKUP(A1428,'Discount Lookup'!J:K,2)*G1428*(1-PlanterDiscount)*(1+PlanterDifficultyPercentage)),IF(AE1428="ELP",(VLOOKUP(A1428,'Discount Lookup'!J:K,2)*G1428*(1-PlanterDiscount)*(1+PlanterDifficultyPercentage)),IF(AE1428="free","re-planting",IF(G1428=0,"",IF(PlanterYesMe="",IF(AE1428="me","   not ELP, by",IF(AE1428="",IF(G1428&gt;0,(VLOOKUP(A1428,'Discount Lookup'!J:K,2)*G1428*(1-PlanterDiscount)*(1+PlanterDifficultyPercentage)),""),"")),"   not ELP, by"))))))))))))))</f>
        <v/>
      </c>
      <c r="AD1428" s="712"/>
      <c r="AE1428" s="513" t="str">
        <f t="shared" ref="AE1428:AE1491" si="1061">IF(H1428="credit","",IF(G1428=0,"",IF(OR(PlanterYesMe="No",PlanterYesMe="N",PlanterYesMe="me"),"me",IF(H1428="warranty","free",IF(OR(PlanterYesMe="yes",PlanterYesMe="y"),"ELP","")))))</f>
        <v/>
      </c>
      <c r="AF1428" s="713" t="str">
        <f t="shared" ref="AF1428:AF1491" si="1062">IF(OR(PlanterYesMe="No",PlanterYesMe="N",PlanterYesMe="me"),"",IF(H1428="credit","",IF(G1428&gt;0,(CONCATENATE((G1428)," quantity, ",(A1428)," ",B1428)),"")))</f>
        <v/>
      </c>
      <c r="AG1428" s="713"/>
      <c r="AH1428" s="713"/>
      <c r="AI1428" s="112">
        <f>IF(H1428="credit",0,IF(AE1428="free",0,IF(AE1428="me",0,IF(G1428&gt;0,(VLOOKUP(A1428,'Discount Lookup'!J:K,2)*G1428),0))))</f>
        <v>0</v>
      </c>
      <c r="AJ1428" s="107" t="str">
        <f t="shared" ref="AJ1428:AJ1491" ca="1" si="1063">IF(AND(ISREF(H1428),H1428="credit"),"",IF(AND(AND(OFFSET(G1428,0,0)=0,OFFSET(G1428,1,0)&gt;0,ISNUMBER(OFFSET(AC1428,1,0)),OFFSET(AC1428,1,0)&gt;0),OR(PlanterYesMe="yes",PlanterYesMe="y")),"T2G+ELP=",IF(AND(OFFSET(G1428,0,0)=0,OFFSET(G1428,1,0)&gt;0,ISNUMBER(OFFSET(AC1428,1,0)),OFFSET(AC1428,1,0)&gt;0),"if T2G+ELP=",IF(AND(OFFSET(G1428,0,0)=0,OFFSET(G1428,1,0)&gt;0),"T2G Subtotal",IF(H1428="credit","",IF(G1428=0,"",IF(AE1428="free",(K1428*(1-T2GDiscount)),IF(OR(PlanterYesMe="No",PlanterYesMe="N",PlanterYesMe="me"),(K1428*(1-T2GDiscount)),IF(OR(AE1428="me",AE1428="T2G"),(K1428*(1-T2GDiscount)),(K1428*(1-T2GDiscount))+AC1428)))))))))</f>
        <v/>
      </c>
      <c r="AK1428" s="714" t="str">
        <f t="shared" ref="AK1428:AK1491" si="1064">IF(H1428="credit","",IF(G1428=0,"",IF(OR(AE1428="me",AE1428="T2G"),"  delivery-only",IF(OR(PlanterYesMe="No",PlanterYesMe="N",PlanterYesMe="me"),"  delivery-only",CONCATENATE(" $",ROUND(AJ1428/G1428,2)," each")))))</f>
        <v/>
      </c>
      <c r="AL1428" s="714"/>
      <c r="AM1428" s="114" t="str">
        <f t="shared" ref="AM1428:AM1491" si="1065">IF(H1428="credit","",IF(AE1428="free","      ~ discounts included, no tax or planting fee applies ~",IF(G1428=0,"",IF(OR(PlanterYesMe="No",PlanterYesMe="N",PlanterYesMe="me"),CONCATENATE(" $",ROUND(AJ1428/G1428,2)," per plant, with tax &amp; discount"),IF(OR(AE1428="me",AE1428="T2G"),CONCATENATE(" $",ROUND(AJ1428/G1428,2)," per plant, with tax &amp; discount"),CONCATENATE("= $",ROUND((K1428*(1-T2GDiscount))/G1428,2)," per plant + $",AC1428/G1428,(" per planting      ~ includes tax &amp; discounts ~")))))))</f>
        <v/>
      </c>
      <c r="AN1428" s="115"/>
      <c r="AO1428" s="116"/>
      <c r="AP1428" s="116"/>
      <c r="AQ1428" s="116"/>
      <c r="AR1428" s="116"/>
      <c r="AS1428" s="116"/>
      <c r="AT1428" s="116"/>
      <c r="AU1428" s="116"/>
      <c r="AV1428" s="78"/>
      <c r="AW1428" s="102"/>
      <c r="AX1428" s="78"/>
      <c r="AY1428" s="78"/>
      <c r="AZ1428" s="78"/>
      <c r="BA1428" s="78"/>
      <c r="BB1428" s="78"/>
      <c r="BC1428" s="78"/>
      <c r="BD1428" s="78"/>
      <c r="BE1428" s="465"/>
      <c r="BF1428" s="165" t="str">
        <f t="shared" ref="BF1428:BF1491" si="1066">"https://www.google.com/search?tbm=isch&amp;q=" &amp; _xlfn.ENCODEURL($A1428 &amp; " " &amp; $D1428)</f>
        <v>https://www.google.com/search?tbm=isch&amp;q=7%20G4</v>
      </c>
      <c r="BG1428" s="165" t="str">
        <f t="shared" ref="BG1428:BG1491" si="1067">IF(ISTEXT(A1428),LEFT(A1428,1),BG1427)</f>
        <v>C</v>
      </c>
      <c r="BH1428" s="65"/>
      <c r="BI1428" s="65"/>
      <c r="BJ1428" s="65"/>
      <c r="BK1428" s="65"/>
      <c r="BL1428" s="99"/>
      <c r="BM1428" s="99"/>
      <c r="BN1428" s="99"/>
    </row>
    <row r="1429" spans="1:66" s="51" customFormat="1" ht="16.5" x14ac:dyDescent="0.25">
      <c r="A1429" s="508" t="s">
        <v>835</v>
      </c>
      <c r="B1429" s="487"/>
      <c r="C1429" s="707"/>
      <c r="D1429" s="487"/>
      <c r="E1429" s="487"/>
      <c r="F1429" s="488"/>
      <c r="G1429" s="489"/>
      <c r="H1429" s="487"/>
      <c r="I1429" s="490"/>
      <c r="J1429" s="490"/>
      <c r="K1429" s="491"/>
      <c r="L1429" s="547"/>
      <c r="M1429" s="528"/>
      <c r="N1429" s="492"/>
      <c r="O1429" s="493"/>
      <c r="P1429" s="494"/>
      <c r="Q1429" s="492"/>
      <c r="R1429" s="492"/>
      <c r="S1429" s="699" t="s">
        <v>5283</v>
      </c>
      <c r="T1429" s="102">
        <f t="shared" si="1055"/>
        <v>0</v>
      </c>
      <c r="U1429" s="78" t="str">
        <f>IF(NOT(ISNUMBER(G1429)), "", VLOOKUP(A1429,'Discount Lookup'!D:E,2,FALSE)*G1429)</f>
        <v/>
      </c>
      <c r="V1429" s="78" t="str">
        <f>IF(NOT(ISNUMBER(G1429)), "", VLOOKUP(A1429,'Discount Lookup'!G:H,2,FALSE)*G1429)</f>
        <v/>
      </c>
      <c r="W1429" s="102">
        <f t="shared" si="1056"/>
        <v>0</v>
      </c>
      <c r="X1429" s="102">
        <f t="shared" si="1057"/>
        <v>0</v>
      </c>
      <c r="Y1429" s="120" t="b">
        <f t="shared" si="1058"/>
        <v>0</v>
      </c>
      <c r="Z1429" s="117">
        <f t="shared" si="1059"/>
        <v>0</v>
      </c>
      <c r="AA1429" s="118"/>
      <c r="AB1429" s="118" t="str">
        <f t="shared" si="1060"/>
        <v/>
      </c>
      <c r="AC1429" s="712" t="str">
        <f>IF(AE1429="T2G","no charge",IF(AND(OR(PlanterYesMe="No",PlanterYesMe="N",PlanterYesMe="me"),H1429=""),"",IF(H1429="credit","NO install",IF(AND(K1429="",AE1429="me"),"EACH row",IF(AND(K1429="images",AE1429="me"),"EACH row",IF(D1429="","",IF(H1429="credit","",IF(AE1429="free","re-planting",IF(AE1429="me","   not ELP, by",IF(AND(OR(PlanterYesMe="Yes",PlanterYesMe="Y"),G1429&gt;0),(VLOOKUP(A1429,'Discount Lookup'!J:K,2)*G1429*(1-PlanterDiscount)*(1+PlanterDifficultyPercentage)),IF(AE1429="ELP",(VLOOKUP(A1429,'Discount Lookup'!J:K,2)*G1429*(1-PlanterDiscount)*(1+PlanterDifficultyPercentage)),IF(AE1429="free","re-planting",IF(G1429=0,"",IF(PlanterYesMe="",IF(AE1429="me","   not ELP, by",IF(AE1429="",IF(G1429&gt;0,(VLOOKUP(A1429,'Discount Lookup'!J:K,2)*G1429*(1-PlanterDiscount)*(1+PlanterDifficultyPercentage)),""),"")),"   not ELP, by"))))))))))))))</f>
        <v/>
      </c>
      <c r="AD1429" s="712"/>
      <c r="AE1429" s="513" t="str">
        <f t="shared" si="1061"/>
        <v/>
      </c>
      <c r="AF1429" s="713" t="str">
        <f t="shared" si="1062"/>
        <v/>
      </c>
      <c r="AG1429" s="713"/>
      <c r="AH1429" s="713"/>
      <c r="AI1429" s="112">
        <f>IF(H1429="credit",0,IF(AE1429="free",0,IF(AE1429="me",0,IF(G1429&gt;0,(VLOOKUP(A1429,'Discount Lookup'!J:K,2)*G1429),0))))</f>
        <v>0</v>
      </c>
      <c r="AJ1429" s="107" t="str">
        <f t="shared" ca="1" si="1063"/>
        <v/>
      </c>
      <c r="AK1429" s="714" t="str">
        <f t="shared" si="1064"/>
        <v/>
      </c>
      <c r="AL1429" s="714"/>
      <c r="AM1429" s="114" t="str">
        <f t="shared" si="1065"/>
        <v/>
      </c>
      <c r="AN1429" s="115"/>
      <c r="AO1429" s="116"/>
      <c r="AP1429" s="116"/>
      <c r="AQ1429" s="116"/>
      <c r="AR1429" s="116"/>
      <c r="AS1429" s="116"/>
      <c r="AT1429" s="116"/>
      <c r="AU1429" s="116"/>
      <c r="AV1429" s="78"/>
      <c r="AW1429" s="102"/>
      <c r="AX1429" s="78"/>
      <c r="AY1429" s="78"/>
      <c r="AZ1429" s="78"/>
      <c r="BA1429" s="78"/>
      <c r="BB1429" s="78"/>
      <c r="BC1429" s="78"/>
      <c r="BD1429" s="78"/>
      <c r="BE1429" s="465"/>
      <c r="BF1429" s="165" t="str">
        <f t="shared" si="1066"/>
        <v>https://www.google.com/search?tbm=isch&amp;q=Radicans%20is%20a%20fast%20grower.%20Foliage%20scent%20pleasant%20when%20crushed.%20Peeling%20bark.%20Foliage%20bronzes%20in%20winter%20more%20than%20Yoshino%20</v>
      </c>
      <c r="BG1429" s="165" t="str">
        <f t="shared" si="1067"/>
        <v>R</v>
      </c>
      <c r="BH1429" s="65"/>
      <c r="BI1429" s="65"/>
      <c r="BJ1429" s="65"/>
      <c r="BK1429" s="65"/>
      <c r="BL1429" s="99"/>
      <c r="BM1429" s="99"/>
      <c r="BN1429" s="99"/>
    </row>
    <row r="1430" spans="1:66" s="51" customFormat="1" ht="19.5" thickBot="1" x14ac:dyDescent="0.3">
      <c r="A1430" s="686" t="s">
        <v>424</v>
      </c>
      <c r="B1430" s="73"/>
      <c r="C1430" s="708"/>
      <c r="D1430" s="73"/>
      <c r="E1430" s="73"/>
      <c r="F1430" s="496"/>
      <c r="G1430" s="73"/>
      <c r="H1430" s="73"/>
      <c r="I1430" s="73"/>
      <c r="J1430" s="497" t="s">
        <v>357</v>
      </c>
      <c r="K1430" s="498"/>
      <c r="L1430" s="562"/>
      <c r="M1430" s="73"/>
      <c r="N1430"/>
      <c r="O1430"/>
      <c r="P1430"/>
      <c r="Q1430"/>
      <c r="R1430"/>
      <c r="S1430"/>
      <c r="T1430" s="102">
        <f t="shared" si="1055"/>
        <v>0</v>
      </c>
      <c r="U1430" s="78" t="str">
        <f>IF(NOT(ISNUMBER(G1430)), "", VLOOKUP(A1430,'Discount Lookup'!D:E,2,FALSE)*G1430)</f>
        <v/>
      </c>
      <c r="V1430" s="78" t="str">
        <f>IF(NOT(ISNUMBER(G1430)), "", VLOOKUP(A1430,'Discount Lookup'!G:H,2,FALSE)*G1430)</f>
        <v/>
      </c>
      <c r="W1430" s="102">
        <f t="shared" si="1056"/>
        <v>0</v>
      </c>
      <c r="X1430" s="102">
        <f t="shared" si="1057"/>
        <v>0</v>
      </c>
      <c r="Y1430" s="120" t="b">
        <f t="shared" si="1058"/>
        <v>0</v>
      </c>
      <c r="Z1430" s="117">
        <f t="shared" si="1059"/>
        <v>0</v>
      </c>
      <c r="AA1430" s="118"/>
      <c r="AB1430" s="118" t="str">
        <f t="shared" si="1060"/>
        <v/>
      </c>
      <c r="AC1430" s="712" t="str">
        <f>IF(AE1430="T2G","no charge",IF(AND(OR(PlanterYesMe="No",PlanterYesMe="N",PlanterYesMe="me"),H1430=""),"",IF(H1430="credit","NO install",IF(AND(K1430="",AE1430="me"),"EACH row",IF(AND(K1430="images",AE1430="me"),"EACH row",IF(D1430="","",IF(H1430="credit","",IF(AE1430="free","re-planting",IF(AE1430="me","   not ELP, by",IF(AND(OR(PlanterYesMe="Yes",PlanterYesMe="Y"),G1430&gt;0),(VLOOKUP(A1430,'Discount Lookup'!J:K,2)*G1430*(1-PlanterDiscount)*(1+PlanterDifficultyPercentage)),IF(AE1430="ELP",(VLOOKUP(A1430,'Discount Lookup'!J:K,2)*G1430*(1-PlanterDiscount)*(1+PlanterDifficultyPercentage)),IF(AE1430="free","re-planting",IF(G1430=0,"",IF(PlanterYesMe="",IF(AE1430="me","   not ELP, by",IF(AE1430="",IF(G1430&gt;0,(VLOOKUP(A1430,'Discount Lookup'!J:K,2)*G1430*(1-PlanterDiscount)*(1+PlanterDifficultyPercentage)),""),"")),"   not ELP, by"))))))))))))))</f>
        <v/>
      </c>
      <c r="AD1430" s="712"/>
      <c r="AE1430" s="513" t="str">
        <f t="shared" si="1061"/>
        <v/>
      </c>
      <c r="AF1430" s="713" t="str">
        <f t="shared" si="1062"/>
        <v/>
      </c>
      <c r="AG1430" s="713"/>
      <c r="AH1430" s="713"/>
      <c r="AI1430" s="112">
        <f>IF(H1430="credit",0,IF(AE1430="free",0,IF(AE1430="me",0,IF(G1430&gt;0,(VLOOKUP(A1430,'Discount Lookup'!J:K,2)*G1430),0))))</f>
        <v>0</v>
      </c>
      <c r="AJ1430" s="107" t="str">
        <f t="shared" ca="1" si="1063"/>
        <v/>
      </c>
      <c r="AK1430" s="714" t="str">
        <f t="shared" si="1064"/>
        <v/>
      </c>
      <c r="AL1430" s="714"/>
      <c r="AM1430" s="114" t="str">
        <f t="shared" si="1065"/>
        <v/>
      </c>
      <c r="AN1430" s="115"/>
      <c r="AO1430" s="116"/>
      <c r="AP1430" s="116"/>
      <c r="AQ1430" s="116"/>
      <c r="AR1430" s="116"/>
      <c r="AS1430" s="116"/>
      <c r="AT1430" s="116"/>
      <c r="AU1430" s="116"/>
      <c r="AV1430" s="78"/>
      <c r="AW1430" s="102"/>
      <c r="AX1430" s="78"/>
      <c r="AY1430" s="78"/>
      <c r="AZ1430" s="78"/>
      <c r="BA1430" s="78"/>
      <c r="BB1430" s="78"/>
      <c r="BC1430" s="78"/>
      <c r="BD1430" s="78"/>
      <c r="BE1430" s="465"/>
      <c r="BF1430" s="165" t="str">
        <f t="shared" si="1066"/>
        <v>https://www.google.com/search?tbm=isch&amp;q=Cupressus%20%3D%20Italian%20Cypress%20</v>
      </c>
      <c r="BG1430" s="165" t="str">
        <f t="shared" si="1067"/>
        <v>C</v>
      </c>
      <c r="BH1430" s="65"/>
      <c r="BI1430" s="65"/>
      <c r="BJ1430" s="65"/>
      <c r="BK1430" s="65"/>
      <c r="BL1430" s="99"/>
      <c r="BM1430" s="99"/>
      <c r="BN1430" s="99"/>
    </row>
    <row r="1431" spans="1:66" s="51" customFormat="1" ht="18" x14ac:dyDescent="0.25">
      <c r="A1431" s="507" t="s">
        <v>323</v>
      </c>
      <c r="B1431" s="470"/>
      <c r="C1431" s="706"/>
      <c r="D1431" s="471" t="s">
        <v>324</v>
      </c>
      <c r="E1431" s="472"/>
      <c r="F1431" s="472"/>
      <c r="G1431" s="472"/>
      <c r="H1431" s="622" t="s">
        <v>445</v>
      </c>
      <c r="I1431" s="473" t="s">
        <v>431</v>
      </c>
      <c r="J1431" s="472"/>
      <c r="K1431" s="472"/>
      <c r="L1431" s="561"/>
      <c r="M1431" s="698" t="s">
        <v>5240</v>
      </c>
      <c r="N1431" s="692" t="str">
        <f>IF(AND(ISTEXT($A1431), ISERROR($A1431+0)), HYPERLINK($BF1431, "Images"), "")</f>
        <v>Images</v>
      </c>
      <c r="O1431" s="694" t="s">
        <v>5247</v>
      </c>
      <c r="P1431" s="475"/>
      <c r="Q1431" s="476"/>
      <c r="R1431" s="476"/>
      <c r="S1431" s="477"/>
      <c r="T1431" s="102">
        <f t="shared" si="1055"/>
        <v>0</v>
      </c>
      <c r="U1431" s="78" t="str">
        <f>IF(NOT(ISNUMBER(G1431)), "", VLOOKUP(A1431,'Discount Lookup'!D:E,2,FALSE)*G1431)</f>
        <v/>
      </c>
      <c r="V1431" s="78" t="str">
        <f>IF(NOT(ISNUMBER(G1431)), "", VLOOKUP(A1431,'Discount Lookup'!G:H,2,FALSE)*G1431)</f>
        <v/>
      </c>
      <c r="W1431" s="102">
        <f t="shared" si="1056"/>
        <v>0</v>
      </c>
      <c r="X1431" s="102" t="str">
        <f t="shared" si="1057"/>
        <v>Dark Green foliage</v>
      </c>
      <c r="Y1431" s="120" t="b">
        <f t="shared" si="1058"/>
        <v>0</v>
      </c>
      <c r="Z1431" s="117">
        <f t="shared" si="1059"/>
        <v>0</v>
      </c>
      <c r="AA1431" s="118"/>
      <c r="AB1431" s="118" t="str">
        <f t="shared" si="1060"/>
        <v/>
      </c>
      <c r="AC1431" s="712" t="str">
        <f>IF(AE1431="T2G","no charge",IF(AND(OR(PlanterYesMe="No",PlanterYesMe="N",PlanterYesMe="me"),H1431=""),"",IF(H1431="credit","NO install",IF(AND(K1431="",AE1431="me"),"EACH row",IF(AND(K1431="images",AE1431="me"),"EACH row",IF(D1431="","",IF(H1431="credit","",IF(AE1431="free","re-planting",IF(AE1431="me","   not ELP, by",IF(AND(OR(PlanterYesMe="Yes",PlanterYesMe="Y"),G1431&gt;0),(VLOOKUP(A1431,'Discount Lookup'!J:K,2)*G1431*(1-PlanterDiscount)*(1+PlanterDifficultyPercentage)),IF(AE1431="ELP",(VLOOKUP(A1431,'Discount Lookup'!J:K,2)*G1431*(1-PlanterDiscount)*(1+PlanterDifficultyPercentage)),IF(AE1431="free","re-planting",IF(G1431=0,"",IF(PlanterYesMe="",IF(AE1431="me","   not ELP, by",IF(AE1431="",IF(G1431&gt;0,(VLOOKUP(A1431,'Discount Lookup'!J:K,2)*G1431*(1-PlanterDiscount)*(1+PlanterDifficultyPercentage)),""),"")),"   not ELP, by"))))))))))))))</f>
        <v/>
      </c>
      <c r="AD1431" s="712"/>
      <c r="AE1431" s="513" t="str">
        <f t="shared" si="1061"/>
        <v/>
      </c>
      <c r="AF1431" s="713" t="str">
        <f t="shared" si="1062"/>
        <v/>
      </c>
      <c r="AG1431" s="713"/>
      <c r="AH1431" s="713"/>
      <c r="AI1431" s="112">
        <f>IF(H1431="credit",0,IF(AE1431="free",0,IF(AE1431="me",0,IF(G1431&gt;0,(VLOOKUP(A1431,'Discount Lookup'!J:K,2)*G1431),0))))</f>
        <v>0</v>
      </c>
      <c r="AJ1431" s="107" t="str">
        <f t="shared" ca="1" si="1063"/>
        <v/>
      </c>
      <c r="AK1431" s="714" t="str">
        <f t="shared" si="1064"/>
        <v/>
      </c>
      <c r="AL1431" s="714"/>
      <c r="AM1431" s="114" t="str">
        <f t="shared" si="1065"/>
        <v/>
      </c>
      <c r="AN1431" s="115"/>
      <c r="AO1431" s="116"/>
      <c r="AP1431" s="116"/>
      <c r="AQ1431" s="116"/>
      <c r="AR1431" s="116"/>
      <c r="AS1431" s="116"/>
      <c r="AT1431" s="116"/>
      <c r="AU1431" s="116"/>
      <c r="AV1431" s="78"/>
      <c r="AW1431" s="102"/>
      <c r="AX1431" s="78"/>
      <c r="AY1431" s="78"/>
      <c r="AZ1431" s="78"/>
      <c r="BA1431" s="78"/>
      <c r="BB1431" s="78"/>
      <c r="BC1431" s="78"/>
      <c r="BD1431" s="78"/>
      <c r="BE1431" s="465"/>
      <c r="BF1431" s="165" t="str">
        <f t="shared" si="1066"/>
        <v>https://www.google.com/search?tbm=isch&amp;q=Cupressus%20sempervirens%20Italian%20Cypress</v>
      </c>
      <c r="BG1431" s="165" t="str">
        <f t="shared" si="1067"/>
        <v>C</v>
      </c>
      <c r="BH1431" s="65"/>
      <c r="BI1431" s="65"/>
      <c r="BJ1431" s="65"/>
      <c r="BK1431" s="65"/>
      <c r="BL1431" s="99"/>
      <c r="BM1431" s="99"/>
      <c r="BN1431" s="99"/>
    </row>
    <row r="1432" spans="1:66" s="51" customFormat="1" ht="27" x14ac:dyDescent="0.25">
      <c r="A1432" s="478">
        <v>15</v>
      </c>
      <c r="B1432" s="479" t="s">
        <v>291</v>
      </c>
      <c r="C1432" s="480" t="s">
        <v>944</v>
      </c>
      <c r="D1432" s="481" t="s">
        <v>299</v>
      </c>
      <c r="E1432" s="482">
        <v>252.95</v>
      </c>
      <c r="F1432" s="483" t="s">
        <v>292</v>
      </c>
      <c r="G1432" s="484">
        <v>0</v>
      </c>
      <c r="H1432" s="688" t="str">
        <f>IF(G1432=0,"",IF(F1432="Buy",IF(G1432=1,"plant","plants"),IF(F1432&gt;0.01,"warranty","Error")))</f>
        <v/>
      </c>
      <c r="I1432" s="485">
        <f>IF(H1432="free",0,IF(H1432="credit",((E1432*(F1432))*G1432*-1),IF(F1432="Buy",(E1432*G1432),((E1432*(1-F1432))*G1432))))</f>
        <v>0</v>
      </c>
      <c r="J1432" s="485">
        <f>IF(H1432="warranty",0,(I1432*(_xlfn.SINGLE(SalesTaxPercentage))))</f>
        <v>0</v>
      </c>
      <c r="K1432" s="715">
        <f t="shared" ref="K1432" si="1068">I1432+J1432</f>
        <v>0</v>
      </c>
      <c r="L1432" s="715"/>
      <c r="M1432" s="689" t="str">
        <f ca="1">IF(AND(G1432&gt;0,E1432=0),"WARNING - no PRICE inserted",IF(H1432="free","FREE ~ no charge this plant",IF(H1432="credit",CONCATENATE("-$",ROUND(K1432*(1-_xlfn.SINGLE(T2GDiscount))*-1,2)," CREDIT after discount"),IF(_xlfn.SINGLE(T2GDiscount)=0,"",IF(G1432=0,"",IF(F1432="Buy",CONCATENATE("$",ROUND(K1432*(1-_xlfn.SINGLE(T2GDiscount)),2)," with ",(_xlfn.SINGLE(T2GDiscount)*100),"% discount"),CONCATENATE("$",ROUND(K1432*(1-_xlfn.SINGLE(T2GDiscount)),2)," with ",((_xlfn.SINGLE(T2GDiscount)*100+F1432*100)-(_xlfn.SINGLE(T2GDiscount)*100*F1432)),IF(F1432&gt;0,"% discounts",IF(_xlfn.SINGLE(NoWarrantyDiscount)&gt;0,"% discounts","% discount")))))))))</f>
        <v/>
      </c>
      <c r="N1432" s="690"/>
      <c r="O1432" s="486"/>
      <c r="P1432" s="486"/>
      <c r="Q1432" s="486"/>
      <c r="R1432" s="486"/>
      <c r="S1432" s="486"/>
      <c r="T1432" s="102">
        <f t="shared" si="1055"/>
        <v>0</v>
      </c>
      <c r="U1432" s="78">
        <f>IF(NOT(ISNUMBER(G1432)), "", VLOOKUP(A1432,'Discount Lookup'!D:E,2,FALSE)*G1432)</f>
        <v>0</v>
      </c>
      <c r="V1432" s="78">
        <f>IF(NOT(ISNUMBER(G1432)), "", VLOOKUP(A1432,'Discount Lookup'!G:H,2,FALSE)*G1432)</f>
        <v>0</v>
      </c>
      <c r="W1432" s="102">
        <f t="shared" si="1056"/>
        <v>0</v>
      </c>
      <c r="X1432" s="102">
        <f t="shared" si="1057"/>
        <v>0</v>
      </c>
      <c r="Y1432" s="120" t="b">
        <f t="shared" si="1058"/>
        <v>0</v>
      </c>
      <c r="Z1432" s="117">
        <f t="shared" si="1059"/>
        <v>0</v>
      </c>
      <c r="AA1432" s="118"/>
      <c r="AB1432" s="118" t="str">
        <f t="shared" si="1060"/>
        <v/>
      </c>
      <c r="AC1432" s="712" t="str">
        <f>IF(AE1432="T2G","no charge",IF(AND(OR(PlanterYesMe="No",PlanterYesMe="N",PlanterYesMe="me"),H1432=""),"",IF(H1432="credit","NO install",IF(AND(K1432="",AE1432="me"),"EACH row",IF(AND(K1432="images",AE1432="me"),"EACH row",IF(D1432="","",IF(H1432="credit","",IF(AE1432="free","re-planting",IF(AE1432="me","   not ELP, by",IF(AND(OR(PlanterYesMe="Yes",PlanterYesMe="Y"),G1432&gt;0),(VLOOKUP(A1432,'Discount Lookup'!J:K,2)*G1432*(1-PlanterDiscount)*(1+PlanterDifficultyPercentage)),IF(AE1432="ELP",(VLOOKUP(A1432,'Discount Lookup'!J:K,2)*G1432*(1-PlanterDiscount)*(1+PlanterDifficultyPercentage)),IF(AE1432="free","re-planting",IF(G1432=0,"",IF(PlanterYesMe="",IF(AE1432="me","   not ELP, by",IF(AE1432="",IF(G1432&gt;0,(VLOOKUP(A1432,'Discount Lookup'!J:K,2)*G1432*(1-PlanterDiscount)*(1+PlanterDifficultyPercentage)),""),"")),"   not ELP, by"))))))))))))))</f>
        <v/>
      </c>
      <c r="AD1432" s="712"/>
      <c r="AE1432" s="513" t="str">
        <f t="shared" si="1061"/>
        <v/>
      </c>
      <c r="AF1432" s="713" t="str">
        <f t="shared" si="1062"/>
        <v/>
      </c>
      <c r="AG1432" s="713"/>
      <c r="AH1432" s="713"/>
      <c r="AI1432" s="112">
        <f>IF(H1432="credit",0,IF(AE1432="free",0,IF(AE1432="me",0,IF(G1432&gt;0,(VLOOKUP(A1432,'Discount Lookup'!J:K,2)*G1432),0))))</f>
        <v>0</v>
      </c>
      <c r="AJ1432" s="107" t="str">
        <f t="shared" ca="1" si="1063"/>
        <v/>
      </c>
      <c r="AK1432" s="714" t="str">
        <f t="shared" si="1064"/>
        <v/>
      </c>
      <c r="AL1432" s="714"/>
      <c r="AM1432" s="114" t="str">
        <f t="shared" si="1065"/>
        <v/>
      </c>
      <c r="AN1432" s="115"/>
      <c r="AO1432" s="116"/>
      <c r="AP1432" s="116"/>
      <c r="AQ1432" s="116"/>
      <c r="AR1432" s="116"/>
      <c r="AS1432" s="116"/>
      <c r="AT1432" s="116"/>
      <c r="AU1432" s="116"/>
      <c r="AV1432" s="78"/>
      <c r="AW1432" s="102"/>
      <c r="AX1432" s="78"/>
      <c r="AY1432" s="78"/>
      <c r="AZ1432" s="78"/>
      <c r="BA1432" s="78"/>
      <c r="BB1432" s="78"/>
      <c r="BC1432" s="78"/>
      <c r="BD1432" s="78"/>
      <c r="BE1432" s="465"/>
      <c r="BF1432" s="165" t="str">
        <f t="shared" si="1066"/>
        <v>https://www.google.com/search?tbm=isch&amp;q=15%20G4</v>
      </c>
      <c r="BG1432" s="165" t="str">
        <f t="shared" si="1067"/>
        <v>C</v>
      </c>
      <c r="BH1432" s="65"/>
      <c r="BI1432" s="65"/>
      <c r="BJ1432" s="65"/>
      <c r="BK1432" s="65"/>
      <c r="BL1432" s="99"/>
      <c r="BM1432" s="99"/>
      <c r="BN1432" s="99"/>
    </row>
    <row r="1433" spans="1:66" s="51" customFormat="1" ht="16.5" x14ac:dyDescent="0.25">
      <c r="A1433" s="508" t="s">
        <v>453</v>
      </c>
      <c r="B1433" s="487"/>
      <c r="C1433" s="707"/>
      <c r="D1433" s="487"/>
      <c r="E1433" s="487"/>
      <c r="F1433" s="488"/>
      <c r="G1433" s="489"/>
      <c r="H1433" s="487"/>
      <c r="I1433" s="490"/>
      <c r="J1433" s="490"/>
      <c r="K1433" s="491"/>
      <c r="L1433" s="547"/>
      <c r="M1433" s="528"/>
      <c r="N1433" s="492"/>
      <c r="O1433" s="493"/>
      <c r="P1433" s="494"/>
      <c r="Q1433" s="492"/>
      <c r="R1433" s="492"/>
      <c r="S1433" s="699" t="s">
        <v>5268</v>
      </c>
      <c r="T1433" s="102">
        <f t="shared" si="1055"/>
        <v>0</v>
      </c>
      <c r="U1433" s="78" t="str">
        <f>IF(NOT(ISNUMBER(G1433)), "", VLOOKUP(A1433,'Discount Lookup'!D:E,2,FALSE)*G1433)</f>
        <v/>
      </c>
      <c r="V1433" s="78" t="str">
        <f>IF(NOT(ISNUMBER(G1433)), "", VLOOKUP(A1433,'Discount Lookup'!G:H,2,FALSE)*G1433)</f>
        <v/>
      </c>
      <c r="W1433" s="102">
        <f t="shared" si="1056"/>
        <v>0</v>
      </c>
      <c r="X1433" s="102">
        <f t="shared" si="1057"/>
        <v>0</v>
      </c>
      <c r="Y1433" s="120" t="b">
        <f t="shared" si="1058"/>
        <v>0</v>
      </c>
      <c r="Z1433" s="117">
        <f t="shared" si="1059"/>
        <v>0</v>
      </c>
      <c r="AA1433" s="118"/>
      <c r="AB1433" s="118" t="str">
        <f t="shared" si="1060"/>
        <v/>
      </c>
      <c r="AC1433" s="712" t="str">
        <f>IF(AE1433="T2G","no charge",IF(AND(OR(PlanterYesMe="No",PlanterYesMe="N",PlanterYesMe="me"),H1433=""),"",IF(H1433="credit","NO install",IF(AND(K1433="",AE1433="me"),"EACH row",IF(AND(K1433="images",AE1433="me"),"EACH row",IF(D1433="","",IF(H1433="credit","",IF(AE1433="free","re-planting",IF(AE1433="me","   not ELP, by",IF(AND(OR(PlanterYesMe="Yes",PlanterYesMe="Y"),G1433&gt;0),(VLOOKUP(A1433,'Discount Lookup'!J:K,2)*G1433*(1-PlanterDiscount)*(1+PlanterDifficultyPercentage)),IF(AE1433="ELP",(VLOOKUP(A1433,'Discount Lookup'!J:K,2)*G1433*(1-PlanterDiscount)*(1+PlanterDifficultyPercentage)),IF(AE1433="free","re-planting",IF(G1433=0,"",IF(PlanterYesMe="",IF(AE1433="me","   not ELP, by",IF(AE1433="",IF(G1433&gt;0,(VLOOKUP(A1433,'Discount Lookup'!J:K,2)*G1433*(1-PlanterDiscount)*(1+PlanterDifficultyPercentage)),""),"")),"   not ELP, by"))))))))))))))</f>
        <v/>
      </c>
      <c r="AD1433" s="712"/>
      <c r="AE1433" s="513" t="str">
        <f t="shared" si="1061"/>
        <v/>
      </c>
      <c r="AF1433" s="713" t="str">
        <f t="shared" si="1062"/>
        <v/>
      </c>
      <c r="AG1433" s="713"/>
      <c r="AH1433" s="713"/>
      <c r="AI1433" s="112">
        <f>IF(H1433="credit",0,IF(AE1433="free",0,IF(AE1433="me",0,IF(G1433&gt;0,(VLOOKUP(A1433,'Discount Lookup'!J:K,2)*G1433),0))))</f>
        <v>0</v>
      </c>
      <c r="AJ1433" s="107" t="str">
        <f t="shared" ca="1" si="1063"/>
        <v/>
      </c>
      <c r="AK1433" s="714" t="str">
        <f t="shared" si="1064"/>
        <v/>
      </c>
      <c r="AL1433" s="714"/>
      <c r="AM1433" s="114" t="str">
        <f t="shared" si="1065"/>
        <v/>
      </c>
      <c r="AN1433" s="115"/>
      <c r="AO1433" s="116"/>
      <c r="AP1433" s="116"/>
      <c r="AQ1433" s="116"/>
      <c r="AR1433" s="116"/>
      <c r="AS1433" s="116"/>
      <c r="AT1433" s="116"/>
      <c r="AU1433" s="116"/>
      <c r="AV1433" s="78"/>
      <c r="AW1433" s="102"/>
      <c r="AX1433" s="78"/>
      <c r="AY1433" s="78"/>
      <c r="AZ1433" s="78"/>
      <c r="BA1433" s="78"/>
      <c r="BB1433" s="78"/>
      <c r="BC1433" s="78"/>
      <c r="BD1433" s="78"/>
      <c r="BE1433" s="465"/>
      <c r="BF1433" s="165" t="str">
        <f t="shared" si="1066"/>
        <v>https://www.google.com/search?tbm=isch&amp;q=Italian%20Cypress%20is%20classic%20mediterranean%20style%2C%20but%20roots%20can%27t%20withstand%20our%20hurricanes%20%7E%20consider%20the%20Taylo%20%20%26%20Trautman%20Junipers%20</v>
      </c>
      <c r="BG1433" s="165" t="str">
        <f t="shared" si="1067"/>
        <v>I</v>
      </c>
      <c r="BH1433" s="65"/>
      <c r="BI1433" s="65"/>
      <c r="BJ1433" s="65"/>
      <c r="BK1433" s="65"/>
      <c r="BL1433" s="99"/>
      <c r="BM1433" s="99"/>
      <c r="BN1433" s="99"/>
    </row>
    <row r="1434" spans="1:66" s="51" customFormat="1" ht="19.5" thickBot="1" x14ac:dyDescent="0.3">
      <c r="A1434" s="686" t="s">
        <v>393</v>
      </c>
      <c r="B1434" s="73"/>
      <c r="C1434" s="708"/>
      <c r="D1434" s="73"/>
      <c r="E1434" s="73"/>
      <c r="F1434" s="496"/>
      <c r="G1434" s="73"/>
      <c r="H1434" s="73"/>
      <c r="I1434" s="73"/>
      <c r="J1434" s="497" t="s">
        <v>357</v>
      </c>
      <c r="K1434" s="498"/>
      <c r="L1434" s="562"/>
      <c r="M1434" s="73"/>
      <c r="N1434"/>
      <c r="O1434"/>
      <c r="P1434"/>
      <c r="Q1434"/>
      <c r="R1434"/>
      <c r="S1434"/>
      <c r="T1434" s="102">
        <f t="shared" si="1055"/>
        <v>0</v>
      </c>
      <c r="U1434" s="78" t="str">
        <f>IF(NOT(ISNUMBER(G1434)), "", VLOOKUP(A1434,'Discount Lookup'!D:E,2,FALSE)*G1434)</f>
        <v/>
      </c>
      <c r="V1434" s="78" t="str">
        <f>IF(NOT(ISNUMBER(G1434)), "", VLOOKUP(A1434,'Discount Lookup'!G:H,2,FALSE)*G1434)</f>
        <v/>
      </c>
      <c r="W1434" s="102">
        <f t="shared" si="1056"/>
        <v>0</v>
      </c>
      <c r="X1434" s="102">
        <f t="shared" si="1057"/>
        <v>0</v>
      </c>
      <c r="Y1434" s="120" t="b">
        <f t="shared" si="1058"/>
        <v>0</v>
      </c>
      <c r="Z1434" s="117">
        <f t="shared" si="1059"/>
        <v>0</v>
      </c>
      <c r="AA1434" s="118"/>
      <c r="AB1434" s="118" t="str">
        <f t="shared" si="1060"/>
        <v/>
      </c>
      <c r="AC1434" s="712" t="str">
        <f>IF(AE1434="T2G","no charge",IF(AND(OR(PlanterYesMe="No",PlanterYesMe="N",PlanterYesMe="me"),H1434=""),"",IF(H1434="credit","NO install",IF(AND(K1434="",AE1434="me"),"EACH row",IF(AND(K1434="images",AE1434="me"),"EACH row",IF(D1434="","",IF(H1434="credit","",IF(AE1434="free","re-planting",IF(AE1434="me","   not ELP, by",IF(AND(OR(PlanterYesMe="Yes",PlanterYesMe="Y"),G1434&gt;0),(VLOOKUP(A1434,'Discount Lookup'!J:K,2)*G1434*(1-PlanterDiscount)*(1+PlanterDifficultyPercentage)),IF(AE1434="ELP",(VLOOKUP(A1434,'Discount Lookup'!J:K,2)*G1434*(1-PlanterDiscount)*(1+PlanterDifficultyPercentage)),IF(AE1434="free","re-planting",IF(G1434=0,"",IF(PlanterYesMe="",IF(AE1434="me","   not ELP, by",IF(AE1434="",IF(G1434&gt;0,(VLOOKUP(A1434,'Discount Lookup'!J:K,2)*G1434*(1-PlanterDiscount)*(1+PlanterDifficultyPercentage)),""),"")),"   not ELP, by"))))))))))))))</f>
        <v/>
      </c>
      <c r="AD1434" s="712"/>
      <c r="AE1434" s="513" t="str">
        <f t="shared" si="1061"/>
        <v/>
      </c>
      <c r="AF1434" s="713" t="str">
        <f t="shared" si="1062"/>
        <v/>
      </c>
      <c r="AG1434" s="713"/>
      <c r="AH1434" s="713"/>
      <c r="AI1434" s="112">
        <f>IF(H1434="credit",0,IF(AE1434="free",0,IF(AE1434="me",0,IF(G1434&gt;0,(VLOOKUP(A1434,'Discount Lookup'!J:K,2)*G1434),0))))</f>
        <v>0</v>
      </c>
      <c r="AJ1434" s="107" t="str">
        <f t="shared" ca="1" si="1063"/>
        <v/>
      </c>
      <c r="AK1434" s="714" t="str">
        <f t="shared" si="1064"/>
        <v/>
      </c>
      <c r="AL1434" s="714"/>
      <c r="AM1434" s="114" t="str">
        <f t="shared" si="1065"/>
        <v/>
      </c>
      <c r="AN1434" s="115"/>
      <c r="AO1434" s="116"/>
      <c r="AP1434" s="116"/>
      <c r="AQ1434" s="116"/>
      <c r="AR1434" s="116"/>
      <c r="AS1434" s="116"/>
      <c r="AT1434" s="116"/>
      <c r="AU1434" s="116"/>
      <c r="AV1434" s="78"/>
      <c r="AW1434" s="102"/>
      <c r="AX1434" s="78"/>
      <c r="AY1434" s="78"/>
      <c r="AZ1434" s="78"/>
      <c r="BA1434" s="78"/>
      <c r="BB1434" s="78"/>
      <c r="BC1434" s="78"/>
      <c r="BD1434" s="78"/>
      <c r="BE1434" s="465"/>
      <c r="BF1434" s="165" t="str">
        <f t="shared" si="1066"/>
        <v>https://www.google.com/search?tbm=isch&amp;q=Cyrtomium%20%3D%20Holly%20Fern%20</v>
      </c>
      <c r="BG1434" s="165" t="str">
        <f t="shared" si="1067"/>
        <v>C</v>
      </c>
      <c r="BH1434" s="65"/>
      <c r="BI1434" s="65"/>
      <c r="BJ1434" s="65"/>
      <c r="BK1434" s="65"/>
      <c r="BL1434" s="99"/>
      <c r="BM1434" s="99"/>
      <c r="BN1434" s="99"/>
    </row>
    <row r="1435" spans="1:66" s="51" customFormat="1" ht="18" x14ac:dyDescent="0.25">
      <c r="A1435" s="507" t="s">
        <v>2385</v>
      </c>
      <c r="B1435" s="470"/>
      <c r="C1435" s="706"/>
      <c r="D1435" s="471" t="s">
        <v>2386</v>
      </c>
      <c r="E1435" s="472"/>
      <c r="F1435" s="472"/>
      <c r="G1435" s="472"/>
      <c r="H1435" s="622" t="s">
        <v>4807</v>
      </c>
      <c r="I1435" s="473" t="s">
        <v>431</v>
      </c>
      <c r="J1435" s="472"/>
      <c r="K1435" s="472"/>
      <c r="L1435" s="561"/>
      <c r="M1435" s="703" t="s">
        <v>5260</v>
      </c>
      <c r="N1435" s="692" t="str">
        <f>IF(AND(ISTEXT($A1435), ISERROR($A1435+0)), HYPERLINK($BF1435, "Images"), "")</f>
        <v>Images</v>
      </c>
      <c r="O1435" s="694" t="s">
        <v>5244</v>
      </c>
      <c r="P1435" s="475"/>
      <c r="Q1435" s="476"/>
      <c r="R1435" s="476"/>
      <c r="S1435" s="477"/>
      <c r="T1435" s="102">
        <f t="shared" si="1055"/>
        <v>0</v>
      </c>
      <c r="U1435" s="78" t="str">
        <f>IF(NOT(ISNUMBER(G1435)), "", VLOOKUP(A1435,'Discount Lookup'!D:E,2,FALSE)*G1435)</f>
        <v/>
      </c>
      <c r="V1435" s="78" t="str">
        <f>IF(NOT(ISNUMBER(G1435)), "", VLOOKUP(A1435,'Discount Lookup'!G:H,2,FALSE)*G1435)</f>
        <v/>
      </c>
      <c r="W1435" s="102">
        <f t="shared" si="1056"/>
        <v>0</v>
      </c>
      <c r="X1435" s="102" t="str">
        <f t="shared" si="1057"/>
        <v>Dark Green foliage</v>
      </c>
      <c r="Y1435" s="120" t="b">
        <f t="shared" si="1058"/>
        <v>0</v>
      </c>
      <c r="Z1435" s="117">
        <f t="shared" si="1059"/>
        <v>0</v>
      </c>
      <c r="AA1435" s="118"/>
      <c r="AB1435" s="118" t="str">
        <f t="shared" si="1060"/>
        <v/>
      </c>
      <c r="AC1435" s="712" t="str">
        <f>IF(AE1435="T2G","no charge",IF(AND(OR(PlanterYesMe="No",PlanterYesMe="N",PlanterYesMe="me"),H1435=""),"",IF(H1435="credit","NO install",IF(AND(K1435="",AE1435="me"),"EACH row",IF(AND(K1435="images",AE1435="me"),"EACH row",IF(D1435="","",IF(H1435="credit","",IF(AE1435="free","re-planting",IF(AE1435="me","   not ELP, by",IF(AND(OR(PlanterYesMe="Yes",PlanterYesMe="Y"),G1435&gt;0),(VLOOKUP(A1435,'Discount Lookup'!J:K,2)*G1435*(1-PlanterDiscount)*(1+PlanterDifficultyPercentage)),IF(AE1435="ELP",(VLOOKUP(A1435,'Discount Lookup'!J:K,2)*G1435*(1-PlanterDiscount)*(1+PlanterDifficultyPercentage)),IF(AE1435="free","re-planting",IF(G1435=0,"",IF(PlanterYesMe="",IF(AE1435="me","   not ELP, by",IF(AE1435="",IF(G1435&gt;0,(VLOOKUP(A1435,'Discount Lookup'!J:K,2)*G1435*(1-PlanterDiscount)*(1+PlanterDifficultyPercentage)),""),"")),"   not ELP, by"))))))))))))))</f>
        <v/>
      </c>
      <c r="AD1435" s="712"/>
      <c r="AE1435" s="513" t="str">
        <f t="shared" si="1061"/>
        <v/>
      </c>
      <c r="AF1435" s="713" t="str">
        <f t="shared" si="1062"/>
        <v/>
      </c>
      <c r="AG1435" s="713"/>
      <c r="AH1435" s="713"/>
      <c r="AI1435" s="112">
        <f>IF(H1435="credit",0,IF(AE1435="free",0,IF(AE1435="me",0,IF(G1435&gt;0,(VLOOKUP(A1435,'Discount Lookup'!J:K,2)*G1435),0))))</f>
        <v>0</v>
      </c>
      <c r="AJ1435" s="107" t="str">
        <f t="shared" ca="1" si="1063"/>
        <v/>
      </c>
      <c r="AK1435" s="714" t="str">
        <f t="shared" si="1064"/>
        <v/>
      </c>
      <c r="AL1435" s="714"/>
      <c r="AM1435" s="114" t="str">
        <f t="shared" si="1065"/>
        <v/>
      </c>
      <c r="AN1435" s="115"/>
      <c r="AO1435" s="116"/>
      <c r="AP1435" s="116"/>
      <c r="AQ1435" s="116"/>
      <c r="AR1435" s="116"/>
      <c r="AS1435" s="116"/>
      <c r="AT1435" s="116"/>
      <c r="AU1435" s="116"/>
      <c r="AV1435" s="78"/>
      <c r="AW1435" s="102"/>
      <c r="AX1435" s="78"/>
      <c r="AY1435" s="78"/>
      <c r="AZ1435" s="78"/>
      <c r="BA1435" s="78"/>
      <c r="BB1435" s="78"/>
      <c r="BC1435" s="78"/>
      <c r="BD1435" s="78"/>
      <c r="BE1435" s="465"/>
      <c r="BF1435" s="165" t="str">
        <f t="shared" si="1066"/>
        <v>https://www.google.com/search?tbm=isch&amp;q=Cyrtomium%20falcatum%20%27Rochfordianum%27%20Japanese%20Holly%20Fern</v>
      </c>
      <c r="BG1435" s="165" t="str">
        <f t="shared" si="1067"/>
        <v>C</v>
      </c>
      <c r="BH1435" s="65"/>
      <c r="BI1435" s="65"/>
      <c r="BJ1435" s="65"/>
      <c r="BK1435" s="65"/>
      <c r="BL1435" s="99"/>
      <c r="BM1435" s="99"/>
      <c r="BN1435" s="99"/>
    </row>
    <row r="1436" spans="1:66" s="51" customFormat="1" ht="15.75" x14ac:dyDescent="0.25">
      <c r="A1436" s="478">
        <v>3</v>
      </c>
      <c r="B1436" s="479" t="s">
        <v>291</v>
      </c>
      <c r="C1436" s="480"/>
      <c r="D1436" s="481" t="s">
        <v>293</v>
      </c>
      <c r="E1436" s="482">
        <v>34.950000000000003</v>
      </c>
      <c r="F1436" s="483" t="s">
        <v>292</v>
      </c>
      <c r="G1436" s="484">
        <v>0</v>
      </c>
      <c r="H1436" s="688" t="str">
        <f>IF(G1436=0,"",IF(F1436="Buy",IF(G1436=1,"plant","plants"),IF(F1436&gt;0.01,"warranty","Error")))</f>
        <v/>
      </c>
      <c r="I1436" s="485">
        <f>IF(H1436="free",0,IF(H1436="credit",((E1436*(F1436))*G1436*-1),IF(F1436="Buy",(E1436*G1436),((E1436*(1-F1436))*G1436))))</f>
        <v>0</v>
      </c>
      <c r="J1436" s="485">
        <f>IF(H1436="warranty",0,(I1436*(_xlfn.SINGLE(SalesTaxPercentage))))</f>
        <v>0</v>
      </c>
      <c r="K1436" s="715">
        <f t="shared" ref="K1436" si="1069">I1436+J1436</f>
        <v>0</v>
      </c>
      <c r="L1436" s="715"/>
      <c r="M1436" s="689" t="str">
        <f ca="1">IF(AND(G1436&gt;0,E1436=0),"WARNING - no PRICE inserted",IF(H1436="free","FREE ~ no charge this plant",IF(H1436="credit",CONCATENATE("-$",ROUND(K1436*(1-_xlfn.SINGLE(T2GDiscount))*-1,2)," CREDIT after discount"),IF(_xlfn.SINGLE(T2GDiscount)=0,"",IF(G1436=0,"",IF(F1436="Buy",CONCATENATE("$",ROUND(K1436*(1-_xlfn.SINGLE(T2GDiscount)),2)," with ",(_xlfn.SINGLE(T2GDiscount)*100),"% discount"),CONCATENATE("$",ROUND(K1436*(1-_xlfn.SINGLE(T2GDiscount)),2)," with ",((_xlfn.SINGLE(T2GDiscount)*100+F1436*100)-(_xlfn.SINGLE(T2GDiscount)*100*F1436)),IF(F1436&gt;0,"% discounts",IF(_xlfn.SINGLE(NoWarrantyDiscount)&gt;0,"% discounts","% discount")))))))))</f>
        <v/>
      </c>
      <c r="N1436" s="690"/>
      <c r="O1436" s="486"/>
      <c r="P1436" s="486"/>
      <c r="Q1436" s="486"/>
      <c r="R1436" s="486"/>
      <c r="S1436" s="486"/>
      <c r="T1436" s="102">
        <f t="shared" si="1055"/>
        <v>0</v>
      </c>
      <c r="U1436" s="78">
        <f>IF(NOT(ISNUMBER(G1436)), "", VLOOKUP(A1436,'Discount Lookup'!D:E,2,FALSE)*G1436)</f>
        <v>0</v>
      </c>
      <c r="V1436" s="78">
        <f>IF(NOT(ISNUMBER(G1436)), "", VLOOKUP(A1436,'Discount Lookup'!G:H,2,FALSE)*G1436)</f>
        <v>0</v>
      </c>
      <c r="W1436" s="102">
        <f t="shared" si="1056"/>
        <v>0</v>
      </c>
      <c r="X1436" s="102">
        <f t="shared" si="1057"/>
        <v>0</v>
      </c>
      <c r="Y1436" s="120" t="b">
        <f t="shared" si="1058"/>
        <v>0</v>
      </c>
      <c r="Z1436" s="117">
        <f t="shared" si="1059"/>
        <v>0</v>
      </c>
      <c r="AA1436" s="118"/>
      <c r="AB1436" s="118" t="str">
        <f t="shared" si="1060"/>
        <v/>
      </c>
      <c r="AC1436" s="712" t="str">
        <f>IF(AE1436="T2G","no charge",IF(AND(OR(PlanterYesMe="No",PlanterYesMe="N",PlanterYesMe="me"),H1436=""),"",IF(H1436="credit","NO install",IF(AND(K1436="",AE1436="me"),"EACH row",IF(AND(K1436="images",AE1436="me"),"EACH row",IF(D1436="","",IF(H1436="credit","",IF(AE1436="free","re-planting",IF(AE1436="me","   not ELP, by",IF(AND(OR(PlanterYesMe="Yes",PlanterYesMe="Y"),G1436&gt;0),(VLOOKUP(A1436,'Discount Lookup'!J:K,2)*G1436*(1-PlanterDiscount)*(1+PlanterDifficultyPercentage)),IF(AE1436="ELP",(VLOOKUP(A1436,'Discount Lookup'!J:K,2)*G1436*(1-PlanterDiscount)*(1+PlanterDifficultyPercentage)),IF(AE1436="free","re-planting",IF(G1436=0,"",IF(PlanterYesMe="",IF(AE1436="me","   not ELP, by",IF(AE1436="",IF(G1436&gt;0,(VLOOKUP(A1436,'Discount Lookup'!J:K,2)*G1436*(1-PlanterDiscount)*(1+PlanterDifficultyPercentage)),""),"")),"   not ELP, by"))))))))))))))</f>
        <v/>
      </c>
      <c r="AD1436" s="712"/>
      <c r="AE1436" s="513" t="str">
        <f t="shared" si="1061"/>
        <v/>
      </c>
      <c r="AF1436" s="713" t="str">
        <f t="shared" si="1062"/>
        <v/>
      </c>
      <c r="AG1436" s="713"/>
      <c r="AH1436" s="713"/>
      <c r="AI1436" s="112">
        <f>IF(H1436="credit",0,IF(AE1436="free",0,IF(AE1436="me",0,IF(G1436&gt;0,(VLOOKUP(A1436,'Discount Lookup'!J:K,2)*G1436),0))))</f>
        <v>0</v>
      </c>
      <c r="AJ1436" s="107" t="str">
        <f t="shared" ca="1" si="1063"/>
        <v/>
      </c>
      <c r="AK1436" s="714" t="str">
        <f t="shared" si="1064"/>
        <v/>
      </c>
      <c r="AL1436" s="714"/>
      <c r="AM1436" s="114" t="str">
        <f t="shared" si="1065"/>
        <v/>
      </c>
      <c r="AN1436" s="115"/>
      <c r="AO1436" s="116"/>
      <c r="AP1436" s="116"/>
      <c r="AQ1436" s="116"/>
      <c r="AR1436" s="116"/>
      <c r="AS1436" s="116"/>
      <c r="AT1436" s="116"/>
      <c r="AU1436" s="116"/>
      <c r="AV1436" s="78"/>
      <c r="AW1436" s="102"/>
      <c r="AX1436" s="78"/>
      <c r="AY1436" s="78"/>
      <c r="AZ1436" s="78"/>
      <c r="BA1436" s="78"/>
      <c r="BB1436" s="78"/>
      <c r="BC1436" s="78"/>
      <c r="BD1436" s="78"/>
      <c r="BE1436" s="465"/>
      <c r="BF1436" s="165" t="str">
        <f t="shared" si="1066"/>
        <v>https://www.google.com/search?tbm=isch&amp;q=3%20G6</v>
      </c>
      <c r="BG1436" s="165" t="str">
        <f t="shared" si="1067"/>
        <v>C</v>
      </c>
      <c r="BH1436" s="65"/>
      <c r="BI1436" s="65"/>
      <c r="BJ1436" s="65"/>
      <c r="BK1436" s="65"/>
      <c r="BL1436" s="99"/>
      <c r="BM1436" s="99"/>
      <c r="BN1436" s="99"/>
    </row>
    <row r="1437" spans="1:66" s="51" customFormat="1" ht="16.5" thickBot="1" x14ac:dyDescent="0.3">
      <c r="A1437" s="705" t="s">
        <v>5386</v>
      </c>
      <c r="B1437" s="487"/>
      <c r="C1437" s="707"/>
      <c r="D1437" s="487"/>
      <c r="E1437" s="487"/>
      <c r="F1437" s="488"/>
      <c r="G1437" s="489"/>
      <c r="H1437" s="487"/>
      <c r="I1437" s="490"/>
      <c r="J1437" s="490"/>
      <c r="K1437" s="491"/>
      <c r="L1437" s="547"/>
      <c r="M1437" s="528"/>
      <c r="N1437" s="492"/>
      <c r="O1437" s="493"/>
      <c r="P1437" s="494"/>
      <c r="Q1437" s="492"/>
      <c r="R1437" s="492"/>
      <c r="S1437" s="495"/>
      <c r="T1437" s="102">
        <f t="shared" si="1055"/>
        <v>0</v>
      </c>
      <c r="U1437" s="78" t="str">
        <f>IF(NOT(ISNUMBER(G1437)), "", VLOOKUP(A1437,'Discount Lookup'!D:E,2,FALSE)*G1437)</f>
        <v/>
      </c>
      <c r="V1437" s="78" t="str">
        <f>IF(NOT(ISNUMBER(G1437)), "", VLOOKUP(A1437,'Discount Lookup'!G:H,2,FALSE)*G1437)</f>
        <v/>
      </c>
      <c r="W1437" s="102">
        <f t="shared" si="1056"/>
        <v>0</v>
      </c>
      <c r="X1437" s="102">
        <f t="shared" si="1057"/>
        <v>0</v>
      </c>
      <c r="Y1437" s="120" t="b">
        <f t="shared" si="1058"/>
        <v>0</v>
      </c>
      <c r="Z1437" s="117">
        <f t="shared" si="1059"/>
        <v>0</v>
      </c>
      <c r="AA1437" s="118"/>
      <c r="AB1437" s="118" t="str">
        <f t="shared" si="1060"/>
        <v/>
      </c>
      <c r="AC1437" s="712" t="str">
        <f>IF(AE1437="T2G","no charge",IF(AND(OR(PlanterYesMe="No",PlanterYesMe="N",PlanterYesMe="me"),H1437=""),"",IF(H1437="credit","NO install",IF(AND(K1437="",AE1437="me"),"EACH row",IF(AND(K1437="images",AE1437="me"),"EACH row",IF(D1437="","",IF(H1437="credit","",IF(AE1437="free","re-planting",IF(AE1437="me","   not ELP, by",IF(AND(OR(PlanterYesMe="Yes",PlanterYesMe="Y"),G1437&gt;0),(VLOOKUP(A1437,'Discount Lookup'!J:K,2)*G1437*(1-PlanterDiscount)*(1+PlanterDifficultyPercentage)),IF(AE1437="ELP",(VLOOKUP(A1437,'Discount Lookup'!J:K,2)*G1437*(1-PlanterDiscount)*(1+PlanterDifficultyPercentage)),IF(AE1437="free","re-planting",IF(G1437=0,"",IF(PlanterYesMe="",IF(AE1437="me","   not ELP, by",IF(AE1437="",IF(G1437&gt;0,(VLOOKUP(A1437,'Discount Lookup'!J:K,2)*G1437*(1-PlanterDiscount)*(1+PlanterDifficultyPercentage)),""),"")),"   not ELP, by"))))))))))))))</f>
        <v/>
      </c>
      <c r="AD1437" s="712"/>
      <c r="AE1437" s="513" t="str">
        <f t="shared" si="1061"/>
        <v/>
      </c>
      <c r="AF1437" s="713" t="str">
        <f t="shared" si="1062"/>
        <v/>
      </c>
      <c r="AG1437" s="713"/>
      <c r="AH1437" s="713"/>
      <c r="AI1437" s="112">
        <f>IF(H1437="credit",0,IF(AE1437="free",0,IF(AE1437="me",0,IF(G1437&gt;0,(VLOOKUP(A1437,'Discount Lookup'!J:K,2)*G1437),0))))</f>
        <v>0</v>
      </c>
      <c r="AJ1437" s="107" t="str">
        <f t="shared" ca="1" si="1063"/>
        <v/>
      </c>
      <c r="AK1437" s="714" t="str">
        <f t="shared" si="1064"/>
        <v/>
      </c>
      <c r="AL1437" s="714"/>
      <c r="AM1437" s="114" t="str">
        <f t="shared" si="1065"/>
        <v/>
      </c>
      <c r="AN1437" s="115"/>
      <c r="AO1437" s="116"/>
      <c r="AP1437" s="116"/>
      <c r="AQ1437" s="116"/>
      <c r="AR1437" s="116"/>
      <c r="AS1437" s="116"/>
      <c r="AT1437" s="116"/>
      <c r="AU1437" s="116"/>
      <c r="AV1437" s="78"/>
      <c r="AW1437" s="102"/>
      <c r="AX1437" s="78"/>
      <c r="AY1437" s="78"/>
      <c r="AZ1437" s="78"/>
      <c r="BA1437" s="78"/>
      <c r="BB1437" s="78"/>
      <c r="BC1437" s="78"/>
      <c r="BD1437" s="78"/>
      <c r="BE1437" s="465"/>
      <c r="BF1437" s="165" t="str">
        <f t="shared" si="1066"/>
        <v>https://www.google.com/search?tbm=isch&amp;q=moist%20sites%F0%9F%92%A7GOOD%2C%20Holly%20Fern%20selected%20for%20its%20bold%2C%20holly-like%20leaflets%20and%20robust%20vase-shaped%20habit.%20Semi-evergreen%20</v>
      </c>
      <c r="BG1437" s="165" t="str">
        <f t="shared" si="1067"/>
        <v>m</v>
      </c>
      <c r="BH1437" s="65"/>
      <c r="BI1437" s="65"/>
      <c r="BJ1437" s="65"/>
      <c r="BK1437" s="65"/>
      <c r="BL1437" s="99"/>
      <c r="BM1437" s="99"/>
      <c r="BN1437" s="99"/>
    </row>
    <row r="1438" spans="1:66" s="51" customFormat="1" ht="18" x14ac:dyDescent="0.25">
      <c r="A1438" s="507" t="s">
        <v>2387</v>
      </c>
      <c r="B1438" s="470"/>
      <c r="C1438" s="706"/>
      <c r="D1438" s="471" t="s">
        <v>2388</v>
      </c>
      <c r="E1438" s="472"/>
      <c r="F1438" s="472"/>
      <c r="G1438" s="472"/>
      <c r="H1438" s="622" t="s">
        <v>1516</v>
      </c>
      <c r="I1438" s="473" t="s">
        <v>431</v>
      </c>
      <c r="J1438" s="472"/>
      <c r="K1438" s="472"/>
      <c r="L1438" s="561"/>
      <c r="M1438" s="703" t="s">
        <v>5260</v>
      </c>
      <c r="N1438" s="692" t="str">
        <f>IF(AND(ISTEXT($A1438), ISERROR($A1438+0)), HYPERLINK($BF1438, "Images"), "")</f>
        <v>Images</v>
      </c>
      <c r="O1438" s="694" t="s">
        <v>5244</v>
      </c>
      <c r="P1438" s="475"/>
      <c r="Q1438" s="476"/>
      <c r="R1438" s="476"/>
      <c r="S1438" s="477"/>
      <c r="T1438" s="102">
        <f t="shared" si="1055"/>
        <v>0</v>
      </c>
      <c r="U1438" s="78" t="str">
        <f>IF(NOT(ISNUMBER(G1438)), "", VLOOKUP(A1438,'Discount Lookup'!D:E,2,FALSE)*G1438)</f>
        <v/>
      </c>
      <c r="V1438" s="78" t="str">
        <f>IF(NOT(ISNUMBER(G1438)), "", VLOOKUP(A1438,'Discount Lookup'!G:H,2,FALSE)*G1438)</f>
        <v/>
      </c>
      <c r="W1438" s="102">
        <f t="shared" si="1056"/>
        <v>0</v>
      </c>
      <c r="X1438" s="102" t="str">
        <f t="shared" si="1057"/>
        <v>Dark Green foliage</v>
      </c>
      <c r="Y1438" s="120" t="b">
        <f t="shared" si="1058"/>
        <v>0</v>
      </c>
      <c r="Z1438" s="117">
        <f t="shared" si="1059"/>
        <v>0</v>
      </c>
      <c r="AA1438" s="118"/>
      <c r="AB1438" s="118" t="str">
        <f t="shared" si="1060"/>
        <v/>
      </c>
      <c r="AC1438" s="712" t="str">
        <f>IF(AE1438="T2G","no charge",IF(AND(OR(PlanterYesMe="No",PlanterYesMe="N",PlanterYesMe="me"),H1438=""),"",IF(H1438="credit","NO install",IF(AND(K1438="",AE1438="me"),"EACH row",IF(AND(K1438="images",AE1438="me"),"EACH row",IF(D1438="","",IF(H1438="credit","",IF(AE1438="free","re-planting",IF(AE1438="me","   not ELP, by",IF(AND(OR(PlanterYesMe="Yes",PlanterYesMe="Y"),G1438&gt;0),(VLOOKUP(A1438,'Discount Lookup'!J:K,2)*G1438*(1-PlanterDiscount)*(1+PlanterDifficultyPercentage)),IF(AE1438="ELP",(VLOOKUP(A1438,'Discount Lookup'!J:K,2)*G1438*(1-PlanterDiscount)*(1+PlanterDifficultyPercentage)),IF(AE1438="free","re-planting",IF(G1438=0,"",IF(PlanterYesMe="",IF(AE1438="me","   not ELP, by",IF(AE1438="",IF(G1438&gt;0,(VLOOKUP(A1438,'Discount Lookup'!J:K,2)*G1438*(1-PlanterDiscount)*(1+PlanterDifficultyPercentage)),""),"")),"   not ELP, by"))))))))))))))</f>
        <v/>
      </c>
      <c r="AD1438" s="712"/>
      <c r="AE1438" s="513" t="str">
        <f t="shared" si="1061"/>
        <v/>
      </c>
      <c r="AF1438" s="713" t="str">
        <f t="shared" si="1062"/>
        <v/>
      </c>
      <c r="AG1438" s="713"/>
      <c r="AH1438" s="713"/>
      <c r="AI1438" s="112">
        <f>IF(H1438="credit",0,IF(AE1438="free",0,IF(AE1438="me",0,IF(G1438&gt;0,(VLOOKUP(A1438,'Discount Lookup'!J:K,2)*G1438),0))))</f>
        <v>0</v>
      </c>
      <c r="AJ1438" s="107" t="str">
        <f t="shared" ca="1" si="1063"/>
        <v/>
      </c>
      <c r="AK1438" s="714" t="str">
        <f t="shared" si="1064"/>
        <v/>
      </c>
      <c r="AL1438" s="714"/>
      <c r="AM1438" s="114" t="str">
        <f t="shared" si="1065"/>
        <v/>
      </c>
      <c r="AN1438" s="115"/>
      <c r="AO1438" s="116"/>
      <c r="AP1438" s="116"/>
      <c r="AQ1438" s="116"/>
      <c r="AR1438" s="116"/>
      <c r="AS1438" s="116"/>
      <c r="AT1438" s="116"/>
      <c r="AU1438" s="116"/>
      <c r="AV1438" s="78"/>
      <c r="AW1438" s="102"/>
      <c r="AX1438" s="78"/>
      <c r="AY1438" s="78"/>
      <c r="AZ1438" s="78"/>
      <c r="BA1438" s="78"/>
      <c r="BB1438" s="78"/>
      <c r="BC1438" s="78"/>
      <c r="BD1438" s="78"/>
      <c r="BE1438" s="465"/>
      <c r="BF1438" s="165" t="str">
        <f t="shared" si="1066"/>
        <v>https://www.google.com/search?tbm=isch&amp;q=Cyrtomium%20fortunei%20Fortune%27s%20Holly%20Fern</v>
      </c>
      <c r="BG1438" s="165" t="str">
        <f t="shared" si="1067"/>
        <v>C</v>
      </c>
      <c r="BH1438" s="65"/>
      <c r="BI1438" s="65"/>
      <c r="BJ1438" s="65"/>
      <c r="BK1438" s="65"/>
      <c r="BL1438" s="99"/>
      <c r="BM1438" s="99"/>
      <c r="BN1438" s="99"/>
    </row>
    <row r="1439" spans="1:66" s="51" customFormat="1" ht="15.75" x14ac:dyDescent="0.25">
      <c r="A1439" s="478">
        <v>1</v>
      </c>
      <c r="B1439" s="479" t="s">
        <v>291</v>
      </c>
      <c r="C1439" s="480"/>
      <c r="D1439" s="481" t="s">
        <v>329</v>
      </c>
      <c r="E1439" s="482">
        <v>11.95</v>
      </c>
      <c r="F1439" s="483" t="s">
        <v>292</v>
      </c>
      <c r="G1439" s="484">
        <v>0</v>
      </c>
      <c r="H1439" s="688" t="str">
        <f>IF(G1439=0,"",IF(F1439="Buy",IF(G1439=1,"plant","plants"),IF(F1439&gt;0.01,"warranty","Error")))</f>
        <v/>
      </c>
      <c r="I1439" s="485">
        <f>IF(H1439="free",0,IF(H1439="credit",((E1439*(F1439))*G1439*-1),IF(F1439="Buy",(E1439*G1439),((E1439*(1-F1439))*G1439))))</f>
        <v>0</v>
      </c>
      <c r="J1439" s="485">
        <f>IF(H1439="warranty",0,(I1439*(_xlfn.SINGLE(SalesTaxPercentage))))</f>
        <v>0</v>
      </c>
      <c r="K1439" s="715">
        <f t="shared" ref="K1439" si="1070">I1439+J1439</f>
        <v>0</v>
      </c>
      <c r="L1439" s="715"/>
      <c r="M1439" s="689" t="str">
        <f ca="1">IF(AND(G1439&gt;0,E1439=0),"WARNING - no PRICE inserted",IF(H1439="free","FREE ~ no charge this plant",IF(H1439="credit",CONCATENATE("-$",ROUND(K1439*(1-_xlfn.SINGLE(T2GDiscount))*-1,2)," CREDIT after discount"),IF(_xlfn.SINGLE(T2GDiscount)=0,"",IF(G1439=0,"",IF(F1439="Buy",CONCATENATE("$",ROUND(K1439*(1-_xlfn.SINGLE(T2GDiscount)),2)," with ",(_xlfn.SINGLE(T2GDiscount)*100),"% discount"),CONCATENATE("$",ROUND(K1439*(1-_xlfn.SINGLE(T2GDiscount)),2)," with ",((_xlfn.SINGLE(T2GDiscount)*100+F1439*100)-(_xlfn.SINGLE(T2GDiscount)*100*F1439)),IF(F1439&gt;0,"% discounts",IF(_xlfn.SINGLE(NoWarrantyDiscount)&gt;0,"% discounts","% discount")))))))))</f>
        <v/>
      </c>
      <c r="N1439" s="690"/>
      <c r="O1439" s="486"/>
      <c r="P1439" s="486"/>
      <c r="Q1439" s="486"/>
      <c r="R1439" s="486"/>
      <c r="S1439" s="486"/>
      <c r="T1439" s="102">
        <f t="shared" si="1055"/>
        <v>0</v>
      </c>
      <c r="U1439" s="78">
        <f>IF(NOT(ISNUMBER(G1439)), "", VLOOKUP(A1439,'Discount Lookup'!D:E,2,FALSE)*G1439)</f>
        <v>0</v>
      </c>
      <c r="V1439" s="78">
        <f>IF(NOT(ISNUMBER(G1439)), "", VLOOKUP(A1439,'Discount Lookup'!G:H,2,FALSE)*G1439)</f>
        <v>0</v>
      </c>
      <c r="W1439" s="102">
        <f t="shared" si="1056"/>
        <v>0</v>
      </c>
      <c r="X1439" s="102">
        <f t="shared" si="1057"/>
        <v>0</v>
      </c>
      <c r="Y1439" s="120" t="b">
        <f t="shared" si="1058"/>
        <v>0</v>
      </c>
      <c r="Z1439" s="117">
        <f t="shared" si="1059"/>
        <v>0</v>
      </c>
      <c r="AA1439" s="118"/>
      <c r="AB1439" s="118" t="str">
        <f t="shared" si="1060"/>
        <v/>
      </c>
      <c r="AC1439" s="712" t="str">
        <f>IF(AE1439="T2G","no charge",IF(AND(OR(PlanterYesMe="No",PlanterYesMe="N",PlanterYesMe="me"),H1439=""),"",IF(H1439="credit","NO install",IF(AND(K1439="",AE1439="me"),"EACH row",IF(AND(K1439="images",AE1439="me"),"EACH row",IF(D1439="","",IF(H1439="credit","",IF(AE1439="free","re-planting",IF(AE1439="me","   not ELP, by",IF(AND(OR(PlanterYesMe="Yes",PlanterYesMe="Y"),G1439&gt;0),(VLOOKUP(A1439,'Discount Lookup'!J:K,2)*G1439*(1-PlanterDiscount)*(1+PlanterDifficultyPercentage)),IF(AE1439="ELP",(VLOOKUP(A1439,'Discount Lookup'!J:K,2)*G1439*(1-PlanterDiscount)*(1+PlanterDifficultyPercentage)),IF(AE1439="free","re-planting",IF(G1439=0,"",IF(PlanterYesMe="",IF(AE1439="me","   not ELP, by",IF(AE1439="",IF(G1439&gt;0,(VLOOKUP(A1439,'Discount Lookup'!J:K,2)*G1439*(1-PlanterDiscount)*(1+PlanterDifficultyPercentage)),""),"")),"   not ELP, by"))))))))))))))</f>
        <v/>
      </c>
      <c r="AD1439" s="712"/>
      <c r="AE1439" s="513" t="str">
        <f t="shared" si="1061"/>
        <v/>
      </c>
      <c r="AF1439" s="713" t="str">
        <f t="shared" si="1062"/>
        <v/>
      </c>
      <c r="AG1439" s="713"/>
      <c r="AH1439" s="713"/>
      <c r="AI1439" s="112">
        <f>IF(H1439="credit",0,IF(AE1439="free",0,IF(AE1439="me",0,IF(G1439&gt;0,(VLOOKUP(A1439,'Discount Lookup'!J:K,2)*G1439),0))))</f>
        <v>0</v>
      </c>
      <c r="AJ1439" s="107" t="str">
        <f t="shared" ca="1" si="1063"/>
        <v/>
      </c>
      <c r="AK1439" s="714" t="str">
        <f t="shared" si="1064"/>
        <v/>
      </c>
      <c r="AL1439" s="714"/>
      <c r="AM1439" s="114" t="str">
        <f t="shared" si="1065"/>
        <v/>
      </c>
      <c r="AN1439" s="115"/>
      <c r="AO1439" s="116"/>
      <c r="AP1439" s="116"/>
      <c r="AQ1439" s="116"/>
      <c r="AR1439" s="116"/>
      <c r="AS1439" s="116"/>
      <c r="AT1439" s="116"/>
      <c r="AU1439" s="116"/>
      <c r="AV1439" s="78"/>
      <c r="AW1439" s="102"/>
      <c r="AX1439" s="78"/>
      <c r="AY1439" s="78"/>
      <c r="AZ1439" s="78"/>
      <c r="BA1439" s="78"/>
      <c r="BB1439" s="78"/>
      <c r="BC1439" s="78"/>
      <c r="BD1439" s="78"/>
      <c r="BE1439" s="465"/>
      <c r="BF1439" s="165" t="str">
        <f t="shared" si="1066"/>
        <v>https://www.google.com/search?tbm=isch&amp;q=1%20G2</v>
      </c>
      <c r="BG1439" s="165" t="str">
        <f t="shared" si="1067"/>
        <v>C</v>
      </c>
      <c r="BH1439" s="65"/>
      <c r="BI1439" s="65"/>
      <c r="BJ1439" s="65"/>
      <c r="BK1439" s="65"/>
      <c r="BL1439" s="99"/>
      <c r="BM1439" s="99"/>
      <c r="BN1439" s="99"/>
    </row>
    <row r="1440" spans="1:66" s="51" customFormat="1" ht="15.75" x14ac:dyDescent="0.25">
      <c r="A1440" s="705" t="s">
        <v>5387</v>
      </c>
      <c r="B1440" s="487"/>
      <c r="C1440" s="707"/>
      <c r="D1440" s="487"/>
      <c r="E1440" s="487"/>
      <c r="F1440" s="488"/>
      <c r="G1440" s="489"/>
      <c r="H1440" s="487"/>
      <c r="I1440" s="490"/>
      <c r="J1440" s="490"/>
      <c r="K1440" s="491"/>
      <c r="L1440" s="547"/>
      <c r="M1440" s="528"/>
      <c r="N1440" s="492"/>
      <c r="O1440" s="493"/>
      <c r="P1440" s="494"/>
      <c r="Q1440" s="492"/>
      <c r="R1440" s="492"/>
      <c r="S1440" s="699" t="s">
        <v>5259</v>
      </c>
      <c r="T1440" s="102">
        <f t="shared" si="1055"/>
        <v>0</v>
      </c>
      <c r="U1440" s="78" t="str">
        <f>IF(NOT(ISNUMBER(G1440)), "", VLOOKUP(A1440,'Discount Lookup'!D:E,2,FALSE)*G1440)</f>
        <v/>
      </c>
      <c r="V1440" s="78" t="str">
        <f>IF(NOT(ISNUMBER(G1440)), "", VLOOKUP(A1440,'Discount Lookup'!G:H,2,FALSE)*G1440)</f>
        <v/>
      </c>
      <c r="W1440" s="102">
        <f t="shared" si="1056"/>
        <v>0</v>
      </c>
      <c r="X1440" s="102">
        <f t="shared" si="1057"/>
        <v>0</v>
      </c>
      <c r="Y1440" s="120" t="b">
        <f t="shared" si="1058"/>
        <v>0</v>
      </c>
      <c r="Z1440" s="117">
        <f t="shared" si="1059"/>
        <v>0</v>
      </c>
      <c r="AA1440" s="118"/>
      <c r="AB1440" s="118" t="str">
        <f t="shared" si="1060"/>
        <v/>
      </c>
      <c r="AC1440" s="712" t="str">
        <f>IF(AE1440="T2G","no charge",IF(AND(OR(PlanterYesMe="No",PlanterYesMe="N",PlanterYesMe="me"),H1440=""),"",IF(H1440="credit","NO install",IF(AND(K1440="",AE1440="me"),"EACH row",IF(AND(K1440="images",AE1440="me"),"EACH row",IF(D1440="","",IF(H1440="credit","",IF(AE1440="free","re-planting",IF(AE1440="me","   not ELP, by",IF(AND(OR(PlanterYesMe="Yes",PlanterYesMe="Y"),G1440&gt;0),(VLOOKUP(A1440,'Discount Lookup'!J:K,2)*G1440*(1-PlanterDiscount)*(1+PlanterDifficultyPercentage)),IF(AE1440="ELP",(VLOOKUP(A1440,'Discount Lookup'!J:K,2)*G1440*(1-PlanterDiscount)*(1+PlanterDifficultyPercentage)),IF(AE1440="free","re-planting",IF(G1440=0,"",IF(PlanterYesMe="",IF(AE1440="me","   not ELP, by",IF(AE1440="",IF(G1440&gt;0,(VLOOKUP(A1440,'Discount Lookup'!J:K,2)*G1440*(1-PlanterDiscount)*(1+PlanterDifficultyPercentage)),""),"")),"   not ELP, by"))))))))))))))</f>
        <v/>
      </c>
      <c r="AD1440" s="712"/>
      <c r="AE1440" s="513" t="str">
        <f t="shared" si="1061"/>
        <v/>
      </c>
      <c r="AF1440" s="713" t="str">
        <f t="shared" si="1062"/>
        <v/>
      </c>
      <c r="AG1440" s="713"/>
      <c r="AH1440" s="713"/>
      <c r="AI1440" s="112">
        <f>IF(H1440="credit",0,IF(AE1440="free",0,IF(AE1440="me",0,IF(G1440&gt;0,(VLOOKUP(A1440,'Discount Lookup'!J:K,2)*G1440),0))))</f>
        <v>0</v>
      </c>
      <c r="AJ1440" s="107" t="str">
        <f t="shared" ca="1" si="1063"/>
        <v/>
      </c>
      <c r="AK1440" s="714" t="str">
        <f t="shared" si="1064"/>
        <v/>
      </c>
      <c r="AL1440" s="714"/>
      <c r="AM1440" s="114" t="str">
        <f t="shared" si="1065"/>
        <v/>
      </c>
      <c r="AN1440" s="115"/>
      <c r="AO1440" s="116"/>
      <c r="AP1440" s="116"/>
      <c r="AQ1440" s="116"/>
      <c r="AR1440" s="116"/>
      <c r="AS1440" s="116"/>
      <c r="AT1440" s="116"/>
      <c r="AU1440" s="116"/>
      <c r="AV1440" s="78"/>
      <c r="AW1440" s="102"/>
      <c r="AX1440" s="78"/>
      <c r="AY1440" s="78"/>
      <c r="AZ1440" s="78"/>
      <c r="BA1440" s="78"/>
      <c r="BB1440" s="78"/>
      <c r="BC1440" s="78"/>
      <c r="BD1440" s="78"/>
      <c r="BE1440" s="465"/>
      <c r="BF1440" s="165" t="str">
        <f t="shared" si="1066"/>
        <v>https://www.google.com/search?tbm=isch&amp;q=moist%20sites%F0%9F%92%A7GOOD%2C%20Fortune%E2%80%99s%20Holly%20Fern%20has%20bold%2C%20architectural%20fronds%20that%20resemble%20holly%20leaves.%20Tolerant%20of%20drier%20soils.%20%20Semi-evergreen%20</v>
      </c>
      <c r="BG1440" s="165" t="str">
        <f t="shared" si="1067"/>
        <v>m</v>
      </c>
      <c r="BH1440" s="65"/>
      <c r="BI1440" s="65"/>
      <c r="BJ1440" s="65"/>
      <c r="BK1440" s="65"/>
      <c r="BL1440" s="99"/>
      <c r="BM1440" s="99"/>
      <c r="BN1440" s="99"/>
    </row>
    <row r="1441" spans="1:66" s="51" customFormat="1" ht="55.5" x14ac:dyDescent="0.25">
      <c r="A1441" s="520" t="s">
        <v>353</v>
      </c>
      <c r="B1441" s="501"/>
      <c r="C1441" s="502"/>
      <c r="D1441" s="502"/>
      <c r="E1441" s="502"/>
      <c r="F1441" s="502"/>
      <c r="G1441" s="502"/>
      <c r="H1441" s="502"/>
      <c r="I1441" s="502"/>
      <c r="J1441" s="502"/>
      <c r="K1441" s="509" t="s">
        <v>871</v>
      </c>
      <c r="L1441" s="503"/>
      <c r="M1441" s="563"/>
      <c r="N1441" s="504"/>
      <c r="O1441" s="504"/>
      <c r="P1441" s="504"/>
      <c r="Q1441" s="504"/>
      <c r="R1441" s="504"/>
      <c r="S1441" s="511" t="s">
        <v>1546</v>
      </c>
      <c r="T1441" s="102">
        <f t="shared" si="1055"/>
        <v>0</v>
      </c>
      <c r="U1441" s="78" t="str">
        <f>IF(NOT(ISNUMBER(G1441)), "", VLOOKUP(A1441,'Discount Lookup'!D:E,2,FALSE)*G1441)</f>
        <v/>
      </c>
      <c r="V1441" s="78" t="str">
        <f>IF(NOT(ISNUMBER(G1441)), "", VLOOKUP(A1441,'Discount Lookup'!G:H,2,FALSE)*G1441)</f>
        <v/>
      </c>
      <c r="W1441" s="102">
        <f t="shared" si="1056"/>
        <v>0</v>
      </c>
      <c r="X1441" s="102">
        <f t="shared" si="1057"/>
        <v>0</v>
      </c>
      <c r="Y1441" s="120" t="b">
        <f t="shared" si="1058"/>
        <v>0</v>
      </c>
      <c r="Z1441" s="117">
        <f t="shared" si="1059"/>
        <v>0</v>
      </c>
      <c r="AA1441" s="118"/>
      <c r="AB1441" s="118" t="str">
        <f t="shared" si="1060"/>
        <v/>
      </c>
      <c r="AC1441" s="712" t="str">
        <f>IF(AE1441="T2G","no charge",IF(AND(OR(PlanterYesMe="No",PlanterYesMe="N",PlanterYesMe="me"),H1441=""),"",IF(H1441="credit","NO install",IF(AND(K1441="",AE1441="me"),"EACH row",IF(AND(K1441="images",AE1441="me"),"EACH row",IF(D1441="","",IF(H1441="credit","",IF(AE1441="free","re-planting",IF(AE1441="me","   not ELP, by",IF(AND(OR(PlanterYesMe="Yes",PlanterYesMe="Y"),G1441&gt;0),(VLOOKUP(A1441,'Discount Lookup'!J:K,2)*G1441*(1-PlanterDiscount)*(1+PlanterDifficultyPercentage)),IF(AE1441="ELP",(VLOOKUP(A1441,'Discount Lookup'!J:K,2)*G1441*(1-PlanterDiscount)*(1+PlanterDifficultyPercentage)),IF(AE1441="free","re-planting",IF(G1441=0,"",IF(PlanterYesMe="",IF(AE1441="me","   not ELP, by",IF(AE1441="",IF(G1441&gt;0,(VLOOKUP(A1441,'Discount Lookup'!J:K,2)*G1441*(1-PlanterDiscount)*(1+PlanterDifficultyPercentage)),""),"")),"   not ELP, by"))))))))))))))</f>
        <v/>
      </c>
      <c r="AD1441" s="712"/>
      <c r="AE1441" s="513" t="str">
        <f t="shared" si="1061"/>
        <v/>
      </c>
      <c r="AF1441" s="713" t="str">
        <f t="shared" si="1062"/>
        <v/>
      </c>
      <c r="AG1441" s="713"/>
      <c r="AH1441" s="713"/>
      <c r="AI1441" s="112">
        <f>IF(H1441="credit",0,IF(AE1441="free",0,IF(AE1441="me",0,IF(G1441&gt;0,(VLOOKUP(A1441,'Discount Lookup'!J:K,2)*G1441),0))))</f>
        <v>0</v>
      </c>
      <c r="AJ1441" s="107" t="str">
        <f t="shared" ca="1" si="1063"/>
        <v/>
      </c>
      <c r="AK1441" s="714" t="str">
        <f t="shared" si="1064"/>
        <v/>
      </c>
      <c r="AL1441" s="714"/>
      <c r="AM1441" s="114" t="str">
        <f t="shared" si="1065"/>
        <v/>
      </c>
      <c r="AN1441" s="115"/>
      <c r="AO1441" s="116"/>
      <c r="AP1441" s="116"/>
      <c r="AQ1441" s="116"/>
      <c r="AR1441" s="116"/>
      <c r="AS1441" s="116"/>
      <c r="AT1441" s="116"/>
      <c r="AU1441" s="116"/>
      <c r="AV1441" s="78"/>
      <c r="AW1441" s="102"/>
      <c r="AX1441" s="78"/>
      <c r="AY1441" s="78"/>
      <c r="AZ1441" s="78"/>
      <c r="BA1441" s="78"/>
      <c r="BB1441" s="78"/>
      <c r="BC1441" s="78"/>
      <c r="BD1441" s="78"/>
      <c r="BE1441" s="465"/>
      <c r="BF1441" s="165" t="str">
        <f t="shared" si="1066"/>
        <v>https://www.google.com/search?tbm=isch&amp;q=D%20</v>
      </c>
      <c r="BG1441" s="165" t="str">
        <f t="shared" si="1067"/>
        <v>D</v>
      </c>
      <c r="BH1441" s="65"/>
      <c r="BI1441" s="65"/>
      <c r="BJ1441" s="65"/>
      <c r="BK1441" s="65"/>
      <c r="BL1441" s="99"/>
      <c r="BM1441" s="99"/>
      <c r="BN1441" s="99"/>
    </row>
    <row r="1442" spans="1:66" s="51" customFormat="1" ht="19.5" thickBot="1" x14ac:dyDescent="0.3">
      <c r="A1442" s="686" t="s">
        <v>412</v>
      </c>
      <c r="B1442" s="73"/>
      <c r="C1442" s="708"/>
      <c r="D1442" s="73"/>
      <c r="E1442" s="73"/>
      <c r="F1442" s="496"/>
      <c r="G1442" s="73"/>
      <c r="H1442" s="73"/>
      <c r="I1442" s="73"/>
      <c r="J1442" s="497" t="s">
        <v>357</v>
      </c>
      <c r="K1442" s="498"/>
      <c r="L1442" s="562"/>
      <c r="M1442" s="73"/>
      <c r="N1442"/>
      <c r="O1442"/>
      <c r="P1442"/>
      <c r="Q1442"/>
      <c r="R1442"/>
      <c r="S1442"/>
      <c r="T1442" s="102">
        <f t="shared" si="1055"/>
        <v>0</v>
      </c>
      <c r="U1442" s="78" t="str">
        <f>IF(NOT(ISNUMBER(G1442)), "", VLOOKUP(A1442,'Discount Lookup'!D:E,2,FALSE)*G1442)</f>
        <v/>
      </c>
      <c r="V1442" s="78" t="str">
        <f>IF(NOT(ISNUMBER(G1442)), "", VLOOKUP(A1442,'Discount Lookup'!G:H,2,FALSE)*G1442)</f>
        <v/>
      </c>
      <c r="W1442" s="102">
        <f t="shared" si="1056"/>
        <v>0</v>
      </c>
      <c r="X1442" s="102">
        <f t="shared" si="1057"/>
        <v>0</v>
      </c>
      <c r="Y1442" s="120" t="b">
        <f t="shared" si="1058"/>
        <v>0</v>
      </c>
      <c r="Z1442" s="117">
        <f t="shared" si="1059"/>
        <v>0</v>
      </c>
      <c r="AA1442" s="118"/>
      <c r="AB1442" s="118" t="str">
        <f t="shared" si="1060"/>
        <v/>
      </c>
      <c r="AC1442" s="712" t="str">
        <f>IF(AE1442="T2G","no charge",IF(AND(OR(PlanterYesMe="No",PlanterYesMe="N",PlanterYesMe="me"),H1442=""),"",IF(H1442="credit","NO install",IF(AND(K1442="",AE1442="me"),"EACH row",IF(AND(K1442="images",AE1442="me"),"EACH row",IF(D1442="","",IF(H1442="credit","",IF(AE1442="free","re-planting",IF(AE1442="me","   not ELP, by",IF(AND(OR(PlanterYesMe="Yes",PlanterYesMe="Y"),G1442&gt;0),(VLOOKUP(A1442,'Discount Lookup'!J:K,2)*G1442*(1-PlanterDiscount)*(1+PlanterDifficultyPercentage)),IF(AE1442="ELP",(VLOOKUP(A1442,'Discount Lookup'!J:K,2)*G1442*(1-PlanterDiscount)*(1+PlanterDifficultyPercentage)),IF(AE1442="free","re-planting",IF(G1442=0,"",IF(PlanterYesMe="",IF(AE1442="me","   not ELP, by",IF(AE1442="",IF(G1442&gt;0,(VLOOKUP(A1442,'Discount Lookup'!J:K,2)*G1442*(1-PlanterDiscount)*(1+PlanterDifficultyPercentage)),""),"")),"   not ELP, by"))))))))))))))</f>
        <v/>
      </c>
      <c r="AD1442" s="712"/>
      <c r="AE1442" s="513" t="str">
        <f t="shared" si="1061"/>
        <v/>
      </c>
      <c r="AF1442" s="713" t="str">
        <f t="shared" si="1062"/>
        <v/>
      </c>
      <c r="AG1442" s="713"/>
      <c r="AH1442" s="713"/>
      <c r="AI1442" s="112">
        <f>IF(H1442="credit",0,IF(AE1442="free",0,IF(AE1442="me",0,IF(G1442&gt;0,(VLOOKUP(A1442,'Discount Lookup'!J:K,2)*G1442),0))))</f>
        <v>0</v>
      </c>
      <c r="AJ1442" s="107" t="str">
        <f t="shared" ca="1" si="1063"/>
        <v/>
      </c>
      <c r="AK1442" s="714" t="str">
        <f t="shared" si="1064"/>
        <v/>
      </c>
      <c r="AL1442" s="714"/>
      <c r="AM1442" s="114" t="str">
        <f t="shared" si="1065"/>
        <v/>
      </c>
      <c r="AN1442" s="115"/>
      <c r="AO1442" s="116"/>
      <c r="AP1442" s="116"/>
      <c r="AQ1442" s="116"/>
      <c r="AR1442" s="116"/>
      <c r="AS1442" s="116"/>
      <c r="AT1442" s="116"/>
      <c r="AU1442" s="116"/>
      <c r="AV1442" s="78"/>
      <c r="AW1442" s="102"/>
      <c r="AX1442" s="78"/>
      <c r="AY1442" s="78"/>
      <c r="AZ1442" s="78"/>
      <c r="BA1442" s="78"/>
      <c r="BB1442" s="78"/>
      <c r="BC1442" s="78"/>
      <c r="BD1442" s="78"/>
      <c r="BE1442" s="465"/>
      <c r="BF1442" s="165" t="str">
        <f t="shared" si="1066"/>
        <v>https://www.google.com/search?tbm=isch&amp;q=Danae%20%3D%20Poet%27s%20Laurel%20</v>
      </c>
      <c r="BG1442" s="165" t="str">
        <f t="shared" si="1067"/>
        <v>D</v>
      </c>
      <c r="BH1442" s="65"/>
      <c r="BI1442" s="65"/>
      <c r="BJ1442" s="65"/>
      <c r="BK1442" s="65"/>
      <c r="BL1442" s="99"/>
      <c r="BM1442" s="99"/>
      <c r="BN1442" s="99"/>
    </row>
    <row r="1443" spans="1:66" s="51" customFormat="1" ht="18" x14ac:dyDescent="0.25">
      <c r="A1443" s="507" t="s">
        <v>2389</v>
      </c>
      <c r="B1443" s="470"/>
      <c r="C1443" s="706"/>
      <c r="D1443" s="471" t="s">
        <v>2390</v>
      </c>
      <c r="E1443" s="472"/>
      <c r="F1443" s="472"/>
      <c r="G1443" s="472"/>
      <c r="H1443" s="622" t="s">
        <v>1124</v>
      </c>
      <c r="I1443" s="473" t="s">
        <v>431</v>
      </c>
      <c r="J1443" s="472"/>
      <c r="K1443" s="472"/>
      <c r="L1443" s="561"/>
      <c r="M1443" s="703" t="s">
        <v>5260</v>
      </c>
      <c r="N1443" s="692" t="str">
        <f>IF(AND(ISTEXT($A1443), ISERROR($A1443+0)), HYPERLINK($BF1443, "Images"), "")</f>
        <v>Images</v>
      </c>
      <c r="O1443" s="694" t="s">
        <v>5244</v>
      </c>
      <c r="P1443" s="475"/>
      <c r="Q1443" s="476"/>
      <c r="R1443" s="476"/>
      <c r="S1443" s="477"/>
      <c r="T1443" s="102">
        <f t="shared" si="1055"/>
        <v>0</v>
      </c>
      <c r="U1443" s="78" t="str">
        <f>IF(NOT(ISNUMBER(G1443)), "", VLOOKUP(A1443,'Discount Lookup'!D:E,2,FALSE)*G1443)</f>
        <v/>
      </c>
      <c r="V1443" s="78" t="str">
        <f>IF(NOT(ISNUMBER(G1443)), "", VLOOKUP(A1443,'Discount Lookup'!G:H,2,FALSE)*G1443)</f>
        <v/>
      </c>
      <c r="W1443" s="102">
        <f t="shared" si="1056"/>
        <v>0</v>
      </c>
      <c r="X1443" s="102" t="str">
        <f t="shared" si="1057"/>
        <v>Dark Green foliage</v>
      </c>
      <c r="Y1443" s="120" t="b">
        <f t="shared" si="1058"/>
        <v>0</v>
      </c>
      <c r="Z1443" s="117">
        <f t="shared" si="1059"/>
        <v>0</v>
      </c>
      <c r="AA1443" s="118"/>
      <c r="AB1443" s="118" t="str">
        <f t="shared" si="1060"/>
        <v/>
      </c>
      <c r="AC1443" s="712" t="str">
        <f>IF(AE1443="T2G","no charge",IF(AND(OR(PlanterYesMe="No",PlanterYesMe="N",PlanterYesMe="me"),H1443=""),"",IF(H1443="credit","NO install",IF(AND(K1443="",AE1443="me"),"EACH row",IF(AND(K1443="images",AE1443="me"),"EACH row",IF(D1443="","",IF(H1443="credit","",IF(AE1443="free","re-planting",IF(AE1443="me","   not ELP, by",IF(AND(OR(PlanterYesMe="Yes",PlanterYesMe="Y"),G1443&gt;0),(VLOOKUP(A1443,'Discount Lookup'!J:K,2)*G1443*(1-PlanterDiscount)*(1+PlanterDifficultyPercentage)),IF(AE1443="ELP",(VLOOKUP(A1443,'Discount Lookup'!J:K,2)*G1443*(1-PlanterDiscount)*(1+PlanterDifficultyPercentage)),IF(AE1443="free","re-planting",IF(G1443=0,"",IF(PlanterYesMe="",IF(AE1443="me","   not ELP, by",IF(AE1443="",IF(G1443&gt;0,(VLOOKUP(A1443,'Discount Lookup'!J:K,2)*G1443*(1-PlanterDiscount)*(1+PlanterDifficultyPercentage)),""),"")),"   not ELP, by"))))))))))))))</f>
        <v/>
      </c>
      <c r="AD1443" s="712"/>
      <c r="AE1443" s="513" t="str">
        <f t="shared" si="1061"/>
        <v/>
      </c>
      <c r="AF1443" s="713" t="str">
        <f t="shared" si="1062"/>
        <v/>
      </c>
      <c r="AG1443" s="713"/>
      <c r="AH1443" s="713"/>
      <c r="AI1443" s="112">
        <f>IF(H1443="credit",0,IF(AE1443="free",0,IF(AE1443="me",0,IF(G1443&gt;0,(VLOOKUP(A1443,'Discount Lookup'!J:K,2)*G1443),0))))</f>
        <v>0</v>
      </c>
      <c r="AJ1443" s="107" t="str">
        <f t="shared" ca="1" si="1063"/>
        <v/>
      </c>
      <c r="AK1443" s="714" t="str">
        <f t="shared" si="1064"/>
        <v/>
      </c>
      <c r="AL1443" s="714"/>
      <c r="AM1443" s="114" t="str">
        <f t="shared" si="1065"/>
        <v/>
      </c>
      <c r="AN1443" s="115"/>
      <c r="AO1443" s="116"/>
      <c r="AP1443" s="116"/>
      <c r="AQ1443" s="116"/>
      <c r="AR1443" s="116"/>
      <c r="AS1443" s="116"/>
      <c r="AT1443" s="116"/>
      <c r="AU1443" s="116"/>
      <c r="AV1443" s="78"/>
      <c r="AW1443" s="102"/>
      <c r="AX1443" s="78"/>
      <c r="AY1443" s="78"/>
      <c r="AZ1443" s="78"/>
      <c r="BA1443" s="78"/>
      <c r="BB1443" s="78"/>
      <c r="BC1443" s="78"/>
      <c r="BD1443" s="78"/>
      <c r="BE1443" s="465"/>
      <c r="BF1443" s="165" t="str">
        <f t="shared" si="1066"/>
        <v>https://www.google.com/search?tbm=isch&amp;q=Danae%20racemosa%20Poet%27s%20Laurel</v>
      </c>
      <c r="BG1443" s="165" t="str">
        <f t="shared" si="1067"/>
        <v>D</v>
      </c>
      <c r="BH1443" s="65"/>
      <c r="BI1443" s="65"/>
      <c r="BJ1443" s="65"/>
      <c r="BK1443" s="65"/>
      <c r="BL1443" s="99"/>
      <c r="BM1443" s="99"/>
      <c r="BN1443" s="99"/>
    </row>
    <row r="1444" spans="1:66" s="51" customFormat="1" ht="15.75" x14ac:dyDescent="0.25">
      <c r="A1444" s="478">
        <v>3</v>
      </c>
      <c r="B1444" s="479" t="s">
        <v>291</v>
      </c>
      <c r="C1444" s="480" t="s">
        <v>2391</v>
      </c>
      <c r="D1444" s="481" t="s">
        <v>299</v>
      </c>
      <c r="E1444" s="482">
        <v>63.95</v>
      </c>
      <c r="F1444" s="483" t="s">
        <v>292</v>
      </c>
      <c r="G1444" s="484">
        <v>0</v>
      </c>
      <c r="H1444" s="688" t="str">
        <f>IF(G1444=0,"",IF(F1444="Buy",IF(G1444=1,"plant","plants"),IF(F1444&gt;0.01,"warranty","Error")))</f>
        <v/>
      </c>
      <c r="I1444" s="485">
        <f>IF(H1444="free",0,IF(H1444="credit",((E1444*(F1444))*G1444*-1),IF(F1444="Buy",(E1444*G1444),((E1444*(1-F1444))*G1444))))</f>
        <v>0</v>
      </c>
      <c r="J1444" s="485">
        <f>IF(H1444="warranty",0,(I1444*(_xlfn.SINGLE(SalesTaxPercentage))))</f>
        <v>0</v>
      </c>
      <c r="K1444" s="715">
        <f t="shared" ref="K1444" si="1071">I1444+J1444</f>
        <v>0</v>
      </c>
      <c r="L1444" s="715"/>
      <c r="M1444" s="689" t="str">
        <f ca="1">IF(AND(G1444&gt;0,E1444=0),"WARNING - no PRICE inserted",IF(H1444="free","FREE ~ no charge this plant",IF(H1444="credit",CONCATENATE("-$",ROUND(K1444*(1-_xlfn.SINGLE(T2GDiscount))*-1,2)," CREDIT after discount"),IF(_xlfn.SINGLE(T2GDiscount)=0,"",IF(G1444=0,"",IF(F1444="Buy",CONCATENATE("$",ROUND(K1444*(1-_xlfn.SINGLE(T2GDiscount)),2)," with ",(_xlfn.SINGLE(T2GDiscount)*100),"% discount"),CONCATENATE("$",ROUND(K1444*(1-_xlfn.SINGLE(T2GDiscount)),2)," with ",((_xlfn.SINGLE(T2GDiscount)*100+F1444*100)-(_xlfn.SINGLE(T2GDiscount)*100*F1444)),IF(F1444&gt;0,"% discounts",IF(_xlfn.SINGLE(NoWarrantyDiscount)&gt;0,"% discounts","% discount")))))))))</f>
        <v/>
      </c>
      <c r="N1444" s="690"/>
      <c r="O1444" s="486"/>
      <c r="P1444" s="486"/>
      <c r="Q1444" s="486"/>
      <c r="R1444" s="486"/>
      <c r="S1444" s="486"/>
      <c r="T1444" s="102">
        <f t="shared" si="1055"/>
        <v>0</v>
      </c>
      <c r="U1444" s="78">
        <f>IF(NOT(ISNUMBER(G1444)), "", VLOOKUP(A1444,'Discount Lookup'!D:E,2,FALSE)*G1444)</f>
        <v>0</v>
      </c>
      <c r="V1444" s="78">
        <f>IF(NOT(ISNUMBER(G1444)), "", VLOOKUP(A1444,'Discount Lookup'!G:H,2,FALSE)*G1444)</f>
        <v>0</v>
      </c>
      <c r="W1444" s="102">
        <f t="shared" si="1056"/>
        <v>0</v>
      </c>
      <c r="X1444" s="102">
        <f t="shared" si="1057"/>
        <v>0</v>
      </c>
      <c r="Y1444" s="120" t="b">
        <f t="shared" si="1058"/>
        <v>0</v>
      </c>
      <c r="Z1444" s="117">
        <f t="shared" si="1059"/>
        <v>0</v>
      </c>
      <c r="AA1444" s="118"/>
      <c r="AB1444" s="118" t="str">
        <f t="shared" si="1060"/>
        <v/>
      </c>
      <c r="AC1444" s="712" t="str">
        <f>IF(AE1444="T2G","no charge",IF(AND(OR(PlanterYesMe="No",PlanterYesMe="N",PlanterYesMe="me"),H1444=""),"",IF(H1444="credit","NO install",IF(AND(K1444="",AE1444="me"),"EACH row",IF(AND(K1444="images",AE1444="me"),"EACH row",IF(D1444="","",IF(H1444="credit","",IF(AE1444="free","re-planting",IF(AE1444="me","   not ELP, by",IF(AND(OR(PlanterYesMe="Yes",PlanterYesMe="Y"),G1444&gt;0),(VLOOKUP(A1444,'Discount Lookup'!J:K,2)*G1444*(1-PlanterDiscount)*(1+PlanterDifficultyPercentage)),IF(AE1444="ELP",(VLOOKUP(A1444,'Discount Lookup'!J:K,2)*G1444*(1-PlanterDiscount)*(1+PlanterDifficultyPercentage)),IF(AE1444="free","re-planting",IF(G1444=0,"",IF(PlanterYesMe="",IF(AE1444="me","   not ELP, by",IF(AE1444="",IF(G1444&gt;0,(VLOOKUP(A1444,'Discount Lookup'!J:K,2)*G1444*(1-PlanterDiscount)*(1+PlanterDifficultyPercentage)),""),"")),"   not ELP, by"))))))))))))))</f>
        <v/>
      </c>
      <c r="AD1444" s="712"/>
      <c r="AE1444" s="513" t="str">
        <f t="shared" si="1061"/>
        <v/>
      </c>
      <c r="AF1444" s="713" t="str">
        <f t="shared" si="1062"/>
        <v/>
      </c>
      <c r="AG1444" s="713"/>
      <c r="AH1444" s="713"/>
      <c r="AI1444" s="112">
        <f>IF(H1444="credit",0,IF(AE1444="free",0,IF(AE1444="me",0,IF(G1444&gt;0,(VLOOKUP(A1444,'Discount Lookup'!J:K,2)*G1444),0))))</f>
        <v>0</v>
      </c>
      <c r="AJ1444" s="107" t="str">
        <f t="shared" ca="1" si="1063"/>
        <v/>
      </c>
      <c r="AK1444" s="714" t="str">
        <f t="shared" si="1064"/>
        <v/>
      </c>
      <c r="AL1444" s="714"/>
      <c r="AM1444" s="114" t="str">
        <f t="shared" si="1065"/>
        <v/>
      </c>
      <c r="AN1444" s="115"/>
      <c r="AO1444" s="116"/>
      <c r="AP1444" s="116"/>
      <c r="AQ1444" s="116"/>
      <c r="AR1444" s="116"/>
      <c r="AS1444" s="116"/>
      <c r="AT1444" s="116"/>
      <c r="AU1444" s="116"/>
      <c r="AV1444" s="78"/>
      <c r="AW1444" s="102"/>
      <c r="AX1444" s="78"/>
      <c r="AY1444" s="78"/>
      <c r="AZ1444" s="78"/>
      <c r="BA1444" s="78"/>
      <c r="BB1444" s="78"/>
      <c r="BC1444" s="78"/>
      <c r="BD1444" s="78"/>
      <c r="BE1444" s="465"/>
      <c r="BF1444" s="165" t="str">
        <f t="shared" si="1066"/>
        <v>https://www.google.com/search?tbm=isch&amp;q=3%20G4</v>
      </c>
      <c r="BG1444" s="165" t="str">
        <f t="shared" si="1067"/>
        <v>D</v>
      </c>
      <c r="BH1444" s="65"/>
      <c r="BI1444" s="65"/>
      <c r="BJ1444" s="65"/>
      <c r="BK1444" s="65"/>
      <c r="BL1444" s="99"/>
      <c r="BM1444" s="99"/>
      <c r="BN1444" s="99"/>
    </row>
    <row r="1445" spans="1:66" s="51" customFormat="1" ht="15.75" x14ac:dyDescent="0.25">
      <c r="A1445" s="478">
        <v>3</v>
      </c>
      <c r="B1445" s="479" t="s">
        <v>291</v>
      </c>
      <c r="C1445" s="480" t="s">
        <v>2392</v>
      </c>
      <c r="D1445" s="481" t="s">
        <v>293</v>
      </c>
      <c r="E1445" s="482">
        <v>72.95</v>
      </c>
      <c r="F1445" s="483" t="s">
        <v>292</v>
      </c>
      <c r="G1445" s="484">
        <v>0</v>
      </c>
      <c r="H1445" s="688" t="str">
        <f>IF(G1445=0,"",IF(F1445="Buy",IF(G1445=1,"plant","plants"),IF(F1445&gt;0.01,"warranty","Error")))</f>
        <v/>
      </c>
      <c r="I1445" s="485">
        <f>IF(H1445="free",0,IF(H1445="credit",((E1445*(F1445))*G1445*-1),IF(F1445="Buy",(E1445*G1445),((E1445*(1-F1445))*G1445))))</f>
        <v>0</v>
      </c>
      <c r="J1445" s="485">
        <f>IF(H1445="warranty",0,(I1445*(_xlfn.SINGLE(SalesTaxPercentage))))</f>
        <v>0</v>
      </c>
      <c r="K1445" s="715">
        <f t="shared" ref="K1445" si="1072">I1445+J1445</f>
        <v>0</v>
      </c>
      <c r="L1445" s="715"/>
      <c r="M1445" s="689" t="str">
        <f ca="1">IF(AND(G1445&gt;0,E1445=0),"WARNING - no PRICE inserted",IF(H1445="free","FREE ~ no charge this plant",IF(H1445="credit",CONCATENATE("-$",ROUND(K1445*(1-_xlfn.SINGLE(T2GDiscount))*-1,2)," CREDIT after discount"),IF(_xlfn.SINGLE(T2GDiscount)=0,"",IF(G1445=0,"",IF(F1445="Buy",CONCATENATE("$",ROUND(K1445*(1-_xlfn.SINGLE(T2GDiscount)),2)," with ",(_xlfn.SINGLE(T2GDiscount)*100),"% discount"),CONCATENATE("$",ROUND(K1445*(1-_xlfn.SINGLE(T2GDiscount)),2)," with ",((_xlfn.SINGLE(T2GDiscount)*100+F1445*100)-(_xlfn.SINGLE(T2GDiscount)*100*F1445)),IF(F1445&gt;0,"% discounts",IF(_xlfn.SINGLE(NoWarrantyDiscount)&gt;0,"% discounts","% discount")))))))))</f>
        <v/>
      </c>
      <c r="N1445" s="690"/>
      <c r="O1445" s="486"/>
      <c r="P1445" s="486"/>
      <c r="Q1445" s="486"/>
      <c r="R1445" s="486"/>
      <c r="S1445" s="486"/>
      <c r="T1445" s="102">
        <f t="shared" si="1055"/>
        <v>0</v>
      </c>
      <c r="U1445" s="78">
        <f>IF(NOT(ISNUMBER(G1445)), "", VLOOKUP(A1445,'Discount Lookup'!D:E,2,FALSE)*G1445)</f>
        <v>0</v>
      </c>
      <c r="V1445" s="78">
        <f>IF(NOT(ISNUMBER(G1445)), "", VLOOKUP(A1445,'Discount Lookup'!G:H,2,FALSE)*G1445)</f>
        <v>0</v>
      </c>
      <c r="W1445" s="102">
        <f t="shared" si="1056"/>
        <v>0</v>
      </c>
      <c r="X1445" s="102">
        <f t="shared" si="1057"/>
        <v>0</v>
      </c>
      <c r="Y1445" s="120" t="b">
        <f t="shared" si="1058"/>
        <v>0</v>
      </c>
      <c r="Z1445" s="117">
        <f t="shared" si="1059"/>
        <v>0</v>
      </c>
      <c r="AA1445" s="118"/>
      <c r="AB1445" s="118" t="str">
        <f t="shared" si="1060"/>
        <v/>
      </c>
      <c r="AC1445" s="712" t="str">
        <f>IF(AE1445="T2G","no charge",IF(AND(OR(PlanterYesMe="No",PlanterYesMe="N",PlanterYesMe="me"),H1445=""),"",IF(H1445="credit","NO install",IF(AND(K1445="",AE1445="me"),"EACH row",IF(AND(K1445="images",AE1445="me"),"EACH row",IF(D1445="","",IF(H1445="credit","",IF(AE1445="free","re-planting",IF(AE1445="me","   not ELP, by",IF(AND(OR(PlanterYesMe="Yes",PlanterYesMe="Y"),G1445&gt;0),(VLOOKUP(A1445,'Discount Lookup'!J:K,2)*G1445*(1-PlanterDiscount)*(1+PlanterDifficultyPercentage)),IF(AE1445="ELP",(VLOOKUP(A1445,'Discount Lookup'!J:K,2)*G1445*(1-PlanterDiscount)*(1+PlanterDifficultyPercentage)),IF(AE1445="free","re-planting",IF(G1445=0,"",IF(PlanterYesMe="",IF(AE1445="me","   not ELP, by",IF(AE1445="",IF(G1445&gt;0,(VLOOKUP(A1445,'Discount Lookup'!J:K,2)*G1445*(1-PlanterDiscount)*(1+PlanterDifficultyPercentage)),""),"")),"   not ELP, by"))))))))))))))</f>
        <v/>
      </c>
      <c r="AD1445" s="712"/>
      <c r="AE1445" s="513" t="str">
        <f t="shared" si="1061"/>
        <v/>
      </c>
      <c r="AF1445" s="713" t="str">
        <f t="shared" si="1062"/>
        <v/>
      </c>
      <c r="AG1445" s="713"/>
      <c r="AH1445" s="713"/>
      <c r="AI1445" s="112">
        <f>IF(H1445="credit",0,IF(AE1445="free",0,IF(AE1445="me",0,IF(G1445&gt;0,(VLOOKUP(A1445,'Discount Lookup'!J:K,2)*G1445),0))))</f>
        <v>0</v>
      </c>
      <c r="AJ1445" s="107" t="str">
        <f t="shared" ca="1" si="1063"/>
        <v/>
      </c>
      <c r="AK1445" s="714" t="str">
        <f t="shared" si="1064"/>
        <v/>
      </c>
      <c r="AL1445" s="714"/>
      <c r="AM1445" s="114" t="str">
        <f t="shared" si="1065"/>
        <v/>
      </c>
      <c r="AN1445" s="115"/>
      <c r="AO1445" s="116"/>
      <c r="AP1445" s="116"/>
      <c r="AQ1445" s="116"/>
      <c r="AR1445" s="116"/>
      <c r="AS1445" s="116"/>
      <c r="AT1445" s="116"/>
      <c r="AU1445" s="116"/>
      <c r="AV1445" s="78"/>
      <c r="AW1445" s="102"/>
      <c r="AX1445" s="78"/>
      <c r="AY1445" s="78"/>
      <c r="AZ1445" s="78"/>
      <c r="BA1445" s="78"/>
      <c r="BB1445" s="78"/>
      <c r="BC1445" s="78"/>
      <c r="BD1445" s="78"/>
      <c r="BE1445" s="465"/>
      <c r="BF1445" s="165" t="str">
        <f t="shared" si="1066"/>
        <v>https://www.google.com/search?tbm=isch&amp;q=3%20G6</v>
      </c>
      <c r="BG1445" s="165" t="str">
        <f t="shared" si="1067"/>
        <v>D</v>
      </c>
      <c r="BH1445" s="65"/>
      <c r="BI1445" s="65"/>
      <c r="BJ1445" s="65"/>
      <c r="BK1445" s="65"/>
      <c r="BL1445" s="99"/>
      <c r="BM1445" s="99"/>
      <c r="BN1445" s="99"/>
    </row>
    <row r="1446" spans="1:66" s="51" customFormat="1" ht="16.5" x14ac:dyDescent="0.25">
      <c r="A1446" s="508" t="s">
        <v>2393</v>
      </c>
      <c r="B1446" s="487"/>
      <c r="C1446" s="707"/>
      <c r="D1446" s="487"/>
      <c r="E1446" s="487"/>
      <c r="F1446" s="488"/>
      <c r="G1446" s="489"/>
      <c r="H1446" s="487"/>
      <c r="I1446" s="490"/>
      <c r="J1446" s="490"/>
      <c r="K1446" s="491"/>
      <c r="L1446" s="547"/>
      <c r="M1446" s="528"/>
      <c r="N1446" s="492"/>
      <c r="O1446" s="493"/>
      <c r="P1446" s="494"/>
      <c r="Q1446" s="492"/>
      <c r="R1446" s="492"/>
      <c r="S1446" s="699" t="s">
        <v>5280</v>
      </c>
      <c r="T1446" s="102">
        <f t="shared" si="1055"/>
        <v>0</v>
      </c>
      <c r="U1446" s="78" t="str">
        <f>IF(NOT(ISNUMBER(G1446)), "", VLOOKUP(A1446,'Discount Lookup'!D:E,2,FALSE)*G1446)</f>
        <v/>
      </c>
      <c r="V1446" s="78" t="str">
        <f>IF(NOT(ISNUMBER(G1446)), "", VLOOKUP(A1446,'Discount Lookup'!G:H,2,FALSE)*G1446)</f>
        <v/>
      </c>
      <c r="W1446" s="102">
        <f t="shared" si="1056"/>
        <v>0</v>
      </c>
      <c r="X1446" s="102">
        <f t="shared" si="1057"/>
        <v>0</v>
      </c>
      <c r="Y1446" s="120" t="b">
        <f t="shared" si="1058"/>
        <v>0</v>
      </c>
      <c r="Z1446" s="117">
        <f t="shared" si="1059"/>
        <v>0</v>
      </c>
      <c r="AA1446" s="118"/>
      <c r="AB1446" s="118" t="str">
        <f t="shared" si="1060"/>
        <v/>
      </c>
      <c r="AC1446" s="712" t="str">
        <f>IF(AE1446="T2G","no charge",IF(AND(OR(PlanterYesMe="No",PlanterYesMe="N",PlanterYesMe="me"),H1446=""),"",IF(H1446="credit","NO install",IF(AND(K1446="",AE1446="me"),"EACH row",IF(AND(K1446="images",AE1446="me"),"EACH row",IF(D1446="","",IF(H1446="credit","",IF(AE1446="free","re-planting",IF(AE1446="me","   not ELP, by",IF(AND(OR(PlanterYesMe="Yes",PlanterYesMe="Y"),G1446&gt;0),(VLOOKUP(A1446,'Discount Lookup'!J:K,2)*G1446*(1-PlanterDiscount)*(1+PlanterDifficultyPercentage)),IF(AE1446="ELP",(VLOOKUP(A1446,'Discount Lookup'!J:K,2)*G1446*(1-PlanterDiscount)*(1+PlanterDifficultyPercentage)),IF(AE1446="free","re-planting",IF(G1446=0,"",IF(PlanterYesMe="",IF(AE1446="me","   not ELP, by",IF(AE1446="",IF(G1446&gt;0,(VLOOKUP(A1446,'Discount Lookup'!J:K,2)*G1446*(1-PlanterDiscount)*(1+PlanterDifficultyPercentage)),""),"")),"   not ELP, by"))))))))))))))</f>
        <v/>
      </c>
      <c r="AD1446" s="712"/>
      <c r="AE1446" s="513" t="str">
        <f t="shared" si="1061"/>
        <v/>
      </c>
      <c r="AF1446" s="713" t="str">
        <f t="shared" si="1062"/>
        <v/>
      </c>
      <c r="AG1446" s="713"/>
      <c r="AH1446" s="713"/>
      <c r="AI1446" s="112">
        <f>IF(H1446="credit",0,IF(AE1446="free",0,IF(AE1446="me",0,IF(G1446&gt;0,(VLOOKUP(A1446,'Discount Lookup'!J:K,2)*G1446),0))))</f>
        <v>0</v>
      </c>
      <c r="AJ1446" s="107" t="str">
        <f t="shared" ca="1" si="1063"/>
        <v/>
      </c>
      <c r="AK1446" s="714" t="str">
        <f t="shared" si="1064"/>
        <v/>
      </c>
      <c r="AL1446" s="714"/>
      <c r="AM1446" s="114" t="str">
        <f t="shared" si="1065"/>
        <v/>
      </c>
      <c r="AN1446" s="115"/>
      <c r="AO1446" s="116"/>
      <c r="AP1446" s="116"/>
      <c r="AQ1446" s="116"/>
      <c r="AR1446" s="116"/>
      <c r="AS1446" s="116"/>
      <c r="AT1446" s="116"/>
      <c r="AU1446" s="116"/>
      <c r="AV1446" s="78"/>
      <c r="AW1446" s="102"/>
      <c r="AX1446" s="78"/>
      <c r="AY1446" s="78"/>
      <c r="AZ1446" s="78"/>
      <c r="BA1446" s="78"/>
      <c r="BB1446" s="78"/>
      <c r="BC1446" s="78"/>
      <c r="BD1446" s="78"/>
      <c r="BE1446" s="465"/>
      <c r="BF1446" s="165" t="str">
        <f t="shared" si="1066"/>
        <v>https://www.google.com/search?tbm=isch&amp;q=Poet%27s%20Laurel%20has%20graceful%2C%20arching%20stems%20and%20lance-shaped%20foliage.%20Small%2C%20Yellowish-Green%20flowers.%20Orange-Red%20berries%20</v>
      </c>
      <c r="BG1446" s="165" t="str">
        <f t="shared" si="1067"/>
        <v>P</v>
      </c>
      <c r="BH1446" s="65"/>
      <c r="BI1446" s="65"/>
      <c r="BJ1446" s="65"/>
      <c r="BK1446" s="65"/>
      <c r="BL1446" s="99"/>
      <c r="BM1446" s="99"/>
      <c r="BN1446" s="99"/>
    </row>
    <row r="1447" spans="1:66" s="51" customFormat="1" ht="19.5" thickBot="1" x14ac:dyDescent="0.3">
      <c r="A1447" s="686" t="s">
        <v>414</v>
      </c>
      <c r="B1447" s="73"/>
      <c r="C1447" s="708"/>
      <c r="D1447" s="73"/>
      <c r="E1447" s="73"/>
      <c r="F1447" s="496"/>
      <c r="G1447" s="73"/>
      <c r="H1447" s="73"/>
      <c r="I1447" s="73"/>
      <c r="J1447" s="497" t="s">
        <v>357</v>
      </c>
      <c r="K1447" s="498"/>
      <c r="L1447" s="562"/>
      <c r="M1447" s="73"/>
      <c r="N1447"/>
      <c r="O1447"/>
      <c r="P1447"/>
      <c r="Q1447"/>
      <c r="R1447"/>
      <c r="S1447"/>
      <c r="T1447" s="102">
        <f t="shared" si="1055"/>
        <v>0</v>
      </c>
      <c r="U1447" s="78" t="str">
        <f>IF(NOT(ISNUMBER(G1447)), "", VLOOKUP(A1447,'Discount Lookup'!D:E,2,FALSE)*G1447)</f>
        <v/>
      </c>
      <c r="V1447" s="78" t="str">
        <f>IF(NOT(ISNUMBER(G1447)), "", VLOOKUP(A1447,'Discount Lookup'!G:H,2,FALSE)*G1447)</f>
        <v/>
      </c>
      <c r="W1447" s="102">
        <f t="shared" si="1056"/>
        <v>0</v>
      </c>
      <c r="X1447" s="102">
        <f t="shared" si="1057"/>
        <v>0</v>
      </c>
      <c r="Y1447" s="120" t="b">
        <f t="shared" si="1058"/>
        <v>0</v>
      </c>
      <c r="Z1447" s="117">
        <f t="shared" si="1059"/>
        <v>0</v>
      </c>
      <c r="AA1447" s="118"/>
      <c r="AB1447" s="118" t="str">
        <f t="shared" si="1060"/>
        <v/>
      </c>
      <c r="AC1447" s="712" t="str">
        <f>IF(AE1447="T2G","no charge",IF(AND(OR(PlanterYesMe="No",PlanterYesMe="N",PlanterYesMe="me"),H1447=""),"",IF(H1447="credit","NO install",IF(AND(K1447="",AE1447="me"),"EACH row",IF(AND(K1447="images",AE1447="me"),"EACH row",IF(D1447="","",IF(H1447="credit","",IF(AE1447="free","re-planting",IF(AE1447="me","   not ELP, by",IF(AND(OR(PlanterYesMe="Yes",PlanterYesMe="Y"),G1447&gt;0),(VLOOKUP(A1447,'Discount Lookup'!J:K,2)*G1447*(1-PlanterDiscount)*(1+PlanterDifficultyPercentage)),IF(AE1447="ELP",(VLOOKUP(A1447,'Discount Lookup'!J:K,2)*G1447*(1-PlanterDiscount)*(1+PlanterDifficultyPercentage)),IF(AE1447="free","re-planting",IF(G1447=0,"",IF(PlanterYesMe="",IF(AE1447="me","   not ELP, by",IF(AE1447="",IF(G1447&gt;0,(VLOOKUP(A1447,'Discount Lookup'!J:K,2)*G1447*(1-PlanterDiscount)*(1+PlanterDifficultyPercentage)),""),"")),"   not ELP, by"))))))))))))))</f>
        <v/>
      </c>
      <c r="AD1447" s="712"/>
      <c r="AE1447" s="513" t="str">
        <f t="shared" si="1061"/>
        <v/>
      </c>
      <c r="AF1447" s="713" t="str">
        <f t="shared" si="1062"/>
        <v/>
      </c>
      <c r="AG1447" s="713"/>
      <c r="AH1447" s="713"/>
      <c r="AI1447" s="112">
        <f>IF(H1447="credit",0,IF(AE1447="free",0,IF(AE1447="me",0,IF(G1447&gt;0,(VLOOKUP(A1447,'Discount Lookup'!J:K,2)*G1447),0))))</f>
        <v>0</v>
      </c>
      <c r="AJ1447" s="107" t="str">
        <f t="shared" ca="1" si="1063"/>
        <v/>
      </c>
      <c r="AK1447" s="714" t="str">
        <f t="shared" si="1064"/>
        <v/>
      </c>
      <c r="AL1447" s="714"/>
      <c r="AM1447" s="114" t="str">
        <f t="shared" si="1065"/>
        <v/>
      </c>
      <c r="AN1447" s="115"/>
      <c r="AO1447" s="116"/>
      <c r="AP1447" s="116"/>
      <c r="AQ1447" s="116"/>
      <c r="AR1447" s="116"/>
      <c r="AS1447" s="116"/>
      <c r="AT1447" s="116"/>
      <c r="AU1447" s="116"/>
      <c r="AV1447" s="78"/>
      <c r="AW1447" s="102"/>
      <c r="AX1447" s="78"/>
      <c r="AY1447" s="78"/>
      <c r="AZ1447" s="78"/>
      <c r="BA1447" s="78"/>
      <c r="BB1447" s="78"/>
      <c r="BC1447" s="78"/>
      <c r="BD1447" s="78"/>
      <c r="BE1447" s="465"/>
      <c r="BF1447" s="165" t="str">
        <f t="shared" si="1066"/>
        <v>https://www.google.com/search?tbm=isch&amp;q=Daphne%20%3D%20Winter%20Daphne%20</v>
      </c>
      <c r="BG1447" s="165" t="str">
        <f t="shared" si="1067"/>
        <v>D</v>
      </c>
      <c r="BH1447" s="65"/>
      <c r="BI1447" s="65"/>
      <c r="BJ1447" s="65"/>
      <c r="BK1447" s="65"/>
      <c r="BL1447" s="99"/>
      <c r="BM1447" s="99"/>
      <c r="BN1447" s="99"/>
    </row>
    <row r="1448" spans="1:66" s="51" customFormat="1" ht="18" x14ac:dyDescent="0.25">
      <c r="A1448" s="507" t="s">
        <v>2394</v>
      </c>
      <c r="B1448" s="470"/>
      <c r="C1448" s="706"/>
      <c r="D1448" s="471" t="s">
        <v>2395</v>
      </c>
      <c r="E1448" s="472"/>
      <c r="F1448" s="472"/>
      <c r="G1448" s="472"/>
      <c r="H1448" s="622" t="s">
        <v>2396</v>
      </c>
      <c r="I1448" s="473" t="s">
        <v>2397</v>
      </c>
      <c r="J1448" s="472"/>
      <c r="K1448" s="472"/>
      <c r="L1448" s="561"/>
      <c r="M1448" s="698" t="s">
        <v>5246</v>
      </c>
      <c r="N1448" s="692" t="str">
        <f>IF(AND(ISTEXT($A1448), ISERROR($A1448+0)), HYPERLINK($BF1448, "Images"), "")</f>
        <v>Images</v>
      </c>
      <c r="O1448" s="694" t="s">
        <v>5244</v>
      </c>
      <c r="P1448" s="475"/>
      <c r="Q1448" s="476"/>
      <c r="R1448" s="476"/>
      <c r="S1448" s="477"/>
      <c r="T1448" s="102">
        <f t="shared" si="1055"/>
        <v>0</v>
      </c>
      <c r="U1448" s="78" t="str">
        <f>IF(NOT(ISNUMBER(G1448)), "", VLOOKUP(A1448,'Discount Lookup'!D:E,2,FALSE)*G1448)</f>
        <v/>
      </c>
      <c r="V1448" s="78" t="str">
        <f>IF(NOT(ISNUMBER(G1448)), "", VLOOKUP(A1448,'Discount Lookup'!G:H,2,FALSE)*G1448)</f>
        <v/>
      </c>
      <c r="W1448" s="102">
        <f t="shared" si="1056"/>
        <v>0</v>
      </c>
      <c r="X1448" s="102" t="str">
        <f t="shared" si="1057"/>
        <v>Purplish-Pink</v>
      </c>
      <c r="Y1448" s="120" t="b">
        <f t="shared" si="1058"/>
        <v>0</v>
      </c>
      <c r="Z1448" s="117">
        <f t="shared" si="1059"/>
        <v>0</v>
      </c>
      <c r="AA1448" s="118"/>
      <c r="AB1448" s="118" t="str">
        <f t="shared" si="1060"/>
        <v/>
      </c>
      <c r="AC1448" s="712" t="str">
        <f>IF(AE1448="T2G","no charge",IF(AND(OR(PlanterYesMe="No",PlanterYesMe="N",PlanterYesMe="me"),H1448=""),"",IF(H1448="credit","NO install",IF(AND(K1448="",AE1448="me"),"EACH row",IF(AND(K1448="images",AE1448="me"),"EACH row",IF(D1448="","",IF(H1448="credit","",IF(AE1448="free","re-planting",IF(AE1448="me","   not ELP, by",IF(AND(OR(PlanterYesMe="Yes",PlanterYesMe="Y"),G1448&gt;0),(VLOOKUP(A1448,'Discount Lookup'!J:K,2)*G1448*(1-PlanterDiscount)*(1+PlanterDifficultyPercentage)),IF(AE1448="ELP",(VLOOKUP(A1448,'Discount Lookup'!J:K,2)*G1448*(1-PlanterDiscount)*(1+PlanterDifficultyPercentage)),IF(AE1448="free","re-planting",IF(G1448=0,"",IF(PlanterYesMe="",IF(AE1448="me","   not ELP, by",IF(AE1448="",IF(G1448&gt;0,(VLOOKUP(A1448,'Discount Lookup'!J:K,2)*G1448*(1-PlanterDiscount)*(1+PlanterDifficultyPercentage)),""),"")),"   not ELP, by"))))))))))))))</f>
        <v/>
      </c>
      <c r="AD1448" s="712"/>
      <c r="AE1448" s="513" t="str">
        <f t="shared" si="1061"/>
        <v/>
      </c>
      <c r="AF1448" s="713" t="str">
        <f t="shared" si="1062"/>
        <v/>
      </c>
      <c r="AG1448" s="713"/>
      <c r="AH1448" s="713"/>
      <c r="AI1448" s="112">
        <f>IF(H1448="credit",0,IF(AE1448="free",0,IF(AE1448="me",0,IF(G1448&gt;0,(VLOOKUP(A1448,'Discount Lookup'!J:K,2)*G1448),0))))</f>
        <v>0</v>
      </c>
      <c r="AJ1448" s="107" t="str">
        <f t="shared" ca="1" si="1063"/>
        <v/>
      </c>
      <c r="AK1448" s="714" t="str">
        <f t="shared" si="1064"/>
        <v/>
      </c>
      <c r="AL1448" s="714"/>
      <c r="AM1448" s="114" t="str">
        <f t="shared" si="1065"/>
        <v/>
      </c>
      <c r="AN1448" s="115"/>
      <c r="AO1448" s="116"/>
      <c r="AP1448" s="116"/>
      <c r="AQ1448" s="116"/>
      <c r="AR1448" s="116"/>
      <c r="AS1448" s="116"/>
      <c r="AT1448" s="116"/>
      <c r="AU1448" s="116"/>
      <c r="AV1448" s="78"/>
      <c r="AW1448" s="102"/>
      <c r="AX1448" s="78"/>
      <c r="AY1448" s="78"/>
      <c r="AZ1448" s="78"/>
      <c r="BA1448" s="78"/>
      <c r="BB1448" s="78"/>
      <c r="BC1448" s="78"/>
      <c r="BD1448" s="78"/>
      <c r="BE1448" s="465"/>
      <c r="BF1448" s="165" t="str">
        <f t="shared" si="1066"/>
        <v>https://www.google.com/search?tbm=isch&amp;q=Daphne%20odora%20%27Aureomarginata%27%20Variegated%20Winter%20Daphne</v>
      </c>
      <c r="BG1448" s="165" t="str">
        <f t="shared" si="1067"/>
        <v>D</v>
      </c>
      <c r="BH1448" s="65"/>
      <c r="BI1448" s="65"/>
      <c r="BJ1448" s="65"/>
      <c r="BK1448" s="65"/>
      <c r="BL1448" s="99"/>
      <c r="BM1448" s="99"/>
      <c r="BN1448" s="99"/>
    </row>
    <row r="1449" spans="1:66" s="51" customFormat="1" ht="15.75" x14ac:dyDescent="0.25">
      <c r="A1449" s="478">
        <v>3</v>
      </c>
      <c r="B1449" s="479" t="s">
        <v>291</v>
      </c>
      <c r="C1449" s="480" t="s">
        <v>2398</v>
      </c>
      <c r="D1449" s="481" t="s">
        <v>329</v>
      </c>
      <c r="E1449" s="482">
        <v>49.95</v>
      </c>
      <c r="F1449" s="483" t="s">
        <v>292</v>
      </c>
      <c r="G1449" s="484">
        <v>0</v>
      </c>
      <c r="H1449" s="688" t="str">
        <f>IF(G1449=0,"",IF(F1449="Buy",IF(G1449=1,"plant","plants"),IF(F1449&gt;0.01,"warranty","Error")))</f>
        <v/>
      </c>
      <c r="I1449" s="485">
        <f>IF(H1449="free",0,IF(H1449="credit",((E1449*(F1449))*G1449*-1),IF(F1449="Buy",(E1449*G1449),((E1449*(1-F1449))*G1449))))</f>
        <v>0</v>
      </c>
      <c r="J1449" s="485">
        <f>IF(H1449="warranty",0,(I1449*(_xlfn.SINGLE(SalesTaxPercentage))))</f>
        <v>0</v>
      </c>
      <c r="K1449" s="715">
        <f t="shared" ref="K1449" si="1073">I1449+J1449</f>
        <v>0</v>
      </c>
      <c r="L1449" s="715"/>
      <c r="M1449" s="689" t="str">
        <f ca="1">IF(AND(G1449&gt;0,E1449=0),"WARNING - no PRICE inserted",IF(H1449="free","FREE ~ no charge this plant",IF(H1449="credit",CONCATENATE("-$",ROUND(K1449*(1-_xlfn.SINGLE(T2GDiscount))*-1,2)," CREDIT after discount"),IF(_xlfn.SINGLE(T2GDiscount)=0,"",IF(G1449=0,"",IF(F1449="Buy",CONCATENATE("$",ROUND(K1449*(1-_xlfn.SINGLE(T2GDiscount)),2)," with ",(_xlfn.SINGLE(T2GDiscount)*100),"% discount"),CONCATENATE("$",ROUND(K1449*(1-_xlfn.SINGLE(T2GDiscount)),2)," with ",((_xlfn.SINGLE(T2GDiscount)*100+F1449*100)-(_xlfn.SINGLE(T2GDiscount)*100*F1449)),IF(F1449&gt;0,"% discounts",IF(_xlfn.SINGLE(NoWarrantyDiscount)&gt;0,"% discounts","% discount")))))))))</f>
        <v/>
      </c>
      <c r="N1449" s="690"/>
      <c r="O1449" s="486"/>
      <c r="P1449" s="486"/>
      <c r="Q1449" s="486"/>
      <c r="R1449" s="486"/>
      <c r="S1449" s="486"/>
      <c r="T1449" s="102">
        <f t="shared" si="1055"/>
        <v>0</v>
      </c>
      <c r="U1449" s="78">
        <f>IF(NOT(ISNUMBER(G1449)), "", VLOOKUP(A1449,'Discount Lookup'!D:E,2,FALSE)*G1449)</f>
        <v>0</v>
      </c>
      <c r="V1449" s="78">
        <f>IF(NOT(ISNUMBER(G1449)), "", VLOOKUP(A1449,'Discount Lookup'!G:H,2,FALSE)*G1449)</f>
        <v>0</v>
      </c>
      <c r="W1449" s="102">
        <f t="shared" si="1056"/>
        <v>0</v>
      </c>
      <c r="X1449" s="102">
        <f t="shared" si="1057"/>
        <v>0</v>
      </c>
      <c r="Y1449" s="120" t="b">
        <f t="shared" si="1058"/>
        <v>0</v>
      </c>
      <c r="Z1449" s="117">
        <f t="shared" si="1059"/>
        <v>0</v>
      </c>
      <c r="AA1449" s="118"/>
      <c r="AB1449" s="118" t="str">
        <f t="shared" si="1060"/>
        <v/>
      </c>
      <c r="AC1449" s="712" t="str">
        <f>IF(AE1449="T2G","no charge",IF(AND(OR(PlanterYesMe="No",PlanterYesMe="N",PlanterYesMe="me"),H1449=""),"",IF(H1449="credit","NO install",IF(AND(K1449="",AE1449="me"),"EACH row",IF(AND(K1449="images",AE1449="me"),"EACH row",IF(D1449="","",IF(H1449="credit","",IF(AE1449="free","re-planting",IF(AE1449="me","   not ELP, by",IF(AND(OR(PlanterYesMe="Yes",PlanterYesMe="Y"),G1449&gt;0),(VLOOKUP(A1449,'Discount Lookup'!J:K,2)*G1449*(1-PlanterDiscount)*(1+PlanterDifficultyPercentage)),IF(AE1449="ELP",(VLOOKUP(A1449,'Discount Lookup'!J:K,2)*G1449*(1-PlanterDiscount)*(1+PlanterDifficultyPercentage)),IF(AE1449="free","re-planting",IF(G1449=0,"",IF(PlanterYesMe="",IF(AE1449="me","   not ELP, by",IF(AE1449="",IF(G1449&gt;0,(VLOOKUP(A1449,'Discount Lookup'!J:K,2)*G1449*(1-PlanterDiscount)*(1+PlanterDifficultyPercentage)),""),"")),"   not ELP, by"))))))))))))))</f>
        <v/>
      </c>
      <c r="AD1449" s="712"/>
      <c r="AE1449" s="513" t="str">
        <f t="shared" si="1061"/>
        <v/>
      </c>
      <c r="AF1449" s="713" t="str">
        <f t="shared" si="1062"/>
        <v/>
      </c>
      <c r="AG1449" s="713"/>
      <c r="AH1449" s="713"/>
      <c r="AI1449" s="112">
        <f>IF(H1449="credit",0,IF(AE1449="free",0,IF(AE1449="me",0,IF(G1449&gt;0,(VLOOKUP(A1449,'Discount Lookup'!J:K,2)*G1449),0))))</f>
        <v>0</v>
      </c>
      <c r="AJ1449" s="107" t="str">
        <f t="shared" ca="1" si="1063"/>
        <v/>
      </c>
      <c r="AK1449" s="714" t="str">
        <f t="shared" si="1064"/>
        <v/>
      </c>
      <c r="AL1449" s="714"/>
      <c r="AM1449" s="114" t="str">
        <f t="shared" si="1065"/>
        <v/>
      </c>
      <c r="AN1449" s="115"/>
      <c r="AO1449" s="116"/>
      <c r="AP1449" s="116"/>
      <c r="AQ1449" s="116"/>
      <c r="AR1449" s="116"/>
      <c r="AS1449" s="116"/>
      <c r="AT1449" s="116"/>
      <c r="AU1449" s="116"/>
      <c r="AV1449" s="78"/>
      <c r="AW1449" s="102"/>
      <c r="AX1449" s="78"/>
      <c r="AY1449" s="78"/>
      <c r="AZ1449" s="78"/>
      <c r="BA1449" s="78"/>
      <c r="BB1449" s="78"/>
      <c r="BC1449" s="78"/>
      <c r="BD1449" s="78"/>
      <c r="BE1449" s="465"/>
      <c r="BF1449" s="165" t="str">
        <f t="shared" si="1066"/>
        <v>https://www.google.com/search?tbm=isch&amp;q=3%20G2</v>
      </c>
      <c r="BG1449" s="165" t="str">
        <f t="shared" si="1067"/>
        <v>D</v>
      </c>
      <c r="BH1449" s="65"/>
      <c r="BI1449" s="65"/>
      <c r="BJ1449" s="65"/>
      <c r="BK1449" s="65"/>
      <c r="BL1449" s="99"/>
      <c r="BM1449" s="99"/>
      <c r="BN1449" s="99"/>
    </row>
    <row r="1450" spans="1:66" s="51" customFormat="1" ht="15.75" x14ac:dyDescent="0.25">
      <c r="A1450" s="478">
        <v>3</v>
      </c>
      <c r="B1450" s="479" t="s">
        <v>291</v>
      </c>
      <c r="C1450" s="480" t="s">
        <v>1871</v>
      </c>
      <c r="D1450" s="481" t="s">
        <v>329</v>
      </c>
      <c r="E1450" s="482">
        <v>71.95</v>
      </c>
      <c r="F1450" s="483" t="s">
        <v>292</v>
      </c>
      <c r="G1450" s="484">
        <v>0</v>
      </c>
      <c r="H1450" s="688" t="str">
        <f>IF(G1450=0,"",IF(F1450="Buy",IF(G1450=1,"plant","plants"),IF(F1450&gt;0.01,"warranty","Error")))</f>
        <v/>
      </c>
      <c r="I1450" s="485">
        <f>IF(H1450="free",0,IF(H1450="credit",((E1450*(F1450))*G1450*-1),IF(F1450="Buy",(E1450*G1450),((E1450*(1-F1450))*G1450))))</f>
        <v>0</v>
      </c>
      <c r="J1450" s="485">
        <f>IF(H1450="warranty",0,(I1450*(_xlfn.SINGLE(SalesTaxPercentage))))</f>
        <v>0</v>
      </c>
      <c r="K1450" s="715">
        <f t="shared" ref="K1450" si="1074">I1450+J1450</f>
        <v>0</v>
      </c>
      <c r="L1450" s="715"/>
      <c r="M1450" s="689" t="str">
        <f ca="1">IF(AND(G1450&gt;0,E1450=0),"WARNING - no PRICE inserted",IF(H1450="free","FREE ~ no charge this plant",IF(H1450="credit",CONCATENATE("-$",ROUND(K1450*(1-_xlfn.SINGLE(T2GDiscount))*-1,2)," CREDIT after discount"),IF(_xlfn.SINGLE(T2GDiscount)=0,"",IF(G1450=0,"",IF(F1450="Buy",CONCATENATE("$",ROUND(K1450*(1-_xlfn.SINGLE(T2GDiscount)),2)," with ",(_xlfn.SINGLE(T2GDiscount)*100),"% discount"),CONCATENATE("$",ROUND(K1450*(1-_xlfn.SINGLE(T2GDiscount)),2)," with ",((_xlfn.SINGLE(T2GDiscount)*100+F1450*100)-(_xlfn.SINGLE(T2GDiscount)*100*F1450)),IF(F1450&gt;0,"% discounts",IF(_xlfn.SINGLE(NoWarrantyDiscount)&gt;0,"% discounts","% discount")))))))))</f>
        <v/>
      </c>
      <c r="N1450" s="690"/>
      <c r="O1450" s="486"/>
      <c r="P1450" s="486"/>
      <c r="Q1450" s="486"/>
      <c r="R1450" s="486"/>
      <c r="S1450" s="486"/>
      <c r="T1450" s="102">
        <f t="shared" si="1055"/>
        <v>0</v>
      </c>
      <c r="U1450" s="78">
        <f>IF(NOT(ISNUMBER(G1450)), "", VLOOKUP(A1450,'Discount Lookup'!D:E,2,FALSE)*G1450)</f>
        <v>0</v>
      </c>
      <c r="V1450" s="78">
        <f>IF(NOT(ISNUMBER(G1450)), "", VLOOKUP(A1450,'Discount Lookup'!G:H,2,FALSE)*G1450)</f>
        <v>0</v>
      </c>
      <c r="W1450" s="102">
        <f t="shared" si="1056"/>
        <v>0</v>
      </c>
      <c r="X1450" s="102">
        <f t="shared" si="1057"/>
        <v>0</v>
      </c>
      <c r="Y1450" s="120" t="b">
        <f t="shared" si="1058"/>
        <v>0</v>
      </c>
      <c r="Z1450" s="117">
        <f t="shared" si="1059"/>
        <v>0</v>
      </c>
      <c r="AA1450" s="118"/>
      <c r="AB1450" s="118" t="str">
        <f t="shared" si="1060"/>
        <v/>
      </c>
      <c r="AC1450" s="712" t="str">
        <f>IF(AE1450="T2G","no charge",IF(AND(OR(PlanterYesMe="No",PlanterYesMe="N",PlanterYesMe="me"),H1450=""),"",IF(H1450="credit","NO install",IF(AND(K1450="",AE1450="me"),"EACH row",IF(AND(K1450="images",AE1450="me"),"EACH row",IF(D1450="","",IF(H1450="credit","",IF(AE1450="free","re-planting",IF(AE1450="me","   not ELP, by",IF(AND(OR(PlanterYesMe="Yes",PlanterYesMe="Y"),G1450&gt;0),(VLOOKUP(A1450,'Discount Lookup'!J:K,2)*G1450*(1-PlanterDiscount)*(1+PlanterDifficultyPercentage)),IF(AE1450="ELP",(VLOOKUP(A1450,'Discount Lookup'!J:K,2)*G1450*(1-PlanterDiscount)*(1+PlanterDifficultyPercentage)),IF(AE1450="free","re-planting",IF(G1450=0,"",IF(PlanterYesMe="",IF(AE1450="me","   not ELP, by",IF(AE1450="",IF(G1450&gt;0,(VLOOKUP(A1450,'Discount Lookup'!J:K,2)*G1450*(1-PlanterDiscount)*(1+PlanterDifficultyPercentage)),""),"")),"   not ELP, by"))))))))))))))</f>
        <v/>
      </c>
      <c r="AD1450" s="712"/>
      <c r="AE1450" s="513" t="str">
        <f t="shared" si="1061"/>
        <v/>
      </c>
      <c r="AF1450" s="713" t="str">
        <f t="shared" si="1062"/>
        <v/>
      </c>
      <c r="AG1450" s="713"/>
      <c r="AH1450" s="713"/>
      <c r="AI1450" s="112">
        <f>IF(H1450="credit",0,IF(AE1450="free",0,IF(AE1450="me",0,IF(G1450&gt;0,(VLOOKUP(A1450,'Discount Lookup'!J:K,2)*G1450),0))))</f>
        <v>0</v>
      </c>
      <c r="AJ1450" s="107" t="str">
        <f t="shared" ca="1" si="1063"/>
        <v/>
      </c>
      <c r="AK1450" s="714" t="str">
        <f t="shared" si="1064"/>
        <v/>
      </c>
      <c r="AL1450" s="714"/>
      <c r="AM1450" s="114" t="str">
        <f t="shared" si="1065"/>
        <v/>
      </c>
      <c r="AN1450" s="115"/>
      <c r="AO1450" s="116"/>
      <c r="AP1450" s="116"/>
      <c r="AQ1450" s="116"/>
      <c r="AR1450" s="116"/>
      <c r="AS1450" s="116"/>
      <c r="AT1450" s="116"/>
      <c r="AU1450" s="116"/>
      <c r="AV1450" s="78"/>
      <c r="AW1450" s="102"/>
      <c r="AX1450" s="78"/>
      <c r="AY1450" s="78"/>
      <c r="AZ1450" s="78"/>
      <c r="BA1450" s="78"/>
      <c r="BB1450" s="78"/>
      <c r="BC1450" s="78"/>
      <c r="BD1450" s="78"/>
      <c r="BE1450" s="465"/>
      <c r="BF1450" s="165" t="str">
        <f t="shared" si="1066"/>
        <v>https://www.google.com/search?tbm=isch&amp;q=3%20G2</v>
      </c>
      <c r="BG1450" s="165" t="str">
        <f t="shared" si="1067"/>
        <v>D</v>
      </c>
      <c r="BH1450" s="65"/>
      <c r="BI1450" s="65"/>
      <c r="BJ1450" s="65"/>
      <c r="BK1450" s="65"/>
      <c r="BL1450" s="99"/>
      <c r="BM1450" s="99"/>
      <c r="BN1450" s="99"/>
    </row>
    <row r="1451" spans="1:66" s="51" customFormat="1" ht="15.75" x14ac:dyDescent="0.25">
      <c r="A1451" s="508" t="s">
        <v>2399</v>
      </c>
      <c r="B1451" s="487"/>
      <c r="C1451" s="707"/>
      <c r="D1451" s="487"/>
      <c r="E1451" s="487"/>
      <c r="F1451" s="488"/>
      <c r="G1451" s="489"/>
      <c r="H1451" s="487"/>
      <c r="I1451" s="490"/>
      <c r="J1451" s="490"/>
      <c r="K1451" s="491"/>
      <c r="L1451" s="547"/>
      <c r="M1451" s="528"/>
      <c r="N1451" s="492"/>
      <c r="O1451" s="493"/>
      <c r="P1451" s="494"/>
      <c r="Q1451" s="492"/>
      <c r="R1451" s="492"/>
      <c r="S1451" s="495"/>
      <c r="T1451" s="102">
        <f t="shared" si="1055"/>
        <v>0</v>
      </c>
      <c r="U1451" s="78" t="str">
        <f>IF(NOT(ISNUMBER(G1451)), "", VLOOKUP(A1451,'Discount Lookup'!D:E,2,FALSE)*G1451)</f>
        <v/>
      </c>
      <c r="V1451" s="78" t="str">
        <f>IF(NOT(ISNUMBER(G1451)), "", VLOOKUP(A1451,'Discount Lookup'!G:H,2,FALSE)*G1451)</f>
        <v/>
      </c>
      <c r="W1451" s="102">
        <f t="shared" si="1056"/>
        <v>0</v>
      </c>
      <c r="X1451" s="102">
        <f t="shared" si="1057"/>
        <v>0</v>
      </c>
      <c r="Y1451" s="120" t="b">
        <f t="shared" si="1058"/>
        <v>0</v>
      </c>
      <c r="Z1451" s="117">
        <f t="shared" si="1059"/>
        <v>0</v>
      </c>
      <c r="AA1451" s="118"/>
      <c r="AB1451" s="118" t="str">
        <f t="shared" si="1060"/>
        <v/>
      </c>
      <c r="AC1451" s="712" t="str">
        <f>IF(AE1451="T2G","no charge",IF(AND(OR(PlanterYesMe="No",PlanterYesMe="N",PlanterYesMe="me"),H1451=""),"",IF(H1451="credit","NO install",IF(AND(K1451="",AE1451="me"),"EACH row",IF(AND(K1451="images",AE1451="me"),"EACH row",IF(D1451="","",IF(H1451="credit","",IF(AE1451="free","re-planting",IF(AE1451="me","   not ELP, by",IF(AND(OR(PlanterYesMe="Yes",PlanterYesMe="Y"),G1451&gt;0),(VLOOKUP(A1451,'Discount Lookup'!J:K,2)*G1451*(1-PlanterDiscount)*(1+PlanterDifficultyPercentage)),IF(AE1451="ELP",(VLOOKUP(A1451,'Discount Lookup'!J:K,2)*G1451*(1-PlanterDiscount)*(1+PlanterDifficultyPercentage)),IF(AE1451="free","re-planting",IF(G1451=0,"",IF(PlanterYesMe="",IF(AE1451="me","   not ELP, by",IF(AE1451="",IF(G1451&gt;0,(VLOOKUP(A1451,'Discount Lookup'!J:K,2)*G1451*(1-PlanterDiscount)*(1+PlanterDifficultyPercentage)),""),"")),"   not ELP, by"))))))))))))))</f>
        <v/>
      </c>
      <c r="AD1451" s="712"/>
      <c r="AE1451" s="513" t="str">
        <f t="shared" si="1061"/>
        <v/>
      </c>
      <c r="AF1451" s="713" t="str">
        <f t="shared" si="1062"/>
        <v/>
      </c>
      <c r="AG1451" s="713"/>
      <c r="AH1451" s="713"/>
      <c r="AI1451" s="112">
        <f>IF(H1451="credit",0,IF(AE1451="free",0,IF(AE1451="me",0,IF(G1451&gt;0,(VLOOKUP(A1451,'Discount Lookup'!J:K,2)*G1451),0))))</f>
        <v>0</v>
      </c>
      <c r="AJ1451" s="107" t="str">
        <f t="shared" ca="1" si="1063"/>
        <v/>
      </c>
      <c r="AK1451" s="714" t="str">
        <f t="shared" si="1064"/>
        <v/>
      </c>
      <c r="AL1451" s="714"/>
      <c r="AM1451" s="114" t="str">
        <f t="shared" si="1065"/>
        <v/>
      </c>
      <c r="AN1451" s="115"/>
      <c r="AO1451" s="116"/>
      <c r="AP1451" s="116"/>
      <c r="AQ1451" s="116"/>
      <c r="AR1451" s="116"/>
      <c r="AS1451" s="116"/>
      <c r="AT1451" s="116"/>
      <c r="AU1451" s="116"/>
      <c r="AV1451" s="78"/>
      <c r="AW1451" s="102"/>
      <c r="AX1451" s="78"/>
      <c r="AY1451" s="78"/>
      <c r="AZ1451" s="78"/>
      <c r="BA1451" s="78"/>
      <c r="BB1451" s="78"/>
      <c r="BC1451" s="78"/>
      <c r="BD1451" s="78"/>
      <c r="BE1451" s="465"/>
      <c r="BF1451" s="165" t="str">
        <f t="shared" si="1066"/>
        <v>https://www.google.com/search?tbm=isch&amp;q=Winter%20Daphne%20is%20named%20as%20such%20due%20to%20late%20flowers.%20</v>
      </c>
      <c r="BG1451" s="165" t="str">
        <f t="shared" si="1067"/>
        <v>W</v>
      </c>
      <c r="BH1451" s="65"/>
      <c r="BI1451" s="65"/>
      <c r="BJ1451" s="65"/>
      <c r="BK1451" s="65"/>
      <c r="BL1451" s="99"/>
      <c r="BM1451" s="99"/>
      <c r="BN1451" s="99"/>
    </row>
    <row r="1452" spans="1:66" s="51" customFormat="1" ht="19.5" thickBot="1" x14ac:dyDescent="0.3">
      <c r="A1452" s="686" t="s">
        <v>411</v>
      </c>
      <c r="B1452" s="73"/>
      <c r="C1452" s="708"/>
      <c r="D1452" s="73"/>
      <c r="E1452" s="73"/>
      <c r="F1452" s="496"/>
      <c r="G1452" s="73"/>
      <c r="H1452" s="73"/>
      <c r="I1452" s="73"/>
      <c r="J1452" s="497" t="s">
        <v>357</v>
      </c>
      <c r="K1452" s="498"/>
      <c r="L1452" s="562"/>
      <c r="M1452" s="73"/>
      <c r="N1452"/>
      <c r="O1452"/>
      <c r="P1452"/>
      <c r="Q1452"/>
      <c r="R1452"/>
      <c r="S1452"/>
      <c r="T1452" s="102">
        <f t="shared" si="1055"/>
        <v>0</v>
      </c>
      <c r="U1452" s="78" t="str">
        <f>IF(NOT(ISNUMBER(G1452)), "", VLOOKUP(A1452,'Discount Lookup'!D:E,2,FALSE)*G1452)</f>
        <v/>
      </c>
      <c r="V1452" s="78" t="str">
        <f>IF(NOT(ISNUMBER(G1452)), "", VLOOKUP(A1452,'Discount Lookup'!G:H,2,FALSE)*G1452)</f>
        <v/>
      </c>
      <c r="W1452" s="102">
        <f t="shared" si="1056"/>
        <v>0</v>
      </c>
      <c r="X1452" s="102">
        <f t="shared" si="1057"/>
        <v>0</v>
      </c>
      <c r="Y1452" s="120" t="b">
        <f t="shared" si="1058"/>
        <v>0</v>
      </c>
      <c r="Z1452" s="117">
        <f t="shared" si="1059"/>
        <v>0</v>
      </c>
      <c r="AA1452" s="118"/>
      <c r="AB1452" s="118" t="str">
        <f t="shared" si="1060"/>
        <v/>
      </c>
      <c r="AC1452" s="712" t="str">
        <f>IF(AE1452="T2G","no charge",IF(AND(OR(PlanterYesMe="No",PlanterYesMe="N",PlanterYesMe="me"),H1452=""),"",IF(H1452="credit","NO install",IF(AND(K1452="",AE1452="me"),"EACH row",IF(AND(K1452="images",AE1452="me"),"EACH row",IF(D1452="","",IF(H1452="credit","",IF(AE1452="free","re-planting",IF(AE1452="me","   not ELP, by",IF(AND(OR(PlanterYesMe="Yes",PlanterYesMe="Y"),G1452&gt;0),(VLOOKUP(A1452,'Discount Lookup'!J:K,2)*G1452*(1-PlanterDiscount)*(1+PlanterDifficultyPercentage)),IF(AE1452="ELP",(VLOOKUP(A1452,'Discount Lookup'!J:K,2)*G1452*(1-PlanterDiscount)*(1+PlanterDifficultyPercentage)),IF(AE1452="free","re-planting",IF(G1452=0,"",IF(PlanterYesMe="",IF(AE1452="me","   not ELP, by",IF(AE1452="",IF(G1452&gt;0,(VLOOKUP(A1452,'Discount Lookup'!J:K,2)*G1452*(1-PlanterDiscount)*(1+PlanterDifficultyPercentage)),""),"")),"   not ELP, by"))))))))))))))</f>
        <v/>
      </c>
      <c r="AD1452" s="712"/>
      <c r="AE1452" s="513" t="str">
        <f t="shared" si="1061"/>
        <v/>
      </c>
      <c r="AF1452" s="713" t="str">
        <f t="shared" si="1062"/>
        <v/>
      </c>
      <c r="AG1452" s="713"/>
      <c r="AH1452" s="713"/>
      <c r="AI1452" s="112">
        <f>IF(H1452="credit",0,IF(AE1452="free",0,IF(AE1452="me",0,IF(G1452&gt;0,(VLOOKUP(A1452,'Discount Lookup'!J:K,2)*G1452),0))))</f>
        <v>0</v>
      </c>
      <c r="AJ1452" s="107" t="str">
        <f t="shared" ca="1" si="1063"/>
        <v/>
      </c>
      <c r="AK1452" s="714" t="str">
        <f t="shared" si="1064"/>
        <v/>
      </c>
      <c r="AL1452" s="714"/>
      <c r="AM1452" s="114" t="str">
        <f t="shared" si="1065"/>
        <v/>
      </c>
      <c r="AN1452" s="115"/>
      <c r="AO1452" s="116"/>
      <c r="AP1452" s="116"/>
      <c r="AQ1452" s="116"/>
      <c r="AR1452" s="116"/>
      <c r="AS1452" s="116"/>
      <c r="AT1452" s="116"/>
      <c r="AU1452" s="116"/>
      <c r="AV1452" s="78"/>
      <c r="AW1452" s="102"/>
      <c r="AX1452" s="78"/>
      <c r="AY1452" s="78"/>
      <c r="AZ1452" s="78"/>
      <c r="BA1452" s="78"/>
      <c r="BB1452" s="78"/>
      <c r="BC1452" s="78"/>
      <c r="BD1452" s="78"/>
      <c r="BE1452" s="465"/>
      <c r="BF1452" s="165" t="str">
        <f t="shared" si="1066"/>
        <v>https://www.google.com/search?tbm=isch&amp;q=Delosperma%20%3D%20Ice%20Plant%20</v>
      </c>
      <c r="BG1452" s="165" t="str">
        <f t="shared" si="1067"/>
        <v>D</v>
      </c>
      <c r="BH1452" s="65"/>
      <c r="BI1452" s="65"/>
      <c r="BJ1452" s="65"/>
      <c r="BK1452" s="65"/>
      <c r="BL1452" s="99"/>
      <c r="BM1452" s="99"/>
      <c r="BN1452" s="99"/>
    </row>
    <row r="1453" spans="1:66" s="51" customFormat="1" ht="18" x14ac:dyDescent="0.25">
      <c r="A1453" s="507" t="s">
        <v>2400</v>
      </c>
      <c r="B1453" s="470"/>
      <c r="C1453" s="706"/>
      <c r="D1453" s="471" t="s">
        <v>2401</v>
      </c>
      <c r="E1453" s="472"/>
      <c r="F1453" s="472"/>
      <c r="G1453" s="472"/>
      <c r="H1453" s="622" t="s">
        <v>1514</v>
      </c>
      <c r="I1453" s="473" t="s">
        <v>2038</v>
      </c>
      <c r="J1453" s="472"/>
      <c r="K1453" s="472"/>
      <c r="L1453" s="561"/>
      <c r="M1453" s="698" t="s">
        <v>5240</v>
      </c>
      <c r="N1453" s="692" t="str">
        <f>IF(AND(ISTEXT($A1453), ISERROR($A1453+0)), HYPERLINK($BF1453, "Images"), "")</f>
        <v>Images</v>
      </c>
      <c r="O1453" s="694" t="s">
        <v>5244</v>
      </c>
      <c r="P1453" s="475"/>
      <c r="Q1453" s="476"/>
      <c r="R1453" s="476"/>
      <c r="S1453" s="477"/>
      <c r="T1453" s="102">
        <f t="shared" si="1055"/>
        <v>0</v>
      </c>
      <c r="U1453" s="78" t="str">
        <f>IF(NOT(ISNUMBER(G1453)), "", VLOOKUP(A1453,'Discount Lookup'!D:E,2,FALSE)*G1453)</f>
        <v/>
      </c>
      <c r="V1453" s="78" t="str">
        <f>IF(NOT(ISNUMBER(G1453)), "", VLOOKUP(A1453,'Discount Lookup'!G:H,2,FALSE)*G1453)</f>
        <v/>
      </c>
      <c r="W1453" s="102">
        <f t="shared" si="1056"/>
        <v>0</v>
      </c>
      <c r="X1453" s="102" t="str">
        <f t="shared" si="1057"/>
        <v>Magenta-Pink bloom</v>
      </c>
      <c r="Y1453" s="120" t="b">
        <f t="shared" si="1058"/>
        <v>0</v>
      </c>
      <c r="Z1453" s="117">
        <f t="shared" si="1059"/>
        <v>0</v>
      </c>
      <c r="AA1453" s="118"/>
      <c r="AB1453" s="118" t="str">
        <f t="shared" si="1060"/>
        <v/>
      </c>
      <c r="AC1453" s="712" t="str">
        <f>IF(AE1453="T2G","no charge",IF(AND(OR(PlanterYesMe="No",PlanterYesMe="N",PlanterYesMe="me"),H1453=""),"",IF(H1453="credit","NO install",IF(AND(K1453="",AE1453="me"),"EACH row",IF(AND(K1453="images",AE1453="me"),"EACH row",IF(D1453="","",IF(H1453="credit","",IF(AE1453="free","re-planting",IF(AE1453="me","   not ELP, by",IF(AND(OR(PlanterYesMe="Yes",PlanterYesMe="Y"),G1453&gt;0),(VLOOKUP(A1453,'Discount Lookup'!J:K,2)*G1453*(1-PlanterDiscount)*(1+PlanterDifficultyPercentage)),IF(AE1453="ELP",(VLOOKUP(A1453,'Discount Lookup'!J:K,2)*G1453*(1-PlanterDiscount)*(1+PlanterDifficultyPercentage)),IF(AE1453="free","re-planting",IF(G1453=0,"",IF(PlanterYesMe="",IF(AE1453="me","   not ELP, by",IF(AE1453="",IF(G1453&gt;0,(VLOOKUP(A1453,'Discount Lookup'!J:K,2)*G1453*(1-PlanterDiscount)*(1+PlanterDifficultyPercentage)),""),"")),"   not ELP, by"))))))))))))))</f>
        <v/>
      </c>
      <c r="AD1453" s="712"/>
      <c r="AE1453" s="513" t="str">
        <f t="shared" si="1061"/>
        <v/>
      </c>
      <c r="AF1453" s="713" t="str">
        <f t="shared" si="1062"/>
        <v/>
      </c>
      <c r="AG1453" s="713"/>
      <c r="AH1453" s="713"/>
      <c r="AI1453" s="112">
        <f>IF(H1453="credit",0,IF(AE1453="free",0,IF(AE1453="me",0,IF(G1453&gt;0,(VLOOKUP(A1453,'Discount Lookup'!J:K,2)*G1453),0))))</f>
        <v>0</v>
      </c>
      <c r="AJ1453" s="107" t="str">
        <f t="shared" ca="1" si="1063"/>
        <v/>
      </c>
      <c r="AK1453" s="714" t="str">
        <f t="shared" si="1064"/>
        <v/>
      </c>
      <c r="AL1453" s="714"/>
      <c r="AM1453" s="114" t="str">
        <f t="shared" si="1065"/>
        <v/>
      </c>
      <c r="AN1453" s="115"/>
      <c r="AO1453" s="116"/>
      <c r="AP1453" s="116"/>
      <c r="AQ1453" s="116"/>
      <c r="AR1453" s="116"/>
      <c r="AS1453" s="116"/>
      <c r="AT1453" s="116"/>
      <c r="AU1453" s="116"/>
      <c r="AV1453" s="78"/>
      <c r="AW1453" s="102"/>
      <c r="AX1453" s="78"/>
      <c r="AY1453" s="78"/>
      <c r="AZ1453" s="78"/>
      <c r="BA1453" s="78"/>
      <c r="BB1453" s="78"/>
      <c r="BC1453" s="78"/>
      <c r="BD1453" s="78"/>
      <c r="BE1453" s="465"/>
      <c r="BF1453" s="165" t="str">
        <f t="shared" si="1066"/>
        <v>https://www.google.com/search?tbm=isch&amp;q=Delosperma%20cooperi%20Ice%20Plant</v>
      </c>
      <c r="BG1453" s="165" t="str">
        <f t="shared" si="1067"/>
        <v>D</v>
      </c>
      <c r="BH1453" s="65"/>
      <c r="BI1453" s="65"/>
      <c r="BJ1453" s="65"/>
      <c r="BK1453" s="65"/>
      <c r="BL1453" s="99"/>
      <c r="BM1453" s="99"/>
      <c r="BN1453" s="99"/>
    </row>
    <row r="1454" spans="1:66" s="51" customFormat="1" ht="15.75" x14ac:dyDescent="0.25">
      <c r="A1454" s="478">
        <v>2</v>
      </c>
      <c r="B1454" s="479" t="s">
        <v>291</v>
      </c>
      <c r="C1454" s="480" t="s">
        <v>4965</v>
      </c>
      <c r="D1454" s="481" t="s">
        <v>293</v>
      </c>
      <c r="E1454" s="482">
        <v>38.950000000000003</v>
      </c>
      <c r="F1454" s="483" t="s">
        <v>292</v>
      </c>
      <c r="G1454" s="484">
        <v>0</v>
      </c>
      <c r="H1454" s="688" t="str">
        <f>IF(G1454=0,"",IF(F1454="Buy",IF(G1454=1,"plant","plants"),IF(F1454&gt;0.01,"warranty","Error")))</f>
        <v/>
      </c>
      <c r="I1454" s="485">
        <f>IF(H1454="free",0,IF(H1454="credit",((E1454*(F1454))*G1454*-1),IF(F1454="Buy",(E1454*G1454),((E1454*(1-F1454))*G1454))))</f>
        <v>0</v>
      </c>
      <c r="J1454" s="485">
        <f>IF(H1454="warranty",0,(I1454*(_xlfn.SINGLE(SalesTaxPercentage))))</f>
        <v>0</v>
      </c>
      <c r="K1454" s="715">
        <f t="shared" ref="K1454" si="1075">I1454+J1454</f>
        <v>0</v>
      </c>
      <c r="L1454" s="715"/>
      <c r="M1454" s="689" t="str">
        <f ca="1">IF(AND(G1454&gt;0,E1454=0),"WARNING - no PRICE inserted",IF(H1454="free","FREE ~ no charge this plant",IF(H1454="credit",CONCATENATE("-$",ROUND(K1454*(1-_xlfn.SINGLE(T2GDiscount))*-1,2)," CREDIT after discount"),IF(_xlfn.SINGLE(T2GDiscount)=0,"",IF(G1454=0,"",IF(F1454="Buy",CONCATENATE("$",ROUND(K1454*(1-_xlfn.SINGLE(T2GDiscount)),2)," with ",(_xlfn.SINGLE(T2GDiscount)*100),"% discount"),CONCATENATE("$",ROUND(K1454*(1-_xlfn.SINGLE(T2GDiscount)),2)," with ",((_xlfn.SINGLE(T2GDiscount)*100+F1454*100)-(_xlfn.SINGLE(T2GDiscount)*100*F1454)),IF(F1454&gt;0,"% discounts",IF(_xlfn.SINGLE(NoWarrantyDiscount)&gt;0,"% discounts","% discount")))))))))</f>
        <v/>
      </c>
      <c r="N1454" s="690"/>
      <c r="O1454" s="486"/>
      <c r="P1454" s="486"/>
      <c r="Q1454" s="486"/>
      <c r="R1454" s="486"/>
      <c r="S1454" s="486"/>
      <c r="T1454" s="102">
        <f t="shared" si="1055"/>
        <v>0</v>
      </c>
      <c r="U1454" s="78">
        <f>IF(NOT(ISNUMBER(G1454)), "", VLOOKUP(A1454,'Discount Lookup'!D:E,2,FALSE)*G1454)</f>
        <v>0</v>
      </c>
      <c r="V1454" s="78">
        <f>IF(NOT(ISNUMBER(G1454)), "", VLOOKUP(A1454,'Discount Lookup'!G:H,2,FALSE)*G1454)</f>
        <v>0</v>
      </c>
      <c r="W1454" s="102">
        <f t="shared" si="1056"/>
        <v>0</v>
      </c>
      <c r="X1454" s="102">
        <f t="shared" si="1057"/>
        <v>0</v>
      </c>
      <c r="Y1454" s="120" t="b">
        <f t="shared" si="1058"/>
        <v>0</v>
      </c>
      <c r="Z1454" s="117">
        <f t="shared" si="1059"/>
        <v>0</v>
      </c>
      <c r="AA1454" s="118"/>
      <c r="AB1454" s="118" t="str">
        <f t="shared" si="1060"/>
        <v/>
      </c>
      <c r="AC1454" s="712" t="str">
        <f>IF(AE1454="T2G","no charge",IF(AND(OR(PlanterYesMe="No",PlanterYesMe="N",PlanterYesMe="me"),H1454=""),"",IF(H1454="credit","NO install",IF(AND(K1454="",AE1454="me"),"EACH row",IF(AND(K1454="images",AE1454="me"),"EACH row",IF(D1454="","",IF(H1454="credit","",IF(AE1454="free","re-planting",IF(AE1454="me","   not ELP, by",IF(AND(OR(PlanterYesMe="Yes",PlanterYesMe="Y"),G1454&gt;0),(VLOOKUP(A1454,'Discount Lookup'!J:K,2)*G1454*(1-PlanterDiscount)*(1+PlanterDifficultyPercentage)),IF(AE1454="ELP",(VLOOKUP(A1454,'Discount Lookup'!J:K,2)*G1454*(1-PlanterDiscount)*(1+PlanterDifficultyPercentage)),IF(AE1454="free","re-planting",IF(G1454=0,"",IF(PlanterYesMe="",IF(AE1454="me","   not ELP, by",IF(AE1454="",IF(G1454&gt;0,(VLOOKUP(A1454,'Discount Lookup'!J:K,2)*G1454*(1-PlanterDiscount)*(1+PlanterDifficultyPercentage)),""),"")),"   not ELP, by"))))))))))))))</f>
        <v/>
      </c>
      <c r="AD1454" s="712"/>
      <c r="AE1454" s="513" t="str">
        <f t="shared" si="1061"/>
        <v/>
      </c>
      <c r="AF1454" s="713" t="str">
        <f t="shared" si="1062"/>
        <v/>
      </c>
      <c r="AG1454" s="713"/>
      <c r="AH1454" s="713"/>
      <c r="AI1454" s="112">
        <f>IF(H1454="credit",0,IF(AE1454="free",0,IF(AE1454="me",0,IF(G1454&gt;0,(VLOOKUP(A1454,'Discount Lookup'!J:K,2)*G1454),0))))</f>
        <v>0</v>
      </c>
      <c r="AJ1454" s="107" t="str">
        <f t="shared" ca="1" si="1063"/>
        <v/>
      </c>
      <c r="AK1454" s="714" t="str">
        <f t="shared" si="1064"/>
        <v/>
      </c>
      <c r="AL1454" s="714"/>
      <c r="AM1454" s="114" t="str">
        <f t="shared" si="1065"/>
        <v/>
      </c>
      <c r="AN1454" s="115"/>
      <c r="AO1454" s="116"/>
      <c r="AP1454" s="116"/>
      <c r="AQ1454" s="116"/>
      <c r="AR1454" s="116"/>
      <c r="AS1454" s="116"/>
      <c r="AT1454" s="116"/>
      <c r="AU1454" s="116"/>
      <c r="AV1454" s="78"/>
      <c r="AW1454" s="102"/>
      <c r="AX1454" s="78"/>
      <c r="AY1454" s="78"/>
      <c r="AZ1454" s="78"/>
      <c r="BA1454" s="78"/>
      <c r="BB1454" s="78"/>
      <c r="BC1454" s="78"/>
      <c r="BD1454" s="78"/>
      <c r="BE1454" s="465"/>
      <c r="BF1454" s="165" t="str">
        <f t="shared" si="1066"/>
        <v>https://www.google.com/search?tbm=isch&amp;q=2%20G6</v>
      </c>
      <c r="BG1454" s="165" t="str">
        <f t="shared" si="1067"/>
        <v>D</v>
      </c>
      <c r="BH1454" s="65"/>
      <c r="BI1454" s="65"/>
      <c r="BJ1454" s="65"/>
      <c r="BK1454" s="65"/>
      <c r="BL1454" s="99"/>
      <c r="BM1454" s="99"/>
      <c r="BN1454" s="99"/>
    </row>
    <row r="1455" spans="1:66" s="51" customFormat="1" ht="16.5" x14ac:dyDescent="0.25">
      <c r="A1455" s="508" t="s">
        <v>2402</v>
      </c>
      <c r="B1455" s="487"/>
      <c r="C1455" s="707"/>
      <c r="D1455" s="487"/>
      <c r="E1455" s="487"/>
      <c r="F1455" s="488"/>
      <c r="G1455" s="489"/>
      <c r="H1455" s="487"/>
      <c r="I1455" s="490"/>
      <c r="J1455" s="490"/>
      <c r="K1455" s="491"/>
      <c r="L1455" s="547"/>
      <c r="M1455" s="528"/>
      <c r="N1455" s="492"/>
      <c r="O1455" s="493"/>
      <c r="P1455" s="494"/>
      <c r="Q1455" s="492"/>
      <c r="R1455" s="492"/>
      <c r="S1455" s="699" t="s">
        <v>5276</v>
      </c>
      <c r="T1455" s="102">
        <f t="shared" si="1055"/>
        <v>0</v>
      </c>
      <c r="U1455" s="78" t="str">
        <f>IF(NOT(ISNUMBER(G1455)), "", VLOOKUP(A1455,'Discount Lookup'!D:E,2,FALSE)*G1455)</f>
        <v/>
      </c>
      <c r="V1455" s="78" t="str">
        <f>IF(NOT(ISNUMBER(G1455)), "", VLOOKUP(A1455,'Discount Lookup'!G:H,2,FALSE)*G1455)</f>
        <v/>
      </c>
      <c r="W1455" s="102">
        <f t="shared" si="1056"/>
        <v>0</v>
      </c>
      <c r="X1455" s="102">
        <f t="shared" si="1057"/>
        <v>0</v>
      </c>
      <c r="Y1455" s="120" t="b">
        <f t="shared" si="1058"/>
        <v>0</v>
      </c>
      <c r="Z1455" s="117">
        <f t="shared" si="1059"/>
        <v>0</v>
      </c>
      <c r="AA1455" s="118"/>
      <c r="AB1455" s="118" t="str">
        <f t="shared" si="1060"/>
        <v/>
      </c>
      <c r="AC1455" s="712" t="str">
        <f>IF(AE1455="T2G","no charge",IF(AND(OR(PlanterYesMe="No",PlanterYesMe="N",PlanterYesMe="me"),H1455=""),"",IF(H1455="credit","NO install",IF(AND(K1455="",AE1455="me"),"EACH row",IF(AND(K1455="images",AE1455="me"),"EACH row",IF(D1455="","",IF(H1455="credit","",IF(AE1455="free","re-planting",IF(AE1455="me","   not ELP, by",IF(AND(OR(PlanterYesMe="Yes",PlanterYesMe="Y"),G1455&gt;0),(VLOOKUP(A1455,'Discount Lookup'!J:K,2)*G1455*(1-PlanterDiscount)*(1+PlanterDifficultyPercentage)),IF(AE1455="ELP",(VLOOKUP(A1455,'Discount Lookup'!J:K,2)*G1455*(1-PlanterDiscount)*(1+PlanterDifficultyPercentage)),IF(AE1455="free","re-planting",IF(G1455=0,"",IF(PlanterYesMe="",IF(AE1455="me","   not ELP, by",IF(AE1455="",IF(G1455&gt;0,(VLOOKUP(A1455,'Discount Lookup'!J:K,2)*G1455*(1-PlanterDiscount)*(1+PlanterDifficultyPercentage)),""),"")),"   not ELP, by"))))))))))))))</f>
        <v/>
      </c>
      <c r="AD1455" s="712"/>
      <c r="AE1455" s="513" t="str">
        <f t="shared" si="1061"/>
        <v/>
      </c>
      <c r="AF1455" s="713" t="str">
        <f t="shared" si="1062"/>
        <v/>
      </c>
      <c r="AG1455" s="713"/>
      <c r="AH1455" s="713"/>
      <c r="AI1455" s="112">
        <f>IF(H1455="credit",0,IF(AE1455="free",0,IF(AE1455="me",0,IF(G1455&gt;0,(VLOOKUP(A1455,'Discount Lookup'!J:K,2)*G1455),0))))</f>
        <v>0</v>
      </c>
      <c r="AJ1455" s="107" t="str">
        <f t="shared" ca="1" si="1063"/>
        <v/>
      </c>
      <c r="AK1455" s="714" t="str">
        <f t="shared" si="1064"/>
        <v/>
      </c>
      <c r="AL1455" s="714"/>
      <c r="AM1455" s="114" t="str">
        <f t="shared" si="1065"/>
        <v/>
      </c>
      <c r="AN1455" s="115"/>
      <c r="AO1455" s="116"/>
      <c r="AP1455" s="116"/>
      <c r="AQ1455" s="116"/>
      <c r="AR1455" s="116"/>
      <c r="AS1455" s="116"/>
      <c r="AT1455" s="116"/>
      <c r="AU1455" s="116"/>
      <c r="AV1455" s="78"/>
      <c r="AW1455" s="102"/>
      <c r="AX1455" s="78"/>
      <c r="AY1455" s="78"/>
      <c r="AZ1455" s="78"/>
      <c r="BA1455" s="78"/>
      <c r="BB1455" s="78"/>
      <c r="BC1455" s="78"/>
      <c r="BD1455" s="78"/>
      <c r="BE1455" s="465"/>
      <c r="BF1455" s="165" t="str">
        <f t="shared" si="1066"/>
        <v>https://www.google.com/search?tbm=isch&amp;q=Ice%20Plant%20is%20named%20for%20it%27s%20cold%20hardiness.%20Long%20bloom%20period%20makes%20this%20a%20great%20groundcover%20</v>
      </c>
      <c r="BG1455" s="165" t="str">
        <f t="shared" si="1067"/>
        <v>I</v>
      </c>
      <c r="BH1455" s="65"/>
      <c r="BI1455" s="65"/>
      <c r="BJ1455" s="65"/>
      <c r="BK1455" s="65"/>
      <c r="BL1455" s="99"/>
      <c r="BM1455" s="99"/>
      <c r="BN1455" s="99"/>
    </row>
    <row r="1456" spans="1:66" s="51" customFormat="1" ht="19.5" thickBot="1" x14ac:dyDescent="0.3">
      <c r="A1456" s="686" t="s">
        <v>409</v>
      </c>
      <c r="B1456" s="73"/>
      <c r="C1456" s="708"/>
      <c r="D1456" s="73"/>
      <c r="E1456" s="73"/>
      <c r="F1456" s="496"/>
      <c r="G1456" s="73"/>
      <c r="H1456" s="73"/>
      <c r="I1456" s="73"/>
      <c r="J1456" s="497" t="s">
        <v>357</v>
      </c>
      <c r="K1456" s="498"/>
      <c r="L1456" s="562"/>
      <c r="M1456" s="73"/>
      <c r="N1456"/>
      <c r="O1456"/>
      <c r="P1456"/>
      <c r="Q1456"/>
      <c r="R1456"/>
      <c r="S1456"/>
      <c r="T1456" s="102">
        <f t="shared" si="1055"/>
        <v>0</v>
      </c>
      <c r="U1456" s="78" t="str">
        <f>IF(NOT(ISNUMBER(G1456)), "", VLOOKUP(A1456,'Discount Lookup'!D:E,2,FALSE)*G1456)</f>
        <v/>
      </c>
      <c r="V1456" s="78" t="str">
        <f>IF(NOT(ISNUMBER(G1456)), "", VLOOKUP(A1456,'Discount Lookup'!G:H,2,FALSE)*G1456)</f>
        <v/>
      </c>
      <c r="W1456" s="102">
        <f t="shared" si="1056"/>
        <v>0</v>
      </c>
      <c r="X1456" s="102">
        <f t="shared" si="1057"/>
        <v>0</v>
      </c>
      <c r="Y1456" s="120" t="b">
        <f t="shared" si="1058"/>
        <v>0</v>
      </c>
      <c r="Z1456" s="117">
        <f t="shared" si="1059"/>
        <v>0</v>
      </c>
      <c r="AA1456" s="118"/>
      <c r="AB1456" s="118" t="str">
        <f t="shared" si="1060"/>
        <v/>
      </c>
      <c r="AC1456" s="712" t="str">
        <f>IF(AE1456="T2G","no charge",IF(AND(OR(PlanterYesMe="No",PlanterYesMe="N",PlanterYesMe="me"),H1456=""),"",IF(H1456="credit","NO install",IF(AND(K1456="",AE1456="me"),"EACH row",IF(AND(K1456="images",AE1456="me"),"EACH row",IF(D1456="","",IF(H1456="credit","",IF(AE1456="free","re-planting",IF(AE1456="me","   not ELP, by",IF(AND(OR(PlanterYesMe="Yes",PlanterYesMe="Y"),G1456&gt;0),(VLOOKUP(A1456,'Discount Lookup'!J:K,2)*G1456*(1-PlanterDiscount)*(1+PlanterDifficultyPercentage)),IF(AE1456="ELP",(VLOOKUP(A1456,'Discount Lookup'!J:K,2)*G1456*(1-PlanterDiscount)*(1+PlanterDifficultyPercentage)),IF(AE1456="free","re-planting",IF(G1456=0,"",IF(PlanterYesMe="",IF(AE1456="me","   not ELP, by",IF(AE1456="",IF(G1456&gt;0,(VLOOKUP(A1456,'Discount Lookup'!J:K,2)*G1456*(1-PlanterDiscount)*(1+PlanterDifficultyPercentage)),""),"")),"   not ELP, by"))))))))))))))</f>
        <v/>
      </c>
      <c r="AD1456" s="712"/>
      <c r="AE1456" s="513" t="str">
        <f t="shared" si="1061"/>
        <v/>
      </c>
      <c r="AF1456" s="713" t="str">
        <f t="shared" si="1062"/>
        <v/>
      </c>
      <c r="AG1456" s="713"/>
      <c r="AH1456" s="713"/>
      <c r="AI1456" s="112">
        <f>IF(H1456="credit",0,IF(AE1456="free",0,IF(AE1456="me",0,IF(G1456&gt;0,(VLOOKUP(A1456,'Discount Lookup'!J:K,2)*G1456),0))))</f>
        <v>0</v>
      </c>
      <c r="AJ1456" s="107" t="str">
        <f t="shared" ca="1" si="1063"/>
        <v/>
      </c>
      <c r="AK1456" s="714" t="str">
        <f t="shared" si="1064"/>
        <v/>
      </c>
      <c r="AL1456" s="714"/>
      <c r="AM1456" s="114" t="str">
        <f t="shared" si="1065"/>
        <v/>
      </c>
      <c r="AN1456" s="115"/>
      <c r="AO1456" s="116"/>
      <c r="AP1456" s="116"/>
      <c r="AQ1456" s="116"/>
      <c r="AR1456" s="116"/>
      <c r="AS1456" s="116"/>
      <c r="AT1456" s="116"/>
      <c r="AU1456" s="116"/>
      <c r="AV1456" s="78"/>
      <c r="AW1456" s="102"/>
      <c r="AX1456" s="78"/>
      <c r="AY1456" s="78"/>
      <c r="AZ1456" s="78"/>
      <c r="BA1456" s="78"/>
      <c r="BB1456" s="78"/>
      <c r="BC1456" s="78"/>
      <c r="BD1456" s="78"/>
      <c r="BE1456" s="465"/>
      <c r="BF1456" s="165" t="str">
        <f t="shared" si="1066"/>
        <v>https://www.google.com/search?tbm=isch&amp;q=Dianthus%20%3D%20Dianthus%20</v>
      </c>
      <c r="BG1456" s="165" t="str">
        <f t="shared" si="1067"/>
        <v>D</v>
      </c>
      <c r="BH1456" s="65"/>
      <c r="BI1456" s="65"/>
      <c r="BJ1456" s="65"/>
      <c r="BK1456" s="65"/>
      <c r="BL1456" s="99"/>
      <c r="BM1456" s="99"/>
      <c r="BN1456" s="99"/>
    </row>
    <row r="1457" spans="1:66" s="51" customFormat="1" ht="18" x14ac:dyDescent="0.25">
      <c r="A1457" s="507" t="s">
        <v>2403</v>
      </c>
      <c r="B1457" s="470"/>
      <c r="C1457" s="706"/>
      <c r="D1457" s="471" t="s">
        <v>5652</v>
      </c>
      <c r="E1457" s="472"/>
      <c r="F1457" s="472"/>
      <c r="G1457" s="472"/>
      <c r="H1457" s="622" t="s">
        <v>2404</v>
      </c>
      <c r="I1457" s="473" t="s">
        <v>2405</v>
      </c>
      <c r="J1457" s="472"/>
      <c r="K1457" s="472"/>
      <c r="L1457" s="561"/>
      <c r="M1457" s="698" t="s">
        <v>5240</v>
      </c>
      <c r="N1457" s="692" t="str">
        <f>IF(AND(ISTEXT($A1457), ISERROR($A1457+0)), HYPERLINK($BF1457, "Images"), "")</f>
        <v>Images</v>
      </c>
      <c r="O1457" s="694" t="s">
        <v>5244</v>
      </c>
      <c r="P1457" s="475"/>
      <c r="Q1457" s="476"/>
      <c r="R1457" s="476"/>
      <c r="S1457" s="477"/>
      <c r="T1457" s="102">
        <f t="shared" si="1055"/>
        <v>0</v>
      </c>
      <c r="U1457" s="78" t="str">
        <f>IF(NOT(ISNUMBER(G1457)), "", VLOOKUP(A1457,'Discount Lookup'!D:E,2,FALSE)*G1457)</f>
        <v/>
      </c>
      <c r="V1457" s="78" t="str">
        <f>IF(NOT(ISNUMBER(G1457)), "", VLOOKUP(A1457,'Discount Lookup'!G:H,2,FALSE)*G1457)</f>
        <v/>
      </c>
      <c r="W1457" s="102">
        <f t="shared" si="1056"/>
        <v>0</v>
      </c>
      <c r="X1457" s="102" t="str">
        <f t="shared" si="1057"/>
        <v>Bright Pink bloom</v>
      </c>
      <c r="Y1457" s="120" t="b">
        <f t="shared" si="1058"/>
        <v>0</v>
      </c>
      <c r="Z1457" s="117">
        <f t="shared" si="1059"/>
        <v>0</v>
      </c>
      <c r="AA1457" s="118"/>
      <c r="AB1457" s="118" t="str">
        <f t="shared" si="1060"/>
        <v/>
      </c>
      <c r="AC1457" s="712" t="str">
        <f>IF(AE1457="T2G","no charge",IF(AND(OR(PlanterYesMe="No",PlanterYesMe="N",PlanterYesMe="me"),H1457=""),"",IF(H1457="credit","NO install",IF(AND(K1457="",AE1457="me"),"EACH row",IF(AND(K1457="images",AE1457="me"),"EACH row",IF(D1457="","",IF(H1457="credit","",IF(AE1457="free","re-planting",IF(AE1457="me","   not ELP, by",IF(AND(OR(PlanterYesMe="Yes",PlanterYesMe="Y"),G1457&gt;0),(VLOOKUP(A1457,'Discount Lookup'!J:K,2)*G1457*(1-PlanterDiscount)*(1+PlanterDifficultyPercentage)),IF(AE1457="ELP",(VLOOKUP(A1457,'Discount Lookup'!J:K,2)*G1457*(1-PlanterDiscount)*(1+PlanterDifficultyPercentage)),IF(AE1457="free","re-planting",IF(G1457=0,"",IF(PlanterYesMe="",IF(AE1457="me","   not ELP, by",IF(AE1457="",IF(G1457&gt;0,(VLOOKUP(A1457,'Discount Lookup'!J:K,2)*G1457*(1-PlanterDiscount)*(1+PlanterDifficultyPercentage)),""),"")),"   not ELP, by"))))))))))))))</f>
        <v/>
      </c>
      <c r="AD1457" s="712"/>
      <c r="AE1457" s="513" t="str">
        <f t="shared" si="1061"/>
        <v/>
      </c>
      <c r="AF1457" s="713" t="str">
        <f t="shared" si="1062"/>
        <v/>
      </c>
      <c r="AG1457" s="713"/>
      <c r="AH1457" s="713"/>
      <c r="AI1457" s="112">
        <f>IF(H1457="credit",0,IF(AE1457="free",0,IF(AE1457="me",0,IF(G1457&gt;0,(VLOOKUP(A1457,'Discount Lookup'!J:K,2)*G1457),0))))</f>
        <v>0</v>
      </c>
      <c r="AJ1457" s="107" t="str">
        <f t="shared" ca="1" si="1063"/>
        <v/>
      </c>
      <c r="AK1457" s="714" t="str">
        <f t="shared" si="1064"/>
        <v/>
      </c>
      <c r="AL1457" s="714"/>
      <c r="AM1457" s="114" t="str">
        <f t="shared" si="1065"/>
        <v/>
      </c>
      <c r="AN1457" s="115"/>
      <c r="AO1457" s="116"/>
      <c r="AP1457" s="116"/>
      <c r="AQ1457" s="116"/>
      <c r="AR1457" s="116"/>
      <c r="AS1457" s="116"/>
      <c r="AT1457" s="116"/>
      <c r="AU1457" s="116"/>
      <c r="AV1457" s="78"/>
      <c r="AW1457" s="102"/>
      <c r="AX1457" s="78"/>
      <c r="AY1457" s="78"/>
      <c r="AZ1457" s="78"/>
      <c r="BA1457" s="78"/>
      <c r="BB1457" s="78"/>
      <c r="BC1457" s="78"/>
      <c r="BD1457" s="78"/>
      <c r="BE1457" s="465"/>
      <c r="BF1457" s="165" t="str">
        <f t="shared" si="1066"/>
        <v>https://www.google.com/search?tbm=isch&amp;q=Dianthus%20%27Holkahoripink%27%20PP%2321016%20Kahori%C2%AE%20Pink%20Dianthus</v>
      </c>
      <c r="BG1457" s="165" t="str">
        <f t="shared" si="1067"/>
        <v>D</v>
      </c>
      <c r="BH1457" s="65"/>
      <c r="BI1457" s="65"/>
      <c r="BJ1457" s="65"/>
      <c r="BK1457" s="65"/>
      <c r="BL1457" s="99"/>
      <c r="BM1457" s="99"/>
      <c r="BN1457" s="99"/>
    </row>
    <row r="1458" spans="1:66" s="51" customFormat="1" ht="15.75" x14ac:dyDescent="0.25">
      <c r="A1458" s="478" t="s">
        <v>29</v>
      </c>
      <c r="B1458" s="479" t="s">
        <v>1446</v>
      </c>
      <c r="C1458" s="480"/>
      <c r="D1458" s="481" t="s">
        <v>329</v>
      </c>
      <c r="E1458" s="482">
        <v>68.95</v>
      </c>
      <c r="F1458" s="483" t="s">
        <v>292</v>
      </c>
      <c r="G1458" s="484">
        <v>0</v>
      </c>
      <c r="H1458" s="688" t="str">
        <f>IF(G1458=0,"",IF(F1458="Buy",IF(G1458=1,"plant","plants"),IF(F1458&gt;0.01,"warranty","Error")))</f>
        <v/>
      </c>
      <c r="I1458" s="485">
        <f>IF(H1458="free",0,IF(H1458="credit",((E1458*(F1458))*G1458*-1),IF(F1458="Buy",(E1458*G1458),((E1458*(1-F1458))*G1458))))</f>
        <v>0</v>
      </c>
      <c r="J1458" s="485">
        <f>IF(H1458="warranty",0,(I1458*(_xlfn.SINGLE(SalesTaxPercentage))))</f>
        <v>0</v>
      </c>
      <c r="K1458" s="715">
        <f t="shared" ref="K1458" si="1076">I1458+J1458</f>
        <v>0</v>
      </c>
      <c r="L1458" s="715"/>
      <c r="M1458" s="689" t="str">
        <f ca="1">IF(AND(G1458&gt;0,E1458=0),"WARNING - no PRICE inserted",IF(H1458="free","FREE ~ no charge this plant",IF(H1458="credit",CONCATENATE("-$",ROUND(K1458*(1-_xlfn.SINGLE(T2GDiscount))*-1,2)," CREDIT after discount"),IF(_xlfn.SINGLE(T2GDiscount)=0,"",IF(G1458=0,"",IF(F1458="Buy",CONCATENATE("$",ROUND(K1458*(1-_xlfn.SINGLE(T2GDiscount)),2)," with ",(_xlfn.SINGLE(T2GDiscount)*100),"% discount"),CONCATENATE("$",ROUND(K1458*(1-_xlfn.SINGLE(T2GDiscount)),2)," with ",((_xlfn.SINGLE(T2GDiscount)*100+F1458*100)-(_xlfn.SINGLE(T2GDiscount)*100*F1458)),IF(F1458&gt;0,"% discounts",IF(_xlfn.SINGLE(NoWarrantyDiscount)&gt;0,"% discounts","% discount")))))))))</f>
        <v/>
      </c>
      <c r="N1458" s="690"/>
      <c r="O1458" s="486"/>
      <c r="P1458" s="486"/>
      <c r="Q1458" s="486"/>
      <c r="R1458" s="486"/>
      <c r="S1458" s="486"/>
      <c r="T1458" s="102">
        <f t="shared" si="1055"/>
        <v>0</v>
      </c>
      <c r="U1458" s="78">
        <f>IF(NOT(ISNUMBER(G1458)), "", VLOOKUP(A1458,'Discount Lookup'!D:E,2,FALSE)*G1458)</f>
        <v>0</v>
      </c>
      <c r="V1458" s="78">
        <f>IF(NOT(ISNUMBER(G1458)), "", VLOOKUP(A1458,'Discount Lookup'!G:H,2,FALSE)*G1458)</f>
        <v>0</v>
      </c>
      <c r="W1458" s="102">
        <f t="shared" si="1056"/>
        <v>0</v>
      </c>
      <c r="X1458" s="102">
        <f t="shared" si="1057"/>
        <v>0</v>
      </c>
      <c r="Y1458" s="120" t="b">
        <f t="shared" si="1058"/>
        <v>0</v>
      </c>
      <c r="Z1458" s="117">
        <f t="shared" si="1059"/>
        <v>0</v>
      </c>
      <c r="AA1458" s="118"/>
      <c r="AB1458" s="118" t="str">
        <f t="shared" si="1060"/>
        <v/>
      </c>
      <c r="AC1458" s="712" t="str">
        <f>IF(AE1458="T2G","no charge",IF(AND(OR(PlanterYesMe="No",PlanterYesMe="N",PlanterYesMe="me"),H1458=""),"",IF(H1458="credit","NO install",IF(AND(K1458="",AE1458="me"),"EACH row",IF(AND(K1458="images",AE1458="me"),"EACH row",IF(D1458="","",IF(H1458="credit","",IF(AE1458="free","re-planting",IF(AE1458="me","   not ELP, by",IF(AND(OR(PlanterYesMe="Yes",PlanterYesMe="Y"),G1458&gt;0),(VLOOKUP(A1458,'Discount Lookup'!J:K,2)*G1458*(1-PlanterDiscount)*(1+PlanterDifficultyPercentage)),IF(AE1458="ELP",(VLOOKUP(A1458,'Discount Lookup'!J:K,2)*G1458*(1-PlanterDiscount)*(1+PlanterDifficultyPercentage)),IF(AE1458="free","re-planting",IF(G1458=0,"",IF(PlanterYesMe="",IF(AE1458="me","   not ELP, by",IF(AE1458="",IF(G1458&gt;0,(VLOOKUP(A1458,'Discount Lookup'!J:K,2)*G1458*(1-PlanterDiscount)*(1+PlanterDifficultyPercentage)),""),"")),"   not ELP, by"))))))))))))))</f>
        <v/>
      </c>
      <c r="AD1458" s="712"/>
      <c r="AE1458" s="513" t="str">
        <f t="shared" si="1061"/>
        <v/>
      </c>
      <c r="AF1458" s="713" t="str">
        <f t="shared" si="1062"/>
        <v/>
      </c>
      <c r="AG1458" s="713"/>
      <c r="AH1458" s="713"/>
      <c r="AI1458" s="112">
        <f>IF(H1458="credit",0,IF(AE1458="free",0,IF(AE1458="me",0,IF(G1458&gt;0,(VLOOKUP(A1458,'Discount Lookup'!J:K,2)*G1458),0))))</f>
        <v>0</v>
      </c>
      <c r="AJ1458" s="107" t="str">
        <f t="shared" ca="1" si="1063"/>
        <v/>
      </c>
      <c r="AK1458" s="714" t="str">
        <f t="shared" si="1064"/>
        <v/>
      </c>
      <c r="AL1458" s="714"/>
      <c r="AM1458" s="114" t="str">
        <f t="shared" si="1065"/>
        <v/>
      </c>
      <c r="AN1458" s="115"/>
      <c r="AO1458" s="116"/>
      <c r="AP1458" s="116"/>
      <c r="AQ1458" s="116"/>
      <c r="AR1458" s="116"/>
      <c r="AS1458" s="116"/>
      <c r="AT1458" s="116"/>
      <c r="AU1458" s="116"/>
      <c r="AV1458" s="78"/>
      <c r="AW1458" s="102"/>
      <c r="AX1458" s="78"/>
      <c r="AY1458" s="78"/>
      <c r="AZ1458" s="78"/>
      <c r="BA1458" s="78"/>
      <c r="BB1458" s="78"/>
      <c r="BC1458" s="78"/>
      <c r="BD1458" s="78"/>
      <c r="BE1458" s="465"/>
      <c r="BF1458" s="165" t="str">
        <f t="shared" si="1066"/>
        <v>https://www.google.com/search?tbm=isch&amp;q=18%20in%20G2</v>
      </c>
      <c r="BG1458" s="165" t="str">
        <f t="shared" si="1067"/>
        <v>1</v>
      </c>
      <c r="BH1458" s="65"/>
      <c r="BI1458" s="65"/>
      <c r="BJ1458" s="65"/>
      <c r="BK1458" s="65"/>
      <c r="BL1458" s="99"/>
      <c r="BM1458" s="99"/>
      <c r="BN1458" s="99"/>
    </row>
    <row r="1459" spans="1:66" s="51" customFormat="1" ht="17.25" thickBot="1" x14ac:dyDescent="0.3">
      <c r="A1459" s="508" t="s">
        <v>4718</v>
      </c>
      <c r="B1459" s="487"/>
      <c r="C1459" s="707"/>
      <c r="D1459" s="487"/>
      <c r="E1459" s="487"/>
      <c r="F1459" s="488"/>
      <c r="G1459" s="489"/>
      <c r="H1459" s="487"/>
      <c r="I1459" s="490"/>
      <c r="J1459" s="490"/>
      <c r="K1459" s="491"/>
      <c r="L1459" s="547"/>
      <c r="M1459" s="528"/>
      <c r="N1459" s="492"/>
      <c r="O1459" s="493"/>
      <c r="P1459" s="494"/>
      <c r="Q1459" s="492"/>
      <c r="R1459" s="492"/>
      <c r="S1459" s="699" t="s">
        <v>5281</v>
      </c>
      <c r="T1459" s="102">
        <f t="shared" si="1055"/>
        <v>0</v>
      </c>
      <c r="U1459" s="78" t="str">
        <f>IF(NOT(ISNUMBER(G1459)), "", VLOOKUP(A1459,'Discount Lookup'!D:E,2,FALSE)*G1459)</f>
        <v/>
      </c>
      <c r="V1459" s="78" t="str">
        <f>IF(NOT(ISNUMBER(G1459)), "", VLOOKUP(A1459,'Discount Lookup'!G:H,2,FALSE)*G1459)</f>
        <v/>
      </c>
      <c r="W1459" s="102">
        <f t="shared" si="1056"/>
        <v>0</v>
      </c>
      <c r="X1459" s="102">
        <f t="shared" si="1057"/>
        <v>0</v>
      </c>
      <c r="Y1459" s="120" t="b">
        <f t="shared" si="1058"/>
        <v>0</v>
      </c>
      <c r="Z1459" s="117">
        <f t="shared" si="1059"/>
        <v>0</v>
      </c>
      <c r="AA1459" s="118"/>
      <c r="AB1459" s="118" t="str">
        <f t="shared" si="1060"/>
        <v/>
      </c>
      <c r="AC1459" s="712" t="str">
        <f>IF(AE1459="T2G","no charge",IF(AND(OR(PlanterYesMe="No",PlanterYesMe="N",PlanterYesMe="me"),H1459=""),"",IF(H1459="credit","NO install",IF(AND(K1459="",AE1459="me"),"EACH row",IF(AND(K1459="images",AE1459="me"),"EACH row",IF(D1459="","",IF(H1459="credit","",IF(AE1459="free","re-planting",IF(AE1459="me","   not ELP, by",IF(AND(OR(PlanterYesMe="Yes",PlanterYesMe="Y"),G1459&gt;0),(VLOOKUP(A1459,'Discount Lookup'!J:K,2)*G1459*(1-PlanterDiscount)*(1+PlanterDifficultyPercentage)),IF(AE1459="ELP",(VLOOKUP(A1459,'Discount Lookup'!J:K,2)*G1459*(1-PlanterDiscount)*(1+PlanterDifficultyPercentage)),IF(AE1459="free","re-planting",IF(G1459=0,"",IF(PlanterYesMe="",IF(AE1459="me","   not ELP, by",IF(AE1459="",IF(G1459&gt;0,(VLOOKUP(A1459,'Discount Lookup'!J:K,2)*G1459*(1-PlanterDiscount)*(1+PlanterDifficultyPercentage)),""),"")),"   not ELP, by"))))))))))))))</f>
        <v/>
      </c>
      <c r="AD1459" s="712"/>
      <c r="AE1459" s="513" t="str">
        <f t="shared" si="1061"/>
        <v/>
      </c>
      <c r="AF1459" s="713" t="str">
        <f t="shared" si="1062"/>
        <v/>
      </c>
      <c r="AG1459" s="713"/>
      <c r="AH1459" s="713"/>
      <c r="AI1459" s="112">
        <f>IF(H1459="credit",0,IF(AE1459="free",0,IF(AE1459="me",0,IF(G1459&gt;0,(VLOOKUP(A1459,'Discount Lookup'!J:K,2)*G1459),0))))</f>
        <v>0</v>
      </c>
      <c r="AJ1459" s="107" t="str">
        <f t="shared" ca="1" si="1063"/>
        <v/>
      </c>
      <c r="AK1459" s="714" t="str">
        <f t="shared" si="1064"/>
        <v/>
      </c>
      <c r="AL1459" s="714"/>
      <c r="AM1459" s="114" t="str">
        <f t="shared" si="1065"/>
        <v/>
      </c>
      <c r="AN1459" s="115"/>
      <c r="AO1459" s="116"/>
      <c r="AP1459" s="116"/>
      <c r="AQ1459" s="116"/>
      <c r="AR1459" s="116"/>
      <c r="AS1459" s="116"/>
      <c r="AT1459" s="116"/>
      <c r="AU1459" s="116"/>
      <c r="AV1459" s="78"/>
      <c r="AW1459" s="102"/>
      <c r="AX1459" s="78"/>
      <c r="AY1459" s="78"/>
      <c r="AZ1459" s="78"/>
      <c r="BA1459" s="78"/>
      <c r="BB1459" s="78"/>
      <c r="BC1459" s="78"/>
      <c r="BD1459" s="78"/>
      <c r="BE1459" s="465"/>
      <c r="BF1459" s="165" t="str">
        <f t="shared" si="1066"/>
        <v>https://www.google.com/search?tbm=isch&amp;q=Kahori%20means%20%22fragrance%22%20in%20Japanese%2C%20reflecting%20it%27s%20strong%20seet-spicy%20scent%20</v>
      </c>
      <c r="BG1459" s="165" t="str">
        <f t="shared" si="1067"/>
        <v>K</v>
      </c>
      <c r="BH1459" s="65"/>
      <c r="BI1459" s="65"/>
      <c r="BJ1459" s="65"/>
      <c r="BK1459" s="65"/>
      <c r="BL1459" s="99"/>
      <c r="BM1459" s="99"/>
      <c r="BN1459" s="99"/>
    </row>
    <row r="1460" spans="1:66" s="51" customFormat="1" ht="18" x14ac:dyDescent="0.25">
      <c r="A1460" s="507" t="s">
        <v>2406</v>
      </c>
      <c r="B1460" s="470"/>
      <c r="C1460" s="706"/>
      <c r="D1460" s="471" t="s">
        <v>5653</v>
      </c>
      <c r="E1460" s="472"/>
      <c r="F1460" s="472"/>
      <c r="G1460" s="472"/>
      <c r="H1460" s="622" t="s">
        <v>2404</v>
      </c>
      <c r="I1460" s="473" t="s">
        <v>2407</v>
      </c>
      <c r="J1460" s="472"/>
      <c r="K1460" s="472"/>
      <c r="L1460" s="561"/>
      <c r="M1460" s="698" t="s">
        <v>5240</v>
      </c>
      <c r="N1460" s="692" t="str">
        <f>IF(AND(ISTEXT($A1460), ISERROR($A1460+0)), HYPERLINK($BF1460, "Images"), "")</f>
        <v>Images</v>
      </c>
      <c r="O1460" s="694" t="s">
        <v>5244</v>
      </c>
      <c r="P1460" s="475"/>
      <c r="Q1460" s="476"/>
      <c r="R1460" s="476"/>
      <c r="S1460" s="477"/>
      <c r="T1460" s="102">
        <f t="shared" si="1055"/>
        <v>0</v>
      </c>
      <c r="U1460" s="78" t="str">
        <f>IF(NOT(ISNUMBER(G1460)), "", VLOOKUP(A1460,'Discount Lookup'!D:E,2,FALSE)*G1460)</f>
        <v/>
      </c>
      <c r="V1460" s="78" t="str">
        <f>IF(NOT(ISNUMBER(G1460)), "", VLOOKUP(A1460,'Discount Lookup'!G:H,2,FALSE)*G1460)</f>
        <v/>
      </c>
      <c r="W1460" s="102">
        <f t="shared" si="1056"/>
        <v>0</v>
      </c>
      <c r="X1460" s="102" t="str">
        <f t="shared" si="1057"/>
        <v>Fuschsia-Red bloom</v>
      </c>
      <c r="Y1460" s="120" t="b">
        <f t="shared" si="1058"/>
        <v>0</v>
      </c>
      <c r="Z1460" s="117">
        <f t="shared" si="1059"/>
        <v>0</v>
      </c>
      <c r="AA1460" s="118"/>
      <c r="AB1460" s="118" t="str">
        <f t="shared" si="1060"/>
        <v/>
      </c>
      <c r="AC1460" s="712" t="str">
        <f>IF(AE1460="T2G","no charge",IF(AND(OR(PlanterYesMe="No",PlanterYesMe="N",PlanterYesMe="me"),H1460=""),"",IF(H1460="credit","NO install",IF(AND(K1460="",AE1460="me"),"EACH row",IF(AND(K1460="images",AE1460="me"),"EACH row",IF(D1460="","",IF(H1460="credit","",IF(AE1460="free","re-planting",IF(AE1460="me","   not ELP, by",IF(AND(OR(PlanterYesMe="Yes",PlanterYesMe="Y"),G1460&gt;0),(VLOOKUP(A1460,'Discount Lookup'!J:K,2)*G1460*(1-PlanterDiscount)*(1+PlanterDifficultyPercentage)),IF(AE1460="ELP",(VLOOKUP(A1460,'Discount Lookup'!J:K,2)*G1460*(1-PlanterDiscount)*(1+PlanterDifficultyPercentage)),IF(AE1460="free","re-planting",IF(G1460=0,"",IF(PlanterYesMe="",IF(AE1460="me","   not ELP, by",IF(AE1460="",IF(G1460&gt;0,(VLOOKUP(A1460,'Discount Lookup'!J:K,2)*G1460*(1-PlanterDiscount)*(1+PlanterDifficultyPercentage)),""),"")),"   not ELP, by"))))))))))))))</f>
        <v/>
      </c>
      <c r="AD1460" s="712"/>
      <c r="AE1460" s="513" t="str">
        <f t="shared" si="1061"/>
        <v/>
      </c>
      <c r="AF1460" s="713" t="str">
        <f t="shared" si="1062"/>
        <v/>
      </c>
      <c r="AG1460" s="713"/>
      <c r="AH1460" s="713"/>
      <c r="AI1460" s="112">
        <f>IF(H1460="credit",0,IF(AE1460="free",0,IF(AE1460="me",0,IF(G1460&gt;0,(VLOOKUP(A1460,'Discount Lookup'!J:K,2)*G1460),0))))</f>
        <v>0</v>
      </c>
      <c r="AJ1460" s="107" t="str">
        <f t="shared" ca="1" si="1063"/>
        <v/>
      </c>
      <c r="AK1460" s="714" t="str">
        <f t="shared" si="1064"/>
        <v/>
      </c>
      <c r="AL1460" s="714"/>
      <c r="AM1460" s="114" t="str">
        <f t="shared" si="1065"/>
        <v/>
      </c>
      <c r="AN1460" s="115"/>
      <c r="AO1460" s="116"/>
      <c r="AP1460" s="116"/>
      <c r="AQ1460" s="116"/>
      <c r="AR1460" s="116"/>
      <c r="AS1460" s="116"/>
      <c r="AT1460" s="116"/>
      <c r="AU1460" s="116"/>
      <c r="AV1460" s="78"/>
      <c r="AW1460" s="102"/>
      <c r="AX1460" s="78"/>
      <c r="AY1460" s="78"/>
      <c r="AZ1460" s="78"/>
      <c r="BA1460" s="78"/>
      <c r="BB1460" s="78"/>
      <c r="BC1460" s="78"/>
      <c r="BD1460" s="78"/>
      <c r="BE1460" s="465"/>
      <c r="BF1460" s="165" t="str">
        <f t="shared" si="1066"/>
        <v>https://www.google.com/search?tbm=isch&amp;q=Dianthus%20%27Holkahoriscarlet%27%20PP%2328558%20Kahori%C2%AE%20Scarlet%20Dianthus</v>
      </c>
      <c r="BG1460" s="165" t="str">
        <f t="shared" si="1067"/>
        <v>D</v>
      </c>
      <c r="BH1460" s="65"/>
      <c r="BI1460" s="65"/>
      <c r="BJ1460" s="65"/>
      <c r="BK1460" s="65"/>
      <c r="BL1460" s="99"/>
      <c r="BM1460" s="99"/>
      <c r="BN1460" s="99"/>
    </row>
    <row r="1461" spans="1:66" s="51" customFormat="1" ht="15.75" x14ac:dyDescent="0.25">
      <c r="A1461" s="478">
        <v>1</v>
      </c>
      <c r="B1461" s="479" t="s">
        <v>291</v>
      </c>
      <c r="C1461" s="480"/>
      <c r="D1461" s="481" t="s">
        <v>329</v>
      </c>
      <c r="E1461" s="482">
        <v>11.95</v>
      </c>
      <c r="F1461" s="483" t="s">
        <v>292</v>
      </c>
      <c r="G1461" s="484">
        <v>0</v>
      </c>
      <c r="H1461" s="688" t="str">
        <f>IF(G1461=0,"",IF(F1461="Buy",IF(G1461=1,"plant","plants"),IF(F1461&gt;0.01,"warranty","Error")))</f>
        <v/>
      </c>
      <c r="I1461" s="485">
        <f>IF(H1461="free",0,IF(H1461="credit",((E1461*(F1461))*G1461*-1),IF(F1461="Buy",(E1461*G1461),((E1461*(1-F1461))*G1461))))</f>
        <v>0</v>
      </c>
      <c r="J1461" s="485">
        <f>IF(H1461="warranty",0,(I1461*(_xlfn.SINGLE(SalesTaxPercentage))))</f>
        <v>0</v>
      </c>
      <c r="K1461" s="715">
        <f t="shared" ref="K1461" si="1077">I1461+J1461</f>
        <v>0</v>
      </c>
      <c r="L1461" s="715"/>
      <c r="M1461" s="689" t="str">
        <f ca="1">IF(AND(G1461&gt;0,E1461=0),"WARNING - no PRICE inserted",IF(H1461="free","FREE ~ no charge this plant",IF(H1461="credit",CONCATENATE("-$",ROUND(K1461*(1-_xlfn.SINGLE(T2GDiscount))*-1,2)," CREDIT after discount"),IF(_xlfn.SINGLE(T2GDiscount)=0,"",IF(G1461=0,"",IF(F1461="Buy",CONCATENATE("$",ROUND(K1461*(1-_xlfn.SINGLE(T2GDiscount)),2)," with ",(_xlfn.SINGLE(T2GDiscount)*100),"% discount"),CONCATENATE("$",ROUND(K1461*(1-_xlfn.SINGLE(T2GDiscount)),2)," with ",((_xlfn.SINGLE(T2GDiscount)*100+F1461*100)-(_xlfn.SINGLE(T2GDiscount)*100*F1461)),IF(F1461&gt;0,"% discounts",IF(_xlfn.SINGLE(NoWarrantyDiscount)&gt;0,"% discounts","% discount")))))))))</f>
        <v/>
      </c>
      <c r="N1461" s="690"/>
      <c r="O1461" s="486"/>
      <c r="P1461" s="486"/>
      <c r="Q1461" s="486"/>
      <c r="R1461" s="486"/>
      <c r="S1461" s="486"/>
      <c r="T1461" s="102">
        <f t="shared" si="1055"/>
        <v>0</v>
      </c>
      <c r="U1461" s="78">
        <f>IF(NOT(ISNUMBER(G1461)), "", VLOOKUP(A1461,'Discount Lookup'!D:E,2,FALSE)*G1461)</f>
        <v>0</v>
      </c>
      <c r="V1461" s="78">
        <f>IF(NOT(ISNUMBER(G1461)), "", VLOOKUP(A1461,'Discount Lookup'!G:H,2,FALSE)*G1461)</f>
        <v>0</v>
      </c>
      <c r="W1461" s="102">
        <f t="shared" si="1056"/>
        <v>0</v>
      </c>
      <c r="X1461" s="102">
        <f t="shared" si="1057"/>
        <v>0</v>
      </c>
      <c r="Y1461" s="120" t="b">
        <f t="shared" si="1058"/>
        <v>0</v>
      </c>
      <c r="Z1461" s="117">
        <f t="shared" si="1059"/>
        <v>0</v>
      </c>
      <c r="AA1461" s="118"/>
      <c r="AB1461" s="118" t="str">
        <f t="shared" si="1060"/>
        <v/>
      </c>
      <c r="AC1461" s="712" t="str">
        <f>IF(AE1461="T2G","no charge",IF(AND(OR(PlanterYesMe="No",PlanterYesMe="N",PlanterYesMe="me"),H1461=""),"",IF(H1461="credit","NO install",IF(AND(K1461="",AE1461="me"),"EACH row",IF(AND(K1461="images",AE1461="me"),"EACH row",IF(D1461="","",IF(H1461="credit","",IF(AE1461="free","re-planting",IF(AE1461="me","   not ELP, by",IF(AND(OR(PlanterYesMe="Yes",PlanterYesMe="Y"),G1461&gt;0),(VLOOKUP(A1461,'Discount Lookup'!J:K,2)*G1461*(1-PlanterDiscount)*(1+PlanterDifficultyPercentage)),IF(AE1461="ELP",(VLOOKUP(A1461,'Discount Lookup'!J:K,2)*G1461*(1-PlanterDiscount)*(1+PlanterDifficultyPercentage)),IF(AE1461="free","re-planting",IF(G1461=0,"",IF(PlanterYesMe="",IF(AE1461="me","   not ELP, by",IF(AE1461="",IF(G1461&gt;0,(VLOOKUP(A1461,'Discount Lookup'!J:K,2)*G1461*(1-PlanterDiscount)*(1+PlanterDifficultyPercentage)),""),"")),"   not ELP, by"))))))))))))))</f>
        <v/>
      </c>
      <c r="AD1461" s="712"/>
      <c r="AE1461" s="513" t="str">
        <f t="shared" si="1061"/>
        <v/>
      </c>
      <c r="AF1461" s="713" t="str">
        <f t="shared" si="1062"/>
        <v/>
      </c>
      <c r="AG1461" s="713"/>
      <c r="AH1461" s="713"/>
      <c r="AI1461" s="112">
        <f>IF(H1461="credit",0,IF(AE1461="free",0,IF(AE1461="me",0,IF(G1461&gt;0,(VLOOKUP(A1461,'Discount Lookup'!J:K,2)*G1461),0))))</f>
        <v>0</v>
      </c>
      <c r="AJ1461" s="107" t="str">
        <f t="shared" ca="1" si="1063"/>
        <v/>
      </c>
      <c r="AK1461" s="714" t="str">
        <f t="shared" si="1064"/>
        <v/>
      </c>
      <c r="AL1461" s="714"/>
      <c r="AM1461" s="114" t="str">
        <f t="shared" si="1065"/>
        <v/>
      </c>
      <c r="AN1461" s="115"/>
      <c r="AO1461" s="116"/>
      <c r="AP1461" s="116"/>
      <c r="AQ1461" s="116"/>
      <c r="AR1461" s="116"/>
      <c r="AS1461" s="116"/>
      <c r="AT1461" s="116"/>
      <c r="AU1461" s="116"/>
      <c r="AV1461" s="78"/>
      <c r="AW1461" s="102"/>
      <c r="AX1461" s="78"/>
      <c r="AY1461" s="78"/>
      <c r="AZ1461" s="78"/>
      <c r="BA1461" s="78"/>
      <c r="BB1461" s="78"/>
      <c r="BC1461" s="78"/>
      <c r="BD1461" s="78"/>
      <c r="BE1461" s="465"/>
      <c r="BF1461" s="165" t="str">
        <f t="shared" si="1066"/>
        <v>https://www.google.com/search?tbm=isch&amp;q=1%20G2</v>
      </c>
      <c r="BG1461" s="165" t="str">
        <f t="shared" si="1067"/>
        <v>D</v>
      </c>
      <c r="BH1461" s="65"/>
      <c r="BI1461" s="65"/>
      <c r="BJ1461" s="65"/>
      <c r="BK1461" s="65"/>
      <c r="BL1461" s="99"/>
      <c r="BM1461" s="99"/>
      <c r="BN1461" s="99"/>
    </row>
    <row r="1462" spans="1:66" s="51" customFormat="1" ht="17.25" thickBot="1" x14ac:dyDescent="0.3">
      <c r="A1462" s="508" t="s">
        <v>4719</v>
      </c>
      <c r="B1462" s="487"/>
      <c r="C1462" s="707"/>
      <c r="D1462" s="487"/>
      <c r="E1462" s="487"/>
      <c r="F1462" s="488"/>
      <c r="G1462" s="489"/>
      <c r="H1462" s="487"/>
      <c r="I1462" s="490"/>
      <c r="J1462" s="490"/>
      <c r="K1462" s="491"/>
      <c r="L1462" s="547"/>
      <c r="M1462" s="528"/>
      <c r="N1462" s="492"/>
      <c r="O1462" s="493"/>
      <c r="P1462" s="494"/>
      <c r="Q1462" s="492"/>
      <c r="R1462" s="492"/>
      <c r="S1462" s="699" t="s">
        <v>5281</v>
      </c>
      <c r="T1462" s="102">
        <f t="shared" si="1055"/>
        <v>0</v>
      </c>
      <c r="U1462" s="78" t="str">
        <f>IF(NOT(ISNUMBER(G1462)), "", VLOOKUP(A1462,'Discount Lookup'!D:E,2,FALSE)*G1462)</f>
        <v/>
      </c>
      <c r="V1462" s="78" t="str">
        <f>IF(NOT(ISNUMBER(G1462)), "", VLOOKUP(A1462,'Discount Lookup'!G:H,2,FALSE)*G1462)</f>
        <v/>
      </c>
      <c r="W1462" s="102">
        <f t="shared" si="1056"/>
        <v>0</v>
      </c>
      <c r="X1462" s="102">
        <f t="shared" si="1057"/>
        <v>0</v>
      </c>
      <c r="Y1462" s="120" t="b">
        <f t="shared" si="1058"/>
        <v>0</v>
      </c>
      <c r="Z1462" s="117">
        <f t="shared" si="1059"/>
        <v>0</v>
      </c>
      <c r="AA1462" s="118"/>
      <c r="AB1462" s="118" t="str">
        <f t="shared" si="1060"/>
        <v/>
      </c>
      <c r="AC1462" s="712" t="str">
        <f>IF(AE1462="T2G","no charge",IF(AND(OR(PlanterYesMe="No",PlanterYesMe="N",PlanterYesMe="me"),H1462=""),"",IF(H1462="credit","NO install",IF(AND(K1462="",AE1462="me"),"EACH row",IF(AND(K1462="images",AE1462="me"),"EACH row",IF(D1462="","",IF(H1462="credit","",IF(AE1462="free","re-planting",IF(AE1462="me","   not ELP, by",IF(AND(OR(PlanterYesMe="Yes",PlanterYesMe="Y"),G1462&gt;0),(VLOOKUP(A1462,'Discount Lookup'!J:K,2)*G1462*(1-PlanterDiscount)*(1+PlanterDifficultyPercentage)),IF(AE1462="ELP",(VLOOKUP(A1462,'Discount Lookup'!J:K,2)*G1462*(1-PlanterDiscount)*(1+PlanterDifficultyPercentage)),IF(AE1462="free","re-planting",IF(G1462=0,"",IF(PlanterYesMe="",IF(AE1462="me","   not ELP, by",IF(AE1462="",IF(G1462&gt;0,(VLOOKUP(A1462,'Discount Lookup'!J:K,2)*G1462*(1-PlanterDiscount)*(1+PlanterDifficultyPercentage)),""),"")),"   not ELP, by"))))))))))))))</f>
        <v/>
      </c>
      <c r="AD1462" s="712"/>
      <c r="AE1462" s="513" t="str">
        <f t="shared" si="1061"/>
        <v/>
      </c>
      <c r="AF1462" s="713" t="str">
        <f t="shared" si="1062"/>
        <v/>
      </c>
      <c r="AG1462" s="713"/>
      <c r="AH1462" s="713"/>
      <c r="AI1462" s="112">
        <f>IF(H1462="credit",0,IF(AE1462="free",0,IF(AE1462="me",0,IF(G1462&gt;0,(VLOOKUP(A1462,'Discount Lookup'!J:K,2)*G1462),0))))</f>
        <v>0</v>
      </c>
      <c r="AJ1462" s="107" t="str">
        <f t="shared" ca="1" si="1063"/>
        <v/>
      </c>
      <c r="AK1462" s="714" t="str">
        <f t="shared" si="1064"/>
        <v/>
      </c>
      <c r="AL1462" s="714"/>
      <c r="AM1462" s="114" t="str">
        <f t="shared" si="1065"/>
        <v/>
      </c>
      <c r="AN1462" s="115"/>
      <c r="AO1462" s="116"/>
      <c r="AP1462" s="116"/>
      <c r="AQ1462" s="116"/>
      <c r="AR1462" s="116"/>
      <c r="AS1462" s="116"/>
      <c r="AT1462" s="116"/>
      <c r="AU1462" s="116"/>
      <c r="AV1462" s="78"/>
      <c r="AW1462" s="102"/>
      <c r="AX1462" s="78"/>
      <c r="AY1462" s="78"/>
      <c r="AZ1462" s="78"/>
      <c r="BA1462" s="78"/>
      <c r="BB1462" s="78"/>
      <c r="BC1462" s="78"/>
      <c r="BD1462" s="78"/>
      <c r="BE1462" s="465"/>
      <c r="BF1462" s="165" t="str">
        <f t="shared" si="1066"/>
        <v>https://www.google.com/search?tbm=isch&amp;q=Kahori%20series%20plants%20are%20bred%20for%20heat%20tolerance%2C%20compact%20form%2C%20and%20nonstop%20blooming.%20Flowers%20are%20great%20for%20cutting%20</v>
      </c>
      <c r="BG1462" s="165" t="str">
        <f t="shared" si="1067"/>
        <v>K</v>
      </c>
      <c r="BH1462" s="65"/>
      <c r="BI1462" s="65"/>
      <c r="BJ1462" s="65"/>
      <c r="BK1462" s="65"/>
      <c r="BL1462" s="99"/>
      <c r="BM1462" s="99"/>
      <c r="BN1462" s="99"/>
    </row>
    <row r="1463" spans="1:66" s="51" customFormat="1" ht="18" x14ac:dyDescent="0.25">
      <c r="A1463" s="507" t="s">
        <v>4601</v>
      </c>
      <c r="B1463" s="470"/>
      <c r="C1463" s="706"/>
      <c r="D1463" s="471" t="s">
        <v>5870</v>
      </c>
      <c r="E1463" s="472"/>
      <c r="F1463" s="472"/>
      <c r="G1463" s="472"/>
      <c r="H1463" s="622" t="s">
        <v>4215</v>
      </c>
      <c r="I1463" s="473" t="s">
        <v>2405</v>
      </c>
      <c r="J1463" s="472"/>
      <c r="K1463" s="472"/>
      <c r="L1463" s="561"/>
      <c r="M1463" s="698" t="s">
        <v>5240</v>
      </c>
      <c r="N1463" s="692" t="str">
        <f>IF(AND(ISTEXT($A1463), ISERROR($A1463+0)), HYPERLINK($BF1463, "Images"), "")</f>
        <v>Images</v>
      </c>
      <c r="O1463" s="694" t="s">
        <v>5247</v>
      </c>
      <c r="P1463" s="475"/>
      <c r="Q1463" s="476"/>
      <c r="R1463" s="476"/>
      <c r="S1463" s="477"/>
      <c r="T1463" s="102">
        <f t="shared" si="1055"/>
        <v>0</v>
      </c>
      <c r="U1463" s="78" t="str">
        <f>IF(NOT(ISNUMBER(G1463)), "", VLOOKUP(A1463,'Discount Lookup'!D:E,2,FALSE)*G1463)</f>
        <v/>
      </c>
      <c r="V1463" s="78" t="str">
        <f>IF(NOT(ISNUMBER(G1463)), "", VLOOKUP(A1463,'Discount Lookup'!G:H,2,FALSE)*G1463)</f>
        <v/>
      </c>
      <c r="W1463" s="102">
        <f t="shared" si="1056"/>
        <v>0</v>
      </c>
      <c r="X1463" s="102" t="str">
        <f t="shared" si="1057"/>
        <v>Bright Pink bloom</v>
      </c>
      <c r="Y1463" s="120" t="b">
        <f t="shared" si="1058"/>
        <v>0</v>
      </c>
      <c r="Z1463" s="117">
        <f t="shared" si="1059"/>
        <v>0</v>
      </c>
      <c r="AA1463" s="118"/>
      <c r="AB1463" s="118" t="str">
        <f t="shared" si="1060"/>
        <v/>
      </c>
      <c r="AC1463" s="712" t="str">
        <f>IF(AE1463="T2G","no charge",IF(AND(OR(PlanterYesMe="No",PlanterYesMe="N",PlanterYesMe="me"),H1463=""),"",IF(H1463="credit","NO install",IF(AND(K1463="",AE1463="me"),"EACH row",IF(AND(K1463="images",AE1463="me"),"EACH row",IF(D1463="","",IF(H1463="credit","",IF(AE1463="free","re-planting",IF(AE1463="me","   not ELP, by",IF(AND(OR(PlanterYesMe="Yes",PlanterYesMe="Y"),G1463&gt;0),(VLOOKUP(A1463,'Discount Lookup'!J:K,2)*G1463*(1-PlanterDiscount)*(1+PlanterDifficultyPercentage)),IF(AE1463="ELP",(VLOOKUP(A1463,'Discount Lookup'!J:K,2)*G1463*(1-PlanterDiscount)*(1+PlanterDifficultyPercentage)),IF(AE1463="free","re-planting",IF(G1463=0,"",IF(PlanterYesMe="",IF(AE1463="me","   not ELP, by",IF(AE1463="",IF(G1463&gt;0,(VLOOKUP(A1463,'Discount Lookup'!J:K,2)*G1463*(1-PlanterDiscount)*(1+PlanterDifficultyPercentage)),""),"")),"   not ELP, by"))))))))))))))</f>
        <v/>
      </c>
      <c r="AD1463" s="712"/>
      <c r="AE1463" s="513" t="str">
        <f t="shared" si="1061"/>
        <v/>
      </c>
      <c r="AF1463" s="713" t="str">
        <f t="shared" si="1062"/>
        <v/>
      </c>
      <c r="AG1463" s="713"/>
      <c r="AH1463" s="713"/>
      <c r="AI1463" s="112">
        <f>IF(H1463="credit",0,IF(AE1463="free",0,IF(AE1463="me",0,IF(G1463&gt;0,(VLOOKUP(A1463,'Discount Lookup'!J:K,2)*G1463),0))))</f>
        <v>0</v>
      </c>
      <c r="AJ1463" s="107" t="str">
        <f t="shared" ca="1" si="1063"/>
        <v/>
      </c>
      <c r="AK1463" s="714" t="str">
        <f t="shared" si="1064"/>
        <v/>
      </c>
      <c r="AL1463" s="714"/>
      <c r="AM1463" s="114" t="str">
        <f t="shared" si="1065"/>
        <v/>
      </c>
      <c r="AN1463" s="115"/>
      <c r="AO1463" s="116"/>
      <c r="AP1463" s="116"/>
      <c r="AQ1463" s="116"/>
      <c r="AR1463" s="116"/>
      <c r="AS1463" s="116"/>
      <c r="AT1463" s="116"/>
      <c r="AU1463" s="116"/>
      <c r="AV1463" s="78"/>
      <c r="AW1463" s="102"/>
      <c r="AX1463" s="78"/>
      <c r="AY1463" s="78"/>
      <c r="AZ1463" s="78"/>
      <c r="BA1463" s="78"/>
      <c r="BB1463" s="78"/>
      <c r="BC1463" s="78"/>
      <c r="BD1463" s="78"/>
      <c r="BE1463" s="465"/>
      <c r="BF1463" s="165" t="str">
        <f t="shared" si="1066"/>
        <v>https://www.google.com/search?tbm=isch&amp;q=Dianthus%20%27KonD1014K3%27%20PP%2330246%20Mountain%20Frost%C2%AE%20Pink%20Carpet%20Dianthus%20%28PW%C2%AE%29</v>
      </c>
      <c r="BG1463" s="165" t="str">
        <f t="shared" si="1067"/>
        <v>D</v>
      </c>
      <c r="BH1463" s="65"/>
      <c r="BI1463" s="65"/>
      <c r="BJ1463" s="65"/>
      <c r="BK1463" s="65"/>
      <c r="BL1463" s="99"/>
      <c r="BM1463" s="99"/>
      <c r="BN1463" s="99"/>
    </row>
    <row r="1464" spans="1:66" s="51" customFormat="1" ht="15.75" x14ac:dyDescent="0.25">
      <c r="A1464" s="478">
        <v>1</v>
      </c>
      <c r="B1464" s="479" t="s">
        <v>291</v>
      </c>
      <c r="C1464" s="480"/>
      <c r="D1464" s="481" t="s">
        <v>329</v>
      </c>
      <c r="E1464" s="482">
        <v>11.95</v>
      </c>
      <c r="F1464" s="483" t="s">
        <v>292</v>
      </c>
      <c r="G1464" s="484">
        <v>0</v>
      </c>
      <c r="H1464" s="688" t="str">
        <f>IF(G1464=0,"",IF(F1464="Buy",IF(G1464=1,"plant","plants"),IF(F1464&gt;0.01,"warranty","Error")))</f>
        <v/>
      </c>
      <c r="I1464" s="485">
        <f>IF(H1464="free",0,IF(H1464="credit",((E1464*(F1464))*G1464*-1),IF(F1464="Buy",(E1464*G1464),((E1464*(1-F1464))*G1464))))</f>
        <v>0</v>
      </c>
      <c r="J1464" s="485">
        <f>IF(H1464="warranty",0,(I1464*(_xlfn.SINGLE(SalesTaxPercentage))))</f>
        <v>0</v>
      </c>
      <c r="K1464" s="715">
        <f t="shared" ref="K1464" si="1078">I1464+J1464</f>
        <v>0</v>
      </c>
      <c r="L1464" s="715"/>
      <c r="M1464" s="689" t="str">
        <f ca="1">IF(AND(G1464&gt;0,E1464=0),"WARNING - no PRICE inserted",IF(H1464="free","FREE ~ no charge this plant",IF(H1464="credit",CONCATENATE("-$",ROUND(K1464*(1-_xlfn.SINGLE(T2GDiscount))*-1,2)," CREDIT after discount"),IF(_xlfn.SINGLE(T2GDiscount)=0,"",IF(G1464=0,"",IF(F1464="Buy",CONCATENATE("$",ROUND(K1464*(1-_xlfn.SINGLE(T2GDiscount)),2)," with ",(_xlfn.SINGLE(T2GDiscount)*100),"% discount"),CONCATENATE("$",ROUND(K1464*(1-_xlfn.SINGLE(T2GDiscount)),2)," with ",((_xlfn.SINGLE(T2GDiscount)*100+F1464*100)-(_xlfn.SINGLE(T2GDiscount)*100*F1464)),IF(F1464&gt;0,"% discounts",IF(_xlfn.SINGLE(NoWarrantyDiscount)&gt;0,"% discounts","% discount")))))))))</f>
        <v/>
      </c>
      <c r="N1464" s="690"/>
      <c r="O1464" s="486"/>
      <c r="P1464" s="486"/>
      <c r="Q1464" s="486"/>
      <c r="R1464" s="486"/>
      <c r="S1464" s="486"/>
      <c r="T1464" s="102">
        <f t="shared" si="1055"/>
        <v>0</v>
      </c>
      <c r="U1464" s="78">
        <f>IF(NOT(ISNUMBER(G1464)), "", VLOOKUP(A1464,'Discount Lookup'!D:E,2,FALSE)*G1464)</f>
        <v>0</v>
      </c>
      <c r="V1464" s="78">
        <f>IF(NOT(ISNUMBER(G1464)), "", VLOOKUP(A1464,'Discount Lookup'!G:H,2,FALSE)*G1464)</f>
        <v>0</v>
      </c>
      <c r="W1464" s="102">
        <f t="shared" si="1056"/>
        <v>0</v>
      </c>
      <c r="X1464" s="102">
        <f t="shared" si="1057"/>
        <v>0</v>
      </c>
      <c r="Y1464" s="120" t="b">
        <f t="shared" si="1058"/>
        <v>0</v>
      </c>
      <c r="Z1464" s="117">
        <f t="shared" si="1059"/>
        <v>0</v>
      </c>
      <c r="AA1464" s="118"/>
      <c r="AB1464" s="118" t="str">
        <f t="shared" si="1060"/>
        <v/>
      </c>
      <c r="AC1464" s="712" t="str">
        <f>IF(AE1464="T2G","no charge",IF(AND(OR(PlanterYesMe="No",PlanterYesMe="N",PlanterYesMe="me"),H1464=""),"",IF(H1464="credit","NO install",IF(AND(K1464="",AE1464="me"),"EACH row",IF(AND(K1464="images",AE1464="me"),"EACH row",IF(D1464="","",IF(H1464="credit","",IF(AE1464="free","re-planting",IF(AE1464="me","   not ELP, by",IF(AND(OR(PlanterYesMe="Yes",PlanterYesMe="Y"),G1464&gt;0),(VLOOKUP(A1464,'Discount Lookup'!J:K,2)*G1464*(1-PlanterDiscount)*(1+PlanterDifficultyPercentage)),IF(AE1464="ELP",(VLOOKUP(A1464,'Discount Lookup'!J:K,2)*G1464*(1-PlanterDiscount)*(1+PlanterDifficultyPercentage)),IF(AE1464="free","re-planting",IF(G1464=0,"",IF(PlanterYesMe="",IF(AE1464="me","   not ELP, by",IF(AE1464="",IF(G1464&gt;0,(VLOOKUP(A1464,'Discount Lookup'!J:K,2)*G1464*(1-PlanterDiscount)*(1+PlanterDifficultyPercentage)),""),"")),"   not ELP, by"))))))))))))))</f>
        <v/>
      </c>
      <c r="AD1464" s="712"/>
      <c r="AE1464" s="513" t="str">
        <f t="shared" si="1061"/>
        <v/>
      </c>
      <c r="AF1464" s="713" t="str">
        <f t="shared" si="1062"/>
        <v/>
      </c>
      <c r="AG1464" s="713"/>
      <c r="AH1464" s="713"/>
      <c r="AI1464" s="112">
        <f>IF(H1464="credit",0,IF(AE1464="free",0,IF(AE1464="me",0,IF(G1464&gt;0,(VLOOKUP(A1464,'Discount Lookup'!J:K,2)*G1464),0))))</f>
        <v>0</v>
      </c>
      <c r="AJ1464" s="107" t="str">
        <f t="shared" ca="1" si="1063"/>
        <v/>
      </c>
      <c r="AK1464" s="714" t="str">
        <f t="shared" si="1064"/>
        <v/>
      </c>
      <c r="AL1464" s="714"/>
      <c r="AM1464" s="114" t="str">
        <f t="shared" si="1065"/>
        <v/>
      </c>
      <c r="AN1464" s="115"/>
      <c r="AO1464" s="116"/>
      <c r="AP1464" s="116"/>
      <c r="AQ1464" s="116"/>
      <c r="AR1464" s="116"/>
      <c r="AS1464" s="116"/>
      <c r="AT1464" s="116"/>
      <c r="AU1464" s="116"/>
      <c r="AV1464" s="78"/>
      <c r="AW1464" s="102"/>
      <c r="AX1464" s="78"/>
      <c r="AY1464" s="78"/>
      <c r="AZ1464" s="78"/>
      <c r="BA1464" s="78"/>
      <c r="BB1464" s="78"/>
      <c r="BC1464" s="78"/>
      <c r="BD1464" s="78"/>
      <c r="BE1464" s="465"/>
      <c r="BF1464" s="165" t="str">
        <f t="shared" si="1066"/>
        <v>https://www.google.com/search?tbm=isch&amp;q=1%20G2</v>
      </c>
      <c r="BG1464" s="165" t="str">
        <f t="shared" si="1067"/>
        <v>D</v>
      </c>
      <c r="BH1464" s="65"/>
      <c r="BI1464" s="65"/>
      <c r="BJ1464" s="65"/>
      <c r="BK1464" s="65"/>
      <c r="BL1464" s="99"/>
      <c r="BM1464" s="99"/>
      <c r="BN1464" s="99"/>
    </row>
    <row r="1465" spans="1:66" s="51" customFormat="1" ht="17.25" thickBot="1" x14ac:dyDescent="0.3">
      <c r="A1465" s="508" t="s">
        <v>4602</v>
      </c>
      <c r="B1465" s="487"/>
      <c r="C1465" s="707"/>
      <c r="D1465" s="487"/>
      <c r="E1465" s="487"/>
      <c r="F1465" s="488"/>
      <c r="G1465" s="489"/>
      <c r="H1465" s="487"/>
      <c r="I1465" s="490"/>
      <c r="J1465" s="490"/>
      <c r="K1465" s="491"/>
      <c r="L1465" s="547"/>
      <c r="M1465" s="528"/>
      <c r="N1465" s="492"/>
      <c r="O1465" s="493"/>
      <c r="P1465" s="494"/>
      <c r="Q1465" s="492"/>
      <c r="R1465" s="492"/>
      <c r="S1465" s="699" t="s">
        <v>5276</v>
      </c>
      <c r="T1465" s="102">
        <f t="shared" si="1055"/>
        <v>0</v>
      </c>
      <c r="U1465" s="78" t="str">
        <f>IF(NOT(ISNUMBER(G1465)), "", VLOOKUP(A1465,'Discount Lookup'!D:E,2,FALSE)*G1465)</f>
        <v/>
      </c>
      <c r="V1465" s="78" t="str">
        <f>IF(NOT(ISNUMBER(G1465)), "", VLOOKUP(A1465,'Discount Lookup'!G:H,2,FALSE)*G1465)</f>
        <v/>
      </c>
      <c r="W1465" s="102">
        <f t="shared" si="1056"/>
        <v>0</v>
      </c>
      <c r="X1465" s="102">
        <f t="shared" si="1057"/>
        <v>0</v>
      </c>
      <c r="Y1465" s="120" t="b">
        <f t="shared" si="1058"/>
        <v>0</v>
      </c>
      <c r="Z1465" s="117">
        <f t="shared" si="1059"/>
        <v>0</v>
      </c>
      <c r="AA1465" s="118"/>
      <c r="AB1465" s="118" t="str">
        <f t="shared" si="1060"/>
        <v/>
      </c>
      <c r="AC1465" s="712" t="str">
        <f>IF(AE1465="T2G","no charge",IF(AND(OR(PlanterYesMe="No",PlanterYesMe="N",PlanterYesMe="me"),H1465=""),"",IF(H1465="credit","NO install",IF(AND(K1465="",AE1465="me"),"EACH row",IF(AND(K1465="images",AE1465="me"),"EACH row",IF(D1465="","",IF(H1465="credit","",IF(AE1465="free","re-planting",IF(AE1465="me","   not ELP, by",IF(AND(OR(PlanterYesMe="Yes",PlanterYesMe="Y"),G1465&gt;0),(VLOOKUP(A1465,'Discount Lookup'!J:K,2)*G1465*(1-PlanterDiscount)*(1+PlanterDifficultyPercentage)),IF(AE1465="ELP",(VLOOKUP(A1465,'Discount Lookup'!J:K,2)*G1465*(1-PlanterDiscount)*(1+PlanterDifficultyPercentage)),IF(AE1465="free","re-planting",IF(G1465=0,"",IF(PlanterYesMe="",IF(AE1465="me","   not ELP, by",IF(AE1465="",IF(G1465&gt;0,(VLOOKUP(A1465,'Discount Lookup'!J:K,2)*G1465*(1-PlanterDiscount)*(1+PlanterDifficultyPercentage)),""),"")),"   not ELP, by"))))))))))))))</f>
        <v/>
      </c>
      <c r="AD1465" s="712"/>
      <c r="AE1465" s="513" t="str">
        <f t="shared" si="1061"/>
        <v/>
      </c>
      <c r="AF1465" s="713" t="str">
        <f t="shared" si="1062"/>
        <v/>
      </c>
      <c r="AG1465" s="713"/>
      <c r="AH1465" s="713"/>
      <c r="AI1465" s="112">
        <f>IF(H1465="credit",0,IF(AE1465="free",0,IF(AE1465="me",0,IF(G1465&gt;0,(VLOOKUP(A1465,'Discount Lookup'!J:K,2)*G1465),0))))</f>
        <v>0</v>
      </c>
      <c r="AJ1465" s="107" t="str">
        <f t="shared" ca="1" si="1063"/>
        <v/>
      </c>
      <c r="AK1465" s="714" t="str">
        <f t="shared" si="1064"/>
        <v/>
      </c>
      <c r="AL1465" s="714"/>
      <c r="AM1465" s="114" t="str">
        <f t="shared" si="1065"/>
        <v/>
      </c>
      <c r="AN1465" s="115"/>
      <c r="AO1465" s="116"/>
      <c r="AP1465" s="116"/>
      <c r="AQ1465" s="116"/>
      <c r="AR1465" s="116"/>
      <c r="AS1465" s="116"/>
      <c r="AT1465" s="116"/>
      <c r="AU1465" s="116"/>
      <c r="AV1465" s="78"/>
      <c r="AW1465" s="102"/>
      <c r="AX1465" s="78"/>
      <c r="AY1465" s="78"/>
      <c r="AZ1465" s="78"/>
      <c r="BA1465" s="78"/>
      <c r="BB1465" s="78"/>
      <c r="BC1465" s="78"/>
      <c r="BD1465" s="78"/>
      <c r="BE1465" s="465"/>
      <c r="BF1465" s="165" t="str">
        <f t="shared" si="1066"/>
        <v>https://www.google.com/search?tbm=isch&amp;q=Mountain%20Frost%20Pink%20blooms%20in%20spring%2C%20then%20continually%20until%20fall.%20Fragrant%20</v>
      </c>
      <c r="BG1465" s="165" t="str">
        <f t="shared" si="1067"/>
        <v>M</v>
      </c>
      <c r="BH1465" s="65"/>
      <c r="BI1465" s="65"/>
      <c r="BJ1465" s="65"/>
      <c r="BK1465" s="65"/>
      <c r="BL1465" s="99"/>
      <c r="BM1465" s="99"/>
      <c r="BN1465" s="99"/>
    </row>
    <row r="1466" spans="1:66" s="51" customFormat="1" ht="18" x14ac:dyDescent="0.25">
      <c r="A1466" s="507" t="s">
        <v>2408</v>
      </c>
      <c r="B1466" s="470"/>
      <c r="C1466" s="706"/>
      <c r="D1466" s="471" t="s">
        <v>5871</v>
      </c>
      <c r="E1466" s="472"/>
      <c r="F1466" s="472"/>
      <c r="G1466" s="472"/>
      <c r="H1466" s="622" t="s">
        <v>2409</v>
      </c>
      <c r="I1466" s="473" t="s">
        <v>2410</v>
      </c>
      <c r="J1466" s="472"/>
      <c r="K1466" s="472"/>
      <c r="L1466" s="561"/>
      <c r="M1466" s="698" t="s">
        <v>5240</v>
      </c>
      <c r="N1466" s="692" t="str">
        <f>IF(AND(ISTEXT($A1466), ISERROR($A1466+0)), HYPERLINK($BF1466, "Images"), "")</f>
        <v>Images</v>
      </c>
      <c r="O1466" s="694" t="s">
        <v>5247</v>
      </c>
      <c r="P1466" s="475"/>
      <c r="Q1466" s="476"/>
      <c r="R1466" s="476"/>
      <c r="S1466" s="477"/>
      <c r="T1466" s="102">
        <f t="shared" si="1055"/>
        <v>0</v>
      </c>
      <c r="U1466" s="78" t="str">
        <f>IF(NOT(ISNUMBER(G1466)), "", VLOOKUP(A1466,'Discount Lookup'!D:E,2,FALSE)*G1466)</f>
        <v/>
      </c>
      <c r="V1466" s="78" t="str">
        <f>IF(NOT(ISNUMBER(G1466)), "", VLOOKUP(A1466,'Discount Lookup'!G:H,2,FALSE)*G1466)</f>
        <v/>
      </c>
      <c r="W1466" s="102">
        <f t="shared" si="1056"/>
        <v>0</v>
      </c>
      <c r="X1466" s="102" t="str">
        <f t="shared" si="1057"/>
        <v>Deep Red bloom</v>
      </c>
      <c r="Y1466" s="120" t="b">
        <f t="shared" si="1058"/>
        <v>0</v>
      </c>
      <c r="Z1466" s="117">
        <f t="shared" si="1059"/>
        <v>0</v>
      </c>
      <c r="AA1466" s="118"/>
      <c r="AB1466" s="118" t="str">
        <f t="shared" si="1060"/>
        <v/>
      </c>
      <c r="AC1466" s="712" t="str">
        <f>IF(AE1466="T2G","no charge",IF(AND(OR(PlanterYesMe="No",PlanterYesMe="N",PlanterYesMe="me"),H1466=""),"",IF(H1466="credit","NO install",IF(AND(K1466="",AE1466="me"),"EACH row",IF(AND(K1466="images",AE1466="me"),"EACH row",IF(D1466="","",IF(H1466="credit","",IF(AE1466="free","re-planting",IF(AE1466="me","   not ELP, by",IF(AND(OR(PlanterYesMe="Yes",PlanterYesMe="Y"),G1466&gt;0),(VLOOKUP(A1466,'Discount Lookup'!J:K,2)*G1466*(1-PlanterDiscount)*(1+PlanterDifficultyPercentage)),IF(AE1466="ELP",(VLOOKUP(A1466,'Discount Lookup'!J:K,2)*G1466*(1-PlanterDiscount)*(1+PlanterDifficultyPercentage)),IF(AE1466="free","re-planting",IF(G1466=0,"",IF(PlanterYesMe="",IF(AE1466="me","   not ELP, by",IF(AE1466="",IF(G1466&gt;0,(VLOOKUP(A1466,'Discount Lookup'!J:K,2)*G1466*(1-PlanterDiscount)*(1+PlanterDifficultyPercentage)),""),"")),"   not ELP, by"))))))))))))))</f>
        <v/>
      </c>
      <c r="AD1466" s="712"/>
      <c r="AE1466" s="513" t="str">
        <f t="shared" si="1061"/>
        <v/>
      </c>
      <c r="AF1466" s="713" t="str">
        <f t="shared" si="1062"/>
        <v/>
      </c>
      <c r="AG1466" s="713"/>
      <c r="AH1466" s="713"/>
      <c r="AI1466" s="112">
        <f>IF(H1466="credit",0,IF(AE1466="free",0,IF(AE1466="me",0,IF(G1466&gt;0,(VLOOKUP(A1466,'Discount Lookup'!J:K,2)*G1466),0))))</f>
        <v>0</v>
      </c>
      <c r="AJ1466" s="107" t="str">
        <f t="shared" ca="1" si="1063"/>
        <v/>
      </c>
      <c r="AK1466" s="714" t="str">
        <f t="shared" si="1064"/>
        <v/>
      </c>
      <c r="AL1466" s="714"/>
      <c r="AM1466" s="114" t="str">
        <f t="shared" si="1065"/>
        <v/>
      </c>
      <c r="AN1466" s="115"/>
      <c r="AO1466" s="116"/>
      <c r="AP1466" s="116"/>
      <c r="AQ1466" s="116"/>
      <c r="AR1466" s="116"/>
      <c r="AS1466" s="116"/>
      <c r="AT1466" s="116"/>
      <c r="AU1466" s="116"/>
      <c r="AV1466" s="78"/>
      <c r="AW1466" s="102"/>
      <c r="AX1466" s="78"/>
      <c r="AY1466" s="78"/>
      <c r="AZ1466" s="78"/>
      <c r="BA1466" s="78"/>
      <c r="BB1466" s="78"/>
      <c r="BC1466" s="78"/>
      <c r="BD1466" s="78"/>
      <c r="BE1466" s="465"/>
      <c r="BF1466" s="165" t="str">
        <f t="shared" si="1066"/>
        <v>https://www.google.com/search?tbm=isch&amp;q=Dianthus%20%27KonD1335K%27%20PP%2332362%20Mountain%20Frost%E2%84%A2%20Red%20Garnet%20Dianthus%20%28PW%C2%AE%29</v>
      </c>
      <c r="BG1466" s="165" t="str">
        <f t="shared" si="1067"/>
        <v>D</v>
      </c>
      <c r="BH1466" s="65"/>
      <c r="BI1466" s="65"/>
      <c r="BJ1466" s="65"/>
      <c r="BK1466" s="65"/>
      <c r="BL1466" s="99"/>
      <c r="BM1466" s="99"/>
      <c r="BN1466" s="99"/>
    </row>
    <row r="1467" spans="1:66" s="51" customFormat="1" ht="15.75" x14ac:dyDescent="0.25">
      <c r="A1467" s="478">
        <v>1</v>
      </c>
      <c r="B1467" s="479" t="s">
        <v>291</v>
      </c>
      <c r="C1467" s="480"/>
      <c r="D1467" s="481" t="s">
        <v>329</v>
      </c>
      <c r="E1467" s="482">
        <v>11.95</v>
      </c>
      <c r="F1467" s="483" t="s">
        <v>292</v>
      </c>
      <c r="G1467" s="484">
        <v>0</v>
      </c>
      <c r="H1467" s="688" t="str">
        <f>IF(G1467=0,"",IF(F1467="Buy",IF(G1467=1,"plant","plants"),IF(F1467&gt;0.01,"warranty","Error")))</f>
        <v/>
      </c>
      <c r="I1467" s="485">
        <f>IF(H1467="free",0,IF(H1467="credit",((E1467*(F1467))*G1467*-1),IF(F1467="Buy",(E1467*G1467),((E1467*(1-F1467))*G1467))))</f>
        <v>0</v>
      </c>
      <c r="J1467" s="485">
        <f>IF(H1467="warranty",0,(I1467*(_xlfn.SINGLE(SalesTaxPercentage))))</f>
        <v>0</v>
      </c>
      <c r="K1467" s="715">
        <f t="shared" ref="K1467" si="1079">I1467+J1467</f>
        <v>0</v>
      </c>
      <c r="L1467" s="715"/>
      <c r="M1467" s="689" t="str">
        <f ca="1">IF(AND(G1467&gt;0,E1467=0),"WARNING - no PRICE inserted",IF(H1467="free","FREE ~ no charge this plant",IF(H1467="credit",CONCATENATE("-$",ROUND(K1467*(1-_xlfn.SINGLE(T2GDiscount))*-1,2)," CREDIT after discount"),IF(_xlfn.SINGLE(T2GDiscount)=0,"",IF(G1467=0,"",IF(F1467="Buy",CONCATENATE("$",ROUND(K1467*(1-_xlfn.SINGLE(T2GDiscount)),2)," with ",(_xlfn.SINGLE(T2GDiscount)*100),"% discount"),CONCATENATE("$",ROUND(K1467*(1-_xlfn.SINGLE(T2GDiscount)),2)," with ",((_xlfn.SINGLE(T2GDiscount)*100+F1467*100)-(_xlfn.SINGLE(T2GDiscount)*100*F1467)),IF(F1467&gt;0,"% discounts",IF(_xlfn.SINGLE(NoWarrantyDiscount)&gt;0,"% discounts","% discount")))))))))</f>
        <v/>
      </c>
      <c r="N1467" s="690"/>
      <c r="O1467" s="486"/>
      <c r="P1467" s="486"/>
      <c r="Q1467" s="486"/>
      <c r="R1467" s="486"/>
      <c r="S1467" s="486"/>
      <c r="T1467" s="102">
        <f t="shared" si="1055"/>
        <v>0</v>
      </c>
      <c r="U1467" s="78">
        <f>IF(NOT(ISNUMBER(G1467)), "", VLOOKUP(A1467,'Discount Lookup'!D:E,2,FALSE)*G1467)</f>
        <v>0</v>
      </c>
      <c r="V1467" s="78">
        <f>IF(NOT(ISNUMBER(G1467)), "", VLOOKUP(A1467,'Discount Lookup'!G:H,2,FALSE)*G1467)</f>
        <v>0</v>
      </c>
      <c r="W1467" s="102">
        <f t="shared" si="1056"/>
        <v>0</v>
      </c>
      <c r="X1467" s="102">
        <f t="shared" si="1057"/>
        <v>0</v>
      </c>
      <c r="Y1467" s="120" t="b">
        <f t="shared" si="1058"/>
        <v>0</v>
      </c>
      <c r="Z1467" s="117">
        <f t="shared" si="1059"/>
        <v>0</v>
      </c>
      <c r="AA1467" s="118"/>
      <c r="AB1467" s="118" t="str">
        <f t="shared" si="1060"/>
        <v/>
      </c>
      <c r="AC1467" s="712" t="str">
        <f>IF(AE1467="T2G","no charge",IF(AND(OR(PlanterYesMe="No",PlanterYesMe="N",PlanterYesMe="me"),H1467=""),"",IF(H1467="credit","NO install",IF(AND(K1467="",AE1467="me"),"EACH row",IF(AND(K1467="images",AE1467="me"),"EACH row",IF(D1467="","",IF(H1467="credit","",IF(AE1467="free","re-planting",IF(AE1467="me","   not ELP, by",IF(AND(OR(PlanterYesMe="Yes",PlanterYesMe="Y"),G1467&gt;0),(VLOOKUP(A1467,'Discount Lookup'!J:K,2)*G1467*(1-PlanterDiscount)*(1+PlanterDifficultyPercentage)),IF(AE1467="ELP",(VLOOKUP(A1467,'Discount Lookup'!J:K,2)*G1467*(1-PlanterDiscount)*(1+PlanterDifficultyPercentage)),IF(AE1467="free","re-planting",IF(G1467=0,"",IF(PlanterYesMe="",IF(AE1467="me","   not ELP, by",IF(AE1467="",IF(G1467&gt;0,(VLOOKUP(A1467,'Discount Lookup'!J:K,2)*G1467*(1-PlanterDiscount)*(1+PlanterDifficultyPercentage)),""),"")),"   not ELP, by"))))))))))))))</f>
        <v/>
      </c>
      <c r="AD1467" s="712"/>
      <c r="AE1467" s="513" t="str">
        <f t="shared" si="1061"/>
        <v/>
      </c>
      <c r="AF1467" s="713" t="str">
        <f t="shared" si="1062"/>
        <v/>
      </c>
      <c r="AG1467" s="713"/>
      <c r="AH1467" s="713"/>
      <c r="AI1467" s="112">
        <f>IF(H1467="credit",0,IF(AE1467="free",0,IF(AE1467="me",0,IF(G1467&gt;0,(VLOOKUP(A1467,'Discount Lookup'!J:K,2)*G1467),0))))</f>
        <v>0</v>
      </c>
      <c r="AJ1467" s="107" t="str">
        <f t="shared" ca="1" si="1063"/>
        <v/>
      </c>
      <c r="AK1467" s="714" t="str">
        <f t="shared" si="1064"/>
        <v/>
      </c>
      <c r="AL1467" s="714"/>
      <c r="AM1467" s="114" t="str">
        <f t="shared" si="1065"/>
        <v/>
      </c>
      <c r="AN1467" s="115"/>
      <c r="AO1467" s="116"/>
      <c r="AP1467" s="116"/>
      <c r="AQ1467" s="116"/>
      <c r="AR1467" s="116"/>
      <c r="AS1467" s="116"/>
      <c r="AT1467" s="116"/>
      <c r="AU1467" s="116"/>
      <c r="AV1467" s="78"/>
      <c r="AW1467" s="102"/>
      <c r="AX1467" s="78"/>
      <c r="AY1467" s="78"/>
      <c r="AZ1467" s="78"/>
      <c r="BA1467" s="78"/>
      <c r="BB1467" s="78"/>
      <c r="BC1467" s="78"/>
      <c r="BD1467" s="78"/>
      <c r="BE1467" s="465"/>
      <c r="BF1467" s="165" t="str">
        <f t="shared" si="1066"/>
        <v>https://www.google.com/search?tbm=isch&amp;q=1%20G2</v>
      </c>
      <c r="BG1467" s="165" t="str">
        <f t="shared" si="1067"/>
        <v>D</v>
      </c>
      <c r="BH1467" s="65"/>
      <c r="BI1467" s="65"/>
      <c r="BJ1467" s="65"/>
      <c r="BK1467" s="65"/>
      <c r="BL1467" s="99"/>
      <c r="BM1467" s="99"/>
      <c r="BN1467" s="99"/>
    </row>
    <row r="1468" spans="1:66" s="51" customFormat="1" ht="17.25" thickBot="1" x14ac:dyDescent="0.3">
      <c r="A1468" s="508" t="s">
        <v>4720</v>
      </c>
      <c r="B1468" s="487"/>
      <c r="C1468" s="707"/>
      <c r="D1468" s="487"/>
      <c r="E1468" s="487"/>
      <c r="F1468" s="488"/>
      <c r="G1468" s="489"/>
      <c r="H1468" s="487"/>
      <c r="I1468" s="490"/>
      <c r="J1468" s="490"/>
      <c r="K1468" s="491"/>
      <c r="L1468" s="547"/>
      <c r="M1468" s="528"/>
      <c r="N1468" s="492"/>
      <c r="O1468" s="493"/>
      <c r="P1468" s="494"/>
      <c r="Q1468" s="492"/>
      <c r="R1468" s="492"/>
      <c r="S1468" s="699" t="s">
        <v>5276</v>
      </c>
      <c r="T1468" s="102">
        <f t="shared" si="1055"/>
        <v>0</v>
      </c>
      <c r="U1468" s="78" t="str">
        <f>IF(NOT(ISNUMBER(G1468)), "", VLOOKUP(A1468,'Discount Lookup'!D:E,2,FALSE)*G1468)</f>
        <v/>
      </c>
      <c r="V1468" s="78" t="str">
        <f>IF(NOT(ISNUMBER(G1468)), "", VLOOKUP(A1468,'Discount Lookup'!G:H,2,FALSE)*G1468)</f>
        <v/>
      </c>
      <c r="W1468" s="102">
        <f t="shared" si="1056"/>
        <v>0</v>
      </c>
      <c r="X1468" s="102">
        <f t="shared" si="1057"/>
        <v>0</v>
      </c>
      <c r="Y1468" s="120" t="b">
        <f t="shared" si="1058"/>
        <v>0</v>
      </c>
      <c r="Z1468" s="117">
        <f t="shared" si="1059"/>
        <v>0</v>
      </c>
      <c r="AA1468" s="118"/>
      <c r="AB1468" s="118" t="str">
        <f t="shared" si="1060"/>
        <v/>
      </c>
      <c r="AC1468" s="712" t="str">
        <f>IF(AE1468="T2G","no charge",IF(AND(OR(PlanterYesMe="No",PlanterYesMe="N",PlanterYesMe="me"),H1468=""),"",IF(H1468="credit","NO install",IF(AND(K1468="",AE1468="me"),"EACH row",IF(AND(K1468="images",AE1468="me"),"EACH row",IF(D1468="","",IF(H1468="credit","",IF(AE1468="free","re-planting",IF(AE1468="me","   not ELP, by",IF(AND(OR(PlanterYesMe="Yes",PlanterYesMe="Y"),G1468&gt;0),(VLOOKUP(A1468,'Discount Lookup'!J:K,2)*G1468*(1-PlanterDiscount)*(1+PlanterDifficultyPercentage)),IF(AE1468="ELP",(VLOOKUP(A1468,'Discount Lookup'!J:K,2)*G1468*(1-PlanterDiscount)*(1+PlanterDifficultyPercentage)),IF(AE1468="free","re-planting",IF(G1468=0,"",IF(PlanterYesMe="",IF(AE1468="me","   not ELP, by",IF(AE1468="",IF(G1468&gt;0,(VLOOKUP(A1468,'Discount Lookup'!J:K,2)*G1468*(1-PlanterDiscount)*(1+PlanterDifficultyPercentage)),""),"")),"   not ELP, by"))))))))))))))</f>
        <v/>
      </c>
      <c r="AD1468" s="712"/>
      <c r="AE1468" s="513" t="str">
        <f t="shared" si="1061"/>
        <v/>
      </c>
      <c r="AF1468" s="713" t="str">
        <f t="shared" si="1062"/>
        <v/>
      </c>
      <c r="AG1468" s="713"/>
      <c r="AH1468" s="713"/>
      <c r="AI1468" s="112">
        <f>IF(H1468="credit",0,IF(AE1468="free",0,IF(AE1468="me",0,IF(G1468&gt;0,(VLOOKUP(A1468,'Discount Lookup'!J:K,2)*G1468),0))))</f>
        <v>0</v>
      </c>
      <c r="AJ1468" s="107" t="str">
        <f t="shared" ca="1" si="1063"/>
        <v/>
      </c>
      <c r="AK1468" s="714" t="str">
        <f t="shared" si="1064"/>
        <v/>
      </c>
      <c r="AL1468" s="714"/>
      <c r="AM1468" s="114" t="str">
        <f t="shared" si="1065"/>
        <v/>
      </c>
      <c r="AN1468" s="115"/>
      <c r="AO1468" s="116"/>
      <c r="AP1468" s="116"/>
      <c r="AQ1468" s="116"/>
      <c r="AR1468" s="116"/>
      <c r="AS1468" s="116"/>
      <c r="AT1468" s="116"/>
      <c r="AU1468" s="116"/>
      <c r="AV1468" s="78"/>
      <c r="AW1468" s="102"/>
      <c r="AX1468" s="78"/>
      <c r="AY1468" s="78"/>
      <c r="AZ1468" s="78"/>
      <c r="BA1468" s="78"/>
      <c r="BB1468" s="78"/>
      <c r="BC1468" s="78"/>
      <c r="BD1468" s="78"/>
      <c r="BE1468" s="465"/>
      <c r="BF1468" s="165" t="str">
        <f t="shared" si="1066"/>
        <v>https://www.google.com/search?tbm=isch&amp;q=Mountain%20Frost%20Red%20Garnet%20blankets%20compact%20Silver%20mounds%20with%20spicy-fragrant%2C%20heat-holdfast%20blooms%20from%20spring%20into%20fall%20</v>
      </c>
      <c r="BG1468" s="165" t="str">
        <f t="shared" si="1067"/>
        <v>M</v>
      </c>
      <c r="BH1468" s="65"/>
      <c r="BI1468" s="65"/>
      <c r="BJ1468" s="65"/>
      <c r="BK1468" s="65"/>
      <c r="BL1468" s="99"/>
      <c r="BM1468" s="99"/>
      <c r="BN1468" s="99"/>
    </row>
    <row r="1469" spans="1:66" s="51" customFormat="1" ht="18" x14ac:dyDescent="0.25">
      <c r="A1469" s="623" t="s">
        <v>2411</v>
      </c>
      <c r="B1469" s="624"/>
      <c r="C1469" s="709"/>
      <c r="D1469" s="625" t="s">
        <v>2412</v>
      </c>
      <c r="E1469" s="626"/>
      <c r="F1469" s="626"/>
      <c r="G1469" s="626"/>
      <c r="H1469" s="622" t="s">
        <v>2413</v>
      </c>
      <c r="I1469" s="627" t="s">
        <v>2414</v>
      </c>
      <c r="J1469" s="628"/>
      <c r="K1469" s="628"/>
      <c r="L1469" s="629"/>
      <c r="M1469" s="700" t="s">
        <v>5249</v>
      </c>
      <c r="N1469" s="693" t="str">
        <f>IF(AND(ISTEXT($A1469), ISERROR($A1469+0)), HYPERLINK($BF1469, "Images"), "")</f>
        <v>Images</v>
      </c>
      <c r="O1469" s="695" t="s">
        <v>5247</v>
      </c>
      <c r="P1469" s="630"/>
      <c r="Q1469" s="631"/>
      <c r="R1469" s="632"/>
      <c r="S1469" s="633" t="s">
        <v>294</v>
      </c>
      <c r="T1469" s="102">
        <f t="shared" si="1055"/>
        <v>0</v>
      </c>
      <c r="U1469" s="78" t="str">
        <f>IF(NOT(ISNUMBER(G1469)), "", VLOOKUP(A1469,'Discount Lookup'!D:E,2,FALSE)*G1469)</f>
        <v/>
      </c>
      <c r="V1469" s="78" t="str">
        <f>IF(NOT(ISNUMBER(G1469)), "", VLOOKUP(A1469,'Discount Lookup'!G:H,2,FALSE)*G1469)</f>
        <v/>
      </c>
      <c r="W1469" s="102">
        <f t="shared" si="1056"/>
        <v>0</v>
      </c>
      <c r="X1469" s="102" t="str">
        <f t="shared" si="1057"/>
        <v>White to Yellow bloom</v>
      </c>
      <c r="Y1469" s="120" t="b">
        <f t="shared" si="1058"/>
        <v>0</v>
      </c>
      <c r="Z1469" s="117">
        <f t="shared" si="1059"/>
        <v>0</v>
      </c>
      <c r="AA1469" s="118"/>
      <c r="AB1469" s="118" t="str">
        <f t="shared" si="1060"/>
        <v/>
      </c>
      <c r="AC1469" s="712" t="str">
        <f>IF(AE1469="T2G","no charge",IF(AND(OR(PlanterYesMe="No",PlanterYesMe="N",PlanterYesMe="me"),H1469=""),"",IF(H1469="credit","NO install",IF(AND(K1469="",AE1469="me"),"EACH row",IF(AND(K1469="images",AE1469="me"),"EACH row",IF(D1469="","",IF(H1469="credit","",IF(AE1469="free","re-planting",IF(AE1469="me","   not ELP, by",IF(AND(OR(PlanterYesMe="Yes",PlanterYesMe="Y"),G1469&gt;0),(VLOOKUP(A1469,'Discount Lookup'!J:K,2)*G1469*(1-PlanterDiscount)*(1+PlanterDifficultyPercentage)),IF(AE1469="ELP",(VLOOKUP(A1469,'Discount Lookup'!J:K,2)*G1469*(1-PlanterDiscount)*(1+PlanterDifficultyPercentage)),IF(AE1469="free","re-planting",IF(G1469=0,"",IF(PlanterYesMe="",IF(AE1469="me","   not ELP, by",IF(AE1469="",IF(G1469&gt;0,(VLOOKUP(A1469,'Discount Lookup'!J:K,2)*G1469*(1-PlanterDiscount)*(1+PlanterDifficultyPercentage)),""),"")),"   not ELP, by"))))))))))))))</f>
        <v/>
      </c>
      <c r="AD1469" s="712"/>
      <c r="AE1469" s="513" t="str">
        <f t="shared" si="1061"/>
        <v/>
      </c>
      <c r="AF1469" s="713" t="str">
        <f t="shared" si="1062"/>
        <v/>
      </c>
      <c r="AG1469" s="713"/>
      <c r="AH1469" s="713"/>
      <c r="AI1469" s="112">
        <f>IF(H1469="credit",0,IF(AE1469="free",0,IF(AE1469="me",0,IF(G1469&gt;0,(VLOOKUP(A1469,'Discount Lookup'!J:K,2)*G1469),0))))</f>
        <v>0</v>
      </c>
      <c r="AJ1469" s="107" t="str">
        <f t="shared" ca="1" si="1063"/>
        <v/>
      </c>
      <c r="AK1469" s="714" t="str">
        <f t="shared" si="1064"/>
        <v/>
      </c>
      <c r="AL1469" s="714"/>
      <c r="AM1469" s="114" t="str">
        <f t="shared" si="1065"/>
        <v/>
      </c>
      <c r="AN1469" s="115"/>
      <c r="AO1469" s="116"/>
      <c r="AP1469" s="116"/>
      <c r="AQ1469" s="116"/>
      <c r="AR1469" s="116"/>
      <c r="AS1469" s="116"/>
      <c r="AT1469" s="116"/>
      <c r="AU1469" s="116"/>
      <c r="AV1469" s="78"/>
      <c r="AW1469" s="102"/>
      <c r="AX1469" s="78"/>
      <c r="AY1469" s="78"/>
      <c r="AZ1469" s="78"/>
      <c r="BA1469" s="78"/>
      <c r="BB1469" s="78"/>
      <c r="BC1469" s="78"/>
      <c r="BD1469" s="78"/>
      <c r="BE1469" s="465"/>
      <c r="BF1469" s="165" t="str">
        <f t="shared" si="1066"/>
        <v>https://www.google.com/search?tbm=isch&amp;q=Diaspyros%20virginiana%20L.%20Common%20Persimmon</v>
      </c>
      <c r="BG1469" s="165" t="str">
        <f t="shared" si="1067"/>
        <v>D</v>
      </c>
      <c r="BH1469" s="65"/>
      <c r="BI1469" s="65"/>
      <c r="BJ1469" s="65"/>
      <c r="BK1469" s="65"/>
      <c r="BL1469" s="99"/>
      <c r="BM1469" s="99"/>
      <c r="BN1469" s="99"/>
    </row>
    <row r="1470" spans="1:66" s="51" customFormat="1" ht="15.75" x14ac:dyDescent="0.25">
      <c r="A1470" s="634">
        <v>7</v>
      </c>
      <c r="B1470" s="635" t="s">
        <v>291</v>
      </c>
      <c r="C1470" s="636" t="s">
        <v>2415</v>
      </c>
      <c r="D1470" s="637" t="s">
        <v>299</v>
      </c>
      <c r="E1470" s="638">
        <v>104.95</v>
      </c>
      <c r="F1470" s="639" t="s">
        <v>292</v>
      </c>
      <c r="G1470" s="484">
        <v>0</v>
      </c>
      <c r="H1470" s="691" t="str">
        <f>IF(G1470=0,"",IF(F1470="Buy",IF(G1470=1,"plant","plants"),IF(F1470&gt;0.01,"warranty","Error")))</f>
        <v/>
      </c>
      <c r="I1470" s="640">
        <f>IF(H1470="free",0,IF(H1470="credit",((E1470*(F1470))*G1470*-1),IF(F1470="Buy",(E1470*G1470),((E1470*(1-F1470))*G1470))))</f>
        <v>0</v>
      </c>
      <c r="J1470" s="640">
        <f>IF(H1470="warranty",0,(I1470*(_xlfn.SINGLE(SalesTaxPercentage))))</f>
        <v>0</v>
      </c>
      <c r="K1470" s="716">
        <f t="shared" ref="K1470" si="1080">I1470+J1470</f>
        <v>0</v>
      </c>
      <c r="L1470" s="716"/>
      <c r="M1470" s="689" t="str">
        <f ca="1">IF(AND(G1470&gt;0,E1470=0),"WARNING - no PRICE inserted",IF(H1470="free","FREE ~ no charge this plant",IF(H1470="credit",CONCATENATE("-$",ROUND(K1470*(1-_xlfn.SINGLE(T2GDiscount))*-1,2)," CREDIT after discount"),IF(_xlfn.SINGLE(T2GDiscount)=0,"",IF(G1470=0,"",IF(F1470="Buy",CONCATENATE("$",ROUND(K1470*(1-_xlfn.SINGLE(T2GDiscount)),2)," with ",(_xlfn.SINGLE(T2GDiscount)*100),"% discount"),CONCATENATE("$",ROUND(K1470*(1-_xlfn.SINGLE(T2GDiscount)),2)," with ",((_xlfn.SINGLE(T2GDiscount)*100+F1470*100)-(_xlfn.SINGLE(T2GDiscount)*100*F1470)),IF(F1470&gt;0,"% discounts",IF(_xlfn.SINGLE(NoWarrantyDiscount)&gt;0,"% discounts","% discount")))))))))</f>
        <v/>
      </c>
      <c r="N1470" s="690"/>
      <c r="O1470" s="486"/>
      <c r="P1470" s="486"/>
      <c r="Q1470" s="486"/>
      <c r="R1470" s="486"/>
      <c r="S1470" s="486"/>
      <c r="T1470" s="102">
        <f t="shared" si="1055"/>
        <v>0</v>
      </c>
      <c r="U1470" s="78">
        <f>IF(NOT(ISNUMBER(G1470)), "", VLOOKUP(A1470,'Discount Lookup'!D:E,2,FALSE)*G1470)</f>
        <v>0</v>
      </c>
      <c r="V1470" s="78">
        <f>IF(NOT(ISNUMBER(G1470)), "", VLOOKUP(A1470,'Discount Lookup'!G:H,2,FALSE)*G1470)</f>
        <v>0</v>
      </c>
      <c r="W1470" s="102">
        <f t="shared" si="1056"/>
        <v>0</v>
      </c>
      <c r="X1470" s="102">
        <f t="shared" si="1057"/>
        <v>0</v>
      </c>
      <c r="Y1470" s="120" t="b">
        <f t="shared" si="1058"/>
        <v>0</v>
      </c>
      <c r="Z1470" s="117">
        <f t="shared" si="1059"/>
        <v>0</v>
      </c>
      <c r="AA1470" s="118"/>
      <c r="AB1470" s="118" t="str">
        <f t="shared" si="1060"/>
        <v/>
      </c>
      <c r="AC1470" s="712" t="str">
        <f>IF(AE1470="T2G","no charge",IF(AND(OR(PlanterYesMe="No",PlanterYesMe="N",PlanterYesMe="me"),H1470=""),"",IF(H1470="credit","NO install",IF(AND(K1470="",AE1470="me"),"EACH row",IF(AND(K1470="images",AE1470="me"),"EACH row",IF(D1470="","",IF(H1470="credit","",IF(AE1470="free","re-planting",IF(AE1470="me","   not ELP, by",IF(AND(OR(PlanterYesMe="Yes",PlanterYesMe="Y"),G1470&gt;0),(VLOOKUP(A1470,'Discount Lookup'!J:K,2)*G1470*(1-PlanterDiscount)*(1+PlanterDifficultyPercentage)),IF(AE1470="ELP",(VLOOKUP(A1470,'Discount Lookup'!J:K,2)*G1470*(1-PlanterDiscount)*(1+PlanterDifficultyPercentage)),IF(AE1470="free","re-planting",IF(G1470=0,"",IF(PlanterYesMe="",IF(AE1470="me","   not ELP, by",IF(AE1470="",IF(G1470&gt;0,(VLOOKUP(A1470,'Discount Lookup'!J:K,2)*G1470*(1-PlanterDiscount)*(1+PlanterDifficultyPercentage)),""),"")),"   not ELP, by"))))))))))))))</f>
        <v/>
      </c>
      <c r="AD1470" s="712"/>
      <c r="AE1470" s="513" t="str">
        <f t="shared" si="1061"/>
        <v/>
      </c>
      <c r="AF1470" s="713" t="str">
        <f t="shared" si="1062"/>
        <v/>
      </c>
      <c r="AG1470" s="713"/>
      <c r="AH1470" s="713"/>
      <c r="AI1470" s="112">
        <f>IF(H1470="credit",0,IF(AE1470="free",0,IF(AE1470="me",0,IF(G1470&gt;0,(VLOOKUP(A1470,'Discount Lookup'!J:K,2)*G1470),0))))</f>
        <v>0</v>
      </c>
      <c r="AJ1470" s="107" t="str">
        <f t="shared" ca="1" si="1063"/>
        <v/>
      </c>
      <c r="AK1470" s="714" t="str">
        <f t="shared" si="1064"/>
        <v/>
      </c>
      <c r="AL1470" s="714"/>
      <c r="AM1470" s="114" t="str">
        <f t="shared" si="1065"/>
        <v/>
      </c>
      <c r="AN1470" s="115"/>
      <c r="AO1470" s="116"/>
      <c r="AP1470" s="116"/>
      <c r="AQ1470" s="116"/>
      <c r="AR1470" s="116"/>
      <c r="AS1470" s="116"/>
      <c r="AT1470" s="116"/>
      <c r="AU1470" s="116"/>
      <c r="AV1470" s="78"/>
      <c r="AW1470" s="102"/>
      <c r="AX1470" s="78"/>
      <c r="AY1470" s="78"/>
      <c r="AZ1470" s="78"/>
      <c r="BA1470" s="78"/>
      <c r="BB1470" s="78"/>
      <c r="BC1470" s="78"/>
      <c r="BD1470" s="78"/>
      <c r="BE1470" s="465"/>
      <c r="BF1470" s="165" t="str">
        <f t="shared" si="1066"/>
        <v>https://www.google.com/search?tbm=isch&amp;q=7%20G4</v>
      </c>
      <c r="BG1470" s="165" t="str">
        <f t="shared" si="1067"/>
        <v>D</v>
      </c>
      <c r="BH1470" s="65"/>
      <c r="BI1470" s="65"/>
      <c r="BJ1470" s="65"/>
      <c r="BK1470" s="65"/>
      <c r="BL1470" s="99"/>
      <c r="BM1470" s="99"/>
      <c r="BN1470" s="99"/>
    </row>
    <row r="1471" spans="1:66" s="51" customFormat="1" ht="16.5" x14ac:dyDescent="0.25">
      <c r="A1471" s="641" t="s">
        <v>2416</v>
      </c>
      <c r="B1471" s="642"/>
      <c r="C1471" s="710"/>
      <c r="D1471" s="643"/>
      <c r="E1471" s="643"/>
      <c r="F1471" s="644"/>
      <c r="G1471" s="645"/>
      <c r="H1471" s="646"/>
      <c r="I1471" s="647"/>
      <c r="J1471" s="648"/>
      <c r="K1471" s="649"/>
      <c r="L1471" s="650"/>
      <c r="M1471" s="650"/>
      <c r="N1471" s="644"/>
      <c r="O1471" s="644"/>
      <c r="P1471" s="644"/>
      <c r="Q1471" s="644"/>
      <c r="R1471" s="644"/>
      <c r="S1471" s="701" t="s">
        <v>5251</v>
      </c>
      <c r="T1471" s="102">
        <f t="shared" si="1055"/>
        <v>0</v>
      </c>
      <c r="U1471" s="78" t="str">
        <f>IF(NOT(ISNUMBER(G1471)), "", VLOOKUP(A1471,'Discount Lookup'!D:E,2,FALSE)*G1471)</f>
        <v/>
      </c>
      <c r="V1471" s="78" t="str">
        <f>IF(NOT(ISNUMBER(G1471)), "", VLOOKUP(A1471,'Discount Lookup'!G:H,2,FALSE)*G1471)</f>
        <v/>
      </c>
      <c r="W1471" s="102">
        <f t="shared" si="1056"/>
        <v>0</v>
      </c>
      <c r="X1471" s="102">
        <f t="shared" si="1057"/>
        <v>0</v>
      </c>
      <c r="Y1471" s="120" t="b">
        <f t="shared" si="1058"/>
        <v>0</v>
      </c>
      <c r="Z1471" s="117">
        <f t="shared" si="1059"/>
        <v>0</v>
      </c>
      <c r="AA1471" s="118"/>
      <c r="AB1471" s="118" t="str">
        <f t="shared" si="1060"/>
        <v/>
      </c>
      <c r="AC1471" s="712" t="str">
        <f>IF(AE1471="T2G","no charge",IF(AND(OR(PlanterYesMe="No",PlanterYesMe="N",PlanterYesMe="me"),H1471=""),"",IF(H1471="credit","NO install",IF(AND(K1471="",AE1471="me"),"EACH row",IF(AND(K1471="images",AE1471="me"),"EACH row",IF(D1471="","",IF(H1471="credit","",IF(AE1471="free","re-planting",IF(AE1471="me","   not ELP, by",IF(AND(OR(PlanterYesMe="Yes",PlanterYesMe="Y"),G1471&gt;0),(VLOOKUP(A1471,'Discount Lookup'!J:K,2)*G1471*(1-PlanterDiscount)*(1+PlanterDifficultyPercentage)),IF(AE1471="ELP",(VLOOKUP(A1471,'Discount Lookup'!J:K,2)*G1471*(1-PlanterDiscount)*(1+PlanterDifficultyPercentage)),IF(AE1471="free","re-planting",IF(G1471=0,"",IF(PlanterYesMe="",IF(AE1471="me","   not ELP, by",IF(AE1471="",IF(G1471&gt;0,(VLOOKUP(A1471,'Discount Lookup'!J:K,2)*G1471*(1-PlanterDiscount)*(1+PlanterDifficultyPercentage)),""),"")),"   not ELP, by"))))))))))))))</f>
        <v/>
      </c>
      <c r="AD1471" s="712"/>
      <c r="AE1471" s="513" t="str">
        <f t="shared" si="1061"/>
        <v/>
      </c>
      <c r="AF1471" s="713" t="str">
        <f t="shared" si="1062"/>
        <v/>
      </c>
      <c r="AG1471" s="713"/>
      <c r="AH1471" s="713"/>
      <c r="AI1471" s="112">
        <f>IF(H1471="credit",0,IF(AE1471="free",0,IF(AE1471="me",0,IF(G1471&gt;0,(VLOOKUP(A1471,'Discount Lookup'!J:K,2)*G1471),0))))</f>
        <v>0</v>
      </c>
      <c r="AJ1471" s="107" t="str">
        <f t="shared" ca="1" si="1063"/>
        <v/>
      </c>
      <c r="AK1471" s="714" t="str">
        <f t="shared" si="1064"/>
        <v/>
      </c>
      <c r="AL1471" s="714"/>
      <c r="AM1471" s="114" t="str">
        <f t="shared" si="1065"/>
        <v/>
      </c>
      <c r="AN1471" s="115"/>
      <c r="AO1471" s="116"/>
      <c r="AP1471" s="116"/>
      <c r="AQ1471" s="116"/>
      <c r="AR1471" s="116"/>
      <c r="AS1471" s="116"/>
      <c r="AT1471" s="116"/>
      <c r="AU1471" s="116"/>
      <c r="AV1471" s="78"/>
      <c r="AW1471" s="102"/>
      <c r="AX1471" s="78"/>
      <c r="AY1471" s="78"/>
      <c r="AZ1471" s="78"/>
      <c r="BA1471" s="78"/>
      <c r="BB1471" s="78"/>
      <c r="BC1471" s="78"/>
      <c r="BD1471" s="78"/>
      <c r="BE1471" s="465"/>
      <c r="BF1471" s="165" t="str">
        <f t="shared" si="1066"/>
        <v>https://www.google.com/search?tbm=isch&amp;q=Common%20Persimmon%20fruit%20is%20orange%20%26%20sweet.%20Fragrant%20blooms.%20Requires%20both%20male%20and%20female%20plants%20to%20set%20fruit%20</v>
      </c>
      <c r="BG1471" s="165" t="str">
        <f t="shared" si="1067"/>
        <v>C</v>
      </c>
      <c r="BH1471" s="65"/>
      <c r="BI1471" s="65"/>
      <c r="BJ1471" s="65"/>
      <c r="BK1471" s="65"/>
      <c r="BL1471" s="99"/>
      <c r="BM1471" s="99"/>
      <c r="BN1471" s="99"/>
    </row>
    <row r="1472" spans="1:66" s="51" customFormat="1" ht="19.5" thickBot="1" x14ac:dyDescent="0.3">
      <c r="A1472" s="686" t="s">
        <v>408</v>
      </c>
      <c r="B1472" s="73"/>
      <c r="C1472" s="708"/>
      <c r="D1472" s="73"/>
      <c r="E1472" s="73"/>
      <c r="F1472" s="496"/>
      <c r="G1472" s="73"/>
      <c r="H1472" s="73"/>
      <c r="I1472" s="73"/>
      <c r="J1472" s="497" t="s">
        <v>357</v>
      </c>
      <c r="K1472" s="498"/>
      <c r="L1472" s="562"/>
      <c r="M1472" s="73"/>
      <c r="N1472"/>
      <c r="O1472"/>
      <c r="P1472"/>
      <c r="Q1472"/>
      <c r="R1472"/>
      <c r="S1472"/>
      <c r="T1472" s="102">
        <f t="shared" si="1055"/>
        <v>0</v>
      </c>
      <c r="U1472" s="78" t="str">
        <f>IF(NOT(ISNUMBER(G1472)), "", VLOOKUP(A1472,'Discount Lookup'!D:E,2,FALSE)*G1472)</f>
        <v/>
      </c>
      <c r="V1472" s="78" t="str">
        <f>IF(NOT(ISNUMBER(G1472)), "", VLOOKUP(A1472,'Discount Lookup'!G:H,2,FALSE)*G1472)</f>
        <v/>
      </c>
      <c r="W1472" s="102">
        <f t="shared" si="1056"/>
        <v>0</v>
      </c>
      <c r="X1472" s="102">
        <f t="shared" si="1057"/>
        <v>0</v>
      </c>
      <c r="Y1472" s="120" t="b">
        <f t="shared" si="1058"/>
        <v>0</v>
      </c>
      <c r="Z1472" s="117">
        <f t="shared" si="1059"/>
        <v>0</v>
      </c>
      <c r="AA1472" s="118"/>
      <c r="AB1472" s="118" t="str">
        <f t="shared" si="1060"/>
        <v/>
      </c>
      <c r="AC1472" s="712" t="str">
        <f>IF(AE1472="T2G","no charge",IF(AND(OR(PlanterYesMe="No",PlanterYesMe="N",PlanterYesMe="me"),H1472=""),"",IF(H1472="credit","NO install",IF(AND(K1472="",AE1472="me"),"EACH row",IF(AND(K1472="images",AE1472="me"),"EACH row",IF(D1472="","",IF(H1472="credit","",IF(AE1472="free","re-planting",IF(AE1472="me","   not ELP, by",IF(AND(OR(PlanterYesMe="Yes",PlanterYesMe="Y"),G1472&gt;0),(VLOOKUP(A1472,'Discount Lookup'!J:K,2)*G1472*(1-PlanterDiscount)*(1+PlanterDifficultyPercentage)),IF(AE1472="ELP",(VLOOKUP(A1472,'Discount Lookup'!J:K,2)*G1472*(1-PlanterDiscount)*(1+PlanterDifficultyPercentage)),IF(AE1472="free","re-planting",IF(G1472=0,"",IF(PlanterYesMe="",IF(AE1472="me","   not ELP, by",IF(AE1472="",IF(G1472&gt;0,(VLOOKUP(A1472,'Discount Lookup'!J:K,2)*G1472*(1-PlanterDiscount)*(1+PlanterDifficultyPercentage)),""),"")),"   not ELP, by"))))))))))))))</f>
        <v/>
      </c>
      <c r="AD1472" s="712"/>
      <c r="AE1472" s="513" t="str">
        <f t="shared" si="1061"/>
        <v/>
      </c>
      <c r="AF1472" s="713" t="str">
        <f t="shared" si="1062"/>
        <v/>
      </c>
      <c r="AG1472" s="713"/>
      <c r="AH1472" s="713"/>
      <c r="AI1472" s="112">
        <f>IF(H1472="credit",0,IF(AE1472="free",0,IF(AE1472="me",0,IF(G1472&gt;0,(VLOOKUP(A1472,'Discount Lookup'!J:K,2)*G1472),0))))</f>
        <v>0</v>
      </c>
      <c r="AJ1472" s="107" t="str">
        <f t="shared" ca="1" si="1063"/>
        <v/>
      </c>
      <c r="AK1472" s="714" t="str">
        <f t="shared" si="1064"/>
        <v/>
      </c>
      <c r="AL1472" s="714"/>
      <c r="AM1472" s="114" t="str">
        <f t="shared" si="1065"/>
        <v/>
      </c>
      <c r="AN1472" s="115"/>
      <c r="AO1472" s="116"/>
      <c r="AP1472" s="116"/>
      <c r="AQ1472" s="116"/>
      <c r="AR1472" s="116"/>
      <c r="AS1472" s="116"/>
      <c r="AT1472" s="116"/>
      <c r="AU1472" s="116"/>
      <c r="AV1472" s="78"/>
      <c r="AW1472" s="102"/>
      <c r="AX1472" s="78"/>
      <c r="AY1472" s="78"/>
      <c r="AZ1472" s="78"/>
      <c r="BA1472" s="78"/>
      <c r="BB1472" s="78"/>
      <c r="BC1472" s="78"/>
      <c r="BD1472" s="78"/>
      <c r="BE1472" s="465"/>
      <c r="BF1472" s="165" t="str">
        <f t="shared" si="1066"/>
        <v>https://www.google.com/search?tbm=isch&amp;q=Diervilla%20%3D%20Bush%20Honeysuckle%20</v>
      </c>
      <c r="BG1472" s="165" t="str">
        <f t="shared" si="1067"/>
        <v>D</v>
      </c>
      <c r="BH1472" s="65"/>
      <c r="BI1472" s="65"/>
      <c r="BJ1472" s="65"/>
      <c r="BK1472" s="65"/>
      <c r="BL1472" s="99"/>
      <c r="BM1472" s="99"/>
      <c r="BN1472" s="99"/>
    </row>
    <row r="1473" spans="1:66" s="51" customFormat="1" ht="18" x14ac:dyDescent="0.25">
      <c r="A1473" s="623" t="s">
        <v>2417</v>
      </c>
      <c r="B1473" s="624"/>
      <c r="C1473" s="709"/>
      <c r="D1473" s="625" t="s">
        <v>5872</v>
      </c>
      <c r="E1473" s="626"/>
      <c r="F1473" s="626"/>
      <c r="G1473" s="626"/>
      <c r="H1473" s="622" t="s">
        <v>1088</v>
      </c>
      <c r="I1473" s="627" t="s">
        <v>2418</v>
      </c>
      <c r="J1473" s="628"/>
      <c r="K1473" s="628"/>
      <c r="L1473" s="629"/>
      <c r="M1473" s="700" t="s">
        <v>5249</v>
      </c>
      <c r="N1473" s="693" t="str">
        <f>IF(AND(ISTEXT($A1473), ISERROR($A1473+0)), HYPERLINK($BF1473, "Images"), "")</f>
        <v>Images</v>
      </c>
      <c r="O1473" s="695" t="s">
        <v>5244</v>
      </c>
      <c r="P1473" s="630"/>
      <c r="Q1473" s="631"/>
      <c r="R1473" s="632"/>
      <c r="S1473" s="633" t="s">
        <v>294</v>
      </c>
      <c r="T1473" s="102">
        <f t="shared" si="1055"/>
        <v>0</v>
      </c>
      <c r="U1473" s="78" t="str">
        <f>IF(NOT(ISNUMBER(G1473)), "", VLOOKUP(A1473,'Discount Lookup'!D:E,2,FALSE)*G1473)</f>
        <v/>
      </c>
      <c r="V1473" s="78" t="str">
        <f>IF(NOT(ISNUMBER(G1473)), "", VLOOKUP(A1473,'Discount Lookup'!G:H,2,FALSE)*G1473)</f>
        <v/>
      </c>
      <c r="W1473" s="102">
        <f t="shared" si="1056"/>
        <v>0</v>
      </c>
      <c r="X1473" s="102" t="str">
        <f t="shared" si="1057"/>
        <v>Bright Yellow trumpet</v>
      </c>
      <c r="Y1473" s="120" t="b">
        <f t="shared" si="1058"/>
        <v>0</v>
      </c>
      <c r="Z1473" s="117">
        <f t="shared" si="1059"/>
        <v>0</v>
      </c>
      <c r="AA1473" s="118"/>
      <c r="AB1473" s="118" t="str">
        <f t="shared" si="1060"/>
        <v/>
      </c>
      <c r="AC1473" s="712" t="str">
        <f>IF(AE1473="T2G","no charge",IF(AND(OR(PlanterYesMe="No",PlanterYesMe="N",PlanterYesMe="me"),H1473=""),"",IF(H1473="credit","NO install",IF(AND(K1473="",AE1473="me"),"EACH row",IF(AND(K1473="images",AE1473="me"),"EACH row",IF(D1473="","",IF(H1473="credit","",IF(AE1473="free","re-planting",IF(AE1473="me","   not ELP, by",IF(AND(OR(PlanterYesMe="Yes",PlanterYesMe="Y"),G1473&gt;0),(VLOOKUP(A1473,'Discount Lookup'!J:K,2)*G1473*(1-PlanterDiscount)*(1+PlanterDifficultyPercentage)),IF(AE1473="ELP",(VLOOKUP(A1473,'Discount Lookup'!J:K,2)*G1473*(1-PlanterDiscount)*(1+PlanterDifficultyPercentage)),IF(AE1473="free","re-planting",IF(G1473=0,"",IF(PlanterYesMe="",IF(AE1473="me","   not ELP, by",IF(AE1473="",IF(G1473&gt;0,(VLOOKUP(A1473,'Discount Lookup'!J:K,2)*G1473*(1-PlanterDiscount)*(1+PlanterDifficultyPercentage)),""),"")),"   not ELP, by"))))))))))))))</f>
        <v/>
      </c>
      <c r="AD1473" s="712"/>
      <c r="AE1473" s="513" t="str">
        <f t="shared" si="1061"/>
        <v/>
      </c>
      <c r="AF1473" s="713" t="str">
        <f t="shared" si="1062"/>
        <v/>
      </c>
      <c r="AG1473" s="713"/>
      <c r="AH1473" s="713"/>
      <c r="AI1473" s="112">
        <f>IF(H1473="credit",0,IF(AE1473="free",0,IF(AE1473="me",0,IF(G1473&gt;0,(VLOOKUP(A1473,'Discount Lookup'!J:K,2)*G1473),0))))</f>
        <v>0</v>
      </c>
      <c r="AJ1473" s="107" t="str">
        <f t="shared" ca="1" si="1063"/>
        <v/>
      </c>
      <c r="AK1473" s="714" t="str">
        <f t="shared" si="1064"/>
        <v/>
      </c>
      <c r="AL1473" s="714"/>
      <c r="AM1473" s="114" t="str">
        <f t="shared" si="1065"/>
        <v/>
      </c>
      <c r="AN1473" s="115"/>
      <c r="AO1473" s="116"/>
      <c r="AP1473" s="116"/>
      <c r="AQ1473" s="116"/>
      <c r="AR1473" s="116"/>
      <c r="AS1473" s="116"/>
      <c r="AT1473" s="116"/>
      <c r="AU1473" s="116"/>
      <c r="AV1473" s="78"/>
      <c r="AW1473" s="102"/>
      <c r="AX1473" s="78"/>
      <c r="AY1473" s="78"/>
      <c r="AZ1473" s="78"/>
      <c r="BA1473" s="78"/>
      <c r="BB1473" s="78"/>
      <c r="BC1473" s="78"/>
      <c r="BD1473" s="78"/>
      <c r="BE1473" s="465"/>
      <c r="BF1473" s="165" t="str">
        <f t="shared" si="1066"/>
        <v>https://www.google.com/search?tbm=isch&amp;q=Diervilla%20sessilifolia%20%27Firefly%27%20PP%2333978%20Firefly%C2%AE%20Bush%20Honeysuckle%20%28BE%C2%AE%29</v>
      </c>
      <c r="BG1473" s="165" t="str">
        <f t="shared" si="1067"/>
        <v>D</v>
      </c>
      <c r="BH1473" s="65"/>
      <c r="BI1473" s="65"/>
      <c r="BJ1473" s="65"/>
      <c r="BK1473" s="65"/>
      <c r="BL1473" s="99"/>
      <c r="BM1473" s="99"/>
      <c r="BN1473" s="99"/>
    </row>
    <row r="1474" spans="1:66" s="51" customFormat="1" ht="15.75" x14ac:dyDescent="0.25">
      <c r="A1474" s="634">
        <v>3</v>
      </c>
      <c r="B1474" s="635" t="s">
        <v>291</v>
      </c>
      <c r="C1474" s="636" t="s">
        <v>2419</v>
      </c>
      <c r="D1474" s="637" t="s">
        <v>329</v>
      </c>
      <c r="E1474" s="638">
        <v>30.95</v>
      </c>
      <c r="F1474" s="639" t="s">
        <v>292</v>
      </c>
      <c r="G1474" s="484">
        <v>0</v>
      </c>
      <c r="H1474" s="691" t="str">
        <f>IF(G1474=0,"",IF(F1474="Buy",IF(G1474=1,"plant","plants"),IF(F1474&gt;0.01,"warranty","Error")))</f>
        <v/>
      </c>
      <c r="I1474" s="640">
        <f>IF(H1474="free",0,IF(H1474="credit",((E1474*(F1474))*G1474*-1),IF(F1474="Buy",(E1474*G1474),((E1474*(1-F1474))*G1474))))</f>
        <v>0</v>
      </c>
      <c r="J1474" s="640">
        <f>IF(H1474="warranty",0,(I1474*(_xlfn.SINGLE(SalesTaxPercentage))))</f>
        <v>0</v>
      </c>
      <c r="K1474" s="716">
        <f t="shared" ref="K1474" si="1081">I1474+J1474</f>
        <v>0</v>
      </c>
      <c r="L1474" s="716"/>
      <c r="M1474" s="689" t="str">
        <f ca="1">IF(AND(G1474&gt;0,E1474=0),"WARNING - no PRICE inserted",IF(H1474="free","FREE ~ no charge this plant",IF(H1474="credit",CONCATENATE("-$",ROUND(K1474*(1-_xlfn.SINGLE(T2GDiscount))*-1,2)," CREDIT after discount"),IF(_xlfn.SINGLE(T2GDiscount)=0,"",IF(G1474=0,"",IF(F1474="Buy",CONCATENATE("$",ROUND(K1474*(1-_xlfn.SINGLE(T2GDiscount)),2)," with ",(_xlfn.SINGLE(T2GDiscount)*100),"% discount"),CONCATENATE("$",ROUND(K1474*(1-_xlfn.SINGLE(T2GDiscount)),2)," with ",((_xlfn.SINGLE(T2GDiscount)*100+F1474*100)-(_xlfn.SINGLE(T2GDiscount)*100*F1474)),IF(F1474&gt;0,"% discounts",IF(_xlfn.SINGLE(NoWarrantyDiscount)&gt;0,"% discounts","% discount")))))))))</f>
        <v/>
      </c>
      <c r="N1474" s="690"/>
      <c r="O1474" s="486"/>
      <c r="P1474" s="486"/>
      <c r="Q1474" s="486"/>
      <c r="R1474" s="486"/>
      <c r="S1474" s="486"/>
      <c r="T1474" s="102">
        <f t="shared" si="1055"/>
        <v>0</v>
      </c>
      <c r="U1474" s="78">
        <f>IF(NOT(ISNUMBER(G1474)), "", VLOOKUP(A1474,'Discount Lookup'!D:E,2,FALSE)*G1474)</f>
        <v>0</v>
      </c>
      <c r="V1474" s="78">
        <f>IF(NOT(ISNUMBER(G1474)), "", VLOOKUP(A1474,'Discount Lookup'!G:H,2,FALSE)*G1474)</f>
        <v>0</v>
      </c>
      <c r="W1474" s="102">
        <f t="shared" si="1056"/>
        <v>0</v>
      </c>
      <c r="X1474" s="102">
        <f t="shared" si="1057"/>
        <v>0</v>
      </c>
      <c r="Y1474" s="120" t="b">
        <f t="shared" si="1058"/>
        <v>0</v>
      </c>
      <c r="Z1474" s="117">
        <f t="shared" si="1059"/>
        <v>0</v>
      </c>
      <c r="AA1474" s="118"/>
      <c r="AB1474" s="118" t="str">
        <f t="shared" si="1060"/>
        <v/>
      </c>
      <c r="AC1474" s="712" t="str">
        <f>IF(AE1474="T2G","no charge",IF(AND(OR(PlanterYesMe="No",PlanterYesMe="N",PlanterYesMe="me"),H1474=""),"",IF(H1474="credit","NO install",IF(AND(K1474="",AE1474="me"),"EACH row",IF(AND(K1474="images",AE1474="me"),"EACH row",IF(D1474="","",IF(H1474="credit","",IF(AE1474="free","re-planting",IF(AE1474="me","   not ELP, by",IF(AND(OR(PlanterYesMe="Yes",PlanterYesMe="Y"),G1474&gt;0),(VLOOKUP(A1474,'Discount Lookup'!J:K,2)*G1474*(1-PlanterDiscount)*(1+PlanterDifficultyPercentage)),IF(AE1474="ELP",(VLOOKUP(A1474,'Discount Lookup'!J:K,2)*G1474*(1-PlanterDiscount)*(1+PlanterDifficultyPercentage)),IF(AE1474="free","re-planting",IF(G1474=0,"",IF(PlanterYesMe="",IF(AE1474="me","   not ELP, by",IF(AE1474="",IF(G1474&gt;0,(VLOOKUP(A1474,'Discount Lookup'!J:K,2)*G1474*(1-PlanterDiscount)*(1+PlanterDifficultyPercentage)),""),"")),"   not ELP, by"))))))))))))))</f>
        <v/>
      </c>
      <c r="AD1474" s="712"/>
      <c r="AE1474" s="513" t="str">
        <f t="shared" si="1061"/>
        <v/>
      </c>
      <c r="AF1474" s="713" t="str">
        <f t="shared" si="1062"/>
        <v/>
      </c>
      <c r="AG1474" s="713"/>
      <c r="AH1474" s="713"/>
      <c r="AI1474" s="112">
        <f>IF(H1474="credit",0,IF(AE1474="free",0,IF(AE1474="me",0,IF(G1474&gt;0,(VLOOKUP(A1474,'Discount Lookup'!J:K,2)*G1474),0))))</f>
        <v>0</v>
      </c>
      <c r="AJ1474" s="107" t="str">
        <f t="shared" ca="1" si="1063"/>
        <v/>
      </c>
      <c r="AK1474" s="714" t="str">
        <f t="shared" si="1064"/>
        <v/>
      </c>
      <c r="AL1474" s="714"/>
      <c r="AM1474" s="114" t="str">
        <f t="shared" si="1065"/>
        <v/>
      </c>
      <c r="AN1474" s="115"/>
      <c r="AO1474" s="116"/>
      <c r="AP1474" s="116"/>
      <c r="AQ1474" s="116"/>
      <c r="AR1474" s="116"/>
      <c r="AS1474" s="116"/>
      <c r="AT1474" s="116"/>
      <c r="AU1474" s="116"/>
      <c r="AV1474" s="78"/>
      <c r="AW1474" s="102"/>
      <c r="AX1474" s="78"/>
      <c r="AY1474" s="78"/>
      <c r="AZ1474" s="78"/>
      <c r="BA1474" s="78"/>
      <c r="BB1474" s="78"/>
      <c r="BC1474" s="78"/>
      <c r="BD1474" s="78"/>
      <c r="BE1474" s="465"/>
      <c r="BF1474" s="165" t="str">
        <f t="shared" si="1066"/>
        <v>https://www.google.com/search?tbm=isch&amp;q=3%20G2</v>
      </c>
      <c r="BG1474" s="165" t="str">
        <f t="shared" si="1067"/>
        <v>D</v>
      </c>
      <c r="BH1474" s="65"/>
      <c r="BI1474" s="65"/>
      <c r="BJ1474" s="65"/>
      <c r="BK1474" s="65"/>
      <c r="BL1474" s="99"/>
      <c r="BM1474" s="99"/>
      <c r="BN1474" s="99"/>
    </row>
    <row r="1475" spans="1:66" s="51" customFormat="1" ht="17.25" thickBot="1" x14ac:dyDescent="0.3">
      <c r="A1475" s="704" t="s">
        <v>5388</v>
      </c>
      <c r="B1475" s="642"/>
      <c r="C1475" s="710"/>
      <c r="D1475" s="643"/>
      <c r="E1475" s="643"/>
      <c r="F1475" s="644"/>
      <c r="G1475" s="645"/>
      <c r="H1475" s="646"/>
      <c r="I1475" s="647"/>
      <c r="J1475" s="648"/>
      <c r="K1475" s="649"/>
      <c r="L1475" s="650"/>
      <c r="M1475" s="650"/>
      <c r="N1475" s="644"/>
      <c r="O1475" s="644"/>
      <c r="P1475" s="644"/>
      <c r="Q1475" s="644"/>
      <c r="R1475" s="644"/>
      <c r="S1475" s="701" t="s">
        <v>5262</v>
      </c>
      <c r="T1475" s="102">
        <f t="shared" si="1055"/>
        <v>0</v>
      </c>
      <c r="U1475" s="78" t="str">
        <f>IF(NOT(ISNUMBER(G1475)), "", VLOOKUP(A1475,'Discount Lookup'!D:E,2,FALSE)*G1475)</f>
        <v/>
      </c>
      <c r="V1475" s="78" t="str">
        <f>IF(NOT(ISNUMBER(G1475)), "", VLOOKUP(A1475,'Discount Lookup'!G:H,2,FALSE)*G1475)</f>
        <v/>
      </c>
      <c r="W1475" s="102">
        <f t="shared" si="1056"/>
        <v>0</v>
      </c>
      <c r="X1475" s="102">
        <f t="shared" si="1057"/>
        <v>0</v>
      </c>
      <c r="Y1475" s="120" t="b">
        <f t="shared" si="1058"/>
        <v>0</v>
      </c>
      <c r="Z1475" s="117">
        <f t="shared" si="1059"/>
        <v>0</v>
      </c>
      <c r="AA1475" s="118"/>
      <c r="AB1475" s="118" t="str">
        <f t="shared" si="1060"/>
        <v/>
      </c>
      <c r="AC1475" s="712" t="str">
        <f>IF(AE1475="T2G","no charge",IF(AND(OR(PlanterYesMe="No",PlanterYesMe="N",PlanterYesMe="me"),H1475=""),"",IF(H1475="credit","NO install",IF(AND(K1475="",AE1475="me"),"EACH row",IF(AND(K1475="images",AE1475="me"),"EACH row",IF(D1475="","",IF(H1475="credit","",IF(AE1475="free","re-planting",IF(AE1475="me","   not ELP, by",IF(AND(OR(PlanterYesMe="Yes",PlanterYesMe="Y"),G1475&gt;0),(VLOOKUP(A1475,'Discount Lookup'!J:K,2)*G1475*(1-PlanterDiscount)*(1+PlanterDifficultyPercentage)),IF(AE1475="ELP",(VLOOKUP(A1475,'Discount Lookup'!J:K,2)*G1475*(1-PlanterDiscount)*(1+PlanterDifficultyPercentage)),IF(AE1475="free","re-planting",IF(G1475=0,"",IF(PlanterYesMe="",IF(AE1475="me","   not ELP, by",IF(AE1475="",IF(G1475&gt;0,(VLOOKUP(A1475,'Discount Lookup'!J:K,2)*G1475*(1-PlanterDiscount)*(1+PlanterDifficultyPercentage)),""),"")),"   not ELP, by"))))))))))))))</f>
        <v/>
      </c>
      <c r="AD1475" s="712"/>
      <c r="AE1475" s="513" t="str">
        <f t="shared" si="1061"/>
        <v/>
      </c>
      <c r="AF1475" s="713" t="str">
        <f t="shared" si="1062"/>
        <v/>
      </c>
      <c r="AG1475" s="713"/>
      <c r="AH1475" s="713"/>
      <c r="AI1475" s="112">
        <f>IF(H1475="credit",0,IF(AE1475="free",0,IF(AE1475="me",0,IF(G1475&gt;0,(VLOOKUP(A1475,'Discount Lookup'!J:K,2)*G1475),0))))</f>
        <v>0</v>
      </c>
      <c r="AJ1475" s="107" t="str">
        <f t="shared" ca="1" si="1063"/>
        <v/>
      </c>
      <c r="AK1475" s="714" t="str">
        <f t="shared" si="1064"/>
        <v/>
      </c>
      <c r="AL1475" s="714"/>
      <c r="AM1475" s="114" t="str">
        <f t="shared" si="1065"/>
        <v/>
      </c>
      <c r="AN1475" s="115"/>
      <c r="AO1475" s="116"/>
      <c r="AP1475" s="116"/>
      <c r="AQ1475" s="116"/>
      <c r="AR1475" s="116"/>
      <c r="AS1475" s="116"/>
      <c r="AT1475" s="116"/>
      <c r="AU1475" s="116"/>
      <c r="AV1475" s="78"/>
      <c r="AW1475" s="102"/>
      <c r="AX1475" s="78"/>
      <c r="AY1475" s="78"/>
      <c r="AZ1475" s="78"/>
      <c r="BA1475" s="78"/>
      <c r="BB1475" s="78"/>
      <c r="BC1475" s="78"/>
      <c r="BD1475" s="78"/>
      <c r="BE1475" s="465"/>
      <c r="BF1475" s="165" t="str">
        <f t="shared" si="1066"/>
        <v>https://www.google.com/search?tbm=isch&amp;q=moist%20sites%F0%9F%92%A7GOOD%2C%20Firefly%20named%20for%20contrast%20of%20bloom%20and%20foliage%2C%20from%20Reddish-Purple%20emergence%20to%20Green%20to%20Red-Orange%20fall%20</v>
      </c>
      <c r="BG1475" s="165" t="str">
        <f t="shared" si="1067"/>
        <v>m</v>
      </c>
      <c r="BH1475" s="65"/>
      <c r="BI1475" s="65"/>
      <c r="BJ1475" s="65"/>
      <c r="BK1475" s="65"/>
      <c r="BL1475" s="99"/>
      <c r="BM1475" s="99"/>
      <c r="BN1475" s="99"/>
    </row>
    <row r="1476" spans="1:66" s="51" customFormat="1" ht="18" x14ac:dyDescent="0.25">
      <c r="A1476" s="623" t="s">
        <v>2420</v>
      </c>
      <c r="B1476" s="624"/>
      <c r="C1476" s="709"/>
      <c r="D1476" s="625" t="s">
        <v>5873</v>
      </c>
      <c r="E1476" s="626"/>
      <c r="F1476" s="626"/>
      <c r="G1476" s="626"/>
      <c r="H1476" s="622" t="s">
        <v>1104</v>
      </c>
      <c r="I1476" s="627" t="s">
        <v>2418</v>
      </c>
      <c r="J1476" s="628"/>
      <c r="K1476" s="628"/>
      <c r="L1476" s="629"/>
      <c r="M1476" s="700" t="s">
        <v>5249</v>
      </c>
      <c r="N1476" s="693" t="str">
        <f>IF(AND(ISTEXT($A1476), ISERROR($A1476+0)), HYPERLINK($BF1476, "Images"), "")</f>
        <v>Images</v>
      </c>
      <c r="O1476" s="695" t="s">
        <v>5244</v>
      </c>
      <c r="P1476" s="630"/>
      <c r="Q1476" s="631"/>
      <c r="R1476" s="632"/>
      <c r="S1476" s="633" t="s">
        <v>294</v>
      </c>
      <c r="T1476" s="102">
        <f t="shared" si="1055"/>
        <v>0</v>
      </c>
      <c r="U1476" s="78" t="str">
        <f>IF(NOT(ISNUMBER(G1476)), "", VLOOKUP(A1476,'Discount Lookup'!D:E,2,FALSE)*G1476)</f>
        <v/>
      </c>
      <c r="V1476" s="78" t="str">
        <f>IF(NOT(ISNUMBER(G1476)), "", VLOOKUP(A1476,'Discount Lookup'!G:H,2,FALSE)*G1476)</f>
        <v/>
      </c>
      <c r="W1476" s="102">
        <f t="shared" si="1056"/>
        <v>0</v>
      </c>
      <c r="X1476" s="102" t="str">
        <f t="shared" si="1057"/>
        <v>Bright Yellow trumpet</v>
      </c>
      <c r="Y1476" s="120" t="b">
        <f t="shared" si="1058"/>
        <v>0</v>
      </c>
      <c r="Z1476" s="117">
        <f t="shared" si="1059"/>
        <v>0</v>
      </c>
      <c r="AA1476" s="118"/>
      <c r="AB1476" s="118" t="str">
        <f t="shared" si="1060"/>
        <v/>
      </c>
      <c r="AC1476" s="712" t="str">
        <f>IF(AE1476="T2G","no charge",IF(AND(OR(PlanterYesMe="No",PlanterYesMe="N",PlanterYesMe="me"),H1476=""),"",IF(H1476="credit","NO install",IF(AND(K1476="",AE1476="me"),"EACH row",IF(AND(K1476="images",AE1476="me"),"EACH row",IF(D1476="","",IF(H1476="credit","",IF(AE1476="free","re-planting",IF(AE1476="me","   not ELP, by",IF(AND(OR(PlanterYesMe="Yes",PlanterYesMe="Y"),G1476&gt;0),(VLOOKUP(A1476,'Discount Lookup'!J:K,2)*G1476*(1-PlanterDiscount)*(1+PlanterDifficultyPercentage)),IF(AE1476="ELP",(VLOOKUP(A1476,'Discount Lookup'!J:K,2)*G1476*(1-PlanterDiscount)*(1+PlanterDifficultyPercentage)),IF(AE1476="free","re-planting",IF(G1476=0,"",IF(PlanterYesMe="",IF(AE1476="me","   not ELP, by",IF(AE1476="",IF(G1476&gt;0,(VLOOKUP(A1476,'Discount Lookup'!J:K,2)*G1476*(1-PlanterDiscount)*(1+PlanterDifficultyPercentage)),""),"")),"   not ELP, by"))))))))))))))</f>
        <v/>
      </c>
      <c r="AD1476" s="712"/>
      <c r="AE1476" s="513" t="str">
        <f t="shared" si="1061"/>
        <v/>
      </c>
      <c r="AF1476" s="713" t="str">
        <f t="shared" si="1062"/>
        <v/>
      </c>
      <c r="AG1476" s="713"/>
      <c r="AH1476" s="713"/>
      <c r="AI1476" s="112">
        <f>IF(H1476="credit",0,IF(AE1476="free",0,IF(AE1476="me",0,IF(G1476&gt;0,(VLOOKUP(A1476,'Discount Lookup'!J:K,2)*G1476),0))))</f>
        <v>0</v>
      </c>
      <c r="AJ1476" s="107" t="str">
        <f t="shared" ca="1" si="1063"/>
        <v/>
      </c>
      <c r="AK1476" s="714" t="str">
        <f t="shared" si="1064"/>
        <v/>
      </c>
      <c r="AL1476" s="714"/>
      <c r="AM1476" s="114" t="str">
        <f t="shared" si="1065"/>
        <v/>
      </c>
      <c r="AN1476" s="115"/>
      <c r="AO1476" s="116"/>
      <c r="AP1476" s="116"/>
      <c r="AQ1476" s="116"/>
      <c r="AR1476" s="116"/>
      <c r="AS1476" s="116"/>
      <c r="AT1476" s="116"/>
      <c r="AU1476" s="116"/>
      <c r="AV1476" s="78"/>
      <c r="AW1476" s="102"/>
      <c r="AX1476" s="78"/>
      <c r="AY1476" s="78"/>
      <c r="AZ1476" s="78"/>
      <c r="BA1476" s="78"/>
      <c r="BB1476" s="78"/>
      <c r="BC1476" s="78"/>
      <c r="BD1476" s="78"/>
      <c r="BE1476" s="465"/>
      <c r="BF1476" s="165" t="str">
        <f t="shared" si="1066"/>
        <v>https://www.google.com/search?tbm=isch&amp;q=Diervilla%20splendens%20%27Nightglow%27%20PP%2328060%20Nightglow%C2%AE%20Bush%20Honeysuckle%20%28BE%C2%AE%29</v>
      </c>
      <c r="BG1476" s="165" t="str">
        <f t="shared" si="1067"/>
        <v>D</v>
      </c>
      <c r="BH1476" s="65"/>
      <c r="BI1476" s="65"/>
      <c r="BJ1476" s="65"/>
      <c r="BK1476" s="65"/>
      <c r="BL1476" s="99"/>
      <c r="BM1476" s="99"/>
      <c r="BN1476" s="99"/>
    </row>
    <row r="1477" spans="1:66" s="51" customFormat="1" ht="15.75" x14ac:dyDescent="0.25">
      <c r="A1477" s="634">
        <v>3</v>
      </c>
      <c r="B1477" s="635" t="s">
        <v>291</v>
      </c>
      <c r="C1477" s="636"/>
      <c r="D1477" s="637" t="s">
        <v>329</v>
      </c>
      <c r="E1477" s="638">
        <v>30.95</v>
      </c>
      <c r="F1477" s="639" t="s">
        <v>292</v>
      </c>
      <c r="G1477" s="484">
        <v>0</v>
      </c>
      <c r="H1477" s="691" t="str">
        <f>IF(G1477=0,"",IF(F1477="Buy",IF(G1477=1,"plant","plants"),IF(F1477&gt;0.01,"warranty","Error")))</f>
        <v/>
      </c>
      <c r="I1477" s="640">
        <f>IF(H1477="free",0,IF(H1477="credit",((E1477*(F1477))*G1477*-1),IF(F1477="Buy",(E1477*G1477),((E1477*(1-F1477))*G1477))))</f>
        <v>0</v>
      </c>
      <c r="J1477" s="640">
        <f>IF(H1477="warranty",0,(I1477*(_xlfn.SINGLE(SalesTaxPercentage))))</f>
        <v>0</v>
      </c>
      <c r="K1477" s="716">
        <f t="shared" ref="K1477" si="1082">I1477+J1477</f>
        <v>0</v>
      </c>
      <c r="L1477" s="716"/>
      <c r="M1477" s="689" t="str">
        <f ca="1">IF(AND(G1477&gt;0,E1477=0),"WARNING - no PRICE inserted",IF(H1477="free","FREE ~ no charge this plant",IF(H1477="credit",CONCATENATE("-$",ROUND(K1477*(1-_xlfn.SINGLE(T2GDiscount))*-1,2)," CREDIT after discount"),IF(_xlfn.SINGLE(T2GDiscount)=0,"",IF(G1477=0,"",IF(F1477="Buy",CONCATENATE("$",ROUND(K1477*(1-_xlfn.SINGLE(T2GDiscount)),2)," with ",(_xlfn.SINGLE(T2GDiscount)*100),"% discount"),CONCATENATE("$",ROUND(K1477*(1-_xlfn.SINGLE(T2GDiscount)),2)," with ",((_xlfn.SINGLE(T2GDiscount)*100+F1477*100)-(_xlfn.SINGLE(T2GDiscount)*100*F1477)),IF(F1477&gt;0,"% discounts",IF(_xlfn.SINGLE(NoWarrantyDiscount)&gt;0,"% discounts","% discount")))))))))</f>
        <v/>
      </c>
      <c r="N1477" s="690"/>
      <c r="O1477" s="486"/>
      <c r="P1477" s="486"/>
      <c r="Q1477" s="486"/>
      <c r="R1477" s="486"/>
      <c r="S1477" s="486"/>
      <c r="T1477" s="102">
        <f t="shared" si="1055"/>
        <v>0</v>
      </c>
      <c r="U1477" s="78">
        <f>IF(NOT(ISNUMBER(G1477)), "", VLOOKUP(A1477,'Discount Lookup'!D:E,2,FALSE)*G1477)</f>
        <v>0</v>
      </c>
      <c r="V1477" s="78">
        <f>IF(NOT(ISNUMBER(G1477)), "", VLOOKUP(A1477,'Discount Lookup'!G:H,2,FALSE)*G1477)</f>
        <v>0</v>
      </c>
      <c r="W1477" s="102">
        <f t="shared" si="1056"/>
        <v>0</v>
      </c>
      <c r="X1477" s="102">
        <f t="shared" si="1057"/>
        <v>0</v>
      </c>
      <c r="Y1477" s="120" t="b">
        <f t="shared" si="1058"/>
        <v>0</v>
      </c>
      <c r="Z1477" s="117">
        <f t="shared" si="1059"/>
        <v>0</v>
      </c>
      <c r="AA1477" s="118"/>
      <c r="AB1477" s="118" t="str">
        <f t="shared" si="1060"/>
        <v/>
      </c>
      <c r="AC1477" s="712" t="str">
        <f>IF(AE1477="T2G","no charge",IF(AND(OR(PlanterYesMe="No",PlanterYesMe="N",PlanterYesMe="me"),H1477=""),"",IF(H1477="credit","NO install",IF(AND(K1477="",AE1477="me"),"EACH row",IF(AND(K1477="images",AE1477="me"),"EACH row",IF(D1477="","",IF(H1477="credit","",IF(AE1477="free","re-planting",IF(AE1477="me","   not ELP, by",IF(AND(OR(PlanterYesMe="Yes",PlanterYesMe="Y"),G1477&gt;0),(VLOOKUP(A1477,'Discount Lookup'!J:K,2)*G1477*(1-PlanterDiscount)*(1+PlanterDifficultyPercentage)),IF(AE1477="ELP",(VLOOKUP(A1477,'Discount Lookup'!J:K,2)*G1477*(1-PlanterDiscount)*(1+PlanterDifficultyPercentage)),IF(AE1477="free","re-planting",IF(G1477=0,"",IF(PlanterYesMe="",IF(AE1477="me","   not ELP, by",IF(AE1477="",IF(G1477&gt;0,(VLOOKUP(A1477,'Discount Lookup'!J:K,2)*G1477*(1-PlanterDiscount)*(1+PlanterDifficultyPercentage)),""),"")),"   not ELP, by"))))))))))))))</f>
        <v/>
      </c>
      <c r="AD1477" s="712"/>
      <c r="AE1477" s="513" t="str">
        <f t="shared" si="1061"/>
        <v/>
      </c>
      <c r="AF1477" s="713" t="str">
        <f t="shared" si="1062"/>
        <v/>
      </c>
      <c r="AG1477" s="713"/>
      <c r="AH1477" s="713"/>
      <c r="AI1477" s="112">
        <f>IF(H1477="credit",0,IF(AE1477="free",0,IF(AE1477="me",0,IF(G1477&gt;0,(VLOOKUP(A1477,'Discount Lookup'!J:K,2)*G1477),0))))</f>
        <v>0</v>
      </c>
      <c r="AJ1477" s="107" t="str">
        <f t="shared" ca="1" si="1063"/>
        <v/>
      </c>
      <c r="AK1477" s="714" t="str">
        <f t="shared" si="1064"/>
        <v/>
      </c>
      <c r="AL1477" s="714"/>
      <c r="AM1477" s="114" t="str">
        <f t="shared" si="1065"/>
        <v/>
      </c>
      <c r="AN1477" s="115"/>
      <c r="AO1477" s="116"/>
      <c r="AP1477" s="116"/>
      <c r="AQ1477" s="116"/>
      <c r="AR1477" s="116"/>
      <c r="AS1477" s="116"/>
      <c r="AT1477" s="116"/>
      <c r="AU1477" s="116"/>
      <c r="AV1477" s="78"/>
      <c r="AW1477" s="102"/>
      <c r="AX1477" s="78"/>
      <c r="AY1477" s="78"/>
      <c r="AZ1477" s="78"/>
      <c r="BA1477" s="78"/>
      <c r="BB1477" s="78"/>
      <c r="BC1477" s="78"/>
      <c r="BD1477" s="78"/>
      <c r="BE1477" s="465"/>
      <c r="BF1477" s="165" t="str">
        <f t="shared" si="1066"/>
        <v>https://www.google.com/search?tbm=isch&amp;q=3%20G2</v>
      </c>
      <c r="BG1477" s="165" t="str">
        <f t="shared" si="1067"/>
        <v>D</v>
      </c>
      <c r="BH1477" s="65"/>
      <c r="BI1477" s="65"/>
      <c r="BJ1477" s="65"/>
      <c r="BK1477" s="65"/>
      <c r="BL1477" s="99"/>
      <c r="BM1477" s="99"/>
      <c r="BN1477" s="99"/>
    </row>
    <row r="1478" spans="1:66" s="51" customFormat="1" ht="16.5" x14ac:dyDescent="0.25">
      <c r="A1478" s="704" t="s">
        <v>5389</v>
      </c>
      <c r="B1478" s="642"/>
      <c r="C1478" s="710"/>
      <c r="D1478" s="643"/>
      <c r="E1478" s="643"/>
      <c r="F1478" s="644"/>
      <c r="G1478" s="645"/>
      <c r="H1478" s="646"/>
      <c r="I1478" s="647"/>
      <c r="J1478" s="648"/>
      <c r="K1478" s="649"/>
      <c r="L1478" s="650"/>
      <c r="M1478" s="650"/>
      <c r="N1478" s="644"/>
      <c r="O1478" s="644"/>
      <c r="P1478" s="644"/>
      <c r="Q1478" s="644"/>
      <c r="R1478" s="644"/>
      <c r="S1478" s="701" t="s">
        <v>5262</v>
      </c>
      <c r="T1478" s="102">
        <f t="shared" si="1055"/>
        <v>0</v>
      </c>
      <c r="U1478" s="78" t="str">
        <f>IF(NOT(ISNUMBER(G1478)), "", VLOOKUP(A1478,'Discount Lookup'!D:E,2,FALSE)*G1478)</f>
        <v/>
      </c>
      <c r="V1478" s="78" t="str">
        <f>IF(NOT(ISNUMBER(G1478)), "", VLOOKUP(A1478,'Discount Lookup'!G:H,2,FALSE)*G1478)</f>
        <v/>
      </c>
      <c r="W1478" s="102">
        <f t="shared" si="1056"/>
        <v>0</v>
      </c>
      <c r="X1478" s="102">
        <f t="shared" si="1057"/>
        <v>0</v>
      </c>
      <c r="Y1478" s="120" t="b">
        <f t="shared" si="1058"/>
        <v>0</v>
      </c>
      <c r="Z1478" s="117">
        <f t="shared" si="1059"/>
        <v>0</v>
      </c>
      <c r="AA1478" s="118"/>
      <c r="AB1478" s="118" t="str">
        <f t="shared" si="1060"/>
        <v/>
      </c>
      <c r="AC1478" s="712" t="str">
        <f>IF(AE1478="T2G","no charge",IF(AND(OR(PlanterYesMe="No",PlanterYesMe="N",PlanterYesMe="me"),H1478=""),"",IF(H1478="credit","NO install",IF(AND(K1478="",AE1478="me"),"EACH row",IF(AND(K1478="images",AE1478="me"),"EACH row",IF(D1478="","",IF(H1478="credit","",IF(AE1478="free","re-planting",IF(AE1478="me","   not ELP, by",IF(AND(OR(PlanterYesMe="Yes",PlanterYesMe="Y"),G1478&gt;0),(VLOOKUP(A1478,'Discount Lookup'!J:K,2)*G1478*(1-PlanterDiscount)*(1+PlanterDifficultyPercentage)),IF(AE1478="ELP",(VLOOKUP(A1478,'Discount Lookup'!J:K,2)*G1478*(1-PlanterDiscount)*(1+PlanterDifficultyPercentage)),IF(AE1478="free","re-planting",IF(G1478=0,"",IF(PlanterYesMe="",IF(AE1478="me","   not ELP, by",IF(AE1478="",IF(G1478&gt;0,(VLOOKUP(A1478,'Discount Lookup'!J:K,2)*G1478*(1-PlanterDiscount)*(1+PlanterDifficultyPercentage)),""),"")),"   not ELP, by"))))))))))))))</f>
        <v/>
      </c>
      <c r="AD1478" s="712"/>
      <c r="AE1478" s="513" t="str">
        <f t="shared" si="1061"/>
        <v/>
      </c>
      <c r="AF1478" s="713" t="str">
        <f t="shared" si="1062"/>
        <v/>
      </c>
      <c r="AG1478" s="713"/>
      <c r="AH1478" s="713"/>
      <c r="AI1478" s="112">
        <f>IF(H1478="credit",0,IF(AE1478="free",0,IF(AE1478="me",0,IF(G1478&gt;0,(VLOOKUP(A1478,'Discount Lookup'!J:K,2)*G1478),0))))</f>
        <v>0</v>
      </c>
      <c r="AJ1478" s="107" t="str">
        <f t="shared" ca="1" si="1063"/>
        <v/>
      </c>
      <c r="AK1478" s="714" t="str">
        <f t="shared" si="1064"/>
        <v/>
      </c>
      <c r="AL1478" s="714"/>
      <c r="AM1478" s="114" t="str">
        <f t="shared" si="1065"/>
        <v/>
      </c>
      <c r="AN1478" s="115"/>
      <c r="AO1478" s="116"/>
      <c r="AP1478" s="116"/>
      <c r="AQ1478" s="116"/>
      <c r="AR1478" s="116"/>
      <c r="AS1478" s="116"/>
      <c r="AT1478" s="116"/>
      <c r="AU1478" s="116"/>
      <c r="AV1478" s="78"/>
      <c r="AW1478" s="102"/>
      <c r="AX1478" s="78"/>
      <c r="AY1478" s="78"/>
      <c r="AZ1478" s="78"/>
      <c r="BA1478" s="78"/>
      <c r="BB1478" s="78"/>
      <c r="BC1478" s="78"/>
      <c r="BD1478" s="78"/>
      <c r="BE1478" s="465"/>
      <c r="BF1478" s="165" t="str">
        <f t="shared" si="1066"/>
        <v>https://www.google.com/search?tbm=isch&amp;q=moist%20sites%F0%9F%92%A7GOOD%2C%20Nightglow%20named%20for%20contrast%20of%20bloom%20and%20deep%20Burgundy%2C%20near%20Black%20foliage%2C%20turning%20Scarlet%20to%20Crimson%20in%20fall%20</v>
      </c>
      <c r="BG1478" s="165" t="str">
        <f t="shared" si="1067"/>
        <v>m</v>
      </c>
      <c r="BH1478" s="65"/>
      <c r="BI1478" s="65"/>
      <c r="BJ1478" s="65"/>
      <c r="BK1478" s="65"/>
      <c r="BL1478" s="99"/>
      <c r="BM1478" s="99"/>
      <c r="BN1478" s="99"/>
    </row>
    <row r="1479" spans="1:66" s="51" customFormat="1" ht="19.5" thickBot="1" x14ac:dyDescent="0.3">
      <c r="A1479" s="686" t="s">
        <v>413</v>
      </c>
      <c r="B1479" s="73"/>
      <c r="C1479" s="708"/>
      <c r="D1479" s="73"/>
      <c r="E1479" s="73"/>
      <c r="F1479" s="496"/>
      <c r="G1479" s="73"/>
      <c r="H1479" s="73"/>
      <c r="I1479" s="73"/>
      <c r="J1479" s="497" t="s">
        <v>357</v>
      </c>
      <c r="K1479" s="498"/>
      <c r="L1479" s="562"/>
      <c r="M1479" s="73"/>
      <c r="N1479"/>
      <c r="O1479"/>
      <c r="P1479"/>
      <c r="Q1479"/>
      <c r="R1479"/>
      <c r="S1479"/>
      <c r="T1479" s="102">
        <f t="shared" si="1055"/>
        <v>0</v>
      </c>
      <c r="U1479" s="78" t="str">
        <f>IF(NOT(ISNUMBER(G1479)), "", VLOOKUP(A1479,'Discount Lookup'!D:E,2,FALSE)*G1479)</f>
        <v/>
      </c>
      <c r="V1479" s="78" t="str">
        <f>IF(NOT(ISNUMBER(G1479)), "", VLOOKUP(A1479,'Discount Lookup'!G:H,2,FALSE)*G1479)</f>
        <v/>
      </c>
      <c r="W1479" s="102">
        <f t="shared" si="1056"/>
        <v>0</v>
      </c>
      <c r="X1479" s="102">
        <f t="shared" si="1057"/>
        <v>0</v>
      </c>
      <c r="Y1479" s="120" t="b">
        <f t="shared" si="1058"/>
        <v>0</v>
      </c>
      <c r="Z1479" s="117">
        <f t="shared" si="1059"/>
        <v>0</v>
      </c>
      <c r="AA1479" s="118"/>
      <c r="AB1479" s="118" t="str">
        <f t="shared" si="1060"/>
        <v/>
      </c>
      <c r="AC1479" s="712" t="str">
        <f>IF(AE1479="T2G","no charge",IF(AND(OR(PlanterYesMe="No",PlanterYesMe="N",PlanterYesMe="me"),H1479=""),"",IF(H1479="credit","NO install",IF(AND(K1479="",AE1479="me"),"EACH row",IF(AND(K1479="images",AE1479="me"),"EACH row",IF(D1479="","",IF(H1479="credit","",IF(AE1479="free","re-planting",IF(AE1479="me","   not ELP, by",IF(AND(OR(PlanterYesMe="Yes",PlanterYesMe="Y"),G1479&gt;0),(VLOOKUP(A1479,'Discount Lookup'!J:K,2)*G1479*(1-PlanterDiscount)*(1+PlanterDifficultyPercentage)),IF(AE1479="ELP",(VLOOKUP(A1479,'Discount Lookup'!J:K,2)*G1479*(1-PlanterDiscount)*(1+PlanterDifficultyPercentage)),IF(AE1479="free","re-planting",IF(G1479=0,"",IF(PlanterYesMe="",IF(AE1479="me","   not ELP, by",IF(AE1479="",IF(G1479&gt;0,(VLOOKUP(A1479,'Discount Lookup'!J:K,2)*G1479*(1-PlanterDiscount)*(1+PlanterDifficultyPercentage)),""),"")),"   not ELP, by"))))))))))))))</f>
        <v/>
      </c>
      <c r="AD1479" s="712"/>
      <c r="AE1479" s="513" t="str">
        <f t="shared" si="1061"/>
        <v/>
      </c>
      <c r="AF1479" s="713" t="str">
        <f t="shared" si="1062"/>
        <v/>
      </c>
      <c r="AG1479" s="713"/>
      <c r="AH1479" s="713"/>
      <c r="AI1479" s="112">
        <f>IF(H1479="credit",0,IF(AE1479="free",0,IF(AE1479="me",0,IF(G1479&gt;0,(VLOOKUP(A1479,'Discount Lookup'!J:K,2)*G1479),0))))</f>
        <v>0</v>
      </c>
      <c r="AJ1479" s="107" t="str">
        <f t="shared" ca="1" si="1063"/>
        <v/>
      </c>
      <c r="AK1479" s="714" t="str">
        <f t="shared" si="1064"/>
        <v/>
      </c>
      <c r="AL1479" s="714"/>
      <c r="AM1479" s="114" t="str">
        <f t="shared" si="1065"/>
        <v/>
      </c>
      <c r="AN1479" s="115"/>
      <c r="AO1479" s="116"/>
      <c r="AP1479" s="116"/>
      <c r="AQ1479" s="116"/>
      <c r="AR1479" s="116"/>
      <c r="AS1479" s="116"/>
      <c r="AT1479" s="116"/>
      <c r="AU1479" s="116"/>
      <c r="AV1479" s="78"/>
      <c r="AW1479" s="102"/>
      <c r="AX1479" s="78"/>
      <c r="AY1479" s="78"/>
      <c r="AZ1479" s="78"/>
      <c r="BA1479" s="78"/>
      <c r="BB1479" s="78"/>
      <c r="BC1479" s="78"/>
      <c r="BD1479" s="78"/>
      <c r="BE1479" s="465"/>
      <c r="BF1479" s="165" t="str">
        <f t="shared" si="1066"/>
        <v>https://www.google.com/search?tbm=isch&amp;q=Disporopsis%20%3D%20Solomon%27s%20Seal%20</v>
      </c>
      <c r="BG1479" s="165" t="str">
        <f t="shared" si="1067"/>
        <v>D</v>
      </c>
      <c r="BH1479" s="65"/>
      <c r="BI1479" s="65"/>
      <c r="BJ1479" s="65"/>
      <c r="BK1479" s="65"/>
      <c r="BL1479" s="99"/>
      <c r="BM1479" s="99"/>
      <c r="BN1479" s="99"/>
    </row>
    <row r="1480" spans="1:66" s="51" customFormat="1" ht="18" x14ac:dyDescent="0.25">
      <c r="A1480" s="507" t="s">
        <v>2421</v>
      </c>
      <c r="B1480" s="470"/>
      <c r="C1480" s="706"/>
      <c r="D1480" s="471" t="s">
        <v>2422</v>
      </c>
      <c r="E1480" s="472"/>
      <c r="F1480" s="472"/>
      <c r="G1480" s="472"/>
      <c r="H1480" s="622" t="s">
        <v>2423</v>
      </c>
      <c r="I1480" s="473" t="s">
        <v>431</v>
      </c>
      <c r="J1480" s="472"/>
      <c r="K1480" s="472"/>
      <c r="L1480" s="561"/>
      <c r="M1480" s="703" t="s">
        <v>5260</v>
      </c>
      <c r="N1480" s="692" t="str">
        <f>IF(AND(ISTEXT($A1480), ISERROR($A1480+0)), HYPERLINK($BF1480, "Images"), "")</f>
        <v>Images</v>
      </c>
      <c r="O1480" s="694" t="s">
        <v>5247</v>
      </c>
      <c r="P1480" s="475"/>
      <c r="Q1480" s="476"/>
      <c r="R1480" s="476"/>
      <c r="S1480" s="477"/>
      <c r="T1480" s="102">
        <f t="shared" si="1055"/>
        <v>0</v>
      </c>
      <c r="U1480" s="78" t="str">
        <f>IF(NOT(ISNUMBER(G1480)), "", VLOOKUP(A1480,'Discount Lookup'!D:E,2,FALSE)*G1480)</f>
        <v/>
      </c>
      <c r="V1480" s="78" t="str">
        <f>IF(NOT(ISNUMBER(G1480)), "", VLOOKUP(A1480,'Discount Lookup'!G:H,2,FALSE)*G1480)</f>
        <v/>
      </c>
      <c r="W1480" s="102">
        <f t="shared" si="1056"/>
        <v>0</v>
      </c>
      <c r="X1480" s="102" t="str">
        <f t="shared" si="1057"/>
        <v>Dark Green foliage</v>
      </c>
      <c r="Y1480" s="120" t="b">
        <f t="shared" si="1058"/>
        <v>0</v>
      </c>
      <c r="Z1480" s="117">
        <f t="shared" si="1059"/>
        <v>0</v>
      </c>
      <c r="AA1480" s="118"/>
      <c r="AB1480" s="118" t="str">
        <f t="shared" si="1060"/>
        <v/>
      </c>
      <c r="AC1480" s="712" t="str">
        <f>IF(AE1480="T2G","no charge",IF(AND(OR(PlanterYesMe="No",PlanterYesMe="N",PlanterYesMe="me"),H1480=""),"",IF(H1480="credit","NO install",IF(AND(K1480="",AE1480="me"),"EACH row",IF(AND(K1480="images",AE1480="me"),"EACH row",IF(D1480="","",IF(H1480="credit","",IF(AE1480="free","re-planting",IF(AE1480="me","   not ELP, by",IF(AND(OR(PlanterYesMe="Yes",PlanterYesMe="Y"),G1480&gt;0),(VLOOKUP(A1480,'Discount Lookup'!J:K,2)*G1480*(1-PlanterDiscount)*(1+PlanterDifficultyPercentage)),IF(AE1480="ELP",(VLOOKUP(A1480,'Discount Lookup'!J:K,2)*G1480*(1-PlanterDiscount)*(1+PlanterDifficultyPercentage)),IF(AE1480="free","re-planting",IF(G1480=0,"",IF(PlanterYesMe="",IF(AE1480="me","   not ELP, by",IF(AE1480="",IF(G1480&gt;0,(VLOOKUP(A1480,'Discount Lookup'!J:K,2)*G1480*(1-PlanterDiscount)*(1+PlanterDifficultyPercentage)),""),"")),"   not ELP, by"))))))))))))))</f>
        <v/>
      </c>
      <c r="AD1480" s="712"/>
      <c r="AE1480" s="513" t="str">
        <f t="shared" si="1061"/>
        <v/>
      </c>
      <c r="AF1480" s="713" t="str">
        <f t="shared" si="1062"/>
        <v/>
      </c>
      <c r="AG1480" s="713"/>
      <c r="AH1480" s="713"/>
      <c r="AI1480" s="112">
        <f>IF(H1480="credit",0,IF(AE1480="free",0,IF(AE1480="me",0,IF(G1480&gt;0,(VLOOKUP(A1480,'Discount Lookup'!J:K,2)*G1480),0))))</f>
        <v>0</v>
      </c>
      <c r="AJ1480" s="107" t="str">
        <f t="shared" ca="1" si="1063"/>
        <v/>
      </c>
      <c r="AK1480" s="714" t="str">
        <f t="shared" si="1064"/>
        <v/>
      </c>
      <c r="AL1480" s="714"/>
      <c r="AM1480" s="114" t="str">
        <f t="shared" si="1065"/>
        <v/>
      </c>
      <c r="AN1480" s="115"/>
      <c r="AO1480" s="116"/>
      <c r="AP1480" s="116"/>
      <c r="AQ1480" s="116"/>
      <c r="AR1480" s="116"/>
      <c r="AS1480" s="116"/>
      <c r="AT1480" s="116"/>
      <c r="AU1480" s="116"/>
      <c r="AV1480" s="78"/>
      <c r="AW1480" s="102"/>
      <c r="AX1480" s="78"/>
      <c r="AY1480" s="78"/>
      <c r="AZ1480" s="78"/>
      <c r="BA1480" s="78"/>
      <c r="BB1480" s="78"/>
      <c r="BC1480" s="78"/>
      <c r="BD1480" s="78"/>
      <c r="BE1480" s="465"/>
      <c r="BF1480" s="165" t="str">
        <f t="shared" si="1066"/>
        <v>https://www.google.com/search?tbm=isch&amp;q=Disporopsis%20pernyi%20Evergreen%20Solomon%27s%20Seal</v>
      </c>
      <c r="BG1480" s="165" t="str">
        <f t="shared" si="1067"/>
        <v>D</v>
      </c>
      <c r="BH1480" s="65"/>
      <c r="BI1480" s="65"/>
      <c r="BJ1480" s="65"/>
      <c r="BK1480" s="65"/>
      <c r="BL1480" s="99"/>
      <c r="BM1480" s="99"/>
      <c r="BN1480" s="99"/>
    </row>
    <row r="1481" spans="1:66" s="51" customFormat="1" ht="27" x14ac:dyDescent="0.25">
      <c r="A1481" s="478">
        <v>3</v>
      </c>
      <c r="B1481" s="479" t="s">
        <v>291</v>
      </c>
      <c r="C1481" s="480" t="s">
        <v>2424</v>
      </c>
      <c r="D1481" s="481" t="s">
        <v>299</v>
      </c>
      <c r="E1481" s="482">
        <v>40.950000000000003</v>
      </c>
      <c r="F1481" s="483" t="s">
        <v>292</v>
      </c>
      <c r="G1481" s="484">
        <v>0</v>
      </c>
      <c r="H1481" s="688" t="str">
        <f>IF(G1481=0,"",IF(F1481="Buy",IF(G1481=1,"plant","plants"),IF(F1481&gt;0.01,"warranty","Error")))</f>
        <v/>
      </c>
      <c r="I1481" s="485">
        <f>IF(H1481="free",0,IF(H1481="credit",((E1481*(F1481))*G1481*-1),IF(F1481="Buy",(E1481*G1481),((E1481*(1-F1481))*G1481))))</f>
        <v>0</v>
      </c>
      <c r="J1481" s="485">
        <f>IF(H1481="warranty",0,(I1481*(_xlfn.SINGLE(SalesTaxPercentage))))</f>
        <v>0</v>
      </c>
      <c r="K1481" s="715">
        <f t="shared" ref="K1481" si="1083">I1481+J1481</f>
        <v>0</v>
      </c>
      <c r="L1481" s="715"/>
      <c r="M1481" s="689" t="str">
        <f ca="1">IF(AND(G1481&gt;0,E1481=0),"WARNING - no PRICE inserted",IF(H1481="free","FREE ~ no charge this plant",IF(H1481="credit",CONCATENATE("-$",ROUND(K1481*(1-_xlfn.SINGLE(T2GDiscount))*-1,2)," CREDIT after discount"),IF(_xlfn.SINGLE(T2GDiscount)=0,"",IF(G1481=0,"",IF(F1481="Buy",CONCATENATE("$",ROUND(K1481*(1-_xlfn.SINGLE(T2GDiscount)),2)," with ",(_xlfn.SINGLE(T2GDiscount)*100),"% discount"),CONCATENATE("$",ROUND(K1481*(1-_xlfn.SINGLE(T2GDiscount)),2)," with ",((_xlfn.SINGLE(T2GDiscount)*100+F1481*100)-(_xlfn.SINGLE(T2GDiscount)*100*F1481)),IF(F1481&gt;0,"% discounts",IF(_xlfn.SINGLE(NoWarrantyDiscount)&gt;0,"% discounts","% discount")))))))))</f>
        <v/>
      </c>
      <c r="N1481" s="690"/>
      <c r="O1481" s="486"/>
      <c r="P1481" s="486"/>
      <c r="Q1481" s="486"/>
      <c r="R1481" s="486"/>
      <c r="S1481" s="486"/>
      <c r="T1481" s="102">
        <f t="shared" si="1055"/>
        <v>0</v>
      </c>
      <c r="U1481" s="78">
        <f>IF(NOT(ISNUMBER(G1481)), "", VLOOKUP(A1481,'Discount Lookup'!D:E,2,FALSE)*G1481)</f>
        <v>0</v>
      </c>
      <c r="V1481" s="78">
        <f>IF(NOT(ISNUMBER(G1481)), "", VLOOKUP(A1481,'Discount Lookup'!G:H,2,FALSE)*G1481)</f>
        <v>0</v>
      </c>
      <c r="W1481" s="102">
        <f t="shared" si="1056"/>
        <v>0</v>
      </c>
      <c r="X1481" s="102">
        <f t="shared" si="1057"/>
        <v>0</v>
      </c>
      <c r="Y1481" s="120" t="b">
        <f t="shared" si="1058"/>
        <v>0</v>
      </c>
      <c r="Z1481" s="117">
        <f t="shared" si="1059"/>
        <v>0</v>
      </c>
      <c r="AA1481" s="118"/>
      <c r="AB1481" s="118" t="str">
        <f t="shared" si="1060"/>
        <v/>
      </c>
      <c r="AC1481" s="712" t="str">
        <f>IF(AE1481="T2G","no charge",IF(AND(OR(PlanterYesMe="No",PlanterYesMe="N",PlanterYesMe="me"),H1481=""),"",IF(H1481="credit","NO install",IF(AND(K1481="",AE1481="me"),"EACH row",IF(AND(K1481="images",AE1481="me"),"EACH row",IF(D1481="","",IF(H1481="credit","",IF(AE1481="free","re-planting",IF(AE1481="me","   not ELP, by",IF(AND(OR(PlanterYesMe="Yes",PlanterYesMe="Y"),G1481&gt;0),(VLOOKUP(A1481,'Discount Lookup'!J:K,2)*G1481*(1-PlanterDiscount)*(1+PlanterDifficultyPercentage)),IF(AE1481="ELP",(VLOOKUP(A1481,'Discount Lookup'!J:K,2)*G1481*(1-PlanterDiscount)*(1+PlanterDifficultyPercentage)),IF(AE1481="free","re-planting",IF(G1481=0,"",IF(PlanterYesMe="",IF(AE1481="me","   not ELP, by",IF(AE1481="",IF(G1481&gt;0,(VLOOKUP(A1481,'Discount Lookup'!J:K,2)*G1481*(1-PlanterDiscount)*(1+PlanterDifficultyPercentage)),""),"")),"   not ELP, by"))))))))))))))</f>
        <v/>
      </c>
      <c r="AD1481" s="712"/>
      <c r="AE1481" s="513" t="str">
        <f t="shared" si="1061"/>
        <v/>
      </c>
      <c r="AF1481" s="713" t="str">
        <f t="shared" si="1062"/>
        <v/>
      </c>
      <c r="AG1481" s="713"/>
      <c r="AH1481" s="713"/>
      <c r="AI1481" s="112">
        <f>IF(H1481="credit",0,IF(AE1481="free",0,IF(AE1481="me",0,IF(G1481&gt;0,(VLOOKUP(A1481,'Discount Lookup'!J:K,2)*G1481),0))))</f>
        <v>0</v>
      </c>
      <c r="AJ1481" s="107" t="str">
        <f t="shared" ca="1" si="1063"/>
        <v/>
      </c>
      <c r="AK1481" s="714" t="str">
        <f t="shared" si="1064"/>
        <v/>
      </c>
      <c r="AL1481" s="714"/>
      <c r="AM1481" s="114" t="str">
        <f t="shared" si="1065"/>
        <v/>
      </c>
      <c r="AN1481" s="115"/>
      <c r="AO1481" s="116"/>
      <c r="AP1481" s="116"/>
      <c r="AQ1481" s="116"/>
      <c r="AR1481" s="116"/>
      <c r="AS1481" s="116"/>
      <c r="AT1481" s="116"/>
      <c r="AU1481" s="116"/>
      <c r="AV1481" s="78"/>
      <c r="AW1481" s="102"/>
      <c r="AX1481" s="78"/>
      <c r="AY1481" s="78"/>
      <c r="AZ1481" s="78"/>
      <c r="BA1481" s="78"/>
      <c r="BB1481" s="78"/>
      <c r="BC1481" s="78"/>
      <c r="BD1481" s="78"/>
      <c r="BE1481" s="465"/>
      <c r="BF1481" s="165" t="str">
        <f t="shared" si="1066"/>
        <v>https://www.google.com/search?tbm=isch&amp;q=3%20G4</v>
      </c>
      <c r="BG1481" s="165" t="str">
        <f t="shared" si="1067"/>
        <v>D</v>
      </c>
      <c r="BH1481" s="65"/>
      <c r="BI1481" s="65"/>
      <c r="BJ1481" s="65"/>
      <c r="BK1481" s="65"/>
      <c r="BL1481" s="99"/>
      <c r="BM1481" s="99"/>
      <c r="BN1481" s="99"/>
    </row>
    <row r="1482" spans="1:66" s="51" customFormat="1" ht="15.75" x14ac:dyDescent="0.25">
      <c r="A1482" s="705" t="s">
        <v>5390</v>
      </c>
      <c r="B1482" s="487"/>
      <c r="C1482" s="707"/>
      <c r="D1482" s="487"/>
      <c r="E1482" s="487"/>
      <c r="F1482" s="488"/>
      <c r="G1482" s="489"/>
      <c r="H1482" s="487"/>
      <c r="I1482" s="490"/>
      <c r="J1482" s="490"/>
      <c r="K1482" s="491"/>
      <c r="L1482" s="547"/>
      <c r="M1482" s="528"/>
      <c r="N1482" s="492"/>
      <c r="O1482" s="493"/>
      <c r="P1482" s="494"/>
      <c r="Q1482" s="492"/>
      <c r="R1482" s="492"/>
      <c r="S1482" s="495"/>
      <c r="T1482" s="102">
        <f t="shared" si="1055"/>
        <v>0</v>
      </c>
      <c r="U1482" s="78" t="str">
        <f>IF(NOT(ISNUMBER(G1482)), "", VLOOKUP(A1482,'Discount Lookup'!D:E,2,FALSE)*G1482)</f>
        <v/>
      </c>
      <c r="V1482" s="78" t="str">
        <f>IF(NOT(ISNUMBER(G1482)), "", VLOOKUP(A1482,'Discount Lookup'!G:H,2,FALSE)*G1482)</f>
        <v/>
      </c>
      <c r="W1482" s="102">
        <f t="shared" si="1056"/>
        <v>0</v>
      </c>
      <c r="X1482" s="102">
        <f t="shared" si="1057"/>
        <v>0</v>
      </c>
      <c r="Y1482" s="120" t="b">
        <f t="shared" si="1058"/>
        <v>0</v>
      </c>
      <c r="Z1482" s="117">
        <f t="shared" si="1059"/>
        <v>0</v>
      </c>
      <c r="AA1482" s="118"/>
      <c r="AB1482" s="118" t="str">
        <f t="shared" si="1060"/>
        <v/>
      </c>
      <c r="AC1482" s="712" t="str">
        <f>IF(AE1482="T2G","no charge",IF(AND(OR(PlanterYesMe="No",PlanterYesMe="N",PlanterYesMe="me"),H1482=""),"",IF(H1482="credit","NO install",IF(AND(K1482="",AE1482="me"),"EACH row",IF(AND(K1482="images",AE1482="me"),"EACH row",IF(D1482="","",IF(H1482="credit","",IF(AE1482="free","re-planting",IF(AE1482="me","   not ELP, by",IF(AND(OR(PlanterYesMe="Yes",PlanterYesMe="Y"),G1482&gt;0),(VLOOKUP(A1482,'Discount Lookup'!J:K,2)*G1482*(1-PlanterDiscount)*(1+PlanterDifficultyPercentage)),IF(AE1482="ELP",(VLOOKUP(A1482,'Discount Lookup'!J:K,2)*G1482*(1-PlanterDiscount)*(1+PlanterDifficultyPercentage)),IF(AE1482="free","re-planting",IF(G1482=0,"",IF(PlanterYesMe="",IF(AE1482="me","   not ELP, by",IF(AE1482="",IF(G1482&gt;0,(VLOOKUP(A1482,'Discount Lookup'!J:K,2)*G1482*(1-PlanterDiscount)*(1+PlanterDifficultyPercentage)),""),"")),"   not ELP, by"))))))))))))))</f>
        <v/>
      </c>
      <c r="AD1482" s="712"/>
      <c r="AE1482" s="513" t="str">
        <f t="shared" si="1061"/>
        <v/>
      </c>
      <c r="AF1482" s="713" t="str">
        <f t="shared" si="1062"/>
        <v/>
      </c>
      <c r="AG1482" s="713"/>
      <c r="AH1482" s="713"/>
      <c r="AI1482" s="112">
        <f>IF(H1482="credit",0,IF(AE1482="free",0,IF(AE1482="me",0,IF(G1482&gt;0,(VLOOKUP(A1482,'Discount Lookup'!J:K,2)*G1482),0))))</f>
        <v>0</v>
      </c>
      <c r="AJ1482" s="107" t="str">
        <f t="shared" ca="1" si="1063"/>
        <v/>
      </c>
      <c r="AK1482" s="714" t="str">
        <f t="shared" si="1064"/>
        <v/>
      </c>
      <c r="AL1482" s="714"/>
      <c r="AM1482" s="114" t="str">
        <f t="shared" si="1065"/>
        <v/>
      </c>
      <c r="AN1482" s="115"/>
      <c r="AO1482" s="116"/>
      <c r="AP1482" s="116"/>
      <c r="AQ1482" s="116"/>
      <c r="AR1482" s="116"/>
      <c r="AS1482" s="116"/>
      <c r="AT1482" s="116"/>
      <c r="AU1482" s="116"/>
      <c r="AV1482" s="78"/>
      <c r="AW1482" s="102"/>
      <c r="AX1482" s="78"/>
      <c r="AY1482" s="78"/>
      <c r="AZ1482" s="78"/>
      <c r="BA1482" s="78"/>
      <c r="BB1482" s="78"/>
      <c r="BC1482" s="78"/>
      <c r="BD1482" s="78"/>
      <c r="BE1482" s="465"/>
      <c r="BF1482" s="165" t="str">
        <f t="shared" si="1066"/>
        <v>https://www.google.com/search?tbm=isch&amp;q=moist%20sites%F0%9F%92%A7GOOD%2C%20Solomon%27s%20Seal%20has%20arching%20stems%2C%20Purple-speckled%20at%20the%20base%2C%20leathery%20leaves%2C%20and%20Creamy%20White%20to%20Pale%20Green%20bell-shaped%20flowers%20</v>
      </c>
      <c r="BG1482" s="165" t="str">
        <f t="shared" si="1067"/>
        <v>m</v>
      </c>
      <c r="BH1482" s="65"/>
      <c r="BI1482" s="65"/>
      <c r="BJ1482" s="65"/>
      <c r="BK1482" s="65"/>
      <c r="BL1482" s="99"/>
      <c r="BM1482" s="99"/>
      <c r="BN1482" s="99"/>
    </row>
    <row r="1483" spans="1:66" s="51" customFormat="1" ht="19.5" thickBot="1" x14ac:dyDescent="0.3">
      <c r="A1483" s="686" t="s">
        <v>410</v>
      </c>
      <c r="B1483" s="73"/>
      <c r="C1483" s="708"/>
      <c r="D1483" s="73"/>
      <c r="E1483" s="73"/>
      <c r="F1483" s="496"/>
      <c r="G1483" s="73"/>
      <c r="H1483" s="73"/>
      <c r="I1483" s="73"/>
      <c r="J1483" s="497" t="s">
        <v>357</v>
      </c>
      <c r="K1483" s="498"/>
      <c r="L1483" s="562"/>
      <c r="M1483" s="73"/>
      <c r="N1483"/>
      <c r="O1483"/>
      <c r="P1483"/>
      <c r="Q1483"/>
      <c r="R1483"/>
      <c r="S1483"/>
      <c r="T1483" s="102">
        <f t="shared" si="1055"/>
        <v>0</v>
      </c>
      <c r="U1483" s="78" t="str">
        <f>IF(NOT(ISNUMBER(G1483)), "", VLOOKUP(A1483,'Discount Lookup'!D:E,2,FALSE)*G1483)</f>
        <v/>
      </c>
      <c r="V1483" s="78" t="str">
        <f>IF(NOT(ISNUMBER(G1483)), "", VLOOKUP(A1483,'Discount Lookup'!G:H,2,FALSE)*G1483)</f>
        <v/>
      </c>
      <c r="W1483" s="102">
        <f t="shared" si="1056"/>
        <v>0</v>
      </c>
      <c r="X1483" s="102">
        <f t="shared" si="1057"/>
        <v>0</v>
      </c>
      <c r="Y1483" s="120" t="b">
        <f t="shared" si="1058"/>
        <v>0</v>
      </c>
      <c r="Z1483" s="117">
        <f t="shared" si="1059"/>
        <v>0</v>
      </c>
      <c r="AA1483" s="118"/>
      <c r="AB1483" s="118" t="str">
        <f t="shared" si="1060"/>
        <v/>
      </c>
      <c r="AC1483" s="712" t="str">
        <f>IF(AE1483="T2G","no charge",IF(AND(OR(PlanterYesMe="No",PlanterYesMe="N",PlanterYesMe="me"),H1483=""),"",IF(H1483="credit","NO install",IF(AND(K1483="",AE1483="me"),"EACH row",IF(AND(K1483="images",AE1483="me"),"EACH row",IF(D1483="","",IF(H1483="credit","",IF(AE1483="free","re-planting",IF(AE1483="me","   not ELP, by",IF(AND(OR(PlanterYesMe="Yes",PlanterYesMe="Y"),G1483&gt;0),(VLOOKUP(A1483,'Discount Lookup'!J:K,2)*G1483*(1-PlanterDiscount)*(1+PlanterDifficultyPercentage)),IF(AE1483="ELP",(VLOOKUP(A1483,'Discount Lookup'!J:K,2)*G1483*(1-PlanterDiscount)*(1+PlanterDifficultyPercentage)),IF(AE1483="free","re-planting",IF(G1483=0,"",IF(PlanterYesMe="",IF(AE1483="me","   not ELP, by",IF(AE1483="",IF(G1483&gt;0,(VLOOKUP(A1483,'Discount Lookup'!J:K,2)*G1483*(1-PlanterDiscount)*(1+PlanterDifficultyPercentage)),""),"")),"   not ELP, by"))))))))))))))</f>
        <v/>
      </c>
      <c r="AD1483" s="712"/>
      <c r="AE1483" s="513" t="str">
        <f t="shared" si="1061"/>
        <v/>
      </c>
      <c r="AF1483" s="713" t="str">
        <f t="shared" si="1062"/>
        <v/>
      </c>
      <c r="AG1483" s="713"/>
      <c r="AH1483" s="713"/>
      <c r="AI1483" s="112">
        <f>IF(H1483="credit",0,IF(AE1483="free",0,IF(AE1483="me",0,IF(G1483&gt;0,(VLOOKUP(A1483,'Discount Lookup'!J:K,2)*G1483),0))))</f>
        <v>0</v>
      </c>
      <c r="AJ1483" s="107" t="str">
        <f t="shared" ca="1" si="1063"/>
        <v/>
      </c>
      <c r="AK1483" s="714" t="str">
        <f t="shared" si="1064"/>
        <v/>
      </c>
      <c r="AL1483" s="714"/>
      <c r="AM1483" s="114" t="str">
        <f t="shared" si="1065"/>
        <v/>
      </c>
      <c r="AN1483" s="115"/>
      <c r="AO1483" s="116"/>
      <c r="AP1483" s="116"/>
      <c r="AQ1483" s="116"/>
      <c r="AR1483" s="116"/>
      <c r="AS1483" s="116"/>
      <c r="AT1483" s="116"/>
      <c r="AU1483" s="116"/>
      <c r="AV1483" s="78"/>
      <c r="AW1483" s="102"/>
      <c r="AX1483" s="78"/>
      <c r="AY1483" s="78"/>
      <c r="AZ1483" s="78"/>
      <c r="BA1483" s="78"/>
      <c r="BB1483" s="78"/>
      <c r="BC1483" s="78"/>
      <c r="BD1483" s="78"/>
      <c r="BE1483" s="465"/>
      <c r="BF1483" s="165" t="str">
        <f t="shared" si="1066"/>
        <v>https://www.google.com/search?tbm=isch&amp;q=Distylium%20%3D%20Distylium%20</v>
      </c>
      <c r="BG1483" s="165" t="str">
        <f t="shared" si="1067"/>
        <v>D</v>
      </c>
      <c r="BH1483" s="65"/>
      <c r="BI1483" s="65"/>
      <c r="BJ1483" s="65"/>
      <c r="BK1483" s="65"/>
      <c r="BL1483" s="99"/>
      <c r="BM1483" s="99"/>
      <c r="BN1483" s="99"/>
    </row>
    <row r="1484" spans="1:66" s="51" customFormat="1" ht="18" x14ac:dyDescent="0.25">
      <c r="A1484" s="507" t="s">
        <v>2425</v>
      </c>
      <c r="B1484" s="470"/>
      <c r="C1484" s="706"/>
      <c r="D1484" s="471" t="s">
        <v>5654</v>
      </c>
      <c r="E1484" s="472"/>
      <c r="F1484" s="472"/>
      <c r="G1484" s="472"/>
      <c r="H1484" s="622" t="s">
        <v>1088</v>
      </c>
      <c r="I1484" s="473" t="s">
        <v>565</v>
      </c>
      <c r="J1484" s="472"/>
      <c r="K1484" s="472"/>
      <c r="L1484" s="561"/>
      <c r="M1484" s="698" t="s">
        <v>5246</v>
      </c>
      <c r="N1484" s="692" t="str">
        <f>IF(AND(ISTEXT($A1484), ISERROR($A1484+0)), HYPERLINK($BF1484, "Images"), "")</f>
        <v>Images</v>
      </c>
      <c r="O1484" s="694" t="s">
        <v>5244</v>
      </c>
      <c r="P1484" s="475"/>
      <c r="Q1484" s="476"/>
      <c r="R1484" s="476"/>
      <c r="S1484" s="477"/>
      <c r="T1484" s="102">
        <f t="shared" si="1055"/>
        <v>0</v>
      </c>
      <c r="U1484" s="78" t="str">
        <f>IF(NOT(ISNUMBER(G1484)), "", VLOOKUP(A1484,'Discount Lookup'!D:E,2,FALSE)*G1484)</f>
        <v/>
      </c>
      <c r="V1484" s="78" t="str">
        <f>IF(NOT(ISNUMBER(G1484)), "", VLOOKUP(A1484,'Discount Lookup'!G:H,2,FALSE)*G1484)</f>
        <v/>
      </c>
      <c r="W1484" s="102">
        <f t="shared" si="1056"/>
        <v>0</v>
      </c>
      <c r="X1484" s="102" t="str">
        <f t="shared" si="1057"/>
        <v>Blue-Green foliage</v>
      </c>
      <c r="Y1484" s="120" t="b">
        <f t="shared" si="1058"/>
        <v>0</v>
      </c>
      <c r="Z1484" s="117">
        <f t="shared" si="1059"/>
        <v>0</v>
      </c>
      <c r="AA1484" s="118"/>
      <c r="AB1484" s="118" t="str">
        <f t="shared" si="1060"/>
        <v/>
      </c>
      <c r="AC1484" s="712" t="str">
        <f>IF(AE1484="T2G","no charge",IF(AND(OR(PlanterYesMe="No",PlanterYesMe="N",PlanterYesMe="me"),H1484=""),"",IF(H1484="credit","NO install",IF(AND(K1484="",AE1484="me"),"EACH row",IF(AND(K1484="images",AE1484="me"),"EACH row",IF(D1484="","",IF(H1484="credit","",IF(AE1484="free","re-planting",IF(AE1484="me","   not ELP, by",IF(AND(OR(PlanterYesMe="Yes",PlanterYesMe="Y"),G1484&gt;0),(VLOOKUP(A1484,'Discount Lookup'!J:K,2)*G1484*(1-PlanterDiscount)*(1+PlanterDifficultyPercentage)),IF(AE1484="ELP",(VLOOKUP(A1484,'Discount Lookup'!J:K,2)*G1484*(1-PlanterDiscount)*(1+PlanterDifficultyPercentage)),IF(AE1484="free","re-planting",IF(G1484=0,"",IF(PlanterYesMe="",IF(AE1484="me","   not ELP, by",IF(AE1484="",IF(G1484&gt;0,(VLOOKUP(A1484,'Discount Lookup'!J:K,2)*G1484*(1-PlanterDiscount)*(1+PlanterDifficultyPercentage)),""),"")),"   not ELP, by"))))))))))))))</f>
        <v/>
      </c>
      <c r="AD1484" s="712"/>
      <c r="AE1484" s="513" t="str">
        <f t="shared" si="1061"/>
        <v/>
      </c>
      <c r="AF1484" s="713" t="str">
        <f t="shared" si="1062"/>
        <v/>
      </c>
      <c r="AG1484" s="713"/>
      <c r="AH1484" s="713"/>
      <c r="AI1484" s="112">
        <f>IF(H1484="credit",0,IF(AE1484="free",0,IF(AE1484="me",0,IF(G1484&gt;0,(VLOOKUP(A1484,'Discount Lookup'!J:K,2)*G1484),0))))</f>
        <v>0</v>
      </c>
      <c r="AJ1484" s="107" t="str">
        <f t="shared" ca="1" si="1063"/>
        <v/>
      </c>
      <c r="AK1484" s="714" t="str">
        <f t="shared" si="1064"/>
        <v/>
      </c>
      <c r="AL1484" s="714"/>
      <c r="AM1484" s="114" t="str">
        <f t="shared" si="1065"/>
        <v/>
      </c>
      <c r="AN1484" s="115"/>
      <c r="AO1484" s="116"/>
      <c r="AP1484" s="116"/>
      <c r="AQ1484" s="116"/>
      <c r="AR1484" s="116"/>
      <c r="AS1484" s="116"/>
      <c r="AT1484" s="116"/>
      <c r="AU1484" s="116"/>
      <c r="AV1484" s="78"/>
      <c r="AW1484" s="102"/>
      <c r="AX1484" s="78"/>
      <c r="AY1484" s="78"/>
      <c r="AZ1484" s="78"/>
      <c r="BA1484" s="78"/>
      <c r="BB1484" s="78"/>
      <c r="BC1484" s="78"/>
      <c r="BD1484" s="78"/>
      <c r="BE1484" s="465"/>
      <c r="BF1484" s="165" t="str">
        <f t="shared" si="1066"/>
        <v>https://www.google.com/search?tbm=isch&amp;q=Distylium%20%27BLDY01%27%20PP%2332816%20Bayou%20Bliss%E2%84%A2%20Distylium</v>
      </c>
      <c r="BG1484" s="165" t="str">
        <f t="shared" si="1067"/>
        <v>D</v>
      </c>
      <c r="BH1484" s="65"/>
      <c r="BI1484" s="65"/>
      <c r="BJ1484" s="65"/>
      <c r="BK1484" s="65"/>
      <c r="BL1484" s="99"/>
      <c r="BM1484" s="99"/>
      <c r="BN1484" s="99"/>
    </row>
    <row r="1485" spans="1:66" s="51" customFormat="1" ht="15.75" x14ac:dyDescent="0.25">
      <c r="A1485" s="478">
        <v>3</v>
      </c>
      <c r="B1485" s="479" t="s">
        <v>291</v>
      </c>
      <c r="C1485" s="480" t="s">
        <v>2426</v>
      </c>
      <c r="D1485" s="481" t="s">
        <v>329</v>
      </c>
      <c r="E1485" s="482">
        <v>35.950000000000003</v>
      </c>
      <c r="F1485" s="483" t="s">
        <v>292</v>
      </c>
      <c r="G1485" s="484">
        <v>0</v>
      </c>
      <c r="H1485" s="688" t="str">
        <f>IF(G1485=0,"",IF(F1485="Buy",IF(G1485=1,"plant","plants"),IF(F1485&gt;0.01,"warranty","Error")))</f>
        <v/>
      </c>
      <c r="I1485" s="485">
        <f>IF(H1485="free",0,IF(H1485="credit",((E1485*(F1485))*G1485*-1),IF(F1485="Buy",(E1485*G1485),((E1485*(1-F1485))*G1485))))</f>
        <v>0</v>
      </c>
      <c r="J1485" s="485">
        <f>IF(H1485="warranty",0,(I1485*(_xlfn.SINGLE(SalesTaxPercentage))))</f>
        <v>0</v>
      </c>
      <c r="K1485" s="715">
        <f t="shared" ref="K1485" si="1084">I1485+J1485</f>
        <v>0</v>
      </c>
      <c r="L1485" s="715"/>
      <c r="M1485" s="689" t="str">
        <f ca="1">IF(AND(G1485&gt;0,E1485=0),"WARNING - no PRICE inserted",IF(H1485="free","FREE ~ no charge this plant",IF(H1485="credit",CONCATENATE("-$",ROUND(K1485*(1-_xlfn.SINGLE(T2GDiscount))*-1,2)," CREDIT after discount"),IF(_xlfn.SINGLE(T2GDiscount)=0,"",IF(G1485=0,"",IF(F1485="Buy",CONCATENATE("$",ROUND(K1485*(1-_xlfn.SINGLE(T2GDiscount)),2)," with ",(_xlfn.SINGLE(T2GDiscount)*100),"% discount"),CONCATENATE("$",ROUND(K1485*(1-_xlfn.SINGLE(T2GDiscount)),2)," with ",((_xlfn.SINGLE(T2GDiscount)*100+F1485*100)-(_xlfn.SINGLE(T2GDiscount)*100*F1485)),IF(F1485&gt;0,"% discounts",IF(_xlfn.SINGLE(NoWarrantyDiscount)&gt;0,"% discounts","% discount")))))))))</f>
        <v/>
      </c>
      <c r="N1485" s="690"/>
      <c r="O1485" s="486"/>
      <c r="P1485" s="486"/>
      <c r="Q1485" s="486"/>
      <c r="R1485" s="486"/>
      <c r="S1485" s="486"/>
      <c r="T1485" s="102">
        <f t="shared" si="1055"/>
        <v>0</v>
      </c>
      <c r="U1485" s="78">
        <f>IF(NOT(ISNUMBER(G1485)), "", VLOOKUP(A1485,'Discount Lookup'!D:E,2,FALSE)*G1485)</f>
        <v>0</v>
      </c>
      <c r="V1485" s="78">
        <f>IF(NOT(ISNUMBER(G1485)), "", VLOOKUP(A1485,'Discount Lookup'!G:H,2,FALSE)*G1485)</f>
        <v>0</v>
      </c>
      <c r="W1485" s="102">
        <f t="shared" si="1056"/>
        <v>0</v>
      </c>
      <c r="X1485" s="102">
        <f t="shared" si="1057"/>
        <v>0</v>
      </c>
      <c r="Y1485" s="120" t="b">
        <f t="shared" si="1058"/>
        <v>0</v>
      </c>
      <c r="Z1485" s="117">
        <f t="shared" si="1059"/>
        <v>0</v>
      </c>
      <c r="AA1485" s="118"/>
      <c r="AB1485" s="118" t="str">
        <f t="shared" si="1060"/>
        <v/>
      </c>
      <c r="AC1485" s="712" t="str">
        <f>IF(AE1485="T2G","no charge",IF(AND(OR(PlanterYesMe="No",PlanterYesMe="N",PlanterYesMe="me"),H1485=""),"",IF(H1485="credit","NO install",IF(AND(K1485="",AE1485="me"),"EACH row",IF(AND(K1485="images",AE1485="me"),"EACH row",IF(D1485="","",IF(H1485="credit","",IF(AE1485="free","re-planting",IF(AE1485="me","   not ELP, by",IF(AND(OR(PlanterYesMe="Yes",PlanterYesMe="Y"),G1485&gt;0),(VLOOKUP(A1485,'Discount Lookup'!J:K,2)*G1485*(1-PlanterDiscount)*(1+PlanterDifficultyPercentage)),IF(AE1485="ELP",(VLOOKUP(A1485,'Discount Lookup'!J:K,2)*G1485*(1-PlanterDiscount)*(1+PlanterDifficultyPercentage)),IF(AE1485="free","re-planting",IF(G1485=0,"",IF(PlanterYesMe="",IF(AE1485="me","   not ELP, by",IF(AE1485="",IF(G1485&gt;0,(VLOOKUP(A1485,'Discount Lookup'!J:K,2)*G1485*(1-PlanterDiscount)*(1+PlanterDifficultyPercentage)),""),"")),"   not ELP, by"))))))))))))))</f>
        <v/>
      </c>
      <c r="AD1485" s="712"/>
      <c r="AE1485" s="513" t="str">
        <f t="shared" si="1061"/>
        <v/>
      </c>
      <c r="AF1485" s="713" t="str">
        <f t="shared" si="1062"/>
        <v/>
      </c>
      <c r="AG1485" s="713"/>
      <c r="AH1485" s="713"/>
      <c r="AI1485" s="112">
        <f>IF(H1485="credit",0,IF(AE1485="free",0,IF(AE1485="me",0,IF(G1485&gt;0,(VLOOKUP(A1485,'Discount Lookup'!J:K,2)*G1485),0))))</f>
        <v>0</v>
      </c>
      <c r="AJ1485" s="107" t="str">
        <f t="shared" ca="1" si="1063"/>
        <v/>
      </c>
      <c r="AK1485" s="714" t="str">
        <f t="shared" si="1064"/>
        <v/>
      </c>
      <c r="AL1485" s="714"/>
      <c r="AM1485" s="114" t="str">
        <f t="shared" si="1065"/>
        <v/>
      </c>
      <c r="AN1485" s="115"/>
      <c r="AO1485" s="116"/>
      <c r="AP1485" s="116"/>
      <c r="AQ1485" s="116"/>
      <c r="AR1485" s="116"/>
      <c r="AS1485" s="116"/>
      <c r="AT1485" s="116"/>
      <c r="AU1485" s="116"/>
      <c r="AV1485" s="78"/>
      <c r="AW1485" s="102"/>
      <c r="AX1485" s="78"/>
      <c r="AY1485" s="78"/>
      <c r="AZ1485" s="78"/>
      <c r="BA1485" s="78"/>
      <c r="BB1485" s="78"/>
      <c r="BC1485" s="78"/>
      <c r="BD1485" s="78"/>
      <c r="BE1485" s="465"/>
      <c r="BF1485" s="165" t="str">
        <f t="shared" si="1066"/>
        <v>https://www.google.com/search?tbm=isch&amp;q=3%20G2</v>
      </c>
      <c r="BG1485" s="165" t="str">
        <f t="shared" si="1067"/>
        <v>D</v>
      </c>
      <c r="BH1485" s="65"/>
      <c r="BI1485" s="65"/>
      <c r="BJ1485" s="65"/>
      <c r="BK1485" s="65"/>
      <c r="BL1485" s="99"/>
      <c r="BM1485" s="99"/>
      <c r="BN1485" s="99"/>
    </row>
    <row r="1486" spans="1:66" s="51" customFormat="1" ht="16.5" thickBot="1" x14ac:dyDescent="0.3">
      <c r="A1486" s="508" t="s">
        <v>4721</v>
      </c>
      <c r="B1486" s="487"/>
      <c r="C1486" s="707"/>
      <c r="D1486" s="487"/>
      <c r="E1486" s="487"/>
      <c r="F1486" s="488"/>
      <c r="G1486" s="489"/>
      <c r="H1486" s="487"/>
      <c r="I1486" s="490"/>
      <c r="J1486" s="490"/>
      <c r="K1486" s="491"/>
      <c r="L1486" s="547"/>
      <c r="M1486" s="528"/>
      <c r="N1486" s="492"/>
      <c r="O1486" s="493"/>
      <c r="P1486" s="494"/>
      <c r="Q1486" s="492"/>
      <c r="R1486" s="492"/>
      <c r="S1486" s="699" t="s">
        <v>5259</v>
      </c>
      <c r="T1486" s="102">
        <f t="shared" si="1055"/>
        <v>0</v>
      </c>
      <c r="U1486" s="78" t="str">
        <f>IF(NOT(ISNUMBER(G1486)), "", VLOOKUP(A1486,'Discount Lookup'!D:E,2,FALSE)*G1486)</f>
        <v/>
      </c>
      <c r="V1486" s="78" t="str">
        <f>IF(NOT(ISNUMBER(G1486)), "", VLOOKUP(A1486,'Discount Lookup'!G:H,2,FALSE)*G1486)</f>
        <v/>
      </c>
      <c r="W1486" s="102">
        <f t="shared" si="1056"/>
        <v>0</v>
      </c>
      <c r="X1486" s="102">
        <f t="shared" si="1057"/>
        <v>0</v>
      </c>
      <c r="Y1486" s="120" t="b">
        <f t="shared" si="1058"/>
        <v>0</v>
      </c>
      <c r="Z1486" s="117">
        <f t="shared" si="1059"/>
        <v>0</v>
      </c>
      <c r="AA1486" s="118"/>
      <c r="AB1486" s="118" t="str">
        <f t="shared" si="1060"/>
        <v/>
      </c>
      <c r="AC1486" s="712" t="str">
        <f>IF(AE1486="T2G","no charge",IF(AND(OR(PlanterYesMe="No",PlanterYesMe="N",PlanterYesMe="me"),H1486=""),"",IF(H1486="credit","NO install",IF(AND(K1486="",AE1486="me"),"EACH row",IF(AND(K1486="images",AE1486="me"),"EACH row",IF(D1486="","",IF(H1486="credit","",IF(AE1486="free","re-planting",IF(AE1486="me","   not ELP, by",IF(AND(OR(PlanterYesMe="Yes",PlanterYesMe="Y"),G1486&gt;0),(VLOOKUP(A1486,'Discount Lookup'!J:K,2)*G1486*(1-PlanterDiscount)*(1+PlanterDifficultyPercentage)),IF(AE1486="ELP",(VLOOKUP(A1486,'Discount Lookup'!J:K,2)*G1486*(1-PlanterDiscount)*(1+PlanterDifficultyPercentage)),IF(AE1486="free","re-planting",IF(G1486=0,"",IF(PlanterYesMe="",IF(AE1486="me","   not ELP, by",IF(AE1486="",IF(G1486&gt;0,(VLOOKUP(A1486,'Discount Lookup'!J:K,2)*G1486*(1-PlanterDiscount)*(1+PlanterDifficultyPercentage)),""),"")),"   not ELP, by"))))))))))))))</f>
        <v/>
      </c>
      <c r="AD1486" s="712"/>
      <c r="AE1486" s="513" t="str">
        <f t="shared" si="1061"/>
        <v/>
      </c>
      <c r="AF1486" s="713" t="str">
        <f t="shared" si="1062"/>
        <v/>
      </c>
      <c r="AG1486" s="713"/>
      <c r="AH1486" s="713"/>
      <c r="AI1486" s="112">
        <f>IF(H1486="credit",0,IF(AE1486="free",0,IF(AE1486="me",0,IF(G1486&gt;0,(VLOOKUP(A1486,'Discount Lookup'!J:K,2)*G1486),0))))</f>
        <v>0</v>
      </c>
      <c r="AJ1486" s="107" t="str">
        <f t="shared" ca="1" si="1063"/>
        <v/>
      </c>
      <c r="AK1486" s="714" t="str">
        <f t="shared" si="1064"/>
        <v/>
      </c>
      <c r="AL1486" s="714"/>
      <c r="AM1486" s="114" t="str">
        <f t="shared" si="1065"/>
        <v/>
      </c>
      <c r="AN1486" s="115"/>
      <c r="AO1486" s="116"/>
      <c r="AP1486" s="116"/>
      <c r="AQ1486" s="116"/>
      <c r="AR1486" s="116"/>
      <c r="AS1486" s="116"/>
      <c r="AT1486" s="116"/>
      <c r="AU1486" s="116"/>
      <c r="AV1486" s="78"/>
      <c r="AW1486" s="102"/>
      <c r="AX1486" s="78"/>
      <c r="AY1486" s="78"/>
      <c r="AZ1486" s="78"/>
      <c r="BA1486" s="78"/>
      <c r="BB1486" s="78"/>
      <c r="BC1486" s="78"/>
      <c r="BD1486" s="78"/>
      <c r="BE1486" s="465"/>
      <c r="BF1486" s="165" t="str">
        <f t="shared" si="1066"/>
        <v>https://www.google.com/search?tbm=isch&amp;q=Bayou%20Bliss%20has%20Deep%20Burgundy-Red%20new%20growth%20and%20subtle%20Red%20late-winter%20blooms.%20Good%20boxwood%20alternative.%20Heat%20and%20drought%20tolerant%20</v>
      </c>
      <c r="BG1486" s="165" t="str">
        <f t="shared" si="1067"/>
        <v>B</v>
      </c>
      <c r="BH1486" s="65"/>
      <c r="BI1486" s="65"/>
      <c r="BJ1486" s="65"/>
      <c r="BK1486" s="65"/>
      <c r="BL1486" s="99"/>
      <c r="BM1486" s="99"/>
      <c r="BN1486" s="99"/>
    </row>
    <row r="1487" spans="1:66" s="51" customFormat="1" ht="18" x14ac:dyDescent="0.25">
      <c r="A1487" s="507" t="s">
        <v>2427</v>
      </c>
      <c r="B1487" s="470"/>
      <c r="C1487" s="706"/>
      <c r="D1487" s="471" t="s">
        <v>5655</v>
      </c>
      <c r="E1487" s="472"/>
      <c r="F1487" s="472"/>
      <c r="G1487" s="472"/>
      <c r="H1487" s="622" t="s">
        <v>1124</v>
      </c>
      <c r="I1487" s="473" t="s">
        <v>431</v>
      </c>
      <c r="J1487" s="472"/>
      <c r="K1487" s="472"/>
      <c r="L1487" s="561"/>
      <c r="M1487" s="698" t="s">
        <v>5246</v>
      </c>
      <c r="N1487" s="692" t="str">
        <f>IF(AND(ISTEXT($A1487), ISERROR($A1487+0)), HYPERLINK($BF1487, "Images"), "")</f>
        <v>Images</v>
      </c>
      <c r="O1487" s="694" t="s">
        <v>5244</v>
      </c>
      <c r="P1487" s="475"/>
      <c r="Q1487" s="476"/>
      <c r="R1487" s="476"/>
      <c r="S1487" s="477"/>
      <c r="T1487" s="102">
        <f t="shared" si="1055"/>
        <v>0</v>
      </c>
      <c r="U1487" s="78" t="str">
        <f>IF(NOT(ISNUMBER(G1487)), "", VLOOKUP(A1487,'Discount Lookup'!D:E,2,FALSE)*G1487)</f>
        <v/>
      </c>
      <c r="V1487" s="78" t="str">
        <f>IF(NOT(ISNUMBER(G1487)), "", VLOOKUP(A1487,'Discount Lookup'!G:H,2,FALSE)*G1487)</f>
        <v/>
      </c>
      <c r="W1487" s="102">
        <f t="shared" si="1056"/>
        <v>0</v>
      </c>
      <c r="X1487" s="102" t="str">
        <f t="shared" si="1057"/>
        <v>Dark Green foliage</v>
      </c>
      <c r="Y1487" s="120" t="b">
        <f t="shared" si="1058"/>
        <v>0</v>
      </c>
      <c r="Z1487" s="117">
        <f t="shared" si="1059"/>
        <v>0</v>
      </c>
      <c r="AA1487" s="118"/>
      <c r="AB1487" s="118" t="str">
        <f t="shared" si="1060"/>
        <v/>
      </c>
      <c r="AC1487" s="712" t="str">
        <f>IF(AE1487="T2G","no charge",IF(AND(OR(PlanterYesMe="No",PlanterYesMe="N",PlanterYesMe="me"),H1487=""),"",IF(H1487="credit","NO install",IF(AND(K1487="",AE1487="me"),"EACH row",IF(AND(K1487="images",AE1487="me"),"EACH row",IF(D1487="","",IF(H1487="credit","",IF(AE1487="free","re-planting",IF(AE1487="me","   not ELP, by",IF(AND(OR(PlanterYesMe="Yes",PlanterYesMe="Y"),G1487&gt;0),(VLOOKUP(A1487,'Discount Lookup'!J:K,2)*G1487*(1-PlanterDiscount)*(1+PlanterDifficultyPercentage)),IF(AE1487="ELP",(VLOOKUP(A1487,'Discount Lookup'!J:K,2)*G1487*(1-PlanterDiscount)*(1+PlanterDifficultyPercentage)),IF(AE1487="free","re-planting",IF(G1487=0,"",IF(PlanterYesMe="",IF(AE1487="me","   not ELP, by",IF(AE1487="",IF(G1487&gt;0,(VLOOKUP(A1487,'Discount Lookup'!J:K,2)*G1487*(1-PlanterDiscount)*(1+PlanterDifficultyPercentage)),""),"")),"   not ELP, by"))))))))))))))</f>
        <v/>
      </c>
      <c r="AD1487" s="712"/>
      <c r="AE1487" s="513" t="str">
        <f t="shared" si="1061"/>
        <v/>
      </c>
      <c r="AF1487" s="713" t="str">
        <f t="shared" si="1062"/>
        <v/>
      </c>
      <c r="AG1487" s="713"/>
      <c r="AH1487" s="713"/>
      <c r="AI1487" s="112">
        <f>IF(H1487="credit",0,IF(AE1487="free",0,IF(AE1487="me",0,IF(G1487&gt;0,(VLOOKUP(A1487,'Discount Lookup'!J:K,2)*G1487),0))))</f>
        <v>0</v>
      </c>
      <c r="AJ1487" s="107" t="str">
        <f t="shared" ca="1" si="1063"/>
        <v/>
      </c>
      <c r="AK1487" s="714" t="str">
        <f t="shared" si="1064"/>
        <v/>
      </c>
      <c r="AL1487" s="714"/>
      <c r="AM1487" s="114" t="str">
        <f t="shared" si="1065"/>
        <v/>
      </c>
      <c r="AN1487" s="115"/>
      <c r="AO1487" s="116"/>
      <c r="AP1487" s="116"/>
      <c r="AQ1487" s="116"/>
      <c r="AR1487" s="116"/>
      <c r="AS1487" s="116"/>
      <c r="AT1487" s="116"/>
      <c r="AU1487" s="116"/>
      <c r="AV1487" s="78"/>
      <c r="AW1487" s="102"/>
      <c r="AX1487" s="78"/>
      <c r="AY1487" s="78"/>
      <c r="AZ1487" s="78"/>
      <c r="BA1487" s="78"/>
      <c r="BB1487" s="78"/>
      <c r="BC1487" s="78"/>
      <c r="BD1487" s="78"/>
      <c r="BE1487" s="465"/>
      <c r="BF1487" s="165" t="str">
        <f t="shared" si="1066"/>
        <v>https://www.google.com/search?tbm=isch&amp;q=Distylium%20%27BLDY02%27%20PP%2332785%20Cast%20in%20Bronze%C2%AE%20Distylium</v>
      </c>
      <c r="BG1487" s="165" t="str">
        <f t="shared" si="1067"/>
        <v>D</v>
      </c>
      <c r="BH1487" s="65"/>
      <c r="BI1487" s="65"/>
      <c r="BJ1487" s="65"/>
      <c r="BK1487" s="65"/>
      <c r="BL1487" s="99"/>
      <c r="BM1487" s="99"/>
      <c r="BN1487" s="99"/>
    </row>
    <row r="1488" spans="1:66" s="51" customFormat="1" ht="15.75" x14ac:dyDescent="0.25">
      <c r="A1488" s="478">
        <v>3</v>
      </c>
      <c r="B1488" s="479" t="s">
        <v>291</v>
      </c>
      <c r="C1488" s="480" t="s">
        <v>2428</v>
      </c>
      <c r="D1488" s="481" t="s">
        <v>329</v>
      </c>
      <c r="E1488" s="482">
        <v>33.950000000000003</v>
      </c>
      <c r="F1488" s="483" t="s">
        <v>292</v>
      </c>
      <c r="G1488" s="484">
        <v>0</v>
      </c>
      <c r="H1488" s="688" t="str">
        <f>IF(G1488=0,"",IF(F1488="Buy",IF(G1488=1,"plant","plants"),IF(F1488&gt;0.01,"warranty","Error")))</f>
        <v/>
      </c>
      <c r="I1488" s="485">
        <f>IF(H1488="free",0,IF(H1488="credit",((E1488*(F1488))*G1488*-1),IF(F1488="Buy",(E1488*G1488),((E1488*(1-F1488))*G1488))))</f>
        <v>0</v>
      </c>
      <c r="J1488" s="485">
        <f>IF(H1488="warranty",0,(I1488*(_xlfn.SINGLE(SalesTaxPercentage))))</f>
        <v>0</v>
      </c>
      <c r="K1488" s="715">
        <f t="shared" ref="K1488" si="1085">I1488+J1488</f>
        <v>0</v>
      </c>
      <c r="L1488" s="715"/>
      <c r="M1488" s="689" t="str">
        <f ca="1">IF(AND(G1488&gt;0,E1488=0),"WARNING - no PRICE inserted",IF(H1488="free","FREE ~ no charge this plant",IF(H1488="credit",CONCATENATE("-$",ROUND(K1488*(1-_xlfn.SINGLE(T2GDiscount))*-1,2)," CREDIT after discount"),IF(_xlfn.SINGLE(T2GDiscount)=0,"",IF(G1488=0,"",IF(F1488="Buy",CONCATENATE("$",ROUND(K1488*(1-_xlfn.SINGLE(T2GDiscount)),2)," with ",(_xlfn.SINGLE(T2GDiscount)*100),"% discount"),CONCATENATE("$",ROUND(K1488*(1-_xlfn.SINGLE(T2GDiscount)),2)," with ",((_xlfn.SINGLE(T2GDiscount)*100+F1488*100)-(_xlfn.SINGLE(T2GDiscount)*100*F1488)),IF(F1488&gt;0,"% discounts",IF(_xlfn.SINGLE(NoWarrantyDiscount)&gt;0,"% discounts","% discount")))))))))</f>
        <v/>
      </c>
      <c r="N1488" s="690"/>
      <c r="O1488" s="486"/>
      <c r="P1488" s="486"/>
      <c r="Q1488" s="486"/>
      <c r="R1488" s="486"/>
      <c r="S1488" s="486"/>
      <c r="T1488" s="102">
        <f t="shared" si="1055"/>
        <v>0</v>
      </c>
      <c r="U1488" s="78">
        <f>IF(NOT(ISNUMBER(G1488)), "", VLOOKUP(A1488,'Discount Lookup'!D:E,2,FALSE)*G1488)</f>
        <v>0</v>
      </c>
      <c r="V1488" s="78">
        <f>IF(NOT(ISNUMBER(G1488)), "", VLOOKUP(A1488,'Discount Lookup'!G:H,2,FALSE)*G1488)</f>
        <v>0</v>
      </c>
      <c r="W1488" s="102">
        <f t="shared" si="1056"/>
        <v>0</v>
      </c>
      <c r="X1488" s="102">
        <f t="shared" si="1057"/>
        <v>0</v>
      </c>
      <c r="Y1488" s="120" t="b">
        <f t="shared" si="1058"/>
        <v>0</v>
      </c>
      <c r="Z1488" s="117">
        <f t="shared" si="1059"/>
        <v>0</v>
      </c>
      <c r="AA1488" s="118"/>
      <c r="AB1488" s="118" t="str">
        <f t="shared" si="1060"/>
        <v/>
      </c>
      <c r="AC1488" s="712" t="str">
        <f>IF(AE1488="T2G","no charge",IF(AND(OR(PlanterYesMe="No",PlanterYesMe="N",PlanterYesMe="me"),H1488=""),"",IF(H1488="credit","NO install",IF(AND(K1488="",AE1488="me"),"EACH row",IF(AND(K1488="images",AE1488="me"),"EACH row",IF(D1488="","",IF(H1488="credit","",IF(AE1488="free","re-planting",IF(AE1488="me","   not ELP, by",IF(AND(OR(PlanterYesMe="Yes",PlanterYesMe="Y"),G1488&gt;0),(VLOOKUP(A1488,'Discount Lookup'!J:K,2)*G1488*(1-PlanterDiscount)*(1+PlanterDifficultyPercentage)),IF(AE1488="ELP",(VLOOKUP(A1488,'Discount Lookup'!J:K,2)*G1488*(1-PlanterDiscount)*(1+PlanterDifficultyPercentage)),IF(AE1488="free","re-planting",IF(G1488=0,"",IF(PlanterYesMe="",IF(AE1488="me","   not ELP, by",IF(AE1488="",IF(G1488&gt;0,(VLOOKUP(A1488,'Discount Lookup'!J:K,2)*G1488*(1-PlanterDiscount)*(1+PlanterDifficultyPercentage)),""),"")),"   not ELP, by"))))))))))))))</f>
        <v/>
      </c>
      <c r="AD1488" s="712"/>
      <c r="AE1488" s="513" t="str">
        <f t="shared" si="1061"/>
        <v/>
      </c>
      <c r="AF1488" s="713" t="str">
        <f t="shared" si="1062"/>
        <v/>
      </c>
      <c r="AG1488" s="713"/>
      <c r="AH1488" s="713"/>
      <c r="AI1488" s="112">
        <f>IF(H1488="credit",0,IF(AE1488="free",0,IF(AE1488="me",0,IF(G1488&gt;0,(VLOOKUP(A1488,'Discount Lookup'!J:K,2)*G1488),0))))</f>
        <v>0</v>
      </c>
      <c r="AJ1488" s="107" t="str">
        <f t="shared" ca="1" si="1063"/>
        <v/>
      </c>
      <c r="AK1488" s="714" t="str">
        <f t="shared" si="1064"/>
        <v/>
      </c>
      <c r="AL1488" s="714"/>
      <c r="AM1488" s="114" t="str">
        <f t="shared" si="1065"/>
        <v/>
      </c>
      <c r="AN1488" s="115"/>
      <c r="AO1488" s="116"/>
      <c r="AP1488" s="116"/>
      <c r="AQ1488" s="116"/>
      <c r="AR1488" s="116"/>
      <c r="AS1488" s="116"/>
      <c r="AT1488" s="116"/>
      <c r="AU1488" s="116"/>
      <c r="AV1488" s="78"/>
      <c r="AW1488" s="102"/>
      <c r="AX1488" s="78"/>
      <c r="AY1488" s="78"/>
      <c r="AZ1488" s="78"/>
      <c r="BA1488" s="78"/>
      <c r="BB1488" s="78"/>
      <c r="BC1488" s="78"/>
      <c r="BD1488" s="78"/>
      <c r="BE1488" s="465"/>
      <c r="BF1488" s="165" t="str">
        <f t="shared" si="1066"/>
        <v>https://www.google.com/search?tbm=isch&amp;q=3%20G2</v>
      </c>
      <c r="BG1488" s="165" t="str">
        <f t="shared" si="1067"/>
        <v>D</v>
      </c>
      <c r="BH1488" s="65"/>
      <c r="BI1488" s="65"/>
      <c r="BJ1488" s="65"/>
      <c r="BK1488" s="65"/>
      <c r="BL1488" s="99"/>
      <c r="BM1488" s="99"/>
      <c r="BN1488" s="99"/>
    </row>
    <row r="1489" spans="1:66" s="51" customFormat="1" ht="16.5" thickBot="1" x14ac:dyDescent="0.3">
      <c r="A1489" s="508" t="s">
        <v>4722</v>
      </c>
      <c r="B1489" s="487"/>
      <c r="C1489" s="707"/>
      <c r="D1489" s="487"/>
      <c r="E1489" s="487"/>
      <c r="F1489" s="488"/>
      <c r="G1489" s="489"/>
      <c r="H1489" s="487"/>
      <c r="I1489" s="490"/>
      <c r="J1489" s="490"/>
      <c r="K1489" s="491"/>
      <c r="L1489" s="547"/>
      <c r="M1489" s="528"/>
      <c r="N1489" s="492"/>
      <c r="O1489" s="493"/>
      <c r="P1489" s="494"/>
      <c r="Q1489" s="492"/>
      <c r="R1489" s="492"/>
      <c r="S1489" s="699" t="s">
        <v>5259</v>
      </c>
      <c r="T1489" s="102">
        <f t="shared" si="1055"/>
        <v>0</v>
      </c>
      <c r="U1489" s="78" t="str">
        <f>IF(NOT(ISNUMBER(G1489)), "", VLOOKUP(A1489,'Discount Lookup'!D:E,2,FALSE)*G1489)</f>
        <v/>
      </c>
      <c r="V1489" s="78" t="str">
        <f>IF(NOT(ISNUMBER(G1489)), "", VLOOKUP(A1489,'Discount Lookup'!G:H,2,FALSE)*G1489)</f>
        <v/>
      </c>
      <c r="W1489" s="102">
        <f t="shared" si="1056"/>
        <v>0</v>
      </c>
      <c r="X1489" s="102">
        <f t="shared" si="1057"/>
        <v>0</v>
      </c>
      <c r="Y1489" s="120" t="b">
        <f t="shared" si="1058"/>
        <v>0</v>
      </c>
      <c r="Z1489" s="117">
        <f t="shared" si="1059"/>
        <v>0</v>
      </c>
      <c r="AA1489" s="118"/>
      <c r="AB1489" s="118" t="str">
        <f t="shared" si="1060"/>
        <v/>
      </c>
      <c r="AC1489" s="712" t="str">
        <f>IF(AE1489="T2G","no charge",IF(AND(OR(PlanterYesMe="No",PlanterYesMe="N",PlanterYesMe="me"),H1489=""),"",IF(H1489="credit","NO install",IF(AND(K1489="",AE1489="me"),"EACH row",IF(AND(K1489="images",AE1489="me"),"EACH row",IF(D1489="","",IF(H1489="credit","",IF(AE1489="free","re-planting",IF(AE1489="me","   not ELP, by",IF(AND(OR(PlanterYesMe="Yes",PlanterYesMe="Y"),G1489&gt;0),(VLOOKUP(A1489,'Discount Lookup'!J:K,2)*G1489*(1-PlanterDiscount)*(1+PlanterDifficultyPercentage)),IF(AE1489="ELP",(VLOOKUP(A1489,'Discount Lookup'!J:K,2)*G1489*(1-PlanterDiscount)*(1+PlanterDifficultyPercentage)),IF(AE1489="free","re-planting",IF(G1489=0,"",IF(PlanterYesMe="",IF(AE1489="me","   not ELP, by",IF(AE1489="",IF(G1489&gt;0,(VLOOKUP(A1489,'Discount Lookup'!J:K,2)*G1489*(1-PlanterDiscount)*(1+PlanterDifficultyPercentage)),""),"")),"   not ELP, by"))))))))))))))</f>
        <v/>
      </c>
      <c r="AD1489" s="712"/>
      <c r="AE1489" s="513" t="str">
        <f t="shared" si="1061"/>
        <v/>
      </c>
      <c r="AF1489" s="713" t="str">
        <f t="shared" si="1062"/>
        <v/>
      </c>
      <c r="AG1489" s="713"/>
      <c r="AH1489" s="713"/>
      <c r="AI1489" s="112">
        <f>IF(H1489="credit",0,IF(AE1489="free",0,IF(AE1489="me",0,IF(G1489&gt;0,(VLOOKUP(A1489,'Discount Lookup'!J:K,2)*G1489),0))))</f>
        <v>0</v>
      </c>
      <c r="AJ1489" s="107" t="str">
        <f t="shared" ca="1" si="1063"/>
        <v/>
      </c>
      <c r="AK1489" s="714" t="str">
        <f t="shared" si="1064"/>
        <v/>
      </c>
      <c r="AL1489" s="714"/>
      <c r="AM1489" s="114" t="str">
        <f t="shared" si="1065"/>
        <v/>
      </c>
      <c r="AN1489" s="115"/>
      <c r="AO1489" s="116"/>
      <c r="AP1489" s="116"/>
      <c r="AQ1489" s="116"/>
      <c r="AR1489" s="116"/>
      <c r="AS1489" s="116"/>
      <c r="AT1489" s="116"/>
      <c r="AU1489" s="116"/>
      <c r="AV1489" s="78"/>
      <c r="AW1489" s="102"/>
      <c r="AX1489" s="78"/>
      <c r="AY1489" s="78"/>
      <c r="AZ1489" s="78"/>
      <c r="BA1489" s="78"/>
      <c r="BB1489" s="78"/>
      <c r="BC1489" s="78"/>
      <c r="BD1489" s="78"/>
      <c r="BE1489" s="465"/>
      <c r="BF1489" s="165" t="str">
        <f t="shared" si="1066"/>
        <v>https://www.google.com/search?tbm=isch&amp;q=Cast%20in%20Bronze%20foliage%20emergess%20Bronzy-Maroon.%20Subtle%20Reddish%20late%20winter%20blooms.%20Compact%20upright%20habit.%20Heat%20and%20drought%20tolerant%20</v>
      </c>
      <c r="BG1489" s="165" t="str">
        <f t="shared" si="1067"/>
        <v>C</v>
      </c>
      <c r="BH1489" s="65"/>
      <c r="BI1489" s="65"/>
      <c r="BJ1489" s="65"/>
      <c r="BK1489" s="65"/>
      <c r="BL1489" s="99"/>
      <c r="BM1489" s="99"/>
      <c r="BN1489" s="99"/>
    </row>
    <row r="1490" spans="1:66" s="51" customFormat="1" ht="18" x14ac:dyDescent="0.25">
      <c r="A1490" s="507" t="s">
        <v>2429</v>
      </c>
      <c r="B1490" s="470"/>
      <c r="C1490" s="706"/>
      <c r="D1490" s="471" t="s">
        <v>5874</v>
      </c>
      <c r="E1490" s="472"/>
      <c r="F1490" s="472"/>
      <c r="G1490" s="472"/>
      <c r="H1490" s="622" t="s">
        <v>1207</v>
      </c>
      <c r="I1490" s="473" t="s">
        <v>1983</v>
      </c>
      <c r="J1490" s="472"/>
      <c r="K1490" s="472"/>
      <c r="L1490" s="561"/>
      <c r="M1490" s="698" t="s">
        <v>5246</v>
      </c>
      <c r="N1490" s="692" t="str">
        <f>IF(AND(ISTEXT($A1490), ISERROR($A1490+0)), HYPERLINK($BF1490, "Images"), "")</f>
        <v>Images</v>
      </c>
      <c r="O1490" s="694" t="s">
        <v>5244</v>
      </c>
      <c r="P1490" s="475"/>
      <c r="Q1490" s="476"/>
      <c r="R1490" s="476"/>
      <c r="S1490" s="477"/>
      <c r="T1490" s="102">
        <f t="shared" si="1055"/>
        <v>0</v>
      </c>
      <c r="U1490" s="78" t="str">
        <f>IF(NOT(ISNUMBER(G1490)), "", VLOOKUP(A1490,'Discount Lookup'!D:E,2,FALSE)*G1490)</f>
        <v/>
      </c>
      <c r="V1490" s="78" t="str">
        <f>IF(NOT(ISNUMBER(G1490)), "", VLOOKUP(A1490,'Discount Lookup'!G:H,2,FALSE)*G1490)</f>
        <v/>
      </c>
      <c r="W1490" s="102">
        <f t="shared" si="1056"/>
        <v>0</v>
      </c>
      <c r="X1490" s="102" t="str">
        <f t="shared" si="1057"/>
        <v>Emerald Green foliage</v>
      </c>
      <c r="Y1490" s="120" t="b">
        <f t="shared" si="1058"/>
        <v>0</v>
      </c>
      <c r="Z1490" s="117">
        <f t="shared" si="1059"/>
        <v>0</v>
      </c>
      <c r="AA1490" s="118"/>
      <c r="AB1490" s="118" t="str">
        <f t="shared" si="1060"/>
        <v/>
      </c>
      <c r="AC1490" s="712" t="str">
        <f>IF(AE1490="T2G","no charge",IF(AND(OR(PlanterYesMe="No",PlanterYesMe="N",PlanterYesMe="me"),H1490=""),"",IF(H1490="credit","NO install",IF(AND(K1490="",AE1490="me"),"EACH row",IF(AND(K1490="images",AE1490="me"),"EACH row",IF(D1490="","",IF(H1490="credit","",IF(AE1490="free","re-planting",IF(AE1490="me","   not ELP, by",IF(AND(OR(PlanterYesMe="Yes",PlanterYesMe="Y"),G1490&gt;0),(VLOOKUP(A1490,'Discount Lookup'!J:K,2)*G1490*(1-PlanterDiscount)*(1+PlanterDifficultyPercentage)),IF(AE1490="ELP",(VLOOKUP(A1490,'Discount Lookup'!J:K,2)*G1490*(1-PlanterDiscount)*(1+PlanterDifficultyPercentage)),IF(AE1490="free","re-planting",IF(G1490=0,"",IF(PlanterYesMe="",IF(AE1490="me","   not ELP, by",IF(AE1490="",IF(G1490&gt;0,(VLOOKUP(A1490,'Discount Lookup'!J:K,2)*G1490*(1-PlanterDiscount)*(1+PlanterDifficultyPercentage)),""),"")),"   not ELP, by"))))))))))))))</f>
        <v/>
      </c>
      <c r="AD1490" s="712"/>
      <c r="AE1490" s="513" t="str">
        <f t="shared" si="1061"/>
        <v/>
      </c>
      <c r="AF1490" s="713" t="str">
        <f t="shared" si="1062"/>
        <v/>
      </c>
      <c r="AG1490" s="713"/>
      <c r="AH1490" s="713"/>
      <c r="AI1490" s="112">
        <f>IF(H1490="credit",0,IF(AE1490="free",0,IF(AE1490="me",0,IF(G1490&gt;0,(VLOOKUP(A1490,'Discount Lookup'!J:K,2)*G1490),0))))</f>
        <v>0</v>
      </c>
      <c r="AJ1490" s="107" t="str">
        <f t="shared" ca="1" si="1063"/>
        <v/>
      </c>
      <c r="AK1490" s="714" t="str">
        <f t="shared" si="1064"/>
        <v/>
      </c>
      <c r="AL1490" s="714"/>
      <c r="AM1490" s="114" t="str">
        <f t="shared" si="1065"/>
        <v/>
      </c>
      <c r="AN1490" s="115"/>
      <c r="AO1490" s="116"/>
      <c r="AP1490" s="116"/>
      <c r="AQ1490" s="116"/>
      <c r="AR1490" s="116"/>
      <c r="AS1490" s="116"/>
      <c r="AT1490" s="116"/>
      <c r="AU1490" s="116"/>
      <c r="AV1490" s="78"/>
      <c r="AW1490" s="102"/>
      <c r="AX1490" s="78"/>
      <c r="AY1490" s="78"/>
      <c r="AZ1490" s="78"/>
      <c r="BA1490" s="78"/>
      <c r="BB1490" s="78"/>
      <c r="BC1490" s="78"/>
      <c r="BD1490" s="78"/>
      <c r="BE1490" s="465"/>
      <c r="BF1490" s="165" t="str">
        <f t="shared" si="1066"/>
        <v>https://www.google.com/search?tbm=isch&amp;q=Distylium%20%27PIIDIST-I%27%20PP%2324410%20Emerald%20Heights%C2%AE%20Distylium%20%28FE%C2%AE%29</v>
      </c>
      <c r="BG1490" s="165" t="str">
        <f t="shared" si="1067"/>
        <v>D</v>
      </c>
      <c r="BH1490" s="65"/>
      <c r="BI1490" s="65"/>
      <c r="BJ1490" s="65"/>
      <c r="BK1490" s="65"/>
      <c r="BL1490" s="99"/>
      <c r="BM1490" s="99"/>
      <c r="BN1490" s="99"/>
    </row>
    <row r="1491" spans="1:66" s="51" customFormat="1" ht="15.75" x14ac:dyDescent="0.25">
      <c r="A1491" s="478">
        <v>3</v>
      </c>
      <c r="B1491" s="479" t="s">
        <v>291</v>
      </c>
      <c r="C1491" s="480" t="s">
        <v>2430</v>
      </c>
      <c r="D1491" s="481" t="s">
        <v>329</v>
      </c>
      <c r="E1491" s="482">
        <v>33.950000000000003</v>
      </c>
      <c r="F1491" s="483" t="s">
        <v>292</v>
      </c>
      <c r="G1491" s="484">
        <v>0</v>
      </c>
      <c r="H1491" s="688" t="str">
        <f>IF(G1491=0,"",IF(F1491="Buy",IF(G1491=1,"plant","plants"),IF(F1491&gt;0.01,"warranty","Error")))</f>
        <v/>
      </c>
      <c r="I1491" s="485">
        <f>IF(H1491="free",0,IF(H1491="credit",((E1491*(F1491))*G1491*-1),IF(F1491="Buy",(E1491*G1491),((E1491*(1-F1491))*G1491))))</f>
        <v>0</v>
      </c>
      <c r="J1491" s="485">
        <f>IF(H1491="warranty",0,(I1491*(_xlfn.SINGLE(SalesTaxPercentage))))</f>
        <v>0</v>
      </c>
      <c r="K1491" s="715">
        <f t="shared" ref="K1491" si="1086">I1491+J1491</f>
        <v>0</v>
      </c>
      <c r="L1491" s="715"/>
      <c r="M1491" s="689" t="str">
        <f ca="1">IF(AND(G1491&gt;0,E1491=0),"WARNING - no PRICE inserted",IF(H1491="free","FREE ~ no charge this plant",IF(H1491="credit",CONCATENATE("-$",ROUND(K1491*(1-_xlfn.SINGLE(T2GDiscount))*-1,2)," CREDIT after discount"),IF(_xlfn.SINGLE(T2GDiscount)=0,"",IF(G1491=0,"",IF(F1491="Buy",CONCATENATE("$",ROUND(K1491*(1-_xlfn.SINGLE(T2GDiscount)),2)," with ",(_xlfn.SINGLE(T2GDiscount)*100),"% discount"),CONCATENATE("$",ROUND(K1491*(1-_xlfn.SINGLE(T2GDiscount)),2)," with ",((_xlfn.SINGLE(T2GDiscount)*100+F1491*100)-(_xlfn.SINGLE(T2GDiscount)*100*F1491)),IF(F1491&gt;0,"% discounts",IF(_xlfn.SINGLE(NoWarrantyDiscount)&gt;0,"% discounts","% discount")))))))))</f>
        <v/>
      </c>
      <c r="N1491" s="690"/>
      <c r="O1491" s="486"/>
      <c r="P1491" s="486"/>
      <c r="Q1491" s="486"/>
      <c r="R1491" s="486"/>
      <c r="S1491" s="486"/>
      <c r="T1491" s="102">
        <f t="shared" si="1055"/>
        <v>0</v>
      </c>
      <c r="U1491" s="78">
        <f>IF(NOT(ISNUMBER(G1491)), "", VLOOKUP(A1491,'Discount Lookup'!D:E,2,FALSE)*G1491)</f>
        <v>0</v>
      </c>
      <c r="V1491" s="78">
        <f>IF(NOT(ISNUMBER(G1491)), "", VLOOKUP(A1491,'Discount Lookup'!G:H,2,FALSE)*G1491)</f>
        <v>0</v>
      </c>
      <c r="W1491" s="102">
        <f t="shared" si="1056"/>
        <v>0</v>
      </c>
      <c r="X1491" s="102">
        <f t="shared" si="1057"/>
        <v>0</v>
      </c>
      <c r="Y1491" s="120" t="b">
        <f t="shared" si="1058"/>
        <v>0</v>
      </c>
      <c r="Z1491" s="117">
        <f t="shared" si="1059"/>
        <v>0</v>
      </c>
      <c r="AA1491" s="118"/>
      <c r="AB1491" s="118" t="str">
        <f t="shared" si="1060"/>
        <v/>
      </c>
      <c r="AC1491" s="712" t="str">
        <f>IF(AE1491="T2G","no charge",IF(AND(OR(PlanterYesMe="No",PlanterYesMe="N",PlanterYesMe="me"),H1491=""),"",IF(H1491="credit","NO install",IF(AND(K1491="",AE1491="me"),"EACH row",IF(AND(K1491="images",AE1491="me"),"EACH row",IF(D1491="","",IF(H1491="credit","",IF(AE1491="free","re-planting",IF(AE1491="me","   not ELP, by",IF(AND(OR(PlanterYesMe="Yes",PlanterYesMe="Y"),G1491&gt;0),(VLOOKUP(A1491,'Discount Lookup'!J:K,2)*G1491*(1-PlanterDiscount)*(1+PlanterDifficultyPercentage)),IF(AE1491="ELP",(VLOOKUP(A1491,'Discount Lookup'!J:K,2)*G1491*(1-PlanterDiscount)*(1+PlanterDifficultyPercentage)),IF(AE1491="free","re-planting",IF(G1491=0,"",IF(PlanterYesMe="",IF(AE1491="me","   not ELP, by",IF(AE1491="",IF(G1491&gt;0,(VLOOKUP(A1491,'Discount Lookup'!J:K,2)*G1491*(1-PlanterDiscount)*(1+PlanterDifficultyPercentage)),""),"")),"   not ELP, by"))))))))))))))</f>
        <v/>
      </c>
      <c r="AD1491" s="712"/>
      <c r="AE1491" s="513" t="str">
        <f t="shared" si="1061"/>
        <v/>
      </c>
      <c r="AF1491" s="713" t="str">
        <f t="shared" si="1062"/>
        <v/>
      </c>
      <c r="AG1491" s="713"/>
      <c r="AH1491" s="713"/>
      <c r="AI1491" s="112">
        <f>IF(H1491="credit",0,IF(AE1491="free",0,IF(AE1491="me",0,IF(G1491&gt;0,(VLOOKUP(A1491,'Discount Lookup'!J:K,2)*G1491),0))))</f>
        <v>0</v>
      </c>
      <c r="AJ1491" s="107" t="str">
        <f t="shared" ca="1" si="1063"/>
        <v/>
      </c>
      <c r="AK1491" s="714" t="str">
        <f t="shared" si="1064"/>
        <v/>
      </c>
      <c r="AL1491" s="714"/>
      <c r="AM1491" s="114" t="str">
        <f t="shared" si="1065"/>
        <v/>
      </c>
      <c r="AN1491" s="115"/>
      <c r="AO1491" s="116"/>
      <c r="AP1491" s="116"/>
      <c r="AQ1491" s="116"/>
      <c r="AR1491" s="116"/>
      <c r="AS1491" s="116"/>
      <c r="AT1491" s="116"/>
      <c r="AU1491" s="116"/>
      <c r="AV1491" s="78"/>
      <c r="AW1491" s="102"/>
      <c r="AX1491" s="78"/>
      <c r="AY1491" s="78"/>
      <c r="AZ1491" s="78"/>
      <c r="BA1491" s="78"/>
      <c r="BB1491" s="78"/>
      <c r="BC1491" s="78"/>
      <c r="BD1491" s="78"/>
      <c r="BE1491" s="465"/>
      <c r="BF1491" s="165" t="str">
        <f t="shared" si="1066"/>
        <v>https://www.google.com/search?tbm=isch&amp;q=3%20G2</v>
      </c>
      <c r="BG1491" s="165" t="str">
        <f t="shared" si="1067"/>
        <v>D</v>
      </c>
      <c r="BH1491" s="65"/>
      <c r="BI1491" s="65"/>
      <c r="BJ1491" s="65"/>
      <c r="BK1491" s="65"/>
      <c r="BL1491" s="99"/>
      <c r="BM1491" s="99"/>
      <c r="BN1491" s="99"/>
    </row>
    <row r="1492" spans="1:66" s="51" customFormat="1" ht="15.75" x14ac:dyDescent="0.25">
      <c r="A1492" s="478">
        <v>3</v>
      </c>
      <c r="B1492" s="479" t="s">
        <v>291</v>
      </c>
      <c r="C1492" s="480" t="s">
        <v>2431</v>
      </c>
      <c r="D1492" s="481" t="s">
        <v>311</v>
      </c>
      <c r="E1492" s="482">
        <v>36.950000000000003</v>
      </c>
      <c r="F1492" s="483" t="s">
        <v>292</v>
      </c>
      <c r="G1492" s="484">
        <v>0</v>
      </c>
      <c r="H1492" s="688" t="str">
        <f>IF(G1492=0,"",IF(F1492="Buy",IF(G1492=1,"plant","plants"),IF(F1492&gt;0.01,"warranty","Error")))</f>
        <v/>
      </c>
      <c r="I1492" s="485">
        <f>IF(H1492="free",0,IF(H1492="credit",((E1492*(F1492))*G1492*-1),IF(F1492="Buy",(E1492*G1492),((E1492*(1-F1492))*G1492))))</f>
        <v>0</v>
      </c>
      <c r="J1492" s="485">
        <f>IF(H1492="warranty",0,(I1492*(_xlfn.SINGLE(SalesTaxPercentage))))</f>
        <v>0</v>
      </c>
      <c r="K1492" s="715">
        <f t="shared" ref="K1492" si="1087">I1492+J1492</f>
        <v>0</v>
      </c>
      <c r="L1492" s="715"/>
      <c r="M1492" s="689" t="str">
        <f ca="1">IF(AND(G1492&gt;0,E1492=0),"WARNING - no PRICE inserted",IF(H1492="free","FREE ~ no charge this plant",IF(H1492="credit",CONCATENATE("-$",ROUND(K1492*(1-_xlfn.SINGLE(T2GDiscount))*-1,2)," CREDIT after discount"),IF(_xlfn.SINGLE(T2GDiscount)=0,"",IF(G1492=0,"",IF(F1492="Buy",CONCATENATE("$",ROUND(K1492*(1-_xlfn.SINGLE(T2GDiscount)),2)," with ",(_xlfn.SINGLE(T2GDiscount)*100),"% discount"),CONCATENATE("$",ROUND(K1492*(1-_xlfn.SINGLE(T2GDiscount)),2)," with ",((_xlfn.SINGLE(T2GDiscount)*100+F1492*100)-(_xlfn.SINGLE(T2GDiscount)*100*F1492)),IF(F1492&gt;0,"% discounts",IF(_xlfn.SINGLE(NoWarrantyDiscount)&gt;0,"% discounts","% discount")))))))))</f>
        <v/>
      </c>
      <c r="N1492" s="690"/>
      <c r="O1492" s="486"/>
      <c r="P1492" s="486"/>
      <c r="Q1492" s="486"/>
      <c r="R1492" s="486"/>
      <c r="S1492" s="486"/>
      <c r="T1492" s="102">
        <f t="shared" ref="T1492:T1555" si="1088">E1492*G1492</f>
        <v>0</v>
      </c>
      <c r="U1492" s="78">
        <f>IF(NOT(ISNUMBER(G1492)), "", VLOOKUP(A1492,'Discount Lookup'!D:E,2,FALSE)*G1492)</f>
        <v>0</v>
      </c>
      <c r="V1492" s="78">
        <f>IF(NOT(ISNUMBER(G1492)), "", VLOOKUP(A1492,'Discount Lookup'!G:H,2,FALSE)*G1492)</f>
        <v>0</v>
      </c>
      <c r="W1492" s="102">
        <f t="shared" ref="W1492:W1555" si="1089">IF(H1492="credit",0,E1492*(SalesTaxPercentage)*G1492)</f>
        <v>0</v>
      </c>
      <c r="X1492" s="102">
        <f t="shared" ref="X1492:X1555" si="1090">I1492</f>
        <v>0</v>
      </c>
      <c r="Y1492" s="120" t="b">
        <f t="shared" ref="Y1492:Y1555" si="1091">IF(AE1492="T2G",0,IF(H1492="credit",0,IF(G1492&gt;0,IF(AE1492="me","",G1492))))</f>
        <v>0</v>
      </c>
      <c r="Z1492" s="117">
        <f t="shared" ref="Z1492:Z1555" si="1092">IF(H1492="credit",G1492,0)</f>
        <v>0</v>
      </c>
      <c r="AA1492" s="118"/>
      <c r="AB1492" s="118" t="str">
        <f t="shared" ref="AB1492:AB1555" si="1093">IF(AE1492="T2G","by Trees2Go",IF(H1492="credit","CREDIT only ~",IF(AND(K1492="",AE1492=OR(PlanterYesMe="No",PlanterYesMe="N",PlanterYesMe="me")),"not THIS line⇨",IF(AND(K1492="images",AE1492="me"),"not THIS line⇨",IF(H1492="credit","",IF(G1492=0,"",IF(AE1492="me","",IF(OR(PlanterYesMe="No",PlanterYesMe="N",PlanterYesMe="me"),"",IF(AE1492="free","warranty",IF(OR(PlanterYesMe="yes",PlanterYesMe="y"),"Edison install:","to install:"))))))))))</f>
        <v/>
      </c>
      <c r="AC1492" s="712" t="str">
        <f>IF(AE1492="T2G","no charge",IF(AND(OR(PlanterYesMe="No",PlanterYesMe="N",PlanterYesMe="me"),H1492=""),"",IF(H1492="credit","NO install",IF(AND(K1492="",AE1492="me"),"EACH row",IF(AND(K1492="images",AE1492="me"),"EACH row",IF(D1492="","",IF(H1492="credit","",IF(AE1492="free","re-planting",IF(AE1492="me","   not ELP, by",IF(AND(OR(PlanterYesMe="Yes",PlanterYesMe="Y"),G1492&gt;0),(VLOOKUP(A1492,'Discount Lookup'!J:K,2)*G1492*(1-PlanterDiscount)*(1+PlanterDifficultyPercentage)),IF(AE1492="ELP",(VLOOKUP(A1492,'Discount Lookup'!J:K,2)*G1492*(1-PlanterDiscount)*(1+PlanterDifficultyPercentage)),IF(AE1492="free","re-planting",IF(G1492=0,"",IF(PlanterYesMe="",IF(AE1492="me","   not ELP, by",IF(AE1492="",IF(G1492&gt;0,(VLOOKUP(A1492,'Discount Lookup'!J:K,2)*G1492*(1-PlanterDiscount)*(1+PlanterDifficultyPercentage)),""),"")),"   not ELP, by"))))))))))))))</f>
        <v/>
      </c>
      <c r="AD1492" s="712"/>
      <c r="AE1492" s="513" t="str">
        <f t="shared" ref="AE1492:AE1555" si="1094">IF(H1492="credit","",IF(G1492=0,"",IF(OR(PlanterYesMe="No",PlanterYesMe="N",PlanterYesMe="me"),"me",IF(H1492="warranty","free",IF(OR(PlanterYesMe="yes",PlanterYesMe="y"),"ELP","")))))</f>
        <v/>
      </c>
      <c r="AF1492" s="713" t="str">
        <f t="shared" ref="AF1492:AF1555" si="1095">IF(OR(PlanterYesMe="No",PlanterYesMe="N",PlanterYesMe="me"),"",IF(H1492="credit","",IF(G1492&gt;0,(CONCATENATE((G1492)," quantity, ",(A1492)," ",B1492)),"")))</f>
        <v/>
      </c>
      <c r="AG1492" s="713"/>
      <c r="AH1492" s="713"/>
      <c r="AI1492" s="112">
        <f>IF(H1492="credit",0,IF(AE1492="free",0,IF(AE1492="me",0,IF(G1492&gt;0,(VLOOKUP(A1492,'Discount Lookup'!J:K,2)*G1492),0))))</f>
        <v>0</v>
      </c>
      <c r="AJ1492" s="107" t="str">
        <f t="shared" ref="AJ1492:AJ1555" ca="1" si="1096">IF(AND(ISREF(H1492),H1492="credit"),"",IF(AND(AND(OFFSET(G1492,0,0)=0,OFFSET(G1492,1,0)&gt;0,ISNUMBER(OFFSET(AC1492,1,0)),OFFSET(AC1492,1,0)&gt;0),OR(PlanterYesMe="yes",PlanterYesMe="y")),"T2G+ELP=",IF(AND(OFFSET(G1492,0,0)=0,OFFSET(G1492,1,0)&gt;0,ISNUMBER(OFFSET(AC1492,1,0)),OFFSET(AC1492,1,0)&gt;0),"if T2G+ELP=",IF(AND(OFFSET(G1492,0,0)=0,OFFSET(G1492,1,0)&gt;0),"T2G Subtotal",IF(H1492="credit","",IF(G1492=0,"",IF(AE1492="free",(K1492*(1-T2GDiscount)),IF(OR(PlanterYesMe="No",PlanterYesMe="N",PlanterYesMe="me"),(K1492*(1-T2GDiscount)),IF(OR(AE1492="me",AE1492="T2G"),(K1492*(1-T2GDiscount)),(K1492*(1-T2GDiscount))+AC1492)))))))))</f>
        <v/>
      </c>
      <c r="AK1492" s="714" t="str">
        <f t="shared" ref="AK1492:AK1555" si="1097">IF(H1492="credit","",IF(G1492=0,"",IF(OR(AE1492="me",AE1492="T2G"),"  delivery-only",IF(OR(PlanterYesMe="No",PlanterYesMe="N",PlanterYesMe="me"),"  delivery-only",CONCATENATE(" $",ROUND(AJ1492/G1492,2)," each")))))</f>
        <v/>
      </c>
      <c r="AL1492" s="714"/>
      <c r="AM1492" s="114" t="str">
        <f t="shared" ref="AM1492:AM1555" si="1098">IF(H1492="credit","",IF(AE1492="free","      ~ discounts included, no tax or planting fee applies ~",IF(G1492=0,"",IF(OR(PlanterYesMe="No",PlanterYesMe="N",PlanterYesMe="me"),CONCATENATE(" $",ROUND(AJ1492/G1492,2)," per plant, with tax &amp; discount"),IF(OR(AE1492="me",AE1492="T2G"),CONCATENATE(" $",ROUND(AJ1492/G1492,2)," per plant, with tax &amp; discount"),CONCATENATE("= $",ROUND((K1492*(1-T2GDiscount))/G1492,2)," per plant + $",AC1492/G1492,(" per planting      ~ includes tax &amp; discounts ~")))))))</f>
        <v/>
      </c>
      <c r="AN1492" s="115"/>
      <c r="AO1492" s="116"/>
      <c r="AP1492" s="116"/>
      <c r="AQ1492" s="116"/>
      <c r="AR1492" s="116"/>
      <c r="AS1492" s="116"/>
      <c r="AT1492" s="116"/>
      <c r="AU1492" s="116"/>
      <c r="AV1492" s="78"/>
      <c r="AW1492" s="102"/>
      <c r="AX1492" s="78"/>
      <c r="AY1492" s="78"/>
      <c r="AZ1492" s="78"/>
      <c r="BA1492" s="78"/>
      <c r="BB1492" s="78"/>
      <c r="BC1492" s="78"/>
      <c r="BD1492" s="78"/>
      <c r="BE1492" s="465"/>
      <c r="BF1492" s="165" t="str">
        <f t="shared" ref="BF1492:BF1555" si="1099">"https://www.google.com/search?tbm=isch&amp;q=" &amp; _xlfn.ENCODEURL($A1492 &amp; " " &amp; $D1492)</f>
        <v>https://www.google.com/search?tbm=isch&amp;q=3%20G5</v>
      </c>
      <c r="BG1492" s="165" t="str">
        <f t="shared" ref="BG1492:BG1555" si="1100">IF(ISTEXT(A1492),LEFT(A1492,1),BG1491)</f>
        <v>D</v>
      </c>
      <c r="BH1492" s="65"/>
      <c r="BI1492" s="65"/>
      <c r="BJ1492" s="65"/>
      <c r="BK1492" s="65"/>
      <c r="BL1492" s="99"/>
      <c r="BM1492" s="99"/>
      <c r="BN1492" s="99"/>
    </row>
    <row r="1493" spans="1:66" s="51" customFormat="1" ht="15.75" x14ac:dyDescent="0.25">
      <c r="A1493" s="478">
        <v>7</v>
      </c>
      <c r="B1493" s="479" t="s">
        <v>291</v>
      </c>
      <c r="C1493" s="480" t="s">
        <v>2432</v>
      </c>
      <c r="D1493" s="481" t="s">
        <v>311</v>
      </c>
      <c r="E1493" s="482">
        <v>79.95</v>
      </c>
      <c r="F1493" s="483" t="s">
        <v>292</v>
      </c>
      <c r="G1493" s="484">
        <v>0</v>
      </c>
      <c r="H1493" s="688" t="str">
        <f>IF(G1493=0,"",IF(F1493="Buy",IF(G1493=1,"plant","plants"),IF(F1493&gt;0.01,"warranty","Error")))</f>
        <v/>
      </c>
      <c r="I1493" s="485">
        <f>IF(H1493="free",0,IF(H1493="credit",((E1493*(F1493))*G1493*-1),IF(F1493="Buy",(E1493*G1493),((E1493*(1-F1493))*G1493))))</f>
        <v>0</v>
      </c>
      <c r="J1493" s="485">
        <f>IF(H1493="warranty",0,(I1493*(_xlfn.SINGLE(SalesTaxPercentage))))</f>
        <v>0</v>
      </c>
      <c r="K1493" s="715">
        <f t="shared" ref="K1493" si="1101">I1493+J1493</f>
        <v>0</v>
      </c>
      <c r="L1493" s="715"/>
      <c r="M1493" s="689" t="str">
        <f ca="1">IF(AND(G1493&gt;0,E1493=0),"WARNING - no PRICE inserted",IF(H1493="free","FREE ~ no charge this plant",IF(H1493="credit",CONCATENATE("-$",ROUND(K1493*(1-_xlfn.SINGLE(T2GDiscount))*-1,2)," CREDIT after discount"),IF(_xlfn.SINGLE(T2GDiscount)=0,"",IF(G1493=0,"",IF(F1493="Buy",CONCATENATE("$",ROUND(K1493*(1-_xlfn.SINGLE(T2GDiscount)),2)," with ",(_xlfn.SINGLE(T2GDiscount)*100),"% discount"),CONCATENATE("$",ROUND(K1493*(1-_xlfn.SINGLE(T2GDiscount)),2)," with ",((_xlfn.SINGLE(T2GDiscount)*100+F1493*100)-(_xlfn.SINGLE(T2GDiscount)*100*F1493)),IF(F1493&gt;0,"% discounts",IF(_xlfn.SINGLE(NoWarrantyDiscount)&gt;0,"% discounts","% discount")))))))))</f>
        <v/>
      </c>
      <c r="N1493" s="690"/>
      <c r="O1493" s="486"/>
      <c r="P1493" s="486"/>
      <c r="Q1493" s="486"/>
      <c r="R1493" s="486"/>
      <c r="S1493" s="486"/>
      <c r="T1493" s="102">
        <f t="shared" si="1088"/>
        <v>0</v>
      </c>
      <c r="U1493" s="78">
        <f>IF(NOT(ISNUMBER(G1493)), "", VLOOKUP(A1493,'Discount Lookup'!D:E,2,FALSE)*G1493)</f>
        <v>0</v>
      </c>
      <c r="V1493" s="78">
        <f>IF(NOT(ISNUMBER(G1493)), "", VLOOKUP(A1493,'Discount Lookup'!G:H,2,FALSE)*G1493)</f>
        <v>0</v>
      </c>
      <c r="W1493" s="102">
        <f t="shared" si="1089"/>
        <v>0</v>
      </c>
      <c r="X1493" s="102">
        <f t="shared" si="1090"/>
        <v>0</v>
      </c>
      <c r="Y1493" s="120" t="b">
        <f t="shared" si="1091"/>
        <v>0</v>
      </c>
      <c r="Z1493" s="117">
        <f t="shared" si="1092"/>
        <v>0</v>
      </c>
      <c r="AA1493" s="118"/>
      <c r="AB1493" s="118" t="str">
        <f t="shared" si="1093"/>
        <v/>
      </c>
      <c r="AC1493" s="712" t="str">
        <f>IF(AE1493="T2G","no charge",IF(AND(OR(PlanterYesMe="No",PlanterYesMe="N",PlanterYesMe="me"),H1493=""),"",IF(H1493="credit","NO install",IF(AND(K1493="",AE1493="me"),"EACH row",IF(AND(K1493="images",AE1493="me"),"EACH row",IF(D1493="","",IF(H1493="credit","",IF(AE1493="free","re-planting",IF(AE1493="me","   not ELP, by",IF(AND(OR(PlanterYesMe="Yes",PlanterYesMe="Y"),G1493&gt;0),(VLOOKUP(A1493,'Discount Lookup'!J:K,2)*G1493*(1-PlanterDiscount)*(1+PlanterDifficultyPercentage)),IF(AE1493="ELP",(VLOOKUP(A1493,'Discount Lookup'!J:K,2)*G1493*(1-PlanterDiscount)*(1+PlanterDifficultyPercentage)),IF(AE1493="free","re-planting",IF(G1493=0,"",IF(PlanterYesMe="",IF(AE1493="me","   not ELP, by",IF(AE1493="",IF(G1493&gt;0,(VLOOKUP(A1493,'Discount Lookup'!J:K,2)*G1493*(1-PlanterDiscount)*(1+PlanterDifficultyPercentage)),""),"")),"   not ELP, by"))))))))))))))</f>
        <v/>
      </c>
      <c r="AD1493" s="712"/>
      <c r="AE1493" s="513" t="str">
        <f t="shared" si="1094"/>
        <v/>
      </c>
      <c r="AF1493" s="713" t="str">
        <f t="shared" si="1095"/>
        <v/>
      </c>
      <c r="AG1493" s="713"/>
      <c r="AH1493" s="713"/>
      <c r="AI1493" s="112">
        <f>IF(H1493="credit",0,IF(AE1493="free",0,IF(AE1493="me",0,IF(G1493&gt;0,(VLOOKUP(A1493,'Discount Lookup'!J:K,2)*G1493),0))))</f>
        <v>0</v>
      </c>
      <c r="AJ1493" s="107" t="str">
        <f t="shared" ca="1" si="1096"/>
        <v/>
      </c>
      <c r="AK1493" s="714" t="str">
        <f t="shared" si="1097"/>
        <v/>
      </c>
      <c r="AL1493" s="714"/>
      <c r="AM1493" s="114" t="str">
        <f t="shared" si="1098"/>
        <v/>
      </c>
      <c r="AN1493" s="115"/>
      <c r="AO1493" s="116"/>
      <c r="AP1493" s="116"/>
      <c r="AQ1493" s="116"/>
      <c r="AR1493" s="116"/>
      <c r="AS1493" s="116"/>
      <c r="AT1493" s="116"/>
      <c r="AU1493" s="116"/>
      <c r="AV1493" s="78"/>
      <c r="AW1493" s="102"/>
      <c r="AX1493" s="78"/>
      <c r="AY1493" s="78"/>
      <c r="AZ1493" s="78"/>
      <c r="BA1493" s="78"/>
      <c r="BB1493" s="78"/>
      <c r="BC1493" s="78"/>
      <c r="BD1493" s="78"/>
      <c r="BE1493" s="465"/>
      <c r="BF1493" s="165" t="str">
        <f t="shared" si="1099"/>
        <v>https://www.google.com/search?tbm=isch&amp;q=7%20G5</v>
      </c>
      <c r="BG1493" s="165" t="str">
        <f t="shared" si="1100"/>
        <v>D</v>
      </c>
      <c r="BH1493" s="65"/>
      <c r="BI1493" s="65"/>
      <c r="BJ1493" s="65"/>
      <c r="BK1493" s="65"/>
      <c r="BL1493" s="99"/>
      <c r="BM1493" s="99"/>
      <c r="BN1493" s="99"/>
    </row>
    <row r="1494" spans="1:66" s="51" customFormat="1" ht="15.75" x14ac:dyDescent="0.25">
      <c r="A1494" s="478">
        <v>7</v>
      </c>
      <c r="B1494" s="479" t="s">
        <v>291</v>
      </c>
      <c r="C1494" s="480" t="s">
        <v>2433</v>
      </c>
      <c r="D1494" s="481" t="s">
        <v>299</v>
      </c>
      <c r="E1494" s="482">
        <v>95.95</v>
      </c>
      <c r="F1494" s="483" t="s">
        <v>292</v>
      </c>
      <c r="G1494" s="484">
        <v>0</v>
      </c>
      <c r="H1494" s="688" t="str">
        <f>IF(G1494=0,"",IF(F1494="Buy",IF(G1494=1,"plant","plants"),IF(F1494&gt;0.01,"warranty","Error")))</f>
        <v/>
      </c>
      <c r="I1494" s="485">
        <f>IF(H1494="free",0,IF(H1494="credit",((E1494*(F1494))*G1494*-1),IF(F1494="Buy",(E1494*G1494),((E1494*(1-F1494))*G1494))))</f>
        <v>0</v>
      </c>
      <c r="J1494" s="485">
        <f>IF(H1494="warranty",0,(I1494*(_xlfn.SINGLE(SalesTaxPercentage))))</f>
        <v>0</v>
      </c>
      <c r="K1494" s="715">
        <f t="shared" ref="K1494" si="1102">I1494+J1494</f>
        <v>0</v>
      </c>
      <c r="L1494" s="715"/>
      <c r="M1494" s="689" t="str">
        <f ca="1">IF(AND(G1494&gt;0,E1494=0),"WARNING - no PRICE inserted",IF(H1494="free","FREE ~ no charge this plant",IF(H1494="credit",CONCATENATE("-$",ROUND(K1494*(1-_xlfn.SINGLE(T2GDiscount))*-1,2)," CREDIT after discount"),IF(_xlfn.SINGLE(T2GDiscount)=0,"",IF(G1494=0,"",IF(F1494="Buy",CONCATENATE("$",ROUND(K1494*(1-_xlfn.SINGLE(T2GDiscount)),2)," with ",(_xlfn.SINGLE(T2GDiscount)*100),"% discount"),CONCATENATE("$",ROUND(K1494*(1-_xlfn.SINGLE(T2GDiscount)),2)," with ",((_xlfn.SINGLE(T2GDiscount)*100+F1494*100)-(_xlfn.SINGLE(T2GDiscount)*100*F1494)),IF(F1494&gt;0,"% discounts",IF(_xlfn.SINGLE(NoWarrantyDiscount)&gt;0,"% discounts","% discount")))))))))</f>
        <v/>
      </c>
      <c r="N1494" s="690"/>
      <c r="O1494" s="486"/>
      <c r="P1494" s="486"/>
      <c r="Q1494" s="486"/>
      <c r="R1494" s="486"/>
      <c r="S1494" s="486"/>
      <c r="T1494" s="102">
        <f t="shared" si="1088"/>
        <v>0</v>
      </c>
      <c r="U1494" s="78">
        <f>IF(NOT(ISNUMBER(G1494)), "", VLOOKUP(A1494,'Discount Lookup'!D:E,2,FALSE)*G1494)</f>
        <v>0</v>
      </c>
      <c r="V1494" s="78">
        <f>IF(NOT(ISNUMBER(G1494)), "", VLOOKUP(A1494,'Discount Lookup'!G:H,2,FALSE)*G1494)</f>
        <v>0</v>
      </c>
      <c r="W1494" s="102">
        <f t="shared" si="1089"/>
        <v>0</v>
      </c>
      <c r="X1494" s="102">
        <f t="shared" si="1090"/>
        <v>0</v>
      </c>
      <c r="Y1494" s="120" t="b">
        <f t="shared" si="1091"/>
        <v>0</v>
      </c>
      <c r="Z1494" s="117">
        <f t="shared" si="1092"/>
        <v>0</v>
      </c>
      <c r="AA1494" s="118"/>
      <c r="AB1494" s="118" t="str">
        <f t="shared" si="1093"/>
        <v/>
      </c>
      <c r="AC1494" s="712" t="str">
        <f>IF(AE1494="T2G","no charge",IF(AND(OR(PlanterYesMe="No",PlanterYesMe="N",PlanterYesMe="me"),H1494=""),"",IF(H1494="credit","NO install",IF(AND(K1494="",AE1494="me"),"EACH row",IF(AND(K1494="images",AE1494="me"),"EACH row",IF(D1494="","",IF(H1494="credit","",IF(AE1494="free","re-planting",IF(AE1494="me","   not ELP, by",IF(AND(OR(PlanterYesMe="Yes",PlanterYesMe="Y"),G1494&gt;0),(VLOOKUP(A1494,'Discount Lookup'!J:K,2)*G1494*(1-PlanterDiscount)*(1+PlanterDifficultyPercentage)),IF(AE1494="ELP",(VLOOKUP(A1494,'Discount Lookup'!J:K,2)*G1494*(1-PlanterDiscount)*(1+PlanterDifficultyPercentage)),IF(AE1494="free","re-planting",IF(G1494=0,"",IF(PlanterYesMe="",IF(AE1494="me","   not ELP, by",IF(AE1494="",IF(G1494&gt;0,(VLOOKUP(A1494,'Discount Lookup'!J:K,2)*G1494*(1-PlanterDiscount)*(1+PlanterDifficultyPercentage)),""),"")),"   not ELP, by"))))))))))))))</f>
        <v/>
      </c>
      <c r="AD1494" s="712"/>
      <c r="AE1494" s="513" t="str">
        <f t="shared" si="1094"/>
        <v/>
      </c>
      <c r="AF1494" s="713" t="str">
        <f t="shared" si="1095"/>
        <v/>
      </c>
      <c r="AG1494" s="713"/>
      <c r="AH1494" s="713"/>
      <c r="AI1494" s="112">
        <f>IF(H1494="credit",0,IF(AE1494="free",0,IF(AE1494="me",0,IF(G1494&gt;0,(VLOOKUP(A1494,'Discount Lookup'!J:K,2)*G1494),0))))</f>
        <v>0</v>
      </c>
      <c r="AJ1494" s="107" t="str">
        <f t="shared" ca="1" si="1096"/>
        <v/>
      </c>
      <c r="AK1494" s="714" t="str">
        <f t="shared" si="1097"/>
        <v/>
      </c>
      <c r="AL1494" s="714"/>
      <c r="AM1494" s="114" t="str">
        <f t="shared" si="1098"/>
        <v/>
      </c>
      <c r="AN1494" s="115"/>
      <c r="AO1494" s="116"/>
      <c r="AP1494" s="116"/>
      <c r="AQ1494" s="116"/>
      <c r="AR1494" s="116"/>
      <c r="AS1494" s="116"/>
      <c r="AT1494" s="116"/>
      <c r="AU1494" s="116"/>
      <c r="AV1494" s="78"/>
      <c r="AW1494" s="102"/>
      <c r="AX1494" s="78"/>
      <c r="AY1494" s="78"/>
      <c r="AZ1494" s="78"/>
      <c r="BA1494" s="78"/>
      <c r="BB1494" s="78"/>
      <c r="BC1494" s="78"/>
      <c r="BD1494" s="78"/>
      <c r="BE1494" s="465"/>
      <c r="BF1494" s="165" t="str">
        <f t="shared" si="1099"/>
        <v>https://www.google.com/search?tbm=isch&amp;q=7%20G4</v>
      </c>
      <c r="BG1494" s="165" t="str">
        <f t="shared" si="1100"/>
        <v>D</v>
      </c>
      <c r="BH1494" s="65"/>
      <c r="BI1494" s="65"/>
      <c r="BJ1494" s="65"/>
      <c r="BK1494" s="65"/>
      <c r="BL1494" s="99"/>
      <c r="BM1494" s="99"/>
      <c r="BN1494" s="99"/>
    </row>
    <row r="1495" spans="1:66" s="51" customFormat="1" ht="16.5" thickBot="1" x14ac:dyDescent="0.3">
      <c r="A1495" s="508" t="s">
        <v>4723</v>
      </c>
      <c r="B1495" s="487"/>
      <c r="C1495" s="707"/>
      <c r="D1495" s="487"/>
      <c r="E1495" s="487"/>
      <c r="F1495" s="488"/>
      <c r="G1495" s="489"/>
      <c r="H1495" s="487"/>
      <c r="I1495" s="490"/>
      <c r="J1495" s="490"/>
      <c r="K1495" s="491"/>
      <c r="L1495" s="547"/>
      <c r="M1495" s="528"/>
      <c r="N1495" s="492"/>
      <c r="O1495" s="493"/>
      <c r="P1495" s="494"/>
      <c r="Q1495" s="492"/>
      <c r="R1495" s="492"/>
      <c r="S1495" s="699" t="s">
        <v>5259</v>
      </c>
      <c r="T1495" s="102">
        <f t="shared" si="1088"/>
        <v>0</v>
      </c>
      <c r="U1495" s="78" t="str">
        <f>IF(NOT(ISNUMBER(G1495)), "", VLOOKUP(A1495,'Discount Lookup'!D:E,2,FALSE)*G1495)</f>
        <v/>
      </c>
      <c r="V1495" s="78" t="str">
        <f>IF(NOT(ISNUMBER(G1495)), "", VLOOKUP(A1495,'Discount Lookup'!G:H,2,FALSE)*G1495)</f>
        <v/>
      </c>
      <c r="W1495" s="102">
        <f t="shared" si="1089"/>
        <v>0</v>
      </c>
      <c r="X1495" s="102">
        <f t="shared" si="1090"/>
        <v>0</v>
      </c>
      <c r="Y1495" s="120" t="b">
        <f t="shared" si="1091"/>
        <v>0</v>
      </c>
      <c r="Z1495" s="117">
        <f t="shared" si="1092"/>
        <v>0</v>
      </c>
      <c r="AA1495" s="118"/>
      <c r="AB1495" s="118" t="str">
        <f t="shared" si="1093"/>
        <v/>
      </c>
      <c r="AC1495" s="712" t="str">
        <f>IF(AE1495="T2G","no charge",IF(AND(OR(PlanterYesMe="No",PlanterYesMe="N",PlanterYesMe="me"),H1495=""),"",IF(H1495="credit","NO install",IF(AND(K1495="",AE1495="me"),"EACH row",IF(AND(K1495="images",AE1495="me"),"EACH row",IF(D1495="","",IF(H1495="credit","",IF(AE1495="free","re-planting",IF(AE1495="me","   not ELP, by",IF(AND(OR(PlanterYesMe="Yes",PlanterYesMe="Y"),G1495&gt;0),(VLOOKUP(A1495,'Discount Lookup'!J:K,2)*G1495*(1-PlanterDiscount)*(1+PlanterDifficultyPercentage)),IF(AE1495="ELP",(VLOOKUP(A1495,'Discount Lookup'!J:K,2)*G1495*(1-PlanterDiscount)*(1+PlanterDifficultyPercentage)),IF(AE1495="free","re-planting",IF(G1495=0,"",IF(PlanterYesMe="",IF(AE1495="me","   not ELP, by",IF(AE1495="",IF(G1495&gt;0,(VLOOKUP(A1495,'Discount Lookup'!J:K,2)*G1495*(1-PlanterDiscount)*(1+PlanterDifficultyPercentage)),""),"")),"   not ELP, by"))))))))))))))</f>
        <v/>
      </c>
      <c r="AD1495" s="712"/>
      <c r="AE1495" s="513" t="str">
        <f t="shared" si="1094"/>
        <v/>
      </c>
      <c r="AF1495" s="713" t="str">
        <f t="shared" si="1095"/>
        <v/>
      </c>
      <c r="AG1495" s="713"/>
      <c r="AH1495" s="713"/>
      <c r="AI1495" s="112">
        <f>IF(H1495="credit",0,IF(AE1495="free",0,IF(AE1495="me",0,IF(G1495&gt;0,(VLOOKUP(A1495,'Discount Lookup'!J:K,2)*G1495),0))))</f>
        <v>0</v>
      </c>
      <c r="AJ1495" s="107" t="str">
        <f t="shared" ca="1" si="1096"/>
        <v/>
      </c>
      <c r="AK1495" s="714" t="str">
        <f t="shared" si="1097"/>
        <v/>
      </c>
      <c r="AL1495" s="714"/>
      <c r="AM1495" s="114" t="str">
        <f t="shared" si="1098"/>
        <v/>
      </c>
      <c r="AN1495" s="115"/>
      <c r="AO1495" s="116"/>
      <c r="AP1495" s="116"/>
      <c r="AQ1495" s="116"/>
      <c r="AR1495" s="116"/>
      <c r="AS1495" s="116"/>
      <c r="AT1495" s="116"/>
      <c r="AU1495" s="116"/>
      <c r="AV1495" s="78"/>
      <c r="AW1495" s="102"/>
      <c r="AX1495" s="78"/>
      <c r="AY1495" s="78"/>
      <c r="AZ1495" s="78"/>
      <c r="BA1495" s="78"/>
      <c r="BB1495" s="78"/>
      <c r="BC1495" s="78"/>
      <c r="BD1495" s="78"/>
      <c r="BE1495" s="465"/>
      <c r="BF1495" s="165" t="str">
        <f t="shared" si="1099"/>
        <v>https://www.google.com/search?tbm=isch&amp;q=Emerald%20Heights%20offers%20a%20dense%2C%20neat%20habit%20with%20glossy%20foliage%20and%20subtle%20Red%20late-winter%20blooms.%20Heat%20and%20drought%20tolerant%20</v>
      </c>
      <c r="BG1495" s="165" t="str">
        <f t="shared" si="1100"/>
        <v>E</v>
      </c>
      <c r="BH1495" s="65"/>
      <c r="BI1495" s="65"/>
      <c r="BJ1495" s="65"/>
      <c r="BK1495" s="65"/>
      <c r="BL1495" s="99"/>
      <c r="BM1495" s="99"/>
      <c r="BN1495" s="99"/>
    </row>
    <row r="1496" spans="1:66" s="51" customFormat="1" ht="18" x14ac:dyDescent="0.25">
      <c r="A1496" s="507" t="s">
        <v>2434</v>
      </c>
      <c r="B1496" s="470"/>
      <c r="C1496" s="706"/>
      <c r="D1496" s="471" t="s">
        <v>5875</v>
      </c>
      <c r="E1496" s="472"/>
      <c r="F1496" s="472"/>
      <c r="G1496" s="472"/>
      <c r="H1496" s="622" t="s">
        <v>1076</v>
      </c>
      <c r="I1496" s="473" t="s">
        <v>2435</v>
      </c>
      <c r="J1496" s="472"/>
      <c r="K1496" s="472"/>
      <c r="L1496" s="561"/>
      <c r="M1496" s="698" t="s">
        <v>5246</v>
      </c>
      <c r="N1496" s="692" t="str">
        <f>IF(AND(ISTEXT($A1496), ISERROR($A1496+0)), HYPERLINK($BF1496, "Images"), "")</f>
        <v>Images</v>
      </c>
      <c r="O1496" s="694" t="s">
        <v>5244</v>
      </c>
      <c r="P1496" s="475"/>
      <c r="Q1496" s="476"/>
      <c r="R1496" s="476"/>
      <c r="S1496" s="477"/>
      <c r="T1496" s="102">
        <f t="shared" si="1088"/>
        <v>0</v>
      </c>
      <c r="U1496" s="78" t="str">
        <f>IF(NOT(ISNUMBER(G1496)), "", VLOOKUP(A1496,'Discount Lookup'!D:E,2,FALSE)*G1496)</f>
        <v/>
      </c>
      <c r="V1496" s="78" t="str">
        <f>IF(NOT(ISNUMBER(G1496)), "", VLOOKUP(A1496,'Discount Lookup'!G:H,2,FALSE)*G1496)</f>
        <v/>
      </c>
      <c r="W1496" s="102">
        <f t="shared" si="1089"/>
        <v>0</v>
      </c>
      <c r="X1496" s="102" t="str">
        <f t="shared" si="1090"/>
        <v>Matte Blue-Green foliage</v>
      </c>
      <c r="Y1496" s="120" t="b">
        <f t="shared" si="1091"/>
        <v>0</v>
      </c>
      <c r="Z1496" s="117">
        <f t="shared" si="1092"/>
        <v>0</v>
      </c>
      <c r="AA1496" s="118"/>
      <c r="AB1496" s="118" t="str">
        <f t="shared" si="1093"/>
        <v/>
      </c>
      <c r="AC1496" s="712" t="str">
        <f>IF(AE1496="T2G","no charge",IF(AND(OR(PlanterYesMe="No",PlanterYesMe="N",PlanterYesMe="me"),H1496=""),"",IF(H1496="credit","NO install",IF(AND(K1496="",AE1496="me"),"EACH row",IF(AND(K1496="images",AE1496="me"),"EACH row",IF(D1496="","",IF(H1496="credit","",IF(AE1496="free","re-planting",IF(AE1496="me","   not ELP, by",IF(AND(OR(PlanterYesMe="Yes",PlanterYesMe="Y"),G1496&gt;0),(VLOOKUP(A1496,'Discount Lookup'!J:K,2)*G1496*(1-PlanterDiscount)*(1+PlanterDifficultyPercentage)),IF(AE1496="ELP",(VLOOKUP(A1496,'Discount Lookup'!J:K,2)*G1496*(1-PlanterDiscount)*(1+PlanterDifficultyPercentage)),IF(AE1496="free","re-planting",IF(G1496=0,"",IF(PlanterYesMe="",IF(AE1496="me","   not ELP, by",IF(AE1496="",IF(G1496&gt;0,(VLOOKUP(A1496,'Discount Lookup'!J:K,2)*G1496*(1-PlanterDiscount)*(1+PlanterDifficultyPercentage)),""),"")),"   not ELP, by"))))))))))))))</f>
        <v/>
      </c>
      <c r="AD1496" s="712"/>
      <c r="AE1496" s="513" t="str">
        <f t="shared" si="1094"/>
        <v/>
      </c>
      <c r="AF1496" s="713" t="str">
        <f t="shared" si="1095"/>
        <v/>
      </c>
      <c r="AG1496" s="713"/>
      <c r="AH1496" s="713"/>
      <c r="AI1496" s="112">
        <f>IF(H1496="credit",0,IF(AE1496="free",0,IF(AE1496="me",0,IF(G1496&gt;0,(VLOOKUP(A1496,'Discount Lookup'!J:K,2)*G1496),0))))</f>
        <v>0</v>
      </c>
      <c r="AJ1496" s="107" t="str">
        <f t="shared" ca="1" si="1096"/>
        <v/>
      </c>
      <c r="AK1496" s="714" t="str">
        <f t="shared" si="1097"/>
        <v/>
      </c>
      <c r="AL1496" s="714"/>
      <c r="AM1496" s="114" t="str">
        <f t="shared" si="1098"/>
        <v/>
      </c>
      <c r="AN1496" s="115"/>
      <c r="AO1496" s="116"/>
      <c r="AP1496" s="116"/>
      <c r="AQ1496" s="116"/>
      <c r="AR1496" s="116"/>
      <c r="AS1496" s="116"/>
      <c r="AT1496" s="116"/>
      <c r="AU1496" s="116"/>
      <c r="AV1496" s="78"/>
      <c r="AW1496" s="102"/>
      <c r="AX1496" s="78"/>
      <c r="AY1496" s="78"/>
      <c r="AZ1496" s="78"/>
      <c r="BA1496" s="78"/>
      <c r="BB1496" s="78"/>
      <c r="BC1496" s="78"/>
      <c r="BD1496" s="78"/>
      <c r="BE1496" s="465"/>
      <c r="BF1496" s="165" t="str">
        <f t="shared" si="1099"/>
        <v>https://www.google.com/search?tbm=isch&amp;q=Distylium%20%27PIIDIST-II%27%20PP%2324409%20Blue%20Cascade%C2%AE%20Distylium%20%28FE%C2%AE%29</v>
      </c>
      <c r="BG1496" s="165" t="str">
        <f t="shared" si="1100"/>
        <v>D</v>
      </c>
      <c r="BH1496" s="65"/>
      <c r="BI1496" s="65"/>
      <c r="BJ1496" s="65"/>
      <c r="BK1496" s="65"/>
      <c r="BL1496" s="99"/>
      <c r="BM1496" s="99"/>
      <c r="BN1496" s="99"/>
    </row>
    <row r="1497" spans="1:66" s="51" customFormat="1" ht="15.75" x14ac:dyDescent="0.25">
      <c r="A1497" s="478">
        <v>3</v>
      </c>
      <c r="B1497" s="479" t="s">
        <v>291</v>
      </c>
      <c r="C1497" s="480" t="s">
        <v>2436</v>
      </c>
      <c r="D1497" s="481" t="s">
        <v>311</v>
      </c>
      <c r="E1497" s="482">
        <v>36.950000000000003</v>
      </c>
      <c r="F1497" s="483" t="s">
        <v>292</v>
      </c>
      <c r="G1497" s="484">
        <v>0</v>
      </c>
      <c r="H1497" s="688" t="str">
        <f>IF(G1497=0,"",IF(F1497="Buy",IF(G1497=1,"plant","plants"),IF(F1497&gt;0.01,"warranty","Error")))</f>
        <v/>
      </c>
      <c r="I1497" s="485">
        <f>IF(H1497="free",0,IF(H1497="credit",((E1497*(F1497))*G1497*-1),IF(F1497="Buy",(E1497*G1497),((E1497*(1-F1497))*G1497))))</f>
        <v>0</v>
      </c>
      <c r="J1497" s="485">
        <f>IF(H1497="warranty",0,(I1497*(_xlfn.SINGLE(SalesTaxPercentage))))</f>
        <v>0</v>
      </c>
      <c r="K1497" s="715">
        <f t="shared" ref="K1497" si="1103">I1497+J1497</f>
        <v>0</v>
      </c>
      <c r="L1497" s="715"/>
      <c r="M1497" s="689" t="str">
        <f ca="1">IF(AND(G1497&gt;0,E1497=0),"WARNING - no PRICE inserted",IF(H1497="free","FREE ~ no charge this plant",IF(H1497="credit",CONCATENATE("-$",ROUND(K1497*(1-_xlfn.SINGLE(T2GDiscount))*-1,2)," CREDIT after discount"),IF(_xlfn.SINGLE(T2GDiscount)=0,"",IF(G1497=0,"",IF(F1497="Buy",CONCATENATE("$",ROUND(K1497*(1-_xlfn.SINGLE(T2GDiscount)),2)," with ",(_xlfn.SINGLE(T2GDiscount)*100),"% discount"),CONCATENATE("$",ROUND(K1497*(1-_xlfn.SINGLE(T2GDiscount)),2)," with ",((_xlfn.SINGLE(T2GDiscount)*100+F1497*100)-(_xlfn.SINGLE(T2GDiscount)*100*F1497)),IF(F1497&gt;0,"% discounts",IF(_xlfn.SINGLE(NoWarrantyDiscount)&gt;0,"% discounts","% discount")))))))))</f>
        <v/>
      </c>
      <c r="N1497" s="690"/>
      <c r="O1497" s="486"/>
      <c r="P1497" s="486"/>
      <c r="Q1497" s="486"/>
      <c r="R1497" s="486"/>
      <c r="S1497" s="486"/>
      <c r="T1497" s="102">
        <f t="shared" si="1088"/>
        <v>0</v>
      </c>
      <c r="U1497" s="78">
        <f>IF(NOT(ISNUMBER(G1497)), "", VLOOKUP(A1497,'Discount Lookup'!D:E,2,FALSE)*G1497)</f>
        <v>0</v>
      </c>
      <c r="V1497" s="78">
        <f>IF(NOT(ISNUMBER(G1497)), "", VLOOKUP(A1497,'Discount Lookup'!G:H,2,FALSE)*G1497)</f>
        <v>0</v>
      </c>
      <c r="W1497" s="102">
        <f t="shared" si="1089"/>
        <v>0</v>
      </c>
      <c r="X1497" s="102">
        <f t="shared" si="1090"/>
        <v>0</v>
      </c>
      <c r="Y1497" s="120" t="b">
        <f t="shared" si="1091"/>
        <v>0</v>
      </c>
      <c r="Z1497" s="117">
        <f t="shared" si="1092"/>
        <v>0</v>
      </c>
      <c r="AA1497" s="118"/>
      <c r="AB1497" s="118" t="str">
        <f t="shared" si="1093"/>
        <v/>
      </c>
      <c r="AC1497" s="712" t="str">
        <f>IF(AE1497="T2G","no charge",IF(AND(OR(PlanterYesMe="No",PlanterYesMe="N",PlanterYesMe="me"),H1497=""),"",IF(H1497="credit","NO install",IF(AND(K1497="",AE1497="me"),"EACH row",IF(AND(K1497="images",AE1497="me"),"EACH row",IF(D1497="","",IF(H1497="credit","",IF(AE1497="free","re-planting",IF(AE1497="me","   not ELP, by",IF(AND(OR(PlanterYesMe="Yes",PlanterYesMe="Y"),G1497&gt;0),(VLOOKUP(A1497,'Discount Lookup'!J:K,2)*G1497*(1-PlanterDiscount)*(1+PlanterDifficultyPercentage)),IF(AE1497="ELP",(VLOOKUP(A1497,'Discount Lookup'!J:K,2)*G1497*(1-PlanterDiscount)*(1+PlanterDifficultyPercentage)),IF(AE1497="free","re-planting",IF(G1497=0,"",IF(PlanterYesMe="",IF(AE1497="me","   not ELP, by",IF(AE1497="",IF(G1497&gt;0,(VLOOKUP(A1497,'Discount Lookup'!J:K,2)*G1497*(1-PlanterDiscount)*(1+PlanterDifficultyPercentage)),""),"")),"   not ELP, by"))))))))))))))</f>
        <v/>
      </c>
      <c r="AD1497" s="712"/>
      <c r="AE1497" s="513" t="str">
        <f t="shared" si="1094"/>
        <v/>
      </c>
      <c r="AF1497" s="713" t="str">
        <f t="shared" si="1095"/>
        <v/>
      </c>
      <c r="AG1497" s="713"/>
      <c r="AH1497" s="713"/>
      <c r="AI1497" s="112">
        <f>IF(H1497="credit",0,IF(AE1497="free",0,IF(AE1497="me",0,IF(G1497&gt;0,(VLOOKUP(A1497,'Discount Lookup'!J:K,2)*G1497),0))))</f>
        <v>0</v>
      </c>
      <c r="AJ1497" s="107" t="str">
        <f t="shared" ca="1" si="1096"/>
        <v/>
      </c>
      <c r="AK1497" s="714" t="str">
        <f t="shared" si="1097"/>
        <v/>
      </c>
      <c r="AL1497" s="714"/>
      <c r="AM1497" s="114" t="str">
        <f t="shared" si="1098"/>
        <v/>
      </c>
      <c r="AN1497" s="115"/>
      <c r="AO1497" s="116"/>
      <c r="AP1497" s="116"/>
      <c r="AQ1497" s="116"/>
      <c r="AR1497" s="116"/>
      <c r="AS1497" s="116"/>
      <c r="AT1497" s="116"/>
      <c r="AU1497" s="116"/>
      <c r="AV1497" s="78"/>
      <c r="AW1497" s="102"/>
      <c r="AX1497" s="78"/>
      <c r="AY1497" s="78"/>
      <c r="AZ1497" s="78"/>
      <c r="BA1497" s="78"/>
      <c r="BB1497" s="78"/>
      <c r="BC1497" s="78"/>
      <c r="BD1497" s="78"/>
      <c r="BE1497" s="465"/>
      <c r="BF1497" s="165" t="str">
        <f t="shared" si="1099"/>
        <v>https://www.google.com/search?tbm=isch&amp;q=3%20G5</v>
      </c>
      <c r="BG1497" s="165" t="str">
        <f t="shared" si="1100"/>
        <v>D</v>
      </c>
      <c r="BH1497" s="65"/>
      <c r="BI1497" s="65"/>
      <c r="BJ1497" s="65"/>
      <c r="BK1497" s="65"/>
      <c r="BL1497" s="99"/>
      <c r="BM1497" s="99"/>
      <c r="BN1497" s="99"/>
    </row>
    <row r="1498" spans="1:66" s="51" customFormat="1" ht="15.75" x14ac:dyDescent="0.25">
      <c r="A1498" s="478">
        <v>7</v>
      </c>
      <c r="B1498" s="479" t="s">
        <v>291</v>
      </c>
      <c r="C1498" s="480"/>
      <c r="D1498" s="481" t="s">
        <v>311</v>
      </c>
      <c r="E1498" s="482">
        <v>79.95</v>
      </c>
      <c r="F1498" s="483" t="s">
        <v>292</v>
      </c>
      <c r="G1498" s="484">
        <v>0</v>
      </c>
      <c r="H1498" s="688" t="str">
        <f>IF(G1498=0,"",IF(F1498="Buy",IF(G1498=1,"plant","plants"),IF(F1498&gt;0.01,"warranty","Error")))</f>
        <v/>
      </c>
      <c r="I1498" s="485">
        <f>IF(H1498="free",0,IF(H1498="credit",((E1498*(F1498))*G1498*-1),IF(F1498="Buy",(E1498*G1498),((E1498*(1-F1498))*G1498))))</f>
        <v>0</v>
      </c>
      <c r="J1498" s="485">
        <f>IF(H1498="warranty",0,(I1498*(_xlfn.SINGLE(SalesTaxPercentage))))</f>
        <v>0</v>
      </c>
      <c r="K1498" s="715">
        <f t="shared" ref="K1498" si="1104">I1498+J1498</f>
        <v>0</v>
      </c>
      <c r="L1498" s="715"/>
      <c r="M1498" s="689" t="str">
        <f ca="1">IF(AND(G1498&gt;0,E1498=0),"WARNING - no PRICE inserted",IF(H1498="free","FREE ~ no charge this plant",IF(H1498="credit",CONCATENATE("-$",ROUND(K1498*(1-_xlfn.SINGLE(T2GDiscount))*-1,2)," CREDIT after discount"),IF(_xlfn.SINGLE(T2GDiscount)=0,"",IF(G1498=0,"",IF(F1498="Buy",CONCATENATE("$",ROUND(K1498*(1-_xlfn.SINGLE(T2GDiscount)),2)," with ",(_xlfn.SINGLE(T2GDiscount)*100),"% discount"),CONCATENATE("$",ROUND(K1498*(1-_xlfn.SINGLE(T2GDiscount)),2)," with ",((_xlfn.SINGLE(T2GDiscount)*100+F1498*100)-(_xlfn.SINGLE(T2GDiscount)*100*F1498)),IF(F1498&gt;0,"% discounts",IF(_xlfn.SINGLE(NoWarrantyDiscount)&gt;0,"% discounts","% discount")))))))))</f>
        <v/>
      </c>
      <c r="N1498" s="690"/>
      <c r="O1498" s="486"/>
      <c r="P1498" s="486"/>
      <c r="Q1498" s="486"/>
      <c r="R1498" s="486"/>
      <c r="S1498" s="486"/>
      <c r="T1498" s="102">
        <f t="shared" si="1088"/>
        <v>0</v>
      </c>
      <c r="U1498" s="78">
        <f>IF(NOT(ISNUMBER(G1498)), "", VLOOKUP(A1498,'Discount Lookup'!D:E,2,FALSE)*G1498)</f>
        <v>0</v>
      </c>
      <c r="V1498" s="78">
        <f>IF(NOT(ISNUMBER(G1498)), "", VLOOKUP(A1498,'Discount Lookup'!G:H,2,FALSE)*G1498)</f>
        <v>0</v>
      </c>
      <c r="W1498" s="102">
        <f t="shared" si="1089"/>
        <v>0</v>
      </c>
      <c r="X1498" s="102">
        <f t="shared" si="1090"/>
        <v>0</v>
      </c>
      <c r="Y1498" s="120" t="b">
        <f t="shared" si="1091"/>
        <v>0</v>
      </c>
      <c r="Z1498" s="117">
        <f t="shared" si="1092"/>
        <v>0</v>
      </c>
      <c r="AA1498" s="118"/>
      <c r="AB1498" s="118" t="str">
        <f t="shared" si="1093"/>
        <v/>
      </c>
      <c r="AC1498" s="712" t="str">
        <f>IF(AE1498="T2G","no charge",IF(AND(OR(PlanterYesMe="No",PlanterYesMe="N",PlanterYesMe="me"),H1498=""),"",IF(H1498="credit","NO install",IF(AND(K1498="",AE1498="me"),"EACH row",IF(AND(K1498="images",AE1498="me"),"EACH row",IF(D1498="","",IF(H1498="credit","",IF(AE1498="free","re-planting",IF(AE1498="me","   not ELP, by",IF(AND(OR(PlanterYesMe="Yes",PlanterYesMe="Y"),G1498&gt;0),(VLOOKUP(A1498,'Discount Lookup'!J:K,2)*G1498*(1-PlanterDiscount)*(1+PlanterDifficultyPercentage)),IF(AE1498="ELP",(VLOOKUP(A1498,'Discount Lookup'!J:K,2)*G1498*(1-PlanterDiscount)*(1+PlanterDifficultyPercentage)),IF(AE1498="free","re-planting",IF(G1498=0,"",IF(PlanterYesMe="",IF(AE1498="me","   not ELP, by",IF(AE1498="",IF(G1498&gt;0,(VLOOKUP(A1498,'Discount Lookup'!J:K,2)*G1498*(1-PlanterDiscount)*(1+PlanterDifficultyPercentage)),""),"")),"   not ELP, by"))))))))))))))</f>
        <v/>
      </c>
      <c r="AD1498" s="712"/>
      <c r="AE1498" s="513" t="str">
        <f t="shared" si="1094"/>
        <v/>
      </c>
      <c r="AF1498" s="713" t="str">
        <f t="shared" si="1095"/>
        <v/>
      </c>
      <c r="AG1498" s="713"/>
      <c r="AH1498" s="713"/>
      <c r="AI1498" s="112">
        <f>IF(H1498="credit",0,IF(AE1498="free",0,IF(AE1498="me",0,IF(G1498&gt;0,(VLOOKUP(A1498,'Discount Lookup'!J:K,2)*G1498),0))))</f>
        <v>0</v>
      </c>
      <c r="AJ1498" s="107" t="str">
        <f t="shared" ca="1" si="1096"/>
        <v/>
      </c>
      <c r="AK1498" s="714" t="str">
        <f t="shared" si="1097"/>
        <v/>
      </c>
      <c r="AL1498" s="714"/>
      <c r="AM1498" s="114" t="str">
        <f t="shared" si="1098"/>
        <v/>
      </c>
      <c r="AN1498" s="115"/>
      <c r="AO1498" s="116"/>
      <c r="AP1498" s="116"/>
      <c r="AQ1498" s="116"/>
      <c r="AR1498" s="116"/>
      <c r="AS1498" s="116"/>
      <c r="AT1498" s="116"/>
      <c r="AU1498" s="116"/>
      <c r="AV1498" s="78"/>
      <c r="AW1498" s="102"/>
      <c r="AX1498" s="78"/>
      <c r="AY1498" s="78"/>
      <c r="AZ1498" s="78"/>
      <c r="BA1498" s="78"/>
      <c r="BB1498" s="78"/>
      <c r="BC1498" s="78"/>
      <c r="BD1498" s="78"/>
      <c r="BE1498" s="465"/>
      <c r="BF1498" s="165" t="str">
        <f t="shared" si="1099"/>
        <v>https://www.google.com/search?tbm=isch&amp;q=7%20G5</v>
      </c>
      <c r="BG1498" s="165" t="str">
        <f t="shared" si="1100"/>
        <v>D</v>
      </c>
      <c r="BH1498" s="65"/>
      <c r="BI1498" s="65"/>
      <c r="BJ1498" s="65"/>
      <c r="BK1498" s="65"/>
      <c r="BL1498" s="99"/>
      <c r="BM1498" s="99"/>
      <c r="BN1498" s="99"/>
    </row>
    <row r="1499" spans="1:66" s="51" customFormat="1" ht="15.75" x14ac:dyDescent="0.25">
      <c r="A1499" s="478">
        <v>15</v>
      </c>
      <c r="B1499" s="479" t="s">
        <v>291</v>
      </c>
      <c r="C1499" s="480" t="s">
        <v>2437</v>
      </c>
      <c r="D1499" s="481" t="s">
        <v>311</v>
      </c>
      <c r="E1499" s="482">
        <v>183.95</v>
      </c>
      <c r="F1499" s="483" t="s">
        <v>292</v>
      </c>
      <c r="G1499" s="484">
        <v>0</v>
      </c>
      <c r="H1499" s="688" t="str">
        <f>IF(G1499=0,"",IF(F1499="Buy",IF(G1499=1,"plant","plants"),IF(F1499&gt;0.01,"warranty","Error")))</f>
        <v/>
      </c>
      <c r="I1499" s="485">
        <f>IF(H1499="free",0,IF(H1499="credit",((E1499*(F1499))*G1499*-1),IF(F1499="Buy",(E1499*G1499),((E1499*(1-F1499))*G1499))))</f>
        <v>0</v>
      </c>
      <c r="J1499" s="485">
        <f>IF(H1499="warranty",0,(I1499*(_xlfn.SINGLE(SalesTaxPercentage))))</f>
        <v>0</v>
      </c>
      <c r="K1499" s="715">
        <f t="shared" ref="K1499" si="1105">I1499+J1499</f>
        <v>0</v>
      </c>
      <c r="L1499" s="715"/>
      <c r="M1499" s="689" t="str">
        <f ca="1">IF(AND(G1499&gt;0,E1499=0),"WARNING - no PRICE inserted",IF(H1499="free","FREE ~ no charge this plant",IF(H1499="credit",CONCATENATE("-$",ROUND(K1499*(1-_xlfn.SINGLE(T2GDiscount))*-1,2)," CREDIT after discount"),IF(_xlfn.SINGLE(T2GDiscount)=0,"",IF(G1499=0,"",IF(F1499="Buy",CONCATENATE("$",ROUND(K1499*(1-_xlfn.SINGLE(T2GDiscount)),2)," with ",(_xlfn.SINGLE(T2GDiscount)*100),"% discount"),CONCATENATE("$",ROUND(K1499*(1-_xlfn.SINGLE(T2GDiscount)),2)," with ",((_xlfn.SINGLE(T2GDiscount)*100+F1499*100)-(_xlfn.SINGLE(T2GDiscount)*100*F1499)),IF(F1499&gt;0,"% discounts",IF(_xlfn.SINGLE(NoWarrantyDiscount)&gt;0,"% discounts","% discount")))))))))</f>
        <v/>
      </c>
      <c r="N1499" s="690"/>
      <c r="O1499" s="486"/>
      <c r="P1499" s="486"/>
      <c r="Q1499" s="486"/>
      <c r="R1499" s="486"/>
      <c r="S1499" s="486"/>
      <c r="T1499" s="102">
        <f t="shared" si="1088"/>
        <v>0</v>
      </c>
      <c r="U1499" s="78">
        <f>IF(NOT(ISNUMBER(G1499)), "", VLOOKUP(A1499,'Discount Lookup'!D:E,2,FALSE)*G1499)</f>
        <v>0</v>
      </c>
      <c r="V1499" s="78">
        <f>IF(NOT(ISNUMBER(G1499)), "", VLOOKUP(A1499,'Discount Lookup'!G:H,2,FALSE)*G1499)</f>
        <v>0</v>
      </c>
      <c r="W1499" s="102">
        <f t="shared" si="1089"/>
        <v>0</v>
      </c>
      <c r="X1499" s="102">
        <f t="shared" si="1090"/>
        <v>0</v>
      </c>
      <c r="Y1499" s="120" t="b">
        <f t="shared" si="1091"/>
        <v>0</v>
      </c>
      <c r="Z1499" s="117">
        <f t="shared" si="1092"/>
        <v>0</v>
      </c>
      <c r="AA1499" s="118"/>
      <c r="AB1499" s="118" t="str">
        <f t="shared" si="1093"/>
        <v/>
      </c>
      <c r="AC1499" s="712" t="str">
        <f>IF(AE1499="T2G","no charge",IF(AND(OR(PlanterYesMe="No",PlanterYesMe="N",PlanterYesMe="me"),H1499=""),"",IF(H1499="credit","NO install",IF(AND(K1499="",AE1499="me"),"EACH row",IF(AND(K1499="images",AE1499="me"),"EACH row",IF(D1499="","",IF(H1499="credit","",IF(AE1499="free","re-planting",IF(AE1499="me","   not ELP, by",IF(AND(OR(PlanterYesMe="Yes",PlanterYesMe="Y"),G1499&gt;0),(VLOOKUP(A1499,'Discount Lookup'!J:K,2)*G1499*(1-PlanterDiscount)*(1+PlanterDifficultyPercentage)),IF(AE1499="ELP",(VLOOKUP(A1499,'Discount Lookup'!J:K,2)*G1499*(1-PlanterDiscount)*(1+PlanterDifficultyPercentage)),IF(AE1499="free","re-planting",IF(G1499=0,"",IF(PlanterYesMe="",IF(AE1499="me","   not ELP, by",IF(AE1499="",IF(G1499&gt;0,(VLOOKUP(A1499,'Discount Lookup'!J:K,2)*G1499*(1-PlanterDiscount)*(1+PlanterDifficultyPercentage)),""),"")),"   not ELP, by"))))))))))))))</f>
        <v/>
      </c>
      <c r="AD1499" s="712"/>
      <c r="AE1499" s="513" t="str">
        <f t="shared" si="1094"/>
        <v/>
      </c>
      <c r="AF1499" s="713" t="str">
        <f t="shared" si="1095"/>
        <v/>
      </c>
      <c r="AG1499" s="713"/>
      <c r="AH1499" s="713"/>
      <c r="AI1499" s="112">
        <f>IF(H1499="credit",0,IF(AE1499="free",0,IF(AE1499="me",0,IF(G1499&gt;0,(VLOOKUP(A1499,'Discount Lookup'!J:K,2)*G1499),0))))</f>
        <v>0</v>
      </c>
      <c r="AJ1499" s="107" t="str">
        <f t="shared" ca="1" si="1096"/>
        <v/>
      </c>
      <c r="AK1499" s="714" t="str">
        <f t="shared" si="1097"/>
        <v/>
      </c>
      <c r="AL1499" s="714"/>
      <c r="AM1499" s="114" t="str">
        <f t="shared" si="1098"/>
        <v/>
      </c>
      <c r="AN1499" s="115"/>
      <c r="AO1499" s="116"/>
      <c r="AP1499" s="116"/>
      <c r="AQ1499" s="116"/>
      <c r="AR1499" s="116"/>
      <c r="AS1499" s="116"/>
      <c r="AT1499" s="116"/>
      <c r="AU1499" s="116"/>
      <c r="AV1499" s="78"/>
      <c r="AW1499" s="102"/>
      <c r="AX1499" s="78"/>
      <c r="AY1499" s="78"/>
      <c r="AZ1499" s="78"/>
      <c r="BA1499" s="78"/>
      <c r="BB1499" s="78"/>
      <c r="BC1499" s="78"/>
      <c r="BD1499" s="78"/>
      <c r="BE1499" s="465"/>
      <c r="BF1499" s="165" t="str">
        <f t="shared" si="1099"/>
        <v>https://www.google.com/search?tbm=isch&amp;q=15%20G5</v>
      </c>
      <c r="BG1499" s="165" t="str">
        <f t="shared" si="1100"/>
        <v>D</v>
      </c>
      <c r="BH1499" s="65"/>
      <c r="BI1499" s="65"/>
      <c r="BJ1499" s="65"/>
      <c r="BK1499" s="65"/>
      <c r="BL1499" s="99"/>
      <c r="BM1499" s="99"/>
      <c r="BN1499" s="99"/>
    </row>
    <row r="1500" spans="1:66" s="51" customFormat="1" ht="16.5" thickBot="1" x14ac:dyDescent="0.3">
      <c r="A1500" s="508" t="s">
        <v>2438</v>
      </c>
      <c r="B1500" s="487"/>
      <c r="C1500" s="707"/>
      <c r="D1500" s="487"/>
      <c r="E1500" s="487"/>
      <c r="F1500" s="488"/>
      <c r="G1500" s="489"/>
      <c r="H1500" s="487"/>
      <c r="I1500" s="490"/>
      <c r="J1500" s="490"/>
      <c r="K1500" s="491"/>
      <c r="L1500" s="547"/>
      <c r="M1500" s="528"/>
      <c r="N1500" s="492"/>
      <c r="O1500" s="493"/>
      <c r="P1500" s="494"/>
      <c r="Q1500" s="492"/>
      <c r="R1500" s="492"/>
      <c r="S1500" s="699" t="s">
        <v>5259</v>
      </c>
      <c r="T1500" s="102">
        <f t="shared" si="1088"/>
        <v>0</v>
      </c>
      <c r="U1500" s="78" t="str">
        <f>IF(NOT(ISNUMBER(G1500)), "", VLOOKUP(A1500,'Discount Lookup'!D:E,2,FALSE)*G1500)</f>
        <v/>
      </c>
      <c r="V1500" s="78" t="str">
        <f>IF(NOT(ISNUMBER(G1500)), "", VLOOKUP(A1500,'Discount Lookup'!G:H,2,FALSE)*G1500)</f>
        <v/>
      </c>
      <c r="W1500" s="102">
        <f t="shared" si="1089"/>
        <v>0</v>
      </c>
      <c r="X1500" s="102">
        <f t="shared" si="1090"/>
        <v>0</v>
      </c>
      <c r="Y1500" s="120" t="b">
        <f t="shared" si="1091"/>
        <v>0</v>
      </c>
      <c r="Z1500" s="117">
        <f t="shared" si="1092"/>
        <v>0</v>
      </c>
      <c r="AA1500" s="118"/>
      <c r="AB1500" s="118" t="str">
        <f t="shared" si="1093"/>
        <v/>
      </c>
      <c r="AC1500" s="712" t="str">
        <f>IF(AE1500="T2G","no charge",IF(AND(OR(PlanterYesMe="No",PlanterYesMe="N",PlanterYesMe="me"),H1500=""),"",IF(H1500="credit","NO install",IF(AND(K1500="",AE1500="me"),"EACH row",IF(AND(K1500="images",AE1500="me"),"EACH row",IF(D1500="","",IF(H1500="credit","",IF(AE1500="free","re-planting",IF(AE1500="me","   not ELP, by",IF(AND(OR(PlanterYesMe="Yes",PlanterYesMe="Y"),G1500&gt;0),(VLOOKUP(A1500,'Discount Lookup'!J:K,2)*G1500*(1-PlanterDiscount)*(1+PlanterDifficultyPercentage)),IF(AE1500="ELP",(VLOOKUP(A1500,'Discount Lookup'!J:K,2)*G1500*(1-PlanterDiscount)*(1+PlanterDifficultyPercentage)),IF(AE1500="free","re-planting",IF(G1500=0,"",IF(PlanterYesMe="",IF(AE1500="me","   not ELP, by",IF(AE1500="",IF(G1500&gt;0,(VLOOKUP(A1500,'Discount Lookup'!J:K,2)*G1500*(1-PlanterDiscount)*(1+PlanterDifficultyPercentage)),""),"")),"   not ELP, by"))))))))))))))</f>
        <v/>
      </c>
      <c r="AD1500" s="712"/>
      <c r="AE1500" s="513" t="str">
        <f t="shared" si="1094"/>
        <v/>
      </c>
      <c r="AF1500" s="713" t="str">
        <f t="shared" si="1095"/>
        <v/>
      </c>
      <c r="AG1500" s="713"/>
      <c r="AH1500" s="713"/>
      <c r="AI1500" s="112">
        <f>IF(H1500="credit",0,IF(AE1500="free",0,IF(AE1500="me",0,IF(G1500&gt;0,(VLOOKUP(A1500,'Discount Lookup'!J:K,2)*G1500),0))))</f>
        <v>0</v>
      </c>
      <c r="AJ1500" s="107" t="str">
        <f t="shared" ca="1" si="1096"/>
        <v/>
      </c>
      <c r="AK1500" s="714" t="str">
        <f t="shared" si="1097"/>
        <v/>
      </c>
      <c r="AL1500" s="714"/>
      <c r="AM1500" s="114" t="str">
        <f t="shared" si="1098"/>
        <v/>
      </c>
      <c r="AN1500" s="115"/>
      <c r="AO1500" s="116"/>
      <c r="AP1500" s="116"/>
      <c r="AQ1500" s="116"/>
      <c r="AR1500" s="116"/>
      <c r="AS1500" s="116"/>
      <c r="AT1500" s="116"/>
      <c r="AU1500" s="116"/>
      <c r="AV1500" s="78"/>
      <c r="AW1500" s="102"/>
      <c r="AX1500" s="78"/>
      <c r="AY1500" s="78"/>
      <c r="AZ1500" s="78"/>
      <c r="BA1500" s="78"/>
      <c r="BB1500" s="78"/>
      <c r="BC1500" s="78"/>
      <c r="BD1500" s="78"/>
      <c r="BE1500" s="465"/>
      <c r="BF1500" s="165" t="str">
        <f t="shared" si="1099"/>
        <v>https://www.google.com/search?tbm=isch&amp;q=Blue%20Cascade%20foliage%20emerges%20Purplsh-Bronze.%20Small%20Reddish-Maroon%20flowers%20appear%20late%20winter%20to%20early%20spring.%20Heat%20and%20drought%20tolerant%20</v>
      </c>
      <c r="BG1500" s="165" t="str">
        <f t="shared" si="1100"/>
        <v>B</v>
      </c>
      <c r="BH1500" s="65"/>
      <c r="BI1500" s="65"/>
      <c r="BJ1500" s="65"/>
      <c r="BK1500" s="65"/>
      <c r="BL1500" s="99"/>
      <c r="BM1500" s="99"/>
      <c r="BN1500" s="99"/>
    </row>
    <row r="1501" spans="1:66" s="51" customFormat="1" ht="18" x14ac:dyDescent="0.25">
      <c r="A1501" s="507" t="s">
        <v>2439</v>
      </c>
      <c r="B1501" s="470"/>
      <c r="C1501" s="706"/>
      <c r="D1501" s="471" t="s">
        <v>5876</v>
      </c>
      <c r="E1501" s="472"/>
      <c r="F1501" s="472"/>
      <c r="G1501" s="472"/>
      <c r="H1501" s="622" t="s">
        <v>1076</v>
      </c>
      <c r="I1501" s="473" t="s">
        <v>565</v>
      </c>
      <c r="J1501" s="472"/>
      <c r="K1501" s="472"/>
      <c r="L1501" s="561"/>
      <c r="M1501" s="698" t="s">
        <v>5246</v>
      </c>
      <c r="N1501" s="692" t="str">
        <f>IF(AND(ISTEXT($A1501), ISERROR($A1501+0)), HYPERLINK($BF1501, "Images"), "")</f>
        <v>Images</v>
      </c>
      <c r="O1501" s="694" t="s">
        <v>5244</v>
      </c>
      <c r="P1501" s="475"/>
      <c r="Q1501" s="476"/>
      <c r="R1501" s="476"/>
      <c r="S1501" s="477"/>
      <c r="T1501" s="102">
        <f t="shared" si="1088"/>
        <v>0</v>
      </c>
      <c r="U1501" s="78" t="str">
        <f>IF(NOT(ISNUMBER(G1501)), "", VLOOKUP(A1501,'Discount Lookup'!D:E,2,FALSE)*G1501)</f>
        <v/>
      </c>
      <c r="V1501" s="78" t="str">
        <f>IF(NOT(ISNUMBER(G1501)), "", VLOOKUP(A1501,'Discount Lookup'!G:H,2,FALSE)*G1501)</f>
        <v/>
      </c>
      <c r="W1501" s="102">
        <f t="shared" si="1089"/>
        <v>0</v>
      </c>
      <c r="X1501" s="102" t="str">
        <f t="shared" si="1090"/>
        <v>Blue-Green foliage</v>
      </c>
      <c r="Y1501" s="120" t="b">
        <f t="shared" si="1091"/>
        <v>0</v>
      </c>
      <c r="Z1501" s="117">
        <f t="shared" si="1092"/>
        <v>0</v>
      </c>
      <c r="AA1501" s="118"/>
      <c r="AB1501" s="118" t="str">
        <f t="shared" si="1093"/>
        <v/>
      </c>
      <c r="AC1501" s="712" t="str">
        <f>IF(AE1501="T2G","no charge",IF(AND(OR(PlanterYesMe="No",PlanterYesMe="N",PlanterYesMe="me"),H1501=""),"",IF(H1501="credit","NO install",IF(AND(K1501="",AE1501="me"),"EACH row",IF(AND(K1501="images",AE1501="me"),"EACH row",IF(D1501="","",IF(H1501="credit","",IF(AE1501="free","re-planting",IF(AE1501="me","   not ELP, by",IF(AND(OR(PlanterYesMe="Yes",PlanterYesMe="Y"),G1501&gt;0),(VLOOKUP(A1501,'Discount Lookup'!J:K,2)*G1501*(1-PlanterDiscount)*(1+PlanterDifficultyPercentage)),IF(AE1501="ELP",(VLOOKUP(A1501,'Discount Lookup'!J:K,2)*G1501*(1-PlanterDiscount)*(1+PlanterDifficultyPercentage)),IF(AE1501="free","re-planting",IF(G1501=0,"",IF(PlanterYesMe="",IF(AE1501="me","   not ELP, by",IF(AE1501="",IF(G1501&gt;0,(VLOOKUP(A1501,'Discount Lookup'!J:K,2)*G1501*(1-PlanterDiscount)*(1+PlanterDifficultyPercentage)),""),"")),"   not ELP, by"))))))))))))))</f>
        <v/>
      </c>
      <c r="AD1501" s="712"/>
      <c r="AE1501" s="513" t="str">
        <f t="shared" si="1094"/>
        <v/>
      </c>
      <c r="AF1501" s="713" t="str">
        <f t="shared" si="1095"/>
        <v/>
      </c>
      <c r="AG1501" s="713"/>
      <c r="AH1501" s="713"/>
      <c r="AI1501" s="112">
        <f>IF(H1501="credit",0,IF(AE1501="free",0,IF(AE1501="me",0,IF(G1501&gt;0,(VLOOKUP(A1501,'Discount Lookup'!J:K,2)*G1501),0))))</f>
        <v>0</v>
      </c>
      <c r="AJ1501" s="107" t="str">
        <f t="shared" ca="1" si="1096"/>
        <v/>
      </c>
      <c r="AK1501" s="714" t="str">
        <f t="shared" si="1097"/>
        <v/>
      </c>
      <c r="AL1501" s="714"/>
      <c r="AM1501" s="114" t="str">
        <f t="shared" si="1098"/>
        <v/>
      </c>
      <c r="AN1501" s="115"/>
      <c r="AO1501" s="116"/>
      <c r="AP1501" s="116"/>
      <c r="AQ1501" s="116"/>
      <c r="AR1501" s="116"/>
      <c r="AS1501" s="116"/>
      <c r="AT1501" s="116"/>
      <c r="AU1501" s="116"/>
      <c r="AV1501" s="78"/>
      <c r="AW1501" s="102"/>
      <c r="AX1501" s="78"/>
      <c r="AY1501" s="78"/>
      <c r="AZ1501" s="78"/>
      <c r="BA1501" s="78"/>
      <c r="BB1501" s="78"/>
      <c r="BC1501" s="78"/>
      <c r="BD1501" s="78"/>
      <c r="BE1501" s="465"/>
      <c r="BF1501" s="165" t="str">
        <f t="shared" si="1099"/>
        <v>https://www.google.com/search?tbm=isch&amp;q=Distylium%20%27PIIDIST-III%27%20PP%2325304%20Coppertone%E2%84%A2%20Distyllium%20%28FE%C2%AE%29</v>
      </c>
      <c r="BG1501" s="165" t="str">
        <f t="shared" si="1100"/>
        <v>D</v>
      </c>
      <c r="BH1501" s="65"/>
      <c r="BI1501" s="65"/>
      <c r="BJ1501" s="65"/>
      <c r="BK1501" s="65"/>
      <c r="BL1501" s="99"/>
      <c r="BM1501" s="99"/>
      <c r="BN1501" s="99"/>
    </row>
    <row r="1502" spans="1:66" s="51" customFormat="1" ht="15.75" x14ac:dyDescent="0.25">
      <c r="A1502" s="478">
        <v>3</v>
      </c>
      <c r="B1502" s="479" t="s">
        <v>291</v>
      </c>
      <c r="C1502" s="480" t="s">
        <v>2440</v>
      </c>
      <c r="D1502" s="481" t="s">
        <v>329</v>
      </c>
      <c r="E1502" s="482">
        <v>33.950000000000003</v>
      </c>
      <c r="F1502" s="483" t="s">
        <v>292</v>
      </c>
      <c r="G1502" s="484">
        <v>0</v>
      </c>
      <c r="H1502" s="688" t="str">
        <f>IF(G1502=0,"",IF(F1502="Buy",IF(G1502=1,"plant","plants"),IF(F1502&gt;0.01,"warranty","Error")))</f>
        <v/>
      </c>
      <c r="I1502" s="485">
        <f>IF(H1502="free",0,IF(H1502="credit",((E1502*(F1502))*G1502*-1),IF(F1502="Buy",(E1502*G1502),((E1502*(1-F1502))*G1502))))</f>
        <v>0</v>
      </c>
      <c r="J1502" s="485">
        <f>IF(H1502="warranty",0,(I1502*(_xlfn.SINGLE(SalesTaxPercentage))))</f>
        <v>0</v>
      </c>
      <c r="K1502" s="715">
        <f t="shared" ref="K1502" si="1106">I1502+J1502</f>
        <v>0</v>
      </c>
      <c r="L1502" s="715"/>
      <c r="M1502" s="689" t="str">
        <f ca="1">IF(AND(G1502&gt;0,E1502=0),"WARNING - no PRICE inserted",IF(H1502="free","FREE ~ no charge this plant",IF(H1502="credit",CONCATENATE("-$",ROUND(K1502*(1-_xlfn.SINGLE(T2GDiscount))*-1,2)," CREDIT after discount"),IF(_xlfn.SINGLE(T2GDiscount)=0,"",IF(G1502=0,"",IF(F1502="Buy",CONCATENATE("$",ROUND(K1502*(1-_xlfn.SINGLE(T2GDiscount)),2)," with ",(_xlfn.SINGLE(T2GDiscount)*100),"% discount"),CONCATENATE("$",ROUND(K1502*(1-_xlfn.SINGLE(T2GDiscount)),2)," with ",((_xlfn.SINGLE(T2GDiscount)*100+F1502*100)-(_xlfn.SINGLE(T2GDiscount)*100*F1502)),IF(F1502&gt;0,"% discounts",IF(_xlfn.SINGLE(NoWarrantyDiscount)&gt;0,"% discounts","% discount")))))))))</f>
        <v/>
      </c>
      <c r="N1502" s="690"/>
      <c r="O1502" s="486"/>
      <c r="P1502" s="486"/>
      <c r="Q1502" s="486"/>
      <c r="R1502" s="486"/>
      <c r="S1502" s="486"/>
      <c r="T1502" s="102">
        <f t="shared" si="1088"/>
        <v>0</v>
      </c>
      <c r="U1502" s="78">
        <f>IF(NOT(ISNUMBER(G1502)), "", VLOOKUP(A1502,'Discount Lookup'!D:E,2,FALSE)*G1502)</f>
        <v>0</v>
      </c>
      <c r="V1502" s="78">
        <f>IF(NOT(ISNUMBER(G1502)), "", VLOOKUP(A1502,'Discount Lookup'!G:H,2,FALSE)*G1502)</f>
        <v>0</v>
      </c>
      <c r="W1502" s="102">
        <f t="shared" si="1089"/>
        <v>0</v>
      </c>
      <c r="X1502" s="102">
        <f t="shared" si="1090"/>
        <v>0</v>
      </c>
      <c r="Y1502" s="120" t="b">
        <f t="shared" si="1091"/>
        <v>0</v>
      </c>
      <c r="Z1502" s="117">
        <f t="shared" si="1092"/>
        <v>0</v>
      </c>
      <c r="AA1502" s="118"/>
      <c r="AB1502" s="118" t="str">
        <f t="shared" si="1093"/>
        <v/>
      </c>
      <c r="AC1502" s="712" t="str">
        <f>IF(AE1502="T2G","no charge",IF(AND(OR(PlanterYesMe="No",PlanterYesMe="N",PlanterYesMe="me"),H1502=""),"",IF(H1502="credit","NO install",IF(AND(K1502="",AE1502="me"),"EACH row",IF(AND(K1502="images",AE1502="me"),"EACH row",IF(D1502="","",IF(H1502="credit","",IF(AE1502="free","re-planting",IF(AE1502="me","   not ELP, by",IF(AND(OR(PlanterYesMe="Yes",PlanterYesMe="Y"),G1502&gt;0),(VLOOKUP(A1502,'Discount Lookup'!J:K,2)*G1502*(1-PlanterDiscount)*(1+PlanterDifficultyPercentage)),IF(AE1502="ELP",(VLOOKUP(A1502,'Discount Lookup'!J:K,2)*G1502*(1-PlanterDiscount)*(1+PlanterDifficultyPercentage)),IF(AE1502="free","re-planting",IF(G1502=0,"",IF(PlanterYesMe="",IF(AE1502="me","   not ELP, by",IF(AE1502="",IF(G1502&gt;0,(VLOOKUP(A1502,'Discount Lookup'!J:K,2)*G1502*(1-PlanterDiscount)*(1+PlanterDifficultyPercentage)),""),"")),"   not ELP, by"))))))))))))))</f>
        <v/>
      </c>
      <c r="AD1502" s="712"/>
      <c r="AE1502" s="513" t="str">
        <f t="shared" si="1094"/>
        <v/>
      </c>
      <c r="AF1502" s="713" t="str">
        <f t="shared" si="1095"/>
        <v/>
      </c>
      <c r="AG1502" s="713"/>
      <c r="AH1502" s="713"/>
      <c r="AI1502" s="112">
        <f>IF(H1502="credit",0,IF(AE1502="free",0,IF(AE1502="me",0,IF(G1502&gt;0,(VLOOKUP(A1502,'Discount Lookup'!J:K,2)*G1502),0))))</f>
        <v>0</v>
      </c>
      <c r="AJ1502" s="107" t="str">
        <f t="shared" ca="1" si="1096"/>
        <v/>
      </c>
      <c r="AK1502" s="714" t="str">
        <f t="shared" si="1097"/>
        <v/>
      </c>
      <c r="AL1502" s="714"/>
      <c r="AM1502" s="114" t="str">
        <f t="shared" si="1098"/>
        <v/>
      </c>
      <c r="AN1502" s="115"/>
      <c r="AO1502" s="116"/>
      <c r="AP1502" s="116"/>
      <c r="AQ1502" s="116"/>
      <c r="AR1502" s="116"/>
      <c r="AS1502" s="116"/>
      <c r="AT1502" s="116"/>
      <c r="AU1502" s="116"/>
      <c r="AV1502" s="78"/>
      <c r="AW1502" s="102"/>
      <c r="AX1502" s="78"/>
      <c r="AY1502" s="78"/>
      <c r="AZ1502" s="78"/>
      <c r="BA1502" s="78"/>
      <c r="BB1502" s="78"/>
      <c r="BC1502" s="78"/>
      <c r="BD1502" s="78"/>
      <c r="BE1502" s="465"/>
      <c r="BF1502" s="165" t="str">
        <f t="shared" si="1099"/>
        <v>https://www.google.com/search?tbm=isch&amp;q=3%20G2</v>
      </c>
      <c r="BG1502" s="165" t="str">
        <f t="shared" si="1100"/>
        <v>D</v>
      </c>
      <c r="BH1502" s="65"/>
      <c r="BI1502" s="65"/>
      <c r="BJ1502" s="65"/>
      <c r="BK1502" s="65"/>
      <c r="BL1502" s="99"/>
      <c r="BM1502" s="99"/>
      <c r="BN1502" s="99"/>
    </row>
    <row r="1503" spans="1:66" s="51" customFormat="1" ht="15.75" x14ac:dyDescent="0.25">
      <c r="A1503" s="478">
        <v>3</v>
      </c>
      <c r="B1503" s="479" t="s">
        <v>291</v>
      </c>
      <c r="C1503" s="480"/>
      <c r="D1503" s="481" t="s">
        <v>310</v>
      </c>
      <c r="E1503" s="482">
        <v>34.950000000000003</v>
      </c>
      <c r="F1503" s="483" t="s">
        <v>292</v>
      </c>
      <c r="G1503" s="484">
        <v>0</v>
      </c>
      <c r="H1503" s="688" t="str">
        <f>IF(G1503=0,"",IF(F1503="Buy",IF(G1503=1,"plant","plants"),IF(F1503&gt;0.01,"warranty","Error")))</f>
        <v/>
      </c>
      <c r="I1503" s="485">
        <f>IF(H1503="free",0,IF(H1503="credit",((E1503*(F1503))*G1503*-1),IF(F1503="Buy",(E1503*G1503),((E1503*(1-F1503))*G1503))))</f>
        <v>0</v>
      </c>
      <c r="J1503" s="485">
        <f>IF(H1503="warranty",0,(I1503*(_xlfn.SINGLE(SalesTaxPercentage))))</f>
        <v>0</v>
      </c>
      <c r="K1503" s="715">
        <f t="shared" ref="K1503" si="1107">I1503+J1503</f>
        <v>0</v>
      </c>
      <c r="L1503" s="715"/>
      <c r="M1503" s="689" t="str">
        <f ca="1">IF(AND(G1503&gt;0,E1503=0),"WARNING - no PRICE inserted",IF(H1503="free","FREE ~ no charge this plant",IF(H1503="credit",CONCATENATE("-$",ROUND(K1503*(1-_xlfn.SINGLE(T2GDiscount))*-1,2)," CREDIT after discount"),IF(_xlfn.SINGLE(T2GDiscount)=0,"",IF(G1503=0,"",IF(F1503="Buy",CONCATENATE("$",ROUND(K1503*(1-_xlfn.SINGLE(T2GDiscount)),2)," with ",(_xlfn.SINGLE(T2GDiscount)*100),"% discount"),CONCATENATE("$",ROUND(K1503*(1-_xlfn.SINGLE(T2GDiscount)),2)," with ",((_xlfn.SINGLE(T2GDiscount)*100+F1503*100)-(_xlfn.SINGLE(T2GDiscount)*100*F1503)),IF(F1503&gt;0,"% discounts",IF(_xlfn.SINGLE(NoWarrantyDiscount)&gt;0,"% discounts","% discount")))))))))</f>
        <v/>
      </c>
      <c r="N1503" s="690"/>
      <c r="O1503" s="486"/>
      <c r="P1503" s="486"/>
      <c r="Q1503" s="486"/>
      <c r="R1503" s="486"/>
      <c r="S1503" s="486"/>
      <c r="T1503" s="102">
        <f t="shared" si="1088"/>
        <v>0</v>
      </c>
      <c r="U1503" s="78">
        <f>IF(NOT(ISNUMBER(G1503)), "", VLOOKUP(A1503,'Discount Lookup'!D:E,2,FALSE)*G1503)</f>
        <v>0</v>
      </c>
      <c r="V1503" s="78">
        <f>IF(NOT(ISNUMBER(G1503)), "", VLOOKUP(A1503,'Discount Lookup'!G:H,2,FALSE)*G1503)</f>
        <v>0</v>
      </c>
      <c r="W1503" s="102">
        <f t="shared" si="1089"/>
        <v>0</v>
      </c>
      <c r="X1503" s="102">
        <f t="shared" si="1090"/>
        <v>0</v>
      </c>
      <c r="Y1503" s="120" t="b">
        <f t="shared" si="1091"/>
        <v>0</v>
      </c>
      <c r="Z1503" s="117">
        <f t="shared" si="1092"/>
        <v>0</v>
      </c>
      <c r="AA1503" s="118"/>
      <c r="AB1503" s="118" t="str">
        <f t="shared" si="1093"/>
        <v/>
      </c>
      <c r="AC1503" s="712" t="str">
        <f>IF(AE1503="T2G","no charge",IF(AND(OR(PlanterYesMe="No",PlanterYesMe="N",PlanterYesMe="me"),H1503=""),"",IF(H1503="credit","NO install",IF(AND(K1503="",AE1503="me"),"EACH row",IF(AND(K1503="images",AE1503="me"),"EACH row",IF(D1503="","",IF(H1503="credit","",IF(AE1503="free","re-planting",IF(AE1503="me","   not ELP, by",IF(AND(OR(PlanterYesMe="Yes",PlanterYesMe="Y"),G1503&gt;0),(VLOOKUP(A1503,'Discount Lookup'!J:K,2)*G1503*(1-PlanterDiscount)*(1+PlanterDifficultyPercentage)),IF(AE1503="ELP",(VLOOKUP(A1503,'Discount Lookup'!J:K,2)*G1503*(1-PlanterDiscount)*(1+PlanterDifficultyPercentage)),IF(AE1503="free","re-planting",IF(G1503=0,"",IF(PlanterYesMe="",IF(AE1503="me","   not ELP, by",IF(AE1503="",IF(G1503&gt;0,(VLOOKUP(A1503,'Discount Lookup'!J:K,2)*G1503*(1-PlanterDiscount)*(1+PlanterDifficultyPercentage)),""),"")),"   not ELP, by"))))))))))))))</f>
        <v/>
      </c>
      <c r="AD1503" s="712"/>
      <c r="AE1503" s="513" t="str">
        <f t="shared" si="1094"/>
        <v/>
      </c>
      <c r="AF1503" s="713" t="str">
        <f t="shared" si="1095"/>
        <v/>
      </c>
      <c r="AG1503" s="713"/>
      <c r="AH1503" s="713"/>
      <c r="AI1503" s="112">
        <f>IF(H1503="credit",0,IF(AE1503="free",0,IF(AE1503="me",0,IF(G1503&gt;0,(VLOOKUP(A1503,'Discount Lookup'!J:K,2)*G1503),0))))</f>
        <v>0</v>
      </c>
      <c r="AJ1503" s="107" t="str">
        <f t="shared" ca="1" si="1096"/>
        <v/>
      </c>
      <c r="AK1503" s="714" t="str">
        <f t="shared" si="1097"/>
        <v/>
      </c>
      <c r="AL1503" s="714"/>
      <c r="AM1503" s="114" t="str">
        <f t="shared" si="1098"/>
        <v/>
      </c>
      <c r="AN1503" s="115"/>
      <c r="AO1503" s="116"/>
      <c r="AP1503" s="116"/>
      <c r="AQ1503" s="116"/>
      <c r="AR1503" s="116"/>
      <c r="AS1503" s="116"/>
      <c r="AT1503" s="116"/>
      <c r="AU1503" s="116"/>
      <c r="AV1503" s="78"/>
      <c r="AW1503" s="102"/>
      <c r="AX1503" s="78"/>
      <c r="AY1503" s="78"/>
      <c r="AZ1503" s="78"/>
      <c r="BA1503" s="78"/>
      <c r="BB1503" s="78"/>
      <c r="BC1503" s="78"/>
      <c r="BD1503" s="78"/>
      <c r="BE1503" s="465"/>
      <c r="BF1503" s="165" t="str">
        <f t="shared" si="1099"/>
        <v>https://www.google.com/search?tbm=isch&amp;q=3%20G1</v>
      </c>
      <c r="BG1503" s="165" t="str">
        <f t="shared" si="1100"/>
        <v>D</v>
      </c>
      <c r="BH1503" s="65"/>
      <c r="BI1503" s="65"/>
      <c r="BJ1503" s="65"/>
      <c r="BK1503" s="65"/>
      <c r="BL1503" s="99"/>
      <c r="BM1503" s="99"/>
      <c r="BN1503" s="99"/>
    </row>
    <row r="1504" spans="1:66" s="51" customFormat="1" ht="16.5" thickBot="1" x14ac:dyDescent="0.3">
      <c r="A1504" s="508" t="s">
        <v>4724</v>
      </c>
      <c r="B1504" s="487"/>
      <c r="C1504" s="707"/>
      <c r="D1504" s="487"/>
      <c r="E1504" s="487"/>
      <c r="F1504" s="488"/>
      <c r="G1504" s="489"/>
      <c r="H1504" s="487"/>
      <c r="I1504" s="490"/>
      <c r="J1504" s="490"/>
      <c r="K1504" s="491"/>
      <c r="L1504" s="547"/>
      <c r="M1504" s="528"/>
      <c r="N1504" s="492"/>
      <c r="O1504" s="493"/>
      <c r="P1504" s="494"/>
      <c r="Q1504" s="492"/>
      <c r="R1504" s="492"/>
      <c r="S1504" s="699" t="s">
        <v>5259</v>
      </c>
      <c r="T1504" s="102">
        <f t="shared" si="1088"/>
        <v>0</v>
      </c>
      <c r="U1504" s="78" t="str">
        <f>IF(NOT(ISNUMBER(G1504)), "", VLOOKUP(A1504,'Discount Lookup'!D:E,2,FALSE)*G1504)</f>
        <v/>
      </c>
      <c r="V1504" s="78" t="str">
        <f>IF(NOT(ISNUMBER(G1504)), "", VLOOKUP(A1504,'Discount Lookup'!G:H,2,FALSE)*G1504)</f>
        <v/>
      </c>
      <c r="W1504" s="102">
        <f t="shared" si="1089"/>
        <v>0</v>
      </c>
      <c r="X1504" s="102">
        <f t="shared" si="1090"/>
        <v>0</v>
      </c>
      <c r="Y1504" s="120" t="b">
        <f t="shared" si="1091"/>
        <v>0</v>
      </c>
      <c r="Z1504" s="117">
        <f t="shared" si="1092"/>
        <v>0</v>
      </c>
      <c r="AA1504" s="118"/>
      <c r="AB1504" s="118" t="str">
        <f t="shared" si="1093"/>
        <v/>
      </c>
      <c r="AC1504" s="712" t="str">
        <f>IF(AE1504="T2G","no charge",IF(AND(OR(PlanterYesMe="No",PlanterYesMe="N",PlanterYesMe="me"),H1504=""),"",IF(H1504="credit","NO install",IF(AND(K1504="",AE1504="me"),"EACH row",IF(AND(K1504="images",AE1504="me"),"EACH row",IF(D1504="","",IF(H1504="credit","",IF(AE1504="free","re-planting",IF(AE1504="me","   not ELP, by",IF(AND(OR(PlanterYesMe="Yes",PlanterYesMe="Y"),G1504&gt;0),(VLOOKUP(A1504,'Discount Lookup'!J:K,2)*G1504*(1-PlanterDiscount)*(1+PlanterDifficultyPercentage)),IF(AE1504="ELP",(VLOOKUP(A1504,'Discount Lookup'!J:K,2)*G1504*(1-PlanterDiscount)*(1+PlanterDifficultyPercentage)),IF(AE1504="free","re-planting",IF(G1504=0,"",IF(PlanterYesMe="",IF(AE1504="me","   not ELP, by",IF(AE1504="",IF(G1504&gt;0,(VLOOKUP(A1504,'Discount Lookup'!J:K,2)*G1504*(1-PlanterDiscount)*(1+PlanterDifficultyPercentage)),""),"")),"   not ELP, by"))))))))))))))</f>
        <v/>
      </c>
      <c r="AD1504" s="712"/>
      <c r="AE1504" s="513" t="str">
        <f t="shared" si="1094"/>
        <v/>
      </c>
      <c r="AF1504" s="713" t="str">
        <f t="shared" si="1095"/>
        <v/>
      </c>
      <c r="AG1504" s="713"/>
      <c r="AH1504" s="713"/>
      <c r="AI1504" s="112">
        <f>IF(H1504="credit",0,IF(AE1504="free",0,IF(AE1504="me",0,IF(G1504&gt;0,(VLOOKUP(A1504,'Discount Lookup'!J:K,2)*G1504),0))))</f>
        <v>0</v>
      </c>
      <c r="AJ1504" s="107" t="str">
        <f t="shared" ca="1" si="1096"/>
        <v/>
      </c>
      <c r="AK1504" s="714" t="str">
        <f t="shared" si="1097"/>
        <v/>
      </c>
      <c r="AL1504" s="714"/>
      <c r="AM1504" s="114" t="str">
        <f t="shared" si="1098"/>
        <v/>
      </c>
      <c r="AN1504" s="115"/>
      <c r="AO1504" s="116"/>
      <c r="AP1504" s="116"/>
      <c r="AQ1504" s="116"/>
      <c r="AR1504" s="116"/>
      <c r="AS1504" s="116"/>
      <c r="AT1504" s="116"/>
      <c r="AU1504" s="116"/>
      <c r="AV1504" s="78"/>
      <c r="AW1504" s="102"/>
      <c r="AX1504" s="78"/>
      <c r="AY1504" s="78"/>
      <c r="AZ1504" s="78"/>
      <c r="BA1504" s="78"/>
      <c r="BB1504" s="78"/>
      <c r="BC1504" s="78"/>
      <c r="BD1504" s="78"/>
      <c r="BE1504" s="465"/>
      <c r="BF1504" s="165" t="str">
        <f t="shared" si="1099"/>
        <v>https://www.google.com/search?tbm=isch&amp;q=Coppertone%20named%20for%20Coppery%20spring%20flush%2C%20matures%20to%20cool%20blue-green%20summer%20tones%2C%20then%20rich%20winter%20Purples.%20Heat%20and%20drought%20tolerant%20</v>
      </c>
      <c r="BG1504" s="165" t="str">
        <f t="shared" si="1100"/>
        <v>C</v>
      </c>
      <c r="BH1504" s="65"/>
      <c r="BI1504" s="65"/>
      <c r="BJ1504" s="65"/>
      <c r="BK1504" s="65"/>
      <c r="BL1504" s="99"/>
      <c r="BM1504" s="99"/>
      <c r="BN1504" s="99"/>
    </row>
    <row r="1505" spans="1:66" s="51" customFormat="1" ht="18" x14ac:dyDescent="0.25">
      <c r="A1505" s="507" t="s">
        <v>2441</v>
      </c>
      <c r="B1505" s="470"/>
      <c r="C1505" s="706"/>
      <c r="D1505" s="471" t="s">
        <v>5877</v>
      </c>
      <c r="E1505" s="472"/>
      <c r="F1505" s="472"/>
      <c r="G1505" s="472"/>
      <c r="H1505" s="622" t="s">
        <v>1246</v>
      </c>
      <c r="I1505" s="473" t="s">
        <v>2442</v>
      </c>
      <c r="J1505" s="472"/>
      <c r="K1505" s="472"/>
      <c r="L1505" s="561"/>
      <c r="M1505" s="698" t="s">
        <v>5246</v>
      </c>
      <c r="N1505" s="692" t="str">
        <f>IF(AND(ISTEXT($A1505), ISERROR($A1505+0)), HYPERLINK($BF1505, "Images"), "")</f>
        <v>Images</v>
      </c>
      <c r="O1505" s="694" t="s">
        <v>5244</v>
      </c>
      <c r="P1505" s="475"/>
      <c r="Q1505" s="476"/>
      <c r="R1505" s="476"/>
      <c r="S1505" s="477"/>
      <c r="T1505" s="102">
        <f t="shared" si="1088"/>
        <v>0</v>
      </c>
      <c r="U1505" s="78" t="str">
        <f>IF(NOT(ISNUMBER(G1505)), "", VLOOKUP(A1505,'Discount Lookup'!D:E,2,FALSE)*G1505)</f>
        <v/>
      </c>
      <c r="V1505" s="78" t="str">
        <f>IF(NOT(ISNUMBER(G1505)), "", VLOOKUP(A1505,'Discount Lookup'!G:H,2,FALSE)*G1505)</f>
        <v/>
      </c>
      <c r="W1505" s="102">
        <f t="shared" si="1089"/>
        <v>0</v>
      </c>
      <c r="X1505" s="102" t="str">
        <f t="shared" si="1090"/>
        <v>Glossy Dark Green foliage</v>
      </c>
      <c r="Y1505" s="120" t="b">
        <f t="shared" si="1091"/>
        <v>0</v>
      </c>
      <c r="Z1505" s="117">
        <f t="shared" si="1092"/>
        <v>0</v>
      </c>
      <c r="AA1505" s="118"/>
      <c r="AB1505" s="118" t="str">
        <f t="shared" si="1093"/>
        <v/>
      </c>
      <c r="AC1505" s="712" t="str">
        <f>IF(AE1505="T2G","no charge",IF(AND(OR(PlanterYesMe="No",PlanterYesMe="N",PlanterYesMe="me"),H1505=""),"",IF(H1505="credit","NO install",IF(AND(K1505="",AE1505="me"),"EACH row",IF(AND(K1505="images",AE1505="me"),"EACH row",IF(D1505="","",IF(H1505="credit","",IF(AE1505="free","re-planting",IF(AE1505="me","   not ELP, by",IF(AND(OR(PlanterYesMe="Yes",PlanterYesMe="Y"),G1505&gt;0),(VLOOKUP(A1505,'Discount Lookup'!J:K,2)*G1505*(1-PlanterDiscount)*(1+PlanterDifficultyPercentage)),IF(AE1505="ELP",(VLOOKUP(A1505,'Discount Lookup'!J:K,2)*G1505*(1-PlanterDiscount)*(1+PlanterDifficultyPercentage)),IF(AE1505="free","re-planting",IF(G1505=0,"",IF(PlanterYesMe="",IF(AE1505="me","   not ELP, by",IF(AE1505="",IF(G1505&gt;0,(VLOOKUP(A1505,'Discount Lookup'!J:K,2)*G1505*(1-PlanterDiscount)*(1+PlanterDifficultyPercentage)),""),"")),"   not ELP, by"))))))))))))))</f>
        <v/>
      </c>
      <c r="AD1505" s="712"/>
      <c r="AE1505" s="513" t="str">
        <f t="shared" si="1094"/>
        <v/>
      </c>
      <c r="AF1505" s="713" t="str">
        <f t="shared" si="1095"/>
        <v/>
      </c>
      <c r="AG1505" s="713"/>
      <c r="AH1505" s="713"/>
      <c r="AI1505" s="112">
        <f>IF(H1505="credit",0,IF(AE1505="free",0,IF(AE1505="me",0,IF(G1505&gt;0,(VLOOKUP(A1505,'Discount Lookup'!J:K,2)*G1505),0))))</f>
        <v>0</v>
      </c>
      <c r="AJ1505" s="107" t="str">
        <f t="shared" ca="1" si="1096"/>
        <v/>
      </c>
      <c r="AK1505" s="714" t="str">
        <f t="shared" si="1097"/>
        <v/>
      </c>
      <c r="AL1505" s="714"/>
      <c r="AM1505" s="114" t="str">
        <f t="shared" si="1098"/>
        <v/>
      </c>
      <c r="AN1505" s="115"/>
      <c r="AO1505" s="116"/>
      <c r="AP1505" s="116"/>
      <c r="AQ1505" s="116"/>
      <c r="AR1505" s="116"/>
      <c r="AS1505" s="116"/>
      <c r="AT1505" s="116"/>
      <c r="AU1505" s="116"/>
      <c r="AV1505" s="78"/>
      <c r="AW1505" s="102"/>
      <c r="AX1505" s="78"/>
      <c r="AY1505" s="78"/>
      <c r="AZ1505" s="78"/>
      <c r="BA1505" s="78"/>
      <c r="BB1505" s="78"/>
      <c r="BC1505" s="78"/>
      <c r="BD1505" s="78"/>
      <c r="BE1505" s="465"/>
      <c r="BF1505" s="165" t="str">
        <f t="shared" si="1099"/>
        <v>https://www.google.com/search?tbm=isch&amp;q=Distylium%20%27PIIDIST-IV%27%20PP%2325984%20Linebacker%E2%84%A2%20Distylium%20%28FE%C2%AE%29</v>
      </c>
      <c r="BG1505" s="165" t="str">
        <f t="shared" si="1100"/>
        <v>D</v>
      </c>
      <c r="BH1505" s="65"/>
      <c r="BI1505" s="65"/>
      <c r="BJ1505" s="65"/>
      <c r="BK1505" s="65"/>
      <c r="BL1505" s="99"/>
      <c r="BM1505" s="99"/>
      <c r="BN1505" s="99"/>
    </row>
    <row r="1506" spans="1:66" s="51" customFormat="1" ht="15.75" x14ac:dyDescent="0.25">
      <c r="A1506" s="478">
        <v>3</v>
      </c>
      <c r="B1506" s="479" t="s">
        <v>291</v>
      </c>
      <c r="C1506" s="480" t="s">
        <v>2430</v>
      </c>
      <c r="D1506" s="481" t="s">
        <v>329</v>
      </c>
      <c r="E1506" s="482">
        <v>33.950000000000003</v>
      </c>
      <c r="F1506" s="483" t="s">
        <v>292</v>
      </c>
      <c r="G1506" s="484">
        <v>0</v>
      </c>
      <c r="H1506" s="688" t="str">
        <f>IF(G1506=0,"",IF(F1506="Buy",IF(G1506=1,"plant","plants"),IF(F1506&gt;0.01,"warranty","Error")))</f>
        <v/>
      </c>
      <c r="I1506" s="485">
        <f>IF(H1506="free",0,IF(H1506="credit",((E1506*(F1506))*G1506*-1),IF(F1506="Buy",(E1506*G1506),((E1506*(1-F1506))*G1506))))</f>
        <v>0</v>
      </c>
      <c r="J1506" s="485">
        <f>IF(H1506="warranty",0,(I1506*(_xlfn.SINGLE(SalesTaxPercentage))))</f>
        <v>0</v>
      </c>
      <c r="K1506" s="715">
        <f t="shared" ref="K1506" si="1108">I1506+J1506</f>
        <v>0</v>
      </c>
      <c r="L1506" s="715"/>
      <c r="M1506" s="689" t="str">
        <f ca="1">IF(AND(G1506&gt;0,E1506=0),"WARNING - no PRICE inserted",IF(H1506="free","FREE ~ no charge this plant",IF(H1506="credit",CONCATENATE("-$",ROUND(K1506*(1-_xlfn.SINGLE(T2GDiscount))*-1,2)," CREDIT after discount"),IF(_xlfn.SINGLE(T2GDiscount)=0,"",IF(G1506=0,"",IF(F1506="Buy",CONCATENATE("$",ROUND(K1506*(1-_xlfn.SINGLE(T2GDiscount)),2)," with ",(_xlfn.SINGLE(T2GDiscount)*100),"% discount"),CONCATENATE("$",ROUND(K1506*(1-_xlfn.SINGLE(T2GDiscount)),2)," with ",((_xlfn.SINGLE(T2GDiscount)*100+F1506*100)-(_xlfn.SINGLE(T2GDiscount)*100*F1506)),IF(F1506&gt;0,"% discounts",IF(_xlfn.SINGLE(NoWarrantyDiscount)&gt;0,"% discounts","% discount")))))))))</f>
        <v/>
      </c>
      <c r="N1506" s="690"/>
      <c r="O1506" s="486"/>
      <c r="P1506" s="486"/>
      <c r="Q1506" s="486"/>
      <c r="R1506" s="486"/>
      <c r="S1506" s="486"/>
      <c r="T1506" s="102">
        <f t="shared" si="1088"/>
        <v>0</v>
      </c>
      <c r="U1506" s="78">
        <f>IF(NOT(ISNUMBER(G1506)), "", VLOOKUP(A1506,'Discount Lookup'!D:E,2,FALSE)*G1506)</f>
        <v>0</v>
      </c>
      <c r="V1506" s="78">
        <f>IF(NOT(ISNUMBER(G1506)), "", VLOOKUP(A1506,'Discount Lookup'!G:H,2,FALSE)*G1506)</f>
        <v>0</v>
      </c>
      <c r="W1506" s="102">
        <f t="shared" si="1089"/>
        <v>0</v>
      </c>
      <c r="X1506" s="102">
        <f t="shared" si="1090"/>
        <v>0</v>
      </c>
      <c r="Y1506" s="120" t="b">
        <f t="shared" si="1091"/>
        <v>0</v>
      </c>
      <c r="Z1506" s="117">
        <f t="shared" si="1092"/>
        <v>0</v>
      </c>
      <c r="AA1506" s="118"/>
      <c r="AB1506" s="118" t="str">
        <f t="shared" si="1093"/>
        <v/>
      </c>
      <c r="AC1506" s="712" t="str">
        <f>IF(AE1506="T2G","no charge",IF(AND(OR(PlanterYesMe="No",PlanterYesMe="N",PlanterYesMe="me"),H1506=""),"",IF(H1506="credit","NO install",IF(AND(K1506="",AE1506="me"),"EACH row",IF(AND(K1506="images",AE1506="me"),"EACH row",IF(D1506="","",IF(H1506="credit","",IF(AE1506="free","re-planting",IF(AE1506="me","   not ELP, by",IF(AND(OR(PlanterYesMe="Yes",PlanterYesMe="Y"),G1506&gt;0),(VLOOKUP(A1506,'Discount Lookup'!J:K,2)*G1506*(1-PlanterDiscount)*(1+PlanterDifficultyPercentage)),IF(AE1506="ELP",(VLOOKUP(A1506,'Discount Lookup'!J:K,2)*G1506*(1-PlanterDiscount)*(1+PlanterDifficultyPercentage)),IF(AE1506="free","re-planting",IF(G1506=0,"",IF(PlanterYesMe="",IF(AE1506="me","   not ELP, by",IF(AE1506="",IF(G1506&gt;0,(VLOOKUP(A1506,'Discount Lookup'!J:K,2)*G1506*(1-PlanterDiscount)*(1+PlanterDifficultyPercentage)),""),"")),"   not ELP, by"))))))))))))))</f>
        <v/>
      </c>
      <c r="AD1506" s="712"/>
      <c r="AE1506" s="513" t="str">
        <f t="shared" si="1094"/>
        <v/>
      </c>
      <c r="AF1506" s="713" t="str">
        <f t="shared" si="1095"/>
        <v/>
      </c>
      <c r="AG1506" s="713"/>
      <c r="AH1506" s="713"/>
      <c r="AI1506" s="112">
        <f>IF(H1506="credit",0,IF(AE1506="free",0,IF(AE1506="me",0,IF(G1506&gt;0,(VLOOKUP(A1506,'Discount Lookup'!J:K,2)*G1506),0))))</f>
        <v>0</v>
      </c>
      <c r="AJ1506" s="107" t="str">
        <f t="shared" ca="1" si="1096"/>
        <v/>
      </c>
      <c r="AK1506" s="714" t="str">
        <f t="shared" si="1097"/>
        <v/>
      </c>
      <c r="AL1506" s="714"/>
      <c r="AM1506" s="114" t="str">
        <f t="shared" si="1098"/>
        <v/>
      </c>
      <c r="AN1506" s="115"/>
      <c r="AO1506" s="116"/>
      <c r="AP1506" s="116"/>
      <c r="AQ1506" s="116"/>
      <c r="AR1506" s="116"/>
      <c r="AS1506" s="116"/>
      <c r="AT1506" s="116"/>
      <c r="AU1506" s="116"/>
      <c r="AV1506" s="78"/>
      <c r="AW1506" s="102"/>
      <c r="AX1506" s="78"/>
      <c r="AY1506" s="78"/>
      <c r="AZ1506" s="78"/>
      <c r="BA1506" s="78"/>
      <c r="BB1506" s="78"/>
      <c r="BC1506" s="78"/>
      <c r="BD1506" s="78"/>
      <c r="BE1506" s="465"/>
      <c r="BF1506" s="165" t="str">
        <f t="shared" si="1099"/>
        <v>https://www.google.com/search?tbm=isch&amp;q=3%20G2</v>
      </c>
      <c r="BG1506" s="165" t="str">
        <f t="shared" si="1100"/>
        <v>D</v>
      </c>
      <c r="BH1506" s="65"/>
      <c r="BI1506" s="65"/>
      <c r="BJ1506" s="65"/>
      <c r="BK1506" s="65"/>
      <c r="BL1506" s="99"/>
      <c r="BM1506" s="99"/>
      <c r="BN1506" s="99"/>
    </row>
    <row r="1507" spans="1:66" s="51" customFormat="1" ht="15.75" x14ac:dyDescent="0.25">
      <c r="A1507" s="478">
        <v>3</v>
      </c>
      <c r="B1507" s="479" t="s">
        <v>291</v>
      </c>
      <c r="C1507" s="480" t="s">
        <v>2443</v>
      </c>
      <c r="D1507" s="481" t="s">
        <v>311</v>
      </c>
      <c r="E1507" s="482">
        <v>36.950000000000003</v>
      </c>
      <c r="F1507" s="483" t="s">
        <v>292</v>
      </c>
      <c r="G1507" s="484">
        <v>0</v>
      </c>
      <c r="H1507" s="688" t="str">
        <f>IF(G1507=0,"",IF(F1507="Buy",IF(G1507=1,"plant","plants"),IF(F1507&gt;0.01,"warranty","Error")))</f>
        <v/>
      </c>
      <c r="I1507" s="485">
        <f>IF(H1507="free",0,IF(H1507="credit",((E1507*(F1507))*G1507*-1),IF(F1507="Buy",(E1507*G1507),((E1507*(1-F1507))*G1507))))</f>
        <v>0</v>
      </c>
      <c r="J1507" s="485">
        <f>IF(H1507="warranty",0,(I1507*(_xlfn.SINGLE(SalesTaxPercentage))))</f>
        <v>0</v>
      </c>
      <c r="K1507" s="715">
        <f t="shared" ref="K1507" si="1109">I1507+J1507</f>
        <v>0</v>
      </c>
      <c r="L1507" s="715"/>
      <c r="M1507" s="689" t="str">
        <f ca="1">IF(AND(G1507&gt;0,E1507=0),"WARNING - no PRICE inserted",IF(H1507="free","FREE ~ no charge this plant",IF(H1507="credit",CONCATENATE("-$",ROUND(K1507*(1-_xlfn.SINGLE(T2GDiscount))*-1,2)," CREDIT after discount"),IF(_xlfn.SINGLE(T2GDiscount)=0,"",IF(G1507=0,"",IF(F1507="Buy",CONCATENATE("$",ROUND(K1507*(1-_xlfn.SINGLE(T2GDiscount)),2)," with ",(_xlfn.SINGLE(T2GDiscount)*100),"% discount"),CONCATENATE("$",ROUND(K1507*(1-_xlfn.SINGLE(T2GDiscount)),2)," with ",((_xlfn.SINGLE(T2GDiscount)*100+F1507*100)-(_xlfn.SINGLE(T2GDiscount)*100*F1507)),IF(F1507&gt;0,"% discounts",IF(_xlfn.SINGLE(NoWarrantyDiscount)&gt;0,"% discounts","% discount")))))))))</f>
        <v/>
      </c>
      <c r="N1507" s="690"/>
      <c r="O1507" s="486"/>
      <c r="P1507" s="486"/>
      <c r="Q1507" s="486"/>
      <c r="R1507" s="486"/>
      <c r="S1507" s="486"/>
      <c r="T1507" s="102">
        <f t="shared" si="1088"/>
        <v>0</v>
      </c>
      <c r="U1507" s="78">
        <f>IF(NOT(ISNUMBER(G1507)), "", VLOOKUP(A1507,'Discount Lookup'!D:E,2,FALSE)*G1507)</f>
        <v>0</v>
      </c>
      <c r="V1507" s="78">
        <f>IF(NOT(ISNUMBER(G1507)), "", VLOOKUP(A1507,'Discount Lookup'!G:H,2,FALSE)*G1507)</f>
        <v>0</v>
      </c>
      <c r="W1507" s="102">
        <f t="shared" si="1089"/>
        <v>0</v>
      </c>
      <c r="X1507" s="102">
        <f t="shared" si="1090"/>
        <v>0</v>
      </c>
      <c r="Y1507" s="120" t="b">
        <f t="shared" si="1091"/>
        <v>0</v>
      </c>
      <c r="Z1507" s="117">
        <f t="shared" si="1092"/>
        <v>0</v>
      </c>
      <c r="AA1507" s="118"/>
      <c r="AB1507" s="118" t="str">
        <f t="shared" si="1093"/>
        <v/>
      </c>
      <c r="AC1507" s="712" t="str">
        <f>IF(AE1507="T2G","no charge",IF(AND(OR(PlanterYesMe="No",PlanterYesMe="N",PlanterYesMe="me"),H1507=""),"",IF(H1507="credit","NO install",IF(AND(K1507="",AE1507="me"),"EACH row",IF(AND(K1507="images",AE1507="me"),"EACH row",IF(D1507="","",IF(H1507="credit","",IF(AE1507="free","re-planting",IF(AE1507="me","   not ELP, by",IF(AND(OR(PlanterYesMe="Yes",PlanterYesMe="Y"),G1507&gt;0),(VLOOKUP(A1507,'Discount Lookup'!J:K,2)*G1507*(1-PlanterDiscount)*(1+PlanterDifficultyPercentage)),IF(AE1507="ELP",(VLOOKUP(A1507,'Discount Lookup'!J:K,2)*G1507*(1-PlanterDiscount)*(1+PlanterDifficultyPercentage)),IF(AE1507="free","re-planting",IF(G1507=0,"",IF(PlanterYesMe="",IF(AE1507="me","   not ELP, by",IF(AE1507="",IF(G1507&gt;0,(VLOOKUP(A1507,'Discount Lookup'!J:K,2)*G1507*(1-PlanterDiscount)*(1+PlanterDifficultyPercentage)),""),"")),"   not ELP, by"))))))))))))))</f>
        <v/>
      </c>
      <c r="AD1507" s="712"/>
      <c r="AE1507" s="513" t="str">
        <f t="shared" si="1094"/>
        <v/>
      </c>
      <c r="AF1507" s="713" t="str">
        <f t="shared" si="1095"/>
        <v/>
      </c>
      <c r="AG1507" s="713"/>
      <c r="AH1507" s="713"/>
      <c r="AI1507" s="112">
        <f>IF(H1507="credit",0,IF(AE1507="free",0,IF(AE1507="me",0,IF(G1507&gt;0,(VLOOKUP(A1507,'Discount Lookup'!J:K,2)*G1507),0))))</f>
        <v>0</v>
      </c>
      <c r="AJ1507" s="107" t="str">
        <f t="shared" ca="1" si="1096"/>
        <v/>
      </c>
      <c r="AK1507" s="714" t="str">
        <f t="shared" si="1097"/>
        <v/>
      </c>
      <c r="AL1507" s="714"/>
      <c r="AM1507" s="114" t="str">
        <f t="shared" si="1098"/>
        <v/>
      </c>
      <c r="AN1507" s="115"/>
      <c r="AO1507" s="116"/>
      <c r="AP1507" s="116"/>
      <c r="AQ1507" s="116"/>
      <c r="AR1507" s="116"/>
      <c r="AS1507" s="116"/>
      <c r="AT1507" s="116"/>
      <c r="AU1507" s="116"/>
      <c r="AV1507" s="78"/>
      <c r="AW1507" s="102"/>
      <c r="AX1507" s="78"/>
      <c r="AY1507" s="78"/>
      <c r="AZ1507" s="78"/>
      <c r="BA1507" s="78"/>
      <c r="BB1507" s="78"/>
      <c r="BC1507" s="78"/>
      <c r="BD1507" s="78"/>
      <c r="BE1507" s="465"/>
      <c r="BF1507" s="165" t="str">
        <f t="shared" si="1099"/>
        <v>https://www.google.com/search?tbm=isch&amp;q=3%20G5</v>
      </c>
      <c r="BG1507" s="165" t="str">
        <f t="shared" si="1100"/>
        <v>D</v>
      </c>
      <c r="BH1507" s="65"/>
      <c r="BI1507" s="65"/>
      <c r="BJ1507" s="65"/>
      <c r="BK1507" s="65"/>
      <c r="BL1507" s="99"/>
      <c r="BM1507" s="99"/>
      <c r="BN1507" s="99"/>
    </row>
    <row r="1508" spans="1:66" s="51" customFormat="1" ht="15.75" x14ac:dyDescent="0.25">
      <c r="A1508" s="478">
        <v>7</v>
      </c>
      <c r="B1508" s="479" t="s">
        <v>291</v>
      </c>
      <c r="C1508" s="480" t="s">
        <v>2444</v>
      </c>
      <c r="D1508" s="481" t="s">
        <v>299</v>
      </c>
      <c r="E1508" s="482">
        <v>95.95</v>
      </c>
      <c r="F1508" s="483" t="s">
        <v>292</v>
      </c>
      <c r="G1508" s="484">
        <v>0</v>
      </c>
      <c r="H1508" s="688" t="str">
        <f>IF(G1508=0,"",IF(F1508="Buy",IF(G1508=1,"plant","plants"),IF(F1508&gt;0.01,"warranty","Error")))</f>
        <v/>
      </c>
      <c r="I1508" s="485">
        <f>IF(H1508="free",0,IF(H1508="credit",((E1508*(F1508))*G1508*-1),IF(F1508="Buy",(E1508*G1508),((E1508*(1-F1508))*G1508))))</f>
        <v>0</v>
      </c>
      <c r="J1508" s="485">
        <f>IF(H1508="warranty",0,(I1508*(_xlfn.SINGLE(SalesTaxPercentage))))</f>
        <v>0</v>
      </c>
      <c r="K1508" s="715">
        <f t="shared" ref="K1508" si="1110">I1508+J1508</f>
        <v>0</v>
      </c>
      <c r="L1508" s="715"/>
      <c r="M1508" s="689" t="str">
        <f ca="1">IF(AND(G1508&gt;0,E1508=0),"WARNING - no PRICE inserted",IF(H1508="free","FREE ~ no charge this plant",IF(H1508="credit",CONCATENATE("-$",ROUND(K1508*(1-_xlfn.SINGLE(T2GDiscount))*-1,2)," CREDIT after discount"),IF(_xlfn.SINGLE(T2GDiscount)=0,"",IF(G1508=0,"",IF(F1508="Buy",CONCATENATE("$",ROUND(K1508*(1-_xlfn.SINGLE(T2GDiscount)),2)," with ",(_xlfn.SINGLE(T2GDiscount)*100),"% discount"),CONCATENATE("$",ROUND(K1508*(1-_xlfn.SINGLE(T2GDiscount)),2)," with ",((_xlfn.SINGLE(T2GDiscount)*100+F1508*100)-(_xlfn.SINGLE(T2GDiscount)*100*F1508)),IF(F1508&gt;0,"% discounts",IF(_xlfn.SINGLE(NoWarrantyDiscount)&gt;0,"% discounts","% discount")))))))))</f>
        <v/>
      </c>
      <c r="N1508" s="690"/>
      <c r="O1508" s="486"/>
      <c r="P1508" s="486"/>
      <c r="Q1508" s="486"/>
      <c r="R1508" s="486"/>
      <c r="S1508" s="486"/>
      <c r="T1508" s="102">
        <f t="shared" si="1088"/>
        <v>0</v>
      </c>
      <c r="U1508" s="78">
        <f>IF(NOT(ISNUMBER(G1508)), "", VLOOKUP(A1508,'Discount Lookup'!D:E,2,FALSE)*G1508)</f>
        <v>0</v>
      </c>
      <c r="V1508" s="78">
        <f>IF(NOT(ISNUMBER(G1508)), "", VLOOKUP(A1508,'Discount Lookup'!G:H,2,FALSE)*G1508)</f>
        <v>0</v>
      </c>
      <c r="W1508" s="102">
        <f t="shared" si="1089"/>
        <v>0</v>
      </c>
      <c r="X1508" s="102">
        <f t="shared" si="1090"/>
        <v>0</v>
      </c>
      <c r="Y1508" s="120" t="b">
        <f t="shared" si="1091"/>
        <v>0</v>
      </c>
      <c r="Z1508" s="117">
        <f t="shared" si="1092"/>
        <v>0</v>
      </c>
      <c r="AA1508" s="118"/>
      <c r="AB1508" s="118" t="str">
        <f t="shared" si="1093"/>
        <v/>
      </c>
      <c r="AC1508" s="712" t="str">
        <f>IF(AE1508="T2G","no charge",IF(AND(OR(PlanterYesMe="No",PlanterYesMe="N",PlanterYesMe="me"),H1508=""),"",IF(H1508="credit","NO install",IF(AND(K1508="",AE1508="me"),"EACH row",IF(AND(K1508="images",AE1508="me"),"EACH row",IF(D1508="","",IF(H1508="credit","",IF(AE1508="free","re-planting",IF(AE1508="me","   not ELP, by",IF(AND(OR(PlanterYesMe="Yes",PlanterYesMe="Y"),G1508&gt;0),(VLOOKUP(A1508,'Discount Lookup'!J:K,2)*G1508*(1-PlanterDiscount)*(1+PlanterDifficultyPercentage)),IF(AE1508="ELP",(VLOOKUP(A1508,'Discount Lookup'!J:K,2)*G1508*(1-PlanterDiscount)*(1+PlanterDifficultyPercentage)),IF(AE1508="free","re-planting",IF(G1508=0,"",IF(PlanterYesMe="",IF(AE1508="me","   not ELP, by",IF(AE1508="",IF(G1508&gt;0,(VLOOKUP(A1508,'Discount Lookup'!J:K,2)*G1508*(1-PlanterDiscount)*(1+PlanterDifficultyPercentage)),""),"")),"   not ELP, by"))))))))))))))</f>
        <v/>
      </c>
      <c r="AD1508" s="712"/>
      <c r="AE1508" s="513" t="str">
        <f t="shared" si="1094"/>
        <v/>
      </c>
      <c r="AF1508" s="713" t="str">
        <f t="shared" si="1095"/>
        <v/>
      </c>
      <c r="AG1508" s="713"/>
      <c r="AH1508" s="713"/>
      <c r="AI1508" s="112">
        <f>IF(H1508="credit",0,IF(AE1508="free",0,IF(AE1508="me",0,IF(G1508&gt;0,(VLOOKUP(A1508,'Discount Lookup'!J:K,2)*G1508),0))))</f>
        <v>0</v>
      </c>
      <c r="AJ1508" s="107" t="str">
        <f t="shared" ca="1" si="1096"/>
        <v/>
      </c>
      <c r="AK1508" s="714" t="str">
        <f t="shared" si="1097"/>
        <v/>
      </c>
      <c r="AL1508" s="714"/>
      <c r="AM1508" s="114" t="str">
        <f t="shared" si="1098"/>
        <v/>
      </c>
      <c r="AN1508" s="115"/>
      <c r="AO1508" s="116"/>
      <c r="AP1508" s="116"/>
      <c r="AQ1508" s="116"/>
      <c r="AR1508" s="116"/>
      <c r="AS1508" s="116"/>
      <c r="AT1508" s="116"/>
      <c r="AU1508" s="116"/>
      <c r="AV1508" s="78"/>
      <c r="AW1508" s="102"/>
      <c r="AX1508" s="78"/>
      <c r="AY1508" s="78"/>
      <c r="AZ1508" s="78"/>
      <c r="BA1508" s="78"/>
      <c r="BB1508" s="78"/>
      <c r="BC1508" s="78"/>
      <c r="BD1508" s="78"/>
      <c r="BE1508" s="465"/>
      <c r="BF1508" s="165" t="str">
        <f t="shared" si="1099"/>
        <v>https://www.google.com/search?tbm=isch&amp;q=7%20G4</v>
      </c>
      <c r="BG1508" s="165" t="str">
        <f t="shared" si="1100"/>
        <v>D</v>
      </c>
      <c r="BH1508" s="65"/>
      <c r="BI1508" s="65"/>
      <c r="BJ1508" s="65"/>
      <c r="BK1508" s="65"/>
      <c r="BL1508" s="99"/>
      <c r="BM1508" s="99"/>
      <c r="BN1508" s="99"/>
    </row>
    <row r="1509" spans="1:66" s="51" customFormat="1" ht="15.75" x14ac:dyDescent="0.25">
      <c r="A1509" s="478">
        <v>15</v>
      </c>
      <c r="B1509" s="479" t="s">
        <v>291</v>
      </c>
      <c r="C1509" s="480" t="s">
        <v>2445</v>
      </c>
      <c r="D1509" s="481" t="s">
        <v>329</v>
      </c>
      <c r="E1509" s="482">
        <v>169.95</v>
      </c>
      <c r="F1509" s="483" t="s">
        <v>292</v>
      </c>
      <c r="G1509" s="484">
        <v>0</v>
      </c>
      <c r="H1509" s="688" t="str">
        <f>IF(G1509=0,"",IF(F1509="Buy",IF(G1509=1,"plant","plants"),IF(F1509&gt;0.01,"warranty","Error")))</f>
        <v/>
      </c>
      <c r="I1509" s="485">
        <f>IF(H1509="free",0,IF(H1509="credit",((E1509*(F1509))*G1509*-1),IF(F1509="Buy",(E1509*G1509),((E1509*(1-F1509))*G1509))))</f>
        <v>0</v>
      </c>
      <c r="J1509" s="485">
        <f>IF(H1509="warranty",0,(I1509*(_xlfn.SINGLE(SalesTaxPercentage))))</f>
        <v>0</v>
      </c>
      <c r="K1509" s="715">
        <f t="shared" ref="K1509" si="1111">I1509+J1509</f>
        <v>0</v>
      </c>
      <c r="L1509" s="715"/>
      <c r="M1509" s="689" t="str">
        <f ca="1">IF(AND(G1509&gt;0,E1509=0),"WARNING - no PRICE inserted",IF(H1509="free","FREE ~ no charge this plant",IF(H1509="credit",CONCATENATE("-$",ROUND(K1509*(1-_xlfn.SINGLE(T2GDiscount))*-1,2)," CREDIT after discount"),IF(_xlfn.SINGLE(T2GDiscount)=0,"",IF(G1509=0,"",IF(F1509="Buy",CONCATENATE("$",ROUND(K1509*(1-_xlfn.SINGLE(T2GDiscount)),2)," with ",(_xlfn.SINGLE(T2GDiscount)*100),"% discount"),CONCATENATE("$",ROUND(K1509*(1-_xlfn.SINGLE(T2GDiscount)),2)," with ",((_xlfn.SINGLE(T2GDiscount)*100+F1509*100)-(_xlfn.SINGLE(T2GDiscount)*100*F1509)),IF(F1509&gt;0,"% discounts",IF(_xlfn.SINGLE(NoWarrantyDiscount)&gt;0,"% discounts","% discount")))))))))</f>
        <v/>
      </c>
      <c r="N1509" s="690"/>
      <c r="O1509" s="486"/>
      <c r="P1509" s="486"/>
      <c r="Q1509" s="486"/>
      <c r="R1509" s="486"/>
      <c r="S1509" s="486"/>
      <c r="T1509" s="102">
        <f t="shared" si="1088"/>
        <v>0</v>
      </c>
      <c r="U1509" s="78">
        <f>IF(NOT(ISNUMBER(G1509)), "", VLOOKUP(A1509,'Discount Lookup'!D:E,2,FALSE)*G1509)</f>
        <v>0</v>
      </c>
      <c r="V1509" s="78">
        <f>IF(NOT(ISNUMBER(G1509)), "", VLOOKUP(A1509,'Discount Lookup'!G:H,2,FALSE)*G1509)</f>
        <v>0</v>
      </c>
      <c r="W1509" s="102">
        <f t="shared" si="1089"/>
        <v>0</v>
      </c>
      <c r="X1509" s="102">
        <f t="shared" si="1090"/>
        <v>0</v>
      </c>
      <c r="Y1509" s="120" t="b">
        <f t="shared" si="1091"/>
        <v>0</v>
      </c>
      <c r="Z1509" s="117">
        <f t="shared" si="1092"/>
        <v>0</v>
      </c>
      <c r="AA1509" s="118"/>
      <c r="AB1509" s="118" t="str">
        <f t="shared" si="1093"/>
        <v/>
      </c>
      <c r="AC1509" s="712" t="str">
        <f>IF(AE1509="T2G","no charge",IF(AND(OR(PlanterYesMe="No",PlanterYesMe="N",PlanterYesMe="me"),H1509=""),"",IF(H1509="credit","NO install",IF(AND(K1509="",AE1509="me"),"EACH row",IF(AND(K1509="images",AE1509="me"),"EACH row",IF(D1509="","",IF(H1509="credit","",IF(AE1509="free","re-planting",IF(AE1509="me","   not ELP, by",IF(AND(OR(PlanterYesMe="Yes",PlanterYesMe="Y"),G1509&gt;0),(VLOOKUP(A1509,'Discount Lookup'!J:K,2)*G1509*(1-PlanterDiscount)*(1+PlanterDifficultyPercentage)),IF(AE1509="ELP",(VLOOKUP(A1509,'Discount Lookup'!J:K,2)*G1509*(1-PlanterDiscount)*(1+PlanterDifficultyPercentage)),IF(AE1509="free","re-planting",IF(G1509=0,"",IF(PlanterYesMe="",IF(AE1509="me","   not ELP, by",IF(AE1509="",IF(G1509&gt;0,(VLOOKUP(A1509,'Discount Lookup'!J:K,2)*G1509*(1-PlanterDiscount)*(1+PlanterDifficultyPercentage)),""),"")),"   not ELP, by"))))))))))))))</f>
        <v/>
      </c>
      <c r="AD1509" s="712"/>
      <c r="AE1509" s="513" t="str">
        <f t="shared" si="1094"/>
        <v/>
      </c>
      <c r="AF1509" s="713" t="str">
        <f t="shared" si="1095"/>
        <v/>
      </c>
      <c r="AG1509" s="713"/>
      <c r="AH1509" s="713"/>
      <c r="AI1509" s="112">
        <f>IF(H1509="credit",0,IF(AE1509="free",0,IF(AE1509="me",0,IF(G1509&gt;0,(VLOOKUP(A1509,'Discount Lookup'!J:K,2)*G1509),0))))</f>
        <v>0</v>
      </c>
      <c r="AJ1509" s="107" t="str">
        <f t="shared" ca="1" si="1096"/>
        <v/>
      </c>
      <c r="AK1509" s="714" t="str">
        <f t="shared" si="1097"/>
        <v/>
      </c>
      <c r="AL1509" s="714"/>
      <c r="AM1509" s="114" t="str">
        <f t="shared" si="1098"/>
        <v/>
      </c>
      <c r="AN1509" s="115"/>
      <c r="AO1509" s="116"/>
      <c r="AP1509" s="116"/>
      <c r="AQ1509" s="116"/>
      <c r="AR1509" s="116"/>
      <c r="AS1509" s="116"/>
      <c r="AT1509" s="116"/>
      <c r="AU1509" s="116"/>
      <c r="AV1509" s="78"/>
      <c r="AW1509" s="102"/>
      <c r="AX1509" s="78"/>
      <c r="AY1509" s="78"/>
      <c r="AZ1509" s="78"/>
      <c r="BA1509" s="78"/>
      <c r="BB1509" s="78"/>
      <c r="BC1509" s="78"/>
      <c r="BD1509" s="78"/>
      <c r="BE1509" s="465"/>
      <c r="BF1509" s="165" t="str">
        <f t="shared" si="1099"/>
        <v>https://www.google.com/search?tbm=isch&amp;q=15%20G2</v>
      </c>
      <c r="BG1509" s="165" t="str">
        <f t="shared" si="1100"/>
        <v>D</v>
      </c>
      <c r="BH1509" s="65"/>
      <c r="BI1509" s="65"/>
      <c r="BJ1509" s="65"/>
      <c r="BK1509" s="65"/>
      <c r="BL1509" s="99"/>
      <c r="BM1509" s="99"/>
      <c r="BN1509" s="99"/>
    </row>
    <row r="1510" spans="1:66" s="51" customFormat="1" ht="15.75" x14ac:dyDescent="0.25">
      <c r="A1510" s="478">
        <v>15</v>
      </c>
      <c r="B1510" s="479" t="s">
        <v>291</v>
      </c>
      <c r="C1510" s="480" t="s">
        <v>2446</v>
      </c>
      <c r="D1510" s="481" t="s">
        <v>299</v>
      </c>
      <c r="E1510" s="482">
        <v>299.95</v>
      </c>
      <c r="F1510" s="483" t="s">
        <v>292</v>
      </c>
      <c r="G1510" s="484">
        <v>0</v>
      </c>
      <c r="H1510" s="688" t="str">
        <f>IF(G1510=0,"",IF(F1510="Buy",IF(G1510=1,"plant","plants"),IF(F1510&gt;0.01,"warranty","Error")))</f>
        <v/>
      </c>
      <c r="I1510" s="485">
        <f>IF(H1510="free",0,IF(H1510="credit",((E1510*(F1510))*G1510*-1),IF(F1510="Buy",(E1510*G1510),((E1510*(1-F1510))*G1510))))</f>
        <v>0</v>
      </c>
      <c r="J1510" s="485">
        <f>IF(H1510="warranty",0,(I1510*(_xlfn.SINGLE(SalesTaxPercentage))))</f>
        <v>0</v>
      </c>
      <c r="K1510" s="715">
        <f t="shared" ref="K1510" si="1112">I1510+J1510</f>
        <v>0</v>
      </c>
      <c r="L1510" s="715"/>
      <c r="M1510" s="689" t="str">
        <f ca="1">IF(AND(G1510&gt;0,E1510=0),"WARNING - no PRICE inserted",IF(H1510="free","FREE ~ no charge this plant",IF(H1510="credit",CONCATENATE("-$",ROUND(K1510*(1-_xlfn.SINGLE(T2GDiscount))*-1,2)," CREDIT after discount"),IF(_xlfn.SINGLE(T2GDiscount)=0,"",IF(G1510=0,"",IF(F1510="Buy",CONCATENATE("$",ROUND(K1510*(1-_xlfn.SINGLE(T2GDiscount)),2)," with ",(_xlfn.SINGLE(T2GDiscount)*100),"% discount"),CONCATENATE("$",ROUND(K1510*(1-_xlfn.SINGLE(T2GDiscount)),2)," with ",((_xlfn.SINGLE(T2GDiscount)*100+F1510*100)-(_xlfn.SINGLE(T2GDiscount)*100*F1510)),IF(F1510&gt;0,"% discounts",IF(_xlfn.SINGLE(NoWarrantyDiscount)&gt;0,"% discounts","% discount")))))))))</f>
        <v/>
      </c>
      <c r="N1510" s="690"/>
      <c r="O1510" s="486"/>
      <c r="P1510" s="486"/>
      <c r="Q1510" s="486"/>
      <c r="R1510" s="486"/>
      <c r="S1510" s="486"/>
      <c r="T1510" s="102">
        <f t="shared" si="1088"/>
        <v>0</v>
      </c>
      <c r="U1510" s="78">
        <f>IF(NOT(ISNUMBER(G1510)), "", VLOOKUP(A1510,'Discount Lookup'!D:E,2,FALSE)*G1510)</f>
        <v>0</v>
      </c>
      <c r="V1510" s="78">
        <f>IF(NOT(ISNUMBER(G1510)), "", VLOOKUP(A1510,'Discount Lookup'!G:H,2,FALSE)*G1510)</f>
        <v>0</v>
      </c>
      <c r="W1510" s="102">
        <f t="shared" si="1089"/>
        <v>0</v>
      </c>
      <c r="X1510" s="102">
        <f t="shared" si="1090"/>
        <v>0</v>
      </c>
      <c r="Y1510" s="120" t="b">
        <f t="shared" si="1091"/>
        <v>0</v>
      </c>
      <c r="Z1510" s="117">
        <f t="shared" si="1092"/>
        <v>0</v>
      </c>
      <c r="AA1510" s="118"/>
      <c r="AB1510" s="118" t="str">
        <f t="shared" si="1093"/>
        <v/>
      </c>
      <c r="AC1510" s="712" t="str">
        <f>IF(AE1510="T2G","no charge",IF(AND(OR(PlanterYesMe="No",PlanterYesMe="N",PlanterYesMe="me"),H1510=""),"",IF(H1510="credit","NO install",IF(AND(K1510="",AE1510="me"),"EACH row",IF(AND(K1510="images",AE1510="me"),"EACH row",IF(D1510="","",IF(H1510="credit","",IF(AE1510="free","re-planting",IF(AE1510="me","   not ELP, by",IF(AND(OR(PlanterYesMe="Yes",PlanterYesMe="Y"),G1510&gt;0),(VLOOKUP(A1510,'Discount Lookup'!J:K,2)*G1510*(1-PlanterDiscount)*(1+PlanterDifficultyPercentage)),IF(AE1510="ELP",(VLOOKUP(A1510,'Discount Lookup'!J:K,2)*G1510*(1-PlanterDiscount)*(1+PlanterDifficultyPercentage)),IF(AE1510="free","re-planting",IF(G1510=0,"",IF(PlanterYesMe="",IF(AE1510="me","   not ELP, by",IF(AE1510="",IF(G1510&gt;0,(VLOOKUP(A1510,'Discount Lookup'!J:K,2)*G1510*(1-PlanterDiscount)*(1+PlanterDifficultyPercentage)),""),"")),"   not ELP, by"))))))))))))))</f>
        <v/>
      </c>
      <c r="AD1510" s="712"/>
      <c r="AE1510" s="513" t="str">
        <f t="shared" si="1094"/>
        <v/>
      </c>
      <c r="AF1510" s="713" t="str">
        <f t="shared" si="1095"/>
        <v/>
      </c>
      <c r="AG1510" s="713"/>
      <c r="AH1510" s="713"/>
      <c r="AI1510" s="112">
        <f>IF(H1510="credit",0,IF(AE1510="free",0,IF(AE1510="me",0,IF(G1510&gt;0,(VLOOKUP(A1510,'Discount Lookup'!J:K,2)*G1510),0))))</f>
        <v>0</v>
      </c>
      <c r="AJ1510" s="107" t="str">
        <f t="shared" ca="1" si="1096"/>
        <v/>
      </c>
      <c r="AK1510" s="714" t="str">
        <f t="shared" si="1097"/>
        <v/>
      </c>
      <c r="AL1510" s="714"/>
      <c r="AM1510" s="114" t="str">
        <f t="shared" si="1098"/>
        <v/>
      </c>
      <c r="AN1510" s="115"/>
      <c r="AO1510" s="116"/>
      <c r="AP1510" s="116"/>
      <c r="AQ1510" s="116"/>
      <c r="AR1510" s="116"/>
      <c r="AS1510" s="116"/>
      <c r="AT1510" s="116"/>
      <c r="AU1510" s="116"/>
      <c r="AV1510" s="78"/>
      <c r="AW1510" s="102"/>
      <c r="AX1510" s="78"/>
      <c r="AY1510" s="78"/>
      <c r="AZ1510" s="78"/>
      <c r="BA1510" s="78"/>
      <c r="BB1510" s="78"/>
      <c r="BC1510" s="78"/>
      <c r="BD1510" s="78"/>
      <c r="BE1510" s="465"/>
      <c r="BF1510" s="165" t="str">
        <f t="shared" si="1099"/>
        <v>https://www.google.com/search?tbm=isch&amp;q=15%20G4</v>
      </c>
      <c r="BG1510" s="165" t="str">
        <f t="shared" si="1100"/>
        <v>D</v>
      </c>
      <c r="BH1510" s="65"/>
      <c r="BI1510" s="65"/>
      <c r="BJ1510" s="65"/>
      <c r="BK1510" s="65"/>
      <c r="BL1510" s="99"/>
      <c r="BM1510" s="99"/>
      <c r="BN1510" s="99"/>
    </row>
    <row r="1511" spans="1:66" s="51" customFormat="1" ht="16.5" thickBot="1" x14ac:dyDescent="0.3">
      <c r="A1511" s="508" t="s">
        <v>2447</v>
      </c>
      <c r="B1511" s="487"/>
      <c r="C1511" s="707"/>
      <c r="D1511" s="487"/>
      <c r="E1511" s="487"/>
      <c r="F1511" s="488"/>
      <c r="G1511" s="489"/>
      <c r="H1511" s="487"/>
      <c r="I1511" s="490"/>
      <c r="J1511" s="490"/>
      <c r="K1511" s="491"/>
      <c r="L1511" s="547"/>
      <c r="M1511" s="528"/>
      <c r="N1511" s="492"/>
      <c r="O1511" s="493"/>
      <c r="P1511" s="494"/>
      <c r="Q1511" s="492"/>
      <c r="R1511" s="492"/>
      <c r="S1511" s="699" t="s">
        <v>5259</v>
      </c>
      <c r="T1511" s="102">
        <f t="shared" si="1088"/>
        <v>0</v>
      </c>
      <c r="U1511" s="78" t="str">
        <f>IF(NOT(ISNUMBER(G1511)), "", VLOOKUP(A1511,'Discount Lookup'!D:E,2,FALSE)*G1511)</f>
        <v/>
      </c>
      <c r="V1511" s="78" t="str">
        <f>IF(NOT(ISNUMBER(G1511)), "", VLOOKUP(A1511,'Discount Lookup'!G:H,2,FALSE)*G1511)</f>
        <v/>
      </c>
      <c r="W1511" s="102">
        <f t="shared" si="1089"/>
        <v>0</v>
      </c>
      <c r="X1511" s="102">
        <f t="shared" si="1090"/>
        <v>0</v>
      </c>
      <c r="Y1511" s="120" t="b">
        <f t="shared" si="1091"/>
        <v>0</v>
      </c>
      <c r="Z1511" s="117">
        <f t="shared" si="1092"/>
        <v>0</v>
      </c>
      <c r="AA1511" s="118"/>
      <c r="AB1511" s="118" t="str">
        <f t="shared" si="1093"/>
        <v/>
      </c>
      <c r="AC1511" s="712" t="str">
        <f>IF(AE1511="T2G","no charge",IF(AND(OR(PlanterYesMe="No",PlanterYesMe="N",PlanterYesMe="me"),H1511=""),"",IF(H1511="credit","NO install",IF(AND(K1511="",AE1511="me"),"EACH row",IF(AND(K1511="images",AE1511="me"),"EACH row",IF(D1511="","",IF(H1511="credit","",IF(AE1511="free","re-planting",IF(AE1511="me","   not ELP, by",IF(AND(OR(PlanterYesMe="Yes",PlanterYesMe="Y"),G1511&gt;0),(VLOOKUP(A1511,'Discount Lookup'!J:K,2)*G1511*(1-PlanterDiscount)*(1+PlanterDifficultyPercentage)),IF(AE1511="ELP",(VLOOKUP(A1511,'Discount Lookup'!J:K,2)*G1511*(1-PlanterDiscount)*(1+PlanterDifficultyPercentage)),IF(AE1511="free","re-planting",IF(G1511=0,"",IF(PlanterYesMe="",IF(AE1511="me","   not ELP, by",IF(AE1511="",IF(G1511&gt;0,(VLOOKUP(A1511,'Discount Lookup'!J:K,2)*G1511*(1-PlanterDiscount)*(1+PlanterDifficultyPercentage)),""),"")),"   not ELP, by"))))))))))))))</f>
        <v/>
      </c>
      <c r="AD1511" s="712"/>
      <c r="AE1511" s="513" t="str">
        <f t="shared" si="1094"/>
        <v/>
      </c>
      <c r="AF1511" s="713" t="str">
        <f t="shared" si="1095"/>
        <v/>
      </c>
      <c r="AG1511" s="713"/>
      <c r="AH1511" s="713"/>
      <c r="AI1511" s="112">
        <f>IF(H1511="credit",0,IF(AE1511="free",0,IF(AE1511="me",0,IF(G1511&gt;0,(VLOOKUP(A1511,'Discount Lookup'!J:K,2)*G1511),0))))</f>
        <v>0</v>
      </c>
      <c r="AJ1511" s="107" t="str">
        <f t="shared" ca="1" si="1096"/>
        <v/>
      </c>
      <c r="AK1511" s="714" t="str">
        <f t="shared" si="1097"/>
        <v/>
      </c>
      <c r="AL1511" s="714"/>
      <c r="AM1511" s="114" t="str">
        <f t="shared" si="1098"/>
        <v/>
      </c>
      <c r="AN1511" s="115"/>
      <c r="AO1511" s="116"/>
      <c r="AP1511" s="116"/>
      <c r="AQ1511" s="116"/>
      <c r="AR1511" s="116"/>
      <c r="AS1511" s="116"/>
      <c r="AT1511" s="116"/>
      <c r="AU1511" s="116"/>
      <c r="AV1511" s="78"/>
      <c r="AW1511" s="102"/>
      <c r="AX1511" s="78"/>
      <c r="AY1511" s="78"/>
      <c r="AZ1511" s="78"/>
      <c r="BA1511" s="78"/>
      <c r="BB1511" s="78"/>
      <c r="BC1511" s="78"/>
      <c r="BD1511" s="78"/>
      <c r="BE1511" s="465"/>
      <c r="BF1511" s="165" t="str">
        <f t="shared" si="1099"/>
        <v>https://www.google.com/search?tbm=isch&amp;q=Linebacker%20has%20Reddish%20spring%20flush.%20Subtle%20Red%20late-winter%20flowers.%20Heat%20and%20drought%20tolerant.%20Good%20sub%20for%20Cherry%20Laurel%20</v>
      </c>
      <c r="BG1511" s="165" t="str">
        <f t="shared" si="1100"/>
        <v>L</v>
      </c>
      <c r="BH1511" s="65"/>
      <c r="BI1511" s="65"/>
      <c r="BJ1511" s="65"/>
      <c r="BK1511" s="65"/>
      <c r="BL1511" s="99"/>
      <c r="BM1511" s="99"/>
      <c r="BN1511" s="99"/>
    </row>
    <row r="1512" spans="1:66" s="51" customFormat="1" ht="18" x14ac:dyDescent="0.25">
      <c r="A1512" s="507" t="s">
        <v>2448</v>
      </c>
      <c r="B1512" s="470"/>
      <c r="C1512" s="706"/>
      <c r="D1512" s="471" t="s">
        <v>5878</v>
      </c>
      <c r="E1512" s="472"/>
      <c r="F1512" s="472"/>
      <c r="G1512" s="472"/>
      <c r="H1512" s="622" t="s">
        <v>2001</v>
      </c>
      <c r="I1512" s="473" t="s">
        <v>565</v>
      </c>
      <c r="J1512" s="472"/>
      <c r="K1512" s="472"/>
      <c r="L1512" s="561"/>
      <c r="M1512" s="698" t="s">
        <v>5246</v>
      </c>
      <c r="N1512" s="692" t="str">
        <f>IF(AND(ISTEXT($A1512), ISERROR($A1512+0)), HYPERLINK($BF1512, "Images"), "")</f>
        <v>Images</v>
      </c>
      <c r="O1512" s="694" t="s">
        <v>5244</v>
      </c>
      <c r="P1512" s="475"/>
      <c r="Q1512" s="476"/>
      <c r="R1512" s="476"/>
      <c r="S1512" s="477"/>
      <c r="T1512" s="102">
        <f t="shared" si="1088"/>
        <v>0</v>
      </c>
      <c r="U1512" s="78" t="str">
        <f>IF(NOT(ISNUMBER(G1512)), "", VLOOKUP(A1512,'Discount Lookup'!D:E,2,FALSE)*G1512)</f>
        <v/>
      </c>
      <c r="V1512" s="78" t="str">
        <f>IF(NOT(ISNUMBER(G1512)), "", VLOOKUP(A1512,'Discount Lookup'!G:H,2,FALSE)*G1512)</f>
        <v/>
      </c>
      <c r="W1512" s="102">
        <f t="shared" si="1089"/>
        <v>0</v>
      </c>
      <c r="X1512" s="102" t="str">
        <f t="shared" si="1090"/>
        <v>Blue-Green foliage</v>
      </c>
      <c r="Y1512" s="120" t="b">
        <f t="shared" si="1091"/>
        <v>0</v>
      </c>
      <c r="Z1512" s="117">
        <f t="shared" si="1092"/>
        <v>0</v>
      </c>
      <c r="AA1512" s="118"/>
      <c r="AB1512" s="118" t="str">
        <f t="shared" si="1093"/>
        <v/>
      </c>
      <c r="AC1512" s="712" t="str">
        <f>IF(AE1512="T2G","no charge",IF(AND(OR(PlanterYesMe="No",PlanterYesMe="N",PlanterYesMe="me"),H1512=""),"",IF(H1512="credit","NO install",IF(AND(K1512="",AE1512="me"),"EACH row",IF(AND(K1512="images",AE1512="me"),"EACH row",IF(D1512="","",IF(H1512="credit","",IF(AE1512="free","re-planting",IF(AE1512="me","   not ELP, by",IF(AND(OR(PlanterYesMe="Yes",PlanterYesMe="Y"),G1512&gt;0),(VLOOKUP(A1512,'Discount Lookup'!J:K,2)*G1512*(1-PlanterDiscount)*(1+PlanterDifficultyPercentage)),IF(AE1512="ELP",(VLOOKUP(A1512,'Discount Lookup'!J:K,2)*G1512*(1-PlanterDiscount)*(1+PlanterDifficultyPercentage)),IF(AE1512="free","re-planting",IF(G1512=0,"",IF(PlanterYesMe="",IF(AE1512="me","   not ELP, by",IF(AE1512="",IF(G1512&gt;0,(VLOOKUP(A1512,'Discount Lookup'!J:K,2)*G1512*(1-PlanterDiscount)*(1+PlanterDifficultyPercentage)),""),"")),"   not ELP, by"))))))))))))))</f>
        <v/>
      </c>
      <c r="AD1512" s="712"/>
      <c r="AE1512" s="513" t="str">
        <f t="shared" si="1094"/>
        <v/>
      </c>
      <c r="AF1512" s="713" t="str">
        <f t="shared" si="1095"/>
        <v/>
      </c>
      <c r="AG1512" s="713"/>
      <c r="AH1512" s="713"/>
      <c r="AI1512" s="112">
        <f>IF(H1512="credit",0,IF(AE1512="free",0,IF(AE1512="me",0,IF(G1512&gt;0,(VLOOKUP(A1512,'Discount Lookup'!J:K,2)*G1512),0))))</f>
        <v>0</v>
      </c>
      <c r="AJ1512" s="107" t="str">
        <f t="shared" ca="1" si="1096"/>
        <v/>
      </c>
      <c r="AK1512" s="714" t="str">
        <f t="shared" si="1097"/>
        <v/>
      </c>
      <c r="AL1512" s="714"/>
      <c r="AM1512" s="114" t="str">
        <f t="shared" si="1098"/>
        <v/>
      </c>
      <c r="AN1512" s="115"/>
      <c r="AO1512" s="116"/>
      <c r="AP1512" s="116"/>
      <c r="AQ1512" s="116"/>
      <c r="AR1512" s="116"/>
      <c r="AS1512" s="116"/>
      <c r="AT1512" s="116"/>
      <c r="AU1512" s="116"/>
      <c r="AV1512" s="78"/>
      <c r="AW1512" s="102"/>
      <c r="AX1512" s="78"/>
      <c r="AY1512" s="78"/>
      <c r="AZ1512" s="78"/>
      <c r="BA1512" s="78"/>
      <c r="BB1512" s="78"/>
      <c r="BC1512" s="78"/>
      <c r="BD1512" s="78"/>
      <c r="BE1512" s="465"/>
      <c r="BF1512" s="165" t="str">
        <f t="shared" si="1099"/>
        <v>https://www.google.com/search?tbm=isch&amp;q=Distylium%20%27PIIDIST-V%27%20PP%2327631%20Cinnamon%20Girl%C2%AE%20Distylium%20%28FE%C2%AE%29</v>
      </c>
      <c r="BG1512" s="165" t="str">
        <f t="shared" si="1100"/>
        <v>D</v>
      </c>
      <c r="BH1512" s="65"/>
      <c r="BI1512" s="65"/>
      <c r="BJ1512" s="65"/>
      <c r="BK1512" s="65"/>
      <c r="BL1512" s="99"/>
      <c r="BM1512" s="99"/>
      <c r="BN1512" s="99"/>
    </row>
    <row r="1513" spans="1:66" s="51" customFormat="1" ht="15.75" x14ac:dyDescent="0.25">
      <c r="A1513" s="478">
        <v>3</v>
      </c>
      <c r="B1513" s="479" t="s">
        <v>291</v>
      </c>
      <c r="C1513" s="480"/>
      <c r="D1513" s="481" t="s">
        <v>310</v>
      </c>
      <c r="E1513" s="482">
        <v>34.950000000000003</v>
      </c>
      <c r="F1513" s="483" t="s">
        <v>292</v>
      </c>
      <c r="G1513" s="484">
        <v>0</v>
      </c>
      <c r="H1513" s="688" t="str">
        <f>IF(G1513=0,"",IF(F1513="Buy",IF(G1513=1,"plant","plants"),IF(F1513&gt;0.01,"warranty","Error")))</f>
        <v/>
      </c>
      <c r="I1513" s="485">
        <f>IF(H1513="free",0,IF(H1513="credit",((E1513*(F1513))*G1513*-1),IF(F1513="Buy",(E1513*G1513),((E1513*(1-F1513))*G1513))))</f>
        <v>0</v>
      </c>
      <c r="J1513" s="485">
        <f>IF(H1513="warranty",0,(I1513*(_xlfn.SINGLE(SalesTaxPercentage))))</f>
        <v>0</v>
      </c>
      <c r="K1513" s="715">
        <f t="shared" ref="K1513" si="1113">I1513+J1513</f>
        <v>0</v>
      </c>
      <c r="L1513" s="715"/>
      <c r="M1513" s="689" t="str">
        <f ca="1">IF(AND(G1513&gt;0,E1513=0),"WARNING - no PRICE inserted",IF(H1513="free","FREE ~ no charge this plant",IF(H1513="credit",CONCATENATE("-$",ROUND(K1513*(1-_xlfn.SINGLE(T2GDiscount))*-1,2)," CREDIT after discount"),IF(_xlfn.SINGLE(T2GDiscount)=0,"",IF(G1513=0,"",IF(F1513="Buy",CONCATENATE("$",ROUND(K1513*(1-_xlfn.SINGLE(T2GDiscount)),2)," with ",(_xlfn.SINGLE(T2GDiscount)*100),"% discount"),CONCATENATE("$",ROUND(K1513*(1-_xlfn.SINGLE(T2GDiscount)),2)," with ",((_xlfn.SINGLE(T2GDiscount)*100+F1513*100)-(_xlfn.SINGLE(T2GDiscount)*100*F1513)),IF(F1513&gt;0,"% discounts",IF(_xlfn.SINGLE(NoWarrantyDiscount)&gt;0,"% discounts","% discount")))))))))</f>
        <v/>
      </c>
      <c r="N1513" s="690"/>
      <c r="O1513" s="486"/>
      <c r="P1513" s="486"/>
      <c r="Q1513" s="486"/>
      <c r="R1513" s="486"/>
      <c r="S1513" s="486"/>
      <c r="T1513" s="102">
        <f t="shared" si="1088"/>
        <v>0</v>
      </c>
      <c r="U1513" s="78">
        <f>IF(NOT(ISNUMBER(G1513)), "", VLOOKUP(A1513,'Discount Lookup'!D:E,2,FALSE)*G1513)</f>
        <v>0</v>
      </c>
      <c r="V1513" s="78">
        <f>IF(NOT(ISNUMBER(G1513)), "", VLOOKUP(A1513,'Discount Lookup'!G:H,2,FALSE)*G1513)</f>
        <v>0</v>
      </c>
      <c r="W1513" s="102">
        <f t="shared" si="1089"/>
        <v>0</v>
      </c>
      <c r="X1513" s="102">
        <f t="shared" si="1090"/>
        <v>0</v>
      </c>
      <c r="Y1513" s="120" t="b">
        <f t="shared" si="1091"/>
        <v>0</v>
      </c>
      <c r="Z1513" s="117">
        <f t="shared" si="1092"/>
        <v>0</v>
      </c>
      <c r="AA1513" s="118"/>
      <c r="AB1513" s="118" t="str">
        <f t="shared" si="1093"/>
        <v/>
      </c>
      <c r="AC1513" s="712" t="str">
        <f>IF(AE1513="T2G","no charge",IF(AND(OR(PlanterYesMe="No",PlanterYesMe="N",PlanterYesMe="me"),H1513=""),"",IF(H1513="credit","NO install",IF(AND(K1513="",AE1513="me"),"EACH row",IF(AND(K1513="images",AE1513="me"),"EACH row",IF(D1513="","",IF(H1513="credit","",IF(AE1513="free","re-planting",IF(AE1513="me","   not ELP, by",IF(AND(OR(PlanterYesMe="Yes",PlanterYesMe="Y"),G1513&gt;0),(VLOOKUP(A1513,'Discount Lookup'!J:K,2)*G1513*(1-PlanterDiscount)*(1+PlanterDifficultyPercentage)),IF(AE1513="ELP",(VLOOKUP(A1513,'Discount Lookup'!J:K,2)*G1513*(1-PlanterDiscount)*(1+PlanterDifficultyPercentage)),IF(AE1513="free","re-planting",IF(G1513=0,"",IF(PlanterYesMe="",IF(AE1513="me","   not ELP, by",IF(AE1513="",IF(G1513&gt;0,(VLOOKUP(A1513,'Discount Lookup'!J:K,2)*G1513*(1-PlanterDiscount)*(1+PlanterDifficultyPercentage)),""),"")),"   not ELP, by"))))))))))))))</f>
        <v/>
      </c>
      <c r="AD1513" s="712"/>
      <c r="AE1513" s="513" t="str">
        <f t="shared" si="1094"/>
        <v/>
      </c>
      <c r="AF1513" s="713" t="str">
        <f t="shared" si="1095"/>
        <v/>
      </c>
      <c r="AG1513" s="713"/>
      <c r="AH1513" s="713"/>
      <c r="AI1513" s="112">
        <f>IF(H1513="credit",0,IF(AE1513="free",0,IF(AE1513="me",0,IF(G1513&gt;0,(VLOOKUP(A1513,'Discount Lookup'!J:K,2)*G1513),0))))</f>
        <v>0</v>
      </c>
      <c r="AJ1513" s="107" t="str">
        <f t="shared" ca="1" si="1096"/>
        <v/>
      </c>
      <c r="AK1513" s="714" t="str">
        <f t="shared" si="1097"/>
        <v/>
      </c>
      <c r="AL1513" s="714"/>
      <c r="AM1513" s="114" t="str">
        <f t="shared" si="1098"/>
        <v/>
      </c>
      <c r="AN1513" s="115"/>
      <c r="AO1513" s="116"/>
      <c r="AP1513" s="116"/>
      <c r="AQ1513" s="116"/>
      <c r="AR1513" s="116"/>
      <c r="AS1513" s="116"/>
      <c r="AT1513" s="116"/>
      <c r="AU1513" s="116"/>
      <c r="AV1513" s="78"/>
      <c r="AW1513" s="102"/>
      <c r="AX1513" s="78"/>
      <c r="AY1513" s="78"/>
      <c r="AZ1513" s="78"/>
      <c r="BA1513" s="78"/>
      <c r="BB1513" s="78"/>
      <c r="BC1513" s="78"/>
      <c r="BD1513" s="78"/>
      <c r="BE1513" s="465"/>
      <c r="BF1513" s="165" t="str">
        <f t="shared" si="1099"/>
        <v>https://www.google.com/search?tbm=isch&amp;q=3%20G1</v>
      </c>
      <c r="BG1513" s="165" t="str">
        <f t="shared" si="1100"/>
        <v>D</v>
      </c>
      <c r="BH1513" s="65"/>
      <c r="BI1513" s="65"/>
      <c r="BJ1513" s="65"/>
      <c r="BK1513" s="65"/>
      <c r="BL1513" s="99"/>
      <c r="BM1513" s="99"/>
      <c r="BN1513" s="99"/>
    </row>
    <row r="1514" spans="1:66" s="51" customFormat="1" ht="15.75" x14ac:dyDescent="0.25">
      <c r="A1514" s="478">
        <v>3</v>
      </c>
      <c r="B1514" s="479" t="s">
        <v>291</v>
      </c>
      <c r="C1514" s="480" t="s">
        <v>2449</v>
      </c>
      <c r="D1514" s="481" t="s">
        <v>311</v>
      </c>
      <c r="E1514" s="482">
        <v>36.950000000000003</v>
      </c>
      <c r="F1514" s="483" t="s">
        <v>292</v>
      </c>
      <c r="G1514" s="484">
        <v>0</v>
      </c>
      <c r="H1514" s="688" t="str">
        <f>IF(G1514=0,"",IF(F1514="Buy",IF(G1514=1,"plant","plants"),IF(F1514&gt;0.01,"warranty","Error")))</f>
        <v/>
      </c>
      <c r="I1514" s="485">
        <f>IF(H1514="free",0,IF(H1514="credit",((E1514*(F1514))*G1514*-1),IF(F1514="Buy",(E1514*G1514),((E1514*(1-F1514))*G1514))))</f>
        <v>0</v>
      </c>
      <c r="J1514" s="485">
        <f>IF(H1514="warranty",0,(I1514*(_xlfn.SINGLE(SalesTaxPercentage))))</f>
        <v>0</v>
      </c>
      <c r="K1514" s="715">
        <f t="shared" ref="K1514" si="1114">I1514+J1514</f>
        <v>0</v>
      </c>
      <c r="L1514" s="715"/>
      <c r="M1514" s="689" t="str">
        <f ca="1">IF(AND(G1514&gt;0,E1514=0),"WARNING - no PRICE inserted",IF(H1514="free","FREE ~ no charge this plant",IF(H1514="credit",CONCATENATE("-$",ROUND(K1514*(1-_xlfn.SINGLE(T2GDiscount))*-1,2)," CREDIT after discount"),IF(_xlfn.SINGLE(T2GDiscount)=0,"",IF(G1514=0,"",IF(F1514="Buy",CONCATENATE("$",ROUND(K1514*(1-_xlfn.SINGLE(T2GDiscount)),2)," with ",(_xlfn.SINGLE(T2GDiscount)*100),"% discount"),CONCATENATE("$",ROUND(K1514*(1-_xlfn.SINGLE(T2GDiscount)),2)," with ",((_xlfn.SINGLE(T2GDiscount)*100+F1514*100)-(_xlfn.SINGLE(T2GDiscount)*100*F1514)),IF(F1514&gt;0,"% discounts",IF(_xlfn.SINGLE(NoWarrantyDiscount)&gt;0,"% discounts","% discount")))))))))</f>
        <v/>
      </c>
      <c r="N1514" s="690"/>
      <c r="O1514" s="486"/>
      <c r="P1514" s="486"/>
      <c r="Q1514" s="486"/>
      <c r="R1514" s="486"/>
      <c r="S1514" s="486"/>
      <c r="T1514" s="102">
        <f t="shared" si="1088"/>
        <v>0</v>
      </c>
      <c r="U1514" s="78">
        <f>IF(NOT(ISNUMBER(G1514)), "", VLOOKUP(A1514,'Discount Lookup'!D:E,2,FALSE)*G1514)</f>
        <v>0</v>
      </c>
      <c r="V1514" s="78">
        <f>IF(NOT(ISNUMBER(G1514)), "", VLOOKUP(A1514,'Discount Lookup'!G:H,2,FALSE)*G1514)</f>
        <v>0</v>
      </c>
      <c r="W1514" s="102">
        <f t="shared" si="1089"/>
        <v>0</v>
      </c>
      <c r="X1514" s="102">
        <f t="shared" si="1090"/>
        <v>0</v>
      </c>
      <c r="Y1514" s="120" t="b">
        <f t="shared" si="1091"/>
        <v>0</v>
      </c>
      <c r="Z1514" s="117">
        <f t="shared" si="1092"/>
        <v>0</v>
      </c>
      <c r="AA1514" s="118"/>
      <c r="AB1514" s="118" t="str">
        <f t="shared" si="1093"/>
        <v/>
      </c>
      <c r="AC1514" s="712" t="str">
        <f>IF(AE1514="T2G","no charge",IF(AND(OR(PlanterYesMe="No",PlanterYesMe="N",PlanterYesMe="me"),H1514=""),"",IF(H1514="credit","NO install",IF(AND(K1514="",AE1514="me"),"EACH row",IF(AND(K1514="images",AE1514="me"),"EACH row",IF(D1514="","",IF(H1514="credit","",IF(AE1514="free","re-planting",IF(AE1514="me","   not ELP, by",IF(AND(OR(PlanterYesMe="Yes",PlanterYesMe="Y"),G1514&gt;0),(VLOOKUP(A1514,'Discount Lookup'!J:K,2)*G1514*(1-PlanterDiscount)*(1+PlanterDifficultyPercentage)),IF(AE1514="ELP",(VLOOKUP(A1514,'Discount Lookup'!J:K,2)*G1514*(1-PlanterDiscount)*(1+PlanterDifficultyPercentage)),IF(AE1514="free","re-planting",IF(G1514=0,"",IF(PlanterYesMe="",IF(AE1514="me","   not ELP, by",IF(AE1514="",IF(G1514&gt;0,(VLOOKUP(A1514,'Discount Lookup'!J:K,2)*G1514*(1-PlanterDiscount)*(1+PlanterDifficultyPercentage)),""),"")),"   not ELP, by"))))))))))))))</f>
        <v/>
      </c>
      <c r="AD1514" s="712"/>
      <c r="AE1514" s="513" t="str">
        <f t="shared" si="1094"/>
        <v/>
      </c>
      <c r="AF1514" s="713" t="str">
        <f t="shared" si="1095"/>
        <v/>
      </c>
      <c r="AG1514" s="713"/>
      <c r="AH1514" s="713"/>
      <c r="AI1514" s="112">
        <f>IF(H1514="credit",0,IF(AE1514="free",0,IF(AE1514="me",0,IF(G1514&gt;0,(VLOOKUP(A1514,'Discount Lookup'!J:K,2)*G1514),0))))</f>
        <v>0</v>
      </c>
      <c r="AJ1514" s="107" t="str">
        <f t="shared" ca="1" si="1096"/>
        <v/>
      </c>
      <c r="AK1514" s="714" t="str">
        <f t="shared" si="1097"/>
        <v/>
      </c>
      <c r="AL1514" s="714"/>
      <c r="AM1514" s="114" t="str">
        <f t="shared" si="1098"/>
        <v/>
      </c>
      <c r="AN1514" s="115"/>
      <c r="AO1514" s="116"/>
      <c r="AP1514" s="116"/>
      <c r="AQ1514" s="116"/>
      <c r="AR1514" s="116"/>
      <c r="AS1514" s="116"/>
      <c r="AT1514" s="116"/>
      <c r="AU1514" s="116"/>
      <c r="AV1514" s="78"/>
      <c r="AW1514" s="102"/>
      <c r="AX1514" s="78"/>
      <c r="AY1514" s="78"/>
      <c r="AZ1514" s="78"/>
      <c r="BA1514" s="78"/>
      <c r="BB1514" s="78"/>
      <c r="BC1514" s="78"/>
      <c r="BD1514" s="78"/>
      <c r="BE1514" s="465"/>
      <c r="BF1514" s="165" t="str">
        <f t="shared" si="1099"/>
        <v>https://www.google.com/search?tbm=isch&amp;q=3%20G5</v>
      </c>
      <c r="BG1514" s="165" t="str">
        <f t="shared" si="1100"/>
        <v>D</v>
      </c>
      <c r="BH1514" s="65"/>
      <c r="BI1514" s="65"/>
      <c r="BJ1514" s="65"/>
      <c r="BK1514" s="65"/>
      <c r="BL1514" s="99"/>
      <c r="BM1514" s="99"/>
      <c r="BN1514" s="99"/>
    </row>
    <row r="1515" spans="1:66" s="51" customFormat="1" ht="15.75" x14ac:dyDescent="0.25">
      <c r="A1515" s="478">
        <v>3</v>
      </c>
      <c r="B1515" s="479" t="s">
        <v>291</v>
      </c>
      <c r="C1515" s="480" t="s">
        <v>2450</v>
      </c>
      <c r="D1515" s="481" t="s">
        <v>299</v>
      </c>
      <c r="E1515" s="482">
        <v>39.950000000000003</v>
      </c>
      <c r="F1515" s="483" t="s">
        <v>292</v>
      </c>
      <c r="G1515" s="484">
        <v>0</v>
      </c>
      <c r="H1515" s="688" t="str">
        <f>IF(G1515=0,"",IF(F1515="Buy",IF(G1515=1,"plant","plants"),IF(F1515&gt;0.01,"warranty","Error")))</f>
        <v/>
      </c>
      <c r="I1515" s="485">
        <f>IF(H1515="free",0,IF(H1515="credit",((E1515*(F1515))*G1515*-1),IF(F1515="Buy",(E1515*G1515),((E1515*(1-F1515))*G1515))))</f>
        <v>0</v>
      </c>
      <c r="J1515" s="485">
        <f>IF(H1515="warranty",0,(I1515*(_xlfn.SINGLE(SalesTaxPercentage))))</f>
        <v>0</v>
      </c>
      <c r="K1515" s="715">
        <f t="shared" ref="K1515" si="1115">I1515+J1515</f>
        <v>0</v>
      </c>
      <c r="L1515" s="715"/>
      <c r="M1515" s="689" t="str">
        <f ca="1">IF(AND(G1515&gt;0,E1515=0),"WARNING - no PRICE inserted",IF(H1515="free","FREE ~ no charge this plant",IF(H1515="credit",CONCATENATE("-$",ROUND(K1515*(1-_xlfn.SINGLE(T2GDiscount))*-1,2)," CREDIT after discount"),IF(_xlfn.SINGLE(T2GDiscount)=0,"",IF(G1515=0,"",IF(F1515="Buy",CONCATENATE("$",ROUND(K1515*(1-_xlfn.SINGLE(T2GDiscount)),2)," with ",(_xlfn.SINGLE(T2GDiscount)*100),"% discount"),CONCATENATE("$",ROUND(K1515*(1-_xlfn.SINGLE(T2GDiscount)),2)," with ",((_xlfn.SINGLE(T2GDiscount)*100+F1515*100)-(_xlfn.SINGLE(T2GDiscount)*100*F1515)),IF(F1515&gt;0,"% discounts",IF(_xlfn.SINGLE(NoWarrantyDiscount)&gt;0,"% discounts","% discount")))))))))</f>
        <v/>
      </c>
      <c r="N1515" s="690"/>
      <c r="O1515" s="486"/>
      <c r="P1515" s="486"/>
      <c r="Q1515" s="486"/>
      <c r="R1515" s="486"/>
      <c r="S1515" s="486"/>
      <c r="T1515" s="102">
        <f t="shared" si="1088"/>
        <v>0</v>
      </c>
      <c r="U1515" s="78">
        <f>IF(NOT(ISNUMBER(G1515)), "", VLOOKUP(A1515,'Discount Lookup'!D:E,2,FALSE)*G1515)</f>
        <v>0</v>
      </c>
      <c r="V1515" s="78">
        <f>IF(NOT(ISNUMBER(G1515)), "", VLOOKUP(A1515,'Discount Lookup'!G:H,2,FALSE)*G1515)</f>
        <v>0</v>
      </c>
      <c r="W1515" s="102">
        <f t="shared" si="1089"/>
        <v>0</v>
      </c>
      <c r="X1515" s="102">
        <f t="shared" si="1090"/>
        <v>0</v>
      </c>
      <c r="Y1515" s="120" t="b">
        <f t="shared" si="1091"/>
        <v>0</v>
      </c>
      <c r="Z1515" s="117">
        <f t="shared" si="1092"/>
        <v>0</v>
      </c>
      <c r="AA1515" s="118"/>
      <c r="AB1515" s="118" t="str">
        <f t="shared" si="1093"/>
        <v/>
      </c>
      <c r="AC1515" s="712" t="str">
        <f>IF(AE1515="T2G","no charge",IF(AND(OR(PlanterYesMe="No",PlanterYesMe="N",PlanterYesMe="me"),H1515=""),"",IF(H1515="credit","NO install",IF(AND(K1515="",AE1515="me"),"EACH row",IF(AND(K1515="images",AE1515="me"),"EACH row",IF(D1515="","",IF(H1515="credit","",IF(AE1515="free","re-planting",IF(AE1515="me","   not ELP, by",IF(AND(OR(PlanterYesMe="Yes",PlanterYesMe="Y"),G1515&gt;0),(VLOOKUP(A1515,'Discount Lookup'!J:K,2)*G1515*(1-PlanterDiscount)*(1+PlanterDifficultyPercentage)),IF(AE1515="ELP",(VLOOKUP(A1515,'Discount Lookup'!J:K,2)*G1515*(1-PlanterDiscount)*(1+PlanterDifficultyPercentage)),IF(AE1515="free","re-planting",IF(G1515=0,"",IF(PlanterYesMe="",IF(AE1515="me","   not ELP, by",IF(AE1515="",IF(G1515&gt;0,(VLOOKUP(A1515,'Discount Lookup'!J:K,2)*G1515*(1-PlanterDiscount)*(1+PlanterDifficultyPercentage)),""),"")),"   not ELP, by"))))))))))))))</f>
        <v/>
      </c>
      <c r="AD1515" s="712"/>
      <c r="AE1515" s="513" t="str">
        <f t="shared" si="1094"/>
        <v/>
      </c>
      <c r="AF1515" s="713" t="str">
        <f t="shared" si="1095"/>
        <v/>
      </c>
      <c r="AG1515" s="713"/>
      <c r="AH1515" s="713"/>
      <c r="AI1515" s="112">
        <f>IF(H1515="credit",0,IF(AE1515="free",0,IF(AE1515="me",0,IF(G1515&gt;0,(VLOOKUP(A1515,'Discount Lookup'!J:K,2)*G1515),0))))</f>
        <v>0</v>
      </c>
      <c r="AJ1515" s="107" t="str">
        <f t="shared" ca="1" si="1096"/>
        <v/>
      </c>
      <c r="AK1515" s="714" t="str">
        <f t="shared" si="1097"/>
        <v/>
      </c>
      <c r="AL1515" s="714"/>
      <c r="AM1515" s="114" t="str">
        <f t="shared" si="1098"/>
        <v/>
      </c>
      <c r="AN1515" s="115"/>
      <c r="AO1515" s="116"/>
      <c r="AP1515" s="116"/>
      <c r="AQ1515" s="116"/>
      <c r="AR1515" s="116"/>
      <c r="AS1515" s="116"/>
      <c r="AT1515" s="116"/>
      <c r="AU1515" s="116"/>
      <c r="AV1515" s="78"/>
      <c r="AW1515" s="102"/>
      <c r="AX1515" s="78"/>
      <c r="AY1515" s="78"/>
      <c r="AZ1515" s="78"/>
      <c r="BA1515" s="78"/>
      <c r="BB1515" s="78"/>
      <c r="BC1515" s="78"/>
      <c r="BD1515" s="78"/>
      <c r="BE1515" s="465"/>
      <c r="BF1515" s="165" t="str">
        <f t="shared" si="1099"/>
        <v>https://www.google.com/search?tbm=isch&amp;q=3%20G4</v>
      </c>
      <c r="BG1515" s="165" t="str">
        <f t="shared" si="1100"/>
        <v>D</v>
      </c>
      <c r="BH1515" s="65"/>
      <c r="BI1515" s="65"/>
      <c r="BJ1515" s="65"/>
      <c r="BK1515" s="65"/>
      <c r="BL1515" s="99"/>
      <c r="BM1515" s="99"/>
      <c r="BN1515" s="99"/>
    </row>
    <row r="1516" spans="1:66" s="51" customFormat="1" ht="15.75" x14ac:dyDescent="0.25">
      <c r="A1516" s="478">
        <v>7</v>
      </c>
      <c r="B1516" s="479" t="s">
        <v>291</v>
      </c>
      <c r="C1516" s="480" t="s">
        <v>4603</v>
      </c>
      <c r="D1516" s="481" t="s">
        <v>299</v>
      </c>
      <c r="E1516" s="482">
        <v>95.95</v>
      </c>
      <c r="F1516" s="483" t="s">
        <v>292</v>
      </c>
      <c r="G1516" s="484">
        <v>0</v>
      </c>
      <c r="H1516" s="688" t="str">
        <f>IF(G1516=0,"",IF(F1516="Buy",IF(G1516=1,"plant","plants"),IF(F1516&gt;0.01,"warranty","Error")))</f>
        <v/>
      </c>
      <c r="I1516" s="485">
        <f>IF(H1516="free",0,IF(H1516="credit",((E1516*(F1516))*G1516*-1),IF(F1516="Buy",(E1516*G1516),((E1516*(1-F1516))*G1516))))</f>
        <v>0</v>
      </c>
      <c r="J1516" s="485">
        <f>IF(H1516="warranty",0,(I1516*(_xlfn.SINGLE(SalesTaxPercentage))))</f>
        <v>0</v>
      </c>
      <c r="K1516" s="715">
        <f t="shared" ref="K1516" si="1116">I1516+J1516</f>
        <v>0</v>
      </c>
      <c r="L1516" s="715"/>
      <c r="M1516" s="689" t="str">
        <f ca="1">IF(AND(G1516&gt;0,E1516=0),"WARNING - no PRICE inserted",IF(H1516="free","FREE ~ no charge this plant",IF(H1516="credit",CONCATENATE("-$",ROUND(K1516*(1-_xlfn.SINGLE(T2GDiscount))*-1,2)," CREDIT after discount"),IF(_xlfn.SINGLE(T2GDiscount)=0,"",IF(G1516=0,"",IF(F1516="Buy",CONCATENATE("$",ROUND(K1516*(1-_xlfn.SINGLE(T2GDiscount)),2)," with ",(_xlfn.SINGLE(T2GDiscount)*100),"% discount"),CONCATENATE("$",ROUND(K1516*(1-_xlfn.SINGLE(T2GDiscount)),2)," with ",((_xlfn.SINGLE(T2GDiscount)*100+F1516*100)-(_xlfn.SINGLE(T2GDiscount)*100*F1516)),IF(F1516&gt;0,"% discounts",IF(_xlfn.SINGLE(NoWarrantyDiscount)&gt;0,"% discounts","% discount")))))))))</f>
        <v/>
      </c>
      <c r="N1516" s="690"/>
      <c r="O1516" s="486"/>
      <c r="P1516" s="486"/>
      <c r="Q1516" s="486"/>
      <c r="R1516" s="486"/>
      <c r="S1516" s="486"/>
      <c r="T1516" s="102">
        <f t="shared" si="1088"/>
        <v>0</v>
      </c>
      <c r="U1516" s="78">
        <f>IF(NOT(ISNUMBER(G1516)), "", VLOOKUP(A1516,'Discount Lookup'!D:E,2,FALSE)*G1516)</f>
        <v>0</v>
      </c>
      <c r="V1516" s="78">
        <f>IF(NOT(ISNUMBER(G1516)), "", VLOOKUP(A1516,'Discount Lookup'!G:H,2,FALSE)*G1516)</f>
        <v>0</v>
      </c>
      <c r="W1516" s="102">
        <f t="shared" si="1089"/>
        <v>0</v>
      </c>
      <c r="X1516" s="102">
        <f t="shared" si="1090"/>
        <v>0</v>
      </c>
      <c r="Y1516" s="120" t="b">
        <f t="shared" si="1091"/>
        <v>0</v>
      </c>
      <c r="Z1516" s="117">
        <f t="shared" si="1092"/>
        <v>0</v>
      </c>
      <c r="AA1516" s="118"/>
      <c r="AB1516" s="118" t="str">
        <f t="shared" si="1093"/>
        <v/>
      </c>
      <c r="AC1516" s="712" t="str">
        <f>IF(AE1516="T2G","no charge",IF(AND(OR(PlanterYesMe="No",PlanterYesMe="N",PlanterYesMe="me"),H1516=""),"",IF(H1516="credit","NO install",IF(AND(K1516="",AE1516="me"),"EACH row",IF(AND(K1516="images",AE1516="me"),"EACH row",IF(D1516="","",IF(H1516="credit","",IF(AE1516="free","re-planting",IF(AE1516="me","   not ELP, by",IF(AND(OR(PlanterYesMe="Yes",PlanterYesMe="Y"),G1516&gt;0),(VLOOKUP(A1516,'Discount Lookup'!J:K,2)*G1516*(1-PlanterDiscount)*(1+PlanterDifficultyPercentage)),IF(AE1516="ELP",(VLOOKUP(A1516,'Discount Lookup'!J:K,2)*G1516*(1-PlanterDiscount)*(1+PlanterDifficultyPercentage)),IF(AE1516="free","re-planting",IF(G1516=0,"",IF(PlanterYesMe="",IF(AE1516="me","   not ELP, by",IF(AE1516="",IF(G1516&gt;0,(VLOOKUP(A1516,'Discount Lookup'!J:K,2)*G1516*(1-PlanterDiscount)*(1+PlanterDifficultyPercentage)),""),"")),"   not ELP, by"))))))))))))))</f>
        <v/>
      </c>
      <c r="AD1516" s="712"/>
      <c r="AE1516" s="513" t="str">
        <f t="shared" si="1094"/>
        <v/>
      </c>
      <c r="AF1516" s="713" t="str">
        <f t="shared" si="1095"/>
        <v/>
      </c>
      <c r="AG1516" s="713"/>
      <c r="AH1516" s="713"/>
      <c r="AI1516" s="112">
        <f>IF(H1516="credit",0,IF(AE1516="free",0,IF(AE1516="me",0,IF(G1516&gt;0,(VLOOKUP(A1516,'Discount Lookup'!J:K,2)*G1516),0))))</f>
        <v>0</v>
      </c>
      <c r="AJ1516" s="107" t="str">
        <f t="shared" ca="1" si="1096"/>
        <v/>
      </c>
      <c r="AK1516" s="714" t="str">
        <f t="shared" si="1097"/>
        <v/>
      </c>
      <c r="AL1516" s="714"/>
      <c r="AM1516" s="114" t="str">
        <f t="shared" si="1098"/>
        <v/>
      </c>
      <c r="AN1516" s="115"/>
      <c r="AO1516" s="116"/>
      <c r="AP1516" s="116"/>
      <c r="AQ1516" s="116"/>
      <c r="AR1516" s="116"/>
      <c r="AS1516" s="116"/>
      <c r="AT1516" s="116"/>
      <c r="AU1516" s="116"/>
      <c r="AV1516" s="78"/>
      <c r="AW1516" s="102"/>
      <c r="AX1516" s="78"/>
      <c r="AY1516" s="78"/>
      <c r="AZ1516" s="78"/>
      <c r="BA1516" s="78"/>
      <c r="BB1516" s="78"/>
      <c r="BC1516" s="78"/>
      <c r="BD1516" s="78"/>
      <c r="BE1516" s="465"/>
      <c r="BF1516" s="165" t="str">
        <f t="shared" si="1099"/>
        <v>https://www.google.com/search?tbm=isch&amp;q=7%20G4</v>
      </c>
      <c r="BG1516" s="165" t="str">
        <f t="shared" si="1100"/>
        <v>D</v>
      </c>
      <c r="BH1516" s="65"/>
      <c r="BI1516" s="65"/>
      <c r="BJ1516" s="65"/>
      <c r="BK1516" s="65"/>
      <c r="BL1516" s="99"/>
      <c r="BM1516" s="99"/>
      <c r="BN1516" s="99"/>
    </row>
    <row r="1517" spans="1:66" s="51" customFormat="1" ht="15.75" x14ac:dyDescent="0.25">
      <c r="A1517" s="478">
        <v>7</v>
      </c>
      <c r="B1517" s="479" t="s">
        <v>291</v>
      </c>
      <c r="C1517" s="480" t="s">
        <v>1100</v>
      </c>
      <c r="D1517" s="481" t="s">
        <v>293</v>
      </c>
      <c r="E1517" s="482">
        <v>109.95</v>
      </c>
      <c r="F1517" s="483" t="s">
        <v>292</v>
      </c>
      <c r="G1517" s="484">
        <v>0</v>
      </c>
      <c r="H1517" s="688" t="str">
        <f>IF(G1517=0,"",IF(F1517="Buy",IF(G1517=1,"plant","plants"),IF(F1517&gt;0.01,"warranty","Error")))</f>
        <v/>
      </c>
      <c r="I1517" s="485">
        <f>IF(H1517="free",0,IF(H1517="credit",((E1517*(F1517))*G1517*-1),IF(F1517="Buy",(E1517*G1517),((E1517*(1-F1517))*G1517))))</f>
        <v>0</v>
      </c>
      <c r="J1517" s="485">
        <f>IF(H1517="warranty",0,(I1517*(_xlfn.SINGLE(SalesTaxPercentage))))</f>
        <v>0</v>
      </c>
      <c r="K1517" s="715">
        <f t="shared" ref="K1517" si="1117">I1517+J1517</f>
        <v>0</v>
      </c>
      <c r="L1517" s="715"/>
      <c r="M1517" s="689" t="str">
        <f ca="1">IF(AND(G1517&gt;0,E1517=0),"WARNING - no PRICE inserted",IF(H1517="free","FREE ~ no charge this plant",IF(H1517="credit",CONCATENATE("-$",ROUND(K1517*(1-_xlfn.SINGLE(T2GDiscount))*-1,2)," CREDIT after discount"),IF(_xlfn.SINGLE(T2GDiscount)=0,"",IF(G1517=0,"",IF(F1517="Buy",CONCATENATE("$",ROUND(K1517*(1-_xlfn.SINGLE(T2GDiscount)),2)," with ",(_xlfn.SINGLE(T2GDiscount)*100),"% discount"),CONCATENATE("$",ROUND(K1517*(1-_xlfn.SINGLE(T2GDiscount)),2)," with ",((_xlfn.SINGLE(T2GDiscount)*100+F1517*100)-(_xlfn.SINGLE(T2GDiscount)*100*F1517)),IF(F1517&gt;0,"% discounts",IF(_xlfn.SINGLE(NoWarrantyDiscount)&gt;0,"% discounts","% discount")))))))))</f>
        <v/>
      </c>
      <c r="N1517" s="690"/>
      <c r="O1517" s="486"/>
      <c r="P1517" s="486"/>
      <c r="Q1517" s="486"/>
      <c r="R1517" s="486"/>
      <c r="S1517" s="486"/>
      <c r="T1517" s="102">
        <f t="shared" si="1088"/>
        <v>0</v>
      </c>
      <c r="U1517" s="78">
        <f>IF(NOT(ISNUMBER(G1517)), "", VLOOKUP(A1517,'Discount Lookup'!D:E,2,FALSE)*G1517)</f>
        <v>0</v>
      </c>
      <c r="V1517" s="78">
        <f>IF(NOT(ISNUMBER(G1517)), "", VLOOKUP(A1517,'Discount Lookup'!G:H,2,FALSE)*G1517)</f>
        <v>0</v>
      </c>
      <c r="W1517" s="102">
        <f t="shared" si="1089"/>
        <v>0</v>
      </c>
      <c r="X1517" s="102">
        <f t="shared" si="1090"/>
        <v>0</v>
      </c>
      <c r="Y1517" s="120" t="b">
        <f t="shared" si="1091"/>
        <v>0</v>
      </c>
      <c r="Z1517" s="117">
        <f t="shared" si="1092"/>
        <v>0</v>
      </c>
      <c r="AA1517" s="118"/>
      <c r="AB1517" s="118" t="str">
        <f t="shared" si="1093"/>
        <v/>
      </c>
      <c r="AC1517" s="712" t="str">
        <f>IF(AE1517="T2G","no charge",IF(AND(OR(PlanterYesMe="No",PlanterYesMe="N",PlanterYesMe="me"),H1517=""),"",IF(H1517="credit","NO install",IF(AND(K1517="",AE1517="me"),"EACH row",IF(AND(K1517="images",AE1517="me"),"EACH row",IF(D1517="","",IF(H1517="credit","",IF(AE1517="free","re-planting",IF(AE1517="me","   not ELP, by",IF(AND(OR(PlanterYesMe="Yes",PlanterYesMe="Y"),G1517&gt;0),(VLOOKUP(A1517,'Discount Lookup'!J:K,2)*G1517*(1-PlanterDiscount)*(1+PlanterDifficultyPercentage)),IF(AE1517="ELP",(VLOOKUP(A1517,'Discount Lookup'!J:K,2)*G1517*(1-PlanterDiscount)*(1+PlanterDifficultyPercentage)),IF(AE1517="free","re-planting",IF(G1517=0,"",IF(PlanterYesMe="",IF(AE1517="me","   not ELP, by",IF(AE1517="",IF(G1517&gt;0,(VLOOKUP(A1517,'Discount Lookup'!J:K,2)*G1517*(1-PlanterDiscount)*(1+PlanterDifficultyPercentage)),""),"")),"   not ELP, by"))))))))))))))</f>
        <v/>
      </c>
      <c r="AD1517" s="712"/>
      <c r="AE1517" s="513" t="str">
        <f t="shared" si="1094"/>
        <v/>
      </c>
      <c r="AF1517" s="713" t="str">
        <f t="shared" si="1095"/>
        <v/>
      </c>
      <c r="AG1517" s="713"/>
      <c r="AH1517" s="713"/>
      <c r="AI1517" s="112">
        <f>IF(H1517="credit",0,IF(AE1517="free",0,IF(AE1517="me",0,IF(G1517&gt;0,(VLOOKUP(A1517,'Discount Lookup'!J:K,2)*G1517),0))))</f>
        <v>0</v>
      </c>
      <c r="AJ1517" s="107" t="str">
        <f t="shared" ca="1" si="1096"/>
        <v/>
      </c>
      <c r="AK1517" s="714" t="str">
        <f t="shared" si="1097"/>
        <v/>
      </c>
      <c r="AL1517" s="714"/>
      <c r="AM1517" s="114" t="str">
        <f t="shared" si="1098"/>
        <v/>
      </c>
      <c r="AN1517" s="115"/>
      <c r="AO1517" s="116"/>
      <c r="AP1517" s="116"/>
      <c r="AQ1517" s="116"/>
      <c r="AR1517" s="116"/>
      <c r="AS1517" s="116"/>
      <c r="AT1517" s="116"/>
      <c r="AU1517" s="116"/>
      <c r="AV1517" s="78"/>
      <c r="AW1517" s="102"/>
      <c r="AX1517" s="78"/>
      <c r="AY1517" s="78"/>
      <c r="AZ1517" s="78"/>
      <c r="BA1517" s="78"/>
      <c r="BB1517" s="78"/>
      <c r="BC1517" s="78"/>
      <c r="BD1517" s="78"/>
      <c r="BE1517" s="465"/>
      <c r="BF1517" s="165" t="str">
        <f t="shared" si="1099"/>
        <v>https://www.google.com/search?tbm=isch&amp;q=7%20G6</v>
      </c>
      <c r="BG1517" s="165" t="str">
        <f t="shared" si="1100"/>
        <v>D</v>
      </c>
      <c r="BH1517" s="65"/>
      <c r="BI1517" s="65"/>
      <c r="BJ1517" s="65"/>
      <c r="BK1517" s="65"/>
      <c r="BL1517" s="99"/>
      <c r="BM1517" s="99"/>
      <c r="BN1517" s="99"/>
    </row>
    <row r="1518" spans="1:66" s="51" customFormat="1" ht="16.5" thickBot="1" x14ac:dyDescent="0.3">
      <c r="A1518" s="508" t="s">
        <v>4725</v>
      </c>
      <c r="B1518" s="487"/>
      <c r="C1518" s="707"/>
      <c r="D1518" s="487"/>
      <c r="E1518" s="487"/>
      <c r="F1518" s="488"/>
      <c r="G1518" s="489"/>
      <c r="H1518" s="487"/>
      <c r="I1518" s="490"/>
      <c r="J1518" s="490"/>
      <c r="K1518" s="491"/>
      <c r="L1518" s="547"/>
      <c r="M1518" s="528"/>
      <c r="N1518" s="492"/>
      <c r="O1518" s="493"/>
      <c r="P1518" s="494"/>
      <c r="Q1518" s="492"/>
      <c r="R1518" s="492"/>
      <c r="S1518" s="699" t="s">
        <v>5259</v>
      </c>
      <c r="T1518" s="102">
        <f t="shared" si="1088"/>
        <v>0</v>
      </c>
      <c r="U1518" s="78" t="str">
        <f>IF(NOT(ISNUMBER(G1518)), "", VLOOKUP(A1518,'Discount Lookup'!D:E,2,FALSE)*G1518)</f>
        <v/>
      </c>
      <c r="V1518" s="78" t="str">
        <f>IF(NOT(ISNUMBER(G1518)), "", VLOOKUP(A1518,'Discount Lookup'!G:H,2,FALSE)*G1518)</f>
        <v/>
      </c>
      <c r="W1518" s="102">
        <f t="shared" si="1089"/>
        <v>0</v>
      </c>
      <c r="X1518" s="102">
        <f t="shared" si="1090"/>
        <v>0</v>
      </c>
      <c r="Y1518" s="120" t="b">
        <f t="shared" si="1091"/>
        <v>0</v>
      </c>
      <c r="Z1518" s="117">
        <f t="shared" si="1092"/>
        <v>0</v>
      </c>
      <c r="AA1518" s="118"/>
      <c r="AB1518" s="118" t="str">
        <f t="shared" si="1093"/>
        <v/>
      </c>
      <c r="AC1518" s="712" t="str">
        <f>IF(AE1518="T2G","no charge",IF(AND(OR(PlanterYesMe="No",PlanterYesMe="N",PlanterYesMe="me"),H1518=""),"",IF(H1518="credit","NO install",IF(AND(K1518="",AE1518="me"),"EACH row",IF(AND(K1518="images",AE1518="me"),"EACH row",IF(D1518="","",IF(H1518="credit","",IF(AE1518="free","re-planting",IF(AE1518="me","   not ELP, by",IF(AND(OR(PlanterYesMe="Yes",PlanterYesMe="Y"),G1518&gt;0),(VLOOKUP(A1518,'Discount Lookup'!J:K,2)*G1518*(1-PlanterDiscount)*(1+PlanterDifficultyPercentage)),IF(AE1518="ELP",(VLOOKUP(A1518,'Discount Lookup'!J:K,2)*G1518*(1-PlanterDiscount)*(1+PlanterDifficultyPercentage)),IF(AE1518="free","re-planting",IF(G1518=0,"",IF(PlanterYesMe="",IF(AE1518="me","   not ELP, by",IF(AE1518="",IF(G1518&gt;0,(VLOOKUP(A1518,'Discount Lookup'!J:K,2)*G1518*(1-PlanterDiscount)*(1+PlanterDifficultyPercentage)),""),"")),"   not ELP, by"))))))))))))))</f>
        <v/>
      </c>
      <c r="AD1518" s="712"/>
      <c r="AE1518" s="513" t="str">
        <f t="shared" si="1094"/>
        <v/>
      </c>
      <c r="AF1518" s="713" t="str">
        <f t="shared" si="1095"/>
        <v/>
      </c>
      <c r="AG1518" s="713"/>
      <c r="AH1518" s="713"/>
      <c r="AI1518" s="112">
        <f>IF(H1518="credit",0,IF(AE1518="free",0,IF(AE1518="me",0,IF(G1518&gt;0,(VLOOKUP(A1518,'Discount Lookup'!J:K,2)*G1518),0))))</f>
        <v>0</v>
      </c>
      <c r="AJ1518" s="107" t="str">
        <f t="shared" ca="1" si="1096"/>
        <v/>
      </c>
      <c r="AK1518" s="714" t="str">
        <f t="shared" si="1097"/>
        <v/>
      </c>
      <c r="AL1518" s="714"/>
      <c r="AM1518" s="114" t="str">
        <f t="shared" si="1098"/>
        <v/>
      </c>
      <c r="AN1518" s="115"/>
      <c r="AO1518" s="116"/>
      <c r="AP1518" s="116"/>
      <c r="AQ1518" s="116"/>
      <c r="AR1518" s="116"/>
      <c r="AS1518" s="116"/>
      <c r="AT1518" s="116"/>
      <c r="AU1518" s="116"/>
      <c r="AV1518" s="78"/>
      <c r="AW1518" s="102"/>
      <c r="AX1518" s="78"/>
      <c r="AY1518" s="78"/>
      <c r="AZ1518" s="78"/>
      <c r="BA1518" s="78"/>
      <c r="BB1518" s="78"/>
      <c r="BC1518" s="78"/>
      <c r="BD1518" s="78"/>
      <c r="BE1518" s="465"/>
      <c r="BF1518" s="165" t="str">
        <f t="shared" si="1099"/>
        <v>https://www.google.com/search?tbm=isch&amp;q=Cinnamon%20Girl%20named%20for%20look%20of%20Plum-Purple%20new%20foliage%20against%20Blue-Green%20summer%20foliage.%20Subtle%20Red%20winter%20blooms.%20Heat%2Fdrought%20tol.%20</v>
      </c>
      <c r="BG1518" s="165" t="str">
        <f t="shared" si="1100"/>
        <v>C</v>
      </c>
      <c r="BH1518" s="65"/>
      <c r="BI1518" s="65"/>
      <c r="BJ1518" s="65"/>
      <c r="BK1518" s="65"/>
      <c r="BL1518" s="99"/>
      <c r="BM1518" s="99"/>
      <c r="BN1518" s="99"/>
    </row>
    <row r="1519" spans="1:66" s="51" customFormat="1" ht="18" x14ac:dyDescent="0.25">
      <c r="A1519" s="507" t="s">
        <v>2451</v>
      </c>
      <c r="B1519" s="470"/>
      <c r="C1519" s="706"/>
      <c r="D1519" s="471" t="s">
        <v>5879</v>
      </c>
      <c r="E1519" s="472"/>
      <c r="F1519" s="472"/>
      <c r="G1519" s="472"/>
      <c r="H1519" s="622" t="s">
        <v>2001</v>
      </c>
      <c r="I1519" s="473" t="s">
        <v>565</v>
      </c>
      <c r="J1519" s="472"/>
      <c r="K1519" s="472"/>
      <c r="L1519" s="561"/>
      <c r="M1519" s="698" t="s">
        <v>5246</v>
      </c>
      <c r="N1519" s="692" t="str">
        <f>IF(AND(ISTEXT($A1519), ISERROR($A1519+0)), HYPERLINK($BF1519, "Images"), "")</f>
        <v>Images</v>
      </c>
      <c r="O1519" s="694" t="s">
        <v>5244</v>
      </c>
      <c r="P1519" s="475"/>
      <c r="Q1519" s="476"/>
      <c r="R1519" s="476"/>
      <c r="S1519" s="477"/>
      <c r="T1519" s="102">
        <f t="shared" si="1088"/>
        <v>0</v>
      </c>
      <c r="U1519" s="78" t="str">
        <f>IF(NOT(ISNUMBER(G1519)), "", VLOOKUP(A1519,'Discount Lookup'!D:E,2,FALSE)*G1519)</f>
        <v/>
      </c>
      <c r="V1519" s="78" t="str">
        <f>IF(NOT(ISNUMBER(G1519)), "", VLOOKUP(A1519,'Discount Lookup'!G:H,2,FALSE)*G1519)</f>
        <v/>
      </c>
      <c r="W1519" s="102">
        <f t="shared" si="1089"/>
        <v>0</v>
      </c>
      <c r="X1519" s="102" t="str">
        <f t="shared" si="1090"/>
        <v>Blue-Green foliage</v>
      </c>
      <c r="Y1519" s="120" t="b">
        <f t="shared" si="1091"/>
        <v>0</v>
      </c>
      <c r="Z1519" s="117">
        <f t="shared" si="1092"/>
        <v>0</v>
      </c>
      <c r="AA1519" s="118"/>
      <c r="AB1519" s="118" t="str">
        <f t="shared" si="1093"/>
        <v/>
      </c>
      <c r="AC1519" s="712" t="str">
        <f>IF(AE1519="T2G","no charge",IF(AND(OR(PlanterYesMe="No",PlanterYesMe="N",PlanterYesMe="me"),H1519=""),"",IF(H1519="credit","NO install",IF(AND(K1519="",AE1519="me"),"EACH row",IF(AND(K1519="images",AE1519="me"),"EACH row",IF(D1519="","",IF(H1519="credit","",IF(AE1519="free","re-planting",IF(AE1519="me","   not ELP, by",IF(AND(OR(PlanterYesMe="Yes",PlanterYesMe="Y"),G1519&gt;0),(VLOOKUP(A1519,'Discount Lookup'!J:K,2)*G1519*(1-PlanterDiscount)*(1+PlanterDifficultyPercentage)),IF(AE1519="ELP",(VLOOKUP(A1519,'Discount Lookup'!J:K,2)*G1519*(1-PlanterDiscount)*(1+PlanterDifficultyPercentage)),IF(AE1519="free","re-planting",IF(G1519=0,"",IF(PlanterYesMe="",IF(AE1519="me","   not ELP, by",IF(AE1519="",IF(G1519&gt;0,(VLOOKUP(A1519,'Discount Lookup'!J:K,2)*G1519*(1-PlanterDiscount)*(1+PlanterDifficultyPercentage)),""),"")),"   not ELP, by"))))))))))))))</f>
        <v/>
      </c>
      <c r="AD1519" s="712"/>
      <c r="AE1519" s="513" t="str">
        <f t="shared" si="1094"/>
        <v/>
      </c>
      <c r="AF1519" s="713" t="str">
        <f t="shared" si="1095"/>
        <v/>
      </c>
      <c r="AG1519" s="713"/>
      <c r="AH1519" s="713"/>
      <c r="AI1519" s="112">
        <f>IF(H1519="credit",0,IF(AE1519="free",0,IF(AE1519="me",0,IF(G1519&gt;0,(VLOOKUP(A1519,'Discount Lookup'!J:K,2)*G1519),0))))</f>
        <v>0</v>
      </c>
      <c r="AJ1519" s="107" t="str">
        <f t="shared" ca="1" si="1096"/>
        <v/>
      </c>
      <c r="AK1519" s="714" t="str">
        <f t="shared" si="1097"/>
        <v/>
      </c>
      <c r="AL1519" s="714"/>
      <c r="AM1519" s="114" t="str">
        <f t="shared" si="1098"/>
        <v/>
      </c>
      <c r="AN1519" s="115"/>
      <c r="AO1519" s="116"/>
      <c r="AP1519" s="116"/>
      <c r="AQ1519" s="116"/>
      <c r="AR1519" s="116"/>
      <c r="AS1519" s="116"/>
      <c r="AT1519" s="116"/>
      <c r="AU1519" s="116"/>
      <c r="AV1519" s="78"/>
      <c r="AW1519" s="102"/>
      <c r="AX1519" s="78"/>
      <c r="AY1519" s="78"/>
      <c r="AZ1519" s="78"/>
      <c r="BA1519" s="78"/>
      <c r="BB1519" s="78"/>
      <c r="BC1519" s="78"/>
      <c r="BD1519" s="78"/>
      <c r="BE1519" s="465"/>
      <c r="BF1519" s="165" t="str">
        <f t="shared" si="1099"/>
        <v>https://www.google.com/search?tbm=isch&amp;q=Distylium%20%27PIIDIST-VI%27%20PP%2329779%20Swing%20Low%C2%AE%20Distylium%20%28FE%C2%AE%29</v>
      </c>
      <c r="BG1519" s="165" t="str">
        <f t="shared" si="1100"/>
        <v>D</v>
      </c>
      <c r="BH1519" s="65"/>
      <c r="BI1519" s="65"/>
      <c r="BJ1519" s="65"/>
      <c r="BK1519" s="65"/>
      <c r="BL1519" s="99"/>
      <c r="BM1519" s="99"/>
      <c r="BN1519" s="99"/>
    </row>
    <row r="1520" spans="1:66" s="51" customFormat="1" ht="15.75" x14ac:dyDescent="0.25">
      <c r="A1520" s="478">
        <v>3</v>
      </c>
      <c r="B1520" s="479" t="s">
        <v>291</v>
      </c>
      <c r="C1520" s="480" t="s">
        <v>2452</v>
      </c>
      <c r="D1520" s="481" t="s">
        <v>329</v>
      </c>
      <c r="E1520" s="482">
        <v>33.950000000000003</v>
      </c>
      <c r="F1520" s="483" t="s">
        <v>292</v>
      </c>
      <c r="G1520" s="484">
        <v>0</v>
      </c>
      <c r="H1520" s="688" t="str">
        <f>IF(G1520=0,"",IF(F1520="Buy",IF(G1520=1,"plant","plants"),IF(F1520&gt;0.01,"warranty","Error")))</f>
        <v/>
      </c>
      <c r="I1520" s="485">
        <f>IF(H1520="free",0,IF(H1520="credit",((E1520*(F1520))*G1520*-1),IF(F1520="Buy",(E1520*G1520),((E1520*(1-F1520))*G1520))))</f>
        <v>0</v>
      </c>
      <c r="J1520" s="485">
        <f>IF(H1520="warranty",0,(I1520*(_xlfn.SINGLE(SalesTaxPercentage))))</f>
        <v>0</v>
      </c>
      <c r="K1520" s="715">
        <f t="shared" ref="K1520" si="1118">I1520+J1520</f>
        <v>0</v>
      </c>
      <c r="L1520" s="715"/>
      <c r="M1520" s="689" t="str">
        <f ca="1">IF(AND(G1520&gt;0,E1520=0),"WARNING - no PRICE inserted",IF(H1520="free","FREE ~ no charge this plant",IF(H1520="credit",CONCATENATE("-$",ROUND(K1520*(1-_xlfn.SINGLE(T2GDiscount))*-1,2)," CREDIT after discount"),IF(_xlfn.SINGLE(T2GDiscount)=0,"",IF(G1520=0,"",IF(F1520="Buy",CONCATENATE("$",ROUND(K1520*(1-_xlfn.SINGLE(T2GDiscount)),2)," with ",(_xlfn.SINGLE(T2GDiscount)*100),"% discount"),CONCATENATE("$",ROUND(K1520*(1-_xlfn.SINGLE(T2GDiscount)),2)," with ",((_xlfn.SINGLE(T2GDiscount)*100+F1520*100)-(_xlfn.SINGLE(T2GDiscount)*100*F1520)),IF(F1520&gt;0,"% discounts",IF(_xlfn.SINGLE(NoWarrantyDiscount)&gt;0,"% discounts","% discount")))))))))</f>
        <v/>
      </c>
      <c r="N1520" s="690"/>
      <c r="O1520" s="486"/>
      <c r="P1520" s="486"/>
      <c r="Q1520" s="486"/>
      <c r="R1520" s="486"/>
      <c r="S1520" s="486"/>
      <c r="T1520" s="102">
        <f t="shared" si="1088"/>
        <v>0</v>
      </c>
      <c r="U1520" s="78">
        <f>IF(NOT(ISNUMBER(G1520)), "", VLOOKUP(A1520,'Discount Lookup'!D:E,2,FALSE)*G1520)</f>
        <v>0</v>
      </c>
      <c r="V1520" s="78">
        <f>IF(NOT(ISNUMBER(G1520)), "", VLOOKUP(A1520,'Discount Lookup'!G:H,2,FALSE)*G1520)</f>
        <v>0</v>
      </c>
      <c r="W1520" s="102">
        <f t="shared" si="1089"/>
        <v>0</v>
      </c>
      <c r="X1520" s="102">
        <f t="shared" si="1090"/>
        <v>0</v>
      </c>
      <c r="Y1520" s="120" t="b">
        <f t="shared" si="1091"/>
        <v>0</v>
      </c>
      <c r="Z1520" s="117">
        <f t="shared" si="1092"/>
        <v>0</v>
      </c>
      <c r="AA1520" s="118"/>
      <c r="AB1520" s="118" t="str">
        <f t="shared" si="1093"/>
        <v/>
      </c>
      <c r="AC1520" s="712" t="str">
        <f>IF(AE1520="T2G","no charge",IF(AND(OR(PlanterYesMe="No",PlanterYesMe="N",PlanterYesMe="me"),H1520=""),"",IF(H1520="credit","NO install",IF(AND(K1520="",AE1520="me"),"EACH row",IF(AND(K1520="images",AE1520="me"),"EACH row",IF(D1520="","",IF(H1520="credit","",IF(AE1520="free","re-planting",IF(AE1520="me","   not ELP, by",IF(AND(OR(PlanterYesMe="Yes",PlanterYesMe="Y"),G1520&gt;0),(VLOOKUP(A1520,'Discount Lookup'!J:K,2)*G1520*(1-PlanterDiscount)*(1+PlanterDifficultyPercentage)),IF(AE1520="ELP",(VLOOKUP(A1520,'Discount Lookup'!J:K,2)*G1520*(1-PlanterDiscount)*(1+PlanterDifficultyPercentage)),IF(AE1520="free","re-planting",IF(G1520=0,"",IF(PlanterYesMe="",IF(AE1520="me","   not ELP, by",IF(AE1520="",IF(G1520&gt;0,(VLOOKUP(A1520,'Discount Lookup'!J:K,2)*G1520*(1-PlanterDiscount)*(1+PlanterDifficultyPercentage)),""),"")),"   not ELP, by"))))))))))))))</f>
        <v/>
      </c>
      <c r="AD1520" s="712"/>
      <c r="AE1520" s="513" t="str">
        <f t="shared" si="1094"/>
        <v/>
      </c>
      <c r="AF1520" s="713" t="str">
        <f t="shared" si="1095"/>
        <v/>
      </c>
      <c r="AG1520" s="713"/>
      <c r="AH1520" s="713"/>
      <c r="AI1520" s="112">
        <f>IF(H1520="credit",0,IF(AE1520="free",0,IF(AE1520="me",0,IF(G1520&gt;0,(VLOOKUP(A1520,'Discount Lookup'!J:K,2)*G1520),0))))</f>
        <v>0</v>
      </c>
      <c r="AJ1520" s="107" t="str">
        <f t="shared" ca="1" si="1096"/>
        <v/>
      </c>
      <c r="AK1520" s="714" t="str">
        <f t="shared" si="1097"/>
        <v/>
      </c>
      <c r="AL1520" s="714"/>
      <c r="AM1520" s="114" t="str">
        <f t="shared" si="1098"/>
        <v/>
      </c>
      <c r="AN1520" s="115"/>
      <c r="AO1520" s="116"/>
      <c r="AP1520" s="116"/>
      <c r="AQ1520" s="116"/>
      <c r="AR1520" s="116"/>
      <c r="AS1520" s="116"/>
      <c r="AT1520" s="116"/>
      <c r="AU1520" s="116"/>
      <c r="AV1520" s="78"/>
      <c r="AW1520" s="102"/>
      <c r="AX1520" s="78"/>
      <c r="AY1520" s="78"/>
      <c r="AZ1520" s="78"/>
      <c r="BA1520" s="78"/>
      <c r="BB1520" s="78"/>
      <c r="BC1520" s="78"/>
      <c r="BD1520" s="78"/>
      <c r="BE1520" s="465"/>
      <c r="BF1520" s="165" t="str">
        <f t="shared" si="1099"/>
        <v>https://www.google.com/search?tbm=isch&amp;q=3%20G2</v>
      </c>
      <c r="BG1520" s="165" t="str">
        <f t="shared" si="1100"/>
        <v>D</v>
      </c>
      <c r="BH1520" s="65"/>
      <c r="BI1520" s="65"/>
      <c r="BJ1520" s="65"/>
      <c r="BK1520" s="65"/>
      <c r="BL1520" s="99"/>
      <c r="BM1520" s="99"/>
      <c r="BN1520" s="99"/>
    </row>
    <row r="1521" spans="1:66" s="51" customFormat="1" ht="15.75" x14ac:dyDescent="0.25">
      <c r="A1521" s="478">
        <v>3</v>
      </c>
      <c r="B1521" s="479" t="s">
        <v>291</v>
      </c>
      <c r="C1521" s="480" t="s">
        <v>2453</v>
      </c>
      <c r="D1521" s="481" t="s">
        <v>311</v>
      </c>
      <c r="E1521" s="482">
        <v>36.950000000000003</v>
      </c>
      <c r="F1521" s="483" t="s">
        <v>292</v>
      </c>
      <c r="G1521" s="484">
        <v>0</v>
      </c>
      <c r="H1521" s="688" t="str">
        <f>IF(G1521=0,"",IF(F1521="Buy",IF(G1521=1,"plant","plants"),IF(F1521&gt;0.01,"warranty","Error")))</f>
        <v/>
      </c>
      <c r="I1521" s="485">
        <f>IF(H1521="free",0,IF(H1521="credit",((E1521*(F1521))*G1521*-1),IF(F1521="Buy",(E1521*G1521),((E1521*(1-F1521))*G1521))))</f>
        <v>0</v>
      </c>
      <c r="J1521" s="485">
        <f>IF(H1521="warranty",0,(I1521*(_xlfn.SINGLE(SalesTaxPercentage))))</f>
        <v>0</v>
      </c>
      <c r="K1521" s="715">
        <f t="shared" ref="K1521" si="1119">I1521+J1521</f>
        <v>0</v>
      </c>
      <c r="L1521" s="715"/>
      <c r="M1521" s="689" t="str">
        <f ca="1">IF(AND(G1521&gt;0,E1521=0),"WARNING - no PRICE inserted",IF(H1521="free","FREE ~ no charge this plant",IF(H1521="credit",CONCATENATE("-$",ROUND(K1521*(1-_xlfn.SINGLE(T2GDiscount))*-1,2)," CREDIT after discount"),IF(_xlfn.SINGLE(T2GDiscount)=0,"",IF(G1521=0,"",IF(F1521="Buy",CONCATENATE("$",ROUND(K1521*(1-_xlfn.SINGLE(T2GDiscount)),2)," with ",(_xlfn.SINGLE(T2GDiscount)*100),"% discount"),CONCATENATE("$",ROUND(K1521*(1-_xlfn.SINGLE(T2GDiscount)),2)," with ",((_xlfn.SINGLE(T2GDiscount)*100+F1521*100)-(_xlfn.SINGLE(T2GDiscount)*100*F1521)),IF(F1521&gt;0,"% discounts",IF(_xlfn.SINGLE(NoWarrantyDiscount)&gt;0,"% discounts","% discount")))))))))</f>
        <v/>
      </c>
      <c r="N1521" s="690"/>
      <c r="O1521" s="486"/>
      <c r="P1521" s="486"/>
      <c r="Q1521" s="486"/>
      <c r="R1521" s="486"/>
      <c r="S1521" s="486"/>
      <c r="T1521" s="102">
        <f t="shared" si="1088"/>
        <v>0</v>
      </c>
      <c r="U1521" s="78">
        <f>IF(NOT(ISNUMBER(G1521)), "", VLOOKUP(A1521,'Discount Lookup'!D:E,2,FALSE)*G1521)</f>
        <v>0</v>
      </c>
      <c r="V1521" s="78">
        <f>IF(NOT(ISNUMBER(G1521)), "", VLOOKUP(A1521,'Discount Lookup'!G:H,2,FALSE)*G1521)</f>
        <v>0</v>
      </c>
      <c r="W1521" s="102">
        <f t="shared" si="1089"/>
        <v>0</v>
      </c>
      <c r="X1521" s="102">
        <f t="shared" si="1090"/>
        <v>0</v>
      </c>
      <c r="Y1521" s="120" t="b">
        <f t="shared" si="1091"/>
        <v>0</v>
      </c>
      <c r="Z1521" s="117">
        <f t="shared" si="1092"/>
        <v>0</v>
      </c>
      <c r="AA1521" s="118"/>
      <c r="AB1521" s="118" t="str">
        <f t="shared" si="1093"/>
        <v/>
      </c>
      <c r="AC1521" s="712" t="str">
        <f>IF(AE1521="T2G","no charge",IF(AND(OR(PlanterYesMe="No",PlanterYesMe="N",PlanterYesMe="me"),H1521=""),"",IF(H1521="credit","NO install",IF(AND(K1521="",AE1521="me"),"EACH row",IF(AND(K1521="images",AE1521="me"),"EACH row",IF(D1521="","",IF(H1521="credit","",IF(AE1521="free","re-planting",IF(AE1521="me","   not ELP, by",IF(AND(OR(PlanterYesMe="Yes",PlanterYesMe="Y"),G1521&gt;0),(VLOOKUP(A1521,'Discount Lookup'!J:K,2)*G1521*(1-PlanterDiscount)*(1+PlanterDifficultyPercentage)),IF(AE1521="ELP",(VLOOKUP(A1521,'Discount Lookup'!J:K,2)*G1521*(1-PlanterDiscount)*(1+PlanterDifficultyPercentage)),IF(AE1521="free","re-planting",IF(G1521=0,"",IF(PlanterYesMe="",IF(AE1521="me","   not ELP, by",IF(AE1521="",IF(G1521&gt;0,(VLOOKUP(A1521,'Discount Lookup'!J:K,2)*G1521*(1-PlanterDiscount)*(1+PlanterDifficultyPercentage)),""),"")),"   not ELP, by"))))))))))))))</f>
        <v/>
      </c>
      <c r="AD1521" s="712"/>
      <c r="AE1521" s="513" t="str">
        <f t="shared" si="1094"/>
        <v/>
      </c>
      <c r="AF1521" s="713" t="str">
        <f t="shared" si="1095"/>
        <v/>
      </c>
      <c r="AG1521" s="713"/>
      <c r="AH1521" s="713"/>
      <c r="AI1521" s="112">
        <f>IF(H1521="credit",0,IF(AE1521="free",0,IF(AE1521="me",0,IF(G1521&gt;0,(VLOOKUP(A1521,'Discount Lookup'!J:K,2)*G1521),0))))</f>
        <v>0</v>
      </c>
      <c r="AJ1521" s="107" t="str">
        <f t="shared" ca="1" si="1096"/>
        <v/>
      </c>
      <c r="AK1521" s="714" t="str">
        <f t="shared" si="1097"/>
        <v/>
      </c>
      <c r="AL1521" s="714"/>
      <c r="AM1521" s="114" t="str">
        <f t="shared" si="1098"/>
        <v/>
      </c>
      <c r="AN1521" s="115"/>
      <c r="AO1521" s="116"/>
      <c r="AP1521" s="116"/>
      <c r="AQ1521" s="116"/>
      <c r="AR1521" s="116"/>
      <c r="AS1521" s="116"/>
      <c r="AT1521" s="116"/>
      <c r="AU1521" s="116"/>
      <c r="AV1521" s="78"/>
      <c r="AW1521" s="102"/>
      <c r="AX1521" s="78"/>
      <c r="AY1521" s="78"/>
      <c r="AZ1521" s="78"/>
      <c r="BA1521" s="78"/>
      <c r="BB1521" s="78"/>
      <c r="BC1521" s="78"/>
      <c r="BD1521" s="78"/>
      <c r="BE1521" s="465"/>
      <c r="BF1521" s="165" t="str">
        <f t="shared" si="1099"/>
        <v>https://www.google.com/search?tbm=isch&amp;q=3%20G5</v>
      </c>
      <c r="BG1521" s="165" t="str">
        <f t="shared" si="1100"/>
        <v>D</v>
      </c>
      <c r="BH1521" s="65"/>
      <c r="BI1521" s="65"/>
      <c r="BJ1521" s="65"/>
      <c r="BK1521" s="65"/>
      <c r="BL1521" s="99"/>
      <c r="BM1521" s="99"/>
      <c r="BN1521" s="99"/>
    </row>
    <row r="1522" spans="1:66" s="51" customFormat="1" ht="15.75" x14ac:dyDescent="0.25">
      <c r="A1522" s="478">
        <v>7</v>
      </c>
      <c r="B1522" s="479" t="s">
        <v>291</v>
      </c>
      <c r="C1522" s="480" t="s">
        <v>2454</v>
      </c>
      <c r="D1522" s="481" t="s">
        <v>293</v>
      </c>
      <c r="E1522" s="482">
        <v>80.95</v>
      </c>
      <c r="F1522" s="483" t="s">
        <v>292</v>
      </c>
      <c r="G1522" s="484">
        <v>0</v>
      </c>
      <c r="H1522" s="688" t="str">
        <f>IF(G1522=0,"",IF(F1522="Buy",IF(G1522=1,"plant","plants"),IF(F1522&gt;0.01,"warranty","Error")))</f>
        <v/>
      </c>
      <c r="I1522" s="485">
        <f>IF(H1522="free",0,IF(H1522="credit",((E1522*(F1522))*G1522*-1),IF(F1522="Buy",(E1522*G1522),((E1522*(1-F1522))*G1522))))</f>
        <v>0</v>
      </c>
      <c r="J1522" s="485">
        <f>IF(H1522="warranty",0,(I1522*(_xlfn.SINGLE(SalesTaxPercentage))))</f>
        <v>0</v>
      </c>
      <c r="K1522" s="715">
        <f t="shared" ref="K1522" si="1120">I1522+J1522</f>
        <v>0</v>
      </c>
      <c r="L1522" s="715"/>
      <c r="M1522" s="689" t="str">
        <f ca="1">IF(AND(G1522&gt;0,E1522=0),"WARNING - no PRICE inserted",IF(H1522="free","FREE ~ no charge this plant",IF(H1522="credit",CONCATENATE("-$",ROUND(K1522*(1-_xlfn.SINGLE(T2GDiscount))*-1,2)," CREDIT after discount"),IF(_xlfn.SINGLE(T2GDiscount)=0,"",IF(G1522=0,"",IF(F1522="Buy",CONCATENATE("$",ROUND(K1522*(1-_xlfn.SINGLE(T2GDiscount)),2)," with ",(_xlfn.SINGLE(T2GDiscount)*100),"% discount"),CONCATENATE("$",ROUND(K1522*(1-_xlfn.SINGLE(T2GDiscount)),2)," with ",((_xlfn.SINGLE(T2GDiscount)*100+F1522*100)-(_xlfn.SINGLE(T2GDiscount)*100*F1522)),IF(F1522&gt;0,"% discounts",IF(_xlfn.SINGLE(NoWarrantyDiscount)&gt;0,"% discounts","% discount")))))))))</f>
        <v/>
      </c>
      <c r="N1522" s="690"/>
      <c r="O1522" s="486"/>
      <c r="P1522" s="486"/>
      <c r="Q1522" s="486"/>
      <c r="R1522" s="486"/>
      <c r="S1522" s="486"/>
      <c r="T1522" s="102">
        <f t="shared" si="1088"/>
        <v>0</v>
      </c>
      <c r="U1522" s="78">
        <f>IF(NOT(ISNUMBER(G1522)), "", VLOOKUP(A1522,'Discount Lookup'!D:E,2,FALSE)*G1522)</f>
        <v>0</v>
      </c>
      <c r="V1522" s="78">
        <f>IF(NOT(ISNUMBER(G1522)), "", VLOOKUP(A1522,'Discount Lookup'!G:H,2,FALSE)*G1522)</f>
        <v>0</v>
      </c>
      <c r="W1522" s="102">
        <f t="shared" si="1089"/>
        <v>0</v>
      </c>
      <c r="X1522" s="102">
        <f t="shared" si="1090"/>
        <v>0</v>
      </c>
      <c r="Y1522" s="120" t="b">
        <f t="shared" si="1091"/>
        <v>0</v>
      </c>
      <c r="Z1522" s="117">
        <f t="shared" si="1092"/>
        <v>0</v>
      </c>
      <c r="AA1522" s="118"/>
      <c r="AB1522" s="118" t="str">
        <f t="shared" si="1093"/>
        <v/>
      </c>
      <c r="AC1522" s="712" t="str">
        <f>IF(AE1522="T2G","no charge",IF(AND(OR(PlanterYesMe="No",PlanterYesMe="N",PlanterYesMe="me"),H1522=""),"",IF(H1522="credit","NO install",IF(AND(K1522="",AE1522="me"),"EACH row",IF(AND(K1522="images",AE1522="me"),"EACH row",IF(D1522="","",IF(H1522="credit","",IF(AE1522="free","re-planting",IF(AE1522="me","   not ELP, by",IF(AND(OR(PlanterYesMe="Yes",PlanterYesMe="Y"),G1522&gt;0),(VLOOKUP(A1522,'Discount Lookup'!J:K,2)*G1522*(1-PlanterDiscount)*(1+PlanterDifficultyPercentage)),IF(AE1522="ELP",(VLOOKUP(A1522,'Discount Lookup'!J:K,2)*G1522*(1-PlanterDiscount)*(1+PlanterDifficultyPercentage)),IF(AE1522="free","re-planting",IF(G1522=0,"",IF(PlanterYesMe="",IF(AE1522="me","   not ELP, by",IF(AE1522="",IF(G1522&gt;0,(VLOOKUP(A1522,'Discount Lookup'!J:K,2)*G1522*(1-PlanterDiscount)*(1+PlanterDifficultyPercentage)),""),"")),"   not ELP, by"))))))))))))))</f>
        <v/>
      </c>
      <c r="AD1522" s="712"/>
      <c r="AE1522" s="513" t="str">
        <f t="shared" si="1094"/>
        <v/>
      </c>
      <c r="AF1522" s="713" t="str">
        <f t="shared" si="1095"/>
        <v/>
      </c>
      <c r="AG1522" s="713"/>
      <c r="AH1522" s="713"/>
      <c r="AI1522" s="112">
        <f>IF(H1522="credit",0,IF(AE1522="free",0,IF(AE1522="me",0,IF(G1522&gt;0,(VLOOKUP(A1522,'Discount Lookup'!J:K,2)*G1522),0))))</f>
        <v>0</v>
      </c>
      <c r="AJ1522" s="107" t="str">
        <f t="shared" ca="1" si="1096"/>
        <v/>
      </c>
      <c r="AK1522" s="714" t="str">
        <f t="shared" si="1097"/>
        <v/>
      </c>
      <c r="AL1522" s="714"/>
      <c r="AM1522" s="114" t="str">
        <f t="shared" si="1098"/>
        <v/>
      </c>
      <c r="AN1522" s="115"/>
      <c r="AO1522" s="116"/>
      <c r="AP1522" s="116"/>
      <c r="AQ1522" s="116"/>
      <c r="AR1522" s="116"/>
      <c r="AS1522" s="116"/>
      <c r="AT1522" s="116"/>
      <c r="AU1522" s="116"/>
      <c r="AV1522" s="78"/>
      <c r="AW1522" s="102"/>
      <c r="AX1522" s="78"/>
      <c r="AY1522" s="78"/>
      <c r="AZ1522" s="78"/>
      <c r="BA1522" s="78"/>
      <c r="BB1522" s="78"/>
      <c r="BC1522" s="78"/>
      <c r="BD1522" s="78"/>
      <c r="BE1522" s="465"/>
      <c r="BF1522" s="165" t="str">
        <f t="shared" si="1099"/>
        <v>https://www.google.com/search?tbm=isch&amp;q=7%20G6</v>
      </c>
      <c r="BG1522" s="165" t="str">
        <f t="shared" si="1100"/>
        <v>D</v>
      </c>
      <c r="BH1522" s="65"/>
      <c r="BI1522" s="65"/>
      <c r="BJ1522" s="65"/>
      <c r="BK1522" s="65"/>
      <c r="BL1522" s="99"/>
      <c r="BM1522" s="99"/>
      <c r="BN1522" s="99"/>
    </row>
    <row r="1523" spans="1:66" s="51" customFormat="1" ht="16.5" thickBot="1" x14ac:dyDescent="0.3">
      <c r="A1523" s="508" t="s">
        <v>4726</v>
      </c>
      <c r="B1523" s="487"/>
      <c r="C1523" s="707"/>
      <c r="D1523" s="487"/>
      <c r="E1523" s="487"/>
      <c r="F1523" s="488"/>
      <c r="G1523" s="489"/>
      <c r="H1523" s="487"/>
      <c r="I1523" s="490"/>
      <c r="J1523" s="490"/>
      <c r="K1523" s="491"/>
      <c r="L1523" s="547"/>
      <c r="M1523" s="528"/>
      <c r="N1523" s="492"/>
      <c r="O1523" s="493"/>
      <c r="P1523" s="494"/>
      <c r="Q1523" s="492"/>
      <c r="R1523" s="492"/>
      <c r="S1523" s="699" t="s">
        <v>5259</v>
      </c>
      <c r="T1523" s="102">
        <f t="shared" si="1088"/>
        <v>0</v>
      </c>
      <c r="U1523" s="78" t="str">
        <f>IF(NOT(ISNUMBER(G1523)), "", VLOOKUP(A1523,'Discount Lookup'!D:E,2,FALSE)*G1523)</f>
        <v/>
      </c>
      <c r="V1523" s="78" t="str">
        <f>IF(NOT(ISNUMBER(G1523)), "", VLOOKUP(A1523,'Discount Lookup'!G:H,2,FALSE)*G1523)</f>
        <v/>
      </c>
      <c r="W1523" s="102">
        <f t="shared" si="1089"/>
        <v>0</v>
      </c>
      <c r="X1523" s="102">
        <f t="shared" si="1090"/>
        <v>0</v>
      </c>
      <c r="Y1523" s="120" t="b">
        <f t="shared" si="1091"/>
        <v>0</v>
      </c>
      <c r="Z1523" s="117">
        <f t="shared" si="1092"/>
        <v>0</v>
      </c>
      <c r="AA1523" s="118"/>
      <c r="AB1523" s="118" t="str">
        <f t="shared" si="1093"/>
        <v/>
      </c>
      <c r="AC1523" s="712" t="str">
        <f>IF(AE1523="T2G","no charge",IF(AND(OR(PlanterYesMe="No",PlanterYesMe="N",PlanterYesMe="me"),H1523=""),"",IF(H1523="credit","NO install",IF(AND(K1523="",AE1523="me"),"EACH row",IF(AND(K1523="images",AE1523="me"),"EACH row",IF(D1523="","",IF(H1523="credit","",IF(AE1523="free","re-planting",IF(AE1523="me","   not ELP, by",IF(AND(OR(PlanterYesMe="Yes",PlanterYesMe="Y"),G1523&gt;0),(VLOOKUP(A1523,'Discount Lookup'!J:K,2)*G1523*(1-PlanterDiscount)*(1+PlanterDifficultyPercentage)),IF(AE1523="ELP",(VLOOKUP(A1523,'Discount Lookup'!J:K,2)*G1523*(1-PlanterDiscount)*(1+PlanterDifficultyPercentage)),IF(AE1523="free","re-planting",IF(G1523=0,"",IF(PlanterYesMe="",IF(AE1523="me","   not ELP, by",IF(AE1523="",IF(G1523&gt;0,(VLOOKUP(A1523,'Discount Lookup'!J:K,2)*G1523*(1-PlanterDiscount)*(1+PlanterDifficultyPercentage)),""),"")),"   not ELP, by"))))))))))))))</f>
        <v/>
      </c>
      <c r="AD1523" s="712"/>
      <c r="AE1523" s="513" t="str">
        <f t="shared" si="1094"/>
        <v/>
      </c>
      <c r="AF1523" s="713" t="str">
        <f t="shared" si="1095"/>
        <v/>
      </c>
      <c r="AG1523" s="713"/>
      <c r="AH1523" s="713"/>
      <c r="AI1523" s="112">
        <f>IF(H1523="credit",0,IF(AE1523="free",0,IF(AE1523="me",0,IF(G1523&gt;0,(VLOOKUP(A1523,'Discount Lookup'!J:K,2)*G1523),0))))</f>
        <v>0</v>
      </c>
      <c r="AJ1523" s="107" t="str">
        <f t="shared" ca="1" si="1096"/>
        <v/>
      </c>
      <c r="AK1523" s="714" t="str">
        <f t="shared" si="1097"/>
        <v/>
      </c>
      <c r="AL1523" s="714"/>
      <c r="AM1523" s="114" t="str">
        <f t="shared" si="1098"/>
        <v/>
      </c>
      <c r="AN1523" s="115"/>
      <c r="AO1523" s="116"/>
      <c r="AP1523" s="116"/>
      <c r="AQ1523" s="116"/>
      <c r="AR1523" s="116"/>
      <c r="AS1523" s="116"/>
      <c r="AT1523" s="116"/>
      <c r="AU1523" s="116"/>
      <c r="AV1523" s="78"/>
      <c r="AW1523" s="102"/>
      <c r="AX1523" s="78"/>
      <c r="AY1523" s="78"/>
      <c r="AZ1523" s="78"/>
      <c r="BA1523" s="78"/>
      <c r="BB1523" s="78"/>
      <c r="BC1523" s="78"/>
      <c r="BD1523" s="78"/>
      <c r="BE1523" s="465"/>
      <c r="BF1523" s="165" t="str">
        <f t="shared" si="1099"/>
        <v>https://www.google.com/search?tbm=isch&amp;q=Swing%20Low%20jbiwb%20for%20low-growing%2C%20cascading%20habit.%20Small%20Reddish-Maroon%20flowers%20late%20winter%20to%20early%20spring.%20Heat%2Fdrought%20tolerant%20</v>
      </c>
      <c r="BG1523" s="165" t="str">
        <f t="shared" si="1100"/>
        <v>S</v>
      </c>
      <c r="BH1523" s="65"/>
      <c r="BI1523" s="65"/>
      <c r="BJ1523" s="65"/>
      <c r="BK1523" s="65"/>
      <c r="BL1523" s="99"/>
      <c r="BM1523" s="99"/>
      <c r="BN1523" s="99"/>
    </row>
    <row r="1524" spans="1:66" s="51" customFormat="1" ht="18" x14ac:dyDescent="0.25">
      <c r="A1524" s="507" t="s">
        <v>2455</v>
      </c>
      <c r="B1524" s="470"/>
      <c r="C1524" s="706"/>
      <c r="D1524" s="471" t="s">
        <v>5656</v>
      </c>
      <c r="E1524" s="472"/>
      <c r="F1524" s="472"/>
      <c r="G1524" s="472"/>
      <c r="H1524" s="622" t="s">
        <v>1076</v>
      </c>
      <c r="I1524" s="473" t="s">
        <v>431</v>
      </c>
      <c r="J1524" s="472"/>
      <c r="K1524" s="472"/>
      <c r="L1524" s="561"/>
      <c r="M1524" s="698" t="s">
        <v>5246</v>
      </c>
      <c r="N1524" s="692" t="str">
        <f>IF(AND(ISTEXT($A1524), ISERROR($A1524+0)), HYPERLINK($BF1524, "Images"), "")</f>
        <v>Images</v>
      </c>
      <c r="O1524" s="694" t="s">
        <v>5244</v>
      </c>
      <c r="P1524" s="475"/>
      <c r="Q1524" s="476"/>
      <c r="R1524" s="476"/>
      <c r="S1524" s="477"/>
      <c r="T1524" s="102">
        <f t="shared" si="1088"/>
        <v>0</v>
      </c>
      <c r="U1524" s="78" t="str">
        <f>IF(NOT(ISNUMBER(G1524)), "", VLOOKUP(A1524,'Discount Lookup'!D:E,2,FALSE)*G1524)</f>
        <v/>
      </c>
      <c r="V1524" s="78" t="str">
        <f>IF(NOT(ISNUMBER(G1524)), "", VLOOKUP(A1524,'Discount Lookup'!G:H,2,FALSE)*G1524)</f>
        <v/>
      </c>
      <c r="W1524" s="102">
        <f t="shared" si="1089"/>
        <v>0</v>
      </c>
      <c r="X1524" s="102" t="str">
        <f t="shared" si="1090"/>
        <v>Dark Green foliage</v>
      </c>
      <c r="Y1524" s="120" t="b">
        <f t="shared" si="1091"/>
        <v>0</v>
      </c>
      <c r="Z1524" s="117">
        <f t="shared" si="1092"/>
        <v>0</v>
      </c>
      <c r="AA1524" s="118"/>
      <c r="AB1524" s="118" t="str">
        <f t="shared" si="1093"/>
        <v/>
      </c>
      <c r="AC1524" s="712" t="str">
        <f>IF(AE1524="T2G","no charge",IF(AND(OR(PlanterYesMe="No",PlanterYesMe="N",PlanterYesMe="me"),H1524=""),"",IF(H1524="credit","NO install",IF(AND(K1524="",AE1524="me"),"EACH row",IF(AND(K1524="images",AE1524="me"),"EACH row",IF(D1524="","",IF(H1524="credit","",IF(AE1524="free","re-planting",IF(AE1524="me","   not ELP, by",IF(AND(OR(PlanterYesMe="Yes",PlanterYesMe="Y"),G1524&gt;0),(VLOOKUP(A1524,'Discount Lookup'!J:K,2)*G1524*(1-PlanterDiscount)*(1+PlanterDifficultyPercentage)),IF(AE1524="ELP",(VLOOKUP(A1524,'Discount Lookup'!J:K,2)*G1524*(1-PlanterDiscount)*(1+PlanterDifficultyPercentage)),IF(AE1524="free","re-planting",IF(G1524=0,"",IF(PlanterYesMe="",IF(AE1524="me","   not ELP, by",IF(AE1524="",IF(G1524&gt;0,(VLOOKUP(A1524,'Discount Lookup'!J:K,2)*G1524*(1-PlanterDiscount)*(1+PlanterDifficultyPercentage)),""),"")),"   not ELP, by"))))))))))))))</f>
        <v/>
      </c>
      <c r="AD1524" s="712"/>
      <c r="AE1524" s="513" t="str">
        <f t="shared" si="1094"/>
        <v/>
      </c>
      <c r="AF1524" s="713" t="str">
        <f t="shared" si="1095"/>
        <v/>
      </c>
      <c r="AG1524" s="713"/>
      <c r="AH1524" s="713"/>
      <c r="AI1524" s="112">
        <f>IF(H1524="credit",0,IF(AE1524="free",0,IF(AE1524="me",0,IF(G1524&gt;0,(VLOOKUP(A1524,'Discount Lookup'!J:K,2)*G1524),0))))</f>
        <v>0</v>
      </c>
      <c r="AJ1524" s="107" t="str">
        <f t="shared" ca="1" si="1096"/>
        <v/>
      </c>
      <c r="AK1524" s="714" t="str">
        <f t="shared" si="1097"/>
        <v/>
      </c>
      <c r="AL1524" s="714"/>
      <c r="AM1524" s="114" t="str">
        <f t="shared" si="1098"/>
        <v/>
      </c>
      <c r="AN1524" s="115"/>
      <c r="AO1524" s="116"/>
      <c r="AP1524" s="116"/>
      <c r="AQ1524" s="116"/>
      <c r="AR1524" s="116"/>
      <c r="AS1524" s="116"/>
      <c r="AT1524" s="116"/>
      <c r="AU1524" s="116"/>
      <c r="AV1524" s="78"/>
      <c r="AW1524" s="102"/>
      <c r="AX1524" s="78"/>
      <c r="AY1524" s="78"/>
      <c r="AZ1524" s="78"/>
      <c r="BA1524" s="78"/>
      <c r="BB1524" s="78"/>
      <c r="BC1524" s="78"/>
      <c r="BD1524" s="78"/>
      <c r="BE1524" s="465"/>
      <c r="BF1524" s="165" t="str">
        <f t="shared" si="1099"/>
        <v>https://www.google.com/search?tbm=isch&amp;q=Distylium%20%27Vintage%20Jade%27%20PP%2323128%20Vintage%20Jade%C2%AE%20Distylium</v>
      </c>
      <c r="BG1524" s="165" t="str">
        <f t="shared" si="1100"/>
        <v>D</v>
      </c>
      <c r="BH1524" s="65"/>
      <c r="BI1524" s="65"/>
      <c r="BJ1524" s="65"/>
      <c r="BK1524" s="65"/>
      <c r="BL1524" s="99"/>
      <c r="BM1524" s="99"/>
      <c r="BN1524" s="99"/>
    </row>
    <row r="1525" spans="1:66" s="51" customFormat="1" ht="15.75" x14ac:dyDescent="0.25">
      <c r="A1525" s="478">
        <v>3</v>
      </c>
      <c r="B1525" s="479" t="s">
        <v>291</v>
      </c>
      <c r="C1525" s="480" t="s">
        <v>2456</v>
      </c>
      <c r="D1525" s="481" t="s">
        <v>329</v>
      </c>
      <c r="E1525" s="482">
        <v>33.950000000000003</v>
      </c>
      <c r="F1525" s="483" t="s">
        <v>292</v>
      </c>
      <c r="G1525" s="484">
        <v>0</v>
      </c>
      <c r="H1525" s="688" t="str">
        <f>IF(G1525=0,"",IF(F1525="Buy",IF(G1525=1,"plant","plants"),IF(F1525&gt;0.01,"warranty","Error")))</f>
        <v/>
      </c>
      <c r="I1525" s="485">
        <f>IF(H1525="free",0,IF(H1525="credit",((E1525*(F1525))*G1525*-1),IF(F1525="Buy",(E1525*G1525),((E1525*(1-F1525))*G1525))))</f>
        <v>0</v>
      </c>
      <c r="J1525" s="485">
        <f>IF(H1525="warranty",0,(I1525*(_xlfn.SINGLE(SalesTaxPercentage))))</f>
        <v>0</v>
      </c>
      <c r="K1525" s="715">
        <f t="shared" ref="K1525" si="1121">I1525+J1525</f>
        <v>0</v>
      </c>
      <c r="L1525" s="715"/>
      <c r="M1525" s="689" t="str">
        <f ca="1">IF(AND(G1525&gt;0,E1525=0),"WARNING - no PRICE inserted",IF(H1525="free","FREE ~ no charge this plant",IF(H1525="credit",CONCATENATE("-$",ROUND(K1525*(1-_xlfn.SINGLE(T2GDiscount))*-1,2)," CREDIT after discount"),IF(_xlfn.SINGLE(T2GDiscount)=0,"",IF(G1525=0,"",IF(F1525="Buy",CONCATENATE("$",ROUND(K1525*(1-_xlfn.SINGLE(T2GDiscount)),2)," with ",(_xlfn.SINGLE(T2GDiscount)*100),"% discount"),CONCATENATE("$",ROUND(K1525*(1-_xlfn.SINGLE(T2GDiscount)),2)," with ",((_xlfn.SINGLE(T2GDiscount)*100+F1525*100)-(_xlfn.SINGLE(T2GDiscount)*100*F1525)),IF(F1525&gt;0,"% discounts",IF(_xlfn.SINGLE(NoWarrantyDiscount)&gt;0,"% discounts","% discount")))))))))</f>
        <v/>
      </c>
      <c r="N1525" s="690"/>
      <c r="O1525" s="486"/>
      <c r="P1525" s="486"/>
      <c r="Q1525" s="486"/>
      <c r="R1525" s="486"/>
      <c r="S1525" s="486"/>
      <c r="T1525" s="102">
        <f t="shared" si="1088"/>
        <v>0</v>
      </c>
      <c r="U1525" s="78">
        <f>IF(NOT(ISNUMBER(G1525)), "", VLOOKUP(A1525,'Discount Lookup'!D:E,2,FALSE)*G1525)</f>
        <v>0</v>
      </c>
      <c r="V1525" s="78">
        <f>IF(NOT(ISNUMBER(G1525)), "", VLOOKUP(A1525,'Discount Lookup'!G:H,2,FALSE)*G1525)</f>
        <v>0</v>
      </c>
      <c r="W1525" s="102">
        <f t="shared" si="1089"/>
        <v>0</v>
      </c>
      <c r="X1525" s="102">
        <f t="shared" si="1090"/>
        <v>0</v>
      </c>
      <c r="Y1525" s="120" t="b">
        <f t="shared" si="1091"/>
        <v>0</v>
      </c>
      <c r="Z1525" s="117">
        <f t="shared" si="1092"/>
        <v>0</v>
      </c>
      <c r="AA1525" s="118"/>
      <c r="AB1525" s="118" t="str">
        <f t="shared" si="1093"/>
        <v/>
      </c>
      <c r="AC1525" s="712" t="str">
        <f>IF(AE1525="T2G","no charge",IF(AND(OR(PlanterYesMe="No",PlanterYesMe="N",PlanterYesMe="me"),H1525=""),"",IF(H1525="credit","NO install",IF(AND(K1525="",AE1525="me"),"EACH row",IF(AND(K1525="images",AE1525="me"),"EACH row",IF(D1525="","",IF(H1525="credit","",IF(AE1525="free","re-planting",IF(AE1525="me","   not ELP, by",IF(AND(OR(PlanterYesMe="Yes",PlanterYesMe="Y"),G1525&gt;0),(VLOOKUP(A1525,'Discount Lookup'!J:K,2)*G1525*(1-PlanterDiscount)*(1+PlanterDifficultyPercentage)),IF(AE1525="ELP",(VLOOKUP(A1525,'Discount Lookup'!J:K,2)*G1525*(1-PlanterDiscount)*(1+PlanterDifficultyPercentage)),IF(AE1525="free","re-planting",IF(G1525=0,"",IF(PlanterYesMe="",IF(AE1525="me","   not ELP, by",IF(AE1525="",IF(G1525&gt;0,(VLOOKUP(A1525,'Discount Lookup'!J:K,2)*G1525*(1-PlanterDiscount)*(1+PlanterDifficultyPercentage)),""),"")),"   not ELP, by"))))))))))))))</f>
        <v/>
      </c>
      <c r="AD1525" s="712"/>
      <c r="AE1525" s="513" t="str">
        <f t="shared" si="1094"/>
        <v/>
      </c>
      <c r="AF1525" s="713" t="str">
        <f t="shared" si="1095"/>
        <v/>
      </c>
      <c r="AG1525" s="713"/>
      <c r="AH1525" s="713"/>
      <c r="AI1525" s="112">
        <f>IF(H1525="credit",0,IF(AE1525="free",0,IF(AE1525="me",0,IF(G1525&gt;0,(VLOOKUP(A1525,'Discount Lookup'!J:K,2)*G1525),0))))</f>
        <v>0</v>
      </c>
      <c r="AJ1525" s="107" t="str">
        <f t="shared" ca="1" si="1096"/>
        <v/>
      </c>
      <c r="AK1525" s="714" t="str">
        <f t="shared" si="1097"/>
        <v/>
      </c>
      <c r="AL1525" s="714"/>
      <c r="AM1525" s="114" t="str">
        <f t="shared" si="1098"/>
        <v/>
      </c>
      <c r="AN1525" s="115"/>
      <c r="AO1525" s="116"/>
      <c r="AP1525" s="116"/>
      <c r="AQ1525" s="116"/>
      <c r="AR1525" s="116"/>
      <c r="AS1525" s="116"/>
      <c r="AT1525" s="116"/>
      <c r="AU1525" s="116"/>
      <c r="AV1525" s="78"/>
      <c r="AW1525" s="102"/>
      <c r="AX1525" s="78"/>
      <c r="AY1525" s="78"/>
      <c r="AZ1525" s="78"/>
      <c r="BA1525" s="78"/>
      <c r="BB1525" s="78"/>
      <c r="BC1525" s="78"/>
      <c r="BD1525" s="78"/>
      <c r="BE1525" s="465"/>
      <c r="BF1525" s="165" t="str">
        <f t="shared" si="1099"/>
        <v>https://www.google.com/search?tbm=isch&amp;q=3%20G2</v>
      </c>
      <c r="BG1525" s="165" t="str">
        <f t="shared" si="1100"/>
        <v>D</v>
      </c>
      <c r="BH1525" s="65"/>
      <c r="BI1525" s="65"/>
      <c r="BJ1525" s="65"/>
      <c r="BK1525" s="65"/>
      <c r="BL1525" s="99"/>
      <c r="BM1525" s="99"/>
      <c r="BN1525" s="99"/>
    </row>
    <row r="1526" spans="1:66" s="51" customFormat="1" ht="15.75" x14ac:dyDescent="0.25">
      <c r="A1526" s="478">
        <v>3</v>
      </c>
      <c r="B1526" s="479" t="s">
        <v>291</v>
      </c>
      <c r="C1526" s="480" t="s">
        <v>2457</v>
      </c>
      <c r="D1526" s="481" t="s">
        <v>310</v>
      </c>
      <c r="E1526" s="482">
        <v>34.950000000000003</v>
      </c>
      <c r="F1526" s="483" t="s">
        <v>292</v>
      </c>
      <c r="G1526" s="484">
        <v>0</v>
      </c>
      <c r="H1526" s="688" t="str">
        <f>IF(G1526=0,"",IF(F1526="Buy",IF(G1526=1,"plant","plants"),IF(F1526&gt;0.01,"warranty","Error")))</f>
        <v/>
      </c>
      <c r="I1526" s="485">
        <f>IF(H1526="free",0,IF(H1526="credit",((E1526*(F1526))*G1526*-1),IF(F1526="Buy",(E1526*G1526),((E1526*(1-F1526))*G1526))))</f>
        <v>0</v>
      </c>
      <c r="J1526" s="485">
        <f>IF(H1526="warranty",0,(I1526*(_xlfn.SINGLE(SalesTaxPercentage))))</f>
        <v>0</v>
      </c>
      <c r="K1526" s="715">
        <f t="shared" ref="K1526" si="1122">I1526+J1526</f>
        <v>0</v>
      </c>
      <c r="L1526" s="715"/>
      <c r="M1526" s="689" t="str">
        <f ca="1">IF(AND(G1526&gt;0,E1526=0),"WARNING - no PRICE inserted",IF(H1526="free","FREE ~ no charge this plant",IF(H1526="credit",CONCATENATE("-$",ROUND(K1526*(1-_xlfn.SINGLE(T2GDiscount))*-1,2)," CREDIT after discount"),IF(_xlfn.SINGLE(T2GDiscount)=0,"",IF(G1526=0,"",IF(F1526="Buy",CONCATENATE("$",ROUND(K1526*(1-_xlfn.SINGLE(T2GDiscount)),2)," with ",(_xlfn.SINGLE(T2GDiscount)*100),"% discount"),CONCATENATE("$",ROUND(K1526*(1-_xlfn.SINGLE(T2GDiscount)),2)," with ",((_xlfn.SINGLE(T2GDiscount)*100+F1526*100)-(_xlfn.SINGLE(T2GDiscount)*100*F1526)),IF(F1526&gt;0,"% discounts",IF(_xlfn.SINGLE(NoWarrantyDiscount)&gt;0,"% discounts","% discount")))))))))</f>
        <v/>
      </c>
      <c r="N1526" s="690"/>
      <c r="O1526" s="486"/>
      <c r="P1526" s="486"/>
      <c r="Q1526" s="486"/>
      <c r="R1526" s="486"/>
      <c r="S1526" s="486"/>
      <c r="T1526" s="102">
        <f t="shared" si="1088"/>
        <v>0</v>
      </c>
      <c r="U1526" s="78">
        <f>IF(NOT(ISNUMBER(G1526)), "", VLOOKUP(A1526,'Discount Lookup'!D:E,2,FALSE)*G1526)</f>
        <v>0</v>
      </c>
      <c r="V1526" s="78">
        <f>IF(NOT(ISNUMBER(G1526)), "", VLOOKUP(A1526,'Discount Lookup'!G:H,2,FALSE)*G1526)</f>
        <v>0</v>
      </c>
      <c r="W1526" s="102">
        <f t="shared" si="1089"/>
        <v>0</v>
      </c>
      <c r="X1526" s="102">
        <f t="shared" si="1090"/>
        <v>0</v>
      </c>
      <c r="Y1526" s="120" t="b">
        <f t="shared" si="1091"/>
        <v>0</v>
      </c>
      <c r="Z1526" s="117">
        <f t="shared" si="1092"/>
        <v>0</v>
      </c>
      <c r="AA1526" s="118"/>
      <c r="AB1526" s="118" t="str">
        <f t="shared" si="1093"/>
        <v/>
      </c>
      <c r="AC1526" s="712" t="str">
        <f>IF(AE1526="T2G","no charge",IF(AND(OR(PlanterYesMe="No",PlanterYesMe="N",PlanterYesMe="me"),H1526=""),"",IF(H1526="credit","NO install",IF(AND(K1526="",AE1526="me"),"EACH row",IF(AND(K1526="images",AE1526="me"),"EACH row",IF(D1526="","",IF(H1526="credit","",IF(AE1526="free","re-planting",IF(AE1526="me","   not ELP, by",IF(AND(OR(PlanterYesMe="Yes",PlanterYesMe="Y"),G1526&gt;0),(VLOOKUP(A1526,'Discount Lookup'!J:K,2)*G1526*(1-PlanterDiscount)*(1+PlanterDifficultyPercentage)),IF(AE1526="ELP",(VLOOKUP(A1526,'Discount Lookup'!J:K,2)*G1526*(1-PlanterDiscount)*(1+PlanterDifficultyPercentage)),IF(AE1526="free","re-planting",IF(G1526=0,"",IF(PlanterYesMe="",IF(AE1526="me","   not ELP, by",IF(AE1526="",IF(G1526&gt;0,(VLOOKUP(A1526,'Discount Lookup'!J:K,2)*G1526*(1-PlanterDiscount)*(1+PlanterDifficultyPercentage)),""),"")),"   not ELP, by"))))))))))))))</f>
        <v/>
      </c>
      <c r="AD1526" s="712"/>
      <c r="AE1526" s="513" t="str">
        <f t="shared" si="1094"/>
        <v/>
      </c>
      <c r="AF1526" s="713" t="str">
        <f t="shared" si="1095"/>
        <v/>
      </c>
      <c r="AG1526" s="713"/>
      <c r="AH1526" s="713"/>
      <c r="AI1526" s="112">
        <f>IF(H1526="credit",0,IF(AE1526="free",0,IF(AE1526="me",0,IF(G1526&gt;0,(VLOOKUP(A1526,'Discount Lookup'!J:K,2)*G1526),0))))</f>
        <v>0</v>
      </c>
      <c r="AJ1526" s="107" t="str">
        <f t="shared" ca="1" si="1096"/>
        <v/>
      </c>
      <c r="AK1526" s="714" t="str">
        <f t="shared" si="1097"/>
        <v/>
      </c>
      <c r="AL1526" s="714"/>
      <c r="AM1526" s="114" t="str">
        <f t="shared" si="1098"/>
        <v/>
      </c>
      <c r="AN1526" s="115"/>
      <c r="AO1526" s="116"/>
      <c r="AP1526" s="116"/>
      <c r="AQ1526" s="116"/>
      <c r="AR1526" s="116"/>
      <c r="AS1526" s="116"/>
      <c r="AT1526" s="116"/>
      <c r="AU1526" s="116"/>
      <c r="AV1526" s="78"/>
      <c r="AW1526" s="102"/>
      <c r="AX1526" s="78"/>
      <c r="AY1526" s="78"/>
      <c r="AZ1526" s="78"/>
      <c r="BA1526" s="78"/>
      <c r="BB1526" s="78"/>
      <c r="BC1526" s="78"/>
      <c r="BD1526" s="78"/>
      <c r="BE1526" s="465"/>
      <c r="BF1526" s="165" t="str">
        <f t="shared" si="1099"/>
        <v>https://www.google.com/search?tbm=isch&amp;q=3%20G1</v>
      </c>
      <c r="BG1526" s="165" t="str">
        <f t="shared" si="1100"/>
        <v>D</v>
      </c>
      <c r="BH1526" s="65"/>
      <c r="BI1526" s="65"/>
      <c r="BJ1526" s="65"/>
      <c r="BK1526" s="65"/>
      <c r="BL1526" s="99"/>
      <c r="BM1526" s="99"/>
      <c r="BN1526" s="99"/>
    </row>
    <row r="1527" spans="1:66" s="51" customFormat="1" ht="15.75" x14ac:dyDescent="0.25">
      <c r="A1527" s="478">
        <v>3</v>
      </c>
      <c r="B1527" s="479" t="s">
        <v>291</v>
      </c>
      <c r="C1527" s="480" t="s">
        <v>2458</v>
      </c>
      <c r="D1527" s="481" t="s">
        <v>299</v>
      </c>
      <c r="E1527" s="482">
        <v>39.950000000000003</v>
      </c>
      <c r="F1527" s="483" t="s">
        <v>292</v>
      </c>
      <c r="G1527" s="484">
        <v>0</v>
      </c>
      <c r="H1527" s="688" t="str">
        <f>IF(G1527=0,"",IF(F1527="Buy",IF(G1527=1,"plant","plants"),IF(F1527&gt;0.01,"warranty","Error")))</f>
        <v/>
      </c>
      <c r="I1527" s="485">
        <f>IF(H1527="free",0,IF(H1527="credit",((E1527*(F1527))*G1527*-1),IF(F1527="Buy",(E1527*G1527),((E1527*(1-F1527))*G1527))))</f>
        <v>0</v>
      </c>
      <c r="J1527" s="485">
        <f>IF(H1527="warranty",0,(I1527*(_xlfn.SINGLE(SalesTaxPercentage))))</f>
        <v>0</v>
      </c>
      <c r="K1527" s="715">
        <f t="shared" ref="K1527" si="1123">I1527+J1527</f>
        <v>0</v>
      </c>
      <c r="L1527" s="715"/>
      <c r="M1527" s="689" t="str">
        <f ca="1">IF(AND(G1527&gt;0,E1527=0),"WARNING - no PRICE inserted",IF(H1527="free","FREE ~ no charge this plant",IF(H1527="credit",CONCATENATE("-$",ROUND(K1527*(1-_xlfn.SINGLE(T2GDiscount))*-1,2)," CREDIT after discount"),IF(_xlfn.SINGLE(T2GDiscount)=0,"",IF(G1527=0,"",IF(F1527="Buy",CONCATENATE("$",ROUND(K1527*(1-_xlfn.SINGLE(T2GDiscount)),2)," with ",(_xlfn.SINGLE(T2GDiscount)*100),"% discount"),CONCATENATE("$",ROUND(K1527*(1-_xlfn.SINGLE(T2GDiscount)),2)," with ",((_xlfn.SINGLE(T2GDiscount)*100+F1527*100)-(_xlfn.SINGLE(T2GDiscount)*100*F1527)),IF(F1527&gt;0,"% discounts",IF(_xlfn.SINGLE(NoWarrantyDiscount)&gt;0,"% discounts","% discount")))))))))</f>
        <v/>
      </c>
      <c r="N1527" s="690"/>
      <c r="O1527" s="486"/>
      <c r="P1527" s="486"/>
      <c r="Q1527" s="486"/>
      <c r="R1527" s="486"/>
      <c r="S1527" s="486"/>
      <c r="T1527" s="102">
        <f t="shared" si="1088"/>
        <v>0</v>
      </c>
      <c r="U1527" s="78">
        <f>IF(NOT(ISNUMBER(G1527)), "", VLOOKUP(A1527,'Discount Lookup'!D:E,2,FALSE)*G1527)</f>
        <v>0</v>
      </c>
      <c r="V1527" s="78">
        <f>IF(NOT(ISNUMBER(G1527)), "", VLOOKUP(A1527,'Discount Lookup'!G:H,2,FALSE)*G1527)</f>
        <v>0</v>
      </c>
      <c r="W1527" s="102">
        <f t="shared" si="1089"/>
        <v>0</v>
      </c>
      <c r="X1527" s="102">
        <f t="shared" si="1090"/>
        <v>0</v>
      </c>
      <c r="Y1527" s="120" t="b">
        <f t="shared" si="1091"/>
        <v>0</v>
      </c>
      <c r="Z1527" s="117">
        <f t="shared" si="1092"/>
        <v>0</v>
      </c>
      <c r="AA1527" s="118"/>
      <c r="AB1527" s="118" t="str">
        <f t="shared" si="1093"/>
        <v/>
      </c>
      <c r="AC1527" s="712" t="str">
        <f>IF(AE1527="T2G","no charge",IF(AND(OR(PlanterYesMe="No",PlanterYesMe="N",PlanterYesMe="me"),H1527=""),"",IF(H1527="credit","NO install",IF(AND(K1527="",AE1527="me"),"EACH row",IF(AND(K1527="images",AE1527="me"),"EACH row",IF(D1527="","",IF(H1527="credit","",IF(AE1527="free","re-planting",IF(AE1527="me","   not ELP, by",IF(AND(OR(PlanterYesMe="Yes",PlanterYesMe="Y"),G1527&gt;0),(VLOOKUP(A1527,'Discount Lookup'!J:K,2)*G1527*(1-PlanterDiscount)*(1+PlanterDifficultyPercentage)),IF(AE1527="ELP",(VLOOKUP(A1527,'Discount Lookup'!J:K,2)*G1527*(1-PlanterDiscount)*(1+PlanterDifficultyPercentage)),IF(AE1527="free","re-planting",IF(G1527=0,"",IF(PlanterYesMe="",IF(AE1527="me","   not ELP, by",IF(AE1527="",IF(G1527&gt;0,(VLOOKUP(A1527,'Discount Lookup'!J:K,2)*G1527*(1-PlanterDiscount)*(1+PlanterDifficultyPercentage)),""),"")),"   not ELP, by"))))))))))))))</f>
        <v/>
      </c>
      <c r="AD1527" s="712"/>
      <c r="AE1527" s="513" t="str">
        <f t="shared" si="1094"/>
        <v/>
      </c>
      <c r="AF1527" s="713" t="str">
        <f t="shared" si="1095"/>
        <v/>
      </c>
      <c r="AG1527" s="713"/>
      <c r="AH1527" s="713"/>
      <c r="AI1527" s="112">
        <f>IF(H1527="credit",0,IF(AE1527="free",0,IF(AE1527="me",0,IF(G1527&gt;0,(VLOOKUP(A1527,'Discount Lookup'!J:K,2)*G1527),0))))</f>
        <v>0</v>
      </c>
      <c r="AJ1527" s="107" t="str">
        <f t="shared" ca="1" si="1096"/>
        <v/>
      </c>
      <c r="AK1527" s="714" t="str">
        <f t="shared" si="1097"/>
        <v/>
      </c>
      <c r="AL1527" s="714"/>
      <c r="AM1527" s="114" t="str">
        <f t="shared" si="1098"/>
        <v/>
      </c>
      <c r="AN1527" s="115"/>
      <c r="AO1527" s="116"/>
      <c r="AP1527" s="116"/>
      <c r="AQ1527" s="116"/>
      <c r="AR1527" s="116"/>
      <c r="AS1527" s="116"/>
      <c r="AT1527" s="116"/>
      <c r="AU1527" s="116"/>
      <c r="AV1527" s="78"/>
      <c r="AW1527" s="102"/>
      <c r="AX1527" s="78"/>
      <c r="AY1527" s="78"/>
      <c r="AZ1527" s="78"/>
      <c r="BA1527" s="78"/>
      <c r="BB1527" s="78"/>
      <c r="BC1527" s="78"/>
      <c r="BD1527" s="78"/>
      <c r="BE1527" s="465"/>
      <c r="BF1527" s="165" t="str">
        <f t="shared" si="1099"/>
        <v>https://www.google.com/search?tbm=isch&amp;q=3%20G4</v>
      </c>
      <c r="BG1527" s="165" t="str">
        <f t="shared" si="1100"/>
        <v>D</v>
      </c>
      <c r="BH1527" s="65"/>
      <c r="BI1527" s="65"/>
      <c r="BJ1527" s="65"/>
      <c r="BK1527" s="65"/>
      <c r="BL1527" s="99"/>
      <c r="BM1527" s="99"/>
      <c r="BN1527" s="99"/>
    </row>
    <row r="1528" spans="1:66" s="51" customFormat="1" ht="27" x14ac:dyDescent="0.25">
      <c r="A1528" s="478">
        <v>15</v>
      </c>
      <c r="B1528" s="479" t="s">
        <v>291</v>
      </c>
      <c r="C1528" s="480" t="s">
        <v>2459</v>
      </c>
      <c r="D1528" s="481" t="s">
        <v>299</v>
      </c>
      <c r="E1528" s="482">
        <v>160.94999999999999</v>
      </c>
      <c r="F1528" s="483" t="s">
        <v>292</v>
      </c>
      <c r="G1528" s="484">
        <v>0</v>
      </c>
      <c r="H1528" s="688" t="str">
        <f>IF(G1528=0,"",IF(F1528="Buy",IF(G1528=1,"plant","plants"),IF(F1528&gt;0.01,"warranty","Error")))</f>
        <v/>
      </c>
      <c r="I1528" s="485">
        <f>IF(H1528="free",0,IF(H1528="credit",((E1528*(F1528))*G1528*-1),IF(F1528="Buy",(E1528*G1528),((E1528*(1-F1528))*G1528))))</f>
        <v>0</v>
      </c>
      <c r="J1528" s="485">
        <f>IF(H1528="warranty",0,(I1528*(_xlfn.SINGLE(SalesTaxPercentage))))</f>
        <v>0</v>
      </c>
      <c r="K1528" s="715">
        <f t="shared" ref="K1528" si="1124">I1528+J1528</f>
        <v>0</v>
      </c>
      <c r="L1528" s="715"/>
      <c r="M1528" s="689" t="str">
        <f ca="1">IF(AND(G1528&gt;0,E1528=0),"WARNING - no PRICE inserted",IF(H1528="free","FREE ~ no charge this plant",IF(H1528="credit",CONCATENATE("-$",ROUND(K1528*(1-_xlfn.SINGLE(T2GDiscount))*-1,2)," CREDIT after discount"),IF(_xlfn.SINGLE(T2GDiscount)=0,"",IF(G1528=0,"",IF(F1528="Buy",CONCATENATE("$",ROUND(K1528*(1-_xlfn.SINGLE(T2GDiscount)),2)," with ",(_xlfn.SINGLE(T2GDiscount)*100),"% discount"),CONCATENATE("$",ROUND(K1528*(1-_xlfn.SINGLE(T2GDiscount)),2)," with ",((_xlfn.SINGLE(T2GDiscount)*100+F1528*100)-(_xlfn.SINGLE(T2GDiscount)*100*F1528)),IF(F1528&gt;0,"% discounts",IF(_xlfn.SINGLE(NoWarrantyDiscount)&gt;0,"% discounts","% discount")))))))))</f>
        <v/>
      </c>
      <c r="N1528" s="690"/>
      <c r="O1528" s="486"/>
      <c r="P1528" s="486"/>
      <c r="Q1528" s="486"/>
      <c r="R1528" s="486"/>
      <c r="S1528" s="486"/>
      <c r="T1528" s="102">
        <f t="shared" si="1088"/>
        <v>0</v>
      </c>
      <c r="U1528" s="78">
        <f>IF(NOT(ISNUMBER(G1528)), "", VLOOKUP(A1528,'Discount Lookup'!D:E,2,FALSE)*G1528)</f>
        <v>0</v>
      </c>
      <c r="V1528" s="78">
        <f>IF(NOT(ISNUMBER(G1528)), "", VLOOKUP(A1528,'Discount Lookup'!G:H,2,FALSE)*G1528)</f>
        <v>0</v>
      </c>
      <c r="W1528" s="102">
        <f t="shared" si="1089"/>
        <v>0</v>
      </c>
      <c r="X1528" s="102">
        <f t="shared" si="1090"/>
        <v>0</v>
      </c>
      <c r="Y1528" s="120" t="b">
        <f t="shared" si="1091"/>
        <v>0</v>
      </c>
      <c r="Z1528" s="117">
        <f t="shared" si="1092"/>
        <v>0</v>
      </c>
      <c r="AA1528" s="118"/>
      <c r="AB1528" s="118" t="str">
        <f t="shared" si="1093"/>
        <v/>
      </c>
      <c r="AC1528" s="712" t="str">
        <f>IF(AE1528="T2G","no charge",IF(AND(OR(PlanterYesMe="No",PlanterYesMe="N",PlanterYesMe="me"),H1528=""),"",IF(H1528="credit","NO install",IF(AND(K1528="",AE1528="me"),"EACH row",IF(AND(K1528="images",AE1528="me"),"EACH row",IF(D1528="","",IF(H1528="credit","",IF(AE1528="free","re-planting",IF(AE1528="me","   not ELP, by",IF(AND(OR(PlanterYesMe="Yes",PlanterYesMe="Y"),G1528&gt;0),(VLOOKUP(A1528,'Discount Lookup'!J:K,2)*G1528*(1-PlanterDiscount)*(1+PlanterDifficultyPercentage)),IF(AE1528="ELP",(VLOOKUP(A1528,'Discount Lookup'!J:K,2)*G1528*(1-PlanterDiscount)*(1+PlanterDifficultyPercentage)),IF(AE1528="free","re-planting",IF(G1528=0,"",IF(PlanterYesMe="",IF(AE1528="me","   not ELP, by",IF(AE1528="",IF(G1528&gt;0,(VLOOKUP(A1528,'Discount Lookup'!J:K,2)*G1528*(1-PlanterDiscount)*(1+PlanterDifficultyPercentage)),""),"")),"   not ELP, by"))))))))))))))</f>
        <v/>
      </c>
      <c r="AD1528" s="712"/>
      <c r="AE1528" s="513" t="str">
        <f t="shared" si="1094"/>
        <v/>
      </c>
      <c r="AF1528" s="713" t="str">
        <f t="shared" si="1095"/>
        <v/>
      </c>
      <c r="AG1528" s="713"/>
      <c r="AH1528" s="713"/>
      <c r="AI1528" s="112">
        <f>IF(H1528="credit",0,IF(AE1528="free",0,IF(AE1528="me",0,IF(G1528&gt;0,(VLOOKUP(A1528,'Discount Lookup'!J:K,2)*G1528),0))))</f>
        <v>0</v>
      </c>
      <c r="AJ1528" s="107" t="str">
        <f t="shared" ca="1" si="1096"/>
        <v/>
      </c>
      <c r="AK1528" s="714" t="str">
        <f t="shared" si="1097"/>
        <v/>
      </c>
      <c r="AL1528" s="714"/>
      <c r="AM1528" s="114" t="str">
        <f t="shared" si="1098"/>
        <v/>
      </c>
      <c r="AN1528" s="115"/>
      <c r="AO1528" s="116"/>
      <c r="AP1528" s="116"/>
      <c r="AQ1528" s="116"/>
      <c r="AR1528" s="116"/>
      <c r="AS1528" s="116"/>
      <c r="AT1528" s="116"/>
      <c r="AU1528" s="116"/>
      <c r="AV1528" s="78"/>
      <c r="AW1528" s="102"/>
      <c r="AX1528" s="78"/>
      <c r="AY1528" s="78"/>
      <c r="AZ1528" s="78"/>
      <c r="BA1528" s="78"/>
      <c r="BB1528" s="78"/>
      <c r="BC1528" s="78"/>
      <c r="BD1528" s="78"/>
      <c r="BE1528" s="465"/>
      <c r="BF1528" s="165" t="str">
        <f t="shared" si="1099"/>
        <v>https://www.google.com/search?tbm=isch&amp;q=15%20G4</v>
      </c>
      <c r="BG1528" s="165" t="str">
        <f t="shared" si="1100"/>
        <v>D</v>
      </c>
      <c r="BH1528" s="65"/>
      <c r="BI1528" s="65"/>
      <c r="BJ1528" s="65"/>
      <c r="BK1528" s="65"/>
      <c r="BL1528" s="99"/>
      <c r="BM1528" s="99"/>
      <c r="BN1528" s="99"/>
    </row>
    <row r="1529" spans="1:66" s="51" customFormat="1" ht="15.75" x14ac:dyDescent="0.25">
      <c r="A1529" s="508" t="s">
        <v>4727</v>
      </c>
      <c r="B1529" s="487"/>
      <c r="C1529" s="707"/>
      <c r="D1529" s="487"/>
      <c r="E1529" s="487"/>
      <c r="F1529" s="488"/>
      <c r="G1529" s="489"/>
      <c r="H1529" s="487"/>
      <c r="I1529" s="490"/>
      <c r="J1529" s="490"/>
      <c r="K1529" s="491"/>
      <c r="L1529" s="547"/>
      <c r="M1529" s="528"/>
      <c r="N1529" s="492"/>
      <c r="O1529" s="493"/>
      <c r="P1529" s="494"/>
      <c r="Q1529" s="492"/>
      <c r="R1529" s="492"/>
      <c r="S1529" s="699" t="s">
        <v>5259</v>
      </c>
      <c r="T1529" s="102">
        <f t="shared" si="1088"/>
        <v>0</v>
      </c>
      <c r="U1529" s="78" t="str">
        <f>IF(NOT(ISNUMBER(G1529)), "", VLOOKUP(A1529,'Discount Lookup'!D:E,2,FALSE)*G1529)</f>
        <v/>
      </c>
      <c r="V1529" s="78" t="str">
        <f>IF(NOT(ISNUMBER(G1529)), "", VLOOKUP(A1529,'Discount Lookup'!G:H,2,FALSE)*G1529)</f>
        <v/>
      </c>
      <c r="W1529" s="102">
        <f t="shared" si="1089"/>
        <v>0</v>
      </c>
      <c r="X1529" s="102">
        <f t="shared" si="1090"/>
        <v>0</v>
      </c>
      <c r="Y1529" s="120" t="b">
        <f t="shared" si="1091"/>
        <v>0</v>
      </c>
      <c r="Z1529" s="117">
        <f t="shared" si="1092"/>
        <v>0</v>
      </c>
      <c r="AA1529" s="118"/>
      <c r="AB1529" s="118" t="str">
        <f t="shared" si="1093"/>
        <v/>
      </c>
      <c r="AC1529" s="712" t="str">
        <f>IF(AE1529="T2G","no charge",IF(AND(OR(PlanterYesMe="No",PlanterYesMe="N",PlanterYesMe="me"),H1529=""),"",IF(H1529="credit","NO install",IF(AND(K1529="",AE1529="me"),"EACH row",IF(AND(K1529="images",AE1529="me"),"EACH row",IF(D1529="","",IF(H1529="credit","",IF(AE1529="free","re-planting",IF(AE1529="me","   not ELP, by",IF(AND(OR(PlanterYesMe="Yes",PlanterYesMe="Y"),G1529&gt;0),(VLOOKUP(A1529,'Discount Lookup'!J:K,2)*G1529*(1-PlanterDiscount)*(1+PlanterDifficultyPercentage)),IF(AE1529="ELP",(VLOOKUP(A1529,'Discount Lookup'!J:K,2)*G1529*(1-PlanterDiscount)*(1+PlanterDifficultyPercentage)),IF(AE1529="free","re-planting",IF(G1529=0,"",IF(PlanterYesMe="",IF(AE1529="me","   not ELP, by",IF(AE1529="",IF(G1529&gt;0,(VLOOKUP(A1529,'Discount Lookup'!J:K,2)*G1529*(1-PlanterDiscount)*(1+PlanterDifficultyPercentage)),""),"")),"   not ELP, by"))))))))))))))</f>
        <v/>
      </c>
      <c r="AD1529" s="712"/>
      <c r="AE1529" s="513" t="str">
        <f t="shared" si="1094"/>
        <v/>
      </c>
      <c r="AF1529" s="713" t="str">
        <f t="shared" si="1095"/>
        <v/>
      </c>
      <c r="AG1529" s="713"/>
      <c r="AH1529" s="713"/>
      <c r="AI1529" s="112">
        <f>IF(H1529="credit",0,IF(AE1529="free",0,IF(AE1529="me",0,IF(G1529&gt;0,(VLOOKUP(A1529,'Discount Lookup'!J:K,2)*G1529),0))))</f>
        <v>0</v>
      </c>
      <c r="AJ1529" s="107" t="str">
        <f t="shared" ca="1" si="1096"/>
        <v/>
      </c>
      <c r="AK1529" s="714" t="str">
        <f t="shared" si="1097"/>
        <v/>
      </c>
      <c r="AL1529" s="714"/>
      <c r="AM1529" s="114" t="str">
        <f t="shared" si="1098"/>
        <v/>
      </c>
      <c r="AN1529" s="115"/>
      <c r="AO1529" s="116"/>
      <c r="AP1529" s="116"/>
      <c r="AQ1529" s="116"/>
      <c r="AR1529" s="116"/>
      <c r="AS1529" s="116"/>
      <c r="AT1529" s="116"/>
      <c r="AU1529" s="116"/>
      <c r="AV1529" s="78"/>
      <c r="AW1529" s="102"/>
      <c r="AX1529" s="78"/>
      <c r="AY1529" s="78"/>
      <c r="AZ1529" s="78"/>
      <c r="BA1529" s="78"/>
      <c r="BB1529" s="78"/>
      <c r="BC1529" s="78"/>
      <c r="BD1529" s="78"/>
      <c r="BE1529" s="465"/>
      <c r="BF1529" s="165" t="str">
        <f t="shared" si="1099"/>
        <v>https://www.google.com/search?tbm=isch&amp;q=Vintage%20Jade%20offers%20a%20layered%2C%20spreading%20habit%20with%20subtle%20Maroon%20winter%20blooms.%20Heat%20and%20drought%20tolerant%20</v>
      </c>
      <c r="BG1529" s="165" t="str">
        <f t="shared" si="1100"/>
        <v>V</v>
      </c>
      <c r="BH1529" s="65"/>
      <c r="BI1529" s="65"/>
      <c r="BJ1529" s="65"/>
      <c r="BK1529" s="65"/>
      <c r="BL1529" s="99"/>
      <c r="BM1529" s="99"/>
      <c r="BN1529" s="99"/>
    </row>
    <row r="1530" spans="1:66" s="51" customFormat="1" ht="19.5" thickBot="1" x14ac:dyDescent="0.3">
      <c r="A1530" s="686" t="s">
        <v>425</v>
      </c>
      <c r="B1530" s="73"/>
      <c r="C1530" s="708"/>
      <c r="D1530" s="73"/>
      <c r="E1530" s="73"/>
      <c r="F1530" s="496"/>
      <c r="G1530" s="73"/>
      <c r="H1530" s="73"/>
      <c r="I1530" s="73"/>
      <c r="J1530" s="497" t="s">
        <v>357</v>
      </c>
      <c r="K1530" s="498"/>
      <c r="L1530" s="562"/>
      <c r="M1530" s="73"/>
      <c r="N1530"/>
      <c r="O1530"/>
      <c r="P1530"/>
      <c r="Q1530"/>
      <c r="R1530"/>
      <c r="S1530"/>
      <c r="T1530" s="102">
        <f t="shared" si="1088"/>
        <v>0</v>
      </c>
      <c r="U1530" s="78" t="str">
        <f>IF(NOT(ISNUMBER(G1530)), "", VLOOKUP(A1530,'Discount Lookup'!D:E,2,FALSE)*G1530)</f>
        <v/>
      </c>
      <c r="V1530" s="78" t="str">
        <f>IF(NOT(ISNUMBER(G1530)), "", VLOOKUP(A1530,'Discount Lookup'!G:H,2,FALSE)*G1530)</f>
        <v/>
      </c>
      <c r="W1530" s="102">
        <f t="shared" si="1089"/>
        <v>0</v>
      </c>
      <c r="X1530" s="102">
        <f t="shared" si="1090"/>
        <v>0</v>
      </c>
      <c r="Y1530" s="120" t="b">
        <f t="shared" si="1091"/>
        <v>0</v>
      </c>
      <c r="Z1530" s="117">
        <f t="shared" si="1092"/>
        <v>0</v>
      </c>
      <c r="AA1530" s="118"/>
      <c r="AB1530" s="118" t="str">
        <f t="shared" si="1093"/>
        <v/>
      </c>
      <c r="AC1530" s="712" t="str">
        <f>IF(AE1530="T2G","no charge",IF(AND(OR(PlanterYesMe="No",PlanterYesMe="N",PlanterYesMe="me"),H1530=""),"",IF(H1530="credit","NO install",IF(AND(K1530="",AE1530="me"),"EACH row",IF(AND(K1530="images",AE1530="me"),"EACH row",IF(D1530="","",IF(H1530="credit","",IF(AE1530="free","re-planting",IF(AE1530="me","   not ELP, by",IF(AND(OR(PlanterYesMe="Yes",PlanterYesMe="Y"),G1530&gt;0),(VLOOKUP(A1530,'Discount Lookup'!J:K,2)*G1530*(1-PlanterDiscount)*(1+PlanterDifficultyPercentage)),IF(AE1530="ELP",(VLOOKUP(A1530,'Discount Lookup'!J:K,2)*G1530*(1-PlanterDiscount)*(1+PlanterDifficultyPercentage)),IF(AE1530="free","re-planting",IF(G1530=0,"",IF(PlanterYesMe="",IF(AE1530="me","   not ELP, by",IF(AE1530="",IF(G1530&gt;0,(VLOOKUP(A1530,'Discount Lookup'!J:K,2)*G1530*(1-PlanterDiscount)*(1+PlanterDifficultyPercentage)),""),"")),"   not ELP, by"))))))))))))))</f>
        <v/>
      </c>
      <c r="AD1530" s="712"/>
      <c r="AE1530" s="513" t="str">
        <f t="shared" si="1094"/>
        <v/>
      </c>
      <c r="AF1530" s="713" t="str">
        <f t="shared" si="1095"/>
        <v/>
      </c>
      <c r="AG1530" s="713"/>
      <c r="AH1530" s="713"/>
      <c r="AI1530" s="112">
        <f>IF(H1530="credit",0,IF(AE1530="free",0,IF(AE1530="me",0,IF(G1530&gt;0,(VLOOKUP(A1530,'Discount Lookup'!J:K,2)*G1530),0))))</f>
        <v>0</v>
      </c>
      <c r="AJ1530" s="107" t="str">
        <f t="shared" ca="1" si="1096"/>
        <v/>
      </c>
      <c r="AK1530" s="714" t="str">
        <f t="shared" si="1097"/>
        <v/>
      </c>
      <c r="AL1530" s="714"/>
      <c r="AM1530" s="114" t="str">
        <f t="shared" si="1098"/>
        <v/>
      </c>
      <c r="AN1530" s="115"/>
      <c r="AO1530" s="116"/>
      <c r="AP1530" s="116"/>
      <c r="AQ1530" s="116"/>
      <c r="AR1530" s="116"/>
      <c r="AS1530" s="116"/>
      <c r="AT1530" s="116"/>
      <c r="AU1530" s="116"/>
      <c r="AV1530" s="78"/>
      <c r="AW1530" s="102"/>
      <c r="AX1530" s="78"/>
      <c r="AY1530" s="78"/>
      <c r="AZ1530" s="78"/>
      <c r="BA1530" s="78"/>
      <c r="BB1530" s="78"/>
      <c r="BC1530" s="78"/>
      <c r="BD1530" s="78"/>
      <c r="BE1530" s="465"/>
      <c r="BF1530" s="165" t="str">
        <f t="shared" si="1099"/>
        <v>https://www.google.com/search?tbm=isch&amp;q=Dryopteris%20%3D%20Autumn%20Fern%20</v>
      </c>
      <c r="BG1530" s="165" t="str">
        <f t="shared" si="1100"/>
        <v>D</v>
      </c>
      <c r="BH1530" s="65"/>
      <c r="BI1530" s="65"/>
      <c r="BJ1530" s="65"/>
      <c r="BK1530" s="65"/>
      <c r="BL1530" s="99"/>
      <c r="BM1530" s="99"/>
      <c r="BN1530" s="99"/>
    </row>
    <row r="1531" spans="1:66" s="51" customFormat="1" ht="18" x14ac:dyDescent="0.25">
      <c r="A1531" s="507" t="s">
        <v>2460</v>
      </c>
      <c r="B1531" s="470"/>
      <c r="C1531" s="706"/>
      <c r="D1531" s="471" t="s">
        <v>2461</v>
      </c>
      <c r="E1531" s="472"/>
      <c r="F1531" s="472"/>
      <c r="G1531" s="472"/>
      <c r="H1531" s="622" t="s">
        <v>2462</v>
      </c>
      <c r="I1531" s="473" t="s">
        <v>2463</v>
      </c>
      <c r="J1531" s="472"/>
      <c r="K1531" s="472"/>
      <c r="L1531" s="561"/>
      <c r="M1531" s="703" t="s">
        <v>5260</v>
      </c>
      <c r="N1531" s="692" t="str">
        <f>IF(AND(ISTEXT($A1531), ISERROR($A1531+0)), HYPERLINK($BF1531, "Images"), "")</f>
        <v>Images</v>
      </c>
      <c r="O1531" s="694" t="s">
        <v>5244</v>
      </c>
      <c r="P1531" s="475"/>
      <c r="Q1531" s="476"/>
      <c r="R1531" s="476"/>
      <c r="S1531" s="477"/>
      <c r="T1531" s="102">
        <f t="shared" si="1088"/>
        <v>0</v>
      </c>
      <c r="U1531" s="78" t="str">
        <f>IF(NOT(ISNUMBER(G1531)), "", VLOOKUP(A1531,'Discount Lookup'!D:E,2,FALSE)*G1531)</f>
        <v/>
      </c>
      <c r="V1531" s="78" t="str">
        <f>IF(NOT(ISNUMBER(G1531)), "", VLOOKUP(A1531,'Discount Lookup'!G:H,2,FALSE)*G1531)</f>
        <v/>
      </c>
      <c r="W1531" s="102">
        <f t="shared" si="1089"/>
        <v>0</v>
      </c>
      <c r="X1531" s="102" t="str">
        <f t="shared" si="1090"/>
        <v>Dark Green fronds</v>
      </c>
      <c r="Y1531" s="120" t="b">
        <f t="shared" si="1091"/>
        <v>0</v>
      </c>
      <c r="Z1531" s="117">
        <f t="shared" si="1092"/>
        <v>0</v>
      </c>
      <c r="AA1531" s="118"/>
      <c r="AB1531" s="118" t="str">
        <f t="shared" si="1093"/>
        <v/>
      </c>
      <c r="AC1531" s="712" t="str">
        <f>IF(AE1531="T2G","no charge",IF(AND(OR(PlanterYesMe="No",PlanterYesMe="N",PlanterYesMe="me"),H1531=""),"",IF(H1531="credit","NO install",IF(AND(K1531="",AE1531="me"),"EACH row",IF(AND(K1531="images",AE1531="me"),"EACH row",IF(D1531="","",IF(H1531="credit","",IF(AE1531="free","re-planting",IF(AE1531="me","   not ELP, by",IF(AND(OR(PlanterYesMe="Yes",PlanterYesMe="Y"),G1531&gt;0),(VLOOKUP(A1531,'Discount Lookup'!J:K,2)*G1531*(1-PlanterDiscount)*(1+PlanterDifficultyPercentage)),IF(AE1531="ELP",(VLOOKUP(A1531,'Discount Lookup'!J:K,2)*G1531*(1-PlanterDiscount)*(1+PlanterDifficultyPercentage)),IF(AE1531="free","re-planting",IF(G1531=0,"",IF(PlanterYesMe="",IF(AE1531="me","   not ELP, by",IF(AE1531="",IF(G1531&gt;0,(VLOOKUP(A1531,'Discount Lookup'!J:K,2)*G1531*(1-PlanterDiscount)*(1+PlanterDifficultyPercentage)),""),"")),"   not ELP, by"))))))))))))))</f>
        <v/>
      </c>
      <c r="AD1531" s="712"/>
      <c r="AE1531" s="513" t="str">
        <f t="shared" si="1094"/>
        <v/>
      </c>
      <c r="AF1531" s="713" t="str">
        <f t="shared" si="1095"/>
        <v/>
      </c>
      <c r="AG1531" s="713"/>
      <c r="AH1531" s="713"/>
      <c r="AI1531" s="112">
        <f>IF(H1531="credit",0,IF(AE1531="free",0,IF(AE1531="me",0,IF(G1531&gt;0,(VLOOKUP(A1531,'Discount Lookup'!J:K,2)*G1531),0))))</f>
        <v>0</v>
      </c>
      <c r="AJ1531" s="107" t="str">
        <f t="shared" ca="1" si="1096"/>
        <v/>
      </c>
      <c r="AK1531" s="714" t="str">
        <f t="shared" si="1097"/>
        <v/>
      </c>
      <c r="AL1531" s="714"/>
      <c r="AM1531" s="114" t="str">
        <f t="shared" si="1098"/>
        <v/>
      </c>
      <c r="AN1531" s="115"/>
      <c r="AO1531" s="116"/>
      <c r="AP1531" s="116"/>
      <c r="AQ1531" s="116"/>
      <c r="AR1531" s="116"/>
      <c r="AS1531" s="116"/>
      <c r="AT1531" s="116"/>
      <c r="AU1531" s="116"/>
      <c r="AV1531" s="78"/>
      <c r="AW1531" s="102"/>
      <c r="AX1531" s="78"/>
      <c r="AY1531" s="78"/>
      <c r="AZ1531" s="78"/>
      <c r="BA1531" s="78"/>
      <c r="BB1531" s="78"/>
      <c r="BC1531" s="78"/>
      <c r="BD1531" s="78"/>
      <c r="BE1531" s="465"/>
      <c r="BF1531" s="165" t="str">
        <f t="shared" si="1099"/>
        <v>https://www.google.com/search?tbm=isch&amp;q=Dryopteris%20erythrosora%20Autumn%20Fern</v>
      </c>
      <c r="BG1531" s="165" t="str">
        <f t="shared" si="1100"/>
        <v>D</v>
      </c>
      <c r="BH1531" s="65"/>
      <c r="BI1531" s="65"/>
      <c r="BJ1531" s="65"/>
      <c r="BK1531" s="65"/>
      <c r="BL1531" s="99"/>
      <c r="BM1531" s="99"/>
      <c r="BN1531" s="99"/>
    </row>
    <row r="1532" spans="1:66" s="51" customFormat="1" ht="15.75" x14ac:dyDescent="0.25">
      <c r="A1532" s="478">
        <v>1</v>
      </c>
      <c r="B1532" s="479" t="s">
        <v>291</v>
      </c>
      <c r="C1532" s="480"/>
      <c r="D1532" s="481" t="s">
        <v>310</v>
      </c>
      <c r="E1532" s="482">
        <v>11.95</v>
      </c>
      <c r="F1532" s="483" t="s">
        <v>292</v>
      </c>
      <c r="G1532" s="484">
        <v>0</v>
      </c>
      <c r="H1532" s="688" t="str">
        <f>IF(G1532=0,"",IF(F1532="Buy",IF(G1532=1,"plant","plants"),IF(F1532&gt;0.01,"warranty","Error")))</f>
        <v/>
      </c>
      <c r="I1532" s="485">
        <f>IF(H1532="free",0,IF(H1532="credit",((E1532*(F1532))*G1532*-1),IF(F1532="Buy",(E1532*G1532),((E1532*(1-F1532))*G1532))))</f>
        <v>0</v>
      </c>
      <c r="J1532" s="485">
        <f>IF(H1532="warranty",0,(I1532*(_xlfn.SINGLE(SalesTaxPercentage))))</f>
        <v>0</v>
      </c>
      <c r="K1532" s="715">
        <f t="shared" ref="K1532" si="1125">I1532+J1532</f>
        <v>0</v>
      </c>
      <c r="L1532" s="715"/>
      <c r="M1532" s="689" t="str">
        <f ca="1">IF(AND(G1532&gt;0,E1532=0),"WARNING - no PRICE inserted",IF(H1532="free","FREE ~ no charge this plant",IF(H1532="credit",CONCATENATE("-$",ROUND(K1532*(1-_xlfn.SINGLE(T2GDiscount))*-1,2)," CREDIT after discount"),IF(_xlfn.SINGLE(T2GDiscount)=0,"",IF(G1532=0,"",IF(F1532="Buy",CONCATENATE("$",ROUND(K1532*(1-_xlfn.SINGLE(T2GDiscount)),2)," with ",(_xlfn.SINGLE(T2GDiscount)*100),"% discount"),CONCATENATE("$",ROUND(K1532*(1-_xlfn.SINGLE(T2GDiscount)),2)," with ",((_xlfn.SINGLE(T2GDiscount)*100+F1532*100)-(_xlfn.SINGLE(T2GDiscount)*100*F1532)),IF(F1532&gt;0,"% discounts",IF(_xlfn.SINGLE(NoWarrantyDiscount)&gt;0,"% discounts","% discount")))))))))</f>
        <v/>
      </c>
      <c r="N1532" s="690"/>
      <c r="O1532" s="486"/>
      <c r="P1532" s="486"/>
      <c r="Q1532" s="486"/>
      <c r="R1532" s="486"/>
      <c r="S1532" s="486"/>
      <c r="T1532" s="102">
        <f t="shared" si="1088"/>
        <v>0</v>
      </c>
      <c r="U1532" s="78">
        <f>IF(NOT(ISNUMBER(G1532)), "", VLOOKUP(A1532,'Discount Lookup'!D:E,2,FALSE)*G1532)</f>
        <v>0</v>
      </c>
      <c r="V1532" s="78">
        <f>IF(NOT(ISNUMBER(G1532)), "", VLOOKUP(A1532,'Discount Lookup'!G:H,2,FALSE)*G1532)</f>
        <v>0</v>
      </c>
      <c r="W1532" s="102">
        <f t="shared" si="1089"/>
        <v>0</v>
      </c>
      <c r="X1532" s="102">
        <f t="shared" si="1090"/>
        <v>0</v>
      </c>
      <c r="Y1532" s="120" t="b">
        <f t="shared" si="1091"/>
        <v>0</v>
      </c>
      <c r="Z1532" s="117">
        <f t="shared" si="1092"/>
        <v>0</v>
      </c>
      <c r="AA1532" s="118"/>
      <c r="AB1532" s="118" t="str">
        <f t="shared" si="1093"/>
        <v/>
      </c>
      <c r="AC1532" s="712" t="str">
        <f>IF(AE1532="T2G","no charge",IF(AND(OR(PlanterYesMe="No",PlanterYesMe="N",PlanterYesMe="me"),H1532=""),"",IF(H1532="credit","NO install",IF(AND(K1532="",AE1532="me"),"EACH row",IF(AND(K1532="images",AE1532="me"),"EACH row",IF(D1532="","",IF(H1532="credit","",IF(AE1532="free","re-planting",IF(AE1532="me","   not ELP, by",IF(AND(OR(PlanterYesMe="Yes",PlanterYesMe="Y"),G1532&gt;0),(VLOOKUP(A1532,'Discount Lookup'!J:K,2)*G1532*(1-PlanterDiscount)*(1+PlanterDifficultyPercentage)),IF(AE1532="ELP",(VLOOKUP(A1532,'Discount Lookup'!J:K,2)*G1532*(1-PlanterDiscount)*(1+PlanterDifficultyPercentage)),IF(AE1532="free","re-planting",IF(G1532=0,"",IF(PlanterYesMe="",IF(AE1532="me","   not ELP, by",IF(AE1532="",IF(G1532&gt;0,(VLOOKUP(A1532,'Discount Lookup'!J:K,2)*G1532*(1-PlanterDiscount)*(1+PlanterDifficultyPercentage)),""),"")),"   not ELP, by"))))))))))))))</f>
        <v/>
      </c>
      <c r="AD1532" s="712"/>
      <c r="AE1532" s="513" t="str">
        <f t="shared" si="1094"/>
        <v/>
      </c>
      <c r="AF1532" s="713" t="str">
        <f t="shared" si="1095"/>
        <v/>
      </c>
      <c r="AG1532" s="713"/>
      <c r="AH1532" s="713"/>
      <c r="AI1532" s="112">
        <f>IF(H1532="credit",0,IF(AE1532="free",0,IF(AE1532="me",0,IF(G1532&gt;0,(VLOOKUP(A1532,'Discount Lookup'!J:K,2)*G1532),0))))</f>
        <v>0</v>
      </c>
      <c r="AJ1532" s="107" t="str">
        <f t="shared" ca="1" si="1096"/>
        <v/>
      </c>
      <c r="AK1532" s="714" t="str">
        <f t="shared" si="1097"/>
        <v/>
      </c>
      <c r="AL1532" s="714"/>
      <c r="AM1532" s="114" t="str">
        <f t="shared" si="1098"/>
        <v/>
      </c>
      <c r="AN1532" s="115"/>
      <c r="AO1532" s="116"/>
      <c r="AP1532" s="116"/>
      <c r="AQ1532" s="116"/>
      <c r="AR1532" s="116"/>
      <c r="AS1532" s="116"/>
      <c r="AT1532" s="116"/>
      <c r="AU1532" s="116"/>
      <c r="AV1532" s="78"/>
      <c r="AW1532" s="102"/>
      <c r="AX1532" s="78"/>
      <c r="AY1532" s="78"/>
      <c r="AZ1532" s="78"/>
      <c r="BA1532" s="78"/>
      <c r="BB1532" s="78"/>
      <c r="BC1532" s="78"/>
      <c r="BD1532" s="78"/>
      <c r="BE1532" s="465"/>
      <c r="BF1532" s="165" t="str">
        <f t="shared" si="1099"/>
        <v>https://www.google.com/search?tbm=isch&amp;q=1%20G1</v>
      </c>
      <c r="BG1532" s="165" t="str">
        <f t="shared" si="1100"/>
        <v>D</v>
      </c>
      <c r="BH1532" s="65"/>
      <c r="BI1532" s="65"/>
      <c r="BJ1532" s="65"/>
      <c r="BK1532" s="65"/>
      <c r="BL1532" s="99"/>
      <c r="BM1532" s="99"/>
      <c r="BN1532" s="99"/>
    </row>
    <row r="1533" spans="1:66" s="51" customFormat="1" ht="15.75" x14ac:dyDescent="0.25">
      <c r="A1533" s="478">
        <v>3</v>
      </c>
      <c r="B1533" s="479" t="s">
        <v>291</v>
      </c>
      <c r="C1533" s="480" t="s">
        <v>2464</v>
      </c>
      <c r="D1533" s="481" t="s">
        <v>299</v>
      </c>
      <c r="E1533" s="482">
        <v>31.95</v>
      </c>
      <c r="F1533" s="483" t="s">
        <v>292</v>
      </c>
      <c r="G1533" s="484">
        <v>0</v>
      </c>
      <c r="H1533" s="688" t="str">
        <f>IF(G1533=0,"",IF(F1533="Buy",IF(G1533=1,"plant","plants"),IF(F1533&gt;0.01,"warranty","Error")))</f>
        <v/>
      </c>
      <c r="I1533" s="485">
        <f>IF(H1533="free",0,IF(H1533="credit",((E1533*(F1533))*G1533*-1),IF(F1533="Buy",(E1533*G1533),((E1533*(1-F1533))*G1533))))</f>
        <v>0</v>
      </c>
      <c r="J1533" s="485">
        <f>IF(H1533="warranty",0,(I1533*(_xlfn.SINGLE(SalesTaxPercentage))))</f>
        <v>0</v>
      </c>
      <c r="K1533" s="715">
        <f t="shared" ref="K1533" si="1126">I1533+J1533</f>
        <v>0</v>
      </c>
      <c r="L1533" s="715"/>
      <c r="M1533" s="689" t="str">
        <f ca="1">IF(AND(G1533&gt;0,E1533=0),"WARNING - no PRICE inserted",IF(H1533="free","FREE ~ no charge this plant",IF(H1533="credit",CONCATENATE("-$",ROUND(K1533*(1-_xlfn.SINGLE(T2GDiscount))*-1,2)," CREDIT after discount"),IF(_xlfn.SINGLE(T2GDiscount)=0,"",IF(G1533=0,"",IF(F1533="Buy",CONCATENATE("$",ROUND(K1533*(1-_xlfn.SINGLE(T2GDiscount)),2)," with ",(_xlfn.SINGLE(T2GDiscount)*100),"% discount"),CONCATENATE("$",ROUND(K1533*(1-_xlfn.SINGLE(T2GDiscount)),2)," with ",((_xlfn.SINGLE(T2GDiscount)*100+F1533*100)-(_xlfn.SINGLE(T2GDiscount)*100*F1533)),IF(F1533&gt;0,"% discounts",IF(_xlfn.SINGLE(NoWarrantyDiscount)&gt;0,"% discounts","% discount")))))))))</f>
        <v/>
      </c>
      <c r="N1533" s="690"/>
      <c r="O1533" s="486"/>
      <c r="P1533" s="486"/>
      <c r="Q1533" s="486"/>
      <c r="R1533" s="486"/>
      <c r="S1533" s="486"/>
      <c r="T1533" s="102">
        <f t="shared" si="1088"/>
        <v>0</v>
      </c>
      <c r="U1533" s="78">
        <f>IF(NOT(ISNUMBER(G1533)), "", VLOOKUP(A1533,'Discount Lookup'!D:E,2,FALSE)*G1533)</f>
        <v>0</v>
      </c>
      <c r="V1533" s="78">
        <f>IF(NOT(ISNUMBER(G1533)), "", VLOOKUP(A1533,'Discount Lookup'!G:H,2,FALSE)*G1533)</f>
        <v>0</v>
      </c>
      <c r="W1533" s="102">
        <f t="shared" si="1089"/>
        <v>0</v>
      </c>
      <c r="X1533" s="102">
        <f t="shared" si="1090"/>
        <v>0</v>
      </c>
      <c r="Y1533" s="120" t="b">
        <f t="shared" si="1091"/>
        <v>0</v>
      </c>
      <c r="Z1533" s="117">
        <f t="shared" si="1092"/>
        <v>0</v>
      </c>
      <c r="AA1533" s="118"/>
      <c r="AB1533" s="118" t="str">
        <f t="shared" si="1093"/>
        <v/>
      </c>
      <c r="AC1533" s="712" t="str">
        <f>IF(AE1533="T2G","no charge",IF(AND(OR(PlanterYesMe="No",PlanterYesMe="N",PlanterYesMe="me"),H1533=""),"",IF(H1533="credit","NO install",IF(AND(K1533="",AE1533="me"),"EACH row",IF(AND(K1533="images",AE1533="me"),"EACH row",IF(D1533="","",IF(H1533="credit","",IF(AE1533="free","re-planting",IF(AE1533="me","   not ELP, by",IF(AND(OR(PlanterYesMe="Yes",PlanterYesMe="Y"),G1533&gt;0),(VLOOKUP(A1533,'Discount Lookup'!J:K,2)*G1533*(1-PlanterDiscount)*(1+PlanterDifficultyPercentage)),IF(AE1533="ELP",(VLOOKUP(A1533,'Discount Lookup'!J:K,2)*G1533*(1-PlanterDiscount)*(1+PlanterDifficultyPercentage)),IF(AE1533="free","re-planting",IF(G1533=0,"",IF(PlanterYesMe="",IF(AE1533="me","   not ELP, by",IF(AE1533="",IF(G1533&gt;0,(VLOOKUP(A1533,'Discount Lookup'!J:K,2)*G1533*(1-PlanterDiscount)*(1+PlanterDifficultyPercentage)),""),"")),"   not ELP, by"))))))))))))))</f>
        <v/>
      </c>
      <c r="AD1533" s="712"/>
      <c r="AE1533" s="513" t="str">
        <f t="shared" si="1094"/>
        <v/>
      </c>
      <c r="AF1533" s="713" t="str">
        <f t="shared" si="1095"/>
        <v/>
      </c>
      <c r="AG1533" s="713"/>
      <c r="AH1533" s="713"/>
      <c r="AI1533" s="112">
        <f>IF(H1533="credit",0,IF(AE1533="free",0,IF(AE1533="me",0,IF(G1533&gt;0,(VLOOKUP(A1533,'Discount Lookup'!J:K,2)*G1533),0))))</f>
        <v>0</v>
      </c>
      <c r="AJ1533" s="107" t="str">
        <f t="shared" ca="1" si="1096"/>
        <v/>
      </c>
      <c r="AK1533" s="714" t="str">
        <f t="shared" si="1097"/>
        <v/>
      </c>
      <c r="AL1533" s="714"/>
      <c r="AM1533" s="114" t="str">
        <f t="shared" si="1098"/>
        <v/>
      </c>
      <c r="AN1533" s="115"/>
      <c r="AO1533" s="116"/>
      <c r="AP1533" s="116"/>
      <c r="AQ1533" s="116"/>
      <c r="AR1533" s="116"/>
      <c r="AS1533" s="116"/>
      <c r="AT1533" s="116"/>
      <c r="AU1533" s="116"/>
      <c r="AV1533" s="78"/>
      <c r="AW1533" s="102"/>
      <c r="AX1533" s="78"/>
      <c r="AY1533" s="78"/>
      <c r="AZ1533" s="78"/>
      <c r="BA1533" s="78"/>
      <c r="BB1533" s="78"/>
      <c r="BC1533" s="78"/>
      <c r="BD1533" s="78"/>
      <c r="BE1533" s="465"/>
      <c r="BF1533" s="165" t="str">
        <f t="shared" si="1099"/>
        <v>https://www.google.com/search?tbm=isch&amp;q=3%20G4</v>
      </c>
      <c r="BG1533" s="165" t="str">
        <f t="shared" si="1100"/>
        <v>D</v>
      </c>
      <c r="BH1533" s="65"/>
      <c r="BI1533" s="65"/>
      <c r="BJ1533" s="65"/>
      <c r="BK1533" s="65"/>
      <c r="BL1533" s="99"/>
      <c r="BM1533" s="99"/>
      <c r="BN1533" s="99"/>
    </row>
    <row r="1534" spans="1:66" s="51" customFormat="1" ht="16.5" thickBot="1" x14ac:dyDescent="0.3">
      <c r="A1534" s="705" t="s">
        <v>5391</v>
      </c>
      <c r="B1534" s="487"/>
      <c r="C1534" s="707"/>
      <c r="D1534" s="487"/>
      <c r="E1534" s="487"/>
      <c r="F1534" s="488"/>
      <c r="G1534" s="489"/>
      <c r="H1534" s="487"/>
      <c r="I1534" s="490"/>
      <c r="J1534" s="490"/>
      <c r="K1534" s="491"/>
      <c r="L1534" s="547"/>
      <c r="M1534" s="528"/>
      <c r="N1534" s="492"/>
      <c r="O1534" s="493"/>
      <c r="P1534" s="494"/>
      <c r="Q1534" s="492"/>
      <c r="R1534" s="492"/>
      <c r="S1534" s="495"/>
      <c r="T1534" s="102">
        <f t="shared" si="1088"/>
        <v>0</v>
      </c>
      <c r="U1534" s="78" t="str">
        <f>IF(NOT(ISNUMBER(G1534)), "", VLOOKUP(A1534,'Discount Lookup'!D:E,2,FALSE)*G1534)</f>
        <v/>
      </c>
      <c r="V1534" s="78" t="str">
        <f>IF(NOT(ISNUMBER(G1534)), "", VLOOKUP(A1534,'Discount Lookup'!G:H,2,FALSE)*G1534)</f>
        <v/>
      </c>
      <c r="W1534" s="102">
        <f t="shared" si="1089"/>
        <v>0</v>
      </c>
      <c r="X1534" s="102">
        <f t="shared" si="1090"/>
        <v>0</v>
      </c>
      <c r="Y1534" s="120" t="b">
        <f t="shared" si="1091"/>
        <v>0</v>
      </c>
      <c r="Z1534" s="117">
        <f t="shared" si="1092"/>
        <v>0</v>
      </c>
      <c r="AA1534" s="118"/>
      <c r="AB1534" s="118" t="str">
        <f t="shared" si="1093"/>
        <v/>
      </c>
      <c r="AC1534" s="712" t="str">
        <f>IF(AE1534="T2G","no charge",IF(AND(OR(PlanterYesMe="No",PlanterYesMe="N",PlanterYesMe="me"),H1534=""),"",IF(H1534="credit","NO install",IF(AND(K1534="",AE1534="me"),"EACH row",IF(AND(K1534="images",AE1534="me"),"EACH row",IF(D1534="","",IF(H1534="credit","",IF(AE1534="free","re-planting",IF(AE1534="me","   not ELP, by",IF(AND(OR(PlanterYesMe="Yes",PlanterYesMe="Y"),G1534&gt;0),(VLOOKUP(A1534,'Discount Lookup'!J:K,2)*G1534*(1-PlanterDiscount)*(1+PlanterDifficultyPercentage)),IF(AE1534="ELP",(VLOOKUP(A1534,'Discount Lookup'!J:K,2)*G1534*(1-PlanterDiscount)*(1+PlanterDifficultyPercentage)),IF(AE1534="free","re-planting",IF(G1534=0,"",IF(PlanterYesMe="",IF(AE1534="me","   not ELP, by",IF(AE1534="",IF(G1534&gt;0,(VLOOKUP(A1534,'Discount Lookup'!J:K,2)*G1534*(1-PlanterDiscount)*(1+PlanterDifficultyPercentage)),""),"")),"   not ELP, by"))))))))))))))</f>
        <v/>
      </c>
      <c r="AD1534" s="712"/>
      <c r="AE1534" s="513" t="str">
        <f t="shared" si="1094"/>
        <v/>
      </c>
      <c r="AF1534" s="713" t="str">
        <f t="shared" si="1095"/>
        <v/>
      </c>
      <c r="AG1534" s="713"/>
      <c r="AH1534" s="713"/>
      <c r="AI1534" s="112">
        <f>IF(H1534="credit",0,IF(AE1534="free",0,IF(AE1534="me",0,IF(G1534&gt;0,(VLOOKUP(A1534,'Discount Lookup'!J:K,2)*G1534),0))))</f>
        <v>0</v>
      </c>
      <c r="AJ1534" s="107" t="str">
        <f t="shared" ca="1" si="1096"/>
        <v/>
      </c>
      <c r="AK1534" s="714" t="str">
        <f t="shared" si="1097"/>
        <v/>
      </c>
      <c r="AL1534" s="714"/>
      <c r="AM1534" s="114" t="str">
        <f t="shared" si="1098"/>
        <v/>
      </c>
      <c r="AN1534" s="115"/>
      <c r="AO1534" s="116"/>
      <c r="AP1534" s="116"/>
      <c r="AQ1534" s="116"/>
      <c r="AR1534" s="116"/>
      <c r="AS1534" s="116"/>
      <c r="AT1534" s="116"/>
      <c r="AU1534" s="116"/>
      <c r="AV1534" s="78"/>
      <c r="AW1534" s="102"/>
      <c r="AX1534" s="78"/>
      <c r="AY1534" s="78"/>
      <c r="AZ1534" s="78"/>
      <c r="BA1534" s="78"/>
      <c r="BB1534" s="78"/>
      <c r="BC1534" s="78"/>
      <c r="BD1534" s="78"/>
      <c r="BE1534" s="465"/>
      <c r="BF1534" s="165" t="str">
        <f t="shared" si="1099"/>
        <v>https://www.google.com/search?tbm=isch&amp;q=moist%20sites%F0%9F%92%A7GOOD%2C%20Autumn%20Fern%20foliage%20emerges%20Copper-Red%20to%20Orange-Pink%2C%20then%20mature%20to%20a%20lush%20Green.%20Display%20often%20repeats%20in%20fall%20</v>
      </c>
      <c r="BG1534" s="165" t="str">
        <f t="shared" si="1100"/>
        <v>m</v>
      </c>
      <c r="BH1534" s="65"/>
      <c r="BI1534" s="65"/>
      <c r="BJ1534" s="65"/>
      <c r="BK1534" s="65"/>
      <c r="BL1534" s="99"/>
      <c r="BM1534" s="99"/>
      <c r="BN1534" s="99"/>
    </row>
    <row r="1535" spans="1:66" s="51" customFormat="1" ht="18" x14ac:dyDescent="0.25">
      <c r="A1535" s="507" t="s">
        <v>2465</v>
      </c>
      <c r="B1535" s="470"/>
      <c r="C1535" s="706"/>
      <c r="D1535" s="471" t="s">
        <v>2466</v>
      </c>
      <c r="E1535" s="472"/>
      <c r="F1535" s="472"/>
      <c r="G1535" s="472"/>
      <c r="H1535" s="622" t="s">
        <v>2462</v>
      </c>
      <c r="I1535" s="473" t="s">
        <v>2463</v>
      </c>
      <c r="J1535" s="472"/>
      <c r="K1535" s="472"/>
      <c r="L1535" s="561"/>
      <c r="M1535" s="703" t="s">
        <v>5260</v>
      </c>
      <c r="N1535" s="692" t="str">
        <f>IF(AND(ISTEXT($A1535), ISERROR($A1535+0)), HYPERLINK($BF1535, "Images"), "")</f>
        <v>Images</v>
      </c>
      <c r="O1535" s="694" t="s">
        <v>5244</v>
      </c>
      <c r="P1535" s="475"/>
      <c r="Q1535" s="476"/>
      <c r="R1535" s="476"/>
      <c r="S1535" s="477"/>
      <c r="T1535" s="102">
        <f t="shared" si="1088"/>
        <v>0</v>
      </c>
      <c r="U1535" s="78" t="str">
        <f>IF(NOT(ISNUMBER(G1535)), "", VLOOKUP(A1535,'Discount Lookup'!D:E,2,FALSE)*G1535)</f>
        <v/>
      </c>
      <c r="V1535" s="78" t="str">
        <f>IF(NOT(ISNUMBER(G1535)), "", VLOOKUP(A1535,'Discount Lookup'!G:H,2,FALSE)*G1535)</f>
        <v/>
      </c>
      <c r="W1535" s="102">
        <f t="shared" si="1089"/>
        <v>0</v>
      </c>
      <c r="X1535" s="102" t="str">
        <f t="shared" si="1090"/>
        <v>Dark Green fronds</v>
      </c>
      <c r="Y1535" s="120" t="b">
        <f t="shared" si="1091"/>
        <v>0</v>
      </c>
      <c r="Z1535" s="117">
        <f t="shared" si="1092"/>
        <v>0</v>
      </c>
      <c r="AA1535" s="118"/>
      <c r="AB1535" s="118" t="str">
        <f t="shared" si="1093"/>
        <v/>
      </c>
      <c r="AC1535" s="712" t="str">
        <f>IF(AE1535="T2G","no charge",IF(AND(OR(PlanterYesMe="No",PlanterYesMe="N",PlanterYesMe="me"),H1535=""),"",IF(H1535="credit","NO install",IF(AND(K1535="",AE1535="me"),"EACH row",IF(AND(K1535="images",AE1535="me"),"EACH row",IF(D1535="","",IF(H1535="credit","",IF(AE1535="free","re-planting",IF(AE1535="me","   not ELP, by",IF(AND(OR(PlanterYesMe="Yes",PlanterYesMe="Y"),G1535&gt;0),(VLOOKUP(A1535,'Discount Lookup'!J:K,2)*G1535*(1-PlanterDiscount)*(1+PlanterDifficultyPercentage)),IF(AE1535="ELP",(VLOOKUP(A1535,'Discount Lookup'!J:K,2)*G1535*(1-PlanterDiscount)*(1+PlanterDifficultyPercentage)),IF(AE1535="free","re-planting",IF(G1535=0,"",IF(PlanterYesMe="",IF(AE1535="me","   not ELP, by",IF(AE1535="",IF(G1535&gt;0,(VLOOKUP(A1535,'Discount Lookup'!J:K,2)*G1535*(1-PlanterDiscount)*(1+PlanterDifficultyPercentage)),""),"")),"   not ELP, by"))))))))))))))</f>
        <v/>
      </c>
      <c r="AD1535" s="712"/>
      <c r="AE1535" s="513" t="str">
        <f t="shared" si="1094"/>
        <v/>
      </c>
      <c r="AF1535" s="713" t="str">
        <f t="shared" si="1095"/>
        <v/>
      </c>
      <c r="AG1535" s="713"/>
      <c r="AH1535" s="713"/>
      <c r="AI1535" s="112">
        <f>IF(H1535="credit",0,IF(AE1535="free",0,IF(AE1535="me",0,IF(G1535&gt;0,(VLOOKUP(A1535,'Discount Lookup'!J:K,2)*G1535),0))))</f>
        <v>0</v>
      </c>
      <c r="AJ1535" s="107" t="str">
        <f t="shared" ca="1" si="1096"/>
        <v/>
      </c>
      <c r="AK1535" s="714" t="str">
        <f t="shared" si="1097"/>
        <v/>
      </c>
      <c r="AL1535" s="714"/>
      <c r="AM1535" s="114" t="str">
        <f t="shared" si="1098"/>
        <v/>
      </c>
      <c r="AN1535" s="115"/>
      <c r="AO1535" s="116"/>
      <c r="AP1535" s="116"/>
      <c r="AQ1535" s="116"/>
      <c r="AR1535" s="116"/>
      <c r="AS1535" s="116"/>
      <c r="AT1535" s="116"/>
      <c r="AU1535" s="116"/>
      <c r="AV1535" s="78"/>
      <c r="AW1535" s="102"/>
      <c r="AX1535" s="78"/>
      <c r="AY1535" s="78"/>
      <c r="AZ1535" s="78"/>
      <c r="BA1535" s="78"/>
      <c r="BB1535" s="78"/>
      <c r="BC1535" s="78"/>
      <c r="BD1535" s="78"/>
      <c r="BE1535" s="465"/>
      <c r="BF1535" s="165" t="str">
        <f t="shared" si="1099"/>
        <v>https://www.google.com/search?tbm=isch&amp;q=Dryopteris%20erythrosora%20%27Brilliance%27%20Brilliance%20Autumn%20Fern</v>
      </c>
      <c r="BG1535" s="165" t="str">
        <f t="shared" si="1100"/>
        <v>D</v>
      </c>
      <c r="BH1535" s="65"/>
      <c r="BI1535" s="65"/>
      <c r="BJ1535" s="65"/>
      <c r="BK1535" s="65"/>
      <c r="BL1535" s="99"/>
      <c r="BM1535" s="99"/>
      <c r="BN1535" s="99"/>
    </row>
    <row r="1536" spans="1:66" s="51" customFormat="1" ht="15.75" x14ac:dyDescent="0.25">
      <c r="A1536" s="478">
        <v>3</v>
      </c>
      <c r="B1536" s="479" t="s">
        <v>291</v>
      </c>
      <c r="C1536" s="480" t="s">
        <v>2468</v>
      </c>
      <c r="D1536" s="481" t="s">
        <v>293</v>
      </c>
      <c r="E1536" s="482">
        <v>34.950000000000003</v>
      </c>
      <c r="F1536" s="483" t="s">
        <v>292</v>
      </c>
      <c r="G1536" s="484">
        <v>0</v>
      </c>
      <c r="H1536" s="688" t="str">
        <f>IF(G1536=0,"",IF(F1536="Buy",IF(G1536=1,"plant","plants"),IF(F1536&gt;0.01,"warranty","Error")))</f>
        <v/>
      </c>
      <c r="I1536" s="485">
        <f>IF(H1536="free",0,IF(H1536="credit",((E1536*(F1536))*G1536*-1),IF(F1536="Buy",(E1536*G1536),((E1536*(1-F1536))*G1536))))</f>
        <v>0</v>
      </c>
      <c r="J1536" s="485">
        <f>IF(H1536="warranty",0,(I1536*(_xlfn.SINGLE(SalesTaxPercentage))))</f>
        <v>0</v>
      </c>
      <c r="K1536" s="715">
        <f t="shared" ref="K1536" si="1127">I1536+J1536</f>
        <v>0</v>
      </c>
      <c r="L1536" s="715"/>
      <c r="M1536" s="689" t="str">
        <f ca="1">IF(AND(G1536&gt;0,E1536=0),"WARNING - no PRICE inserted",IF(H1536="free","FREE ~ no charge this plant",IF(H1536="credit",CONCATENATE("-$",ROUND(K1536*(1-_xlfn.SINGLE(T2GDiscount))*-1,2)," CREDIT after discount"),IF(_xlfn.SINGLE(T2GDiscount)=0,"",IF(G1536=0,"",IF(F1536="Buy",CONCATENATE("$",ROUND(K1536*(1-_xlfn.SINGLE(T2GDiscount)),2)," with ",(_xlfn.SINGLE(T2GDiscount)*100),"% discount"),CONCATENATE("$",ROUND(K1536*(1-_xlfn.SINGLE(T2GDiscount)),2)," with ",((_xlfn.SINGLE(T2GDiscount)*100+F1536*100)-(_xlfn.SINGLE(T2GDiscount)*100*F1536)),IF(F1536&gt;0,"% discounts",IF(_xlfn.SINGLE(NoWarrantyDiscount)&gt;0,"% discounts","% discount")))))))))</f>
        <v/>
      </c>
      <c r="N1536" s="690"/>
      <c r="O1536" s="486"/>
      <c r="P1536" s="486"/>
      <c r="Q1536" s="486"/>
      <c r="R1536" s="486"/>
      <c r="S1536" s="486"/>
      <c r="T1536" s="102">
        <f t="shared" si="1088"/>
        <v>0</v>
      </c>
      <c r="U1536" s="78">
        <f>IF(NOT(ISNUMBER(G1536)), "", VLOOKUP(A1536,'Discount Lookup'!D:E,2,FALSE)*G1536)</f>
        <v>0</v>
      </c>
      <c r="V1536" s="78">
        <f>IF(NOT(ISNUMBER(G1536)), "", VLOOKUP(A1536,'Discount Lookup'!G:H,2,FALSE)*G1536)</f>
        <v>0</v>
      </c>
      <c r="W1536" s="102">
        <f t="shared" si="1089"/>
        <v>0</v>
      </c>
      <c r="X1536" s="102">
        <f t="shared" si="1090"/>
        <v>0</v>
      </c>
      <c r="Y1536" s="120" t="b">
        <f t="shared" si="1091"/>
        <v>0</v>
      </c>
      <c r="Z1536" s="117">
        <f t="shared" si="1092"/>
        <v>0</v>
      </c>
      <c r="AA1536" s="118"/>
      <c r="AB1536" s="118" t="str">
        <f t="shared" si="1093"/>
        <v/>
      </c>
      <c r="AC1536" s="712" t="str">
        <f>IF(AE1536="T2G","no charge",IF(AND(OR(PlanterYesMe="No",PlanterYesMe="N",PlanterYesMe="me"),H1536=""),"",IF(H1536="credit","NO install",IF(AND(K1536="",AE1536="me"),"EACH row",IF(AND(K1536="images",AE1536="me"),"EACH row",IF(D1536="","",IF(H1536="credit","",IF(AE1536="free","re-planting",IF(AE1536="me","   not ELP, by",IF(AND(OR(PlanterYesMe="Yes",PlanterYesMe="Y"),G1536&gt;0),(VLOOKUP(A1536,'Discount Lookup'!J:K,2)*G1536*(1-PlanterDiscount)*(1+PlanterDifficultyPercentage)),IF(AE1536="ELP",(VLOOKUP(A1536,'Discount Lookup'!J:K,2)*G1536*(1-PlanterDiscount)*(1+PlanterDifficultyPercentage)),IF(AE1536="free","re-planting",IF(G1536=0,"",IF(PlanterYesMe="",IF(AE1536="me","   not ELP, by",IF(AE1536="",IF(G1536&gt;0,(VLOOKUP(A1536,'Discount Lookup'!J:K,2)*G1536*(1-PlanterDiscount)*(1+PlanterDifficultyPercentage)),""),"")),"   not ELP, by"))))))))))))))</f>
        <v/>
      </c>
      <c r="AD1536" s="712"/>
      <c r="AE1536" s="513" t="str">
        <f t="shared" si="1094"/>
        <v/>
      </c>
      <c r="AF1536" s="713" t="str">
        <f t="shared" si="1095"/>
        <v/>
      </c>
      <c r="AG1536" s="713"/>
      <c r="AH1536" s="713"/>
      <c r="AI1536" s="112">
        <f>IF(H1536="credit",0,IF(AE1536="free",0,IF(AE1536="me",0,IF(G1536&gt;0,(VLOOKUP(A1536,'Discount Lookup'!J:K,2)*G1536),0))))</f>
        <v>0</v>
      </c>
      <c r="AJ1536" s="107" t="str">
        <f t="shared" ca="1" si="1096"/>
        <v/>
      </c>
      <c r="AK1536" s="714" t="str">
        <f t="shared" si="1097"/>
        <v/>
      </c>
      <c r="AL1536" s="714"/>
      <c r="AM1536" s="114" t="str">
        <f t="shared" si="1098"/>
        <v/>
      </c>
      <c r="AN1536" s="115"/>
      <c r="AO1536" s="116"/>
      <c r="AP1536" s="116"/>
      <c r="AQ1536" s="116"/>
      <c r="AR1536" s="116"/>
      <c r="AS1536" s="116"/>
      <c r="AT1536" s="116"/>
      <c r="AU1536" s="116"/>
      <c r="AV1536" s="78"/>
      <c r="AW1536" s="102"/>
      <c r="AX1536" s="78"/>
      <c r="AY1536" s="78"/>
      <c r="AZ1536" s="78"/>
      <c r="BA1536" s="78"/>
      <c r="BB1536" s="78"/>
      <c r="BC1536" s="78"/>
      <c r="BD1536" s="78"/>
      <c r="BE1536" s="465"/>
      <c r="BF1536" s="165" t="str">
        <f t="shared" si="1099"/>
        <v>https://www.google.com/search?tbm=isch&amp;q=3%20G6</v>
      </c>
      <c r="BG1536" s="165" t="str">
        <f t="shared" si="1100"/>
        <v>D</v>
      </c>
      <c r="BH1536" s="65"/>
      <c r="BI1536" s="65"/>
      <c r="BJ1536" s="65"/>
      <c r="BK1536" s="65"/>
      <c r="BL1536" s="99"/>
      <c r="BM1536" s="99"/>
      <c r="BN1536" s="99"/>
    </row>
    <row r="1537" spans="1:66" s="51" customFormat="1" ht="15.75" x14ac:dyDescent="0.25">
      <c r="A1537" s="705" t="s">
        <v>5392</v>
      </c>
      <c r="B1537" s="487"/>
      <c r="C1537" s="707"/>
      <c r="D1537" s="487"/>
      <c r="E1537" s="487"/>
      <c r="F1537" s="488"/>
      <c r="G1537" s="489"/>
      <c r="H1537" s="487"/>
      <c r="I1537" s="490"/>
      <c r="J1537" s="490"/>
      <c r="K1537" s="491"/>
      <c r="L1537" s="547"/>
      <c r="M1537" s="528"/>
      <c r="N1537" s="492"/>
      <c r="O1537" s="493"/>
      <c r="P1537" s="494"/>
      <c r="Q1537" s="492"/>
      <c r="R1537" s="492"/>
      <c r="S1537" s="495"/>
      <c r="T1537" s="102">
        <f t="shared" si="1088"/>
        <v>0</v>
      </c>
      <c r="U1537" s="78" t="str">
        <f>IF(NOT(ISNUMBER(G1537)), "", VLOOKUP(A1537,'Discount Lookup'!D:E,2,FALSE)*G1537)</f>
        <v/>
      </c>
      <c r="V1537" s="78" t="str">
        <f>IF(NOT(ISNUMBER(G1537)), "", VLOOKUP(A1537,'Discount Lookup'!G:H,2,FALSE)*G1537)</f>
        <v/>
      </c>
      <c r="W1537" s="102">
        <f t="shared" si="1089"/>
        <v>0</v>
      </c>
      <c r="X1537" s="102">
        <f t="shared" si="1090"/>
        <v>0</v>
      </c>
      <c r="Y1537" s="120" t="b">
        <f t="shared" si="1091"/>
        <v>0</v>
      </c>
      <c r="Z1537" s="117">
        <f t="shared" si="1092"/>
        <v>0</v>
      </c>
      <c r="AA1537" s="118"/>
      <c r="AB1537" s="118" t="str">
        <f t="shared" si="1093"/>
        <v/>
      </c>
      <c r="AC1537" s="712" t="str">
        <f>IF(AE1537="T2G","no charge",IF(AND(OR(PlanterYesMe="No",PlanterYesMe="N",PlanterYesMe="me"),H1537=""),"",IF(H1537="credit","NO install",IF(AND(K1537="",AE1537="me"),"EACH row",IF(AND(K1537="images",AE1537="me"),"EACH row",IF(D1537="","",IF(H1537="credit","",IF(AE1537="free","re-planting",IF(AE1537="me","   not ELP, by",IF(AND(OR(PlanterYesMe="Yes",PlanterYesMe="Y"),G1537&gt;0),(VLOOKUP(A1537,'Discount Lookup'!J:K,2)*G1537*(1-PlanterDiscount)*(1+PlanterDifficultyPercentage)),IF(AE1537="ELP",(VLOOKUP(A1537,'Discount Lookup'!J:K,2)*G1537*(1-PlanterDiscount)*(1+PlanterDifficultyPercentage)),IF(AE1537="free","re-planting",IF(G1537=0,"",IF(PlanterYesMe="",IF(AE1537="me","   not ELP, by",IF(AE1537="",IF(G1537&gt;0,(VLOOKUP(A1537,'Discount Lookup'!J:K,2)*G1537*(1-PlanterDiscount)*(1+PlanterDifficultyPercentage)),""),"")),"   not ELP, by"))))))))))))))</f>
        <v/>
      </c>
      <c r="AD1537" s="712"/>
      <c r="AE1537" s="513" t="str">
        <f t="shared" si="1094"/>
        <v/>
      </c>
      <c r="AF1537" s="713" t="str">
        <f t="shared" si="1095"/>
        <v/>
      </c>
      <c r="AG1537" s="713"/>
      <c r="AH1537" s="713"/>
      <c r="AI1537" s="112">
        <f>IF(H1537="credit",0,IF(AE1537="free",0,IF(AE1537="me",0,IF(G1537&gt;0,(VLOOKUP(A1537,'Discount Lookup'!J:K,2)*G1537),0))))</f>
        <v>0</v>
      </c>
      <c r="AJ1537" s="107" t="str">
        <f t="shared" ca="1" si="1096"/>
        <v/>
      </c>
      <c r="AK1537" s="714" t="str">
        <f t="shared" si="1097"/>
        <v/>
      </c>
      <c r="AL1537" s="714"/>
      <c r="AM1537" s="114" t="str">
        <f t="shared" si="1098"/>
        <v/>
      </c>
      <c r="AN1537" s="115"/>
      <c r="AO1537" s="116"/>
      <c r="AP1537" s="116"/>
      <c r="AQ1537" s="116"/>
      <c r="AR1537" s="116"/>
      <c r="AS1537" s="116"/>
      <c r="AT1537" s="116"/>
      <c r="AU1537" s="116"/>
      <c r="AV1537" s="78"/>
      <c r="AW1537" s="102"/>
      <c r="AX1537" s="78"/>
      <c r="AY1537" s="78"/>
      <c r="AZ1537" s="78"/>
      <c r="BA1537" s="78"/>
      <c r="BB1537" s="78"/>
      <c r="BC1537" s="78"/>
      <c r="BD1537" s="78"/>
      <c r="BE1537" s="465"/>
      <c r="BF1537" s="165" t="str">
        <f t="shared" si="1099"/>
        <v>https://www.google.com/search?tbm=isch&amp;q=moist%20sites%F0%9F%92%A7GOOD%2C%20Brilliance%20foliage%20emerge%20a%20particularlay%20vivid%20Copper-Orange-Red%2C%20then%20mature%20to%20a%20Green.%20Display%20often%20repeats%20in%20fall%20</v>
      </c>
      <c r="BG1537" s="165" t="str">
        <f t="shared" si="1100"/>
        <v>m</v>
      </c>
      <c r="BH1537" s="65"/>
      <c r="BI1537" s="65"/>
      <c r="BJ1537" s="65"/>
      <c r="BK1537" s="65"/>
      <c r="BL1537" s="99"/>
      <c r="BM1537" s="99"/>
      <c r="BN1537" s="99"/>
    </row>
    <row r="1538" spans="1:66" s="51" customFormat="1" ht="55.5" x14ac:dyDescent="0.25">
      <c r="A1538" s="520" t="s">
        <v>354</v>
      </c>
      <c r="B1538" s="501"/>
      <c r="C1538" s="502"/>
      <c r="D1538" s="502"/>
      <c r="E1538" s="502"/>
      <c r="F1538" s="502"/>
      <c r="G1538" s="502"/>
      <c r="H1538" s="502"/>
      <c r="I1538" s="502"/>
      <c r="J1538" s="502"/>
      <c r="K1538" s="509" t="s">
        <v>871</v>
      </c>
      <c r="L1538" s="503"/>
      <c r="M1538" s="563"/>
      <c r="N1538" s="504"/>
      <c r="O1538" s="504"/>
      <c r="P1538" s="504"/>
      <c r="Q1538" s="504"/>
      <c r="R1538" s="504"/>
      <c r="S1538" s="511" t="s">
        <v>1546</v>
      </c>
      <c r="T1538" s="102">
        <f t="shared" si="1088"/>
        <v>0</v>
      </c>
      <c r="U1538" s="78" t="str">
        <f>IF(NOT(ISNUMBER(G1538)), "", VLOOKUP(A1538,'Discount Lookup'!D:E,2,FALSE)*G1538)</f>
        <v/>
      </c>
      <c r="V1538" s="78" t="str">
        <f>IF(NOT(ISNUMBER(G1538)), "", VLOOKUP(A1538,'Discount Lookup'!G:H,2,FALSE)*G1538)</f>
        <v/>
      </c>
      <c r="W1538" s="102">
        <f t="shared" si="1089"/>
        <v>0</v>
      </c>
      <c r="X1538" s="102">
        <f t="shared" si="1090"/>
        <v>0</v>
      </c>
      <c r="Y1538" s="120" t="b">
        <f t="shared" si="1091"/>
        <v>0</v>
      </c>
      <c r="Z1538" s="117">
        <f t="shared" si="1092"/>
        <v>0</v>
      </c>
      <c r="AA1538" s="118"/>
      <c r="AB1538" s="118" t="str">
        <f t="shared" si="1093"/>
        <v/>
      </c>
      <c r="AC1538" s="712" t="str">
        <f>IF(AE1538="T2G","no charge",IF(AND(OR(PlanterYesMe="No",PlanterYesMe="N",PlanterYesMe="me"),H1538=""),"",IF(H1538="credit","NO install",IF(AND(K1538="",AE1538="me"),"EACH row",IF(AND(K1538="images",AE1538="me"),"EACH row",IF(D1538="","",IF(H1538="credit","",IF(AE1538="free","re-planting",IF(AE1538="me","   not ELP, by",IF(AND(OR(PlanterYesMe="Yes",PlanterYesMe="Y"),G1538&gt;0),(VLOOKUP(A1538,'Discount Lookup'!J:K,2)*G1538*(1-PlanterDiscount)*(1+PlanterDifficultyPercentage)),IF(AE1538="ELP",(VLOOKUP(A1538,'Discount Lookup'!J:K,2)*G1538*(1-PlanterDiscount)*(1+PlanterDifficultyPercentage)),IF(AE1538="free","re-planting",IF(G1538=0,"",IF(PlanterYesMe="",IF(AE1538="me","   not ELP, by",IF(AE1538="",IF(G1538&gt;0,(VLOOKUP(A1538,'Discount Lookup'!J:K,2)*G1538*(1-PlanterDiscount)*(1+PlanterDifficultyPercentage)),""),"")),"   not ELP, by"))))))))))))))</f>
        <v/>
      </c>
      <c r="AD1538" s="712"/>
      <c r="AE1538" s="513" t="str">
        <f t="shared" si="1094"/>
        <v/>
      </c>
      <c r="AF1538" s="713" t="str">
        <f t="shared" si="1095"/>
        <v/>
      </c>
      <c r="AG1538" s="713"/>
      <c r="AH1538" s="713"/>
      <c r="AI1538" s="112">
        <f>IF(H1538="credit",0,IF(AE1538="free",0,IF(AE1538="me",0,IF(G1538&gt;0,(VLOOKUP(A1538,'Discount Lookup'!J:K,2)*G1538),0))))</f>
        <v>0</v>
      </c>
      <c r="AJ1538" s="107" t="str">
        <f t="shared" ca="1" si="1096"/>
        <v/>
      </c>
      <c r="AK1538" s="714" t="str">
        <f t="shared" si="1097"/>
        <v/>
      </c>
      <c r="AL1538" s="714"/>
      <c r="AM1538" s="114" t="str">
        <f t="shared" si="1098"/>
        <v/>
      </c>
      <c r="AN1538" s="115"/>
      <c r="AO1538" s="116"/>
      <c r="AP1538" s="116"/>
      <c r="AQ1538" s="116"/>
      <c r="AR1538" s="116"/>
      <c r="AS1538" s="116"/>
      <c r="AT1538" s="116"/>
      <c r="AU1538" s="116"/>
      <c r="AV1538" s="78"/>
      <c r="AW1538" s="102"/>
      <c r="AX1538" s="78"/>
      <c r="AY1538" s="78"/>
      <c r="AZ1538" s="78"/>
      <c r="BA1538" s="78"/>
      <c r="BB1538" s="78"/>
      <c r="BC1538" s="78"/>
      <c r="BD1538" s="78"/>
      <c r="BE1538" s="465"/>
      <c r="BF1538" s="165" t="str">
        <f t="shared" si="1099"/>
        <v>https://www.google.com/search?tbm=isch&amp;q=E%20</v>
      </c>
      <c r="BG1538" s="165" t="str">
        <f t="shared" si="1100"/>
        <v>E</v>
      </c>
      <c r="BH1538" s="65"/>
      <c r="BI1538" s="65"/>
      <c r="BJ1538" s="65"/>
      <c r="BK1538" s="65"/>
      <c r="BL1538" s="99"/>
      <c r="BM1538" s="99"/>
      <c r="BN1538" s="99"/>
    </row>
    <row r="1539" spans="1:66" s="51" customFormat="1" ht="19.5" thickBot="1" x14ac:dyDescent="0.3">
      <c r="A1539" s="686" t="s">
        <v>415</v>
      </c>
      <c r="B1539" s="73"/>
      <c r="C1539" s="708"/>
      <c r="D1539" s="73"/>
      <c r="E1539" s="73"/>
      <c r="F1539" s="496"/>
      <c r="G1539" s="73"/>
      <c r="H1539" s="73"/>
      <c r="I1539" s="73"/>
      <c r="J1539" s="497" t="s">
        <v>357</v>
      </c>
      <c r="K1539" s="498"/>
      <c r="L1539" s="562"/>
      <c r="M1539" s="73"/>
      <c r="N1539"/>
      <c r="O1539"/>
      <c r="P1539"/>
      <c r="Q1539"/>
      <c r="R1539"/>
      <c r="S1539"/>
      <c r="T1539" s="102">
        <f t="shared" si="1088"/>
        <v>0</v>
      </c>
      <c r="U1539" s="78" t="str">
        <f>IF(NOT(ISNUMBER(G1539)), "", VLOOKUP(A1539,'Discount Lookup'!D:E,2,FALSE)*G1539)</f>
        <v/>
      </c>
      <c r="V1539" s="78" t="str">
        <f>IF(NOT(ISNUMBER(G1539)), "", VLOOKUP(A1539,'Discount Lookup'!G:H,2,FALSE)*G1539)</f>
        <v/>
      </c>
      <c r="W1539" s="102">
        <f t="shared" si="1089"/>
        <v>0</v>
      </c>
      <c r="X1539" s="102">
        <f t="shared" si="1090"/>
        <v>0</v>
      </c>
      <c r="Y1539" s="120" t="b">
        <f t="shared" si="1091"/>
        <v>0</v>
      </c>
      <c r="Z1539" s="117">
        <f t="shared" si="1092"/>
        <v>0</v>
      </c>
      <c r="AA1539" s="118"/>
      <c r="AB1539" s="118" t="str">
        <f t="shared" si="1093"/>
        <v/>
      </c>
      <c r="AC1539" s="712" t="str">
        <f>IF(AE1539="T2G","no charge",IF(AND(OR(PlanterYesMe="No",PlanterYesMe="N",PlanterYesMe="me"),H1539=""),"",IF(H1539="credit","NO install",IF(AND(K1539="",AE1539="me"),"EACH row",IF(AND(K1539="images",AE1539="me"),"EACH row",IF(D1539="","",IF(H1539="credit","",IF(AE1539="free","re-planting",IF(AE1539="me","   not ELP, by",IF(AND(OR(PlanterYesMe="Yes",PlanterYesMe="Y"),G1539&gt;0),(VLOOKUP(A1539,'Discount Lookup'!J:K,2)*G1539*(1-PlanterDiscount)*(1+PlanterDifficultyPercentage)),IF(AE1539="ELP",(VLOOKUP(A1539,'Discount Lookup'!J:K,2)*G1539*(1-PlanterDiscount)*(1+PlanterDifficultyPercentage)),IF(AE1539="free","re-planting",IF(G1539=0,"",IF(PlanterYesMe="",IF(AE1539="me","   not ELP, by",IF(AE1539="",IF(G1539&gt;0,(VLOOKUP(A1539,'Discount Lookup'!J:K,2)*G1539*(1-PlanterDiscount)*(1+PlanterDifficultyPercentage)),""),"")),"   not ELP, by"))))))))))))))</f>
        <v/>
      </c>
      <c r="AD1539" s="712"/>
      <c r="AE1539" s="513" t="str">
        <f t="shared" si="1094"/>
        <v/>
      </c>
      <c r="AF1539" s="713" t="str">
        <f t="shared" si="1095"/>
        <v/>
      </c>
      <c r="AG1539" s="713"/>
      <c r="AH1539" s="713"/>
      <c r="AI1539" s="112">
        <f>IF(H1539="credit",0,IF(AE1539="free",0,IF(AE1539="me",0,IF(G1539&gt;0,(VLOOKUP(A1539,'Discount Lookup'!J:K,2)*G1539),0))))</f>
        <v>0</v>
      </c>
      <c r="AJ1539" s="107" t="str">
        <f t="shared" ca="1" si="1096"/>
        <v/>
      </c>
      <c r="AK1539" s="714" t="str">
        <f t="shared" si="1097"/>
        <v/>
      </c>
      <c r="AL1539" s="714"/>
      <c r="AM1539" s="114" t="str">
        <f t="shared" si="1098"/>
        <v/>
      </c>
      <c r="AN1539" s="115"/>
      <c r="AO1539" s="116"/>
      <c r="AP1539" s="116"/>
      <c r="AQ1539" s="116"/>
      <c r="AR1539" s="116"/>
      <c r="AS1539" s="116"/>
      <c r="AT1539" s="116"/>
      <c r="AU1539" s="116"/>
      <c r="AV1539" s="78"/>
      <c r="AW1539" s="102"/>
      <c r="AX1539" s="78"/>
      <c r="AY1539" s="78"/>
      <c r="AZ1539" s="78"/>
      <c r="BA1539" s="78"/>
      <c r="BB1539" s="78"/>
      <c r="BC1539" s="78"/>
      <c r="BD1539" s="78"/>
      <c r="BE1539" s="465"/>
      <c r="BF1539" s="165" t="str">
        <f t="shared" si="1099"/>
        <v>https://www.google.com/search?tbm=isch&amp;q=Echinacea%20%3D%20Coneflower%20</v>
      </c>
      <c r="BG1539" s="165" t="str">
        <f t="shared" si="1100"/>
        <v>E</v>
      </c>
      <c r="BH1539" s="65"/>
      <c r="BI1539" s="65"/>
      <c r="BJ1539" s="65"/>
      <c r="BK1539" s="65"/>
      <c r="BL1539" s="99"/>
      <c r="BM1539" s="99"/>
      <c r="BN1539" s="99"/>
    </row>
    <row r="1540" spans="1:66" s="51" customFormat="1" ht="18" x14ac:dyDescent="0.25">
      <c r="A1540" s="623" t="s">
        <v>4916</v>
      </c>
      <c r="B1540" s="624"/>
      <c r="C1540" s="709"/>
      <c r="D1540" s="625" t="s">
        <v>5657</v>
      </c>
      <c r="E1540" s="626"/>
      <c r="F1540" s="626"/>
      <c r="G1540" s="626"/>
      <c r="H1540" s="622" t="s">
        <v>4884</v>
      </c>
      <c r="I1540" s="627" t="s">
        <v>4917</v>
      </c>
      <c r="J1540" s="628"/>
      <c r="K1540" s="628"/>
      <c r="L1540" s="629"/>
      <c r="M1540" s="700" t="s">
        <v>5241</v>
      </c>
      <c r="N1540" s="693" t="str">
        <f>IF(AND(ISTEXT($A1540), ISERROR($A1540+0)), HYPERLINK($BF1540, "Images"), "")</f>
        <v>Images</v>
      </c>
      <c r="O1540" s="695" t="s">
        <v>5247</v>
      </c>
      <c r="P1540" s="630"/>
      <c r="Q1540" s="631"/>
      <c r="R1540" s="632"/>
      <c r="S1540" s="633" t="s">
        <v>294</v>
      </c>
      <c r="T1540" s="102">
        <f t="shared" si="1088"/>
        <v>0</v>
      </c>
      <c r="U1540" s="78" t="str">
        <f>IF(NOT(ISNUMBER(G1540)), "", VLOOKUP(A1540,'Discount Lookup'!D:E,2,FALSE)*G1540)</f>
        <v/>
      </c>
      <c r="V1540" s="78" t="str">
        <f>IF(NOT(ISNUMBER(G1540)), "", VLOOKUP(A1540,'Discount Lookup'!G:H,2,FALSE)*G1540)</f>
        <v/>
      </c>
      <c r="W1540" s="102">
        <f t="shared" si="1089"/>
        <v>0</v>
      </c>
      <c r="X1540" s="102" t="str">
        <f t="shared" si="1090"/>
        <v>Adobe Orange bloom</v>
      </c>
      <c r="Y1540" s="120" t="b">
        <f t="shared" si="1091"/>
        <v>0</v>
      </c>
      <c r="Z1540" s="117">
        <f t="shared" si="1092"/>
        <v>0</v>
      </c>
      <c r="AA1540" s="118"/>
      <c r="AB1540" s="118" t="str">
        <f t="shared" si="1093"/>
        <v/>
      </c>
      <c r="AC1540" s="712" t="str">
        <f>IF(AE1540="T2G","no charge",IF(AND(OR(PlanterYesMe="No",PlanterYesMe="N",PlanterYesMe="me"),H1540=""),"",IF(H1540="credit","NO install",IF(AND(K1540="",AE1540="me"),"EACH row",IF(AND(K1540="images",AE1540="me"),"EACH row",IF(D1540="","",IF(H1540="credit","",IF(AE1540="free","re-planting",IF(AE1540="me","   not ELP, by",IF(AND(OR(PlanterYesMe="Yes",PlanterYesMe="Y"),G1540&gt;0),(VLOOKUP(A1540,'Discount Lookup'!J:K,2)*G1540*(1-PlanterDiscount)*(1+PlanterDifficultyPercentage)),IF(AE1540="ELP",(VLOOKUP(A1540,'Discount Lookup'!J:K,2)*G1540*(1-PlanterDiscount)*(1+PlanterDifficultyPercentage)),IF(AE1540="free","re-planting",IF(G1540=0,"",IF(PlanterYesMe="",IF(AE1540="me","   not ELP, by",IF(AE1540="",IF(G1540&gt;0,(VLOOKUP(A1540,'Discount Lookup'!J:K,2)*G1540*(1-PlanterDiscount)*(1+PlanterDifficultyPercentage)),""),"")),"   not ELP, by"))))))))))))))</f>
        <v/>
      </c>
      <c r="AD1540" s="712"/>
      <c r="AE1540" s="513" t="str">
        <f t="shared" si="1094"/>
        <v/>
      </c>
      <c r="AF1540" s="713" t="str">
        <f t="shared" si="1095"/>
        <v/>
      </c>
      <c r="AG1540" s="713"/>
      <c r="AH1540" s="713"/>
      <c r="AI1540" s="112">
        <f>IF(H1540="credit",0,IF(AE1540="free",0,IF(AE1540="me",0,IF(G1540&gt;0,(VLOOKUP(A1540,'Discount Lookup'!J:K,2)*G1540),0))))</f>
        <v>0</v>
      </c>
      <c r="AJ1540" s="107" t="str">
        <f t="shared" ca="1" si="1096"/>
        <v/>
      </c>
      <c r="AK1540" s="714" t="str">
        <f t="shared" si="1097"/>
        <v/>
      </c>
      <c r="AL1540" s="714"/>
      <c r="AM1540" s="114" t="str">
        <f t="shared" si="1098"/>
        <v/>
      </c>
      <c r="AN1540" s="115"/>
      <c r="AO1540" s="116"/>
      <c r="AP1540" s="116"/>
      <c r="AQ1540" s="116"/>
      <c r="AR1540" s="116"/>
      <c r="AS1540" s="116"/>
      <c r="AT1540" s="116"/>
      <c r="AU1540" s="116"/>
      <c r="AV1540" s="78"/>
      <c r="AW1540" s="102"/>
      <c r="AX1540" s="78"/>
      <c r="AY1540" s="78"/>
      <c r="AZ1540" s="78"/>
      <c r="BA1540" s="78"/>
      <c r="BB1540" s="78"/>
      <c r="BC1540" s="78"/>
      <c r="BD1540" s="78"/>
      <c r="BE1540" s="465"/>
      <c r="BF1540" s="165" t="str">
        <f t="shared" si="1099"/>
        <v>https://www.google.com/search?tbm=isch&amp;q=Echinacea%20%27Balsomador%27%20PP%2326639%20Sombrero%C2%AE%20Adobe%20Orange%20Coneflower</v>
      </c>
      <c r="BG1540" s="165" t="str">
        <f t="shared" si="1100"/>
        <v>E</v>
      </c>
      <c r="BH1540" s="65"/>
      <c r="BI1540" s="65"/>
      <c r="BJ1540" s="65"/>
      <c r="BK1540" s="65"/>
      <c r="BL1540" s="99"/>
      <c r="BM1540" s="99"/>
      <c r="BN1540" s="99"/>
    </row>
    <row r="1541" spans="1:66" s="51" customFormat="1" ht="15.75" x14ac:dyDescent="0.25">
      <c r="A1541" s="634">
        <v>2</v>
      </c>
      <c r="B1541" s="635" t="s">
        <v>291</v>
      </c>
      <c r="C1541" s="636"/>
      <c r="D1541" s="637" t="s">
        <v>293</v>
      </c>
      <c r="E1541" s="638">
        <v>26.95</v>
      </c>
      <c r="F1541" s="639" t="s">
        <v>292</v>
      </c>
      <c r="G1541" s="484">
        <v>0</v>
      </c>
      <c r="H1541" s="691" t="str">
        <f>IF(G1541=0,"",IF(F1541="Buy",IF(G1541=1,"plant","plants"),IF(F1541&gt;0.01,"warranty","Error")))</f>
        <v/>
      </c>
      <c r="I1541" s="640">
        <f>IF(H1541="free",0,IF(H1541="credit",((E1541*(F1541))*G1541*-1),IF(F1541="Buy",(E1541*G1541),((E1541*(1-F1541))*G1541))))</f>
        <v>0</v>
      </c>
      <c r="J1541" s="640">
        <f>IF(H1541="warranty",0,(I1541*(_xlfn.SINGLE(SalesTaxPercentage))))</f>
        <v>0</v>
      </c>
      <c r="K1541" s="716">
        <f t="shared" ref="K1541" si="1128">I1541+J1541</f>
        <v>0</v>
      </c>
      <c r="L1541" s="716"/>
      <c r="M1541" s="689" t="str">
        <f ca="1">IF(AND(G1541&gt;0,E1541=0),"WARNING - no PRICE inserted",IF(H1541="free","FREE ~ no charge this plant",IF(H1541="credit",CONCATENATE("-$",ROUND(K1541*(1-_xlfn.SINGLE(T2GDiscount))*-1,2)," CREDIT after discount"),IF(_xlfn.SINGLE(T2GDiscount)=0,"",IF(G1541=0,"",IF(F1541="Buy",CONCATENATE("$",ROUND(K1541*(1-_xlfn.SINGLE(T2GDiscount)),2)," with ",(_xlfn.SINGLE(T2GDiscount)*100),"% discount"),CONCATENATE("$",ROUND(K1541*(1-_xlfn.SINGLE(T2GDiscount)),2)," with ",((_xlfn.SINGLE(T2GDiscount)*100+F1541*100)-(_xlfn.SINGLE(T2GDiscount)*100*F1541)),IF(F1541&gt;0,"% discounts",IF(_xlfn.SINGLE(NoWarrantyDiscount)&gt;0,"% discounts","% discount")))))))))</f>
        <v/>
      </c>
      <c r="N1541" s="690"/>
      <c r="O1541" s="486"/>
      <c r="P1541" s="486"/>
      <c r="Q1541" s="486"/>
      <c r="R1541" s="486"/>
      <c r="S1541" s="486"/>
      <c r="T1541" s="102">
        <f t="shared" si="1088"/>
        <v>0</v>
      </c>
      <c r="U1541" s="78">
        <f>IF(NOT(ISNUMBER(G1541)), "", VLOOKUP(A1541,'Discount Lookup'!D:E,2,FALSE)*G1541)</f>
        <v>0</v>
      </c>
      <c r="V1541" s="78">
        <f>IF(NOT(ISNUMBER(G1541)), "", VLOOKUP(A1541,'Discount Lookup'!G:H,2,FALSE)*G1541)</f>
        <v>0</v>
      </c>
      <c r="W1541" s="102">
        <f t="shared" si="1089"/>
        <v>0</v>
      </c>
      <c r="X1541" s="102">
        <f t="shared" si="1090"/>
        <v>0</v>
      </c>
      <c r="Y1541" s="120" t="b">
        <f t="shared" si="1091"/>
        <v>0</v>
      </c>
      <c r="Z1541" s="117">
        <f t="shared" si="1092"/>
        <v>0</v>
      </c>
      <c r="AA1541" s="118"/>
      <c r="AB1541" s="118" t="str">
        <f t="shared" si="1093"/>
        <v/>
      </c>
      <c r="AC1541" s="712" t="str">
        <f>IF(AE1541="T2G","no charge",IF(AND(OR(PlanterYesMe="No",PlanterYesMe="N",PlanterYesMe="me"),H1541=""),"",IF(H1541="credit","NO install",IF(AND(K1541="",AE1541="me"),"EACH row",IF(AND(K1541="images",AE1541="me"),"EACH row",IF(D1541="","",IF(H1541="credit","",IF(AE1541="free","re-planting",IF(AE1541="me","   not ELP, by",IF(AND(OR(PlanterYesMe="Yes",PlanterYesMe="Y"),G1541&gt;0),(VLOOKUP(A1541,'Discount Lookup'!J:K,2)*G1541*(1-PlanterDiscount)*(1+PlanterDifficultyPercentage)),IF(AE1541="ELP",(VLOOKUP(A1541,'Discount Lookup'!J:K,2)*G1541*(1-PlanterDiscount)*(1+PlanterDifficultyPercentage)),IF(AE1541="free","re-planting",IF(G1541=0,"",IF(PlanterYesMe="",IF(AE1541="me","   not ELP, by",IF(AE1541="",IF(G1541&gt;0,(VLOOKUP(A1541,'Discount Lookup'!J:K,2)*G1541*(1-PlanterDiscount)*(1+PlanterDifficultyPercentage)),""),"")),"   not ELP, by"))))))))))))))</f>
        <v/>
      </c>
      <c r="AD1541" s="712"/>
      <c r="AE1541" s="513" t="str">
        <f t="shared" si="1094"/>
        <v/>
      </c>
      <c r="AF1541" s="713" t="str">
        <f t="shared" si="1095"/>
        <v/>
      </c>
      <c r="AG1541" s="713"/>
      <c r="AH1541" s="713"/>
      <c r="AI1541" s="112">
        <f>IF(H1541="credit",0,IF(AE1541="free",0,IF(AE1541="me",0,IF(G1541&gt;0,(VLOOKUP(A1541,'Discount Lookup'!J:K,2)*G1541),0))))</f>
        <v>0</v>
      </c>
      <c r="AJ1541" s="107" t="str">
        <f t="shared" ca="1" si="1096"/>
        <v/>
      </c>
      <c r="AK1541" s="714" t="str">
        <f t="shared" si="1097"/>
        <v/>
      </c>
      <c r="AL1541" s="714"/>
      <c r="AM1541" s="114" t="str">
        <f t="shared" si="1098"/>
        <v/>
      </c>
      <c r="AN1541" s="115"/>
      <c r="AO1541" s="116"/>
      <c r="AP1541" s="116"/>
      <c r="AQ1541" s="116"/>
      <c r="AR1541" s="116"/>
      <c r="AS1541" s="116"/>
      <c r="AT1541" s="116"/>
      <c r="AU1541" s="116"/>
      <c r="AV1541" s="78"/>
      <c r="AW1541" s="102"/>
      <c r="AX1541" s="78"/>
      <c r="AY1541" s="78"/>
      <c r="AZ1541" s="78"/>
      <c r="BA1541" s="78"/>
      <c r="BB1541" s="78"/>
      <c r="BC1541" s="78"/>
      <c r="BD1541" s="78"/>
      <c r="BE1541" s="465"/>
      <c r="BF1541" s="165" t="str">
        <f t="shared" si="1099"/>
        <v>https://www.google.com/search?tbm=isch&amp;q=2%20G6</v>
      </c>
      <c r="BG1541" s="165" t="str">
        <f t="shared" si="1100"/>
        <v>E</v>
      </c>
      <c r="BH1541" s="65"/>
      <c r="BI1541" s="65"/>
      <c r="BJ1541" s="65"/>
      <c r="BK1541" s="65"/>
      <c r="BL1541" s="99"/>
      <c r="BM1541" s="99"/>
      <c r="BN1541" s="99"/>
    </row>
    <row r="1542" spans="1:66" s="51" customFormat="1" ht="17.25" thickBot="1" x14ac:dyDescent="0.3">
      <c r="A1542" s="641" t="s">
        <v>4918</v>
      </c>
      <c r="B1542" s="642"/>
      <c r="C1542" s="710"/>
      <c r="D1542" s="643"/>
      <c r="E1542" s="643"/>
      <c r="F1542" s="644"/>
      <c r="G1542" s="645"/>
      <c r="H1542" s="646"/>
      <c r="I1542" s="647"/>
      <c r="J1542" s="648"/>
      <c r="K1542" s="649"/>
      <c r="L1542" s="650"/>
      <c r="M1542" s="650"/>
      <c r="N1542" s="644"/>
      <c r="O1542" s="644"/>
      <c r="P1542" s="644"/>
      <c r="Q1542" s="644"/>
      <c r="R1542" s="644"/>
      <c r="S1542" s="701" t="s">
        <v>5284</v>
      </c>
      <c r="T1542" s="102">
        <f t="shared" si="1088"/>
        <v>0</v>
      </c>
      <c r="U1542" s="78" t="str">
        <f>IF(NOT(ISNUMBER(G1542)), "", VLOOKUP(A1542,'Discount Lookup'!D:E,2,FALSE)*G1542)</f>
        <v/>
      </c>
      <c r="V1542" s="78" t="str">
        <f>IF(NOT(ISNUMBER(G1542)), "", VLOOKUP(A1542,'Discount Lookup'!G:H,2,FALSE)*G1542)</f>
        <v/>
      </c>
      <c r="W1542" s="102">
        <f t="shared" si="1089"/>
        <v>0</v>
      </c>
      <c r="X1542" s="102">
        <f t="shared" si="1090"/>
        <v>0</v>
      </c>
      <c r="Y1542" s="120" t="b">
        <f t="shared" si="1091"/>
        <v>0</v>
      </c>
      <c r="Z1542" s="117">
        <f t="shared" si="1092"/>
        <v>0</v>
      </c>
      <c r="AA1542" s="118"/>
      <c r="AB1542" s="118" t="str">
        <f t="shared" si="1093"/>
        <v/>
      </c>
      <c r="AC1542" s="712" t="str">
        <f>IF(AE1542="T2G","no charge",IF(AND(OR(PlanterYesMe="No",PlanterYesMe="N",PlanterYesMe="me"),H1542=""),"",IF(H1542="credit","NO install",IF(AND(K1542="",AE1542="me"),"EACH row",IF(AND(K1542="images",AE1542="me"),"EACH row",IF(D1542="","",IF(H1542="credit","",IF(AE1542="free","re-planting",IF(AE1542="me","   not ELP, by",IF(AND(OR(PlanterYesMe="Yes",PlanterYesMe="Y"),G1542&gt;0),(VLOOKUP(A1542,'Discount Lookup'!J:K,2)*G1542*(1-PlanterDiscount)*(1+PlanterDifficultyPercentage)),IF(AE1542="ELP",(VLOOKUP(A1542,'Discount Lookup'!J:K,2)*G1542*(1-PlanterDiscount)*(1+PlanterDifficultyPercentage)),IF(AE1542="free","re-planting",IF(G1542=0,"",IF(PlanterYesMe="",IF(AE1542="me","   not ELP, by",IF(AE1542="",IF(G1542&gt;0,(VLOOKUP(A1542,'Discount Lookup'!J:K,2)*G1542*(1-PlanterDiscount)*(1+PlanterDifficultyPercentage)),""),"")),"   not ELP, by"))))))))))))))</f>
        <v/>
      </c>
      <c r="AD1542" s="712"/>
      <c r="AE1542" s="513" t="str">
        <f t="shared" si="1094"/>
        <v/>
      </c>
      <c r="AF1542" s="713" t="str">
        <f t="shared" si="1095"/>
        <v/>
      </c>
      <c r="AG1542" s="713"/>
      <c r="AH1542" s="713"/>
      <c r="AI1542" s="112">
        <f>IF(H1542="credit",0,IF(AE1542="free",0,IF(AE1542="me",0,IF(G1542&gt;0,(VLOOKUP(A1542,'Discount Lookup'!J:K,2)*G1542),0))))</f>
        <v>0</v>
      </c>
      <c r="AJ1542" s="107" t="str">
        <f t="shared" ca="1" si="1096"/>
        <v/>
      </c>
      <c r="AK1542" s="714" t="str">
        <f t="shared" si="1097"/>
        <v/>
      </c>
      <c r="AL1542" s="714"/>
      <c r="AM1542" s="114" t="str">
        <f t="shared" si="1098"/>
        <v/>
      </c>
      <c r="AN1542" s="115"/>
      <c r="AO1542" s="116"/>
      <c r="AP1542" s="116"/>
      <c r="AQ1542" s="116"/>
      <c r="AR1542" s="116"/>
      <c r="AS1542" s="116"/>
      <c r="AT1542" s="116"/>
      <c r="AU1542" s="116"/>
      <c r="AV1542" s="78"/>
      <c r="AW1542" s="102"/>
      <c r="AX1542" s="78"/>
      <c r="AY1542" s="78"/>
      <c r="AZ1542" s="78"/>
      <c r="BA1542" s="78"/>
      <c r="BB1542" s="78"/>
      <c r="BC1542" s="78"/>
      <c r="BD1542" s="78"/>
      <c r="BE1542" s="465"/>
      <c r="BF1542" s="165" t="str">
        <f t="shared" si="1099"/>
        <v>https://www.google.com/search?tbm=isch&amp;q=Sombrero%20Adobe%20Orange%20is%20notable%20for%20its%20vibrant%2C%20non-fading%20Orange%20petals%20and%20its%20long%20bloom%20season%20</v>
      </c>
      <c r="BG1542" s="165" t="str">
        <f t="shared" si="1100"/>
        <v>S</v>
      </c>
      <c r="BH1542" s="65"/>
      <c r="BI1542" s="65"/>
      <c r="BJ1542" s="65"/>
      <c r="BK1542" s="65"/>
      <c r="BL1542" s="99"/>
      <c r="BM1542" s="99"/>
      <c r="BN1542" s="99"/>
    </row>
    <row r="1543" spans="1:66" s="51" customFormat="1" ht="18" x14ac:dyDescent="0.25">
      <c r="A1543" s="623" t="s">
        <v>2469</v>
      </c>
      <c r="B1543" s="624"/>
      <c r="C1543" s="709"/>
      <c r="D1543" s="625" t="s">
        <v>5658</v>
      </c>
      <c r="E1543" s="626"/>
      <c r="F1543" s="626"/>
      <c r="G1543" s="626"/>
      <c r="H1543" s="622" t="s">
        <v>2470</v>
      </c>
      <c r="I1543" s="627" t="s">
        <v>2471</v>
      </c>
      <c r="J1543" s="628"/>
      <c r="K1543" s="628"/>
      <c r="L1543" s="629"/>
      <c r="M1543" s="700" t="s">
        <v>5241</v>
      </c>
      <c r="N1543" s="693" t="str">
        <f>IF(AND(ISTEXT($A1543), ISERROR($A1543+0)), HYPERLINK($BF1543, "Images"), "")</f>
        <v>Images</v>
      </c>
      <c r="O1543" s="695" t="s">
        <v>5247</v>
      </c>
      <c r="P1543" s="630"/>
      <c r="Q1543" s="631"/>
      <c r="R1543" s="632"/>
      <c r="S1543" s="633" t="s">
        <v>294</v>
      </c>
      <c r="T1543" s="102">
        <f t="shared" si="1088"/>
        <v>0</v>
      </c>
      <c r="U1543" s="78" t="str">
        <f>IF(NOT(ISNUMBER(G1543)), "", VLOOKUP(A1543,'Discount Lookup'!D:E,2,FALSE)*G1543)</f>
        <v/>
      </c>
      <c r="V1543" s="78" t="str">
        <f>IF(NOT(ISNUMBER(G1543)), "", VLOOKUP(A1543,'Discount Lookup'!G:H,2,FALSE)*G1543)</f>
        <v/>
      </c>
      <c r="W1543" s="102">
        <f t="shared" si="1089"/>
        <v>0</v>
      </c>
      <c r="X1543" s="102" t="str">
        <f t="shared" si="1090"/>
        <v>Golden-Yellow bloom</v>
      </c>
      <c r="Y1543" s="120" t="b">
        <f t="shared" si="1091"/>
        <v>0</v>
      </c>
      <c r="Z1543" s="117">
        <f t="shared" si="1092"/>
        <v>0</v>
      </c>
      <c r="AA1543" s="118"/>
      <c r="AB1543" s="118" t="str">
        <f t="shared" si="1093"/>
        <v/>
      </c>
      <c r="AC1543" s="712" t="str">
        <f>IF(AE1543="T2G","no charge",IF(AND(OR(PlanterYesMe="No",PlanterYesMe="N",PlanterYesMe="me"),H1543=""),"",IF(H1543="credit","NO install",IF(AND(K1543="",AE1543="me"),"EACH row",IF(AND(K1543="images",AE1543="me"),"EACH row",IF(D1543="","",IF(H1543="credit","",IF(AE1543="free","re-planting",IF(AE1543="me","   not ELP, by",IF(AND(OR(PlanterYesMe="Yes",PlanterYesMe="Y"),G1543&gt;0),(VLOOKUP(A1543,'Discount Lookup'!J:K,2)*G1543*(1-PlanterDiscount)*(1+PlanterDifficultyPercentage)),IF(AE1543="ELP",(VLOOKUP(A1543,'Discount Lookup'!J:K,2)*G1543*(1-PlanterDiscount)*(1+PlanterDifficultyPercentage)),IF(AE1543="free","re-planting",IF(G1543=0,"",IF(PlanterYesMe="",IF(AE1543="me","   not ELP, by",IF(AE1543="",IF(G1543&gt;0,(VLOOKUP(A1543,'Discount Lookup'!J:K,2)*G1543*(1-PlanterDiscount)*(1+PlanterDifficultyPercentage)),""),"")),"   not ELP, by"))))))))))))))</f>
        <v/>
      </c>
      <c r="AD1543" s="712"/>
      <c r="AE1543" s="513" t="str">
        <f t="shared" si="1094"/>
        <v/>
      </c>
      <c r="AF1543" s="713" t="str">
        <f t="shared" si="1095"/>
        <v/>
      </c>
      <c r="AG1543" s="713"/>
      <c r="AH1543" s="713"/>
      <c r="AI1543" s="112">
        <f>IF(H1543="credit",0,IF(AE1543="free",0,IF(AE1543="me",0,IF(G1543&gt;0,(VLOOKUP(A1543,'Discount Lookup'!J:K,2)*G1543),0))))</f>
        <v>0</v>
      </c>
      <c r="AJ1543" s="107" t="str">
        <f t="shared" ca="1" si="1096"/>
        <v/>
      </c>
      <c r="AK1543" s="714" t="str">
        <f t="shared" si="1097"/>
        <v/>
      </c>
      <c r="AL1543" s="714"/>
      <c r="AM1543" s="114" t="str">
        <f t="shared" si="1098"/>
        <v/>
      </c>
      <c r="AN1543" s="115"/>
      <c r="AO1543" s="116"/>
      <c r="AP1543" s="116"/>
      <c r="AQ1543" s="116"/>
      <c r="AR1543" s="116"/>
      <c r="AS1543" s="116"/>
      <c r="AT1543" s="116"/>
      <c r="AU1543" s="116"/>
      <c r="AV1543" s="78"/>
      <c r="AW1543" s="102"/>
      <c r="AX1543" s="78"/>
      <c r="AY1543" s="78"/>
      <c r="AZ1543" s="78"/>
      <c r="BA1543" s="78"/>
      <c r="BB1543" s="78"/>
      <c r="BC1543" s="78"/>
      <c r="BD1543" s="78"/>
      <c r="BE1543" s="465"/>
      <c r="BF1543" s="165" t="str">
        <f t="shared" si="1099"/>
        <v>https://www.google.com/search?tbm=isch&amp;q=Echinacea%20%27Balsomold%27%20PP%2330115%20Sombrero%C2%AE%20Granada%20Gold%20Coneflower</v>
      </c>
      <c r="BG1543" s="165" t="str">
        <f t="shared" si="1100"/>
        <v>E</v>
      </c>
      <c r="BH1543" s="65"/>
      <c r="BI1543" s="65"/>
      <c r="BJ1543" s="65"/>
      <c r="BK1543" s="65"/>
      <c r="BL1543" s="99"/>
      <c r="BM1543" s="99"/>
      <c r="BN1543" s="99"/>
    </row>
    <row r="1544" spans="1:66" s="51" customFormat="1" ht="15.75" x14ac:dyDescent="0.25">
      <c r="A1544" s="634">
        <v>1</v>
      </c>
      <c r="B1544" s="635" t="s">
        <v>291</v>
      </c>
      <c r="C1544" s="636"/>
      <c r="D1544" s="637" t="s">
        <v>329</v>
      </c>
      <c r="E1544" s="638">
        <v>13.95</v>
      </c>
      <c r="F1544" s="639" t="s">
        <v>292</v>
      </c>
      <c r="G1544" s="484">
        <v>0</v>
      </c>
      <c r="H1544" s="691" t="str">
        <f>IF(G1544=0,"",IF(F1544="Buy",IF(G1544=1,"plant","plants"),IF(F1544&gt;0.01,"warranty","Error")))</f>
        <v/>
      </c>
      <c r="I1544" s="640">
        <f>IF(H1544="free",0,IF(H1544="credit",((E1544*(F1544))*G1544*-1),IF(F1544="Buy",(E1544*G1544),((E1544*(1-F1544))*G1544))))</f>
        <v>0</v>
      </c>
      <c r="J1544" s="640">
        <f>IF(H1544="warranty",0,(I1544*(_xlfn.SINGLE(SalesTaxPercentage))))</f>
        <v>0</v>
      </c>
      <c r="K1544" s="716">
        <f t="shared" ref="K1544" si="1129">I1544+J1544</f>
        <v>0</v>
      </c>
      <c r="L1544" s="716"/>
      <c r="M1544" s="689" t="str">
        <f ca="1">IF(AND(G1544&gt;0,E1544=0),"WARNING - no PRICE inserted",IF(H1544="free","FREE ~ no charge this plant",IF(H1544="credit",CONCATENATE("-$",ROUND(K1544*(1-_xlfn.SINGLE(T2GDiscount))*-1,2)," CREDIT after discount"),IF(_xlfn.SINGLE(T2GDiscount)=0,"",IF(G1544=0,"",IF(F1544="Buy",CONCATENATE("$",ROUND(K1544*(1-_xlfn.SINGLE(T2GDiscount)),2)," with ",(_xlfn.SINGLE(T2GDiscount)*100),"% discount"),CONCATENATE("$",ROUND(K1544*(1-_xlfn.SINGLE(T2GDiscount)),2)," with ",((_xlfn.SINGLE(T2GDiscount)*100+F1544*100)-(_xlfn.SINGLE(T2GDiscount)*100*F1544)),IF(F1544&gt;0,"% discounts",IF(_xlfn.SINGLE(NoWarrantyDiscount)&gt;0,"% discounts","% discount")))))))))</f>
        <v/>
      </c>
      <c r="N1544" s="690"/>
      <c r="O1544" s="486"/>
      <c r="P1544" s="486"/>
      <c r="Q1544" s="486"/>
      <c r="R1544" s="486"/>
      <c r="S1544" s="486"/>
      <c r="T1544" s="102">
        <f t="shared" si="1088"/>
        <v>0</v>
      </c>
      <c r="U1544" s="78">
        <f>IF(NOT(ISNUMBER(G1544)), "", VLOOKUP(A1544,'Discount Lookup'!D:E,2,FALSE)*G1544)</f>
        <v>0</v>
      </c>
      <c r="V1544" s="78">
        <f>IF(NOT(ISNUMBER(G1544)), "", VLOOKUP(A1544,'Discount Lookup'!G:H,2,FALSE)*G1544)</f>
        <v>0</v>
      </c>
      <c r="W1544" s="102">
        <f t="shared" si="1089"/>
        <v>0</v>
      </c>
      <c r="X1544" s="102">
        <f t="shared" si="1090"/>
        <v>0</v>
      </c>
      <c r="Y1544" s="120" t="b">
        <f t="shared" si="1091"/>
        <v>0</v>
      </c>
      <c r="Z1544" s="117">
        <f t="shared" si="1092"/>
        <v>0</v>
      </c>
      <c r="AA1544" s="118"/>
      <c r="AB1544" s="118" t="str">
        <f t="shared" si="1093"/>
        <v/>
      </c>
      <c r="AC1544" s="712" t="str">
        <f>IF(AE1544="T2G","no charge",IF(AND(OR(PlanterYesMe="No",PlanterYesMe="N",PlanterYesMe="me"),H1544=""),"",IF(H1544="credit","NO install",IF(AND(K1544="",AE1544="me"),"EACH row",IF(AND(K1544="images",AE1544="me"),"EACH row",IF(D1544="","",IF(H1544="credit","",IF(AE1544="free","re-planting",IF(AE1544="me","   not ELP, by",IF(AND(OR(PlanterYesMe="Yes",PlanterYesMe="Y"),G1544&gt;0),(VLOOKUP(A1544,'Discount Lookup'!J:K,2)*G1544*(1-PlanterDiscount)*(1+PlanterDifficultyPercentage)),IF(AE1544="ELP",(VLOOKUP(A1544,'Discount Lookup'!J:K,2)*G1544*(1-PlanterDiscount)*(1+PlanterDifficultyPercentage)),IF(AE1544="free","re-planting",IF(G1544=0,"",IF(PlanterYesMe="",IF(AE1544="me","   not ELP, by",IF(AE1544="",IF(G1544&gt;0,(VLOOKUP(A1544,'Discount Lookup'!J:K,2)*G1544*(1-PlanterDiscount)*(1+PlanterDifficultyPercentage)),""),"")),"   not ELP, by"))))))))))))))</f>
        <v/>
      </c>
      <c r="AD1544" s="712"/>
      <c r="AE1544" s="513" t="str">
        <f t="shared" si="1094"/>
        <v/>
      </c>
      <c r="AF1544" s="713" t="str">
        <f t="shared" si="1095"/>
        <v/>
      </c>
      <c r="AG1544" s="713"/>
      <c r="AH1544" s="713"/>
      <c r="AI1544" s="112">
        <f>IF(H1544="credit",0,IF(AE1544="free",0,IF(AE1544="me",0,IF(G1544&gt;0,(VLOOKUP(A1544,'Discount Lookup'!J:K,2)*G1544),0))))</f>
        <v>0</v>
      </c>
      <c r="AJ1544" s="107" t="str">
        <f t="shared" ca="1" si="1096"/>
        <v/>
      </c>
      <c r="AK1544" s="714" t="str">
        <f t="shared" si="1097"/>
        <v/>
      </c>
      <c r="AL1544" s="714"/>
      <c r="AM1544" s="114" t="str">
        <f t="shared" si="1098"/>
        <v/>
      </c>
      <c r="AN1544" s="115"/>
      <c r="AO1544" s="116"/>
      <c r="AP1544" s="116"/>
      <c r="AQ1544" s="116"/>
      <c r="AR1544" s="116"/>
      <c r="AS1544" s="116"/>
      <c r="AT1544" s="116"/>
      <c r="AU1544" s="116"/>
      <c r="AV1544" s="78"/>
      <c r="AW1544" s="102"/>
      <c r="AX1544" s="78"/>
      <c r="AY1544" s="78"/>
      <c r="AZ1544" s="78"/>
      <c r="BA1544" s="78"/>
      <c r="BB1544" s="78"/>
      <c r="BC1544" s="78"/>
      <c r="BD1544" s="78"/>
      <c r="BE1544" s="465"/>
      <c r="BF1544" s="165" t="str">
        <f t="shared" si="1099"/>
        <v>https://www.google.com/search?tbm=isch&amp;q=1%20G2</v>
      </c>
      <c r="BG1544" s="165" t="str">
        <f t="shared" si="1100"/>
        <v>E</v>
      </c>
      <c r="BH1544" s="65"/>
      <c r="BI1544" s="65"/>
      <c r="BJ1544" s="65"/>
      <c r="BK1544" s="65"/>
      <c r="BL1544" s="99"/>
      <c r="BM1544" s="99"/>
      <c r="BN1544" s="99"/>
    </row>
    <row r="1545" spans="1:66" s="51" customFormat="1" ht="17.25" thickBot="1" x14ac:dyDescent="0.3">
      <c r="A1545" s="641" t="s">
        <v>2472</v>
      </c>
      <c r="B1545" s="642"/>
      <c r="C1545" s="710"/>
      <c r="D1545" s="643"/>
      <c r="E1545" s="643"/>
      <c r="F1545" s="644"/>
      <c r="G1545" s="645"/>
      <c r="H1545" s="646"/>
      <c r="I1545" s="647"/>
      <c r="J1545" s="648"/>
      <c r="K1545" s="649"/>
      <c r="L1545" s="650"/>
      <c r="M1545" s="650"/>
      <c r="N1545" s="644"/>
      <c r="O1545" s="644"/>
      <c r="P1545" s="644"/>
      <c r="Q1545" s="644"/>
      <c r="R1545" s="644"/>
      <c r="S1545" s="701" t="s">
        <v>5284</v>
      </c>
      <c r="T1545" s="102">
        <f t="shared" si="1088"/>
        <v>0</v>
      </c>
      <c r="U1545" s="78" t="str">
        <f>IF(NOT(ISNUMBER(G1545)), "", VLOOKUP(A1545,'Discount Lookup'!D:E,2,FALSE)*G1545)</f>
        <v/>
      </c>
      <c r="V1545" s="78" t="str">
        <f>IF(NOT(ISNUMBER(G1545)), "", VLOOKUP(A1545,'Discount Lookup'!G:H,2,FALSE)*G1545)</f>
        <v/>
      </c>
      <c r="W1545" s="102">
        <f t="shared" si="1089"/>
        <v>0</v>
      </c>
      <c r="X1545" s="102">
        <f t="shared" si="1090"/>
        <v>0</v>
      </c>
      <c r="Y1545" s="120" t="b">
        <f t="shared" si="1091"/>
        <v>0</v>
      </c>
      <c r="Z1545" s="117">
        <f t="shared" si="1092"/>
        <v>0</v>
      </c>
      <c r="AA1545" s="118"/>
      <c r="AB1545" s="118" t="str">
        <f t="shared" si="1093"/>
        <v/>
      </c>
      <c r="AC1545" s="712" t="str">
        <f>IF(AE1545="T2G","no charge",IF(AND(OR(PlanterYesMe="No",PlanterYesMe="N",PlanterYesMe="me"),H1545=""),"",IF(H1545="credit","NO install",IF(AND(K1545="",AE1545="me"),"EACH row",IF(AND(K1545="images",AE1545="me"),"EACH row",IF(D1545="","",IF(H1545="credit","",IF(AE1545="free","re-planting",IF(AE1545="me","   not ELP, by",IF(AND(OR(PlanterYesMe="Yes",PlanterYesMe="Y"),G1545&gt;0),(VLOOKUP(A1545,'Discount Lookup'!J:K,2)*G1545*(1-PlanterDiscount)*(1+PlanterDifficultyPercentage)),IF(AE1545="ELP",(VLOOKUP(A1545,'Discount Lookup'!J:K,2)*G1545*(1-PlanterDiscount)*(1+PlanterDifficultyPercentage)),IF(AE1545="free","re-planting",IF(G1545=0,"",IF(PlanterYesMe="",IF(AE1545="me","   not ELP, by",IF(AE1545="",IF(G1545&gt;0,(VLOOKUP(A1545,'Discount Lookup'!J:K,2)*G1545*(1-PlanterDiscount)*(1+PlanterDifficultyPercentage)),""),"")),"   not ELP, by"))))))))))))))</f>
        <v/>
      </c>
      <c r="AD1545" s="712"/>
      <c r="AE1545" s="513" t="str">
        <f t="shared" si="1094"/>
        <v/>
      </c>
      <c r="AF1545" s="713" t="str">
        <f t="shared" si="1095"/>
        <v/>
      </c>
      <c r="AG1545" s="713"/>
      <c r="AH1545" s="713"/>
      <c r="AI1545" s="112">
        <f>IF(H1545="credit",0,IF(AE1545="free",0,IF(AE1545="me",0,IF(G1545&gt;0,(VLOOKUP(A1545,'Discount Lookup'!J:K,2)*G1545),0))))</f>
        <v>0</v>
      </c>
      <c r="AJ1545" s="107" t="str">
        <f t="shared" ca="1" si="1096"/>
        <v/>
      </c>
      <c r="AK1545" s="714" t="str">
        <f t="shared" si="1097"/>
        <v/>
      </c>
      <c r="AL1545" s="714"/>
      <c r="AM1545" s="114" t="str">
        <f t="shared" si="1098"/>
        <v/>
      </c>
      <c r="AN1545" s="115"/>
      <c r="AO1545" s="116"/>
      <c r="AP1545" s="116"/>
      <c r="AQ1545" s="116"/>
      <c r="AR1545" s="116"/>
      <c r="AS1545" s="116"/>
      <c r="AT1545" s="116"/>
      <c r="AU1545" s="116"/>
      <c r="AV1545" s="78"/>
      <c r="AW1545" s="102"/>
      <c r="AX1545" s="78"/>
      <c r="AY1545" s="78"/>
      <c r="AZ1545" s="78"/>
      <c r="BA1545" s="78"/>
      <c r="BB1545" s="78"/>
      <c r="BC1545" s="78"/>
      <c r="BD1545" s="78"/>
      <c r="BE1545" s="465"/>
      <c r="BF1545" s="165" t="str">
        <f t="shared" si="1099"/>
        <v>https://www.google.com/search?tbm=isch&amp;q=Granada%20Gold%2C%20like%20most%20Echinacea%2C%20is%20a%20source%20of%20food%20for%20birds%20-%20just%20don%27t%20deadhead%20the%20flowers%20</v>
      </c>
      <c r="BG1545" s="165" t="str">
        <f t="shared" si="1100"/>
        <v>G</v>
      </c>
      <c r="BH1545" s="65"/>
      <c r="BI1545" s="65"/>
      <c r="BJ1545" s="65"/>
      <c r="BK1545" s="65"/>
      <c r="BL1545" s="99"/>
      <c r="BM1545" s="99"/>
      <c r="BN1545" s="99"/>
    </row>
    <row r="1546" spans="1:66" s="51" customFormat="1" ht="18" x14ac:dyDescent="0.25">
      <c r="A1546" s="623" t="s">
        <v>2473</v>
      </c>
      <c r="B1546" s="624"/>
      <c r="C1546" s="709"/>
      <c r="D1546" s="625" t="s">
        <v>5659</v>
      </c>
      <c r="E1546" s="626"/>
      <c r="F1546" s="626"/>
      <c r="G1546" s="626"/>
      <c r="H1546" s="622" t="s">
        <v>4884</v>
      </c>
      <c r="I1546" s="627" t="s">
        <v>2410</v>
      </c>
      <c r="J1546" s="628"/>
      <c r="K1546" s="628"/>
      <c r="L1546" s="629"/>
      <c r="M1546" s="700" t="s">
        <v>5241</v>
      </c>
      <c r="N1546" s="693" t="str">
        <f>IF(AND(ISTEXT($A1546), ISERROR($A1546+0)), HYPERLINK($BF1546, "Images"), "")</f>
        <v>Images</v>
      </c>
      <c r="O1546" s="695" t="s">
        <v>5247</v>
      </c>
      <c r="P1546" s="630"/>
      <c r="Q1546" s="631"/>
      <c r="R1546" s="632"/>
      <c r="S1546" s="633" t="s">
        <v>294</v>
      </c>
      <c r="T1546" s="102">
        <f t="shared" si="1088"/>
        <v>0</v>
      </c>
      <c r="U1546" s="78" t="str">
        <f>IF(NOT(ISNUMBER(G1546)), "", VLOOKUP(A1546,'Discount Lookup'!D:E,2,FALSE)*G1546)</f>
        <v/>
      </c>
      <c r="V1546" s="78" t="str">
        <f>IF(NOT(ISNUMBER(G1546)), "", VLOOKUP(A1546,'Discount Lookup'!G:H,2,FALSE)*G1546)</f>
        <v/>
      </c>
      <c r="W1546" s="102">
        <f t="shared" si="1089"/>
        <v>0</v>
      </c>
      <c r="X1546" s="102" t="str">
        <f t="shared" si="1090"/>
        <v>Deep Red bloom</v>
      </c>
      <c r="Y1546" s="120" t="b">
        <f t="shared" si="1091"/>
        <v>0</v>
      </c>
      <c r="Z1546" s="117">
        <f t="shared" si="1092"/>
        <v>0</v>
      </c>
      <c r="AA1546" s="118"/>
      <c r="AB1546" s="118" t="str">
        <f t="shared" si="1093"/>
        <v/>
      </c>
      <c r="AC1546" s="712" t="str">
        <f>IF(AE1546="T2G","no charge",IF(AND(OR(PlanterYesMe="No",PlanterYesMe="N",PlanterYesMe="me"),H1546=""),"",IF(H1546="credit","NO install",IF(AND(K1546="",AE1546="me"),"EACH row",IF(AND(K1546="images",AE1546="me"),"EACH row",IF(D1546="","",IF(H1546="credit","",IF(AE1546="free","re-planting",IF(AE1546="me","   not ELP, by",IF(AND(OR(PlanterYesMe="Yes",PlanterYesMe="Y"),G1546&gt;0),(VLOOKUP(A1546,'Discount Lookup'!J:K,2)*G1546*(1-PlanterDiscount)*(1+PlanterDifficultyPercentage)),IF(AE1546="ELP",(VLOOKUP(A1546,'Discount Lookup'!J:K,2)*G1546*(1-PlanterDiscount)*(1+PlanterDifficultyPercentage)),IF(AE1546="free","re-planting",IF(G1546=0,"",IF(PlanterYesMe="",IF(AE1546="me","   not ELP, by",IF(AE1546="",IF(G1546&gt;0,(VLOOKUP(A1546,'Discount Lookup'!J:K,2)*G1546*(1-PlanterDiscount)*(1+PlanterDifficultyPercentage)),""),"")),"   not ELP, by"))))))))))))))</f>
        <v/>
      </c>
      <c r="AD1546" s="712"/>
      <c r="AE1546" s="513" t="str">
        <f t="shared" si="1094"/>
        <v/>
      </c>
      <c r="AF1546" s="713" t="str">
        <f t="shared" si="1095"/>
        <v/>
      </c>
      <c r="AG1546" s="713"/>
      <c r="AH1546" s="713"/>
      <c r="AI1546" s="112">
        <f>IF(H1546="credit",0,IF(AE1546="free",0,IF(AE1546="me",0,IF(G1546&gt;0,(VLOOKUP(A1546,'Discount Lookup'!J:K,2)*G1546),0))))</f>
        <v>0</v>
      </c>
      <c r="AJ1546" s="107" t="str">
        <f t="shared" ca="1" si="1096"/>
        <v/>
      </c>
      <c r="AK1546" s="714" t="str">
        <f t="shared" si="1097"/>
        <v/>
      </c>
      <c r="AL1546" s="714"/>
      <c r="AM1546" s="114" t="str">
        <f t="shared" si="1098"/>
        <v/>
      </c>
      <c r="AN1546" s="115"/>
      <c r="AO1546" s="116"/>
      <c r="AP1546" s="116"/>
      <c r="AQ1546" s="116"/>
      <c r="AR1546" s="116"/>
      <c r="AS1546" s="116"/>
      <c r="AT1546" s="116"/>
      <c r="AU1546" s="116"/>
      <c r="AV1546" s="78"/>
      <c r="AW1546" s="102"/>
      <c r="AX1546" s="78"/>
      <c r="AY1546" s="78"/>
      <c r="AZ1546" s="78"/>
      <c r="BA1546" s="78"/>
      <c r="BB1546" s="78"/>
      <c r="BC1546" s="78"/>
      <c r="BD1546" s="78"/>
      <c r="BE1546" s="465"/>
      <c r="BF1546" s="165" t="str">
        <f t="shared" si="1099"/>
        <v>https://www.google.com/search?tbm=isch&amp;q=Echinacea%20%27Balsomsed%27%20PP%2323105%20Sombrero%C2%AE%20Red%20Coneflower</v>
      </c>
      <c r="BG1546" s="165" t="str">
        <f t="shared" si="1100"/>
        <v>E</v>
      </c>
      <c r="BH1546" s="65"/>
      <c r="BI1546" s="65"/>
      <c r="BJ1546" s="65"/>
      <c r="BK1546" s="65"/>
      <c r="BL1546" s="99"/>
      <c r="BM1546" s="99"/>
      <c r="BN1546" s="99"/>
    </row>
    <row r="1547" spans="1:66" s="51" customFormat="1" ht="15.75" x14ac:dyDescent="0.25">
      <c r="A1547" s="634">
        <v>2</v>
      </c>
      <c r="B1547" s="635" t="s">
        <v>291</v>
      </c>
      <c r="C1547" s="636" t="s">
        <v>4966</v>
      </c>
      <c r="D1547" s="637" t="s">
        <v>293</v>
      </c>
      <c r="E1547" s="638">
        <v>26.95</v>
      </c>
      <c r="F1547" s="639" t="s">
        <v>292</v>
      </c>
      <c r="G1547" s="484">
        <v>0</v>
      </c>
      <c r="H1547" s="691" t="str">
        <f>IF(G1547=0,"",IF(F1547="Buy",IF(G1547=1,"plant","plants"),IF(F1547&gt;0.01,"warranty","Error")))</f>
        <v/>
      </c>
      <c r="I1547" s="640">
        <f>IF(H1547="free",0,IF(H1547="credit",((E1547*(F1547))*G1547*-1),IF(F1547="Buy",(E1547*G1547),((E1547*(1-F1547))*G1547))))</f>
        <v>0</v>
      </c>
      <c r="J1547" s="640">
        <f>IF(H1547="warranty",0,(I1547*(_xlfn.SINGLE(SalesTaxPercentage))))</f>
        <v>0</v>
      </c>
      <c r="K1547" s="716">
        <f t="shared" ref="K1547" si="1130">I1547+J1547</f>
        <v>0</v>
      </c>
      <c r="L1547" s="716"/>
      <c r="M1547" s="689" t="str">
        <f ca="1">IF(AND(G1547&gt;0,E1547=0),"WARNING - no PRICE inserted",IF(H1547="free","FREE ~ no charge this plant",IF(H1547="credit",CONCATENATE("-$",ROUND(K1547*(1-_xlfn.SINGLE(T2GDiscount))*-1,2)," CREDIT after discount"),IF(_xlfn.SINGLE(T2GDiscount)=0,"",IF(G1547=0,"",IF(F1547="Buy",CONCATENATE("$",ROUND(K1547*(1-_xlfn.SINGLE(T2GDiscount)),2)," with ",(_xlfn.SINGLE(T2GDiscount)*100),"% discount"),CONCATENATE("$",ROUND(K1547*(1-_xlfn.SINGLE(T2GDiscount)),2)," with ",((_xlfn.SINGLE(T2GDiscount)*100+F1547*100)-(_xlfn.SINGLE(T2GDiscount)*100*F1547)),IF(F1547&gt;0,"% discounts",IF(_xlfn.SINGLE(NoWarrantyDiscount)&gt;0,"% discounts","% discount")))))))))</f>
        <v/>
      </c>
      <c r="N1547" s="690"/>
      <c r="O1547" s="486"/>
      <c r="P1547" s="486"/>
      <c r="Q1547" s="486"/>
      <c r="R1547" s="486"/>
      <c r="S1547" s="486"/>
      <c r="T1547" s="102">
        <f t="shared" si="1088"/>
        <v>0</v>
      </c>
      <c r="U1547" s="78">
        <f>IF(NOT(ISNUMBER(G1547)), "", VLOOKUP(A1547,'Discount Lookup'!D:E,2,FALSE)*G1547)</f>
        <v>0</v>
      </c>
      <c r="V1547" s="78">
        <f>IF(NOT(ISNUMBER(G1547)), "", VLOOKUP(A1547,'Discount Lookup'!G:H,2,FALSE)*G1547)</f>
        <v>0</v>
      </c>
      <c r="W1547" s="102">
        <f t="shared" si="1089"/>
        <v>0</v>
      </c>
      <c r="X1547" s="102">
        <f t="shared" si="1090"/>
        <v>0</v>
      </c>
      <c r="Y1547" s="120" t="b">
        <f t="shared" si="1091"/>
        <v>0</v>
      </c>
      <c r="Z1547" s="117">
        <f t="shared" si="1092"/>
        <v>0</v>
      </c>
      <c r="AA1547" s="118"/>
      <c r="AB1547" s="118" t="str">
        <f t="shared" si="1093"/>
        <v/>
      </c>
      <c r="AC1547" s="712" t="str">
        <f>IF(AE1547="T2G","no charge",IF(AND(OR(PlanterYesMe="No",PlanterYesMe="N",PlanterYesMe="me"),H1547=""),"",IF(H1547="credit","NO install",IF(AND(K1547="",AE1547="me"),"EACH row",IF(AND(K1547="images",AE1547="me"),"EACH row",IF(D1547="","",IF(H1547="credit","",IF(AE1547="free","re-planting",IF(AE1547="me","   not ELP, by",IF(AND(OR(PlanterYesMe="Yes",PlanterYesMe="Y"),G1547&gt;0),(VLOOKUP(A1547,'Discount Lookup'!J:K,2)*G1547*(1-PlanterDiscount)*(1+PlanterDifficultyPercentage)),IF(AE1547="ELP",(VLOOKUP(A1547,'Discount Lookup'!J:K,2)*G1547*(1-PlanterDiscount)*(1+PlanterDifficultyPercentage)),IF(AE1547="free","re-planting",IF(G1547=0,"",IF(PlanterYesMe="",IF(AE1547="me","   not ELP, by",IF(AE1547="",IF(G1547&gt;0,(VLOOKUP(A1547,'Discount Lookup'!J:K,2)*G1547*(1-PlanterDiscount)*(1+PlanterDifficultyPercentage)),""),"")),"   not ELP, by"))))))))))))))</f>
        <v/>
      </c>
      <c r="AD1547" s="712"/>
      <c r="AE1547" s="513" t="str">
        <f t="shared" si="1094"/>
        <v/>
      </c>
      <c r="AF1547" s="713" t="str">
        <f t="shared" si="1095"/>
        <v/>
      </c>
      <c r="AG1547" s="713"/>
      <c r="AH1547" s="713"/>
      <c r="AI1547" s="112">
        <f>IF(H1547="credit",0,IF(AE1547="free",0,IF(AE1547="me",0,IF(G1547&gt;0,(VLOOKUP(A1547,'Discount Lookup'!J:K,2)*G1547),0))))</f>
        <v>0</v>
      </c>
      <c r="AJ1547" s="107" t="str">
        <f t="shared" ca="1" si="1096"/>
        <v/>
      </c>
      <c r="AK1547" s="714" t="str">
        <f t="shared" si="1097"/>
        <v/>
      </c>
      <c r="AL1547" s="714"/>
      <c r="AM1547" s="114" t="str">
        <f t="shared" si="1098"/>
        <v/>
      </c>
      <c r="AN1547" s="115"/>
      <c r="AO1547" s="116"/>
      <c r="AP1547" s="116"/>
      <c r="AQ1547" s="116"/>
      <c r="AR1547" s="116"/>
      <c r="AS1547" s="116"/>
      <c r="AT1547" s="116"/>
      <c r="AU1547" s="116"/>
      <c r="AV1547" s="78"/>
      <c r="AW1547" s="102"/>
      <c r="AX1547" s="78"/>
      <c r="AY1547" s="78"/>
      <c r="AZ1547" s="78"/>
      <c r="BA1547" s="78"/>
      <c r="BB1547" s="78"/>
      <c r="BC1547" s="78"/>
      <c r="BD1547" s="78"/>
      <c r="BE1547" s="465"/>
      <c r="BF1547" s="165" t="str">
        <f t="shared" si="1099"/>
        <v>https://www.google.com/search?tbm=isch&amp;q=2%20G6</v>
      </c>
      <c r="BG1547" s="165" t="str">
        <f t="shared" si="1100"/>
        <v>E</v>
      </c>
      <c r="BH1547" s="65"/>
      <c r="BI1547" s="65"/>
      <c r="BJ1547" s="65"/>
      <c r="BK1547" s="65"/>
      <c r="BL1547" s="99"/>
      <c r="BM1547" s="99"/>
      <c r="BN1547" s="99"/>
    </row>
    <row r="1548" spans="1:66" s="51" customFormat="1" ht="17.25" thickBot="1" x14ac:dyDescent="0.3">
      <c r="A1548" s="641" t="s">
        <v>4885</v>
      </c>
      <c r="B1548" s="642"/>
      <c r="C1548" s="710"/>
      <c r="D1548" s="643"/>
      <c r="E1548" s="643"/>
      <c r="F1548" s="644"/>
      <c r="G1548" s="645"/>
      <c r="H1548" s="646"/>
      <c r="I1548" s="647"/>
      <c r="J1548" s="648"/>
      <c r="K1548" s="649"/>
      <c r="L1548" s="650"/>
      <c r="M1548" s="650"/>
      <c r="N1548" s="644"/>
      <c r="O1548" s="644"/>
      <c r="P1548" s="644"/>
      <c r="Q1548" s="644"/>
      <c r="R1548" s="644"/>
      <c r="S1548" s="701" t="s">
        <v>5284</v>
      </c>
      <c r="T1548" s="102">
        <f t="shared" si="1088"/>
        <v>0</v>
      </c>
      <c r="U1548" s="78" t="str">
        <f>IF(NOT(ISNUMBER(G1548)), "", VLOOKUP(A1548,'Discount Lookup'!D:E,2,FALSE)*G1548)</f>
        <v/>
      </c>
      <c r="V1548" s="78" t="str">
        <f>IF(NOT(ISNUMBER(G1548)), "", VLOOKUP(A1548,'Discount Lookup'!G:H,2,FALSE)*G1548)</f>
        <v/>
      </c>
      <c r="W1548" s="102">
        <f t="shared" si="1089"/>
        <v>0</v>
      </c>
      <c r="X1548" s="102">
        <f t="shared" si="1090"/>
        <v>0</v>
      </c>
      <c r="Y1548" s="120" t="b">
        <f t="shared" si="1091"/>
        <v>0</v>
      </c>
      <c r="Z1548" s="117">
        <f t="shared" si="1092"/>
        <v>0</v>
      </c>
      <c r="AA1548" s="118"/>
      <c r="AB1548" s="118" t="str">
        <f t="shared" si="1093"/>
        <v/>
      </c>
      <c r="AC1548" s="712" t="str">
        <f>IF(AE1548="T2G","no charge",IF(AND(OR(PlanterYesMe="No",PlanterYesMe="N",PlanterYesMe="me"),H1548=""),"",IF(H1548="credit","NO install",IF(AND(K1548="",AE1548="me"),"EACH row",IF(AND(K1548="images",AE1548="me"),"EACH row",IF(D1548="","",IF(H1548="credit","",IF(AE1548="free","re-planting",IF(AE1548="me","   not ELP, by",IF(AND(OR(PlanterYesMe="Yes",PlanterYesMe="Y"),G1548&gt;0),(VLOOKUP(A1548,'Discount Lookup'!J:K,2)*G1548*(1-PlanterDiscount)*(1+PlanterDifficultyPercentage)),IF(AE1548="ELP",(VLOOKUP(A1548,'Discount Lookup'!J:K,2)*G1548*(1-PlanterDiscount)*(1+PlanterDifficultyPercentage)),IF(AE1548="free","re-planting",IF(G1548=0,"",IF(PlanterYesMe="",IF(AE1548="me","   not ELP, by",IF(AE1548="",IF(G1548&gt;0,(VLOOKUP(A1548,'Discount Lookup'!J:K,2)*G1548*(1-PlanterDiscount)*(1+PlanterDifficultyPercentage)),""),"")),"   not ELP, by"))))))))))))))</f>
        <v/>
      </c>
      <c r="AD1548" s="712"/>
      <c r="AE1548" s="513" t="str">
        <f t="shared" si="1094"/>
        <v/>
      </c>
      <c r="AF1548" s="713" t="str">
        <f t="shared" si="1095"/>
        <v/>
      </c>
      <c r="AG1548" s="713"/>
      <c r="AH1548" s="713"/>
      <c r="AI1548" s="112">
        <f>IF(H1548="credit",0,IF(AE1548="free",0,IF(AE1548="me",0,IF(G1548&gt;0,(VLOOKUP(A1548,'Discount Lookup'!J:K,2)*G1548),0))))</f>
        <v>0</v>
      </c>
      <c r="AJ1548" s="107" t="str">
        <f t="shared" ca="1" si="1096"/>
        <v/>
      </c>
      <c r="AK1548" s="714" t="str">
        <f t="shared" si="1097"/>
        <v/>
      </c>
      <c r="AL1548" s="714"/>
      <c r="AM1548" s="114" t="str">
        <f t="shared" si="1098"/>
        <v/>
      </c>
      <c r="AN1548" s="115"/>
      <c r="AO1548" s="116"/>
      <c r="AP1548" s="116"/>
      <c r="AQ1548" s="116"/>
      <c r="AR1548" s="116"/>
      <c r="AS1548" s="116"/>
      <c r="AT1548" s="116"/>
      <c r="AU1548" s="116"/>
      <c r="AV1548" s="78"/>
      <c r="AW1548" s="102"/>
      <c r="AX1548" s="78"/>
      <c r="AY1548" s="78"/>
      <c r="AZ1548" s="78"/>
      <c r="BA1548" s="78"/>
      <c r="BB1548" s="78"/>
      <c r="BC1548" s="78"/>
      <c r="BD1548" s="78"/>
      <c r="BE1548" s="465"/>
      <c r="BF1548" s="165" t="str">
        <f t="shared" si="1099"/>
        <v>https://www.google.com/search?tbm=isch&amp;q=Sombrero%20Red%20offers%20spicy%2C%20non-fading%20Red%20blooms%20with%20overlapping%20petals%20and%20compact%20form%3B%20</v>
      </c>
      <c r="BG1548" s="165" t="str">
        <f t="shared" si="1100"/>
        <v>S</v>
      </c>
      <c r="BH1548" s="65"/>
      <c r="BI1548" s="65"/>
      <c r="BJ1548" s="65"/>
      <c r="BK1548" s="65"/>
      <c r="BL1548" s="99"/>
      <c r="BM1548" s="99"/>
      <c r="BN1548" s="99"/>
    </row>
    <row r="1549" spans="1:66" s="51" customFormat="1" ht="18" x14ac:dyDescent="0.25">
      <c r="A1549" s="623" t="s">
        <v>2474</v>
      </c>
      <c r="B1549" s="624"/>
      <c r="C1549" s="709"/>
      <c r="D1549" s="625" t="s">
        <v>5880</v>
      </c>
      <c r="E1549" s="626"/>
      <c r="F1549" s="626"/>
      <c r="G1549" s="626"/>
      <c r="H1549" s="622" t="s">
        <v>4884</v>
      </c>
      <c r="I1549" s="627" t="s">
        <v>4886</v>
      </c>
      <c r="J1549" s="628"/>
      <c r="K1549" s="628"/>
      <c r="L1549" s="629"/>
      <c r="M1549" s="700" t="s">
        <v>5241</v>
      </c>
      <c r="N1549" s="693" t="str">
        <f>IF(AND(ISTEXT($A1549), ISERROR($A1549+0)), HYPERLINK($BF1549, "Images"), "")</f>
        <v>Images</v>
      </c>
      <c r="O1549" s="695" t="s">
        <v>5247</v>
      </c>
      <c r="P1549" s="630"/>
      <c r="Q1549" s="631"/>
      <c r="R1549" s="632"/>
      <c r="S1549" s="633" t="s">
        <v>294</v>
      </c>
      <c r="T1549" s="102">
        <f t="shared" si="1088"/>
        <v>0</v>
      </c>
      <c r="U1549" s="78" t="str">
        <f>IF(NOT(ISNUMBER(G1549)), "", VLOOKUP(A1549,'Discount Lookup'!D:E,2,FALSE)*G1549)</f>
        <v/>
      </c>
      <c r="V1549" s="78" t="str">
        <f>IF(NOT(ISNUMBER(G1549)), "", VLOOKUP(A1549,'Discount Lookup'!G:H,2,FALSE)*G1549)</f>
        <v/>
      </c>
      <c r="W1549" s="102">
        <f t="shared" si="1089"/>
        <v>0</v>
      </c>
      <c r="X1549" s="102" t="str">
        <f t="shared" si="1090"/>
        <v>Fire-engine Red bloom</v>
      </c>
      <c r="Y1549" s="120" t="b">
        <f t="shared" si="1091"/>
        <v>0</v>
      </c>
      <c r="Z1549" s="117">
        <f t="shared" si="1092"/>
        <v>0</v>
      </c>
      <c r="AA1549" s="118"/>
      <c r="AB1549" s="118" t="str">
        <f t="shared" si="1093"/>
        <v/>
      </c>
      <c r="AC1549" s="712" t="str">
        <f>IF(AE1549="T2G","no charge",IF(AND(OR(PlanterYesMe="No",PlanterYesMe="N",PlanterYesMe="me"),H1549=""),"",IF(H1549="credit","NO install",IF(AND(K1549="",AE1549="me"),"EACH row",IF(AND(K1549="images",AE1549="me"),"EACH row",IF(D1549="","",IF(H1549="credit","",IF(AE1549="free","re-planting",IF(AE1549="me","   not ELP, by",IF(AND(OR(PlanterYesMe="Yes",PlanterYesMe="Y"),G1549&gt;0),(VLOOKUP(A1549,'Discount Lookup'!J:K,2)*G1549*(1-PlanterDiscount)*(1+PlanterDifficultyPercentage)),IF(AE1549="ELP",(VLOOKUP(A1549,'Discount Lookup'!J:K,2)*G1549*(1-PlanterDiscount)*(1+PlanterDifficultyPercentage)),IF(AE1549="free","re-planting",IF(G1549=0,"",IF(PlanterYesMe="",IF(AE1549="me","   not ELP, by",IF(AE1549="",IF(G1549&gt;0,(VLOOKUP(A1549,'Discount Lookup'!J:K,2)*G1549*(1-PlanterDiscount)*(1+PlanterDifficultyPercentage)),""),"")),"   not ELP, by"))))))))))))))</f>
        <v/>
      </c>
      <c r="AD1549" s="712"/>
      <c r="AE1549" s="513" t="str">
        <f t="shared" si="1094"/>
        <v/>
      </c>
      <c r="AF1549" s="713" t="str">
        <f t="shared" si="1095"/>
        <v/>
      </c>
      <c r="AG1549" s="713"/>
      <c r="AH1549" s="713"/>
      <c r="AI1549" s="112">
        <f>IF(H1549="credit",0,IF(AE1549="free",0,IF(AE1549="me",0,IF(G1549&gt;0,(VLOOKUP(A1549,'Discount Lookup'!J:K,2)*G1549),0))))</f>
        <v>0</v>
      </c>
      <c r="AJ1549" s="107" t="str">
        <f t="shared" ca="1" si="1096"/>
        <v/>
      </c>
      <c r="AK1549" s="714" t="str">
        <f t="shared" si="1097"/>
        <v/>
      </c>
      <c r="AL1549" s="714"/>
      <c r="AM1549" s="114" t="str">
        <f t="shared" si="1098"/>
        <v/>
      </c>
      <c r="AN1549" s="115"/>
      <c r="AO1549" s="116"/>
      <c r="AP1549" s="116"/>
      <c r="AQ1549" s="116"/>
      <c r="AR1549" s="116"/>
      <c r="AS1549" s="116"/>
      <c r="AT1549" s="116"/>
      <c r="AU1549" s="116"/>
      <c r="AV1549" s="78"/>
      <c r="AW1549" s="102"/>
      <c r="AX1549" s="78"/>
      <c r="AY1549" s="78"/>
      <c r="AZ1549" s="78"/>
      <c r="BA1549" s="78"/>
      <c r="BB1549" s="78"/>
      <c r="BC1549" s="78"/>
      <c r="BD1549" s="78"/>
      <c r="BE1549" s="465"/>
      <c r="BF1549" s="165" t="str">
        <f t="shared" si="1099"/>
        <v>https://www.google.com/search?tbm=isch&amp;q=Echinacea%20%27Panama%20Red%27%20PP%2333620%20Panama%20Red%E2%84%A2%20Coneflower%20%28BE%C2%AE%29</v>
      </c>
      <c r="BG1549" s="165" t="str">
        <f t="shared" si="1100"/>
        <v>E</v>
      </c>
      <c r="BH1549" s="65"/>
      <c r="BI1549" s="65"/>
      <c r="BJ1549" s="65"/>
      <c r="BK1549" s="65"/>
      <c r="BL1549" s="99"/>
      <c r="BM1549" s="99"/>
      <c r="BN1549" s="99"/>
    </row>
    <row r="1550" spans="1:66" s="51" customFormat="1" ht="15.75" x14ac:dyDescent="0.25">
      <c r="A1550" s="634">
        <v>1</v>
      </c>
      <c r="B1550" s="635" t="s">
        <v>291</v>
      </c>
      <c r="C1550" s="636"/>
      <c r="D1550" s="637" t="s">
        <v>329</v>
      </c>
      <c r="E1550" s="638">
        <v>13.95</v>
      </c>
      <c r="F1550" s="639" t="s">
        <v>292</v>
      </c>
      <c r="G1550" s="484">
        <v>0</v>
      </c>
      <c r="H1550" s="691" t="str">
        <f>IF(G1550=0,"",IF(F1550="Buy",IF(G1550=1,"plant","plants"),IF(F1550&gt;0.01,"warranty","Error")))</f>
        <v/>
      </c>
      <c r="I1550" s="640">
        <f>IF(H1550="free",0,IF(H1550="credit",((E1550*(F1550))*G1550*-1),IF(F1550="Buy",(E1550*G1550),((E1550*(1-F1550))*G1550))))</f>
        <v>0</v>
      </c>
      <c r="J1550" s="640">
        <f>IF(H1550="warranty",0,(I1550*(_xlfn.SINGLE(SalesTaxPercentage))))</f>
        <v>0</v>
      </c>
      <c r="K1550" s="716">
        <f t="shared" ref="K1550" si="1131">I1550+J1550</f>
        <v>0</v>
      </c>
      <c r="L1550" s="716"/>
      <c r="M1550" s="689" t="str">
        <f ca="1">IF(AND(G1550&gt;0,E1550=0),"WARNING - no PRICE inserted",IF(H1550="free","FREE ~ no charge this plant",IF(H1550="credit",CONCATENATE("-$",ROUND(K1550*(1-_xlfn.SINGLE(T2GDiscount))*-1,2)," CREDIT after discount"),IF(_xlfn.SINGLE(T2GDiscount)=0,"",IF(G1550=0,"",IF(F1550="Buy",CONCATENATE("$",ROUND(K1550*(1-_xlfn.SINGLE(T2GDiscount)),2)," with ",(_xlfn.SINGLE(T2GDiscount)*100),"% discount"),CONCATENATE("$",ROUND(K1550*(1-_xlfn.SINGLE(T2GDiscount)),2)," with ",((_xlfn.SINGLE(T2GDiscount)*100+F1550*100)-(_xlfn.SINGLE(T2GDiscount)*100*F1550)),IF(F1550&gt;0,"% discounts",IF(_xlfn.SINGLE(NoWarrantyDiscount)&gt;0,"% discounts","% discount")))))))))</f>
        <v/>
      </c>
      <c r="N1550" s="690"/>
      <c r="O1550" s="486"/>
      <c r="P1550" s="486"/>
      <c r="Q1550" s="486"/>
      <c r="R1550" s="486"/>
      <c r="S1550" s="486"/>
      <c r="T1550" s="102">
        <f t="shared" si="1088"/>
        <v>0</v>
      </c>
      <c r="U1550" s="78">
        <f>IF(NOT(ISNUMBER(G1550)), "", VLOOKUP(A1550,'Discount Lookup'!D:E,2,FALSE)*G1550)</f>
        <v>0</v>
      </c>
      <c r="V1550" s="78">
        <f>IF(NOT(ISNUMBER(G1550)), "", VLOOKUP(A1550,'Discount Lookup'!G:H,2,FALSE)*G1550)</f>
        <v>0</v>
      </c>
      <c r="W1550" s="102">
        <f t="shared" si="1089"/>
        <v>0</v>
      </c>
      <c r="X1550" s="102">
        <f t="shared" si="1090"/>
        <v>0</v>
      </c>
      <c r="Y1550" s="120" t="b">
        <f t="shared" si="1091"/>
        <v>0</v>
      </c>
      <c r="Z1550" s="117">
        <f t="shared" si="1092"/>
        <v>0</v>
      </c>
      <c r="AA1550" s="118"/>
      <c r="AB1550" s="118" t="str">
        <f t="shared" si="1093"/>
        <v/>
      </c>
      <c r="AC1550" s="712" t="str">
        <f>IF(AE1550="T2G","no charge",IF(AND(OR(PlanterYesMe="No",PlanterYesMe="N",PlanterYesMe="me"),H1550=""),"",IF(H1550="credit","NO install",IF(AND(K1550="",AE1550="me"),"EACH row",IF(AND(K1550="images",AE1550="me"),"EACH row",IF(D1550="","",IF(H1550="credit","",IF(AE1550="free","re-planting",IF(AE1550="me","   not ELP, by",IF(AND(OR(PlanterYesMe="Yes",PlanterYesMe="Y"),G1550&gt;0),(VLOOKUP(A1550,'Discount Lookup'!J:K,2)*G1550*(1-PlanterDiscount)*(1+PlanterDifficultyPercentage)),IF(AE1550="ELP",(VLOOKUP(A1550,'Discount Lookup'!J:K,2)*G1550*(1-PlanterDiscount)*(1+PlanterDifficultyPercentage)),IF(AE1550="free","re-planting",IF(G1550=0,"",IF(PlanterYesMe="",IF(AE1550="me","   not ELP, by",IF(AE1550="",IF(G1550&gt;0,(VLOOKUP(A1550,'Discount Lookup'!J:K,2)*G1550*(1-PlanterDiscount)*(1+PlanterDifficultyPercentage)),""),"")),"   not ELP, by"))))))))))))))</f>
        <v/>
      </c>
      <c r="AD1550" s="712"/>
      <c r="AE1550" s="513" t="str">
        <f t="shared" si="1094"/>
        <v/>
      </c>
      <c r="AF1550" s="713" t="str">
        <f t="shared" si="1095"/>
        <v/>
      </c>
      <c r="AG1550" s="713"/>
      <c r="AH1550" s="713"/>
      <c r="AI1550" s="112">
        <f>IF(H1550="credit",0,IF(AE1550="free",0,IF(AE1550="me",0,IF(G1550&gt;0,(VLOOKUP(A1550,'Discount Lookup'!J:K,2)*G1550),0))))</f>
        <v>0</v>
      </c>
      <c r="AJ1550" s="107" t="str">
        <f t="shared" ca="1" si="1096"/>
        <v/>
      </c>
      <c r="AK1550" s="714" t="str">
        <f t="shared" si="1097"/>
        <v/>
      </c>
      <c r="AL1550" s="714"/>
      <c r="AM1550" s="114" t="str">
        <f t="shared" si="1098"/>
        <v/>
      </c>
      <c r="AN1550" s="115"/>
      <c r="AO1550" s="116"/>
      <c r="AP1550" s="116"/>
      <c r="AQ1550" s="116"/>
      <c r="AR1550" s="116"/>
      <c r="AS1550" s="116"/>
      <c r="AT1550" s="116"/>
      <c r="AU1550" s="116"/>
      <c r="AV1550" s="78"/>
      <c r="AW1550" s="102"/>
      <c r="AX1550" s="78"/>
      <c r="AY1550" s="78"/>
      <c r="AZ1550" s="78"/>
      <c r="BA1550" s="78"/>
      <c r="BB1550" s="78"/>
      <c r="BC1550" s="78"/>
      <c r="BD1550" s="78"/>
      <c r="BE1550" s="465"/>
      <c r="BF1550" s="165" t="str">
        <f t="shared" si="1099"/>
        <v>https://www.google.com/search?tbm=isch&amp;q=1%20G2</v>
      </c>
      <c r="BG1550" s="165" t="str">
        <f t="shared" si="1100"/>
        <v>E</v>
      </c>
      <c r="BH1550" s="65"/>
      <c r="BI1550" s="65"/>
      <c r="BJ1550" s="65"/>
      <c r="BK1550" s="65"/>
      <c r="BL1550" s="99"/>
      <c r="BM1550" s="99"/>
      <c r="BN1550" s="99"/>
    </row>
    <row r="1551" spans="1:66" s="51" customFormat="1" ht="17.25" thickBot="1" x14ac:dyDescent="0.3">
      <c r="A1551" s="641" t="s">
        <v>4887</v>
      </c>
      <c r="B1551" s="642"/>
      <c r="C1551" s="710"/>
      <c r="D1551" s="643"/>
      <c r="E1551" s="643"/>
      <c r="F1551" s="644"/>
      <c r="G1551" s="645"/>
      <c r="H1551" s="646"/>
      <c r="I1551" s="647"/>
      <c r="J1551" s="648"/>
      <c r="K1551" s="649"/>
      <c r="L1551" s="650"/>
      <c r="M1551" s="650"/>
      <c r="N1551" s="644"/>
      <c r="O1551" s="644"/>
      <c r="P1551" s="644"/>
      <c r="Q1551" s="644"/>
      <c r="R1551" s="644"/>
      <c r="S1551" s="701" t="s">
        <v>5284</v>
      </c>
      <c r="T1551" s="102">
        <f t="shared" si="1088"/>
        <v>0</v>
      </c>
      <c r="U1551" s="78" t="str">
        <f>IF(NOT(ISNUMBER(G1551)), "", VLOOKUP(A1551,'Discount Lookup'!D:E,2,FALSE)*G1551)</f>
        <v/>
      </c>
      <c r="V1551" s="78" t="str">
        <f>IF(NOT(ISNUMBER(G1551)), "", VLOOKUP(A1551,'Discount Lookup'!G:H,2,FALSE)*G1551)</f>
        <v/>
      </c>
      <c r="W1551" s="102">
        <f t="shared" si="1089"/>
        <v>0</v>
      </c>
      <c r="X1551" s="102">
        <f t="shared" si="1090"/>
        <v>0</v>
      </c>
      <c r="Y1551" s="120" t="b">
        <f t="shared" si="1091"/>
        <v>0</v>
      </c>
      <c r="Z1551" s="117">
        <f t="shared" si="1092"/>
        <v>0</v>
      </c>
      <c r="AA1551" s="118"/>
      <c r="AB1551" s="118" t="str">
        <f t="shared" si="1093"/>
        <v/>
      </c>
      <c r="AC1551" s="712" t="str">
        <f>IF(AE1551="T2G","no charge",IF(AND(OR(PlanterYesMe="No",PlanterYesMe="N",PlanterYesMe="me"),H1551=""),"",IF(H1551="credit","NO install",IF(AND(K1551="",AE1551="me"),"EACH row",IF(AND(K1551="images",AE1551="me"),"EACH row",IF(D1551="","",IF(H1551="credit","",IF(AE1551="free","re-planting",IF(AE1551="me","   not ELP, by",IF(AND(OR(PlanterYesMe="Yes",PlanterYesMe="Y"),G1551&gt;0),(VLOOKUP(A1551,'Discount Lookup'!J:K,2)*G1551*(1-PlanterDiscount)*(1+PlanterDifficultyPercentage)),IF(AE1551="ELP",(VLOOKUP(A1551,'Discount Lookup'!J:K,2)*G1551*(1-PlanterDiscount)*(1+PlanterDifficultyPercentage)),IF(AE1551="free","re-planting",IF(G1551=0,"",IF(PlanterYesMe="",IF(AE1551="me","   not ELP, by",IF(AE1551="",IF(G1551&gt;0,(VLOOKUP(A1551,'Discount Lookup'!J:K,2)*G1551*(1-PlanterDiscount)*(1+PlanterDifficultyPercentage)),""),"")),"   not ELP, by"))))))))))))))</f>
        <v/>
      </c>
      <c r="AD1551" s="712"/>
      <c r="AE1551" s="513" t="str">
        <f t="shared" si="1094"/>
        <v/>
      </c>
      <c r="AF1551" s="713" t="str">
        <f t="shared" si="1095"/>
        <v/>
      </c>
      <c r="AG1551" s="713"/>
      <c r="AH1551" s="713"/>
      <c r="AI1551" s="112">
        <f>IF(H1551="credit",0,IF(AE1551="free",0,IF(AE1551="me",0,IF(G1551&gt;0,(VLOOKUP(A1551,'Discount Lookup'!J:K,2)*G1551),0))))</f>
        <v>0</v>
      </c>
      <c r="AJ1551" s="107" t="str">
        <f t="shared" ca="1" si="1096"/>
        <v/>
      </c>
      <c r="AK1551" s="714" t="str">
        <f t="shared" si="1097"/>
        <v/>
      </c>
      <c r="AL1551" s="714"/>
      <c r="AM1551" s="114" t="str">
        <f t="shared" si="1098"/>
        <v/>
      </c>
      <c r="AN1551" s="115"/>
      <c r="AO1551" s="116"/>
      <c r="AP1551" s="116"/>
      <c r="AQ1551" s="116"/>
      <c r="AR1551" s="116"/>
      <c r="AS1551" s="116"/>
      <c r="AT1551" s="116"/>
      <c r="AU1551" s="116"/>
      <c r="AV1551" s="78"/>
      <c r="AW1551" s="102"/>
      <c r="AX1551" s="78"/>
      <c r="AY1551" s="78"/>
      <c r="AZ1551" s="78"/>
      <c r="BA1551" s="78"/>
      <c r="BB1551" s="78"/>
      <c r="BC1551" s="78"/>
      <c r="BD1551" s="78"/>
      <c r="BE1551" s="465"/>
      <c r="BF1551" s="165" t="str">
        <f t="shared" si="1099"/>
        <v>https://www.google.com/search?tbm=isch&amp;q=Panama%20Red%20has%20Vivid%20Red%20blooms%20with%20dark%20centers%2C%20%20continuously%20from%20summer%20until%20fall%20</v>
      </c>
      <c r="BG1551" s="165" t="str">
        <f t="shared" si="1100"/>
        <v>P</v>
      </c>
      <c r="BH1551" s="65"/>
      <c r="BI1551" s="65"/>
      <c r="BJ1551" s="65"/>
      <c r="BK1551" s="65"/>
      <c r="BL1551" s="99"/>
      <c r="BM1551" s="99"/>
      <c r="BN1551" s="99"/>
    </row>
    <row r="1552" spans="1:66" s="51" customFormat="1" ht="18" x14ac:dyDescent="0.25">
      <c r="A1552" s="623" t="s">
        <v>2475</v>
      </c>
      <c r="B1552" s="624"/>
      <c r="C1552" s="709"/>
      <c r="D1552" s="625" t="s">
        <v>2476</v>
      </c>
      <c r="E1552" s="626"/>
      <c r="F1552" s="626"/>
      <c r="G1552" s="626"/>
      <c r="H1552" s="622" t="s">
        <v>1516</v>
      </c>
      <c r="I1552" s="627" t="s">
        <v>2477</v>
      </c>
      <c r="J1552" s="628"/>
      <c r="K1552" s="628"/>
      <c r="L1552" s="629"/>
      <c r="M1552" s="700" t="s">
        <v>5241</v>
      </c>
      <c r="N1552" s="693" t="str">
        <f>IF(AND(ISTEXT($A1552), ISERROR($A1552+0)), HYPERLINK($BF1552, "Images"), "")</f>
        <v>Images</v>
      </c>
      <c r="O1552" s="695" t="s">
        <v>5247</v>
      </c>
      <c r="P1552" s="630"/>
      <c r="Q1552" s="631"/>
      <c r="R1552" s="632"/>
      <c r="S1552" s="633" t="s">
        <v>294</v>
      </c>
      <c r="T1552" s="102">
        <f t="shared" si="1088"/>
        <v>0</v>
      </c>
      <c r="U1552" s="78" t="str">
        <f>IF(NOT(ISNUMBER(G1552)), "", VLOOKUP(A1552,'Discount Lookup'!D:E,2,FALSE)*G1552)</f>
        <v/>
      </c>
      <c r="V1552" s="78" t="str">
        <f>IF(NOT(ISNUMBER(G1552)), "", VLOOKUP(A1552,'Discount Lookup'!G:H,2,FALSE)*G1552)</f>
        <v/>
      </c>
      <c r="W1552" s="102">
        <f t="shared" si="1089"/>
        <v>0</v>
      </c>
      <c r="X1552" s="102" t="str">
        <f t="shared" si="1090"/>
        <v>Multi-color bloom</v>
      </c>
      <c r="Y1552" s="120" t="b">
        <f t="shared" si="1091"/>
        <v>0</v>
      </c>
      <c r="Z1552" s="117">
        <f t="shared" si="1092"/>
        <v>0</v>
      </c>
      <c r="AA1552" s="118"/>
      <c r="AB1552" s="118" t="str">
        <f t="shared" si="1093"/>
        <v/>
      </c>
      <c r="AC1552" s="712" t="str">
        <f>IF(AE1552="T2G","no charge",IF(AND(OR(PlanterYesMe="No",PlanterYesMe="N",PlanterYesMe="me"),H1552=""),"",IF(H1552="credit","NO install",IF(AND(K1552="",AE1552="me"),"EACH row",IF(AND(K1552="images",AE1552="me"),"EACH row",IF(D1552="","",IF(H1552="credit","",IF(AE1552="free","re-planting",IF(AE1552="me","   not ELP, by",IF(AND(OR(PlanterYesMe="Yes",PlanterYesMe="Y"),G1552&gt;0),(VLOOKUP(A1552,'Discount Lookup'!J:K,2)*G1552*(1-PlanterDiscount)*(1+PlanterDifficultyPercentage)),IF(AE1552="ELP",(VLOOKUP(A1552,'Discount Lookup'!J:K,2)*G1552*(1-PlanterDiscount)*(1+PlanterDifficultyPercentage)),IF(AE1552="free","re-planting",IF(G1552=0,"",IF(PlanterYesMe="",IF(AE1552="me","   not ELP, by",IF(AE1552="",IF(G1552&gt;0,(VLOOKUP(A1552,'Discount Lookup'!J:K,2)*G1552*(1-PlanterDiscount)*(1+PlanterDifficultyPercentage)),""),"")),"   not ELP, by"))))))))))))))</f>
        <v/>
      </c>
      <c r="AD1552" s="712"/>
      <c r="AE1552" s="513" t="str">
        <f t="shared" si="1094"/>
        <v/>
      </c>
      <c r="AF1552" s="713" t="str">
        <f t="shared" si="1095"/>
        <v/>
      </c>
      <c r="AG1552" s="713"/>
      <c r="AH1552" s="713"/>
      <c r="AI1552" s="112">
        <f>IF(H1552="credit",0,IF(AE1552="free",0,IF(AE1552="me",0,IF(G1552&gt;0,(VLOOKUP(A1552,'Discount Lookup'!J:K,2)*G1552),0))))</f>
        <v>0</v>
      </c>
      <c r="AJ1552" s="107" t="str">
        <f t="shared" ca="1" si="1096"/>
        <v/>
      </c>
      <c r="AK1552" s="714" t="str">
        <f t="shared" si="1097"/>
        <v/>
      </c>
      <c r="AL1552" s="714"/>
      <c r="AM1552" s="114" t="str">
        <f t="shared" si="1098"/>
        <v/>
      </c>
      <c r="AN1552" s="115"/>
      <c r="AO1552" s="116"/>
      <c r="AP1552" s="116"/>
      <c r="AQ1552" s="116"/>
      <c r="AR1552" s="116"/>
      <c r="AS1552" s="116"/>
      <c r="AT1552" s="116"/>
      <c r="AU1552" s="116"/>
      <c r="AV1552" s="78"/>
      <c r="AW1552" s="102"/>
      <c r="AX1552" s="78"/>
      <c r="AY1552" s="78"/>
      <c r="AZ1552" s="78"/>
      <c r="BA1552" s="78"/>
      <c r="BB1552" s="78"/>
      <c r="BC1552" s="78"/>
      <c r="BD1552" s="78"/>
      <c r="BE1552" s="465"/>
      <c r="BF1552" s="165" t="str">
        <f t="shared" si="1099"/>
        <v>https://www.google.com/search?tbm=isch&amp;q=Echinacea%20purpurea%20%27Cheyenne%20Spirit%27%20PP%237982110%20Cheyenne%20Spirit%20Coneflower</v>
      </c>
      <c r="BG1552" s="165" t="str">
        <f t="shared" si="1100"/>
        <v>E</v>
      </c>
      <c r="BH1552" s="65"/>
      <c r="BI1552" s="65"/>
      <c r="BJ1552" s="65"/>
      <c r="BK1552" s="65"/>
      <c r="BL1552" s="99"/>
      <c r="BM1552" s="99"/>
      <c r="BN1552" s="99"/>
    </row>
    <row r="1553" spans="1:66" s="51" customFormat="1" ht="15.75" x14ac:dyDescent="0.25">
      <c r="A1553" s="634">
        <v>1</v>
      </c>
      <c r="B1553" s="635" t="s">
        <v>291</v>
      </c>
      <c r="C1553" s="636" t="s">
        <v>4967</v>
      </c>
      <c r="D1553" s="637" t="s">
        <v>293</v>
      </c>
      <c r="E1553" s="638">
        <v>26.95</v>
      </c>
      <c r="F1553" s="639" t="s">
        <v>292</v>
      </c>
      <c r="G1553" s="484">
        <v>0</v>
      </c>
      <c r="H1553" s="691" t="str">
        <f>IF(G1553=0,"",IF(F1553="Buy",IF(G1553=1,"plant","plants"),IF(F1553&gt;0.01,"warranty","Error")))</f>
        <v/>
      </c>
      <c r="I1553" s="640">
        <f>IF(H1553="free",0,IF(H1553="credit",((E1553*(F1553))*G1553*-1),IF(F1553="Buy",(E1553*G1553),((E1553*(1-F1553))*G1553))))</f>
        <v>0</v>
      </c>
      <c r="J1553" s="640">
        <f>IF(H1553="warranty",0,(I1553*(_xlfn.SINGLE(SalesTaxPercentage))))</f>
        <v>0</v>
      </c>
      <c r="K1553" s="716">
        <f t="shared" ref="K1553" si="1132">I1553+J1553</f>
        <v>0</v>
      </c>
      <c r="L1553" s="716"/>
      <c r="M1553" s="689" t="str">
        <f ca="1">IF(AND(G1553&gt;0,E1553=0),"WARNING - no PRICE inserted",IF(H1553="free","FREE ~ no charge this plant",IF(H1553="credit",CONCATENATE("-$",ROUND(K1553*(1-_xlfn.SINGLE(T2GDiscount))*-1,2)," CREDIT after discount"),IF(_xlfn.SINGLE(T2GDiscount)=0,"",IF(G1553=0,"",IF(F1553="Buy",CONCATENATE("$",ROUND(K1553*(1-_xlfn.SINGLE(T2GDiscount)),2)," with ",(_xlfn.SINGLE(T2GDiscount)*100),"% discount"),CONCATENATE("$",ROUND(K1553*(1-_xlfn.SINGLE(T2GDiscount)),2)," with ",((_xlfn.SINGLE(T2GDiscount)*100+F1553*100)-(_xlfn.SINGLE(T2GDiscount)*100*F1553)),IF(F1553&gt;0,"% discounts",IF(_xlfn.SINGLE(NoWarrantyDiscount)&gt;0,"% discounts","% discount")))))))))</f>
        <v/>
      </c>
      <c r="N1553" s="690"/>
      <c r="O1553" s="486"/>
      <c r="P1553" s="486"/>
      <c r="Q1553" s="486"/>
      <c r="R1553" s="486"/>
      <c r="S1553" s="486"/>
      <c r="T1553" s="102">
        <f t="shared" si="1088"/>
        <v>0</v>
      </c>
      <c r="U1553" s="78">
        <f>IF(NOT(ISNUMBER(G1553)), "", VLOOKUP(A1553,'Discount Lookup'!D:E,2,FALSE)*G1553)</f>
        <v>0</v>
      </c>
      <c r="V1553" s="78">
        <f>IF(NOT(ISNUMBER(G1553)), "", VLOOKUP(A1553,'Discount Lookup'!G:H,2,FALSE)*G1553)</f>
        <v>0</v>
      </c>
      <c r="W1553" s="102">
        <f t="shared" si="1089"/>
        <v>0</v>
      </c>
      <c r="X1553" s="102">
        <f t="shared" si="1090"/>
        <v>0</v>
      </c>
      <c r="Y1553" s="120" t="b">
        <f t="shared" si="1091"/>
        <v>0</v>
      </c>
      <c r="Z1553" s="117">
        <f t="shared" si="1092"/>
        <v>0</v>
      </c>
      <c r="AA1553" s="118"/>
      <c r="AB1553" s="118" t="str">
        <f t="shared" si="1093"/>
        <v/>
      </c>
      <c r="AC1553" s="712" t="str">
        <f>IF(AE1553="T2G","no charge",IF(AND(OR(PlanterYesMe="No",PlanterYesMe="N",PlanterYesMe="me"),H1553=""),"",IF(H1553="credit","NO install",IF(AND(K1553="",AE1553="me"),"EACH row",IF(AND(K1553="images",AE1553="me"),"EACH row",IF(D1553="","",IF(H1553="credit","",IF(AE1553="free","re-planting",IF(AE1553="me","   not ELP, by",IF(AND(OR(PlanterYesMe="Yes",PlanterYesMe="Y"),G1553&gt;0),(VLOOKUP(A1553,'Discount Lookup'!J:K,2)*G1553*(1-PlanterDiscount)*(1+PlanterDifficultyPercentage)),IF(AE1553="ELP",(VLOOKUP(A1553,'Discount Lookup'!J:K,2)*G1553*(1-PlanterDiscount)*(1+PlanterDifficultyPercentage)),IF(AE1553="free","re-planting",IF(G1553=0,"",IF(PlanterYesMe="",IF(AE1553="me","   not ELP, by",IF(AE1553="",IF(G1553&gt;0,(VLOOKUP(A1553,'Discount Lookup'!J:K,2)*G1553*(1-PlanterDiscount)*(1+PlanterDifficultyPercentage)),""),"")),"   not ELP, by"))))))))))))))</f>
        <v/>
      </c>
      <c r="AD1553" s="712"/>
      <c r="AE1553" s="513" t="str">
        <f t="shared" si="1094"/>
        <v/>
      </c>
      <c r="AF1553" s="713" t="str">
        <f t="shared" si="1095"/>
        <v/>
      </c>
      <c r="AG1553" s="713"/>
      <c r="AH1553" s="713"/>
      <c r="AI1553" s="112">
        <f>IF(H1553="credit",0,IF(AE1553="free",0,IF(AE1553="me",0,IF(G1553&gt;0,(VLOOKUP(A1553,'Discount Lookup'!J:K,2)*G1553),0))))</f>
        <v>0</v>
      </c>
      <c r="AJ1553" s="107" t="str">
        <f t="shared" ca="1" si="1096"/>
        <v/>
      </c>
      <c r="AK1553" s="714" t="str">
        <f t="shared" si="1097"/>
        <v/>
      </c>
      <c r="AL1553" s="714"/>
      <c r="AM1553" s="114" t="str">
        <f t="shared" si="1098"/>
        <v/>
      </c>
      <c r="AN1553" s="115"/>
      <c r="AO1553" s="116"/>
      <c r="AP1553" s="116"/>
      <c r="AQ1553" s="116"/>
      <c r="AR1553" s="116"/>
      <c r="AS1553" s="116"/>
      <c r="AT1553" s="116"/>
      <c r="AU1553" s="116"/>
      <c r="AV1553" s="78"/>
      <c r="AW1553" s="102"/>
      <c r="AX1553" s="78"/>
      <c r="AY1553" s="78"/>
      <c r="AZ1553" s="78"/>
      <c r="BA1553" s="78"/>
      <c r="BB1553" s="78"/>
      <c r="BC1553" s="78"/>
      <c r="BD1553" s="78"/>
      <c r="BE1553" s="465"/>
      <c r="BF1553" s="165" t="str">
        <f t="shared" si="1099"/>
        <v>https://www.google.com/search?tbm=isch&amp;q=1%20G6</v>
      </c>
      <c r="BG1553" s="165" t="str">
        <f t="shared" si="1100"/>
        <v>E</v>
      </c>
      <c r="BH1553" s="65"/>
      <c r="BI1553" s="65"/>
      <c r="BJ1553" s="65"/>
      <c r="BK1553" s="65"/>
      <c r="BL1553" s="99"/>
      <c r="BM1553" s="99"/>
      <c r="BN1553" s="99"/>
    </row>
    <row r="1554" spans="1:66" s="51" customFormat="1" ht="17.25" thickBot="1" x14ac:dyDescent="0.3">
      <c r="A1554" s="641" t="s">
        <v>4888</v>
      </c>
      <c r="B1554" s="642"/>
      <c r="C1554" s="710"/>
      <c r="D1554" s="643"/>
      <c r="E1554" s="643"/>
      <c r="F1554" s="644"/>
      <c r="G1554" s="645"/>
      <c r="H1554" s="646"/>
      <c r="I1554" s="647"/>
      <c r="J1554" s="648"/>
      <c r="K1554" s="649"/>
      <c r="L1554" s="650"/>
      <c r="M1554" s="650"/>
      <c r="N1554" s="644"/>
      <c r="O1554" s="644"/>
      <c r="P1554" s="644"/>
      <c r="Q1554" s="644"/>
      <c r="R1554" s="644"/>
      <c r="S1554" s="701" t="s">
        <v>5284</v>
      </c>
      <c r="T1554" s="102">
        <f t="shared" si="1088"/>
        <v>0</v>
      </c>
      <c r="U1554" s="78" t="str">
        <f>IF(NOT(ISNUMBER(G1554)), "", VLOOKUP(A1554,'Discount Lookup'!D:E,2,FALSE)*G1554)</f>
        <v/>
      </c>
      <c r="V1554" s="78" t="str">
        <f>IF(NOT(ISNUMBER(G1554)), "", VLOOKUP(A1554,'Discount Lookup'!G:H,2,FALSE)*G1554)</f>
        <v/>
      </c>
      <c r="W1554" s="102">
        <f t="shared" si="1089"/>
        <v>0</v>
      </c>
      <c r="X1554" s="102">
        <f t="shared" si="1090"/>
        <v>0</v>
      </c>
      <c r="Y1554" s="120" t="b">
        <f t="shared" si="1091"/>
        <v>0</v>
      </c>
      <c r="Z1554" s="117">
        <f t="shared" si="1092"/>
        <v>0</v>
      </c>
      <c r="AA1554" s="118"/>
      <c r="AB1554" s="118" t="str">
        <f t="shared" si="1093"/>
        <v/>
      </c>
      <c r="AC1554" s="712" t="str">
        <f>IF(AE1554="T2G","no charge",IF(AND(OR(PlanterYesMe="No",PlanterYesMe="N",PlanterYesMe="me"),H1554=""),"",IF(H1554="credit","NO install",IF(AND(K1554="",AE1554="me"),"EACH row",IF(AND(K1554="images",AE1554="me"),"EACH row",IF(D1554="","",IF(H1554="credit","",IF(AE1554="free","re-planting",IF(AE1554="me","   not ELP, by",IF(AND(OR(PlanterYesMe="Yes",PlanterYesMe="Y"),G1554&gt;0),(VLOOKUP(A1554,'Discount Lookup'!J:K,2)*G1554*(1-PlanterDiscount)*(1+PlanterDifficultyPercentage)),IF(AE1554="ELP",(VLOOKUP(A1554,'Discount Lookup'!J:K,2)*G1554*(1-PlanterDiscount)*(1+PlanterDifficultyPercentage)),IF(AE1554="free","re-planting",IF(G1554=0,"",IF(PlanterYesMe="",IF(AE1554="me","   not ELP, by",IF(AE1554="",IF(G1554&gt;0,(VLOOKUP(A1554,'Discount Lookup'!J:K,2)*G1554*(1-PlanterDiscount)*(1+PlanterDifficultyPercentage)),""),"")),"   not ELP, by"))))))))))))))</f>
        <v/>
      </c>
      <c r="AD1554" s="712"/>
      <c r="AE1554" s="513" t="str">
        <f t="shared" si="1094"/>
        <v/>
      </c>
      <c r="AF1554" s="713" t="str">
        <f t="shared" si="1095"/>
        <v/>
      </c>
      <c r="AG1554" s="713"/>
      <c r="AH1554" s="713"/>
      <c r="AI1554" s="112">
        <f>IF(H1554="credit",0,IF(AE1554="free",0,IF(AE1554="me",0,IF(G1554&gt;0,(VLOOKUP(A1554,'Discount Lookup'!J:K,2)*G1554),0))))</f>
        <v>0</v>
      </c>
      <c r="AJ1554" s="107" t="str">
        <f t="shared" ca="1" si="1096"/>
        <v/>
      </c>
      <c r="AK1554" s="714" t="str">
        <f t="shared" si="1097"/>
        <v/>
      </c>
      <c r="AL1554" s="714"/>
      <c r="AM1554" s="114" t="str">
        <f t="shared" si="1098"/>
        <v/>
      </c>
      <c r="AN1554" s="115"/>
      <c r="AO1554" s="116"/>
      <c r="AP1554" s="116"/>
      <c r="AQ1554" s="116"/>
      <c r="AR1554" s="116"/>
      <c r="AS1554" s="116"/>
      <c r="AT1554" s="116"/>
      <c r="AU1554" s="116"/>
      <c r="AV1554" s="78"/>
      <c r="AW1554" s="102"/>
      <c r="AX1554" s="78"/>
      <c r="AY1554" s="78"/>
      <c r="AZ1554" s="78"/>
      <c r="BA1554" s="78"/>
      <c r="BB1554" s="78"/>
      <c r="BC1554" s="78"/>
      <c r="BD1554" s="78"/>
      <c r="BE1554" s="465"/>
      <c r="BF1554" s="165" t="str">
        <f t="shared" si="1099"/>
        <v>https://www.google.com/search?tbm=isch&amp;q=Cheyenne%20Spirit%20is%20a%20mix%20of%20Pink%2C%20Purple%2C%20Scarlet%2C%20Yellow%2C%20Gold%2C%20Orange%20and%20Cream%20flowers%20</v>
      </c>
      <c r="BG1554" s="165" t="str">
        <f t="shared" si="1100"/>
        <v>C</v>
      </c>
      <c r="BH1554" s="65"/>
      <c r="BI1554" s="65"/>
      <c r="BJ1554" s="65"/>
      <c r="BK1554" s="65"/>
      <c r="BL1554" s="99"/>
      <c r="BM1554" s="99"/>
      <c r="BN1554" s="99"/>
    </row>
    <row r="1555" spans="1:66" s="51" customFormat="1" ht="18" x14ac:dyDescent="0.25">
      <c r="A1555" s="623" t="s">
        <v>2478</v>
      </c>
      <c r="B1555" s="624"/>
      <c r="C1555" s="709"/>
      <c r="D1555" s="625" t="s">
        <v>5660</v>
      </c>
      <c r="E1555" s="626"/>
      <c r="F1555" s="626"/>
      <c r="G1555" s="626"/>
      <c r="H1555" s="622" t="s">
        <v>4884</v>
      </c>
      <c r="I1555" s="627" t="s">
        <v>2471</v>
      </c>
      <c r="J1555" s="628"/>
      <c r="K1555" s="628"/>
      <c r="L1555" s="629"/>
      <c r="M1555" s="700" t="s">
        <v>5241</v>
      </c>
      <c r="N1555" s="693" t="str">
        <f>IF(AND(ISTEXT($A1555), ISERROR($A1555+0)), HYPERLINK($BF1555, "Images"), "")</f>
        <v>Images</v>
      </c>
      <c r="O1555" s="695" t="s">
        <v>5247</v>
      </c>
      <c r="P1555" s="630"/>
      <c r="Q1555" s="631"/>
      <c r="R1555" s="632"/>
      <c r="S1555" s="633" t="s">
        <v>294</v>
      </c>
      <c r="T1555" s="102">
        <f t="shared" si="1088"/>
        <v>0</v>
      </c>
      <c r="U1555" s="78" t="str">
        <f>IF(NOT(ISNUMBER(G1555)), "", VLOOKUP(A1555,'Discount Lookup'!D:E,2,FALSE)*G1555)</f>
        <v/>
      </c>
      <c r="V1555" s="78" t="str">
        <f>IF(NOT(ISNUMBER(G1555)), "", VLOOKUP(A1555,'Discount Lookup'!G:H,2,FALSE)*G1555)</f>
        <v/>
      </c>
      <c r="W1555" s="102">
        <f t="shared" si="1089"/>
        <v>0</v>
      </c>
      <c r="X1555" s="102" t="str">
        <f t="shared" si="1090"/>
        <v>Golden-Yellow bloom</v>
      </c>
      <c r="Y1555" s="120" t="b">
        <f t="shared" si="1091"/>
        <v>0</v>
      </c>
      <c r="Z1555" s="117">
        <f t="shared" si="1092"/>
        <v>0</v>
      </c>
      <c r="AA1555" s="118"/>
      <c r="AB1555" s="118" t="str">
        <f t="shared" si="1093"/>
        <v/>
      </c>
      <c r="AC1555" s="712" t="str">
        <f>IF(AE1555="T2G","no charge",IF(AND(OR(PlanterYesMe="No",PlanterYesMe="N",PlanterYesMe="me"),H1555=""),"",IF(H1555="credit","NO install",IF(AND(K1555="",AE1555="me"),"EACH row",IF(AND(K1555="images",AE1555="me"),"EACH row",IF(D1555="","",IF(H1555="credit","",IF(AE1555="free","re-planting",IF(AE1555="me","   not ELP, by",IF(AND(OR(PlanterYesMe="Yes",PlanterYesMe="Y"),G1555&gt;0),(VLOOKUP(A1555,'Discount Lookup'!J:K,2)*G1555*(1-PlanterDiscount)*(1+PlanterDifficultyPercentage)),IF(AE1555="ELP",(VLOOKUP(A1555,'Discount Lookup'!J:K,2)*G1555*(1-PlanterDiscount)*(1+PlanterDifficultyPercentage)),IF(AE1555="free","re-planting",IF(G1555=0,"",IF(PlanterYesMe="",IF(AE1555="me","   not ELP, by",IF(AE1555="",IF(G1555&gt;0,(VLOOKUP(A1555,'Discount Lookup'!J:K,2)*G1555*(1-PlanterDiscount)*(1+PlanterDifficultyPercentage)),""),"")),"   not ELP, by"))))))))))))))</f>
        <v/>
      </c>
      <c r="AD1555" s="712"/>
      <c r="AE1555" s="513" t="str">
        <f t="shared" si="1094"/>
        <v/>
      </c>
      <c r="AF1555" s="713" t="str">
        <f t="shared" si="1095"/>
        <v/>
      </c>
      <c r="AG1555" s="713"/>
      <c r="AH1555" s="713"/>
      <c r="AI1555" s="112">
        <f>IF(H1555="credit",0,IF(AE1555="free",0,IF(AE1555="me",0,IF(G1555&gt;0,(VLOOKUP(A1555,'Discount Lookup'!J:K,2)*G1555),0))))</f>
        <v>0</v>
      </c>
      <c r="AJ1555" s="107" t="str">
        <f t="shared" ca="1" si="1096"/>
        <v/>
      </c>
      <c r="AK1555" s="714" t="str">
        <f t="shared" si="1097"/>
        <v/>
      </c>
      <c r="AL1555" s="714"/>
      <c r="AM1555" s="114" t="str">
        <f t="shared" si="1098"/>
        <v/>
      </c>
      <c r="AN1555" s="115"/>
      <c r="AO1555" s="116"/>
      <c r="AP1555" s="116"/>
      <c r="AQ1555" s="116"/>
      <c r="AR1555" s="116"/>
      <c r="AS1555" s="116"/>
      <c r="AT1555" s="116"/>
      <c r="AU1555" s="116"/>
      <c r="AV1555" s="78"/>
      <c r="AW1555" s="102"/>
      <c r="AX1555" s="78"/>
      <c r="AY1555" s="78"/>
      <c r="AZ1555" s="78"/>
      <c r="BA1555" s="78"/>
      <c r="BB1555" s="78"/>
      <c r="BC1555" s="78"/>
      <c r="BD1555" s="78"/>
      <c r="BE1555" s="465"/>
      <c r="BF1555" s="165" t="str">
        <f t="shared" si="1099"/>
        <v>https://www.google.com/search?tbm=isch&amp;q=Echinacea%20purpurea%20%27Gold%27%20PP%2335322%20Guatemala%20Gold%E2%84%A2%20Coneflower</v>
      </c>
      <c r="BG1555" s="165" t="str">
        <f t="shared" si="1100"/>
        <v>E</v>
      </c>
      <c r="BH1555" s="65"/>
      <c r="BI1555" s="65"/>
      <c r="BJ1555" s="65"/>
      <c r="BK1555" s="65"/>
      <c r="BL1555" s="99"/>
      <c r="BM1555" s="99"/>
      <c r="BN1555" s="99"/>
    </row>
    <row r="1556" spans="1:66" s="51" customFormat="1" ht="15.75" x14ac:dyDescent="0.25">
      <c r="A1556" s="634">
        <v>1</v>
      </c>
      <c r="B1556" s="635" t="s">
        <v>291</v>
      </c>
      <c r="C1556" s="636"/>
      <c r="D1556" s="637" t="s">
        <v>329</v>
      </c>
      <c r="E1556" s="638">
        <v>13.95</v>
      </c>
      <c r="F1556" s="639" t="s">
        <v>292</v>
      </c>
      <c r="G1556" s="484">
        <v>0</v>
      </c>
      <c r="H1556" s="691" t="str">
        <f>IF(G1556=0,"",IF(F1556="Buy",IF(G1556=1,"plant","plants"),IF(F1556&gt;0.01,"warranty","Error")))</f>
        <v/>
      </c>
      <c r="I1556" s="640">
        <f>IF(H1556="free",0,IF(H1556="credit",((E1556*(F1556))*G1556*-1),IF(F1556="Buy",(E1556*G1556),((E1556*(1-F1556))*G1556))))</f>
        <v>0</v>
      </c>
      <c r="J1556" s="640">
        <f>IF(H1556="warranty",0,(I1556*(_xlfn.SINGLE(SalesTaxPercentage))))</f>
        <v>0</v>
      </c>
      <c r="K1556" s="716">
        <f t="shared" ref="K1556" si="1133">I1556+J1556</f>
        <v>0</v>
      </c>
      <c r="L1556" s="716"/>
      <c r="M1556" s="689" t="str">
        <f ca="1">IF(AND(G1556&gt;0,E1556=0),"WARNING - no PRICE inserted",IF(H1556="free","FREE ~ no charge this plant",IF(H1556="credit",CONCATENATE("-$",ROUND(K1556*(1-_xlfn.SINGLE(T2GDiscount))*-1,2)," CREDIT after discount"),IF(_xlfn.SINGLE(T2GDiscount)=0,"",IF(G1556=0,"",IF(F1556="Buy",CONCATENATE("$",ROUND(K1556*(1-_xlfn.SINGLE(T2GDiscount)),2)," with ",(_xlfn.SINGLE(T2GDiscount)*100),"% discount"),CONCATENATE("$",ROUND(K1556*(1-_xlfn.SINGLE(T2GDiscount)),2)," with ",((_xlfn.SINGLE(T2GDiscount)*100+F1556*100)-(_xlfn.SINGLE(T2GDiscount)*100*F1556)),IF(F1556&gt;0,"% discounts",IF(_xlfn.SINGLE(NoWarrantyDiscount)&gt;0,"% discounts","% discount")))))))))</f>
        <v/>
      </c>
      <c r="N1556" s="690"/>
      <c r="O1556" s="486"/>
      <c r="P1556" s="486"/>
      <c r="Q1556" s="486"/>
      <c r="R1556" s="486"/>
      <c r="S1556" s="486"/>
      <c r="T1556" s="102">
        <f t="shared" ref="T1556:T1619" si="1134">E1556*G1556</f>
        <v>0</v>
      </c>
      <c r="U1556" s="78">
        <f>IF(NOT(ISNUMBER(G1556)), "", VLOOKUP(A1556,'Discount Lookup'!D:E,2,FALSE)*G1556)</f>
        <v>0</v>
      </c>
      <c r="V1556" s="78">
        <f>IF(NOT(ISNUMBER(G1556)), "", VLOOKUP(A1556,'Discount Lookup'!G:H,2,FALSE)*G1556)</f>
        <v>0</v>
      </c>
      <c r="W1556" s="102">
        <f t="shared" ref="W1556:W1619" si="1135">IF(H1556="credit",0,E1556*(SalesTaxPercentage)*G1556)</f>
        <v>0</v>
      </c>
      <c r="X1556" s="102">
        <f t="shared" ref="X1556:X1619" si="1136">I1556</f>
        <v>0</v>
      </c>
      <c r="Y1556" s="120" t="b">
        <f t="shared" ref="Y1556:Y1619" si="1137">IF(AE1556="T2G",0,IF(H1556="credit",0,IF(G1556&gt;0,IF(AE1556="me","",G1556))))</f>
        <v>0</v>
      </c>
      <c r="Z1556" s="117">
        <f t="shared" ref="Z1556:Z1619" si="1138">IF(H1556="credit",G1556,0)</f>
        <v>0</v>
      </c>
      <c r="AA1556" s="118"/>
      <c r="AB1556" s="118" t="str">
        <f t="shared" ref="AB1556:AB1619" si="1139">IF(AE1556="T2G","by Trees2Go",IF(H1556="credit","CREDIT only ~",IF(AND(K1556="",AE1556=OR(PlanterYesMe="No",PlanterYesMe="N",PlanterYesMe="me")),"not THIS line⇨",IF(AND(K1556="images",AE1556="me"),"not THIS line⇨",IF(H1556="credit","",IF(G1556=0,"",IF(AE1556="me","",IF(OR(PlanterYesMe="No",PlanterYesMe="N",PlanterYesMe="me"),"",IF(AE1556="free","warranty",IF(OR(PlanterYesMe="yes",PlanterYesMe="y"),"Edison install:","to install:"))))))))))</f>
        <v/>
      </c>
      <c r="AC1556" s="712" t="str">
        <f>IF(AE1556="T2G","no charge",IF(AND(OR(PlanterYesMe="No",PlanterYesMe="N",PlanterYesMe="me"),H1556=""),"",IF(H1556="credit","NO install",IF(AND(K1556="",AE1556="me"),"EACH row",IF(AND(K1556="images",AE1556="me"),"EACH row",IF(D1556="","",IF(H1556="credit","",IF(AE1556="free","re-planting",IF(AE1556="me","   not ELP, by",IF(AND(OR(PlanterYesMe="Yes",PlanterYesMe="Y"),G1556&gt;0),(VLOOKUP(A1556,'Discount Lookup'!J:K,2)*G1556*(1-PlanterDiscount)*(1+PlanterDifficultyPercentage)),IF(AE1556="ELP",(VLOOKUP(A1556,'Discount Lookup'!J:K,2)*G1556*(1-PlanterDiscount)*(1+PlanterDifficultyPercentage)),IF(AE1556="free","re-planting",IF(G1556=0,"",IF(PlanterYesMe="",IF(AE1556="me","   not ELP, by",IF(AE1556="",IF(G1556&gt;0,(VLOOKUP(A1556,'Discount Lookup'!J:K,2)*G1556*(1-PlanterDiscount)*(1+PlanterDifficultyPercentage)),""),"")),"   not ELP, by"))))))))))))))</f>
        <v/>
      </c>
      <c r="AD1556" s="712"/>
      <c r="AE1556" s="513" t="str">
        <f t="shared" ref="AE1556:AE1619" si="1140">IF(H1556="credit","",IF(G1556=0,"",IF(OR(PlanterYesMe="No",PlanterYesMe="N",PlanterYesMe="me"),"me",IF(H1556="warranty","free",IF(OR(PlanterYesMe="yes",PlanterYesMe="y"),"ELP","")))))</f>
        <v/>
      </c>
      <c r="AF1556" s="713" t="str">
        <f t="shared" ref="AF1556:AF1619" si="1141">IF(OR(PlanterYesMe="No",PlanterYesMe="N",PlanterYesMe="me"),"",IF(H1556="credit","",IF(G1556&gt;0,(CONCATENATE((G1556)," quantity, ",(A1556)," ",B1556)),"")))</f>
        <v/>
      </c>
      <c r="AG1556" s="713"/>
      <c r="AH1556" s="713"/>
      <c r="AI1556" s="112">
        <f>IF(H1556="credit",0,IF(AE1556="free",0,IF(AE1556="me",0,IF(G1556&gt;0,(VLOOKUP(A1556,'Discount Lookup'!J:K,2)*G1556),0))))</f>
        <v>0</v>
      </c>
      <c r="AJ1556" s="107" t="str">
        <f t="shared" ref="AJ1556:AJ1619" ca="1" si="1142">IF(AND(ISREF(H1556),H1556="credit"),"",IF(AND(AND(OFFSET(G1556,0,0)=0,OFFSET(G1556,1,0)&gt;0,ISNUMBER(OFFSET(AC1556,1,0)),OFFSET(AC1556,1,0)&gt;0),OR(PlanterYesMe="yes",PlanterYesMe="y")),"T2G+ELP=",IF(AND(OFFSET(G1556,0,0)=0,OFFSET(G1556,1,0)&gt;0,ISNUMBER(OFFSET(AC1556,1,0)),OFFSET(AC1556,1,0)&gt;0),"if T2G+ELP=",IF(AND(OFFSET(G1556,0,0)=0,OFFSET(G1556,1,0)&gt;0),"T2G Subtotal",IF(H1556="credit","",IF(G1556=0,"",IF(AE1556="free",(K1556*(1-T2GDiscount)),IF(OR(PlanterYesMe="No",PlanterYesMe="N",PlanterYesMe="me"),(K1556*(1-T2GDiscount)),IF(OR(AE1556="me",AE1556="T2G"),(K1556*(1-T2GDiscount)),(K1556*(1-T2GDiscount))+AC1556)))))))))</f>
        <v/>
      </c>
      <c r="AK1556" s="714" t="str">
        <f t="shared" ref="AK1556:AK1619" si="1143">IF(H1556="credit","",IF(G1556=0,"",IF(OR(AE1556="me",AE1556="T2G"),"  delivery-only",IF(OR(PlanterYesMe="No",PlanterYesMe="N",PlanterYesMe="me"),"  delivery-only",CONCATENATE(" $",ROUND(AJ1556/G1556,2)," each")))))</f>
        <v/>
      </c>
      <c r="AL1556" s="714"/>
      <c r="AM1556" s="114" t="str">
        <f t="shared" ref="AM1556:AM1619" si="1144">IF(H1556="credit","",IF(AE1556="free","      ~ discounts included, no tax or planting fee applies ~",IF(G1556=0,"",IF(OR(PlanterYesMe="No",PlanterYesMe="N",PlanterYesMe="me"),CONCATENATE(" $",ROUND(AJ1556/G1556,2)," per plant, with tax &amp; discount"),IF(OR(AE1556="me",AE1556="T2G"),CONCATENATE(" $",ROUND(AJ1556/G1556,2)," per plant, with tax &amp; discount"),CONCATENATE("= $",ROUND((K1556*(1-T2GDiscount))/G1556,2)," per plant + $",AC1556/G1556,(" per planting      ~ includes tax &amp; discounts ~")))))))</f>
        <v/>
      </c>
      <c r="AN1556" s="115"/>
      <c r="AO1556" s="116"/>
      <c r="AP1556" s="116"/>
      <c r="AQ1556" s="116"/>
      <c r="AR1556" s="116"/>
      <c r="AS1556" s="116"/>
      <c r="AT1556" s="116"/>
      <c r="AU1556" s="116"/>
      <c r="AV1556" s="78"/>
      <c r="AW1556" s="102"/>
      <c r="AX1556" s="78"/>
      <c r="AY1556" s="78"/>
      <c r="AZ1556" s="78"/>
      <c r="BA1556" s="78"/>
      <c r="BB1556" s="78"/>
      <c r="BC1556" s="78"/>
      <c r="BD1556" s="78"/>
      <c r="BE1556" s="465"/>
      <c r="BF1556" s="165" t="str">
        <f t="shared" ref="BF1556:BF1619" si="1145">"https://www.google.com/search?tbm=isch&amp;q=" &amp; _xlfn.ENCODEURL($A1556 &amp; " " &amp; $D1556)</f>
        <v>https://www.google.com/search?tbm=isch&amp;q=1%20G2</v>
      </c>
      <c r="BG1556" s="165" t="str">
        <f t="shared" ref="BG1556:BG1619" si="1146">IF(ISTEXT(A1556),LEFT(A1556,1),BG1555)</f>
        <v>E</v>
      </c>
      <c r="BH1556" s="65"/>
      <c r="BI1556" s="65"/>
      <c r="BJ1556" s="65"/>
      <c r="BK1556" s="65"/>
      <c r="BL1556" s="99"/>
      <c r="BM1556" s="99"/>
      <c r="BN1556" s="99"/>
    </row>
    <row r="1557" spans="1:66" s="51" customFormat="1" ht="17.25" thickBot="1" x14ac:dyDescent="0.3">
      <c r="A1557" s="641" t="s">
        <v>4919</v>
      </c>
      <c r="B1557" s="642"/>
      <c r="C1557" s="710"/>
      <c r="D1557" s="643"/>
      <c r="E1557" s="643"/>
      <c r="F1557" s="644"/>
      <c r="G1557" s="645"/>
      <c r="H1557" s="646"/>
      <c r="I1557" s="647"/>
      <c r="J1557" s="648"/>
      <c r="K1557" s="649"/>
      <c r="L1557" s="650"/>
      <c r="M1557" s="650"/>
      <c r="N1557" s="644"/>
      <c r="O1557" s="644"/>
      <c r="P1557" s="644"/>
      <c r="Q1557" s="644"/>
      <c r="R1557" s="644"/>
      <c r="S1557" s="701" t="s">
        <v>5284</v>
      </c>
      <c r="T1557" s="102">
        <f t="shared" si="1134"/>
        <v>0</v>
      </c>
      <c r="U1557" s="78" t="str">
        <f>IF(NOT(ISNUMBER(G1557)), "", VLOOKUP(A1557,'Discount Lookup'!D:E,2,FALSE)*G1557)</f>
        <v/>
      </c>
      <c r="V1557" s="78" t="str">
        <f>IF(NOT(ISNUMBER(G1557)), "", VLOOKUP(A1557,'Discount Lookup'!G:H,2,FALSE)*G1557)</f>
        <v/>
      </c>
      <c r="W1557" s="102">
        <f t="shared" si="1135"/>
        <v>0</v>
      </c>
      <c r="X1557" s="102">
        <f t="shared" si="1136"/>
        <v>0</v>
      </c>
      <c r="Y1557" s="120" t="b">
        <f t="shared" si="1137"/>
        <v>0</v>
      </c>
      <c r="Z1557" s="117">
        <f t="shared" si="1138"/>
        <v>0</v>
      </c>
      <c r="AA1557" s="118"/>
      <c r="AB1557" s="118" t="str">
        <f t="shared" si="1139"/>
        <v/>
      </c>
      <c r="AC1557" s="712" t="str">
        <f>IF(AE1557="T2G","no charge",IF(AND(OR(PlanterYesMe="No",PlanterYesMe="N",PlanterYesMe="me"),H1557=""),"",IF(H1557="credit","NO install",IF(AND(K1557="",AE1557="me"),"EACH row",IF(AND(K1557="images",AE1557="me"),"EACH row",IF(D1557="","",IF(H1557="credit","",IF(AE1557="free","re-planting",IF(AE1557="me","   not ELP, by",IF(AND(OR(PlanterYesMe="Yes",PlanterYesMe="Y"),G1557&gt;0),(VLOOKUP(A1557,'Discount Lookup'!J:K,2)*G1557*(1-PlanterDiscount)*(1+PlanterDifficultyPercentage)),IF(AE1557="ELP",(VLOOKUP(A1557,'Discount Lookup'!J:K,2)*G1557*(1-PlanterDiscount)*(1+PlanterDifficultyPercentage)),IF(AE1557="free","re-planting",IF(G1557=0,"",IF(PlanterYesMe="",IF(AE1557="me","   not ELP, by",IF(AE1557="",IF(G1557&gt;0,(VLOOKUP(A1557,'Discount Lookup'!J:K,2)*G1557*(1-PlanterDiscount)*(1+PlanterDifficultyPercentage)),""),"")),"   not ELP, by"))))))))))))))</f>
        <v/>
      </c>
      <c r="AD1557" s="712"/>
      <c r="AE1557" s="513" t="str">
        <f t="shared" si="1140"/>
        <v/>
      </c>
      <c r="AF1557" s="713" t="str">
        <f t="shared" si="1141"/>
        <v/>
      </c>
      <c r="AG1557" s="713"/>
      <c r="AH1557" s="713"/>
      <c r="AI1557" s="112">
        <f>IF(H1557="credit",0,IF(AE1557="free",0,IF(AE1557="me",0,IF(G1557&gt;0,(VLOOKUP(A1557,'Discount Lookup'!J:K,2)*G1557),0))))</f>
        <v>0</v>
      </c>
      <c r="AJ1557" s="107" t="str">
        <f t="shared" ca="1" si="1142"/>
        <v/>
      </c>
      <c r="AK1557" s="714" t="str">
        <f t="shared" si="1143"/>
        <v/>
      </c>
      <c r="AL1557" s="714"/>
      <c r="AM1557" s="114" t="str">
        <f t="shared" si="1144"/>
        <v/>
      </c>
      <c r="AN1557" s="115"/>
      <c r="AO1557" s="116"/>
      <c r="AP1557" s="116"/>
      <c r="AQ1557" s="116"/>
      <c r="AR1557" s="116"/>
      <c r="AS1557" s="116"/>
      <c r="AT1557" s="116"/>
      <c r="AU1557" s="116"/>
      <c r="AV1557" s="78"/>
      <c r="AW1557" s="102"/>
      <c r="AX1557" s="78"/>
      <c r="AY1557" s="78"/>
      <c r="AZ1557" s="78"/>
      <c r="BA1557" s="78"/>
      <c r="BB1557" s="78"/>
      <c r="BC1557" s="78"/>
      <c r="BD1557" s="78"/>
      <c r="BE1557" s="465"/>
      <c r="BF1557" s="165" t="str">
        <f t="shared" si="1145"/>
        <v>https://www.google.com/search?tbm=isch&amp;q=Guatemala%20Gold%20is%20notable%20for%20its%20vibrant%20blooms%20that%20do%20not%20fade%2C%20providing%20a%20long%20season%20of%20brilliant%20color%20</v>
      </c>
      <c r="BG1557" s="165" t="str">
        <f t="shared" si="1146"/>
        <v>G</v>
      </c>
      <c r="BH1557" s="65"/>
      <c r="BI1557" s="65"/>
      <c r="BJ1557" s="65"/>
      <c r="BK1557" s="65"/>
      <c r="BL1557" s="99"/>
      <c r="BM1557" s="99"/>
      <c r="BN1557" s="99"/>
    </row>
    <row r="1558" spans="1:66" s="51" customFormat="1" ht="18" x14ac:dyDescent="0.25">
      <c r="A1558" s="623" t="s">
        <v>2479</v>
      </c>
      <c r="B1558" s="624"/>
      <c r="C1558" s="709"/>
      <c r="D1558" s="625" t="s">
        <v>5661</v>
      </c>
      <c r="E1558" s="626"/>
      <c r="F1558" s="626"/>
      <c r="G1558" s="626"/>
      <c r="H1558" s="622" t="s">
        <v>4884</v>
      </c>
      <c r="I1558" s="627" t="s">
        <v>4889</v>
      </c>
      <c r="J1558" s="628"/>
      <c r="K1558" s="628"/>
      <c r="L1558" s="629"/>
      <c r="M1558" s="700" t="s">
        <v>5241</v>
      </c>
      <c r="N1558" s="693" t="str">
        <f>IF(AND(ISTEXT($A1558), ISERROR($A1558+0)), HYPERLINK($BF1558, "Images"), "")</f>
        <v>Images</v>
      </c>
      <c r="O1558" s="695" t="s">
        <v>5247</v>
      </c>
      <c r="P1558" s="630"/>
      <c r="Q1558" s="631"/>
      <c r="R1558" s="632"/>
      <c r="S1558" s="633" t="s">
        <v>294</v>
      </c>
      <c r="T1558" s="102">
        <f t="shared" si="1134"/>
        <v>0</v>
      </c>
      <c r="U1558" s="78" t="str">
        <f>IF(NOT(ISNUMBER(G1558)), "", VLOOKUP(A1558,'Discount Lookup'!D:E,2,FALSE)*G1558)</f>
        <v/>
      </c>
      <c r="V1558" s="78" t="str">
        <f>IF(NOT(ISNUMBER(G1558)), "", VLOOKUP(A1558,'Discount Lookup'!G:H,2,FALSE)*G1558)</f>
        <v/>
      </c>
      <c r="W1558" s="102">
        <f t="shared" si="1135"/>
        <v>0</v>
      </c>
      <c r="X1558" s="102" t="str">
        <f t="shared" si="1136"/>
        <v>Deep Rose-Purple bloom</v>
      </c>
      <c r="Y1558" s="120" t="b">
        <f t="shared" si="1137"/>
        <v>0</v>
      </c>
      <c r="Z1558" s="117">
        <f t="shared" si="1138"/>
        <v>0</v>
      </c>
      <c r="AA1558" s="118"/>
      <c r="AB1558" s="118" t="str">
        <f t="shared" si="1139"/>
        <v/>
      </c>
      <c r="AC1558" s="712" t="str">
        <f>IF(AE1558="T2G","no charge",IF(AND(OR(PlanterYesMe="No",PlanterYesMe="N",PlanterYesMe="me"),H1558=""),"",IF(H1558="credit","NO install",IF(AND(K1558="",AE1558="me"),"EACH row",IF(AND(K1558="images",AE1558="me"),"EACH row",IF(D1558="","",IF(H1558="credit","",IF(AE1558="free","re-planting",IF(AE1558="me","   not ELP, by",IF(AND(OR(PlanterYesMe="Yes",PlanterYesMe="Y"),G1558&gt;0),(VLOOKUP(A1558,'Discount Lookup'!J:K,2)*G1558*(1-PlanterDiscount)*(1+PlanterDifficultyPercentage)),IF(AE1558="ELP",(VLOOKUP(A1558,'Discount Lookup'!J:K,2)*G1558*(1-PlanterDiscount)*(1+PlanterDifficultyPercentage)),IF(AE1558="free","re-planting",IF(G1558=0,"",IF(PlanterYesMe="",IF(AE1558="me","   not ELP, by",IF(AE1558="",IF(G1558&gt;0,(VLOOKUP(A1558,'Discount Lookup'!J:K,2)*G1558*(1-PlanterDiscount)*(1+PlanterDifficultyPercentage)),""),"")),"   not ELP, by"))))))))))))))</f>
        <v/>
      </c>
      <c r="AD1558" s="712"/>
      <c r="AE1558" s="513" t="str">
        <f t="shared" si="1140"/>
        <v/>
      </c>
      <c r="AF1558" s="713" t="str">
        <f t="shared" si="1141"/>
        <v/>
      </c>
      <c r="AG1558" s="713"/>
      <c r="AH1558" s="713"/>
      <c r="AI1558" s="112">
        <f>IF(H1558="credit",0,IF(AE1558="free",0,IF(AE1558="me",0,IF(G1558&gt;0,(VLOOKUP(A1558,'Discount Lookup'!J:K,2)*G1558),0))))</f>
        <v>0</v>
      </c>
      <c r="AJ1558" s="107" t="str">
        <f t="shared" ca="1" si="1142"/>
        <v/>
      </c>
      <c r="AK1558" s="714" t="str">
        <f t="shared" si="1143"/>
        <v/>
      </c>
      <c r="AL1558" s="714"/>
      <c r="AM1558" s="114" t="str">
        <f t="shared" si="1144"/>
        <v/>
      </c>
      <c r="AN1558" s="115"/>
      <c r="AO1558" s="116"/>
      <c r="AP1558" s="116"/>
      <c r="AQ1558" s="116"/>
      <c r="AR1558" s="116"/>
      <c r="AS1558" s="116"/>
      <c r="AT1558" s="116"/>
      <c r="AU1558" s="116"/>
      <c r="AV1558" s="78"/>
      <c r="AW1558" s="102"/>
      <c r="AX1558" s="78"/>
      <c r="AY1558" s="78"/>
      <c r="AZ1558" s="78"/>
      <c r="BA1558" s="78"/>
      <c r="BB1558" s="78"/>
      <c r="BC1558" s="78"/>
      <c r="BD1558" s="78"/>
      <c r="BE1558" s="465"/>
      <c r="BF1558" s="165" t="str">
        <f t="shared" si="1145"/>
        <v>https://www.google.com/search?tbm=isch&amp;q=Echinacea%20purpurea%20%27PAS702917%27%20PP%237982110%20PowWow%C2%AE%20Wild%20Berry%20Coneflower</v>
      </c>
      <c r="BG1558" s="165" t="str">
        <f t="shared" si="1146"/>
        <v>E</v>
      </c>
      <c r="BH1558" s="65"/>
      <c r="BI1558" s="65"/>
      <c r="BJ1558" s="65"/>
      <c r="BK1558" s="65"/>
      <c r="BL1558" s="99"/>
      <c r="BM1558" s="99"/>
      <c r="BN1558" s="99"/>
    </row>
    <row r="1559" spans="1:66" s="51" customFormat="1" ht="15.75" x14ac:dyDescent="0.25">
      <c r="A1559" s="634">
        <v>2</v>
      </c>
      <c r="B1559" s="635" t="s">
        <v>291</v>
      </c>
      <c r="C1559" s="636" t="s">
        <v>4968</v>
      </c>
      <c r="D1559" s="637" t="s">
        <v>293</v>
      </c>
      <c r="E1559" s="638">
        <v>26.95</v>
      </c>
      <c r="F1559" s="639" t="s">
        <v>292</v>
      </c>
      <c r="G1559" s="484">
        <v>0</v>
      </c>
      <c r="H1559" s="691" t="str">
        <f>IF(G1559=0,"",IF(F1559="Buy",IF(G1559=1,"plant","plants"),IF(F1559&gt;0.01,"warranty","Error")))</f>
        <v/>
      </c>
      <c r="I1559" s="640">
        <f>IF(H1559="free",0,IF(H1559="credit",((E1559*(F1559))*G1559*-1),IF(F1559="Buy",(E1559*G1559),((E1559*(1-F1559))*G1559))))</f>
        <v>0</v>
      </c>
      <c r="J1559" s="640">
        <f>IF(H1559="warranty",0,(I1559*(_xlfn.SINGLE(SalesTaxPercentage))))</f>
        <v>0</v>
      </c>
      <c r="K1559" s="716">
        <f t="shared" ref="K1559" si="1147">I1559+J1559</f>
        <v>0</v>
      </c>
      <c r="L1559" s="716"/>
      <c r="M1559" s="689" t="str">
        <f ca="1">IF(AND(G1559&gt;0,E1559=0),"WARNING - no PRICE inserted",IF(H1559="free","FREE ~ no charge this plant",IF(H1559="credit",CONCATENATE("-$",ROUND(K1559*(1-_xlfn.SINGLE(T2GDiscount))*-1,2)," CREDIT after discount"),IF(_xlfn.SINGLE(T2GDiscount)=0,"",IF(G1559=0,"",IF(F1559="Buy",CONCATENATE("$",ROUND(K1559*(1-_xlfn.SINGLE(T2GDiscount)),2)," with ",(_xlfn.SINGLE(T2GDiscount)*100),"% discount"),CONCATENATE("$",ROUND(K1559*(1-_xlfn.SINGLE(T2GDiscount)),2)," with ",((_xlfn.SINGLE(T2GDiscount)*100+F1559*100)-(_xlfn.SINGLE(T2GDiscount)*100*F1559)),IF(F1559&gt;0,"% discounts",IF(_xlfn.SINGLE(NoWarrantyDiscount)&gt;0,"% discounts","% discount")))))))))</f>
        <v/>
      </c>
      <c r="N1559" s="690"/>
      <c r="O1559" s="486"/>
      <c r="P1559" s="486"/>
      <c r="Q1559" s="486"/>
      <c r="R1559" s="486"/>
      <c r="S1559" s="486"/>
      <c r="T1559" s="102">
        <f t="shared" si="1134"/>
        <v>0</v>
      </c>
      <c r="U1559" s="78">
        <f>IF(NOT(ISNUMBER(G1559)), "", VLOOKUP(A1559,'Discount Lookup'!D:E,2,FALSE)*G1559)</f>
        <v>0</v>
      </c>
      <c r="V1559" s="78">
        <f>IF(NOT(ISNUMBER(G1559)), "", VLOOKUP(A1559,'Discount Lookup'!G:H,2,FALSE)*G1559)</f>
        <v>0</v>
      </c>
      <c r="W1559" s="102">
        <f t="shared" si="1135"/>
        <v>0</v>
      </c>
      <c r="X1559" s="102">
        <f t="shared" si="1136"/>
        <v>0</v>
      </c>
      <c r="Y1559" s="120" t="b">
        <f t="shared" si="1137"/>
        <v>0</v>
      </c>
      <c r="Z1559" s="117">
        <f t="shared" si="1138"/>
        <v>0</v>
      </c>
      <c r="AA1559" s="118"/>
      <c r="AB1559" s="118" t="str">
        <f t="shared" si="1139"/>
        <v/>
      </c>
      <c r="AC1559" s="712" t="str">
        <f>IF(AE1559="T2G","no charge",IF(AND(OR(PlanterYesMe="No",PlanterYesMe="N",PlanterYesMe="me"),H1559=""),"",IF(H1559="credit","NO install",IF(AND(K1559="",AE1559="me"),"EACH row",IF(AND(K1559="images",AE1559="me"),"EACH row",IF(D1559="","",IF(H1559="credit","",IF(AE1559="free","re-planting",IF(AE1559="me","   not ELP, by",IF(AND(OR(PlanterYesMe="Yes",PlanterYesMe="Y"),G1559&gt;0),(VLOOKUP(A1559,'Discount Lookup'!J:K,2)*G1559*(1-PlanterDiscount)*(1+PlanterDifficultyPercentage)),IF(AE1559="ELP",(VLOOKUP(A1559,'Discount Lookup'!J:K,2)*G1559*(1-PlanterDiscount)*(1+PlanterDifficultyPercentage)),IF(AE1559="free","re-planting",IF(G1559=0,"",IF(PlanterYesMe="",IF(AE1559="me","   not ELP, by",IF(AE1559="",IF(G1559&gt;0,(VLOOKUP(A1559,'Discount Lookup'!J:K,2)*G1559*(1-PlanterDiscount)*(1+PlanterDifficultyPercentage)),""),"")),"   not ELP, by"))))))))))))))</f>
        <v/>
      </c>
      <c r="AD1559" s="712"/>
      <c r="AE1559" s="513" t="str">
        <f t="shared" si="1140"/>
        <v/>
      </c>
      <c r="AF1559" s="713" t="str">
        <f t="shared" si="1141"/>
        <v/>
      </c>
      <c r="AG1559" s="713"/>
      <c r="AH1559" s="713"/>
      <c r="AI1559" s="112">
        <f>IF(H1559="credit",0,IF(AE1559="free",0,IF(AE1559="me",0,IF(G1559&gt;0,(VLOOKUP(A1559,'Discount Lookup'!J:K,2)*G1559),0))))</f>
        <v>0</v>
      </c>
      <c r="AJ1559" s="107" t="str">
        <f t="shared" ca="1" si="1142"/>
        <v/>
      </c>
      <c r="AK1559" s="714" t="str">
        <f t="shared" si="1143"/>
        <v/>
      </c>
      <c r="AL1559" s="714"/>
      <c r="AM1559" s="114" t="str">
        <f t="shared" si="1144"/>
        <v/>
      </c>
      <c r="AN1559" s="115"/>
      <c r="AO1559" s="116"/>
      <c r="AP1559" s="116"/>
      <c r="AQ1559" s="116"/>
      <c r="AR1559" s="116"/>
      <c r="AS1559" s="116"/>
      <c r="AT1559" s="116"/>
      <c r="AU1559" s="116"/>
      <c r="AV1559" s="78"/>
      <c r="AW1559" s="102"/>
      <c r="AX1559" s="78"/>
      <c r="AY1559" s="78"/>
      <c r="AZ1559" s="78"/>
      <c r="BA1559" s="78"/>
      <c r="BB1559" s="78"/>
      <c r="BC1559" s="78"/>
      <c r="BD1559" s="78"/>
      <c r="BE1559" s="465"/>
      <c r="BF1559" s="165" t="str">
        <f t="shared" si="1145"/>
        <v>https://www.google.com/search?tbm=isch&amp;q=2%20G6</v>
      </c>
      <c r="BG1559" s="165" t="str">
        <f t="shared" si="1146"/>
        <v>E</v>
      </c>
      <c r="BH1559" s="65"/>
      <c r="BI1559" s="65"/>
      <c r="BJ1559" s="65"/>
      <c r="BK1559" s="65"/>
      <c r="BL1559" s="99"/>
      <c r="BM1559" s="99"/>
      <c r="BN1559" s="99"/>
    </row>
    <row r="1560" spans="1:66" s="51" customFormat="1" ht="16.5" x14ac:dyDescent="0.25">
      <c r="A1560" s="641" t="s">
        <v>4920</v>
      </c>
      <c r="B1560" s="642"/>
      <c r="C1560" s="710"/>
      <c r="D1560" s="643"/>
      <c r="E1560" s="643"/>
      <c r="F1560" s="644"/>
      <c r="G1560" s="645"/>
      <c r="H1560" s="646"/>
      <c r="I1560" s="647"/>
      <c r="J1560" s="648"/>
      <c r="K1560" s="649"/>
      <c r="L1560" s="650"/>
      <c r="M1560" s="650"/>
      <c r="N1560" s="644"/>
      <c r="O1560" s="644"/>
      <c r="P1560" s="644"/>
      <c r="Q1560" s="644"/>
      <c r="R1560" s="644"/>
      <c r="S1560" s="701" t="s">
        <v>5284</v>
      </c>
      <c r="T1560" s="102">
        <f t="shared" si="1134"/>
        <v>0</v>
      </c>
      <c r="U1560" s="78" t="str">
        <f>IF(NOT(ISNUMBER(G1560)), "", VLOOKUP(A1560,'Discount Lookup'!D:E,2,FALSE)*G1560)</f>
        <v/>
      </c>
      <c r="V1560" s="78" t="str">
        <f>IF(NOT(ISNUMBER(G1560)), "", VLOOKUP(A1560,'Discount Lookup'!G:H,2,FALSE)*G1560)</f>
        <v/>
      </c>
      <c r="W1560" s="102">
        <f t="shared" si="1135"/>
        <v>0</v>
      </c>
      <c r="X1560" s="102">
        <f t="shared" si="1136"/>
        <v>0</v>
      </c>
      <c r="Y1560" s="120" t="b">
        <f t="shared" si="1137"/>
        <v>0</v>
      </c>
      <c r="Z1560" s="117">
        <f t="shared" si="1138"/>
        <v>0</v>
      </c>
      <c r="AA1560" s="118"/>
      <c r="AB1560" s="118" t="str">
        <f t="shared" si="1139"/>
        <v/>
      </c>
      <c r="AC1560" s="712" t="str">
        <f>IF(AE1560="T2G","no charge",IF(AND(OR(PlanterYesMe="No",PlanterYesMe="N",PlanterYesMe="me"),H1560=""),"",IF(H1560="credit","NO install",IF(AND(K1560="",AE1560="me"),"EACH row",IF(AND(K1560="images",AE1560="me"),"EACH row",IF(D1560="","",IF(H1560="credit","",IF(AE1560="free","re-planting",IF(AE1560="me","   not ELP, by",IF(AND(OR(PlanterYesMe="Yes",PlanterYesMe="Y"),G1560&gt;0),(VLOOKUP(A1560,'Discount Lookup'!J:K,2)*G1560*(1-PlanterDiscount)*(1+PlanterDifficultyPercentage)),IF(AE1560="ELP",(VLOOKUP(A1560,'Discount Lookup'!J:K,2)*G1560*(1-PlanterDiscount)*(1+PlanterDifficultyPercentage)),IF(AE1560="free","re-planting",IF(G1560=0,"",IF(PlanterYesMe="",IF(AE1560="me","   not ELP, by",IF(AE1560="",IF(G1560&gt;0,(VLOOKUP(A1560,'Discount Lookup'!J:K,2)*G1560*(1-PlanterDiscount)*(1+PlanterDifficultyPercentage)),""),"")),"   not ELP, by"))))))))))))))</f>
        <v/>
      </c>
      <c r="AD1560" s="712"/>
      <c r="AE1560" s="513" t="str">
        <f t="shared" si="1140"/>
        <v/>
      </c>
      <c r="AF1560" s="713" t="str">
        <f t="shared" si="1141"/>
        <v/>
      </c>
      <c r="AG1560" s="713"/>
      <c r="AH1560" s="713"/>
      <c r="AI1560" s="112">
        <f>IF(H1560="credit",0,IF(AE1560="free",0,IF(AE1560="me",0,IF(G1560&gt;0,(VLOOKUP(A1560,'Discount Lookup'!J:K,2)*G1560),0))))</f>
        <v>0</v>
      </c>
      <c r="AJ1560" s="107" t="str">
        <f t="shared" ca="1" si="1142"/>
        <v/>
      </c>
      <c r="AK1560" s="714" t="str">
        <f t="shared" si="1143"/>
        <v/>
      </c>
      <c r="AL1560" s="714"/>
      <c r="AM1560" s="114" t="str">
        <f t="shared" si="1144"/>
        <v/>
      </c>
      <c r="AN1560" s="115"/>
      <c r="AO1560" s="116"/>
      <c r="AP1560" s="116"/>
      <c r="AQ1560" s="116"/>
      <c r="AR1560" s="116"/>
      <c r="AS1560" s="116"/>
      <c r="AT1560" s="116"/>
      <c r="AU1560" s="116"/>
      <c r="AV1560" s="78"/>
      <c r="AW1560" s="102"/>
      <c r="AX1560" s="78"/>
      <c r="AY1560" s="78"/>
      <c r="AZ1560" s="78"/>
      <c r="BA1560" s="78"/>
      <c r="BB1560" s="78"/>
      <c r="BC1560" s="78"/>
      <c r="BD1560" s="78"/>
      <c r="BE1560" s="465"/>
      <c r="BF1560" s="165" t="str">
        <f t="shared" si="1145"/>
        <v>https://www.google.com/search?tbm=isch&amp;q=PowWow%20Wild%20Berry%20produces%20of%20vibrant%2C%20wild%20berry-colored%20blooms%20that%20last%20from%20late%20spring%20until%20fall%20</v>
      </c>
      <c r="BG1560" s="165" t="str">
        <f t="shared" si="1146"/>
        <v>P</v>
      </c>
      <c r="BH1560" s="65"/>
      <c r="BI1560" s="65"/>
      <c r="BJ1560" s="65"/>
      <c r="BK1560" s="65"/>
      <c r="BL1560" s="99"/>
      <c r="BM1560" s="99"/>
      <c r="BN1560" s="99"/>
    </row>
    <row r="1561" spans="1:66" s="51" customFormat="1" ht="19.5" thickBot="1" x14ac:dyDescent="0.3">
      <c r="A1561" s="686" t="s">
        <v>418</v>
      </c>
      <c r="B1561" s="73"/>
      <c r="C1561" s="708"/>
      <c r="D1561" s="73"/>
      <c r="E1561" s="73"/>
      <c r="F1561" s="496"/>
      <c r="G1561" s="73"/>
      <c r="H1561" s="73"/>
      <c r="I1561" s="73"/>
      <c r="J1561" s="497" t="s">
        <v>357</v>
      </c>
      <c r="K1561" s="498"/>
      <c r="L1561" s="562"/>
      <c r="M1561" s="73"/>
      <c r="N1561"/>
      <c r="O1561"/>
      <c r="P1561"/>
      <c r="Q1561"/>
      <c r="R1561"/>
      <c r="S1561"/>
      <c r="T1561" s="102">
        <f t="shared" si="1134"/>
        <v>0</v>
      </c>
      <c r="U1561" s="78" t="str">
        <f>IF(NOT(ISNUMBER(G1561)), "", VLOOKUP(A1561,'Discount Lookup'!D:E,2,FALSE)*G1561)</f>
        <v/>
      </c>
      <c r="V1561" s="78" t="str">
        <f>IF(NOT(ISNUMBER(G1561)), "", VLOOKUP(A1561,'Discount Lookup'!G:H,2,FALSE)*G1561)</f>
        <v/>
      </c>
      <c r="W1561" s="102">
        <f t="shared" si="1135"/>
        <v>0</v>
      </c>
      <c r="X1561" s="102">
        <f t="shared" si="1136"/>
        <v>0</v>
      </c>
      <c r="Y1561" s="120" t="b">
        <f t="shared" si="1137"/>
        <v>0</v>
      </c>
      <c r="Z1561" s="117">
        <f t="shared" si="1138"/>
        <v>0</v>
      </c>
      <c r="AA1561" s="118"/>
      <c r="AB1561" s="118" t="str">
        <f t="shared" si="1139"/>
        <v/>
      </c>
      <c r="AC1561" s="712" t="str">
        <f>IF(AE1561="T2G","no charge",IF(AND(OR(PlanterYesMe="No",PlanterYesMe="N",PlanterYesMe="me"),H1561=""),"",IF(H1561="credit","NO install",IF(AND(K1561="",AE1561="me"),"EACH row",IF(AND(K1561="images",AE1561="me"),"EACH row",IF(D1561="","",IF(H1561="credit","",IF(AE1561="free","re-planting",IF(AE1561="me","   not ELP, by",IF(AND(OR(PlanterYesMe="Yes",PlanterYesMe="Y"),G1561&gt;0),(VLOOKUP(A1561,'Discount Lookup'!J:K,2)*G1561*(1-PlanterDiscount)*(1+PlanterDifficultyPercentage)),IF(AE1561="ELP",(VLOOKUP(A1561,'Discount Lookup'!J:K,2)*G1561*(1-PlanterDiscount)*(1+PlanterDifficultyPercentage)),IF(AE1561="free","re-planting",IF(G1561=0,"",IF(PlanterYesMe="",IF(AE1561="me","   not ELP, by",IF(AE1561="",IF(G1561&gt;0,(VLOOKUP(A1561,'Discount Lookup'!J:K,2)*G1561*(1-PlanterDiscount)*(1+PlanterDifficultyPercentage)),""),"")),"   not ELP, by"))))))))))))))</f>
        <v/>
      </c>
      <c r="AD1561" s="712"/>
      <c r="AE1561" s="513" t="str">
        <f t="shared" si="1140"/>
        <v/>
      </c>
      <c r="AF1561" s="713" t="str">
        <f t="shared" si="1141"/>
        <v/>
      </c>
      <c r="AG1561" s="713"/>
      <c r="AH1561" s="713"/>
      <c r="AI1561" s="112">
        <f>IF(H1561="credit",0,IF(AE1561="free",0,IF(AE1561="me",0,IF(G1561&gt;0,(VLOOKUP(A1561,'Discount Lookup'!J:K,2)*G1561),0))))</f>
        <v>0</v>
      </c>
      <c r="AJ1561" s="107" t="str">
        <f t="shared" ca="1" si="1142"/>
        <v/>
      </c>
      <c r="AK1561" s="714" t="str">
        <f t="shared" si="1143"/>
        <v/>
      </c>
      <c r="AL1561" s="714"/>
      <c r="AM1561" s="114" t="str">
        <f t="shared" si="1144"/>
        <v/>
      </c>
      <c r="AN1561" s="115"/>
      <c r="AO1561" s="116"/>
      <c r="AP1561" s="116"/>
      <c r="AQ1561" s="116"/>
      <c r="AR1561" s="116"/>
      <c r="AS1561" s="116"/>
      <c r="AT1561" s="116"/>
      <c r="AU1561" s="116"/>
      <c r="AV1561" s="78"/>
      <c r="AW1561" s="102"/>
      <c r="AX1561" s="78"/>
      <c r="AY1561" s="78"/>
      <c r="AZ1561" s="78"/>
      <c r="BA1561" s="78"/>
      <c r="BB1561" s="78"/>
      <c r="BC1561" s="78"/>
      <c r="BD1561" s="78"/>
      <c r="BE1561" s="465"/>
      <c r="BF1561" s="165" t="str">
        <f t="shared" si="1145"/>
        <v>https://www.google.com/search?tbm=isch&amp;q=Edgeworthia%20%3D%20Paperbush%20</v>
      </c>
      <c r="BG1561" s="165" t="str">
        <f t="shared" si="1146"/>
        <v>E</v>
      </c>
      <c r="BH1561" s="65"/>
      <c r="BI1561" s="65"/>
      <c r="BJ1561" s="65"/>
      <c r="BK1561" s="65"/>
      <c r="BL1561" s="99"/>
      <c r="BM1561" s="99"/>
      <c r="BN1561" s="99"/>
    </row>
    <row r="1562" spans="1:66" s="51" customFormat="1" ht="18" x14ac:dyDescent="0.25">
      <c r="A1562" s="623" t="s">
        <v>2480</v>
      </c>
      <c r="B1562" s="624"/>
      <c r="C1562" s="709"/>
      <c r="D1562" s="625" t="s">
        <v>2481</v>
      </c>
      <c r="E1562" s="626"/>
      <c r="F1562" s="626"/>
      <c r="G1562" s="626"/>
      <c r="H1562" s="622" t="s">
        <v>1217</v>
      </c>
      <c r="I1562" s="627" t="s">
        <v>1549</v>
      </c>
      <c r="J1562" s="628"/>
      <c r="K1562" s="628"/>
      <c r="L1562" s="629"/>
      <c r="M1562" s="702" t="s">
        <v>5252</v>
      </c>
      <c r="N1562" s="693" t="str">
        <f>IF(AND(ISTEXT($A1562), ISERROR($A1562+0)), HYPERLINK($BF1562, "Images"), "")</f>
        <v>Images</v>
      </c>
      <c r="O1562" s="695" t="s">
        <v>5244</v>
      </c>
      <c r="P1562" s="630"/>
      <c r="Q1562" s="631"/>
      <c r="R1562" s="632"/>
      <c r="S1562" s="633"/>
      <c r="T1562" s="102">
        <f t="shared" si="1134"/>
        <v>0</v>
      </c>
      <c r="U1562" s="78" t="str">
        <f>IF(NOT(ISNUMBER(G1562)), "", VLOOKUP(A1562,'Discount Lookup'!D:E,2,FALSE)*G1562)</f>
        <v/>
      </c>
      <c r="V1562" s="78" t="str">
        <f>IF(NOT(ISNUMBER(G1562)), "", VLOOKUP(A1562,'Discount Lookup'!G:H,2,FALSE)*G1562)</f>
        <v/>
      </c>
      <c r="W1562" s="102">
        <f t="shared" si="1135"/>
        <v>0</v>
      </c>
      <c r="X1562" s="102" t="str">
        <f t="shared" si="1136"/>
        <v>Golden Yellow bloom</v>
      </c>
      <c r="Y1562" s="120" t="b">
        <f t="shared" si="1137"/>
        <v>0</v>
      </c>
      <c r="Z1562" s="117">
        <f t="shared" si="1138"/>
        <v>0</v>
      </c>
      <c r="AA1562" s="118"/>
      <c r="AB1562" s="118" t="str">
        <f t="shared" si="1139"/>
        <v/>
      </c>
      <c r="AC1562" s="712" t="str">
        <f>IF(AE1562="T2G","no charge",IF(AND(OR(PlanterYesMe="No",PlanterYesMe="N",PlanterYesMe="me"),H1562=""),"",IF(H1562="credit","NO install",IF(AND(K1562="",AE1562="me"),"EACH row",IF(AND(K1562="images",AE1562="me"),"EACH row",IF(D1562="","",IF(H1562="credit","",IF(AE1562="free","re-planting",IF(AE1562="me","   not ELP, by",IF(AND(OR(PlanterYesMe="Yes",PlanterYesMe="Y"),G1562&gt;0),(VLOOKUP(A1562,'Discount Lookup'!J:K,2)*G1562*(1-PlanterDiscount)*(1+PlanterDifficultyPercentage)),IF(AE1562="ELP",(VLOOKUP(A1562,'Discount Lookup'!J:K,2)*G1562*(1-PlanterDiscount)*(1+PlanterDifficultyPercentage)),IF(AE1562="free","re-planting",IF(G1562=0,"",IF(PlanterYesMe="",IF(AE1562="me","   not ELP, by",IF(AE1562="",IF(G1562&gt;0,(VLOOKUP(A1562,'Discount Lookup'!J:K,2)*G1562*(1-PlanterDiscount)*(1+PlanterDifficultyPercentage)),""),"")),"   not ELP, by"))))))))))))))</f>
        <v/>
      </c>
      <c r="AD1562" s="712"/>
      <c r="AE1562" s="513" t="str">
        <f t="shared" si="1140"/>
        <v/>
      </c>
      <c r="AF1562" s="713" t="str">
        <f t="shared" si="1141"/>
        <v/>
      </c>
      <c r="AG1562" s="713"/>
      <c r="AH1562" s="713"/>
      <c r="AI1562" s="112">
        <f>IF(H1562="credit",0,IF(AE1562="free",0,IF(AE1562="me",0,IF(G1562&gt;0,(VLOOKUP(A1562,'Discount Lookup'!J:K,2)*G1562),0))))</f>
        <v>0</v>
      </c>
      <c r="AJ1562" s="107" t="str">
        <f t="shared" ca="1" si="1142"/>
        <v/>
      </c>
      <c r="AK1562" s="714" t="str">
        <f t="shared" si="1143"/>
        <v/>
      </c>
      <c r="AL1562" s="714"/>
      <c r="AM1562" s="114" t="str">
        <f t="shared" si="1144"/>
        <v/>
      </c>
      <c r="AN1562" s="115"/>
      <c r="AO1562" s="116"/>
      <c r="AP1562" s="116"/>
      <c r="AQ1562" s="116"/>
      <c r="AR1562" s="116"/>
      <c r="AS1562" s="116"/>
      <c r="AT1562" s="116"/>
      <c r="AU1562" s="116"/>
      <c r="AV1562" s="78"/>
      <c r="AW1562" s="102"/>
      <c r="AX1562" s="78"/>
      <c r="AY1562" s="78"/>
      <c r="AZ1562" s="78"/>
      <c r="BA1562" s="78"/>
      <c r="BB1562" s="78"/>
      <c r="BC1562" s="78"/>
      <c r="BD1562" s="78"/>
      <c r="BE1562" s="465"/>
      <c r="BF1562" s="165" t="str">
        <f t="shared" si="1145"/>
        <v>https://www.google.com/search?tbm=isch&amp;q=Edgeworthia%20chrysantha%20Paperbush</v>
      </c>
      <c r="BG1562" s="165" t="str">
        <f t="shared" si="1146"/>
        <v>E</v>
      </c>
      <c r="BH1562" s="65"/>
      <c r="BI1562" s="65"/>
      <c r="BJ1562" s="65"/>
      <c r="BK1562" s="65"/>
      <c r="BL1562" s="99"/>
      <c r="BM1562" s="99"/>
      <c r="BN1562" s="99"/>
    </row>
    <row r="1563" spans="1:66" s="51" customFormat="1" ht="15.75" x14ac:dyDescent="0.25">
      <c r="A1563" s="634">
        <v>7</v>
      </c>
      <c r="B1563" s="635" t="s">
        <v>291</v>
      </c>
      <c r="C1563" s="636" t="s">
        <v>2482</v>
      </c>
      <c r="D1563" s="637" t="s">
        <v>293</v>
      </c>
      <c r="E1563" s="638">
        <v>194.95</v>
      </c>
      <c r="F1563" s="639" t="s">
        <v>292</v>
      </c>
      <c r="G1563" s="484">
        <v>0</v>
      </c>
      <c r="H1563" s="691" t="str">
        <f>IF(G1563=0,"",IF(F1563="Buy",IF(G1563=1,"plant","plants"),IF(F1563&gt;0.01,"warranty","Error")))</f>
        <v/>
      </c>
      <c r="I1563" s="640">
        <f>IF(H1563="free",0,IF(H1563="credit",((E1563*(F1563))*G1563*-1),IF(F1563="Buy",(E1563*G1563),((E1563*(1-F1563))*G1563))))</f>
        <v>0</v>
      </c>
      <c r="J1563" s="640">
        <f>IF(H1563="warranty",0,(I1563*(_xlfn.SINGLE(SalesTaxPercentage))))</f>
        <v>0</v>
      </c>
      <c r="K1563" s="716">
        <f t="shared" ref="K1563" si="1148">I1563+J1563</f>
        <v>0</v>
      </c>
      <c r="L1563" s="716"/>
      <c r="M1563" s="689" t="str">
        <f ca="1">IF(AND(G1563&gt;0,E1563=0),"WARNING - no PRICE inserted",IF(H1563="free","FREE ~ no charge this plant",IF(H1563="credit",CONCATENATE("-$",ROUND(K1563*(1-_xlfn.SINGLE(T2GDiscount))*-1,2)," CREDIT after discount"),IF(_xlfn.SINGLE(T2GDiscount)=0,"",IF(G1563=0,"",IF(F1563="Buy",CONCATENATE("$",ROUND(K1563*(1-_xlfn.SINGLE(T2GDiscount)),2)," with ",(_xlfn.SINGLE(T2GDiscount)*100),"% discount"),CONCATENATE("$",ROUND(K1563*(1-_xlfn.SINGLE(T2GDiscount)),2)," with ",((_xlfn.SINGLE(T2GDiscount)*100+F1563*100)-(_xlfn.SINGLE(T2GDiscount)*100*F1563)),IF(F1563&gt;0,"% discounts",IF(_xlfn.SINGLE(NoWarrantyDiscount)&gt;0,"% discounts","% discount")))))))))</f>
        <v/>
      </c>
      <c r="N1563" s="690"/>
      <c r="O1563" s="486"/>
      <c r="P1563" s="486"/>
      <c r="Q1563" s="486"/>
      <c r="R1563" s="486"/>
      <c r="S1563" s="486"/>
      <c r="T1563" s="102">
        <f t="shared" si="1134"/>
        <v>0</v>
      </c>
      <c r="U1563" s="78">
        <f>IF(NOT(ISNUMBER(G1563)), "", VLOOKUP(A1563,'Discount Lookup'!D:E,2,FALSE)*G1563)</f>
        <v>0</v>
      </c>
      <c r="V1563" s="78">
        <f>IF(NOT(ISNUMBER(G1563)), "", VLOOKUP(A1563,'Discount Lookup'!G:H,2,FALSE)*G1563)</f>
        <v>0</v>
      </c>
      <c r="W1563" s="102">
        <f t="shared" si="1135"/>
        <v>0</v>
      </c>
      <c r="X1563" s="102">
        <f t="shared" si="1136"/>
        <v>0</v>
      </c>
      <c r="Y1563" s="120" t="b">
        <f t="shared" si="1137"/>
        <v>0</v>
      </c>
      <c r="Z1563" s="117">
        <f t="shared" si="1138"/>
        <v>0</v>
      </c>
      <c r="AA1563" s="118"/>
      <c r="AB1563" s="118" t="str">
        <f t="shared" si="1139"/>
        <v/>
      </c>
      <c r="AC1563" s="712" t="str">
        <f>IF(AE1563="T2G","no charge",IF(AND(OR(PlanterYesMe="No",PlanterYesMe="N",PlanterYesMe="me"),H1563=""),"",IF(H1563="credit","NO install",IF(AND(K1563="",AE1563="me"),"EACH row",IF(AND(K1563="images",AE1563="me"),"EACH row",IF(D1563="","",IF(H1563="credit","",IF(AE1563="free","re-planting",IF(AE1563="me","   not ELP, by",IF(AND(OR(PlanterYesMe="Yes",PlanterYesMe="Y"),G1563&gt;0),(VLOOKUP(A1563,'Discount Lookup'!J:K,2)*G1563*(1-PlanterDiscount)*(1+PlanterDifficultyPercentage)),IF(AE1563="ELP",(VLOOKUP(A1563,'Discount Lookup'!J:K,2)*G1563*(1-PlanterDiscount)*(1+PlanterDifficultyPercentage)),IF(AE1563="free","re-planting",IF(G1563=0,"",IF(PlanterYesMe="",IF(AE1563="me","   not ELP, by",IF(AE1563="",IF(G1563&gt;0,(VLOOKUP(A1563,'Discount Lookup'!J:K,2)*G1563*(1-PlanterDiscount)*(1+PlanterDifficultyPercentage)),""),"")),"   not ELP, by"))))))))))))))</f>
        <v/>
      </c>
      <c r="AD1563" s="712"/>
      <c r="AE1563" s="513" t="str">
        <f t="shared" si="1140"/>
        <v/>
      </c>
      <c r="AF1563" s="713" t="str">
        <f t="shared" si="1141"/>
        <v/>
      </c>
      <c r="AG1563" s="713"/>
      <c r="AH1563" s="713"/>
      <c r="AI1563" s="112">
        <f>IF(H1563="credit",0,IF(AE1563="free",0,IF(AE1563="me",0,IF(G1563&gt;0,(VLOOKUP(A1563,'Discount Lookup'!J:K,2)*G1563),0))))</f>
        <v>0</v>
      </c>
      <c r="AJ1563" s="107" t="str">
        <f t="shared" ca="1" si="1142"/>
        <v/>
      </c>
      <c r="AK1563" s="714" t="str">
        <f t="shared" si="1143"/>
        <v/>
      </c>
      <c r="AL1563" s="714"/>
      <c r="AM1563" s="114" t="str">
        <f t="shared" si="1144"/>
        <v/>
      </c>
      <c r="AN1563" s="115"/>
      <c r="AO1563" s="116"/>
      <c r="AP1563" s="116"/>
      <c r="AQ1563" s="116"/>
      <c r="AR1563" s="116"/>
      <c r="AS1563" s="116"/>
      <c r="AT1563" s="116"/>
      <c r="AU1563" s="116"/>
      <c r="AV1563" s="78"/>
      <c r="AW1563" s="102"/>
      <c r="AX1563" s="78"/>
      <c r="AY1563" s="78"/>
      <c r="AZ1563" s="78"/>
      <c r="BA1563" s="78"/>
      <c r="BB1563" s="78"/>
      <c r="BC1563" s="78"/>
      <c r="BD1563" s="78"/>
      <c r="BE1563" s="465"/>
      <c r="BF1563" s="165" t="str">
        <f t="shared" si="1145"/>
        <v>https://www.google.com/search?tbm=isch&amp;q=7%20G6</v>
      </c>
      <c r="BG1563" s="165" t="str">
        <f t="shared" si="1146"/>
        <v>E</v>
      </c>
      <c r="BH1563" s="65"/>
      <c r="BI1563" s="65"/>
      <c r="BJ1563" s="65"/>
      <c r="BK1563" s="65"/>
      <c r="BL1563" s="99"/>
      <c r="BM1563" s="99"/>
      <c r="BN1563" s="99"/>
    </row>
    <row r="1564" spans="1:66" s="51" customFormat="1" ht="16.5" x14ac:dyDescent="0.25">
      <c r="A1564" s="704" t="s">
        <v>5393</v>
      </c>
      <c r="B1564" s="642"/>
      <c r="C1564" s="710"/>
      <c r="D1564" s="643"/>
      <c r="E1564" s="643"/>
      <c r="F1564" s="644"/>
      <c r="G1564" s="645"/>
      <c r="H1564" s="646"/>
      <c r="I1564" s="647"/>
      <c r="J1564" s="648"/>
      <c r="K1564" s="649"/>
      <c r="L1564" s="650"/>
      <c r="M1564" s="650"/>
      <c r="N1564" s="644"/>
      <c r="O1564" s="644"/>
      <c r="P1564" s="644"/>
      <c r="Q1564" s="644"/>
      <c r="R1564" s="644"/>
      <c r="S1564" s="701" t="s">
        <v>5285</v>
      </c>
      <c r="T1564" s="102">
        <f t="shared" si="1134"/>
        <v>0</v>
      </c>
      <c r="U1564" s="78" t="str">
        <f>IF(NOT(ISNUMBER(G1564)), "", VLOOKUP(A1564,'Discount Lookup'!D:E,2,FALSE)*G1564)</f>
        <v/>
      </c>
      <c r="V1564" s="78" t="str">
        <f>IF(NOT(ISNUMBER(G1564)), "", VLOOKUP(A1564,'Discount Lookup'!G:H,2,FALSE)*G1564)</f>
        <v/>
      </c>
      <c r="W1564" s="102">
        <f t="shared" si="1135"/>
        <v>0</v>
      </c>
      <c r="X1564" s="102">
        <f t="shared" si="1136"/>
        <v>0</v>
      </c>
      <c r="Y1564" s="120" t="b">
        <f t="shared" si="1137"/>
        <v>0</v>
      </c>
      <c r="Z1564" s="117">
        <f t="shared" si="1138"/>
        <v>0</v>
      </c>
      <c r="AA1564" s="118"/>
      <c r="AB1564" s="118" t="str">
        <f t="shared" si="1139"/>
        <v/>
      </c>
      <c r="AC1564" s="712" t="str">
        <f>IF(AE1564="T2G","no charge",IF(AND(OR(PlanterYesMe="No",PlanterYesMe="N",PlanterYesMe="me"),H1564=""),"",IF(H1564="credit","NO install",IF(AND(K1564="",AE1564="me"),"EACH row",IF(AND(K1564="images",AE1564="me"),"EACH row",IF(D1564="","",IF(H1564="credit","",IF(AE1564="free","re-planting",IF(AE1564="me","   not ELP, by",IF(AND(OR(PlanterYesMe="Yes",PlanterYesMe="Y"),G1564&gt;0),(VLOOKUP(A1564,'Discount Lookup'!J:K,2)*G1564*(1-PlanterDiscount)*(1+PlanterDifficultyPercentage)),IF(AE1564="ELP",(VLOOKUP(A1564,'Discount Lookup'!J:K,2)*G1564*(1-PlanterDiscount)*(1+PlanterDifficultyPercentage)),IF(AE1564="free","re-planting",IF(G1564=0,"",IF(PlanterYesMe="",IF(AE1564="me","   not ELP, by",IF(AE1564="",IF(G1564&gt;0,(VLOOKUP(A1564,'Discount Lookup'!J:K,2)*G1564*(1-PlanterDiscount)*(1+PlanterDifficultyPercentage)),""),"")),"   not ELP, by"))))))))))))))</f>
        <v/>
      </c>
      <c r="AD1564" s="712"/>
      <c r="AE1564" s="513" t="str">
        <f t="shared" si="1140"/>
        <v/>
      </c>
      <c r="AF1564" s="713" t="str">
        <f t="shared" si="1141"/>
        <v/>
      </c>
      <c r="AG1564" s="713"/>
      <c r="AH1564" s="713"/>
      <c r="AI1564" s="112">
        <f>IF(H1564="credit",0,IF(AE1564="free",0,IF(AE1564="me",0,IF(G1564&gt;0,(VLOOKUP(A1564,'Discount Lookup'!J:K,2)*G1564),0))))</f>
        <v>0</v>
      </c>
      <c r="AJ1564" s="107" t="str">
        <f t="shared" ca="1" si="1142"/>
        <v/>
      </c>
      <c r="AK1564" s="714" t="str">
        <f t="shared" si="1143"/>
        <v/>
      </c>
      <c r="AL1564" s="714"/>
      <c r="AM1564" s="114" t="str">
        <f t="shared" si="1144"/>
        <v/>
      </c>
      <c r="AN1564" s="115"/>
      <c r="AO1564" s="116"/>
      <c r="AP1564" s="116"/>
      <c r="AQ1564" s="116"/>
      <c r="AR1564" s="116"/>
      <c r="AS1564" s="116"/>
      <c r="AT1564" s="116"/>
      <c r="AU1564" s="116"/>
      <c r="AV1564" s="78"/>
      <c r="AW1564" s="102"/>
      <c r="AX1564" s="78"/>
      <c r="AY1564" s="78"/>
      <c r="AZ1564" s="78"/>
      <c r="BA1564" s="78"/>
      <c r="BB1564" s="78"/>
      <c r="BC1564" s="78"/>
      <c r="BD1564" s="78"/>
      <c r="BE1564" s="465"/>
      <c r="BF1564" s="165" t="str">
        <f t="shared" si="1145"/>
        <v>https://www.google.com/search?tbm=isch&amp;q=moist%20sites%F0%9F%92%A7GOOD%2C%20Paperbush%20foliage%20is%20a%20narrow%20Bluish-Green%2C%20turning%20Soft%20Yellow%20in%20fall.%20Silvery%20flowers%20appear%20on%20bare%20stems%20in%20late%20season%20</v>
      </c>
      <c r="BG1564" s="165" t="str">
        <f t="shared" si="1146"/>
        <v>m</v>
      </c>
      <c r="BH1564" s="65"/>
      <c r="BI1564" s="65"/>
      <c r="BJ1564" s="65"/>
      <c r="BK1564" s="65"/>
      <c r="BL1564" s="99"/>
      <c r="BM1564" s="99"/>
      <c r="BN1564" s="99"/>
    </row>
    <row r="1565" spans="1:66" s="51" customFormat="1" ht="19.5" thickBot="1" x14ac:dyDescent="0.3">
      <c r="A1565" s="686" t="s">
        <v>419</v>
      </c>
      <c r="B1565" s="73"/>
      <c r="C1565" s="708"/>
      <c r="D1565" s="73"/>
      <c r="E1565" s="73"/>
      <c r="F1565" s="496"/>
      <c r="G1565" s="73"/>
      <c r="H1565" s="73"/>
      <c r="I1565" s="73"/>
      <c r="J1565" s="497" t="s">
        <v>357</v>
      </c>
      <c r="K1565" s="498"/>
      <c r="L1565" s="562"/>
      <c r="M1565" s="73"/>
      <c r="N1565"/>
      <c r="O1565"/>
      <c r="P1565"/>
      <c r="Q1565"/>
      <c r="R1565"/>
      <c r="S1565"/>
      <c r="T1565" s="102">
        <f t="shared" si="1134"/>
        <v>0</v>
      </c>
      <c r="U1565" s="78" t="str">
        <f>IF(NOT(ISNUMBER(G1565)), "", VLOOKUP(A1565,'Discount Lookup'!D:E,2,FALSE)*G1565)</f>
        <v/>
      </c>
      <c r="V1565" s="78" t="str">
        <f>IF(NOT(ISNUMBER(G1565)), "", VLOOKUP(A1565,'Discount Lookup'!G:H,2,FALSE)*G1565)</f>
        <v/>
      </c>
      <c r="W1565" s="102">
        <f t="shared" si="1135"/>
        <v>0</v>
      </c>
      <c r="X1565" s="102">
        <f t="shared" si="1136"/>
        <v>0</v>
      </c>
      <c r="Y1565" s="120" t="b">
        <f t="shared" si="1137"/>
        <v>0</v>
      </c>
      <c r="Z1565" s="117">
        <f t="shared" si="1138"/>
        <v>0</v>
      </c>
      <c r="AA1565" s="118"/>
      <c r="AB1565" s="118" t="str">
        <f t="shared" si="1139"/>
        <v/>
      </c>
      <c r="AC1565" s="712" t="str">
        <f>IF(AE1565="T2G","no charge",IF(AND(OR(PlanterYesMe="No",PlanterYesMe="N",PlanterYesMe="me"),H1565=""),"",IF(H1565="credit","NO install",IF(AND(K1565="",AE1565="me"),"EACH row",IF(AND(K1565="images",AE1565="me"),"EACH row",IF(D1565="","",IF(H1565="credit","",IF(AE1565="free","re-planting",IF(AE1565="me","   not ELP, by",IF(AND(OR(PlanterYesMe="Yes",PlanterYesMe="Y"),G1565&gt;0),(VLOOKUP(A1565,'Discount Lookup'!J:K,2)*G1565*(1-PlanterDiscount)*(1+PlanterDifficultyPercentage)),IF(AE1565="ELP",(VLOOKUP(A1565,'Discount Lookup'!J:K,2)*G1565*(1-PlanterDiscount)*(1+PlanterDifficultyPercentage)),IF(AE1565="free","re-planting",IF(G1565=0,"",IF(PlanterYesMe="",IF(AE1565="me","   not ELP, by",IF(AE1565="",IF(G1565&gt;0,(VLOOKUP(A1565,'Discount Lookup'!J:K,2)*G1565*(1-PlanterDiscount)*(1+PlanterDifficultyPercentage)),""),"")),"   not ELP, by"))))))))))))))</f>
        <v/>
      </c>
      <c r="AD1565" s="712"/>
      <c r="AE1565" s="513" t="str">
        <f t="shared" si="1140"/>
        <v/>
      </c>
      <c r="AF1565" s="713" t="str">
        <f t="shared" si="1141"/>
        <v/>
      </c>
      <c r="AG1565" s="713"/>
      <c r="AH1565" s="713"/>
      <c r="AI1565" s="112">
        <f>IF(H1565="credit",0,IF(AE1565="free",0,IF(AE1565="me",0,IF(G1565&gt;0,(VLOOKUP(A1565,'Discount Lookup'!J:K,2)*G1565),0))))</f>
        <v>0</v>
      </c>
      <c r="AJ1565" s="107" t="str">
        <f t="shared" ca="1" si="1142"/>
        <v/>
      </c>
      <c r="AK1565" s="714" t="str">
        <f t="shared" si="1143"/>
        <v/>
      </c>
      <c r="AL1565" s="714"/>
      <c r="AM1565" s="114" t="str">
        <f t="shared" si="1144"/>
        <v/>
      </c>
      <c r="AN1565" s="115"/>
      <c r="AO1565" s="116"/>
      <c r="AP1565" s="116"/>
      <c r="AQ1565" s="116"/>
      <c r="AR1565" s="116"/>
      <c r="AS1565" s="116"/>
      <c r="AT1565" s="116"/>
      <c r="AU1565" s="116"/>
      <c r="AV1565" s="78"/>
      <c r="AW1565" s="102"/>
      <c r="AX1565" s="78"/>
      <c r="AY1565" s="78"/>
      <c r="AZ1565" s="78"/>
      <c r="BA1565" s="78"/>
      <c r="BB1565" s="78"/>
      <c r="BC1565" s="78"/>
      <c r="BD1565" s="78"/>
      <c r="BE1565" s="465"/>
      <c r="BF1565" s="165" t="str">
        <f t="shared" si="1145"/>
        <v>https://www.google.com/search?tbm=isch&amp;q=Elaeagnus%20%3D%20Silverthorn%20</v>
      </c>
      <c r="BG1565" s="165" t="str">
        <f t="shared" si="1146"/>
        <v>E</v>
      </c>
      <c r="BH1565" s="65"/>
      <c r="BI1565" s="65"/>
      <c r="BJ1565" s="65"/>
      <c r="BK1565" s="65"/>
      <c r="BL1565" s="99"/>
      <c r="BM1565" s="99"/>
      <c r="BN1565" s="99"/>
    </row>
    <row r="1566" spans="1:66" s="51" customFormat="1" ht="18" x14ac:dyDescent="0.25">
      <c r="A1566" s="507" t="s">
        <v>2484</v>
      </c>
      <c r="B1566" s="470"/>
      <c r="C1566" s="706"/>
      <c r="D1566" s="471" t="s">
        <v>2485</v>
      </c>
      <c r="E1566" s="472"/>
      <c r="F1566" s="472"/>
      <c r="G1566" s="472"/>
      <c r="H1566" s="622" t="s">
        <v>333</v>
      </c>
      <c r="I1566" s="473" t="s">
        <v>447</v>
      </c>
      <c r="J1566" s="472"/>
      <c r="K1566" s="472"/>
      <c r="L1566" s="561"/>
      <c r="M1566" s="698" t="s">
        <v>5246</v>
      </c>
      <c r="N1566" s="692" t="str">
        <f>IF(AND(ISTEXT($A1566), ISERROR($A1566+0)), HYPERLINK($BF1566, "Images"), "")</f>
        <v>Images</v>
      </c>
      <c r="O1566" s="694" t="s">
        <v>5244</v>
      </c>
      <c r="P1566" s="475"/>
      <c r="Q1566" s="476"/>
      <c r="R1566" s="476"/>
      <c r="S1566" s="477"/>
      <c r="T1566" s="102">
        <f t="shared" si="1134"/>
        <v>0</v>
      </c>
      <c r="U1566" s="78" t="str">
        <f>IF(NOT(ISNUMBER(G1566)), "", VLOOKUP(A1566,'Discount Lookup'!D:E,2,FALSE)*G1566)</f>
        <v/>
      </c>
      <c r="V1566" s="78" t="str">
        <f>IF(NOT(ISNUMBER(G1566)), "", VLOOKUP(A1566,'Discount Lookup'!G:H,2,FALSE)*G1566)</f>
        <v/>
      </c>
      <c r="W1566" s="102">
        <f t="shared" si="1135"/>
        <v>0</v>
      </c>
      <c r="X1566" s="102" t="str">
        <f t="shared" si="1136"/>
        <v>Olive-Green foliage</v>
      </c>
      <c r="Y1566" s="120" t="b">
        <f t="shared" si="1137"/>
        <v>0</v>
      </c>
      <c r="Z1566" s="117">
        <f t="shared" si="1138"/>
        <v>0</v>
      </c>
      <c r="AA1566" s="118"/>
      <c r="AB1566" s="118" t="str">
        <f t="shared" si="1139"/>
        <v/>
      </c>
      <c r="AC1566" s="712" t="str">
        <f>IF(AE1566="T2G","no charge",IF(AND(OR(PlanterYesMe="No",PlanterYesMe="N",PlanterYesMe="me"),H1566=""),"",IF(H1566="credit","NO install",IF(AND(K1566="",AE1566="me"),"EACH row",IF(AND(K1566="images",AE1566="me"),"EACH row",IF(D1566="","",IF(H1566="credit","",IF(AE1566="free","re-planting",IF(AE1566="me","   not ELP, by",IF(AND(OR(PlanterYesMe="Yes",PlanterYesMe="Y"),G1566&gt;0),(VLOOKUP(A1566,'Discount Lookup'!J:K,2)*G1566*(1-PlanterDiscount)*(1+PlanterDifficultyPercentage)),IF(AE1566="ELP",(VLOOKUP(A1566,'Discount Lookup'!J:K,2)*G1566*(1-PlanterDiscount)*(1+PlanterDifficultyPercentage)),IF(AE1566="free","re-planting",IF(G1566=0,"",IF(PlanterYesMe="",IF(AE1566="me","   not ELP, by",IF(AE1566="",IF(G1566&gt;0,(VLOOKUP(A1566,'Discount Lookup'!J:K,2)*G1566*(1-PlanterDiscount)*(1+PlanterDifficultyPercentage)),""),"")),"   not ELP, by"))))))))))))))</f>
        <v/>
      </c>
      <c r="AD1566" s="712"/>
      <c r="AE1566" s="513" t="str">
        <f t="shared" si="1140"/>
        <v/>
      </c>
      <c r="AF1566" s="713" t="str">
        <f t="shared" si="1141"/>
        <v/>
      </c>
      <c r="AG1566" s="713"/>
      <c r="AH1566" s="713"/>
      <c r="AI1566" s="112">
        <f>IF(H1566="credit",0,IF(AE1566="free",0,IF(AE1566="me",0,IF(G1566&gt;0,(VLOOKUP(A1566,'Discount Lookup'!J:K,2)*G1566),0))))</f>
        <v>0</v>
      </c>
      <c r="AJ1566" s="107" t="str">
        <f t="shared" ca="1" si="1142"/>
        <v/>
      </c>
      <c r="AK1566" s="714" t="str">
        <f t="shared" si="1143"/>
        <v/>
      </c>
      <c r="AL1566" s="714"/>
      <c r="AM1566" s="114" t="str">
        <f t="shared" si="1144"/>
        <v/>
      </c>
      <c r="AN1566" s="115"/>
      <c r="AO1566" s="116"/>
      <c r="AP1566" s="116"/>
      <c r="AQ1566" s="116"/>
      <c r="AR1566" s="116"/>
      <c r="AS1566" s="116"/>
      <c r="AT1566" s="116"/>
      <c r="AU1566" s="116"/>
      <c r="AV1566" s="78"/>
      <c r="AW1566" s="102"/>
      <c r="AX1566" s="78"/>
      <c r="AY1566" s="78"/>
      <c r="AZ1566" s="78"/>
      <c r="BA1566" s="78"/>
      <c r="BB1566" s="78"/>
      <c r="BC1566" s="78"/>
      <c r="BD1566" s="78"/>
      <c r="BE1566" s="465"/>
      <c r="BF1566" s="165" t="str">
        <f t="shared" si="1145"/>
        <v>https://www.google.com/search?tbm=isch&amp;q=Elaeagnus%20pungens%20%27Fruitlandii%27%20Fruitland%20Elaeagnus</v>
      </c>
      <c r="BG1566" s="165" t="str">
        <f t="shared" si="1146"/>
        <v>E</v>
      </c>
      <c r="BH1566" s="65"/>
      <c r="BI1566" s="65"/>
      <c r="BJ1566" s="65"/>
      <c r="BK1566" s="65"/>
      <c r="BL1566" s="99"/>
      <c r="BM1566" s="99"/>
      <c r="BN1566" s="99"/>
    </row>
    <row r="1567" spans="1:66" s="51" customFormat="1" ht="15.75" x14ac:dyDescent="0.25">
      <c r="A1567" s="478">
        <v>3</v>
      </c>
      <c r="B1567" s="479" t="s">
        <v>291</v>
      </c>
      <c r="C1567" s="480" t="s">
        <v>1561</v>
      </c>
      <c r="D1567" s="481" t="s">
        <v>309</v>
      </c>
      <c r="E1567" s="482">
        <v>22.95</v>
      </c>
      <c r="F1567" s="483" t="s">
        <v>292</v>
      </c>
      <c r="G1567" s="484">
        <v>0</v>
      </c>
      <c r="H1567" s="688" t="str">
        <f>IF(G1567=0,"",IF(F1567="Buy",IF(G1567=1,"plant","plants"),IF(F1567&gt;0.01,"warranty","Error")))</f>
        <v/>
      </c>
      <c r="I1567" s="485">
        <f>IF(H1567="free",0,IF(H1567="credit",((E1567*(F1567))*G1567*-1),IF(F1567="Buy",(E1567*G1567),((E1567*(1-F1567))*G1567))))</f>
        <v>0</v>
      </c>
      <c r="J1567" s="485">
        <f>IF(H1567="warranty",0,(I1567*(_xlfn.SINGLE(SalesTaxPercentage))))</f>
        <v>0</v>
      </c>
      <c r="K1567" s="715">
        <f t="shared" ref="K1567" si="1149">I1567+J1567</f>
        <v>0</v>
      </c>
      <c r="L1567" s="715"/>
      <c r="M1567" s="689" t="str">
        <f ca="1">IF(AND(G1567&gt;0,E1567=0),"WARNING - no PRICE inserted",IF(H1567="free","FREE ~ no charge this plant",IF(H1567="credit",CONCATENATE("-$",ROUND(K1567*(1-_xlfn.SINGLE(T2GDiscount))*-1,2)," CREDIT after discount"),IF(_xlfn.SINGLE(T2GDiscount)=0,"",IF(G1567=0,"",IF(F1567="Buy",CONCATENATE("$",ROUND(K1567*(1-_xlfn.SINGLE(T2GDiscount)),2)," with ",(_xlfn.SINGLE(T2GDiscount)*100),"% discount"),CONCATENATE("$",ROUND(K1567*(1-_xlfn.SINGLE(T2GDiscount)),2)," with ",((_xlfn.SINGLE(T2GDiscount)*100+F1567*100)-(_xlfn.SINGLE(T2GDiscount)*100*F1567)),IF(F1567&gt;0,"% discounts",IF(_xlfn.SINGLE(NoWarrantyDiscount)&gt;0,"% discounts","% discount")))))))))</f>
        <v/>
      </c>
      <c r="N1567" s="690"/>
      <c r="O1567" s="486"/>
      <c r="P1567" s="486"/>
      <c r="Q1567" s="486"/>
      <c r="R1567" s="486"/>
      <c r="S1567" s="486"/>
      <c r="T1567" s="102">
        <f t="shared" si="1134"/>
        <v>0</v>
      </c>
      <c r="U1567" s="78">
        <f>IF(NOT(ISNUMBER(G1567)), "", VLOOKUP(A1567,'Discount Lookup'!D:E,2,FALSE)*G1567)</f>
        <v>0</v>
      </c>
      <c r="V1567" s="78">
        <f>IF(NOT(ISNUMBER(G1567)), "", VLOOKUP(A1567,'Discount Lookup'!G:H,2,FALSE)*G1567)</f>
        <v>0</v>
      </c>
      <c r="W1567" s="102">
        <f t="shared" si="1135"/>
        <v>0</v>
      </c>
      <c r="X1567" s="102">
        <f t="shared" si="1136"/>
        <v>0</v>
      </c>
      <c r="Y1567" s="120" t="b">
        <f t="shared" si="1137"/>
        <v>0</v>
      </c>
      <c r="Z1567" s="117">
        <f t="shared" si="1138"/>
        <v>0</v>
      </c>
      <c r="AA1567" s="118"/>
      <c r="AB1567" s="118" t="str">
        <f t="shared" si="1139"/>
        <v/>
      </c>
      <c r="AC1567" s="712" t="str">
        <f>IF(AE1567="T2G","no charge",IF(AND(OR(PlanterYesMe="No",PlanterYesMe="N",PlanterYesMe="me"),H1567=""),"",IF(H1567="credit","NO install",IF(AND(K1567="",AE1567="me"),"EACH row",IF(AND(K1567="images",AE1567="me"),"EACH row",IF(D1567="","",IF(H1567="credit","",IF(AE1567="free","re-planting",IF(AE1567="me","   not ELP, by",IF(AND(OR(PlanterYesMe="Yes",PlanterYesMe="Y"),G1567&gt;0),(VLOOKUP(A1567,'Discount Lookup'!J:K,2)*G1567*(1-PlanterDiscount)*(1+PlanterDifficultyPercentage)),IF(AE1567="ELP",(VLOOKUP(A1567,'Discount Lookup'!J:K,2)*G1567*(1-PlanterDiscount)*(1+PlanterDifficultyPercentage)),IF(AE1567="free","re-planting",IF(G1567=0,"",IF(PlanterYesMe="",IF(AE1567="me","   not ELP, by",IF(AE1567="",IF(G1567&gt;0,(VLOOKUP(A1567,'Discount Lookup'!J:K,2)*G1567*(1-PlanterDiscount)*(1+PlanterDifficultyPercentage)),""),"")),"   not ELP, by"))))))))))))))</f>
        <v/>
      </c>
      <c r="AD1567" s="712"/>
      <c r="AE1567" s="513" t="str">
        <f t="shared" si="1140"/>
        <v/>
      </c>
      <c r="AF1567" s="713" t="str">
        <f t="shared" si="1141"/>
        <v/>
      </c>
      <c r="AG1567" s="713"/>
      <c r="AH1567" s="713"/>
      <c r="AI1567" s="112">
        <f>IF(H1567="credit",0,IF(AE1567="free",0,IF(AE1567="me",0,IF(G1567&gt;0,(VLOOKUP(A1567,'Discount Lookup'!J:K,2)*G1567),0))))</f>
        <v>0</v>
      </c>
      <c r="AJ1567" s="107" t="str">
        <f t="shared" ca="1" si="1142"/>
        <v/>
      </c>
      <c r="AK1567" s="714" t="str">
        <f t="shared" si="1143"/>
        <v/>
      </c>
      <c r="AL1567" s="714"/>
      <c r="AM1567" s="114" t="str">
        <f t="shared" si="1144"/>
        <v/>
      </c>
      <c r="AN1567" s="115"/>
      <c r="AO1567" s="116"/>
      <c r="AP1567" s="116"/>
      <c r="AQ1567" s="116"/>
      <c r="AR1567" s="116"/>
      <c r="AS1567" s="116"/>
      <c r="AT1567" s="116"/>
      <c r="AU1567" s="116"/>
      <c r="AV1567" s="78"/>
      <c r="AW1567" s="102"/>
      <c r="AX1567" s="78"/>
      <c r="AY1567" s="78"/>
      <c r="AZ1567" s="78"/>
      <c r="BA1567" s="78"/>
      <c r="BB1567" s="78"/>
      <c r="BC1567" s="78"/>
      <c r="BD1567" s="78"/>
      <c r="BE1567" s="465"/>
      <c r="BF1567" s="165" t="str">
        <f t="shared" si="1145"/>
        <v>https://www.google.com/search?tbm=isch&amp;q=3%20G3</v>
      </c>
      <c r="BG1567" s="165" t="str">
        <f t="shared" si="1146"/>
        <v>E</v>
      </c>
      <c r="BH1567" s="65"/>
      <c r="BI1567" s="65"/>
      <c r="BJ1567" s="65"/>
      <c r="BK1567" s="65"/>
      <c r="BL1567" s="99"/>
      <c r="BM1567" s="99"/>
      <c r="BN1567" s="99"/>
    </row>
    <row r="1568" spans="1:66" s="51" customFormat="1" ht="17.25" thickBot="1" x14ac:dyDescent="0.3">
      <c r="A1568" s="508" t="s">
        <v>2486</v>
      </c>
      <c r="B1568" s="487"/>
      <c r="C1568" s="707"/>
      <c r="D1568" s="487"/>
      <c r="E1568" s="487"/>
      <c r="F1568" s="488"/>
      <c r="G1568" s="489"/>
      <c r="H1568" s="487"/>
      <c r="I1568" s="490"/>
      <c r="J1568" s="490"/>
      <c r="K1568" s="491"/>
      <c r="L1568" s="547"/>
      <c r="M1568" s="528"/>
      <c r="N1568" s="492"/>
      <c r="O1568" s="493"/>
      <c r="P1568" s="494"/>
      <c r="Q1568" s="492"/>
      <c r="R1568" s="492"/>
      <c r="S1568" s="699" t="s">
        <v>5268</v>
      </c>
      <c r="T1568" s="102">
        <f t="shared" si="1134"/>
        <v>0</v>
      </c>
      <c r="U1568" s="78" t="str">
        <f>IF(NOT(ISNUMBER(G1568)), "", VLOOKUP(A1568,'Discount Lookup'!D:E,2,FALSE)*G1568)</f>
        <v/>
      </c>
      <c r="V1568" s="78" t="str">
        <f>IF(NOT(ISNUMBER(G1568)), "", VLOOKUP(A1568,'Discount Lookup'!G:H,2,FALSE)*G1568)</f>
        <v/>
      </c>
      <c r="W1568" s="102">
        <f t="shared" si="1135"/>
        <v>0</v>
      </c>
      <c r="X1568" s="102">
        <f t="shared" si="1136"/>
        <v>0</v>
      </c>
      <c r="Y1568" s="120" t="b">
        <f t="shared" si="1137"/>
        <v>0</v>
      </c>
      <c r="Z1568" s="117">
        <f t="shared" si="1138"/>
        <v>0</v>
      </c>
      <c r="AA1568" s="118"/>
      <c r="AB1568" s="118" t="str">
        <f t="shared" si="1139"/>
        <v/>
      </c>
      <c r="AC1568" s="712" t="str">
        <f>IF(AE1568="T2G","no charge",IF(AND(OR(PlanterYesMe="No",PlanterYesMe="N",PlanterYesMe="me"),H1568=""),"",IF(H1568="credit","NO install",IF(AND(K1568="",AE1568="me"),"EACH row",IF(AND(K1568="images",AE1568="me"),"EACH row",IF(D1568="","",IF(H1568="credit","",IF(AE1568="free","re-planting",IF(AE1568="me","   not ELP, by",IF(AND(OR(PlanterYesMe="Yes",PlanterYesMe="Y"),G1568&gt;0),(VLOOKUP(A1568,'Discount Lookup'!J:K,2)*G1568*(1-PlanterDiscount)*(1+PlanterDifficultyPercentage)),IF(AE1568="ELP",(VLOOKUP(A1568,'Discount Lookup'!J:K,2)*G1568*(1-PlanterDiscount)*(1+PlanterDifficultyPercentage)),IF(AE1568="free","re-planting",IF(G1568=0,"",IF(PlanterYesMe="",IF(AE1568="me","   not ELP, by",IF(AE1568="",IF(G1568&gt;0,(VLOOKUP(A1568,'Discount Lookup'!J:K,2)*G1568*(1-PlanterDiscount)*(1+PlanterDifficultyPercentage)),""),"")),"   not ELP, by"))))))))))))))</f>
        <v/>
      </c>
      <c r="AD1568" s="712"/>
      <c r="AE1568" s="513" t="str">
        <f t="shared" si="1140"/>
        <v/>
      </c>
      <c r="AF1568" s="713" t="str">
        <f t="shared" si="1141"/>
        <v/>
      </c>
      <c r="AG1568" s="713"/>
      <c r="AH1568" s="713"/>
      <c r="AI1568" s="112">
        <f>IF(H1568="credit",0,IF(AE1568="free",0,IF(AE1568="me",0,IF(G1568&gt;0,(VLOOKUP(A1568,'Discount Lookup'!J:K,2)*G1568),0))))</f>
        <v>0</v>
      </c>
      <c r="AJ1568" s="107" t="str">
        <f t="shared" ca="1" si="1142"/>
        <v/>
      </c>
      <c r="AK1568" s="714" t="str">
        <f t="shared" si="1143"/>
        <v/>
      </c>
      <c r="AL1568" s="714"/>
      <c r="AM1568" s="114" t="str">
        <f t="shared" si="1144"/>
        <v/>
      </c>
      <c r="AN1568" s="115"/>
      <c r="AO1568" s="116"/>
      <c r="AP1568" s="116"/>
      <c r="AQ1568" s="116"/>
      <c r="AR1568" s="116"/>
      <c r="AS1568" s="116"/>
      <c r="AT1568" s="116"/>
      <c r="AU1568" s="116"/>
      <c r="AV1568" s="78"/>
      <c r="AW1568" s="102"/>
      <c r="AX1568" s="78"/>
      <c r="AY1568" s="78"/>
      <c r="AZ1568" s="78"/>
      <c r="BA1568" s="78"/>
      <c r="BB1568" s="78"/>
      <c r="BC1568" s="78"/>
      <c r="BD1568" s="78"/>
      <c r="BE1568" s="465"/>
      <c r="BF1568" s="165" t="str">
        <f t="shared" si="1145"/>
        <v>https://www.google.com/search?tbm=isch&amp;q=Fruitland%20has%20Silvery-backed%20foliage%20and%20small%2C%20very%20fragrant%20Creamy%20White%20fall%20flowers.%20Tough%20shrub.%20Birds%20%20adore%20the%20Red%20fruits%20</v>
      </c>
      <c r="BG1568" s="165" t="str">
        <f t="shared" si="1146"/>
        <v>F</v>
      </c>
      <c r="BH1568" s="65"/>
      <c r="BI1568" s="65"/>
      <c r="BJ1568" s="65"/>
      <c r="BK1568" s="65"/>
      <c r="BL1568" s="99"/>
      <c r="BM1568" s="99"/>
      <c r="BN1568" s="99"/>
    </row>
    <row r="1569" spans="1:66" s="51" customFormat="1" ht="18" x14ac:dyDescent="0.25">
      <c r="A1569" s="507" t="s">
        <v>2487</v>
      </c>
      <c r="B1569" s="470"/>
      <c r="C1569" s="706"/>
      <c r="D1569" s="471" t="s">
        <v>2488</v>
      </c>
      <c r="E1569" s="472"/>
      <c r="F1569" s="472"/>
      <c r="G1569" s="472"/>
      <c r="H1569" s="622" t="s">
        <v>1231</v>
      </c>
      <c r="I1569" s="473" t="s">
        <v>2489</v>
      </c>
      <c r="J1569" s="472"/>
      <c r="K1569" s="472"/>
      <c r="L1569" s="561"/>
      <c r="M1569" s="698" t="s">
        <v>5246</v>
      </c>
      <c r="N1569" s="692" t="str">
        <f>IF(AND(ISTEXT($A1569), ISERROR($A1569+0)), HYPERLINK($BF1569, "Images"), "")</f>
        <v>Images</v>
      </c>
      <c r="O1569" s="694" t="s">
        <v>5244</v>
      </c>
      <c r="P1569" s="475"/>
      <c r="Q1569" s="476"/>
      <c r="R1569" s="476"/>
      <c r="S1569" s="477"/>
      <c r="T1569" s="102">
        <f t="shared" si="1134"/>
        <v>0</v>
      </c>
      <c r="U1569" s="78" t="str">
        <f>IF(NOT(ISNUMBER(G1569)), "", VLOOKUP(A1569,'Discount Lookup'!D:E,2,FALSE)*G1569)</f>
        <v/>
      </c>
      <c r="V1569" s="78" t="str">
        <f>IF(NOT(ISNUMBER(G1569)), "", VLOOKUP(A1569,'Discount Lookup'!G:H,2,FALSE)*G1569)</f>
        <v/>
      </c>
      <c r="W1569" s="102">
        <f t="shared" si="1135"/>
        <v>0</v>
      </c>
      <c r="X1569" s="102" t="str">
        <f t="shared" si="1136"/>
        <v>Green &amp; Silver foliage</v>
      </c>
      <c r="Y1569" s="120" t="b">
        <f t="shared" si="1137"/>
        <v>0</v>
      </c>
      <c r="Z1569" s="117">
        <f t="shared" si="1138"/>
        <v>0</v>
      </c>
      <c r="AA1569" s="118"/>
      <c r="AB1569" s="118" t="str">
        <f t="shared" si="1139"/>
        <v/>
      </c>
      <c r="AC1569" s="712" t="str">
        <f>IF(AE1569="T2G","no charge",IF(AND(OR(PlanterYesMe="No",PlanterYesMe="N",PlanterYesMe="me"),H1569=""),"",IF(H1569="credit","NO install",IF(AND(K1569="",AE1569="me"),"EACH row",IF(AND(K1569="images",AE1569="me"),"EACH row",IF(D1569="","",IF(H1569="credit","",IF(AE1569="free","re-planting",IF(AE1569="me","   not ELP, by",IF(AND(OR(PlanterYesMe="Yes",PlanterYesMe="Y"),G1569&gt;0),(VLOOKUP(A1569,'Discount Lookup'!J:K,2)*G1569*(1-PlanterDiscount)*(1+PlanterDifficultyPercentage)),IF(AE1569="ELP",(VLOOKUP(A1569,'Discount Lookup'!J:K,2)*G1569*(1-PlanterDiscount)*(1+PlanterDifficultyPercentage)),IF(AE1569="free","re-planting",IF(G1569=0,"",IF(PlanterYesMe="",IF(AE1569="me","   not ELP, by",IF(AE1569="",IF(G1569&gt;0,(VLOOKUP(A1569,'Discount Lookup'!J:K,2)*G1569*(1-PlanterDiscount)*(1+PlanterDifficultyPercentage)),""),"")),"   not ELP, by"))))))))))))))</f>
        <v/>
      </c>
      <c r="AD1569" s="712"/>
      <c r="AE1569" s="513" t="str">
        <f t="shared" si="1140"/>
        <v/>
      </c>
      <c r="AF1569" s="713" t="str">
        <f t="shared" si="1141"/>
        <v/>
      </c>
      <c r="AG1569" s="713"/>
      <c r="AH1569" s="713"/>
      <c r="AI1569" s="112">
        <f>IF(H1569="credit",0,IF(AE1569="free",0,IF(AE1569="me",0,IF(G1569&gt;0,(VLOOKUP(A1569,'Discount Lookup'!J:K,2)*G1569),0))))</f>
        <v>0</v>
      </c>
      <c r="AJ1569" s="107" t="str">
        <f t="shared" ca="1" si="1142"/>
        <v/>
      </c>
      <c r="AK1569" s="714" t="str">
        <f t="shared" si="1143"/>
        <v/>
      </c>
      <c r="AL1569" s="714"/>
      <c r="AM1569" s="114" t="str">
        <f t="shared" si="1144"/>
        <v/>
      </c>
      <c r="AN1569" s="115"/>
      <c r="AO1569" s="116"/>
      <c r="AP1569" s="116"/>
      <c r="AQ1569" s="116"/>
      <c r="AR1569" s="116"/>
      <c r="AS1569" s="116"/>
      <c r="AT1569" s="116"/>
      <c r="AU1569" s="116"/>
      <c r="AV1569" s="78"/>
      <c r="AW1569" s="102"/>
      <c r="AX1569" s="78"/>
      <c r="AY1569" s="78"/>
      <c r="AZ1569" s="78"/>
      <c r="BA1569" s="78"/>
      <c r="BB1569" s="78"/>
      <c r="BC1569" s="78"/>
      <c r="BD1569" s="78"/>
      <c r="BE1569" s="465"/>
      <c r="BF1569" s="165" t="str">
        <f t="shared" si="1145"/>
        <v>https://www.google.com/search?tbm=isch&amp;q=Elaeagnus%20x%20ebbingei%20Ebbing%27s%20Silverberry%20Elaeagnus</v>
      </c>
      <c r="BG1569" s="165" t="str">
        <f t="shared" si="1146"/>
        <v>E</v>
      </c>
      <c r="BH1569" s="65"/>
      <c r="BI1569" s="65"/>
      <c r="BJ1569" s="65"/>
      <c r="BK1569" s="65"/>
      <c r="BL1569" s="99"/>
      <c r="BM1569" s="99"/>
      <c r="BN1569" s="99"/>
    </row>
    <row r="1570" spans="1:66" s="51" customFormat="1" ht="15.75" x14ac:dyDescent="0.25">
      <c r="A1570" s="478">
        <v>3</v>
      </c>
      <c r="B1570" s="479" t="s">
        <v>291</v>
      </c>
      <c r="C1570" s="480" t="s">
        <v>336</v>
      </c>
      <c r="D1570" s="481" t="s">
        <v>310</v>
      </c>
      <c r="E1570" s="482">
        <v>25.95</v>
      </c>
      <c r="F1570" s="483" t="s">
        <v>292</v>
      </c>
      <c r="G1570" s="484">
        <v>0</v>
      </c>
      <c r="H1570" s="688" t="str">
        <f>IF(G1570=0,"",IF(F1570="Buy",IF(G1570=1,"plant","plants"),IF(F1570&gt;0.01,"warranty","Error")))</f>
        <v/>
      </c>
      <c r="I1570" s="485">
        <f>IF(H1570="free",0,IF(H1570="credit",((E1570*(F1570))*G1570*-1),IF(F1570="Buy",(E1570*G1570),((E1570*(1-F1570))*G1570))))</f>
        <v>0</v>
      </c>
      <c r="J1570" s="485">
        <f>IF(H1570="warranty",0,(I1570*(_xlfn.SINGLE(SalesTaxPercentage))))</f>
        <v>0</v>
      </c>
      <c r="K1570" s="715">
        <f t="shared" ref="K1570" si="1150">I1570+J1570</f>
        <v>0</v>
      </c>
      <c r="L1570" s="715"/>
      <c r="M1570" s="689" t="str">
        <f ca="1">IF(AND(G1570&gt;0,E1570=0),"WARNING - no PRICE inserted",IF(H1570="free","FREE ~ no charge this plant",IF(H1570="credit",CONCATENATE("-$",ROUND(K1570*(1-_xlfn.SINGLE(T2GDiscount))*-1,2)," CREDIT after discount"),IF(_xlfn.SINGLE(T2GDiscount)=0,"",IF(G1570=0,"",IF(F1570="Buy",CONCATENATE("$",ROUND(K1570*(1-_xlfn.SINGLE(T2GDiscount)),2)," with ",(_xlfn.SINGLE(T2GDiscount)*100),"% discount"),CONCATENATE("$",ROUND(K1570*(1-_xlfn.SINGLE(T2GDiscount)),2)," with ",((_xlfn.SINGLE(T2GDiscount)*100+F1570*100)-(_xlfn.SINGLE(T2GDiscount)*100*F1570)),IF(F1570&gt;0,"% discounts",IF(_xlfn.SINGLE(NoWarrantyDiscount)&gt;0,"% discounts","% discount")))))))))</f>
        <v/>
      </c>
      <c r="N1570" s="690"/>
      <c r="O1570" s="486"/>
      <c r="P1570" s="486"/>
      <c r="Q1570" s="486"/>
      <c r="R1570" s="486"/>
      <c r="S1570" s="486"/>
      <c r="T1570" s="102">
        <f t="shared" si="1134"/>
        <v>0</v>
      </c>
      <c r="U1570" s="78">
        <f>IF(NOT(ISNUMBER(G1570)), "", VLOOKUP(A1570,'Discount Lookup'!D:E,2,FALSE)*G1570)</f>
        <v>0</v>
      </c>
      <c r="V1570" s="78">
        <f>IF(NOT(ISNUMBER(G1570)), "", VLOOKUP(A1570,'Discount Lookup'!G:H,2,FALSE)*G1570)</f>
        <v>0</v>
      </c>
      <c r="W1570" s="102">
        <f t="shared" si="1135"/>
        <v>0</v>
      </c>
      <c r="X1570" s="102">
        <f t="shared" si="1136"/>
        <v>0</v>
      </c>
      <c r="Y1570" s="120" t="b">
        <f t="shared" si="1137"/>
        <v>0</v>
      </c>
      <c r="Z1570" s="117">
        <f t="shared" si="1138"/>
        <v>0</v>
      </c>
      <c r="AA1570" s="118"/>
      <c r="AB1570" s="118" t="str">
        <f t="shared" si="1139"/>
        <v/>
      </c>
      <c r="AC1570" s="712" t="str">
        <f>IF(AE1570="T2G","no charge",IF(AND(OR(PlanterYesMe="No",PlanterYesMe="N",PlanterYesMe="me"),H1570=""),"",IF(H1570="credit","NO install",IF(AND(K1570="",AE1570="me"),"EACH row",IF(AND(K1570="images",AE1570="me"),"EACH row",IF(D1570="","",IF(H1570="credit","",IF(AE1570="free","re-planting",IF(AE1570="me","   not ELP, by",IF(AND(OR(PlanterYesMe="Yes",PlanterYesMe="Y"),G1570&gt;0),(VLOOKUP(A1570,'Discount Lookup'!J:K,2)*G1570*(1-PlanterDiscount)*(1+PlanterDifficultyPercentage)),IF(AE1570="ELP",(VLOOKUP(A1570,'Discount Lookup'!J:K,2)*G1570*(1-PlanterDiscount)*(1+PlanterDifficultyPercentage)),IF(AE1570="free","re-planting",IF(G1570=0,"",IF(PlanterYesMe="",IF(AE1570="me","   not ELP, by",IF(AE1570="",IF(G1570&gt;0,(VLOOKUP(A1570,'Discount Lookup'!J:K,2)*G1570*(1-PlanterDiscount)*(1+PlanterDifficultyPercentage)),""),"")),"   not ELP, by"))))))))))))))</f>
        <v/>
      </c>
      <c r="AD1570" s="712"/>
      <c r="AE1570" s="513" t="str">
        <f t="shared" si="1140"/>
        <v/>
      </c>
      <c r="AF1570" s="713" t="str">
        <f t="shared" si="1141"/>
        <v/>
      </c>
      <c r="AG1570" s="713"/>
      <c r="AH1570" s="713"/>
      <c r="AI1570" s="112">
        <f>IF(H1570="credit",0,IF(AE1570="free",0,IF(AE1570="me",0,IF(G1570&gt;0,(VLOOKUP(A1570,'Discount Lookup'!J:K,2)*G1570),0))))</f>
        <v>0</v>
      </c>
      <c r="AJ1570" s="107" t="str">
        <f t="shared" ca="1" si="1142"/>
        <v/>
      </c>
      <c r="AK1570" s="714" t="str">
        <f t="shared" si="1143"/>
        <v/>
      </c>
      <c r="AL1570" s="714"/>
      <c r="AM1570" s="114" t="str">
        <f t="shared" si="1144"/>
        <v/>
      </c>
      <c r="AN1570" s="115"/>
      <c r="AO1570" s="116"/>
      <c r="AP1570" s="116"/>
      <c r="AQ1570" s="116"/>
      <c r="AR1570" s="116"/>
      <c r="AS1570" s="116"/>
      <c r="AT1570" s="116"/>
      <c r="AU1570" s="116"/>
      <c r="AV1570" s="78"/>
      <c r="AW1570" s="102"/>
      <c r="AX1570" s="78"/>
      <c r="AY1570" s="78"/>
      <c r="AZ1570" s="78"/>
      <c r="BA1570" s="78"/>
      <c r="BB1570" s="78"/>
      <c r="BC1570" s="78"/>
      <c r="BD1570" s="78"/>
      <c r="BE1570" s="465"/>
      <c r="BF1570" s="165" t="str">
        <f t="shared" si="1145"/>
        <v>https://www.google.com/search?tbm=isch&amp;q=3%20G1</v>
      </c>
      <c r="BG1570" s="165" t="str">
        <f t="shared" si="1146"/>
        <v>E</v>
      </c>
      <c r="BH1570" s="65"/>
      <c r="BI1570" s="65"/>
      <c r="BJ1570" s="65"/>
      <c r="BK1570" s="65"/>
      <c r="BL1570" s="99"/>
      <c r="BM1570" s="99"/>
      <c r="BN1570" s="99"/>
    </row>
    <row r="1571" spans="1:66" s="51" customFormat="1" ht="16.5" x14ac:dyDescent="0.25">
      <c r="A1571" s="508" t="s">
        <v>2490</v>
      </c>
      <c r="B1571" s="487"/>
      <c r="C1571" s="707"/>
      <c r="D1571" s="487"/>
      <c r="E1571" s="487"/>
      <c r="F1571" s="488"/>
      <c r="G1571" s="489"/>
      <c r="H1571" s="487"/>
      <c r="I1571" s="490"/>
      <c r="J1571" s="490"/>
      <c r="K1571" s="491"/>
      <c r="L1571" s="547"/>
      <c r="M1571" s="528"/>
      <c r="N1571" s="492"/>
      <c r="O1571" s="493"/>
      <c r="P1571" s="494"/>
      <c r="Q1571" s="492"/>
      <c r="R1571" s="492"/>
      <c r="S1571" s="699" t="s">
        <v>5268</v>
      </c>
      <c r="T1571" s="102">
        <f t="shared" si="1134"/>
        <v>0</v>
      </c>
      <c r="U1571" s="78" t="str">
        <f>IF(NOT(ISNUMBER(G1571)), "", VLOOKUP(A1571,'Discount Lookup'!D:E,2,FALSE)*G1571)</f>
        <v/>
      </c>
      <c r="V1571" s="78" t="str">
        <f>IF(NOT(ISNUMBER(G1571)), "", VLOOKUP(A1571,'Discount Lookup'!G:H,2,FALSE)*G1571)</f>
        <v/>
      </c>
      <c r="W1571" s="102">
        <f t="shared" si="1135"/>
        <v>0</v>
      </c>
      <c r="X1571" s="102">
        <f t="shared" si="1136"/>
        <v>0</v>
      </c>
      <c r="Y1571" s="120" t="b">
        <f t="shared" si="1137"/>
        <v>0</v>
      </c>
      <c r="Z1571" s="117">
        <f t="shared" si="1138"/>
        <v>0</v>
      </c>
      <c r="AA1571" s="118"/>
      <c r="AB1571" s="118" t="str">
        <f t="shared" si="1139"/>
        <v/>
      </c>
      <c r="AC1571" s="712" t="str">
        <f>IF(AE1571="T2G","no charge",IF(AND(OR(PlanterYesMe="No",PlanterYesMe="N",PlanterYesMe="me"),H1571=""),"",IF(H1571="credit","NO install",IF(AND(K1571="",AE1571="me"),"EACH row",IF(AND(K1571="images",AE1571="me"),"EACH row",IF(D1571="","",IF(H1571="credit","",IF(AE1571="free","re-planting",IF(AE1571="me","   not ELP, by",IF(AND(OR(PlanterYesMe="Yes",PlanterYesMe="Y"),G1571&gt;0),(VLOOKUP(A1571,'Discount Lookup'!J:K,2)*G1571*(1-PlanterDiscount)*(1+PlanterDifficultyPercentage)),IF(AE1571="ELP",(VLOOKUP(A1571,'Discount Lookup'!J:K,2)*G1571*(1-PlanterDiscount)*(1+PlanterDifficultyPercentage)),IF(AE1571="free","re-planting",IF(G1571=0,"",IF(PlanterYesMe="",IF(AE1571="me","   not ELP, by",IF(AE1571="",IF(G1571&gt;0,(VLOOKUP(A1571,'Discount Lookup'!J:K,2)*G1571*(1-PlanterDiscount)*(1+PlanterDifficultyPercentage)),""),"")),"   not ELP, by"))))))))))))))</f>
        <v/>
      </c>
      <c r="AD1571" s="712"/>
      <c r="AE1571" s="513" t="str">
        <f t="shared" si="1140"/>
        <v/>
      </c>
      <c r="AF1571" s="713" t="str">
        <f t="shared" si="1141"/>
        <v/>
      </c>
      <c r="AG1571" s="713"/>
      <c r="AH1571" s="713"/>
      <c r="AI1571" s="112">
        <f>IF(H1571="credit",0,IF(AE1571="free",0,IF(AE1571="me",0,IF(G1571&gt;0,(VLOOKUP(A1571,'Discount Lookup'!J:K,2)*G1571),0))))</f>
        <v>0</v>
      </c>
      <c r="AJ1571" s="107" t="str">
        <f t="shared" ca="1" si="1142"/>
        <v/>
      </c>
      <c r="AK1571" s="714" t="str">
        <f t="shared" si="1143"/>
        <v/>
      </c>
      <c r="AL1571" s="714"/>
      <c r="AM1571" s="114" t="str">
        <f t="shared" si="1144"/>
        <v/>
      </c>
      <c r="AN1571" s="115"/>
      <c r="AO1571" s="116"/>
      <c r="AP1571" s="116"/>
      <c r="AQ1571" s="116"/>
      <c r="AR1571" s="116"/>
      <c r="AS1571" s="116"/>
      <c r="AT1571" s="116"/>
      <c r="AU1571" s="116"/>
      <c r="AV1571" s="78"/>
      <c r="AW1571" s="102"/>
      <c r="AX1571" s="78"/>
      <c r="AY1571" s="78"/>
      <c r="AZ1571" s="78"/>
      <c r="BA1571" s="78"/>
      <c r="BB1571" s="78"/>
      <c r="BC1571" s="78"/>
      <c r="BD1571" s="78"/>
      <c r="BE1571" s="465"/>
      <c r="BF1571" s="165" t="str">
        <f t="shared" si="1145"/>
        <v>https://www.google.com/search?tbm=isch&amp;q=Ebbing%27s%20is%20thornless%2C%20with%20Silver-Gray%20undersides%20to%20foliage.%20Very%20fragrant%20small%20Creamy%20White%20fall%20blooms.%20Birds%20adore%20red%20fruit%20</v>
      </c>
      <c r="BG1571" s="165" t="str">
        <f t="shared" si="1146"/>
        <v>E</v>
      </c>
      <c r="BH1571" s="65"/>
      <c r="BI1571" s="65"/>
      <c r="BJ1571" s="65"/>
      <c r="BK1571" s="65"/>
      <c r="BL1571" s="99"/>
      <c r="BM1571" s="99"/>
      <c r="BN1571" s="99"/>
    </row>
    <row r="1572" spans="1:66" s="51" customFormat="1" ht="19.5" thickBot="1" x14ac:dyDescent="0.3">
      <c r="A1572" s="686" t="s">
        <v>417</v>
      </c>
      <c r="B1572" s="73"/>
      <c r="C1572" s="708"/>
      <c r="D1572" s="73"/>
      <c r="E1572" s="73"/>
      <c r="F1572" s="496"/>
      <c r="G1572" s="73"/>
      <c r="H1572" s="73"/>
      <c r="I1572" s="73"/>
      <c r="J1572" s="497" t="s">
        <v>357</v>
      </c>
      <c r="K1572" s="498"/>
      <c r="L1572" s="562"/>
      <c r="M1572" s="73"/>
      <c r="N1572"/>
      <c r="O1572"/>
      <c r="P1572"/>
      <c r="Q1572"/>
      <c r="R1572"/>
      <c r="S1572"/>
      <c r="T1572" s="102">
        <f t="shared" si="1134"/>
        <v>0</v>
      </c>
      <c r="U1572" s="78" t="str">
        <f>IF(NOT(ISNUMBER(G1572)), "", VLOOKUP(A1572,'Discount Lookup'!D:E,2,FALSE)*G1572)</f>
        <v/>
      </c>
      <c r="V1572" s="78" t="str">
        <f>IF(NOT(ISNUMBER(G1572)), "", VLOOKUP(A1572,'Discount Lookup'!G:H,2,FALSE)*G1572)</f>
        <v/>
      </c>
      <c r="W1572" s="102">
        <f t="shared" si="1135"/>
        <v>0</v>
      </c>
      <c r="X1572" s="102">
        <f t="shared" si="1136"/>
        <v>0</v>
      </c>
      <c r="Y1572" s="120" t="b">
        <f t="shared" si="1137"/>
        <v>0</v>
      </c>
      <c r="Z1572" s="117">
        <f t="shared" si="1138"/>
        <v>0</v>
      </c>
      <c r="AA1572" s="118"/>
      <c r="AB1572" s="118" t="str">
        <f t="shared" si="1139"/>
        <v/>
      </c>
      <c r="AC1572" s="712" t="str">
        <f>IF(AE1572="T2G","no charge",IF(AND(OR(PlanterYesMe="No",PlanterYesMe="N",PlanterYesMe="me"),H1572=""),"",IF(H1572="credit","NO install",IF(AND(K1572="",AE1572="me"),"EACH row",IF(AND(K1572="images",AE1572="me"),"EACH row",IF(D1572="","",IF(H1572="credit","",IF(AE1572="free","re-planting",IF(AE1572="me","   not ELP, by",IF(AND(OR(PlanterYesMe="Yes",PlanterYesMe="Y"),G1572&gt;0),(VLOOKUP(A1572,'Discount Lookup'!J:K,2)*G1572*(1-PlanterDiscount)*(1+PlanterDifficultyPercentage)),IF(AE1572="ELP",(VLOOKUP(A1572,'Discount Lookup'!J:K,2)*G1572*(1-PlanterDiscount)*(1+PlanterDifficultyPercentage)),IF(AE1572="free","re-planting",IF(G1572=0,"",IF(PlanterYesMe="",IF(AE1572="me","   not ELP, by",IF(AE1572="",IF(G1572&gt;0,(VLOOKUP(A1572,'Discount Lookup'!J:K,2)*G1572*(1-PlanterDiscount)*(1+PlanterDifficultyPercentage)),""),"")),"   not ELP, by"))))))))))))))</f>
        <v/>
      </c>
      <c r="AD1572" s="712"/>
      <c r="AE1572" s="513" t="str">
        <f t="shared" si="1140"/>
        <v/>
      </c>
      <c r="AF1572" s="713" t="str">
        <f t="shared" si="1141"/>
        <v/>
      </c>
      <c r="AG1572" s="713"/>
      <c r="AH1572" s="713"/>
      <c r="AI1572" s="112">
        <f>IF(H1572="credit",0,IF(AE1572="free",0,IF(AE1572="me",0,IF(G1572&gt;0,(VLOOKUP(A1572,'Discount Lookup'!J:K,2)*G1572),0))))</f>
        <v>0</v>
      </c>
      <c r="AJ1572" s="107" t="str">
        <f t="shared" ca="1" si="1142"/>
        <v/>
      </c>
      <c r="AK1572" s="714" t="str">
        <f t="shared" si="1143"/>
        <v/>
      </c>
      <c r="AL1572" s="714"/>
      <c r="AM1572" s="114" t="str">
        <f t="shared" si="1144"/>
        <v/>
      </c>
      <c r="AN1572" s="115"/>
      <c r="AO1572" s="116"/>
      <c r="AP1572" s="116"/>
      <c r="AQ1572" s="116"/>
      <c r="AR1572" s="116"/>
      <c r="AS1572" s="116"/>
      <c r="AT1572" s="116"/>
      <c r="AU1572" s="116"/>
      <c r="AV1572" s="78"/>
      <c r="AW1572" s="102"/>
      <c r="AX1572" s="78"/>
      <c r="AY1572" s="78"/>
      <c r="AZ1572" s="78"/>
      <c r="BA1572" s="78"/>
      <c r="BB1572" s="78"/>
      <c r="BC1572" s="78"/>
      <c r="BD1572" s="78"/>
      <c r="BE1572" s="465"/>
      <c r="BF1572" s="165" t="str">
        <f t="shared" si="1145"/>
        <v>https://www.google.com/search?tbm=isch&amp;q=Eriobotrya%20%3D%20Loquat%20</v>
      </c>
      <c r="BG1572" s="165" t="str">
        <f t="shared" si="1146"/>
        <v>E</v>
      </c>
      <c r="BH1572" s="65"/>
      <c r="BI1572" s="65"/>
      <c r="BJ1572" s="65"/>
      <c r="BK1572" s="65"/>
      <c r="BL1572" s="99"/>
      <c r="BM1572" s="99"/>
      <c r="BN1572" s="99"/>
    </row>
    <row r="1573" spans="1:66" s="51" customFormat="1" ht="18" x14ac:dyDescent="0.25">
      <c r="A1573" s="507" t="s">
        <v>2491</v>
      </c>
      <c r="B1573" s="470"/>
      <c r="C1573" s="706"/>
      <c r="D1573" s="471" t="s">
        <v>2492</v>
      </c>
      <c r="E1573" s="472"/>
      <c r="F1573" s="472"/>
      <c r="G1573" s="472"/>
      <c r="H1573" s="622" t="s">
        <v>1163</v>
      </c>
      <c r="I1573" s="473" t="s">
        <v>350</v>
      </c>
      <c r="J1573" s="472"/>
      <c r="K1573" s="472"/>
      <c r="L1573" s="561"/>
      <c r="M1573" s="698" t="s">
        <v>5240</v>
      </c>
      <c r="N1573" s="692" t="str">
        <f>IF(AND(ISTEXT($A1573), ISERROR($A1573+0)), HYPERLINK($BF1573, "Images"), "")</f>
        <v>Images</v>
      </c>
      <c r="O1573" s="694" t="s">
        <v>5244</v>
      </c>
      <c r="P1573" s="475"/>
      <c r="Q1573" s="476"/>
      <c r="R1573" s="476"/>
      <c r="S1573" s="477"/>
      <c r="T1573" s="102">
        <f t="shared" si="1134"/>
        <v>0</v>
      </c>
      <c r="U1573" s="78" t="str">
        <f>IF(NOT(ISNUMBER(G1573)), "", VLOOKUP(A1573,'Discount Lookup'!D:E,2,FALSE)*G1573)</f>
        <v/>
      </c>
      <c r="V1573" s="78" t="str">
        <f>IF(NOT(ISNUMBER(G1573)), "", VLOOKUP(A1573,'Discount Lookup'!G:H,2,FALSE)*G1573)</f>
        <v/>
      </c>
      <c r="W1573" s="102">
        <f t="shared" si="1135"/>
        <v>0</v>
      </c>
      <c r="X1573" s="102" t="str">
        <f t="shared" si="1136"/>
        <v>Creamy White bloom</v>
      </c>
      <c r="Y1573" s="120" t="b">
        <f t="shared" si="1137"/>
        <v>0</v>
      </c>
      <c r="Z1573" s="117">
        <f t="shared" si="1138"/>
        <v>0</v>
      </c>
      <c r="AA1573" s="118"/>
      <c r="AB1573" s="118" t="str">
        <f t="shared" si="1139"/>
        <v/>
      </c>
      <c r="AC1573" s="712" t="str">
        <f>IF(AE1573="T2G","no charge",IF(AND(OR(PlanterYesMe="No",PlanterYesMe="N",PlanterYesMe="me"),H1573=""),"",IF(H1573="credit","NO install",IF(AND(K1573="",AE1573="me"),"EACH row",IF(AND(K1573="images",AE1573="me"),"EACH row",IF(D1573="","",IF(H1573="credit","",IF(AE1573="free","re-planting",IF(AE1573="me","   not ELP, by",IF(AND(OR(PlanterYesMe="Yes",PlanterYesMe="Y"),G1573&gt;0),(VLOOKUP(A1573,'Discount Lookup'!J:K,2)*G1573*(1-PlanterDiscount)*(1+PlanterDifficultyPercentage)),IF(AE1573="ELP",(VLOOKUP(A1573,'Discount Lookup'!J:K,2)*G1573*(1-PlanterDiscount)*(1+PlanterDifficultyPercentage)),IF(AE1573="free","re-planting",IF(G1573=0,"",IF(PlanterYesMe="",IF(AE1573="me","   not ELP, by",IF(AE1573="",IF(G1573&gt;0,(VLOOKUP(A1573,'Discount Lookup'!J:K,2)*G1573*(1-PlanterDiscount)*(1+PlanterDifficultyPercentage)),""),"")),"   not ELP, by"))))))))))))))</f>
        <v/>
      </c>
      <c r="AD1573" s="712"/>
      <c r="AE1573" s="513" t="str">
        <f t="shared" si="1140"/>
        <v/>
      </c>
      <c r="AF1573" s="713" t="str">
        <f t="shared" si="1141"/>
        <v/>
      </c>
      <c r="AG1573" s="713"/>
      <c r="AH1573" s="713"/>
      <c r="AI1573" s="112">
        <f>IF(H1573="credit",0,IF(AE1573="free",0,IF(AE1573="me",0,IF(G1573&gt;0,(VLOOKUP(A1573,'Discount Lookup'!J:K,2)*G1573),0))))</f>
        <v>0</v>
      </c>
      <c r="AJ1573" s="107" t="str">
        <f t="shared" ca="1" si="1142"/>
        <v/>
      </c>
      <c r="AK1573" s="714" t="str">
        <f t="shared" si="1143"/>
        <v/>
      </c>
      <c r="AL1573" s="714"/>
      <c r="AM1573" s="114" t="str">
        <f t="shared" si="1144"/>
        <v/>
      </c>
      <c r="AN1573" s="115"/>
      <c r="AO1573" s="116"/>
      <c r="AP1573" s="116"/>
      <c r="AQ1573" s="116"/>
      <c r="AR1573" s="116"/>
      <c r="AS1573" s="116"/>
      <c r="AT1573" s="116"/>
      <c r="AU1573" s="116"/>
      <c r="AV1573" s="78"/>
      <c r="AW1573" s="102"/>
      <c r="AX1573" s="78"/>
      <c r="AY1573" s="78"/>
      <c r="AZ1573" s="78"/>
      <c r="BA1573" s="78"/>
      <c r="BB1573" s="78"/>
      <c r="BC1573" s="78"/>
      <c r="BD1573" s="78"/>
      <c r="BE1573" s="465"/>
      <c r="BF1573" s="165" t="str">
        <f t="shared" si="1145"/>
        <v>https://www.google.com/search?tbm=isch&amp;q=Eriobotrya%20japonica%20Loquat%2C%20Japanese%20Plum</v>
      </c>
      <c r="BG1573" s="165" t="str">
        <f t="shared" si="1146"/>
        <v>E</v>
      </c>
      <c r="BH1573" s="65"/>
      <c r="BI1573" s="65"/>
      <c r="BJ1573" s="65"/>
      <c r="BK1573" s="65"/>
      <c r="BL1573" s="99"/>
      <c r="BM1573" s="99"/>
      <c r="BN1573" s="99"/>
    </row>
    <row r="1574" spans="1:66" s="51" customFormat="1" ht="15.75" x14ac:dyDescent="0.25">
      <c r="A1574" s="478">
        <v>15</v>
      </c>
      <c r="B1574" s="479" t="s">
        <v>291</v>
      </c>
      <c r="C1574" s="480" t="s">
        <v>2493</v>
      </c>
      <c r="D1574" s="481" t="s">
        <v>293</v>
      </c>
      <c r="E1574" s="482">
        <v>170.95</v>
      </c>
      <c r="F1574" s="483" t="s">
        <v>292</v>
      </c>
      <c r="G1574" s="484">
        <v>0</v>
      </c>
      <c r="H1574" s="688" t="str">
        <f>IF(G1574=0,"",IF(F1574="Buy",IF(G1574=1,"plant","plants"),IF(F1574&gt;0.01,"warranty","Error")))</f>
        <v/>
      </c>
      <c r="I1574" s="485">
        <f>IF(H1574="free",0,IF(H1574="credit",((E1574*(F1574))*G1574*-1),IF(F1574="Buy",(E1574*G1574),((E1574*(1-F1574))*G1574))))</f>
        <v>0</v>
      </c>
      <c r="J1574" s="485">
        <f>IF(H1574="warranty",0,(I1574*(_xlfn.SINGLE(SalesTaxPercentage))))</f>
        <v>0</v>
      </c>
      <c r="K1574" s="715">
        <f t="shared" ref="K1574" si="1151">I1574+J1574</f>
        <v>0</v>
      </c>
      <c r="L1574" s="715"/>
      <c r="M1574" s="689" t="str">
        <f ca="1">IF(AND(G1574&gt;0,E1574=0),"WARNING - no PRICE inserted",IF(H1574="free","FREE ~ no charge this plant",IF(H1574="credit",CONCATENATE("-$",ROUND(K1574*(1-_xlfn.SINGLE(T2GDiscount))*-1,2)," CREDIT after discount"),IF(_xlfn.SINGLE(T2GDiscount)=0,"",IF(G1574=0,"",IF(F1574="Buy",CONCATENATE("$",ROUND(K1574*(1-_xlfn.SINGLE(T2GDiscount)),2)," with ",(_xlfn.SINGLE(T2GDiscount)*100),"% discount"),CONCATENATE("$",ROUND(K1574*(1-_xlfn.SINGLE(T2GDiscount)),2)," with ",((_xlfn.SINGLE(T2GDiscount)*100+F1574*100)-(_xlfn.SINGLE(T2GDiscount)*100*F1574)),IF(F1574&gt;0,"% discounts",IF(_xlfn.SINGLE(NoWarrantyDiscount)&gt;0,"% discounts","% discount")))))))))</f>
        <v/>
      </c>
      <c r="N1574" s="690"/>
      <c r="O1574" s="486"/>
      <c r="P1574" s="486"/>
      <c r="Q1574" s="486"/>
      <c r="R1574" s="486"/>
      <c r="S1574" s="486"/>
      <c r="T1574" s="102">
        <f t="shared" si="1134"/>
        <v>0</v>
      </c>
      <c r="U1574" s="78">
        <f>IF(NOT(ISNUMBER(G1574)), "", VLOOKUP(A1574,'Discount Lookup'!D:E,2,FALSE)*G1574)</f>
        <v>0</v>
      </c>
      <c r="V1574" s="78">
        <f>IF(NOT(ISNUMBER(G1574)), "", VLOOKUP(A1574,'Discount Lookup'!G:H,2,FALSE)*G1574)</f>
        <v>0</v>
      </c>
      <c r="W1574" s="102">
        <f t="shared" si="1135"/>
        <v>0</v>
      </c>
      <c r="X1574" s="102">
        <f t="shared" si="1136"/>
        <v>0</v>
      </c>
      <c r="Y1574" s="120" t="b">
        <f t="shared" si="1137"/>
        <v>0</v>
      </c>
      <c r="Z1574" s="117">
        <f t="shared" si="1138"/>
        <v>0</v>
      </c>
      <c r="AA1574" s="118"/>
      <c r="AB1574" s="118" t="str">
        <f t="shared" si="1139"/>
        <v/>
      </c>
      <c r="AC1574" s="712" t="str">
        <f>IF(AE1574="T2G","no charge",IF(AND(OR(PlanterYesMe="No",PlanterYesMe="N",PlanterYesMe="me"),H1574=""),"",IF(H1574="credit","NO install",IF(AND(K1574="",AE1574="me"),"EACH row",IF(AND(K1574="images",AE1574="me"),"EACH row",IF(D1574="","",IF(H1574="credit","",IF(AE1574="free","re-planting",IF(AE1574="me","   not ELP, by",IF(AND(OR(PlanterYesMe="Yes",PlanterYesMe="Y"),G1574&gt;0),(VLOOKUP(A1574,'Discount Lookup'!J:K,2)*G1574*(1-PlanterDiscount)*(1+PlanterDifficultyPercentage)),IF(AE1574="ELP",(VLOOKUP(A1574,'Discount Lookup'!J:K,2)*G1574*(1-PlanterDiscount)*(1+PlanterDifficultyPercentage)),IF(AE1574="free","re-planting",IF(G1574=0,"",IF(PlanterYesMe="",IF(AE1574="me","   not ELP, by",IF(AE1574="",IF(G1574&gt;0,(VLOOKUP(A1574,'Discount Lookup'!J:K,2)*G1574*(1-PlanterDiscount)*(1+PlanterDifficultyPercentage)),""),"")),"   not ELP, by"))))))))))))))</f>
        <v/>
      </c>
      <c r="AD1574" s="712"/>
      <c r="AE1574" s="513" t="str">
        <f t="shared" si="1140"/>
        <v/>
      </c>
      <c r="AF1574" s="713" t="str">
        <f t="shared" si="1141"/>
        <v/>
      </c>
      <c r="AG1574" s="713"/>
      <c r="AH1574" s="713"/>
      <c r="AI1574" s="112">
        <f>IF(H1574="credit",0,IF(AE1574="free",0,IF(AE1574="me",0,IF(G1574&gt;0,(VLOOKUP(A1574,'Discount Lookup'!J:K,2)*G1574),0))))</f>
        <v>0</v>
      </c>
      <c r="AJ1574" s="107" t="str">
        <f t="shared" ca="1" si="1142"/>
        <v/>
      </c>
      <c r="AK1574" s="714" t="str">
        <f t="shared" si="1143"/>
        <v/>
      </c>
      <c r="AL1574" s="714"/>
      <c r="AM1574" s="114" t="str">
        <f t="shared" si="1144"/>
        <v/>
      </c>
      <c r="AN1574" s="115"/>
      <c r="AO1574" s="116"/>
      <c r="AP1574" s="116"/>
      <c r="AQ1574" s="116"/>
      <c r="AR1574" s="116"/>
      <c r="AS1574" s="116"/>
      <c r="AT1574" s="116"/>
      <c r="AU1574" s="116"/>
      <c r="AV1574" s="78"/>
      <c r="AW1574" s="102"/>
      <c r="AX1574" s="78"/>
      <c r="AY1574" s="78"/>
      <c r="AZ1574" s="78"/>
      <c r="BA1574" s="78"/>
      <c r="BB1574" s="78"/>
      <c r="BC1574" s="78"/>
      <c r="BD1574" s="78"/>
      <c r="BE1574" s="465"/>
      <c r="BF1574" s="165" t="str">
        <f t="shared" si="1145"/>
        <v>https://www.google.com/search?tbm=isch&amp;q=15%20G6</v>
      </c>
      <c r="BG1574" s="165" t="str">
        <f t="shared" si="1146"/>
        <v>E</v>
      </c>
      <c r="BH1574" s="65"/>
      <c r="BI1574" s="65"/>
      <c r="BJ1574" s="65"/>
      <c r="BK1574" s="65"/>
      <c r="BL1574" s="99"/>
      <c r="BM1574" s="99"/>
      <c r="BN1574" s="99"/>
    </row>
    <row r="1575" spans="1:66" s="51" customFormat="1" ht="15.75" x14ac:dyDescent="0.25">
      <c r="A1575" s="508" t="s">
        <v>2494</v>
      </c>
      <c r="B1575" s="487"/>
      <c r="C1575" s="707"/>
      <c r="D1575" s="487"/>
      <c r="E1575" s="487"/>
      <c r="F1575" s="488"/>
      <c r="G1575" s="489"/>
      <c r="H1575" s="487"/>
      <c r="I1575" s="490"/>
      <c r="J1575" s="490"/>
      <c r="K1575" s="491"/>
      <c r="L1575" s="547"/>
      <c r="M1575" s="528"/>
      <c r="N1575" s="492"/>
      <c r="O1575" s="493"/>
      <c r="P1575" s="494"/>
      <c r="Q1575" s="492"/>
      <c r="R1575" s="492"/>
      <c r="S1575" s="495"/>
      <c r="T1575" s="102">
        <f t="shared" si="1134"/>
        <v>0</v>
      </c>
      <c r="U1575" s="78" t="str">
        <f>IF(NOT(ISNUMBER(G1575)), "", VLOOKUP(A1575,'Discount Lookup'!D:E,2,FALSE)*G1575)</f>
        <v/>
      </c>
      <c r="V1575" s="78" t="str">
        <f>IF(NOT(ISNUMBER(G1575)), "", VLOOKUP(A1575,'Discount Lookup'!G:H,2,FALSE)*G1575)</f>
        <v/>
      </c>
      <c r="W1575" s="102">
        <f t="shared" si="1135"/>
        <v>0</v>
      </c>
      <c r="X1575" s="102">
        <f t="shared" si="1136"/>
        <v>0</v>
      </c>
      <c r="Y1575" s="120" t="b">
        <f t="shared" si="1137"/>
        <v>0</v>
      </c>
      <c r="Z1575" s="117">
        <f t="shared" si="1138"/>
        <v>0</v>
      </c>
      <c r="AA1575" s="118"/>
      <c r="AB1575" s="118" t="str">
        <f t="shared" si="1139"/>
        <v/>
      </c>
      <c r="AC1575" s="712" t="str">
        <f>IF(AE1575="T2G","no charge",IF(AND(OR(PlanterYesMe="No",PlanterYesMe="N",PlanterYesMe="me"),H1575=""),"",IF(H1575="credit","NO install",IF(AND(K1575="",AE1575="me"),"EACH row",IF(AND(K1575="images",AE1575="me"),"EACH row",IF(D1575="","",IF(H1575="credit","",IF(AE1575="free","re-planting",IF(AE1575="me","   not ELP, by",IF(AND(OR(PlanterYesMe="Yes",PlanterYesMe="Y"),G1575&gt;0),(VLOOKUP(A1575,'Discount Lookup'!J:K,2)*G1575*(1-PlanterDiscount)*(1+PlanterDifficultyPercentage)),IF(AE1575="ELP",(VLOOKUP(A1575,'Discount Lookup'!J:K,2)*G1575*(1-PlanterDiscount)*(1+PlanterDifficultyPercentage)),IF(AE1575="free","re-planting",IF(G1575=0,"",IF(PlanterYesMe="",IF(AE1575="me","   not ELP, by",IF(AE1575="",IF(G1575&gt;0,(VLOOKUP(A1575,'Discount Lookup'!J:K,2)*G1575*(1-PlanterDiscount)*(1+PlanterDifficultyPercentage)),""),"")),"   not ELP, by"))))))))))))))</f>
        <v/>
      </c>
      <c r="AD1575" s="712"/>
      <c r="AE1575" s="513" t="str">
        <f t="shared" si="1140"/>
        <v/>
      </c>
      <c r="AF1575" s="713" t="str">
        <f t="shared" si="1141"/>
        <v/>
      </c>
      <c r="AG1575" s="713"/>
      <c r="AH1575" s="713"/>
      <c r="AI1575" s="112">
        <f>IF(H1575="credit",0,IF(AE1575="free",0,IF(AE1575="me",0,IF(G1575&gt;0,(VLOOKUP(A1575,'Discount Lookup'!J:K,2)*G1575),0))))</f>
        <v>0</v>
      </c>
      <c r="AJ1575" s="107" t="str">
        <f t="shared" ca="1" si="1142"/>
        <v/>
      </c>
      <c r="AK1575" s="714" t="str">
        <f t="shared" si="1143"/>
        <v/>
      </c>
      <c r="AL1575" s="714"/>
      <c r="AM1575" s="114" t="str">
        <f t="shared" si="1144"/>
        <v/>
      </c>
      <c r="AN1575" s="115"/>
      <c r="AO1575" s="116"/>
      <c r="AP1575" s="116"/>
      <c r="AQ1575" s="116"/>
      <c r="AR1575" s="116"/>
      <c r="AS1575" s="116"/>
      <c r="AT1575" s="116"/>
      <c r="AU1575" s="116"/>
      <c r="AV1575" s="78"/>
      <c r="AW1575" s="102"/>
      <c r="AX1575" s="78"/>
      <c r="AY1575" s="78"/>
      <c r="AZ1575" s="78"/>
      <c r="BA1575" s="78"/>
      <c r="BB1575" s="78"/>
      <c r="BC1575" s="78"/>
      <c r="BD1575" s="78"/>
      <c r="BE1575" s="465"/>
      <c r="BF1575" s="165" t="str">
        <f t="shared" si="1145"/>
        <v>https://www.google.com/search?tbm=isch&amp;q=Loquat%20flesh%20is%20succulent%2C%20sweet%2C%20tangy%2C%20and%20tastes%20like%20mix%20of%20peach%2C%20citrus%20%26%20mild%20mango.%20Fragrant%20blooms%20</v>
      </c>
      <c r="BG1575" s="165" t="str">
        <f t="shared" si="1146"/>
        <v>L</v>
      </c>
      <c r="BH1575" s="65"/>
      <c r="BI1575" s="65"/>
      <c r="BJ1575" s="65"/>
      <c r="BK1575" s="65"/>
      <c r="BL1575" s="99"/>
      <c r="BM1575" s="99"/>
      <c r="BN1575" s="99"/>
    </row>
    <row r="1576" spans="1:66" s="51" customFormat="1" ht="19.5" thickBot="1" x14ac:dyDescent="0.3">
      <c r="A1576" s="686" t="s">
        <v>416</v>
      </c>
      <c r="B1576" s="73"/>
      <c r="C1576" s="708"/>
      <c r="D1576" s="73"/>
      <c r="E1576" s="73"/>
      <c r="F1576" s="496"/>
      <c r="G1576" s="73"/>
      <c r="H1576" s="73"/>
      <c r="I1576" s="73"/>
      <c r="J1576" s="497" t="s">
        <v>357</v>
      </c>
      <c r="K1576" s="498"/>
      <c r="L1576" s="562"/>
      <c r="M1576" s="73"/>
      <c r="N1576"/>
      <c r="O1576"/>
      <c r="P1576"/>
      <c r="Q1576"/>
      <c r="R1576"/>
      <c r="S1576"/>
      <c r="T1576" s="102">
        <f t="shared" si="1134"/>
        <v>0</v>
      </c>
      <c r="U1576" s="78" t="str">
        <f>IF(NOT(ISNUMBER(G1576)), "", VLOOKUP(A1576,'Discount Lookup'!D:E,2,FALSE)*G1576)</f>
        <v/>
      </c>
      <c r="V1576" s="78" t="str">
        <f>IF(NOT(ISNUMBER(G1576)), "", VLOOKUP(A1576,'Discount Lookup'!G:H,2,FALSE)*G1576)</f>
        <v/>
      </c>
      <c r="W1576" s="102">
        <f t="shared" si="1135"/>
        <v>0</v>
      </c>
      <c r="X1576" s="102">
        <f t="shared" si="1136"/>
        <v>0</v>
      </c>
      <c r="Y1576" s="120" t="b">
        <f t="shared" si="1137"/>
        <v>0</v>
      </c>
      <c r="Z1576" s="117">
        <f t="shared" si="1138"/>
        <v>0</v>
      </c>
      <c r="AA1576" s="118"/>
      <c r="AB1576" s="118" t="str">
        <f t="shared" si="1139"/>
        <v/>
      </c>
      <c r="AC1576" s="712" t="str">
        <f>IF(AE1576="T2G","no charge",IF(AND(OR(PlanterYesMe="No",PlanterYesMe="N",PlanterYesMe="me"),H1576=""),"",IF(H1576="credit","NO install",IF(AND(K1576="",AE1576="me"),"EACH row",IF(AND(K1576="images",AE1576="me"),"EACH row",IF(D1576="","",IF(H1576="credit","",IF(AE1576="free","re-planting",IF(AE1576="me","   not ELP, by",IF(AND(OR(PlanterYesMe="Yes",PlanterYesMe="Y"),G1576&gt;0),(VLOOKUP(A1576,'Discount Lookup'!J:K,2)*G1576*(1-PlanterDiscount)*(1+PlanterDifficultyPercentage)),IF(AE1576="ELP",(VLOOKUP(A1576,'Discount Lookup'!J:K,2)*G1576*(1-PlanterDiscount)*(1+PlanterDifficultyPercentage)),IF(AE1576="free","re-planting",IF(G1576=0,"",IF(PlanterYesMe="",IF(AE1576="me","   not ELP, by",IF(AE1576="",IF(G1576&gt;0,(VLOOKUP(A1576,'Discount Lookup'!J:K,2)*G1576*(1-PlanterDiscount)*(1+PlanterDifficultyPercentage)),""),"")),"   not ELP, by"))))))))))))))</f>
        <v/>
      </c>
      <c r="AD1576" s="712"/>
      <c r="AE1576" s="513" t="str">
        <f t="shared" si="1140"/>
        <v/>
      </c>
      <c r="AF1576" s="713" t="str">
        <f t="shared" si="1141"/>
        <v/>
      </c>
      <c r="AG1576" s="713"/>
      <c r="AH1576" s="713"/>
      <c r="AI1576" s="112">
        <f>IF(H1576="credit",0,IF(AE1576="free",0,IF(AE1576="me",0,IF(G1576&gt;0,(VLOOKUP(A1576,'Discount Lookup'!J:K,2)*G1576),0))))</f>
        <v>0</v>
      </c>
      <c r="AJ1576" s="107" t="str">
        <f t="shared" ca="1" si="1142"/>
        <v/>
      </c>
      <c r="AK1576" s="714" t="str">
        <f t="shared" si="1143"/>
        <v/>
      </c>
      <c r="AL1576" s="714"/>
      <c r="AM1576" s="114" t="str">
        <f t="shared" si="1144"/>
        <v/>
      </c>
      <c r="AN1576" s="115"/>
      <c r="AO1576" s="116"/>
      <c r="AP1576" s="116"/>
      <c r="AQ1576" s="116"/>
      <c r="AR1576" s="116"/>
      <c r="AS1576" s="116"/>
      <c r="AT1576" s="116"/>
      <c r="AU1576" s="116"/>
      <c r="AV1576" s="78"/>
      <c r="AW1576" s="102"/>
      <c r="AX1576" s="78"/>
      <c r="AY1576" s="78"/>
      <c r="AZ1576" s="78"/>
      <c r="BA1576" s="78"/>
      <c r="BB1576" s="78"/>
      <c r="BC1576" s="78"/>
      <c r="BD1576" s="78"/>
      <c r="BE1576" s="465"/>
      <c r="BF1576" s="165" t="str">
        <f t="shared" si="1145"/>
        <v>https://www.google.com/search?tbm=isch&amp;q=Euonymus%20%3D%20Euonymus%20</v>
      </c>
      <c r="BG1576" s="165" t="str">
        <f t="shared" si="1146"/>
        <v>E</v>
      </c>
      <c r="BH1576" s="65"/>
      <c r="BI1576" s="65"/>
      <c r="BJ1576" s="65"/>
      <c r="BK1576" s="65"/>
      <c r="BL1576" s="99"/>
      <c r="BM1576" s="99"/>
      <c r="BN1576" s="99"/>
    </row>
    <row r="1577" spans="1:66" s="51" customFormat="1" ht="18" x14ac:dyDescent="0.25">
      <c r="A1577" s="507" t="s">
        <v>2495</v>
      </c>
      <c r="B1577" s="470"/>
      <c r="C1577" s="706"/>
      <c r="D1577" s="471" t="s">
        <v>2496</v>
      </c>
      <c r="E1577" s="472"/>
      <c r="F1577" s="472"/>
      <c r="G1577" s="472"/>
      <c r="H1577" s="622" t="s">
        <v>1471</v>
      </c>
      <c r="I1577" s="473" t="s">
        <v>2497</v>
      </c>
      <c r="J1577" s="472"/>
      <c r="K1577" s="472"/>
      <c r="L1577" s="561"/>
      <c r="M1577" s="698" t="s">
        <v>5246</v>
      </c>
      <c r="N1577" s="692" t="str">
        <f>IF(AND(ISTEXT($A1577), ISERROR($A1577+0)), HYPERLINK($BF1577, "Images"), "")</f>
        <v>Images</v>
      </c>
      <c r="O1577" s="694" t="s">
        <v>5264</v>
      </c>
      <c r="P1577" s="475"/>
      <c r="Q1577" s="476"/>
      <c r="R1577" s="476"/>
      <c r="S1577" s="477"/>
      <c r="T1577" s="102">
        <f t="shared" si="1134"/>
        <v>0</v>
      </c>
      <c r="U1577" s="78" t="str">
        <f>IF(NOT(ISNUMBER(G1577)), "", VLOOKUP(A1577,'Discount Lookup'!D:E,2,FALSE)*G1577)</f>
        <v/>
      </c>
      <c r="V1577" s="78" t="str">
        <f>IF(NOT(ISNUMBER(G1577)), "", VLOOKUP(A1577,'Discount Lookup'!G:H,2,FALSE)*G1577)</f>
        <v/>
      </c>
      <c r="W1577" s="102">
        <f t="shared" si="1135"/>
        <v>0</v>
      </c>
      <c r="X1577" s="102" t="str">
        <f t="shared" si="1136"/>
        <v>Dark Green &amp; Yellow</v>
      </c>
      <c r="Y1577" s="120" t="b">
        <f t="shared" si="1137"/>
        <v>0</v>
      </c>
      <c r="Z1577" s="117">
        <f t="shared" si="1138"/>
        <v>0</v>
      </c>
      <c r="AA1577" s="118"/>
      <c r="AB1577" s="118" t="str">
        <f t="shared" si="1139"/>
        <v/>
      </c>
      <c r="AC1577" s="712" t="str">
        <f>IF(AE1577="T2G","no charge",IF(AND(OR(PlanterYesMe="No",PlanterYesMe="N",PlanterYesMe="me"),H1577=""),"",IF(H1577="credit","NO install",IF(AND(K1577="",AE1577="me"),"EACH row",IF(AND(K1577="images",AE1577="me"),"EACH row",IF(D1577="","",IF(H1577="credit","",IF(AE1577="free","re-planting",IF(AE1577="me","   not ELP, by",IF(AND(OR(PlanterYesMe="Yes",PlanterYesMe="Y"),G1577&gt;0),(VLOOKUP(A1577,'Discount Lookup'!J:K,2)*G1577*(1-PlanterDiscount)*(1+PlanterDifficultyPercentage)),IF(AE1577="ELP",(VLOOKUP(A1577,'Discount Lookup'!J:K,2)*G1577*(1-PlanterDiscount)*(1+PlanterDifficultyPercentage)),IF(AE1577="free","re-planting",IF(G1577=0,"",IF(PlanterYesMe="",IF(AE1577="me","   not ELP, by",IF(AE1577="",IF(G1577&gt;0,(VLOOKUP(A1577,'Discount Lookup'!J:K,2)*G1577*(1-PlanterDiscount)*(1+PlanterDifficultyPercentage)),""),"")),"   not ELP, by"))))))))))))))</f>
        <v/>
      </c>
      <c r="AD1577" s="712"/>
      <c r="AE1577" s="513" t="str">
        <f t="shared" si="1140"/>
        <v/>
      </c>
      <c r="AF1577" s="713" t="str">
        <f t="shared" si="1141"/>
        <v/>
      </c>
      <c r="AG1577" s="713"/>
      <c r="AH1577" s="713"/>
      <c r="AI1577" s="112">
        <f>IF(H1577="credit",0,IF(AE1577="free",0,IF(AE1577="me",0,IF(G1577&gt;0,(VLOOKUP(A1577,'Discount Lookup'!J:K,2)*G1577),0))))</f>
        <v>0</v>
      </c>
      <c r="AJ1577" s="107" t="str">
        <f t="shared" ca="1" si="1142"/>
        <v/>
      </c>
      <c r="AK1577" s="714" t="str">
        <f t="shared" si="1143"/>
        <v/>
      </c>
      <c r="AL1577" s="714"/>
      <c r="AM1577" s="114" t="str">
        <f t="shared" si="1144"/>
        <v/>
      </c>
      <c r="AN1577" s="115"/>
      <c r="AO1577" s="116"/>
      <c r="AP1577" s="116"/>
      <c r="AQ1577" s="116"/>
      <c r="AR1577" s="116"/>
      <c r="AS1577" s="116"/>
      <c r="AT1577" s="116"/>
      <c r="AU1577" s="116"/>
      <c r="AV1577" s="78"/>
      <c r="AW1577" s="102"/>
      <c r="AX1577" s="78"/>
      <c r="AY1577" s="78"/>
      <c r="AZ1577" s="78"/>
      <c r="BA1577" s="78"/>
      <c r="BB1577" s="78"/>
      <c r="BC1577" s="78"/>
      <c r="BD1577" s="78"/>
      <c r="BE1577" s="465"/>
      <c r="BF1577" s="165" t="str">
        <f t="shared" si="1145"/>
        <v>https://www.google.com/search?tbm=isch&amp;q=Euonymus%20japonicus%20%27Aureo-marginatus%27%20Golden%20Euonymus</v>
      </c>
      <c r="BG1577" s="165" t="str">
        <f t="shared" si="1146"/>
        <v>E</v>
      </c>
      <c r="BH1577" s="65"/>
      <c r="BI1577" s="65"/>
      <c r="BJ1577" s="65"/>
      <c r="BK1577" s="65"/>
      <c r="BL1577" s="99"/>
      <c r="BM1577" s="99"/>
      <c r="BN1577" s="99"/>
    </row>
    <row r="1578" spans="1:66" s="51" customFormat="1" ht="15.75" x14ac:dyDescent="0.25">
      <c r="A1578" s="478">
        <v>3</v>
      </c>
      <c r="B1578" s="479" t="s">
        <v>291</v>
      </c>
      <c r="C1578" s="480" t="s">
        <v>337</v>
      </c>
      <c r="D1578" s="481" t="s">
        <v>310</v>
      </c>
      <c r="E1578" s="482">
        <v>25.95</v>
      </c>
      <c r="F1578" s="483" t="s">
        <v>292</v>
      </c>
      <c r="G1578" s="484">
        <v>0</v>
      </c>
      <c r="H1578" s="688" t="str">
        <f>IF(G1578=0,"",IF(F1578="Buy",IF(G1578=1,"plant","plants"),IF(F1578&gt;0.01,"warranty","Error")))</f>
        <v/>
      </c>
      <c r="I1578" s="485">
        <f>IF(H1578="free",0,IF(H1578="credit",((E1578*(F1578))*G1578*-1),IF(F1578="Buy",(E1578*G1578),((E1578*(1-F1578))*G1578))))</f>
        <v>0</v>
      </c>
      <c r="J1578" s="485">
        <f>IF(H1578="warranty",0,(I1578*(_xlfn.SINGLE(SalesTaxPercentage))))</f>
        <v>0</v>
      </c>
      <c r="K1578" s="715">
        <f t="shared" ref="K1578" si="1152">I1578+J1578</f>
        <v>0</v>
      </c>
      <c r="L1578" s="715"/>
      <c r="M1578" s="689" t="str">
        <f ca="1">IF(AND(G1578&gt;0,E1578=0),"WARNING - no PRICE inserted",IF(H1578="free","FREE ~ no charge this plant",IF(H1578="credit",CONCATENATE("-$",ROUND(K1578*(1-_xlfn.SINGLE(T2GDiscount))*-1,2)," CREDIT after discount"),IF(_xlfn.SINGLE(T2GDiscount)=0,"",IF(G1578=0,"",IF(F1578="Buy",CONCATENATE("$",ROUND(K1578*(1-_xlfn.SINGLE(T2GDiscount)),2)," with ",(_xlfn.SINGLE(T2GDiscount)*100),"% discount"),CONCATENATE("$",ROUND(K1578*(1-_xlfn.SINGLE(T2GDiscount)),2)," with ",((_xlfn.SINGLE(T2GDiscount)*100+F1578*100)-(_xlfn.SINGLE(T2GDiscount)*100*F1578)),IF(F1578&gt;0,"% discounts",IF(_xlfn.SINGLE(NoWarrantyDiscount)&gt;0,"% discounts","% discount")))))))))</f>
        <v/>
      </c>
      <c r="N1578" s="690"/>
      <c r="O1578" s="486"/>
      <c r="P1578" s="486"/>
      <c r="Q1578" s="486"/>
      <c r="R1578" s="486"/>
      <c r="S1578" s="486"/>
      <c r="T1578" s="102">
        <f t="shared" si="1134"/>
        <v>0</v>
      </c>
      <c r="U1578" s="78">
        <f>IF(NOT(ISNUMBER(G1578)), "", VLOOKUP(A1578,'Discount Lookup'!D:E,2,FALSE)*G1578)</f>
        <v>0</v>
      </c>
      <c r="V1578" s="78">
        <f>IF(NOT(ISNUMBER(G1578)), "", VLOOKUP(A1578,'Discount Lookup'!G:H,2,FALSE)*G1578)</f>
        <v>0</v>
      </c>
      <c r="W1578" s="102">
        <f t="shared" si="1135"/>
        <v>0</v>
      </c>
      <c r="X1578" s="102">
        <f t="shared" si="1136"/>
        <v>0</v>
      </c>
      <c r="Y1578" s="120" t="b">
        <f t="shared" si="1137"/>
        <v>0</v>
      </c>
      <c r="Z1578" s="117">
        <f t="shared" si="1138"/>
        <v>0</v>
      </c>
      <c r="AA1578" s="118"/>
      <c r="AB1578" s="118" t="str">
        <f t="shared" si="1139"/>
        <v/>
      </c>
      <c r="AC1578" s="712" t="str">
        <f>IF(AE1578="T2G","no charge",IF(AND(OR(PlanterYesMe="No",PlanterYesMe="N",PlanterYesMe="me"),H1578=""),"",IF(H1578="credit","NO install",IF(AND(K1578="",AE1578="me"),"EACH row",IF(AND(K1578="images",AE1578="me"),"EACH row",IF(D1578="","",IF(H1578="credit","",IF(AE1578="free","re-planting",IF(AE1578="me","   not ELP, by",IF(AND(OR(PlanterYesMe="Yes",PlanterYesMe="Y"),G1578&gt;0),(VLOOKUP(A1578,'Discount Lookup'!J:K,2)*G1578*(1-PlanterDiscount)*(1+PlanterDifficultyPercentage)),IF(AE1578="ELP",(VLOOKUP(A1578,'Discount Lookup'!J:K,2)*G1578*(1-PlanterDiscount)*(1+PlanterDifficultyPercentage)),IF(AE1578="free","re-planting",IF(G1578=0,"",IF(PlanterYesMe="",IF(AE1578="me","   not ELP, by",IF(AE1578="",IF(G1578&gt;0,(VLOOKUP(A1578,'Discount Lookup'!J:K,2)*G1578*(1-PlanterDiscount)*(1+PlanterDifficultyPercentage)),""),"")),"   not ELP, by"))))))))))))))</f>
        <v/>
      </c>
      <c r="AD1578" s="712"/>
      <c r="AE1578" s="513" t="str">
        <f t="shared" si="1140"/>
        <v/>
      </c>
      <c r="AF1578" s="713" t="str">
        <f t="shared" si="1141"/>
        <v/>
      </c>
      <c r="AG1578" s="713"/>
      <c r="AH1578" s="713"/>
      <c r="AI1578" s="112">
        <f>IF(H1578="credit",0,IF(AE1578="free",0,IF(AE1578="me",0,IF(G1578&gt;0,(VLOOKUP(A1578,'Discount Lookup'!J:K,2)*G1578),0))))</f>
        <v>0</v>
      </c>
      <c r="AJ1578" s="107" t="str">
        <f t="shared" ca="1" si="1142"/>
        <v/>
      </c>
      <c r="AK1578" s="714" t="str">
        <f t="shared" si="1143"/>
        <v/>
      </c>
      <c r="AL1578" s="714"/>
      <c r="AM1578" s="114" t="str">
        <f t="shared" si="1144"/>
        <v/>
      </c>
      <c r="AN1578" s="115"/>
      <c r="AO1578" s="116"/>
      <c r="AP1578" s="116"/>
      <c r="AQ1578" s="116"/>
      <c r="AR1578" s="116"/>
      <c r="AS1578" s="116"/>
      <c r="AT1578" s="116"/>
      <c r="AU1578" s="116"/>
      <c r="AV1578" s="78"/>
      <c r="AW1578" s="102"/>
      <c r="AX1578" s="78"/>
      <c r="AY1578" s="78"/>
      <c r="AZ1578" s="78"/>
      <c r="BA1578" s="78"/>
      <c r="BB1578" s="78"/>
      <c r="BC1578" s="78"/>
      <c r="BD1578" s="78"/>
      <c r="BE1578" s="465"/>
      <c r="BF1578" s="165" t="str">
        <f t="shared" si="1145"/>
        <v>https://www.google.com/search?tbm=isch&amp;q=3%20G1</v>
      </c>
      <c r="BG1578" s="165" t="str">
        <f t="shared" si="1146"/>
        <v>E</v>
      </c>
      <c r="BH1578" s="65"/>
      <c r="BI1578" s="65"/>
      <c r="BJ1578" s="65"/>
      <c r="BK1578" s="65"/>
      <c r="BL1578" s="99"/>
      <c r="BM1578" s="99"/>
      <c r="BN1578" s="99"/>
    </row>
    <row r="1579" spans="1:66" s="51" customFormat="1" ht="17.25" thickBot="1" x14ac:dyDescent="0.3">
      <c r="A1579" s="508" t="s">
        <v>2498</v>
      </c>
      <c r="B1579" s="487"/>
      <c r="C1579" s="707"/>
      <c r="D1579" s="487"/>
      <c r="E1579" s="487"/>
      <c r="F1579" s="488"/>
      <c r="G1579" s="489"/>
      <c r="H1579" s="487"/>
      <c r="I1579" s="490"/>
      <c r="J1579" s="490"/>
      <c r="K1579" s="491"/>
      <c r="L1579" s="547"/>
      <c r="M1579" s="528"/>
      <c r="N1579" s="492"/>
      <c r="O1579" s="493"/>
      <c r="P1579" s="494"/>
      <c r="Q1579" s="492"/>
      <c r="R1579" s="492"/>
      <c r="S1579" s="699" t="s">
        <v>5268</v>
      </c>
      <c r="T1579" s="102">
        <f t="shared" si="1134"/>
        <v>0</v>
      </c>
      <c r="U1579" s="78" t="str">
        <f>IF(NOT(ISNUMBER(G1579)), "", VLOOKUP(A1579,'Discount Lookup'!D:E,2,FALSE)*G1579)</f>
        <v/>
      </c>
      <c r="V1579" s="78" t="str">
        <f>IF(NOT(ISNUMBER(G1579)), "", VLOOKUP(A1579,'Discount Lookup'!G:H,2,FALSE)*G1579)</f>
        <v/>
      </c>
      <c r="W1579" s="102">
        <f t="shared" si="1135"/>
        <v>0</v>
      </c>
      <c r="X1579" s="102">
        <f t="shared" si="1136"/>
        <v>0</v>
      </c>
      <c r="Y1579" s="120" t="b">
        <f t="shared" si="1137"/>
        <v>0</v>
      </c>
      <c r="Z1579" s="117">
        <f t="shared" si="1138"/>
        <v>0</v>
      </c>
      <c r="AA1579" s="118"/>
      <c r="AB1579" s="118" t="str">
        <f t="shared" si="1139"/>
        <v/>
      </c>
      <c r="AC1579" s="712" t="str">
        <f>IF(AE1579="T2G","no charge",IF(AND(OR(PlanterYesMe="No",PlanterYesMe="N",PlanterYesMe="me"),H1579=""),"",IF(H1579="credit","NO install",IF(AND(K1579="",AE1579="me"),"EACH row",IF(AND(K1579="images",AE1579="me"),"EACH row",IF(D1579="","",IF(H1579="credit","",IF(AE1579="free","re-planting",IF(AE1579="me","   not ELP, by",IF(AND(OR(PlanterYesMe="Yes",PlanterYesMe="Y"),G1579&gt;0),(VLOOKUP(A1579,'Discount Lookup'!J:K,2)*G1579*(1-PlanterDiscount)*(1+PlanterDifficultyPercentage)),IF(AE1579="ELP",(VLOOKUP(A1579,'Discount Lookup'!J:K,2)*G1579*(1-PlanterDiscount)*(1+PlanterDifficultyPercentage)),IF(AE1579="free","re-planting",IF(G1579=0,"",IF(PlanterYesMe="",IF(AE1579="me","   not ELP, by",IF(AE1579="",IF(G1579&gt;0,(VLOOKUP(A1579,'Discount Lookup'!J:K,2)*G1579*(1-PlanterDiscount)*(1+PlanterDifficultyPercentage)),""),"")),"   not ELP, by"))))))))))))))</f>
        <v/>
      </c>
      <c r="AD1579" s="712"/>
      <c r="AE1579" s="513" t="str">
        <f t="shared" si="1140"/>
        <v/>
      </c>
      <c r="AF1579" s="713" t="str">
        <f t="shared" si="1141"/>
        <v/>
      </c>
      <c r="AG1579" s="713"/>
      <c r="AH1579" s="713"/>
      <c r="AI1579" s="112">
        <f>IF(H1579="credit",0,IF(AE1579="free",0,IF(AE1579="me",0,IF(G1579&gt;0,(VLOOKUP(A1579,'Discount Lookup'!J:K,2)*G1579),0))))</f>
        <v>0</v>
      </c>
      <c r="AJ1579" s="107" t="str">
        <f t="shared" ca="1" si="1142"/>
        <v/>
      </c>
      <c r="AK1579" s="714" t="str">
        <f t="shared" si="1143"/>
        <v/>
      </c>
      <c r="AL1579" s="714"/>
      <c r="AM1579" s="114" t="str">
        <f t="shared" si="1144"/>
        <v/>
      </c>
      <c r="AN1579" s="115"/>
      <c r="AO1579" s="116"/>
      <c r="AP1579" s="116"/>
      <c r="AQ1579" s="116"/>
      <c r="AR1579" s="116"/>
      <c r="AS1579" s="116"/>
      <c r="AT1579" s="116"/>
      <c r="AU1579" s="116"/>
      <c r="AV1579" s="78"/>
      <c r="AW1579" s="102"/>
      <c r="AX1579" s="78"/>
      <c r="AY1579" s="78"/>
      <c r="AZ1579" s="78"/>
      <c r="BA1579" s="78"/>
      <c r="BB1579" s="78"/>
      <c r="BC1579" s="78"/>
      <c r="BD1579" s="78"/>
      <c r="BE1579" s="465"/>
      <c r="BF1579" s="165" t="str">
        <f t="shared" si="1145"/>
        <v>https://www.google.com/search?tbm=isch&amp;q=Golden%20Euonymus%20has%20vibrant%20Yellow-edges%20against%20Dark%20Green%20foliage.%20Small%20Greenish-White%20sping%20blooms.%20Tidy%20upright%20habit.%20Can%20be%20sheared%20</v>
      </c>
      <c r="BG1579" s="165" t="str">
        <f t="shared" si="1146"/>
        <v>G</v>
      </c>
      <c r="BH1579" s="65"/>
      <c r="BI1579" s="65"/>
      <c r="BJ1579" s="65"/>
      <c r="BK1579" s="65"/>
      <c r="BL1579" s="99"/>
      <c r="BM1579" s="99"/>
      <c r="BN1579" s="99"/>
    </row>
    <row r="1580" spans="1:66" s="51" customFormat="1" ht="18" x14ac:dyDescent="0.25">
      <c r="A1580" s="507" t="s">
        <v>2499</v>
      </c>
      <c r="B1580" s="470"/>
      <c r="C1580" s="706"/>
      <c r="D1580" s="471" t="s">
        <v>2500</v>
      </c>
      <c r="E1580" s="472"/>
      <c r="F1580" s="472"/>
      <c r="G1580" s="472"/>
      <c r="H1580" s="622" t="s">
        <v>1854</v>
      </c>
      <c r="I1580" s="473" t="s">
        <v>431</v>
      </c>
      <c r="J1580" s="472"/>
      <c r="K1580" s="472"/>
      <c r="L1580" s="561"/>
      <c r="M1580" s="698" t="s">
        <v>5246</v>
      </c>
      <c r="N1580" s="692" t="str">
        <f>IF(AND(ISTEXT($A1580), ISERROR($A1580+0)), HYPERLINK($BF1580, "Images"), "")</f>
        <v>Images</v>
      </c>
      <c r="O1580" s="694" t="s">
        <v>5264</v>
      </c>
      <c r="P1580" s="475"/>
      <c r="Q1580" s="476"/>
      <c r="R1580" s="476"/>
      <c r="S1580" s="477"/>
      <c r="T1580" s="102">
        <f t="shared" si="1134"/>
        <v>0</v>
      </c>
      <c r="U1580" s="78" t="str">
        <f>IF(NOT(ISNUMBER(G1580)), "", VLOOKUP(A1580,'Discount Lookup'!D:E,2,FALSE)*G1580)</f>
        <v/>
      </c>
      <c r="V1580" s="78" t="str">
        <f>IF(NOT(ISNUMBER(G1580)), "", VLOOKUP(A1580,'Discount Lookup'!G:H,2,FALSE)*G1580)</f>
        <v/>
      </c>
      <c r="W1580" s="102">
        <f t="shared" si="1135"/>
        <v>0</v>
      </c>
      <c r="X1580" s="102" t="str">
        <f t="shared" si="1136"/>
        <v>Dark Green foliage</v>
      </c>
      <c r="Y1580" s="120" t="b">
        <f t="shared" si="1137"/>
        <v>0</v>
      </c>
      <c r="Z1580" s="117">
        <f t="shared" si="1138"/>
        <v>0</v>
      </c>
      <c r="AA1580" s="118"/>
      <c r="AB1580" s="118" t="str">
        <f t="shared" si="1139"/>
        <v/>
      </c>
      <c r="AC1580" s="712" t="str">
        <f>IF(AE1580="T2G","no charge",IF(AND(OR(PlanterYesMe="No",PlanterYesMe="N",PlanterYesMe="me"),H1580=""),"",IF(H1580="credit","NO install",IF(AND(K1580="",AE1580="me"),"EACH row",IF(AND(K1580="images",AE1580="me"),"EACH row",IF(D1580="","",IF(H1580="credit","",IF(AE1580="free","re-planting",IF(AE1580="me","   not ELP, by",IF(AND(OR(PlanterYesMe="Yes",PlanterYesMe="Y"),G1580&gt;0),(VLOOKUP(A1580,'Discount Lookup'!J:K,2)*G1580*(1-PlanterDiscount)*(1+PlanterDifficultyPercentage)),IF(AE1580="ELP",(VLOOKUP(A1580,'Discount Lookup'!J:K,2)*G1580*(1-PlanterDiscount)*(1+PlanterDifficultyPercentage)),IF(AE1580="free","re-planting",IF(G1580=0,"",IF(PlanterYesMe="",IF(AE1580="me","   not ELP, by",IF(AE1580="",IF(G1580&gt;0,(VLOOKUP(A1580,'Discount Lookup'!J:K,2)*G1580*(1-PlanterDiscount)*(1+PlanterDifficultyPercentage)),""),"")),"   not ELP, by"))))))))))))))</f>
        <v/>
      </c>
      <c r="AD1580" s="712"/>
      <c r="AE1580" s="513" t="str">
        <f t="shared" si="1140"/>
        <v/>
      </c>
      <c r="AF1580" s="713" t="str">
        <f t="shared" si="1141"/>
        <v/>
      </c>
      <c r="AG1580" s="713"/>
      <c r="AH1580" s="713"/>
      <c r="AI1580" s="112">
        <f>IF(H1580="credit",0,IF(AE1580="free",0,IF(AE1580="me",0,IF(G1580&gt;0,(VLOOKUP(A1580,'Discount Lookup'!J:K,2)*G1580),0))))</f>
        <v>0</v>
      </c>
      <c r="AJ1580" s="107" t="str">
        <f t="shared" ca="1" si="1142"/>
        <v/>
      </c>
      <c r="AK1580" s="714" t="str">
        <f t="shared" si="1143"/>
        <v/>
      </c>
      <c r="AL1580" s="714"/>
      <c r="AM1580" s="114" t="str">
        <f t="shared" si="1144"/>
        <v/>
      </c>
      <c r="AN1580" s="115"/>
      <c r="AO1580" s="116"/>
      <c r="AP1580" s="116"/>
      <c r="AQ1580" s="116"/>
      <c r="AR1580" s="116"/>
      <c r="AS1580" s="116"/>
      <c r="AT1580" s="116"/>
      <c r="AU1580" s="116"/>
      <c r="AV1580" s="78"/>
      <c r="AW1580" s="102"/>
      <c r="AX1580" s="78"/>
      <c r="AY1580" s="78"/>
      <c r="AZ1580" s="78"/>
      <c r="BA1580" s="78"/>
      <c r="BB1580" s="78"/>
      <c r="BC1580" s="78"/>
      <c r="BD1580" s="78"/>
      <c r="BE1580" s="465"/>
      <c r="BF1580" s="165" t="str">
        <f t="shared" si="1145"/>
        <v>https://www.google.com/search?tbm=isch&amp;q=Euonymus%20japonicus%20%27Green%20Spire%27%20Greenspire%20Euonymus</v>
      </c>
      <c r="BG1580" s="165" t="str">
        <f t="shared" si="1146"/>
        <v>E</v>
      </c>
      <c r="BH1580" s="65"/>
      <c r="BI1580" s="65"/>
      <c r="BJ1580" s="65"/>
      <c r="BK1580" s="65"/>
      <c r="BL1580" s="99"/>
      <c r="BM1580" s="99"/>
      <c r="BN1580" s="99"/>
    </row>
    <row r="1581" spans="1:66" s="51" customFormat="1" ht="15.75" x14ac:dyDescent="0.25">
      <c r="A1581" s="478">
        <v>7</v>
      </c>
      <c r="B1581" s="479" t="s">
        <v>291</v>
      </c>
      <c r="C1581" s="480" t="s">
        <v>2501</v>
      </c>
      <c r="D1581" s="481" t="s">
        <v>299</v>
      </c>
      <c r="E1581" s="482">
        <v>86.95</v>
      </c>
      <c r="F1581" s="483" t="s">
        <v>292</v>
      </c>
      <c r="G1581" s="484">
        <v>0</v>
      </c>
      <c r="H1581" s="688" t="str">
        <f>IF(G1581=0,"",IF(F1581="Buy",IF(G1581=1,"plant","plants"),IF(F1581&gt;0.01,"warranty","Error")))</f>
        <v/>
      </c>
      <c r="I1581" s="485">
        <f>IF(H1581="free",0,IF(H1581="credit",((E1581*(F1581))*G1581*-1),IF(F1581="Buy",(E1581*G1581),((E1581*(1-F1581))*G1581))))</f>
        <v>0</v>
      </c>
      <c r="J1581" s="485">
        <f>IF(H1581="warranty",0,(I1581*(_xlfn.SINGLE(SalesTaxPercentage))))</f>
        <v>0</v>
      </c>
      <c r="K1581" s="715">
        <f t="shared" ref="K1581" si="1153">I1581+J1581</f>
        <v>0</v>
      </c>
      <c r="L1581" s="715"/>
      <c r="M1581" s="689" t="str">
        <f ca="1">IF(AND(G1581&gt;0,E1581=0),"WARNING - no PRICE inserted",IF(H1581="free","FREE ~ no charge this plant",IF(H1581="credit",CONCATENATE("-$",ROUND(K1581*(1-_xlfn.SINGLE(T2GDiscount))*-1,2)," CREDIT after discount"),IF(_xlfn.SINGLE(T2GDiscount)=0,"",IF(G1581=0,"",IF(F1581="Buy",CONCATENATE("$",ROUND(K1581*(1-_xlfn.SINGLE(T2GDiscount)),2)," with ",(_xlfn.SINGLE(T2GDiscount)*100),"% discount"),CONCATENATE("$",ROUND(K1581*(1-_xlfn.SINGLE(T2GDiscount)),2)," with ",((_xlfn.SINGLE(T2GDiscount)*100+F1581*100)-(_xlfn.SINGLE(T2GDiscount)*100*F1581)),IF(F1581&gt;0,"% discounts",IF(_xlfn.SINGLE(NoWarrantyDiscount)&gt;0,"% discounts","% discount")))))))))</f>
        <v/>
      </c>
      <c r="N1581" s="690"/>
      <c r="O1581" s="486"/>
      <c r="P1581" s="486"/>
      <c r="Q1581" s="486"/>
      <c r="R1581" s="486"/>
      <c r="S1581" s="486"/>
      <c r="T1581" s="102">
        <f t="shared" si="1134"/>
        <v>0</v>
      </c>
      <c r="U1581" s="78">
        <f>IF(NOT(ISNUMBER(G1581)), "", VLOOKUP(A1581,'Discount Lookup'!D:E,2,FALSE)*G1581)</f>
        <v>0</v>
      </c>
      <c r="V1581" s="78">
        <f>IF(NOT(ISNUMBER(G1581)), "", VLOOKUP(A1581,'Discount Lookup'!G:H,2,FALSE)*G1581)</f>
        <v>0</v>
      </c>
      <c r="W1581" s="102">
        <f t="shared" si="1135"/>
        <v>0</v>
      </c>
      <c r="X1581" s="102">
        <f t="shared" si="1136"/>
        <v>0</v>
      </c>
      <c r="Y1581" s="120" t="b">
        <f t="shared" si="1137"/>
        <v>0</v>
      </c>
      <c r="Z1581" s="117">
        <f t="shared" si="1138"/>
        <v>0</v>
      </c>
      <c r="AA1581" s="118"/>
      <c r="AB1581" s="118" t="str">
        <f t="shared" si="1139"/>
        <v/>
      </c>
      <c r="AC1581" s="712" t="str">
        <f>IF(AE1581="T2G","no charge",IF(AND(OR(PlanterYesMe="No",PlanterYesMe="N",PlanterYesMe="me"),H1581=""),"",IF(H1581="credit","NO install",IF(AND(K1581="",AE1581="me"),"EACH row",IF(AND(K1581="images",AE1581="me"),"EACH row",IF(D1581="","",IF(H1581="credit","",IF(AE1581="free","re-planting",IF(AE1581="me","   not ELP, by",IF(AND(OR(PlanterYesMe="Yes",PlanterYesMe="Y"),G1581&gt;0),(VLOOKUP(A1581,'Discount Lookup'!J:K,2)*G1581*(1-PlanterDiscount)*(1+PlanterDifficultyPercentage)),IF(AE1581="ELP",(VLOOKUP(A1581,'Discount Lookup'!J:K,2)*G1581*(1-PlanterDiscount)*(1+PlanterDifficultyPercentage)),IF(AE1581="free","re-planting",IF(G1581=0,"",IF(PlanterYesMe="",IF(AE1581="me","   not ELP, by",IF(AE1581="",IF(G1581&gt;0,(VLOOKUP(A1581,'Discount Lookup'!J:K,2)*G1581*(1-PlanterDiscount)*(1+PlanterDifficultyPercentage)),""),"")),"   not ELP, by"))))))))))))))</f>
        <v/>
      </c>
      <c r="AD1581" s="712"/>
      <c r="AE1581" s="513" t="str">
        <f t="shared" si="1140"/>
        <v/>
      </c>
      <c r="AF1581" s="713" t="str">
        <f t="shared" si="1141"/>
        <v/>
      </c>
      <c r="AG1581" s="713"/>
      <c r="AH1581" s="713"/>
      <c r="AI1581" s="112">
        <f>IF(H1581="credit",0,IF(AE1581="free",0,IF(AE1581="me",0,IF(G1581&gt;0,(VLOOKUP(A1581,'Discount Lookup'!J:K,2)*G1581),0))))</f>
        <v>0</v>
      </c>
      <c r="AJ1581" s="107" t="str">
        <f t="shared" ca="1" si="1142"/>
        <v/>
      </c>
      <c r="AK1581" s="714" t="str">
        <f t="shared" si="1143"/>
        <v/>
      </c>
      <c r="AL1581" s="714"/>
      <c r="AM1581" s="114" t="str">
        <f t="shared" si="1144"/>
        <v/>
      </c>
      <c r="AN1581" s="115"/>
      <c r="AO1581" s="116"/>
      <c r="AP1581" s="116"/>
      <c r="AQ1581" s="116"/>
      <c r="AR1581" s="116"/>
      <c r="AS1581" s="116"/>
      <c r="AT1581" s="116"/>
      <c r="AU1581" s="116"/>
      <c r="AV1581" s="78"/>
      <c r="AW1581" s="102"/>
      <c r="AX1581" s="78"/>
      <c r="AY1581" s="78"/>
      <c r="AZ1581" s="78"/>
      <c r="BA1581" s="78"/>
      <c r="BB1581" s="78"/>
      <c r="BC1581" s="78"/>
      <c r="BD1581" s="78"/>
      <c r="BE1581" s="465"/>
      <c r="BF1581" s="165" t="str">
        <f t="shared" si="1145"/>
        <v>https://www.google.com/search?tbm=isch&amp;q=7%20G4</v>
      </c>
      <c r="BG1581" s="165" t="str">
        <f t="shared" si="1146"/>
        <v>E</v>
      </c>
      <c r="BH1581" s="65"/>
      <c r="BI1581" s="65"/>
      <c r="BJ1581" s="65"/>
      <c r="BK1581" s="65"/>
      <c r="BL1581" s="99"/>
      <c r="BM1581" s="99"/>
      <c r="BN1581" s="99"/>
    </row>
    <row r="1582" spans="1:66" s="51" customFormat="1" ht="15.75" x14ac:dyDescent="0.25">
      <c r="A1582" s="478">
        <v>10</v>
      </c>
      <c r="B1582" s="479" t="s">
        <v>291</v>
      </c>
      <c r="C1582" s="480" t="s">
        <v>2502</v>
      </c>
      <c r="D1582" s="481" t="s">
        <v>299</v>
      </c>
      <c r="E1582" s="482">
        <v>137.94999999999999</v>
      </c>
      <c r="F1582" s="483" t="s">
        <v>292</v>
      </c>
      <c r="G1582" s="484">
        <v>0</v>
      </c>
      <c r="H1582" s="688" t="str">
        <f>IF(G1582=0,"",IF(F1582="Buy",IF(G1582=1,"plant","plants"),IF(F1582&gt;0.01,"warranty","Error")))</f>
        <v/>
      </c>
      <c r="I1582" s="485">
        <f>IF(H1582="free",0,IF(H1582="credit",((E1582*(F1582))*G1582*-1),IF(F1582="Buy",(E1582*G1582),((E1582*(1-F1582))*G1582))))</f>
        <v>0</v>
      </c>
      <c r="J1582" s="485">
        <f>IF(H1582="warranty",0,(I1582*(_xlfn.SINGLE(SalesTaxPercentage))))</f>
        <v>0</v>
      </c>
      <c r="K1582" s="715">
        <f t="shared" ref="K1582" si="1154">I1582+J1582</f>
        <v>0</v>
      </c>
      <c r="L1582" s="715"/>
      <c r="M1582" s="689" t="str">
        <f ca="1">IF(AND(G1582&gt;0,E1582=0),"WARNING - no PRICE inserted",IF(H1582="free","FREE ~ no charge this plant",IF(H1582="credit",CONCATENATE("-$",ROUND(K1582*(1-_xlfn.SINGLE(T2GDiscount))*-1,2)," CREDIT after discount"),IF(_xlfn.SINGLE(T2GDiscount)=0,"",IF(G1582=0,"",IF(F1582="Buy",CONCATENATE("$",ROUND(K1582*(1-_xlfn.SINGLE(T2GDiscount)),2)," with ",(_xlfn.SINGLE(T2GDiscount)*100),"% discount"),CONCATENATE("$",ROUND(K1582*(1-_xlfn.SINGLE(T2GDiscount)),2)," with ",((_xlfn.SINGLE(T2GDiscount)*100+F1582*100)-(_xlfn.SINGLE(T2GDiscount)*100*F1582)),IF(F1582&gt;0,"% discounts",IF(_xlfn.SINGLE(NoWarrantyDiscount)&gt;0,"% discounts","% discount")))))))))</f>
        <v/>
      </c>
      <c r="N1582" s="690"/>
      <c r="O1582" s="486"/>
      <c r="P1582" s="486"/>
      <c r="Q1582" s="486"/>
      <c r="R1582" s="486"/>
      <c r="S1582" s="486"/>
      <c r="T1582" s="102">
        <f t="shared" si="1134"/>
        <v>0</v>
      </c>
      <c r="U1582" s="78">
        <f>IF(NOT(ISNUMBER(G1582)), "", VLOOKUP(A1582,'Discount Lookup'!D:E,2,FALSE)*G1582)</f>
        <v>0</v>
      </c>
      <c r="V1582" s="78">
        <f>IF(NOT(ISNUMBER(G1582)), "", VLOOKUP(A1582,'Discount Lookup'!G:H,2,FALSE)*G1582)</f>
        <v>0</v>
      </c>
      <c r="W1582" s="102">
        <f t="shared" si="1135"/>
        <v>0</v>
      </c>
      <c r="X1582" s="102">
        <f t="shared" si="1136"/>
        <v>0</v>
      </c>
      <c r="Y1582" s="120" t="b">
        <f t="shared" si="1137"/>
        <v>0</v>
      </c>
      <c r="Z1582" s="117">
        <f t="shared" si="1138"/>
        <v>0</v>
      </c>
      <c r="AA1582" s="118"/>
      <c r="AB1582" s="118" t="str">
        <f t="shared" si="1139"/>
        <v/>
      </c>
      <c r="AC1582" s="712" t="str">
        <f>IF(AE1582="T2G","no charge",IF(AND(OR(PlanterYesMe="No",PlanterYesMe="N",PlanterYesMe="me"),H1582=""),"",IF(H1582="credit","NO install",IF(AND(K1582="",AE1582="me"),"EACH row",IF(AND(K1582="images",AE1582="me"),"EACH row",IF(D1582="","",IF(H1582="credit","",IF(AE1582="free","re-planting",IF(AE1582="me","   not ELP, by",IF(AND(OR(PlanterYesMe="Yes",PlanterYesMe="Y"),G1582&gt;0),(VLOOKUP(A1582,'Discount Lookup'!J:K,2)*G1582*(1-PlanterDiscount)*(1+PlanterDifficultyPercentage)),IF(AE1582="ELP",(VLOOKUP(A1582,'Discount Lookup'!J:K,2)*G1582*(1-PlanterDiscount)*(1+PlanterDifficultyPercentage)),IF(AE1582="free","re-planting",IF(G1582=0,"",IF(PlanterYesMe="",IF(AE1582="me","   not ELP, by",IF(AE1582="",IF(G1582&gt;0,(VLOOKUP(A1582,'Discount Lookup'!J:K,2)*G1582*(1-PlanterDiscount)*(1+PlanterDifficultyPercentage)),""),"")),"   not ELP, by"))))))))))))))</f>
        <v/>
      </c>
      <c r="AD1582" s="712"/>
      <c r="AE1582" s="513" t="str">
        <f t="shared" si="1140"/>
        <v/>
      </c>
      <c r="AF1582" s="713" t="str">
        <f t="shared" si="1141"/>
        <v/>
      </c>
      <c r="AG1582" s="713"/>
      <c r="AH1582" s="713"/>
      <c r="AI1582" s="112">
        <f>IF(H1582="credit",0,IF(AE1582="free",0,IF(AE1582="me",0,IF(G1582&gt;0,(VLOOKUP(A1582,'Discount Lookup'!J:K,2)*G1582),0))))</f>
        <v>0</v>
      </c>
      <c r="AJ1582" s="107" t="str">
        <f t="shared" ca="1" si="1142"/>
        <v/>
      </c>
      <c r="AK1582" s="714" t="str">
        <f t="shared" si="1143"/>
        <v/>
      </c>
      <c r="AL1582" s="714"/>
      <c r="AM1582" s="114" t="str">
        <f t="shared" si="1144"/>
        <v/>
      </c>
      <c r="AN1582" s="115"/>
      <c r="AO1582" s="116"/>
      <c r="AP1582" s="116"/>
      <c r="AQ1582" s="116"/>
      <c r="AR1582" s="116"/>
      <c r="AS1582" s="116"/>
      <c r="AT1582" s="116"/>
      <c r="AU1582" s="116"/>
      <c r="AV1582" s="78"/>
      <c r="AW1582" s="102"/>
      <c r="AX1582" s="78"/>
      <c r="AY1582" s="78"/>
      <c r="AZ1582" s="78"/>
      <c r="BA1582" s="78"/>
      <c r="BB1582" s="78"/>
      <c r="BC1582" s="78"/>
      <c r="BD1582" s="78"/>
      <c r="BE1582" s="465"/>
      <c r="BF1582" s="165" t="str">
        <f t="shared" si="1145"/>
        <v>https://www.google.com/search?tbm=isch&amp;q=10%20G4</v>
      </c>
      <c r="BG1582" s="165" t="str">
        <f t="shared" si="1146"/>
        <v>E</v>
      </c>
      <c r="BH1582" s="65"/>
      <c r="BI1582" s="65"/>
      <c r="BJ1582" s="65"/>
      <c r="BK1582" s="65"/>
      <c r="BL1582" s="99"/>
      <c r="BM1582" s="99"/>
      <c r="BN1582" s="99"/>
    </row>
    <row r="1583" spans="1:66" s="51" customFormat="1" ht="17.25" thickBot="1" x14ac:dyDescent="0.3">
      <c r="A1583" s="508" t="s">
        <v>2503</v>
      </c>
      <c r="B1583" s="487"/>
      <c r="C1583" s="707"/>
      <c r="D1583" s="487"/>
      <c r="E1583" s="487"/>
      <c r="F1583" s="488"/>
      <c r="G1583" s="489"/>
      <c r="H1583" s="487"/>
      <c r="I1583" s="490"/>
      <c r="J1583" s="490"/>
      <c r="K1583" s="491"/>
      <c r="L1583" s="547"/>
      <c r="M1583" s="528"/>
      <c r="N1583" s="492"/>
      <c r="O1583" s="493"/>
      <c r="P1583" s="494"/>
      <c r="Q1583" s="492"/>
      <c r="R1583" s="492"/>
      <c r="S1583" s="699" t="s">
        <v>5268</v>
      </c>
      <c r="T1583" s="102">
        <f t="shared" si="1134"/>
        <v>0</v>
      </c>
      <c r="U1583" s="78" t="str">
        <f>IF(NOT(ISNUMBER(G1583)), "", VLOOKUP(A1583,'Discount Lookup'!D:E,2,FALSE)*G1583)</f>
        <v/>
      </c>
      <c r="V1583" s="78" t="str">
        <f>IF(NOT(ISNUMBER(G1583)), "", VLOOKUP(A1583,'Discount Lookup'!G:H,2,FALSE)*G1583)</f>
        <v/>
      </c>
      <c r="W1583" s="102">
        <f t="shared" si="1135"/>
        <v>0</v>
      </c>
      <c r="X1583" s="102">
        <f t="shared" si="1136"/>
        <v>0</v>
      </c>
      <c r="Y1583" s="120" t="b">
        <f t="shared" si="1137"/>
        <v>0</v>
      </c>
      <c r="Z1583" s="117">
        <f t="shared" si="1138"/>
        <v>0</v>
      </c>
      <c r="AA1583" s="118"/>
      <c r="AB1583" s="118" t="str">
        <f t="shared" si="1139"/>
        <v/>
      </c>
      <c r="AC1583" s="712" t="str">
        <f>IF(AE1583="T2G","no charge",IF(AND(OR(PlanterYesMe="No",PlanterYesMe="N",PlanterYesMe="me"),H1583=""),"",IF(H1583="credit","NO install",IF(AND(K1583="",AE1583="me"),"EACH row",IF(AND(K1583="images",AE1583="me"),"EACH row",IF(D1583="","",IF(H1583="credit","",IF(AE1583="free","re-planting",IF(AE1583="me","   not ELP, by",IF(AND(OR(PlanterYesMe="Yes",PlanterYesMe="Y"),G1583&gt;0),(VLOOKUP(A1583,'Discount Lookup'!J:K,2)*G1583*(1-PlanterDiscount)*(1+PlanterDifficultyPercentage)),IF(AE1583="ELP",(VLOOKUP(A1583,'Discount Lookup'!J:K,2)*G1583*(1-PlanterDiscount)*(1+PlanterDifficultyPercentage)),IF(AE1583="free","re-planting",IF(G1583=0,"",IF(PlanterYesMe="",IF(AE1583="me","   not ELP, by",IF(AE1583="",IF(G1583&gt;0,(VLOOKUP(A1583,'Discount Lookup'!J:K,2)*G1583*(1-PlanterDiscount)*(1+PlanterDifficultyPercentage)),""),"")),"   not ELP, by"))))))))))))))</f>
        <v/>
      </c>
      <c r="AD1583" s="712"/>
      <c r="AE1583" s="513" t="str">
        <f t="shared" si="1140"/>
        <v/>
      </c>
      <c r="AF1583" s="713" t="str">
        <f t="shared" si="1141"/>
        <v/>
      </c>
      <c r="AG1583" s="713"/>
      <c r="AH1583" s="713"/>
      <c r="AI1583" s="112">
        <f>IF(H1583="credit",0,IF(AE1583="free",0,IF(AE1583="me",0,IF(G1583&gt;0,(VLOOKUP(A1583,'Discount Lookup'!J:K,2)*G1583),0))))</f>
        <v>0</v>
      </c>
      <c r="AJ1583" s="107" t="str">
        <f t="shared" ca="1" si="1142"/>
        <v/>
      </c>
      <c r="AK1583" s="714" t="str">
        <f t="shared" si="1143"/>
        <v/>
      </c>
      <c r="AL1583" s="714"/>
      <c r="AM1583" s="114" t="str">
        <f t="shared" si="1144"/>
        <v/>
      </c>
      <c r="AN1583" s="115"/>
      <c r="AO1583" s="116"/>
      <c r="AP1583" s="116"/>
      <c r="AQ1583" s="116"/>
      <c r="AR1583" s="116"/>
      <c r="AS1583" s="116"/>
      <c r="AT1583" s="116"/>
      <c r="AU1583" s="116"/>
      <c r="AV1583" s="78"/>
      <c r="AW1583" s="102"/>
      <c r="AX1583" s="78"/>
      <c r="AY1583" s="78"/>
      <c r="AZ1583" s="78"/>
      <c r="BA1583" s="78"/>
      <c r="BB1583" s="78"/>
      <c r="BC1583" s="78"/>
      <c r="BD1583" s="78"/>
      <c r="BE1583" s="465"/>
      <c r="BF1583" s="165" t="str">
        <f t="shared" si="1145"/>
        <v>https://www.google.com/search?tbm=isch&amp;q=Greenspire%20grows%20dense%20and%20irregular.%20Can%20be%20hedged.%20Small%20Greenish-White%20sping%20blooms.%20</v>
      </c>
      <c r="BG1583" s="165" t="str">
        <f t="shared" si="1146"/>
        <v>G</v>
      </c>
      <c r="BH1583" s="65"/>
      <c r="BI1583" s="65"/>
      <c r="BJ1583" s="65"/>
      <c r="BK1583" s="65"/>
      <c r="BL1583" s="99"/>
      <c r="BM1583" s="99"/>
      <c r="BN1583" s="99"/>
    </row>
    <row r="1584" spans="1:66" s="51" customFormat="1" ht="18" x14ac:dyDescent="0.25">
      <c r="A1584" s="507" t="s">
        <v>2504</v>
      </c>
      <c r="B1584" s="470"/>
      <c r="C1584" s="706"/>
      <c r="D1584" s="471" t="s">
        <v>2505</v>
      </c>
      <c r="E1584" s="472"/>
      <c r="F1584" s="472"/>
      <c r="G1584" s="472"/>
      <c r="H1584" s="622" t="s">
        <v>1471</v>
      </c>
      <c r="I1584" s="473" t="s">
        <v>431</v>
      </c>
      <c r="J1584" s="472"/>
      <c r="K1584" s="472"/>
      <c r="L1584" s="561"/>
      <c r="M1584" s="698" t="s">
        <v>5246</v>
      </c>
      <c r="N1584" s="692" t="str">
        <f>IF(AND(ISTEXT($A1584), ISERROR($A1584+0)), HYPERLINK($BF1584, "Images"), "")</f>
        <v>Images</v>
      </c>
      <c r="O1584" s="694" t="s">
        <v>5264</v>
      </c>
      <c r="P1584" s="475"/>
      <c r="Q1584" s="476"/>
      <c r="R1584" s="476"/>
      <c r="S1584" s="477"/>
      <c r="T1584" s="102">
        <f t="shared" si="1134"/>
        <v>0</v>
      </c>
      <c r="U1584" s="78" t="str">
        <f>IF(NOT(ISNUMBER(G1584)), "", VLOOKUP(A1584,'Discount Lookup'!D:E,2,FALSE)*G1584)</f>
        <v/>
      </c>
      <c r="V1584" s="78" t="str">
        <f>IF(NOT(ISNUMBER(G1584)), "", VLOOKUP(A1584,'Discount Lookup'!G:H,2,FALSE)*G1584)</f>
        <v/>
      </c>
      <c r="W1584" s="102">
        <f t="shared" si="1135"/>
        <v>0</v>
      </c>
      <c r="X1584" s="102" t="str">
        <f t="shared" si="1136"/>
        <v>Dark Green foliage</v>
      </c>
      <c r="Y1584" s="120" t="b">
        <f t="shared" si="1137"/>
        <v>0</v>
      </c>
      <c r="Z1584" s="117">
        <f t="shared" si="1138"/>
        <v>0</v>
      </c>
      <c r="AA1584" s="118"/>
      <c r="AB1584" s="118" t="str">
        <f t="shared" si="1139"/>
        <v/>
      </c>
      <c r="AC1584" s="712" t="str">
        <f>IF(AE1584="T2G","no charge",IF(AND(OR(PlanterYesMe="No",PlanterYesMe="N",PlanterYesMe="me"),H1584=""),"",IF(H1584="credit","NO install",IF(AND(K1584="",AE1584="me"),"EACH row",IF(AND(K1584="images",AE1584="me"),"EACH row",IF(D1584="","",IF(H1584="credit","",IF(AE1584="free","re-planting",IF(AE1584="me","   not ELP, by",IF(AND(OR(PlanterYesMe="Yes",PlanterYesMe="Y"),G1584&gt;0),(VLOOKUP(A1584,'Discount Lookup'!J:K,2)*G1584*(1-PlanterDiscount)*(1+PlanterDifficultyPercentage)),IF(AE1584="ELP",(VLOOKUP(A1584,'Discount Lookup'!J:K,2)*G1584*(1-PlanterDiscount)*(1+PlanterDifficultyPercentage)),IF(AE1584="free","re-planting",IF(G1584=0,"",IF(PlanterYesMe="",IF(AE1584="me","   not ELP, by",IF(AE1584="",IF(G1584&gt;0,(VLOOKUP(A1584,'Discount Lookup'!J:K,2)*G1584*(1-PlanterDiscount)*(1+PlanterDifficultyPercentage)),""),"")),"   not ELP, by"))))))))))))))</f>
        <v/>
      </c>
      <c r="AD1584" s="712"/>
      <c r="AE1584" s="513" t="str">
        <f t="shared" si="1140"/>
        <v/>
      </c>
      <c r="AF1584" s="713" t="str">
        <f t="shared" si="1141"/>
        <v/>
      </c>
      <c r="AG1584" s="713"/>
      <c r="AH1584" s="713"/>
      <c r="AI1584" s="112">
        <f>IF(H1584="credit",0,IF(AE1584="free",0,IF(AE1584="me",0,IF(G1584&gt;0,(VLOOKUP(A1584,'Discount Lookup'!J:K,2)*G1584),0))))</f>
        <v>0</v>
      </c>
      <c r="AJ1584" s="107" t="str">
        <f t="shared" ca="1" si="1142"/>
        <v/>
      </c>
      <c r="AK1584" s="714" t="str">
        <f t="shared" si="1143"/>
        <v/>
      </c>
      <c r="AL1584" s="714"/>
      <c r="AM1584" s="114" t="str">
        <f t="shared" si="1144"/>
        <v/>
      </c>
      <c r="AN1584" s="115"/>
      <c r="AO1584" s="116"/>
      <c r="AP1584" s="116"/>
      <c r="AQ1584" s="116"/>
      <c r="AR1584" s="116"/>
      <c r="AS1584" s="116"/>
      <c r="AT1584" s="116"/>
      <c r="AU1584" s="116"/>
      <c r="AV1584" s="78"/>
      <c r="AW1584" s="102"/>
      <c r="AX1584" s="78"/>
      <c r="AY1584" s="78"/>
      <c r="AZ1584" s="78"/>
      <c r="BA1584" s="78"/>
      <c r="BB1584" s="78"/>
      <c r="BC1584" s="78"/>
      <c r="BD1584" s="78"/>
      <c r="BE1584" s="465"/>
      <c r="BF1584" s="165" t="str">
        <f t="shared" si="1145"/>
        <v>https://www.google.com/search?tbm=isch&amp;q=Euonymus%20kiautschovicus%20%27Manhattan%27%20Manhattan%20Euonymus</v>
      </c>
      <c r="BG1584" s="165" t="str">
        <f t="shared" si="1146"/>
        <v>E</v>
      </c>
      <c r="BH1584" s="65"/>
      <c r="BI1584" s="65"/>
      <c r="BJ1584" s="65"/>
      <c r="BK1584" s="65"/>
      <c r="BL1584" s="99"/>
      <c r="BM1584" s="99"/>
      <c r="BN1584" s="99"/>
    </row>
    <row r="1585" spans="1:66" s="51" customFormat="1" ht="15.75" x14ac:dyDescent="0.25">
      <c r="A1585" s="478">
        <v>3</v>
      </c>
      <c r="B1585" s="479" t="s">
        <v>291</v>
      </c>
      <c r="C1585" s="480" t="s">
        <v>2506</v>
      </c>
      <c r="D1585" s="481" t="s">
        <v>309</v>
      </c>
      <c r="E1585" s="482">
        <v>20.95</v>
      </c>
      <c r="F1585" s="483" t="s">
        <v>292</v>
      </c>
      <c r="G1585" s="484">
        <v>0</v>
      </c>
      <c r="H1585" s="688" t="str">
        <f>IF(G1585=0,"",IF(F1585="Buy",IF(G1585=1,"plant","plants"),IF(F1585&gt;0.01,"warranty","Error")))</f>
        <v/>
      </c>
      <c r="I1585" s="485">
        <f>IF(H1585="free",0,IF(H1585="credit",((E1585*(F1585))*G1585*-1),IF(F1585="Buy",(E1585*G1585),((E1585*(1-F1585))*G1585))))</f>
        <v>0</v>
      </c>
      <c r="J1585" s="485">
        <f>IF(H1585="warranty",0,(I1585*(_xlfn.SINGLE(SalesTaxPercentage))))</f>
        <v>0</v>
      </c>
      <c r="K1585" s="715">
        <f t="shared" ref="K1585" si="1155">I1585+J1585</f>
        <v>0</v>
      </c>
      <c r="L1585" s="715"/>
      <c r="M1585" s="689" t="str">
        <f ca="1">IF(AND(G1585&gt;0,E1585=0),"WARNING - no PRICE inserted",IF(H1585="free","FREE ~ no charge this plant",IF(H1585="credit",CONCATENATE("-$",ROUND(K1585*(1-_xlfn.SINGLE(T2GDiscount))*-1,2)," CREDIT after discount"),IF(_xlfn.SINGLE(T2GDiscount)=0,"",IF(G1585=0,"",IF(F1585="Buy",CONCATENATE("$",ROUND(K1585*(1-_xlfn.SINGLE(T2GDiscount)),2)," with ",(_xlfn.SINGLE(T2GDiscount)*100),"% discount"),CONCATENATE("$",ROUND(K1585*(1-_xlfn.SINGLE(T2GDiscount)),2)," with ",((_xlfn.SINGLE(T2GDiscount)*100+F1585*100)-(_xlfn.SINGLE(T2GDiscount)*100*F1585)),IF(F1585&gt;0,"% discounts",IF(_xlfn.SINGLE(NoWarrantyDiscount)&gt;0,"% discounts","% discount")))))))))</f>
        <v/>
      </c>
      <c r="N1585" s="690"/>
      <c r="O1585" s="486"/>
      <c r="P1585" s="486"/>
      <c r="Q1585" s="486"/>
      <c r="R1585" s="486"/>
      <c r="S1585" s="486"/>
      <c r="T1585" s="102">
        <f t="shared" si="1134"/>
        <v>0</v>
      </c>
      <c r="U1585" s="78">
        <f>IF(NOT(ISNUMBER(G1585)), "", VLOOKUP(A1585,'Discount Lookup'!D:E,2,FALSE)*G1585)</f>
        <v>0</v>
      </c>
      <c r="V1585" s="78">
        <f>IF(NOT(ISNUMBER(G1585)), "", VLOOKUP(A1585,'Discount Lookup'!G:H,2,FALSE)*G1585)</f>
        <v>0</v>
      </c>
      <c r="W1585" s="102">
        <f t="shared" si="1135"/>
        <v>0</v>
      </c>
      <c r="X1585" s="102">
        <f t="shared" si="1136"/>
        <v>0</v>
      </c>
      <c r="Y1585" s="120" t="b">
        <f t="shared" si="1137"/>
        <v>0</v>
      </c>
      <c r="Z1585" s="117">
        <f t="shared" si="1138"/>
        <v>0</v>
      </c>
      <c r="AA1585" s="118"/>
      <c r="AB1585" s="118" t="str">
        <f t="shared" si="1139"/>
        <v/>
      </c>
      <c r="AC1585" s="712" t="str">
        <f>IF(AE1585="T2G","no charge",IF(AND(OR(PlanterYesMe="No",PlanterYesMe="N",PlanterYesMe="me"),H1585=""),"",IF(H1585="credit","NO install",IF(AND(K1585="",AE1585="me"),"EACH row",IF(AND(K1585="images",AE1585="me"),"EACH row",IF(D1585="","",IF(H1585="credit","",IF(AE1585="free","re-planting",IF(AE1585="me","   not ELP, by",IF(AND(OR(PlanterYesMe="Yes",PlanterYesMe="Y"),G1585&gt;0),(VLOOKUP(A1585,'Discount Lookup'!J:K,2)*G1585*(1-PlanterDiscount)*(1+PlanterDifficultyPercentage)),IF(AE1585="ELP",(VLOOKUP(A1585,'Discount Lookup'!J:K,2)*G1585*(1-PlanterDiscount)*(1+PlanterDifficultyPercentage)),IF(AE1585="free","re-planting",IF(G1585=0,"",IF(PlanterYesMe="",IF(AE1585="me","   not ELP, by",IF(AE1585="",IF(G1585&gt;0,(VLOOKUP(A1585,'Discount Lookup'!J:K,2)*G1585*(1-PlanterDiscount)*(1+PlanterDifficultyPercentage)),""),"")),"   not ELP, by"))))))))))))))</f>
        <v/>
      </c>
      <c r="AD1585" s="712"/>
      <c r="AE1585" s="513" t="str">
        <f t="shared" si="1140"/>
        <v/>
      </c>
      <c r="AF1585" s="713" t="str">
        <f t="shared" si="1141"/>
        <v/>
      </c>
      <c r="AG1585" s="713"/>
      <c r="AH1585" s="713"/>
      <c r="AI1585" s="112">
        <f>IF(H1585="credit",0,IF(AE1585="free",0,IF(AE1585="me",0,IF(G1585&gt;0,(VLOOKUP(A1585,'Discount Lookup'!J:K,2)*G1585),0))))</f>
        <v>0</v>
      </c>
      <c r="AJ1585" s="107" t="str">
        <f t="shared" ca="1" si="1142"/>
        <v/>
      </c>
      <c r="AK1585" s="714" t="str">
        <f t="shared" si="1143"/>
        <v/>
      </c>
      <c r="AL1585" s="714"/>
      <c r="AM1585" s="114" t="str">
        <f t="shared" si="1144"/>
        <v/>
      </c>
      <c r="AN1585" s="115"/>
      <c r="AO1585" s="116"/>
      <c r="AP1585" s="116"/>
      <c r="AQ1585" s="116"/>
      <c r="AR1585" s="116"/>
      <c r="AS1585" s="116"/>
      <c r="AT1585" s="116"/>
      <c r="AU1585" s="116"/>
      <c r="AV1585" s="78"/>
      <c r="AW1585" s="102"/>
      <c r="AX1585" s="78"/>
      <c r="AY1585" s="78"/>
      <c r="AZ1585" s="78"/>
      <c r="BA1585" s="78"/>
      <c r="BB1585" s="78"/>
      <c r="BC1585" s="78"/>
      <c r="BD1585" s="78"/>
      <c r="BE1585" s="465"/>
      <c r="BF1585" s="165" t="str">
        <f t="shared" si="1145"/>
        <v>https://www.google.com/search?tbm=isch&amp;q=3%20G3</v>
      </c>
      <c r="BG1585" s="165" t="str">
        <f t="shared" si="1146"/>
        <v>E</v>
      </c>
      <c r="BH1585" s="65"/>
      <c r="BI1585" s="65"/>
      <c r="BJ1585" s="65"/>
      <c r="BK1585" s="65"/>
      <c r="BL1585" s="99"/>
      <c r="BM1585" s="99"/>
      <c r="BN1585" s="99"/>
    </row>
    <row r="1586" spans="1:66" s="51" customFormat="1" ht="16.5" x14ac:dyDescent="0.25">
      <c r="A1586" s="508" t="s">
        <v>2507</v>
      </c>
      <c r="B1586" s="487"/>
      <c r="C1586" s="707"/>
      <c r="D1586" s="487"/>
      <c r="E1586" s="487"/>
      <c r="F1586" s="488"/>
      <c r="G1586" s="489"/>
      <c r="H1586" s="487"/>
      <c r="I1586" s="490"/>
      <c r="J1586" s="490"/>
      <c r="K1586" s="491"/>
      <c r="L1586" s="547"/>
      <c r="M1586" s="528"/>
      <c r="N1586" s="492"/>
      <c r="O1586" s="493"/>
      <c r="P1586" s="494"/>
      <c r="Q1586" s="492"/>
      <c r="R1586" s="492"/>
      <c r="S1586" s="699" t="s">
        <v>5268</v>
      </c>
      <c r="T1586" s="102">
        <f t="shared" si="1134"/>
        <v>0</v>
      </c>
      <c r="U1586" s="78" t="str">
        <f>IF(NOT(ISNUMBER(G1586)), "", VLOOKUP(A1586,'Discount Lookup'!D:E,2,FALSE)*G1586)</f>
        <v/>
      </c>
      <c r="V1586" s="78" t="str">
        <f>IF(NOT(ISNUMBER(G1586)), "", VLOOKUP(A1586,'Discount Lookup'!G:H,2,FALSE)*G1586)</f>
        <v/>
      </c>
      <c r="W1586" s="102">
        <f t="shared" si="1135"/>
        <v>0</v>
      </c>
      <c r="X1586" s="102">
        <f t="shared" si="1136"/>
        <v>0</v>
      </c>
      <c r="Y1586" s="120" t="b">
        <f t="shared" si="1137"/>
        <v>0</v>
      </c>
      <c r="Z1586" s="117">
        <f t="shared" si="1138"/>
        <v>0</v>
      </c>
      <c r="AA1586" s="118"/>
      <c r="AB1586" s="118" t="str">
        <f t="shared" si="1139"/>
        <v/>
      </c>
      <c r="AC1586" s="712" t="str">
        <f>IF(AE1586="T2G","no charge",IF(AND(OR(PlanterYesMe="No",PlanterYesMe="N",PlanterYesMe="me"),H1586=""),"",IF(H1586="credit","NO install",IF(AND(K1586="",AE1586="me"),"EACH row",IF(AND(K1586="images",AE1586="me"),"EACH row",IF(D1586="","",IF(H1586="credit","",IF(AE1586="free","re-planting",IF(AE1586="me","   not ELP, by",IF(AND(OR(PlanterYesMe="Yes",PlanterYesMe="Y"),G1586&gt;0),(VLOOKUP(A1586,'Discount Lookup'!J:K,2)*G1586*(1-PlanterDiscount)*(1+PlanterDifficultyPercentage)),IF(AE1586="ELP",(VLOOKUP(A1586,'Discount Lookup'!J:K,2)*G1586*(1-PlanterDiscount)*(1+PlanterDifficultyPercentage)),IF(AE1586="free","re-planting",IF(G1586=0,"",IF(PlanterYesMe="",IF(AE1586="me","   not ELP, by",IF(AE1586="",IF(G1586&gt;0,(VLOOKUP(A1586,'Discount Lookup'!J:K,2)*G1586*(1-PlanterDiscount)*(1+PlanterDifficultyPercentage)),""),"")),"   not ELP, by"))))))))))))))</f>
        <v/>
      </c>
      <c r="AD1586" s="712"/>
      <c r="AE1586" s="513" t="str">
        <f t="shared" si="1140"/>
        <v/>
      </c>
      <c r="AF1586" s="713" t="str">
        <f t="shared" si="1141"/>
        <v/>
      </c>
      <c r="AG1586" s="713"/>
      <c r="AH1586" s="713"/>
      <c r="AI1586" s="112">
        <f>IF(H1586="credit",0,IF(AE1586="free",0,IF(AE1586="me",0,IF(G1586&gt;0,(VLOOKUP(A1586,'Discount Lookup'!J:K,2)*G1586),0))))</f>
        <v>0</v>
      </c>
      <c r="AJ1586" s="107" t="str">
        <f t="shared" ca="1" si="1142"/>
        <v/>
      </c>
      <c r="AK1586" s="714" t="str">
        <f t="shared" si="1143"/>
        <v/>
      </c>
      <c r="AL1586" s="714"/>
      <c r="AM1586" s="114" t="str">
        <f t="shared" si="1144"/>
        <v/>
      </c>
      <c r="AN1586" s="115"/>
      <c r="AO1586" s="116"/>
      <c r="AP1586" s="116"/>
      <c r="AQ1586" s="116"/>
      <c r="AR1586" s="116"/>
      <c r="AS1586" s="116"/>
      <c r="AT1586" s="116"/>
      <c r="AU1586" s="116"/>
      <c r="AV1586" s="78"/>
      <c r="AW1586" s="102"/>
      <c r="AX1586" s="78"/>
      <c r="AY1586" s="78"/>
      <c r="AZ1586" s="78"/>
      <c r="BA1586" s="78"/>
      <c r="BB1586" s="78"/>
      <c r="BC1586" s="78"/>
      <c r="BD1586" s="78"/>
      <c r="BE1586" s="465"/>
      <c r="BF1586" s="165" t="str">
        <f t="shared" si="1145"/>
        <v>https://www.google.com/search?tbm=isch&amp;q=Manhattan%20is%20a%20vigorous%20grower%2C%20valued%20for%20its%20dense%2C%20upright%20habit%20and%20its%20tolerance%20for%20pruning.%20Inconspicuous%2C%20small%20Greenish-White%20flowers%20</v>
      </c>
      <c r="BG1586" s="165" t="str">
        <f t="shared" si="1146"/>
        <v>M</v>
      </c>
      <c r="BH1586" s="65"/>
      <c r="BI1586" s="65"/>
      <c r="BJ1586" s="65"/>
      <c r="BK1586" s="65"/>
      <c r="BL1586" s="99"/>
      <c r="BM1586" s="99"/>
      <c r="BN1586" s="99"/>
    </row>
    <row r="1587" spans="1:66" s="51" customFormat="1" ht="55.5" x14ac:dyDescent="0.25">
      <c r="A1587" s="520" t="s">
        <v>355</v>
      </c>
      <c r="B1587" s="501"/>
      <c r="C1587" s="502"/>
      <c r="D1587" s="502"/>
      <c r="E1587" s="502"/>
      <c r="F1587" s="502"/>
      <c r="G1587" s="502"/>
      <c r="H1587" s="502"/>
      <c r="I1587" s="502"/>
      <c r="J1587" s="502"/>
      <c r="K1587" s="509" t="s">
        <v>871</v>
      </c>
      <c r="L1587" s="503"/>
      <c r="M1587" s="563"/>
      <c r="N1587" s="504"/>
      <c r="O1587" s="504"/>
      <c r="P1587" s="504"/>
      <c r="Q1587" s="504"/>
      <c r="R1587" s="504"/>
      <c r="S1587" s="511" t="s">
        <v>1546</v>
      </c>
      <c r="T1587" s="102">
        <f t="shared" si="1134"/>
        <v>0</v>
      </c>
      <c r="U1587" s="78" t="str">
        <f>IF(NOT(ISNUMBER(G1587)), "", VLOOKUP(A1587,'Discount Lookup'!D:E,2,FALSE)*G1587)</f>
        <v/>
      </c>
      <c r="V1587" s="78" t="str">
        <f>IF(NOT(ISNUMBER(G1587)), "", VLOOKUP(A1587,'Discount Lookup'!G:H,2,FALSE)*G1587)</f>
        <v/>
      </c>
      <c r="W1587" s="102">
        <f t="shared" si="1135"/>
        <v>0</v>
      </c>
      <c r="X1587" s="102">
        <f t="shared" si="1136"/>
        <v>0</v>
      </c>
      <c r="Y1587" s="120" t="b">
        <f t="shared" si="1137"/>
        <v>0</v>
      </c>
      <c r="Z1587" s="117">
        <f t="shared" si="1138"/>
        <v>0</v>
      </c>
      <c r="AA1587" s="118"/>
      <c r="AB1587" s="118" t="str">
        <f t="shared" si="1139"/>
        <v/>
      </c>
      <c r="AC1587" s="712" t="str">
        <f>IF(AE1587="T2G","no charge",IF(AND(OR(PlanterYesMe="No",PlanterYesMe="N",PlanterYesMe="me"),H1587=""),"",IF(H1587="credit","NO install",IF(AND(K1587="",AE1587="me"),"EACH row",IF(AND(K1587="images",AE1587="me"),"EACH row",IF(D1587="","",IF(H1587="credit","",IF(AE1587="free","re-planting",IF(AE1587="me","   not ELP, by",IF(AND(OR(PlanterYesMe="Yes",PlanterYesMe="Y"),G1587&gt;0),(VLOOKUP(A1587,'Discount Lookup'!J:K,2)*G1587*(1-PlanterDiscount)*(1+PlanterDifficultyPercentage)),IF(AE1587="ELP",(VLOOKUP(A1587,'Discount Lookup'!J:K,2)*G1587*(1-PlanterDiscount)*(1+PlanterDifficultyPercentage)),IF(AE1587="free","re-planting",IF(G1587=0,"",IF(PlanterYesMe="",IF(AE1587="me","   not ELP, by",IF(AE1587="",IF(G1587&gt;0,(VLOOKUP(A1587,'Discount Lookup'!J:K,2)*G1587*(1-PlanterDiscount)*(1+PlanterDifficultyPercentage)),""),"")),"   not ELP, by"))))))))))))))</f>
        <v/>
      </c>
      <c r="AD1587" s="712"/>
      <c r="AE1587" s="513" t="str">
        <f t="shared" si="1140"/>
        <v/>
      </c>
      <c r="AF1587" s="713" t="str">
        <f t="shared" si="1141"/>
        <v/>
      </c>
      <c r="AG1587" s="713"/>
      <c r="AH1587" s="713"/>
      <c r="AI1587" s="112">
        <f>IF(H1587="credit",0,IF(AE1587="free",0,IF(AE1587="me",0,IF(G1587&gt;0,(VLOOKUP(A1587,'Discount Lookup'!J:K,2)*G1587),0))))</f>
        <v>0</v>
      </c>
      <c r="AJ1587" s="107" t="str">
        <f t="shared" ca="1" si="1142"/>
        <v/>
      </c>
      <c r="AK1587" s="714" t="str">
        <f t="shared" si="1143"/>
        <v/>
      </c>
      <c r="AL1587" s="714"/>
      <c r="AM1587" s="114" t="str">
        <f t="shared" si="1144"/>
        <v/>
      </c>
      <c r="AN1587" s="115"/>
      <c r="AO1587" s="116"/>
      <c r="AP1587" s="116"/>
      <c r="AQ1587" s="116"/>
      <c r="AR1587" s="116"/>
      <c r="AS1587" s="116"/>
      <c r="AT1587" s="116"/>
      <c r="AU1587" s="116"/>
      <c r="AV1587" s="78"/>
      <c r="AW1587" s="102"/>
      <c r="AX1587" s="78"/>
      <c r="AY1587" s="78"/>
      <c r="AZ1587" s="78"/>
      <c r="BA1587" s="78"/>
      <c r="BB1587" s="78"/>
      <c r="BC1587" s="78"/>
      <c r="BD1587" s="78"/>
      <c r="BE1587" s="465"/>
      <c r="BF1587" s="165" t="str">
        <f t="shared" si="1145"/>
        <v>https://www.google.com/search?tbm=isch&amp;q=F%20</v>
      </c>
      <c r="BG1587" s="165" t="str">
        <f t="shared" si="1146"/>
        <v>F</v>
      </c>
      <c r="BH1587" s="65"/>
      <c r="BI1587" s="65"/>
      <c r="BJ1587" s="65"/>
      <c r="BK1587" s="65"/>
      <c r="BL1587" s="99"/>
      <c r="BM1587" s="99"/>
      <c r="BN1587" s="99"/>
    </row>
    <row r="1588" spans="1:66" s="51" customFormat="1" ht="19.5" thickBot="1" x14ac:dyDescent="0.3">
      <c r="A1588" s="686" t="s">
        <v>358</v>
      </c>
      <c r="B1588" s="73"/>
      <c r="C1588" s="708"/>
      <c r="D1588" s="73"/>
      <c r="E1588" s="73"/>
      <c r="F1588" s="496"/>
      <c r="G1588" s="73"/>
      <c r="H1588" s="73"/>
      <c r="I1588" s="73"/>
      <c r="J1588" s="497" t="s">
        <v>357</v>
      </c>
      <c r="K1588" s="498"/>
      <c r="L1588" s="562"/>
      <c r="M1588" s="73"/>
      <c r="N1588"/>
      <c r="O1588"/>
      <c r="P1588"/>
      <c r="Q1588"/>
      <c r="R1588"/>
      <c r="S1588"/>
      <c r="T1588" s="102">
        <f t="shared" si="1134"/>
        <v>0</v>
      </c>
      <c r="U1588" s="78" t="str">
        <f>IF(NOT(ISNUMBER(G1588)), "", VLOOKUP(A1588,'Discount Lookup'!D:E,2,FALSE)*G1588)</f>
        <v/>
      </c>
      <c r="V1588" s="78" t="str">
        <f>IF(NOT(ISNUMBER(G1588)), "", VLOOKUP(A1588,'Discount Lookup'!G:H,2,FALSE)*G1588)</f>
        <v/>
      </c>
      <c r="W1588" s="102">
        <f t="shared" si="1135"/>
        <v>0</v>
      </c>
      <c r="X1588" s="102">
        <f t="shared" si="1136"/>
        <v>0</v>
      </c>
      <c r="Y1588" s="120" t="b">
        <f t="shared" si="1137"/>
        <v>0</v>
      </c>
      <c r="Z1588" s="117">
        <f t="shared" si="1138"/>
        <v>0</v>
      </c>
      <c r="AA1588" s="118"/>
      <c r="AB1588" s="118" t="str">
        <f t="shared" si="1139"/>
        <v/>
      </c>
      <c r="AC1588" s="712" t="str">
        <f>IF(AE1588="T2G","no charge",IF(AND(OR(PlanterYesMe="No",PlanterYesMe="N",PlanterYesMe="me"),H1588=""),"",IF(H1588="credit","NO install",IF(AND(K1588="",AE1588="me"),"EACH row",IF(AND(K1588="images",AE1588="me"),"EACH row",IF(D1588="","",IF(H1588="credit","",IF(AE1588="free","re-planting",IF(AE1588="me","   not ELP, by",IF(AND(OR(PlanterYesMe="Yes",PlanterYesMe="Y"),G1588&gt;0),(VLOOKUP(A1588,'Discount Lookup'!J:K,2)*G1588*(1-PlanterDiscount)*(1+PlanterDifficultyPercentage)),IF(AE1588="ELP",(VLOOKUP(A1588,'Discount Lookup'!J:K,2)*G1588*(1-PlanterDiscount)*(1+PlanterDifficultyPercentage)),IF(AE1588="free","re-planting",IF(G1588=0,"",IF(PlanterYesMe="",IF(AE1588="me","   not ELP, by",IF(AE1588="",IF(G1588&gt;0,(VLOOKUP(A1588,'Discount Lookup'!J:K,2)*G1588*(1-PlanterDiscount)*(1+PlanterDifficultyPercentage)),""),"")),"   not ELP, by"))))))))))))))</f>
        <v/>
      </c>
      <c r="AD1588" s="712"/>
      <c r="AE1588" s="513" t="str">
        <f t="shared" si="1140"/>
        <v/>
      </c>
      <c r="AF1588" s="713" t="str">
        <f t="shared" si="1141"/>
        <v/>
      </c>
      <c r="AG1588" s="713"/>
      <c r="AH1588" s="713"/>
      <c r="AI1588" s="112">
        <f>IF(H1588="credit",0,IF(AE1588="free",0,IF(AE1588="me",0,IF(G1588&gt;0,(VLOOKUP(A1588,'Discount Lookup'!J:K,2)*G1588),0))))</f>
        <v>0</v>
      </c>
      <c r="AJ1588" s="107" t="str">
        <f t="shared" ca="1" si="1142"/>
        <v/>
      </c>
      <c r="AK1588" s="714" t="str">
        <f t="shared" si="1143"/>
        <v/>
      </c>
      <c r="AL1588" s="714"/>
      <c r="AM1588" s="114" t="str">
        <f t="shared" si="1144"/>
        <v/>
      </c>
      <c r="AN1588" s="115"/>
      <c r="AO1588" s="116"/>
      <c r="AP1588" s="116"/>
      <c r="AQ1588" s="116"/>
      <c r="AR1588" s="116"/>
      <c r="AS1588" s="116"/>
      <c r="AT1588" s="116"/>
      <c r="AU1588" s="116"/>
      <c r="AV1588" s="78"/>
      <c r="AW1588" s="102"/>
      <c r="AX1588" s="78"/>
      <c r="AY1588" s="78"/>
      <c r="AZ1588" s="78"/>
      <c r="BA1588" s="78"/>
      <c r="BB1588" s="78"/>
      <c r="BC1588" s="78"/>
      <c r="BD1588" s="78"/>
      <c r="BE1588" s="465"/>
      <c r="BF1588" s="165" t="str">
        <f t="shared" si="1145"/>
        <v>https://www.google.com/search?tbm=isch&amp;q=Fagus%20%3D%20Beech%20</v>
      </c>
      <c r="BG1588" s="165" t="str">
        <f t="shared" si="1146"/>
        <v>F</v>
      </c>
      <c r="BH1588" s="65"/>
      <c r="BI1588" s="65"/>
      <c r="BJ1588" s="65"/>
      <c r="BK1588" s="65"/>
      <c r="BL1588" s="99"/>
      <c r="BM1588" s="99"/>
      <c r="BN1588" s="99"/>
    </row>
    <row r="1589" spans="1:66" s="51" customFormat="1" ht="18" x14ac:dyDescent="0.25">
      <c r="A1589" s="623" t="s">
        <v>2508</v>
      </c>
      <c r="B1589" s="624"/>
      <c r="C1589" s="709"/>
      <c r="D1589" s="625" t="s">
        <v>2509</v>
      </c>
      <c r="E1589" s="626"/>
      <c r="F1589" s="626"/>
      <c r="G1589" s="626"/>
      <c r="H1589" s="622" t="s">
        <v>2510</v>
      </c>
      <c r="I1589" s="627" t="s">
        <v>431</v>
      </c>
      <c r="J1589" s="628"/>
      <c r="K1589" s="628"/>
      <c r="L1589" s="629"/>
      <c r="M1589" s="700" t="s">
        <v>5249</v>
      </c>
      <c r="N1589" s="693" t="str">
        <f>IF(AND(ISTEXT($A1589), ISERROR($A1589+0)), HYPERLINK($BF1589, "Images"), "")</f>
        <v>Images</v>
      </c>
      <c r="O1589" s="695" t="s">
        <v>5247</v>
      </c>
      <c r="P1589" s="630"/>
      <c r="Q1589" s="631"/>
      <c r="R1589" s="632"/>
      <c r="S1589" s="633" t="s">
        <v>294</v>
      </c>
      <c r="T1589" s="102">
        <f t="shared" si="1134"/>
        <v>0</v>
      </c>
      <c r="U1589" s="78" t="str">
        <f>IF(NOT(ISNUMBER(G1589)), "", VLOOKUP(A1589,'Discount Lookup'!D:E,2,FALSE)*G1589)</f>
        <v/>
      </c>
      <c r="V1589" s="78" t="str">
        <f>IF(NOT(ISNUMBER(G1589)), "", VLOOKUP(A1589,'Discount Lookup'!G:H,2,FALSE)*G1589)</f>
        <v/>
      </c>
      <c r="W1589" s="102">
        <f t="shared" si="1135"/>
        <v>0</v>
      </c>
      <c r="X1589" s="102" t="str">
        <f t="shared" si="1136"/>
        <v>Dark Green foliage</v>
      </c>
      <c r="Y1589" s="120" t="b">
        <f t="shared" si="1137"/>
        <v>0</v>
      </c>
      <c r="Z1589" s="117">
        <f t="shared" si="1138"/>
        <v>0</v>
      </c>
      <c r="AA1589" s="118"/>
      <c r="AB1589" s="118" t="str">
        <f t="shared" si="1139"/>
        <v/>
      </c>
      <c r="AC1589" s="712" t="str">
        <f>IF(AE1589="T2G","no charge",IF(AND(OR(PlanterYesMe="No",PlanterYesMe="N",PlanterYesMe="me"),H1589=""),"",IF(H1589="credit","NO install",IF(AND(K1589="",AE1589="me"),"EACH row",IF(AND(K1589="images",AE1589="me"),"EACH row",IF(D1589="","",IF(H1589="credit","",IF(AE1589="free","re-planting",IF(AE1589="me","   not ELP, by",IF(AND(OR(PlanterYesMe="Yes",PlanterYesMe="Y"),G1589&gt;0),(VLOOKUP(A1589,'Discount Lookup'!J:K,2)*G1589*(1-PlanterDiscount)*(1+PlanterDifficultyPercentage)),IF(AE1589="ELP",(VLOOKUP(A1589,'Discount Lookup'!J:K,2)*G1589*(1-PlanterDiscount)*(1+PlanterDifficultyPercentage)),IF(AE1589="free","re-planting",IF(G1589=0,"",IF(PlanterYesMe="",IF(AE1589="me","   not ELP, by",IF(AE1589="",IF(G1589&gt;0,(VLOOKUP(A1589,'Discount Lookup'!J:K,2)*G1589*(1-PlanterDiscount)*(1+PlanterDifficultyPercentage)),""),"")),"   not ELP, by"))))))))))))))</f>
        <v/>
      </c>
      <c r="AD1589" s="712"/>
      <c r="AE1589" s="513" t="str">
        <f t="shared" si="1140"/>
        <v/>
      </c>
      <c r="AF1589" s="713" t="str">
        <f t="shared" si="1141"/>
        <v/>
      </c>
      <c r="AG1589" s="713"/>
      <c r="AH1589" s="713"/>
      <c r="AI1589" s="112">
        <f>IF(H1589="credit",0,IF(AE1589="free",0,IF(AE1589="me",0,IF(G1589&gt;0,(VLOOKUP(A1589,'Discount Lookup'!J:K,2)*G1589),0))))</f>
        <v>0</v>
      </c>
      <c r="AJ1589" s="107" t="str">
        <f t="shared" ca="1" si="1142"/>
        <v/>
      </c>
      <c r="AK1589" s="714" t="str">
        <f t="shared" si="1143"/>
        <v/>
      </c>
      <c r="AL1589" s="714"/>
      <c r="AM1589" s="114" t="str">
        <f t="shared" si="1144"/>
        <v/>
      </c>
      <c r="AN1589" s="115"/>
      <c r="AO1589" s="116"/>
      <c r="AP1589" s="116"/>
      <c r="AQ1589" s="116"/>
      <c r="AR1589" s="116"/>
      <c r="AS1589" s="116"/>
      <c r="AT1589" s="116"/>
      <c r="AU1589" s="116"/>
      <c r="AV1589" s="78"/>
      <c r="AW1589" s="102"/>
      <c r="AX1589" s="78"/>
      <c r="AY1589" s="78"/>
      <c r="AZ1589" s="78"/>
      <c r="BA1589" s="78"/>
      <c r="BB1589" s="78"/>
      <c r="BC1589" s="78"/>
      <c r="BD1589" s="78"/>
      <c r="BE1589" s="465"/>
      <c r="BF1589" s="165" t="str">
        <f t="shared" si="1145"/>
        <v>https://www.google.com/search?tbm=isch&amp;q=Fagus%20grandifolia%20American%20Beech</v>
      </c>
      <c r="BG1589" s="165" t="str">
        <f t="shared" si="1146"/>
        <v>F</v>
      </c>
      <c r="BH1589" s="65"/>
      <c r="BI1589" s="65"/>
      <c r="BJ1589" s="65"/>
      <c r="BK1589" s="65"/>
      <c r="BL1589" s="99"/>
      <c r="BM1589" s="99"/>
      <c r="BN1589" s="99"/>
    </row>
    <row r="1590" spans="1:66" s="51" customFormat="1" ht="15.75" x14ac:dyDescent="0.25">
      <c r="A1590" s="634">
        <v>7</v>
      </c>
      <c r="B1590" s="635" t="s">
        <v>291</v>
      </c>
      <c r="C1590" s="636" t="s">
        <v>2511</v>
      </c>
      <c r="D1590" s="637" t="s">
        <v>299</v>
      </c>
      <c r="E1590" s="638">
        <v>123.95</v>
      </c>
      <c r="F1590" s="639" t="s">
        <v>292</v>
      </c>
      <c r="G1590" s="484">
        <v>0</v>
      </c>
      <c r="H1590" s="691" t="str">
        <f>IF(G1590=0,"",IF(F1590="Buy",IF(G1590=1,"plant","plants"),IF(F1590&gt;0.01,"warranty","Error")))</f>
        <v/>
      </c>
      <c r="I1590" s="640">
        <f>IF(H1590="free",0,IF(H1590="credit",((E1590*(F1590))*G1590*-1),IF(F1590="Buy",(E1590*G1590),((E1590*(1-F1590))*G1590))))</f>
        <v>0</v>
      </c>
      <c r="J1590" s="640">
        <f>IF(H1590="warranty",0,(I1590*(_xlfn.SINGLE(SalesTaxPercentage))))</f>
        <v>0</v>
      </c>
      <c r="K1590" s="716">
        <f t="shared" ref="K1590" si="1156">I1590+J1590</f>
        <v>0</v>
      </c>
      <c r="L1590" s="716"/>
      <c r="M1590" s="689" t="str">
        <f ca="1">IF(AND(G1590&gt;0,E1590=0),"WARNING - no PRICE inserted",IF(H1590="free","FREE ~ no charge this plant",IF(H1590="credit",CONCATENATE("-$",ROUND(K1590*(1-_xlfn.SINGLE(T2GDiscount))*-1,2)," CREDIT after discount"),IF(_xlfn.SINGLE(T2GDiscount)=0,"",IF(G1590=0,"",IF(F1590="Buy",CONCATENATE("$",ROUND(K1590*(1-_xlfn.SINGLE(T2GDiscount)),2)," with ",(_xlfn.SINGLE(T2GDiscount)*100),"% discount"),CONCATENATE("$",ROUND(K1590*(1-_xlfn.SINGLE(T2GDiscount)),2)," with ",((_xlfn.SINGLE(T2GDiscount)*100+F1590*100)-(_xlfn.SINGLE(T2GDiscount)*100*F1590)),IF(F1590&gt;0,"% discounts",IF(_xlfn.SINGLE(NoWarrantyDiscount)&gt;0,"% discounts","% discount")))))))))</f>
        <v/>
      </c>
      <c r="N1590" s="690"/>
      <c r="O1590" s="486"/>
      <c r="P1590" s="486"/>
      <c r="Q1590" s="486"/>
      <c r="R1590" s="486"/>
      <c r="S1590" s="486"/>
      <c r="T1590" s="102">
        <f t="shared" si="1134"/>
        <v>0</v>
      </c>
      <c r="U1590" s="78">
        <f>IF(NOT(ISNUMBER(G1590)), "", VLOOKUP(A1590,'Discount Lookup'!D:E,2,FALSE)*G1590)</f>
        <v>0</v>
      </c>
      <c r="V1590" s="78">
        <f>IF(NOT(ISNUMBER(G1590)), "", VLOOKUP(A1590,'Discount Lookup'!G:H,2,FALSE)*G1590)</f>
        <v>0</v>
      </c>
      <c r="W1590" s="102">
        <f t="shared" si="1135"/>
        <v>0</v>
      </c>
      <c r="X1590" s="102">
        <f t="shared" si="1136"/>
        <v>0</v>
      </c>
      <c r="Y1590" s="120" t="b">
        <f t="shared" si="1137"/>
        <v>0</v>
      </c>
      <c r="Z1590" s="117">
        <f t="shared" si="1138"/>
        <v>0</v>
      </c>
      <c r="AA1590" s="118"/>
      <c r="AB1590" s="118" t="str">
        <f t="shared" si="1139"/>
        <v/>
      </c>
      <c r="AC1590" s="712" t="str">
        <f>IF(AE1590="T2G","no charge",IF(AND(OR(PlanterYesMe="No",PlanterYesMe="N",PlanterYesMe="me"),H1590=""),"",IF(H1590="credit","NO install",IF(AND(K1590="",AE1590="me"),"EACH row",IF(AND(K1590="images",AE1590="me"),"EACH row",IF(D1590="","",IF(H1590="credit","",IF(AE1590="free","re-planting",IF(AE1590="me","   not ELP, by",IF(AND(OR(PlanterYesMe="Yes",PlanterYesMe="Y"),G1590&gt;0),(VLOOKUP(A1590,'Discount Lookup'!J:K,2)*G1590*(1-PlanterDiscount)*(1+PlanterDifficultyPercentage)),IF(AE1590="ELP",(VLOOKUP(A1590,'Discount Lookup'!J:K,2)*G1590*(1-PlanterDiscount)*(1+PlanterDifficultyPercentage)),IF(AE1590="free","re-planting",IF(G1590=0,"",IF(PlanterYesMe="",IF(AE1590="me","   not ELP, by",IF(AE1590="",IF(G1590&gt;0,(VLOOKUP(A1590,'Discount Lookup'!J:K,2)*G1590*(1-PlanterDiscount)*(1+PlanterDifficultyPercentage)),""),"")),"   not ELP, by"))))))))))))))</f>
        <v/>
      </c>
      <c r="AD1590" s="712"/>
      <c r="AE1590" s="513" t="str">
        <f t="shared" si="1140"/>
        <v/>
      </c>
      <c r="AF1590" s="713" t="str">
        <f t="shared" si="1141"/>
        <v/>
      </c>
      <c r="AG1590" s="713"/>
      <c r="AH1590" s="713"/>
      <c r="AI1590" s="112">
        <f>IF(H1590="credit",0,IF(AE1590="free",0,IF(AE1590="me",0,IF(G1590&gt;0,(VLOOKUP(A1590,'Discount Lookup'!J:K,2)*G1590),0))))</f>
        <v>0</v>
      </c>
      <c r="AJ1590" s="107" t="str">
        <f t="shared" ca="1" si="1142"/>
        <v/>
      </c>
      <c r="AK1590" s="714" t="str">
        <f t="shared" si="1143"/>
        <v/>
      </c>
      <c r="AL1590" s="714"/>
      <c r="AM1590" s="114" t="str">
        <f t="shared" si="1144"/>
        <v/>
      </c>
      <c r="AN1590" s="115"/>
      <c r="AO1590" s="116"/>
      <c r="AP1590" s="116"/>
      <c r="AQ1590" s="116"/>
      <c r="AR1590" s="116"/>
      <c r="AS1590" s="116"/>
      <c r="AT1590" s="116"/>
      <c r="AU1590" s="116"/>
      <c r="AV1590" s="78"/>
      <c r="AW1590" s="102"/>
      <c r="AX1590" s="78"/>
      <c r="AY1590" s="78"/>
      <c r="AZ1590" s="78"/>
      <c r="BA1590" s="78"/>
      <c r="BB1590" s="78"/>
      <c r="BC1590" s="78"/>
      <c r="BD1590" s="78"/>
      <c r="BE1590" s="465"/>
      <c r="BF1590" s="165" t="str">
        <f t="shared" si="1145"/>
        <v>https://www.google.com/search?tbm=isch&amp;q=7%20G4</v>
      </c>
      <c r="BG1590" s="165" t="str">
        <f t="shared" si="1146"/>
        <v>F</v>
      </c>
      <c r="BH1590" s="65"/>
      <c r="BI1590" s="65"/>
      <c r="BJ1590" s="65"/>
      <c r="BK1590" s="65"/>
      <c r="BL1590" s="99"/>
      <c r="BM1590" s="99"/>
      <c r="BN1590" s="99"/>
    </row>
    <row r="1591" spans="1:66" s="51" customFormat="1" ht="15.75" x14ac:dyDescent="0.25">
      <c r="A1591" s="634">
        <v>10</v>
      </c>
      <c r="B1591" s="635" t="s">
        <v>291</v>
      </c>
      <c r="C1591" s="636" t="s">
        <v>2512</v>
      </c>
      <c r="D1591" s="637" t="s">
        <v>299</v>
      </c>
      <c r="E1591" s="638">
        <v>192.95</v>
      </c>
      <c r="F1591" s="639" t="s">
        <v>292</v>
      </c>
      <c r="G1591" s="484">
        <v>0</v>
      </c>
      <c r="H1591" s="691" t="str">
        <f>IF(G1591=0,"",IF(F1591="Buy",IF(G1591=1,"plant","plants"),IF(F1591&gt;0.01,"warranty","Error")))</f>
        <v/>
      </c>
      <c r="I1591" s="640">
        <f>IF(H1591="free",0,IF(H1591="credit",((E1591*(F1591))*G1591*-1),IF(F1591="Buy",(E1591*G1591),((E1591*(1-F1591))*G1591))))</f>
        <v>0</v>
      </c>
      <c r="J1591" s="640">
        <f>IF(H1591="warranty",0,(I1591*(_xlfn.SINGLE(SalesTaxPercentage))))</f>
        <v>0</v>
      </c>
      <c r="K1591" s="716">
        <f t="shared" ref="K1591" si="1157">I1591+J1591</f>
        <v>0</v>
      </c>
      <c r="L1591" s="716"/>
      <c r="M1591" s="689" t="str">
        <f ca="1">IF(AND(G1591&gt;0,E1591=0),"WARNING - no PRICE inserted",IF(H1591="free","FREE ~ no charge this plant",IF(H1591="credit",CONCATENATE("-$",ROUND(K1591*(1-_xlfn.SINGLE(T2GDiscount))*-1,2)," CREDIT after discount"),IF(_xlfn.SINGLE(T2GDiscount)=0,"",IF(G1591=0,"",IF(F1591="Buy",CONCATENATE("$",ROUND(K1591*(1-_xlfn.SINGLE(T2GDiscount)),2)," with ",(_xlfn.SINGLE(T2GDiscount)*100),"% discount"),CONCATENATE("$",ROUND(K1591*(1-_xlfn.SINGLE(T2GDiscount)),2)," with ",((_xlfn.SINGLE(T2GDiscount)*100+F1591*100)-(_xlfn.SINGLE(T2GDiscount)*100*F1591)),IF(F1591&gt;0,"% discounts",IF(_xlfn.SINGLE(NoWarrantyDiscount)&gt;0,"% discounts","% discount")))))))))</f>
        <v/>
      </c>
      <c r="N1591" s="690"/>
      <c r="O1591" s="486"/>
      <c r="P1591" s="486"/>
      <c r="Q1591" s="486"/>
      <c r="R1591" s="486"/>
      <c r="S1591" s="486"/>
      <c r="T1591" s="102">
        <f t="shared" si="1134"/>
        <v>0</v>
      </c>
      <c r="U1591" s="78">
        <f>IF(NOT(ISNUMBER(G1591)), "", VLOOKUP(A1591,'Discount Lookup'!D:E,2,FALSE)*G1591)</f>
        <v>0</v>
      </c>
      <c r="V1591" s="78">
        <f>IF(NOT(ISNUMBER(G1591)), "", VLOOKUP(A1591,'Discount Lookup'!G:H,2,FALSE)*G1591)</f>
        <v>0</v>
      </c>
      <c r="W1591" s="102">
        <f t="shared" si="1135"/>
        <v>0</v>
      </c>
      <c r="X1591" s="102">
        <f t="shared" si="1136"/>
        <v>0</v>
      </c>
      <c r="Y1591" s="120" t="b">
        <f t="shared" si="1137"/>
        <v>0</v>
      </c>
      <c r="Z1591" s="117">
        <f t="shared" si="1138"/>
        <v>0</v>
      </c>
      <c r="AA1591" s="118"/>
      <c r="AB1591" s="118" t="str">
        <f t="shared" si="1139"/>
        <v/>
      </c>
      <c r="AC1591" s="712" t="str">
        <f>IF(AE1591="T2G","no charge",IF(AND(OR(PlanterYesMe="No",PlanterYesMe="N",PlanterYesMe="me"),H1591=""),"",IF(H1591="credit","NO install",IF(AND(K1591="",AE1591="me"),"EACH row",IF(AND(K1591="images",AE1591="me"),"EACH row",IF(D1591="","",IF(H1591="credit","",IF(AE1591="free","re-planting",IF(AE1591="me","   not ELP, by",IF(AND(OR(PlanterYesMe="Yes",PlanterYesMe="Y"),G1591&gt;0),(VLOOKUP(A1591,'Discount Lookup'!J:K,2)*G1591*(1-PlanterDiscount)*(1+PlanterDifficultyPercentage)),IF(AE1591="ELP",(VLOOKUP(A1591,'Discount Lookup'!J:K,2)*G1591*(1-PlanterDiscount)*(1+PlanterDifficultyPercentage)),IF(AE1591="free","re-planting",IF(G1591=0,"",IF(PlanterYesMe="",IF(AE1591="me","   not ELP, by",IF(AE1591="",IF(G1591&gt;0,(VLOOKUP(A1591,'Discount Lookup'!J:K,2)*G1591*(1-PlanterDiscount)*(1+PlanterDifficultyPercentage)),""),"")),"   not ELP, by"))))))))))))))</f>
        <v/>
      </c>
      <c r="AD1591" s="712"/>
      <c r="AE1591" s="513" t="str">
        <f t="shared" si="1140"/>
        <v/>
      </c>
      <c r="AF1591" s="713" t="str">
        <f t="shared" si="1141"/>
        <v/>
      </c>
      <c r="AG1591" s="713"/>
      <c r="AH1591" s="713"/>
      <c r="AI1591" s="112">
        <f>IF(H1591="credit",0,IF(AE1591="free",0,IF(AE1591="me",0,IF(G1591&gt;0,(VLOOKUP(A1591,'Discount Lookup'!J:K,2)*G1591),0))))</f>
        <v>0</v>
      </c>
      <c r="AJ1591" s="107" t="str">
        <f t="shared" ca="1" si="1142"/>
        <v/>
      </c>
      <c r="AK1591" s="714" t="str">
        <f t="shared" si="1143"/>
        <v/>
      </c>
      <c r="AL1591" s="714"/>
      <c r="AM1591" s="114" t="str">
        <f t="shared" si="1144"/>
        <v/>
      </c>
      <c r="AN1591" s="115"/>
      <c r="AO1591" s="116"/>
      <c r="AP1591" s="116"/>
      <c r="AQ1591" s="116"/>
      <c r="AR1591" s="116"/>
      <c r="AS1591" s="116"/>
      <c r="AT1591" s="116"/>
      <c r="AU1591" s="116"/>
      <c r="AV1591" s="78"/>
      <c r="AW1591" s="102"/>
      <c r="AX1591" s="78"/>
      <c r="AY1591" s="78"/>
      <c r="AZ1591" s="78"/>
      <c r="BA1591" s="78"/>
      <c r="BB1591" s="78"/>
      <c r="BC1591" s="78"/>
      <c r="BD1591" s="78"/>
      <c r="BE1591" s="465"/>
      <c r="BF1591" s="165" t="str">
        <f t="shared" si="1145"/>
        <v>https://www.google.com/search?tbm=isch&amp;q=10%20G4</v>
      </c>
      <c r="BG1591" s="165" t="str">
        <f t="shared" si="1146"/>
        <v>F</v>
      </c>
      <c r="BH1591" s="65"/>
      <c r="BI1591" s="65"/>
      <c r="BJ1591" s="65"/>
      <c r="BK1591" s="65"/>
      <c r="BL1591" s="99"/>
      <c r="BM1591" s="99"/>
      <c r="BN1591" s="99"/>
    </row>
    <row r="1592" spans="1:66" s="51" customFormat="1" ht="15.75" x14ac:dyDescent="0.25">
      <c r="A1592" s="634">
        <v>15</v>
      </c>
      <c r="B1592" s="635" t="s">
        <v>291</v>
      </c>
      <c r="C1592" s="636" t="s">
        <v>1707</v>
      </c>
      <c r="D1592" s="637" t="s">
        <v>299</v>
      </c>
      <c r="E1592" s="638">
        <v>252.95</v>
      </c>
      <c r="F1592" s="639" t="s">
        <v>292</v>
      </c>
      <c r="G1592" s="484">
        <v>0</v>
      </c>
      <c r="H1592" s="691" t="str">
        <f>IF(G1592=0,"",IF(F1592="Buy",IF(G1592=1,"plant","plants"),IF(F1592&gt;0.01,"warranty","Error")))</f>
        <v/>
      </c>
      <c r="I1592" s="640">
        <f>IF(H1592="free",0,IF(H1592="credit",((E1592*(F1592))*G1592*-1),IF(F1592="Buy",(E1592*G1592),((E1592*(1-F1592))*G1592))))</f>
        <v>0</v>
      </c>
      <c r="J1592" s="640">
        <f>IF(H1592="warranty",0,(I1592*(_xlfn.SINGLE(SalesTaxPercentage))))</f>
        <v>0</v>
      </c>
      <c r="K1592" s="716">
        <f t="shared" ref="K1592" si="1158">I1592+J1592</f>
        <v>0</v>
      </c>
      <c r="L1592" s="716"/>
      <c r="M1592" s="689" t="str">
        <f ca="1">IF(AND(G1592&gt;0,E1592=0),"WARNING - no PRICE inserted",IF(H1592="free","FREE ~ no charge this plant",IF(H1592="credit",CONCATENATE("-$",ROUND(K1592*(1-_xlfn.SINGLE(T2GDiscount))*-1,2)," CREDIT after discount"),IF(_xlfn.SINGLE(T2GDiscount)=0,"",IF(G1592=0,"",IF(F1592="Buy",CONCATENATE("$",ROUND(K1592*(1-_xlfn.SINGLE(T2GDiscount)),2)," with ",(_xlfn.SINGLE(T2GDiscount)*100),"% discount"),CONCATENATE("$",ROUND(K1592*(1-_xlfn.SINGLE(T2GDiscount)),2)," with ",((_xlfn.SINGLE(T2GDiscount)*100+F1592*100)-(_xlfn.SINGLE(T2GDiscount)*100*F1592)),IF(F1592&gt;0,"% discounts",IF(_xlfn.SINGLE(NoWarrantyDiscount)&gt;0,"% discounts","% discount")))))))))</f>
        <v/>
      </c>
      <c r="N1592" s="690"/>
      <c r="O1592" s="486"/>
      <c r="P1592" s="486"/>
      <c r="Q1592" s="486"/>
      <c r="R1592" s="486"/>
      <c r="S1592" s="486"/>
      <c r="T1592" s="102">
        <f t="shared" si="1134"/>
        <v>0</v>
      </c>
      <c r="U1592" s="78">
        <f>IF(NOT(ISNUMBER(G1592)), "", VLOOKUP(A1592,'Discount Lookup'!D:E,2,FALSE)*G1592)</f>
        <v>0</v>
      </c>
      <c r="V1592" s="78">
        <f>IF(NOT(ISNUMBER(G1592)), "", VLOOKUP(A1592,'Discount Lookup'!G:H,2,FALSE)*G1592)</f>
        <v>0</v>
      </c>
      <c r="W1592" s="102">
        <f t="shared" si="1135"/>
        <v>0</v>
      </c>
      <c r="X1592" s="102">
        <f t="shared" si="1136"/>
        <v>0</v>
      </c>
      <c r="Y1592" s="120" t="b">
        <f t="shared" si="1137"/>
        <v>0</v>
      </c>
      <c r="Z1592" s="117">
        <f t="shared" si="1138"/>
        <v>0</v>
      </c>
      <c r="AA1592" s="118"/>
      <c r="AB1592" s="118" t="str">
        <f t="shared" si="1139"/>
        <v/>
      </c>
      <c r="AC1592" s="712" t="str">
        <f>IF(AE1592="T2G","no charge",IF(AND(OR(PlanterYesMe="No",PlanterYesMe="N",PlanterYesMe="me"),H1592=""),"",IF(H1592="credit","NO install",IF(AND(K1592="",AE1592="me"),"EACH row",IF(AND(K1592="images",AE1592="me"),"EACH row",IF(D1592="","",IF(H1592="credit","",IF(AE1592="free","re-planting",IF(AE1592="me","   not ELP, by",IF(AND(OR(PlanterYesMe="Yes",PlanterYesMe="Y"),G1592&gt;0),(VLOOKUP(A1592,'Discount Lookup'!J:K,2)*G1592*(1-PlanterDiscount)*(1+PlanterDifficultyPercentage)),IF(AE1592="ELP",(VLOOKUP(A1592,'Discount Lookup'!J:K,2)*G1592*(1-PlanterDiscount)*(1+PlanterDifficultyPercentage)),IF(AE1592="free","re-planting",IF(G1592=0,"",IF(PlanterYesMe="",IF(AE1592="me","   not ELP, by",IF(AE1592="",IF(G1592&gt;0,(VLOOKUP(A1592,'Discount Lookup'!J:K,2)*G1592*(1-PlanterDiscount)*(1+PlanterDifficultyPercentage)),""),"")),"   not ELP, by"))))))))))))))</f>
        <v/>
      </c>
      <c r="AD1592" s="712"/>
      <c r="AE1592" s="513" t="str">
        <f t="shared" si="1140"/>
        <v/>
      </c>
      <c r="AF1592" s="713" t="str">
        <f t="shared" si="1141"/>
        <v/>
      </c>
      <c r="AG1592" s="713"/>
      <c r="AH1592" s="713"/>
      <c r="AI1592" s="112">
        <f>IF(H1592="credit",0,IF(AE1592="free",0,IF(AE1592="me",0,IF(G1592&gt;0,(VLOOKUP(A1592,'Discount Lookup'!J:K,2)*G1592),0))))</f>
        <v>0</v>
      </c>
      <c r="AJ1592" s="107" t="str">
        <f t="shared" ca="1" si="1142"/>
        <v/>
      </c>
      <c r="AK1592" s="714" t="str">
        <f t="shared" si="1143"/>
        <v/>
      </c>
      <c r="AL1592" s="714"/>
      <c r="AM1592" s="114" t="str">
        <f t="shared" si="1144"/>
        <v/>
      </c>
      <c r="AN1592" s="115"/>
      <c r="AO1592" s="116"/>
      <c r="AP1592" s="116"/>
      <c r="AQ1592" s="116"/>
      <c r="AR1592" s="116"/>
      <c r="AS1592" s="116"/>
      <c r="AT1592" s="116"/>
      <c r="AU1592" s="116"/>
      <c r="AV1592" s="78"/>
      <c r="AW1592" s="102"/>
      <c r="AX1592" s="78"/>
      <c r="AY1592" s="78"/>
      <c r="AZ1592" s="78"/>
      <c r="BA1592" s="78"/>
      <c r="BB1592" s="78"/>
      <c r="BC1592" s="78"/>
      <c r="BD1592" s="78"/>
      <c r="BE1592" s="465"/>
      <c r="BF1592" s="165" t="str">
        <f t="shared" si="1145"/>
        <v>https://www.google.com/search?tbm=isch&amp;q=15%20G4</v>
      </c>
      <c r="BG1592" s="165" t="str">
        <f t="shared" si="1146"/>
        <v>F</v>
      </c>
      <c r="BH1592" s="65"/>
      <c r="BI1592" s="65"/>
      <c r="BJ1592" s="65"/>
      <c r="BK1592" s="65"/>
      <c r="BL1592" s="99"/>
      <c r="BM1592" s="99"/>
      <c r="BN1592" s="99"/>
    </row>
    <row r="1593" spans="1:66" s="51" customFormat="1" ht="15.75" x14ac:dyDescent="0.25">
      <c r="A1593" s="634">
        <v>25</v>
      </c>
      <c r="B1593" s="635" t="s">
        <v>291</v>
      </c>
      <c r="C1593" s="636" t="s">
        <v>2513</v>
      </c>
      <c r="D1593" s="637" t="s">
        <v>299</v>
      </c>
      <c r="E1593" s="638">
        <v>462.95</v>
      </c>
      <c r="F1593" s="639" t="s">
        <v>292</v>
      </c>
      <c r="G1593" s="484">
        <v>0</v>
      </c>
      <c r="H1593" s="691" t="str">
        <f>IF(G1593=0,"",IF(F1593="Buy",IF(G1593=1,"plant","plants"),IF(F1593&gt;0.01,"warranty","Error")))</f>
        <v/>
      </c>
      <c r="I1593" s="640">
        <f>IF(H1593="free",0,IF(H1593="credit",((E1593*(F1593))*G1593*-1),IF(F1593="Buy",(E1593*G1593),((E1593*(1-F1593))*G1593))))</f>
        <v>0</v>
      </c>
      <c r="J1593" s="640">
        <f>IF(H1593="warranty",0,(I1593*(_xlfn.SINGLE(SalesTaxPercentage))))</f>
        <v>0</v>
      </c>
      <c r="K1593" s="716">
        <f t="shared" ref="K1593" si="1159">I1593+J1593</f>
        <v>0</v>
      </c>
      <c r="L1593" s="716"/>
      <c r="M1593" s="689" t="str">
        <f ca="1">IF(AND(G1593&gt;0,E1593=0),"WARNING - no PRICE inserted",IF(H1593="free","FREE ~ no charge this plant",IF(H1593="credit",CONCATENATE("-$",ROUND(K1593*(1-_xlfn.SINGLE(T2GDiscount))*-1,2)," CREDIT after discount"),IF(_xlfn.SINGLE(T2GDiscount)=0,"",IF(G1593=0,"",IF(F1593="Buy",CONCATENATE("$",ROUND(K1593*(1-_xlfn.SINGLE(T2GDiscount)),2)," with ",(_xlfn.SINGLE(T2GDiscount)*100),"% discount"),CONCATENATE("$",ROUND(K1593*(1-_xlfn.SINGLE(T2GDiscount)),2)," with ",((_xlfn.SINGLE(T2GDiscount)*100+F1593*100)-(_xlfn.SINGLE(T2GDiscount)*100*F1593)),IF(F1593&gt;0,"% discounts",IF(_xlfn.SINGLE(NoWarrantyDiscount)&gt;0,"% discounts","% discount")))))))))</f>
        <v/>
      </c>
      <c r="N1593" s="690"/>
      <c r="O1593" s="486"/>
      <c r="P1593" s="486"/>
      <c r="Q1593" s="486"/>
      <c r="R1593" s="486"/>
      <c r="S1593" s="486"/>
      <c r="T1593" s="102">
        <f t="shared" si="1134"/>
        <v>0</v>
      </c>
      <c r="U1593" s="78">
        <f>IF(NOT(ISNUMBER(G1593)), "", VLOOKUP(A1593,'Discount Lookup'!D:E,2,FALSE)*G1593)</f>
        <v>0</v>
      </c>
      <c r="V1593" s="78">
        <f>IF(NOT(ISNUMBER(G1593)), "", VLOOKUP(A1593,'Discount Lookup'!G:H,2,FALSE)*G1593)</f>
        <v>0</v>
      </c>
      <c r="W1593" s="102">
        <f t="shared" si="1135"/>
        <v>0</v>
      </c>
      <c r="X1593" s="102">
        <f t="shared" si="1136"/>
        <v>0</v>
      </c>
      <c r="Y1593" s="120" t="b">
        <f t="shared" si="1137"/>
        <v>0</v>
      </c>
      <c r="Z1593" s="117">
        <f t="shared" si="1138"/>
        <v>0</v>
      </c>
      <c r="AA1593" s="118"/>
      <c r="AB1593" s="118" t="str">
        <f t="shared" si="1139"/>
        <v/>
      </c>
      <c r="AC1593" s="712" t="str">
        <f>IF(AE1593="T2G","no charge",IF(AND(OR(PlanterYesMe="No",PlanterYesMe="N",PlanterYesMe="me"),H1593=""),"",IF(H1593="credit","NO install",IF(AND(K1593="",AE1593="me"),"EACH row",IF(AND(K1593="images",AE1593="me"),"EACH row",IF(D1593="","",IF(H1593="credit","",IF(AE1593="free","re-planting",IF(AE1593="me","   not ELP, by",IF(AND(OR(PlanterYesMe="Yes",PlanterYesMe="Y"),G1593&gt;0),(VLOOKUP(A1593,'Discount Lookup'!J:K,2)*G1593*(1-PlanterDiscount)*(1+PlanterDifficultyPercentage)),IF(AE1593="ELP",(VLOOKUP(A1593,'Discount Lookup'!J:K,2)*G1593*(1-PlanterDiscount)*(1+PlanterDifficultyPercentage)),IF(AE1593="free","re-planting",IF(G1593=0,"",IF(PlanterYesMe="",IF(AE1593="me","   not ELP, by",IF(AE1593="",IF(G1593&gt;0,(VLOOKUP(A1593,'Discount Lookup'!J:K,2)*G1593*(1-PlanterDiscount)*(1+PlanterDifficultyPercentage)),""),"")),"   not ELP, by"))))))))))))))</f>
        <v/>
      </c>
      <c r="AD1593" s="712"/>
      <c r="AE1593" s="513" t="str">
        <f t="shared" si="1140"/>
        <v/>
      </c>
      <c r="AF1593" s="713" t="str">
        <f t="shared" si="1141"/>
        <v/>
      </c>
      <c r="AG1593" s="713"/>
      <c r="AH1593" s="713"/>
      <c r="AI1593" s="112">
        <f>IF(H1593="credit",0,IF(AE1593="free",0,IF(AE1593="me",0,IF(G1593&gt;0,(VLOOKUP(A1593,'Discount Lookup'!J:K,2)*G1593),0))))</f>
        <v>0</v>
      </c>
      <c r="AJ1593" s="107" t="str">
        <f t="shared" ca="1" si="1142"/>
        <v/>
      </c>
      <c r="AK1593" s="714" t="str">
        <f t="shared" si="1143"/>
        <v/>
      </c>
      <c r="AL1593" s="714"/>
      <c r="AM1593" s="114" t="str">
        <f t="shared" si="1144"/>
        <v/>
      </c>
      <c r="AN1593" s="115"/>
      <c r="AO1593" s="116"/>
      <c r="AP1593" s="116"/>
      <c r="AQ1593" s="116"/>
      <c r="AR1593" s="116"/>
      <c r="AS1593" s="116"/>
      <c r="AT1593" s="116"/>
      <c r="AU1593" s="116"/>
      <c r="AV1593" s="78"/>
      <c r="AW1593" s="102"/>
      <c r="AX1593" s="78"/>
      <c r="AY1593" s="78"/>
      <c r="AZ1593" s="78"/>
      <c r="BA1593" s="78"/>
      <c r="BB1593" s="78"/>
      <c r="BC1593" s="78"/>
      <c r="BD1593" s="78"/>
      <c r="BE1593" s="465"/>
      <c r="BF1593" s="165" t="str">
        <f t="shared" si="1145"/>
        <v>https://www.google.com/search?tbm=isch&amp;q=25%20G4</v>
      </c>
      <c r="BG1593" s="165" t="str">
        <f t="shared" si="1146"/>
        <v>F</v>
      </c>
      <c r="BH1593" s="65"/>
      <c r="BI1593" s="65"/>
      <c r="BJ1593" s="65"/>
      <c r="BK1593" s="65"/>
      <c r="BL1593" s="99"/>
      <c r="BM1593" s="99"/>
      <c r="BN1593" s="99"/>
    </row>
    <row r="1594" spans="1:66" s="51" customFormat="1" ht="16.5" x14ac:dyDescent="0.25">
      <c r="A1594" s="641" t="s">
        <v>2514</v>
      </c>
      <c r="B1594" s="642"/>
      <c r="C1594" s="710"/>
      <c r="D1594" s="643"/>
      <c r="E1594" s="643"/>
      <c r="F1594" s="644"/>
      <c r="G1594" s="645"/>
      <c r="H1594" s="646"/>
      <c r="I1594" s="647"/>
      <c r="J1594" s="648"/>
      <c r="K1594" s="649"/>
      <c r="L1594" s="650"/>
      <c r="M1594" s="650"/>
      <c r="N1594" s="644"/>
      <c r="O1594" s="644"/>
      <c r="P1594" s="644"/>
      <c r="Q1594" s="644"/>
      <c r="R1594" s="644"/>
      <c r="S1594" s="651"/>
      <c r="T1594" s="102">
        <f t="shared" si="1134"/>
        <v>0</v>
      </c>
      <c r="U1594" s="78" t="str">
        <f>IF(NOT(ISNUMBER(G1594)), "", VLOOKUP(A1594,'Discount Lookup'!D:E,2,FALSE)*G1594)</f>
        <v/>
      </c>
      <c r="V1594" s="78" t="str">
        <f>IF(NOT(ISNUMBER(G1594)), "", VLOOKUP(A1594,'Discount Lookup'!G:H,2,FALSE)*G1594)</f>
        <v/>
      </c>
      <c r="W1594" s="102">
        <f t="shared" si="1135"/>
        <v>0</v>
      </c>
      <c r="X1594" s="102">
        <f t="shared" si="1136"/>
        <v>0</v>
      </c>
      <c r="Y1594" s="120" t="b">
        <f t="shared" si="1137"/>
        <v>0</v>
      </c>
      <c r="Z1594" s="117">
        <f t="shared" si="1138"/>
        <v>0</v>
      </c>
      <c r="AA1594" s="118"/>
      <c r="AB1594" s="118" t="str">
        <f t="shared" si="1139"/>
        <v/>
      </c>
      <c r="AC1594" s="712" t="str">
        <f>IF(AE1594="T2G","no charge",IF(AND(OR(PlanterYesMe="No",PlanterYesMe="N",PlanterYesMe="me"),H1594=""),"",IF(H1594="credit","NO install",IF(AND(K1594="",AE1594="me"),"EACH row",IF(AND(K1594="images",AE1594="me"),"EACH row",IF(D1594="","",IF(H1594="credit","",IF(AE1594="free","re-planting",IF(AE1594="me","   not ELP, by",IF(AND(OR(PlanterYesMe="Yes",PlanterYesMe="Y"),G1594&gt;0),(VLOOKUP(A1594,'Discount Lookup'!J:K,2)*G1594*(1-PlanterDiscount)*(1+PlanterDifficultyPercentage)),IF(AE1594="ELP",(VLOOKUP(A1594,'Discount Lookup'!J:K,2)*G1594*(1-PlanterDiscount)*(1+PlanterDifficultyPercentage)),IF(AE1594="free","re-planting",IF(G1594=0,"",IF(PlanterYesMe="",IF(AE1594="me","   not ELP, by",IF(AE1594="",IF(G1594&gt;0,(VLOOKUP(A1594,'Discount Lookup'!J:K,2)*G1594*(1-PlanterDiscount)*(1+PlanterDifficultyPercentage)),""),"")),"   not ELP, by"))))))))))))))</f>
        <v/>
      </c>
      <c r="AD1594" s="712"/>
      <c r="AE1594" s="513" t="str">
        <f t="shared" si="1140"/>
        <v/>
      </c>
      <c r="AF1594" s="713" t="str">
        <f t="shared" si="1141"/>
        <v/>
      </c>
      <c r="AG1594" s="713"/>
      <c r="AH1594" s="713"/>
      <c r="AI1594" s="112">
        <f>IF(H1594="credit",0,IF(AE1594="free",0,IF(AE1594="me",0,IF(G1594&gt;0,(VLOOKUP(A1594,'Discount Lookup'!J:K,2)*G1594),0))))</f>
        <v>0</v>
      </c>
      <c r="AJ1594" s="107" t="str">
        <f t="shared" ca="1" si="1142"/>
        <v/>
      </c>
      <c r="AK1594" s="714" t="str">
        <f t="shared" si="1143"/>
        <v/>
      </c>
      <c r="AL1594" s="714"/>
      <c r="AM1594" s="114" t="str">
        <f t="shared" si="1144"/>
        <v/>
      </c>
      <c r="AN1594" s="115"/>
      <c r="AO1594" s="116"/>
      <c r="AP1594" s="116"/>
      <c r="AQ1594" s="116"/>
      <c r="AR1594" s="116"/>
      <c r="AS1594" s="116"/>
      <c r="AT1594" s="116"/>
      <c r="AU1594" s="116"/>
      <c r="AV1594" s="78"/>
      <c r="AW1594" s="102"/>
      <c r="AX1594" s="78"/>
      <c r="AY1594" s="78"/>
      <c r="AZ1594" s="78"/>
      <c r="BA1594" s="78"/>
      <c r="BB1594" s="78"/>
      <c r="BC1594" s="78"/>
      <c r="BD1594" s="78"/>
      <c r="BE1594" s="465"/>
      <c r="BF1594" s="165" t="str">
        <f t="shared" si="1145"/>
        <v>https://www.google.com/search?tbm=isch&amp;q=American%20Beech%20has%20a%20wide%20canopy%20that%20holds%20onto%20much%20of%20its%20Golden-Bronze%20fall%20foliage%20well%20into%20the%20new%20year%20</v>
      </c>
      <c r="BG1594" s="165" t="str">
        <f t="shared" si="1146"/>
        <v>A</v>
      </c>
      <c r="BH1594" s="65"/>
      <c r="BI1594" s="65"/>
      <c r="BJ1594" s="65"/>
      <c r="BK1594" s="65"/>
      <c r="BL1594" s="99"/>
      <c r="BM1594" s="99"/>
      <c r="BN1594" s="99"/>
    </row>
    <row r="1595" spans="1:66" s="51" customFormat="1" ht="19.5" thickBot="1" x14ac:dyDescent="0.3">
      <c r="A1595" s="686" t="s">
        <v>423</v>
      </c>
      <c r="B1595" s="73"/>
      <c r="C1595" s="708"/>
      <c r="D1595" s="73"/>
      <c r="E1595" s="73"/>
      <c r="F1595" s="496"/>
      <c r="G1595" s="73"/>
      <c r="H1595" s="73"/>
      <c r="I1595" s="73"/>
      <c r="J1595" s="497" t="s">
        <v>357</v>
      </c>
      <c r="K1595" s="498"/>
      <c r="L1595" s="562"/>
      <c r="M1595" s="73"/>
      <c r="N1595"/>
      <c r="O1595"/>
      <c r="P1595"/>
      <c r="Q1595"/>
      <c r="R1595"/>
      <c r="S1595"/>
      <c r="T1595" s="102">
        <f t="shared" si="1134"/>
        <v>0</v>
      </c>
      <c r="U1595" s="78" t="str">
        <f>IF(NOT(ISNUMBER(G1595)), "", VLOOKUP(A1595,'Discount Lookup'!D:E,2,FALSE)*G1595)</f>
        <v/>
      </c>
      <c r="V1595" s="78" t="str">
        <f>IF(NOT(ISNUMBER(G1595)), "", VLOOKUP(A1595,'Discount Lookup'!G:H,2,FALSE)*G1595)</f>
        <v/>
      </c>
      <c r="W1595" s="102">
        <f t="shared" si="1135"/>
        <v>0</v>
      </c>
      <c r="X1595" s="102">
        <f t="shared" si="1136"/>
        <v>0</v>
      </c>
      <c r="Y1595" s="120" t="b">
        <f t="shared" si="1137"/>
        <v>0</v>
      </c>
      <c r="Z1595" s="117">
        <f t="shared" si="1138"/>
        <v>0</v>
      </c>
      <c r="AA1595" s="118"/>
      <c r="AB1595" s="118" t="str">
        <f t="shared" si="1139"/>
        <v/>
      </c>
      <c r="AC1595" s="712" t="str">
        <f>IF(AE1595="T2G","no charge",IF(AND(OR(PlanterYesMe="No",PlanterYesMe="N",PlanterYesMe="me"),H1595=""),"",IF(H1595="credit","NO install",IF(AND(K1595="",AE1595="me"),"EACH row",IF(AND(K1595="images",AE1595="me"),"EACH row",IF(D1595="","",IF(H1595="credit","",IF(AE1595="free","re-planting",IF(AE1595="me","   not ELP, by",IF(AND(OR(PlanterYesMe="Yes",PlanterYesMe="Y"),G1595&gt;0),(VLOOKUP(A1595,'Discount Lookup'!J:K,2)*G1595*(1-PlanterDiscount)*(1+PlanterDifficultyPercentage)),IF(AE1595="ELP",(VLOOKUP(A1595,'Discount Lookup'!J:K,2)*G1595*(1-PlanterDiscount)*(1+PlanterDifficultyPercentage)),IF(AE1595="free","re-planting",IF(G1595=0,"",IF(PlanterYesMe="",IF(AE1595="me","   not ELP, by",IF(AE1595="",IF(G1595&gt;0,(VLOOKUP(A1595,'Discount Lookup'!J:K,2)*G1595*(1-PlanterDiscount)*(1+PlanterDifficultyPercentage)),""),"")),"   not ELP, by"))))))))))))))</f>
        <v/>
      </c>
      <c r="AD1595" s="712"/>
      <c r="AE1595" s="513" t="str">
        <f t="shared" si="1140"/>
        <v/>
      </c>
      <c r="AF1595" s="713" t="str">
        <f t="shared" si="1141"/>
        <v/>
      </c>
      <c r="AG1595" s="713"/>
      <c r="AH1595" s="713"/>
      <c r="AI1595" s="112">
        <f>IF(H1595="credit",0,IF(AE1595="free",0,IF(AE1595="me",0,IF(G1595&gt;0,(VLOOKUP(A1595,'Discount Lookup'!J:K,2)*G1595),0))))</f>
        <v>0</v>
      </c>
      <c r="AJ1595" s="107" t="str">
        <f t="shared" ca="1" si="1142"/>
        <v/>
      </c>
      <c r="AK1595" s="714" t="str">
        <f t="shared" si="1143"/>
        <v/>
      </c>
      <c r="AL1595" s="714"/>
      <c r="AM1595" s="114" t="str">
        <f t="shared" si="1144"/>
        <v/>
      </c>
      <c r="AN1595" s="115"/>
      <c r="AO1595" s="116"/>
      <c r="AP1595" s="116"/>
      <c r="AQ1595" s="116"/>
      <c r="AR1595" s="116"/>
      <c r="AS1595" s="116"/>
      <c r="AT1595" s="116"/>
      <c r="AU1595" s="116"/>
      <c r="AV1595" s="78"/>
      <c r="AW1595" s="102"/>
      <c r="AX1595" s="78"/>
      <c r="AY1595" s="78"/>
      <c r="AZ1595" s="78"/>
      <c r="BA1595" s="78"/>
      <c r="BB1595" s="78"/>
      <c r="BC1595" s="78"/>
      <c r="BD1595" s="78"/>
      <c r="BE1595" s="465"/>
      <c r="BF1595" s="165" t="str">
        <f t="shared" si="1145"/>
        <v>https://www.google.com/search?tbm=isch&amp;q=Farfugium%20%3D%20Leopard%20Plant%20</v>
      </c>
      <c r="BG1595" s="165" t="str">
        <f t="shared" si="1146"/>
        <v>F</v>
      </c>
      <c r="BH1595" s="65"/>
      <c r="BI1595" s="65"/>
      <c r="BJ1595" s="65"/>
      <c r="BK1595" s="65"/>
      <c r="BL1595" s="99"/>
      <c r="BM1595" s="99"/>
      <c r="BN1595" s="99"/>
    </row>
    <row r="1596" spans="1:66" s="51" customFormat="1" ht="18" x14ac:dyDescent="0.25">
      <c r="A1596" s="507" t="s">
        <v>2515</v>
      </c>
      <c r="B1596" s="470"/>
      <c r="C1596" s="706"/>
      <c r="D1596" s="471" t="s">
        <v>2516</v>
      </c>
      <c r="E1596" s="472"/>
      <c r="F1596" s="472"/>
      <c r="G1596" s="472"/>
      <c r="H1596" s="622" t="s">
        <v>2462</v>
      </c>
      <c r="I1596" s="473" t="s">
        <v>1678</v>
      </c>
      <c r="J1596" s="472"/>
      <c r="K1596" s="472"/>
      <c r="L1596" s="561"/>
      <c r="M1596" s="703" t="s">
        <v>5260</v>
      </c>
      <c r="N1596" s="692" t="str">
        <f>IF(AND(ISTEXT($A1596), ISERROR($A1596+0)), HYPERLINK($BF1596, "Images"), "")</f>
        <v>Images</v>
      </c>
      <c r="O1596" s="694" t="s">
        <v>5244</v>
      </c>
      <c r="P1596" s="475"/>
      <c r="Q1596" s="476"/>
      <c r="R1596" s="476"/>
      <c r="S1596" s="477"/>
      <c r="T1596" s="102">
        <f t="shared" si="1134"/>
        <v>0</v>
      </c>
      <c r="U1596" s="78" t="str">
        <f>IF(NOT(ISNUMBER(G1596)), "", VLOOKUP(A1596,'Discount Lookup'!D:E,2,FALSE)*G1596)</f>
        <v/>
      </c>
      <c r="V1596" s="78" t="str">
        <f>IF(NOT(ISNUMBER(G1596)), "", VLOOKUP(A1596,'Discount Lookup'!G:H,2,FALSE)*G1596)</f>
        <v/>
      </c>
      <c r="W1596" s="102">
        <f t="shared" si="1135"/>
        <v>0</v>
      </c>
      <c r="X1596" s="102" t="str">
        <f t="shared" si="1136"/>
        <v>Green &amp; Yellow foliage</v>
      </c>
      <c r="Y1596" s="120" t="b">
        <f t="shared" si="1137"/>
        <v>0</v>
      </c>
      <c r="Z1596" s="117">
        <f t="shared" si="1138"/>
        <v>0</v>
      </c>
      <c r="AA1596" s="118"/>
      <c r="AB1596" s="118" t="str">
        <f t="shared" si="1139"/>
        <v/>
      </c>
      <c r="AC1596" s="712" t="str">
        <f>IF(AE1596="T2G","no charge",IF(AND(OR(PlanterYesMe="No",PlanterYesMe="N",PlanterYesMe="me"),H1596=""),"",IF(H1596="credit","NO install",IF(AND(K1596="",AE1596="me"),"EACH row",IF(AND(K1596="images",AE1596="me"),"EACH row",IF(D1596="","",IF(H1596="credit","",IF(AE1596="free","re-planting",IF(AE1596="me","   not ELP, by",IF(AND(OR(PlanterYesMe="Yes",PlanterYesMe="Y"),G1596&gt;0),(VLOOKUP(A1596,'Discount Lookup'!J:K,2)*G1596*(1-PlanterDiscount)*(1+PlanterDifficultyPercentage)),IF(AE1596="ELP",(VLOOKUP(A1596,'Discount Lookup'!J:K,2)*G1596*(1-PlanterDiscount)*(1+PlanterDifficultyPercentage)),IF(AE1596="free","re-planting",IF(G1596=0,"",IF(PlanterYesMe="",IF(AE1596="me","   not ELP, by",IF(AE1596="",IF(G1596&gt;0,(VLOOKUP(A1596,'Discount Lookup'!J:K,2)*G1596*(1-PlanterDiscount)*(1+PlanterDifficultyPercentage)),""),"")),"   not ELP, by"))))))))))))))</f>
        <v/>
      </c>
      <c r="AD1596" s="712"/>
      <c r="AE1596" s="513" t="str">
        <f t="shared" si="1140"/>
        <v/>
      </c>
      <c r="AF1596" s="713" t="str">
        <f t="shared" si="1141"/>
        <v/>
      </c>
      <c r="AG1596" s="713"/>
      <c r="AH1596" s="713"/>
      <c r="AI1596" s="112">
        <f>IF(H1596="credit",0,IF(AE1596="free",0,IF(AE1596="me",0,IF(G1596&gt;0,(VLOOKUP(A1596,'Discount Lookup'!J:K,2)*G1596),0))))</f>
        <v>0</v>
      </c>
      <c r="AJ1596" s="107" t="str">
        <f t="shared" ca="1" si="1142"/>
        <v/>
      </c>
      <c r="AK1596" s="714" t="str">
        <f t="shared" si="1143"/>
        <v/>
      </c>
      <c r="AL1596" s="714"/>
      <c r="AM1596" s="114" t="str">
        <f t="shared" si="1144"/>
        <v/>
      </c>
      <c r="AN1596" s="115"/>
      <c r="AO1596" s="116"/>
      <c r="AP1596" s="116"/>
      <c r="AQ1596" s="116"/>
      <c r="AR1596" s="116"/>
      <c r="AS1596" s="116"/>
      <c r="AT1596" s="116"/>
      <c r="AU1596" s="116"/>
      <c r="AV1596" s="78"/>
      <c r="AW1596" s="102"/>
      <c r="AX1596" s="78"/>
      <c r="AY1596" s="78"/>
      <c r="AZ1596" s="78"/>
      <c r="BA1596" s="78"/>
      <c r="BB1596" s="78"/>
      <c r="BC1596" s="78"/>
      <c r="BD1596" s="78"/>
      <c r="BE1596" s="465"/>
      <c r="BF1596" s="165" t="str">
        <f t="shared" si="1145"/>
        <v>https://www.google.com/search?tbm=isch&amp;q=Farfugium%20japonicum%20Leopard%20Plant</v>
      </c>
      <c r="BG1596" s="165" t="str">
        <f t="shared" si="1146"/>
        <v>F</v>
      </c>
      <c r="BH1596" s="65"/>
      <c r="BI1596" s="65"/>
      <c r="BJ1596" s="65"/>
      <c r="BK1596" s="65"/>
      <c r="BL1596" s="99"/>
      <c r="BM1596" s="99"/>
      <c r="BN1596" s="99"/>
    </row>
    <row r="1597" spans="1:66" s="51" customFormat="1" ht="15.75" x14ac:dyDescent="0.25">
      <c r="A1597" s="478">
        <v>7</v>
      </c>
      <c r="B1597" s="479" t="s">
        <v>291</v>
      </c>
      <c r="C1597" s="480" t="s">
        <v>2517</v>
      </c>
      <c r="D1597" s="481" t="s">
        <v>293</v>
      </c>
      <c r="E1597" s="482">
        <v>91.95</v>
      </c>
      <c r="F1597" s="483" t="s">
        <v>292</v>
      </c>
      <c r="G1597" s="484">
        <v>0</v>
      </c>
      <c r="H1597" s="688" t="str">
        <f>IF(G1597=0,"",IF(F1597="Buy",IF(G1597=1,"plant","plants"),IF(F1597&gt;0.01,"warranty","Error")))</f>
        <v/>
      </c>
      <c r="I1597" s="485">
        <f>IF(H1597="free",0,IF(H1597="credit",((E1597*(F1597))*G1597*-1),IF(F1597="Buy",(E1597*G1597),((E1597*(1-F1597))*G1597))))</f>
        <v>0</v>
      </c>
      <c r="J1597" s="485">
        <f>IF(H1597="warranty",0,(I1597*(_xlfn.SINGLE(SalesTaxPercentage))))</f>
        <v>0</v>
      </c>
      <c r="K1597" s="715">
        <f t="shared" ref="K1597" si="1160">I1597+J1597</f>
        <v>0</v>
      </c>
      <c r="L1597" s="715"/>
      <c r="M1597" s="689" t="str">
        <f ca="1">IF(AND(G1597&gt;0,E1597=0),"WARNING - no PRICE inserted",IF(H1597="free","FREE ~ no charge this plant",IF(H1597="credit",CONCATENATE("-$",ROUND(K1597*(1-_xlfn.SINGLE(T2GDiscount))*-1,2)," CREDIT after discount"),IF(_xlfn.SINGLE(T2GDiscount)=0,"",IF(G1597=0,"",IF(F1597="Buy",CONCATENATE("$",ROUND(K1597*(1-_xlfn.SINGLE(T2GDiscount)),2)," with ",(_xlfn.SINGLE(T2GDiscount)*100),"% discount"),CONCATENATE("$",ROUND(K1597*(1-_xlfn.SINGLE(T2GDiscount)),2)," with ",((_xlfn.SINGLE(T2GDiscount)*100+F1597*100)-(_xlfn.SINGLE(T2GDiscount)*100*F1597)),IF(F1597&gt;0,"% discounts",IF(_xlfn.SINGLE(NoWarrantyDiscount)&gt;0,"% discounts","% discount")))))))))</f>
        <v/>
      </c>
      <c r="N1597" s="690"/>
      <c r="O1597" s="486"/>
      <c r="P1597" s="486"/>
      <c r="Q1597" s="486"/>
      <c r="R1597" s="486"/>
      <c r="S1597" s="486"/>
      <c r="T1597" s="102">
        <f t="shared" si="1134"/>
        <v>0</v>
      </c>
      <c r="U1597" s="78">
        <f>IF(NOT(ISNUMBER(G1597)), "", VLOOKUP(A1597,'Discount Lookup'!D:E,2,FALSE)*G1597)</f>
        <v>0</v>
      </c>
      <c r="V1597" s="78">
        <f>IF(NOT(ISNUMBER(G1597)), "", VLOOKUP(A1597,'Discount Lookup'!G:H,2,FALSE)*G1597)</f>
        <v>0</v>
      </c>
      <c r="W1597" s="102">
        <f t="shared" si="1135"/>
        <v>0</v>
      </c>
      <c r="X1597" s="102">
        <f t="shared" si="1136"/>
        <v>0</v>
      </c>
      <c r="Y1597" s="120" t="b">
        <f t="shared" si="1137"/>
        <v>0</v>
      </c>
      <c r="Z1597" s="117">
        <f t="shared" si="1138"/>
        <v>0</v>
      </c>
      <c r="AA1597" s="118"/>
      <c r="AB1597" s="118" t="str">
        <f t="shared" si="1139"/>
        <v/>
      </c>
      <c r="AC1597" s="712" t="str">
        <f>IF(AE1597="T2G","no charge",IF(AND(OR(PlanterYesMe="No",PlanterYesMe="N",PlanterYesMe="me"),H1597=""),"",IF(H1597="credit","NO install",IF(AND(K1597="",AE1597="me"),"EACH row",IF(AND(K1597="images",AE1597="me"),"EACH row",IF(D1597="","",IF(H1597="credit","",IF(AE1597="free","re-planting",IF(AE1597="me","   not ELP, by",IF(AND(OR(PlanterYesMe="Yes",PlanterYesMe="Y"),G1597&gt;0),(VLOOKUP(A1597,'Discount Lookup'!J:K,2)*G1597*(1-PlanterDiscount)*(1+PlanterDifficultyPercentage)),IF(AE1597="ELP",(VLOOKUP(A1597,'Discount Lookup'!J:K,2)*G1597*(1-PlanterDiscount)*(1+PlanterDifficultyPercentage)),IF(AE1597="free","re-planting",IF(G1597=0,"",IF(PlanterYesMe="",IF(AE1597="me","   not ELP, by",IF(AE1597="",IF(G1597&gt;0,(VLOOKUP(A1597,'Discount Lookup'!J:K,2)*G1597*(1-PlanterDiscount)*(1+PlanterDifficultyPercentage)),""),"")),"   not ELP, by"))))))))))))))</f>
        <v/>
      </c>
      <c r="AD1597" s="712"/>
      <c r="AE1597" s="513" t="str">
        <f t="shared" si="1140"/>
        <v/>
      </c>
      <c r="AF1597" s="713" t="str">
        <f t="shared" si="1141"/>
        <v/>
      </c>
      <c r="AG1597" s="713"/>
      <c r="AH1597" s="713"/>
      <c r="AI1597" s="112">
        <f>IF(H1597="credit",0,IF(AE1597="free",0,IF(AE1597="me",0,IF(G1597&gt;0,(VLOOKUP(A1597,'Discount Lookup'!J:K,2)*G1597),0))))</f>
        <v>0</v>
      </c>
      <c r="AJ1597" s="107" t="str">
        <f t="shared" ca="1" si="1142"/>
        <v/>
      </c>
      <c r="AK1597" s="714" t="str">
        <f t="shared" si="1143"/>
        <v/>
      </c>
      <c r="AL1597" s="714"/>
      <c r="AM1597" s="114" t="str">
        <f t="shared" si="1144"/>
        <v/>
      </c>
      <c r="AN1597" s="115"/>
      <c r="AO1597" s="116"/>
      <c r="AP1597" s="116"/>
      <c r="AQ1597" s="116"/>
      <c r="AR1597" s="116"/>
      <c r="AS1597" s="116"/>
      <c r="AT1597" s="116"/>
      <c r="AU1597" s="116"/>
      <c r="AV1597" s="78"/>
      <c r="AW1597" s="102"/>
      <c r="AX1597" s="78"/>
      <c r="AY1597" s="78"/>
      <c r="AZ1597" s="78"/>
      <c r="BA1597" s="78"/>
      <c r="BB1597" s="78"/>
      <c r="BC1597" s="78"/>
      <c r="BD1597" s="78"/>
      <c r="BE1597" s="465"/>
      <c r="BF1597" s="165" t="str">
        <f t="shared" si="1145"/>
        <v>https://www.google.com/search?tbm=isch&amp;q=7%20G6</v>
      </c>
      <c r="BG1597" s="165" t="str">
        <f t="shared" si="1146"/>
        <v>F</v>
      </c>
      <c r="BH1597" s="65"/>
      <c r="BI1597" s="65"/>
      <c r="BJ1597" s="65"/>
      <c r="BK1597" s="65"/>
      <c r="BL1597" s="99"/>
      <c r="BM1597" s="99"/>
      <c r="BN1597" s="99"/>
    </row>
    <row r="1598" spans="1:66" s="51" customFormat="1" ht="15.75" x14ac:dyDescent="0.25">
      <c r="A1598" s="705" t="s">
        <v>5394</v>
      </c>
      <c r="B1598" s="487"/>
      <c r="C1598" s="707"/>
      <c r="D1598" s="487"/>
      <c r="E1598" s="487"/>
      <c r="F1598" s="488"/>
      <c r="G1598" s="489"/>
      <c r="H1598" s="487"/>
      <c r="I1598" s="490"/>
      <c r="J1598" s="490"/>
      <c r="K1598" s="491"/>
      <c r="L1598" s="547"/>
      <c r="M1598" s="528"/>
      <c r="N1598" s="492"/>
      <c r="O1598" s="493"/>
      <c r="P1598" s="494"/>
      <c r="Q1598" s="492"/>
      <c r="R1598" s="492"/>
      <c r="S1598" s="495"/>
      <c r="T1598" s="102">
        <f t="shared" si="1134"/>
        <v>0</v>
      </c>
      <c r="U1598" s="78" t="str">
        <f>IF(NOT(ISNUMBER(G1598)), "", VLOOKUP(A1598,'Discount Lookup'!D:E,2,FALSE)*G1598)</f>
        <v/>
      </c>
      <c r="V1598" s="78" t="str">
        <f>IF(NOT(ISNUMBER(G1598)), "", VLOOKUP(A1598,'Discount Lookup'!G:H,2,FALSE)*G1598)</f>
        <v/>
      </c>
      <c r="W1598" s="102">
        <f t="shared" si="1135"/>
        <v>0</v>
      </c>
      <c r="X1598" s="102">
        <f t="shared" si="1136"/>
        <v>0</v>
      </c>
      <c r="Y1598" s="120" t="b">
        <f t="shared" si="1137"/>
        <v>0</v>
      </c>
      <c r="Z1598" s="117">
        <f t="shared" si="1138"/>
        <v>0</v>
      </c>
      <c r="AA1598" s="118"/>
      <c r="AB1598" s="118" t="str">
        <f t="shared" si="1139"/>
        <v/>
      </c>
      <c r="AC1598" s="712" t="str">
        <f>IF(AE1598="T2G","no charge",IF(AND(OR(PlanterYesMe="No",PlanterYesMe="N",PlanterYesMe="me"),H1598=""),"",IF(H1598="credit","NO install",IF(AND(K1598="",AE1598="me"),"EACH row",IF(AND(K1598="images",AE1598="me"),"EACH row",IF(D1598="","",IF(H1598="credit","",IF(AE1598="free","re-planting",IF(AE1598="me","   not ELP, by",IF(AND(OR(PlanterYesMe="Yes",PlanterYesMe="Y"),G1598&gt;0),(VLOOKUP(A1598,'Discount Lookup'!J:K,2)*G1598*(1-PlanterDiscount)*(1+PlanterDifficultyPercentage)),IF(AE1598="ELP",(VLOOKUP(A1598,'Discount Lookup'!J:K,2)*G1598*(1-PlanterDiscount)*(1+PlanterDifficultyPercentage)),IF(AE1598="free","re-planting",IF(G1598=0,"",IF(PlanterYesMe="",IF(AE1598="me","   not ELP, by",IF(AE1598="",IF(G1598&gt;0,(VLOOKUP(A1598,'Discount Lookup'!J:K,2)*G1598*(1-PlanterDiscount)*(1+PlanterDifficultyPercentage)),""),"")),"   not ELP, by"))))))))))))))</f>
        <v/>
      </c>
      <c r="AD1598" s="712"/>
      <c r="AE1598" s="513" t="str">
        <f t="shared" si="1140"/>
        <v/>
      </c>
      <c r="AF1598" s="713" t="str">
        <f t="shared" si="1141"/>
        <v/>
      </c>
      <c r="AG1598" s="713"/>
      <c r="AH1598" s="713"/>
      <c r="AI1598" s="112">
        <f>IF(H1598="credit",0,IF(AE1598="free",0,IF(AE1598="me",0,IF(G1598&gt;0,(VLOOKUP(A1598,'Discount Lookup'!J:K,2)*G1598),0))))</f>
        <v>0</v>
      </c>
      <c r="AJ1598" s="107" t="str">
        <f t="shared" ca="1" si="1142"/>
        <v/>
      </c>
      <c r="AK1598" s="714" t="str">
        <f t="shared" si="1143"/>
        <v/>
      </c>
      <c r="AL1598" s="714"/>
      <c r="AM1598" s="114" t="str">
        <f t="shared" si="1144"/>
        <v/>
      </c>
      <c r="AN1598" s="115"/>
      <c r="AO1598" s="116"/>
      <c r="AP1598" s="116"/>
      <c r="AQ1598" s="116"/>
      <c r="AR1598" s="116"/>
      <c r="AS1598" s="116"/>
      <c r="AT1598" s="116"/>
      <c r="AU1598" s="116"/>
      <c r="AV1598" s="78"/>
      <c r="AW1598" s="102"/>
      <c r="AX1598" s="78"/>
      <c r="AY1598" s="78"/>
      <c r="AZ1598" s="78"/>
      <c r="BA1598" s="78"/>
      <c r="BB1598" s="78"/>
      <c r="BC1598" s="78"/>
      <c r="BD1598" s="78"/>
      <c r="BE1598" s="465"/>
      <c r="BF1598" s="165" t="str">
        <f t="shared" si="1145"/>
        <v>https://www.google.com/search?tbm=isch&amp;q=moist%20sites%F0%9F%92%A7BEST%2C%20Leopard%20Plant%20has%20large%2C%20glossy%20foliage%20with%20bold%20Golden-Yellow%20spots%2C%20giving%20a%20tropical%20feel.%20Cheerful%20Yellow%20blooms%20in%20fall.%20Semi-evergreen%20</v>
      </c>
      <c r="BG1598" s="165" t="str">
        <f t="shared" si="1146"/>
        <v>m</v>
      </c>
      <c r="BH1598" s="65"/>
      <c r="BI1598" s="65"/>
      <c r="BJ1598" s="65"/>
      <c r="BK1598" s="65"/>
      <c r="BL1598" s="99"/>
      <c r="BM1598" s="99"/>
      <c r="BN1598" s="99"/>
    </row>
    <row r="1599" spans="1:66" s="51" customFormat="1" ht="19.5" thickBot="1" x14ac:dyDescent="0.3">
      <c r="A1599" s="686" t="s">
        <v>4942</v>
      </c>
      <c r="B1599" s="73"/>
      <c r="C1599" s="708"/>
      <c r="D1599" s="73"/>
      <c r="E1599" s="73"/>
      <c r="F1599" s="496"/>
      <c r="G1599" s="73"/>
      <c r="H1599" s="73"/>
      <c r="I1599" s="73"/>
      <c r="J1599" s="497" t="s">
        <v>357</v>
      </c>
      <c r="K1599" s="498"/>
      <c r="L1599" s="562"/>
      <c r="M1599" s="73"/>
      <c r="N1599"/>
      <c r="O1599"/>
      <c r="P1599"/>
      <c r="Q1599"/>
      <c r="R1599"/>
      <c r="S1599"/>
      <c r="T1599" s="102">
        <f t="shared" si="1134"/>
        <v>0</v>
      </c>
      <c r="U1599" s="78" t="str">
        <f>IF(NOT(ISNUMBER(G1599)), "", VLOOKUP(A1599,'Discount Lookup'!D:E,2,FALSE)*G1599)</f>
        <v/>
      </c>
      <c r="V1599" s="78" t="str">
        <f>IF(NOT(ISNUMBER(G1599)), "", VLOOKUP(A1599,'Discount Lookup'!G:H,2,FALSE)*G1599)</f>
        <v/>
      </c>
      <c r="W1599" s="102">
        <f t="shared" si="1135"/>
        <v>0</v>
      </c>
      <c r="X1599" s="102">
        <f t="shared" si="1136"/>
        <v>0</v>
      </c>
      <c r="Y1599" s="120" t="b">
        <f t="shared" si="1137"/>
        <v>0</v>
      </c>
      <c r="Z1599" s="117">
        <f t="shared" si="1138"/>
        <v>0</v>
      </c>
      <c r="AA1599" s="118"/>
      <c r="AB1599" s="118" t="str">
        <f t="shared" si="1139"/>
        <v/>
      </c>
      <c r="AC1599" s="712" t="str">
        <f>IF(AE1599="T2G","no charge",IF(AND(OR(PlanterYesMe="No",PlanterYesMe="N",PlanterYesMe="me"),H1599=""),"",IF(H1599="credit","NO install",IF(AND(K1599="",AE1599="me"),"EACH row",IF(AND(K1599="images",AE1599="me"),"EACH row",IF(D1599="","",IF(H1599="credit","",IF(AE1599="free","re-planting",IF(AE1599="me","   not ELP, by",IF(AND(OR(PlanterYesMe="Yes",PlanterYesMe="Y"),G1599&gt;0),(VLOOKUP(A1599,'Discount Lookup'!J:K,2)*G1599*(1-PlanterDiscount)*(1+PlanterDifficultyPercentage)),IF(AE1599="ELP",(VLOOKUP(A1599,'Discount Lookup'!J:K,2)*G1599*(1-PlanterDiscount)*(1+PlanterDifficultyPercentage)),IF(AE1599="free","re-planting",IF(G1599=0,"",IF(PlanterYesMe="",IF(AE1599="me","   not ELP, by",IF(AE1599="",IF(G1599&gt;0,(VLOOKUP(A1599,'Discount Lookup'!J:K,2)*G1599*(1-PlanterDiscount)*(1+PlanterDifficultyPercentage)),""),"")),"   not ELP, by"))))))))))))))</f>
        <v/>
      </c>
      <c r="AD1599" s="712"/>
      <c r="AE1599" s="513" t="str">
        <f t="shared" si="1140"/>
        <v/>
      </c>
      <c r="AF1599" s="713" t="str">
        <f t="shared" si="1141"/>
        <v/>
      </c>
      <c r="AG1599" s="713"/>
      <c r="AH1599" s="713"/>
      <c r="AI1599" s="112">
        <f>IF(H1599="credit",0,IF(AE1599="free",0,IF(AE1599="me",0,IF(G1599&gt;0,(VLOOKUP(A1599,'Discount Lookup'!J:K,2)*G1599),0))))</f>
        <v>0</v>
      </c>
      <c r="AJ1599" s="107" t="str">
        <f t="shared" ca="1" si="1142"/>
        <v/>
      </c>
      <c r="AK1599" s="714" t="str">
        <f t="shared" si="1143"/>
        <v/>
      </c>
      <c r="AL1599" s="714"/>
      <c r="AM1599" s="114" t="str">
        <f t="shared" si="1144"/>
        <v/>
      </c>
      <c r="AN1599" s="115"/>
      <c r="AO1599" s="116"/>
      <c r="AP1599" s="116"/>
      <c r="AQ1599" s="116"/>
      <c r="AR1599" s="116"/>
      <c r="AS1599" s="116"/>
      <c r="AT1599" s="116"/>
      <c r="AU1599" s="116"/>
      <c r="AV1599" s="78"/>
      <c r="AW1599" s="102"/>
      <c r="AX1599" s="78"/>
      <c r="AY1599" s="78"/>
      <c r="AZ1599" s="78"/>
      <c r="BA1599" s="78"/>
      <c r="BB1599" s="78"/>
      <c r="BC1599" s="78"/>
      <c r="BD1599" s="78"/>
      <c r="BE1599" s="465"/>
      <c r="BF1599" s="165" t="str">
        <f t="shared" si="1145"/>
        <v>https://www.google.com/search?tbm=isch&amp;q=Fargesia%20%3D%201%20of%205%20Bamboo%20types%20%28true%20clumper%2C%20non-invasive%29%20</v>
      </c>
      <c r="BG1599" s="165" t="str">
        <f t="shared" si="1146"/>
        <v>F</v>
      </c>
      <c r="BH1599" s="65"/>
      <c r="BI1599" s="65"/>
      <c r="BJ1599" s="65"/>
      <c r="BK1599" s="65"/>
      <c r="BL1599" s="99"/>
      <c r="BM1599" s="99"/>
      <c r="BN1599" s="99"/>
    </row>
    <row r="1600" spans="1:66" s="51" customFormat="1" ht="18" x14ac:dyDescent="0.25">
      <c r="A1600" s="507" t="s">
        <v>2518</v>
      </c>
      <c r="B1600" s="470"/>
      <c r="C1600" s="706"/>
      <c r="D1600" s="471" t="s">
        <v>2519</v>
      </c>
      <c r="E1600" s="472"/>
      <c r="F1600" s="472"/>
      <c r="G1600" s="472"/>
      <c r="H1600" s="622" t="s">
        <v>1231</v>
      </c>
      <c r="I1600" s="473" t="s">
        <v>2520</v>
      </c>
      <c r="J1600" s="472"/>
      <c r="K1600" s="472"/>
      <c r="L1600" s="561"/>
      <c r="M1600" s="703" t="s">
        <v>5274</v>
      </c>
      <c r="N1600" s="692" t="str">
        <f>IF(AND(ISTEXT($A1600), ISERROR($A1600+0)), HYPERLINK($BF1600, "Images"), "")</f>
        <v>Images</v>
      </c>
      <c r="O1600" s="694" t="s">
        <v>5244</v>
      </c>
      <c r="P1600" s="475"/>
      <c r="Q1600" s="476"/>
      <c r="R1600" s="476"/>
      <c r="S1600" s="477"/>
      <c r="T1600" s="102">
        <f t="shared" si="1134"/>
        <v>0</v>
      </c>
      <c r="U1600" s="78" t="str">
        <f>IF(NOT(ISNUMBER(G1600)), "", VLOOKUP(A1600,'Discount Lookup'!D:E,2,FALSE)*G1600)</f>
        <v/>
      </c>
      <c r="V1600" s="78" t="str">
        <f>IF(NOT(ISNUMBER(G1600)), "", VLOOKUP(A1600,'Discount Lookup'!G:H,2,FALSE)*G1600)</f>
        <v/>
      </c>
      <c r="W1600" s="102">
        <f t="shared" si="1135"/>
        <v>0</v>
      </c>
      <c r="X1600" s="102" t="str">
        <f t="shared" si="1136"/>
        <v>Green &amp; Orange-Red</v>
      </c>
      <c r="Y1600" s="120" t="b">
        <f t="shared" si="1137"/>
        <v>0</v>
      </c>
      <c r="Z1600" s="117">
        <f t="shared" si="1138"/>
        <v>0</v>
      </c>
      <c r="AA1600" s="118"/>
      <c r="AB1600" s="118" t="str">
        <f t="shared" si="1139"/>
        <v/>
      </c>
      <c r="AC1600" s="712" t="str">
        <f>IF(AE1600="T2G","no charge",IF(AND(OR(PlanterYesMe="No",PlanterYesMe="N",PlanterYesMe="me"),H1600=""),"",IF(H1600="credit","NO install",IF(AND(K1600="",AE1600="me"),"EACH row",IF(AND(K1600="images",AE1600="me"),"EACH row",IF(D1600="","",IF(H1600="credit","",IF(AE1600="free","re-planting",IF(AE1600="me","   not ELP, by",IF(AND(OR(PlanterYesMe="Yes",PlanterYesMe="Y"),G1600&gt;0),(VLOOKUP(A1600,'Discount Lookup'!J:K,2)*G1600*(1-PlanterDiscount)*(1+PlanterDifficultyPercentage)),IF(AE1600="ELP",(VLOOKUP(A1600,'Discount Lookup'!J:K,2)*G1600*(1-PlanterDiscount)*(1+PlanterDifficultyPercentage)),IF(AE1600="free","re-planting",IF(G1600=0,"",IF(PlanterYesMe="",IF(AE1600="me","   not ELP, by",IF(AE1600="",IF(G1600&gt;0,(VLOOKUP(A1600,'Discount Lookup'!J:K,2)*G1600*(1-PlanterDiscount)*(1+PlanterDifficultyPercentage)),""),"")),"   not ELP, by"))))))))))))))</f>
        <v/>
      </c>
      <c r="AD1600" s="712"/>
      <c r="AE1600" s="513" t="str">
        <f t="shared" si="1140"/>
        <v/>
      </c>
      <c r="AF1600" s="713" t="str">
        <f t="shared" si="1141"/>
        <v/>
      </c>
      <c r="AG1600" s="713"/>
      <c r="AH1600" s="713"/>
      <c r="AI1600" s="112">
        <f>IF(H1600="credit",0,IF(AE1600="free",0,IF(AE1600="me",0,IF(G1600&gt;0,(VLOOKUP(A1600,'Discount Lookup'!J:K,2)*G1600),0))))</f>
        <v>0</v>
      </c>
      <c r="AJ1600" s="107" t="str">
        <f t="shared" ca="1" si="1142"/>
        <v/>
      </c>
      <c r="AK1600" s="714" t="str">
        <f t="shared" si="1143"/>
        <v/>
      </c>
      <c r="AL1600" s="714"/>
      <c r="AM1600" s="114" t="str">
        <f t="shared" si="1144"/>
        <v/>
      </c>
      <c r="AN1600" s="115"/>
      <c r="AO1600" s="116"/>
      <c r="AP1600" s="116"/>
      <c r="AQ1600" s="116"/>
      <c r="AR1600" s="116"/>
      <c r="AS1600" s="116"/>
      <c r="AT1600" s="116"/>
      <c r="AU1600" s="116"/>
      <c r="AV1600" s="78"/>
      <c r="AW1600" s="102"/>
      <c r="AX1600" s="78"/>
      <c r="AY1600" s="78"/>
      <c r="AZ1600" s="78"/>
      <c r="BA1600" s="78"/>
      <c r="BB1600" s="78"/>
      <c r="BC1600" s="78"/>
      <c r="BD1600" s="78"/>
      <c r="BE1600" s="465"/>
      <c r="BF1600" s="165" t="str">
        <f t="shared" si="1145"/>
        <v>https://www.google.com/search?tbm=isch&amp;q=Fargesia%20rufa%20%27Sunset%20Glow%27%20Sunset%20Glow%20Clumping%20Bamboo</v>
      </c>
      <c r="BG1600" s="165" t="str">
        <f t="shared" si="1146"/>
        <v>F</v>
      </c>
      <c r="BH1600" s="65"/>
      <c r="BI1600" s="65"/>
      <c r="BJ1600" s="65"/>
      <c r="BK1600" s="65"/>
      <c r="BL1600" s="99"/>
      <c r="BM1600" s="99"/>
      <c r="BN1600" s="99"/>
    </row>
    <row r="1601" spans="1:66" s="51" customFormat="1" ht="15.75" x14ac:dyDescent="0.25">
      <c r="A1601" s="478">
        <v>3</v>
      </c>
      <c r="B1601" s="479" t="s">
        <v>291</v>
      </c>
      <c r="C1601" s="480" t="s">
        <v>2521</v>
      </c>
      <c r="D1601" s="481" t="s">
        <v>299</v>
      </c>
      <c r="E1601" s="482">
        <v>35.950000000000003</v>
      </c>
      <c r="F1601" s="483" t="s">
        <v>292</v>
      </c>
      <c r="G1601" s="484">
        <v>0</v>
      </c>
      <c r="H1601" s="688" t="str">
        <f>IF(G1601=0,"",IF(F1601="Buy",IF(G1601=1,"plant","plants"),IF(F1601&gt;0.01,"warranty","Error")))</f>
        <v/>
      </c>
      <c r="I1601" s="485">
        <f>IF(H1601="free",0,IF(H1601="credit",((E1601*(F1601))*G1601*-1),IF(F1601="Buy",(E1601*G1601),((E1601*(1-F1601))*G1601))))</f>
        <v>0</v>
      </c>
      <c r="J1601" s="485">
        <f>IF(H1601="warranty",0,(I1601*(_xlfn.SINGLE(SalesTaxPercentage))))</f>
        <v>0</v>
      </c>
      <c r="K1601" s="715">
        <f t="shared" ref="K1601" si="1161">I1601+J1601</f>
        <v>0</v>
      </c>
      <c r="L1601" s="715"/>
      <c r="M1601" s="689" t="str">
        <f ca="1">IF(AND(G1601&gt;0,E1601=0),"WARNING - no PRICE inserted",IF(H1601="free","FREE ~ no charge this plant",IF(H1601="credit",CONCATENATE("-$",ROUND(K1601*(1-_xlfn.SINGLE(T2GDiscount))*-1,2)," CREDIT after discount"),IF(_xlfn.SINGLE(T2GDiscount)=0,"",IF(G1601=0,"",IF(F1601="Buy",CONCATENATE("$",ROUND(K1601*(1-_xlfn.SINGLE(T2GDiscount)),2)," with ",(_xlfn.SINGLE(T2GDiscount)*100),"% discount"),CONCATENATE("$",ROUND(K1601*(1-_xlfn.SINGLE(T2GDiscount)),2)," with ",((_xlfn.SINGLE(T2GDiscount)*100+F1601*100)-(_xlfn.SINGLE(T2GDiscount)*100*F1601)),IF(F1601&gt;0,"% discounts",IF(_xlfn.SINGLE(NoWarrantyDiscount)&gt;0,"% discounts","% discount")))))))))</f>
        <v/>
      </c>
      <c r="N1601" s="690"/>
      <c r="O1601" s="486"/>
      <c r="P1601" s="486"/>
      <c r="Q1601" s="486"/>
      <c r="R1601" s="486"/>
      <c r="S1601" s="486"/>
      <c r="T1601" s="102">
        <f t="shared" si="1134"/>
        <v>0</v>
      </c>
      <c r="U1601" s="78">
        <f>IF(NOT(ISNUMBER(G1601)), "", VLOOKUP(A1601,'Discount Lookup'!D:E,2,FALSE)*G1601)</f>
        <v>0</v>
      </c>
      <c r="V1601" s="78">
        <f>IF(NOT(ISNUMBER(G1601)), "", VLOOKUP(A1601,'Discount Lookup'!G:H,2,FALSE)*G1601)</f>
        <v>0</v>
      </c>
      <c r="W1601" s="102">
        <f t="shared" si="1135"/>
        <v>0</v>
      </c>
      <c r="X1601" s="102">
        <f t="shared" si="1136"/>
        <v>0</v>
      </c>
      <c r="Y1601" s="120" t="b">
        <f t="shared" si="1137"/>
        <v>0</v>
      </c>
      <c r="Z1601" s="117">
        <f t="shared" si="1138"/>
        <v>0</v>
      </c>
      <c r="AA1601" s="118"/>
      <c r="AB1601" s="118" t="str">
        <f t="shared" si="1139"/>
        <v/>
      </c>
      <c r="AC1601" s="712" t="str">
        <f>IF(AE1601="T2G","no charge",IF(AND(OR(PlanterYesMe="No",PlanterYesMe="N",PlanterYesMe="me"),H1601=""),"",IF(H1601="credit","NO install",IF(AND(K1601="",AE1601="me"),"EACH row",IF(AND(K1601="images",AE1601="me"),"EACH row",IF(D1601="","",IF(H1601="credit","",IF(AE1601="free","re-planting",IF(AE1601="me","   not ELP, by",IF(AND(OR(PlanterYesMe="Yes",PlanterYesMe="Y"),G1601&gt;0),(VLOOKUP(A1601,'Discount Lookup'!J:K,2)*G1601*(1-PlanterDiscount)*(1+PlanterDifficultyPercentage)),IF(AE1601="ELP",(VLOOKUP(A1601,'Discount Lookup'!J:K,2)*G1601*(1-PlanterDiscount)*(1+PlanterDifficultyPercentage)),IF(AE1601="free","re-planting",IF(G1601=0,"",IF(PlanterYesMe="",IF(AE1601="me","   not ELP, by",IF(AE1601="",IF(G1601&gt;0,(VLOOKUP(A1601,'Discount Lookup'!J:K,2)*G1601*(1-PlanterDiscount)*(1+PlanterDifficultyPercentage)),""),"")),"   not ELP, by"))))))))))))))</f>
        <v/>
      </c>
      <c r="AD1601" s="712"/>
      <c r="AE1601" s="513" t="str">
        <f t="shared" si="1140"/>
        <v/>
      </c>
      <c r="AF1601" s="713" t="str">
        <f t="shared" si="1141"/>
        <v/>
      </c>
      <c r="AG1601" s="713"/>
      <c r="AH1601" s="713"/>
      <c r="AI1601" s="112">
        <f>IF(H1601="credit",0,IF(AE1601="free",0,IF(AE1601="me",0,IF(G1601&gt;0,(VLOOKUP(A1601,'Discount Lookup'!J:K,2)*G1601),0))))</f>
        <v>0</v>
      </c>
      <c r="AJ1601" s="107" t="str">
        <f t="shared" ca="1" si="1142"/>
        <v/>
      </c>
      <c r="AK1601" s="714" t="str">
        <f t="shared" si="1143"/>
        <v/>
      </c>
      <c r="AL1601" s="714"/>
      <c r="AM1601" s="114" t="str">
        <f t="shared" si="1144"/>
        <v/>
      </c>
      <c r="AN1601" s="115"/>
      <c r="AO1601" s="116"/>
      <c r="AP1601" s="116"/>
      <c r="AQ1601" s="116"/>
      <c r="AR1601" s="116"/>
      <c r="AS1601" s="116"/>
      <c r="AT1601" s="116"/>
      <c r="AU1601" s="116"/>
      <c r="AV1601" s="78"/>
      <c r="AW1601" s="102"/>
      <c r="AX1601" s="78"/>
      <c r="AY1601" s="78"/>
      <c r="AZ1601" s="78"/>
      <c r="BA1601" s="78"/>
      <c r="BB1601" s="78"/>
      <c r="BC1601" s="78"/>
      <c r="BD1601" s="78"/>
      <c r="BE1601" s="465"/>
      <c r="BF1601" s="165" t="str">
        <f t="shared" si="1145"/>
        <v>https://www.google.com/search?tbm=isch&amp;q=3%20G4</v>
      </c>
      <c r="BG1601" s="165" t="str">
        <f t="shared" si="1146"/>
        <v>F</v>
      </c>
      <c r="BH1601" s="65"/>
      <c r="BI1601" s="65"/>
      <c r="BJ1601" s="65"/>
      <c r="BK1601" s="65"/>
      <c r="BL1601" s="99"/>
      <c r="BM1601" s="99"/>
      <c r="BN1601" s="99"/>
    </row>
    <row r="1602" spans="1:66" s="51" customFormat="1" ht="15.75" x14ac:dyDescent="0.25">
      <c r="A1602" s="508" t="s">
        <v>2522</v>
      </c>
      <c r="B1602" s="487"/>
      <c r="C1602" s="707"/>
      <c r="D1602" s="487"/>
      <c r="E1602" s="487"/>
      <c r="F1602" s="488"/>
      <c r="G1602" s="489"/>
      <c r="H1602" s="487"/>
      <c r="I1602" s="490"/>
      <c r="J1602" s="490"/>
      <c r="K1602" s="491"/>
      <c r="L1602" s="547"/>
      <c r="M1602" s="528"/>
      <c r="N1602" s="492"/>
      <c r="O1602" s="493"/>
      <c r="P1602" s="494"/>
      <c r="Q1602" s="492"/>
      <c r="R1602" s="492"/>
      <c r="S1602" s="699" t="s">
        <v>5259</v>
      </c>
      <c r="T1602" s="102">
        <f t="shared" si="1134"/>
        <v>0</v>
      </c>
      <c r="U1602" s="78" t="str">
        <f>IF(NOT(ISNUMBER(G1602)), "", VLOOKUP(A1602,'Discount Lookup'!D:E,2,FALSE)*G1602)</f>
        <v/>
      </c>
      <c r="V1602" s="78" t="str">
        <f>IF(NOT(ISNUMBER(G1602)), "", VLOOKUP(A1602,'Discount Lookup'!G:H,2,FALSE)*G1602)</f>
        <v/>
      </c>
      <c r="W1602" s="102">
        <f t="shared" si="1135"/>
        <v>0</v>
      </c>
      <c r="X1602" s="102">
        <f t="shared" si="1136"/>
        <v>0</v>
      </c>
      <c r="Y1602" s="120" t="b">
        <f t="shared" si="1137"/>
        <v>0</v>
      </c>
      <c r="Z1602" s="117">
        <f t="shared" si="1138"/>
        <v>0</v>
      </c>
      <c r="AA1602" s="118"/>
      <c r="AB1602" s="118" t="str">
        <f t="shared" si="1139"/>
        <v/>
      </c>
      <c r="AC1602" s="712" t="str">
        <f>IF(AE1602="T2G","no charge",IF(AND(OR(PlanterYesMe="No",PlanterYesMe="N",PlanterYesMe="me"),H1602=""),"",IF(H1602="credit","NO install",IF(AND(K1602="",AE1602="me"),"EACH row",IF(AND(K1602="images",AE1602="me"),"EACH row",IF(D1602="","",IF(H1602="credit","",IF(AE1602="free","re-planting",IF(AE1602="me","   not ELP, by",IF(AND(OR(PlanterYesMe="Yes",PlanterYesMe="Y"),G1602&gt;0),(VLOOKUP(A1602,'Discount Lookup'!J:K,2)*G1602*(1-PlanterDiscount)*(1+PlanterDifficultyPercentage)),IF(AE1602="ELP",(VLOOKUP(A1602,'Discount Lookup'!J:K,2)*G1602*(1-PlanterDiscount)*(1+PlanterDifficultyPercentage)),IF(AE1602="free","re-planting",IF(G1602=0,"",IF(PlanterYesMe="",IF(AE1602="me","   not ELP, by",IF(AE1602="",IF(G1602&gt;0,(VLOOKUP(A1602,'Discount Lookup'!J:K,2)*G1602*(1-PlanterDiscount)*(1+PlanterDifficultyPercentage)),""),"")),"   not ELP, by"))))))))))))))</f>
        <v/>
      </c>
      <c r="AD1602" s="712"/>
      <c r="AE1602" s="513" t="str">
        <f t="shared" si="1140"/>
        <v/>
      </c>
      <c r="AF1602" s="713" t="str">
        <f t="shared" si="1141"/>
        <v/>
      </c>
      <c r="AG1602" s="713"/>
      <c r="AH1602" s="713"/>
      <c r="AI1602" s="112">
        <f>IF(H1602="credit",0,IF(AE1602="free",0,IF(AE1602="me",0,IF(G1602&gt;0,(VLOOKUP(A1602,'Discount Lookup'!J:K,2)*G1602),0))))</f>
        <v>0</v>
      </c>
      <c r="AJ1602" s="107" t="str">
        <f t="shared" ca="1" si="1142"/>
        <v/>
      </c>
      <c r="AK1602" s="714" t="str">
        <f t="shared" si="1143"/>
        <v/>
      </c>
      <c r="AL1602" s="714"/>
      <c r="AM1602" s="114" t="str">
        <f t="shared" si="1144"/>
        <v/>
      </c>
      <c r="AN1602" s="115"/>
      <c r="AO1602" s="116"/>
      <c r="AP1602" s="116"/>
      <c r="AQ1602" s="116"/>
      <c r="AR1602" s="116"/>
      <c r="AS1602" s="116"/>
      <c r="AT1602" s="116"/>
      <c r="AU1602" s="116"/>
      <c r="AV1602" s="78"/>
      <c r="AW1602" s="102"/>
      <c r="AX1602" s="78"/>
      <c r="AY1602" s="78"/>
      <c r="AZ1602" s="78"/>
      <c r="BA1602" s="78"/>
      <c r="BB1602" s="78"/>
      <c r="BC1602" s="78"/>
      <c r="BD1602" s="78"/>
      <c r="BE1602" s="465"/>
      <c r="BF1602" s="165" t="str">
        <f t="shared" si="1145"/>
        <v>https://www.google.com/search?tbm=isch&amp;q=Sunset%20Glow%20is%20a%20clumping%20type%2C%20non-invasive.%20Its%20Orange-Red%20cane%20sheaths%20add%20vivid%20contrast%20to%20the%20Green%20culms%2C%20Very%20cold-hardy%20</v>
      </c>
      <c r="BG1602" s="165" t="str">
        <f t="shared" si="1146"/>
        <v>S</v>
      </c>
      <c r="BH1602" s="65"/>
      <c r="BI1602" s="65"/>
      <c r="BJ1602" s="65"/>
      <c r="BK1602" s="65"/>
      <c r="BL1602" s="99"/>
      <c r="BM1602" s="99"/>
      <c r="BN1602" s="99"/>
    </row>
    <row r="1603" spans="1:66" s="51" customFormat="1" ht="19.5" thickBot="1" x14ac:dyDescent="0.3">
      <c r="A1603" s="686" t="s">
        <v>907</v>
      </c>
      <c r="B1603" s="73"/>
      <c r="C1603" s="708"/>
      <c r="D1603" s="73"/>
      <c r="E1603" s="73"/>
      <c r="F1603" s="496"/>
      <c r="G1603" s="73"/>
      <c r="H1603" s="73"/>
      <c r="I1603" s="73"/>
      <c r="J1603" s="497" t="s">
        <v>357</v>
      </c>
      <c r="K1603" s="498"/>
      <c r="L1603" s="562"/>
      <c r="M1603" s="73"/>
      <c r="N1603"/>
      <c r="O1603"/>
      <c r="P1603"/>
      <c r="Q1603"/>
      <c r="R1603"/>
      <c r="S1603"/>
      <c r="T1603" s="102">
        <f t="shared" si="1134"/>
        <v>0</v>
      </c>
      <c r="U1603" s="78" t="str">
        <f>IF(NOT(ISNUMBER(G1603)), "", VLOOKUP(A1603,'Discount Lookup'!D:E,2,FALSE)*G1603)</f>
        <v/>
      </c>
      <c r="V1603" s="78" t="str">
        <f>IF(NOT(ISNUMBER(G1603)), "", VLOOKUP(A1603,'Discount Lookup'!G:H,2,FALSE)*G1603)</f>
        <v/>
      </c>
      <c r="W1603" s="102">
        <f t="shared" si="1135"/>
        <v>0</v>
      </c>
      <c r="X1603" s="102">
        <f t="shared" si="1136"/>
        <v>0</v>
      </c>
      <c r="Y1603" s="120" t="b">
        <f t="shared" si="1137"/>
        <v>0</v>
      </c>
      <c r="Z1603" s="117">
        <f t="shared" si="1138"/>
        <v>0</v>
      </c>
      <c r="AA1603" s="118"/>
      <c r="AB1603" s="118" t="str">
        <f t="shared" si="1139"/>
        <v/>
      </c>
      <c r="AC1603" s="712" t="str">
        <f>IF(AE1603="T2G","no charge",IF(AND(OR(PlanterYesMe="No",PlanterYesMe="N",PlanterYesMe="me"),H1603=""),"",IF(H1603="credit","NO install",IF(AND(K1603="",AE1603="me"),"EACH row",IF(AND(K1603="images",AE1603="me"),"EACH row",IF(D1603="","",IF(H1603="credit","",IF(AE1603="free","re-planting",IF(AE1603="me","   not ELP, by",IF(AND(OR(PlanterYesMe="Yes",PlanterYesMe="Y"),G1603&gt;0),(VLOOKUP(A1603,'Discount Lookup'!J:K,2)*G1603*(1-PlanterDiscount)*(1+PlanterDifficultyPercentage)),IF(AE1603="ELP",(VLOOKUP(A1603,'Discount Lookup'!J:K,2)*G1603*(1-PlanterDiscount)*(1+PlanterDifficultyPercentage)),IF(AE1603="free","re-planting",IF(G1603=0,"",IF(PlanterYesMe="",IF(AE1603="me","   not ELP, by",IF(AE1603="",IF(G1603&gt;0,(VLOOKUP(A1603,'Discount Lookup'!J:K,2)*G1603*(1-PlanterDiscount)*(1+PlanterDifficultyPercentage)),""),"")),"   not ELP, by"))))))))))))))</f>
        <v/>
      </c>
      <c r="AD1603" s="712"/>
      <c r="AE1603" s="513" t="str">
        <f t="shared" si="1140"/>
        <v/>
      </c>
      <c r="AF1603" s="713" t="str">
        <f t="shared" si="1141"/>
        <v/>
      </c>
      <c r="AG1603" s="713"/>
      <c r="AH1603" s="713"/>
      <c r="AI1603" s="112">
        <f>IF(H1603="credit",0,IF(AE1603="free",0,IF(AE1603="me",0,IF(G1603&gt;0,(VLOOKUP(A1603,'Discount Lookup'!J:K,2)*G1603),0))))</f>
        <v>0</v>
      </c>
      <c r="AJ1603" s="107" t="str">
        <f t="shared" ca="1" si="1142"/>
        <v/>
      </c>
      <c r="AK1603" s="714" t="str">
        <f t="shared" si="1143"/>
        <v/>
      </c>
      <c r="AL1603" s="714"/>
      <c r="AM1603" s="114" t="str">
        <f t="shared" si="1144"/>
        <v/>
      </c>
      <c r="AN1603" s="115"/>
      <c r="AO1603" s="116"/>
      <c r="AP1603" s="116"/>
      <c r="AQ1603" s="116"/>
      <c r="AR1603" s="116"/>
      <c r="AS1603" s="116"/>
      <c r="AT1603" s="116"/>
      <c r="AU1603" s="116"/>
      <c r="AV1603" s="78"/>
      <c r="AW1603" s="102"/>
      <c r="AX1603" s="78"/>
      <c r="AY1603" s="78"/>
      <c r="AZ1603" s="78"/>
      <c r="BA1603" s="78"/>
      <c r="BB1603" s="78"/>
      <c r="BC1603" s="78"/>
      <c r="BD1603" s="78"/>
      <c r="BE1603" s="465"/>
      <c r="BF1603" s="165" t="str">
        <f t="shared" si="1145"/>
        <v>https://www.google.com/search?tbm=isch&amp;q=Fatshedera%20%3D%20Tree%20Ivy%20</v>
      </c>
      <c r="BG1603" s="165" t="str">
        <f t="shared" si="1146"/>
        <v>F</v>
      </c>
      <c r="BH1603" s="65"/>
      <c r="BI1603" s="65"/>
      <c r="BJ1603" s="65"/>
      <c r="BK1603" s="65"/>
      <c r="BL1603" s="99"/>
      <c r="BM1603" s="99"/>
      <c r="BN1603" s="99"/>
    </row>
    <row r="1604" spans="1:66" s="51" customFormat="1" ht="18" x14ac:dyDescent="0.25">
      <c r="A1604" s="507" t="s">
        <v>2523</v>
      </c>
      <c r="B1604" s="470"/>
      <c r="C1604" s="706"/>
      <c r="D1604" s="471" t="s">
        <v>2524</v>
      </c>
      <c r="E1604" s="472"/>
      <c r="F1604" s="472"/>
      <c r="G1604" s="472"/>
      <c r="H1604" s="622" t="s">
        <v>1082</v>
      </c>
      <c r="I1604" s="473" t="s">
        <v>431</v>
      </c>
      <c r="J1604" s="472"/>
      <c r="K1604" s="472"/>
      <c r="L1604" s="561"/>
      <c r="M1604" s="703" t="s">
        <v>5260</v>
      </c>
      <c r="N1604" s="692" t="str">
        <f>IF(AND(ISTEXT($A1604), ISERROR($A1604+0)), HYPERLINK($BF1604, "Images"), "")</f>
        <v>Images</v>
      </c>
      <c r="O1604" s="694" t="s">
        <v>5247</v>
      </c>
      <c r="P1604" s="475"/>
      <c r="Q1604" s="476"/>
      <c r="R1604" s="476"/>
      <c r="S1604" s="477"/>
      <c r="T1604" s="102">
        <f t="shared" si="1134"/>
        <v>0</v>
      </c>
      <c r="U1604" s="78" t="str">
        <f>IF(NOT(ISNUMBER(G1604)), "", VLOOKUP(A1604,'Discount Lookup'!D:E,2,FALSE)*G1604)</f>
        <v/>
      </c>
      <c r="V1604" s="78" t="str">
        <f>IF(NOT(ISNUMBER(G1604)), "", VLOOKUP(A1604,'Discount Lookup'!G:H,2,FALSE)*G1604)</f>
        <v/>
      </c>
      <c r="W1604" s="102">
        <f t="shared" si="1135"/>
        <v>0</v>
      </c>
      <c r="X1604" s="102" t="str">
        <f t="shared" si="1136"/>
        <v>Dark Green foliage</v>
      </c>
      <c r="Y1604" s="120" t="b">
        <f t="shared" si="1137"/>
        <v>0</v>
      </c>
      <c r="Z1604" s="117">
        <f t="shared" si="1138"/>
        <v>0</v>
      </c>
      <c r="AA1604" s="118"/>
      <c r="AB1604" s="118" t="str">
        <f t="shared" si="1139"/>
        <v/>
      </c>
      <c r="AC1604" s="712" t="str">
        <f>IF(AE1604="T2G","no charge",IF(AND(OR(PlanterYesMe="No",PlanterYesMe="N",PlanterYesMe="me"),H1604=""),"",IF(H1604="credit","NO install",IF(AND(K1604="",AE1604="me"),"EACH row",IF(AND(K1604="images",AE1604="me"),"EACH row",IF(D1604="","",IF(H1604="credit","",IF(AE1604="free","re-planting",IF(AE1604="me","   not ELP, by",IF(AND(OR(PlanterYesMe="Yes",PlanterYesMe="Y"),G1604&gt;0),(VLOOKUP(A1604,'Discount Lookup'!J:K,2)*G1604*(1-PlanterDiscount)*(1+PlanterDifficultyPercentage)),IF(AE1604="ELP",(VLOOKUP(A1604,'Discount Lookup'!J:K,2)*G1604*(1-PlanterDiscount)*(1+PlanterDifficultyPercentage)),IF(AE1604="free","re-planting",IF(G1604=0,"",IF(PlanterYesMe="",IF(AE1604="me","   not ELP, by",IF(AE1604="",IF(G1604&gt;0,(VLOOKUP(A1604,'Discount Lookup'!J:K,2)*G1604*(1-PlanterDiscount)*(1+PlanterDifficultyPercentage)),""),"")),"   not ELP, by"))))))))))))))</f>
        <v/>
      </c>
      <c r="AD1604" s="712"/>
      <c r="AE1604" s="513" t="str">
        <f t="shared" si="1140"/>
        <v/>
      </c>
      <c r="AF1604" s="713" t="str">
        <f t="shared" si="1141"/>
        <v/>
      </c>
      <c r="AG1604" s="713"/>
      <c r="AH1604" s="713"/>
      <c r="AI1604" s="112">
        <f>IF(H1604="credit",0,IF(AE1604="free",0,IF(AE1604="me",0,IF(G1604&gt;0,(VLOOKUP(A1604,'Discount Lookup'!J:K,2)*G1604),0))))</f>
        <v>0</v>
      </c>
      <c r="AJ1604" s="107" t="str">
        <f t="shared" ca="1" si="1142"/>
        <v/>
      </c>
      <c r="AK1604" s="714" t="str">
        <f t="shared" si="1143"/>
        <v/>
      </c>
      <c r="AL1604" s="714"/>
      <c r="AM1604" s="114" t="str">
        <f t="shared" si="1144"/>
        <v/>
      </c>
      <c r="AN1604" s="115"/>
      <c r="AO1604" s="116"/>
      <c r="AP1604" s="116"/>
      <c r="AQ1604" s="116"/>
      <c r="AR1604" s="116"/>
      <c r="AS1604" s="116"/>
      <c r="AT1604" s="116"/>
      <c r="AU1604" s="116"/>
      <c r="AV1604" s="78"/>
      <c r="AW1604" s="102"/>
      <c r="AX1604" s="78"/>
      <c r="AY1604" s="78"/>
      <c r="AZ1604" s="78"/>
      <c r="BA1604" s="78"/>
      <c r="BB1604" s="78"/>
      <c r="BC1604" s="78"/>
      <c r="BD1604" s="78"/>
      <c r="BE1604" s="465"/>
      <c r="BF1604" s="165" t="str">
        <f t="shared" si="1145"/>
        <v>https://www.google.com/search?tbm=isch&amp;q=Fatshedera%20lizei%20Aralia%20Ivy%20Tree</v>
      </c>
      <c r="BG1604" s="165" t="str">
        <f t="shared" si="1146"/>
        <v>F</v>
      </c>
      <c r="BH1604" s="65"/>
      <c r="BI1604" s="65"/>
      <c r="BJ1604" s="65"/>
      <c r="BK1604" s="65"/>
      <c r="BL1604" s="99"/>
      <c r="BM1604" s="99"/>
      <c r="BN1604" s="99"/>
    </row>
    <row r="1605" spans="1:66" s="51" customFormat="1" ht="15.75" x14ac:dyDescent="0.25">
      <c r="A1605" s="478">
        <v>3</v>
      </c>
      <c r="B1605" s="479" t="s">
        <v>291</v>
      </c>
      <c r="C1605" s="480"/>
      <c r="D1605" s="481" t="s">
        <v>310</v>
      </c>
      <c r="E1605" s="482">
        <v>30.95</v>
      </c>
      <c r="F1605" s="483" t="s">
        <v>292</v>
      </c>
      <c r="G1605" s="484">
        <v>0</v>
      </c>
      <c r="H1605" s="688" t="str">
        <f>IF(G1605=0,"",IF(F1605="Buy",IF(G1605=1,"plant","plants"),IF(F1605&gt;0.01,"warranty","Error")))</f>
        <v/>
      </c>
      <c r="I1605" s="485">
        <f>IF(H1605="free",0,IF(H1605="credit",((E1605*(F1605))*G1605*-1),IF(F1605="Buy",(E1605*G1605),((E1605*(1-F1605))*G1605))))</f>
        <v>0</v>
      </c>
      <c r="J1605" s="485">
        <f>IF(H1605="warranty",0,(I1605*(_xlfn.SINGLE(SalesTaxPercentage))))</f>
        <v>0</v>
      </c>
      <c r="K1605" s="715">
        <f t="shared" ref="K1605" si="1162">I1605+J1605</f>
        <v>0</v>
      </c>
      <c r="L1605" s="715"/>
      <c r="M1605" s="689" t="str">
        <f ca="1">IF(AND(G1605&gt;0,E1605=0),"WARNING - no PRICE inserted",IF(H1605="free","FREE ~ no charge this plant",IF(H1605="credit",CONCATENATE("-$",ROUND(K1605*(1-_xlfn.SINGLE(T2GDiscount))*-1,2)," CREDIT after discount"),IF(_xlfn.SINGLE(T2GDiscount)=0,"",IF(G1605=0,"",IF(F1605="Buy",CONCATENATE("$",ROUND(K1605*(1-_xlfn.SINGLE(T2GDiscount)),2)," with ",(_xlfn.SINGLE(T2GDiscount)*100),"% discount"),CONCATENATE("$",ROUND(K1605*(1-_xlfn.SINGLE(T2GDiscount)),2)," with ",((_xlfn.SINGLE(T2GDiscount)*100+F1605*100)-(_xlfn.SINGLE(T2GDiscount)*100*F1605)),IF(F1605&gt;0,"% discounts",IF(_xlfn.SINGLE(NoWarrantyDiscount)&gt;0,"% discounts","% discount")))))))))</f>
        <v/>
      </c>
      <c r="N1605" s="690"/>
      <c r="O1605" s="486"/>
      <c r="P1605" s="486"/>
      <c r="Q1605" s="486"/>
      <c r="R1605" s="486"/>
      <c r="S1605" s="486"/>
      <c r="T1605" s="102">
        <f t="shared" si="1134"/>
        <v>0</v>
      </c>
      <c r="U1605" s="78">
        <f>IF(NOT(ISNUMBER(G1605)), "", VLOOKUP(A1605,'Discount Lookup'!D:E,2,FALSE)*G1605)</f>
        <v>0</v>
      </c>
      <c r="V1605" s="78">
        <f>IF(NOT(ISNUMBER(G1605)), "", VLOOKUP(A1605,'Discount Lookup'!G:H,2,FALSE)*G1605)</f>
        <v>0</v>
      </c>
      <c r="W1605" s="102">
        <f t="shared" si="1135"/>
        <v>0</v>
      </c>
      <c r="X1605" s="102">
        <f t="shared" si="1136"/>
        <v>0</v>
      </c>
      <c r="Y1605" s="120" t="b">
        <f t="shared" si="1137"/>
        <v>0</v>
      </c>
      <c r="Z1605" s="117">
        <f t="shared" si="1138"/>
        <v>0</v>
      </c>
      <c r="AA1605" s="118"/>
      <c r="AB1605" s="118" t="str">
        <f t="shared" si="1139"/>
        <v/>
      </c>
      <c r="AC1605" s="712" t="str">
        <f>IF(AE1605="T2G","no charge",IF(AND(OR(PlanterYesMe="No",PlanterYesMe="N",PlanterYesMe="me"),H1605=""),"",IF(H1605="credit","NO install",IF(AND(K1605="",AE1605="me"),"EACH row",IF(AND(K1605="images",AE1605="me"),"EACH row",IF(D1605="","",IF(H1605="credit","",IF(AE1605="free","re-planting",IF(AE1605="me","   not ELP, by",IF(AND(OR(PlanterYesMe="Yes",PlanterYesMe="Y"),G1605&gt;0),(VLOOKUP(A1605,'Discount Lookup'!J:K,2)*G1605*(1-PlanterDiscount)*(1+PlanterDifficultyPercentage)),IF(AE1605="ELP",(VLOOKUP(A1605,'Discount Lookup'!J:K,2)*G1605*(1-PlanterDiscount)*(1+PlanterDifficultyPercentage)),IF(AE1605="free","re-planting",IF(G1605=0,"",IF(PlanterYesMe="",IF(AE1605="me","   not ELP, by",IF(AE1605="",IF(G1605&gt;0,(VLOOKUP(A1605,'Discount Lookup'!J:K,2)*G1605*(1-PlanterDiscount)*(1+PlanterDifficultyPercentage)),""),"")),"   not ELP, by"))))))))))))))</f>
        <v/>
      </c>
      <c r="AD1605" s="712"/>
      <c r="AE1605" s="513" t="str">
        <f t="shared" si="1140"/>
        <v/>
      </c>
      <c r="AF1605" s="713" t="str">
        <f t="shared" si="1141"/>
        <v/>
      </c>
      <c r="AG1605" s="713"/>
      <c r="AH1605" s="713"/>
      <c r="AI1605" s="112">
        <f>IF(H1605="credit",0,IF(AE1605="free",0,IF(AE1605="me",0,IF(G1605&gt;0,(VLOOKUP(A1605,'Discount Lookup'!J:K,2)*G1605),0))))</f>
        <v>0</v>
      </c>
      <c r="AJ1605" s="107" t="str">
        <f t="shared" ca="1" si="1142"/>
        <v/>
      </c>
      <c r="AK1605" s="714" t="str">
        <f t="shared" si="1143"/>
        <v/>
      </c>
      <c r="AL1605" s="714"/>
      <c r="AM1605" s="114" t="str">
        <f t="shared" si="1144"/>
        <v/>
      </c>
      <c r="AN1605" s="115"/>
      <c r="AO1605" s="116"/>
      <c r="AP1605" s="116"/>
      <c r="AQ1605" s="116"/>
      <c r="AR1605" s="116"/>
      <c r="AS1605" s="116"/>
      <c r="AT1605" s="116"/>
      <c r="AU1605" s="116"/>
      <c r="AV1605" s="78"/>
      <c r="AW1605" s="102"/>
      <c r="AX1605" s="78"/>
      <c r="AY1605" s="78"/>
      <c r="AZ1605" s="78"/>
      <c r="BA1605" s="78"/>
      <c r="BB1605" s="78"/>
      <c r="BC1605" s="78"/>
      <c r="BD1605" s="78"/>
      <c r="BE1605" s="465"/>
      <c r="BF1605" s="165" t="str">
        <f t="shared" si="1145"/>
        <v>https://www.google.com/search?tbm=isch&amp;q=3%20G1</v>
      </c>
      <c r="BG1605" s="165" t="str">
        <f t="shared" si="1146"/>
        <v>F</v>
      </c>
      <c r="BH1605" s="65"/>
      <c r="BI1605" s="65"/>
      <c r="BJ1605" s="65"/>
      <c r="BK1605" s="65"/>
      <c r="BL1605" s="99"/>
      <c r="BM1605" s="99"/>
      <c r="BN1605" s="99"/>
    </row>
    <row r="1606" spans="1:66" s="51" customFormat="1" ht="15.75" x14ac:dyDescent="0.25">
      <c r="A1606" s="508" t="s">
        <v>2525</v>
      </c>
      <c r="B1606" s="487"/>
      <c r="C1606" s="707"/>
      <c r="D1606" s="487"/>
      <c r="E1606" s="487"/>
      <c r="F1606" s="488"/>
      <c r="G1606" s="489"/>
      <c r="H1606" s="487"/>
      <c r="I1606" s="490"/>
      <c r="J1606" s="490"/>
      <c r="K1606" s="491"/>
      <c r="L1606" s="547"/>
      <c r="M1606" s="528"/>
      <c r="N1606" s="492"/>
      <c r="O1606" s="493"/>
      <c r="P1606" s="494"/>
      <c r="Q1606" s="492"/>
      <c r="R1606" s="492"/>
      <c r="S1606" s="495"/>
      <c r="T1606" s="102">
        <f t="shared" si="1134"/>
        <v>0</v>
      </c>
      <c r="U1606" s="78" t="str">
        <f>IF(NOT(ISNUMBER(G1606)), "", VLOOKUP(A1606,'Discount Lookup'!D:E,2,FALSE)*G1606)</f>
        <v/>
      </c>
      <c r="V1606" s="78" t="str">
        <f>IF(NOT(ISNUMBER(G1606)), "", VLOOKUP(A1606,'Discount Lookup'!G:H,2,FALSE)*G1606)</f>
        <v/>
      </c>
      <c r="W1606" s="102">
        <f t="shared" si="1135"/>
        <v>0</v>
      </c>
      <c r="X1606" s="102">
        <f t="shared" si="1136"/>
        <v>0</v>
      </c>
      <c r="Y1606" s="120" t="b">
        <f t="shared" si="1137"/>
        <v>0</v>
      </c>
      <c r="Z1606" s="117">
        <f t="shared" si="1138"/>
        <v>0</v>
      </c>
      <c r="AA1606" s="118"/>
      <c r="AB1606" s="118" t="str">
        <f t="shared" si="1139"/>
        <v/>
      </c>
      <c r="AC1606" s="712" t="str">
        <f>IF(AE1606="T2G","no charge",IF(AND(OR(PlanterYesMe="No",PlanterYesMe="N",PlanterYesMe="me"),H1606=""),"",IF(H1606="credit","NO install",IF(AND(K1606="",AE1606="me"),"EACH row",IF(AND(K1606="images",AE1606="me"),"EACH row",IF(D1606="","",IF(H1606="credit","",IF(AE1606="free","re-planting",IF(AE1606="me","   not ELP, by",IF(AND(OR(PlanterYesMe="Yes",PlanterYesMe="Y"),G1606&gt;0),(VLOOKUP(A1606,'Discount Lookup'!J:K,2)*G1606*(1-PlanterDiscount)*(1+PlanterDifficultyPercentage)),IF(AE1606="ELP",(VLOOKUP(A1606,'Discount Lookup'!J:K,2)*G1606*(1-PlanterDiscount)*(1+PlanterDifficultyPercentage)),IF(AE1606="free","re-planting",IF(G1606=0,"",IF(PlanterYesMe="",IF(AE1606="me","   not ELP, by",IF(AE1606="",IF(G1606&gt;0,(VLOOKUP(A1606,'Discount Lookup'!J:K,2)*G1606*(1-PlanterDiscount)*(1+PlanterDifficultyPercentage)),""),"")),"   not ELP, by"))))))))))))))</f>
        <v/>
      </c>
      <c r="AD1606" s="712"/>
      <c r="AE1606" s="513" t="str">
        <f t="shared" si="1140"/>
        <v/>
      </c>
      <c r="AF1606" s="713" t="str">
        <f t="shared" si="1141"/>
        <v/>
      </c>
      <c r="AG1606" s="713"/>
      <c r="AH1606" s="713"/>
      <c r="AI1606" s="112">
        <f>IF(H1606="credit",0,IF(AE1606="free",0,IF(AE1606="me",0,IF(G1606&gt;0,(VLOOKUP(A1606,'Discount Lookup'!J:K,2)*G1606),0))))</f>
        <v>0</v>
      </c>
      <c r="AJ1606" s="107" t="str">
        <f t="shared" ca="1" si="1142"/>
        <v/>
      </c>
      <c r="AK1606" s="714" t="str">
        <f t="shared" si="1143"/>
        <v/>
      </c>
      <c r="AL1606" s="714"/>
      <c r="AM1606" s="114" t="str">
        <f t="shared" si="1144"/>
        <v/>
      </c>
      <c r="AN1606" s="115"/>
      <c r="AO1606" s="116"/>
      <c r="AP1606" s="116"/>
      <c r="AQ1606" s="116"/>
      <c r="AR1606" s="116"/>
      <c r="AS1606" s="116"/>
      <c r="AT1606" s="116"/>
      <c r="AU1606" s="116"/>
      <c r="AV1606" s="78"/>
      <c r="AW1606" s="102"/>
      <c r="AX1606" s="78"/>
      <c r="AY1606" s="78"/>
      <c r="AZ1606" s="78"/>
      <c r="BA1606" s="78"/>
      <c r="BB1606" s="78"/>
      <c r="BC1606" s="78"/>
      <c r="BD1606" s="78"/>
      <c r="BE1606" s="465"/>
      <c r="BF1606" s="165" t="str">
        <f t="shared" si="1145"/>
        <v>https://www.google.com/search?tbm=isch&amp;q=Aralia%20Ivy%20Tree%20has%20tropical-like%20large%2C%20glossy%2C%20lobed%20evergreen%20leaves.%20Can%20be%20grown%20as%20either%20a%20shrub%20or%20a%20climbing%20vine%2C%20with%20support%20</v>
      </c>
      <c r="BG1606" s="165" t="str">
        <f t="shared" si="1146"/>
        <v>A</v>
      </c>
      <c r="BH1606" s="65"/>
      <c r="BI1606" s="65"/>
      <c r="BJ1606" s="65"/>
      <c r="BK1606" s="65"/>
      <c r="BL1606" s="99"/>
      <c r="BM1606" s="99"/>
      <c r="BN1606" s="99"/>
    </row>
    <row r="1607" spans="1:66" s="51" customFormat="1" ht="19.5" thickBot="1" x14ac:dyDescent="0.3">
      <c r="A1607" s="686" t="s">
        <v>908</v>
      </c>
      <c r="B1607" s="73"/>
      <c r="C1607" s="708"/>
      <c r="D1607" s="73"/>
      <c r="E1607" s="73"/>
      <c r="F1607" s="496"/>
      <c r="G1607" s="73"/>
      <c r="H1607" s="73"/>
      <c r="I1607" s="73"/>
      <c r="J1607" s="497" t="s">
        <v>357</v>
      </c>
      <c r="K1607" s="498"/>
      <c r="L1607" s="562"/>
      <c r="M1607" s="73"/>
      <c r="N1607"/>
      <c r="O1607"/>
      <c r="P1607"/>
      <c r="Q1607"/>
      <c r="R1607"/>
      <c r="S1607"/>
      <c r="T1607" s="102">
        <f t="shared" si="1134"/>
        <v>0</v>
      </c>
      <c r="U1607" s="78" t="str">
        <f>IF(NOT(ISNUMBER(G1607)), "", VLOOKUP(A1607,'Discount Lookup'!D:E,2,FALSE)*G1607)</f>
        <v/>
      </c>
      <c r="V1607" s="78" t="str">
        <f>IF(NOT(ISNUMBER(G1607)), "", VLOOKUP(A1607,'Discount Lookup'!G:H,2,FALSE)*G1607)</f>
        <v/>
      </c>
      <c r="W1607" s="102">
        <f t="shared" si="1135"/>
        <v>0</v>
      </c>
      <c r="X1607" s="102">
        <f t="shared" si="1136"/>
        <v>0</v>
      </c>
      <c r="Y1607" s="120" t="b">
        <f t="shared" si="1137"/>
        <v>0</v>
      </c>
      <c r="Z1607" s="117">
        <f t="shared" si="1138"/>
        <v>0</v>
      </c>
      <c r="AA1607" s="118"/>
      <c r="AB1607" s="118" t="str">
        <f t="shared" si="1139"/>
        <v/>
      </c>
      <c r="AC1607" s="712" t="str">
        <f>IF(AE1607="T2G","no charge",IF(AND(OR(PlanterYesMe="No",PlanterYesMe="N",PlanterYesMe="me"),H1607=""),"",IF(H1607="credit","NO install",IF(AND(K1607="",AE1607="me"),"EACH row",IF(AND(K1607="images",AE1607="me"),"EACH row",IF(D1607="","",IF(H1607="credit","",IF(AE1607="free","re-planting",IF(AE1607="me","   not ELP, by",IF(AND(OR(PlanterYesMe="Yes",PlanterYesMe="Y"),G1607&gt;0),(VLOOKUP(A1607,'Discount Lookup'!J:K,2)*G1607*(1-PlanterDiscount)*(1+PlanterDifficultyPercentage)),IF(AE1607="ELP",(VLOOKUP(A1607,'Discount Lookup'!J:K,2)*G1607*(1-PlanterDiscount)*(1+PlanterDifficultyPercentage)),IF(AE1607="free","re-planting",IF(G1607=0,"",IF(PlanterYesMe="",IF(AE1607="me","   not ELP, by",IF(AE1607="",IF(G1607&gt;0,(VLOOKUP(A1607,'Discount Lookup'!J:K,2)*G1607*(1-PlanterDiscount)*(1+PlanterDifficultyPercentage)),""),"")),"   not ELP, by"))))))))))))))</f>
        <v/>
      </c>
      <c r="AD1607" s="712"/>
      <c r="AE1607" s="513" t="str">
        <f t="shared" si="1140"/>
        <v/>
      </c>
      <c r="AF1607" s="713" t="str">
        <f t="shared" si="1141"/>
        <v/>
      </c>
      <c r="AG1607" s="713"/>
      <c r="AH1607" s="713"/>
      <c r="AI1607" s="112">
        <f>IF(H1607="credit",0,IF(AE1607="free",0,IF(AE1607="me",0,IF(G1607&gt;0,(VLOOKUP(A1607,'Discount Lookup'!J:K,2)*G1607),0))))</f>
        <v>0</v>
      </c>
      <c r="AJ1607" s="107" t="str">
        <f t="shared" ca="1" si="1142"/>
        <v/>
      </c>
      <c r="AK1607" s="714" t="str">
        <f t="shared" si="1143"/>
        <v/>
      </c>
      <c r="AL1607" s="714"/>
      <c r="AM1607" s="114" t="str">
        <f t="shared" si="1144"/>
        <v/>
      </c>
      <c r="AN1607" s="115"/>
      <c r="AO1607" s="116"/>
      <c r="AP1607" s="116"/>
      <c r="AQ1607" s="116"/>
      <c r="AR1607" s="116"/>
      <c r="AS1607" s="116"/>
      <c r="AT1607" s="116"/>
      <c r="AU1607" s="116"/>
      <c r="AV1607" s="78"/>
      <c r="AW1607" s="102"/>
      <c r="AX1607" s="78"/>
      <c r="AY1607" s="78"/>
      <c r="AZ1607" s="78"/>
      <c r="BA1607" s="78"/>
      <c r="BB1607" s="78"/>
      <c r="BC1607" s="78"/>
      <c r="BD1607" s="78"/>
      <c r="BE1607" s="465"/>
      <c r="BF1607" s="165" t="str">
        <f t="shared" si="1145"/>
        <v>https://www.google.com/search?tbm=isch&amp;q=Fatsia%20%3D%20Japanese%20Aralia%20</v>
      </c>
      <c r="BG1607" s="165" t="str">
        <f t="shared" si="1146"/>
        <v>F</v>
      </c>
      <c r="BH1607" s="65"/>
      <c r="BI1607" s="65"/>
      <c r="BJ1607" s="65"/>
      <c r="BK1607" s="65"/>
      <c r="BL1607" s="99"/>
      <c r="BM1607" s="99"/>
      <c r="BN1607" s="99"/>
    </row>
    <row r="1608" spans="1:66" s="51" customFormat="1" ht="18" x14ac:dyDescent="0.25">
      <c r="A1608" s="507" t="s">
        <v>2526</v>
      </c>
      <c r="B1608" s="470"/>
      <c r="C1608" s="706"/>
      <c r="D1608" s="471" t="s">
        <v>2527</v>
      </c>
      <c r="E1608" s="472"/>
      <c r="F1608" s="472"/>
      <c r="G1608" s="472"/>
      <c r="H1608" s="622" t="s">
        <v>1246</v>
      </c>
      <c r="I1608" s="473" t="s">
        <v>349</v>
      </c>
      <c r="J1608" s="472"/>
      <c r="K1608" s="472"/>
      <c r="L1608" s="561"/>
      <c r="M1608" s="703" t="s">
        <v>5260</v>
      </c>
      <c r="N1608" s="692" t="str">
        <f>IF(AND(ISTEXT($A1608), ISERROR($A1608+0)), HYPERLINK($BF1608, "Images"), "")</f>
        <v>Images</v>
      </c>
      <c r="O1608" s="694" t="s">
        <v>5247</v>
      </c>
      <c r="P1608" s="475"/>
      <c r="Q1608" s="476"/>
      <c r="R1608" s="476"/>
      <c r="S1608" s="477"/>
      <c r="T1608" s="102">
        <f t="shared" si="1134"/>
        <v>0</v>
      </c>
      <c r="U1608" s="78" t="str">
        <f>IF(NOT(ISNUMBER(G1608)), "", VLOOKUP(A1608,'Discount Lookup'!D:E,2,FALSE)*G1608)</f>
        <v/>
      </c>
      <c r="V1608" s="78" t="str">
        <f>IF(NOT(ISNUMBER(G1608)), "", VLOOKUP(A1608,'Discount Lookup'!G:H,2,FALSE)*G1608)</f>
        <v/>
      </c>
      <c r="W1608" s="102">
        <f t="shared" si="1135"/>
        <v>0</v>
      </c>
      <c r="X1608" s="102" t="str">
        <f t="shared" si="1136"/>
        <v>White bloom</v>
      </c>
      <c r="Y1608" s="120" t="b">
        <f t="shared" si="1137"/>
        <v>0</v>
      </c>
      <c r="Z1608" s="117">
        <f t="shared" si="1138"/>
        <v>0</v>
      </c>
      <c r="AA1608" s="118"/>
      <c r="AB1608" s="118" t="str">
        <f t="shared" si="1139"/>
        <v/>
      </c>
      <c r="AC1608" s="712" t="str">
        <f>IF(AE1608="T2G","no charge",IF(AND(OR(PlanterYesMe="No",PlanterYesMe="N",PlanterYesMe="me"),H1608=""),"",IF(H1608="credit","NO install",IF(AND(K1608="",AE1608="me"),"EACH row",IF(AND(K1608="images",AE1608="me"),"EACH row",IF(D1608="","",IF(H1608="credit","",IF(AE1608="free","re-planting",IF(AE1608="me","   not ELP, by",IF(AND(OR(PlanterYesMe="Yes",PlanterYesMe="Y"),G1608&gt;0),(VLOOKUP(A1608,'Discount Lookup'!J:K,2)*G1608*(1-PlanterDiscount)*(1+PlanterDifficultyPercentage)),IF(AE1608="ELP",(VLOOKUP(A1608,'Discount Lookup'!J:K,2)*G1608*(1-PlanterDiscount)*(1+PlanterDifficultyPercentage)),IF(AE1608="free","re-planting",IF(G1608=0,"",IF(PlanterYesMe="",IF(AE1608="me","   not ELP, by",IF(AE1608="",IF(G1608&gt;0,(VLOOKUP(A1608,'Discount Lookup'!J:K,2)*G1608*(1-PlanterDiscount)*(1+PlanterDifficultyPercentage)),""),"")),"   not ELP, by"))))))))))))))</f>
        <v/>
      </c>
      <c r="AD1608" s="712"/>
      <c r="AE1608" s="513" t="str">
        <f t="shared" si="1140"/>
        <v/>
      </c>
      <c r="AF1608" s="713" t="str">
        <f t="shared" si="1141"/>
        <v/>
      </c>
      <c r="AG1608" s="713"/>
      <c r="AH1608" s="713"/>
      <c r="AI1608" s="112">
        <f>IF(H1608="credit",0,IF(AE1608="free",0,IF(AE1608="me",0,IF(G1608&gt;0,(VLOOKUP(A1608,'Discount Lookup'!J:K,2)*G1608),0))))</f>
        <v>0</v>
      </c>
      <c r="AJ1608" s="107" t="str">
        <f t="shared" ca="1" si="1142"/>
        <v/>
      </c>
      <c r="AK1608" s="714" t="str">
        <f t="shared" si="1143"/>
        <v/>
      </c>
      <c r="AL1608" s="714"/>
      <c r="AM1608" s="114" t="str">
        <f t="shared" si="1144"/>
        <v/>
      </c>
      <c r="AN1608" s="115"/>
      <c r="AO1608" s="116"/>
      <c r="AP1608" s="116"/>
      <c r="AQ1608" s="116"/>
      <c r="AR1608" s="116"/>
      <c r="AS1608" s="116"/>
      <c r="AT1608" s="116"/>
      <c r="AU1608" s="116"/>
      <c r="AV1608" s="78"/>
      <c r="AW1608" s="102"/>
      <c r="AX1608" s="78"/>
      <c r="AY1608" s="78"/>
      <c r="AZ1608" s="78"/>
      <c r="BA1608" s="78"/>
      <c r="BB1608" s="78"/>
      <c r="BC1608" s="78"/>
      <c r="BD1608" s="78"/>
      <c r="BE1608" s="465"/>
      <c r="BF1608" s="165" t="str">
        <f t="shared" si="1145"/>
        <v>https://www.google.com/search?tbm=isch&amp;q=Fatsia%20japonica%20Japanese%20Fatsia</v>
      </c>
      <c r="BG1608" s="165" t="str">
        <f t="shared" si="1146"/>
        <v>F</v>
      </c>
      <c r="BH1608" s="65"/>
      <c r="BI1608" s="65"/>
      <c r="BJ1608" s="65"/>
      <c r="BK1608" s="65"/>
      <c r="BL1608" s="99"/>
      <c r="BM1608" s="99"/>
      <c r="BN1608" s="99"/>
    </row>
    <row r="1609" spans="1:66" s="51" customFormat="1" ht="15.75" x14ac:dyDescent="0.25">
      <c r="A1609" s="478">
        <v>3</v>
      </c>
      <c r="B1609" s="479" t="s">
        <v>291</v>
      </c>
      <c r="C1609" s="480"/>
      <c r="D1609" s="481" t="s">
        <v>310</v>
      </c>
      <c r="E1609" s="482">
        <v>31.95</v>
      </c>
      <c r="F1609" s="483" t="s">
        <v>292</v>
      </c>
      <c r="G1609" s="484">
        <v>0</v>
      </c>
      <c r="H1609" s="688" t="str">
        <f>IF(G1609=0,"",IF(F1609="Buy",IF(G1609=1,"plant","plants"),IF(F1609&gt;0.01,"warranty","Error")))</f>
        <v/>
      </c>
      <c r="I1609" s="485">
        <f>IF(H1609="free",0,IF(H1609="credit",((E1609*(F1609))*G1609*-1),IF(F1609="Buy",(E1609*G1609),((E1609*(1-F1609))*G1609))))</f>
        <v>0</v>
      </c>
      <c r="J1609" s="485">
        <f>IF(H1609="warranty",0,(I1609*(_xlfn.SINGLE(SalesTaxPercentage))))</f>
        <v>0</v>
      </c>
      <c r="K1609" s="715">
        <f t="shared" ref="K1609" si="1163">I1609+J1609</f>
        <v>0</v>
      </c>
      <c r="L1609" s="715"/>
      <c r="M1609" s="689" t="str">
        <f ca="1">IF(AND(G1609&gt;0,E1609=0),"WARNING - no PRICE inserted",IF(H1609="free","FREE ~ no charge this plant",IF(H1609="credit",CONCATENATE("-$",ROUND(K1609*(1-_xlfn.SINGLE(T2GDiscount))*-1,2)," CREDIT after discount"),IF(_xlfn.SINGLE(T2GDiscount)=0,"",IF(G1609=0,"",IF(F1609="Buy",CONCATENATE("$",ROUND(K1609*(1-_xlfn.SINGLE(T2GDiscount)),2)," with ",(_xlfn.SINGLE(T2GDiscount)*100),"% discount"),CONCATENATE("$",ROUND(K1609*(1-_xlfn.SINGLE(T2GDiscount)),2)," with ",((_xlfn.SINGLE(T2GDiscount)*100+F1609*100)-(_xlfn.SINGLE(T2GDiscount)*100*F1609)),IF(F1609&gt;0,"% discounts",IF(_xlfn.SINGLE(NoWarrantyDiscount)&gt;0,"% discounts","% discount")))))))))</f>
        <v/>
      </c>
      <c r="N1609" s="690"/>
      <c r="O1609" s="486"/>
      <c r="P1609" s="486"/>
      <c r="Q1609" s="486"/>
      <c r="R1609" s="486"/>
      <c r="S1609" s="486"/>
      <c r="T1609" s="102">
        <f t="shared" si="1134"/>
        <v>0</v>
      </c>
      <c r="U1609" s="78">
        <f>IF(NOT(ISNUMBER(G1609)), "", VLOOKUP(A1609,'Discount Lookup'!D:E,2,FALSE)*G1609)</f>
        <v>0</v>
      </c>
      <c r="V1609" s="78">
        <f>IF(NOT(ISNUMBER(G1609)), "", VLOOKUP(A1609,'Discount Lookup'!G:H,2,FALSE)*G1609)</f>
        <v>0</v>
      </c>
      <c r="W1609" s="102">
        <f t="shared" si="1135"/>
        <v>0</v>
      </c>
      <c r="X1609" s="102">
        <f t="shared" si="1136"/>
        <v>0</v>
      </c>
      <c r="Y1609" s="120" t="b">
        <f t="shared" si="1137"/>
        <v>0</v>
      </c>
      <c r="Z1609" s="117">
        <f t="shared" si="1138"/>
        <v>0</v>
      </c>
      <c r="AA1609" s="118"/>
      <c r="AB1609" s="118" t="str">
        <f t="shared" si="1139"/>
        <v/>
      </c>
      <c r="AC1609" s="712" t="str">
        <f>IF(AE1609="T2G","no charge",IF(AND(OR(PlanterYesMe="No",PlanterYesMe="N",PlanterYesMe="me"),H1609=""),"",IF(H1609="credit","NO install",IF(AND(K1609="",AE1609="me"),"EACH row",IF(AND(K1609="images",AE1609="me"),"EACH row",IF(D1609="","",IF(H1609="credit","",IF(AE1609="free","re-planting",IF(AE1609="me","   not ELP, by",IF(AND(OR(PlanterYesMe="Yes",PlanterYesMe="Y"),G1609&gt;0),(VLOOKUP(A1609,'Discount Lookup'!J:K,2)*G1609*(1-PlanterDiscount)*(1+PlanterDifficultyPercentage)),IF(AE1609="ELP",(VLOOKUP(A1609,'Discount Lookup'!J:K,2)*G1609*(1-PlanterDiscount)*(1+PlanterDifficultyPercentage)),IF(AE1609="free","re-planting",IF(G1609=0,"",IF(PlanterYesMe="",IF(AE1609="me","   not ELP, by",IF(AE1609="",IF(G1609&gt;0,(VLOOKUP(A1609,'Discount Lookup'!J:K,2)*G1609*(1-PlanterDiscount)*(1+PlanterDifficultyPercentage)),""),"")),"   not ELP, by"))))))))))))))</f>
        <v/>
      </c>
      <c r="AD1609" s="712"/>
      <c r="AE1609" s="513" t="str">
        <f t="shared" si="1140"/>
        <v/>
      </c>
      <c r="AF1609" s="713" t="str">
        <f t="shared" si="1141"/>
        <v/>
      </c>
      <c r="AG1609" s="713"/>
      <c r="AH1609" s="713"/>
      <c r="AI1609" s="112">
        <f>IF(H1609="credit",0,IF(AE1609="free",0,IF(AE1609="me",0,IF(G1609&gt;0,(VLOOKUP(A1609,'Discount Lookup'!J:K,2)*G1609),0))))</f>
        <v>0</v>
      </c>
      <c r="AJ1609" s="107" t="str">
        <f t="shared" ca="1" si="1142"/>
        <v/>
      </c>
      <c r="AK1609" s="714" t="str">
        <f t="shared" si="1143"/>
        <v/>
      </c>
      <c r="AL1609" s="714"/>
      <c r="AM1609" s="114" t="str">
        <f t="shared" si="1144"/>
        <v/>
      </c>
      <c r="AN1609" s="115"/>
      <c r="AO1609" s="116"/>
      <c r="AP1609" s="116"/>
      <c r="AQ1609" s="116"/>
      <c r="AR1609" s="116"/>
      <c r="AS1609" s="116"/>
      <c r="AT1609" s="116"/>
      <c r="AU1609" s="116"/>
      <c r="AV1609" s="78"/>
      <c r="AW1609" s="102"/>
      <c r="AX1609" s="78"/>
      <c r="AY1609" s="78"/>
      <c r="AZ1609" s="78"/>
      <c r="BA1609" s="78"/>
      <c r="BB1609" s="78"/>
      <c r="BC1609" s="78"/>
      <c r="BD1609" s="78"/>
      <c r="BE1609" s="465"/>
      <c r="BF1609" s="165" t="str">
        <f t="shared" si="1145"/>
        <v>https://www.google.com/search?tbm=isch&amp;q=3%20G1</v>
      </c>
      <c r="BG1609" s="165" t="str">
        <f t="shared" si="1146"/>
        <v>F</v>
      </c>
      <c r="BH1609" s="65"/>
      <c r="BI1609" s="65"/>
      <c r="BJ1609" s="65"/>
      <c r="BK1609" s="65"/>
      <c r="BL1609" s="99"/>
      <c r="BM1609" s="99"/>
      <c r="BN1609" s="99"/>
    </row>
    <row r="1610" spans="1:66" s="51" customFormat="1" ht="15.75" x14ac:dyDescent="0.25">
      <c r="A1610" s="478">
        <v>7</v>
      </c>
      <c r="B1610" s="479" t="s">
        <v>291</v>
      </c>
      <c r="C1610" s="480" t="s">
        <v>4604</v>
      </c>
      <c r="D1610" s="481" t="s">
        <v>293</v>
      </c>
      <c r="E1610" s="482">
        <v>131.94999999999999</v>
      </c>
      <c r="F1610" s="483" t="s">
        <v>292</v>
      </c>
      <c r="G1610" s="484">
        <v>0</v>
      </c>
      <c r="H1610" s="688" t="str">
        <f>IF(G1610=0,"",IF(F1610="Buy",IF(G1610=1,"plant","plants"),IF(F1610&gt;0.01,"warranty","Error")))</f>
        <v/>
      </c>
      <c r="I1610" s="485">
        <f>IF(H1610="free",0,IF(H1610="credit",((E1610*(F1610))*G1610*-1),IF(F1610="Buy",(E1610*G1610),((E1610*(1-F1610))*G1610))))</f>
        <v>0</v>
      </c>
      <c r="J1610" s="485">
        <f>IF(H1610="warranty",0,(I1610*(_xlfn.SINGLE(SalesTaxPercentage))))</f>
        <v>0</v>
      </c>
      <c r="K1610" s="715">
        <f t="shared" ref="K1610" si="1164">I1610+J1610</f>
        <v>0</v>
      </c>
      <c r="L1610" s="715"/>
      <c r="M1610" s="689" t="str">
        <f ca="1">IF(AND(G1610&gt;0,E1610=0),"WARNING - no PRICE inserted",IF(H1610="free","FREE ~ no charge this plant",IF(H1610="credit",CONCATENATE("-$",ROUND(K1610*(1-_xlfn.SINGLE(T2GDiscount))*-1,2)," CREDIT after discount"),IF(_xlfn.SINGLE(T2GDiscount)=0,"",IF(G1610=0,"",IF(F1610="Buy",CONCATENATE("$",ROUND(K1610*(1-_xlfn.SINGLE(T2GDiscount)),2)," with ",(_xlfn.SINGLE(T2GDiscount)*100),"% discount"),CONCATENATE("$",ROUND(K1610*(1-_xlfn.SINGLE(T2GDiscount)),2)," with ",((_xlfn.SINGLE(T2GDiscount)*100+F1610*100)-(_xlfn.SINGLE(T2GDiscount)*100*F1610)),IF(F1610&gt;0,"% discounts",IF(_xlfn.SINGLE(NoWarrantyDiscount)&gt;0,"% discounts","% discount")))))))))</f>
        <v/>
      </c>
      <c r="N1610" s="690"/>
      <c r="O1610" s="486"/>
      <c r="P1610" s="486"/>
      <c r="Q1610" s="486"/>
      <c r="R1610" s="486"/>
      <c r="S1610" s="486"/>
      <c r="T1610" s="102">
        <f t="shared" si="1134"/>
        <v>0</v>
      </c>
      <c r="U1610" s="78">
        <f>IF(NOT(ISNUMBER(G1610)), "", VLOOKUP(A1610,'Discount Lookup'!D:E,2,FALSE)*G1610)</f>
        <v>0</v>
      </c>
      <c r="V1610" s="78">
        <f>IF(NOT(ISNUMBER(G1610)), "", VLOOKUP(A1610,'Discount Lookup'!G:H,2,FALSE)*G1610)</f>
        <v>0</v>
      </c>
      <c r="W1610" s="102">
        <f t="shared" si="1135"/>
        <v>0</v>
      </c>
      <c r="X1610" s="102">
        <f t="shared" si="1136"/>
        <v>0</v>
      </c>
      <c r="Y1610" s="120" t="b">
        <f t="shared" si="1137"/>
        <v>0</v>
      </c>
      <c r="Z1610" s="117">
        <f t="shared" si="1138"/>
        <v>0</v>
      </c>
      <c r="AA1610" s="118"/>
      <c r="AB1610" s="118" t="str">
        <f t="shared" si="1139"/>
        <v/>
      </c>
      <c r="AC1610" s="712" t="str">
        <f>IF(AE1610="T2G","no charge",IF(AND(OR(PlanterYesMe="No",PlanterYesMe="N",PlanterYesMe="me"),H1610=""),"",IF(H1610="credit","NO install",IF(AND(K1610="",AE1610="me"),"EACH row",IF(AND(K1610="images",AE1610="me"),"EACH row",IF(D1610="","",IF(H1610="credit","",IF(AE1610="free","re-planting",IF(AE1610="me","   not ELP, by",IF(AND(OR(PlanterYesMe="Yes",PlanterYesMe="Y"),G1610&gt;0),(VLOOKUP(A1610,'Discount Lookup'!J:K,2)*G1610*(1-PlanterDiscount)*(1+PlanterDifficultyPercentage)),IF(AE1610="ELP",(VLOOKUP(A1610,'Discount Lookup'!J:K,2)*G1610*(1-PlanterDiscount)*(1+PlanterDifficultyPercentage)),IF(AE1610="free","re-planting",IF(G1610=0,"",IF(PlanterYesMe="",IF(AE1610="me","   not ELP, by",IF(AE1610="",IF(G1610&gt;0,(VLOOKUP(A1610,'Discount Lookup'!J:K,2)*G1610*(1-PlanterDiscount)*(1+PlanterDifficultyPercentage)),""),"")),"   not ELP, by"))))))))))))))</f>
        <v/>
      </c>
      <c r="AD1610" s="712"/>
      <c r="AE1610" s="513" t="str">
        <f t="shared" si="1140"/>
        <v/>
      </c>
      <c r="AF1610" s="713" t="str">
        <f t="shared" si="1141"/>
        <v/>
      </c>
      <c r="AG1610" s="713"/>
      <c r="AH1610" s="713"/>
      <c r="AI1610" s="112">
        <f>IF(H1610="credit",0,IF(AE1610="free",0,IF(AE1610="me",0,IF(G1610&gt;0,(VLOOKUP(A1610,'Discount Lookup'!J:K,2)*G1610),0))))</f>
        <v>0</v>
      </c>
      <c r="AJ1610" s="107" t="str">
        <f t="shared" ca="1" si="1142"/>
        <v/>
      </c>
      <c r="AK1610" s="714" t="str">
        <f t="shared" si="1143"/>
        <v/>
      </c>
      <c r="AL1610" s="714"/>
      <c r="AM1610" s="114" t="str">
        <f t="shared" si="1144"/>
        <v/>
      </c>
      <c r="AN1610" s="115"/>
      <c r="AO1610" s="116"/>
      <c r="AP1610" s="116"/>
      <c r="AQ1610" s="116"/>
      <c r="AR1610" s="116"/>
      <c r="AS1610" s="116"/>
      <c r="AT1610" s="116"/>
      <c r="AU1610" s="116"/>
      <c r="AV1610" s="78"/>
      <c r="AW1610" s="102"/>
      <c r="AX1610" s="78"/>
      <c r="AY1610" s="78"/>
      <c r="AZ1610" s="78"/>
      <c r="BA1610" s="78"/>
      <c r="BB1610" s="78"/>
      <c r="BC1610" s="78"/>
      <c r="BD1610" s="78"/>
      <c r="BE1610" s="465"/>
      <c r="BF1610" s="165" t="str">
        <f t="shared" si="1145"/>
        <v>https://www.google.com/search?tbm=isch&amp;q=7%20G6</v>
      </c>
      <c r="BG1610" s="165" t="str">
        <f t="shared" si="1146"/>
        <v>F</v>
      </c>
      <c r="BH1610" s="65"/>
      <c r="BI1610" s="65"/>
      <c r="BJ1610" s="65"/>
      <c r="BK1610" s="65"/>
      <c r="BL1610" s="99"/>
      <c r="BM1610" s="99"/>
      <c r="BN1610" s="99"/>
    </row>
    <row r="1611" spans="1:66" s="51" customFormat="1" ht="16.5" x14ac:dyDescent="0.25">
      <c r="A1611" s="508" t="s">
        <v>4838</v>
      </c>
      <c r="B1611" s="487"/>
      <c r="C1611" s="707"/>
      <c r="D1611" s="487"/>
      <c r="E1611" s="487"/>
      <c r="F1611" s="488"/>
      <c r="G1611" s="489"/>
      <c r="H1611" s="487"/>
      <c r="I1611" s="490"/>
      <c r="J1611" s="490"/>
      <c r="K1611" s="491"/>
      <c r="L1611" s="547"/>
      <c r="M1611" s="528"/>
      <c r="N1611" s="492"/>
      <c r="O1611" s="493"/>
      <c r="P1611" s="494"/>
      <c r="Q1611" s="492"/>
      <c r="R1611" s="492"/>
      <c r="S1611" s="699" t="s">
        <v>5268</v>
      </c>
      <c r="T1611" s="102">
        <f t="shared" si="1134"/>
        <v>0</v>
      </c>
      <c r="U1611" s="78" t="str">
        <f>IF(NOT(ISNUMBER(G1611)), "", VLOOKUP(A1611,'Discount Lookup'!D:E,2,FALSE)*G1611)</f>
        <v/>
      </c>
      <c r="V1611" s="78" t="str">
        <f>IF(NOT(ISNUMBER(G1611)), "", VLOOKUP(A1611,'Discount Lookup'!G:H,2,FALSE)*G1611)</f>
        <v/>
      </c>
      <c r="W1611" s="102">
        <f t="shared" si="1135"/>
        <v>0</v>
      </c>
      <c r="X1611" s="102">
        <f t="shared" si="1136"/>
        <v>0</v>
      </c>
      <c r="Y1611" s="120" t="b">
        <f t="shared" si="1137"/>
        <v>0</v>
      </c>
      <c r="Z1611" s="117">
        <f t="shared" si="1138"/>
        <v>0</v>
      </c>
      <c r="AA1611" s="118"/>
      <c r="AB1611" s="118" t="str">
        <f t="shared" si="1139"/>
        <v/>
      </c>
      <c r="AC1611" s="712" t="str">
        <f>IF(AE1611="T2G","no charge",IF(AND(OR(PlanterYesMe="No",PlanterYesMe="N",PlanterYesMe="me"),H1611=""),"",IF(H1611="credit","NO install",IF(AND(K1611="",AE1611="me"),"EACH row",IF(AND(K1611="images",AE1611="me"),"EACH row",IF(D1611="","",IF(H1611="credit","",IF(AE1611="free","re-planting",IF(AE1611="me","   not ELP, by",IF(AND(OR(PlanterYesMe="Yes",PlanterYesMe="Y"),G1611&gt;0),(VLOOKUP(A1611,'Discount Lookup'!J:K,2)*G1611*(1-PlanterDiscount)*(1+PlanterDifficultyPercentage)),IF(AE1611="ELP",(VLOOKUP(A1611,'Discount Lookup'!J:K,2)*G1611*(1-PlanterDiscount)*(1+PlanterDifficultyPercentage)),IF(AE1611="free","re-planting",IF(G1611=0,"",IF(PlanterYesMe="",IF(AE1611="me","   not ELP, by",IF(AE1611="",IF(G1611&gt;0,(VLOOKUP(A1611,'Discount Lookup'!J:K,2)*G1611*(1-PlanterDiscount)*(1+PlanterDifficultyPercentage)),""),"")),"   not ELP, by"))))))))))))))</f>
        <v/>
      </c>
      <c r="AD1611" s="712"/>
      <c r="AE1611" s="513" t="str">
        <f t="shared" si="1140"/>
        <v/>
      </c>
      <c r="AF1611" s="713" t="str">
        <f t="shared" si="1141"/>
        <v/>
      </c>
      <c r="AG1611" s="713"/>
      <c r="AH1611" s="713"/>
      <c r="AI1611" s="112">
        <f>IF(H1611="credit",0,IF(AE1611="free",0,IF(AE1611="me",0,IF(G1611&gt;0,(VLOOKUP(A1611,'Discount Lookup'!J:K,2)*G1611),0))))</f>
        <v>0</v>
      </c>
      <c r="AJ1611" s="107" t="str">
        <f t="shared" ca="1" si="1142"/>
        <v/>
      </c>
      <c r="AK1611" s="714" t="str">
        <f t="shared" si="1143"/>
        <v/>
      </c>
      <c r="AL1611" s="714"/>
      <c r="AM1611" s="114" t="str">
        <f t="shared" si="1144"/>
        <v/>
      </c>
      <c r="AN1611" s="115"/>
      <c r="AO1611" s="116"/>
      <c r="AP1611" s="116"/>
      <c r="AQ1611" s="116"/>
      <c r="AR1611" s="116"/>
      <c r="AS1611" s="116"/>
      <c r="AT1611" s="116"/>
      <c r="AU1611" s="116"/>
      <c r="AV1611" s="78"/>
      <c r="AW1611" s="102"/>
      <c r="AX1611" s="78"/>
      <c r="AY1611" s="78"/>
      <c r="AZ1611" s="78"/>
      <c r="BA1611" s="78"/>
      <c r="BB1611" s="78"/>
      <c r="BC1611" s="78"/>
      <c r="BD1611" s="78"/>
      <c r="BE1611" s="465"/>
      <c r="BF1611" s="165" t="str">
        <f t="shared" si="1145"/>
        <v>https://www.google.com/search?tbm=isch&amp;q=Japanese%20Fatsia%20is%20notable%20for%20its%20large%2C%20tropical-looking%2C%20glossy%20Dark%20Green%20foliage%2C%20for%20bold%20texture%20and%20year-round%20interest%20in%20shaded%20gardens%20</v>
      </c>
      <c r="BG1611" s="165" t="str">
        <f t="shared" si="1146"/>
        <v>J</v>
      </c>
      <c r="BH1611" s="65"/>
      <c r="BI1611" s="65"/>
      <c r="BJ1611" s="65"/>
      <c r="BK1611" s="65"/>
      <c r="BL1611" s="99"/>
      <c r="BM1611" s="99"/>
      <c r="BN1611" s="99"/>
    </row>
    <row r="1612" spans="1:66" s="51" customFormat="1" ht="19.5" thickBot="1" x14ac:dyDescent="0.3">
      <c r="A1612" s="686" t="s">
        <v>420</v>
      </c>
      <c r="B1612" s="73"/>
      <c r="C1612" s="708"/>
      <c r="D1612" s="73"/>
      <c r="E1612" s="73"/>
      <c r="F1612" s="496"/>
      <c r="G1612" s="73"/>
      <c r="H1612" s="73"/>
      <c r="I1612" s="73"/>
      <c r="J1612" s="497" t="s">
        <v>357</v>
      </c>
      <c r="K1612" s="498"/>
      <c r="L1612" s="562"/>
      <c r="M1612" s="73"/>
      <c r="N1612"/>
      <c r="O1612"/>
      <c r="P1612"/>
      <c r="Q1612"/>
      <c r="R1612"/>
      <c r="S1612"/>
      <c r="T1612" s="102">
        <f t="shared" si="1134"/>
        <v>0</v>
      </c>
      <c r="U1612" s="78" t="str">
        <f>IF(NOT(ISNUMBER(G1612)), "", VLOOKUP(A1612,'Discount Lookup'!D:E,2,FALSE)*G1612)</f>
        <v/>
      </c>
      <c r="V1612" s="78" t="str">
        <f>IF(NOT(ISNUMBER(G1612)), "", VLOOKUP(A1612,'Discount Lookup'!G:H,2,FALSE)*G1612)</f>
        <v/>
      </c>
      <c r="W1612" s="102">
        <f t="shared" si="1135"/>
        <v>0</v>
      </c>
      <c r="X1612" s="102">
        <f t="shared" si="1136"/>
        <v>0</v>
      </c>
      <c r="Y1612" s="120" t="b">
        <f t="shared" si="1137"/>
        <v>0</v>
      </c>
      <c r="Z1612" s="117">
        <f t="shared" si="1138"/>
        <v>0</v>
      </c>
      <c r="AA1612" s="118"/>
      <c r="AB1612" s="118" t="str">
        <f t="shared" si="1139"/>
        <v/>
      </c>
      <c r="AC1612" s="712" t="str">
        <f>IF(AE1612="T2G","no charge",IF(AND(OR(PlanterYesMe="No",PlanterYesMe="N",PlanterYesMe="me"),H1612=""),"",IF(H1612="credit","NO install",IF(AND(K1612="",AE1612="me"),"EACH row",IF(AND(K1612="images",AE1612="me"),"EACH row",IF(D1612="","",IF(H1612="credit","",IF(AE1612="free","re-planting",IF(AE1612="me","   not ELP, by",IF(AND(OR(PlanterYesMe="Yes",PlanterYesMe="Y"),G1612&gt;0),(VLOOKUP(A1612,'Discount Lookup'!J:K,2)*G1612*(1-PlanterDiscount)*(1+PlanterDifficultyPercentage)),IF(AE1612="ELP",(VLOOKUP(A1612,'Discount Lookup'!J:K,2)*G1612*(1-PlanterDiscount)*(1+PlanterDifficultyPercentage)),IF(AE1612="free","re-planting",IF(G1612=0,"",IF(PlanterYesMe="",IF(AE1612="me","   not ELP, by",IF(AE1612="",IF(G1612&gt;0,(VLOOKUP(A1612,'Discount Lookup'!J:K,2)*G1612*(1-PlanterDiscount)*(1+PlanterDifficultyPercentage)),""),"")),"   not ELP, by"))))))))))))))</f>
        <v/>
      </c>
      <c r="AD1612" s="712"/>
      <c r="AE1612" s="513" t="str">
        <f t="shared" si="1140"/>
        <v/>
      </c>
      <c r="AF1612" s="713" t="str">
        <f t="shared" si="1141"/>
        <v/>
      </c>
      <c r="AG1612" s="713"/>
      <c r="AH1612" s="713"/>
      <c r="AI1612" s="112">
        <f>IF(H1612="credit",0,IF(AE1612="free",0,IF(AE1612="me",0,IF(G1612&gt;0,(VLOOKUP(A1612,'Discount Lookup'!J:K,2)*G1612),0))))</f>
        <v>0</v>
      </c>
      <c r="AJ1612" s="107" t="str">
        <f t="shared" ca="1" si="1142"/>
        <v/>
      </c>
      <c r="AK1612" s="714" t="str">
        <f t="shared" si="1143"/>
        <v/>
      </c>
      <c r="AL1612" s="714"/>
      <c r="AM1612" s="114" t="str">
        <f t="shared" si="1144"/>
        <v/>
      </c>
      <c r="AN1612" s="115"/>
      <c r="AO1612" s="116"/>
      <c r="AP1612" s="116"/>
      <c r="AQ1612" s="116"/>
      <c r="AR1612" s="116"/>
      <c r="AS1612" s="116"/>
      <c r="AT1612" s="116"/>
      <c r="AU1612" s="116"/>
      <c r="AV1612" s="78"/>
      <c r="AW1612" s="102"/>
      <c r="AX1612" s="78"/>
      <c r="AY1612" s="78"/>
      <c r="AZ1612" s="78"/>
      <c r="BA1612" s="78"/>
      <c r="BB1612" s="78"/>
      <c r="BC1612" s="78"/>
      <c r="BD1612" s="78"/>
      <c r="BE1612" s="465"/>
      <c r="BF1612" s="165" t="str">
        <f t="shared" si="1145"/>
        <v>https://www.google.com/search?tbm=isch&amp;q=Ficus%20%3D%20Fig%20</v>
      </c>
      <c r="BG1612" s="165" t="str">
        <f t="shared" si="1146"/>
        <v>F</v>
      </c>
      <c r="BH1612" s="65"/>
      <c r="BI1612" s="65"/>
      <c r="BJ1612" s="65"/>
      <c r="BK1612" s="65"/>
      <c r="BL1612" s="99"/>
      <c r="BM1612" s="99"/>
      <c r="BN1612" s="99"/>
    </row>
    <row r="1613" spans="1:66" s="51" customFormat="1" ht="18" x14ac:dyDescent="0.25">
      <c r="A1613" s="623" t="s">
        <v>2528</v>
      </c>
      <c r="B1613" s="624"/>
      <c r="C1613" s="709"/>
      <c r="D1613" s="625" t="s">
        <v>2529</v>
      </c>
      <c r="E1613" s="626"/>
      <c r="F1613" s="626"/>
      <c r="G1613" s="626"/>
      <c r="H1613" s="622" t="s">
        <v>1163</v>
      </c>
      <c r="I1613" s="627" t="s">
        <v>433</v>
      </c>
      <c r="J1613" s="628"/>
      <c r="K1613" s="628"/>
      <c r="L1613" s="629"/>
      <c r="M1613" s="700" t="s">
        <v>5241</v>
      </c>
      <c r="N1613" s="693" t="str">
        <f>IF(AND(ISTEXT($A1613), ISERROR($A1613+0)), HYPERLINK($BF1613, "Images"), "")</f>
        <v>Images</v>
      </c>
      <c r="O1613" s="695" t="s">
        <v>5264</v>
      </c>
      <c r="P1613" s="630"/>
      <c r="Q1613" s="631"/>
      <c r="R1613" s="632"/>
      <c r="S1613" s="633"/>
      <c r="T1613" s="102">
        <f t="shared" si="1134"/>
        <v>0</v>
      </c>
      <c r="U1613" s="78" t="str">
        <f>IF(NOT(ISNUMBER(G1613)), "", VLOOKUP(A1613,'Discount Lookup'!D:E,2,FALSE)*G1613)</f>
        <v/>
      </c>
      <c r="V1613" s="78" t="str">
        <f>IF(NOT(ISNUMBER(G1613)), "", VLOOKUP(A1613,'Discount Lookup'!G:H,2,FALSE)*G1613)</f>
        <v/>
      </c>
      <c r="W1613" s="102">
        <f t="shared" si="1135"/>
        <v>0</v>
      </c>
      <c r="X1613" s="102" t="str">
        <f t="shared" si="1136"/>
        <v>Bright Green foliage</v>
      </c>
      <c r="Y1613" s="120" t="b">
        <f t="shared" si="1137"/>
        <v>0</v>
      </c>
      <c r="Z1613" s="117">
        <f t="shared" si="1138"/>
        <v>0</v>
      </c>
      <c r="AA1613" s="118"/>
      <c r="AB1613" s="118" t="str">
        <f t="shared" si="1139"/>
        <v/>
      </c>
      <c r="AC1613" s="712" t="str">
        <f>IF(AE1613="T2G","no charge",IF(AND(OR(PlanterYesMe="No",PlanterYesMe="N",PlanterYesMe="me"),H1613=""),"",IF(H1613="credit","NO install",IF(AND(K1613="",AE1613="me"),"EACH row",IF(AND(K1613="images",AE1613="me"),"EACH row",IF(D1613="","",IF(H1613="credit","",IF(AE1613="free","re-planting",IF(AE1613="me","   not ELP, by",IF(AND(OR(PlanterYesMe="Yes",PlanterYesMe="Y"),G1613&gt;0),(VLOOKUP(A1613,'Discount Lookup'!J:K,2)*G1613*(1-PlanterDiscount)*(1+PlanterDifficultyPercentage)),IF(AE1613="ELP",(VLOOKUP(A1613,'Discount Lookup'!J:K,2)*G1613*(1-PlanterDiscount)*(1+PlanterDifficultyPercentage)),IF(AE1613="free","re-planting",IF(G1613=0,"",IF(PlanterYesMe="",IF(AE1613="me","   not ELP, by",IF(AE1613="",IF(G1613&gt;0,(VLOOKUP(A1613,'Discount Lookup'!J:K,2)*G1613*(1-PlanterDiscount)*(1+PlanterDifficultyPercentage)),""),"")),"   not ELP, by"))))))))))))))</f>
        <v/>
      </c>
      <c r="AD1613" s="712"/>
      <c r="AE1613" s="513" t="str">
        <f t="shared" si="1140"/>
        <v/>
      </c>
      <c r="AF1613" s="713" t="str">
        <f t="shared" si="1141"/>
        <v/>
      </c>
      <c r="AG1613" s="713"/>
      <c r="AH1613" s="713"/>
      <c r="AI1613" s="112">
        <f>IF(H1613="credit",0,IF(AE1613="free",0,IF(AE1613="me",0,IF(G1613&gt;0,(VLOOKUP(A1613,'Discount Lookup'!J:K,2)*G1613),0))))</f>
        <v>0</v>
      </c>
      <c r="AJ1613" s="107" t="str">
        <f t="shared" ca="1" si="1142"/>
        <v/>
      </c>
      <c r="AK1613" s="714" t="str">
        <f t="shared" si="1143"/>
        <v/>
      </c>
      <c r="AL1613" s="714"/>
      <c r="AM1613" s="114" t="str">
        <f t="shared" si="1144"/>
        <v/>
      </c>
      <c r="AN1613" s="115"/>
      <c r="AO1613" s="116"/>
      <c r="AP1613" s="116"/>
      <c r="AQ1613" s="116"/>
      <c r="AR1613" s="116"/>
      <c r="AS1613" s="116"/>
      <c r="AT1613" s="116"/>
      <c r="AU1613" s="116"/>
      <c r="AV1613" s="78"/>
      <c r="AW1613" s="102"/>
      <c r="AX1613" s="78"/>
      <c r="AY1613" s="78"/>
      <c r="AZ1613" s="78"/>
      <c r="BA1613" s="78"/>
      <c r="BB1613" s="78"/>
      <c r="BC1613" s="78"/>
      <c r="BD1613" s="78"/>
      <c r="BE1613" s="465"/>
      <c r="BF1613" s="165" t="str">
        <f t="shared" si="1145"/>
        <v>https://www.google.com/search?tbm=isch&amp;q=Ficus%20carica%20%27Brown%20Turkey%27%20Brown%20Turkey%20Fig</v>
      </c>
      <c r="BG1613" s="165" t="str">
        <f t="shared" si="1146"/>
        <v>F</v>
      </c>
      <c r="BH1613" s="65"/>
      <c r="BI1613" s="65"/>
      <c r="BJ1613" s="65"/>
      <c r="BK1613" s="65"/>
      <c r="BL1613" s="99"/>
      <c r="BM1613" s="99"/>
      <c r="BN1613" s="99"/>
    </row>
    <row r="1614" spans="1:66" s="51" customFormat="1" ht="15.75" x14ac:dyDescent="0.25">
      <c r="A1614" s="634">
        <v>3</v>
      </c>
      <c r="B1614" s="635" t="s">
        <v>291</v>
      </c>
      <c r="C1614" s="636"/>
      <c r="D1614" s="637" t="s">
        <v>310</v>
      </c>
      <c r="E1614" s="638">
        <v>25.95</v>
      </c>
      <c r="F1614" s="639" t="s">
        <v>292</v>
      </c>
      <c r="G1614" s="484">
        <v>0</v>
      </c>
      <c r="H1614" s="691" t="str">
        <f>IF(G1614=0,"",IF(F1614="Buy",IF(G1614=1,"plant","plants"),IF(F1614&gt;0.01,"warranty","Error")))</f>
        <v/>
      </c>
      <c r="I1614" s="640">
        <f>IF(H1614="free",0,IF(H1614="credit",((E1614*(F1614))*G1614*-1),IF(F1614="Buy",(E1614*G1614),((E1614*(1-F1614))*G1614))))</f>
        <v>0</v>
      </c>
      <c r="J1614" s="640">
        <f>IF(H1614="warranty",0,(I1614*(_xlfn.SINGLE(SalesTaxPercentage))))</f>
        <v>0</v>
      </c>
      <c r="K1614" s="716">
        <f t="shared" ref="K1614" si="1165">I1614+J1614</f>
        <v>0</v>
      </c>
      <c r="L1614" s="716"/>
      <c r="M1614" s="689" t="str">
        <f ca="1">IF(AND(G1614&gt;0,E1614=0),"WARNING - no PRICE inserted",IF(H1614="free","FREE ~ no charge this plant",IF(H1614="credit",CONCATENATE("-$",ROUND(K1614*(1-_xlfn.SINGLE(T2GDiscount))*-1,2)," CREDIT after discount"),IF(_xlfn.SINGLE(T2GDiscount)=0,"",IF(G1614=0,"",IF(F1614="Buy",CONCATENATE("$",ROUND(K1614*(1-_xlfn.SINGLE(T2GDiscount)),2)," with ",(_xlfn.SINGLE(T2GDiscount)*100),"% discount"),CONCATENATE("$",ROUND(K1614*(1-_xlfn.SINGLE(T2GDiscount)),2)," with ",((_xlfn.SINGLE(T2GDiscount)*100+F1614*100)-(_xlfn.SINGLE(T2GDiscount)*100*F1614)),IF(F1614&gt;0,"% discounts",IF(_xlfn.SINGLE(NoWarrantyDiscount)&gt;0,"% discounts","% discount")))))))))</f>
        <v/>
      </c>
      <c r="N1614" s="690"/>
      <c r="O1614" s="486"/>
      <c r="P1614" s="486"/>
      <c r="Q1614" s="486"/>
      <c r="R1614" s="486"/>
      <c r="S1614" s="486"/>
      <c r="T1614" s="102">
        <f t="shared" si="1134"/>
        <v>0</v>
      </c>
      <c r="U1614" s="78">
        <f>IF(NOT(ISNUMBER(G1614)), "", VLOOKUP(A1614,'Discount Lookup'!D:E,2,FALSE)*G1614)</f>
        <v>0</v>
      </c>
      <c r="V1614" s="78">
        <f>IF(NOT(ISNUMBER(G1614)), "", VLOOKUP(A1614,'Discount Lookup'!G:H,2,FALSE)*G1614)</f>
        <v>0</v>
      </c>
      <c r="W1614" s="102">
        <f t="shared" si="1135"/>
        <v>0</v>
      </c>
      <c r="X1614" s="102">
        <f t="shared" si="1136"/>
        <v>0</v>
      </c>
      <c r="Y1614" s="120" t="b">
        <f t="shared" si="1137"/>
        <v>0</v>
      </c>
      <c r="Z1614" s="117">
        <f t="shared" si="1138"/>
        <v>0</v>
      </c>
      <c r="AA1614" s="118"/>
      <c r="AB1614" s="118" t="str">
        <f t="shared" si="1139"/>
        <v/>
      </c>
      <c r="AC1614" s="712" t="str">
        <f>IF(AE1614="T2G","no charge",IF(AND(OR(PlanterYesMe="No",PlanterYesMe="N",PlanterYesMe="me"),H1614=""),"",IF(H1614="credit","NO install",IF(AND(K1614="",AE1614="me"),"EACH row",IF(AND(K1614="images",AE1614="me"),"EACH row",IF(D1614="","",IF(H1614="credit","",IF(AE1614="free","re-planting",IF(AE1614="me","   not ELP, by",IF(AND(OR(PlanterYesMe="Yes",PlanterYesMe="Y"),G1614&gt;0),(VLOOKUP(A1614,'Discount Lookup'!J:K,2)*G1614*(1-PlanterDiscount)*(1+PlanterDifficultyPercentage)),IF(AE1614="ELP",(VLOOKUP(A1614,'Discount Lookup'!J:K,2)*G1614*(1-PlanterDiscount)*(1+PlanterDifficultyPercentage)),IF(AE1614="free","re-planting",IF(G1614=0,"",IF(PlanterYesMe="",IF(AE1614="me","   not ELP, by",IF(AE1614="",IF(G1614&gt;0,(VLOOKUP(A1614,'Discount Lookup'!J:K,2)*G1614*(1-PlanterDiscount)*(1+PlanterDifficultyPercentage)),""),"")),"   not ELP, by"))))))))))))))</f>
        <v/>
      </c>
      <c r="AD1614" s="712"/>
      <c r="AE1614" s="513" t="str">
        <f t="shared" si="1140"/>
        <v/>
      </c>
      <c r="AF1614" s="713" t="str">
        <f t="shared" si="1141"/>
        <v/>
      </c>
      <c r="AG1614" s="713"/>
      <c r="AH1614" s="713"/>
      <c r="AI1614" s="112">
        <f>IF(H1614="credit",0,IF(AE1614="free",0,IF(AE1614="me",0,IF(G1614&gt;0,(VLOOKUP(A1614,'Discount Lookup'!J:K,2)*G1614),0))))</f>
        <v>0</v>
      </c>
      <c r="AJ1614" s="107" t="str">
        <f t="shared" ca="1" si="1142"/>
        <v/>
      </c>
      <c r="AK1614" s="714" t="str">
        <f t="shared" si="1143"/>
        <v/>
      </c>
      <c r="AL1614" s="714"/>
      <c r="AM1614" s="114" t="str">
        <f t="shared" si="1144"/>
        <v/>
      </c>
      <c r="AN1614" s="115"/>
      <c r="AO1614" s="116"/>
      <c r="AP1614" s="116"/>
      <c r="AQ1614" s="116"/>
      <c r="AR1614" s="116"/>
      <c r="AS1614" s="116"/>
      <c r="AT1614" s="116"/>
      <c r="AU1614" s="116"/>
      <c r="AV1614" s="78"/>
      <c r="AW1614" s="102"/>
      <c r="AX1614" s="78"/>
      <c r="AY1614" s="78"/>
      <c r="AZ1614" s="78"/>
      <c r="BA1614" s="78"/>
      <c r="BB1614" s="78"/>
      <c r="BC1614" s="78"/>
      <c r="BD1614" s="78"/>
      <c r="BE1614" s="465"/>
      <c r="BF1614" s="165" t="str">
        <f t="shared" si="1145"/>
        <v>https://www.google.com/search?tbm=isch&amp;q=3%20G1</v>
      </c>
      <c r="BG1614" s="165" t="str">
        <f t="shared" si="1146"/>
        <v>F</v>
      </c>
      <c r="BH1614" s="65"/>
      <c r="BI1614" s="65"/>
      <c r="BJ1614" s="65"/>
      <c r="BK1614" s="65"/>
      <c r="BL1614" s="99"/>
      <c r="BM1614" s="99"/>
      <c r="BN1614" s="99"/>
    </row>
    <row r="1615" spans="1:66" s="51" customFormat="1" ht="15.75" x14ac:dyDescent="0.25">
      <c r="A1615" s="634">
        <v>3</v>
      </c>
      <c r="B1615" s="635" t="s">
        <v>291</v>
      </c>
      <c r="C1615" s="636" t="s">
        <v>4969</v>
      </c>
      <c r="D1615" s="637" t="s">
        <v>309</v>
      </c>
      <c r="E1615" s="638">
        <v>26.95</v>
      </c>
      <c r="F1615" s="639" t="s">
        <v>292</v>
      </c>
      <c r="G1615" s="484">
        <v>0</v>
      </c>
      <c r="H1615" s="691" t="str">
        <f>IF(G1615=0,"",IF(F1615="Buy",IF(G1615=1,"plant","plants"),IF(F1615&gt;0.01,"warranty","Error")))</f>
        <v/>
      </c>
      <c r="I1615" s="640">
        <f>IF(H1615="free",0,IF(H1615="credit",((E1615*(F1615))*G1615*-1),IF(F1615="Buy",(E1615*G1615),((E1615*(1-F1615))*G1615))))</f>
        <v>0</v>
      </c>
      <c r="J1615" s="640">
        <f>IF(H1615="warranty",0,(I1615*(_xlfn.SINGLE(SalesTaxPercentage))))</f>
        <v>0</v>
      </c>
      <c r="K1615" s="716">
        <f t="shared" ref="K1615" si="1166">I1615+J1615</f>
        <v>0</v>
      </c>
      <c r="L1615" s="716"/>
      <c r="M1615" s="689" t="str">
        <f ca="1">IF(AND(G1615&gt;0,E1615=0),"WARNING - no PRICE inserted",IF(H1615="free","FREE ~ no charge this plant",IF(H1615="credit",CONCATENATE("-$",ROUND(K1615*(1-_xlfn.SINGLE(T2GDiscount))*-1,2)," CREDIT after discount"),IF(_xlfn.SINGLE(T2GDiscount)=0,"",IF(G1615=0,"",IF(F1615="Buy",CONCATENATE("$",ROUND(K1615*(1-_xlfn.SINGLE(T2GDiscount)),2)," with ",(_xlfn.SINGLE(T2GDiscount)*100),"% discount"),CONCATENATE("$",ROUND(K1615*(1-_xlfn.SINGLE(T2GDiscount)),2)," with ",((_xlfn.SINGLE(T2GDiscount)*100+F1615*100)-(_xlfn.SINGLE(T2GDiscount)*100*F1615)),IF(F1615&gt;0,"% discounts",IF(_xlfn.SINGLE(NoWarrantyDiscount)&gt;0,"% discounts","% discount")))))))))</f>
        <v/>
      </c>
      <c r="N1615" s="690"/>
      <c r="O1615" s="486"/>
      <c r="P1615" s="486"/>
      <c r="Q1615" s="486"/>
      <c r="R1615" s="486"/>
      <c r="S1615" s="486"/>
      <c r="T1615" s="102">
        <f t="shared" si="1134"/>
        <v>0</v>
      </c>
      <c r="U1615" s="78">
        <f>IF(NOT(ISNUMBER(G1615)), "", VLOOKUP(A1615,'Discount Lookup'!D:E,2,FALSE)*G1615)</f>
        <v>0</v>
      </c>
      <c r="V1615" s="78">
        <f>IF(NOT(ISNUMBER(G1615)), "", VLOOKUP(A1615,'Discount Lookup'!G:H,2,FALSE)*G1615)</f>
        <v>0</v>
      </c>
      <c r="W1615" s="102">
        <f t="shared" si="1135"/>
        <v>0</v>
      </c>
      <c r="X1615" s="102">
        <f t="shared" si="1136"/>
        <v>0</v>
      </c>
      <c r="Y1615" s="120" t="b">
        <f t="shared" si="1137"/>
        <v>0</v>
      </c>
      <c r="Z1615" s="117">
        <f t="shared" si="1138"/>
        <v>0</v>
      </c>
      <c r="AA1615" s="118"/>
      <c r="AB1615" s="118" t="str">
        <f t="shared" si="1139"/>
        <v/>
      </c>
      <c r="AC1615" s="712" t="str">
        <f>IF(AE1615="T2G","no charge",IF(AND(OR(PlanterYesMe="No",PlanterYesMe="N",PlanterYesMe="me"),H1615=""),"",IF(H1615="credit","NO install",IF(AND(K1615="",AE1615="me"),"EACH row",IF(AND(K1615="images",AE1615="me"),"EACH row",IF(D1615="","",IF(H1615="credit","",IF(AE1615="free","re-planting",IF(AE1615="me","   not ELP, by",IF(AND(OR(PlanterYesMe="Yes",PlanterYesMe="Y"),G1615&gt;0),(VLOOKUP(A1615,'Discount Lookup'!J:K,2)*G1615*(1-PlanterDiscount)*(1+PlanterDifficultyPercentage)),IF(AE1615="ELP",(VLOOKUP(A1615,'Discount Lookup'!J:K,2)*G1615*(1-PlanterDiscount)*(1+PlanterDifficultyPercentage)),IF(AE1615="free","re-planting",IF(G1615=0,"",IF(PlanterYesMe="",IF(AE1615="me","   not ELP, by",IF(AE1615="",IF(G1615&gt;0,(VLOOKUP(A1615,'Discount Lookup'!J:K,2)*G1615*(1-PlanterDiscount)*(1+PlanterDifficultyPercentage)),""),"")),"   not ELP, by"))))))))))))))</f>
        <v/>
      </c>
      <c r="AD1615" s="712"/>
      <c r="AE1615" s="513" t="str">
        <f t="shared" si="1140"/>
        <v/>
      </c>
      <c r="AF1615" s="713" t="str">
        <f t="shared" si="1141"/>
        <v/>
      </c>
      <c r="AG1615" s="713"/>
      <c r="AH1615" s="713"/>
      <c r="AI1615" s="112">
        <f>IF(H1615="credit",0,IF(AE1615="free",0,IF(AE1615="me",0,IF(G1615&gt;0,(VLOOKUP(A1615,'Discount Lookup'!J:K,2)*G1615),0))))</f>
        <v>0</v>
      </c>
      <c r="AJ1615" s="107" t="str">
        <f t="shared" ca="1" si="1142"/>
        <v/>
      </c>
      <c r="AK1615" s="714" t="str">
        <f t="shared" si="1143"/>
        <v/>
      </c>
      <c r="AL1615" s="714"/>
      <c r="AM1615" s="114" t="str">
        <f t="shared" si="1144"/>
        <v/>
      </c>
      <c r="AN1615" s="115"/>
      <c r="AO1615" s="116"/>
      <c r="AP1615" s="116"/>
      <c r="AQ1615" s="116"/>
      <c r="AR1615" s="116"/>
      <c r="AS1615" s="116"/>
      <c r="AT1615" s="116"/>
      <c r="AU1615" s="116"/>
      <c r="AV1615" s="78"/>
      <c r="AW1615" s="102"/>
      <c r="AX1615" s="78"/>
      <c r="AY1615" s="78"/>
      <c r="AZ1615" s="78"/>
      <c r="BA1615" s="78"/>
      <c r="BB1615" s="78"/>
      <c r="BC1615" s="78"/>
      <c r="BD1615" s="78"/>
      <c r="BE1615" s="465"/>
      <c r="BF1615" s="165" t="str">
        <f t="shared" si="1145"/>
        <v>https://www.google.com/search?tbm=isch&amp;q=3%20G3</v>
      </c>
      <c r="BG1615" s="165" t="str">
        <f t="shared" si="1146"/>
        <v>F</v>
      </c>
      <c r="BH1615" s="65"/>
      <c r="BI1615" s="65"/>
      <c r="BJ1615" s="65"/>
      <c r="BK1615" s="65"/>
      <c r="BL1615" s="99"/>
      <c r="BM1615" s="99"/>
      <c r="BN1615" s="99"/>
    </row>
    <row r="1616" spans="1:66" s="51" customFormat="1" ht="15.75" x14ac:dyDescent="0.25">
      <c r="A1616" s="634">
        <v>7</v>
      </c>
      <c r="B1616" s="635" t="s">
        <v>291</v>
      </c>
      <c r="C1616" s="636"/>
      <c r="D1616" s="637" t="s">
        <v>310</v>
      </c>
      <c r="E1616" s="638">
        <v>63.95</v>
      </c>
      <c r="F1616" s="639" t="s">
        <v>292</v>
      </c>
      <c r="G1616" s="484">
        <v>0</v>
      </c>
      <c r="H1616" s="691" t="str">
        <f>IF(G1616=0,"",IF(F1616="Buy",IF(G1616=1,"plant","plants"),IF(F1616&gt;0.01,"warranty","Error")))</f>
        <v/>
      </c>
      <c r="I1616" s="640">
        <f>IF(H1616="free",0,IF(H1616="credit",((E1616*(F1616))*G1616*-1),IF(F1616="Buy",(E1616*G1616),((E1616*(1-F1616))*G1616))))</f>
        <v>0</v>
      </c>
      <c r="J1616" s="640">
        <f>IF(H1616="warranty",0,(I1616*(_xlfn.SINGLE(SalesTaxPercentage))))</f>
        <v>0</v>
      </c>
      <c r="K1616" s="716">
        <f t="shared" ref="K1616" si="1167">I1616+J1616</f>
        <v>0</v>
      </c>
      <c r="L1616" s="716"/>
      <c r="M1616" s="689" t="str">
        <f ca="1">IF(AND(G1616&gt;0,E1616=0),"WARNING - no PRICE inserted",IF(H1616="free","FREE ~ no charge this plant",IF(H1616="credit",CONCATENATE("-$",ROUND(K1616*(1-_xlfn.SINGLE(T2GDiscount))*-1,2)," CREDIT after discount"),IF(_xlfn.SINGLE(T2GDiscount)=0,"",IF(G1616=0,"",IF(F1616="Buy",CONCATENATE("$",ROUND(K1616*(1-_xlfn.SINGLE(T2GDiscount)),2)," with ",(_xlfn.SINGLE(T2GDiscount)*100),"% discount"),CONCATENATE("$",ROUND(K1616*(1-_xlfn.SINGLE(T2GDiscount)),2)," with ",((_xlfn.SINGLE(T2GDiscount)*100+F1616*100)-(_xlfn.SINGLE(T2GDiscount)*100*F1616)),IF(F1616&gt;0,"% discounts",IF(_xlfn.SINGLE(NoWarrantyDiscount)&gt;0,"% discounts","% discount")))))))))</f>
        <v/>
      </c>
      <c r="N1616" s="690"/>
      <c r="O1616" s="486"/>
      <c r="P1616" s="486"/>
      <c r="Q1616" s="486"/>
      <c r="R1616" s="486"/>
      <c r="S1616" s="486"/>
      <c r="T1616" s="102">
        <f t="shared" si="1134"/>
        <v>0</v>
      </c>
      <c r="U1616" s="78">
        <f>IF(NOT(ISNUMBER(G1616)), "", VLOOKUP(A1616,'Discount Lookup'!D:E,2,FALSE)*G1616)</f>
        <v>0</v>
      </c>
      <c r="V1616" s="78">
        <f>IF(NOT(ISNUMBER(G1616)), "", VLOOKUP(A1616,'Discount Lookup'!G:H,2,FALSE)*G1616)</f>
        <v>0</v>
      </c>
      <c r="W1616" s="102">
        <f t="shared" si="1135"/>
        <v>0</v>
      </c>
      <c r="X1616" s="102">
        <f t="shared" si="1136"/>
        <v>0</v>
      </c>
      <c r="Y1616" s="120" t="b">
        <f t="shared" si="1137"/>
        <v>0</v>
      </c>
      <c r="Z1616" s="117">
        <f t="shared" si="1138"/>
        <v>0</v>
      </c>
      <c r="AA1616" s="118"/>
      <c r="AB1616" s="118" t="str">
        <f t="shared" si="1139"/>
        <v/>
      </c>
      <c r="AC1616" s="712" t="str">
        <f>IF(AE1616="T2G","no charge",IF(AND(OR(PlanterYesMe="No",PlanterYesMe="N",PlanterYesMe="me"),H1616=""),"",IF(H1616="credit","NO install",IF(AND(K1616="",AE1616="me"),"EACH row",IF(AND(K1616="images",AE1616="me"),"EACH row",IF(D1616="","",IF(H1616="credit","",IF(AE1616="free","re-planting",IF(AE1616="me","   not ELP, by",IF(AND(OR(PlanterYesMe="Yes",PlanterYesMe="Y"),G1616&gt;0),(VLOOKUP(A1616,'Discount Lookup'!J:K,2)*G1616*(1-PlanterDiscount)*(1+PlanterDifficultyPercentage)),IF(AE1616="ELP",(VLOOKUP(A1616,'Discount Lookup'!J:K,2)*G1616*(1-PlanterDiscount)*(1+PlanterDifficultyPercentage)),IF(AE1616="free","re-planting",IF(G1616=0,"",IF(PlanterYesMe="",IF(AE1616="me","   not ELP, by",IF(AE1616="",IF(G1616&gt;0,(VLOOKUP(A1616,'Discount Lookup'!J:K,2)*G1616*(1-PlanterDiscount)*(1+PlanterDifficultyPercentage)),""),"")),"   not ELP, by"))))))))))))))</f>
        <v/>
      </c>
      <c r="AD1616" s="712"/>
      <c r="AE1616" s="513" t="str">
        <f t="shared" si="1140"/>
        <v/>
      </c>
      <c r="AF1616" s="713" t="str">
        <f t="shared" si="1141"/>
        <v/>
      </c>
      <c r="AG1616" s="713"/>
      <c r="AH1616" s="713"/>
      <c r="AI1616" s="112">
        <f>IF(H1616="credit",0,IF(AE1616="free",0,IF(AE1616="me",0,IF(G1616&gt;0,(VLOOKUP(A1616,'Discount Lookup'!J:K,2)*G1616),0))))</f>
        <v>0</v>
      </c>
      <c r="AJ1616" s="107" t="str">
        <f t="shared" ca="1" si="1142"/>
        <v/>
      </c>
      <c r="AK1616" s="714" t="str">
        <f t="shared" si="1143"/>
        <v/>
      </c>
      <c r="AL1616" s="714"/>
      <c r="AM1616" s="114" t="str">
        <f t="shared" si="1144"/>
        <v/>
      </c>
      <c r="AN1616" s="115"/>
      <c r="AO1616" s="116"/>
      <c r="AP1616" s="116"/>
      <c r="AQ1616" s="116"/>
      <c r="AR1616" s="116"/>
      <c r="AS1616" s="116"/>
      <c r="AT1616" s="116"/>
      <c r="AU1616" s="116"/>
      <c r="AV1616" s="78"/>
      <c r="AW1616" s="102"/>
      <c r="AX1616" s="78"/>
      <c r="AY1616" s="78"/>
      <c r="AZ1616" s="78"/>
      <c r="BA1616" s="78"/>
      <c r="BB1616" s="78"/>
      <c r="BC1616" s="78"/>
      <c r="BD1616" s="78"/>
      <c r="BE1616" s="465"/>
      <c r="BF1616" s="165" t="str">
        <f t="shared" si="1145"/>
        <v>https://www.google.com/search?tbm=isch&amp;q=7%20G1</v>
      </c>
      <c r="BG1616" s="165" t="str">
        <f t="shared" si="1146"/>
        <v>F</v>
      </c>
      <c r="BH1616" s="65"/>
      <c r="BI1616" s="65"/>
      <c r="BJ1616" s="65"/>
      <c r="BK1616" s="65"/>
      <c r="BL1616" s="99"/>
      <c r="BM1616" s="99"/>
      <c r="BN1616" s="99"/>
    </row>
    <row r="1617" spans="1:66" s="51" customFormat="1" ht="17.25" thickBot="1" x14ac:dyDescent="0.3">
      <c r="A1617" s="641" t="s">
        <v>2530</v>
      </c>
      <c r="B1617" s="642"/>
      <c r="C1617" s="710"/>
      <c r="D1617" s="643"/>
      <c r="E1617" s="643"/>
      <c r="F1617" s="644"/>
      <c r="G1617" s="645"/>
      <c r="H1617" s="646"/>
      <c r="I1617" s="647"/>
      <c r="J1617" s="648"/>
      <c r="K1617" s="649"/>
      <c r="L1617" s="650"/>
      <c r="M1617" s="650"/>
      <c r="N1617" s="644"/>
      <c r="O1617" s="644"/>
      <c r="P1617" s="644"/>
      <c r="Q1617" s="644"/>
      <c r="R1617" s="644"/>
      <c r="S1617" s="701" t="s">
        <v>5262</v>
      </c>
      <c r="T1617" s="102">
        <f t="shared" si="1134"/>
        <v>0</v>
      </c>
      <c r="U1617" s="78" t="str">
        <f>IF(NOT(ISNUMBER(G1617)), "", VLOOKUP(A1617,'Discount Lookup'!D:E,2,FALSE)*G1617)</f>
        <v/>
      </c>
      <c r="V1617" s="78" t="str">
        <f>IF(NOT(ISNUMBER(G1617)), "", VLOOKUP(A1617,'Discount Lookup'!G:H,2,FALSE)*G1617)</f>
        <v/>
      </c>
      <c r="W1617" s="102">
        <f t="shared" si="1135"/>
        <v>0</v>
      </c>
      <c r="X1617" s="102">
        <f t="shared" si="1136"/>
        <v>0</v>
      </c>
      <c r="Y1617" s="120" t="b">
        <f t="shared" si="1137"/>
        <v>0</v>
      </c>
      <c r="Z1617" s="117">
        <f t="shared" si="1138"/>
        <v>0</v>
      </c>
      <c r="AA1617" s="118"/>
      <c r="AB1617" s="118" t="str">
        <f t="shared" si="1139"/>
        <v/>
      </c>
      <c r="AC1617" s="712" t="str">
        <f>IF(AE1617="T2G","no charge",IF(AND(OR(PlanterYesMe="No",PlanterYesMe="N",PlanterYesMe="me"),H1617=""),"",IF(H1617="credit","NO install",IF(AND(K1617="",AE1617="me"),"EACH row",IF(AND(K1617="images",AE1617="me"),"EACH row",IF(D1617="","",IF(H1617="credit","",IF(AE1617="free","re-planting",IF(AE1617="me","   not ELP, by",IF(AND(OR(PlanterYesMe="Yes",PlanterYesMe="Y"),G1617&gt;0),(VLOOKUP(A1617,'Discount Lookup'!J:K,2)*G1617*(1-PlanterDiscount)*(1+PlanterDifficultyPercentage)),IF(AE1617="ELP",(VLOOKUP(A1617,'Discount Lookup'!J:K,2)*G1617*(1-PlanterDiscount)*(1+PlanterDifficultyPercentage)),IF(AE1617="free","re-planting",IF(G1617=0,"",IF(PlanterYesMe="",IF(AE1617="me","   not ELP, by",IF(AE1617="",IF(G1617&gt;0,(VLOOKUP(A1617,'Discount Lookup'!J:K,2)*G1617*(1-PlanterDiscount)*(1+PlanterDifficultyPercentage)),""),"")),"   not ELP, by"))))))))))))))</f>
        <v/>
      </c>
      <c r="AD1617" s="712"/>
      <c r="AE1617" s="513" t="str">
        <f t="shared" si="1140"/>
        <v/>
      </c>
      <c r="AF1617" s="713" t="str">
        <f t="shared" si="1141"/>
        <v/>
      </c>
      <c r="AG1617" s="713"/>
      <c r="AH1617" s="713"/>
      <c r="AI1617" s="112">
        <f>IF(H1617="credit",0,IF(AE1617="free",0,IF(AE1617="me",0,IF(G1617&gt;0,(VLOOKUP(A1617,'Discount Lookup'!J:K,2)*G1617),0))))</f>
        <v>0</v>
      </c>
      <c r="AJ1617" s="107" t="str">
        <f t="shared" ca="1" si="1142"/>
        <v/>
      </c>
      <c r="AK1617" s="714" t="str">
        <f t="shared" si="1143"/>
        <v/>
      </c>
      <c r="AL1617" s="714"/>
      <c r="AM1617" s="114" t="str">
        <f t="shared" si="1144"/>
        <v/>
      </c>
      <c r="AN1617" s="115"/>
      <c r="AO1617" s="116"/>
      <c r="AP1617" s="116"/>
      <c r="AQ1617" s="116"/>
      <c r="AR1617" s="116"/>
      <c r="AS1617" s="116"/>
      <c r="AT1617" s="116"/>
      <c r="AU1617" s="116"/>
      <c r="AV1617" s="78"/>
      <c r="AW1617" s="102"/>
      <c r="AX1617" s="78"/>
      <c r="AY1617" s="78"/>
      <c r="AZ1617" s="78"/>
      <c r="BA1617" s="78"/>
      <c r="BB1617" s="78"/>
      <c r="BC1617" s="78"/>
      <c r="BD1617" s="78"/>
      <c r="BE1617" s="465"/>
      <c r="BF1617" s="165" t="str">
        <f t="shared" si="1145"/>
        <v>https://www.google.com/search?tbm=isch&amp;q=Brown%20Turkey%20fruit%20is%20Purple-Brown%20with%20Pink-Amber%20flesh.Very%20tasty.%20Self-pollinating%2C%20it%20will%20double-crop%20in%20good%20conditions%20</v>
      </c>
      <c r="BG1617" s="165" t="str">
        <f t="shared" si="1146"/>
        <v>B</v>
      </c>
      <c r="BH1617" s="65"/>
      <c r="BI1617" s="65"/>
      <c r="BJ1617" s="65"/>
      <c r="BK1617" s="65"/>
      <c r="BL1617" s="99"/>
      <c r="BM1617" s="99"/>
      <c r="BN1617" s="99"/>
    </row>
    <row r="1618" spans="1:66" s="51" customFormat="1" ht="18" x14ac:dyDescent="0.25">
      <c r="A1618" s="623" t="s">
        <v>2531</v>
      </c>
      <c r="B1618" s="624"/>
      <c r="C1618" s="709"/>
      <c r="D1618" s="625" t="s">
        <v>2532</v>
      </c>
      <c r="E1618" s="626"/>
      <c r="F1618" s="626"/>
      <c r="G1618" s="626"/>
      <c r="H1618" s="622" t="s">
        <v>1498</v>
      </c>
      <c r="I1618" s="627" t="s">
        <v>431</v>
      </c>
      <c r="J1618" s="628"/>
      <c r="K1618" s="628"/>
      <c r="L1618" s="629"/>
      <c r="M1618" s="700" t="s">
        <v>5241</v>
      </c>
      <c r="N1618" s="693" t="str">
        <f>IF(AND(ISTEXT($A1618), ISERROR($A1618+0)), HYPERLINK($BF1618, "Images"), "")</f>
        <v>Images</v>
      </c>
      <c r="O1618" s="695" t="s">
        <v>5264</v>
      </c>
      <c r="P1618" s="630"/>
      <c r="Q1618" s="631"/>
      <c r="R1618" s="632"/>
      <c r="S1618" s="633"/>
      <c r="T1618" s="102">
        <f t="shared" si="1134"/>
        <v>0</v>
      </c>
      <c r="U1618" s="78" t="str">
        <f>IF(NOT(ISNUMBER(G1618)), "", VLOOKUP(A1618,'Discount Lookup'!D:E,2,FALSE)*G1618)</f>
        <v/>
      </c>
      <c r="V1618" s="78" t="str">
        <f>IF(NOT(ISNUMBER(G1618)), "", VLOOKUP(A1618,'Discount Lookup'!G:H,2,FALSE)*G1618)</f>
        <v/>
      </c>
      <c r="W1618" s="102">
        <f t="shared" si="1135"/>
        <v>0</v>
      </c>
      <c r="X1618" s="102" t="str">
        <f t="shared" si="1136"/>
        <v>Dark Green foliage</v>
      </c>
      <c r="Y1618" s="120" t="b">
        <f t="shared" si="1137"/>
        <v>0</v>
      </c>
      <c r="Z1618" s="117">
        <f t="shared" si="1138"/>
        <v>0</v>
      </c>
      <c r="AA1618" s="118"/>
      <c r="AB1618" s="118" t="str">
        <f t="shared" si="1139"/>
        <v/>
      </c>
      <c r="AC1618" s="712" t="str">
        <f>IF(AE1618="T2G","no charge",IF(AND(OR(PlanterYesMe="No",PlanterYesMe="N",PlanterYesMe="me"),H1618=""),"",IF(H1618="credit","NO install",IF(AND(K1618="",AE1618="me"),"EACH row",IF(AND(K1618="images",AE1618="me"),"EACH row",IF(D1618="","",IF(H1618="credit","",IF(AE1618="free","re-planting",IF(AE1618="me","   not ELP, by",IF(AND(OR(PlanterYesMe="Yes",PlanterYesMe="Y"),G1618&gt;0),(VLOOKUP(A1618,'Discount Lookup'!J:K,2)*G1618*(1-PlanterDiscount)*(1+PlanterDifficultyPercentage)),IF(AE1618="ELP",(VLOOKUP(A1618,'Discount Lookup'!J:K,2)*G1618*(1-PlanterDiscount)*(1+PlanterDifficultyPercentage)),IF(AE1618="free","re-planting",IF(G1618=0,"",IF(PlanterYesMe="",IF(AE1618="me","   not ELP, by",IF(AE1618="",IF(G1618&gt;0,(VLOOKUP(A1618,'Discount Lookup'!J:K,2)*G1618*(1-PlanterDiscount)*(1+PlanterDifficultyPercentage)),""),"")),"   not ELP, by"))))))))))))))</f>
        <v/>
      </c>
      <c r="AD1618" s="712"/>
      <c r="AE1618" s="513" t="str">
        <f t="shared" si="1140"/>
        <v/>
      </c>
      <c r="AF1618" s="713" t="str">
        <f t="shared" si="1141"/>
        <v/>
      </c>
      <c r="AG1618" s="713"/>
      <c r="AH1618" s="713"/>
      <c r="AI1618" s="112">
        <f>IF(H1618="credit",0,IF(AE1618="free",0,IF(AE1618="me",0,IF(G1618&gt;0,(VLOOKUP(A1618,'Discount Lookup'!J:K,2)*G1618),0))))</f>
        <v>0</v>
      </c>
      <c r="AJ1618" s="107" t="str">
        <f t="shared" ca="1" si="1142"/>
        <v/>
      </c>
      <c r="AK1618" s="714" t="str">
        <f t="shared" si="1143"/>
        <v/>
      </c>
      <c r="AL1618" s="714"/>
      <c r="AM1618" s="114" t="str">
        <f t="shared" si="1144"/>
        <v/>
      </c>
      <c r="AN1618" s="115"/>
      <c r="AO1618" s="116"/>
      <c r="AP1618" s="116"/>
      <c r="AQ1618" s="116"/>
      <c r="AR1618" s="116"/>
      <c r="AS1618" s="116"/>
      <c r="AT1618" s="116"/>
      <c r="AU1618" s="116"/>
      <c r="AV1618" s="78"/>
      <c r="AW1618" s="102"/>
      <c r="AX1618" s="78"/>
      <c r="AY1618" s="78"/>
      <c r="AZ1618" s="78"/>
      <c r="BA1618" s="78"/>
      <c r="BB1618" s="78"/>
      <c r="BC1618" s="78"/>
      <c r="BD1618" s="78"/>
      <c r="BE1618" s="465"/>
      <c r="BF1618" s="165" t="str">
        <f t="shared" si="1145"/>
        <v>https://www.google.com/search?tbm=isch&amp;q=Ficus%20carica%20%27MAJOAM%27%20PP%2327929%20Little%20Miss%20Figgy%20Fig</v>
      </c>
      <c r="BG1618" s="165" t="str">
        <f t="shared" si="1146"/>
        <v>F</v>
      </c>
      <c r="BH1618" s="65"/>
      <c r="BI1618" s="65"/>
      <c r="BJ1618" s="65"/>
      <c r="BK1618" s="65"/>
      <c r="BL1618" s="99"/>
      <c r="BM1618" s="99"/>
      <c r="BN1618" s="99"/>
    </row>
    <row r="1619" spans="1:66" s="51" customFormat="1" ht="15.75" x14ac:dyDescent="0.25">
      <c r="A1619" s="634">
        <v>3</v>
      </c>
      <c r="B1619" s="635" t="s">
        <v>291</v>
      </c>
      <c r="C1619" s="636"/>
      <c r="D1619" s="637" t="s">
        <v>329</v>
      </c>
      <c r="E1619" s="638">
        <v>36.950000000000003</v>
      </c>
      <c r="F1619" s="639" t="s">
        <v>292</v>
      </c>
      <c r="G1619" s="484">
        <v>0</v>
      </c>
      <c r="H1619" s="691" t="str">
        <f>IF(G1619=0,"",IF(F1619="Buy",IF(G1619=1,"plant","plants"),IF(F1619&gt;0.01,"warranty","Error")))</f>
        <v/>
      </c>
      <c r="I1619" s="640">
        <f>IF(H1619="free",0,IF(H1619="credit",((E1619*(F1619))*G1619*-1),IF(F1619="Buy",(E1619*G1619),((E1619*(1-F1619))*G1619))))</f>
        <v>0</v>
      </c>
      <c r="J1619" s="640">
        <f>IF(H1619="warranty",0,(I1619*(_xlfn.SINGLE(SalesTaxPercentage))))</f>
        <v>0</v>
      </c>
      <c r="K1619" s="716">
        <f t="shared" ref="K1619" si="1168">I1619+J1619</f>
        <v>0</v>
      </c>
      <c r="L1619" s="716"/>
      <c r="M1619" s="689" t="str">
        <f ca="1">IF(AND(G1619&gt;0,E1619=0),"WARNING - no PRICE inserted",IF(H1619="free","FREE ~ no charge this plant",IF(H1619="credit",CONCATENATE("-$",ROUND(K1619*(1-_xlfn.SINGLE(T2GDiscount))*-1,2)," CREDIT after discount"),IF(_xlfn.SINGLE(T2GDiscount)=0,"",IF(G1619=0,"",IF(F1619="Buy",CONCATENATE("$",ROUND(K1619*(1-_xlfn.SINGLE(T2GDiscount)),2)," with ",(_xlfn.SINGLE(T2GDiscount)*100),"% discount"),CONCATENATE("$",ROUND(K1619*(1-_xlfn.SINGLE(T2GDiscount)),2)," with ",((_xlfn.SINGLE(T2GDiscount)*100+F1619*100)-(_xlfn.SINGLE(T2GDiscount)*100*F1619)),IF(F1619&gt;0,"% discounts",IF(_xlfn.SINGLE(NoWarrantyDiscount)&gt;0,"% discounts","% discount")))))))))</f>
        <v/>
      </c>
      <c r="N1619" s="690"/>
      <c r="O1619" s="486"/>
      <c r="P1619" s="486"/>
      <c r="Q1619" s="486"/>
      <c r="R1619" s="486"/>
      <c r="S1619" s="486"/>
      <c r="T1619" s="102">
        <f t="shared" si="1134"/>
        <v>0</v>
      </c>
      <c r="U1619" s="78">
        <f>IF(NOT(ISNUMBER(G1619)), "", VLOOKUP(A1619,'Discount Lookup'!D:E,2,FALSE)*G1619)</f>
        <v>0</v>
      </c>
      <c r="V1619" s="78">
        <f>IF(NOT(ISNUMBER(G1619)), "", VLOOKUP(A1619,'Discount Lookup'!G:H,2,FALSE)*G1619)</f>
        <v>0</v>
      </c>
      <c r="W1619" s="102">
        <f t="shared" si="1135"/>
        <v>0</v>
      </c>
      <c r="X1619" s="102">
        <f t="shared" si="1136"/>
        <v>0</v>
      </c>
      <c r="Y1619" s="120" t="b">
        <f t="shared" si="1137"/>
        <v>0</v>
      </c>
      <c r="Z1619" s="117">
        <f t="shared" si="1138"/>
        <v>0</v>
      </c>
      <c r="AA1619" s="118"/>
      <c r="AB1619" s="118" t="str">
        <f t="shared" si="1139"/>
        <v/>
      </c>
      <c r="AC1619" s="712" t="str">
        <f>IF(AE1619="T2G","no charge",IF(AND(OR(PlanterYesMe="No",PlanterYesMe="N",PlanterYesMe="me"),H1619=""),"",IF(H1619="credit","NO install",IF(AND(K1619="",AE1619="me"),"EACH row",IF(AND(K1619="images",AE1619="me"),"EACH row",IF(D1619="","",IF(H1619="credit","",IF(AE1619="free","re-planting",IF(AE1619="me","   not ELP, by",IF(AND(OR(PlanterYesMe="Yes",PlanterYesMe="Y"),G1619&gt;0),(VLOOKUP(A1619,'Discount Lookup'!J:K,2)*G1619*(1-PlanterDiscount)*(1+PlanterDifficultyPercentage)),IF(AE1619="ELP",(VLOOKUP(A1619,'Discount Lookup'!J:K,2)*G1619*(1-PlanterDiscount)*(1+PlanterDifficultyPercentage)),IF(AE1619="free","re-planting",IF(G1619=0,"",IF(PlanterYesMe="",IF(AE1619="me","   not ELP, by",IF(AE1619="",IF(G1619&gt;0,(VLOOKUP(A1619,'Discount Lookup'!J:K,2)*G1619*(1-PlanterDiscount)*(1+PlanterDifficultyPercentage)),""),"")),"   not ELP, by"))))))))))))))</f>
        <v/>
      </c>
      <c r="AD1619" s="712"/>
      <c r="AE1619" s="513" t="str">
        <f t="shared" si="1140"/>
        <v/>
      </c>
      <c r="AF1619" s="713" t="str">
        <f t="shared" si="1141"/>
        <v/>
      </c>
      <c r="AG1619" s="713"/>
      <c r="AH1619" s="713"/>
      <c r="AI1619" s="112">
        <f>IF(H1619="credit",0,IF(AE1619="free",0,IF(AE1619="me",0,IF(G1619&gt;0,(VLOOKUP(A1619,'Discount Lookup'!J:K,2)*G1619),0))))</f>
        <v>0</v>
      </c>
      <c r="AJ1619" s="107" t="str">
        <f t="shared" ca="1" si="1142"/>
        <v/>
      </c>
      <c r="AK1619" s="714" t="str">
        <f t="shared" si="1143"/>
        <v/>
      </c>
      <c r="AL1619" s="714"/>
      <c r="AM1619" s="114" t="str">
        <f t="shared" si="1144"/>
        <v/>
      </c>
      <c r="AN1619" s="115"/>
      <c r="AO1619" s="116"/>
      <c r="AP1619" s="116"/>
      <c r="AQ1619" s="116"/>
      <c r="AR1619" s="116"/>
      <c r="AS1619" s="116"/>
      <c r="AT1619" s="116"/>
      <c r="AU1619" s="116"/>
      <c r="AV1619" s="78"/>
      <c r="AW1619" s="102"/>
      <c r="AX1619" s="78"/>
      <c r="AY1619" s="78"/>
      <c r="AZ1619" s="78"/>
      <c r="BA1619" s="78"/>
      <c r="BB1619" s="78"/>
      <c r="BC1619" s="78"/>
      <c r="BD1619" s="78"/>
      <c r="BE1619" s="465"/>
      <c r="BF1619" s="165" t="str">
        <f t="shared" si="1145"/>
        <v>https://www.google.com/search?tbm=isch&amp;q=3%20G2</v>
      </c>
      <c r="BG1619" s="165" t="str">
        <f t="shared" si="1146"/>
        <v>F</v>
      </c>
      <c r="BH1619" s="65"/>
      <c r="BI1619" s="65"/>
      <c r="BJ1619" s="65"/>
      <c r="BK1619" s="65"/>
      <c r="BL1619" s="99"/>
      <c r="BM1619" s="99"/>
      <c r="BN1619" s="99"/>
    </row>
    <row r="1620" spans="1:66" s="51" customFormat="1" ht="17.25" thickBot="1" x14ac:dyDescent="0.3">
      <c r="A1620" s="641" t="s">
        <v>2533</v>
      </c>
      <c r="B1620" s="642"/>
      <c r="C1620" s="710"/>
      <c r="D1620" s="643"/>
      <c r="E1620" s="643"/>
      <c r="F1620" s="644"/>
      <c r="G1620" s="645"/>
      <c r="H1620" s="646"/>
      <c r="I1620" s="647"/>
      <c r="J1620" s="648"/>
      <c r="K1620" s="649"/>
      <c r="L1620" s="650"/>
      <c r="M1620" s="650"/>
      <c r="N1620" s="644"/>
      <c r="O1620" s="644"/>
      <c r="P1620" s="644"/>
      <c r="Q1620" s="644"/>
      <c r="R1620" s="644"/>
      <c r="S1620" s="701" t="s">
        <v>5262</v>
      </c>
      <c r="T1620" s="102">
        <f t="shared" ref="T1620:T1683" si="1169">E1620*G1620</f>
        <v>0</v>
      </c>
      <c r="U1620" s="78" t="str">
        <f>IF(NOT(ISNUMBER(G1620)), "", VLOOKUP(A1620,'Discount Lookup'!D:E,2,FALSE)*G1620)</f>
        <v/>
      </c>
      <c r="V1620" s="78" t="str">
        <f>IF(NOT(ISNUMBER(G1620)), "", VLOOKUP(A1620,'Discount Lookup'!G:H,2,FALSE)*G1620)</f>
        <v/>
      </c>
      <c r="W1620" s="102">
        <f t="shared" ref="W1620:W1683" si="1170">IF(H1620="credit",0,E1620*(SalesTaxPercentage)*G1620)</f>
        <v>0</v>
      </c>
      <c r="X1620" s="102">
        <f t="shared" ref="X1620:X1683" si="1171">I1620</f>
        <v>0</v>
      </c>
      <c r="Y1620" s="120" t="b">
        <f t="shared" ref="Y1620:Y1683" si="1172">IF(AE1620="T2G",0,IF(H1620="credit",0,IF(G1620&gt;0,IF(AE1620="me","",G1620))))</f>
        <v>0</v>
      </c>
      <c r="Z1620" s="117">
        <f t="shared" ref="Z1620:Z1683" si="1173">IF(H1620="credit",G1620,0)</f>
        <v>0</v>
      </c>
      <c r="AA1620" s="118"/>
      <c r="AB1620" s="118" t="str">
        <f t="shared" ref="AB1620:AB1683" si="1174">IF(AE1620="T2G","by Trees2Go",IF(H1620="credit","CREDIT only ~",IF(AND(K1620="",AE1620=OR(PlanterYesMe="No",PlanterYesMe="N",PlanterYesMe="me")),"not THIS line⇨",IF(AND(K1620="images",AE1620="me"),"not THIS line⇨",IF(H1620="credit","",IF(G1620=0,"",IF(AE1620="me","",IF(OR(PlanterYesMe="No",PlanterYesMe="N",PlanterYesMe="me"),"",IF(AE1620="free","warranty",IF(OR(PlanterYesMe="yes",PlanterYesMe="y"),"Edison install:","to install:"))))))))))</f>
        <v/>
      </c>
      <c r="AC1620" s="712" t="str">
        <f>IF(AE1620="T2G","no charge",IF(AND(OR(PlanterYesMe="No",PlanterYesMe="N",PlanterYesMe="me"),H1620=""),"",IF(H1620="credit","NO install",IF(AND(K1620="",AE1620="me"),"EACH row",IF(AND(K1620="images",AE1620="me"),"EACH row",IF(D1620="","",IF(H1620="credit","",IF(AE1620="free","re-planting",IF(AE1620="me","   not ELP, by",IF(AND(OR(PlanterYesMe="Yes",PlanterYesMe="Y"),G1620&gt;0),(VLOOKUP(A1620,'Discount Lookup'!J:K,2)*G1620*(1-PlanterDiscount)*(1+PlanterDifficultyPercentage)),IF(AE1620="ELP",(VLOOKUP(A1620,'Discount Lookup'!J:K,2)*G1620*(1-PlanterDiscount)*(1+PlanterDifficultyPercentage)),IF(AE1620="free","re-planting",IF(G1620=0,"",IF(PlanterYesMe="",IF(AE1620="me","   not ELP, by",IF(AE1620="",IF(G1620&gt;0,(VLOOKUP(A1620,'Discount Lookup'!J:K,2)*G1620*(1-PlanterDiscount)*(1+PlanterDifficultyPercentage)),""),"")),"   not ELP, by"))))))))))))))</f>
        <v/>
      </c>
      <c r="AD1620" s="712"/>
      <c r="AE1620" s="513" t="str">
        <f t="shared" ref="AE1620:AE1683" si="1175">IF(H1620="credit","",IF(G1620=0,"",IF(OR(PlanterYesMe="No",PlanterYesMe="N",PlanterYesMe="me"),"me",IF(H1620="warranty","free",IF(OR(PlanterYesMe="yes",PlanterYesMe="y"),"ELP","")))))</f>
        <v/>
      </c>
      <c r="AF1620" s="713" t="str">
        <f t="shared" ref="AF1620:AF1683" si="1176">IF(OR(PlanterYesMe="No",PlanterYesMe="N",PlanterYesMe="me"),"",IF(H1620="credit","",IF(G1620&gt;0,(CONCATENATE((G1620)," quantity, ",(A1620)," ",B1620)),"")))</f>
        <v/>
      </c>
      <c r="AG1620" s="713"/>
      <c r="AH1620" s="713"/>
      <c r="AI1620" s="112">
        <f>IF(H1620="credit",0,IF(AE1620="free",0,IF(AE1620="me",0,IF(G1620&gt;0,(VLOOKUP(A1620,'Discount Lookup'!J:K,2)*G1620),0))))</f>
        <v>0</v>
      </c>
      <c r="AJ1620" s="107" t="str">
        <f t="shared" ref="AJ1620:AJ1683" ca="1" si="1177">IF(AND(ISREF(H1620),H1620="credit"),"",IF(AND(AND(OFFSET(G1620,0,0)=0,OFFSET(G1620,1,0)&gt;0,ISNUMBER(OFFSET(AC1620,1,0)),OFFSET(AC1620,1,0)&gt;0),OR(PlanterYesMe="yes",PlanterYesMe="y")),"T2G+ELP=",IF(AND(OFFSET(G1620,0,0)=0,OFFSET(G1620,1,0)&gt;0,ISNUMBER(OFFSET(AC1620,1,0)),OFFSET(AC1620,1,0)&gt;0),"if T2G+ELP=",IF(AND(OFFSET(G1620,0,0)=0,OFFSET(G1620,1,0)&gt;0),"T2G Subtotal",IF(H1620="credit","",IF(G1620=0,"",IF(AE1620="free",(K1620*(1-T2GDiscount)),IF(OR(PlanterYesMe="No",PlanterYesMe="N",PlanterYesMe="me"),(K1620*(1-T2GDiscount)),IF(OR(AE1620="me",AE1620="T2G"),(K1620*(1-T2GDiscount)),(K1620*(1-T2GDiscount))+AC1620)))))))))</f>
        <v/>
      </c>
      <c r="AK1620" s="714" t="str">
        <f t="shared" ref="AK1620:AK1683" si="1178">IF(H1620="credit","",IF(G1620=0,"",IF(OR(AE1620="me",AE1620="T2G"),"  delivery-only",IF(OR(PlanterYesMe="No",PlanterYesMe="N",PlanterYesMe="me"),"  delivery-only",CONCATENATE(" $",ROUND(AJ1620/G1620,2)," each")))))</f>
        <v/>
      </c>
      <c r="AL1620" s="714"/>
      <c r="AM1620" s="114" t="str">
        <f t="shared" ref="AM1620:AM1683" si="1179">IF(H1620="credit","",IF(AE1620="free","      ~ discounts included, no tax or planting fee applies ~",IF(G1620=0,"",IF(OR(PlanterYesMe="No",PlanterYesMe="N",PlanterYesMe="me"),CONCATENATE(" $",ROUND(AJ1620/G1620,2)," per plant, with tax &amp; discount"),IF(OR(AE1620="me",AE1620="T2G"),CONCATENATE(" $",ROUND(AJ1620/G1620,2)," per plant, with tax &amp; discount"),CONCATENATE("= $",ROUND((K1620*(1-T2GDiscount))/G1620,2)," per plant + $",AC1620/G1620,(" per planting      ~ includes tax &amp; discounts ~")))))))</f>
        <v/>
      </c>
      <c r="AN1620" s="115"/>
      <c r="AO1620" s="116"/>
      <c r="AP1620" s="116"/>
      <c r="AQ1620" s="116"/>
      <c r="AR1620" s="116"/>
      <c r="AS1620" s="116"/>
      <c r="AT1620" s="116"/>
      <c r="AU1620" s="116"/>
      <c r="AV1620" s="78"/>
      <c r="AW1620" s="102"/>
      <c r="AX1620" s="78"/>
      <c r="AY1620" s="78"/>
      <c r="AZ1620" s="78"/>
      <c r="BA1620" s="78"/>
      <c r="BB1620" s="78"/>
      <c r="BC1620" s="78"/>
      <c r="BD1620" s="78"/>
      <c r="BE1620" s="465"/>
      <c r="BF1620" s="165" t="str">
        <f t="shared" ref="BF1620:BF1683" si="1180">"https://www.google.com/search?tbm=isch&amp;q=" &amp; _xlfn.ENCODEURL($A1620 &amp; " " &amp; $D1620)</f>
        <v>https://www.google.com/search?tbm=isch&amp;q=Little%20Miss%20makes%20a%20great%20option%20for%20containerized%20growing%20in%20a%20tight%20space.%20Sweet%2C%20deep%20Burgundy%20fruit.%20Self-pollinating%2C%202%20crops%20per%20year%20</v>
      </c>
      <c r="BG1620" s="165" t="str">
        <f t="shared" ref="BG1620:BG1683" si="1181">IF(ISTEXT(A1620),LEFT(A1620,1),BG1619)</f>
        <v>L</v>
      </c>
      <c r="BH1620" s="65"/>
      <c r="BI1620" s="65"/>
      <c r="BJ1620" s="65"/>
      <c r="BK1620" s="65"/>
      <c r="BL1620" s="99"/>
      <c r="BM1620" s="99"/>
      <c r="BN1620" s="99"/>
    </row>
    <row r="1621" spans="1:66" s="51" customFormat="1" ht="18" x14ac:dyDescent="0.25">
      <c r="A1621" s="507" t="s">
        <v>2534</v>
      </c>
      <c r="B1621" s="470"/>
      <c r="C1621" s="706"/>
      <c r="D1621" s="471" t="s">
        <v>2535</v>
      </c>
      <c r="E1621" s="472"/>
      <c r="F1621" s="472"/>
      <c r="G1621" s="472"/>
      <c r="H1621" s="622" t="s">
        <v>2536</v>
      </c>
      <c r="I1621" s="473" t="s">
        <v>432</v>
      </c>
      <c r="J1621" s="472"/>
      <c r="K1621" s="472"/>
      <c r="L1621" s="561"/>
      <c r="M1621" s="474"/>
      <c r="N1621" s="692" t="str">
        <f>IF(AND(ISTEXT($A1621), ISERROR($A1621+0)), HYPERLINK($BF1621, "Images"), "")</f>
        <v>Images</v>
      </c>
      <c r="O1621" s="694" t="s">
        <v>5264</v>
      </c>
      <c r="P1621" s="475"/>
      <c r="Q1621" s="476"/>
      <c r="R1621" s="476"/>
      <c r="S1621" s="477"/>
      <c r="T1621" s="102">
        <f t="shared" si="1169"/>
        <v>0</v>
      </c>
      <c r="U1621" s="78" t="str">
        <f>IF(NOT(ISNUMBER(G1621)), "", VLOOKUP(A1621,'Discount Lookup'!D:E,2,FALSE)*G1621)</f>
        <v/>
      </c>
      <c r="V1621" s="78" t="str">
        <f>IF(NOT(ISNUMBER(G1621)), "", VLOOKUP(A1621,'Discount Lookup'!G:H,2,FALSE)*G1621)</f>
        <v/>
      </c>
      <c r="W1621" s="102">
        <f t="shared" si="1170"/>
        <v>0</v>
      </c>
      <c r="X1621" s="102" t="str">
        <f t="shared" si="1171"/>
        <v>Green foliage</v>
      </c>
      <c r="Y1621" s="120" t="b">
        <f t="shared" si="1172"/>
        <v>0</v>
      </c>
      <c r="Z1621" s="117">
        <f t="shared" si="1173"/>
        <v>0</v>
      </c>
      <c r="AA1621" s="118"/>
      <c r="AB1621" s="118" t="str">
        <f t="shared" si="1174"/>
        <v/>
      </c>
      <c r="AC1621" s="712" t="str">
        <f>IF(AE1621="T2G","no charge",IF(AND(OR(PlanterYesMe="No",PlanterYesMe="N",PlanterYesMe="me"),H1621=""),"",IF(H1621="credit","NO install",IF(AND(K1621="",AE1621="me"),"EACH row",IF(AND(K1621="images",AE1621="me"),"EACH row",IF(D1621="","",IF(H1621="credit","",IF(AE1621="free","re-planting",IF(AE1621="me","   not ELP, by",IF(AND(OR(PlanterYesMe="Yes",PlanterYesMe="Y"),G1621&gt;0),(VLOOKUP(A1621,'Discount Lookup'!J:K,2)*G1621*(1-PlanterDiscount)*(1+PlanterDifficultyPercentage)),IF(AE1621="ELP",(VLOOKUP(A1621,'Discount Lookup'!J:K,2)*G1621*(1-PlanterDiscount)*(1+PlanterDifficultyPercentage)),IF(AE1621="free","re-planting",IF(G1621=0,"",IF(PlanterYesMe="",IF(AE1621="me","   not ELP, by",IF(AE1621="",IF(G1621&gt;0,(VLOOKUP(A1621,'Discount Lookup'!J:K,2)*G1621*(1-PlanterDiscount)*(1+PlanterDifficultyPercentage)),""),"")),"   not ELP, by"))))))))))))))</f>
        <v/>
      </c>
      <c r="AD1621" s="712"/>
      <c r="AE1621" s="513" t="str">
        <f t="shared" si="1175"/>
        <v/>
      </c>
      <c r="AF1621" s="713" t="str">
        <f t="shared" si="1176"/>
        <v/>
      </c>
      <c r="AG1621" s="713"/>
      <c r="AH1621" s="713"/>
      <c r="AI1621" s="112">
        <f>IF(H1621="credit",0,IF(AE1621="free",0,IF(AE1621="me",0,IF(G1621&gt;0,(VLOOKUP(A1621,'Discount Lookup'!J:K,2)*G1621),0))))</f>
        <v>0</v>
      </c>
      <c r="AJ1621" s="107" t="str">
        <f t="shared" ca="1" si="1177"/>
        <v/>
      </c>
      <c r="AK1621" s="714" t="str">
        <f t="shared" si="1178"/>
        <v/>
      </c>
      <c r="AL1621" s="714"/>
      <c r="AM1621" s="114" t="str">
        <f t="shared" si="1179"/>
        <v/>
      </c>
      <c r="AN1621" s="115"/>
      <c r="AO1621" s="116"/>
      <c r="AP1621" s="116"/>
      <c r="AQ1621" s="116"/>
      <c r="AR1621" s="116"/>
      <c r="AS1621" s="116"/>
      <c r="AT1621" s="116"/>
      <c r="AU1621" s="116"/>
      <c r="AV1621" s="78"/>
      <c r="AW1621" s="102"/>
      <c r="AX1621" s="78"/>
      <c r="AY1621" s="78"/>
      <c r="AZ1621" s="78"/>
      <c r="BA1621" s="78"/>
      <c r="BB1621" s="78"/>
      <c r="BC1621" s="78"/>
      <c r="BD1621" s="78"/>
      <c r="BE1621" s="465"/>
      <c r="BF1621" s="165" t="str">
        <f t="shared" si="1180"/>
        <v>https://www.google.com/search?tbm=isch&amp;q=Ficus%20pumila%20Creeping%20Fig</v>
      </c>
      <c r="BG1621" s="165" t="str">
        <f t="shared" si="1181"/>
        <v>F</v>
      </c>
      <c r="BH1621" s="65"/>
      <c r="BI1621" s="65"/>
      <c r="BJ1621" s="65"/>
      <c r="BK1621" s="65"/>
      <c r="BL1621" s="99"/>
      <c r="BM1621" s="99"/>
      <c r="BN1621" s="99"/>
    </row>
    <row r="1622" spans="1:66" s="51" customFormat="1" ht="15.75" x14ac:dyDescent="0.25">
      <c r="A1622" s="478">
        <v>3</v>
      </c>
      <c r="B1622" s="479" t="s">
        <v>291</v>
      </c>
      <c r="C1622" s="480" t="s">
        <v>4970</v>
      </c>
      <c r="D1622" s="481" t="s">
        <v>293</v>
      </c>
      <c r="E1622" s="482">
        <v>33.950000000000003</v>
      </c>
      <c r="F1622" s="483" t="s">
        <v>292</v>
      </c>
      <c r="G1622" s="484">
        <v>0</v>
      </c>
      <c r="H1622" s="688" t="str">
        <f>IF(G1622=0,"",IF(F1622="Buy",IF(G1622=1,"plant","plants"),IF(F1622&gt;0.01,"warranty","Error")))</f>
        <v/>
      </c>
      <c r="I1622" s="485">
        <f>IF(H1622="free",0,IF(H1622="credit",((E1622*(F1622))*G1622*-1),IF(F1622="Buy",(E1622*G1622),((E1622*(1-F1622))*G1622))))</f>
        <v>0</v>
      </c>
      <c r="J1622" s="485">
        <f>IF(H1622="warranty",0,(I1622*(_xlfn.SINGLE(SalesTaxPercentage))))</f>
        <v>0</v>
      </c>
      <c r="K1622" s="715">
        <f t="shared" ref="K1622" si="1182">I1622+J1622</f>
        <v>0</v>
      </c>
      <c r="L1622" s="715"/>
      <c r="M1622" s="689" t="str">
        <f ca="1">IF(AND(G1622&gt;0,E1622=0),"WARNING - no PRICE inserted",IF(H1622="free","FREE ~ no charge this plant",IF(H1622="credit",CONCATENATE("-$",ROUND(K1622*(1-_xlfn.SINGLE(T2GDiscount))*-1,2)," CREDIT after discount"),IF(_xlfn.SINGLE(T2GDiscount)=0,"",IF(G1622=0,"",IF(F1622="Buy",CONCATENATE("$",ROUND(K1622*(1-_xlfn.SINGLE(T2GDiscount)),2)," with ",(_xlfn.SINGLE(T2GDiscount)*100),"% discount"),CONCATENATE("$",ROUND(K1622*(1-_xlfn.SINGLE(T2GDiscount)),2)," with ",((_xlfn.SINGLE(T2GDiscount)*100+F1622*100)-(_xlfn.SINGLE(T2GDiscount)*100*F1622)),IF(F1622&gt;0,"% discounts",IF(_xlfn.SINGLE(NoWarrantyDiscount)&gt;0,"% discounts","% discount")))))))))</f>
        <v/>
      </c>
      <c r="N1622" s="690"/>
      <c r="O1622" s="486"/>
      <c r="P1622" s="486"/>
      <c r="Q1622" s="486"/>
      <c r="R1622" s="486"/>
      <c r="S1622" s="486"/>
      <c r="T1622" s="102">
        <f t="shared" si="1169"/>
        <v>0</v>
      </c>
      <c r="U1622" s="78">
        <f>IF(NOT(ISNUMBER(G1622)), "", VLOOKUP(A1622,'Discount Lookup'!D:E,2,FALSE)*G1622)</f>
        <v>0</v>
      </c>
      <c r="V1622" s="78">
        <f>IF(NOT(ISNUMBER(G1622)), "", VLOOKUP(A1622,'Discount Lookup'!G:H,2,FALSE)*G1622)</f>
        <v>0</v>
      </c>
      <c r="W1622" s="102">
        <f t="shared" si="1170"/>
        <v>0</v>
      </c>
      <c r="X1622" s="102">
        <f t="shared" si="1171"/>
        <v>0</v>
      </c>
      <c r="Y1622" s="120" t="b">
        <f t="shared" si="1172"/>
        <v>0</v>
      </c>
      <c r="Z1622" s="117">
        <f t="shared" si="1173"/>
        <v>0</v>
      </c>
      <c r="AA1622" s="118"/>
      <c r="AB1622" s="118" t="str">
        <f t="shared" si="1174"/>
        <v/>
      </c>
      <c r="AC1622" s="712" t="str">
        <f>IF(AE1622="T2G","no charge",IF(AND(OR(PlanterYesMe="No",PlanterYesMe="N",PlanterYesMe="me"),H1622=""),"",IF(H1622="credit","NO install",IF(AND(K1622="",AE1622="me"),"EACH row",IF(AND(K1622="images",AE1622="me"),"EACH row",IF(D1622="","",IF(H1622="credit","",IF(AE1622="free","re-planting",IF(AE1622="me","   not ELP, by",IF(AND(OR(PlanterYesMe="Yes",PlanterYesMe="Y"),G1622&gt;0),(VLOOKUP(A1622,'Discount Lookup'!J:K,2)*G1622*(1-PlanterDiscount)*(1+PlanterDifficultyPercentage)),IF(AE1622="ELP",(VLOOKUP(A1622,'Discount Lookup'!J:K,2)*G1622*(1-PlanterDiscount)*(1+PlanterDifficultyPercentage)),IF(AE1622="free","re-planting",IF(G1622=0,"",IF(PlanterYesMe="",IF(AE1622="me","   not ELP, by",IF(AE1622="",IF(G1622&gt;0,(VLOOKUP(A1622,'Discount Lookup'!J:K,2)*G1622*(1-PlanterDiscount)*(1+PlanterDifficultyPercentage)),""),"")),"   not ELP, by"))))))))))))))</f>
        <v/>
      </c>
      <c r="AD1622" s="712"/>
      <c r="AE1622" s="513" t="str">
        <f t="shared" si="1175"/>
        <v/>
      </c>
      <c r="AF1622" s="713" t="str">
        <f t="shared" si="1176"/>
        <v/>
      </c>
      <c r="AG1622" s="713"/>
      <c r="AH1622" s="713"/>
      <c r="AI1622" s="112">
        <f>IF(H1622="credit",0,IF(AE1622="free",0,IF(AE1622="me",0,IF(G1622&gt;0,(VLOOKUP(A1622,'Discount Lookup'!J:K,2)*G1622),0))))</f>
        <v>0</v>
      </c>
      <c r="AJ1622" s="107" t="str">
        <f t="shared" ca="1" si="1177"/>
        <v/>
      </c>
      <c r="AK1622" s="714" t="str">
        <f t="shared" si="1178"/>
        <v/>
      </c>
      <c r="AL1622" s="714"/>
      <c r="AM1622" s="114" t="str">
        <f t="shared" si="1179"/>
        <v/>
      </c>
      <c r="AN1622" s="115"/>
      <c r="AO1622" s="116"/>
      <c r="AP1622" s="116"/>
      <c r="AQ1622" s="116"/>
      <c r="AR1622" s="116"/>
      <c r="AS1622" s="116"/>
      <c r="AT1622" s="116"/>
      <c r="AU1622" s="116"/>
      <c r="AV1622" s="78"/>
      <c r="AW1622" s="102"/>
      <c r="AX1622" s="78"/>
      <c r="AY1622" s="78"/>
      <c r="AZ1622" s="78"/>
      <c r="BA1622" s="78"/>
      <c r="BB1622" s="78"/>
      <c r="BC1622" s="78"/>
      <c r="BD1622" s="78"/>
      <c r="BE1622" s="465"/>
      <c r="BF1622" s="165" t="str">
        <f t="shared" si="1180"/>
        <v>https://www.google.com/search?tbm=isch&amp;q=3%20G6</v>
      </c>
      <c r="BG1622" s="165" t="str">
        <f t="shared" si="1181"/>
        <v>F</v>
      </c>
      <c r="BH1622" s="65"/>
      <c r="BI1622" s="65"/>
      <c r="BJ1622" s="65"/>
      <c r="BK1622" s="65"/>
      <c r="BL1622" s="99"/>
      <c r="BM1622" s="99"/>
      <c r="BN1622" s="99"/>
    </row>
    <row r="1623" spans="1:66" s="51" customFormat="1" ht="15.75" x14ac:dyDescent="0.25">
      <c r="A1623" s="508" t="s">
        <v>2537</v>
      </c>
      <c r="B1623" s="487"/>
      <c r="C1623" s="707"/>
      <c r="D1623" s="487"/>
      <c r="E1623" s="487"/>
      <c r="F1623" s="488"/>
      <c r="G1623" s="489"/>
      <c r="H1623" s="487"/>
      <c r="I1623" s="490"/>
      <c r="J1623" s="490"/>
      <c r="K1623" s="491"/>
      <c r="L1623" s="547"/>
      <c r="M1623" s="528"/>
      <c r="N1623" s="492"/>
      <c r="O1623" s="493"/>
      <c r="P1623" s="494"/>
      <c r="Q1623" s="492"/>
      <c r="R1623" s="492"/>
      <c r="S1623" s="495"/>
      <c r="T1623" s="102">
        <f t="shared" si="1169"/>
        <v>0</v>
      </c>
      <c r="U1623" s="78" t="str">
        <f>IF(NOT(ISNUMBER(G1623)), "", VLOOKUP(A1623,'Discount Lookup'!D:E,2,FALSE)*G1623)</f>
        <v/>
      </c>
      <c r="V1623" s="78" t="str">
        <f>IF(NOT(ISNUMBER(G1623)), "", VLOOKUP(A1623,'Discount Lookup'!G:H,2,FALSE)*G1623)</f>
        <v/>
      </c>
      <c r="W1623" s="102">
        <f t="shared" si="1170"/>
        <v>0</v>
      </c>
      <c r="X1623" s="102">
        <f t="shared" si="1171"/>
        <v>0</v>
      </c>
      <c r="Y1623" s="120" t="b">
        <f t="shared" si="1172"/>
        <v>0</v>
      </c>
      <c r="Z1623" s="117">
        <f t="shared" si="1173"/>
        <v>0</v>
      </c>
      <c r="AA1623" s="118"/>
      <c r="AB1623" s="118" t="str">
        <f t="shared" si="1174"/>
        <v/>
      </c>
      <c r="AC1623" s="712" t="str">
        <f>IF(AE1623="T2G","no charge",IF(AND(OR(PlanterYesMe="No",PlanterYesMe="N",PlanterYesMe="me"),H1623=""),"",IF(H1623="credit","NO install",IF(AND(K1623="",AE1623="me"),"EACH row",IF(AND(K1623="images",AE1623="me"),"EACH row",IF(D1623="","",IF(H1623="credit","",IF(AE1623="free","re-planting",IF(AE1623="me","   not ELP, by",IF(AND(OR(PlanterYesMe="Yes",PlanterYesMe="Y"),G1623&gt;0),(VLOOKUP(A1623,'Discount Lookup'!J:K,2)*G1623*(1-PlanterDiscount)*(1+PlanterDifficultyPercentage)),IF(AE1623="ELP",(VLOOKUP(A1623,'Discount Lookup'!J:K,2)*G1623*(1-PlanterDiscount)*(1+PlanterDifficultyPercentage)),IF(AE1623="free","re-planting",IF(G1623=0,"",IF(PlanterYesMe="",IF(AE1623="me","   not ELP, by",IF(AE1623="",IF(G1623&gt;0,(VLOOKUP(A1623,'Discount Lookup'!J:K,2)*G1623*(1-PlanterDiscount)*(1+PlanterDifficultyPercentage)),""),"")),"   not ELP, by"))))))))))))))</f>
        <v/>
      </c>
      <c r="AD1623" s="712"/>
      <c r="AE1623" s="513" t="str">
        <f t="shared" si="1175"/>
        <v/>
      </c>
      <c r="AF1623" s="713" t="str">
        <f t="shared" si="1176"/>
        <v/>
      </c>
      <c r="AG1623" s="713"/>
      <c r="AH1623" s="713"/>
      <c r="AI1623" s="112">
        <f>IF(H1623="credit",0,IF(AE1623="free",0,IF(AE1623="me",0,IF(G1623&gt;0,(VLOOKUP(A1623,'Discount Lookup'!J:K,2)*G1623),0))))</f>
        <v>0</v>
      </c>
      <c r="AJ1623" s="107" t="str">
        <f t="shared" ca="1" si="1177"/>
        <v/>
      </c>
      <c r="AK1623" s="714" t="str">
        <f t="shared" si="1178"/>
        <v/>
      </c>
      <c r="AL1623" s="714"/>
      <c r="AM1623" s="114" t="str">
        <f t="shared" si="1179"/>
        <v/>
      </c>
      <c r="AN1623" s="115"/>
      <c r="AO1623" s="116"/>
      <c r="AP1623" s="116"/>
      <c r="AQ1623" s="116"/>
      <c r="AR1623" s="116"/>
      <c r="AS1623" s="116"/>
      <c r="AT1623" s="116"/>
      <c r="AU1623" s="116"/>
      <c r="AV1623" s="78"/>
      <c r="AW1623" s="102"/>
      <c r="AX1623" s="78"/>
      <c r="AY1623" s="78"/>
      <c r="AZ1623" s="78"/>
      <c r="BA1623" s="78"/>
      <c r="BB1623" s="78"/>
      <c r="BC1623" s="78"/>
      <c r="BD1623" s="78"/>
      <c r="BE1623" s="465"/>
      <c r="BF1623" s="165" t="str">
        <f t="shared" si="1180"/>
        <v>https://www.google.com/search?tbm=isch&amp;q=Creeping%20Fig%20stays%20quite%20low%20as%20a%20groundcover%2C%20growing%20indifinitely.%20If%20allowed%2C%20it%20will%20climb%20as%20high%20as%20support%20structure%20</v>
      </c>
      <c r="BG1623" s="165" t="str">
        <f t="shared" si="1181"/>
        <v>C</v>
      </c>
      <c r="BH1623" s="65"/>
      <c r="BI1623" s="65"/>
      <c r="BJ1623" s="65"/>
      <c r="BK1623" s="65"/>
      <c r="BL1623" s="99"/>
      <c r="BM1623" s="99"/>
      <c r="BN1623" s="99"/>
    </row>
    <row r="1624" spans="1:66" s="51" customFormat="1" ht="19.5" thickBot="1" x14ac:dyDescent="0.3">
      <c r="A1624" s="686" t="s">
        <v>422</v>
      </c>
      <c r="B1624" s="73"/>
      <c r="C1624" s="708"/>
      <c r="D1624" s="73"/>
      <c r="E1624" s="73"/>
      <c r="F1624" s="496"/>
      <c r="G1624" s="73"/>
      <c r="H1624" s="73"/>
      <c r="I1624" s="73"/>
      <c r="J1624" s="497" t="s">
        <v>357</v>
      </c>
      <c r="K1624" s="498"/>
      <c r="L1624" s="562"/>
      <c r="M1624" s="73"/>
      <c r="N1624"/>
      <c r="O1624"/>
      <c r="P1624"/>
      <c r="Q1624"/>
      <c r="R1624"/>
      <c r="S1624"/>
      <c r="T1624" s="102">
        <f t="shared" si="1169"/>
        <v>0</v>
      </c>
      <c r="U1624" s="78" t="str">
        <f>IF(NOT(ISNUMBER(G1624)), "", VLOOKUP(A1624,'Discount Lookup'!D:E,2,FALSE)*G1624)</f>
        <v/>
      </c>
      <c r="V1624" s="78" t="str">
        <f>IF(NOT(ISNUMBER(G1624)), "", VLOOKUP(A1624,'Discount Lookup'!G:H,2,FALSE)*G1624)</f>
        <v/>
      </c>
      <c r="W1624" s="102">
        <f t="shared" si="1170"/>
        <v>0</v>
      </c>
      <c r="X1624" s="102">
        <f t="shared" si="1171"/>
        <v>0</v>
      </c>
      <c r="Y1624" s="120" t="b">
        <f t="shared" si="1172"/>
        <v>0</v>
      </c>
      <c r="Z1624" s="117">
        <f t="shared" si="1173"/>
        <v>0</v>
      </c>
      <c r="AA1624" s="118"/>
      <c r="AB1624" s="118" t="str">
        <f t="shared" si="1174"/>
        <v/>
      </c>
      <c r="AC1624" s="712" t="str">
        <f>IF(AE1624="T2G","no charge",IF(AND(OR(PlanterYesMe="No",PlanterYesMe="N",PlanterYesMe="me"),H1624=""),"",IF(H1624="credit","NO install",IF(AND(K1624="",AE1624="me"),"EACH row",IF(AND(K1624="images",AE1624="me"),"EACH row",IF(D1624="","",IF(H1624="credit","",IF(AE1624="free","re-planting",IF(AE1624="me","   not ELP, by",IF(AND(OR(PlanterYesMe="Yes",PlanterYesMe="Y"),G1624&gt;0),(VLOOKUP(A1624,'Discount Lookup'!J:K,2)*G1624*(1-PlanterDiscount)*(1+PlanterDifficultyPercentage)),IF(AE1624="ELP",(VLOOKUP(A1624,'Discount Lookup'!J:K,2)*G1624*(1-PlanterDiscount)*(1+PlanterDifficultyPercentage)),IF(AE1624="free","re-planting",IF(G1624=0,"",IF(PlanterYesMe="",IF(AE1624="me","   not ELP, by",IF(AE1624="",IF(G1624&gt;0,(VLOOKUP(A1624,'Discount Lookup'!J:K,2)*G1624*(1-PlanterDiscount)*(1+PlanterDifficultyPercentage)),""),"")),"   not ELP, by"))))))))))))))</f>
        <v/>
      </c>
      <c r="AD1624" s="712"/>
      <c r="AE1624" s="513" t="str">
        <f t="shared" si="1175"/>
        <v/>
      </c>
      <c r="AF1624" s="713" t="str">
        <f t="shared" si="1176"/>
        <v/>
      </c>
      <c r="AG1624" s="713"/>
      <c r="AH1624" s="713"/>
      <c r="AI1624" s="112">
        <f>IF(H1624="credit",0,IF(AE1624="free",0,IF(AE1624="me",0,IF(G1624&gt;0,(VLOOKUP(A1624,'Discount Lookup'!J:K,2)*G1624),0))))</f>
        <v>0</v>
      </c>
      <c r="AJ1624" s="107" t="str">
        <f t="shared" ca="1" si="1177"/>
        <v/>
      </c>
      <c r="AK1624" s="714" t="str">
        <f t="shared" si="1178"/>
        <v/>
      </c>
      <c r="AL1624" s="714"/>
      <c r="AM1624" s="114" t="str">
        <f t="shared" si="1179"/>
        <v/>
      </c>
      <c r="AN1624" s="115"/>
      <c r="AO1624" s="116"/>
      <c r="AP1624" s="116"/>
      <c r="AQ1624" s="116"/>
      <c r="AR1624" s="116"/>
      <c r="AS1624" s="116"/>
      <c r="AT1624" s="116"/>
      <c r="AU1624" s="116"/>
      <c r="AV1624" s="78"/>
      <c r="AW1624" s="102"/>
      <c r="AX1624" s="78"/>
      <c r="AY1624" s="78"/>
      <c r="AZ1624" s="78"/>
      <c r="BA1624" s="78"/>
      <c r="BB1624" s="78"/>
      <c r="BC1624" s="78"/>
      <c r="BD1624" s="78"/>
      <c r="BE1624" s="465"/>
      <c r="BF1624" s="165" t="str">
        <f t="shared" si="1180"/>
        <v>https://www.google.com/search?tbm=isch&amp;q=Forsythia%20%3D%20Golden%20Bells%20</v>
      </c>
      <c r="BG1624" s="165" t="str">
        <f t="shared" si="1181"/>
        <v>F</v>
      </c>
      <c r="BH1624" s="65"/>
      <c r="BI1624" s="65"/>
      <c r="BJ1624" s="65"/>
      <c r="BK1624" s="65"/>
      <c r="BL1624" s="99"/>
      <c r="BM1624" s="99"/>
      <c r="BN1624" s="99"/>
    </row>
    <row r="1625" spans="1:66" s="51" customFormat="1" ht="18" x14ac:dyDescent="0.25">
      <c r="A1625" s="623" t="s">
        <v>2539</v>
      </c>
      <c r="B1625" s="624"/>
      <c r="C1625" s="709"/>
      <c r="D1625" s="625" t="s">
        <v>2540</v>
      </c>
      <c r="E1625" s="626"/>
      <c r="F1625" s="626"/>
      <c r="G1625" s="626"/>
      <c r="H1625" s="622" t="s">
        <v>2541</v>
      </c>
      <c r="I1625" s="627" t="s">
        <v>1549</v>
      </c>
      <c r="J1625" s="628"/>
      <c r="K1625" s="628"/>
      <c r="L1625" s="629"/>
      <c r="M1625" s="700" t="s">
        <v>5249</v>
      </c>
      <c r="N1625" s="693" t="str">
        <f>IF(AND(ISTEXT($A1625), ISERROR($A1625+0)), HYPERLINK($BF1625, "Images"), "")</f>
        <v>Images</v>
      </c>
      <c r="O1625" s="695" t="s">
        <v>5247</v>
      </c>
      <c r="P1625" s="630"/>
      <c r="Q1625" s="631"/>
      <c r="R1625" s="632"/>
      <c r="S1625" s="633"/>
      <c r="T1625" s="102">
        <f t="shared" si="1169"/>
        <v>0</v>
      </c>
      <c r="U1625" s="78" t="str">
        <f>IF(NOT(ISNUMBER(G1625)), "", VLOOKUP(A1625,'Discount Lookup'!D:E,2,FALSE)*G1625)</f>
        <v/>
      </c>
      <c r="V1625" s="78" t="str">
        <f>IF(NOT(ISNUMBER(G1625)), "", VLOOKUP(A1625,'Discount Lookup'!G:H,2,FALSE)*G1625)</f>
        <v/>
      </c>
      <c r="W1625" s="102">
        <f t="shared" si="1170"/>
        <v>0</v>
      </c>
      <c r="X1625" s="102" t="str">
        <f t="shared" si="1171"/>
        <v>Golden Yellow bloom</v>
      </c>
      <c r="Y1625" s="120" t="b">
        <f t="shared" si="1172"/>
        <v>0</v>
      </c>
      <c r="Z1625" s="117">
        <f t="shared" si="1173"/>
        <v>0</v>
      </c>
      <c r="AA1625" s="118"/>
      <c r="AB1625" s="118" t="str">
        <f t="shared" si="1174"/>
        <v/>
      </c>
      <c r="AC1625" s="712" t="str">
        <f>IF(AE1625="T2G","no charge",IF(AND(OR(PlanterYesMe="No",PlanterYesMe="N",PlanterYesMe="me"),H1625=""),"",IF(H1625="credit","NO install",IF(AND(K1625="",AE1625="me"),"EACH row",IF(AND(K1625="images",AE1625="me"),"EACH row",IF(D1625="","",IF(H1625="credit","",IF(AE1625="free","re-planting",IF(AE1625="me","   not ELP, by",IF(AND(OR(PlanterYesMe="Yes",PlanterYesMe="Y"),G1625&gt;0),(VLOOKUP(A1625,'Discount Lookup'!J:K,2)*G1625*(1-PlanterDiscount)*(1+PlanterDifficultyPercentage)),IF(AE1625="ELP",(VLOOKUP(A1625,'Discount Lookup'!J:K,2)*G1625*(1-PlanterDiscount)*(1+PlanterDifficultyPercentage)),IF(AE1625="free","re-planting",IF(G1625=0,"",IF(PlanterYesMe="",IF(AE1625="me","   not ELP, by",IF(AE1625="",IF(G1625&gt;0,(VLOOKUP(A1625,'Discount Lookup'!J:K,2)*G1625*(1-PlanterDiscount)*(1+PlanterDifficultyPercentage)),""),"")),"   not ELP, by"))))))))))))))</f>
        <v/>
      </c>
      <c r="AD1625" s="712"/>
      <c r="AE1625" s="513" t="str">
        <f t="shared" si="1175"/>
        <v/>
      </c>
      <c r="AF1625" s="713" t="str">
        <f t="shared" si="1176"/>
        <v/>
      </c>
      <c r="AG1625" s="713"/>
      <c r="AH1625" s="713"/>
      <c r="AI1625" s="112">
        <f>IF(H1625="credit",0,IF(AE1625="free",0,IF(AE1625="me",0,IF(G1625&gt;0,(VLOOKUP(A1625,'Discount Lookup'!J:K,2)*G1625),0))))</f>
        <v>0</v>
      </c>
      <c r="AJ1625" s="107" t="str">
        <f t="shared" ca="1" si="1177"/>
        <v/>
      </c>
      <c r="AK1625" s="714" t="str">
        <f t="shared" si="1178"/>
        <v/>
      </c>
      <c r="AL1625" s="714"/>
      <c r="AM1625" s="114" t="str">
        <f t="shared" si="1179"/>
        <v/>
      </c>
      <c r="AN1625" s="115"/>
      <c r="AO1625" s="116"/>
      <c r="AP1625" s="116"/>
      <c r="AQ1625" s="116"/>
      <c r="AR1625" s="116"/>
      <c r="AS1625" s="116"/>
      <c r="AT1625" s="116"/>
      <c r="AU1625" s="116"/>
      <c r="AV1625" s="78"/>
      <c r="AW1625" s="102"/>
      <c r="AX1625" s="78"/>
      <c r="AY1625" s="78"/>
      <c r="AZ1625" s="78"/>
      <c r="BA1625" s="78"/>
      <c r="BB1625" s="78"/>
      <c r="BC1625" s="78"/>
      <c r="BD1625" s="78"/>
      <c r="BE1625" s="465"/>
      <c r="BF1625" s="165" t="str">
        <f t="shared" si="1180"/>
        <v>https://www.google.com/search?tbm=isch&amp;q=Forsythia%20x%20intermedia%20%27Lynwood%20Variety%27%20Lynwood%20Gold%20Forsythia</v>
      </c>
      <c r="BG1625" s="165" t="str">
        <f t="shared" si="1181"/>
        <v>F</v>
      </c>
      <c r="BH1625" s="65"/>
      <c r="BI1625" s="65"/>
      <c r="BJ1625" s="65"/>
      <c r="BK1625" s="65"/>
      <c r="BL1625" s="99"/>
      <c r="BM1625" s="99"/>
      <c r="BN1625" s="99"/>
    </row>
    <row r="1626" spans="1:66" s="51" customFormat="1" ht="15.75" x14ac:dyDescent="0.25">
      <c r="A1626" s="634">
        <v>3</v>
      </c>
      <c r="B1626" s="635" t="s">
        <v>291</v>
      </c>
      <c r="C1626" s="636" t="s">
        <v>2538</v>
      </c>
      <c r="D1626" s="637" t="s">
        <v>309</v>
      </c>
      <c r="E1626" s="638">
        <v>22.95</v>
      </c>
      <c r="F1626" s="639" t="s">
        <v>292</v>
      </c>
      <c r="G1626" s="484">
        <v>0</v>
      </c>
      <c r="H1626" s="691" t="str">
        <f>IF(G1626=0,"",IF(F1626="Buy",IF(G1626=1,"plant","plants"),IF(F1626&gt;0.01,"warranty","Error")))</f>
        <v/>
      </c>
      <c r="I1626" s="640">
        <f>IF(H1626="free",0,IF(H1626="credit",((E1626*(F1626))*G1626*-1),IF(F1626="Buy",(E1626*G1626),((E1626*(1-F1626))*G1626))))</f>
        <v>0</v>
      </c>
      <c r="J1626" s="640">
        <f>IF(H1626="warranty",0,(I1626*(_xlfn.SINGLE(SalesTaxPercentage))))</f>
        <v>0</v>
      </c>
      <c r="K1626" s="716">
        <f t="shared" ref="K1626" si="1183">I1626+J1626</f>
        <v>0</v>
      </c>
      <c r="L1626" s="716"/>
      <c r="M1626" s="689" t="str">
        <f ca="1">IF(AND(G1626&gt;0,E1626=0),"WARNING - no PRICE inserted",IF(H1626="free","FREE ~ no charge this plant",IF(H1626="credit",CONCATENATE("-$",ROUND(K1626*(1-_xlfn.SINGLE(T2GDiscount))*-1,2)," CREDIT after discount"),IF(_xlfn.SINGLE(T2GDiscount)=0,"",IF(G1626=0,"",IF(F1626="Buy",CONCATENATE("$",ROUND(K1626*(1-_xlfn.SINGLE(T2GDiscount)),2)," with ",(_xlfn.SINGLE(T2GDiscount)*100),"% discount"),CONCATENATE("$",ROUND(K1626*(1-_xlfn.SINGLE(T2GDiscount)),2)," with ",((_xlfn.SINGLE(T2GDiscount)*100+F1626*100)-(_xlfn.SINGLE(T2GDiscount)*100*F1626)),IF(F1626&gt;0,"% discounts",IF(_xlfn.SINGLE(NoWarrantyDiscount)&gt;0,"% discounts","% discount")))))))))</f>
        <v/>
      </c>
      <c r="N1626" s="690"/>
      <c r="O1626" s="486"/>
      <c r="P1626" s="486"/>
      <c r="Q1626" s="486"/>
      <c r="R1626" s="486"/>
      <c r="S1626" s="486"/>
      <c r="T1626" s="102">
        <f t="shared" si="1169"/>
        <v>0</v>
      </c>
      <c r="U1626" s="78">
        <f>IF(NOT(ISNUMBER(G1626)), "", VLOOKUP(A1626,'Discount Lookup'!D:E,2,FALSE)*G1626)</f>
        <v>0</v>
      </c>
      <c r="V1626" s="78">
        <f>IF(NOT(ISNUMBER(G1626)), "", VLOOKUP(A1626,'Discount Lookup'!G:H,2,FALSE)*G1626)</f>
        <v>0</v>
      </c>
      <c r="W1626" s="102">
        <f t="shared" si="1170"/>
        <v>0</v>
      </c>
      <c r="X1626" s="102">
        <f t="shared" si="1171"/>
        <v>0</v>
      </c>
      <c r="Y1626" s="120" t="b">
        <f t="shared" si="1172"/>
        <v>0</v>
      </c>
      <c r="Z1626" s="117">
        <f t="shared" si="1173"/>
        <v>0</v>
      </c>
      <c r="AA1626" s="118"/>
      <c r="AB1626" s="118" t="str">
        <f t="shared" si="1174"/>
        <v/>
      </c>
      <c r="AC1626" s="712" t="str">
        <f>IF(AE1626="T2G","no charge",IF(AND(OR(PlanterYesMe="No",PlanterYesMe="N",PlanterYesMe="me"),H1626=""),"",IF(H1626="credit","NO install",IF(AND(K1626="",AE1626="me"),"EACH row",IF(AND(K1626="images",AE1626="me"),"EACH row",IF(D1626="","",IF(H1626="credit","",IF(AE1626="free","re-planting",IF(AE1626="me","   not ELP, by",IF(AND(OR(PlanterYesMe="Yes",PlanterYesMe="Y"),G1626&gt;0),(VLOOKUP(A1626,'Discount Lookup'!J:K,2)*G1626*(1-PlanterDiscount)*(1+PlanterDifficultyPercentage)),IF(AE1626="ELP",(VLOOKUP(A1626,'Discount Lookup'!J:K,2)*G1626*(1-PlanterDiscount)*(1+PlanterDifficultyPercentage)),IF(AE1626="free","re-planting",IF(G1626=0,"",IF(PlanterYesMe="",IF(AE1626="me","   not ELP, by",IF(AE1626="",IF(G1626&gt;0,(VLOOKUP(A1626,'Discount Lookup'!J:K,2)*G1626*(1-PlanterDiscount)*(1+PlanterDifficultyPercentage)),""),"")),"   not ELP, by"))))))))))))))</f>
        <v/>
      </c>
      <c r="AD1626" s="712"/>
      <c r="AE1626" s="513" t="str">
        <f t="shared" si="1175"/>
        <v/>
      </c>
      <c r="AF1626" s="713" t="str">
        <f t="shared" si="1176"/>
        <v/>
      </c>
      <c r="AG1626" s="713"/>
      <c r="AH1626" s="713"/>
      <c r="AI1626" s="112">
        <f>IF(H1626="credit",0,IF(AE1626="free",0,IF(AE1626="me",0,IF(G1626&gt;0,(VLOOKUP(A1626,'Discount Lookup'!J:K,2)*G1626),0))))</f>
        <v>0</v>
      </c>
      <c r="AJ1626" s="107" t="str">
        <f t="shared" ca="1" si="1177"/>
        <v/>
      </c>
      <c r="AK1626" s="714" t="str">
        <f t="shared" si="1178"/>
        <v/>
      </c>
      <c r="AL1626" s="714"/>
      <c r="AM1626" s="114" t="str">
        <f t="shared" si="1179"/>
        <v/>
      </c>
      <c r="AN1626" s="115"/>
      <c r="AO1626" s="116"/>
      <c r="AP1626" s="116"/>
      <c r="AQ1626" s="116"/>
      <c r="AR1626" s="116"/>
      <c r="AS1626" s="116"/>
      <c r="AT1626" s="116"/>
      <c r="AU1626" s="116"/>
      <c r="AV1626" s="78"/>
      <c r="AW1626" s="102"/>
      <c r="AX1626" s="78"/>
      <c r="AY1626" s="78"/>
      <c r="AZ1626" s="78"/>
      <c r="BA1626" s="78"/>
      <c r="BB1626" s="78"/>
      <c r="BC1626" s="78"/>
      <c r="BD1626" s="78"/>
      <c r="BE1626" s="465"/>
      <c r="BF1626" s="165" t="str">
        <f t="shared" si="1180"/>
        <v>https://www.google.com/search?tbm=isch&amp;q=3%20G3</v>
      </c>
      <c r="BG1626" s="165" t="str">
        <f t="shared" si="1181"/>
        <v>F</v>
      </c>
      <c r="BH1626" s="65"/>
      <c r="BI1626" s="65"/>
      <c r="BJ1626" s="65"/>
      <c r="BK1626" s="65"/>
      <c r="BL1626" s="99"/>
      <c r="BM1626" s="99"/>
      <c r="BN1626" s="99"/>
    </row>
    <row r="1627" spans="1:66" s="51" customFormat="1" ht="15.75" x14ac:dyDescent="0.25">
      <c r="A1627" s="634">
        <v>3</v>
      </c>
      <c r="B1627" s="635" t="s">
        <v>291</v>
      </c>
      <c r="C1627" s="636" t="s">
        <v>2542</v>
      </c>
      <c r="D1627" s="637" t="s">
        <v>293</v>
      </c>
      <c r="E1627" s="638">
        <v>24.95</v>
      </c>
      <c r="F1627" s="639" t="s">
        <v>292</v>
      </c>
      <c r="G1627" s="484">
        <v>0</v>
      </c>
      <c r="H1627" s="691" t="str">
        <f>IF(G1627=0,"",IF(F1627="Buy",IF(G1627=1,"plant","plants"),IF(F1627&gt;0.01,"warranty","Error")))</f>
        <v/>
      </c>
      <c r="I1627" s="640">
        <f>IF(H1627="free",0,IF(H1627="credit",((E1627*(F1627))*G1627*-1),IF(F1627="Buy",(E1627*G1627),((E1627*(1-F1627))*G1627))))</f>
        <v>0</v>
      </c>
      <c r="J1627" s="640">
        <f>IF(H1627="warranty",0,(I1627*(_xlfn.SINGLE(SalesTaxPercentage))))</f>
        <v>0</v>
      </c>
      <c r="K1627" s="716">
        <f t="shared" ref="K1627" si="1184">I1627+J1627</f>
        <v>0</v>
      </c>
      <c r="L1627" s="716"/>
      <c r="M1627" s="689" t="str">
        <f ca="1">IF(AND(G1627&gt;0,E1627=0),"WARNING - no PRICE inserted",IF(H1627="free","FREE ~ no charge this plant",IF(H1627="credit",CONCATENATE("-$",ROUND(K1627*(1-_xlfn.SINGLE(T2GDiscount))*-1,2)," CREDIT after discount"),IF(_xlfn.SINGLE(T2GDiscount)=0,"",IF(G1627=0,"",IF(F1627="Buy",CONCATENATE("$",ROUND(K1627*(1-_xlfn.SINGLE(T2GDiscount)),2)," with ",(_xlfn.SINGLE(T2GDiscount)*100),"% discount"),CONCATENATE("$",ROUND(K1627*(1-_xlfn.SINGLE(T2GDiscount)),2)," with ",((_xlfn.SINGLE(T2GDiscount)*100+F1627*100)-(_xlfn.SINGLE(T2GDiscount)*100*F1627)),IF(F1627&gt;0,"% discounts",IF(_xlfn.SINGLE(NoWarrantyDiscount)&gt;0,"% discounts","% discount")))))))))</f>
        <v/>
      </c>
      <c r="N1627" s="690"/>
      <c r="O1627" s="486"/>
      <c r="P1627" s="486"/>
      <c r="Q1627" s="486"/>
      <c r="R1627" s="486"/>
      <c r="S1627" s="486"/>
      <c r="T1627" s="102">
        <f t="shared" si="1169"/>
        <v>0</v>
      </c>
      <c r="U1627" s="78">
        <f>IF(NOT(ISNUMBER(G1627)), "", VLOOKUP(A1627,'Discount Lookup'!D:E,2,FALSE)*G1627)</f>
        <v>0</v>
      </c>
      <c r="V1627" s="78">
        <f>IF(NOT(ISNUMBER(G1627)), "", VLOOKUP(A1627,'Discount Lookup'!G:H,2,FALSE)*G1627)</f>
        <v>0</v>
      </c>
      <c r="W1627" s="102">
        <f t="shared" si="1170"/>
        <v>0</v>
      </c>
      <c r="X1627" s="102">
        <f t="shared" si="1171"/>
        <v>0</v>
      </c>
      <c r="Y1627" s="120" t="b">
        <f t="shared" si="1172"/>
        <v>0</v>
      </c>
      <c r="Z1627" s="117">
        <f t="shared" si="1173"/>
        <v>0</v>
      </c>
      <c r="AA1627" s="118"/>
      <c r="AB1627" s="118" t="str">
        <f t="shared" si="1174"/>
        <v/>
      </c>
      <c r="AC1627" s="712" t="str">
        <f>IF(AE1627="T2G","no charge",IF(AND(OR(PlanterYesMe="No",PlanterYesMe="N",PlanterYesMe="me"),H1627=""),"",IF(H1627="credit","NO install",IF(AND(K1627="",AE1627="me"),"EACH row",IF(AND(K1627="images",AE1627="me"),"EACH row",IF(D1627="","",IF(H1627="credit","",IF(AE1627="free","re-planting",IF(AE1627="me","   not ELP, by",IF(AND(OR(PlanterYesMe="Yes",PlanterYesMe="Y"),G1627&gt;0),(VLOOKUP(A1627,'Discount Lookup'!J:K,2)*G1627*(1-PlanterDiscount)*(1+PlanterDifficultyPercentage)),IF(AE1627="ELP",(VLOOKUP(A1627,'Discount Lookup'!J:K,2)*G1627*(1-PlanterDiscount)*(1+PlanterDifficultyPercentage)),IF(AE1627="free","re-planting",IF(G1627=0,"",IF(PlanterYesMe="",IF(AE1627="me","   not ELP, by",IF(AE1627="",IF(G1627&gt;0,(VLOOKUP(A1627,'Discount Lookup'!J:K,2)*G1627*(1-PlanterDiscount)*(1+PlanterDifficultyPercentage)),""),"")),"   not ELP, by"))))))))))))))</f>
        <v/>
      </c>
      <c r="AD1627" s="712"/>
      <c r="AE1627" s="513" t="str">
        <f t="shared" si="1175"/>
        <v/>
      </c>
      <c r="AF1627" s="713" t="str">
        <f t="shared" si="1176"/>
        <v/>
      </c>
      <c r="AG1627" s="713"/>
      <c r="AH1627" s="713"/>
      <c r="AI1627" s="112">
        <f>IF(H1627="credit",0,IF(AE1627="free",0,IF(AE1627="me",0,IF(G1627&gt;0,(VLOOKUP(A1627,'Discount Lookup'!J:K,2)*G1627),0))))</f>
        <v>0</v>
      </c>
      <c r="AJ1627" s="107" t="str">
        <f t="shared" ca="1" si="1177"/>
        <v/>
      </c>
      <c r="AK1627" s="714" t="str">
        <f t="shared" si="1178"/>
        <v/>
      </c>
      <c r="AL1627" s="714"/>
      <c r="AM1627" s="114" t="str">
        <f t="shared" si="1179"/>
        <v/>
      </c>
      <c r="AN1627" s="115"/>
      <c r="AO1627" s="116"/>
      <c r="AP1627" s="116"/>
      <c r="AQ1627" s="116"/>
      <c r="AR1627" s="116"/>
      <c r="AS1627" s="116"/>
      <c r="AT1627" s="116"/>
      <c r="AU1627" s="116"/>
      <c r="AV1627" s="78"/>
      <c r="AW1627" s="102"/>
      <c r="AX1627" s="78"/>
      <c r="AY1627" s="78"/>
      <c r="AZ1627" s="78"/>
      <c r="BA1627" s="78"/>
      <c r="BB1627" s="78"/>
      <c r="BC1627" s="78"/>
      <c r="BD1627" s="78"/>
      <c r="BE1627" s="465"/>
      <c r="BF1627" s="165" t="str">
        <f t="shared" si="1180"/>
        <v>https://www.google.com/search?tbm=isch&amp;q=3%20G6</v>
      </c>
      <c r="BG1627" s="165" t="str">
        <f t="shared" si="1181"/>
        <v>F</v>
      </c>
      <c r="BH1627" s="65"/>
      <c r="BI1627" s="65"/>
      <c r="BJ1627" s="65"/>
      <c r="BK1627" s="65"/>
      <c r="BL1627" s="99"/>
      <c r="BM1627" s="99"/>
      <c r="BN1627" s="99"/>
    </row>
    <row r="1628" spans="1:66" s="51" customFormat="1" ht="15.75" x14ac:dyDescent="0.25">
      <c r="A1628" s="634">
        <v>3</v>
      </c>
      <c r="B1628" s="635" t="s">
        <v>291</v>
      </c>
      <c r="C1628" s="636"/>
      <c r="D1628" s="637" t="s">
        <v>310</v>
      </c>
      <c r="E1628" s="638">
        <v>25.95</v>
      </c>
      <c r="F1628" s="639" t="s">
        <v>292</v>
      </c>
      <c r="G1628" s="484">
        <v>0</v>
      </c>
      <c r="H1628" s="691" t="str">
        <f>IF(G1628=0,"",IF(F1628="Buy",IF(G1628=1,"plant","plants"),IF(F1628&gt;0.01,"warranty","Error")))</f>
        <v/>
      </c>
      <c r="I1628" s="640">
        <f>IF(H1628="free",0,IF(H1628="credit",((E1628*(F1628))*G1628*-1),IF(F1628="Buy",(E1628*G1628),((E1628*(1-F1628))*G1628))))</f>
        <v>0</v>
      </c>
      <c r="J1628" s="640">
        <f>IF(H1628="warranty",0,(I1628*(_xlfn.SINGLE(SalesTaxPercentage))))</f>
        <v>0</v>
      </c>
      <c r="K1628" s="716">
        <f t="shared" ref="K1628" si="1185">I1628+J1628</f>
        <v>0</v>
      </c>
      <c r="L1628" s="716"/>
      <c r="M1628" s="689" t="str">
        <f ca="1">IF(AND(G1628&gt;0,E1628=0),"WARNING - no PRICE inserted",IF(H1628="free","FREE ~ no charge this plant",IF(H1628="credit",CONCATENATE("-$",ROUND(K1628*(1-_xlfn.SINGLE(T2GDiscount))*-1,2)," CREDIT after discount"),IF(_xlfn.SINGLE(T2GDiscount)=0,"",IF(G1628=0,"",IF(F1628="Buy",CONCATENATE("$",ROUND(K1628*(1-_xlfn.SINGLE(T2GDiscount)),2)," with ",(_xlfn.SINGLE(T2GDiscount)*100),"% discount"),CONCATENATE("$",ROUND(K1628*(1-_xlfn.SINGLE(T2GDiscount)),2)," with ",((_xlfn.SINGLE(T2GDiscount)*100+F1628*100)-(_xlfn.SINGLE(T2GDiscount)*100*F1628)),IF(F1628&gt;0,"% discounts",IF(_xlfn.SINGLE(NoWarrantyDiscount)&gt;0,"% discounts","% discount")))))))))</f>
        <v/>
      </c>
      <c r="N1628" s="690"/>
      <c r="O1628" s="486"/>
      <c r="P1628" s="486"/>
      <c r="Q1628" s="486"/>
      <c r="R1628" s="486"/>
      <c r="S1628" s="486"/>
      <c r="T1628" s="102">
        <f t="shared" si="1169"/>
        <v>0</v>
      </c>
      <c r="U1628" s="78">
        <f>IF(NOT(ISNUMBER(G1628)), "", VLOOKUP(A1628,'Discount Lookup'!D:E,2,FALSE)*G1628)</f>
        <v>0</v>
      </c>
      <c r="V1628" s="78">
        <f>IF(NOT(ISNUMBER(G1628)), "", VLOOKUP(A1628,'Discount Lookup'!G:H,2,FALSE)*G1628)</f>
        <v>0</v>
      </c>
      <c r="W1628" s="102">
        <f t="shared" si="1170"/>
        <v>0</v>
      </c>
      <c r="X1628" s="102">
        <f t="shared" si="1171"/>
        <v>0</v>
      </c>
      <c r="Y1628" s="120" t="b">
        <f t="shared" si="1172"/>
        <v>0</v>
      </c>
      <c r="Z1628" s="117">
        <f t="shared" si="1173"/>
        <v>0</v>
      </c>
      <c r="AA1628" s="118"/>
      <c r="AB1628" s="118" t="str">
        <f t="shared" si="1174"/>
        <v/>
      </c>
      <c r="AC1628" s="712" t="str">
        <f>IF(AE1628="T2G","no charge",IF(AND(OR(PlanterYesMe="No",PlanterYesMe="N",PlanterYesMe="me"),H1628=""),"",IF(H1628="credit","NO install",IF(AND(K1628="",AE1628="me"),"EACH row",IF(AND(K1628="images",AE1628="me"),"EACH row",IF(D1628="","",IF(H1628="credit","",IF(AE1628="free","re-planting",IF(AE1628="me","   not ELP, by",IF(AND(OR(PlanterYesMe="Yes",PlanterYesMe="Y"),G1628&gt;0),(VLOOKUP(A1628,'Discount Lookup'!J:K,2)*G1628*(1-PlanterDiscount)*(1+PlanterDifficultyPercentage)),IF(AE1628="ELP",(VLOOKUP(A1628,'Discount Lookup'!J:K,2)*G1628*(1-PlanterDiscount)*(1+PlanterDifficultyPercentage)),IF(AE1628="free","re-planting",IF(G1628=0,"",IF(PlanterYesMe="",IF(AE1628="me","   not ELP, by",IF(AE1628="",IF(G1628&gt;0,(VLOOKUP(A1628,'Discount Lookup'!J:K,2)*G1628*(1-PlanterDiscount)*(1+PlanterDifficultyPercentage)),""),"")),"   not ELP, by"))))))))))))))</f>
        <v/>
      </c>
      <c r="AD1628" s="712"/>
      <c r="AE1628" s="513" t="str">
        <f t="shared" si="1175"/>
        <v/>
      </c>
      <c r="AF1628" s="713" t="str">
        <f t="shared" si="1176"/>
        <v/>
      </c>
      <c r="AG1628" s="713"/>
      <c r="AH1628" s="713"/>
      <c r="AI1628" s="112">
        <f>IF(H1628="credit",0,IF(AE1628="free",0,IF(AE1628="me",0,IF(G1628&gt;0,(VLOOKUP(A1628,'Discount Lookup'!J:K,2)*G1628),0))))</f>
        <v>0</v>
      </c>
      <c r="AJ1628" s="107" t="str">
        <f t="shared" ca="1" si="1177"/>
        <v/>
      </c>
      <c r="AK1628" s="714" t="str">
        <f t="shared" si="1178"/>
        <v/>
      </c>
      <c r="AL1628" s="714"/>
      <c r="AM1628" s="114" t="str">
        <f t="shared" si="1179"/>
        <v/>
      </c>
      <c r="AN1628" s="115"/>
      <c r="AO1628" s="116"/>
      <c r="AP1628" s="116"/>
      <c r="AQ1628" s="116"/>
      <c r="AR1628" s="116"/>
      <c r="AS1628" s="116"/>
      <c r="AT1628" s="116"/>
      <c r="AU1628" s="116"/>
      <c r="AV1628" s="78"/>
      <c r="AW1628" s="102"/>
      <c r="AX1628" s="78"/>
      <c r="AY1628" s="78"/>
      <c r="AZ1628" s="78"/>
      <c r="BA1628" s="78"/>
      <c r="BB1628" s="78"/>
      <c r="BC1628" s="78"/>
      <c r="BD1628" s="78"/>
      <c r="BE1628" s="465"/>
      <c r="BF1628" s="165" t="str">
        <f t="shared" si="1180"/>
        <v>https://www.google.com/search?tbm=isch&amp;q=3%20G1</v>
      </c>
      <c r="BG1628" s="165" t="str">
        <f t="shared" si="1181"/>
        <v>F</v>
      </c>
      <c r="BH1628" s="65"/>
      <c r="BI1628" s="65"/>
      <c r="BJ1628" s="65"/>
      <c r="BK1628" s="65"/>
      <c r="BL1628" s="99"/>
      <c r="BM1628" s="99"/>
      <c r="BN1628" s="99"/>
    </row>
    <row r="1629" spans="1:66" s="51" customFormat="1" ht="16.5" x14ac:dyDescent="0.25">
      <c r="A1629" s="641" t="s">
        <v>2543</v>
      </c>
      <c r="B1629" s="642"/>
      <c r="C1629" s="710"/>
      <c r="D1629" s="643"/>
      <c r="E1629" s="643"/>
      <c r="F1629" s="644"/>
      <c r="G1629" s="645"/>
      <c r="H1629" s="646"/>
      <c r="I1629" s="647"/>
      <c r="J1629" s="648"/>
      <c r="K1629" s="649"/>
      <c r="L1629" s="650"/>
      <c r="M1629" s="650"/>
      <c r="N1629" s="644"/>
      <c r="O1629" s="644"/>
      <c r="P1629" s="644"/>
      <c r="Q1629" s="644"/>
      <c r="R1629" s="644"/>
      <c r="S1629" s="701" t="s">
        <v>5262</v>
      </c>
      <c r="T1629" s="102">
        <f t="shared" si="1169"/>
        <v>0</v>
      </c>
      <c r="U1629" s="78" t="str">
        <f>IF(NOT(ISNUMBER(G1629)), "", VLOOKUP(A1629,'Discount Lookup'!D:E,2,FALSE)*G1629)</f>
        <v/>
      </c>
      <c r="V1629" s="78" t="str">
        <f>IF(NOT(ISNUMBER(G1629)), "", VLOOKUP(A1629,'Discount Lookup'!G:H,2,FALSE)*G1629)</f>
        <v/>
      </c>
      <c r="W1629" s="102">
        <f t="shared" si="1170"/>
        <v>0</v>
      </c>
      <c r="X1629" s="102">
        <f t="shared" si="1171"/>
        <v>0</v>
      </c>
      <c r="Y1629" s="120" t="b">
        <f t="shared" si="1172"/>
        <v>0</v>
      </c>
      <c r="Z1629" s="117">
        <f t="shared" si="1173"/>
        <v>0</v>
      </c>
      <c r="AA1629" s="118"/>
      <c r="AB1629" s="118" t="str">
        <f t="shared" si="1174"/>
        <v/>
      </c>
      <c r="AC1629" s="712" t="str">
        <f>IF(AE1629="T2G","no charge",IF(AND(OR(PlanterYesMe="No",PlanterYesMe="N",PlanterYesMe="me"),H1629=""),"",IF(H1629="credit","NO install",IF(AND(K1629="",AE1629="me"),"EACH row",IF(AND(K1629="images",AE1629="me"),"EACH row",IF(D1629="","",IF(H1629="credit","",IF(AE1629="free","re-planting",IF(AE1629="me","   not ELP, by",IF(AND(OR(PlanterYesMe="Yes",PlanterYesMe="Y"),G1629&gt;0),(VLOOKUP(A1629,'Discount Lookup'!J:K,2)*G1629*(1-PlanterDiscount)*(1+PlanterDifficultyPercentage)),IF(AE1629="ELP",(VLOOKUP(A1629,'Discount Lookup'!J:K,2)*G1629*(1-PlanterDiscount)*(1+PlanterDifficultyPercentage)),IF(AE1629="free","re-planting",IF(G1629=0,"",IF(PlanterYesMe="",IF(AE1629="me","   not ELP, by",IF(AE1629="",IF(G1629&gt;0,(VLOOKUP(A1629,'Discount Lookup'!J:K,2)*G1629*(1-PlanterDiscount)*(1+PlanterDifficultyPercentage)),""),"")),"   not ELP, by"))))))))))))))</f>
        <v/>
      </c>
      <c r="AD1629" s="712"/>
      <c r="AE1629" s="513" t="str">
        <f t="shared" si="1175"/>
        <v/>
      </c>
      <c r="AF1629" s="713" t="str">
        <f t="shared" si="1176"/>
        <v/>
      </c>
      <c r="AG1629" s="713"/>
      <c r="AH1629" s="713"/>
      <c r="AI1629" s="112">
        <f>IF(H1629="credit",0,IF(AE1629="free",0,IF(AE1629="me",0,IF(G1629&gt;0,(VLOOKUP(A1629,'Discount Lookup'!J:K,2)*G1629),0))))</f>
        <v>0</v>
      </c>
      <c r="AJ1629" s="107" t="str">
        <f t="shared" ca="1" si="1177"/>
        <v/>
      </c>
      <c r="AK1629" s="714" t="str">
        <f t="shared" si="1178"/>
        <v/>
      </c>
      <c r="AL1629" s="714"/>
      <c r="AM1629" s="114" t="str">
        <f t="shared" si="1179"/>
        <v/>
      </c>
      <c r="AN1629" s="115"/>
      <c r="AO1629" s="116"/>
      <c r="AP1629" s="116"/>
      <c r="AQ1629" s="116"/>
      <c r="AR1629" s="116"/>
      <c r="AS1629" s="116"/>
      <c r="AT1629" s="116"/>
      <c r="AU1629" s="116"/>
      <c r="AV1629" s="78"/>
      <c r="AW1629" s="102"/>
      <c r="AX1629" s="78"/>
      <c r="AY1629" s="78"/>
      <c r="AZ1629" s="78"/>
      <c r="BA1629" s="78"/>
      <c r="BB1629" s="78"/>
      <c r="BC1629" s="78"/>
      <c r="BD1629" s="78"/>
      <c r="BE1629" s="465"/>
      <c r="BF1629" s="165" t="str">
        <f t="shared" si="1180"/>
        <v>https://www.google.com/search?tbm=isch&amp;q=Lynnwood%20Gold%20is%20a%20smaller%20%27Border%20Forsythia%27.%20Dark%20green%20foliage%20replaces%20blooms%2C%20turning%20gold%20to%20purple%20in%20fall%20</v>
      </c>
      <c r="BG1629" s="165" t="str">
        <f t="shared" si="1181"/>
        <v>L</v>
      </c>
      <c r="BH1629" s="65"/>
      <c r="BI1629" s="65"/>
      <c r="BJ1629" s="65"/>
      <c r="BK1629" s="65"/>
      <c r="BL1629" s="99"/>
      <c r="BM1629" s="99"/>
      <c r="BN1629" s="99"/>
    </row>
    <row r="1630" spans="1:66" s="51" customFormat="1" ht="19.5" thickBot="1" x14ac:dyDescent="0.3">
      <c r="A1630" s="686" t="s">
        <v>421</v>
      </c>
      <c r="B1630" s="73"/>
      <c r="C1630" s="708"/>
      <c r="D1630" s="73"/>
      <c r="E1630" s="73"/>
      <c r="F1630" s="496"/>
      <c r="G1630" s="73"/>
      <c r="H1630" s="73"/>
      <c r="I1630" s="73"/>
      <c r="J1630" s="497" t="s">
        <v>357</v>
      </c>
      <c r="K1630" s="498"/>
      <c r="L1630" s="562"/>
      <c r="M1630" s="73"/>
      <c r="N1630"/>
      <c r="O1630"/>
      <c r="P1630"/>
      <c r="Q1630"/>
      <c r="R1630"/>
      <c r="S1630"/>
      <c r="T1630" s="102">
        <f t="shared" si="1169"/>
        <v>0</v>
      </c>
      <c r="U1630" s="78" t="str">
        <f>IF(NOT(ISNUMBER(G1630)), "", VLOOKUP(A1630,'Discount Lookup'!D:E,2,FALSE)*G1630)</f>
        <v/>
      </c>
      <c r="V1630" s="78" t="str">
        <f>IF(NOT(ISNUMBER(G1630)), "", VLOOKUP(A1630,'Discount Lookup'!G:H,2,FALSE)*G1630)</f>
        <v/>
      </c>
      <c r="W1630" s="102">
        <f t="shared" si="1170"/>
        <v>0</v>
      </c>
      <c r="X1630" s="102">
        <f t="shared" si="1171"/>
        <v>0</v>
      </c>
      <c r="Y1630" s="120" t="b">
        <f t="shared" si="1172"/>
        <v>0</v>
      </c>
      <c r="Z1630" s="117">
        <f t="shared" si="1173"/>
        <v>0</v>
      </c>
      <c r="AA1630" s="118"/>
      <c r="AB1630" s="118" t="str">
        <f t="shared" si="1174"/>
        <v/>
      </c>
      <c r="AC1630" s="712" t="str">
        <f>IF(AE1630="T2G","no charge",IF(AND(OR(PlanterYesMe="No",PlanterYesMe="N",PlanterYesMe="me"),H1630=""),"",IF(H1630="credit","NO install",IF(AND(K1630="",AE1630="me"),"EACH row",IF(AND(K1630="images",AE1630="me"),"EACH row",IF(D1630="","",IF(H1630="credit","",IF(AE1630="free","re-planting",IF(AE1630="me","   not ELP, by",IF(AND(OR(PlanterYesMe="Yes",PlanterYesMe="Y"),G1630&gt;0),(VLOOKUP(A1630,'Discount Lookup'!J:K,2)*G1630*(1-PlanterDiscount)*(1+PlanterDifficultyPercentage)),IF(AE1630="ELP",(VLOOKUP(A1630,'Discount Lookup'!J:K,2)*G1630*(1-PlanterDiscount)*(1+PlanterDifficultyPercentage)),IF(AE1630="free","re-planting",IF(G1630=0,"",IF(PlanterYesMe="",IF(AE1630="me","   not ELP, by",IF(AE1630="",IF(G1630&gt;0,(VLOOKUP(A1630,'Discount Lookup'!J:K,2)*G1630*(1-PlanterDiscount)*(1+PlanterDifficultyPercentage)),""),"")),"   not ELP, by"))))))))))))))</f>
        <v/>
      </c>
      <c r="AD1630" s="712"/>
      <c r="AE1630" s="513" t="str">
        <f t="shared" si="1175"/>
        <v/>
      </c>
      <c r="AF1630" s="713" t="str">
        <f t="shared" si="1176"/>
        <v/>
      </c>
      <c r="AG1630" s="713"/>
      <c r="AH1630" s="713"/>
      <c r="AI1630" s="112">
        <f>IF(H1630="credit",0,IF(AE1630="free",0,IF(AE1630="me",0,IF(G1630&gt;0,(VLOOKUP(A1630,'Discount Lookup'!J:K,2)*G1630),0))))</f>
        <v>0</v>
      </c>
      <c r="AJ1630" s="107" t="str">
        <f t="shared" ca="1" si="1177"/>
        <v/>
      </c>
      <c r="AK1630" s="714" t="str">
        <f t="shared" si="1178"/>
        <v/>
      </c>
      <c r="AL1630" s="714"/>
      <c r="AM1630" s="114" t="str">
        <f t="shared" si="1179"/>
        <v/>
      </c>
      <c r="AN1630" s="115"/>
      <c r="AO1630" s="116"/>
      <c r="AP1630" s="116"/>
      <c r="AQ1630" s="116"/>
      <c r="AR1630" s="116"/>
      <c r="AS1630" s="116"/>
      <c r="AT1630" s="116"/>
      <c r="AU1630" s="116"/>
      <c r="AV1630" s="78"/>
      <c r="AW1630" s="102"/>
      <c r="AX1630" s="78"/>
      <c r="AY1630" s="78"/>
      <c r="AZ1630" s="78"/>
      <c r="BA1630" s="78"/>
      <c r="BB1630" s="78"/>
      <c r="BC1630" s="78"/>
      <c r="BD1630" s="78"/>
      <c r="BE1630" s="465"/>
      <c r="BF1630" s="165" t="str">
        <f t="shared" si="1180"/>
        <v>https://www.google.com/search?tbm=isch&amp;q=Fothergilla%20%3D%20Fothergilla%20</v>
      </c>
      <c r="BG1630" s="165" t="str">
        <f t="shared" si="1181"/>
        <v>F</v>
      </c>
      <c r="BH1630" s="65"/>
      <c r="BI1630" s="65"/>
      <c r="BJ1630" s="65"/>
      <c r="BK1630" s="65"/>
      <c r="BL1630" s="99"/>
      <c r="BM1630" s="99"/>
      <c r="BN1630" s="99"/>
    </row>
    <row r="1631" spans="1:66" s="51" customFormat="1" ht="18" x14ac:dyDescent="0.25">
      <c r="A1631" s="623" t="s">
        <v>2544</v>
      </c>
      <c r="B1631" s="624"/>
      <c r="C1631" s="709"/>
      <c r="D1631" s="625" t="s">
        <v>2545</v>
      </c>
      <c r="E1631" s="626"/>
      <c r="F1631" s="626"/>
      <c r="G1631" s="626"/>
      <c r="H1631" s="622" t="s">
        <v>1088</v>
      </c>
      <c r="I1631" s="627" t="s">
        <v>349</v>
      </c>
      <c r="J1631" s="628"/>
      <c r="K1631" s="628"/>
      <c r="L1631" s="629"/>
      <c r="M1631" s="700" t="s">
        <v>5249</v>
      </c>
      <c r="N1631" s="693" t="str">
        <f>IF(AND(ISTEXT($A1631), ISERROR($A1631+0)), HYPERLINK($BF1631, "Images"), "")</f>
        <v>Images</v>
      </c>
      <c r="O1631" s="695" t="s">
        <v>5247</v>
      </c>
      <c r="P1631" s="630"/>
      <c r="Q1631" s="631"/>
      <c r="R1631" s="632"/>
      <c r="S1631" s="633" t="s">
        <v>294</v>
      </c>
      <c r="T1631" s="102">
        <f t="shared" si="1169"/>
        <v>0</v>
      </c>
      <c r="U1631" s="78" t="str">
        <f>IF(NOT(ISNUMBER(G1631)), "", VLOOKUP(A1631,'Discount Lookup'!D:E,2,FALSE)*G1631)</f>
        <v/>
      </c>
      <c r="V1631" s="78" t="str">
        <f>IF(NOT(ISNUMBER(G1631)), "", VLOOKUP(A1631,'Discount Lookup'!G:H,2,FALSE)*G1631)</f>
        <v/>
      </c>
      <c r="W1631" s="102">
        <f t="shared" si="1170"/>
        <v>0</v>
      </c>
      <c r="X1631" s="102" t="str">
        <f t="shared" si="1171"/>
        <v>White bloom</v>
      </c>
      <c r="Y1631" s="120" t="b">
        <f t="shared" si="1172"/>
        <v>0</v>
      </c>
      <c r="Z1631" s="117">
        <f t="shared" si="1173"/>
        <v>0</v>
      </c>
      <c r="AA1631" s="118"/>
      <c r="AB1631" s="118" t="str">
        <f t="shared" si="1174"/>
        <v/>
      </c>
      <c r="AC1631" s="712" t="str">
        <f>IF(AE1631="T2G","no charge",IF(AND(OR(PlanterYesMe="No",PlanterYesMe="N",PlanterYesMe="me"),H1631=""),"",IF(H1631="credit","NO install",IF(AND(K1631="",AE1631="me"),"EACH row",IF(AND(K1631="images",AE1631="me"),"EACH row",IF(D1631="","",IF(H1631="credit","",IF(AE1631="free","re-planting",IF(AE1631="me","   not ELP, by",IF(AND(OR(PlanterYesMe="Yes",PlanterYesMe="Y"),G1631&gt;0),(VLOOKUP(A1631,'Discount Lookup'!J:K,2)*G1631*(1-PlanterDiscount)*(1+PlanterDifficultyPercentage)),IF(AE1631="ELP",(VLOOKUP(A1631,'Discount Lookup'!J:K,2)*G1631*(1-PlanterDiscount)*(1+PlanterDifficultyPercentage)),IF(AE1631="free","re-planting",IF(G1631=0,"",IF(PlanterYesMe="",IF(AE1631="me","   not ELP, by",IF(AE1631="",IF(G1631&gt;0,(VLOOKUP(A1631,'Discount Lookup'!J:K,2)*G1631*(1-PlanterDiscount)*(1+PlanterDifficultyPercentage)),""),"")),"   not ELP, by"))))))))))))))</f>
        <v/>
      </c>
      <c r="AD1631" s="712"/>
      <c r="AE1631" s="513" t="str">
        <f t="shared" si="1175"/>
        <v/>
      </c>
      <c r="AF1631" s="713" t="str">
        <f t="shared" si="1176"/>
        <v/>
      </c>
      <c r="AG1631" s="713"/>
      <c r="AH1631" s="713"/>
      <c r="AI1631" s="112">
        <f>IF(H1631="credit",0,IF(AE1631="free",0,IF(AE1631="me",0,IF(G1631&gt;0,(VLOOKUP(A1631,'Discount Lookup'!J:K,2)*G1631),0))))</f>
        <v>0</v>
      </c>
      <c r="AJ1631" s="107" t="str">
        <f t="shared" ca="1" si="1177"/>
        <v/>
      </c>
      <c r="AK1631" s="714" t="str">
        <f t="shared" si="1178"/>
        <v/>
      </c>
      <c r="AL1631" s="714"/>
      <c r="AM1631" s="114" t="str">
        <f t="shared" si="1179"/>
        <v/>
      </c>
      <c r="AN1631" s="115"/>
      <c r="AO1631" s="116"/>
      <c r="AP1631" s="116"/>
      <c r="AQ1631" s="116"/>
      <c r="AR1631" s="116"/>
      <c r="AS1631" s="116"/>
      <c r="AT1631" s="116"/>
      <c r="AU1631" s="116"/>
      <c r="AV1631" s="78"/>
      <c r="AW1631" s="102"/>
      <c r="AX1631" s="78"/>
      <c r="AY1631" s="78"/>
      <c r="AZ1631" s="78"/>
      <c r="BA1631" s="78"/>
      <c r="BB1631" s="78"/>
      <c r="BC1631" s="78"/>
      <c r="BD1631" s="78"/>
      <c r="BE1631" s="465"/>
      <c r="BF1631" s="165" t="str">
        <f t="shared" si="1180"/>
        <v>https://www.google.com/search?tbm=isch&amp;q=Fothergilla%20gardenii%20Dwarf%20Fothergilla</v>
      </c>
      <c r="BG1631" s="165" t="str">
        <f t="shared" si="1181"/>
        <v>F</v>
      </c>
      <c r="BH1631" s="65"/>
      <c r="BI1631" s="65"/>
      <c r="BJ1631" s="65"/>
      <c r="BK1631" s="65"/>
      <c r="BL1631" s="99"/>
      <c r="BM1631" s="99"/>
      <c r="BN1631" s="99"/>
    </row>
    <row r="1632" spans="1:66" s="51" customFormat="1" ht="15.75" x14ac:dyDescent="0.25">
      <c r="A1632" s="634">
        <v>3</v>
      </c>
      <c r="B1632" s="635" t="s">
        <v>291</v>
      </c>
      <c r="C1632" s="636" t="s">
        <v>2546</v>
      </c>
      <c r="D1632" s="637" t="s">
        <v>311</v>
      </c>
      <c r="E1632" s="638">
        <v>33.950000000000003</v>
      </c>
      <c r="F1632" s="639" t="s">
        <v>292</v>
      </c>
      <c r="G1632" s="484">
        <v>0</v>
      </c>
      <c r="H1632" s="691" t="str">
        <f>IF(G1632=0,"",IF(F1632="Buy",IF(G1632=1,"plant","plants"),IF(F1632&gt;0.01,"warranty","Error")))</f>
        <v/>
      </c>
      <c r="I1632" s="640">
        <f>IF(H1632="free",0,IF(H1632="credit",((E1632*(F1632))*G1632*-1),IF(F1632="Buy",(E1632*G1632),((E1632*(1-F1632))*G1632))))</f>
        <v>0</v>
      </c>
      <c r="J1632" s="640">
        <f>IF(H1632="warranty",0,(I1632*(_xlfn.SINGLE(SalesTaxPercentage))))</f>
        <v>0</v>
      </c>
      <c r="K1632" s="716">
        <f t="shared" ref="K1632" si="1186">I1632+J1632</f>
        <v>0</v>
      </c>
      <c r="L1632" s="716"/>
      <c r="M1632" s="689" t="str">
        <f ca="1">IF(AND(G1632&gt;0,E1632=0),"WARNING - no PRICE inserted",IF(H1632="free","FREE ~ no charge this plant",IF(H1632="credit",CONCATENATE("-$",ROUND(K1632*(1-_xlfn.SINGLE(T2GDiscount))*-1,2)," CREDIT after discount"),IF(_xlfn.SINGLE(T2GDiscount)=0,"",IF(G1632=0,"",IF(F1632="Buy",CONCATENATE("$",ROUND(K1632*(1-_xlfn.SINGLE(T2GDiscount)),2)," with ",(_xlfn.SINGLE(T2GDiscount)*100),"% discount"),CONCATENATE("$",ROUND(K1632*(1-_xlfn.SINGLE(T2GDiscount)),2)," with ",((_xlfn.SINGLE(T2GDiscount)*100+F1632*100)-(_xlfn.SINGLE(T2GDiscount)*100*F1632)),IF(F1632&gt;0,"% discounts",IF(_xlfn.SINGLE(NoWarrantyDiscount)&gt;0,"% discounts","% discount")))))))))</f>
        <v/>
      </c>
      <c r="N1632" s="690"/>
      <c r="O1632" s="486"/>
      <c r="P1632" s="486"/>
      <c r="Q1632" s="486"/>
      <c r="R1632" s="486"/>
      <c r="S1632" s="486"/>
      <c r="T1632" s="102">
        <f t="shared" si="1169"/>
        <v>0</v>
      </c>
      <c r="U1632" s="78">
        <f>IF(NOT(ISNUMBER(G1632)), "", VLOOKUP(A1632,'Discount Lookup'!D:E,2,FALSE)*G1632)</f>
        <v>0</v>
      </c>
      <c r="V1632" s="78">
        <f>IF(NOT(ISNUMBER(G1632)), "", VLOOKUP(A1632,'Discount Lookup'!G:H,2,FALSE)*G1632)</f>
        <v>0</v>
      </c>
      <c r="W1632" s="102">
        <f t="shared" si="1170"/>
        <v>0</v>
      </c>
      <c r="X1632" s="102">
        <f t="shared" si="1171"/>
        <v>0</v>
      </c>
      <c r="Y1632" s="120" t="b">
        <f t="shared" si="1172"/>
        <v>0</v>
      </c>
      <c r="Z1632" s="117">
        <f t="shared" si="1173"/>
        <v>0</v>
      </c>
      <c r="AA1632" s="118"/>
      <c r="AB1632" s="118" t="str">
        <f t="shared" si="1174"/>
        <v/>
      </c>
      <c r="AC1632" s="712" t="str">
        <f>IF(AE1632="T2G","no charge",IF(AND(OR(PlanterYesMe="No",PlanterYesMe="N",PlanterYesMe="me"),H1632=""),"",IF(H1632="credit","NO install",IF(AND(K1632="",AE1632="me"),"EACH row",IF(AND(K1632="images",AE1632="me"),"EACH row",IF(D1632="","",IF(H1632="credit","",IF(AE1632="free","re-planting",IF(AE1632="me","   not ELP, by",IF(AND(OR(PlanterYesMe="Yes",PlanterYesMe="Y"),G1632&gt;0),(VLOOKUP(A1632,'Discount Lookup'!J:K,2)*G1632*(1-PlanterDiscount)*(1+PlanterDifficultyPercentage)),IF(AE1632="ELP",(VLOOKUP(A1632,'Discount Lookup'!J:K,2)*G1632*(1-PlanterDiscount)*(1+PlanterDifficultyPercentage)),IF(AE1632="free","re-planting",IF(G1632=0,"",IF(PlanterYesMe="",IF(AE1632="me","   not ELP, by",IF(AE1632="",IF(G1632&gt;0,(VLOOKUP(A1632,'Discount Lookup'!J:K,2)*G1632*(1-PlanterDiscount)*(1+PlanterDifficultyPercentage)),""),"")),"   not ELP, by"))))))))))))))</f>
        <v/>
      </c>
      <c r="AD1632" s="712"/>
      <c r="AE1632" s="513" t="str">
        <f t="shared" si="1175"/>
        <v/>
      </c>
      <c r="AF1632" s="713" t="str">
        <f t="shared" si="1176"/>
        <v/>
      </c>
      <c r="AG1632" s="713"/>
      <c r="AH1632" s="713"/>
      <c r="AI1632" s="112">
        <f>IF(H1632="credit",0,IF(AE1632="free",0,IF(AE1632="me",0,IF(G1632&gt;0,(VLOOKUP(A1632,'Discount Lookup'!J:K,2)*G1632),0))))</f>
        <v>0</v>
      </c>
      <c r="AJ1632" s="107" t="str">
        <f t="shared" ca="1" si="1177"/>
        <v/>
      </c>
      <c r="AK1632" s="714" t="str">
        <f t="shared" si="1178"/>
        <v/>
      </c>
      <c r="AL1632" s="714"/>
      <c r="AM1632" s="114" t="str">
        <f t="shared" si="1179"/>
        <v/>
      </c>
      <c r="AN1632" s="115"/>
      <c r="AO1632" s="116"/>
      <c r="AP1632" s="116"/>
      <c r="AQ1632" s="116"/>
      <c r="AR1632" s="116"/>
      <c r="AS1632" s="116"/>
      <c r="AT1632" s="116"/>
      <c r="AU1632" s="116"/>
      <c r="AV1632" s="78"/>
      <c r="AW1632" s="102"/>
      <c r="AX1632" s="78"/>
      <c r="AY1632" s="78"/>
      <c r="AZ1632" s="78"/>
      <c r="BA1632" s="78"/>
      <c r="BB1632" s="78"/>
      <c r="BC1632" s="78"/>
      <c r="BD1632" s="78"/>
      <c r="BE1632" s="465"/>
      <c r="BF1632" s="165" t="str">
        <f t="shared" si="1180"/>
        <v>https://www.google.com/search?tbm=isch&amp;q=3%20G5</v>
      </c>
      <c r="BG1632" s="165" t="str">
        <f t="shared" si="1181"/>
        <v>F</v>
      </c>
      <c r="BH1632" s="65"/>
      <c r="BI1632" s="65"/>
      <c r="BJ1632" s="65"/>
      <c r="BK1632" s="65"/>
      <c r="BL1632" s="99"/>
      <c r="BM1632" s="99"/>
      <c r="BN1632" s="99"/>
    </row>
    <row r="1633" spans="1:66" s="51" customFormat="1" ht="17.25" thickBot="1" x14ac:dyDescent="0.3">
      <c r="A1633" s="704" t="s">
        <v>5395</v>
      </c>
      <c r="B1633" s="642"/>
      <c r="C1633" s="710"/>
      <c r="D1633" s="643"/>
      <c r="E1633" s="643"/>
      <c r="F1633" s="644"/>
      <c r="G1633" s="645"/>
      <c r="H1633" s="646"/>
      <c r="I1633" s="647"/>
      <c r="J1633" s="648"/>
      <c r="K1633" s="649"/>
      <c r="L1633" s="650"/>
      <c r="M1633" s="650"/>
      <c r="N1633" s="644"/>
      <c r="O1633" s="644"/>
      <c r="P1633" s="644"/>
      <c r="Q1633" s="644"/>
      <c r="R1633" s="644"/>
      <c r="S1633" s="701" t="s">
        <v>5251</v>
      </c>
      <c r="T1633" s="102">
        <f t="shared" si="1169"/>
        <v>0</v>
      </c>
      <c r="U1633" s="78" t="str">
        <f>IF(NOT(ISNUMBER(G1633)), "", VLOOKUP(A1633,'Discount Lookup'!D:E,2,FALSE)*G1633)</f>
        <v/>
      </c>
      <c r="V1633" s="78" t="str">
        <f>IF(NOT(ISNUMBER(G1633)), "", VLOOKUP(A1633,'Discount Lookup'!G:H,2,FALSE)*G1633)</f>
        <v/>
      </c>
      <c r="W1633" s="102">
        <f t="shared" si="1170"/>
        <v>0</v>
      </c>
      <c r="X1633" s="102">
        <f t="shared" si="1171"/>
        <v>0</v>
      </c>
      <c r="Y1633" s="120" t="b">
        <f t="shared" si="1172"/>
        <v>0</v>
      </c>
      <c r="Z1633" s="117">
        <f t="shared" si="1173"/>
        <v>0</v>
      </c>
      <c r="AA1633" s="118"/>
      <c r="AB1633" s="118" t="str">
        <f t="shared" si="1174"/>
        <v/>
      </c>
      <c r="AC1633" s="712" t="str">
        <f>IF(AE1633="T2G","no charge",IF(AND(OR(PlanterYesMe="No",PlanterYesMe="N",PlanterYesMe="me"),H1633=""),"",IF(H1633="credit","NO install",IF(AND(K1633="",AE1633="me"),"EACH row",IF(AND(K1633="images",AE1633="me"),"EACH row",IF(D1633="","",IF(H1633="credit","",IF(AE1633="free","re-planting",IF(AE1633="me","   not ELP, by",IF(AND(OR(PlanterYesMe="Yes",PlanterYesMe="Y"),G1633&gt;0),(VLOOKUP(A1633,'Discount Lookup'!J:K,2)*G1633*(1-PlanterDiscount)*(1+PlanterDifficultyPercentage)),IF(AE1633="ELP",(VLOOKUP(A1633,'Discount Lookup'!J:K,2)*G1633*(1-PlanterDiscount)*(1+PlanterDifficultyPercentage)),IF(AE1633="free","re-planting",IF(G1633=0,"",IF(PlanterYesMe="",IF(AE1633="me","   not ELP, by",IF(AE1633="",IF(G1633&gt;0,(VLOOKUP(A1633,'Discount Lookup'!J:K,2)*G1633*(1-PlanterDiscount)*(1+PlanterDifficultyPercentage)),""),"")),"   not ELP, by"))))))))))))))</f>
        <v/>
      </c>
      <c r="AD1633" s="712"/>
      <c r="AE1633" s="513" t="str">
        <f t="shared" si="1175"/>
        <v/>
      </c>
      <c r="AF1633" s="713" t="str">
        <f t="shared" si="1176"/>
        <v/>
      </c>
      <c r="AG1633" s="713"/>
      <c r="AH1633" s="713"/>
      <c r="AI1633" s="112">
        <f>IF(H1633="credit",0,IF(AE1633="free",0,IF(AE1633="me",0,IF(G1633&gt;0,(VLOOKUP(A1633,'Discount Lookup'!J:K,2)*G1633),0))))</f>
        <v>0</v>
      </c>
      <c r="AJ1633" s="107" t="str">
        <f t="shared" ca="1" si="1177"/>
        <v/>
      </c>
      <c r="AK1633" s="714" t="str">
        <f t="shared" si="1178"/>
        <v/>
      </c>
      <c r="AL1633" s="714"/>
      <c r="AM1633" s="114" t="str">
        <f t="shared" si="1179"/>
        <v/>
      </c>
      <c r="AN1633" s="115"/>
      <c r="AO1633" s="116"/>
      <c r="AP1633" s="116"/>
      <c r="AQ1633" s="116"/>
      <c r="AR1633" s="116"/>
      <c r="AS1633" s="116"/>
      <c r="AT1633" s="116"/>
      <c r="AU1633" s="116"/>
      <c r="AV1633" s="78"/>
      <c r="AW1633" s="102"/>
      <c r="AX1633" s="78"/>
      <c r="AY1633" s="78"/>
      <c r="AZ1633" s="78"/>
      <c r="BA1633" s="78"/>
      <c r="BB1633" s="78"/>
      <c r="BC1633" s="78"/>
      <c r="BD1633" s="78"/>
      <c r="BE1633" s="465"/>
      <c r="BF1633" s="165" t="str">
        <f t="shared" si="1180"/>
        <v>https://www.google.com/search?tbm=isch&amp;q=moist%20sites%F0%9F%92%A7GOOD%2C%20Dwarf%20Fothergilla%20has%20honey-scented%20bottlebrush-like%20blooms%20against%20Blue-Green%20foliage.%20Fiery%20Yellow-Orange-Red%20fall%20foliage%20</v>
      </c>
      <c r="BG1633" s="165" t="str">
        <f t="shared" si="1181"/>
        <v>m</v>
      </c>
      <c r="BH1633" s="65"/>
      <c r="BI1633" s="65"/>
      <c r="BJ1633" s="65"/>
      <c r="BK1633" s="65"/>
      <c r="BL1633" s="99"/>
      <c r="BM1633" s="99"/>
      <c r="BN1633" s="99"/>
    </row>
    <row r="1634" spans="1:66" s="51" customFormat="1" ht="18" x14ac:dyDescent="0.25">
      <c r="A1634" s="623" t="s">
        <v>2547</v>
      </c>
      <c r="B1634" s="624"/>
      <c r="C1634" s="709"/>
      <c r="D1634" s="625" t="s">
        <v>2548</v>
      </c>
      <c r="E1634" s="626"/>
      <c r="F1634" s="626"/>
      <c r="G1634" s="626"/>
      <c r="H1634" s="622" t="s">
        <v>1217</v>
      </c>
      <c r="I1634" s="627" t="s">
        <v>349</v>
      </c>
      <c r="J1634" s="628"/>
      <c r="K1634" s="628"/>
      <c r="L1634" s="629"/>
      <c r="M1634" s="700" t="s">
        <v>5249</v>
      </c>
      <c r="N1634" s="693" t="str">
        <f>IF(AND(ISTEXT($A1634), ISERROR($A1634+0)), HYPERLINK($BF1634, "Images"), "")</f>
        <v>Images</v>
      </c>
      <c r="O1634" s="695" t="s">
        <v>5247</v>
      </c>
      <c r="P1634" s="630"/>
      <c r="Q1634" s="631"/>
      <c r="R1634" s="632"/>
      <c r="S1634" s="633" t="s">
        <v>294</v>
      </c>
      <c r="T1634" s="102">
        <f t="shared" si="1169"/>
        <v>0</v>
      </c>
      <c r="U1634" s="78" t="str">
        <f>IF(NOT(ISNUMBER(G1634)), "", VLOOKUP(A1634,'Discount Lookup'!D:E,2,FALSE)*G1634)</f>
        <v/>
      </c>
      <c r="V1634" s="78" t="str">
        <f>IF(NOT(ISNUMBER(G1634)), "", VLOOKUP(A1634,'Discount Lookup'!G:H,2,FALSE)*G1634)</f>
        <v/>
      </c>
      <c r="W1634" s="102">
        <f t="shared" si="1170"/>
        <v>0</v>
      </c>
      <c r="X1634" s="102" t="str">
        <f t="shared" si="1171"/>
        <v>White bloom</v>
      </c>
      <c r="Y1634" s="120" t="b">
        <f t="shared" si="1172"/>
        <v>0</v>
      </c>
      <c r="Z1634" s="117">
        <f t="shared" si="1173"/>
        <v>0</v>
      </c>
      <c r="AA1634" s="118"/>
      <c r="AB1634" s="118" t="str">
        <f t="shared" si="1174"/>
        <v/>
      </c>
      <c r="AC1634" s="712" t="str">
        <f>IF(AE1634="T2G","no charge",IF(AND(OR(PlanterYesMe="No",PlanterYesMe="N",PlanterYesMe="me"),H1634=""),"",IF(H1634="credit","NO install",IF(AND(K1634="",AE1634="me"),"EACH row",IF(AND(K1634="images",AE1634="me"),"EACH row",IF(D1634="","",IF(H1634="credit","",IF(AE1634="free","re-planting",IF(AE1634="me","   not ELP, by",IF(AND(OR(PlanterYesMe="Yes",PlanterYesMe="Y"),G1634&gt;0),(VLOOKUP(A1634,'Discount Lookup'!J:K,2)*G1634*(1-PlanterDiscount)*(1+PlanterDifficultyPercentage)),IF(AE1634="ELP",(VLOOKUP(A1634,'Discount Lookup'!J:K,2)*G1634*(1-PlanterDiscount)*(1+PlanterDifficultyPercentage)),IF(AE1634="free","re-planting",IF(G1634=0,"",IF(PlanterYesMe="",IF(AE1634="me","   not ELP, by",IF(AE1634="",IF(G1634&gt;0,(VLOOKUP(A1634,'Discount Lookup'!J:K,2)*G1634*(1-PlanterDiscount)*(1+PlanterDifficultyPercentage)),""),"")),"   not ELP, by"))))))))))))))</f>
        <v/>
      </c>
      <c r="AD1634" s="712"/>
      <c r="AE1634" s="513" t="str">
        <f t="shared" si="1175"/>
        <v/>
      </c>
      <c r="AF1634" s="713" t="str">
        <f t="shared" si="1176"/>
        <v/>
      </c>
      <c r="AG1634" s="713"/>
      <c r="AH1634" s="713"/>
      <c r="AI1634" s="112">
        <f>IF(H1634="credit",0,IF(AE1634="free",0,IF(AE1634="me",0,IF(G1634&gt;0,(VLOOKUP(A1634,'Discount Lookup'!J:K,2)*G1634),0))))</f>
        <v>0</v>
      </c>
      <c r="AJ1634" s="107" t="str">
        <f t="shared" ca="1" si="1177"/>
        <v/>
      </c>
      <c r="AK1634" s="714" t="str">
        <f t="shared" si="1178"/>
        <v/>
      </c>
      <c r="AL1634" s="714"/>
      <c r="AM1634" s="114" t="str">
        <f t="shared" si="1179"/>
        <v/>
      </c>
      <c r="AN1634" s="115"/>
      <c r="AO1634" s="116"/>
      <c r="AP1634" s="116"/>
      <c r="AQ1634" s="116"/>
      <c r="AR1634" s="116"/>
      <c r="AS1634" s="116"/>
      <c r="AT1634" s="116"/>
      <c r="AU1634" s="116"/>
      <c r="AV1634" s="78"/>
      <c r="AW1634" s="102"/>
      <c r="AX1634" s="78"/>
      <c r="AY1634" s="78"/>
      <c r="AZ1634" s="78"/>
      <c r="BA1634" s="78"/>
      <c r="BB1634" s="78"/>
      <c r="BC1634" s="78"/>
      <c r="BD1634" s="78"/>
      <c r="BE1634" s="465"/>
      <c r="BF1634" s="165" t="str">
        <f t="shared" si="1180"/>
        <v>https://www.google.com/search?tbm=isch&amp;q=Fothergilla%20gardenii%20x%20major%20%27Mount%20Airy%27%20Mount%20Airy%20Fothergilla</v>
      </c>
      <c r="BG1634" s="165" t="str">
        <f t="shared" si="1181"/>
        <v>F</v>
      </c>
      <c r="BH1634" s="65"/>
      <c r="BI1634" s="65"/>
      <c r="BJ1634" s="65"/>
      <c r="BK1634" s="65"/>
      <c r="BL1634" s="99"/>
      <c r="BM1634" s="99"/>
      <c r="BN1634" s="99"/>
    </row>
    <row r="1635" spans="1:66" s="51" customFormat="1" ht="15.75" x14ac:dyDescent="0.25">
      <c r="A1635" s="634">
        <v>3</v>
      </c>
      <c r="B1635" s="635" t="s">
        <v>291</v>
      </c>
      <c r="C1635" s="636"/>
      <c r="D1635" s="637" t="s">
        <v>329</v>
      </c>
      <c r="E1635" s="638">
        <v>29.95</v>
      </c>
      <c r="F1635" s="639" t="s">
        <v>292</v>
      </c>
      <c r="G1635" s="484">
        <v>0</v>
      </c>
      <c r="H1635" s="691" t="str">
        <f>IF(G1635=0,"",IF(F1635="Buy",IF(G1635=1,"plant","plants"),IF(F1635&gt;0.01,"warranty","Error")))</f>
        <v/>
      </c>
      <c r="I1635" s="640">
        <f>IF(H1635="free",0,IF(H1635="credit",((E1635*(F1635))*G1635*-1),IF(F1635="Buy",(E1635*G1635),((E1635*(1-F1635))*G1635))))</f>
        <v>0</v>
      </c>
      <c r="J1635" s="640">
        <f>IF(H1635="warranty",0,(I1635*(_xlfn.SINGLE(SalesTaxPercentage))))</f>
        <v>0</v>
      </c>
      <c r="K1635" s="716">
        <f t="shared" ref="K1635" si="1187">I1635+J1635</f>
        <v>0</v>
      </c>
      <c r="L1635" s="716"/>
      <c r="M1635" s="689" t="str">
        <f ca="1">IF(AND(G1635&gt;0,E1635=0),"WARNING - no PRICE inserted",IF(H1635="free","FREE ~ no charge this plant",IF(H1635="credit",CONCATENATE("-$",ROUND(K1635*(1-_xlfn.SINGLE(T2GDiscount))*-1,2)," CREDIT after discount"),IF(_xlfn.SINGLE(T2GDiscount)=0,"",IF(G1635=0,"",IF(F1635="Buy",CONCATENATE("$",ROUND(K1635*(1-_xlfn.SINGLE(T2GDiscount)),2)," with ",(_xlfn.SINGLE(T2GDiscount)*100),"% discount"),CONCATENATE("$",ROUND(K1635*(1-_xlfn.SINGLE(T2GDiscount)),2)," with ",((_xlfn.SINGLE(T2GDiscount)*100+F1635*100)-(_xlfn.SINGLE(T2GDiscount)*100*F1635)),IF(F1635&gt;0,"% discounts",IF(_xlfn.SINGLE(NoWarrantyDiscount)&gt;0,"% discounts","% discount")))))))))</f>
        <v/>
      </c>
      <c r="N1635" s="690"/>
      <c r="O1635" s="486"/>
      <c r="P1635" s="486"/>
      <c r="Q1635" s="486"/>
      <c r="R1635" s="486"/>
      <c r="S1635" s="486"/>
      <c r="T1635" s="102">
        <f t="shared" si="1169"/>
        <v>0</v>
      </c>
      <c r="U1635" s="78">
        <f>IF(NOT(ISNUMBER(G1635)), "", VLOOKUP(A1635,'Discount Lookup'!D:E,2,FALSE)*G1635)</f>
        <v>0</v>
      </c>
      <c r="V1635" s="78">
        <f>IF(NOT(ISNUMBER(G1635)), "", VLOOKUP(A1635,'Discount Lookup'!G:H,2,FALSE)*G1635)</f>
        <v>0</v>
      </c>
      <c r="W1635" s="102">
        <f t="shared" si="1170"/>
        <v>0</v>
      </c>
      <c r="X1635" s="102">
        <f t="shared" si="1171"/>
        <v>0</v>
      </c>
      <c r="Y1635" s="120" t="b">
        <f t="shared" si="1172"/>
        <v>0</v>
      </c>
      <c r="Z1635" s="117">
        <f t="shared" si="1173"/>
        <v>0</v>
      </c>
      <c r="AA1635" s="118"/>
      <c r="AB1635" s="118" t="str">
        <f t="shared" si="1174"/>
        <v/>
      </c>
      <c r="AC1635" s="712" t="str">
        <f>IF(AE1635="T2G","no charge",IF(AND(OR(PlanterYesMe="No",PlanterYesMe="N",PlanterYesMe="me"),H1635=""),"",IF(H1635="credit","NO install",IF(AND(K1635="",AE1635="me"),"EACH row",IF(AND(K1635="images",AE1635="me"),"EACH row",IF(D1635="","",IF(H1635="credit","",IF(AE1635="free","re-planting",IF(AE1635="me","   not ELP, by",IF(AND(OR(PlanterYesMe="Yes",PlanterYesMe="Y"),G1635&gt;0),(VLOOKUP(A1635,'Discount Lookup'!J:K,2)*G1635*(1-PlanterDiscount)*(1+PlanterDifficultyPercentage)),IF(AE1635="ELP",(VLOOKUP(A1635,'Discount Lookup'!J:K,2)*G1635*(1-PlanterDiscount)*(1+PlanterDifficultyPercentage)),IF(AE1635="free","re-planting",IF(G1635=0,"",IF(PlanterYesMe="",IF(AE1635="me","   not ELP, by",IF(AE1635="",IF(G1635&gt;0,(VLOOKUP(A1635,'Discount Lookup'!J:K,2)*G1635*(1-PlanterDiscount)*(1+PlanterDifficultyPercentage)),""),"")),"   not ELP, by"))))))))))))))</f>
        <v/>
      </c>
      <c r="AD1635" s="712"/>
      <c r="AE1635" s="513" t="str">
        <f t="shared" si="1175"/>
        <v/>
      </c>
      <c r="AF1635" s="713" t="str">
        <f t="shared" si="1176"/>
        <v/>
      </c>
      <c r="AG1635" s="713"/>
      <c r="AH1635" s="713"/>
      <c r="AI1635" s="112">
        <f>IF(H1635="credit",0,IF(AE1635="free",0,IF(AE1635="me",0,IF(G1635&gt;0,(VLOOKUP(A1635,'Discount Lookup'!J:K,2)*G1635),0))))</f>
        <v>0</v>
      </c>
      <c r="AJ1635" s="107" t="str">
        <f t="shared" ca="1" si="1177"/>
        <v/>
      </c>
      <c r="AK1635" s="714" t="str">
        <f t="shared" si="1178"/>
        <v/>
      </c>
      <c r="AL1635" s="714"/>
      <c r="AM1635" s="114" t="str">
        <f t="shared" si="1179"/>
        <v/>
      </c>
      <c r="AN1635" s="115"/>
      <c r="AO1635" s="116"/>
      <c r="AP1635" s="116"/>
      <c r="AQ1635" s="116"/>
      <c r="AR1635" s="116"/>
      <c r="AS1635" s="116"/>
      <c r="AT1635" s="116"/>
      <c r="AU1635" s="116"/>
      <c r="AV1635" s="78"/>
      <c r="AW1635" s="102"/>
      <c r="AX1635" s="78"/>
      <c r="AY1635" s="78"/>
      <c r="AZ1635" s="78"/>
      <c r="BA1635" s="78"/>
      <c r="BB1635" s="78"/>
      <c r="BC1635" s="78"/>
      <c r="BD1635" s="78"/>
      <c r="BE1635" s="465"/>
      <c r="BF1635" s="165" t="str">
        <f t="shared" si="1180"/>
        <v>https://www.google.com/search?tbm=isch&amp;q=3%20G2</v>
      </c>
      <c r="BG1635" s="165" t="str">
        <f t="shared" si="1181"/>
        <v>F</v>
      </c>
      <c r="BH1635" s="65"/>
      <c r="BI1635" s="65"/>
      <c r="BJ1635" s="65"/>
      <c r="BK1635" s="65"/>
      <c r="BL1635" s="99"/>
      <c r="BM1635" s="99"/>
      <c r="BN1635" s="99"/>
    </row>
    <row r="1636" spans="1:66" s="51" customFormat="1" ht="15.75" x14ac:dyDescent="0.25">
      <c r="A1636" s="634">
        <v>7</v>
      </c>
      <c r="B1636" s="635" t="s">
        <v>291</v>
      </c>
      <c r="C1636" s="636" t="s">
        <v>2549</v>
      </c>
      <c r="D1636" s="637" t="s">
        <v>293</v>
      </c>
      <c r="E1636" s="638">
        <v>85.95</v>
      </c>
      <c r="F1636" s="639" t="s">
        <v>292</v>
      </c>
      <c r="G1636" s="484">
        <v>0</v>
      </c>
      <c r="H1636" s="691" t="str">
        <f>IF(G1636=0,"",IF(F1636="Buy",IF(G1636=1,"plant","plants"),IF(F1636&gt;0.01,"warranty","Error")))</f>
        <v/>
      </c>
      <c r="I1636" s="640">
        <f>IF(H1636="free",0,IF(H1636="credit",((E1636*(F1636))*G1636*-1),IF(F1636="Buy",(E1636*G1636),((E1636*(1-F1636))*G1636))))</f>
        <v>0</v>
      </c>
      <c r="J1636" s="640">
        <f>IF(H1636="warranty",0,(I1636*(_xlfn.SINGLE(SalesTaxPercentage))))</f>
        <v>0</v>
      </c>
      <c r="K1636" s="716">
        <f t="shared" ref="K1636" si="1188">I1636+J1636</f>
        <v>0</v>
      </c>
      <c r="L1636" s="716"/>
      <c r="M1636" s="689" t="str">
        <f ca="1">IF(AND(G1636&gt;0,E1636=0),"WARNING - no PRICE inserted",IF(H1636="free","FREE ~ no charge this plant",IF(H1636="credit",CONCATENATE("-$",ROUND(K1636*(1-_xlfn.SINGLE(T2GDiscount))*-1,2)," CREDIT after discount"),IF(_xlfn.SINGLE(T2GDiscount)=0,"",IF(G1636=0,"",IF(F1636="Buy",CONCATENATE("$",ROUND(K1636*(1-_xlfn.SINGLE(T2GDiscount)),2)," with ",(_xlfn.SINGLE(T2GDiscount)*100),"% discount"),CONCATENATE("$",ROUND(K1636*(1-_xlfn.SINGLE(T2GDiscount)),2)," with ",((_xlfn.SINGLE(T2GDiscount)*100+F1636*100)-(_xlfn.SINGLE(T2GDiscount)*100*F1636)),IF(F1636&gt;0,"% discounts",IF(_xlfn.SINGLE(NoWarrantyDiscount)&gt;0,"% discounts","% discount")))))))))</f>
        <v/>
      </c>
      <c r="N1636" s="690"/>
      <c r="O1636" s="486"/>
      <c r="P1636" s="486"/>
      <c r="Q1636" s="486"/>
      <c r="R1636" s="486"/>
      <c r="S1636" s="486"/>
      <c r="T1636" s="102">
        <f t="shared" si="1169"/>
        <v>0</v>
      </c>
      <c r="U1636" s="78">
        <f>IF(NOT(ISNUMBER(G1636)), "", VLOOKUP(A1636,'Discount Lookup'!D:E,2,FALSE)*G1636)</f>
        <v>0</v>
      </c>
      <c r="V1636" s="78">
        <f>IF(NOT(ISNUMBER(G1636)), "", VLOOKUP(A1636,'Discount Lookup'!G:H,2,FALSE)*G1636)</f>
        <v>0</v>
      </c>
      <c r="W1636" s="102">
        <f t="shared" si="1170"/>
        <v>0</v>
      </c>
      <c r="X1636" s="102">
        <f t="shared" si="1171"/>
        <v>0</v>
      </c>
      <c r="Y1636" s="120" t="b">
        <f t="shared" si="1172"/>
        <v>0</v>
      </c>
      <c r="Z1636" s="117">
        <f t="shared" si="1173"/>
        <v>0</v>
      </c>
      <c r="AA1636" s="118"/>
      <c r="AB1636" s="118" t="str">
        <f t="shared" si="1174"/>
        <v/>
      </c>
      <c r="AC1636" s="712" t="str">
        <f>IF(AE1636="T2G","no charge",IF(AND(OR(PlanterYesMe="No",PlanterYesMe="N",PlanterYesMe="me"),H1636=""),"",IF(H1636="credit","NO install",IF(AND(K1636="",AE1636="me"),"EACH row",IF(AND(K1636="images",AE1636="me"),"EACH row",IF(D1636="","",IF(H1636="credit","",IF(AE1636="free","re-planting",IF(AE1636="me","   not ELP, by",IF(AND(OR(PlanterYesMe="Yes",PlanterYesMe="Y"),G1636&gt;0),(VLOOKUP(A1636,'Discount Lookup'!J:K,2)*G1636*(1-PlanterDiscount)*(1+PlanterDifficultyPercentage)),IF(AE1636="ELP",(VLOOKUP(A1636,'Discount Lookup'!J:K,2)*G1636*(1-PlanterDiscount)*(1+PlanterDifficultyPercentage)),IF(AE1636="free","re-planting",IF(G1636=0,"",IF(PlanterYesMe="",IF(AE1636="me","   not ELP, by",IF(AE1636="",IF(G1636&gt;0,(VLOOKUP(A1636,'Discount Lookup'!J:K,2)*G1636*(1-PlanterDiscount)*(1+PlanterDifficultyPercentage)),""),"")),"   not ELP, by"))))))))))))))</f>
        <v/>
      </c>
      <c r="AD1636" s="712"/>
      <c r="AE1636" s="513" t="str">
        <f t="shared" si="1175"/>
        <v/>
      </c>
      <c r="AF1636" s="713" t="str">
        <f t="shared" si="1176"/>
        <v/>
      </c>
      <c r="AG1636" s="713"/>
      <c r="AH1636" s="713"/>
      <c r="AI1636" s="112">
        <f>IF(H1636="credit",0,IF(AE1636="free",0,IF(AE1636="me",0,IF(G1636&gt;0,(VLOOKUP(A1636,'Discount Lookup'!J:K,2)*G1636),0))))</f>
        <v>0</v>
      </c>
      <c r="AJ1636" s="107" t="str">
        <f t="shared" ca="1" si="1177"/>
        <v/>
      </c>
      <c r="AK1636" s="714" t="str">
        <f t="shared" si="1178"/>
        <v/>
      </c>
      <c r="AL1636" s="714"/>
      <c r="AM1636" s="114" t="str">
        <f t="shared" si="1179"/>
        <v/>
      </c>
      <c r="AN1636" s="115"/>
      <c r="AO1636" s="116"/>
      <c r="AP1636" s="116"/>
      <c r="AQ1636" s="116"/>
      <c r="AR1636" s="116"/>
      <c r="AS1636" s="116"/>
      <c r="AT1636" s="116"/>
      <c r="AU1636" s="116"/>
      <c r="AV1636" s="78"/>
      <c r="AW1636" s="102"/>
      <c r="AX1636" s="78"/>
      <c r="AY1636" s="78"/>
      <c r="AZ1636" s="78"/>
      <c r="BA1636" s="78"/>
      <c r="BB1636" s="78"/>
      <c r="BC1636" s="78"/>
      <c r="BD1636" s="78"/>
      <c r="BE1636" s="465"/>
      <c r="BF1636" s="165" t="str">
        <f t="shared" si="1180"/>
        <v>https://www.google.com/search?tbm=isch&amp;q=7%20G6</v>
      </c>
      <c r="BG1636" s="165" t="str">
        <f t="shared" si="1181"/>
        <v>F</v>
      </c>
      <c r="BH1636" s="65"/>
      <c r="BI1636" s="65"/>
      <c r="BJ1636" s="65"/>
      <c r="BK1636" s="65"/>
      <c r="BL1636" s="99"/>
      <c r="BM1636" s="99"/>
      <c r="BN1636" s="99"/>
    </row>
    <row r="1637" spans="1:66" s="51" customFormat="1" ht="16.5" x14ac:dyDescent="0.25">
      <c r="A1637" s="704" t="s">
        <v>5396</v>
      </c>
      <c r="B1637" s="642"/>
      <c r="C1637" s="710"/>
      <c r="D1637" s="643"/>
      <c r="E1637" s="643"/>
      <c r="F1637" s="644"/>
      <c r="G1637" s="645"/>
      <c r="H1637" s="646"/>
      <c r="I1637" s="647"/>
      <c r="J1637" s="648"/>
      <c r="K1637" s="649"/>
      <c r="L1637" s="650"/>
      <c r="M1637" s="650"/>
      <c r="N1637" s="644"/>
      <c r="O1637" s="644"/>
      <c r="P1637" s="644"/>
      <c r="Q1637" s="644"/>
      <c r="R1637" s="644"/>
      <c r="S1637" s="701" t="s">
        <v>5262</v>
      </c>
      <c r="T1637" s="102">
        <f t="shared" si="1169"/>
        <v>0</v>
      </c>
      <c r="U1637" s="78" t="str">
        <f>IF(NOT(ISNUMBER(G1637)), "", VLOOKUP(A1637,'Discount Lookup'!D:E,2,FALSE)*G1637)</f>
        <v/>
      </c>
      <c r="V1637" s="78" t="str">
        <f>IF(NOT(ISNUMBER(G1637)), "", VLOOKUP(A1637,'Discount Lookup'!G:H,2,FALSE)*G1637)</f>
        <v/>
      </c>
      <c r="W1637" s="102">
        <f t="shared" si="1170"/>
        <v>0</v>
      </c>
      <c r="X1637" s="102">
        <f t="shared" si="1171"/>
        <v>0</v>
      </c>
      <c r="Y1637" s="120" t="b">
        <f t="shared" si="1172"/>
        <v>0</v>
      </c>
      <c r="Z1637" s="117">
        <f t="shared" si="1173"/>
        <v>0</v>
      </c>
      <c r="AA1637" s="118"/>
      <c r="AB1637" s="118" t="str">
        <f t="shared" si="1174"/>
        <v/>
      </c>
      <c r="AC1637" s="712" t="str">
        <f>IF(AE1637="T2G","no charge",IF(AND(OR(PlanterYesMe="No",PlanterYesMe="N",PlanterYesMe="me"),H1637=""),"",IF(H1637="credit","NO install",IF(AND(K1637="",AE1637="me"),"EACH row",IF(AND(K1637="images",AE1637="me"),"EACH row",IF(D1637="","",IF(H1637="credit","",IF(AE1637="free","re-planting",IF(AE1637="me","   not ELP, by",IF(AND(OR(PlanterYesMe="Yes",PlanterYesMe="Y"),G1637&gt;0),(VLOOKUP(A1637,'Discount Lookup'!J:K,2)*G1637*(1-PlanterDiscount)*(1+PlanterDifficultyPercentage)),IF(AE1637="ELP",(VLOOKUP(A1637,'Discount Lookup'!J:K,2)*G1637*(1-PlanterDiscount)*(1+PlanterDifficultyPercentage)),IF(AE1637="free","re-planting",IF(G1637=0,"",IF(PlanterYesMe="",IF(AE1637="me","   not ELP, by",IF(AE1637="",IF(G1637&gt;0,(VLOOKUP(A1637,'Discount Lookup'!J:K,2)*G1637*(1-PlanterDiscount)*(1+PlanterDifficultyPercentage)),""),"")),"   not ELP, by"))))))))))))))</f>
        <v/>
      </c>
      <c r="AD1637" s="712"/>
      <c r="AE1637" s="513" t="str">
        <f t="shared" si="1175"/>
        <v/>
      </c>
      <c r="AF1637" s="713" t="str">
        <f t="shared" si="1176"/>
        <v/>
      </c>
      <c r="AG1637" s="713"/>
      <c r="AH1637" s="713"/>
      <c r="AI1637" s="112">
        <f>IF(H1637="credit",0,IF(AE1637="free",0,IF(AE1637="me",0,IF(G1637&gt;0,(VLOOKUP(A1637,'Discount Lookup'!J:K,2)*G1637),0))))</f>
        <v>0</v>
      </c>
      <c r="AJ1637" s="107" t="str">
        <f t="shared" ca="1" si="1177"/>
        <v/>
      </c>
      <c r="AK1637" s="714" t="str">
        <f t="shared" si="1178"/>
        <v/>
      </c>
      <c r="AL1637" s="714"/>
      <c r="AM1637" s="114" t="str">
        <f t="shared" si="1179"/>
        <v/>
      </c>
      <c r="AN1637" s="115"/>
      <c r="AO1637" s="116"/>
      <c r="AP1637" s="116"/>
      <c r="AQ1637" s="116"/>
      <c r="AR1637" s="116"/>
      <c r="AS1637" s="116"/>
      <c r="AT1637" s="116"/>
      <c r="AU1637" s="116"/>
      <c r="AV1637" s="78"/>
      <c r="AW1637" s="102"/>
      <c r="AX1637" s="78"/>
      <c r="AY1637" s="78"/>
      <c r="AZ1637" s="78"/>
      <c r="BA1637" s="78"/>
      <c r="BB1637" s="78"/>
      <c r="BC1637" s="78"/>
      <c r="BD1637" s="78"/>
      <c r="BE1637" s="465"/>
      <c r="BF1637" s="165" t="str">
        <f t="shared" si="1180"/>
        <v>https://www.google.com/search?tbm=isch&amp;q=moist%20sites%F0%9F%92%A7GOOD%2C%20Mount%20Airy%27s%20honey-scented%2C%20bottle-brush%20flowers%20emerge%20before%20Blue-Green%20foliage%20</v>
      </c>
      <c r="BG1637" s="165" t="str">
        <f t="shared" si="1181"/>
        <v>m</v>
      </c>
      <c r="BH1637" s="65"/>
      <c r="BI1637" s="65"/>
      <c r="BJ1637" s="65"/>
      <c r="BK1637" s="65"/>
      <c r="BL1637" s="99"/>
      <c r="BM1637" s="99"/>
      <c r="BN1637" s="99"/>
    </row>
    <row r="1638" spans="1:66" s="51" customFormat="1" ht="56.25" thickBot="1" x14ac:dyDescent="0.3">
      <c r="A1638" s="520" t="s">
        <v>356</v>
      </c>
      <c r="B1638" s="501"/>
      <c r="C1638" s="502"/>
      <c r="D1638" s="502"/>
      <c r="E1638" s="502"/>
      <c r="F1638" s="502"/>
      <c r="G1638" s="502"/>
      <c r="H1638" s="502"/>
      <c r="I1638" s="502"/>
      <c r="J1638" s="502"/>
      <c r="K1638" s="509" t="s">
        <v>871</v>
      </c>
      <c r="L1638" s="503"/>
      <c r="M1638" s="563"/>
      <c r="N1638" s="504"/>
      <c r="O1638" s="504"/>
      <c r="P1638" s="504"/>
      <c r="Q1638" s="504"/>
      <c r="R1638" s="504"/>
      <c r="S1638" s="511" t="s">
        <v>1546</v>
      </c>
      <c r="T1638" s="102">
        <f t="shared" si="1169"/>
        <v>0</v>
      </c>
      <c r="U1638" s="78" t="str">
        <f>IF(NOT(ISNUMBER(G1638)), "", VLOOKUP(A1638,'Discount Lookup'!D:E,2,FALSE)*G1638)</f>
        <v/>
      </c>
      <c r="V1638" s="78" t="str">
        <f>IF(NOT(ISNUMBER(G1638)), "", VLOOKUP(A1638,'Discount Lookup'!G:H,2,FALSE)*G1638)</f>
        <v/>
      </c>
      <c r="W1638" s="102">
        <f t="shared" si="1170"/>
        <v>0</v>
      </c>
      <c r="X1638" s="102">
        <f t="shared" si="1171"/>
        <v>0</v>
      </c>
      <c r="Y1638" s="120" t="b">
        <f t="shared" si="1172"/>
        <v>0</v>
      </c>
      <c r="Z1638" s="117">
        <f t="shared" si="1173"/>
        <v>0</v>
      </c>
      <c r="AA1638" s="118"/>
      <c r="AB1638" s="118" t="str">
        <f t="shared" si="1174"/>
        <v/>
      </c>
      <c r="AC1638" s="712" t="str">
        <f>IF(AE1638="T2G","no charge",IF(AND(OR(PlanterYesMe="No",PlanterYesMe="N",PlanterYesMe="me"),H1638=""),"",IF(H1638="credit","NO install",IF(AND(K1638="",AE1638="me"),"EACH row",IF(AND(K1638="images",AE1638="me"),"EACH row",IF(D1638="","",IF(H1638="credit","",IF(AE1638="free","re-planting",IF(AE1638="me","   not ELP, by",IF(AND(OR(PlanterYesMe="Yes",PlanterYesMe="Y"),G1638&gt;0),(VLOOKUP(A1638,'Discount Lookup'!J:K,2)*G1638*(1-PlanterDiscount)*(1+PlanterDifficultyPercentage)),IF(AE1638="ELP",(VLOOKUP(A1638,'Discount Lookup'!J:K,2)*G1638*(1-PlanterDiscount)*(1+PlanterDifficultyPercentage)),IF(AE1638="free","re-planting",IF(G1638=0,"",IF(PlanterYesMe="",IF(AE1638="me","   not ELP, by",IF(AE1638="",IF(G1638&gt;0,(VLOOKUP(A1638,'Discount Lookup'!J:K,2)*G1638*(1-PlanterDiscount)*(1+PlanterDifficultyPercentage)),""),"")),"   not ELP, by"))))))))))))))</f>
        <v/>
      </c>
      <c r="AD1638" s="712"/>
      <c r="AE1638" s="513" t="str">
        <f t="shared" si="1175"/>
        <v/>
      </c>
      <c r="AF1638" s="713" t="str">
        <f t="shared" si="1176"/>
        <v/>
      </c>
      <c r="AG1638" s="713"/>
      <c r="AH1638" s="713"/>
      <c r="AI1638" s="112">
        <f>IF(H1638="credit",0,IF(AE1638="free",0,IF(AE1638="me",0,IF(G1638&gt;0,(VLOOKUP(A1638,'Discount Lookup'!J:K,2)*G1638),0))))</f>
        <v>0</v>
      </c>
      <c r="AJ1638" s="107" t="str">
        <f t="shared" ca="1" si="1177"/>
        <v/>
      </c>
      <c r="AK1638" s="714" t="str">
        <f t="shared" si="1178"/>
        <v/>
      </c>
      <c r="AL1638" s="714"/>
      <c r="AM1638" s="114" t="str">
        <f t="shared" si="1179"/>
        <v/>
      </c>
      <c r="AN1638" s="115"/>
      <c r="AO1638" s="116"/>
      <c r="AP1638" s="116"/>
      <c r="AQ1638" s="116"/>
      <c r="AR1638" s="116"/>
      <c r="AS1638" s="116"/>
      <c r="AT1638" s="116"/>
      <c r="AU1638" s="116"/>
      <c r="AV1638" s="78"/>
      <c r="AW1638" s="102"/>
      <c r="AX1638" s="78"/>
      <c r="AY1638" s="78"/>
      <c r="AZ1638" s="78"/>
      <c r="BA1638" s="78"/>
      <c r="BB1638" s="78"/>
      <c r="BC1638" s="78"/>
      <c r="BD1638" s="78"/>
      <c r="BE1638" s="465"/>
      <c r="BF1638" s="165" t="str">
        <f t="shared" si="1180"/>
        <v>https://www.google.com/search?tbm=isch&amp;q=G%20</v>
      </c>
      <c r="BG1638" s="165" t="str">
        <f t="shared" si="1181"/>
        <v>G</v>
      </c>
      <c r="BH1638" s="65"/>
      <c r="BI1638" s="65"/>
      <c r="BJ1638" s="65"/>
      <c r="BK1638" s="65"/>
      <c r="BL1638" s="99"/>
      <c r="BM1638" s="99"/>
      <c r="BN1638" s="99"/>
    </row>
    <row r="1639" spans="1:66" s="51" customFormat="1" ht="18" x14ac:dyDescent="0.25">
      <c r="A1639" s="507" t="s">
        <v>2550</v>
      </c>
      <c r="B1639" s="470"/>
      <c r="C1639" s="706"/>
      <c r="D1639" s="471" t="s">
        <v>2551</v>
      </c>
      <c r="E1639" s="472"/>
      <c r="F1639" s="472"/>
      <c r="G1639" s="472"/>
      <c r="H1639" s="622" t="s">
        <v>1498</v>
      </c>
      <c r="I1639" s="473" t="s">
        <v>349</v>
      </c>
      <c r="J1639" s="472"/>
      <c r="K1639" s="472"/>
      <c r="L1639" s="561"/>
      <c r="M1639" s="703" t="s">
        <v>5260</v>
      </c>
      <c r="N1639" s="692" t="str">
        <f>IF(AND(ISTEXT($A1639), ISERROR($A1639+0)), HYPERLINK($BF1639, "Images"), "")</f>
        <v>Images</v>
      </c>
      <c r="O1639" s="694" t="s">
        <v>5247</v>
      </c>
      <c r="P1639" s="475"/>
      <c r="Q1639" s="476"/>
      <c r="R1639" s="476"/>
      <c r="S1639" s="477"/>
      <c r="T1639" s="102">
        <f t="shared" si="1169"/>
        <v>0</v>
      </c>
      <c r="U1639" s="78" t="str">
        <f>IF(NOT(ISNUMBER(G1639)), "", VLOOKUP(A1639,'Discount Lookup'!D:E,2,FALSE)*G1639)</f>
        <v/>
      </c>
      <c r="V1639" s="78" t="str">
        <f>IF(NOT(ISNUMBER(G1639)), "", VLOOKUP(A1639,'Discount Lookup'!G:H,2,FALSE)*G1639)</f>
        <v/>
      </c>
      <c r="W1639" s="102">
        <f t="shared" si="1170"/>
        <v>0</v>
      </c>
      <c r="X1639" s="102" t="str">
        <f t="shared" si="1171"/>
        <v>White bloom</v>
      </c>
      <c r="Y1639" s="120" t="b">
        <f t="shared" si="1172"/>
        <v>0</v>
      </c>
      <c r="Z1639" s="117">
        <f t="shared" si="1173"/>
        <v>0</v>
      </c>
      <c r="AA1639" s="118"/>
      <c r="AB1639" s="118" t="str">
        <f t="shared" si="1174"/>
        <v/>
      </c>
      <c r="AC1639" s="712" t="str">
        <f>IF(AE1639="T2G","no charge",IF(AND(OR(PlanterYesMe="No",PlanterYesMe="N",PlanterYesMe="me"),H1639=""),"",IF(H1639="credit","NO install",IF(AND(K1639="",AE1639="me"),"EACH row",IF(AND(K1639="images",AE1639="me"),"EACH row",IF(D1639="","",IF(H1639="credit","",IF(AE1639="free","re-planting",IF(AE1639="me","   not ELP, by",IF(AND(OR(PlanterYesMe="Yes",PlanterYesMe="Y"),G1639&gt;0),(VLOOKUP(A1639,'Discount Lookup'!J:K,2)*G1639*(1-PlanterDiscount)*(1+PlanterDifficultyPercentage)),IF(AE1639="ELP",(VLOOKUP(A1639,'Discount Lookup'!J:K,2)*G1639*(1-PlanterDiscount)*(1+PlanterDifficultyPercentage)),IF(AE1639="free","re-planting",IF(G1639=0,"",IF(PlanterYesMe="",IF(AE1639="me","   not ELP, by",IF(AE1639="",IF(G1639&gt;0,(VLOOKUP(A1639,'Discount Lookup'!J:K,2)*G1639*(1-PlanterDiscount)*(1+PlanterDifficultyPercentage)),""),"")),"   not ELP, by"))))))))))))))</f>
        <v/>
      </c>
      <c r="AD1639" s="712"/>
      <c r="AE1639" s="513" t="str">
        <f t="shared" si="1175"/>
        <v/>
      </c>
      <c r="AF1639" s="713" t="str">
        <f t="shared" si="1176"/>
        <v/>
      </c>
      <c r="AG1639" s="713"/>
      <c r="AH1639" s="713"/>
      <c r="AI1639" s="112">
        <f>IF(H1639="credit",0,IF(AE1639="free",0,IF(AE1639="me",0,IF(G1639&gt;0,(VLOOKUP(A1639,'Discount Lookup'!J:K,2)*G1639),0))))</f>
        <v>0</v>
      </c>
      <c r="AJ1639" s="107" t="str">
        <f t="shared" ca="1" si="1177"/>
        <v/>
      </c>
      <c r="AK1639" s="714" t="str">
        <f t="shared" si="1178"/>
        <v/>
      </c>
      <c r="AL1639" s="714"/>
      <c r="AM1639" s="114" t="str">
        <f t="shared" si="1179"/>
        <v/>
      </c>
      <c r="AN1639" s="115"/>
      <c r="AO1639" s="116"/>
      <c r="AP1639" s="116"/>
      <c r="AQ1639" s="116"/>
      <c r="AR1639" s="116"/>
      <c r="AS1639" s="116"/>
      <c r="AT1639" s="116"/>
      <c r="AU1639" s="116"/>
      <c r="AV1639" s="78"/>
      <c r="AW1639" s="102"/>
      <c r="AX1639" s="78"/>
      <c r="AY1639" s="78"/>
      <c r="AZ1639" s="78"/>
      <c r="BA1639" s="78"/>
      <c r="BB1639" s="78"/>
      <c r="BC1639" s="78"/>
      <c r="BD1639" s="78"/>
      <c r="BE1639" s="465"/>
      <c r="BF1639" s="165" t="str">
        <f t="shared" si="1180"/>
        <v>https://www.google.com/search?tbm=isch&amp;q=Gardenia%20jasminoides%20%27August%20Beauty%27%20August%20Beauty%20Gardenia</v>
      </c>
      <c r="BG1639" s="165" t="str">
        <f t="shared" si="1181"/>
        <v>G</v>
      </c>
      <c r="BH1639" s="65"/>
      <c r="BI1639" s="65"/>
      <c r="BJ1639" s="65"/>
      <c r="BK1639" s="65"/>
      <c r="BL1639" s="99"/>
      <c r="BM1639" s="99"/>
      <c r="BN1639" s="99"/>
    </row>
    <row r="1640" spans="1:66" s="51" customFormat="1" ht="15.75" x14ac:dyDescent="0.25">
      <c r="A1640" s="478">
        <v>3</v>
      </c>
      <c r="B1640" s="479" t="s">
        <v>291</v>
      </c>
      <c r="C1640" s="480"/>
      <c r="D1640" s="481" t="s">
        <v>310</v>
      </c>
      <c r="E1640" s="482">
        <v>26.95</v>
      </c>
      <c r="F1640" s="483" t="s">
        <v>292</v>
      </c>
      <c r="G1640" s="484">
        <v>0</v>
      </c>
      <c r="H1640" s="688" t="str">
        <f>IF(G1640=0,"",IF(F1640="Buy",IF(G1640=1,"plant","plants"),IF(F1640&gt;0.01,"warranty","Error")))</f>
        <v/>
      </c>
      <c r="I1640" s="485">
        <f>IF(H1640="free",0,IF(H1640="credit",((E1640*(F1640))*G1640*-1),IF(F1640="Buy",(E1640*G1640),((E1640*(1-F1640))*G1640))))</f>
        <v>0</v>
      </c>
      <c r="J1640" s="485">
        <f>IF(H1640="warranty",0,(I1640*(_xlfn.SINGLE(SalesTaxPercentage))))</f>
        <v>0</v>
      </c>
      <c r="K1640" s="715">
        <f t="shared" ref="K1640" si="1189">I1640+J1640</f>
        <v>0</v>
      </c>
      <c r="L1640" s="715"/>
      <c r="M1640" s="689" t="str">
        <f ca="1">IF(AND(G1640&gt;0,E1640=0),"WARNING - no PRICE inserted",IF(H1640="free","FREE ~ no charge this plant",IF(H1640="credit",CONCATENATE("-$",ROUND(K1640*(1-_xlfn.SINGLE(T2GDiscount))*-1,2)," CREDIT after discount"),IF(_xlfn.SINGLE(T2GDiscount)=0,"",IF(G1640=0,"",IF(F1640="Buy",CONCATENATE("$",ROUND(K1640*(1-_xlfn.SINGLE(T2GDiscount)),2)," with ",(_xlfn.SINGLE(T2GDiscount)*100),"% discount"),CONCATENATE("$",ROUND(K1640*(1-_xlfn.SINGLE(T2GDiscount)),2)," with ",((_xlfn.SINGLE(T2GDiscount)*100+F1640*100)-(_xlfn.SINGLE(T2GDiscount)*100*F1640)),IF(F1640&gt;0,"% discounts",IF(_xlfn.SINGLE(NoWarrantyDiscount)&gt;0,"% discounts","% discount")))))))))</f>
        <v/>
      </c>
      <c r="N1640" s="690"/>
      <c r="O1640" s="486"/>
      <c r="P1640" s="486"/>
      <c r="Q1640" s="486"/>
      <c r="R1640" s="486"/>
      <c r="S1640" s="486"/>
      <c r="T1640" s="102">
        <f t="shared" si="1169"/>
        <v>0</v>
      </c>
      <c r="U1640" s="78">
        <f>IF(NOT(ISNUMBER(G1640)), "", VLOOKUP(A1640,'Discount Lookup'!D:E,2,FALSE)*G1640)</f>
        <v>0</v>
      </c>
      <c r="V1640" s="78">
        <f>IF(NOT(ISNUMBER(G1640)), "", VLOOKUP(A1640,'Discount Lookup'!G:H,2,FALSE)*G1640)</f>
        <v>0</v>
      </c>
      <c r="W1640" s="102">
        <f t="shared" si="1170"/>
        <v>0</v>
      </c>
      <c r="X1640" s="102">
        <f t="shared" si="1171"/>
        <v>0</v>
      </c>
      <c r="Y1640" s="120" t="b">
        <f t="shared" si="1172"/>
        <v>0</v>
      </c>
      <c r="Z1640" s="117">
        <f t="shared" si="1173"/>
        <v>0</v>
      </c>
      <c r="AA1640" s="118"/>
      <c r="AB1640" s="118" t="str">
        <f t="shared" si="1174"/>
        <v/>
      </c>
      <c r="AC1640" s="712" t="str">
        <f>IF(AE1640="T2G","no charge",IF(AND(OR(PlanterYesMe="No",PlanterYesMe="N",PlanterYesMe="me"),H1640=""),"",IF(H1640="credit","NO install",IF(AND(K1640="",AE1640="me"),"EACH row",IF(AND(K1640="images",AE1640="me"),"EACH row",IF(D1640="","",IF(H1640="credit","",IF(AE1640="free","re-planting",IF(AE1640="me","   not ELP, by",IF(AND(OR(PlanterYesMe="Yes",PlanterYesMe="Y"),G1640&gt;0),(VLOOKUP(A1640,'Discount Lookup'!J:K,2)*G1640*(1-PlanterDiscount)*(1+PlanterDifficultyPercentage)),IF(AE1640="ELP",(VLOOKUP(A1640,'Discount Lookup'!J:K,2)*G1640*(1-PlanterDiscount)*(1+PlanterDifficultyPercentage)),IF(AE1640="free","re-planting",IF(G1640=0,"",IF(PlanterYesMe="",IF(AE1640="me","   not ELP, by",IF(AE1640="",IF(G1640&gt;0,(VLOOKUP(A1640,'Discount Lookup'!J:K,2)*G1640*(1-PlanterDiscount)*(1+PlanterDifficultyPercentage)),""),"")),"   not ELP, by"))))))))))))))</f>
        <v/>
      </c>
      <c r="AD1640" s="712"/>
      <c r="AE1640" s="513" t="str">
        <f t="shared" si="1175"/>
        <v/>
      </c>
      <c r="AF1640" s="713" t="str">
        <f t="shared" si="1176"/>
        <v/>
      </c>
      <c r="AG1640" s="713"/>
      <c r="AH1640" s="713"/>
      <c r="AI1640" s="112">
        <f>IF(H1640="credit",0,IF(AE1640="free",0,IF(AE1640="me",0,IF(G1640&gt;0,(VLOOKUP(A1640,'Discount Lookup'!J:K,2)*G1640),0))))</f>
        <v>0</v>
      </c>
      <c r="AJ1640" s="107" t="str">
        <f t="shared" ca="1" si="1177"/>
        <v/>
      </c>
      <c r="AK1640" s="714" t="str">
        <f t="shared" si="1178"/>
        <v/>
      </c>
      <c r="AL1640" s="714"/>
      <c r="AM1640" s="114" t="str">
        <f t="shared" si="1179"/>
        <v/>
      </c>
      <c r="AN1640" s="115"/>
      <c r="AO1640" s="116"/>
      <c r="AP1640" s="116"/>
      <c r="AQ1640" s="116"/>
      <c r="AR1640" s="116"/>
      <c r="AS1640" s="116"/>
      <c r="AT1640" s="116"/>
      <c r="AU1640" s="116"/>
      <c r="AV1640" s="78"/>
      <c r="AW1640" s="102"/>
      <c r="AX1640" s="78"/>
      <c r="AY1640" s="78"/>
      <c r="AZ1640" s="78"/>
      <c r="BA1640" s="78"/>
      <c r="BB1640" s="78"/>
      <c r="BC1640" s="78"/>
      <c r="BD1640" s="78"/>
      <c r="BE1640" s="465"/>
      <c r="BF1640" s="165" t="str">
        <f t="shared" si="1180"/>
        <v>https://www.google.com/search?tbm=isch&amp;q=3%20G1</v>
      </c>
      <c r="BG1640" s="165" t="str">
        <f t="shared" si="1181"/>
        <v>G</v>
      </c>
      <c r="BH1640" s="65"/>
      <c r="BI1640" s="65"/>
      <c r="BJ1640" s="65"/>
      <c r="BK1640" s="65"/>
      <c r="BL1640" s="99"/>
      <c r="BM1640" s="99"/>
      <c r="BN1640" s="99"/>
    </row>
    <row r="1641" spans="1:66" s="51" customFormat="1" ht="15.75" x14ac:dyDescent="0.25">
      <c r="A1641" s="478">
        <v>3</v>
      </c>
      <c r="B1641" s="479" t="s">
        <v>291</v>
      </c>
      <c r="C1641" s="480" t="s">
        <v>2552</v>
      </c>
      <c r="D1641" s="481" t="s">
        <v>309</v>
      </c>
      <c r="E1641" s="482">
        <v>26.95</v>
      </c>
      <c r="F1641" s="483" t="s">
        <v>292</v>
      </c>
      <c r="G1641" s="484">
        <v>0</v>
      </c>
      <c r="H1641" s="688" t="str">
        <f>IF(G1641=0,"",IF(F1641="Buy",IF(G1641=1,"plant","plants"),IF(F1641&gt;0.01,"warranty","Error")))</f>
        <v/>
      </c>
      <c r="I1641" s="485">
        <f>IF(H1641="free",0,IF(H1641="credit",((E1641*(F1641))*G1641*-1),IF(F1641="Buy",(E1641*G1641),((E1641*(1-F1641))*G1641))))</f>
        <v>0</v>
      </c>
      <c r="J1641" s="485">
        <f>IF(H1641="warranty",0,(I1641*(_xlfn.SINGLE(SalesTaxPercentage))))</f>
        <v>0</v>
      </c>
      <c r="K1641" s="715">
        <f t="shared" ref="K1641" si="1190">I1641+J1641</f>
        <v>0</v>
      </c>
      <c r="L1641" s="715"/>
      <c r="M1641" s="689" t="str">
        <f ca="1">IF(AND(G1641&gt;0,E1641=0),"WARNING - no PRICE inserted",IF(H1641="free","FREE ~ no charge this plant",IF(H1641="credit",CONCATENATE("-$",ROUND(K1641*(1-_xlfn.SINGLE(T2GDiscount))*-1,2)," CREDIT after discount"),IF(_xlfn.SINGLE(T2GDiscount)=0,"",IF(G1641=0,"",IF(F1641="Buy",CONCATENATE("$",ROUND(K1641*(1-_xlfn.SINGLE(T2GDiscount)),2)," with ",(_xlfn.SINGLE(T2GDiscount)*100),"% discount"),CONCATENATE("$",ROUND(K1641*(1-_xlfn.SINGLE(T2GDiscount)),2)," with ",((_xlfn.SINGLE(T2GDiscount)*100+F1641*100)-(_xlfn.SINGLE(T2GDiscount)*100*F1641)),IF(F1641&gt;0,"% discounts",IF(_xlfn.SINGLE(NoWarrantyDiscount)&gt;0,"% discounts","% discount")))))))))</f>
        <v/>
      </c>
      <c r="N1641" s="690"/>
      <c r="O1641" s="486"/>
      <c r="P1641" s="486"/>
      <c r="Q1641" s="486"/>
      <c r="R1641" s="486"/>
      <c r="S1641" s="486"/>
      <c r="T1641" s="102">
        <f t="shared" si="1169"/>
        <v>0</v>
      </c>
      <c r="U1641" s="78">
        <f>IF(NOT(ISNUMBER(G1641)), "", VLOOKUP(A1641,'Discount Lookup'!D:E,2,FALSE)*G1641)</f>
        <v>0</v>
      </c>
      <c r="V1641" s="78">
        <f>IF(NOT(ISNUMBER(G1641)), "", VLOOKUP(A1641,'Discount Lookup'!G:H,2,FALSE)*G1641)</f>
        <v>0</v>
      </c>
      <c r="W1641" s="102">
        <f t="shared" si="1170"/>
        <v>0</v>
      </c>
      <c r="X1641" s="102">
        <f t="shared" si="1171"/>
        <v>0</v>
      </c>
      <c r="Y1641" s="120" t="b">
        <f t="shared" si="1172"/>
        <v>0</v>
      </c>
      <c r="Z1641" s="117">
        <f t="shared" si="1173"/>
        <v>0</v>
      </c>
      <c r="AA1641" s="118"/>
      <c r="AB1641" s="118" t="str">
        <f t="shared" si="1174"/>
        <v/>
      </c>
      <c r="AC1641" s="712" t="str">
        <f>IF(AE1641="T2G","no charge",IF(AND(OR(PlanterYesMe="No",PlanterYesMe="N",PlanterYesMe="me"),H1641=""),"",IF(H1641="credit","NO install",IF(AND(K1641="",AE1641="me"),"EACH row",IF(AND(K1641="images",AE1641="me"),"EACH row",IF(D1641="","",IF(H1641="credit","",IF(AE1641="free","re-planting",IF(AE1641="me","   not ELP, by",IF(AND(OR(PlanterYesMe="Yes",PlanterYesMe="Y"),G1641&gt;0),(VLOOKUP(A1641,'Discount Lookup'!J:K,2)*G1641*(1-PlanterDiscount)*(1+PlanterDifficultyPercentage)),IF(AE1641="ELP",(VLOOKUP(A1641,'Discount Lookup'!J:K,2)*G1641*(1-PlanterDiscount)*(1+PlanterDifficultyPercentage)),IF(AE1641="free","re-planting",IF(G1641=0,"",IF(PlanterYesMe="",IF(AE1641="me","   not ELP, by",IF(AE1641="",IF(G1641&gt;0,(VLOOKUP(A1641,'Discount Lookup'!J:K,2)*G1641*(1-PlanterDiscount)*(1+PlanterDifficultyPercentage)),""),"")),"   not ELP, by"))))))))))))))</f>
        <v/>
      </c>
      <c r="AD1641" s="712"/>
      <c r="AE1641" s="513" t="str">
        <f t="shared" si="1175"/>
        <v/>
      </c>
      <c r="AF1641" s="713" t="str">
        <f t="shared" si="1176"/>
        <v/>
      </c>
      <c r="AG1641" s="713"/>
      <c r="AH1641" s="713"/>
      <c r="AI1641" s="112">
        <f>IF(H1641="credit",0,IF(AE1641="free",0,IF(AE1641="me",0,IF(G1641&gt;0,(VLOOKUP(A1641,'Discount Lookup'!J:K,2)*G1641),0))))</f>
        <v>0</v>
      </c>
      <c r="AJ1641" s="107" t="str">
        <f t="shared" ca="1" si="1177"/>
        <v/>
      </c>
      <c r="AK1641" s="714" t="str">
        <f t="shared" si="1178"/>
        <v/>
      </c>
      <c r="AL1641" s="714"/>
      <c r="AM1641" s="114" t="str">
        <f t="shared" si="1179"/>
        <v/>
      </c>
      <c r="AN1641" s="115"/>
      <c r="AO1641" s="116"/>
      <c r="AP1641" s="116"/>
      <c r="AQ1641" s="116"/>
      <c r="AR1641" s="116"/>
      <c r="AS1641" s="116"/>
      <c r="AT1641" s="116"/>
      <c r="AU1641" s="116"/>
      <c r="AV1641" s="78"/>
      <c r="AW1641" s="102"/>
      <c r="AX1641" s="78"/>
      <c r="AY1641" s="78"/>
      <c r="AZ1641" s="78"/>
      <c r="BA1641" s="78"/>
      <c r="BB1641" s="78"/>
      <c r="BC1641" s="78"/>
      <c r="BD1641" s="78"/>
      <c r="BE1641" s="465"/>
      <c r="BF1641" s="165" t="str">
        <f t="shared" si="1180"/>
        <v>https://www.google.com/search?tbm=isch&amp;q=3%20G3</v>
      </c>
      <c r="BG1641" s="165" t="str">
        <f t="shared" si="1181"/>
        <v>G</v>
      </c>
      <c r="BH1641" s="65"/>
      <c r="BI1641" s="65"/>
      <c r="BJ1641" s="65"/>
      <c r="BK1641" s="65"/>
      <c r="BL1641" s="99"/>
      <c r="BM1641" s="99"/>
      <c r="BN1641" s="99"/>
    </row>
    <row r="1642" spans="1:66" s="51" customFormat="1" ht="15.75" x14ac:dyDescent="0.25">
      <c r="A1642" s="478">
        <v>3</v>
      </c>
      <c r="B1642" s="479" t="s">
        <v>291</v>
      </c>
      <c r="C1642" s="480" t="s">
        <v>700</v>
      </c>
      <c r="D1642" s="481" t="s">
        <v>329</v>
      </c>
      <c r="E1642" s="482">
        <v>29.95</v>
      </c>
      <c r="F1642" s="483" t="s">
        <v>292</v>
      </c>
      <c r="G1642" s="484">
        <v>0</v>
      </c>
      <c r="H1642" s="688" t="str">
        <f>IF(G1642=0,"",IF(F1642="Buy",IF(G1642=1,"plant","plants"),IF(F1642&gt;0.01,"warranty","Error")))</f>
        <v/>
      </c>
      <c r="I1642" s="485">
        <f>IF(H1642="free",0,IF(H1642="credit",((E1642*(F1642))*G1642*-1),IF(F1642="Buy",(E1642*G1642),((E1642*(1-F1642))*G1642))))</f>
        <v>0</v>
      </c>
      <c r="J1642" s="485">
        <f>IF(H1642="warranty",0,(I1642*(_xlfn.SINGLE(SalesTaxPercentage))))</f>
        <v>0</v>
      </c>
      <c r="K1642" s="715">
        <f t="shared" ref="K1642" si="1191">I1642+J1642</f>
        <v>0</v>
      </c>
      <c r="L1642" s="715"/>
      <c r="M1642" s="689" t="str">
        <f ca="1">IF(AND(G1642&gt;0,E1642=0),"WARNING - no PRICE inserted",IF(H1642="free","FREE ~ no charge this plant",IF(H1642="credit",CONCATENATE("-$",ROUND(K1642*(1-_xlfn.SINGLE(T2GDiscount))*-1,2)," CREDIT after discount"),IF(_xlfn.SINGLE(T2GDiscount)=0,"",IF(G1642=0,"",IF(F1642="Buy",CONCATENATE("$",ROUND(K1642*(1-_xlfn.SINGLE(T2GDiscount)),2)," with ",(_xlfn.SINGLE(T2GDiscount)*100),"% discount"),CONCATENATE("$",ROUND(K1642*(1-_xlfn.SINGLE(T2GDiscount)),2)," with ",((_xlfn.SINGLE(T2GDiscount)*100+F1642*100)-(_xlfn.SINGLE(T2GDiscount)*100*F1642)),IF(F1642&gt;0,"% discounts",IF(_xlfn.SINGLE(NoWarrantyDiscount)&gt;0,"% discounts","% discount")))))))))</f>
        <v/>
      </c>
      <c r="N1642" s="690"/>
      <c r="O1642" s="486"/>
      <c r="P1642" s="486"/>
      <c r="Q1642" s="486"/>
      <c r="R1642" s="486"/>
      <c r="S1642" s="486"/>
      <c r="T1642" s="102">
        <f t="shared" si="1169"/>
        <v>0</v>
      </c>
      <c r="U1642" s="78">
        <f>IF(NOT(ISNUMBER(G1642)), "", VLOOKUP(A1642,'Discount Lookup'!D:E,2,FALSE)*G1642)</f>
        <v>0</v>
      </c>
      <c r="V1642" s="78">
        <f>IF(NOT(ISNUMBER(G1642)), "", VLOOKUP(A1642,'Discount Lookup'!G:H,2,FALSE)*G1642)</f>
        <v>0</v>
      </c>
      <c r="W1642" s="102">
        <f t="shared" si="1170"/>
        <v>0</v>
      </c>
      <c r="X1642" s="102">
        <f t="shared" si="1171"/>
        <v>0</v>
      </c>
      <c r="Y1642" s="120" t="b">
        <f t="shared" si="1172"/>
        <v>0</v>
      </c>
      <c r="Z1642" s="117">
        <f t="shared" si="1173"/>
        <v>0</v>
      </c>
      <c r="AA1642" s="118"/>
      <c r="AB1642" s="118" t="str">
        <f t="shared" si="1174"/>
        <v/>
      </c>
      <c r="AC1642" s="712" t="str">
        <f>IF(AE1642="T2G","no charge",IF(AND(OR(PlanterYesMe="No",PlanterYesMe="N",PlanterYesMe="me"),H1642=""),"",IF(H1642="credit","NO install",IF(AND(K1642="",AE1642="me"),"EACH row",IF(AND(K1642="images",AE1642="me"),"EACH row",IF(D1642="","",IF(H1642="credit","",IF(AE1642="free","re-planting",IF(AE1642="me","   not ELP, by",IF(AND(OR(PlanterYesMe="Yes",PlanterYesMe="Y"),G1642&gt;0),(VLOOKUP(A1642,'Discount Lookup'!J:K,2)*G1642*(1-PlanterDiscount)*(1+PlanterDifficultyPercentage)),IF(AE1642="ELP",(VLOOKUP(A1642,'Discount Lookup'!J:K,2)*G1642*(1-PlanterDiscount)*(1+PlanterDifficultyPercentage)),IF(AE1642="free","re-planting",IF(G1642=0,"",IF(PlanterYesMe="",IF(AE1642="me","   not ELP, by",IF(AE1642="",IF(G1642&gt;0,(VLOOKUP(A1642,'Discount Lookup'!J:K,2)*G1642*(1-PlanterDiscount)*(1+PlanterDifficultyPercentage)),""),"")),"   not ELP, by"))))))))))))))</f>
        <v/>
      </c>
      <c r="AD1642" s="712"/>
      <c r="AE1642" s="513" t="str">
        <f t="shared" si="1175"/>
        <v/>
      </c>
      <c r="AF1642" s="713" t="str">
        <f t="shared" si="1176"/>
        <v/>
      </c>
      <c r="AG1642" s="713"/>
      <c r="AH1642" s="713"/>
      <c r="AI1642" s="112">
        <f>IF(H1642="credit",0,IF(AE1642="free",0,IF(AE1642="me",0,IF(G1642&gt;0,(VLOOKUP(A1642,'Discount Lookup'!J:K,2)*G1642),0))))</f>
        <v>0</v>
      </c>
      <c r="AJ1642" s="107" t="str">
        <f t="shared" ca="1" si="1177"/>
        <v/>
      </c>
      <c r="AK1642" s="714" t="str">
        <f t="shared" si="1178"/>
        <v/>
      </c>
      <c r="AL1642" s="714"/>
      <c r="AM1642" s="114" t="str">
        <f t="shared" si="1179"/>
        <v/>
      </c>
      <c r="AN1642" s="115"/>
      <c r="AO1642" s="116"/>
      <c r="AP1642" s="116"/>
      <c r="AQ1642" s="116"/>
      <c r="AR1642" s="116"/>
      <c r="AS1642" s="116"/>
      <c r="AT1642" s="116"/>
      <c r="AU1642" s="116"/>
      <c r="AV1642" s="78"/>
      <c r="AW1642" s="102"/>
      <c r="AX1642" s="78"/>
      <c r="AY1642" s="78"/>
      <c r="AZ1642" s="78"/>
      <c r="BA1642" s="78"/>
      <c r="BB1642" s="78"/>
      <c r="BC1642" s="78"/>
      <c r="BD1642" s="78"/>
      <c r="BE1642" s="465"/>
      <c r="BF1642" s="165" t="str">
        <f t="shared" si="1180"/>
        <v>https://www.google.com/search?tbm=isch&amp;q=3%20G2</v>
      </c>
      <c r="BG1642" s="165" t="str">
        <f t="shared" si="1181"/>
        <v>G</v>
      </c>
      <c r="BH1642" s="65"/>
      <c r="BI1642" s="65"/>
      <c r="BJ1642" s="65"/>
      <c r="BK1642" s="65"/>
      <c r="BL1642" s="99"/>
      <c r="BM1642" s="99"/>
      <c r="BN1642" s="99"/>
    </row>
    <row r="1643" spans="1:66" s="51" customFormat="1" ht="17.25" thickBot="1" x14ac:dyDescent="0.3">
      <c r="A1643" s="508" t="s">
        <v>2553</v>
      </c>
      <c r="B1643" s="487"/>
      <c r="C1643" s="707"/>
      <c r="D1643" s="487"/>
      <c r="E1643" s="487"/>
      <c r="F1643" s="488"/>
      <c r="G1643" s="489"/>
      <c r="H1643" s="487"/>
      <c r="I1643" s="490"/>
      <c r="J1643" s="490"/>
      <c r="K1643" s="491"/>
      <c r="L1643" s="547"/>
      <c r="M1643" s="528"/>
      <c r="N1643" s="492"/>
      <c r="O1643" s="493"/>
      <c r="P1643" s="494"/>
      <c r="Q1643" s="492"/>
      <c r="R1643" s="492"/>
      <c r="S1643" s="699" t="s">
        <v>5275</v>
      </c>
      <c r="T1643" s="102">
        <f t="shared" si="1169"/>
        <v>0</v>
      </c>
      <c r="U1643" s="78" t="str">
        <f>IF(NOT(ISNUMBER(G1643)), "", VLOOKUP(A1643,'Discount Lookup'!D:E,2,FALSE)*G1643)</f>
        <v/>
      </c>
      <c r="V1643" s="78" t="str">
        <f>IF(NOT(ISNUMBER(G1643)), "", VLOOKUP(A1643,'Discount Lookup'!G:H,2,FALSE)*G1643)</f>
        <v/>
      </c>
      <c r="W1643" s="102">
        <f t="shared" si="1170"/>
        <v>0</v>
      </c>
      <c r="X1643" s="102">
        <f t="shared" si="1171"/>
        <v>0</v>
      </c>
      <c r="Y1643" s="120" t="b">
        <f t="shared" si="1172"/>
        <v>0</v>
      </c>
      <c r="Z1643" s="117">
        <f t="shared" si="1173"/>
        <v>0</v>
      </c>
      <c r="AA1643" s="118"/>
      <c r="AB1643" s="118" t="str">
        <f t="shared" si="1174"/>
        <v/>
      </c>
      <c r="AC1643" s="712" t="str">
        <f>IF(AE1643="T2G","no charge",IF(AND(OR(PlanterYesMe="No",PlanterYesMe="N",PlanterYesMe="me"),H1643=""),"",IF(H1643="credit","NO install",IF(AND(K1643="",AE1643="me"),"EACH row",IF(AND(K1643="images",AE1643="me"),"EACH row",IF(D1643="","",IF(H1643="credit","",IF(AE1643="free","re-planting",IF(AE1643="me","   not ELP, by",IF(AND(OR(PlanterYesMe="Yes",PlanterYesMe="Y"),G1643&gt;0),(VLOOKUP(A1643,'Discount Lookup'!J:K,2)*G1643*(1-PlanterDiscount)*(1+PlanterDifficultyPercentage)),IF(AE1643="ELP",(VLOOKUP(A1643,'Discount Lookup'!J:K,2)*G1643*(1-PlanterDiscount)*(1+PlanterDifficultyPercentage)),IF(AE1643="free","re-planting",IF(G1643=0,"",IF(PlanterYesMe="",IF(AE1643="me","   not ELP, by",IF(AE1643="",IF(G1643&gt;0,(VLOOKUP(A1643,'Discount Lookup'!J:K,2)*G1643*(1-PlanterDiscount)*(1+PlanterDifficultyPercentage)),""),"")),"   not ELP, by"))))))))))))))</f>
        <v/>
      </c>
      <c r="AD1643" s="712"/>
      <c r="AE1643" s="513" t="str">
        <f t="shared" si="1175"/>
        <v/>
      </c>
      <c r="AF1643" s="713" t="str">
        <f t="shared" si="1176"/>
        <v/>
      </c>
      <c r="AG1643" s="713"/>
      <c r="AH1643" s="713"/>
      <c r="AI1643" s="112">
        <f>IF(H1643="credit",0,IF(AE1643="free",0,IF(AE1643="me",0,IF(G1643&gt;0,(VLOOKUP(A1643,'Discount Lookup'!J:K,2)*G1643),0))))</f>
        <v>0</v>
      </c>
      <c r="AJ1643" s="107" t="str">
        <f t="shared" ca="1" si="1177"/>
        <v/>
      </c>
      <c r="AK1643" s="714" t="str">
        <f t="shared" si="1178"/>
        <v/>
      </c>
      <c r="AL1643" s="714"/>
      <c r="AM1643" s="114" t="str">
        <f t="shared" si="1179"/>
        <v/>
      </c>
      <c r="AN1643" s="115"/>
      <c r="AO1643" s="116"/>
      <c r="AP1643" s="116"/>
      <c r="AQ1643" s="116"/>
      <c r="AR1643" s="116"/>
      <c r="AS1643" s="116"/>
      <c r="AT1643" s="116"/>
      <c r="AU1643" s="116"/>
      <c r="AV1643" s="78"/>
      <c r="AW1643" s="102"/>
      <c r="AX1643" s="78"/>
      <c r="AY1643" s="78"/>
      <c r="AZ1643" s="78"/>
      <c r="BA1643" s="78"/>
      <c r="BB1643" s="78"/>
      <c r="BC1643" s="78"/>
      <c r="BD1643" s="78"/>
      <c r="BE1643" s="465"/>
      <c r="BF1643" s="165" t="str">
        <f t="shared" si="1180"/>
        <v>https://www.google.com/search?tbm=isch&amp;q=August%20Beauty%20is%20named%20for%20it%27s%203-month%20bloom%20cycle%2C%20reaching%20into%20August.%20Fragrant%20</v>
      </c>
      <c r="BG1643" s="165" t="str">
        <f t="shared" si="1181"/>
        <v>A</v>
      </c>
      <c r="BH1643" s="65"/>
      <c r="BI1643" s="65"/>
      <c r="BJ1643" s="65"/>
      <c r="BK1643" s="65"/>
      <c r="BL1643" s="99"/>
      <c r="BM1643" s="99"/>
      <c r="BN1643" s="99"/>
    </row>
    <row r="1644" spans="1:66" s="51" customFormat="1" ht="18" x14ac:dyDescent="0.25">
      <c r="A1644" s="507" t="s">
        <v>2554</v>
      </c>
      <c r="B1644" s="470"/>
      <c r="C1644" s="706"/>
      <c r="D1644" s="471" t="s">
        <v>5881</v>
      </c>
      <c r="E1644" s="472"/>
      <c r="F1644" s="472"/>
      <c r="G1644" s="472"/>
      <c r="H1644" s="622" t="s">
        <v>1104</v>
      </c>
      <c r="I1644" s="473" t="s">
        <v>349</v>
      </c>
      <c r="J1644" s="472"/>
      <c r="K1644" s="472"/>
      <c r="L1644" s="561"/>
      <c r="M1644" s="703" t="s">
        <v>5260</v>
      </c>
      <c r="N1644" s="692" t="str">
        <f>IF(AND(ISTEXT($A1644), ISERROR($A1644+0)), HYPERLINK($BF1644, "Images"), "")</f>
        <v>Images</v>
      </c>
      <c r="O1644" s="694" t="s">
        <v>5247</v>
      </c>
      <c r="P1644" s="475"/>
      <c r="Q1644" s="476"/>
      <c r="R1644" s="476"/>
      <c r="S1644" s="477"/>
      <c r="T1644" s="102">
        <f t="shared" si="1169"/>
        <v>0</v>
      </c>
      <c r="U1644" s="78" t="str">
        <f>IF(NOT(ISNUMBER(G1644)), "", VLOOKUP(A1644,'Discount Lookup'!D:E,2,FALSE)*G1644)</f>
        <v/>
      </c>
      <c r="V1644" s="78" t="str">
        <f>IF(NOT(ISNUMBER(G1644)), "", VLOOKUP(A1644,'Discount Lookup'!G:H,2,FALSE)*G1644)</f>
        <v/>
      </c>
      <c r="W1644" s="102">
        <f t="shared" si="1170"/>
        <v>0</v>
      </c>
      <c r="X1644" s="102" t="str">
        <f t="shared" si="1171"/>
        <v>White bloom</v>
      </c>
      <c r="Y1644" s="120" t="b">
        <f t="shared" si="1172"/>
        <v>0</v>
      </c>
      <c r="Z1644" s="117">
        <f t="shared" si="1173"/>
        <v>0</v>
      </c>
      <c r="AA1644" s="118"/>
      <c r="AB1644" s="118" t="str">
        <f t="shared" si="1174"/>
        <v/>
      </c>
      <c r="AC1644" s="712" t="str">
        <f>IF(AE1644="T2G","no charge",IF(AND(OR(PlanterYesMe="No",PlanterYesMe="N",PlanterYesMe="me"),H1644=""),"",IF(H1644="credit","NO install",IF(AND(K1644="",AE1644="me"),"EACH row",IF(AND(K1644="images",AE1644="me"),"EACH row",IF(D1644="","",IF(H1644="credit","",IF(AE1644="free","re-planting",IF(AE1644="me","   not ELP, by",IF(AND(OR(PlanterYesMe="Yes",PlanterYesMe="Y"),G1644&gt;0),(VLOOKUP(A1644,'Discount Lookup'!J:K,2)*G1644*(1-PlanterDiscount)*(1+PlanterDifficultyPercentage)),IF(AE1644="ELP",(VLOOKUP(A1644,'Discount Lookup'!J:K,2)*G1644*(1-PlanterDiscount)*(1+PlanterDifficultyPercentage)),IF(AE1644="free","re-planting",IF(G1644=0,"",IF(PlanterYesMe="",IF(AE1644="me","   not ELP, by",IF(AE1644="",IF(G1644&gt;0,(VLOOKUP(A1644,'Discount Lookup'!J:K,2)*G1644*(1-PlanterDiscount)*(1+PlanterDifficultyPercentage)),""),"")),"   not ELP, by"))))))))))))))</f>
        <v/>
      </c>
      <c r="AD1644" s="712"/>
      <c r="AE1644" s="513" t="str">
        <f t="shared" si="1175"/>
        <v/>
      </c>
      <c r="AF1644" s="713" t="str">
        <f t="shared" si="1176"/>
        <v/>
      </c>
      <c r="AG1644" s="713"/>
      <c r="AH1644" s="713"/>
      <c r="AI1644" s="112">
        <f>IF(H1644="credit",0,IF(AE1644="free",0,IF(AE1644="me",0,IF(G1644&gt;0,(VLOOKUP(A1644,'Discount Lookup'!J:K,2)*G1644),0))))</f>
        <v>0</v>
      </c>
      <c r="AJ1644" s="107" t="str">
        <f t="shared" ca="1" si="1177"/>
        <v/>
      </c>
      <c r="AK1644" s="714" t="str">
        <f t="shared" si="1178"/>
        <v/>
      </c>
      <c r="AL1644" s="714"/>
      <c r="AM1644" s="114" t="str">
        <f t="shared" si="1179"/>
        <v/>
      </c>
      <c r="AN1644" s="115"/>
      <c r="AO1644" s="116"/>
      <c r="AP1644" s="116"/>
      <c r="AQ1644" s="116"/>
      <c r="AR1644" s="116"/>
      <c r="AS1644" s="116"/>
      <c r="AT1644" s="116"/>
      <c r="AU1644" s="116"/>
      <c r="AV1644" s="78"/>
      <c r="AW1644" s="102"/>
      <c r="AX1644" s="78"/>
      <c r="AY1644" s="78"/>
      <c r="AZ1644" s="78"/>
      <c r="BA1644" s="78"/>
      <c r="BB1644" s="78"/>
      <c r="BC1644" s="78"/>
      <c r="BD1644" s="78"/>
      <c r="BE1644" s="465"/>
      <c r="BF1644" s="165" t="str">
        <f t="shared" si="1180"/>
        <v>https://www.google.com/search?tbm=isch&amp;q=Gardenia%20jasminoides%20%27Double%20Mint%27%20PP%2323507%20Double%20Mint%E2%84%A2%20Gardenia%20%28FE%C2%AE%29</v>
      </c>
      <c r="BG1644" s="165" t="str">
        <f t="shared" si="1181"/>
        <v>G</v>
      </c>
      <c r="BH1644" s="65"/>
      <c r="BI1644" s="65"/>
      <c r="BJ1644" s="65"/>
      <c r="BK1644" s="65"/>
      <c r="BL1644" s="99"/>
      <c r="BM1644" s="99"/>
      <c r="BN1644" s="99"/>
    </row>
    <row r="1645" spans="1:66" s="51" customFormat="1" ht="15.75" x14ac:dyDescent="0.25">
      <c r="A1645" s="478">
        <v>3</v>
      </c>
      <c r="B1645" s="479" t="s">
        <v>291</v>
      </c>
      <c r="C1645" s="480"/>
      <c r="D1645" s="481" t="s">
        <v>310</v>
      </c>
      <c r="E1645" s="482">
        <v>30.95</v>
      </c>
      <c r="F1645" s="483" t="s">
        <v>292</v>
      </c>
      <c r="G1645" s="484">
        <v>0</v>
      </c>
      <c r="H1645" s="688" t="str">
        <f>IF(G1645=0,"",IF(F1645="Buy",IF(G1645=1,"plant","plants"),IF(F1645&gt;0.01,"warranty","Error")))</f>
        <v/>
      </c>
      <c r="I1645" s="485">
        <f>IF(H1645="free",0,IF(H1645="credit",((E1645*(F1645))*G1645*-1),IF(F1645="Buy",(E1645*G1645),((E1645*(1-F1645))*G1645))))</f>
        <v>0</v>
      </c>
      <c r="J1645" s="485">
        <f>IF(H1645="warranty",0,(I1645*(_xlfn.SINGLE(SalesTaxPercentage))))</f>
        <v>0</v>
      </c>
      <c r="K1645" s="715">
        <f t="shared" ref="K1645" si="1192">I1645+J1645</f>
        <v>0</v>
      </c>
      <c r="L1645" s="715"/>
      <c r="M1645" s="689" t="str">
        <f ca="1">IF(AND(G1645&gt;0,E1645=0),"WARNING - no PRICE inserted",IF(H1645="free","FREE ~ no charge this plant",IF(H1645="credit",CONCATENATE("-$",ROUND(K1645*(1-_xlfn.SINGLE(T2GDiscount))*-1,2)," CREDIT after discount"),IF(_xlfn.SINGLE(T2GDiscount)=0,"",IF(G1645=0,"",IF(F1645="Buy",CONCATENATE("$",ROUND(K1645*(1-_xlfn.SINGLE(T2GDiscount)),2)," with ",(_xlfn.SINGLE(T2GDiscount)*100),"% discount"),CONCATENATE("$",ROUND(K1645*(1-_xlfn.SINGLE(T2GDiscount)),2)," with ",((_xlfn.SINGLE(T2GDiscount)*100+F1645*100)-(_xlfn.SINGLE(T2GDiscount)*100*F1645)),IF(F1645&gt;0,"% discounts",IF(_xlfn.SINGLE(NoWarrantyDiscount)&gt;0,"% discounts","% discount")))))))))</f>
        <v/>
      </c>
      <c r="N1645" s="690"/>
      <c r="O1645" s="486"/>
      <c r="P1645" s="486"/>
      <c r="Q1645" s="486"/>
      <c r="R1645" s="486"/>
      <c r="S1645" s="486"/>
      <c r="T1645" s="102">
        <f t="shared" si="1169"/>
        <v>0</v>
      </c>
      <c r="U1645" s="78">
        <f>IF(NOT(ISNUMBER(G1645)), "", VLOOKUP(A1645,'Discount Lookup'!D:E,2,FALSE)*G1645)</f>
        <v>0</v>
      </c>
      <c r="V1645" s="78">
        <f>IF(NOT(ISNUMBER(G1645)), "", VLOOKUP(A1645,'Discount Lookup'!G:H,2,FALSE)*G1645)</f>
        <v>0</v>
      </c>
      <c r="W1645" s="102">
        <f t="shared" si="1170"/>
        <v>0</v>
      </c>
      <c r="X1645" s="102">
        <f t="shared" si="1171"/>
        <v>0</v>
      </c>
      <c r="Y1645" s="120" t="b">
        <f t="shared" si="1172"/>
        <v>0</v>
      </c>
      <c r="Z1645" s="117">
        <f t="shared" si="1173"/>
        <v>0</v>
      </c>
      <c r="AA1645" s="118"/>
      <c r="AB1645" s="118" t="str">
        <f t="shared" si="1174"/>
        <v/>
      </c>
      <c r="AC1645" s="712" t="str">
        <f>IF(AE1645="T2G","no charge",IF(AND(OR(PlanterYesMe="No",PlanterYesMe="N",PlanterYesMe="me"),H1645=""),"",IF(H1645="credit","NO install",IF(AND(K1645="",AE1645="me"),"EACH row",IF(AND(K1645="images",AE1645="me"),"EACH row",IF(D1645="","",IF(H1645="credit","",IF(AE1645="free","re-planting",IF(AE1645="me","   not ELP, by",IF(AND(OR(PlanterYesMe="Yes",PlanterYesMe="Y"),G1645&gt;0),(VLOOKUP(A1645,'Discount Lookup'!J:K,2)*G1645*(1-PlanterDiscount)*(1+PlanterDifficultyPercentage)),IF(AE1645="ELP",(VLOOKUP(A1645,'Discount Lookup'!J:K,2)*G1645*(1-PlanterDiscount)*(1+PlanterDifficultyPercentage)),IF(AE1645="free","re-planting",IF(G1645=0,"",IF(PlanterYesMe="",IF(AE1645="me","   not ELP, by",IF(AE1645="",IF(G1645&gt;0,(VLOOKUP(A1645,'Discount Lookup'!J:K,2)*G1645*(1-PlanterDiscount)*(1+PlanterDifficultyPercentage)),""),"")),"   not ELP, by"))))))))))))))</f>
        <v/>
      </c>
      <c r="AD1645" s="712"/>
      <c r="AE1645" s="513" t="str">
        <f t="shared" si="1175"/>
        <v/>
      </c>
      <c r="AF1645" s="713" t="str">
        <f t="shared" si="1176"/>
        <v/>
      </c>
      <c r="AG1645" s="713"/>
      <c r="AH1645" s="713"/>
      <c r="AI1645" s="112">
        <f>IF(H1645="credit",0,IF(AE1645="free",0,IF(AE1645="me",0,IF(G1645&gt;0,(VLOOKUP(A1645,'Discount Lookup'!J:K,2)*G1645),0))))</f>
        <v>0</v>
      </c>
      <c r="AJ1645" s="107" t="str">
        <f t="shared" ca="1" si="1177"/>
        <v/>
      </c>
      <c r="AK1645" s="714" t="str">
        <f t="shared" si="1178"/>
        <v/>
      </c>
      <c r="AL1645" s="714"/>
      <c r="AM1645" s="114" t="str">
        <f t="shared" si="1179"/>
        <v/>
      </c>
      <c r="AN1645" s="115"/>
      <c r="AO1645" s="116"/>
      <c r="AP1645" s="116"/>
      <c r="AQ1645" s="116"/>
      <c r="AR1645" s="116"/>
      <c r="AS1645" s="116"/>
      <c r="AT1645" s="116"/>
      <c r="AU1645" s="116"/>
      <c r="AV1645" s="78"/>
      <c r="AW1645" s="102"/>
      <c r="AX1645" s="78"/>
      <c r="AY1645" s="78"/>
      <c r="AZ1645" s="78"/>
      <c r="BA1645" s="78"/>
      <c r="BB1645" s="78"/>
      <c r="BC1645" s="78"/>
      <c r="BD1645" s="78"/>
      <c r="BE1645" s="465"/>
      <c r="BF1645" s="165" t="str">
        <f t="shared" si="1180"/>
        <v>https://www.google.com/search?tbm=isch&amp;q=3%20G1</v>
      </c>
      <c r="BG1645" s="165" t="str">
        <f t="shared" si="1181"/>
        <v>G</v>
      </c>
      <c r="BH1645" s="65"/>
      <c r="BI1645" s="65"/>
      <c r="BJ1645" s="65"/>
      <c r="BK1645" s="65"/>
      <c r="BL1645" s="99"/>
      <c r="BM1645" s="99"/>
      <c r="BN1645" s="99"/>
    </row>
    <row r="1646" spans="1:66" s="51" customFormat="1" ht="17.25" thickBot="1" x14ac:dyDescent="0.3">
      <c r="A1646" s="508" t="s">
        <v>4728</v>
      </c>
      <c r="B1646" s="487"/>
      <c r="C1646" s="707"/>
      <c r="D1646" s="487"/>
      <c r="E1646" s="487"/>
      <c r="F1646" s="488"/>
      <c r="G1646" s="489"/>
      <c r="H1646" s="487"/>
      <c r="I1646" s="490"/>
      <c r="J1646" s="490"/>
      <c r="K1646" s="491"/>
      <c r="L1646" s="547"/>
      <c r="M1646" s="528"/>
      <c r="N1646" s="492"/>
      <c r="O1646" s="493"/>
      <c r="P1646" s="494"/>
      <c r="Q1646" s="492"/>
      <c r="R1646" s="492"/>
      <c r="S1646" s="699" t="s">
        <v>5276</v>
      </c>
      <c r="T1646" s="102">
        <f t="shared" si="1169"/>
        <v>0</v>
      </c>
      <c r="U1646" s="78" t="str">
        <f>IF(NOT(ISNUMBER(G1646)), "", VLOOKUP(A1646,'Discount Lookup'!D:E,2,FALSE)*G1646)</f>
        <v/>
      </c>
      <c r="V1646" s="78" t="str">
        <f>IF(NOT(ISNUMBER(G1646)), "", VLOOKUP(A1646,'Discount Lookup'!G:H,2,FALSE)*G1646)</f>
        <v/>
      </c>
      <c r="W1646" s="102">
        <f t="shared" si="1170"/>
        <v>0</v>
      </c>
      <c r="X1646" s="102">
        <f t="shared" si="1171"/>
        <v>0</v>
      </c>
      <c r="Y1646" s="120" t="b">
        <f t="shared" si="1172"/>
        <v>0</v>
      </c>
      <c r="Z1646" s="117">
        <f t="shared" si="1173"/>
        <v>0</v>
      </c>
      <c r="AA1646" s="118"/>
      <c r="AB1646" s="118" t="str">
        <f t="shared" si="1174"/>
        <v/>
      </c>
      <c r="AC1646" s="712" t="str">
        <f>IF(AE1646="T2G","no charge",IF(AND(OR(PlanterYesMe="No",PlanterYesMe="N",PlanterYesMe="me"),H1646=""),"",IF(H1646="credit","NO install",IF(AND(K1646="",AE1646="me"),"EACH row",IF(AND(K1646="images",AE1646="me"),"EACH row",IF(D1646="","",IF(H1646="credit","",IF(AE1646="free","re-planting",IF(AE1646="me","   not ELP, by",IF(AND(OR(PlanterYesMe="Yes",PlanterYesMe="Y"),G1646&gt;0),(VLOOKUP(A1646,'Discount Lookup'!J:K,2)*G1646*(1-PlanterDiscount)*(1+PlanterDifficultyPercentage)),IF(AE1646="ELP",(VLOOKUP(A1646,'Discount Lookup'!J:K,2)*G1646*(1-PlanterDiscount)*(1+PlanterDifficultyPercentage)),IF(AE1646="free","re-planting",IF(G1646=0,"",IF(PlanterYesMe="",IF(AE1646="me","   not ELP, by",IF(AE1646="",IF(G1646&gt;0,(VLOOKUP(A1646,'Discount Lookup'!J:K,2)*G1646*(1-PlanterDiscount)*(1+PlanterDifficultyPercentage)),""),"")),"   not ELP, by"))))))))))))))</f>
        <v/>
      </c>
      <c r="AD1646" s="712"/>
      <c r="AE1646" s="513" t="str">
        <f t="shared" si="1175"/>
        <v/>
      </c>
      <c r="AF1646" s="713" t="str">
        <f t="shared" si="1176"/>
        <v/>
      </c>
      <c r="AG1646" s="713"/>
      <c r="AH1646" s="713"/>
      <c r="AI1646" s="112">
        <f>IF(H1646="credit",0,IF(AE1646="free",0,IF(AE1646="me",0,IF(G1646&gt;0,(VLOOKUP(A1646,'Discount Lookup'!J:K,2)*G1646),0))))</f>
        <v>0</v>
      </c>
      <c r="AJ1646" s="107" t="str">
        <f t="shared" ca="1" si="1177"/>
        <v/>
      </c>
      <c r="AK1646" s="714" t="str">
        <f t="shared" si="1178"/>
        <v/>
      </c>
      <c r="AL1646" s="714"/>
      <c r="AM1646" s="114" t="str">
        <f t="shared" si="1179"/>
        <v/>
      </c>
      <c r="AN1646" s="115"/>
      <c r="AO1646" s="116"/>
      <c r="AP1646" s="116"/>
      <c r="AQ1646" s="116"/>
      <c r="AR1646" s="116"/>
      <c r="AS1646" s="116"/>
      <c r="AT1646" s="116"/>
      <c r="AU1646" s="116"/>
      <c r="AV1646" s="78"/>
      <c r="AW1646" s="102"/>
      <c r="AX1646" s="78"/>
      <c r="AY1646" s="78"/>
      <c r="AZ1646" s="78"/>
      <c r="BA1646" s="78"/>
      <c r="BB1646" s="78"/>
      <c r="BC1646" s="78"/>
      <c r="BD1646" s="78"/>
      <c r="BE1646" s="465"/>
      <c r="BF1646" s="165" t="str">
        <f t="shared" si="1180"/>
        <v>https://www.google.com/search?tbm=isch&amp;q=Double%20Mint%20is%20a%20rebloomer%2C%20delivering%20waves%20of%20highly%20fragrant%2C%20double%20flowers%20from%20spring%20through%20fall.%20Glossy%20Dark%20Green%20foliage%20</v>
      </c>
      <c r="BG1646" s="165" t="str">
        <f t="shared" si="1181"/>
        <v>D</v>
      </c>
      <c r="BH1646" s="65"/>
      <c r="BI1646" s="65"/>
      <c r="BJ1646" s="65"/>
      <c r="BK1646" s="65"/>
      <c r="BL1646" s="99"/>
      <c r="BM1646" s="99"/>
      <c r="BN1646" s="99"/>
    </row>
    <row r="1647" spans="1:66" s="51" customFormat="1" ht="18" x14ac:dyDescent="0.25">
      <c r="A1647" s="507" t="s">
        <v>2555</v>
      </c>
      <c r="B1647" s="470"/>
      <c r="C1647" s="706"/>
      <c r="D1647" s="471" t="s">
        <v>2556</v>
      </c>
      <c r="E1647" s="472"/>
      <c r="F1647" s="472"/>
      <c r="G1647" s="472"/>
      <c r="H1647" s="622" t="s">
        <v>1082</v>
      </c>
      <c r="I1647" s="473" t="s">
        <v>349</v>
      </c>
      <c r="J1647" s="472"/>
      <c r="K1647" s="472"/>
      <c r="L1647" s="561"/>
      <c r="M1647" s="698" t="s">
        <v>5246</v>
      </c>
      <c r="N1647" s="692" t="str">
        <f>IF(AND(ISTEXT($A1647), ISERROR($A1647+0)), HYPERLINK($BF1647, "Images"), "")</f>
        <v>Images</v>
      </c>
      <c r="O1647" s="694" t="s">
        <v>5247</v>
      </c>
      <c r="P1647" s="475"/>
      <c r="Q1647" s="476"/>
      <c r="R1647" s="476"/>
      <c r="S1647" s="477"/>
      <c r="T1647" s="102">
        <f t="shared" si="1169"/>
        <v>0</v>
      </c>
      <c r="U1647" s="78" t="str">
        <f>IF(NOT(ISNUMBER(G1647)), "", VLOOKUP(A1647,'Discount Lookup'!D:E,2,FALSE)*G1647)</f>
        <v/>
      </c>
      <c r="V1647" s="78" t="str">
        <f>IF(NOT(ISNUMBER(G1647)), "", VLOOKUP(A1647,'Discount Lookup'!G:H,2,FALSE)*G1647)</f>
        <v/>
      </c>
      <c r="W1647" s="102">
        <f t="shared" si="1170"/>
        <v>0</v>
      </c>
      <c r="X1647" s="102" t="str">
        <f t="shared" si="1171"/>
        <v>White bloom</v>
      </c>
      <c r="Y1647" s="120" t="b">
        <f t="shared" si="1172"/>
        <v>0</v>
      </c>
      <c r="Z1647" s="117">
        <f t="shared" si="1173"/>
        <v>0</v>
      </c>
      <c r="AA1647" s="118"/>
      <c r="AB1647" s="118" t="str">
        <f t="shared" si="1174"/>
        <v/>
      </c>
      <c r="AC1647" s="712" t="str">
        <f>IF(AE1647="T2G","no charge",IF(AND(OR(PlanterYesMe="No",PlanterYesMe="N",PlanterYesMe="me"),H1647=""),"",IF(H1647="credit","NO install",IF(AND(K1647="",AE1647="me"),"EACH row",IF(AND(K1647="images",AE1647="me"),"EACH row",IF(D1647="","",IF(H1647="credit","",IF(AE1647="free","re-planting",IF(AE1647="me","   not ELP, by",IF(AND(OR(PlanterYesMe="Yes",PlanterYesMe="Y"),G1647&gt;0),(VLOOKUP(A1647,'Discount Lookup'!J:K,2)*G1647*(1-PlanterDiscount)*(1+PlanterDifficultyPercentage)),IF(AE1647="ELP",(VLOOKUP(A1647,'Discount Lookup'!J:K,2)*G1647*(1-PlanterDiscount)*(1+PlanterDifficultyPercentage)),IF(AE1647="free","re-planting",IF(G1647=0,"",IF(PlanterYesMe="",IF(AE1647="me","   not ELP, by",IF(AE1647="",IF(G1647&gt;0,(VLOOKUP(A1647,'Discount Lookup'!J:K,2)*G1647*(1-PlanterDiscount)*(1+PlanterDifficultyPercentage)),""),"")),"   not ELP, by"))))))))))))))</f>
        <v/>
      </c>
      <c r="AD1647" s="712"/>
      <c r="AE1647" s="513" t="str">
        <f t="shared" si="1175"/>
        <v/>
      </c>
      <c r="AF1647" s="713" t="str">
        <f t="shared" si="1176"/>
        <v/>
      </c>
      <c r="AG1647" s="713"/>
      <c r="AH1647" s="713"/>
      <c r="AI1647" s="112">
        <f>IF(H1647="credit",0,IF(AE1647="free",0,IF(AE1647="me",0,IF(G1647&gt;0,(VLOOKUP(A1647,'Discount Lookup'!J:K,2)*G1647),0))))</f>
        <v>0</v>
      </c>
      <c r="AJ1647" s="107" t="str">
        <f t="shared" ca="1" si="1177"/>
        <v/>
      </c>
      <c r="AK1647" s="714" t="str">
        <f t="shared" si="1178"/>
        <v/>
      </c>
      <c r="AL1647" s="714"/>
      <c r="AM1647" s="114" t="str">
        <f t="shared" si="1179"/>
        <v/>
      </c>
      <c r="AN1647" s="115"/>
      <c r="AO1647" s="116"/>
      <c r="AP1647" s="116"/>
      <c r="AQ1647" s="116"/>
      <c r="AR1647" s="116"/>
      <c r="AS1647" s="116"/>
      <c r="AT1647" s="116"/>
      <c r="AU1647" s="116"/>
      <c r="AV1647" s="78"/>
      <c r="AW1647" s="102"/>
      <c r="AX1647" s="78"/>
      <c r="AY1647" s="78"/>
      <c r="AZ1647" s="78"/>
      <c r="BA1647" s="78"/>
      <c r="BB1647" s="78"/>
      <c r="BC1647" s="78"/>
      <c r="BD1647" s="78"/>
      <c r="BE1647" s="465"/>
      <c r="BF1647" s="165" t="str">
        <f t="shared" si="1180"/>
        <v>https://www.google.com/search?tbm=isch&amp;q=Gardenia%20jasminoides%20%27Frostproof%27%20Frostproof%20Gardenia</v>
      </c>
      <c r="BG1647" s="165" t="str">
        <f t="shared" si="1181"/>
        <v>G</v>
      </c>
      <c r="BH1647" s="65"/>
      <c r="BI1647" s="65"/>
      <c r="BJ1647" s="65"/>
      <c r="BK1647" s="65"/>
      <c r="BL1647" s="99"/>
      <c r="BM1647" s="99"/>
      <c r="BN1647" s="99"/>
    </row>
    <row r="1648" spans="1:66" s="51" customFormat="1" ht="15.75" x14ac:dyDescent="0.25">
      <c r="A1648" s="478">
        <v>3</v>
      </c>
      <c r="B1648" s="479" t="s">
        <v>291</v>
      </c>
      <c r="C1648" s="480"/>
      <c r="D1648" s="481" t="s">
        <v>310</v>
      </c>
      <c r="E1648" s="482">
        <v>26.95</v>
      </c>
      <c r="F1648" s="483" t="s">
        <v>292</v>
      </c>
      <c r="G1648" s="484">
        <v>0</v>
      </c>
      <c r="H1648" s="688" t="str">
        <f>IF(G1648=0,"",IF(F1648="Buy",IF(G1648=1,"plant","plants"),IF(F1648&gt;0.01,"warranty","Error")))</f>
        <v/>
      </c>
      <c r="I1648" s="485">
        <f>IF(H1648="free",0,IF(H1648="credit",((E1648*(F1648))*G1648*-1),IF(F1648="Buy",(E1648*G1648),((E1648*(1-F1648))*G1648))))</f>
        <v>0</v>
      </c>
      <c r="J1648" s="485">
        <f>IF(H1648="warranty",0,(I1648*(_xlfn.SINGLE(SalesTaxPercentage))))</f>
        <v>0</v>
      </c>
      <c r="K1648" s="715">
        <f t="shared" ref="K1648" si="1193">I1648+J1648</f>
        <v>0</v>
      </c>
      <c r="L1648" s="715"/>
      <c r="M1648" s="689" t="str">
        <f ca="1">IF(AND(G1648&gt;0,E1648=0),"WARNING - no PRICE inserted",IF(H1648="free","FREE ~ no charge this plant",IF(H1648="credit",CONCATENATE("-$",ROUND(K1648*(1-_xlfn.SINGLE(T2GDiscount))*-1,2)," CREDIT after discount"),IF(_xlfn.SINGLE(T2GDiscount)=0,"",IF(G1648=0,"",IF(F1648="Buy",CONCATENATE("$",ROUND(K1648*(1-_xlfn.SINGLE(T2GDiscount)),2)," with ",(_xlfn.SINGLE(T2GDiscount)*100),"% discount"),CONCATENATE("$",ROUND(K1648*(1-_xlfn.SINGLE(T2GDiscount)),2)," with ",((_xlfn.SINGLE(T2GDiscount)*100+F1648*100)-(_xlfn.SINGLE(T2GDiscount)*100*F1648)),IF(F1648&gt;0,"% discounts",IF(_xlfn.SINGLE(NoWarrantyDiscount)&gt;0,"% discounts","% discount")))))))))</f>
        <v/>
      </c>
      <c r="N1648" s="690"/>
      <c r="O1648" s="486"/>
      <c r="P1648" s="486"/>
      <c r="Q1648" s="486"/>
      <c r="R1648" s="486"/>
      <c r="S1648" s="486"/>
      <c r="T1648" s="102">
        <f t="shared" si="1169"/>
        <v>0</v>
      </c>
      <c r="U1648" s="78">
        <f>IF(NOT(ISNUMBER(G1648)), "", VLOOKUP(A1648,'Discount Lookup'!D:E,2,FALSE)*G1648)</f>
        <v>0</v>
      </c>
      <c r="V1648" s="78">
        <f>IF(NOT(ISNUMBER(G1648)), "", VLOOKUP(A1648,'Discount Lookup'!G:H,2,FALSE)*G1648)</f>
        <v>0</v>
      </c>
      <c r="W1648" s="102">
        <f t="shared" si="1170"/>
        <v>0</v>
      </c>
      <c r="X1648" s="102">
        <f t="shared" si="1171"/>
        <v>0</v>
      </c>
      <c r="Y1648" s="120" t="b">
        <f t="shared" si="1172"/>
        <v>0</v>
      </c>
      <c r="Z1648" s="117">
        <f t="shared" si="1173"/>
        <v>0</v>
      </c>
      <c r="AA1648" s="118"/>
      <c r="AB1648" s="118" t="str">
        <f t="shared" si="1174"/>
        <v/>
      </c>
      <c r="AC1648" s="712" t="str">
        <f>IF(AE1648="T2G","no charge",IF(AND(OR(PlanterYesMe="No",PlanterYesMe="N",PlanterYesMe="me"),H1648=""),"",IF(H1648="credit","NO install",IF(AND(K1648="",AE1648="me"),"EACH row",IF(AND(K1648="images",AE1648="me"),"EACH row",IF(D1648="","",IF(H1648="credit","",IF(AE1648="free","re-planting",IF(AE1648="me","   not ELP, by",IF(AND(OR(PlanterYesMe="Yes",PlanterYesMe="Y"),G1648&gt;0),(VLOOKUP(A1648,'Discount Lookup'!J:K,2)*G1648*(1-PlanterDiscount)*(1+PlanterDifficultyPercentage)),IF(AE1648="ELP",(VLOOKUP(A1648,'Discount Lookup'!J:K,2)*G1648*(1-PlanterDiscount)*(1+PlanterDifficultyPercentage)),IF(AE1648="free","re-planting",IF(G1648=0,"",IF(PlanterYesMe="",IF(AE1648="me","   not ELP, by",IF(AE1648="",IF(G1648&gt;0,(VLOOKUP(A1648,'Discount Lookup'!J:K,2)*G1648*(1-PlanterDiscount)*(1+PlanterDifficultyPercentage)),""),"")),"   not ELP, by"))))))))))))))</f>
        <v/>
      </c>
      <c r="AD1648" s="712"/>
      <c r="AE1648" s="513" t="str">
        <f t="shared" si="1175"/>
        <v/>
      </c>
      <c r="AF1648" s="713" t="str">
        <f t="shared" si="1176"/>
        <v/>
      </c>
      <c r="AG1648" s="713"/>
      <c r="AH1648" s="713"/>
      <c r="AI1648" s="112">
        <f>IF(H1648="credit",0,IF(AE1648="free",0,IF(AE1648="me",0,IF(G1648&gt;0,(VLOOKUP(A1648,'Discount Lookup'!J:K,2)*G1648),0))))</f>
        <v>0</v>
      </c>
      <c r="AJ1648" s="107" t="str">
        <f t="shared" ca="1" si="1177"/>
        <v/>
      </c>
      <c r="AK1648" s="714" t="str">
        <f t="shared" si="1178"/>
        <v/>
      </c>
      <c r="AL1648" s="714"/>
      <c r="AM1648" s="114" t="str">
        <f t="shared" si="1179"/>
        <v/>
      </c>
      <c r="AN1648" s="115"/>
      <c r="AO1648" s="116"/>
      <c r="AP1648" s="116"/>
      <c r="AQ1648" s="116"/>
      <c r="AR1648" s="116"/>
      <c r="AS1648" s="116"/>
      <c r="AT1648" s="116"/>
      <c r="AU1648" s="116"/>
      <c r="AV1648" s="78"/>
      <c r="AW1648" s="102"/>
      <c r="AX1648" s="78"/>
      <c r="AY1648" s="78"/>
      <c r="AZ1648" s="78"/>
      <c r="BA1648" s="78"/>
      <c r="BB1648" s="78"/>
      <c r="BC1648" s="78"/>
      <c r="BD1648" s="78"/>
      <c r="BE1648" s="465"/>
      <c r="BF1648" s="165" t="str">
        <f t="shared" si="1180"/>
        <v>https://www.google.com/search?tbm=isch&amp;q=3%20G1</v>
      </c>
      <c r="BG1648" s="165" t="str">
        <f t="shared" si="1181"/>
        <v>G</v>
      </c>
      <c r="BH1648" s="65"/>
      <c r="BI1648" s="65"/>
      <c r="BJ1648" s="65"/>
      <c r="BK1648" s="65"/>
      <c r="BL1648" s="99"/>
      <c r="BM1648" s="99"/>
      <c r="BN1648" s="99"/>
    </row>
    <row r="1649" spans="1:66" s="51" customFormat="1" ht="15.75" x14ac:dyDescent="0.25">
      <c r="A1649" s="478">
        <v>3</v>
      </c>
      <c r="B1649" s="479" t="s">
        <v>291</v>
      </c>
      <c r="C1649" s="480" t="s">
        <v>2557</v>
      </c>
      <c r="D1649" s="481" t="s">
        <v>311</v>
      </c>
      <c r="E1649" s="482">
        <v>35.950000000000003</v>
      </c>
      <c r="F1649" s="483" t="s">
        <v>292</v>
      </c>
      <c r="G1649" s="484">
        <v>0</v>
      </c>
      <c r="H1649" s="688" t="str">
        <f>IF(G1649=0,"",IF(F1649="Buy",IF(G1649=1,"plant","plants"),IF(F1649&gt;0.01,"warranty","Error")))</f>
        <v/>
      </c>
      <c r="I1649" s="485">
        <f>IF(H1649="free",0,IF(H1649="credit",((E1649*(F1649))*G1649*-1),IF(F1649="Buy",(E1649*G1649),((E1649*(1-F1649))*G1649))))</f>
        <v>0</v>
      </c>
      <c r="J1649" s="485">
        <f>IF(H1649="warranty",0,(I1649*(_xlfn.SINGLE(SalesTaxPercentage))))</f>
        <v>0</v>
      </c>
      <c r="K1649" s="715">
        <f t="shared" ref="K1649" si="1194">I1649+J1649</f>
        <v>0</v>
      </c>
      <c r="L1649" s="715"/>
      <c r="M1649" s="689" t="str">
        <f ca="1">IF(AND(G1649&gt;0,E1649=0),"WARNING - no PRICE inserted",IF(H1649="free","FREE ~ no charge this plant",IF(H1649="credit",CONCATENATE("-$",ROUND(K1649*(1-_xlfn.SINGLE(T2GDiscount))*-1,2)," CREDIT after discount"),IF(_xlfn.SINGLE(T2GDiscount)=0,"",IF(G1649=0,"",IF(F1649="Buy",CONCATENATE("$",ROUND(K1649*(1-_xlfn.SINGLE(T2GDiscount)),2)," with ",(_xlfn.SINGLE(T2GDiscount)*100),"% discount"),CONCATENATE("$",ROUND(K1649*(1-_xlfn.SINGLE(T2GDiscount)),2)," with ",((_xlfn.SINGLE(T2GDiscount)*100+F1649*100)-(_xlfn.SINGLE(T2GDiscount)*100*F1649)),IF(F1649&gt;0,"% discounts",IF(_xlfn.SINGLE(NoWarrantyDiscount)&gt;0,"% discounts","% discount")))))))))</f>
        <v/>
      </c>
      <c r="N1649" s="690"/>
      <c r="O1649" s="486"/>
      <c r="P1649" s="486"/>
      <c r="Q1649" s="486"/>
      <c r="R1649" s="486"/>
      <c r="S1649" s="486"/>
      <c r="T1649" s="102">
        <f t="shared" si="1169"/>
        <v>0</v>
      </c>
      <c r="U1649" s="78">
        <f>IF(NOT(ISNUMBER(G1649)), "", VLOOKUP(A1649,'Discount Lookup'!D:E,2,FALSE)*G1649)</f>
        <v>0</v>
      </c>
      <c r="V1649" s="78">
        <f>IF(NOT(ISNUMBER(G1649)), "", VLOOKUP(A1649,'Discount Lookup'!G:H,2,FALSE)*G1649)</f>
        <v>0</v>
      </c>
      <c r="W1649" s="102">
        <f t="shared" si="1170"/>
        <v>0</v>
      </c>
      <c r="X1649" s="102">
        <f t="shared" si="1171"/>
        <v>0</v>
      </c>
      <c r="Y1649" s="120" t="b">
        <f t="shared" si="1172"/>
        <v>0</v>
      </c>
      <c r="Z1649" s="117">
        <f t="shared" si="1173"/>
        <v>0</v>
      </c>
      <c r="AA1649" s="118"/>
      <c r="AB1649" s="118" t="str">
        <f t="shared" si="1174"/>
        <v/>
      </c>
      <c r="AC1649" s="712" t="str">
        <f>IF(AE1649="T2G","no charge",IF(AND(OR(PlanterYesMe="No",PlanterYesMe="N",PlanterYesMe="me"),H1649=""),"",IF(H1649="credit","NO install",IF(AND(K1649="",AE1649="me"),"EACH row",IF(AND(K1649="images",AE1649="me"),"EACH row",IF(D1649="","",IF(H1649="credit","",IF(AE1649="free","re-planting",IF(AE1649="me","   not ELP, by",IF(AND(OR(PlanterYesMe="Yes",PlanterYesMe="Y"),G1649&gt;0),(VLOOKUP(A1649,'Discount Lookup'!J:K,2)*G1649*(1-PlanterDiscount)*(1+PlanterDifficultyPercentage)),IF(AE1649="ELP",(VLOOKUP(A1649,'Discount Lookup'!J:K,2)*G1649*(1-PlanterDiscount)*(1+PlanterDifficultyPercentage)),IF(AE1649="free","re-planting",IF(G1649=0,"",IF(PlanterYesMe="",IF(AE1649="me","   not ELP, by",IF(AE1649="",IF(G1649&gt;0,(VLOOKUP(A1649,'Discount Lookup'!J:K,2)*G1649*(1-PlanterDiscount)*(1+PlanterDifficultyPercentage)),""),"")),"   not ELP, by"))))))))))))))</f>
        <v/>
      </c>
      <c r="AD1649" s="712"/>
      <c r="AE1649" s="513" t="str">
        <f t="shared" si="1175"/>
        <v/>
      </c>
      <c r="AF1649" s="713" t="str">
        <f t="shared" si="1176"/>
        <v/>
      </c>
      <c r="AG1649" s="713"/>
      <c r="AH1649" s="713"/>
      <c r="AI1649" s="112">
        <f>IF(H1649="credit",0,IF(AE1649="free",0,IF(AE1649="me",0,IF(G1649&gt;0,(VLOOKUP(A1649,'Discount Lookup'!J:K,2)*G1649),0))))</f>
        <v>0</v>
      </c>
      <c r="AJ1649" s="107" t="str">
        <f t="shared" ca="1" si="1177"/>
        <v/>
      </c>
      <c r="AK1649" s="714" t="str">
        <f t="shared" si="1178"/>
        <v/>
      </c>
      <c r="AL1649" s="714"/>
      <c r="AM1649" s="114" t="str">
        <f t="shared" si="1179"/>
        <v/>
      </c>
      <c r="AN1649" s="115"/>
      <c r="AO1649" s="116"/>
      <c r="AP1649" s="116"/>
      <c r="AQ1649" s="116"/>
      <c r="AR1649" s="116"/>
      <c r="AS1649" s="116"/>
      <c r="AT1649" s="116"/>
      <c r="AU1649" s="116"/>
      <c r="AV1649" s="78"/>
      <c r="AW1649" s="102"/>
      <c r="AX1649" s="78"/>
      <c r="AY1649" s="78"/>
      <c r="AZ1649" s="78"/>
      <c r="BA1649" s="78"/>
      <c r="BB1649" s="78"/>
      <c r="BC1649" s="78"/>
      <c r="BD1649" s="78"/>
      <c r="BE1649" s="465"/>
      <c r="BF1649" s="165" t="str">
        <f t="shared" si="1180"/>
        <v>https://www.google.com/search?tbm=isch&amp;q=3%20G5</v>
      </c>
      <c r="BG1649" s="165" t="str">
        <f t="shared" si="1181"/>
        <v>G</v>
      </c>
      <c r="BH1649" s="65"/>
      <c r="BI1649" s="65"/>
      <c r="BJ1649" s="65"/>
      <c r="BK1649" s="65"/>
      <c r="BL1649" s="99"/>
      <c r="BM1649" s="99"/>
      <c r="BN1649" s="99"/>
    </row>
    <row r="1650" spans="1:66" s="51" customFormat="1" ht="15.75" x14ac:dyDescent="0.25">
      <c r="A1650" s="478">
        <v>3</v>
      </c>
      <c r="B1650" s="479" t="s">
        <v>291</v>
      </c>
      <c r="C1650" s="480" t="s">
        <v>2558</v>
      </c>
      <c r="D1650" s="481" t="s">
        <v>293</v>
      </c>
      <c r="E1650" s="482">
        <v>40.950000000000003</v>
      </c>
      <c r="F1650" s="483" t="s">
        <v>292</v>
      </c>
      <c r="G1650" s="484">
        <v>0</v>
      </c>
      <c r="H1650" s="688" t="str">
        <f>IF(G1650=0,"",IF(F1650="Buy",IF(G1650=1,"plant","plants"),IF(F1650&gt;0.01,"warranty","Error")))</f>
        <v/>
      </c>
      <c r="I1650" s="485">
        <f>IF(H1650="free",0,IF(H1650="credit",((E1650*(F1650))*G1650*-1),IF(F1650="Buy",(E1650*G1650),((E1650*(1-F1650))*G1650))))</f>
        <v>0</v>
      </c>
      <c r="J1650" s="485">
        <f>IF(H1650="warranty",0,(I1650*(_xlfn.SINGLE(SalesTaxPercentage))))</f>
        <v>0</v>
      </c>
      <c r="K1650" s="715">
        <f t="shared" ref="K1650" si="1195">I1650+J1650</f>
        <v>0</v>
      </c>
      <c r="L1650" s="715"/>
      <c r="M1650" s="689" t="str">
        <f ca="1">IF(AND(G1650&gt;0,E1650=0),"WARNING - no PRICE inserted",IF(H1650="free","FREE ~ no charge this plant",IF(H1650="credit",CONCATENATE("-$",ROUND(K1650*(1-_xlfn.SINGLE(T2GDiscount))*-1,2)," CREDIT after discount"),IF(_xlfn.SINGLE(T2GDiscount)=0,"",IF(G1650=0,"",IF(F1650="Buy",CONCATENATE("$",ROUND(K1650*(1-_xlfn.SINGLE(T2GDiscount)),2)," with ",(_xlfn.SINGLE(T2GDiscount)*100),"% discount"),CONCATENATE("$",ROUND(K1650*(1-_xlfn.SINGLE(T2GDiscount)),2)," with ",((_xlfn.SINGLE(T2GDiscount)*100+F1650*100)-(_xlfn.SINGLE(T2GDiscount)*100*F1650)),IF(F1650&gt;0,"% discounts",IF(_xlfn.SINGLE(NoWarrantyDiscount)&gt;0,"% discounts","% discount")))))))))</f>
        <v/>
      </c>
      <c r="N1650" s="690"/>
      <c r="O1650" s="486"/>
      <c r="P1650" s="486"/>
      <c r="Q1650" s="486"/>
      <c r="R1650" s="486"/>
      <c r="S1650" s="486"/>
      <c r="T1650" s="102">
        <f t="shared" si="1169"/>
        <v>0</v>
      </c>
      <c r="U1650" s="78">
        <f>IF(NOT(ISNUMBER(G1650)), "", VLOOKUP(A1650,'Discount Lookup'!D:E,2,FALSE)*G1650)</f>
        <v>0</v>
      </c>
      <c r="V1650" s="78">
        <f>IF(NOT(ISNUMBER(G1650)), "", VLOOKUP(A1650,'Discount Lookup'!G:H,2,FALSE)*G1650)</f>
        <v>0</v>
      </c>
      <c r="W1650" s="102">
        <f t="shared" si="1170"/>
        <v>0</v>
      </c>
      <c r="X1650" s="102">
        <f t="shared" si="1171"/>
        <v>0</v>
      </c>
      <c r="Y1650" s="120" t="b">
        <f t="shared" si="1172"/>
        <v>0</v>
      </c>
      <c r="Z1650" s="117">
        <f t="shared" si="1173"/>
        <v>0</v>
      </c>
      <c r="AA1650" s="118"/>
      <c r="AB1650" s="118" t="str">
        <f t="shared" si="1174"/>
        <v/>
      </c>
      <c r="AC1650" s="712" t="str">
        <f>IF(AE1650="T2G","no charge",IF(AND(OR(PlanterYesMe="No",PlanterYesMe="N",PlanterYesMe="me"),H1650=""),"",IF(H1650="credit","NO install",IF(AND(K1650="",AE1650="me"),"EACH row",IF(AND(K1650="images",AE1650="me"),"EACH row",IF(D1650="","",IF(H1650="credit","",IF(AE1650="free","re-planting",IF(AE1650="me","   not ELP, by",IF(AND(OR(PlanterYesMe="Yes",PlanterYesMe="Y"),G1650&gt;0),(VLOOKUP(A1650,'Discount Lookup'!J:K,2)*G1650*(1-PlanterDiscount)*(1+PlanterDifficultyPercentage)),IF(AE1650="ELP",(VLOOKUP(A1650,'Discount Lookup'!J:K,2)*G1650*(1-PlanterDiscount)*(1+PlanterDifficultyPercentage)),IF(AE1650="free","re-planting",IF(G1650=0,"",IF(PlanterYesMe="",IF(AE1650="me","   not ELP, by",IF(AE1650="",IF(G1650&gt;0,(VLOOKUP(A1650,'Discount Lookup'!J:K,2)*G1650*(1-PlanterDiscount)*(1+PlanterDifficultyPercentage)),""),"")),"   not ELP, by"))))))))))))))</f>
        <v/>
      </c>
      <c r="AD1650" s="712"/>
      <c r="AE1650" s="513" t="str">
        <f t="shared" si="1175"/>
        <v/>
      </c>
      <c r="AF1650" s="713" t="str">
        <f t="shared" si="1176"/>
        <v/>
      </c>
      <c r="AG1650" s="713"/>
      <c r="AH1650" s="713"/>
      <c r="AI1650" s="112">
        <f>IF(H1650="credit",0,IF(AE1650="free",0,IF(AE1650="me",0,IF(G1650&gt;0,(VLOOKUP(A1650,'Discount Lookup'!J:K,2)*G1650),0))))</f>
        <v>0</v>
      </c>
      <c r="AJ1650" s="107" t="str">
        <f t="shared" ca="1" si="1177"/>
        <v/>
      </c>
      <c r="AK1650" s="714" t="str">
        <f t="shared" si="1178"/>
        <v/>
      </c>
      <c r="AL1650" s="714"/>
      <c r="AM1650" s="114" t="str">
        <f t="shared" si="1179"/>
        <v/>
      </c>
      <c r="AN1650" s="115"/>
      <c r="AO1650" s="116"/>
      <c r="AP1650" s="116"/>
      <c r="AQ1650" s="116"/>
      <c r="AR1650" s="116"/>
      <c r="AS1650" s="116"/>
      <c r="AT1650" s="116"/>
      <c r="AU1650" s="116"/>
      <c r="AV1650" s="78"/>
      <c r="AW1650" s="102"/>
      <c r="AX1650" s="78"/>
      <c r="AY1650" s="78"/>
      <c r="AZ1650" s="78"/>
      <c r="BA1650" s="78"/>
      <c r="BB1650" s="78"/>
      <c r="BC1650" s="78"/>
      <c r="BD1650" s="78"/>
      <c r="BE1650" s="465"/>
      <c r="BF1650" s="165" t="str">
        <f t="shared" si="1180"/>
        <v>https://www.google.com/search?tbm=isch&amp;q=3%20G6</v>
      </c>
      <c r="BG1650" s="165" t="str">
        <f t="shared" si="1181"/>
        <v>G</v>
      </c>
      <c r="BH1650" s="65"/>
      <c r="BI1650" s="65"/>
      <c r="BJ1650" s="65"/>
      <c r="BK1650" s="65"/>
      <c r="BL1650" s="99"/>
      <c r="BM1650" s="99"/>
      <c r="BN1650" s="99"/>
    </row>
    <row r="1651" spans="1:66" s="51" customFormat="1" ht="17.25" thickBot="1" x14ac:dyDescent="0.3">
      <c r="A1651" s="508" t="s">
        <v>2559</v>
      </c>
      <c r="B1651" s="487"/>
      <c r="C1651" s="707"/>
      <c r="D1651" s="487"/>
      <c r="E1651" s="487"/>
      <c r="F1651" s="488"/>
      <c r="G1651" s="489"/>
      <c r="H1651" s="487"/>
      <c r="I1651" s="490"/>
      <c r="J1651" s="490"/>
      <c r="K1651" s="491"/>
      <c r="L1651" s="547"/>
      <c r="M1651" s="528"/>
      <c r="N1651" s="492"/>
      <c r="O1651" s="493"/>
      <c r="P1651" s="494"/>
      <c r="Q1651" s="492"/>
      <c r="R1651" s="492"/>
      <c r="S1651" s="699" t="s">
        <v>5275</v>
      </c>
      <c r="T1651" s="102">
        <f t="shared" si="1169"/>
        <v>0</v>
      </c>
      <c r="U1651" s="78" t="str">
        <f>IF(NOT(ISNUMBER(G1651)), "", VLOOKUP(A1651,'Discount Lookup'!D:E,2,FALSE)*G1651)</f>
        <v/>
      </c>
      <c r="V1651" s="78" t="str">
        <f>IF(NOT(ISNUMBER(G1651)), "", VLOOKUP(A1651,'Discount Lookup'!G:H,2,FALSE)*G1651)</f>
        <v/>
      </c>
      <c r="W1651" s="102">
        <f t="shared" si="1170"/>
        <v>0</v>
      </c>
      <c r="X1651" s="102">
        <f t="shared" si="1171"/>
        <v>0</v>
      </c>
      <c r="Y1651" s="120" t="b">
        <f t="shared" si="1172"/>
        <v>0</v>
      </c>
      <c r="Z1651" s="117">
        <f t="shared" si="1173"/>
        <v>0</v>
      </c>
      <c r="AA1651" s="118"/>
      <c r="AB1651" s="118" t="str">
        <f t="shared" si="1174"/>
        <v/>
      </c>
      <c r="AC1651" s="712" t="str">
        <f>IF(AE1651="T2G","no charge",IF(AND(OR(PlanterYesMe="No",PlanterYesMe="N",PlanterYesMe="me"),H1651=""),"",IF(H1651="credit","NO install",IF(AND(K1651="",AE1651="me"),"EACH row",IF(AND(K1651="images",AE1651="me"),"EACH row",IF(D1651="","",IF(H1651="credit","",IF(AE1651="free","re-planting",IF(AE1651="me","   not ELP, by",IF(AND(OR(PlanterYesMe="Yes",PlanterYesMe="Y"),G1651&gt;0),(VLOOKUP(A1651,'Discount Lookup'!J:K,2)*G1651*(1-PlanterDiscount)*(1+PlanterDifficultyPercentage)),IF(AE1651="ELP",(VLOOKUP(A1651,'Discount Lookup'!J:K,2)*G1651*(1-PlanterDiscount)*(1+PlanterDifficultyPercentage)),IF(AE1651="free","re-planting",IF(G1651=0,"",IF(PlanterYesMe="",IF(AE1651="me","   not ELP, by",IF(AE1651="",IF(G1651&gt;0,(VLOOKUP(A1651,'Discount Lookup'!J:K,2)*G1651*(1-PlanterDiscount)*(1+PlanterDifficultyPercentage)),""),"")),"   not ELP, by"))))))))))))))</f>
        <v/>
      </c>
      <c r="AD1651" s="712"/>
      <c r="AE1651" s="513" t="str">
        <f t="shared" si="1175"/>
        <v/>
      </c>
      <c r="AF1651" s="713" t="str">
        <f t="shared" si="1176"/>
        <v/>
      </c>
      <c r="AG1651" s="713"/>
      <c r="AH1651" s="713"/>
      <c r="AI1651" s="112">
        <f>IF(H1651="credit",0,IF(AE1651="free",0,IF(AE1651="me",0,IF(G1651&gt;0,(VLOOKUP(A1651,'Discount Lookup'!J:K,2)*G1651),0))))</f>
        <v>0</v>
      </c>
      <c r="AJ1651" s="107" t="str">
        <f t="shared" ca="1" si="1177"/>
        <v/>
      </c>
      <c r="AK1651" s="714" t="str">
        <f t="shared" si="1178"/>
        <v/>
      </c>
      <c r="AL1651" s="714"/>
      <c r="AM1651" s="114" t="str">
        <f t="shared" si="1179"/>
        <v/>
      </c>
      <c r="AN1651" s="115"/>
      <c r="AO1651" s="116"/>
      <c r="AP1651" s="116"/>
      <c r="AQ1651" s="116"/>
      <c r="AR1651" s="116"/>
      <c r="AS1651" s="116"/>
      <c r="AT1651" s="116"/>
      <c r="AU1651" s="116"/>
      <c r="AV1651" s="78"/>
      <c r="AW1651" s="102"/>
      <c r="AX1651" s="78"/>
      <c r="AY1651" s="78"/>
      <c r="AZ1651" s="78"/>
      <c r="BA1651" s="78"/>
      <c r="BB1651" s="78"/>
      <c r="BC1651" s="78"/>
      <c r="BD1651" s="78"/>
      <c r="BE1651" s="465"/>
      <c r="BF1651" s="165" t="str">
        <f t="shared" si="1180"/>
        <v>https://www.google.com/search?tbm=isch&amp;q=Frostproof%20resists%20late%20spring%20frosts.%20Fragrant%20blooms%20are%20more%20abundant%20than%20other%20Gardenia%20</v>
      </c>
      <c r="BG1651" s="165" t="str">
        <f t="shared" si="1181"/>
        <v>F</v>
      </c>
      <c r="BH1651" s="65"/>
      <c r="BI1651" s="65"/>
      <c r="BJ1651" s="65"/>
      <c r="BK1651" s="65"/>
      <c r="BL1651" s="99"/>
      <c r="BM1651" s="99"/>
      <c r="BN1651" s="99"/>
    </row>
    <row r="1652" spans="1:66" s="51" customFormat="1" ht="18" x14ac:dyDescent="0.25">
      <c r="A1652" s="507" t="s">
        <v>2560</v>
      </c>
      <c r="B1652" s="470"/>
      <c r="C1652" s="706"/>
      <c r="D1652" s="471" t="s">
        <v>2561</v>
      </c>
      <c r="E1652" s="472"/>
      <c r="F1652" s="472"/>
      <c r="G1652" s="472"/>
      <c r="H1652" s="622" t="s">
        <v>1104</v>
      </c>
      <c r="I1652" s="473" t="s">
        <v>349</v>
      </c>
      <c r="J1652" s="472"/>
      <c r="K1652" s="472"/>
      <c r="L1652" s="561"/>
      <c r="M1652" s="698" t="s">
        <v>5246</v>
      </c>
      <c r="N1652" s="692" t="str">
        <f>IF(AND(ISTEXT($A1652), ISERROR($A1652+0)), HYPERLINK($BF1652, "Images"), "")</f>
        <v>Images</v>
      </c>
      <c r="O1652" s="694" t="s">
        <v>5247</v>
      </c>
      <c r="P1652" s="475"/>
      <c r="Q1652" s="476"/>
      <c r="R1652" s="476"/>
      <c r="S1652" s="477"/>
      <c r="T1652" s="102">
        <f t="shared" si="1169"/>
        <v>0</v>
      </c>
      <c r="U1652" s="78" t="str">
        <f>IF(NOT(ISNUMBER(G1652)), "", VLOOKUP(A1652,'Discount Lookup'!D:E,2,FALSE)*G1652)</f>
        <v/>
      </c>
      <c r="V1652" s="78" t="str">
        <f>IF(NOT(ISNUMBER(G1652)), "", VLOOKUP(A1652,'Discount Lookup'!G:H,2,FALSE)*G1652)</f>
        <v/>
      </c>
      <c r="W1652" s="102">
        <f t="shared" si="1170"/>
        <v>0</v>
      </c>
      <c r="X1652" s="102" t="str">
        <f t="shared" si="1171"/>
        <v>White bloom</v>
      </c>
      <c r="Y1652" s="120" t="b">
        <f t="shared" si="1172"/>
        <v>0</v>
      </c>
      <c r="Z1652" s="117">
        <f t="shared" si="1173"/>
        <v>0</v>
      </c>
      <c r="AA1652" s="118"/>
      <c r="AB1652" s="118" t="str">
        <f t="shared" si="1174"/>
        <v/>
      </c>
      <c r="AC1652" s="712" t="str">
        <f>IF(AE1652="T2G","no charge",IF(AND(OR(PlanterYesMe="No",PlanterYesMe="N",PlanterYesMe="me"),H1652=""),"",IF(H1652="credit","NO install",IF(AND(K1652="",AE1652="me"),"EACH row",IF(AND(K1652="images",AE1652="me"),"EACH row",IF(D1652="","",IF(H1652="credit","",IF(AE1652="free","re-planting",IF(AE1652="me","   not ELP, by",IF(AND(OR(PlanterYesMe="Yes",PlanterYesMe="Y"),G1652&gt;0),(VLOOKUP(A1652,'Discount Lookup'!J:K,2)*G1652*(1-PlanterDiscount)*(1+PlanterDifficultyPercentage)),IF(AE1652="ELP",(VLOOKUP(A1652,'Discount Lookup'!J:K,2)*G1652*(1-PlanterDiscount)*(1+PlanterDifficultyPercentage)),IF(AE1652="free","re-planting",IF(G1652=0,"",IF(PlanterYesMe="",IF(AE1652="me","   not ELP, by",IF(AE1652="",IF(G1652&gt;0,(VLOOKUP(A1652,'Discount Lookup'!J:K,2)*G1652*(1-PlanterDiscount)*(1+PlanterDifficultyPercentage)),""),"")),"   not ELP, by"))))))))))))))</f>
        <v/>
      </c>
      <c r="AD1652" s="712"/>
      <c r="AE1652" s="513" t="str">
        <f t="shared" si="1175"/>
        <v/>
      </c>
      <c r="AF1652" s="713" t="str">
        <f t="shared" si="1176"/>
        <v/>
      </c>
      <c r="AG1652" s="713"/>
      <c r="AH1652" s="713"/>
      <c r="AI1652" s="112">
        <f>IF(H1652="credit",0,IF(AE1652="free",0,IF(AE1652="me",0,IF(G1652&gt;0,(VLOOKUP(A1652,'Discount Lookup'!J:K,2)*G1652),0))))</f>
        <v>0</v>
      </c>
      <c r="AJ1652" s="107" t="str">
        <f t="shared" ca="1" si="1177"/>
        <v/>
      </c>
      <c r="AK1652" s="714" t="str">
        <f t="shared" si="1178"/>
        <v/>
      </c>
      <c r="AL1652" s="714"/>
      <c r="AM1652" s="114" t="str">
        <f t="shared" si="1179"/>
        <v/>
      </c>
      <c r="AN1652" s="115"/>
      <c r="AO1652" s="116"/>
      <c r="AP1652" s="116"/>
      <c r="AQ1652" s="116"/>
      <c r="AR1652" s="116"/>
      <c r="AS1652" s="116"/>
      <c r="AT1652" s="116"/>
      <c r="AU1652" s="116"/>
      <c r="AV1652" s="78"/>
      <c r="AW1652" s="102"/>
      <c r="AX1652" s="78"/>
      <c r="AY1652" s="78"/>
      <c r="AZ1652" s="78"/>
      <c r="BA1652" s="78"/>
      <c r="BB1652" s="78"/>
      <c r="BC1652" s="78"/>
      <c r="BD1652" s="78"/>
      <c r="BE1652" s="465"/>
      <c r="BF1652" s="165" t="str">
        <f t="shared" si="1180"/>
        <v>https://www.google.com/search?tbm=isch&amp;q=Gardenia%20jasminoides%20%27Kleim%27s%20Hardy%27%20Kleim%27s%20Hardy%20Gardenia</v>
      </c>
      <c r="BG1652" s="165" t="str">
        <f t="shared" si="1181"/>
        <v>G</v>
      </c>
      <c r="BH1652" s="65"/>
      <c r="BI1652" s="65"/>
      <c r="BJ1652" s="65"/>
      <c r="BK1652" s="65"/>
      <c r="BL1652" s="99"/>
      <c r="BM1652" s="99"/>
      <c r="BN1652" s="99"/>
    </row>
    <row r="1653" spans="1:66" s="51" customFormat="1" ht="15.75" x14ac:dyDescent="0.25">
      <c r="A1653" s="478">
        <v>3</v>
      </c>
      <c r="B1653" s="479" t="s">
        <v>291</v>
      </c>
      <c r="C1653" s="480" t="s">
        <v>2562</v>
      </c>
      <c r="D1653" s="481" t="s">
        <v>309</v>
      </c>
      <c r="E1653" s="482">
        <v>24.95</v>
      </c>
      <c r="F1653" s="483" t="s">
        <v>292</v>
      </c>
      <c r="G1653" s="484">
        <v>0</v>
      </c>
      <c r="H1653" s="688" t="str">
        <f>IF(G1653=0,"",IF(F1653="Buy",IF(G1653=1,"plant","plants"),IF(F1653&gt;0.01,"warranty","Error")))</f>
        <v/>
      </c>
      <c r="I1653" s="485">
        <f>IF(H1653="free",0,IF(H1653="credit",((E1653*(F1653))*G1653*-1),IF(F1653="Buy",(E1653*G1653),((E1653*(1-F1653))*G1653))))</f>
        <v>0</v>
      </c>
      <c r="J1653" s="485">
        <f>IF(H1653="warranty",0,(I1653*(_xlfn.SINGLE(SalesTaxPercentage))))</f>
        <v>0</v>
      </c>
      <c r="K1653" s="715">
        <f t="shared" ref="K1653" si="1196">I1653+J1653</f>
        <v>0</v>
      </c>
      <c r="L1653" s="715"/>
      <c r="M1653" s="689" t="str">
        <f ca="1">IF(AND(G1653&gt;0,E1653=0),"WARNING - no PRICE inserted",IF(H1653="free","FREE ~ no charge this plant",IF(H1653="credit",CONCATENATE("-$",ROUND(K1653*(1-_xlfn.SINGLE(T2GDiscount))*-1,2)," CREDIT after discount"),IF(_xlfn.SINGLE(T2GDiscount)=0,"",IF(G1653=0,"",IF(F1653="Buy",CONCATENATE("$",ROUND(K1653*(1-_xlfn.SINGLE(T2GDiscount)),2)," with ",(_xlfn.SINGLE(T2GDiscount)*100),"% discount"),CONCATENATE("$",ROUND(K1653*(1-_xlfn.SINGLE(T2GDiscount)),2)," with ",((_xlfn.SINGLE(T2GDiscount)*100+F1653*100)-(_xlfn.SINGLE(T2GDiscount)*100*F1653)),IF(F1653&gt;0,"% discounts",IF(_xlfn.SINGLE(NoWarrantyDiscount)&gt;0,"% discounts","% discount")))))))))</f>
        <v/>
      </c>
      <c r="N1653" s="690"/>
      <c r="O1653" s="486"/>
      <c r="P1653" s="486"/>
      <c r="Q1653" s="486"/>
      <c r="R1653" s="486"/>
      <c r="S1653" s="486"/>
      <c r="T1653" s="102">
        <f t="shared" si="1169"/>
        <v>0</v>
      </c>
      <c r="U1653" s="78">
        <f>IF(NOT(ISNUMBER(G1653)), "", VLOOKUP(A1653,'Discount Lookup'!D:E,2,FALSE)*G1653)</f>
        <v>0</v>
      </c>
      <c r="V1653" s="78">
        <f>IF(NOT(ISNUMBER(G1653)), "", VLOOKUP(A1653,'Discount Lookup'!G:H,2,FALSE)*G1653)</f>
        <v>0</v>
      </c>
      <c r="W1653" s="102">
        <f t="shared" si="1170"/>
        <v>0</v>
      </c>
      <c r="X1653" s="102">
        <f t="shared" si="1171"/>
        <v>0</v>
      </c>
      <c r="Y1653" s="120" t="b">
        <f t="shared" si="1172"/>
        <v>0</v>
      </c>
      <c r="Z1653" s="117">
        <f t="shared" si="1173"/>
        <v>0</v>
      </c>
      <c r="AA1653" s="118"/>
      <c r="AB1653" s="118" t="str">
        <f t="shared" si="1174"/>
        <v/>
      </c>
      <c r="AC1653" s="712" t="str">
        <f>IF(AE1653="T2G","no charge",IF(AND(OR(PlanterYesMe="No",PlanterYesMe="N",PlanterYesMe="me"),H1653=""),"",IF(H1653="credit","NO install",IF(AND(K1653="",AE1653="me"),"EACH row",IF(AND(K1653="images",AE1653="me"),"EACH row",IF(D1653="","",IF(H1653="credit","",IF(AE1653="free","re-planting",IF(AE1653="me","   not ELP, by",IF(AND(OR(PlanterYesMe="Yes",PlanterYesMe="Y"),G1653&gt;0),(VLOOKUP(A1653,'Discount Lookup'!J:K,2)*G1653*(1-PlanterDiscount)*(1+PlanterDifficultyPercentage)),IF(AE1653="ELP",(VLOOKUP(A1653,'Discount Lookup'!J:K,2)*G1653*(1-PlanterDiscount)*(1+PlanterDifficultyPercentage)),IF(AE1653="free","re-planting",IF(G1653=0,"",IF(PlanterYesMe="",IF(AE1653="me","   not ELP, by",IF(AE1653="",IF(G1653&gt;0,(VLOOKUP(A1653,'Discount Lookup'!J:K,2)*G1653*(1-PlanterDiscount)*(1+PlanterDifficultyPercentage)),""),"")),"   not ELP, by"))))))))))))))</f>
        <v/>
      </c>
      <c r="AD1653" s="712"/>
      <c r="AE1653" s="513" t="str">
        <f t="shared" si="1175"/>
        <v/>
      </c>
      <c r="AF1653" s="713" t="str">
        <f t="shared" si="1176"/>
        <v/>
      </c>
      <c r="AG1653" s="713"/>
      <c r="AH1653" s="713"/>
      <c r="AI1653" s="112">
        <f>IF(H1653="credit",0,IF(AE1653="free",0,IF(AE1653="me",0,IF(G1653&gt;0,(VLOOKUP(A1653,'Discount Lookup'!J:K,2)*G1653),0))))</f>
        <v>0</v>
      </c>
      <c r="AJ1653" s="107" t="str">
        <f t="shared" ca="1" si="1177"/>
        <v/>
      </c>
      <c r="AK1653" s="714" t="str">
        <f t="shared" si="1178"/>
        <v/>
      </c>
      <c r="AL1653" s="714"/>
      <c r="AM1653" s="114" t="str">
        <f t="shared" si="1179"/>
        <v/>
      </c>
      <c r="AN1653" s="115"/>
      <c r="AO1653" s="116"/>
      <c r="AP1653" s="116"/>
      <c r="AQ1653" s="116"/>
      <c r="AR1653" s="116"/>
      <c r="AS1653" s="116"/>
      <c r="AT1653" s="116"/>
      <c r="AU1653" s="116"/>
      <c r="AV1653" s="78"/>
      <c r="AW1653" s="102"/>
      <c r="AX1653" s="78"/>
      <c r="AY1653" s="78"/>
      <c r="AZ1653" s="78"/>
      <c r="BA1653" s="78"/>
      <c r="BB1653" s="78"/>
      <c r="BC1653" s="78"/>
      <c r="BD1653" s="78"/>
      <c r="BE1653" s="465"/>
      <c r="BF1653" s="165" t="str">
        <f t="shared" si="1180"/>
        <v>https://www.google.com/search?tbm=isch&amp;q=3%20G3</v>
      </c>
      <c r="BG1653" s="165" t="str">
        <f t="shared" si="1181"/>
        <v>G</v>
      </c>
      <c r="BH1653" s="65"/>
      <c r="BI1653" s="65"/>
      <c r="BJ1653" s="65"/>
      <c r="BK1653" s="65"/>
      <c r="BL1653" s="99"/>
      <c r="BM1653" s="99"/>
      <c r="BN1653" s="99"/>
    </row>
    <row r="1654" spans="1:66" s="51" customFormat="1" ht="15.75" x14ac:dyDescent="0.25">
      <c r="A1654" s="478">
        <v>3</v>
      </c>
      <c r="B1654" s="479" t="s">
        <v>291</v>
      </c>
      <c r="C1654" s="480" t="s">
        <v>1871</v>
      </c>
      <c r="D1654" s="481" t="s">
        <v>329</v>
      </c>
      <c r="E1654" s="482">
        <v>29.95</v>
      </c>
      <c r="F1654" s="483" t="s">
        <v>292</v>
      </c>
      <c r="G1654" s="484">
        <v>0</v>
      </c>
      <c r="H1654" s="688" t="str">
        <f>IF(G1654=0,"",IF(F1654="Buy",IF(G1654=1,"plant","plants"),IF(F1654&gt;0.01,"warranty","Error")))</f>
        <v/>
      </c>
      <c r="I1654" s="485">
        <f>IF(H1654="free",0,IF(H1654="credit",((E1654*(F1654))*G1654*-1),IF(F1654="Buy",(E1654*G1654),((E1654*(1-F1654))*G1654))))</f>
        <v>0</v>
      </c>
      <c r="J1654" s="485">
        <f>IF(H1654="warranty",0,(I1654*(_xlfn.SINGLE(SalesTaxPercentage))))</f>
        <v>0</v>
      </c>
      <c r="K1654" s="715">
        <f t="shared" ref="K1654" si="1197">I1654+J1654</f>
        <v>0</v>
      </c>
      <c r="L1654" s="715"/>
      <c r="M1654" s="689" t="str">
        <f ca="1">IF(AND(G1654&gt;0,E1654=0),"WARNING - no PRICE inserted",IF(H1654="free","FREE ~ no charge this plant",IF(H1654="credit",CONCATENATE("-$",ROUND(K1654*(1-_xlfn.SINGLE(T2GDiscount))*-1,2)," CREDIT after discount"),IF(_xlfn.SINGLE(T2GDiscount)=0,"",IF(G1654=0,"",IF(F1654="Buy",CONCATENATE("$",ROUND(K1654*(1-_xlfn.SINGLE(T2GDiscount)),2)," with ",(_xlfn.SINGLE(T2GDiscount)*100),"% discount"),CONCATENATE("$",ROUND(K1654*(1-_xlfn.SINGLE(T2GDiscount)),2)," with ",((_xlfn.SINGLE(T2GDiscount)*100+F1654*100)-(_xlfn.SINGLE(T2GDiscount)*100*F1654)),IF(F1654&gt;0,"% discounts",IF(_xlfn.SINGLE(NoWarrantyDiscount)&gt;0,"% discounts","% discount")))))))))</f>
        <v/>
      </c>
      <c r="N1654" s="690"/>
      <c r="O1654" s="486"/>
      <c r="P1654" s="486"/>
      <c r="Q1654" s="486"/>
      <c r="R1654" s="486"/>
      <c r="S1654" s="486"/>
      <c r="T1654" s="102">
        <f t="shared" si="1169"/>
        <v>0</v>
      </c>
      <c r="U1654" s="78">
        <f>IF(NOT(ISNUMBER(G1654)), "", VLOOKUP(A1654,'Discount Lookup'!D:E,2,FALSE)*G1654)</f>
        <v>0</v>
      </c>
      <c r="V1654" s="78">
        <f>IF(NOT(ISNUMBER(G1654)), "", VLOOKUP(A1654,'Discount Lookup'!G:H,2,FALSE)*G1654)</f>
        <v>0</v>
      </c>
      <c r="W1654" s="102">
        <f t="shared" si="1170"/>
        <v>0</v>
      </c>
      <c r="X1654" s="102">
        <f t="shared" si="1171"/>
        <v>0</v>
      </c>
      <c r="Y1654" s="120" t="b">
        <f t="shared" si="1172"/>
        <v>0</v>
      </c>
      <c r="Z1654" s="117">
        <f t="shared" si="1173"/>
        <v>0</v>
      </c>
      <c r="AA1654" s="118"/>
      <c r="AB1654" s="118" t="str">
        <f t="shared" si="1174"/>
        <v/>
      </c>
      <c r="AC1654" s="712" t="str">
        <f>IF(AE1654="T2G","no charge",IF(AND(OR(PlanterYesMe="No",PlanterYesMe="N",PlanterYesMe="me"),H1654=""),"",IF(H1654="credit","NO install",IF(AND(K1654="",AE1654="me"),"EACH row",IF(AND(K1654="images",AE1654="me"),"EACH row",IF(D1654="","",IF(H1654="credit","",IF(AE1654="free","re-planting",IF(AE1654="me","   not ELP, by",IF(AND(OR(PlanterYesMe="Yes",PlanterYesMe="Y"),G1654&gt;0),(VLOOKUP(A1654,'Discount Lookup'!J:K,2)*G1654*(1-PlanterDiscount)*(1+PlanterDifficultyPercentage)),IF(AE1654="ELP",(VLOOKUP(A1654,'Discount Lookup'!J:K,2)*G1654*(1-PlanterDiscount)*(1+PlanterDifficultyPercentage)),IF(AE1654="free","re-planting",IF(G1654=0,"",IF(PlanterYesMe="",IF(AE1654="me","   not ELP, by",IF(AE1654="",IF(G1654&gt;0,(VLOOKUP(A1654,'Discount Lookup'!J:K,2)*G1654*(1-PlanterDiscount)*(1+PlanterDifficultyPercentage)),""),"")),"   not ELP, by"))))))))))))))</f>
        <v/>
      </c>
      <c r="AD1654" s="712"/>
      <c r="AE1654" s="513" t="str">
        <f t="shared" si="1175"/>
        <v/>
      </c>
      <c r="AF1654" s="713" t="str">
        <f t="shared" si="1176"/>
        <v/>
      </c>
      <c r="AG1654" s="713"/>
      <c r="AH1654" s="713"/>
      <c r="AI1654" s="112">
        <f>IF(H1654="credit",0,IF(AE1654="free",0,IF(AE1654="me",0,IF(G1654&gt;0,(VLOOKUP(A1654,'Discount Lookup'!J:K,2)*G1654),0))))</f>
        <v>0</v>
      </c>
      <c r="AJ1654" s="107" t="str">
        <f t="shared" ca="1" si="1177"/>
        <v/>
      </c>
      <c r="AK1654" s="714" t="str">
        <f t="shared" si="1178"/>
        <v/>
      </c>
      <c r="AL1654" s="714"/>
      <c r="AM1654" s="114" t="str">
        <f t="shared" si="1179"/>
        <v/>
      </c>
      <c r="AN1654" s="115"/>
      <c r="AO1654" s="116"/>
      <c r="AP1654" s="116"/>
      <c r="AQ1654" s="116"/>
      <c r="AR1654" s="116"/>
      <c r="AS1654" s="116"/>
      <c r="AT1654" s="116"/>
      <c r="AU1654" s="116"/>
      <c r="AV1654" s="78"/>
      <c r="AW1654" s="102"/>
      <c r="AX1654" s="78"/>
      <c r="AY1654" s="78"/>
      <c r="AZ1654" s="78"/>
      <c r="BA1654" s="78"/>
      <c r="BB1654" s="78"/>
      <c r="BC1654" s="78"/>
      <c r="BD1654" s="78"/>
      <c r="BE1654" s="465"/>
      <c r="BF1654" s="165" t="str">
        <f t="shared" si="1180"/>
        <v>https://www.google.com/search?tbm=isch&amp;q=3%20G2</v>
      </c>
      <c r="BG1654" s="165" t="str">
        <f t="shared" si="1181"/>
        <v>G</v>
      </c>
      <c r="BH1654" s="65"/>
      <c r="BI1654" s="65"/>
      <c r="BJ1654" s="65"/>
      <c r="BK1654" s="65"/>
      <c r="BL1654" s="99"/>
      <c r="BM1654" s="99"/>
      <c r="BN1654" s="99"/>
    </row>
    <row r="1655" spans="1:66" s="51" customFormat="1" ht="17.25" thickBot="1" x14ac:dyDescent="0.3">
      <c r="A1655" s="508" t="s">
        <v>2563</v>
      </c>
      <c r="B1655" s="487"/>
      <c r="C1655" s="707"/>
      <c r="D1655" s="487"/>
      <c r="E1655" s="487"/>
      <c r="F1655" s="488"/>
      <c r="G1655" s="489"/>
      <c r="H1655" s="487"/>
      <c r="I1655" s="490"/>
      <c r="J1655" s="490"/>
      <c r="K1655" s="491"/>
      <c r="L1655" s="547"/>
      <c r="M1655" s="528"/>
      <c r="N1655" s="492"/>
      <c r="O1655" s="493"/>
      <c r="P1655" s="494"/>
      <c r="Q1655" s="492"/>
      <c r="R1655" s="492"/>
      <c r="S1655" s="699" t="s">
        <v>5275</v>
      </c>
      <c r="T1655" s="102">
        <f t="shared" si="1169"/>
        <v>0</v>
      </c>
      <c r="U1655" s="78" t="str">
        <f>IF(NOT(ISNUMBER(G1655)), "", VLOOKUP(A1655,'Discount Lookup'!D:E,2,FALSE)*G1655)</f>
        <v/>
      </c>
      <c r="V1655" s="78" t="str">
        <f>IF(NOT(ISNUMBER(G1655)), "", VLOOKUP(A1655,'Discount Lookup'!G:H,2,FALSE)*G1655)</f>
        <v/>
      </c>
      <c r="W1655" s="102">
        <f t="shared" si="1170"/>
        <v>0</v>
      </c>
      <c r="X1655" s="102">
        <f t="shared" si="1171"/>
        <v>0</v>
      </c>
      <c r="Y1655" s="120" t="b">
        <f t="shared" si="1172"/>
        <v>0</v>
      </c>
      <c r="Z1655" s="117">
        <f t="shared" si="1173"/>
        <v>0</v>
      </c>
      <c r="AA1655" s="118"/>
      <c r="AB1655" s="118" t="str">
        <f t="shared" si="1174"/>
        <v/>
      </c>
      <c r="AC1655" s="712" t="str">
        <f>IF(AE1655="T2G","no charge",IF(AND(OR(PlanterYesMe="No",PlanterYesMe="N",PlanterYesMe="me"),H1655=""),"",IF(H1655="credit","NO install",IF(AND(K1655="",AE1655="me"),"EACH row",IF(AND(K1655="images",AE1655="me"),"EACH row",IF(D1655="","",IF(H1655="credit","",IF(AE1655="free","re-planting",IF(AE1655="me","   not ELP, by",IF(AND(OR(PlanterYesMe="Yes",PlanterYesMe="Y"),G1655&gt;0),(VLOOKUP(A1655,'Discount Lookup'!J:K,2)*G1655*(1-PlanterDiscount)*(1+PlanterDifficultyPercentage)),IF(AE1655="ELP",(VLOOKUP(A1655,'Discount Lookup'!J:K,2)*G1655*(1-PlanterDiscount)*(1+PlanterDifficultyPercentage)),IF(AE1655="free","re-planting",IF(G1655=0,"",IF(PlanterYesMe="",IF(AE1655="me","   not ELP, by",IF(AE1655="",IF(G1655&gt;0,(VLOOKUP(A1655,'Discount Lookup'!J:K,2)*G1655*(1-PlanterDiscount)*(1+PlanterDifficultyPercentage)),""),"")),"   not ELP, by"))))))))))))))</f>
        <v/>
      </c>
      <c r="AD1655" s="712"/>
      <c r="AE1655" s="513" t="str">
        <f t="shared" si="1175"/>
        <v/>
      </c>
      <c r="AF1655" s="713" t="str">
        <f t="shared" si="1176"/>
        <v/>
      </c>
      <c r="AG1655" s="713"/>
      <c r="AH1655" s="713"/>
      <c r="AI1655" s="112">
        <f>IF(H1655="credit",0,IF(AE1655="free",0,IF(AE1655="me",0,IF(G1655&gt;0,(VLOOKUP(A1655,'Discount Lookup'!J:K,2)*G1655),0))))</f>
        <v>0</v>
      </c>
      <c r="AJ1655" s="107" t="str">
        <f t="shared" ca="1" si="1177"/>
        <v/>
      </c>
      <c r="AK1655" s="714" t="str">
        <f t="shared" si="1178"/>
        <v/>
      </c>
      <c r="AL1655" s="714"/>
      <c r="AM1655" s="114" t="str">
        <f t="shared" si="1179"/>
        <v/>
      </c>
      <c r="AN1655" s="115"/>
      <c r="AO1655" s="116"/>
      <c r="AP1655" s="116"/>
      <c r="AQ1655" s="116"/>
      <c r="AR1655" s="116"/>
      <c r="AS1655" s="116"/>
      <c r="AT1655" s="116"/>
      <c r="AU1655" s="116"/>
      <c r="AV1655" s="78"/>
      <c r="AW1655" s="102"/>
      <c r="AX1655" s="78"/>
      <c r="AY1655" s="78"/>
      <c r="AZ1655" s="78"/>
      <c r="BA1655" s="78"/>
      <c r="BB1655" s="78"/>
      <c r="BC1655" s="78"/>
      <c r="BD1655" s="78"/>
      <c r="BE1655" s="465"/>
      <c r="BF1655" s="165" t="str">
        <f t="shared" si="1180"/>
        <v>https://www.google.com/search?tbm=isch&amp;q=Kleim%27s%20Hardy%20is%20cold-resistant%2C%20fragrant%2C%20and%20has%20a%20traditional%20gardenia%20%27look%27%20%28unlike%20skinny%20foliage%20of%20%20%27Frostproof%27%29%20</v>
      </c>
      <c r="BG1655" s="165" t="str">
        <f t="shared" si="1181"/>
        <v>K</v>
      </c>
      <c r="BH1655" s="65"/>
      <c r="BI1655" s="65"/>
      <c r="BJ1655" s="65"/>
      <c r="BK1655" s="65"/>
      <c r="BL1655" s="99"/>
      <c r="BM1655" s="99"/>
      <c r="BN1655" s="99"/>
    </row>
    <row r="1656" spans="1:66" s="51" customFormat="1" ht="18" x14ac:dyDescent="0.25">
      <c r="A1656" s="507" t="s">
        <v>4605</v>
      </c>
      <c r="B1656" s="470"/>
      <c r="C1656" s="706"/>
      <c r="D1656" s="471" t="s">
        <v>5662</v>
      </c>
      <c r="E1656" s="472"/>
      <c r="F1656" s="472"/>
      <c r="G1656" s="472"/>
      <c r="H1656" s="622" t="s">
        <v>1124</v>
      </c>
      <c r="I1656" s="473" t="s">
        <v>349</v>
      </c>
      <c r="J1656" s="472"/>
      <c r="K1656" s="472"/>
      <c r="L1656" s="561"/>
      <c r="M1656" s="698" t="s">
        <v>5246</v>
      </c>
      <c r="N1656" s="692" t="str">
        <f>IF(AND(ISTEXT($A1656), ISERROR($A1656+0)), HYPERLINK($BF1656, "Images"), "")</f>
        <v>Images</v>
      </c>
      <c r="O1656" s="694" t="s">
        <v>5247</v>
      </c>
      <c r="P1656" s="475"/>
      <c r="Q1656" s="476"/>
      <c r="R1656" s="476"/>
      <c r="S1656" s="477"/>
      <c r="T1656" s="102">
        <f t="shared" si="1169"/>
        <v>0</v>
      </c>
      <c r="U1656" s="78" t="str">
        <f>IF(NOT(ISNUMBER(G1656)), "", VLOOKUP(A1656,'Discount Lookup'!D:E,2,FALSE)*G1656)</f>
        <v/>
      </c>
      <c r="V1656" s="78" t="str">
        <f>IF(NOT(ISNUMBER(G1656)), "", VLOOKUP(A1656,'Discount Lookup'!G:H,2,FALSE)*G1656)</f>
        <v/>
      </c>
      <c r="W1656" s="102">
        <f t="shared" si="1170"/>
        <v>0</v>
      </c>
      <c r="X1656" s="102" t="str">
        <f t="shared" si="1171"/>
        <v>White bloom</v>
      </c>
      <c r="Y1656" s="120" t="b">
        <f t="shared" si="1172"/>
        <v>0</v>
      </c>
      <c r="Z1656" s="117">
        <f t="shared" si="1173"/>
        <v>0</v>
      </c>
      <c r="AA1656" s="118"/>
      <c r="AB1656" s="118" t="str">
        <f t="shared" si="1174"/>
        <v/>
      </c>
      <c r="AC1656" s="712" t="str">
        <f>IF(AE1656="T2G","no charge",IF(AND(OR(PlanterYesMe="No",PlanterYesMe="N",PlanterYesMe="me"),H1656=""),"",IF(H1656="credit","NO install",IF(AND(K1656="",AE1656="me"),"EACH row",IF(AND(K1656="images",AE1656="me"),"EACH row",IF(D1656="","",IF(H1656="credit","",IF(AE1656="free","re-planting",IF(AE1656="me","   not ELP, by",IF(AND(OR(PlanterYesMe="Yes",PlanterYesMe="Y"),G1656&gt;0),(VLOOKUP(A1656,'Discount Lookup'!J:K,2)*G1656*(1-PlanterDiscount)*(1+PlanterDifficultyPercentage)),IF(AE1656="ELP",(VLOOKUP(A1656,'Discount Lookup'!J:K,2)*G1656*(1-PlanterDiscount)*(1+PlanterDifficultyPercentage)),IF(AE1656="free","re-planting",IF(G1656=0,"",IF(PlanterYesMe="",IF(AE1656="me","   not ELP, by",IF(AE1656="",IF(G1656&gt;0,(VLOOKUP(A1656,'Discount Lookup'!J:K,2)*G1656*(1-PlanterDiscount)*(1+PlanterDifficultyPercentage)),""),"")),"   not ELP, by"))))))))))))))</f>
        <v/>
      </c>
      <c r="AD1656" s="712"/>
      <c r="AE1656" s="513" t="str">
        <f t="shared" si="1175"/>
        <v/>
      </c>
      <c r="AF1656" s="713" t="str">
        <f t="shared" si="1176"/>
        <v/>
      </c>
      <c r="AG1656" s="713"/>
      <c r="AH1656" s="713"/>
      <c r="AI1656" s="112">
        <f>IF(H1656="credit",0,IF(AE1656="free",0,IF(AE1656="me",0,IF(G1656&gt;0,(VLOOKUP(A1656,'Discount Lookup'!J:K,2)*G1656),0))))</f>
        <v>0</v>
      </c>
      <c r="AJ1656" s="107" t="str">
        <f t="shared" ca="1" si="1177"/>
        <v/>
      </c>
      <c r="AK1656" s="714" t="str">
        <f t="shared" si="1178"/>
        <v/>
      </c>
      <c r="AL1656" s="714"/>
      <c r="AM1656" s="114" t="str">
        <f t="shared" si="1179"/>
        <v/>
      </c>
      <c r="AN1656" s="115"/>
      <c r="AO1656" s="116"/>
      <c r="AP1656" s="116"/>
      <c r="AQ1656" s="116"/>
      <c r="AR1656" s="116"/>
      <c r="AS1656" s="116"/>
      <c r="AT1656" s="116"/>
      <c r="AU1656" s="116"/>
      <c r="AV1656" s="78"/>
      <c r="AW1656" s="102"/>
      <c r="AX1656" s="78"/>
      <c r="AY1656" s="78"/>
      <c r="AZ1656" s="78"/>
      <c r="BA1656" s="78"/>
      <c r="BB1656" s="78"/>
      <c r="BC1656" s="78"/>
      <c r="BD1656" s="78"/>
      <c r="BE1656" s="465"/>
      <c r="BF1656" s="165" t="str">
        <f t="shared" si="1180"/>
        <v>https://www.google.com/search?tbm=isch&amp;q=Gardenia%20jasminoides%20%27Leeone%27%2C%20PP%2321983%20Jubilation%E2%84%A2%20Gardenia</v>
      </c>
      <c r="BG1656" s="165" t="str">
        <f t="shared" si="1181"/>
        <v>G</v>
      </c>
      <c r="BH1656" s="65"/>
      <c r="BI1656" s="65"/>
      <c r="BJ1656" s="65"/>
      <c r="BK1656" s="65"/>
      <c r="BL1656" s="99"/>
      <c r="BM1656" s="99"/>
      <c r="BN1656" s="99"/>
    </row>
    <row r="1657" spans="1:66" s="51" customFormat="1" ht="15.75" x14ac:dyDescent="0.25">
      <c r="A1657" s="478">
        <v>3</v>
      </c>
      <c r="B1657" s="479" t="s">
        <v>291</v>
      </c>
      <c r="C1657" s="480" t="s">
        <v>345</v>
      </c>
      <c r="D1657" s="481" t="s">
        <v>329</v>
      </c>
      <c r="E1657" s="482">
        <v>35.950000000000003</v>
      </c>
      <c r="F1657" s="483" t="s">
        <v>292</v>
      </c>
      <c r="G1657" s="484">
        <v>0</v>
      </c>
      <c r="H1657" s="688" t="str">
        <f>IF(G1657=0,"",IF(F1657="Buy",IF(G1657=1,"plant","plants"),IF(F1657&gt;0.01,"warranty","Error")))</f>
        <v/>
      </c>
      <c r="I1657" s="485">
        <f>IF(H1657="free",0,IF(H1657="credit",((E1657*(F1657))*G1657*-1),IF(F1657="Buy",(E1657*G1657),((E1657*(1-F1657))*G1657))))</f>
        <v>0</v>
      </c>
      <c r="J1657" s="485">
        <f>IF(H1657="warranty",0,(I1657*(_xlfn.SINGLE(SalesTaxPercentage))))</f>
        <v>0</v>
      </c>
      <c r="K1657" s="715">
        <f t="shared" ref="K1657" si="1198">I1657+J1657</f>
        <v>0</v>
      </c>
      <c r="L1657" s="715"/>
      <c r="M1657" s="689" t="str">
        <f ca="1">IF(AND(G1657&gt;0,E1657=0),"WARNING - no PRICE inserted",IF(H1657="free","FREE ~ no charge this plant",IF(H1657="credit",CONCATENATE("-$",ROUND(K1657*(1-_xlfn.SINGLE(T2GDiscount))*-1,2)," CREDIT after discount"),IF(_xlfn.SINGLE(T2GDiscount)=0,"",IF(G1657=0,"",IF(F1657="Buy",CONCATENATE("$",ROUND(K1657*(1-_xlfn.SINGLE(T2GDiscount)),2)," with ",(_xlfn.SINGLE(T2GDiscount)*100),"% discount"),CONCATENATE("$",ROUND(K1657*(1-_xlfn.SINGLE(T2GDiscount)),2)," with ",((_xlfn.SINGLE(T2GDiscount)*100+F1657*100)-(_xlfn.SINGLE(T2GDiscount)*100*F1657)),IF(F1657&gt;0,"% discounts",IF(_xlfn.SINGLE(NoWarrantyDiscount)&gt;0,"% discounts","% discount")))))))))</f>
        <v/>
      </c>
      <c r="N1657" s="690"/>
      <c r="O1657" s="486"/>
      <c r="P1657" s="486"/>
      <c r="Q1657" s="486"/>
      <c r="R1657" s="486"/>
      <c r="S1657" s="486"/>
      <c r="T1657" s="102">
        <f t="shared" si="1169"/>
        <v>0</v>
      </c>
      <c r="U1657" s="78">
        <f>IF(NOT(ISNUMBER(G1657)), "", VLOOKUP(A1657,'Discount Lookup'!D:E,2,FALSE)*G1657)</f>
        <v>0</v>
      </c>
      <c r="V1657" s="78">
        <f>IF(NOT(ISNUMBER(G1657)), "", VLOOKUP(A1657,'Discount Lookup'!G:H,2,FALSE)*G1657)</f>
        <v>0</v>
      </c>
      <c r="W1657" s="102">
        <f t="shared" si="1170"/>
        <v>0</v>
      </c>
      <c r="X1657" s="102">
        <f t="shared" si="1171"/>
        <v>0</v>
      </c>
      <c r="Y1657" s="120" t="b">
        <f t="shared" si="1172"/>
        <v>0</v>
      </c>
      <c r="Z1657" s="117">
        <f t="shared" si="1173"/>
        <v>0</v>
      </c>
      <c r="AA1657" s="118"/>
      <c r="AB1657" s="118" t="str">
        <f t="shared" si="1174"/>
        <v/>
      </c>
      <c r="AC1657" s="712" t="str">
        <f>IF(AE1657="T2G","no charge",IF(AND(OR(PlanterYesMe="No",PlanterYesMe="N",PlanterYesMe="me"),H1657=""),"",IF(H1657="credit","NO install",IF(AND(K1657="",AE1657="me"),"EACH row",IF(AND(K1657="images",AE1657="me"),"EACH row",IF(D1657="","",IF(H1657="credit","",IF(AE1657="free","re-planting",IF(AE1657="me","   not ELP, by",IF(AND(OR(PlanterYesMe="Yes",PlanterYesMe="Y"),G1657&gt;0),(VLOOKUP(A1657,'Discount Lookup'!J:K,2)*G1657*(1-PlanterDiscount)*(1+PlanterDifficultyPercentage)),IF(AE1657="ELP",(VLOOKUP(A1657,'Discount Lookup'!J:K,2)*G1657*(1-PlanterDiscount)*(1+PlanterDifficultyPercentage)),IF(AE1657="free","re-planting",IF(G1657=0,"",IF(PlanterYesMe="",IF(AE1657="me","   not ELP, by",IF(AE1657="",IF(G1657&gt;0,(VLOOKUP(A1657,'Discount Lookup'!J:K,2)*G1657*(1-PlanterDiscount)*(1+PlanterDifficultyPercentage)),""),"")),"   not ELP, by"))))))))))))))</f>
        <v/>
      </c>
      <c r="AD1657" s="712"/>
      <c r="AE1657" s="513" t="str">
        <f t="shared" si="1175"/>
        <v/>
      </c>
      <c r="AF1657" s="713" t="str">
        <f t="shared" si="1176"/>
        <v/>
      </c>
      <c r="AG1657" s="713"/>
      <c r="AH1657" s="713"/>
      <c r="AI1657" s="112">
        <f>IF(H1657="credit",0,IF(AE1657="free",0,IF(AE1657="me",0,IF(G1657&gt;0,(VLOOKUP(A1657,'Discount Lookup'!J:K,2)*G1657),0))))</f>
        <v>0</v>
      </c>
      <c r="AJ1657" s="107" t="str">
        <f t="shared" ca="1" si="1177"/>
        <v/>
      </c>
      <c r="AK1657" s="714" t="str">
        <f t="shared" si="1178"/>
        <v/>
      </c>
      <c r="AL1657" s="714"/>
      <c r="AM1657" s="114" t="str">
        <f t="shared" si="1179"/>
        <v/>
      </c>
      <c r="AN1657" s="115"/>
      <c r="AO1657" s="116"/>
      <c r="AP1657" s="116"/>
      <c r="AQ1657" s="116"/>
      <c r="AR1657" s="116"/>
      <c r="AS1657" s="116"/>
      <c r="AT1657" s="116"/>
      <c r="AU1657" s="116"/>
      <c r="AV1657" s="78"/>
      <c r="AW1657" s="102"/>
      <c r="AX1657" s="78"/>
      <c r="AY1657" s="78"/>
      <c r="AZ1657" s="78"/>
      <c r="BA1657" s="78"/>
      <c r="BB1657" s="78"/>
      <c r="BC1657" s="78"/>
      <c r="BD1657" s="78"/>
      <c r="BE1657" s="465"/>
      <c r="BF1657" s="165" t="str">
        <f t="shared" si="1180"/>
        <v>https://www.google.com/search?tbm=isch&amp;q=3%20G2</v>
      </c>
      <c r="BG1657" s="165" t="str">
        <f t="shared" si="1181"/>
        <v>G</v>
      </c>
      <c r="BH1657" s="65"/>
      <c r="BI1657" s="65"/>
      <c r="BJ1657" s="65"/>
      <c r="BK1657" s="65"/>
      <c r="BL1657" s="99"/>
      <c r="BM1657" s="99"/>
      <c r="BN1657" s="99"/>
    </row>
    <row r="1658" spans="1:66" s="51" customFormat="1" ht="17.25" thickBot="1" x14ac:dyDescent="0.3">
      <c r="A1658" s="508" t="s">
        <v>4729</v>
      </c>
      <c r="B1658" s="487"/>
      <c r="C1658" s="707"/>
      <c r="D1658" s="487"/>
      <c r="E1658" s="487"/>
      <c r="F1658" s="488"/>
      <c r="G1658" s="489"/>
      <c r="H1658" s="487"/>
      <c r="I1658" s="490"/>
      <c r="J1658" s="490"/>
      <c r="K1658" s="491"/>
      <c r="L1658" s="547"/>
      <c r="M1658" s="528"/>
      <c r="N1658" s="492"/>
      <c r="O1658" s="493"/>
      <c r="P1658" s="494"/>
      <c r="Q1658" s="492"/>
      <c r="R1658" s="492"/>
      <c r="S1658" s="699" t="s">
        <v>5276</v>
      </c>
      <c r="T1658" s="102">
        <f t="shared" si="1169"/>
        <v>0</v>
      </c>
      <c r="U1658" s="78" t="str">
        <f>IF(NOT(ISNUMBER(G1658)), "", VLOOKUP(A1658,'Discount Lookup'!D:E,2,FALSE)*G1658)</f>
        <v/>
      </c>
      <c r="V1658" s="78" t="str">
        <f>IF(NOT(ISNUMBER(G1658)), "", VLOOKUP(A1658,'Discount Lookup'!G:H,2,FALSE)*G1658)</f>
        <v/>
      </c>
      <c r="W1658" s="102">
        <f t="shared" si="1170"/>
        <v>0</v>
      </c>
      <c r="X1658" s="102">
        <f t="shared" si="1171"/>
        <v>0</v>
      </c>
      <c r="Y1658" s="120" t="b">
        <f t="shared" si="1172"/>
        <v>0</v>
      </c>
      <c r="Z1658" s="117">
        <f t="shared" si="1173"/>
        <v>0</v>
      </c>
      <c r="AA1658" s="118"/>
      <c r="AB1658" s="118" t="str">
        <f t="shared" si="1174"/>
        <v/>
      </c>
      <c r="AC1658" s="712" t="str">
        <f>IF(AE1658="T2G","no charge",IF(AND(OR(PlanterYesMe="No",PlanterYesMe="N",PlanterYesMe="me"),H1658=""),"",IF(H1658="credit","NO install",IF(AND(K1658="",AE1658="me"),"EACH row",IF(AND(K1658="images",AE1658="me"),"EACH row",IF(D1658="","",IF(H1658="credit","",IF(AE1658="free","re-planting",IF(AE1658="me","   not ELP, by",IF(AND(OR(PlanterYesMe="Yes",PlanterYesMe="Y"),G1658&gt;0),(VLOOKUP(A1658,'Discount Lookup'!J:K,2)*G1658*(1-PlanterDiscount)*(1+PlanterDifficultyPercentage)),IF(AE1658="ELP",(VLOOKUP(A1658,'Discount Lookup'!J:K,2)*G1658*(1-PlanterDiscount)*(1+PlanterDifficultyPercentage)),IF(AE1658="free","re-planting",IF(G1658=0,"",IF(PlanterYesMe="",IF(AE1658="me","   not ELP, by",IF(AE1658="",IF(G1658&gt;0,(VLOOKUP(A1658,'Discount Lookup'!J:K,2)*G1658*(1-PlanterDiscount)*(1+PlanterDifficultyPercentage)),""),"")),"   not ELP, by"))))))))))))))</f>
        <v/>
      </c>
      <c r="AD1658" s="712"/>
      <c r="AE1658" s="513" t="str">
        <f t="shared" si="1175"/>
        <v/>
      </c>
      <c r="AF1658" s="713" t="str">
        <f t="shared" si="1176"/>
        <v/>
      </c>
      <c r="AG1658" s="713"/>
      <c r="AH1658" s="713"/>
      <c r="AI1658" s="112">
        <f>IF(H1658="credit",0,IF(AE1658="free",0,IF(AE1658="me",0,IF(G1658&gt;0,(VLOOKUP(A1658,'Discount Lookup'!J:K,2)*G1658),0))))</f>
        <v>0</v>
      </c>
      <c r="AJ1658" s="107" t="str">
        <f t="shared" ca="1" si="1177"/>
        <v/>
      </c>
      <c r="AK1658" s="714" t="str">
        <f t="shared" si="1178"/>
        <v/>
      </c>
      <c r="AL1658" s="714"/>
      <c r="AM1658" s="114" t="str">
        <f t="shared" si="1179"/>
        <v/>
      </c>
      <c r="AN1658" s="115"/>
      <c r="AO1658" s="116"/>
      <c r="AP1658" s="116"/>
      <c r="AQ1658" s="116"/>
      <c r="AR1658" s="116"/>
      <c r="AS1658" s="116"/>
      <c r="AT1658" s="116"/>
      <c r="AU1658" s="116"/>
      <c r="AV1658" s="78"/>
      <c r="AW1658" s="102"/>
      <c r="AX1658" s="78"/>
      <c r="AY1658" s="78"/>
      <c r="AZ1658" s="78"/>
      <c r="BA1658" s="78"/>
      <c r="BB1658" s="78"/>
      <c r="BC1658" s="78"/>
      <c r="BD1658" s="78"/>
      <c r="BE1658" s="465"/>
      <c r="BF1658" s="165" t="str">
        <f t="shared" si="1180"/>
        <v>https://www.google.com/search?tbm=isch&amp;q=Jubilation%20has%20exceptionally%20fragrant%2C%20%20semi-double%20flowers%20that%20bloom%20in%20both%20spring%20and%20a%20second%20flush%20in%20the%20fall%20</v>
      </c>
      <c r="BG1658" s="165" t="str">
        <f t="shared" si="1181"/>
        <v>J</v>
      </c>
      <c r="BH1658" s="65"/>
      <c r="BI1658" s="65"/>
      <c r="BJ1658" s="65"/>
      <c r="BK1658" s="65"/>
      <c r="BL1658" s="99"/>
      <c r="BM1658" s="99"/>
      <c r="BN1658" s="99"/>
    </row>
    <row r="1659" spans="1:66" s="51" customFormat="1" ht="18" x14ac:dyDescent="0.25">
      <c r="A1659" s="507" t="s">
        <v>2564</v>
      </c>
      <c r="B1659" s="470"/>
      <c r="C1659" s="706"/>
      <c r="D1659" s="471" t="s">
        <v>2565</v>
      </c>
      <c r="E1659" s="472"/>
      <c r="F1659" s="472"/>
      <c r="G1659" s="472"/>
      <c r="H1659" s="622" t="s">
        <v>2566</v>
      </c>
      <c r="I1659" s="473" t="s">
        <v>349</v>
      </c>
      <c r="J1659" s="472"/>
      <c r="K1659" s="472"/>
      <c r="L1659" s="561"/>
      <c r="M1659" s="698" t="s">
        <v>5246</v>
      </c>
      <c r="N1659" s="692" t="str">
        <f>IF(AND(ISTEXT($A1659), ISERROR($A1659+0)), HYPERLINK($BF1659, "Images"), "")</f>
        <v>Images</v>
      </c>
      <c r="O1659" s="694" t="s">
        <v>5247</v>
      </c>
      <c r="P1659" s="475"/>
      <c r="Q1659" s="476"/>
      <c r="R1659" s="476"/>
      <c r="S1659" s="477"/>
      <c r="T1659" s="102">
        <f t="shared" si="1169"/>
        <v>0</v>
      </c>
      <c r="U1659" s="78" t="str">
        <f>IF(NOT(ISNUMBER(G1659)), "", VLOOKUP(A1659,'Discount Lookup'!D:E,2,FALSE)*G1659)</f>
        <v/>
      </c>
      <c r="V1659" s="78" t="str">
        <f>IF(NOT(ISNUMBER(G1659)), "", VLOOKUP(A1659,'Discount Lookup'!G:H,2,FALSE)*G1659)</f>
        <v/>
      </c>
      <c r="W1659" s="102">
        <f t="shared" si="1170"/>
        <v>0</v>
      </c>
      <c r="X1659" s="102" t="str">
        <f t="shared" si="1171"/>
        <v>White bloom</v>
      </c>
      <c r="Y1659" s="120" t="b">
        <f t="shared" si="1172"/>
        <v>0</v>
      </c>
      <c r="Z1659" s="117">
        <f t="shared" si="1173"/>
        <v>0</v>
      </c>
      <c r="AA1659" s="118"/>
      <c r="AB1659" s="118" t="str">
        <f t="shared" si="1174"/>
        <v/>
      </c>
      <c r="AC1659" s="712" t="str">
        <f>IF(AE1659="T2G","no charge",IF(AND(OR(PlanterYesMe="No",PlanterYesMe="N",PlanterYesMe="me"),H1659=""),"",IF(H1659="credit","NO install",IF(AND(K1659="",AE1659="me"),"EACH row",IF(AND(K1659="images",AE1659="me"),"EACH row",IF(D1659="","",IF(H1659="credit","",IF(AE1659="free","re-planting",IF(AE1659="me","   not ELP, by",IF(AND(OR(PlanterYesMe="Yes",PlanterYesMe="Y"),G1659&gt;0),(VLOOKUP(A1659,'Discount Lookup'!J:K,2)*G1659*(1-PlanterDiscount)*(1+PlanterDifficultyPercentage)),IF(AE1659="ELP",(VLOOKUP(A1659,'Discount Lookup'!J:K,2)*G1659*(1-PlanterDiscount)*(1+PlanterDifficultyPercentage)),IF(AE1659="free","re-planting",IF(G1659=0,"",IF(PlanterYesMe="",IF(AE1659="me","   not ELP, by",IF(AE1659="",IF(G1659&gt;0,(VLOOKUP(A1659,'Discount Lookup'!J:K,2)*G1659*(1-PlanterDiscount)*(1+PlanterDifficultyPercentage)),""),"")),"   not ELP, by"))))))))))))))</f>
        <v/>
      </c>
      <c r="AD1659" s="712"/>
      <c r="AE1659" s="513" t="str">
        <f t="shared" si="1175"/>
        <v/>
      </c>
      <c r="AF1659" s="713" t="str">
        <f t="shared" si="1176"/>
        <v/>
      </c>
      <c r="AG1659" s="713"/>
      <c r="AH1659" s="713"/>
      <c r="AI1659" s="112">
        <f>IF(H1659="credit",0,IF(AE1659="free",0,IF(AE1659="me",0,IF(G1659&gt;0,(VLOOKUP(A1659,'Discount Lookup'!J:K,2)*G1659),0))))</f>
        <v>0</v>
      </c>
      <c r="AJ1659" s="107" t="str">
        <f t="shared" ca="1" si="1177"/>
        <v/>
      </c>
      <c r="AK1659" s="714" t="str">
        <f t="shared" si="1178"/>
        <v/>
      </c>
      <c r="AL1659" s="714"/>
      <c r="AM1659" s="114" t="str">
        <f t="shared" si="1179"/>
        <v/>
      </c>
      <c r="AN1659" s="115"/>
      <c r="AO1659" s="116"/>
      <c r="AP1659" s="116"/>
      <c r="AQ1659" s="116"/>
      <c r="AR1659" s="116"/>
      <c r="AS1659" s="116"/>
      <c r="AT1659" s="116"/>
      <c r="AU1659" s="116"/>
      <c r="AV1659" s="78"/>
      <c r="AW1659" s="102"/>
      <c r="AX1659" s="78"/>
      <c r="AY1659" s="78"/>
      <c r="AZ1659" s="78"/>
      <c r="BA1659" s="78"/>
      <c r="BB1659" s="78"/>
      <c r="BC1659" s="78"/>
      <c r="BD1659" s="78"/>
      <c r="BE1659" s="465"/>
      <c r="BF1659" s="165" t="str">
        <f t="shared" si="1180"/>
        <v>https://www.google.com/search?tbm=isch&amp;q=Gardenia%20jasminoides%20%27Radicans%27%20Trailing%20Dwarf%20Gardenia</v>
      </c>
      <c r="BG1659" s="165" t="str">
        <f t="shared" si="1181"/>
        <v>G</v>
      </c>
      <c r="BH1659" s="65"/>
      <c r="BI1659" s="65"/>
      <c r="BJ1659" s="65"/>
      <c r="BK1659" s="65"/>
      <c r="BL1659" s="99"/>
      <c r="BM1659" s="99"/>
      <c r="BN1659" s="99"/>
    </row>
    <row r="1660" spans="1:66" s="51" customFormat="1" ht="15.75" x14ac:dyDescent="0.25">
      <c r="A1660" s="478">
        <v>1</v>
      </c>
      <c r="B1660" s="479" t="s">
        <v>291</v>
      </c>
      <c r="C1660" s="480"/>
      <c r="D1660" s="481" t="s">
        <v>310</v>
      </c>
      <c r="E1660" s="482">
        <v>7.95</v>
      </c>
      <c r="F1660" s="483" t="s">
        <v>292</v>
      </c>
      <c r="G1660" s="484">
        <v>0</v>
      </c>
      <c r="H1660" s="688" t="str">
        <f>IF(G1660=0,"",IF(F1660="Buy",IF(G1660=1,"plant","plants"),IF(F1660&gt;0.01,"warranty","Error")))</f>
        <v/>
      </c>
      <c r="I1660" s="485">
        <f>IF(H1660="free",0,IF(H1660="credit",((E1660*(F1660))*G1660*-1),IF(F1660="Buy",(E1660*G1660),((E1660*(1-F1660))*G1660))))</f>
        <v>0</v>
      </c>
      <c r="J1660" s="485">
        <f>IF(H1660="warranty",0,(I1660*(_xlfn.SINGLE(SalesTaxPercentage))))</f>
        <v>0</v>
      </c>
      <c r="K1660" s="715">
        <f t="shared" ref="K1660" si="1199">I1660+J1660</f>
        <v>0</v>
      </c>
      <c r="L1660" s="715"/>
      <c r="M1660" s="689" t="str">
        <f ca="1">IF(AND(G1660&gt;0,E1660=0),"WARNING - no PRICE inserted",IF(H1660="free","FREE ~ no charge this plant",IF(H1660="credit",CONCATENATE("-$",ROUND(K1660*(1-_xlfn.SINGLE(T2GDiscount))*-1,2)," CREDIT after discount"),IF(_xlfn.SINGLE(T2GDiscount)=0,"",IF(G1660=0,"",IF(F1660="Buy",CONCATENATE("$",ROUND(K1660*(1-_xlfn.SINGLE(T2GDiscount)),2)," with ",(_xlfn.SINGLE(T2GDiscount)*100),"% discount"),CONCATENATE("$",ROUND(K1660*(1-_xlfn.SINGLE(T2GDiscount)),2)," with ",((_xlfn.SINGLE(T2GDiscount)*100+F1660*100)-(_xlfn.SINGLE(T2GDiscount)*100*F1660)),IF(F1660&gt;0,"% discounts",IF(_xlfn.SINGLE(NoWarrantyDiscount)&gt;0,"% discounts","% discount")))))))))</f>
        <v/>
      </c>
      <c r="N1660" s="690"/>
      <c r="O1660" s="486"/>
      <c r="P1660" s="486"/>
      <c r="Q1660" s="486"/>
      <c r="R1660" s="486"/>
      <c r="S1660" s="486"/>
      <c r="T1660" s="102">
        <f t="shared" si="1169"/>
        <v>0</v>
      </c>
      <c r="U1660" s="78">
        <f>IF(NOT(ISNUMBER(G1660)), "", VLOOKUP(A1660,'Discount Lookup'!D:E,2,FALSE)*G1660)</f>
        <v>0</v>
      </c>
      <c r="V1660" s="78">
        <f>IF(NOT(ISNUMBER(G1660)), "", VLOOKUP(A1660,'Discount Lookup'!G:H,2,FALSE)*G1660)</f>
        <v>0</v>
      </c>
      <c r="W1660" s="102">
        <f t="shared" si="1170"/>
        <v>0</v>
      </c>
      <c r="X1660" s="102">
        <f t="shared" si="1171"/>
        <v>0</v>
      </c>
      <c r="Y1660" s="120" t="b">
        <f t="shared" si="1172"/>
        <v>0</v>
      </c>
      <c r="Z1660" s="117">
        <f t="shared" si="1173"/>
        <v>0</v>
      </c>
      <c r="AA1660" s="118"/>
      <c r="AB1660" s="118" t="str">
        <f t="shared" si="1174"/>
        <v/>
      </c>
      <c r="AC1660" s="712" t="str">
        <f>IF(AE1660="T2G","no charge",IF(AND(OR(PlanterYesMe="No",PlanterYesMe="N",PlanterYesMe="me"),H1660=""),"",IF(H1660="credit","NO install",IF(AND(K1660="",AE1660="me"),"EACH row",IF(AND(K1660="images",AE1660="me"),"EACH row",IF(D1660="","",IF(H1660="credit","",IF(AE1660="free","re-planting",IF(AE1660="me","   not ELP, by",IF(AND(OR(PlanterYesMe="Yes",PlanterYesMe="Y"),G1660&gt;0),(VLOOKUP(A1660,'Discount Lookup'!J:K,2)*G1660*(1-PlanterDiscount)*(1+PlanterDifficultyPercentage)),IF(AE1660="ELP",(VLOOKUP(A1660,'Discount Lookup'!J:K,2)*G1660*(1-PlanterDiscount)*(1+PlanterDifficultyPercentage)),IF(AE1660="free","re-planting",IF(G1660=0,"",IF(PlanterYesMe="",IF(AE1660="me","   not ELP, by",IF(AE1660="",IF(G1660&gt;0,(VLOOKUP(A1660,'Discount Lookup'!J:K,2)*G1660*(1-PlanterDiscount)*(1+PlanterDifficultyPercentage)),""),"")),"   not ELP, by"))))))))))))))</f>
        <v/>
      </c>
      <c r="AD1660" s="712"/>
      <c r="AE1660" s="513" t="str">
        <f t="shared" si="1175"/>
        <v/>
      </c>
      <c r="AF1660" s="713" t="str">
        <f t="shared" si="1176"/>
        <v/>
      </c>
      <c r="AG1660" s="713"/>
      <c r="AH1660" s="713"/>
      <c r="AI1660" s="112">
        <f>IF(H1660="credit",0,IF(AE1660="free",0,IF(AE1660="me",0,IF(G1660&gt;0,(VLOOKUP(A1660,'Discount Lookup'!J:K,2)*G1660),0))))</f>
        <v>0</v>
      </c>
      <c r="AJ1660" s="107" t="str">
        <f t="shared" ca="1" si="1177"/>
        <v/>
      </c>
      <c r="AK1660" s="714" t="str">
        <f t="shared" si="1178"/>
        <v/>
      </c>
      <c r="AL1660" s="714"/>
      <c r="AM1660" s="114" t="str">
        <f t="shared" si="1179"/>
        <v/>
      </c>
      <c r="AN1660" s="115"/>
      <c r="AO1660" s="116"/>
      <c r="AP1660" s="116"/>
      <c r="AQ1660" s="116"/>
      <c r="AR1660" s="116"/>
      <c r="AS1660" s="116"/>
      <c r="AT1660" s="116"/>
      <c r="AU1660" s="116"/>
      <c r="AV1660" s="78"/>
      <c r="AW1660" s="102"/>
      <c r="AX1660" s="78"/>
      <c r="AY1660" s="78"/>
      <c r="AZ1660" s="78"/>
      <c r="BA1660" s="78"/>
      <c r="BB1660" s="78"/>
      <c r="BC1660" s="78"/>
      <c r="BD1660" s="78"/>
      <c r="BE1660" s="465"/>
      <c r="BF1660" s="165" t="str">
        <f t="shared" si="1180"/>
        <v>https://www.google.com/search?tbm=isch&amp;q=1%20G1</v>
      </c>
      <c r="BG1660" s="165" t="str">
        <f t="shared" si="1181"/>
        <v>G</v>
      </c>
      <c r="BH1660" s="65"/>
      <c r="BI1660" s="65"/>
      <c r="BJ1660" s="65"/>
      <c r="BK1660" s="65"/>
      <c r="BL1660" s="99"/>
      <c r="BM1660" s="99"/>
      <c r="BN1660" s="99"/>
    </row>
    <row r="1661" spans="1:66" s="51" customFormat="1" ht="15.75" x14ac:dyDescent="0.25">
      <c r="A1661" s="478">
        <v>3</v>
      </c>
      <c r="B1661" s="479" t="s">
        <v>291</v>
      </c>
      <c r="C1661" s="480"/>
      <c r="D1661" s="481" t="s">
        <v>310</v>
      </c>
      <c r="E1661" s="482">
        <v>26.95</v>
      </c>
      <c r="F1661" s="483" t="s">
        <v>292</v>
      </c>
      <c r="G1661" s="484">
        <v>0</v>
      </c>
      <c r="H1661" s="688" t="str">
        <f>IF(G1661=0,"",IF(F1661="Buy",IF(G1661=1,"plant","plants"),IF(F1661&gt;0.01,"warranty","Error")))</f>
        <v/>
      </c>
      <c r="I1661" s="485">
        <f>IF(H1661="free",0,IF(H1661="credit",((E1661*(F1661))*G1661*-1),IF(F1661="Buy",(E1661*G1661),((E1661*(1-F1661))*G1661))))</f>
        <v>0</v>
      </c>
      <c r="J1661" s="485">
        <f>IF(H1661="warranty",0,(I1661*(_xlfn.SINGLE(SalesTaxPercentage))))</f>
        <v>0</v>
      </c>
      <c r="K1661" s="715">
        <f t="shared" ref="K1661" si="1200">I1661+J1661</f>
        <v>0</v>
      </c>
      <c r="L1661" s="715"/>
      <c r="M1661" s="689" t="str">
        <f ca="1">IF(AND(G1661&gt;0,E1661=0),"WARNING - no PRICE inserted",IF(H1661="free","FREE ~ no charge this plant",IF(H1661="credit",CONCATENATE("-$",ROUND(K1661*(1-_xlfn.SINGLE(T2GDiscount))*-1,2)," CREDIT after discount"),IF(_xlfn.SINGLE(T2GDiscount)=0,"",IF(G1661=0,"",IF(F1661="Buy",CONCATENATE("$",ROUND(K1661*(1-_xlfn.SINGLE(T2GDiscount)),2)," with ",(_xlfn.SINGLE(T2GDiscount)*100),"% discount"),CONCATENATE("$",ROUND(K1661*(1-_xlfn.SINGLE(T2GDiscount)),2)," with ",((_xlfn.SINGLE(T2GDiscount)*100+F1661*100)-(_xlfn.SINGLE(T2GDiscount)*100*F1661)),IF(F1661&gt;0,"% discounts",IF(_xlfn.SINGLE(NoWarrantyDiscount)&gt;0,"% discounts","% discount")))))))))</f>
        <v/>
      </c>
      <c r="N1661" s="690"/>
      <c r="O1661" s="486"/>
      <c r="P1661" s="486"/>
      <c r="Q1661" s="486"/>
      <c r="R1661" s="486"/>
      <c r="S1661" s="486"/>
      <c r="T1661" s="102">
        <f t="shared" si="1169"/>
        <v>0</v>
      </c>
      <c r="U1661" s="78">
        <f>IF(NOT(ISNUMBER(G1661)), "", VLOOKUP(A1661,'Discount Lookup'!D:E,2,FALSE)*G1661)</f>
        <v>0</v>
      </c>
      <c r="V1661" s="78">
        <f>IF(NOT(ISNUMBER(G1661)), "", VLOOKUP(A1661,'Discount Lookup'!G:H,2,FALSE)*G1661)</f>
        <v>0</v>
      </c>
      <c r="W1661" s="102">
        <f t="shared" si="1170"/>
        <v>0</v>
      </c>
      <c r="X1661" s="102">
        <f t="shared" si="1171"/>
        <v>0</v>
      </c>
      <c r="Y1661" s="120" t="b">
        <f t="shared" si="1172"/>
        <v>0</v>
      </c>
      <c r="Z1661" s="117">
        <f t="shared" si="1173"/>
        <v>0</v>
      </c>
      <c r="AA1661" s="118"/>
      <c r="AB1661" s="118" t="str">
        <f t="shared" si="1174"/>
        <v/>
      </c>
      <c r="AC1661" s="712" t="str">
        <f>IF(AE1661="T2G","no charge",IF(AND(OR(PlanterYesMe="No",PlanterYesMe="N",PlanterYesMe="me"),H1661=""),"",IF(H1661="credit","NO install",IF(AND(K1661="",AE1661="me"),"EACH row",IF(AND(K1661="images",AE1661="me"),"EACH row",IF(D1661="","",IF(H1661="credit","",IF(AE1661="free","re-planting",IF(AE1661="me","   not ELP, by",IF(AND(OR(PlanterYesMe="Yes",PlanterYesMe="Y"),G1661&gt;0),(VLOOKUP(A1661,'Discount Lookup'!J:K,2)*G1661*(1-PlanterDiscount)*(1+PlanterDifficultyPercentage)),IF(AE1661="ELP",(VLOOKUP(A1661,'Discount Lookup'!J:K,2)*G1661*(1-PlanterDiscount)*(1+PlanterDifficultyPercentage)),IF(AE1661="free","re-planting",IF(G1661=0,"",IF(PlanterYesMe="",IF(AE1661="me","   not ELP, by",IF(AE1661="",IF(G1661&gt;0,(VLOOKUP(A1661,'Discount Lookup'!J:K,2)*G1661*(1-PlanterDiscount)*(1+PlanterDifficultyPercentage)),""),"")),"   not ELP, by"))))))))))))))</f>
        <v/>
      </c>
      <c r="AD1661" s="712"/>
      <c r="AE1661" s="513" t="str">
        <f t="shared" si="1175"/>
        <v/>
      </c>
      <c r="AF1661" s="713" t="str">
        <f t="shared" si="1176"/>
        <v/>
      </c>
      <c r="AG1661" s="713"/>
      <c r="AH1661" s="713"/>
      <c r="AI1661" s="112">
        <f>IF(H1661="credit",0,IF(AE1661="free",0,IF(AE1661="me",0,IF(G1661&gt;0,(VLOOKUP(A1661,'Discount Lookup'!J:K,2)*G1661),0))))</f>
        <v>0</v>
      </c>
      <c r="AJ1661" s="107" t="str">
        <f t="shared" ca="1" si="1177"/>
        <v/>
      </c>
      <c r="AK1661" s="714" t="str">
        <f t="shared" si="1178"/>
        <v/>
      </c>
      <c r="AL1661" s="714"/>
      <c r="AM1661" s="114" t="str">
        <f t="shared" si="1179"/>
        <v/>
      </c>
      <c r="AN1661" s="115"/>
      <c r="AO1661" s="116"/>
      <c r="AP1661" s="116"/>
      <c r="AQ1661" s="116"/>
      <c r="AR1661" s="116"/>
      <c r="AS1661" s="116"/>
      <c r="AT1661" s="116"/>
      <c r="AU1661" s="116"/>
      <c r="AV1661" s="78"/>
      <c r="AW1661" s="102"/>
      <c r="AX1661" s="78"/>
      <c r="AY1661" s="78"/>
      <c r="AZ1661" s="78"/>
      <c r="BA1661" s="78"/>
      <c r="BB1661" s="78"/>
      <c r="BC1661" s="78"/>
      <c r="BD1661" s="78"/>
      <c r="BE1661" s="465"/>
      <c r="BF1661" s="165" t="str">
        <f t="shared" si="1180"/>
        <v>https://www.google.com/search?tbm=isch&amp;q=3%20G1</v>
      </c>
      <c r="BG1661" s="165" t="str">
        <f t="shared" si="1181"/>
        <v>G</v>
      </c>
      <c r="BH1661" s="65"/>
      <c r="BI1661" s="65"/>
      <c r="BJ1661" s="65"/>
      <c r="BK1661" s="65"/>
      <c r="BL1661" s="99"/>
      <c r="BM1661" s="99"/>
      <c r="BN1661" s="99"/>
    </row>
    <row r="1662" spans="1:66" s="51" customFormat="1" ht="15.75" x14ac:dyDescent="0.25">
      <c r="A1662" s="478">
        <v>3</v>
      </c>
      <c r="B1662" s="479" t="s">
        <v>291</v>
      </c>
      <c r="C1662" s="480" t="s">
        <v>2567</v>
      </c>
      <c r="D1662" s="481" t="s">
        <v>329</v>
      </c>
      <c r="E1662" s="482">
        <v>29.95</v>
      </c>
      <c r="F1662" s="483" t="s">
        <v>292</v>
      </c>
      <c r="G1662" s="484">
        <v>0</v>
      </c>
      <c r="H1662" s="688" t="str">
        <f>IF(G1662=0,"",IF(F1662="Buy",IF(G1662=1,"plant","plants"),IF(F1662&gt;0.01,"warranty","Error")))</f>
        <v/>
      </c>
      <c r="I1662" s="485">
        <f>IF(H1662="free",0,IF(H1662="credit",((E1662*(F1662))*G1662*-1),IF(F1662="Buy",(E1662*G1662),((E1662*(1-F1662))*G1662))))</f>
        <v>0</v>
      </c>
      <c r="J1662" s="485">
        <f>IF(H1662="warranty",0,(I1662*(_xlfn.SINGLE(SalesTaxPercentage))))</f>
        <v>0</v>
      </c>
      <c r="K1662" s="715">
        <f t="shared" ref="K1662" si="1201">I1662+J1662</f>
        <v>0</v>
      </c>
      <c r="L1662" s="715"/>
      <c r="M1662" s="689" t="str">
        <f ca="1">IF(AND(G1662&gt;0,E1662=0),"WARNING - no PRICE inserted",IF(H1662="free","FREE ~ no charge this plant",IF(H1662="credit",CONCATENATE("-$",ROUND(K1662*(1-_xlfn.SINGLE(T2GDiscount))*-1,2)," CREDIT after discount"),IF(_xlfn.SINGLE(T2GDiscount)=0,"",IF(G1662=0,"",IF(F1662="Buy",CONCATENATE("$",ROUND(K1662*(1-_xlfn.SINGLE(T2GDiscount)),2)," with ",(_xlfn.SINGLE(T2GDiscount)*100),"% discount"),CONCATENATE("$",ROUND(K1662*(1-_xlfn.SINGLE(T2GDiscount)),2)," with ",((_xlfn.SINGLE(T2GDiscount)*100+F1662*100)-(_xlfn.SINGLE(T2GDiscount)*100*F1662)),IF(F1662&gt;0,"% discounts",IF(_xlfn.SINGLE(NoWarrantyDiscount)&gt;0,"% discounts","% discount")))))))))</f>
        <v/>
      </c>
      <c r="N1662" s="690"/>
      <c r="O1662" s="486"/>
      <c r="P1662" s="486"/>
      <c r="Q1662" s="486"/>
      <c r="R1662" s="486"/>
      <c r="S1662" s="486"/>
      <c r="T1662" s="102">
        <f t="shared" si="1169"/>
        <v>0</v>
      </c>
      <c r="U1662" s="78">
        <f>IF(NOT(ISNUMBER(G1662)), "", VLOOKUP(A1662,'Discount Lookup'!D:E,2,FALSE)*G1662)</f>
        <v>0</v>
      </c>
      <c r="V1662" s="78">
        <f>IF(NOT(ISNUMBER(G1662)), "", VLOOKUP(A1662,'Discount Lookup'!G:H,2,FALSE)*G1662)</f>
        <v>0</v>
      </c>
      <c r="W1662" s="102">
        <f t="shared" si="1170"/>
        <v>0</v>
      </c>
      <c r="X1662" s="102">
        <f t="shared" si="1171"/>
        <v>0</v>
      </c>
      <c r="Y1662" s="120" t="b">
        <f t="shared" si="1172"/>
        <v>0</v>
      </c>
      <c r="Z1662" s="117">
        <f t="shared" si="1173"/>
        <v>0</v>
      </c>
      <c r="AA1662" s="118"/>
      <c r="AB1662" s="118" t="str">
        <f t="shared" si="1174"/>
        <v/>
      </c>
      <c r="AC1662" s="712" t="str">
        <f>IF(AE1662="T2G","no charge",IF(AND(OR(PlanterYesMe="No",PlanterYesMe="N",PlanterYesMe="me"),H1662=""),"",IF(H1662="credit","NO install",IF(AND(K1662="",AE1662="me"),"EACH row",IF(AND(K1662="images",AE1662="me"),"EACH row",IF(D1662="","",IF(H1662="credit","",IF(AE1662="free","re-planting",IF(AE1662="me","   not ELP, by",IF(AND(OR(PlanterYesMe="Yes",PlanterYesMe="Y"),G1662&gt;0),(VLOOKUP(A1662,'Discount Lookup'!J:K,2)*G1662*(1-PlanterDiscount)*(1+PlanterDifficultyPercentage)),IF(AE1662="ELP",(VLOOKUP(A1662,'Discount Lookup'!J:K,2)*G1662*(1-PlanterDiscount)*(1+PlanterDifficultyPercentage)),IF(AE1662="free","re-planting",IF(G1662=0,"",IF(PlanterYesMe="",IF(AE1662="me","   not ELP, by",IF(AE1662="",IF(G1662&gt;0,(VLOOKUP(A1662,'Discount Lookup'!J:K,2)*G1662*(1-PlanterDiscount)*(1+PlanterDifficultyPercentage)),""),"")),"   not ELP, by"))))))))))))))</f>
        <v/>
      </c>
      <c r="AD1662" s="712"/>
      <c r="AE1662" s="513" t="str">
        <f t="shared" si="1175"/>
        <v/>
      </c>
      <c r="AF1662" s="713" t="str">
        <f t="shared" si="1176"/>
        <v/>
      </c>
      <c r="AG1662" s="713"/>
      <c r="AH1662" s="713"/>
      <c r="AI1662" s="112">
        <f>IF(H1662="credit",0,IF(AE1662="free",0,IF(AE1662="me",0,IF(G1662&gt;0,(VLOOKUP(A1662,'Discount Lookup'!J:K,2)*G1662),0))))</f>
        <v>0</v>
      </c>
      <c r="AJ1662" s="107" t="str">
        <f t="shared" ca="1" si="1177"/>
        <v/>
      </c>
      <c r="AK1662" s="714" t="str">
        <f t="shared" si="1178"/>
        <v/>
      </c>
      <c r="AL1662" s="714"/>
      <c r="AM1662" s="114" t="str">
        <f t="shared" si="1179"/>
        <v/>
      </c>
      <c r="AN1662" s="115"/>
      <c r="AO1662" s="116"/>
      <c r="AP1662" s="116"/>
      <c r="AQ1662" s="116"/>
      <c r="AR1662" s="116"/>
      <c r="AS1662" s="116"/>
      <c r="AT1662" s="116"/>
      <c r="AU1662" s="116"/>
      <c r="AV1662" s="78"/>
      <c r="AW1662" s="102"/>
      <c r="AX1662" s="78"/>
      <c r="AY1662" s="78"/>
      <c r="AZ1662" s="78"/>
      <c r="BA1662" s="78"/>
      <c r="BB1662" s="78"/>
      <c r="BC1662" s="78"/>
      <c r="BD1662" s="78"/>
      <c r="BE1662" s="465"/>
      <c r="BF1662" s="165" t="str">
        <f t="shared" si="1180"/>
        <v>https://www.google.com/search?tbm=isch&amp;q=3%20G2</v>
      </c>
      <c r="BG1662" s="165" t="str">
        <f t="shared" si="1181"/>
        <v>G</v>
      </c>
      <c r="BH1662" s="65"/>
      <c r="BI1662" s="65"/>
      <c r="BJ1662" s="65"/>
      <c r="BK1662" s="65"/>
      <c r="BL1662" s="99"/>
      <c r="BM1662" s="99"/>
      <c r="BN1662" s="99"/>
    </row>
    <row r="1663" spans="1:66" s="51" customFormat="1" ht="15.75" x14ac:dyDescent="0.25">
      <c r="A1663" s="478">
        <v>3</v>
      </c>
      <c r="B1663" s="479" t="s">
        <v>291</v>
      </c>
      <c r="C1663" s="480" t="s">
        <v>2568</v>
      </c>
      <c r="D1663" s="481" t="s">
        <v>311</v>
      </c>
      <c r="E1663" s="482">
        <v>35.950000000000003</v>
      </c>
      <c r="F1663" s="483" t="s">
        <v>292</v>
      </c>
      <c r="G1663" s="484">
        <v>0</v>
      </c>
      <c r="H1663" s="688" t="str">
        <f>IF(G1663=0,"",IF(F1663="Buy",IF(G1663=1,"plant","plants"),IF(F1663&gt;0.01,"warranty","Error")))</f>
        <v/>
      </c>
      <c r="I1663" s="485">
        <f>IF(H1663="free",0,IF(H1663="credit",((E1663*(F1663))*G1663*-1),IF(F1663="Buy",(E1663*G1663),((E1663*(1-F1663))*G1663))))</f>
        <v>0</v>
      </c>
      <c r="J1663" s="485">
        <f>IF(H1663="warranty",0,(I1663*(_xlfn.SINGLE(SalesTaxPercentage))))</f>
        <v>0</v>
      </c>
      <c r="K1663" s="715">
        <f t="shared" ref="K1663" si="1202">I1663+J1663</f>
        <v>0</v>
      </c>
      <c r="L1663" s="715"/>
      <c r="M1663" s="689" t="str">
        <f ca="1">IF(AND(G1663&gt;0,E1663=0),"WARNING - no PRICE inserted",IF(H1663="free","FREE ~ no charge this plant",IF(H1663="credit",CONCATENATE("-$",ROUND(K1663*(1-_xlfn.SINGLE(T2GDiscount))*-1,2)," CREDIT after discount"),IF(_xlfn.SINGLE(T2GDiscount)=0,"",IF(G1663=0,"",IF(F1663="Buy",CONCATENATE("$",ROUND(K1663*(1-_xlfn.SINGLE(T2GDiscount)),2)," with ",(_xlfn.SINGLE(T2GDiscount)*100),"% discount"),CONCATENATE("$",ROUND(K1663*(1-_xlfn.SINGLE(T2GDiscount)),2)," with ",((_xlfn.SINGLE(T2GDiscount)*100+F1663*100)-(_xlfn.SINGLE(T2GDiscount)*100*F1663)),IF(F1663&gt;0,"% discounts",IF(_xlfn.SINGLE(NoWarrantyDiscount)&gt;0,"% discounts","% discount")))))))))</f>
        <v/>
      </c>
      <c r="N1663" s="690"/>
      <c r="O1663" s="486"/>
      <c r="P1663" s="486"/>
      <c r="Q1663" s="486"/>
      <c r="R1663" s="486"/>
      <c r="S1663" s="486"/>
      <c r="T1663" s="102">
        <f t="shared" si="1169"/>
        <v>0</v>
      </c>
      <c r="U1663" s="78">
        <f>IF(NOT(ISNUMBER(G1663)), "", VLOOKUP(A1663,'Discount Lookup'!D:E,2,FALSE)*G1663)</f>
        <v>0</v>
      </c>
      <c r="V1663" s="78">
        <f>IF(NOT(ISNUMBER(G1663)), "", VLOOKUP(A1663,'Discount Lookup'!G:H,2,FALSE)*G1663)</f>
        <v>0</v>
      </c>
      <c r="W1663" s="102">
        <f t="shared" si="1170"/>
        <v>0</v>
      </c>
      <c r="X1663" s="102">
        <f t="shared" si="1171"/>
        <v>0</v>
      </c>
      <c r="Y1663" s="120" t="b">
        <f t="shared" si="1172"/>
        <v>0</v>
      </c>
      <c r="Z1663" s="117">
        <f t="shared" si="1173"/>
        <v>0</v>
      </c>
      <c r="AA1663" s="118"/>
      <c r="AB1663" s="118" t="str">
        <f t="shared" si="1174"/>
        <v/>
      </c>
      <c r="AC1663" s="712" t="str">
        <f>IF(AE1663="T2G","no charge",IF(AND(OR(PlanterYesMe="No",PlanterYesMe="N",PlanterYesMe="me"),H1663=""),"",IF(H1663="credit","NO install",IF(AND(K1663="",AE1663="me"),"EACH row",IF(AND(K1663="images",AE1663="me"),"EACH row",IF(D1663="","",IF(H1663="credit","",IF(AE1663="free","re-planting",IF(AE1663="me","   not ELP, by",IF(AND(OR(PlanterYesMe="Yes",PlanterYesMe="Y"),G1663&gt;0),(VLOOKUP(A1663,'Discount Lookup'!J:K,2)*G1663*(1-PlanterDiscount)*(1+PlanterDifficultyPercentage)),IF(AE1663="ELP",(VLOOKUP(A1663,'Discount Lookup'!J:K,2)*G1663*(1-PlanterDiscount)*(1+PlanterDifficultyPercentage)),IF(AE1663="free","re-planting",IF(G1663=0,"",IF(PlanterYesMe="",IF(AE1663="me","   not ELP, by",IF(AE1663="",IF(G1663&gt;0,(VLOOKUP(A1663,'Discount Lookup'!J:K,2)*G1663*(1-PlanterDiscount)*(1+PlanterDifficultyPercentage)),""),"")),"   not ELP, by"))))))))))))))</f>
        <v/>
      </c>
      <c r="AD1663" s="712"/>
      <c r="AE1663" s="513" t="str">
        <f t="shared" si="1175"/>
        <v/>
      </c>
      <c r="AF1663" s="713" t="str">
        <f t="shared" si="1176"/>
        <v/>
      </c>
      <c r="AG1663" s="713"/>
      <c r="AH1663" s="713"/>
      <c r="AI1663" s="112">
        <f>IF(H1663="credit",0,IF(AE1663="free",0,IF(AE1663="me",0,IF(G1663&gt;0,(VLOOKUP(A1663,'Discount Lookup'!J:K,2)*G1663),0))))</f>
        <v>0</v>
      </c>
      <c r="AJ1663" s="107" t="str">
        <f t="shared" ca="1" si="1177"/>
        <v/>
      </c>
      <c r="AK1663" s="714" t="str">
        <f t="shared" si="1178"/>
        <v/>
      </c>
      <c r="AL1663" s="714"/>
      <c r="AM1663" s="114" t="str">
        <f t="shared" si="1179"/>
        <v/>
      </c>
      <c r="AN1663" s="115"/>
      <c r="AO1663" s="116"/>
      <c r="AP1663" s="116"/>
      <c r="AQ1663" s="116"/>
      <c r="AR1663" s="116"/>
      <c r="AS1663" s="116"/>
      <c r="AT1663" s="116"/>
      <c r="AU1663" s="116"/>
      <c r="AV1663" s="78"/>
      <c r="AW1663" s="102"/>
      <c r="AX1663" s="78"/>
      <c r="AY1663" s="78"/>
      <c r="AZ1663" s="78"/>
      <c r="BA1663" s="78"/>
      <c r="BB1663" s="78"/>
      <c r="BC1663" s="78"/>
      <c r="BD1663" s="78"/>
      <c r="BE1663" s="465"/>
      <c r="BF1663" s="165" t="str">
        <f t="shared" si="1180"/>
        <v>https://www.google.com/search?tbm=isch&amp;q=3%20G5</v>
      </c>
      <c r="BG1663" s="165" t="str">
        <f t="shared" si="1181"/>
        <v>G</v>
      </c>
      <c r="BH1663" s="65"/>
      <c r="BI1663" s="65"/>
      <c r="BJ1663" s="65"/>
      <c r="BK1663" s="65"/>
      <c r="BL1663" s="99"/>
      <c r="BM1663" s="99"/>
      <c r="BN1663" s="99"/>
    </row>
    <row r="1664" spans="1:66" s="51" customFormat="1" ht="15.75" x14ac:dyDescent="0.25">
      <c r="A1664" s="478">
        <v>3</v>
      </c>
      <c r="B1664" s="479" t="s">
        <v>291</v>
      </c>
      <c r="C1664" s="480" t="s">
        <v>4606</v>
      </c>
      <c r="D1664" s="481" t="s">
        <v>293</v>
      </c>
      <c r="E1664" s="482">
        <v>40.950000000000003</v>
      </c>
      <c r="F1664" s="483" t="s">
        <v>292</v>
      </c>
      <c r="G1664" s="484">
        <v>0</v>
      </c>
      <c r="H1664" s="688" t="str">
        <f>IF(G1664=0,"",IF(F1664="Buy",IF(G1664=1,"plant","plants"),IF(F1664&gt;0.01,"warranty","Error")))</f>
        <v/>
      </c>
      <c r="I1664" s="485">
        <f>IF(H1664="free",0,IF(H1664="credit",((E1664*(F1664))*G1664*-1),IF(F1664="Buy",(E1664*G1664),((E1664*(1-F1664))*G1664))))</f>
        <v>0</v>
      </c>
      <c r="J1664" s="485">
        <f>IF(H1664="warranty",0,(I1664*(_xlfn.SINGLE(SalesTaxPercentage))))</f>
        <v>0</v>
      </c>
      <c r="K1664" s="715">
        <f t="shared" ref="K1664" si="1203">I1664+J1664</f>
        <v>0</v>
      </c>
      <c r="L1664" s="715"/>
      <c r="M1664" s="689" t="str">
        <f ca="1">IF(AND(G1664&gt;0,E1664=0),"WARNING - no PRICE inserted",IF(H1664="free","FREE ~ no charge this plant",IF(H1664="credit",CONCATENATE("-$",ROUND(K1664*(1-_xlfn.SINGLE(T2GDiscount))*-1,2)," CREDIT after discount"),IF(_xlfn.SINGLE(T2GDiscount)=0,"",IF(G1664=0,"",IF(F1664="Buy",CONCATENATE("$",ROUND(K1664*(1-_xlfn.SINGLE(T2GDiscount)),2)," with ",(_xlfn.SINGLE(T2GDiscount)*100),"% discount"),CONCATENATE("$",ROUND(K1664*(1-_xlfn.SINGLE(T2GDiscount)),2)," with ",((_xlfn.SINGLE(T2GDiscount)*100+F1664*100)-(_xlfn.SINGLE(T2GDiscount)*100*F1664)),IF(F1664&gt;0,"% discounts",IF(_xlfn.SINGLE(NoWarrantyDiscount)&gt;0,"% discounts","% discount")))))))))</f>
        <v/>
      </c>
      <c r="N1664" s="690"/>
      <c r="O1664" s="486"/>
      <c r="P1664" s="486"/>
      <c r="Q1664" s="486"/>
      <c r="R1664" s="486"/>
      <c r="S1664" s="486"/>
      <c r="T1664" s="102">
        <f t="shared" si="1169"/>
        <v>0</v>
      </c>
      <c r="U1664" s="78">
        <f>IF(NOT(ISNUMBER(G1664)), "", VLOOKUP(A1664,'Discount Lookup'!D:E,2,FALSE)*G1664)</f>
        <v>0</v>
      </c>
      <c r="V1664" s="78">
        <f>IF(NOT(ISNUMBER(G1664)), "", VLOOKUP(A1664,'Discount Lookup'!G:H,2,FALSE)*G1664)</f>
        <v>0</v>
      </c>
      <c r="W1664" s="102">
        <f t="shared" si="1170"/>
        <v>0</v>
      </c>
      <c r="X1664" s="102">
        <f t="shared" si="1171"/>
        <v>0</v>
      </c>
      <c r="Y1664" s="120" t="b">
        <f t="shared" si="1172"/>
        <v>0</v>
      </c>
      <c r="Z1664" s="117">
        <f t="shared" si="1173"/>
        <v>0</v>
      </c>
      <c r="AA1664" s="118"/>
      <c r="AB1664" s="118" t="str">
        <f t="shared" si="1174"/>
        <v/>
      </c>
      <c r="AC1664" s="712" t="str">
        <f>IF(AE1664="T2G","no charge",IF(AND(OR(PlanterYesMe="No",PlanterYesMe="N",PlanterYesMe="me"),H1664=""),"",IF(H1664="credit","NO install",IF(AND(K1664="",AE1664="me"),"EACH row",IF(AND(K1664="images",AE1664="me"),"EACH row",IF(D1664="","",IF(H1664="credit","",IF(AE1664="free","re-planting",IF(AE1664="me","   not ELP, by",IF(AND(OR(PlanterYesMe="Yes",PlanterYesMe="Y"),G1664&gt;0),(VLOOKUP(A1664,'Discount Lookup'!J:K,2)*G1664*(1-PlanterDiscount)*(1+PlanterDifficultyPercentage)),IF(AE1664="ELP",(VLOOKUP(A1664,'Discount Lookup'!J:K,2)*G1664*(1-PlanterDiscount)*(1+PlanterDifficultyPercentage)),IF(AE1664="free","re-planting",IF(G1664=0,"",IF(PlanterYesMe="",IF(AE1664="me","   not ELP, by",IF(AE1664="",IF(G1664&gt;0,(VLOOKUP(A1664,'Discount Lookup'!J:K,2)*G1664*(1-PlanterDiscount)*(1+PlanterDifficultyPercentage)),""),"")),"   not ELP, by"))))))))))))))</f>
        <v/>
      </c>
      <c r="AD1664" s="712"/>
      <c r="AE1664" s="513" t="str">
        <f t="shared" si="1175"/>
        <v/>
      </c>
      <c r="AF1664" s="713" t="str">
        <f t="shared" si="1176"/>
        <v/>
      </c>
      <c r="AG1664" s="713"/>
      <c r="AH1664" s="713"/>
      <c r="AI1664" s="112">
        <f>IF(H1664="credit",0,IF(AE1664="free",0,IF(AE1664="me",0,IF(G1664&gt;0,(VLOOKUP(A1664,'Discount Lookup'!J:K,2)*G1664),0))))</f>
        <v>0</v>
      </c>
      <c r="AJ1664" s="107" t="str">
        <f t="shared" ca="1" si="1177"/>
        <v/>
      </c>
      <c r="AK1664" s="714" t="str">
        <f t="shared" si="1178"/>
        <v/>
      </c>
      <c r="AL1664" s="714"/>
      <c r="AM1664" s="114" t="str">
        <f t="shared" si="1179"/>
        <v/>
      </c>
      <c r="AN1664" s="115"/>
      <c r="AO1664" s="116"/>
      <c r="AP1664" s="116"/>
      <c r="AQ1664" s="116"/>
      <c r="AR1664" s="116"/>
      <c r="AS1664" s="116"/>
      <c r="AT1664" s="116"/>
      <c r="AU1664" s="116"/>
      <c r="AV1664" s="78"/>
      <c r="AW1664" s="102"/>
      <c r="AX1664" s="78"/>
      <c r="AY1664" s="78"/>
      <c r="AZ1664" s="78"/>
      <c r="BA1664" s="78"/>
      <c r="BB1664" s="78"/>
      <c r="BC1664" s="78"/>
      <c r="BD1664" s="78"/>
      <c r="BE1664" s="465"/>
      <c r="BF1664" s="165" t="str">
        <f t="shared" si="1180"/>
        <v>https://www.google.com/search?tbm=isch&amp;q=3%20G6</v>
      </c>
      <c r="BG1664" s="165" t="str">
        <f t="shared" si="1181"/>
        <v>G</v>
      </c>
      <c r="BH1664" s="65"/>
      <c r="BI1664" s="65"/>
      <c r="BJ1664" s="65"/>
      <c r="BK1664" s="65"/>
      <c r="BL1664" s="99"/>
      <c r="BM1664" s="99"/>
      <c r="BN1664" s="99"/>
    </row>
    <row r="1665" spans="1:66" s="51" customFormat="1" ht="17.25" thickBot="1" x14ac:dyDescent="0.3">
      <c r="A1665" s="508" t="s">
        <v>2569</v>
      </c>
      <c r="B1665" s="487"/>
      <c r="C1665" s="707"/>
      <c r="D1665" s="487"/>
      <c r="E1665" s="487"/>
      <c r="F1665" s="488"/>
      <c r="G1665" s="489"/>
      <c r="H1665" s="487"/>
      <c r="I1665" s="490"/>
      <c r="J1665" s="490"/>
      <c r="K1665" s="491"/>
      <c r="L1665" s="547"/>
      <c r="M1665" s="528"/>
      <c r="N1665" s="492"/>
      <c r="O1665" s="493"/>
      <c r="P1665" s="494"/>
      <c r="Q1665" s="492"/>
      <c r="R1665" s="492"/>
      <c r="S1665" s="699" t="s">
        <v>5275</v>
      </c>
      <c r="T1665" s="102">
        <f t="shared" si="1169"/>
        <v>0</v>
      </c>
      <c r="U1665" s="78" t="str">
        <f>IF(NOT(ISNUMBER(G1665)), "", VLOOKUP(A1665,'Discount Lookup'!D:E,2,FALSE)*G1665)</f>
        <v/>
      </c>
      <c r="V1665" s="78" t="str">
        <f>IF(NOT(ISNUMBER(G1665)), "", VLOOKUP(A1665,'Discount Lookup'!G:H,2,FALSE)*G1665)</f>
        <v/>
      </c>
      <c r="W1665" s="102">
        <f t="shared" si="1170"/>
        <v>0</v>
      </c>
      <c r="X1665" s="102">
        <f t="shared" si="1171"/>
        <v>0</v>
      </c>
      <c r="Y1665" s="120" t="b">
        <f t="shared" si="1172"/>
        <v>0</v>
      </c>
      <c r="Z1665" s="117">
        <f t="shared" si="1173"/>
        <v>0</v>
      </c>
      <c r="AA1665" s="118"/>
      <c r="AB1665" s="118" t="str">
        <f t="shared" si="1174"/>
        <v/>
      </c>
      <c r="AC1665" s="712" t="str">
        <f>IF(AE1665="T2G","no charge",IF(AND(OR(PlanterYesMe="No",PlanterYesMe="N",PlanterYesMe="me"),H1665=""),"",IF(H1665="credit","NO install",IF(AND(K1665="",AE1665="me"),"EACH row",IF(AND(K1665="images",AE1665="me"),"EACH row",IF(D1665="","",IF(H1665="credit","",IF(AE1665="free","re-planting",IF(AE1665="me","   not ELP, by",IF(AND(OR(PlanterYesMe="Yes",PlanterYesMe="Y"),G1665&gt;0),(VLOOKUP(A1665,'Discount Lookup'!J:K,2)*G1665*(1-PlanterDiscount)*(1+PlanterDifficultyPercentage)),IF(AE1665="ELP",(VLOOKUP(A1665,'Discount Lookup'!J:K,2)*G1665*(1-PlanterDiscount)*(1+PlanterDifficultyPercentage)),IF(AE1665="free","re-planting",IF(G1665=0,"",IF(PlanterYesMe="",IF(AE1665="me","   not ELP, by",IF(AE1665="",IF(G1665&gt;0,(VLOOKUP(A1665,'Discount Lookup'!J:K,2)*G1665*(1-PlanterDiscount)*(1+PlanterDifficultyPercentage)),""),"")),"   not ELP, by"))))))))))))))</f>
        <v/>
      </c>
      <c r="AD1665" s="712"/>
      <c r="AE1665" s="513" t="str">
        <f t="shared" si="1175"/>
        <v/>
      </c>
      <c r="AF1665" s="713" t="str">
        <f t="shared" si="1176"/>
        <v/>
      </c>
      <c r="AG1665" s="713"/>
      <c r="AH1665" s="713"/>
      <c r="AI1665" s="112">
        <f>IF(H1665="credit",0,IF(AE1665="free",0,IF(AE1665="me",0,IF(G1665&gt;0,(VLOOKUP(A1665,'Discount Lookup'!J:K,2)*G1665),0))))</f>
        <v>0</v>
      </c>
      <c r="AJ1665" s="107" t="str">
        <f t="shared" ca="1" si="1177"/>
        <v/>
      </c>
      <c r="AK1665" s="714" t="str">
        <f t="shared" si="1178"/>
        <v/>
      </c>
      <c r="AL1665" s="714"/>
      <c r="AM1665" s="114" t="str">
        <f t="shared" si="1179"/>
        <v/>
      </c>
      <c r="AN1665" s="115"/>
      <c r="AO1665" s="116"/>
      <c r="AP1665" s="116"/>
      <c r="AQ1665" s="116"/>
      <c r="AR1665" s="116"/>
      <c r="AS1665" s="116"/>
      <c r="AT1665" s="116"/>
      <c r="AU1665" s="116"/>
      <c r="AV1665" s="78"/>
      <c r="AW1665" s="102"/>
      <c r="AX1665" s="78"/>
      <c r="AY1665" s="78"/>
      <c r="AZ1665" s="78"/>
      <c r="BA1665" s="78"/>
      <c r="BB1665" s="78"/>
      <c r="BC1665" s="78"/>
      <c r="BD1665" s="78"/>
      <c r="BE1665" s="465"/>
      <c r="BF1665" s="165" t="str">
        <f t="shared" si="1180"/>
        <v>https://www.google.com/search?tbm=isch&amp;q=Trailing%20Dwarf%20blooms%20in%20spring%2C%20then%20sporadically%20in%20summer%2C%20with%20fragrant%2C%20double%20flowers.%20Orange%20fall%20fruit%20</v>
      </c>
      <c r="BG1665" s="165" t="str">
        <f t="shared" si="1181"/>
        <v>T</v>
      </c>
      <c r="BH1665" s="65"/>
      <c r="BI1665" s="65"/>
      <c r="BJ1665" s="65"/>
      <c r="BK1665" s="65"/>
      <c r="BL1665" s="99"/>
      <c r="BM1665" s="99"/>
      <c r="BN1665" s="99"/>
    </row>
    <row r="1666" spans="1:66" s="51" customFormat="1" ht="18" x14ac:dyDescent="0.25">
      <c r="A1666" s="507" t="s">
        <v>2570</v>
      </c>
      <c r="B1666" s="470"/>
      <c r="C1666" s="706"/>
      <c r="D1666" s="471" t="s">
        <v>2571</v>
      </c>
      <c r="E1666" s="472"/>
      <c r="F1666" s="472"/>
      <c r="G1666" s="472"/>
      <c r="H1666" s="622" t="s">
        <v>2572</v>
      </c>
      <c r="I1666" s="473" t="s">
        <v>349</v>
      </c>
      <c r="J1666" s="472"/>
      <c r="K1666" s="472"/>
      <c r="L1666" s="561"/>
      <c r="M1666" s="698" t="s">
        <v>5246</v>
      </c>
      <c r="N1666" s="692" t="str">
        <f>IF(AND(ISTEXT($A1666), ISERROR($A1666+0)), HYPERLINK($BF1666, "Images"), "")</f>
        <v>Images</v>
      </c>
      <c r="O1666" s="694" t="s">
        <v>5247</v>
      </c>
      <c r="P1666" s="475"/>
      <c r="Q1666" s="476"/>
      <c r="R1666" s="476"/>
      <c r="S1666" s="477"/>
      <c r="T1666" s="102">
        <f t="shared" si="1169"/>
        <v>0</v>
      </c>
      <c r="U1666" s="78" t="str">
        <f>IF(NOT(ISNUMBER(G1666)), "", VLOOKUP(A1666,'Discount Lookup'!D:E,2,FALSE)*G1666)</f>
        <v/>
      </c>
      <c r="V1666" s="78" t="str">
        <f>IF(NOT(ISNUMBER(G1666)), "", VLOOKUP(A1666,'Discount Lookup'!G:H,2,FALSE)*G1666)</f>
        <v/>
      </c>
      <c r="W1666" s="102">
        <f t="shared" si="1170"/>
        <v>0</v>
      </c>
      <c r="X1666" s="102" t="str">
        <f t="shared" si="1171"/>
        <v>White bloom</v>
      </c>
      <c r="Y1666" s="120" t="b">
        <f t="shared" si="1172"/>
        <v>0</v>
      </c>
      <c r="Z1666" s="117">
        <f t="shared" si="1173"/>
        <v>0</v>
      </c>
      <c r="AA1666" s="118"/>
      <c r="AB1666" s="118" t="str">
        <f t="shared" si="1174"/>
        <v/>
      </c>
      <c r="AC1666" s="712" t="str">
        <f>IF(AE1666="T2G","no charge",IF(AND(OR(PlanterYesMe="No",PlanterYesMe="N",PlanterYesMe="me"),H1666=""),"",IF(H1666="credit","NO install",IF(AND(K1666="",AE1666="me"),"EACH row",IF(AND(K1666="images",AE1666="me"),"EACH row",IF(D1666="","",IF(H1666="credit","",IF(AE1666="free","re-planting",IF(AE1666="me","   not ELP, by",IF(AND(OR(PlanterYesMe="Yes",PlanterYesMe="Y"),G1666&gt;0),(VLOOKUP(A1666,'Discount Lookup'!J:K,2)*G1666*(1-PlanterDiscount)*(1+PlanterDifficultyPercentage)),IF(AE1666="ELP",(VLOOKUP(A1666,'Discount Lookup'!J:K,2)*G1666*(1-PlanterDiscount)*(1+PlanterDifficultyPercentage)),IF(AE1666="free","re-planting",IF(G1666=0,"",IF(PlanterYesMe="",IF(AE1666="me","   not ELP, by",IF(AE1666="",IF(G1666&gt;0,(VLOOKUP(A1666,'Discount Lookup'!J:K,2)*G1666*(1-PlanterDiscount)*(1+PlanterDifficultyPercentage)),""),"")),"   not ELP, by"))))))))))))))</f>
        <v/>
      </c>
      <c r="AD1666" s="712"/>
      <c r="AE1666" s="513" t="str">
        <f t="shared" si="1175"/>
        <v/>
      </c>
      <c r="AF1666" s="713" t="str">
        <f t="shared" si="1176"/>
        <v/>
      </c>
      <c r="AG1666" s="713"/>
      <c r="AH1666" s="713"/>
      <c r="AI1666" s="112">
        <f>IF(H1666="credit",0,IF(AE1666="free",0,IF(AE1666="me",0,IF(G1666&gt;0,(VLOOKUP(A1666,'Discount Lookup'!J:K,2)*G1666),0))))</f>
        <v>0</v>
      </c>
      <c r="AJ1666" s="107" t="str">
        <f t="shared" ca="1" si="1177"/>
        <v/>
      </c>
      <c r="AK1666" s="714" t="str">
        <f t="shared" si="1178"/>
        <v/>
      </c>
      <c r="AL1666" s="714"/>
      <c r="AM1666" s="114" t="str">
        <f t="shared" si="1179"/>
        <v/>
      </c>
      <c r="AN1666" s="115"/>
      <c r="AO1666" s="116"/>
      <c r="AP1666" s="116"/>
      <c r="AQ1666" s="116"/>
      <c r="AR1666" s="116"/>
      <c r="AS1666" s="116"/>
      <c r="AT1666" s="116"/>
      <c r="AU1666" s="116"/>
      <c r="AV1666" s="78"/>
      <c r="AW1666" s="102"/>
      <c r="AX1666" s="78"/>
      <c r="AY1666" s="78"/>
      <c r="AZ1666" s="78"/>
      <c r="BA1666" s="78"/>
      <c r="BB1666" s="78"/>
      <c r="BC1666" s="78"/>
      <c r="BD1666" s="78"/>
      <c r="BE1666" s="465"/>
      <c r="BF1666" s="165" t="str">
        <f t="shared" si="1180"/>
        <v>https://www.google.com/search?tbm=isch&amp;q=Gardenia%20%27Leefive%27%20PP%2332516%20Diamond%20Spire%20Gardenia</v>
      </c>
      <c r="BG1666" s="165" t="str">
        <f t="shared" si="1181"/>
        <v>G</v>
      </c>
      <c r="BH1666" s="65"/>
      <c r="BI1666" s="65"/>
      <c r="BJ1666" s="65"/>
      <c r="BK1666" s="65"/>
      <c r="BL1666" s="99"/>
      <c r="BM1666" s="99"/>
      <c r="BN1666" s="99"/>
    </row>
    <row r="1667" spans="1:66" s="51" customFormat="1" ht="15.75" x14ac:dyDescent="0.25">
      <c r="A1667" s="478">
        <v>3</v>
      </c>
      <c r="B1667" s="479" t="s">
        <v>291</v>
      </c>
      <c r="C1667" s="480" t="s">
        <v>454</v>
      </c>
      <c r="D1667" s="481" t="s">
        <v>329</v>
      </c>
      <c r="E1667" s="482">
        <v>34.950000000000003</v>
      </c>
      <c r="F1667" s="483" t="s">
        <v>292</v>
      </c>
      <c r="G1667" s="484">
        <v>0</v>
      </c>
      <c r="H1667" s="688" t="str">
        <f>IF(G1667=0,"",IF(F1667="Buy",IF(G1667=1,"plant","plants"),IF(F1667&gt;0.01,"warranty","Error")))</f>
        <v/>
      </c>
      <c r="I1667" s="485">
        <f>IF(H1667="free",0,IF(H1667="credit",((E1667*(F1667))*G1667*-1),IF(F1667="Buy",(E1667*G1667),((E1667*(1-F1667))*G1667))))</f>
        <v>0</v>
      </c>
      <c r="J1667" s="485">
        <f>IF(H1667="warranty",0,(I1667*(_xlfn.SINGLE(SalesTaxPercentage))))</f>
        <v>0</v>
      </c>
      <c r="K1667" s="715">
        <f t="shared" ref="K1667" si="1204">I1667+J1667</f>
        <v>0</v>
      </c>
      <c r="L1667" s="715"/>
      <c r="M1667" s="689" t="str">
        <f ca="1">IF(AND(G1667&gt;0,E1667=0),"WARNING - no PRICE inserted",IF(H1667="free","FREE ~ no charge this plant",IF(H1667="credit",CONCATENATE("-$",ROUND(K1667*(1-_xlfn.SINGLE(T2GDiscount))*-1,2)," CREDIT after discount"),IF(_xlfn.SINGLE(T2GDiscount)=0,"",IF(G1667=0,"",IF(F1667="Buy",CONCATENATE("$",ROUND(K1667*(1-_xlfn.SINGLE(T2GDiscount)),2)," with ",(_xlfn.SINGLE(T2GDiscount)*100),"% discount"),CONCATENATE("$",ROUND(K1667*(1-_xlfn.SINGLE(T2GDiscount)),2)," with ",((_xlfn.SINGLE(T2GDiscount)*100+F1667*100)-(_xlfn.SINGLE(T2GDiscount)*100*F1667)),IF(F1667&gt;0,"% discounts",IF(_xlfn.SINGLE(NoWarrantyDiscount)&gt;0,"% discounts","% discount")))))))))</f>
        <v/>
      </c>
      <c r="N1667" s="690"/>
      <c r="O1667" s="486"/>
      <c r="P1667" s="486"/>
      <c r="Q1667" s="486"/>
      <c r="R1667" s="486"/>
      <c r="S1667" s="486"/>
      <c r="T1667" s="102">
        <f t="shared" si="1169"/>
        <v>0</v>
      </c>
      <c r="U1667" s="78">
        <f>IF(NOT(ISNUMBER(G1667)), "", VLOOKUP(A1667,'Discount Lookup'!D:E,2,FALSE)*G1667)</f>
        <v>0</v>
      </c>
      <c r="V1667" s="78">
        <f>IF(NOT(ISNUMBER(G1667)), "", VLOOKUP(A1667,'Discount Lookup'!G:H,2,FALSE)*G1667)</f>
        <v>0</v>
      </c>
      <c r="W1667" s="102">
        <f t="shared" si="1170"/>
        <v>0</v>
      </c>
      <c r="X1667" s="102">
        <f t="shared" si="1171"/>
        <v>0</v>
      </c>
      <c r="Y1667" s="120" t="b">
        <f t="shared" si="1172"/>
        <v>0</v>
      </c>
      <c r="Z1667" s="117">
        <f t="shared" si="1173"/>
        <v>0</v>
      </c>
      <c r="AA1667" s="118"/>
      <c r="AB1667" s="118" t="str">
        <f t="shared" si="1174"/>
        <v/>
      </c>
      <c r="AC1667" s="712" t="str">
        <f>IF(AE1667="T2G","no charge",IF(AND(OR(PlanterYesMe="No",PlanterYesMe="N",PlanterYesMe="me"),H1667=""),"",IF(H1667="credit","NO install",IF(AND(K1667="",AE1667="me"),"EACH row",IF(AND(K1667="images",AE1667="me"),"EACH row",IF(D1667="","",IF(H1667="credit","",IF(AE1667="free","re-planting",IF(AE1667="me","   not ELP, by",IF(AND(OR(PlanterYesMe="Yes",PlanterYesMe="Y"),G1667&gt;0),(VLOOKUP(A1667,'Discount Lookup'!J:K,2)*G1667*(1-PlanterDiscount)*(1+PlanterDifficultyPercentage)),IF(AE1667="ELP",(VLOOKUP(A1667,'Discount Lookup'!J:K,2)*G1667*(1-PlanterDiscount)*(1+PlanterDifficultyPercentage)),IF(AE1667="free","re-planting",IF(G1667=0,"",IF(PlanterYesMe="",IF(AE1667="me","   not ELP, by",IF(AE1667="",IF(G1667&gt;0,(VLOOKUP(A1667,'Discount Lookup'!J:K,2)*G1667*(1-PlanterDiscount)*(1+PlanterDifficultyPercentage)),""),"")),"   not ELP, by"))))))))))))))</f>
        <v/>
      </c>
      <c r="AD1667" s="712"/>
      <c r="AE1667" s="513" t="str">
        <f t="shared" si="1175"/>
        <v/>
      </c>
      <c r="AF1667" s="713" t="str">
        <f t="shared" si="1176"/>
        <v/>
      </c>
      <c r="AG1667" s="713"/>
      <c r="AH1667" s="713"/>
      <c r="AI1667" s="112">
        <f>IF(H1667="credit",0,IF(AE1667="free",0,IF(AE1667="me",0,IF(G1667&gt;0,(VLOOKUP(A1667,'Discount Lookup'!J:K,2)*G1667),0))))</f>
        <v>0</v>
      </c>
      <c r="AJ1667" s="107" t="str">
        <f t="shared" ca="1" si="1177"/>
        <v/>
      </c>
      <c r="AK1667" s="714" t="str">
        <f t="shared" si="1178"/>
        <v/>
      </c>
      <c r="AL1667" s="714"/>
      <c r="AM1667" s="114" t="str">
        <f t="shared" si="1179"/>
        <v/>
      </c>
      <c r="AN1667" s="115"/>
      <c r="AO1667" s="116"/>
      <c r="AP1667" s="116"/>
      <c r="AQ1667" s="116"/>
      <c r="AR1667" s="116"/>
      <c r="AS1667" s="116"/>
      <c r="AT1667" s="116"/>
      <c r="AU1667" s="116"/>
      <c r="AV1667" s="78"/>
      <c r="AW1667" s="102"/>
      <c r="AX1667" s="78"/>
      <c r="AY1667" s="78"/>
      <c r="AZ1667" s="78"/>
      <c r="BA1667" s="78"/>
      <c r="BB1667" s="78"/>
      <c r="BC1667" s="78"/>
      <c r="BD1667" s="78"/>
      <c r="BE1667" s="465"/>
      <c r="BF1667" s="165" t="str">
        <f t="shared" si="1180"/>
        <v>https://www.google.com/search?tbm=isch&amp;q=3%20G2</v>
      </c>
      <c r="BG1667" s="165" t="str">
        <f t="shared" si="1181"/>
        <v>G</v>
      </c>
      <c r="BH1667" s="65"/>
      <c r="BI1667" s="65"/>
      <c r="BJ1667" s="65"/>
      <c r="BK1667" s="65"/>
      <c r="BL1667" s="99"/>
      <c r="BM1667" s="99"/>
      <c r="BN1667" s="99"/>
    </row>
    <row r="1668" spans="1:66" s="51" customFormat="1" ht="15.75" x14ac:dyDescent="0.25">
      <c r="A1668" s="478">
        <v>5</v>
      </c>
      <c r="B1668" s="479" t="s">
        <v>291</v>
      </c>
      <c r="C1668" s="480" t="s">
        <v>2573</v>
      </c>
      <c r="D1668" s="481" t="s">
        <v>293</v>
      </c>
      <c r="E1668" s="482">
        <v>62.95</v>
      </c>
      <c r="F1668" s="483" t="s">
        <v>292</v>
      </c>
      <c r="G1668" s="484">
        <v>0</v>
      </c>
      <c r="H1668" s="688" t="str">
        <f>IF(G1668=0,"",IF(F1668="Buy",IF(G1668=1,"plant","plants"),IF(F1668&gt;0.01,"warranty","Error")))</f>
        <v/>
      </c>
      <c r="I1668" s="485">
        <f>IF(H1668="free",0,IF(H1668="credit",((E1668*(F1668))*G1668*-1),IF(F1668="Buy",(E1668*G1668),((E1668*(1-F1668))*G1668))))</f>
        <v>0</v>
      </c>
      <c r="J1668" s="485">
        <f>IF(H1668="warranty",0,(I1668*(_xlfn.SINGLE(SalesTaxPercentage))))</f>
        <v>0</v>
      </c>
      <c r="K1668" s="715">
        <f t="shared" ref="K1668" si="1205">I1668+J1668</f>
        <v>0</v>
      </c>
      <c r="L1668" s="715"/>
      <c r="M1668" s="689" t="str">
        <f ca="1">IF(AND(G1668&gt;0,E1668=0),"WARNING - no PRICE inserted",IF(H1668="free","FREE ~ no charge this plant",IF(H1668="credit",CONCATENATE("-$",ROUND(K1668*(1-_xlfn.SINGLE(T2GDiscount))*-1,2)," CREDIT after discount"),IF(_xlfn.SINGLE(T2GDiscount)=0,"",IF(G1668=0,"",IF(F1668="Buy",CONCATENATE("$",ROUND(K1668*(1-_xlfn.SINGLE(T2GDiscount)),2)," with ",(_xlfn.SINGLE(T2GDiscount)*100),"% discount"),CONCATENATE("$",ROUND(K1668*(1-_xlfn.SINGLE(T2GDiscount)),2)," with ",((_xlfn.SINGLE(T2GDiscount)*100+F1668*100)-(_xlfn.SINGLE(T2GDiscount)*100*F1668)),IF(F1668&gt;0,"% discounts",IF(_xlfn.SINGLE(NoWarrantyDiscount)&gt;0,"% discounts","% discount")))))))))</f>
        <v/>
      </c>
      <c r="N1668" s="690"/>
      <c r="O1668" s="486"/>
      <c r="P1668" s="486"/>
      <c r="Q1668" s="486"/>
      <c r="R1668" s="486"/>
      <c r="S1668" s="486"/>
      <c r="T1668" s="102">
        <f t="shared" si="1169"/>
        <v>0</v>
      </c>
      <c r="U1668" s="78">
        <f>IF(NOT(ISNUMBER(G1668)), "", VLOOKUP(A1668,'Discount Lookup'!D:E,2,FALSE)*G1668)</f>
        <v>0</v>
      </c>
      <c r="V1668" s="78">
        <f>IF(NOT(ISNUMBER(G1668)), "", VLOOKUP(A1668,'Discount Lookup'!G:H,2,FALSE)*G1668)</f>
        <v>0</v>
      </c>
      <c r="W1668" s="102">
        <f t="shared" si="1170"/>
        <v>0</v>
      </c>
      <c r="X1668" s="102">
        <f t="shared" si="1171"/>
        <v>0</v>
      </c>
      <c r="Y1668" s="120" t="b">
        <f t="shared" si="1172"/>
        <v>0</v>
      </c>
      <c r="Z1668" s="117">
        <f t="shared" si="1173"/>
        <v>0</v>
      </c>
      <c r="AA1668" s="118"/>
      <c r="AB1668" s="118" t="str">
        <f t="shared" si="1174"/>
        <v/>
      </c>
      <c r="AC1668" s="712" t="str">
        <f>IF(AE1668="T2G","no charge",IF(AND(OR(PlanterYesMe="No",PlanterYesMe="N",PlanterYesMe="me"),H1668=""),"",IF(H1668="credit","NO install",IF(AND(K1668="",AE1668="me"),"EACH row",IF(AND(K1668="images",AE1668="me"),"EACH row",IF(D1668="","",IF(H1668="credit","",IF(AE1668="free","re-planting",IF(AE1668="me","   not ELP, by",IF(AND(OR(PlanterYesMe="Yes",PlanterYesMe="Y"),G1668&gt;0),(VLOOKUP(A1668,'Discount Lookup'!J:K,2)*G1668*(1-PlanterDiscount)*(1+PlanterDifficultyPercentage)),IF(AE1668="ELP",(VLOOKUP(A1668,'Discount Lookup'!J:K,2)*G1668*(1-PlanterDiscount)*(1+PlanterDifficultyPercentage)),IF(AE1668="free","re-planting",IF(G1668=0,"",IF(PlanterYesMe="",IF(AE1668="me","   not ELP, by",IF(AE1668="",IF(G1668&gt;0,(VLOOKUP(A1668,'Discount Lookup'!J:K,2)*G1668*(1-PlanterDiscount)*(1+PlanterDifficultyPercentage)),""),"")),"   not ELP, by"))))))))))))))</f>
        <v/>
      </c>
      <c r="AD1668" s="712"/>
      <c r="AE1668" s="513" t="str">
        <f t="shared" si="1175"/>
        <v/>
      </c>
      <c r="AF1668" s="713" t="str">
        <f t="shared" si="1176"/>
        <v/>
      </c>
      <c r="AG1668" s="713"/>
      <c r="AH1668" s="713"/>
      <c r="AI1668" s="112">
        <f>IF(H1668="credit",0,IF(AE1668="free",0,IF(AE1668="me",0,IF(G1668&gt;0,(VLOOKUP(A1668,'Discount Lookup'!J:K,2)*G1668),0))))</f>
        <v>0</v>
      </c>
      <c r="AJ1668" s="107" t="str">
        <f t="shared" ca="1" si="1177"/>
        <v/>
      </c>
      <c r="AK1668" s="714" t="str">
        <f t="shared" si="1178"/>
        <v/>
      </c>
      <c r="AL1668" s="714"/>
      <c r="AM1668" s="114" t="str">
        <f t="shared" si="1179"/>
        <v/>
      </c>
      <c r="AN1668" s="115"/>
      <c r="AO1668" s="116"/>
      <c r="AP1668" s="116"/>
      <c r="AQ1668" s="116"/>
      <c r="AR1668" s="116"/>
      <c r="AS1668" s="116"/>
      <c r="AT1668" s="116"/>
      <c r="AU1668" s="116"/>
      <c r="AV1668" s="78"/>
      <c r="AW1668" s="102"/>
      <c r="AX1668" s="78"/>
      <c r="AY1668" s="78"/>
      <c r="AZ1668" s="78"/>
      <c r="BA1668" s="78"/>
      <c r="BB1668" s="78"/>
      <c r="BC1668" s="78"/>
      <c r="BD1668" s="78"/>
      <c r="BE1668" s="465"/>
      <c r="BF1668" s="165" t="str">
        <f t="shared" si="1180"/>
        <v>https://www.google.com/search?tbm=isch&amp;q=5%20G6</v>
      </c>
      <c r="BG1668" s="165" t="str">
        <f t="shared" si="1181"/>
        <v>G</v>
      </c>
      <c r="BH1668" s="65"/>
      <c r="BI1668" s="65"/>
      <c r="BJ1668" s="65"/>
      <c r="BK1668" s="65"/>
      <c r="BL1668" s="99"/>
      <c r="BM1668" s="99"/>
      <c r="BN1668" s="99"/>
    </row>
    <row r="1669" spans="1:66" s="51" customFormat="1" ht="16.5" x14ac:dyDescent="0.25">
      <c r="A1669" s="508" t="s">
        <v>2574</v>
      </c>
      <c r="B1669" s="487"/>
      <c r="C1669" s="707"/>
      <c r="D1669" s="487"/>
      <c r="E1669" s="487"/>
      <c r="F1669" s="488"/>
      <c r="G1669" s="489"/>
      <c r="H1669" s="487"/>
      <c r="I1669" s="490"/>
      <c r="J1669" s="490"/>
      <c r="K1669" s="491"/>
      <c r="L1669" s="547"/>
      <c r="M1669" s="528"/>
      <c r="N1669" s="492"/>
      <c r="O1669" s="493"/>
      <c r="P1669" s="494"/>
      <c r="Q1669" s="492"/>
      <c r="R1669" s="492"/>
      <c r="S1669" s="699" t="s">
        <v>5275</v>
      </c>
      <c r="T1669" s="102">
        <f t="shared" si="1169"/>
        <v>0</v>
      </c>
      <c r="U1669" s="78" t="str">
        <f>IF(NOT(ISNUMBER(G1669)), "", VLOOKUP(A1669,'Discount Lookup'!D:E,2,FALSE)*G1669)</f>
        <v/>
      </c>
      <c r="V1669" s="78" t="str">
        <f>IF(NOT(ISNUMBER(G1669)), "", VLOOKUP(A1669,'Discount Lookup'!G:H,2,FALSE)*G1669)</f>
        <v/>
      </c>
      <c r="W1669" s="102">
        <f t="shared" si="1170"/>
        <v>0</v>
      </c>
      <c r="X1669" s="102">
        <f t="shared" si="1171"/>
        <v>0</v>
      </c>
      <c r="Y1669" s="120" t="b">
        <f t="shared" si="1172"/>
        <v>0</v>
      </c>
      <c r="Z1669" s="117">
        <f t="shared" si="1173"/>
        <v>0</v>
      </c>
      <c r="AA1669" s="118"/>
      <c r="AB1669" s="118" t="str">
        <f t="shared" si="1174"/>
        <v/>
      </c>
      <c r="AC1669" s="712" t="str">
        <f>IF(AE1669="T2G","no charge",IF(AND(OR(PlanterYesMe="No",PlanterYesMe="N",PlanterYesMe="me"),H1669=""),"",IF(H1669="credit","NO install",IF(AND(K1669="",AE1669="me"),"EACH row",IF(AND(K1669="images",AE1669="me"),"EACH row",IF(D1669="","",IF(H1669="credit","",IF(AE1669="free","re-planting",IF(AE1669="me","   not ELP, by",IF(AND(OR(PlanterYesMe="Yes",PlanterYesMe="Y"),G1669&gt;0),(VLOOKUP(A1669,'Discount Lookup'!J:K,2)*G1669*(1-PlanterDiscount)*(1+PlanterDifficultyPercentage)),IF(AE1669="ELP",(VLOOKUP(A1669,'Discount Lookup'!J:K,2)*G1669*(1-PlanterDiscount)*(1+PlanterDifficultyPercentage)),IF(AE1669="free","re-planting",IF(G1669=0,"",IF(PlanterYesMe="",IF(AE1669="me","   not ELP, by",IF(AE1669="",IF(G1669&gt;0,(VLOOKUP(A1669,'Discount Lookup'!J:K,2)*G1669*(1-PlanterDiscount)*(1+PlanterDifficultyPercentage)),""),"")),"   not ELP, by"))))))))))))))</f>
        <v/>
      </c>
      <c r="AD1669" s="712"/>
      <c r="AE1669" s="513" t="str">
        <f t="shared" si="1175"/>
        <v/>
      </c>
      <c r="AF1669" s="713" t="str">
        <f t="shared" si="1176"/>
        <v/>
      </c>
      <c r="AG1669" s="713"/>
      <c r="AH1669" s="713"/>
      <c r="AI1669" s="112">
        <f>IF(H1669="credit",0,IF(AE1669="free",0,IF(AE1669="me",0,IF(G1669&gt;0,(VLOOKUP(A1669,'Discount Lookup'!J:K,2)*G1669),0))))</f>
        <v>0</v>
      </c>
      <c r="AJ1669" s="107" t="str">
        <f t="shared" ca="1" si="1177"/>
        <v/>
      </c>
      <c r="AK1669" s="714" t="str">
        <f t="shared" si="1178"/>
        <v/>
      </c>
      <c r="AL1669" s="714"/>
      <c r="AM1669" s="114" t="str">
        <f t="shared" si="1179"/>
        <v/>
      </c>
      <c r="AN1669" s="115"/>
      <c r="AO1669" s="116"/>
      <c r="AP1669" s="116"/>
      <c r="AQ1669" s="116"/>
      <c r="AR1669" s="116"/>
      <c r="AS1669" s="116"/>
      <c r="AT1669" s="116"/>
      <c r="AU1669" s="116"/>
      <c r="AV1669" s="78"/>
      <c r="AW1669" s="102"/>
      <c r="AX1669" s="78"/>
      <c r="AY1669" s="78"/>
      <c r="AZ1669" s="78"/>
      <c r="BA1669" s="78"/>
      <c r="BB1669" s="78"/>
      <c r="BC1669" s="78"/>
      <c r="BD1669" s="78"/>
      <c r="BE1669" s="465"/>
      <c r="BF1669" s="165" t="str">
        <f t="shared" si="1180"/>
        <v>https://www.google.com/search?tbm=isch&amp;q=Diamond%20Spire%20is%20noted%20for%20it%27s%20more%20columnar%20shape%20and%20unique%20rounded%20foliage%20</v>
      </c>
      <c r="BG1669" s="165" t="str">
        <f t="shared" si="1181"/>
        <v>D</v>
      </c>
      <c r="BH1669" s="65"/>
      <c r="BI1669" s="65"/>
      <c r="BJ1669" s="65"/>
      <c r="BK1669" s="65"/>
      <c r="BL1669" s="99"/>
      <c r="BM1669" s="99"/>
      <c r="BN1669" s="99"/>
    </row>
    <row r="1670" spans="1:66" s="51" customFormat="1" ht="19.5" thickBot="1" x14ac:dyDescent="0.3">
      <c r="A1670" s="686" t="s">
        <v>474</v>
      </c>
      <c r="B1670" s="73"/>
      <c r="C1670" s="708"/>
      <c r="D1670" s="73"/>
      <c r="E1670" s="73"/>
      <c r="F1670" s="496"/>
      <c r="G1670" s="73"/>
      <c r="H1670" s="73"/>
      <c r="I1670" s="73"/>
      <c r="J1670" s="497" t="s">
        <v>357</v>
      </c>
      <c r="K1670" s="498"/>
      <c r="L1670" s="562"/>
      <c r="M1670" s="73"/>
      <c r="N1670"/>
      <c r="O1670"/>
      <c r="P1670"/>
      <c r="Q1670"/>
      <c r="R1670"/>
      <c r="S1670"/>
      <c r="T1670" s="102">
        <f t="shared" si="1169"/>
        <v>0</v>
      </c>
      <c r="U1670" s="78" t="str">
        <f>IF(NOT(ISNUMBER(G1670)), "", VLOOKUP(A1670,'Discount Lookup'!D:E,2,FALSE)*G1670)</f>
        <v/>
      </c>
      <c r="V1670" s="78" t="str">
        <f>IF(NOT(ISNUMBER(G1670)), "", VLOOKUP(A1670,'Discount Lookup'!G:H,2,FALSE)*G1670)</f>
        <v/>
      </c>
      <c r="W1670" s="102">
        <f t="shared" si="1170"/>
        <v>0</v>
      </c>
      <c r="X1670" s="102">
        <f t="shared" si="1171"/>
        <v>0</v>
      </c>
      <c r="Y1670" s="120" t="b">
        <f t="shared" si="1172"/>
        <v>0</v>
      </c>
      <c r="Z1670" s="117">
        <f t="shared" si="1173"/>
        <v>0</v>
      </c>
      <c r="AA1670" s="118"/>
      <c r="AB1670" s="118" t="str">
        <f t="shared" si="1174"/>
        <v/>
      </c>
      <c r="AC1670" s="712" t="str">
        <f>IF(AE1670="T2G","no charge",IF(AND(OR(PlanterYesMe="No",PlanterYesMe="N",PlanterYesMe="me"),H1670=""),"",IF(H1670="credit","NO install",IF(AND(K1670="",AE1670="me"),"EACH row",IF(AND(K1670="images",AE1670="me"),"EACH row",IF(D1670="","",IF(H1670="credit","",IF(AE1670="free","re-planting",IF(AE1670="me","   not ELP, by",IF(AND(OR(PlanterYesMe="Yes",PlanterYesMe="Y"),G1670&gt;0),(VLOOKUP(A1670,'Discount Lookup'!J:K,2)*G1670*(1-PlanterDiscount)*(1+PlanterDifficultyPercentage)),IF(AE1670="ELP",(VLOOKUP(A1670,'Discount Lookup'!J:K,2)*G1670*(1-PlanterDiscount)*(1+PlanterDifficultyPercentage)),IF(AE1670="free","re-planting",IF(G1670=0,"",IF(PlanterYesMe="",IF(AE1670="me","   not ELP, by",IF(AE1670="",IF(G1670&gt;0,(VLOOKUP(A1670,'Discount Lookup'!J:K,2)*G1670*(1-PlanterDiscount)*(1+PlanterDifficultyPercentage)),""),"")),"   not ELP, by"))))))))))))))</f>
        <v/>
      </c>
      <c r="AD1670" s="712"/>
      <c r="AE1670" s="513" t="str">
        <f t="shared" si="1175"/>
        <v/>
      </c>
      <c r="AF1670" s="713" t="str">
        <f t="shared" si="1176"/>
        <v/>
      </c>
      <c r="AG1670" s="713"/>
      <c r="AH1670" s="713"/>
      <c r="AI1670" s="112">
        <f>IF(H1670="credit",0,IF(AE1670="free",0,IF(AE1670="me",0,IF(G1670&gt;0,(VLOOKUP(A1670,'Discount Lookup'!J:K,2)*G1670),0))))</f>
        <v>0</v>
      </c>
      <c r="AJ1670" s="107" t="str">
        <f t="shared" ca="1" si="1177"/>
        <v/>
      </c>
      <c r="AK1670" s="714" t="str">
        <f t="shared" si="1178"/>
        <v/>
      </c>
      <c r="AL1670" s="714"/>
      <c r="AM1670" s="114" t="str">
        <f t="shared" si="1179"/>
        <v/>
      </c>
      <c r="AN1670" s="115"/>
      <c r="AO1670" s="116"/>
      <c r="AP1670" s="116"/>
      <c r="AQ1670" s="116"/>
      <c r="AR1670" s="116"/>
      <c r="AS1670" s="116"/>
      <c r="AT1670" s="116"/>
      <c r="AU1670" s="116"/>
      <c r="AV1670" s="78"/>
      <c r="AW1670" s="102"/>
      <c r="AX1670" s="78"/>
      <c r="AY1670" s="78"/>
      <c r="AZ1670" s="78"/>
      <c r="BA1670" s="78"/>
      <c r="BB1670" s="78"/>
      <c r="BC1670" s="78"/>
      <c r="BD1670" s="78"/>
      <c r="BE1670" s="465"/>
      <c r="BF1670" s="165" t="str">
        <f t="shared" si="1180"/>
        <v>https://www.google.com/search?tbm=isch&amp;q=Gelsemium%20%3D%20Jessamine%20Vine%20</v>
      </c>
      <c r="BG1670" s="165" t="str">
        <f t="shared" si="1181"/>
        <v>G</v>
      </c>
      <c r="BH1670" s="65"/>
      <c r="BI1670" s="65"/>
      <c r="BJ1670" s="65"/>
      <c r="BK1670" s="65"/>
      <c r="BL1670" s="99"/>
      <c r="BM1670" s="99"/>
      <c r="BN1670" s="99"/>
    </row>
    <row r="1671" spans="1:66" s="51" customFormat="1" ht="18" x14ac:dyDescent="0.25">
      <c r="A1671" s="507" t="s">
        <v>2576</v>
      </c>
      <c r="B1671" s="470"/>
      <c r="C1671" s="706"/>
      <c r="D1671" s="471" t="s">
        <v>2577</v>
      </c>
      <c r="E1671" s="472"/>
      <c r="F1671" s="472"/>
      <c r="G1671" s="472"/>
      <c r="H1671" s="622" t="s">
        <v>326</v>
      </c>
      <c r="I1671" s="473" t="s">
        <v>2575</v>
      </c>
      <c r="J1671" s="472"/>
      <c r="K1671" s="472"/>
      <c r="L1671" s="561"/>
      <c r="M1671" s="698" t="s">
        <v>5246</v>
      </c>
      <c r="N1671" s="692" t="str">
        <f>IF(AND(ISTEXT($A1671), ISERROR($A1671+0)), HYPERLINK($BF1671, "Images"), "")</f>
        <v>Images</v>
      </c>
      <c r="O1671" s="694" t="s">
        <v>5244</v>
      </c>
      <c r="P1671" s="475"/>
      <c r="Q1671" s="476"/>
      <c r="R1671" s="476"/>
      <c r="S1671" s="477" t="s">
        <v>294</v>
      </c>
      <c r="T1671" s="102">
        <f t="shared" si="1169"/>
        <v>0</v>
      </c>
      <c r="U1671" s="78" t="str">
        <f>IF(NOT(ISNUMBER(G1671)), "", VLOOKUP(A1671,'Discount Lookup'!D:E,2,FALSE)*G1671)</f>
        <v/>
      </c>
      <c r="V1671" s="78" t="str">
        <f>IF(NOT(ISNUMBER(G1671)), "", VLOOKUP(A1671,'Discount Lookup'!G:H,2,FALSE)*G1671)</f>
        <v/>
      </c>
      <c r="W1671" s="102">
        <f t="shared" si="1170"/>
        <v>0</v>
      </c>
      <c r="X1671" s="102" t="str">
        <f t="shared" si="1171"/>
        <v>Bright Yellow bloom</v>
      </c>
      <c r="Y1671" s="120" t="b">
        <f t="shared" si="1172"/>
        <v>0</v>
      </c>
      <c r="Z1671" s="117">
        <f t="shared" si="1173"/>
        <v>0</v>
      </c>
      <c r="AA1671" s="118"/>
      <c r="AB1671" s="118" t="str">
        <f t="shared" si="1174"/>
        <v/>
      </c>
      <c r="AC1671" s="712" t="str">
        <f>IF(AE1671="T2G","no charge",IF(AND(OR(PlanterYesMe="No",PlanterYesMe="N",PlanterYesMe="me"),H1671=""),"",IF(H1671="credit","NO install",IF(AND(K1671="",AE1671="me"),"EACH row",IF(AND(K1671="images",AE1671="me"),"EACH row",IF(D1671="","",IF(H1671="credit","",IF(AE1671="free","re-planting",IF(AE1671="me","   not ELP, by",IF(AND(OR(PlanterYesMe="Yes",PlanterYesMe="Y"),G1671&gt;0),(VLOOKUP(A1671,'Discount Lookup'!J:K,2)*G1671*(1-PlanterDiscount)*(1+PlanterDifficultyPercentage)),IF(AE1671="ELP",(VLOOKUP(A1671,'Discount Lookup'!J:K,2)*G1671*(1-PlanterDiscount)*(1+PlanterDifficultyPercentage)),IF(AE1671="free","re-planting",IF(G1671=0,"",IF(PlanterYesMe="",IF(AE1671="me","   not ELP, by",IF(AE1671="",IF(G1671&gt;0,(VLOOKUP(A1671,'Discount Lookup'!J:K,2)*G1671*(1-PlanterDiscount)*(1+PlanterDifficultyPercentage)),""),"")),"   not ELP, by"))))))))))))))</f>
        <v/>
      </c>
      <c r="AD1671" s="712"/>
      <c r="AE1671" s="513" t="str">
        <f t="shared" si="1175"/>
        <v/>
      </c>
      <c r="AF1671" s="713" t="str">
        <f t="shared" si="1176"/>
        <v/>
      </c>
      <c r="AG1671" s="713"/>
      <c r="AH1671" s="713"/>
      <c r="AI1671" s="112">
        <f>IF(H1671="credit",0,IF(AE1671="free",0,IF(AE1671="me",0,IF(G1671&gt;0,(VLOOKUP(A1671,'Discount Lookup'!J:K,2)*G1671),0))))</f>
        <v>0</v>
      </c>
      <c r="AJ1671" s="107" t="str">
        <f t="shared" ca="1" si="1177"/>
        <v/>
      </c>
      <c r="AK1671" s="714" t="str">
        <f t="shared" si="1178"/>
        <v/>
      </c>
      <c r="AL1671" s="714"/>
      <c r="AM1671" s="114" t="str">
        <f t="shared" si="1179"/>
        <v/>
      </c>
      <c r="AN1671" s="115"/>
      <c r="AO1671" s="116"/>
      <c r="AP1671" s="116"/>
      <c r="AQ1671" s="116"/>
      <c r="AR1671" s="116"/>
      <c r="AS1671" s="116"/>
      <c r="AT1671" s="116"/>
      <c r="AU1671" s="116"/>
      <c r="AV1671" s="78"/>
      <c r="AW1671" s="102"/>
      <c r="AX1671" s="78"/>
      <c r="AY1671" s="78"/>
      <c r="AZ1671" s="78"/>
      <c r="BA1671" s="78"/>
      <c r="BB1671" s="78"/>
      <c r="BC1671" s="78"/>
      <c r="BD1671" s="78"/>
      <c r="BE1671" s="465"/>
      <c r="BF1671" s="165" t="str">
        <f t="shared" si="1180"/>
        <v>https://www.google.com/search?tbm=isch&amp;q=Gelsemium%20sempervirens%20Carolina%20Jessamine%20Vine</v>
      </c>
      <c r="BG1671" s="165" t="str">
        <f t="shared" si="1181"/>
        <v>G</v>
      </c>
      <c r="BH1671" s="65"/>
      <c r="BI1671" s="65"/>
      <c r="BJ1671" s="65"/>
      <c r="BK1671" s="65"/>
      <c r="BL1671" s="99"/>
      <c r="BM1671" s="99"/>
      <c r="BN1671" s="99"/>
    </row>
    <row r="1672" spans="1:66" s="51" customFormat="1" ht="15.75" x14ac:dyDescent="0.25">
      <c r="A1672" s="478">
        <v>3</v>
      </c>
      <c r="B1672" s="479" t="s">
        <v>291</v>
      </c>
      <c r="C1672" s="480"/>
      <c r="D1672" s="481" t="s">
        <v>329</v>
      </c>
      <c r="E1672" s="482">
        <v>29.95</v>
      </c>
      <c r="F1672" s="483" t="s">
        <v>292</v>
      </c>
      <c r="G1672" s="484">
        <v>0</v>
      </c>
      <c r="H1672" s="688" t="str">
        <f>IF(G1672=0,"",IF(F1672="Buy",IF(G1672=1,"plant","plants"),IF(F1672&gt;0.01,"warranty","Error")))</f>
        <v/>
      </c>
      <c r="I1672" s="485">
        <f>IF(H1672="free",0,IF(H1672="credit",((E1672*(F1672))*G1672*-1),IF(F1672="Buy",(E1672*G1672),((E1672*(1-F1672))*G1672))))</f>
        <v>0</v>
      </c>
      <c r="J1672" s="485">
        <f>IF(H1672="warranty",0,(I1672*(_xlfn.SINGLE(SalesTaxPercentage))))</f>
        <v>0</v>
      </c>
      <c r="K1672" s="715">
        <f t="shared" ref="K1672" si="1206">I1672+J1672</f>
        <v>0</v>
      </c>
      <c r="L1672" s="715"/>
      <c r="M1672" s="689" t="str">
        <f ca="1">IF(AND(G1672&gt;0,E1672=0),"WARNING - no PRICE inserted",IF(H1672="free","FREE ~ no charge this plant",IF(H1672="credit",CONCATENATE("-$",ROUND(K1672*(1-_xlfn.SINGLE(T2GDiscount))*-1,2)," CREDIT after discount"),IF(_xlfn.SINGLE(T2GDiscount)=0,"",IF(G1672=0,"",IF(F1672="Buy",CONCATENATE("$",ROUND(K1672*(1-_xlfn.SINGLE(T2GDiscount)),2)," with ",(_xlfn.SINGLE(T2GDiscount)*100),"% discount"),CONCATENATE("$",ROUND(K1672*(1-_xlfn.SINGLE(T2GDiscount)),2)," with ",((_xlfn.SINGLE(T2GDiscount)*100+F1672*100)-(_xlfn.SINGLE(T2GDiscount)*100*F1672)),IF(F1672&gt;0,"% discounts",IF(_xlfn.SINGLE(NoWarrantyDiscount)&gt;0,"% discounts","% discount")))))))))</f>
        <v/>
      </c>
      <c r="N1672" s="690"/>
      <c r="O1672" s="486"/>
      <c r="P1672" s="486"/>
      <c r="Q1672" s="486"/>
      <c r="R1672" s="486"/>
      <c r="S1672" s="486"/>
      <c r="T1672" s="102">
        <f t="shared" si="1169"/>
        <v>0</v>
      </c>
      <c r="U1672" s="78">
        <f>IF(NOT(ISNUMBER(G1672)), "", VLOOKUP(A1672,'Discount Lookup'!D:E,2,FALSE)*G1672)</f>
        <v>0</v>
      </c>
      <c r="V1672" s="78">
        <f>IF(NOT(ISNUMBER(G1672)), "", VLOOKUP(A1672,'Discount Lookup'!G:H,2,FALSE)*G1672)</f>
        <v>0</v>
      </c>
      <c r="W1672" s="102">
        <f t="shared" si="1170"/>
        <v>0</v>
      </c>
      <c r="X1672" s="102">
        <f t="shared" si="1171"/>
        <v>0</v>
      </c>
      <c r="Y1672" s="120" t="b">
        <f t="shared" si="1172"/>
        <v>0</v>
      </c>
      <c r="Z1672" s="117">
        <f t="shared" si="1173"/>
        <v>0</v>
      </c>
      <c r="AA1672" s="118"/>
      <c r="AB1672" s="118" t="str">
        <f t="shared" si="1174"/>
        <v/>
      </c>
      <c r="AC1672" s="712" t="str">
        <f>IF(AE1672="T2G","no charge",IF(AND(OR(PlanterYesMe="No",PlanterYesMe="N",PlanterYesMe="me"),H1672=""),"",IF(H1672="credit","NO install",IF(AND(K1672="",AE1672="me"),"EACH row",IF(AND(K1672="images",AE1672="me"),"EACH row",IF(D1672="","",IF(H1672="credit","",IF(AE1672="free","re-planting",IF(AE1672="me","   not ELP, by",IF(AND(OR(PlanterYesMe="Yes",PlanterYesMe="Y"),G1672&gt;0),(VLOOKUP(A1672,'Discount Lookup'!J:K,2)*G1672*(1-PlanterDiscount)*(1+PlanterDifficultyPercentage)),IF(AE1672="ELP",(VLOOKUP(A1672,'Discount Lookup'!J:K,2)*G1672*(1-PlanterDiscount)*(1+PlanterDifficultyPercentage)),IF(AE1672="free","re-planting",IF(G1672=0,"",IF(PlanterYesMe="",IF(AE1672="me","   not ELP, by",IF(AE1672="",IF(G1672&gt;0,(VLOOKUP(A1672,'Discount Lookup'!J:K,2)*G1672*(1-PlanterDiscount)*(1+PlanterDifficultyPercentage)),""),"")),"   not ELP, by"))))))))))))))</f>
        <v/>
      </c>
      <c r="AD1672" s="712"/>
      <c r="AE1672" s="513" t="str">
        <f t="shared" si="1175"/>
        <v/>
      </c>
      <c r="AF1672" s="713" t="str">
        <f t="shared" si="1176"/>
        <v/>
      </c>
      <c r="AG1672" s="713"/>
      <c r="AH1672" s="713"/>
      <c r="AI1672" s="112">
        <f>IF(H1672="credit",0,IF(AE1672="free",0,IF(AE1672="me",0,IF(G1672&gt;0,(VLOOKUP(A1672,'Discount Lookup'!J:K,2)*G1672),0))))</f>
        <v>0</v>
      </c>
      <c r="AJ1672" s="107" t="str">
        <f t="shared" ca="1" si="1177"/>
        <v/>
      </c>
      <c r="AK1672" s="714" t="str">
        <f t="shared" si="1178"/>
        <v/>
      </c>
      <c r="AL1672" s="714"/>
      <c r="AM1672" s="114" t="str">
        <f t="shared" si="1179"/>
        <v/>
      </c>
      <c r="AN1672" s="115"/>
      <c r="AO1672" s="116"/>
      <c r="AP1672" s="116"/>
      <c r="AQ1672" s="116"/>
      <c r="AR1672" s="116"/>
      <c r="AS1672" s="116"/>
      <c r="AT1672" s="116"/>
      <c r="AU1672" s="116"/>
      <c r="AV1672" s="78"/>
      <c r="AW1672" s="102"/>
      <c r="AX1672" s="78"/>
      <c r="AY1672" s="78"/>
      <c r="AZ1672" s="78"/>
      <c r="BA1672" s="78"/>
      <c r="BB1672" s="78"/>
      <c r="BC1672" s="78"/>
      <c r="BD1672" s="78"/>
      <c r="BE1672" s="465"/>
      <c r="BF1672" s="165" t="str">
        <f t="shared" si="1180"/>
        <v>https://www.google.com/search?tbm=isch&amp;q=3%20G2</v>
      </c>
      <c r="BG1672" s="165" t="str">
        <f t="shared" si="1181"/>
        <v>G</v>
      </c>
      <c r="BH1672" s="65"/>
      <c r="BI1672" s="65"/>
      <c r="BJ1672" s="65"/>
      <c r="BK1672" s="65"/>
      <c r="BL1672" s="99"/>
      <c r="BM1672" s="99"/>
      <c r="BN1672" s="99"/>
    </row>
    <row r="1673" spans="1:66" s="51" customFormat="1" ht="17.25" thickBot="1" x14ac:dyDescent="0.3">
      <c r="A1673" s="508" t="s">
        <v>4839</v>
      </c>
      <c r="B1673" s="487"/>
      <c r="C1673" s="707"/>
      <c r="D1673" s="487"/>
      <c r="E1673" s="487"/>
      <c r="F1673" s="488"/>
      <c r="G1673" s="489"/>
      <c r="H1673" s="487"/>
      <c r="I1673" s="490"/>
      <c r="J1673" s="490"/>
      <c r="K1673" s="491"/>
      <c r="L1673" s="547"/>
      <c r="M1673" s="528"/>
      <c r="N1673" s="492"/>
      <c r="O1673" s="493"/>
      <c r="P1673" s="494"/>
      <c r="Q1673" s="492"/>
      <c r="R1673" s="492"/>
      <c r="S1673" s="699" t="s">
        <v>5280</v>
      </c>
      <c r="T1673" s="102">
        <f t="shared" si="1169"/>
        <v>0</v>
      </c>
      <c r="U1673" s="78" t="str">
        <f>IF(NOT(ISNUMBER(G1673)), "", VLOOKUP(A1673,'Discount Lookup'!D:E,2,FALSE)*G1673)</f>
        <v/>
      </c>
      <c r="V1673" s="78" t="str">
        <f>IF(NOT(ISNUMBER(G1673)), "", VLOOKUP(A1673,'Discount Lookup'!G:H,2,FALSE)*G1673)</f>
        <v/>
      </c>
      <c r="W1673" s="102">
        <f t="shared" si="1170"/>
        <v>0</v>
      </c>
      <c r="X1673" s="102">
        <f t="shared" si="1171"/>
        <v>0</v>
      </c>
      <c r="Y1673" s="120" t="b">
        <f t="shared" si="1172"/>
        <v>0</v>
      </c>
      <c r="Z1673" s="117">
        <f t="shared" si="1173"/>
        <v>0</v>
      </c>
      <c r="AA1673" s="118"/>
      <c r="AB1673" s="118" t="str">
        <f t="shared" si="1174"/>
        <v/>
      </c>
      <c r="AC1673" s="712" t="str">
        <f>IF(AE1673="T2G","no charge",IF(AND(OR(PlanterYesMe="No",PlanterYesMe="N",PlanterYesMe="me"),H1673=""),"",IF(H1673="credit","NO install",IF(AND(K1673="",AE1673="me"),"EACH row",IF(AND(K1673="images",AE1673="me"),"EACH row",IF(D1673="","",IF(H1673="credit","",IF(AE1673="free","re-planting",IF(AE1673="me","   not ELP, by",IF(AND(OR(PlanterYesMe="Yes",PlanterYesMe="Y"),G1673&gt;0),(VLOOKUP(A1673,'Discount Lookup'!J:K,2)*G1673*(1-PlanterDiscount)*(1+PlanterDifficultyPercentage)),IF(AE1673="ELP",(VLOOKUP(A1673,'Discount Lookup'!J:K,2)*G1673*(1-PlanterDiscount)*(1+PlanterDifficultyPercentage)),IF(AE1673="free","re-planting",IF(G1673=0,"",IF(PlanterYesMe="",IF(AE1673="me","   not ELP, by",IF(AE1673="",IF(G1673&gt;0,(VLOOKUP(A1673,'Discount Lookup'!J:K,2)*G1673*(1-PlanterDiscount)*(1+PlanterDifficultyPercentage)),""),"")),"   not ELP, by"))))))))))))))</f>
        <v/>
      </c>
      <c r="AD1673" s="712"/>
      <c r="AE1673" s="513" t="str">
        <f t="shared" si="1175"/>
        <v/>
      </c>
      <c r="AF1673" s="713" t="str">
        <f t="shared" si="1176"/>
        <v/>
      </c>
      <c r="AG1673" s="713"/>
      <c r="AH1673" s="713"/>
      <c r="AI1673" s="112">
        <f>IF(H1673="credit",0,IF(AE1673="free",0,IF(AE1673="me",0,IF(G1673&gt;0,(VLOOKUP(A1673,'Discount Lookup'!J:K,2)*G1673),0))))</f>
        <v>0</v>
      </c>
      <c r="AJ1673" s="107" t="str">
        <f t="shared" ca="1" si="1177"/>
        <v/>
      </c>
      <c r="AK1673" s="714" t="str">
        <f t="shared" si="1178"/>
        <v/>
      </c>
      <c r="AL1673" s="714"/>
      <c r="AM1673" s="114" t="str">
        <f t="shared" si="1179"/>
        <v/>
      </c>
      <c r="AN1673" s="115"/>
      <c r="AO1673" s="116"/>
      <c r="AP1673" s="116"/>
      <c r="AQ1673" s="116"/>
      <c r="AR1673" s="116"/>
      <c r="AS1673" s="116"/>
      <c r="AT1673" s="116"/>
      <c r="AU1673" s="116"/>
      <c r="AV1673" s="78"/>
      <c r="AW1673" s="102"/>
      <c r="AX1673" s="78"/>
      <c r="AY1673" s="78"/>
      <c r="AZ1673" s="78"/>
      <c r="BA1673" s="78"/>
      <c r="BB1673" s="78"/>
      <c r="BC1673" s="78"/>
      <c r="BD1673" s="78"/>
      <c r="BE1673" s="465"/>
      <c r="BF1673" s="165" t="str">
        <f t="shared" si="1180"/>
        <v>https://www.google.com/search?tbm=isch&amp;q=Carolina%20Jessamine%20has%20very%20early%2C%20fragrant%2C%20trumpet-shaped%20flowers%20that%20bloom%20in%20late%20winter%20to%20early%20spring.%20Vigorous%20foliage%20</v>
      </c>
      <c r="BG1673" s="165" t="str">
        <f t="shared" si="1181"/>
        <v>C</v>
      </c>
      <c r="BH1673" s="65"/>
      <c r="BI1673" s="65"/>
      <c r="BJ1673" s="65"/>
      <c r="BK1673" s="65"/>
      <c r="BL1673" s="99"/>
      <c r="BM1673" s="99"/>
      <c r="BN1673" s="99"/>
    </row>
    <row r="1674" spans="1:66" s="51" customFormat="1" ht="18" x14ac:dyDescent="0.25">
      <c r="A1674" s="507" t="s">
        <v>2578</v>
      </c>
      <c r="B1674" s="470"/>
      <c r="C1674" s="706"/>
      <c r="D1674" s="471" t="s">
        <v>2579</v>
      </c>
      <c r="E1674" s="472"/>
      <c r="F1674" s="472"/>
      <c r="G1674" s="472"/>
      <c r="H1674" s="622" t="s">
        <v>326</v>
      </c>
      <c r="I1674" s="473" t="s">
        <v>1549</v>
      </c>
      <c r="J1674" s="472"/>
      <c r="K1674" s="472"/>
      <c r="L1674" s="561"/>
      <c r="M1674" s="698" t="s">
        <v>5246</v>
      </c>
      <c r="N1674" s="692" t="str">
        <f>IF(AND(ISTEXT($A1674), ISERROR($A1674+0)), HYPERLINK($BF1674, "Images"), "")</f>
        <v>Images</v>
      </c>
      <c r="O1674" s="694" t="s">
        <v>5244</v>
      </c>
      <c r="P1674" s="475"/>
      <c r="Q1674" s="476"/>
      <c r="R1674" s="476"/>
      <c r="S1674" s="477" t="s">
        <v>294</v>
      </c>
      <c r="T1674" s="102">
        <f t="shared" si="1169"/>
        <v>0</v>
      </c>
      <c r="U1674" s="78" t="str">
        <f>IF(NOT(ISNUMBER(G1674)), "", VLOOKUP(A1674,'Discount Lookup'!D:E,2,FALSE)*G1674)</f>
        <v/>
      </c>
      <c r="V1674" s="78" t="str">
        <f>IF(NOT(ISNUMBER(G1674)), "", VLOOKUP(A1674,'Discount Lookup'!G:H,2,FALSE)*G1674)</f>
        <v/>
      </c>
      <c r="W1674" s="102">
        <f t="shared" si="1170"/>
        <v>0</v>
      </c>
      <c r="X1674" s="102" t="str">
        <f t="shared" si="1171"/>
        <v>Golden Yellow bloom</v>
      </c>
      <c r="Y1674" s="120" t="b">
        <f t="shared" si="1172"/>
        <v>0</v>
      </c>
      <c r="Z1674" s="117">
        <f t="shared" si="1173"/>
        <v>0</v>
      </c>
      <c r="AA1674" s="118"/>
      <c r="AB1674" s="118" t="str">
        <f t="shared" si="1174"/>
        <v/>
      </c>
      <c r="AC1674" s="712" t="str">
        <f>IF(AE1674="T2G","no charge",IF(AND(OR(PlanterYesMe="No",PlanterYesMe="N",PlanterYesMe="me"),H1674=""),"",IF(H1674="credit","NO install",IF(AND(K1674="",AE1674="me"),"EACH row",IF(AND(K1674="images",AE1674="me"),"EACH row",IF(D1674="","",IF(H1674="credit","",IF(AE1674="free","re-planting",IF(AE1674="me","   not ELP, by",IF(AND(OR(PlanterYesMe="Yes",PlanterYesMe="Y"),G1674&gt;0),(VLOOKUP(A1674,'Discount Lookup'!J:K,2)*G1674*(1-PlanterDiscount)*(1+PlanterDifficultyPercentage)),IF(AE1674="ELP",(VLOOKUP(A1674,'Discount Lookup'!J:K,2)*G1674*(1-PlanterDiscount)*(1+PlanterDifficultyPercentage)),IF(AE1674="free","re-planting",IF(G1674=0,"",IF(PlanterYesMe="",IF(AE1674="me","   not ELP, by",IF(AE1674="",IF(G1674&gt;0,(VLOOKUP(A1674,'Discount Lookup'!J:K,2)*G1674*(1-PlanterDiscount)*(1+PlanterDifficultyPercentage)),""),"")),"   not ELP, by"))))))))))))))</f>
        <v/>
      </c>
      <c r="AD1674" s="712"/>
      <c r="AE1674" s="513" t="str">
        <f t="shared" si="1175"/>
        <v/>
      </c>
      <c r="AF1674" s="713" t="str">
        <f t="shared" si="1176"/>
        <v/>
      </c>
      <c r="AG1674" s="713"/>
      <c r="AH1674" s="713"/>
      <c r="AI1674" s="112">
        <f>IF(H1674="credit",0,IF(AE1674="free",0,IF(AE1674="me",0,IF(G1674&gt;0,(VLOOKUP(A1674,'Discount Lookup'!J:K,2)*G1674),0))))</f>
        <v>0</v>
      </c>
      <c r="AJ1674" s="107" t="str">
        <f t="shared" ca="1" si="1177"/>
        <v/>
      </c>
      <c r="AK1674" s="714" t="str">
        <f t="shared" si="1178"/>
        <v/>
      </c>
      <c r="AL1674" s="714"/>
      <c r="AM1674" s="114" t="str">
        <f t="shared" si="1179"/>
        <v/>
      </c>
      <c r="AN1674" s="115"/>
      <c r="AO1674" s="116"/>
      <c r="AP1674" s="116"/>
      <c r="AQ1674" s="116"/>
      <c r="AR1674" s="116"/>
      <c r="AS1674" s="116"/>
      <c r="AT1674" s="116"/>
      <c r="AU1674" s="116"/>
      <c r="AV1674" s="78"/>
      <c r="AW1674" s="102"/>
      <c r="AX1674" s="78"/>
      <c r="AY1674" s="78"/>
      <c r="AZ1674" s="78"/>
      <c r="BA1674" s="78"/>
      <c r="BB1674" s="78"/>
      <c r="BC1674" s="78"/>
      <c r="BD1674" s="78"/>
      <c r="BE1674" s="465"/>
      <c r="BF1674" s="165" t="str">
        <f t="shared" si="1180"/>
        <v>https://www.google.com/search?tbm=isch&amp;q=Gelsemium%20sempervirens%20%27Margarita%27%20Margarita%20Carolina%20Jessamine%20Vine</v>
      </c>
      <c r="BG1674" s="165" t="str">
        <f t="shared" si="1181"/>
        <v>G</v>
      </c>
      <c r="BH1674" s="65"/>
      <c r="BI1674" s="65"/>
      <c r="BJ1674" s="65"/>
      <c r="BK1674" s="65"/>
      <c r="BL1674" s="99"/>
      <c r="BM1674" s="99"/>
      <c r="BN1674" s="99"/>
    </row>
    <row r="1675" spans="1:66" s="51" customFormat="1" ht="15.75" x14ac:dyDescent="0.25">
      <c r="A1675" s="478">
        <v>3</v>
      </c>
      <c r="B1675" s="479" t="s">
        <v>291</v>
      </c>
      <c r="C1675" s="480"/>
      <c r="D1675" s="481" t="s">
        <v>310</v>
      </c>
      <c r="E1675" s="482">
        <v>30.95</v>
      </c>
      <c r="F1675" s="483" t="s">
        <v>292</v>
      </c>
      <c r="G1675" s="484">
        <v>0</v>
      </c>
      <c r="H1675" s="688" t="str">
        <f>IF(G1675=0,"",IF(F1675="Buy",IF(G1675=1,"plant","plants"),IF(F1675&gt;0.01,"warranty","Error")))</f>
        <v/>
      </c>
      <c r="I1675" s="485">
        <f>IF(H1675="free",0,IF(H1675="credit",((E1675*(F1675))*G1675*-1),IF(F1675="Buy",(E1675*G1675),((E1675*(1-F1675))*G1675))))</f>
        <v>0</v>
      </c>
      <c r="J1675" s="485">
        <f>IF(H1675="warranty",0,(I1675*(_xlfn.SINGLE(SalesTaxPercentage))))</f>
        <v>0</v>
      </c>
      <c r="K1675" s="715">
        <f t="shared" ref="K1675" si="1207">I1675+J1675</f>
        <v>0</v>
      </c>
      <c r="L1675" s="715"/>
      <c r="M1675" s="689" t="str">
        <f ca="1">IF(AND(G1675&gt;0,E1675=0),"WARNING - no PRICE inserted",IF(H1675="free","FREE ~ no charge this plant",IF(H1675="credit",CONCATENATE("-$",ROUND(K1675*(1-_xlfn.SINGLE(T2GDiscount))*-1,2)," CREDIT after discount"),IF(_xlfn.SINGLE(T2GDiscount)=0,"",IF(G1675=0,"",IF(F1675="Buy",CONCATENATE("$",ROUND(K1675*(1-_xlfn.SINGLE(T2GDiscount)),2)," with ",(_xlfn.SINGLE(T2GDiscount)*100),"% discount"),CONCATENATE("$",ROUND(K1675*(1-_xlfn.SINGLE(T2GDiscount)),2)," with ",((_xlfn.SINGLE(T2GDiscount)*100+F1675*100)-(_xlfn.SINGLE(T2GDiscount)*100*F1675)),IF(F1675&gt;0,"% discounts",IF(_xlfn.SINGLE(NoWarrantyDiscount)&gt;0,"% discounts","% discount")))))))))</f>
        <v/>
      </c>
      <c r="N1675" s="690"/>
      <c r="O1675" s="486"/>
      <c r="P1675" s="486"/>
      <c r="Q1675" s="486"/>
      <c r="R1675" s="486"/>
      <c r="S1675" s="486"/>
      <c r="T1675" s="102">
        <f t="shared" si="1169"/>
        <v>0</v>
      </c>
      <c r="U1675" s="78">
        <f>IF(NOT(ISNUMBER(G1675)), "", VLOOKUP(A1675,'Discount Lookup'!D:E,2,FALSE)*G1675)</f>
        <v>0</v>
      </c>
      <c r="V1675" s="78">
        <f>IF(NOT(ISNUMBER(G1675)), "", VLOOKUP(A1675,'Discount Lookup'!G:H,2,FALSE)*G1675)</f>
        <v>0</v>
      </c>
      <c r="W1675" s="102">
        <f t="shared" si="1170"/>
        <v>0</v>
      </c>
      <c r="X1675" s="102">
        <f t="shared" si="1171"/>
        <v>0</v>
      </c>
      <c r="Y1675" s="120" t="b">
        <f t="shared" si="1172"/>
        <v>0</v>
      </c>
      <c r="Z1675" s="117">
        <f t="shared" si="1173"/>
        <v>0</v>
      </c>
      <c r="AA1675" s="118"/>
      <c r="AB1675" s="118" t="str">
        <f t="shared" si="1174"/>
        <v/>
      </c>
      <c r="AC1675" s="712" t="str">
        <f>IF(AE1675="T2G","no charge",IF(AND(OR(PlanterYesMe="No",PlanterYesMe="N",PlanterYesMe="me"),H1675=""),"",IF(H1675="credit","NO install",IF(AND(K1675="",AE1675="me"),"EACH row",IF(AND(K1675="images",AE1675="me"),"EACH row",IF(D1675="","",IF(H1675="credit","",IF(AE1675="free","re-planting",IF(AE1675="me","   not ELP, by",IF(AND(OR(PlanterYesMe="Yes",PlanterYesMe="Y"),G1675&gt;0),(VLOOKUP(A1675,'Discount Lookup'!J:K,2)*G1675*(1-PlanterDiscount)*(1+PlanterDifficultyPercentage)),IF(AE1675="ELP",(VLOOKUP(A1675,'Discount Lookup'!J:K,2)*G1675*(1-PlanterDiscount)*(1+PlanterDifficultyPercentage)),IF(AE1675="free","re-planting",IF(G1675=0,"",IF(PlanterYesMe="",IF(AE1675="me","   not ELP, by",IF(AE1675="",IF(G1675&gt;0,(VLOOKUP(A1675,'Discount Lookup'!J:K,2)*G1675*(1-PlanterDiscount)*(1+PlanterDifficultyPercentage)),""),"")),"   not ELP, by"))))))))))))))</f>
        <v/>
      </c>
      <c r="AD1675" s="712"/>
      <c r="AE1675" s="513" t="str">
        <f t="shared" si="1175"/>
        <v/>
      </c>
      <c r="AF1675" s="713" t="str">
        <f t="shared" si="1176"/>
        <v/>
      </c>
      <c r="AG1675" s="713"/>
      <c r="AH1675" s="713"/>
      <c r="AI1675" s="112">
        <f>IF(H1675="credit",0,IF(AE1675="free",0,IF(AE1675="me",0,IF(G1675&gt;0,(VLOOKUP(A1675,'Discount Lookup'!J:K,2)*G1675),0))))</f>
        <v>0</v>
      </c>
      <c r="AJ1675" s="107" t="str">
        <f t="shared" ca="1" si="1177"/>
        <v/>
      </c>
      <c r="AK1675" s="714" t="str">
        <f t="shared" si="1178"/>
        <v/>
      </c>
      <c r="AL1675" s="714"/>
      <c r="AM1675" s="114" t="str">
        <f t="shared" si="1179"/>
        <v/>
      </c>
      <c r="AN1675" s="115"/>
      <c r="AO1675" s="116"/>
      <c r="AP1675" s="116"/>
      <c r="AQ1675" s="116"/>
      <c r="AR1675" s="116"/>
      <c r="AS1675" s="116"/>
      <c r="AT1675" s="116"/>
      <c r="AU1675" s="116"/>
      <c r="AV1675" s="78"/>
      <c r="AW1675" s="102"/>
      <c r="AX1675" s="78"/>
      <c r="AY1675" s="78"/>
      <c r="AZ1675" s="78"/>
      <c r="BA1675" s="78"/>
      <c r="BB1675" s="78"/>
      <c r="BC1675" s="78"/>
      <c r="BD1675" s="78"/>
      <c r="BE1675" s="465"/>
      <c r="BF1675" s="165" t="str">
        <f t="shared" si="1180"/>
        <v>https://www.google.com/search?tbm=isch&amp;q=3%20G1</v>
      </c>
      <c r="BG1675" s="165" t="str">
        <f t="shared" si="1181"/>
        <v>G</v>
      </c>
      <c r="BH1675" s="65"/>
      <c r="BI1675" s="65"/>
      <c r="BJ1675" s="65"/>
      <c r="BK1675" s="65"/>
      <c r="BL1675" s="99"/>
      <c r="BM1675" s="99"/>
      <c r="BN1675" s="99"/>
    </row>
    <row r="1676" spans="1:66" s="51" customFormat="1" ht="15.75" x14ac:dyDescent="0.25">
      <c r="A1676" s="478">
        <v>3</v>
      </c>
      <c r="B1676" s="479" t="s">
        <v>291</v>
      </c>
      <c r="C1676" s="480"/>
      <c r="D1676" s="481" t="s">
        <v>329</v>
      </c>
      <c r="E1676" s="482">
        <v>30.95</v>
      </c>
      <c r="F1676" s="483" t="s">
        <v>292</v>
      </c>
      <c r="G1676" s="484">
        <v>0</v>
      </c>
      <c r="H1676" s="688" t="str">
        <f>IF(G1676=0,"",IF(F1676="Buy",IF(G1676=1,"plant","plants"),IF(F1676&gt;0.01,"warranty","Error")))</f>
        <v/>
      </c>
      <c r="I1676" s="485">
        <f>IF(H1676="free",0,IF(H1676="credit",((E1676*(F1676))*G1676*-1),IF(F1676="Buy",(E1676*G1676),((E1676*(1-F1676))*G1676))))</f>
        <v>0</v>
      </c>
      <c r="J1676" s="485">
        <f>IF(H1676="warranty",0,(I1676*(_xlfn.SINGLE(SalesTaxPercentage))))</f>
        <v>0</v>
      </c>
      <c r="K1676" s="715">
        <f t="shared" ref="K1676" si="1208">I1676+J1676</f>
        <v>0</v>
      </c>
      <c r="L1676" s="715"/>
      <c r="M1676" s="689" t="str">
        <f ca="1">IF(AND(G1676&gt;0,E1676=0),"WARNING - no PRICE inserted",IF(H1676="free","FREE ~ no charge this plant",IF(H1676="credit",CONCATENATE("-$",ROUND(K1676*(1-_xlfn.SINGLE(T2GDiscount))*-1,2)," CREDIT after discount"),IF(_xlfn.SINGLE(T2GDiscount)=0,"",IF(G1676=0,"",IF(F1676="Buy",CONCATENATE("$",ROUND(K1676*(1-_xlfn.SINGLE(T2GDiscount)),2)," with ",(_xlfn.SINGLE(T2GDiscount)*100),"% discount"),CONCATENATE("$",ROUND(K1676*(1-_xlfn.SINGLE(T2GDiscount)),2)," with ",((_xlfn.SINGLE(T2GDiscount)*100+F1676*100)-(_xlfn.SINGLE(T2GDiscount)*100*F1676)),IF(F1676&gt;0,"% discounts",IF(_xlfn.SINGLE(NoWarrantyDiscount)&gt;0,"% discounts","% discount")))))))))</f>
        <v/>
      </c>
      <c r="N1676" s="690"/>
      <c r="O1676" s="486"/>
      <c r="P1676" s="486"/>
      <c r="Q1676" s="486"/>
      <c r="R1676" s="486"/>
      <c r="S1676" s="486"/>
      <c r="T1676" s="102">
        <f t="shared" si="1169"/>
        <v>0</v>
      </c>
      <c r="U1676" s="78">
        <f>IF(NOT(ISNUMBER(G1676)), "", VLOOKUP(A1676,'Discount Lookup'!D:E,2,FALSE)*G1676)</f>
        <v>0</v>
      </c>
      <c r="V1676" s="78">
        <f>IF(NOT(ISNUMBER(G1676)), "", VLOOKUP(A1676,'Discount Lookup'!G:H,2,FALSE)*G1676)</f>
        <v>0</v>
      </c>
      <c r="W1676" s="102">
        <f t="shared" si="1170"/>
        <v>0</v>
      </c>
      <c r="X1676" s="102">
        <f t="shared" si="1171"/>
        <v>0</v>
      </c>
      <c r="Y1676" s="120" t="b">
        <f t="shared" si="1172"/>
        <v>0</v>
      </c>
      <c r="Z1676" s="117">
        <f t="shared" si="1173"/>
        <v>0</v>
      </c>
      <c r="AA1676" s="118"/>
      <c r="AB1676" s="118" t="str">
        <f t="shared" si="1174"/>
        <v/>
      </c>
      <c r="AC1676" s="712" t="str">
        <f>IF(AE1676="T2G","no charge",IF(AND(OR(PlanterYesMe="No",PlanterYesMe="N",PlanterYesMe="me"),H1676=""),"",IF(H1676="credit","NO install",IF(AND(K1676="",AE1676="me"),"EACH row",IF(AND(K1676="images",AE1676="me"),"EACH row",IF(D1676="","",IF(H1676="credit","",IF(AE1676="free","re-planting",IF(AE1676="me","   not ELP, by",IF(AND(OR(PlanterYesMe="Yes",PlanterYesMe="Y"),G1676&gt;0),(VLOOKUP(A1676,'Discount Lookup'!J:K,2)*G1676*(1-PlanterDiscount)*(1+PlanterDifficultyPercentage)),IF(AE1676="ELP",(VLOOKUP(A1676,'Discount Lookup'!J:K,2)*G1676*(1-PlanterDiscount)*(1+PlanterDifficultyPercentage)),IF(AE1676="free","re-planting",IF(G1676=0,"",IF(PlanterYesMe="",IF(AE1676="me","   not ELP, by",IF(AE1676="",IF(G1676&gt;0,(VLOOKUP(A1676,'Discount Lookup'!J:K,2)*G1676*(1-PlanterDiscount)*(1+PlanterDifficultyPercentage)),""),"")),"   not ELP, by"))))))))))))))</f>
        <v/>
      </c>
      <c r="AD1676" s="712"/>
      <c r="AE1676" s="513" t="str">
        <f t="shared" si="1175"/>
        <v/>
      </c>
      <c r="AF1676" s="713" t="str">
        <f t="shared" si="1176"/>
        <v/>
      </c>
      <c r="AG1676" s="713"/>
      <c r="AH1676" s="713"/>
      <c r="AI1676" s="112">
        <f>IF(H1676="credit",0,IF(AE1676="free",0,IF(AE1676="me",0,IF(G1676&gt;0,(VLOOKUP(A1676,'Discount Lookup'!J:K,2)*G1676),0))))</f>
        <v>0</v>
      </c>
      <c r="AJ1676" s="107" t="str">
        <f t="shared" ca="1" si="1177"/>
        <v/>
      </c>
      <c r="AK1676" s="714" t="str">
        <f t="shared" si="1178"/>
        <v/>
      </c>
      <c r="AL1676" s="714"/>
      <c r="AM1676" s="114" t="str">
        <f t="shared" si="1179"/>
        <v/>
      </c>
      <c r="AN1676" s="115"/>
      <c r="AO1676" s="116"/>
      <c r="AP1676" s="116"/>
      <c r="AQ1676" s="116"/>
      <c r="AR1676" s="116"/>
      <c r="AS1676" s="116"/>
      <c r="AT1676" s="116"/>
      <c r="AU1676" s="116"/>
      <c r="AV1676" s="78"/>
      <c r="AW1676" s="102"/>
      <c r="AX1676" s="78"/>
      <c r="AY1676" s="78"/>
      <c r="AZ1676" s="78"/>
      <c r="BA1676" s="78"/>
      <c r="BB1676" s="78"/>
      <c r="BC1676" s="78"/>
      <c r="BD1676" s="78"/>
      <c r="BE1676" s="465"/>
      <c r="BF1676" s="165" t="str">
        <f t="shared" si="1180"/>
        <v>https://www.google.com/search?tbm=isch&amp;q=3%20G2</v>
      </c>
      <c r="BG1676" s="165" t="str">
        <f t="shared" si="1181"/>
        <v>G</v>
      </c>
      <c r="BH1676" s="65"/>
      <c r="BI1676" s="65"/>
      <c r="BJ1676" s="65"/>
      <c r="BK1676" s="65"/>
      <c r="BL1676" s="99"/>
      <c r="BM1676" s="99"/>
      <c r="BN1676" s="99"/>
    </row>
    <row r="1677" spans="1:66" s="51" customFormat="1" ht="16.5" x14ac:dyDescent="0.25">
      <c r="A1677" s="508" t="s">
        <v>2580</v>
      </c>
      <c r="B1677" s="487"/>
      <c r="C1677" s="707"/>
      <c r="D1677" s="487"/>
      <c r="E1677" s="487"/>
      <c r="F1677" s="488"/>
      <c r="G1677" s="489"/>
      <c r="H1677" s="487"/>
      <c r="I1677" s="490"/>
      <c r="J1677" s="490"/>
      <c r="K1677" s="491"/>
      <c r="L1677" s="547"/>
      <c r="M1677" s="528"/>
      <c r="N1677" s="492"/>
      <c r="O1677" s="493"/>
      <c r="P1677" s="494"/>
      <c r="Q1677" s="492"/>
      <c r="R1677" s="492"/>
      <c r="S1677" s="699" t="s">
        <v>5280</v>
      </c>
      <c r="T1677" s="102">
        <f t="shared" si="1169"/>
        <v>0</v>
      </c>
      <c r="U1677" s="78" t="str">
        <f>IF(NOT(ISNUMBER(G1677)), "", VLOOKUP(A1677,'Discount Lookup'!D:E,2,FALSE)*G1677)</f>
        <v/>
      </c>
      <c r="V1677" s="78" t="str">
        <f>IF(NOT(ISNUMBER(G1677)), "", VLOOKUP(A1677,'Discount Lookup'!G:H,2,FALSE)*G1677)</f>
        <v/>
      </c>
      <c r="W1677" s="102">
        <f t="shared" si="1170"/>
        <v>0</v>
      </c>
      <c r="X1677" s="102">
        <f t="shared" si="1171"/>
        <v>0</v>
      </c>
      <c r="Y1677" s="120" t="b">
        <f t="shared" si="1172"/>
        <v>0</v>
      </c>
      <c r="Z1677" s="117">
        <f t="shared" si="1173"/>
        <v>0</v>
      </c>
      <c r="AA1677" s="118"/>
      <c r="AB1677" s="118" t="str">
        <f t="shared" si="1174"/>
        <v/>
      </c>
      <c r="AC1677" s="712" t="str">
        <f>IF(AE1677="T2G","no charge",IF(AND(OR(PlanterYesMe="No",PlanterYesMe="N",PlanterYesMe="me"),H1677=""),"",IF(H1677="credit","NO install",IF(AND(K1677="",AE1677="me"),"EACH row",IF(AND(K1677="images",AE1677="me"),"EACH row",IF(D1677="","",IF(H1677="credit","",IF(AE1677="free","re-planting",IF(AE1677="me","   not ELP, by",IF(AND(OR(PlanterYesMe="Yes",PlanterYesMe="Y"),G1677&gt;0),(VLOOKUP(A1677,'Discount Lookup'!J:K,2)*G1677*(1-PlanterDiscount)*(1+PlanterDifficultyPercentage)),IF(AE1677="ELP",(VLOOKUP(A1677,'Discount Lookup'!J:K,2)*G1677*(1-PlanterDiscount)*(1+PlanterDifficultyPercentage)),IF(AE1677="free","re-planting",IF(G1677=0,"",IF(PlanterYesMe="",IF(AE1677="me","   not ELP, by",IF(AE1677="",IF(G1677&gt;0,(VLOOKUP(A1677,'Discount Lookup'!J:K,2)*G1677*(1-PlanterDiscount)*(1+PlanterDifficultyPercentage)),""),"")),"   not ELP, by"))))))))))))))</f>
        <v/>
      </c>
      <c r="AD1677" s="712"/>
      <c r="AE1677" s="513" t="str">
        <f t="shared" si="1175"/>
        <v/>
      </c>
      <c r="AF1677" s="713" t="str">
        <f t="shared" si="1176"/>
        <v/>
      </c>
      <c r="AG1677" s="713"/>
      <c r="AH1677" s="713"/>
      <c r="AI1677" s="112">
        <f>IF(H1677="credit",0,IF(AE1677="free",0,IF(AE1677="me",0,IF(G1677&gt;0,(VLOOKUP(A1677,'Discount Lookup'!J:K,2)*G1677),0))))</f>
        <v>0</v>
      </c>
      <c r="AJ1677" s="107" t="str">
        <f t="shared" ca="1" si="1177"/>
        <v/>
      </c>
      <c r="AK1677" s="714" t="str">
        <f t="shared" si="1178"/>
        <v/>
      </c>
      <c r="AL1677" s="714"/>
      <c r="AM1677" s="114" t="str">
        <f t="shared" si="1179"/>
        <v/>
      </c>
      <c r="AN1677" s="115"/>
      <c r="AO1677" s="116"/>
      <c r="AP1677" s="116"/>
      <c r="AQ1677" s="116"/>
      <c r="AR1677" s="116"/>
      <c r="AS1677" s="116"/>
      <c r="AT1677" s="116"/>
      <c r="AU1677" s="116"/>
      <c r="AV1677" s="78"/>
      <c r="AW1677" s="102"/>
      <c r="AX1677" s="78"/>
      <c r="AY1677" s="78"/>
      <c r="AZ1677" s="78"/>
      <c r="BA1677" s="78"/>
      <c r="BB1677" s="78"/>
      <c r="BC1677" s="78"/>
      <c r="BD1677" s="78"/>
      <c r="BE1677" s="465"/>
      <c r="BF1677" s="165" t="str">
        <f t="shared" si="1180"/>
        <v>https://www.google.com/search?tbm=isch&amp;q=Margarita%20is%20notable%20for%20its%20excellent%20cold%20hardiness.%20Fragrant%2C%20somewhat%20larger%2C%20trumpet-shaped%20flowers%20appear%20in%20early%20spring%20</v>
      </c>
      <c r="BG1677" s="165" t="str">
        <f t="shared" si="1181"/>
        <v>M</v>
      </c>
      <c r="BH1677" s="65"/>
      <c r="BI1677" s="65"/>
      <c r="BJ1677" s="65"/>
      <c r="BK1677" s="65"/>
      <c r="BL1677" s="99"/>
      <c r="BM1677" s="99"/>
      <c r="BN1677" s="99"/>
    </row>
    <row r="1678" spans="1:66" s="51" customFormat="1" ht="19.5" thickBot="1" x14ac:dyDescent="0.3">
      <c r="A1678" s="686" t="s">
        <v>475</v>
      </c>
      <c r="B1678" s="73"/>
      <c r="C1678" s="708"/>
      <c r="D1678" s="73"/>
      <c r="E1678" s="73"/>
      <c r="F1678" s="496"/>
      <c r="G1678" s="73"/>
      <c r="H1678" s="73"/>
      <c r="I1678" s="73"/>
      <c r="J1678" s="497" t="s">
        <v>357</v>
      </c>
      <c r="K1678" s="498"/>
      <c r="L1678" s="562"/>
      <c r="M1678" s="73"/>
      <c r="N1678"/>
      <c r="O1678"/>
      <c r="P1678"/>
      <c r="Q1678"/>
      <c r="R1678"/>
      <c r="S1678"/>
      <c r="T1678" s="102">
        <f t="shared" si="1169"/>
        <v>0</v>
      </c>
      <c r="U1678" s="78" t="str">
        <f>IF(NOT(ISNUMBER(G1678)), "", VLOOKUP(A1678,'Discount Lookup'!D:E,2,FALSE)*G1678)</f>
        <v/>
      </c>
      <c r="V1678" s="78" t="str">
        <f>IF(NOT(ISNUMBER(G1678)), "", VLOOKUP(A1678,'Discount Lookup'!G:H,2,FALSE)*G1678)</f>
        <v/>
      </c>
      <c r="W1678" s="102">
        <f t="shared" si="1170"/>
        <v>0</v>
      </c>
      <c r="X1678" s="102">
        <f t="shared" si="1171"/>
        <v>0</v>
      </c>
      <c r="Y1678" s="120" t="b">
        <f t="shared" si="1172"/>
        <v>0</v>
      </c>
      <c r="Z1678" s="117">
        <f t="shared" si="1173"/>
        <v>0</v>
      </c>
      <c r="AA1678" s="118"/>
      <c r="AB1678" s="118" t="str">
        <f t="shared" si="1174"/>
        <v/>
      </c>
      <c r="AC1678" s="712" t="str">
        <f>IF(AE1678="T2G","no charge",IF(AND(OR(PlanterYesMe="No",PlanterYesMe="N",PlanterYesMe="me"),H1678=""),"",IF(H1678="credit","NO install",IF(AND(K1678="",AE1678="me"),"EACH row",IF(AND(K1678="images",AE1678="me"),"EACH row",IF(D1678="","",IF(H1678="credit","",IF(AE1678="free","re-planting",IF(AE1678="me","   not ELP, by",IF(AND(OR(PlanterYesMe="Yes",PlanterYesMe="Y"),G1678&gt;0),(VLOOKUP(A1678,'Discount Lookup'!J:K,2)*G1678*(1-PlanterDiscount)*(1+PlanterDifficultyPercentage)),IF(AE1678="ELP",(VLOOKUP(A1678,'Discount Lookup'!J:K,2)*G1678*(1-PlanterDiscount)*(1+PlanterDifficultyPercentage)),IF(AE1678="free","re-planting",IF(G1678=0,"",IF(PlanterYesMe="",IF(AE1678="me","   not ELP, by",IF(AE1678="",IF(G1678&gt;0,(VLOOKUP(A1678,'Discount Lookup'!J:K,2)*G1678*(1-PlanterDiscount)*(1+PlanterDifficultyPercentage)),""),"")),"   not ELP, by"))))))))))))))</f>
        <v/>
      </c>
      <c r="AD1678" s="712"/>
      <c r="AE1678" s="513" t="str">
        <f t="shared" si="1175"/>
        <v/>
      </c>
      <c r="AF1678" s="713" t="str">
        <f t="shared" si="1176"/>
        <v/>
      </c>
      <c r="AG1678" s="713"/>
      <c r="AH1678" s="713"/>
      <c r="AI1678" s="112">
        <f>IF(H1678="credit",0,IF(AE1678="free",0,IF(AE1678="me",0,IF(G1678&gt;0,(VLOOKUP(A1678,'Discount Lookup'!J:K,2)*G1678),0))))</f>
        <v>0</v>
      </c>
      <c r="AJ1678" s="107" t="str">
        <f t="shared" ca="1" si="1177"/>
        <v/>
      </c>
      <c r="AK1678" s="714" t="str">
        <f t="shared" si="1178"/>
        <v/>
      </c>
      <c r="AL1678" s="714"/>
      <c r="AM1678" s="114" t="str">
        <f t="shared" si="1179"/>
        <v/>
      </c>
      <c r="AN1678" s="115"/>
      <c r="AO1678" s="116"/>
      <c r="AP1678" s="116"/>
      <c r="AQ1678" s="116"/>
      <c r="AR1678" s="116"/>
      <c r="AS1678" s="116"/>
      <c r="AT1678" s="116"/>
      <c r="AU1678" s="116"/>
      <c r="AV1678" s="78"/>
      <c r="AW1678" s="102"/>
      <c r="AX1678" s="78"/>
      <c r="AY1678" s="78"/>
      <c r="AZ1678" s="78"/>
      <c r="BA1678" s="78"/>
      <c r="BB1678" s="78"/>
      <c r="BC1678" s="78"/>
      <c r="BD1678" s="78"/>
      <c r="BE1678" s="465"/>
      <c r="BF1678" s="165" t="str">
        <f t="shared" si="1180"/>
        <v>https://www.google.com/search?tbm=isch&amp;q=Ginkgo%20%3D%20Maidenhair%20Tree%20</v>
      </c>
      <c r="BG1678" s="165" t="str">
        <f t="shared" si="1181"/>
        <v>G</v>
      </c>
      <c r="BH1678" s="65"/>
      <c r="BI1678" s="65"/>
      <c r="BJ1678" s="65"/>
      <c r="BK1678" s="65"/>
      <c r="BL1678" s="99"/>
      <c r="BM1678" s="99"/>
      <c r="BN1678" s="99"/>
    </row>
    <row r="1679" spans="1:66" s="51" customFormat="1" ht="18" x14ac:dyDescent="0.25">
      <c r="A1679" s="623" t="s">
        <v>2581</v>
      </c>
      <c r="B1679" s="624"/>
      <c r="C1679" s="709"/>
      <c r="D1679" s="625" t="s">
        <v>2582</v>
      </c>
      <c r="E1679" s="626"/>
      <c r="F1679" s="626"/>
      <c r="G1679" s="626"/>
      <c r="H1679" s="622" t="s">
        <v>476</v>
      </c>
      <c r="I1679" s="627" t="s">
        <v>432</v>
      </c>
      <c r="J1679" s="628"/>
      <c r="K1679" s="628"/>
      <c r="L1679" s="629"/>
      <c r="M1679" s="700" t="s">
        <v>5241</v>
      </c>
      <c r="N1679" s="693" t="str">
        <f>IF(AND(ISTEXT($A1679), ISERROR($A1679+0)), HYPERLINK($BF1679, "Images"), "")</f>
        <v>Images</v>
      </c>
      <c r="O1679" s="695" t="s">
        <v>5247</v>
      </c>
      <c r="P1679" s="630"/>
      <c r="Q1679" s="631"/>
      <c r="R1679" s="632"/>
      <c r="S1679" s="633"/>
      <c r="T1679" s="102">
        <f t="shared" si="1169"/>
        <v>0</v>
      </c>
      <c r="U1679" s="78" t="str">
        <f>IF(NOT(ISNUMBER(G1679)), "", VLOOKUP(A1679,'Discount Lookup'!D:E,2,FALSE)*G1679)</f>
        <v/>
      </c>
      <c r="V1679" s="78" t="str">
        <f>IF(NOT(ISNUMBER(G1679)), "", VLOOKUP(A1679,'Discount Lookup'!G:H,2,FALSE)*G1679)</f>
        <v/>
      </c>
      <c r="W1679" s="102">
        <f t="shared" si="1170"/>
        <v>0</v>
      </c>
      <c r="X1679" s="102" t="str">
        <f t="shared" si="1171"/>
        <v>Green foliage</v>
      </c>
      <c r="Y1679" s="120" t="b">
        <f t="shared" si="1172"/>
        <v>0</v>
      </c>
      <c r="Z1679" s="117">
        <f t="shared" si="1173"/>
        <v>0</v>
      </c>
      <c r="AA1679" s="118"/>
      <c r="AB1679" s="118" t="str">
        <f t="shared" si="1174"/>
        <v/>
      </c>
      <c r="AC1679" s="712" t="str">
        <f>IF(AE1679="T2G","no charge",IF(AND(OR(PlanterYesMe="No",PlanterYesMe="N",PlanterYesMe="me"),H1679=""),"",IF(H1679="credit","NO install",IF(AND(K1679="",AE1679="me"),"EACH row",IF(AND(K1679="images",AE1679="me"),"EACH row",IF(D1679="","",IF(H1679="credit","",IF(AE1679="free","re-planting",IF(AE1679="me","   not ELP, by",IF(AND(OR(PlanterYesMe="Yes",PlanterYesMe="Y"),G1679&gt;0),(VLOOKUP(A1679,'Discount Lookup'!J:K,2)*G1679*(1-PlanterDiscount)*(1+PlanterDifficultyPercentage)),IF(AE1679="ELP",(VLOOKUP(A1679,'Discount Lookup'!J:K,2)*G1679*(1-PlanterDiscount)*(1+PlanterDifficultyPercentage)),IF(AE1679="free","re-planting",IF(G1679=0,"",IF(PlanterYesMe="",IF(AE1679="me","   not ELP, by",IF(AE1679="",IF(G1679&gt;0,(VLOOKUP(A1679,'Discount Lookup'!J:K,2)*G1679*(1-PlanterDiscount)*(1+PlanterDifficultyPercentage)),""),"")),"   not ELP, by"))))))))))))))</f>
        <v/>
      </c>
      <c r="AD1679" s="712"/>
      <c r="AE1679" s="513" t="str">
        <f t="shared" si="1175"/>
        <v/>
      </c>
      <c r="AF1679" s="713" t="str">
        <f t="shared" si="1176"/>
        <v/>
      </c>
      <c r="AG1679" s="713"/>
      <c r="AH1679" s="713"/>
      <c r="AI1679" s="112">
        <f>IF(H1679="credit",0,IF(AE1679="free",0,IF(AE1679="me",0,IF(G1679&gt;0,(VLOOKUP(A1679,'Discount Lookup'!J:K,2)*G1679),0))))</f>
        <v>0</v>
      </c>
      <c r="AJ1679" s="107" t="str">
        <f t="shared" ca="1" si="1177"/>
        <v/>
      </c>
      <c r="AK1679" s="714" t="str">
        <f t="shared" si="1178"/>
        <v/>
      </c>
      <c r="AL1679" s="714"/>
      <c r="AM1679" s="114" t="str">
        <f t="shared" si="1179"/>
        <v/>
      </c>
      <c r="AN1679" s="115"/>
      <c r="AO1679" s="116"/>
      <c r="AP1679" s="116"/>
      <c r="AQ1679" s="116"/>
      <c r="AR1679" s="116"/>
      <c r="AS1679" s="116"/>
      <c r="AT1679" s="116"/>
      <c r="AU1679" s="116"/>
      <c r="AV1679" s="78"/>
      <c r="AW1679" s="102"/>
      <c r="AX1679" s="78"/>
      <c r="AY1679" s="78"/>
      <c r="AZ1679" s="78"/>
      <c r="BA1679" s="78"/>
      <c r="BB1679" s="78"/>
      <c r="BC1679" s="78"/>
      <c r="BD1679" s="78"/>
      <c r="BE1679" s="465"/>
      <c r="BF1679" s="165" t="str">
        <f t="shared" si="1180"/>
        <v>https://www.google.com/search?tbm=isch&amp;q=Ginkgo%20biloba%20%27Autumn%20Gold%27%20Autumn%20Gold%20Ginkgo</v>
      </c>
      <c r="BG1679" s="165" t="str">
        <f t="shared" si="1181"/>
        <v>G</v>
      </c>
      <c r="BH1679" s="65"/>
      <c r="BI1679" s="65"/>
      <c r="BJ1679" s="65"/>
      <c r="BK1679" s="65"/>
      <c r="BL1679" s="99"/>
      <c r="BM1679" s="99"/>
      <c r="BN1679" s="99"/>
    </row>
    <row r="1680" spans="1:66" s="51" customFormat="1" ht="15.75" x14ac:dyDescent="0.25">
      <c r="A1680" s="634">
        <v>7</v>
      </c>
      <c r="B1680" s="635" t="s">
        <v>291</v>
      </c>
      <c r="C1680" s="636" t="s">
        <v>23</v>
      </c>
      <c r="D1680" s="637" t="s">
        <v>329</v>
      </c>
      <c r="E1680" s="638">
        <v>133.94999999999999</v>
      </c>
      <c r="F1680" s="639" t="s">
        <v>292</v>
      </c>
      <c r="G1680" s="484">
        <v>0</v>
      </c>
      <c r="H1680" s="691" t="str">
        <f t="shared" ref="H1680:H1685" si="1209">IF(G1680=0,"",IF(F1680="Buy",IF(G1680=1,"plant","plants"),IF(F1680&gt;0.01,"warranty","Error")))</f>
        <v/>
      </c>
      <c r="I1680" s="640">
        <f t="shared" ref="I1680:I1685" si="1210">IF(H1680="free",0,IF(H1680="credit",((E1680*(F1680))*G1680*-1),IF(F1680="Buy",(E1680*G1680),((E1680*(1-F1680))*G1680))))</f>
        <v>0</v>
      </c>
      <c r="J1680" s="640">
        <f t="shared" ref="J1680:J1685" si="1211">IF(H1680="warranty",0,(I1680*(_xlfn.SINGLE(SalesTaxPercentage))))</f>
        <v>0</v>
      </c>
      <c r="K1680" s="716">
        <f t="shared" ref="K1680" si="1212">I1680+J1680</f>
        <v>0</v>
      </c>
      <c r="L1680" s="716"/>
      <c r="M1680" s="689" t="str">
        <f t="shared" ref="M1680:M1685" ca="1" si="1213">IF(AND(G1680&gt;0,E1680=0),"WARNING - no PRICE inserted",IF(H1680="free","FREE ~ no charge this plant",IF(H1680="credit",CONCATENATE("-$",ROUND(K1680*(1-_xlfn.SINGLE(T2GDiscount))*-1,2)," CREDIT after discount"),IF(_xlfn.SINGLE(T2GDiscount)=0,"",IF(G1680=0,"",IF(F1680="Buy",CONCATENATE("$",ROUND(K1680*(1-_xlfn.SINGLE(T2GDiscount)),2)," with ",(_xlfn.SINGLE(T2GDiscount)*100),"% discount"),CONCATENATE("$",ROUND(K1680*(1-_xlfn.SINGLE(T2GDiscount)),2)," with ",((_xlfn.SINGLE(T2GDiscount)*100+F1680*100)-(_xlfn.SINGLE(T2GDiscount)*100*F1680)),IF(F1680&gt;0,"% discounts",IF(_xlfn.SINGLE(NoWarrantyDiscount)&gt;0,"% discounts","% discount")))))))))</f>
        <v/>
      </c>
      <c r="N1680" s="690"/>
      <c r="O1680" s="486"/>
      <c r="P1680" s="486"/>
      <c r="Q1680" s="486"/>
      <c r="R1680" s="486"/>
      <c r="S1680" s="486"/>
      <c r="T1680" s="102">
        <f t="shared" si="1169"/>
        <v>0</v>
      </c>
      <c r="U1680" s="78">
        <f>IF(NOT(ISNUMBER(G1680)), "", VLOOKUP(A1680,'Discount Lookup'!D:E,2,FALSE)*G1680)</f>
        <v>0</v>
      </c>
      <c r="V1680" s="78">
        <f>IF(NOT(ISNUMBER(G1680)), "", VLOOKUP(A1680,'Discount Lookup'!G:H,2,FALSE)*G1680)</f>
        <v>0</v>
      </c>
      <c r="W1680" s="102">
        <f t="shared" si="1170"/>
        <v>0</v>
      </c>
      <c r="X1680" s="102">
        <f t="shared" si="1171"/>
        <v>0</v>
      </c>
      <c r="Y1680" s="120" t="b">
        <f t="shared" si="1172"/>
        <v>0</v>
      </c>
      <c r="Z1680" s="117">
        <f t="shared" si="1173"/>
        <v>0</v>
      </c>
      <c r="AA1680" s="118"/>
      <c r="AB1680" s="118" t="str">
        <f t="shared" si="1174"/>
        <v/>
      </c>
      <c r="AC1680" s="712" t="str">
        <f>IF(AE1680="T2G","no charge",IF(AND(OR(PlanterYesMe="No",PlanterYesMe="N",PlanterYesMe="me"),H1680=""),"",IF(H1680="credit","NO install",IF(AND(K1680="",AE1680="me"),"EACH row",IF(AND(K1680="images",AE1680="me"),"EACH row",IF(D1680="","",IF(H1680="credit","",IF(AE1680="free","re-planting",IF(AE1680="me","   not ELP, by",IF(AND(OR(PlanterYesMe="Yes",PlanterYesMe="Y"),G1680&gt;0),(VLOOKUP(A1680,'Discount Lookup'!J:K,2)*G1680*(1-PlanterDiscount)*(1+PlanterDifficultyPercentage)),IF(AE1680="ELP",(VLOOKUP(A1680,'Discount Lookup'!J:K,2)*G1680*(1-PlanterDiscount)*(1+PlanterDifficultyPercentage)),IF(AE1680="free","re-planting",IF(G1680=0,"",IF(PlanterYesMe="",IF(AE1680="me","   not ELP, by",IF(AE1680="",IF(G1680&gt;0,(VLOOKUP(A1680,'Discount Lookup'!J:K,2)*G1680*(1-PlanterDiscount)*(1+PlanterDifficultyPercentage)),""),"")),"   not ELP, by"))))))))))))))</f>
        <v/>
      </c>
      <c r="AD1680" s="712"/>
      <c r="AE1680" s="513" t="str">
        <f t="shared" si="1175"/>
        <v/>
      </c>
      <c r="AF1680" s="713" t="str">
        <f t="shared" si="1176"/>
        <v/>
      </c>
      <c r="AG1680" s="713"/>
      <c r="AH1680" s="713"/>
      <c r="AI1680" s="112">
        <f>IF(H1680="credit",0,IF(AE1680="free",0,IF(AE1680="me",0,IF(G1680&gt;0,(VLOOKUP(A1680,'Discount Lookup'!J:K,2)*G1680),0))))</f>
        <v>0</v>
      </c>
      <c r="AJ1680" s="107" t="str">
        <f t="shared" ca="1" si="1177"/>
        <v/>
      </c>
      <c r="AK1680" s="714" t="str">
        <f t="shared" si="1178"/>
        <v/>
      </c>
      <c r="AL1680" s="714"/>
      <c r="AM1680" s="114" t="str">
        <f t="shared" si="1179"/>
        <v/>
      </c>
      <c r="AN1680" s="115"/>
      <c r="AO1680" s="116"/>
      <c r="AP1680" s="116"/>
      <c r="AQ1680" s="116"/>
      <c r="AR1680" s="116"/>
      <c r="AS1680" s="116"/>
      <c r="AT1680" s="116"/>
      <c r="AU1680" s="116"/>
      <c r="AV1680" s="78"/>
      <c r="AW1680" s="102"/>
      <c r="AX1680" s="78"/>
      <c r="AY1680" s="78"/>
      <c r="AZ1680" s="78"/>
      <c r="BA1680" s="78"/>
      <c r="BB1680" s="78"/>
      <c r="BC1680" s="78"/>
      <c r="BD1680" s="78"/>
      <c r="BE1680" s="465"/>
      <c r="BF1680" s="165" t="str">
        <f t="shared" si="1180"/>
        <v>https://www.google.com/search?tbm=isch&amp;q=7%20G2</v>
      </c>
      <c r="BG1680" s="165" t="str">
        <f t="shared" si="1181"/>
        <v>G</v>
      </c>
      <c r="BH1680" s="65"/>
      <c r="BI1680" s="65"/>
      <c r="BJ1680" s="65"/>
      <c r="BK1680" s="65"/>
      <c r="BL1680" s="99"/>
      <c r="BM1680" s="99"/>
      <c r="BN1680" s="99"/>
    </row>
    <row r="1681" spans="1:66" s="51" customFormat="1" ht="15.75" x14ac:dyDescent="0.25">
      <c r="A1681" s="634">
        <v>10</v>
      </c>
      <c r="B1681" s="635" t="s">
        <v>291</v>
      </c>
      <c r="C1681" s="636" t="s">
        <v>2583</v>
      </c>
      <c r="D1681" s="637" t="s">
        <v>299</v>
      </c>
      <c r="E1681" s="638">
        <v>215.95</v>
      </c>
      <c r="F1681" s="639" t="s">
        <v>292</v>
      </c>
      <c r="G1681" s="484">
        <v>0</v>
      </c>
      <c r="H1681" s="691" t="str">
        <f t="shared" si="1209"/>
        <v/>
      </c>
      <c r="I1681" s="640">
        <f t="shared" si="1210"/>
        <v>0</v>
      </c>
      <c r="J1681" s="640">
        <f t="shared" si="1211"/>
        <v>0</v>
      </c>
      <c r="K1681" s="716">
        <f t="shared" ref="K1681" si="1214">I1681+J1681</f>
        <v>0</v>
      </c>
      <c r="L1681" s="716"/>
      <c r="M1681" s="689" t="str">
        <f t="shared" ca="1" si="1213"/>
        <v/>
      </c>
      <c r="N1681" s="690"/>
      <c r="O1681" s="486"/>
      <c r="P1681" s="486"/>
      <c r="Q1681" s="486"/>
      <c r="R1681" s="486"/>
      <c r="S1681" s="486"/>
      <c r="T1681" s="102">
        <f t="shared" si="1169"/>
        <v>0</v>
      </c>
      <c r="U1681" s="78">
        <f>IF(NOT(ISNUMBER(G1681)), "", VLOOKUP(A1681,'Discount Lookup'!D:E,2,FALSE)*G1681)</f>
        <v>0</v>
      </c>
      <c r="V1681" s="78">
        <f>IF(NOT(ISNUMBER(G1681)), "", VLOOKUP(A1681,'Discount Lookup'!G:H,2,FALSE)*G1681)</f>
        <v>0</v>
      </c>
      <c r="W1681" s="102">
        <f t="shared" si="1170"/>
        <v>0</v>
      </c>
      <c r="X1681" s="102">
        <f t="shared" si="1171"/>
        <v>0</v>
      </c>
      <c r="Y1681" s="120" t="b">
        <f t="shared" si="1172"/>
        <v>0</v>
      </c>
      <c r="Z1681" s="117">
        <f t="shared" si="1173"/>
        <v>0</v>
      </c>
      <c r="AA1681" s="118"/>
      <c r="AB1681" s="118" t="str">
        <f t="shared" si="1174"/>
        <v/>
      </c>
      <c r="AC1681" s="712" t="str">
        <f>IF(AE1681="T2G","no charge",IF(AND(OR(PlanterYesMe="No",PlanterYesMe="N",PlanterYesMe="me"),H1681=""),"",IF(H1681="credit","NO install",IF(AND(K1681="",AE1681="me"),"EACH row",IF(AND(K1681="images",AE1681="me"),"EACH row",IF(D1681="","",IF(H1681="credit","",IF(AE1681="free","re-planting",IF(AE1681="me","   not ELP, by",IF(AND(OR(PlanterYesMe="Yes",PlanterYesMe="Y"),G1681&gt;0),(VLOOKUP(A1681,'Discount Lookup'!J:K,2)*G1681*(1-PlanterDiscount)*(1+PlanterDifficultyPercentage)),IF(AE1681="ELP",(VLOOKUP(A1681,'Discount Lookup'!J:K,2)*G1681*(1-PlanterDiscount)*(1+PlanterDifficultyPercentage)),IF(AE1681="free","re-planting",IF(G1681=0,"",IF(PlanterYesMe="",IF(AE1681="me","   not ELP, by",IF(AE1681="",IF(G1681&gt;0,(VLOOKUP(A1681,'Discount Lookup'!J:K,2)*G1681*(1-PlanterDiscount)*(1+PlanterDifficultyPercentage)),""),"")),"   not ELP, by"))))))))))))))</f>
        <v/>
      </c>
      <c r="AD1681" s="712"/>
      <c r="AE1681" s="513" t="str">
        <f t="shared" si="1175"/>
        <v/>
      </c>
      <c r="AF1681" s="713" t="str">
        <f t="shared" si="1176"/>
        <v/>
      </c>
      <c r="AG1681" s="713"/>
      <c r="AH1681" s="713"/>
      <c r="AI1681" s="112">
        <f>IF(H1681="credit",0,IF(AE1681="free",0,IF(AE1681="me",0,IF(G1681&gt;0,(VLOOKUP(A1681,'Discount Lookup'!J:K,2)*G1681),0))))</f>
        <v>0</v>
      </c>
      <c r="AJ1681" s="107" t="str">
        <f t="shared" ca="1" si="1177"/>
        <v/>
      </c>
      <c r="AK1681" s="714" t="str">
        <f t="shared" si="1178"/>
        <v/>
      </c>
      <c r="AL1681" s="714"/>
      <c r="AM1681" s="114" t="str">
        <f t="shared" si="1179"/>
        <v/>
      </c>
      <c r="AN1681" s="115"/>
      <c r="AO1681" s="116"/>
      <c r="AP1681" s="116"/>
      <c r="AQ1681" s="116"/>
      <c r="AR1681" s="116"/>
      <c r="AS1681" s="116"/>
      <c r="AT1681" s="116"/>
      <c r="AU1681" s="116"/>
      <c r="AV1681" s="78"/>
      <c r="AW1681" s="102"/>
      <c r="AX1681" s="78"/>
      <c r="AY1681" s="78"/>
      <c r="AZ1681" s="78"/>
      <c r="BA1681" s="78"/>
      <c r="BB1681" s="78"/>
      <c r="BC1681" s="78"/>
      <c r="BD1681" s="78"/>
      <c r="BE1681" s="465"/>
      <c r="BF1681" s="165" t="str">
        <f t="shared" si="1180"/>
        <v>https://www.google.com/search?tbm=isch&amp;q=10%20G4</v>
      </c>
      <c r="BG1681" s="165" t="str">
        <f t="shared" si="1181"/>
        <v>G</v>
      </c>
      <c r="BH1681" s="65"/>
      <c r="BI1681" s="65"/>
      <c r="BJ1681" s="65"/>
      <c r="BK1681" s="65"/>
      <c r="BL1681" s="99"/>
      <c r="BM1681" s="99"/>
      <c r="BN1681" s="99"/>
    </row>
    <row r="1682" spans="1:66" s="51" customFormat="1" ht="15.75" x14ac:dyDescent="0.25">
      <c r="A1682" s="634">
        <v>15</v>
      </c>
      <c r="B1682" s="635" t="s">
        <v>291</v>
      </c>
      <c r="C1682" s="636" t="s">
        <v>2584</v>
      </c>
      <c r="D1682" s="637" t="s">
        <v>311</v>
      </c>
      <c r="E1682" s="638">
        <v>217.95</v>
      </c>
      <c r="F1682" s="639" t="s">
        <v>292</v>
      </c>
      <c r="G1682" s="484">
        <v>0</v>
      </c>
      <c r="H1682" s="691" t="str">
        <f t="shared" si="1209"/>
        <v/>
      </c>
      <c r="I1682" s="640">
        <f t="shared" si="1210"/>
        <v>0</v>
      </c>
      <c r="J1682" s="640">
        <f t="shared" si="1211"/>
        <v>0</v>
      </c>
      <c r="K1682" s="716">
        <f t="shared" ref="K1682" si="1215">I1682+J1682</f>
        <v>0</v>
      </c>
      <c r="L1682" s="716"/>
      <c r="M1682" s="689" t="str">
        <f t="shared" ca="1" si="1213"/>
        <v/>
      </c>
      <c r="N1682" s="690"/>
      <c r="O1682" s="486"/>
      <c r="P1682" s="486"/>
      <c r="Q1682" s="486"/>
      <c r="R1682" s="486"/>
      <c r="S1682" s="486"/>
      <c r="T1682" s="102">
        <f t="shared" si="1169"/>
        <v>0</v>
      </c>
      <c r="U1682" s="78">
        <f>IF(NOT(ISNUMBER(G1682)), "", VLOOKUP(A1682,'Discount Lookup'!D:E,2,FALSE)*G1682)</f>
        <v>0</v>
      </c>
      <c r="V1682" s="78">
        <f>IF(NOT(ISNUMBER(G1682)), "", VLOOKUP(A1682,'Discount Lookup'!G:H,2,FALSE)*G1682)</f>
        <v>0</v>
      </c>
      <c r="W1682" s="102">
        <f t="shared" si="1170"/>
        <v>0</v>
      </c>
      <c r="X1682" s="102">
        <f t="shared" si="1171"/>
        <v>0</v>
      </c>
      <c r="Y1682" s="120" t="b">
        <f t="shared" si="1172"/>
        <v>0</v>
      </c>
      <c r="Z1682" s="117">
        <f t="shared" si="1173"/>
        <v>0</v>
      </c>
      <c r="AA1682" s="118"/>
      <c r="AB1682" s="118" t="str">
        <f t="shared" si="1174"/>
        <v/>
      </c>
      <c r="AC1682" s="712" t="str">
        <f>IF(AE1682="T2G","no charge",IF(AND(OR(PlanterYesMe="No",PlanterYesMe="N",PlanterYesMe="me"),H1682=""),"",IF(H1682="credit","NO install",IF(AND(K1682="",AE1682="me"),"EACH row",IF(AND(K1682="images",AE1682="me"),"EACH row",IF(D1682="","",IF(H1682="credit","",IF(AE1682="free","re-planting",IF(AE1682="me","   not ELP, by",IF(AND(OR(PlanterYesMe="Yes",PlanterYesMe="Y"),G1682&gt;0),(VLOOKUP(A1682,'Discount Lookup'!J:K,2)*G1682*(1-PlanterDiscount)*(1+PlanterDifficultyPercentage)),IF(AE1682="ELP",(VLOOKUP(A1682,'Discount Lookup'!J:K,2)*G1682*(1-PlanterDiscount)*(1+PlanterDifficultyPercentage)),IF(AE1682="free","re-planting",IF(G1682=0,"",IF(PlanterYesMe="",IF(AE1682="me","   not ELP, by",IF(AE1682="",IF(G1682&gt;0,(VLOOKUP(A1682,'Discount Lookup'!J:K,2)*G1682*(1-PlanterDiscount)*(1+PlanterDifficultyPercentage)),""),"")),"   not ELP, by"))))))))))))))</f>
        <v/>
      </c>
      <c r="AD1682" s="712"/>
      <c r="AE1682" s="513" t="str">
        <f t="shared" si="1175"/>
        <v/>
      </c>
      <c r="AF1682" s="713" t="str">
        <f t="shared" si="1176"/>
        <v/>
      </c>
      <c r="AG1682" s="713"/>
      <c r="AH1682" s="713"/>
      <c r="AI1682" s="112">
        <f>IF(H1682="credit",0,IF(AE1682="free",0,IF(AE1682="me",0,IF(G1682&gt;0,(VLOOKUP(A1682,'Discount Lookup'!J:K,2)*G1682),0))))</f>
        <v>0</v>
      </c>
      <c r="AJ1682" s="107" t="str">
        <f t="shared" ca="1" si="1177"/>
        <v/>
      </c>
      <c r="AK1682" s="714" t="str">
        <f t="shared" si="1178"/>
        <v/>
      </c>
      <c r="AL1682" s="714"/>
      <c r="AM1682" s="114" t="str">
        <f t="shared" si="1179"/>
        <v/>
      </c>
      <c r="AN1682" s="115"/>
      <c r="AO1682" s="116"/>
      <c r="AP1682" s="116"/>
      <c r="AQ1682" s="116"/>
      <c r="AR1682" s="116"/>
      <c r="AS1682" s="116"/>
      <c r="AT1682" s="116"/>
      <c r="AU1682" s="116"/>
      <c r="AV1682" s="78"/>
      <c r="AW1682" s="102"/>
      <c r="AX1682" s="78"/>
      <c r="AY1682" s="78"/>
      <c r="AZ1682" s="78"/>
      <c r="BA1682" s="78"/>
      <c r="BB1682" s="78"/>
      <c r="BC1682" s="78"/>
      <c r="BD1682" s="78"/>
      <c r="BE1682" s="465"/>
      <c r="BF1682" s="165" t="str">
        <f t="shared" si="1180"/>
        <v>https://www.google.com/search?tbm=isch&amp;q=15%20G5</v>
      </c>
      <c r="BG1682" s="165" t="str">
        <f t="shared" si="1181"/>
        <v>G</v>
      </c>
      <c r="BH1682" s="65"/>
      <c r="BI1682" s="65"/>
      <c r="BJ1682" s="65"/>
      <c r="BK1682" s="65"/>
      <c r="BL1682" s="99"/>
      <c r="BM1682" s="99"/>
      <c r="BN1682" s="99"/>
    </row>
    <row r="1683" spans="1:66" s="51" customFormat="1" ht="15.75" x14ac:dyDescent="0.25">
      <c r="A1683" s="634">
        <v>15</v>
      </c>
      <c r="B1683" s="635" t="s">
        <v>291</v>
      </c>
      <c r="C1683" s="636" t="s">
        <v>2585</v>
      </c>
      <c r="D1683" s="637" t="s">
        <v>299</v>
      </c>
      <c r="E1683" s="638">
        <v>270.95</v>
      </c>
      <c r="F1683" s="639" t="s">
        <v>292</v>
      </c>
      <c r="G1683" s="484">
        <v>0</v>
      </c>
      <c r="H1683" s="691" t="str">
        <f t="shared" si="1209"/>
        <v/>
      </c>
      <c r="I1683" s="640">
        <f t="shared" si="1210"/>
        <v>0</v>
      </c>
      <c r="J1683" s="640">
        <f t="shared" si="1211"/>
        <v>0</v>
      </c>
      <c r="K1683" s="716">
        <f t="shared" ref="K1683" si="1216">I1683+J1683</f>
        <v>0</v>
      </c>
      <c r="L1683" s="716"/>
      <c r="M1683" s="689" t="str">
        <f t="shared" ca="1" si="1213"/>
        <v/>
      </c>
      <c r="N1683" s="690"/>
      <c r="O1683" s="486"/>
      <c r="P1683" s="486"/>
      <c r="Q1683" s="486"/>
      <c r="R1683" s="486"/>
      <c r="S1683" s="486"/>
      <c r="T1683" s="102">
        <f t="shared" si="1169"/>
        <v>0</v>
      </c>
      <c r="U1683" s="78">
        <f>IF(NOT(ISNUMBER(G1683)), "", VLOOKUP(A1683,'Discount Lookup'!D:E,2,FALSE)*G1683)</f>
        <v>0</v>
      </c>
      <c r="V1683" s="78">
        <f>IF(NOT(ISNUMBER(G1683)), "", VLOOKUP(A1683,'Discount Lookup'!G:H,2,FALSE)*G1683)</f>
        <v>0</v>
      </c>
      <c r="W1683" s="102">
        <f t="shared" si="1170"/>
        <v>0</v>
      </c>
      <c r="X1683" s="102">
        <f t="shared" si="1171"/>
        <v>0</v>
      </c>
      <c r="Y1683" s="120" t="b">
        <f t="shared" si="1172"/>
        <v>0</v>
      </c>
      <c r="Z1683" s="117">
        <f t="shared" si="1173"/>
        <v>0</v>
      </c>
      <c r="AA1683" s="118"/>
      <c r="AB1683" s="118" t="str">
        <f t="shared" si="1174"/>
        <v/>
      </c>
      <c r="AC1683" s="712" t="str">
        <f>IF(AE1683="T2G","no charge",IF(AND(OR(PlanterYesMe="No",PlanterYesMe="N",PlanterYesMe="me"),H1683=""),"",IF(H1683="credit","NO install",IF(AND(K1683="",AE1683="me"),"EACH row",IF(AND(K1683="images",AE1683="me"),"EACH row",IF(D1683="","",IF(H1683="credit","",IF(AE1683="free","re-planting",IF(AE1683="me","   not ELP, by",IF(AND(OR(PlanterYesMe="Yes",PlanterYesMe="Y"),G1683&gt;0),(VLOOKUP(A1683,'Discount Lookup'!J:K,2)*G1683*(1-PlanterDiscount)*(1+PlanterDifficultyPercentage)),IF(AE1683="ELP",(VLOOKUP(A1683,'Discount Lookup'!J:K,2)*G1683*(1-PlanterDiscount)*(1+PlanterDifficultyPercentage)),IF(AE1683="free","re-planting",IF(G1683=0,"",IF(PlanterYesMe="",IF(AE1683="me","   not ELP, by",IF(AE1683="",IF(G1683&gt;0,(VLOOKUP(A1683,'Discount Lookup'!J:K,2)*G1683*(1-PlanterDiscount)*(1+PlanterDifficultyPercentage)),""),"")),"   not ELP, by"))))))))))))))</f>
        <v/>
      </c>
      <c r="AD1683" s="712"/>
      <c r="AE1683" s="513" t="str">
        <f t="shared" si="1175"/>
        <v/>
      </c>
      <c r="AF1683" s="713" t="str">
        <f t="shared" si="1176"/>
        <v/>
      </c>
      <c r="AG1683" s="713"/>
      <c r="AH1683" s="713"/>
      <c r="AI1683" s="112">
        <f>IF(H1683="credit",0,IF(AE1683="free",0,IF(AE1683="me",0,IF(G1683&gt;0,(VLOOKUP(A1683,'Discount Lookup'!J:K,2)*G1683),0))))</f>
        <v>0</v>
      </c>
      <c r="AJ1683" s="107" t="str">
        <f t="shared" ca="1" si="1177"/>
        <v/>
      </c>
      <c r="AK1683" s="714" t="str">
        <f t="shared" si="1178"/>
        <v/>
      </c>
      <c r="AL1683" s="714"/>
      <c r="AM1683" s="114" t="str">
        <f t="shared" si="1179"/>
        <v/>
      </c>
      <c r="AN1683" s="115"/>
      <c r="AO1683" s="116"/>
      <c r="AP1683" s="116"/>
      <c r="AQ1683" s="116"/>
      <c r="AR1683" s="116"/>
      <c r="AS1683" s="116"/>
      <c r="AT1683" s="116"/>
      <c r="AU1683" s="116"/>
      <c r="AV1683" s="78"/>
      <c r="AW1683" s="102"/>
      <c r="AX1683" s="78"/>
      <c r="AY1683" s="78"/>
      <c r="AZ1683" s="78"/>
      <c r="BA1683" s="78"/>
      <c r="BB1683" s="78"/>
      <c r="BC1683" s="78"/>
      <c r="BD1683" s="78"/>
      <c r="BE1683" s="465"/>
      <c r="BF1683" s="165" t="str">
        <f t="shared" si="1180"/>
        <v>https://www.google.com/search?tbm=isch&amp;q=15%20G4</v>
      </c>
      <c r="BG1683" s="165" t="str">
        <f t="shared" si="1181"/>
        <v>G</v>
      </c>
      <c r="BH1683" s="65"/>
      <c r="BI1683" s="65"/>
      <c r="BJ1683" s="65"/>
      <c r="BK1683" s="65"/>
      <c r="BL1683" s="99"/>
      <c r="BM1683" s="99"/>
      <c r="BN1683" s="99"/>
    </row>
    <row r="1684" spans="1:66" s="51" customFormat="1" ht="15.75" x14ac:dyDescent="0.25">
      <c r="A1684" s="634">
        <v>25</v>
      </c>
      <c r="B1684" s="635" t="s">
        <v>291</v>
      </c>
      <c r="C1684" s="636" t="s">
        <v>2586</v>
      </c>
      <c r="D1684" s="637" t="s">
        <v>293</v>
      </c>
      <c r="E1684" s="638">
        <v>489.95</v>
      </c>
      <c r="F1684" s="639" t="s">
        <v>292</v>
      </c>
      <c r="G1684" s="484">
        <v>0</v>
      </c>
      <c r="H1684" s="691" t="str">
        <f t="shared" si="1209"/>
        <v/>
      </c>
      <c r="I1684" s="640">
        <f t="shared" si="1210"/>
        <v>0</v>
      </c>
      <c r="J1684" s="640">
        <f t="shared" si="1211"/>
        <v>0</v>
      </c>
      <c r="K1684" s="716">
        <f t="shared" ref="K1684" si="1217">I1684+J1684</f>
        <v>0</v>
      </c>
      <c r="L1684" s="716"/>
      <c r="M1684" s="689" t="str">
        <f t="shared" ca="1" si="1213"/>
        <v/>
      </c>
      <c r="N1684" s="690"/>
      <c r="O1684" s="486"/>
      <c r="P1684" s="486"/>
      <c r="Q1684" s="486"/>
      <c r="R1684" s="486"/>
      <c r="S1684" s="486"/>
      <c r="T1684" s="102">
        <f t="shared" ref="T1684:T1747" si="1218">E1684*G1684</f>
        <v>0</v>
      </c>
      <c r="U1684" s="78">
        <f>IF(NOT(ISNUMBER(G1684)), "", VLOOKUP(A1684,'Discount Lookup'!D:E,2,FALSE)*G1684)</f>
        <v>0</v>
      </c>
      <c r="V1684" s="78">
        <f>IF(NOT(ISNUMBER(G1684)), "", VLOOKUP(A1684,'Discount Lookup'!G:H,2,FALSE)*G1684)</f>
        <v>0</v>
      </c>
      <c r="W1684" s="102">
        <f t="shared" ref="W1684:W1747" si="1219">IF(H1684="credit",0,E1684*(SalesTaxPercentage)*G1684)</f>
        <v>0</v>
      </c>
      <c r="X1684" s="102">
        <f t="shared" ref="X1684:X1747" si="1220">I1684</f>
        <v>0</v>
      </c>
      <c r="Y1684" s="120" t="b">
        <f t="shared" ref="Y1684:Y1747" si="1221">IF(AE1684="T2G",0,IF(H1684="credit",0,IF(G1684&gt;0,IF(AE1684="me","",G1684))))</f>
        <v>0</v>
      </c>
      <c r="Z1684" s="117">
        <f t="shared" ref="Z1684:Z1747" si="1222">IF(H1684="credit",G1684,0)</f>
        <v>0</v>
      </c>
      <c r="AA1684" s="118"/>
      <c r="AB1684" s="118" t="str">
        <f t="shared" ref="AB1684:AB1747" si="1223">IF(AE1684="T2G","by Trees2Go",IF(H1684="credit","CREDIT only ~",IF(AND(K1684="",AE1684=OR(PlanterYesMe="No",PlanterYesMe="N",PlanterYesMe="me")),"not THIS line⇨",IF(AND(K1684="images",AE1684="me"),"not THIS line⇨",IF(H1684="credit","",IF(G1684=0,"",IF(AE1684="me","",IF(OR(PlanterYesMe="No",PlanterYesMe="N",PlanterYesMe="me"),"",IF(AE1684="free","warranty",IF(OR(PlanterYesMe="yes",PlanterYesMe="y"),"Edison install:","to install:"))))))))))</f>
        <v/>
      </c>
      <c r="AC1684" s="712" t="str">
        <f>IF(AE1684="T2G","no charge",IF(AND(OR(PlanterYesMe="No",PlanterYesMe="N",PlanterYesMe="me"),H1684=""),"",IF(H1684="credit","NO install",IF(AND(K1684="",AE1684="me"),"EACH row",IF(AND(K1684="images",AE1684="me"),"EACH row",IF(D1684="","",IF(H1684="credit","",IF(AE1684="free","re-planting",IF(AE1684="me","   not ELP, by",IF(AND(OR(PlanterYesMe="Yes",PlanterYesMe="Y"),G1684&gt;0),(VLOOKUP(A1684,'Discount Lookup'!J:K,2)*G1684*(1-PlanterDiscount)*(1+PlanterDifficultyPercentage)),IF(AE1684="ELP",(VLOOKUP(A1684,'Discount Lookup'!J:K,2)*G1684*(1-PlanterDiscount)*(1+PlanterDifficultyPercentage)),IF(AE1684="free","re-planting",IF(G1684=0,"",IF(PlanterYesMe="",IF(AE1684="me","   not ELP, by",IF(AE1684="",IF(G1684&gt;0,(VLOOKUP(A1684,'Discount Lookup'!J:K,2)*G1684*(1-PlanterDiscount)*(1+PlanterDifficultyPercentage)),""),"")),"   not ELP, by"))))))))))))))</f>
        <v/>
      </c>
      <c r="AD1684" s="712"/>
      <c r="AE1684" s="513" t="str">
        <f t="shared" ref="AE1684:AE1747" si="1224">IF(H1684="credit","",IF(G1684=0,"",IF(OR(PlanterYesMe="No",PlanterYesMe="N",PlanterYesMe="me"),"me",IF(H1684="warranty","free",IF(OR(PlanterYesMe="yes",PlanterYesMe="y"),"ELP","")))))</f>
        <v/>
      </c>
      <c r="AF1684" s="713" t="str">
        <f t="shared" ref="AF1684:AF1747" si="1225">IF(OR(PlanterYesMe="No",PlanterYesMe="N",PlanterYesMe="me"),"",IF(H1684="credit","",IF(G1684&gt;0,(CONCATENATE((G1684)," quantity, ",(A1684)," ",B1684)),"")))</f>
        <v/>
      </c>
      <c r="AG1684" s="713"/>
      <c r="AH1684" s="713"/>
      <c r="AI1684" s="112">
        <f>IF(H1684="credit",0,IF(AE1684="free",0,IF(AE1684="me",0,IF(G1684&gt;0,(VLOOKUP(A1684,'Discount Lookup'!J:K,2)*G1684),0))))</f>
        <v>0</v>
      </c>
      <c r="AJ1684" s="107" t="str">
        <f t="shared" ref="AJ1684:AJ1747" ca="1" si="1226">IF(AND(ISREF(H1684),H1684="credit"),"",IF(AND(AND(OFFSET(G1684,0,0)=0,OFFSET(G1684,1,0)&gt;0,ISNUMBER(OFFSET(AC1684,1,0)),OFFSET(AC1684,1,0)&gt;0),OR(PlanterYesMe="yes",PlanterYesMe="y")),"T2G+ELP=",IF(AND(OFFSET(G1684,0,0)=0,OFFSET(G1684,1,0)&gt;0,ISNUMBER(OFFSET(AC1684,1,0)),OFFSET(AC1684,1,0)&gt;0),"if T2G+ELP=",IF(AND(OFFSET(G1684,0,0)=0,OFFSET(G1684,1,0)&gt;0),"T2G Subtotal",IF(H1684="credit","",IF(G1684=0,"",IF(AE1684="free",(K1684*(1-T2GDiscount)),IF(OR(PlanterYesMe="No",PlanterYesMe="N",PlanterYesMe="me"),(K1684*(1-T2GDiscount)),IF(OR(AE1684="me",AE1684="T2G"),(K1684*(1-T2GDiscount)),(K1684*(1-T2GDiscount))+AC1684)))))))))</f>
        <v/>
      </c>
      <c r="AK1684" s="714" t="str">
        <f t="shared" ref="AK1684:AK1747" si="1227">IF(H1684="credit","",IF(G1684=0,"",IF(OR(AE1684="me",AE1684="T2G"),"  delivery-only",IF(OR(PlanterYesMe="No",PlanterYesMe="N",PlanterYesMe="me"),"  delivery-only",CONCATENATE(" $",ROUND(AJ1684/G1684,2)," each")))))</f>
        <v/>
      </c>
      <c r="AL1684" s="714"/>
      <c r="AM1684" s="114" t="str">
        <f t="shared" ref="AM1684:AM1747" si="1228">IF(H1684="credit","",IF(AE1684="free","      ~ discounts included, no tax or planting fee applies ~",IF(G1684=0,"",IF(OR(PlanterYesMe="No",PlanterYesMe="N",PlanterYesMe="me"),CONCATENATE(" $",ROUND(AJ1684/G1684,2)," per plant, with tax &amp; discount"),IF(OR(AE1684="me",AE1684="T2G"),CONCATENATE(" $",ROUND(AJ1684/G1684,2)," per plant, with tax &amp; discount"),CONCATENATE("= $",ROUND((K1684*(1-T2GDiscount))/G1684,2)," per plant + $",AC1684/G1684,(" per planting      ~ includes tax &amp; discounts ~")))))))</f>
        <v/>
      </c>
      <c r="AN1684" s="115"/>
      <c r="AO1684" s="116"/>
      <c r="AP1684" s="116"/>
      <c r="AQ1684" s="116"/>
      <c r="AR1684" s="116"/>
      <c r="AS1684" s="116"/>
      <c r="AT1684" s="116"/>
      <c r="AU1684" s="116"/>
      <c r="AV1684" s="78"/>
      <c r="AW1684" s="102"/>
      <c r="AX1684" s="78"/>
      <c r="AY1684" s="78"/>
      <c r="AZ1684" s="78"/>
      <c r="BA1684" s="78"/>
      <c r="BB1684" s="78"/>
      <c r="BC1684" s="78"/>
      <c r="BD1684" s="78"/>
      <c r="BE1684" s="465"/>
      <c r="BF1684" s="165" t="str">
        <f t="shared" ref="BF1684:BF1747" si="1229">"https://www.google.com/search?tbm=isch&amp;q=" &amp; _xlfn.ENCODEURL($A1684 &amp; " " &amp; $D1684)</f>
        <v>https://www.google.com/search?tbm=isch&amp;q=25%20G6</v>
      </c>
      <c r="BG1684" s="165" t="str">
        <f t="shared" ref="BG1684:BG1747" si="1230">IF(ISTEXT(A1684),LEFT(A1684,1),BG1683)</f>
        <v>G</v>
      </c>
      <c r="BH1684" s="65"/>
      <c r="BI1684" s="65"/>
      <c r="BJ1684" s="65"/>
      <c r="BK1684" s="65"/>
      <c r="BL1684" s="99"/>
      <c r="BM1684" s="99"/>
      <c r="BN1684" s="99"/>
    </row>
    <row r="1685" spans="1:66" s="51" customFormat="1" ht="15.75" x14ac:dyDescent="0.25">
      <c r="A1685" s="634">
        <v>25</v>
      </c>
      <c r="B1685" s="635" t="s">
        <v>291</v>
      </c>
      <c r="C1685" s="636" t="s">
        <v>2587</v>
      </c>
      <c r="D1685" s="637" t="s">
        <v>299</v>
      </c>
      <c r="E1685" s="638">
        <v>514.95000000000005</v>
      </c>
      <c r="F1685" s="639" t="s">
        <v>292</v>
      </c>
      <c r="G1685" s="484">
        <v>0</v>
      </c>
      <c r="H1685" s="691" t="str">
        <f t="shared" si="1209"/>
        <v/>
      </c>
      <c r="I1685" s="640">
        <f t="shared" si="1210"/>
        <v>0</v>
      </c>
      <c r="J1685" s="640">
        <f t="shared" si="1211"/>
        <v>0</v>
      </c>
      <c r="K1685" s="716">
        <f t="shared" ref="K1685" si="1231">I1685+J1685</f>
        <v>0</v>
      </c>
      <c r="L1685" s="716"/>
      <c r="M1685" s="689" t="str">
        <f t="shared" ca="1" si="1213"/>
        <v/>
      </c>
      <c r="N1685" s="690"/>
      <c r="O1685" s="486"/>
      <c r="P1685" s="486"/>
      <c r="Q1685" s="486"/>
      <c r="R1685" s="486"/>
      <c r="S1685" s="486"/>
      <c r="T1685" s="102">
        <f t="shared" si="1218"/>
        <v>0</v>
      </c>
      <c r="U1685" s="78">
        <f>IF(NOT(ISNUMBER(G1685)), "", VLOOKUP(A1685,'Discount Lookup'!D:E,2,FALSE)*G1685)</f>
        <v>0</v>
      </c>
      <c r="V1685" s="78">
        <f>IF(NOT(ISNUMBER(G1685)), "", VLOOKUP(A1685,'Discount Lookup'!G:H,2,FALSE)*G1685)</f>
        <v>0</v>
      </c>
      <c r="W1685" s="102">
        <f t="shared" si="1219"/>
        <v>0</v>
      </c>
      <c r="X1685" s="102">
        <f t="shared" si="1220"/>
        <v>0</v>
      </c>
      <c r="Y1685" s="120" t="b">
        <f t="shared" si="1221"/>
        <v>0</v>
      </c>
      <c r="Z1685" s="117">
        <f t="shared" si="1222"/>
        <v>0</v>
      </c>
      <c r="AA1685" s="118"/>
      <c r="AB1685" s="118" t="str">
        <f t="shared" si="1223"/>
        <v/>
      </c>
      <c r="AC1685" s="712" t="str">
        <f>IF(AE1685="T2G","no charge",IF(AND(OR(PlanterYesMe="No",PlanterYesMe="N",PlanterYesMe="me"),H1685=""),"",IF(H1685="credit","NO install",IF(AND(K1685="",AE1685="me"),"EACH row",IF(AND(K1685="images",AE1685="me"),"EACH row",IF(D1685="","",IF(H1685="credit","",IF(AE1685="free","re-planting",IF(AE1685="me","   not ELP, by",IF(AND(OR(PlanterYesMe="Yes",PlanterYesMe="Y"),G1685&gt;0),(VLOOKUP(A1685,'Discount Lookup'!J:K,2)*G1685*(1-PlanterDiscount)*(1+PlanterDifficultyPercentage)),IF(AE1685="ELP",(VLOOKUP(A1685,'Discount Lookup'!J:K,2)*G1685*(1-PlanterDiscount)*(1+PlanterDifficultyPercentage)),IF(AE1685="free","re-planting",IF(G1685=0,"",IF(PlanterYesMe="",IF(AE1685="me","   not ELP, by",IF(AE1685="",IF(G1685&gt;0,(VLOOKUP(A1685,'Discount Lookup'!J:K,2)*G1685*(1-PlanterDiscount)*(1+PlanterDifficultyPercentage)),""),"")),"   not ELP, by"))))))))))))))</f>
        <v/>
      </c>
      <c r="AD1685" s="712"/>
      <c r="AE1685" s="513" t="str">
        <f t="shared" si="1224"/>
        <v/>
      </c>
      <c r="AF1685" s="713" t="str">
        <f t="shared" si="1225"/>
        <v/>
      </c>
      <c r="AG1685" s="713"/>
      <c r="AH1685" s="713"/>
      <c r="AI1685" s="112">
        <f>IF(H1685="credit",0,IF(AE1685="free",0,IF(AE1685="me",0,IF(G1685&gt;0,(VLOOKUP(A1685,'Discount Lookup'!J:K,2)*G1685),0))))</f>
        <v>0</v>
      </c>
      <c r="AJ1685" s="107" t="str">
        <f t="shared" ca="1" si="1226"/>
        <v/>
      </c>
      <c r="AK1685" s="714" t="str">
        <f t="shared" si="1227"/>
        <v/>
      </c>
      <c r="AL1685" s="714"/>
      <c r="AM1685" s="114" t="str">
        <f t="shared" si="1228"/>
        <v/>
      </c>
      <c r="AN1685" s="115"/>
      <c r="AO1685" s="116"/>
      <c r="AP1685" s="116"/>
      <c r="AQ1685" s="116"/>
      <c r="AR1685" s="116"/>
      <c r="AS1685" s="116"/>
      <c r="AT1685" s="116"/>
      <c r="AU1685" s="116"/>
      <c r="AV1685" s="78"/>
      <c r="AW1685" s="102"/>
      <c r="AX1685" s="78"/>
      <c r="AY1685" s="78"/>
      <c r="AZ1685" s="78"/>
      <c r="BA1685" s="78"/>
      <c r="BB1685" s="78"/>
      <c r="BC1685" s="78"/>
      <c r="BD1685" s="78"/>
      <c r="BE1685" s="465"/>
      <c r="BF1685" s="165" t="str">
        <f t="shared" si="1229"/>
        <v>https://www.google.com/search?tbm=isch&amp;q=25%20G4</v>
      </c>
      <c r="BG1685" s="165" t="str">
        <f t="shared" si="1230"/>
        <v>G</v>
      </c>
      <c r="BH1685" s="65"/>
      <c r="BI1685" s="65"/>
      <c r="BJ1685" s="65"/>
      <c r="BK1685" s="65"/>
      <c r="BL1685" s="99"/>
      <c r="BM1685" s="99"/>
      <c r="BN1685" s="99"/>
    </row>
    <row r="1686" spans="1:66" s="51" customFormat="1" ht="17.25" thickBot="1" x14ac:dyDescent="0.3">
      <c r="A1686" s="641" t="s">
        <v>2588</v>
      </c>
      <c r="B1686" s="642"/>
      <c r="C1686" s="710"/>
      <c r="D1686" s="643"/>
      <c r="E1686" s="643"/>
      <c r="F1686" s="644"/>
      <c r="G1686" s="645"/>
      <c r="H1686" s="646"/>
      <c r="I1686" s="647"/>
      <c r="J1686" s="648"/>
      <c r="K1686" s="649"/>
      <c r="L1686" s="650"/>
      <c r="M1686" s="650"/>
      <c r="N1686" s="644"/>
      <c r="O1686" s="644"/>
      <c r="P1686" s="644"/>
      <c r="Q1686" s="644"/>
      <c r="R1686" s="644"/>
      <c r="S1686" s="651"/>
      <c r="T1686" s="102">
        <f t="shared" si="1218"/>
        <v>0</v>
      </c>
      <c r="U1686" s="78" t="str">
        <f>IF(NOT(ISNUMBER(G1686)), "", VLOOKUP(A1686,'Discount Lookup'!D:E,2,FALSE)*G1686)</f>
        <v/>
      </c>
      <c r="V1686" s="78" t="str">
        <f>IF(NOT(ISNUMBER(G1686)), "", VLOOKUP(A1686,'Discount Lookup'!G:H,2,FALSE)*G1686)</f>
        <v/>
      </c>
      <c r="W1686" s="102">
        <f t="shared" si="1219"/>
        <v>0</v>
      </c>
      <c r="X1686" s="102">
        <f t="shared" si="1220"/>
        <v>0</v>
      </c>
      <c r="Y1686" s="120" t="b">
        <f t="shared" si="1221"/>
        <v>0</v>
      </c>
      <c r="Z1686" s="117">
        <f t="shared" si="1222"/>
        <v>0</v>
      </c>
      <c r="AA1686" s="118"/>
      <c r="AB1686" s="118" t="str">
        <f t="shared" si="1223"/>
        <v/>
      </c>
      <c r="AC1686" s="712" t="str">
        <f>IF(AE1686="T2G","no charge",IF(AND(OR(PlanterYesMe="No",PlanterYesMe="N",PlanterYesMe="me"),H1686=""),"",IF(H1686="credit","NO install",IF(AND(K1686="",AE1686="me"),"EACH row",IF(AND(K1686="images",AE1686="me"),"EACH row",IF(D1686="","",IF(H1686="credit","",IF(AE1686="free","re-planting",IF(AE1686="me","   not ELP, by",IF(AND(OR(PlanterYesMe="Yes",PlanterYesMe="Y"),G1686&gt;0),(VLOOKUP(A1686,'Discount Lookup'!J:K,2)*G1686*(1-PlanterDiscount)*(1+PlanterDifficultyPercentage)),IF(AE1686="ELP",(VLOOKUP(A1686,'Discount Lookup'!J:K,2)*G1686*(1-PlanterDiscount)*(1+PlanterDifficultyPercentage)),IF(AE1686="free","re-planting",IF(G1686=0,"",IF(PlanterYesMe="",IF(AE1686="me","   not ELP, by",IF(AE1686="",IF(G1686&gt;0,(VLOOKUP(A1686,'Discount Lookup'!J:K,2)*G1686*(1-PlanterDiscount)*(1+PlanterDifficultyPercentage)),""),"")),"   not ELP, by"))))))))))))))</f>
        <v/>
      </c>
      <c r="AD1686" s="712"/>
      <c r="AE1686" s="513" t="str">
        <f t="shared" si="1224"/>
        <v/>
      </c>
      <c r="AF1686" s="713" t="str">
        <f t="shared" si="1225"/>
        <v/>
      </c>
      <c r="AG1686" s="713"/>
      <c r="AH1686" s="713"/>
      <c r="AI1686" s="112">
        <f>IF(H1686="credit",0,IF(AE1686="free",0,IF(AE1686="me",0,IF(G1686&gt;0,(VLOOKUP(A1686,'Discount Lookup'!J:K,2)*G1686),0))))</f>
        <v>0</v>
      </c>
      <c r="AJ1686" s="107" t="str">
        <f t="shared" ca="1" si="1226"/>
        <v/>
      </c>
      <c r="AK1686" s="714" t="str">
        <f t="shared" si="1227"/>
        <v/>
      </c>
      <c r="AL1686" s="714"/>
      <c r="AM1686" s="114" t="str">
        <f t="shared" si="1228"/>
        <v/>
      </c>
      <c r="AN1686" s="115"/>
      <c r="AO1686" s="116"/>
      <c r="AP1686" s="116"/>
      <c r="AQ1686" s="116"/>
      <c r="AR1686" s="116"/>
      <c r="AS1686" s="116"/>
      <c r="AT1686" s="116"/>
      <c r="AU1686" s="116"/>
      <c r="AV1686" s="78"/>
      <c r="AW1686" s="102"/>
      <c r="AX1686" s="78"/>
      <c r="AY1686" s="78"/>
      <c r="AZ1686" s="78"/>
      <c r="BA1686" s="78"/>
      <c r="BB1686" s="78"/>
      <c r="BC1686" s="78"/>
      <c r="BD1686" s="78"/>
      <c r="BE1686" s="465"/>
      <c r="BF1686" s="165" t="str">
        <f t="shared" si="1229"/>
        <v>https://www.google.com/search?tbm=isch&amp;q=Autumn%20Gold%20named%20for%20brilliant%20Golden%20Yellow%20fall%20color.%20All%20are%20male%2C%20so%20less%20mess%2Fstink.%20Slow-growing%2C%20but%20long-lived%20%281000%2B%20years%29%20</v>
      </c>
      <c r="BG1686" s="165" t="str">
        <f t="shared" si="1230"/>
        <v>A</v>
      </c>
      <c r="BH1686" s="65"/>
      <c r="BI1686" s="65"/>
      <c r="BJ1686" s="65"/>
      <c r="BK1686" s="65"/>
      <c r="BL1686" s="99"/>
      <c r="BM1686" s="99"/>
      <c r="BN1686" s="99"/>
    </row>
    <row r="1687" spans="1:66" s="51" customFormat="1" ht="18" x14ac:dyDescent="0.25">
      <c r="A1687" s="623" t="s">
        <v>2589</v>
      </c>
      <c r="B1687" s="624"/>
      <c r="C1687" s="709"/>
      <c r="D1687" s="625" t="s">
        <v>2590</v>
      </c>
      <c r="E1687" s="626"/>
      <c r="F1687" s="626"/>
      <c r="G1687" s="626"/>
      <c r="H1687" s="622" t="s">
        <v>331</v>
      </c>
      <c r="I1687" s="627" t="s">
        <v>2591</v>
      </c>
      <c r="J1687" s="628"/>
      <c r="K1687" s="628"/>
      <c r="L1687" s="629"/>
      <c r="M1687" s="700" t="s">
        <v>5241</v>
      </c>
      <c r="N1687" s="693" t="str">
        <f>IF(AND(ISTEXT($A1687), ISERROR($A1687+0)), HYPERLINK($BF1687, "Images"), "")</f>
        <v>Images</v>
      </c>
      <c r="O1687" s="695" t="s">
        <v>5247</v>
      </c>
      <c r="P1687" s="630"/>
      <c r="Q1687" s="631"/>
      <c r="R1687" s="632"/>
      <c r="S1687" s="633"/>
      <c r="T1687" s="102">
        <f t="shared" si="1218"/>
        <v>0</v>
      </c>
      <c r="U1687" s="78" t="str">
        <f>IF(NOT(ISNUMBER(G1687)), "", VLOOKUP(A1687,'Discount Lookup'!D:E,2,FALSE)*G1687)</f>
        <v/>
      </c>
      <c r="V1687" s="78" t="str">
        <f>IF(NOT(ISNUMBER(G1687)), "", VLOOKUP(A1687,'Discount Lookup'!G:H,2,FALSE)*G1687)</f>
        <v/>
      </c>
      <c r="W1687" s="102">
        <f t="shared" si="1219"/>
        <v>0</v>
      </c>
      <c r="X1687" s="102" t="str">
        <f t="shared" si="1220"/>
        <v>Jade-Green foliage</v>
      </c>
      <c r="Y1687" s="120" t="b">
        <f t="shared" si="1221"/>
        <v>0</v>
      </c>
      <c r="Z1687" s="117">
        <f t="shared" si="1222"/>
        <v>0</v>
      </c>
      <c r="AA1687" s="118"/>
      <c r="AB1687" s="118" t="str">
        <f t="shared" si="1223"/>
        <v/>
      </c>
      <c r="AC1687" s="712" t="str">
        <f>IF(AE1687="T2G","no charge",IF(AND(OR(PlanterYesMe="No",PlanterYesMe="N",PlanterYesMe="me"),H1687=""),"",IF(H1687="credit","NO install",IF(AND(K1687="",AE1687="me"),"EACH row",IF(AND(K1687="images",AE1687="me"),"EACH row",IF(D1687="","",IF(H1687="credit","",IF(AE1687="free","re-planting",IF(AE1687="me","   not ELP, by",IF(AND(OR(PlanterYesMe="Yes",PlanterYesMe="Y"),G1687&gt;0),(VLOOKUP(A1687,'Discount Lookup'!J:K,2)*G1687*(1-PlanterDiscount)*(1+PlanterDifficultyPercentage)),IF(AE1687="ELP",(VLOOKUP(A1687,'Discount Lookup'!J:K,2)*G1687*(1-PlanterDiscount)*(1+PlanterDifficultyPercentage)),IF(AE1687="free","re-planting",IF(G1687=0,"",IF(PlanterYesMe="",IF(AE1687="me","   not ELP, by",IF(AE1687="",IF(G1687&gt;0,(VLOOKUP(A1687,'Discount Lookup'!J:K,2)*G1687*(1-PlanterDiscount)*(1+PlanterDifficultyPercentage)),""),"")),"   not ELP, by"))))))))))))))</f>
        <v/>
      </c>
      <c r="AD1687" s="712"/>
      <c r="AE1687" s="513" t="str">
        <f t="shared" si="1224"/>
        <v/>
      </c>
      <c r="AF1687" s="713" t="str">
        <f t="shared" si="1225"/>
        <v/>
      </c>
      <c r="AG1687" s="713"/>
      <c r="AH1687" s="713"/>
      <c r="AI1687" s="112">
        <f>IF(H1687="credit",0,IF(AE1687="free",0,IF(AE1687="me",0,IF(G1687&gt;0,(VLOOKUP(A1687,'Discount Lookup'!J:K,2)*G1687),0))))</f>
        <v>0</v>
      </c>
      <c r="AJ1687" s="107" t="str">
        <f t="shared" ca="1" si="1226"/>
        <v/>
      </c>
      <c r="AK1687" s="714" t="str">
        <f t="shared" si="1227"/>
        <v/>
      </c>
      <c r="AL1687" s="714"/>
      <c r="AM1687" s="114" t="str">
        <f t="shared" si="1228"/>
        <v/>
      </c>
      <c r="AN1687" s="115"/>
      <c r="AO1687" s="116"/>
      <c r="AP1687" s="116"/>
      <c r="AQ1687" s="116"/>
      <c r="AR1687" s="116"/>
      <c r="AS1687" s="116"/>
      <c r="AT1687" s="116"/>
      <c r="AU1687" s="116"/>
      <c r="AV1687" s="78"/>
      <c r="AW1687" s="102"/>
      <c r="AX1687" s="78"/>
      <c r="AY1687" s="78"/>
      <c r="AZ1687" s="78"/>
      <c r="BA1687" s="78"/>
      <c r="BB1687" s="78"/>
      <c r="BC1687" s="78"/>
      <c r="BD1687" s="78"/>
      <c r="BE1687" s="465"/>
      <c r="BF1687" s="165" t="str">
        <f t="shared" si="1229"/>
        <v>https://www.google.com/search?tbm=isch&amp;q=Ginkgo%20biloba%20%27Jade%20Butterflies%27%20Jade%20Butterflies%20Ginkgo</v>
      </c>
      <c r="BG1687" s="165" t="str">
        <f t="shared" si="1230"/>
        <v>G</v>
      </c>
      <c r="BH1687" s="65"/>
      <c r="BI1687" s="65"/>
      <c r="BJ1687" s="65"/>
      <c r="BK1687" s="65"/>
      <c r="BL1687" s="99"/>
      <c r="BM1687" s="99"/>
      <c r="BN1687" s="99"/>
    </row>
    <row r="1688" spans="1:66" s="51" customFormat="1" ht="15.75" x14ac:dyDescent="0.25">
      <c r="A1688" s="634">
        <v>15</v>
      </c>
      <c r="B1688" s="635" t="s">
        <v>291</v>
      </c>
      <c r="C1688" s="636" t="s">
        <v>2592</v>
      </c>
      <c r="D1688" s="637" t="s">
        <v>299</v>
      </c>
      <c r="E1688" s="638">
        <v>339.95</v>
      </c>
      <c r="F1688" s="639" t="s">
        <v>292</v>
      </c>
      <c r="G1688" s="484">
        <v>0</v>
      </c>
      <c r="H1688" s="691" t="str">
        <f>IF(G1688=0,"",IF(F1688="Buy",IF(G1688=1,"plant","plants"),IF(F1688&gt;0.01,"warranty","Error")))</f>
        <v/>
      </c>
      <c r="I1688" s="640">
        <f>IF(H1688="free",0,IF(H1688="credit",((E1688*(F1688))*G1688*-1),IF(F1688="Buy",(E1688*G1688),((E1688*(1-F1688))*G1688))))</f>
        <v>0</v>
      </c>
      <c r="J1688" s="640">
        <f>IF(H1688="warranty",0,(I1688*(_xlfn.SINGLE(SalesTaxPercentage))))</f>
        <v>0</v>
      </c>
      <c r="K1688" s="716">
        <f t="shared" ref="K1688" si="1232">I1688+J1688</f>
        <v>0</v>
      </c>
      <c r="L1688" s="716"/>
      <c r="M1688" s="689" t="str">
        <f ca="1">IF(AND(G1688&gt;0,E1688=0),"WARNING - no PRICE inserted",IF(H1688="free","FREE ~ no charge this plant",IF(H1688="credit",CONCATENATE("-$",ROUND(K1688*(1-_xlfn.SINGLE(T2GDiscount))*-1,2)," CREDIT after discount"),IF(_xlfn.SINGLE(T2GDiscount)=0,"",IF(G1688=0,"",IF(F1688="Buy",CONCATENATE("$",ROUND(K1688*(1-_xlfn.SINGLE(T2GDiscount)),2)," with ",(_xlfn.SINGLE(T2GDiscount)*100),"% discount"),CONCATENATE("$",ROUND(K1688*(1-_xlfn.SINGLE(T2GDiscount)),2)," with ",((_xlfn.SINGLE(T2GDiscount)*100+F1688*100)-(_xlfn.SINGLE(T2GDiscount)*100*F1688)),IF(F1688&gt;0,"% discounts",IF(_xlfn.SINGLE(NoWarrantyDiscount)&gt;0,"% discounts","% discount")))))))))</f>
        <v/>
      </c>
      <c r="N1688" s="690"/>
      <c r="O1688" s="486"/>
      <c r="P1688" s="486"/>
      <c r="Q1688" s="486"/>
      <c r="R1688" s="486"/>
      <c r="S1688" s="486"/>
      <c r="T1688" s="102">
        <f t="shared" si="1218"/>
        <v>0</v>
      </c>
      <c r="U1688" s="78">
        <f>IF(NOT(ISNUMBER(G1688)), "", VLOOKUP(A1688,'Discount Lookup'!D:E,2,FALSE)*G1688)</f>
        <v>0</v>
      </c>
      <c r="V1688" s="78">
        <f>IF(NOT(ISNUMBER(G1688)), "", VLOOKUP(A1688,'Discount Lookup'!G:H,2,FALSE)*G1688)</f>
        <v>0</v>
      </c>
      <c r="W1688" s="102">
        <f t="shared" si="1219"/>
        <v>0</v>
      </c>
      <c r="X1688" s="102">
        <f t="shared" si="1220"/>
        <v>0</v>
      </c>
      <c r="Y1688" s="120" t="b">
        <f t="shared" si="1221"/>
        <v>0</v>
      </c>
      <c r="Z1688" s="117">
        <f t="shared" si="1222"/>
        <v>0</v>
      </c>
      <c r="AA1688" s="118"/>
      <c r="AB1688" s="118" t="str">
        <f t="shared" si="1223"/>
        <v/>
      </c>
      <c r="AC1688" s="712" t="str">
        <f>IF(AE1688="T2G","no charge",IF(AND(OR(PlanterYesMe="No",PlanterYesMe="N",PlanterYesMe="me"),H1688=""),"",IF(H1688="credit","NO install",IF(AND(K1688="",AE1688="me"),"EACH row",IF(AND(K1688="images",AE1688="me"),"EACH row",IF(D1688="","",IF(H1688="credit","",IF(AE1688="free","re-planting",IF(AE1688="me","   not ELP, by",IF(AND(OR(PlanterYesMe="Yes",PlanterYesMe="Y"),G1688&gt;0),(VLOOKUP(A1688,'Discount Lookup'!J:K,2)*G1688*(1-PlanterDiscount)*(1+PlanterDifficultyPercentage)),IF(AE1688="ELP",(VLOOKUP(A1688,'Discount Lookup'!J:K,2)*G1688*(1-PlanterDiscount)*(1+PlanterDifficultyPercentage)),IF(AE1688="free","re-planting",IF(G1688=0,"",IF(PlanterYesMe="",IF(AE1688="me","   not ELP, by",IF(AE1688="",IF(G1688&gt;0,(VLOOKUP(A1688,'Discount Lookup'!J:K,2)*G1688*(1-PlanterDiscount)*(1+PlanterDifficultyPercentage)),""),"")),"   not ELP, by"))))))))))))))</f>
        <v/>
      </c>
      <c r="AD1688" s="712"/>
      <c r="AE1688" s="513" t="str">
        <f t="shared" si="1224"/>
        <v/>
      </c>
      <c r="AF1688" s="713" t="str">
        <f t="shared" si="1225"/>
        <v/>
      </c>
      <c r="AG1688" s="713"/>
      <c r="AH1688" s="713"/>
      <c r="AI1688" s="112">
        <f>IF(H1688="credit",0,IF(AE1688="free",0,IF(AE1688="me",0,IF(G1688&gt;0,(VLOOKUP(A1688,'Discount Lookup'!J:K,2)*G1688),0))))</f>
        <v>0</v>
      </c>
      <c r="AJ1688" s="107" t="str">
        <f t="shared" ca="1" si="1226"/>
        <v/>
      </c>
      <c r="AK1688" s="714" t="str">
        <f t="shared" si="1227"/>
        <v/>
      </c>
      <c r="AL1688" s="714"/>
      <c r="AM1688" s="114" t="str">
        <f t="shared" si="1228"/>
        <v/>
      </c>
      <c r="AN1688" s="115"/>
      <c r="AO1688" s="116"/>
      <c r="AP1688" s="116"/>
      <c r="AQ1688" s="116"/>
      <c r="AR1688" s="116"/>
      <c r="AS1688" s="116"/>
      <c r="AT1688" s="116"/>
      <c r="AU1688" s="116"/>
      <c r="AV1688" s="78"/>
      <c r="AW1688" s="102"/>
      <c r="AX1688" s="78"/>
      <c r="AY1688" s="78"/>
      <c r="AZ1688" s="78"/>
      <c r="BA1688" s="78"/>
      <c r="BB1688" s="78"/>
      <c r="BC1688" s="78"/>
      <c r="BD1688" s="78"/>
      <c r="BE1688" s="465"/>
      <c r="BF1688" s="165" t="str">
        <f t="shared" si="1229"/>
        <v>https://www.google.com/search?tbm=isch&amp;q=15%20G4</v>
      </c>
      <c r="BG1688" s="165" t="str">
        <f t="shared" si="1230"/>
        <v>G</v>
      </c>
      <c r="BH1688" s="65"/>
      <c r="BI1688" s="65"/>
      <c r="BJ1688" s="65"/>
      <c r="BK1688" s="65"/>
      <c r="BL1688" s="99"/>
      <c r="BM1688" s="99"/>
      <c r="BN1688" s="99"/>
    </row>
    <row r="1689" spans="1:66" s="51" customFormat="1" ht="27" x14ac:dyDescent="0.25">
      <c r="A1689" s="634">
        <v>45</v>
      </c>
      <c r="B1689" s="635" t="s">
        <v>291</v>
      </c>
      <c r="C1689" s="636" t="s">
        <v>2593</v>
      </c>
      <c r="D1689" s="637" t="s">
        <v>299</v>
      </c>
      <c r="E1689" s="638">
        <v>966.95</v>
      </c>
      <c r="F1689" s="639" t="s">
        <v>292</v>
      </c>
      <c r="G1689" s="484">
        <v>0</v>
      </c>
      <c r="H1689" s="691" t="str">
        <f>IF(G1689=0,"",IF(F1689="Buy",IF(G1689=1,"plant","plants"),IF(F1689&gt;0.01,"warranty","Error")))</f>
        <v/>
      </c>
      <c r="I1689" s="640">
        <f>IF(H1689="free",0,IF(H1689="credit",((E1689*(F1689))*G1689*-1),IF(F1689="Buy",(E1689*G1689),((E1689*(1-F1689))*G1689))))</f>
        <v>0</v>
      </c>
      <c r="J1689" s="640">
        <f>IF(H1689="warranty",0,(I1689*(_xlfn.SINGLE(SalesTaxPercentage))))</f>
        <v>0</v>
      </c>
      <c r="K1689" s="716">
        <f t="shared" ref="K1689" si="1233">I1689+J1689</f>
        <v>0</v>
      </c>
      <c r="L1689" s="716"/>
      <c r="M1689" s="689" t="str">
        <f ca="1">IF(AND(G1689&gt;0,E1689=0),"WARNING - no PRICE inserted",IF(H1689="free","FREE ~ no charge this plant",IF(H1689="credit",CONCATENATE("-$",ROUND(K1689*(1-_xlfn.SINGLE(T2GDiscount))*-1,2)," CREDIT after discount"),IF(_xlfn.SINGLE(T2GDiscount)=0,"",IF(G1689=0,"",IF(F1689="Buy",CONCATENATE("$",ROUND(K1689*(1-_xlfn.SINGLE(T2GDiscount)),2)," with ",(_xlfn.SINGLE(T2GDiscount)*100),"% discount"),CONCATENATE("$",ROUND(K1689*(1-_xlfn.SINGLE(T2GDiscount)),2)," with ",((_xlfn.SINGLE(T2GDiscount)*100+F1689*100)-(_xlfn.SINGLE(T2GDiscount)*100*F1689)),IF(F1689&gt;0,"% discounts",IF(_xlfn.SINGLE(NoWarrantyDiscount)&gt;0,"% discounts","% discount")))))))))</f>
        <v/>
      </c>
      <c r="N1689" s="690"/>
      <c r="O1689" s="486"/>
      <c r="P1689" s="486"/>
      <c r="Q1689" s="486"/>
      <c r="R1689" s="486"/>
      <c r="S1689" s="486"/>
      <c r="T1689" s="102">
        <f t="shared" si="1218"/>
        <v>0</v>
      </c>
      <c r="U1689" s="78">
        <f>IF(NOT(ISNUMBER(G1689)), "", VLOOKUP(A1689,'Discount Lookup'!D:E,2,FALSE)*G1689)</f>
        <v>0</v>
      </c>
      <c r="V1689" s="78">
        <f>IF(NOT(ISNUMBER(G1689)), "", VLOOKUP(A1689,'Discount Lookup'!G:H,2,FALSE)*G1689)</f>
        <v>0</v>
      </c>
      <c r="W1689" s="102">
        <f t="shared" si="1219"/>
        <v>0</v>
      </c>
      <c r="X1689" s="102">
        <f t="shared" si="1220"/>
        <v>0</v>
      </c>
      <c r="Y1689" s="120" t="b">
        <f t="shared" si="1221"/>
        <v>0</v>
      </c>
      <c r="Z1689" s="117">
        <f t="shared" si="1222"/>
        <v>0</v>
      </c>
      <c r="AA1689" s="118"/>
      <c r="AB1689" s="118" t="str">
        <f t="shared" si="1223"/>
        <v/>
      </c>
      <c r="AC1689" s="712" t="str">
        <f>IF(AE1689="T2G","no charge",IF(AND(OR(PlanterYesMe="No",PlanterYesMe="N",PlanterYesMe="me"),H1689=""),"",IF(H1689="credit","NO install",IF(AND(K1689="",AE1689="me"),"EACH row",IF(AND(K1689="images",AE1689="me"),"EACH row",IF(D1689="","",IF(H1689="credit","",IF(AE1689="free","re-planting",IF(AE1689="me","   not ELP, by",IF(AND(OR(PlanterYesMe="Yes",PlanterYesMe="Y"),G1689&gt;0),(VLOOKUP(A1689,'Discount Lookup'!J:K,2)*G1689*(1-PlanterDiscount)*(1+PlanterDifficultyPercentage)),IF(AE1689="ELP",(VLOOKUP(A1689,'Discount Lookup'!J:K,2)*G1689*(1-PlanterDiscount)*(1+PlanterDifficultyPercentage)),IF(AE1689="free","re-planting",IF(G1689=0,"",IF(PlanterYesMe="",IF(AE1689="me","   not ELP, by",IF(AE1689="",IF(G1689&gt;0,(VLOOKUP(A1689,'Discount Lookup'!J:K,2)*G1689*(1-PlanterDiscount)*(1+PlanterDifficultyPercentage)),""),"")),"   not ELP, by"))))))))))))))</f>
        <v/>
      </c>
      <c r="AD1689" s="712"/>
      <c r="AE1689" s="513" t="str">
        <f t="shared" si="1224"/>
        <v/>
      </c>
      <c r="AF1689" s="713" t="str">
        <f t="shared" si="1225"/>
        <v/>
      </c>
      <c r="AG1689" s="713"/>
      <c r="AH1689" s="713"/>
      <c r="AI1689" s="112">
        <f>IF(H1689="credit",0,IF(AE1689="free",0,IF(AE1689="me",0,IF(G1689&gt;0,(VLOOKUP(A1689,'Discount Lookup'!J:K,2)*G1689),0))))</f>
        <v>0</v>
      </c>
      <c r="AJ1689" s="107" t="str">
        <f t="shared" ca="1" si="1226"/>
        <v/>
      </c>
      <c r="AK1689" s="714" t="str">
        <f t="shared" si="1227"/>
        <v/>
      </c>
      <c r="AL1689" s="714"/>
      <c r="AM1689" s="114" t="str">
        <f t="shared" si="1228"/>
        <v/>
      </c>
      <c r="AN1689" s="115"/>
      <c r="AO1689" s="116"/>
      <c r="AP1689" s="116"/>
      <c r="AQ1689" s="116"/>
      <c r="AR1689" s="116"/>
      <c r="AS1689" s="116"/>
      <c r="AT1689" s="116"/>
      <c r="AU1689" s="116"/>
      <c r="AV1689" s="78"/>
      <c r="AW1689" s="102"/>
      <c r="AX1689" s="78"/>
      <c r="AY1689" s="78"/>
      <c r="AZ1689" s="78"/>
      <c r="BA1689" s="78"/>
      <c r="BB1689" s="78"/>
      <c r="BC1689" s="78"/>
      <c r="BD1689" s="78"/>
      <c r="BE1689" s="465"/>
      <c r="BF1689" s="165" t="str">
        <f t="shared" si="1229"/>
        <v>https://www.google.com/search?tbm=isch&amp;q=45%20G4</v>
      </c>
      <c r="BG1689" s="165" t="str">
        <f t="shared" si="1230"/>
        <v>G</v>
      </c>
      <c r="BH1689" s="65"/>
      <c r="BI1689" s="65"/>
      <c r="BJ1689" s="65"/>
      <c r="BK1689" s="65"/>
      <c r="BL1689" s="99"/>
      <c r="BM1689" s="99"/>
      <c r="BN1689" s="99"/>
    </row>
    <row r="1690" spans="1:66" s="51" customFormat="1" ht="17.25" thickBot="1" x14ac:dyDescent="0.3">
      <c r="A1690" s="641" t="s">
        <v>2594</v>
      </c>
      <c r="B1690" s="642"/>
      <c r="C1690" s="710"/>
      <c r="D1690" s="643"/>
      <c r="E1690" s="643"/>
      <c r="F1690" s="644"/>
      <c r="G1690" s="645"/>
      <c r="H1690" s="646"/>
      <c r="I1690" s="647"/>
      <c r="J1690" s="648"/>
      <c r="K1690" s="649"/>
      <c r="L1690" s="650"/>
      <c r="M1690" s="650"/>
      <c r="N1690" s="644"/>
      <c r="O1690" s="644"/>
      <c r="P1690" s="644"/>
      <c r="Q1690" s="644"/>
      <c r="R1690" s="644"/>
      <c r="S1690" s="651"/>
      <c r="T1690" s="102">
        <f t="shared" si="1218"/>
        <v>0</v>
      </c>
      <c r="U1690" s="78" t="str">
        <f>IF(NOT(ISNUMBER(G1690)), "", VLOOKUP(A1690,'Discount Lookup'!D:E,2,FALSE)*G1690)</f>
        <v/>
      </c>
      <c r="V1690" s="78" t="str">
        <f>IF(NOT(ISNUMBER(G1690)), "", VLOOKUP(A1690,'Discount Lookup'!G:H,2,FALSE)*G1690)</f>
        <v/>
      </c>
      <c r="W1690" s="102">
        <f t="shared" si="1219"/>
        <v>0</v>
      </c>
      <c r="X1690" s="102">
        <f t="shared" si="1220"/>
        <v>0</v>
      </c>
      <c r="Y1690" s="120" t="b">
        <f t="shared" si="1221"/>
        <v>0</v>
      </c>
      <c r="Z1690" s="117">
        <f t="shared" si="1222"/>
        <v>0</v>
      </c>
      <c r="AA1690" s="118"/>
      <c r="AB1690" s="118" t="str">
        <f t="shared" si="1223"/>
        <v/>
      </c>
      <c r="AC1690" s="712" t="str">
        <f>IF(AE1690="T2G","no charge",IF(AND(OR(PlanterYesMe="No",PlanterYesMe="N",PlanterYesMe="me"),H1690=""),"",IF(H1690="credit","NO install",IF(AND(K1690="",AE1690="me"),"EACH row",IF(AND(K1690="images",AE1690="me"),"EACH row",IF(D1690="","",IF(H1690="credit","",IF(AE1690="free","re-planting",IF(AE1690="me","   not ELP, by",IF(AND(OR(PlanterYesMe="Yes",PlanterYesMe="Y"),G1690&gt;0),(VLOOKUP(A1690,'Discount Lookup'!J:K,2)*G1690*(1-PlanterDiscount)*(1+PlanterDifficultyPercentage)),IF(AE1690="ELP",(VLOOKUP(A1690,'Discount Lookup'!J:K,2)*G1690*(1-PlanterDiscount)*(1+PlanterDifficultyPercentage)),IF(AE1690="free","re-planting",IF(G1690=0,"",IF(PlanterYesMe="",IF(AE1690="me","   not ELP, by",IF(AE1690="",IF(G1690&gt;0,(VLOOKUP(A1690,'Discount Lookup'!J:K,2)*G1690*(1-PlanterDiscount)*(1+PlanterDifficultyPercentage)),""),"")),"   not ELP, by"))))))))))))))</f>
        <v/>
      </c>
      <c r="AD1690" s="712"/>
      <c r="AE1690" s="513" t="str">
        <f t="shared" si="1224"/>
        <v/>
      </c>
      <c r="AF1690" s="713" t="str">
        <f t="shared" si="1225"/>
        <v/>
      </c>
      <c r="AG1690" s="713"/>
      <c r="AH1690" s="713"/>
      <c r="AI1690" s="112">
        <f>IF(H1690="credit",0,IF(AE1690="free",0,IF(AE1690="me",0,IF(G1690&gt;0,(VLOOKUP(A1690,'Discount Lookup'!J:K,2)*G1690),0))))</f>
        <v>0</v>
      </c>
      <c r="AJ1690" s="107" t="str">
        <f t="shared" ca="1" si="1226"/>
        <v/>
      </c>
      <c r="AK1690" s="714" t="str">
        <f t="shared" si="1227"/>
        <v/>
      </c>
      <c r="AL1690" s="714"/>
      <c r="AM1690" s="114" t="str">
        <f t="shared" si="1228"/>
        <v/>
      </c>
      <c r="AN1690" s="115"/>
      <c r="AO1690" s="116"/>
      <c r="AP1690" s="116"/>
      <c r="AQ1690" s="116"/>
      <c r="AR1690" s="116"/>
      <c r="AS1690" s="116"/>
      <c r="AT1690" s="116"/>
      <c r="AU1690" s="116"/>
      <c r="AV1690" s="78"/>
      <c r="AW1690" s="102"/>
      <c r="AX1690" s="78"/>
      <c r="AY1690" s="78"/>
      <c r="AZ1690" s="78"/>
      <c r="BA1690" s="78"/>
      <c r="BB1690" s="78"/>
      <c r="BC1690" s="78"/>
      <c r="BD1690" s="78"/>
      <c r="BE1690" s="465"/>
      <c r="BF1690" s="165" t="str">
        <f t="shared" si="1229"/>
        <v>https://www.google.com/search?tbm=isch&amp;q=Jade%20is%20named%20for%20butterfly-shaped%20leaf.%20All%20male%20clones%2C%20not%20stinky%20or%20messy.%20Vibrant%20Golden-Yellow%20fall%20foliage%20</v>
      </c>
      <c r="BG1690" s="165" t="str">
        <f t="shared" si="1230"/>
        <v>J</v>
      </c>
      <c r="BH1690" s="65"/>
      <c r="BI1690" s="65"/>
      <c r="BJ1690" s="65"/>
      <c r="BK1690" s="65"/>
      <c r="BL1690" s="99"/>
      <c r="BM1690" s="99"/>
      <c r="BN1690" s="99"/>
    </row>
    <row r="1691" spans="1:66" s="51" customFormat="1" ht="18" x14ac:dyDescent="0.25">
      <c r="A1691" s="623" t="s">
        <v>2595</v>
      </c>
      <c r="B1691" s="624"/>
      <c r="C1691" s="709"/>
      <c r="D1691" s="625" t="s">
        <v>5663</v>
      </c>
      <c r="E1691" s="626"/>
      <c r="F1691" s="626"/>
      <c r="G1691" s="626"/>
      <c r="H1691" s="622" t="s">
        <v>2596</v>
      </c>
      <c r="I1691" s="627" t="s">
        <v>432</v>
      </c>
      <c r="J1691" s="628"/>
      <c r="K1691" s="628"/>
      <c r="L1691" s="629"/>
      <c r="M1691" s="700" t="s">
        <v>5241</v>
      </c>
      <c r="N1691" s="693" t="str">
        <f>IF(AND(ISTEXT($A1691), ISERROR($A1691+0)), HYPERLINK($BF1691, "Images"), "")</f>
        <v>Images</v>
      </c>
      <c r="O1691" s="695" t="s">
        <v>5247</v>
      </c>
      <c r="P1691" s="630"/>
      <c r="Q1691" s="631"/>
      <c r="R1691" s="632"/>
      <c r="S1691" s="633"/>
      <c r="T1691" s="102">
        <f t="shared" si="1218"/>
        <v>0</v>
      </c>
      <c r="U1691" s="78" t="str">
        <f>IF(NOT(ISNUMBER(G1691)), "", VLOOKUP(A1691,'Discount Lookup'!D:E,2,FALSE)*G1691)</f>
        <v/>
      </c>
      <c r="V1691" s="78" t="str">
        <f>IF(NOT(ISNUMBER(G1691)), "", VLOOKUP(A1691,'Discount Lookup'!G:H,2,FALSE)*G1691)</f>
        <v/>
      </c>
      <c r="W1691" s="102">
        <f t="shared" si="1219"/>
        <v>0</v>
      </c>
      <c r="X1691" s="102" t="str">
        <f t="shared" si="1220"/>
        <v>Green foliage</v>
      </c>
      <c r="Y1691" s="120" t="b">
        <f t="shared" si="1221"/>
        <v>0</v>
      </c>
      <c r="Z1691" s="117">
        <f t="shared" si="1222"/>
        <v>0</v>
      </c>
      <c r="AA1691" s="118"/>
      <c r="AB1691" s="118" t="str">
        <f t="shared" si="1223"/>
        <v/>
      </c>
      <c r="AC1691" s="712" t="str">
        <f>IF(AE1691="T2G","no charge",IF(AND(OR(PlanterYesMe="No",PlanterYesMe="N",PlanterYesMe="me"),H1691=""),"",IF(H1691="credit","NO install",IF(AND(K1691="",AE1691="me"),"EACH row",IF(AND(K1691="images",AE1691="me"),"EACH row",IF(D1691="","",IF(H1691="credit","",IF(AE1691="free","re-planting",IF(AE1691="me","   not ELP, by",IF(AND(OR(PlanterYesMe="Yes",PlanterYesMe="Y"),G1691&gt;0),(VLOOKUP(A1691,'Discount Lookup'!J:K,2)*G1691*(1-PlanterDiscount)*(1+PlanterDifficultyPercentage)),IF(AE1691="ELP",(VLOOKUP(A1691,'Discount Lookup'!J:K,2)*G1691*(1-PlanterDiscount)*(1+PlanterDifficultyPercentage)),IF(AE1691="free","re-planting",IF(G1691=0,"",IF(PlanterYesMe="",IF(AE1691="me","   not ELP, by",IF(AE1691="",IF(G1691&gt;0,(VLOOKUP(A1691,'Discount Lookup'!J:K,2)*G1691*(1-PlanterDiscount)*(1+PlanterDifficultyPercentage)),""),"")),"   not ELP, by"))))))))))))))</f>
        <v/>
      </c>
      <c r="AD1691" s="712"/>
      <c r="AE1691" s="513" t="str">
        <f t="shared" si="1224"/>
        <v/>
      </c>
      <c r="AF1691" s="713" t="str">
        <f t="shared" si="1225"/>
        <v/>
      </c>
      <c r="AG1691" s="713"/>
      <c r="AH1691" s="713"/>
      <c r="AI1691" s="112">
        <f>IF(H1691="credit",0,IF(AE1691="free",0,IF(AE1691="me",0,IF(G1691&gt;0,(VLOOKUP(A1691,'Discount Lookup'!J:K,2)*G1691),0))))</f>
        <v>0</v>
      </c>
      <c r="AJ1691" s="107" t="str">
        <f t="shared" ca="1" si="1226"/>
        <v/>
      </c>
      <c r="AK1691" s="714" t="str">
        <f t="shared" si="1227"/>
        <v/>
      </c>
      <c r="AL1691" s="714"/>
      <c r="AM1691" s="114" t="str">
        <f t="shared" si="1228"/>
        <v/>
      </c>
      <c r="AN1691" s="115"/>
      <c r="AO1691" s="116"/>
      <c r="AP1691" s="116"/>
      <c r="AQ1691" s="116"/>
      <c r="AR1691" s="116"/>
      <c r="AS1691" s="116"/>
      <c r="AT1691" s="116"/>
      <c r="AU1691" s="116"/>
      <c r="AV1691" s="78"/>
      <c r="AW1691" s="102"/>
      <c r="AX1691" s="78"/>
      <c r="AY1691" s="78"/>
      <c r="AZ1691" s="78"/>
      <c r="BA1691" s="78"/>
      <c r="BB1691" s="78"/>
      <c r="BC1691" s="78"/>
      <c r="BD1691" s="78"/>
      <c r="BE1691" s="465"/>
      <c r="BF1691" s="165" t="str">
        <f t="shared" si="1229"/>
        <v>https://www.google.com/search?tbm=isch&amp;q=Ginkgo%20biloba%20%27JFS-UGA2%27%20PP%2332171%20Golden%20Colonnade%E2%84%A2%20Ginkgo</v>
      </c>
      <c r="BG1691" s="165" t="str">
        <f t="shared" si="1230"/>
        <v>G</v>
      </c>
      <c r="BH1691" s="65"/>
      <c r="BI1691" s="65"/>
      <c r="BJ1691" s="65"/>
      <c r="BK1691" s="65"/>
      <c r="BL1691" s="99"/>
      <c r="BM1691" s="99"/>
      <c r="BN1691" s="99"/>
    </row>
    <row r="1692" spans="1:66" s="51" customFormat="1" ht="15.75" x14ac:dyDescent="0.25">
      <c r="A1692" s="634">
        <v>15</v>
      </c>
      <c r="B1692" s="635" t="s">
        <v>291</v>
      </c>
      <c r="C1692" s="636" t="s">
        <v>2597</v>
      </c>
      <c r="D1692" s="637" t="s">
        <v>299</v>
      </c>
      <c r="E1692" s="638">
        <v>270.95</v>
      </c>
      <c r="F1692" s="639" t="s">
        <v>292</v>
      </c>
      <c r="G1692" s="484">
        <v>0</v>
      </c>
      <c r="H1692" s="691" t="str">
        <f>IF(G1692=0,"",IF(F1692="Buy",IF(G1692=1,"plant","plants"),IF(F1692&gt;0.01,"warranty","Error")))</f>
        <v/>
      </c>
      <c r="I1692" s="640">
        <f>IF(H1692="free",0,IF(H1692="credit",((E1692*(F1692))*G1692*-1),IF(F1692="Buy",(E1692*G1692),((E1692*(1-F1692))*G1692))))</f>
        <v>0</v>
      </c>
      <c r="J1692" s="640">
        <f>IF(H1692="warranty",0,(I1692*(_xlfn.SINGLE(SalesTaxPercentage))))</f>
        <v>0</v>
      </c>
      <c r="K1692" s="716">
        <f t="shared" ref="K1692" si="1234">I1692+J1692</f>
        <v>0</v>
      </c>
      <c r="L1692" s="716"/>
      <c r="M1692" s="689" t="str">
        <f ca="1">IF(AND(G1692&gt;0,E1692=0),"WARNING - no PRICE inserted",IF(H1692="free","FREE ~ no charge this plant",IF(H1692="credit",CONCATENATE("-$",ROUND(K1692*(1-_xlfn.SINGLE(T2GDiscount))*-1,2)," CREDIT after discount"),IF(_xlfn.SINGLE(T2GDiscount)=0,"",IF(G1692=0,"",IF(F1692="Buy",CONCATENATE("$",ROUND(K1692*(1-_xlfn.SINGLE(T2GDiscount)),2)," with ",(_xlfn.SINGLE(T2GDiscount)*100),"% discount"),CONCATENATE("$",ROUND(K1692*(1-_xlfn.SINGLE(T2GDiscount)),2)," with ",((_xlfn.SINGLE(T2GDiscount)*100+F1692*100)-(_xlfn.SINGLE(T2GDiscount)*100*F1692)),IF(F1692&gt;0,"% discounts",IF(_xlfn.SINGLE(NoWarrantyDiscount)&gt;0,"% discounts","% discount")))))))))</f>
        <v/>
      </c>
      <c r="N1692" s="690"/>
      <c r="O1692" s="486"/>
      <c r="P1692" s="486"/>
      <c r="Q1692" s="486"/>
      <c r="R1692" s="486"/>
      <c r="S1692" s="486"/>
      <c r="T1692" s="102">
        <f t="shared" si="1218"/>
        <v>0</v>
      </c>
      <c r="U1692" s="78">
        <f>IF(NOT(ISNUMBER(G1692)), "", VLOOKUP(A1692,'Discount Lookup'!D:E,2,FALSE)*G1692)</f>
        <v>0</v>
      </c>
      <c r="V1692" s="78">
        <f>IF(NOT(ISNUMBER(G1692)), "", VLOOKUP(A1692,'Discount Lookup'!G:H,2,FALSE)*G1692)</f>
        <v>0</v>
      </c>
      <c r="W1692" s="102">
        <f t="shared" si="1219"/>
        <v>0</v>
      </c>
      <c r="X1692" s="102">
        <f t="shared" si="1220"/>
        <v>0</v>
      </c>
      <c r="Y1692" s="120" t="b">
        <f t="shared" si="1221"/>
        <v>0</v>
      </c>
      <c r="Z1692" s="117">
        <f t="shared" si="1222"/>
        <v>0</v>
      </c>
      <c r="AA1692" s="118"/>
      <c r="AB1692" s="118" t="str">
        <f t="shared" si="1223"/>
        <v/>
      </c>
      <c r="AC1692" s="712" t="str">
        <f>IF(AE1692="T2G","no charge",IF(AND(OR(PlanterYesMe="No",PlanterYesMe="N",PlanterYesMe="me"),H1692=""),"",IF(H1692="credit","NO install",IF(AND(K1692="",AE1692="me"),"EACH row",IF(AND(K1692="images",AE1692="me"),"EACH row",IF(D1692="","",IF(H1692="credit","",IF(AE1692="free","re-planting",IF(AE1692="me","   not ELP, by",IF(AND(OR(PlanterYesMe="Yes",PlanterYesMe="Y"),G1692&gt;0),(VLOOKUP(A1692,'Discount Lookup'!J:K,2)*G1692*(1-PlanterDiscount)*(1+PlanterDifficultyPercentage)),IF(AE1692="ELP",(VLOOKUP(A1692,'Discount Lookup'!J:K,2)*G1692*(1-PlanterDiscount)*(1+PlanterDifficultyPercentage)),IF(AE1692="free","re-planting",IF(G1692=0,"",IF(PlanterYesMe="",IF(AE1692="me","   not ELP, by",IF(AE1692="",IF(G1692&gt;0,(VLOOKUP(A1692,'Discount Lookup'!J:K,2)*G1692*(1-PlanterDiscount)*(1+PlanterDifficultyPercentage)),""),"")),"   not ELP, by"))))))))))))))</f>
        <v/>
      </c>
      <c r="AD1692" s="712"/>
      <c r="AE1692" s="513" t="str">
        <f t="shared" si="1224"/>
        <v/>
      </c>
      <c r="AF1692" s="713" t="str">
        <f t="shared" si="1225"/>
        <v/>
      </c>
      <c r="AG1692" s="713"/>
      <c r="AH1692" s="713"/>
      <c r="AI1692" s="112">
        <f>IF(H1692="credit",0,IF(AE1692="free",0,IF(AE1692="me",0,IF(G1692&gt;0,(VLOOKUP(A1692,'Discount Lookup'!J:K,2)*G1692),0))))</f>
        <v>0</v>
      </c>
      <c r="AJ1692" s="107" t="str">
        <f t="shared" ca="1" si="1226"/>
        <v/>
      </c>
      <c r="AK1692" s="714" t="str">
        <f t="shared" si="1227"/>
        <v/>
      </c>
      <c r="AL1692" s="714"/>
      <c r="AM1692" s="114" t="str">
        <f t="shared" si="1228"/>
        <v/>
      </c>
      <c r="AN1692" s="115"/>
      <c r="AO1692" s="116"/>
      <c r="AP1692" s="116"/>
      <c r="AQ1692" s="116"/>
      <c r="AR1692" s="116"/>
      <c r="AS1692" s="116"/>
      <c r="AT1692" s="116"/>
      <c r="AU1692" s="116"/>
      <c r="AV1692" s="78"/>
      <c r="AW1692" s="102"/>
      <c r="AX1692" s="78"/>
      <c r="AY1692" s="78"/>
      <c r="AZ1692" s="78"/>
      <c r="BA1692" s="78"/>
      <c r="BB1692" s="78"/>
      <c r="BC1692" s="78"/>
      <c r="BD1692" s="78"/>
      <c r="BE1692" s="465"/>
      <c r="BF1692" s="165" t="str">
        <f t="shared" si="1229"/>
        <v>https://www.google.com/search?tbm=isch&amp;q=15%20G4</v>
      </c>
      <c r="BG1692" s="165" t="str">
        <f t="shared" si="1230"/>
        <v>G</v>
      </c>
      <c r="BH1692" s="65"/>
      <c r="BI1692" s="65"/>
      <c r="BJ1692" s="65"/>
      <c r="BK1692" s="65"/>
      <c r="BL1692" s="99"/>
      <c r="BM1692" s="99"/>
      <c r="BN1692" s="99"/>
    </row>
    <row r="1693" spans="1:66" s="51" customFormat="1" ht="17.25" thickBot="1" x14ac:dyDescent="0.3">
      <c r="A1693" s="641" t="s">
        <v>2598</v>
      </c>
      <c r="B1693" s="642"/>
      <c r="C1693" s="710"/>
      <c r="D1693" s="643"/>
      <c r="E1693" s="643"/>
      <c r="F1693" s="644"/>
      <c r="G1693" s="645"/>
      <c r="H1693" s="646"/>
      <c r="I1693" s="647"/>
      <c r="J1693" s="648"/>
      <c r="K1693" s="649"/>
      <c r="L1693" s="650"/>
      <c r="M1693" s="650"/>
      <c r="N1693" s="644"/>
      <c r="O1693" s="644"/>
      <c r="P1693" s="644"/>
      <c r="Q1693" s="644"/>
      <c r="R1693" s="644"/>
      <c r="S1693" s="651"/>
      <c r="T1693" s="102">
        <f t="shared" si="1218"/>
        <v>0</v>
      </c>
      <c r="U1693" s="78" t="str">
        <f>IF(NOT(ISNUMBER(G1693)), "", VLOOKUP(A1693,'Discount Lookup'!D:E,2,FALSE)*G1693)</f>
        <v/>
      </c>
      <c r="V1693" s="78" t="str">
        <f>IF(NOT(ISNUMBER(G1693)), "", VLOOKUP(A1693,'Discount Lookup'!G:H,2,FALSE)*G1693)</f>
        <v/>
      </c>
      <c r="W1693" s="102">
        <f t="shared" si="1219"/>
        <v>0</v>
      </c>
      <c r="X1693" s="102">
        <f t="shared" si="1220"/>
        <v>0</v>
      </c>
      <c r="Y1693" s="120" t="b">
        <f t="shared" si="1221"/>
        <v>0</v>
      </c>
      <c r="Z1693" s="117">
        <f t="shared" si="1222"/>
        <v>0</v>
      </c>
      <c r="AA1693" s="118"/>
      <c r="AB1693" s="118" t="str">
        <f t="shared" si="1223"/>
        <v/>
      </c>
      <c r="AC1693" s="712" t="str">
        <f>IF(AE1693="T2G","no charge",IF(AND(OR(PlanterYesMe="No",PlanterYesMe="N",PlanterYesMe="me"),H1693=""),"",IF(H1693="credit","NO install",IF(AND(K1693="",AE1693="me"),"EACH row",IF(AND(K1693="images",AE1693="me"),"EACH row",IF(D1693="","",IF(H1693="credit","",IF(AE1693="free","re-planting",IF(AE1693="me","   not ELP, by",IF(AND(OR(PlanterYesMe="Yes",PlanterYesMe="Y"),G1693&gt;0),(VLOOKUP(A1693,'Discount Lookup'!J:K,2)*G1693*(1-PlanterDiscount)*(1+PlanterDifficultyPercentage)),IF(AE1693="ELP",(VLOOKUP(A1693,'Discount Lookup'!J:K,2)*G1693*(1-PlanterDiscount)*(1+PlanterDifficultyPercentage)),IF(AE1693="free","re-planting",IF(G1693=0,"",IF(PlanterYesMe="",IF(AE1693="me","   not ELP, by",IF(AE1693="",IF(G1693&gt;0,(VLOOKUP(A1693,'Discount Lookup'!J:K,2)*G1693*(1-PlanterDiscount)*(1+PlanterDifficultyPercentage)),""),"")),"   not ELP, by"))))))))))))))</f>
        <v/>
      </c>
      <c r="AD1693" s="712"/>
      <c r="AE1693" s="513" t="str">
        <f t="shared" si="1224"/>
        <v/>
      </c>
      <c r="AF1693" s="713" t="str">
        <f t="shared" si="1225"/>
        <v/>
      </c>
      <c r="AG1693" s="713"/>
      <c r="AH1693" s="713"/>
      <c r="AI1693" s="112">
        <f>IF(H1693="credit",0,IF(AE1693="free",0,IF(AE1693="me",0,IF(G1693&gt;0,(VLOOKUP(A1693,'Discount Lookup'!J:K,2)*G1693),0))))</f>
        <v>0</v>
      </c>
      <c r="AJ1693" s="107" t="str">
        <f t="shared" ca="1" si="1226"/>
        <v/>
      </c>
      <c r="AK1693" s="714" t="str">
        <f t="shared" si="1227"/>
        <v/>
      </c>
      <c r="AL1693" s="714"/>
      <c r="AM1693" s="114" t="str">
        <f t="shared" si="1228"/>
        <v/>
      </c>
      <c r="AN1693" s="115"/>
      <c r="AO1693" s="116"/>
      <c r="AP1693" s="116"/>
      <c r="AQ1693" s="116"/>
      <c r="AR1693" s="116"/>
      <c r="AS1693" s="116"/>
      <c r="AT1693" s="116"/>
      <c r="AU1693" s="116"/>
      <c r="AV1693" s="78"/>
      <c r="AW1693" s="102"/>
      <c r="AX1693" s="78"/>
      <c r="AY1693" s="78"/>
      <c r="AZ1693" s="78"/>
      <c r="BA1693" s="78"/>
      <c r="BB1693" s="78"/>
      <c r="BC1693" s="78"/>
      <c r="BD1693" s="78"/>
      <c r="BE1693" s="465"/>
      <c r="BF1693" s="165" t="str">
        <f t="shared" si="1229"/>
        <v>https://www.google.com/search?tbm=isch&amp;q=Golden%20Colonnade%20named%20for%20it%27s%20Yellow%20fall%20foliage%20%26%20a%20narrow%20form.%20Foliage%20will%20drop%20all%20at%20once%2C%20for%20a%20Golden%20carpet.%20All%20male%2C%20so%20no%20stinky%20fruit%20</v>
      </c>
      <c r="BG1693" s="165" t="str">
        <f t="shared" si="1230"/>
        <v>G</v>
      </c>
      <c r="BH1693" s="65"/>
      <c r="BI1693" s="65"/>
      <c r="BJ1693" s="65"/>
      <c r="BK1693" s="65"/>
      <c r="BL1693" s="99"/>
      <c r="BM1693" s="99"/>
      <c r="BN1693" s="99"/>
    </row>
    <row r="1694" spans="1:66" s="51" customFormat="1" ht="18" x14ac:dyDescent="0.25">
      <c r="A1694" s="623" t="s">
        <v>2599</v>
      </c>
      <c r="B1694" s="624"/>
      <c r="C1694" s="709"/>
      <c r="D1694" s="625" t="s">
        <v>2600</v>
      </c>
      <c r="E1694" s="626"/>
      <c r="F1694" s="626"/>
      <c r="G1694" s="626"/>
      <c r="H1694" s="622" t="s">
        <v>2001</v>
      </c>
      <c r="I1694" s="627" t="s">
        <v>2601</v>
      </c>
      <c r="J1694" s="628"/>
      <c r="K1694" s="628"/>
      <c r="L1694" s="629"/>
      <c r="M1694" s="700" t="s">
        <v>5241</v>
      </c>
      <c r="N1694" s="693" t="str">
        <f>IF(AND(ISTEXT($A1694), ISERROR($A1694+0)), HYPERLINK($BF1694, "Images"), "")</f>
        <v>Images</v>
      </c>
      <c r="O1694" s="695" t="s">
        <v>5244</v>
      </c>
      <c r="P1694" s="630"/>
      <c r="Q1694" s="631"/>
      <c r="R1694" s="632"/>
      <c r="S1694" s="633"/>
      <c r="T1694" s="102">
        <f t="shared" si="1218"/>
        <v>0</v>
      </c>
      <c r="U1694" s="78" t="str">
        <f>IF(NOT(ISNUMBER(G1694)), "", VLOOKUP(A1694,'Discount Lookup'!D:E,2,FALSE)*G1694)</f>
        <v/>
      </c>
      <c r="V1694" s="78" t="str">
        <f>IF(NOT(ISNUMBER(G1694)), "", VLOOKUP(A1694,'Discount Lookup'!G:H,2,FALSE)*G1694)</f>
        <v/>
      </c>
      <c r="W1694" s="102">
        <f t="shared" si="1219"/>
        <v>0</v>
      </c>
      <c r="X1694" s="102" t="str">
        <f t="shared" si="1220"/>
        <v>Chartreuse to Green foliage</v>
      </c>
      <c r="Y1694" s="120" t="b">
        <f t="shared" si="1221"/>
        <v>0</v>
      </c>
      <c r="Z1694" s="117">
        <f t="shared" si="1222"/>
        <v>0</v>
      </c>
      <c r="AA1694" s="118"/>
      <c r="AB1694" s="118" t="str">
        <f t="shared" si="1223"/>
        <v/>
      </c>
      <c r="AC1694" s="712" t="str">
        <f>IF(AE1694="T2G","no charge",IF(AND(OR(PlanterYesMe="No",PlanterYesMe="N",PlanterYesMe="me"),H1694=""),"",IF(H1694="credit","NO install",IF(AND(K1694="",AE1694="me"),"EACH row",IF(AND(K1694="images",AE1694="me"),"EACH row",IF(D1694="","",IF(H1694="credit","",IF(AE1694="free","re-planting",IF(AE1694="me","   not ELP, by",IF(AND(OR(PlanterYesMe="Yes",PlanterYesMe="Y"),G1694&gt;0),(VLOOKUP(A1694,'Discount Lookup'!J:K,2)*G1694*(1-PlanterDiscount)*(1+PlanterDifficultyPercentage)),IF(AE1694="ELP",(VLOOKUP(A1694,'Discount Lookup'!J:K,2)*G1694*(1-PlanterDiscount)*(1+PlanterDifficultyPercentage)),IF(AE1694="free","re-planting",IF(G1694=0,"",IF(PlanterYesMe="",IF(AE1694="me","   not ELP, by",IF(AE1694="",IF(G1694&gt;0,(VLOOKUP(A1694,'Discount Lookup'!J:K,2)*G1694*(1-PlanterDiscount)*(1+PlanterDifficultyPercentage)),""),"")),"   not ELP, by"))))))))))))))</f>
        <v/>
      </c>
      <c r="AD1694" s="712"/>
      <c r="AE1694" s="513" t="str">
        <f t="shared" si="1224"/>
        <v/>
      </c>
      <c r="AF1694" s="713" t="str">
        <f t="shared" si="1225"/>
        <v/>
      </c>
      <c r="AG1694" s="713"/>
      <c r="AH1694" s="713"/>
      <c r="AI1694" s="112">
        <f>IF(H1694="credit",0,IF(AE1694="free",0,IF(AE1694="me",0,IF(G1694&gt;0,(VLOOKUP(A1694,'Discount Lookup'!J:K,2)*G1694),0))))</f>
        <v>0</v>
      </c>
      <c r="AJ1694" s="107" t="str">
        <f t="shared" ca="1" si="1226"/>
        <v/>
      </c>
      <c r="AK1694" s="714" t="str">
        <f t="shared" si="1227"/>
        <v/>
      </c>
      <c r="AL1694" s="714"/>
      <c r="AM1694" s="114" t="str">
        <f t="shared" si="1228"/>
        <v/>
      </c>
      <c r="AN1694" s="115"/>
      <c r="AO1694" s="116"/>
      <c r="AP1694" s="116"/>
      <c r="AQ1694" s="116"/>
      <c r="AR1694" s="116"/>
      <c r="AS1694" s="116"/>
      <c r="AT1694" s="116"/>
      <c r="AU1694" s="116"/>
      <c r="AV1694" s="78"/>
      <c r="AW1694" s="102"/>
      <c r="AX1694" s="78"/>
      <c r="AY1694" s="78"/>
      <c r="AZ1694" s="78"/>
      <c r="BA1694" s="78"/>
      <c r="BB1694" s="78"/>
      <c r="BC1694" s="78"/>
      <c r="BD1694" s="78"/>
      <c r="BE1694" s="465"/>
      <c r="BF1694" s="165" t="str">
        <f t="shared" si="1229"/>
        <v>https://www.google.com/search?tbm=isch&amp;q=Ginkgo%20biloba%20%27Mariken%27%20Mariken%20Dwarf%20Ginkgo</v>
      </c>
      <c r="BG1694" s="165" t="str">
        <f t="shared" si="1230"/>
        <v>G</v>
      </c>
      <c r="BH1694" s="65"/>
      <c r="BI1694" s="65"/>
      <c r="BJ1694" s="65"/>
      <c r="BK1694" s="65"/>
      <c r="BL1694" s="99"/>
      <c r="BM1694" s="99"/>
      <c r="BN1694" s="99"/>
    </row>
    <row r="1695" spans="1:66" s="51" customFormat="1" ht="15.75" x14ac:dyDescent="0.25">
      <c r="A1695" s="634">
        <v>7</v>
      </c>
      <c r="B1695" s="635" t="s">
        <v>291</v>
      </c>
      <c r="C1695" s="636" t="s">
        <v>2602</v>
      </c>
      <c r="D1695" s="637" t="s">
        <v>299</v>
      </c>
      <c r="E1695" s="638">
        <v>160.94999999999999</v>
      </c>
      <c r="F1695" s="639" t="s">
        <v>292</v>
      </c>
      <c r="G1695" s="484">
        <v>0</v>
      </c>
      <c r="H1695" s="691" t="str">
        <f>IF(G1695=0,"",IF(F1695="Buy",IF(G1695=1,"plant","plants"),IF(F1695&gt;0.01,"warranty","Error")))</f>
        <v/>
      </c>
      <c r="I1695" s="640">
        <f>IF(H1695="free",0,IF(H1695="credit",((E1695*(F1695))*G1695*-1),IF(F1695="Buy",(E1695*G1695),((E1695*(1-F1695))*G1695))))</f>
        <v>0</v>
      </c>
      <c r="J1695" s="640">
        <f>IF(H1695="warranty",0,(I1695*(_xlfn.SINGLE(SalesTaxPercentage))))</f>
        <v>0</v>
      </c>
      <c r="K1695" s="716">
        <f t="shared" ref="K1695" si="1235">I1695+J1695</f>
        <v>0</v>
      </c>
      <c r="L1695" s="716"/>
      <c r="M1695" s="689" t="str">
        <f ca="1">IF(AND(G1695&gt;0,E1695=0),"WARNING - no PRICE inserted",IF(H1695="free","FREE ~ no charge this plant",IF(H1695="credit",CONCATENATE("-$",ROUND(K1695*(1-_xlfn.SINGLE(T2GDiscount))*-1,2)," CREDIT after discount"),IF(_xlfn.SINGLE(T2GDiscount)=0,"",IF(G1695=0,"",IF(F1695="Buy",CONCATENATE("$",ROUND(K1695*(1-_xlfn.SINGLE(T2GDiscount)),2)," with ",(_xlfn.SINGLE(T2GDiscount)*100),"% discount"),CONCATENATE("$",ROUND(K1695*(1-_xlfn.SINGLE(T2GDiscount)),2)," with ",((_xlfn.SINGLE(T2GDiscount)*100+F1695*100)-(_xlfn.SINGLE(T2GDiscount)*100*F1695)),IF(F1695&gt;0,"% discounts",IF(_xlfn.SINGLE(NoWarrantyDiscount)&gt;0,"% discounts","% discount")))))))))</f>
        <v/>
      </c>
      <c r="N1695" s="690"/>
      <c r="O1695" s="486"/>
      <c r="P1695" s="486"/>
      <c r="Q1695" s="486"/>
      <c r="R1695" s="486"/>
      <c r="S1695" s="486"/>
      <c r="T1695" s="102">
        <f t="shared" si="1218"/>
        <v>0</v>
      </c>
      <c r="U1695" s="78">
        <f>IF(NOT(ISNUMBER(G1695)), "", VLOOKUP(A1695,'Discount Lookup'!D:E,2,FALSE)*G1695)</f>
        <v>0</v>
      </c>
      <c r="V1695" s="78">
        <f>IF(NOT(ISNUMBER(G1695)), "", VLOOKUP(A1695,'Discount Lookup'!G:H,2,FALSE)*G1695)</f>
        <v>0</v>
      </c>
      <c r="W1695" s="102">
        <f t="shared" si="1219"/>
        <v>0</v>
      </c>
      <c r="X1695" s="102">
        <f t="shared" si="1220"/>
        <v>0</v>
      </c>
      <c r="Y1695" s="120" t="b">
        <f t="shared" si="1221"/>
        <v>0</v>
      </c>
      <c r="Z1695" s="117">
        <f t="shared" si="1222"/>
        <v>0</v>
      </c>
      <c r="AA1695" s="118"/>
      <c r="AB1695" s="118" t="str">
        <f t="shared" si="1223"/>
        <v/>
      </c>
      <c r="AC1695" s="712" t="str">
        <f>IF(AE1695="T2G","no charge",IF(AND(OR(PlanterYesMe="No",PlanterYesMe="N",PlanterYesMe="me"),H1695=""),"",IF(H1695="credit","NO install",IF(AND(K1695="",AE1695="me"),"EACH row",IF(AND(K1695="images",AE1695="me"),"EACH row",IF(D1695="","",IF(H1695="credit","",IF(AE1695="free","re-planting",IF(AE1695="me","   not ELP, by",IF(AND(OR(PlanterYesMe="Yes",PlanterYesMe="Y"),G1695&gt;0),(VLOOKUP(A1695,'Discount Lookup'!J:K,2)*G1695*(1-PlanterDiscount)*(1+PlanterDifficultyPercentage)),IF(AE1695="ELP",(VLOOKUP(A1695,'Discount Lookup'!J:K,2)*G1695*(1-PlanterDiscount)*(1+PlanterDifficultyPercentage)),IF(AE1695="free","re-planting",IF(G1695=0,"",IF(PlanterYesMe="",IF(AE1695="me","   not ELP, by",IF(AE1695="",IF(G1695&gt;0,(VLOOKUP(A1695,'Discount Lookup'!J:K,2)*G1695*(1-PlanterDiscount)*(1+PlanterDifficultyPercentage)),""),"")),"   not ELP, by"))))))))))))))</f>
        <v/>
      </c>
      <c r="AD1695" s="712"/>
      <c r="AE1695" s="513" t="str">
        <f t="shared" si="1224"/>
        <v/>
      </c>
      <c r="AF1695" s="713" t="str">
        <f t="shared" si="1225"/>
        <v/>
      </c>
      <c r="AG1695" s="713"/>
      <c r="AH1695" s="713"/>
      <c r="AI1695" s="112">
        <f>IF(H1695="credit",0,IF(AE1695="free",0,IF(AE1695="me",0,IF(G1695&gt;0,(VLOOKUP(A1695,'Discount Lookup'!J:K,2)*G1695),0))))</f>
        <v>0</v>
      </c>
      <c r="AJ1695" s="107" t="str">
        <f t="shared" ca="1" si="1226"/>
        <v/>
      </c>
      <c r="AK1695" s="714" t="str">
        <f t="shared" si="1227"/>
        <v/>
      </c>
      <c r="AL1695" s="714"/>
      <c r="AM1695" s="114" t="str">
        <f t="shared" si="1228"/>
        <v/>
      </c>
      <c r="AN1695" s="115"/>
      <c r="AO1695" s="116"/>
      <c r="AP1695" s="116"/>
      <c r="AQ1695" s="116"/>
      <c r="AR1695" s="116"/>
      <c r="AS1695" s="116"/>
      <c r="AT1695" s="116"/>
      <c r="AU1695" s="116"/>
      <c r="AV1695" s="78"/>
      <c r="AW1695" s="102"/>
      <c r="AX1695" s="78"/>
      <c r="AY1695" s="78"/>
      <c r="AZ1695" s="78"/>
      <c r="BA1695" s="78"/>
      <c r="BB1695" s="78"/>
      <c r="BC1695" s="78"/>
      <c r="BD1695" s="78"/>
      <c r="BE1695" s="465"/>
      <c r="BF1695" s="165" t="str">
        <f t="shared" si="1229"/>
        <v>https://www.google.com/search?tbm=isch&amp;q=7%20G4</v>
      </c>
      <c r="BG1695" s="165" t="str">
        <f t="shared" si="1230"/>
        <v>G</v>
      </c>
      <c r="BH1695" s="65"/>
      <c r="BI1695" s="65"/>
      <c r="BJ1695" s="65"/>
      <c r="BK1695" s="65"/>
      <c r="BL1695" s="99"/>
      <c r="BM1695" s="99"/>
      <c r="BN1695" s="99"/>
    </row>
    <row r="1696" spans="1:66" s="51" customFormat="1" ht="17.25" thickBot="1" x14ac:dyDescent="0.3">
      <c r="A1696" s="641" t="s">
        <v>2603</v>
      </c>
      <c r="B1696" s="642"/>
      <c r="C1696" s="710"/>
      <c r="D1696" s="643"/>
      <c r="E1696" s="643"/>
      <c r="F1696" s="644"/>
      <c r="G1696" s="645"/>
      <c r="H1696" s="646"/>
      <c r="I1696" s="647"/>
      <c r="J1696" s="648"/>
      <c r="K1696" s="649"/>
      <c r="L1696" s="650"/>
      <c r="M1696" s="650"/>
      <c r="N1696" s="644"/>
      <c r="O1696" s="644"/>
      <c r="P1696" s="644"/>
      <c r="Q1696" s="644"/>
      <c r="R1696" s="644"/>
      <c r="S1696" s="701" t="s">
        <v>5250</v>
      </c>
      <c r="T1696" s="102">
        <f t="shared" si="1218"/>
        <v>0</v>
      </c>
      <c r="U1696" s="78" t="str">
        <f>IF(NOT(ISNUMBER(G1696)), "", VLOOKUP(A1696,'Discount Lookup'!D:E,2,FALSE)*G1696)</f>
        <v/>
      </c>
      <c r="V1696" s="78" t="str">
        <f>IF(NOT(ISNUMBER(G1696)), "", VLOOKUP(A1696,'Discount Lookup'!G:H,2,FALSE)*G1696)</f>
        <v/>
      </c>
      <c r="W1696" s="102">
        <f t="shared" si="1219"/>
        <v>0</v>
      </c>
      <c r="X1696" s="102">
        <f t="shared" si="1220"/>
        <v>0</v>
      </c>
      <c r="Y1696" s="120" t="b">
        <f t="shared" si="1221"/>
        <v>0</v>
      </c>
      <c r="Z1696" s="117">
        <f t="shared" si="1222"/>
        <v>0</v>
      </c>
      <c r="AA1696" s="118"/>
      <c r="AB1696" s="118" t="str">
        <f t="shared" si="1223"/>
        <v/>
      </c>
      <c r="AC1696" s="712" t="str">
        <f>IF(AE1696="T2G","no charge",IF(AND(OR(PlanterYesMe="No",PlanterYesMe="N",PlanterYesMe="me"),H1696=""),"",IF(H1696="credit","NO install",IF(AND(K1696="",AE1696="me"),"EACH row",IF(AND(K1696="images",AE1696="me"),"EACH row",IF(D1696="","",IF(H1696="credit","",IF(AE1696="free","re-planting",IF(AE1696="me","   not ELP, by",IF(AND(OR(PlanterYesMe="Yes",PlanterYesMe="Y"),G1696&gt;0),(VLOOKUP(A1696,'Discount Lookup'!J:K,2)*G1696*(1-PlanterDiscount)*(1+PlanterDifficultyPercentage)),IF(AE1696="ELP",(VLOOKUP(A1696,'Discount Lookup'!J:K,2)*G1696*(1-PlanterDiscount)*(1+PlanterDifficultyPercentage)),IF(AE1696="free","re-planting",IF(G1696=0,"",IF(PlanterYesMe="",IF(AE1696="me","   not ELP, by",IF(AE1696="",IF(G1696&gt;0,(VLOOKUP(A1696,'Discount Lookup'!J:K,2)*G1696*(1-PlanterDiscount)*(1+PlanterDifficultyPercentage)),""),"")),"   not ELP, by"))))))))))))))</f>
        <v/>
      </c>
      <c r="AD1696" s="712"/>
      <c r="AE1696" s="513" t="str">
        <f t="shared" si="1224"/>
        <v/>
      </c>
      <c r="AF1696" s="713" t="str">
        <f t="shared" si="1225"/>
        <v/>
      </c>
      <c r="AG1696" s="713"/>
      <c r="AH1696" s="713"/>
      <c r="AI1696" s="112">
        <f>IF(H1696="credit",0,IF(AE1696="free",0,IF(AE1696="me",0,IF(G1696&gt;0,(VLOOKUP(A1696,'Discount Lookup'!J:K,2)*G1696),0))))</f>
        <v>0</v>
      </c>
      <c r="AJ1696" s="107" t="str">
        <f t="shared" ca="1" si="1226"/>
        <v/>
      </c>
      <c r="AK1696" s="714" t="str">
        <f t="shared" si="1227"/>
        <v/>
      </c>
      <c r="AL1696" s="714"/>
      <c r="AM1696" s="114" t="str">
        <f t="shared" si="1228"/>
        <v/>
      </c>
      <c r="AN1696" s="115"/>
      <c r="AO1696" s="116"/>
      <c r="AP1696" s="116"/>
      <c r="AQ1696" s="116"/>
      <c r="AR1696" s="116"/>
      <c r="AS1696" s="116"/>
      <c r="AT1696" s="116"/>
      <c r="AU1696" s="116"/>
      <c r="AV1696" s="78"/>
      <c r="AW1696" s="102"/>
      <c r="AX1696" s="78"/>
      <c r="AY1696" s="78"/>
      <c r="AZ1696" s="78"/>
      <c r="BA1696" s="78"/>
      <c r="BB1696" s="78"/>
      <c r="BC1696" s="78"/>
      <c r="BD1696" s="78"/>
      <c r="BE1696" s="465"/>
      <c r="BF1696" s="165" t="str">
        <f t="shared" si="1229"/>
        <v>https://www.google.com/search?tbm=isch&amp;q=Mariken%20Dwarf%20are%20all%20male%2C%20so%20no%20messy%20fruit.%20Distinctive%20fan-shpaed%20leaves%20and%20great%20Golden%20fall%20color%20</v>
      </c>
      <c r="BG1696" s="165" t="str">
        <f t="shared" si="1230"/>
        <v>M</v>
      </c>
      <c r="BH1696" s="65"/>
      <c r="BI1696" s="65"/>
      <c r="BJ1696" s="65"/>
      <c r="BK1696" s="65"/>
      <c r="BL1696" s="99"/>
      <c r="BM1696" s="99"/>
      <c r="BN1696" s="99"/>
    </row>
    <row r="1697" spans="1:66" s="51" customFormat="1" ht="18" x14ac:dyDescent="0.25">
      <c r="A1697" s="623" t="s">
        <v>2604</v>
      </c>
      <c r="B1697" s="624"/>
      <c r="C1697" s="709"/>
      <c r="D1697" s="625" t="s">
        <v>5664</v>
      </c>
      <c r="E1697" s="626"/>
      <c r="F1697" s="626"/>
      <c r="G1697" s="626"/>
      <c r="H1697" s="622" t="s">
        <v>2605</v>
      </c>
      <c r="I1697" s="627" t="s">
        <v>432</v>
      </c>
      <c r="J1697" s="628"/>
      <c r="K1697" s="628"/>
      <c r="L1697" s="629"/>
      <c r="M1697" s="700" t="s">
        <v>5241</v>
      </c>
      <c r="N1697" s="693" t="str">
        <f>IF(AND(ISTEXT($A1697), ISERROR($A1697+0)), HYPERLINK($BF1697, "Images"), "")</f>
        <v>Images</v>
      </c>
      <c r="O1697" s="695" t="s">
        <v>5247</v>
      </c>
      <c r="P1697" s="630"/>
      <c r="Q1697" s="631"/>
      <c r="R1697" s="632"/>
      <c r="S1697" s="633"/>
      <c r="T1697" s="102">
        <f t="shared" si="1218"/>
        <v>0</v>
      </c>
      <c r="U1697" s="78" t="str">
        <f>IF(NOT(ISNUMBER(G1697)), "", VLOOKUP(A1697,'Discount Lookup'!D:E,2,FALSE)*G1697)</f>
        <v/>
      </c>
      <c r="V1697" s="78" t="str">
        <f>IF(NOT(ISNUMBER(G1697)), "", VLOOKUP(A1697,'Discount Lookup'!G:H,2,FALSE)*G1697)</f>
        <v/>
      </c>
      <c r="W1697" s="102">
        <f t="shared" si="1219"/>
        <v>0</v>
      </c>
      <c r="X1697" s="102" t="str">
        <f t="shared" si="1220"/>
        <v>Green foliage</v>
      </c>
      <c r="Y1697" s="120" t="b">
        <f t="shared" si="1221"/>
        <v>0</v>
      </c>
      <c r="Z1697" s="117">
        <f t="shared" si="1222"/>
        <v>0</v>
      </c>
      <c r="AA1697" s="118"/>
      <c r="AB1697" s="118" t="str">
        <f t="shared" si="1223"/>
        <v/>
      </c>
      <c r="AC1697" s="712" t="str">
        <f>IF(AE1697="T2G","no charge",IF(AND(OR(PlanterYesMe="No",PlanterYesMe="N",PlanterYesMe="me"),H1697=""),"",IF(H1697="credit","NO install",IF(AND(K1697="",AE1697="me"),"EACH row",IF(AND(K1697="images",AE1697="me"),"EACH row",IF(D1697="","",IF(H1697="credit","",IF(AE1697="free","re-planting",IF(AE1697="me","   not ELP, by",IF(AND(OR(PlanterYesMe="Yes",PlanterYesMe="Y"),G1697&gt;0),(VLOOKUP(A1697,'Discount Lookup'!J:K,2)*G1697*(1-PlanterDiscount)*(1+PlanterDifficultyPercentage)),IF(AE1697="ELP",(VLOOKUP(A1697,'Discount Lookup'!J:K,2)*G1697*(1-PlanterDiscount)*(1+PlanterDifficultyPercentage)),IF(AE1697="free","re-planting",IF(G1697=0,"",IF(PlanterYesMe="",IF(AE1697="me","   not ELP, by",IF(AE1697="",IF(G1697&gt;0,(VLOOKUP(A1697,'Discount Lookup'!J:K,2)*G1697*(1-PlanterDiscount)*(1+PlanterDifficultyPercentage)),""),"")),"   not ELP, by"))))))))))))))</f>
        <v/>
      </c>
      <c r="AD1697" s="712"/>
      <c r="AE1697" s="513" t="str">
        <f t="shared" si="1224"/>
        <v/>
      </c>
      <c r="AF1697" s="713" t="str">
        <f t="shared" si="1225"/>
        <v/>
      </c>
      <c r="AG1697" s="713"/>
      <c r="AH1697" s="713"/>
      <c r="AI1697" s="112">
        <f>IF(H1697="credit",0,IF(AE1697="free",0,IF(AE1697="me",0,IF(G1697&gt;0,(VLOOKUP(A1697,'Discount Lookup'!J:K,2)*G1697),0))))</f>
        <v>0</v>
      </c>
      <c r="AJ1697" s="107" t="str">
        <f t="shared" ca="1" si="1226"/>
        <v/>
      </c>
      <c r="AK1697" s="714" t="str">
        <f t="shared" si="1227"/>
        <v/>
      </c>
      <c r="AL1697" s="714"/>
      <c r="AM1697" s="114" t="str">
        <f t="shared" si="1228"/>
        <v/>
      </c>
      <c r="AN1697" s="115"/>
      <c r="AO1697" s="116"/>
      <c r="AP1697" s="116"/>
      <c r="AQ1697" s="116"/>
      <c r="AR1697" s="116"/>
      <c r="AS1697" s="116"/>
      <c r="AT1697" s="116"/>
      <c r="AU1697" s="116"/>
      <c r="AV1697" s="78"/>
      <c r="AW1697" s="102"/>
      <c r="AX1697" s="78"/>
      <c r="AY1697" s="78"/>
      <c r="AZ1697" s="78"/>
      <c r="BA1697" s="78"/>
      <c r="BB1697" s="78"/>
      <c r="BC1697" s="78"/>
      <c r="BD1697" s="78"/>
      <c r="BE1697" s="465"/>
      <c r="BF1697" s="165" t="str">
        <f t="shared" si="1229"/>
        <v>https://www.google.com/search?tbm=isch&amp;q=Ginkgo%20biloba%20%27Princeton%20Sentry%27%20PP%232720Exp.%20Princeton%20Sentry%C2%AE%20Ginkgo</v>
      </c>
      <c r="BG1697" s="165" t="str">
        <f t="shared" si="1230"/>
        <v>G</v>
      </c>
      <c r="BH1697" s="65"/>
      <c r="BI1697" s="65"/>
      <c r="BJ1697" s="65"/>
      <c r="BK1697" s="65"/>
      <c r="BL1697" s="99"/>
      <c r="BM1697" s="99"/>
      <c r="BN1697" s="99"/>
    </row>
    <row r="1698" spans="1:66" s="51" customFormat="1" ht="15.75" x14ac:dyDescent="0.25">
      <c r="A1698" s="634">
        <v>7</v>
      </c>
      <c r="B1698" s="635" t="s">
        <v>291</v>
      </c>
      <c r="C1698" s="636" t="s">
        <v>2606</v>
      </c>
      <c r="D1698" s="637" t="s">
        <v>329</v>
      </c>
      <c r="E1698" s="638">
        <v>133.94999999999999</v>
      </c>
      <c r="F1698" s="639" t="s">
        <v>292</v>
      </c>
      <c r="G1698" s="484">
        <v>0</v>
      </c>
      <c r="H1698" s="691" t="str">
        <f>IF(G1698=0,"",IF(F1698="Buy",IF(G1698=1,"plant","plants"),IF(F1698&gt;0.01,"warranty","Error")))</f>
        <v/>
      </c>
      <c r="I1698" s="640">
        <f>IF(H1698="free",0,IF(H1698="credit",((E1698*(F1698))*G1698*-1),IF(F1698="Buy",(E1698*G1698),((E1698*(1-F1698))*G1698))))</f>
        <v>0</v>
      </c>
      <c r="J1698" s="640">
        <f>IF(H1698="warranty",0,(I1698*(_xlfn.SINGLE(SalesTaxPercentage))))</f>
        <v>0</v>
      </c>
      <c r="K1698" s="716">
        <f t="shared" ref="K1698" si="1236">I1698+J1698</f>
        <v>0</v>
      </c>
      <c r="L1698" s="716"/>
      <c r="M1698" s="689" t="str">
        <f ca="1">IF(AND(G1698&gt;0,E1698=0),"WARNING - no PRICE inserted",IF(H1698="free","FREE ~ no charge this plant",IF(H1698="credit",CONCATENATE("-$",ROUND(K1698*(1-_xlfn.SINGLE(T2GDiscount))*-1,2)," CREDIT after discount"),IF(_xlfn.SINGLE(T2GDiscount)=0,"",IF(G1698=0,"",IF(F1698="Buy",CONCATENATE("$",ROUND(K1698*(1-_xlfn.SINGLE(T2GDiscount)),2)," with ",(_xlfn.SINGLE(T2GDiscount)*100),"% discount"),CONCATENATE("$",ROUND(K1698*(1-_xlfn.SINGLE(T2GDiscount)),2)," with ",((_xlfn.SINGLE(T2GDiscount)*100+F1698*100)-(_xlfn.SINGLE(T2GDiscount)*100*F1698)),IF(F1698&gt;0,"% discounts",IF(_xlfn.SINGLE(NoWarrantyDiscount)&gt;0,"% discounts","% discount")))))))))</f>
        <v/>
      </c>
      <c r="N1698" s="690"/>
      <c r="O1698" s="486"/>
      <c r="P1698" s="486"/>
      <c r="Q1698" s="486"/>
      <c r="R1698" s="486"/>
      <c r="S1698" s="486"/>
      <c r="T1698" s="102">
        <f t="shared" si="1218"/>
        <v>0</v>
      </c>
      <c r="U1698" s="78">
        <f>IF(NOT(ISNUMBER(G1698)), "", VLOOKUP(A1698,'Discount Lookup'!D:E,2,FALSE)*G1698)</f>
        <v>0</v>
      </c>
      <c r="V1698" s="78">
        <f>IF(NOT(ISNUMBER(G1698)), "", VLOOKUP(A1698,'Discount Lookup'!G:H,2,FALSE)*G1698)</f>
        <v>0</v>
      </c>
      <c r="W1698" s="102">
        <f t="shared" si="1219"/>
        <v>0</v>
      </c>
      <c r="X1698" s="102">
        <f t="shared" si="1220"/>
        <v>0</v>
      </c>
      <c r="Y1698" s="120" t="b">
        <f t="shared" si="1221"/>
        <v>0</v>
      </c>
      <c r="Z1698" s="117">
        <f t="shared" si="1222"/>
        <v>0</v>
      </c>
      <c r="AA1698" s="118"/>
      <c r="AB1698" s="118" t="str">
        <f t="shared" si="1223"/>
        <v/>
      </c>
      <c r="AC1698" s="712" t="str">
        <f>IF(AE1698="T2G","no charge",IF(AND(OR(PlanterYesMe="No",PlanterYesMe="N",PlanterYesMe="me"),H1698=""),"",IF(H1698="credit","NO install",IF(AND(K1698="",AE1698="me"),"EACH row",IF(AND(K1698="images",AE1698="me"),"EACH row",IF(D1698="","",IF(H1698="credit","",IF(AE1698="free","re-planting",IF(AE1698="me","   not ELP, by",IF(AND(OR(PlanterYesMe="Yes",PlanterYesMe="Y"),G1698&gt;0),(VLOOKUP(A1698,'Discount Lookup'!J:K,2)*G1698*(1-PlanterDiscount)*(1+PlanterDifficultyPercentage)),IF(AE1698="ELP",(VLOOKUP(A1698,'Discount Lookup'!J:K,2)*G1698*(1-PlanterDiscount)*(1+PlanterDifficultyPercentage)),IF(AE1698="free","re-planting",IF(G1698=0,"",IF(PlanterYesMe="",IF(AE1698="me","   not ELP, by",IF(AE1698="",IF(G1698&gt;0,(VLOOKUP(A1698,'Discount Lookup'!J:K,2)*G1698*(1-PlanterDiscount)*(1+PlanterDifficultyPercentage)),""),"")),"   not ELP, by"))))))))))))))</f>
        <v/>
      </c>
      <c r="AD1698" s="712"/>
      <c r="AE1698" s="513" t="str">
        <f t="shared" si="1224"/>
        <v/>
      </c>
      <c r="AF1698" s="713" t="str">
        <f t="shared" si="1225"/>
        <v/>
      </c>
      <c r="AG1698" s="713"/>
      <c r="AH1698" s="713"/>
      <c r="AI1698" s="112">
        <f>IF(H1698="credit",0,IF(AE1698="free",0,IF(AE1698="me",0,IF(G1698&gt;0,(VLOOKUP(A1698,'Discount Lookup'!J:K,2)*G1698),0))))</f>
        <v>0</v>
      </c>
      <c r="AJ1698" s="107" t="str">
        <f t="shared" ca="1" si="1226"/>
        <v/>
      </c>
      <c r="AK1698" s="714" t="str">
        <f t="shared" si="1227"/>
        <v/>
      </c>
      <c r="AL1698" s="714"/>
      <c r="AM1698" s="114" t="str">
        <f t="shared" si="1228"/>
        <v/>
      </c>
      <c r="AN1698" s="115"/>
      <c r="AO1698" s="116"/>
      <c r="AP1698" s="116"/>
      <c r="AQ1698" s="116"/>
      <c r="AR1698" s="116"/>
      <c r="AS1698" s="116"/>
      <c r="AT1698" s="116"/>
      <c r="AU1698" s="116"/>
      <c r="AV1698" s="78"/>
      <c r="AW1698" s="102"/>
      <c r="AX1698" s="78"/>
      <c r="AY1698" s="78"/>
      <c r="AZ1698" s="78"/>
      <c r="BA1698" s="78"/>
      <c r="BB1698" s="78"/>
      <c r="BC1698" s="78"/>
      <c r="BD1698" s="78"/>
      <c r="BE1698" s="465"/>
      <c r="BF1698" s="165" t="str">
        <f t="shared" si="1229"/>
        <v>https://www.google.com/search?tbm=isch&amp;q=7%20G2</v>
      </c>
      <c r="BG1698" s="165" t="str">
        <f t="shared" si="1230"/>
        <v>G</v>
      </c>
      <c r="BH1698" s="65"/>
      <c r="BI1698" s="65"/>
      <c r="BJ1698" s="65"/>
      <c r="BK1698" s="65"/>
      <c r="BL1698" s="99"/>
      <c r="BM1698" s="99"/>
      <c r="BN1698" s="99"/>
    </row>
    <row r="1699" spans="1:66" s="51" customFormat="1" ht="27" x14ac:dyDescent="0.25">
      <c r="A1699" s="634">
        <v>7</v>
      </c>
      <c r="B1699" s="635" t="s">
        <v>291</v>
      </c>
      <c r="C1699" s="636" t="s">
        <v>2607</v>
      </c>
      <c r="D1699" s="637" t="s">
        <v>299</v>
      </c>
      <c r="E1699" s="638">
        <v>155.94999999999999</v>
      </c>
      <c r="F1699" s="639" t="s">
        <v>292</v>
      </c>
      <c r="G1699" s="484">
        <v>0</v>
      </c>
      <c r="H1699" s="691" t="str">
        <f>IF(G1699=0,"",IF(F1699="Buy",IF(G1699=1,"plant","plants"),IF(F1699&gt;0.01,"warranty","Error")))</f>
        <v/>
      </c>
      <c r="I1699" s="640">
        <f>IF(H1699="free",0,IF(H1699="credit",((E1699*(F1699))*G1699*-1),IF(F1699="Buy",(E1699*G1699),((E1699*(1-F1699))*G1699))))</f>
        <v>0</v>
      </c>
      <c r="J1699" s="640">
        <f>IF(H1699="warranty",0,(I1699*(_xlfn.SINGLE(SalesTaxPercentage))))</f>
        <v>0</v>
      </c>
      <c r="K1699" s="716">
        <f t="shared" ref="K1699" si="1237">I1699+J1699</f>
        <v>0</v>
      </c>
      <c r="L1699" s="716"/>
      <c r="M1699" s="689" t="str">
        <f ca="1">IF(AND(G1699&gt;0,E1699=0),"WARNING - no PRICE inserted",IF(H1699="free","FREE ~ no charge this plant",IF(H1699="credit",CONCATENATE("-$",ROUND(K1699*(1-_xlfn.SINGLE(T2GDiscount))*-1,2)," CREDIT after discount"),IF(_xlfn.SINGLE(T2GDiscount)=0,"",IF(G1699=0,"",IF(F1699="Buy",CONCATENATE("$",ROUND(K1699*(1-_xlfn.SINGLE(T2GDiscount)),2)," with ",(_xlfn.SINGLE(T2GDiscount)*100),"% discount"),CONCATENATE("$",ROUND(K1699*(1-_xlfn.SINGLE(T2GDiscount)),2)," with ",((_xlfn.SINGLE(T2GDiscount)*100+F1699*100)-(_xlfn.SINGLE(T2GDiscount)*100*F1699)),IF(F1699&gt;0,"% discounts",IF(_xlfn.SINGLE(NoWarrantyDiscount)&gt;0,"% discounts","% discount")))))))))</f>
        <v/>
      </c>
      <c r="N1699" s="690"/>
      <c r="O1699" s="486"/>
      <c r="P1699" s="486"/>
      <c r="Q1699" s="486"/>
      <c r="R1699" s="486"/>
      <c r="S1699" s="486"/>
      <c r="T1699" s="102">
        <f t="shared" si="1218"/>
        <v>0</v>
      </c>
      <c r="U1699" s="78">
        <f>IF(NOT(ISNUMBER(G1699)), "", VLOOKUP(A1699,'Discount Lookup'!D:E,2,FALSE)*G1699)</f>
        <v>0</v>
      </c>
      <c r="V1699" s="78">
        <f>IF(NOT(ISNUMBER(G1699)), "", VLOOKUP(A1699,'Discount Lookup'!G:H,2,FALSE)*G1699)</f>
        <v>0</v>
      </c>
      <c r="W1699" s="102">
        <f t="shared" si="1219"/>
        <v>0</v>
      </c>
      <c r="X1699" s="102">
        <f t="shared" si="1220"/>
        <v>0</v>
      </c>
      <c r="Y1699" s="120" t="b">
        <f t="shared" si="1221"/>
        <v>0</v>
      </c>
      <c r="Z1699" s="117">
        <f t="shared" si="1222"/>
        <v>0</v>
      </c>
      <c r="AA1699" s="118"/>
      <c r="AB1699" s="118" t="str">
        <f t="shared" si="1223"/>
        <v/>
      </c>
      <c r="AC1699" s="712" t="str">
        <f>IF(AE1699="T2G","no charge",IF(AND(OR(PlanterYesMe="No",PlanterYesMe="N",PlanterYesMe="me"),H1699=""),"",IF(H1699="credit","NO install",IF(AND(K1699="",AE1699="me"),"EACH row",IF(AND(K1699="images",AE1699="me"),"EACH row",IF(D1699="","",IF(H1699="credit","",IF(AE1699="free","re-planting",IF(AE1699="me","   not ELP, by",IF(AND(OR(PlanterYesMe="Yes",PlanterYesMe="Y"),G1699&gt;0),(VLOOKUP(A1699,'Discount Lookup'!J:K,2)*G1699*(1-PlanterDiscount)*(1+PlanterDifficultyPercentage)),IF(AE1699="ELP",(VLOOKUP(A1699,'Discount Lookup'!J:K,2)*G1699*(1-PlanterDiscount)*(1+PlanterDifficultyPercentage)),IF(AE1699="free","re-planting",IF(G1699=0,"",IF(PlanterYesMe="",IF(AE1699="me","   not ELP, by",IF(AE1699="",IF(G1699&gt;0,(VLOOKUP(A1699,'Discount Lookup'!J:K,2)*G1699*(1-PlanterDiscount)*(1+PlanterDifficultyPercentage)),""),"")),"   not ELP, by"))))))))))))))</f>
        <v/>
      </c>
      <c r="AD1699" s="712"/>
      <c r="AE1699" s="513" t="str">
        <f t="shared" si="1224"/>
        <v/>
      </c>
      <c r="AF1699" s="713" t="str">
        <f t="shared" si="1225"/>
        <v/>
      </c>
      <c r="AG1699" s="713"/>
      <c r="AH1699" s="713"/>
      <c r="AI1699" s="112">
        <f>IF(H1699="credit",0,IF(AE1699="free",0,IF(AE1699="me",0,IF(G1699&gt;0,(VLOOKUP(A1699,'Discount Lookup'!J:K,2)*G1699),0))))</f>
        <v>0</v>
      </c>
      <c r="AJ1699" s="107" t="str">
        <f t="shared" ca="1" si="1226"/>
        <v/>
      </c>
      <c r="AK1699" s="714" t="str">
        <f t="shared" si="1227"/>
        <v/>
      </c>
      <c r="AL1699" s="714"/>
      <c r="AM1699" s="114" t="str">
        <f t="shared" si="1228"/>
        <v/>
      </c>
      <c r="AN1699" s="115"/>
      <c r="AO1699" s="116"/>
      <c r="AP1699" s="116"/>
      <c r="AQ1699" s="116"/>
      <c r="AR1699" s="116"/>
      <c r="AS1699" s="116"/>
      <c r="AT1699" s="116"/>
      <c r="AU1699" s="116"/>
      <c r="AV1699" s="78"/>
      <c r="AW1699" s="102"/>
      <c r="AX1699" s="78"/>
      <c r="AY1699" s="78"/>
      <c r="AZ1699" s="78"/>
      <c r="BA1699" s="78"/>
      <c r="BB1699" s="78"/>
      <c r="BC1699" s="78"/>
      <c r="BD1699" s="78"/>
      <c r="BE1699" s="465"/>
      <c r="BF1699" s="165" t="str">
        <f t="shared" si="1229"/>
        <v>https://www.google.com/search?tbm=isch&amp;q=7%20G4</v>
      </c>
      <c r="BG1699" s="165" t="str">
        <f t="shared" si="1230"/>
        <v>G</v>
      </c>
      <c r="BH1699" s="65"/>
      <c r="BI1699" s="65"/>
      <c r="BJ1699" s="65"/>
      <c r="BK1699" s="65"/>
      <c r="BL1699" s="99"/>
      <c r="BM1699" s="99"/>
      <c r="BN1699" s="99"/>
    </row>
    <row r="1700" spans="1:66" s="51" customFormat="1" ht="15.75" x14ac:dyDescent="0.25">
      <c r="A1700" s="634">
        <v>15</v>
      </c>
      <c r="B1700" s="635" t="s">
        <v>291</v>
      </c>
      <c r="C1700" s="636" t="s">
        <v>2608</v>
      </c>
      <c r="D1700" s="637" t="s">
        <v>299</v>
      </c>
      <c r="E1700" s="638">
        <v>270.95</v>
      </c>
      <c r="F1700" s="639" t="s">
        <v>292</v>
      </c>
      <c r="G1700" s="484">
        <v>0</v>
      </c>
      <c r="H1700" s="691" t="str">
        <f>IF(G1700=0,"",IF(F1700="Buy",IF(G1700=1,"plant","plants"),IF(F1700&gt;0.01,"warranty","Error")))</f>
        <v/>
      </c>
      <c r="I1700" s="640">
        <f>IF(H1700="free",0,IF(H1700="credit",((E1700*(F1700))*G1700*-1),IF(F1700="Buy",(E1700*G1700),((E1700*(1-F1700))*G1700))))</f>
        <v>0</v>
      </c>
      <c r="J1700" s="640">
        <f>IF(H1700="warranty",0,(I1700*(_xlfn.SINGLE(SalesTaxPercentage))))</f>
        <v>0</v>
      </c>
      <c r="K1700" s="716">
        <f t="shared" ref="K1700" si="1238">I1700+J1700</f>
        <v>0</v>
      </c>
      <c r="L1700" s="716"/>
      <c r="M1700" s="689" t="str">
        <f ca="1">IF(AND(G1700&gt;0,E1700=0),"WARNING - no PRICE inserted",IF(H1700="free","FREE ~ no charge this plant",IF(H1700="credit",CONCATENATE("-$",ROUND(K1700*(1-_xlfn.SINGLE(T2GDiscount))*-1,2)," CREDIT after discount"),IF(_xlfn.SINGLE(T2GDiscount)=0,"",IF(G1700=0,"",IF(F1700="Buy",CONCATENATE("$",ROUND(K1700*(1-_xlfn.SINGLE(T2GDiscount)),2)," with ",(_xlfn.SINGLE(T2GDiscount)*100),"% discount"),CONCATENATE("$",ROUND(K1700*(1-_xlfn.SINGLE(T2GDiscount)),2)," with ",((_xlfn.SINGLE(T2GDiscount)*100+F1700*100)-(_xlfn.SINGLE(T2GDiscount)*100*F1700)),IF(F1700&gt;0,"% discounts",IF(_xlfn.SINGLE(NoWarrantyDiscount)&gt;0,"% discounts","% discount")))))))))</f>
        <v/>
      </c>
      <c r="N1700" s="690"/>
      <c r="O1700" s="486"/>
      <c r="P1700" s="486"/>
      <c r="Q1700" s="486"/>
      <c r="R1700" s="486"/>
      <c r="S1700" s="486"/>
      <c r="T1700" s="102">
        <f t="shared" si="1218"/>
        <v>0</v>
      </c>
      <c r="U1700" s="78">
        <f>IF(NOT(ISNUMBER(G1700)), "", VLOOKUP(A1700,'Discount Lookup'!D:E,2,FALSE)*G1700)</f>
        <v>0</v>
      </c>
      <c r="V1700" s="78">
        <f>IF(NOT(ISNUMBER(G1700)), "", VLOOKUP(A1700,'Discount Lookup'!G:H,2,FALSE)*G1700)</f>
        <v>0</v>
      </c>
      <c r="W1700" s="102">
        <f t="shared" si="1219"/>
        <v>0</v>
      </c>
      <c r="X1700" s="102">
        <f t="shared" si="1220"/>
        <v>0</v>
      </c>
      <c r="Y1700" s="120" t="b">
        <f t="shared" si="1221"/>
        <v>0</v>
      </c>
      <c r="Z1700" s="117">
        <f t="shared" si="1222"/>
        <v>0</v>
      </c>
      <c r="AA1700" s="118"/>
      <c r="AB1700" s="118" t="str">
        <f t="shared" si="1223"/>
        <v/>
      </c>
      <c r="AC1700" s="712" t="str">
        <f>IF(AE1700="T2G","no charge",IF(AND(OR(PlanterYesMe="No",PlanterYesMe="N",PlanterYesMe="me"),H1700=""),"",IF(H1700="credit","NO install",IF(AND(K1700="",AE1700="me"),"EACH row",IF(AND(K1700="images",AE1700="me"),"EACH row",IF(D1700="","",IF(H1700="credit","",IF(AE1700="free","re-planting",IF(AE1700="me","   not ELP, by",IF(AND(OR(PlanterYesMe="Yes",PlanterYesMe="Y"),G1700&gt;0),(VLOOKUP(A1700,'Discount Lookup'!J:K,2)*G1700*(1-PlanterDiscount)*(1+PlanterDifficultyPercentage)),IF(AE1700="ELP",(VLOOKUP(A1700,'Discount Lookup'!J:K,2)*G1700*(1-PlanterDiscount)*(1+PlanterDifficultyPercentage)),IF(AE1700="free","re-planting",IF(G1700=0,"",IF(PlanterYesMe="",IF(AE1700="me","   not ELP, by",IF(AE1700="",IF(G1700&gt;0,(VLOOKUP(A1700,'Discount Lookup'!J:K,2)*G1700*(1-PlanterDiscount)*(1+PlanterDifficultyPercentage)),""),"")),"   not ELP, by"))))))))))))))</f>
        <v/>
      </c>
      <c r="AD1700" s="712"/>
      <c r="AE1700" s="513" t="str">
        <f t="shared" si="1224"/>
        <v/>
      </c>
      <c r="AF1700" s="713" t="str">
        <f t="shared" si="1225"/>
        <v/>
      </c>
      <c r="AG1700" s="713"/>
      <c r="AH1700" s="713"/>
      <c r="AI1700" s="112">
        <f>IF(H1700="credit",0,IF(AE1700="free",0,IF(AE1700="me",0,IF(G1700&gt;0,(VLOOKUP(A1700,'Discount Lookup'!J:K,2)*G1700),0))))</f>
        <v>0</v>
      </c>
      <c r="AJ1700" s="107" t="str">
        <f t="shared" ca="1" si="1226"/>
        <v/>
      </c>
      <c r="AK1700" s="714" t="str">
        <f t="shared" si="1227"/>
        <v/>
      </c>
      <c r="AL1700" s="714"/>
      <c r="AM1700" s="114" t="str">
        <f t="shared" si="1228"/>
        <v/>
      </c>
      <c r="AN1700" s="115"/>
      <c r="AO1700" s="116"/>
      <c r="AP1700" s="116"/>
      <c r="AQ1700" s="116"/>
      <c r="AR1700" s="116"/>
      <c r="AS1700" s="116"/>
      <c r="AT1700" s="116"/>
      <c r="AU1700" s="116"/>
      <c r="AV1700" s="78"/>
      <c r="AW1700" s="102"/>
      <c r="AX1700" s="78"/>
      <c r="AY1700" s="78"/>
      <c r="AZ1700" s="78"/>
      <c r="BA1700" s="78"/>
      <c r="BB1700" s="78"/>
      <c r="BC1700" s="78"/>
      <c r="BD1700" s="78"/>
      <c r="BE1700" s="465"/>
      <c r="BF1700" s="165" t="str">
        <f t="shared" si="1229"/>
        <v>https://www.google.com/search?tbm=isch&amp;q=15%20G4</v>
      </c>
      <c r="BG1700" s="165" t="str">
        <f t="shared" si="1230"/>
        <v>G</v>
      </c>
      <c r="BH1700" s="65"/>
      <c r="BI1700" s="65"/>
      <c r="BJ1700" s="65"/>
      <c r="BK1700" s="65"/>
      <c r="BL1700" s="99"/>
      <c r="BM1700" s="99"/>
      <c r="BN1700" s="99"/>
    </row>
    <row r="1701" spans="1:66" s="51" customFormat="1" ht="27" x14ac:dyDescent="0.25">
      <c r="A1701" s="634">
        <v>25</v>
      </c>
      <c r="B1701" s="635" t="s">
        <v>291</v>
      </c>
      <c r="C1701" s="636" t="s">
        <v>4971</v>
      </c>
      <c r="D1701" s="637" t="s">
        <v>293</v>
      </c>
      <c r="E1701" s="638">
        <v>489.95</v>
      </c>
      <c r="F1701" s="639" t="s">
        <v>292</v>
      </c>
      <c r="G1701" s="484">
        <v>0</v>
      </c>
      <c r="H1701" s="691" t="str">
        <f>IF(G1701=0,"",IF(F1701="Buy",IF(G1701=1,"plant","plants"),IF(F1701&gt;0.01,"warranty","Error")))</f>
        <v/>
      </c>
      <c r="I1701" s="640">
        <f>IF(H1701="free",0,IF(H1701="credit",((E1701*(F1701))*G1701*-1),IF(F1701="Buy",(E1701*G1701),((E1701*(1-F1701))*G1701))))</f>
        <v>0</v>
      </c>
      <c r="J1701" s="640">
        <f>IF(H1701="warranty",0,(I1701*(_xlfn.SINGLE(SalesTaxPercentage))))</f>
        <v>0</v>
      </c>
      <c r="K1701" s="716">
        <f t="shared" ref="K1701" si="1239">I1701+J1701</f>
        <v>0</v>
      </c>
      <c r="L1701" s="716"/>
      <c r="M1701" s="689" t="str">
        <f ca="1">IF(AND(G1701&gt;0,E1701=0),"WARNING - no PRICE inserted",IF(H1701="free","FREE ~ no charge this plant",IF(H1701="credit",CONCATENATE("-$",ROUND(K1701*(1-_xlfn.SINGLE(T2GDiscount))*-1,2)," CREDIT after discount"),IF(_xlfn.SINGLE(T2GDiscount)=0,"",IF(G1701=0,"",IF(F1701="Buy",CONCATENATE("$",ROUND(K1701*(1-_xlfn.SINGLE(T2GDiscount)),2)," with ",(_xlfn.SINGLE(T2GDiscount)*100),"% discount"),CONCATENATE("$",ROUND(K1701*(1-_xlfn.SINGLE(T2GDiscount)),2)," with ",((_xlfn.SINGLE(T2GDiscount)*100+F1701*100)-(_xlfn.SINGLE(T2GDiscount)*100*F1701)),IF(F1701&gt;0,"% discounts",IF(_xlfn.SINGLE(NoWarrantyDiscount)&gt;0,"% discounts","% discount")))))))))</f>
        <v/>
      </c>
      <c r="N1701" s="690"/>
      <c r="O1701" s="486"/>
      <c r="P1701" s="486"/>
      <c r="Q1701" s="486"/>
      <c r="R1701" s="486"/>
      <c r="S1701" s="486"/>
      <c r="T1701" s="102">
        <f t="shared" si="1218"/>
        <v>0</v>
      </c>
      <c r="U1701" s="78">
        <f>IF(NOT(ISNUMBER(G1701)), "", VLOOKUP(A1701,'Discount Lookup'!D:E,2,FALSE)*G1701)</f>
        <v>0</v>
      </c>
      <c r="V1701" s="78">
        <f>IF(NOT(ISNUMBER(G1701)), "", VLOOKUP(A1701,'Discount Lookup'!G:H,2,FALSE)*G1701)</f>
        <v>0</v>
      </c>
      <c r="W1701" s="102">
        <f t="shared" si="1219"/>
        <v>0</v>
      </c>
      <c r="X1701" s="102">
        <f t="shared" si="1220"/>
        <v>0</v>
      </c>
      <c r="Y1701" s="120" t="b">
        <f t="shared" si="1221"/>
        <v>0</v>
      </c>
      <c r="Z1701" s="117">
        <f t="shared" si="1222"/>
        <v>0</v>
      </c>
      <c r="AA1701" s="118"/>
      <c r="AB1701" s="118" t="str">
        <f t="shared" si="1223"/>
        <v/>
      </c>
      <c r="AC1701" s="712" t="str">
        <f>IF(AE1701="T2G","no charge",IF(AND(OR(PlanterYesMe="No",PlanterYesMe="N",PlanterYesMe="me"),H1701=""),"",IF(H1701="credit","NO install",IF(AND(K1701="",AE1701="me"),"EACH row",IF(AND(K1701="images",AE1701="me"),"EACH row",IF(D1701="","",IF(H1701="credit","",IF(AE1701="free","re-planting",IF(AE1701="me","   not ELP, by",IF(AND(OR(PlanterYesMe="Yes",PlanterYesMe="Y"),G1701&gt;0),(VLOOKUP(A1701,'Discount Lookup'!J:K,2)*G1701*(1-PlanterDiscount)*(1+PlanterDifficultyPercentage)),IF(AE1701="ELP",(VLOOKUP(A1701,'Discount Lookup'!J:K,2)*G1701*(1-PlanterDiscount)*(1+PlanterDifficultyPercentage)),IF(AE1701="free","re-planting",IF(G1701=0,"",IF(PlanterYesMe="",IF(AE1701="me","   not ELP, by",IF(AE1701="",IF(G1701&gt;0,(VLOOKUP(A1701,'Discount Lookup'!J:K,2)*G1701*(1-PlanterDiscount)*(1+PlanterDifficultyPercentage)),""),"")),"   not ELP, by"))))))))))))))</f>
        <v/>
      </c>
      <c r="AD1701" s="712"/>
      <c r="AE1701" s="513" t="str">
        <f t="shared" si="1224"/>
        <v/>
      </c>
      <c r="AF1701" s="713" t="str">
        <f t="shared" si="1225"/>
        <v/>
      </c>
      <c r="AG1701" s="713"/>
      <c r="AH1701" s="713"/>
      <c r="AI1701" s="112">
        <f>IF(H1701="credit",0,IF(AE1701="free",0,IF(AE1701="me",0,IF(G1701&gt;0,(VLOOKUP(A1701,'Discount Lookup'!J:K,2)*G1701),0))))</f>
        <v>0</v>
      </c>
      <c r="AJ1701" s="107" t="str">
        <f t="shared" ca="1" si="1226"/>
        <v/>
      </c>
      <c r="AK1701" s="714" t="str">
        <f t="shared" si="1227"/>
        <v/>
      </c>
      <c r="AL1701" s="714"/>
      <c r="AM1701" s="114" t="str">
        <f t="shared" si="1228"/>
        <v/>
      </c>
      <c r="AN1701" s="115"/>
      <c r="AO1701" s="116"/>
      <c r="AP1701" s="116"/>
      <c r="AQ1701" s="116"/>
      <c r="AR1701" s="116"/>
      <c r="AS1701" s="116"/>
      <c r="AT1701" s="116"/>
      <c r="AU1701" s="116"/>
      <c r="AV1701" s="78"/>
      <c r="AW1701" s="102"/>
      <c r="AX1701" s="78"/>
      <c r="AY1701" s="78"/>
      <c r="AZ1701" s="78"/>
      <c r="BA1701" s="78"/>
      <c r="BB1701" s="78"/>
      <c r="BC1701" s="78"/>
      <c r="BD1701" s="78"/>
      <c r="BE1701" s="465"/>
      <c r="BF1701" s="165" t="str">
        <f t="shared" si="1229"/>
        <v>https://www.google.com/search?tbm=isch&amp;q=25%20G6</v>
      </c>
      <c r="BG1701" s="165" t="str">
        <f t="shared" si="1230"/>
        <v>G</v>
      </c>
      <c r="BH1701" s="65"/>
      <c r="BI1701" s="65"/>
      <c r="BJ1701" s="65"/>
      <c r="BK1701" s="65"/>
      <c r="BL1701" s="99"/>
      <c r="BM1701" s="99"/>
      <c r="BN1701" s="99"/>
    </row>
    <row r="1702" spans="1:66" s="51" customFormat="1" ht="17.25" thickBot="1" x14ac:dyDescent="0.3">
      <c r="A1702" s="641" t="s">
        <v>2609</v>
      </c>
      <c r="B1702" s="642"/>
      <c r="C1702" s="710"/>
      <c r="D1702" s="643"/>
      <c r="E1702" s="643"/>
      <c r="F1702" s="644"/>
      <c r="G1702" s="645"/>
      <c r="H1702" s="646"/>
      <c r="I1702" s="647"/>
      <c r="J1702" s="648"/>
      <c r="K1702" s="649"/>
      <c r="L1702" s="650"/>
      <c r="M1702" s="650"/>
      <c r="N1702" s="644"/>
      <c r="O1702" s="644"/>
      <c r="P1702" s="644"/>
      <c r="Q1702" s="644"/>
      <c r="R1702" s="644"/>
      <c r="S1702" s="651"/>
      <c r="T1702" s="102">
        <f t="shared" si="1218"/>
        <v>0</v>
      </c>
      <c r="U1702" s="78" t="str">
        <f>IF(NOT(ISNUMBER(G1702)), "", VLOOKUP(A1702,'Discount Lookup'!D:E,2,FALSE)*G1702)</f>
        <v/>
      </c>
      <c r="V1702" s="78" t="str">
        <f>IF(NOT(ISNUMBER(G1702)), "", VLOOKUP(A1702,'Discount Lookup'!G:H,2,FALSE)*G1702)</f>
        <v/>
      </c>
      <c r="W1702" s="102">
        <f t="shared" si="1219"/>
        <v>0</v>
      </c>
      <c r="X1702" s="102">
        <f t="shared" si="1220"/>
        <v>0</v>
      </c>
      <c r="Y1702" s="120" t="b">
        <f t="shared" si="1221"/>
        <v>0</v>
      </c>
      <c r="Z1702" s="117">
        <f t="shared" si="1222"/>
        <v>0</v>
      </c>
      <c r="AA1702" s="118"/>
      <c r="AB1702" s="118" t="str">
        <f t="shared" si="1223"/>
        <v/>
      </c>
      <c r="AC1702" s="712" t="str">
        <f>IF(AE1702="T2G","no charge",IF(AND(OR(PlanterYesMe="No",PlanterYesMe="N",PlanterYesMe="me"),H1702=""),"",IF(H1702="credit","NO install",IF(AND(K1702="",AE1702="me"),"EACH row",IF(AND(K1702="images",AE1702="me"),"EACH row",IF(D1702="","",IF(H1702="credit","",IF(AE1702="free","re-planting",IF(AE1702="me","   not ELP, by",IF(AND(OR(PlanterYesMe="Yes",PlanterYesMe="Y"),G1702&gt;0),(VLOOKUP(A1702,'Discount Lookup'!J:K,2)*G1702*(1-PlanterDiscount)*(1+PlanterDifficultyPercentage)),IF(AE1702="ELP",(VLOOKUP(A1702,'Discount Lookup'!J:K,2)*G1702*(1-PlanterDiscount)*(1+PlanterDifficultyPercentage)),IF(AE1702="free","re-planting",IF(G1702=0,"",IF(PlanterYesMe="",IF(AE1702="me","   not ELP, by",IF(AE1702="",IF(G1702&gt;0,(VLOOKUP(A1702,'Discount Lookup'!J:K,2)*G1702*(1-PlanterDiscount)*(1+PlanterDifficultyPercentage)),""),"")),"   not ELP, by"))))))))))))))</f>
        <v/>
      </c>
      <c r="AD1702" s="712"/>
      <c r="AE1702" s="513" t="str">
        <f t="shared" si="1224"/>
        <v/>
      </c>
      <c r="AF1702" s="713" t="str">
        <f t="shared" si="1225"/>
        <v/>
      </c>
      <c r="AG1702" s="713"/>
      <c r="AH1702" s="713"/>
      <c r="AI1702" s="112">
        <f>IF(H1702="credit",0,IF(AE1702="free",0,IF(AE1702="me",0,IF(G1702&gt;0,(VLOOKUP(A1702,'Discount Lookup'!J:K,2)*G1702),0))))</f>
        <v>0</v>
      </c>
      <c r="AJ1702" s="107" t="str">
        <f t="shared" ca="1" si="1226"/>
        <v/>
      </c>
      <c r="AK1702" s="714" t="str">
        <f t="shared" si="1227"/>
        <v/>
      </c>
      <c r="AL1702" s="714"/>
      <c r="AM1702" s="114" t="str">
        <f t="shared" si="1228"/>
        <v/>
      </c>
      <c r="AN1702" s="115"/>
      <c r="AO1702" s="116"/>
      <c r="AP1702" s="116"/>
      <c r="AQ1702" s="116"/>
      <c r="AR1702" s="116"/>
      <c r="AS1702" s="116"/>
      <c r="AT1702" s="116"/>
      <c r="AU1702" s="116"/>
      <c r="AV1702" s="78"/>
      <c r="AW1702" s="102"/>
      <c r="AX1702" s="78"/>
      <c r="AY1702" s="78"/>
      <c r="AZ1702" s="78"/>
      <c r="BA1702" s="78"/>
      <c r="BB1702" s="78"/>
      <c r="BC1702" s="78"/>
      <c r="BD1702" s="78"/>
      <c r="BE1702" s="465"/>
      <c r="BF1702" s="165" t="str">
        <f t="shared" si="1229"/>
        <v>https://www.google.com/search?tbm=isch&amp;q=Princeton%20Sentry%20are%20all%20male%20%28less%20mess%2C%20not%20stiky%29.%20Named%20for%20columnar%20growth.%20Fan-shaped%20leaves%20turn%20vibrant%20Yellow%20in%20fall%20</v>
      </c>
      <c r="BG1702" s="165" t="str">
        <f t="shared" si="1230"/>
        <v>P</v>
      </c>
      <c r="BH1702" s="65"/>
      <c r="BI1702" s="65"/>
      <c r="BJ1702" s="65"/>
      <c r="BK1702" s="65"/>
      <c r="BL1702" s="99"/>
      <c r="BM1702" s="99"/>
      <c r="BN1702" s="99"/>
    </row>
    <row r="1703" spans="1:66" s="51" customFormat="1" ht="18" x14ac:dyDescent="0.25">
      <c r="A1703" s="623" t="s">
        <v>5067</v>
      </c>
      <c r="B1703" s="624"/>
      <c r="C1703" s="709"/>
      <c r="D1703" s="625" t="s">
        <v>5068</v>
      </c>
      <c r="E1703" s="626"/>
      <c r="F1703" s="626"/>
      <c r="G1703" s="626"/>
      <c r="H1703" s="622" t="s">
        <v>1360</v>
      </c>
      <c r="I1703" s="627" t="s">
        <v>432</v>
      </c>
      <c r="J1703" s="628"/>
      <c r="K1703" s="628"/>
      <c r="L1703" s="629"/>
      <c r="M1703" s="700" t="s">
        <v>5241</v>
      </c>
      <c r="N1703" s="693" t="str">
        <f>IF(AND(ISTEXT($A1703), ISERROR($A1703+0)), HYPERLINK($BF1703, "Images"), "")</f>
        <v>Images</v>
      </c>
      <c r="O1703" s="695" t="s">
        <v>5244</v>
      </c>
      <c r="P1703" s="630"/>
      <c r="Q1703" s="631"/>
      <c r="R1703" s="632"/>
      <c r="S1703" s="633"/>
      <c r="T1703" s="102">
        <f t="shared" si="1218"/>
        <v>0</v>
      </c>
      <c r="U1703" s="78" t="str">
        <f>IF(NOT(ISNUMBER(G1703)), "", VLOOKUP(A1703,'Discount Lookup'!D:E,2,FALSE)*G1703)</f>
        <v/>
      </c>
      <c r="V1703" s="78" t="str">
        <f>IF(NOT(ISNUMBER(G1703)), "", VLOOKUP(A1703,'Discount Lookup'!G:H,2,FALSE)*G1703)</f>
        <v/>
      </c>
      <c r="W1703" s="102">
        <f t="shared" si="1219"/>
        <v>0</v>
      </c>
      <c r="X1703" s="102" t="str">
        <f t="shared" si="1220"/>
        <v>Green foliage</v>
      </c>
      <c r="Y1703" s="120" t="b">
        <f t="shared" si="1221"/>
        <v>0</v>
      </c>
      <c r="Z1703" s="117">
        <f t="shared" si="1222"/>
        <v>0</v>
      </c>
      <c r="AA1703" s="118"/>
      <c r="AB1703" s="118" t="str">
        <f t="shared" si="1223"/>
        <v/>
      </c>
      <c r="AC1703" s="712" t="str">
        <f>IF(AE1703="T2G","no charge",IF(AND(OR(PlanterYesMe="No",PlanterYesMe="N",PlanterYesMe="me"),H1703=""),"",IF(H1703="credit","NO install",IF(AND(K1703="",AE1703="me"),"EACH row",IF(AND(K1703="images",AE1703="me"),"EACH row",IF(D1703="","",IF(H1703="credit","",IF(AE1703="free","re-planting",IF(AE1703="me","   not ELP, by",IF(AND(OR(PlanterYesMe="Yes",PlanterYesMe="Y"),G1703&gt;0),(VLOOKUP(A1703,'Discount Lookup'!J:K,2)*G1703*(1-PlanterDiscount)*(1+PlanterDifficultyPercentage)),IF(AE1703="ELP",(VLOOKUP(A1703,'Discount Lookup'!J:K,2)*G1703*(1-PlanterDiscount)*(1+PlanterDifficultyPercentage)),IF(AE1703="free","re-planting",IF(G1703=0,"",IF(PlanterYesMe="",IF(AE1703="me","   not ELP, by",IF(AE1703="",IF(G1703&gt;0,(VLOOKUP(A1703,'Discount Lookup'!J:K,2)*G1703*(1-PlanterDiscount)*(1+PlanterDifficultyPercentage)),""),"")),"   not ELP, by"))))))))))))))</f>
        <v/>
      </c>
      <c r="AD1703" s="712"/>
      <c r="AE1703" s="513" t="str">
        <f t="shared" si="1224"/>
        <v/>
      </c>
      <c r="AF1703" s="713" t="str">
        <f t="shared" si="1225"/>
        <v/>
      </c>
      <c r="AG1703" s="713"/>
      <c r="AH1703" s="713"/>
      <c r="AI1703" s="112">
        <f>IF(H1703="credit",0,IF(AE1703="free",0,IF(AE1703="me",0,IF(G1703&gt;0,(VLOOKUP(A1703,'Discount Lookup'!J:K,2)*G1703),0))))</f>
        <v>0</v>
      </c>
      <c r="AJ1703" s="107" t="str">
        <f t="shared" ca="1" si="1226"/>
        <v/>
      </c>
      <c r="AK1703" s="714" t="str">
        <f t="shared" si="1227"/>
        <v/>
      </c>
      <c r="AL1703" s="714"/>
      <c r="AM1703" s="114" t="str">
        <f t="shared" si="1228"/>
        <v/>
      </c>
      <c r="AN1703" s="115"/>
      <c r="AO1703" s="116"/>
      <c r="AP1703" s="116"/>
      <c r="AQ1703" s="116"/>
      <c r="AR1703" s="116"/>
      <c r="AS1703" s="116"/>
      <c r="AT1703" s="116"/>
      <c r="AU1703" s="116"/>
      <c r="AV1703" s="78"/>
      <c r="AW1703" s="102"/>
      <c r="AX1703" s="78"/>
      <c r="AY1703" s="78"/>
      <c r="AZ1703" s="78"/>
      <c r="BA1703" s="78"/>
      <c r="BB1703" s="78"/>
      <c r="BC1703" s="78"/>
      <c r="BD1703" s="78"/>
      <c r="BE1703" s="465"/>
      <c r="BF1703" s="165" t="str">
        <f t="shared" si="1229"/>
        <v>https://www.google.com/search?tbm=isch&amp;q=Ginkgo%20biloba%20%27Ross%20Moore%20Weeping%20Wonder%27%20Weeping%20Wonder%20Ginkgo</v>
      </c>
      <c r="BG1703" s="165" t="str">
        <f t="shared" si="1230"/>
        <v>G</v>
      </c>
      <c r="BH1703" s="65"/>
      <c r="BI1703" s="65"/>
      <c r="BJ1703" s="65"/>
      <c r="BK1703" s="65"/>
      <c r="BL1703" s="99"/>
      <c r="BM1703" s="99"/>
      <c r="BN1703" s="99"/>
    </row>
    <row r="1704" spans="1:66" s="51" customFormat="1" ht="15.75" x14ac:dyDescent="0.25">
      <c r="A1704" s="634">
        <v>7</v>
      </c>
      <c r="B1704" s="635" t="s">
        <v>291</v>
      </c>
      <c r="C1704" s="636" t="s">
        <v>999</v>
      </c>
      <c r="D1704" s="637" t="s">
        <v>299</v>
      </c>
      <c r="E1704" s="638">
        <v>194.95</v>
      </c>
      <c r="F1704" s="639" t="s">
        <v>292</v>
      </c>
      <c r="G1704" s="484">
        <v>0</v>
      </c>
      <c r="H1704" s="691" t="str">
        <f>IF(G1704=0,"",IF(F1704="Buy",IF(G1704=1,"plant","plants"),IF(F1704&gt;0.01,"warranty","Error")))</f>
        <v/>
      </c>
      <c r="I1704" s="640">
        <f>IF(H1704="free",0,IF(H1704="credit",((E1704*(F1704))*G1704*-1),IF(F1704="Buy",(E1704*G1704),((E1704*(1-F1704))*G1704))))</f>
        <v>0</v>
      </c>
      <c r="J1704" s="640">
        <f>IF(H1704="warranty",0,(I1704*(_xlfn.SINGLE(SalesTaxPercentage))))</f>
        <v>0</v>
      </c>
      <c r="K1704" s="716">
        <f t="shared" ref="K1704" si="1240">I1704+J1704</f>
        <v>0</v>
      </c>
      <c r="L1704" s="716"/>
      <c r="M1704" s="689" t="str">
        <f ca="1">IF(AND(G1704&gt;0,E1704=0),"WARNING - no PRICE inserted",IF(H1704="free","FREE ~ no charge this plant",IF(H1704="credit",CONCATENATE("-$",ROUND(K1704*(1-_xlfn.SINGLE(T2GDiscount))*-1,2)," CREDIT after discount"),IF(_xlfn.SINGLE(T2GDiscount)=0,"",IF(G1704=0,"",IF(F1704="Buy",CONCATENATE("$",ROUND(K1704*(1-_xlfn.SINGLE(T2GDiscount)),2)," with ",(_xlfn.SINGLE(T2GDiscount)*100),"% discount"),CONCATENATE("$",ROUND(K1704*(1-_xlfn.SINGLE(T2GDiscount)),2)," with ",((_xlfn.SINGLE(T2GDiscount)*100+F1704*100)-(_xlfn.SINGLE(T2GDiscount)*100*F1704)),IF(F1704&gt;0,"% discounts",IF(_xlfn.SINGLE(NoWarrantyDiscount)&gt;0,"% discounts","% discount")))))))))</f>
        <v/>
      </c>
      <c r="N1704" s="690"/>
      <c r="O1704" s="486"/>
      <c r="P1704" s="486"/>
      <c r="Q1704" s="486"/>
      <c r="R1704" s="486"/>
      <c r="S1704" s="486"/>
      <c r="T1704" s="102">
        <f t="shared" si="1218"/>
        <v>0</v>
      </c>
      <c r="U1704" s="78">
        <f>IF(NOT(ISNUMBER(G1704)), "", VLOOKUP(A1704,'Discount Lookup'!D:E,2,FALSE)*G1704)</f>
        <v>0</v>
      </c>
      <c r="V1704" s="78">
        <f>IF(NOT(ISNUMBER(G1704)), "", VLOOKUP(A1704,'Discount Lookup'!G:H,2,FALSE)*G1704)</f>
        <v>0</v>
      </c>
      <c r="W1704" s="102">
        <f t="shared" si="1219"/>
        <v>0</v>
      </c>
      <c r="X1704" s="102">
        <f t="shared" si="1220"/>
        <v>0</v>
      </c>
      <c r="Y1704" s="120" t="b">
        <f t="shared" si="1221"/>
        <v>0</v>
      </c>
      <c r="Z1704" s="117">
        <f t="shared" si="1222"/>
        <v>0</v>
      </c>
      <c r="AA1704" s="118"/>
      <c r="AB1704" s="118" t="str">
        <f t="shared" si="1223"/>
        <v/>
      </c>
      <c r="AC1704" s="712" t="str">
        <f>IF(AE1704="T2G","no charge",IF(AND(OR(PlanterYesMe="No",PlanterYesMe="N",PlanterYesMe="me"),H1704=""),"",IF(H1704="credit","NO install",IF(AND(K1704="",AE1704="me"),"EACH row",IF(AND(K1704="images",AE1704="me"),"EACH row",IF(D1704="","",IF(H1704="credit","",IF(AE1704="free","re-planting",IF(AE1704="me","   not ELP, by",IF(AND(OR(PlanterYesMe="Yes",PlanterYesMe="Y"),G1704&gt;0),(VLOOKUP(A1704,'Discount Lookup'!J:K,2)*G1704*(1-PlanterDiscount)*(1+PlanterDifficultyPercentage)),IF(AE1704="ELP",(VLOOKUP(A1704,'Discount Lookup'!J:K,2)*G1704*(1-PlanterDiscount)*(1+PlanterDifficultyPercentage)),IF(AE1704="free","re-planting",IF(G1704=0,"",IF(PlanterYesMe="",IF(AE1704="me","   not ELP, by",IF(AE1704="",IF(G1704&gt;0,(VLOOKUP(A1704,'Discount Lookup'!J:K,2)*G1704*(1-PlanterDiscount)*(1+PlanterDifficultyPercentage)),""),"")),"   not ELP, by"))))))))))))))</f>
        <v/>
      </c>
      <c r="AD1704" s="712"/>
      <c r="AE1704" s="513" t="str">
        <f t="shared" si="1224"/>
        <v/>
      </c>
      <c r="AF1704" s="713" t="str">
        <f t="shared" si="1225"/>
        <v/>
      </c>
      <c r="AG1704" s="713"/>
      <c r="AH1704" s="713"/>
      <c r="AI1704" s="112">
        <f>IF(H1704="credit",0,IF(AE1704="free",0,IF(AE1704="me",0,IF(G1704&gt;0,(VLOOKUP(A1704,'Discount Lookup'!J:K,2)*G1704),0))))</f>
        <v>0</v>
      </c>
      <c r="AJ1704" s="107" t="str">
        <f t="shared" ca="1" si="1226"/>
        <v/>
      </c>
      <c r="AK1704" s="714" t="str">
        <f t="shared" si="1227"/>
        <v/>
      </c>
      <c r="AL1704" s="714"/>
      <c r="AM1704" s="114" t="str">
        <f t="shared" si="1228"/>
        <v/>
      </c>
      <c r="AN1704" s="115"/>
      <c r="AO1704" s="116"/>
      <c r="AP1704" s="116"/>
      <c r="AQ1704" s="116"/>
      <c r="AR1704" s="116"/>
      <c r="AS1704" s="116"/>
      <c r="AT1704" s="116"/>
      <c r="AU1704" s="116"/>
      <c r="AV1704" s="78"/>
      <c r="AW1704" s="102"/>
      <c r="AX1704" s="78"/>
      <c r="AY1704" s="78"/>
      <c r="AZ1704" s="78"/>
      <c r="BA1704" s="78"/>
      <c r="BB1704" s="78"/>
      <c r="BC1704" s="78"/>
      <c r="BD1704" s="78"/>
      <c r="BE1704" s="465"/>
      <c r="BF1704" s="165" t="str">
        <f t="shared" si="1229"/>
        <v>https://www.google.com/search?tbm=isch&amp;q=7%20G4</v>
      </c>
      <c r="BG1704" s="165" t="str">
        <f t="shared" si="1230"/>
        <v>G</v>
      </c>
      <c r="BH1704" s="65"/>
      <c r="BI1704" s="65"/>
      <c r="BJ1704" s="65"/>
      <c r="BK1704" s="65"/>
      <c r="BL1704" s="99"/>
      <c r="BM1704" s="99"/>
      <c r="BN1704" s="99"/>
    </row>
    <row r="1705" spans="1:66" s="51" customFormat="1" ht="17.25" thickBot="1" x14ac:dyDescent="0.3">
      <c r="A1705" s="641" t="s">
        <v>5069</v>
      </c>
      <c r="B1705" s="642"/>
      <c r="C1705" s="710"/>
      <c r="D1705" s="643"/>
      <c r="E1705" s="643"/>
      <c r="F1705" s="644"/>
      <c r="G1705" s="645"/>
      <c r="H1705" s="646"/>
      <c r="I1705" s="647"/>
      <c r="J1705" s="648"/>
      <c r="K1705" s="649"/>
      <c r="L1705" s="650"/>
      <c r="M1705" s="650"/>
      <c r="N1705" s="644"/>
      <c r="O1705" s="644"/>
      <c r="P1705" s="644"/>
      <c r="Q1705" s="644"/>
      <c r="R1705" s="644"/>
      <c r="S1705" s="651"/>
      <c r="T1705" s="102">
        <f t="shared" si="1218"/>
        <v>0</v>
      </c>
      <c r="U1705" s="78" t="str">
        <f>IF(NOT(ISNUMBER(G1705)), "", VLOOKUP(A1705,'Discount Lookup'!D:E,2,FALSE)*G1705)</f>
        <v/>
      </c>
      <c r="V1705" s="78" t="str">
        <f>IF(NOT(ISNUMBER(G1705)), "", VLOOKUP(A1705,'Discount Lookup'!G:H,2,FALSE)*G1705)</f>
        <v/>
      </c>
      <c r="W1705" s="102">
        <f t="shared" si="1219"/>
        <v>0</v>
      </c>
      <c r="X1705" s="102">
        <f t="shared" si="1220"/>
        <v>0</v>
      </c>
      <c r="Y1705" s="120" t="b">
        <f t="shared" si="1221"/>
        <v>0</v>
      </c>
      <c r="Z1705" s="117">
        <f t="shared" si="1222"/>
        <v>0</v>
      </c>
      <c r="AA1705" s="118"/>
      <c r="AB1705" s="118" t="str">
        <f t="shared" si="1223"/>
        <v/>
      </c>
      <c r="AC1705" s="712" t="str">
        <f>IF(AE1705="T2G","no charge",IF(AND(OR(PlanterYesMe="No",PlanterYesMe="N",PlanterYesMe="me"),H1705=""),"",IF(H1705="credit","NO install",IF(AND(K1705="",AE1705="me"),"EACH row",IF(AND(K1705="images",AE1705="me"),"EACH row",IF(D1705="","",IF(H1705="credit","",IF(AE1705="free","re-planting",IF(AE1705="me","   not ELP, by",IF(AND(OR(PlanterYesMe="Yes",PlanterYesMe="Y"),G1705&gt;0),(VLOOKUP(A1705,'Discount Lookup'!J:K,2)*G1705*(1-PlanterDiscount)*(1+PlanterDifficultyPercentage)),IF(AE1705="ELP",(VLOOKUP(A1705,'Discount Lookup'!J:K,2)*G1705*(1-PlanterDiscount)*(1+PlanterDifficultyPercentage)),IF(AE1705="free","re-planting",IF(G1705=0,"",IF(PlanterYesMe="",IF(AE1705="me","   not ELP, by",IF(AE1705="",IF(G1705&gt;0,(VLOOKUP(A1705,'Discount Lookup'!J:K,2)*G1705*(1-PlanterDiscount)*(1+PlanterDifficultyPercentage)),""),"")),"   not ELP, by"))))))))))))))</f>
        <v/>
      </c>
      <c r="AD1705" s="712"/>
      <c r="AE1705" s="513" t="str">
        <f t="shared" si="1224"/>
        <v/>
      </c>
      <c r="AF1705" s="713" t="str">
        <f t="shared" si="1225"/>
        <v/>
      </c>
      <c r="AG1705" s="713"/>
      <c r="AH1705" s="713"/>
      <c r="AI1705" s="112">
        <f>IF(H1705="credit",0,IF(AE1705="free",0,IF(AE1705="me",0,IF(G1705&gt;0,(VLOOKUP(A1705,'Discount Lookup'!J:K,2)*G1705),0))))</f>
        <v>0</v>
      </c>
      <c r="AJ1705" s="107" t="str">
        <f t="shared" ca="1" si="1226"/>
        <v/>
      </c>
      <c r="AK1705" s="714" t="str">
        <f t="shared" si="1227"/>
        <v/>
      </c>
      <c r="AL1705" s="714"/>
      <c r="AM1705" s="114" t="str">
        <f t="shared" si="1228"/>
        <v/>
      </c>
      <c r="AN1705" s="115"/>
      <c r="AO1705" s="116"/>
      <c r="AP1705" s="116"/>
      <c r="AQ1705" s="116"/>
      <c r="AR1705" s="116"/>
      <c r="AS1705" s="116"/>
      <c r="AT1705" s="116"/>
      <c r="AU1705" s="116"/>
      <c r="AV1705" s="78"/>
      <c r="AW1705" s="102"/>
      <c r="AX1705" s="78"/>
      <c r="AY1705" s="78"/>
      <c r="AZ1705" s="78"/>
      <c r="BA1705" s="78"/>
      <c r="BB1705" s="78"/>
      <c r="BC1705" s="78"/>
      <c r="BD1705" s="78"/>
      <c r="BE1705" s="465"/>
      <c r="BF1705" s="165" t="str">
        <f t="shared" si="1229"/>
        <v>https://www.google.com/search?tbm=isch&amp;q=Weeping%20Wonder%20is%20a%20unique%20weeping%20ginkgo%20cultivar%20with%20a%20graceful%2C%20strongly%20pendulous%20habit%20and%20excellent%20Golden-Yellow%20fall%20color%20</v>
      </c>
      <c r="BG1705" s="165" t="str">
        <f t="shared" si="1230"/>
        <v>W</v>
      </c>
      <c r="BH1705" s="65"/>
      <c r="BI1705" s="65"/>
      <c r="BJ1705" s="65"/>
      <c r="BK1705" s="65"/>
      <c r="BL1705" s="99"/>
      <c r="BM1705" s="99"/>
      <c r="BN1705" s="99"/>
    </row>
    <row r="1706" spans="1:66" s="51" customFormat="1" ht="18" x14ac:dyDescent="0.25">
      <c r="A1706" s="623" t="s">
        <v>2610</v>
      </c>
      <c r="B1706" s="624"/>
      <c r="C1706" s="709"/>
      <c r="D1706" s="625" t="s">
        <v>2611</v>
      </c>
      <c r="E1706" s="626"/>
      <c r="F1706" s="626"/>
      <c r="G1706" s="626"/>
      <c r="H1706" s="622" t="s">
        <v>476</v>
      </c>
      <c r="I1706" s="627" t="s">
        <v>432</v>
      </c>
      <c r="J1706" s="628"/>
      <c r="K1706" s="628"/>
      <c r="L1706" s="629"/>
      <c r="M1706" s="700" t="s">
        <v>5241</v>
      </c>
      <c r="N1706" s="693" t="str">
        <f>IF(AND(ISTEXT($A1706), ISERROR($A1706+0)), HYPERLINK($BF1706, "Images"), "")</f>
        <v>Images</v>
      </c>
      <c r="O1706" s="695" t="s">
        <v>5244</v>
      </c>
      <c r="P1706" s="630"/>
      <c r="Q1706" s="631"/>
      <c r="R1706" s="632"/>
      <c r="S1706" s="633"/>
      <c r="T1706" s="102">
        <f t="shared" si="1218"/>
        <v>0</v>
      </c>
      <c r="U1706" s="78" t="str">
        <f>IF(NOT(ISNUMBER(G1706)), "", VLOOKUP(A1706,'Discount Lookup'!D:E,2,FALSE)*G1706)</f>
        <v/>
      </c>
      <c r="V1706" s="78" t="str">
        <f>IF(NOT(ISNUMBER(G1706)), "", VLOOKUP(A1706,'Discount Lookup'!G:H,2,FALSE)*G1706)</f>
        <v/>
      </c>
      <c r="W1706" s="102">
        <f t="shared" si="1219"/>
        <v>0</v>
      </c>
      <c r="X1706" s="102" t="str">
        <f t="shared" si="1220"/>
        <v>Green foliage</v>
      </c>
      <c r="Y1706" s="120" t="b">
        <f t="shared" si="1221"/>
        <v>0</v>
      </c>
      <c r="Z1706" s="117">
        <f t="shared" si="1222"/>
        <v>0</v>
      </c>
      <c r="AA1706" s="118"/>
      <c r="AB1706" s="118" t="str">
        <f t="shared" si="1223"/>
        <v/>
      </c>
      <c r="AC1706" s="712" t="str">
        <f>IF(AE1706="T2G","no charge",IF(AND(OR(PlanterYesMe="No",PlanterYesMe="N",PlanterYesMe="me"),H1706=""),"",IF(H1706="credit","NO install",IF(AND(K1706="",AE1706="me"),"EACH row",IF(AND(K1706="images",AE1706="me"),"EACH row",IF(D1706="","",IF(H1706="credit","",IF(AE1706="free","re-planting",IF(AE1706="me","   not ELP, by",IF(AND(OR(PlanterYesMe="Yes",PlanterYesMe="Y"),G1706&gt;0),(VLOOKUP(A1706,'Discount Lookup'!J:K,2)*G1706*(1-PlanterDiscount)*(1+PlanterDifficultyPercentage)),IF(AE1706="ELP",(VLOOKUP(A1706,'Discount Lookup'!J:K,2)*G1706*(1-PlanterDiscount)*(1+PlanterDifficultyPercentage)),IF(AE1706="free","re-planting",IF(G1706=0,"",IF(PlanterYesMe="",IF(AE1706="me","   not ELP, by",IF(AE1706="",IF(G1706&gt;0,(VLOOKUP(A1706,'Discount Lookup'!J:K,2)*G1706*(1-PlanterDiscount)*(1+PlanterDifficultyPercentage)),""),"")),"   not ELP, by"))))))))))))))</f>
        <v/>
      </c>
      <c r="AD1706" s="712"/>
      <c r="AE1706" s="513" t="str">
        <f t="shared" si="1224"/>
        <v/>
      </c>
      <c r="AF1706" s="713" t="str">
        <f t="shared" si="1225"/>
        <v/>
      </c>
      <c r="AG1706" s="713"/>
      <c r="AH1706" s="713"/>
      <c r="AI1706" s="112">
        <f>IF(H1706="credit",0,IF(AE1706="free",0,IF(AE1706="me",0,IF(G1706&gt;0,(VLOOKUP(A1706,'Discount Lookup'!J:K,2)*G1706),0))))</f>
        <v>0</v>
      </c>
      <c r="AJ1706" s="107" t="str">
        <f t="shared" ca="1" si="1226"/>
        <v/>
      </c>
      <c r="AK1706" s="714" t="str">
        <f t="shared" si="1227"/>
        <v/>
      </c>
      <c r="AL1706" s="714"/>
      <c r="AM1706" s="114" t="str">
        <f t="shared" si="1228"/>
        <v/>
      </c>
      <c r="AN1706" s="115"/>
      <c r="AO1706" s="116"/>
      <c r="AP1706" s="116"/>
      <c r="AQ1706" s="116"/>
      <c r="AR1706" s="116"/>
      <c r="AS1706" s="116"/>
      <c r="AT1706" s="116"/>
      <c r="AU1706" s="116"/>
      <c r="AV1706" s="78"/>
      <c r="AW1706" s="102"/>
      <c r="AX1706" s="78"/>
      <c r="AY1706" s="78"/>
      <c r="AZ1706" s="78"/>
      <c r="BA1706" s="78"/>
      <c r="BB1706" s="78"/>
      <c r="BC1706" s="78"/>
      <c r="BD1706" s="78"/>
      <c r="BE1706" s="465"/>
      <c r="BF1706" s="165" t="str">
        <f t="shared" si="1229"/>
        <v>https://www.google.com/search?tbm=isch&amp;q=Ginkgo%20biloba%20%27Saratoga%27%20Saratoga%20Ginkgo</v>
      </c>
      <c r="BG1706" s="165" t="str">
        <f t="shared" si="1230"/>
        <v>G</v>
      </c>
      <c r="BH1706" s="65"/>
      <c r="BI1706" s="65"/>
      <c r="BJ1706" s="65"/>
      <c r="BK1706" s="65"/>
      <c r="BL1706" s="99"/>
      <c r="BM1706" s="99"/>
      <c r="BN1706" s="99"/>
    </row>
    <row r="1707" spans="1:66" s="51" customFormat="1" ht="27" x14ac:dyDescent="0.25">
      <c r="A1707" s="634">
        <v>7</v>
      </c>
      <c r="B1707" s="635" t="s">
        <v>291</v>
      </c>
      <c r="C1707" s="636" t="s">
        <v>2612</v>
      </c>
      <c r="D1707" s="637" t="s">
        <v>299</v>
      </c>
      <c r="E1707" s="638">
        <v>160.94999999999999</v>
      </c>
      <c r="F1707" s="639" t="s">
        <v>292</v>
      </c>
      <c r="G1707" s="484">
        <v>0</v>
      </c>
      <c r="H1707" s="691" t="str">
        <f>IF(G1707=0,"",IF(F1707="Buy",IF(G1707=1,"plant","plants"),IF(F1707&gt;0.01,"warranty","Error")))</f>
        <v/>
      </c>
      <c r="I1707" s="640">
        <f>IF(H1707="free",0,IF(H1707="credit",((E1707*(F1707))*G1707*-1),IF(F1707="Buy",(E1707*G1707),((E1707*(1-F1707))*G1707))))</f>
        <v>0</v>
      </c>
      <c r="J1707" s="640">
        <f>IF(H1707="warranty",0,(I1707*(_xlfn.SINGLE(SalesTaxPercentage))))</f>
        <v>0</v>
      </c>
      <c r="K1707" s="716">
        <f t="shared" ref="K1707" si="1241">I1707+J1707</f>
        <v>0</v>
      </c>
      <c r="L1707" s="716"/>
      <c r="M1707" s="689" t="str">
        <f ca="1">IF(AND(G1707&gt;0,E1707=0),"WARNING - no PRICE inserted",IF(H1707="free","FREE ~ no charge this plant",IF(H1707="credit",CONCATENATE("-$",ROUND(K1707*(1-_xlfn.SINGLE(T2GDiscount))*-1,2)," CREDIT after discount"),IF(_xlfn.SINGLE(T2GDiscount)=0,"",IF(G1707=0,"",IF(F1707="Buy",CONCATENATE("$",ROUND(K1707*(1-_xlfn.SINGLE(T2GDiscount)),2)," with ",(_xlfn.SINGLE(T2GDiscount)*100),"% discount"),CONCATENATE("$",ROUND(K1707*(1-_xlfn.SINGLE(T2GDiscount)),2)," with ",((_xlfn.SINGLE(T2GDiscount)*100+F1707*100)-(_xlfn.SINGLE(T2GDiscount)*100*F1707)),IF(F1707&gt;0,"% discounts",IF(_xlfn.SINGLE(NoWarrantyDiscount)&gt;0,"% discounts","% discount")))))))))</f>
        <v/>
      </c>
      <c r="N1707" s="690"/>
      <c r="O1707" s="486"/>
      <c r="P1707" s="486"/>
      <c r="Q1707" s="486"/>
      <c r="R1707" s="486"/>
      <c r="S1707" s="486"/>
      <c r="T1707" s="102">
        <f t="shared" si="1218"/>
        <v>0</v>
      </c>
      <c r="U1707" s="78">
        <f>IF(NOT(ISNUMBER(G1707)), "", VLOOKUP(A1707,'Discount Lookup'!D:E,2,FALSE)*G1707)</f>
        <v>0</v>
      </c>
      <c r="V1707" s="78">
        <f>IF(NOT(ISNUMBER(G1707)), "", VLOOKUP(A1707,'Discount Lookup'!G:H,2,FALSE)*G1707)</f>
        <v>0</v>
      </c>
      <c r="W1707" s="102">
        <f t="shared" si="1219"/>
        <v>0</v>
      </c>
      <c r="X1707" s="102">
        <f t="shared" si="1220"/>
        <v>0</v>
      </c>
      <c r="Y1707" s="120" t="b">
        <f t="shared" si="1221"/>
        <v>0</v>
      </c>
      <c r="Z1707" s="117">
        <f t="shared" si="1222"/>
        <v>0</v>
      </c>
      <c r="AA1707" s="118"/>
      <c r="AB1707" s="118" t="str">
        <f t="shared" si="1223"/>
        <v/>
      </c>
      <c r="AC1707" s="712" t="str">
        <f>IF(AE1707="T2G","no charge",IF(AND(OR(PlanterYesMe="No",PlanterYesMe="N",PlanterYesMe="me"),H1707=""),"",IF(H1707="credit","NO install",IF(AND(K1707="",AE1707="me"),"EACH row",IF(AND(K1707="images",AE1707="me"),"EACH row",IF(D1707="","",IF(H1707="credit","",IF(AE1707="free","re-planting",IF(AE1707="me","   not ELP, by",IF(AND(OR(PlanterYesMe="Yes",PlanterYesMe="Y"),G1707&gt;0),(VLOOKUP(A1707,'Discount Lookup'!J:K,2)*G1707*(1-PlanterDiscount)*(1+PlanterDifficultyPercentage)),IF(AE1707="ELP",(VLOOKUP(A1707,'Discount Lookup'!J:K,2)*G1707*(1-PlanterDiscount)*(1+PlanterDifficultyPercentage)),IF(AE1707="free","re-planting",IF(G1707=0,"",IF(PlanterYesMe="",IF(AE1707="me","   not ELP, by",IF(AE1707="",IF(G1707&gt;0,(VLOOKUP(A1707,'Discount Lookup'!J:K,2)*G1707*(1-PlanterDiscount)*(1+PlanterDifficultyPercentage)),""),"")),"   not ELP, by"))))))))))))))</f>
        <v/>
      </c>
      <c r="AD1707" s="712"/>
      <c r="AE1707" s="513" t="str">
        <f t="shared" si="1224"/>
        <v/>
      </c>
      <c r="AF1707" s="713" t="str">
        <f t="shared" si="1225"/>
        <v/>
      </c>
      <c r="AG1707" s="713"/>
      <c r="AH1707" s="713"/>
      <c r="AI1707" s="112">
        <f>IF(H1707="credit",0,IF(AE1707="free",0,IF(AE1707="me",0,IF(G1707&gt;0,(VLOOKUP(A1707,'Discount Lookup'!J:K,2)*G1707),0))))</f>
        <v>0</v>
      </c>
      <c r="AJ1707" s="107" t="str">
        <f t="shared" ca="1" si="1226"/>
        <v/>
      </c>
      <c r="AK1707" s="714" t="str">
        <f t="shared" si="1227"/>
        <v/>
      </c>
      <c r="AL1707" s="714"/>
      <c r="AM1707" s="114" t="str">
        <f t="shared" si="1228"/>
        <v/>
      </c>
      <c r="AN1707" s="115"/>
      <c r="AO1707" s="116"/>
      <c r="AP1707" s="116"/>
      <c r="AQ1707" s="116"/>
      <c r="AR1707" s="116"/>
      <c r="AS1707" s="116"/>
      <c r="AT1707" s="116"/>
      <c r="AU1707" s="116"/>
      <c r="AV1707" s="78"/>
      <c r="AW1707" s="102"/>
      <c r="AX1707" s="78"/>
      <c r="AY1707" s="78"/>
      <c r="AZ1707" s="78"/>
      <c r="BA1707" s="78"/>
      <c r="BB1707" s="78"/>
      <c r="BC1707" s="78"/>
      <c r="BD1707" s="78"/>
      <c r="BE1707" s="465"/>
      <c r="BF1707" s="165" t="str">
        <f t="shared" si="1229"/>
        <v>https://www.google.com/search?tbm=isch&amp;q=7%20G4</v>
      </c>
      <c r="BG1707" s="165" t="str">
        <f t="shared" si="1230"/>
        <v>G</v>
      </c>
      <c r="BH1707" s="65"/>
      <c r="BI1707" s="65"/>
      <c r="BJ1707" s="65"/>
      <c r="BK1707" s="65"/>
      <c r="BL1707" s="99"/>
      <c r="BM1707" s="99"/>
      <c r="BN1707" s="99"/>
    </row>
    <row r="1708" spans="1:66" s="51" customFormat="1" ht="17.25" thickBot="1" x14ac:dyDescent="0.3">
      <c r="A1708" s="641" t="s">
        <v>2613</v>
      </c>
      <c r="B1708" s="642"/>
      <c r="C1708" s="710"/>
      <c r="D1708" s="643"/>
      <c r="E1708" s="643"/>
      <c r="F1708" s="644"/>
      <c r="G1708" s="645"/>
      <c r="H1708" s="646"/>
      <c r="I1708" s="647"/>
      <c r="J1708" s="648"/>
      <c r="K1708" s="649"/>
      <c r="L1708" s="650"/>
      <c r="M1708" s="650"/>
      <c r="N1708" s="644"/>
      <c r="O1708" s="644"/>
      <c r="P1708" s="644"/>
      <c r="Q1708" s="644"/>
      <c r="R1708" s="644"/>
      <c r="S1708" s="651"/>
      <c r="T1708" s="102">
        <f t="shared" si="1218"/>
        <v>0</v>
      </c>
      <c r="U1708" s="78" t="str">
        <f>IF(NOT(ISNUMBER(G1708)), "", VLOOKUP(A1708,'Discount Lookup'!D:E,2,FALSE)*G1708)</f>
        <v/>
      </c>
      <c r="V1708" s="78" t="str">
        <f>IF(NOT(ISNUMBER(G1708)), "", VLOOKUP(A1708,'Discount Lookup'!G:H,2,FALSE)*G1708)</f>
        <v/>
      </c>
      <c r="W1708" s="102">
        <f t="shared" si="1219"/>
        <v>0</v>
      </c>
      <c r="X1708" s="102">
        <f t="shared" si="1220"/>
        <v>0</v>
      </c>
      <c r="Y1708" s="120" t="b">
        <f t="shared" si="1221"/>
        <v>0</v>
      </c>
      <c r="Z1708" s="117">
        <f t="shared" si="1222"/>
        <v>0</v>
      </c>
      <c r="AA1708" s="118"/>
      <c r="AB1708" s="118" t="str">
        <f t="shared" si="1223"/>
        <v/>
      </c>
      <c r="AC1708" s="712" t="str">
        <f>IF(AE1708="T2G","no charge",IF(AND(OR(PlanterYesMe="No",PlanterYesMe="N",PlanterYesMe="me"),H1708=""),"",IF(H1708="credit","NO install",IF(AND(K1708="",AE1708="me"),"EACH row",IF(AND(K1708="images",AE1708="me"),"EACH row",IF(D1708="","",IF(H1708="credit","",IF(AE1708="free","re-planting",IF(AE1708="me","   not ELP, by",IF(AND(OR(PlanterYesMe="Yes",PlanterYesMe="Y"),G1708&gt;0),(VLOOKUP(A1708,'Discount Lookup'!J:K,2)*G1708*(1-PlanterDiscount)*(1+PlanterDifficultyPercentage)),IF(AE1708="ELP",(VLOOKUP(A1708,'Discount Lookup'!J:K,2)*G1708*(1-PlanterDiscount)*(1+PlanterDifficultyPercentage)),IF(AE1708="free","re-planting",IF(G1708=0,"",IF(PlanterYesMe="",IF(AE1708="me","   not ELP, by",IF(AE1708="",IF(G1708&gt;0,(VLOOKUP(A1708,'Discount Lookup'!J:K,2)*G1708*(1-PlanterDiscount)*(1+PlanterDifficultyPercentage)),""),"")),"   not ELP, by"))))))))))))))</f>
        <v/>
      </c>
      <c r="AD1708" s="712"/>
      <c r="AE1708" s="513" t="str">
        <f t="shared" si="1224"/>
        <v/>
      </c>
      <c r="AF1708" s="713" t="str">
        <f t="shared" si="1225"/>
        <v/>
      </c>
      <c r="AG1708" s="713"/>
      <c r="AH1708" s="713"/>
      <c r="AI1708" s="112">
        <f>IF(H1708="credit",0,IF(AE1708="free",0,IF(AE1708="me",0,IF(G1708&gt;0,(VLOOKUP(A1708,'Discount Lookup'!J:K,2)*G1708),0))))</f>
        <v>0</v>
      </c>
      <c r="AJ1708" s="107" t="str">
        <f t="shared" ca="1" si="1226"/>
        <v/>
      </c>
      <c r="AK1708" s="714" t="str">
        <f t="shared" si="1227"/>
        <v/>
      </c>
      <c r="AL1708" s="714"/>
      <c r="AM1708" s="114" t="str">
        <f t="shared" si="1228"/>
        <v/>
      </c>
      <c r="AN1708" s="115"/>
      <c r="AO1708" s="116"/>
      <c r="AP1708" s="116"/>
      <c r="AQ1708" s="116"/>
      <c r="AR1708" s="116"/>
      <c r="AS1708" s="116"/>
      <c r="AT1708" s="116"/>
      <c r="AU1708" s="116"/>
      <c r="AV1708" s="78"/>
      <c r="AW1708" s="102"/>
      <c r="AX1708" s="78"/>
      <c r="AY1708" s="78"/>
      <c r="AZ1708" s="78"/>
      <c r="BA1708" s="78"/>
      <c r="BB1708" s="78"/>
      <c r="BC1708" s="78"/>
      <c r="BD1708" s="78"/>
      <c r="BE1708" s="465"/>
      <c r="BF1708" s="165" t="str">
        <f t="shared" si="1229"/>
        <v>https://www.google.com/search?tbm=isch&amp;q=Saratogaare%20all%20male%2C%20so%20no%20messy%20fruit.%20Foliage%20more%20deeply-cut%2C%20finger-like%2C%20among%20Ginkgos.%20Rich%2C%20Golde-Yellow%20fall%20coloration%20</v>
      </c>
      <c r="BG1708" s="165" t="str">
        <f t="shared" si="1230"/>
        <v>S</v>
      </c>
      <c r="BH1708" s="65"/>
      <c r="BI1708" s="65"/>
      <c r="BJ1708" s="65"/>
      <c r="BK1708" s="65"/>
      <c r="BL1708" s="99"/>
      <c r="BM1708" s="99"/>
      <c r="BN1708" s="99"/>
    </row>
    <row r="1709" spans="1:66" s="51" customFormat="1" ht="18" x14ac:dyDescent="0.25">
      <c r="A1709" s="623" t="s">
        <v>2614</v>
      </c>
      <c r="B1709" s="624"/>
      <c r="C1709" s="709"/>
      <c r="D1709" s="625" t="s">
        <v>2615</v>
      </c>
      <c r="E1709" s="626"/>
      <c r="F1709" s="626"/>
      <c r="G1709" s="626"/>
      <c r="H1709" s="622" t="s">
        <v>1071</v>
      </c>
      <c r="I1709" s="627" t="s">
        <v>432</v>
      </c>
      <c r="J1709" s="628"/>
      <c r="K1709" s="628"/>
      <c r="L1709" s="629"/>
      <c r="M1709" s="700" t="s">
        <v>5241</v>
      </c>
      <c r="N1709" s="693" t="str">
        <f>IF(AND(ISTEXT($A1709), ISERROR($A1709+0)), HYPERLINK($BF1709, "Images"), "")</f>
        <v>Images</v>
      </c>
      <c r="O1709" s="695" t="s">
        <v>5247</v>
      </c>
      <c r="P1709" s="630"/>
      <c r="Q1709" s="631"/>
      <c r="R1709" s="632"/>
      <c r="S1709" s="633"/>
      <c r="T1709" s="102">
        <f t="shared" si="1218"/>
        <v>0</v>
      </c>
      <c r="U1709" s="78" t="str">
        <f>IF(NOT(ISNUMBER(G1709)), "", VLOOKUP(A1709,'Discount Lookup'!D:E,2,FALSE)*G1709)</f>
        <v/>
      </c>
      <c r="V1709" s="78" t="str">
        <f>IF(NOT(ISNUMBER(G1709)), "", VLOOKUP(A1709,'Discount Lookup'!G:H,2,FALSE)*G1709)</f>
        <v/>
      </c>
      <c r="W1709" s="102">
        <f t="shared" si="1219"/>
        <v>0</v>
      </c>
      <c r="X1709" s="102" t="str">
        <f t="shared" si="1220"/>
        <v>Green foliage</v>
      </c>
      <c r="Y1709" s="120" t="b">
        <f t="shared" si="1221"/>
        <v>0</v>
      </c>
      <c r="Z1709" s="117">
        <f t="shared" si="1222"/>
        <v>0</v>
      </c>
      <c r="AA1709" s="118"/>
      <c r="AB1709" s="118" t="str">
        <f t="shared" si="1223"/>
        <v/>
      </c>
      <c r="AC1709" s="712" t="str">
        <f>IF(AE1709="T2G","no charge",IF(AND(OR(PlanterYesMe="No",PlanterYesMe="N",PlanterYesMe="me"),H1709=""),"",IF(H1709="credit","NO install",IF(AND(K1709="",AE1709="me"),"EACH row",IF(AND(K1709="images",AE1709="me"),"EACH row",IF(D1709="","",IF(H1709="credit","",IF(AE1709="free","re-planting",IF(AE1709="me","   not ELP, by",IF(AND(OR(PlanterYesMe="Yes",PlanterYesMe="Y"),G1709&gt;0),(VLOOKUP(A1709,'Discount Lookup'!J:K,2)*G1709*(1-PlanterDiscount)*(1+PlanterDifficultyPercentage)),IF(AE1709="ELP",(VLOOKUP(A1709,'Discount Lookup'!J:K,2)*G1709*(1-PlanterDiscount)*(1+PlanterDifficultyPercentage)),IF(AE1709="free","re-planting",IF(G1709=0,"",IF(PlanterYesMe="",IF(AE1709="me","   not ELP, by",IF(AE1709="",IF(G1709&gt;0,(VLOOKUP(A1709,'Discount Lookup'!J:K,2)*G1709*(1-PlanterDiscount)*(1+PlanterDifficultyPercentage)),""),"")),"   not ELP, by"))))))))))))))</f>
        <v/>
      </c>
      <c r="AD1709" s="712"/>
      <c r="AE1709" s="513" t="str">
        <f t="shared" si="1224"/>
        <v/>
      </c>
      <c r="AF1709" s="713" t="str">
        <f t="shared" si="1225"/>
        <v/>
      </c>
      <c r="AG1709" s="713"/>
      <c r="AH1709" s="713"/>
      <c r="AI1709" s="112">
        <f>IF(H1709="credit",0,IF(AE1709="free",0,IF(AE1709="me",0,IF(G1709&gt;0,(VLOOKUP(A1709,'Discount Lookup'!J:K,2)*G1709),0))))</f>
        <v>0</v>
      </c>
      <c r="AJ1709" s="107" t="str">
        <f t="shared" ca="1" si="1226"/>
        <v/>
      </c>
      <c r="AK1709" s="714" t="str">
        <f t="shared" si="1227"/>
        <v/>
      </c>
      <c r="AL1709" s="714"/>
      <c r="AM1709" s="114" t="str">
        <f t="shared" si="1228"/>
        <v/>
      </c>
      <c r="AN1709" s="115"/>
      <c r="AO1709" s="116"/>
      <c r="AP1709" s="116"/>
      <c r="AQ1709" s="116"/>
      <c r="AR1709" s="116"/>
      <c r="AS1709" s="116"/>
      <c r="AT1709" s="116"/>
      <c r="AU1709" s="116"/>
      <c r="AV1709" s="78"/>
      <c r="AW1709" s="102"/>
      <c r="AX1709" s="78"/>
      <c r="AY1709" s="78"/>
      <c r="AZ1709" s="78"/>
      <c r="BA1709" s="78"/>
      <c r="BB1709" s="78"/>
      <c r="BC1709" s="78"/>
      <c r="BD1709" s="78"/>
      <c r="BE1709" s="465"/>
      <c r="BF1709" s="165" t="str">
        <f t="shared" si="1229"/>
        <v>https://www.google.com/search?tbm=isch&amp;q=Ginkgo%20biloba%20%27Troll%27%20Troll%20Ginkgo</v>
      </c>
      <c r="BG1709" s="165" t="str">
        <f t="shared" si="1230"/>
        <v>G</v>
      </c>
      <c r="BH1709" s="65"/>
      <c r="BI1709" s="65"/>
      <c r="BJ1709" s="65"/>
      <c r="BK1709" s="65"/>
      <c r="BL1709" s="99"/>
      <c r="BM1709" s="99"/>
      <c r="BN1709" s="99"/>
    </row>
    <row r="1710" spans="1:66" s="51" customFormat="1" ht="15.75" x14ac:dyDescent="0.25">
      <c r="A1710" s="634">
        <v>7</v>
      </c>
      <c r="B1710" s="635" t="s">
        <v>291</v>
      </c>
      <c r="C1710" s="636" t="s">
        <v>1707</v>
      </c>
      <c r="D1710" s="637" t="s">
        <v>299</v>
      </c>
      <c r="E1710" s="638">
        <v>169.95</v>
      </c>
      <c r="F1710" s="639" t="s">
        <v>292</v>
      </c>
      <c r="G1710" s="484">
        <v>0</v>
      </c>
      <c r="H1710" s="691" t="str">
        <f>IF(G1710=0,"",IF(F1710="Buy",IF(G1710=1,"plant","plants"),IF(F1710&gt;0.01,"warranty","Error")))</f>
        <v/>
      </c>
      <c r="I1710" s="640">
        <f>IF(H1710="free",0,IF(H1710="credit",((E1710*(F1710))*G1710*-1),IF(F1710="Buy",(E1710*G1710),((E1710*(1-F1710))*G1710))))</f>
        <v>0</v>
      </c>
      <c r="J1710" s="640">
        <f>IF(H1710="warranty",0,(I1710*(_xlfn.SINGLE(SalesTaxPercentage))))</f>
        <v>0</v>
      </c>
      <c r="K1710" s="716">
        <f t="shared" ref="K1710" si="1242">I1710+J1710</f>
        <v>0</v>
      </c>
      <c r="L1710" s="716"/>
      <c r="M1710" s="689" t="str">
        <f ca="1">IF(AND(G1710&gt;0,E1710=0),"WARNING - no PRICE inserted",IF(H1710="free","FREE ~ no charge this plant",IF(H1710="credit",CONCATENATE("-$",ROUND(K1710*(1-_xlfn.SINGLE(T2GDiscount))*-1,2)," CREDIT after discount"),IF(_xlfn.SINGLE(T2GDiscount)=0,"",IF(G1710=0,"",IF(F1710="Buy",CONCATENATE("$",ROUND(K1710*(1-_xlfn.SINGLE(T2GDiscount)),2)," with ",(_xlfn.SINGLE(T2GDiscount)*100),"% discount"),CONCATENATE("$",ROUND(K1710*(1-_xlfn.SINGLE(T2GDiscount)),2)," with ",((_xlfn.SINGLE(T2GDiscount)*100+F1710*100)-(_xlfn.SINGLE(T2GDiscount)*100*F1710)),IF(F1710&gt;0,"% discounts",IF(_xlfn.SINGLE(NoWarrantyDiscount)&gt;0,"% discounts","% discount")))))))))</f>
        <v/>
      </c>
      <c r="N1710" s="690"/>
      <c r="O1710" s="486"/>
      <c r="P1710" s="486"/>
      <c r="Q1710" s="486"/>
      <c r="R1710" s="486"/>
      <c r="S1710" s="486"/>
      <c r="T1710" s="102">
        <f t="shared" si="1218"/>
        <v>0</v>
      </c>
      <c r="U1710" s="78">
        <f>IF(NOT(ISNUMBER(G1710)), "", VLOOKUP(A1710,'Discount Lookup'!D:E,2,FALSE)*G1710)</f>
        <v>0</v>
      </c>
      <c r="V1710" s="78">
        <f>IF(NOT(ISNUMBER(G1710)), "", VLOOKUP(A1710,'Discount Lookup'!G:H,2,FALSE)*G1710)</f>
        <v>0</v>
      </c>
      <c r="W1710" s="102">
        <f t="shared" si="1219"/>
        <v>0</v>
      </c>
      <c r="X1710" s="102">
        <f t="shared" si="1220"/>
        <v>0</v>
      </c>
      <c r="Y1710" s="120" t="b">
        <f t="shared" si="1221"/>
        <v>0</v>
      </c>
      <c r="Z1710" s="117">
        <f t="shared" si="1222"/>
        <v>0</v>
      </c>
      <c r="AA1710" s="118"/>
      <c r="AB1710" s="118" t="str">
        <f t="shared" si="1223"/>
        <v/>
      </c>
      <c r="AC1710" s="712" t="str">
        <f>IF(AE1710="T2G","no charge",IF(AND(OR(PlanterYesMe="No",PlanterYesMe="N",PlanterYesMe="me"),H1710=""),"",IF(H1710="credit","NO install",IF(AND(K1710="",AE1710="me"),"EACH row",IF(AND(K1710="images",AE1710="me"),"EACH row",IF(D1710="","",IF(H1710="credit","",IF(AE1710="free","re-planting",IF(AE1710="me","   not ELP, by",IF(AND(OR(PlanterYesMe="Yes",PlanterYesMe="Y"),G1710&gt;0),(VLOOKUP(A1710,'Discount Lookup'!J:K,2)*G1710*(1-PlanterDiscount)*(1+PlanterDifficultyPercentage)),IF(AE1710="ELP",(VLOOKUP(A1710,'Discount Lookup'!J:K,2)*G1710*(1-PlanterDiscount)*(1+PlanterDifficultyPercentage)),IF(AE1710="free","re-planting",IF(G1710=0,"",IF(PlanterYesMe="",IF(AE1710="me","   not ELP, by",IF(AE1710="",IF(G1710&gt;0,(VLOOKUP(A1710,'Discount Lookup'!J:K,2)*G1710*(1-PlanterDiscount)*(1+PlanterDifficultyPercentage)),""),"")),"   not ELP, by"))))))))))))))</f>
        <v/>
      </c>
      <c r="AD1710" s="712"/>
      <c r="AE1710" s="513" t="str">
        <f t="shared" si="1224"/>
        <v/>
      </c>
      <c r="AF1710" s="713" t="str">
        <f t="shared" si="1225"/>
        <v/>
      </c>
      <c r="AG1710" s="713"/>
      <c r="AH1710" s="713"/>
      <c r="AI1710" s="112">
        <f>IF(H1710="credit",0,IF(AE1710="free",0,IF(AE1710="me",0,IF(G1710&gt;0,(VLOOKUP(A1710,'Discount Lookup'!J:K,2)*G1710),0))))</f>
        <v>0</v>
      </c>
      <c r="AJ1710" s="107" t="str">
        <f t="shared" ca="1" si="1226"/>
        <v/>
      </c>
      <c r="AK1710" s="714" t="str">
        <f t="shared" si="1227"/>
        <v/>
      </c>
      <c r="AL1710" s="714"/>
      <c r="AM1710" s="114" t="str">
        <f t="shared" si="1228"/>
        <v/>
      </c>
      <c r="AN1710" s="115"/>
      <c r="AO1710" s="116"/>
      <c r="AP1710" s="116"/>
      <c r="AQ1710" s="116"/>
      <c r="AR1710" s="116"/>
      <c r="AS1710" s="116"/>
      <c r="AT1710" s="116"/>
      <c r="AU1710" s="116"/>
      <c r="AV1710" s="78"/>
      <c r="AW1710" s="102"/>
      <c r="AX1710" s="78"/>
      <c r="AY1710" s="78"/>
      <c r="AZ1710" s="78"/>
      <c r="BA1710" s="78"/>
      <c r="BB1710" s="78"/>
      <c r="BC1710" s="78"/>
      <c r="BD1710" s="78"/>
      <c r="BE1710" s="465"/>
      <c r="BF1710" s="165" t="str">
        <f t="shared" si="1229"/>
        <v>https://www.google.com/search?tbm=isch&amp;q=7%20G4</v>
      </c>
      <c r="BG1710" s="165" t="str">
        <f t="shared" si="1230"/>
        <v>G</v>
      </c>
      <c r="BH1710" s="65"/>
      <c r="BI1710" s="65"/>
      <c r="BJ1710" s="65"/>
      <c r="BK1710" s="65"/>
      <c r="BL1710" s="99"/>
      <c r="BM1710" s="99"/>
      <c r="BN1710" s="99"/>
    </row>
    <row r="1711" spans="1:66" s="51" customFormat="1" ht="16.5" x14ac:dyDescent="0.25">
      <c r="A1711" s="641" t="s">
        <v>2616</v>
      </c>
      <c r="B1711" s="642"/>
      <c r="C1711" s="710"/>
      <c r="D1711" s="643"/>
      <c r="E1711" s="643"/>
      <c r="F1711" s="644"/>
      <c r="G1711" s="645"/>
      <c r="H1711" s="646"/>
      <c r="I1711" s="647"/>
      <c r="J1711" s="648"/>
      <c r="K1711" s="649"/>
      <c r="L1711" s="650"/>
      <c r="M1711" s="650"/>
      <c r="N1711" s="644"/>
      <c r="O1711" s="644"/>
      <c r="P1711" s="644"/>
      <c r="Q1711" s="644"/>
      <c r="R1711" s="644"/>
      <c r="S1711" s="651"/>
      <c r="T1711" s="102">
        <f t="shared" si="1218"/>
        <v>0</v>
      </c>
      <c r="U1711" s="78" t="str">
        <f>IF(NOT(ISNUMBER(G1711)), "", VLOOKUP(A1711,'Discount Lookup'!D:E,2,FALSE)*G1711)</f>
        <v/>
      </c>
      <c r="V1711" s="78" t="str">
        <f>IF(NOT(ISNUMBER(G1711)), "", VLOOKUP(A1711,'Discount Lookup'!G:H,2,FALSE)*G1711)</f>
        <v/>
      </c>
      <c r="W1711" s="102">
        <f t="shared" si="1219"/>
        <v>0</v>
      </c>
      <c r="X1711" s="102">
        <f t="shared" si="1220"/>
        <v>0</v>
      </c>
      <c r="Y1711" s="120" t="b">
        <f t="shared" si="1221"/>
        <v>0</v>
      </c>
      <c r="Z1711" s="117">
        <f t="shared" si="1222"/>
        <v>0</v>
      </c>
      <c r="AA1711" s="118"/>
      <c r="AB1711" s="118" t="str">
        <f t="shared" si="1223"/>
        <v/>
      </c>
      <c r="AC1711" s="712" t="str">
        <f>IF(AE1711="T2G","no charge",IF(AND(OR(PlanterYesMe="No",PlanterYesMe="N",PlanterYesMe="me"),H1711=""),"",IF(H1711="credit","NO install",IF(AND(K1711="",AE1711="me"),"EACH row",IF(AND(K1711="images",AE1711="me"),"EACH row",IF(D1711="","",IF(H1711="credit","",IF(AE1711="free","re-planting",IF(AE1711="me","   not ELP, by",IF(AND(OR(PlanterYesMe="Yes",PlanterYesMe="Y"),G1711&gt;0),(VLOOKUP(A1711,'Discount Lookup'!J:K,2)*G1711*(1-PlanterDiscount)*(1+PlanterDifficultyPercentage)),IF(AE1711="ELP",(VLOOKUP(A1711,'Discount Lookup'!J:K,2)*G1711*(1-PlanterDiscount)*(1+PlanterDifficultyPercentage)),IF(AE1711="free","re-planting",IF(G1711=0,"",IF(PlanterYesMe="",IF(AE1711="me","   not ELP, by",IF(AE1711="",IF(G1711&gt;0,(VLOOKUP(A1711,'Discount Lookup'!J:K,2)*G1711*(1-PlanterDiscount)*(1+PlanterDifficultyPercentage)),""),"")),"   not ELP, by"))))))))))))))</f>
        <v/>
      </c>
      <c r="AD1711" s="712"/>
      <c r="AE1711" s="513" t="str">
        <f t="shared" si="1224"/>
        <v/>
      </c>
      <c r="AF1711" s="713" t="str">
        <f t="shared" si="1225"/>
        <v/>
      </c>
      <c r="AG1711" s="713"/>
      <c r="AH1711" s="713"/>
      <c r="AI1711" s="112">
        <f>IF(H1711="credit",0,IF(AE1711="free",0,IF(AE1711="me",0,IF(G1711&gt;0,(VLOOKUP(A1711,'Discount Lookup'!J:K,2)*G1711),0))))</f>
        <v>0</v>
      </c>
      <c r="AJ1711" s="107" t="str">
        <f t="shared" ca="1" si="1226"/>
        <v/>
      </c>
      <c r="AK1711" s="714" t="str">
        <f t="shared" si="1227"/>
        <v/>
      </c>
      <c r="AL1711" s="714"/>
      <c r="AM1711" s="114" t="str">
        <f t="shared" si="1228"/>
        <v/>
      </c>
      <c r="AN1711" s="115"/>
      <c r="AO1711" s="116"/>
      <c r="AP1711" s="116"/>
      <c r="AQ1711" s="116"/>
      <c r="AR1711" s="116"/>
      <c r="AS1711" s="116"/>
      <c r="AT1711" s="116"/>
      <c r="AU1711" s="116"/>
      <c r="AV1711" s="78"/>
      <c r="AW1711" s="102"/>
      <c r="AX1711" s="78"/>
      <c r="AY1711" s="78"/>
      <c r="AZ1711" s="78"/>
      <c r="BA1711" s="78"/>
      <c r="BB1711" s="78"/>
      <c r="BC1711" s="78"/>
      <c r="BD1711" s="78"/>
      <c r="BE1711" s="465"/>
      <c r="BF1711" s="165" t="str">
        <f t="shared" si="1229"/>
        <v>https://www.google.com/search?tbm=isch&amp;q=Troll%20foliage%20emerges%20light%20Green.%20Yellow-Gold%20in%20fall.%20All%20male%2C%20so%20no%20stinky%20fruit%20</v>
      </c>
      <c r="BG1711" s="165" t="str">
        <f t="shared" si="1230"/>
        <v>T</v>
      </c>
      <c r="BH1711" s="65"/>
      <c r="BI1711" s="65"/>
      <c r="BJ1711" s="65"/>
      <c r="BK1711" s="65"/>
      <c r="BL1711" s="99"/>
      <c r="BM1711" s="99"/>
      <c r="BN1711" s="99"/>
    </row>
    <row r="1712" spans="1:66" s="51" customFormat="1" ht="19.5" thickBot="1" x14ac:dyDescent="0.3">
      <c r="A1712" s="686" t="s">
        <v>477</v>
      </c>
      <c r="B1712" s="73"/>
      <c r="C1712" s="708"/>
      <c r="D1712" s="73"/>
      <c r="E1712" s="73"/>
      <c r="F1712" s="496"/>
      <c r="G1712" s="73"/>
      <c r="H1712" s="73"/>
      <c r="I1712" s="73"/>
      <c r="J1712" s="497" t="s">
        <v>357</v>
      </c>
      <c r="K1712" s="498"/>
      <c r="L1712" s="562"/>
      <c r="M1712" s="73"/>
      <c r="N1712"/>
      <c r="O1712"/>
      <c r="P1712"/>
      <c r="Q1712"/>
      <c r="R1712"/>
      <c r="S1712"/>
      <c r="T1712" s="102">
        <f t="shared" si="1218"/>
        <v>0</v>
      </c>
      <c r="U1712" s="78" t="str">
        <f>IF(NOT(ISNUMBER(G1712)), "", VLOOKUP(A1712,'Discount Lookup'!D:E,2,FALSE)*G1712)</f>
        <v/>
      </c>
      <c r="V1712" s="78" t="str">
        <f>IF(NOT(ISNUMBER(G1712)), "", VLOOKUP(A1712,'Discount Lookup'!G:H,2,FALSE)*G1712)</f>
        <v/>
      </c>
      <c r="W1712" s="102">
        <f t="shared" si="1219"/>
        <v>0</v>
      </c>
      <c r="X1712" s="102">
        <f t="shared" si="1220"/>
        <v>0</v>
      </c>
      <c r="Y1712" s="120" t="b">
        <f t="shared" si="1221"/>
        <v>0</v>
      </c>
      <c r="Z1712" s="117">
        <f t="shared" si="1222"/>
        <v>0</v>
      </c>
      <c r="AA1712" s="118"/>
      <c r="AB1712" s="118" t="str">
        <f t="shared" si="1223"/>
        <v/>
      </c>
      <c r="AC1712" s="712" t="str">
        <f>IF(AE1712="T2G","no charge",IF(AND(OR(PlanterYesMe="No",PlanterYesMe="N",PlanterYesMe="me"),H1712=""),"",IF(H1712="credit","NO install",IF(AND(K1712="",AE1712="me"),"EACH row",IF(AND(K1712="images",AE1712="me"),"EACH row",IF(D1712="","",IF(H1712="credit","",IF(AE1712="free","re-planting",IF(AE1712="me","   not ELP, by",IF(AND(OR(PlanterYesMe="Yes",PlanterYesMe="Y"),G1712&gt;0),(VLOOKUP(A1712,'Discount Lookup'!J:K,2)*G1712*(1-PlanterDiscount)*(1+PlanterDifficultyPercentage)),IF(AE1712="ELP",(VLOOKUP(A1712,'Discount Lookup'!J:K,2)*G1712*(1-PlanterDiscount)*(1+PlanterDifficultyPercentage)),IF(AE1712="free","re-planting",IF(G1712=0,"",IF(PlanterYesMe="",IF(AE1712="me","   not ELP, by",IF(AE1712="",IF(G1712&gt;0,(VLOOKUP(A1712,'Discount Lookup'!J:K,2)*G1712*(1-PlanterDiscount)*(1+PlanterDifficultyPercentage)),""),"")),"   not ELP, by"))))))))))))))</f>
        <v/>
      </c>
      <c r="AD1712" s="712"/>
      <c r="AE1712" s="513" t="str">
        <f t="shared" si="1224"/>
        <v/>
      </c>
      <c r="AF1712" s="713" t="str">
        <f t="shared" si="1225"/>
        <v/>
      </c>
      <c r="AG1712" s="713"/>
      <c r="AH1712" s="713"/>
      <c r="AI1712" s="112">
        <f>IF(H1712="credit",0,IF(AE1712="free",0,IF(AE1712="me",0,IF(G1712&gt;0,(VLOOKUP(A1712,'Discount Lookup'!J:K,2)*G1712),0))))</f>
        <v>0</v>
      </c>
      <c r="AJ1712" s="107" t="str">
        <f t="shared" ca="1" si="1226"/>
        <v/>
      </c>
      <c r="AK1712" s="714" t="str">
        <f t="shared" si="1227"/>
        <v/>
      </c>
      <c r="AL1712" s="714"/>
      <c r="AM1712" s="114" t="str">
        <f t="shared" si="1228"/>
        <v/>
      </c>
      <c r="AN1712" s="115"/>
      <c r="AO1712" s="116"/>
      <c r="AP1712" s="116"/>
      <c r="AQ1712" s="116"/>
      <c r="AR1712" s="116"/>
      <c r="AS1712" s="116"/>
      <c r="AT1712" s="116"/>
      <c r="AU1712" s="116"/>
      <c r="AV1712" s="78"/>
      <c r="AW1712" s="102"/>
      <c r="AX1712" s="78"/>
      <c r="AY1712" s="78"/>
      <c r="AZ1712" s="78"/>
      <c r="BA1712" s="78"/>
      <c r="BB1712" s="78"/>
      <c r="BC1712" s="78"/>
      <c r="BD1712" s="78"/>
      <c r="BE1712" s="465"/>
      <c r="BF1712" s="165" t="str">
        <f t="shared" si="1229"/>
        <v>https://www.google.com/search?tbm=isch&amp;q=Gordlinia%20%3D%20Mountain%20Gordlinia%20</v>
      </c>
      <c r="BG1712" s="165" t="str">
        <f t="shared" si="1230"/>
        <v>G</v>
      </c>
      <c r="BH1712" s="65"/>
      <c r="BI1712" s="65"/>
      <c r="BJ1712" s="65"/>
      <c r="BK1712" s="65"/>
      <c r="BL1712" s="99"/>
      <c r="BM1712" s="99"/>
      <c r="BN1712" s="99"/>
    </row>
    <row r="1713" spans="1:66" s="51" customFormat="1" ht="18" x14ac:dyDescent="0.25">
      <c r="A1713" s="507" t="s">
        <v>478</v>
      </c>
      <c r="B1713" s="470"/>
      <c r="C1713" s="706"/>
      <c r="D1713" s="471" t="s">
        <v>479</v>
      </c>
      <c r="E1713" s="472"/>
      <c r="F1713" s="472"/>
      <c r="G1713" s="472"/>
      <c r="H1713" s="622" t="s">
        <v>480</v>
      </c>
      <c r="I1713" s="473" t="s">
        <v>349</v>
      </c>
      <c r="J1713" s="472"/>
      <c r="K1713" s="472"/>
      <c r="L1713" s="561"/>
      <c r="M1713" s="698" t="s">
        <v>5246</v>
      </c>
      <c r="N1713" s="692" t="str">
        <f>IF(AND(ISTEXT($A1713), ISERROR($A1713+0)), HYPERLINK($BF1713, "Images"), "")</f>
        <v>Images</v>
      </c>
      <c r="O1713" s="694" t="s">
        <v>5247</v>
      </c>
      <c r="P1713" s="475"/>
      <c r="Q1713" s="476"/>
      <c r="R1713" s="476"/>
      <c r="S1713" s="477"/>
      <c r="T1713" s="102">
        <f t="shared" si="1218"/>
        <v>0</v>
      </c>
      <c r="U1713" s="78" t="str">
        <f>IF(NOT(ISNUMBER(G1713)), "", VLOOKUP(A1713,'Discount Lookup'!D:E,2,FALSE)*G1713)</f>
        <v/>
      </c>
      <c r="V1713" s="78" t="str">
        <f>IF(NOT(ISNUMBER(G1713)), "", VLOOKUP(A1713,'Discount Lookup'!G:H,2,FALSE)*G1713)</f>
        <v/>
      </c>
      <c r="W1713" s="102">
        <f t="shared" si="1219"/>
        <v>0</v>
      </c>
      <c r="X1713" s="102" t="str">
        <f t="shared" si="1220"/>
        <v>White bloom</v>
      </c>
      <c r="Y1713" s="120" t="b">
        <f t="shared" si="1221"/>
        <v>0</v>
      </c>
      <c r="Z1713" s="117">
        <f t="shared" si="1222"/>
        <v>0</v>
      </c>
      <c r="AA1713" s="118"/>
      <c r="AB1713" s="118" t="str">
        <f t="shared" si="1223"/>
        <v/>
      </c>
      <c r="AC1713" s="712" t="str">
        <f>IF(AE1713="T2G","no charge",IF(AND(OR(PlanterYesMe="No",PlanterYesMe="N",PlanterYesMe="me"),H1713=""),"",IF(H1713="credit","NO install",IF(AND(K1713="",AE1713="me"),"EACH row",IF(AND(K1713="images",AE1713="me"),"EACH row",IF(D1713="","",IF(H1713="credit","",IF(AE1713="free","re-planting",IF(AE1713="me","   not ELP, by",IF(AND(OR(PlanterYesMe="Yes",PlanterYesMe="Y"),G1713&gt;0),(VLOOKUP(A1713,'Discount Lookup'!J:K,2)*G1713*(1-PlanterDiscount)*(1+PlanterDifficultyPercentage)),IF(AE1713="ELP",(VLOOKUP(A1713,'Discount Lookup'!J:K,2)*G1713*(1-PlanterDiscount)*(1+PlanterDifficultyPercentage)),IF(AE1713="free","re-planting",IF(G1713=0,"",IF(PlanterYesMe="",IF(AE1713="me","   not ELP, by",IF(AE1713="",IF(G1713&gt;0,(VLOOKUP(A1713,'Discount Lookup'!J:K,2)*G1713*(1-PlanterDiscount)*(1+PlanterDifficultyPercentage)),""),"")),"   not ELP, by"))))))))))))))</f>
        <v/>
      </c>
      <c r="AD1713" s="712"/>
      <c r="AE1713" s="513" t="str">
        <f t="shared" si="1224"/>
        <v/>
      </c>
      <c r="AF1713" s="713" t="str">
        <f t="shared" si="1225"/>
        <v/>
      </c>
      <c r="AG1713" s="713"/>
      <c r="AH1713" s="713"/>
      <c r="AI1713" s="112">
        <f>IF(H1713="credit",0,IF(AE1713="free",0,IF(AE1713="me",0,IF(G1713&gt;0,(VLOOKUP(A1713,'Discount Lookup'!J:K,2)*G1713),0))))</f>
        <v>0</v>
      </c>
      <c r="AJ1713" s="107" t="str">
        <f t="shared" ca="1" si="1226"/>
        <v/>
      </c>
      <c r="AK1713" s="714" t="str">
        <f t="shared" si="1227"/>
        <v/>
      </c>
      <c r="AL1713" s="714"/>
      <c r="AM1713" s="114" t="str">
        <f t="shared" si="1228"/>
        <v/>
      </c>
      <c r="AN1713" s="115"/>
      <c r="AO1713" s="116"/>
      <c r="AP1713" s="116"/>
      <c r="AQ1713" s="116"/>
      <c r="AR1713" s="116"/>
      <c r="AS1713" s="116"/>
      <c r="AT1713" s="116"/>
      <c r="AU1713" s="116"/>
      <c r="AV1713" s="78"/>
      <c r="AW1713" s="102"/>
      <c r="AX1713" s="78"/>
      <c r="AY1713" s="78"/>
      <c r="AZ1713" s="78"/>
      <c r="BA1713" s="78"/>
      <c r="BB1713" s="78"/>
      <c r="BC1713" s="78"/>
      <c r="BD1713" s="78"/>
      <c r="BE1713" s="465"/>
      <c r="BF1713" s="165" t="str">
        <f t="shared" si="1229"/>
        <v>https://www.google.com/search?tbm=isch&amp;q=Gordlinia%20grandiflora%20Mountain%20Gordlinia</v>
      </c>
      <c r="BG1713" s="165" t="str">
        <f t="shared" si="1230"/>
        <v>G</v>
      </c>
      <c r="BH1713" s="65"/>
      <c r="BI1713" s="65"/>
      <c r="BJ1713" s="65"/>
      <c r="BK1713" s="65"/>
      <c r="BL1713" s="99"/>
      <c r="BM1713" s="99"/>
      <c r="BN1713" s="99"/>
    </row>
    <row r="1714" spans="1:66" s="51" customFormat="1" ht="15.75" x14ac:dyDescent="0.25">
      <c r="A1714" s="478">
        <v>7</v>
      </c>
      <c r="B1714" s="479" t="s">
        <v>291</v>
      </c>
      <c r="C1714" s="480" t="s">
        <v>1223</v>
      </c>
      <c r="D1714" s="481" t="s">
        <v>299</v>
      </c>
      <c r="E1714" s="482">
        <v>109.95</v>
      </c>
      <c r="F1714" s="483" t="s">
        <v>292</v>
      </c>
      <c r="G1714" s="484">
        <v>0</v>
      </c>
      <c r="H1714" s="688" t="str">
        <f>IF(G1714=0,"",IF(F1714="Buy",IF(G1714=1,"plant","plants"),IF(F1714&gt;0.01,"warranty","Error")))</f>
        <v/>
      </c>
      <c r="I1714" s="485">
        <f>IF(H1714="free",0,IF(H1714="credit",((E1714*(F1714))*G1714*-1),IF(F1714="Buy",(E1714*G1714),((E1714*(1-F1714))*G1714))))</f>
        <v>0</v>
      </c>
      <c r="J1714" s="485">
        <f>IF(H1714="warranty",0,(I1714*(_xlfn.SINGLE(SalesTaxPercentage))))</f>
        <v>0</v>
      </c>
      <c r="K1714" s="715">
        <f t="shared" ref="K1714" si="1243">I1714+J1714</f>
        <v>0</v>
      </c>
      <c r="L1714" s="715"/>
      <c r="M1714" s="689" t="str">
        <f ca="1">IF(AND(G1714&gt;0,E1714=0),"WARNING - no PRICE inserted",IF(H1714="free","FREE ~ no charge this plant",IF(H1714="credit",CONCATENATE("-$",ROUND(K1714*(1-_xlfn.SINGLE(T2GDiscount))*-1,2)," CREDIT after discount"),IF(_xlfn.SINGLE(T2GDiscount)=0,"",IF(G1714=0,"",IF(F1714="Buy",CONCATENATE("$",ROUND(K1714*(1-_xlfn.SINGLE(T2GDiscount)),2)," with ",(_xlfn.SINGLE(T2GDiscount)*100),"% discount"),CONCATENATE("$",ROUND(K1714*(1-_xlfn.SINGLE(T2GDiscount)),2)," with ",((_xlfn.SINGLE(T2GDiscount)*100+F1714*100)-(_xlfn.SINGLE(T2GDiscount)*100*F1714)),IF(F1714&gt;0,"% discounts",IF(_xlfn.SINGLE(NoWarrantyDiscount)&gt;0,"% discounts","% discount")))))))))</f>
        <v/>
      </c>
      <c r="N1714" s="690"/>
      <c r="O1714" s="486"/>
      <c r="P1714" s="486"/>
      <c r="Q1714" s="486"/>
      <c r="R1714" s="486"/>
      <c r="S1714" s="486"/>
      <c r="T1714" s="102">
        <f t="shared" si="1218"/>
        <v>0</v>
      </c>
      <c r="U1714" s="78">
        <f>IF(NOT(ISNUMBER(G1714)), "", VLOOKUP(A1714,'Discount Lookup'!D:E,2,FALSE)*G1714)</f>
        <v>0</v>
      </c>
      <c r="V1714" s="78">
        <f>IF(NOT(ISNUMBER(G1714)), "", VLOOKUP(A1714,'Discount Lookup'!G:H,2,FALSE)*G1714)</f>
        <v>0</v>
      </c>
      <c r="W1714" s="102">
        <f t="shared" si="1219"/>
        <v>0</v>
      </c>
      <c r="X1714" s="102">
        <f t="shared" si="1220"/>
        <v>0</v>
      </c>
      <c r="Y1714" s="120" t="b">
        <f t="shared" si="1221"/>
        <v>0</v>
      </c>
      <c r="Z1714" s="117">
        <f t="shared" si="1222"/>
        <v>0</v>
      </c>
      <c r="AA1714" s="118"/>
      <c r="AB1714" s="118" t="str">
        <f t="shared" si="1223"/>
        <v/>
      </c>
      <c r="AC1714" s="712" t="str">
        <f>IF(AE1714="T2G","no charge",IF(AND(OR(PlanterYesMe="No",PlanterYesMe="N",PlanterYesMe="me"),H1714=""),"",IF(H1714="credit","NO install",IF(AND(K1714="",AE1714="me"),"EACH row",IF(AND(K1714="images",AE1714="me"),"EACH row",IF(D1714="","",IF(H1714="credit","",IF(AE1714="free","re-planting",IF(AE1714="me","   not ELP, by",IF(AND(OR(PlanterYesMe="Yes",PlanterYesMe="Y"),G1714&gt;0),(VLOOKUP(A1714,'Discount Lookup'!J:K,2)*G1714*(1-PlanterDiscount)*(1+PlanterDifficultyPercentage)),IF(AE1714="ELP",(VLOOKUP(A1714,'Discount Lookup'!J:K,2)*G1714*(1-PlanterDiscount)*(1+PlanterDifficultyPercentage)),IF(AE1714="free","re-planting",IF(G1714=0,"",IF(PlanterYesMe="",IF(AE1714="me","   not ELP, by",IF(AE1714="",IF(G1714&gt;0,(VLOOKUP(A1714,'Discount Lookup'!J:K,2)*G1714*(1-PlanterDiscount)*(1+PlanterDifficultyPercentage)),""),"")),"   not ELP, by"))))))))))))))</f>
        <v/>
      </c>
      <c r="AD1714" s="712"/>
      <c r="AE1714" s="513" t="str">
        <f t="shared" si="1224"/>
        <v/>
      </c>
      <c r="AF1714" s="713" t="str">
        <f t="shared" si="1225"/>
        <v/>
      </c>
      <c r="AG1714" s="713"/>
      <c r="AH1714" s="713"/>
      <c r="AI1714" s="112">
        <f>IF(H1714="credit",0,IF(AE1714="free",0,IF(AE1714="me",0,IF(G1714&gt;0,(VLOOKUP(A1714,'Discount Lookup'!J:K,2)*G1714),0))))</f>
        <v>0</v>
      </c>
      <c r="AJ1714" s="107" t="str">
        <f t="shared" ca="1" si="1226"/>
        <v/>
      </c>
      <c r="AK1714" s="714" t="str">
        <f t="shared" si="1227"/>
        <v/>
      </c>
      <c r="AL1714" s="714"/>
      <c r="AM1714" s="114" t="str">
        <f t="shared" si="1228"/>
        <v/>
      </c>
      <c r="AN1714" s="115"/>
      <c r="AO1714" s="116"/>
      <c r="AP1714" s="116"/>
      <c r="AQ1714" s="116"/>
      <c r="AR1714" s="116"/>
      <c r="AS1714" s="116"/>
      <c r="AT1714" s="116"/>
      <c r="AU1714" s="116"/>
      <c r="AV1714" s="78"/>
      <c r="AW1714" s="102"/>
      <c r="AX1714" s="78"/>
      <c r="AY1714" s="78"/>
      <c r="AZ1714" s="78"/>
      <c r="BA1714" s="78"/>
      <c r="BB1714" s="78"/>
      <c r="BC1714" s="78"/>
      <c r="BD1714" s="78"/>
      <c r="BE1714" s="465"/>
      <c r="BF1714" s="165" t="str">
        <f t="shared" si="1229"/>
        <v>https://www.google.com/search?tbm=isch&amp;q=7%20G4</v>
      </c>
      <c r="BG1714" s="165" t="str">
        <f t="shared" si="1230"/>
        <v>G</v>
      </c>
      <c r="BH1714" s="65"/>
      <c r="BI1714" s="65"/>
      <c r="BJ1714" s="65"/>
      <c r="BK1714" s="65"/>
      <c r="BL1714" s="99"/>
      <c r="BM1714" s="99"/>
      <c r="BN1714" s="99"/>
    </row>
    <row r="1715" spans="1:66" s="51" customFormat="1" ht="16.5" x14ac:dyDescent="0.25">
      <c r="A1715" s="705" t="s">
        <v>5397</v>
      </c>
      <c r="B1715" s="487"/>
      <c r="C1715" s="707"/>
      <c r="D1715" s="487"/>
      <c r="E1715" s="487"/>
      <c r="F1715" s="488"/>
      <c r="G1715" s="489"/>
      <c r="H1715" s="487"/>
      <c r="I1715" s="490"/>
      <c r="J1715" s="490"/>
      <c r="K1715" s="491"/>
      <c r="L1715" s="547"/>
      <c r="M1715" s="528"/>
      <c r="N1715" s="492"/>
      <c r="O1715" s="493"/>
      <c r="P1715" s="494"/>
      <c r="Q1715" s="492"/>
      <c r="R1715" s="492"/>
      <c r="S1715" s="699" t="s">
        <v>5281</v>
      </c>
      <c r="T1715" s="102">
        <f t="shared" si="1218"/>
        <v>0</v>
      </c>
      <c r="U1715" s="78" t="str">
        <f>IF(NOT(ISNUMBER(G1715)), "", VLOOKUP(A1715,'Discount Lookup'!D:E,2,FALSE)*G1715)</f>
        <v/>
      </c>
      <c r="V1715" s="78" t="str">
        <f>IF(NOT(ISNUMBER(G1715)), "", VLOOKUP(A1715,'Discount Lookup'!G:H,2,FALSE)*G1715)</f>
        <v/>
      </c>
      <c r="W1715" s="102">
        <f t="shared" si="1219"/>
        <v>0</v>
      </c>
      <c r="X1715" s="102">
        <f t="shared" si="1220"/>
        <v>0</v>
      </c>
      <c r="Y1715" s="120" t="b">
        <f t="shared" si="1221"/>
        <v>0</v>
      </c>
      <c r="Z1715" s="117">
        <f t="shared" si="1222"/>
        <v>0</v>
      </c>
      <c r="AA1715" s="118"/>
      <c r="AB1715" s="118" t="str">
        <f t="shared" si="1223"/>
        <v/>
      </c>
      <c r="AC1715" s="712" t="str">
        <f>IF(AE1715="T2G","no charge",IF(AND(OR(PlanterYesMe="No",PlanterYesMe="N",PlanterYesMe="me"),H1715=""),"",IF(H1715="credit","NO install",IF(AND(K1715="",AE1715="me"),"EACH row",IF(AND(K1715="images",AE1715="me"),"EACH row",IF(D1715="","",IF(H1715="credit","",IF(AE1715="free","re-planting",IF(AE1715="me","   not ELP, by",IF(AND(OR(PlanterYesMe="Yes",PlanterYesMe="Y"),G1715&gt;0),(VLOOKUP(A1715,'Discount Lookup'!J:K,2)*G1715*(1-PlanterDiscount)*(1+PlanterDifficultyPercentage)),IF(AE1715="ELP",(VLOOKUP(A1715,'Discount Lookup'!J:K,2)*G1715*(1-PlanterDiscount)*(1+PlanterDifficultyPercentage)),IF(AE1715="free","re-planting",IF(G1715=0,"",IF(PlanterYesMe="",IF(AE1715="me","   not ELP, by",IF(AE1715="",IF(G1715&gt;0,(VLOOKUP(A1715,'Discount Lookup'!J:K,2)*G1715*(1-PlanterDiscount)*(1+PlanterDifficultyPercentage)),""),"")),"   not ELP, by"))))))))))))))</f>
        <v/>
      </c>
      <c r="AD1715" s="712"/>
      <c r="AE1715" s="513" t="str">
        <f t="shared" si="1224"/>
        <v/>
      </c>
      <c r="AF1715" s="713" t="str">
        <f t="shared" si="1225"/>
        <v/>
      </c>
      <c r="AG1715" s="713"/>
      <c r="AH1715" s="713"/>
      <c r="AI1715" s="112">
        <f>IF(H1715="credit",0,IF(AE1715="free",0,IF(AE1715="me",0,IF(G1715&gt;0,(VLOOKUP(A1715,'Discount Lookup'!J:K,2)*G1715),0))))</f>
        <v>0</v>
      </c>
      <c r="AJ1715" s="107" t="str">
        <f t="shared" ca="1" si="1226"/>
        <v/>
      </c>
      <c r="AK1715" s="714" t="str">
        <f t="shared" si="1227"/>
        <v/>
      </c>
      <c r="AL1715" s="714"/>
      <c r="AM1715" s="114" t="str">
        <f t="shared" si="1228"/>
        <v/>
      </c>
      <c r="AN1715" s="115"/>
      <c r="AO1715" s="116"/>
      <c r="AP1715" s="116"/>
      <c r="AQ1715" s="116"/>
      <c r="AR1715" s="116"/>
      <c r="AS1715" s="116"/>
      <c r="AT1715" s="116"/>
      <c r="AU1715" s="116"/>
      <c r="AV1715" s="78"/>
      <c r="AW1715" s="102"/>
      <c r="AX1715" s="78"/>
      <c r="AY1715" s="78"/>
      <c r="AZ1715" s="78"/>
      <c r="BA1715" s="78"/>
      <c r="BB1715" s="78"/>
      <c r="BC1715" s="78"/>
      <c r="BD1715" s="78"/>
      <c r="BE1715" s="465"/>
      <c r="BF1715" s="165" t="str">
        <f t="shared" si="1229"/>
        <v>https://www.google.com/search?tbm=isch&amp;q=wet%20sites%F0%9F%92%A7GOOD%2C%20Mountain%20Gordlinia%20is%20semi-evergreen.%20Long%20lasting%20blooms%20are%20large%20and%20fragrant%20</v>
      </c>
      <c r="BG1715" s="165" t="str">
        <f t="shared" si="1230"/>
        <v>w</v>
      </c>
      <c r="BH1715" s="65"/>
      <c r="BI1715" s="65"/>
      <c r="BJ1715" s="65"/>
      <c r="BK1715" s="65"/>
      <c r="BL1715" s="99"/>
      <c r="BM1715" s="99"/>
      <c r="BN1715" s="99"/>
    </row>
    <row r="1716" spans="1:66" s="51" customFormat="1" ht="55.5" x14ac:dyDescent="0.25">
      <c r="A1716" s="520" t="s">
        <v>481</v>
      </c>
      <c r="B1716" s="501"/>
      <c r="C1716" s="502"/>
      <c r="D1716" s="502"/>
      <c r="E1716" s="502"/>
      <c r="F1716" s="502"/>
      <c r="G1716" s="502"/>
      <c r="H1716" s="502"/>
      <c r="I1716" s="502"/>
      <c r="J1716" s="502"/>
      <c r="K1716" s="509" t="s">
        <v>871</v>
      </c>
      <c r="L1716" s="503"/>
      <c r="M1716" s="563"/>
      <c r="N1716" s="504"/>
      <c r="O1716" s="504"/>
      <c r="P1716" s="504"/>
      <c r="Q1716" s="504"/>
      <c r="R1716" s="504"/>
      <c r="S1716" s="511" t="s">
        <v>1546</v>
      </c>
      <c r="T1716" s="102">
        <f t="shared" si="1218"/>
        <v>0</v>
      </c>
      <c r="U1716" s="78" t="str">
        <f>IF(NOT(ISNUMBER(G1716)), "", VLOOKUP(A1716,'Discount Lookup'!D:E,2,FALSE)*G1716)</f>
        <v/>
      </c>
      <c r="V1716" s="78" t="str">
        <f>IF(NOT(ISNUMBER(G1716)), "", VLOOKUP(A1716,'Discount Lookup'!G:H,2,FALSE)*G1716)</f>
        <v/>
      </c>
      <c r="W1716" s="102">
        <f t="shared" si="1219"/>
        <v>0</v>
      </c>
      <c r="X1716" s="102">
        <f t="shared" si="1220"/>
        <v>0</v>
      </c>
      <c r="Y1716" s="120" t="b">
        <f t="shared" si="1221"/>
        <v>0</v>
      </c>
      <c r="Z1716" s="117">
        <f t="shared" si="1222"/>
        <v>0</v>
      </c>
      <c r="AA1716" s="118"/>
      <c r="AB1716" s="118" t="str">
        <f t="shared" si="1223"/>
        <v/>
      </c>
      <c r="AC1716" s="712" t="str">
        <f>IF(AE1716="T2G","no charge",IF(AND(OR(PlanterYesMe="No",PlanterYesMe="N",PlanterYesMe="me"),H1716=""),"",IF(H1716="credit","NO install",IF(AND(K1716="",AE1716="me"),"EACH row",IF(AND(K1716="images",AE1716="me"),"EACH row",IF(D1716="","",IF(H1716="credit","",IF(AE1716="free","re-planting",IF(AE1716="me","   not ELP, by",IF(AND(OR(PlanterYesMe="Yes",PlanterYesMe="Y"),G1716&gt;0),(VLOOKUP(A1716,'Discount Lookup'!J:K,2)*G1716*(1-PlanterDiscount)*(1+PlanterDifficultyPercentage)),IF(AE1716="ELP",(VLOOKUP(A1716,'Discount Lookup'!J:K,2)*G1716*(1-PlanterDiscount)*(1+PlanterDifficultyPercentage)),IF(AE1716="free","re-planting",IF(G1716=0,"",IF(PlanterYesMe="",IF(AE1716="me","   not ELP, by",IF(AE1716="",IF(G1716&gt;0,(VLOOKUP(A1716,'Discount Lookup'!J:K,2)*G1716*(1-PlanterDiscount)*(1+PlanterDifficultyPercentage)),""),"")),"   not ELP, by"))))))))))))))</f>
        <v/>
      </c>
      <c r="AD1716" s="712"/>
      <c r="AE1716" s="513" t="str">
        <f t="shared" si="1224"/>
        <v/>
      </c>
      <c r="AF1716" s="713" t="str">
        <f t="shared" si="1225"/>
        <v/>
      </c>
      <c r="AG1716" s="713"/>
      <c r="AH1716" s="713"/>
      <c r="AI1716" s="112">
        <f>IF(H1716="credit",0,IF(AE1716="free",0,IF(AE1716="me",0,IF(G1716&gt;0,(VLOOKUP(A1716,'Discount Lookup'!J:K,2)*G1716),0))))</f>
        <v>0</v>
      </c>
      <c r="AJ1716" s="107" t="str">
        <f t="shared" ca="1" si="1226"/>
        <v/>
      </c>
      <c r="AK1716" s="714" t="str">
        <f t="shared" si="1227"/>
        <v/>
      </c>
      <c r="AL1716" s="714"/>
      <c r="AM1716" s="114" t="str">
        <f t="shared" si="1228"/>
        <v/>
      </c>
      <c r="AN1716" s="115"/>
      <c r="AO1716" s="116"/>
      <c r="AP1716" s="116"/>
      <c r="AQ1716" s="116"/>
      <c r="AR1716" s="116"/>
      <c r="AS1716" s="116"/>
      <c r="AT1716" s="116"/>
      <c r="AU1716" s="116"/>
      <c r="AV1716" s="78"/>
      <c r="AW1716" s="102"/>
      <c r="AX1716" s="78"/>
      <c r="AY1716" s="78"/>
      <c r="AZ1716" s="78"/>
      <c r="BA1716" s="78"/>
      <c r="BB1716" s="78"/>
      <c r="BC1716" s="78"/>
      <c r="BD1716" s="78"/>
      <c r="BE1716" s="465"/>
      <c r="BF1716" s="165" t="str">
        <f t="shared" si="1229"/>
        <v>https://www.google.com/search?tbm=isch&amp;q=H%20</v>
      </c>
      <c r="BG1716" s="165" t="str">
        <f t="shared" si="1230"/>
        <v>H</v>
      </c>
      <c r="BH1716" s="65"/>
      <c r="BI1716" s="65"/>
      <c r="BJ1716" s="65"/>
      <c r="BK1716" s="65"/>
      <c r="BL1716" s="99"/>
      <c r="BM1716" s="99"/>
      <c r="BN1716" s="99"/>
    </row>
    <row r="1717" spans="1:66" s="51" customFormat="1" ht="19.5" thickBot="1" x14ac:dyDescent="0.3">
      <c r="A1717" s="686" t="s">
        <v>482</v>
      </c>
      <c r="B1717" s="73"/>
      <c r="C1717" s="708"/>
      <c r="D1717" s="73"/>
      <c r="E1717" s="73"/>
      <c r="F1717" s="496"/>
      <c r="G1717" s="73"/>
      <c r="H1717" s="73"/>
      <c r="I1717" s="73"/>
      <c r="J1717" s="497" t="s">
        <v>357</v>
      </c>
      <c r="K1717" s="498"/>
      <c r="L1717" s="562"/>
      <c r="M1717" s="73"/>
      <c r="N1717"/>
      <c r="O1717"/>
      <c r="P1717"/>
      <c r="Q1717"/>
      <c r="R1717"/>
      <c r="S1717"/>
      <c r="T1717" s="102">
        <f t="shared" si="1218"/>
        <v>0</v>
      </c>
      <c r="U1717" s="78" t="str">
        <f>IF(NOT(ISNUMBER(G1717)), "", VLOOKUP(A1717,'Discount Lookup'!D:E,2,FALSE)*G1717)</f>
        <v/>
      </c>
      <c r="V1717" s="78" t="str">
        <f>IF(NOT(ISNUMBER(G1717)), "", VLOOKUP(A1717,'Discount Lookup'!G:H,2,FALSE)*G1717)</f>
        <v/>
      </c>
      <c r="W1717" s="102">
        <f t="shared" si="1219"/>
        <v>0</v>
      </c>
      <c r="X1717" s="102">
        <f t="shared" si="1220"/>
        <v>0</v>
      </c>
      <c r="Y1717" s="120" t="b">
        <f t="shared" si="1221"/>
        <v>0</v>
      </c>
      <c r="Z1717" s="117">
        <f t="shared" si="1222"/>
        <v>0</v>
      </c>
      <c r="AA1717" s="118"/>
      <c r="AB1717" s="118" t="str">
        <f t="shared" si="1223"/>
        <v/>
      </c>
      <c r="AC1717" s="712" t="str">
        <f>IF(AE1717="T2G","no charge",IF(AND(OR(PlanterYesMe="No",PlanterYesMe="N",PlanterYesMe="me"),H1717=""),"",IF(H1717="credit","NO install",IF(AND(K1717="",AE1717="me"),"EACH row",IF(AND(K1717="images",AE1717="me"),"EACH row",IF(D1717="","",IF(H1717="credit","",IF(AE1717="free","re-planting",IF(AE1717="me","   not ELP, by",IF(AND(OR(PlanterYesMe="Yes",PlanterYesMe="Y"),G1717&gt;0),(VLOOKUP(A1717,'Discount Lookup'!J:K,2)*G1717*(1-PlanterDiscount)*(1+PlanterDifficultyPercentage)),IF(AE1717="ELP",(VLOOKUP(A1717,'Discount Lookup'!J:K,2)*G1717*(1-PlanterDiscount)*(1+PlanterDifficultyPercentage)),IF(AE1717="free","re-planting",IF(G1717=0,"",IF(PlanterYesMe="",IF(AE1717="me","   not ELP, by",IF(AE1717="",IF(G1717&gt;0,(VLOOKUP(A1717,'Discount Lookup'!J:K,2)*G1717*(1-PlanterDiscount)*(1+PlanterDifficultyPercentage)),""),"")),"   not ELP, by"))))))))))))))</f>
        <v/>
      </c>
      <c r="AD1717" s="712"/>
      <c r="AE1717" s="513" t="str">
        <f t="shared" si="1224"/>
        <v/>
      </c>
      <c r="AF1717" s="713" t="str">
        <f t="shared" si="1225"/>
        <v/>
      </c>
      <c r="AG1717" s="713"/>
      <c r="AH1717" s="713"/>
      <c r="AI1717" s="112">
        <f>IF(H1717="credit",0,IF(AE1717="free",0,IF(AE1717="me",0,IF(G1717&gt;0,(VLOOKUP(A1717,'Discount Lookup'!J:K,2)*G1717),0))))</f>
        <v>0</v>
      </c>
      <c r="AJ1717" s="107" t="str">
        <f t="shared" ca="1" si="1226"/>
        <v/>
      </c>
      <c r="AK1717" s="714" t="str">
        <f t="shared" si="1227"/>
        <v/>
      </c>
      <c r="AL1717" s="714"/>
      <c r="AM1717" s="114" t="str">
        <f t="shared" si="1228"/>
        <v/>
      </c>
      <c r="AN1717" s="115"/>
      <c r="AO1717" s="116"/>
      <c r="AP1717" s="116"/>
      <c r="AQ1717" s="116"/>
      <c r="AR1717" s="116"/>
      <c r="AS1717" s="116"/>
      <c r="AT1717" s="116"/>
      <c r="AU1717" s="116"/>
      <c r="AV1717" s="78"/>
      <c r="AW1717" s="102"/>
      <c r="AX1717" s="78"/>
      <c r="AY1717" s="78"/>
      <c r="AZ1717" s="78"/>
      <c r="BA1717" s="78"/>
      <c r="BB1717" s="78"/>
      <c r="BC1717" s="78"/>
      <c r="BD1717" s="78"/>
      <c r="BE1717" s="465"/>
      <c r="BF1717" s="165" t="str">
        <f t="shared" si="1229"/>
        <v>https://www.google.com/search?tbm=isch&amp;q=Hamamelis%20%3D%20Arizona%20Cypress%20</v>
      </c>
      <c r="BG1717" s="165" t="str">
        <f t="shared" si="1230"/>
        <v>H</v>
      </c>
      <c r="BH1717" s="65"/>
      <c r="BI1717" s="65"/>
      <c r="BJ1717" s="65"/>
      <c r="BK1717" s="65"/>
      <c r="BL1717" s="99"/>
      <c r="BM1717" s="99"/>
      <c r="BN1717" s="99"/>
    </row>
    <row r="1718" spans="1:66" s="51" customFormat="1" ht="18" x14ac:dyDescent="0.25">
      <c r="A1718" s="623" t="s">
        <v>2617</v>
      </c>
      <c r="B1718" s="624"/>
      <c r="C1718" s="709"/>
      <c r="D1718" s="625" t="s">
        <v>2618</v>
      </c>
      <c r="E1718" s="626"/>
      <c r="F1718" s="626"/>
      <c r="G1718" s="626"/>
      <c r="H1718" s="622" t="s">
        <v>1360</v>
      </c>
      <c r="I1718" s="627" t="s">
        <v>2619</v>
      </c>
      <c r="J1718" s="628"/>
      <c r="K1718" s="628"/>
      <c r="L1718" s="629"/>
      <c r="M1718" s="700" t="s">
        <v>5249</v>
      </c>
      <c r="N1718" s="693" t="str">
        <f>IF(AND(ISTEXT($A1718), ISERROR($A1718+0)), HYPERLINK($BF1718, "Images"), "")</f>
        <v>Images</v>
      </c>
      <c r="O1718" s="695" t="s">
        <v>5247</v>
      </c>
      <c r="P1718" s="630"/>
      <c r="Q1718" s="631"/>
      <c r="R1718" s="632"/>
      <c r="S1718" s="633" t="s">
        <v>294</v>
      </c>
      <c r="T1718" s="102">
        <f t="shared" si="1218"/>
        <v>0</v>
      </c>
      <c r="U1718" s="78" t="str">
        <f>IF(NOT(ISNUMBER(G1718)), "", VLOOKUP(A1718,'Discount Lookup'!D:E,2,FALSE)*G1718)</f>
        <v/>
      </c>
      <c r="V1718" s="78" t="str">
        <f>IF(NOT(ISNUMBER(G1718)), "", VLOOKUP(A1718,'Discount Lookup'!G:H,2,FALSE)*G1718)</f>
        <v/>
      </c>
      <c r="W1718" s="102">
        <f t="shared" si="1219"/>
        <v>0</v>
      </c>
      <c r="X1718" s="102" t="str">
        <f t="shared" si="1220"/>
        <v>Yellow-Gold bloom</v>
      </c>
      <c r="Y1718" s="120" t="b">
        <f t="shared" si="1221"/>
        <v>0</v>
      </c>
      <c r="Z1718" s="117">
        <f t="shared" si="1222"/>
        <v>0</v>
      </c>
      <c r="AA1718" s="118"/>
      <c r="AB1718" s="118" t="str">
        <f t="shared" si="1223"/>
        <v/>
      </c>
      <c r="AC1718" s="712" t="str">
        <f>IF(AE1718="T2G","no charge",IF(AND(OR(PlanterYesMe="No",PlanterYesMe="N",PlanterYesMe="me"),H1718=""),"",IF(H1718="credit","NO install",IF(AND(K1718="",AE1718="me"),"EACH row",IF(AND(K1718="images",AE1718="me"),"EACH row",IF(D1718="","",IF(H1718="credit","",IF(AE1718="free","re-planting",IF(AE1718="me","   not ELP, by",IF(AND(OR(PlanterYesMe="Yes",PlanterYesMe="Y"),G1718&gt;0),(VLOOKUP(A1718,'Discount Lookup'!J:K,2)*G1718*(1-PlanterDiscount)*(1+PlanterDifficultyPercentage)),IF(AE1718="ELP",(VLOOKUP(A1718,'Discount Lookup'!J:K,2)*G1718*(1-PlanterDiscount)*(1+PlanterDifficultyPercentage)),IF(AE1718="free","re-planting",IF(G1718=0,"",IF(PlanterYesMe="",IF(AE1718="me","   not ELP, by",IF(AE1718="",IF(G1718&gt;0,(VLOOKUP(A1718,'Discount Lookup'!J:K,2)*G1718*(1-PlanterDiscount)*(1+PlanterDifficultyPercentage)),""),"")),"   not ELP, by"))))))))))))))</f>
        <v/>
      </c>
      <c r="AD1718" s="712"/>
      <c r="AE1718" s="513" t="str">
        <f t="shared" si="1224"/>
        <v/>
      </c>
      <c r="AF1718" s="713" t="str">
        <f t="shared" si="1225"/>
        <v/>
      </c>
      <c r="AG1718" s="713"/>
      <c r="AH1718" s="713"/>
      <c r="AI1718" s="112">
        <f>IF(H1718="credit",0,IF(AE1718="free",0,IF(AE1718="me",0,IF(G1718&gt;0,(VLOOKUP(A1718,'Discount Lookup'!J:K,2)*G1718),0))))</f>
        <v>0</v>
      </c>
      <c r="AJ1718" s="107" t="str">
        <f t="shared" ca="1" si="1226"/>
        <v/>
      </c>
      <c r="AK1718" s="714" t="str">
        <f t="shared" si="1227"/>
        <v/>
      </c>
      <c r="AL1718" s="714"/>
      <c r="AM1718" s="114" t="str">
        <f t="shared" si="1228"/>
        <v/>
      </c>
      <c r="AN1718" s="115"/>
      <c r="AO1718" s="116"/>
      <c r="AP1718" s="116"/>
      <c r="AQ1718" s="116"/>
      <c r="AR1718" s="116"/>
      <c r="AS1718" s="116"/>
      <c r="AT1718" s="116"/>
      <c r="AU1718" s="116"/>
      <c r="AV1718" s="78"/>
      <c r="AW1718" s="102"/>
      <c r="AX1718" s="78"/>
      <c r="AY1718" s="78"/>
      <c r="AZ1718" s="78"/>
      <c r="BA1718" s="78"/>
      <c r="BB1718" s="78"/>
      <c r="BC1718" s="78"/>
      <c r="BD1718" s="78"/>
      <c r="BE1718" s="465"/>
      <c r="BF1718" s="165" t="str">
        <f t="shared" si="1229"/>
        <v>https://www.google.com/search?tbm=isch&amp;q=Hamamelis%20vernalis%20Ozark%20Witch%20Hazel</v>
      </c>
      <c r="BG1718" s="165" t="str">
        <f t="shared" si="1230"/>
        <v>H</v>
      </c>
      <c r="BH1718" s="65"/>
      <c r="BI1718" s="65"/>
      <c r="BJ1718" s="65"/>
      <c r="BK1718" s="65"/>
      <c r="BL1718" s="99"/>
      <c r="BM1718" s="99"/>
      <c r="BN1718" s="99"/>
    </row>
    <row r="1719" spans="1:66" s="51" customFormat="1" ht="15.75" x14ac:dyDescent="0.25">
      <c r="A1719" s="634">
        <v>10</v>
      </c>
      <c r="B1719" s="635" t="s">
        <v>291</v>
      </c>
      <c r="C1719" s="636" t="s">
        <v>2620</v>
      </c>
      <c r="D1719" s="637" t="s">
        <v>299</v>
      </c>
      <c r="E1719" s="638">
        <v>137.94999999999999</v>
      </c>
      <c r="F1719" s="639" t="s">
        <v>292</v>
      </c>
      <c r="G1719" s="484">
        <v>0</v>
      </c>
      <c r="H1719" s="691" t="str">
        <f>IF(G1719=0,"",IF(F1719="Buy",IF(G1719=1,"plant","plants"),IF(F1719&gt;0.01,"warranty","Error")))</f>
        <v/>
      </c>
      <c r="I1719" s="640">
        <f>IF(H1719="free",0,IF(H1719="credit",((E1719*(F1719))*G1719*-1),IF(F1719="Buy",(E1719*G1719),((E1719*(1-F1719))*G1719))))</f>
        <v>0</v>
      </c>
      <c r="J1719" s="640">
        <f>IF(H1719="warranty",0,(I1719*(_xlfn.SINGLE(SalesTaxPercentage))))</f>
        <v>0</v>
      </c>
      <c r="K1719" s="716">
        <f t="shared" ref="K1719" si="1244">I1719+J1719</f>
        <v>0</v>
      </c>
      <c r="L1719" s="716"/>
      <c r="M1719" s="689" t="str">
        <f ca="1">IF(AND(G1719&gt;0,E1719=0),"WARNING - no PRICE inserted",IF(H1719="free","FREE ~ no charge this plant",IF(H1719="credit",CONCATENATE("-$",ROUND(K1719*(1-_xlfn.SINGLE(T2GDiscount))*-1,2)," CREDIT after discount"),IF(_xlfn.SINGLE(T2GDiscount)=0,"",IF(G1719=0,"",IF(F1719="Buy",CONCATENATE("$",ROUND(K1719*(1-_xlfn.SINGLE(T2GDiscount)),2)," with ",(_xlfn.SINGLE(T2GDiscount)*100),"% discount"),CONCATENATE("$",ROUND(K1719*(1-_xlfn.SINGLE(T2GDiscount)),2)," with ",((_xlfn.SINGLE(T2GDiscount)*100+F1719*100)-(_xlfn.SINGLE(T2GDiscount)*100*F1719)),IF(F1719&gt;0,"% discounts",IF(_xlfn.SINGLE(NoWarrantyDiscount)&gt;0,"% discounts","% discount")))))))))</f>
        <v/>
      </c>
      <c r="N1719" s="690"/>
      <c r="O1719" s="486"/>
      <c r="P1719" s="486"/>
      <c r="Q1719" s="486"/>
      <c r="R1719" s="486"/>
      <c r="S1719" s="486"/>
      <c r="T1719" s="102">
        <f t="shared" si="1218"/>
        <v>0</v>
      </c>
      <c r="U1719" s="78">
        <f>IF(NOT(ISNUMBER(G1719)), "", VLOOKUP(A1719,'Discount Lookup'!D:E,2,FALSE)*G1719)</f>
        <v>0</v>
      </c>
      <c r="V1719" s="78">
        <f>IF(NOT(ISNUMBER(G1719)), "", VLOOKUP(A1719,'Discount Lookup'!G:H,2,FALSE)*G1719)</f>
        <v>0</v>
      </c>
      <c r="W1719" s="102">
        <f t="shared" si="1219"/>
        <v>0</v>
      </c>
      <c r="X1719" s="102">
        <f t="shared" si="1220"/>
        <v>0</v>
      </c>
      <c r="Y1719" s="120" t="b">
        <f t="shared" si="1221"/>
        <v>0</v>
      </c>
      <c r="Z1719" s="117">
        <f t="shared" si="1222"/>
        <v>0</v>
      </c>
      <c r="AA1719" s="118"/>
      <c r="AB1719" s="118" t="str">
        <f t="shared" si="1223"/>
        <v/>
      </c>
      <c r="AC1719" s="712" t="str">
        <f>IF(AE1719="T2G","no charge",IF(AND(OR(PlanterYesMe="No",PlanterYesMe="N",PlanterYesMe="me"),H1719=""),"",IF(H1719="credit","NO install",IF(AND(K1719="",AE1719="me"),"EACH row",IF(AND(K1719="images",AE1719="me"),"EACH row",IF(D1719="","",IF(H1719="credit","",IF(AE1719="free","re-planting",IF(AE1719="me","   not ELP, by",IF(AND(OR(PlanterYesMe="Yes",PlanterYesMe="Y"),G1719&gt;0),(VLOOKUP(A1719,'Discount Lookup'!J:K,2)*G1719*(1-PlanterDiscount)*(1+PlanterDifficultyPercentage)),IF(AE1719="ELP",(VLOOKUP(A1719,'Discount Lookup'!J:K,2)*G1719*(1-PlanterDiscount)*(1+PlanterDifficultyPercentage)),IF(AE1719="free","re-planting",IF(G1719=0,"",IF(PlanterYesMe="",IF(AE1719="me","   not ELP, by",IF(AE1719="",IF(G1719&gt;0,(VLOOKUP(A1719,'Discount Lookup'!J:K,2)*G1719*(1-PlanterDiscount)*(1+PlanterDifficultyPercentage)),""),"")),"   not ELP, by"))))))))))))))</f>
        <v/>
      </c>
      <c r="AD1719" s="712"/>
      <c r="AE1719" s="513" t="str">
        <f t="shared" si="1224"/>
        <v/>
      </c>
      <c r="AF1719" s="713" t="str">
        <f t="shared" si="1225"/>
        <v/>
      </c>
      <c r="AG1719" s="713"/>
      <c r="AH1719" s="713"/>
      <c r="AI1719" s="112">
        <f>IF(H1719="credit",0,IF(AE1719="free",0,IF(AE1719="me",0,IF(G1719&gt;0,(VLOOKUP(A1719,'Discount Lookup'!J:K,2)*G1719),0))))</f>
        <v>0</v>
      </c>
      <c r="AJ1719" s="107" t="str">
        <f t="shared" ca="1" si="1226"/>
        <v/>
      </c>
      <c r="AK1719" s="714" t="str">
        <f t="shared" si="1227"/>
        <v/>
      </c>
      <c r="AL1719" s="714"/>
      <c r="AM1719" s="114" t="str">
        <f t="shared" si="1228"/>
        <v/>
      </c>
      <c r="AN1719" s="115"/>
      <c r="AO1719" s="116"/>
      <c r="AP1719" s="116"/>
      <c r="AQ1719" s="116"/>
      <c r="AR1719" s="116"/>
      <c r="AS1719" s="116"/>
      <c r="AT1719" s="116"/>
      <c r="AU1719" s="116"/>
      <c r="AV1719" s="78"/>
      <c r="AW1719" s="102"/>
      <c r="AX1719" s="78"/>
      <c r="AY1719" s="78"/>
      <c r="AZ1719" s="78"/>
      <c r="BA1719" s="78"/>
      <c r="BB1719" s="78"/>
      <c r="BC1719" s="78"/>
      <c r="BD1719" s="78"/>
      <c r="BE1719" s="465"/>
      <c r="BF1719" s="165" t="str">
        <f t="shared" si="1229"/>
        <v>https://www.google.com/search?tbm=isch&amp;q=10%20G4</v>
      </c>
      <c r="BG1719" s="165" t="str">
        <f t="shared" si="1230"/>
        <v>H</v>
      </c>
      <c r="BH1719" s="65"/>
      <c r="BI1719" s="65"/>
      <c r="BJ1719" s="65"/>
      <c r="BK1719" s="65"/>
      <c r="BL1719" s="99"/>
      <c r="BM1719" s="99"/>
      <c r="BN1719" s="99"/>
    </row>
    <row r="1720" spans="1:66" s="51" customFormat="1" ht="17.25" thickBot="1" x14ac:dyDescent="0.3">
      <c r="A1720" s="704" t="s">
        <v>5398</v>
      </c>
      <c r="B1720" s="642"/>
      <c r="C1720" s="710"/>
      <c r="D1720" s="643"/>
      <c r="E1720" s="643"/>
      <c r="F1720" s="644"/>
      <c r="G1720" s="645"/>
      <c r="H1720" s="646"/>
      <c r="I1720" s="647"/>
      <c r="J1720" s="648"/>
      <c r="K1720" s="649"/>
      <c r="L1720" s="650"/>
      <c r="M1720" s="650"/>
      <c r="N1720" s="644"/>
      <c r="O1720" s="644"/>
      <c r="P1720" s="644"/>
      <c r="Q1720" s="644"/>
      <c r="R1720" s="644"/>
      <c r="S1720" s="701" t="s">
        <v>5251</v>
      </c>
      <c r="T1720" s="102">
        <f t="shared" si="1218"/>
        <v>0</v>
      </c>
      <c r="U1720" s="78" t="str">
        <f>IF(NOT(ISNUMBER(G1720)), "", VLOOKUP(A1720,'Discount Lookup'!D:E,2,FALSE)*G1720)</f>
        <v/>
      </c>
      <c r="V1720" s="78" t="str">
        <f>IF(NOT(ISNUMBER(G1720)), "", VLOOKUP(A1720,'Discount Lookup'!G:H,2,FALSE)*G1720)</f>
        <v/>
      </c>
      <c r="W1720" s="102">
        <f t="shared" si="1219"/>
        <v>0</v>
      </c>
      <c r="X1720" s="102">
        <f t="shared" si="1220"/>
        <v>0</v>
      </c>
      <c r="Y1720" s="120" t="b">
        <f t="shared" si="1221"/>
        <v>0</v>
      </c>
      <c r="Z1720" s="117">
        <f t="shared" si="1222"/>
        <v>0</v>
      </c>
      <c r="AA1720" s="118"/>
      <c r="AB1720" s="118" t="str">
        <f t="shared" si="1223"/>
        <v/>
      </c>
      <c r="AC1720" s="712" t="str">
        <f>IF(AE1720="T2G","no charge",IF(AND(OR(PlanterYesMe="No",PlanterYesMe="N",PlanterYesMe="me"),H1720=""),"",IF(H1720="credit","NO install",IF(AND(K1720="",AE1720="me"),"EACH row",IF(AND(K1720="images",AE1720="me"),"EACH row",IF(D1720="","",IF(H1720="credit","",IF(AE1720="free","re-planting",IF(AE1720="me","   not ELP, by",IF(AND(OR(PlanterYesMe="Yes",PlanterYesMe="Y"),G1720&gt;0),(VLOOKUP(A1720,'Discount Lookup'!J:K,2)*G1720*(1-PlanterDiscount)*(1+PlanterDifficultyPercentage)),IF(AE1720="ELP",(VLOOKUP(A1720,'Discount Lookup'!J:K,2)*G1720*(1-PlanterDiscount)*(1+PlanterDifficultyPercentage)),IF(AE1720="free","re-planting",IF(G1720=0,"",IF(PlanterYesMe="",IF(AE1720="me","   not ELP, by",IF(AE1720="",IF(G1720&gt;0,(VLOOKUP(A1720,'Discount Lookup'!J:K,2)*G1720*(1-PlanterDiscount)*(1+PlanterDifficultyPercentage)),""),"")),"   not ELP, by"))))))))))))))</f>
        <v/>
      </c>
      <c r="AD1720" s="712"/>
      <c r="AE1720" s="513" t="str">
        <f t="shared" si="1224"/>
        <v/>
      </c>
      <c r="AF1720" s="713" t="str">
        <f t="shared" si="1225"/>
        <v/>
      </c>
      <c r="AG1720" s="713"/>
      <c r="AH1720" s="713"/>
      <c r="AI1720" s="112">
        <f>IF(H1720="credit",0,IF(AE1720="free",0,IF(AE1720="me",0,IF(G1720&gt;0,(VLOOKUP(A1720,'Discount Lookup'!J:K,2)*G1720),0))))</f>
        <v>0</v>
      </c>
      <c r="AJ1720" s="107" t="str">
        <f t="shared" ca="1" si="1226"/>
        <v/>
      </c>
      <c r="AK1720" s="714" t="str">
        <f t="shared" si="1227"/>
        <v/>
      </c>
      <c r="AL1720" s="714"/>
      <c r="AM1720" s="114" t="str">
        <f t="shared" si="1228"/>
        <v/>
      </c>
      <c r="AN1720" s="115"/>
      <c r="AO1720" s="116"/>
      <c r="AP1720" s="116"/>
      <c r="AQ1720" s="116"/>
      <c r="AR1720" s="116"/>
      <c r="AS1720" s="116"/>
      <c r="AT1720" s="116"/>
      <c r="AU1720" s="116"/>
      <c r="AV1720" s="78"/>
      <c r="AW1720" s="102"/>
      <c r="AX1720" s="78"/>
      <c r="AY1720" s="78"/>
      <c r="AZ1720" s="78"/>
      <c r="BA1720" s="78"/>
      <c r="BB1720" s="78"/>
      <c r="BC1720" s="78"/>
      <c r="BD1720" s="78"/>
      <c r="BE1720" s="465"/>
      <c r="BF1720" s="165" t="str">
        <f t="shared" si="1229"/>
        <v>https://www.google.com/search?tbm=isch&amp;q=moist%20sites%F0%9F%92%A7GOOD%2C%20Ozark%20Witch%20Hazel%20is%20one%20of%20the%20first%20plants%20to%20bloom%20in%20late%20winter.%20Fragrant%2C%20spidery%20flowers%20and%20excellent%20Yellow-Gold%20fall%20foliage%20</v>
      </c>
      <c r="BG1720" s="165" t="str">
        <f t="shared" si="1230"/>
        <v>m</v>
      </c>
      <c r="BH1720" s="65"/>
      <c r="BI1720" s="65"/>
      <c r="BJ1720" s="65"/>
      <c r="BK1720" s="65"/>
      <c r="BL1720" s="99"/>
      <c r="BM1720" s="99"/>
      <c r="BN1720" s="99"/>
    </row>
    <row r="1721" spans="1:66" s="51" customFormat="1" ht="18" x14ac:dyDescent="0.25">
      <c r="A1721" s="623" t="s">
        <v>4730</v>
      </c>
      <c r="B1721" s="624"/>
      <c r="C1721" s="709"/>
      <c r="D1721" s="625" t="s">
        <v>4731</v>
      </c>
      <c r="E1721" s="626"/>
      <c r="F1721" s="626"/>
      <c r="G1721" s="626"/>
      <c r="H1721" s="622" t="s">
        <v>1246</v>
      </c>
      <c r="I1721" s="627" t="s">
        <v>1441</v>
      </c>
      <c r="J1721" s="628"/>
      <c r="K1721" s="628"/>
      <c r="L1721" s="629"/>
      <c r="M1721" s="700" t="s">
        <v>5249</v>
      </c>
      <c r="N1721" s="693" t="str">
        <f>IF(AND(ISTEXT($A1721), ISERROR($A1721+0)), HYPERLINK($BF1721, "Images"), "")</f>
        <v>Images</v>
      </c>
      <c r="O1721" s="695" t="s">
        <v>5247</v>
      </c>
      <c r="P1721" s="630"/>
      <c r="Q1721" s="631"/>
      <c r="R1721" s="632"/>
      <c r="S1721" s="633"/>
      <c r="T1721" s="102">
        <f t="shared" si="1218"/>
        <v>0</v>
      </c>
      <c r="U1721" s="78" t="str">
        <f>IF(NOT(ISNUMBER(G1721)), "", VLOOKUP(A1721,'Discount Lookup'!D:E,2,FALSE)*G1721)</f>
        <v/>
      </c>
      <c r="V1721" s="78" t="str">
        <f>IF(NOT(ISNUMBER(G1721)), "", VLOOKUP(A1721,'Discount Lookup'!G:H,2,FALSE)*G1721)</f>
        <v/>
      </c>
      <c r="W1721" s="102">
        <f t="shared" si="1219"/>
        <v>0</v>
      </c>
      <c r="X1721" s="102" t="str">
        <f t="shared" si="1220"/>
        <v>Yellow bloom</v>
      </c>
      <c r="Y1721" s="120" t="b">
        <f t="shared" si="1221"/>
        <v>0</v>
      </c>
      <c r="Z1721" s="117">
        <f t="shared" si="1222"/>
        <v>0</v>
      </c>
      <c r="AA1721" s="118"/>
      <c r="AB1721" s="118" t="str">
        <f t="shared" si="1223"/>
        <v/>
      </c>
      <c r="AC1721" s="712" t="str">
        <f>IF(AE1721="T2G","no charge",IF(AND(OR(PlanterYesMe="No",PlanterYesMe="N",PlanterYesMe="me"),H1721=""),"",IF(H1721="credit","NO install",IF(AND(K1721="",AE1721="me"),"EACH row",IF(AND(K1721="images",AE1721="me"),"EACH row",IF(D1721="","",IF(H1721="credit","",IF(AE1721="free","re-planting",IF(AE1721="me","   not ELP, by",IF(AND(OR(PlanterYesMe="Yes",PlanterYesMe="Y"),G1721&gt;0),(VLOOKUP(A1721,'Discount Lookup'!J:K,2)*G1721*(1-PlanterDiscount)*(1+PlanterDifficultyPercentage)),IF(AE1721="ELP",(VLOOKUP(A1721,'Discount Lookup'!J:K,2)*G1721*(1-PlanterDiscount)*(1+PlanterDifficultyPercentage)),IF(AE1721="free","re-planting",IF(G1721=0,"",IF(PlanterYesMe="",IF(AE1721="me","   not ELP, by",IF(AE1721="",IF(G1721&gt;0,(VLOOKUP(A1721,'Discount Lookup'!J:K,2)*G1721*(1-PlanterDiscount)*(1+PlanterDifficultyPercentage)),""),"")),"   not ELP, by"))))))))))))))</f>
        <v/>
      </c>
      <c r="AD1721" s="712"/>
      <c r="AE1721" s="513" t="str">
        <f t="shared" si="1224"/>
        <v/>
      </c>
      <c r="AF1721" s="713" t="str">
        <f t="shared" si="1225"/>
        <v/>
      </c>
      <c r="AG1721" s="713"/>
      <c r="AH1721" s="713"/>
      <c r="AI1721" s="112">
        <f>IF(H1721="credit",0,IF(AE1721="free",0,IF(AE1721="me",0,IF(G1721&gt;0,(VLOOKUP(A1721,'Discount Lookup'!J:K,2)*G1721),0))))</f>
        <v>0</v>
      </c>
      <c r="AJ1721" s="107" t="str">
        <f t="shared" ca="1" si="1226"/>
        <v/>
      </c>
      <c r="AK1721" s="714" t="str">
        <f t="shared" si="1227"/>
        <v/>
      </c>
      <c r="AL1721" s="714"/>
      <c r="AM1721" s="114" t="str">
        <f t="shared" si="1228"/>
        <v/>
      </c>
      <c r="AN1721" s="115"/>
      <c r="AO1721" s="116"/>
      <c r="AP1721" s="116"/>
      <c r="AQ1721" s="116"/>
      <c r="AR1721" s="116"/>
      <c r="AS1721" s="116"/>
      <c r="AT1721" s="116"/>
      <c r="AU1721" s="116"/>
      <c r="AV1721" s="78"/>
      <c r="AW1721" s="102"/>
      <c r="AX1721" s="78"/>
      <c r="AY1721" s="78"/>
      <c r="AZ1721" s="78"/>
      <c r="BA1721" s="78"/>
      <c r="BB1721" s="78"/>
      <c r="BC1721" s="78"/>
      <c r="BD1721" s="78"/>
      <c r="BE1721" s="465"/>
      <c r="BF1721" s="165" t="str">
        <f t="shared" si="1229"/>
        <v>https://www.google.com/search?tbm=isch&amp;q=Hamamelis%20virginiana%20%27Little%20Prospect%27%27%20Little%20Prospect%20Witch%20Hazel</v>
      </c>
      <c r="BG1721" s="165" t="str">
        <f t="shared" si="1230"/>
        <v>H</v>
      </c>
      <c r="BH1721" s="65"/>
      <c r="BI1721" s="65"/>
      <c r="BJ1721" s="65"/>
      <c r="BK1721" s="65"/>
      <c r="BL1721" s="99"/>
      <c r="BM1721" s="99"/>
      <c r="BN1721" s="99"/>
    </row>
    <row r="1722" spans="1:66" s="51" customFormat="1" ht="15.75" x14ac:dyDescent="0.25">
      <c r="A1722" s="634">
        <v>7</v>
      </c>
      <c r="B1722" s="635" t="s">
        <v>291</v>
      </c>
      <c r="C1722" s="636" t="s">
        <v>1235</v>
      </c>
      <c r="D1722" s="637" t="s">
        <v>299</v>
      </c>
      <c r="E1722" s="638">
        <v>146.94999999999999</v>
      </c>
      <c r="F1722" s="639" t="s">
        <v>292</v>
      </c>
      <c r="G1722" s="484">
        <v>0</v>
      </c>
      <c r="H1722" s="691" t="str">
        <f>IF(G1722=0,"",IF(F1722="Buy",IF(G1722=1,"plant","plants"),IF(F1722&gt;0.01,"warranty","Error")))</f>
        <v/>
      </c>
      <c r="I1722" s="640">
        <f>IF(H1722="free",0,IF(H1722="credit",((E1722*(F1722))*G1722*-1),IF(F1722="Buy",(E1722*G1722),((E1722*(1-F1722))*G1722))))</f>
        <v>0</v>
      </c>
      <c r="J1722" s="640">
        <f>IF(H1722="warranty",0,(I1722*(_xlfn.SINGLE(SalesTaxPercentage))))</f>
        <v>0</v>
      </c>
      <c r="K1722" s="716">
        <f t="shared" ref="K1722" si="1245">I1722+J1722</f>
        <v>0</v>
      </c>
      <c r="L1722" s="716"/>
      <c r="M1722" s="689" t="str">
        <f ca="1">IF(AND(G1722&gt;0,E1722=0),"WARNING - no PRICE inserted",IF(H1722="free","FREE ~ no charge this plant",IF(H1722="credit",CONCATENATE("-$",ROUND(K1722*(1-_xlfn.SINGLE(T2GDiscount))*-1,2)," CREDIT after discount"),IF(_xlfn.SINGLE(T2GDiscount)=0,"",IF(G1722=0,"",IF(F1722="Buy",CONCATENATE("$",ROUND(K1722*(1-_xlfn.SINGLE(T2GDiscount)),2)," with ",(_xlfn.SINGLE(T2GDiscount)*100),"% discount"),CONCATENATE("$",ROUND(K1722*(1-_xlfn.SINGLE(T2GDiscount)),2)," with ",((_xlfn.SINGLE(T2GDiscount)*100+F1722*100)-(_xlfn.SINGLE(T2GDiscount)*100*F1722)),IF(F1722&gt;0,"% discounts",IF(_xlfn.SINGLE(NoWarrantyDiscount)&gt;0,"% discounts","% discount")))))))))</f>
        <v/>
      </c>
      <c r="N1722" s="690"/>
      <c r="O1722" s="486"/>
      <c r="P1722" s="486"/>
      <c r="Q1722" s="486"/>
      <c r="R1722" s="486"/>
      <c r="S1722" s="486"/>
      <c r="T1722" s="102">
        <f t="shared" si="1218"/>
        <v>0</v>
      </c>
      <c r="U1722" s="78">
        <f>IF(NOT(ISNUMBER(G1722)), "", VLOOKUP(A1722,'Discount Lookup'!D:E,2,FALSE)*G1722)</f>
        <v>0</v>
      </c>
      <c r="V1722" s="78">
        <f>IF(NOT(ISNUMBER(G1722)), "", VLOOKUP(A1722,'Discount Lookup'!G:H,2,FALSE)*G1722)</f>
        <v>0</v>
      </c>
      <c r="W1722" s="102">
        <f t="shared" si="1219"/>
        <v>0</v>
      </c>
      <c r="X1722" s="102">
        <f t="shared" si="1220"/>
        <v>0</v>
      </c>
      <c r="Y1722" s="120" t="b">
        <f t="shared" si="1221"/>
        <v>0</v>
      </c>
      <c r="Z1722" s="117">
        <f t="shared" si="1222"/>
        <v>0</v>
      </c>
      <c r="AA1722" s="118"/>
      <c r="AB1722" s="118" t="str">
        <f t="shared" si="1223"/>
        <v/>
      </c>
      <c r="AC1722" s="712" t="str">
        <f>IF(AE1722="T2G","no charge",IF(AND(OR(PlanterYesMe="No",PlanterYesMe="N",PlanterYesMe="me"),H1722=""),"",IF(H1722="credit","NO install",IF(AND(K1722="",AE1722="me"),"EACH row",IF(AND(K1722="images",AE1722="me"),"EACH row",IF(D1722="","",IF(H1722="credit","",IF(AE1722="free","re-planting",IF(AE1722="me","   not ELP, by",IF(AND(OR(PlanterYesMe="Yes",PlanterYesMe="Y"),G1722&gt;0),(VLOOKUP(A1722,'Discount Lookup'!J:K,2)*G1722*(1-PlanterDiscount)*(1+PlanterDifficultyPercentage)),IF(AE1722="ELP",(VLOOKUP(A1722,'Discount Lookup'!J:K,2)*G1722*(1-PlanterDiscount)*(1+PlanterDifficultyPercentage)),IF(AE1722="free","re-planting",IF(G1722=0,"",IF(PlanterYesMe="",IF(AE1722="me","   not ELP, by",IF(AE1722="",IF(G1722&gt;0,(VLOOKUP(A1722,'Discount Lookup'!J:K,2)*G1722*(1-PlanterDiscount)*(1+PlanterDifficultyPercentage)),""),"")),"   not ELP, by"))))))))))))))</f>
        <v/>
      </c>
      <c r="AD1722" s="712"/>
      <c r="AE1722" s="513" t="str">
        <f t="shared" si="1224"/>
        <v/>
      </c>
      <c r="AF1722" s="713" t="str">
        <f t="shared" si="1225"/>
        <v/>
      </c>
      <c r="AG1722" s="713"/>
      <c r="AH1722" s="713"/>
      <c r="AI1722" s="112">
        <f>IF(H1722="credit",0,IF(AE1722="free",0,IF(AE1722="me",0,IF(G1722&gt;0,(VLOOKUP(A1722,'Discount Lookup'!J:K,2)*G1722),0))))</f>
        <v>0</v>
      </c>
      <c r="AJ1722" s="107" t="str">
        <f t="shared" ca="1" si="1226"/>
        <v/>
      </c>
      <c r="AK1722" s="714" t="str">
        <f t="shared" si="1227"/>
        <v/>
      </c>
      <c r="AL1722" s="714"/>
      <c r="AM1722" s="114" t="str">
        <f t="shared" si="1228"/>
        <v/>
      </c>
      <c r="AN1722" s="115"/>
      <c r="AO1722" s="116"/>
      <c r="AP1722" s="116"/>
      <c r="AQ1722" s="116"/>
      <c r="AR1722" s="116"/>
      <c r="AS1722" s="116"/>
      <c r="AT1722" s="116"/>
      <c r="AU1722" s="116"/>
      <c r="AV1722" s="78"/>
      <c r="AW1722" s="102"/>
      <c r="AX1722" s="78"/>
      <c r="AY1722" s="78"/>
      <c r="AZ1722" s="78"/>
      <c r="BA1722" s="78"/>
      <c r="BB1722" s="78"/>
      <c r="BC1722" s="78"/>
      <c r="BD1722" s="78"/>
      <c r="BE1722" s="465"/>
      <c r="BF1722" s="165" t="str">
        <f t="shared" si="1229"/>
        <v>https://www.google.com/search?tbm=isch&amp;q=7%20G4</v>
      </c>
      <c r="BG1722" s="165" t="str">
        <f t="shared" si="1230"/>
        <v>H</v>
      </c>
      <c r="BH1722" s="65"/>
      <c r="BI1722" s="65"/>
      <c r="BJ1722" s="65"/>
      <c r="BK1722" s="65"/>
      <c r="BL1722" s="99"/>
      <c r="BM1722" s="99"/>
      <c r="BN1722" s="99"/>
    </row>
    <row r="1723" spans="1:66" s="51" customFormat="1" ht="17.25" thickBot="1" x14ac:dyDescent="0.3">
      <c r="A1723" s="704" t="s">
        <v>5399</v>
      </c>
      <c r="B1723" s="642"/>
      <c r="C1723" s="710"/>
      <c r="D1723" s="643"/>
      <c r="E1723" s="643"/>
      <c r="F1723" s="644"/>
      <c r="G1723" s="645"/>
      <c r="H1723" s="646"/>
      <c r="I1723" s="647"/>
      <c r="J1723" s="648"/>
      <c r="K1723" s="649"/>
      <c r="L1723" s="650"/>
      <c r="M1723" s="650"/>
      <c r="N1723" s="644"/>
      <c r="O1723" s="644"/>
      <c r="P1723" s="644"/>
      <c r="Q1723" s="644"/>
      <c r="R1723" s="644"/>
      <c r="S1723" s="651"/>
      <c r="T1723" s="102">
        <f t="shared" si="1218"/>
        <v>0</v>
      </c>
      <c r="U1723" s="78" t="str">
        <f>IF(NOT(ISNUMBER(G1723)), "", VLOOKUP(A1723,'Discount Lookup'!D:E,2,FALSE)*G1723)</f>
        <v/>
      </c>
      <c r="V1723" s="78" t="str">
        <f>IF(NOT(ISNUMBER(G1723)), "", VLOOKUP(A1723,'Discount Lookup'!G:H,2,FALSE)*G1723)</f>
        <v/>
      </c>
      <c r="W1723" s="102">
        <f t="shared" si="1219"/>
        <v>0</v>
      </c>
      <c r="X1723" s="102">
        <f t="shared" si="1220"/>
        <v>0</v>
      </c>
      <c r="Y1723" s="120" t="b">
        <f t="shared" si="1221"/>
        <v>0</v>
      </c>
      <c r="Z1723" s="117">
        <f t="shared" si="1222"/>
        <v>0</v>
      </c>
      <c r="AA1723" s="118"/>
      <c r="AB1723" s="118" t="str">
        <f t="shared" si="1223"/>
        <v/>
      </c>
      <c r="AC1723" s="712" t="str">
        <f>IF(AE1723="T2G","no charge",IF(AND(OR(PlanterYesMe="No",PlanterYesMe="N",PlanterYesMe="me"),H1723=""),"",IF(H1723="credit","NO install",IF(AND(K1723="",AE1723="me"),"EACH row",IF(AND(K1723="images",AE1723="me"),"EACH row",IF(D1723="","",IF(H1723="credit","",IF(AE1723="free","re-planting",IF(AE1723="me","   not ELP, by",IF(AND(OR(PlanterYesMe="Yes",PlanterYesMe="Y"),G1723&gt;0),(VLOOKUP(A1723,'Discount Lookup'!J:K,2)*G1723*(1-PlanterDiscount)*(1+PlanterDifficultyPercentage)),IF(AE1723="ELP",(VLOOKUP(A1723,'Discount Lookup'!J:K,2)*G1723*(1-PlanterDiscount)*(1+PlanterDifficultyPercentage)),IF(AE1723="free","re-planting",IF(G1723=0,"",IF(PlanterYesMe="",IF(AE1723="me","   not ELP, by",IF(AE1723="",IF(G1723&gt;0,(VLOOKUP(A1723,'Discount Lookup'!J:K,2)*G1723*(1-PlanterDiscount)*(1+PlanterDifficultyPercentage)),""),"")),"   not ELP, by"))))))))))))))</f>
        <v/>
      </c>
      <c r="AD1723" s="712"/>
      <c r="AE1723" s="513" t="str">
        <f t="shared" si="1224"/>
        <v/>
      </c>
      <c r="AF1723" s="713" t="str">
        <f t="shared" si="1225"/>
        <v/>
      </c>
      <c r="AG1723" s="713"/>
      <c r="AH1723" s="713"/>
      <c r="AI1723" s="112">
        <f>IF(H1723="credit",0,IF(AE1723="free",0,IF(AE1723="me",0,IF(G1723&gt;0,(VLOOKUP(A1723,'Discount Lookup'!J:K,2)*G1723),0))))</f>
        <v>0</v>
      </c>
      <c r="AJ1723" s="107" t="str">
        <f t="shared" ca="1" si="1226"/>
        <v/>
      </c>
      <c r="AK1723" s="714" t="str">
        <f t="shared" si="1227"/>
        <v/>
      </c>
      <c r="AL1723" s="714"/>
      <c r="AM1723" s="114" t="str">
        <f t="shared" si="1228"/>
        <v/>
      </c>
      <c r="AN1723" s="115"/>
      <c r="AO1723" s="116"/>
      <c r="AP1723" s="116"/>
      <c r="AQ1723" s="116"/>
      <c r="AR1723" s="116"/>
      <c r="AS1723" s="116"/>
      <c r="AT1723" s="116"/>
      <c r="AU1723" s="116"/>
      <c r="AV1723" s="78"/>
      <c r="AW1723" s="102"/>
      <c r="AX1723" s="78"/>
      <c r="AY1723" s="78"/>
      <c r="AZ1723" s="78"/>
      <c r="BA1723" s="78"/>
      <c r="BB1723" s="78"/>
      <c r="BC1723" s="78"/>
      <c r="BD1723" s="78"/>
      <c r="BE1723" s="465"/>
      <c r="BF1723" s="165" t="str">
        <f t="shared" si="1229"/>
        <v>https://www.google.com/search?tbm=isch&amp;q=moist%20sites%F0%9F%92%A7GOOD%2C%20Little%20Prospect%20has%20nice%20variegated%20foliage.%20Dainty%20blooms%20appear%20in%20fall%20</v>
      </c>
      <c r="BG1723" s="165" t="str">
        <f t="shared" si="1230"/>
        <v>m</v>
      </c>
      <c r="BH1723" s="65"/>
      <c r="BI1723" s="65"/>
      <c r="BJ1723" s="65"/>
      <c r="BK1723" s="65"/>
      <c r="BL1723" s="99"/>
      <c r="BM1723" s="99"/>
      <c r="BN1723" s="99"/>
    </row>
    <row r="1724" spans="1:66" s="51" customFormat="1" ht="18" x14ac:dyDescent="0.25">
      <c r="A1724" s="623" t="s">
        <v>2621</v>
      </c>
      <c r="B1724" s="624"/>
      <c r="C1724" s="709"/>
      <c r="D1724" s="625" t="s">
        <v>2622</v>
      </c>
      <c r="E1724" s="626"/>
      <c r="F1724" s="626"/>
      <c r="G1724" s="626"/>
      <c r="H1724" s="622" t="s">
        <v>1147</v>
      </c>
      <c r="I1724" s="627" t="s">
        <v>1441</v>
      </c>
      <c r="J1724" s="628"/>
      <c r="K1724" s="628"/>
      <c r="L1724" s="629"/>
      <c r="M1724" s="700" t="s">
        <v>5249</v>
      </c>
      <c r="N1724" s="693" t="str">
        <f>IF(AND(ISTEXT($A1724), ISERROR($A1724+0)), HYPERLINK($BF1724, "Images"), "")</f>
        <v>Images</v>
      </c>
      <c r="O1724" s="695" t="s">
        <v>5247</v>
      </c>
      <c r="P1724" s="630"/>
      <c r="Q1724" s="631"/>
      <c r="R1724" s="632"/>
      <c r="S1724" s="633"/>
      <c r="T1724" s="102">
        <f t="shared" si="1218"/>
        <v>0</v>
      </c>
      <c r="U1724" s="78" t="str">
        <f>IF(NOT(ISNUMBER(G1724)), "", VLOOKUP(A1724,'Discount Lookup'!D:E,2,FALSE)*G1724)</f>
        <v/>
      </c>
      <c r="V1724" s="78" t="str">
        <f>IF(NOT(ISNUMBER(G1724)), "", VLOOKUP(A1724,'Discount Lookup'!G:H,2,FALSE)*G1724)</f>
        <v/>
      </c>
      <c r="W1724" s="102">
        <f t="shared" si="1219"/>
        <v>0</v>
      </c>
      <c r="X1724" s="102" t="str">
        <f t="shared" si="1220"/>
        <v>Yellow bloom</v>
      </c>
      <c r="Y1724" s="120" t="b">
        <f t="shared" si="1221"/>
        <v>0</v>
      </c>
      <c r="Z1724" s="117">
        <f t="shared" si="1222"/>
        <v>0</v>
      </c>
      <c r="AA1724" s="118"/>
      <c r="AB1724" s="118" t="str">
        <f t="shared" si="1223"/>
        <v/>
      </c>
      <c r="AC1724" s="712" t="str">
        <f>IF(AE1724="T2G","no charge",IF(AND(OR(PlanterYesMe="No",PlanterYesMe="N",PlanterYesMe="me"),H1724=""),"",IF(H1724="credit","NO install",IF(AND(K1724="",AE1724="me"),"EACH row",IF(AND(K1724="images",AE1724="me"),"EACH row",IF(D1724="","",IF(H1724="credit","",IF(AE1724="free","re-planting",IF(AE1724="me","   not ELP, by",IF(AND(OR(PlanterYesMe="Yes",PlanterYesMe="Y"),G1724&gt;0),(VLOOKUP(A1724,'Discount Lookup'!J:K,2)*G1724*(1-PlanterDiscount)*(1+PlanterDifficultyPercentage)),IF(AE1724="ELP",(VLOOKUP(A1724,'Discount Lookup'!J:K,2)*G1724*(1-PlanterDiscount)*(1+PlanterDifficultyPercentage)),IF(AE1724="free","re-planting",IF(G1724=0,"",IF(PlanterYesMe="",IF(AE1724="me","   not ELP, by",IF(AE1724="",IF(G1724&gt;0,(VLOOKUP(A1724,'Discount Lookup'!J:K,2)*G1724*(1-PlanterDiscount)*(1+PlanterDifficultyPercentage)),""),"")),"   not ELP, by"))))))))))))))</f>
        <v/>
      </c>
      <c r="AD1724" s="712"/>
      <c r="AE1724" s="513" t="str">
        <f t="shared" si="1224"/>
        <v/>
      </c>
      <c r="AF1724" s="713" t="str">
        <f t="shared" si="1225"/>
        <v/>
      </c>
      <c r="AG1724" s="713"/>
      <c r="AH1724" s="713"/>
      <c r="AI1724" s="112">
        <f>IF(H1724="credit",0,IF(AE1724="free",0,IF(AE1724="me",0,IF(G1724&gt;0,(VLOOKUP(A1724,'Discount Lookup'!J:K,2)*G1724),0))))</f>
        <v>0</v>
      </c>
      <c r="AJ1724" s="107" t="str">
        <f t="shared" ca="1" si="1226"/>
        <v/>
      </c>
      <c r="AK1724" s="714" t="str">
        <f t="shared" si="1227"/>
        <v/>
      </c>
      <c r="AL1724" s="714"/>
      <c r="AM1724" s="114" t="str">
        <f t="shared" si="1228"/>
        <v/>
      </c>
      <c r="AN1724" s="115"/>
      <c r="AO1724" s="116"/>
      <c r="AP1724" s="116"/>
      <c r="AQ1724" s="116"/>
      <c r="AR1724" s="116"/>
      <c r="AS1724" s="116"/>
      <c r="AT1724" s="116"/>
      <c r="AU1724" s="116"/>
      <c r="AV1724" s="78"/>
      <c r="AW1724" s="102"/>
      <c r="AX1724" s="78"/>
      <c r="AY1724" s="78"/>
      <c r="AZ1724" s="78"/>
      <c r="BA1724" s="78"/>
      <c r="BB1724" s="78"/>
      <c r="BC1724" s="78"/>
      <c r="BD1724" s="78"/>
      <c r="BE1724" s="465"/>
      <c r="BF1724" s="165" t="str">
        <f t="shared" si="1229"/>
        <v>https://www.google.com/search?tbm=isch&amp;q=Hamamelis%20x%20intermedia%20%27Arnold%20Promise%27%20Arnold%20Promise%20Witch%20Hazel</v>
      </c>
      <c r="BG1724" s="165" t="str">
        <f t="shared" si="1230"/>
        <v>H</v>
      </c>
      <c r="BH1724" s="65"/>
      <c r="BI1724" s="65"/>
      <c r="BJ1724" s="65"/>
      <c r="BK1724" s="65"/>
      <c r="BL1724" s="99"/>
      <c r="BM1724" s="99"/>
      <c r="BN1724" s="99"/>
    </row>
    <row r="1725" spans="1:66" s="51" customFormat="1" ht="15.75" x14ac:dyDescent="0.25">
      <c r="A1725" s="634">
        <v>7</v>
      </c>
      <c r="B1725" s="635" t="s">
        <v>291</v>
      </c>
      <c r="C1725" s="636" t="s">
        <v>2623</v>
      </c>
      <c r="D1725" s="637" t="s">
        <v>299</v>
      </c>
      <c r="E1725" s="638">
        <v>123.95</v>
      </c>
      <c r="F1725" s="639" t="s">
        <v>292</v>
      </c>
      <c r="G1725" s="484">
        <v>0</v>
      </c>
      <c r="H1725" s="691" t="str">
        <f>IF(G1725=0,"",IF(F1725="Buy",IF(G1725=1,"plant","plants"),IF(F1725&gt;0.01,"warranty","Error")))</f>
        <v/>
      </c>
      <c r="I1725" s="640">
        <f>IF(H1725="free",0,IF(H1725="credit",((E1725*(F1725))*G1725*-1),IF(F1725="Buy",(E1725*G1725),((E1725*(1-F1725))*G1725))))</f>
        <v>0</v>
      </c>
      <c r="J1725" s="640">
        <f>IF(H1725="warranty",0,(I1725*(_xlfn.SINGLE(SalesTaxPercentage))))</f>
        <v>0</v>
      </c>
      <c r="K1725" s="716">
        <f t="shared" ref="K1725" si="1246">I1725+J1725</f>
        <v>0</v>
      </c>
      <c r="L1725" s="716"/>
      <c r="M1725" s="689" t="str">
        <f ca="1">IF(AND(G1725&gt;0,E1725=0),"WARNING - no PRICE inserted",IF(H1725="free","FREE ~ no charge this plant",IF(H1725="credit",CONCATENATE("-$",ROUND(K1725*(1-_xlfn.SINGLE(T2GDiscount))*-1,2)," CREDIT after discount"),IF(_xlfn.SINGLE(T2GDiscount)=0,"",IF(G1725=0,"",IF(F1725="Buy",CONCATENATE("$",ROUND(K1725*(1-_xlfn.SINGLE(T2GDiscount)),2)," with ",(_xlfn.SINGLE(T2GDiscount)*100),"% discount"),CONCATENATE("$",ROUND(K1725*(1-_xlfn.SINGLE(T2GDiscount)),2)," with ",((_xlfn.SINGLE(T2GDiscount)*100+F1725*100)-(_xlfn.SINGLE(T2GDiscount)*100*F1725)),IF(F1725&gt;0,"% discounts",IF(_xlfn.SINGLE(NoWarrantyDiscount)&gt;0,"% discounts","% discount")))))))))</f>
        <v/>
      </c>
      <c r="N1725" s="690"/>
      <c r="O1725" s="486"/>
      <c r="P1725" s="486"/>
      <c r="Q1725" s="486"/>
      <c r="R1725" s="486"/>
      <c r="S1725" s="486"/>
      <c r="T1725" s="102">
        <f t="shared" si="1218"/>
        <v>0</v>
      </c>
      <c r="U1725" s="78">
        <f>IF(NOT(ISNUMBER(G1725)), "", VLOOKUP(A1725,'Discount Lookup'!D:E,2,FALSE)*G1725)</f>
        <v>0</v>
      </c>
      <c r="V1725" s="78">
        <f>IF(NOT(ISNUMBER(G1725)), "", VLOOKUP(A1725,'Discount Lookup'!G:H,2,FALSE)*G1725)</f>
        <v>0</v>
      </c>
      <c r="W1725" s="102">
        <f t="shared" si="1219"/>
        <v>0</v>
      </c>
      <c r="X1725" s="102">
        <f t="shared" si="1220"/>
        <v>0</v>
      </c>
      <c r="Y1725" s="120" t="b">
        <f t="shared" si="1221"/>
        <v>0</v>
      </c>
      <c r="Z1725" s="117">
        <f t="shared" si="1222"/>
        <v>0</v>
      </c>
      <c r="AA1725" s="118"/>
      <c r="AB1725" s="118" t="str">
        <f t="shared" si="1223"/>
        <v/>
      </c>
      <c r="AC1725" s="712" t="str">
        <f>IF(AE1725="T2G","no charge",IF(AND(OR(PlanterYesMe="No",PlanterYesMe="N",PlanterYesMe="me"),H1725=""),"",IF(H1725="credit","NO install",IF(AND(K1725="",AE1725="me"),"EACH row",IF(AND(K1725="images",AE1725="me"),"EACH row",IF(D1725="","",IF(H1725="credit","",IF(AE1725="free","re-planting",IF(AE1725="me","   not ELP, by",IF(AND(OR(PlanterYesMe="Yes",PlanterYesMe="Y"),G1725&gt;0),(VLOOKUP(A1725,'Discount Lookup'!J:K,2)*G1725*(1-PlanterDiscount)*(1+PlanterDifficultyPercentage)),IF(AE1725="ELP",(VLOOKUP(A1725,'Discount Lookup'!J:K,2)*G1725*(1-PlanterDiscount)*(1+PlanterDifficultyPercentage)),IF(AE1725="free","re-planting",IF(G1725=0,"",IF(PlanterYesMe="",IF(AE1725="me","   not ELP, by",IF(AE1725="",IF(G1725&gt;0,(VLOOKUP(A1725,'Discount Lookup'!J:K,2)*G1725*(1-PlanterDiscount)*(1+PlanterDifficultyPercentage)),""),"")),"   not ELP, by"))))))))))))))</f>
        <v/>
      </c>
      <c r="AD1725" s="712"/>
      <c r="AE1725" s="513" t="str">
        <f t="shared" si="1224"/>
        <v/>
      </c>
      <c r="AF1725" s="713" t="str">
        <f t="shared" si="1225"/>
        <v/>
      </c>
      <c r="AG1725" s="713"/>
      <c r="AH1725" s="713"/>
      <c r="AI1725" s="112">
        <f>IF(H1725="credit",0,IF(AE1725="free",0,IF(AE1725="me",0,IF(G1725&gt;0,(VLOOKUP(A1725,'Discount Lookup'!J:K,2)*G1725),0))))</f>
        <v>0</v>
      </c>
      <c r="AJ1725" s="107" t="str">
        <f t="shared" ca="1" si="1226"/>
        <v/>
      </c>
      <c r="AK1725" s="714" t="str">
        <f t="shared" si="1227"/>
        <v/>
      </c>
      <c r="AL1725" s="714"/>
      <c r="AM1725" s="114" t="str">
        <f t="shared" si="1228"/>
        <v/>
      </c>
      <c r="AN1725" s="115"/>
      <c r="AO1725" s="116"/>
      <c r="AP1725" s="116"/>
      <c r="AQ1725" s="116"/>
      <c r="AR1725" s="116"/>
      <c r="AS1725" s="116"/>
      <c r="AT1725" s="116"/>
      <c r="AU1725" s="116"/>
      <c r="AV1725" s="78"/>
      <c r="AW1725" s="102"/>
      <c r="AX1725" s="78"/>
      <c r="AY1725" s="78"/>
      <c r="AZ1725" s="78"/>
      <c r="BA1725" s="78"/>
      <c r="BB1725" s="78"/>
      <c r="BC1725" s="78"/>
      <c r="BD1725" s="78"/>
      <c r="BE1725" s="465"/>
      <c r="BF1725" s="165" t="str">
        <f t="shared" si="1229"/>
        <v>https://www.google.com/search?tbm=isch&amp;q=7%20G4</v>
      </c>
      <c r="BG1725" s="165" t="str">
        <f t="shared" si="1230"/>
        <v>H</v>
      </c>
      <c r="BH1725" s="65"/>
      <c r="BI1725" s="65"/>
      <c r="BJ1725" s="65"/>
      <c r="BK1725" s="65"/>
      <c r="BL1725" s="99"/>
      <c r="BM1725" s="99"/>
      <c r="BN1725" s="99"/>
    </row>
    <row r="1726" spans="1:66" s="51" customFormat="1" ht="15.75" x14ac:dyDescent="0.25">
      <c r="A1726" s="634">
        <v>15</v>
      </c>
      <c r="B1726" s="635" t="s">
        <v>291</v>
      </c>
      <c r="C1726" s="636" t="s">
        <v>1842</v>
      </c>
      <c r="D1726" s="637" t="s">
        <v>293</v>
      </c>
      <c r="E1726" s="638">
        <v>160.94999999999999</v>
      </c>
      <c r="F1726" s="639" t="s">
        <v>292</v>
      </c>
      <c r="G1726" s="484">
        <v>0</v>
      </c>
      <c r="H1726" s="691" t="str">
        <f>IF(G1726=0,"",IF(F1726="Buy",IF(G1726=1,"plant","plants"),IF(F1726&gt;0.01,"warranty","Error")))</f>
        <v/>
      </c>
      <c r="I1726" s="640">
        <f>IF(H1726="free",0,IF(H1726="credit",((E1726*(F1726))*G1726*-1),IF(F1726="Buy",(E1726*G1726),((E1726*(1-F1726))*G1726))))</f>
        <v>0</v>
      </c>
      <c r="J1726" s="640">
        <f>IF(H1726="warranty",0,(I1726*(_xlfn.SINGLE(SalesTaxPercentage))))</f>
        <v>0</v>
      </c>
      <c r="K1726" s="716">
        <f t="shared" ref="K1726" si="1247">I1726+J1726</f>
        <v>0</v>
      </c>
      <c r="L1726" s="716"/>
      <c r="M1726" s="689" t="str">
        <f ca="1">IF(AND(G1726&gt;0,E1726=0),"WARNING - no PRICE inserted",IF(H1726="free","FREE ~ no charge this plant",IF(H1726="credit",CONCATENATE("-$",ROUND(K1726*(1-_xlfn.SINGLE(T2GDiscount))*-1,2)," CREDIT after discount"),IF(_xlfn.SINGLE(T2GDiscount)=0,"",IF(G1726=0,"",IF(F1726="Buy",CONCATENATE("$",ROUND(K1726*(1-_xlfn.SINGLE(T2GDiscount)),2)," with ",(_xlfn.SINGLE(T2GDiscount)*100),"% discount"),CONCATENATE("$",ROUND(K1726*(1-_xlfn.SINGLE(T2GDiscount)),2)," with ",((_xlfn.SINGLE(T2GDiscount)*100+F1726*100)-(_xlfn.SINGLE(T2GDiscount)*100*F1726)),IF(F1726&gt;0,"% discounts",IF(_xlfn.SINGLE(NoWarrantyDiscount)&gt;0,"% discounts","% discount")))))))))</f>
        <v/>
      </c>
      <c r="N1726" s="690"/>
      <c r="O1726" s="486"/>
      <c r="P1726" s="486"/>
      <c r="Q1726" s="486"/>
      <c r="R1726" s="486"/>
      <c r="S1726" s="486"/>
      <c r="T1726" s="102">
        <f t="shared" si="1218"/>
        <v>0</v>
      </c>
      <c r="U1726" s="78">
        <f>IF(NOT(ISNUMBER(G1726)), "", VLOOKUP(A1726,'Discount Lookup'!D:E,2,FALSE)*G1726)</f>
        <v>0</v>
      </c>
      <c r="V1726" s="78">
        <f>IF(NOT(ISNUMBER(G1726)), "", VLOOKUP(A1726,'Discount Lookup'!G:H,2,FALSE)*G1726)</f>
        <v>0</v>
      </c>
      <c r="W1726" s="102">
        <f t="shared" si="1219"/>
        <v>0</v>
      </c>
      <c r="X1726" s="102">
        <f t="shared" si="1220"/>
        <v>0</v>
      </c>
      <c r="Y1726" s="120" t="b">
        <f t="shared" si="1221"/>
        <v>0</v>
      </c>
      <c r="Z1726" s="117">
        <f t="shared" si="1222"/>
        <v>0</v>
      </c>
      <c r="AA1726" s="118"/>
      <c r="AB1726" s="118" t="str">
        <f t="shared" si="1223"/>
        <v/>
      </c>
      <c r="AC1726" s="712" t="str">
        <f>IF(AE1726="T2G","no charge",IF(AND(OR(PlanterYesMe="No",PlanterYesMe="N",PlanterYesMe="me"),H1726=""),"",IF(H1726="credit","NO install",IF(AND(K1726="",AE1726="me"),"EACH row",IF(AND(K1726="images",AE1726="me"),"EACH row",IF(D1726="","",IF(H1726="credit","",IF(AE1726="free","re-planting",IF(AE1726="me","   not ELP, by",IF(AND(OR(PlanterYesMe="Yes",PlanterYesMe="Y"),G1726&gt;0),(VLOOKUP(A1726,'Discount Lookup'!J:K,2)*G1726*(1-PlanterDiscount)*(1+PlanterDifficultyPercentage)),IF(AE1726="ELP",(VLOOKUP(A1726,'Discount Lookup'!J:K,2)*G1726*(1-PlanterDiscount)*(1+PlanterDifficultyPercentage)),IF(AE1726="free","re-planting",IF(G1726=0,"",IF(PlanterYesMe="",IF(AE1726="me","   not ELP, by",IF(AE1726="",IF(G1726&gt;0,(VLOOKUP(A1726,'Discount Lookup'!J:K,2)*G1726*(1-PlanterDiscount)*(1+PlanterDifficultyPercentage)),""),"")),"   not ELP, by"))))))))))))))</f>
        <v/>
      </c>
      <c r="AD1726" s="712"/>
      <c r="AE1726" s="513" t="str">
        <f t="shared" si="1224"/>
        <v/>
      </c>
      <c r="AF1726" s="713" t="str">
        <f t="shared" si="1225"/>
        <v/>
      </c>
      <c r="AG1726" s="713"/>
      <c r="AH1726" s="713"/>
      <c r="AI1726" s="112">
        <f>IF(H1726="credit",0,IF(AE1726="free",0,IF(AE1726="me",0,IF(G1726&gt;0,(VLOOKUP(A1726,'Discount Lookup'!J:K,2)*G1726),0))))</f>
        <v>0</v>
      </c>
      <c r="AJ1726" s="107" t="str">
        <f t="shared" ca="1" si="1226"/>
        <v/>
      </c>
      <c r="AK1726" s="714" t="str">
        <f t="shared" si="1227"/>
        <v/>
      </c>
      <c r="AL1726" s="714"/>
      <c r="AM1726" s="114" t="str">
        <f t="shared" si="1228"/>
        <v/>
      </c>
      <c r="AN1726" s="115"/>
      <c r="AO1726" s="116"/>
      <c r="AP1726" s="116"/>
      <c r="AQ1726" s="116"/>
      <c r="AR1726" s="116"/>
      <c r="AS1726" s="116"/>
      <c r="AT1726" s="116"/>
      <c r="AU1726" s="116"/>
      <c r="AV1726" s="78"/>
      <c r="AW1726" s="102"/>
      <c r="AX1726" s="78"/>
      <c r="AY1726" s="78"/>
      <c r="AZ1726" s="78"/>
      <c r="BA1726" s="78"/>
      <c r="BB1726" s="78"/>
      <c r="BC1726" s="78"/>
      <c r="BD1726" s="78"/>
      <c r="BE1726" s="465"/>
      <c r="BF1726" s="165" t="str">
        <f t="shared" si="1229"/>
        <v>https://www.google.com/search?tbm=isch&amp;q=15%20G6</v>
      </c>
      <c r="BG1726" s="165" t="str">
        <f t="shared" si="1230"/>
        <v>H</v>
      </c>
      <c r="BH1726" s="65"/>
      <c r="BI1726" s="65"/>
      <c r="BJ1726" s="65"/>
      <c r="BK1726" s="65"/>
      <c r="BL1726" s="99"/>
      <c r="BM1726" s="99"/>
      <c r="BN1726" s="99"/>
    </row>
    <row r="1727" spans="1:66" s="51" customFormat="1" ht="27" x14ac:dyDescent="0.25">
      <c r="A1727" s="634">
        <v>7</v>
      </c>
      <c r="B1727" s="635" t="s">
        <v>291</v>
      </c>
      <c r="C1727" s="636" t="s">
        <v>2624</v>
      </c>
      <c r="D1727" s="637" t="s">
        <v>299</v>
      </c>
      <c r="E1727" s="638">
        <v>178.95</v>
      </c>
      <c r="F1727" s="639" t="s">
        <v>292</v>
      </c>
      <c r="G1727" s="484">
        <v>0</v>
      </c>
      <c r="H1727" s="691" t="str">
        <f>IF(G1727=0,"",IF(F1727="Buy",IF(G1727=1,"plant","plants"),IF(F1727&gt;0.01,"warranty","Error")))</f>
        <v/>
      </c>
      <c r="I1727" s="640">
        <f>IF(H1727="free",0,IF(H1727="credit",((E1727*(F1727))*G1727*-1),IF(F1727="Buy",(E1727*G1727),((E1727*(1-F1727))*G1727))))</f>
        <v>0</v>
      </c>
      <c r="J1727" s="640">
        <f>IF(H1727="warranty",0,(I1727*(_xlfn.SINGLE(SalesTaxPercentage))))</f>
        <v>0</v>
      </c>
      <c r="K1727" s="716">
        <f t="shared" ref="K1727" si="1248">I1727+J1727</f>
        <v>0</v>
      </c>
      <c r="L1727" s="716"/>
      <c r="M1727" s="689" t="str">
        <f ca="1">IF(AND(G1727&gt;0,E1727=0),"WARNING - no PRICE inserted",IF(H1727="free","FREE ~ no charge this plant",IF(H1727="credit",CONCATENATE("-$",ROUND(K1727*(1-_xlfn.SINGLE(T2GDiscount))*-1,2)," CREDIT after discount"),IF(_xlfn.SINGLE(T2GDiscount)=0,"",IF(G1727=0,"",IF(F1727="Buy",CONCATENATE("$",ROUND(K1727*(1-_xlfn.SINGLE(T2GDiscount)),2)," with ",(_xlfn.SINGLE(T2GDiscount)*100),"% discount"),CONCATENATE("$",ROUND(K1727*(1-_xlfn.SINGLE(T2GDiscount)),2)," with ",((_xlfn.SINGLE(T2GDiscount)*100+F1727*100)-(_xlfn.SINGLE(T2GDiscount)*100*F1727)),IF(F1727&gt;0,"% discounts",IF(_xlfn.SINGLE(NoWarrantyDiscount)&gt;0,"% discounts","% discount")))))))))</f>
        <v/>
      </c>
      <c r="N1727" s="690"/>
      <c r="O1727" s="486"/>
      <c r="P1727" s="486"/>
      <c r="Q1727" s="486"/>
      <c r="R1727" s="486"/>
      <c r="S1727" s="486"/>
      <c r="T1727" s="102">
        <f t="shared" si="1218"/>
        <v>0</v>
      </c>
      <c r="U1727" s="78">
        <f>IF(NOT(ISNUMBER(G1727)), "", VLOOKUP(A1727,'Discount Lookup'!D:E,2,FALSE)*G1727)</f>
        <v>0</v>
      </c>
      <c r="V1727" s="78">
        <f>IF(NOT(ISNUMBER(G1727)), "", VLOOKUP(A1727,'Discount Lookup'!G:H,2,FALSE)*G1727)</f>
        <v>0</v>
      </c>
      <c r="W1727" s="102">
        <f t="shared" si="1219"/>
        <v>0</v>
      </c>
      <c r="X1727" s="102">
        <f t="shared" si="1220"/>
        <v>0</v>
      </c>
      <c r="Y1727" s="120" t="b">
        <f t="shared" si="1221"/>
        <v>0</v>
      </c>
      <c r="Z1727" s="117">
        <f t="shared" si="1222"/>
        <v>0</v>
      </c>
      <c r="AA1727" s="118"/>
      <c r="AB1727" s="118" t="str">
        <f t="shared" si="1223"/>
        <v/>
      </c>
      <c r="AC1727" s="712" t="str">
        <f>IF(AE1727="T2G","no charge",IF(AND(OR(PlanterYesMe="No",PlanterYesMe="N",PlanterYesMe="me"),H1727=""),"",IF(H1727="credit","NO install",IF(AND(K1727="",AE1727="me"),"EACH row",IF(AND(K1727="images",AE1727="me"),"EACH row",IF(D1727="","",IF(H1727="credit","",IF(AE1727="free","re-planting",IF(AE1727="me","   not ELP, by",IF(AND(OR(PlanterYesMe="Yes",PlanterYesMe="Y"),G1727&gt;0),(VLOOKUP(A1727,'Discount Lookup'!J:K,2)*G1727*(1-PlanterDiscount)*(1+PlanterDifficultyPercentage)),IF(AE1727="ELP",(VLOOKUP(A1727,'Discount Lookup'!J:K,2)*G1727*(1-PlanterDiscount)*(1+PlanterDifficultyPercentage)),IF(AE1727="free","re-planting",IF(G1727=0,"",IF(PlanterYesMe="",IF(AE1727="me","   not ELP, by",IF(AE1727="",IF(G1727&gt;0,(VLOOKUP(A1727,'Discount Lookup'!J:K,2)*G1727*(1-PlanterDiscount)*(1+PlanterDifficultyPercentage)),""),"")),"   not ELP, by"))))))))))))))</f>
        <v/>
      </c>
      <c r="AD1727" s="712"/>
      <c r="AE1727" s="513" t="str">
        <f t="shared" si="1224"/>
        <v/>
      </c>
      <c r="AF1727" s="713" t="str">
        <f t="shared" si="1225"/>
        <v/>
      </c>
      <c r="AG1727" s="713"/>
      <c r="AH1727" s="713"/>
      <c r="AI1727" s="112">
        <f>IF(H1727="credit",0,IF(AE1727="free",0,IF(AE1727="me",0,IF(G1727&gt;0,(VLOOKUP(A1727,'Discount Lookup'!J:K,2)*G1727),0))))</f>
        <v>0</v>
      </c>
      <c r="AJ1727" s="107" t="str">
        <f t="shared" ca="1" si="1226"/>
        <v/>
      </c>
      <c r="AK1727" s="714" t="str">
        <f t="shared" si="1227"/>
        <v/>
      </c>
      <c r="AL1727" s="714"/>
      <c r="AM1727" s="114" t="str">
        <f t="shared" si="1228"/>
        <v/>
      </c>
      <c r="AN1727" s="115"/>
      <c r="AO1727" s="116"/>
      <c r="AP1727" s="116"/>
      <c r="AQ1727" s="116"/>
      <c r="AR1727" s="116"/>
      <c r="AS1727" s="116"/>
      <c r="AT1727" s="116"/>
      <c r="AU1727" s="116"/>
      <c r="AV1727" s="78"/>
      <c r="AW1727" s="102"/>
      <c r="AX1727" s="78"/>
      <c r="AY1727" s="78"/>
      <c r="AZ1727" s="78"/>
      <c r="BA1727" s="78"/>
      <c r="BB1727" s="78"/>
      <c r="BC1727" s="78"/>
      <c r="BD1727" s="78"/>
      <c r="BE1727" s="465"/>
      <c r="BF1727" s="165" t="str">
        <f t="shared" si="1229"/>
        <v>https://www.google.com/search?tbm=isch&amp;q=7%20G4</v>
      </c>
      <c r="BG1727" s="165" t="str">
        <f t="shared" si="1230"/>
        <v>H</v>
      </c>
      <c r="BH1727" s="65"/>
      <c r="BI1727" s="65"/>
      <c r="BJ1727" s="65"/>
      <c r="BK1727" s="65"/>
      <c r="BL1727" s="99"/>
      <c r="BM1727" s="99"/>
      <c r="BN1727" s="99"/>
    </row>
    <row r="1728" spans="1:66" s="51" customFormat="1" ht="15.75" x14ac:dyDescent="0.25">
      <c r="A1728" s="634">
        <v>15</v>
      </c>
      <c r="B1728" s="635" t="s">
        <v>291</v>
      </c>
      <c r="C1728" s="636" t="s">
        <v>2625</v>
      </c>
      <c r="D1728" s="637" t="s">
        <v>299</v>
      </c>
      <c r="E1728" s="638">
        <v>284.95</v>
      </c>
      <c r="F1728" s="639" t="s">
        <v>292</v>
      </c>
      <c r="G1728" s="484">
        <v>0</v>
      </c>
      <c r="H1728" s="691" t="str">
        <f>IF(G1728=0,"",IF(F1728="Buy",IF(G1728=1,"plant","plants"),IF(F1728&gt;0.01,"warranty","Error")))</f>
        <v/>
      </c>
      <c r="I1728" s="640">
        <f>IF(H1728="free",0,IF(H1728="credit",((E1728*(F1728))*G1728*-1),IF(F1728="Buy",(E1728*G1728),((E1728*(1-F1728))*G1728))))</f>
        <v>0</v>
      </c>
      <c r="J1728" s="640">
        <f>IF(H1728="warranty",0,(I1728*(_xlfn.SINGLE(SalesTaxPercentage))))</f>
        <v>0</v>
      </c>
      <c r="K1728" s="716">
        <f t="shared" ref="K1728" si="1249">I1728+J1728</f>
        <v>0</v>
      </c>
      <c r="L1728" s="716"/>
      <c r="M1728" s="689" t="str">
        <f ca="1">IF(AND(G1728&gt;0,E1728=0),"WARNING - no PRICE inserted",IF(H1728="free","FREE ~ no charge this plant",IF(H1728="credit",CONCATENATE("-$",ROUND(K1728*(1-_xlfn.SINGLE(T2GDiscount))*-1,2)," CREDIT after discount"),IF(_xlfn.SINGLE(T2GDiscount)=0,"",IF(G1728=0,"",IF(F1728="Buy",CONCATENATE("$",ROUND(K1728*(1-_xlfn.SINGLE(T2GDiscount)),2)," with ",(_xlfn.SINGLE(T2GDiscount)*100),"% discount"),CONCATENATE("$",ROUND(K1728*(1-_xlfn.SINGLE(T2GDiscount)),2)," with ",((_xlfn.SINGLE(T2GDiscount)*100+F1728*100)-(_xlfn.SINGLE(T2GDiscount)*100*F1728)),IF(F1728&gt;0,"% discounts",IF(_xlfn.SINGLE(NoWarrantyDiscount)&gt;0,"% discounts","% discount")))))))))</f>
        <v/>
      </c>
      <c r="N1728" s="690"/>
      <c r="O1728" s="486"/>
      <c r="P1728" s="486"/>
      <c r="Q1728" s="486"/>
      <c r="R1728" s="486"/>
      <c r="S1728" s="486"/>
      <c r="T1728" s="102">
        <f t="shared" si="1218"/>
        <v>0</v>
      </c>
      <c r="U1728" s="78">
        <f>IF(NOT(ISNUMBER(G1728)), "", VLOOKUP(A1728,'Discount Lookup'!D:E,2,FALSE)*G1728)</f>
        <v>0</v>
      </c>
      <c r="V1728" s="78">
        <f>IF(NOT(ISNUMBER(G1728)), "", VLOOKUP(A1728,'Discount Lookup'!G:H,2,FALSE)*G1728)</f>
        <v>0</v>
      </c>
      <c r="W1728" s="102">
        <f t="shared" si="1219"/>
        <v>0</v>
      </c>
      <c r="X1728" s="102">
        <f t="shared" si="1220"/>
        <v>0</v>
      </c>
      <c r="Y1728" s="120" t="b">
        <f t="shared" si="1221"/>
        <v>0</v>
      </c>
      <c r="Z1728" s="117">
        <f t="shared" si="1222"/>
        <v>0</v>
      </c>
      <c r="AA1728" s="118"/>
      <c r="AB1728" s="118" t="str">
        <f t="shared" si="1223"/>
        <v/>
      </c>
      <c r="AC1728" s="712" t="str">
        <f>IF(AE1728="T2G","no charge",IF(AND(OR(PlanterYesMe="No",PlanterYesMe="N",PlanterYesMe="me"),H1728=""),"",IF(H1728="credit","NO install",IF(AND(K1728="",AE1728="me"),"EACH row",IF(AND(K1728="images",AE1728="me"),"EACH row",IF(D1728="","",IF(H1728="credit","",IF(AE1728="free","re-planting",IF(AE1728="me","   not ELP, by",IF(AND(OR(PlanterYesMe="Yes",PlanterYesMe="Y"),G1728&gt;0),(VLOOKUP(A1728,'Discount Lookup'!J:K,2)*G1728*(1-PlanterDiscount)*(1+PlanterDifficultyPercentage)),IF(AE1728="ELP",(VLOOKUP(A1728,'Discount Lookup'!J:K,2)*G1728*(1-PlanterDiscount)*(1+PlanterDifficultyPercentage)),IF(AE1728="free","re-planting",IF(G1728=0,"",IF(PlanterYesMe="",IF(AE1728="me","   not ELP, by",IF(AE1728="",IF(G1728&gt;0,(VLOOKUP(A1728,'Discount Lookup'!J:K,2)*G1728*(1-PlanterDiscount)*(1+PlanterDifficultyPercentage)),""),"")),"   not ELP, by"))))))))))))))</f>
        <v/>
      </c>
      <c r="AD1728" s="712"/>
      <c r="AE1728" s="513" t="str">
        <f t="shared" si="1224"/>
        <v/>
      </c>
      <c r="AF1728" s="713" t="str">
        <f t="shared" si="1225"/>
        <v/>
      </c>
      <c r="AG1728" s="713"/>
      <c r="AH1728" s="713"/>
      <c r="AI1728" s="112">
        <f>IF(H1728="credit",0,IF(AE1728="free",0,IF(AE1728="me",0,IF(G1728&gt;0,(VLOOKUP(A1728,'Discount Lookup'!J:K,2)*G1728),0))))</f>
        <v>0</v>
      </c>
      <c r="AJ1728" s="107" t="str">
        <f t="shared" ca="1" si="1226"/>
        <v/>
      </c>
      <c r="AK1728" s="714" t="str">
        <f t="shared" si="1227"/>
        <v/>
      </c>
      <c r="AL1728" s="714"/>
      <c r="AM1728" s="114" t="str">
        <f t="shared" si="1228"/>
        <v/>
      </c>
      <c r="AN1728" s="115"/>
      <c r="AO1728" s="116"/>
      <c r="AP1728" s="116"/>
      <c r="AQ1728" s="116"/>
      <c r="AR1728" s="116"/>
      <c r="AS1728" s="116"/>
      <c r="AT1728" s="116"/>
      <c r="AU1728" s="116"/>
      <c r="AV1728" s="78"/>
      <c r="AW1728" s="102"/>
      <c r="AX1728" s="78"/>
      <c r="AY1728" s="78"/>
      <c r="AZ1728" s="78"/>
      <c r="BA1728" s="78"/>
      <c r="BB1728" s="78"/>
      <c r="BC1728" s="78"/>
      <c r="BD1728" s="78"/>
      <c r="BE1728" s="465"/>
      <c r="BF1728" s="165" t="str">
        <f t="shared" si="1229"/>
        <v>https://www.google.com/search?tbm=isch&amp;q=15%20G4</v>
      </c>
      <c r="BG1728" s="165" t="str">
        <f t="shared" si="1230"/>
        <v>H</v>
      </c>
      <c r="BH1728" s="65"/>
      <c r="BI1728" s="65"/>
      <c r="BJ1728" s="65"/>
      <c r="BK1728" s="65"/>
      <c r="BL1728" s="99"/>
      <c r="BM1728" s="99"/>
      <c r="BN1728" s="99"/>
    </row>
    <row r="1729" spans="1:66" s="51" customFormat="1" ht="17.25" thickBot="1" x14ac:dyDescent="0.3">
      <c r="A1729" s="704" t="s">
        <v>5400</v>
      </c>
      <c r="B1729" s="642"/>
      <c r="C1729" s="710"/>
      <c r="D1729" s="643"/>
      <c r="E1729" s="643"/>
      <c r="F1729" s="644"/>
      <c r="G1729" s="645"/>
      <c r="H1729" s="646"/>
      <c r="I1729" s="647"/>
      <c r="J1729" s="648"/>
      <c r="K1729" s="649"/>
      <c r="L1729" s="650"/>
      <c r="M1729" s="650"/>
      <c r="N1729" s="644"/>
      <c r="O1729" s="644"/>
      <c r="P1729" s="644"/>
      <c r="Q1729" s="644"/>
      <c r="R1729" s="644"/>
      <c r="S1729" s="651"/>
      <c r="T1729" s="102">
        <f t="shared" si="1218"/>
        <v>0</v>
      </c>
      <c r="U1729" s="78" t="str">
        <f>IF(NOT(ISNUMBER(G1729)), "", VLOOKUP(A1729,'Discount Lookup'!D:E,2,FALSE)*G1729)</f>
        <v/>
      </c>
      <c r="V1729" s="78" t="str">
        <f>IF(NOT(ISNUMBER(G1729)), "", VLOOKUP(A1729,'Discount Lookup'!G:H,2,FALSE)*G1729)</f>
        <v/>
      </c>
      <c r="W1729" s="102">
        <f t="shared" si="1219"/>
        <v>0</v>
      </c>
      <c r="X1729" s="102">
        <f t="shared" si="1220"/>
        <v>0</v>
      </c>
      <c r="Y1729" s="120" t="b">
        <f t="shared" si="1221"/>
        <v>0</v>
      </c>
      <c r="Z1729" s="117">
        <f t="shared" si="1222"/>
        <v>0</v>
      </c>
      <c r="AA1729" s="118"/>
      <c r="AB1729" s="118" t="str">
        <f t="shared" si="1223"/>
        <v/>
      </c>
      <c r="AC1729" s="712" t="str">
        <f>IF(AE1729="T2G","no charge",IF(AND(OR(PlanterYesMe="No",PlanterYesMe="N",PlanterYesMe="me"),H1729=""),"",IF(H1729="credit","NO install",IF(AND(K1729="",AE1729="me"),"EACH row",IF(AND(K1729="images",AE1729="me"),"EACH row",IF(D1729="","",IF(H1729="credit","",IF(AE1729="free","re-planting",IF(AE1729="me","   not ELP, by",IF(AND(OR(PlanterYesMe="Yes",PlanterYesMe="Y"),G1729&gt;0),(VLOOKUP(A1729,'Discount Lookup'!J:K,2)*G1729*(1-PlanterDiscount)*(1+PlanterDifficultyPercentage)),IF(AE1729="ELP",(VLOOKUP(A1729,'Discount Lookup'!J:K,2)*G1729*(1-PlanterDiscount)*(1+PlanterDifficultyPercentage)),IF(AE1729="free","re-planting",IF(G1729=0,"",IF(PlanterYesMe="",IF(AE1729="me","   not ELP, by",IF(AE1729="",IF(G1729&gt;0,(VLOOKUP(A1729,'Discount Lookup'!J:K,2)*G1729*(1-PlanterDiscount)*(1+PlanterDifficultyPercentage)),""),"")),"   not ELP, by"))))))))))))))</f>
        <v/>
      </c>
      <c r="AD1729" s="712"/>
      <c r="AE1729" s="513" t="str">
        <f t="shared" si="1224"/>
        <v/>
      </c>
      <c r="AF1729" s="713" t="str">
        <f t="shared" si="1225"/>
        <v/>
      </c>
      <c r="AG1729" s="713"/>
      <c r="AH1729" s="713"/>
      <c r="AI1729" s="112">
        <f>IF(H1729="credit",0,IF(AE1729="free",0,IF(AE1729="me",0,IF(G1729&gt;0,(VLOOKUP(A1729,'Discount Lookup'!J:K,2)*G1729),0))))</f>
        <v>0</v>
      </c>
      <c r="AJ1729" s="107" t="str">
        <f t="shared" ca="1" si="1226"/>
        <v/>
      </c>
      <c r="AK1729" s="714" t="str">
        <f t="shared" si="1227"/>
        <v/>
      </c>
      <c r="AL1729" s="714"/>
      <c r="AM1729" s="114" t="str">
        <f t="shared" si="1228"/>
        <v/>
      </c>
      <c r="AN1729" s="115"/>
      <c r="AO1729" s="116"/>
      <c r="AP1729" s="116"/>
      <c r="AQ1729" s="116"/>
      <c r="AR1729" s="116"/>
      <c r="AS1729" s="116"/>
      <c r="AT1729" s="116"/>
      <c r="AU1729" s="116"/>
      <c r="AV1729" s="78"/>
      <c r="AW1729" s="102"/>
      <c r="AX1729" s="78"/>
      <c r="AY1729" s="78"/>
      <c r="AZ1729" s="78"/>
      <c r="BA1729" s="78"/>
      <c r="BB1729" s="78"/>
      <c r="BC1729" s="78"/>
      <c r="BD1729" s="78"/>
      <c r="BE1729" s="465"/>
      <c r="BF1729" s="165" t="str">
        <f t="shared" si="1229"/>
        <v>https://www.google.com/search?tbm=isch&amp;q=moist%20sites%F0%9F%92%A7GOOD%2C%20Arnold%20Promise%20reaches%20upward%20with%20flowers%20from%20late%20winter%20to%20early%20spring.%20Fragrant%20</v>
      </c>
      <c r="BG1729" s="165" t="str">
        <f t="shared" si="1230"/>
        <v>m</v>
      </c>
      <c r="BH1729" s="65"/>
      <c r="BI1729" s="65"/>
      <c r="BJ1729" s="65"/>
      <c r="BK1729" s="65"/>
      <c r="BL1729" s="99"/>
      <c r="BM1729" s="99"/>
      <c r="BN1729" s="99"/>
    </row>
    <row r="1730" spans="1:66" s="51" customFormat="1" ht="18" x14ac:dyDescent="0.25">
      <c r="A1730" s="623" t="s">
        <v>2626</v>
      </c>
      <c r="B1730" s="624"/>
      <c r="C1730" s="709"/>
      <c r="D1730" s="625" t="s">
        <v>2627</v>
      </c>
      <c r="E1730" s="626"/>
      <c r="F1730" s="626"/>
      <c r="G1730" s="626"/>
      <c r="H1730" s="622" t="s">
        <v>1572</v>
      </c>
      <c r="I1730" s="627" t="s">
        <v>2628</v>
      </c>
      <c r="J1730" s="628"/>
      <c r="K1730" s="628"/>
      <c r="L1730" s="629"/>
      <c r="M1730" s="700" t="s">
        <v>5249</v>
      </c>
      <c r="N1730" s="693" t="str">
        <f>IF(AND(ISTEXT($A1730), ISERROR($A1730+0)), HYPERLINK($BF1730, "Images"), "")</f>
        <v>Images</v>
      </c>
      <c r="O1730" s="695" t="s">
        <v>5247</v>
      </c>
      <c r="P1730" s="630"/>
      <c r="Q1730" s="631"/>
      <c r="R1730" s="632"/>
      <c r="S1730" s="633"/>
      <c r="T1730" s="102">
        <f t="shared" si="1218"/>
        <v>0</v>
      </c>
      <c r="U1730" s="78" t="str">
        <f>IF(NOT(ISNUMBER(G1730)), "", VLOOKUP(A1730,'Discount Lookup'!D:E,2,FALSE)*G1730)</f>
        <v/>
      </c>
      <c r="V1730" s="78" t="str">
        <f>IF(NOT(ISNUMBER(G1730)), "", VLOOKUP(A1730,'Discount Lookup'!G:H,2,FALSE)*G1730)</f>
        <v/>
      </c>
      <c r="W1730" s="102">
        <f t="shared" si="1219"/>
        <v>0</v>
      </c>
      <c r="X1730" s="102" t="str">
        <f t="shared" si="1220"/>
        <v>Coppery-Red bloom</v>
      </c>
      <c r="Y1730" s="120" t="b">
        <f t="shared" si="1221"/>
        <v>0</v>
      </c>
      <c r="Z1730" s="117">
        <f t="shared" si="1222"/>
        <v>0</v>
      </c>
      <c r="AA1730" s="118"/>
      <c r="AB1730" s="118" t="str">
        <f t="shared" si="1223"/>
        <v/>
      </c>
      <c r="AC1730" s="712" t="str">
        <f>IF(AE1730="T2G","no charge",IF(AND(OR(PlanterYesMe="No",PlanterYesMe="N",PlanterYesMe="me"),H1730=""),"",IF(H1730="credit","NO install",IF(AND(K1730="",AE1730="me"),"EACH row",IF(AND(K1730="images",AE1730="me"),"EACH row",IF(D1730="","",IF(H1730="credit","",IF(AE1730="free","re-planting",IF(AE1730="me","   not ELP, by",IF(AND(OR(PlanterYesMe="Yes",PlanterYesMe="Y"),G1730&gt;0),(VLOOKUP(A1730,'Discount Lookup'!J:K,2)*G1730*(1-PlanterDiscount)*(1+PlanterDifficultyPercentage)),IF(AE1730="ELP",(VLOOKUP(A1730,'Discount Lookup'!J:K,2)*G1730*(1-PlanterDiscount)*(1+PlanterDifficultyPercentage)),IF(AE1730="free","re-planting",IF(G1730=0,"",IF(PlanterYesMe="",IF(AE1730="me","   not ELP, by",IF(AE1730="",IF(G1730&gt;0,(VLOOKUP(A1730,'Discount Lookup'!J:K,2)*G1730*(1-PlanterDiscount)*(1+PlanterDifficultyPercentage)),""),"")),"   not ELP, by"))))))))))))))</f>
        <v/>
      </c>
      <c r="AD1730" s="712"/>
      <c r="AE1730" s="513" t="str">
        <f t="shared" si="1224"/>
        <v/>
      </c>
      <c r="AF1730" s="713" t="str">
        <f t="shared" si="1225"/>
        <v/>
      </c>
      <c r="AG1730" s="713"/>
      <c r="AH1730" s="713"/>
      <c r="AI1730" s="112">
        <f>IF(H1730="credit",0,IF(AE1730="free",0,IF(AE1730="me",0,IF(G1730&gt;0,(VLOOKUP(A1730,'Discount Lookup'!J:K,2)*G1730),0))))</f>
        <v>0</v>
      </c>
      <c r="AJ1730" s="107" t="str">
        <f t="shared" ca="1" si="1226"/>
        <v/>
      </c>
      <c r="AK1730" s="714" t="str">
        <f t="shared" si="1227"/>
        <v/>
      </c>
      <c r="AL1730" s="714"/>
      <c r="AM1730" s="114" t="str">
        <f t="shared" si="1228"/>
        <v/>
      </c>
      <c r="AN1730" s="115"/>
      <c r="AO1730" s="116"/>
      <c r="AP1730" s="116"/>
      <c r="AQ1730" s="116"/>
      <c r="AR1730" s="116"/>
      <c r="AS1730" s="116"/>
      <c r="AT1730" s="116"/>
      <c r="AU1730" s="116"/>
      <c r="AV1730" s="78"/>
      <c r="AW1730" s="102"/>
      <c r="AX1730" s="78"/>
      <c r="AY1730" s="78"/>
      <c r="AZ1730" s="78"/>
      <c r="BA1730" s="78"/>
      <c r="BB1730" s="78"/>
      <c r="BC1730" s="78"/>
      <c r="BD1730" s="78"/>
      <c r="BE1730" s="465"/>
      <c r="BF1730" s="165" t="str">
        <f t="shared" si="1229"/>
        <v>https://www.google.com/search?tbm=isch&amp;q=Hamamelis%20x%20intermedia%20%27Diane%27%20Diane%20Witch%20Hazel</v>
      </c>
      <c r="BG1730" s="165" t="str">
        <f t="shared" si="1230"/>
        <v>H</v>
      </c>
      <c r="BH1730" s="65"/>
      <c r="BI1730" s="65"/>
      <c r="BJ1730" s="65"/>
      <c r="BK1730" s="65"/>
      <c r="BL1730" s="99"/>
      <c r="BM1730" s="99"/>
      <c r="BN1730" s="99"/>
    </row>
    <row r="1731" spans="1:66" s="51" customFormat="1" ht="15.75" x14ac:dyDescent="0.25">
      <c r="A1731" s="634">
        <v>15</v>
      </c>
      <c r="B1731" s="635" t="s">
        <v>291</v>
      </c>
      <c r="C1731" s="636" t="s">
        <v>1762</v>
      </c>
      <c r="D1731" s="637" t="s">
        <v>293</v>
      </c>
      <c r="E1731" s="638">
        <v>160.94999999999999</v>
      </c>
      <c r="F1731" s="639" t="s">
        <v>292</v>
      </c>
      <c r="G1731" s="484">
        <v>0</v>
      </c>
      <c r="H1731" s="691" t="str">
        <f>IF(G1731=0,"",IF(F1731="Buy",IF(G1731=1,"plant","plants"),IF(F1731&gt;0.01,"warranty","Error")))</f>
        <v/>
      </c>
      <c r="I1731" s="640">
        <f>IF(H1731="free",0,IF(H1731="credit",((E1731*(F1731))*G1731*-1),IF(F1731="Buy",(E1731*G1731),((E1731*(1-F1731))*G1731))))</f>
        <v>0</v>
      </c>
      <c r="J1731" s="640">
        <f>IF(H1731="warranty",0,(I1731*(_xlfn.SINGLE(SalesTaxPercentage))))</f>
        <v>0</v>
      </c>
      <c r="K1731" s="716">
        <f t="shared" ref="K1731" si="1250">I1731+J1731</f>
        <v>0</v>
      </c>
      <c r="L1731" s="716"/>
      <c r="M1731" s="689" t="str">
        <f ca="1">IF(AND(G1731&gt;0,E1731=0),"WARNING - no PRICE inserted",IF(H1731="free","FREE ~ no charge this plant",IF(H1731="credit",CONCATENATE("-$",ROUND(K1731*(1-_xlfn.SINGLE(T2GDiscount))*-1,2)," CREDIT after discount"),IF(_xlfn.SINGLE(T2GDiscount)=0,"",IF(G1731=0,"",IF(F1731="Buy",CONCATENATE("$",ROUND(K1731*(1-_xlfn.SINGLE(T2GDiscount)),2)," with ",(_xlfn.SINGLE(T2GDiscount)*100),"% discount"),CONCATENATE("$",ROUND(K1731*(1-_xlfn.SINGLE(T2GDiscount)),2)," with ",((_xlfn.SINGLE(T2GDiscount)*100+F1731*100)-(_xlfn.SINGLE(T2GDiscount)*100*F1731)),IF(F1731&gt;0,"% discounts",IF(_xlfn.SINGLE(NoWarrantyDiscount)&gt;0,"% discounts","% discount")))))))))</f>
        <v/>
      </c>
      <c r="N1731" s="690"/>
      <c r="O1731" s="486"/>
      <c r="P1731" s="486"/>
      <c r="Q1731" s="486"/>
      <c r="R1731" s="486"/>
      <c r="S1731" s="486"/>
      <c r="T1731" s="102">
        <f t="shared" si="1218"/>
        <v>0</v>
      </c>
      <c r="U1731" s="78">
        <f>IF(NOT(ISNUMBER(G1731)), "", VLOOKUP(A1731,'Discount Lookup'!D:E,2,FALSE)*G1731)</f>
        <v>0</v>
      </c>
      <c r="V1731" s="78">
        <f>IF(NOT(ISNUMBER(G1731)), "", VLOOKUP(A1731,'Discount Lookup'!G:H,2,FALSE)*G1731)</f>
        <v>0</v>
      </c>
      <c r="W1731" s="102">
        <f t="shared" si="1219"/>
        <v>0</v>
      </c>
      <c r="X1731" s="102">
        <f t="shared" si="1220"/>
        <v>0</v>
      </c>
      <c r="Y1731" s="120" t="b">
        <f t="shared" si="1221"/>
        <v>0</v>
      </c>
      <c r="Z1731" s="117">
        <f t="shared" si="1222"/>
        <v>0</v>
      </c>
      <c r="AA1731" s="118"/>
      <c r="AB1731" s="118" t="str">
        <f t="shared" si="1223"/>
        <v/>
      </c>
      <c r="AC1731" s="712" t="str">
        <f>IF(AE1731="T2G","no charge",IF(AND(OR(PlanterYesMe="No",PlanterYesMe="N",PlanterYesMe="me"),H1731=""),"",IF(H1731="credit","NO install",IF(AND(K1731="",AE1731="me"),"EACH row",IF(AND(K1731="images",AE1731="me"),"EACH row",IF(D1731="","",IF(H1731="credit","",IF(AE1731="free","re-planting",IF(AE1731="me","   not ELP, by",IF(AND(OR(PlanterYesMe="Yes",PlanterYesMe="Y"),G1731&gt;0),(VLOOKUP(A1731,'Discount Lookup'!J:K,2)*G1731*(1-PlanterDiscount)*(1+PlanterDifficultyPercentage)),IF(AE1731="ELP",(VLOOKUP(A1731,'Discount Lookup'!J:K,2)*G1731*(1-PlanterDiscount)*(1+PlanterDifficultyPercentage)),IF(AE1731="free","re-planting",IF(G1731=0,"",IF(PlanterYesMe="",IF(AE1731="me","   not ELP, by",IF(AE1731="",IF(G1731&gt;0,(VLOOKUP(A1731,'Discount Lookup'!J:K,2)*G1731*(1-PlanterDiscount)*(1+PlanterDifficultyPercentage)),""),"")),"   not ELP, by"))))))))))))))</f>
        <v/>
      </c>
      <c r="AD1731" s="712"/>
      <c r="AE1731" s="513" t="str">
        <f t="shared" si="1224"/>
        <v/>
      </c>
      <c r="AF1731" s="713" t="str">
        <f t="shared" si="1225"/>
        <v/>
      </c>
      <c r="AG1731" s="713"/>
      <c r="AH1731" s="713"/>
      <c r="AI1731" s="112">
        <f>IF(H1731="credit",0,IF(AE1731="free",0,IF(AE1731="me",0,IF(G1731&gt;0,(VLOOKUP(A1731,'Discount Lookup'!J:K,2)*G1731),0))))</f>
        <v>0</v>
      </c>
      <c r="AJ1731" s="107" t="str">
        <f t="shared" ca="1" si="1226"/>
        <v/>
      </c>
      <c r="AK1731" s="714" t="str">
        <f t="shared" si="1227"/>
        <v/>
      </c>
      <c r="AL1731" s="714"/>
      <c r="AM1731" s="114" t="str">
        <f t="shared" si="1228"/>
        <v/>
      </c>
      <c r="AN1731" s="115"/>
      <c r="AO1731" s="116"/>
      <c r="AP1731" s="116"/>
      <c r="AQ1731" s="116"/>
      <c r="AR1731" s="116"/>
      <c r="AS1731" s="116"/>
      <c r="AT1731" s="116"/>
      <c r="AU1731" s="116"/>
      <c r="AV1731" s="78"/>
      <c r="AW1731" s="102"/>
      <c r="AX1731" s="78"/>
      <c r="AY1731" s="78"/>
      <c r="AZ1731" s="78"/>
      <c r="BA1731" s="78"/>
      <c r="BB1731" s="78"/>
      <c r="BC1731" s="78"/>
      <c r="BD1731" s="78"/>
      <c r="BE1731" s="465"/>
      <c r="BF1731" s="165" t="str">
        <f t="shared" si="1229"/>
        <v>https://www.google.com/search?tbm=isch&amp;q=15%20G6</v>
      </c>
      <c r="BG1731" s="165" t="str">
        <f t="shared" si="1230"/>
        <v>H</v>
      </c>
      <c r="BH1731" s="65"/>
      <c r="BI1731" s="65"/>
      <c r="BJ1731" s="65"/>
      <c r="BK1731" s="65"/>
      <c r="BL1731" s="99"/>
      <c r="BM1731" s="99"/>
      <c r="BN1731" s="99"/>
    </row>
    <row r="1732" spans="1:66" s="51" customFormat="1" ht="17.25" thickBot="1" x14ac:dyDescent="0.3">
      <c r="A1732" s="704" t="s">
        <v>5401</v>
      </c>
      <c r="B1732" s="642"/>
      <c r="C1732" s="710"/>
      <c r="D1732" s="643"/>
      <c r="E1732" s="643"/>
      <c r="F1732" s="644"/>
      <c r="G1732" s="645"/>
      <c r="H1732" s="646"/>
      <c r="I1732" s="647"/>
      <c r="J1732" s="648"/>
      <c r="K1732" s="649"/>
      <c r="L1732" s="650"/>
      <c r="M1732" s="650"/>
      <c r="N1732" s="644"/>
      <c r="O1732" s="644"/>
      <c r="P1732" s="644"/>
      <c r="Q1732" s="644"/>
      <c r="R1732" s="644"/>
      <c r="S1732" s="651"/>
      <c r="T1732" s="102">
        <f t="shared" si="1218"/>
        <v>0</v>
      </c>
      <c r="U1732" s="78" t="str">
        <f>IF(NOT(ISNUMBER(G1732)), "", VLOOKUP(A1732,'Discount Lookup'!D:E,2,FALSE)*G1732)</f>
        <v/>
      </c>
      <c r="V1732" s="78" t="str">
        <f>IF(NOT(ISNUMBER(G1732)), "", VLOOKUP(A1732,'Discount Lookup'!G:H,2,FALSE)*G1732)</f>
        <v/>
      </c>
      <c r="W1732" s="102">
        <f t="shared" si="1219"/>
        <v>0</v>
      </c>
      <c r="X1732" s="102">
        <f t="shared" si="1220"/>
        <v>0</v>
      </c>
      <c r="Y1732" s="120" t="b">
        <f t="shared" si="1221"/>
        <v>0</v>
      </c>
      <c r="Z1732" s="117">
        <f t="shared" si="1222"/>
        <v>0</v>
      </c>
      <c r="AA1732" s="118"/>
      <c r="AB1732" s="118" t="str">
        <f t="shared" si="1223"/>
        <v/>
      </c>
      <c r="AC1732" s="712" t="str">
        <f>IF(AE1732="T2G","no charge",IF(AND(OR(PlanterYesMe="No",PlanterYesMe="N",PlanterYesMe="me"),H1732=""),"",IF(H1732="credit","NO install",IF(AND(K1732="",AE1732="me"),"EACH row",IF(AND(K1732="images",AE1732="me"),"EACH row",IF(D1732="","",IF(H1732="credit","",IF(AE1732="free","re-planting",IF(AE1732="me","   not ELP, by",IF(AND(OR(PlanterYesMe="Yes",PlanterYesMe="Y"),G1732&gt;0),(VLOOKUP(A1732,'Discount Lookup'!J:K,2)*G1732*(1-PlanterDiscount)*(1+PlanterDifficultyPercentage)),IF(AE1732="ELP",(VLOOKUP(A1732,'Discount Lookup'!J:K,2)*G1732*(1-PlanterDiscount)*(1+PlanterDifficultyPercentage)),IF(AE1732="free","re-planting",IF(G1732=0,"",IF(PlanterYesMe="",IF(AE1732="me","   not ELP, by",IF(AE1732="",IF(G1732&gt;0,(VLOOKUP(A1732,'Discount Lookup'!J:K,2)*G1732*(1-PlanterDiscount)*(1+PlanterDifficultyPercentage)),""),"")),"   not ELP, by"))))))))))))))</f>
        <v/>
      </c>
      <c r="AD1732" s="712"/>
      <c r="AE1732" s="513" t="str">
        <f t="shared" si="1224"/>
        <v/>
      </c>
      <c r="AF1732" s="713" t="str">
        <f t="shared" si="1225"/>
        <v/>
      </c>
      <c r="AG1732" s="713"/>
      <c r="AH1732" s="713"/>
      <c r="AI1732" s="112">
        <f>IF(H1732="credit",0,IF(AE1732="free",0,IF(AE1732="me",0,IF(G1732&gt;0,(VLOOKUP(A1732,'Discount Lookup'!J:K,2)*G1732),0))))</f>
        <v>0</v>
      </c>
      <c r="AJ1732" s="107" t="str">
        <f t="shared" ca="1" si="1226"/>
        <v/>
      </c>
      <c r="AK1732" s="714" t="str">
        <f t="shared" si="1227"/>
        <v/>
      </c>
      <c r="AL1732" s="714"/>
      <c r="AM1732" s="114" t="str">
        <f t="shared" si="1228"/>
        <v/>
      </c>
      <c r="AN1732" s="115"/>
      <c r="AO1732" s="116"/>
      <c r="AP1732" s="116"/>
      <c r="AQ1732" s="116"/>
      <c r="AR1732" s="116"/>
      <c r="AS1732" s="116"/>
      <c r="AT1732" s="116"/>
      <c r="AU1732" s="116"/>
      <c r="AV1732" s="78"/>
      <c r="AW1732" s="102"/>
      <c r="AX1732" s="78"/>
      <c r="AY1732" s="78"/>
      <c r="AZ1732" s="78"/>
      <c r="BA1732" s="78"/>
      <c r="BB1732" s="78"/>
      <c r="BC1732" s="78"/>
      <c r="BD1732" s="78"/>
      <c r="BE1732" s="465"/>
      <c r="BF1732" s="165" t="str">
        <f t="shared" si="1229"/>
        <v>https://www.google.com/search?tbm=isch&amp;q=moist%20sites%F0%9F%92%A7GOOD%2C%20Diane%20has%20spectacular%20spidery%20flowers%20that%20bloom%20in%20late%20winter%2C%20providing%20an%20eye-catching%20display%20against%20its%20bare%20stems%20</v>
      </c>
      <c r="BG1732" s="165" t="str">
        <f t="shared" si="1230"/>
        <v>m</v>
      </c>
      <c r="BH1732" s="65"/>
      <c r="BI1732" s="65"/>
      <c r="BJ1732" s="65"/>
      <c r="BK1732" s="65"/>
      <c r="BL1732" s="99"/>
      <c r="BM1732" s="99"/>
      <c r="BN1732" s="99"/>
    </row>
    <row r="1733" spans="1:66" s="51" customFormat="1" ht="18" x14ac:dyDescent="0.25">
      <c r="A1733" s="623" t="s">
        <v>2629</v>
      </c>
      <c r="B1733" s="624"/>
      <c r="C1733" s="709"/>
      <c r="D1733" s="625" t="s">
        <v>2630</v>
      </c>
      <c r="E1733" s="626"/>
      <c r="F1733" s="626"/>
      <c r="G1733" s="626"/>
      <c r="H1733" s="622" t="s">
        <v>330</v>
      </c>
      <c r="I1733" s="627" t="s">
        <v>2281</v>
      </c>
      <c r="J1733" s="628"/>
      <c r="K1733" s="628"/>
      <c r="L1733" s="629"/>
      <c r="M1733" s="700" t="s">
        <v>5249</v>
      </c>
      <c r="N1733" s="693" t="str">
        <f>IF(AND(ISTEXT($A1733), ISERROR($A1733+0)), HYPERLINK($BF1733, "Images"), "")</f>
        <v>Images</v>
      </c>
      <c r="O1733" s="695" t="s">
        <v>5247</v>
      </c>
      <c r="P1733" s="630"/>
      <c r="Q1733" s="631"/>
      <c r="R1733" s="632"/>
      <c r="S1733" s="633"/>
      <c r="T1733" s="102">
        <f t="shared" si="1218"/>
        <v>0</v>
      </c>
      <c r="U1733" s="78" t="str">
        <f>IF(NOT(ISNUMBER(G1733)), "", VLOOKUP(A1733,'Discount Lookup'!D:E,2,FALSE)*G1733)</f>
        <v/>
      </c>
      <c r="V1733" s="78" t="str">
        <f>IF(NOT(ISNUMBER(G1733)), "", VLOOKUP(A1733,'Discount Lookup'!G:H,2,FALSE)*G1733)</f>
        <v/>
      </c>
      <c r="W1733" s="102">
        <f t="shared" si="1219"/>
        <v>0</v>
      </c>
      <c r="X1733" s="102" t="str">
        <f t="shared" si="1220"/>
        <v>Lemon-Yellow bloom</v>
      </c>
      <c r="Y1733" s="120" t="b">
        <f t="shared" si="1221"/>
        <v>0</v>
      </c>
      <c r="Z1733" s="117">
        <f t="shared" si="1222"/>
        <v>0</v>
      </c>
      <c r="AA1733" s="118"/>
      <c r="AB1733" s="118" t="str">
        <f t="shared" si="1223"/>
        <v/>
      </c>
      <c r="AC1733" s="712" t="str">
        <f>IF(AE1733="T2G","no charge",IF(AND(OR(PlanterYesMe="No",PlanterYesMe="N",PlanterYesMe="me"),H1733=""),"",IF(H1733="credit","NO install",IF(AND(K1733="",AE1733="me"),"EACH row",IF(AND(K1733="images",AE1733="me"),"EACH row",IF(D1733="","",IF(H1733="credit","",IF(AE1733="free","re-planting",IF(AE1733="me","   not ELP, by",IF(AND(OR(PlanterYesMe="Yes",PlanterYesMe="Y"),G1733&gt;0),(VLOOKUP(A1733,'Discount Lookup'!J:K,2)*G1733*(1-PlanterDiscount)*(1+PlanterDifficultyPercentage)),IF(AE1733="ELP",(VLOOKUP(A1733,'Discount Lookup'!J:K,2)*G1733*(1-PlanterDiscount)*(1+PlanterDifficultyPercentage)),IF(AE1733="free","re-planting",IF(G1733=0,"",IF(PlanterYesMe="",IF(AE1733="me","   not ELP, by",IF(AE1733="",IF(G1733&gt;0,(VLOOKUP(A1733,'Discount Lookup'!J:K,2)*G1733*(1-PlanterDiscount)*(1+PlanterDifficultyPercentage)),""),"")),"   not ELP, by"))))))))))))))</f>
        <v/>
      </c>
      <c r="AD1733" s="712"/>
      <c r="AE1733" s="513" t="str">
        <f t="shared" si="1224"/>
        <v/>
      </c>
      <c r="AF1733" s="713" t="str">
        <f t="shared" si="1225"/>
        <v/>
      </c>
      <c r="AG1733" s="713"/>
      <c r="AH1733" s="713"/>
      <c r="AI1733" s="112">
        <f>IF(H1733="credit",0,IF(AE1733="free",0,IF(AE1733="me",0,IF(G1733&gt;0,(VLOOKUP(A1733,'Discount Lookup'!J:K,2)*G1733),0))))</f>
        <v>0</v>
      </c>
      <c r="AJ1733" s="107" t="str">
        <f t="shared" ca="1" si="1226"/>
        <v/>
      </c>
      <c r="AK1733" s="714" t="str">
        <f t="shared" si="1227"/>
        <v/>
      </c>
      <c r="AL1733" s="714"/>
      <c r="AM1733" s="114" t="str">
        <f t="shared" si="1228"/>
        <v/>
      </c>
      <c r="AN1733" s="115"/>
      <c r="AO1733" s="116"/>
      <c r="AP1733" s="116"/>
      <c r="AQ1733" s="116"/>
      <c r="AR1733" s="116"/>
      <c r="AS1733" s="116"/>
      <c r="AT1733" s="116"/>
      <c r="AU1733" s="116"/>
      <c r="AV1733" s="78"/>
      <c r="AW1733" s="102"/>
      <c r="AX1733" s="78"/>
      <c r="AY1733" s="78"/>
      <c r="AZ1733" s="78"/>
      <c r="BA1733" s="78"/>
      <c r="BB1733" s="78"/>
      <c r="BC1733" s="78"/>
      <c r="BD1733" s="78"/>
      <c r="BE1733" s="465"/>
      <c r="BF1733" s="165" t="str">
        <f t="shared" si="1229"/>
        <v>https://www.google.com/search?tbm=isch&amp;q=Hamamelis%20x%20intermedia%20%27Sunburst%27%20PP%2317355%20Sunburst%20Witch%20Hazel</v>
      </c>
      <c r="BG1733" s="165" t="str">
        <f t="shared" si="1230"/>
        <v>H</v>
      </c>
      <c r="BH1733" s="65"/>
      <c r="BI1733" s="65"/>
      <c r="BJ1733" s="65"/>
      <c r="BK1733" s="65"/>
      <c r="BL1733" s="99"/>
      <c r="BM1733" s="99"/>
      <c r="BN1733" s="99"/>
    </row>
    <row r="1734" spans="1:66" s="51" customFormat="1" ht="15.75" x14ac:dyDescent="0.25">
      <c r="A1734" s="634">
        <v>15</v>
      </c>
      <c r="B1734" s="635" t="s">
        <v>291</v>
      </c>
      <c r="C1734" s="636"/>
      <c r="D1734" s="637" t="s">
        <v>293</v>
      </c>
      <c r="E1734" s="638">
        <v>160.94999999999999</v>
      </c>
      <c r="F1734" s="639" t="s">
        <v>292</v>
      </c>
      <c r="G1734" s="484">
        <v>0</v>
      </c>
      <c r="H1734" s="691" t="str">
        <f>IF(G1734=0,"",IF(F1734="Buy",IF(G1734=1,"plant","plants"),IF(F1734&gt;0.01,"warranty","Error")))</f>
        <v/>
      </c>
      <c r="I1734" s="640">
        <f>IF(H1734="free",0,IF(H1734="credit",((E1734*(F1734))*G1734*-1),IF(F1734="Buy",(E1734*G1734),((E1734*(1-F1734))*G1734))))</f>
        <v>0</v>
      </c>
      <c r="J1734" s="640">
        <f>IF(H1734="warranty",0,(I1734*(_xlfn.SINGLE(SalesTaxPercentage))))</f>
        <v>0</v>
      </c>
      <c r="K1734" s="716">
        <f t="shared" ref="K1734" si="1251">I1734+J1734</f>
        <v>0</v>
      </c>
      <c r="L1734" s="716"/>
      <c r="M1734" s="689" t="str">
        <f ca="1">IF(AND(G1734&gt;0,E1734=0),"WARNING - no PRICE inserted",IF(H1734="free","FREE ~ no charge this plant",IF(H1734="credit",CONCATENATE("-$",ROUND(K1734*(1-_xlfn.SINGLE(T2GDiscount))*-1,2)," CREDIT after discount"),IF(_xlfn.SINGLE(T2GDiscount)=0,"",IF(G1734=0,"",IF(F1734="Buy",CONCATENATE("$",ROUND(K1734*(1-_xlfn.SINGLE(T2GDiscount)),2)," with ",(_xlfn.SINGLE(T2GDiscount)*100),"% discount"),CONCATENATE("$",ROUND(K1734*(1-_xlfn.SINGLE(T2GDiscount)),2)," with ",((_xlfn.SINGLE(T2GDiscount)*100+F1734*100)-(_xlfn.SINGLE(T2GDiscount)*100*F1734)),IF(F1734&gt;0,"% discounts",IF(_xlfn.SINGLE(NoWarrantyDiscount)&gt;0,"% discounts","% discount")))))))))</f>
        <v/>
      </c>
      <c r="N1734" s="690"/>
      <c r="O1734" s="486"/>
      <c r="P1734" s="486"/>
      <c r="Q1734" s="486"/>
      <c r="R1734" s="486"/>
      <c r="S1734" s="486"/>
      <c r="T1734" s="102">
        <f t="shared" si="1218"/>
        <v>0</v>
      </c>
      <c r="U1734" s="78">
        <f>IF(NOT(ISNUMBER(G1734)), "", VLOOKUP(A1734,'Discount Lookup'!D:E,2,FALSE)*G1734)</f>
        <v>0</v>
      </c>
      <c r="V1734" s="78">
        <f>IF(NOT(ISNUMBER(G1734)), "", VLOOKUP(A1734,'Discount Lookup'!G:H,2,FALSE)*G1734)</f>
        <v>0</v>
      </c>
      <c r="W1734" s="102">
        <f t="shared" si="1219"/>
        <v>0</v>
      </c>
      <c r="X1734" s="102">
        <f t="shared" si="1220"/>
        <v>0</v>
      </c>
      <c r="Y1734" s="120" t="b">
        <f t="shared" si="1221"/>
        <v>0</v>
      </c>
      <c r="Z1734" s="117">
        <f t="shared" si="1222"/>
        <v>0</v>
      </c>
      <c r="AA1734" s="118"/>
      <c r="AB1734" s="118" t="str">
        <f t="shared" si="1223"/>
        <v/>
      </c>
      <c r="AC1734" s="712" t="str">
        <f>IF(AE1734="T2G","no charge",IF(AND(OR(PlanterYesMe="No",PlanterYesMe="N",PlanterYesMe="me"),H1734=""),"",IF(H1734="credit","NO install",IF(AND(K1734="",AE1734="me"),"EACH row",IF(AND(K1734="images",AE1734="me"),"EACH row",IF(D1734="","",IF(H1734="credit","",IF(AE1734="free","re-planting",IF(AE1734="me","   not ELP, by",IF(AND(OR(PlanterYesMe="Yes",PlanterYesMe="Y"),G1734&gt;0),(VLOOKUP(A1734,'Discount Lookup'!J:K,2)*G1734*(1-PlanterDiscount)*(1+PlanterDifficultyPercentage)),IF(AE1734="ELP",(VLOOKUP(A1734,'Discount Lookup'!J:K,2)*G1734*(1-PlanterDiscount)*(1+PlanterDifficultyPercentage)),IF(AE1734="free","re-planting",IF(G1734=0,"",IF(PlanterYesMe="",IF(AE1734="me","   not ELP, by",IF(AE1734="",IF(G1734&gt;0,(VLOOKUP(A1734,'Discount Lookup'!J:K,2)*G1734*(1-PlanterDiscount)*(1+PlanterDifficultyPercentage)),""),"")),"   not ELP, by"))))))))))))))</f>
        <v/>
      </c>
      <c r="AD1734" s="712"/>
      <c r="AE1734" s="513" t="str">
        <f t="shared" si="1224"/>
        <v/>
      </c>
      <c r="AF1734" s="713" t="str">
        <f t="shared" si="1225"/>
        <v/>
      </c>
      <c r="AG1734" s="713"/>
      <c r="AH1734" s="713"/>
      <c r="AI1734" s="112">
        <f>IF(H1734="credit",0,IF(AE1734="free",0,IF(AE1734="me",0,IF(G1734&gt;0,(VLOOKUP(A1734,'Discount Lookup'!J:K,2)*G1734),0))))</f>
        <v>0</v>
      </c>
      <c r="AJ1734" s="107" t="str">
        <f t="shared" ca="1" si="1226"/>
        <v/>
      </c>
      <c r="AK1734" s="714" t="str">
        <f t="shared" si="1227"/>
        <v/>
      </c>
      <c r="AL1734" s="714"/>
      <c r="AM1734" s="114" t="str">
        <f t="shared" si="1228"/>
        <v/>
      </c>
      <c r="AN1734" s="115"/>
      <c r="AO1734" s="116"/>
      <c r="AP1734" s="116"/>
      <c r="AQ1734" s="116"/>
      <c r="AR1734" s="116"/>
      <c r="AS1734" s="116"/>
      <c r="AT1734" s="116"/>
      <c r="AU1734" s="116"/>
      <c r="AV1734" s="78"/>
      <c r="AW1734" s="102"/>
      <c r="AX1734" s="78"/>
      <c r="AY1734" s="78"/>
      <c r="AZ1734" s="78"/>
      <c r="BA1734" s="78"/>
      <c r="BB1734" s="78"/>
      <c r="BC1734" s="78"/>
      <c r="BD1734" s="78"/>
      <c r="BE1734" s="465"/>
      <c r="BF1734" s="165" t="str">
        <f t="shared" si="1229"/>
        <v>https://www.google.com/search?tbm=isch&amp;q=15%20G6</v>
      </c>
      <c r="BG1734" s="165" t="str">
        <f t="shared" si="1230"/>
        <v>H</v>
      </c>
      <c r="BH1734" s="65"/>
      <c r="BI1734" s="65"/>
      <c r="BJ1734" s="65"/>
      <c r="BK1734" s="65"/>
      <c r="BL1734" s="99"/>
      <c r="BM1734" s="99"/>
      <c r="BN1734" s="99"/>
    </row>
    <row r="1735" spans="1:66" s="51" customFormat="1" ht="16.5" x14ac:dyDescent="0.25">
      <c r="A1735" s="704" t="s">
        <v>5402</v>
      </c>
      <c r="B1735" s="642"/>
      <c r="C1735" s="710"/>
      <c r="D1735" s="643"/>
      <c r="E1735" s="643"/>
      <c r="F1735" s="644"/>
      <c r="G1735" s="645"/>
      <c r="H1735" s="646"/>
      <c r="I1735" s="647"/>
      <c r="J1735" s="648"/>
      <c r="K1735" s="649"/>
      <c r="L1735" s="650"/>
      <c r="M1735" s="650"/>
      <c r="N1735" s="644"/>
      <c r="O1735" s="644"/>
      <c r="P1735" s="644"/>
      <c r="Q1735" s="644"/>
      <c r="R1735" s="644"/>
      <c r="S1735" s="651"/>
      <c r="T1735" s="102">
        <f t="shared" si="1218"/>
        <v>0</v>
      </c>
      <c r="U1735" s="78" t="str">
        <f>IF(NOT(ISNUMBER(G1735)), "", VLOOKUP(A1735,'Discount Lookup'!D:E,2,FALSE)*G1735)</f>
        <v/>
      </c>
      <c r="V1735" s="78" t="str">
        <f>IF(NOT(ISNUMBER(G1735)), "", VLOOKUP(A1735,'Discount Lookup'!G:H,2,FALSE)*G1735)</f>
        <v/>
      </c>
      <c r="W1735" s="102">
        <f t="shared" si="1219"/>
        <v>0</v>
      </c>
      <c r="X1735" s="102">
        <f t="shared" si="1220"/>
        <v>0</v>
      </c>
      <c r="Y1735" s="120" t="b">
        <f t="shared" si="1221"/>
        <v>0</v>
      </c>
      <c r="Z1735" s="117">
        <f t="shared" si="1222"/>
        <v>0</v>
      </c>
      <c r="AA1735" s="118"/>
      <c r="AB1735" s="118" t="str">
        <f t="shared" si="1223"/>
        <v/>
      </c>
      <c r="AC1735" s="712" t="str">
        <f>IF(AE1735="T2G","no charge",IF(AND(OR(PlanterYesMe="No",PlanterYesMe="N",PlanterYesMe="me"),H1735=""),"",IF(H1735="credit","NO install",IF(AND(K1735="",AE1735="me"),"EACH row",IF(AND(K1735="images",AE1735="me"),"EACH row",IF(D1735="","",IF(H1735="credit","",IF(AE1735="free","re-planting",IF(AE1735="me","   not ELP, by",IF(AND(OR(PlanterYesMe="Yes",PlanterYesMe="Y"),G1735&gt;0),(VLOOKUP(A1735,'Discount Lookup'!J:K,2)*G1735*(1-PlanterDiscount)*(1+PlanterDifficultyPercentage)),IF(AE1735="ELP",(VLOOKUP(A1735,'Discount Lookup'!J:K,2)*G1735*(1-PlanterDiscount)*(1+PlanterDifficultyPercentage)),IF(AE1735="free","re-planting",IF(G1735=0,"",IF(PlanterYesMe="",IF(AE1735="me","   not ELP, by",IF(AE1735="",IF(G1735&gt;0,(VLOOKUP(A1735,'Discount Lookup'!J:K,2)*G1735*(1-PlanterDiscount)*(1+PlanterDifficultyPercentage)),""),"")),"   not ELP, by"))))))))))))))</f>
        <v/>
      </c>
      <c r="AD1735" s="712"/>
      <c r="AE1735" s="513" t="str">
        <f t="shared" si="1224"/>
        <v/>
      </c>
      <c r="AF1735" s="713" t="str">
        <f t="shared" si="1225"/>
        <v/>
      </c>
      <c r="AG1735" s="713"/>
      <c r="AH1735" s="713"/>
      <c r="AI1735" s="112">
        <f>IF(H1735="credit",0,IF(AE1735="free",0,IF(AE1735="me",0,IF(G1735&gt;0,(VLOOKUP(A1735,'Discount Lookup'!J:K,2)*G1735),0))))</f>
        <v>0</v>
      </c>
      <c r="AJ1735" s="107" t="str">
        <f t="shared" ca="1" si="1226"/>
        <v/>
      </c>
      <c r="AK1735" s="714" t="str">
        <f t="shared" si="1227"/>
        <v/>
      </c>
      <c r="AL1735" s="714"/>
      <c r="AM1735" s="114" t="str">
        <f t="shared" si="1228"/>
        <v/>
      </c>
      <c r="AN1735" s="115"/>
      <c r="AO1735" s="116"/>
      <c r="AP1735" s="116"/>
      <c r="AQ1735" s="116"/>
      <c r="AR1735" s="116"/>
      <c r="AS1735" s="116"/>
      <c r="AT1735" s="116"/>
      <c r="AU1735" s="116"/>
      <c r="AV1735" s="78"/>
      <c r="AW1735" s="102"/>
      <c r="AX1735" s="78"/>
      <c r="AY1735" s="78"/>
      <c r="AZ1735" s="78"/>
      <c r="BA1735" s="78"/>
      <c r="BB1735" s="78"/>
      <c r="BC1735" s="78"/>
      <c r="BD1735" s="78"/>
      <c r="BE1735" s="465"/>
      <c r="BF1735" s="165" t="str">
        <f t="shared" si="1229"/>
        <v>https://www.google.com/search?tbm=isch&amp;q=moist%20sites%F0%9F%92%A7GOOD%2C%20Sunburst%20explodes%20with%20blooms%20in%20the%20cold%20of%20late%20winter%2C%20pairing%20vivid%20flowers%20with%20bright%20Yellow-Orange%20fall%20foliage%20</v>
      </c>
      <c r="BG1735" s="165" t="str">
        <f t="shared" si="1230"/>
        <v>m</v>
      </c>
      <c r="BH1735" s="65"/>
      <c r="BI1735" s="65"/>
      <c r="BJ1735" s="65"/>
      <c r="BK1735" s="65"/>
      <c r="BL1735" s="99"/>
      <c r="BM1735" s="99"/>
      <c r="BN1735" s="99"/>
    </row>
    <row r="1736" spans="1:66" s="51" customFormat="1" ht="19.5" thickBot="1" x14ac:dyDescent="0.3">
      <c r="A1736" s="686" t="s">
        <v>483</v>
      </c>
      <c r="B1736" s="73"/>
      <c r="C1736" s="708"/>
      <c r="D1736" s="73"/>
      <c r="E1736" s="73"/>
      <c r="F1736" s="496"/>
      <c r="G1736" s="73"/>
      <c r="H1736" s="73"/>
      <c r="I1736" s="73"/>
      <c r="J1736" s="497" t="s">
        <v>357</v>
      </c>
      <c r="K1736" s="498"/>
      <c r="L1736" s="562"/>
      <c r="M1736" s="73"/>
      <c r="N1736"/>
      <c r="O1736"/>
      <c r="P1736"/>
      <c r="Q1736"/>
      <c r="R1736"/>
      <c r="S1736"/>
      <c r="T1736" s="102">
        <f t="shared" si="1218"/>
        <v>0</v>
      </c>
      <c r="U1736" s="78" t="str">
        <f>IF(NOT(ISNUMBER(G1736)), "", VLOOKUP(A1736,'Discount Lookup'!D:E,2,FALSE)*G1736)</f>
        <v/>
      </c>
      <c r="V1736" s="78" t="str">
        <f>IF(NOT(ISNUMBER(G1736)), "", VLOOKUP(A1736,'Discount Lookup'!G:H,2,FALSE)*G1736)</f>
        <v/>
      </c>
      <c r="W1736" s="102">
        <f t="shared" si="1219"/>
        <v>0</v>
      </c>
      <c r="X1736" s="102">
        <f t="shared" si="1220"/>
        <v>0</v>
      </c>
      <c r="Y1736" s="120" t="b">
        <f t="shared" si="1221"/>
        <v>0</v>
      </c>
      <c r="Z1736" s="117">
        <f t="shared" si="1222"/>
        <v>0</v>
      </c>
      <c r="AA1736" s="118"/>
      <c r="AB1736" s="118" t="str">
        <f t="shared" si="1223"/>
        <v/>
      </c>
      <c r="AC1736" s="712" t="str">
        <f>IF(AE1736="T2G","no charge",IF(AND(OR(PlanterYesMe="No",PlanterYesMe="N",PlanterYesMe="me"),H1736=""),"",IF(H1736="credit","NO install",IF(AND(K1736="",AE1736="me"),"EACH row",IF(AND(K1736="images",AE1736="me"),"EACH row",IF(D1736="","",IF(H1736="credit","",IF(AE1736="free","re-planting",IF(AE1736="me","   not ELP, by",IF(AND(OR(PlanterYesMe="Yes",PlanterYesMe="Y"),G1736&gt;0),(VLOOKUP(A1736,'Discount Lookup'!J:K,2)*G1736*(1-PlanterDiscount)*(1+PlanterDifficultyPercentage)),IF(AE1736="ELP",(VLOOKUP(A1736,'Discount Lookup'!J:K,2)*G1736*(1-PlanterDiscount)*(1+PlanterDifficultyPercentage)),IF(AE1736="free","re-planting",IF(G1736=0,"",IF(PlanterYesMe="",IF(AE1736="me","   not ELP, by",IF(AE1736="",IF(G1736&gt;0,(VLOOKUP(A1736,'Discount Lookup'!J:K,2)*G1736*(1-PlanterDiscount)*(1+PlanterDifficultyPercentage)),""),"")),"   not ELP, by"))))))))))))))</f>
        <v/>
      </c>
      <c r="AD1736" s="712"/>
      <c r="AE1736" s="513" t="str">
        <f t="shared" si="1224"/>
        <v/>
      </c>
      <c r="AF1736" s="713" t="str">
        <f t="shared" si="1225"/>
        <v/>
      </c>
      <c r="AG1736" s="713"/>
      <c r="AH1736" s="713"/>
      <c r="AI1736" s="112">
        <f>IF(H1736="credit",0,IF(AE1736="free",0,IF(AE1736="me",0,IF(G1736&gt;0,(VLOOKUP(A1736,'Discount Lookup'!J:K,2)*G1736),0))))</f>
        <v>0</v>
      </c>
      <c r="AJ1736" s="107" t="str">
        <f t="shared" ca="1" si="1226"/>
        <v/>
      </c>
      <c r="AK1736" s="714" t="str">
        <f t="shared" si="1227"/>
        <v/>
      </c>
      <c r="AL1736" s="714"/>
      <c r="AM1736" s="114" t="str">
        <f t="shared" si="1228"/>
        <v/>
      </c>
      <c r="AN1736" s="115"/>
      <c r="AO1736" s="116"/>
      <c r="AP1736" s="116"/>
      <c r="AQ1736" s="116"/>
      <c r="AR1736" s="116"/>
      <c r="AS1736" s="116"/>
      <c r="AT1736" s="116"/>
      <c r="AU1736" s="116"/>
      <c r="AV1736" s="78"/>
      <c r="AW1736" s="102"/>
      <c r="AX1736" s="78"/>
      <c r="AY1736" s="78"/>
      <c r="AZ1736" s="78"/>
      <c r="BA1736" s="78"/>
      <c r="BB1736" s="78"/>
      <c r="BC1736" s="78"/>
      <c r="BD1736" s="78"/>
      <c r="BE1736" s="465"/>
      <c r="BF1736" s="165" t="str">
        <f t="shared" si="1229"/>
        <v>https://www.google.com/search?tbm=isch&amp;q=Helleborus%20%3D%20Lenten%20Rose%20</v>
      </c>
      <c r="BG1736" s="165" t="str">
        <f t="shared" si="1230"/>
        <v>H</v>
      </c>
      <c r="BH1736" s="65"/>
      <c r="BI1736" s="65"/>
      <c r="BJ1736" s="65"/>
      <c r="BK1736" s="65"/>
      <c r="BL1736" s="99"/>
      <c r="BM1736" s="99"/>
      <c r="BN1736" s="99"/>
    </row>
    <row r="1737" spans="1:66" s="51" customFormat="1" ht="18" x14ac:dyDescent="0.25">
      <c r="A1737" s="507" t="s">
        <v>2631</v>
      </c>
      <c r="B1737" s="470"/>
      <c r="C1737" s="706"/>
      <c r="D1737" s="471" t="s">
        <v>5665</v>
      </c>
      <c r="E1737" s="472"/>
      <c r="F1737" s="472"/>
      <c r="G1737" s="472"/>
      <c r="H1737" s="622" t="s">
        <v>1516</v>
      </c>
      <c r="I1737" s="473" t="s">
        <v>2632</v>
      </c>
      <c r="J1737" s="472"/>
      <c r="K1737" s="472"/>
      <c r="L1737" s="561"/>
      <c r="M1737" s="703" t="s">
        <v>5260</v>
      </c>
      <c r="N1737" s="692" t="str">
        <f>IF(AND(ISTEXT($A1737), ISERROR($A1737+0)), HYPERLINK($BF1737, "Images"), "")</f>
        <v>Images</v>
      </c>
      <c r="O1737" s="694" t="s">
        <v>5244</v>
      </c>
      <c r="P1737" s="475"/>
      <c r="Q1737" s="476"/>
      <c r="R1737" s="476"/>
      <c r="S1737" s="477"/>
      <c r="T1737" s="102">
        <f t="shared" si="1218"/>
        <v>0</v>
      </c>
      <c r="U1737" s="78" t="str">
        <f>IF(NOT(ISNUMBER(G1737)), "", VLOOKUP(A1737,'Discount Lookup'!D:E,2,FALSE)*G1737)</f>
        <v/>
      </c>
      <c r="V1737" s="78" t="str">
        <f>IF(NOT(ISNUMBER(G1737)), "", VLOOKUP(A1737,'Discount Lookup'!G:H,2,FALSE)*G1737)</f>
        <v/>
      </c>
      <c r="W1737" s="102">
        <f t="shared" si="1219"/>
        <v>0</v>
      </c>
      <c r="X1737" s="102" t="str">
        <f t="shared" si="1220"/>
        <v>White bloom, Pink accents</v>
      </c>
      <c r="Y1737" s="120" t="b">
        <f t="shared" si="1221"/>
        <v>0</v>
      </c>
      <c r="Z1737" s="117">
        <f t="shared" si="1222"/>
        <v>0</v>
      </c>
      <c r="AA1737" s="118"/>
      <c r="AB1737" s="118" t="str">
        <f t="shared" si="1223"/>
        <v/>
      </c>
      <c r="AC1737" s="712" t="str">
        <f>IF(AE1737="T2G","no charge",IF(AND(OR(PlanterYesMe="No",PlanterYesMe="N",PlanterYesMe="me"),H1737=""),"",IF(H1737="credit","NO install",IF(AND(K1737="",AE1737="me"),"EACH row",IF(AND(K1737="images",AE1737="me"),"EACH row",IF(D1737="","",IF(H1737="credit","",IF(AE1737="free","re-planting",IF(AE1737="me","   not ELP, by",IF(AND(OR(PlanterYesMe="Yes",PlanterYesMe="Y"),G1737&gt;0),(VLOOKUP(A1737,'Discount Lookup'!J:K,2)*G1737*(1-PlanterDiscount)*(1+PlanterDifficultyPercentage)),IF(AE1737="ELP",(VLOOKUP(A1737,'Discount Lookup'!J:K,2)*G1737*(1-PlanterDiscount)*(1+PlanterDifficultyPercentage)),IF(AE1737="free","re-planting",IF(G1737=0,"",IF(PlanterYesMe="",IF(AE1737="me","   not ELP, by",IF(AE1737="",IF(G1737&gt;0,(VLOOKUP(A1737,'Discount Lookup'!J:K,2)*G1737*(1-PlanterDiscount)*(1+PlanterDifficultyPercentage)),""),"")),"   not ELP, by"))))))))))))))</f>
        <v/>
      </c>
      <c r="AD1737" s="712"/>
      <c r="AE1737" s="513" t="str">
        <f t="shared" si="1224"/>
        <v/>
      </c>
      <c r="AF1737" s="713" t="str">
        <f t="shared" si="1225"/>
        <v/>
      </c>
      <c r="AG1737" s="713"/>
      <c r="AH1737" s="713"/>
      <c r="AI1737" s="112">
        <f>IF(H1737="credit",0,IF(AE1737="free",0,IF(AE1737="me",0,IF(G1737&gt;0,(VLOOKUP(A1737,'Discount Lookup'!J:K,2)*G1737),0))))</f>
        <v>0</v>
      </c>
      <c r="AJ1737" s="107" t="str">
        <f t="shared" ca="1" si="1226"/>
        <v/>
      </c>
      <c r="AK1737" s="714" t="str">
        <f t="shared" si="1227"/>
        <v/>
      </c>
      <c r="AL1737" s="714"/>
      <c r="AM1737" s="114" t="str">
        <f t="shared" si="1228"/>
        <v/>
      </c>
      <c r="AN1737" s="115"/>
      <c r="AO1737" s="116"/>
      <c r="AP1737" s="116"/>
      <c r="AQ1737" s="116"/>
      <c r="AR1737" s="116"/>
      <c r="AS1737" s="116"/>
      <c r="AT1737" s="116"/>
      <c r="AU1737" s="116"/>
      <c r="AV1737" s="78"/>
      <c r="AW1737" s="102"/>
      <c r="AX1737" s="78"/>
      <c r="AY1737" s="78"/>
      <c r="AZ1737" s="78"/>
      <c r="BA1737" s="78"/>
      <c r="BB1737" s="78"/>
      <c r="BC1737" s="78"/>
      <c r="BD1737" s="78"/>
      <c r="BE1737" s="465"/>
      <c r="BF1737" s="165" t="str">
        <f t="shared" si="1229"/>
        <v>https://www.google.com/search?tbm=isch&amp;q=Helleborus%20%27French%20Kiss%27%20Honeymoon%C2%AE%20French%20Kiss%20Lenten%20Rose</v>
      </c>
      <c r="BG1737" s="165" t="str">
        <f t="shared" si="1230"/>
        <v>H</v>
      </c>
      <c r="BH1737" s="65"/>
      <c r="BI1737" s="65"/>
      <c r="BJ1737" s="65"/>
      <c r="BK1737" s="65"/>
      <c r="BL1737" s="99"/>
      <c r="BM1737" s="99"/>
      <c r="BN1737" s="99"/>
    </row>
    <row r="1738" spans="1:66" s="51" customFormat="1" ht="15.75" x14ac:dyDescent="0.25">
      <c r="A1738" s="478">
        <v>2</v>
      </c>
      <c r="B1738" s="479" t="s">
        <v>291</v>
      </c>
      <c r="C1738" s="480" t="s">
        <v>4972</v>
      </c>
      <c r="D1738" s="481" t="s">
        <v>293</v>
      </c>
      <c r="E1738" s="482">
        <v>65.95</v>
      </c>
      <c r="F1738" s="483" t="s">
        <v>292</v>
      </c>
      <c r="G1738" s="484">
        <v>0</v>
      </c>
      <c r="H1738" s="688" t="str">
        <f>IF(G1738=0,"",IF(F1738="Buy",IF(G1738=1,"plant","plants"),IF(F1738&gt;0.01,"warranty","Error")))</f>
        <v/>
      </c>
      <c r="I1738" s="485">
        <f>IF(H1738="free",0,IF(H1738="credit",((E1738*(F1738))*G1738*-1),IF(F1738="Buy",(E1738*G1738),((E1738*(1-F1738))*G1738))))</f>
        <v>0</v>
      </c>
      <c r="J1738" s="485">
        <f>IF(H1738="warranty",0,(I1738*(_xlfn.SINGLE(SalesTaxPercentage))))</f>
        <v>0</v>
      </c>
      <c r="K1738" s="715">
        <f t="shared" ref="K1738" si="1252">I1738+J1738</f>
        <v>0</v>
      </c>
      <c r="L1738" s="715"/>
      <c r="M1738" s="689" t="str">
        <f ca="1">IF(AND(G1738&gt;0,E1738=0),"WARNING - no PRICE inserted",IF(H1738="free","FREE ~ no charge this plant",IF(H1738="credit",CONCATENATE("-$",ROUND(K1738*(1-_xlfn.SINGLE(T2GDiscount))*-1,2)," CREDIT after discount"),IF(_xlfn.SINGLE(T2GDiscount)=0,"",IF(G1738=0,"",IF(F1738="Buy",CONCATENATE("$",ROUND(K1738*(1-_xlfn.SINGLE(T2GDiscount)),2)," with ",(_xlfn.SINGLE(T2GDiscount)*100),"% discount"),CONCATENATE("$",ROUND(K1738*(1-_xlfn.SINGLE(T2GDiscount)),2)," with ",((_xlfn.SINGLE(T2GDiscount)*100+F1738*100)-(_xlfn.SINGLE(T2GDiscount)*100*F1738)),IF(F1738&gt;0,"% discounts",IF(_xlfn.SINGLE(NoWarrantyDiscount)&gt;0,"% discounts","% discount")))))))))</f>
        <v/>
      </c>
      <c r="N1738" s="690"/>
      <c r="O1738" s="486"/>
      <c r="P1738" s="486"/>
      <c r="Q1738" s="486"/>
      <c r="R1738" s="486"/>
      <c r="S1738" s="486"/>
      <c r="T1738" s="102">
        <f t="shared" si="1218"/>
        <v>0</v>
      </c>
      <c r="U1738" s="78">
        <f>IF(NOT(ISNUMBER(G1738)), "", VLOOKUP(A1738,'Discount Lookup'!D:E,2,FALSE)*G1738)</f>
        <v>0</v>
      </c>
      <c r="V1738" s="78">
        <f>IF(NOT(ISNUMBER(G1738)), "", VLOOKUP(A1738,'Discount Lookup'!G:H,2,FALSE)*G1738)</f>
        <v>0</v>
      </c>
      <c r="W1738" s="102">
        <f t="shared" si="1219"/>
        <v>0</v>
      </c>
      <c r="X1738" s="102">
        <f t="shared" si="1220"/>
        <v>0</v>
      </c>
      <c r="Y1738" s="120" t="b">
        <f t="shared" si="1221"/>
        <v>0</v>
      </c>
      <c r="Z1738" s="117">
        <f t="shared" si="1222"/>
        <v>0</v>
      </c>
      <c r="AA1738" s="118"/>
      <c r="AB1738" s="118" t="str">
        <f t="shared" si="1223"/>
        <v/>
      </c>
      <c r="AC1738" s="712" t="str">
        <f>IF(AE1738="T2G","no charge",IF(AND(OR(PlanterYesMe="No",PlanterYesMe="N",PlanterYesMe="me"),H1738=""),"",IF(H1738="credit","NO install",IF(AND(K1738="",AE1738="me"),"EACH row",IF(AND(K1738="images",AE1738="me"),"EACH row",IF(D1738="","",IF(H1738="credit","",IF(AE1738="free","re-planting",IF(AE1738="me","   not ELP, by",IF(AND(OR(PlanterYesMe="Yes",PlanterYesMe="Y"),G1738&gt;0),(VLOOKUP(A1738,'Discount Lookup'!J:K,2)*G1738*(1-PlanterDiscount)*(1+PlanterDifficultyPercentage)),IF(AE1738="ELP",(VLOOKUP(A1738,'Discount Lookup'!J:K,2)*G1738*(1-PlanterDiscount)*(1+PlanterDifficultyPercentage)),IF(AE1738="free","re-planting",IF(G1738=0,"",IF(PlanterYesMe="",IF(AE1738="me","   not ELP, by",IF(AE1738="",IF(G1738&gt;0,(VLOOKUP(A1738,'Discount Lookup'!J:K,2)*G1738*(1-PlanterDiscount)*(1+PlanterDifficultyPercentage)),""),"")),"   not ELP, by"))))))))))))))</f>
        <v/>
      </c>
      <c r="AD1738" s="712"/>
      <c r="AE1738" s="513" t="str">
        <f t="shared" si="1224"/>
        <v/>
      </c>
      <c r="AF1738" s="713" t="str">
        <f t="shared" si="1225"/>
        <v/>
      </c>
      <c r="AG1738" s="713"/>
      <c r="AH1738" s="713"/>
      <c r="AI1738" s="112">
        <f>IF(H1738="credit",0,IF(AE1738="free",0,IF(AE1738="me",0,IF(G1738&gt;0,(VLOOKUP(A1738,'Discount Lookup'!J:K,2)*G1738),0))))</f>
        <v>0</v>
      </c>
      <c r="AJ1738" s="107" t="str">
        <f t="shared" ca="1" si="1226"/>
        <v/>
      </c>
      <c r="AK1738" s="714" t="str">
        <f t="shared" si="1227"/>
        <v/>
      </c>
      <c r="AL1738" s="714"/>
      <c r="AM1738" s="114" t="str">
        <f t="shared" si="1228"/>
        <v/>
      </c>
      <c r="AN1738" s="115"/>
      <c r="AO1738" s="116"/>
      <c r="AP1738" s="116"/>
      <c r="AQ1738" s="116"/>
      <c r="AR1738" s="116"/>
      <c r="AS1738" s="116"/>
      <c r="AT1738" s="116"/>
      <c r="AU1738" s="116"/>
      <c r="AV1738" s="78"/>
      <c r="AW1738" s="102"/>
      <c r="AX1738" s="78"/>
      <c r="AY1738" s="78"/>
      <c r="AZ1738" s="78"/>
      <c r="BA1738" s="78"/>
      <c r="BB1738" s="78"/>
      <c r="BC1738" s="78"/>
      <c r="BD1738" s="78"/>
      <c r="BE1738" s="465"/>
      <c r="BF1738" s="165" t="str">
        <f t="shared" si="1229"/>
        <v>https://www.google.com/search?tbm=isch&amp;q=2%20G6</v>
      </c>
      <c r="BG1738" s="165" t="str">
        <f t="shared" si="1230"/>
        <v>H</v>
      </c>
      <c r="BH1738" s="65"/>
      <c r="BI1738" s="65"/>
      <c r="BJ1738" s="65"/>
      <c r="BK1738" s="65"/>
      <c r="BL1738" s="99"/>
      <c r="BM1738" s="99"/>
      <c r="BN1738" s="99"/>
    </row>
    <row r="1739" spans="1:66" s="51" customFormat="1" ht="16.5" thickBot="1" x14ac:dyDescent="0.3">
      <c r="A1739" s="508" t="s">
        <v>2633</v>
      </c>
      <c r="B1739" s="487"/>
      <c r="C1739" s="707"/>
      <c r="D1739" s="487"/>
      <c r="E1739" s="487"/>
      <c r="F1739" s="488"/>
      <c r="G1739" s="489"/>
      <c r="H1739" s="487"/>
      <c r="I1739" s="490"/>
      <c r="J1739" s="490"/>
      <c r="K1739" s="491"/>
      <c r="L1739" s="547"/>
      <c r="M1739" s="528"/>
      <c r="N1739" s="492"/>
      <c r="O1739" s="493"/>
      <c r="P1739" s="494"/>
      <c r="Q1739" s="492"/>
      <c r="R1739" s="492"/>
      <c r="S1739" s="699" t="s">
        <v>5259</v>
      </c>
      <c r="T1739" s="102">
        <f t="shared" si="1218"/>
        <v>0</v>
      </c>
      <c r="U1739" s="78" t="str">
        <f>IF(NOT(ISNUMBER(G1739)), "", VLOOKUP(A1739,'Discount Lookup'!D:E,2,FALSE)*G1739)</f>
        <v/>
      </c>
      <c r="V1739" s="78" t="str">
        <f>IF(NOT(ISNUMBER(G1739)), "", VLOOKUP(A1739,'Discount Lookup'!G:H,2,FALSE)*G1739)</f>
        <v/>
      </c>
      <c r="W1739" s="102">
        <f t="shared" si="1219"/>
        <v>0</v>
      </c>
      <c r="X1739" s="102">
        <f t="shared" si="1220"/>
        <v>0</v>
      </c>
      <c r="Y1739" s="120" t="b">
        <f t="shared" si="1221"/>
        <v>0</v>
      </c>
      <c r="Z1739" s="117">
        <f t="shared" si="1222"/>
        <v>0</v>
      </c>
      <c r="AA1739" s="118"/>
      <c r="AB1739" s="118" t="str">
        <f t="shared" si="1223"/>
        <v/>
      </c>
      <c r="AC1739" s="712" t="str">
        <f>IF(AE1739="T2G","no charge",IF(AND(OR(PlanterYesMe="No",PlanterYesMe="N",PlanterYesMe="me"),H1739=""),"",IF(H1739="credit","NO install",IF(AND(K1739="",AE1739="me"),"EACH row",IF(AND(K1739="images",AE1739="me"),"EACH row",IF(D1739="","",IF(H1739="credit","",IF(AE1739="free","re-planting",IF(AE1739="me","   not ELP, by",IF(AND(OR(PlanterYesMe="Yes",PlanterYesMe="Y"),G1739&gt;0),(VLOOKUP(A1739,'Discount Lookup'!J:K,2)*G1739*(1-PlanterDiscount)*(1+PlanterDifficultyPercentage)),IF(AE1739="ELP",(VLOOKUP(A1739,'Discount Lookup'!J:K,2)*G1739*(1-PlanterDiscount)*(1+PlanterDifficultyPercentage)),IF(AE1739="free","re-planting",IF(G1739=0,"",IF(PlanterYesMe="",IF(AE1739="me","   not ELP, by",IF(AE1739="",IF(G1739&gt;0,(VLOOKUP(A1739,'Discount Lookup'!J:K,2)*G1739*(1-PlanterDiscount)*(1+PlanterDifficultyPercentage)),""),"")),"   not ELP, by"))))))))))))))</f>
        <v/>
      </c>
      <c r="AD1739" s="712"/>
      <c r="AE1739" s="513" t="str">
        <f t="shared" si="1224"/>
        <v/>
      </c>
      <c r="AF1739" s="713" t="str">
        <f t="shared" si="1225"/>
        <v/>
      </c>
      <c r="AG1739" s="713"/>
      <c r="AH1739" s="713"/>
      <c r="AI1739" s="112">
        <f>IF(H1739="credit",0,IF(AE1739="free",0,IF(AE1739="me",0,IF(G1739&gt;0,(VLOOKUP(A1739,'Discount Lookup'!J:K,2)*G1739),0))))</f>
        <v>0</v>
      </c>
      <c r="AJ1739" s="107" t="str">
        <f t="shared" ca="1" si="1226"/>
        <v/>
      </c>
      <c r="AK1739" s="714" t="str">
        <f t="shared" si="1227"/>
        <v/>
      </c>
      <c r="AL1739" s="714"/>
      <c r="AM1739" s="114" t="str">
        <f t="shared" si="1228"/>
        <v/>
      </c>
      <c r="AN1739" s="115"/>
      <c r="AO1739" s="116"/>
      <c r="AP1739" s="116"/>
      <c r="AQ1739" s="116"/>
      <c r="AR1739" s="116"/>
      <c r="AS1739" s="116"/>
      <c r="AT1739" s="116"/>
      <c r="AU1739" s="116"/>
      <c r="AV1739" s="78"/>
      <c r="AW1739" s="102"/>
      <c r="AX1739" s="78"/>
      <c r="AY1739" s="78"/>
      <c r="AZ1739" s="78"/>
      <c r="BA1739" s="78"/>
      <c r="BB1739" s="78"/>
      <c r="BC1739" s="78"/>
      <c r="BD1739" s="78"/>
      <c r="BE1739" s="465"/>
      <c r="BF1739" s="165" t="str">
        <f t="shared" si="1229"/>
        <v>https://www.google.com/search?tbm=isch&amp;q=All%20Hellebores%20are%20clump-forming%20perennials%20with%20leathery%20foliage.%20They%20are%20long-lived%2C%20cold%2Fshade%20tolerant%2C%20and%20bloom%20late%20winter%20to%20spring%20</v>
      </c>
      <c r="BG1739" s="165" t="str">
        <f t="shared" si="1230"/>
        <v>A</v>
      </c>
      <c r="BH1739" s="65"/>
      <c r="BI1739" s="65"/>
      <c r="BJ1739" s="65"/>
      <c r="BK1739" s="65"/>
      <c r="BL1739" s="99"/>
      <c r="BM1739" s="99"/>
      <c r="BN1739" s="99"/>
    </row>
    <row r="1740" spans="1:66" s="51" customFormat="1" ht="18" x14ac:dyDescent="0.25">
      <c r="A1740" s="507" t="s">
        <v>2634</v>
      </c>
      <c r="B1740" s="470"/>
      <c r="C1740" s="706"/>
      <c r="D1740" s="471" t="s">
        <v>5666</v>
      </c>
      <c r="E1740" s="472"/>
      <c r="F1740" s="472"/>
      <c r="G1740" s="472"/>
      <c r="H1740" s="622" t="s">
        <v>1516</v>
      </c>
      <c r="I1740" s="473" t="s">
        <v>1783</v>
      </c>
      <c r="J1740" s="472"/>
      <c r="K1740" s="472"/>
      <c r="L1740" s="561"/>
      <c r="M1740" s="703" t="s">
        <v>5260</v>
      </c>
      <c r="N1740" s="692" t="str">
        <f>IF(AND(ISTEXT($A1740), ISERROR($A1740+0)), HYPERLINK($BF1740, "Images"), "")</f>
        <v>Images</v>
      </c>
      <c r="O1740" s="694" t="s">
        <v>5244</v>
      </c>
      <c r="P1740" s="475"/>
      <c r="Q1740" s="476"/>
      <c r="R1740" s="476"/>
      <c r="S1740" s="477"/>
      <c r="T1740" s="102">
        <f t="shared" si="1218"/>
        <v>0</v>
      </c>
      <c r="U1740" s="78" t="str">
        <f>IF(NOT(ISNUMBER(G1740)), "", VLOOKUP(A1740,'Discount Lookup'!D:E,2,FALSE)*G1740)</f>
        <v/>
      </c>
      <c r="V1740" s="78" t="str">
        <f>IF(NOT(ISNUMBER(G1740)), "", VLOOKUP(A1740,'Discount Lookup'!G:H,2,FALSE)*G1740)</f>
        <v/>
      </c>
      <c r="W1740" s="102">
        <f t="shared" si="1219"/>
        <v>0</v>
      </c>
      <c r="X1740" s="102" t="str">
        <f t="shared" si="1220"/>
        <v>Soft Pink bloom</v>
      </c>
      <c r="Y1740" s="120" t="b">
        <f t="shared" si="1221"/>
        <v>0</v>
      </c>
      <c r="Z1740" s="117">
        <f t="shared" si="1222"/>
        <v>0</v>
      </c>
      <c r="AA1740" s="118"/>
      <c r="AB1740" s="118" t="str">
        <f t="shared" si="1223"/>
        <v/>
      </c>
      <c r="AC1740" s="712" t="str">
        <f>IF(AE1740="T2G","no charge",IF(AND(OR(PlanterYesMe="No",PlanterYesMe="N",PlanterYesMe="me"),H1740=""),"",IF(H1740="credit","NO install",IF(AND(K1740="",AE1740="me"),"EACH row",IF(AND(K1740="images",AE1740="me"),"EACH row",IF(D1740="","",IF(H1740="credit","",IF(AE1740="free","re-planting",IF(AE1740="me","   not ELP, by",IF(AND(OR(PlanterYesMe="Yes",PlanterYesMe="Y"),G1740&gt;0),(VLOOKUP(A1740,'Discount Lookup'!J:K,2)*G1740*(1-PlanterDiscount)*(1+PlanterDifficultyPercentage)),IF(AE1740="ELP",(VLOOKUP(A1740,'Discount Lookup'!J:K,2)*G1740*(1-PlanterDiscount)*(1+PlanterDifficultyPercentage)),IF(AE1740="free","re-planting",IF(G1740=0,"",IF(PlanterYesMe="",IF(AE1740="me","   not ELP, by",IF(AE1740="",IF(G1740&gt;0,(VLOOKUP(A1740,'Discount Lookup'!J:K,2)*G1740*(1-PlanterDiscount)*(1+PlanterDifficultyPercentage)),""),"")),"   not ELP, by"))))))))))))))</f>
        <v/>
      </c>
      <c r="AD1740" s="712"/>
      <c r="AE1740" s="513" t="str">
        <f t="shared" si="1224"/>
        <v/>
      </c>
      <c r="AF1740" s="713" t="str">
        <f t="shared" si="1225"/>
        <v/>
      </c>
      <c r="AG1740" s="713"/>
      <c r="AH1740" s="713"/>
      <c r="AI1740" s="112">
        <f>IF(H1740="credit",0,IF(AE1740="free",0,IF(AE1740="me",0,IF(G1740&gt;0,(VLOOKUP(A1740,'Discount Lookup'!J:K,2)*G1740),0))))</f>
        <v>0</v>
      </c>
      <c r="AJ1740" s="107" t="str">
        <f t="shared" ca="1" si="1226"/>
        <v/>
      </c>
      <c r="AK1740" s="714" t="str">
        <f t="shared" si="1227"/>
        <v/>
      </c>
      <c r="AL1740" s="714"/>
      <c r="AM1740" s="114" t="str">
        <f t="shared" si="1228"/>
        <v/>
      </c>
      <c r="AN1740" s="115"/>
      <c r="AO1740" s="116"/>
      <c r="AP1740" s="116"/>
      <c r="AQ1740" s="116"/>
      <c r="AR1740" s="116"/>
      <c r="AS1740" s="116"/>
      <c r="AT1740" s="116"/>
      <c r="AU1740" s="116"/>
      <c r="AV1740" s="78"/>
      <c r="AW1740" s="102"/>
      <c r="AX1740" s="78"/>
      <c r="AY1740" s="78"/>
      <c r="AZ1740" s="78"/>
      <c r="BA1740" s="78"/>
      <c r="BB1740" s="78"/>
      <c r="BC1740" s="78"/>
      <c r="BD1740" s="78"/>
      <c r="BE1740" s="465"/>
      <c r="BF1740" s="165" t="str">
        <f t="shared" si="1229"/>
        <v>https://www.google.com/search?tbm=isch&amp;q=Helleborus%20%27Paris%20in%20Pink%27%20Honeymoon%C2%AE%20Paris%20in%20Pink%20Lenten%20Rose</v>
      </c>
      <c r="BG1740" s="165" t="str">
        <f t="shared" si="1230"/>
        <v>H</v>
      </c>
      <c r="BH1740" s="65"/>
      <c r="BI1740" s="65"/>
      <c r="BJ1740" s="65"/>
      <c r="BK1740" s="65"/>
      <c r="BL1740" s="99"/>
      <c r="BM1740" s="99"/>
      <c r="BN1740" s="99"/>
    </row>
    <row r="1741" spans="1:66" s="51" customFormat="1" ht="15.75" x14ac:dyDescent="0.25">
      <c r="A1741" s="478">
        <v>2</v>
      </c>
      <c r="B1741" s="479" t="s">
        <v>291</v>
      </c>
      <c r="C1741" s="480" t="s">
        <v>4973</v>
      </c>
      <c r="D1741" s="481" t="s">
        <v>293</v>
      </c>
      <c r="E1741" s="482">
        <v>65.95</v>
      </c>
      <c r="F1741" s="483" t="s">
        <v>292</v>
      </c>
      <c r="G1741" s="484">
        <v>0</v>
      </c>
      <c r="H1741" s="688" t="str">
        <f>IF(G1741=0,"",IF(F1741="Buy",IF(G1741=1,"plant","plants"),IF(F1741&gt;0.01,"warranty","Error")))</f>
        <v/>
      </c>
      <c r="I1741" s="485">
        <f>IF(H1741="free",0,IF(H1741="credit",((E1741*(F1741))*G1741*-1),IF(F1741="Buy",(E1741*G1741),((E1741*(1-F1741))*G1741))))</f>
        <v>0</v>
      </c>
      <c r="J1741" s="485">
        <f>IF(H1741="warranty",0,(I1741*(_xlfn.SINGLE(SalesTaxPercentage))))</f>
        <v>0</v>
      </c>
      <c r="K1741" s="715">
        <f t="shared" ref="K1741" si="1253">I1741+J1741</f>
        <v>0</v>
      </c>
      <c r="L1741" s="715"/>
      <c r="M1741" s="689" t="str">
        <f ca="1">IF(AND(G1741&gt;0,E1741=0),"WARNING - no PRICE inserted",IF(H1741="free","FREE ~ no charge this plant",IF(H1741="credit",CONCATENATE("-$",ROUND(K1741*(1-_xlfn.SINGLE(T2GDiscount))*-1,2)," CREDIT after discount"),IF(_xlfn.SINGLE(T2GDiscount)=0,"",IF(G1741=0,"",IF(F1741="Buy",CONCATENATE("$",ROUND(K1741*(1-_xlfn.SINGLE(T2GDiscount)),2)," with ",(_xlfn.SINGLE(T2GDiscount)*100),"% discount"),CONCATENATE("$",ROUND(K1741*(1-_xlfn.SINGLE(T2GDiscount)),2)," with ",((_xlfn.SINGLE(T2GDiscount)*100+F1741*100)-(_xlfn.SINGLE(T2GDiscount)*100*F1741)),IF(F1741&gt;0,"% discounts",IF(_xlfn.SINGLE(NoWarrantyDiscount)&gt;0,"% discounts","% discount")))))))))</f>
        <v/>
      </c>
      <c r="N1741" s="690"/>
      <c r="O1741" s="486"/>
      <c r="P1741" s="486"/>
      <c r="Q1741" s="486"/>
      <c r="R1741" s="486"/>
      <c r="S1741" s="486"/>
      <c r="T1741" s="102">
        <f t="shared" si="1218"/>
        <v>0</v>
      </c>
      <c r="U1741" s="78">
        <f>IF(NOT(ISNUMBER(G1741)), "", VLOOKUP(A1741,'Discount Lookup'!D:E,2,FALSE)*G1741)</f>
        <v>0</v>
      </c>
      <c r="V1741" s="78">
        <f>IF(NOT(ISNUMBER(G1741)), "", VLOOKUP(A1741,'Discount Lookup'!G:H,2,FALSE)*G1741)</f>
        <v>0</v>
      </c>
      <c r="W1741" s="102">
        <f t="shared" si="1219"/>
        <v>0</v>
      </c>
      <c r="X1741" s="102">
        <f t="shared" si="1220"/>
        <v>0</v>
      </c>
      <c r="Y1741" s="120" t="b">
        <f t="shared" si="1221"/>
        <v>0</v>
      </c>
      <c r="Z1741" s="117">
        <f t="shared" si="1222"/>
        <v>0</v>
      </c>
      <c r="AA1741" s="118"/>
      <c r="AB1741" s="118" t="str">
        <f t="shared" si="1223"/>
        <v/>
      </c>
      <c r="AC1741" s="712" t="str">
        <f>IF(AE1741="T2G","no charge",IF(AND(OR(PlanterYesMe="No",PlanterYesMe="N",PlanterYesMe="me"),H1741=""),"",IF(H1741="credit","NO install",IF(AND(K1741="",AE1741="me"),"EACH row",IF(AND(K1741="images",AE1741="me"),"EACH row",IF(D1741="","",IF(H1741="credit","",IF(AE1741="free","re-planting",IF(AE1741="me","   not ELP, by",IF(AND(OR(PlanterYesMe="Yes",PlanterYesMe="Y"),G1741&gt;0),(VLOOKUP(A1741,'Discount Lookup'!J:K,2)*G1741*(1-PlanterDiscount)*(1+PlanterDifficultyPercentage)),IF(AE1741="ELP",(VLOOKUP(A1741,'Discount Lookup'!J:K,2)*G1741*(1-PlanterDiscount)*(1+PlanterDifficultyPercentage)),IF(AE1741="free","re-planting",IF(G1741=0,"",IF(PlanterYesMe="",IF(AE1741="me","   not ELP, by",IF(AE1741="",IF(G1741&gt;0,(VLOOKUP(A1741,'Discount Lookup'!J:K,2)*G1741*(1-PlanterDiscount)*(1+PlanterDifficultyPercentage)),""),"")),"   not ELP, by"))))))))))))))</f>
        <v/>
      </c>
      <c r="AD1741" s="712"/>
      <c r="AE1741" s="513" t="str">
        <f t="shared" si="1224"/>
        <v/>
      </c>
      <c r="AF1741" s="713" t="str">
        <f t="shared" si="1225"/>
        <v/>
      </c>
      <c r="AG1741" s="713"/>
      <c r="AH1741" s="713"/>
      <c r="AI1741" s="112">
        <f>IF(H1741="credit",0,IF(AE1741="free",0,IF(AE1741="me",0,IF(G1741&gt;0,(VLOOKUP(A1741,'Discount Lookup'!J:K,2)*G1741),0))))</f>
        <v>0</v>
      </c>
      <c r="AJ1741" s="107" t="str">
        <f t="shared" ca="1" si="1226"/>
        <v/>
      </c>
      <c r="AK1741" s="714" t="str">
        <f t="shared" si="1227"/>
        <v/>
      </c>
      <c r="AL1741" s="714"/>
      <c r="AM1741" s="114" t="str">
        <f t="shared" si="1228"/>
        <v/>
      </c>
      <c r="AN1741" s="115"/>
      <c r="AO1741" s="116"/>
      <c r="AP1741" s="116"/>
      <c r="AQ1741" s="116"/>
      <c r="AR1741" s="116"/>
      <c r="AS1741" s="116"/>
      <c r="AT1741" s="116"/>
      <c r="AU1741" s="116"/>
      <c r="AV1741" s="78"/>
      <c r="AW1741" s="102"/>
      <c r="AX1741" s="78"/>
      <c r="AY1741" s="78"/>
      <c r="AZ1741" s="78"/>
      <c r="BA1741" s="78"/>
      <c r="BB1741" s="78"/>
      <c r="BC1741" s="78"/>
      <c r="BD1741" s="78"/>
      <c r="BE1741" s="465"/>
      <c r="BF1741" s="165" t="str">
        <f t="shared" si="1229"/>
        <v>https://www.google.com/search?tbm=isch&amp;q=2%20G6</v>
      </c>
      <c r="BG1741" s="165" t="str">
        <f t="shared" si="1230"/>
        <v>H</v>
      </c>
      <c r="BH1741" s="65"/>
      <c r="BI1741" s="65"/>
      <c r="BJ1741" s="65"/>
      <c r="BK1741" s="65"/>
      <c r="BL1741" s="99"/>
      <c r="BM1741" s="99"/>
      <c r="BN1741" s="99"/>
    </row>
    <row r="1742" spans="1:66" s="51" customFormat="1" ht="16.5" thickBot="1" x14ac:dyDescent="0.3">
      <c r="A1742" s="508" t="s">
        <v>2633</v>
      </c>
      <c r="B1742" s="487"/>
      <c r="C1742" s="707"/>
      <c r="D1742" s="487"/>
      <c r="E1742" s="487"/>
      <c r="F1742" s="488"/>
      <c r="G1742" s="489"/>
      <c r="H1742" s="487"/>
      <c r="I1742" s="490"/>
      <c r="J1742" s="490"/>
      <c r="K1742" s="491"/>
      <c r="L1742" s="547"/>
      <c r="M1742" s="528"/>
      <c r="N1742" s="492"/>
      <c r="O1742" s="493"/>
      <c r="P1742" s="494"/>
      <c r="Q1742" s="492"/>
      <c r="R1742" s="492"/>
      <c r="S1742" s="699" t="s">
        <v>5259</v>
      </c>
      <c r="T1742" s="102">
        <f t="shared" si="1218"/>
        <v>0</v>
      </c>
      <c r="U1742" s="78" t="str">
        <f>IF(NOT(ISNUMBER(G1742)), "", VLOOKUP(A1742,'Discount Lookup'!D:E,2,FALSE)*G1742)</f>
        <v/>
      </c>
      <c r="V1742" s="78" t="str">
        <f>IF(NOT(ISNUMBER(G1742)), "", VLOOKUP(A1742,'Discount Lookup'!G:H,2,FALSE)*G1742)</f>
        <v/>
      </c>
      <c r="W1742" s="102">
        <f t="shared" si="1219"/>
        <v>0</v>
      </c>
      <c r="X1742" s="102">
        <f t="shared" si="1220"/>
        <v>0</v>
      </c>
      <c r="Y1742" s="120" t="b">
        <f t="shared" si="1221"/>
        <v>0</v>
      </c>
      <c r="Z1742" s="117">
        <f t="shared" si="1222"/>
        <v>0</v>
      </c>
      <c r="AA1742" s="118"/>
      <c r="AB1742" s="118" t="str">
        <f t="shared" si="1223"/>
        <v/>
      </c>
      <c r="AC1742" s="712" t="str">
        <f>IF(AE1742="T2G","no charge",IF(AND(OR(PlanterYesMe="No",PlanterYesMe="N",PlanterYesMe="me"),H1742=""),"",IF(H1742="credit","NO install",IF(AND(K1742="",AE1742="me"),"EACH row",IF(AND(K1742="images",AE1742="me"),"EACH row",IF(D1742="","",IF(H1742="credit","",IF(AE1742="free","re-planting",IF(AE1742="me","   not ELP, by",IF(AND(OR(PlanterYesMe="Yes",PlanterYesMe="Y"),G1742&gt;0),(VLOOKUP(A1742,'Discount Lookup'!J:K,2)*G1742*(1-PlanterDiscount)*(1+PlanterDifficultyPercentage)),IF(AE1742="ELP",(VLOOKUP(A1742,'Discount Lookup'!J:K,2)*G1742*(1-PlanterDiscount)*(1+PlanterDifficultyPercentage)),IF(AE1742="free","re-planting",IF(G1742=0,"",IF(PlanterYesMe="",IF(AE1742="me","   not ELP, by",IF(AE1742="",IF(G1742&gt;0,(VLOOKUP(A1742,'Discount Lookup'!J:K,2)*G1742*(1-PlanterDiscount)*(1+PlanterDifficultyPercentage)),""),"")),"   not ELP, by"))))))))))))))</f>
        <v/>
      </c>
      <c r="AD1742" s="712"/>
      <c r="AE1742" s="513" t="str">
        <f t="shared" si="1224"/>
        <v/>
      </c>
      <c r="AF1742" s="713" t="str">
        <f t="shared" si="1225"/>
        <v/>
      </c>
      <c r="AG1742" s="713"/>
      <c r="AH1742" s="713"/>
      <c r="AI1742" s="112">
        <f>IF(H1742="credit",0,IF(AE1742="free",0,IF(AE1742="me",0,IF(G1742&gt;0,(VLOOKUP(A1742,'Discount Lookup'!J:K,2)*G1742),0))))</f>
        <v>0</v>
      </c>
      <c r="AJ1742" s="107" t="str">
        <f t="shared" ca="1" si="1226"/>
        <v/>
      </c>
      <c r="AK1742" s="714" t="str">
        <f t="shared" si="1227"/>
        <v/>
      </c>
      <c r="AL1742" s="714"/>
      <c r="AM1742" s="114" t="str">
        <f t="shared" si="1228"/>
        <v/>
      </c>
      <c r="AN1742" s="115"/>
      <c r="AO1742" s="116"/>
      <c r="AP1742" s="116"/>
      <c r="AQ1742" s="116"/>
      <c r="AR1742" s="116"/>
      <c r="AS1742" s="116"/>
      <c r="AT1742" s="116"/>
      <c r="AU1742" s="116"/>
      <c r="AV1742" s="78"/>
      <c r="AW1742" s="102"/>
      <c r="AX1742" s="78"/>
      <c r="AY1742" s="78"/>
      <c r="AZ1742" s="78"/>
      <c r="BA1742" s="78"/>
      <c r="BB1742" s="78"/>
      <c r="BC1742" s="78"/>
      <c r="BD1742" s="78"/>
      <c r="BE1742" s="465"/>
      <c r="BF1742" s="165" t="str">
        <f t="shared" si="1229"/>
        <v>https://www.google.com/search?tbm=isch&amp;q=All%20Hellebores%20are%20clump-forming%20perennials%20with%20leathery%20foliage.%20They%20are%20long-lived%2C%20cold%2Fshade%20tolerant%2C%20and%20bloom%20late%20winter%20to%20spring%20</v>
      </c>
      <c r="BG1742" s="165" t="str">
        <f t="shared" si="1230"/>
        <v>A</v>
      </c>
      <c r="BH1742" s="65"/>
      <c r="BI1742" s="65"/>
      <c r="BJ1742" s="65"/>
      <c r="BK1742" s="65"/>
      <c r="BL1742" s="99"/>
      <c r="BM1742" s="99"/>
      <c r="BN1742" s="99"/>
    </row>
    <row r="1743" spans="1:66" s="51" customFormat="1" ht="18" x14ac:dyDescent="0.25">
      <c r="A1743" s="507" t="s">
        <v>2635</v>
      </c>
      <c r="B1743" s="470"/>
      <c r="C1743" s="706"/>
      <c r="D1743" s="471" t="s">
        <v>5667</v>
      </c>
      <c r="E1743" s="472"/>
      <c r="F1743" s="472"/>
      <c r="G1743" s="472"/>
      <c r="H1743" s="622" t="s">
        <v>1516</v>
      </c>
      <c r="I1743" s="473" t="s">
        <v>2636</v>
      </c>
      <c r="J1743" s="472"/>
      <c r="K1743" s="472"/>
      <c r="L1743" s="561"/>
      <c r="M1743" s="703" t="s">
        <v>5260</v>
      </c>
      <c r="N1743" s="692" t="str">
        <f>IF(AND(ISTEXT($A1743), ISERROR($A1743+0)), HYPERLINK($BF1743, "Images"), "")</f>
        <v>Images</v>
      </c>
      <c r="O1743" s="694" t="s">
        <v>5244</v>
      </c>
      <c r="P1743" s="475"/>
      <c r="Q1743" s="476"/>
      <c r="R1743" s="476"/>
      <c r="S1743" s="477"/>
      <c r="T1743" s="102">
        <f t="shared" si="1218"/>
        <v>0</v>
      </c>
      <c r="U1743" s="78" t="str">
        <f>IF(NOT(ISNUMBER(G1743)), "", VLOOKUP(A1743,'Discount Lookup'!D:E,2,FALSE)*G1743)</f>
        <v/>
      </c>
      <c r="V1743" s="78" t="str">
        <f>IF(NOT(ISNUMBER(G1743)), "", VLOOKUP(A1743,'Discount Lookup'!G:H,2,FALSE)*G1743)</f>
        <v/>
      </c>
      <c r="W1743" s="102">
        <f t="shared" si="1219"/>
        <v>0</v>
      </c>
      <c r="X1743" s="102" t="str">
        <f t="shared" si="1220"/>
        <v>White-Pale Pink bloom</v>
      </c>
      <c r="Y1743" s="120" t="b">
        <f t="shared" si="1221"/>
        <v>0</v>
      </c>
      <c r="Z1743" s="117">
        <f t="shared" si="1222"/>
        <v>0</v>
      </c>
      <c r="AA1743" s="118"/>
      <c r="AB1743" s="118" t="str">
        <f t="shared" si="1223"/>
        <v/>
      </c>
      <c r="AC1743" s="712" t="str">
        <f>IF(AE1743="T2G","no charge",IF(AND(OR(PlanterYesMe="No",PlanterYesMe="N",PlanterYesMe="me"),H1743=""),"",IF(H1743="credit","NO install",IF(AND(K1743="",AE1743="me"),"EACH row",IF(AND(K1743="images",AE1743="me"),"EACH row",IF(D1743="","",IF(H1743="credit","",IF(AE1743="free","re-planting",IF(AE1743="me","   not ELP, by",IF(AND(OR(PlanterYesMe="Yes",PlanterYesMe="Y"),G1743&gt;0),(VLOOKUP(A1743,'Discount Lookup'!J:K,2)*G1743*(1-PlanterDiscount)*(1+PlanterDifficultyPercentage)),IF(AE1743="ELP",(VLOOKUP(A1743,'Discount Lookup'!J:K,2)*G1743*(1-PlanterDiscount)*(1+PlanterDifficultyPercentage)),IF(AE1743="free","re-planting",IF(G1743=0,"",IF(PlanterYesMe="",IF(AE1743="me","   not ELP, by",IF(AE1743="",IF(G1743&gt;0,(VLOOKUP(A1743,'Discount Lookup'!J:K,2)*G1743*(1-PlanterDiscount)*(1+PlanterDifficultyPercentage)),""),"")),"   not ELP, by"))))))))))))))</f>
        <v/>
      </c>
      <c r="AD1743" s="712"/>
      <c r="AE1743" s="513" t="str">
        <f t="shared" si="1224"/>
        <v/>
      </c>
      <c r="AF1743" s="713" t="str">
        <f t="shared" si="1225"/>
        <v/>
      </c>
      <c r="AG1743" s="713"/>
      <c r="AH1743" s="713"/>
      <c r="AI1743" s="112">
        <f>IF(H1743="credit",0,IF(AE1743="free",0,IF(AE1743="me",0,IF(G1743&gt;0,(VLOOKUP(A1743,'Discount Lookup'!J:K,2)*G1743),0))))</f>
        <v>0</v>
      </c>
      <c r="AJ1743" s="107" t="str">
        <f t="shared" ca="1" si="1226"/>
        <v/>
      </c>
      <c r="AK1743" s="714" t="str">
        <f t="shared" si="1227"/>
        <v/>
      </c>
      <c r="AL1743" s="714"/>
      <c r="AM1743" s="114" t="str">
        <f t="shared" si="1228"/>
        <v/>
      </c>
      <c r="AN1743" s="115"/>
      <c r="AO1743" s="116"/>
      <c r="AP1743" s="116"/>
      <c r="AQ1743" s="116"/>
      <c r="AR1743" s="116"/>
      <c r="AS1743" s="116"/>
      <c r="AT1743" s="116"/>
      <c r="AU1743" s="116"/>
      <c r="AV1743" s="78"/>
      <c r="AW1743" s="102"/>
      <c r="AX1743" s="78"/>
      <c r="AY1743" s="78"/>
      <c r="AZ1743" s="78"/>
      <c r="BA1743" s="78"/>
      <c r="BB1743" s="78"/>
      <c r="BC1743" s="78"/>
      <c r="BD1743" s="78"/>
      <c r="BE1743" s="465"/>
      <c r="BF1743" s="165" t="str">
        <f t="shared" si="1229"/>
        <v>https://www.google.com/search?tbm=isch&amp;q=Helleborus%20%27Romantic%20Getaway%27%20Honeymoon%C2%AE%20Romantic%20Getaway%20Lenten%20Rose</v>
      </c>
      <c r="BG1743" s="165" t="str">
        <f t="shared" si="1230"/>
        <v>H</v>
      </c>
      <c r="BH1743" s="65"/>
      <c r="BI1743" s="65"/>
      <c r="BJ1743" s="65"/>
      <c r="BK1743" s="65"/>
      <c r="BL1743" s="99"/>
      <c r="BM1743" s="99"/>
      <c r="BN1743" s="99"/>
    </row>
    <row r="1744" spans="1:66" s="51" customFormat="1" ht="15.75" x14ac:dyDescent="0.25">
      <c r="A1744" s="478">
        <v>2</v>
      </c>
      <c r="B1744" s="479" t="s">
        <v>291</v>
      </c>
      <c r="C1744" s="480" t="s">
        <v>4974</v>
      </c>
      <c r="D1744" s="481" t="s">
        <v>293</v>
      </c>
      <c r="E1744" s="482">
        <v>65.95</v>
      </c>
      <c r="F1744" s="483" t="s">
        <v>292</v>
      </c>
      <c r="G1744" s="484">
        <v>0</v>
      </c>
      <c r="H1744" s="688" t="str">
        <f>IF(G1744=0,"",IF(F1744="Buy",IF(G1744=1,"plant","plants"),IF(F1744&gt;0.01,"warranty","Error")))</f>
        <v/>
      </c>
      <c r="I1744" s="485">
        <f>IF(H1744="free",0,IF(H1744="credit",((E1744*(F1744))*G1744*-1),IF(F1744="Buy",(E1744*G1744),((E1744*(1-F1744))*G1744))))</f>
        <v>0</v>
      </c>
      <c r="J1744" s="485">
        <f>IF(H1744="warranty",0,(I1744*(_xlfn.SINGLE(SalesTaxPercentage))))</f>
        <v>0</v>
      </c>
      <c r="K1744" s="715">
        <f t="shared" ref="K1744" si="1254">I1744+J1744</f>
        <v>0</v>
      </c>
      <c r="L1744" s="715"/>
      <c r="M1744" s="689" t="str">
        <f ca="1">IF(AND(G1744&gt;0,E1744=0),"WARNING - no PRICE inserted",IF(H1744="free","FREE ~ no charge this plant",IF(H1744="credit",CONCATENATE("-$",ROUND(K1744*(1-_xlfn.SINGLE(T2GDiscount))*-1,2)," CREDIT after discount"),IF(_xlfn.SINGLE(T2GDiscount)=0,"",IF(G1744=0,"",IF(F1744="Buy",CONCATENATE("$",ROUND(K1744*(1-_xlfn.SINGLE(T2GDiscount)),2)," with ",(_xlfn.SINGLE(T2GDiscount)*100),"% discount"),CONCATENATE("$",ROUND(K1744*(1-_xlfn.SINGLE(T2GDiscount)),2)," with ",((_xlfn.SINGLE(T2GDiscount)*100+F1744*100)-(_xlfn.SINGLE(T2GDiscount)*100*F1744)),IF(F1744&gt;0,"% discounts",IF(_xlfn.SINGLE(NoWarrantyDiscount)&gt;0,"% discounts","% discount")))))))))</f>
        <v/>
      </c>
      <c r="N1744" s="690"/>
      <c r="O1744" s="486"/>
      <c r="P1744" s="486"/>
      <c r="Q1744" s="486"/>
      <c r="R1744" s="486"/>
      <c r="S1744" s="486"/>
      <c r="T1744" s="102">
        <f t="shared" si="1218"/>
        <v>0</v>
      </c>
      <c r="U1744" s="78">
        <f>IF(NOT(ISNUMBER(G1744)), "", VLOOKUP(A1744,'Discount Lookup'!D:E,2,FALSE)*G1744)</f>
        <v>0</v>
      </c>
      <c r="V1744" s="78">
        <f>IF(NOT(ISNUMBER(G1744)), "", VLOOKUP(A1744,'Discount Lookup'!G:H,2,FALSE)*G1744)</f>
        <v>0</v>
      </c>
      <c r="W1744" s="102">
        <f t="shared" si="1219"/>
        <v>0</v>
      </c>
      <c r="X1744" s="102">
        <f t="shared" si="1220"/>
        <v>0</v>
      </c>
      <c r="Y1744" s="120" t="b">
        <f t="shared" si="1221"/>
        <v>0</v>
      </c>
      <c r="Z1744" s="117">
        <f t="shared" si="1222"/>
        <v>0</v>
      </c>
      <c r="AA1744" s="118"/>
      <c r="AB1744" s="118" t="str">
        <f t="shared" si="1223"/>
        <v/>
      </c>
      <c r="AC1744" s="712" t="str">
        <f>IF(AE1744="T2G","no charge",IF(AND(OR(PlanterYesMe="No",PlanterYesMe="N",PlanterYesMe="me"),H1744=""),"",IF(H1744="credit","NO install",IF(AND(K1744="",AE1744="me"),"EACH row",IF(AND(K1744="images",AE1744="me"),"EACH row",IF(D1744="","",IF(H1744="credit","",IF(AE1744="free","re-planting",IF(AE1744="me","   not ELP, by",IF(AND(OR(PlanterYesMe="Yes",PlanterYesMe="Y"),G1744&gt;0),(VLOOKUP(A1744,'Discount Lookup'!J:K,2)*G1744*(1-PlanterDiscount)*(1+PlanterDifficultyPercentage)),IF(AE1744="ELP",(VLOOKUP(A1744,'Discount Lookup'!J:K,2)*G1744*(1-PlanterDiscount)*(1+PlanterDifficultyPercentage)),IF(AE1744="free","re-planting",IF(G1744=0,"",IF(PlanterYesMe="",IF(AE1744="me","   not ELP, by",IF(AE1744="",IF(G1744&gt;0,(VLOOKUP(A1744,'Discount Lookup'!J:K,2)*G1744*(1-PlanterDiscount)*(1+PlanterDifficultyPercentage)),""),"")),"   not ELP, by"))))))))))))))</f>
        <v/>
      </c>
      <c r="AD1744" s="712"/>
      <c r="AE1744" s="513" t="str">
        <f t="shared" si="1224"/>
        <v/>
      </c>
      <c r="AF1744" s="713" t="str">
        <f t="shared" si="1225"/>
        <v/>
      </c>
      <c r="AG1744" s="713"/>
      <c r="AH1744" s="713"/>
      <c r="AI1744" s="112">
        <f>IF(H1744="credit",0,IF(AE1744="free",0,IF(AE1744="me",0,IF(G1744&gt;0,(VLOOKUP(A1744,'Discount Lookup'!J:K,2)*G1744),0))))</f>
        <v>0</v>
      </c>
      <c r="AJ1744" s="107" t="str">
        <f t="shared" ca="1" si="1226"/>
        <v/>
      </c>
      <c r="AK1744" s="714" t="str">
        <f t="shared" si="1227"/>
        <v/>
      </c>
      <c r="AL1744" s="714"/>
      <c r="AM1744" s="114" t="str">
        <f t="shared" si="1228"/>
        <v/>
      </c>
      <c r="AN1744" s="115"/>
      <c r="AO1744" s="116"/>
      <c r="AP1744" s="116"/>
      <c r="AQ1744" s="116"/>
      <c r="AR1744" s="116"/>
      <c r="AS1744" s="116"/>
      <c r="AT1744" s="116"/>
      <c r="AU1744" s="116"/>
      <c r="AV1744" s="78"/>
      <c r="AW1744" s="102"/>
      <c r="AX1744" s="78"/>
      <c r="AY1744" s="78"/>
      <c r="AZ1744" s="78"/>
      <c r="BA1744" s="78"/>
      <c r="BB1744" s="78"/>
      <c r="BC1744" s="78"/>
      <c r="BD1744" s="78"/>
      <c r="BE1744" s="465"/>
      <c r="BF1744" s="165" t="str">
        <f t="shared" si="1229"/>
        <v>https://www.google.com/search?tbm=isch&amp;q=2%20G6</v>
      </c>
      <c r="BG1744" s="165" t="str">
        <f t="shared" si="1230"/>
        <v>H</v>
      </c>
      <c r="BH1744" s="65"/>
      <c r="BI1744" s="65"/>
      <c r="BJ1744" s="65"/>
      <c r="BK1744" s="65"/>
      <c r="BL1744" s="99"/>
      <c r="BM1744" s="99"/>
      <c r="BN1744" s="99"/>
    </row>
    <row r="1745" spans="1:66" s="51" customFormat="1" ht="16.5" thickBot="1" x14ac:dyDescent="0.3">
      <c r="A1745" s="508" t="s">
        <v>2633</v>
      </c>
      <c r="B1745" s="487"/>
      <c r="C1745" s="707"/>
      <c r="D1745" s="487"/>
      <c r="E1745" s="487"/>
      <c r="F1745" s="488"/>
      <c r="G1745" s="489"/>
      <c r="H1745" s="487"/>
      <c r="I1745" s="490"/>
      <c r="J1745" s="490"/>
      <c r="K1745" s="491"/>
      <c r="L1745" s="547"/>
      <c r="M1745" s="528"/>
      <c r="N1745" s="492"/>
      <c r="O1745" s="493"/>
      <c r="P1745" s="494"/>
      <c r="Q1745" s="492"/>
      <c r="R1745" s="492"/>
      <c r="S1745" s="699" t="s">
        <v>5259</v>
      </c>
      <c r="T1745" s="102">
        <f t="shared" si="1218"/>
        <v>0</v>
      </c>
      <c r="U1745" s="78" t="str">
        <f>IF(NOT(ISNUMBER(G1745)), "", VLOOKUP(A1745,'Discount Lookup'!D:E,2,FALSE)*G1745)</f>
        <v/>
      </c>
      <c r="V1745" s="78" t="str">
        <f>IF(NOT(ISNUMBER(G1745)), "", VLOOKUP(A1745,'Discount Lookup'!G:H,2,FALSE)*G1745)</f>
        <v/>
      </c>
      <c r="W1745" s="102">
        <f t="shared" si="1219"/>
        <v>0</v>
      </c>
      <c r="X1745" s="102">
        <f t="shared" si="1220"/>
        <v>0</v>
      </c>
      <c r="Y1745" s="120" t="b">
        <f t="shared" si="1221"/>
        <v>0</v>
      </c>
      <c r="Z1745" s="117">
        <f t="shared" si="1222"/>
        <v>0</v>
      </c>
      <c r="AA1745" s="118"/>
      <c r="AB1745" s="118" t="str">
        <f t="shared" si="1223"/>
        <v/>
      </c>
      <c r="AC1745" s="712" t="str">
        <f>IF(AE1745="T2G","no charge",IF(AND(OR(PlanterYesMe="No",PlanterYesMe="N",PlanterYesMe="me"),H1745=""),"",IF(H1745="credit","NO install",IF(AND(K1745="",AE1745="me"),"EACH row",IF(AND(K1745="images",AE1745="me"),"EACH row",IF(D1745="","",IF(H1745="credit","",IF(AE1745="free","re-planting",IF(AE1745="me","   not ELP, by",IF(AND(OR(PlanterYesMe="Yes",PlanterYesMe="Y"),G1745&gt;0),(VLOOKUP(A1745,'Discount Lookup'!J:K,2)*G1745*(1-PlanterDiscount)*(1+PlanterDifficultyPercentage)),IF(AE1745="ELP",(VLOOKUP(A1745,'Discount Lookup'!J:K,2)*G1745*(1-PlanterDiscount)*(1+PlanterDifficultyPercentage)),IF(AE1745="free","re-planting",IF(G1745=0,"",IF(PlanterYesMe="",IF(AE1745="me","   not ELP, by",IF(AE1745="",IF(G1745&gt;0,(VLOOKUP(A1745,'Discount Lookup'!J:K,2)*G1745*(1-PlanterDiscount)*(1+PlanterDifficultyPercentage)),""),"")),"   not ELP, by"))))))))))))))</f>
        <v/>
      </c>
      <c r="AD1745" s="712"/>
      <c r="AE1745" s="513" t="str">
        <f t="shared" si="1224"/>
        <v/>
      </c>
      <c r="AF1745" s="713" t="str">
        <f t="shared" si="1225"/>
        <v/>
      </c>
      <c r="AG1745" s="713"/>
      <c r="AH1745" s="713"/>
      <c r="AI1745" s="112">
        <f>IF(H1745="credit",0,IF(AE1745="free",0,IF(AE1745="me",0,IF(G1745&gt;0,(VLOOKUP(A1745,'Discount Lookup'!J:K,2)*G1745),0))))</f>
        <v>0</v>
      </c>
      <c r="AJ1745" s="107" t="str">
        <f t="shared" ca="1" si="1226"/>
        <v/>
      </c>
      <c r="AK1745" s="714" t="str">
        <f t="shared" si="1227"/>
        <v/>
      </c>
      <c r="AL1745" s="714"/>
      <c r="AM1745" s="114" t="str">
        <f t="shared" si="1228"/>
        <v/>
      </c>
      <c r="AN1745" s="115"/>
      <c r="AO1745" s="116"/>
      <c r="AP1745" s="116"/>
      <c r="AQ1745" s="116"/>
      <c r="AR1745" s="116"/>
      <c r="AS1745" s="116"/>
      <c r="AT1745" s="116"/>
      <c r="AU1745" s="116"/>
      <c r="AV1745" s="78"/>
      <c r="AW1745" s="102"/>
      <c r="AX1745" s="78"/>
      <c r="AY1745" s="78"/>
      <c r="AZ1745" s="78"/>
      <c r="BA1745" s="78"/>
      <c r="BB1745" s="78"/>
      <c r="BC1745" s="78"/>
      <c r="BD1745" s="78"/>
      <c r="BE1745" s="465"/>
      <c r="BF1745" s="165" t="str">
        <f t="shared" si="1229"/>
        <v>https://www.google.com/search?tbm=isch&amp;q=All%20Hellebores%20are%20clump-forming%20perennials%20with%20leathery%20foliage.%20They%20are%20long-lived%2C%20cold%2Fshade%20tolerant%2C%20and%20bloom%20late%20winter%20to%20spring%20</v>
      </c>
      <c r="BG1745" s="165" t="str">
        <f t="shared" si="1230"/>
        <v>A</v>
      </c>
      <c r="BH1745" s="65"/>
      <c r="BI1745" s="65"/>
      <c r="BJ1745" s="65"/>
      <c r="BK1745" s="65"/>
      <c r="BL1745" s="99"/>
      <c r="BM1745" s="99"/>
      <c r="BN1745" s="99"/>
    </row>
    <row r="1746" spans="1:66" s="51" customFormat="1" ht="18" x14ac:dyDescent="0.25">
      <c r="A1746" s="507" t="s">
        <v>2637</v>
      </c>
      <c r="B1746" s="470"/>
      <c r="C1746" s="706"/>
      <c r="D1746" s="471" t="s">
        <v>5882</v>
      </c>
      <c r="E1746" s="472"/>
      <c r="F1746" s="472"/>
      <c r="G1746" s="472"/>
      <c r="H1746" s="622" t="s">
        <v>1516</v>
      </c>
      <c r="I1746" s="473" t="s">
        <v>1891</v>
      </c>
      <c r="J1746" s="472"/>
      <c r="K1746" s="472"/>
      <c r="L1746" s="561"/>
      <c r="M1746" s="703" t="s">
        <v>5260</v>
      </c>
      <c r="N1746" s="692" t="str">
        <f>IF(AND(ISTEXT($A1746), ISERROR($A1746+0)), HYPERLINK($BF1746, "Images"), "")</f>
        <v>Images</v>
      </c>
      <c r="O1746" s="694" t="s">
        <v>5244</v>
      </c>
      <c r="P1746" s="475"/>
      <c r="Q1746" s="476"/>
      <c r="R1746" s="476"/>
      <c r="S1746" s="477"/>
      <c r="T1746" s="102">
        <f t="shared" si="1218"/>
        <v>0</v>
      </c>
      <c r="U1746" s="78" t="str">
        <f>IF(NOT(ISNUMBER(G1746)), "", VLOOKUP(A1746,'Discount Lookup'!D:E,2,FALSE)*G1746)</f>
        <v/>
      </c>
      <c r="V1746" s="78" t="str">
        <f>IF(NOT(ISNUMBER(G1746)), "", VLOOKUP(A1746,'Discount Lookup'!G:H,2,FALSE)*G1746)</f>
        <v/>
      </c>
      <c r="W1746" s="102">
        <f t="shared" si="1219"/>
        <v>0</v>
      </c>
      <c r="X1746" s="102" t="str">
        <f t="shared" si="1220"/>
        <v>Maroon-Red bloom</v>
      </c>
      <c r="Y1746" s="120" t="b">
        <f t="shared" si="1221"/>
        <v>0</v>
      </c>
      <c r="Z1746" s="117">
        <f t="shared" si="1222"/>
        <v>0</v>
      </c>
      <c r="AA1746" s="118"/>
      <c r="AB1746" s="118" t="str">
        <f t="shared" si="1223"/>
        <v/>
      </c>
      <c r="AC1746" s="712" t="str">
        <f>IF(AE1746="T2G","no charge",IF(AND(OR(PlanterYesMe="No",PlanterYesMe="N",PlanterYesMe="me"),H1746=""),"",IF(H1746="credit","NO install",IF(AND(K1746="",AE1746="me"),"EACH row",IF(AND(K1746="images",AE1746="me"),"EACH row",IF(D1746="","",IF(H1746="credit","",IF(AE1746="free","re-planting",IF(AE1746="me","   not ELP, by",IF(AND(OR(PlanterYesMe="Yes",PlanterYesMe="Y"),G1746&gt;0),(VLOOKUP(A1746,'Discount Lookup'!J:K,2)*G1746*(1-PlanterDiscount)*(1+PlanterDifficultyPercentage)),IF(AE1746="ELP",(VLOOKUP(A1746,'Discount Lookup'!J:K,2)*G1746*(1-PlanterDiscount)*(1+PlanterDifficultyPercentage)),IF(AE1746="free","re-planting",IF(G1746=0,"",IF(PlanterYesMe="",IF(AE1746="me","   not ELP, by",IF(AE1746="",IF(G1746&gt;0,(VLOOKUP(A1746,'Discount Lookup'!J:K,2)*G1746*(1-PlanterDiscount)*(1+PlanterDifficultyPercentage)),""),"")),"   not ELP, by"))))))))))))))</f>
        <v/>
      </c>
      <c r="AD1746" s="712"/>
      <c r="AE1746" s="513" t="str">
        <f t="shared" si="1224"/>
        <v/>
      </c>
      <c r="AF1746" s="713" t="str">
        <f t="shared" si="1225"/>
        <v/>
      </c>
      <c r="AG1746" s="713"/>
      <c r="AH1746" s="713"/>
      <c r="AI1746" s="112">
        <f>IF(H1746="credit",0,IF(AE1746="free",0,IF(AE1746="me",0,IF(G1746&gt;0,(VLOOKUP(A1746,'Discount Lookup'!J:K,2)*G1746),0))))</f>
        <v>0</v>
      </c>
      <c r="AJ1746" s="107" t="str">
        <f t="shared" ca="1" si="1226"/>
        <v/>
      </c>
      <c r="AK1746" s="714" t="str">
        <f t="shared" si="1227"/>
        <v/>
      </c>
      <c r="AL1746" s="714"/>
      <c r="AM1746" s="114" t="str">
        <f t="shared" si="1228"/>
        <v/>
      </c>
      <c r="AN1746" s="115"/>
      <c r="AO1746" s="116"/>
      <c r="AP1746" s="116"/>
      <c r="AQ1746" s="116"/>
      <c r="AR1746" s="116"/>
      <c r="AS1746" s="116"/>
      <c r="AT1746" s="116"/>
      <c r="AU1746" s="116"/>
      <c r="AV1746" s="78"/>
      <c r="AW1746" s="102"/>
      <c r="AX1746" s="78"/>
      <c r="AY1746" s="78"/>
      <c r="AZ1746" s="78"/>
      <c r="BA1746" s="78"/>
      <c r="BB1746" s="78"/>
      <c r="BC1746" s="78"/>
      <c r="BD1746" s="78"/>
      <c r="BE1746" s="465"/>
      <c r="BF1746" s="165" t="str">
        <f t="shared" si="1229"/>
        <v>https://www.google.com/search?tbm=isch&amp;q=Helleborus%20%27True%20Love%27%20True%20Love%20Lenten%20Rose%20%28WP%C2%AE%29</v>
      </c>
      <c r="BG1746" s="165" t="str">
        <f t="shared" si="1230"/>
        <v>H</v>
      </c>
      <c r="BH1746" s="65"/>
      <c r="BI1746" s="65"/>
      <c r="BJ1746" s="65"/>
      <c r="BK1746" s="65"/>
      <c r="BL1746" s="99"/>
      <c r="BM1746" s="99"/>
      <c r="BN1746" s="99"/>
    </row>
    <row r="1747" spans="1:66" s="51" customFormat="1" ht="15.75" x14ac:dyDescent="0.25">
      <c r="A1747" s="478">
        <v>2</v>
      </c>
      <c r="B1747" s="479" t="s">
        <v>291</v>
      </c>
      <c r="C1747" s="480" t="s">
        <v>1850</v>
      </c>
      <c r="D1747" s="481" t="s">
        <v>293</v>
      </c>
      <c r="E1747" s="482">
        <v>65.95</v>
      </c>
      <c r="F1747" s="483" t="s">
        <v>292</v>
      </c>
      <c r="G1747" s="484">
        <v>0</v>
      </c>
      <c r="H1747" s="688" t="str">
        <f>IF(G1747=0,"",IF(F1747="Buy",IF(G1747=1,"plant","plants"),IF(F1747&gt;0.01,"warranty","Error")))</f>
        <v/>
      </c>
      <c r="I1747" s="485">
        <f>IF(H1747="free",0,IF(H1747="credit",((E1747*(F1747))*G1747*-1),IF(F1747="Buy",(E1747*G1747),((E1747*(1-F1747))*G1747))))</f>
        <v>0</v>
      </c>
      <c r="J1747" s="485">
        <f>IF(H1747="warranty",0,(I1747*(_xlfn.SINGLE(SalesTaxPercentage))))</f>
        <v>0</v>
      </c>
      <c r="K1747" s="715">
        <f t="shared" ref="K1747" si="1255">I1747+J1747</f>
        <v>0</v>
      </c>
      <c r="L1747" s="715"/>
      <c r="M1747" s="689" t="str">
        <f ca="1">IF(AND(G1747&gt;0,E1747=0),"WARNING - no PRICE inserted",IF(H1747="free","FREE ~ no charge this plant",IF(H1747="credit",CONCATENATE("-$",ROUND(K1747*(1-_xlfn.SINGLE(T2GDiscount))*-1,2)," CREDIT after discount"),IF(_xlfn.SINGLE(T2GDiscount)=0,"",IF(G1747=0,"",IF(F1747="Buy",CONCATENATE("$",ROUND(K1747*(1-_xlfn.SINGLE(T2GDiscount)),2)," with ",(_xlfn.SINGLE(T2GDiscount)*100),"% discount"),CONCATENATE("$",ROUND(K1747*(1-_xlfn.SINGLE(T2GDiscount)),2)," with ",((_xlfn.SINGLE(T2GDiscount)*100+F1747*100)-(_xlfn.SINGLE(T2GDiscount)*100*F1747)),IF(F1747&gt;0,"% discounts",IF(_xlfn.SINGLE(NoWarrantyDiscount)&gt;0,"% discounts","% discount")))))))))</f>
        <v/>
      </c>
      <c r="N1747" s="690"/>
      <c r="O1747" s="486"/>
      <c r="P1747" s="486"/>
      <c r="Q1747" s="486"/>
      <c r="R1747" s="486"/>
      <c r="S1747" s="486"/>
      <c r="T1747" s="102">
        <f t="shared" si="1218"/>
        <v>0</v>
      </c>
      <c r="U1747" s="78">
        <f>IF(NOT(ISNUMBER(G1747)), "", VLOOKUP(A1747,'Discount Lookup'!D:E,2,FALSE)*G1747)</f>
        <v>0</v>
      </c>
      <c r="V1747" s="78">
        <f>IF(NOT(ISNUMBER(G1747)), "", VLOOKUP(A1747,'Discount Lookup'!G:H,2,FALSE)*G1747)</f>
        <v>0</v>
      </c>
      <c r="W1747" s="102">
        <f t="shared" si="1219"/>
        <v>0</v>
      </c>
      <c r="X1747" s="102">
        <f t="shared" si="1220"/>
        <v>0</v>
      </c>
      <c r="Y1747" s="120" t="b">
        <f t="shared" si="1221"/>
        <v>0</v>
      </c>
      <c r="Z1747" s="117">
        <f t="shared" si="1222"/>
        <v>0</v>
      </c>
      <c r="AA1747" s="118"/>
      <c r="AB1747" s="118" t="str">
        <f t="shared" si="1223"/>
        <v/>
      </c>
      <c r="AC1747" s="712" t="str">
        <f>IF(AE1747="T2G","no charge",IF(AND(OR(PlanterYesMe="No",PlanterYesMe="N",PlanterYesMe="me"),H1747=""),"",IF(H1747="credit","NO install",IF(AND(K1747="",AE1747="me"),"EACH row",IF(AND(K1747="images",AE1747="me"),"EACH row",IF(D1747="","",IF(H1747="credit","",IF(AE1747="free","re-planting",IF(AE1747="me","   not ELP, by",IF(AND(OR(PlanterYesMe="Yes",PlanterYesMe="Y"),G1747&gt;0),(VLOOKUP(A1747,'Discount Lookup'!J:K,2)*G1747*(1-PlanterDiscount)*(1+PlanterDifficultyPercentage)),IF(AE1747="ELP",(VLOOKUP(A1747,'Discount Lookup'!J:K,2)*G1747*(1-PlanterDiscount)*(1+PlanterDifficultyPercentage)),IF(AE1747="free","re-planting",IF(G1747=0,"",IF(PlanterYesMe="",IF(AE1747="me","   not ELP, by",IF(AE1747="",IF(G1747&gt;0,(VLOOKUP(A1747,'Discount Lookup'!J:K,2)*G1747*(1-PlanterDiscount)*(1+PlanterDifficultyPercentage)),""),"")),"   not ELP, by"))))))))))))))</f>
        <v/>
      </c>
      <c r="AD1747" s="712"/>
      <c r="AE1747" s="513" t="str">
        <f t="shared" si="1224"/>
        <v/>
      </c>
      <c r="AF1747" s="713" t="str">
        <f t="shared" si="1225"/>
        <v/>
      </c>
      <c r="AG1747" s="713"/>
      <c r="AH1747" s="713"/>
      <c r="AI1747" s="112">
        <f>IF(H1747="credit",0,IF(AE1747="free",0,IF(AE1747="me",0,IF(G1747&gt;0,(VLOOKUP(A1747,'Discount Lookup'!J:K,2)*G1747),0))))</f>
        <v>0</v>
      </c>
      <c r="AJ1747" s="107" t="str">
        <f t="shared" ca="1" si="1226"/>
        <v/>
      </c>
      <c r="AK1747" s="714" t="str">
        <f t="shared" si="1227"/>
        <v/>
      </c>
      <c r="AL1747" s="714"/>
      <c r="AM1747" s="114" t="str">
        <f t="shared" si="1228"/>
        <v/>
      </c>
      <c r="AN1747" s="115"/>
      <c r="AO1747" s="116"/>
      <c r="AP1747" s="116"/>
      <c r="AQ1747" s="116"/>
      <c r="AR1747" s="116"/>
      <c r="AS1747" s="116"/>
      <c r="AT1747" s="116"/>
      <c r="AU1747" s="116"/>
      <c r="AV1747" s="78"/>
      <c r="AW1747" s="102"/>
      <c r="AX1747" s="78"/>
      <c r="AY1747" s="78"/>
      <c r="AZ1747" s="78"/>
      <c r="BA1747" s="78"/>
      <c r="BB1747" s="78"/>
      <c r="BC1747" s="78"/>
      <c r="BD1747" s="78"/>
      <c r="BE1747" s="465"/>
      <c r="BF1747" s="165" t="str">
        <f t="shared" si="1229"/>
        <v>https://www.google.com/search?tbm=isch&amp;q=2%20G6</v>
      </c>
      <c r="BG1747" s="165" t="str">
        <f t="shared" si="1230"/>
        <v>H</v>
      </c>
      <c r="BH1747" s="65"/>
      <c r="BI1747" s="65"/>
      <c r="BJ1747" s="65"/>
      <c r="BK1747" s="65"/>
      <c r="BL1747" s="99"/>
      <c r="BM1747" s="99"/>
      <c r="BN1747" s="99"/>
    </row>
    <row r="1748" spans="1:66" s="51" customFormat="1" ht="16.5" thickBot="1" x14ac:dyDescent="0.3">
      <c r="A1748" s="508" t="s">
        <v>2633</v>
      </c>
      <c r="B1748" s="487"/>
      <c r="C1748" s="707"/>
      <c r="D1748" s="487"/>
      <c r="E1748" s="487"/>
      <c r="F1748" s="488"/>
      <c r="G1748" s="489"/>
      <c r="H1748" s="487"/>
      <c r="I1748" s="490"/>
      <c r="J1748" s="490"/>
      <c r="K1748" s="491"/>
      <c r="L1748" s="547"/>
      <c r="M1748" s="528"/>
      <c r="N1748" s="492"/>
      <c r="O1748" s="493"/>
      <c r="P1748" s="494"/>
      <c r="Q1748" s="492"/>
      <c r="R1748" s="492"/>
      <c r="S1748" s="699" t="s">
        <v>5259</v>
      </c>
      <c r="T1748" s="102">
        <f t="shared" ref="T1748:T1811" si="1256">E1748*G1748</f>
        <v>0</v>
      </c>
      <c r="U1748" s="78" t="str">
        <f>IF(NOT(ISNUMBER(G1748)), "", VLOOKUP(A1748,'Discount Lookup'!D:E,2,FALSE)*G1748)</f>
        <v/>
      </c>
      <c r="V1748" s="78" t="str">
        <f>IF(NOT(ISNUMBER(G1748)), "", VLOOKUP(A1748,'Discount Lookup'!G:H,2,FALSE)*G1748)</f>
        <v/>
      </c>
      <c r="W1748" s="102">
        <f t="shared" ref="W1748:W1811" si="1257">IF(H1748="credit",0,E1748*(SalesTaxPercentage)*G1748)</f>
        <v>0</v>
      </c>
      <c r="X1748" s="102">
        <f t="shared" ref="X1748:X1811" si="1258">I1748</f>
        <v>0</v>
      </c>
      <c r="Y1748" s="120" t="b">
        <f t="shared" ref="Y1748:Y1811" si="1259">IF(AE1748="T2G",0,IF(H1748="credit",0,IF(G1748&gt;0,IF(AE1748="me","",G1748))))</f>
        <v>0</v>
      </c>
      <c r="Z1748" s="117">
        <f t="shared" ref="Z1748:Z1811" si="1260">IF(H1748="credit",G1748,0)</f>
        <v>0</v>
      </c>
      <c r="AA1748" s="118"/>
      <c r="AB1748" s="118" t="str">
        <f t="shared" ref="AB1748:AB1811" si="1261">IF(AE1748="T2G","by Trees2Go",IF(H1748="credit","CREDIT only ~",IF(AND(K1748="",AE1748=OR(PlanterYesMe="No",PlanterYesMe="N",PlanterYesMe="me")),"not THIS line⇨",IF(AND(K1748="images",AE1748="me"),"not THIS line⇨",IF(H1748="credit","",IF(G1748=0,"",IF(AE1748="me","",IF(OR(PlanterYesMe="No",PlanterYesMe="N",PlanterYesMe="me"),"",IF(AE1748="free","warranty",IF(OR(PlanterYesMe="yes",PlanterYesMe="y"),"Edison install:","to install:"))))))))))</f>
        <v/>
      </c>
      <c r="AC1748" s="712" t="str">
        <f>IF(AE1748="T2G","no charge",IF(AND(OR(PlanterYesMe="No",PlanterYesMe="N",PlanterYesMe="me"),H1748=""),"",IF(H1748="credit","NO install",IF(AND(K1748="",AE1748="me"),"EACH row",IF(AND(K1748="images",AE1748="me"),"EACH row",IF(D1748="","",IF(H1748="credit","",IF(AE1748="free","re-planting",IF(AE1748="me","   not ELP, by",IF(AND(OR(PlanterYesMe="Yes",PlanterYesMe="Y"),G1748&gt;0),(VLOOKUP(A1748,'Discount Lookup'!J:K,2)*G1748*(1-PlanterDiscount)*(1+PlanterDifficultyPercentage)),IF(AE1748="ELP",(VLOOKUP(A1748,'Discount Lookup'!J:K,2)*G1748*(1-PlanterDiscount)*(1+PlanterDifficultyPercentage)),IF(AE1748="free","re-planting",IF(G1748=0,"",IF(PlanterYesMe="",IF(AE1748="me","   not ELP, by",IF(AE1748="",IF(G1748&gt;0,(VLOOKUP(A1748,'Discount Lookup'!J:K,2)*G1748*(1-PlanterDiscount)*(1+PlanterDifficultyPercentage)),""),"")),"   not ELP, by"))))))))))))))</f>
        <v/>
      </c>
      <c r="AD1748" s="712"/>
      <c r="AE1748" s="513" t="str">
        <f t="shared" ref="AE1748:AE1811" si="1262">IF(H1748="credit","",IF(G1748=0,"",IF(OR(PlanterYesMe="No",PlanterYesMe="N",PlanterYesMe="me"),"me",IF(H1748="warranty","free",IF(OR(PlanterYesMe="yes",PlanterYesMe="y"),"ELP","")))))</f>
        <v/>
      </c>
      <c r="AF1748" s="713" t="str">
        <f t="shared" ref="AF1748:AF1811" si="1263">IF(OR(PlanterYesMe="No",PlanterYesMe="N",PlanterYesMe="me"),"",IF(H1748="credit","",IF(G1748&gt;0,(CONCATENATE((G1748)," quantity, ",(A1748)," ",B1748)),"")))</f>
        <v/>
      </c>
      <c r="AG1748" s="713"/>
      <c r="AH1748" s="713"/>
      <c r="AI1748" s="112">
        <f>IF(H1748="credit",0,IF(AE1748="free",0,IF(AE1748="me",0,IF(G1748&gt;0,(VLOOKUP(A1748,'Discount Lookup'!J:K,2)*G1748),0))))</f>
        <v>0</v>
      </c>
      <c r="AJ1748" s="107" t="str">
        <f t="shared" ref="AJ1748:AJ1811" ca="1" si="1264">IF(AND(ISREF(H1748),H1748="credit"),"",IF(AND(AND(OFFSET(G1748,0,0)=0,OFFSET(G1748,1,0)&gt;0,ISNUMBER(OFFSET(AC1748,1,0)),OFFSET(AC1748,1,0)&gt;0),OR(PlanterYesMe="yes",PlanterYesMe="y")),"T2G+ELP=",IF(AND(OFFSET(G1748,0,0)=0,OFFSET(G1748,1,0)&gt;0,ISNUMBER(OFFSET(AC1748,1,0)),OFFSET(AC1748,1,0)&gt;0),"if T2G+ELP=",IF(AND(OFFSET(G1748,0,0)=0,OFFSET(G1748,1,0)&gt;0),"T2G Subtotal",IF(H1748="credit","",IF(G1748=0,"",IF(AE1748="free",(K1748*(1-T2GDiscount)),IF(OR(PlanterYesMe="No",PlanterYesMe="N",PlanterYesMe="me"),(K1748*(1-T2GDiscount)),IF(OR(AE1748="me",AE1748="T2G"),(K1748*(1-T2GDiscount)),(K1748*(1-T2GDiscount))+AC1748)))))))))</f>
        <v/>
      </c>
      <c r="AK1748" s="714" t="str">
        <f t="shared" ref="AK1748:AK1811" si="1265">IF(H1748="credit","",IF(G1748=0,"",IF(OR(AE1748="me",AE1748="T2G"),"  delivery-only",IF(OR(PlanterYesMe="No",PlanterYesMe="N",PlanterYesMe="me"),"  delivery-only",CONCATENATE(" $",ROUND(AJ1748/G1748,2)," each")))))</f>
        <v/>
      </c>
      <c r="AL1748" s="714"/>
      <c r="AM1748" s="114" t="str">
        <f t="shared" ref="AM1748:AM1811" si="1266">IF(H1748="credit","",IF(AE1748="free","      ~ discounts included, no tax or planting fee applies ~",IF(G1748=0,"",IF(OR(PlanterYesMe="No",PlanterYesMe="N",PlanterYesMe="me"),CONCATENATE(" $",ROUND(AJ1748/G1748,2)," per plant, with tax &amp; discount"),IF(OR(AE1748="me",AE1748="T2G"),CONCATENATE(" $",ROUND(AJ1748/G1748,2)," per plant, with tax &amp; discount"),CONCATENATE("= $",ROUND((K1748*(1-T2GDiscount))/G1748,2)," per plant + $",AC1748/G1748,(" per planting      ~ includes tax &amp; discounts ~")))))))</f>
        <v/>
      </c>
      <c r="AN1748" s="115"/>
      <c r="AO1748" s="116"/>
      <c r="AP1748" s="116"/>
      <c r="AQ1748" s="116"/>
      <c r="AR1748" s="116"/>
      <c r="AS1748" s="116"/>
      <c r="AT1748" s="116"/>
      <c r="AU1748" s="116"/>
      <c r="AV1748" s="78"/>
      <c r="AW1748" s="102"/>
      <c r="AX1748" s="78"/>
      <c r="AY1748" s="78"/>
      <c r="AZ1748" s="78"/>
      <c r="BA1748" s="78"/>
      <c r="BB1748" s="78"/>
      <c r="BC1748" s="78"/>
      <c r="BD1748" s="78"/>
      <c r="BE1748" s="465"/>
      <c r="BF1748" s="165" t="str">
        <f t="shared" ref="BF1748:BF1811" si="1267">"https://www.google.com/search?tbm=isch&amp;q=" &amp; _xlfn.ENCODEURL($A1748 &amp; " " &amp; $D1748)</f>
        <v>https://www.google.com/search?tbm=isch&amp;q=All%20Hellebores%20are%20clump-forming%20perennials%20with%20leathery%20foliage.%20They%20are%20long-lived%2C%20cold%2Fshade%20tolerant%2C%20and%20bloom%20late%20winter%20to%20spring%20</v>
      </c>
      <c r="BG1748" s="165" t="str">
        <f t="shared" ref="BG1748:BG1811" si="1268">IF(ISTEXT(A1748),LEFT(A1748,1),BG1747)</f>
        <v>A</v>
      </c>
      <c r="BH1748" s="65"/>
      <c r="BI1748" s="65"/>
      <c r="BJ1748" s="65"/>
      <c r="BK1748" s="65"/>
      <c r="BL1748" s="99"/>
      <c r="BM1748" s="99"/>
      <c r="BN1748" s="99"/>
    </row>
    <row r="1749" spans="1:66" s="51" customFormat="1" ht="18" x14ac:dyDescent="0.25">
      <c r="A1749" s="507" t="s">
        <v>2638</v>
      </c>
      <c r="B1749" s="470"/>
      <c r="C1749" s="706"/>
      <c r="D1749" s="471" t="s">
        <v>5883</v>
      </c>
      <c r="E1749" s="472"/>
      <c r="F1749" s="472"/>
      <c r="G1749" s="472"/>
      <c r="H1749" s="622" t="s">
        <v>1516</v>
      </c>
      <c r="I1749" s="473" t="s">
        <v>2639</v>
      </c>
      <c r="J1749" s="472"/>
      <c r="K1749" s="472"/>
      <c r="L1749" s="561"/>
      <c r="M1749" s="703" t="s">
        <v>5260</v>
      </c>
      <c r="N1749" s="692" t="str">
        <f>IF(AND(ISTEXT($A1749), ISERROR($A1749+0)), HYPERLINK($BF1749, "Images"), "")</f>
        <v>Images</v>
      </c>
      <c r="O1749" s="694" t="s">
        <v>5244</v>
      </c>
      <c r="P1749" s="475"/>
      <c r="Q1749" s="476"/>
      <c r="R1749" s="476"/>
      <c r="S1749" s="477"/>
      <c r="T1749" s="102">
        <f t="shared" si="1256"/>
        <v>0</v>
      </c>
      <c r="U1749" s="78" t="str">
        <f>IF(NOT(ISNUMBER(G1749)), "", VLOOKUP(A1749,'Discount Lookup'!D:E,2,FALSE)*G1749)</f>
        <v/>
      </c>
      <c r="V1749" s="78" t="str">
        <f>IF(NOT(ISNUMBER(G1749)), "", VLOOKUP(A1749,'Discount Lookup'!G:H,2,FALSE)*G1749)</f>
        <v/>
      </c>
      <c r="W1749" s="102">
        <f t="shared" si="1257"/>
        <v>0</v>
      </c>
      <c r="X1749" s="102" t="str">
        <f t="shared" si="1258"/>
        <v>White bloom, Green hue</v>
      </c>
      <c r="Y1749" s="120" t="b">
        <f t="shared" si="1259"/>
        <v>0</v>
      </c>
      <c r="Z1749" s="117">
        <f t="shared" si="1260"/>
        <v>0</v>
      </c>
      <c r="AA1749" s="118"/>
      <c r="AB1749" s="118" t="str">
        <f t="shared" si="1261"/>
        <v/>
      </c>
      <c r="AC1749" s="712" t="str">
        <f>IF(AE1749="T2G","no charge",IF(AND(OR(PlanterYesMe="No",PlanterYesMe="N",PlanterYesMe="me"),H1749=""),"",IF(H1749="credit","NO install",IF(AND(K1749="",AE1749="me"),"EACH row",IF(AND(K1749="images",AE1749="me"),"EACH row",IF(D1749="","",IF(H1749="credit","",IF(AE1749="free","re-planting",IF(AE1749="me","   not ELP, by",IF(AND(OR(PlanterYesMe="Yes",PlanterYesMe="Y"),G1749&gt;0),(VLOOKUP(A1749,'Discount Lookup'!J:K,2)*G1749*(1-PlanterDiscount)*(1+PlanterDifficultyPercentage)),IF(AE1749="ELP",(VLOOKUP(A1749,'Discount Lookup'!J:K,2)*G1749*(1-PlanterDiscount)*(1+PlanterDifficultyPercentage)),IF(AE1749="free","re-planting",IF(G1749=0,"",IF(PlanterYesMe="",IF(AE1749="me","   not ELP, by",IF(AE1749="",IF(G1749&gt;0,(VLOOKUP(A1749,'Discount Lookup'!J:K,2)*G1749*(1-PlanterDiscount)*(1+PlanterDifficultyPercentage)),""),"")),"   not ELP, by"))))))))))))))</f>
        <v/>
      </c>
      <c r="AD1749" s="712"/>
      <c r="AE1749" s="513" t="str">
        <f t="shared" si="1262"/>
        <v/>
      </c>
      <c r="AF1749" s="713" t="str">
        <f t="shared" si="1263"/>
        <v/>
      </c>
      <c r="AG1749" s="713"/>
      <c r="AH1749" s="713"/>
      <c r="AI1749" s="112">
        <f>IF(H1749="credit",0,IF(AE1749="free",0,IF(AE1749="me",0,IF(G1749&gt;0,(VLOOKUP(A1749,'Discount Lookup'!J:K,2)*G1749),0))))</f>
        <v>0</v>
      </c>
      <c r="AJ1749" s="107" t="str">
        <f t="shared" ca="1" si="1264"/>
        <v/>
      </c>
      <c r="AK1749" s="714" t="str">
        <f t="shared" si="1265"/>
        <v/>
      </c>
      <c r="AL1749" s="714"/>
      <c r="AM1749" s="114" t="str">
        <f t="shared" si="1266"/>
        <v/>
      </c>
      <c r="AN1749" s="115"/>
      <c r="AO1749" s="116"/>
      <c r="AP1749" s="116"/>
      <c r="AQ1749" s="116"/>
      <c r="AR1749" s="116"/>
      <c r="AS1749" s="116"/>
      <c r="AT1749" s="116"/>
      <c r="AU1749" s="116"/>
      <c r="AV1749" s="78"/>
      <c r="AW1749" s="102"/>
      <c r="AX1749" s="78"/>
      <c r="AY1749" s="78"/>
      <c r="AZ1749" s="78"/>
      <c r="BA1749" s="78"/>
      <c r="BB1749" s="78"/>
      <c r="BC1749" s="78"/>
      <c r="BD1749" s="78"/>
      <c r="BE1749" s="465"/>
      <c r="BF1749" s="165" t="str">
        <f t="shared" si="1267"/>
        <v>https://www.google.com/search?tbm=isch&amp;q=Helleborus%20%27Wedding%20Bells%27%20Wedding%20Bells%20Lenten%20Rose%20%28WP%C2%AE%29</v>
      </c>
      <c r="BG1749" s="165" t="str">
        <f t="shared" si="1268"/>
        <v>H</v>
      </c>
      <c r="BH1749" s="65"/>
      <c r="BI1749" s="65"/>
      <c r="BJ1749" s="65"/>
      <c r="BK1749" s="65"/>
      <c r="BL1749" s="99"/>
      <c r="BM1749" s="99"/>
      <c r="BN1749" s="99"/>
    </row>
    <row r="1750" spans="1:66" s="51" customFormat="1" ht="15.75" x14ac:dyDescent="0.25">
      <c r="A1750" s="478">
        <v>2</v>
      </c>
      <c r="B1750" s="479" t="s">
        <v>291</v>
      </c>
      <c r="C1750" s="480" t="s">
        <v>4975</v>
      </c>
      <c r="D1750" s="481" t="s">
        <v>293</v>
      </c>
      <c r="E1750" s="482">
        <v>65.95</v>
      </c>
      <c r="F1750" s="483" t="s">
        <v>292</v>
      </c>
      <c r="G1750" s="484">
        <v>0</v>
      </c>
      <c r="H1750" s="688" t="str">
        <f>IF(G1750=0,"",IF(F1750="Buy",IF(G1750=1,"plant","plants"),IF(F1750&gt;0.01,"warranty","Error")))</f>
        <v/>
      </c>
      <c r="I1750" s="485">
        <f>IF(H1750="free",0,IF(H1750="credit",((E1750*(F1750))*G1750*-1),IF(F1750="Buy",(E1750*G1750),((E1750*(1-F1750))*G1750))))</f>
        <v>0</v>
      </c>
      <c r="J1750" s="485">
        <f>IF(H1750="warranty",0,(I1750*(_xlfn.SINGLE(SalesTaxPercentage))))</f>
        <v>0</v>
      </c>
      <c r="K1750" s="715">
        <f t="shared" ref="K1750" si="1269">I1750+J1750</f>
        <v>0</v>
      </c>
      <c r="L1750" s="715"/>
      <c r="M1750" s="689" t="str">
        <f ca="1">IF(AND(G1750&gt;0,E1750=0),"WARNING - no PRICE inserted",IF(H1750="free","FREE ~ no charge this plant",IF(H1750="credit",CONCATENATE("-$",ROUND(K1750*(1-_xlfn.SINGLE(T2GDiscount))*-1,2)," CREDIT after discount"),IF(_xlfn.SINGLE(T2GDiscount)=0,"",IF(G1750=0,"",IF(F1750="Buy",CONCATENATE("$",ROUND(K1750*(1-_xlfn.SINGLE(T2GDiscount)),2)," with ",(_xlfn.SINGLE(T2GDiscount)*100),"% discount"),CONCATENATE("$",ROUND(K1750*(1-_xlfn.SINGLE(T2GDiscount)),2)," with ",((_xlfn.SINGLE(T2GDiscount)*100+F1750*100)-(_xlfn.SINGLE(T2GDiscount)*100*F1750)),IF(F1750&gt;0,"% discounts",IF(_xlfn.SINGLE(NoWarrantyDiscount)&gt;0,"% discounts","% discount")))))))))</f>
        <v/>
      </c>
      <c r="N1750" s="690"/>
      <c r="O1750" s="486"/>
      <c r="P1750" s="486"/>
      <c r="Q1750" s="486"/>
      <c r="R1750" s="486"/>
      <c r="S1750" s="486"/>
      <c r="T1750" s="102">
        <f t="shared" si="1256"/>
        <v>0</v>
      </c>
      <c r="U1750" s="78">
        <f>IF(NOT(ISNUMBER(G1750)), "", VLOOKUP(A1750,'Discount Lookup'!D:E,2,FALSE)*G1750)</f>
        <v>0</v>
      </c>
      <c r="V1750" s="78">
        <f>IF(NOT(ISNUMBER(G1750)), "", VLOOKUP(A1750,'Discount Lookup'!G:H,2,FALSE)*G1750)</f>
        <v>0</v>
      </c>
      <c r="W1750" s="102">
        <f t="shared" si="1257"/>
        <v>0</v>
      </c>
      <c r="X1750" s="102">
        <f t="shared" si="1258"/>
        <v>0</v>
      </c>
      <c r="Y1750" s="120" t="b">
        <f t="shared" si="1259"/>
        <v>0</v>
      </c>
      <c r="Z1750" s="117">
        <f t="shared" si="1260"/>
        <v>0</v>
      </c>
      <c r="AA1750" s="118"/>
      <c r="AB1750" s="118" t="str">
        <f t="shared" si="1261"/>
        <v/>
      </c>
      <c r="AC1750" s="712" t="str">
        <f>IF(AE1750="T2G","no charge",IF(AND(OR(PlanterYesMe="No",PlanterYesMe="N",PlanterYesMe="me"),H1750=""),"",IF(H1750="credit","NO install",IF(AND(K1750="",AE1750="me"),"EACH row",IF(AND(K1750="images",AE1750="me"),"EACH row",IF(D1750="","",IF(H1750="credit","",IF(AE1750="free","re-planting",IF(AE1750="me","   not ELP, by",IF(AND(OR(PlanterYesMe="Yes",PlanterYesMe="Y"),G1750&gt;0),(VLOOKUP(A1750,'Discount Lookup'!J:K,2)*G1750*(1-PlanterDiscount)*(1+PlanterDifficultyPercentage)),IF(AE1750="ELP",(VLOOKUP(A1750,'Discount Lookup'!J:K,2)*G1750*(1-PlanterDiscount)*(1+PlanterDifficultyPercentage)),IF(AE1750="free","re-planting",IF(G1750=0,"",IF(PlanterYesMe="",IF(AE1750="me","   not ELP, by",IF(AE1750="",IF(G1750&gt;0,(VLOOKUP(A1750,'Discount Lookup'!J:K,2)*G1750*(1-PlanterDiscount)*(1+PlanterDifficultyPercentage)),""),"")),"   not ELP, by"))))))))))))))</f>
        <v/>
      </c>
      <c r="AD1750" s="712"/>
      <c r="AE1750" s="513" t="str">
        <f t="shared" si="1262"/>
        <v/>
      </c>
      <c r="AF1750" s="713" t="str">
        <f t="shared" si="1263"/>
        <v/>
      </c>
      <c r="AG1750" s="713"/>
      <c r="AH1750" s="713"/>
      <c r="AI1750" s="112">
        <f>IF(H1750="credit",0,IF(AE1750="free",0,IF(AE1750="me",0,IF(G1750&gt;0,(VLOOKUP(A1750,'Discount Lookup'!J:K,2)*G1750),0))))</f>
        <v>0</v>
      </c>
      <c r="AJ1750" s="107" t="str">
        <f t="shared" ca="1" si="1264"/>
        <v/>
      </c>
      <c r="AK1750" s="714" t="str">
        <f t="shared" si="1265"/>
        <v/>
      </c>
      <c r="AL1750" s="714"/>
      <c r="AM1750" s="114" t="str">
        <f t="shared" si="1266"/>
        <v/>
      </c>
      <c r="AN1750" s="115"/>
      <c r="AO1750" s="116"/>
      <c r="AP1750" s="116"/>
      <c r="AQ1750" s="116"/>
      <c r="AR1750" s="116"/>
      <c r="AS1750" s="116"/>
      <c r="AT1750" s="116"/>
      <c r="AU1750" s="116"/>
      <c r="AV1750" s="78"/>
      <c r="AW1750" s="102"/>
      <c r="AX1750" s="78"/>
      <c r="AY1750" s="78"/>
      <c r="AZ1750" s="78"/>
      <c r="BA1750" s="78"/>
      <c r="BB1750" s="78"/>
      <c r="BC1750" s="78"/>
      <c r="BD1750" s="78"/>
      <c r="BE1750" s="465"/>
      <c r="BF1750" s="165" t="str">
        <f t="shared" si="1267"/>
        <v>https://www.google.com/search?tbm=isch&amp;q=2%20G6</v>
      </c>
      <c r="BG1750" s="165" t="str">
        <f t="shared" si="1268"/>
        <v>H</v>
      </c>
      <c r="BH1750" s="65"/>
      <c r="BI1750" s="65"/>
      <c r="BJ1750" s="65"/>
      <c r="BK1750" s="65"/>
      <c r="BL1750" s="99"/>
      <c r="BM1750" s="99"/>
      <c r="BN1750" s="99"/>
    </row>
    <row r="1751" spans="1:66" s="51" customFormat="1" ht="16.5" thickBot="1" x14ac:dyDescent="0.3">
      <c r="A1751" s="508" t="s">
        <v>2633</v>
      </c>
      <c r="B1751" s="487"/>
      <c r="C1751" s="707"/>
      <c r="D1751" s="487"/>
      <c r="E1751" s="487"/>
      <c r="F1751" s="488"/>
      <c r="G1751" s="489"/>
      <c r="H1751" s="487"/>
      <c r="I1751" s="490"/>
      <c r="J1751" s="490"/>
      <c r="K1751" s="491"/>
      <c r="L1751" s="547"/>
      <c r="M1751" s="528"/>
      <c r="N1751" s="492"/>
      <c r="O1751" s="493"/>
      <c r="P1751" s="494"/>
      <c r="Q1751" s="492"/>
      <c r="R1751" s="492"/>
      <c r="S1751" s="699" t="s">
        <v>5259</v>
      </c>
      <c r="T1751" s="102">
        <f t="shared" si="1256"/>
        <v>0</v>
      </c>
      <c r="U1751" s="78" t="str">
        <f>IF(NOT(ISNUMBER(G1751)), "", VLOOKUP(A1751,'Discount Lookup'!D:E,2,FALSE)*G1751)</f>
        <v/>
      </c>
      <c r="V1751" s="78" t="str">
        <f>IF(NOT(ISNUMBER(G1751)), "", VLOOKUP(A1751,'Discount Lookup'!G:H,2,FALSE)*G1751)</f>
        <v/>
      </c>
      <c r="W1751" s="102">
        <f t="shared" si="1257"/>
        <v>0</v>
      </c>
      <c r="X1751" s="102">
        <f t="shared" si="1258"/>
        <v>0</v>
      </c>
      <c r="Y1751" s="120" t="b">
        <f t="shared" si="1259"/>
        <v>0</v>
      </c>
      <c r="Z1751" s="117">
        <f t="shared" si="1260"/>
        <v>0</v>
      </c>
      <c r="AA1751" s="118"/>
      <c r="AB1751" s="118" t="str">
        <f t="shared" si="1261"/>
        <v/>
      </c>
      <c r="AC1751" s="712" t="str">
        <f>IF(AE1751="T2G","no charge",IF(AND(OR(PlanterYesMe="No",PlanterYesMe="N",PlanterYesMe="me"),H1751=""),"",IF(H1751="credit","NO install",IF(AND(K1751="",AE1751="me"),"EACH row",IF(AND(K1751="images",AE1751="me"),"EACH row",IF(D1751="","",IF(H1751="credit","",IF(AE1751="free","re-planting",IF(AE1751="me","   not ELP, by",IF(AND(OR(PlanterYesMe="Yes",PlanterYesMe="Y"),G1751&gt;0),(VLOOKUP(A1751,'Discount Lookup'!J:K,2)*G1751*(1-PlanterDiscount)*(1+PlanterDifficultyPercentage)),IF(AE1751="ELP",(VLOOKUP(A1751,'Discount Lookup'!J:K,2)*G1751*(1-PlanterDiscount)*(1+PlanterDifficultyPercentage)),IF(AE1751="free","re-planting",IF(G1751=0,"",IF(PlanterYesMe="",IF(AE1751="me","   not ELP, by",IF(AE1751="",IF(G1751&gt;0,(VLOOKUP(A1751,'Discount Lookup'!J:K,2)*G1751*(1-PlanterDiscount)*(1+PlanterDifficultyPercentage)),""),"")),"   not ELP, by"))))))))))))))</f>
        <v/>
      </c>
      <c r="AD1751" s="712"/>
      <c r="AE1751" s="513" t="str">
        <f t="shared" si="1262"/>
        <v/>
      </c>
      <c r="AF1751" s="713" t="str">
        <f t="shared" si="1263"/>
        <v/>
      </c>
      <c r="AG1751" s="713"/>
      <c r="AH1751" s="713"/>
      <c r="AI1751" s="112">
        <f>IF(H1751="credit",0,IF(AE1751="free",0,IF(AE1751="me",0,IF(G1751&gt;0,(VLOOKUP(A1751,'Discount Lookup'!J:K,2)*G1751),0))))</f>
        <v>0</v>
      </c>
      <c r="AJ1751" s="107" t="str">
        <f t="shared" ca="1" si="1264"/>
        <v/>
      </c>
      <c r="AK1751" s="714" t="str">
        <f t="shared" si="1265"/>
        <v/>
      </c>
      <c r="AL1751" s="714"/>
      <c r="AM1751" s="114" t="str">
        <f t="shared" si="1266"/>
        <v/>
      </c>
      <c r="AN1751" s="115"/>
      <c r="AO1751" s="116"/>
      <c r="AP1751" s="116"/>
      <c r="AQ1751" s="116"/>
      <c r="AR1751" s="116"/>
      <c r="AS1751" s="116"/>
      <c r="AT1751" s="116"/>
      <c r="AU1751" s="116"/>
      <c r="AV1751" s="78"/>
      <c r="AW1751" s="102"/>
      <c r="AX1751" s="78"/>
      <c r="AY1751" s="78"/>
      <c r="AZ1751" s="78"/>
      <c r="BA1751" s="78"/>
      <c r="BB1751" s="78"/>
      <c r="BC1751" s="78"/>
      <c r="BD1751" s="78"/>
      <c r="BE1751" s="465"/>
      <c r="BF1751" s="165" t="str">
        <f t="shared" si="1267"/>
        <v>https://www.google.com/search?tbm=isch&amp;q=All%20Hellebores%20are%20clump-forming%20perennials%20with%20leathery%20foliage.%20They%20are%20long-lived%2C%20cold%2Fshade%20tolerant%2C%20and%20bloom%20late%20winter%20to%20spring%20</v>
      </c>
      <c r="BG1751" s="165" t="str">
        <f t="shared" si="1268"/>
        <v>A</v>
      </c>
      <c r="BH1751" s="65"/>
      <c r="BI1751" s="65"/>
      <c r="BJ1751" s="65"/>
      <c r="BK1751" s="65"/>
      <c r="BL1751" s="99"/>
      <c r="BM1751" s="99"/>
      <c r="BN1751" s="99"/>
    </row>
    <row r="1752" spans="1:66" s="51" customFormat="1" ht="18" x14ac:dyDescent="0.25">
      <c r="A1752" s="507" t="s">
        <v>2640</v>
      </c>
      <c r="B1752" s="470"/>
      <c r="C1752" s="706"/>
      <c r="D1752" s="471" t="s">
        <v>5668</v>
      </c>
      <c r="E1752" s="472"/>
      <c r="F1752" s="472"/>
      <c r="G1752" s="472"/>
      <c r="H1752" s="622" t="s">
        <v>1525</v>
      </c>
      <c r="I1752" s="473" t="s">
        <v>2641</v>
      </c>
      <c r="J1752" s="472"/>
      <c r="K1752" s="472"/>
      <c r="L1752" s="561"/>
      <c r="M1752" s="703" t="s">
        <v>5260</v>
      </c>
      <c r="N1752" s="692" t="str">
        <f>IF(AND(ISTEXT($A1752), ISERROR($A1752+0)), HYPERLINK($BF1752, "Images"), "")</f>
        <v>Images</v>
      </c>
      <c r="O1752" s="694" t="s">
        <v>5244</v>
      </c>
      <c r="P1752" s="475"/>
      <c r="Q1752" s="476"/>
      <c r="R1752" s="476"/>
      <c r="S1752" s="477"/>
      <c r="T1752" s="102">
        <f t="shared" si="1256"/>
        <v>0</v>
      </c>
      <c r="U1752" s="78" t="str">
        <f>IF(NOT(ISNUMBER(G1752)), "", VLOOKUP(A1752,'Discount Lookup'!D:E,2,FALSE)*G1752)</f>
        <v/>
      </c>
      <c r="V1752" s="78" t="str">
        <f>IF(NOT(ISNUMBER(G1752)), "", VLOOKUP(A1752,'Discount Lookup'!G:H,2,FALSE)*G1752)</f>
        <v/>
      </c>
      <c r="W1752" s="102">
        <f t="shared" si="1257"/>
        <v>0</v>
      </c>
      <c r="X1752" s="102" t="str">
        <f t="shared" si="1258"/>
        <v>Soft Pink, Rose with age</v>
      </c>
      <c r="Y1752" s="120" t="b">
        <f t="shared" si="1259"/>
        <v>0</v>
      </c>
      <c r="Z1752" s="117">
        <f t="shared" si="1260"/>
        <v>0</v>
      </c>
      <c r="AA1752" s="118"/>
      <c r="AB1752" s="118" t="str">
        <f t="shared" si="1261"/>
        <v/>
      </c>
      <c r="AC1752" s="712" t="str">
        <f>IF(AE1752="T2G","no charge",IF(AND(OR(PlanterYesMe="No",PlanterYesMe="N",PlanterYesMe="me"),H1752=""),"",IF(H1752="credit","NO install",IF(AND(K1752="",AE1752="me"),"EACH row",IF(AND(K1752="images",AE1752="me"),"EACH row",IF(D1752="","",IF(H1752="credit","",IF(AE1752="free","re-planting",IF(AE1752="me","   not ELP, by",IF(AND(OR(PlanterYesMe="Yes",PlanterYesMe="Y"),G1752&gt;0),(VLOOKUP(A1752,'Discount Lookup'!J:K,2)*G1752*(1-PlanterDiscount)*(1+PlanterDifficultyPercentage)),IF(AE1752="ELP",(VLOOKUP(A1752,'Discount Lookup'!J:K,2)*G1752*(1-PlanterDiscount)*(1+PlanterDifficultyPercentage)),IF(AE1752="free","re-planting",IF(G1752=0,"",IF(PlanterYesMe="",IF(AE1752="me","   not ELP, by",IF(AE1752="",IF(G1752&gt;0,(VLOOKUP(A1752,'Discount Lookup'!J:K,2)*G1752*(1-PlanterDiscount)*(1+PlanterDifficultyPercentage)),""),"")),"   not ELP, by"))))))))))))))</f>
        <v/>
      </c>
      <c r="AD1752" s="712"/>
      <c r="AE1752" s="513" t="str">
        <f t="shared" si="1262"/>
        <v/>
      </c>
      <c r="AF1752" s="713" t="str">
        <f t="shared" si="1263"/>
        <v/>
      </c>
      <c r="AG1752" s="713"/>
      <c r="AH1752" s="713"/>
      <c r="AI1752" s="112">
        <f>IF(H1752="credit",0,IF(AE1752="free",0,IF(AE1752="me",0,IF(G1752&gt;0,(VLOOKUP(A1752,'Discount Lookup'!J:K,2)*G1752),0))))</f>
        <v>0</v>
      </c>
      <c r="AJ1752" s="107" t="str">
        <f t="shared" ca="1" si="1264"/>
        <v/>
      </c>
      <c r="AK1752" s="714" t="str">
        <f t="shared" si="1265"/>
        <v/>
      </c>
      <c r="AL1752" s="714"/>
      <c r="AM1752" s="114" t="str">
        <f t="shared" si="1266"/>
        <v/>
      </c>
      <c r="AN1752" s="115"/>
      <c r="AO1752" s="116"/>
      <c r="AP1752" s="116"/>
      <c r="AQ1752" s="116"/>
      <c r="AR1752" s="116"/>
      <c r="AS1752" s="116"/>
      <c r="AT1752" s="116"/>
      <c r="AU1752" s="116"/>
      <c r="AV1752" s="78"/>
      <c r="AW1752" s="102"/>
      <c r="AX1752" s="78"/>
      <c r="AY1752" s="78"/>
      <c r="AZ1752" s="78"/>
      <c r="BA1752" s="78"/>
      <c r="BB1752" s="78"/>
      <c r="BC1752" s="78"/>
      <c r="BD1752" s="78"/>
      <c r="BE1752" s="465"/>
      <c r="BF1752" s="165" t="str">
        <f t="shared" si="1267"/>
        <v>https://www.google.com/search?tbm=isch&amp;q=Helleborus%20x%20ballardiae%20%27Coseb%20710%27%20PP%2321063%20HGC%C2%AE%20Pink%20Frost%20Lenten%20Rose</v>
      </c>
      <c r="BG1752" s="165" t="str">
        <f t="shared" si="1268"/>
        <v>H</v>
      </c>
      <c r="BH1752" s="65"/>
      <c r="BI1752" s="65"/>
      <c r="BJ1752" s="65"/>
      <c r="BK1752" s="65"/>
      <c r="BL1752" s="99"/>
      <c r="BM1752" s="99"/>
      <c r="BN1752" s="99"/>
    </row>
    <row r="1753" spans="1:66" s="51" customFormat="1" ht="15.75" x14ac:dyDescent="0.25">
      <c r="A1753" s="478">
        <v>3</v>
      </c>
      <c r="B1753" s="479" t="s">
        <v>291</v>
      </c>
      <c r="C1753" s="480" t="s">
        <v>2642</v>
      </c>
      <c r="D1753" s="481" t="s">
        <v>311</v>
      </c>
      <c r="E1753" s="482">
        <v>49.95</v>
      </c>
      <c r="F1753" s="483" t="s">
        <v>292</v>
      </c>
      <c r="G1753" s="484">
        <v>0</v>
      </c>
      <c r="H1753" s="688" t="str">
        <f>IF(G1753=0,"",IF(F1753="Buy",IF(G1753=1,"plant","plants"),IF(F1753&gt;0.01,"warranty","Error")))</f>
        <v/>
      </c>
      <c r="I1753" s="485">
        <f>IF(H1753="free",0,IF(H1753="credit",((E1753*(F1753))*G1753*-1),IF(F1753="Buy",(E1753*G1753),((E1753*(1-F1753))*G1753))))</f>
        <v>0</v>
      </c>
      <c r="J1753" s="485">
        <f>IF(H1753="warranty",0,(I1753*(_xlfn.SINGLE(SalesTaxPercentage))))</f>
        <v>0</v>
      </c>
      <c r="K1753" s="715">
        <f t="shared" ref="K1753" si="1270">I1753+J1753</f>
        <v>0</v>
      </c>
      <c r="L1753" s="715"/>
      <c r="M1753" s="689" t="str">
        <f ca="1">IF(AND(G1753&gt;0,E1753=0),"WARNING - no PRICE inserted",IF(H1753="free","FREE ~ no charge this plant",IF(H1753="credit",CONCATENATE("-$",ROUND(K1753*(1-_xlfn.SINGLE(T2GDiscount))*-1,2)," CREDIT after discount"),IF(_xlfn.SINGLE(T2GDiscount)=0,"",IF(G1753=0,"",IF(F1753="Buy",CONCATENATE("$",ROUND(K1753*(1-_xlfn.SINGLE(T2GDiscount)),2)," with ",(_xlfn.SINGLE(T2GDiscount)*100),"% discount"),CONCATENATE("$",ROUND(K1753*(1-_xlfn.SINGLE(T2GDiscount)),2)," with ",((_xlfn.SINGLE(T2GDiscount)*100+F1753*100)-(_xlfn.SINGLE(T2GDiscount)*100*F1753)),IF(F1753&gt;0,"% discounts",IF(_xlfn.SINGLE(NoWarrantyDiscount)&gt;0,"% discounts","% discount")))))))))</f>
        <v/>
      </c>
      <c r="N1753" s="690"/>
      <c r="O1753" s="486"/>
      <c r="P1753" s="486"/>
      <c r="Q1753" s="486"/>
      <c r="R1753" s="486"/>
      <c r="S1753" s="486"/>
      <c r="T1753" s="102">
        <f t="shared" si="1256"/>
        <v>0</v>
      </c>
      <c r="U1753" s="78">
        <f>IF(NOT(ISNUMBER(G1753)), "", VLOOKUP(A1753,'Discount Lookup'!D:E,2,FALSE)*G1753)</f>
        <v>0</v>
      </c>
      <c r="V1753" s="78">
        <f>IF(NOT(ISNUMBER(G1753)), "", VLOOKUP(A1753,'Discount Lookup'!G:H,2,FALSE)*G1753)</f>
        <v>0</v>
      </c>
      <c r="W1753" s="102">
        <f t="shared" si="1257"/>
        <v>0</v>
      </c>
      <c r="X1753" s="102">
        <f t="shared" si="1258"/>
        <v>0</v>
      </c>
      <c r="Y1753" s="120" t="b">
        <f t="shared" si="1259"/>
        <v>0</v>
      </c>
      <c r="Z1753" s="117">
        <f t="shared" si="1260"/>
        <v>0</v>
      </c>
      <c r="AA1753" s="118"/>
      <c r="AB1753" s="118" t="str">
        <f t="shared" si="1261"/>
        <v/>
      </c>
      <c r="AC1753" s="712" t="str">
        <f>IF(AE1753="T2G","no charge",IF(AND(OR(PlanterYesMe="No",PlanterYesMe="N",PlanterYesMe="me"),H1753=""),"",IF(H1753="credit","NO install",IF(AND(K1753="",AE1753="me"),"EACH row",IF(AND(K1753="images",AE1753="me"),"EACH row",IF(D1753="","",IF(H1753="credit","",IF(AE1753="free","re-planting",IF(AE1753="me","   not ELP, by",IF(AND(OR(PlanterYesMe="Yes",PlanterYesMe="Y"),G1753&gt;0),(VLOOKUP(A1753,'Discount Lookup'!J:K,2)*G1753*(1-PlanterDiscount)*(1+PlanterDifficultyPercentage)),IF(AE1753="ELP",(VLOOKUP(A1753,'Discount Lookup'!J:K,2)*G1753*(1-PlanterDiscount)*(1+PlanterDifficultyPercentage)),IF(AE1753="free","re-planting",IF(G1753=0,"",IF(PlanterYesMe="",IF(AE1753="me","   not ELP, by",IF(AE1753="",IF(G1753&gt;0,(VLOOKUP(A1753,'Discount Lookup'!J:K,2)*G1753*(1-PlanterDiscount)*(1+PlanterDifficultyPercentage)),""),"")),"   not ELP, by"))))))))))))))</f>
        <v/>
      </c>
      <c r="AD1753" s="712"/>
      <c r="AE1753" s="513" t="str">
        <f t="shared" si="1262"/>
        <v/>
      </c>
      <c r="AF1753" s="713" t="str">
        <f t="shared" si="1263"/>
        <v/>
      </c>
      <c r="AG1753" s="713"/>
      <c r="AH1753" s="713"/>
      <c r="AI1753" s="112">
        <f>IF(H1753="credit",0,IF(AE1753="free",0,IF(AE1753="me",0,IF(G1753&gt;0,(VLOOKUP(A1753,'Discount Lookup'!J:K,2)*G1753),0))))</f>
        <v>0</v>
      </c>
      <c r="AJ1753" s="107" t="str">
        <f t="shared" ca="1" si="1264"/>
        <v/>
      </c>
      <c r="AK1753" s="714" t="str">
        <f t="shared" si="1265"/>
        <v/>
      </c>
      <c r="AL1753" s="714"/>
      <c r="AM1753" s="114" t="str">
        <f t="shared" si="1266"/>
        <v/>
      </c>
      <c r="AN1753" s="115"/>
      <c r="AO1753" s="116"/>
      <c r="AP1753" s="116"/>
      <c r="AQ1753" s="116"/>
      <c r="AR1753" s="116"/>
      <c r="AS1753" s="116"/>
      <c r="AT1753" s="116"/>
      <c r="AU1753" s="116"/>
      <c r="AV1753" s="78"/>
      <c r="AW1753" s="102"/>
      <c r="AX1753" s="78"/>
      <c r="AY1753" s="78"/>
      <c r="AZ1753" s="78"/>
      <c r="BA1753" s="78"/>
      <c r="BB1753" s="78"/>
      <c r="BC1753" s="78"/>
      <c r="BD1753" s="78"/>
      <c r="BE1753" s="465"/>
      <c r="BF1753" s="165" t="str">
        <f t="shared" si="1267"/>
        <v>https://www.google.com/search?tbm=isch&amp;q=3%20G5</v>
      </c>
      <c r="BG1753" s="165" t="str">
        <f t="shared" si="1268"/>
        <v>H</v>
      </c>
      <c r="BH1753" s="65"/>
      <c r="BI1753" s="65"/>
      <c r="BJ1753" s="65"/>
      <c r="BK1753" s="65"/>
      <c r="BL1753" s="99"/>
      <c r="BM1753" s="99"/>
      <c r="BN1753" s="99"/>
    </row>
    <row r="1754" spans="1:66" s="51" customFormat="1" ht="16.5" thickBot="1" x14ac:dyDescent="0.3">
      <c r="A1754" s="508" t="s">
        <v>2633</v>
      </c>
      <c r="B1754" s="487"/>
      <c r="C1754" s="707"/>
      <c r="D1754" s="487"/>
      <c r="E1754" s="487"/>
      <c r="F1754" s="488"/>
      <c r="G1754" s="489"/>
      <c r="H1754" s="487"/>
      <c r="I1754" s="490"/>
      <c r="J1754" s="490"/>
      <c r="K1754" s="491"/>
      <c r="L1754" s="547"/>
      <c r="M1754" s="528"/>
      <c r="N1754" s="492"/>
      <c r="O1754" s="493"/>
      <c r="P1754" s="494"/>
      <c r="Q1754" s="492"/>
      <c r="R1754" s="492"/>
      <c r="S1754" s="699" t="s">
        <v>5259</v>
      </c>
      <c r="T1754" s="102">
        <f t="shared" si="1256"/>
        <v>0</v>
      </c>
      <c r="U1754" s="78" t="str">
        <f>IF(NOT(ISNUMBER(G1754)), "", VLOOKUP(A1754,'Discount Lookup'!D:E,2,FALSE)*G1754)</f>
        <v/>
      </c>
      <c r="V1754" s="78" t="str">
        <f>IF(NOT(ISNUMBER(G1754)), "", VLOOKUP(A1754,'Discount Lookup'!G:H,2,FALSE)*G1754)</f>
        <v/>
      </c>
      <c r="W1754" s="102">
        <f t="shared" si="1257"/>
        <v>0</v>
      </c>
      <c r="X1754" s="102">
        <f t="shared" si="1258"/>
        <v>0</v>
      </c>
      <c r="Y1754" s="120" t="b">
        <f t="shared" si="1259"/>
        <v>0</v>
      </c>
      <c r="Z1754" s="117">
        <f t="shared" si="1260"/>
        <v>0</v>
      </c>
      <c r="AA1754" s="118"/>
      <c r="AB1754" s="118" t="str">
        <f t="shared" si="1261"/>
        <v/>
      </c>
      <c r="AC1754" s="712" t="str">
        <f>IF(AE1754="T2G","no charge",IF(AND(OR(PlanterYesMe="No",PlanterYesMe="N",PlanterYesMe="me"),H1754=""),"",IF(H1754="credit","NO install",IF(AND(K1754="",AE1754="me"),"EACH row",IF(AND(K1754="images",AE1754="me"),"EACH row",IF(D1754="","",IF(H1754="credit","",IF(AE1754="free","re-planting",IF(AE1754="me","   not ELP, by",IF(AND(OR(PlanterYesMe="Yes",PlanterYesMe="Y"),G1754&gt;0),(VLOOKUP(A1754,'Discount Lookup'!J:K,2)*G1754*(1-PlanterDiscount)*(1+PlanterDifficultyPercentage)),IF(AE1754="ELP",(VLOOKUP(A1754,'Discount Lookup'!J:K,2)*G1754*(1-PlanterDiscount)*(1+PlanterDifficultyPercentage)),IF(AE1754="free","re-planting",IF(G1754=0,"",IF(PlanterYesMe="",IF(AE1754="me","   not ELP, by",IF(AE1754="",IF(G1754&gt;0,(VLOOKUP(A1754,'Discount Lookup'!J:K,2)*G1754*(1-PlanterDiscount)*(1+PlanterDifficultyPercentage)),""),"")),"   not ELP, by"))))))))))))))</f>
        <v/>
      </c>
      <c r="AD1754" s="712"/>
      <c r="AE1754" s="513" t="str">
        <f t="shared" si="1262"/>
        <v/>
      </c>
      <c r="AF1754" s="713" t="str">
        <f t="shared" si="1263"/>
        <v/>
      </c>
      <c r="AG1754" s="713"/>
      <c r="AH1754" s="713"/>
      <c r="AI1754" s="112">
        <f>IF(H1754="credit",0,IF(AE1754="free",0,IF(AE1754="me",0,IF(G1754&gt;0,(VLOOKUP(A1754,'Discount Lookup'!J:K,2)*G1754),0))))</f>
        <v>0</v>
      </c>
      <c r="AJ1754" s="107" t="str">
        <f t="shared" ca="1" si="1264"/>
        <v/>
      </c>
      <c r="AK1754" s="714" t="str">
        <f t="shared" si="1265"/>
        <v/>
      </c>
      <c r="AL1754" s="714"/>
      <c r="AM1754" s="114" t="str">
        <f t="shared" si="1266"/>
        <v/>
      </c>
      <c r="AN1754" s="115"/>
      <c r="AO1754" s="116"/>
      <c r="AP1754" s="116"/>
      <c r="AQ1754" s="116"/>
      <c r="AR1754" s="116"/>
      <c r="AS1754" s="116"/>
      <c r="AT1754" s="116"/>
      <c r="AU1754" s="116"/>
      <c r="AV1754" s="78"/>
      <c r="AW1754" s="102"/>
      <c r="AX1754" s="78"/>
      <c r="AY1754" s="78"/>
      <c r="AZ1754" s="78"/>
      <c r="BA1754" s="78"/>
      <c r="BB1754" s="78"/>
      <c r="BC1754" s="78"/>
      <c r="BD1754" s="78"/>
      <c r="BE1754" s="465"/>
      <c r="BF1754" s="165" t="str">
        <f t="shared" si="1267"/>
        <v>https://www.google.com/search?tbm=isch&amp;q=All%20Hellebores%20are%20clump-forming%20perennials%20with%20leathery%20foliage.%20They%20are%20long-lived%2C%20cold%2Fshade%20tolerant%2C%20and%20bloom%20late%20winter%20to%20spring%20</v>
      </c>
      <c r="BG1754" s="165" t="str">
        <f t="shared" si="1268"/>
        <v>A</v>
      </c>
      <c r="BH1754" s="65"/>
      <c r="BI1754" s="65"/>
      <c r="BJ1754" s="65"/>
      <c r="BK1754" s="65"/>
      <c r="BL1754" s="99"/>
      <c r="BM1754" s="99"/>
      <c r="BN1754" s="99"/>
    </row>
    <row r="1755" spans="1:66" s="51" customFormat="1" ht="18" x14ac:dyDescent="0.25">
      <c r="A1755" s="507" t="s">
        <v>2643</v>
      </c>
      <c r="B1755" s="470"/>
      <c r="C1755" s="706"/>
      <c r="D1755" s="471" t="s">
        <v>5669</v>
      </c>
      <c r="E1755" s="472"/>
      <c r="F1755" s="472"/>
      <c r="G1755" s="472"/>
      <c r="H1755" s="622" t="s">
        <v>1525</v>
      </c>
      <c r="I1755" s="473" t="s">
        <v>2644</v>
      </c>
      <c r="J1755" s="472"/>
      <c r="K1755" s="472"/>
      <c r="L1755" s="561"/>
      <c r="M1755" s="703" t="s">
        <v>5260</v>
      </c>
      <c r="N1755" s="692" t="str">
        <f>IF(AND(ISTEXT($A1755), ISERROR($A1755+0)), HYPERLINK($BF1755, "Images"), "")</f>
        <v>Images</v>
      </c>
      <c r="O1755" s="694" t="s">
        <v>5244</v>
      </c>
      <c r="P1755" s="475"/>
      <c r="Q1755" s="476"/>
      <c r="R1755" s="476"/>
      <c r="S1755" s="477"/>
      <c r="T1755" s="102">
        <f t="shared" si="1256"/>
        <v>0</v>
      </c>
      <c r="U1755" s="78" t="str">
        <f>IF(NOT(ISNUMBER(G1755)), "", VLOOKUP(A1755,'Discount Lookup'!D:E,2,FALSE)*G1755)</f>
        <v/>
      </c>
      <c r="V1755" s="78" t="str">
        <f>IF(NOT(ISNUMBER(G1755)), "", VLOOKUP(A1755,'Discount Lookup'!G:H,2,FALSE)*G1755)</f>
        <v/>
      </c>
      <c r="W1755" s="102">
        <f t="shared" si="1257"/>
        <v>0</v>
      </c>
      <c r="X1755" s="102" t="str">
        <f t="shared" si="1258"/>
        <v>White bloom, Pink backs</v>
      </c>
      <c r="Y1755" s="120" t="b">
        <f t="shared" si="1259"/>
        <v>0</v>
      </c>
      <c r="Z1755" s="117">
        <f t="shared" si="1260"/>
        <v>0</v>
      </c>
      <c r="AA1755" s="118"/>
      <c r="AB1755" s="118" t="str">
        <f t="shared" si="1261"/>
        <v/>
      </c>
      <c r="AC1755" s="712" t="str">
        <f>IF(AE1755="T2G","no charge",IF(AND(OR(PlanterYesMe="No",PlanterYesMe="N",PlanterYesMe="me"),H1755=""),"",IF(H1755="credit","NO install",IF(AND(K1755="",AE1755="me"),"EACH row",IF(AND(K1755="images",AE1755="me"),"EACH row",IF(D1755="","",IF(H1755="credit","",IF(AE1755="free","re-planting",IF(AE1755="me","   not ELP, by",IF(AND(OR(PlanterYesMe="Yes",PlanterYesMe="Y"),G1755&gt;0),(VLOOKUP(A1755,'Discount Lookup'!J:K,2)*G1755*(1-PlanterDiscount)*(1+PlanterDifficultyPercentage)),IF(AE1755="ELP",(VLOOKUP(A1755,'Discount Lookup'!J:K,2)*G1755*(1-PlanterDiscount)*(1+PlanterDifficultyPercentage)),IF(AE1755="free","re-planting",IF(G1755=0,"",IF(PlanterYesMe="",IF(AE1755="me","   not ELP, by",IF(AE1755="",IF(G1755&gt;0,(VLOOKUP(A1755,'Discount Lookup'!J:K,2)*G1755*(1-PlanterDiscount)*(1+PlanterDifficultyPercentage)),""),"")),"   not ELP, by"))))))))))))))</f>
        <v/>
      </c>
      <c r="AD1755" s="712"/>
      <c r="AE1755" s="513" t="str">
        <f t="shared" si="1262"/>
        <v/>
      </c>
      <c r="AF1755" s="713" t="str">
        <f t="shared" si="1263"/>
        <v/>
      </c>
      <c r="AG1755" s="713"/>
      <c r="AH1755" s="713"/>
      <c r="AI1755" s="112">
        <f>IF(H1755="credit",0,IF(AE1755="free",0,IF(AE1755="me",0,IF(G1755&gt;0,(VLOOKUP(A1755,'Discount Lookup'!J:K,2)*G1755),0))))</f>
        <v>0</v>
      </c>
      <c r="AJ1755" s="107" t="str">
        <f t="shared" ca="1" si="1264"/>
        <v/>
      </c>
      <c r="AK1755" s="714" t="str">
        <f t="shared" si="1265"/>
        <v/>
      </c>
      <c r="AL1755" s="714"/>
      <c r="AM1755" s="114" t="str">
        <f t="shared" si="1266"/>
        <v/>
      </c>
      <c r="AN1755" s="115"/>
      <c r="AO1755" s="116"/>
      <c r="AP1755" s="116"/>
      <c r="AQ1755" s="116"/>
      <c r="AR1755" s="116"/>
      <c r="AS1755" s="116"/>
      <c r="AT1755" s="116"/>
      <c r="AU1755" s="116"/>
      <c r="AV1755" s="78"/>
      <c r="AW1755" s="102"/>
      <c r="AX1755" s="78"/>
      <c r="AY1755" s="78"/>
      <c r="AZ1755" s="78"/>
      <c r="BA1755" s="78"/>
      <c r="BB1755" s="78"/>
      <c r="BC1755" s="78"/>
      <c r="BD1755" s="78"/>
      <c r="BE1755" s="465"/>
      <c r="BF1755" s="165" t="str">
        <f t="shared" si="1267"/>
        <v>https://www.google.com/search?tbm=isch&amp;q=Helleborus%20x%20ericsmithii%20%27COSEH%20730%27%20HGC%C2%AE%20Champion%20Lenten%20Rose</v>
      </c>
      <c r="BG1755" s="165" t="str">
        <f t="shared" si="1268"/>
        <v>H</v>
      </c>
      <c r="BH1755" s="65"/>
      <c r="BI1755" s="65"/>
      <c r="BJ1755" s="65"/>
      <c r="BK1755" s="65"/>
      <c r="BL1755" s="99"/>
      <c r="BM1755" s="99"/>
      <c r="BN1755" s="99"/>
    </row>
    <row r="1756" spans="1:66" s="51" customFormat="1" ht="15.75" x14ac:dyDescent="0.25">
      <c r="A1756" s="478">
        <v>3</v>
      </c>
      <c r="B1756" s="479" t="s">
        <v>291</v>
      </c>
      <c r="C1756" s="480" t="s">
        <v>2642</v>
      </c>
      <c r="D1756" s="481" t="s">
        <v>311</v>
      </c>
      <c r="E1756" s="482">
        <v>49.95</v>
      </c>
      <c r="F1756" s="483" t="s">
        <v>292</v>
      </c>
      <c r="G1756" s="484">
        <v>0</v>
      </c>
      <c r="H1756" s="688" t="str">
        <f>IF(G1756=0,"",IF(F1756="Buy",IF(G1756=1,"plant","plants"),IF(F1756&gt;0.01,"warranty","Error")))</f>
        <v/>
      </c>
      <c r="I1756" s="485">
        <f>IF(H1756="free",0,IF(H1756="credit",((E1756*(F1756))*G1756*-1),IF(F1756="Buy",(E1756*G1756),((E1756*(1-F1756))*G1756))))</f>
        <v>0</v>
      </c>
      <c r="J1756" s="485">
        <f>IF(H1756="warranty",0,(I1756*(_xlfn.SINGLE(SalesTaxPercentage))))</f>
        <v>0</v>
      </c>
      <c r="K1756" s="715">
        <f t="shared" ref="K1756" si="1271">I1756+J1756</f>
        <v>0</v>
      </c>
      <c r="L1756" s="715"/>
      <c r="M1756" s="689" t="str">
        <f ca="1">IF(AND(G1756&gt;0,E1756=0),"WARNING - no PRICE inserted",IF(H1756="free","FREE ~ no charge this plant",IF(H1756="credit",CONCATENATE("-$",ROUND(K1756*(1-_xlfn.SINGLE(T2GDiscount))*-1,2)," CREDIT after discount"),IF(_xlfn.SINGLE(T2GDiscount)=0,"",IF(G1756=0,"",IF(F1756="Buy",CONCATENATE("$",ROUND(K1756*(1-_xlfn.SINGLE(T2GDiscount)),2)," with ",(_xlfn.SINGLE(T2GDiscount)*100),"% discount"),CONCATENATE("$",ROUND(K1756*(1-_xlfn.SINGLE(T2GDiscount)),2)," with ",((_xlfn.SINGLE(T2GDiscount)*100+F1756*100)-(_xlfn.SINGLE(T2GDiscount)*100*F1756)),IF(F1756&gt;0,"% discounts",IF(_xlfn.SINGLE(NoWarrantyDiscount)&gt;0,"% discounts","% discount")))))))))</f>
        <v/>
      </c>
      <c r="N1756" s="690"/>
      <c r="O1756" s="486"/>
      <c r="P1756" s="486"/>
      <c r="Q1756" s="486"/>
      <c r="R1756" s="486"/>
      <c r="S1756" s="486"/>
      <c r="T1756" s="102">
        <f t="shared" si="1256"/>
        <v>0</v>
      </c>
      <c r="U1756" s="78">
        <f>IF(NOT(ISNUMBER(G1756)), "", VLOOKUP(A1756,'Discount Lookup'!D:E,2,FALSE)*G1756)</f>
        <v>0</v>
      </c>
      <c r="V1756" s="78">
        <f>IF(NOT(ISNUMBER(G1756)), "", VLOOKUP(A1756,'Discount Lookup'!G:H,2,FALSE)*G1756)</f>
        <v>0</v>
      </c>
      <c r="W1756" s="102">
        <f t="shared" si="1257"/>
        <v>0</v>
      </c>
      <c r="X1756" s="102">
        <f t="shared" si="1258"/>
        <v>0</v>
      </c>
      <c r="Y1756" s="120" t="b">
        <f t="shared" si="1259"/>
        <v>0</v>
      </c>
      <c r="Z1756" s="117">
        <f t="shared" si="1260"/>
        <v>0</v>
      </c>
      <c r="AA1756" s="118"/>
      <c r="AB1756" s="118" t="str">
        <f t="shared" si="1261"/>
        <v/>
      </c>
      <c r="AC1756" s="712" t="str">
        <f>IF(AE1756="T2G","no charge",IF(AND(OR(PlanterYesMe="No",PlanterYesMe="N",PlanterYesMe="me"),H1756=""),"",IF(H1756="credit","NO install",IF(AND(K1756="",AE1756="me"),"EACH row",IF(AND(K1756="images",AE1756="me"),"EACH row",IF(D1756="","",IF(H1756="credit","",IF(AE1756="free","re-planting",IF(AE1756="me","   not ELP, by",IF(AND(OR(PlanterYesMe="Yes",PlanterYesMe="Y"),G1756&gt;0),(VLOOKUP(A1756,'Discount Lookup'!J:K,2)*G1756*(1-PlanterDiscount)*(1+PlanterDifficultyPercentage)),IF(AE1756="ELP",(VLOOKUP(A1756,'Discount Lookup'!J:K,2)*G1756*(1-PlanterDiscount)*(1+PlanterDifficultyPercentage)),IF(AE1756="free","re-planting",IF(G1756=0,"",IF(PlanterYesMe="",IF(AE1756="me","   not ELP, by",IF(AE1756="",IF(G1756&gt;0,(VLOOKUP(A1756,'Discount Lookup'!J:K,2)*G1756*(1-PlanterDiscount)*(1+PlanterDifficultyPercentage)),""),"")),"   not ELP, by"))))))))))))))</f>
        <v/>
      </c>
      <c r="AD1756" s="712"/>
      <c r="AE1756" s="513" t="str">
        <f t="shared" si="1262"/>
        <v/>
      </c>
      <c r="AF1756" s="713" t="str">
        <f t="shared" si="1263"/>
        <v/>
      </c>
      <c r="AG1756" s="713"/>
      <c r="AH1756" s="713"/>
      <c r="AI1756" s="112">
        <f>IF(H1756="credit",0,IF(AE1756="free",0,IF(AE1756="me",0,IF(G1756&gt;0,(VLOOKUP(A1756,'Discount Lookup'!J:K,2)*G1756),0))))</f>
        <v>0</v>
      </c>
      <c r="AJ1756" s="107" t="str">
        <f t="shared" ca="1" si="1264"/>
        <v/>
      </c>
      <c r="AK1756" s="714" t="str">
        <f t="shared" si="1265"/>
        <v/>
      </c>
      <c r="AL1756" s="714"/>
      <c r="AM1756" s="114" t="str">
        <f t="shared" si="1266"/>
        <v/>
      </c>
      <c r="AN1756" s="115"/>
      <c r="AO1756" s="116"/>
      <c r="AP1756" s="116"/>
      <c r="AQ1756" s="116"/>
      <c r="AR1756" s="116"/>
      <c r="AS1756" s="116"/>
      <c r="AT1756" s="116"/>
      <c r="AU1756" s="116"/>
      <c r="AV1756" s="78"/>
      <c r="AW1756" s="102"/>
      <c r="AX1756" s="78"/>
      <c r="AY1756" s="78"/>
      <c r="AZ1756" s="78"/>
      <c r="BA1756" s="78"/>
      <c r="BB1756" s="78"/>
      <c r="BC1756" s="78"/>
      <c r="BD1756" s="78"/>
      <c r="BE1756" s="465"/>
      <c r="BF1756" s="165" t="str">
        <f t="shared" si="1267"/>
        <v>https://www.google.com/search?tbm=isch&amp;q=3%20G5</v>
      </c>
      <c r="BG1756" s="165" t="str">
        <f t="shared" si="1268"/>
        <v>H</v>
      </c>
      <c r="BH1756" s="65"/>
      <c r="BI1756" s="65"/>
      <c r="BJ1756" s="65"/>
      <c r="BK1756" s="65"/>
      <c r="BL1756" s="99"/>
      <c r="BM1756" s="99"/>
      <c r="BN1756" s="99"/>
    </row>
    <row r="1757" spans="1:66" s="51" customFormat="1" ht="16.5" thickBot="1" x14ac:dyDescent="0.3">
      <c r="A1757" s="508" t="s">
        <v>2633</v>
      </c>
      <c r="B1757" s="487"/>
      <c r="C1757" s="707"/>
      <c r="D1757" s="487"/>
      <c r="E1757" s="487"/>
      <c r="F1757" s="488"/>
      <c r="G1757" s="489"/>
      <c r="H1757" s="487"/>
      <c r="I1757" s="490"/>
      <c r="J1757" s="490"/>
      <c r="K1757" s="491"/>
      <c r="L1757" s="547"/>
      <c r="M1757" s="528"/>
      <c r="N1757" s="492"/>
      <c r="O1757" s="493"/>
      <c r="P1757" s="494"/>
      <c r="Q1757" s="492"/>
      <c r="R1757" s="492"/>
      <c r="S1757" s="699" t="s">
        <v>5259</v>
      </c>
      <c r="T1757" s="102">
        <f t="shared" si="1256"/>
        <v>0</v>
      </c>
      <c r="U1757" s="78" t="str">
        <f>IF(NOT(ISNUMBER(G1757)), "", VLOOKUP(A1757,'Discount Lookup'!D:E,2,FALSE)*G1757)</f>
        <v/>
      </c>
      <c r="V1757" s="78" t="str">
        <f>IF(NOT(ISNUMBER(G1757)), "", VLOOKUP(A1757,'Discount Lookup'!G:H,2,FALSE)*G1757)</f>
        <v/>
      </c>
      <c r="W1757" s="102">
        <f t="shared" si="1257"/>
        <v>0</v>
      </c>
      <c r="X1757" s="102">
        <f t="shared" si="1258"/>
        <v>0</v>
      </c>
      <c r="Y1757" s="120" t="b">
        <f t="shared" si="1259"/>
        <v>0</v>
      </c>
      <c r="Z1757" s="117">
        <f t="shared" si="1260"/>
        <v>0</v>
      </c>
      <c r="AA1757" s="118"/>
      <c r="AB1757" s="118" t="str">
        <f t="shared" si="1261"/>
        <v/>
      </c>
      <c r="AC1757" s="712" t="str">
        <f>IF(AE1757="T2G","no charge",IF(AND(OR(PlanterYesMe="No",PlanterYesMe="N",PlanterYesMe="me"),H1757=""),"",IF(H1757="credit","NO install",IF(AND(K1757="",AE1757="me"),"EACH row",IF(AND(K1757="images",AE1757="me"),"EACH row",IF(D1757="","",IF(H1757="credit","",IF(AE1757="free","re-planting",IF(AE1757="me","   not ELP, by",IF(AND(OR(PlanterYesMe="Yes",PlanterYesMe="Y"),G1757&gt;0),(VLOOKUP(A1757,'Discount Lookup'!J:K,2)*G1757*(1-PlanterDiscount)*(1+PlanterDifficultyPercentage)),IF(AE1757="ELP",(VLOOKUP(A1757,'Discount Lookup'!J:K,2)*G1757*(1-PlanterDiscount)*(1+PlanterDifficultyPercentage)),IF(AE1757="free","re-planting",IF(G1757=0,"",IF(PlanterYesMe="",IF(AE1757="me","   not ELP, by",IF(AE1757="",IF(G1757&gt;0,(VLOOKUP(A1757,'Discount Lookup'!J:K,2)*G1757*(1-PlanterDiscount)*(1+PlanterDifficultyPercentage)),""),"")),"   not ELP, by"))))))))))))))</f>
        <v/>
      </c>
      <c r="AD1757" s="712"/>
      <c r="AE1757" s="513" t="str">
        <f t="shared" si="1262"/>
        <v/>
      </c>
      <c r="AF1757" s="713" t="str">
        <f t="shared" si="1263"/>
        <v/>
      </c>
      <c r="AG1757" s="713"/>
      <c r="AH1757" s="713"/>
      <c r="AI1757" s="112">
        <f>IF(H1757="credit",0,IF(AE1757="free",0,IF(AE1757="me",0,IF(G1757&gt;0,(VLOOKUP(A1757,'Discount Lookup'!J:K,2)*G1757),0))))</f>
        <v>0</v>
      </c>
      <c r="AJ1757" s="107" t="str">
        <f t="shared" ca="1" si="1264"/>
        <v/>
      </c>
      <c r="AK1757" s="714" t="str">
        <f t="shared" si="1265"/>
        <v/>
      </c>
      <c r="AL1757" s="714"/>
      <c r="AM1757" s="114" t="str">
        <f t="shared" si="1266"/>
        <v/>
      </c>
      <c r="AN1757" s="115"/>
      <c r="AO1757" s="116"/>
      <c r="AP1757" s="116"/>
      <c r="AQ1757" s="116"/>
      <c r="AR1757" s="116"/>
      <c r="AS1757" s="116"/>
      <c r="AT1757" s="116"/>
      <c r="AU1757" s="116"/>
      <c r="AV1757" s="78"/>
      <c r="AW1757" s="102"/>
      <c r="AX1757" s="78"/>
      <c r="AY1757" s="78"/>
      <c r="AZ1757" s="78"/>
      <c r="BA1757" s="78"/>
      <c r="BB1757" s="78"/>
      <c r="BC1757" s="78"/>
      <c r="BD1757" s="78"/>
      <c r="BE1757" s="465"/>
      <c r="BF1757" s="165" t="str">
        <f t="shared" si="1267"/>
        <v>https://www.google.com/search?tbm=isch&amp;q=All%20Hellebores%20are%20clump-forming%20perennials%20with%20leathery%20foliage.%20They%20are%20long-lived%2C%20cold%2Fshade%20tolerant%2C%20and%20bloom%20late%20winter%20to%20spring%20</v>
      </c>
      <c r="BG1757" s="165" t="str">
        <f t="shared" si="1268"/>
        <v>A</v>
      </c>
      <c r="BH1757" s="65"/>
      <c r="BI1757" s="65"/>
      <c r="BJ1757" s="65"/>
      <c r="BK1757" s="65"/>
      <c r="BL1757" s="99"/>
      <c r="BM1757" s="99"/>
      <c r="BN1757" s="99"/>
    </row>
    <row r="1758" spans="1:66" s="51" customFormat="1" ht="18" x14ac:dyDescent="0.25">
      <c r="A1758" s="507" t="s">
        <v>2645</v>
      </c>
      <c r="B1758" s="470"/>
      <c r="C1758" s="706"/>
      <c r="D1758" s="471" t="s">
        <v>5670</v>
      </c>
      <c r="E1758" s="472"/>
      <c r="F1758" s="472"/>
      <c r="G1758" s="472"/>
      <c r="H1758" s="622" t="s">
        <v>1516</v>
      </c>
      <c r="I1758" s="473" t="s">
        <v>2646</v>
      </c>
      <c r="J1758" s="472"/>
      <c r="K1758" s="472"/>
      <c r="L1758" s="561"/>
      <c r="M1758" s="703" t="s">
        <v>5260</v>
      </c>
      <c r="N1758" s="692" t="str">
        <f>IF(AND(ISTEXT($A1758), ISERROR($A1758+0)), HYPERLINK($BF1758, "Images"), "")</f>
        <v>Images</v>
      </c>
      <c r="O1758" s="694" t="s">
        <v>5244</v>
      </c>
      <c r="P1758" s="475"/>
      <c r="Q1758" s="476"/>
      <c r="R1758" s="476"/>
      <c r="S1758" s="477"/>
      <c r="T1758" s="102">
        <f t="shared" si="1256"/>
        <v>0</v>
      </c>
      <c r="U1758" s="78" t="str">
        <f>IF(NOT(ISNUMBER(G1758)), "", VLOOKUP(A1758,'Discount Lookup'!D:E,2,FALSE)*G1758)</f>
        <v/>
      </c>
      <c r="V1758" s="78" t="str">
        <f>IF(NOT(ISNUMBER(G1758)), "", VLOOKUP(A1758,'Discount Lookup'!G:H,2,FALSE)*G1758)</f>
        <v/>
      </c>
      <c r="W1758" s="102">
        <f t="shared" si="1257"/>
        <v>0</v>
      </c>
      <c r="X1758" s="102" t="str">
        <f t="shared" si="1258"/>
        <v>Rose-Pink, darker with age</v>
      </c>
      <c r="Y1758" s="120" t="b">
        <f t="shared" si="1259"/>
        <v>0</v>
      </c>
      <c r="Z1758" s="117">
        <f t="shared" si="1260"/>
        <v>0</v>
      </c>
      <c r="AA1758" s="118"/>
      <c r="AB1758" s="118" t="str">
        <f t="shared" si="1261"/>
        <v/>
      </c>
      <c r="AC1758" s="712" t="str">
        <f>IF(AE1758="T2G","no charge",IF(AND(OR(PlanterYesMe="No",PlanterYesMe="N",PlanterYesMe="me"),H1758=""),"",IF(H1758="credit","NO install",IF(AND(K1758="",AE1758="me"),"EACH row",IF(AND(K1758="images",AE1758="me"),"EACH row",IF(D1758="","",IF(H1758="credit","",IF(AE1758="free","re-planting",IF(AE1758="me","   not ELP, by",IF(AND(OR(PlanterYesMe="Yes",PlanterYesMe="Y"),G1758&gt;0),(VLOOKUP(A1758,'Discount Lookup'!J:K,2)*G1758*(1-PlanterDiscount)*(1+PlanterDifficultyPercentage)),IF(AE1758="ELP",(VLOOKUP(A1758,'Discount Lookup'!J:K,2)*G1758*(1-PlanterDiscount)*(1+PlanterDifficultyPercentage)),IF(AE1758="free","re-planting",IF(G1758=0,"",IF(PlanterYesMe="",IF(AE1758="me","   not ELP, by",IF(AE1758="",IF(G1758&gt;0,(VLOOKUP(A1758,'Discount Lookup'!J:K,2)*G1758*(1-PlanterDiscount)*(1+PlanterDifficultyPercentage)),""),"")),"   not ELP, by"))))))))))))))</f>
        <v/>
      </c>
      <c r="AD1758" s="712"/>
      <c r="AE1758" s="513" t="str">
        <f t="shared" si="1262"/>
        <v/>
      </c>
      <c r="AF1758" s="713" t="str">
        <f t="shared" si="1263"/>
        <v/>
      </c>
      <c r="AG1758" s="713"/>
      <c r="AH1758" s="713"/>
      <c r="AI1758" s="112">
        <f>IF(H1758="credit",0,IF(AE1758="free",0,IF(AE1758="me",0,IF(G1758&gt;0,(VLOOKUP(A1758,'Discount Lookup'!J:K,2)*G1758),0))))</f>
        <v>0</v>
      </c>
      <c r="AJ1758" s="107" t="str">
        <f t="shared" ca="1" si="1264"/>
        <v/>
      </c>
      <c r="AK1758" s="714" t="str">
        <f t="shared" si="1265"/>
        <v/>
      </c>
      <c r="AL1758" s="714"/>
      <c r="AM1758" s="114" t="str">
        <f t="shared" si="1266"/>
        <v/>
      </c>
      <c r="AN1758" s="115"/>
      <c r="AO1758" s="116"/>
      <c r="AP1758" s="116"/>
      <c r="AQ1758" s="116"/>
      <c r="AR1758" s="116"/>
      <c r="AS1758" s="116"/>
      <c r="AT1758" s="116"/>
      <c r="AU1758" s="116"/>
      <c r="AV1758" s="78"/>
      <c r="AW1758" s="102"/>
      <c r="AX1758" s="78"/>
      <c r="AY1758" s="78"/>
      <c r="AZ1758" s="78"/>
      <c r="BA1758" s="78"/>
      <c r="BB1758" s="78"/>
      <c r="BC1758" s="78"/>
      <c r="BD1758" s="78"/>
      <c r="BE1758" s="465"/>
      <c r="BF1758" s="165" t="str">
        <f t="shared" si="1267"/>
        <v>https://www.google.com/search?tbm=isch&amp;q=Helleborus%20x%20glandorfensis%20%27COSEH%204200%27%20PP%2328297%20Ice%20N%27%20Roses%C2%AE%20Rose%20Lenten%20Rose</v>
      </c>
      <c r="BG1758" s="165" t="str">
        <f t="shared" si="1268"/>
        <v>H</v>
      </c>
      <c r="BH1758" s="65"/>
      <c r="BI1758" s="65"/>
      <c r="BJ1758" s="65"/>
      <c r="BK1758" s="65"/>
      <c r="BL1758" s="99"/>
      <c r="BM1758" s="99"/>
      <c r="BN1758" s="99"/>
    </row>
    <row r="1759" spans="1:66" s="51" customFormat="1" ht="15.75" x14ac:dyDescent="0.25">
      <c r="A1759" s="478">
        <v>1</v>
      </c>
      <c r="B1759" s="479" t="s">
        <v>291</v>
      </c>
      <c r="C1759" s="480"/>
      <c r="D1759" s="481" t="s">
        <v>329</v>
      </c>
      <c r="E1759" s="482">
        <v>22.95</v>
      </c>
      <c r="F1759" s="483" t="s">
        <v>292</v>
      </c>
      <c r="G1759" s="484">
        <v>0</v>
      </c>
      <c r="H1759" s="688" t="str">
        <f>IF(G1759=0,"",IF(F1759="Buy",IF(G1759=1,"plant","plants"),IF(F1759&gt;0.01,"warranty","Error")))</f>
        <v/>
      </c>
      <c r="I1759" s="485">
        <f>IF(H1759="free",0,IF(H1759="credit",((E1759*(F1759))*G1759*-1),IF(F1759="Buy",(E1759*G1759),((E1759*(1-F1759))*G1759))))</f>
        <v>0</v>
      </c>
      <c r="J1759" s="485">
        <f>IF(H1759="warranty",0,(I1759*(_xlfn.SINGLE(SalesTaxPercentage))))</f>
        <v>0</v>
      </c>
      <c r="K1759" s="715">
        <f t="shared" ref="K1759" si="1272">I1759+J1759</f>
        <v>0</v>
      </c>
      <c r="L1759" s="715"/>
      <c r="M1759" s="689" t="str">
        <f ca="1">IF(AND(G1759&gt;0,E1759=0),"WARNING - no PRICE inserted",IF(H1759="free","FREE ~ no charge this plant",IF(H1759="credit",CONCATENATE("-$",ROUND(K1759*(1-_xlfn.SINGLE(T2GDiscount))*-1,2)," CREDIT after discount"),IF(_xlfn.SINGLE(T2GDiscount)=0,"",IF(G1759=0,"",IF(F1759="Buy",CONCATENATE("$",ROUND(K1759*(1-_xlfn.SINGLE(T2GDiscount)),2)," with ",(_xlfn.SINGLE(T2GDiscount)*100),"% discount"),CONCATENATE("$",ROUND(K1759*(1-_xlfn.SINGLE(T2GDiscount)),2)," with ",((_xlfn.SINGLE(T2GDiscount)*100+F1759*100)-(_xlfn.SINGLE(T2GDiscount)*100*F1759)),IF(F1759&gt;0,"% discounts",IF(_xlfn.SINGLE(NoWarrantyDiscount)&gt;0,"% discounts","% discount")))))))))</f>
        <v/>
      </c>
      <c r="N1759" s="690"/>
      <c r="O1759" s="486"/>
      <c r="P1759" s="486"/>
      <c r="Q1759" s="486"/>
      <c r="R1759" s="486"/>
      <c r="S1759" s="486"/>
      <c r="T1759" s="102">
        <f t="shared" si="1256"/>
        <v>0</v>
      </c>
      <c r="U1759" s="78">
        <f>IF(NOT(ISNUMBER(G1759)), "", VLOOKUP(A1759,'Discount Lookup'!D:E,2,FALSE)*G1759)</f>
        <v>0</v>
      </c>
      <c r="V1759" s="78">
        <f>IF(NOT(ISNUMBER(G1759)), "", VLOOKUP(A1759,'Discount Lookup'!G:H,2,FALSE)*G1759)</f>
        <v>0</v>
      </c>
      <c r="W1759" s="102">
        <f t="shared" si="1257"/>
        <v>0</v>
      </c>
      <c r="X1759" s="102">
        <f t="shared" si="1258"/>
        <v>0</v>
      </c>
      <c r="Y1759" s="120" t="b">
        <f t="shared" si="1259"/>
        <v>0</v>
      </c>
      <c r="Z1759" s="117">
        <f t="shared" si="1260"/>
        <v>0</v>
      </c>
      <c r="AA1759" s="118"/>
      <c r="AB1759" s="118" t="str">
        <f t="shared" si="1261"/>
        <v/>
      </c>
      <c r="AC1759" s="712" t="str">
        <f>IF(AE1759="T2G","no charge",IF(AND(OR(PlanterYesMe="No",PlanterYesMe="N",PlanterYesMe="me"),H1759=""),"",IF(H1759="credit","NO install",IF(AND(K1759="",AE1759="me"),"EACH row",IF(AND(K1759="images",AE1759="me"),"EACH row",IF(D1759="","",IF(H1759="credit","",IF(AE1759="free","re-planting",IF(AE1759="me","   not ELP, by",IF(AND(OR(PlanterYesMe="Yes",PlanterYesMe="Y"),G1759&gt;0),(VLOOKUP(A1759,'Discount Lookup'!J:K,2)*G1759*(1-PlanterDiscount)*(1+PlanterDifficultyPercentage)),IF(AE1759="ELP",(VLOOKUP(A1759,'Discount Lookup'!J:K,2)*G1759*(1-PlanterDiscount)*(1+PlanterDifficultyPercentage)),IF(AE1759="free","re-planting",IF(G1759=0,"",IF(PlanterYesMe="",IF(AE1759="me","   not ELP, by",IF(AE1759="",IF(G1759&gt;0,(VLOOKUP(A1759,'Discount Lookup'!J:K,2)*G1759*(1-PlanterDiscount)*(1+PlanterDifficultyPercentage)),""),"")),"   not ELP, by"))))))))))))))</f>
        <v/>
      </c>
      <c r="AD1759" s="712"/>
      <c r="AE1759" s="513" t="str">
        <f t="shared" si="1262"/>
        <v/>
      </c>
      <c r="AF1759" s="713" t="str">
        <f t="shared" si="1263"/>
        <v/>
      </c>
      <c r="AG1759" s="713"/>
      <c r="AH1759" s="713"/>
      <c r="AI1759" s="112">
        <f>IF(H1759="credit",0,IF(AE1759="free",0,IF(AE1759="me",0,IF(G1759&gt;0,(VLOOKUP(A1759,'Discount Lookup'!J:K,2)*G1759),0))))</f>
        <v>0</v>
      </c>
      <c r="AJ1759" s="107" t="str">
        <f t="shared" ca="1" si="1264"/>
        <v/>
      </c>
      <c r="AK1759" s="714" t="str">
        <f t="shared" si="1265"/>
        <v/>
      </c>
      <c r="AL1759" s="714"/>
      <c r="AM1759" s="114" t="str">
        <f t="shared" si="1266"/>
        <v/>
      </c>
      <c r="AN1759" s="115"/>
      <c r="AO1759" s="116"/>
      <c r="AP1759" s="116"/>
      <c r="AQ1759" s="116"/>
      <c r="AR1759" s="116"/>
      <c r="AS1759" s="116"/>
      <c r="AT1759" s="116"/>
      <c r="AU1759" s="116"/>
      <c r="AV1759" s="78"/>
      <c r="AW1759" s="102"/>
      <c r="AX1759" s="78"/>
      <c r="AY1759" s="78"/>
      <c r="AZ1759" s="78"/>
      <c r="BA1759" s="78"/>
      <c r="BB1759" s="78"/>
      <c r="BC1759" s="78"/>
      <c r="BD1759" s="78"/>
      <c r="BE1759" s="465"/>
      <c r="BF1759" s="165" t="str">
        <f t="shared" si="1267"/>
        <v>https://www.google.com/search?tbm=isch&amp;q=1%20G2</v>
      </c>
      <c r="BG1759" s="165" t="str">
        <f t="shared" si="1268"/>
        <v>H</v>
      </c>
      <c r="BH1759" s="65"/>
      <c r="BI1759" s="65"/>
      <c r="BJ1759" s="65"/>
      <c r="BK1759" s="65"/>
      <c r="BL1759" s="99"/>
      <c r="BM1759" s="99"/>
      <c r="BN1759" s="99"/>
    </row>
    <row r="1760" spans="1:66" s="51" customFormat="1" ht="16.5" thickBot="1" x14ac:dyDescent="0.3">
      <c r="A1760" s="508" t="s">
        <v>2633</v>
      </c>
      <c r="B1760" s="487"/>
      <c r="C1760" s="707"/>
      <c r="D1760" s="487"/>
      <c r="E1760" s="487"/>
      <c r="F1760" s="488"/>
      <c r="G1760" s="489"/>
      <c r="H1760" s="487"/>
      <c r="I1760" s="490"/>
      <c r="J1760" s="490"/>
      <c r="K1760" s="491"/>
      <c r="L1760" s="547"/>
      <c r="M1760" s="528"/>
      <c r="N1760" s="492"/>
      <c r="O1760" s="493"/>
      <c r="P1760" s="494"/>
      <c r="Q1760" s="492"/>
      <c r="R1760" s="492"/>
      <c r="S1760" s="699" t="s">
        <v>5259</v>
      </c>
      <c r="T1760" s="102">
        <f t="shared" si="1256"/>
        <v>0</v>
      </c>
      <c r="U1760" s="78" t="str">
        <f>IF(NOT(ISNUMBER(G1760)), "", VLOOKUP(A1760,'Discount Lookup'!D:E,2,FALSE)*G1760)</f>
        <v/>
      </c>
      <c r="V1760" s="78" t="str">
        <f>IF(NOT(ISNUMBER(G1760)), "", VLOOKUP(A1760,'Discount Lookup'!G:H,2,FALSE)*G1760)</f>
        <v/>
      </c>
      <c r="W1760" s="102">
        <f t="shared" si="1257"/>
        <v>0</v>
      </c>
      <c r="X1760" s="102">
        <f t="shared" si="1258"/>
        <v>0</v>
      </c>
      <c r="Y1760" s="120" t="b">
        <f t="shared" si="1259"/>
        <v>0</v>
      </c>
      <c r="Z1760" s="117">
        <f t="shared" si="1260"/>
        <v>0</v>
      </c>
      <c r="AA1760" s="118"/>
      <c r="AB1760" s="118" t="str">
        <f t="shared" si="1261"/>
        <v/>
      </c>
      <c r="AC1760" s="712" t="str">
        <f>IF(AE1760="T2G","no charge",IF(AND(OR(PlanterYesMe="No",PlanterYesMe="N",PlanterYesMe="me"),H1760=""),"",IF(H1760="credit","NO install",IF(AND(K1760="",AE1760="me"),"EACH row",IF(AND(K1760="images",AE1760="me"),"EACH row",IF(D1760="","",IF(H1760="credit","",IF(AE1760="free","re-planting",IF(AE1760="me","   not ELP, by",IF(AND(OR(PlanterYesMe="Yes",PlanterYesMe="Y"),G1760&gt;0),(VLOOKUP(A1760,'Discount Lookup'!J:K,2)*G1760*(1-PlanterDiscount)*(1+PlanterDifficultyPercentage)),IF(AE1760="ELP",(VLOOKUP(A1760,'Discount Lookup'!J:K,2)*G1760*(1-PlanterDiscount)*(1+PlanterDifficultyPercentage)),IF(AE1760="free","re-planting",IF(G1760=0,"",IF(PlanterYesMe="",IF(AE1760="me","   not ELP, by",IF(AE1760="",IF(G1760&gt;0,(VLOOKUP(A1760,'Discount Lookup'!J:K,2)*G1760*(1-PlanterDiscount)*(1+PlanterDifficultyPercentage)),""),"")),"   not ELP, by"))))))))))))))</f>
        <v/>
      </c>
      <c r="AD1760" s="712"/>
      <c r="AE1760" s="513" t="str">
        <f t="shared" si="1262"/>
        <v/>
      </c>
      <c r="AF1760" s="713" t="str">
        <f t="shared" si="1263"/>
        <v/>
      </c>
      <c r="AG1760" s="713"/>
      <c r="AH1760" s="713"/>
      <c r="AI1760" s="112">
        <f>IF(H1760="credit",0,IF(AE1760="free",0,IF(AE1760="me",0,IF(G1760&gt;0,(VLOOKUP(A1760,'Discount Lookup'!J:K,2)*G1760),0))))</f>
        <v>0</v>
      </c>
      <c r="AJ1760" s="107" t="str">
        <f t="shared" ca="1" si="1264"/>
        <v/>
      </c>
      <c r="AK1760" s="714" t="str">
        <f t="shared" si="1265"/>
        <v/>
      </c>
      <c r="AL1760" s="714"/>
      <c r="AM1760" s="114" t="str">
        <f t="shared" si="1266"/>
        <v/>
      </c>
      <c r="AN1760" s="115"/>
      <c r="AO1760" s="116"/>
      <c r="AP1760" s="116"/>
      <c r="AQ1760" s="116"/>
      <c r="AR1760" s="116"/>
      <c r="AS1760" s="116"/>
      <c r="AT1760" s="116"/>
      <c r="AU1760" s="116"/>
      <c r="AV1760" s="78"/>
      <c r="AW1760" s="102"/>
      <c r="AX1760" s="78"/>
      <c r="AY1760" s="78"/>
      <c r="AZ1760" s="78"/>
      <c r="BA1760" s="78"/>
      <c r="BB1760" s="78"/>
      <c r="BC1760" s="78"/>
      <c r="BD1760" s="78"/>
      <c r="BE1760" s="465"/>
      <c r="BF1760" s="165" t="str">
        <f t="shared" si="1267"/>
        <v>https://www.google.com/search?tbm=isch&amp;q=All%20Hellebores%20are%20clump-forming%20perennials%20with%20leathery%20foliage.%20They%20are%20long-lived%2C%20cold%2Fshade%20tolerant%2C%20and%20bloom%20late%20winter%20to%20spring%20</v>
      </c>
      <c r="BG1760" s="165" t="str">
        <f t="shared" si="1268"/>
        <v>A</v>
      </c>
      <c r="BH1760" s="65"/>
      <c r="BI1760" s="65"/>
      <c r="BJ1760" s="65"/>
      <c r="BK1760" s="65"/>
      <c r="BL1760" s="99"/>
      <c r="BM1760" s="99"/>
      <c r="BN1760" s="99"/>
    </row>
    <row r="1761" spans="1:66" s="51" customFormat="1" ht="18" x14ac:dyDescent="0.25">
      <c r="A1761" s="507" t="s">
        <v>2647</v>
      </c>
      <c r="B1761" s="470"/>
      <c r="C1761" s="706"/>
      <c r="D1761" s="471" t="s">
        <v>5671</v>
      </c>
      <c r="E1761" s="472"/>
      <c r="F1761" s="472"/>
      <c r="G1761" s="472"/>
      <c r="H1761" s="622" t="s">
        <v>1516</v>
      </c>
      <c r="I1761" s="473" t="s">
        <v>2648</v>
      </c>
      <c r="J1761" s="472"/>
      <c r="K1761" s="472"/>
      <c r="L1761" s="561"/>
      <c r="M1761" s="703" t="s">
        <v>5260</v>
      </c>
      <c r="N1761" s="692" t="str">
        <f>IF(AND(ISTEXT($A1761), ISERROR($A1761+0)), HYPERLINK($BF1761, "Images"), "")</f>
        <v>Images</v>
      </c>
      <c r="O1761" s="694" t="s">
        <v>5244</v>
      </c>
      <c r="P1761" s="475"/>
      <c r="Q1761" s="476"/>
      <c r="R1761" s="476"/>
      <c r="S1761" s="477"/>
      <c r="T1761" s="102">
        <f t="shared" si="1256"/>
        <v>0</v>
      </c>
      <c r="U1761" s="78" t="str">
        <f>IF(NOT(ISNUMBER(G1761)), "", VLOOKUP(A1761,'Discount Lookup'!D:E,2,FALSE)*G1761)</f>
        <v/>
      </c>
      <c r="V1761" s="78" t="str">
        <f>IF(NOT(ISNUMBER(G1761)), "", VLOOKUP(A1761,'Discount Lookup'!G:H,2,FALSE)*G1761)</f>
        <v/>
      </c>
      <c r="W1761" s="102">
        <f t="shared" si="1257"/>
        <v>0</v>
      </c>
      <c r="X1761" s="102" t="str">
        <f t="shared" si="1258"/>
        <v>Deep Crimson bloom</v>
      </c>
      <c r="Y1761" s="120" t="b">
        <f t="shared" si="1259"/>
        <v>0</v>
      </c>
      <c r="Z1761" s="117">
        <f t="shared" si="1260"/>
        <v>0</v>
      </c>
      <c r="AA1761" s="118"/>
      <c r="AB1761" s="118" t="str">
        <f t="shared" si="1261"/>
        <v/>
      </c>
      <c r="AC1761" s="712" t="str">
        <f>IF(AE1761="T2G","no charge",IF(AND(OR(PlanterYesMe="No",PlanterYesMe="N",PlanterYesMe="me"),H1761=""),"",IF(H1761="credit","NO install",IF(AND(K1761="",AE1761="me"),"EACH row",IF(AND(K1761="images",AE1761="me"),"EACH row",IF(D1761="","",IF(H1761="credit","",IF(AE1761="free","re-planting",IF(AE1761="me","   not ELP, by",IF(AND(OR(PlanterYesMe="Yes",PlanterYesMe="Y"),G1761&gt;0),(VLOOKUP(A1761,'Discount Lookup'!J:K,2)*G1761*(1-PlanterDiscount)*(1+PlanterDifficultyPercentage)),IF(AE1761="ELP",(VLOOKUP(A1761,'Discount Lookup'!J:K,2)*G1761*(1-PlanterDiscount)*(1+PlanterDifficultyPercentage)),IF(AE1761="free","re-planting",IF(G1761=0,"",IF(PlanterYesMe="",IF(AE1761="me","   not ELP, by",IF(AE1761="",IF(G1761&gt;0,(VLOOKUP(A1761,'Discount Lookup'!J:K,2)*G1761*(1-PlanterDiscount)*(1+PlanterDifficultyPercentage)),""),"")),"   not ELP, by"))))))))))))))</f>
        <v/>
      </c>
      <c r="AD1761" s="712"/>
      <c r="AE1761" s="513" t="str">
        <f t="shared" si="1262"/>
        <v/>
      </c>
      <c r="AF1761" s="713" t="str">
        <f t="shared" si="1263"/>
        <v/>
      </c>
      <c r="AG1761" s="713"/>
      <c r="AH1761" s="713"/>
      <c r="AI1761" s="112">
        <f>IF(H1761="credit",0,IF(AE1761="free",0,IF(AE1761="me",0,IF(G1761&gt;0,(VLOOKUP(A1761,'Discount Lookup'!J:K,2)*G1761),0))))</f>
        <v>0</v>
      </c>
      <c r="AJ1761" s="107" t="str">
        <f t="shared" ca="1" si="1264"/>
        <v/>
      </c>
      <c r="AK1761" s="714" t="str">
        <f t="shared" si="1265"/>
        <v/>
      </c>
      <c r="AL1761" s="714"/>
      <c r="AM1761" s="114" t="str">
        <f t="shared" si="1266"/>
        <v/>
      </c>
      <c r="AN1761" s="115"/>
      <c r="AO1761" s="116"/>
      <c r="AP1761" s="116"/>
      <c r="AQ1761" s="116"/>
      <c r="AR1761" s="116"/>
      <c r="AS1761" s="116"/>
      <c r="AT1761" s="116"/>
      <c r="AU1761" s="116"/>
      <c r="AV1761" s="78"/>
      <c r="AW1761" s="102"/>
      <c r="AX1761" s="78"/>
      <c r="AY1761" s="78"/>
      <c r="AZ1761" s="78"/>
      <c r="BA1761" s="78"/>
      <c r="BB1761" s="78"/>
      <c r="BC1761" s="78"/>
      <c r="BD1761" s="78"/>
      <c r="BE1761" s="465"/>
      <c r="BF1761" s="165" t="str">
        <f t="shared" si="1267"/>
        <v>https://www.google.com/search?tbm=isch&amp;q=Helleborus%20x%20glandorfensis%20%27COSEH%204800%27%20PP%2328296%20Ice%20N%27%20Roses%C2%AE%20Red%20Lenten%20Rose</v>
      </c>
      <c r="BG1761" s="165" t="str">
        <f t="shared" si="1268"/>
        <v>H</v>
      </c>
      <c r="BH1761" s="65"/>
      <c r="BI1761" s="65"/>
      <c r="BJ1761" s="65"/>
      <c r="BK1761" s="65"/>
      <c r="BL1761" s="99"/>
      <c r="BM1761" s="99"/>
      <c r="BN1761" s="99"/>
    </row>
    <row r="1762" spans="1:66" s="51" customFormat="1" ht="15.75" x14ac:dyDescent="0.25">
      <c r="A1762" s="478">
        <v>2</v>
      </c>
      <c r="B1762" s="479" t="s">
        <v>291</v>
      </c>
      <c r="C1762" s="480" t="s">
        <v>4976</v>
      </c>
      <c r="D1762" s="481" t="s">
        <v>293</v>
      </c>
      <c r="E1762" s="482">
        <v>65.95</v>
      </c>
      <c r="F1762" s="483" t="s">
        <v>292</v>
      </c>
      <c r="G1762" s="484">
        <v>0</v>
      </c>
      <c r="H1762" s="688" t="str">
        <f>IF(G1762=0,"",IF(F1762="Buy",IF(G1762=1,"plant","plants"),IF(F1762&gt;0.01,"warranty","Error")))</f>
        <v/>
      </c>
      <c r="I1762" s="485">
        <f>IF(H1762="free",0,IF(H1762="credit",((E1762*(F1762))*G1762*-1),IF(F1762="Buy",(E1762*G1762),((E1762*(1-F1762))*G1762))))</f>
        <v>0</v>
      </c>
      <c r="J1762" s="485">
        <f>IF(H1762="warranty",0,(I1762*(_xlfn.SINGLE(SalesTaxPercentage))))</f>
        <v>0</v>
      </c>
      <c r="K1762" s="715">
        <f t="shared" ref="K1762" si="1273">I1762+J1762</f>
        <v>0</v>
      </c>
      <c r="L1762" s="715"/>
      <c r="M1762" s="689" t="str">
        <f ca="1">IF(AND(G1762&gt;0,E1762=0),"WARNING - no PRICE inserted",IF(H1762="free","FREE ~ no charge this plant",IF(H1762="credit",CONCATENATE("-$",ROUND(K1762*(1-_xlfn.SINGLE(T2GDiscount))*-1,2)," CREDIT after discount"),IF(_xlfn.SINGLE(T2GDiscount)=0,"",IF(G1762=0,"",IF(F1762="Buy",CONCATENATE("$",ROUND(K1762*(1-_xlfn.SINGLE(T2GDiscount)),2)," with ",(_xlfn.SINGLE(T2GDiscount)*100),"% discount"),CONCATENATE("$",ROUND(K1762*(1-_xlfn.SINGLE(T2GDiscount)),2)," with ",((_xlfn.SINGLE(T2GDiscount)*100+F1762*100)-(_xlfn.SINGLE(T2GDiscount)*100*F1762)),IF(F1762&gt;0,"% discounts",IF(_xlfn.SINGLE(NoWarrantyDiscount)&gt;0,"% discounts","% discount")))))))))</f>
        <v/>
      </c>
      <c r="N1762" s="690"/>
      <c r="O1762" s="486"/>
      <c r="P1762" s="486"/>
      <c r="Q1762" s="486"/>
      <c r="R1762" s="486"/>
      <c r="S1762" s="486"/>
      <c r="T1762" s="102">
        <f t="shared" si="1256"/>
        <v>0</v>
      </c>
      <c r="U1762" s="78">
        <f>IF(NOT(ISNUMBER(G1762)), "", VLOOKUP(A1762,'Discount Lookup'!D:E,2,FALSE)*G1762)</f>
        <v>0</v>
      </c>
      <c r="V1762" s="78">
        <f>IF(NOT(ISNUMBER(G1762)), "", VLOOKUP(A1762,'Discount Lookup'!G:H,2,FALSE)*G1762)</f>
        <v>0</v>
      </c>
      <c r="W1762" s="102">
        <f t="shared" si="1257"/>
        <v>0</v>
      </c>
      <c r="X1762" s="102">
        <f t="shared" si="1258"/>
        <v>0</v>
      </c>
      <c r="Y1762" s="120" t="b">
        <f t="shared" si="1259"/>
        <v>0</v>
      </c>
      <c r="Z1762" s="117">
        <f t="shared" si="1260"/>
        <v>0</v>
      </c>
      <c r="AA1762" s="118"/>
      <c r="AB1762" s="118" t="str">
        <f t="shared" si="1261"/>
        <v/>
      </c>
      <c r="AC1762" s="712" t="str">
        <f>IF(AE1762="T2G","no charge",IF(AND(OR(PlanterYesMe="No",PlanterYesMe="N",PlanterYesMe="me"),H1762=""),"",IF(H1762="credit","NO install",IF(AND(K1762="",AE1762="me"),"EACH row",IF(AND(K1762="images",AE1762="me"),"EACH row",IF(D1762="","",IF(H1762="credit","",IF(AE1762="free","re-planting",IF(AE1762="me","   not ELP, by",IF(AND(OR(PlanterYesMe="Yes",PlanterYesMe="Y"),G1762&gt;0),(VLOOKUP(A1762,'Discount Lookup'!J:K,2)*G1762*(1-PlanterDiscount)*(1+PlanterDifficultyPercentage)),IF(AE1762="ELP",(VLOOKUP(A1762,'Discount Lookup'!J:K,2)*G1762*(1-PlanterDiscount)*(1+PlanterDifficultyPercentage)),IF(AE1762="free","re-planting",IF(G1762=0,"",IF(PlanterYesMe="",IF(AE1762="me","   not ELP, by",IF(AE1762="",IF(G1762&gt;0,(VLOOKUP(A1762,'Discount Lookup'!J:K,2)*G1762*(1-PlanterDiscount)*(1+PlanterDifficultyPercentage)),""),"")),"   not ELP, by"))))))))))))))</f>
        <v/>
      </c>
      <c r="AD1762" s="712"/>
      <c r="AE1762" s="513" t="str">
        <f t="shared" si="1262"/>
        <v/>
      </c>
      <c r="AF1762" s="713" t="str">
        <f t="shared" si="1263"/>
        <v/>
      </c>
      <c r="AG1762" s="713"/>
      <c r="AH1762" s="713"/>
      <c r="AI1762" s="112">
        <f>IF(H1762="credit",0,IF(AE1762="free",0,IF(AE1762="me",0,IF(G1762&gt;0,(VLOOKUP(A1762,'Discount Lookup'!J:K,2)*G1762),0))))</f>
        <v>0</v>
      </c>
      <c r="AJ1762" s="107" t="str">
        <f t="shared" ca="1" si="1264"/>
        <v/>
      </c>
      <c r="AK1762" s="714" t="str">
        <f t="shared" si="1265"/>
        <v/>
      </c>
      <c r="AL1762" s="714"/>
      <c r="AM1762" s="114" t="str">
        <f t="shared" si="1266"/>
        <v/>
      </c>
      <c r="AN1762" s="115"/>
      <c r="AO1762" s="116"/>
      <c r="AP1762" s="116"/>
      <c r="AQ1762" s="116"/>
      <c r="AR1762" s="116"/>
      <c r="AS1762" s="116"/>
      <c r="AT1762" s="116"/>
      <c r="AU1762" s="116"/>
      <c r="AV1762" s="78"/>
      <c r="AW1762" s="102"/>
      <c r="AX1762" s="78"/>
      <c r="AY1762" s="78"/>
      <c r="AZ1762" s="78"/>
      <c r="BA1762" s="78"/>
      <c r="BB1762" s="78"/>
      <c r="BC1762" s="78"/>
      <c r="BD1762" s="78"/>
      <c r="BE1762" s="465"/>
      <c r="BF1762" s="165" t="str">
        <f t="shared" si="1267"/>
        <v>https://www.google.com/search?tbm=isch&amp;q=2%20G6</v>
      </c>
      <c r="BG1762" s="165" t="str">
        <f t="shared" si="1268"/>
        <v>H</v>
      </c>
      <c r="BH1762" s="65"/>
      <c r="BI1762" s="65"/>
      <c r="BJ1762" s="65"/>
      <c r="BK1762" s="65"/>
      <c r="BL1762" s="99"/>
      <c r="BM1762" s="99"/>
      <c r="BN1762" s="99"/>
    </row>
    <row r="1763" spans="1:66" s="51" customFormat="1" ht="16.5" thickBot="1" x14ac:dyDescent="0.3">
      <c r="A1763" s="508" t="s">
        <v>2633</v>
      </c>
      <c r="B1763" s="487"/>
      <c r="C1763" s="707"/>
      <c r="D1763" s="487"/>
      <c r="E1763" s="487"/>
      <c r="F1763" s="488"/>
      <c r="G1763" s="489"/>
      <c r="H1763" s="487"/>
      <c r="I1763" s="490"/>
      <c r="J1763" s="490"/>
      <c r="K1763" s="491"/>
      <c r="L1763" s="547"/>
      <c r="M1763" s="528"/>
      <c r="N1763" s="492"/>
      <c r="O1763" s="493"/>
      <c r="P1763" s="494"/>
      <c r="Q1763" s="492"/>
      <c r="R1763" s="492"/>
      <c r="S1763" s="699" t="s">
        <v>5259</v>
      </c>
      <c r="T1763" s="102">
        <f t="shared" si="1256"/>
        <v>0</v>
      </c>
      <c r="U1763" s="78" t="str">
        <f>IF(NOT(ISNUMBER(G1763)), "", VLOOKUP(A1763,'Discount Lookup'!D:E,2,FALSE)*G1763)</f>
        <v/>
      </c>
      <c r="V1763" s="78" t="str">
        <f>IF(NOT(ISNUMBER(G1763)), "", VLOOKUP(A1763,'Discount Lookup'!G:H,2,FALSE)*G1763)</f>
        <v/>
      </c>
      <c r="W1763" s="102">
        <f t="shared" si="1257"/>
        <v>0</v>
      </c>
      <c r="X1763" s="102">
        <f t="shared" si="1258"/>
        <v>0</v>
      </c>
      <c r="Y1763" s="120" t="b">
        <f t="shared" si="1259"/>
        <v>0</v>
      </c>
      <c r="Z1763" s="117">
        <f t="shared" si="1260"/>
        <v>0</v>
      </c>
      <c r="AA1763" s="118"/>
      <c r="AB1763" s="118" t="str">
        <f t="shared" si="1261"/>
        <v/>
      </c>
      <c r="AC1763" s="712" t="str">
        <f>IF(AE1763="T2G","no charge",IF(AND(OR(PlanterYesMe="No",PlanterYesMe="N",PlanterYesMe="me"),H1763=""),"",IF(H1763="credit","NO install",IF(AND(K1763="",AE1763="me"),"EACH row",IF(AND(K1763="images",AE1763="me"),"EACH row",IF(D1763="","",IF(H1763="credit","",IF(AE1763="free","re-planting",IF(AE1763="me","   not ELP, by",IF(AND(OR(PlanterYesMe="Yes",PlanterYesMe="Y"),G1763&gt;0),(VLOOKUP(A1763,'Discount Lookup'!J:K,2)*G1763*(1-PlanterDiscount)*(1+PlanterDifficultyPercentage)),IF(AE1763="ELP",(VLOOKUP(A1763,'Discount Lookup'!J:K,2)*G1763*(1-PlanterDiscount)*(1+PlanterDifficultyPercentage)),IF(AE1763="free","re-planting",IF(G1763=0,"",IF(PlanterYesMe="",IF(AE1763="me","   not ELP, by",IF(AE1763="",IF(G1763&gt;0,(VLOOKUP(A1763,'Discount Lookup'!J:K,2)*G1763*(1-PlanterDiscount)*(1+PlanterDifficultyPercentage)),""),"")),"   not ELP, by"))))))))))))))</f>
        <v/>
      </c>
      <c r="AD1763" s="712"/>
      <c r="AE1763" s="513" t="str">
        <f t="shared" si="1262"/>
        <v/>
      </c>
      <c r="AF1763" s="713" t="str">
        <f t="shared" si="1263"/>
        <v/>
      </c>
      <c r="AG1763" s="713"/>
      <c r="AH1763" s="713"/>
      <c r="AI1763" s="112">
        <f>IF(H1763="credit",0,IF(AE1763="free",0,IF(AE1763="me",0,IF(G1763&gt;0,(VLOOKUP(A1763,'Discount Lookup'!J:K,2)*G1763),0))))</f>
        <v>0</v>
      </c>
      <c r="AJ1763" s="107" t="str">
        <f t="shared" ca="1" si="1264"/>
        <v/>
      </c>
      <c r="AK1763" s="714" t="str">
        <f t="shared" si="1265"/>
        <v/>
      </c>
      <c r="AL1763" s="714"/>
      <c r="AM1763" s="114" t="str">
        <f t="shared" si="1266"/>
        <v/>
      </c>
      <c r="AN1763" s="115"/>
      <c r="AO1763" s="116"/>
      <c r="AP1763" s="116"/>
      <c r="AQ1763" s="116"/>
      <c r="AR1763" s="116"/>
      <c r="AS1763" s="116"/>
      <c r="AT1763" s="116"/>
      <c r="AU1763" s="116"/>
      <c r="AV1763" s="78"/>
      <c r="AW1763" s="102"/>
      <c r="AX1763" s="78"/>
      <c r="AY1763" s="78"/>
      <c r="AZ1763" s="78"/>
      <c r="BA1763" s="78"/>
      <c r="BB1763" s="78"/>
      <c r="BC1763" s="78"/>
      <c r="BD1763" s="78"/>
      <c r="BE1763" s="465"/>
      <c r="BF1763" s="165" t="str">
        <f t="shared" si="1267"/>
        <v>https://www.google.com/search?tbm=isch&amp;q=All%20Hellebores%20are%20clump-forming%20perennials%20with%20leathery%20foliage.%20They%20are%20long-lived%2C%20cold%2Fshade%20tolerant%2C%20and%20bloom%20late%20winter%20to%20spring%20</v>
      </c>
      <c r="BG1763" s="165" t="str">
        <f t="shared" si="1268"/>
        <v>A</v>
      </c>
      <c r="BH1763" s="65"/>
      <c r="BI1763" s="65"/>
      <c r="BJ1763" s="65"/>
      <c r="BK1763" s="65"/>
      <c r="BL1763" s="99"/>
      <c r="BM1763" s="99"/>
      <c r="BN1763" s="99"/>
    </row>
    <row r="1764" spans="1:66" s="51" customFormat="1" ht="18" x14ac:dyDescent="0.25">
      <c r="A1764" s="507" t="s">
        <v>2649</v>
      </c>
      <c r="B1764" s="470"/>
      <c r="C1764" s="706"/>
      <c r="D1764" s="471" t="s">
        <v>5672</v>
      </c>
      <c r="E1764" s="472"/>
      <c r="F1764" s="472"/>
      <c r="G1764" s="472"/>
      <c r="H1764" s="622" t="s">
        <v>1516</v>
      </c>
      <c r="I1764" s="473" t="s">
        <v>2650</v>
      </c>
      <c r="J1764" s="472"/>
      <c r="K1764" s="472"/>
      <c r="L1764" s="561"/>
      <c r="M1764" s="703" t="s">
        <v>5260</v>
      </c>
      <c r="N1764" s="692" t="str">
        <f>IF(AND(ISTEXT($A1764), ISERROR($A1764+0)), HYPERLINK($BF1764, "Images"), "")</f>
        <v>Images</v>
      </c>
      <c r="O1764" s="694" t="s">
        <v>5244</v>
      </c>
      <c r="P1764" s="475"/>
      <c r="Q1764" s="476"/>
      <c r="R1764" s="476"/>
      <c r="S1764" s="477"/>
      <c r="T1764" s="102">
        <f t="shared" si="1256"/>
        <v>0</v>
      </c>
      <c r="U1764" s="78" t="str">
        <f>IF(NOT(ISNUMBER(G1764)), "", VLOOKUP(A1764,'Discount Lookup'!D:E,2,FALSE)*G1764)</f>
        <v/>
      </c>
      <c r="V1764" s="78" t="str">
        <f>IF(NOT(ISNUMBER(G1764)), "", VLOOKUP(A1764,'Discount Lookup'!G:H,2,FALSE)*G1764)</f>
        <v/>
      </c>
      <c r="W1764" s="102">
        <f t="shared" si="1257"/>
        <v>0</v>
      </c>
      <c r="X1764" s="102" t="str">
        <f t="shared" si="1258"/>
        <v>White bloom, Burgundy edge</v>
      </c>
      <c r="Y1764" s="120" t="b">
        <f t="shared" si="1259"/>
        <v>0</v>
      </c>
      <c r="Z1764" s="117">
        <f t="shared" si="1260"/>
        <v>0</v>
      </c>
      <c r="AA1764" s="118"/>
      <c r="AB1764" s="118" t="str">
        <f t="shared" si="1261"/>
        <v/>
      </c>
      <c r="AC1764" s="712" t="str">
        <f>IF(AE1764="T2G","no charge",IF(AND(OR(PlanterYesMe="No",PlanterYesMe="N",PlanterYesMe="me"),H1764=""),"",IF(H1764="credit","NO install",IF(AND(K1764="",AE1764="me"),"EACH row",IF(AND(K1764="images",AE1764="me"),"EACH row",IF(D1764="","",IF(H1764="credit","",IF(AE1764="free","re-planting",IF(AE1764="me","   not ELP, by",IF(AND(OR(PlanterYesMe="Yes",PlanterYesMe="Y"),G1764&gt;0),(VLOOKUP(A1764,'Discount Lookup'!J:K,2)*G1764*(1-PlanterDiscount)*(1+PlanterDifficultyPercentage)),IF(AE1764="ELP",(VLOOKUP(A1764,'Discount Lookup'!J:K,2)*G1764*(1-PlanterDiscount)*(1+PlanterDifficultyPercentage)),IF(AE1764="free","re-planting",IF(G1764=0,"",IF(PlanterYesMe="",IF(AE1764="me","   not ELP, by",IF(AE1764="",IF(G1764&gt;0,(VLOOKUP(A1764,'Discount Lookup'!J:K,2)*G1764*(1-PlanterDiscount)*(1+PlanterDifficultyPercentage)),""),"")),"   not ELP, by"))))))))))))))</f>
        <v/>
      </c>
      <c r="AD1764" s="712"/>
      <c r="AE1764" s="513" t="str">
        <f t="shared" si="1262"/>
        <v/>
      </c>
      <c r="AF1764" s="713" t="str">
        <f t="shared" si="1263"/>
        <v/>
      </c>
      <c r="AG1764" s="713"/>
      <c r="AH1764" s="713"/>
      <c r="AI1764" s="112">
        <f>IF(H1764="credit",0,IF(AE1764="free",0,IF(AE1764="me",0,IF(G1764&gt;0,(VLOOKUP(A1764,'Discount Lookup'!J:K,2)*G1764),0))))</f>
        <v>0</v>
      </c>
      <c r="AJ1764" s="107" t="str">
        <f t="shared" ca="1" si="1264"/>
        <v/>
      </c>
      <c r="AK1764" s="714" t="str">
        <f t="shared" si="1265"/>
        <v/>
      </c>
      <c r="AL1764" s="714"/>
      <c r="AM1764" s="114" t="str">
        <f t="shared" si="1266"/>
        <v/>
      </c>
      <c r="AN1764" s="115"/>
      <c r="AO1764" s="116"/>
      <c r="AP1764" s="116"/>
      <c r="AQ1764" s="116"/>
      <c r="AR1764" s="116"/>
      <c r="AS1764" s="116"/>
      <c r="AT1764" s="116"/>
      <c r="AU1764" s="116"/>
      <c r="AV1764" s="78"/>
      <c r="AW1764" s="102"/>
      <c r="AX1764" s="78"/>
      <c r="AY1764" s="78"/>
      <c r="AZ1764" s="78"/>
      <c r="BA1764" s="78"/>
      <c r="BB1764" s="78"/>
      <c r="BC1764" s="78"/>
      <c r="BD1764" s="78"/>
      <c r="BE1764" s="465"/>
      <c r="BF1764" s="165" t="str">
        <f t="shared" si="1267"/>
        <v>https://www.google.com/search?tbm=isch&amp;q=Helleborus%20x%20glandorfensis%20%27COSEH%205100%27%20Ice%20N%27%20Roses%C2%AE%20Dark%20Picotee%20Lenten%20Rose</v>
      </c>
      <c r="BG1764" s="165" t="str">
        <f t="shared" si="1268"/>
        <v>H</v>
      </c>
      <c r="BH1764" s="65"/>
      <c r="BI1764" s="65"/>
      <c r="BJ1764" s="65"/>
      <c r="BK1764" s="65"/>
      <c r="BL1764" s="99"/>
      <c r="BM1764" s="99"/>
      <c r="BN1764" s="99"/>
    </row>
    <row r="1765" spans="1:66" s="51" customFormat="1" ht="15.75" x14ac:dyDescent="0.25">
      <c r="A1765" s="478">
        <v>2</v>
      </c>
      <c r="B1765" s="479" t="s">
        <v>291</v>
      </c>
      <c r="C1765" s="480" t="s">
        <v>4977</v>
      </c>
      <c r="D1765" s="481" t="s">
        <v>293</v>
      </c>
      <c r="E1765" s="482">
        <v>65.95</v>
      </c>
      <c r="F1765" s="483" t="s">
        <v>292</v>
      </c>
      <c r="G1765" s="484">
        <v>0</v>
      </c>
      <c r="H1765" s="688" t="str">
        <f>IF(G1765=0,"",IF(F1765="Buy",IF(G1765=1,"plant","plants"),IF(F1765&gt;0.01,"warranty","Error")))</f>
        <v/>
      </c>
      <c r="I1765" s="485">
        <f>IF(H1765="free",0,IF(H1765="credit",((E1765*(F1765))*G1765*-1),IF(F1765="Buy",(E1765*G1765),((E1765*(1-F1765))*G1765))))</f>
        <v>0</v>
      </c>
      <c r="J1765" s="485">
        <f>IF(H1765="warranty",0,(I1765*(_xlfn.SINGLE(SalesTaxPercentage))))</f>
        <v>0</v>
      </c>
      <c r="K1765" s="715">
        <f t="shared" ref="K1765" si="1274">I1765+J1765</f>
        <v>0</v>
      </c>
      <c r="L1765" s="715"/>
      <c r="M1765" s="689" t="str">
        <f ca="1">IF(AND(G1765&gt;0,E1765=0),"WARNING - no PRICE inserted",IF(H1765="free","FREE ~ no charge this plant",IF(H1765="credit",CONCATENATE("-$",ROUND(K1765*(1-_xlfn.SINGLE(T2GDiscount))*-1,2)," CREDIT after discount"),IF(_xlfn.SINGLE(T2GDiscount)=0,"",IF(G1765=0,"",IF(F1765="Buy",CONCATENATE("$",ROUND(K1765*(1-_xlfn.SINGLE(T2GDiscount)),2)," with ",(_xlfn.SINGLE(T2GDiscount)*100),"% discount"),CONCATENATE("$",ROUND(K1765*(1-_xlfn.SINGLE(T2GDiscount)),2)," with ",((_xlfn.SINGLE(T2GDiscount)*100+F1765*100)-(_xlfn.SINGLE(T2GDiscount)*100*F1765)),IF(F1765&gt;0,"% discounts",IF(_xlfn.SINGLE(NoWarrantyDiscount)&gt;0,"% discounts","% discount")))))))))</f>
        <v/>
      </c>
      <c r="N1765" s="690"/>
      <c r="O1765" s="486"/>
      <c r="P1765" s="486"/>
      <c r="Q1765" s="486"/>
      <c r="R1765" s="486"/>
      <c r="S1765" s="486"/>
      <c r="T1765" s="102">
        <f t="shared" si="1256"/>
        <v>0</v>
      </c>
      <c r="U1765" s="78">
        <f>IF(NOT(ISNUMBER(G1765)), "", VLOOKUP(A1765,'Discount Lookup'!D:E,2,FALSE)*G1765)</f>
        <v>0</v>
      </c>
      <c r="V1765" s="78">
        <f>IF(NOT(ISNUMBER(G1765)), "", VLOOKUP(A1765,'Discount Lookup'!G:H,2,FALSE)*G1765)</f>
        <v>0</v>
      </c>
      <c r="W1765" s="102">
        <f t="shared" si="1257"/>
        <v>0</v>
      </c>
      <c r="X1765" s="102">
        <f t="shared" si="1258"/>
        <v>0</v>
      </c>
      <c r="Y1765" s="120" t="b">
        <f t="shared" si="1259"/>
        <v>0</v>
      </c>
      <c r="Z1765" s="117">
        <f t="shared" si="1260"/>
        <v>0</v>
      </c>
      <c r="AA1765" s="118"/>
      <c r="AB1765" s="118" t="str">
        <f t="shared" si="1261"/>
        <v/>
      </c>
      <c r="AC1765" s="712" t="str">
        <f>IF(AE1765="T2G","no charge",IF(AND(OR(PlanterYesMe="No",PlanterYesMe="N",PlanterYesMe="me"),H1765=""),"",IF(H1765="credit","NO install",IF(AND(K1765="",AE1765="me"),"EACH row",IF(AND(K1765="images",AE1765="me"),"EACH row",IF(D1765="","",IF(H1765="credit","",IF(AE1765="free","re-planting",IF(AE1765="me","   not ELP, by",IF(AND(OR(PlanterYesMe="Yes",PlanterYesMe="Y"),G1765&gt;0),(VLOOKUP(A1765,'Discount Lookup'!J:K,2)*G1765*(1-PlanterDiscount)*(1+PlanterDifficultyPercentage)),IF(AE1765="ELP",(VLOOKUP(A1765,'Discount Lookup'!J:K,2)*G1765*(1-PlanterDiscount)*(1+PlanterDifficultyPercentage)),IF(AE1765="free","re-planting",IF(G1765=0,"",IF(PlanterYesMe="",IF(AE1765="me","   not ELP, by",IF(AE1765="",IF(G1765&gt;0,(VLOOKUP(A1765,'Discount Lookup'!J:K,2)*G1765*(1-PlanterDiscount)*(1+PlanterDifficultyPercentage)),""),"")),"   not ELP, by"))))))))))))))</f>
        <v/>
      </c>
      <c r="AD1765" s="712"/>
      <c r="AE1765" s="513" t="str">
        <f t="shared" si="1262"/>
        <v/>
      </c>
      <c r="AF1765" s="713" t="str">
        <f t="shared" si="1263"/>
        <v/>
      </c>
      <c r="AG1765" s="713"/>
      <c r="AH1765" s="713"/>
      <c r="AI1765" s="112">
        <f>IF(H1765="credit",0,IF(AE1765="free",0,IF(AE1765="me",0,IF(G1765&gt;0,(VLOOKUP(A1765,'Discount Lookup'!J:K,2)*G1765),0))))</f>
        <v>0</v>
      </c>
      <c r="AJ1765" s="107" t="str">
        <f t="shared" ca="1" si="1264"/>
        <v/>
      </c>
      <c r="AK1765" s="714" t="str">
        <f t="shared" si="1265"/>
        <v/>
      </c>
      <c r="AL1765" s="714"/>
      <c r="AM1765" s="114" t="str">
        <f t="shared" si="1266"/>
        <v/>
      </c>
      <c r="AN1765" s="115"/>
      <c r="AO1765" s="116"/>
      <c r="AP1765" s="116"/>
      <c r="AQ1765" s="116"/>
      <c r="AR1765" s="116"/>
      <c r="AS1765" s="116"/>
      <c r="AT1765" s="116"/>
      <c r="AU1765" s="116"/>
      <c r="AV1765" s="78"/>
      <c r="AW1765" s="102"/>
      <c r="AX1765" s="78"/>
      <c r="AY1765" s="78"/>
      <c r="AZ1765" s="78"/>
      <c r="BA1765" s="78"/>
      <c r="BB1765" s="78"/>
      <c r="BC1765" s="78"/>
      <c r="BD1765" s="78"/>
      <c r="BE1765" s="465"/>
      <c r="BF1765" s="165" t="str">
        <f t="shared" si="1267"/>
        <v>https://www.google.com/search?tbm=isch&amp;q=2%20G6</v>
      </c>
      <c r="BG1765" s="165" t="str">
        <f t="shared" si="1268"/>
        <v>H</v>
      </c>
      <c r="BH1765" s="65"/>
      <c r="BI1765" s="65"/>
      <c r="BJ1765" s="65"/>
      <c r="BK1765" s="65"/>
      <c r="BL1765" s="99"/>
      <c r="BM1765" s="99"/>
      <c r="BN1765" s="99"/>
    </row>
    <row r="1766" spans="1:66" s="51" customFormat="1" ht="16.5" thickBot="1" x14ac:dyDescent="0.3">
      <c r="A1766" s="508" t="s">
        <v>2633</v>
      </c>
      <c r="B1766" s="487"/>
      <c r="C1766" s="707"/>
      <c r="D1766" s="487"/>
      <c r="E1766" s="487"/>
      <c r="F1766" s="488"/>
      <c r="G1766" s="489"/>
      <c r="H1766" s="487"/>
      <c r="I1766" s="490"/>
      <c r="J1766" s="490"/>
      <c r="K1766" s="491"/>
      <c r="L1766" s="547"/>
      <c r="M1766" s="528"/>
      <c r="N1766" s="492"/>
      <c r="O1766" s="493"/>
      <c r="P1766" s="494"/>
      <c r="Q1766" s="492"/>
      <c r="R1766" s="492"/>
      <c r="S1766" s="699" t="s">
        <v>5259</v>
      </c>
      <c r="T1766" s="102">
        <f t="shared" si="1256"/>
        <v>0</v>
      </c>
      <c r="U1766" s="78" t="str">
        <f>IF(NOT(ISNUMBER(G1766)), "", VLOOKUP(A1766,'Discount Lookup'!D:E,2,FALSE)*G1766)</f>
        <v/>
      </c>
      <c r="V1766" s="78" t="str">
        <f>IF(NOT(ISNUMBER(G1766)), "", VLOOKUP(A1766,'Discount Lookup'!G:H,2,FALSE)*G1766)</f>
        <v/>
      </c>
      <c r="W1766" s="102">
        <f t="shared" si="1257"/>
        <v>0</v>
      </c>
      <c r="X1766" s="102">
        <f t="shared" si="1258"/>
        <v>0</v>
      </c>
      <c r="Y1766" s="120" t="b">
        <f t="shared" si="1259"/>
        <v>0</v>
      </c>
      <c r="Z1766" s="117">
        <f t="shared" si="1260"/>
        <v>0</v>
      </c>
      <c r="AA1766" s="118"/>
      <c r="AB1766" s="118" t="str">
        <f t="shared" si="1261"/>
        <v/>
      </c>
      <c r="AC1766" s="712" t="str">
        <f>IF(AE1766="T2G","no charge",IF(AND(OR(PlanterYesMe="No",PlanterYesMe="N",PlanterYesMe="me"),H1766=""),"",IF(H1766="credit","NO install",IF(AND(K1766="",AE1766="me"),"EACH row",IF(AND(K1766="images",AE1766="me"),"EACH row",IF(D1766="","",IF(H1766="credit","",IF(AE1766="free","re-planting",IF(AE1766="me","   not ELP, by",IF(AND(OR(PlanterYesMe="Yes",PlanterYesMe="Y"),G1766&gt;0),(VLOOKUP(A1766,'Discount Lookup'!J:K,2)*G1766*(1-PlanterDiscount)*(1+PlanterDifficultyPercentage)),IF(AE1766="ELP",(VLOOKUP(A1766,'Discount Lookup'!J:K,2)*G1766*(1-PlanterDiscount)*(1+PlanterDifficultyPercentage)),IF(AE1766="free","re-planting",IF(G1766=0,"",IF(PlanterYesMe="",IF(AE1766="me","   not ELP, by",IF(AE1766="",IF(G1766&gt;0,(VLOOKUP(A1766,'Discount Lookup'!J:K,2)*G1766*(1-PlanterDiscount)*(1+PlanterDifficultyPercentage)),""),"")),"   not ELP, by"))))))))))))))</f>
        <v/>
      </c>
      <c r="AD1766" s="712"/>
      <c r="AE1766" s="513" t="str">
        <f t="shared" si="1262"/>
        <v/>
      </c>
      <c r="AF1766" s="713" t="str">
        <f t="shared" si="1263"/>
        <v/>
      </c>
      <c r="AG1766" s="713"/>
      <c r="AH1766" s="713"/>
      <c r="AI1766" s="112">
        <f>IF(H1766="credit",0,IF(AE1766="free",0,IF(AE1766="me",0,IF(G1766&gt;0,(VLOOKUP(A1766,'Discount Lookup'!J:K,2)*G1766),0))))</f>
        <v>0</v>
      </c>
      <c r="AJ1766" s="107" t="str">
        <f t="shared" ca="1" si="1264"/>
        <v/>
      </c>
      <c r="AK1766" s="714" t="str">
        <f t="shared" si="1265"/>
        <v/>
      </c>
      <c r="AL1766" s="714"/>
      <c r="AM1766" s="114" t="str">
        <f t="shared" si="1266"/>
        <v/>
      </c>
      <c r="AN1766" s="115"/>
      <c r="AO1766" s="116"/>
      <c r="AP1766" s="116"/>
      <c r="AQ1766" s="116"/>
      <c r="AR1766" s="116"/>
      <c r="AS1766" s="116"/>
      <c r="AT1766" s="116"/>
      <c r="AU1766" s="116"/>
      <c r="AV1766" s="78"/>
      <c r="AW1766" s="102"/>
      <c r="AX1766" s="78"/>
      <c r="AY1766" s="78"/>
      <c r="AZ1766" s="78"/>
      <c r="BA1766" s="78"/>
      <c r="BB1766" s="78"/>
      <c r="BC1766" s="78"/>
      <c r="BD1766" s="78"/>
      <c r="BE1766" s="465"/>
      <c r="BF1766" s="165" t="str">
        <f t="shared" si="1267"/>
        <v>https://www.google.com/search?tbm=isch&amp;q=All%20Hellebores%20are%20clump-forming%20perennials%20with%20leathery%20foliage.%20They%20are%20long-lived%2C%20cold%2Fshade%20tolerant%2C%20and%20bloom%20late%20winter%20to%20spring%20</v>
      </c>
      <c r="BG1766" s="165" t="str">
        <f t="shared" si="1268"/>
        <v>A</v>
      </c>
      <c r="BH1766" s="65"/>
      <c r="BI1766" s="65"/>
      <c r="BJ1766" s="65"/>
      <c r="BK1766" s="65"/>
      <c r="BL1766" s="99"/>
      <c r="BM1766" s="99"/>
      <c r="BN1766" s="99"/>
    </row>
    <row r="1767" spans="1:66" s="51" customFormat="1" ht="18" x14ac:dyDescent="0.25">
      <c r="A1767" s="507" t="s">
        <v>2651</v>
      </c>
      <c r="B1767" s="470"/>
      <c r="C1767" s="706"/>
      <c r="D1767" s="471" t="s">
        <v>5673</v>
      </c>
      <c r="E1767" s="472"/>
      <c r="F1767" s="472"/>
      <c r="G1767" s="472"/>
      <c r="H1767" s="622" t="s">
        <v>1516</v>
      </c>
      <c r="I1767" s="473" t="s">
        <v>2652</v>
      </c>
      <c r="J1767" s="472"/>
      <c r="K1767" s="472"/>
      <c r="L1767" s="561"/>
      <c r="M1767" s="703" t="s">
        <v>5260</v>
      </c>
      <c r="N1767" s="692" t="str">
        <f>IF(AND(ISTEXT($A1767), ISERROR($A1767+0)), HYPERLINK($BF1767, "Images"), "")</f>
        <v>Images</v>
      </c>
      <c r="O1767" s="694" t="s">
        <v>5244</v>
      </c>
      <c r="P1767" s="475"/>
      <c r="Q1767" s="476"/>
      <c r="R1767" s="476"/>
      <c r="S1767" s="477"/>
      <c r="T1767" s="102">
        <f t="shared" si="1256"/>
        <v>0</v>
      </c>
      <c r="U1767" s="78" t="str">
        <f>IF(NOT(ISNUMBER(G1767)), "", VLOOKUP(A1767,'Discount Lookup'!D:E,2,FALSE)*G1767)</f>
        <v/>
      </c>
      <c r="V1767" s="78" t="str">
        <f>IF(NOT(ISNUMBER(G1767)), "", VLOOKUP(A1767,'Discount Lookup'!G:H,2,FALSE)*G1767)</f>
        <v/>
      </c>
      <c r="W1767" s="102">
        <f t="shared" si="1257"/>
        <v>0</v>
      </c>
      <c r="X1767" s="102" t="str">
        <f t="shared" si="1258"/>
        <v>Pink bloom, ages to Dark Rose</v>
      </c>
      <c r="Y1767" s="120" t="b">
        <f t="shared" si="1259"/>
        <v>0</v>
      </c>
      <c r="Z1767" s="117">
        <f t="shared" si="1260"/>
        <v>0</v>
      </c>
      <c r="AA1767" s="118"/>
      <c r="AB1767" s="118" t="str">
        <f t="shared" si="1261"/>
        <v/>
      </c>
      <c r="AC1767" s="712" t="str">
        <f>IF(AE1767="T2G","no charge",IF(AND(OR(PlanterYesMe="No",PlanterYesMe="N",PlanterYesMe="me"),H1767=""),"",IF(H1767="credit","NO install",IF(AND(K1767="",AE1767="me"),"EACH row",IF(AND(K1767="images",AE1767="me"),"EACH row",IF(D1767="","",IF(H1767="credit","",IF(AE1767="free","re-planting",IF(AE1767="me","   not ELP, by",IF(AND(OR(PlanterYesMe="Yes",PlanterYesMe="Y"),G1767&gt;0),(VLOOKUP(A1767,'Discount Lookup'!J:K,2)*G1767*(1-PlanterDiscount)*(1+PlanterDifficultyPercentage)),IF(AE1767="ELP",(VLOOKUP(A1767,'Discount Lookup'!J:K,2)*G1767*(1-PlanterDiscount)*(1+PlanterDifficultyPercentage)),IF(AE1767="free","re-planting",IF(G1767=0,"",IF(PlanterYesMe="",IF(AE1767="me","   not ELP, by",IF(AE1767="",IF(G1767&gt;0,(VLOOKUP(A1767,'Discount Lookup'!J:K,2)*G1767*(1-PlanterDiscount)*(1+PlanterDifficultyPercentage)),""),"")),"   not ELP, by"))))))))))))))</f>
        <v/>
      </c>
      <c r="AD1767" s="712"/>
      <c r="AE1767" s="513" t="str">
        <f t="shared" si="1262"/>
        <v/>
      </c>
      <c r="AF1767" s="713" t="str">
        <f t="shared" si="1263"/>
        <v/>
      </c>
      <c r="AG1767" s="713"/>
      <c r="AH1767" s="713"/>
      <c r="AI1767" s="112">
        <f>IF(H1767="credit",0,IF(AE1767="free",0,IF(AE1767="me",0,IF(G1767&gt;0,(VLOOKUP(A1767,'Discount Lookup'!J:K,2)*G1767),0))))</f>
        <v>0</v>
      </c>
      <c r="AJ1767" s="107" t="str">
        <f t="shared" ca="1" si="1264"/>
        <v/>
      </c>
      <c r="AK1767" s="714" t="str">
        <f t="shared" si="1265"/>
        <v/>
      </c>
      <c r="AL1767" s="714"/>
      <c r="AM1767" s="114" t="str">
        <f t="shared" si="1266"/>
        <v/>
      </c>
      <c r="AN1767" s="115"/>
      <c r="AO1767" s="116"/>
      <c r="AP1767" s="116"/>
      <c r="AQ1767" s="116"/>
      <c r="AR1767" s="116"/>
      <c r="AS1767" s="116"/>
      <c r="AT1767" s="116"/>
      <c r="AU1767" s="116"/>
      <c r="AV1767" s="78"/>
      <c r="AW1767" s="102"/>
      <c r="AX1767" s="78"/>
      <c r="AY1767" s="78"/>
      <c r="AZ1767" s="78"/>
      <c r="BA1767" s="78"/>
      <c r="BB1767" s="78"/>
      <c r="BC1767" s="78"/>
      <c r="BD1767" s="78"/>
      <c r="BE1767" s="465"/>
      <c r="BF1767" s="165" t="str">
        <f t="shared" si="1267"/>
        <v>https://www.google.com/search?tbm=isch&amp;q=Helleborus%20x%20glandorfensis%20%27COSEH%205400%27%20PP%2332384%20Ice%20N%27%20Roses%C2%AE%20Rosado%20Lenten%20Rose</v>
      </c>
      <c r="BG1767" s="165" t="str">
        <f t="shared" si="1268"/>
        <v>H</v>
      </c>
      <c r="BH1767" s="65"/>
      <c r="BI1767" s="65"/>
      <c r="BJ1767" s="65"/>
      <c r="BK1767" s="65"/>
      <c r="BL1767" s="99"/>
      <c r="BM1767" s="99"/>
      <c r="BN1767" s="99"/>
    </row>
    <row r="1768" spans="1:66" s="51" customFormat="1" ht="27" x14ac:dyDescent="0.25">
      <c r="A1768" s="478">
        <v>2</v>
      </c>
      <c r="B1768" s="479" t="s">
        <v>291</v>
      </c>
      <c r="C1768" s="480" t="s">
        <v>4978</v>
      </c>
      <c r="D1768" s="481" t="s">
        <v>293</v>
      </c>
      <c r="E1768" s="482">
        <v>65.95</v>
      </c>
      <c r="F1768" s="483" t="s">
        <v>292</v>
      </c>
      <c r="G1768" s="484">
        <v>0</v>
      </c>
      <c r="H1768" s="688" t="str">
        <f>IF(G1768=0,"",IF(F1768="Buy",IF(G1768=1,"plant","plants"),IF(F1768&gt;0.01,"warranty","Error")))</f>
        <v/>
      </c>
      <c r="I1768" s="485">
        <f>IF(H1768="free",0,IF(H1768="credit",((E1768*(F1768))*G1768*-1),IF(F1768="Buy",(E1768*G1768),((E1768*(1-F1768))*G1768))))</f>
        <v>0</v>
      </c>
      <c r="J1768" s="485">
        <f>IF(H1768="warranty",0,(I1768*(_xlfn.SINGLE(SalesTaxPercentage))))</f>
        <v>0</v>
      </c>
      <c r="K1768" s="715">
        <f t="shared" ref="K1768" si="1275">I1768+J1768</f>
        <v>0</v>
      </c>
      <c r="L1768" s="715"/>
      <c r="M1768" s="689" t="str">
        <f ca="1">IF(AND(G1768&gt;0,E1768=0),"WARNING - no PRICE inserted",IF(H1768="free","FREE ~ no charge this plant",IF(H1768="credit",CONCATENATE("-$",ROUND(K1768*(1-_xlfn.SINGLE(T2GDiscount))*-1,2)," CREDIT after discount"),IF(_xlfn.SINGLE(T2GDiscount)=0,"",IF(G1768=0,"",IF(F1768="Buy",CONCATENATE("$",ROUND(K1768*(1-_xlfn.SINGLE(T2GDiscount)),2)," with ",(_xlfn.SINGLE(T2GDiscount)*100),"% discount"),CONCATENATE("$",ROUND(K1768*(1-_xlfn.SINGLE(T2GDiscount)),2)," with ",((_xlfn.SINGLE(T2GDiscount)*100+F1768*100)-(_xlfn.SINGLE(T2GDiscount)*100*F1768)),IF(F1768&gt;0,"% discounts",IF(_xlfn.SINGLE(NoWarrantyDiscount)&gt;0,"% discounts","% discount")))))))))</f>
        <v/>
      </c>
      <c r="N1768" s="690"/>
      <c r="O1768" s="486"/>
      <c r="P1768" s="486"/>
      <c r="Q1768" s="486"/>
      <c r="R1768" s="486"/>
      <c r="S1768" s="486"/>
      <c r="T1768" s="102">
        <f t="shared" si="1256"/>
        <v>0</v>
      </c>
      <c r="U1768" s="78">
        <f>IF(NOT(ISNUMBER(G1768)), "", VLOOKUP(A1768,'Discount Lookup'!D:E,2,FALSE)*G1768)</f>
        <v>0</v>
      </c>
      <c r="V1768" s="78">
        <f>IF(NOT(ISNUMBER(G1768)), "", VLOOKUP(A1768,'Discount Lookup'!G:H,2,FALSE)*G1768)</f>
        <v>0</v>
      </c>
      <c r="W1768" s="102">
        <f t="shared" si="1257"/>
        <v>0</v>
      </c>
      <c r="X1768" s="102">
        <f t="shared" si="1258"/>
        <v>0</v>
      </c>
      <c r="Y1768" s="120" t="b">
        <f t="shared" si="1259"/>
        <v>0</v>
      </c>
      <c r="Z1768" s="117">
        <f t="shared" si="1260"/>
        <v>0</v>
      </c>
      <c r="AA1768" s="118"/>
      <c r="AB1768" s="118" t="str">
        <f t="shared" si="1261"/>
        <v/>
      </c>
      <c r="AC1768" s="712" t="str">
        <f>IF(AE1768="T2G","no charge",IF(AND(OR(PlanterYesMe="No",PlanterYesMe="N",PlanterYesMe="me"),H1768=""),"",IF(H1768="credit","NO install",IF(AND(K1768="",AE1768="me"),"EACH row",IF(AND(K1768="images",AE1768="me"),"EACH row",IF(D1768="","",IF(H1768="credit","",IF(AE1768="free","re-planting",IF(AE1768="me","   not ELP, by",IF(AND(OR(PlanterYesMe="Yes",PlanterYesMe="Y"),G1768&gt;0),(VLOOKUP(A1768,'Discount Lookup'!J:K,2)*G1768*(1-PlanterDiscount)*(1+PlanterDifficultyPercentage)),IF(AE1768="ELP",(VLOOKUP(A1768,'Discount Lookup'!J:K,2)*G1768*(1-PlanterDiscount)*(1+PlanterDifficultyPercentage)),IF(AE1768="free","re-planting",IF(G1768=0,"",IF(PlanterYesMe="",IF(AE1768="me","   not ELP, by",IF(AE1768="",IF(G1768&gt;0,(VLOOKUP(A1768,'Discount Lookup'!J:K,2)*G1768*(1-PlanterDiscount)*(1+PlanterDifficultyPercentage)),""),"")),"   not ELP, by"))))))))))))))</f>
        <v/>
      </c>
      <c r="AD1768" s="712"/>
      <c r="AE1768" s="513" t="str">
        <f t="shared" si="1262"/>
        <v/>
      </c>
      <c r="AF1768" s="713" t="str">
        <f t="shared" si="1263"/>
        <v/>
      </c>
      <c r="AG1768" s="713"/>
      <c r="AH1768" s="713"/>
      <c r="AI1768" s="112">
        <f>IF(H1768="credit",0,IF(AE1768="free",0,IF(AE1768="me",0,IF(G1768&gt;0,(VLOOKUP(A1768,'Discount Lookup'!J:K,2)*G1768),0))))</f>
        <v>0</v>
      </c>
      <c r="AJ1768" s="107" t="str">
        <f t="shared" ca="1" si="1264"/>
        <v/>
      </c>
      <c r="AK1768" s="714" t="str">
        <f t="shared" si="1265"/>
        <v/>
      </c>
      <c r="AL1768" s="714"/>
      <c r="AM1768" s="114" t="str">
        <f t="shared" si="1266"/>
        <v/>
      </c>
      <c r="AN1768" s="115"/>
      <c r="AO1768" s="116"/>
      <c r="AP1768" s="116"/>
      <c r="AQ1768" s="116"/>
      <c r="AR1768" s="116"/>
      <c r="AS1768" s="116"/>
      <c r="AT1768" s="116"/>
      <c r="AU1768" s="116"/>
      <c r="AV1768" s="78"/>
      <c r="AW1768" s="102"/>
      <c r="AX1768" s="78"/>
      <c r="AY1768" s="78"/>
      <c r="AZ1768" s="78"/>
      <c r="BA1768" s="78"/>
      <c r="BB1768" s="78"/>
      <c r="BC1768" s="78"/>
      <c r="BD1768" s="78"/>
      <c r="BE1768" s="465"/>
      <c r="BF1768" s="165" t="str">
        <f t="shared" si="1267"/>
        <v>https://www.google.com/search?tbm=isch&amp;q=2%20G6</v>
      </c>
      <c r="BG1768" s="165" t="str">
        <f t="shared" si="1268"/>
        <v>H</v>
      </c>
      <c r="BH1768" s="65"/>
      <c r="BI1768" s="65"/>
      <c r="BJ1768" s="65"/>
      <c r="BK1768" s="65"/>
      <c r="BL1768" s="99"/>
      <c r="BM1768" s="99"/>
      <c r="BN1768" s="99"/>
    </row>
    <row r="1769" spans="1:66" s="51" customFormat="1" ht="16.5" thickBot="1" x14ac:dyDescent="0.3">
      <c r="A1769" s="508" t="s">
        <v>2633</v>
      </c>
      <c r="B1769" s="487"/>
      <c r="C1769" s="707"/>
      <c r="D1769" s="487"/>
      <c r="E1769" s="487"/>
      <c r="F1769" s="488"/>
      <c r="G1769" s="489"/>
      <c r="H1769" s="487"/>
      <c r="I1769" s="490"/>
      <c r="J1769" s="490"/>
      <c r="K1769" s="491"/>
      <c r="L1769" s="547"/>
      <c r="M1769" s="528"/>
      <c r="N1769" s="492"/>
      <c r="O1769" s="493"/>
      <c r="P1769" s="494"/>
      <c r="Q1769" s="492"/>
      <c r="R1769" s="492"/>
      <c r="S1769" s="699" t="s">
        <v>5259</v>
      </c>
      <c r="T1769" s="102">
        <f t="shared" si="1256"/>
        <v>0</v>
      </c>
      <c r="U1769" s="78" t="str">
        <f>IF(NOT(ISNUMBER(G1769)), "", VLOOKUP(A1769,'Discount Lookup'!D:E,2,FALSE)*G1769)</f>
        <v/>
      </c>
      <c r="V1769" s="78" t="str">
        <f>IF(NOT(ISNUMBER(G1769)), "", VLOOKUP(A1769,'Discount Lookup'!G:H,2,FALSE)*G1769)</f>
        <v/>
      </c>
      <c r="W1769" s="102">
        <f t="shared" si="1257"/>
        <v>0</v>
      </c>
      <c r="X1769" s="102">
        <f t="shared" si="1258"/>
        <v>0</v>
      </c>
      <c r="Y1769" s="120" t="b">
        <f t="shared" si="1259"/>
        <v>0</v>
      </c>
      <c r="Z1769" s="117">
        <f t="shared" si="1260"/>
        <v>0</v>
      </c>
      <c r="AA1769" s="118"/>
      <c r="AB1769" s="118" t="str">
        <f t="shared" si="1261"/>
        <v/>
      </c>
      <c r="AC1769" s="712" t="str">
        <f>IF(AE1769="T2G","no charge",IF(AND(OR(PlanterYesMe="No",PlanterYesMe="N",PlanterYesMe="me"),H1769=""),"",IF(H1769="credit","NO install",IF(AND(K1769="",AE1769="me"),"EACH row",IF(AND(K1769="images",AE1769="me"),"EACH row",IF(D1769="","",IF(H1769="credit","",IF(AE1769="free","re-planting",IF(AE1769="me","   not ELP, by",IF(AND(OR(PlanterYesMe="Yes",PlanterYesMe="Y"),G1769&gt;0),(VLOOKUP(A1769,'Discount Lookup'!J:K,2)*G1769*(1-PlanterDiscount)*(1+PlanterDifficultyPercentage)),IF(AE1769="ELP",(VLOOKUP(A1769,'Discount Lookup'!J:K,2)*G1769*(1-PlanterDiscount)*(1+PlanterDifficultyPercentage)),IF(AE1769="free","re-planting",IF(G1769=0,"",IF(PlanterYesMe="",IF(AE1769="me","   not ELP, by",IF(AE1769="",IF(G1769&gt;0,(VLOOKUP(A1769,'Discount Lookup'!J:K,2)*G1769*(1-PlanterDiscount)*(1+PlanterDifficultyPercentage)),""),"")),"   not ELP, by"))))))))))))))</f>
        <v/>
      </c>
      <c r="AD1769" s="712"/>
      <c r="AE1769" s="513" t="str">
        <f t="shared" si="1262"/>
        <v/>
      </c>
      <c r="AF1769" s="713" t="str">
        <f t="shared" si="1263"/>
        <v/>
      </c>
      <c r="AG1769" s="713"/>
      <c r="AH1769" s="713"/>
      <c r="AI1769" s="112">
        <f>IF(H1769="credit",0,IF(AE1769="free",0,IF(AE1769="me",0,IF(G1769&gt;0,(VLOOKUP(A1769,'Discount Lookup'!J:K,2)*G1769),0))))</f>
        <v>0</v>
      </c>
      <c r="AJ1769" s="107" t="str">
        <f t="shared" ca="1" si="1264"/>
        <v/>
      </c>
      <c r="AK1769" s="714" t="str">
        <f t="shared" si="1265"/>
        <v/>
      </c>
      <c r="AL1769" s="714"/>
      <c r="AM1769" s="114" t="str">
        <f t="shared" si="1266"/>
        <v/>
      </c>
      <c r="AN1769" s="115"/>
      <c r="AO1769" s="116"/>
      <c r="AP1769" s="116"/>
      <c r="AQ1769" s="116"/>
      <c r="AR1769" s="116"/>
      <c r="AS1769" s="116"/>
      <c r="AT1769" s="116"/>
      <c r="AU1769" s="116"/>
      <c r="AV1769" s="78"/>
      <c r="AW1769" s="102"/>
      <c r="AX1769" s="78"/>
      <c r="AY1769" s="78"/>
      <c r="AZ1769" s="78"/>
      <c r="BA1769" s="78"/>
      <c r="BB1769" s="78"/>
      <c r="BC1769" s="78"/>
      <c r="BD1769" s="78"/>
      <c r="BE1769" s="465"/>
      <c r="BF1769" s="165" t="str">
        <f t="shared" si="1267"/>
        <v>https://www.google.com/search?tbm=isch&amp;q=All%20Hellebores%20are%20clump-forming%20perennials%20with%20leathery%20foliage.%20They%20are%20long-lived%2C%20cold%2Fshade%20tolerant%2C%20and%20bloom%20late%20winter%20to%20spring%20</v>
      </c>
      <c r="BG1769" s="165" t="str">
        <f t="shared" si="1268"/>
        <v>A</v>
      </c>
      <c r="BH1769" s="65"/>
      <c r="BI1769" s="65"/>
      <c r="BJ1769" s="65"/>
      <c r="BK1769" s="65"/>
      <c r="BL1769" s="99"/>
      <c r="BM1769" s="99"/>
      <c r="BN1769" s="99"/>
    </row>
    <row r="1770" spans="1:66" s="51" customFormat="1" ht="18" x14ac:dyDescent="0.25">
      <c r="A1770" s="507" t="s">
        <v>2653</v>
      </c>
      <c r="B1770" s="470"/>
      <c r="C1770" s="706"/>
      <c r="D1770" s="471" t="s">
        <v>5674</v>
      </c>
      <c r="E1770" s="472"/>
      <c r="F1770" s="472"/>
      <c r="G1770" s="472"/>
      <c r="H1770" s="622" t="s">
        <v>1516</v>
      </c>
      <c r="I1770" s="473" t="s">
        <v>2654</v>
      </c>
      <c r="J1770" s="472"/>
      <c r="K1770" s="472"/>
      <c r="L1770" s="561"/>
      <c r="M1770" s="703" t="s">
        <v>5260</v>
      </c>
      <c r="N1770" s="692" t="str">
        <f>IF(AND(ISTEXT($A1770), ISERROR($A1770+0)), HYPERLINK($BF1770, "Images"), "")</f>
        <v>Images</v>
      </c>
      <c r="O1770" s="694" t="s">
        <v>5244</v>
      </c>
      <c r="P1770" s="475"/>
      <c r="Q1770" s="476"/>
      <c r="R1770" s="476"/>
      <c r="S1770" s="477"/>
      <c r="T1770" s="102">
        <f t="shared" si="1256"/>
        <v>0</v>
      </c>
      <c r="U1770" s="78" t="str">
        <f>IF(NOT(ISNUMBER(G1770)), "", VLOOKUP(A1770,'Discount Lookup'!D:E,2,FALSE)*G1770)</f>
        <v/>
      </c>
      <c r="V1770" s="78" t="str">
        <f>IF(NOT(ISNUMBER(G1770)), "", VLOOKUP(A1770,'Discount Lookup'!G:H,2,FALSE)*G1770)</f>
        <v/>
      </c>
      <c r="W1770" s="102">
        <f t="shared" si="1257"/>
        <v>0</v>
      </c>
      <c r="X1770" s="102" t="str">
        <f t="shared" si="1258"/>
        <v>Soft Rose, age to Deep Rose</v>
      </c>
      <c r="Y1770" s="120" t="b">
        <f t="shared" si="1259"/>
        <v>0</v>
      </c>
      <c r="Z1770" s="117">
        <f t="shared" si="1260"/>
        <v>0</v>
      </c>
      <c r="AA1770" s="118"/>
      <c r="AB1770" s="118" t="str">
        <f t="shared" si="1261"/>
        <v/>
      </c>
      <c r="AC1770" s="712" t="str">
        <f>IF(AE1770="T2G","no charge",IF(AND(OR(PlanterYesMe="No",PlanterYesMe="N",PlanterYesMe="me"),H1770=""),"",IF(H1770="credit","NO install",IF(AND(K1770="",AE1770="me"),"EACH row",IF(AND(K1770="images",AE1770="me"),"EACH row",IF(D1770="","",IF(H1770="credit","",IF(AE1770="free","re-planting",IF(AE1770="me","   not ELP, by",IF(AND(OR(PlanterYesMe="Yes",PlanterYesMe="Y"),G1770&gt;0),(VLOOKUP(A1770,'Discount Lookup'!J:K,2)*G1770*(1-PlanterDiscount)*(1+PlanterDifficultyPercentage)),IF(AE1770="ELP",(VLOOKUP(A1770,'Discount Lookup'!J:K,2)*G1770*(1-PlanterDiscount)*(1+PlanterDifficultyPercentage)),IF(AE1770="free","re-planting",IF(G1770=0,"",IF(PlanterYesMe="",IF(AE1770="me","   not ELP, by",IF(AE1770="",IF(G1770&gt;0,(VLOOKUP(A1770,'Discount Lookup'!J:K,2)*G1770*(1-PlanterDiscount)*(1+PlanterDifficultyPercentage)),""),"")),"   not ELP, by"))))))))))))))</f>
        <v/>
      </c>
      <c r="AD1770" s="712"/>
      <c r="AE1770" s="513" t="str">
        <f t="shared" si="1262"/>
        <v/>
      </c>
      <c r="AF1770" s="713" t="str">
        <f t="shared" si="1263"/>
        <v/>
      </c>
      <c r="AG1770" s="713"/>
      <c r="AH1770" s="713"/>
      <c r="AI1770" s="112">
        <f>IF(H1770="credit",0,IF(AE1770="free",0,IF(AE1770="me",0,IF(G1770&gt;0,(VLOOKUP(A1770,'Discount Lookup'!J:K,2)*G1770),0))))</f>
        <v>0</v>
      </c>
      <c r="AJ1770" s="107" t="str">
        <f t="shared" ca="1" si="1264"/>
        <v/>
      </c>
      <c r="AK1770" s="714" t="str">
        <f t="shared" si="1265"/>
        <v/>
      </c>
      <c r="AL1770" s="714"/>
      <c r="AM1770" s="114" t="str">
        <f t="shared" si="1266"/>
        <v/>
      </c>
      <c r="AN1770" s="115"/>
      <c r="AO1770" s="116"/>
      <c r="AP1770" s="116"/>
      <c r="AQ1770" s="116"/>
      <c r="AR1770" s="116"/>
      <c r="AS1770" s="116"/>
      <c r="AT1770" s="116"/>
      <c r="AU1770" s="116"/>
      <c r="AV1770" s="78"/>
      <c r="AW1770" s="102"/>
      <c r="AX1770" s="78"/>
      <c r="AY1770" s="78"/>
      <c r="AZ1770" s="78"/>
      <c r="BA1770" s="78"/>
      <c r="BB1770" s="78"/>
      <c r="BC1770" s="78"/>
      <c r="BD1770" s="78"/>
      <c r="BE1770" s="465"/>
      <c r="BF1770" s="165" t="str">
        <f t="shared" si="1267"/>
        <v>https://www.google.com/search?tbm=isch&amp;q=Helleborus%20x%20glandorfensis%20%27Early%20Rose%27%20PP%2328294%20Ice%20N%27%20Roses%C2%AE%20Early%20Rose%20Lenten%20Rose</v>
      </c>
      <c r="BG1770" s="165" t="str">
        <f t="shared" si="1268"/>
        <v>H</v>
      </c>
      <c r="BH1770" s="65"/>
      <c r="BI1770" s="65"/>
      <c r="BJ1770" s="65"/>
      <c r="BK1770" s="65"/>
      <c r="BL1770" s="99"/>
      <c r="BM1770" s="99"/>
      <c r="BN1770" s="99"/>
    </row>
    <row r="1771" spans="1:66" s="51" customFormat="1" ht="15.75" x14ac:dyDescent="0.25">
      <c r="A1771" s="478">
        <v>2</v>
      </c>
      <c r="B1771" s="479" t="s">
        <v>291</v>
      </c>
      <c r="C1771" s="480" t="s">
        <v>4979</v>
      </c>
      <c r="D1771" s="481" t="s">
        <v>293</v>
      </c>
      <c r="E1771" s="482">
        <v>65.95</v>
      </c>
      <c r="F1771" s="483" t="s">
        <v>292</v>
      </c>
      <c r="G1771" s="484">
        <v>0</v>
      </c>
      <c r="H1771" s="688" t="str">
        <f>IF(G1771=0,"",IF(F1771="Buy",IF(G1771=1,"plant","plants"),IF(F1771&gt;0.01,"warranty","Error")))</f>
        <v/>
      </c>
      <c r="I1771" s="485">
        <f>IF(H1771="free",0,IF(H1771="credit",((E1771*(F1771))*G1771*-1),IF(F1771="Buy",(E1771*G1771),((E1771*(1-F1771))*G1771))))</f>
        <v>0</v>
      </c>
      <c r="J1771" s="485">
        <f>IF(H1771="warranty",0,(I1771*(_xlfn.SINGLE(SalesTaxPercentage))))</f>
        <v>0</v>
      </c>
      <c r="K1771" s="715">
        <f t="shared" ref="K1771" si="1276">I1771+J1771</f>
        <v>0</v>
      </c>
      <c r="L1771" s="715"/>
      <c r="M1771" s="689" t="str">
        <f ca="1">IF(AND(G1771&gt;0,E1771=0),"WARNING - no PRICE inserted",IF(H1771="free","FREE ~ no charge this plant",IF(H1771="credit",CONCATENATE("-$",ROUND(K1771*(1-_xlfn.SINGLE(T2GDiscount))*-1,2)," CREDIT after discount"),IF(_xlfn.SINGLE(T2GDiscount)=0,"",IF(G1771=0,"",IF(F1771="Buy",CONCATENATE("$",ROUND(K1771*(1-_xlfn.SINGLE(T2GDiscount)),2)," with ",(_xlfn.SINGLE(T2GDiscount)*100),"% discount"),CONCATENATE("$",ROUND(K1771*(1-_xlfn.SINGLE(T2GDiscount)),2)," with ",((_xlfn.SINGLE(T2GDiscount)*100+F1771*100)-(_xlfn.SINGLE(T2GDiscount)*100*F1771)),IF(F1771&gt;0,"% discounts",IF(_xlfn.SINGLE(NoWarrantyDiscount)&gt;0,"% discounts","% discount")))))))))</f>
        <v/>
      </c>
      <c r="N1771" s="690"/>
      <c r="O1771" s="486"/>
      <c r="P1771" s="486"/>
      <c r="Q1771" s="486"/>
      <c r="R1771" s="486"/>
      <c r="S1771" s="486"/>
      <c r="T1771" s="102">
        <f t="shared" si="1256"/>
        <v>0</v>
      </c>
      <c r="U1771" s="78">
        <f>IF(NOT(ISNUMBER(G1771)), "", VLOOKUP(A1771,'Discount Lookup'!D:E,2,FALSE)*G1771)</f>
        <v>0</v>
      </c>
      <c r="V1771" s="78">
        <f>IF(NOT(ISNUMBER(G1771)), "", VLOOKUP(A1771,'Discount Lookup'!G:H,2,FALSE)*G1771)</f>
        <v>0</v>
      </c>
      <c r="W1771" s="102">
        <f t="shared" si="1257"/>
        <v>0</v>
      </c>
      <c r="X1771" s="102">
        <f t="shared" si="1258"/>
        <v>0</v>
      </c>
      <c r="Y1771" s="120" t="b">
        <f t="shared" si="1259"/>
        <v>0</v>
      </c>
      <c r="Z1771" s="117">
        <f t="shared" si="1260"/>
        <v>0</v>
      </c>
      <c r="AA1771" s="118"/>
      <c r="AB1771" s="118" t="str">
        <f t="shared" si="1261"/>
        <v/>
      </c>
      <c r="AC1771" s="712" t="str">
        <f>IF(AE1771="T2G","no charge",IF(AND(OR(PlanterYesMe="No",PlanterYesMe="N",PlanterYesMe="me"),H1771=""),"",IF(H1771="credit","NO install",IF(AND(K1771="",AE1771="me"),"EACH row",IF(AND(K1771="images",AE1771="me"),"EACH row",IF(D1771="","",IF(H1771="credit","",IF(AE1771="free","re-planting",IF(AE1771="me","   not ELP, by",IF(AND(OR(PlanterYesMe="Yes",PlanterYesMe="Y"),G1771&gt;0),(VLOOKUP(A1771,'Discount Lookup'!J:K,2)*G1771*(1-PlanterDiscount)*(1+PlanterDifficultyPercentage)),IF(AE1771="ELP",(VLOOKUP(A1771,'Discount Lookup'!J:K,2)*G1771*(1-PlanterDiscount)*(1+PlanterDifficultyPercentage)),IF(AE1771="free","re-planting",IF(G1771=0,"",IF(PlanterYesMe="",IF(AE1771="me","   not ELP, by",IF(AE1771="",IF(G1771&gt;0,(VLOOKUP(A1771,'Discount Lookup'!J:K,2)*G1771*(1-PlanterDiscount)*(1+PlanterDifficultyPercentage)),""),"")),"   not ELP, by"))))))))))))))</f>
        <v/>
      </c>
      <c r="AD1771" s="712"/>
      <c r="AE1771" s="513" t="str">
        <f t="shared" si="1262"/>
        <v/>
      </c>
      <c r="AF1771" s="713" t="str">
        <f t="shared" si="1263"/>
        <v/>
      </c>
      <c r="AG1771" s="713"/>
      <c r="AH1771" s="713"/>
      <c r="AI1771" s="112">
        <f>IF(H1771="credit",0,IF(AE1771="free",0,IF(AE1771="me",0,IF(G1771&gt;0,(VLOOKUP(A1771,'Discount Lookup'!J:K,2)*G1771),0))))</f>
        <v>0</v>
      </c>
      <c r="AJ1771" s="107" t="str">
        <f t="shared" ca="1" si="1264"/>
        <v/>
      </c>
      <c r="AK1771" s="714" t="str">
        <f t="shared" si="1265"/>
        <v/>
      </c>
      <c r="AL1771" s="714"/>
      <c r="AM1771" s="114" t="str">
        <f t="shared" si="1266"/>
        <v/>
      </c>
      <c r="AN1771" s="115"/>
      <c r="AO1771" s="116"/>
      <c r="AP1771" s="116"/>
      <c r="AQ1771" s="116"/>
      <c r="AR1771" s="116"/>
      <c r="AS1771" s="116"/>
      <c r="AT1771" s="116"/>
      <c r="AU1771" s="116"/>
      <c r="AV1771" s="78"/>
      <c r="AW1771" s="102"/>
      <c r="AX1771" s="78"/>
      <c r="AY1771" s="78"/>
      <c r="AZ1771" s="78"/>
      <c r="BA1771" s="78"/>
      <c r="BB1771" s="78"/>
      <c r="BC1771" s="78"/>
      <c r="BD1771" s="78"/>
      <c r="BE1771" s="465"/>
      <c r="BF1771" s="165" t="str">
        <f t="shared" si="1267"/>
        <v>https://www.google.com/search?tbm=isch&amp;q=2%20G6</v>
      </c>
      <c r="BG1771" s="165" t="str">
        <f t="shared" si="1268"/>
        <v>H</v>
      </c>
      <c r="BH1771" s="65"/>
      <c r="BI1771" s="65"/>
      <c r="BJ1771" s="65"/>
      <c r="BK1771" s="65"/>
      <c r="BL1771" s="99"/>
      <c r="BM1771" s="99"/>
      <c r="BN1771" s="99"/>
    </row>
    <row r="1772" spans="1:66" s="51" customFormat="1" ht="16.5" thickBot="1" x14ac:dyDescent="0.3">
      <c r="A1772" s="508" t="s">
        <v>2633</v>
      </c>
      <c r="B1772" s="487"/>
      <c r="C1772" s="707"/>
      <c r="D1772" s="487"/>
      <c r="E1772" s="487"/>
      <c r="F1772" s="488"/>
      <c r="G1772" s="489"/>
      <c r="H1772" s="487"/>
      <c r="I1772" s="490"/>
      <c r="J1772" s="490"/>
      <c r="K1772" s="491"/>
      <c r="L1772" s="547"/>
      <c r="M1772" s="528"/>
      <c r="N1772" s="492"/>
      <c r="O1772" s="493"/>
      <c r="P1772" s="494"/>
      <c r="Q1772" s="492"/>
      <c r="R1772" s="492"/>
      <c r="S1772" s="699" t="s">
        <v>5259</v>
      </c>
      <c r="T1772" s="102">
        <f t="shared" si="1256"/>
        <v>0</v>
      </c>
      <c r="U1772" s="78" t="str">
        <f>IF(NOT(ISNUMBER(G1772)), "", VLOOKUP(A1772,'Discount Lookup'!D:E,2,FALSE)*G1772)</f>
        <v/>
      </c>
      <c r="V1772" s="78" t="str">
        <f>IF(NOT(ISNUMBER(G1772)), "", VLOOKUP(A1772,'Discount Lookup'!G:H,2,FALSE)*G1772)</f>
        <v/>
      </c>
      <c r="W1772" s="102">
        <f t="shared" si="1257"/>
        <v>0</v>
      </c>
      <c r="X1772" s="102">
        <f t="shared" si="1258"/>
        <v>0</v>
      </c>
      <c r="Y1772" s="120" t="b">
        <f t="shared" si="1259"/>
        <v>0</v>
      </c>
      <c r="Z1772" s="117">
        <f t="shared" si="1260"/>
        <v>0</v>
      </c>
      <c r="AA1772" s="118"/>
      <c r="AB1772" s="118" t="str">
        <f t="shared" si="1261"/>
        <v/>
      </c>
      <c r="AC1772" s="712" t="str">
        <f>IF(AE1772="T2G","no charge",IF(AND(OR(PlanterYesMe="No",PlanterYesMe="N",PlanterYesMe="me"),H1772=""),"",IF(H1772="credit","NO install",IF(AND(K1772="",AE1772="me"),"EACH row",IF(AND(K1772="images",AE1772="me"),"EACH row",IF(D1772="","",IF(H1772="credit","",IF(AE1772="free","re-planting",IF(AE1772="me","   not ELP, by",IF(AND(OR(PlanterYesMe="Yes",PlanterYesMe="Y"),G1772&gt;0),(VLOOKUP(A1772,'Discount Lookup'!J:K,2)*G1772*(1-PlanterDiscount)*(1+PlanterDifficultyPercentage)),IF(AE1772="ELP",(VLOOKUP(A1772,'Discount Lookup'!J:K,2)*G1772*(1-PlanterDiscount)*(1+PlanterDifficultyPercentage)),IF(AE1772="free","re-planting",IF(G1772=0,"",IF(PlanterYesMe="",IF(AE1772="me","   not ELP, by",IF(AE1772="",IF(G1772&gt;0,(VLOOKUP(A1772,'Discount Lookup'!J:K,2)*G1772*(1-PlanterDiscount)*(1+PlanterDifficultyPercentage)),""),"")),"   not ELP, by"))))))))))))))</f>
        <v/>
      </c>
      <c r="AD1772" s="712"/>
      <c r="AE1772" s="513" t="str">
        <f t="shared" si="1262"/>
        <v/>
      </c>
      <c r="AF1772" s="713" t="str">
        <f t="shared" si="1263"/>
        <v/>
      </c>
      <c r="AG1772" s="713"/>
      <c r="AH1772" s="713"/>
      <c r="AI1772" s="112">
        <f>IF(H1772="credit",0,IF(AE1772="free",0,IF(AE1772="me",0,IF(G1772&gt;0,(VLOOKUP(A1772,'Discount Lookup'!J:K,2)*G1772),0))))</f>
        <v>0</v>
      </c>
      <c r="AJ1772" s="107" t="str">
        <f t="shared" ca="1" si="1264"/>
        <v/>
      </c>
      <c r="AK1772" s="714" t="str">
        <f t="shared" si="1265"/>
        <v/>
      </c>
      <c r="AL1772" s="714"/>
      <c r="AM1772" s="114" t="str">
        <f t="shared" si="1266"/>
        <v/>
      </c>
      <c r="AN1772" s="115"/>
      <c r="AO1772" s="116"/>
      <c r="AP1772" s="116"/>
      <c r="AQ1772" s="116"/>
      <c r="AR1772" s="116"/>
      <c r="AS1772" s="116"/>
      <c r="AT1772" s="116"/>
      <c r="AU1772" s="116"/>
      <c r="AV1772" s="78"/>
      <c r="AW1772" s="102"/>
      <c r="AX1772" s="78"/>
      <c r="AY1772" s="78"/>
      <c r="AZ1772" s="78"/>
      <c r="BA1772" s="78"/>
      <c r="BB1772" s="78"/>
      <c r="BC1772" s="78"/>
      <c r="BD1772" s="78"/>
      <c r="BE1772" s="465"/>
      <c r="BF1772" s="165" t="str">
        <f t="shared" si="1267"/>
        <v>https://www.google.com/search?tbm=isch&amp;q=All%20Hellebores%20are%20clump-forming%20perennials%20with%20leathery%20foliage.%20They%20are%20long-lived%2C%20cold%2Fshade%20tolerant%2C%20and%20bloom%20late%20winter%20to%20spring%20</v>
      </c>
      <c r="BG1772" s="165" t="str">
        <f t="shared" si="1268"/>
        <v>A</v>
      </c>
      <c r="BH1772" s="65"/>
      <c r="BI1772" s="65"/>
      <c r="BJ1772" s="65"/>
      <c r="BK1772" s="65"/>
      <c r="BL1772" s="99"/>
      <c r="BM1772" s="99"/>
      <c r="BN1772" s="99"/>
    </row>
    <row r="1773" spans="1:66" s="51" customFormat="1" ht="18" x14ac:dyDescent="0.25">
      <c r="A1773" s="507" t="s">
        <v>2655</v>
      </c>
      <c r="B1773" s="470"/>
      <c r="C1773" s="706"/>
      <c r="D1773" s="471" t="s">
        <v>5675</v>
      </c>
      <c r="E1773" s="472"/>
      <c r="F1773" s="472"/>
      <c r="G1773" s="472"/>
      <c r="H1773" s="622" t="s">
        <v>1516</v>
      </c>
      <c r="I1773" s="473" t="s">
        <v>2656</v>
      </c>
      <c r="J1773" s="472"/>
      <c r="K1773" s="472"/>
      <c r="L1773" s="561"/>
      <c r="M1773" s="703" t="s">
        <v>5260</v>
      </c>
      <c r="N1773" s="692" t="str">
        <f>IF(AND(ISTEXT($A1773), ISERROR($A1773+0)), HYPERLINK($BF1773, "Images"), "")</f>
        <v>Images</v>
      </c>
      <c r="O1773" s="694" t="s">
        <v>5244</v>
      </c>
      <c r="P1773" s="475"/>
      <c r="Q1773" s="476"/>
      <c r="R1773" s="476"/>
      <c r="S1773" s="477"/>
      <c r="T1773" s="102">
        <f t="shared" si="1256"/>
        <v>0</v>
      </c>
      <c r="U1773" s="78" t="str">
        <f>IF(NOT(ISNUMBER(G1773)), "", VLOOKUP(A1773,'Discount Lookup'!D:E,2,FALSE)*G1773)</f>
        <v/>
      </c>
      <c r="V1773" s="78" t="str">
        <f>IF(NOT(ISNUMBER(G1773)), "", VLOOKUP(A1773,'Discount Lookup'!G:H,2,FALSE)*G1773)</f>
        <v/>
      </c>
      <c r="W1773" s="102">
        <f t="shared" si="1257"/>
        <v>0</v>
      </c>
      <c r="X1773" s="102" t="str">
        <f t="shared" si="1258"/>
        <v>Burgundy-Wine bloom</v>
      </c>
      <c r="Y1773" s="120" t="b">
        <f t="shared" si="1259"/>
        <v>0</v>
      </c>
      <c r="Z1773" s="117">
        <f t="shared" si="1260"/>
        <v>0</v>
      </c>
      <c r="AA1773" s="118"/>
      <c r="AB1773" s="118" t="str">
        <f t="shared" si="1261"/>
        <v/>
      </c>
      <c r="AC1773" s="712" t="str">
        <f>IF(AE1773="T2G","no charge",IF(AND(OR(PlanterYesMe="No",PlanterYesMe="N",PlanterYesMe="me"),H1773=""),"",IF(H1773="credit","NO install",IF(AND(K1773="",AE1773="me"),"EACH row",IF(AND(K1773="images",AE1773="me"),"EACH row",IF(D1773="","",IF(H1773="credit","",IF(AE1773="free","re-planting",IF(AE1773="me","   not ELP, by",IF(AND(OR(PlanterYesMe="Yes",PlanterYesMe="Y"),G1773&gt;0),(VLOOKUP(A1773,'Discount Lookup'!J:K,2)*G1773*(1-PlanterDiscount)*(1+PlanterDifficultyPercentage)),IF(AE1773="ELP",(VLOOKUP(A1773,'Discount Lookup'!J:K,2)*G1773*(1-PlanterDiscount)*(1+PlanterDifficultyPercentage)),IF(AE1773="free","re-planting",IF(G1773=0,"",IF(PlanterYesMe="",IF(AE1773="me","   not ELP, by",IF(AE1773="",IF(G1773&gt;0,(VLOOKUP(A1773,'Discount Lookup'!J:K,2)*G1773*(1-PlanterDiscount)*(1+PlanterDifficultyPercentage)),""),"")),"   not ELP, by"))))))))))))))</f>
        <v/>
      </c>
      <c r="AD1773" s="712"/>
      <c r="AE1773" s="513" t="str">
        <f t="shared" si="1262"/>
        <v/>
      </c>
      <c r="AF1773" s="713" t="str">
        <f t="shared" si="1263"/>
        <v/>
      </c>
      <c r="AG1773" s="713"/>
      <c r="AH1773" s="713"/>
      <c r="AI1773" s="112">
        <f>IF(H1773="credit",0,IF(AE1773="free",0,IF(AE1773="me",0,IF(G1773&gt;0,(VLOOKUP(A1773,'Discount Lookup'!J:K,2)*G1773),0))))</f>
        <v>0</v>
      </c>
      <c r="AJ1773" s="107" t="str">
        <f t="shared" ca="1" si="1264"/>
        <v/>
      </c>
      <c r="AK1773" s="714" t="str">
        <f t="shared" si="1265"/>
        <v/>
      </c>
      <c r="AL1773" s="714"/>
      <c r="AM1773" s="114" t="str">
        <f t="shared" si="1266"/>
        <v/>
      </c>
      <c r="AN1773" s="115"/>
      <c r="AO1773" s="116"/>
      <c r="AP1773" s="116"/>
      <c r="AQ1773" s="116"/>
      <c r="AR1773" s="116"/>
      <c r="AS1773" s="116"/>
      <c r="AT1773" s="116"/>
      <c r="AU1773" s="116"/>
      <c r="AV1773" s="78"/>
      <c r="AW1773" s="102"/>
      <c r="AX1773" s="78"/>
      <c r="AY1773" s="78"/>
      <c r="AZ1773" s="78"/>
      <c r="BA1773" s="78"/>
      <c r="BB1773" s="78"/>
      <c r="BC1773" s="78"/>
      <c r="BD1773" s="78"/>
      <c r="BE1773" s="465"/>
      <c r="BF1773" s="165" t="str">
        <f t="shared" si="1267"/>
        <v>https://www.google.com/search?tbm=isch&amp;q=Helleborus%20x%20glandorfensis%20%27Ice%20N%27%20Roses%20Brunello%27%20PP%2332871%20Ice%20N%27%20Roses%C2%AE%20Brunello%20Lenten%20Rose</v>
      </c>
      <c r="BG1773" s="165" t="str">
        <f t="shared" si="1268"/>
        <v>H</v>
      </c>
      <c r="BH1773" s="65"/>
      <c r="BI1773" s="65"/>
      <c r="BJ1773" s="65"/>
      <c r="BK1773" s="65"/>
      <c r="BL1773" s="99"/>
      <c r="BM1773" s="99"/>
      <c r="BN1773" s="99"/>
    </row>
    <row r="1774" spans="1:66" s="51" customFormat="1" ht="15.75" x14ac:dyDescent="0.25">
      <c r="A1774" s="478">
        <v>2</v>
      </c>
      <c r="B1774" s="479" t="s">
        <v>291</v>
      </c>
      <c r="C1774" s="480" t="s">
        <v>4980</v>
      </c>
      <c r="D1774" s="481" t="s">
        <v>293</v>
      </c>
      <c r="E1774" s="482">
        <v>65.95</v>
      </c>
      <c r="F1774" s="483" t="s">
        <v>292</v>
      </c>
      <c r="G1774" s="484">
        <v>0</v>
      </c>
      <c r="H1774" s="688" t="str">
        <f>IF(G1774=0,"",IF(F1774="Buy",IF(G1774=1,"plant","plants"),IF(F1774&gt;0.01,"warranty","Error")))</f>
        <v/>
      </c>
      <c r="I1774" s="485">
        <f>IF(H1774="free",0,IF(H1774="credit",((E1774*(F1774))*G1774*-1),IF(F1774="Buy",(E1774*G1774),((E1774*(1-F1774))*G1774))))</f>
        <v>0</v>
      </c>
      <c r="J1774" s="485">
        <f>IF(H1774="warranty",0,(I1774*(_xlfn.SINGLE(SalesTaxPercentage))))</f>
        <v>0</v>
      </c>
      <c r="K1774" s="715">
        <f t="shared" ref="K1774" si="1277">I1774+J1774</f>
        <v>0</v>
      </c>
      <c r="L1774" s="715"/>
      <c r="M1774" s="689" t="str">
        <f ca="1">IF(AND(G1774&gt;0,E1774=0),"WARNING - no PRICE inserted",IF(H1774="free","FREE ~ no charge this plant",IF(H1774="credit",CONCATENATE("-$",ROUND(K1774*(1-_xlfn.SINGLE(T2GDiscount))*-1,2)," CREDIT after discount"),IF(_xlfn.SINGLE(T2GDiscount)=0,"",IF(G1774=0,"",IF(F1774="Buy",CONCATENATE("$",ROUND(K1774*(1-_xlfn.SINGLE(T2GDiscount)),2)," with ",(_xlfn.SINGLE(T2GDiscount)*100),"% discount"),CONCATENATE("$",ROUND(K1774*(1-_xlfn.SINGLE(T2GDiscount)),2)," with ",((_xlfn.SINGLE(T2GDiscount)*100+F1774*100)-(_xlfn.SINGLE(T2GDiscount)*100*F1774)),IF(F1774&gt;0,"% discounts",IF(_xlfn.SINGLE(NoWarrantyDiscount)&gt;0,"% discounts","% discount")))))))))</f>
        <v/>
      </c>
      <c r="N1774" s="690"/>
      <c r="O1774" s="486"/>
      <c r="P1774" s="486"/>
      <c r="Q1774" s="486"/>
      <c r="R1774" s="486"/>
      <c r="S1774" s="486"/>
      <c r="T1774" s="102">
        <f t="shared" si="1256"/>
        <v>0</v>
      </c>
      <c r="U1774" s="78">
        <f>IF(NOT(ISNUMBER(G1774)), "", VLOOKUP(A1774,'Discount Lookup'!D:E,2,FALSE)*G1774)</f>
        <v>0</v>
      </c>
      <c r="V1774" s="78">
        <f>IF(NOT(ISNUMBER(G1774)), "", VLOOKUP(A1774,'Discount Lookup'!G:H,2,FALSE)*G1774)</f>
        <v>0</v>
      </c>
      <c r="W1774" s="102">
        <f t="shared" si="1257"/>
        <v>0</v>
      </c>
      <c r="X1774" s="102">
        <f t="shared" si="1258"/>
        <v>0</v>
      </c>
      <c r="Y1774" s="120" t="b">
        <f t="shared" si="1259"/>
        <v>0</v>
      </c>
      <c r="Z1774" s="117">
        <f t="shared" si="1260"/>
        <v>0</v>
      </c>
      <c r="AA1774" s="118"/>
      <c r="AB1774" s="118" t="str">
        <f t="shared" si="1261"/>
        <v/>
      </c>
      <c r="AC1774" s="712" t="str">
        <f>IF(AE1774="T2G","no charge",IF(AND(OR(PlanterYesMe="No",PlanterYesMe="N",PlanterYesMe="me"),H1774=""),"",IF(H1774="credit","NO install",IF(AND(K1774="",AE1774="me"),"EACH row",IF(AND(K1774="images",AE1774="me"),"EACH row",IF(D1774="","",IF(H1774="credit","",IF(AE1774="free","re-planting",IF(AE1774="me","   not ELP, by",IF(AND(OR(PlanterYesMe="Yes",PlanterYesMe="Y"),G1774&gt;0),(VLOOKUP(A1774,'Discount Lookup'!J:K,2)*G1774*(1-PlanterDiscount)*(1+PlanterDifficultyPercentage)),IF(AE1774="ELP",(VLOOKUP(A1774,'Discount Lookup'!J:K,2)*G1774*(1-PlanterDiscount)*(1+PlanterDifficultyPercentage)),IF(AE1774="free","re-planting",IF(G1774=0,"",IF(PlanterYesMe="",IF(AE1774="me","   not ELP, by",IF(AE1774="",IF(G1774&gt;0,(VLOOKUP(A1774,'Discount Lookup'!J:K,2)*G1774*(1-PlanterDiscount)*(1+PlanterDifficultyPercentage)),""),"")),"   not ELP, by"))))))))))))))</f>
        <v/>
      </c>
      <c r="AD1774" s="712"/>
      <c r="AE1774" s="513" t="str">
        <f t="shared" si="1262"/>
        <v/>
      </c>
      <c r="AF1774" s="713" t="str">
        <f t="shared" si="1263"/>
        <v/>
      </c>
      <c r="AG1774" s="713"/>
      <c r="AH1774" s="713"/>
      <c r="AI1774" s="112">
        <f>IF(H1774="credit",0,IF(AE1774="free",0,IF(AE1774="me",0,IF(G1774&gt;0,(VLOOKUP(A1774,'Discount Lookup'!J:K,2)*G1774),0))))</f>
        <v>0</v>
      </c>
      <c r="AJ1774" s="107" t="str">
        <f t="shared" ca="1" si="1264"/>
        <v/>
      </c>
      <c r="AK1774" s="714" t="str">
        <f t="shared" si="1265"/>
        <v/>
      </c>
      <c r="AL1774" s="714"/>
      <c r="AM1774" s="114" t="str">
        <f t="shared" si="1266"/>
        <v/>
      </c>
      <c r="AN1774" s="115"/>
      <c r="AO1774" s="116"/>
      <c r="AP1774" s="116"/>
      <c r="AQ1774" s="116"/>
      <c r="AR1774" s="116"/>
      <c r="AS1774" s="116"/>
      <c r="AT1774" s="116"/>
      <c r="AU1774" s="116"/>
      <c r="AV1774" s="78"/>
      <c r="AW1774" s="102"/>
      <c r="AX1774" s="78"/>
      <c r="AY1774" s="78"/>
      <c r="AZ1774" s="78"/>
      <c r="BA1774" s="78"/>
      <c r="BB1774" s="78"/>
      <c r="BC1774" s="78"/>
      <c r="BD1774" s="78"/>
      <c r="BE1774" s="465"/>
      <c r="BF1774" s="165" t="str">
        <f t="shared" si="1267"/>
        <v>https://www.google.com/search?tbm=isch&amp;q=2%20G6</v>
      </c>
      <c r="BG1774" s="165" t="str">
        <f t="shared" si="1268"/>
        <v>H</v>
      </c>
      <c r="BH1774" s="65"/>
      <c r="BI1774" s="65"/>
      <c r="BJ1774" s="65"/>
      <c r="BK1774" s="65"/>
      <c r="BL1774" s="99"/>
      <c r="BM1774" s="99"/>
      <c r="BN1774" s="99"/>
    </row>
    <row r="1775" spans="1:66" s="51" customFormat="1" ht="16.5" thickBot="1" x14ac:dyDescent="0.3">
      <c r="A1775" s="508" t="s">
        <v>2633</v>
      </c>
      <c r="B1775" s="487"/>
      <c r="C1775" s="707"/>
      <c r="D1775" s="487"/>
      <c r="E1775" s="487"/>
      <c r="F1775" s="488"/>
      <c r="G1775" s="489"/>
      <c r="H1775" s="487"/>
      <c r="I1775" s="490"/>
      <c r="J1775" s="490"/>
      <c r="K1775" s="491"/>
      <c r="L1775" s="547"/>
      <c r="M1775" s="528"/>
      <c r="N1775" s="492"/>
      <c r="O1775" s="493"/>
      <c r="P1775" s="494"/>
      <c r="Q1775" s="492"/>
      <c r="R1775" s="492"/>
      <c r="S1775" s="699" t="s">
        <v>5259</v>
      </c>
      <c r="T1775" s="102">
        <f t="shared" si="1256"/>
        <v>0</v>
      </c>
      <c r="U1775" s="78" t="str">
        <f>IF(NOT(ISNUMBER(G1775)), "", VLOOKUP(A1775,'Discount Lookup'!D:E,2,FALSE)*G1775)</f>
        <v/>
      </c>
      <c r="V1775" s="78" t="str">
        <f>IF(NOT(ISNUMBER(G1775)), "", VLOOKUP(A1775,'Discount Lookup'!G:H,2,FALSE)*G1775)</f>
        <v/>
      </c>
      <c r="W1775" s="102">
        <f t="shared" si="1257"/>
        <v>0</v>
      </c>
      <c r="X1775" s="102">
        <f t="shared" si="1258"/>
        <v>0</v>
      </c>
      <c r="Y1775" s="120" t="b">
        <f t="shared" si="1259"/>
        <v>0</v>
      </c>
      <c r="Z1775" s="117">
        <f t="shared" si="1260"/>
        <v>0</v>
      </c>
      <c r="AA1775" s="118"/>
      <c r="AB1775" s="118" t="str">
        <f t="shared" si="1261"/>
        <v/>
      </c>
      <c r="AC1775" s="712" t="str">
        <f>IF(AE1775="T2G","no charge",IF(AND(OR(PlanterYesMe="No",PlanterYesMe="N",PlanterYesMe="me"),H1775=""),"",IF(H1775="credit","NO install",IF(AND(K1775="",AE1775="me"),"EACH row",IF(AND(K1775="images",AE1775="me"),"EACH row",IF(D1775="","",IF(H1775="credit","",IF(AE1775="free","re-planting",IF(AE1775="me","   not ELP, by",IF(AND(OR(PlanterYesMe="Yes",PlanterYesMe="Y"),G1775&gt;0),(VLOOKUP(A1775,'Discount Lookup'!J:K,2)*G1775*(1-PlanterDiscount)*(1+PlanterDifficultyPercentage)),IF(AE1775="ELP",(VLOOKUP(A1775,'Discount Lookup'!J:K,2)*G1775*(1-PlanterDiscount)*(1+PlanterDifficultyPercentage)),IF(AE1775="free","re-planting",IF(G1775=0,"",IF(PlanterYesMe="",IF(AE1775="me","   not ELP, by",IF(AE1775="",IF(G1775&gt;0,(VLOOKUP(A1775,'Discount Lookup'!J:K,2)*G1775*(1-PlanterDiscount)*(1+PlanterDifficultyPercentage)),""),"")),"   not ELP, by"))))))))))))))</f>
        <v/>
      </c>
      <c r="AD1775" s="712"/>
      <c r="AE1775" s="513" t="str">
        <f t="shared" si="1262"/>
        <v/>
      </c>
      <c r="AF1775" s="713" t="str">
        <f t="shared" si="1263"/>
        <v/>
      </c>
      <c r="AG1775" s="713"/>
      <c r="AH1775" s="713"/>
      <c r="AI1775" s="112">
        <f>IF(H1775="credit",0,IF(AE1775="free",0,IF(AE1775="me",0,IF(G1775&gt;0,(VLOOKUP(A1775,'Discount Lookup'!J:K,2)*G1775),0))))</f>
        <v>0</v>
      </c>
      <c r="AJ1775" s="107" t="str">
        <f t="shared" ca="1" si="1264"/>
        <v/>
      </c>
      <c r="AK1775" s="714" t="str">
        <f t="shared" si="1265"/>
        <v/>
      </c>
      <c r="AL1775" s="714"/>
      <c r="AM1775" s="114" t="str">
        <f t="shared" si="1266"/>
        <v/>
      </c>
      <c r="AN1775" s="115"/>
      <c r="AO1775" s="116"/>
      <c r="AP1775" s="116"/>
      <c r="AQ1775" s="116"/>
      <c r="AR1775" s="116"/>
      <c r="AS1775" s="116"/>
      <c r="AT1775" s="116"/>
      <c r="AU1775" s="116"/>
      <c r="AV1775" s="78"/>
      <c r="AW1775" s="102"/>
      <c r="AX1775" s="78"/>
      <c r="AY1775" s="78"/>
      <c r="AZ1775" s="78"/>
      <c r="BA1775" s="78"/>
      <c r="BB1775" s="78"/>
      <c r="BC1775" s="78"/>
      <c r="BD1775" s="78"/>
      <c r="BE1775" s="465"/>
      <c r="BF1775" s="165" t="str">
        <f t="shared" si="1267"/>
        <v>https://www.google.com/search?tbm=isch&amp;q=All%20Hellebores%20are%20clump-forming%20perennials%20with%20leathery%20foliage.%20They%20are%20long-lived%2C%20cold%2Fshade%20tolerant%2C%20and%20bloom%20late%20winter%20to%20spring%20</v>
      </c>
      <c r="BG1775" s="165" t="str">
        <f t="shared" si="1268"/>
        <v>A</v>
      </c>
      <c r="BH1775" s="65"/>
      <c r="BI1775" s="65"/>
      <c r="BJ1775" s="65"/>
      <c r="BK1775" s="65"/>
      <c r="BL1775" s="99"/>
      <c r="BM1775" s="99"/>
      <c r="BN1775" s="99"/>
    </row>
    <row r="1776" spans="1:66" s="51" customFormat="1" ht="18" x14ac:dyDescent="0.25">
      <c r="A1776" s="507" t="s">
        <v>2657</v>
      </c>
      <c r="B1776" s="470"/>
      <c r="C1776" s="706"/>
      <c r="D1776" s="471" t="s">
        <v>2658</v>
      </c>
      <c r="E1776" s="472"/>
      <c r="F1776" s="472"/>
      <c r="G1776" s="472"/>
      <c r="H1776" s="622" t="s">
        <v>1525</v>
      </c>
      <c r="I1776" s="473" t="s">
        <v>2659</v>
      </c>
      <c r="J1776" s="472"/>
      <c r="K1776" s="472"/>
      <c r="L1776" s="561"/>
      <c r="M1776" s="703" t="s">
        <v>5260</v>
      </c>
      <c r="N1776" s="692" t="str">
        <f>IF(AND(ISTEXT($A1776), ISERROR($A1776+0)), HYPERLINK($BF1776, "Images"), "")</f>
        <v>Images</v>
      </c>
      <c r="O1776" s="694" t="s">
        <v>5244</v>
      </c>
      <c r="P1776" s="475"/>
      <c r="Q1776" s="476"/>
      <c r="R1776" s="476"/>
      <c r="S1776" s="477"/>
      <c r="T1776" s="102">
        <f t="shared" si="1256"/>
        <v>0</v>
      </c>
      <c r="U1776" s="78" t="str">
        <f>IF(NOT(ISNUMBER(G1776)), "", VLOOKUP(A1776,'Discount Lookup'!D:E,2,FALSE)*G1776)</f>
        <v/>
      </c>
      <c r="V1776" s="78" t="str">
        <f>IF(NOT(ISNUMBER(G1776)), "", VLOOKUP(A1776,'Discount Lookup'!G:H,2,FALSE)*G1776)</f>
        <v/>
      </c>
      <c r="W1776" s="102">
        <f t="shared" si="1257"/>
        <v>0</v>
      </c>
      <c r="X1776" s="102" t="str">
        <f t="shared" si="1258"/>
        <v>White, Pink, Red, more…</v>
      </c>
      <c r="Y1776" s="120" t="b">
        <f t="shared" si="1259"/>
        <v>0</v>
      </c>
      <c r="Z1776" s="117">
        <f t="shared" si="1260"/>
        <v>0</v>
      </c>
      <c r="AA1776" s="118"/>
      <c r="AB1776" s="118" t="str">
        <f t="shared" si="1261"/>
        <v/>
      </c>
      <c r="AC1776" s="712" t="str">
        <f>IF(AE1776="T2G","no charge",IF(AND(OR(PlanterYesMe="No",PlanterYesMe="N",PlanterYesMe="me"),H1776=""),"",IF(H1776="credit","NO install",IF(AND(K1776="",AE1776="me"),"EACH row",IF(AND(K1776="images",AE1776="me"),"EACH row",IF(D1776="","",IF(H1776="credit","",IF(AE1776="free","re-planting",IF(AE1776="me","   not ELP, by",IF(AND(OR(PlanterYesMe="Yes",PlanterYesMe="Y"),G1776&gt;0),(VLOOKUP(A1776,'Discount Lookup'!J:K,2)*G1776*(1-PlanterDiscount)*(1+PlanterDifficultyPercentage)),IF(AE1776="ELP",(VLOOKUP(A1776,'Discount Lookup'!J:K,2)*G1776*(1-PlanterDiscount)*(1+PlanterDifficultyPercentage)),IF(AE1776="free","re-planting",IF(G1776=0,"",IF(PlanterYesMe="",IF(AE1776="me","   not ELP, by",IF(AE1776="",IF(G1776&gt;0,(VLOOKUP(A1776,'Discount Lookup'!J:K,2)*G1776*(1-PlanterDiscount)*(1+PlanterDifficultyPercentage)),""),"")),"   not ELP, by"))))))))))))))</f>
        <v/>
      </c>
      <c r="AD1776" s="712"/>
      <c r="AE1776" s="513" t="str">
        <f t="shared" si="1262"/>
        <v/>
      </c>
      <c r="AF1776" s="713" t="str">
        <f t="shared" si="1263"/>
        <v/>
      </c>
      <c r="AG1776" s="713"/>
      <c r="AH1776" s="713"/>
      <c r="AI1776" s="112">
        <f>IF(H1776="credit",0,IF(AE1776="free",0,IF(AE1776="me",0,IF(G1776&gt;0,(VLOOKUP(A1776,'Discount Lookup'!J:K,2)*G1776),0))))</f>
        <v>0</v>
      </c>
      <c r="AJ1776" s="107" t="str">
        <f t="shared" ca="1" si="1264"/>
        <v/>
      </c>
      <c r="AK1776" s="714" t="str">
        <f t="shared" si="1265"/>
        <v/>
      </c>
      <c r="AL1776" s="714"/>
      <c r="AM1776" s="114" t="str">
        <f t="shared" si="1266"/>
        <v/>
      </c>
      <c r="AN1776" s="115"/>
      <c r="AO1776" s="116"/>
      <c r="AP1776" s="116"/>
      <c r="AQ1776" s="116"/>
      <c r="AR1776" s="116"/>
      <c r="AS1776" s="116"/>
      <c r="AT1776" s="116"/>
      <c r="AU1776" s="116"/>
      <c r="AV1776" s="78"/>
      <c r="AW1776" s="102"/>
      <c r="AX1776" s="78"/>
      <c r="AY1776" s="78"/>
      <c r="AZ1776" s="78"/>
      <c r="BA1776" s="78"/>
      <c r="BB1776" s="78"/>
      <c r="BC1776" s="78"/>
      <c r="BD1776" s="78"/>
      <c r="BE1776" s="465"/>
      <c r="BF1776" s="165" t="str">
        <f t="shared" si="1267"/>
        <v>https://www.google.com/search?tbm=isch&amp;q=Helleborus%20x%20hybridus%20%27Pine%20Knot%20Strain%27%20Pine%20Knot%20Lenten%20Rose</v>
      </c>
      <c r="BG1776" s="165" t="str">
        <f t="shared" si="1268"/>
        <v>H</v>
      </c>
      <c r="BH1776" s="65"/>
      <c r="BI1776" s="65"/>
      <c r="BJ1776" s="65"/>
      <c r="BK1776" s="65"/>
      <c r="BL1776" s="99"/>
      <c r="BM1776" s="99"/>
      <c r="BN1776" s="99"/>
    </row>
    <row r="1777" spans="1:66" s="51" customFormat="1" ht="15.75" x14ac:dyDescent="0.25">
      <c r="A1777" s="478">
        <v>1</v>
      </c>
      <c r="B1777" s="479" t="s">
        <v>291</v>
      </c>
      <c r="C1777" s="480" t="s">
        <v>4981</v>
      </c>
      <c r="D1777" s="481" t="s">
        <v>293</v>
      </c>
      <c r="E1777" s="482">
        <v>21.95</v>
      </c>
      <c r="F1777" s="483" t="s">
        <v>292</v>
      </c>
      <c r="G1777" s="484">
        <v>0</v>
      </c>
      <c r="H1777" s="688" t="str">
        <f>IF(G1777=0,"",IF(F1777="Buy",IF(G1777=1,"plant","plants"),IF(F1777&gt;0.01,"warranty","Error")))</f>
        <v/>
      </c>
      <c r="I1777" s="485">
        <f>IF(H1777="free",0,IF(H1777="credit",((E1777*(F1777))*G1777*-1),IF(F1777="Buy",(E1777*G1777),((E1777*(1-F1777))*G1777))))</f>
        <v>0</v>
      </c>
      <c r="J1777" s="485">
        <f>IF(H1777="warranty",0,(I1777*(_xlfn.SINGLE(SalesTaxPercentage))))</f>
        <v>0</v>
      </c>
      <c r="K1777" s="715">
        <f t="shared" ref="K1777" si="1278">I1777+J1777</f>
        <v>0</v>
      </c>
      <c r="L1777" s="715"/>
      <c r="M1777" s="689" t="str">
        <f ca="1">IF(AND(G1777&gt;0,E1777=0),"WARNING - no PRICE inserted",IF(H1777="free","FREE ~ no charge this plant",IF(H1777="credit",CONCATENATE("-$",ROUND(K1777*(1-_xlfn.SINGLE(T2GDiscount))*-1,2)," CREDIT after discount"),IF(_xlfn.SINGLE(T2GDiscount)=0,"",IF(G1777=0,"",IF(F1777="Buy",CONCATENATE("$",ROUND(K1777*(1-_xlfn.SINGLE(T2GDiscount)),2)," with ",(_xlfn.SINGLE(T2GDiscount)*100),"% discount"),CONCATENATE("$",ROUND(K1777*(1-_xlfn.SINGLE(T2GDiscount)),2)," with ",((_xlfn.SINGLE(T2GDiscount)*100+F1777*100)-(_xlfn.SINGLE(T2GDiscount)*100*F1777)),IF(F1777&gt;0,"% discounts",IF(_xlfn.SINGLE(NoWarrantyDiscount)&gt;0,"% discounts","% discount")))))))))</f>
        <v/>
      </c>
      <c r="N1777" s="690"/>
      <c r="O1777" s="486"/>
      <c r="P1777" s="486"/>
      <c r="Q1777" s="486"/>
      <c r="R1777" s="486"/>
      <c r="S1777" s="486"/>
      <c r="T1777" s="102">
        <f t="shared" si="1256"/>
        <v>0</v>
      </c>
      <c r="U1777" s="78">
        <f>IF(NOT(ISNUMBER(G1777)), "", VLOOKUP(A1777,'Discount Lookup'!D:E,2,FALSE)*G1777)</f>
        <v>0</v>
      </c>
      <c r="V1777" s="78">
        <f>IF(NOT(ISNUMBER(G1777)), "", VLOOKUP(A1777,'Discount Lookup'!G:H,2,FALSE)*G1777)</f>
        <v>0</v>
      </c>
      <c r="W1777" s="102">
        <f t="shared" si="1257"/>
        <v>0</v>
      </c>
      <c r="X1777" s="102">
        <f t="shared" si="1258"/>
        <v>0</v>
      </c>
      <c r="Y1777" s="120" t="b">
        <f t="shared" si="1259"/>
        <v>0</v>
      </c>
      <c r="Z1777" s="117">
        <f t="shared" si="1260"/>
        <v>0</v>
      </c>
      <c r="AA1777" s="118"/>
      <c r="AB1777" s="118" t="str">
        <f t="shared" si="1261"/>
        <v/>
      </c>
      <c r="AC1777" s="712" t="str">
        <f>IF(AE1777="T2G","no charge",IF(AND(OR(PlanterYesMe="No",PlanterYesMe="N",PlanterYesMe="me"),H1777=""),"",IF(H1777="credit","NO install",IF(AND(K1777="",AE1777="me"),"EACH row",IF(AND(K1777="images",AE1777="me"),"EACH row",IF(D1777="","",IF(H1777="credit","",IF(AE1777="free","re-planting",IF(AE1777="me","   not ELP, by",IF(AND(OR(PlanterYesMe="Yes",PlanterYesMe="Y"),G1777&gt;0),(VLOOKUP(A1777,'Discount Lookup'!J:K,2)*G1777*(1-PlanterDiscount)*(1+PlanterDifficultyPercentage)),IF(AE1777="ELP",(VLOOKUP(A1777,'Discount Lookup'!J:K,2)*G1777*(1-PlanterDiscount)*(1+PlanterDifficultyPercentage)),IF(AE1777="free","re-planting",IF(G1777=0,"",IF(PlanterYesMe="",IF(AE1777="me","   not ELP, by",IF(AE1777="",IF(G1777&gt;0,(VLOOKUP(A1777,'Discount Lookup'!J:K,2)*G1777*(1-PlanterDiscount)*(1+PlanterDifficultyPercentage)),""),"")),"   not ELP, by"))))))))))))))</f>
        <v/>
      </c>
      <c r="AD1777" s="712"/>
      <c r="AE1777" s="513" t="str">
        <f t="shared" si="1262"/>
        <v/>
      </c>
      <c r="AF1777" s="713" t="str">
        <f t="shared" si="1263"/>
        <v/>
      </c>
      <c r="AG1777" s="713"/>
      <c r="AH1777" s="713"/>
      <c r="AI1777" s="112">
        <f>IF(H1777="credit",0,IF(AE1777="free",0,IF(AE1777="me",0,IF(G1777&gt;0,(VLOOKUP(A1777,'Discount Lookup'!J:K,2)*G1777),0))))</f>
        <v>0</v>
      </c>
      <c r="AJ1777" s="107" t="str">
        <f t="shared" ca="1" si="1264"/>
        <v/>
      </c>
      <c r="AK1777" s="714" t="str">
        <f t="shared" si="1265"/>
        <v/>
      </c>
      <c r="AL1777" s="714"/>
      <c r="AM1777" s="114" t="str">
        <f t="shared" si="1266"/>
        <v/>
      </c>
      <c r="AN1777" s="115"/>
      <c r="AO1777" s="116"/>
      <c r="AP1777" s="116"/>
      <c r="AQ1777" s="116"/>
      <c r="AR1777" s="116"/>
      <c r="AS1777" s="116"/>
      <c r="AT1777" s="116"/>
      <c r="AU1777" s="116"/>
      <c r="AV1777" s="78"/>
      <c r="AW1777" s="102"/>
      <c r="AX1777" s="78"/>
      <c r="AY1777" s="78"/>
      <c r="AZ1777" s="78"/>
      <c r="BA1777" s="78"/>
      <c r="BB1777" s="78"/>
      <c r="BC1777" s="78"/>
      <c r="BD1777" s="78"/>
      <c r="BE1777" s="465"/>
      <c r="BF1777" s="165" t="str">
        <f t="shared" si="1267"/>
        <v>https://www.google.com/search?tbm=isch&amp;q=1%20G6</v>
      </c>
      <c r="BG1777" s="165" t="str">
        <f t="shared" si="1268"/>
        <v>H</v>
      </c>
      <c r="BH1777" s="65"/>
      <c r="BI1777" s="65"/>
      <c r="BJ1777" s="65"/>
      <c r="BK1777" s="65"/>
      <c r="BL1777" s="99"/>
      <c r="BM1777" s="99"/>
      <c r="BN1777" s="99"/>
    </row>
    <row r="1778" spans="1:66" s="51" customFormat="1" ht="15.75" x14ac:dyDescent="0.25">
      <c r="A1778" s="705" t="s">
        <v>5403</v>
      </c>
      <c r="B1778" s="487"/>
      <c r="C1778" s="707"/>
      <c r="D1778" s="487"/>
      <c r="E1778" s="487"/>
      <c r="F1778" s="488"/>
      <c r="G1778" s="489"/>
      <c r="H1778" s="487"/>
      <c r="I1778" s="490"/>
      <c r="J1778" s="490"/>
      <c r="K1778" s="491"/>
      <c r="L1778" s="547"/>
      <c r="M1778" s="528"/>
      <c r="N1778" s="492"/>
      <c r="O1778" s="493"/>
      <c r="P1778" s="494"/>
      <c r="Q1778" s="492"/>
      <c r="R1778" s="492"/>
      <c r="S1778" s="699" t="s">
        <v>5259</v>
      </c>
      <c r="T1778" s="102">
        <f t="shared" si="1256"/>
        <v>0</v>
      </c>
      <c r="U1778" s="78" t="str">
        <f>IF(NOT(ISNUMBER(G1778)), "", VLOOKUP(A1778,'Discount Lookup'!D:E,2,FALSE)*G1778)</f>
        <v/>
      </c>
      <c r="V1778" s="78" t="str">
        <f>IF(NOT(ISNUMBER(G1778)), "", VLOOKUP(A1778,'Discount Lookup'!G:H,2,FALSE)*G1778)</f>
        <v/>
      </c>
      <c r="W1778" s="102">
        <f t="shared" si="1257"/>
        <v>0</v>
      </c>
      <c r="X1778" s="102">
        <f t="shared" si="1258"/>
        <v>0</v>
      </c>
      <c r="Y1778" s="120" t="b">
        <f t="shared" si="1259"/>
        <v>0</v>
      </c>
      <c r="Z1778" s="117">
        <f t="shared" si="1260"/>
        <v>0</v>
      </c>
      <c r="AA1778" s="118"/>
      <c r="AB1778" s="118" t="str">
        <f t="shared" si="1261"/>
        <v/>
      </c>
      <c r="AC1778" s="712" t="str">
        <f>IF(AE1778="T2G","no charge",IF(AND(OR(PlanterYesMe="No",PlanterYesMe="N",PlanterYesMe="me"),H1778=""),"",IF(H1778="credit","NO install",IF(AND(K1778="",AE1778="me"),"EACH row",IF(AND(K1778="images",AE1778="me"),"EACH row",IF(D1778="","",IF(H1778="credit","",IF(AE1778="free","re-planting",IF(AE1778="me","   not ELP, by",IF(AND(OR(PlanterYesMe="Yes",PlanterYesMe="Y"),G1778&gt;0),(VLOOKUP(A1778,'Discount Lookup'!J:K,2)*G1778*(1-PlanterDiscount)*(1+PlanterDifficultyPercentage)),IF(AE1778="ELP",(VLOOKUP(A1778,'Discount Lookup'!J:K,2)*G1778*(1-PlanterDiscount)*(1+PlanterDifficultyPercentage)),IF(AE1778="free","re-planting",IF(G1778=0,"",IF(PlanterYesMe="",IF(AE1778="me","   not ELP, by",IF(AE1778="",IF(G1778&gt;0,(VLOOKUP(A1778,'Discount Lookup'!J:K,2)*G1778*(1-PlanterDiscount)*(1+PlanterDifficultyPercentage)),""),"")),"   not ELP, by"))))))))))))))</f>
        <v/>
      </c>
      <c r="AD1778" s="712"/>
      <c r="AE1778" s="513" t="str">
        <f t="shared" si="1262"/>
        <v/>
      </c>
      <c r="AF1778" s="713" t="str">
        <f t="shared" si="1263"/>
        <v/>
      </c>
      <c r="AG1778" s="713"/>
      <c r="AH1778" s="713"/>
      <c r="AI1778" s="112">
        <f>IF(H1778="credit",0,IF(AE1778="free",0,IF(AE1778="me",0,IF(G1778&gt;0,(VLOOKUP(A1778,'Discount Lookup'!J:K,2)*G1778),0))))</f>
        <v>0</v>
      </c>
      <c r="AJ1778" s="107" t="str">
        <f t="shared" ca="1" si="1264"/>
        <v/>
      </c>
      <c r="AK1778" s="714" t="str">
        <f t="shared" si="1265"/>
        <v/>
      </c>
      <c r="AL1778" s="714"/>
      <c r="AM1778" s="114" t="str">
        <f t="shared" si="1266"/>
        <v/>
      </c>
      <c r="AN1778" s="115"/>
      <c r="AO1778" s="116"/>
      <c r="AP1778" s="116"/>
      <c r="AQ1778" s="116"/>
      <c r="AR1778" s="116"/>
      <c r="AS1778" s="116"/>
      <c r="AT1778" s="116"/>
      <c r="AU1778" s="116"/>
      <c r="AV1778" s="78"/>
      <c r="AW1778" s="102"/>
      <c r="AX1778" s="78"/>
      <c r="AY1778" s="78"/>
      <c r="AZ1778" s="78"/>
      <c r="BA1778" s="78"/>
      <c r="BB1778" s="78"/>
      <c r="BC1778" s="78"/>
      <c r="BD1778" s="78"/>
      <c r="BE1778" s="465"/>
      <c r="BF1778" s="165" t="str">
        <f t="shared" si="1267"/>
        <v>https://www.google.com/search?tbm=isch&amp;q=moist%20sites%F0%9F%92%A7OK%2C%20All%20Hellebores%20are%20clump-forming%2C%20with%20leathery%20foliage.%20Long-lived%2C%20cold%2Fshade%20tolerant%2C%20and%20bloom%20late%20winter%20to%20spring%20</v>
      </c>
      <c r="BG1778" s="165" t="str">
        <f t="shared" si="1268"/>
        <v>m</v>
      </c>
      <c r="BH1778" s="65"/>
      <c r="BI1778" s="65"/>
      <c r="BJ1778" s="65"/>
      <c r="BK1778" s="65"/>
      <c r="BL1778" s="99"/>
      <c r="BM1778" s="99"/>
      <c r="BN1778" s="99"/>
    </row>
    <row r="1779" spans="1:66" s="51" customFormat="1" ht="19.5" thickBot="1" x14ac:dyDescent="0.3">
      <c r="A1779" s="686" t="s">
        <v>484</v>
      </c>
      <c r="B1779" s="73"/>
      <c r="C1779" s="708"/>
      <c r="D1779" s="73"/>
      <c r="E1779" s="73"/>
      <c r="F1779" s="496"/>
      <c r="G1779" s="73"/>
      <c r="H1779" s="73"/>
      <c r="I1779" s="73"/>
      <c r="J1779" s="497" t="s">
        <v>357</v>
      </c>
      <c r="K1779" s="498"/>
      <c r="L1779" s="562"/>
      <c r="M1779" s="73"/>
      <c r="N1779"/>
      <c r="O1779"/>
      <c r="P1779"/>
      <c r="Q1779"/>
      <c r="R1779"/>
      <c r="S1779"/>
      <c r="T1779" s="102">
        <f t="shared" si="1256"/>
        <v>0</v>
      </c>
      <c r="U1779" s="78" t="str">
        <f>IF(NOT(ISNUMBER(G1779)), "", VLOOKUP(A1779,'Discount Lookup'!D:E,2,FALSE)*G1779)</f>
        <v/>
      </c>
      <c r="V1779" s="78" t="str">
        <f>IF(NOT(ISNUMBER(G1779)), "", VLOOKUP(A1779,'Discount Lookup'!G:H,2,FALSE)*G1779)</f>
        <v/>
      </c>
      <c r="W1779" s="102">
        <f t="shared" si="1257"/>
        <v>0</v>
      </c>
      <c r="X1779" s="102">
        <f t="shared" si="1258"/>
        <v>0</v>
      </c>
      <c r="Y1779" s="120" t="b">
        <f t="shared" si="1259"/>
        <v>0</v>
      </c>
      <c r="Z1779" s="117">
        <f t="shared" si="1260"/>
        <v>0</v>
      </c>
      <c r="AA1779" s="118"/>
      <c r="AB1779" s="118" t="str">
        <f t="shared" si="1261"/>
        <v/>
      </c>
      <c r="AC1779" s="712" t="str">
        <f>IF(AE1779="T2G","no charge",IF(AND(OR(PlanterYesMe="No",PlanterYesMe="N",PlanterYesMe="me"),H1779=""),"",IF(H1779="credit","NO install",IF(AND(K1779="",AE1779="me"),"EACH row",IF(AND(K1779="images",AE1779="me"),"EACH row",IF(D1779="","",IF(H1779="credit","",IF(AE1779="free","re-planting",IF(AE1779="me","   not ELP, by",IF(AND(OR(PlanterYesMe="Yes",PlanterYesMe="Y"),G1779&gt;0),(VLOOKUP(A1779,'Discount Lookup'!J:K,2)*G1779*(1-PlanterDiscount)*(1+PlanterDifficultyPercentage)),IF(AE1779="ELP",(VLOOKUP(A1779,'Discount Lookup'!J:K,2)*G1779*(1-PlanterDiscount)*(1+PlanterDifficultyPercentage)),IF(AE1779="free","re-planting",IF(G1779=0,"",IF(PlanterYesMe="",IF(AE1779="me","   not ELP, by",IF(AE1779="",IF(G1779&gt;0,(VLOOKUP(A1779,'Discount Lookup'!J:K,2)*G1779*(1-PlanterDiscount)*(1+PlanterDifficultyPercentage)),""),"")),"   not ELP, by"))))))))))))))</f>
        <v/>
      </c>
      <c r="AD1779" s="712"/>
      <c r="AE1779" s="513" t="str">
        <f t="shared" si="1262"/>
        <v/>
      </c>
      <c r="AF1779" s="713" t="str">
        <f t="shared" si="1263"/>
        <v/>
      </c>
      <c r="AG1779" s="713"/>
      <c r="AH1779" s="713"/>
      <c r="AI1779" s="112">
        <f>IF(H1779="credit",0,IF(AE1779="free",0,IF(AE1779="me",0,IF(G1779&gt;0,(VLOOKUP(A1779,'Discount Lookup'!J:K,2)*G1779),0))))</f>
        <v>0</v>
      </c>
      <c r="AJ1779" s="107" t="str">
        <f t="shared" ca="1" si="1264"/>
        <v/>
      </c>
      <c r="AK1779" s="714" t="str">
        <f t="shared" si="1265"/>
        <v/>
      </c>
      <c r="AL1779" s="714"/>
      <c r="AM1779" s="114" t="str">
        <f t="shared" si="1266"/>
        <v/>
      </c>
      <c r="AN1779" s="115"/>
      <c r="AO1779" s="116"/>
      <c r="AP1779" s="116"/>
      <c r="AQ1779" s="116"/>
      <c r="AR1779" s="116"/>
      <c r="AS1779" s="116"/>
      <c r="AT1779" s="116"/>
      <c r="AU1779" s="116"/>
      <c r="AV1779" s="78"/>
      <c r="AW1779" s="102"/>
      <c r="AX1779" s="78"/>
      <c r="AY1779" s="78"/>
      <c r="AZ1779" s="78"/>
      <c r="BA1779" s="78"/>
      <c r="BB1779" s="78"/>
      <c r="BC1779" s="78"/>
      <c r="BD1779" s="78"/>
      <c r="BE1779" s="465"/>
      <c r="BF1779" s="165" t="str">
        <f t="shared" si="1267"/>
        <v>https://www.google.com/search?tbm=isch&amp;q=Hemerocallis%20%3D%20Daylily%20</v>
      </c>
      <c r="BG1779" s="165" t="str">
        <f t="shared" si="1268"/>
        <v>H</v>
      </c>
      <c r="BH1779" s="65"/>
      <c r="BI1779" s="65"/>
      <c r="BJ1779" s="65"/>
      <c r="BK1779" s="65"/>
      <c r="BL1779" s="99"/>
      <c r="BM1779" s="99"/>
      <c r="BN1779" s="99"/>
    </row>
    <row r="1780" spans="1:66" s="51" customFormat="1" ht="18" x14ac:dyDescent="0.25">
      <c r="A1780" s="623" t="s">
        <v>2660</v>
      </c>
      <c r="B1780" s="624"/>
      <c r="C1780" s="709"/>
      <c r="D1780" s="625" t="s">
        <v>2661</v>
      </c>
      <c r="E1780" s="626"/>
      <c r="F1780" s="626"/>
      <c r="G1780" s="626"/>
      <c r="H1780" s="622" t="s">
        <v>1516</v>
      </c>
      <c r="I1780" s="627" t="s">
        <v>2662</v>
      </c>
      <c r="J1780" s="628"/>
      <c r="K1780" s="628"/>
      <c r="L1780" s="629"/>
      <c r="M1780" s="700" t="s">
        <v>5249</v>
      </c>
      <c r="N1780" s="693" t="str">
        <f>IF(AND(ISTEXT($A1780), ISERROR($A1780+0)), HYPERLINK($BF1780, "Images"), "")</f>
        <v>Images</v>
      </c>
      <c r="O1780" s="695" t="s">
        <v>5264</v>
      </c>
      <c r="P1780" s="630"/>
      <c r="Q1780" s="631"/>
      <c r="R1780" s="632"/>
      <c r="S1780" s="633"/>
      <c r="T1780" s="102">
        <f t="shared" si="1256"/>
        <v>0</v>
      </c>
      <c r="U1780" s="78" t="str">
        <f>IF(NOT(ISNUMBER(G1780)), "", VLOOKUP(A1780,'Discount Lookup'!D:E,2,FALSE)*G1780)</f>
        <v/>
      </c>
      <c r="V1780" s="78" t="str">
        <f>IF(NOT(ISNUMBER(G1780)), "", VLOOKUP(A1780,'Discount Lookup'!G:H,2,FALSE)*G1780)</f>
        <v/>
      </c>
      <c r="W1780" s="102">
        <f t="shared" si="1257"/>
        <v>0</v>
      </c>
      <c r="X1780" s="102" t="str">
        <f t="shared" si="1258"/>
        <v>Lemon Yellow bloom</v>
      </c>
      <c r="Y1780" s="120" t="b">
        <f t="shared" si="1259"/>
        <v>0</v>
      </c>
      <c r="Z1780" s="117">
        <f t="shared" si="1260"/>
        <v>0</v>
      </c>
      <c r="AA1780" s="118"/>
      <c r="AB1780" s="118" t="str">
        <f t="shared" si="1261"/>
        <v/>
      </c>
      <c r="AC1780" s="712" t="str">
        <f>IF(AE1780="T2G","no charge",IF(AND(OR(PlanterYesMe="No",PlanterYesMe="N",PlanterYesMe="me"),H1780=""),"",IF(H1780="credit","NO install",IF(AND(K1780="",AE1780="me"),"EACH row",IF(AND(K1780="images",AE1780="me"),"EACH row",IF(D1780="","",IF(H1780="credit","",IF(AE1780="free","re-planting",IF(AE1780="me","   not ELP, by",IF(AND(OR(PlanterYesMe="Yes",PlanterYesMe="Y"),G1780&gt;0),(VLOOKUP(A1780,'Discount Lookup'!J:K,2)*G1780*(1-PlanterDiscount)*(1+PlanterDifficultyPercentage)),IF(AE1780="ELP",(VLOOKUP(A1780,'Discount Lookup'!J:K,2)*G1780*(1-PlanterDiscount)*(1+PlanterDifficultyPercentage)),IF(AE1780="free","re-planting",IF(G1780=0,"",IF(PlanterYesMe="",IF(AE1780="me","   not ELP, by",IF(AE1780="",IF(G1780&gt;0,(VLOOKUP(A1780,'Discount Lookup'!J:K,2)*G1780*(1-PlanterDiscount)*(1+PlanterDifficultyPercentage)),""),"")),"   not ELP, by"))))))))))))))</f>
        <v/>
      </c>
      <c r="AD1780" s="712"/>
      <c r="AE1780" s="513" t="str">
        <f t="shared" si="1262"/>
        <v/>
      </c>
      <c r="AF1780" s="713" t="str">
        <f t="shared" si="1263"/>
        <v/>
      </c>
      <c r="AG1780" s="713"/>
      <c r="AH1780" s="713"/>
      <c r="AI1780" s="112">
        <f>IF(H1780="credit",0,IF(AE1780="free",0,IF(AE1780="me",0,IF(G1780&gt;0,(VLOOKUP(A1780,'Discount Lookup'!J:K,2)*G1780),0))))</f>
        <v>0</v>
      </c>
      <c r="AJ1780" s="107" t="str">
        <f t="shared" ca="1" si="1264"/>
        <v/>
      </c>
      <c r="AK1780" s="714" t="str">
        <f t="shared" si="1265"/>
        <v/>
      </c>
      <c r="AL1780" s="714"/>
      <c r="AM1780" s="114" t="str">
        <f t="shared" si="1266"/>
        <v/>
      </c>
      <c r="AN1780" s="115"/>
      <c r="AO1780" s="116"/>
      <c r="AP1780" s="116"/>
      <c r="AQ1780" s="116"/>
      <c r="AR1780" s="116"/>
      <c r="AS1780" s="116"/>
      <c r="AT1780" s="116"/>
      <c r="AU1780" s="116"/>
      <c r="AV1780" s="78"/>
      <c r="AW1780" s="102"/>
      <c r="AX1780" s="78"/>
      <c r="AY1780" s="78"/>
      <c r="AZ1780" s="78"/>
      <c r="BA1780" s="78"/>
      <c r="BB1780" s="78"/>
      <c r="BC1780" s="78"/>
      <c r="BD1780" s="78"/>
      <c r="BE1780" s="465"/>
      <c r="BF1780" s="165" t="str">
        <f t="shared" si="1267"/>
        <v>https://www.google.com/search?tbm=isch&amp;q=Hemerocallis%20%27Happy%20Returns%27%20Happy%20Returns%20Daylily</v>
      </c>
      <c r="BG1780" s="165" t="str">
        <f t="shared" si="1268"/>
        <v>H</v>
      </c>
      <c r="BH1780" s="65"/>
      <c r="BI1780" s="65"/>
      <c r="BJ1780" s="65"/>
      <c r="BK1780" s="65"/>
      <c r="BL1780" s="99"/>
      <c r="BM1780" s="99"/>
      <c r="BN1780" s="99"/>
    </row>
    <row r="1781" spans="1:66" s="51" customFormat="1" ht="15.75" x14ac:dyDescent="0.25">
      <c r="A1781" s="634">
        <v>1</v>
      </c>
      <c r="B1781" s="635" t="s">
        <v>291</v>
      </c>
      <c r="C1781" s="636"/>
      <c r="D1781" s="637" t="s">
        <v>310</v>
      </c>
      <c r="E1781" s="638">
        <v>8.9499999999999993</v>
      </c>
      <c r="F1781" s="639" t="s">
        <v>292</v>
      </c>
      <c r="G1781" s="484">
        <v>0</v>
      </c>
      <c r="H1781" s="691" t="str">
        <f>IF(G1781=0,"",IF(F1781="Buy",IF(G1781=1,"plant","plants"),IF(F1781&gt;0.01,"warranty","Error")))</f>
        <v/>
      </c>
      <c r="I1781" s="640">
        <f>IF(H1781="free",0,IF(H1781="credit",((E1781*(F1781))*G1781*-1),IF(F1781="Buy",(E1781*G1781),((E1781*(1-F1781))*G1781))))</f>
        <v>0</v>
      </c>
      <c r="J1781" s="640">
        <f>IF(H1781="warranty",0,(I1781*(_xlfn.SINGLE(SalesTaxPercentage))))</f>
        <v>0</v>
      </c>
      <c r="K1781" s="716">
        <f t="shared" ref="K1781" si="1279">I1781+J1781</f>
        <v>0</v>
      </c>
      <c r="L1781" s="716"/>
      <c r="M1781" s="689" t="str">
        <f ca="1">IF(AND(G1781&gt;0,E1781=0),"WARNING - no PRICE inserted",IF(H1781="free","FREE ~ no charge this plant",IF(H1781="credit",CONCATENATE("-$",ROUND(K1781*(1-_xlfn.SINGLE(T2GDiscount))*-1,2)," CREDIT after discount"),IF(_xlfn.SINGLE(T2GDiscount)=0,"",IF(G1781=0,"",IF(F1781="Buy",CONCATENATE("$",ROUND(K1781*(1-_xlfn.SINGLE(T2GDiscount)),2)," with ",(_xlfn.SINGLE(T2GDiscount)*100),"% discount"),CONCATENATE("$",ROUND(K1781*(1-_xlfn.SINGLE(T2GDiscount)),2)," with ",((_xlfn.SINGLE(T2GDiscount)*100+F1781*100)-(_xlfn.SINGLE(T2GDiscount)*100*F1781)),IF(F1781&gt;0,"% discounts",IF(_xlfn.SINGLE(NoWarrantyDiscount)&gt;0,"% discounts","% discount")))))))))</f>
        <v/>
      </c>
      <c r="N1781" s="690"/>
      <c r="O1781" s="486"/>
      <c r="P1781" s="486"/>
      <c r="Q1781" s="486"/>
      <c r="R1781" s="486"/>
      <c r="S1781" s="486"/>
      <c r="T1781" s="102">
        <f t="shared" si="1256"/>
        <v>0</v>
      </c>
      <c r="U1781" s="78">
        <f>IF(NOT(ISNUMBER(G1781)), "", VLOOKUP(A1781,'Discount Lookup'!D:E,2,FALSE)*G1781)</f>
        <v>0</v>
      </c>
      <c r="V1781" s="78">
        <f>IF(NOT(ISNUMBER(G1781)), "", VLOOKUP(A1781,'Discount Lookup'!G:H,2,FALSE)*G1781)</f>
        <v>0</v>
      </c>
      <c r="W1781" s="102">
        <f t="shared" si="1257"/>
        <v>0</v>
      </c>
      <c r="X1781" s="102">
        <f t="shared" si="1258"/>
        <v>0</v>
      </c>
      <c r="Y1781" s="120" t="b">
        <f t="shared" si="1259"/>
        <v>0</v>
      </c>
      <c r="Z1781" s="117">
        <f t="shared" si="1260"/>
        <v>0</v>
      </c>
      <c r="AA1781" s="118"/>
      <c r="AB1781" s="118" t="str">
        <f t="shared" si="1261"/>
        <v/>
      </c>
      <c r="AC1781" s="712" t="str">
        <f>IF(AE1781="T2G","no charge",IF(AND(OR(PlanterYesMe="No",PlanterYesMe="N",PlanterYesMe="me"),H1781=""),"",IF(H1781="credit","NO install",IF(AND(K1781="",AE1781="me"),"EACH row",IF(AND(K1781="images",AE1781="me"),"EACH row",IF(D1781="","",IF(H1781="credit","",IF(AE1781="free","re-planting",IF(AE1781="me","   not ELP, by",IF(AND(OR(PlanterYesMe="Yes",PlanterYesMe="Y"),G1781&gt;0),(VLOOKUP(A1781,'Discount Lookup'!J:K,2)*G1781*(1-PlanterDiscount)*(1+PlanterDifficultyPercentage)),IF(AE1781="ELP",(VLOOKUP(A1781,'Discount Lookup'!J:K,2)*G1781*(1-PlanterDiscount)*(1+PlanterDifficultyPercentage)),IF(AE1781="free","re-planting",IF(G1781=0,"",IF(PlanterYesMe="",IF(AE1781="me","   not ELP, by",IF(AE1781="",IF(G1781&gt;0,(VLOOKUP(A1781,'Discount Lookup'!J:K,2)*G1781*(1-PlanterDiscount)*(1+PlanterDifficultyPercentage)),""),"")),"   not ELP, by"))))))))))))))</f>
        <v/>
      </c>
      <c r="AD1781" s="712"/>
      <c r="AE1781" s="513" t="str">
        <f t="shared" si="1262"/>
        <v/>
      </c>
      <c r="AF1781" s="713" t="str">
        <f t="shared" si="1263"/>
        <v/>
      </c>
      <c r="AG1781" s="713"/>
      <c r="AH1781" s="713"/>
      <c r="AI1781" s="112">
        <f>IF(H1781="credit",0,IF(AE1781="free",0,IF(AE1781="me",0,IF(G1781&gt;0,(VLOOKUP(A1781,'Discount Lookup'!J:K,2)*G1781),0))))</f>
        <v>0</v>
      </c>
      <c r="AJ1781" s="107" t="str">
        <f t="shared" ca="1" si="1264"/>
        <v/>
      </c>
      <c r="AK1781" s="714" t="str">
        <f t="shared" si="1265"/>
        <v/>
      </c>
      <c r="AL1781" s="714"/>
      <c r="AM1781" s="114" t="str">
        <f t="shared" si="1266"/>
        <v/>
      </c>
      <c r="AN1781" s="115"/>
      <c r="AO1781" s="116"/>
      <c r="AP1781" s="116"/>
      <c r="AQ1781" s="116"/>
      <c r="AR1781" s="116"/>
      <c r="AS1781" s="116"/>
      <c r="AT1781" s="116"/>
      <c r="AU1781" s="116"/>
      <c r="AV1781" s="78"/>
      <c r="AW1781" s="102"/>
      <c r="AX1781" s="78"/>
      <c r="AY1781" s="78"/>
      <c r="AZ1781" s="78"/>
      <c r="BA1781" s="78"/>
      <c r="BB1781" s="78"/>
      <c r="BC1781" s="78"/>
      <c r="BD1781" s="78"/>
      <c r="BE1781" s="465"/>
      <c r="BF1781" s="165" t="str">
        <f t="shared" si="1267"/>
        <v>https://www.google.com/search?tbm=isch&amp;q=1%20G1</v>
      </c>
      <c r="BG1781" s="165" t="str">
        <f t="shared" si="1268"/>
        <v>H</v>
      </c>
      <c r="BH1781" s="65"/>
      <c r="BI1781" s="65"/>
      <c r="BJ1781" s="65"/>
      <c r="BK1781" s="65"/>
      <c r="BL1781" s="99"/>
      <c r="BM1781" s="99"/>
      <c r="BN1781" s="99"/>
    </row>
    <row r="1782" spans="1:66" s="51" customFormat="1" ht="15.75" x14ac:dyDescent="0.25">
      <c r="A1782" s="634">
        <v>1</v>
      </c>
      <c r="B1782" s="635" t="s">
        <v>291</v>
      </c>
      <c r="C1782" s="636" t="s">
        <v>2663</v>
      </c>
      <c r="D1782" s="637" t="s">
        <v>309</v>
      </c>
      <c r="E1782" s="638">
        <v>8.9499999999999993</v>
      </c>
      <c r="F1782" s="639" t="s">
        <v>292</v>
      </c>
      <c r="G1782" s="484">
        <v>0</v>
      </c>
      <c r="H1782" s="691" t="str">
        <f>IF(G1782=0,"",IF(F1782="Buy",IF(G1782=1,"plant","plants"),IF(F1782&gt;0.01,"warranty","Error")))</f>
        <v/>
      </c>
      <c r="I1782" s="640">
        <f>IF(H1782="free",0,IF(H1782="credit",((E1782*(F1782))*G1782*-1),IF(F1782="Buy",(E1782*G1782),((E1782*(1-F1782))*G1782))))</f>
        <v>0</v>
      </c>
      <c r="J1782" s="640">
        <f>IF(H1782="warranty",0,(I1782*(_xlfn.SINGLE(SalesTaxPercentage))))</f>
        <v>0</v>
      </c>
      <c r="K1782" s="716">
        <f t="shared" ref="K1782" si="1280">I1782+J1782</f>
        <v>0</v>
      </c>
      <c r="L1782" s="716"/>
      <c r="M1782" s="689" t="str">
        <f ca="1">IF(AND(G1782&gt;0,E1782=0),"WARNING - no PRICE inserted",IF(H1782="free","FREE ~ no charge this plant",IF(H1782="credit",CONCATENATE("-$",ROUND(K1782*(1-_xlfn.SINGLE(T2GDiscount))*-1,2)," CREDIT after discount"),IF(_xlfn.SINGLE(T2GDiscount)=0,"",IF(G1782=0,"",IF(F1782="Buy",CONCATENATE("$",ROUND(K1782*(1-_xlfn.SINGLE(T2GDiscount)),2)," with ",(_xlfn.SINGLE(T2GDiscount)*100),"% discount"),CONCATENATE("$",ROUND(K1782*(1-_xlfn.SINGLE(T2GDiscount)),2)," with ",((_xlfn.SINGLE(T2GDiscount)*100+F1782*100)-(_xlfn.SINGLE(T2GDiscount)*100*F1782)),IF(F1782&gt;0,"% discounts",IF(_xlfn.SINGLE(NoWarrantyDiscount)&gt;0,"% discounts","% discount")))))))))</f>
        <v/>
      </c>
      <c r="N1782" s="690"/>
      <c r="O1782" s="486"/>
      <c r="P1782" s="486"/>
      <c r="Q1782" s="486"/>
      <c r="R1782" s="486"/>
      <c r="S1782" s="486"/>
      <c r="T1782" s="102">
        <f t="shared" si="1256"/>
        <v>0</v>
      </c>
      <c r="U1782" s="78">
        <f>IF(NOT(ISNUMBER(G1782)), "", VLOOKUP(A1782,'Discount Lookup'!D:E,2,FALSE)*G1782)</f>
        <v>0</v>
      </c>
      <c r="V1782" s="78">
        <f>IF(NOT(ISNUMBER(G1782)), "", VLOOKUP(A1782,'Discount Lookup'!G:H,2,FALSE)*G1782)</f>
        <v>0</v>
      </c>
      <c r="W1782" s="102">
        <f t="shared" si="1257"/>
        <v>0</v>
      </c>
      <c r="X1782" s="102">
        <f t="shared" si="1258"/>
        <v>0</v>
      </c>
      <c r="Y1782" s="120" t="b">
        <f t="shared" si="1259"/>
        <v>0</v>
      </c>
      <c r="Z1782" s="117">
        <f t="shared" si="1260"/>
        <v>0</v>
      </c>
      <c r="AA1782" s="118"/>
      <c r="AB1782" s="118" t="str">
        <f t="shared" si="1261"/>
        <v/>
      </c>
      <c r="AC1782" s="712" t="str">
        <f>IF(AE1782="T2G","no charge",IF(AND(OR(PlanterYesMe="No",PlanterYesMe="N",PlanterYesMe="me"),H1782=""),"",IF(H1782="credit","NO install",IF(AND(K1782="",AE1782="me"),"EACH row",IF(AND(K1782="images",AE1782="me"),"EACH row",IF(D1782="","",IF(H1782="credit","",IF(AE1782="free","re-planting",IF(AE1782="me","   not ELP, by",IF(AND(OR(PlanterYesMe="Yes",PlanterYesMe="Y"),G1782&gt;0),(VLOOKUP(A1782,'Discount Lookup'!J:K,2)*G1782*(1-PlanterDiscount)*(1+PlanterDifficultyPercentage)),IF(AE1782="ELP",(VLOOKUP(A1782,'Discount Lookup'!J:K,2)*G1782*(1-PlanterDiscount)*(1+PlanterDifficultyPercentage)),IF(AE1782="free","re-planting",IF(G1782=0,"",IF(PlanterYesMe="",IF(AE1782="me","   not ELP, by",IF(AE1782="",IF(G1782&gt;0,(VLOOKUP(A1782,'Discount Lookup'!J:K,2)*G1782*(1-PlanterDiscount)*(1+PlanterDifficultyPercentage)),""),"")),"   not ELP, by"))))))))))))))</f>
        <v/>
      </c>
      <c r="AD1782" s="712"/>
      <c r="AE1782" s="513" t="str">
        <f t="shared" si="1262"/>
        <v/>
      </c>
      <c r="AF1782" s="713" t="str">
        <f t="shared" si="1263"/>
        <v/>
      </c>
      <c r="AG1782" s="713"/>
      <c r="AH1782" s="713"/>
      <c r="AI1782" s="112">
        <f>IF(H1782="credit",0,IF(AE1782="free",0,IF(AE1782="me",0,IF(G1782&gt;0,(VLOOKUP(A1782,'Discount Lookup'!J:K,2)*G1782),0))))</f>
        <v>0</v>
      </c>
      <c r="AJ1782" s="107" t="str">
        <f t="shared" ca="1" si="1264"/>
        <v/>
      </c>
      <c r="AK1782" s="714" t="str">
        <f t="shared" si="1265"/>
        <v/>
      </c>
      <c r="AL1782" s="714"/>
      <c r="AM1782" s="114" t="str">
        <f t="shared" si="1266"/>
        <v/>
      </c>
      <c r="AN1782" s="115"/>
      <c r="AO1782" s="116"/>
      <c r="AP1782" s="116"/>
      <c r="AQ1782" s="116"/>
      <c r="AR1782" s="116"/>
      <c r="AS1782" s="116"/>
      <c r="AT1782" s="116"/>
      <c r="AU1782" s="116"/>
      <c r="AV1782" s="78"/>
      <c r="AW1782" s="102"/>
      <c r="AX1782" s="78"/>
      <c r="AY1782" s="78"/>
      <c r="AZ1782" s="78"/>
      <c r="BA1782" s="78"/>
      <c r="BB1782" s="78"/>
      <c r="BC1782" s="78"/>
      <c r="BD1782" s="78"/>
      <c r="BE1782" s="465"/>
      <c r="BF1782" s="165" t="str">
        <f t="shared" si="1267"/>
        <v>https://www.google.com/search?tbm=isch&amp;q=1%20G3</v>
      </c>
      <c r="BG1782" s="165" t="str">
        <f t="shared" si="1268"/>
        <v>H</v>
      </c>
      <c r="BH1782" s="65"/>
      <c r="BI1782" s="65"/>
      <c r="BJ1782" s="65"/>
      <c r="BK1782" s="65"/>
      <c r="BL1782" s="99"/>
      <c r="BM1782" s="99"/>
      <c r="BN1782" s="99"/>
    </row>
    <row r="1783" spans="1:66" s="51" customFormat="1" ht="15.75" x14ac:dyDescent="0.25">
      <c r="A1783" s="634">
        <v>1</v>
      </c>
      <c r="B1783" s="635" t="s">
        <v>291</v>
      </c>
      <c r="C1783" s="636" t="s">
        <v>2664</v>
      </c>
      <c r="D1783" s="637" t="s">
        <v>293</v>
      </c>
      <c r="E1783" s="638">
        <v>9.9499999999999993</v>
      </c>
      <c r="F1783" s="639" t="s">
        <v>292</v>
      </c>
      <c r="G1783" s="484">
        <v>0</v>
      </c>
      <c r="H1783" s="691" t="str">
        <f>IF(G1783=0,"",IF(F1783="Buy",IF(G1783=1,"plant","plants"),IF(F1783&gt;0.01,"warranty","Error")))</f>
        <v/>
      </c>
      <c r="I1783" s="640">
        <f>IF(H1783="free",0,IF(H1783="credit",((E1783*(F1783))*G1783*-1),IF(F1783="Buy",(E1783*G1783),((E1783*(1-F1783))*G1783))))</f>
        <v>0</v>
      </c>
      <c r="J1783" s="640">
        <f>IF(H1783="warranty",0,(I1783*(_xlfn.SINGLE(SalesTaxPercentage))))</f>
        <v>0</v>
      </c>
      <c r="K1783" s="716">
        <f t="shared" ref="K1783" si="1281">I1783+J1783</f>
        <v>0</v>
      </c>
      <c r="L1783" s="716"/>
      <c r="M1783" s="689" t="str">
        <f ca="1">IF(AND(G1783&gt;0,E1783=0),"WARNING - no PRICE inserted",IF(H1783="free","FREE ~ no charge this plant",IF(H1783="credit",CONCATENATE("-$",ROUND(K1783*(1-_xlfn.SINGLE(T2GDiscount))*-1,2)," CREDIT after discount"),IF(_xlfn.SINGLE(T2GDiscount)=0,"",IF(G1783=0,"",IF(F1783="Buy",CONCATENATE("$",ROUND(K1783*(1-_xlfn.SINGLE(T2GDiscount)),2)," with ",(_xlfn.SINGLE(T2GDiscount)*100),"% discount"),CONCATENATE("$",ROUND(K1783*(1-_xlfn.SINGLE(T2GDiscount)),2)," with ",((_xlfn.SINGLE(T2GDiscount)*100+F1783*100)-(_xlfn.SINGLE(T2GDiscount)*100*F1783)),IF(F1783&gt;0,"% discounts",IF(_xlfn.SINGLE(NoWarrantyDiscount)&gt;0,"% discounts","% discount")))))))))</f>
        <v/>
      </c>
      <c r="N1783" s="690"/>
      <c r="O1783" s="486"/>
      <c r="P1783" s="486"/>
      <c r="Q1783" s="486"/>
      <c r="R1783" s="486"/>
      <c r="S1783" s="486"/>
      <c r="T1783" s="102">
        <f t="shared" si="1256"/>
        <v>0</v>
      </c>
      <c r="U1783" s="78">
        <f>IF(NOT(ISNUMBER(G1783)), "", VLOOKUP(A1783,'Discount Lookup'!D:E,2,FALSE)*G1783)</f>
        <v>0</v>
      </c>
      <c r="V1783" s="78">
        <f>IF(NOT(ISNUMBER(G1783)), "", VLOOKUP(A1783,'Discount Lookup'!G:H,2,FALSE)*G1783)</f>
        <v>0</v>
      </c>
      <c r="W1783" s="102">
        <f t="shared" si="1257"/>
        <v>0</v>
      </c>
      <c r="X1783" s="102">
        <f t="shared" si="1258"/>
        <v>0</v>
      </c>
      <c r="Y1783" s="120" t="b">
        <f t="shared" si="1259"/>
        <v>0</v>
      </c>
      <c r="Z1783" s="117">
        <f t="shared" si="1260"/>
        <v>0</v>
      </c>
      <c r="AA1783" s="118"/>
      <c r="AB1783" s="118" t="str">
        <f t="shared" si="1261"/>
        <v/>
      </c>
      <c r="AC1783" s="712" t="str">
        <f>IF(AE1783="T2G","no charge",IF(AND(OR(PlanterYesMe="No",PlanterYesMe="N",PlanterYesMe="me"),H1783=""),"",IF(H1783="credit","NO install",IF(AND(K1783="",AE1783="me"),"EACH row",IF(AND(K1783="images",AE1783="me"),"EACH row",IF(D1783="","",IF(H1783="credit","",IF(AE1783="free","re-planting",IF(AE1783="me","   not ELP, by",IF(AND(OR(PlanterYesMe="Yes",PlanterYesMe="Y"),G1783&gt;0),(VLOOKUP(A1783,'Discount Lookup'!J:K,2)*G1783*(1-PlanterDiscount)*(1+PlanterDifficultyPercentage)),IF(AE1783="ELP",(VLOOKUP(A1783,'Discount Lookup'!J:K,2)*G1783*(1-PlanterDiscount)*(1+PlanterDifficultyPercentage)),IF(AE1783="free","re-planting",IF(G1783=0,"",IF(PlanterYesMe="",IF(AE1783="me","   not ELP, by",IF(AE1783="",IF(G1783&gt;0,(VLOOKUP(A1783,'Discount Lookup'!J:K,2)*G1783*(1-PlanterDiscount)*(1+PlanterDifficultyPercentage)),""),"")),"   not ELP, by"))))))))))))))</f>
        <v/>
      </c>
      <c r="AD1783" s="712"/>
      <c r="AE1783" s="513" t="str">
        <f t="shared" si="1262"/>
        <v/>
      </c>
      <c r="AF1783" s="713" t="str">
        <f t="shared" si="1263"/>
        <v/>
      </c>
      <c r="AG1783" s="713"/>
      <c r="AH1783" s="713"/>
      <c r="AI1783" s="112">
        <f>IF(H1783="credit",0,IF(AE1783="free",0,IF(AE1783="me",0,IF(G1783&gt;0,(VLOOKUP(A1783,'Discount Lookup'!J:K,2)*G1783),0))))</f>
        <v>0</v>
      </c>
      <c r="AJ1783" s="107" t="str">
        <f t="shared" ca="1" si="1264"/>
        <v/>
      </c>
      <c r="AK1783" s="714" t="str">
        <f t="shared" si="1265"/>
        <v/>
      </c>
      <c r="AL1783" s="714"/>
      <c r="AM1783" s="114" t="str">
        <f t="shared" si="1266"/>
        <v/>
      </c>
      <c r="AN1783" s="115"/>
      <c r="AO1783" s="116"/>
      <c r="AP1783" s="116"/>
      <c r="AQ1783" s="116"/>
      <c r="AR1783" s="116"/>
      <c r="AS1783" s="116"/>
      <c r="AT1783" s="116"/>
      <c r="AU1783" s="116"/>
      <c r="AV1783" s="78"/>
      <c r="AW1783" s="102"/>
      <c r="AX1783" s="78"/>
      <c r="AY1783" s="78"/>
      <c r="AZ1783" s="78"/>
      <c r="BA1783" s="78"/>
      <c r="BB1783" s="78"/>
      <c r="BC1783" s="78"/>
      <c r="BD1783" s="78"/>
      <c r="BE1783" s="465"/>
      <c r="BF1783" s="165" t="str">
        <f t="shared" si="1267"/>
        <v>https://www.google.com/search?tbm=isch&amp;q=1%20G6</v>
      </c>
      <c r="BG1783" s="165" t="str">
        <f t="shared" si="1268"/>
        <v>H</v>
      </c>
      <c r="BH1783" s="65"/>
      <c r="BI1783" s="65"/>
      <c r="BJ1783" s="65"/>
      <c r="BK1783" s="65"/>
      <c r="BL1783" s="99"/>
      <c r="BM1783" s="99"/>
      <c r="BN1783" s="99"/>
    </row>
    <row r="1784" spans="1:66" s="51" customFormat="1" ht="15.75" x14ac:dyDescent="0.25">
      <c r="A1784" s="634">
        <v>1</v>
      </c>
      <c r="B1784" s="635" t="s">
        <v>291</v>
      </c>
      <c r="C1784" s="636"/>
      <c r="D1784" s="637" t="s">
        <v>329</v>
      </c>
      <c r="E1784" s="638">
        <v>10.95</v>
      </c>
      <c r="F1784" s="639" t="s">
        <v>292</v>
      </c>
      <c r="G1784" s="484">
        <v>0</v>
      </c>
      <c r="H1784" s="691" t="str">
        <f>IF(G1784=0,"",IF(F1784="Buy",IF(G1784=1,"plant","plants"),IF(F1784&gt;0.01,"warranty","Error")))</f>
        <v/>
      </c>
      <c r="I1784" s="640">
        <f>IF(H1784="free",0,IF(H1784="credit",((E1784*(F1784))*G1784*-1),IF(F1784="Buy",(E1784*G1784),((E1784*(1-F1784))*G1784))))</f>
        <v>0</v>
      </c>
      <c r="J1784" s="640">
        <f>IF(H1784="warranty",0,(I1784*(_xlfn.SINGLE(SalesTaxPercentage))))</f>
        <v>0</v>
      </c>
      <c r="K1784" s="716">
        <f t="shared" ref="K1784" si="1282">I1784+J1784</f>
        <v>0</v>
      </c>
      <c r="L1784" s="716"/>
      <c r="M1784" s="689" t="str">
        <f ca="1">IF(AND(G1784&gt;0,E1784=0),"WARNING - no PRICE inserted",IF(H1784="free","FREE ~ no charge this plant",IF(H1784="credit",CONCATENATE("-$",ROUND(K1784*(1-_xlfn.SINGLE(T2GDiscount))*-1,2)," CREDIT after discount"),IF(_xlfn.SINGLE(T2GDiscount)=0,"",IF(G1784=0,"",IF(F1784="Buy",CONCATENATE("$",ROUND(K1784*(1-_xlfn.SINGLE(T2GDiscount)),2)," with ",(_xlfn.SINGLE(T2GDiscount)*100),"% discount"),CONCATENATE("$",ROUND(K1784*(1-_xlfn.SINGLE(T2GDiscount)),2)," with ",((_xlfn.SINGLE(T2GDiscount)*100+F1784*100)-(_xlfn.SINGLE(T2GDiscount)*100*F1784)),IF(F1784&gt;0,"% discounts",IF(_xlfn.SINGLE(NoWarrantyDiscount)&gt;0,"% discounts","% discount")))))))))</f>
        <v/>
      </c>
      <c r="N1784" s="690"/>
      <c r="O1784" s="486"/>
      <c r="P1784" s="486"/>
      <c r="Q1784" s="486"/>
      <c r="R1784" s="486"/>
      <c r="S1784" s="486"/>
      <c r="T1784" s="102">
        <f t="shared" si="1256"/>
        <v>0</v>
      </c>
      <c r="U1784" s="78">
        <f>IF(NOT(ISNUMBER(G1784)), "", VLOOKUP(A1784,'Discount Lookup'!D:E,2,FALSE)*G1784)</f>
        <v>0</v>
      </c>
      <c r="V1784" s="78">
        <f>IF(NOT(ISNUMBER(G1784)), "", VLOOKUP(A1784,'Discount Lookup'!G:H,2,FALSE)*G1784)</f>
        <v>0</v>
      </c>
      <c r="W1784" s="102">
        <f t="shared" si="1257"/>
        <v>0</v>
      </c>
      <c r="X1784" s="102">
        <f t="shared" si="1258"/>
        <v>0</v>
      </c>
      <c r="Y1784" s="120" t="b">
        <f t="shared" si="1259"/>
        <v>0</v>
      </c>
      <c r="Z1784" s="117">
        <f t="shared" si="1260"/>
        <v>0</v>
      </c>
      <c r="AA1784" s="118"/>
      <c r="AB1784" s="118" t="str">
        <f t="shared" si="1261"/>
        <v/>
      </c>
      <c r="AC1784" s="712" t="str">
        <f>IF(AE1784="T2G","no charge",IF(AND(OR(PlanterYesMe="No",PlanterYesMe="N",PlanterYesMe="me"),H1784=""),"",IF(H1784="credit","NO install",IF(AND(K1784="",AE1784="me"),"EACH row",IF(AND(K1784="images",AE1784="me"),"EACH row",IF(D1784="","",IF(H1784="credit","",IF(AE1784="free","re-planting",IF(AE1784="me","   not ELP, by",IF(AND(OR(PlanterYesMe="Yes",PlanterYesMe="Y"),G1784&gt;0),(VLOOKUP(A1784,'Discount Lookup'!J:K,2)*G1784*(1-PlanterDiscount)*(1+PlanterDifficultyPercentage)),IF(AE1784="ELP",(VLOOKUP(A1784,'Discount Lookup'!J:K,2)*G1784*(1-PlanterDiscount)*(1+PlanterDifficultyPercentage)),IF(AE1784="free","re-planting",IF(G1784=0,"",IF(PlanterYesMe="",IF(AE1784="me","   not ELP, by",IF(AE1784="",IF(G1784&gt;0,(VLOOKUP(A1784,'Discount Lookup'!J:K,2)*G1784*(1-PlanterDiscount)*(1+PlanterDifficultyPercentage)),""),"")),"   not ELP, by"))))))))))))))</f>
        <v/>
      </c>
      <c r="AD1784" s="712"/>
      <c r="AE1784" s="513" t="str">
        <f t="shared" si="1262"/>
        <v/>
      </c>
      <c r="AF1784" s="713" t="str">
        <f t="shared" si="1263"/>
        <v/>
      </c>
      <c r="AG1784" s="713"/>
      <c r="AH1784" s="713"/>
      <c r="AI1784" s="112">
        <f>IF(H1784="credit",0,IF(AE1784="free",0,IF(AE1784="me",0,IF(G1784&gt;0,(VLOOKUP(A1784,'Discount Lookup'!J:K,2)*G1784),0))))</f>
        <v>0</v>
      </c>
      <c r="AJ1784" s="107" t="str">
        <f t="shared" ca="1" si="1264"/>
        <v/>
      </c>
      <c r="AK1784" s="714" t="str">
        <f t="shared" si="1265"/>
        <v/>
      </c>
      <c r="AL1784" s="714"/>
      <c r="AM1784" s="114" t="str">
        <f t="shared" si="1266"/>
        <v/>
      </c>
      <c r="AN1784" s="115"/>
      <c r="AO1784" s="116"/>
      <c r="AP1784" s="116"/>
      <c r="AQ1784" s="116"/>
      <c r="AR1784" s="116"/>
      <c r="AS1784" s="116"/>
      <c r="AT1784" s="116"/>
      <c r="AU1784" s="116"/>
      <c r="AV1784" s="78"/>
      <c r="AW1784" s="102"/>
      <c r="AX1784" s="78"/>
      <c r="AY1784" s="78"/>
      <c r="AZ1784" s="78"/>
      <c r="BA1784" s="78"/>
      <c r="BB1784" s="78"/>
      <c r="BC1784" s="78"/>
      <c r="BD1784" s="78"/>
      <c r="BE1784" s="465"/>
      <c r="BF1784" s="165" t="str">
        <f t="shared" si="1267"/>
        <v>https://www.google.com/search?tbm=isch&amp;q=1%20G2</v>
      </c>
      <c r="BG1784" s="165" t="str">
        <f t="shared" si="1268"/>
        <v>H</v>
      </c>
      <c r="BH1784" s="65"/>
      <c r="BI1784" s="65"/>
      <c r="BJ1784" s="65"/>
      <c r="BK1784" s="65"/>
      <c r="BL1784" s="99"/>
      <c r="BM1784" s="99"/>
      <c r="BN1784" s="99"/>
    </row>
    <row r="1785" spans="1:66" s="51" customFormat="1" ht="17.25" thickBot="1" x14ac:dyDescent="0.3">
      <c r="A1785" s="704" t="s">
        <v>5404</v>
      </c>
      <c r="B1785" s="642"/>
      <c r="C1785" s="710"/>
      <c r="D1785" s="643"/>
      <c r="E1785" s="643"/>
      <c r="F1785" s="644"/>
      <c r="G1785" s="645"/>
      <c r="H1785" s="646"/>
      <c r="I1785" s="647"/>
      <c r="J1785" s="648"/>
      <c r="K1785" s="649"/>
      <c r="L1785" s="650"/>
      <c r="M1785" s="650"/>
      <c r="N1785" s="644"/>
      <c r="O1785" s="644"/>
      <c r="P1785" s="644"/>
      <c r="Q1785" s="644"/>
      <c r="R1785" s="644"/>
      <c r="S1785" s="701" t="s">
        <v>5271</v>
      </c>
      <c r="T1785" s="102">
        <f t="shared" si="1256"/>
        <v>0</v>
      </c>
      <c r="U1785" s="78" t="str">
        <f>IF(NOT(ISNUMBER(G1785)), "", VLOOKUP(A1785,'Discount Lookup'!D:E,2,FALSE)*G1785)</f>
        <v/>
      </c>
      <c r="V1785" s="78" t="str">
        <f>IF(NOT(ISNUMBER(G1785)), "", VLOOKUP(A1785,'Discount Lookup'!G:H,2,FALSE)*G1785)</f>
        <v/>
      </c>
      <c r="W1785" s="102">
        <f t="shared" si="1257"/>
        <v>0</v>
      </c>
      <c r="X1785" s="102">
        <f t="shared" si="1258"/>
        <v>0</v>
      </c>
      <c r="Y1785" s="120" t="b">
        <f t="shared" si="1259"/>
        <v>0</v>
      </c>
      <c r="Z1785" s="117">
        <f t="shared" si="1260"/>
        <v>0</v>
      </c>
      <c r="AA1785" s="118"/>
      <c r="AB1785" s="118" t="str">
        <f t="shared" si="1261"/>
        <v/>
      </c>
      <c r="AC1785" s="712" t="str">
        <f>IF(AE1785="T2G","no charge",IF(AND(OR(PlanterYesMe="No",PlanterYesMe="N",PlanterYesMe="me"),H1785=""),"",IF(H1785="credit","NO install",IF(AND(K1785="",AE1785="me"),"EACH row",IF(AND(K1785="images",AE1785="me"),"EACH row",IF(D1785="","",IF(H1785="credit","",IF(AE1785="free","re-planting",IF(AE1785="me","   not ELP, by",IF(AND(OR(PlanterYesMe="Yes",PlanterYesMe="Y"),G1785&gt;0),(VLOOKUP(A1785,'Discount Lookup'!J:K,2)*G1785*(1-PlanterDiscount)*(1+PlanterDifficultyPercentage)),IF(AE1785="ELP",(VLOOKUP(A1785,'Discount Lookup'!J:K,2)*G1785*(1-PlanterDiscount)*(1+PlanterDifficultyPercentage)),IF(AE1785="free","re-planting",IF(G1785=0,"",IF(PlanterYesMe="",IF(AE1785="me","   not ELP, by",IF(AE1785="",IF(G1785&gt;0,(VLOOKUP(A1785,'Discount Lookup'!J:K,2)*G1785*(1-PlanterDiscount)*(1+PlanterDifficultyPercentage)),""),"")),"   not ELP, by"))))))))))))))</f>
        <v/>
      </c>
      <c r="AD1785" s="712"/>
      <c r="AE1785" s="513" t="str">
        <f t="shared" si="1262"/>
        <v/>
      </c>
      <c r="AF1785" s="713" t="str">
        <f t="shared" si="1263"/>
        <v/>
      </c>
      <c r="AG1785" s="713"/>
      <c r="AH1785" s="713"/>
      <c r="AI1785" s="112">
        <f>IF(H1785="credit",0,IF(AE1785="free",0,IF(AE1785="me",0,IF(G1785&gt;0,(VLOOKUP(A1785,'Discount Lookup'!J:K,2)*G1785),0))))</f>
        <v>0</v>
      </c>
      <c r="AJ1785" s="107" t="str">
        <f t="shared" ca="1" si="1264"/>
        <v/>
      </c>
      <c r="AK1785" s="714" t="str">
        <f t="shared" si="1265"/>
        <v/>
      </c>
      <c r="AL1785" s="714"/>
      <c r="AM1785" s="114" t="str">
        <f t="shared" si="1266"/>
        <v/>
      </c>
      <c r="AN1785" s="115"/>
      <c r="AO1785" s="116"/>
      <c r="AP1785" s="116"/>
      <c r="AQ1785" s="116"/>
      <c r="AR1785" s="116"/>
      <c r="AS1785" s="116"/>
      <c r="AT1785" s="116"/>
      <c r="AU1785" s="116"/>
      <c r="AV1785" s="78"/>
      <c r="AW1785" s="102"/>
      <c r="AX1785" s="78"/>
      <c r="AY1785" s="78"/>
      <c r="AZ1785" s="78"/>
      <c r="BA1785" s="78"/>
      <c r="BB1785" s="78"/>
      <c r="BC1785" s="78"/>
      <c r="BD1785" s="78"/>
      <c r="BE1785" s="465"/>
      <c r="BF1785" s="165" t="str">
        <f t="shared" si="1267"/>
        <v>https://www.google.com/search?tbm=isch&amp;q=wet%20sites%F0%9F%92%A7OK%2C%20Happy%20Returns%20is%20a%20cutivar%20of%20Stella%20d%27Oro%2C%20for%20brighter%20blooms.%20Slightly%20fragrant.%20</v>
      </c>
      <c r="BG1785" s="165" t="str">
        <f t="shared" si="1268"/>
        <v>w</v>
      </c>
      <c r="BH1785" s="65"/>
      <c r="BI1785" s="65"/>
      <c r="BJ1785" s="65"/>
      <c r="BK1785" s="65"/>
      <c r="BL1785" s="99"/>
      <c r="BM1785" s="99"/>
      <c r="BN1785" s="99"/>
    </row>
    <row r="1786" spans="1:66" s="51" customFormat="1" ht="18" x14ac:dyDescent="0.25">
      <c r="A1786" s="623" t="s">
        <v>2665</v>
      </c>
      <c r="B1786" s="624"/>
      <c r="C1786" s="709"/>
      <c r="D1786" s="625" t="s">
        <v>2666</v>
      </c>
      <c r="E1786" s="626"/>
      <c r="F1786" s="626"/>
      <c r="G1786" s="626"/>
      <c r="H1786" s="622" t="s">
        <v>1516</v>
      </c>
      <c r="I1786" s="627" t="s">
        <v>2667</v>
      </c>
      <c r="J1786" s="628"/>
      <c r="K1786" s="628"/>
      <c r="L1786" s="629"/>
      <c r="M1786" s="700" t="s">
        <v>5249</v>
      </c>
      <c r="N1786" s="693" t="str">
        <f>IF(AND(ISTEXT($A1786), ISERROR($A1786+0)), HYPERLINK($BF1786, "Images"), "")</f>
        <v>Images</v>
      </c>
      <c r="O1786" s="695" t="s">
        <v>5264</v>
      </c>
      <c r="P1786" s="630"/>
      <c r="Q1786" s="631"/>
      <c r="R1786" s="632"/>
      <c r="S1786" s="633"/>
      <c r="T1786" s="102">
        <f t="shared" si="1256"/>
        <v>0</v>
      </c>
      <c r="U1786" s="78" t="str">
        <f>IF(NOT(ISNUMBER(G1786)), "", VLOOKUP(A1786,'Discount Lookup'!D:E,2,FALSE)*G1786)</f>
        <v/>
      </c>
      <c r="V1786" s="78" t="str">
        <f>IF(NOT(ISNUMBER(G1786)), "", VLOOKUP(A1786,'Discount Lookup'!G:H,2,FALSE)*G1786)</f>
        <v/>
      </c>
      <c r="W1786" s="102">
        <f t="shared" si="1257"/>
        <v>0</v>
      </c>
      <c r="X1786" s="102" t="str">
        <f t="shared" si="1258"/>
        <v>Red bloom, Lime throat</v>
      </c>
      <c r="Y1786" s="120" t="b">
        <f t="shared" si="1259"/>
        <v>0</v>
      </c>
      <c r="Z1786" s="117">
        <f t="shared" si="1260"/>
        <v>0</v>
      </c>
      <c r="AA1786" s="118"/>
      <c r="AB1786" s="118" t="str">
        <f t="shared" si="1261"/>
        <v/>
      </c>
      <c r="AC1786" s="712" t="str">
        <f>IF(AE1786="T2G","no charge",IF(AND(OR(PlanterYesMe="No",PlanterYesMe="N",PlanterYesMe="me"),H1786=""),"",IF(H1786="credit","NO install",IF(AND(K1786="",AE1786="me"),"EACH row",IF(AND(K1786="images",AE1786="me"),"EACH row",IF(D1786="","",IF(H1786="credit","",IF(AE1786="free","re-planting",IF(AE1786="me","   not ELP, by",IF(AND(OR(PlanterYesMe="Yes",PlanterYesMe="Y"),G1786&gt;0),(VLOOKUP(A1786,'Discount Lookup'!J:K,2)*G1786*(1-PlanterDiscount)*(1+PlanterDifficultyPercentage)),IF(AE1786="ELP",(VLOOKUP(A1786,'Discount Lookup'!J:K,2)*G1786*(1-PlanterDiscount)*(1+PlanterDifficultyPercentage)),IF(AE1786="free","re-planting",IF(G1786=0,"",IF(PlanterYesMe="",IF(AE1786="me","   not ELP, by",IF(AE1786="",IF(G1786&gt;0,(VLOOKUP(A1786,'Discount Lookup'!J:K,2)*G1786*(1-PlanterDiscount)*(1+PlanterDifficultyPercentage)),""),"")),"   not ELP, by"))))))))))))))</f>
        <v/>
      </c>
      <c r="AD1786" s="712"/>
      <c r="AE1786" s="513" t="str">
        <f t="shared" si="1262"/>
        <v/>
      </c>
      <c r="AF1786" s="713" t="str">
        <f t="shared" si="1263"/>
        <v/>
      </c>
      <c r="AG1786" s="713"/>
      <c r="AH1786" s="713"/>
      <c r="AI1786" s="112">
        <f>IF(H1786="credit",0,IF(AE1786="free",0,IF(AE1786="me",0,IF(G1786&gt;0,(VLOOKUP(A1786,'Discount Lookup'!J:K,2)*G1786),0))))</f>
        <v>0</v>
      </c>
      <c r="AJ1786" s="107" t="str">
        <f t="shared" ca="1" si="1264"/>
        <v/>
      </c>
      <c r="AK1786" s="714" t="str">
        <f t="shared" si="1265"/>
        <v/>
      </c>
      <c r="AL1786" s="714"/>
      <c r="AM1786" s="114" t="str">
        <f t="shared" si="1266"/>
        <v/>
      </c>
      <c r="AN1786" s="115"/>
      <c r="AO1786" s="116"/>
      <c r="AP1786" s="116"/>
      <c r="AQ1786" s="116"/>
      <c r="AR1786" s="116"/>
      <c r="AS1786" s="116"/>
      <c r="AT1786" s="116"/>
      <c r="AU1786" s="116"/>
      <c r="AV1786" s="78"/>
      <c r="AW1786" s="102"/>
      <c r="AX1786" s="78"/>
      <c r="AY1786" s="78"/>
      <c r="AZ1786" s="78"/>
      <c r="BA1786" s="78"/>
      <c r="BB1786" s="78"/>
      <c r="BC1786" s="78"/>
      <c r="BD1786" s="78"/>
      <c r="BE1786" s="465"/>
      <c r="BF1786" s="165" t="str">
        <f t="shared" si="1267"/>
        <v>https://www.google.com/search?tbm=isch&amp;q=Hemerocallis%20%27Pardon%20Me%27%20Pardon%20Me%20Daylily</v>
      </c>
      <c r="BG1786" s="165" t="str">
        <f t="shared" si="1268"/>
        <v>H</v>
      </c>
      <c r="BH1786" s="65"/>
      <c r="BI1786" s="65"/>
      <c r="BJ1786" s="65"/>
      <c r="BK1786" s="65"/>
      <c r="BL1786" s="99"/>
      <c r="BM1786" s="99"/>
      <c r="BN1786" s="99"/>
    </row>
    <row r="1787" spans="1:66" s="51" customFormat="1" ht="15.75" x14ac:dyDescent="0.25">
      <c r="A1787" s="634">
        <v>1</v>
      </c>
      <c r="B1787" s="635" t="s">
        <v>291</v>
      </c>
      <c r="C1787" s="636" t="s">
        <v>1416</v>
      </c>
      <c r="D1787" s="637" t="s">
        <v>309</v>
      </c>
      <c r="E1787" s="638">
        <v>8.9499999999999993</v>
      </c>
      <c r="F1787" s="639" t="s">
        <v>292</v>
      </c>
      <c r="G1787" s="484">
        <v>0</v>
      </c>
      <c r="H1787" s="691" t="str">
        <f>IF(G1787=0,"",IF(F1787="Buy",IF(G1787=1,"plant","plants"),IF(F1787&gt;0.01,"warranty","Error")))</f>
        <v/>
      </c>
      <c r="I1787" s="640">
        <f>IF(H1787="free",0,IF(H1787="credit",((E1787*(F1787))*G1787*-1),IF(F1787="Buy",(E1787*G1787),((E1787*(1-F1787))*G1787))))</f>
        <v>0</v>
      </c>
      <c r="J1787" s="640">
        <f>IF(H1787="warranty",0,(I1787*(_xlfn.SINGLE(SalesTaxPercentage))))</f>
        <v>0</v>
      </c>
      <c r="K1787" s="716">
        <f t="shared" ref="K1787" si="1283">I1787+J1787</f>
        <v>0</v>
      </c>
      <c r="L1787" s="716"/>
      <c r="M1787" s="689" t="str">
        <f ca="1">IF(AND(G1787&gt;0,E1787=0),"WARNING - no PRICE inserted",IF(H1787="free","FREE ~ no charge this plant",IF(H1787="credit",CONCATENATE("-$",ROUND(K1787*(1-_xlfn.SINGLE(T2GDiscount))*-1,2)," CREDIT after discount"),IF(_xlfn.SINGLE(T2GDiscount)=0,"",IF(G1787=0,"",IF(F1787="Buy",CONCATENATE("$",ROUND(K1787*(1-_xlfn.SINGLE(T2GDiscount)),2)," with ",(_xlfn.SINGLE(T2GDiscount)*100),"% discount"),CONCATENATE("$",ROUND(K1787*(1-_xlfn.SINGLE(T2GDiscount)),2)," with ",((_xlfn.SINGLE(T2GDiscount)*100+F1787*100)-(_xlfn.SINGLE(T2GDiscount)*100*F1787)),IF(F1787&gt;0,"% discounts",IF(_xlfn.SINGLE(NoWarrantyDiscount)&gt;0,"% discounts","% discount")))))))))</f>
        <v/>
      </c>
      <c r="N1787" s="690"/>
      <c r="O1787" s="486"/>
      <c r="P1787" s="486"/>
      <c r="Q1787" s="486"/>
      <c r="R1787" s="486"/>
      <c r="S1787" s="486"/>
      <c r="T1787" s="102">
        <f t="shared" si="1256"/>
        <v>0</v>
      </c>
      <c r="U1787" s="78">
        <f>IF(NOT(ISNUMBER(G1787)), "", VLOOKUP(A1787,'Discount Lookup'!D:E,2,FALSE)*G1787)</f>
        <v>0</v>
      </c>
      <c r="V1787" s="78">
        <f>IF(NOT(ISNUMBER(G1787)), "", VLOOKUP(A1787,'Discount Lookup'!G:H,2,FALSE)*G1787)</f>
        <v>0</v>
      </c>
      <c r="W1787" s="102">
        <f t="shared" si="1257"/>
        <v>0</v>
      </c>
      <c r="X1787" s="102">
        <f t="shared" si="1258"/>
        <v>0</v>
      </c>
      <c r="Y1787" s="120" t="b">
        <f t="shared" si="1259"/>
        <v>0</v>
      </c>
      <c r="Z1787" s="117">
        <f t="shared" si="1260"/>
        <v>0</v>
      </c>
      <c r="AA1787" s="118"/>
      <c r="AB1787" s="118" t="str">
        <f t="shared" si="1261"/>
        <v/>
      </c>
      <c r="AC1787" s="712" t="str">
        <f>IF(AE1787="T2G","no charge",IF(AND(OR(PlanterYesMe="No",PlanterYesMe="N",PlanterYesMe="me"),H1787=""),"",IF(H1787="credit","NO install",IF(AND(K1787="",AE1787="me"),"EACH row",IF(AND(K1787="images",AE1787="me"),"EACH row",IF(D1787="","",IF(H1787="credit","",IF(AE1787="free","re-planting",IF(AE1787="me","   not ELP, by",IF(AND(OR(PlanterYesMe="Yes",PlanterYesMe="Y"),G1787&gt;0),(VLOOKUP(A1787,'Discount Lookup'!J:K,2)*G1787*(1-PlanterDiscount)*(1+PlanterDifficultyPercentage)),IF(AE1787="ELP",(VLOOKUP(A1787,'Discount Lookup'!J:K,2)*G1787*(1-PlanterDiscount)*(1+PlanterDifficultyPercentage)),IF(AE1787="free","re-planting",IF(G1787=0,"",IF(PlanterYesMe="",IF(AE1787="me","   not ELP, by",IF(AE1787="",IF(G1787&gt;0,(VLOOKUP(A1787,'Discount Lookup'!J:K,2)*G1787*(1-PlanterDiscount)*(1+PlanterDifficultyPercentage)),""),"")),"   not ELP, by"))))))))))))))</f>
        <v/>
      </c>
      <c r="AD1787" s="712"/>
      <c r="AE1787" s="513" t="str">
        <f t="shared" si="1262"/>
        <v/>
      </c>
      <c r="AF1787" s="713" t="str">
        <f t="shared" si="1263"/>
        <v/>
      </c>
      <c r="AG1787" s="713"/>
      <c r="AH1787" s="713"/>
      <c r="AI1787" s="112">
        <f>IF(H1787="credit",0,IF(AE1787="free",0,IF(AE1787="me",0,IF(G1787&gt;0,(VLOOKUP(A1787,'Discount Lookup'!J:K,2)*G1787),0))))</f>
        <v>0</v>
      </c>
      <c r="AJ1787" s="107" t="str">
        <f t="shared" ca="1" si="1264"/>
        <v/>
      </c>
      <c r="AK1787" s="714" t="str">
        <f t="shared" si="1265"/>
        <v/>
      </c>
      <c r="AL1787" s="714"/>
      <c r="AM1787" s="114" t="str">
        <f t="shared" si="1266"/>
        <v/>
      </c>
      <c r="AN1787" s="115"/>
      <c r="AO1787" s="116"/>
      <c r="AP1787" s="116"/>
      <c r="AQ1787" s="116"/>
      <c r="AR1787" s="116"/>
      <c r="AS1787" s="116"/>
      <c r="AT1787" s="116"/>
      <c r="AU1787" s="116"/>
      <c r="AV1787" s="78"/>
      <c r="AW1787" s="102"/>
      <c r="AX1787" s="78"/>
      <c r="AY1787" s="78"/>
      <c r="AZ1787" s="78"/>
      <c r="BA1787" s="78"/>
      <c r="BB1787" s="78"/>
      <c r="BC1787" s="78"/>
      <c r="BD1787" s="78"/>
      <c r="BE1787" s="465"/>
      <c r="BF1787" s="165" t="str">
        <f t="shared" si="1267"/>
        <v>https://www.google.com/search?tbm=isch&amp;q=1%20G3</v>
      </c>
      <c r="BG1787" s="165" t="str">
        <f t="shared" si="1268"/>
        <v>H</v>
      </c>
      <c r="BH1787" s="65"/>
      <c r="BI1787" s="65"/>
      <c r="BJ1787" s="65"/>
      <c r="BK1787" s="65"/>
      <c r="BL1787" s="99"/>
      <c r="BM1787" s="99"/>
      <c r="BN1787" s="99"/>
    </row>
    <row r="1788" spans="1:66" s="51" customFormat="1" ht="17.25" thickBot="1" x14ac:dyDescent="0.3">
      <c r="A1788" s="704" t="s">
        <v>5405</v>
      </c>
      <c r="B1788" s="642"/>
      <c r="C1788" s="710"/>
      <c r="D1788" s="643"/>
      <c r="E1788" s="643"/>
      <c r="F1788" s="644"/>
      <c r="G1788" s="645"/>
      <c r="H1788" s="646"/>
      <c r="I1788" s="647"/>
      <c r="J1788" s="648"/>
      <c r="K1788" s="649"/>
      <c r="L1788" s="650"/>
      <c r="M1788" s="650"/>
      <c r="N1788" s="644"/>
      <c r="O1788" s="644"/>
      <c r="P1788" s="644"/>
      <c r="Q1788" s="644"/>
      <c r="R1788" s="644"/>
      <c r="S1788" s="701" t="s">
        <v>5273</v>
      </c>
      <c r="T1788" s="102">
        <f t="shared" si="1256"/>
        <v>0</v>
      </c>
      <c r="U1788" s="78" t="str">
        <f>IF(NOT(ISNUMBER(G1788)), "", VLOOKUP(A1788,'Discount Lookup'!D:E,2,FALSE)*G1788)</f>
        <v/>
      </c>
      <c r="V1788" s="78" t="str">
        <f>IF(NOT(ISNUMBER(G1788)), "", VLOOKUP(A1788,'Discount Lookup'!G:H,2,FALSE)*G1788)</f>
        <v/>
      </c>
      <c r="W1788" s="102">
        <f t="shared" si="1257"/>
        <v>0</v>
      </c>
      <c r="X1788" s="102">
        <f t="shared" si="1258"/>
        <v>0</v>
      </c>
      <c r="Y1788" s="120" t="b">
        <f t="shared" si="1259"/>
        <v>0</v>
      </c>
      <c r="Z1788" s="117">
        <f t="shared" si="1260"/>
        <v>0</v>
      </c>
      <c r="AA1788" s="118"/>
      <c r="AB1788" s="118" t="str">
        <f t="shared" si="1261"/>
        <v/>
      </c>
      <c r="AC1788" s="712" t="str">
        <f>IF(AE1788="T2G","no charge",IF(AND(OR(PlanterYesMe="No",PlanterYesMe="N",PlanterYesMe="me"),H1788=""),"",IF(H1788="credit","NO install",IF(AND(K1788="",AE1788="me"),"EACH row",IF(AND(K1788="images",AE1788="me"),"EACH row",IF(D1788="","",IF(H1788="credit","",IF(AE1788="free","re-planting",IF(AE1788="me","   not ELP, by",IF(AND(OR(PlanterYesMe="Yes",PlanterYesMe="Y"),G1788&gt;0),(VLOOKUP(A1788,'Discount Lookup'!J:K,2)*G1788*(1-PlanterDiscount)*(1+PlanterDifficultyPercentage)),IF(AE1788="ELP",(VLOOKUP(A1788,'Discount Lookup'!J:K,2)*G1788*(1-PlanterDiscount)*(1+PlanterDifficultyPercentage)),IF(AE1788="free","re-planting",IF(G1788=0,"",IF(PlanterYesMe="",IF(AE1788="me","   not ELP, by",IF(AE1788="",IF(G1788&gt;0,(VLOOKUP(A1788,'Discount Lookup'!J:K,2)*G1788*(1-PlanterDiscount)*(1+PlanterDifficultyPercentage)),""),"")),"   not ELP, by"))))))))))))))</f>
        <v/>
      </c>
      <c r="AD1788" s="712"/>
      <c r="AE1788" s="513" t="str">
        <f t="shared" si="1262"/>
        <v/>
      </c>
      <c r="AF1788" s="713" t="str">
        <f t="shared" si="1263"/>
        <v/>
      </c>
      <c r="AG1788" s="713"/>
      <c r="AH1788" s="713"/>
      <c r="AI1788" s="112">
        <f>IF(H1788="credit",0,IF(AE1788="free",0,IF(AE1788="me",0,IF(G1788&gt;0,(VLOOKUP(A1788,'Discount Lookup'!J:K,2)*G1788),0))))</f>
        <v>0</v>
      </c>
      <c r="AJ1788" s="107" t="str">
        <f t="shared" ca="1" si="1264"/>
        <v/>
      </c>
      <c r="AK1788" s="714" t="str">
        <f t="shared" si="1265"/>
        <v/>
      </c>
      <c r="AL1788" s="714"/>
      <c r="AM1788" s="114" t="str">
        <f t="shared" si="1266"/>
        <v/>
      </c>
      <c r="AN1788" s="115"/>
      <c r="AO1788" s="116"/>
      <c r="AP1788" s="116"/>
      <c r="AQ1788" s="116"/>
      <c r="AR1788" s="116"/>
      <c r="AS1788" s="116"/>
      <c r="AT1788" s="116"/>
      <c r="AU1788" s="116"/>
      <c r="AV1788" s="78"/>
      <c r="AW1788" s="102"/>
      <c r="AX1788" s="78"/>
      <c r="AY1788" s="78"/>
      <c r="AZ1788" s="78"/>
      <c r="BA1788" s="78"/>
      <c r="BB1788" s="78"/>
      <c r="BC1788" s="78"/>
      <c r="BD1788" s="78"/>
      <c r="BE1788" s="465"/>
      <c r="BF1788" s="165" t="str">
        <f t="shared" si="1267"/>
        <v>https://www.google.com/search?tbm=isch&amp;q=wet%20sites%F0%9F%92%A7OK%2C%20Pardon%20Me%20has%20a%20rich%2C%20velvety%20texture%20to%20the%20bloom%2C%20with%20a%20fragrance.%20Repeat%20bloomers%20</v>
      </c>
      <c r="BG1788" s="165" t="str">
        <f t="shared" si="1268"/>
        <v>w</v>
      </c>
      <c r="BH1788" s="65"/>
      <c r="BI1788" s="65"/>
      <c r="BJ1788" s="65"/>
      <c r="BK1788" s="65"/>
      <c r="BL1788" s="99"/>
      <c r="BM1788" s="99"/>
      <c r="BN1788" s="99"/>
    </row>
    <row r="1789" spans="1:66" s="51" customFormat="1" ht="18" x14ac:dyDescent="0.25">
      <c r="A1789" s="623" t="s">
        <v>2668</v>
      </c>
      <c r="B1789" s="624"/>
      <c r="C1789" s="709"/>
      <c r="D1789" s="625" t="s">
        <v>2669</v>
      </c>
      <c r="E1789" s="626"/>
      <c r="F1789" s="626"/>
      <c r="G1789" s="626"/>
      <c r="H1789" s="622" t="s">
        <v>1516</v>
      </c>
      <c r="I1789" s="627" t="s">
        <v>2670</v>
      </c>
      <c r="J1789" s="628"/>
      <c r="K1789" s="628"/>
      <c r="L1789" s="629"/>
      <c r="M1789" s="700" t="s">
        <v>5249</v>
      </c>
      <c r="N1789" s="693" t="str">
        <f>IF(AND(ISTEXT($A1789), ISERROR($A1789+0)), HYPERLINK($BF1789, "Images"), "")</f>
        <v>Images</v>
      </c>
      <c r="O1789" s="695" t="s">
        <v>5264</v>
      </c>
      <c r="P1789" s="630"/>
      <c r="Q1789" s="631"/>
      <c r="R1789" s="632"/>
      <c r="S1789" s="633"/>
      <c r="T1789" s="102">
        <f t="shared" si="1256"/>
        <v>0</v>
      </c>
      <c r="U1789" s="78" t="str">
        <f>IF(NOT(ISNUMBER(G1789)), "", VLOOKUP(A1789,'Discount Lookup'!D:E,2,FALSE)*G1789)</f>
        <v/>
      </c>
      <c r="V1789" s="78" t="str">
        <f>IF(NOT(ISNUMBER(G1789)), "", VLOOKUP(A1789,'Discount Lookup'!G:H,2,FALSE)*G1789)</f>
        <v/>
      </c>
      <c r="W1789" s="102">
        <f t="shared" si="1257"/>
        <v>0</v>
      </c>
      <c r="X1789" s="102" t="str">
        <f t="shared" si="1258"/>
        <v>Purple, Yellow throat</v>
      </c>
      <c r="Y1789" s="120" t="b">
        <f t="shared" si="1259"/>
        <v>0</v>
      </c>
      <c r="Z1789" s="117">
        <f t="shared" si="1260"/>
        <v>0</v>
      </c>
      <c r="AA1789" s="118"/>
      <c r="AB1789" s="118" t="str">
        <f t="shared" si="1261"/>
        <v/>
      </c>
      <c r="AC1789" s="712" t="str">
        <f>IF(AE1789="T2G","no charge",IF(AND(OR(PlanterYesMe="No",PlanterYesMe="N",PlanterYesMe="me"),H1789=""),"",IF(H1789="credit","NO install",IF(AND(K1789="",AE1789="me"),"EACH row",IF(AND(K1789="images",AE1789="me"),"EACH row",IF(D1789="","",IF(H1789="credit","",IF(AE1789="free","re-planting",IF(AE1789="me","   not ELP, by",IF(AND(OR(PlanterYesMe="Yes",PlanterYesMe="Y"),G1789&gt;0),(VLOOKUP(A1789,'Discount Lookup'!J:K,2)*G1789*(1-PlanterDiscount)*(1+PlanterDifficultyPercentage)),IF(AE1789="ELP",(VLOOKUP(A1789,'Discount Lookup'!J:K,2)*G1789*(1-PlanterDiscount)*(1+PlanterDifficultyPercentage)),IF(AE1789="free","re-planting",IF(G1789=0,"",IF(PlanterYesMe="",IF(AE1789="me","   not ELP, by",IF(AE1789="",IF(G1789&gt;0,(VLOOKUP(A1789,'Discount Lookup'!J:K,2)*G1789*(1-PlanterDiscount)*(1+PlanterDifficultyPercentage)),""),"")),"   not ELP, by"))))))))))))))</f>
        <v/>
      </c>
      <c r="AD1789" s="712"/>
      <c r="AE1789" s="513" t="str">
        <f t="shared" si="1262"/>
        <v/>
      </c>
      <c r="AF1789" s="713" t="str">
        <f t="shared" si="1263"/>
        <v/>
      </c>
      <c r="AG1789" s="713"/>
      <c r="AH1789" s="713"/>
      <c r="AI1789" s="112">
        <f>IF(H1789="credit",0,IF(AE1789="free",0,IF(AE1789="me",0,IF(G1789&gt;0,(VLOOKUP(A1789,'Discount Lookup'!J:K,2)*G1789),0))))</f>
        <v>0</v>
      </c>
      <c r="AJ1789" s="107" t="str">
        <f t="shared" ca="1" si="1264"/>
        <v/>
      </c>
      <c r="AK1789" s="714" t="str">
        <f t="shared" si="1265"/>
        <v/>
      </c>
      <c r="AL1789" s="714"/>
      <c r="AM1789" s="114" t="str">
        <f t="shared" si="1266"/>
        <v/>
      </c>
      <c r="AN1789" s="115"/>
      <c r="AO1789" s="116"/>
      <c r="AP1789" s="116"/>
      <c r="AQ1789" s="116"/>
      <c r="AR1789" s="116"/>
      <c r="AS1789" s="116"/>
      <c r="AT1789" s="116"/>
      <c r="AU1789" s="116"/>
      <c r="AV1789" s="78"/>
      <c r="AW1789" s="102"/>
      <c r="AX1789" s="78"/>
      <c r="AY1789" s="78"/>
      <c r="AZ1789" s="78"/>
      <c r="BA1789" s="78"/>
      <c r="BB1789" s="78"/>
      <c r="BC1789" s="78"/>
      <c r="BD1789" s="78"/>
      <c r="BE1789" s="465"/>
      <c r="BF1789" s="165" t="str">
        <f t="shared" si="1267"/>
        <v>https://www.google.com/search?tbm=isch&amp;q=Hemerocallis%20%27Purple%20d%27Oro%27%20Purple%20d%27Oro%20Daylily</v>
      </c>
      <c r="BG1789" s="165" t="str">
        <f t="shared" si="1268"/>
        <v>H</v>
      </c>
      <c r="BH1789" s="65"/>
      <c r="BI1789" s="65"/>
      <c r="BJ1789" s="65"/>
      <c r="BK1789" s="65"/>
      <c r="BL1789" s="99"/>
      <c r="BM1789" s="99"/>
      <c r="BN1789" s="99"/>
    </row>
    <row r="1790" spans="1:66" s="51" customFormat="1" ht="15.75" x14ac:dyDescent="0.25">
      <c r="A1790" s="634">
        <v>1</v>
      </c>
      <c r="B1790" s="635" t="s">
        <v>291</v>
      </c>
      <c r="C1790" s="636" t="s">
        <v>2671</v>
      </c>
      <c r="D1790" s="637" t="s">
        <v>309</v>
      </c>
      <c r="E1790" s="638">
        <v>6.95</v>
      </c>
      <c r="F1790" s="639" t="s">
        <v>292</v>
      </c>
      <c r="G1790" s="484">
        <v>0</v>
      </c>
      <c r="H1790" s="691" t="str">
        <f>IF(G1790=0,"",IF(F1790="Buy",IF(G1790=1,"plant","plants"),IF(F1790&gt;0.01,"warranty","Error")))</f>
        <v/>
      </c>
      <c r="I1790" s="640">
        <f>IF(H1790="free",0,IF(H1790="credit",((E1790*(F1790))*G1790*-1),IF(F1790="Buy",(E1790*G1790),((E1790*(1-F1790))*G1790))))</f>
        <v>0</v>
      </c>
      <c r="J1790" s="640">
        <f>IF(H1790="warranty",0,(I1790*(_xlfn.SINGLE(SalesTaxPercentage))))</f>
        <v>0</v>
      </c>
      <c r="K1790" s="716">
        <f t="shared" ref="K1790" si="1284">I1790+J1790</f>
        <v>0</v>
      </c>
      <c r="L1790" s="716"/>
      <c r="M1790" s="689" t="str">
        <f ca="1">IF(AND(G1790&gt;0,E1790=0),"WARNING - no PRICE inserted",IF(H1790="free","FREE ~ no charge this plant",IF(H1790="credit",CONCATENATE("-$",ROUND(K1790*(1-_xlfn.SINGLE(T2GDiscount))*-1,2)," CREDIT after discount"),IF(_xlfn.SINGLE(T2GDiscount)=0,"",IF(G1790=0,"",IF(F1790="Buy",CONCATENATE("$",ROUND(K1790*(1-_xlfn.SINGLE(T2GDiscount)),2)," with ",(_xlfn.SINGLE(T2GDiscount)*100),"% discount"),CONCATENATE("$",ROUND(K1790*(1-_xlfn.SINGLE(T2GDiscount)),2)," with ",((_xlfn.SINGLE(T2GDiscount)*100+F1790*100)-(_xlfn.SINGLE(T2GDiscount)*100*F1790)),IF(F1790&gt;0,"% discounts",IF(_xlfn.SINGLE(NoWarrantyDiscount)&gt;0,"% discounts","% discount")))))))))</f>
        <v/>
      </c>
      <c r="N1790" s="690"/>
      <c r="O1790" s="486"/>
      <c r="P1790" s="486"/>
      <c r="Q1790" s="486"/>
      <c r="R1790" s="486"/>
      <c r="S1790" s="486"/>
      <c r="T1790" s="102">
        <f t="shared" si="1256"/>
        <v>0</v>
      </c>
      <c r="U1790" s="78">
        <f>IF(NOT(ISNUMBER(G1790)), "", VLOOKUP(A1790,'Discount Lookup'!D:E,2,FALSE)*G1790)</f>
        <v>0</v>
      </c>
      <c r="V1790" s="78">
        <f>IF(NOT(ISNUMBER(G1790)), "", VLOOKUP(A1790,'Discount Lookup'!G:H,2,FALSE)*G1790)</f>
        <v>0</v>
      </c>
      <c r="W1790" s="102">
        <f t="shared" si="1257"/>
        <v>0</v>
      </c>
      <c r="X1790" s="102">
        <f t="shared" si="1258"/>
        <v>0</v>
      </c>
      <c r="Y1790" s="120" t="b">
        <f t="shared" si="1259"/>
        <v>0</v>
      </c>
      <c r="Z1790" s="117">
        <f t="shared" si="1260"/>
        <v>0</v>
      </c>
      <c r="AA1790" s="118"/>
      <c r="AB1790" s="118" t="str">
        <f t="shared" si="1261"/>
        <v/>
      </c>
      <c r="AC1790" s="712" t="str">
        <f>IF(AE1790="T2G","no charge",IF(AND(OR(PlanterYesMe="No",PlanterYesMe="N",PlanterYesMe="me"),H1790=""),"",IF(H1790="credit","NO install",IF(AND(K1790="",AE1790="me"),"EACH row",IF(AND(K1790="images",AE1790="me"),"EACH row",IF(D1790="","",IF(H1790="credit","",IF(AE1790="free","re-planting",IF(AE1790="me","   not ELP, by",IF(AND(OR(PlanterYesMe="Yes",PlanterYesMe="Y"),G1790&gt;0),(VLOOKUP(A1790,'Discount Lookup'!J:K,2)*G1790*(1-PlanterDiscount)*(1+PlanterDifficultyPercentage)),IF(AE1790="ELP",(VLOOKUP(A1790,'Discount Lookup'!J:K,2)*G1790*(1-PlanterDiscount)*(1+PlanterDifficultyPercentage)),IF(AE1790="free","re-planting",IF(G1790=0,"",IF(PlanterYesMe="",IF(AE1790="me","   not ELP, by",IF(AE1790="",IF(G1790&gt;0,(VLOOKUP(A1790,'Discount Lookup'!J:K,2)*G1790*(1-PlanterDiscount)*(1+PlanterDifficultyPercentage)),""),"")),"   not ELP, by"))))))))))))))</f>
        <v/>
      </c>
      <c r="AD1790" s="712"/>
      <c r="AE1790" s="513" t="str">
        <f t="shared" si="1262"/>
        <v/>
      </c>
      <c r="AF1790" s="713" t="str">
        <f t="shared" si="1263"/>
        <v/>
      </c>
      <c r="AG1790" s="713"/>
      <c r="AH1790" s="713"/>
      <c r="AI1790" s="112">
        <f>IF(H1790="credit",0,IF(AE1790="free",0,IF(AE1790="me",0,IF(G1790&gt;0,(VLOOKUP(A1790,'Discount Lookup'!J:K,2)*G1790),0))))</f>
        <v>0</v>
      </c>
      <c r="AJ1790" s="107" t="str">
        <f t="shared" ca="1" si="1264"/>
        <v/>
      </c>
      <c r="AK1790" s="714" t="str">
        <f t="shared" si="1265"/>
        <v/>
      </c>
      <c r="AL1790" s="714"/>
      <c r="AM1790" s="114" t="str">
        <f t="shared" si="1266"/>
        <v/>
      </c>
      <c r="AN1790" s="115"/>
      <c r="AO1790" s="116"/>
      <c r="AP1790" s="116"/>
      <c r="AQ1790" s="116"/>
      <c r="AR1790" s="116"/>
      <c r="AS1790" s="116"/>
      <c r="AT1790" s="116"/>
      <c r="AU1790" s="116"/>
      <c r="AV1790" s="78"/>
      <c r="AW1790" s="102"/>
      <c r="AX1790" s="78"/>
      <c r="AY1790" s="78"/>
      <c r="AZ1790" s="78"/>
      <c r="BA1790" s="78"/>
      <c r="BB1790" s="78"/>
      <c r="BC1790" s="78"/>
      <c r="BD1790" s="78"/>
      <c r="BE1790" s="465"/>
      <c r="BF1790" s="165" t="str">
        <f t="shared" si="1267"/>
        <v>https://www.google.com/search?tbm=isch&amp;q=1%20G3</v>
      </c>
      <c r="BG1790" s="165" t="str">
        <f t="shared" si="1268"/>
        <v>H</v>
      </c>
      <c r="BH1790" s="65"/>
      <c r="BI1790" s="65"/>
      <c r="BJ1790" s="65"/>
      <c r="BK1790" s="65"/>
      <c r="BL1790" s="99"/>
      <c r="BM1790" s="99"/>
      <c r="BN1790" s="99"/>
    </row>
    <row r="1791" spans="1:66" s="51" customFormat="1" ht="17.25" thickBot="1" x14ac:dyDescent="0.3">
      <c r="A1791" s="704" t="s">
        <v>5406</v>
      </c>
      <c r="B1791" s="642"/>
      <c r="C1791" s="710"/>
      <c r="D1791" s="643"/>
      <c r="E1791" s="643"/>
      <c r="F1791" s="644"/>
      <c r="G1791" s="645"/>
      <c r="H1791" s="646"/>
      <c r="I1791" s="647"/>
      <c r="J1791" s="648"/>
      <c r="K1791" s="649"/>
      <c r="L1791" s="650"/>
      <c r="M1791" s="650"/>
      <c r="N1791" s="644"/>
      <c r="O1791" s="644"/>
      <c r="P1791" s="644"/>
      <c r="Q1791" s="644"/>
      <c r="R1791" s="644"/>
      <c r="S1791" s="701" t="s">
        <v>5273</v>
      </c>
      <c r="T1791" s="102">
        <f t="shared" si="1256"/>
        <v>0</v>
      </c>
      <c r="U1791" s="78" t="str">
        <f>IF(NOT(ISNUMBER(G1791)), "", VLOOKUP(A1791,'Discount Lookup'!D:E,2,FALSE)*G1791)</f>
        <v/>
      </c>
      <c r="V1791" s="78" t="str">
        <f>IF(NOT(ISNUMBER(G1791)), "", VLOOKUP(A1791,'Discount Lookup'!G:H,2,FALSE)*G1791)</f>
        <v/>
      </c>
      <c r="W1791" s="102">
        <f t="shared" si="1257"/>
        <v>0</v>
      </c>
      <c r="X1791" s="102">
        <f t="shared" si="1258"/>
        <v>0</v>
      </c>
      <c r="Y1791" s="120" t="b">
        <f t="shared" si="1259"/>
        <v>0</v>
      </c>
      <c r="Z1791" s="117">
        <f t="shared" si="1260"/>
        <v>0</v>
      </c>
      <c r="AA1791" s="118"/>
      <c r="AB1791" s="118" t="str">
        <f t="shared" si="1261"/>
        <v/>
      </c>
      <c r="AC1791" s="712" t="str">
        <f>IF(AE1791="T2G","no charge",IF(AND(OR(PlanterYesMe="No",PlanterYesMe="N",PlanterYesMe="me"),H1791=""),"",IF(H1791="credit","NO install",IF(AND(K1791="",AE1791="me"),"EACH row",IF(AND(K1791="images",AE1791="me"),"EACH row",IF(D1791="","",IF(H1791="credit","",IF(AE1791="free","re-planting",IF(AE1791="me","   not ELP, by",IF(AND(OR(PlanterYesMe="Yes",PlanterYesMe="Y"),G1791&gt;0),(VLOOKUP(A1791,'Discount Lookup'!J:K,2)*G1791*(1-PlanterDiscount)*(1+PlanterDifficultyPercentage)),IF(AE1791="ELP",(VLOOKUP(A1791,'Discount Lookup'!J:K,2)*G1791*(1-PlanterDiscount)*(1+PlanterDifficultyPercentage)),IF(AE1791="free","re-planting",IF(G1791=0,"",IF(PlanterYesMe="",IF(AE1791="me","   not ELP, by",IF(AE1791="",IF(G1791&gt;0,(VLOOKUP(A1791,'Discount Lookup'!J:K,2)*G1791*(1-PlanterDiscount)*(1+PlanterDifficultyPercentage)),""),"")),"   not ELP, by"))))))))))))))</f>
        <v/>
      </c>
      <c r="AD1791" s="712"/>
      <c r="AE1791" s="513" t="str">
        <f t="shared" si="1262"/>
        <v/>
      </c>
      <c r="AF1791" s="713" t="str">
        <f t="shared" si="1263"/>
        <v/>
      </c>
      <c r="AG1791" s="713"/>
      <c r="AH1791" s="713"/>
      <c r="AI1791" s="112">
        <f>IF(H1791="credit",0,IF(AE1791="free",0,IF(AE1791="me",0,IF(G1791&gt;0,(VLOOKUP(A1791,'Discount Lookup'!J:K,2)*G1791),0))))</f>
        <v>0</v>
      </c>
      <c r="AJ1791" s="107" t="str">
        <f t="shared" ca="1" si="1264"/>
        <v/>
      </c>
      <c r="AK1791" s="714" t="str">
        <f t="shared" si="1265"/>
        <v/>
      </c>
      <c r="AL1791" s="714"/>
      <c r="AM1791" s="114" t="str">
        <f t="shared" si="1266"/>
        <v/>
      </c>
      <c r="AN1791" s="115"/>
      <c r="AO1791" s="116"/>
      <c r="AP1791" s="116"/>
      <c r="AQ1791" s="116"/>
      <c r="AR1791" s="116"/>
      <c r="AS1791" s="116"/>
      <c r="AT1791" s="116"/>
      <c r="AU1791" s="116"/>
      <c r="AV1791" s="78"/>
      <c r="AW1791" s="102"/>
      <c r="AX1791" s="78"/>
      <c r="AY1791" s="78"/>
      <c r="AZ1791" s="78"/>
      <c r="BA1791" s="78"/>
      <c r="BB1791" s="78"/>
      <c r="BC1791" s="78"/>
      <c r="BD1791" s="78"/>
      <c r="BE1791" s="465"/>
      <c r="BF1791" s="165" t="str">
        <f t="shared" si="1267"/>
        <v>https://www.google.com/search?tbm=isch&amp;q=wet%20sites%F0%9F%92%A7OK%2C%20Purple%20d%27Oro%20is%20a%20cultivar%20of%20Stella%20d%27Oro.%20Repeat%20bloomer%2C%20June%20to%20frost%20</v>
      </c>
      <c r="BG1791" s="165" t="str">
        <f t="shared" si="1268"/>
        <v>w</v>
      </c>
      <c r="BH1791" s="65"/>
      <c r="BI1791" s="65"/>
      <c r="BJ1791" s="65"/>
      <c r="BK1791" s="65"/>
      <c r="BL1791" s="99"/>
      <c r="BM1791" s="99"/>
      <c r="BN1791" s="99"/>
    </row>
    <row r="1792" spans="1:66" s="51" customFormat="1" ht="18" x14ac:dyDescent="0.25">
      <c r="A1792" s="623" t="s">
        <v>2672</v>
      </c>
      <c r="B1792" s="624"/>
      <c r="C1792" s="709"/>
      <c r="D1792" s="625" t="s">
        <v>2673</v>
      </c>
      <c r="E1792" s="626"/>
      <c r="F1792" s="626"/>
      <c r="G1792" s="626"/>
      <c r="H1792" s="622" t="s">
        <v>1516</v>
      </c>
      <c r="I1792" s="627" t="s">
        <v>4921</v>
      </c>
      <c r="J1792" s="628"/>
      <c r="K1792" s="628"/>
      <c r="L1792" s="629"/>
      <c r="M1792" s="700" t="s">
        <v>5249</v>
      </c>
      <c r="N1792" s="693" t="str">
        <f>IF(AND(ISTEXT($A1792), ISERROR($A1792+0)), HYPERLINK($BF1792, "Images"), "")</f>
        <v>Images</v>
      </c>
      <c r="O1792" s="695" t="s">
        <v>5264</v>
      </c>
      <c r="P1792" s="630"/>
      <c r="Q1792" s="631"/>
      <c r="R1792" s="632"/>
      <c r="S1792" s="633"/>
      <c r="T1792" s="102">
        <f t="shared" si="1256"/>
        <v>0</v>
      </c>
      <c r="U1792" s="78" t="str">
        <f>IF(NOT(ISNUMBER(G1792)), "", VLOOKUP(A1792,'Discount Lookup'!D:E,2,FALSE)*G1792)</f>
        <v/>
      </c>
      <c r="V1792" s="78" t="str">
        <f>IF(NOT(ISNUMBER(G1792)), "", VLOOKUP(A1792,'Discount Lookup'!G:H,2,FALSE)*G1792)</f>
        <v/>
      </c>
      <c r="W1792" s="102">
        <f t="shared" si="1257"/>
        <v>0</v>
      </c>
      <c r="X1792" s="102" t="str">
        <f t="shared" si="1258"/>
        <v>Ruby-Red, Yellow throat</v>
      </c>
      <c r="Y1792" s="120" t="b">
        <f t="shared" si="1259"/>
        <v>0</v>
      </c>
      <c r="Z1792" s="117">
        <f t="shared" si="1260"/>
        <v>0</v>
      </c>
      <c r="AA1792" s="118"/>
      <c r="AB1792" s="118" t="str">
        <f t="shared" si="1261"/>
        <v/>
      </c>
      <c r="AC1792" s="712" t="str">
        <f>IF(AE1792="T2G","no charge",IF(AND(OR(PlanterYesMe="No",PlanterYesMe="N",PlanterYesMe="me"),H1792=""),"",IF(H1792="credit","NO install",IF(AND(K1792="",AE1792="me"),"EACH row",IF(AND(K1792="images",AE1792="me"),"EACH row",IF(D1792="","",IF(H1792="credit","",IF(AE1792="free","re-planting",IF(AE1792="me","   not ELP, by",IF(AND(OR(PlanterYesMe="Yes",PlanterYesMe="Y"),G1792&gt;0),(VLOOKUP(A1792,'Discount Lookup'!J:K,2)*G1792*(1-PlanterDiscount)*(1+PlanterDifficultyPercentage)),IF(AE1792="ELP",(VLOOKUP(A1792,'Discount Lookup'!J:K,2)*G1792*(1-PlanterDiscount)*(1+PlanterDifficultyPercentage)),IF(AE1792="free","re-planting",IF(G1792=0,"",IF(PlanterYesMe="",IF(AE1792="me","   not ELP, by",IF(AE1792="",IF(G1792&gt;0,(VLOOKUP(A1792,'Discount Lookup'!J:K,2)*G1792*(1-PlanterDiscount)*(1+PlanterDifficultyPercentage)),""),"")),"   not ELP, by"))))))))))))))</f>
        <v/>
      </c>
      <c r="AD1792" s="712"/>
      <c r="AE1792" s="513" t="str">
        <f t="shared" si="1262"/>
        <v/>
      </c>
      <c r="AF1792" s="713" t="str">
        <f t="shared" si="1263"/>
        <v/>
      </c>
      <c r="AG1792" s="713"/>
      <c r="AH1792" s="713"/>
      <c r="AI1792" s="112">
        <f>IF(H1792="credit",0,IF(AE1792="free",0,IF(AE1792="me",0,IF(G1792&gt;0,(VLOOKUP(A1792,'Discount Lookup'!J:K,2)*G1792),0))))</f>
        <v>0</v>
      </c>
      <c r="AJ1792" s="107" t="str">
        <f t="shared" ca="1" si="1264"/>
        <v/>
      </c>
      <c r="AK1792" s="714" t="str">
        <f t="shared" si="1265"/>
        <v/>
      </c>
      <c r="AL1792" s="714"/>
      <c r="AM1792" s="114" t="str">
        <f t="shared" si="1266"/>
        <v/>
      </c>
      <c r="AN1792" s="115"/>
      <c r="AO1792" s="116"/>
      <c r="AP1792" s="116"/>
      <c r="AQ1792" s="116"/>
      <c r="AR1792" s="116"/>
      <c r="AS1792" s="116"/>
      <c r="AT1792" s="116"/>
      <c r="AU1792" s="116"/>
      <c r="AV1792" s="78"/>
      <c r="AW1792" s="102"/>
      <c r="AX1792" s="78"/>
      <c r="AY1792" s="78"/>
      <c r="AZ1792" s="78"/>
      <c r="BA1792" s="78"/>
      <c r="BB1792" s="78"/>
      <c r="BC1792" s="78"/>
      <c r="BD1792" s="78"/>
      <c r="BE1792" s="465"/>
      <c r="BF1792" s="165" t="str">
        <f t="shared" si="1267"/>
        <v>https://www.google.com/search?tbm=isch&amp;q=Hemerocallis%20%27Ruby%20Stella%27%20Ruby%20Stella%20Daylily</v>
      </c>
      <c r="BG1792" s="165" t="str">
        <f t="shared" si="1268"/>
        <v>H</v>
      </c>
      <c r="BH1792" s="65"/>
      <c r="BI1792" s="65"/>
      <c r="BJ1792" s="65"/>
      <c r="BK1792" s="65"/>
      <c r="BL1792" s="99"/>
      <c r="BM1792" s="99"/>
      <c r="BN1792" s="99"/>
    </row>
    <row r="1793" spans="1:66" s="51" customFormat="1" ht="15.75" x14ac:dyDescent="0.25">
      <c r="A1793" s="634">
        <v>1</v>
      </c>
      <c r="B1793" s="635" t="s">
        <v>291</v>
      </c>
      <c r="C1793" s="636" t="s">
        <v>2664</v>
      </c>
      <c r="D1793" s="637" t="s">
        <v>293</v>
      </c>
      <c r="E1793" s="638">
        <v>9.9499999999999993</v>
      </c>
      <c r="F1793" s="639" t="s">
        <v>292</v>
      </c>
      <c r="G1793" s="484">
        <v>0</v>
      </c>
      <c r="H1793" s="691" t="str">
        <f>IF(G1793=0,"",IF(F1793="Buy",IF(G1793=1,"plant","plants"),IF(F1793&gt;0.01,"warranty","Error")))</f>
        <v/>
      </c>
      <c r="I1793" s="640">
        <f>IF(H1793="free",0,IF(H1793="credit",((E1793*(F1793))*G1793*-1),IF(F1793="Buy",(E1793*G1793),((E1793*(1-F1793))*G1793))))</f>
        <v>0</v>
      </c>
      <c r="J1793" s="640">
        <f>IF(H1793="warranty",0,(I1793*(_xlfn.SINGLE(SalesTaxPercentage))))</f>
        <v>0</v>
      </c>
      <c r="K1793" s="716">
        <f t="shared" ref="K1793" si="1285">I1793+J1793</f>
        <v>0</v>
      </c>
      <c r="L1793" s="716"/>
      <c r="M1793" s="689" t="str">
        <f ca="1">IF(AND(G1793&gt;0,E1793=0),"WARNING - no PRICE inserted",IF(H1793="free","FREE ~ no charge this plant",IF(H1793="credit",CONCATENATE("-$",ROUND(K1793*(1-_xlfn.SINGLE(T2GDiscount))*-1,2)," CREDIT after discount"),IF(_xlfn.SINGLE(T2GDiscount)=0,"",IF(G1793=0,"",IF(F1793="Buy",CONCATENATE("$",ROUND(K1793*(1-_xlfn.SINGLE(T2GDiscount)),2)," with ",(_xlfn.SINGLE(T2GDiscount)*100),"% discount"),CONCATENATE("$",ROUND(K1793*(1-_xlfn.SINGLE(T2GDiscount)),2)," with ",((_xlfn.SINGLE(T2GDiscount)*100+F1793*100)-(_xlfn.SINGLE(T2GDiscount)*100*F1793)),IF(F1793&gt;0,"% discounts",IF(_xlfn.SINGLE(NoWarrantyDiscount)&gt;0,"% discounts","% discount")))))))))</f>
        <v/>
      </c>
      <c r="N1793" s="690"/>
      <c r="O1793" s="486"/>
      <c r="P1793" s="486"/>
      <c r="Q1793" s="486"/>
      <c r="R1793" s="486"/>
      <c r="S1793" s="486"/>
      <c r="T1793" s="102">
        <f t="shared" si="1256"/>
        <v>0</v>
      </c>
      <c r="U1793" s="78">
        <f>IF(NOT(ISNUMBER(G1793)), "", VLOOKUP(A1793,'Discount Lookup'!D:E,2,FALSE)*G1793)</f>
        <v>0</v>
      </c>
      <c r="V1793" s="78">
        <f>IF(NOT(ISNUMBER(G1793)), "", VLOOKUP(A1793,'Discount Lookup'!G:H,2,FALSE)*G1793)</f>
        <v>0</v>
      </c>
      <c r="W1793" s="102">
        <f t="shared" si="1257"/>
        <v>0</v>
      </c>
      <c r="X1793" s="102">
        <f t="shared" si="1258"/>
        <v>0</v>
      </c>
      <c r="Y1793" s="120" t="b">
        <f t="shared" si="1259"/>
        <v>0</v>
      </c>
      <c r="Z1793" s="117">
        <f t="shared" si="1260"/>
        <v>0</v>
      </c>
      <c r="AA1793" s="118"/>
      <c r="AB1793" s="118" t="str">
        <f t="shared" si="1261"/>
        <v/>
      </c>
      <c r="AC1793" s="712" t="str">
        <f>IF(AE1793="T2G","no charge",IF(AND(OR(PlanterYesMe="No",PlanterYesMe="N",PlanterYesMe="me"),H1793=""),"",IF(H1793="credit","NO install",IF(AND(K1793="",AE1793="me"),"EACH row",IF(AND(K1793="images",AE1793="me"),"EACH row",IF(D1793="","",IF(H1793="credit","",IF(AE1793="free","re-planting",IF(AE1793="me","   not ELP, by",IF(AND(OR(PlanterYesMe="Yes",PlanterYesMe="Y"),G1793&gt;0),(VLOOKUP(A1793,'Discount Lookup'!J:K,2)*G1793*(1-PlanterDiscount)*(1+PlanterDifficultyPercentage)),IF(AE1793="ELP",(VLOOKUP(A1793,'Discount Lookup'!J:K,2)*G1793*(1-PlanterDiscount)*(1+PlanterDifficultyPercentage)),IF(AE1793="free","re-planting",IF(G1793=0,"",IF(PlanterYesMe="",IF(AE1793="me","   not ELP, by",IF(AE1793="",IF(G1793&gt;0,(VLOOKUP(A1793,'Discount Lookup'!J:K,2)*G1793*(1-PlanterDiscount)*(1+PlanterDifficultyPercentage)),""),"")),"   not ELP, by"))))))))))))))</f>
        <v/>
      </c>
      <c r="AD1793" s="712"/>
      <c r="AE1793" s="513" t="str">
        <f t="shared" si="1262"/>
        <v/>
      </c>
      <c r="AF1793" s="713" t="str">
        <f t="shared" si="1263"/>
        <v/>
      </c>
      <c r="AG1793" s="713"/>
      <c r="AH1793" s="713"/>
      <c r="AI1793" s="112">
        <f>IF(H1793="credit",0,IF(AE1793="free",0,IF(AE1793="me",0,IF(G1793&gt;0,(VLOOKUP(A1793,'Discount Lookup'!J:K,2)*G1793),0))))</f>
        <v>0</v>
      </c>
      <c r="AJ1793" s="107" t="str">
        <f t="shared" ca="1" si="1264"/>
        <v/>
      </c>
      <c r="AK1793" s="714" t="str">
        <f t="shared" si="1265"/>
        <v/>
      </c>
      <c r="AL1793" s="714"/>
      <c r="AM1793" s="114" t="str">
        <f t="shared" si="1266"/>
        <v/>
      </c>
      <c r="AN1793" s="115"/>
      <c r="AO1793" s="116"/>
      <c r="AP1793" s="116"/>
      <c r="AQ1793" s="116"/>
      <c r="AR1793" s="116"/>
      <c r="AS1793" s="116"/>
      <c r="AT1793" s="116"/>
      <c r="AU1793" s="116"/>
      <c r="AV1793" s="78"/>
      <c r="AW1793" s="102"/>
      <c r="AX1793" s="78"/>
      <c r="AY1793" s="78"/>
      <c r="AZ1793" s="78"/>
      <c r="BA1793" s="78"/>
      <c r="BB1793" s="78"/>
      <c r="BC1793" s="78"/>
      <c r="BD1793" s="78"/>
      <c r="BE1793" s="465"/>
      <c r="BF1793" s="165" t="str">
        <f t="shared" si="1267"/>
        <v>https://www.google.com/search?tbm=isch&amp;q=1%20G6</v>
      </c>
      <c r="BG1793" s="165" t="str">
        <f t="shared" si="1268"/>
        <v>H</v>
      </c>
      <c r="BH1793" s="65"/>
      <c r="BI1793" s="65"/>
      <c r="BJ1793" s="65"/>
      <c r="BK1793" s="65"/>
      <c r="BL1793" s="99"/>
      <c r="BM1793" s="99"/>
      <c r="BN1793" s="99"/>
    </row>
    <row r="1794" spans="1:66" s="51" customFormat="1" ht="15.75" x14ac:dyDescent="0.25">
      <c r="A1794" s="634">
        <v>1</v>
      </c>
      <c r="B1794" s="635" t="s">
        <v>291</v>
      </c>
      <c r="C1794" s="636"/>
      <c r="D1794" s="637" t="s">
        <v>329</v>
      </c>
      <c r="E1794" s="638">
        <v>10.95</v>
      </c>
      <c r="F1794" s="639" t="s">
        <v>292</v>
      </c>
      <c r="G1794" s="484">
        <v>0</v>
      </c>
      <c r="H1794" s="691" t="str">
        <f>IF(G1794=0,"",IF(F1794="Buy",IF(G1794=1,"plant","plants"),IF(F1794&gt;0.01,"warranty","Error")))</f>
        <v/>
      </c>
      <c r="I1794" s="640">
        <f>IF(H1794="free",0,IF(H1794="credit",((E1794*(F1794))*G1794*-1),IF(F1794="Buy",(E1794*G1794),((E1794*(1-F1794))*G1794))))</f>
        <v>0</v>
      </c>
      <c r="J1794" s="640">
        <f>IF(H1794="warranty",0,(I1794*(_xlfn.SINGLE(SalesTaxPercentage))))</f>
        <v>0</v>
      </c>
      <c r="K1794" s="716">
        <f t="shared" ref="K1794" si="1286">I1794+J1794</f>
        <v>0</v>
      </c>
      <c r="L1794" s="716"/>
      <c r="M1794" s="689" t="str">
        <f ca="1">IF(AND(G1794&gt;0,E1794=0),"WARNING - no PRICE inserted",IF(H1794="free","FREE ~ no charge this plant",IF(H1794="credit",CONCATENATE("-$",ROUND(K1794*(1-_xlfn.SINGLE(T2GDiscount))*-1,2)," CREDIT after discount"),IF(_xlfn.SINGLE(T2GDiscount)=0,"",IF(G1794=0,"",IF(F1794="Buy",CONCATENATE("$",ROUND(K1794*(1-_xlfn.SINGLE(T2GDiscount)),2)," with ",(_xlfn.SINGLE(T2GDiscount)*100),"% discount"),CONCATENATE("$",ROUND(K1794*(1-_xlfn.SINGLE(T2GDiscount)),2)," with ",((_xlfn.SINGLE(T2GDiscount)*100+F1794*100)-(_xlfn.SINGLE(T2GDiscount)*100*F1794)),IF(F1794&gt;0,"% discounts",IF(_xlfn.SINGLE(NoWarrantyDiscount)&gt;0,"% discounts","% discount")))))))))</f>
        <v/>
      </c>
      <c r="N1794" s="690"/>
      <c r="O1794" s="486"/>
      <c r="P1794" s="486"/>
      <c r="Q1794" s="486"/>
      <c r="R1794" s="486"/>
      <c r="S1794" s="486"/>
      <c r="T1794" s="102">
        <f t="shared" si="1256"/>
        <v>0</v>
      </c>
      <c r="U1794" s="78">
        <f>IF(NOT(ISNUMBER(G1794)), "", VLOOKUP(A1794,'Discount Lookup'!D:E,2,FALSE)*G1794)</f>
        <v>0</v>
      </c>
      <c r="V1794" s="78">
        <f>IF(NOT(ISNUMBER(G1794)), "", VLOOKUP(A1794,'Discount Lookup'!G:H,2,FALSE)*G1794)</f>
        <v>0</v>
      </c>
      <c r="W1794" s="102">
        <f t="shared" si="1257"/>
        <v>0</v>
      </c>
      <c r="X1794" s="102">
        <f t="shared" si="1258"/>
        <v>0</v>
      </c>
      <c r="Y1794" s="120" t="b">
        <f t="shared" si="1259"/>
        <v>0</v>
      </c>
      <c r="Z1794" s="117">
        <f t="shared" si="1260"/>
        <v>0</v>
      </c>
      <c r="AA1794" s="118"/>
      <c r="AB1794" s="118" t="str">
        <f t="shared" si="1261"/>
        <v/>
      </c>
      <c r="AC1794" s="712" t="str">
        <f>IF(AE1794="T2G","no charge",IF(AND(OR(PlanterYesMe="No",PlanterYesMe="N",PlanterYesMe="me"),H1794=""),"",IF(H1794="credit","NO install",IF(AND(K1794="",AE1794="me"),"EACH row",IF(AND(K1794="images",AE1794="me"),"EACH row",IF(D1794="","",IF(H1794="credit","",IF(AE1794="free","re-planting",IF(AE1794="me","   not ELP, by",IF(AND(OR(PlanterYesMe="Yes",PlanterYesMe="Y"),G1794&gt;0),(VLOOKUP(A1794,'Discount Lookup'!J:K,2)*G1794*(1-PlanterDiscount)*(1+PlanterDifficultyPercentage)),IF(AE1794="ELP",(VLOOKUP(A1794,'Discount Lookup'!J:K,2)*G1794*(1-PlanterDiscount)*(1+PlanterDifficultyPercentage)),IF(AE1794="free","re-planting",IF(G1794=0,"",IF(PlanterYesMe="",IF(AE1794="me","   not ELP, by",IF(AE1794="",IF(G1794&gt;0,(VLOOKUP(A1794,'Discount Lookup'!J:K,2)*G1794*(1-PlanterDiscount)*(1+PlanterDifficultyPercentage)),""),"")),"   not ELP, by"))))))))))))))</f>
        <v/>
      </c>
      <c r="AD1794" s="712"/>
      <c r="AE1794" s="513" t="str">
        <f t="shared" si="1262"/>
        <v/>
      </c>
      <c r="AF1794" s="713" t="str">
        <f t="shared" si="1263"/>
        <v/>
      </c>
      <c r="AG1794" s="713"/>
      <c r="AH1794" s="713"/>
      <c r="AI1794" s="112">
        <f>IF(H1794="credit",0,IF(AE1794="free",0,IF(AE1794="me",0,IF(G1794&gt;0,(VLOOKUP(A1794,'Discount Lookup'!J:K,2)*G1794),0))))</f>
        <v>0</v>
      </c>
      <c r="AJ1794" s="107" t="str">
        <f t="shared" ca="1" si="1264"/>
        <v/>
      </c>
      <c r="AK1794" s="714" t="str">
        <f t="shared" si="1265"/>
        <v/>
      </c>
      <c r="AL1794" s="714"/>
      <c r="AM1794" s="114" t="str">
        <f t="shared" si="1266"/>
        <v/>
      </c>
      <c r="AN1794" s="115"/>
      <c r="AO1794" s="116"/>
      <c r="AP1794" s="116"/>
      <c r="AQ1794" s="116"/>
      <c r="AR1794" s="116"/>
      <c r="AS1794" s="116"/>
      <c r="AT1794" s="116"/>
      <c r="AU1794" s="116"/>
      <c r="AV1794" s="78"/>
      <c r="AW1794" s="102"/>
      <c r="AX1794" s="78"/>
      <c r="AY1794" s="78"/>
      <c r="AZ1794" s="78"/>
      <c r="BA1794" s="78"/>
      <c r="BB1794" s="78"/>
      <c r="BC1794" s="78"/>
      <c r="BD1794" s="78"/>
      <c r="BE1794" s="465"/>
      <c r="BF1794" s="165" t="str">
        <f t="shared" si="1267"/>
        <v>https://www.google.com/search?tbm=isch&amp;q=1%20G2</v>
      </c>
      <c r="BG1794" s="165" t="str">
        <f t="shared" si="1268"/>
        <v>H</v>
      </c>
      <c r="BH1794" s="65"/>
      <c r="BI1794" s="65"/>
      <c r="BJ1794" s="65"/>
      <c r="BK1794" s="65"/>
      <c r="BL1794" s="99"/>
      <c r="BM1794" s="99"/>
      <c r="BN1794" s="99"/>
    </row>
    <row r="1795" spans="1:66" s="51" customFormat="1" ht="17.25" thickBot="1" x14ac:dyDescent="0.3">
      <c r="A1795" s="641" t="s">
        <v>4922</v>
      </c>
      <c r="B1795" s="642"/>
      <c r="C1795" s="710"/>
      <c r="D1795" s="643"/>
      <c r="E1795" s="643"/>
      <c r="F1795" s="644"/>
      <c r="G1795" s="645"/>
      <c r="H1795" s="646"/>
      <c r="I1795" s="647"/>
      <c r="J1795" s="648"/>
      <c r="K1795" s="649"/>
      <c r="L1795" s="650"/>
      <c r="M1795" s="650"/>
      <c r="N1795" s="644"/>
      <c r="O1795" s="644"/>
      <c r="P1795" s="644"/>
      <c r="Q1795" s="644"/>
      <c r="R1795" s="644"/>
      <c r="S1795" s="701" t="s">
        <v>5273</v>
      </c>
      <c r="T1795" s="102">
        <f t="shared" si="1256"/>
        <v>0</v>
      </c>
      <c r="U1795" s="78" t="str">
        <f>IF(NOT(ISNUMBER(G1795)), "", VLOOKUP(A1795,'Discount Lookup'!D:E,2,FALSE)*G1795)</f>
        <v/>
      </c>
      <c r="V1795" s="78" t="str">
        <f>IF(NOT(ISNUMBER(G1795)), "", VLOOKUP(A1795,'Discount Lookup'!G:H,2,FALSE)*G1795)</f>
        <v/>
      </c>
      <c r="W1795" s="102">
        <f t="shared" si="1257"/>
        <v>0</v>
      </c>
      <c r="X1795" s="102">
        <f t="shared" si="1258"/>
        <v>0</v>
      </c>
      <c r="Y1795" s="120" t="b">
        <f t="shared" si="1259"/>
        <v>0</v>
      </c>
      <c r="Z1795" s="117">
        <f t="shared" si="1260"/>
        <v>0</v>
      </c>
      <c r="AA1795" s="118"/>
      <c r="AB1795" s="118" t="str">
        <f t="shared" si="1261"/>
        <v/>
      </c>
      <c r="AC1795" s="712" t="str">
        <f>IF(AE1795="T2G","no charge",IF(AND(OR(PlanterYesMe="No",PlanterYesMe="N",PlanterYesMe="me"),H1795=""),"",IF(H1795="credit","NO install",IF(AND(K1795="",AE1795="me"),"EACH row",IF(AND(K1795="images",AE1795="me"),"EACH row",IF(D1795="","",IF(H1795="credit","",IF(AE1795="free","re-planting",IF(AE1795="me","   not ELP, by",IF(AND(OR(PlanterYesMe="Yes",PlanterYesMe="Y"),G1795&gt;0),(VLOOKUP(A1795,'Discount Lookup'!J:K,2)*G1795*(1-PlanterDiscount)*(1+PlanterDifficultyPercentage)),IF(AE1795="ELP",(VLOOKUP(A1795,'Discount Lookup'!J:K,2)*G1795*(1-PlanterDiscount)*(1+PlanterDifficultyPercentage)),IF(AE1795="free","re-planting",IF(G1795=0,"",IF(PlanterYesMe="",IF(AE1795="me","   not ELP, by",IF(AE1795="",IF(G1795&gt;0,(VLOOKUP(A1795,'Discount Lookup'!J:K,2)*G1795*(1-PlanterDiscount)*(1+PlanterDifficultyPercentage)),""),"")),"   not ELP, by"))))))))))))))</f>
        <v/>
      </c>
      <c r="AD1795" s="712"/>
      <c r="AE1795" s="513" t="str">
        <f t="shared" si="1262"/>
        <v/>
      </c>
      <c r="AF1795" s="713" t="str">
        <f t="shared" si="1263"/>
        <v/>
      </c>
      <c r="AG1795" s="713"/>
      <c r="AH1795" s="713"/>
      <c r="AI1795" s="112">
        <f>IF(H1795="credit",0,IF(AE1795="free",0,IF(AE1795="me",0,IF(G1795&gt;0,(VLOOKUP(A1795,'Discount Lookup'!J:K,2)*G1795),0))))</f>
        <v>0</v>
      </c>
      <c r="AJ1795" s="107" t="str">
        <f t="shared" ca="1" si="1264"/>
        <v/>
      </c>
      <c r="AK1795" s="714" t="str">
        <f t="shared" si="1265"/>
        <v/>
      </c>
      <c r="AL1795" s="714"/>
      <c r="AM1795" s="114" t="str">
        <f t="shared" si="1266"/>
        <v/>
      </c>
      <c r="AN1795" s="115"/>
      <c r="AO1795" s="116"/>
      <c r="AP1795" s="116"/>
      <c r="AQ1795" s="116"/>
      <c r="AR1795" s="116"/>
      <c r="AS1795" s="116"/>
      <c r="AT1795" s="116"/>
      <c r="AU1795" s="116"/>
      <c r="AV1795" s="78"/>
      <c r="AW1795" s="102"/>
      <c r="AX1795" s="78"/>
      <c r="AY1795" s="78"/>
      <c r="AZ1795" s="78"/>
      <c r="BA1795" s="78"/>
      <c r="BB1795" s="78"/>
      <c r="BC1795" s="78"/>
      <c r="BD1795" s="78"/>
      <c r="BE1795" s="465"/>
      <c r="BF1795" s="165" t="str">
        <f t="shared" si="1267"/>
        <v>https://www.google.com/search?tbm=isch&amp;q=Ruby%20Stella%20has%20slightly%20fragrant%20flowers%20that%20bloom%20consistently%20from%20early%20summer%20until%20frost%20without%20the%20need%20for%20deadheading%20</v>
      </c>
      <c r="BG1795" s="165" t="str">
        <f t="shared" si="1268"/>
        <v>R</v>
      </c>
      <c r="BH1795" s="65"/>
      <c r="BI1795" s="65"/>
      <c r="BJ1795" s="65"/>
      <c r="BK1795" s="65"/>
      <c r="BL1795" s="99"/>
      <c r="BM1795" s="99"/>
      <c r="BN1795" s="99"/>
    </row>
    <row r="1796" spans="1:66" s="51" customFormat="1" ht="18" x14ac:dyDescent="0.25">
      <c r="A1796" s="623" t="s">
        <v>2674</v>
      </c>
      <c r="B1796" s="624"/>
      <c r="C1796" s="709"/>
      <c r="D1796" s="625" t="s">
        <v>2675</v>
      </c>
      <c r="E1796" s="626"/>
      <c r="F1796" s="626"/>
      <c r="G1796" s="626"/>
      <c r="H1796" s="622" t="s">
        <v>2423</v>
      </c>
      <c r="I1796" s="627" t="s">
        <v>1549</v>
      </c>
      <c r="J1796" s="628"/>
      <c r="K1796" s="628"/>
      <c r="L1796" s="629"/>
      <c r="M1796" s="700" t="s">
        <v>5249</v>
      </c>
      <c r="N1796" s="693" t="str">
        <f>IF(AND(ISTEXT($A1796), ISERROR($A1796+0)), HYPERLINK($BF1796, "Images"), "")</f>
        <v>Images</v>
      </c>
      <c r="O1796" s="695" t="s">
        <v>5264</v>
      </c>
      <c r="P1796" s="630"/>
      <c r="Q1796" s="631"/>
      <c r="R1796" s="632"/>
      <c r="S1796" s="633"/>
      <c r="T1796" s="102">
        <f t="shared" si="1256"/>
        <v>0</v>
      </c>
      <c r="U1796" s="78" t="str">
        <f>IF(NOT(ISNUMBER(G1796)), "", VLOOKUP(A1796,'Discount Lookup'!D:E,2,FALSE)*G1796)</f>
        <v/>
      </c>
      <c r="V1796" s="78" t="str">
        <f>IF(NOT(ISNUMBER(G1796)), "", VLOOKUP(A1796,'Discount Lookup'!G:H,2,FALSE)*G1796)</f>
        <v/>
      </c>
      <c r="W1796" s="102">
        <f t="shared" si="1257"/>
        <v>0</v>
      </c>
      <c r="X1796" s="102" t="str">
        <f t="shared" si="1258"/>
        <v>Golden Yellow bloom</v>
      </c>
      <c r="Y1796" s="120" t="b">
        <f t="shared" si="1259"/>
        <v>0</v>
      </c>
      <c r="Z1796" s="117">
        <f t="shared" si="1260"/>
        <v>0</v>
      </c>
      <c r="AA1796" s="118"/>
      <c r="AB1796" s="118" t="str">
        <f t="shared" si="1261"/>
        <v/>
      </c>
      <c r="AC1796" s="712" t="str">
        <f>IF(AE1796="T2G","no charge",IF(AND(OR(PlanterYesMe="No",PlanterYesMe="N",PlanterYesMe="me"),H1796=""),"",IF(H1796="credit","NO install",IF(AND(K1796="",AE1796="me"),"EACH row",IF(AND(K1796="images",AE1796="me"),"EACH row",IF(D1796="","",IF(H1796="credit","",IF(AE1796="free","re-planting",IF(AE1796="me","   not ELP, by",IF(AND(OR(PlanterYesMe="Yes",PlanterYesMe="Y"),G1796&gt;0),(VLOOKUP(A1796,'Discount Lookup'!J:K,2)*G1796*(1-PlanterDiscount)*(1+PlanterDifficultyPercentage)),IF(AE1796="ELP",(VLOOKUP(A1796,'Discount Lookup'!J:K,2)*G1796*(1-PlanterDiscount)*(1+PlanterDifficultyPercentage)),IF(AE1796="free","re-planting",IF(G1796=0,"",IF(PlanterYesMe="",IF(AE1796="me","   not ELP, by",IF(AE1796="",IF(G1796&gt;0,(VLOOKUP(A1796,'Discount Lookup'!J:K,2)*G1796*(1-PlanterDiscount)*(1+PlanterDifficultyPercentage)),""),"")),"   not ELP, by"))))))))))))))</f>
        <v/>
      </c>
      <c r="AD1796" s="712"/>
      <c r="AE1796" s="513" t="str">
        <f t="shared" si="1262"/>
        <v/>
      </c>
      <c r="AF1796" s="713" t="str">
        <f t="shared" si="1263"/>
        <v/>
      </c>
      <c r="AG1796" s="713"/>
      <c r="AH1796" s="713"/>
      <c r="AI1796" s="112">
        <f>IF(H1796="credit",0,IF(AE1796="free",0,IF(AE1796="me",0,IF(G1796&gt;0,(VLOOKUP(A1796,'Discount Lookup'!J:K,2)*G1796),0))))</f>
        <v>0</v>
      </c>
      <c r="AJ1796" s="107" t="str">
        <f t="shared" ca="1" si="1264"/>
        <v/>
      </c>
      <c r="AK1796" s="714" t="str">
        <f t="shared" si="1265"/>
        <v/>
      </c>
      <c r="AL1796" s="714"/>
      <c r="AM1796" s="114" t="str">
        <f t="shared" si="1266"/>
        <v/>
      </c>
      <c r="AN1796" s="115"/>
      <c r="AO1796" s="116"/>
      <c r="AP1796" s="116"/>
      <c r="AQ1796" s="116"/>
      <c r="AR1796" s="116"/>
      <c r="AS1796" s="116"/>
      <c r="AT1796" s="116"/>
      <c r="AU1796" s="116"/>
      <c r="AV1796" s="78"/>
      <c r="AW1796" s="102"/>
      <c r="AX1796" s="78"/>
      <c r="AY1796" s="78"/>
      <c r="AZ1796" s="78"/>
      <c r="BA1796" s="78"/>
      <c r="BB1796" s="78"/>
      <c r="BC1796" s="78"/>
      <c r="BD1796" s="78"/>
      <c r="BE1796" s="465"/>
      <c r="BF1796" s="165" t="str">
        <f t="shared" si="1267"/>
        <v>https://www.google.com/search?tbm=isch&amp;q=Hemerocallis%20%27Stella%20d%27Oro%27%20Stella%20d%27Oro%20Daylily</v>
      </c>
      <c r="BG1796" s="165" t="str">
        <f t="shared" si="1268"/>
        <v>H</v>
      </c>
      <c r="BH1796" s="65"/>
      <c r="BI1796" s="65"/>
      <c r="BJ1796" s="65"/>
      <c r="BK1796" s="65"/>
      <c r="BL1796" s="99"/>
      <c r="BM1796" s="99"/>
      <c r="BN1796" s="99"/>
    </row>
    <row r="1797" spans="1:66" s="51" customFormat="1" ht="15.75" x14ac:dyDescent="0.25">
      <c r="A1797" s="634">
        <v>1</v>
      </c>
      <c r="B1797" s="635" t="s">
        <v>291</v>
      </c>
      <c r="C1797" s="636">
        <v>2000</v>
      </c>
      <c r="D1797" s="637" t="s">
        <v>309</v>
      </c>
      <c r="E1797" s="638">
        <v>6.95</v>
      </c>
      <c r="F1797" s="639" t="s">
        <v>292</v>
      </c>
      <c r="G1797" s="484">
        <v>0</v>
      </c>
      <c r="H1797" s="691" t="str">
        <f>IF(G1797=0,"",IF(F1797="Buy",IF(G1797=1,"plant","plants"),IF(F1797&gt;0.01,"warranty","Error")))</f>
        <v/>
      </c>
      <c r="I1797" s="640">
        <f>IF(H1797="free",0,IF(H1797="credit",((E1797*(F1797))*G1797*-1),IF(F1797="Buy",(E1797*G1797),((E1797*(1-F1797))*G1797))))</f>
        <v>0</v>
      </c>
      <c r="J1797" s="640">
        <f>IF(H1797="warranty",0,(I1797*(_xlfn.SINGLE(SalesTaxPercentage))))</f>
        <v>0</v>
      </c>
      <c r="K1797" s="716">
        <f t="shared" ref="K1797" si="1287">I1797+J1797</f>
        <v>0</v>
      </c>
      <c r="L1797" s="716"/>
      <c r="M1797" s="689" t="str">
        <f ca="1">IF(AND(G1797&gt;0,E1797=0),"WARNING - no PRICE inserted",IF(H1797="free","FREE ~ no charge this plant",IF(H1797="credit",CONCATENATE("-$",ROUND(K1797*(1-_xlfn.SINGLE(T2GDiscount))*-1,2)," CREDIT after discount"),IF(_xlfn.SINGLE(T2GDiscount)=0,"",IF(G1797=0,"",IF(F1797="Buy",CONCATENATE("$",ROUND(K1797*(1-_xlfn.SINGLE(T2GDiscount)),2)," with ",(_xlfn.SINGLE(T2GDiscount)*100),"% discount"),CONCATENATE("$",ROUND(K1797*(1-_xlfn.SINGLE(T2GDiscount)),2)," with ",((_xlfn.SINGLE(T2GDiscount)*100+F1797*100)-(_xlfn.SINGLE(T2GDiscount)*100*F1797)),IF(F1797&gt;0,"% discounts",IF(_xlfn.SINGLE(NoWarrantyDiscount)&gt;0,"% discounts","% discount")))))))))</f>
        <v/>
      </c>
      <c r="N1797" s="690"/>
      <c r="O1797" s="486"/>
      <c r="P1797" s="486"/>
      <c r="Q1797" s="486"/>
      <c r="R1797" s="486"/>
      <c r="S1797" s="486"/>
      <c r="T1797" s="102">
        <f t="shared" si="1256"/>
        <v>0</v>
      </c>
      <c r="U1797" s="78">
        <f>IF(NOT(ISNUMBER(G1797)), "", VLOOKUP(A1797,'Discount Lookup'!D:E,2,FALSE)*G1797)</f>
        <v>0</v>
      </c>
      <c r="V1797" s="78">
        <f>IF(NOT(ISNUMBER(G1797)), "", VLOOKUP(A1797,'Discount Lookup'!G:H,2,FALSE)*G1797)</f>
        <v>0</v>
      </c>
      <c r="W1797" s="102">
        <f t="shared" si="1257"/>
        <v>0</v>
      </c>
      <c r="X1797" s="102">
        <f t="shared" si="1258"/>
        <v>0</v>
      </c>
      <c r="Y1797" s="120" t="b">
        <f t="shared" si="1259"/>
        <v>0</v>
      </c>
      <c r="Z1797" s="117">
        <f t="shared" si="1260"/>
        <v>0</v>
      </c>
      <c r="AA1797" s="118"/>
      <c r="AB1797" s="118" t="str">
        <f t="shared" si="1261"/>
        <v/>
      </c>
      <c r="AC1797" s="712" t="str">
        <f>IF(AE1797="T2G","no charge",IF(AND(OR(PlanterYesMe="No",PlanterYesMe="N",PlanterYesMe="me"),H1797=""),"",IF(H1797="credit","NO install",IF(AND(K1797="",AE1797="me"),"EACH row",IF(AND(K1797="images",AE1797="me"),"EACH row",IF(D1797="","",IF(H1797="credit","",IF(AE1797="free","re-planting",IF(AE1797="me","   not ELP, by",IF(AND(OR(PlanterYesMe="Yes",PlanterYesMe="Y"),G1797&gt;0),(VLOOKUP(A1797,'Discount Lookup'!J:K,2)*G1797*(1-PlanterDiscount)*(1+PlanterDifficultyPercentage)),IF(AE1797="ELP",(VLOOKUP(A1797,'Discount Lookup'!J:K,2)*G1797*(1-PlanterDiscount)*(1+PlanterDifficultyPercentage)),IF(AE1797="free","re-planting",IF(G1797=0,"",IF(PlanterYesMe="",IF(AE1797="me","   not ELP, by",IF(AE1797="",IF(G1797&gt;0,(VLOOKUP(A1797,'Discount Lookup'!J:K,2)*G1797*(1-PlanterDiscount)*(1+PlanterDifficultyPercentage)),""),"")),"   not ELP, by"))))))))))))))</f>
        <v/>
      </c>
      <c r="AD1797" s="712"/>
      <c r="AE1797" s="513" t="str">
        <f t="shared" si="1262"/>
        <v/>
      </c>
      <c r="AF1797" s="713" t="str">
        <f t="shared" si="1263"/>
        <v/>
      </c>
      <c r="AG1797" s="713"/>
      <c r="AH1797" s="713"/>
      <c r="AI1797" s="112">
        <f>IF(H1797="credit",0,IF(AE1797="free",0,IF(AE1797="me",0,IF(G1797&gt;0,(VLOOKUP(A1797,'Discount Lookup'!J:K,2)*G1797),0))))</f>
        <v>0</v>
      </c>
      <c r="AJ1797" s="107" t="str">
        <f t="shared" ca="1" si="1264"/>
        <v/>
      </c>
      <c r="AK1797" s="714" t="str">
        <f t="shared" si="1265"/>
        <v/>
      </c>
      <c r="AL1797" s="714"/>
      <c r="AM1797" s="114" t="str">
        <f t="shared" si="1266"/>
        <v/>
      </c>
      <c r="AN1797" s="115"/>
      <c r="AO1797" s="116"/>
      <c r="AP1797" s="116"/>
      <c r="AQ1797" s="116"/>
      <c r="AR1797" s="116"/>
      <c r="AS1797" s="116"/>
      <c r="AT1797" s="116"/>
      <c r="AU1797" s="116"/>
      <c r="AV1797" s="78"/>
      <c r="AW1797" s="102"/>
      <c r="AX1797" s="78"/>
      <c r="AY1797" s="78"/>
      <c r="AZ1797" s="78"/>
      <c r="BA1797" s="78"/>
      <c r="BB1797" s="78"/>
      <c r="BC1797" s="78"/>
      <c r="BD1797" s="78"/>
      <c r="BE1797" s="465"/>
      <c r="BF1797" s="165" t="str">
        <f t="shared" si="1267"/>
        <v>https://www.google.com/search?tbm=isch&amp;q=1%20G3</v>
      </c>
      <c r="BG1797" s="165" t="str">
        <f t="shared" si="1268"/>
        <v>H</v>
      </c>
      <c r="BH1797" s="65"/>
      <c r="BI1797" s="65"/>
      <c r="BJ1797" s="65"/>
      <c r="BK1797" s="65"/>
      <c r="BL1797" s="99"/>
      <c r="BM1797" s="99"/>
      <c r="BN1797" s="99"/>
    </row>
    <row r="1798" spans="1:66" s="51" customFormat="1" ht="15.75" x14ac:dyDescent="0.25">
      <c r="A1798" s="634">
        <v>1</v>
      </c>
      <c r="B1798" s="635" t="s">
        <v>291</v>
      </c>
      <c r="C1798" s="636" t="s">
        <v>2664</v>
      </c>
      <c r="D1798" s="637" t="s">
        <v>293</v>
      </c>
      <c r="E1798" s="638">
        <v>9.9499999999999993</v>
      </c>
      <c r="F1798" s="639" t="s">
        <v>292</v>
      </c>
      <c r="G1798" s="484">
        <v>0</v>
      </c>
      <c r="H1798" s="691" t="str">
        <f>IF(G1798=0,"",IF(F1798="Buy",IF(G1798=1,"plant","plants"),IF(F1798&gt;0.01,"warranty","Error")))</f>
        <v/>
      </c>
      <c r="I1798" s="640">
        <f>IF(H1798="free",0,IF(H1798="credit",((E1798*(F1798))*G1798*-1),IF(F1798="Buy",(E1798*G1798),((E1798*(1-F1798))*G1798))))</f>
        <v>0</v>
      </c>
      <c r="J1798" s="640">
        <f>IF(H1798="warranty",0,(I1798*(_xlfn.SINGLE(SalesTaxPercentage))))</f>
        <v>0</v>
      </c>
      <c r="K1798" s="716">
        <f t="shared" ref="K1798" si="1288">I1798+J1798</f>
        <v>0</v>
      </c>
      <c r="L1798" s="716"/>
      <c r="M1798" s="689" t="str">
        <f ca="1">IF(AND(G1798&gt;0,E1798=0),"WARNING - no PRICE inserted",IF(H1798="free","FREE ~ no charge this plant",IF(H1798="credit",CONCATENATE("-$",ROUND(K1798*(1-_xlfn.SINGLE(T2GDiscount))*-1,2)," CREDIT after discount"),IF(_xlfn.SINGLE(T2GDiscount)=0,"",IF(G1798=0,"",IF(F1798="Buy",CONCATENATE("$",ROUND(K1798*(1-_xlfn.SINGLE(T2GDiscount)),2)," with ",(_xlfn.SINGLE(T2GDiscount)*100),"% discount"),CONCATENATE("$",ROUND(K1798*(1-_xlfn.SINGLE(T2GDiscount)),2)," with ",((_xlfn.SINGLE(T2GDiscount)*100+F1798*100)-(_xlfn.SINGLE(T2GDiscount)*100*F1798)),IF(F1798&gt;0,"% discounts",IF(_xlfn.SINGLE(NoWarrantyDiscount)&gt;0,"% discounts","% discount")))))))))</f>
        <v/>
      </c>
      <c r="N1798" s="690"/>
      <c r="O1798" s="486"/>
      <c r="P1798" s="486"/>
      <c r="Q1798" s="486"/>
      <c r="R1798" s="486"/>
      <c r="S1798" s="486"/>
      <c r="T1798" s="102">
        <f t="shared" si="1256"/>
        <v>0</v>
      </c>
      <c r="U1798" s="78">
        <f>IF(NOT(ISNUMBER(G1798)), "", VLOOKUP(A1798,'Discount Lookup'!D:E,2,FALSE)*G1798)</f>
        <v>0</v>
      </c>
      <c r="V1798" s="78">
        <f>IF(NOT(ISNUMBER(G1798)), "", VLOOKUP(A1798,'Discount Lookup'!G:H,2,FALSE)*G1798)</f>
        <v>0</v>
      </c>
      <c r="W1798" s="102">
        <f t="shared" si="1257"/>
        <v>0</v>
      </c>
      <c r="X1798" s="102">
        <f t="shared" si="1258"/>
        <v>0</v>
      </c>
      <c r="Y1798" s="120" t="b">
        <f t="shared" si="1259"/>
        <v>0</v>
      </c>
      <c r="Z1798" s="117">
        <f t="shared" si="1260"/>
        <v>0</v>
      </c>
      <c r="AA1798" s="118"/>
      <c r="AB1798" s="118" t="str">
        <f t="shared" si="1261"/>
        <v/>
      </c>
      <c r="AC1798" s="712" t="str">
        <f>IF(AE1798="T2G","no charge",IF(AND(OR(PlanterYesMe="No",PlanterYesMe="N",PlanterYesMe="me"),H1798=""),"",IF(H1798="credit","NO install",IF(AND(K1798="",AE1798="me"),"EACH row",IF(AND(K1798="images",AE1798="me"),"EACH row",IF(D1798="","",IF(H1798="credit","",IF(AE1798="free","re-planting",IF(AE1798="me","   not ELP, by",IF(AND(OR(PlanterYesMe="Yes",PlanterYesMe="Y"),G1798&gt;0),(VLOOKUP(A1798,'Discount Lookup'!J:K,2)*G1798*(1-PlanterDiscount)*(1+PlanterDifficultyPercentage)),IF(AE1798="ELP",(VLOOKUP(A1798,'Discount Lookup'!J:K,2)*G1798*(1-PlanterDiscount)*(1+PlanterDifficultyPercentage)),IF(AE1798="free","re-planting",IF(G1798=0,"",IF(PlanterYesMe="",IF(AE1798="me","   not ELP, by",IF(AE1798="",IF(G1798&gt;0,(VLOOKUP(A1798,'Discount Lookup'!J:K,2)*G1798*(1-PlanterDiscount)*(1+PlanterDifficultyPercentage)),""),"")),"   not ELP, by"))))))))))))))</f>
        <v/>
      </c>
      <c r="AD1798" s="712"/>
      <c r="AE1798" s="513" t="str">
        <f t="shared" si="1262"/>
        <v/>
      </c>
      <c r="AF1798" s="713" t="str">
        <f t="shared" si="1263"/>
        <v/>
      </c>
      <c r="AG1798" s="713"/>
      <c r="AH1798" s="713"/>
      <c r="AI1798" s="112">
        <f>IF(H1798="credit",0,IF(AE1798="free",0,IF(AE1798="me",0,IF(G1798&gt;0,(VLOOKUP(A1798,'Discount Lookup'!J:K,2)*G1798),0))))</f>
        <v>0</v>
      </c>
      <c r="AJ1798" s="107" t="str">
        <f t="shared" ca="1" si="1264"/>
        <v/>
      </c>
      <c r="AK1798" s="714" t="str">
        <f t="shared" si="1265"/>
        <v/>
      </c>
      <c r="AL1798" s="714"/>
      <c r="AM1798" s="114" t="str">
        <f t="shared" si="1266"/>
        <v/>
      </c>
      <c r="AN1798" s="115"/>
      <c r="AO1798" s="116"/>
      <c r="AP1798" s="116"/>
      <c r="AQ1798" s="116"/>
      <c r="AR1798" s="116"/>
      <c r="AS1798" s="116"/>
      <c r="AT1798" s="116"/>
      <c r="AU1798" s="116"/>
      <c r="AV1798" s="78"/>
      <c r="AW1798" s="102"/>
      <c r="AX1798" s="78"/>
      <c r="AY1798" s="78"/>
      <c r="AZ1798" s="78"/>
      <c r="BA1798" s="78"/>
      <c r="BB1798" s="78"/>
      <c r="BC1798" s="78"/>
      <c r="BD1798" s="78"/>
      <c r="BE1798" s="465"/>
      <c r="BF1798" s="165" t="str">
        <f t="shared" si="1267"/>
        <v>https://www.google.com/search?tbm=isch&amp;q=1%20G6</v>
      </c>
      <c r="BG1798" s="165" t="str">
        <f t="shared" si="1268"/>
        <v>H</v>
      </c>
      <c r="BH1798" s="65"/>
      <c r="BI1798" s="65"/>
      <c r="BJ1798" s="65"/>
      <c r="BK1798" s="65"/>
      <c r="BL1798" s="99"/>
      <c r="BM1798" s="99"/>
      <c r="BN1798" s="99"/>
    </row>
    <row r="1799" spans="1:66" s="51" customFormat="1" ht="16.5" x14ac:dyDescent="0.25">
      <c r="A1799" s="704" t="s">
        <v>5407</v>
      </c>
      <c r="B1799" s="642"/>
      <c r="C1799" s="710"/>
      <c r="D1799" s="643"/>
      <c r="E1799" s="643"/>
      <c r="F1799" s="644"/>
      <c r="G1799" s="645"/>
      <c r="H1799" s="646"/>
      <c r="I1799" s="647"/>
      <c r="J1799" s="648"/>
      <c r="K1799" s="649"/>
      <c r="L1799" s="650"/>
      <c r="M1799" s="650"/>
      <c r="N1799" s="644"/>
      <c r="O1799" s="644"/>
      <c r="P1799" s="644"/>
      <c r="Q1799" s="644"/>
      <c r="R1799" s="644"/>
      <c r="S1799" s="701" t="s">
        <v>5273</v>
      </c>
      <c r="T1799" s="102">
        <f t="shared" si="1256"/>
        <v>0</v>
      </c>
      <c r="U1799" s="78" t="str">
        <f>IF(NOT(ISNUMBER(G1799)), "", VLOOKUP(A1799,'Discount Lookup'!D:E,2,FALSE)*G1799)</f>
        <v/>
      </c>
      <c r="V1799" s="78" t="str">
        <f>IF(NOT(ISNUMBER(G1799)), "", VLOOKUP(A1799,'Discount Lookup'!G:H,2,FALSE)*G1799)</f>
        <v/>
      </c>
      <c r="W1799" s="102">
        <f t="shared" si="1257"/>
        <v>0</v>
      </c>
      <c r="X1799" s="102">
        <f t="shared" si="1258"/>
        <v>0</v>
      </c>
      <c r="Y1799" s="120" t="b">
        <f t="shared" si="1259"/>
        <v>0</v>
      </c>
      <c r="Z1799" s="117">
        <f t="shared" si="1260"/>
        <v>0</v>
      </c>
      <c r="AA1799" s="118"/>
      <c r="AB1799" s="118" t="str">
        <f t="shared" si="1261"/>
        <v/>
      </c>
      <c r="AC1799" s="712" t="str">
        <f>IF(AE1799="T2G","no charge",IF(AND(OR(PlanterYesMe="No",PlanterYesMe="N",PlanterYesMe="me"),H1799=""),"",IF(H1799="credit","NO install",IF(AND(K1799="",AE1799="me"),"EACH row",IF(AND(K1799="images",AE1799="me"),"EACH row",IF(D1799="","",IF(H1799="credit","",IF(AE1799="free","re-planting",IF(AE1799="me","   not ELP, by",IF(AND(OR(PlanterYesMe="Yes",PlanterYesMe="Y"),G1799&gt;0),(VLOOKUP(A1799,'Discount Lookup'!J:K,2)*G1799*(1-PlanterDiscount)*(1+PlanterDifficultyPercentage)),IF(AE1799="ELP",(VLOOKUP(A1799,'Discount Lookup'!J:K,2)*G1799*(1-PlanterDiscount)*(1+PlanterDifficultyPercentage)),IF(AE1799="free","re-planting",IF(G1799=0,"",IF(PlanterYesMe="",IF(AE1799="me","   not ELP, by",IF(AE1799="",IF(G1799&gt;0,(VLOOKUP(A1799,'Discount Lookup'!J:K,2)*G1799*(1-PlanterDiscount)*(1+PlanterDifficultyPercentage)),""),"")),"   not ELP, by"))))))))))))))</f>
        <v/>
      </c>
      <c r="AD1799" s="712"/>
      <c r="AE1799" s="513" t="str">
        <f t="shared" si="1262"/>
        <v/>
      </c>
      <c r="AF1799" s="713" t="str">
        <f t="shared" si="1263"/>
        <v/>
      </c>
      <c r="AG1799" s="713"/>
      <c r="AH1799" s="713"/>
      <c r="AI1799" s="112">
        <f>IF(H1799="credit",0,IF(AE1799="free",0,IF(AE1799="me",0,IF(G1799&gt;0,(VLOOKUP(A1799,'Discount Lookup'!J:K,2)*G1799),0))))</f>
        <v>0</v>
      </c>
      <c r="AJ1799" s="107" t="str">
        <f t="shared" ca="1" si="1264"/>
        <v/>
      </c>
      <c r="AK1799" s="714" t="str">
        <f t="shared" si="1265"/>
        <v/>
      </c>
      <c r="AL1799" s="714"/>
      <c r="AM1799" s="114" t="str">
        <f t="shared" si="1266"/>
        <v/>
      </c>
      <c r="AN1799" s="115"/>
      <c r="AO1799" s="116"/>
      <c r="AP1799" s="116"/>
      <c r="AQ1799" s="116"/>
      <c r="AR1799" s="116"/>
      <c r="AS1799" s="116"/>
      <c r="AT1799" s="116"/>
      <c r="AU1799" s="116"/>
      <c r="AV1799" s="78"/>
      <c r="AW1799" s="102"/>
      <c r="AX1799" s="78"/>
      <c r="AY1799" s="78"/>
      <c r="AZ1799" s="78"/>
      <c r="BA1799" s="78"/>
      <c r="BB1799" s="78"/>
      <c r="BC1799" s="78"/>
      <c r="BD1799" s="78"/>
      <c r="BE1799" s="465"/>
      <c r="BF1799" s="165" t="str">
        <f t="shared" si="1267"/>
        <v>https://www.google.com/search?tbm=isch&amp;q=wet%20sites%F0%9F%92%A7OK%2C%20Stella%20is%20the%20longest%20blooming%20of%20all%20Daylily%2C%20starting%20early%2C%20through%20frost.%20Fragrant%20</v>
      </c>
      <c r="BG1799" s="165" t="str">
        <f t="shared" si="1268"/>
        <v>w</v>
      </c>
      <c r="BH1799" s="65"/>
      <c r="BI1799" s="65"/>
      <c r="BJ1799" s="65"/>
      <c r="BK1799" s="65"/>
      <c r="BL1799" s="99"/>
      <c r="BM1799" s="99"/>
      <c r="BN1799" s="99"/>
    </row>
    <row r="1800" spans="1:66" s="51" customFormat="1" ht="19.5" thickBot="1" x14ac:dyDescent="0.3">
      <c r="A1800" s="686" t="s">
        <v>485</v>
      </c>
      <c r="B1800" s="73"/>
      <c r="C1800" s="708"/>
      <c r="D1800" s="73"/>
      <c r="E1800" s="73"/>
      <c r="F1800" s="496"/>
      <c r="G1800" s="73"/>
      <c r="H1800" s="73"/>
      <c r="I1800" s="73"/>
      <c r="J1800" s="497" t="s">
        <v>357</v>
      </c>
      <c r="K1800" s="498"/>
      <c r="L1800" s="562"/>
      <c r="M1800" s="73"/>
      <c r="N1800"/>
      <c r="O1800"/>
      <c r="P1800"/>
      <c r="Q1800"/>
      <c r="R1800"/>
      <c r="S1800"/>
      <c r="T1800" s="102">
        <f t="shared" si="1256"/>
        <v>0</v>
      </c>
      <c r="U1800" s="78" t="str">
        <f>IF(NOT(ISNUMBER(G1800)), "", VLOOKUP(A1800,'Discount Lookup'!D:E,2,FALSE)*G1800)</f>
        <v/>
      </c>
      <c r="V1800" s="78" t="str">
        <f>IF(NOT(ISNUMBER(G1800)), "", VLOOKUP(A1800,'Discount Lookup'!G:H,2,FALSE)*G1800)</f>
        <v/>
      </c>
      <c r="W1800" s="102">
        <f t="shared" si="1257"/>
        <v>0</v>
      </c>
      <c r="X1800" s="102">
        <f t="shared" si="1258"/>
        <v>0</v>
      </c>
      <c r="Y1800" s="120" t="b">
        <f t="shared" si="1259"/>
        <v>0</v>
      </c>
      <c r="Z1800" s="117">
        <f t="shared" si="1260"/>
        <v>0</v>
      </c>
      <c r="AA1800" s="118"/>
      <c r="AB1800" s="118" t="str">
        <f t="shared" si="1261"/>
        <v/>
      </c>
      <c r="AC1800" s="712" t="str">
        <f>IF(AE1800="T2G","no charge",IF(AND(OR(PlanterYesMe="No",PlanterYesMe="N",PlanterYesMe="me"),H1800=""),"",IF(H1800="credit","NO install",IF(AND(K1800="",AE1800="me"),"EACH row",IF(AND(K1800="images",AE1800="me"),"EACH row",IF(D1800="","",IF(H1800="credit","",IF(AE1800="free","re-planting",IF(AE1800="me","   not ELP, by",IF(AND(OR(PlanterYesMe="Yes",PlanterYesMe="Y"),G1800&gt;0),(VLOOKUP(A1800,'Discount Lookup'!J:K,2)*G1800*(1-PlanterDiscount)*(1+PlanterDifficultyPercentage)),IF(AE1800="ELP",(VLOOKUP(A1800,'Discount Lookup'!J:K,2)*G1800*(1-PlanterDiscount)*(1+PlanterDifficultyPercentage)),IF(AE1800="free","re-planting",IF(G1800=0,"",IF(PlanterYesMe="",IF(AE1800="me","   not ELP, by",IF(AE1800="",IF(G1800&gt;0,(VLOOKUP(A1800,'Discount Lookup'!J:K,2)*G1800*(1-PlanterDiscount)*(1+PlanterDifficultyPercentage)),""),"")),"   not ELP, by"))))))))))))))</f>
        <v/>
      </c>
      <c r="AD1800" s="712"/>
      <c r="AE1800" s="513" t="str">
        <f t="shared" si="1262"/>
        <v/>
      </c>
      <c r="AF1800" s="713" t="str">
        <f t="shared" si="1263"/>
        <v/>
      </c>
      <c r="AG1800" s="713"/>
      <c r="AH1800" s="713"/>
      <c r="AI1800" s="112">
        <f>IF(H1800="credit",0,IF(AE1800="free",0,IF(AE1800="me",0,IF(G1800&gt;0,(VLOOKUP(A1800,'Discount Lookup'!J:K,2)*G1800),0))))</f>
        <v>0</v>
      </c>
      <c r="AJ1800" s="107" t="str">
        <f t="shared" ca="1" si="1264"/>
        <v/>
      </c>
      <c r="AK1800" s="714" t="str">
        <f t="shared" si="1265"/>
        <v/>
      </c>
      <c r="AL1800" s="714"/>
      <c r="AM1800" s="114" t="str">
        <f t="shared" si="1266"/>
        <v/>
      </c>
      <c r="AN1800" s="115"/>
      <c r="AO1800" s="116"/>
      <c r="AP1800" s="116"/>
      <c r="AQ1800" s="116"/>
      <c r="AR1800" s="116"/>
      <c r="AS1800" s="116"/>
      <c r="AT1800" s="116"/>
      <c r="AU1800" s="116"/>
      <c r="AV1800" s="78"/>
      <c r="AW1800" s="102"/>
      <c r="AX1800" s="78"/>
      <c r="AY1800" s="78"/>
      <c r="AZ1800" s="78"/>
      <c r="BA1800" s="78"/>
      <c r="BB1800" s="78"/>
      <c r="BC1800" s="78"/>
      <c r="BD1800" s="78"/>
      <c r="BE1800" s="465"/>
      <c r="BF1800" s="165" t="str">
        <f t="shared" si="1267"/>
        <v>https://www.google.com/search?tbm=isch&amp;q=Heptacodium%20%3D%20Seven-son%20Flower%20Tree%20</v>
      </c>
      <c r="BG1800" s="165" t="str">
        <f t="shared" si="1268"/>
        <v>H</v>
      </c>
      <c r="BH1800" s="65"/>
      <c r="BI1800" s="65"/>
      <c r="BJ1800" s="65"/>
      <c r="BK1800" s="65"/>
      <c r="BL1800" s="99"/>
      <c r="BM1800" s="99"/>
      <c r="BN1800" s="99"/>
    </row>
    <row r="1801" spans="1:66" s="51" customFormat="1" ht="18" x14ac:dyDescent="0.25">
      <c r="A1801" s="623" t="s">
        <v>2676</v>
      </c>
      <c r="B1801" s="624"/>
      <c r="C1801" s="709"/>
      <c r="D1801" s="625" t="s">
        <v>2677</v>
      </c>
      <c r="E1801" s="626"/>
      <c r="F1801" s="626"/>
      <c r="G1801" s="626"/>
      <c r="H1801" s="622" t="s">
        <v>334</v>
      </c>
      <c r="I1801" s="627" t="s">
        <v>349</v>
      </c>
      <c r="J1801" s="628"/>
      <c r="K1801" s="628"/>
      <c r="L1801" s="629"/>
      <c r="M1801" s="700" t="s">
        <v>5249</v>
      </c>
      <c r="N1801" s="693" t="str">
        <f>IF(AND(ISTEXT($A1801), ISERROR($A1801+0)), HYPERLINK($BF1801, "Images"), "")</f>
        <v>Images</v>
      </c>
      <c r="O1801" s="695" t="s">
        <v>5247</v>
      </c>
      <c r="P1801" s="630"/>
      <c r="Q1801" s="631"/>
      <c r="R1801" s="632"/>
      <c r="S1801" s="633"/>
      <c r="T1801" s="102">
        <f t="shared" si="1256"/>
        <v>0</v>
      </c>
      <c r="U1801" s="78" t="str">
        <f>IF(NOT(ISNUMBER(G1801)), "", VLOOKUP(A1801,'Discount Lookup'!D:E,2,FALSE)*G1801)</f>
        <v/>
      </c>
      <c r="V1801" s="78" t="str">
        <f>IF(NOT(ISNUMBER(G1801)), "", VLOOKUP(A1801,'Discount Lookup'!G:H,2,FALSE)*G1801)</f>
        <v/>
      </c>
      <c r="W1801" s="102">
        <f t="shared" si="1257"/>
        <v>0</v>
      </c>
      <c r="X1801" s="102" t="str">
        <f t="shared" si="1258"/>
        <v>White bloom</v>
      </c>
      <c r="Y1801" s="120" t="b">
        <f t="shared" si="1259"/>
        <v>0</v>
      </c>
      <c r="Z1801" s="117">
        <f t="shared" si="1260"/>
        <v>0</v>
      </c>
      <c r="AA1801" s="118"/>
      <c r="AB1801" s="118" t="str">
        <f t="shared" si="1261"/>
        <v/>
      </c>
      <c r="AC1801" s="712" t="str">
        <f>IF(AE1801="T2G","no charge",IF(AND(OR(PlanterYesMe="No",PlanterYesMe="N",PlanterYesMe="me"),H1801=""),"",IF(H1801="credit","NO install",IF(AND(K1801="",AE1801="me"),"EACH row",IF(AND(K1801="images",AE1801="me"),"EACH row",IF(D1801="","",IF(H1801="credit","",IF(AE1801="free","re-planting",IF(AE1801="me","   not ELP, by",IF(AND(OR(PlanterYesMe="Yes",PlanterYesMe="Y"),G1801&gt;0),(VLOOKUP(A1801,'Discount Lookup'!J:K,2)*G1801*(1-PlanterDiscount)*(1+PlanterDifficultyPercentage)),IF(AE1801="ELP",(VLOOKUP(A1801,'Discount Lookup'!J:K,2)*G1801*(1-PlanterDiscount)*(1+PlanterDifficultyPercentage)),IF(AE1801="free","re-planting",IF(G1801=0,"",IF(PlanterYesMe="",IF(AE1801="me","   not ELP, by",IF(AE1801="",IF(G1801&gt;0,(VLOOKUP(A1801,'Discount Lookup'!J:K,2)*G1801*(1-PlanterDiscount)*(1+PlanterDifficultyPercentage)),""),"")),"   not ELP, by"))))))))))))))</f>
        <v/>
      </c>
      <c r="AD1801" s="712"/>
      <c r="AE1801" s="513" t="str">
        <f t="shared" si="1262"/>
        <v/>
      </c>
      <c r="AF1801" s="713" t="str">
        <f t="shared" si="1263"/>
        <v/>
      </c>
      <c r="AG1801" s="713"/>
      <c r="AH1801" s="713"/>
      <c r="AI1801" s="112">
        <f>IF(H1801="credit",0,IF(AE1801="free",0,IF(AE1801="me",0,IF(G1801&gt;0,(VLOOKUP(A1801,'Discount Lookup'!J:K,2)*G1801),0))))</f>
        <v>0</v>
      </c>
      <c r="AJ1801" s="107" t="str">
        <f t="shared" ca="1" si="1264"/>
        <v/>
      </c>
      <c r="AK1801" s="714" t="str">
        <f t="shared" si="1265"/>
        <v/>
      </c>
      <c r="AL1801" s="714"/>
      <c r="AM1801" s="114" t="str">
        <f t="shared" si="1266"/>
        <v/>
      </c>
      <c r="AN1801" s="115"/>
      <c r="AO1801" s="116"/>
      <c r="AP1801" s="116"/>
      <c r="AQ1801" s="116"/>
      <c r="AR1801" s="116"/>
      <c r="AS1801" s="116"/>
      <c r="AT1801" s="116"/>
      <c r="AU1801" s="116"/>
      <c r="AV1801" s="78"/>
      <c r="AW1801" s="102"/>
      <c r="AX1801" s="78"/>
      <c r="AY1801" s="78"/>
      <c r="AZ1801" s="78"/>
      <c r="BA1801" s="78"/>
      <c r="BB1801" s="78"/>
      <c r="BC1801" s="78"/>
      <c r="BD1801" s="78"/>
      <c r="BE1801" s="465"/>
      <c r="BF1801" s="165" t="str">
        <f t="shared" si="1267"/>
        <v>https://www.google.com/search?tbm=isch&amp;q=Heptacodium%20miconioides%20Seven-Son%20Flower%20Tree</v>
      </c>
      <c r="BG1801" s="165" t="str">
        <f t="shared" si="1268"/>
        <v>H</v>
      </c>
      <c r="BH1801" s="65"/>
      <c r="BI1801" s="65"/>
      <c r="BJ1801" s="65"/>
      <c r="BK1801" s="65"/>
      <c r="BL1801" s="99"/>
      <c r="BM1801" s="99"/>
      <c r="BN1801" s="99"/>
    </row>
    <row r="1802" spans="1:66" s="51" customFormat="1" ht="15.75" x14ac:dyDescent="0.25">
      <c r="A1802" s="634">
        <v>7</v>
      </c>
      <c r="B1802" s="635" t="s">
        <v>291</v>
      </c>
      <c r="C1802" s="636" t="s">
        <v>2678</v>
      </c>
      <c r="D1802" s="637" t="s">
        <v>299</v>
      </c>
      <c r="E1802" s="638">
        <v>169.95</v>
      </c>
      <c r="F1802" s="639" t="s">
        <v>292</v>
      </c>
      <c r="G1802" s="484">
        <v>0</v>
      </c>
      <c r="H1802" s="691" t="str">
        <f>IF(G1802=0,"",IF(F1802="Buy",IF(G1802=1,"plant","plants"),IF(F1802&gt;0.01,"warranty","Error")))</f>
        <v/>
      </c>
      <c r="I1802" s="640">
        <f>IF(H1802="free",0,IF(H1802="credit",((E1802*(F1802))*G1802*-1),IF(F1802="Buy",(E1802*G1802),((E1802*(1-F1802))*G1802))))</f>
        <v>0</v>
      </c>
      <c r="J1802" s="640">
        <f>IF(H1802="warranty",0,(I1802*(_xlfn.SINGLE(SalesTaxPercentage))))</f>
        <v>0</v>
      </c>
      <c r="K1802" s="716">
        <f t="shared" ref="K1802" si="1289">I1802+J1802</f>
        <v>0</v>
      </c>
      <c r="L1802" s="716"/>
      <c r="M1802" s="689" t="str">
        <f ca="1">IF(AND(G1802&gt;0,E1802=0),"WARNING - no PRICE inserted",IF(H1802="free","FREE ~ no charge this plant",IF(H1802="credit",CONCATENATE("-$",ROUND(K1802*(1-_xlfn.SINGLE(T2GDiscount))*-1,2)," CREDIT after discount"),IF(_xlfn.SINGLE(T2GDiscount)=0,"",IF(G1802=0,"",IF(F1802="Buy",CONCATENATE("$",ROUND(K1802*(1-_xlfn.SINGLE(T2GDiscount)),2)," with ",(_xlfn.SINGLE(T2GDiscount)*100),"% discount"),CONCATENATE("$",ROUND(K1802*(1-_xlfn.SINGLE(T2GDiscount)),2)," with ",((_xlfn.SINGLE(T2GDiscount)*100+F1802*100)-(_xlfn.SINGLE(T2GDiscount)*100*F1802)),IF(F1802&gt;0,"% discounts",IF(_xlfn.SINGLE(NoWarrantyDiscount)&gt;0,"% discounts","% discount")))))))))</f>
        <v/>
      </c>
      <c r="N1802" s="690"/>
      <c r="O1802" s="486"/>
      <c r="P1802" s="486"/>
      <c r="Q1802" s="486"/>
      <c r="R1802" s="486"/>
      <c r="S1802" s="486"/>
      <c r="T1802" s="102">
        <f t="shared" si="1256"/>
        <v>0</v>
      </c>
      <c r="U1802" s="78">
        <f>IF(NOT(ISNUMBER(G1802)), "", VLOOKUP(A1802,'Discount Lookup'!D:E,2,FALSE)*G1802)</f>
        <v>0</v>
      </c>
      <c r="V1802" s="78">
        <f>IF(NOT(ISNUMBER(G1802)), "", VLOOKUP(A1802,'Discount Lookup'!G:H,2,FALSE)*G1802)</f>
        <v>0</v>
      </c>
      <c r="W1802" s="102">
        <f t="shared" si="1257"/>
        <v>0</v>
      </c>
      <c r="X1802" s="102">
        <f t="shared" si="1258"/>
        <v>0</v>
      </c>
      <c r="Y1802" s="120" t="b">
        <f t="shared" si="1259"/>
        <v>0</v>
      </c>
      <c r="Z1802" s="117">
        <f t="shared" si="1260"/>
        <v>0</v>
      </c>
      <c r="AA1802" s="118"/>
      <c r="AB1802" s="118" t="str">
        <f t="shared" si="1261"/>
        <v/>
      </c>
      <c r="AC1802" s="712" t="str">
        <f>IF(AE1802="T2G","no charge",IF(AND(OR(PlanterYesMe="No",PlanterYesMe="N",PlanterYesMe="me"),H1802=""),"",IF(H1802="credit","NO install",IF(AND(K1802="",AE1802="me"),"EACH row",IF(AND(K1802="images",AE1802="me"),"EACH row",IF(D1802="","",IF(H1802="credit","",IF(AE1802="free","re-planting",IF(AE1802="me","   not ELP, by",IF(AND(OR(PlanterYesMe="Yes",PlanterYesMe="Y"),G1802&gt;0),(VLOOKUP(A1802,'Discount Lookup'!J:K,2)*G1802*(1-PlanterDiscount)*(1+PlanterDifficultyPercentage)),IF(AE1802="ELP",(VLOOKUP(A1802,'Discount Lookup'!J:K,2)*G1802*(1-PlanterDiscount)*(1+PlanterDifficultyPercentage)),IF(AE1802="free","re-planting",IF(G1802=0,"",IF(PlanterYesMe="",IF(AE1802="me","   not ELP, by",IF(AE1802="",IF(G1802&gt;0,(VLOOKUP(A1802,'Discount Lookup'!J:K,2)*G1802*(1-PlanterDiscount)*(1+PlanterDifficultyPercentage)),""),"")),"   not ELP, by"))))))))))))))</f>
        <v/>
      </c>
      <c r="AD1802" s="712"/>
      <c r="AE1802" s="513" t="str">
        <f t="shared" si="1262"/>
        <v/>
      </c>
      <c r="AF1802" s="713" t="str">
        <f t="shared" si="1263"/>
        <v/>
      </c>
      <c r="AG1802" s="713"/>
      <c r="AH1802" s="713"/>
      <c r="AI1802" s="112">
        <f>IF(H1802="credit",0,IF(AE1802="free",0,IF(AE1802="me",0,IF(G1802&gt;0,(VLOOKUP(A1802,'Discount Lookup'!J:K,2)*G1802),0))))</f>
        <v>0</v>
      </c>
      <c r="AJ1802" s="107" t="str">
        <f t="shared" ca="1" si="1264"/>
        <v/>
      </c>
      <c r="AK1802" s="714" t="str">
        <f t="shared" si="1265"/>
        <v/>
      </c>
      <c r="AL1802" s="714"/>
      <c r="AM1802" s="114" t="str">
        <f t="shared" si="1266"/>
        <v/>
      </c>
      <c r="AN1802" s="115"/>
      <c r="AO1802" s="116"/>
      <c r="AP1802" s="116"/>
      <c r="AQ1802" s="116"/>
      <c r="AR1802" s="116"/>
      <c r="AS1802" s="116"/>
      <c r="AT1802" s="116"/>
      <c r="AU1802" s="116"/>
      <c r="AV1802" s="78"/>
      <c r="AW1802" s="102"/>
      <c r="AX1802" s="78"/>
      <c r="AY1802" s="78"/>
      <c r="AZ1802" s="78"/>
      <c r="BA1802" s="78"/>
      <c r="BB1802" s="78"/>
      <c r="BC1802" s="78"/>
      <c r="BD1802" s="78"/>
      <c r="BE1802" s="465"/>
      <c r="BF1802" s="165" t="str">
        <f t="shared" si="1267"/>
        <v>https://www.google.com/search?tbm=isch&amp;q=7%20G4</v>
      </c>
      <c r="BG1802" s="165" t="str">
        <f t="shared" si="1268"/>
        <v>H</v>
      </c>
      <c r="BH1802" s="65"/>
      <c r="BI1802" s="65"/>
      <c r="BJ1802" s="65"/>
      <c r="BK1802" s="65"/>
      <c r="BL1802" s="99"/>
      <c r="BM1802" s="99"/>
      <c r="BN1802" s="99"/>
    </row>
    <row r="1803" spans="1:66" s="51" customFormat="1" ht="27" x14ac:dyDescent="0.25">
      <c r="A1803" s="634">
        <v>15</v>
      </c>
      <c r="B1803" s="635" t="s">
        <v>291</v>
      </c>
      <c r="C1803" s="636" t="s">
        <v>2679</v>
      </c>
      <c r="D1803" s="637" t="s">
        <v>299</v>
      </c>
      <c r="E1803" s="638">
        <v>357.95</v>
      </c>
      <c r="F1803" s="639" t="s">
        <v>292</v>
      </c>
      <c r="G1803" s="484">
        <v>0</v>
      </c>
      <c r="H1803" s="691" t="str">
        <f>IF(G1803=0,"",IF(F1803="Buy",IF(G1803=1,"plant","plants"),IF(F1803&gt;0.01,"warranty","Error")))</f>
        <v/>
      </c>
      <c r="I1803" s="640">
        <f>IF(H1803="free",0,IF(H1803="credit",((E1803*(F1803))*G1803*-1),IF(F1803="Buy",(E1803*G1803),((E1803*(1-F1803))*G1803))))</f>
        <v>0</v>
      </c>
      <c r="J1803" s="640">
        <f>IF(H1803="warranty",0,(I1803*(_xlfn.SINGLE(SalesTaxPercentage))))</f>
        <v>0</v>
      </c>
      <c r="K1803" s="716">
        <f t="shared" ref="K1803" si="1290">I1803+J1803</f>
        <v>0</v>
      </c>
      <c r="L1803" s="716"/>
      <c r="M1803" s="689" t="str">
        <f ca="1">IF(AND(G1803&gt;0,E1803=0),"WARNING - no PRICE inserted",IF(H1803="free","FREE ~ no charge this plant",IF(H1803="credit",CONCATENATE("-$",ROUND(K1803*(1-_xlfn.SINGLE(T2GDiscount))*-1,2)," CREDIT after discount"),IF(_xlfn.SINGLE(T2GDiscount)=0,"",IF(G1803=0,"",IF(F1803="Buy",CONCATENATE("$",ROUND(K1803*(1-_xlfn.SINGLE(T2GDiscount)),2)," with ",(_xlfn.SINGLE(T2GDiscount)*100),"% discount"),CONCATENATE("$",ROUND(K1803*(1-_xlfn.SINGLE(T2GDiscount)),2)," with ",((_xlfn.SINGLE(T2GDiscount)*100+F1803*100)-(_xlfn.SINGLE(T2GDiscount)*100*F1803)),IF(F1803&gt;0,"% discounts",IF(_xlfn.SINGLE(NoWarrantyDiscount)&gt;0,"% discounts","% discount")))))))))</f>
        <v/>
      </c>
      <c r="N1803" s="690"/>
      <c r="O1803" s="486"/>
      <c r="P1803" s="486"/>
      <c r="Q1803" s="486"/>
      <c r="R1803" s="486"/>
      <c r="S1803" s="486"/>
      <c r="T1803" s="102">
        <f t="shared" si="1256"/>
        <v>0</v>
      </c>
      <c r="U1803" s="78">
        <f>IF(NOT(ISNUMBER(G1803)), "", VLOOKUP(A1803,'Discount Lookup'!D:E,2,FALSE)*G1803)</f>
        <v>0</v>
      </c>
      <c r="V1803" s="78">
        <f>IF(NOT(ISNUMBER(G1803)), "", VLOOKUP(A1803,'Discount Lookup'!G:H,2,FALSE)*G1803)</f>
        <v>0</v>
      </c>
      <c r="W1803" s="102">
        <f t="shared" si="1257"/>
        <v>0</v>
      </c>
      <c r="X1803" s="102">
        <f t="shared" si="1258"/>
        <v>0</v>
      </c>
      <c r="Y1803" s="120" t="b">
        <f t="shared" si="1259"/>
        <v>0</v>
      </c>
      <c r="Z1803" s="117">
        <f t="shared" si="1260"/>
        <v>0</v>
      </c>
      <c r="AA1803" s="118"/>
      <c r="AB1803" s="118" t="str">
        <f t="shared" si="1261"/>
        <v/>
      </c>
      <c r="AC1803" s="712" t="str">
        <f>IF(AE1803="T2G","no charge",IF(AND(OR(PlanterYesMe="No",PlanterYesMe="N",PlanterYesMe="me"),H1803=""),"",IF(H1803="credit","NO install",IF(AND(K1803="",AE1803="me"),"EACH row",IF(AND(K1803="images",AE1803="me"),"EACH row",IF(D1803="","",IF(H1803="credit","",IF(AE1803="free","re-planting",IF(AE1803="me","   not ELP, by",IF(AND(OR(PlanterYesMe="Yes",PlanterYesMe="Y"),G1803&gt;0),(VLOOKUP(A1803,'Discount Lookup'!J:K,2)*G1803*(1-PlanterDiscount)*(1+PlanterDifficultyPercentage)),IF(AE1803="ELP",(VLOOKUP(A1803,'Discount Lookup'!J:K,2)*G1803*(1-PlanterDiscount)*(1+PlanterDifficultyPercentage)),IF(AE1803="free","re-planting",IF(G1803=0,"",IF(PlanterYesMe="",IF(AE1803="me","   not ELP, by",IF(AE1803="",IF(G1803&gt;0,(VLOOKUP(A1803,'Discount Lookup'!J:K,2)*G1803*(1-PlanterDiscount)*(1+PlanterDifficultyPercentage)),""),"")),"   not ELP, by"))))))))))))))</f>
        <v/>
      </c>
      <c r="AD1803" s="712"/>
      <c r="AE1803" s="513" t="str">
        <f t="shared" si="1262"/>
        <v/>
      </c>
      <c r="AF1803" s="713" t="str">
        <f t="shared" si="1263"/>
        <v/>
      </c>
      <c r="AG1803" s="713"/>
      <c r="AH1803" s="713"/>
      <c r="AI1803" s="112">
        <f>IF(H1803="credit",0,IF(AE1803="free",0,IF(AE1803="me",0,IF(G1803&gt;0,(VLOOKUP(A1803,'Discount Lookup'!J:K,2)*G1803),0))))</f>
        <v>0</v>
      </c>
      <c r="AJ1803" s="107" t="str">
        <f t="shared" ca="1" si="1264"/>
        <v/>
      </c>
      <c r="AK1803" s="714" t="str">
        <f t="shared" si="1265"/>
        <v/>
      </c>
      <c r="AL1803" s="714"/>
      <c r="AM1803" s="114" t="str">
        <f t="shared" si="1266"/>
        <v/>
      </c>
      <c r="AN1803" s="115"/>
      <c r="AO1803" s="116"/>
      <c r="AP1803" s="116"/>
      <c r="AQ1803" s="116"/>
      <c r="AR1803" s="116"/>
      <c r="AS1803" s="116"/>
      <c r="AT1803" s="116"/>
      <c r="AU1803" s="116"/>
      <c r="AV1803" s="78"/>
      <c r="AW1803" s="102"/>
      <c r="AX1803" s="78"/>
      <c r="AY1803" s="78"/>
      <c r="AZ1803" s="78"/>
      <c r="BA1803" s="78"/>
      <c r="BB1803" s="78"/>
      <c r="BC1803" s="78"/>
      <c r="BD1803" s="78"/>
      <c r="BE1803" s="465"/>
      <c r="BF1803" s="165" t="str">
        <f t="shared" si="1267"/>
        <v>https://www.google.com/search?tbm=isch&amp;q=15%20G4</v>
      </c>
      <c r="BG1803" s="165" t="str">
        <f t="shared" si="1268"/>
        <v>H</v>
      </c>
      <c r="BH1803" s="65"/>
      <c r="BI1803" s="65"/>
      <c r="BJ1803" s="65"/>
      <c r="BK1803" s="65"/>
      <c r="BL1803" s="99"/>
      <c r="BM1803" s="99"/>
      <c r="BN1803" s="99"/>
    </row>
    <row r="1804" spans="1:66" s="51" customFormat="1" ht="15.75" x14ac:dyDescent="0.25">
      <c r="A1804" s="634">
        <v>25</v>
      </c>
      <c r="B1804" s="635" t="s">
        <v>291</v>
      </c>
      <c r="C1804" s="636" t="s">
        <v>2680</v>
      </c>
      <c r="D1804" s="637" t="s">
        <v>299</v>
      </c>
      <c r="E1804" s="638">
        <v>507.95</v>
      </c>
      <c r="F1804" s="639" t="s">
        <v>292</v>
      </c>
      <c r="G1804" s="484">
        <v>0</v>
      </c>
      <c r="H1804" s="691" t="str">
        <f>IF(G1804=0,"",IF(F1804="Buy",IF(G1804=1,"plant","plants"),IF(F1804&gt;0.01,"warranty","Error")))</f>
        <v/>
      </c>
      <c r="I1804" s="640">
        <f>IF(H1804="free",0,IF(H1804="credit",((E1804*(F1804))*G1804*-1),IF(F1804="Buy",(E1804*G1804),((E1804*(1-F1804))*G1804))))</f>
        <v>0</v>
      </c>
      <c r="J1804" s="640">
        <f>IF(H1804="warranty",0,(I1804*(_xlfn.SINGLE(SalesTaxPercentage))))</f>
        <v>0</v>
      </c>
      <c r="K1804" s="716">
        <f t="shared" ref="K1804" si="1291">I1804+J1804</f>
        <v>0</v>
      </c>
      <c r="L1804" s="716"/>
      <c r="M1804" s="689" t="str">
        <f ca="1">IF(AND(G1804&gt;0,E1804=0),"WARNING - no PRICE inserted",IF(H1804="free","FREE ~ no charge this plant",IF(H1804="credit",CONCATENATE("-$",ROUND(K1804*(1-_xlfn.SINGLE(T2GDiscount))*-1,2)," CREDIT after discount"),IF(_xlfn.SINGLE(T2GDiscount)=0,"",IF(G1804=0,"",IF(F1804="Buy",CONCATENATE("$",ROUND(K1804*(1-_xlfn.SINGLE(T2GDiscount)),2)," with ",(_xlfn.SINGLE(T2GDiscount)*100),"% discount"),CONCATENATE("$",ROUND(K1804*(1-_xlfn.SINGLE(T2GDiscount)),2)," with ",((_xlfn.SINGLE(T2GDiscount)*100+F1804*100)-(_xlfn.SINGLE(T2GDiscount)*100*F1804)),IF(F1804&gt;0,"% discounts",IF(_xlfn.SINGLE(NoWarrantyDiscount)&gt;0,"% discounts","% discount")))))))))</f>
        <v/>
      </c>
      <c r="N1804" s="690"/>
      <c r="O1804" s="486"/>
      <c r="P1804" s="486"/>
      <c r="Q1804" s="486"/>
      <c r="R1804" s="486"/>
      <c r="S1804" s="486"/>
      <c r="T1804" s="102">
        <f t="shared" si="1256"/>
        <v>0</v>
      </c>
      <c r="U1804" s="78">
        <f>IF(NOT(ISNUMBER(G1804)), "", VLOOKUP(A1804,'Discount Lookup'!D:E,2,FALSE)*G1804)</f>
        <v>0</v>
      </c>
      <c r="V1804" s="78">
        <f>IF(NOT(ISNUMBER(G1804)), "", VLOOKUP(A1804,'Discount Lookup'!G:H,2,FALSE)*G1804)</f>
        <v>0</v>
      </c>
      <c r="W1804" s="102">
        <f t="shared" si="1257"/>
        <v>0</v>
      </c>
      <c r="X1804" s="102">
        <f t="shared" si="1258"/>
        <v>0</v>
      </c>
      <c r="Y1804" s="120" t="b">
        <f t="shared" si="1259"/>
        <v>0</v>
      </c>
      <c r="Z1804" s="117">
        <f t="shared" si="1260"/>
        <v>0</v>
      </c>
      <c r="AA1804" s="118"/>
      <c r="AB1804" s="118" t="str">
        <f t="shared" si="1261"/>
        <v/>
      </c>
      <c r="AC1804" s="712" t="str">
        <f>IF(AE1804="T2G","no charge",IF(AND(OR(PlanterYesMe="No",PlanterYesMe="N",PlanterYesMe="me"),H1804=""),"",IF(H1804="credit","NO install",IF(AND(K1804="",AE1804="me"),"EACH row",IF(AND(K1804="images",AE1804="me"),"EACH row",IF(D1804="","",IF(H1804="credit","",IF(AE1804="free","re-planting",IF(AE1804="me","   not ELP, by",IF(AND(OR(PlanterYesMe="Yes",PlanterYesMe="Y"),G1804&gt;0),(VLOOKUP(A1804,'Discount Lookup'!J:K,2)*G1804*(1-PlanterDiscount)*(1+PlanterDifficultyPercentage)),IF(AE1804="ELP",(VLOOKUP(A1804,'Discount Lookup'!J:K,2)*G1804*(1-PlanterDiscount)*(1+PlanterDifficultyPercentage)),IF(AE1804="free","re-planting",IF(G1804=0,"",IF(PlanterYesMe="",IF(AE1804="me","   not ELP, by",IF(AE1804="",IF(G1804&gt;0,(VLOOKUP(A1804,'Discount Lookup'!J:K,2)*G1804*(1-PlanterDiscount)*(1+PlanterDifficultyPercentage)),""),"")),"   not ELP, by"))))))))))))))</f>
        <v/>
      </c>
      <c r="AD1804" s="712"/>
      <c r="AE1804" s="513" t="str">
        <f t="shared" si="1262"/>
        <v/>
      </c>
      <c r="AF1804" s="713" t="str">
        <f t="shared" si="1263"/>
        <v/>
      </c>
      <c r="AG1804" s="713"/>
      <c r="AH1804" s="713"/>
      <c r="AI1804" s="112">
        <f>IF(H1804="credit",0,IF(AE1804="free",0,IF(AE1804="me",0,IF(G1804&gt;0,(VLOOKUP(A1804,'Discount Lookup'!J:K,2)*G1804),0))))</f>
        <v>0</v>
      </c>
      <c r="AJ1804" s="107" t="str">
        <f t="shared" ca="1" si="1264"/>
        <v/>
      </c>
      <c r="AK1804" s="714" t="str">
        <f t="shared" si="1265"/>
        <v/>
      </c>
      <c r="AL1804" s="714"/>
      <c r="AM1804" s="114" t="str">
        <f t="shared" si="1266"/>
        <v/>
      </c>
      <c r="AN1804" s="115"/>
      <c r="AO1804" s="116"/>
      <c r="AP1804" s="116"/>
      <c r="AQ1804" s="116"/>
      <c r="AR1804" s="116"/>
      <c r="AS1804" s="116"/>
      <c r="AT1804" s="116"/>
      <c r="AU1804" s="116"/>
      <c r="AV1804" s="78"/>
      <c r="AW1804" s="102"/>
      <c r="AX1804" s="78"/>
      <c r="AY1804" s="78"/>
      <c r="AZ1804" s="78"/>
      <c r="BA1804" s="78"/>
      <c r="BB1804" s="78"/>
      <c r="BC1804" s="78"/>
      <c r="BD1804" s="78"/>
      <c r="BE1804" s="465"/>
      <c r="BF1804" s="165" t="str">
        <f t="shared" si="1267"/>
        <v>https://www.google.com/search?tbm=isch&amp;q=25%20G4</v>
      </c>
      <c r="BG1804" s="165" t="str">
        <f t="shared" si="1268"/>
        <v>H</v>
      </c>
      <c r="BH1804" s="65"/>
      <c r="BI1804" s="65"/>
      <c r="BJ1804" s="65"/>
      <c r="BK1804" s="65"/>
      <c r="BL1804" s="99"/>
      <c r="BM1804" s="99"/>
      <c r="BN1804" s="99"/>
    </row>
    <row r="1805" spans="1:66" s="51" customFormat="1" ht="17.25" thickBot="1" x14ac:dyDescent="0.3">
      <c r="A1805" s="641" t="s">
        <v>2681</v>
      </c>
      <c r="B1805" s="642"/>
      <c r="C1805" s="710"/>
      <c r="D1805" s="643"/>
      <c r="E1805" s="643"/>
      <c r="F1805" s="644"/>
      <c r="G1805" s="645"/>
      <c r="H1805" s="646"/>
      <c r="I1805" s="647"/>
      <c r="J1805" s="648"/>
      <c r="K1805" s="649"/>
      <c r="L1805" s="650"/>
      <c r="M1805" s="650"/>
      <c r="N1805" s="644"/>
      <c r="O1805" s="644"/>
      <c r="P1805" s="644"/>
      <c r="Q1805" s="644"/>
      <c r="R1805" s="644"/>
      <c r="S1805" s="701" t="s">
        <v>5273</v>
      </c>
      <c r="T1805" s="102">
        <f t="shared" si="1256"/>
        <v>0</v>
      </c>
      <c r="U1805" s="78" t="str">
        <f>IF(NOT(ISNUMBER(G1805)), "", VLOOKUP(A1805,'Discount Lookup'!D:E,2,FALSE)*G1805)</f>
        <v/>
      </c>
      <c r="V1805" s="78" t="str">
        <f>IF(NOT(ISNUMBER(G1805)), "", VLOOKUP(A1805,'Discount Lookup'!G:H,2,FALSE)*G1805)</f>
        <v/>
      </c>
      <c r="W1805" s="102">
        <f t="shared" si="1257"/>
        <v>0</v>
      </c>
      <c r="X1805" s="102">
        <f t="shared" si="1258"/>
        <v>0</v>
      </c>
      <c r="Y1805" s="120" t="b">
        <f t="shared" si="1259"/>
        <v>0</v>
      </c>
      <c r="Z1805" s="117">
        <f t="shared" si="1260"/>
        <v>0</v>
      </c>
      <c r="AA1805" s="118"/>
      <c r="AB1805" s="118" t="str">
        <f t="shared" si="1261"/>
        <v/>
      </c>
      <c r="AC1805" s="712" t="str">
        <f>IF(AE1805="T2G","no charge",IF(AND(OR(PlanterYesMe="No",PlanterYesMe="N",PlanterYesMe="me"),H1805=""),"",IF(H1805="credit","NO install",IF(AND(K1805="",AE1805="me"),"EACH row",IF(AND(K1805="images",AE1805="me"),"EACH row",IF(D1805="","",IF(H1805="credit","",IF(AE1805="free","re-planting",IF(AE1805="me","   not ELP, by",IF(AND(OR(PlanterYesMe="Yes",PlanterYesMe="Y"),G1805&gt;0),(VLOOKUP(A1805,'Discount Lookup'!J:K,2)*G1805*(1-PlanterDiscount)*(1+PlanterDifficultyPercentage)),IF(AE1805="ELP",(VLOOKUP(A1805,'Discount Lookup'!J:K,2)*G1805*(1-PlanterDiscount)*(1+PlanterDifficultyPercentage)),IF(AE1805="free","re-planting",IF(G1805=0,"",IF(PlanterYesMe="",IF(AE1805="me","   not ELP, by",IF(AE1805="",IF(G1805&gt;0,(VLOOKUP(A1805,'Discount Lookup'!J:K,2)*G1805*(1-PlanterDiscount)*(1+PlanterDifficultyPercentage)),""),"")),"   not ELP, by"))))))))))))))</f>
        <v/>
      </c>
      <c r="AD1805" s="712"/>
      <c r="AE1805" s="513" t="str">
        <f t="shared" si="1262"/>
        <v/>
      </c>
      <c r="AF1805" s="713" t="str">
        <f t="shared" si="1263"/>
        <v/>
      </c>
      <c r="AG1805" s="713"/>
      <c r="AH1805" s="713"/>
      <c r="AI1805" s="112">
        <f>IF(H1805="credit",0,IF(AE1805="free",0,IF(AE1805="me",0,IF(G1805&gt;0,(VLOOKUP(A1805,'Discount Lookup'!J:K,2)*G1805),0))))</f>
        <v>0</v>
      </c>
      <c r="AJ1805" s="107" t="str">
        <f t="shared" ca="1" si="1264"/>
        <v/>
      </c>
      <c r="AK1805" s="714" t="str">
        <f t="shared" si="1265"/>
        <v/>
      </c>
      <c r="AL1805" s="714"/>
      <c r="AM1805" s="114" t="str">
        <f t="shared" si="1266"/>
        <v/>
      </c>
      <c r="AN1805" s="115"/>
      <c r="AO1805" s="116"/>
      <c r="AP1805" s="116"/>
      <c r="AQ1805" s="116"/>
      <c r="AR1805" s="116"/>
      <c r="AS1805" s="116"/>
      <c r="AT1805" s="116"/>
      <c r="AU1805" s="116"/>
      <c r="AV1805" s="78"/>
      <c r="AW1805" s="102"/>
      <c r="AX1805" s="78"/>
      <c r="AY1805" s="78"/>
      <c r="AZ1805" s="78"/>
      <c r="BA1805" s="78"/>
      <c r="BB1805" s="78"/>
      <c r="BC1805" s="78"/>
      <c r="BD1805" s="78"/>
      <c r="BE1805" s="465"/>
      <c r="BF1805" s="165" t="str">
        <f t="shared" si="1267"/>
        <v>https://www.google.com/search?tbm=isch&amp;q=Seven-Son%27s%20fragrant%20July%20blooms%20are%20followed%20by%20cherry%20red%20sepals%20%28around%20old%20blooms%29.%20Bark%20exfoliates%20nicely%20</v>
      </c>
      <c r="BG1805" s="165" t="str">
        <f t="shared" si="1268"/>
        <v>S</v>
      </c>
      <c r="BH1805" s="65"/>
      <c r="BI1805" s="65"/>
      <c r="BJ1805" s="65"/>
      <c r="BK1805" s="65"/>
      <c r="BL1805" s="99"/>
      <c r="BM1805" s="99"/>
      <c r="BN1805" s="99"/>
    </row>
    <row r="1806" spans="1:66" s="51" customFormat="1" ht="18" x14ac:dyDescent="0.25">
      <c r="A1806" s="623" t="s">
        <v>2682</v>
      </c>
      <c r="B1806" s="624"/>
      <c r="C1806" s="709"/>
      <c r="D1806" s="625" t="s">
        <v>5676</v>
      </c>
      <c r="E1806" s="626"/>
      <c r="F1806" s="626"/>
      <c r="G1806" s="626"/>
      <c r="H1806" s="622" t="s">
        <v>330</v>
      </c>
      <c r="I1806" s="627" t="s">
        <v>349</v>
      </c>
      <c r="J1806" s="628"/>
      <c r="K1806" s="628"/>
      <c r="L1806" s="629"/>
      <c r="M1806" s="700" t="s">
        <v>5249</v>
      </c>
      <c r="N1806" s="693" t="str">
        <f>IF(AND(ISTEXT($A1806), ISERROR($A1806+0)), HYPERLINK($BF1806, "Images"), "")</f>
        <v>Images</v>
      </c>
      <c r="O1806" s="695" t="s">
        <v>5247</v>
      </c>
      <c r="P1806" s="630"/>
      <c r="Q1806" s="631"/>
      <c r="R1806" s="632"/>
      <c r="S1806" s="633"/>
      <c r="T1806" s="102">
        <f t="shared" si="1256"/>
        <v>0</v>
      </c>
      <c r="U1806" s="78" t="str">
        <f>IF(NOT(ISNUMBER(G1806)), "", VLOOKUP(A1806,'Discount Lookup'!D:E,2,FALSE)*G1806)</f>
        <v/>
      </c>
      <c r="V1806" s="78" t="str">
        <f>IF(NOT(ISNUMBER(G1806)), "", VLOOKUP(A1806,'Discount Lookup'!G:H,2,FALSE)*G1806)</f>
        <v/>
      </c>
      <c r="W1806" s="102">
        <f t="shared" si="1257"/>
        <v>0</v>
      </c>
      <c r="X1806" s="102" t="str">
        <f t="shared" si="1258"/>
        <v>White bloom</v>
      </c>
      <c r="Y1806" s="120" t="b">
        <f t="shared" si="1259"/>
        <v>0</v>
      </c>
      <c r="Z1806" s="117">
        <f t="shared" si="1260"/>
        <v>0</v>
      </c>
      <c r="AA1806" s="118"/>
      <c r="AB1806" s="118" t="str">
        <f t="shared" si="1261"/>
        <v/>
      </c>
      <c r="AC1806" s="712" t="str">
        <f>IF(AE1806="T2G","no charge",IF(AND(OR(PlanterYesMe="No",PlanterYesMe="N",PlanterYesMe="me"),H1806=""),"",IF(H1806="credit","NO install",IF(AND(K1806="",AE1806="me"),"EACH row",IF(AND(K1806="images",AE1806="me"),"EACH row",IF(D1806="","",IF(H1806="credit","",IF(AE1806="free","re-planting",IF(AE1806="me","   not ELP, by",IF(AND(OR(PlanterYesMe="Yes",PlanterYesMe="Y"),G1806&gt;0),(VLOOKUP(A1806,'Discount Lookup'!J:K,2)*G1806*(1-PlanterDiscount)*(1+PlanterDifficultyPercentage)),IF(AE1806="ELP",(VLOOKUP(A1806,'Discount Lookup'!J:K,2)*G1806*(1-PlanterDiscount)*(1+PlanterDifficultyPercentage)),IF(AE1806="free","re-planting",IF(G1806=0,"",IF(PlanterYesMe="",IF(AE1806="me","   not ELP, by",IF(AE1806="",IF(G1806&gt;0,(VLOOKUP(A1806,'Discount Lookup'!J:K,2)*G1806*(1-PlanterDiscount)*(1+PlanterDifficultyPercentage)),""),"")),"   not ELP, by"))))))))))))))</f>
        <v/>
      </c>
      <c r="AD1806" s="712"/>
      <c r="AE1806" s="513" t="str">
        <f t="shared" si="1262"/>
        <v/>
      </c>
      <c r="AF1806" s="713" t="str">
        <f t="shared" si="1263"/>
        <v/>
      </c>
      <c r="AG1806" s="713"/>
      <c r="AH1806" s="713"/>
      <c r="AI1806" s="112">
        <f>IF(H1806="credit",0,IF(AE1806="free",0,IF(AE1806="me",0,IF(G1806&gt;0,(VLOOKUP(A1806,'Discount Lookup'!J:K,2)*G1806),0))))</f>
        <v>0</v>
      </c>
      <c r="AJ1806" s="107" t="str">
        <f t="shared" ca="1" si="1264"/>
        <v/>
      </c>
      <c r="AK1806" s="714" t="str">
        <f t="shared" si="1265"/>
        <v/>
      </c>
      <c r="AL1806" s="714"/>
      <c r="AM1806" s="114" t="str">
        <f t="shared" si="1266"/>
        <v/>
      </c>
      <c r="AN1806" s="115"/>
      <c r="AO1806" s="116"/>
      <c r="AP1806" s="116"/>
      <c r="AQ1806" s="116"/>
      <c r="AR1806" s="116"/>
      <c r="AS1806" s="116"/>
      <c r="AT1806" s="116"/>
      <c r="AU1806" s="116"/>
      <c r="AV1806" s="78"/>
      <c r="AW1806" s="102"/>
      <c r="AX1806" s="78"/>
      <c r="AY1806" s="78"/>
      <c r="AZ1806" s="78"/>
      <c r="BA1806" s="78"/>
      <c r="BB1806" s="78"/>
      <c r="BC1806" s="78"/>
      <c r="BD1806" s="78"/>
      <c r="BE1806" s="465"/>
      <c r="BF1806" s="165" t="str">
        <f t="shared" si="1267"/>
        <v>https://www.google.com/search?tbm=isch&amp;q=Heptacodium%20miconioides%20%27SMNHMRF%27%20PP%2330763%20Temple%20of%20Bloom%C2%AE%20Seven-Son%20Flower%20Tree</v>
      </c>
      <c r="BG1806" s="165" t="str">
        <f t="shared" si="1268"/>
        <v>H</v>
      </c>
      <c r="BH1806" s="65"/>
      <c r="BI1806" s="65"/>
      <c r="BJ1806" s="65"/>
      <c r="BK1806" s="65"/>
      <c r="BL1806" s="99"/>
      <c r="BM1806" s="99"/>
      <c r="BN1806" s="99"/>
    </row>
    <row r="1807" spans="1:66" s="51" customFormat="1" ht="27" x14ac:dyDescent="0.25">
      <c r="A1807" s="634">
        <v>7</v>
      </c>
      <c r="B1807" s="635" t="s">
        <v>291</v>
      </c>
      <c r="C1807" s="636" t="s">
        <v>2683</v>
      </c>
      <c r="D1807" s="637" t="s">
        <v>299</v>
      </c>
      <c r="E1807" s="638">
        <v>171.95</v>
      </c>
      <c r="F1807" s="639" t="s">
        <v>292</v>
      </c>
      <c r="G1807" s="484">
        <v>0</v>
      </c>
      <c r="H1807" s="691" t="str">
        <f>IF(G1807=0,"",IF(F1807="Buy",IF(G1807=1,"plant","plants"),IF(F1807&gt;0.01,"warranty","Error")))</f>
        <v/>
      </c>
      <c r="I1807" s="640">
        <f>IF(H1807="free",0,IF(H1807="credit",((E1807*(F1807))*G1807*-1),IF(F1807="Buy",(E1807*G1807),((E1807*(1-F1807))*G1807))))</f>
        <v>0</v>
      </c>
      <c r="J1807" s="640">
        <f>IF(H1807="warranty",0,(I1807*(_xlfn.SINGLE(SalesTaxPercentage))))</f>
        <v>0</v>
      </c>
      <c r="K1807" s="716">
        <f t="shared" ref="K1807" si="1292">I1807+J1807</f>
        <v>0</v>
      </c>
      <c r="L1807" s="716"/>
      <c r="M1807" s="689" t="str">
        <f ca="1">IF(AND(G1807&gt;0,E1807=0),"WARNING - no PRICE inserted",IF(H1807="free","FREE ~ no charge this plant",IF(H1807="credit",CONCATENATE("-$",ROUND(K1807*(1-_xlfn.SINGLE(T2GDiscount))*-1,2)," CREDIT after discount"),IF(_xlfn.SINGLE(T2GDiscount)=0,"",IF(G1807=0,"",IF(F1807="Buy",CONCATENATE("$",ROUND(K1807*(1-_xlfn.SINGLE(T2GDiscount)),2)," with ",(_xlfn.SINGLE(T2GDiscount)*100),"% discount"),CONCATENATE("$",ROUND(K1807*(1-_xlfn.SINGLE(T2GDiscount)),2)," with ",((_xlfn.SINGLE(T2GDiscount)*100+F1807*100)-(_xlfn.SINGLE(T2GDiscount)*100*F1807)),IF(F1807&gt;0,"% discounts",IF(_xlfn.SINGLE(NoWarrantyDiscount)&gt;0,"% discounts","% discount")))))))))</f>
        <v/>
      </c>
      <c r="N1807" s="690"/>
      <c r="O1807" s="486"/>
      <c r="P1807" s="486"/>
      <c r="Q1807" s="486"/>
      <c r="R1807" s="486"/>
      <c r="S1807" s="486"/>
      <c r="T1807" s="102">
        <f t="shared" si="1256"/>
        <v>0</v>
      </c>
      <c r="U1807" s="78">
        <f>IF(NOT(ISNUMBER(G1807)), "", VLOOKUP(A1807,'Discount Lookup'!D:E,2,FALSE)*G1807)</f>
        <v>0</v>
      </c>
      <c r="V1807" s="78">
        <f>IF(NOT(ISNUMBER(G1807)), "", VLOOKUP(A1807,'Discount Lookup'!G:H,2,FALSE)*G1807)</f>
        <v>0</v>
      </c>
      <c r="W1807" s="102">
        <f t="shared" si="1257"/>
        <v>0</v>
      </c>
      <c r="X1807" s="102">
        <f t="shared" si="1258"/>
        <v>0</v>
      </c>
      <c r="Y1807" s="120" t="b">
        <f t="shared" si="1259"/>
        <v>0</v>
      </c>
      <c r="Z1807" s="117">
        <f t="shared" si="1260"/>
        <v>0</v>
      </c>
      <c r="AA1807" s="118"/>
      <c r="AB1807" s="118" t="str">
        <f t="shared" si="1261"/>
        <v/>
      </c>
      <c r="AC1807" s="712" t="str">
        <f>IF(AE1807="T2G","no charge",IF(AND(OR(PlanterYesMe="No",PlanterYesMe="N",PlanterYesMe="me"),H1807=""),"",IF(H1807="credit","NO install",IF(AND(K1807="",AE1807="me"),"EACH row",IF(AND(K1807="images",AE1807="me"),"EACH row",IF(D1807="","",IF(H1807="credit","",IF(AE1807="free","re-planting",IF(AE1807="me","   not ELP, by",IF(AND(OR(PlanterYesMe="Yes",PlanterYesMe="Y"),G1807&gt;0),(VLOOKUP(A1807,'Discount Lookup'!J:K,2)*G1807*(1-PlanterDiscount)*(1+PlanterDifficultyPercentage)),IF(AE1807="ELP",(VLOOKUP(A1807,'Discount Lookup'!J:K,2)*G1807*(1-PlanterDiscount)*(1+PlanterDifficultyPercentage)),IF(AE1807="free","re-planting",IF(G1807=0,"",IF(PlanterYesMe="",IF(AE1807="me","   not ELP, by",IF(AE1807="",IF(G1807&gt;0,(VLOOKUP(A1807,'Discount Lookup'!J:K,2)*G1807*(1-PlanterDiscount)*(1+PlanterDifficultyPercentage)),""),"")),"   not ELP, by"))))))))))))))</f>
        <v/>
      </c>
      <c r="AD1807" s="712"/>
      <c r="AE1807" s="513" t="str">
        <f t="shared" si="1262"/>
        <v/>
      </c>
      <c r="AF1807" s="713" t="str">
        <f t="shared" si="1263"/>
        <v/>
      </c>
      <c r="AG1807" s="713"/>
      <c r="AH1807" s="713"/>
      <c r="AI1807" s="112">
        <f>IF(H1807="credit",0,IF(AE1807="free",0,IF(AE1807="me",0,IF(G1807&gt;0,(VLOOKUP(A1807,'Discount Lookup'!J:K,2)*G1807),0))))</f>
        <v>0</v>
      </c>
      <c r="AJ1807" s="107" t="str">
        <f t="shared" ca="1" si="1264"/>
        <v/>
      </c>
      <c r="AK1807" s="714" t="str">
        <f t="shared" si="1265"/>
        <v/>
      </c>
      <c r="AL1807" s="714"/>
      <c r="AM1807" s="114" t="str">
        <f t="shared" si="1266"/>
        <v/>
      </c>
      <c r="AN1807" s="115"/>
      <c r="AO1807" s="116"/>
      <c r="AP1807" s="116"/>
      <c r="AQ1807" s="116"/>
      <c r="AR1807" s="116"/>
      <c r="AS1807" s="116"/>
      <c r="AT1807" s="116"/>
      <c r="AU1807" s="116"/>
      <c r="AV1807" s="78"/>
      <c r="AW1807" s="102"/>
      <c r="AX1807" s="78"/>
      <c r="AY1807" s="78"/>
      <c r="AZ1807" s="78"/>
      <c r="BA1807" s="78"/>
      <c r="BB1807" s="78"/>
      <c r="BC1807" s="78"/>
      <c r="BD1807" s="78"/>
      <c r="BE1807" s="465"/>
      <c r="BF1807" s="165" t="str">
        <f t="shared" si="1267"/>
        <v>https://www.google.com/search?tbm=isch&amp;q=7%20G4</v>
      </c>
      <c r="BG1807" s="165" t="str">
        <f t="shared" si="1268"/>
        <v>H</v>
      </c>
      <c r="BH1807" s="65"/>
      <c r="BI1807" s="65"/>
      <c r="BJ1807" s="65"/>
      <c r="BK1807" s="65"/>
      <c r="BL1807" s="99"/>
      <c r="BM1807" s="99"/>
      <c r="BN1807" s="99"/>
    </row>
    <row r="1808" spans="1:66" s="51" customFormat="1" ht="16.5" x14ac:dyDescent="0.25">
      <c r="A1808" s="641" t="s">
        <v>4732</v>
      </c>
      <c r="B1808" s="642"/>
      <c r="C1808" s="710"/>
      <c r="D1808" s="643"/>
      <c r="E1808" s="643"/>
      <c r="F1808" s="644"/>
      <c r="G1808" s="645"/>
      <c r="H1808" s="646"/>
      <c r="I1808" s="647"/>
      <c r="J1808" s="648"/>
      <c r="K1808" s="649"/>
      <c r="L1808" s="650"/>
      <c r="M1808" s="650"/>
      <c r="N1808" s="644"/>
      <c r="O1808" s="644"/>
      <c r="P1808" s="644"/>
      <c r="Q1808" s="644"/>
      <c r="R1808" s="644"/>
      <c r="S1808" s="701" t="s">
        <v>5273</v>
      </c>
      <c r="T1808" s="102">
        <f t="shared" si="1256"/>
        <v>0</v>
      </c>
      <c r="U1808" s="78" t="str">
        <f>IF(NOT(ISNUMBER(G1808)), "", VLOOKUP(A1808,'Discount Lookup'!D:E,2,FALSE)*G1808)</f>
        <v/>
      </c>
      <c r="V1808" s="78" t="str">
        <f>IF(NOT(ISNUMBER(G1808)), "", VLOOKUP(A1808,'Discount Lookup'!G:H,2,FALSE)*G1808)</f>
        <v/>
      </c>
      <c r="W1808" s="102">
        <f t="shared" si="1257"/>
        <v>0</v>
      </c>
      <c r="X1808" s="102">
        <f t="shared" si="1258"/>
        <v>0</v>
      </c>
      <c r="Y1808" s="120" t="b">
        <f t="shared" si="1259"/>
        <v>0</v>
      </c>
      <c r="Z1808" s="117">
        <f t="shared" si="1260"/>
        <v>0</v>
      </c>
      <c r="AA1808" s="118"/>
      <c r="AB1808" s="118" t="str">
        <f t="shared" si="1261"/>
        <v/>
      </c>
      <c r="AC1808" s="712" t="str">
        <f>IF(AE1808="T2G","no charge",IF(AND(OR(PlanterYesMe="No",PlanterYesMe="N",PlanterYesMe="me"),H1808=""),"",IF(H1808="credit","NO install",IF(AND(K1808="",AE1808="me"),"EACH row",IF(AND(K1808="images",AE1808="me"),"EACH row",IF(D1808="","",IF(H1808="credit","",IF(AE1808="free","re-planting",IF(AE1808="me","   not ELP, by",IF(AND(OR(PlanterYesMe="Yes",PlanterYesMe="Y"),G1808&gt;0),(VLOOKUP(A1808,'Discount Lookup'!J:K,2)*G1808*(1-PlanterDiscount)*(1+PlanterDifficultyPercentage)),IF(AE1808="ELP",(VLOOKUP(A1808,'Discount Lookup'!J:K,2)*G1808*(1-PlanterDiscount)*(1+PlanterDifficultyPercentage)),IF(AE1808="free","re-planting",IF(G1808=0,"",IF(PlanterYesMe="",IF(AE1808="me","   not ELP, by",IF(AE1808="",IF(G1808&gt;0,(VLOOKUP(A1808,'Discount Lookup'!J:K,2)*G1808*(1-PlanterDiscount)*(1+PlanterDifficultyPercentage)),""),"")),"   not ELP, by"))))))))))))))</f>
        <v/>
      </c>
      <c r="AD1808" s="712"/>
      <c r="AE1808" s="513" t="str">
        <f t="shared" si="1262"/>
        <v/>
      </c>
      <c r="AF1808" s="713" t="str">
        <f t="shared" si="1263"/>
        <v/>
      </c>
      <c r="AG1808" s="713"/>
      <c r="AH1808" s="713"/>
      <c r="AI1808" s="112">
        <f>IF(H1808="credit",0,IF(AE1808="free",0,IF(AE1808="me",0,IF(G1808&gt;0,(VLOOKUP(A1808,'Discount Lookup'!J:K,2)*G1808),0))))</f>
        <v>0</v>
      </c>
      <c r="AJ1808" s="107" t="str">
        <f t="shared" ca="1" si="1264"/>
        <v/>
      </c>
      <c r="AK1808" s="714" t="str">
        <f t="shared" si="1265"/>
        <v/>
      </c>
      <c r="AL1808" s="714"/>
      <c r="AM1808" s="114" t="str">
        <f t="shared" si="1266"/>
        <v/>
      </c>
      <c r="AN1808" s="115"/>
      <c r="AO1808" s="116"/>
      <c r="AP1808" s="116"/>
      <c r="AQ1808" s="116"/>
      <c r="AR1808" s="116"/>
      <c r="AS1808" s="116"/>
      <c r="AT1808" s="116"/>
      <c r="AU1808" s="116"/>
      <c r="AV1808" s="78"/>
      <c r="AW1808" s="102"/>
      <c r="AX1808" s="78"/>
      <c r="AY1808" s="78"/>
      <c r="AZ1808" s="78"/>
      <c r="BA1808" s="78"/>
      <c r="BB1808" s="78"/>
      <c r="BC1808" s="78"/>
      <c r="BD1808" s="78"/>
      <c r="BE1808" s="465"/>
      <c r="BF1808" s="165" t="str">
        <f t="shared" si="1267"/>
        <v>https://www.google.com/search?tbm=isch&amp;q=Temple%20of%20Bloom%20offers%20fragrant%20blooms%2C%20vivid%20red%20sepals%2C%20and%20exfoliating%20bark%20for%20striking%20multi-season%20interest%20</v>
      </c>
      <c r="BG1808" s="165" t="str">
        <f t="shared" si="1268"/>
        <v>T</v>
      </c>
      <c r="BH1808" s="65"/>
      <c r="BI1808" s="65"/>
      <c r="BJ1808" s="65"/>
      <c r="BK1808" s="65"/>
      <c r="BL1808" s="99"/>
      <c r="BM1808" s="99"/>
      <c r="BN1808" s="99"/>
    </row>
    <row r="1809" spans="1:66" s="51" customFormat="1" ht="19.5" thickBot="1" x14ac:dyDescent="0.3">
      <c r="A1809" s="686" t="s">
        <v>486</v>
      </c>
      <c r="B1809" s="73"/>
      <c r="C1809" s="708"/>
      <c r="D1809" s="73"/>
      <c r="E1809" s="73"/>
      <c r="F1809" s="496"/>
      <c r="G1809" s="73"/>
      <c r="H1809" s="73"/>
      <c r="I1809" s="73"/>
      <c r="J1809" s="497" t="s">
        <v>357</v>
      </c>
      <c r="K1809" s="498"/>
      <c r="L1809" s="562"/>
      <c r="M1809" s="73"/>
      <c r="N1809"/>
      <c r="O1809"/>
      <c r="P1809"/>
      <c r="Q1809"/>
      <c r="R1809"/>
      <c r="S1809"/>
      <c r="T1809" s="102">
        <f t="shared" si="1256"/>
        <v>0</v>
      </c>
      <c r="U1809" s="78" t="str">
        <f>IF(NOT(ISNUMBER(G1809)), "", VLOOKUP(A1809,'Discount Lookup'!D:E,2,FALSE)*G1809)</f>
        <v/>
      </c>
      <c r="V1809" s="78" t="str">
        <f>IF(NOT(ISNUMBER(G1809)), "", VLOOKUP(A1809,'Discount Lookup'!G:H,2,FALSE)*G1809)</f>
        <v/>
      </c>
      <c r="W1809" s="102">
        <f t="shared" si="1257"/>
        <v>0</v>
      </c>
      <c r="X1809" s="102">
        <f t="shared" si="1258"/>
        <v>0</v>
      </c>
      <c r="Y1809" s="120" t="b">
        <f t="shared" si="1259"/>
        <v>0</v>
      </c>
      <c r="Z1809" s="117">
        <f t="shared" si="1260"/>
        <v>0</v>
      </c>
      <c r="AA1809" s="118"/>
      <c r="AB1809" s="118" t="str">
        <f t="shared" si="1261"/>
        <v/>
      </c>
      <c r="AC1809" s="712" t="str">
        <f>IF(AE1809="T2G","no charge",IF(AND(OR(PlanterYesMe="No",PlanterYesMe="N",PlanterYesMe="me"),H1809=""),"",IF(H1809="credit","NO install",IF(AND(K1809="",AE1809="me"),"EACH row",IF(AND(K1809="images",AE1809="me"),"EACH row",IF(D1809="","",IF(H1809="credit","",IF(AE1809="free","re-planting",IF(AE1809="me","   not ELP, by",IF(AND(OR(PlanterYesMe="Yes",PlanterYesMe="Y"),G1809&gt;0),(VLOOKUP(A1809,'Discount Lookup'!J:K,2)*G1809*(1-PlanterDiscount)*(1+PlanterDifficultyPercentage)),IF(AE1809="ELP",(VLOOKUP(A1809,'Discount Lookup'!J:K,2)*G1809*(1-PlanterDiscount)*(1+PlanterDifficultyPercentage)),IF(AE1809="free","re-planting",IF(G1809=0,"",IF(PlanterYesMe="",IF(AE1809="me","   not ELP, by",IF(AE1809="",IF(G1809&gt;0,(VLOOKUP(A1809,'Discount Lookup'!J:K,2)*G1809*(1-PlanterDiscount)*(1+PlanterDifficultyPercentage)),""),"")),"   not ELP, by"))))))))))))))</f>
        <v/>
      </c>
      <c r="AD1809" s="712"/>
      <c r="AE1809" s="513" t="str">
        <f t="shared" si="1262"/>
        <v/>
      </c>
      <c r="AF1809" s="713" t="str">
        <f t="shared" si="1263"/>
        <v/>
      </c>
      <c r="AG1809" s="713"/>
      <c r="AH1809" s="713"/>
      <c r="AI1809" s="112">
        <f>IF(H1809="credit",0,IF(AE1809="free",0,IF(AE1809="me",0,IF(G1809&gt;0,(VLOOKUP(A1809,'Discount Lookup'!J:K,2)*G1809),0))))</f>
        <v>0</v>
      </c>
      <c r="AJ1809" s="107" t="str">
        <f t="shared" ca="1" si="1264"/>
        <v/>
      </c>
      <c r="AK1809" s="714" t="str">
        <f t="shared" si="1265"/>
        <v/>
      </c>
      <c r="AL1809" s="714"/>
      <c r="AM1809" s="114" t="str">
        <f t="shared" si="1266"/>
        <v/>
      </c>
      <c r="AN1809" s="115"/>
      <c r="AO1809" s="116"/>
      <c r="AP1809" s="116"/>
      <c r="AQ1809" s="116"/>
      <c r="AR1809" s="116"/>
      <c r="AS1809" s="116"/>
      <c r="AT1809" s="116"/>
      <c r="AU1809" s="116"/>
      <c r="AV1809" s="78"/>
      <c r="AW1809" s="102"/>
      <c r="AX1809" s="78"/>
      <c r="AY1809" s="78"/>
      <c r="AZ1809" s="78"/>
      <c r="BA1809" s="78"/>
      <c r="BB1809" s="78"/>
      <c r="BC1809" s="78"/>
      <c r="BD1809" s="78"/>
      <c r="BE1809" s="465"/>
      <c r="BF1809" s="165" t="str">
        <f t="shared" si="1267"/>
        <v>https://www.google.com/search?tbm=isch&amp;q=Hesperocyparis%20%3D%20Arizona%20Cypress%20</v>
      </c>
      <c r="BG1809" s="165" t="str">
        <f t="shared" si="1268"/>
        <v>H</v>
      </c>
      <c r="BH1809" s="65"/>
      <c r="BI1809" s="65"/>
      <c r="BJ1809" s="65"/>
      <c r="BK1809" s="65"/>
      <c r="BL1809" s="99"/>
      <c r="BM1809" s="99"/>
      <c r="BN1809" s="99"/>
    </row>
    <row r="1810" spans="1:66" s="51" customFormat="1" ht="18" x14ac:dyDescent="0.25">
      <c r="A1810" s="507" t="s">
        <v>909</v>
      </c>
      <c r="B1810" s="470"/>
      <c r="C1810" s="706"/>
      <c r="D1810" s="471" t="s">
        <v>4733</v>
      </c>
      <c r="E1810" s="472"/>
      <c r="F1810" s="472"/>
      <c r="G1810" s="472"/>
      <c r="H1810" s="622" t="s">
        <v>444</v>
      </c>
      <c r="I1810" s="473" t="s">
        <v>489</v>
      </c>
      <c r="J1810" s="472"/>
      <c r="K1810" s="472"/>
      <c r="L1810" s="561"/>
      <c r="M1810" s="698" t="s">
        <v>5240</v>
      </c>
      <c r="N1810" s="692" t="str">
        <f>IF(AND(ISTEXT($A1810), ISERROR($A1810+0)), HYPERLINK($BF1810, "Images"), "")</f>
        <v>Images</v>
      </c>
      <c r="O1810" s="694" t="s">
        <v>5247</v>
      </c>
      <c r="P1810" s="475"/>
      <c r="Q1810" s="476"/>
      <c r="R1810" s="476"/>
      <c r="S1810" s="477"/>
      <c r="T1810" s="102">
        <f t="shared" si="1256"/>
        <v>0</v>
      </c>
      <c r="U1810" s="78" t="str">
        <f>IF(NOT(ISNUMBER(G1810)), "", VLOOKUP(A1810,'Discount Lookup'!D:E,2,FALSE)*G1810)</f>
        <v/>
      </c>
      <c r="V1810" s="78" t="str">
        <f>IF(NOT(ISNUMBER(G1810)), "", VLOOKUP(A1810,'Discount Lookup'!G:H,2,FALSE)*G1810)</f>
        <v/>
      </c>
      <c r="W1810" s="102">
        <f t="shared" si="1257"/>
        <v>0</v>
      </c>
      <c r="X1810" s="102" t="str">
        <f t="shared" si="1258"/>
        <v>Silvery Blue foliage</v>
      </c>
      <c r="Y1810" s="120" t="b">
        <f t="shared" si="1259"/>
        <v>0</v>
      </c>
      <c r="Z1810" s="117">
        <f t="shared" si="1260"/>
        <v>0</v>
      </c>
      <c r="AA1810" s="118"/>
      <c r="AB1810" s="118" t="str">
        <f t="shared" si="1261"/>
        <v/>
      </c>
      <c r="AC1810" s="712" t="str">
        <f>IF(AE1810="T2G","no charge",IF(AND(OR(PlanterYesMe="No",PlanterYesMe="N",PlanterYesMe="me"),H1810=""),"",IF(H1810="credit","NO install",IF(AND(K1810="",AE1810="me"),"EACH row",IF(AND(K1810="images",AE1810="me"),"EACH row",IF(D1810="","",IF(H1810="credit","",IF(AE1810="free","re-planting",IF(AE1810="me","   not ELP, by",IF(AND(OR(PlanterYesMe="Yes",PlanterYesMe="Y"),G1810&gt;0),(VLOOKUP(A1810,'Discount Lookup'!J:K,2)*G1810*(1-PlanterDiscount)*(1+PlanterDifficultyPercentage)),IF(AE1810="ELP",(VLOOKUP(A1810,'Discount Lookup'!J:K,2)*G1810*(1-PlanterDiscount)*(1+PlanterDifficultyPercentage)),IF(AE1810="free","re-planting",IF(G1810=0,"",IF(PlanterYesMe="",IF(AE1810="me","   not ELP, by",IF(AE1810="",IF(G1810&gt;0,(VLOOKUP(A1810,'Discount Lookup'!J:K,2)*G1810*(1-PlanterDiscount)*(1+PlanterDifficultyPercentage)),""),"")),"   not ELP, by"))))))))))))))</f>
        <v/>
      </c>
      <c r="AD1810" s="712"/>
      <c r="AE1810" s="513" t="str">
        <f t="shared" si="1262"/>
        <v/>
      </c>
      <c r="AF1810" s="713" t="str">
        <f t="shared" si="1263"/>
        <v/>
      </c>
      <c r="AG1810" s="713"/>
      <c r="AH1810" s="713"/>
      <c r="AI1810" s="112">
        <f>IF(H1810="credit",0,IF(AE1810="free",0,IF(AE1810="me",0,IF(G1810&gt;0,(VLOOKUP(A1810,'Discount Lookup'!J:K,2)*G1810),0))))</f>
        <v>0</v>
      </c>
      <c r="AJ1810" s="107" t="str">
        <f t="shared" ca="1" si="1264"/>
        <v/>
      </c>
      <c r="AK1810" s="714" t="str">
        <f t="shared" si="1265"/>
        <v/>
      </c>
      <c r="AL1810" s="714"/>
      <c r="AM1810" s="114" t="str">
        <f t="shared" si="1266"/>
        <v/>
      </c>
      <c r="AN1810" s="115"/>
      <c r="AO1810" s="116"/>
      <c r="AP1810" s="116"/>
      <c r="AQ1810" s="116"/>
      <c r="AR1810" s="116"/>
      <c r="AS1810" s="116"/>
      <c r="AT1810" s="116"/>
      <c r="AU1810" s="116"/>
      <c r="AV1810" s="78"/>
      <c r="AW1810" s="102"/>
      <c r="AX1810" s="78"/>
      <c r="AY1810" s="78"/>
      <c r="AZ1810" s="78"/>
      <c r="BA1810" s="78"/>
      <c r="BB1810" s="78"/>
      <c r="BC1810" s="78"/>
      <c r="BD1810" s="78"/>
      <c r="BE1810" s="465"/>
      <c r="BF1810" s="165" t="str">
        <f t="shared" si="1267"/>
        <v>https://www.google.com/search?tbm=isch&amp;q=Hesperocyparis%20arizonica%20Carolina%20Sapphire%20Cypress</v>
      </c>
      <c r="BG1810" s="165" t="str">
        <f t="shared" si="1268"/>
        <v>H</v>
      </c>
      <c r="BH1810" s="65"/>
      <c r="BI1810" s="65"/>
      <c r="BJ1810" s="65"/>
      <c r="BK1810" s="65"/>
      <c r="BL1810" s="99"/>
      <c r="BM1810" s="99"/>
      <c r="BN1810" s="99"/>
    </row>
    <row r="1811" spans="1:66" s="51" customFormat="1" ht="15.75" x14ac:dyDescent="0.25">
      <c r="A1811" s="478">
        <v>7</v>
      </c>
      <c r="B1811" s="479" t="s">
        <v>291</v>
      </c>
      <c r="C1811" s="480" t="s">
        <v>945</v>
      </c>
      <c r="D1811" s="481" t="s">
        <v>299</v>
      </c>
      <c r="E1811" s="482">
        <v>104.95</v>
      </c>
      <c r="F1811" s="483" t="s">
        <v>292</v>
      </c>
      <c r="G1811" s="484">
        <v>0</v>
      </c>
      <c r="H1811" s="688" t="str">
        <f>IF(G1811=0,"",IF(F1811="Buy",IF(G1811=1,"plant","plants"),IF(F1811&gt;0.01,"warranty","Error")))</f>
        <v/>
      </c>
      <c r="I1811" s="485">
        <f>IF(H1811="free",0,IF(H1811="credit",((E1811*(F1811))*G1811*-1),IF(F1811="Buy",(E1811*G1811),((E1811*(1-F1811))*G1811))))</f>
        <v>0</v>
      </c>
      <c r="J1811" s="485">
        <f>IF(H1811="warranty",0,(I1811*(_xlfn.SINGLE(SalesTaxPercentage))))</f>
        <v>0</v>
      </c>
      <c r="K1811" s="715">
        <f t="shared" ref="K1811" si="1293">I1811+J1811</f>
        <v>0</v>
      </c>
      <c r="L1811" s="715"/>
      <c r="M1811" s="689" t="str">
        <f ca="1">IF(AND(G1811&gt;0,E1811=0),"WARNING - no PRICE inserted",IF(H1811="free","FREE ~ no charge this plant",IF(H1811="credit",CONCATENATE("-$",ROUND(K1811*(1-_xlfn.SINGLE(T2GDiscount))*-1,2)," CREDIT after discount"),IF(_xlfn.SINGLE(T2GDiscount)=0,"",IF(G1811=0,"",IF(F1811="Buy",CONCATENATE("$",ROUND(K1811*(1-_xlfn.SINGLE(T2GDiscount)),2)," with ",(_xlfn.SINGLE(T2GDiscount)*100),"% discount"),CONCATENATE("$",ROUND(K1811*(1-_xlfn.SINGLE(T2GDiscount)),2)," with ",((_xlfn.SINGLE(T2GDiscount)*100+F1811*100)-(_xlfn.SINGLE(T2GDiscount)*100*F1811)),IF(F1811&gt;0,"% discounts",IF(_xlfn.SINGLE(NoWarrantyDiscount)&gt;0,"% discounts","% discount")))))))))</f>
        <v/>
      </c>
      <c r="N1811" s="690"/>
      <c r="O1811" s="486"/>
      <c r="P1811" s="486"/>
      <c r="Q1811" s="486"/>
      <c r="R1811" s="486"/>
      <c r="S1811" s="486"/>
      <c r="T1811" s="102">
        <f t="shared" si="1256"/>
        <v>0</v>
      </c>
      <c r="U1811" s="78">
        <f>IF(NOT(ISNUMBER(G1811)), "", VLOOKUP(A1811,'Discount Lookup'!D:E,2,FALSE)*G1811)</f>
        <v>0</v>
      </c>
      <c r="V1811" s="78">
        <f>IF(NOT(ISNUMBER(G1811)), "", VLOOKUP(A1811,'Discount Lookup'!G:H,2,FALSE)*G1811)</f>
        <v>0</v>
      </c>
      <c r="W1811" s="102">
        <f t="shared" si="1257"/>
        <v>0</v>
      </c>
      <c r="X1811" s="102">
        <f t="shared" si="1258"/>
        <v>0</v>
      </c>
      <c r="Y1811" s="120" t="b">
        <f t="shared" si="1259"/>
        <v>0</v>
      </c>
      <c r="Z1811" s="117">
        <f t="shared" si="1260"/>
        <v>0</v>
      </c>
      <c r="AA1811" s="118"/>
      <c r="AB1811" s="118" t="str">
        <f t="shared" si="1261"/>
        <v/>
      </c>
      <c r="AC1811" s="712" t="str">
        <f>IF(AE1811="T2G","no charge",IF(AND(OR(PlanterYesMe="No",PlanterYesMe="N",PlanterYesMe="me"),H1811=""),"",IF(H1811="credit","NO install",IF(AND(K1811="",AE1811="me"),"EACH row",IF(AND(K1811="images",AE1811="me"),"EACH row",IF(D1811="","",IF(H1811="credit","",IF(AE1811="free","re-planting",IF(AE1811="me","   not ELP, by",IF(AND(OR(PlanterYesMe="Yes",PlanterYesMe="Y"),G1811&gt;0),(VLOOKUP(A1811,'Discount Lookup'!J:K,2)*G1811*(1-PlanterDiscount)*(1+PlanterDifficultyPercentage)),IF(AE1811="ELP",(VLOOKUP(A1811,'Discount Lookup'!J:K,2)*G1811*(1-PlanterDiscount)*(1+PlanterDifficultyPercentage)),IF(AE1811="free","re-planting",IF(G1811=0,"",IF(PlanterYesMe="",IF(AE1811="me","   not ELP, by",IF(AE1811="",IF(G1811&gt;0,(VLOOKUP(A1811,'Discount Lookup'!J:K,2)*G1811*(1-PlanterDiscount)*(1+PlanterDifficultyPercentage)),""),"")),"   not ELP, by"))))))))))))))</f>
        <v/>
      </c>
      <c r="AD1811" s="712"/>
      <c r="AE1811" s="513" t="str">
        <f t="shared" si="1262"/>
        <v/>
      </c>
      <c r="AF1811" s="713" t="str">
        <f t="shared" si="1263"/>
        <v/>
      </c>
      <c r="AG1811" s="713"/>
      <c r="AH1811" s="713"/>
      <c r="AI1811" s="112">
        <f>IF(H1811="credit",0,IF(AE1811="free",0,IF(AE1811="me",0,IF(G1811&gt;0,(VLOOKUP(A1811,'Discount Lookup'!J:K,2)*G1811),0))))</f>
        <v>0</v>
      </c>
      <c r="AJ1811" s="107" t="str">
        <f t="shared" ca="1" si="1264"/>
        <v/>
      </c>
      <c r="AK1811" s="714" t="str">
        <f t="shared" si="1265"/>
        <v/>
      </c>
      <c r="AL1811" s="714"/>
      <c r="AM1811" s="114" t="str">
        <f t="shared" si="1266"/>
        <v/>
      </c>
      <c r="AN1811" s="115"/>
      <c r="AO1811" s="116"/>
      <c r="AP1811" s="116"/>
      <c r="AQ1811" s="116"/>
      <c r="AR1811" s="116"/>
      <c r="AS1811" s="116"/>
      <c r="AT1811" s="116"/>
      <c r="AU1811" s="116"/>
      <c r="AV1811" s="78"/>
      <c r="AW1811" s="102"/>
      <c r="AX1811" s="78"/>
      <c r="AY1811" s="78"/>
      <c r="AZ1811" s="78"/>
      <c r="BA1811" s="78"/>
      <c r="BB1811" s="78"/>
      <c r="BC1811" s="78"/>
      <c r="BD1811" s="78"/>
      <c r="BE1811" s="465"/>
      <c r="BF1811" s="165" t="str">
        <f t="shared" si="1267"/>
        <v>https://www.google.com/search?tbm=isch&amp;q=7%20G4</v>
      </c>
      <c r="BG1811" s="165" t="str">
        <f t="shared" si="1268"/>
        <v>H</v>
      </c>
      <c r="BH1811" s="65"/>
      <c r="BI1811" s="65"/>
      <c r="BJ1811" s="65"/>
      <c r="BK1811" s="65"/>
      <c r="BL1811" s="99"/>
      <c r="BM1811" s="99"/>
      <c r="BN1811" s="99"/>
    </row>
    <row r="1812" spans="1:66" s="51" customFormat="1" ht="15.75" x14ac:dyDescent="0.25">
      <c r="A1812" s="478">
        <v>15</v>
      </c>
      <c r="B1812" s="479" t="s">
        <v>291</v>
      </c>
      <c r="C1812" s="480" t="s">
        <v>910</v>
      </c>
      <c r="D1812" s="481" t="s">
        <v>311</v>
      </c>
      <c r="E1812" s="482">
        <v>160.94999999999999</v>
      </c>
      <c r="F1812" s="483" t="s">
        <v>292</v>
      </c>
      <c r="G1812" s="484">
        <v>0</v>
      </c>
      <c r="H1812" s="688" t="str">
        <f>IF(G1812=0,"",IF(F1812="Buy",IF(G1812=1,"plant","plants"),IF(F1812&gt;0.01,"warranty","Error")))</f>
        <v/>
      </c>
      <c r="I1812" s="485">
        <f>IF(H1812="free",0,IF(H1812="credit",((E1812*(F1812))*G1812*-1),IF(F1812="Buy",(E1812*G1812),((E1812*(1-F1812))*G1812))))</f>
        <v>0</v>
      </c>
      <c r="J1812" s="485">
        <f>IF(H1812="warranty",0,(I1812*(_xlfn.SINGLE(SalesTaxPercentage))))</f>
        <v>0</v>
      </c>
      <c r="K1812" s="715">
        <f t="shared" ref="K1812" si="1294">I1812+J1812</f>
        <v>0</v>
      </c>
      <c r="L1812" s="715"/>
      <c r="M1812" s="689" t="str">
        <f ca="1">IF(AND(G1812&gt;0,E1812=0),"WARNING - no PRICE inserted",IF(H1812="free","FREE ~ no charge this plant",IF(H1812="credit",CONCATENATE("-$",ROUND(K1812*(1-_xlfn.SINGLE(T2GDiscount))*-1,2)," CREDIT after discount"),IF(_xlfn.SINGLE(T2GDiscount)=0,"",IF(G1812=0,"",IF(F1812="Buy",CONCATENATE("$",ROUND(K1812*(1-_xlfn.SINGLE(T2GDiscount)),2)," with ",(_xlfn.SINGLE(T2GDiscount)*100),"% discount"),CONCATENATE("$",ROUND(K1812*(1-_xlfn.SINGLE(T2GDiscount)),2)," with ",((_xlfn.SINGLE(T2GDiscount)*100+F1812*100)-(_xlfn.SINGLE(T2GDiscount)*100*F1812)),IF(F1812&gt;0,"% discounts",IF(_xlfn.SINGLE(NoWarrantyDiscount)&gt;0,"% discounts","% discount")))))))))</f>
        <v/>
      </c>
      <c r="N1812" s="690"/>
      <c r="O1812" s="486"/>
      <c r="P1812" s="486"/>
      <c r="Q1812" s="486"/>
      <c r="R1812" s="486"/>
      <c r="S1812" s="486"/>
      <c r="T1812" s="102">
        <f t="shared" ref="T1812:T1875" si="1295">E1812*G1812</f>
        <v>0</v>
      </c>
      <c r="U1812" s="78">
        <f>IF(NOT(ISNUMBER(G1812)), "", VLOOKUP(A1812,'Discount Lookup'!D:E,2,FALSE)*G1812)</f>
        <v>0</v>
      </c>
      <c r="V1812" s="78">
        <f>IF(NOT(ISNUMBER(G1812)), "", VLOOKUP(A1812,'Discount Lookup'!G:H,2,FALSE)*G1812)</f>
        <v>0</v>
      </c>
      <c r="W1812" s="102">
        <f t="shared" ref="W1812:W1875" si="1296">IF(H1812="credit",0,E1812*(SalesTaxPercentage)*G1812)</f>
        <v>0</v>
      </c>
      <c r="X1812" s="102">
        <f t="shared" ref="X1812:X1875" si="1297">I1812</f>
        <v>0</v>
      </c>
      <c r="Y1812" s="120" t="b">
        <f t="shared" ref="Y1812:Y1875" si="1298">IF(AE1812="T2G",0,IF(H1812="credit",0,IF(G1812&gt;0,IF(AE1812="me","",G1812))))</f>
        <v>0</v>
      </c>
      <c r="Z1812" s="117">
        <f t="shared" ref="Z1812:Z1875" si="1299">IF(H1812="credit",G1812,0)</f>
        <v>0</v>
      </c>
      <c r="AA1812" s="118"/>
      <c r="AB1812" s="118" t="str">
        <f t="shared" ref="AB1812:AB1875" si="1300">IF(AE1812="T2G","by Trees2Go",IF(H1812="credit","CREDIT only ~",IF(AND(K1812="",AE1812=OR(PlanterYesMe="No",PlanterYesMe="N",PlanterYesMe="me")),"not THIS line⇨",IF(AND(K1812="images",AE1812="me"),"not THIS line⇨",IF(H1812="credit","",IF(G1812=0,"",IF(AE1812="me","",IF(OR(PlanterYesMe="No",PlanterYesMe="N",PlanterYesMe="me"),"",IF(AE1812="free","warranty",IF(OR(PlanterYesMe="yes",PlanterYesMe="y"),"Edison install:","to install:"))))))))))</f>
        <v/>
      </c>
      <c r="AC1812" s="712" t="str">
        <f>IF(AE1812="T2G","no charge",IF(AND(OR(PlanterYesMe="No",PlanterYesMe="N",PlanterYesMe="me"),H1812=""),"",IF(H1812="credit","NO install",IF(AND(K1812="",AE1812="me"),"EACH row",IF(AND(K1812="images",AE1812="me"),"EACH row",IF(D1812="","",IF(H1812="credit","",IF(AE1812="free","re-planting",IF(AE1812="me","   not ELP, by",IF(AND(OR(PlanterYesMe="Yes",PlanterYesMe="Y"),G1812&gt;0),(VLOOKUP(A1812,'Discount Lookup'!J:K,2)*G1812*(1-PlanterDiscount)*(1+PlanterDifficultyPercentage)),IF(AE1812="ELP",(VLOOKUP(A1812,'Discount Lookup'!J:K,2)*G1812*(1-PlanterDiscount)*(1+PlanterDifficultyPercentage)),IF(AE1812="free","re-planting",IF(G1812=0,"",IF(PlanterYesMe="",IF(AE1812="me","   not ELP, by",IF(AE1812="",IF(G1812&gt;0,(VLOOKUP(A1812,'Discount Lookup'!J:K,2)*G1812*(1-PlanterDiscount)*(1+PlanterDifficultyPercentage)),""),"")),"   not ELP, by"))))))))))))))</f>
        <v/>
      </c>
      <c r="AD1812" s="712"/>
      <c r="AE1812" s="513" t="str">
        <f t="shared" ref="AE1812:AE1875" si="1301">IF(H1812="credit","",IF(G1812=0,"",IF(OR(PlanterYesMe="No",PlanterYesMe="N",PlanterYesMe="me"),"me",IF(H1812="warranty","free",IF(OR(PlanterYesMe="yes",PlanterYesMe="y"),"ELP","")))))</f>
        <v/>
      </c>
      <c r="AF1812" s="713" t="str">
        <f t="shared" ref="AF1812:AF1875" si="1302">IF(OR(PlanterYesMe="No",PlanterYesMe="N",PlanterYesMe="me"),"",IF(H1812="credit","",IF(G1812&gt;0,(CONCATENATE((G1812)," quantity, ",(A1812)," ",B1812)),"")))</f>
        <v/>
      </c>
      <c r="AG1812" s="713"/>
      <c r="AH1812" s="713"/>
      <c r="AI1812" s="112">
        <f>IF(H1812="credit",0,IF(AE1812="free",0,IF(AE1812="me",0,IF(G1812&gt;0,(VLOOKUP(A1812,'Discount Lookup'!J:K,2)*G1812),0))))</f>
        <v>0</v>
      </c>
      <c r="AJ1812" s="107" t="str">
        <f t="shared" ref="AJ1812:AJ1875" ca="1" si="1303">IF(AND(ISREF(H1812),H1812="credit"),"",IF(AND(AND(OFFSET(G1812,0,0)=0,OFFSET(G1812,1,0)&gt;0,ISNUMBER(OFFSET(AC1812,1,0)),OFFSET(AC1812,1,0)&gt;0),OR(PlanterYesMe="yes",PlanterYesMe="y")),"T2G+ELP=",IF(AND(OFFSET(G1812,0,0)=0,OFFSET(G1812,1,0)&gt;0,ISNUMBER(OFFSET(AC1812,1,0)),OFFSET(AC1812,1,0)&gt;0),"if T2G+ELP=",IF(AND(OFFSET(G1812,0,0)=0,OFFSET(G1812,1,0)&gt;0),"T2G Subtotal",IF(H1812="credit","",IF(G1812=0,"",IF(AE1812="free",(K1812*(1-T2GDiscount)),IF(OR(PlanterYesMe="No",PlanterYesMe="N",PlanterYesMe="me"),(K1812*(1-T2GDiscount)),IF(OR(AE1812="me",AE1812="T2G"),(K1812*(1-T2GDiscount)),(K1812*(1-T2GDiscount))+AC1812)))))))))</f>
        <v/>
      </c>
      <c r="AK1812" s="714" t="str">
        <f t="shared" ref="AK1812:AK1875" si="1304">IF(H1812="credit","",IF(G1812=0,"",IF(OR(AE1812="me",AE1812="T2G"),"  delivery-only",IF(OR(PlanterYesMe="No",PlanterYesMe="N",PlanterYesMe="me"),"  delivery-only",CONCATENATE(" $",ROUND(AJ1812/G1812,2)," each")))))</f>
        <v/>
      </c>
      <c r="AL1812" s="714"/>
      <c r="AM1812" s="114" t="str">
        <f t="shared" ref="AM1812:AM1875" si="1305">IF(H1812="credit","",IF(AE1812="free","      ~ discounts included, no tax or planting fee applies ~",IF(G1812=0,"",IF(OR(PlanterYesMe="No",PlanterYesMe="N",PlanterYesMe="me"),CONCATENATE(" $",ROUND(AJ1812/G1812,2)," per plant, with tax &amp; discount"),IF(OR(AE1812="me",AE1812="T2G"),CONCATENATE(" $",ROUND(AJ1812/G1812,2)," per plant, with tax &amp; discount"),CONCATENATE("= $",ROUND((K1812*(1-T2GDiscount))/G1812,2)," per plant + $",AC1812/G1812,(" per planting      ~ includes tax &amp; discounts ~")))))))</f>
        <v/>
      </c>
      <c r="AN1812" s="115"/>
      <c r="AO1812" s="116"/>
      <c r="AP1812" s="116"/>
      <c r="AQ1812" s="116"/>
      <c r="AR1812" s="116"/>
      <c r="AS1812" s="116"/>
      <c r="AT1812" s="116"/>
      <c r="AU1812" s="116"/>
      <c r="AV1812" s="78"/>
      <c r="AW1812" s="102"/>
      <c r="AX1812" s="78"/>
      <c r="AY1812" s="78"/>
      <c r="AZ1812" s="78"/>
      <c r="BA1812" s="78"/>
      <c r="BB1812" s="78"/>
      <c r="BC1812" s="78"/>
      <c r="BD1812" s="78"/>
      <c r="BE1812" s="465"/>
      <c r="BF1812" s="165" t="str">
        <f t="shared" ref="BF1812:BF1875" si="1306">"https://www.google.com/search?tbm=isch&amp;q=" &amp; _xlfn.ENCODEURL($A1812 &amp; " " &amp; $D1812)</f>
        <v>https://www.google.com/search?tbm=isch&amp;q=15%20G5</v>
      </c>
      <c r="BG1812" s="165" t="str">
        <f t="shared" ref="BG1812:BG1875" si="1307">IF(ISTEXT(A1812),LEFT(A1812,1),BG1811)</f>
        <v>H</v>
      </c>
      <c r="BH1812" s="65"/>
      <c r="BI1812" s="65"/>
      <c r="BJ1812" s="65"/>
      <c r="BK1812" s="65"/>
      <c r="BL1812" s="99"/>
      <c r="BM1812" s="99"/>
      <c r="BN1812" s="99"/>
    </row>
    <row r="1813" spans="1:66" s="51" customFormat="1" ht="15.75" x14ac:dyDescent="0.25">
      <c r="A1813" s="478">
        <v>15</v>
      </c>
      <c r="B1813" s="479" t="s">
        <v>291</v>
      </c>
      <c r="C1813" s="480" t="s">
        <v>946</v>
      </c>
      <c r="D1813" s="481" t="s">
        <v>299</v>
      </c>
      <c r="E1813" s="482">
        <v>178.95</v>
      </c>
      <c r="F1813" s="483" t="s">
        <v>292</v>
      </c>
      <c r="G1813" s="484">
        <v>0</v>
      </c>
      <c r="H1813" s="688" t="str">
        <f>IF(G1813=0,"",IF(F1813="Buy",IF(G1813=1,"plant","plants"),IF(F1813&gt;0.01,"warranty","Error")))</f>
        <v/>
      </c>
      <c r="I1813" s="485">
        <f>IF(H1813="free",0,IF(H1813="credit",((E1813*(F1813))*G1813*-1),IF(F1813="Buy",(E1813*G1813),((E1813*(1-F1813))*G1813))))</f>
        <v>0</v>
      </c>
      <c r="J1813" s="485">
        <f>IF(H1813="warranty",0,(I1813*(_xlfn.SINGLE(SalesTaxPercentage))))</f>
        <v>0</v>
      </c>
      <c r="K1813" s="715">
        <f t="shared" ref="K1813" si="1308">I1813+J1813</f>
        <v>0</v>
      </c>
      <c r="L1813" s="715"/>
      <c r="M1813" s="689" t="str">
        <f ca="1">IF(AND(G1813&gt;0,E1813=0),"WARNING - no PRICE inserted",IF(H1813="free","FREE ~ no charge this plant",IF(H1813="credit",CONCATENATE("-$",ROUND(K1813*(1-_xlfn.SINGLE(T2GDiscount))*-1,2)," CREDIT after discount"),IF(_xlfn.SINGLE(T2GDiscount)=0,"",IF(G1813=0,"",IF(F1813="Buy",CONCATENATE("$",ROUND(K1813*(1-_xlfn.SINGLE(T2GDiscount)),2)," with ",(_xlfn.SINGLE(T2GDiscount)*100),"% discount"),CONCATENATE("$",ROUND(K1813*(1-_xlfn.SINGLE(T2GDiscount)),2)," with ",((_xlfn.SINGLE(T2GDiscount)*100+F1813*100)-(_xlfn.SINGLE(T2GDiscount)*100*F1813)),IF(F1813&gt;0,"% discounts",IF(_xlfn.SINGLE(NoWarrantyDiscount)&gt;0,"% discounts","% discount")))))))))</f>
        <v/>
      </c>
      <c r="N1813" s="690"/>
      <c r="O1813" s="486"/>
      <c r="P1813" s="486"/>
      <c r="Q1813" s="486"/>
      <c r="R1813" s="486"/>
      <c r="S1813" s="486"/>
      <c r="T1813" s="102">
        <f t="shared" si="1295"/>
        <v>0</v>
      </c>
      <c r="U1813" s="78">
        <f>IF(NOT(ISNUMBER(G1813)), "", VLOOKUP(A1813,'Discount Lookup'!D:E,2,FALSE)*G1813)</f>
        <v>0</v>
      </c>
      <c r="V1813" s="78">
        <f>IF(NOT(ISNUMBER(G1813)), "", VLOOKUP(A1813,'Discount Lookup'!G:H,2,FALSE)*G1813)</f>
        <v>0</v>
      </c>
      <c r="W1813" s="102">
        <f t="shared" si="1296"/>
        <v>0</v>
      </c>
      <c r="X1813" s="102">
        <f t="shared" si="1297"/>
        <v>0</v>
      </c>
      <c r="Y1813" s="120" t="b">
        <f t="shared" si="1298"/>
        <v>0</v>
      </c>
      <c r="Z1813" s="117">
        <f t="shared" si="1299"/>
        <v>0</v>
      </c>
      <c r="AA1813" s="118"/>
      <c r="AB1813" s="118" t="str">
        <f t="shared" si="1300"/>
        <v/>
      </c>
      <c r="AC1813" s="712" t="str">
        <f>IF(AE1813="T2G","no charge",IF(AND(OR(PlanterYesMe="No",PlanterYesMe="N",PlanterYesMe="me"),H1813=""),"",IF(H1813="credit","NO install",IF(AND(K1813="",AE1813="me"),"EACH row",IF(AND(K1813="images",AE1813="me"),"EACH row",IF(D1813="","",IF(H1813="credit","",IF(AE1813="free","re-planting",IF(AE1813="me","   not ELP, by",IF(AND(OR(PlanterYesMe="Yes",PlanterYesMe="Y"),G1813&gt;0),(VLOOKUP(A1813,'Discount Lookup'!J:K,2)*G1813*(1-PlanterDiscount)*(1+PlanterDifficultyPercentage)),IF(AE1813="ELP",(VLOOKUP(A1813,'Discount Lookup'!J:K,2)*G1813*(1-PlanterDiscount)*(1+PlanterDifficultyPercentage)),IF(AE1813="free","re-planting",IF(G1813=0,"",IF(PlanterYesMe="",IF(AE1813="me","   not ELP, by",IF(AE1813="",IF(G1813&gt;0,(VLOOKUP(A1813,'Discount Lookup'!J:K,2)*G1813*(1-PlanterDiscount)*(1+PlanterDifficultyPercentage)),""),"")),"   not ELP, by"))))))))))))))</f>
        <v/>
      </c>
      <c r="AD1813" s="712"/>
      <c r="AE1813" s="513" t="str">
        <f t="shared" si="1301"/>
        <v/>
      </c>
      <c r="AF1813" s="713" t="str">
        <f t="shared" si="1302"/>
        <v/>
      </c>
      <c r="AG1813" s="713"/>
      <c r="AH1813" s="713"/>
      <c r="AI1813" s="112">
        <f>IF(H1813="credit",0,IF(AE1813="free",0,IF(AE1813="me",0,IF(G1813&gt;0,(VLOOKUP(A1813,'Discount Lookup'!J:K,2)*G1813),0))))</f>
        <v>0</v>
      </c>
      <c r="AJ1813" s="107" t="str">
        <f t="shared" ca="1" si="1303"/>
        <v/>
      </c>
      <c r="AK1813" s="714" t="str">
        <f t="shared" si="1304"/>
        <v/>
      </c>
      <c r="AL1813" s="714"/>
      <c r="AM1813" s="114" t="str">
        <f t="shared" si="1305"/>
        <v/>
      </c>
      <c r="AN1813" s="115"/>
      <c r="AO1813" s="116"/>
      <c r="AP1813" s="116"/>
      <c r="AQ1813" s="116"/>
      <c r="AR1813" s="116"/>
      <c r="AS1813" s="116"/>
      <c r="AT1813" s="116"/>
      <c r="AU1813" s="116"/>
      <c r="AV1813" s="78"/>
      <c r="AW1813" s="102"/>
      <c r="AX1813" s="78"/>
      <c r="AY1813" s="78"/>
      <c r="AZ1813" s="78"/>
      <c r="BA1813" s="78"/>
      <c r="BB1813" s="78"/>
      <c r="BC1813" s="78"/>
      <c r="BD1813" s="78"/>
      <c r="BE1813" s="465"/>
      <c r="BF1813" s="165" t="str">
        <f t="shared" si="1306"/>
        <v>https://www.google.com/search?tbm=isch&amp;q=15%20G4</v>
      </c>
      <c r="BG1813" s="165" t="str">
        <f t="shared" si="1307"/>
        <v>H</v>
      </c>
      <c r="BH1813" s="65"/>
      <c r="BI1813" s="65"/>
      <c r="BJ1813" s="65"/>
      <c r="BK1813" s="65"/>
      <c r="BL1813" s="99"/>
      <c r="BM1813" s="99"/>
      <c r="BN1813" s="99"/>
    </row>
    <row r="1814" spans="1:66" s="51" customFormat="1" ht="27" x14ac:dyDescent="0.25">
      <c r="A1814" s="478">
        <v>25</v>
      </c>
      <c r="B1814" s="479" t="s">
        <v>291</v>
      </c>
      <c r="C1814" s="480" t="s">
        <v>947</v>
      </c>
      <c r="D1814" s="481" t="s">
        <v>299</v>
      </c>
      <c r="E1814" s="482">
        <v>454.95</v>
      </c>
      <c r="F1814" s="483" t="s">
        <v>292</v>
      </c>
      <c r="G1814" s="484">
        <v>0</v>
      </c>
      <c r="H1814" s="688" t="str">
        <f>IF(G1814=0,"",IF(F1814="Buy",IF(G1814=1,"plant","plants"),IF(F1814&gt;0.01,"warranty","Error")))</f>
        <v/>
      </c>
      <c r="I1814" s="485">
        <f>IF(H1814="free",0,IF(H1814="credit",((E1814*(F1814))*G1814*-1),IF(F1814="Buy",(E1814*G1814),((E1814*(1-F1814))*G1814))))</f>
        <v>0</v>
      </c>
      <c r="J1814" s="485">
        <f>IF(H1814="warranty",0,(I1814*(_xlfn.SINGLE(SalesTaxPercentage))))</f>
        <v>0</v>
      </c>
      <c r="K1814" s="715">
        <f t="shared" ref="K1814" si="1309">I1814+J1814</f>
        <v>0</v>
      </c>
      <c r="L1814" s="715"/>
      <c r="M1814" s="689" t="str">
        <f ca="1">IF(AND(G1814&gt;0,E1814=0),"WARNING - no PRICE inserted",IF(H1814="free","FREE ~ no charge this plant",IF(H1814="credit",CONCATENATE("-$",ROUND(K1814*(1-_xlfn.SINGLE(T2GDiscount))*-1,2)," CREDIT after discount"),IF(_xlfn.SINGLE(T2GDiscount)=0,"",IF(G1814=0,"",IF(F1814="Buy",CONCATENATE("$",ROUND(K1814*(1-_xlfn.SINGLE(T2GDiscount)),2)," with ",(_xlfn.SINGLE(T2GDiscount)*100),"% discount"),CONCATENATE("$",ROUND(K1814*(1-_xlfn.SINGLE(T2GDiscount)),2)," with ",((_xlfn.SINGLE(T2GDiscount)*100+F1814*100)-(_xlfn.SINGLE(T2GDiscount)*100*F1814)),IF(F1814&gt;0,"% discounts",IF(_xlfn.SINGLE(NoWarrantyDiscount)&gt;0,"% discounts","% discount")))))))))</f>
        <v/>
      </c>
      <c r="N1814" s="690"/>
      <c r="O1814" s="486"/>
      <c r="P1814" s="486"/>
      <c r="Q1814" s="486"/>
      <c r="R1814" s="486"/>
      <c r="S1814" s="486"/>
      <c r="T1814" s="102">
        <f t="shared" si="1295"/>
        <v>0</v>
      </c>
      <c r="U1814" s="78">
        <f>IF(NOT(ISNUMBER(G1814)), "", VLOOKUP(A1814,'Discount Lookup'!D:E,2,FALSE)*G1814)</f>
        <v>0</v>
      </c>
      <c r="V1814" s="78">
        <f>IF(NOT(ISNUMBER(G1814)), "", VLOOKUP(A1814,'Discount Lookup'!G:H,2,FALSE)*G1814)</f>
        <v>0</v>
      </c>
      <c r="W1814" s="102">
        <f t="shared" si="1296"/>
        <v>0</v>
      </c>
      <c r="X1814" s="102">
        <f t="shared" si="1297"/>
        <v>0</v>
      </c>
      <c r="Y1814" s="120" t="b">
        <f t="shared" si="1298"/>
        <v>0</v>
      </c>
      <c r="Z1814" s="117">
        <f t="shared" si="1299"/>
        <v>0</v>
      </c>
      <c r="AA1814" s="118"/>
      <c r="AB1814" s="118" t="str">
        <f t="shared" si="1300"/>
        <v/>
      </c>
      <c r="AC1814" s="712" t="str">
        <f>IF(AE1814="T2G","no charge",IF(AND(OR(PlanterYesMe="No",PlanterYesMe="N",PlanterYesMe="me"),H1814=""),"",IF(H1814="credit","NO install",IF(AND(K1814="",AE1814="me"),"EACH row",IF(AND(K1814="images",AE1814="me"),"EACH row",IF(D1814="","",IF(H1814="credit","",IF(AE1814="free","re-planting",IF(AE1814="me","   not ELP, by",IF(AND(OR(PlanterYesMe="Yes",PlanterYesMe="Y"),G1814&gt;0),(VLOOKUP(A1814,'Discount Lookup'!J:K,2)*G1814*(1-PlanterDiscount)*(1+PlanterDifficultyPercentage)),IF(AE1814="ELP",(VLOOKUP(A1814,'Discount Lookup'!J:K,2)*G1814*(1-PlanterDiscount)*(1+PlanterDifficultyPercentage)),IF(AE1814="free","re-planting",IF(G1814=0,"",IF(PlanterYesMe="",IF(AE1814="me","   not ELP, by",IF(AE1814="",IF(G1814&gt;0,(VLOOKUP(A1814,'Discount Lookup'!J:K,2)*G1814*(1-PlanterDiscount)*(1+PlanterDifficultyPercentage)),""),"")),"   not ELP, by"))))))))))))))</f>
        <v/>
      </c>
      <c r="AD1814" s="712"/>
      <c r="AE1814" s="513" t="str">
        <f t="shared" si="1301"/>
        <v/>
      </c>
      <c r="AF1814" s="713" t="str">
        <f t="shared" si="1302"/>
        <v/>
      </c>
      <c r="AG1814" s="713"/>
      <c r="AH1814" s="713"/>
      <c r="AI1814" s="112">
        <f>IF(H1814="credit",0,IF(AE1814="free",0,IF(AE1814="me",0,IF(G1814&gt;0,(VLOOKUP(A1814,'Discount Lookup'!J:K,2)*G1814),0))))</f>
        <v>0</v>
      </c>
      <c r="AJ1814" s="107" t="str">
        <f t="shared" ca="1" si="1303"/>
        <v/>
      </c>
      <c r="AK1814" s="714" t="str">
        <f t="shared" si="1304"/>
        <v/>
      </c>
      <c r="AL1814" s="714"/>
      <c r="AM1814" s="114" t="str">
        <f t="shared" si="1305"/>
        <v/>
      </c>
      <c r="AN1814" s="115"/>
      <c r="AO1814" s="116"/>
      <c r="AP1814" s="116"/>
      <c r="AQ1814" s="116"/>
      <c r="AR1814" s="116"/>
      <c r="AS1814" s="116"/>
      <c r="AT1814" s="116"/>
      <c r="AU1814" s="116"/>
      <c r="AV1814" s="78"/>
      <c r="AW1814" s="102"/>
      <c r="AX1814" s="78"/>
      <c r="AY1814" s="78"/>
      <c r="AZ1814" s="78"/>
      <c r="BA1814" s="78"/>
      <c r="BB1814" s="78"/>
      <c r="BC1814" s="78"/>
      <c r="BD1814" s="78"/>
      <c r="BE1814" s="465"/>
      <c r="BF1814" s="165" t="str">
        <f t="shared" si="1306"/>
        <v>https://www.google.com/search?tbm=isch&amp;q=25%20G4</v>
      </c>
      <c r="BG1814" s="165" t="str">
        <f t="shared" si="1307"/>
        <v>H</v>
      </c>
      <c r="BH1814" s="65"/>
      <c r="BI1814" s="65"/>
      <c r="BJ1814" s="65"/>
      <c r="BK1814" s="65"/>
      <c r="BL1814" s="99"/>
      <c r="BM1814" s="99"/>
      <c r="BN1814" s="99"/>
    </row>
    <row r="1815" spans="1:66" s="51" customFormat="1" ht="17.25" thickBot="1" x14ac:dyDescent="0.3">
      <c r="A1815" s="508" t="s">
        <v>911</v>
      </c>
      <c r="B1815" s="487"/>
      <c r="C1815" s="707"/>
      <c r="D1815" s="487"/>
      <c r="E1815" s="487"/>
      <c r="F1815" s="488"/>
      <c r="G1815" s="489"/>
      <c r="H1815" s="487"/>
      <c r="I1815" s="490"/>
      <c r="J1815" s="490"/>
      <c r="K1815" s="491"/>
      <c r="L1815" s="547"/>
      <c r="M1815" s="528"/>
      <c r="N1815" s="492"/>
      <c r="O1815" s="493"/>
      <c r="P1815" s="494"/>
      <c r="Q1815" s="492"/>
      <c r="R1815" s="492"/>
      <c r="S1815" s="699" t="s">
        <v>5268</v>
      </c>
      <c r="T1815" s="102">
        <f t="shared" si="1295"/>
        <v>0</v>
      </c>
      <c r="U1815" s="78" t="str">
        <f>IF(NOT(ISNUMBER(G1815)), "", VLOOKUP(A1815,'Discount Lookup'!D:E,2,FALSE)*G1815)</f>
        <v/>
      </c>
      <c r="V1815" s="78" t="str">
        <f>IF(NOT(ISNUMBER(G1815)), "", VLOOKUP(A1815,'Discount Lookup'!G:H,2,FALSE)*G1815)</f>
        <v/>
      </c>
      <c r="W1815" s="102">
        <f t="shared" si="1296"/>
        <v>0</v>
      </c>
      <c r="X1815" s="102">
        <f t="shared" si="1297"/>
        <v>0</v>
      </c>
      <c r="Y1815" s="120" t="b">
        <f t="shared" si="1298"/>
        <v>0</v>
      </c>
      <c r="Z1815" s="117">
        <f t="shared" si="1299"/>
        <v>0</v>
      </c>
      <c r="AA1815" s="118"/>
      <c r="AB1815" s="118" t="str">
        <f t="shared" si="1300"/>
        <v/>
      </c>
      <c r="AC1815" s="712" t="str">
        <f>IF(AE1815="T2G","no charge",IF(AND(OR(PlanterYesMe="No",PlanterYesMe="N",PlanterYesMe="me"),H1815=""),"",IF(H1815="credit","NO install",IF(AND(K1815="",AE1815="me"),"EACH row",IF(AND(K1815="images",AE1815="me"),"EACH row",IF(D1815="","",IF(H1815="credit","",IF(AE1815="free","re-planting",IF(AE1815="me","   not ELP, by",IF(AND(OR(PlanterYesMe="Yes",PlanterYesMe="Y"),G1815&gt;0),(VLOOKUP(A1815,'Discount Lookup'!J:K,2)*G1815*(1-PlanterDiscount)*(1+PlanterDifficultyPercentage)),IF(AE1815="ELP",(VLOOKUP(A1815,'Discount Lookup'!J:K,2)*G1815*(1-PlanterDiscount)*(1+PlanterDifficultyPercentage)),IF(AE1815="free","re-planting",IF(G1815=0,"",IF(PlanterYesMe="",IF(AE1815="me","   not ELP, by",IF(AE1815="",IF(G1815&gt;0,(VLOOKUP(A1815,'Discount Lookup'!J:K,2)*G1815*(1-PlanterDiscount)*(1+PlanterDifficultyPercentage)),""),"")),"   not ELP, by"))))))))))))))</f>
        <v/>
      </c>
      <c r="AD1815" s="712"/>
      <c r="AE1815" s="513" t="str">
        <f t="shared" si="1301"/>
        <v/>
      </c>
      <c r="AF1815" s="713" t="str">
        <f t="shared" si="1302"/>
        <v/>
      </c>
      <c r="AG1815" s="713"/>
      <c r="AH1815" s="713"/>
      <c r="AI1815" s="112">
        <f>IF(H1815="credit",0,IF(AE1815="free",0,IF(AE1815="me",0,IF(G1815&gt;0,(VLOOKUP(A1815,'Discount Lookup'!J:K,2)*G1815),0))))</f>
        <v>0</v>
      </c>
      <c r="AJ1815" s="107" t="str">
        <f t="shared" ca="1" si="1303"/>
        <v/>
      </c>
      <c r="AK1815" s="714" t="str">
        <f t="shared" si="1304"/>
        <v/>
      </c>
      <c r="AL1815" s="714"/>
      <c r="AM1815" s="114" t="str">
        <f t="shared" si="1305"/>
        <v/>
      </c>
      <c r="AN1815" s="115"/>
      <c r="AO1815" s="116"/>
      <c r="AP1815" s="116"/>
      <c r="AQ1815" s="116"/>
      <c r="AR1815" s="116"/>
      <c r="AS1815" s="116"/>
      <c r="AT1815" s="116"/>
      <c r="AU1815" s="116"/>
      <c r="AV1815" s="78"/>
      <c r="AW1815" s="102"/>
      <c r="AX1815" s="78"/>
      <c r="AY1815" s="78"/>
      <c r="AZ1815" s="78"/>
      <c r="BA1815" s="78"/>
      <c r="BB1815" s="78"/>
      <c r="BC1815" s="78"/>
      <c r="BD1815" s="78"/>
      <c r="BE1815" s="465"/>
      <c r="BF1815" s="165" t="str">
        <f t="shared" si="1306"/>
        <v>https://www.google.com/search?tbm=isch&amp;q=Arizona%20Cypress%27%20bluish-green%20coloring%20makes%20it%20a%20standout%20</v>
      </c>
      <c r="BG1815" s="165" t="str">
        <f t="shared" si="1307"/>
        <v>A</v>
      </c>
      <c r="BH1815" s="65"/>
      <c r="BI1815" s="65"/>
      <c r="BJ1815" s="65"/>
      <c r="BK1815" s="65"/>
      <c r="BL1815" s="99"/>
      <c r="BM1815" s="99"/>
      <c r="BN1815" s="99"/>
    </row>
    <row r="1816" spans="1:66" s="51" customFormat="1" ht="18" x14ac:dyDescent="0.25">
      <c r="A1816" s="507" t="s">
        <v>487</v>
      </c>
      <c r="B1816" s="470"/>
      <c r="C1816" s="706"/>
      <c r="D1816" s="471" t="s">
        <v>488</v>
      </c>
      <c r="E1816" s="472"/>
      <c r="F1816" s="472"/>
      <c r="G1816" s="472"/>
      <c r="H1816" s="622" t="s">
        <v>325</v>
      </c>
      <c r="I1816" s="473" t="s">
        <v>489</v>
      </c>
      <c r="J1816" s="472"/>
      <c r="K1816" s="472"/>
      <c r="L1816" s="561"/>
      <c r="M1816" s="698" t="s">
        <v>5240</v>
      </c>
      <c r="N1816" s="692" t="str">
        <f>IF(AND(ISTEXT($A1816), ISERROR($A1816+0)), HYPERLINK($BF1816, "Images"), "")</f>
        <v>Images</v>
      </c>
      <c r="O1816" s="694" t="s">
        <v>5247</v>
      </c>
      <c r="P1816" s="475"/>
      <c r="Q1816" s="476"/>
      <c r="R1816" s="476"/>
      <c r="S1816" s="477"/>
      <c r="T1816" s="102">
        <f t="shared" si="1295"/>
        <v>0</v>
      </c>
      <c r="U1816" s="78" t="str">
        <f>IF(NOT(ISNUMBER(G1816)), "", VLOOKUP(A1816,'Discount Lookup'!D:E,2,FALSE)*G1816)</f>
        <v/>
      </c>
      <c r="V1816" s="78" t="str">
        <f>IF(NOT(ISNUMBER(G1816)), "", VLOOKUP(A1816,'Discount Lookup'!G:H,2,FALSE)*G1816)</f>
        <v/>
      </c>
      <c r="W1816" s="102">
        <f t="shared" si="1296"/>
        <v>0</v>
      </c>
      <c r="X1816" s="102" t="str">
        <f t="shared" si="1297"/>
        <v>Silvery Blue foliage</v>
      </c>
      <c r="Y1816" s="120" t="b">
        <f t="shared" si="1298"/>
        <v>0</v>
      </c>
      <c r="Z1816" s="117">
        <f t="shared" si="1299"/>
        <v>0</v>
      </c>
      <c r="AA1816" s="118"/>
      <c r="AB1816" s="118" t="str">
        <f t="shared" si="1300"/>
        <v/>
      </c>
      <c r="AC1816" s="712" t="str">
        <f>IF(AE1816="T2G","no charge",IF(AND(OR(PlanterYesMe="No",PlanterYesMe="N",PlanterYesMe="me"),H1816=""),"",IF(H1816="credit","NO install",IF(AND(K1816="",AE1816="me"),"EACH row",IF(AND(K1816="images",AE1816="me"),"EACH row",IF(D1816="","",IF(H1816="credit","",IF(AE1816="free","re-planting",IF(AE1816="me","   not ELP, by",IF(AND(OR(PlanterYesMe="Yes",PlanterYesMe="Y"),G1816&gt;0),(VLOOKUP(A1816,'Discount Lookup'!J:K,2)*G1816*(1-PlanterDiscount)*(1+PlanterDifficultyPercentage)),IF(AE1816="ELP",(VLOOKUP(A1816,'Discount Lookup'!J:K,2)*G1816*(1-PlanterDiscount)*(1+PlanterDifficultyPercentage)),IF(AE1816="free","re-planting",IF(G1816=0,"",IF(PlanterYesMe="",IF(AE1816="me","   not ELP, by",IF(AE1816="",IF(G1816&gt;0,(VLOOKUP(A1816,'Discount Lookup'!J:K,2)*G1816*(1-PlanterDiscount)*(1+PlanterDifficultyPercentage)),""),"")),"   not ELP, by"))))))))))))))</f>
        <v/>
      </c>
      <c r="AD1816" s="712"/>
      <c r="AE1816" s="513" t="str">
        <f t="shared" si="1301"/>
        <v/>
      </c>
      <c r="AF1816" s="713" t="str">
        <f t="shared" si="1302"/>
        <v/>
      </c>
      <c r="AG1816" s="713"/>
      <c r="AH1816" s="713"/>
      <c r="AI1816" s="112">
        <f>IF(H1816="credit",0,IF(AE1816="free",0,IF(AE1816="me",0,IF(G1816&gt;0,(VLOOKUP(A1816,'Discount Lookup'!J:K,2)*G1816),0))))</f>
        <v>0</v>
      </c>
      <c r="AJ1816" s="107" t="str">
        <f t="shared" ca="1" si="1303"/>
        <v/>
      </c>
      <c r="AK1816" s="714" t="str">
        <f t="shared" si="1304"/>
        <v/>
      </c>
      <c r="AL1816" s="714"/>
      <c r="AM1816" s="114" t="str">
        <f t="shared" si="1305"/>
        <v/>
      </c>
      <c r="AN1816" s="115"/>
      <c r="AO1816" s="116"/>
      <c r="AP1816" s="116"/>
      <c r="AQ1816" s="116"/>
      <c r="AR1816" s="116"/>
      <c r="AS1816" s="116"/>
      <c r="AT1816" s="116"/>
      <c r="AU1816" s="116"/>
      <c r="AV1816" s="78"/>
      <c r="AW1816" s="102"/>
      <c r="AX1816" s="78"/>
      <c r="AY1816" s="78"/>
      <c r="AZ1816" s="78"/>
      <c r="BA1816" s="78"/>
      <c r="BB1816" s="78"/>
      <c r="BC1816" s="78"/>
      <c r="BD1816" s="78"/>
      <c r="BE1816" s="465"/>
      <c r="BF1816" s="165" t="str">
        <f t="shared" si="1306"/>
        <v>https://www.google.com/search?tbm=isch&amp;q=Hesperocyparis%20arizonica%20%27Midlothian%20BB%27%20Blue%20Steel%20Arizona%20Cypress</v>
      </c>
      <c r="BG1816" s="165" t="str">
        <f t="shared" si="1307"/>
        <v>H</v>
      </c>
      <c r="BH1816" s="65"/>
      <c r="BI1816" s="65"/>
      <c r="BJ1816" s="65"/>
      <c r="BK1816" s="65"/>
      <c r="BL1816" s="99"/>
      <c r="BM1816" s="99"/>
      <c r="BN1816" s="99"/>
    </row>
    <row r="1817" spans="1:66" s="51" customFormat="1" ht="27" x14ac:dyDescent="0.25">
      <c r="A1817" s="478">
        <v>15</v>
      </c>
      <c r="B1817" s="479" t="s">
        <v>291</v>
      </c>
      <c r="C1817" s="480" t="s">
        <v>5167</v>
      </c>
      <c r="D1817" s="481" t="s">
        <v>299</v>
      </c>
      <c r="E1817" s="482">
        <v>201.95</v>
      </c>
      <c r="F1817" s="483" t="s">
        <v>292</v>
      </c>
      <c r="G1817" s="484">
        <v>0</v>
      </c>
      <c r="H1817" s="688" t="str">
        <f>IF(G1817=0,"",IF(F1817="Buy",IF(G1817=1,"plant","plants"),IF(F1817&gt;0.01,"warranty","Error")))</f>
        <v/>
      </c>
      <c r="I1817" s="485">
        <f>IF(H1817="free",0,IF(H1817="credit",((E1817*(F1817))*G1817*-1),IF(F1817="Buy",(E1817*G1817),((E1817*(1-F1817))*G1817))))</f>
        <v>0</v>
      </c>
      <c r="J1817" s="485">
        <f>IF(H1817="warranty",0,(I1817*(_xlfn.SINGLE(SalesTaxPercentage))))</f>
        <v>0</v>
      </c>
      <c r="K1817" s="715">
        <f t="shared" ref="K1817" si="1310">I1817+J1817</f>
        <v>0</v>
      </c>
      <c r="L1817" s="715"/>
      <c r="M1817" s="689" t="str">
        <f ca="1">IF(AND(G1817&gt;0,E1817=0),"WARNING - no PRICE inserted",IF(H1817="free","FREE ~ no charge this plant",IF(H1817="credit",CONCATENATE("-$",ROUND(K1817*(1-_xlfn.SINGLE(T2GDiscount))*-1,2)," CREDIT after discount"),IF(_xlfn.SINGLE(T2GDiscount)=0,"",IF(G1817=0,"",IF(F1817="Buy",CONCATENATE("$",ROUND(K1817*(1-_xlfn.SINGLE(T2GDiscount)),2)," with ",(_xlfn.SINGLE(T2GDiscount)*100),"% discount"),CONCATENATE("$",ROUND(K1817*(1-_xlfn.SINGLE(T2GDiscount)),2)," with ",((_xlfn.SINGLE(T2GDiscount)*100+F1817*100)-(_xlfn.SINGLE(T2GDiscount)*100*F1817)),IF(F1817&gt;0,"% discounts",IF(_xlfn.SINGLE(NoWarrantyDiscount)&gt;0,"% discounts","% discount")))))))))</f>
        <v/>
      </c>
      <c r="N1817" s="690"/>
      <c r="O1817" s="486"/>
      <c r="P1817" s="486"/>
      <c r="Q1817" s="486"/>
      <c r="R1817" s="486"/>
      <c r="S1817" s="486"/>
      <c r="T1817" s="102">
        <f t="shared" si="1295"/>
        <v>0</v>
      </c>
      <c r="U1817" s="78">
        <f>IF(NOT(ISNUMBER(G1817)), "", VLOOKUP(A1817,'Discount Lookup'!D:E,2,FALSE)*G1817)</f>
        <v>0</v>
      </c>
      <c r="V1817" s="78">
        <f>IF(NOT(ISNUMBER(G1817)), "", VLOOKUP(A1817,'Discount Lookup'!G:H,2,FALSE)*G1817)</f>
        <v>0</v>
      </c>
      <c r="W1817" s="102">
        <f t="shared" si="1296"/>
        <v>0</v>
      </c>
      <c r="X1817" s="102">
        <f t="shared" si="1297"/>
        <v>0</v>
      </c>
      <c r="Y1817" s="120" t="b">
        <f t="shared" si="1298"/>
        <v>0</v>
      </c>
      <c r="Z1817" s="117">
        <f t="shared" si="1299"/>
        <v>0</v>
      </c>
      <c r="AA1817" s="118"/>
      <c r="AB1817" s="118" t="str">
        <f t="shared" si="1300"/>
        <v/>
      </c>
      <c r="AC1817" s="712" t="str">
        <f>IF(AE1817="T2G","no charge",IF(AND(OR(PlanterYesMe="No",PlanterYesMe="N",PlanterYesMe="me"),H1817=""),"",IF(H1817="credit","NO install",IF(AND(K1817="",AE1817="me"),"EACH row",IF(AND(K1817="images",AE1817="me"),"EACH row",IF(D1817="","",IF(H1817="credit","",IF(AE1817="free","re-planting",IF(AE1817="me","   not ELP, by",IF(AND(OR(PlanterYesMe="Yes",PlanterYesMe="Y"),G1817&gt;0),(VLOOKUP(A1817,'Discount Lookup'!J:K,2)*G1817*(1-PlanterDiscount)*(1+PlanterDifficultyPercentage)),IF(AE1817="ELP",(VLOOKUP(A1817,'Discount Lookup'!J:K,2)*G1817*(1-PlanterDiscount)*(1+PlanterDifficultyPercentage)),IF(AE1817="free","re-planting",IF(G1817=0,"",IF(PlanterYesMe="",IF(AE1817="me","   not ELP, by",IF(AE1817="",IF(G1817&gt;0,(VLOOKUP(A1817,'Discount Lookup'!J:K,2)*G1817*(1-PlanterDiscount)*(1+PlanterDifficultyPercentage)),""),"")),"   not ELP, by"))))))))))))))</f>
        <v/>
      </c>
      <c r="AD1817" s="712"/>
      <c r="AE1817" s="513" t="str">
        <f t="shared" si="1301"/>
        <v/>
      </c>
      <c r="AF1817" s="713" t="str">
        <f t="shared" si="1302"/>
        <v/>
      </c>
      <c r="AG1817" s="713"/>
      <c r="AH1817" s="713"/>
      <c r="AI1817" s="112">
        <f>IF(H1817="credit",0,IF(AE1817="free",0,IF(AE1817="me",0,IF(G1817&gt;0,(VLOOKUP(A1817,'Discount Lookup'!J:K,2)*G1817),0))))</f>
        <v>0</v>
      </c>
      <c r="AJ1817" s="107" t="str">
        <f t="shared" ca="1" si="1303"/>
        <v/>
      </c>
      <c r="AK1817" s="714" t="str">
        <f t="shared" si="1304"/>
        <v/>
      </c>
      <c r="AL1817" s="714"/>
      <c r="AM1817" s="114" t="str">
        <f t="shared" si="1305"/>
        <v/>
      </c>
      <c r="AN1817" s="115"/>
      <c r="AO1817" s="116"/>
      <c r="AP1817" s="116"/>
      <c r="AQ1817" s="116"/>
      <c r="AR1817" s="116"/>
      <c r="AS1817" s="116"/>
      <c r="AT1817" s="116"/>
      <c r="AU1817" s="116"/>
      <c r="AV1817" s="78"/>
      <c r="AW1817" s="102"/>
      <c r="AX1817" s="78"/>
      <c r="AY1817" s="78"/>
      <c r="AZ1817" s="78"/>
      <c r="BA1817" s="78"/>
      <c r="BB1817" s="78"/>
      <c r="BC1817" s="78"/>
      <c r="BD1817" s="78"/>
      <c r="BE1817" s="465"/>
      <c r="BF1817" s="165" t="str">
        <f t="shared" si="1306"/>
        <v>https://www.google.com/search?tbm=isch&amp;q=15%20G4</v>
      </c>
      <c r="BG1817" s="165" t="str">
        <f t="shared" si="1307"/>
        <v>H</v>
      </c>
      <c r="BH1817" s="65"/>
      <c r="BI1817" s="65"/>
      <c r="BJ1817" s="65"/>
      <c r="BK1817" s="65"/>
      <c r="BL1817" s="99"/>
      <c r="BM1817" s="99"/>
      <c r="BN1817" s="99"/>
    </row>
    <row r="1818" spans="1:66" s="51" customFormat="1" ht="17.25" thickBot="1" x14ac:dyDescent="0.3">
      <c r="A1818" s="508" t="s">
        <v>490</v>
      </c>
      <c r="B1818" s="487"/>
      <c r="C1818" s="707"/>
      <c r="D1818" s="487"/>
      <c r="E1818" s="487"/>
      <c r="F1818" s="488"/>
      <c r="G1818" s="489"/>
      <c r="H1818" s="487"/>
      <c r="I1818" s="490"/>
      <c r="J1818" s="490"/>
      <c r="K1818" s="491"/>
      <c r="L1818" s="547"/>
      <c r="M1818" s="528"/>
      <c r="N1818" s="492"/>
      <c r="O1818" s="493"/>
      <c r="P1818" s="494"/>
      <c r="Q1818" s="492"/>
      <c r="R1818" s="492"/>
      <c r="S1818" s="699" t="s">
        <v>5268</v>
      </c>
      <c r="T1818" s="102">
        <f t="shared" si="1295"/>
        <v>0</v>
      </c>
      <c r="U1818" s="78" t="str">
        <f>IF(NOT(ISNUMBER(G1818)), "", VLOOKUP(A1818,'Discount Lookup'!D:E,2,FALSE)*G1818)</f>
        <v/>
      </c>
      <c r="V1818" s="78" t="str">
        <f>IF(NOT(ISNUMBER(G1818)), "", VLOOKUP(A1818,'Discount Lookup'!G:H,2,FALSE)*G1818)</f>
        <v/>
      </c>
      <c r="W1818" s="102">
        <f t="shared" si="1296"/>
        <v>0</v>
      </c>
      <c r="X1818" s="102">
        <f t="shared" si="1297"/>
        <v>0</v>
      </c>
      <c r="Y1818" s="120" t="b">
        <f t="shared" si="1298"/>
        <v>0</v>
      </c>
      <c r="Z1818" s="117">
        <f t="shared" si="1299"/>
        <v>0</v>
      </c>
      <c r="AA1818" s="118"/>
      <c r="AB1818" s="118" t="str">
        <f t="shared" si="1300"/>
        <v/>
      </c>
      <c r="AC1818" s="712" t="str">
        <f>IF(AE1818="T2G","no charge",IF(AND(OR(PlanterYesMe="No",PlanterYesMe="N",PlanterYesMe="me"),H1818=""),"",IF(H1818="credit","NO install",IF(AND(K1818="",AE1818="me"),"EACH row",IF(AND(K1818="images",AE1818="me"),"EACH row",IF(D1818="","",IF(H1818="credit","",IF(AE1818="free","re-planting",IF(AE1818="me","   not ELP, by",IF(AND(OR(PlanterYesMe="Yes",PlanterYesMe="Y"),G1818&gt;0),(VLOOKUP(A1818,'Discount Lookup'!J:K,2)*G1818*(1-PlanterDiscount)*(1+PlanterDifficultyPercentage)),IF(AE1818="ELP",(VLOOKUP(A1818,'Discount Lookup'!J:K,2)*G1818*(1-PlanterDiscount)*(1+PlanterDifficultyPercentage)),IF(AE1818="free","re-planting",IF(G1818=0,"",IF(PlanterYesMe="",IF(AE1818="me","   not ELP, by",IF(AE1818="",IF(G1818&gt;0,(VLOOKUP(A1818,'Discount Lookup'!J:K,2)*G1818*(1-PlanterDiscount)*(1+PlanterDifficultyPercentage)),""),"")),"   not ELP, by"))))))))))))))</f>
        <v/>
      </c>
      <c r="AD1818" s="712"/>
      <c r="AE1818" s="513" t="str">
        <f t="shared" si="1301"/>
        <v/>
      </c>
      <c r="AF1818" s="713" t="str">
        <f t="shared" si="1302"/>
        <v/>
      </c>
      <c r="AG1818" s="713"/>
      <c r="AH1818" s="713"/>
      <c r="AI1818" s="112">
        <f>IF(H1818="credit",0,IF(AE1818="free",0,IF(AE1818="me",0,IF(G1818&gt;0,(VLOOKUP(A1818,'Discount Lookup'!J:K,2)*G1818),0))))</f>
        <v>0</v>
      </c>
      <c r="AJ1818" s="107" t="str">
        <f t="shared" ca="1" si="1303"/>
        <v/>
      </c>
      <c r="AK1818" s="714" t="str">
        <f t="shared" si="1304"/>
        <v/>
      </c>
      <c r="AL1818" s="714"/>
      <c r="AM1818" s="114" t="str">
        <f t="shared" si="1305"/>
        <v/>
      </c>
      <c r="AN1818" s="115"/>
      <c r="AO1818" s="116"/>
      <c r="AP1818" s="116"/>
      <c r="AQ1818" s="116"/>
      <c r="AR1818" s="116"/>
      <c r="AS1818" s="116"/>
      <c r="AT1818" s="116"/>
      <c r="AU1818" s="116"/>
      <c r="AV1818" s="78"/>
      <c r="AW1818" s="102"/>
      <c r="AX1818" s="78"/>
      <c r="AY1818" s="78"/>
      <c r="AZ1818" s="78"/>
      <c r="BA1818" s="78"/>
      <c r="BB1818" s="78"/>
      <c r="BC1818" s="78"/>
      <c r="BD1818" s="78"/>
      <c r="BE1818" s="465"/>
      <c r="BF1818" s="165" t="str">
        <f t="shared" si="1306"/>
        <v>https://www.google.com/search?tbm=isch&amp;q=Blue%20Steel%20is%20a%20striking%2C%20upright%20evergreen%20conifer%20admired%20for%20its%20intense%20Steel-Blue%20foliage%20and%20exceptional%20drought%20tolerance%20</v>
      </c>
      <c r="BG1818" s="165" t="str">
        <f t="shared" si="1307"/>
        <v>B</v>
      </c>
      <c r="BH1818" s="65"/>
      <c r="BI1818" s="65"/>
      <c r="BJ1818" s="65"/>
      <c r="BK1818" s="65"/>
      <c r="BL1818" s="99"/>
      <c r="BM1818" s="99"/>
      <c r="BN1818" s="99"/>
    </row>
    <row r="1819" spans="1:66" s="51" customFormat="1" ht="18" x14ac:dyDescent="0.25">
      <c r="A1819" s="507" t="s">
        <v>491</v>
      </c>
      <c r="B1819" s="470"/>
      <c r="C1819" s="706"/>
      <c r="D1819" s="471" t="s">
        <v>492</v>
      </c>
      <c r="E1819" s="472"/>
      <c r="F1819" s="472"/>
      <c r="G1819" s="472"/>
      <c r="H1819" s="622" t="s">
        <v>493</v>
      </c>
      <c r="I1819" s="473" t="s">
        <v>489</v>
      </c>
      <c r="J1819" s="472"/>
      <c r="K1819" s="472"/>
      <c r="L1819" s="561"/>
      <c r="M1819" s="698" t="s">
        <v>5240</v>
      </c>
      <c r="N1819" s="692" t="str">
        <f>IF(AND(ISTEXT($A1819), ISERROR($A1819+0)), HYPERLINK($BF1819, "Images"), "")</f>
        <v>Images</v>
      </c>
      <c r="O1819" s="694" t="s">
        <v>5247</v>
      </c>
      <c r="P1819" s="475"/>
      <c r="Q1819" s="476"/>
      <c r="R1819" s="476"/>
      <c r="S1819" s="477"/>
      <c r="T1819" s="102">
        <f t="shared" si="1295"/>
        <v>0</v>
      </c>
      <c r="U1819" s="78" t="str">
        <f>IF(NOT(ISNUMBER(G1819)), "", VLOOKUP(A1819,'Discount Lookup'!D:E,2,FALSE)*G1819)</f>
        <v/>
      </c>
      <c r="V1819" s="78" t="str">
        <f>IF(NOT(ISNUMBER(G1819)), "", VLOOKUP(A1819,'Discount Lookup'!G:H,2,FALSE)*G1819)</f>
        <v/>
      </c>
      <c r="W1819" s="102">
        <f t="shared" si="1296"/>
        <v>0</v>
      </c>
      <c r="X1819" s="102" t="str">
        <f t="shared" si="1297"/>
        <v>Silvery Blue foliage</v>
      </c>
      <c r="Y1819" s="120" t="b">
        <f t="shared" si="1298"/>
        <v>0</v>
      </c>
      <c r="Z1819" s="117">
        <f t="shared" si="1299"/>
        <v>0</v>
      </c>
      <c r="AA1819" s="118"/>
      <c r="AB1819" s="118" t="str">
        <f t="shared" si="1300"/>
        <v/>
      </c>
      <c r="AC1819" s="712" t="str">
        <f>IF(AE1819="T2G","no charge",IF(AND(OR(PlanterYesMe="No",PlanterYesMe="N",PlanterYesMe="me"),H1819=""),"",IF(H1819="credit","NO install",IF(AND(K1819="",AE1819="me"),"EACH row",IF(AND(K1819="images",AE1819="me"),"EACH row",IF(D1819="","",IF(H1819="credit","",IF(AE1819="free","re-planting",IF(AE1819="me","   not ELP, by",IF(AND(OR(PlanterYesMe="Yes",PlanterYesMe="Y"),G1819&gt;0),(VLOOKUP(A1819,'Discount Lookup'!J:K,2)*G1819*(1-PlanterDiscount)*(1+PlanterDifficultyPercentage)),IF(AE1819="ELP",(VLOOKUP(A1819,'Discount Lookup'!J:K,2)*G1819*(1-PlanterDiscount)*(1+PlanterDifficultyPercentage)),IF(AE1819="free","re-planting",IF(G1819=0,"",IF(PlanterYesMe="",IF(AE1819="me","   not ELP, by",IF(AE1819="",IF(G1819&gt;0,(VLOOKUP(A1819,'Discount Lookup'!J:K,2)*G1819*(1-PlanterDiscount)*(1+PlanterDifficultyPercentage)),""),"")),"   not ELP, by"))))))))))))))</f>
        <v/>
      </c>
      <c r="AD1819" s="712"/>
      <c r="AE1819" s="513" t="str">
        <f t="shared" si="1301"/>
        <v/>
      </c>
      <c r="AF1819" s="713" t="str">
        <f t="shared" si="1302"/>
        <v/>
      </c>
      <c r="AG1819" s="713"/>
      <c r="AH1819" s="713"/>
      <c r="AI1819" s="112">
        <f>IF(H1819="credit",0,IF(AE1819="free",0,IF(AE1819="me",0,IF(G1819&gt;0,(VLOOKUP(A1819,'Discount Lookup'!J:K,2)*G1819),0))))</f>
        <v>0</v>
      </c>
      <c r="AJ1819" s="107" t="str">
        <f t="shared" ca="1" si="1303"/>
        <v/>
      </c>
      <c r="AK1819" s="714" t="str">
        <f t="shared" si="1304"/>
        <v/>
      </c>
      <c r="AL1819" s="714"/>
      <c r="AM1819" s="114" t="str">
        <f t="shared" si="1305"/>
        <v/>
      </c>
      <c r="AN1819" s="115"/>
      <c r="AO1819" s="116"/>
      <c r="AP1819" s="116"/>
      <c r="AQ1819" s="116"/>
      <c r="AR1819" s="116"/>
      <c r="AS1819" s="116"/>
      <c r="AT1819" s="116"/>
      <c r="AU1819" s="116"/>
      <c r="AV1819" s="78"/>
      <c r="AW1819" s="102"/>
      <c r="AX1819" s="78"/>
      <c r="AY1819" s="78"/>
      <c r="AZ1819" s="78"/>
      <c r="BA1819" s="78"/>
      <c r="BB1819" s="78"/>
      <c r="BC1819" s="78"/>
      <c r="BD1819" s="78"/>
      <c r="BE1819" s="465"/>
      <c r="BF1819" s="165" t="str">
        <f t="shared" si="1306"/>
        <v>https://www.google.com/search?tbm=isch&amp;q=Hesperocyparis%20arizonica%20%27Quick%20Frost%27%20Quick%20Frost%20Arizona%20Cypress</v>
      </c>
      <c r="BG1819" s="165" t="str">
        <f t="shared" si="1307"/>
        <v>H</v>
      </c>
      <c r="BH1819" s="65"/>
      <c r="BI1819" s="65"/>
      <c r="BJ1819" s="65"/>
      <c r="BK1819" s="65"/>
      <c r="BL1819" s="99"/>
      <c r="BM1819" s="99"/>
      <c r="BN1819" s="99"/>
    </row>
    <row r="1820" spans="1:66" s="51" customFormat="1" ht="15.75" x14ac:dyDescent="0.25">
      <c r="A1820" s="478">
        <v>7</v>
      </c>
      <c r="B1820" s="479" t="s">
        <v>291</v>
      </c>
      <c r="C1820" s="480" t="s">
        <v>948</v>
      </c>
      <c r="D1820" s="481" t="s">
        <v>299</v>
      </c>
      <c r="E1820" s="482">
        <v>100.95</v>
      </c>
      <c r="F1820" s="483" t="s">
        <v>292</v>
      </c>
      <c r="G1820" s="484">
        <v>0</v>
      </c>
      <c r="H1820" s="688" t="str">
        <f>IF(G1820=0,"",IF(F1820="Buy",IF(G1820=1,"plant","plants"),IF(F1820&gt;0.01,"warranty","Error")))</f>
        <v/>
      </c>
      <c r="I1820" s="485">
        <f>IF(H1820="free",0,IF(H1820="credit",((E1820*(F1820))*G1820*-1),IF(F1820="Buy",(E1820*G1820),((E1820*(1-F1820))*G1820))))</f>
        <v>0</v>
      </c>
      <c r="J1820" s="485">
        <f>IF(H1820="warranty",0,(I1820*(_xlfn.SINGLE(SalesTaxPercentage))))</f>
        <v>0</v>
      </c>
      <c r="K1820" s="715">
        <f t="shared" ref="K1820" si="1311">I1820+J1820</f>
        <v>0</v>
      </c>
      <c r="L1820" s="715"/>
      <c r="M1820" s="689" t="str">
        <f ca="1">IF(AND(G1820&gt;0,E1820=0),"WARNING - no PRICE inserted",IF(H1820="free","FREE ~ no charge this plant",IF(H1820="credit",CONCATENATE("-$",ROUND(K1820*(1-_xlfn.SINGLE(T2GDiscount))*-1,2)," CREDIT after discount"),IF(_xlfn.SINGLE(T2GDiscount)=0,"",IF(G1820=0,"",IF(F1820="Buy",CONCATENATE("$",ROUND(K1820*(1-_xlfn.SINGLE(T2GDiscount)),2)," with ",(_xlfn.SINGLE(T2GDiscount)*100),"% discount"),CONCATENATE("$",ROUND(K1820*(1-_xlfn.SINGLE(T2GDiscount)),2)," with ",((_xlfn.SINGLE(T2GDiscount)*100+F1820*100)-(_xlfn.SINGLE(T2GDiscount)*100*F1820)),IF(F1820&gt;0,"% discounts",IF(_xlfn.SINGLE(NoWarrantyDiscount)&gt;0,"% discounts","% discount")))))))))</f>
        <v/>
      </c>
      <c r="N1820" s="690"/>
      <c r="O1820" s="486"/>
      <c r="P1820" s="486"/>
      <c r="Q1820" s="486"/>
      <c r="R1820" s="486"/>
      <c r="S1820" s="486"/>
      <c r="T1820" s="102">
        <f t="shared" si="1295"/>
        <v>0</v>
      </c>
      <c r="U1820" s="78">
        <f>IF(NOT(ISNUMBER(G1820)), "", VLOOKUP(A1820,'Discount Lookup'!D:E,2,FALSE)*G1820)</f>
        <v>0</v>
      </c>
      <c r="V1820" s="78">
        <f>IF(NOT(ISNUMBER(G1820)), "", VLOOKUP(A1820,'Discount Lookup'!G:H,2,FALSE)*G1820)</f>
        <v>0</v>
      </c>
      <c r="W1820" s="102">
        <f t="shared" si="1296"/>
        <v>0</v>
      </c>
      <c r="X1820" s="102">
        <f t="shared" si="1297"/>
        <v>0</v>
      </c>
      <c r="Y1820" s="120" t="b">
        <f t="shared" si="1298"/>
        <v>0</v>
      </c>
      <c r="Z1820" s="117">
        <f t="shared" si="1299"/>
        <v>0</v>
      </c>
      <c r="AA1820" s="118"/>
      <c r="AB1820" s="118" t="str">
        <f t="shared" si="1300"/>
        <v/>
      </c>
      <c r="AC1820" s="712" t="str">
        <f>IF(AE1820="T2G","no charge",IF(AND(OR(PlanterYesMe="No",PlanterYesMe="N",PlanterYesMe="me"),H1820=""),"",IF(H1820="credit","NO install",IF(AND(K1820="",AE1820="me"),"EACH row",IF(AND(K1820="images",AE1820="me"),"EACH row",IF(D1820="","",IF(H1820="credit","",IF(AE1820="free","re-planting",IF(AE1820="me","   not ELP, by",IF(AND(OR(PlanterYesMe="Yes",PlanterYesMe="Y"),G1820&gt;0),(VLOOKUP(A1820,'Discount Lookup'!J:K,2)*G1820*(1-PlanterDiscount)*(1+PlanterDifficultyPercentage)),IF(AE1820="ELP",(VLOOKUP(A1820,'Discount Lookup'!J:K,2)*G1820*(1-PlanterDiscount)*(1+PlanterDifficultyPercentage)),IF(AE1820="free","re-planting",IF(G1820=0,"",IF(PlanterYesMe="",IF(AE1820="me","   not ELP, by",IF(AE1820="",IF(G1820&gt;0,(VLOOKUP(A1820,'Discount Lookup'!J:K,2)*G1820*(1-PlanterDiscount)*(1+PlanterDifficultyPercentage)),""),"")),"   not ELP, by"))))))))))))))</f>
        <v/>
      </c>
      <c r="AD1820" s="712"/>
      <c r="AE1820" s="513" t="str">
        <f t="shared" si="1301"/>
        <v/>
      </c>
      <c r="AF1820" s="713" t="str">
        <f t="shared" si="1302"/>
        <v/>
      </c>
      <c r="AG1820" s="713"/>
      <c r="AH1820" s="713"/>
      <c r="AI1820" s="112">
        <f>IF(H1820="credit",0,IF(AE1820="free",0,IF(AE1820="me",0,IF(G1820&gt;0,(VLOOKUP(A1820,'Discount Lookup'!J:K,2)*G1820),0))))</f>
        <v>0</v>
      </c>
      <c r="AJ1820" s="107" t="str">
        <f t="shared" ca="1" si="1303"/>
        <v/>
      </c>
      <c r="AK1820" s="714" t="str">
        <f t="shared" si="1304"/>
        <v/>
      </c>
      <c r="AL1820" s="714"/>
      <c r="AM1820" s="114" t="str">
        <f t="shared" si="1305"/>
        <v/>
      </c>
      <c r="AN1820" s="115"/>
      <c r="AO1820" s="116"/>
      <c r="AP1820" s="116"/>
      <c r="AQ1820" s="116"/>
      <c r="AR1820" s="116"/>
      <c r="AS1820" s="116"/>
      <c r="AT1820" s="116"/>
      <c r="AU1820" s="116"/>
      <c r="AV1820" s="78"/>
      <c r="AW1820" s="102"/>
      <c r="AX1820" s="78"/>
      <c r="AY1820" s="78"/>
      <c r="AZ1820" s="78"/>
      <c r="BA1820" s="78"/>
      <c r="BB1820" s="78"/>
      <c r="BC1820" s="78"/>
      <c r="BD1820" s="78"/>
      <c r="BE1820" s="465"/>
      <c r="BF1820" s="165" t="str">
        <f t="shared" si="1306"/>
        <v>https://www.google.com/search?tbm=isch&amp;q=7%20G4</v>
      </c>
      <c r="BG1820" s="165" t="str">
        <f t="shared" si="1307"/>
        <v>H</v>
      </c>
      <c r="BH1820" s="65"/>
      <c r="BI1820" s="65"/>
      <c r="BJ1820" s="65"/>
      <c r="BK1820" s="65"/>
      <c r="BL1820" s="99"/>
      <c r="BM1820" s="99"/>
      <c r="BN1820" s="99"/>
    </row>
    <row r="1821" spans="1:66" s="51" customFormat="1" ht="17.25" thickBot="1" x14ac:dyDescent="0.3">
      <c r="A1821" s="508" t="s">
        <v>494</v>
      </c>
      <c r="B1821" s="487"/>
      <c r="C1821" s="707"/>
      <c r="D1821" s="487"/>
      <c r="E1821" s="487"/>
      <c r="F1821" s="488"/>
      <c r="G1821" s="489"/>
      <c r="H1821" s="487"/>
      <c r="I1821" s="490"/>
      <c r="J1821" s="490"/>
      <c r="K1821" s="491"/>
      <c r="L1821" s="547"/>
      <c r="M1821" s="528"/>
      <c r="N1821" s="492"/>
      <c r="O1821" s="493"/>
      <c r="P1821" s="494"/>
      <c r="Q1821" s="492"/>
      <c r="R1821" s="492"/>
      <c r="S1821" s="699" t="s">
        <v>5268</v>
      </c>
      <c r="T1821" s="102">
        <f t="shared" si="1295"/>
        <v>0</v>
      </c>
      <c r="U1821" s="78" t="str">
        <f>IF(NOT(ISNUMBER(G1821)), "", VLOOKUP(A1821,'Discount Lookup'!D:E,2,FALSE)*G1821)</f>
        <v/>
      </c>
      <c r="V1821" s="78" t="str">
        <f>IF(NOT(ISNUMBER(G1821)), "", VLOOKUP(A1821,'Discount Lookup'!G:H,2,FALSE)*G1821)</f>
        <v/>
      </c>
      <c r="W1821" s="102">
        <f t="shared" si="1296"/>
        <v>0</v>
      </c>
      <c r="X1821" s="102">
        <f t="shared" si="1297"/>
        <v>0</v>
      </c>
      <c r="Y1821" s="120" t="b">
        <f t="shared" si="1298"/>
        <v>0</v>
      </c>
      <c r="Z1821" s="117">
        <f t="shared" si="1299"/>
        <v>0</v>
      </c>
      <c r="AA1821" s="118"/>
      <c r="AB1821" s="118" t="str">
        <f t="shared" si="1300"/>
        <v/>
      </c>
      <c r="AC1821" s="712" t="str">
        <f>IF(AE1821="T2G","no charge",IF(AND(OR(PlanterYesMe="No",PlanterYesMe="N",PlanterYesMe="me"),H1821=""),"",IF(H1821="credit","NO install",IF(AND(K1821="",AE1821="me"),"EACH row",IF(AND(K1821="images",AE1821="me"),"EACH row",IF(D1821="","",IF(H1821="credit","",IF(AE1821="free","re-planting",IF(AE1821="me","   not ELP, by",IF(AND(OR(PlanterYesMe="Yes",PlanterYesMe="Y"),G1821&gt;0),(VLOOKUP(A1821,'Discount Lookup'!J:K,2)*G1821*(1-PlanterDiscount)*(1+PlanterDifficultyPercentage)),IF(AE1821="ELP",(VLOOKUP(A1821,'Discount Lookup'!J:K,2)*G1821*(1-PlanterDiscount)*(1+PlanterDifficultyPercentage)),IF(AE1821="free","re-planting",IF(G1821=0,"",IF(PlanterYesMe="",IF(AE1821="me","   not ELP, by",IF(AE1821="",IF(G1821&gt;0,(VLOOKUP(A1821,'Discount Lookup'!J:K,2)*G1821*(1-PlanterDiscount)*(1+PlanterDifficultyPercentage)),""),"")),"   not ELP, by"))))))))))))))</f>
        <v/>
      </c>
      <c r="AD1821" s="712"/>
      <c r="AE1821" s="513" t="str">
        <f t="shared" si="1301"/>
        <v/>
      </c>
      <c r="AF1821" s="713" t="str">
        <f t="shared" si="1302"/>
        <v/>
      </c>
      <c r="AG1821" s="713"/>
      <c r="AH1821" s="713"/>
      <c r="AI1821" s="112">
        <f>IF(H1821="credit",0,IF(AE1821="free",0,IF(AE1821="me",0,IF(G1821&gt;0,(VLOOKUP(A1821,'Discount Lookup'!J:K,2)*G1821),0))))</f>
        <v>0</v>
      </c>
      <c r="AJ1821" s="107" t="str">
        <f t="shared" ca="1" si="1303"/>
        <v/>
      </c>
      <c r="AK1821" s="714" t="str">
        <f t="shared" si="1304"/>
        <v/>
      </c>
      <c r="AL1821" s="714"/>
      <c r="AM1821" s="114" t="str">
        <f t="shared" si="1305"/>
        <v/>
      </c>
      <c r="AN1821" s="115"/>
      <c r="AO1821" s="116"/>
      <c r="AP1821" s="116"/>
      <c r="AQ1821" s="116"/>
      <c r="AR1821" s="116"/>
      <c r="AS1821" s="116"/>
      <c r="AT1821" s="116"/>
      <c r="AU1821" s="116"/>
      <c r="AV1821" s="78"/>
      <c r="AW1821" s="102"/>
      <c r="AX1821" s="78"/>
      <c r="AY1821" s="78"/>
      <c r="AZ1821" s="78"/>
      <c r="BA1821" s="78"/>
      <c r="BB1821" s="78"/>
      <c r="BC1821" s="78"/>
      <c r="BD1821" s="78"/>
      <c r="BE1821" s="465"/>
      <c r="BF1821" s="165" t="str">
        <f t="shared" si="1306"/>
        <v>https://www.google.com/search?tbm=isch&amp;q=Quick%20Frost%20grows%20fast%2C%20is%20good%20for%20dry%20sites%2C%20and%20it%27s%20foliage%20is%20fragrant%20when%20crushed%20</v>
      </c>
      <c r="BG1821" s="165" t="str">
        <f t="shared" si="1307"/>
        <v>Q</v>
      </c>
      <c r="BH1821" s="65"/>
      <c r="BI1821" s="65"/>
      <c r="BJ1821" s="65"/>
      <c r="BK1821" s="65"/>
      <c r="BL1821" s="99"/>
      <c r="BM1821" s="99"/>
      <c r="BN1821" s="99"/>
    </row>
    <row r="1822" spans="1:66" s="51" customFormat="1" ht="18" x14ac:dyDescent="0.25">
      <c r="A1822" s="507" t="s">
        <v>495</v>
      </c>
      <c r="B1822" s="470"/>
      <c r="C1822" s="706"/>
      <c r="D1822" s="471" t="s">
        <v>496</v>
      </c>
      <c r="E1822" s="472"/>
      <c r="F1822" s="472"/>
      <c r="G1822" s="472"/>
      <c r="H1822" s="622" t="s">
        <v>480</v>
      </c>
      <c r="I1822" s="473" t="s">
        <v>489</v>
      </c>
      <c r="J1822" s="472"/>
      <c r="K1822" s="472"/>
      <c r="L1822" s="561"/>
      <c r="M1822" s="698" t="s">
        <v>5240</v>
      </c>
      <c r="N1822" s="692" t="str">
        <f>IF(AND(ISTEXT($A1822), ISERROR($A1822+0)), HYPERLINK($BF1822, "Images"), "")</f>
        <v>Images</v>
      </c>
      <c r="O1822" s="694" t="s">
        <v>5247</v>
      </c>
      <c r="P1822" s="475"/>
      <c r="Q1822" s="476"/>
      <c r="R1822" s="476"/>
      <c r="S1822" s="477"/>
      <c r="T1822" s="102">
        <f t="shared" si="1295"/>
        <v>0</v>
      </c>
      <c r="U1822" s="78" t="str">
        <f>IF(NOT(ISNUMBER(G1822)), "", VLOOKUP(A1822,'Discount Lookup'!D:E,2,FALSE)*G1822)</f>
        <v/>
      </c>
      <c r="V1822" s="78" t="str">
        <f>IF(NOT(ISNUMBER(G1822)), "", VLOOKUP(A1822,'Discount Lookup'!G:H,2,FALSE)*G1822)</f>
        <v/>
      </c>
      <c r="W1822" s="102">
        <f t="shared" si="1296"/>
        <v>0</v>
      </c>
      <c r="X1822" s="102" t="str">
        <f t="shared" si="1297"/>
        <v>Silvery Blue foliage</v>
      </c>
      <c r="Y1822" s="120" t="b">
        <f t="shared" si="1298"/>
        <v>0</v>
      </c>
      <c r="Z1822" s="117">
        <f t="shared" si="1299"/>
        <v>0</v>
      </c>
      <c r="AA1822" s="118"/>
      <c r="AB1822" s="118" t="str">
        <f t="shared" si="1300"/>
        <v/>
      </c>
      <c r="AC1822" s="712" t="str">
        <f>IF(AE1822="T2G","no charge",IF(AND(OR(PlanterYesMe="No",PlanterYesMe="N",PlanterYesMe="me"),H1822=""),"",IF(H1822="credit","NO install",IF(AND(K1822="",AE1822="me"),"EACH row",IF(AND(K1822="images",AE1822="me"),"EACH row",IF(D1822="","",IF(H1822="credit","",IF(AE1822="free","re-planting",IF(AE1822="me","   not ELP, by",IF(AND(OR(PlanterYesMe="Yes",PlanterYesMe="Y"),G1822&gt;0),(VLOOKUP(A1822,'Discount Lookup'!J:K,2)*G1822*(1-PlanterDiscount)*(1+PlanterDifficultyPercentage)),IF(AE1822="ELP",(VLOOKUP(A1822,'Discount Lookup'!J:K,2)*G1822*(1-PlanterDiscount)*(1+PlanterDifficultyPercentage)),IF(AE1822="free","re-planting",IF(G1822=0,"",IF(PlanterYesMe="",IF(AE1822="me","   not ELP, by",IF(AE1822="",IF(G1822&gt;0,(VLOOKUP(A1822,'Discount Lookup'!J:K,2)*G1822*(1-PlanterDiscount)*(1+PlanterDifficultyPercentage)),""),"")),"   not ELP, by"))))))))))))))</f>
        <v/>
      </c>
      <c r="AD1822" s="712"/>
      <c r="AE1822" s="513" t="str">
        <f t="shared" si="1301"/>
        <v/>
      </c>
      <c r="AF1822" s="713" t="str">
        <f t="shared" si="1302"/>
        <v/>
      </c>
      <c r="AG1822" s="713"/>
      <c r="AH1822" s="713"/>
      <c r="AI1822" s="112">
        <f>IF(H1822="credit",0,IF(AE1822="free",0,IF(AE1822="me",0,IF(G1822&gt;0,(VLOOKUP(A1822,'Discount Lookup'!J:K,2)*G1822),0))))</f>
        <v>0</v>
      </c>
      <c r="AJ1822" s="107" t="str">
        <f t="shared" ca="1" si="1303"/>
        <v/>
      </c>
      <c r="AK1822" s="714" t="str">
        <f t="shared" si="1304"/>
        <v/>
      </c>
      <c r="AL1822" s="714"/>
      <c r="AM1822" s="114" t="str">
        <f t="shared" si="1305"/>
        <v/>
      </c>
      <c r="AN1822" s="115"/>
      <c r="AO1822" s="116"/>
      <c r="AP1822" s="116"/>
      <c r="AQ1822" s="116"/>
      <c r="AR1822" s="116"/>
      <c r="AS1822" s="116"/>
      <c r="AT1822" s="116"/>
      <c r="AU1822" s="116"/>
      <c r="AV1822" s="78"/>
      <c r="AW1822" s="102"/>
      <c r="AX1822" s="78"/>
      <c r="AY1822" s="78"/>
      <c r="AZ1822" s="78"/>
      <c r="BA1822" s="78"/>
      <c r="BB1822" s="78"/>
      <c r="BC1822" s="78"/>
      <c r="BD1822" s="78"/>
      <c r="BE1822" s="465"/>
      <c r="BF1822" s="165" t="str">
        <f t="shared" si="1306"/>
        <v>https://www.google.com/search?tbm=isch&amp;q=Hesperocyparis%20glabra%20%27Blue%20Ice%27%20Blue%20Ice%20Arizona%20Cypress</v>
      </c>
      <c r="BG1822" s="165" t="str">
        <f t="shared" si="1307"/>
        <v>H</v>
      </c>
      <c r="BH1822" s="65"/>
      <c r="BI1822" s="65"/>
      <c r="BJ1822" s="65"/>
      <c r="BK1822" s="65"/>
      <c r="BL1822" s="99"/>
      <c r="BM1822" s="99"/>
      <c r="BN1822" s="99"/>
    </row>
    <row r="1823" spans="1:66" s="51" customFormat="1" ht="15.75" x14ac:dyDescent="0.25">
      <c r="A1823" s="478">
        <v>3</v>
      </c>
      <c r="B1823" s="479" t="s">
        <v>291</v>
      </c>
      <c r="C1823" s="480" t="s">
        <v>497</v>
      </c>
      <c r="D1823" s="481" t="s">
        <v>311</v>
      </c>
      <c r="E1823" s="482">
        <v>33.950000000000003</v>
      </c>
      <c r="F1823" s="483" t="s">
        <v>292</v>
      </c>
      <c r="G1823" s="484">
        <v>0</v>
      </c>
      <c r="H1823" s="688" t="str">
        <f>IF(G1823=0,"",IF(F1823="Buy",IF(G1823=1,"plant","plants"),IF(F1823&gt;0.01,"warranty","Error")))</f>
        <v/>
      </c>
      <c r="I1823" s="485">
        <f>IF(H1823="free",0,IF(H1823="credit",((E1823*(F1823))*G1823*-1),IF(F1823="Buy",(E1823*G1823),((E1823*(1-F1823))*G1823))))</f>
        <v>0</v>
      </c>
      <c r="J1823" s="485">
        <f>IF(H1823="warranty",0,(I1823*(_xlfn.SINGLE(SalesTaxPercentage))))</f>
        <v>0</v>
      </c>
      <c r="K1823" s="715">
        <f t="shared" ref="K1823" si="1312">I1823+J1823</f>
        <v>0</v>
      </c>
      <c r="L1823" s="715"/>
      <c r="M1823" s="689" t="str">
        <f ca="1">IF(AND(G1823&gt;0,E1823=0),"WARNING - no PRICE inserted",IF(H1823="free","FREE ~ no charge this plant",IF(H1823="credit",CONCATENATE("-$",ROUND(K1823*(1-_xlfn.SINGLE(T2GDiscount))*-1,2)," CREDIT after discount"),IF(_xlfn.SINGLE(T2GDiscount)=0,"",IF(G1823=0,"",IF(F1823="Buy",CONCATENATE("$",ROUND(K1823*(1-_xlfn.SINGLE(T2GDiscount)),2)," with ",(_xlfn.SINGLE(T2GDiscount)*100),"% discount"),CONCATENATE("$",ROUND(K1823*(1-_xlfn.SINGLE(T2GDiscount)),2)," with ",((_xlfn.SINGLE(T2GDiscount)*100+F1823*100)-(_xlfn.SINGLE(T2GDiscount)*100*F1823)),IF(F1823&gt;0,"% discounts",IF(_xlfn.SINGLE(NoWarrantyDiscount)&gt;0,"% discounts","% discount")))))))))</f>
        <v/>
      </c>
      <c r="N1823" s="690"/>
      <c r="O1823" s="486"/>
      <c r="P1823" s="486"/>
      <c r="Q1823" s="486"/>
      <c r="R1823" s="486"/>
      <c r="S1823" s="486"/>
      <c r="T1823" s="102">
        <f t="shared" si="1295"/>
        <v>0</v>
      </c>
      <c r="U1823" s="78">
        <f>IF(NOT(ISNUMBER(G1823)), "", VLOOKUP(A1823,'Discount Lookup'!D:E,2,FALSE)*G1823)</f>
        <v>0</v>
      </c>
      <c r="V1823" s="78">
        <f>IF(NOT(ISNUMBER(G1823)), "", VLOOKUP(A1823,'Discount Lookup'!G:H,2,FALSE)*G1823)</f>
        <v>0</v>
      </c>
      <c r="W1823" s="102">
        <f t="shared" si="1296"/>
        <v>0</v>
      </c>
      <c r="X1823" s="102">
        <f t="shared" si="1297"/>
        <v>0</v>
      </c>
      <c r="Y1823" s="120" t="b">
        <f t="shared" si="1298"/>
        <v>0</v>
      </c>
      <c r="Z1823" s="117">
        <f t="shared" si="1299"/>
        <v>0</v>
      </c>
      <c r="AA1823" s="118"/>
      <c r="AB1823" s="118" t="str">
        <f t="shared" si="1300"/>
        <v/>
      </c>
      <c r="AC1823" s="712" t="str">
        <f>IF(AE1823="T2G","no charge",IF(AND(OR(PlanterYesMe="No",PlanterYesMe="N",PlanterYesMe="me"),H1823=""),"",IF(H1823="credit","NO install",IF(AND(K1823="",AE1823="me"),"EACH row",IF(AND(K1823="images",AE1823="me"),"EACH row",IF(D1823="","",IF(H1823="credit","",IF(AE1823="free","re-planting",IF(AE1823="me","   not ELP, by",IF(AND(OR(PlanterYesMe="Yes",PlanterYesMe="Y"),G1823&gt;0),(VLOOKUP(A1823,'Discount Lookup'!J:K,2)*G1823*(1-PlanterDiscount)*(1+PlanterDifficultyPercentage)),IF(AE1823="ELP",(VLOOKUP(A1823,'Discount Lookup'!J:K,2)*G1823*(1-PlanterDiscount)*(1+PlanterDifficultyPercentage)),IF(AE1823="free","re-planting",IF(G1823=0,"",IF(PlanterYesMe="",IF(AE1823="me","   not ELP, by",IF(AE1823="",IF(G1823&gt;0,(VLOOKUP(A1823,'Discount Lookup'!J:K,2)*G1823*(1-PlanterDiscount)*(1+PlanterDifficultyPercentage)),""),"")),"   not ELP, by"))))))))))))))</f>
        <v/>
      </c>
      <c r="AD1823" s="712"/>
      <c r="AE1823" s="513" t="str">
        <f t="shared" si="1301"/>
        <v/>
      </c>
      <c r="AF1823" s="713" t="str">
        <f t="shared" si="1302"/>
        <v/>
      </c>
      <c r="AG1823" s="713"/>
      <c r="AH1823" s="713"/>
      <c r="AI1823" s="112">
        <f>IF(H1823="credit",0,IF(AE1823="free",0,IF(AE1823="me",0,IF(G1823&gt;0,(VLOOKUP(A1823,'Discount Lookup'!J:K,2)*G1823),0))))</f>
        <v>0</v>
      </c>
      <c r="AJ1823" s="107" t="str">
        <f t="shared" ca="1" si="1303"/>
        <v/>
      </c>
      <c r="AK1823" s="714" t="str">
        <f t="shared" si="1304"/>
        <v/>
      </c>
      <c r="AL1823" s="714"/>
      <c r="AM1823" s="114" t="str">
        <f t="shared" si="1305"/>
        <v/>
      </c>
      <c r="AN1823" s="115"/>
      <c r="AO1823" s="116"/>
      <c r="AP1823" s="116"/>
      <c r="AQ1823" s="116"/>
      <c r="AR1823" s="116"/>
      <c r="AS1823" s="116"/>
      <c r="AT1823" s="116"/>
      <c r="AU1823" s="116"/>
      <c r="AV1823" s="78"/>
      <c r="AW1823" s="102"/>
      <c r="AX1823" s="78"/>
      <c r="AY1823" s="78"/>
      <c r="AZ1823" s="78"/>
      <c r="BA1823" s="78"/>
      <c r="BB1823" s="78"/>
      <c r="BC1823" s="78"/>
      <c r="BD1823" s="78"/>
      <c r="BE1823" s="465"/>
      <c r="BF1823" s="165" t="str">
        <f t="shared" si="1306"/>
        <v>https://www.google.com/search?tbm=isch&amp;q=3%20G5</v>
      </c>
      <c r="BG1823" s="165" t="str">
        <f t="shared" si="1307"/>
        <v>H</v>
      </c>
      <c r="BH1823" s="65"/>
      <c r="BI1823" s="65"/>
      <c r="BJ1823" s="65"/>
      <c r="BK1823" s="65"/>
      <c r="BL1823" s="99"/>
      <c r="BM1823" s="99"/>
      <c r="BN1823" s="99"/>
    </row>
    <row r="1824" spans="1:66" s="51" customFormat="1" ht="15.75" x14ac:dyDescent="0.25">
      <c r="A1824" s="478">
        <v>15</v>
      </c>
      <c r="B1824" s="479" t="s">
        <v>291</v>
      </c>
      <c r="C1824" s="480" t="s">
        <v>842</v>
      </c>
      <c r="D1824" s="481" t="s">
        <v>311</v>
      </c>
      <c r="E1824" s="482">
        <v>160.94999999999999</v>
      </c>
      <c r="F1824" s="483" t="s">
        <v>292</v>
      </c>
      <c r="G1824" s="484">
        <v>0</v>
      </c>
      <c r="H1824" s="688" t="str">
        <f>IF(G1824=0,"",IF(F1824="Buy",IF(G1824=1,"plant","plants"),IF(F1824&gt;0.01,"warranty","Error")))</f>
        <v/>
      </c>
      <c r="I1824" s="485">
        <f>IF(H1824="free",0,IF(H1824="credit",((E1824*(F1824))*G1824*-1),IF(F1824="Buy",(E1824*G1824),((E1824*(1-F1824))*G1824))))</f>
        <v>0</v>
      </c>
      <c r="J1824" s="485">
        <f>IF(H1824="warranty",0,(I1824*(_xlfn.SINGLE(SalesTaxPercentage))))</f>
        <v>0</v>
      </c>
      <c r="K1824" s="715">
        <f t="shared" ref="K1824" si="1313">I1824+J1824</f>
        <v>0</v>
      </c>
      <c r="L1824" s="715"/>
      <c r="M1824" s="689" t="str">
        <f ca="1">IF(AND(G1824&gt;0,E1824=0),"WARNING - no PRICE inserted",IF(H1824="free","FREE ~ no charge this plant",IF(H1824="credit",CONCATENATE("-$",ROUND(K1824*(1-_xlfn.SINGLE(T2GDiscount))*-1,2)," CREDIT after discount"),IF(_xlfn.SINGLE(T2GDiscount)=0,"",IF(G1824=0,"",IF(F1824="Buy",CONCATENATE("$",ROUND(K1824*(1-_xlfn.SINGLE(T2GDiscount)),2)," with ",(_xlfn.SINGLE(T2GDiscount)*100),"% discount"),CONCATENATE("$",ROUND(K1824*(1-_xlfn.SINGLE(T2GDiscount)),2)," with ",((_xlfn.SINGLE(T2GDiscount)*100+F1824*100)-(_xlfn.SINGLE(T2GDiscount)*100*F1824)),IF(F1824&gt;0,"% discounts",IF(_xlfn.SINGLE(NoWarrantyDiscount)&gt;0,"% discounts","% discount")))))))))</f>
        <v/>
      </c>
      <c r="N1824" s="690"/>
      <c r="O1824" s="486"/>
      <c r="P1824" s="486"/>
      <c r="Q1824" s="486"/>
      <c r="R1824" s="486"/>
      <c r="S1824" s="486"/>
      <c r="T1824" s="102">
        <f t="shared" si="1295"/>
        <v>0</v>
      </c>
      <c r="U1824" s="78">
        <f>IF(NOT(ISNUMBER(G1824)), "", VLOOKUP(A1824,'Discount Lookup'!D:E,2,FALSE)*G1824)</f>
        <v>0</v>
      </c>
      <c r="V1824" s="78">
        <f>IF(NOT(ISNUMBER(G1824)), "", VLOOKUP(A1824,'Discount Lookup'!G:H,2,FALSE)*G1824)</f>
        <v>0</v>
      </c>
      <c r="W1824" s="102">
        <f t="shared" si="1296"/>
        <v>0</v>
      </c>
      <c r="X1824" s="102">
        <f t="shared" si="1297"/>
        <v>0</v>
      </c>
      <c r="Y1824" s="120" t="b">
        <f t="shared" si="1298"/>
        <v>0</v>
      </c>
      <c r="Z1824" s="117">
        <f t="shared" si="1299"/>
        <v>0</v>
      </c>
      <c r="AA1824" s="118"/>
      <c r="AB1824" s="118" t="str">
        <f t="shared" si="1300"/>
        <v/>
      </c>
      <c r="AC1824" s="712" t="str">
        <f>IF(AE1824="T2G","no charge",IF(AND(OR(PlanterYesMe="No",PlanterYesMe="N",PlanterYesMe="me"),H1824=""),"",IF(H1824="credit","NO install",IF(AND(K1824="",AE1824="me"),"EACH row",IF(AND(K1824="images",AE1824="me"),"EACH row",IF(D1824="","",IF(H1824="credit","",IF(AE1824="free","re-planting",IF(AE1824="me","   not ELP, by",IF(AND(OR(PlanterYesMe="Yes",PlanterYesMe="Y"),G1824&gt;0),(VLOOKUP(A1824,'Discount Lookup'!J:K,2)*G1824*(1-PlanterDiscount)*(1+PlanterDifficultyPercentage)),IF(AE1824="ELP",(VLOOKUP(A1824,'Discount Lookup'!J:K,2)*G1824*(1-PlanterDiscount)*(1+PlanterDifficultyPercentage)),IF(AE1824="free","re-planting",IF(G1824=0,"",IF(PlanterYesMe="",IF(AE1824="me","   not ELP, by",IF(AE1824="",IF(G1824&gt;0,(VLOOKUP(A1824,'Discount Lookup'!J:K,2)*G1824*(1-PlanterDiscount)*(1+PlanterDifficultyPercentage)),""),"")),"   not ELP, by"))))))))))))))</f>
        <v/>
      </c>
      <c r="AD1824" s="712"/>
      <c r="AE1824" s="513" t="str">
        <f t="shared" si="1301"/>
        <v/>
      </c>
      <c r="AF1824" s="713" t="str">
        <f t="shared" si="1302"/>
        <v/>
      </c>
      <c r="AG1824" s="713"/>
      <c r="AH1824" s="713"/>
      <c r="AI1824" s="112">
        <f>IF(H1824="credit",0,IF(AE1824="free",0,IF(AE1824="me",0,IF(G1824&gt;0,(VLOOKUP(A1824,'Discount Lookup'!J:K,2)*G1824),0))))</f>
        <v>0</v>
      </c>
      <c r="AJ1824" s="107" t="str">
        <f t="shared" ca="1" si="1303"/>
        <v/>
      </c>
      <c r="AK1824" s="714" t="str">
        <f t="shared" si="1304"/>
        <v/>
      </c>
      <c r="AL1824" s="714"/>
      <c r="AM1824" s="114" t="str">
        <f t="shared" si="1305"/>
        <v/>
      </c>
      <c r="AN1824" s="115"/>
      <c r="AO1824" s="116"/>
      <c r="AP1824" s="116"/>
      <c r="AQ1824" s="116"/>
      <c r="AR1824" s="116"/>
      <c r="AS1824" s="116"/>
      <c r="AT1824" s="116"/>
      <c r="AU1824" s="116"/>
      <c r="AV1824" s="78"/>
      <c r="AW1824" s="102"/>
      <c r="AX1824" s="78"/>
      <c r="AY1824" s="78"/>
      <c r="AZ1824" s="78"/>
      <c r="BA1824" s="78"/>
      <c r="BB1824" s="78"/>
      <c r="BC1824" s="78"/>
      <c r="BD1824" s="78"/>
      <c r="BE1824" s="465"/>
      <c r="BF1824" s="165" t="str">
        <f t="shared" si="1306"/>
        <v>https://www.google.com/search?tbm=isch&amp;q=15%20G5</v>
      </c>
      <c r="BG1824" s="165" t="str">
        <f t="shared" si="1307"/>
        <v>H</v>
      </c>
      <c r="BH1824" s="65"/>
      <c r="BI1824" s="65"/>
      <c r="BJ1824" s="65"/>
      <c r="BK1824" s="65"/>
      <c r="BL1824" s="99"/>
      <c r="BM1824" s="99"/>
      <c r="BN1824" s="99"/>
    </row>
    <row r="1825" spans="1:66" s="51" customFormat="1" ht="16.5" x14ac:dyDescent="0.25">
      <c r="A1825" s="508" t="s">
        <v>498</v>
      </c>
      <c r="B1825" s="487"/>
      <c r="C1825" s="707"/>
      <c r="D1825" s="487"/>
      <c r="E1825" s="487"/>
      <c r="F1825" s="488"/>
      <c r="G1825" s="489"/>
      <c r="H1825" s="487"/>
      <c r="I1825" s="490"/>
      <c r="J1825" s="490"/>
      <c r="K1825" s="491"/>
      <c r="L1825" s="547"/>
      <c r="M1825" s="528"/>
      <c r="N1825" s="492"/>
      <c r="O1825" s="493"/>
      <c r="P1825" s="494"/>
      <c r="Q1825" s="492"/>
      <c r="R1825" s="492"/>
      <c r="S1825" s="699" t="s">
        <v>5268</v>
      </c>
      <c r="T1825" s="102">
        <f t="shared" si="1295"/>
        <v>0</v>
      </c>
      <c r="U1825" s="78" t="str">
        <f>IF(NOT(ISNUMBER(G1825)), "", VLOOKUP(A1825,'Discount Lookup'!D:E,2,FALSE)*G1825)</f>
        <v/>
      </c>
      <c r="V1825" s="78" t="str">
        <f>IF(NOT(ISNUMBER(G1825)), "", VLOOKUP(A1825,'Discount Lookup'!G:H,2,FALSE)*G1825)</f>
        <v/>
      </c>
      <c r="W1825" s="102">
        <f t="shared" si="1296"/>
        <v>0</v>
      </c>
      <c r="X1825" s="102">
        <f t="shared" si="1297"/>
        <v>0</v>
      </c>
      <c r="Y1825" s="120" t="b">
        <f t="shared" si="1298"/>
        <v>0</v>
      </c>
      <c r="Z1825" s="117">
        <f t="shared" si="1299"/>
        <v>0</v>
      </c>
      <c r="AA1825" s="118"/>
      <c r="AB1825" s="118" t="str">
        <f t="shared" si="1300"/>
        <v/>
      </c>
      <c r="AC1825" s="712" t="str">
        <f>IF(AE1825="T2G","no charge",IF(AND(OR(PlanterYesMe="No",PlanterYesMe="N",PlanterYesMe="me"),H1825=""),"",IF(H1825="credit","NO install",IF(AND(K1825="",AE1825="me"),"EACH row",IF(AND(K1825="images",AE1825="me"),"EACH row",IF(D1825="","",IF(H1825="credit","",IF(AE1825="free","re-planting",IF(AE1825="me","   not ELP, by",IF(AND(OR(PlanterYesMe="Yes",PlanterYesMe="Y"),G1825&gt;0),(VLOOKUP(A1825,'Discount Lookup'!J:K,2)*G1825*(1-PlanterDiscount)*(1+PlanterDifficultyPercentage)),IF(AE1825="ELP",(VLOOKUP(A1825,'Discount Lookup'!J:K,2)*G1825*(1-PlanterDiscount)*(1+PlanterDifficultyPercentage)),IF(AE1825="free","re-planting",IF(G1825=0,"",IF(PlanterYesMe="",IF(AE1825="me","   not ELP, by",IF(AE1825="",IF(G1825&gt;0,(VLOOKUP(A1825,'Discount Lookup'!J:K,2)*G1825*(1-PlanterDiscount)*(1+PlanterDifficultyPercentage)),""),"")),"   not ELP, by"))))))))))))))</f>
        <v/>
      </c>
      <c r="AD1825" s="712"/>
      <c r="AE1825" s="513" t="str">
        <f t="shared" si="1301"/>
        <v/>
      </c>
      <c r="AF1825" s="713" t="str">
        <f t="shared" si="1302"/>
        <v/>
      </c>
      <c r="AG1825" s="713"/>
      <c r="AH1825" s="713"/>
      <c r="AI1825" s="112">
        <f>IF(H1825="credit",0,IF(AE1825="free",0,IF(AE1825="me",0,IF(G1825&gt;0,(VLOOKUP(A1825,'Discount Lookup'!J:K,2)*G1825),0))))</f>
        <v>0</v>
      </c>
      <c r="AJ1825" s="107" t="str">
        <f t="shared" ca="1" si="1303"/>
        <v/>
      </c>
      <c r="AK1825" s="714" t="str">
        <f t="shared" si="1304"/>
        <v/>
      </c>
      <c r="AL1825" s="714"/>
      <c r="AM1825" s="114" t="str">
        <f t="shared" si="1305"/>
        <v/>
      </c>
      <c r="AN1825" s="115"/>
      <c r="AO1825" s="116"/>
      <c r="AP1825" s="116"/>
      <c r="AQ1825" s="116"/>
      <c r="AR1825" s="116"/>
      <c r="AS1825" s="116"/>
      <c r="AT1825" s="116"/>
      <c r="AU1825" s="116"/>
      <c r="AV1825" s="78"/>
      <c r="AW1825" s="102"/>
      <c r="AX1825" s="78"/>
      <c r="AY1825" s="78"/>
      <c r="AZ1825" s="78"/>
      <c r="BA1825" s="78"/>
      <c r="BB1825" s="78"/>
      <c r="BC1825" s="78"/>
      <c r="BD1825" s="78"/>
      <c r="BE1825" s="465"/>
      <c r="BF1825" s="165" t="str">
        <f t="shared" si="1306"/>
        <v>https://www.google.com/search?tbm=isch&amp;q=Blue%20Ice%20is%20a%20striking%2C%20upright%20evergreen%20celebrated%20for%20its%20brilliant%20powdery-blue%20foliage%20and%20beautiful%20exfoliating%20bark%20</v>
      </c>
      <c r="BG1825" s="165" t="str">
        <f t="shared" si="1307"/>
        <v>B</v>
      </c>
      <c r="BH1825" s="65"/>
      <c r="BI1825" s="65"/>
      <c r="BJ1825" s="65"/>
      <c r="BK1825" s="65"/>
      <c r="BL1825" s="99"/>
      <c r="BM1825" s="99"/>
      <c r="BN1825" s="99"/>
    </row>
    <row r="1826" spans="1:66" s="51" customFormat="1" ht="19.5" thickBot="1" x14ac:dyDescent="0.3">
      <c r="A1826" s="686" t="s">
        <v>499</v>
      </c>
      <c r="B1826" s="73"/>
      <c r="C1826" s="708"/>
      <c r="D1826" s="73"/>
      <c r="E1826" s="73"/>
      <c r="F1826" s="496"/>
      <c r="G1826" s="73"/>
      <c r="H1826" s="73"/>
      <c r="I1826" s="73"/>
      <c r="J1826" s="497" t="s">
        <v>357</v>
      </c>
      <c r="K1826" s="498"/>
      <c r="L1826" s="562"/>
      <c r="M1826" s="73"/>
      <c r="N1826"/>
      <c r="O1826"/>
      <c r="P1826"/>
      <c r="Q1826"/>
      <c r="R1826"/>
      <c r="S1826"/>
      <c r="T1826" s="102">
        <f t="shared" si="1295"/>
        <v>0</v>
      </c>
      <c r="U1826" s="78" t="str">
        <f>IF(NOT(ISNUMBER(G1826)), "", VLOOKUP(A1826,'Discount Lookup'!D:E,2,FALSE)*G1826)</f>
        <v/>
      </c>
      <c r="V1826" s="78" t="str">
        <f>IF(NOT(ISNUMBER(G1826)), "", VLOOKUP(A1826,'Discount Lookup'!G:H,2,FALSE)*G1826)</f>
        <v/>
      </c>
      <c r="W1826" s="102">
        <f t="shared" si="1296"/>
        <v>0</v>
      </c>
      <c r="X1826" s="102">
        <f t="shared" si="1297"/>
        <v>0</v>
      </c>
      <c r="Y1826" s="120" t="b">
        <f t="shared" si="1298"/>
        <v>0</v>
      </c>
      <c r="Z1826" s="117">
        <f t="shared" si="1299"/>
        <v>0</v>
      </c>
      <c r="AA1826" s="118"/>
      <c r="AB1826" s="118" t="str">
        <f t="shared" si="1300"/>
        <v/>
      </c>
      <c r="AC1826" s="712" t="str">
        <f>IF(AE1826="T2G","no charge",IF(AND(OR(PlanterYesMe="No",PlanterYesMe="N",PlanterYesMe="me"),H1826=""),"",IF(H1826="credit","NO install",IF(AND(K1826="",AE1826="me"),"EACH row",IF(AND(K1826="images",AE1826="me"),"EACH row",IF(D1826="","",IF(H1826="credit","",IF(AE1826="free","re-planting",IF(AE1826="me","   not ELP, by",IF(AND(OR(PlanterYesMe="Yes",PlanterYesMe="Y"),G1826&gt;0),(VLOOKUP(A1826,'Discount Lookup'!J:K,2)*G1826*(1-PlanterDiscount)*(1+PlanterDifficultyPercentage)),IF(AE1826="ELP",(VLOOKUP(A1826,'Discount Lookup'!J:K,2)*G1826*(1-PlanterDiscount)*(1+PlanterDifficultyPercentage)),IF(AE1826="free","re-planting",IF(G1826=0,"",IF(PlanterYesMe="",IF(AE1826="me","   not ELP, by",IF(AE1826="",IF(G1826&gt;0,(VLOOKUP(A1826,'Discount Lookup'!J:K,2)*G1826*(1-PlanterDiscount)*(1+PlanterDifficultyPercentage)),""),"")),"   not ELP, by"))))))))))))))</f>
        <v/>
      </c>
      <c r="AD1826" s="712"/>
      <c r="AE1826" s="513" t="str">
        <f t="shared" si="1301"/>
        <v/>
      </c>
      <c r="AF1826" s="713" t="str">
        <f t="shared" si="1302"/>
        <v/>
      </c>
      <c r="AG1826" s="713"/>
      <c r="AH1826" s="713"/>
      <c r="AI1826" s="112">
        <f>IF(H1826="credit",0,IF(AE1826="free",0,IF(AE1826="me",0,IF(G1826&gt;0,(VLOOKUP(A1826,'Discount Lookup'!J:K,2)*G1826),0))))</f>
        <v>0</v>
      </c>
      <c r="AJ1826" s="107" t="str">
        <f t="shared" ca="1" si="1303"/>
        <v/>
      </c>
      <c r="AK1826" s="714" t="str">
        <f t="shared" si="1304"/>
        <v/>
      </c>
      <c r="AL1826" s="714"/>
      <c r="AM1826" s="114" t="str">
        <f t="shared" si="1305"/>
        <v/>
      </c>
      <c r="AN1826" s="115"/>
      <c r="AO1826" s="116"/>
      <c r="AP1826" s="116"/>
      <c r="AQ1826" s="116"/>
      <c r="AR1826" s="116"/>
      <c r="AS1826" s="116"/>
      <c r="AT1826" s="116"/>
      <c r="AU1826" s="116"/>
      <c r="AV1826" s="78"/>
      <c r="AW1826" s="102"/>
      <c r="AX1826" s="78"/>
      <c r="AY1826" s="78"/>
      <c r="AZ1826" s="78"/>
      <c r="BA1826" s="78"/>
      <c r="BB1826" s="78"/>
      <c r="BC1826" s="78"/>
      <c r="BD1826" s="78"/>
      <c r="BE1826" s="465"/>
      <c r="BF1826" s="165" t="str">
        <f t="shared" si="1306"/>
        <v>https://www.google.com/search?tbm=isch&amp;q=Heucherella%20%3D%20Foamy%20Bells%20</v>
      </c>
      <c r="BG1826" s="165" t="str">
        <f t="shared" si="1307"/>
        <v>H</v>
      </c>
      <c r="BH1826" s="65"/>
      <c r="BI1826" s="65"/>
      <c r="BJ1826" s="65"/>
      <c r="BK1826" s="65"/>
      <c r="BL1826" s="99"/>
      <c r="BM1826" s="99"/>
      <c r="BN1826" s="99"/>
    </row>
    <row r="1827" spans="1:66" s="51" customFormat="1" ht="18" x14ac:dyDescent="0.25">
      <c r="A1827" s="507" t="s">
        <v>2684</v>
      </c>
      <c r="B1827" s="470"/>
      <c r="C1827" s="706"/>
      <c r="D1827" s="471" t="s">
        <v>2685</v>
      </c>
      <c r="E1827" s="472"/>
      <c r="F1827" s="472"/>
      <c r="G1827" s="472"/>
      <c r="H1827" s="622" t="s">
        <v>2686</v>
      </c>
      <c r="I1827" s="473" t="s">
        <v>2687</v>
      </c>
      <c r="J1827" s="472"/>
      <c r="K1827" s="472"/>
      <c r="L1827" s="561"/>
      <c r="M1827" s="703" t="s">
        <v>5260</v>
      </c>
      <c r="N1827" s="692" t="str">
        <f>IF(AND(ISTEXT($A1827), ISERROR($A1827+0)), HYPERLINK($BF1827, "Images"), "")</f>
        <v>Images</v>
      </c>
      <c r="O1827" s="694" t="s">
        <v>5247</v>
      </c>
      <c r="P1827" s="475"/>
      <c r="Q1827" s="476"/>
      <c r="R1827" s="476"/>
      <c r="S1827" s="477"/>
      <c r="T1827" s="102">
        <f t="shared" si="1295"/>
        <v>0</v>
      </c>
      <c r="U1827" s="78" t="str">
        <f>IF(NOT(ISNUMBER(G1827)), "", VLOOKUP(A1827,'Discount Lookup'!D:E,2,FALSE)*G1827)</f>
        <v/>
      </c>
      <c r="V1827" s="78" t="str">
        <f>IF(NOT(ISNUMBER(G1827)), "", VLOOKUP(A1827,'Discount Lookup'!G:H,2,FALSE)*G1827)</f>
        <v/>
      </c>
      <c r="W1827" s="102">
        <f t="shared" si="1296"/>
        <v>0</v>
      </c>
      <c r="X1827" s="102" t="str">
        <f t="shared" si="1297"/>
        <v>Caramel-Orange foliage</v>
      </c>
      <c r="Y1827" s="120" t="b">
        <f t="shared" si="1298"/>
        <v>0</v>
      </c>
      <c r="Z1827" s="117">
        <f t="shared" si="1299"/>
        <v>0</v>
      </c>
      <c r="AA1827" s="118"/>
      <c r="AB1827" s="118" t="str">
        <f t="shared" si="1300"/>
        <v/>
      </c>
      <c r="AC1827" s="712" t="str">
        <f>IF(AE1827="T2G","no charge",IF(AND(OR(PlanterYesMe="No",PlanterYesMe="N",PlanterYesMe="me"),H1827=""),"",IF(H1827="credit","NO install",IF(AND(K1827="",AE1827="me"),"EACH row",IF(AND(K1827="images",AE1827="me"),"EACH row",IF(D1827="","",IF(H1827="credit","",IF(AE1827="free","re-planting",IF(AE1827="me","   not ELP, by",IF(AND(OR(PlanterYesMe="Yes",PlanterYesMe="Y"),G1827&gt;0),(VLOOKUP(A1827,'Discount Lookup'!J:K,2)*G1827*(1-PlanterDiscount)*(1+PlanterDifficultyPercentage)),IF(AE1827="ELP",(VLOOKUP(A1827,'Discount Lookup'!J:K,2)*G1827*(1-PlanterDiscount)*(1+PlanterDifficultyPercentage)),IF(AE1827="free","re-planting",IF(G1827=0,"",IF(PlanterYesMe="",IF(AE1827="me","   not ELP, by",IF(AE1827="",IF(G1827&gt;0,(VLOOKUP(A1827,'Discount Lookup'!J:K,2)*G1827*(1-PlanterDiscount)*(1+PlanterDifficultyPercentage)),""),"")),"   not ELP, by"))))))))))))))</f>
        <v/>
      </c>
      <c r="AD1827" s="712"/>
      <c r="AE1827" s="513" t="str">
        <f t="shared" si="1301"/>
        <v/>
      </c>
      <c r="AF1827" s="713" t="str">
        <f t="shared" si="1302"/>
        <v/>
      </c>
      <c r="AG1827" s="713"/>
      <c r="AH1827" s="713"/>
      <c r="AI1827" s="112">
        <f>IF(H1827="credit",0,IF(AE1827="free",0,IF(AE1827="me",0,IF(G1827&gt;0,(VLOOKUP(A1827,'Discount Lookup'!J:K,2)*G1827),0))))</f>
        <v>0</v>
      </c>
      <c r="AJ1827" s="107" t="str">
        <f t="shared" ca="1" si="1303"/>
        <v/>
      </c>
      <c r="AK1827" s="714" t="str">
        <f t="shared" si="1304"/>
        <v/>
      </c>
      <c r="AL1827" s="714"/>
      <c r="AM1827" s="114" t="str">
        <f t="shared" si="1305"/>
        <v/>
      </c>
      <c r="AN1827" s="115"/>
      <c r="AO1827" s="116"/>
      <c r="AP1827" s="116"/>
      <c r="AQ1827" s="116"/>
      <c r="AR1827" s="116"/>
      <c r="AS1827" s="116"/>
      <c r="AT1827" s="116"/>
      <c r="AU1827" s="116"/>
      <c r="AV1827" s="78"/>
      <c r="AW1827" s="102"/>
      <c r="AX1827" s="78"/>
      <c r="AY1827" s="78"/>
      <c r="AZ1827" s="78"/>
      <c r="BA1827" s="78"/>
      <c r="BB1827" s="78"/>
      <c r="BC1827" s="78"/>
      <c r="BD1827" s="78"/>
      <c r="BE1827" s="465"/>
      <c r="BF1827" s="165" t="str">
        <f t="shared" si="1306"/>
        <v>https://www.google.com/search?tbm=isch&amp;q=Heucherella%20%27Buttered%20Rum%27%20PP%2325040%20Buttered%20Rum%20Foamy%20Bells</v>
      </c>
      <c r="BG1827" s="165" t="str">
        <f t="shared" si="1307"/>
        <v>H</v>
      </c>
      <c r="BH1827" s="65"/>
      <c r="BI1827" s="65"/>
      <c r="BJ1827" s="65"/>
      <c r="BK1827" s="65"/>
      <c r="BL1827" s="99"/>
      <c r="BM1827" s="99"/>
      <c r="BN1827" s="99"/>
    </row>
    <row r="1828" spans="1:66" s="51" customFormat="1" ht="15.75" x14ac:dyDescent="0.25">
      <c r="A1828" s="478">
        <v>1</v>
      </c>
      <c r="B1828" s="479" t="s">
        <v>291</v>
      </c>
      <c r="C1828" s="480"/>
      <c r="D1828" s="481" t="s">
        <v>329</v>
      </c>
      <c r="E1828" s="482">
        <v>15.95</v>
      </c>
      <c r="F1828" s="483" t="s">
        <v>292</v>
      </c>
      <c r="G1828" s="484">
        <v>0</v>
      </c>
      <c r="H1828" s="688" t="str">
        <f>IF(G1828=0,"",IF(F1828="Buy",IF(G1828=1,"plant","plants"),IF(F1828&gt;0.01,"warranty","Error")))</f>
        <v/>
      </c>
      <c r="I1828" s="485">
        <f>IF(H1828="free",0,IF(H1828="credit",((E1828*(F1828))*G1828*-1),IF(F1828="Buy",(E1828*G1828),((E1828*(1-F1828))*G1828))))</f>
        <v>0</v>
      </c>
      <c r="J1828" s="485">
        <f>IF(H1828="warranty",0,(I1828*(_xlfn.SINGLE(SalesTaxPercentage))))</f>
        <v>0</v>
      </c>
      <c r="K1828" s="715">
        <f t="shared" ref="K1828" si="1314">I1828+J1828</f>
        <v>0</v>
      </c>
      <c r="L1828" s="715"/>
      <c r="M1828" s="689" t="str">
        <f ca="1">IF(AND(G1828&gt;0,E1828=0),"WARNING - no PRICE inserted",IF(H1828="free","FREE ~ no charge this plant",IF(H1828="credit",CONCATENATE("-$",ROUND(K1828*(1-_xlfn.SINGLE(T2GDiscount))*-1,2)," CREDIT after discount"),IF(_xlfn.SINGLE(T2GDiscount)=0,"",IF(G1828=0,"",IF(F1828="Buy",CONCATENATE("$",ROUND(K1828*(1-_xlfn.SINGLE(T2GDiscount)),2)," with ",(_xlfn.SINGLE(T2GDiscount)*100),"% discount"),CONCATENATE("$",ROUND(K1828*(1-_xlfn.SINGLE(T2GDiscount)),2)," with ",((_xlfn.SINGLE(T2GDiscount)*100+F1828*100)-(_xlfn.SINGLE(T2GDiscount)*100*F1828)),IF(F1828&gt;0,"% discounts",IF(_xlfn.SINGLE(NoWarrantyDiscount)&gt;0,"% discounts","% discount")))))))))</f>
        <v/>
      </c>
      <c r="N1828" s="690"/>
      <c r="O1828" s="486"/>
      <c r="P1828" s="486"/>
      <c r="Q1828" s="486"/>
      <c r="R1828" s="486"/>
      <c r="S1828" s="486"/>
      <c r="T1828" s="102">
        <f t="shared" si="1295"/>
        <v>0</v>
      </c>
      <c r="U1828" s="78">
        <f>IF(NOT(ISNUMBER(G1828)), "", VLOOKUP(A1828,'Discount Lookup'!D:E,2,FALSE)*G1828)</f>
        <v>0</v>
      </c>
      <c r="V1828" s="78">
        <f>IF(NOT(ISNUMBER(G1828)), "", VLOOKUP(A1828,'Discount Lookup'!G:H,2,FALSE)*G1828)</f>
        <v>0</v>
      </c>
      <c r="W1828" s="102">
        <f t="shared" si="1296"/>
        <v>0</v>
      </c>
      <c r="X1828" s="102">
        <f t="shared" si="1297"/>
        <v>0</v>
      </c>
      <c r="Y1828" s="120" t="b">
        <f t="shared" si="1298"/>
        <v>0</v>
      </c>
      <c r="Z1828" s="117">
        <f t="shared" si="1299"/>
        <v>0</v>
      </c>
      <c r="AA1828" s="118"/>
      <c r="AB1828" s="118" t="str">
        <f t="shared" si="1300"/>
        <v/>
      </c>
      <c r="AC1828" s="712" t="str">
        <f>IF(AE1828="T2G","no charge",IF(AND(OR(PlanterYesMe="No",PlanterYesMe="N",PlanterYesMe="me"),H1828=""),"",IF(H1828="credit","NO install",IF(AND(K1828="",AE1828="me"),"EACH row",IF(AND(K1828="images",AE1828="me"),"EACH row",IF(D1828="","",IF(H1828="credit","",IF(AE1828="free","re-planting",IF(AE1828="me","   not ELP, by",IF(AND(OR(PlanterYesMe="Yes",PlanterYesMe="Y"),G1828&gt;0),(VLOOKUP(A1828,'Discount Lookup'!J:K,2)*G1828*(1-PlanterDiscount)*(1+PlanterDifficultyPercentage)),IF(AE1828="ELP",(VLOOKUP(A1828,'Discount Lookup'!J:K,2)*G1828*(1-PlanterDiscount)*(1+PlanterDifficultyPercentage)),IF(AE1828="free","re-planting",IF(G1828=0,"",IF(PlanterYesMe="",IF(AE1828="me","   not ELP, by",IF(AE1828="",IF(G1828&gt;0,(VLOOKUP(A1828,'Discount Lookup'!J:K,2)*G1828*(1-PlanterDiscount)*(1+PlanterDifficultyPercentage)),""),"")),"   not ELP, by"))))))))))))))</f>
        <v/>
      </c>
      <c r="AD1828" s="712"/>
      <c r="AE1828" s="513" t="str">
        <f t="shared" si="1301"/>
        <v/>
      </c>
      <c r="AF1828" s="713" t="str">
        <f t="shared" si="1302"/>
        <v/>
      </c>
      <c r="AG1828" s="713"/>
      <c r="AH1828" s="713"/>
      <c r="AI1828" s="112">
        <f>IF(H1828="credit",0,IF(AE1828="free",0,IF(AE1828="me",0,IF(G1828&gt;0,(VLOOKUP(A1828,'Discount Lookup'!J:K,2)*G1828),0))))</f>
        <v>0</v>
      </c>
      <c r="AJ1828" s="107" t="str">
        <f t="shared" ca="1" si="1303"/>
        <v/>
      </c>
      <c r="AK1828" s="714" t="str">
        <f t="shared" si="1304"/>
        <v/>
      </c>
      <c r="AL1828" s="714"/>
      <c r="AM1828" s="114" t="str">
        <f t="shared" si="1305"/>
        <v/>
      </c>
      <c r="AN1828" s="115"/>
      <c r="AO1828" s="116"/>
      <c r="AP1828" s="116"/>
      <c r="AQ1828" s="116"/>
      <c r="AR1828" s="116"/>
      <c r="AS1828" s="116"/>
      <c r="AT1828" s="116"/>
      <c r="AU1828" s="116"/>
      <c r="AV1828" s="78"/>
      <c r="AW1828" s="102"/>
      <c r="AX1828" s="78"/>
      <c r="AY1828" s="78"/>
      <c r="AZ1828" s="78"/>
      <c r="BA1828" s="78"/>
      <c r="BB1828" s="78"/>
      <c r="BC1828" s="78"/>
      <c r="BD1828" s="78"/>
      <c r="BE1828" s="465"/>
      <c r="BF1828" s="165" t="str">
        <f t="shared" si="1306"/>
        <v>https://www.google.com/search?tbm=isch&amp;q=1%20G2</v>
      </c>
      <c r="BG1828" s="165" t="str">
        <f t="shared" si="1307"/>
        <v>H</v>
      </c>
      <c r="BH1828" s="65"/>
      <c r="BI1828" s="65"/>
      <c r="BJ1828" s="65"/>
      <c r="BK1828" s="65"/>
      <c r="BL1828" s="99"/>
      <c r="BM1828" s="99"/>
      <c r="BN1828" s="99"/>
    </row>
    <row r="1829" spans="1:66" s="51" customFormat="1" ht="17.25" thickBot="1" x14ac:dyDescent="0.3">
      <c r="A1829" s="508" t="s">
        <v>4840</v>
      </c>
      <c r="B1829" s="487"/>
      <c r="C1829" s="707"/>
      <c r="D1829" s="487"/>
      <c r="E1829" s="487"/>
      <c r="F1829" s="488"/>
      <c r="G1829" s="489"/>
      <c r="H1829" s="487"/>
      <c r="I1829" s="490"/>
      <c r="J1829" s="490"/>
      <c r="K1829" s="491"/>
      <c r="L1829" s="547"/>
      <c r="M1829" s="528"/>
      <c r="N1829" s="492"/>
      <c r="O1829" s="493"/>
      <c r="P1829" s="494"/>
      <c r="Q1829" s="492"/>
      <c r="R1829" s="492"/>
      <c r="S1829" s="699" t="s">
        <v>5281</v>
      </c>
      <c r="T1829" s="102">
        <f t="shared" si="1295"/>
        <v>0</v>
      </c>
      <c r="U1829" s="78" t="str">
        <f>IF(NOT(ISNUMBER(G1829)), "", VLOOKUP(A1829,'Discount Lookup'!D:E,2,FALSE)*G1829)</f>
        <v/>
      </c>
      <c r="V1829" s="78" t="str">
        <f>IF(NOT(ISNUMBER(G1829)), "", VLOOKUP(A1829,'Discount Lookup'!G:H,2,FALSE)*G1829)</f>
        <v/>
      </c>
      <c r="W1829" s="102">
        <f t="shared" si="1296"/>
        <v>0</v>
      </c>
      <c r="X1829" s="102">
        <f t="shared" si="1297"/>
        <v>0</v>
      </c>
      <c r="Y1829" s="120" t="b">
        <f t="shared" si="1298"/>
        <v>0</v>
      </c>
      <c r="Z1829" s="117">
        <f t="shared" si="1299"/>
        <v>0</v>
      </c>
      <c r="AA1829" s="118"/>
      <c r="AB1829" s="118" t="str">
        <f t="shared" si="1300"/>
        <v/>
      </c>
      <c r="AC1829" s="712" t="str">
        <f>IF(AE1829="T2G","no charge",IF(AND(OR(PlanterYesMe="No",PlanterYesMe="N",PlanterYesMe="me"),H1829=""),"",IF(H1829="credit","NO install",IF(AND(K1829="",AE1829="me"),"EACH row",IF(AND(K1829="images",AE1829="me"),"EACH row",IF(D1829="","",IF(H1829="credit","",IF(AE1829="free","re-planting",IF(AE1829="me","   not ELP, by",IF(AND(OR(PlanterYesMe="Yes",PlanterYesMe="Y"),G1829&gt;0),(VLOOKUP(A1829,'Discount Lookup'!J:K,2)*G1829*(1-PlanterDiscount)*(1+PlanterDifficultyPercentage)),IF(AE1829="ELP",(VLOOKUP(A1829,'Discount Lookup'!J:K,2)*G1829*(1-PlanterDiscount)*(1+PlanterDifficultyPercentage)),IF(AE1829="free","re-planting",IF(G1829=0,"",IF(PlanterYesMe="",IF(AE1829="me","   not ELP, by",IF(AE1829="",IF(G1829&gt;0,(VLOOKUP(A1829,'Discount Lookup'!J:K,2)*G1829*(1-PlanterDiscount)*(1+PlanterDifficultyPercentage)),""),"")),"   not ELP, by"))))))))))))))</f>
        <v/>
      </c>
      <c r="AD1829" s="712"/>
      <c r="AE1829" s="513" t="str">
        <f t="shared" si="1301"/>
        <v/>
      </c>
      <c r="AF1829" s="713" t="str">
        <f t="shared" si="1302"/>
        <v/>
      </c>
      <c r="AG1829" s="713"/>
      <c r="AH1829" s="713"/>
      <c r="AI1829" s="112">
        <f>IF(H1829="credit",0,IF(AE1829="free",0,IF(AE1829="me",0,IF(G1829&gt;0,(VLOOKUP(A1829,'Discount Lookup'!J:K,2)*G1829),0))))</f>
        <v>0</v>
      </c>
      <c r="AJ1829" s="107" t="str">
        <f t="shared" ca="1" si="1303"/>
        <v/>
      </c>
      <c r="AK1829" s="714" t="str">
        <f t="shared" si="1304"/>
        <v/>
      </c>
      <c r="AL1829" s="714"/>
      <c r="AM1829" s="114" t="str">
        <f t="shared" si="1305"/>
        <v/>
      </c>
      <c r="AN1829" s="115"/>
      <c r="AO1829" s="116"/>
      <c r="AP1829" s="116"/>
      <c r="AQ1829" s="116"/>
      <c r="AR1829" s="116"/>
      <c r="AS1829" s="116"/>
      <c r="AT1829" s="116"/>
      <c r="AU1829" s="116"/>
      <c r="AV1829" s="78"/>
      <c r="AW1829" s="102"/>
      <c r="AX1829" s="78"/>
      <c r="AY1829" s="78"/>
      <c r="AZ1829" s="78"/>
      <c r="BA1829" s="78"/>
      <c r="BB1829" s="78"/>
      <c r="BC1829" s="78"/>
      <c r="BD1829" s="78"/>
      <c r="BE1829" s="465"/>
      <c r="BF1829" s="165" t="str">
        <f t="shared" si="1306"/>
        <v>https://www.google.com/search?tbm=isch&amp;q=Buttered%20Rum%20has%20vibrant%2C%20ruffled%20foliage%20that%20holds%20a%20rich%2C%20glowing%20color%2C%20gradually%20turning%20Rose-Red.%20Dainty%20White%20blooms%20</v>
      </c>
      <c r="BG1829" s="165" t="str">
        <f t="shared" si="1307"/>
        <v>B</v>
      </c>
      <c r="BH1829" s="65"/>
      <c r="BI1829" s="65"/>
      <c r="BJ1829" s="65"/>
      <c r="BK1829" s="65"/>
      <c r="BL1829" s="99"/>
      <c r="BM1829" s="99"/>
      <c r="BN1829" s="99"/>
    </row>
    <row r="1830" spans="1:66" s="51" customFormat="1" ht="18" x14ac:dyDescent="0.25">
      <c r="A1830" s="507" t="s">
        <v>2688</v>
      </c>
      <c r="B1830" s="470"/>
      <c r="C1830" s="706"/>
      <c r="D1830" s="471" t="s">
        <v>2689</v>
      </c>
      <c r="E1830" s="472"/>
      <c r="F1830" s="472"/>
      <c r="G1830" s="472"/>
      <c r="H1830" s="622" t="s">
        <v>2690</v>
      </c>
      <c r="I1830" s="473" t="s">
        <v>2691</v>
      </c>
      <c r="J1830" s="472"/>
      <c r="K1830" s="472"/>
      <c r="L1830" s="561"/>
      <c r="M1830" s="703" t="s">
        <v>5260</v>
      </c>
      <c r="N1830" s="692" t="str">
        <f>IF(AND(ISTEXT($A1830), ISERROR($A1830+0)), HYPERLINK($BF1830, "Images"), "")</f>
        <v>Images</v>
      </c>
      <c r="O1830" s="694" t="s">
        <v>5247</v>
      </c>
      <c r="P1830" s="475"/>
      <c r="Q1830" s="476"/>
      <c r="R1830" s="476"/>
      <c r="S1830" s="477"/>
      <c r="T1830" s="102">
        <f t="shared" si="1295"/>
        <v>0</v>
      </c>
      <c r="U1830" s="78" t="str">
        <f>IF(NOT(ISNUMBER(G1830)), "", VLOOKUP(A1830,'Discount Lookup'!D:E,2,FALSE)*G1830)</f>
        <v/>
      </c>
      <c r="V1830" s="78" t="str">
        <f>IF(NOT(ISNUMBER(G1830)), "", VLOOKUP(A1830,'Discount Lookup'!G:H,2,FALSE)*G1830)</f>
        <v/>
      </c>
      <c r="W1830" s="102">
        <f t="shared" si="1296"/>
        <v>0</v>
      </c>
      <c r="X1830" s="102" t="str">
        <f t="shared" si="1297"/>
        <v>Reddish-Brown, Lime edges</v>
      </c>
      <c r="Y1830" s="120" t="b">
        <f t="shared" si="1298"/>
        <v>0</v>
      </c>
      <c r="Z1830" s="117">
        <f t="shared" si="1299"/>
        <v>0</v>
      </c>
      <c r="AA1830" s="118"/>
      <c r="AB1830" s="118" t="str">
        <f t="shared" si="1300"/>
        <v/>
      </c>
      <c r="AC1830" s="712" t="str">
        <f>IF(AE1830="T2G","no charge",IF(AND(OR(PlanterYesMe="No",PlanterYesMe="N",PlanterYesMe="me"),H1830=""),"",IF(H1830="credit","NO install",IF(AND(K1830="",AE1830="me"),"EACH row",IF(AND(K1830="images",AE1830="me"),"EACH row",IF(D1830="","",IF(H1830="credit","",IF(AE1830="free","re-planting",IF(AE1830="me","   not ELP, by",IF(AND(OR(PlanterYesMe="Yes",PlanterYesMe="Y"),G1830&gt;0),(VLOOKUP(A1830,'Discount Lookup'!J:K,2)*G1830*(1-PlanterDiscount)*(1+PlanterDifficultyPercentage)),IF(AE1830="ELP",(VLOOKUP(A1830,'Discount Lookup'!J:K,2)*G1830*(1-PlanterDiscount)*(1+PlanterDifficultyPercentage)),IF(AE1830="free","re-planting",IF(G1830=0,"",IF(PlanterYesMe="",IF(AE1830="me","   not ELP, by",IF(AE1830="",IF(G1830&gt;0,(VLOOKUP(A1830,'Discount Lookup'!J:K,2)*G1830*(1-PlanterDiscount)*(1+PlanterDifficultyPercentage)),""),"")),"   not ELP, by"))))))))))))))</f>
        <v/>
      </c>
      <c r="AD1830" s="712"/>
      <c r="AE1830" s="513" t="str">
        <f t="shared" si="1301"/>
        <v/>
      </c>
      <c r="AF1830" s="713" t="str">
        <f t="shared" si="1302"/>
        <v/>
      </c>
      <c r="AG1830" s="713"/>
      <c r="AH1830" s="713"/>
      <c r="AI1830" s="112">
        <f>IF(H1830="credit",0,IF(AE1830="free",0,IF(AE1830="me",0,IF(G1830&gt;0,(VLOOKUP(A1830,'Discount Lookup'!J:K,2)*G1830),0))))</f>
        <v>0</v>
      </c>
      <c r="AJ1830" s="107" t="str">
        <f t="shared" ca="1" si="1303"/>
        <v/>
      </c>
      <c r="AK1830" s="714" t="str">
        <f t="shared" si="1304"/>
        <v/>
      </c>
      <c r="AL1830" s="714"/>
      <c r="AM1830" s="114" t="str">
        <f t="shared" si="1305"/>
        <v/>
      </c>
      <c r="AN1830" s="115"/>
      <c r="AO1830" s="116"/>
      <c r="AP1830" s="116"/>
      <c r="AQ1830" s="116"/>
      <c r="AR1830" s="116"/>
      <c r="AS1830" s="116"/>
      <c r="AT1830" s="116"/>
      <c r="AU1830" s="116"/>
      <c r="AV1830" s="78"/>
      <c r="AW1830" s="102"/>
      <c r="AX1830" s="78"/>
      <c r="AY1830" s="78"/>
      <c r="AZ1830" s="78"/>
      <c r="BA1830" s="78"/>
      <c r="BB1830" s="78"/>
      <c r="BC1830" s="78"/>
      <c r="BD1830" s="78"/>
      <c r="BE1830" s="465"/>
      <c r="BF1830" s="165" t="str">
        <f t="shared" si="1306"/>
        <v>https://www.google.com/search?tbm=isch&amp;q=Heucherella%20%27Solar%20Eclipse%27%20PP%2323647%20Solar%20Eclipse%20Foamy%20Bells</v>
      </c>
      <c r="BG1830" s="165" t="str">
        <f t="shared" si="1307"/>
        <v>H</v>
      </c>
      <c r="BH1830" s="65"/>
      <c r="BI1830" s="65"/>
      <c r="BJ1830" s="65"/>
      <c r="BK1830" s="65"/>
      <c r="BL1830" s="99"/>
      <c r="BM1830" s="99"/>
      <c r="BN1830" s="99"/>
    </row>
    <row r="1831" spans="1:66" s="51" customFormat="1" ht="15.75" x14ac:dyDescent="0.25">
      <c r="A1831" s="478">
        <v>1</v>
      </c>
      <c r="B1831" s="479" t="s">
        <v>291</v>
      </c>
      <c r="C1831" s="480"/>
      <c r="D1831" s="481" t="s">
        <v>329</v>
      </c>
      <c r="E1831" s="482">
        <v>15.95</v>
      </c>
      <c r="F1831" s="483" t="s">
        <v>292</v>
      </c>
      <c r="G1831" s="484">
        <v>0</v>
      </c>
      <c r="H1831" s="688" t="str">
        <f>IF(G1831=0,"",IF(F1831="Buy",IF(G1831=1,"plant","plants"),IF(F1831&gt;0.01,"warranty","Error")))</f>
        <v/>
      </c>
      <c r="I1831" s="485">
        <f>IF(H1831="free",0,IF(H1831="credit",((E1831*(F1831))*G1831*-1),IF(F1831="Buy",(E1831*G1831),((E1831*(1-F1831))*G1831))))</f>
        <v>0</v>
      </c>
      <c r="J1831" s="485">
        <f>IF(H1831="warranty",0,(I1831*(_xlfn.SINGLE(SalesTaxPercentage))))</f>
        <v>0</v>
      </c>
      <c r="K1831" s="715">
        <f t="shared" ref="K1831" si="1315">I1831+J1831</f>
        <v>0</v>
      </c>
      <c r="L1831" s="715"/>
      <c r="M1831" s="689" t="str">
        <f ca="1">IF(AND(G1831&gt;0,E1831=0),"WARNING - no PRICE inserted",IF(H1831="free","FREE ~ no charge this plant",IF(H1831="credit",CONCATENATE("-$",ROUND(K1831*(1-_xlfn.SINGLE(T2GDiscount))*-1,2)," CREDIT after discount"),IF(_xlfn.SINGLE(T2GDiscount)=0,"",IF(G1831=0,"",IF(F1831="Buy",CONCATENATE("$",ROUND(K1831*(1-_xlfn.SINGLE(T2GDiscount)),2)," with ",(_xlfn.SINGLE(T2GDiscount)*100),"% discount"),CONCATENATE("$",ROUND(K1831*(1-_xlfn.SINGLE(T2GDiscount)),2)," with ",((_xlfn.SINGLE(T2GDiscount)*100+F1831*100)-(_xlfn.SINGLE(T2GDiscount)*100*F1831)),IF(F1831&gt;0,"% discounts",IF(_xlfn.SINGLE(NoWarrantyDiscount)&gt;0,"% discounts","% discount")))))))))</f>
        <v/>
      </c>
      <c r="N1831" s="690"/>
      <c r="O1831" s="486"/>
      <c r="P1831" s="486"/>
      <c r="Q1831" s="486"/>
      <c r="R1831" s="486"/>
      <c r="S1831" s="486"/>
      <c r="T1831" s="102">
        <f t="shared" si="1295"/>
        <v>0</v>
      </c>
      <c r="U1831" s="78">
        <f>IF(NOT(ISNUMBER(G1831)), "", VLOOKUP(A1831,'Discount Lookup'!D:E,2,FALSE)*G1831)</f>
        <v>0</v>
      </c>
      <c r="V1831" s="78">
        <f>IF(NOT(ISNUMBER(G1831)), "", VLOOKUP(A1831,'Discount Lookup'!G:H,2,FALSE)*G1831)</f>
        <v>0</v>
      </c>
      <c r="W1831" s="102">
        <f t="shared" si="1296"/>
        <v>0</v>
      </c>
      <c r="X1831" s="102">
        <f t="shared" si="1297"/>
        <v>0</v>
      </c>
      <c r="Y1831" s="120" t="b">
        <f t="shared" si="1298"/>
        <v>0</v>
      </c>
      <c r="Z1831" s="117">
        <f t="shared" si="1299"/>
        <v>0</v>
      </c>
      <c r="AA1831" s="118"/>
      <c r="AB1831" s="118" t="str">
        <f t="shared" si="1300"/>
        <v/>
      </c>
      <c r="AC1831" s="712" t="str">
        <f>IF(AE1831="T2G","no charge",IF(AND(OR(PlanterYesMe="No",PlanterYesMe="N",PlanterYesMe="me"),H1831=""),"",IF(H1831="credit","NO install",IF(AND(K1831="",AE1831="me"),"EACH row",IF(AND(K1831="images",AE1831="me"),"EACH row",IF(D1831="","",IF(H1831="credit","",IF(AE1831="free","re-planting",IF(AE1831="me","   not ELP, by",IF(AND(OR(PlanterYesMe="Yes",PlanterYesMe="Y"),G1831&gt;0),(VLOOKUP(A1831,'Discount Lookup'!J:K,2)*G1831*(1-PlanterDiscount)*(1+PlanterDifficultyPercentage)),IF(AE1831="ELP",(VLOOKUP(A1831,'Discount Lookup'!J:K,2)*G1831*(1-PlanterDiscount)*(1+PlanterDifficultyPercentage)),IF(AE1831="free","re-planting",IF(G1831=0,"",IF(PlanterYesMe="",IF(AE1831="me","   not ELP, by",IF(AE1831="",IF(G1831&gt;0,(VLOOKUP(A1831,'Discount Lookup'!J:K,2)*G1831*(1-PlanterDiscount)*(1+PlanterDifficultyPercentage)),""),"")),"   not ELP, by"))))))))))))))</f>
        <v/>
      </c>
      <c r="AD1831" s="712"/>
      <c r="AE1831" s="513" t="str">
        <f t="shared" si="1301"/>
        <v/>
      </c>
      <c r="AF1831" s="713" t="str">
        <f t="shared" si="1302"/>
        <v/>
      </c>
      <c r="AG1831" s="713"/>
      <c r="AH1831" s="713"/>
      <c r="AI1831" s="112">
        <f>IF(H1831="credit",0,IF(AE1831="free",0,IF(AE1831="me",0,IF(G1831&gt;0,(VLOOKUP(A1831,'Discount Lookup'!J:K,2)*G1831),0))))</f>
        <v>0</v>
      </c>
      <c r="AJ1831" s="107" t="str">
        <f t="shared" ca="1" si="1303"/>
        <v/>
      </c>
      <c r="AK1831" s="714" t="str">
        <f t="shared" si="1304"/>
        <v/>
      </c>
      <c r="AL1831" s="714"/>
      <c r="AM1831" s="114" t="str">
        <f t="shared" si="1305"/>
        <v/>
      </c>
      <c r="AN1831" s="115"/>
      <c r="AO1831" s="116"/>
      <c r="AP1831" s="116"/>
      <c r="AQ1831" s="116"/>
      <c r="AR1831" s="116"/>
      <c r="AS1831" s="116"/>
      <c r="AT1831" s="116"/>
      <c r="AU1831" s="116"/>
      <c r="AV1831" s="78"/>
      <c r="AW1831" s="102"/>
      <c r="AX1831" s="78"/>
      <c r="AY1831" s="78"/>
      <c r="AZ1831" s="78"/>
      <c r="BA1831" s="78"/>
      <c r="BB1831" s="78"/>
      <c r="BC1831" s="78"/>
      <c r="BD1831" s="78"/>
      <c r="BE1831" s="465"/>
      <c r="BF1831" s="165" t="str">
        <f t="shared" si="1306"/>
        <v>https://www.google.com/search?tbm=isch&amp;q=1%20G2</v>
      </c>
      <c r="BG1831" s="165" t="str">
        <f t="shared" si="1307"/>
        <v>H</v>
      </c>
      <c r="BH1831" s="65"/>
      <c r="BI1831" s="65"/>
      <c r="BJ1831" s="65"/>
      <c r="BK1831" s="65"/>
      <c r="BL1831" s="99"/>
      <c r="BM1831" s="99"/>
      <c r="BN1831" s="99"/>
    </row>
    <row r="1832" spans="1:66" s="51" customFormat="1" ht="16.5" x14ac:dyDescent="0.25">
      <c r="A1832" s="508" t="s">
        <v>4841</v>
      </c>
      <c r="B1832" s="487"/>
      <c r="C1832" s="707"/>
      <c r="D1832" s="487"/>
      <c r="E1832" s="487"/>
      <c r="F1832" s="488"/>
      <c r="G1832" s="489"/>
      <c r="H1832" s="487"/>
      <c r="I1832" s="490"/>
      <c r="J1832" s="490"/>
      <c r="K1832" s="491"/>
      <c r="L1832" s="547"/>
      <c r="M1832" s="528"/>
      <c r="N1832" s="492"/>
      <c r="O1832" s="493"/>
      <c r="P1832" s="494"/>
      <c r="Q1832" s="492"/>
      <c r="R1832" s="492"/>
      <c r="S1832" s="699" t="s">
        <v>5281</v>
      </c>
      <c r="T1832" s="102">
        <f t="shared" si="1295"/>
        <v>0</v>
      </c>
      <c r="U1832" s="78" t="str">
        <f>IF(NOT(ISNUMBER(G1832)), "", VLOOKUP(A1832,'Discount Lookup'!D:E,2,FALSE)*G1832)</f>
        <v/>
      </c>
      <c r="V1832" s="78" t="str">
        <f>IF(NOT(ISNUMBER(G1832)), "", VLOOKUP(A1832,'Discount Lookup'!G:H,2,FALSE)*G1832)</f>
        <v/>
      </c>
      <c r="W1832" s="102">
        <f t="shared" si="1296"/>
        <v>0</v>
      </c>
      <c r="X1832" s="102">
        <f t="shared" si="1297"/>
        <v>0</v>
      </c>
      <c r="Y1832" s="120" t="b">
        <f t="shared" si="1298"/>
        <v>0</v>
      </c>
      <c r="Z1832" s="117">
        <f t="shared" si="1299"/>
        <v>0</v>
      </c>
      <c r="AA1832" s="118"/>
      <c r="AB1832" s="118" t="str">
        <f t="shared" si="1300"/>
        <v/>
      </c>
      <c r="AC1832" s="712" t="str">
        <f>IF(AE1832="T2G","no charge",IF(AND(OR(PlanterYesMe="No",PlanterYesMe="N",PlanterYesMe="me"),H1832=""),"",IF(H1832="credit","NO install",IF(AND(K1832="",AE1832="me"),"EACH row",IF(AND(K1832="images",AE1832="me"),"EACH row",IF(D1832="","",IF(H1832="credit","",IF(AE1832="free","re-planting",IF(AE1832="me","   not ELP, by",IF(AND(OR(PlanterYesMe="Yes",PlanterYesMe="Y"),G1832&gt;0),(VLOOKUP(A1832,'Discount Lookup'!J:K,2)*G1832*(1-PlanterDiscount)*(1+PlanterDifficultyPercentage)),IF(AE1832="ELP",(VLOOKUP(A1832,'Discount Lookup'!J:K,2)*G1832*(1-PlanterDiscount)*(1+PlanterDifficultyPercentage)),IF(AE1832="free","re-planting",IF(G1832=0,"",IF(PlanterYesMe="",IF(AE1832="me","   not ELP, by",IF(AE1832="",IF(G1832&gt;0,(VLOOKUP(A1832,'Discount Lookup'!J:K,2)*G1832*(1-PlanterDiscount)*(1+PlanterDifficultyPercentage)),""),"")),"   not ELP, by"))))))))))))))</f>
        <v/>
      </c>
      <c r="AD1832" s="712"/>
      <c r="AE1832" s="513" t="str">
        <f t="shared" si="1301"/>
        <v/>
      </c>
      <c r="AF1832" s="713" t="str">
        <f t="shared" si="1302"/>
        <v/>
      </c>
      <c r="AG1832" s="713"/>
      <c r="AH1832" s="713"/>
      <c r="AI1832" s="112">
        <f>IF(H1832="credit",0,IF(AE1832="free",0,IF(AE1832="me",0,IF(G1832&gt;0,(VLOOKUP(A1832,'Discount Lookup'!J:K,2)*G1832),0))))</f>
        <v>0</v>
      </c>
      <c r="AJ1832" s="107" t="str">
        <f t="shared" ca="1" si="1303"/>
        <v/>
      </c>
      <c r="AK1832" s="714" t="str">
        <f t="shared" si="1304"/>
        <v/>
      </c>
      <c r="AL1832" s="714"/>
      <c r="AM1832" s="114" t="str">
        <f t="shared" si="1305"/>
        <v/>
      </c>
      <c r="AN1832" s="115"/>
      <c r="AO1832" s="116"/>
      <c r="AP1832" s="116"/>
      <c r="AQ1832" s="116"/>
      <c r="AR1832" s="116"/>
      <c r="AS1832" s="116"/>
      <c r="AT1832" s="116"/>
      <c r="AU1832" s="116"/>
      <c r="AV1832" s="78"/>
      <c r="AW1832" s="102"/>
      <c r="AX1832" s="78"/>
      <c r="AY1832" s="78"/>
      <c r="AZ1832" s="78"/>
      <c r="BA1832" s="78"/>
      <c r="BB1832" s="78"/>
      <c r="BC1832" s="78"/>
      <c r="BD1832" s="78"/>
      <c r="BE1832" s="465"/>
      <c r="BF1832" s="165" t="str">
        <f t="shared" si="1306"/>
        <v>https://www.google.com/search?tbm=isch&amp;q=Solar%20Eclipse%20has%20bold%2C%20scalloped%20foliage%20that%20holds%20its%20color%20through%20heat%2Fhumidity.%20Small%20White%20%27bell%27%20flowers%20late%20spring%20</v>
      </c>
      <c r="BG1832" s="165" t="str">
        <f t="shared" si="1307"/>
        <v>S</v>
      </c>
      <c r="BH1832" s="65"/>
      <c r="BI1832" s="65"/>
      <c r="BJ1832" s="65"/>
      <c r="BK1832" s="65"/>
      <c r="BL1832" s="99"/>
      <c r="BM1832" s="99"/>
      <c r="BN1832" s="99"/>
    </row>
    <row r="1833" spans="1:66" s="51" customFormat="1" ht="19.5" thickBot="1" x14ac:dyDescent="0.3">
      <c r="A1833" s="686" t="s">
        <v>4943</v>
      </c>
      <c r="B1833" s="73"/>
      <c r="C1833" s="708"/>
      <c r="D1833" s="73"/>
      <c r="E1833" s="73"/>
      <c r="F1833" s="496"/>
      <c r="G1833" s="73"/>
      <c r="H1833" s="73"/>
      <c r="I1833" s="73"/>
      <c r="J1833" s="497" t="s">
        <v>357</v>
      </c>
      <c r="K1833" s="498"/>
      <c r="L1833" s="562"/>
      <c r="M1833" s="73"/>
      <c r="N1833"/>
      <c r="O1833"/>
      <c r="P1833"/>
      <c r="Q1833"/>
      <c r="R1833"/>
      <c r="S1833"/>
      <c r="T1833" s="102">
        <f t="shared" si="1295"/>
        <v>0</v>
      </c>
      <c r="U1833" s="78" t="str">
        <f>IF(NOT(ISNUMBER(G1833)), "", VLOOKUP(A1833,'Discount Lookup'!D:E,2,FALSE)*G1833)</f>
        <v/>
      </c>
      <c r="V1833" s="78" t="str">
        <f>IF(NOT(ISNUMBER(G1833)), "", VLOOKUP(A1833,'Discount Lookup'!G:H,2,FALSE)*G1833)</f>
        <v/>
      </c>
      <c r="W1833" s="102">
        <f t="shared" si="1296"/>
        <v>0</v>
      </c>
      <c r="X1833" s="102">
        <f t="shared" si="1297"/>
        <v>0</v>
      </c>
      <c r="Y1833" s="120" t="b">
        <f t="shared" si="1298"/>
        <v>0</v>
      </c>
      <c r="Z1833" s="117">
        <f t="shared" si="1299"/>
        <v>0</v>
      </c>
      <c r="AA1833" s="118"/>
      <c r="AB1833" s="118" t="str">
        <f t="shared" si="1300"/>
        <v/>
      </c>
      <c r="AC1833" s="712" t="str">
        <f>IF(AE1833="T2G","no charge",IF(AND(OR(PlanterYesMe="No",PlanterYesMe="N",PlanterYesMe="me"),H1833=""),"",IF(H1833="credit","NO install",IF(AND(K1833="",AE1833="me"),"EACH row",IF(AND(K1833="images",AE1833="me"),"EACH row",IF(D1833="","",IF(H1833="credit","",IF(AE1833="free","re-planting",IF(AE1833="me","   not ELP, by",IF(AND(OR(PlanterYesMe="Yes",PlanterYesMe="Y"),G1833&gt;0),(VLOOKUP(A1833,'Discount Lookup'!J:K,2)*G1833*(1-PlanterDiscount)*(1+PlanterDifficultyPercentage)),IF(AE1833="ELP",(VLOOKUP(A1833,'Discount Lookup'!J:K,2)*G1833*(1-PlanterDiscount)*(1+PlanterDifficultyPercentage)),IF(AE1833="free","re-planting",IF(G1833=0,"",IF(PlanterYesMe="",IF(AE1833="me","   not ELP, by",IF(AE1833="",IF(G1833&gt;0,(VLOOKUP(A1833,'Discount Lookup'!J:K,2)*G1833*(1-PlanterDiscount)*(1+PlanterDifficultyPercentage)),""),"")),"   not ELP, by"))))))))))))))</f>
        <v/>
      </c>
      <c r="AD1833" s="712"/>
      <c r="AE1833" s="513" t="str">
        <f t="shared" si="1301"/>
        <v/>
      </c>
      <c r="AF1833" s="713" t="str">
        <f t="shared" si="1302"/>
        <v/>
      </c>
      <c r="AG1833" s="713"/>
      <c r="AH1833" s="713"/>
      <c r="AI1833" s="112">
        <f>IF(H1833="credit",0,IF(AE1833="free",0,IF(AE1833="me",0,IF(G1833&gt;0,(VLOOKUP(A1833,'Discount Lookup'!J:K,2)*G1833),0))))</f>
        <v>0</v>
      </c>
      <c r="AJ1833" s="107" t="str">
        <f t="shared" ca="1" si="1303"/>
        <v/>
      </c>
      <c r="AK1833" s="714" t="str">
        <f t="shared" si="1304"/>
        <v/>
      </c>
      <c r="AL1833" s="714"/>
      <c r="AM1833" s="114" t="str">
        <f t="shared" si="1305"/>
        <v/>
      </c>
      <c r="AN1833" s="115"/>
      <c r="AO1833" s="116"/>
      <c r="AP1833" s="116"/>
      <c r="AQ1833" s="116"/>
      <c r="AR1833" s="116"/>
      <c r="AS1833" s="116"/>
      <c r="AT1833" s="116"/>
      <c r="AU1833" s="116"/>
      <c r="AV1833" s="78"/>
      <c r="AW1833" s="102"/>
      <c r="AX1833" s="78"/>
      <c r="AY1833" s="78"/>
      <c r="AZ1833" s="78"/>
      <c r="BA1833" s="78"/>
      <c r="BB1833" s="78"/>
      <c r="BC1833" s="78"/>
      <c r="BD1833" s="78"/>
      <c r="BE1833" s="465"/>
      <c r="BF1833" s="165" t="str">
        <f t="shared" si="1306"/>
        <v>https://www.google.com/search?tbm=isch&amp;q=Hibanobambusa%20%3D%201%20of%205%20Bamboo%20types%20%28slow%20runner%2C%20by%20rhizome%29%20</v>
      </c>
      <c r="BG1833" s="165" t="str">
        <f t="shared" si="1307"/>
        <v>H</v>
      </c>
      <c r="BH1833" s="65"/>
      <c r="BI1833" s="65"/>
      <c r="BJ1833" s="65"/>
      <c r="BK1833" s="65"/>
      <c r="BL1833" s="99"/>
      <c r="BM1833" s="99"/>
      <c r="BN1833" s="99"/>
    </row>
    <row r="1834" spans="1:66" s="51" customFormat="1" ht="18" x14ac:dyDescent="0.25">
      <c r="A1834" s="507" t="s">
        <v>2692</v>
      </c>
      <c r="B1834" s="470"/>
      <c r="C1834" s="706"/>
      <c r="D1834" s="471" t="s">
        <v>2693</v>
      </c>
      <c r="E1834" s="472"/>
      <c r="F1834" s="472"/>
      <c r="G1834" s="472"/>
      <c r="H1834" s="622" t="s">
        <v>2694</v>
      </c>
      <c r="I1834" s="473" t="s">
        <v>2695</v>
      </c>
      <c r="J1834" s="472"/>
      <c r="K1834" s="472"/>
      <c r="L1834" s="561"/>
      <c r="M1834" s="703" t="s">
        <v>5274</v>
      </c>
      <c r="N1834" s="692" t="str">
        <f>IF(AND(ISTEXT($A1834), ISERROR($A1834+0)), HYPERLINK($BF1834, "Images"), "")</f>
        <v>Images</v>
      </c>
      <c r="O1834" s="694" t="s">
        <v>5244</v>
      </c>
      <c r="P1834" s="475"/>
      <c r="Q1834" s="476"/>
      <c r="R1834" s="476"/>
      <c r="S1834" s="477"/>
      <c r="T1834" s="102">
        <f t="shared" si="1295"/>
        <v>0</v>
      </c>
      <c r="U1834" s="78" t="str">
        <f>IF(NOT(ISNUMBER(G1834)), "", VLOOKUP(A1834,'Discount Lookup'!D:E,2,FALSE)*G1834)</f>
        <v/>
      </c>
      <c r="V1834" s="78" t="str">
        <f>IF(NOT(ISNUMBER(G1834)), "", VLOOKUP(A1834,'Discount Lookup'!G:H,2,FALSE)*G1834)</f>
        <v/>
      </c>
      <c r="W1834" s="102">
        <f t="shared" si="1296"/>
        <v>0</v>
      </c>
      <c r="X1834" s="102" t="str">
        <f t="shared" si="1297"/>
        <v>Green &amp; Cream foliage</v>
      </c>
      <c r="Y1834" s="120" t="b">
        <f t="shared" si="1298"/>
        <v>0</v>
      </c>
      <c r="Z1834" s="117">
        <f t="shared" si="1299"/>
        <v>0</v>
      </c>
      <c r="AA1834" s="118"/>
      <c r="AB1834" s="118" t="str">
        <f t="shared" si="1300"/>
        <v/>
      </c>
      <c r="AC1834" s="712" t="str">
        <f>IF(AE1834="T2G","no charge",IF(AND(OR(PlanterYesMe="No",PlanterYesMe="N",PlanterYesMe="me"),H1834=""),"",IF(H1834="credit","NO install",IF(AND(K1834="",AE1834="me"),"EACH row",IF(AND(K1834="images",AE1834="me"),"EACH row",IF(D1834="","",IF(H1834="credit","",IF(AE1834="free","re-planting",IF(AE1834="me","   not ELP, by",IF(AND(OR(PlanterYesMe="Yes",PlanterYesMe="Y"),G1834&gt;0),(VLOOKUP(A1834,'Discount Lookup'!J:K,2)*G1834*(1-PlanterDiscount)*(1+PlanterDifficultyPercentage)),IF(AE1834="ELP",(VLOOKUP(A1834,'Discount Lookup'!J:K,2)*G1834*(1-PlanterDiscount)*(1+PlanterDifficultyPercentage)),IF(AE1834="free","re-planting",IF(G1834=0,"",IF(PlanterYesMe="",IF(AE1834="me","   not ELP, by",IF(AE1834="",IF(G1834&gt;0,(VLOOKUP(A1834,'Discount Lookup'!J:K,2)*G1834*(1-PlanterDiscount)*(1+PlanterDifficultyPercentage)),""),"")),"   not ELP, by"))))))))))))))</f>
        <v/>
      </c>
      <c r="AD1834" s="712"/>
      <c r="AE1834" s="513" t="str">
        <f t="shared" si="1301"/>
        <v/>
      </c>
      <c r="AF1834" s="713" t="str">
        <f t="shared" si="1302"/>
        <v/>
      </c>
      <c r="AG1834" s="713"/>
      <c r="AH1834" s="713"/>
      <c r="AI1834" s="112">
        <f>IF(H1834="credit",0,IF(AE1834="free",0,IF(AE1834="me",0,IF(G1834&gt;0,(VLOOKUP(A1834,'Discount Lookup'!J:K,2)*G1834),0))))</f>
        <v>0</v>
      </c>
      <c r="AJ1834" s="107" t="str">
        <f t="shared" ca="1" si="1303"/>
        <v/>
      </c>
      <c r="AK1834" s="714" t="str">
        <f t="shared" si="1304"/>
        <v/>
      </c>
      <c r="AL1834" s="714"/>
      <c r="AM1834" s="114" t="str">
        <f t="shared" si="1305"/>
        <v/>
      </c>
      <c r="AN1834" s="115"/>
      <c r="AO1834" s="116"/>
      <c r="AP1834" s="116"/>
      <c r="AQ1834" s="116"/>
      <c r="AR1834" s="116"/>
      <c r="AS1834" s="116"/>
      <c r="AT1834" s="116"/>
      <c r="AU1834" s="116"/>
      <c r="AV1834" s="78"/>
      <c r="AW1834" s="102"/>
      <c r="AX1834" s="78"/>
      <c r="AY1834" s="78"/>
      <c r="AZ1834" s="78"/>
      <c r="BA1834" s="78"/>
      <c r="BB1834" s="78"/>
      <c r="BC1834" s="78"/>
      <c r="BD1834" s="78"/>
      <c r="BE1834" s="465"/>
      <c r="BF1834" s="165" t="str">
        <f t="shared" si="1306"/>
        <v>https://www.google.com/search?tbm=isch&amp;q=Hibanobambusa%20tranquillans%20%27Shiroshima%27%20Shiroshima%20Bamboo</v>
      </c>
      <c r="BG1834" s="165" t="str">
        <f t="shared" si="1307"/>
        <v>H</v>
      </c>
      <c r="BH1834" s="65"/>
      <c r="BI1834" s="65"/>
      <c r="BJ1834" s="65"/>
      <c r="BK1834" s="65"/>
      <c r="BL1834" s="99"/>
      <c r="BM1834" s="99"/>
      <c r="BN1834" s="99"/>
    </row>
    <row r="1835" spans="1:66" s="51" customFormat="1" ht="27" x14ac:dyDescent="0.25">
      <c r="A1835" s="478">
        <v>5</v>
      </c>
      <c r="B1835" s="479" t="s">
        <v>291</v>
      </c>
      <c r="C1835" s="480" t="s">
        <v>2696</v>
      </c>
      <c r="D1835" s="481" t="s">
        <v>299</v>
      </c>
      <c r="E1835" s="482">
        <v>102.95</v>
      </c>
      <c r="F1835" s="483" t="s">
        <v>292</v>
      </c>
      <c r="G1835" s="484">
        <v>0</v>
      </c>
      <c r="H1835" s="688" t="str">
        <f>IF(G1835=0,"",IF(F1835="Buy",IF(G1835=1,"plant","plants"),IF(F1835&gt;0.01,"warranty","Error")))</f>
        <v/>
      </c>
      <c r="I1835" s="485">
        <f>IF(H1835="free",0,IF(H1835="credit",((E1835*(F1835))*G1835*-1),IF(F1835="Buy",(E1835*G1835),((E1835*(1-F1835))*G1835))))</f>
        <v>0</v>
      </c>
      <c r="J1835" s="485">
        <f>IF(H1835="warranty",0,(I1835*(_xlfn.SINGLE(SalesTaxPercentage))))</f>
        <v>0</v>
      </c>
      <c r="K1835" s="715">
        <f t="shared" ref="K1835" si="1316">I1835+J1835</f>
        <v>0</v>
      </c>
      <c r="L1835" s="715"/>
      <c r="M1835" s="689" t="str">
        <f ca="1">IF(AND(G1835&gt;0,E1835=0),"WARNING - no PRICE inserted",IF(H1835="free","FREE ~ no charge this plant",IF(H1835="credit",CONCATENATE("-$",ROUND(K1835*(1-_xlfn.SINGLE(T2GDiscount))*-1,2)," CREDIT after discount"),IF(_xlfn.SINGLE(T2GDiscount)=0,"",IF(G1835=0,"",IF(F1835="Buy",CONCATENATE("$",ROUND(K1835*(1-_xlfn.SINGLE(T2GDiscount)),2)," with ",(_xlfn.SINGLE(T2GDiscount)*100),"% discount"),CONCATENATE("$",ROUND(K1835*(1-_xlfn.SINGLE(T2GDiscount)),2)," with ",((_xlfn.SINGLE(T2GDiscount)*100+F1835*100)-(_xlfn.SINGLE(T2GDiscount)*100*F1835)),IF(F1835&gt;0,"% discounts",IF(_xlfn.SINGLE(NoWarrantyDiscount)&gt;0,"% discounts","% discount")))))))))</f>
        <v/>
      </c>
      <c r="N1835" s="690"/>
      <c r="O1835" s="486"/>
      <c r="P1835" s="486"/>
      <c r="Q1835" s="486"/>
      <c r="R1835" s="486"/>
      <c r="S1835" s="486"/>
      <c r="T1835" s="102">
        <f t="shared" si="1295"/>
        <v>0</v>
      </c>
      <c r="U1835" s="78">
        <f>IF(NOT(ISNUMBER(G1835)), "", VLOOKUP(A1835,'Discount Lookup'!D:E,2,FALSE)*G1835)</f>
        <v>0</v>
      </c>
      <c r="V1835" s="78">
        <f>IF(NOT(ISNUMBER(G1835)), "", VLOOKUP(A1835,'Discount Lookup'!G:H,2,FALSE)*G1835)</f>
        <v>0</v>
      </c>
      <c r="W1835" s="102">
        <f t="shared" si="1296"/>
        <v>0</v>
      </c>
      <c r="X1835" s="102">
        <f t="shared" si="1297"/>
        <v>0</v>
      </c>
      <c r="Y1835" s="120" t="b">
        <f t="shared" si="1298"/>
        <v>0</v>
      </c>
      <c r="Z1835" s="117">
        <f t="shared" si="1299"/>
        <v>0</v>
      </c>
      <c r="AA1835" s="118"/>
      <c r="AB1835" s="118" t="str">
        <f t="shared" si="1300"/>
        <v/>
      </c>
      <c r="AC1835" s="712" t="str">
        <f>IF(AE1835="T2G","no charge",IF(AND(OR(PlanterYesMe="No",PlanterYesMe="N",PlanterYesMe="me"),H1835=""),"",IF(H1835="credit","NO install",IF(AND(K1835="",AE1835="me"),"EACH row",IF(AND(K1835="images",AE1835="me"),"EACH row",IF(D1835="","",IF(H1835="credit","",IF(AE1835="free","re-planting",IF(AE1835="me","   not ELP, by",IF(AND(OR(PlanterYesMe="Yes",PlanterYesMe="Y"),G1835&gt;0),(VLOOKUP(A1835,'Discount Lookup'!J:K,2)*G1835*(1-PlanterDiscount)*(1+PlanterDifficultyPercentage)),IF(AE1835="ELP",(VLOOKUP(A1835,'Discount Lookup'!J:K,2)*G1835*(1-PlanterDiscount)*(1+PlanterDifficultyPercentage)),IF(AE1835="free","re-planting",IF(G1835=0,"",IF(PlanterYesMe="",IF(AE1835="me","   not ELP, by",IF(AE1835="",IF(G1835&gt;0,(VLOOKUP(A1835,'Discount Lookup'!J:K,2)*G1835*(1-PlanterDiscount)*(1+PlanterDifficultyPercentage)),""),"")),"   not ELP, by"))))))))))))))</f>
        <v/>
      </c>
      <c r="AD1835" s="712"/>
      <c r="AE1835" s="513" t="str">
        <f t="shared" si="1301"/>
        <v/>
      </c>
      <c r="AF1835" s="713" t="str">
        <f t="shared" si="1302"/>
        <v/>
      </c>
      <c r="AG1835" s="713"/>
      <c r="AH1835" s="713"/>
      <c r="AI1835" s="112">
        <f>IF(H1835="credit",0,IF(AE1835="free",0,IF(AE1835="me",0,IF(G1835&gt;0,(VLOOKUP(A1835,'Discount Lookup'!J:K,2)*G1835),0))))</f>
        <v>0</v>
      </c>
      <c r="AJ1835" s="107" t="str">
        <f t="shared" ca="1" si="1303"/>
        <v/>
      </c>
      <c r="AK1835" s="714" t="str">
        <f t="shared" si="1304"/>
        <v/>
      </c>
      <c r="AL1835" s="714"/>
      <c r="AM1835" s="114" t="str">
        <f t="shared" si="1305"/>
        <v/>
      </c>
      <c r="AN1835" s="115"/>
      <c r="AO1835" s="116"/>
      <c r="AP1835" s="116"/>
      <c r="AQ1835" s="116"/>
      <c r="AR1835" s="116"/>
      <c r="AS1835" s="116"/>
      <c r="AT1835" s="116"/>
      <c r="AU1835" s="116"/>
      <c r="AV1835" s="78"/>
      <c r="AW1835" s="102"/>
      <c r="AX1835" s="78"/>
      <c r="AY1835" s="78"/>
      <c r="AZ1835" s="78"/>
      <c r="BA1835" s="78"/>
      <c r="BB1835" s="78"/>
      <c r="BC1835" s="78"/>
      <c r="BD1835" s="78"/>
      <c r="BE1835" s="465"/>
      <c r="BF1835" s="165" t="str">
        <f t="shared" si="1306"/>
        <v>https://www.google.com/search?tbm=isch&amp;q=5%20G4</v>
      </c>
      <c r="BG1835" s="165" t="str">
        <f t="shared" si="1307"/>
        <v>H</v>
      </c>
      <c r="BH1835" s="65"/>
      <c r="BI1835" s="65"/>
      <c r="BJ1835" s="65"/>
      <c r="BK1835" s="65"/>
      <c r="BL1835" s="99"/>
      <c r="BM1835" s="99"/>
      <c r="BN1835" s="99"/>
    </row>
    <row r="1836" spans="1:66" s="51" customFormat="1" ht="16.5" x14ac:dyDescent="0.25">
      <c r="A1836" s="705" t="s">
        <v>5408</v>
      </c>
      <c r="B1836" s="487"/>
      <c r="C1836" s="707"/>
      <c r="D1836" s="487"/>
      <c r="E1836" s="487"/>
      <c r="F1836" s="488"/>
      <c r="G1836" s="489"/>
      <c r="H1836" s="487"/>
      <c r="I1836" s="490"/>
      <c r="J1836" s="490"/>
      <c r="K1836" s="491"/>
      <c r="L1836" s="547"/>
      <c r="M1836" s="528"/>
      <c r="N1836" s="492"/>
      <c r="O1836" s="493"/>
      <c r="P1836" s="494"/>
      <c r="Q1836" s="492"/>
      <c r="R1836" s="492"/>
      <c r="S1836" s="699" t="s">
        <v>5268</v>
      </c>
      <c r="T1836" s="102">
        <f t="shared" si="1295"/>
        <v>0</v>
      </c>
      <c r="U1836" s="78" t="str">
        <f>IF(NOT(ISNUMBER(G1836)), "", VLOOKUP(A1836,'Discount Lookup'!D:E,2,FALSE)*G1836)</f>
        <v/>
      </c>
      <c r="V1836" s="78" t="str">
        <f>IF(NOT(ISNUMBER(G1836)), "", VLOOKUP(A1836,'Discount Lookup'!G:H,2,FALSE)*G1836)</f>
        <v/>
      </c>
      <c r="W1836" s="102">
        <f t="shared" si="1296"/>
        <v>0</v>
      </c>
      <c r="X1836" s="102">
        <f t="shared" si="1297"/>
        <v>0</v>
      </c>
      <c r="Y1836" s="120" t="b">
        <f t="shared" si="1298"/>
        <v>0</v>
      </c>
      <c r="Z1836" s="117">
        <f t="shared" si="1299"/>
        <v>0</v>
      </c>
      <c r="AA1836" s="118"/>
      <c r="AB1836" s="118" t="str">
        <f t="shared" si="1300"/>
        <v/>
      </c>
      <c r="AC1836" s="712" t="str">
        <f>IF(AE1836="T2G","no charge",IF(AND(OR(PlanterYesMe="No",PlanterYesMe="N",PlanterYesMe="me"),H1836=""),"",IF(H1836="credit","NO install",IF(AND(K1836="",AE1836="me"),"EACH row",IF(AND(K1836="images",AE1836="me"),"EACH row",IF(D1836="","",IF(H1836="credit","",IF(AE1836="free","re-planting",IF(AE1836="me","   not ELP, by",IF(AND(OR(PlanterYesMe="Yes",PlanterYesMe="Y"),G1836&gt;0),(VLOOKUP(A1836,'Discount Lookup'!J:K,2)*G1836*(1-PlanterDiscount)*(1+PlanterDifficultyPercentage)),IF(AE1836="ELP",(VLOOKUP(A1836,'Discount Lookup'!J:K,2)*G1836*(1-PlanterDiscount)*(1+PlanterDifficultyPercentage)),IF(AE1836="free","re-planting",IF(G1836=0,"",IF(PlanterYesMe="",IF(AE1836="me","   not ELP, by",IF(AE1836="",IF(G1836&gt;0,(VLOOKUP(A1836,'Discount Lookup'!J:K,2)*G1836*(1-PlanterDiscount)*(1+PlanterDifficultyPercentage)),""),"")),"   not ELP, by"))))))))))))))</f>
        <v/>
      </c>
      <c r="AD1836" s="712"/>
      <c r="AE1836" s="513" t="str">
        <f t="shared" si="1301"/>
        <v/>
      </c>
      <c r="AF1836" s="713" t="str">
        <f t="shared" si="1302"/>
        <v/>
      </c>
      <c r="AG1836" s="713"/>
      <c r="AH1836" s="713"/>
      <c r="AI1836" s="112">
        <f>IF(H1836="credit",0,IF(AE1836="free",0,IF(AE1836="me",0,IF(G1836&gt;0,(VLOOKUP(A1836,'Discount Lookup'!J:K,2)*G1836),0))))</f>
        <v>0</v>
      </c>
      <c r="AJ1836" s="107" t="str">
        <f t="shared" ca="1" si="1303"/>
        <v/>
      </c>
      <c r="AK1836" s="714" t="str">
        <f t="shared" si="1304"/>
        <v/>
      </c>
      <c r="AL1836" s="714"/>
      <c r="AM1836" s="114" t="str">
        <f t="shared" si="1305"/>
        <v/>
      </c>
      <c r="AN1836" s="115"/>
      <c r="AO1836" s="116"/>
      <c r="AP1836" s="116"/>
      <c r="AQ1836" s="116"/>
      <c r="AR1836" s="116"/>
      <c r="AS1836" s="116"/>
      <c r="AT1836" s="116"/>
      <c r="AU1836" s="116"/>
      <c r="AV1836" s="78"/>
      <c r="AW1836" s="102"/>
      <c r="AX1836" s="78"/>
      <c r="AY1836" s="78"/>
      <c r="AZ1836" s="78"/>
      <c r="BA1836" s="78"/>
      <c r="BB1836" s="78"/>
      <c r="BC1836" s="78"/>
      <c r="BD1836" s="78"/>
      <c r="BE1836" s="465"/>
      <c r="BF1836" s="165" t="str">
        <f t="shared" si="1306"/>
        <v>https://www.google.com/search?tbm=isch&amp;q=moist%20sites%F0%9F%92%A7OK%2C%20Shiroshima%20is%20a%20running%20type.%20Large%20variegated%20leaves%20can%20reach%2010%20inches%20long%2C%20giving%20a%20tropical%20feel.%20Leaf%20tips%20may%20blush%20Purple%20</v>
      </c>
      <c r="BG1836" s="165" t="str">
        <f t="shared" si="1307"/>
        <v>m</v>
      </c>
      <c r="BH1836" s="65"/>
      <c r="BI1836" s="65"/>
      <c r="BJ1836" s="65"/>
      <c r="BK1836" s="65"/>
      <c r="BL1836" s="99"/>
      <c r="BM1836" s="99"/>
      <c r="BN1836" s="99"/>
    </row>
    <row r="1837" spans="1:66" s="51" customFormat="1" ht="19.5" thickBot="1" x14ac:dyDescent="0.3">
      <c r="A1837" s="686" t="s">
        <v>500</v>
      </c>
      <c r="B1837" s="73"/>
      <c r="C1837" s="708"/>
      <c r="D1837" s="73"/>
      <c r="E1837" s="73"/>
      <c r="F1837" s="496"/>
      <c r="G1837" s="73"/>
      <c r="H1837" s="73"/>
      <c r="I1837" s="73"/>
      <c r="J1837" s="497" t="s">
        <v>357</v>
      </c>
      <c r="K1837" s="498"/>
      <c r="L1837" s="562"/>
      <c r="M1837" s="73"/>
      <c r="N1837"/>
      <c r="O1837"/>
      <c r="P1837"/>
      <c r="Q1837"/>
      <c r="R1837"/>
      <c r="S1837"/>
      <c r="T1837" s="102">
        <f t="shared" si="1295"/>
        <v>0</v>
      </c>
      <c r="U1837" s="78" t="str">
        <f>IF(NOT(ISNUMBER(G1837)), "", VLOOKUP(A1837,'Discount Lookup'!D:E,2,FALSE)*G1837)</f>
        <v/>
      </c>
      <c r="V1837" s="78" t="str">
        <f>IF(NOT(ISNUMBER(G1837)), "", VLOOKUP(A1837,'Discount Lookup'!G:H,2,FALSE)*G1837)</f>
        <v/>
      </c>
      <c r="W1837" s="102">
        <f t="shared" si="1296"/>
        <v>0</v>
      </c>
      <c r="X1837" s="102">
        <f t="shared" si="1297"/>
        <v>0</v>
      </c>
      <c r="Y1837" s="120" t="b">
        <f t="shared" si="1298"/>
        <v>0</v>
      </c>
      <c r="Z1837" s="117">
        <f t="shared" si="1299"/>
        <v>0</v>
      </c>
      <c r="AA1837" s="118"/>
      <c r="AB1837" s="118" t="str">
        <f t="shared" si="1300"/>
        <v/>
      </c>
      <c r="AC1837" s="712" t="str">
        <f>IF(AE1837="T2G","no charge",IF(AND(OR(PlanterYesMe="No",PlanterYesMe="N",PlanterYesMe="me"),H1837=""),"",IF(H1837="credit","NO install",IF(AND(K1837="",AE1837="me"),"EACH row",IF(AND(K1837="images",AE1837="me"),"EACH row",IF(D1837="","",IF(H1837="credit","",IF(AE1837="free","re-planting",IF(AE1837="me","   not ELP, by",IF(AND(OR(PlanterYesMe="Yes",PlanterYesMe="Y"),G1837&gt;0),(VLOOKUP(A1837,'Discount Lookup'!J:K,2)*G1837*(1-PlanterDiscount)*(1+PlanterDifficultyPercentage)),IF(AE1837="ELP",(VLOOKUP(A1837,'Discount Lookup'!J:K,2)*G1837*(1-PlanterDiscount)*(1+PlanterDifficultyPercentage)),IF(AE1837="free","re-planting",IF(G1837=0,"",IF(PlanterYesMe="",IF(AE1837="me","   not ELP, by",IF(AE1837="",IF(G1837&gt;0,(VLOOKUP(A1837,'Discount Lookup'!J:K,2)*G1837*(1-PlanterDiscount)*(1+PlanterDifficultyPercentage)),""),"")),"   not ELP, by"))))))))))))))</f>
        <v/>
      </c>
      <c r="AD1837" s="712"/>
      <c r="AE1837" s="513" t="str">
        <f t="shared" si="1301"/>
        <v/>
      </c>
      <c r="AF1837" s="713" t="str">
        <f t="shared" si="1302"/>
        <v/>
      </c>
      <c r="AG1837" s="713"/>
      <c r="AH1837" s="713"/>
      <c r="AI1837" s="112">
        <f>IF(H1837="credit",0,IF(AE1837="free",0,IF(AE1837="me",0,IF(G1837&gt;0,(VLOOKUP(A1837,'Discount Lookup'!J:K,2)*G1837),0))))</f>
        <v>0</v>
      </c>
      <c r="AJ1837" s="107" t="str">
        <f t="shared" ca="1" si="1303"/>
        <v/>
      </c>
      <c r="AK1837" s="714" t="str">
        <f t="shared" si="1304"/>
        <v/>
      </c>
      <c r="AL1837" s="714"/>
      <c r="AM1837" s="114" t="str">
        <f t="shared" si="1305"/>
        <v/>
      </c>
      <c r="AN1837" s="115"/>
      <c r="AO1837" s="116"/>
      <c r="AP1837" s="116"/>
      <c r="AQ1837" s="116"/>
      <c r="AR1837" s="116"/>
      <c r="AS1837" s="116"/>
      <c r="AT1837" s="116"/>
      <c r="AU1837" s="116"/>
      <c r="AV1837" s="78"/>
      <c r="AW1837" s="102"/>
      <c r="AX1837" s="78"/>
      <c r="AY1837" s="78"/>
      <c r="AZ1837" s="78"/>
      <c r="BA1837" s="78"/>
      <c r="BB1837" s="78"/>
      <c r="BC1837" s="78"/>
      <c r="BD1837" s="78"/>
      <c r="BE1837" s="465"/>
      <c r="BF1837" s="165" t="str">
        <f t="shared" si="1306"/>
        <v>https://www.google.com/search?tbm=isch&amp;q=Hibiscus%20%3D%20Hardy%20Hibiscus%2C%20Rose%20of%20Sharon%2C%20and%20Rose%20Mallow%20</v>
      </c>
      <c r="BG1837" s="165" t="str">
        <f t="shared" si="1307"/>
        <v>H</v>
      </c>
      <c r="BH1837" s="65"/>
      <c r="BI1837" s="65"/>
      <c r="BJ1837" s="65"/>
      <c r="BK1837" s="65"/>
      <c r="BL1837" s="99"/>
      <c r="BM1837" s="99"/>
      <c r="BN1837" s="99"/>
    </row>
    <row r="1838" spans="1:66" s="51" customFormat="1" ht="18" x14ac:dyDescent="0.25">
      <c r="A1838" s="623" t="s">
        <v>2697</v>
      </c>
      <c r="B1838" s="624"/>
      <c r="C1838" s="709"/>
      <c r="D1838" s="625" t="s">
        <v>5884</v>
      </c>
      <c r="E1838" s="626"/>
      <c r="F1838" s="626"/>
      <c r="G1838" s="626"/>
      <c r="H1838" s="622" t="s">
        <v>1082</v>
      </c>
      <c r="I1838" s="627" t="s">
        <v>4690</v>
      </c>
      <c r="J1838" s="628"/>
      <c r="K1838" s="628"/>
      <c r="L1838" s="629"/>
      <c r="M1838" s="700" t="s">
        <v>5241</v>
      </c>
      <c r="N1838" s="693" t="str">
        <f>IF(AND(ISTEXT($A1838), ISERROR($A1838+0)), HYPERLINK($BF1838, "Images"), "")</f>
        <v>Images</v>
      </c>
      <c r="O1838" s="695" t="s">
        <v>5264</v>
      </c>
      <c r="P1838" s="630"/>
      <c r="Q1838" s="631"/>
      <c r="R1838" s="632"/>
      <c r="S1838" s="633"/>
      <c r="T1838" s="102">
        <f t="shared" si="1295"/>
        <v>0</v>
      </c>
      <c r="U1838" s="78" t="str">
        <f>IF(NOT(ISNUMBER(G1838)), "", VLOOKUP(A1838,'Discount Lookup'!D:E,2,FALSE)*G1838)</f>
        <v/>
      </c>
      <c r="V1838" s="78" t="str">
        <f>IF(NOT(ISNUMBER(G1838)), "", VLOOKUP(A1838,'Discount Lookup'!G:H,2,FALSE)*G1838)</f>
        <v/>
      </c>
      <c r="W1838" s="102">
        <f t="shared" si="1296"/>
        <v>0</v>
      </c>
      <c r="X1838" s="102" t="str">
        <f t="shared" si="1297"/>
        <v>Scarlet-Red bloom</v>
      </c>
      <c r="Y1838" s="120" t="b">
        <f t="shared" si="1298"/>
        <v>0</v>
      </c>
      <c r="Z1838" s="117">
        <f t="shared" si="1299"/>
        <v>0</v>
      </c>
      <c r="AA1838" s="118"/>
      <c r="AB1838" s="118" t="str">
        <f t="shared" si="1300"/>
        <v/>
      </c>
      <c r="AC1838" s="712" t="str">
        <f>IF(AE1838="T2G","no charge",IF(AND(OR(PlanterYesMe="No",PlanterYesMe="N",PlanterYesMe="me"),H1838=""),"",IF(H1838="credit","NO install",IF(AND(K1838="",AE1838="me"),"EACH row",IF(AND(K1838="images",AE1838="me"),"EACH row",IF(D1838="","",IF(H1838="credit","",IF(AE1838="free","re-planting",IF(AE1838="me","   not ELP, by",IF(AND(OR(PlanterYesMe="Yes",PlanterYesMe="Y"),G1838&gt;0),(VLOOKUP(A1838,'Discount Lookup'!J:K,2)*G1838*(1-PlanterDiscount)*(1+PlanterDifficultyPercentage)),IF(AE1838="ELP",(VLOOKUP(A1838,'Discount Lookup'!J:K,2)*G1838*(1-PlanterDiscount)*(1+PlanterDifficultyPercentage)),IF(AE1838="free","re-planting",IF(G1838=0,"",IF(PlanterYesMe="",IF(AE1838="me","   not ELP, by",IF(AE1838="",IF(G1838&gt;0,(VLOOKUP(A1838,'Discount Lookup'!J:K,2)*G1838*(1-PlanterDiscount)*(1+PlanterDifficultyPercentage)),""),"")),"   not ELP, by"))))))))))))))</f>
        <v/>
      </c>
      <c r="AD1838" s="712"/>
      <c r="AE1838" s="513" t="str">
        <f t="shared" si="1301"/>
        <v/>
      </c>
      <c r="AF1838" s="713" t="str">
        <f t="shared" si="1302"/>
        <v/>
      </c>
      <c r="AG1838" s="713"/>
      <c r="AH1838" s="713"/>
      <c r="AI1838" s="112">
        <f>IF(H1838="credit",0,IF(AE1838="free",0,IF(AE1838="me",0,IF(G1838&gt;0,(VLOOKUP(A1838,'Discount Lookup'!J:K,2)*G1838),0))))</f>
        <v>0</v>
      </c>
      <c r="AJ1838" s="107" t="str">
        <f t="shared" ca="1" si="1303"/>
        <v/>
      </c>
      <c r="AK1838" s="714" t="str">
        <f t="shared" si="1304"/>
        <v/>
      </c>
      <c r="AL1838" s="714"/>
      <c r="AM1838" s="114" t="str">
        <f t="shared" si="1305"/>
        <v/>
      </c>
      <c r="AN1838" s="115"/>
      <c r="AO1838" s="116"/>
      <c r="AP1838" s="116"/>
      <c r="AQ1838" s="116"/>
      <c r="AR1838" s="116"/>
      <c r="AS1838" s="116"/>
      <c r="AT1838" s="116"/>
      <c r="AU1838" s="116"/>
      <c r="AV1838" s="78"/>
      <c r="AW1838" s="102"/>
      <c r="AX1838" s="78"/>
      <c r="AY1838" s="78"/>
      <c r="AZ1838" s="78"/>
      <c r="BA1838" s="78"/>
      <c r="BB1838" s="78"/>
      <c r="BC1838" s="78"/>
      <c r="BD1838" s="78"/>
      <c r="BE1838" s="465"/>
      <c r="BF1838" s="165" t="str">
        <f t="shared" si="1306"/>
        <v>https://www.google.com/search?tbm=isch&amp;q=Hibiscus%20%E2%80%98Holy%20Grail%E2%80%99%20PP%2331478%20Holy%20Grail%20Hardy%20Hibiscus%20%28Summerific%C2%AE%29</v>
      </c>
      <c r="BG1838" s="165" t="str">
        <f t="shared" si="1307"/>
        <v>H</v>
      </c>
      <c r="BH1838" s="65"/>
      <c r="BI1838" s="65"/>
      <c r="BJ1838" s="65"/>
      <c r="BK1838" s="65"/>
      <c r="BL1838" s="99"/>
      <c r="BM1838" s="99"/>
      <c r="BN1838" s="99"/>
    </row>
    <row r="1839" spans="1:66" s="51" customFormat="1" ht="40.5" x14ac:dyDescent="0.25">
      <c r="A1839" s="634">
        <v>7</v>
      </c>
      <c r="B1839" s="635" t="s">
        <v>291</v>
      </c>
      <c r="C1839" s="636" t="s">
        <v>2698</v>
      </c>
      <c r="D1839" s="637" t="s">
        <v>299</v>
      </c>
      <c r="E1839" s="638">
        <v>77.95</v>
      </c>
      <c r="F1839" s="639" t="s">
        <v>292</v>
      </c>
      <c r="G1839" s="484">
        <v>0</v>
      </c>
      <c r="H1839" s="691" t="str">
        <f>IF(G1839=0,"",IF(F1839="Buy",IF(G1839=1,"plant","plants"),IF(F1839&gt;0.01,"warranty","Error")))</f>
        <v/>
      </c>
      <c r="I1839" s="640">
        <f>IF(H1839="free",0,IF(H1839="credit",((E1839*(F1839))*G1839*-1),IF(F1839="Buy",(E1839*G1839),((E1839*(1-F1839))*G1839))))</f>
        <v>0</v>
      </c>
      <c r="J1839" s="640">
        <f>IF(H1839="warranty",0,(I1839*(_xlfn.SINGLE(SalesTaxPercentage))))</f>
        <v>0</v>
      </c>
      <c r="K1839" s="716">
        <f t="shared" ref="K1839" si="1317">I1839+J1839</f>
        <v>0</v>
      </c>
      <c r="L1839" s="716"/>
      <c r="M1839" s="689" t="str">
        <f ca="1">IF(AND(G1839&gt;0,E1839=0),"WARNING - no PRICE inserted",IF(H1839="free","FREE ~ no charge this plant",IF(H1839="credit",CONCATENATE("-$",ROUND(K1839*(1-_xlfn.SINGLE(T2GDiscount))*-1,2)," CREDIT after discount"),IF(_xlfn.SINGLE(T2GDiscount)=0,"",IF(G1839=0,"",IF(F1839="Buy",CONCATENATE("$",ROUND(K1839*(1-_xlfn.SINGLE(T2GDiscount)),2)," with ",(_xlfn.SINGLE(T2GDiscount)*100),"% discount"),CONCATENATE("$",ROUND(K1839*(1-_xlfn.SINGLE(T2GDiscount)),2)," with ",((_xlfn.SINGLE(T2GDiscount)*100+F1839*100)-(_xlfn.SINGLE(T2GDiscount)*100*F1839)),IF(F1839&gt;0,"% discounts",IF(_xlfn.SINGLE(NoWarrantyDiscount)&gt;0,"% discounts","% discount")))))))))</f>
        <v/>
      </c>
      <c r="N1839" s="690"/>
      <c r="O1839" s="486"/>
      <c r="P1839" s="486"/>
      <c r="Q1839" s="486"/>
      <c r="R1839" s="486"/>
      <c r="S1839" s="486"/>
      <c r="T1839" s="102">
        <f t="shared" si="1295"/>
        <v>0</v>
      </c>
      <c r="U1839" s="78">
        <f>IF(NOT(ISNUMBER(G1839)), "", VLOOKUP(A1839,'Discount Lookup'!D:E,2,FALSE)*G1839)</f>
        <v>0</v>
      </c>
      <c r="V1839" s="78">
        <f>IF(NOT(ISNUMBER(G1839)), "", VLOOKUP(A1839,'Discount Lookup'!G:H,2,FALSE)*G1839)</f>
        <v>0</v>
      </c>
      <c r="W1839" s="102">
        <f t="shared" si="1296"/>
        <v>0</v>
      </c>
      <c r="X1839" s="102">
        <f t="shared" si="1297"/>
        <v>0</v>
      </c>
      <c r="Y1839" s="120" t="b">
        <f t="shared" si="1298"/>
        <v>0</v>
      </c>
      <c r="Z1839" s="117">
        <f t="shared" si="1299"/>
        <v>0</v>
      </c>
      <c r="AA1839" s="118"/>
      <c r="AB1839" s="118" t="str">
        <f t="shared" si="1300"/>
        <v/>
      </c>
      <c r="AC1839" s="712" t="str">
        <f>IF(AE1839="T2G","no charge",IF(AND(OR(PlanterYesMe="No",PlanterYesMe="N",PlanterYesMe="me"),H1839=""),"",IF(H1839="credit","NO install",IF(AND(K1839="",AE1839="me"),"EACH row",IF(AND(K1839="images",AE1839="me"),"EACH row",IF(D1839="","",IF(H1839="credit","",IF(AE1839="free","re-planting",IF(AE1839="me","   not ELP, by",IF(AND(OR(PlanterYesMe="Yes",PlanterYesMe="Y"),G1839&gt;0),(VLOOKUP(A1839,'Discount Lookup'!J:K,2)*G1839*(1-PlanterDiscount)*(1+PlanterDifficultyPercentage)),IF(AE1839="ELP",(VLOOKUP(A1839,'Discount Lookup'!J:K,2)*G1839*(1-PlanterDiscount)*(1+PlanterDifficultyPercentage)),IF(AE1839="free","re-planting",IF(G1839=0,"",IF(PlanterYesMe="",IF(AE1839="me","   not ELP, by",IF(AE1839="",IF(G1839&gt;0,(VLOOKUP(A1839,'Discount Lookup'!J:K,2)*G1839*(1-PlanterDiscount)*(1+PlanterDifficultyPercentage)),""),"")),"   not ELP, by"))))))))))))))</f>
        <v/>
      </c>
      <c r="AD1839" s="712"/>
      <c r="AE1839" s="513" t="str">
        <f t="shared" si="1301"/>
        <v/>
      </c>
      <c r="AF1839" s="713" t="str">
        <f t="shared" si="1302"/>
        <v/>
      </c>
      <c r="AG1839" s="713"/>
      <c r="AH1839" s="713"/>
      <c r="AI1839" s="112">
        <f>IF(H1839="credit",0,IF(AE1839="free",0,IF(AE1839="me",0,IF(G1839&gt;0,(VLOOKUP(A1839,'Discount Lookup'!J:K,2)*G1839),0))))</f>
        <v>0</v>
      </c>
      <c r="AJ1839" s="107" t="str">
        <f t="shared" ca="1" si="1303"/>
        <v/>
      </c>
      <c r="AK1839" s="714" t="str">
        <f t="shared" si="1304"/>
        <v/>
      </c>
      <c r="AL1839" s="714"/>
      <c r="AM1839" s="114" t="str">
        <f t="shared" si="1305"/>
        <v/>
      </c>
      <c r="AN1839" s="115"/>
      <c r="AO1839" s="116"/>
      <c r="AP1839" s="116"/>
      <c r="AQ1839" s="116"/>
      <c r="AR1839" s="116"/>
      <c r="AS1839" s="116"/>
      <c r="AT1839" s="116"/>
      <c r="AU1839" s="116"/>
      <c r="AV1839" s="78"/>
      <c r="AW1839" s="102"/>
      <c r="AX1839" s="78"/>
      <c r="AY1839" s="78"/>
      <c r="AZ1839" s="78"/>
      <c r="BA1839" s="78"/>
      <c r="BB1839" s="78"/>
      <c r="BC1839" s="78"/>
      <c r="BD1839" s="78"/>
      <c r="BE1839" s="465"/>
      <c r="BF1839" s="165" t="str">
        <f t="shared" si="1306"/>
        <v>https://www.google.com/search?tbm=isch&amp;q=7%20G4</v>
      </c>
      <c r="BG1839" s="165" t="str">
        <f t="shared" si="1307"/>
        <v>H</v>
      </c>
      <c r="BH1839" s="65"/>
      <c r="BI1839" s="65"/>
      <c r="BJ1839" s="65"/>
      <c r="BK1839" s="65"/>
      <c r="BL1839" s="99"/>
      <c r="BM1839" s="99"/>
      <c r="BN1839" s="99"/>
    </row>
    <row r="1840" spans="1:66" s="51" customFormat="1" ht="17.25" thickBot="1" x14ac:dyDescent="0.3">
      <c r="A1840" s="704" t="s">
        <v>5409</v>
      </c>
      <c r="B1840" s="642"/>
      <c r="C1840" s="710"/>
      <c r="D1840" s="643"/>
      <c r="E1840" s="643"/>
      <c r="F1840" s="644"/>
      <c r="G1840" s="645"/>
      <c r="H1840" s="646"/>
      <c r="I1840" s="647"/>
      <c r="J1840" s="648"/>
      <c r="K1840" s="649"/>
      <c r="L1840" s="650"/>
      <c r="M1840" s="650"/>
      <c r="N1840" s="644"/>
      <c r="O1840" s="644"/>
      <c r="P1840" s="644"/>
      <c r="Q1840" s="644"/>
      <c r="R1840" s="644"/>
      <c r="S1840" s="701" t="s">
        <v>5273</v>
      </c>
      <c r="T1840" s="102">
        <f t="shared" si="1295"/>
        <v>0</v>
      </c>
      <c r="U1840" s="78" t="str">
        <f>IF(NOT(ISNUMBER(G1840)), "", VLOOKUP(A1840,'Discount Lookup'!D:E,2,FALSE)*G1840)</f>
        <v/>
      </c>
      <c r="V1840" s="78" t="str">
        <f>IF(NOT(ISNUMBER(G1840)), "", VLOOKUP(A1840,'Discount Lookup'!G:H,2,FALSE)*G1840)</f>
        <v/>
      </c>
      <c r="W1840" s="102">
        <f t="shared" si="1296"/>
        <v>0</v>
      </c>
      <c r="X1840" s="102">
        <f t="shared" si="1297"/>
        <v>0</v>
      </c>
      <c r="Y1840" s="120" t="b">
        <f t="shared" si="1298"/>
        <v>0</v>
      </c>
      <c r="Z1840" s="117">
        <f t="shared" si="1299"/>
        <v>0</v>
      </c>
      <c r="AA1840" s="118"/>
      <c r="AB1840" s="118" t="str">
        <f t="shared" si="1300"/>
        <v/>
      </c>
      <c r="AC1840" s="712" t="str">
        <f>IF(AE1840="T2G","no charge",IF(AND(OR(PlanterYesMe="No",PlanterYesMe="N",PlanterYesMe="me"),H1840=""),"",IF(H1840="credit","NO install",IF(AND(K1840="",AE1840="me"),"EACH row",IF(AND(K1840="images",AE1840="me"),"EACH row",IF(D1840="","",IF(H1840="credit","",IF(AE1840="free","re-planting",IF(AE1840="me","   not ELP, by",IF(AND(OR(PlanterYesMe="Yes",PlanterYesMe="Y"),G1840&gt;0),(VLOOKUP(A1840,'Discount Lookup'!J:K,2)*G1840*(1-PlanterDiscount)*(1+PlanterDifficultyPercentage)),IF(AE1840="ELP",(VLOOKUP(A1840,'Discount Lookup'!J:K,2)*G1840*(1-PlanterDiscount)*(1+PlanterDifficultyPercentage)),IF(AE1840="free","re-planting",IF(G1840=0,"",IF(PlanterYesMe="",IF(AE1840="me","   not ELP, by",IF(AE1840="",IF(G1840&gt;0,(VLOOKUP(A1840,'Discount Lookup'!J:K,2)*G1840*(1-PlanterDiscount)*(1+PlanterDifficultyPercentage)),""),"")),"   not ELP, by"))))))))))))))</f>
        <v/>
      </c>
      <c r="AD1840" s="712"/>
      <c r="AE1840" s="513" t="str">
        <f t="shared" si="1301"/>
        <v/>
      </c>
      <c r="AF1840" s="713" t="str">
        <f t="shared" si="1302"/>
        <v/>
      </c>
      <c r="AG1840" s="713"/>
      <c r="AH1840" s="713"/>
      <c r="AI1840" s="112">
        <f>IF(H1840="credit",0,IF(AE1840="free",0,IF(AE1840="me",0,IF(G1840&gt;0,(VLOOKUP(A1840,'Discount Lookup'!J:K,2)*G1840),0))))</f>
        <v>0</v>
      </c>
      <c r="AJ1840" s="107" t="str">
        <f t="shared" ca="1" si="1303"/>
        <v/>
      </c>
      <c r="AK1840" s="714" t="str">
        <f t="shared" si="1304"/>
        <v/>
      </c>
      <c r="AL1840" s="714"/>
      <c r="AM1840" s="114" t="str">
        <f t="shared" si="1305"/>
        <v/>
      </c>
      <c r="AN1840" s="115"/>
      <c r="AO1840" s="116"/>
      <c r="AP1840" s="116"/>
      <c r="AQ1840" s="116"/>
      <c r="AR1840" s="116"/>
      <c r="AS1840" s="116"/>
      <c r="AT1840" s="116"/>
      <c r="AU1840" s="116"/>
      <c r="AV1840" s="78"/>
      <c r="AW1840" s="102"/>
      <c r="AX1840" s="78"/>
      <c r="AY1840" s="78"/>
      <c r="AZ1840" s="78"/>
      <c r="BA1840" s="78"/>
      <c r="BB1840" s="78"/>
      <c r="BC1840" s="78"/>
      <c r="BD1840" s="78"/>
      <c r="BE1840" s="465"/>
      <c r="BF1840" s="165" t="str">
        <f t="shared" si="1306"/>
        <v>https://www.google.com/search?tbm=isch&amp;q=moist%20sites%F0%9F%92%A7GOOD%2C%20Holy%20Grail%20has%20Deep%20Burgundy%2C%20near-Black%20foliage.%20%22Hardy%22%20Hibiscus%20have%20giant%20tropical%20blooms%20%28up%20to%2012%22%29%20</v>
      </c>
      <c r="BG1840" s="165" t="str">
        <f t="shared" si="1307"/>
        <v>m</v>
      </c>
      <c r="BH1840" s="65"/>
      <c r="BI1840" s="65"/>
      <c r="BJ1840" s="65"/>
      <c r="BK1840" s="65"/>
      <c r="BL1840" s="99"/>
      <c r="BM1840" s="99"/>
      <c r="BN1840" s="99"/>
    </row>
    <row r="1841" spans="1:66" s="51" customFormat="1" ht="18" x14ac:dyDescent="0.25">
      <c r="A1841" s="623" t="s">
        <v>2699</v>
      </c>
      <c r="B1841" s="624"/>
      <c r="C1841" s="709"/>
      <c r="D1841" s="625" t="s">
        <v>2700</v>
      </c>
      <c r="E1841" s="626"/>
      <c r="F1841" s="626"/>
      <c r="G1841" s="626"/>
      <c r="H1841" s="622" t="s">
        <v>1076</v>
      </c>
      <c r="I1841" s="627" t="s">
        <v>2701</v>
      </c>
      <c r="J1841" s="628"/>
      <c r="K1841" s="628"/>
      <c r="L1841" s="629"/>
      <c r="M1841" s="700" t="s">
        <v>5241</v>
      </c>
      <c r="N1841" s="693" t="str">
        <f>IF(AND(ISTEXT($A1841), ISERROR($A1841+0)), HYPERLINK($BF1841, "Images"), "")</f>
        <v>Images</v>
      </c>
      <c r="O1841" s="695" t="s">
        <v>5264</v>
      </c>
      <c r="P1841" s="630"/>
      <c r="Q1841" s="631"/>
      <c r="R1841" s="632"/>
      <c r="S1841" s="633" t="s">
        <v>294</v>
      </c>
      <c r="T1841" s="102">
        <f t="shared" si="1295"/>
        <v>0</v>
      </c>
      <c r="U1841" s="78" t="str">
        <f>IF(NOT(ISNUMBER(G1841)), "", VLOOKUP(A1841,'Discount Lookup'!D:E,2,FALSE)*G1841)</f>
        <v/>
      </c>
      <c r="V1841" s="78" t="str">
        <f>IF(NOT(ISNUMBER(G1841)), "", VLOOKUP(A1841,'Discount Lookup'!G:H,2,FALSE)*G1841)</f>
        <v/>
      </c>
      <c r="W1841" s="102">
        <f t="shared" si="1296"/>
        <v>0</v>
      </c>
      <c r="X1841" s="102" t="str">
        <f t="shared" si="1297"/>
        <v>Pink bloom, deeper eye</v>
      </c>
      <c r="Y1841" s="120" t="b">
        <f t="shared" si="1298"/>
        <v>0</v>
      </c>
      <c r="Z1841" s="117">
        <f t="shared" si="1299"/>
        <v>0</v>
      </c>
      <c r="AA1841" s="118"/>
      <c r="AB1841" s="118" t="str">
        <f t="shared" si="1300"/>
        <v/>
      </c>
      <c r="AC1841" s="712" t="str">
        <f>IF(AE1841="T2G","no charge",IF(AND(OR(PlanterYesMe="No",PlanterYesMe="N",PlanterYesMe="me"),H1841=""),"",IF(H1841="credit","NO install",IF(AND(K1841="",AE1841="me"),"EACH row",IF(AND(K1841="images",AE1841="me"),"EACH row",IF(D1841="","",IF(H1841="credit","",IF(AE1841="free","re-planting",IF(AE1841="me","   not ELP, by",IF(AND(OR(PlanterYesMe="Yes",PlanterYesMe="Y"),G1841&gt;0),(VLOOKUP(A1841,'Discount Lookup'!J:K,2)*G1841*(1-PlanterDiscount)*(1+PlanterDifficultyPercentage)),IF(AE1841="ELP",(VLOOKUP(A1841,'Discount Lookup'!J:K,2)*G1841*(1-PlanterDiscount)*(1+PlanterDifficultyPercentage)),IF(AE1841="free","re-planting",IF(G1841=0,"",IF(PlanterYesMe="",IF(AE1841="me","   not ELP, by",IF(AE1841="",IF(G1841&gt;0,(VLOOKUP(A1841,'Discount Lookup'!J:K,2)*G1841*(1-PlanterDiscount)*(1+PlanterDifficultyPercentage)),""),"")),"   not ELP, by"))))))))))))))</f>
        <v/>
      </c>
      <c r="AD1841" s="712"/>
      <c r="AE1841" s="513" t="str">
        <f t="shared" si="1301"/>
        <v/>
      </c>
      <c r="AF1841" s="713" t="str">
        <f t="shared" si="1302"/>
        <v/>
      </c>
      <c r="AG1841" s="713"/>
      <c r="AH1841" s="713"/>
      <c r="AI1841" s="112">
        <f>IF(H1841="credit",0,IF(AE1841="free",0,IF(AE1841="me",0,IF(G1841&gt;0,(VLOOKUP(A1841,'Discount Lookup'!J:K,2)*G1841),0))))</f>
        <v>0</v>
      </c>
      <c r="AJ1841" s="107" t="str">
        <f t="shared" ca="1" si="1303"/>
        <v/>
      </c>
      <c r="AK1841" s="714" t="str">
        <f t="shared" si="1304"/>
        <v/>
      </c>
      <c r="AL1841" s="714"/>
      <c r="AM1841" s="114" t="str">
        <f t="shared" si="1305"/>
        <v/>
      </c>
      <c r="AN1841" s="115"/>
      <c r="AO1841" s="116"/>
      <c r="AP1841" s="116"/>
      <c r="AQ1841" s="116"/>
      <c r="AR1841" s="116"/>
      <c r="AS1841" s="116"/>
      <c r="AT1841" s="116"/>
      <c r="AU1841" s="116"/>
      <c r="AV1841" s="78"/>
      <c r="AW1841" s="102"/>
      <c r="AX1841" s="78"/>
      <c r="AY1841" s="78"/>
      <c r="AZ1841" s="78"/>
      <c r="BA1841" s="78"/>
      <c r="BB1841" s="78"/>
      <c r="BC1841" s="78"/>
      <c r="BD1841" s="78"/>
      <c r="BE1841" s="465"/>
      <c r="BF1841" s="165" t="str">
        <f t="shared" si="1306"/>
        <v>https://www.google.com/search?tbm=isch&amp;q=Hibiscus%20moscheutos%20%27Starry%20Starry%20Night%27%20PP%2327901%20Starry%20Starry%20Night%20Hardy%20Hibiscus</v>
      </c>
      <c r="BG1841" s="165" t="str">
        <f t="shared" si="1307"/>
        <v>H</v>
      </c>
      <c r="BH1841" s="65"/>
      <c r="BI1841" s="65"/>
      <c r="BJ1841" s="65"/>
      <c r="BK1841" s="65"/>
      <c r="BL1841" s="99"/>
      <c r="BM1841" s="99"/>
      <c r="BN1841" s="99"/>
    </row>
    <row r="1842" spans="1:66" s="51" customFormat="1" ht="15.75" x14ac:dyDescent="0.25">
      <c r="A1842" s="634">
        <v>3</v>
      </c>
      <c r="B1842" s="635" t="s">
        <v>291</v>
      </c>
      <c r="C1842" s="636" t="s">
        <v>2702</v>
      </c>
      <c r="D1842" s="637" t="s">
        <v>329</v>
      </c>
      <c r="E1842" s="638">
        <v>30.95</v>
      </c>
      <c r="F1842" s="639" t="s">
        <v>292</v>
      </c>
      <c r="G1842" s="484">
        <v>0</v>
      </c>
      <c r="H1842" s="691" t="str">
        <f>IF(G1842=0,"",IF(F1842="Buy",IF(G1842=1,"plant","plants"),IF(F1842&gt;0.01,"warranty","Error")))</f>
        <v/>
      </c>
      <c r="I1842" s="640">
        <f>IF(H1842="free",0,IF(H1842="credit",((E1842*(F1842))*G1842*-1),IF(F1842="Buy",(E1842*G1842),((E1842*(1-F1842))*G1842))))</f>
        <v>0</v>
      </c>
      <c r="J1842" s="640">
        <f>IF(H1842="warranty",0,(I1842*(_xlfn.SINGLE(SalesTaxPercentage))))</f>
        <v>0</v>
      </c>
      <c r="K1842" s="716">
        <f t="shared" ref="K1842" si="1318">I1842+J1842</f>
        <v>0</v>
      </c>
      <c r="L1842" s="716"/>
      <c r="M1842" s="689" t="str">
        <f ca="1">IF(AND(G1842&gt;0,E1842=0),"WARNING - no PRICE inserted",IF(H1842="free","FREE ~ no charge this plant",IF(H1842="credit",CONCATENATE("-$",ROUND(K1842*(1-_xlfn.SINGLE(T2GDiscount))*-1,2)," CREDIT after discount"),IF(_xlfn.SINGLE(T2GDiscount)=0,"",IF(G1842=0,"",IF(F1842="Buy",CONCATENATE("$",ROUND(K1842*(1-_xlfn.SINGLE(T2GDiscount)),2)," with ",(_xlfn.SINGLE(T2GDiscount)*100),"% discount"),CONCATENATE("$",ROUND(K1842*(1-_xlfn.SINGLE(T2GDiscount)),2)," with ",((_xlfn.SINGLE(T2GDiscount)*100+F1842*100)-(_xlfn.SINGLE(T2GDiscount)*100*F1842)),IF(F1842&gt;0,"% discounts",IF(_xlfn.SINGLE(NoWarrantyDiscount)&gt;0,"% discounts","% discount")))))))))</f>
        <v/>
      </c>
      <c r="N1842" s="690"/>
      <c r="O1842" s="486"/>
      <c r="P1842" s="486"/>
      <c r="Q1842" s="486"/>
      <c r="R1842" s="486"/>
      <c r="S1842" s="486"/>
      <c r="T1842" s="102">
        <f t="shared" si="1295"/>
        <v>0</v>
      </c>
      <c r="U1842" s="78">
        <f>IF(NOT(ISNUMBER(G1842)), "", VLOOKUP(A1842,'Discount Lookup'!D:E,2,FALSE)*G1842)</f>
        <v>0</v>
      </c>
      <c r="V1842" s="78">
        <f>IF(NOT(ISNUMBER(G1842)), "", VLOOKUP(A1842,'Discount Lookup'!G:H,2,FALSE)*G1842)</f>
        <v>0</v>
      </c>
      <c r="W1842" s="102">
        <f t="shared" si="1296"/>
        <v>0</v>
      </c>
      <c r="X1842" s="102">
        <f t="shared" si="1297"/>
        <v>0</v>
      </c>
      <c r="Y1842" s="120" t="b">
        <f t="shared" si="1298"/>
        <v>0</v>
      </c>
      <c r="Z1842" s="117">
        <f t="shared" si="1299"/>
        <v>0</v>
      </c>
      <c r="AA1842" s="118"/>
      <c r="AB1842" s="118" t="str">
        <f t="shared" si="1300"/>
        <v/>
      </c>
      <c r="AC1842" s="712" t="str">
        <f>IF(AE1842="T2G","no charge",IF(AND(OR(PlanterYesMe="No",PlanterYesMe="N",PlanterYesMe="me"),H1842=""),"",IF(H1842="credit","NO install",IF(AND(K1842="",AE1842="me"),"EACH row",IF(AND(K1842="images",AE1842="me"),"EACH row",IF(D1842="","",IF(H1842="credit","",IF(AE1842="free","re-planting",IF(AE1842="me","   not ELP, by",IF(AND(OR(PlanterYesMe="Yes",PlanterYesMe="Y"),G1842&gt;0),(VLOOKUP(A1842,'Discount Lookup'!J:K,2)*G1842*(1-PlanterDiscount)*(1+PlanterDifficultyPercentage)),IF(AE1842="ELP",(VLOOKUP(A1842,'Discount Lookup'!J:K,2)*G1842*(1-PlanterDiscount)*(1+PlanterDifficultyPercentage)),IF(AE1842="free","re-planting",IF(G1842=0,"",IF(PlanterYesMe="",IF(AE1842="me","   not ELP, by",IF(AE1842="",IF(G1842&gt;0,(VLOOKUP(A1842,'Discount Lookup'!J:K,2)*G1842*(1-PlanterDiscount)*(1+PlanterDifficultyPercentage)),""),"")),"   not ELP, by"))))))))))))))</f>
        <v/>
      </c>
      <c r="AD1842" s="712"/>
      <c r="AE1842" s="513" t="str">
        <f t="shared" si="1301"/>
        <v/>
      </c>
      <c r="AF1842" s="713" t="str">
        <f t="shared" si="1302"/>
        <v/>
      </c>
      <c r="AG1842" s="713"/>
      <c r="AH1842" s="713"/>
      <c r="AI1842" s="112">
        <f>IF(H1842="credit",0,IF(AE1842="free",0,IF(AE1842="me",0,IF(G1842&gt;0,(VLOOKUP(A1842,'Discount Lookup'!J:K,2)*G1842),0))))</f>
        <v>0</v>
      </c>
      <c r="AJ1842" s="107" t="str">
        <f t="shared" ca="1" si="1303"/>
        <v/>
      </c>
      <c r="AK1842" s="714" t="str">
        <f t="shared" si="1304"/>
        <v/>
      </c>
      <c r="AL1842" s="714"/>
      <c r="AM1842" s="114" t="str">
        <f t="shared" si="1305"/>
        <v/>
      </c>
      <c r="AN1842" s="115"/>
      <c r="AO1842" s="116"/>
      <c r="AP1842" s="116"/>
      <c r="AQ1842" s="116"/>
      <c r="AR1842" s="116"/>
      <c r="AS1842" s="116"/>
      <c r="AT1842" s="116"/>
      <c r="AU1842" s="116"/>
      <c r="AV1842" s="78"/>
      <c r="AW1842" s="102"/>
      <c r="AX1842" s="78"/>
      <c r="AY1842" s="78"/>
      <c r="AZ1842" s="78"/>
      <c r="BA1842" s="78"/>
      <c r="BB1842" s="78"/>
      <c r="BC1842" s="78"/>
      <c r="BD1842" s="78"/>
      <c r="BE1842" s="465"/>
      <c r="BF1842" s="165" t="str">
        <f t="shared" si="1306"/>
        <v>https://www.google.com/search?tbm=isch&amp;q=3%20G2</v>
      </c>
      <c r="BG1842" s="165" t="str">
        <f t="shared" si="1307"/>
        <v>H</v>
      </c>
      <c r="BH1842" s="65"/>
      <c r="BI1842" s="65"/>
      <c r="BJ1842" s="65"/>
      <c r="BK1842" s="65"/>
      <c r="BL1842" s="99"/>
      <c r="BM1842" s="99"/>
      <c r="BN1842" s="99"/>
    </row>
    <row r="1843" spans="1:66" s="51" customFormat="1" ht="40.5" x14ac:dyDescent="0.25">
      <c r="A1843" s="634">
        <v>7</v>
      </c>
      <c r="B1843" s="635" t="s">
        <v>291</v>
      </c>
      <c r="C1843" s="636" t="s">
        <v>2703</v>
      </c>
      <c r="D1843" s="637" t="s">
        <v>299</v>
      </c>
      <c r="E1843" s="638">
        <v>77.95</v>
      </c>
      <c r="F1843" s="639" t="s">
        <v>292</v>
      </c>
      <c r="G1843" s="484">
        <v>0</v>
      </c>
      <c r="H1843" s="691" t="str">
        <f>IF(G1843=0,"",IF(F1843="Buy",IF(G1843=1,"plant","plants"),IF(F1843&gt;0.01,"warranty","Error")))</f>
        <v/>
      </c>
      <c r="I1843" s="640">
        <f>IF(H1843="free",0,IF(H1843="credit",((E1843*(F1843))*G1843*-1),IF(F1843="Buy",(E1843*G1843),((E1843*(1-F1843))*G1843))))</f>
        <v>0</v>
      </c>
      <c r="J1843" s="640">
        <f>IF(H1843="warranty",0,(I1843*(_xlfn.SINGLE(SalesTaxPercentage))))</f>
        <v>0</v>
      </c>
      <c r="K1843" s="716">
        <f t="shared" ref="K1843" si="1319">I1843+J1843</f>
        <v>0</v>
      </c>
      <c r="L1843" s="716"/>
      <c r="M1843" s="689" t="str">
        <f ca="1">IF(AND(G1843&gt;0,E1843=0),"WARNING - no PRICE inserted",IF(H1843="free","FREE ~ no charge this plant",IF(H1843="credit",CONCATENATE("-$",ROUND(K1843*(1-_xlfn.SINGLE(T2GDiscount))*-1,2)," CREDIT after discount"),IF(_xlfn.SINGLE(T2GDiscount)=0,"",IF(G1843=0,"",IF(F1843="Buy",CONCATENATE("$",ROUND(K1843*(1-_xlfn.SINGLE(T2GDiscount)),2)," with ",(_xlfn.SINGLE(T2GDiscount)*100),"% discount"),CONCATENATE("$",ROUND(K1843*(1-_xlfn.SINGLE(T2GDiscount)),2)," with ",((_xlfn.SINGLE(T2GDiscount)*100+F1843*100)-(_xlfn.SINGLE(T2GDiscount)*100*F1843)),IF(F1843&gt;0,"% discounts",IF(_xlfn.SINGLE(NoWarrantyDiscount)&gt;0,"% discounts","% discount")))))))))</f>
        <v/>
      </c>
      <c r="N1843" s="690"/>
      <c r="O1843" s="486"/>
      <c r="P1843" s="486"/>
      <c r="Q1843" s="486"/>
      <c r="R1843" s="486"/>
      <c r="S1843" s="486"/>
      <c r="T1843" s="102">
        <f t="shared" si="1295"/>
        <v>0</v>
      </c>
      <c r="U1843" s="78">
        <f>IF(NOT(ISNUMBER(G1843)), "", VLOOKUP(A1843,'Discount Lookup'!D:E,2,FALSE)*G1843)</f>
        <v>0</v>
      </c>
      <c r="V1843" s="78">
        <f>IF(NOT(ISNUMBER(G1843)), "", VLOOKUP(A1843,'Discount Lookup'!G:H,2,FALSE)*G1843)</f>
        <v>0</v>
      </c>
      <c r="W1843" s="102">
        <f t="shared" si="1296"/>
        <v>0</v>
      </c>
      <c r="X1843" s="102">
        <f t="shared" si="1297"/>
        <v>0</v>
      </c>
      <c r="Y1843" s="120" t="b">
        <f t="shared" si="1298"/>
        <v>0</v>
      </c>
      <c r="Z1843" s="117">
        <f t="shared" si="1299"/>
        <v>0</v>
      </c>
      <c r="AA1843" s="118"/>
      <c r="AB1843" s="118" t="str">
        <f t="shared" si="1300"/>
        <v/>
      </c>
      <c r="AC1843" s="712" t="str">
        <f>IF(AE1843="T2G","no charge",IF(AND(OR(PlanterYesMe="No",PlanterYesMe="N",PlanterYesMe="me"),H1843=""),"",IF(H1843="credit","NO install",IF(AND(K1843="",AE1843="me"),"EACH row",IF(AND(K1843="images",AE1843="me"),"EACH row",IF(D1843="","",IF(H1843="credit","",IF(AE1843="free","re-planting",IF(AE1843="me","   not ELP, by",IF(AND(OR(PlanterYesMe="Yes",PlanterYesMe="Y"),G1843&gt;0),(VLOOKUP(A1843,'Discount Lookup'!J:K,2)*G1843*(1-PlanterDiscount)*(1+PlanterDifficultyPercentage)),IF(AE1843="ELP",(VLOOKUP(A1843,'Discount Lookup'!J:K,2)*G1843*(1-PlanterDiscount)*(1+PlanterDifficultyPercentage)),IF(AE1843="free","re-planting",IF(G1843=0,"",IF(PlanterYesMe="",IF(AE1843="me","   not ELP, by",IF(AE1843="",IF(G1843&gt;0,(VLOOKUP(A1843,'Discount Lookup'!J:K,2)*G1843*(1-PlanterDiscount)*(1+PlanterDifficultyPercentage)),""),"")),"   not ELP, by"))))))))))))))</f>
        <v/>
      </c>
      <c r="AD1843" s="712"/>
      <c r="AE1843" s="513" t="str">
        <f t="shared" si="1301"/>
        <v/>
      </c>
      <c r="AF1843" s="713" t="str">
        <f t="shared" si="1302"/>
        <v/>
      </c>
      <c r="AG1843" s="713"/>
      <c r="AH1843" s="713"/>
      <c r="AI1843" s="112">
        <f>IF(H1843="credit",0,IF(AE1843="free",0,IF(AE1843="me",0,IF(G1843&gt;0,(VLOOKUP(A1843,'Discount Lookup'!J:K,2)*G1843),0))))</f>
        <v>0</v>
      </c>
      <c r="AJ1843" s="107" t="str">
        <f t="shared" ca="1" si="1303"/>
        <v/>
      </c>
      <c r="AK1843" s="714" t="str">
        <f t="shared" si="1304"/>
        <v/>
      </c>
      <c r="AL1843" s="714"/>
      <c r="AM1843" s="114" t="str">
        <f t="shared" si="1305"/>
        <v/>
      </c>
      <c r="AN1843" s="115"/>
      <c r="AO1843" s="116"/>
      <c r="AP1843" s="116"/>
      <c r="AQ1843" s="116"/>
      <c r="AR1843" s="116"/>
      <c r="AS1843" s="116"/>
      <c r="AT1843" s="116"/>
      <c r="AU1843" s="116"/>
      <c r="AV1843" s="78"/>
      <c r="AW1843" s="102"/>
      <c r="AX1843" s="78"/>
      <c r="AY1843" s="78"/>
      <c r="AZ1843" s="78"/>
      <c r="BA1843" s="78"/>
      <c r="BB1843" s="78"/>
      <c r="BC1843" s="78"/>
      <c r="BD1843" s="78"/>
      <c r="BE1843" s="465"/>
      <c r="BF1843" s="165" t="str">
        <f t="shared" si="1306"/>
        <v>https://www.google.com/search?tbm=isch&amp;q=7%20G4</v>
      </c>
      <c r="BG1843" s="165" t="str">
        <f t="shared" si="1307"/>
        <v>H</v>
      </c>
      <c r="BH1843" s="65"/>
      <c r="BI1843" s="65"/>
      <c r="BJ1843" s="65"/>
      <c r="BK1843" s="65"/>
      <c r="BL1843" s="99"/>
      <c r="BM1843" s="99"/>
      <c r="BN1843" s="99"/>
    </row>
    <row r="1844" spans="1:66" s="51" customFormat="1" ht="17.25" thickBot="1" x14ac:dyDescent="0.3">
      <c r="A1844" s="704" t="s">
        <v>5410</v>
      </c>
      <c r="B1844" s="642"/>
      <c r="C1844" s="710"/>
      <c r="D1844" s="643"/>
      <c r="E1844" s="643"/>
      <c r="F1844" s="644"/>
      <c r="G1844" s="645"/>
      <c r="H1844" s="646"/>
      <c r="I1844" s="647"/>
      <c r="J1844" s="648"/>
      <c r="K1844" s="649"/>
      <c r="L1844" s="650"/>
      <c r="M1844" s="650"/>
      <c r="N1844" s="644"/>
      <c r="O1844" s="644"/>
      <c r="P1844" s="644"/>
      <c r="Q1844" s="644"/>
      <c r="R1844" s="644"/>
      <c r="S1844" s="701" t="s">
        <v>5273</v>
      </c>
      <c r="T1844" s="102">
        <f t="shared" si="1295"/>
        <v>0</v>
      </c>
      <c r="U1844" s="78" t="str">
        <f>IF(NOT(ISNUMBER(G1844)), "", VLOOKUP(A1844,'Discount Lookup'!D:E,2,FALSE)*G1844)</f>
        <v/>
      </c>
      <c r="V1844" s="78" t="str">
        <f>IF(NOT(ISNUMBER(G1844)), "", VLOOKUP(A1844,'Discount Lookup'!G:H,2,FALSE)*G1844)</f>
        <v/>
      </c>
      <c r="W1844" s="102">
        <f t="shared" si="1296"/>
        <v>0</v>
      </c>
      <c r="X1844" s="102">
        <f t="shared" si="1297"/>
        <v>0</v>
      </c>
      <c r="Y1844" s="120" t="b">
        <f t="shared" si="1298"/>
        <v>0</v>
      </c>
      <c r="Z1844" s="117">
        <f t="shared" si="1299"/>
        <v>0</v>
      </c>
      <c r="AA1844" s="118"/>
      <c r="AB1844" s="118" t="str">
        <f t="shared" si="1300"/>
        <v/>
      </c>
      <c r="AC1844" s="712" t="str">
        <f>IF(AE1844="T2G","no charge",IF(AND(OR(PlanterYesMe="No",PlanterYesMe="N",PlanterYesMe="me"),H1844=""),"",IF(H1844="credit","NO install",IF(AND(K1844="",AE1844="me"),"EACH row",IF(AND(K1844="images",AE1844="me"),"EACH row",IF(D1844="","",IF(H1844="credit","",IF(AE1844="free","re-planting",IF(AE1844="me","   not ELP, by",IF(AND(OR(PlanterYesMe="Yes",PlanterYesMe="Y"),G1844&gt;0),(VLOOKUP(A1844,'Discount Lookup'!J:K,2)*G1844*(1-PlanterDiscount)*(1+PlanterDifficultyPercentage)),IF(AE1844="ELP",(VLOOKUP(A1844,'Discount Lookup'!J:K,2)*G1844*(1-PlanterDiscount)*(1+PlanterDifficultyPercentage)),IF(AE1844="free","re-planting",IF(G1844=0,"",IF(PlanterYesMe="",IF(AE1844="me","   not ELP, by",IF(AE1844="",IF(G1844&gt;0,(VLOOKUP(A1844,'Discount Lookup'!J:K,2)*G1844*(1-PlanterDiscount)*(1+PlanterDifficultyPercentage)),""),"")),"   not ELP, by"))))))))))))))</f>
        <v/>
      </c>
      <c r="AD1844" s="712"/>
      <c r="AE1844" s="513" t="str">
        <f t="shared" si="1301"/>
        <v/>
      </c>
      <c r="AF1844" s="713" t="str">
        <f t="shared" si="1302"/>
        <v/>
      </c>
      <c r="AG1844" s="713"/>
      <c r="AH1844" s="713"/>
      <c r="AI1844" s="112">
        <f>IF(H1844="credit",0,IF(AE1844="free",0,IF(AE1844="me",0,IF(G1844&gt;0,(VLOOKUP(A1844,'Discount Lookup'!J:K,2)*G1844),0))))</f>
        <v>0</v>
      </c>
      <c r="AJ1844" s="107" t="str">
        <f t="shared" ca="1" si="1303"/>
        <v/>
      </c>
      <c r="AK1844" s="714" t="str">
        <f t="shared" si="1304"/>
        <v/>
      </c>
      <c r="AL1844" s="714"/>
      <c r="AM1844" s="114" t="str">
        <f t="shared" si="1305"/>
        <v/>
      </c>
      <c r="AN1844" s="115"/>
      <c r="AO1844" s="116"/>
      <c r="AP1844" s="116"/>
      <c r="AQ1844" s="116"/>
      <c r="AR1844" s="116"/>
      <c r="AS1844" s="116"/>
      <c r="AT1844" s="116"/>
      <c r="AU1844" s="116"/>
      <c r="AV1844" s="78"/>
      <c r="AW1844" s="102"/>
      <c r="AX1844" s="78"/>
      <c r="AY1844" s="78"/>
      <c r="AZ1844" s="78"/>
      <c r="BA1844" s="78"/>
      <c r="BB1844" s="78"/>
      <c r="BC1844" s="78"/>
      <c r="BD1844" s="78"/>
      <c r="BE1844" s="465"/>
      <c r="BF1844" s="165" t="str">
        <f t="shared" si="1306"/>
        <v>https://www.google.com/search?tbm=isch&amp;q=wet%20sites%F0%9F%92%A7GOOD%2C%20Starry%20Starry%20Night%27s%20near-Black%20foliage.%20%22Hardy%22%20Hibiscus%20have%20giant%20tropical%20blooms%20%28to%2012%22%29%20on%20new%20wood%20</v>
      </c>
      <c r="BG1844" s="165" t="str">
        <f t="shared" si="1307"/>
        <v>w</v>
      </c>
      <c r="BH1844" s="65"/>
      <c r="BI1844" s="65"/>
      <c r="BJ1844" s="65"/>
      <c r="BK1844" s="65"/>
      <c r="BL1844" s="99"/>
      <c r="BM1844" s="99"/>
      <c r="BN1844" s="99"/>
    </row>
    <row r="1845" spans="1:66" s="51" customFormat="1" ht="18" x14ac:dyDescent="0.25">
      <c r="A1845" s="623" t="s">
        <v>2704</v>
      </c>
      <c r="B1845" s="624"/>
      <c r="C1845" s="709"/>
      <c r="D1845" s="625" t="s">
        <v>5677</v>
      </c>
      <c r="E1845" s="626"/>
      <c r="F1845" s="626"/>
      <c r="G1845" s="626"/>
      <c r="H1845" s="622" t="s">
        <v>2705</v>
      </c>
      <c r="I1845" s="627" t="s">
        <v>2706</v>
      </c>
      <c r="J1845" s="628"/>
      <c r="K1845" s="628"/>
      <c r="L1845" s="629"/>
      <c r="M1845" s="700" t="s">
        <v>5241</v>
      </c>
      <c r="N1845" s="693" t="str">
        <f>IF(AND(ISTEXT($A1845), ISERROR($A1845+0)), HYPERLINK($BF1845, "Images"), "")</f>
        <v>Images</v>
      </c>
      <c r="O1845" s="695" t="s">
        <v>5247</v>
      </c>
      <c r="P1845" s="630"/>
      <c r="Q1845" s="631"/>
      <c r="R1845" s="632"/>
      <c r="S1845" s="633"/>
      <c r="T1845" s="102">
        <f t="shared" si="1295"/>
        <v>0</v>
      </c>
      <c r="U1845" s="78" t="str">
        <f>IF(NOT(ISNUMBER(G1845)), "", VLOOKUP(A1845,'Discount Lookup'!D:E,2,FALSE)*G1845)</f>
        <v/>
      </c>
      <c r="V1845" s="78" t="str">
        <f>IF(NOT(ISNUMBER(G1845)), "", VLOOKUP(A1845,'Discount Lookup'!G:H,2,FALSE)*G1845)</f>
        <v/>
      </c>
      <c r="W1845" s="102">
        <f t="shared" si="1296"/>
        <v>0</v>
      </c>
      <c r="X1845" s="102" t="str">
        <f t="shared" si="1297"/>
        <v>Rich Purple bloom, Red ey</v>
      </c>
      <c r="Y1845" s="120" t="b">
        <f t="shared" si="1298"/>
        <v>0</v>
      </c>
      <c r="Z1845" s="117">
        <f t="shared" si="1299"/>
        <v>0</v>
      </c>
      <c r="AA1845" s="118"/>
      <c r="AB1845" s="118" t="str">
        <f t="shared" si="1300"/>
        <v/>
      </c>
      <c r="AC1845" s="712" t="str">
        <f>IF(AE1845="T2G","no charge",IF(AND(OR(PlanterYesMe="No",PlanterYesMe="N",PlanterYesMe="me"),H1845=""),"",IF(H1845="credit","NO install",IF(AND(K1845="",AE1845="me"),"EACH row",IF(AND(K1845="images",AE1845="me"),"EACH row",IF(D1845="","",IF(H1845="credit","",IF(AE1845="free","re-planting",IF(AE1845="me","   not ELP, by",IF(AND(OR(PlanterYesMe="Yes",PlanterYesMe="Y"),G1845&gt;0),(VLOOKUP(A1845,'Discount Lookup'!J:K,2)*G1845*(1-PlanterDiscount)*(1+PlanterDifficultyPercentage)),IF(AE1845="ELP",(VLOOKUP(A1845,'Discount Lookup'!J:K,2)*G1845*(1-PlanterDiscount)*(1+PlanterDifficultyPercentage)),IF(AE1845="free","re-planting",IF(G1845=0,"",IF(PlanterYesMe="",IF(AE1845="me","   not ELP, by",IF(AE1845="",IF(G1845&gt;0,(VLOOKUP(A1845,'Discount Lookup'!J:K,2)*G1845*(1-PlanterDiscount)*(1+PlanterDifficultyPercentage)),""),"")),"   not ELP, by"))))))))))))))</f>
        <v/>
      </c>
      <c r="AD1845" s="712"/>
      <c r="AE1845" s="513" t="str">
        <f t="shared" si="1301"/>
        <v/>
      </c>
      <c r="AF1845" s="713" t="str">
        <f t="shared" si="1302"/>
        <v/>
      </c>
      <c r="AG1845" s="713"/>
      <c r="AH1845" s="713"/>
      <c r="AI1845" s="112">
        <f>IF(H1845="credit",0,IF(AE1845="free",0,IF(AE1845="me",0,IF(G1845&gt;0,(VLOOKUP(A1845,'Discount Lookup'!J:K,2)*G1845),0))))</f>
        <v>0</v>
      </c>
      <c r="AJ1845" s="107" t="str">
        <f t="shared" ca="1" si="1303"/>
        <v/>
      </c>
      <c r="AK1845" s="714" t="str">
        <f t="shared" si="1304"/>
        <v/>
      </c>
      <c r="AL1845" s="714"/>
      <c r="AM1845" s="114" t="str">
        <f t="shared" si="1305"/>
        <v/>
      </c>
      <c r="AN1845" s="115"/>
      <c r="AO1845" s="116"/>
      <c r="AP1845" s="116"/>
      <c r="AQ1845" s="116"/>
      <c r="AR1845" s="116"/>
      <c r="AS1845" s="116"/>
      <c r="AT1845" s="116"/>
      <c r="AU1845" s="116"/>
      <c r="AV1845" s="78"/>
      <c r="AW1845" s="102"/>
      <c r="AX1845" s="78"/>
      <c r="AY1845" s="78"/>
      <c r="AZ1845" s="78"/>
      <c r="BA1845" s="78"/>
      <c r="BB1845" s="78"/>
      <c r="BC1845" s="78"/>
      <c r="BD1845" s="78"/>
      <c r="BE1845" s="465"/>
      <c r="BF1845" s="165" t="str">
        <f t="shared" si="1306"/>
        <v>https://www.google.com/search?tbm=isch&amp;q=Hibiscus%20syriacus%20%27Gandini%20Santiago%27%20PP%2325568%20Purple%20Pillar%C2%AE%20Rose%20of%20Sharon</v>
      </c>
      <c r="BG1845" s="165" t="str">
        <f t="shared" si="1307"/>
        <v>H</v>
      </c>
      <c r="BH1845" s="65"/>
      <c r="BI1845" s="65"/>
      <c r="BJ1845" s="65"/>
      <c r="BK1845" s="65"/>
      <c r="BL1845" s="99"/>
      <c r="BM1845" s="99"/>
      <c r="BN1845" s="99"/>
    </row>
    <row r="1846" spans="1:66" s="51" customFormat="1" ht="15.75" x14ac:dyDescent="0.25">
      <c r="A1846" s="634">
        <v>3</v>
      </c>
      <c r="B1846" s="635" t="s">
        <v>291</v>
      </c>
      <c r="C1846" s="636" t="s">
        <v>2707</v>
      </c>
      <c r="D1846" s="637" t="s">
        <v>311</v>
      </c>
      <c r="E1846" s="638">
        <v>42.95</v>
      </c>
      <c r="F1846" s="639" t="s">
        <v>292</v>
      </c>
      <c r="G1846" s="484">
        <v>0</v>
      </c>
      <c r="H1846" s="691" t="str">
        <f>IF(G1846=0,"",IF(F1846="Buy",IF(G1846=1,"plant","plants"),IF(F1846&gt;0.01,"warranty","Error")))</f>
        <v/>
      </c>
      <c r="I1846" s="640">
        <f>IF(H1846="free",0,IF(H1846="credit",((E1846*(F1846))*G1846*-1),IF(F1846="Buy",(E1846*G1846),((E1846*(1-F1846))*G1846))))</f>
        <v>0</v>
      </c>
      <c r="J1846" s="640">
        <f>IF(H1846="warranty",0,(I1846*(_xlfn.SINGLE(SalesTaxPercentage))))</f>
        <v>0</v>
      </c>
      <c r="K1846" s="716">
        <f t="shared" ref="K1846" si="1320">I1846+J1846</f>
        <v>0</v>
      </c>
      <c r="L1846" s="716"/>
      <c r="M1846" s="689" t="str">
        <f ca="1">IF(AND(G1846&gt;0,E1846=0),"WARNING - no PRICE inserted",IF(H1846="free","FREE ~ no charge this plant",IF(H1846="credit",CONCATENATE("-$",ROUND(K1846*(1-_xlfn.SINGLE(T2GDiscount))*-1,2)," CREDIT after discount"),IF(_xlfn.SINGLE(T2GDiscount)=0,"",IF(G1846=0,"",IF(F1846="Buy",CONCATENATE("$",ROUND(K1846*(1-_xlfn.SINGLE(T2GDiscount)),2)," with ",(_xlfn.SINGLE(T2GDiscount)*100),"% discount"),CONCATENATE("$",ROUND(K1846*(1-_xlfn.SINGLE(T2GDiscount)),2)," with ",((_xlfn.SINGLE(T2GDiscount)*100+F1846*100)-(_xlfn.SINGLE(T2GDiscount)*100*F1846)),IF(F1846&gt;0,"% discounts",IF(_xlfn.SINGLE(NoWarrantyDiscount)&gt;0,"% discounts","% discount")))))))))</f>
        <v/>
      </c>
      <c r="N1846" s="690"/>
      <c r="O1846" s="486"/>
      <c r="P1846" s="486"/>
      <c r="Q1846" s="486"/>
      <c r="R1846" s="486"/>
      <c r="S1846" s="486"/>
      <c r="T1846" s="102">
        <f t="shared" si="1295"/>
        <v>0</v>
      </c>
      <c r="U1846" s="78">
        <f>IF(NOT(ISNUMBER(G1846)), "", VLOOKUP(A1846,'Discount Lookup'!D:E,2,FALSE)*G1846)</f>
        <v>0</v>
      </c>
      <c r="V1846" s="78">
        <f>IF(NOT(ISNUMBER(G1846)), "", VLOOKUP(A1846,'Discount Lookup'!G:H,2,FALSE)*G1846)</f>
        <v>0</v>
      </c>
      <c r="W1846" s="102">
        <f t="shared" si="1296"/>
        <v>0</v>
      </c>
      <c r="X1846" s="102">
        <f t="shared" si="1297"/>
        <v>0</v>
      </c>
      <c r="Y1846" s="120" t="b">
        <f t="shared" si="1298"/>
        <v>0</v>
      </c>
      <c r="Z1846" s="117">
        <f t="shared" si="1299"/>
        <v>0</v>
      </c>
      <c r="AA1846" s="118"/>
      <c r="AB1846" s="118" t="str">
        <f t="shared" si="1300"/>
        <v/>
      </c>
      <c r="AC1846" s="712" t="str">
        <f>IF(AE1846="T2G","no charge",IF(AND(OR(PlanterYesMe="No",PlanterYesMe="N",PlanterYesMe="me"),H1846=""),"",IF(H1846="credit","NO install",IF(AND(K1846="",AE1846="me"),"EACH row",IF(AND(K1846="images",AE1846="me"),"EACH row",IF(D1846="","",IF(H1846="credit","",IF(AE1846="free","re-planting",IF(AE1846="me","   not ELP, by",IF(AND(OR(PlanterYesMe="Yes",PlanterYesMe="Y"),G1846&gt;0),(VLOOKUP(A1846,'Discount Lookup'!J:K,2)*G1846*(1-PlanterDiscount)*(1+PlanterDifficultyPercentage)),IF(AE1846="ELP",(VLOOKUP(A1846,'Discount Lookup'!J:K,2)*G1846*(1-PlanterDiscount)*(1+PlanterDifficultyPercentage)),IF(AE1846="free","re-planting",IF(G1846=0,"",IF(PlanterYesMe="",IF(AE1846="me","   not ELP, by",IF(AE1846="",IF(G1846&gt;0,(VLOOKUP(A1846,'Discount Lookup'!J:K,2)*G1846*(1-PlanterDiscount)*(1+PlanterDifficultyPercentage)),""),"")),"   not ELP, by"))))))))))))))</f>
        <v/>
      </c>
      <c r="AD1846" s="712"/>
      <c r="AE1846" s="513" t="str">
        <f t="shared" si="1301"/>
        <v/>
      </c>
      <c r="AF1846" s="713" t="str">
        <f t="shared" si="1302"/>
        <v/>
      </c>
      <c r="AG1846" s="713"/>
      <c r="AH1846" s="713"/>
      <c r="AI1846" s="112">
        <f>IF(H1846="credit",0,IF(AE1846="free",0,IF(AE1846="me",0,IF(G1846&gt;0,(VLOOKUP(A1846,'Discount Lookup'!J:K,2)*G1846),0))))</f>
        <v>0</v>
      </c>
      <c r="AJ1846" s="107" t="str">
        <f t="shared" ca="1" si="1303"/>
        <v/>
      </c>
      <c r="AK1846" s="714" t="str">
        <f t="shared" si="1304"/>
        <v/>
      </c>
      <c r="AL1846" s="714"/>
      <c r="AM1846" s="114" t="str">
        <f t="shared" si="1305"/>
        <v/>
      </c>
      <c r="AN1846" s="115"/>
      <c r="AO1846" s="116"/>
      <c r="AP1846" s="116"/>
      <c r="AQ1846" s="116"/>
      <c r="AR1846" s="116"/>
      <c r="AS1846" s="116"/>
      <c r="AT1846" s="116"/>
      <c r="AU1846" s="116"/>
      <c r="AV1846" s="78"/>
      <c r="AW1846" s="102"/>
      <c r="AX1846" s="78"/>
      <c r="AY1846" s="78"/>
      <c r="AZ1846" s="78"/>
      <c r="BA1846" s="78"/>
      <c r="BB1846" s="78"/>
      <c r="BC1846" s="78"/>
      <c r="BD1846" s="78"/>
      <c r="BE1846" s="465"/>
      <c r="BF1846" s="165" t="str">
        <f t="shared" si="1306"/>
        <v>https://www.google.com/search?tbm=isch&amp;q=3%20G5</v>
      </c>
      <c r="BG1846" s="165" t="str">
        <f t="shared" si="1307"/>
        <v>H</v>
      </c>
      <c r="BH1846" s="65"/>
      <c r="BI1846" s="65"/>
      <c r="BJ1846" s="65"/>
      <c r="BK1846" s="65"/>
      <c r="BL1846" s="99"/>
      <c r="BM1846" s="99"/>
      <c r="BN1846" s="99"/>
    </row>
    <row r="1847" spans="1:66" s="51" customFormat="1" ht="15.75" x14ac:dyDescent="0.25">
      <c r="A1847" s="634">
        <v>7</v>
      </c>
      <c r="B1847" s="635" t="s">
        <v>291</v>
      </c>
      <c r="C1847" s="636" t="s">
        <v>2708</v>
      </c>
      <c r="D1847" s="637" t="s">
        <v>311</v>
      </c>
      <c r="E1847" s="638">
        <v>79.95</v>
      </c>
      <c r="F1847" s="639" t="s">
        <v>292</v>
      </c>
      <c r="G1847" s="484">
        <v>0</v>
      </c>
      <c r="H1847" s="691" t="str">
        <f>IF(G1847=0,"",IF(F1847="Buy",IF(G1847=1,"plant","plants"),IF(F1847&gt;0.01,"warranty","Error")))</f>
        <v/>
      </c>
      <c r="I1847" s="640">
        <f>IF(H1847="free",0,IF(H1847="credit",((E1847*(F1847))*G1847*-1),IF(F1847="Buy",(E1847*G1847),((E1847*(1-F1847))*G1847))))</f>
        <v>0</v>
      </c>
      <c r="J1847" s="640">
        <f>IF(H1847="warranty",0,(I1847*(_xlfn.SINGLE(SalesTaxPercentage))))</f>
        <v>0</v>
      </c>
      <c r="K1847" s="716">
        <f t="shared" ref="K1847" si="1321">I1847+J1847</f>
        <v>0</v>
      </c>
      <c r="L1847" s="716"/>
      <c r="M1847" s="689" t="str">
        <f ca="1">IF(AND(G1847&gt;0,E1847=0),"WARNING - no PRICE inserted",IF(H1847="free","FREE ~ no charge this plant",IF(H1847="credit",CONCATENATE("-$",ROUND(K1847*(1-_xlfn.SINGLE(T2GDiscount))*-1,2)," CREDIT after discount"),IF(_xlfn.SINGLE(T2GDiscount)=0,"",IF(G1847=0,"",IF(F1847="Buy",CONCATENATE("$",ROUND(K1847*(1-_xlfn.SINGLE(T2GDiscount)),2)," with ",(_xlfn.SINGLE(T2GDiscount)*100),"% discount"),CONCATENATE("$",ROUND(K1847*(1-_xlfn.SINGLE(T2GDiscount)),2)," with ",((_xlfn.SINGLE(T2GDiscount)*100+F1847*100)-(_xlfn.SINGLE(T2GDiscount)*100*F1847)),IF(F1847&gt;0,"% discounts",IF(_xlfn.SINGLE(NoWarrantyDiscount)&gt;0,"% discounts","% discount")))))))))</f>
        <v/>
      </c>
      <c r="N1847" s="690"/>
      <c r="O1847" s="486"/>
      <c r="P1847" s="486"/>
      <c r="Q1847" s="486"/>
      <c r="R1847" s="486"/>
      <c r="S1847" s="486"/>
      <c r="T1847" s="102">
        <f t="shared" si="1295"/>
        <v>0</v>
      </c>
      <c r="U1847" s="78">
        <f>IF(NOT(ISNUMBER(G1847)), "", VLOOKUP(A1847,'Discount Lookup'!D:E,2,FALSE)*G1847)</f>
        <v>0</v>
      </c>
      <c r="V1847" s="78">
        <f>IF(NOT(ISNUMBER(G1847)), "", VLOOKUP(A1847,'Discount Lookup'!G:H,2,FALSE)*G1847)</f>
        <v>0</v>
      </c>
      <c r="W1847" s="102">
        <f t="shared" si="1296"/>
        <v>0</v>
      </c>
      <c r="X1847" s="102">
        <f t="shared" si="1297"/>
        <v>0</v>
      </c>
      <c r="Y1847" s="120" t="b">
        <f t="shared" si="1298"/>
        <v>0</v>
      </c>
      <c r="Z1847" s="117">
        <f t="shared" si="1299"/>
        <v>0</v>
      </c>
      <c r="AA1847" s="118"/>
      <c r="AB1847" s="118" t="str">
        <f t="shared" si="1300"/>
        <v/>
      </c>
      <c r="AC1847" s="712" t="str">
        <f>IF(AE1847="T2G","no charge",IF(AND(OR(PlanterYesMe="No",PlanterYesMe="N",PlanterYesMe="me"),H1847=""),"",IF(H1847="credit","NO install",IF(AND(K1847="",AE1847="me"),"EACH row",IF(AND(K1847="images",AE1847="me"),"EACH row",IF(D1847="","",IF(H1847="credit","",IF(AE1847="free","re-planting",IF(AE1847="me","   not ELP, by",IF(AND(OR(PlanterYesMe="Yes",PlanterYesMe="Y"),G1847&gt;0),(VLOOKUP(A1847,'Discount Lookup'!J:K,2)*G1847*(1-PlanterDiscount)*(1+PlanterDifficultyPercentage)),IF(AE1847="ELP",(VLOOKUP(A1847,'Discount Lookup'!J:K,2)*G1847*(1-PlanterDiscount)*(1+PlanterDifficultyPercentage)),IF(AE1847="free","re-planting",IF(G1847=0,"",IF(PlanterYesMe="",IF(AE1847="me","   not ELP, by",IF(AE1847="",IF(G1847&gt;0,(VLOOKUP(A1847,'Discount Lookup'!J:K,2)*G1847*(1-PlanterDiscount)*(1+PlanterDifficultyPercentage)),""),"")),"   not ELP, by"))))))))))))))</f>
        <v/>
      </c>
      <c r="AD1847" s="712"/>
      <c r="AE1847" s="513" t="str">
        <f t="shared" si="1301"/>
        <v/>
      </c>
      <c r="AF1847" s="713" t="str">
        <f t="shared" si="1302"/>
        <v/>
      </c>
      <c r="AG1847" s="713"/>
      <c r="AH1847" s="713"/>
      <c r="AI1847" s="112">
        <f>IF(H1847="credit",0,IF(AE1847="free",0,IF(AE1847="me",0,IF(G1847&gt;0,(VLOOKUP(A1847,'Discount Lookup'!J:K,2)*G1847),0))))</f>
        <v>0</v>
      </c>
      <c r="AJ1847" s="107" t="str">
        <f t="shared" ca="1" si="1303"/>
        <v/>
      </c>
      <c r="AK1847" s="714" t="str">
        <f t="shared" si="1304"/>
        <v/>
      </c>
      <c r="AL1847" s="714"/>
      <c r="AM1847" s="114" t="str">
        <f t="shared" si="1305"/>
        <v/>
      </c>
      <c r="AN1847" s="115"/>
      <c r="AO1847" s="116"/>
      <c r="AP1847" s="116"/>
      <c r="AQ1847" s="116"/>
      <c r="AR1847" s="116"/>
      <c r="AS1847" s="116"/>
      <c r="AT1847" s="116"/>
      <c r="AU1847" s="116"/>
      <c r="AV1847" s="78"/>
      <c r="AW1847" s="102"/>
      <c r="AX1847" s="78"/>
      <c r="AY1847" s="78"/>
      <c r="AZ1847" s="78"/>
      <c r="BA1847" s="78"/>
      <c r="BB1847" s="78"/>
      <c r="BC1847" s="78"/>
      <c r="BD1847" s="78"/>
      <c r="BE1847" s="465"/>
      <c r="BF1847" s="165" t="str">
        <f t="shared" si="1306"/>
        <v>https://www.google.com/search?tbm=isch&amp;q=7%20G5</v>
      </c>
      <c r="BG1847" s="165" t="str">
        <f t="shared" si="1307"/>
        <v>H</v>
      </c>
      <c r="BH1847" s="65"/>
      <c r="BI1847" s="65"/>
      <c r="BJ1847" s="65"/>
      <c r="BK1847" s="65"/>
      <c r="BL1847" s="99"/>
      <c r="BM1847" s="99"/>
      <c r="BN1847" s="99"/>
    </row>
    <row r="1848" spans="1:66" s="51" customFormat="1" ht="17.25" thickBot="1" x14ac:dyDescent="0.3">
      <c r="A1848" s="641" t="s">
        <v>4842</v>
      </c>
      <c r="B1848" s="642"/>
      <c r="C1848" s="710"/>
      <c r="D1848" s="643"/>
      <c r="E1848" s="643"/>
      <c r="F1848" s="644"/>
      <c r="G1848" s="645"/>
      <c r="H1848" s="646"/>
      <c r="I1848" s="647"/>
      <c r="J1848" s="648"/>
      <c r="K1848" s="649"/>
      <c r="L1848" s="650"/>
      <c r="M1848" s="650"/>
      <c r="N1848" s="644"/>
      <c r="O1848" s="644"/>
      <c r="P1848" s="644"/>
      <c r="Q1848" s="644"/>
      <c r="R1848" s="644"/>
      <c r="S1848" s="701" t="s">
        <v>5273</v>
      </c>
      <c r="T1848" s="102">
        <f t="shared" si="1295"/>
        <v>0</v>
      </c>
      <c r="U1848" s="78" t="str">
        <f>IF(NOT(ISNUMBER(G1848)), "", VLOOKUP(A1848,'Discount Lookup'!D:E,2,FALSE)*G1848)</f>
        <v/>
      </c>
      <c r="V1848" s="78" t="str">
        <f>IF(NOT(ISNUMBER(G1848)), "", VLOOKUP(A1848,'Discount Lookup'!G:H,2,FALSE)*G1848)</f>
        <v/>
      </c>
      <c r="W1848" s="102">
        <f t="shared" si="1296"/>
        <v>0</v>
      </c>
      <c r="X1848" s="102">
        <f t="shared" si="1297"/>
        <v>0</v>
      </c>
      <c r="Y1848" s="120" t="b">
        <f t="shared" si="1298"/>
        <v>0</v>
      </c>
      <c r="Z1848" s="117">
        <f t="shared" si="1299"/>
        <v>0</v>
      </c>
      <c r="AA1848" s="118"/>
      <c r="AB1848" s="118" t="str">
        <f t="shared" si="1300"/>
        <v/>
      </c>
      <c r="AC1848" s="712" t="str">
        <f>IF(AE1848="T2G","no charge",IF(AND(OR(PlanterYesMe="No",PlanterYesMe="N",PlanterYesMe="me"),H1848=""),"",IF(H1848="credit","NO install",IF(AND(K1848="",AE1848="me"),"EACH row",IF(AND(K1848="images",AE1848="me"),"EACH row",IF(D1848="","",IF(H1848="credit","",IF(AE1848="free","re-planting",IF(AE1848="me","   not ELP, by",IF(AND(OR(PlanterYesMe="Yes",PlanterYesMe="Y"),G1848&gt;0),(VLOOKUP(A1848,'Discount Lookup'!J:K,2)*G1848*(1-PlanterDiscount)*(1+PlanterDifficultyPercentage)),IF(AE1848="ELP",(VLOOKUP(A1848,'Discount Lookup'!J:K,2)*G1848*(1-PlanterDiscount)*(1+PlanterDifficultyPercentage)),IF(AE1848="free","re-planting",IF(G1848=0,"",IF(PlanterYesMe="",IF(AE1848="me","   not ELP, by",IF(AE1848="",IF(G1848&gt;0,(VLOOKUP(A1848,'Discount Lookup'!J:K,2)*G1848*(1-PlanterDiscount)*(1+PlanterDifficultyPercentage)),""),"")),"   not ELP, by"))))))))))))))</f>
        <v/>
      </c>
      <c r="AD1848" s="712"/>
      <c r="AE1848" s="513" t="str">
        <f t="shared" si="1301"/>
        <v/>
      </c>
      <c r="AF1848" s="713" t="str">
        <f t="shared" si="1302"/>
        <v/>
      </c>
      <c r="AG1848" s="713"/>
      <c r="AH1848" s="713"/>
      <c r="AI1848" s="112">
        <f>IF(H1848="credit",0,IF(AE1848="free",0,IF(AE1848="me",0,IF(G1848&gt;0,(VLOOKUP(A1848,'Discount Lookup'!J:K,2)*G1848),0))))</f>
        <v>0</v>
      </c>
      <c r="AJ1848" s="107" t="str">
        <f t="shared" ca="1" si="1303"/>
        <v/>
      </c>
      <c r="AK1848" s="714" t="str">
        <f t="shared" si="1304"/>
        <v/>
      </c>
      <c r="AL1848" s="714"/>
      <c r="AM1848" s="114" t="str">
        <f t="shared" si="1305"/>
        <v/>
      </c>
      <c r="AN1848" s="115"/>
      <c r="AO1848" s="116"/>
      <c r="AP1848" s="116"/>
      <c r="AQ1848" s="116"/>
      <c r="AR1848" s="116"/>
      <c r="AS1848" s="116"/>
      <c r="AT1848" s="116"/>
      <c r="AU1848" s="116"/>
      <c r="AV1848" s="78"/>
      <c r="AW1848" s="102"/>
      <c r="AX1848" s="78"/>
      <c r="AY1848" s="78"/>
      <c r="AZ1848" s="78"/>
      <c r="BA1848" s="78"/>
      <c r="BB1848" s="78"/>
      <c r="BC1848" s="78"/>
      <c r="BD1848" s="78"/>
      <c r="BE1848" s="465"/>
      <c r="BF1848" s="165" t="str">
        <f t="shared" si="1306"/>
        <v>https://www.google.com/search?tbm=isch&amp;q=Purple%20Pillar%20has%20Green%20foliage.%20%22Rose%20of%20Sharon%22%20Hibiscus%20have%20trumpet-shaped%20flowers%20on%20new%20wood.%20Woody%20stems%20remain%20</v>
      </c>
      <c r="BG1848" s="165" t="str">
        <f t="shared" si="1307"/>
        <v>P</v>
      </c>
      <c r="BH1848" s="65"/>
      <c r="BI1848" s="65"/>
      <c r="BJ1848" s="65"/>
      <c r="BK1848" s="65"/>
      <c r="BL1848" s="99"/>
      <c r="BM1848" s="99"/>
      <c r="BN1848" s="99"/>
    </row>
    <row r="1849" spans="1:66" s="51" customFormat="1" ht="18" x14ac:dyDescent="0.25">
      <c r="A1849" s="623" t="s">
        <v>2709</v>
      </c>
      <c r="B1849" s="624"/>
      <c r="C1849" s="709"/>
      <c r="D1849" s="625" t="s">
        <v>5678</v>
      </c>
      <c r="E1849" s="626"/>
      <c r="F1849" s="626"/>
      <c r="G1849" s="626"/>
      <c r="H1849" s="622" t="s">
        <v>1880</v>
      </c>
      <c r="I1849" s="627" t="s">
        <v>2710</v>
      </c>
      <c r="J1849" s="628"/>
      <c r="K1849" s="628"/>
      <c r="L1849" s="629"/>
      <c r="M1849" s="700" t="s">
        <v>5241</v>
      </c>
      <c r="N1849" s="693" t="str">
        <f>IF(AND(ISTEXT($A1849), ISERROR($A1849+0)), HYPERLINK($BF1849, "Images"), "")</f>
        <v>Images</v>
      </c>
      <c r="O1849" s="695" t="s">
        <v>5247</v>
      </c>
      <c r="P1849" s="630"/>
      <c r="Q1849" s="631"/>
      <c r="R1849" s="632"/>
      <c r="S1849" s="633"/>
      <c r="T1849" s="102">
        <f t="shared" si="1295"/>
        <v>0</v>
      </c>
      <c r="U1849" s="78" t="str">
        <f>IF(NOT(ISNUMBER(G1849)), "", VLOOKUP(A1849,'Discount Lookup'!D:E,2,FALSE)*G1849)</f>
        <v/>
      </c>
      <c r="V1849" s="78" t="str">
        <f>IF(NOT(ISNUMBER(G1849)), "", VLOOKUP(A1849,'Discount Lookup'!G:H,2,FALSE)*G1849)</f>
        <v/>
      </c>
      <c r="W1849" s="102">
        <f t="shared" si="1296"/>
        <v>0</v>
      </c>
      <c r="X1849" s="102" t="str">
        <f t="shared" si="1297"/>
        <v>White bloom, Purple-Red eye</v>
      </c>
      <c r="Y1849" s="120" t="b">
        <f t="shared" si="1298"/>
        <v>0</v>
      </c>
      <c r="Z1849" s="117">
        <f t="shared" si="1299"/>
        <v>0</v>
      </c>
      <c r="AA1849" s="118"/>
      <c r="AB1849" s="118" t="str">
        <f t="shared" si="1300"/>
        <v/>
      </c>
      <c r="AC1849" s="712" t="str">
        <f>IF(AE1849="T2G","no charge",IF(AND(OR(PlanterYesMe="No",PlanterYesMe="N",PlanterYesMe="me"),H1849=""),"",IF(H1849="credit","NO install",IF(AND(K1849="",AE1849="me"),"EACH row",IF(AND(K1849="images",AE1849="me"),"EACH row",IF(D1849="","",IF(H1849="credit","",IF(AE1849="free","re-planting",IF(AE1849="me","   not ELP, by",IF(AND(OR(PlanterYesMe="Yes",PlanterYesMe="Y"),G1849&gt;0),(VLOOKUP(A1849,'Discount Lookup'!J:K,2)*G1849*(1-PlanterDiscount)*(1+PlanterDifficultyPercentage)),IF(AE1849="ELP",(VLOOKUP(A1849,'Discount Lookup'!J:K,2)*G1849*(1-PlanterDiscount)*(1+PlanterDifficultyPercentage)),IF(AE1849="free","re-planting",IF(G1849=0,"",IF(PlanterYesMe="",IF(AE1849="me","   not ELP, by",IF(AE1849="",IF(G1849&gt;0,(VLOOKUP(A1849,'Discount Lookup'!J:K,2)*G1849*(1-PlanterDiscount)*(1+PlanterDifficultyPercentage)),""),"")),"   not ELP, by"))))))))))))))</f>
        <v/>
      </c>
      <c r="AD1849" s="712"/>
      <c r="AE1849" s="513" t="str">
        <f t="shared" si="1301"/>
        <v/>
      </c>
      <c r="AF1849" s="713" t="str">
        <f t="shared" si="1302"/>
        <v/>
      </c>
      <c r="AG1849" s="713"/>
      <c r="AH1849" s="713"/>
      <c r="AI1849" s="112">
        <f>IF(H1849="credit",0,IF(AE1849="free",0,IF(AE1849="me",0,IF(G1849&gt;0,(VLOOKUP(A1849,'Discount Lookup'!J:K,2)*G1849),0))))</f>
        <v>0</v>
      </c>
      <c r="AJ1849" s="107" t="str">
        <f t="shared" ca="1" si="1303"/>
        <v/>
      </c>
      <c r="AK1849" s="714" t="str">
        <f t="shared" si="1304"/>
        <v/>
      </c>
      <c r="AL1849" s="714"/>
      <c r="AM1849" s="114" t="str">
        <f t="shared" si="1305"/>
        <v/>
      </c>
      <c r="AN1849" s="115"/>
      <c r="AO1849" s="116"/>
      <c r="AP1849" s="116"/>
      <c r="AQ1849" s="116"/>
      <c r="AR1849" s="116"/>
      <c r="AS1849" s="116"/>
      <c r="AT1849" s="116"/>
      <c r="AU1849" s="116"/>
      <c r="AV1849" s="78"/>
      <c r="AW1849" s="102"/>
      <c r="AX1849" s="78"/>
      <c r="AY1849" s="78"/>
      <c r="AZ1849" s="78"/>
      <c r="BA1849" s="78"/>
      <c r="BB1849" s="78"/>
      <c r="BC1849" s="78"/>
      <c r="BD1849" s="78"/>
      <c r="BE1849" s="465"/>
      <c r="BF1849" s="165" t="str">
        <f t="shared" si="1306"/>
        <v>https://www.google.com/search?tbm=isch&amp;q=Hibiscus%20syriacus%20%27Minfren%27%20Bali%E2%84%A2%20Rose%20of%20Sharon</v>
      </c>
      <c r="BG1849" s="165" t="str">
        <f t="shared" si="1307"/>
        <v>H</v>
      </c>
      <c r="BH1849" s="65"/>
      <c r="BI1849" s="65"/>
      <c r="BJ1849" s="65"/>
      <c r="BK1849" s="65"/>
      <c r="BL1849" s="99"/>
      <c r="BM1849" s="99"/>
      <c r="BN1849" s="99"/>
    </row>
    <row r="1850" spans="1:66" s="51" customFormat="1" ht="15.75" x14ac:dyDescent="0.25">
      <c r="A1850" s="634">
        <v>15</v>
      </c>
      <c r="B1850" s="635" t="s">
        <v>291</v>
      </c>
      <c r="C1850" s="636" t="s">
        <v>5168</v>
      </c>
      <c r="D1850" s="637" t="s">
        <v>299</v>
      </c>
      <c r="E1850" s="638">
        <v>298.95</v>
      </c>
      <c r="F1850" s="639" t="s">
        <v>292</v>
      </c>
      <c r="G1850" s="484">
        <v>0</v>
      </c>
      <c r="H1850" s="691" t="str">
        <f>IF(G1850=0,"",IF(F1850="Buy",IF(G1850=1,"plant","plants"),IF(F1850&gt;0.01,"warranty","Error")))</f>
        <v/>
      </c>
      <c r="I1850" s="640">
        <f>IF(H1850="free",0,IF(H1850="credit",((E1850*(F1850))*G1850*-1),IF(F1850="Buy",(E1850*G1850),((E1850*(1-F1850))*G1850))))</f>
        <v>0</v>
      </c>
      <c r="J1850" s="640">
        <f>IF(H1850="warranty",0,(I1850*(_xlfn.SINGLE(SalesTaxPercentage))))</f>
        <v>0</v>
      </c>
      <c r="K1850" s="716">
        <f t="shared" ref="K1850" si="1322">I1850+J1850</f>
        <v>0</v>
      </c>
      <c r="L1850" s="716"/>
      <c r="M1850" s="689" t="str">
        <f ca="1">IF(AND(G1850&gt;0,E1850=0),"WARNING - no PRICE inserted",IF(H1850="free","FREE ~ no charge this plant",IF(H1850="credit",CONCATENATE("-$",ROUND(K1850*(1-_xlfn.SINGLE(T2GDiscount))*-1,2)," CREDIT after discount"),IF(_xlfn.SINGLE(T2GDiscount)=0,"",IF(G1850=0,"",IF(F1850="Buy",CONCATENATE("$",ROUND(K1850*(1-_xlfn.SINGLE(T2GDiscount)),2)," with ",(_xlfn.SINGLE(T2GDiscount)*100),"% discount"),CONCATENATE("$",ROUND(K1850*(1-_xlfn.SINGLE(T2GDiscount)),2)," with ",((_xlfn.SINGLE(T2GDiscount)*100+F1850*100)-(_xlfn.SINGLE(T2GDiscount)*100*F1850)),IF(F1850&gt;0,"% discounts",IF(_xlfn.SINGLE(NoWarrantyDiscount)&gt;0,"% discounts","% discount")))))))))</f>
        <v/>
      </c>
      <c r="N1850" s="690"/>
      <c r="O1850" s="486"/>
      <c r="P1850" s="486"/>
      <c r="Q1850" s="486"/>
      <c r="R1850" s="486"/>
      <c r="S1850" s="486"/>
      <c r="T1850" s="102">
        <f t="shared" si="1295"/>
        <v>0</v>
      </c>
      <c r="U1850" s="78">
        <f>IF(NOT(ISNUMBER(G1850)), "", VLOOKUP(A1850,'Discount Lookup'!D:E,2,FALSE)*G1850)</f>
        <v>0</v>
      </c>
      <c r="V1850" s="78">
        <f>IF(NOT(ISNUMBER(G1850)), "", VLOOKUP(A1850,'Discount Lookup'!G:H,2,FALSE)*G1850)</f>
        <v>0</v>
      </c>
      <c r="W1850" s="102">
        <f t="shared" si="1296"/>
        <v>0</v>
      </c>
      <c r="X1850" s="102">
        <f t="shared" si="1297"/>
        <v>0</v>
      </c>
      <c r="Y1850" s="120" t="b">
        <f t="shared" si="1298"/>
        <v>0</v>
      </c>
      <c r="Z1850" s="117">
        <f t="shared" si="1299"/>
        <v>0</v>
      </c>
      <c r="AA1850" s="118"/>
      <c r="AB1850" s="118" t="str">
        <f t="shared" si="1300"/>
        <v/>
      </c>
      <c r="AC1850" s="712" t="str">
        <f>IF(AE1850="T2G","no charge",IF(AND(OR(PlanterYesMe="No",PlanterYesMe="N",PlanterYesMe="me"),H1850=""),"",IF(H1850="credit","NO install",IF(AND(K1850="",AE1850="me"),"EACH row",IF(AND(K1850="images",AE1850="me"),"EACH row",IF(D1850="","",IF(H1850="credit","",IF(AE1850="free","re-planting",IF(AE1850="me","   not ELP, by",IF(AND(OR(PlanterYesMe="Yes",PlanterYesMe="Y"),G1850&gt;0),(VLOOKUP(A1850,'Discount Lookup'!J:K,2)*G1850*(1-PlanterDiscount)*(1+PlanterDifficultyPercentage)),IF(AE1850="ELP",(VLOOKUP(A1850,'Discount Lookup'!J:K,2)*G1850*(1-PlanterDiscount)*(1+PlanterDifficultyPercentage)),IF(AE1850="free","re-planting",IF(G1850=0,"",IF(PlanterYesMe="",IF(AE1850="me","   not ELP, by",IF(AE1850="",IF(G1850&gt;0,(VLOOKUP(A1850,'Discount Lookup'!J:K,2)*G1850*(1-PlanterDiscount)*(1+PlanterDifficultyPercentage)),""),"")),"   not ELP, by"))))))))))))))</f>
        <v/>
      </c>
      <c r="AD1850" s="712"/>
      <c r="AE1850" s="513" t="str">
        <f t="shared" si="1301"/>
        <v/>
      </c>
      <c r="AF1850" s="713" t="str">
        <f t="shared" si="1302"/>
        <v/>
      </c>
      <c r="AG1850" s="713"/>
      <c r="AH1850" s="713"/>
      <c r="AI1850" s="112">
        <f>IF(H1850="credit",0,IF(AE1850="free",0,IF(AE1850="me",0,IF(G1850&gt;0,(VLOOKUP(A1850,'Discount Lookup'!J:K,2)*G1850),0))))</f>
        <v>0</v>
      </c>
      <c r="AJ1850" s="107" t="str">
        <f t="shared" ca="1" si="1303"/>
        <v/>
      </c>
      <c r="AK1850" s="714" t="str">
        <f t="shared" si="1304"/>
        <v/>
      </c>
      <c r="AL1850" s="714"/>
      <c r="AM1850" s="114" t="str">
        <f t="shared" si="1305"/>
        <v/>
      </c>
      <c r="AN1850" s="115"/>
      <c r="AO1850" s="116"/>
      <c r="AP1850" s="116"/>
      <c r="AQ1850" s="116"/>
      <c r="AR1850" s="116"/>
      <c r="AS1850" s="116"/>
      <c r="AT1850" s="116"/>
      <c r="AU1850" s="116"/>
      <c r="AV1850" s="78"/>
      <c r="AW1850" s="102"/>
      <c r="AX1850" s="78"/>
      <c r="AY1850" s="78"/>
      <c r="AZ1850" s="78"/>
      <c r="BA1850" s="78"/>
      <c r="BB1850" s="78"/>
      <c r="BC1850" s="78"/>
      <c r="BD1850" s="78"/>
      <c r="BE1850" s="465"/>
      <c r="BF1850" s="165" t="str">
        <f t="shared" si="1306"/>
        <v>https://www.google.com/search?tbm=isch&amp;q=15%20G4</v>
      </c>
      <c r="BG1850" s="165" t="str">
        <f t="shared" si="1307"/>
        <v>H</v>
      </c>
      <c r="BH1850" s="65"/>
      <c r="BI1850" s="65"/>
      <c r="BJ1850" s="65"/>
      <c r="BK1850" s="65"/>
      <c r="BL1850" s="99"/>
      <c r="BM1850" s="99"/>
      <c r="BN1850" s="99"/>
    </row>
    <row r="1851" spans="1:66" s="51" customFormat="1" ht="17.25" thickBot="1" x14ac:dyDescent="0.3">
      <c r="A1851" s="641" t="s">
        <v>4843</v>
      </c>
      <c r="B1851" s="642"/>
      <c r="C1851" s="710"/>
      <c r="D1851" s="643"/>
      <c r="E1851" s="643"/>
      <c r="F1851" s="644"/>
      <c r="G1851" s="645"/>
      <c r="H1851" s="646"/>
      <c r="I1851" s="647"/>
      <c r="J1851" s="648"/>
      <c r="K1851" s="649"/>
      <c r="L1851" s="650"/>
      <c r="M1851" s="650"/>
      <c r="N1851" s="644"/>
      <c r="O1851" s="644"/>
      <c r="P1851" s="644"/>
      <c r="Q1851" s="644"/>
      <c r="R1851" s="644"/>
      <c r="S1851" s="701" t="s">
        <v>5273</v>
      </c>
      <c r="T1851" s="102">
        <f t="shared" si="1295"/>
        <v>0</v>
      </c>
      <c r="U1851" s="78" t="str">
        <f>IF(NOT(ISNUMBER(G1851)), "", VLOOKUP(A1851,'Discount Lookup'!D:E,2,FALSE)*G1851)</f>
        <v/>
      </c>
      <c r="V1851" s="78" t="str">
        <f>IF(NOT(ISNUMBER(G1851)), "", VLOOKUP(A1851,'Discount Lookup'!G:H,2,FALSE)*G1851)</f>
        <v/>
      </c>
      <c r="W1851" s="102">
        <f t="shared" si="1296"/>
        <v>0</v>
      </c>
      <c r="X1851" s="102">
        <f t="shared" si="1297"/>
        <v>0</v>
      </c>
      <c r="Y1851" s="120" t="b">
        <f t="shared" si="1298"/>
        <v>0</v>
      </c>
      <c r="Z1851" s="117">
        <f t="shared" si="1299"/>
        <v>0</v>
      </c>
      <c r="AA1851" s="118"/>
      <c r="AB1851" s="118" t="str">
        <f t="shared" si="1300"/>
        <v/>
      </c>
      <c r="AC1851" s="712" t="str">
        <f>IF(AE1851="T2G","no charge",IF(AND(OR(PlanterYesMe="No",PlanterYesMe="N",PlanterYesMe="me"),H1851=""),"",IF(H1851="credit","NO install",IF(AND(K1851="",AE1851="me"),"EACH row",IF(AND(K1851="images",AE1851="me"),"EACH row",IF(D1851="","",IF(H1851="credit","",IF(AE1851="free","re-planting",IF(AE1851="me","   not ELP, by",IF(AND(OR(PlanterYesMe="Yes",PlanterYesMe="Y"),G1851&gt;0),(VLOOKUP(A1851,'Discount Lookup'!J:K,2)*G1851*(1-PlanterDiscount)*(1+PlanterDifficultyPercentage)),IF(AE1851="ELP",(VLOOKUP(A1851,'Discount Lookup'!J:K,2)*G1851*(1-PlanterDiscount)*(1+PlanterDifficultyPercentage)),IF(AE1851="free","re-planting",IF(G1851=0,"",IF(PlanterYesMe="",IF(AE1851="me","   not ELP, by",IF(AE1851="",IF(G1851&gt;0,(VLOOKUP(A1851,'Discount Lookup'!J:K,2)*G1851*(1-PlanterDiscount)*(1+PlanterDifficultyPercentage)),""),"")),"   not ELP, by"))))))))))))))</f>
        <v/>
      </c>
      <c r="AD1851" s="712"/>
      <c r="AE1851" s="513" t="str">
        <f t="shared" si="1301"/>
        <v/>
      </c>
      <c r="AF1851" s="713" t="str">
        <f t="shared" si="1302"/>
        <v/>
      </c>
      <c r="AG1851" s="713"/>
      <c r="AH1851" s="713"/>
      <c r="AI1851" s="112">
        <f>IF(H1851="credit",0,IF(AE1851="free",0,IF(AE1851="me",0,IF(G1851&gt;0,(VLOOKUP(A1851,'Discount Lookup'!J:K,2)*G1851),0))))</f>
        <v>0</v>
      </c>
      <c r="AJ1851" s="107" t="str">
        <f t="shared" ca="1" si="1303"/>
        <v/>
      </c>
      <c r="AK1851" s="714" t="str">
        <f t="shared" si="1304"/>
        <v/>
      </c>
      <c r="AL1851" s="714"/>
      <c r="AM1851" s="114" t="str">
        <f t="shared" si="1305"/>
        <v/>
      </c>
      <c r="AN1851" s="115"/>
      <c r="AO1851" s="116"/>
      <c r="AP1851" s="116"/>
      <c r="AQ1851" s="116"/>
      <c r="AR1851" s="116"/>
      <c r="AS1851" s="116"/>
      <c r="AT1851" s="116"/>
      <c r="AU1851" s="116"/>
      <c r="AV1851" s="78"/>
      <c r="AW1851" s="102"/>
      <c r="AX1851" s="78"/>
      <c r="AY1851" s="78"/>
      <c r="AZ1851" s="78"/>
      <c r="BA1851" s="78"/>
      <c r="BB1851" s="78"/>
      <c r="BC1851" s="78"/>
      <c r="BD1851" s="78"/>
      <c r="BE1851" s="465"/>
      <c r="BF1851" s="165" t="str">
        <f t="shared" si="1306"/>
        <v>https://www.google.com/search?tbm=isch&amp;q=Bali%20has%20Green%20foliage.%20%22Rose%20of%20Sharon%22%20Hibiscus%20have%20trumpet-shaped%20flowers%20on%20new%20wood.%20Woody%20stems%20remain%20</v>
      </c>
      <c r="BG1851" s="165" t="str">
        <f t="shared" si="1307"/>
        <v>B</v>
      </c>
      <c r="BH1851" s="65"/>
      <c r="BI1851" s="65"/>
      <c r="BJ1851" s="65"/>
      <c r="BK1851" s="65"/>
      <c r="BL1851" s="99"/>
      <c r="BM1851" s="99"/>
      <c r="BN1851" s="99"/>
    </row>
    <row r="1852" spans="1:66" s="51" customFormat="1" ht="18" x14ac:dyDescent="0.25">
      <c r="A1852" s="623" t="s">
        <v>2711</v>
      </c>
      <c r="B1852" s="624"/>
      <c r="C1852" s="709"/>
      <c r="D1852" s="625" t="s">
        <v>2712</v>
      </c>
      <c r="E1852" s="626"/>
      <c r="F1852" s="626"/>
      <c r="G1852" s="626"/>
      <c r="H1852" s="622" t="s">
        <v>1231</v>
      </c>
      <c r="I1852" s="627" t="s">
        <v>2713</v>
      </c>
      <c r="J1852" s="628"/>
      <c r="K1852" s="628"/>
      <c r="L1852" s="629"/>
      <c r="M1852" s="700" t="s">
        <v>5241</v>
      </c>
      <c r="N1852" s="693" t="str">
        <f>IF(AND(ISTEXT($A1852), ISERROR($A1852+0)), HYPERLINK($BF1852, "Images"), "")</f>
        <v>Images</v>
      </c>
      <c r="O1852" s="695" t="s">
        <v>5247</v>
      </c>
      <c r="P1852" s="630"/>
      <c r="Q1852" s="631"/>
      <c r="R1852" s="632"/>
      <c r="S1852" s="633"/>
      <c r="T1852" s="102">
        <f t="shared" si="1295"/>
        <v>0</v>
      </c>
      <c r="U1852" s="78" t="str">
        <f>IF(NOT(ISNUMBER(G1852)), "", VLOOKUP(A1852,'Discount Lookup'!D:E,2,FALSE)*G1852)</f>
        <v/>
      </c>
      <c r="V1852" s="78" t="str">
        <f>IF(NOT(ISNUMBER(G1852)), "", VLOOKUP(A1852,'Discount Lookup'!G:H,2,FALSE)*G1852)</f>
        <v/>
      </c>
      <c r="W1852" s="102">
        <f t="shared" si="1296"/>
        <v>0</v>
      </c>
      <c r="X1852" s="102" t="str">
        <f t="shared" si="1297"/>
        <v>Rose-Pink bloom, Red eye</v>
      </c>
      <c r="Y1852" s="120" t="b">
        <f t="shared" si="1298"/>
        <v>0</v>
      </c>
      <c r="Z1852" s="117">
        <f t="shared" si="1299"/>
        <v>0</v>
      </c>
      <c r="AA1852" s="118"/>
      <c r="AB1852" s="118" t="str">
        <f t="shared" si="1300"/>
        <v/>
      </c>
      <c r="AC1852" s="712" t="str">
        <f>IF(AE1852="T2G","no charge",IF(AND(OR(PlanterYesMe="No",PlanterYesMe="N",PlanterYesMe="me"),H1852=""),"",IF(H1852="credit","NO install",IF(AND(K1852="",AE1852="me"),"EACH row",IF(AND(K1852="images",AE1852="me"),"EACH row",IF(D1852="","",IF(H1852="credit","",IF(AE1852="free","re-planting",IF(AE1852="me","   not ELP, by",IF(AND(OR(PlanterYesMe="Yes",PlanterYesMe="Y"),G1852&gt;0),(VLOOKUP(A1852,'Discount Lookup'!J:K,2)*G1852*(1-PlanterDiscount)*(1+PlanterDifficultyPercentage)),IF(AE1852="ELP",(VLOOKUP(A1852,'Discount Lookup'!J:K,2)*G1852*(1-PlanterDiscount)*(1+PlanterDifficultyPercentage)),IF(AE1852="free","re-planting",IF(G1852=0,"",IF(PlanterYesMe="",IF(AE1852="me","   not ELP, by",IF(AE1852="",IF(G1852&gt;0,(VLOOKUP(A1852,'Discount Lookup'!J:K,2)*G1852*(1-PlanterDiscount)*(1+PlanterDifficultyPercentage)),""),"")),"   not ELP, by"))))))))))))))</f>
        <v/>
      </c>
      <c r="AD1852" s="712"/>
      <c r="AE1852" s="513" t="str">
        <f t="shared" si="1301"/>
        <v/>
      </c>
      <c r="AF1852" s="713" t="str">
        <f t="shared" si="1302"/>
        <v/>
      </c>
      <c r="AG1852" s="713"/>
      <c r="AH1852" s="713"/>
      <c r="AI1852" s="112">
        <f>IF(H1852="credit",0,IF(AE1852="free",0,IF(AE1852="me",0,IF(G1852&gt;0,(VLOOKUP(A1852,'Discount Lookup'!J:K,2)*G1852),0))))</f>
        <v>0</v>
      </c>
      <c r="AJ1852" s="107" t="str">
        <f t="shared" ca="1" si="1303"/>
        <v/>
      </c>
      <c r="AK1852" s="714" t="str">
        <f t="shared" si="1304"/>
        <v/>
      </c>
      <c r="AL1852" s="714"/>
      <c r="AM1852" s="114" t="str">
        <f t="shared" si="1305"/>
        <v/>
      </c>
      <c r="AN1852" s="115"/>
      <c r="AO1852" s="116"/>
      <c r="AP1852" s="116"/>
      <c r="AQ1852" s="116"/>
      <c r="AR1852" s="116"/>
      <c r="AS1852" s="116"/>
      <c r="AT1852" s="116"/>
      <c r="AU1852" s="116"/>
      <c r="AV1852" s="78"/>
      <c r="AW1852" s="102"/>
      <c r="AX1852" s="78"/>
      <c r="AY1852" s="78"/>
      <c r="AZ1852" s="78"/>
      <c r="BA1852" s="78"/>
      <c r="BB1852" s="78"/>
      <c r="BC1852" s="78"/>
      <c r="BD1852" s="78"/>
      <c r="BE1852" s="465"/>
      <c r="BF1852" s="165" t="str">
        <f t="shared" si="1306"/>
        <v>https://www.google.com/search?tbm=isch&amp;q=Hibiscus%20syriacus%20%27Woodbridge%27%20Woodbridge%20Rose%20of%20Sharon</v>
      </c>
      <c r="BG1852" s="165" t="str">
        <f t="shared" si="1307"/>
        <v>H</v>
      </c>
      <c r="BH1852" s="65"/>
      <c r="BI1852" s="65"/>
      <c r="BJ1852" s="65"/>
      <c r="BK1852" s="65"/>
      <c r="BL1852" s="99"/>
      <c r="BM1852" s="99"/>
      <c r="BN1852" s="99"/>
    </row>
    <row r="1853" spans="1:66" s="51" customFormat="1" ht="15.75" x14ac:dyDescent="0.25">
      <c r="A1853" s="634">
        <v>7</v>
      </c>
      <c r="B1853" s="635" t="s">
        <v>291</v>
      </c>
      <c r="C1853" s="636" t="s">
        <v>1599</v>
      </c>
      <c r="D1853" s="637" t="s">
        <v>293</v>
      </c>
      <c r="E1853" s="638">
        <v>113.95</v>
      </c>
      <c r="F1853" s="639" t="s">
        <v>292</v>
      </c>
      <c r="G1853" s="484">
        <v>0</v>
      </c>
      <c r="H1853" s="691" t="str">
        <f>IF(G1853=0,"",IF(F1853="Buy",IF(G1853=1,"plant","plants"),IF(F1853&gt;0.01,"warranty","Error")))</f>
        <v/>
      </c>
      <c r="I1853" s="640">
        <f>IF(H1853="free",0,IF(H1853="credit",((E1853*(F1853))*G1853*-1),IF(F1853="Buy",(E1853*G1853),((E1853*(1-F1853))*G1853))))</f>
        <v>0</v>
      </c>
      <c r="J1853" s="640">
        <f>IF(H1853="warranty",0,(I1853*(_xlfn.SINGLE(SalesTaxPercentage))))</f>
        <v>0</v>
      </c>
      <c r="K1853" s="716">
        <f t="shared" ref="K1853" si="1323">I1853+J1853</f>
        <v>0</v>
      </c>
      <c r="L1853" s="716"/>
      <c r="M1853" s="689" t="str">
        <f ca="1">IF(AND(G1853&gt;0,E1853=0),"WARNING - no PRICE inserted",IF(H1853="free","FREE ~ no charge this plant",IF(H1853="credit",CONCATENATE("-$",ROUND(K1853*(1-_xlfn.SINGLE(T2GDiscount))*-1,2)," CREDIT after discount"),IF(_xlfn.SINGLE(T2GDiscount)=0,"",IF(G1853=0,"",IF(F1853="Buy",CONCATENATE("$",ROUND(K1853*(1-_xlfn.SINGLE(T2GDiscount)),2)," with ",(_xlfn.SINGLE(T2GDiscount)*100),"% discount"),CONCATENATE("$",ROUND(K1853*(1-_xlfn.SINGLE(T2GDiscount)),2)," with ",((_xlfn.SINGLE(T2GDiscount)*100+F1853*100)-(_xlfn.SINGLE(T2GDiscount)*100*F1853)),IF(F1853&gt;0,"% discounts",IF(_xlfn.SINGLE(NoWarrantyDiscount)&gt;0,"% discounts","% discount")))))))))</f>
        <v/>
      </c>
      <c r="N1853" s="690"/>
      <c r="O1853" s="486"/>
      <c r="P1853" s="486"/>
      <c r="Q1853" s="486"/>
      <c r="R1853" s="486"/>
      <c r="S1853" s="486"/>
      <c r="T1853" s="102">
        <f t="shared" si="1295"/>
        <v>0</v>
      </c>
      <c r="U1853" s="78">
        <f>IF(NOT(ISNUMBER(G1853)), "", VLOOKUP(A1853,'Discount Lookup'!D:E,2,FALSE)*G1853)</f>
        <v>0</v>
      </c>
      <c r="V1853" s="78">
        <f>IF(NOT(ISNUMBER(G1853)), "", VLOOKUP(A1853,'Discount Lookup'!G:H,2,FALSE)*G1853)</f>
        <v>0</v>
      </c>
      <c r="W1853" s="102">
        <f t="shared" si="1296"/>
        <v>0</v>
      </c>
      <c r="X1853" s="102">
        <f t="shared" si="1297"/>
        <v>0</v>
      </c>
      <c r="Y1853" s="120" t="b">
        <f t="shared" si="1298"/>
        <v>0</v>
      </c>
      <c r="Z1853" s="117">
        <f t="shared" si="1299"/>
        <v>0</v>
      </c>
      <c r="AA1853" s="118"/>
      <c r="AB1853" s="118" t="str">
        <f t="shared" si="1300"/>
        <v/>
      </c>
      <c r="AC1853" s="712" t="str">
        <f>IF(AE1853="T2G","no charge",IF(AND(OR(PlanterYesMe="No",PlanterYesMe="N",PlanterYesMe="me"),H1853=""),"",IF(H1853="credit","NO install",IF(AND(K1853="",AE1853="me"),"EACH row",IF(AND(K1853="images",AE1853="me"),"EACH row",IF(D1853="","",IF(H1853="credit","",IF(AE1853="free","re-planting",IF(AE1853="me","   not ELP, by",IF(AND(OR(PlanterYesMe="Yes",PlanterYesMe="Y"),G1853&gt;0),(VLOOKUP(A1853,'Discount Lookup'!J:K,2)*G1853*(1-PlanterDiscount)*(1+PlanterDifficultyPercentage)),IF(AE1853="ELP",(VLOOKUP(A1853,'Discount Lookup'!J:K,2)*G1853*(1-PlanterDiscount)*(1+PlanterDifficultyPercentage)),IF(AE1853="free","re-planting",IF(G1853=0,"",IF(PlanterYesMe="",IF(AE1853="me","   not ELP, by",IF(AE1853="",IF(G1853&gt;0,(VLOOKUP(A1853,'Discount Lookup'!J:K,2)*G1853*(1-PlanterDiscount)*(1+PlanterDifficultyPercentage)),""),"")),"   not ELP, by"))))))))))))))</f>
        <v/>
      </c>
      <c r="AD1853" s="712"/>
      <c r="AE1853" s="513" t="str">
        <f t="shared" si="1301"/>
        <v/>
      </c>
      <c r="AF1853" s="713" t="str">
        <f t="shared" si="1302"/>
        <v/>
      </c>
      <c r="AG1853" s="713"/>
      <c r="AH1853" s="713"/>
      <c r="AI1853" s="112">
        <f>IF(H1853="credit",0,IF(AE1853="free",0,IF(AE1853="me",0,IF(G1853&gt;0,(VLOOKUP(A1853,'Discount Lookup'!J:K,2)*G1853),0))))</f>
        <v>0</v>
      </c>
      <c r="AJ1853" s="107" t="str">
        <f t="shared" ca="1" si="1303"/>
        <v/>
      </c>
      <c r="AK1853" s="714" t="str">
        <f t="shared" si="1304"/>
        <v/>
      </c>
      <c r="AL1853" s="714"/>
      <c r="AM1853" s="114" t="str">
        <f t="shared" si="1305"/>
        <v/>
      </c>
      <c r="AN1853" s="115"/>
      <c r="AO1853" s="116"/>
      <c r="AP1853" s="116"/>
      <c r="AQ1853" s="116"/>
      <c r="AR1853" s="116"/>
      <c r="AS1853" s="116"/>
      <c r="AT1853" s="116"/>
      <c r="AU1853" s="116"/>
      <c r="AV1853" s="78"/>
      <c r="AW1853" s="102"/>
      <c r="AX1853" s="78"/>
      <c r="AY1853" s="78"/>
      <c r="AZ1853" s="78"/>
      <c r="BA1853" s="78"/>
      <c r="BB1853" s="78"/>
      <c r="BC1853" s="78"/>
      <c r="BD1853" s="78"/>
      <c r="BE1853" s="465"/>
      <c r="BF1853" s="165" t="str">
        <f t="shared" si="1306"/>
        <v>https://www.google.com/search?tbm=isch&amp;q=7%20G6</v>
      </c>
      <c r="BG1853" s="165" t="str">
        <f t="shared" si="1307"/>
        <v>H</v>
      </c>
      <c r="BH1853" s="65"/>
      <c r="BI1853" s="65"/>
      <c r="BJ1853" s="65"/>
      <c r="BK1853" s="65"/>
      <c r="BL1853" s="99"/>
      <c r="BM1853" s="99"/>
      <c r="BN1853" s="99"/>
    </row>
    <row r="1854" spans="1:66" s="51" customFormat="1" ht="16.5" x14ac:dyDescent="0.25">
      <c r="A1854" s="641" t="s">
        <v>4844</v>
      </c>
      <c r="B1854" s="642"/>
      <c r="C1854" s="710"/>
      <c r="D1854" s="643"/>
      <c r="E1854" s="643"/>
      <c r="F1854" s="644"/>
      <c r="G1854" s="645"/>
      <c r="H1854" s="646"/>
      <c r="I1854" s="647"/>
      <c r="J1854" s="648"/>
      <c r="K1854" s="649"/>
      <c r="L1854" s="650"/>
      <c r="M1854" s="650"/>
      <c r="N1854" s="644"/>
      <c r="O1854" s="644"/>
      <c r="P1854" s="644"/>
      <c r="Q1854" s="644"/>
      <c r="R1854" s="644"/>
      <c r="S1854" s="701" t="s">
        <v>5273</v>
      </c>
      <c r="T1854" s="102">
        <f t="shared" si="1295"/>
        <v>0</v>
      </c>
      <c r="U1854" s="78" t="str">
        <f>IF(NOT(ISNUMBER(G1854)), "", VLOOKUP(A1854,'Discount Lookup'!D:E,2,FALSE)*G1854)</f>
        <v/>
      </c>
      <c r="V1854" s="78" t="str">
        <f>IF(NOT(ISNUMBER(G1854)), "", VLOOKUP(A1854,'Discount Lookup'!G:H,2,FALSE)*G1854)</f>
        <v/>
      </c>
      <c r="W1854" s="102">
        <f t="shared" si="1296"/>
        <v>0</v>
      </c>
      <c r="X1854" s="102">
        <f t="shared" si="1297"/>
        <v>0</v>
      </c>
      <c r="Y1854" s="120" t="b">
        <f t="shared" si="1298"/>
        <v>0</v>
      </c>
      <c r="Z1854" s="117">
        <f t="shared" si="1299"/>
        <v>0</v>
      </c>
      <c r="AA1854" s="118"/>
      <c r="AB1854" s="118" t="str">
        <f t="shared" si="1300"/>
        <v/>
      </c>
      <c r="AC1854" s="712" t="str">
        <f>IF(AE1854="T2G","no charge",IF(AND(OR(PlanterYesMe="No",PlanterYesMe="N",PlanterYesMe="me"),H1854=""),"",IF(H1854="credit","NO install",IF(AND(K1854="",AE1854="me"),"EACH row",IF(AND(K1854="images",AE1854="me"),"EACH row",IF(D1854="","",IF(H1854="credit","",IF(AE1854="free","re-planting",IF(AE1854="me","   not ELP, by",IF(AND(OR(PlanterYesMe="Yes",PlanterYesMe="Y"),G1854&gt;0),(VLOOKUP(A1854,'Discount Lookup'!J:K,2)*G1854*(1-PlanterDiscount)*(1+PlanterDifficultyPercentage)),IF(AE1854="ELP",(VLOOKUP(A1854,'Discount Lookup'!J:K,2)*G1854*(1-PlanterDiscount)*(1+PlanterDifficultyPercentage)),IF(AE1854="free","re-planting",IF(G1854=0,"",IF(PlanterYesMe="",IF(AE1854="me","   not ELP, by",IF(AE1854="",IF(G1854&gt;0,(VLOOKUP(A1854,'Discount Lookup'!J:K,2)*G1854*(1-PlanterDiscount)*(1+PlanterDifficultyPercentage)),""),"")),"   not ELP, by"))))))))))))))</f>
        <v/>
      </c>
      <c r="AD1854" s="712"/>
      <c r="AE1854" s="513" t="str">
        <f t="shared" si="1301"/>
        <v/>
      </c>
      <c r="AF1854" s="713" t="str">
        <f t="shared" si="1302"/>
        <v/>
      </c>
      <c r="AG1854" s="713"/>
      <c r="AH1854" s="713"/>
      <c r="AI1854" s="112">
        <f>IF(H1854="credit",0,IF(AE1854="free",0,IF(AE1854="me",0,IF(G1854&gt;0,(VLOOKUP(A1854,'Discount Lookup'!J:K,2)*G1854),0))))</f>
        <v>0</v>
      </c>
      <c r="AJ1854" s="107" t="str">
        <f t="shared" ca="1" si="1303"/>
        <v/>
      </c>
      <c r="AK1854" s="714" t="str">
        <f t="shared" si="1304"/>
        <v/>
      </c>
      <c r="AL1854" s="714"/>
      <c r="AM1854" s="114" t="str">
        <f t="shared" si="1305"/>
        <v/>
      </c>
      <c r="AN1854" s="115"/>
      <c r="AO1854" s="116"/>
      <c r="AP1854" s="116"/>
      <c r="AQ1854" s="116"/>
      <c r="AR1854" s="116"/>
      <c r="AS1854" s="116"/>
      <c r="AT1854" s="116"/>
      <c r="AU1854" s="116"/>
      <c r="AV1854" s="78"/>
      <c r="AW1854" s="102"/>
      <c r="AX1854" s="78"/>
      <c r="AY1854" s="78"/>
      <c r="AZ1854" s="78"/>
      <c r="BA1854" s="78"/>
      <c r="BB1854" s="78"/>
      <c r="BC1854" s="78"/>
      <c r="BD1854" s="78"/>
      <c r="BE1854" s="465"/>
      <c r="BF1854" s="165" t="str">
        <f t="shared" si="1306"/>
        <v>https://www.google.com/search?tbm=isch&amp;q=Woodbridge%20has%20Dark%20Green%20foliage.%20%22Rose%20of%20Sharon%22%20Hib.%20have%20trumpet-shaped%20flowers%20on%20new%20wood.%20Woody%20stems%20remain%20</v>
      </c>
      <c r="BG1854" s="165" t="str">
        <f t="shared" si="1307"/>
        <v>W</v>
      </c>
      <c r="BH1854" s="65"/>
      <c r="BI1854" s="65"/>
      <c r="BJ1854" s="65"/>
      <c r="BK1854" s="65"/>
      <c r="BL1854" s="99"/>
      <c r="BM1854" s="99"/>
      <c r="BN1854" s="99"/>
    </row>
    <row r="1855" spans="1:66" s="51" customFormat="1" ht="19.5" thickBot="1" x14ac:dyDescent="0.3">
      <c r="A1855" s="686" t="s">
        <v>501</v>
      </c>
      <c r="B1855" s="73"/>
      <c r="C1855" s="708"/>
      <c r="D1855" s="73"/>
      <c r="E1855" s="73"/>
      <c r="F1855" s="496"/>
      <c r="G1855" s="73"/>
      <c r="H1855" s="73"/>
      <c r="I1855" s="73"/>
      <c r="J1855" s="497" t="s">
        <v>357</v>
      </c>
      <c r="K1855" s="498"/>
      <c r="L1855" s="562"/>
      <c r="M1855" s="73"/>
      <c r="N1855"/>
      <c r="O1855"/>
      <c r="P1855"/>
      <c r="Q1855"/>
      <c r="R1855"/>
      <c r="S1855"/>
      <c r="T1855" s="102">
        <f t="shared" si="1295"/>
        <v>0</v>
      </c>
      <c r="U1855" s="78" t="str">
        <f>IF(NOT(ISNUMBER(G1855)), "", VLOOKUP(A1855,'Discount Lookup'!D:E,2,FALSE)*G1855)</f>
        <v/>
      </c>
      <c r="V1855" s="78" t="str">
        <f>IF(NOT(ISNUMBER(G1855)), "", VLOOKUP(A1855,'Discount Lookup'!G:H,2,FALSE)*G1855)</f>
        <v/>
      </c>
      <c r="W1855" s="102">
        <f t="shared" si="1296"/>
        <v>0</v>
      </c>
      <c r="X1855" s="102">
        <f t="shared" si="1297"/>
        <v>0</v>
      </c>
      <c r="Y1855" s="120" t="b">
        <f t="shared" si="1298"/>
        <v>0</v>
      </c>
      <c r="Z1855" s="117">
        <f t="shared" si="1299"/>
        <v>0</v>
      </c>
      <c r="AA1855" s="118"/>
      <c r="AB1855" s="118" t="str">
        <f t="shared" si="1300"/>
        <v/>
      </c>
      <c r="AC1855" s="712" t="str">
        <f>IF(AE1855="T2G","no charge",IF(AND(OR(PlanterYesMe="No",PlanterYesMe="N",PlanterYesMe="me"),H1855=""),"",IF(H1855="credit","NO install",IF(AND(K1855="",AE1855="me"),"EACH row",IF(AND(K1855="images",AE1855="me"),"EACH row",IF(D1855="","",IF(H1855="credit","",IF(AE1855="free","re-planting",IF(AE1855="me","   not ELP, by",IF(AND(OR(PlanterYesMe="Yes",PlanterYesMe="Y"),G1855&gt;0),(VLOOKUP(A1855,'Discount Lookup'!J:K,2)*G1855*(1-PlanterDiscount)*(1+PlanterDifficultyPercentage)),IF(AE1855="ELP",(VLOOKUP(A1855,'Discount Lookup'!J:K,2)*G1855*(1-PlanterDiscount)*(1+PlanterDifficultyPercentage)),IF(AE1855="free","re-planting",IF(G1855=0,"",IF(PlanterYesMe="",IF(AE1855="me","   not ELP, by",IF(AE1855="",IF(G1855&gt;0,(VLOOKUP(A1855,'Discount Lookup'!J:K,2)*G1855*(1-PlanterDiscount)*(1+PlanterDifficultyPercentage)),""),"")),"   not ELP, by"))))))))))))))</f>
        <v/>
      </c>
      <c r="AD1855" s="712"/>
      <c r="AE1855" s="513" t="str">
        <f t="shared" si="1301"/>
        <v/>
      </c>
      <c r="AF1855" s="713" t="str">
        <f t="shared" si="1302"/>
        <v/>
      </c>
      <c r="AG1855" s="713"/>
      <c r="AH1855" s="713"/>
      <c r="AI1855" s="112">
        <f>IF(H1855="credit",0,IF(AE1855="free",0,IF(AE1855="me",0,IF(G1855&gt;0,(VLOOKUP(A1855,'Discount Lookup'!J:K,2)*G1855),0))))</f>
        <v>0</v>
      </c>
      <c r="AJ1855" s="107" t="str">
        <f t="shared" ca="1" si="1303"/>
        <v/>
      </c>
      <c r="AK1855" s="714" t="str">
        <f t="shared" si="1304"/>
        <v/>
      </c>
      <c r="AL1855" s="714"/>
      <c r="AM1855" s="114" t="str">
        <f t="shared" si="1305"/>
        <v/>
      </c>
      <c r="AN1855" s="115"/>
      <c r="AO1855" s="116"/>
      <c r="AP1855" s="116"/>
      <c r="AQ1855" s="116"/>
      <c r="AR1855" s="116"/>
      <c r="AS1855" s="116"/>
      <c r="AT1855" s="116"/>
      <c r="AU1855" s="116"/>
      <c r="AV1855" s="78"/>
      <c r="AW1855" s="102"/>
      <c r="AX1855" s="78"/>
      <c r="AY1855" s="78"/>
      <c r="AZ1855" s="78"/>
      <c r="BA1855" s="78"/>
      <c r="BB1855" s="78"/>
      <c r="BC1855" s="78"/>
      <c r="BD1855" s="78"/>
      <c r="BE1855" s="465"/>
      <c r="BF1855" s="165" t="str">
        <f t="shared" si="1306"/>
        <v>https://www.google.com/search?tbm=isch&amp;q=Hosta%20%3D%20Plantain%20Lily%20</v>
      </c>
      <c r="BG1855" s="165" t="str">
        <f t="shared" si="1307"/>
        <v>H</v>
      </c>
      <c r="BH1855" s="65"/>
      <c r="BI1855" s="65"/>
      <c r="BJ1855" s="65"/>
      <c r="BK1855" s="65"/>
      <c r="BL1855" s="99"/>
      <c r="BM1855" s="99"/>
      <c r="BN1855" s="99"/>
    </row>
    <row r="1856" spans="1:66" s="51" customFormat="1" ht="18" x14ac:dyDescent="0.25">
      <c r="A1856" s="623" t="s">
        <v>2714</v>
      </c>
      <c r="B1856" s="624"/>
      <c r="C1856" s="709"/>
      <c r="D1856" s="625" t="s">
        <v>2715</v>
      </c>
      <c r="E1856" s="626"/>
      <c r="F1856" s="626"/>
      <c r="G1856" s="626"/>
      <c r="H1856" s="622" t="s">
        <v>4734</v>
      </c>
      <c r="I1856" s="627" t="s">
        <v>2746</v>
      </c>
      <c r="J1856" s="628"/>
      <c r="K1856" s="628"/>
      <c r="L1856" s="629"/>
      <c r="M1856" s="700" t="s">
        <v>5249</v>
      </c>
      <c r="N1856" s="693" t="str">
        <f>IF(AND(ISTEXT($A1856), ISERROR($A1856+0)), HYPERLINK($BF1856, "Images"), "")</f>
        <v>Images</v>
      </c>
      <c r="O1856" s="695" t="s">
        <v>5286</v>
      </c>
      <c r="P1856" s="630"/>
      <c r="Q1856" s="631"/>
      <c r="R1856" s="632"/>
      <c r="S1856" s="633"/>
      <c r="T1856" s="102">
        <f t="shared" si="1295"/>
        <v>0</v>
      </c>
      <c r="U1856" s="78" t="str">
        <f>IF(NOT(ISNUMBER(G1856)), "", VLOOKUP(A1856,'Discount Lookup'!D:E,2,FALSE)*G1856)</f>
        <v/>
      </c>
      <c r="V1856" s="78" t="str">
        <f>IF(NOT(ISNUMBER(G1856)), "", VLOOKUP(A1856,'Discount Lookup'!G:H,2,FALSE)*G1856)</f>
        <v/>
      </c>
      <c r="W1856" s="102">
        <f t="shared" si="1296"/>
        <v>0</v>
      </c>
      <c r="X1856" s="102" t="str">
        <f t="shared" si="1297"/>
        <v>Pale Lavender bloom</v>
      </c>
      <c r="Y1856" s="120" t="b">
        <f t="shared" si="1298"/>
        <v>0</v>
      </c>
      <c r="Z1856" s="117">
        <f t="shared" si="1299"/>
        <v>0</v>
      </c>
      <c r="AA1856" s="118"/>
      <c r="AB1856" s="118" t="str">
        <f t="shared" si="1300"/>
        <v/>
      </c>
      <c r="AC1856" s="712" t="str">
        <f>IF(AE1856="T2G","no charge",IF(AND(OR(PlanterYesMe="No",PlanterYesMe="N",PlanterYesMe="me"),H1856=""),"",IF(H1856="credit","NO install",IF(AND(K1856="",AE1856="me"),"EACH row",IF(AND(K1856="images",AE1856="me"),"EACH row",IF(D1856="","",IF(H1856="credit","",IF(AE1856="free","re-planting",IF(AE1856="me","   not ELP, by",IF(AND(OR(PlanterYesMe="Yes",PlanterYesMe="Y"),G1856&gt;0),(VLOOKUP(A1856,'Discount Lookup'!J:K,2)*G1856*(1-PlanterDiscount)*(1+PlanterDifficultyPercentage)),IF(AE1856="ELP",(VLOOKUP(A1856,'Discount Lookup'!J:K,2)*G1856*(1-PlanterDiscount)*(1+PlanterDifficultyPercentage)),IF(AE1856="free","re-planting",IF(G1856=0,"",IF(PlanterYesMe="",IF(AE1856="me","   not ELP, by",IF(AE1856="",IF(G1856&gt;0,(VLOOKUP(A1856,'Discount Lookup'!J:K,2)*G1856*(1-PlanterDiscount)*(1+PlanterDifficultyPercentage)),""),"")),"   not ELP, by"))))))))))))))</f>
        <v/>
      </c>
      <c r="AD1856" s="712"/>
      <c r="AE1856" s="513" t="str">
        <f t="shared" si="1301"/>
        <v/>
      </c>
      <c r="AF1856" s="713" t="str">
        <f t="shared" si="1302"/>
        <v/>
      </c>
      <c r="AG1856" s="713"/>
      <c r="AH1856" s="713"/>
      <c r="AI1856" s="112">
        <f>IF(H1856="credit",0,IF(AE1856="free",0,IF(AE1856="me",0,IF(G1856&gt;0,(VLOOKUP(A1856,'Discount Lookup'!J:K,2)*G1856),0))))</f>
        <v>0</v>
      </c>
      <c r="AJ1856" s="107" t="str">
        <f t="shared" ca="1" si="1303"/>
        <v/>
      </c>
      <c r="AK1856" s="714" t="str">
        <f t="shared" si="1304"/>
        <v/>
      </c>
      <c r="AL1856" s="714"/>
      <c r="AM1856" s="114" t="str">
        <f t="shared" si="1305"/>
        <v/>
      </c>
      <c r="AN1856" s="115"/>
      <c r="AO1856" s="116"/>
      <c r="AP1856" s="116"/>
      <c r="AQ1856" s="116"/>
      <c r="AR1856" s="116"/>
      <c r="AS1856" s="116"/>
      <c r="AT1856" s="116"/>
      <c r="AU1856" s="116"/>
      <c r="AV1856" s="78"/>
      <c r="AW1856" s="102"/>
      <c r="AX1856" s="78"/>
      <c r="AY1856" s="78"/>
      <c r="AZ1856" s="78"/>
      <c r="BA1856" s="78"/>
      <c r="BB1856" s="78"/>
      <c r="BC1856" s="78"/>
      <c r="BD1856" s="78"/>
      <c r="BE1856" s="465"/>
      <c r="BF1856" s="165" t="str">
        <f t="shared" si="1306"/>
        <v>https://www.google.com/search?tbm=isch&amp;q=Hosta%20%27Amazone%27%20Amazone%20Hosta</v>
      </c>
      <c r="BG1856" s="165" t="str">
        <f t="shared" si="1307"/>
        <v>H</v>
      </c>
      <c r="BH1856" s="65"/>
      <c r="BI1856" s="65"/>
      <c r="BJ1856" s="65"/>
      <c r="BK1856" s="65"/>
      <c r="BL1856" s="99"/>
      <c r="BM1856" s="99"/>
      <c r="BN1856" s="99"/>
    </row>
    <row r="1857" spans="1:66" s="51" customFormat="1" ht="15.75" x14ac:dyDescent="0.25">
      <c r="A1857" s="634">
        <v>1</v>
      </c>
      <c r="B1857" s="635" t="s">
        <v>291</v>
      </c>
      <c r="C1857" s="636" t="s">
        <v>2716</v>
      </c>
      <c r="D1857" s="637" t="s">
        <v>311</v>
      </c>
      <c r="E1857" s="638">
        <v>18.95</v>
      </c>
      <c r="F1857" s="639" t="s">
        <v>292</v>
      </c>
      <c r="G1857" s="484">
        <v>0</v>
      </c>
      <c r="H1857" s="691" t="str">
        <f>IF(G1857=0,"",IF(F1857="Buy",IF(G1857=1,"plant","plants"),IF(F1857&gt;0.01,"warranty","Error")))</f>
        <v/>
      </c>
      <c r="I1857" s="640">
        <f>IF(H1857="free",0,IF(H1857="credit",((E1857*(F1857))*G1857*-1),IF(F1857="Buy",(E1857*G1857),((E1857*(1-F1857))*G1857))))</f>
        <v>0</v>
      </c>
      <c r="J1857" s="640">
        <f>IF(H1857="warranty",0,(I1857*(_xlfn.SINGLE(SalesTaxPercentage))))</f>
        <v>0</v>
      </c>
      <c r="K1857" s="716">
        <f t="shared" ref="K1857" si="1324">I1857+J1857</f>
        <v>0</v>
      </c>
      <c r="L1857" s="716"/>
      <c r="M1857" s="689" t="str">
        <f ca="1">IF(AND(G1857&gt;0,E1857=0),"WARNING - no PRICE inserted",IF(H1857="free","FREE ~ no charge this plant",IF(H1857="credit",CONCATENATE("-$",ROUND(K1857*(1-_xlfn.SINGLE(T2GDiscount))*-1,2)," CREDIT after discount"),IF(_xlfn.SINGLE(T2GDiscount)=0,"",IF(G1857=0,"",IF(F1857="Buy",CONCATENATE("$",ROUND(K1857*(1-_xlfn.SINGLE(T2GDiscount)),2)," with ",(_xlfn.SINGLE(T2GDiscount)*100),"% discount"),CONCATENATE("$",ROUND(K1857*(1-_xlfn.SINGLE(T2GDiscount)),2)," with ",((_xlfn.SINGLE(T2GDiscount)*100+F1857*100)-(_xlfn.SINGLE(T2GDiscount)*100*F1857)),IF(F1857&gt;0,"% discounts",IF(_xlfn.SINGLE(NoWarrantyDiscount)&gt;0,"% discounts","% discount")))))))))</f>
        <v/>
      </c>
      <c r="N1857" s="690"/>
      <c r="O1857" s="486"/>
      <c r="P1857" s="486"/>
      <c r="Q1857" s="486"/>
      <c r="R1857" s="486"/>
      <c r="S1857" s="486"/>
      <c r="T1857" s="102">
        <f t="shared" si="1295"/>
        <v>0</v>
      </c>
      <c r="U1857" s="78">
        <f>IF(NOT(ISNUMBER(G1857)), "", VLOOKUP(A1857,'Discount Lookup'!D:E,2,FALSE)*G1857)</f>
        <v>0</v>
      </c>
      <c r="V1857" s="78">
        <f>IF(NOT(ISNUMBER(G1857)), "", VLOOKUP(A1857,'Discount Lookup'!G:H,2,FALSE)*G1857)</f>
        <v>0</v>
      </c>
      <c r="W1857" s="102">
        <f t="shared" si="1296"/>
        <v>0</v>
      </c>
      <c r="X1857" s="102">
        <f t="shared" si="1297"/>
        <v>0</v>
      </c>
      <c r="Y1857" s="120" t="b">
        <f t="shared" si="1298"/>
        <v>0</v>
      </c>
      <c r="Z1857" s="117">
        <f t="shared" si="1299"/>
        <v>0</v>
      </c>
      <c r="AA1857" s="118"/>
      <c r="AB1857" s="118" t="str">
        <f t="shared" si="1300"/>
        <v/>
      </c>
      <c r="AC1857" s="712" t="str">
        <f>IF(AE1857="T2G","no charge",IF(AND(OR(PlanterYesMe="No",PlanterYesMe="N",PlanterYesMe="me"),H1857=""),"",IF(H1857="credit","NO install",IF(AND(K1857="",AE1857="me"),"EACH row",IF(AND(K1857="images",AE1857="me"),"EACH row",IF(D1857="","",IF(H1857="credit","",IF(AE1857="free","re-planting",IF(AE1857="me","   not ELP, by",IF(AND(OR(PlanterYesMe="Yes",PlanterYesMe="Y"),G1857&gt;0),(VLOOKUP(A1857,'Discount Lookup'!J:K,2)*G1857*(1-PlanterDiscount)*(1+PlanterDifficultyPercentage)),IF(AE1857="ELP",(VLOOKUP(A1857,'Discount Lookup'!J:K,2)*G1857*(1-PlanterDiscount)*(1+PlanterDifficultyPercentage)),IF(AE1857="free","re-planting",IF(G1857=0,"",IF(PlanterYesMe="",IF(AE1857="me","   not ELP, by",IF(AE1857="",IF(G1857&gt;0,(VLOOKUP(A1857,'Discount Lookup'!J:K,2)*G1857*(1-PlanterDiscount)*(1+PlanterDifficultyPercentage)),""),"")),"   not ELP, by"))))))))))))))</f>
        <v/>
      </c>
      <c r="AD1857" s="712"/>
      <c r="AE1857" s="513" t="str">
        <f t="shared" si="1301"/>
        <v/>
      </c>
      <c r="AF1857" s="713" t="str">
        <f t="shared" si="1302"/>
        <v/>
      </c>
      <c r="AG1857" s="713"/>
      <c r="AH1857" s="713"/>
      <c r="AI1857" s="112">
        <f>IF(H1857="credit",0,IF(AE1857="free",0,IF(AE1857="me",0,IF(G1857&gt;0,(VLOOKUP(A1857,'Discount Lookup'!J:K,2)*G1857),0))))</f>
        <v>0</v>
      </c>
      <c r="AJ1857" s="107" t="str">
        <f t="shared" ca="1" si="1303"/>
        <v/>
      </c>
      <c r="AK1857" s="714" t="str">
        <f t="shared" si="1304"/>
        <v/>
      </c>
      <c r="AL1857" s="714"/>
      <c r="AM1857" s="114" t="str">
        <f t="shared" si="1305"/>
        <v/>
      </c>
      <c r="AN1857" s="115"/>
      <c r="AO1857" s="116"/>
      <c r="AP1857" s="116"/>
      <c r="AQ1857" s="116"/>
      <c r="AR1857" s="116"/>
      <c r="AS1857" s="116"/>
      <c r="AT1857" s="116"/>
      <c r="AU1857" s="116"/>
      <c r="AV1857" s="78"/>
      <c r="AW1857" s="102"/>
      <c r="AX1857" s="78"/>
      <c r="AY1857" s="78"/>
      <c r="AZ1857" s="78"/>
      <c r="BA1857" s="78"/>
      <c r="BB1857" s="78"/>
      <c r="BC1857" s="78"/>
      <c r="BD1857" s="78"/>
      <c r="BE1857" s="465"/>
      <c r="BF1857" s="165" t="str">
        <f t="shared" si="1306"/>
        <v>https://www.google.com/search?tbm=isch&amp;q=1%20G5</v>
      </c>
      <c r="BG1857" s="165" t="str">
        <f t="shared" si="1307"/>
        <v>H</v>
      </c>
      <c r="BH1857" s="65"/>
      <c r="BI1857" s="65"/>
      <c r="BJ1857" s="65"/>
      <c r="BK1857" s="65"/>
      <c r="BL1857" s="99"/>
      <c r="BM1857" s="99"/>
      <c r="BN1857" s="99"/>
    </row>
    <row r="1858" spans="1:66" s="51" customFormat="1" ht="17.25" thickBot="1" x14ac:dyDescent="0.3">
      <c r="A1858" s="704" t="s">
        <v>5411</v>
      </c>
      <c r="B1858" s="642"/>
      <c r="C1858" s="710"/>
      <c r="D1858" s="643"/>
      <c r="E1858" s="643"/>
      <c r="F1858" s="644"/>
      <c r="G1858" s="645"/>
      <c r="H1858" s="646"/>
      <c r="I1858" s="647"/>
      <c r="J1858" s="648"/>
      <c r="K1858" s="649"/>
      <c r="L1858" s="650"/>
      <c r="M1858" s="650"/>
      <c r="N1858" s="644"/>
      <c r="O1858" s="644"/>
      <c r="P1858" s="644"/>
      <c r="Q1858" s="644"/>
      <c r="R1858" s="644"/>
      <c r="S1858" s="701" t="s">
        <v>5287</v>
      </c>
      <c r="T1858" s="102">
        <f t="shared" si="1295"/>
        <v>0</v>
      </c>
      <c r="U1858" s="78" t="str">
        <f>IF(NOT(ISNUMBER(G1858)), "", VLOOKUP(A1858,'Discount Lookup'!D:E,2,FALSE)*G1858)</f>
        <v/>
      </c>
      <c r="V1858" s="78" t="str">
        <f>IF(NOT(ISNUMBER(G1858)), "", VLOOKUP(A1858,'Discount Lookup'!G:H,2,FALSE)*G1858)</f>
        <v/>
      </c>
      <c r="W1858" s="102">
        <f t="shared" si="1296"/>
        <v>0</v>
      </c>
      <c r="X1858" s="102">
        <f t="shared" si="1297"/>
        <v>0</v>
      </c>
      <c r="Y1858" s="120" t="b">
        <f t="shared" si="1298"/>
        <v>0</v>
      </c>
      <c r="Z1858" s="117">
        <f t="shared" si="1299"/>
        <v>0</v>
      </c>
      <c r="AA1858" s="118"/>
      <c r="AB1858" s="118" t="str">
        <f t="shared" si="1300"/>
        <v/>
      </c>
      <c r="AC1858" s="712" t="str">
        <f>IF(AE1858="T2G","no charge",IF(AND(OR(PlanterYesMe="No",PlanterYesMe="N",PlanterYesMe="me"),H1858=""),"",IF(H1858="credit","NO install",IF(AND(K1858="",AE1858="me"),"EACH row",IF(AND(K1858="images",AE1858="me"),"EACH row",IF(D1858="","",IF(H1858="credit","",IF(AE1858="free","re-planting",IF(AE1858="me","   not ELP, by",IF(AND(OR(PlanterYesMe="Yes",PlanterYesMe="Y"),G1858&gt;0),(VLOOKUP(A1858,'Discount Lookup'!J:K,2)*G1858*(1-PlanterDiscount)*(1+PlanterDifficultyPercentage)),IF(AE1858="ELP",(VLOOKUP(A1858,'Discount Lookup'!J:K,2)*G1858*(1-PlanterDiscount)*(1+PlanterDifficultyPercentage)),IF(AE1858="free","re-planting",IF(G1858=0,"",IF(PlanterYesMe="",IF(AE1858="me","   not ELP, by",IF(AE1858="",IF(G1858&gt;0,(VLOOKUP(A1858,'Discount Lookup'!J:K,2)*G1858*(1-PlanterDiscount)*(1+PlanterDifficultyPercentage)),""),"")),"   not ELP, by"))))))))))))))</f>
        <v/>
      </c>
      <c r="AD1858" s="712"/>
      <c r="AE1858" s="513" t="str">
        <f t="shared" si="1301"/>
        <v/>
      </c>
      <c r="AF1858" s="713" t="str">
        <f t="shared" si="1302"/>
        <v/>
      </c>
      <c r="AG1858" s="713"/>
      <c r="AH1858" s="713"/>
      <c r="AI1858" s="112">
        <f>IF(H1858="credit",0,IF(AE1858="free",0,IF(AE1858="me",0,IF(G1858&gt;0,(VLOOKUP(A1858,'Discount Lookup'!J:K,2)*G1858),0))))</f>
        <v>0</v>
      </c>
      <c r="AJ1858" s="107" t="str">
        <f t="shared" ca="1" si="1303"/>
        <v/>
      </c>
      <c r="AK1858" s="714" t="str">
        <f t="shared" si="1304"/>
        <v/>
      </c>
      <c r="AL1858" s="714"/>
      <c r="AM1858" s="114" t="str">
        <f t="shared" si="1305"/>
        <v/>
      </c>
      <c r="AN1858" s="115"/>
      <c r="AO1858" s="116"/>
      <c r="AP1858" s="116"/>
      <c r="AQ1858" s="116"/>
      <c r="AR1858" s="116"/>
      <c r="AS1858" s="116"/>
      <c r="AT1858" s="116"/>
      <c r="AU1858" s="116"/>
      <c r="AV1858" s="78"/>
      <c r="AW1858" s="102"/>
      <c r="AX1858" s="78"/>
      <c r="AY1858" s="78"/>
      <c r="AZ1858" s="78"/>
      <c r="BA1858" s="78"/>
      <c r="BB1858" s="78"/>
      <c r="BC1858" s="78"/>
      <c r="BD1858" s="78"/>
      <c r="BE1858" s="465"/>
      <c r="BF1858" s="165" t="str">
        <f t="shared" si="1306"/>
        <v>https://www.google.com/search?tbm=isch&amp;q=moist%20sites%F0%9F%92%A7OK%2C%20Amazone%20foliage%20forms%20a%20neat%2C%20medium%20clump%20with%20Dark-Green%20margins%20%26%20Snow-White%20centers%20</v>
      </c>
      <c r="BG1858" s="165" t="str">
        <f t="shared" si="1307"/>
        <v>m</v>
      </c>
      <c r="BH1858" s="65"/>
      <c r="BI1858" s="65"/>
      <c r="BJ1858" s="65"/>
      <c r="BK1858" s="65"/>
      <c r="BL1858" s="99"/>
      <c r="BM1858" s="99"/>
      <c r="BN1858" s="99"/>
    </row>
    <row r="1859" spans="1:66" s="51" customFormat="1" ht="18" x14ac:dyDescent="0.25">
      <c r="A1859" s="623" t="s">
        <v>2717</v>
      </c>
      <c r="B1859" s="624"/>
      <c r="C1859" s="709"/>
      <c r="D1859" s="625" t="s">
        <v>2718</v>
      </c>
      <c r="E1859" s="626"/>
      <c r="F1859" s="626"/>
      <c r="G1859" s="626"/>
      <c r="H1859" s="622" t="s">
        <v>4735</v>
      </c>
      <c r="I1859" s="627" t="s">
        <v>4736</v>
      </c>
      <c r="J1859" s="628"/>
      <c r="K1859" s="628"/>
      <c r="L1859" s="629"/>
      <c r="M1859" s="702" t="s">
        <v>5256</v>
      </c>
      <c r="N1859" s="693" t="str">
        <f>IF(AND(ISTEXT($A1859), ISERROR($A1859+0)), HYPERLINK($BF1859, "Images"), "")</f>
        <v>Images</v>
      </c>
      <c r="O1859" s="695" t="s">
        <v>5286</v>
      </c>
      <c r="P1859" s="630"/>
      <c r="Q1859" s="631"/>
      <c r="R1859" s="632"/>
      <c r="S1859" s="633"/>
      <c r="T1859" s="102">
        <f t="shared" si="1295"/>
        <v>0</v>
      </c>
      <c r="U1859" s="78" t="str">
        <f>IF(NOT(ISNUMBER(G1859)), "", VLOOKUP(A1859,'Discount Lookup'!D:E,2,FALSE)*G1859)</f>
        <v/>
      </c>
      <c r="V1859" s="78" t="str">
        <f>IF(NOT(ISNUMBER(G1859)), "", VLOOKUP(A1859,'Discount Lookup'!G:H,2,FALSE)*G1859)</f>
        <v/>
      </c>
      <c r="W1859" s="102">
        <f t="shared" si="1296"/>
        <v>0</v>
      </c>
      <c r="X1859" s="102" t="str">
        <f t="shared" si="1297"/>
        <v>Pale Lavender to White</v>
      </c>
      <c r="Y1859" s="120" t="b">
        <f t="shared" si="1298"/>
        <v>0</v>
      </c>
      <c r="Z1859" s="117">
        <f t="shared" si="1299"/>
        <v>0</v>
      </c>
      <c r="AA1859" s="118"/>
      <c r="AB1859" s="118" t="str">
        <f t="shared" si="1300"/>
        <v/>
      </c>
      <c r="AC1859" s="712" t="str">
        <f>IF(AE1859="T2G","no charge",IF(AND(OR(PlanterYesMe="No",PlanterYesMe="N",PlanterYesMe="me"),H1859=""),"",IF(H1859="credit","NO install",IF(AND(K1859="",AE1859="me"),"EACH row",IF(AND(K1859="images",AE1859="me"),"EACH row",IF(D1859="","",IF(H1859="credit","",IF(AE1859="free","re-planting",IF(AE1859="me","   not ELP, by",IF(AND(OR(PlanterYesMe="Yes",PlanterYesMe="Y"),G1859&gt;0),(VLOOKUP(A1859,'Discount Lookup'!J:K,2)*G1859*(1-PlanterDiscount)*(1+PlanterDifficultyPercentage)),IF(AE1859="ELP",(VLOOKUP(A1859,'Discount Lookup'!J:K,2)*G1859*(1-PlanterDiscount)*(1+PlanterDifficultyPercentage)),IF(AE1859="free","re-planting",IF(G1859=0,"",IF(PlanterYesMe="",IF(AE1859="me","   not ELP, by",IF(AE1859="",IF(G1859&gt;0,(VLOOKUP(A1859,'Discount Lookup'!J:K,2)*G1859*(1-PlanterDiscount)*(1+PlanterDifficultyPercentage)),""),"")),"   not ELP, by"))))))))))))))</f>
        <v/>
      </c>
      <c r="AD1859" s="712"/>
      <c r="AE1859" s="513" t="str">
        <f t="shared" si="1301"/>
        <v/>
      </c>
      <c r="AF1859" s="713" t="str">
        <f t="shared" si="1302"/>
        <v/>
      </c>
      <c r="AG1859" s="713"/>
      <c r="AH1859" s="713"/>
      <c r="AI1859" s="112">
        <f>IF(H1859="credit",0,IF(AE1859="free",0,IF(AE1859="me",0,IF(G1859&gt;0,(VLOOKUP(A1859,'Discount Lookup'!J:K,2)*G1859),0))))</f>
        <v>0</v>
      </c>
      <c r="AJ1859" s="107" t="str">
        <f t="shared" ca="1" si="1303"/>
        <v/>
      </c>
      <c r="AK1859" s="714" t="str">
        <f t="shared" si="1304"/>
        <v/>
      </c>
      <c r="AL1859" s="714"/>
      <c r="AM1859" s="114" t="str">
        <f t="shared" si="1305"/>
        <v/>
      </c>
      <c r="AN1859" s="115"/>
      <c r="AO1859" s="116"/>
      <c r="AP1859" s="116"/>
      <c r="AQ1859" s="116"/>
      <c r="AR1859" s="116"/>
      <c r="AS1859" s="116"/>
      <c r="AT1859" s="116"/>
      <c r="AU1859" s="116"/>
      <c r="AV1859" s="78"/>
      <c r="AW1859" s="102"/>
      <c r="AX1859" s="78"/>
      <c r="AY1859" s="78"/>
      <c r="AZ1859" s="78"/>
      <c r="BA1859" s="78"/>
      <c r="BB1859" s="78"/>
      <c r="BC1859" s="78"/>
      <c r="BD1859" s="78"/>
      <c r="BE1859" s="465"/>
      <c r="BF1859" s="165" t="str">
        <f t="shared" si="1306"/>
        <v>https://www.google.com/search?tbm=isch&amp;q=Hosta%20%27August%20Moon%27%20August%20Moon%20Hosta</v>
      </c>
      <c r="BG1859" s="165" t="str">
        <f t="shared" si="1307"/>
        <v>H</v>
      </c>
      <c r="BH1859" s="65"/>
      <c r="BI1859" s="65"/>
      <c r="BJ1859" s="65"/>
      <c r="BK1859" s="65"/>
      <c r="BL1859" s="99"/>
      <c r="BM1859" s="99"/>
      <c r="BN1859" s="99"/>
    </row>
    <row r="1860" spans="1:66" s="51" customFormat="1" ht="15.75" x14ac:dyDescent="0.25">
      <c r="A1860" s="634">
        <v>1</v>
      </c>
      <c r="B1860" s="635" t="s">
        <v>291</v>
      </c>
      <c r="C1860" s="636" t="s">
        <v>1125</v>
      </c>
      <c r="D1860" s="637" t="s">
        <v>309</v>
      </c>
      <c r="E1860" s="638">
        <v>6.95</v>
      </c>
      <c r="F1860" s="639" t="s">
        <v>292</v>
      </c>
      <c r="G1860" s="484">
        <v>0</v>
      </c>
      <c r="H1860" s="691" t="str">
        <f>IF(G1860=0,"",IF(F1860="Buy",IF(G1860=1,"plant","plants"),IF(F1860&gt;0.01,"warranty","Error")))</f>
        <v/>
      </c>
      <c r="I1860" s="640">
        <f>IF(H1860="free",0,IF(H1860="credit",((E1860*(F1860))*G1860*-1),IF(F1860="Buy",(E1860*G1860),((E1860*(1-F1860))*G1860))))</f>
        <v>0</v>
      </c>
      <c r="J1860" s="640">
        <f>IF(H1860="warranty",0,(I1860*(_xlfn.SINGLE(SalesTaxPercentage))))</f>
        <v>0</v>
      </c>
      <c r="K1860" s="716">
        <f t="shared" ref="K1860" si="1325">I1860+J1860</f>
        <v>0</v>
      </c>
      <c r="L1860" s="716"/>
      <c r="M1860" s="689" t="str">
        <f ca="1">IF(AND(G1860&gt;0,E1860=0),"WARNING - no PRICE inserted",IF(H1860="free","FREE ~ no charge this plant",IF(H1860="credit",CONCATENATE("-$",ROUND(K1860*(1-_xlfn.SINGLE(T2GDiscount))*-1,2)," CREDIT after discount"),IF(_xlfn.SINGLE(T2GDiscount)=0,"",IF(G1860=0,"",IF(F1860="Buy",CONCATENATE("$",ROUND(K1860*(1-_xlfn.SINGLE(T2GDiscount)),2)," with ",(_xlfn.SINGLE(T2GDiscount)*100),"% discount"),CONCATENATE("$",ROUND(K1860*(1-_xlfn.SINGLE(T2GDiscount)),2)," with ",((_xlfn.SINGLE(T2GDiscount)*100+F1860*100)-(_xlfn.SINGLE(T2GDiscount)*100*F1860)),IF(F1860&gt;0,"% discounts",IF(_xlfn.SINGLE(NoWarrantyDiscount)&gt;0,"% discounts","% discount")))))))))</f>
        <v/>
      </c>
      <c r="N1860" s="690"/>
      <c r="O1860" s="486"/>
      <c r="P1860" s="486"/>
      <c r="Q1860" s="486"/>
      <c r="R1860" s="486"/>
      <c r="S1860" s="486"/>
      <c r="T1860" s="102">
        <f t="shared" si="1295"/>
        <v>0</v>
      </c>
      <c r="U1860" s="78">
        <f>IF(NOT(ISNUMBER(G1860)), "", VLOOKUP(A1860,'Discount Lookup'!D:E,2,FALSE)*G1860)</f>
        <v>0</v>
      </c>
      <c r="V1860" s="78">
        <f>IF(NOT(ISNUMBER(G1860)), "", VLOOKUP(A1860,'Discount Lookup'!G:H,2,FALSE)*G1860)</f>
        <v>0</v>
      </c>
      <c r="W1860" s="102">
        <f t="shared" si="1296"/>
        <v>0</v>
      </c>
      <c r="X1860" s="102">
        <f t="shared" si="1297"/>
        <v>0</v>
      </c>
      <c r="Y1860" s="120" t="b">
        <f t="shared" si="1298"/>
        <v>0</v>
      </c>
      <c r="Z1860" s="117">
        <f t="shared" si="1299"/>
        <v>0</v>
      </c>
      <c r="AA1860" s="118"/>
      <c r="AB1860" s="118" t="str">
        <f t="shared" si="1300"/>
        <v/>
      </c>
      <c r="AC1860" s="712" t="str">
        <f>IF(AE1860="T2G","no charge",IF(AND(OR(PlanterYesMe="No",PlanterYesMe="N",PlanterYesMe="me"),H1860=""),"",IF(H1860="credit","NO install",IF(AND(K1860="",AE1860="me"),"EACH row",IF(AND(K1860="images",AE1860="me"),"EACH row",IF(D1860="","",IF(H1860="credit","",IF(AE1860="free","re-planting",IF(AE1860="me","   not ELP, by",IF(AND(OR(PlanterYesMe="Yes",PlanterYesMe="Y"),G1860&gt;0),(VLOOKUP(A1860,'Discount Lookup'!J:K,2)*G1860*(1-PlanterDiscount)*(1+PlanterDifficultyPercentage)),IF(AE1860="ELP",(VLOOKUP(A1860,'Discount Lookup'!J:K,2)*G1860*(1-PlanterDiscount)*(1+PlanterDifficultyPercentage)),IF(AE1860="free","re-planting",IF(G1860=0,"",IF(PlanterYesMe="",IF(AE1860="me","   not ELP, by",IF(AE1860="",IF(G1860&gt;0,(VLOOKUP(A1860,'Discount Lookup'!J:K,2)*G1860*(1-PlanterDiscount)*(1+PlanterDifficultyPercentage)),""),"")),"   not ELP, by"))))))))))))))</f>
        <v/>
      </c>
      <c r="AD1860" s="712"/>
      <c r="AE1860" s="513" t="str">
        <f t="shared" si="1301"/>
        <v/>
      </c>
      <c r="AF1860" s="713" t="str">
        <f t="shared" si="1302"/>
        <v/>
      </c>
      <c r="AG1860" s="713"/>
      <c r="AH1860" s="713"/>
      <c r="AI1860" s="112">
        <f>IF(H1860="credit",0,IF(AE1860="free",0,IF(AE1860="me",0,IF(G1860&gt;0,(VLOOKUP(A1860,'Discount Lookup'!J:K,2)*G1860),0))))</f>
        <v>0</v>
      </c>
      <c r="AJ1860" s="107" t="str">
        <f t="shared" ca="1" si="1303"/>
        <v/>
      </c>
      <c r="AK1860" s="714" t="str">
        <f t="shared" si="1304"/>
        <v/>
      </c>
      <c r="AL1860" s="714"/>
      <c r="AM1860" s="114" t="str">
        <f t="shared" si="1305"/>
        <v/>
      </c>
      <c r="AN1860" s="115"/>
      <c r="AO1860" s="116"/>
      <c r="AP1860" s="116"/>
      <c r="AQ1860" s="116"/>
      <c r="AR1860" s="116"/>
      <c r="AS1860" s="116"/>
      <c r="AT1860" s="116"/>
      <c r="AU1860" s="116"/>
      <c r="AV1860" s="78"/>
      <c r="AW1860" s="102"/>
      <c r="AX1860" s="78"/>
      <c r="AY1860" s="78"/>
      <c r="AZ1860" s="78"/>
      <c r="BA1860" s="78"/>
      <c r="BB1860" s="78"/>
      <c r="BC1860" s="78"/>
      <c r="BD1860" s="78"/>
      <c r="BE1860" s="465"/>
      <c r="BF1860" s="165" t="str">
        <f t="shared" si="1306"/>
        <v>https://www.google.com/search?tbm=isch&amp;q=1%20G3</v>
      </c>
      <c r="BG1860" s="165" t="str">
        <f t="shared" si="1307"/>
        <v>H</v>
      </c>
      <c r="BH1860" s="65"/>
      <c r="BI1860" s="65"/>
      <c r="BJ1860" s="65"/>
      <c r="BK1860" s="65"/>
      <c r="BL1860" s="99"/>
      <c r="BM1860" s="99"/>
      <c r="BN1860" s="99"/>
    </row>
    <row r="1861" spans="1:66" s="51" customFormat="1" ht="17.25" thickBot="1" x14ac:dyDescent="0.3">
      <c r="A1861" s="704" t="s">
        <v>5412</v>
      </c>
      <c r="B1861" s="642"/>
      <c r="C1861" s="710"/>
      <c r="D1861" s="643"/>
      <c r="E1861" s="643"/>
      <c r="F1861" s="644"/>
      <c r="G1861" s="645"/>
      <c r="H1861" s="646"/>
      <c r="I1861" s="647"/>
      <c r="J1861" s="648"/>
      <c r="K1861" s="649"/>
      <c r="L1861" s="650"/>
      <c r="M1861" s="650"/>
      <c r="N1861" s="644"/>
      <c r="O1861" s="644"/>
      <c r="P1861" s="644"/>
      <c r="Q1861" s="644"/>
      <c r="R1861" s="644"/>
      <c r="S1861" s="701" t="s">
        <v>5287</v>
      </c>
      <c r="T1861" s="102">
        <f t="shared" si="1295"/>
        <v>0</v>
      </c>
      <c r="U1861" s="78" t="str">
        <f>IF(NOT(ISNUMBER(G1861)), "", VLOOKUP(A1861,'Discount Lookup'!D:E,2,FALSE)*G1861)</f>
        <v/>
      </c>
      <c r="V1861" s="78" t="str">
        <f>IF(NOT(ISNUMBER(G1861)), "", VLOOKUP(A1861,'Discount Lookup'!G:H,2,FALSE)*G1861)</f>
        <v/>
      </c>
      <c r="W1861" s="102">
        <f t="shared" si="1296"/>
        <v>0</v>
      </c>
      <c r="X1861" s="102">
        <f t="shared" si="1297"/>
        <v>0</v>
      </c>
      <c r="Y1861" s="120" t="b">
        <f t="shared" si="1298"/>
        <v>0</v>
      </c>
      <c r="Z1861" s="117">
        <f t="shared" si="1299"/>
        <v>0</v>
      </c>
      <c r="AA1861" s="118"/>
      <c r="AB1861" s="118" t="str">
        <f t="shared" si="1300"/>
        <v/>
      </c>
      <c r="AC1861" s="712" t="str">
        <f>IF(AE1861="T2G","no charge",IF(AND(OR(PlanterYesMe="No",PlanterYesMe="N",PlanterYesMe="me"),H1861=""),"",IF(H1861="credit","NO install",IF(AND(K1861="",AE1861="me"),"EACH row",IF(AND(K1861="images",AE1861="me"),"EACH row",IF(D1861="","",IF(H1861="credit","",IF(AE1861="free","re-planting",IF(AE1861="me","   not ELP, by",IF(AND(OR(PlanterYesMe="Yes",PlanterYesMe="Y"),G1861&gt;0),(VLOOKUP(A1861,'Discount Lookup'!J:K,2)*G1861*(1-PlanterDiscount)*(1+PlanterDifficultyPercentage)),IF(AE1861="ELP",(VLOOKUP(A1861,'Discount Lookup'!J:K,2)*G1861*(1-PlanterDiscount)*(1+PlanterDifficultyPercentage)),IF(AE1861="free","re-planting",IF(G1861=0,"",IF(PlanterYesMe="",IF(AE1861="me","   not ELP, by",IF(AE1861="",IF(G1861&gt;0,(VLOOKUP(A1861,'Discount Lookup'!J:K,2)*G1861*(1-PlanterDiscount)*(1+PlanterDifficultyPercentage)),""),"")),"   not ELP, by"))))))))))))))</f>
        <v/>
      </c>
      <c r="AD1861" s="712"/>
      <c r="AE1861" s="513" t="str">
        <f t="shared" si="1301"/>
        <v/>
      </c>
      <c r="AF1861" s="713" t="str">
        <f t="shared" si="1302"/>
        <v/>
      </c>
      <c r="AG1861" s="713"/>
      <c r="AH1861" s="713"/>
      <c r="AI1861" s="112">
        <f>IF(H1861="credit",0,IF(AE1861="free",0,IF(AE1861="me",0,IF(G1861&gt;0,(VLOOKUP(A1861,'Discount Lookup'!J:K,2)*G1861),0))))</f>
        <v>0</v>
      </c>
      <c r="AJ1861" s="107" t="str">
        <f t="shared" ca="1" si="1303"/>
        <v/>
      </c>
      <c r="AK1861" s="714" t="str">
        <f t="shared" si="1304"/>
        <v/>
      </c>
      <c r="AL1861" s="714"/>
      <c r="AM1861" s="114" t="str">
        <f t="shared" si="1305"/>
        <v/>
      </c>
      <c r="AN1861" s="115"/>
      <c r="AO1861" s="116"/>
      <c r="AP1861" s="116"/>
      <c r="AQ1861" s="116"/>
      <c r="AR1861" s="116"/>
      <c r="AS1861" s="116"/>
      <c r="AT1861" s="116"/>
      <c r="AU1861" s="116"/>
      <c r="AV1861" s="78"/>
      <c r="AW1861" s="102"/>
      <c r="AX1861" s="78"/>
      <c r="AY1861" s="78"/>
      <c r="AZ1861" s="78"/>
      <c r="BA1861" s="78"/>
      <c r="BB1861" s="78"/>
      <c r="BC1861" s="78"/>
      <c r="BD1861" s="78"/>
      <c r="BE1861" s="465"/>
      <c r="BF1861" s="165" t="str">
        <f t="shared" si="1306"/>
        <v>https://www.google.com/search?tbm=isch&amp;q=moist%20sites%F0%9F%92%A7OK%2C%20August%20Moon%20Hosta%20has%20deeply%20ribbed%2C%20Chartreuse%20leaves%20that%20gradually%20brighten%20to%20a%20Golden-Yellow%20</v>
      </c>
      <c r="BG1861" s="165" t="str">
        <f t="shared" si="1307"/>
        <v>m</v>
      </c>
      <c r="BH1861" s="65"/>
      <c r="BI1861" s="65"/>
      <c r="BJ1861" s="65"/>
      <c r="BK1861" s="65"/>
      <c r="BL1861" s="99"/>
      <c r="BM1861" s="99"/>
      <c r="BN1861" s="99"/>
    </row>
    <row r="1862" spans="1:66" s="51" customFormat="1" ht="18" x14ac:dyDescent="0.25">
      <c r="A1862" s="623" t="s">
        <v>2719</v>
      </c>
      <c r="B1862" s="624"/>
      <c r="C1862" s="709"/>
      <c r="D1862" s="625" t="s">
        <v>2720</v>
      </c>
      <c r="E1862" s="626"/>
      <c r="F1862" s="626"/>
      <c r="G1862" s="626"/>
      <c r="H1862" s="622" t="s">
        <v>1516</v>
      </c>
      <c r="I1862" s="627" t="s">
        <v>2721</v>
      </c>
      <c r="J1862" s="628"/>
      <c r="K1862" s="628"/>
      <c r="L1862" s="629"/>
      <c r="M1862" s="700" t="s">
        <v>5249</v>
      </c>
      <c r="N1862" s="693" t="str">
        <f>IF(AND(ISTEXT($A1862), ISERROR($A1862+0)), HYPERLINK($BF1862, "Images"), "")</f>
        <v>Images</v>
      </c>
      <c r="O1862" s="695" t="s">
        <v>5264</v>
      </c>
      <c r="P1862" s="630"/>
      <c r="Q1862" s="631"/>
      <c r="R1862" s="632"/>
      <c r="S1862" s="633"/>
      <c r="T1862" s="102">
        <f t="shared" si="1295"/>
        <v>0</v>
      </c>
      <c r="U1862" s="78" t="str">
        <f>IF(NOT(ISNUMBER(G1862)), "", VLOOKUP(A1862,'Discount Lookup'!D:E,2,FALSE)*G1862)</f>
        <v/>
      </c>
      <c r="V1862" s="78" t="str">
        <f>IF(NOT(ISNUMBER(G1862)), "", VLOOKUP(A1862,'Discount Lookup'!G:H,2,FALSE)*G1862)</f>
        <v/>
      </c>
      <c r="W1862" s="102">
        <f t="shared" si="1296"/>
        <v>0</v>
      </c>
      <c r="X1862" s="102" t="str">
        <f t="shared" si="1297"/>
        <v>Lavender bloom</v>
      </c>
      <c r="Y1862" s="120" t="b">
        <f t="shared" si="1298"/>
        <v>0</v>
      </c>
      <c r="Z1862" s="117">
        <f t="shared" si="1299"/>
        <v>0</v>
      </c>
      <c r="AA1862" s="118"/>
      <c r="AB1862" s="118" t="str">
        <f t="shared" si="1300"/>
        <v/>
      </c>
      <c r="AC1862" s="712" t="str">
        <f>IF(AE1862="T2G","no charge",IF(AND(OR(PlanterYesMe="No",PlanterYesMe="N",PlanterYesMe="me"),H1862=""),"",IF(H1862="credit","NO install",IF(AND(K1862="",AE1862="me"),"EACH row",IF(AND(K1862="images",AE1862="me"),"EACH row",IF(D1862="","",IF(H1862="credit","",IF(AE1862="free","re-planting",IF(AE1862="me","   not ELP, by",IF(AND(OR(PlanterYesMe="Yes",PlanterYesMe="Y"),G1862&gt;0),(VLOOKUP(A1862,'Discount Lookup'!J:K,2)*G1862*(1-PlanterDiscount)*(1+PlanterDifficultyPercentage)),IF(AE1862="ELP",(VLOOKUP(A1862,'Discount Lookup'!J:K,2)*G1862*(1-PlanterDiscount)*(1+PlanterDifficultyPercentage)),IF(AE1862="free","re-planting",IF(G1862=0,"",IF(PlanterYesMe="",IF(AE1862="me","   not ELP, by",IF(AE1862="",IF(G1862&gt;0,(VLOOKUP(A1862,'Discount Lookup'!J:K,2)*G1862*(1-PlanterDiscount)*(1+PlanterDifficultyPercentage)),""),"")),"   not ELP, by"))))))))))))))</f>
        <v/>
      </c>
      <c r="AD1862" s="712"/>
      <c r="AE1862" s="513" t="str">
        <f t="shared" si="1301"/>
        <v/>
      </c>
      <c r="AF1862" s="713" t="str">
        <f t="shared" si="1302"/>
        <v/>
      </c>
      <c r="AG1862" s="713"/>
      <c r="AH1862" s="713"/>
      <c r="AI1862" s="112">
        <f>IF(H1862="credit",0,IF(AE1862="free",0,IF(AE1862="me",0,IF(G1862&gt;0,(VLOOKUP(A1862,'Discount Lookup'!J:K,2)*G1862),0))))</f>
        <v>0</v>
      </c>
      <c r="AJ1862" s="107" t="str">
        <f t="shared" ca="1" si="1303"/>
        <v/>
      </c>
      <c r="AK1862" s="714" t="str">
        <f t="shared" si="1304"/>
        <v/>
      </c>
      <c r="AL1862" s="714"/>
      <c r="AM1862" s="114" t="str">
        <f t="shared" si="1305"/>
        <v/>
      </c>
      <c r="AN1862" s="115"/>
      <c r="AO1862" s="116"/>
      <c r="AP1862" s="116"/>
      <c r="AQ1862" s="116"/>
      <c r="AR1862" s="116"/>
      <c r="AS1862" s="116"/>
      <c r="AT1862" s="116"/>
      <c r="AU1862" s="116"/>
      <c r="AV1862" s="78"/>
      <c r="AW1862" s="102"/>
      <c r="AX1862" s="78"/>
      <c r="AY1862" s="78"/>
      <c r="AZ1862" s="78"/>
      <c r="BA1862" s="78"/>
      <c r="BB1862" s="78"/>
      <c r="BC1862" s="78"/>
      <c r="BD1862" s="78"/>
      <c r="BE1862" s="465"/>
      <c r="BF1862" s="165" t="str">
        <f t="shared" si="1306"/>
        <v>https://www.google.com/search?tbm=isch&amp;q=Hosta%20%27Blue%20Cadet%27%20Blue%20Cadet%20Hosta</v>
      </c>
      <c r="BG1862" s="165" t="str">
        <f t="shared" si="1307"/>
        <v>H</v>
      </c>
      <c r="BH1862" s="65"/>
      <c r="BI1862" s="65"/>
      <c r="BJ1862" s="65"/>
      <c r="BK1862" s="65"/>
      <c r="BL1862" s="99"/>
      <c r="BM1862" s="99"/>
      <c r="BN1862" s="99"/>
    </row>
    <row r="1863" spans="1:66" s="51" customFormat="1" ht="15.75" x14ac:dyDescent="0.25">
      <c r="A1863" s="634">
        <v>1</v>
      </c>
      <c r="B1863" s="635" t="s">
        <v>291</v>
      </c>
      <c r="C1863" s="636" t="s">
        <v>2722</v>
      </c>
      <c r="D1863" s="637" t="s">
        <v>311</v>
      </c>
      <c r="E1863" s="638">
        <v>10.95</v>
      </c>
      <c r="F1863" s="639" t="s">
        <v>292</v>
      </c>
      <c r="G1863" s="484">
        <v>0</v>
      </c>
      <c r="H1863" s="691" t="str">
        <f>IF(G1863=0,"",IF(F1863="Buy",IF(G1863=1,"plant","plants"),IF(F1863&gt;0.01,"warranty","Error")))</f>
        <v/>
      </c>
      <c r="I1863" s="640">
        <f>IF(H1863="free",0,IF(H1863="credit",((E1863*(F1863))*G1863*-1),IF(F1863="Buy",(E1863*G1863),((E1863*(1-F1863))*G1863))))</f>
        <v>0</v>
      </c>
      <c r="J1863" s="640">
        <f>IF(H1863="warranty",0,(I1863*(_xlfn.SINGLE(SalesTaxPercentage))))</f>
        <v>0</v>
      </c>
      <c r="K1863" s="716">
        <f t="shared" ref="K1863" si="1326">I1863+J1863</f>
        <v>0</v>
      </c>
      <c r="L1863" s="716"/>
      <c r="M1863" s="689" t="str">
        <f ca="1">IF(AND(G1863&gt;0,E1863=0),"WARNING - no PRICE inserted",IF(H1863="free","FREE ~ no charge this plant",IF(H1863="credit",CONCATENATE("-$",ROUND(K1863*(1-_xlfn.SINGLE(T2GDiscount))*-1,2)," CREDIT after discount"),IF(_xlfn.SINGLE(T2GDiscount)=0,"",IF(G1863=0,"",IF(F1863="Buy",CONCATENATE("$",ROUND(K1863*(1-_xlfn.SINGLE(T2GDiscount)),2)," with ",(_xlfn.SINGLE(T2GDiscount)*100),"% discount"),CONCATENATE("$",ROUND(K1863*(1-_xlfn.SINGLE(T2GDiscount)),2)," with ",((_xlfn.SINGLE(T2GDiscount)*100+F1863*100)-(_xlfn.SINGLE(T2GDiscount)*100*F1863)),IF(F1863&gt;0,"% discounts",IF(_xlfn.SINGLE(NoWarrantyDiscount)&gt;0,"% discounts","% discount")))))))))</f>
        <v/>
      </c>
      <c r="N1863" s="690"/>
      <c r="O1863" s="486"/>
      <c r="P1863" s="486"/>
      <c r="Q1863" s="486"/>
      <c r="R1863" s="486"/>
      <c r="S1863" s="486"/>
      <c r="T1863" s="102">
        <f t="shared" si="1295"/>
        <v>0</v>
      </c>
      <c r="U1863" s="78">
        <f>IF(NOT(ISNUMBER(G1863)), "", VLOOKUP(A1863,'Discount Lookup'!D:E,2,FALSE)*G1863)</f>
        <v>0</v>
      </c>
      <c r="V1863" s="78">
        <f>IF(NOT(ISNUMBER(G1863)), "", VLOOKUP(A1863,'Discount Lookup'!G:H,2,FALSE)*G1863)</f>
        <v>0</v>
      </c>
      <c r="W1863" s="102">
        <f t="shared" si="1296"/>
        <v>0</v>
      </c>
      <c r="X1863" s="102">
        <f t="shared" si="1297"/>
        <v>0</v>
      </c>
      <c r="Y1863" s="120" t="b">
        <f t="shared" si="1298"/>
        <v>0</v>
      </c>
      <c r="Z1863" s="117">
        <f t="shared" si="1299"/>
        <v>0</v>
      </c>
      <c r="AA1863" s="118"/>
      <c r="AB1863" s="118" t="str">
        <f t="shared" si="1300"/>
        <v/>
      </c>
      <c r="AC1863" s="712" t="str">
        <f>IF(AE1863="T2G","no charge",IF(AND(OR(PlanterYesMe="No",PlanterYesMe="N",PlanterYesMe="me"),H1863=""),"",IF(H1863="credit","NO install",IF(AND(K1863="",AE1863="me"),"EACH row",IF(AND(K1863="images",AE1863="me"),"EACH row",IF(D1863="","",IF(H1863="credit","",IF(AE1863="free","re-planting",IF(AE1863="me","   not ELP, by",IF(AND(OR(PlanterYesMe="Yes",PlanterYesMe="Y"),G1863&gt;0),(VLOOKUP(A1863,'Discount Lookup'!J:K,2)*G1863*(1-PlanterDiscount)*(1+PlanterDifficultyPercentage)),IF(AE1863="ELP",(VLOOKUP(A1863,'Discount Lookup'!J:K,2)*G1863*(1-PlanterDiscount)*(1+PlanterDifficultyPercentage)),IF(AE1863="free","re-planting",IF(G1863=0,"",IF(PlanterYesMe="",IF(AE1863="me","   not ELP, by",IF(AE1863="",IF(G1863&gt;0,(VLOOKUP(A1863,'Discount Lookup'!J:K,2)*G1863*(1-PlanterDiscount)*(1+PlanterDifficultyPercentage)),""),"")),"   not ELP, by"))))))))))))))</f>
        <v/>
      </c>
      <c r="AD1863" s="712"/>
      <c r="AE1863" s="513" t="str">
        <f t="shared" si="1301"/>
        <v/>
      </c>
      <c r="AF1863" s="713" t="str">
        <f t="shared" si="1302"/>
        <v/>
      </c>
      <c r="AG1863" s="713"/>
      <c r="AH1863" s="713"/>
      <c r="AI1863" s="112">
        <f>IF(H1863="credit",0,IF(AE1863="free",0,IF(AE1863="me",0,IF(G1863&gt;0,(VLOOKUP(A1863,'Discount Lookup'!J:K,2)*G1863),0))))</f>
        <v>0</v>
      </c>
      <c r="AJ1863" s="107" t="str">
        <f t="shared" ca="1" si="1303"/>
        <v/>
      </c>
      <c r="AK1863" s="714" t="str">
        <f t="shared" si="1304"/>
        <v/>
      </c>
      <c r="AL1863" s="714"/>
      <c r="AM1863" s="114" t="str">
        <f t="shared" si="1305"/>
        <v/>
      </c>
      <c r="AN1863" s="115"/>
      <c r="AO1863" s="116"/>
      <c r="AP1863" s="116"/>
      <c r="AQ1863" s="116"/>
      <c r="AR1863" s="116"/>
      <c r="AS1863" s="116"/>
      <c r="AT1863" s="116"/>
      <c r="AU1863" s="116"/>
      <c r="AV1863" s="78"/>
      <c r="AW1863" s="102"/>
      <c r="AX1863" s="78"/>
      <c r="AY1863" s="78"/>
      <c r="AZ1863" s="78"/>
      <c r="BA1863" s="78"/>
      <c r="BB1863" s="78"/>
      <c r="BC1863" s="78"/>
      <c r="BD1863" s="78"/>
      <c r="BE1863" s="465"/>
      <c r="BF1863" s="165" t="str">
        <f t="shared" si="1306"/>
        <v>https://www.google.com/search?tbm=isch&amp;q=1%20G5</v>
      </c>
      <c r="BG1863" s="165" t="str">
        <f t="shared" si="1307"/>
        <v>H</v>
      </c>
      <c r="BH1863" s="65"/>
      <c r="BI1863" s="65"/>
      <c r="BJ1863" s="65"/>
      <c r="BK1863" s="65"/>
      <c r="BL1863" s="99"/>
      <c r="BM1863" s="99"/>
      <c r="BN1863" s="99"/>
    </row>
    <row r="1864" spans="1:66" s="51" customFormat="1" ht="17.25" thickBot="1" x14ac:dyDescent="0.3">
      <c r="A1864" s="704" t="s">
        <v>5413</v>
      </c>
      <c r="B1864" s="642"/>
      <c r="C1864" s="710"/>
      <c r="D1864" s="643"/>
      <c r="E1864" s="643"/>
      <c r="F1864" s="644"/>
      <c r="G1864" s="645"/>
      <c r="H1864" s="646"/>
      <c r="I1864" s="647"/>
      <c r="J1864" s="648"/>
      <c r="K1864" s="649"/>
      <c r="L1864" s="650"/>
      <c r="M1864" s="650"/>
      <c r="N1864" s="644"/>
      <c r="O1864" s="644"/>
      <c r="P1864" s="644"/>
      <c r="Q1864" s="644"/>
      <c r="R1864" s="644"/>
      <c r="S1864" s="701" t="s">
        <v>5287</v>
      </c>
      <c r="T1864" s="102">
        <f t="shared" si="1295"/>
        <v>0</v>
      </c>
      <c r="U1864" s="78" t="str">
        <f>IF(NOT(ISNUMBER(G1864)), "", VLOOKUP(A1864,'Discount Lookup'!D:E,2,FALSE)*G1864)</f>
        <v/>
      </c>
      <c r="V1864" s="78" t="str">
        <f>IF(NOT(ISNUMBER(G1864)), "", VLOOKUP(A1864,'Discount Lookup'!G:H,2,FALSE)*G1864)</f>
        <v/>
      </c>
      <c r="W1864" s="102">
        <f t="shared" si="1296"/>
        <v>0</v>
      </c>
      <c r="X1864" s="102">
        <f t="shared" si="1297"/>
        <v>0</v>
      </c>
      <c r="Y1864" s="120" t="b">
        <f t="shared" si="1298"/>
        <v>0</v>
      </c>
      <c r="Z1864" s="117">
        <f t="shared" si="1299"/>
        <v>0</v>
      </c>
      <c r="AA1864" s="118"/>
      <c r="AB1864" s="118" t="str">
        <f t="shared" si="1300"/>
        <v/>
      </c>
      <c r="AC1864" s="712" t="str">
        <f>IF(AE1864="T2G","no charge",IF(AND(OR(PlanterYesMe="No",PlanterYesMe="N",PlanterYesMe="me"),H1864=""),"",IF(H1864="credit","NO install",IF(AND(K1864="",AE1864="me"),"EACH row",IF(AND(K1864="images",AE1864="me"),"EACH row",IF(D1864="","",IF(H1864="credit","",IF(AE1864="free","re-planting",IF(AE1864="me","   not ELP, by",IF(AND(OR(PlanterYesMe="Yes",PlanterYesMe="Y"),G1864&gt;0),(VLOOKUP(A1864,'Discount Lookup'!J:K,2)*G1864*(1-PlanterDiscount)*(1+PlanterDifficultyPercentage)),IF(AE1864="ELP",(VLOOKUP(A1864,'Discount Lookup'!J:K,2)*G1864*(1-PlanterDiscount)*(1+PlanterDifficultyPercentage)),IF(AE1864="free","re-planting",IF(G1864=0,"",IF(PlanterYesMe="",IF(AE1864="me","   not ELP, by",IF(AE1864="",IF(G1864&gt;0,(VLOOKUP(A1864,'Discount Lookup'!J:K,2)*G1864*(1-PlanterDiscount)*(1+PlanterDifficultyPercentage)),""),"")),"   not ELP, by"))))))))))))))</f>
        <v/>
      </c>
      <c r="AD1864" s="712"/>
      <c r="AE1864" s="513" t="str">
        <f t="shared" si="1301"/>
        <v/>
      </c>
      <c r="AF1864" s="713" t="str">
        <f t="shared" si="1302"/>
        <v/>
      </c>
      <c r="AG1864" s="713"/>
      <c r="AH1864" s="713"/>
      <c r="AI1864" s="112">
        <f>IF(H1864="credit",0,IF(AE1864="free",0,IF(AE1864="me",0,IF(G1864&gt;0,(VLOOKUP(A1864,'Discount Lookup'!J:K,2)*G1864),0))))</f>
        <v>0</v>
      </c>
      <c r="AJ1864" s="107" t="str">
        <f t="shared" ca="1" si="1303"/>
        <v/>
      </c>
      <c r="AK1864" s="714" t="str">
        <f t="shared" si="1304"/>
        <v/>
      </c>
      <c r="AL1864" s="714"/>
      <c r="AM1864" s="114" t="str">
        <f t="shared" si="1305"/>
        <v/>
      </c>
      <c r="AN1864" s="115"/>
      <c r="AO1864" s="116"/>
      <c r="AP1864" s="116"/>
      <c r="AQ1864" s="116"/>
      <c r="AR1864" s="116"/>
      <c r="AS1864" s="116"/>
      <c r="AT1864" s="116"/>
      <c r="AU1864" s="116"/>
      <c r="AV1864" s="78"/>
      <c r="AW1864" s="102"/>
      <c r="AX1864" s="78"/>
      <c r="AY1864" s="78"/>
      <c r="AZ1864" s="78"/>
      <c r="BA1864" s="78"/>
      <c r="BB1864" s="78"/>
      <c r="BC1864" s="78"/>
      <c r="BD1864" s="78"/>
      <c r="BE1864" s="465"/>
      <c r="BF1864" s="165" t="str">
        <f t="shared" si="1306"/>
        <v>https://www.google.com/search?tbm=isch&amp;q=moist%20sites%F0%9F%92%A7OK%2C%20Blue%20Cadet%20foliage%20fades%20from%20Blue-Green%20to%20Green%2C%20and%20then%20to%20Yellow%20before%20dormancy%20</v>
      </c>
      <c r="BG1864" s="165" t="str">
        <f t="shared" si="1307"/>
        <v>m</v>
      </c>
      <c r="BH1864" s="65"/>
      <c r="BI1864" s="65"/>
      <c r="BJ1864" s="65"/>
      <c r="BK1864" s="65"/>
      <c r="BL1864" s="99"/>
      <c r="BM1864" s="99"/>
      <c r="BN1864" s="99"/>
    </row>
    <row r="1865" spans="1:66" s="51" customFormat="1" ht="18" x14ac:dyDescent="0.25">
      <c r="A1865" s="623" t="s">
        <v>2723</v>
      </c>
      <c r="B1865" s="624"/>
      <c r="C1865" s="709"/>
      <c r="D1865" s="625" t="s">
        <v>2724</v>
      </c>
      <c r="E1865" s="626"/>
      <c r="F1865" s="626"/>
      <c r="G1865" s="626"/>
      <c r="H1865" s="622" t="s">
        <v>2404</v>
      </c>
      <c r="I1865" s="627" t="s">
        <v>2721</v>
      </c>
      <c r="J1865" s="628"/>
      <c r="K1865" s="628"/>
      <c r="L1865" s="629"/>
      <c r="M1865" s="702" t="s">
        <v>5256</v>
      </c>
      <c r="N1865" s="693" t="str">
        <f>IF(AND(ISTEXT($A1865), ISERROR($A1865+0)), HYPERLINK($BF1865, "Images"), "")</f>
        <v>Images</v>
      </c>
      <c r="O1865" s="695" t="s">
        <v>5286</v>
      </c>
      <c r="P1865" s="630"/>
      <c r="Q1865" s="631"/>
      <c r="R1865" s="632"/>
      <c r="S1865" s="633"/>
      <c r="T1865" s="102">
        <f t="shared" si="1295"/>
        <v>0</v>
      </c>
      <c r="U1865" s="78" t="str">
        <f>IF(NOT(ISNUMBER(G1865)), "", VLOOKUP(A1865,'Discount Lookup'!D:E,2,FALSE)*G1865)</f>
        <v/>
      </c>
      <c r="V1865" s="78" t="str">
        <f>IF(NOT(ISNUMBER(G1865)), "", VLOOKUP(A1865,'Discount Lookup'!G:H,2,FALSE)*G1865)</f>
        <v/>
      </c>
      <c r="W1865" s="102">
        <f t="shared" si="1296"/>
        <v>0</v>
      </c>
      <c r="X1865" s="102" t="str">
        <f t="shared" si="1297"/>
        <v>Lavender bloom</v>
      </c>
      <c r="Y1865" s="120" t="b">
        <f t="shared" si="1298"/>
        <v>0</v>
      </c>
      <c r="Z1865" s="117">
        <f t="shared" si="1299"/>
        <v>0</v>
      </c>
      <c r="AA1865" s="118"/>
      <c r="AB1865" s="118" t="str">
        <f t="shared" si="1300"/>
        <v/>
      </c>
      <c r="AC1865" s="712" t="str">
        <f>IF(AE1865="T2G","no charge",IF(AND(OR(PlanterYesMe="No",PlanterYesMe="N",PlanterYesMe="me"),H1865=""),"",IF(H1865="credit","NO install",IF(AND(K1865="",AE1865="me"),"EACH row",IF(AND(K1865="images",AE1865="me"),"EACH row",IF(D1865="","",IF(H1865="credit","",IF(AE1865="free","re-planting",IF(AE1865="me","   not ELP, by",IF(AND(OR(PlanterYesMe="Yes",PlanterYesMe="Y"),G1865&gt;0),(VLOOKUP(A1865,'Discount Lookup'!J:K,2)*G1865*(1-PlanterDiscount)*(1+PlanterDifficultyPercentage)),IF(AE1865="ELP",(VLOOKUP(A1865,'Discount Lookup'!J:K,2)*G1865*(1-PlanterDiscount)*(1+PlanterDifficultyPercentage)),IF(AE1865="free","re-planting",IF(G1865=0,"",IF(PlanterYesMe="",IF(AE1865="me","   not ELP, by",IF(AE1865="",IF(G1865&gt;0,(VLOOKUP(A1865,'Discount Lookup'!J:K,2)*G1865*(1-PlanterDiscount)*(1+PlanterDifficultyPercentage)),""),"")),"   not ELP, by"))))))))))))))</f>
        <v/>
      </c>
      <c r="AD1865" s="712"/>
      <c r="AE1865" s="513" t="str">
        <f t="shared" si="1301"/>
        <v/>
      </c>
      <c r="AF1865" s="713" t="str">
        <f t="shared" si="1302"/>
        <v/>
      </c>
      <c r="AG1865" s="713"/>
      <c r="AH1865" s="713"/>
      <c r="AI1865" s="112">
        <f>IF(H1865="credit",0,IF(AE1865="free",0,IF(AE1865="me",0,IF(G1865&gt;0,(VLOOKUP(A1865,'Discount Lookup'!J:K,2)*G1865),0))))</f>
        <v>0</v>
      </c>
      <c r="AJ1865" s="107" t="str">
        <f t="shared" ca="1" si="1303"/>
        <v/>
      </c>
      <c r="AK1865" s="714" t="str">
        <f t="shared" si="1304"/>
        <v/>
      </c>
      <c r="AL1865" s="714"/>
      <c r="AM1865" s="114" t="str">
        <f t="shared" si="1305"/>
        <v/>
      </c>
      <c r="AN1865" s="115"/>
      <c r="AO1865" s="116"/>
      <c r="AP1865" s="116"/>
      <c r="AQ1865" s="116"/>
      <c r="AR1865" s="116"/>
      <c r="AS1865" s="116"/>
      <c r="AT1865" s="116"/>
      <c r="AU1865" s="116"/>
      <c r="AV1865" s="78"/>
      <c r="AW1865" s="102"/>
      <c r="AX1865" s="78"/>
      <c r="AY1865" s="78"/>
      <c r="AZ1865" s="78"/>
      <c r="BA1865" s="78"/>
      <c r="BB1865" s="78"/>
      <c r="BC1865" s="78"/>
      <c r="BD1865" s="78"/>
      <c r="BE1865" s="465"/>
      <c r="BF1865" s="165" t="str">
        <f t="shared" si="1306"/>
        <v>https://www.google.com/search?tbm=isch&amp;q=Hosta%20%27Blue%20Mouse%20Ears%27%20Blue%20Mouse%20Ears%20Hosta</v>
      </c>
      <c r="BG1865" s="165" t="str">
        <f t="shared" si="1307"/>
        <v>H</v>
      </c>
      <c r="BH1865" s="65"/>
      <c r="BI1865" s="65"/>
      <c r="BJ1865" s="65"/>
      <c r="BK1865" s="65"/>
      <c r="BL1865" s="99"/>
      <c r="BM1865" s="99"/>
      <c r="BN1865" s="99"/>
    </row>
    <row r="1866" spans="1:66" s="51" customFormat="1" ht="15.75" x14ac:dyDescent="0.25">
      <c r="A1866" s="634">
        <v>1</v>
      </c>
      <c r="B1866" s="635" t="s">
        <v>291</v>
      </c>
      <c r="C1866" s="636" t="s">
        <v>2467</v>
      </c>
      <c r="D1866" s="637" t="s">
        <v>329</v>
      </c>
      <c r="E1866" s="638">
        <v>11.95</v>
      </c>
      <c r="F1866" s="639" t="s">
        <v>292</v>
      </c>
      <c r="G1866" s="484">
        <v>0</v>
      </c>
      <c r="H1866" s="691" t="str">
        <f>IF(G1866=0,"",IF(F1866="Buy",IF(G1866=1,"plant","plants"),IF(F1866&gt;0.01,"warranty","Error")))</f>
        <v/>
      </c>
      <c r="I1866" s="640">
        <f>IF(H1866="free",0,IF(H1866="credit",((E1866*(F1866))*G1866*-1),IF(F1866="Buy",(E1866*G1866),((E1866*(1-F1866))*G1866))))</f>
        <v>0</v>
      </c>
      <c r="J1866" s="640">
        <f>IF(H1866="warranty",0,(I1866*(_xlfn.SINGLE(SalesTaxPercentage))))</f>
        <v>0</v>
      </c>
      <c r="K1866" s="716">
        <f t="shared" ref="K1866" si="1327">I1866+J1866</f>
        <v>0</v>
      </c>
      <c r="L1866" s="716"/>
      <c r="M1866" s="689" t="str">
        <f ca="1">IF(AND(G1866&gt;0,E1866=0),"WARNING - no PRICE inserted",IF(H1866="free","FREE ~ no charge this plant",IF(H1866="credit",CONCATENATE("-$",ROUND(K1866*(1-_xlfn.SINGLE(T2GDiscount))*-1,2)," CREDIT after discount"),IF(_xlfn.SINGLE(T2GDiscount)=0,"",IF(G1866=0,"",IF(F1866="Buy",CONCATENATE("$",ROUND(K1866*(1-_xlfn.SINGLE(T2GDiscount)),2)," with ",(_xlfn.SINGLE(T2GDiscount)*100),"% discount"),CONCATENATE("$",ROUND(K1866*(1-_xlfn.SINGLE(T2GDiscount)),2)," with ",((_xlfn.SINGLE(T2GDiscount)*100+F1866*100)-(_xlfn.SINGLE(T2GDiscount)*100*F1866)),IF(F1866&gt;0,"% discounts",IF(_xlfn.SINGLE(NoWarrantyDiscount)&gt;0,"% discounts","% discount")))))))))</f>
        <v/>
      </c>
      <c r="N1866" s="690"/>
      <c r="O1866" s="486"/>
      <c r="P1866" s="486"/>
      <c r="Q1866" s="486"/>
      <c r="R1866" s="486"/>
      <c r="S1866" s="486"/>
      <c r="T1866" s="102">
        <f t="shared" si="1295"/>
        <v>0</v>
      </c>
      <c r="U1866" s="78">
        <f>IF(NOT(ISNUMBER(G1866)), "", VLOOKUP(A1866,'Discount Lookup'!D:E,2,FALSE)*G1866)</f>
        <v>0</v>
      </c>
      <c r="V1866" s="78">
        <f>IF(NOT(ISNUMBER(G1866)), "", VLOOKUP(A1866,'Discount Lookup'!G:H,2,FALSE)*G1866)</f>
        <v>0</v>
      </c>
      <c r="W1866" s="102">
        <f t="shared" si="1296"/>
        <v>0</v>
      </c>
      <c r="X1866" s="102">
        <f t="shared" si="1297"/>
        <v>0</v>
      </c>
      <c r="Y1866" s="120" t="b">
        <f t="shared" si="1298"/>
        <v>0</v>
      </c>
      <c r="Z1866" s="117">
        <f t="shared" si="1299"/>
        <v>0</v>
      </c>
      <c r="AA1866" s="118"/>
      <c r="AB1866" s="118" t="str">
        <f t="shared" si="1300"/>
        <v/>
      </c>
      <c r="AC1866" s="712" t="str">
        <f>IF(AE1866="T2G","no charge",IF(AND(OR(PlanterYesMe="No",PlanterYesMe="N",PlanterYesMe="me"),H1866=""),"",IF(H1866="credit","NO install",IF(AND(K1866="",AE1866="me"),"EACH row",IF(AND(K1866="images",AE1866="me"),"EACH row",IF(D1866="","",IF(H1866="credit","",IF(AE1866="free","re-planting",IF(AE1866="me","   not ELP, by",IF(AND(OR(PlanterYesMe="Yes",PlanterYesMe="Y"),G1866&gt;0),(VLOOKUP(A1866,'Discount Lookup'!J:K,2)*G1866*(1-PlanterDiscount)*(1+PlanterDifficultyPercentage)),IF(AE1866="ELP",(VLOOKUP(A1866,'Discount Lookup'!J:K,2)*G1866*(1-PlanterDiscount)*(1+PlanterDifficultyPercentage)),IF(AE1866="free","re-planting",IF(G1866=0,"",IF(PlanterYesMe="",IF(AE1866="me","   not ELP, by",IF(AE1866="",IF(G1866&gt;0,(VLOOKUP(A1866,'Discount Lookup'!J:K,2)*G1866*(1-PlanterDiscount)*(1+PlanterDifficultyPercentage)),""),"")),"   not ELP, by"))))))))))))))</f>
        <v/>
      </c>
      <c r="AD1866" s="712"/>
      <c r="AE1866" s="513" t="str">
        <f t="shared" si="1301"/>
        <v/>
      </c>
      <c r="AF1866" s="713" t="str">
        <f t="shared" si="1302"/>
        <v/>
      </c>
      <c r="AG1866" s="713"/>
      <c r="AH1866" s="713"/>
      <c r="AI1866" s="112">
        <f>IF(H1866="credit",0,IF(AE1866="free",0,IF(AE1866="me",0,IF(G1866&gt;0,(VLOOKUP(A1866,'Discount Lookup'!J:K,2)*G1866),0))))</f>
        <v>0</v>
      </c>
      <c r="AJ1866" s="107" t="str">
        <f t="shared" ca="1" si="1303"/>
        <v/>
      </c>
      <c r="AK1866" s="714" t="str">
        <f t="shared" si="1304"/>
        <v/>
      </c>
      <c r="AL1866" s="714"/>
      <c r="AM1866" s="114" t="str">
        <f t="shared" si="1305"/>
        <v/>
      </c>
      <c r="AN1866" s="115"/>
      <c r="AO1866" s="116"/>
      <c r="AP1866" s="116"/>
      <c r="AQ1866" s="116"/>
      <c r="AR1866" s="116"/>
      <c r="AS1866" s="116"/>
      <c r="AT1866" s="116"/>
      <c r="AU1866" s="116"/>
      <c r="AV1866" s="78"/>
      <c r="AW1866" s="102"/>
      <c r="AX1866" s="78"/>
      <c r="AY1866" s="78"/>
      <c r="AZ1866" s="78"/>
      <c r="BA1866" s="78"/>
      <c r="BB1866" s="78"/>
      <c r="BC1866" s="78"/>
      <c r="BD1866" s="78"/>
      <c r="BE1866" s="465"/>
      <c r="BF1866" s="165" t="str">
        <f t="shared" si="1306"/>
        <v>https://www.google.com/search?tbm=isch&amp;q=1%20G2</v>
      </c>
      <c r="BG1866" s="165" t="str">
        <f t="shared" si="1307"/>
        <v>H</v>
      </c>
      <c r="BH1866" s="65"/>
      <c r="BI1866" s="65"/>
      <c r="BJ1866" s="65"/>
      <c r="BK1866" s="65"/>
      <c r="BL1866" s="99"/>
      <c r="BM1866" s="99"/>
      <c r="BN1866" s="99"/>
    </row>
    <row r="1867" spans="1:66" s="51" customFormat="1" ht="15.75" x14ac:dyDescent="0.25">
      <c r="A1867" s="634">
        <v>1</v>
      </c>
      <c r="B1867" s="635" t="s">
        <v>291</v>
      </c>
      <c r="C1867" s="636" t="s">
        <v>2725</v>
      </c>
      <c r="D1867" s="637" t="s">
        <v>311</v>
      </c>
      <c r="E1867" s="638">
        <v>12.95</v>
      </c>
      <c r="F1867" s="639" t="s">
        <v>292</v>
      </c>
      <c r="G1867" s="484">
        <v>0</v>
      </c>
      <c r="H1867" s="691" t="str">
        <f>IF(G1867=0,"",IF(F1867="Buy",IF(G1867=1,"plant","plants"),IF(F1867&gt;0.01,"warranty","Error")))</f>
        <v/>
      </c>
      <c r="I1867" s="640">
        <f>IF(H1867="free",0,IF(H1867="credit",((E1867*(F1867))*G1867*-1),IF(F1867="Buy",(E1867*G1867),((E1867*(1-F1867))*G1867))))</f>
        <v>0</v>
      </c>
      <c r="J1867" s="640">
        <f>IF(H1867="warranty",0,(I1867*(_xlfn.SINGLE(SalesTaxPercentage))))</f>
        <v>0</v>
      </c>
      <c r="K1867" s="716">
        <f t="shared" ref="K1867" si="1328">I1867+J1867</f>
        <v>0</v>
      </c>
      <c r="L1867" s="716"/>
      <c r="M1867" s="689" t="str">
        <f ca="1">IF(AND(G1867&gt;0,E1867=0),"WARNING - no PRICE inserted",IF(H1867="free","FREE ~ no charge this plant",IF(H1867="credit",CONCATENATE("-$",ROUND(K1867*(1-_xlfn.SINGLE(T2GDiscount))*-1,2)," CREDIT after discount"),IF(_xlfn.SINGLE(T2GDiscount)=0,"",IF(G1867=0,"",IF(F1867="Buy",CONCATENATE("$",ROUND(K1867*(1-_xlfn.SINGLE(T2GDiscount)),2)," with ",(_xlfn.SINGLE(T2GDiscount)*100),"% discount"),CONCATENATE("$",ROUND(K1867*(1-_xlfn.SINGLE(T2GDiscount)),2)," with ",((_xlfn.SINGLE(T2GDiscount)*100+F1867*100)-(_xlfn.SINGLE(T2GDiscount)*100*F1867)),IF(F1867&gt;0,"% discounts",IF(_xlfn.SINGLE(NoWarrantyDiscount)&gt;0,"% discounts","% discount")))))))))</f>
        <v/>
      </c>
      <c r="N1867" s="690"/>
      <c r="O1867" s="486"/>
      <c r="P1867" s="486"/>
      <c r="Q1867" s="486"/>
      <c r="R1867" s="486"/>
      <c r="S1867" s="486"/>
      <c r="T1867" s="102">
        <f t="shared" si="1295"/>
        <v>0</v>
      </c>
      <c r="U1867" s="78">
        <f>IF(NOT(ISNUMBER(G1867)), "", VLOOKUP(A1867,'Discount Lookup'!D:E,2,FALSE)*G1867)</f>
        <v>0</v>
      </c>
      <c r="V1867" s="78">
        <f>IF(NOT(ISNUMBER(G1867)), "", VLOOKUP(A1867,'Discount Lookup'!G:H,2,FALSE)*G1867)</f>
        <v>0</v>
      </c>
      <c r="W1867" s="102">
        <f t="shared" si="1296"/>
        <v>0</v>
      </c>
      <c r="X1867" s="102">
        <f t="shared" si="1297"/>
        <v>0</v>
      </c>
      <c r="Y1867" s="120" t="b">
        <f t="shared" si="1298"/>
        <v>0</v>
      </c>
      <c r="Z1867" s="117">
        <f t="shared" si="1299"/>
        <v>0</v>
      </c>
      <c r="AA1867" s="118"/>
      <c r="AB1867" s="118" t="str">
        <f t="shared" si="1300"/>
        <v/>
      </c>
      <c r="AC1867" s="712" t="str">
        <f>IF(AE1867="T2G","no charge",IF(AND(OR(PlanterYesMe="No",PlanterYesMe="N",PlanterYesMe="me"),H1867=""),"",IF(H1867="credit","NO install",IF(AND(K1867="",AE1867="me"),"EACH row",IF(AND(K1867="images",AE1867="me"),"EACH row",IF(D1867="","",IF(H1867="credit","",IF(AE1867="free","re-planting",IF(AE1867="me","   not ELP, by",IF(AND(OR(PlanterYesMe="Yes",PlanterYesMe="Y"),G1867&gt;0),(VLOOKUP(A1867,'Discount Lookup'!J:K,2)*G1867*(1-PlanterDiscount)*(1+PlanterDifficultyPercentage)),IF(AE1867="ELP",(VLOOKUP(A1867,'Discount Lookup'!J:K,2)*G1867*(1-PlanterDiscount)*(1+PlanterDifficultyPercentage)),IF(AE1867="free","re-planting",IF(G1867=0,"",IF(PlanterYesMe="",IF(AE1867="me","   not ELP, by",IF(AE1867="",IF(G1867&gt;0,(VLOOKUP(A1867,'Discount Lookup'!J:K,2)*G1867*(1-PlanterDiscount)*(1+PlanterDifficultyPercentage)),""),"")),"   not ELP, by"))))))))))))))</f>
        <v/>
      </c>
      <c r="AD1867" s="712"/>
      <c r="AE1867" s="513" t="str">
        <f t="shared" si="1301"/>
        <v/>
      </c>
      <c r="AF1867" s="713" t="str">
        <f t="shared" si="1302"/>
        <v/>
      </c>
      <c r="AG1867" s="713"/>
      <c r="AH1867" s="713"/>
      <c r="AI1867" s="112">
        <f>IF(H1867="credit",0,IF(AE1867="free",0,IF(AE1867="me",0,IF(G1867&gt;0,(VLOOKUP(A1867,'Discount Lookup'!J:K,2)*G1867),0))))</f>
        <v>0</v>
      </c>
      <c r="AJ1867" s="107" t="str">
        <f t="shared" ca="1" si="1303"/>
        <v/>
      </c>
      <c r="AK1867" s="714" t="str">
        <f t="shared" si="1304"/>
        <v/>
      </c>
      <c r="AL1867" s="714"/>
      <c r="AM1867" s="114" t="str">
        <f t="shared" si="1305"/>
        <v/>
      </c>
      <c r="AN1867" s="115"/>
      <c r="AO1867" s="116"/>
      <c r="AP1867" s="116"/>
      <c r="AQ1867" s="116"/>
      <c r="AR1867" s="116"/>
      <c r="AS1867" s="116"/>
      <c r="AT1867" s="116"/>
      <c r="AU1867" s="116"/>
      <c r="AV1867" s="78"/>
      <c r="AW1867" s="102"/>
      <c r="AX1867" s="78"/>
      <c r="AY1867" s="78"/>
      <c r="AZ1867" s="78"/>
      <c r="BA1867" s="78"/>
      <c r="BB1867" s="78"/>
      <c r="BC1867" s="78"/>
      <c r="BD1867" s="78"/>
      <c r="BE1867" s="465"/>
      <c r="BF1867" s="165" t="str">
        <f t="shared" si="1306"/>
        <v>https://www.google.com/search?tbm=isch&amp;q=1%20G5</v>
      </c>
      <c r="BG1867" s="165" t="str">
        <f t="shared" si="1307"/>
        <v>H</v>
      </c>
      <c r="BH1867" s="65"/>
      <c r="BI1867" s="65"/>
      <c r="BJ1867" s="65"/>
      <c r="BK1867" s="65"/>
      <c r="BL1867" s="99"/>
      <c r="BM1867" s="99"/>
      <c r="BN1867" s="99"/>
    </row>
    <row r="1868" spans="1:66" s="51" customFormat="1" ht="17.25" thickBot="1" x14ac:dyDescent="0.3">
      <c r="A1868" s="704" t="s">
        <v>5414</v>
      </c>
      <c r="B1868" s="642"/>
      <c r="C1868" s="710"/>
      <c r="D1868" s="643"/>
      <c r="E1868" s="643"/>
      <c r="F1868" s="644"/>
      <c r="G1868" s="645"/>
      <c r="H1868" s="646"/>
      <c r="I1868" s="647"/>
      <c r="J1868" s="648"/>
      <c r="K1868" s="649"/>
      <c r="L1868" s="650"/>
      <c r="M1868" s="650"/>
      <c r="N1868" s="644"/>
      <c r="O1868" s="644"/>
      <c r="P1868" s="644"/>
      <c r="Q1868" s="644"/>
      <c r="R1868" s="644"/>
      <c r="S1868" s="701" t="s">
        <v>5287</v>
      </c>
      <c r="T1868" s="102">
        <f t="shared" si="1295"/>
        <v>0</v>
      </c>
      <c r="U1868" s="78" t="str">
        <f>IF(NOT(ISNUMBER(G1868)), "", VLOOKUP(A1868,'Discount Lookup'!D:E,2,FALSE)*G1868)</f>
        <v/>
      </c>
      <c r="V1868" s="78" t="str">
        <f>IF(NOT(ISNUMBER(G1868)), "", VLOOKUP(A1868,'Discount Lookup'!G:H,2,FALSE)*G1868)</f>
        <v/>
      </c>
      <c r="W1868" s="102">
        <f t="shared" si="1296"/>
        <v>0</v>
      </c>
      <c r="X1868" s="102">
        <f t="shared" si="1297"/>
        <v>0</v>
      </c>
      <c r="Y1868" s="120" t="b">
        <f t="shared" si="1298"/>
        <v>0</v>
      </c>
      <c r="Z1868" s="117">
        <f t="shared" si="1299"/>
        <v>0</v>
      </c>
      <c r="AA1868" s="118"/>
      <c r="AB1868" s="118" t="str">
        <f t="shared" si="1300"/>
        <v/>
      </c>
      <c r="AC1868" s="712" t="str">
        <f>IF(AE1868="T2G","no charge",IF(AND(OR(PlanterYesMe="No",PlanterYesMe="N",PlanterYesMe="me"),H1868=""),"",IF(H1868="credit","NO install",IF(AND(K1868="",AE1868="me"),"EACH row",IF(AND(K1868="images",AE1868="me"),"EACH row",IF(D1868="","",IF(H1868="credit","",IF(AE1868="free","re-planting",IF(AE1868="me","   not ELP, by",IF(AND(OR(PlanterYesMe="Yes",PlanterYesMe="Y"),G1868&gt;0),(VLOOKUP(A1868,'Discount Lookup'!J:K,2)*G1868*(1-PlanterDiscount)*(1+PlanterDifficultyPercentage)),IF(AE1868="ELP",(VLOOKUP(A1868,'Discount Lookup'!J:K,2)*G1868*(1-PlanterDiscount)*(1+PlanterDifficultyPercentage)),IF(AE1868="free","re-planting",IF(G1868=0,"",IF(PlanterYesMe="",IF(AE1868="me","   not ELP, by",IF(AE1868="",IF(G1868&gt;0,(VLOOKUP(A1868,'Discount Lookup'!J:K,2)*G1868*(1-PlanterDiscount)*(1+PlanterDifficultyPercentage)),""),"")),"   not ELP, by"))))))))))))))</f>
        <v/>
      </c>
      <c r="AD1868" s="712"/>
      <c r="AE1868" s="513" t="str">
        <f t="shared" si="1301"/>
        <v/>
      </c>
      <c r="AF1868" s="713" t="str">
        <f t="shared" si="1302"/>
        <v/>
      </c>
      <c r="AG1868" s="713"/>
      <c r="AH1868" s="713"/>
      <c r="AI1868" s="112">
        <f>IF(H1868="credit",0,IF(AE1868="free",0,IF(AE1868="me",0,IF(G1868&gt;0,(VLOOKUP(A1868,'Discount Lookup'!J:K,2)*G1868),0))))</f>
        <v>0</v>
      </c>
      <c r="AJ1868" s="107" t="str">
        <f t="shared" ca="1" si="1303"/>
        <v/>
      </c>
      <c r="AK1868" s="714" t="str">
        <f t="shared" si="1304"/>
        <v/>
      </c>
      <c r="AL1868" s="714"/>
      <c r="AM1868" s="114" t="str">
        <f t="shared" si="1305"/>
        <v/>
      </c>
      <c r="AN1868" s="115"/>
      <c r="AO1868" s="116"/>
      <c r="AP1868" s="116"/>
      <c r="AQ1868" s="116"/>
      <c r="AR1868" s="116"/>
      <c r="AS1868" s="116"/>
      <c r="AT1868" s="116"/>
      <c r="AU1868" s="116"/>
      <c r="AV1868" s="78"/>
      <c r="AW1868" s="102"/>
      <c r="AX1868" s="78"/>
      <c r="AY1868" s="78"/>
      <c r="AZ1868" s="78"/>
      <c r="BA1868" s="78"/>
      <c r="BB1868" s="78"/>
      <c r="BC1868" s="78"/>
      <c r="BD1868" s="78"/>
      <c r="BE1868" s="465"/>
      <c r="BF1868" s="165" t="str">
        <f t="shared" si="1306"/>
        <v>https://www.google.com/search?tbm=isch&amp;q=moist%20sites%F0%9F%92%A7OK%2C%20Blue%20Mouse%20named%20for%20small%20Blue-Grey%20foliage%20with%20a%20slight%20curl%20that%20looks%20like%20mouse%20ears%20</v>
      </c>
      <c r="BG1868" s="165" t="str">
        <f t="shared" si="1307"/>
        <v>m</v>
      </c>
      <c r="BH1868" s="65"/>
      <c r="BI1868" s="65"/>
      <c r="BJ1868" s="65"/>
      <c r="BK1868" s="65"/>
      <c r="BL1868" s="99"/>
      <c r="BM1868" s="99"/>
      <c r="BN1868" s="99"/>
    </row>
    <row r="1869" spans="1:66" s="51" customFormat="1" ht="18" x14ac:dyDescent="0.25">
      <c r="A1869" s="623" t="s">
        <v>2726</v>
      </c>
      <c r="B1869" s="624"/>
      <c r="C1869" s="709"/>
      <c r="D1869" s="625" t="s">
        <v>2727</v>
      </c>
      <c r="E1869" s="626"/>
      <c r="F1869" s="626"/>
      <c r="G1869" s="626"/>
      <c r="H1869" s="622" t="s">
        <v>4737</v>
      </c>
      <c r="I1869" s="627" t="s">
        <v>2746</v>
      </c>
      <c r="J1869" s="628"/>
      <c r="K1869" s="628"/>
      <c r="L1869" s="629"/>
      <c r="M1869" s="702" t="s">
        <v>5256</v>
      </c>
      <c r="N1869" s="693" t="str">
        <f>IF(AND(ISTEXT($A1869), ISERROR($A1869+0)), HYPERLINK($BF1869, "Images"), "")</f>
        <v>Images</v>
      </c>
      <c r="O1869" s="695" t="s">
        <v>5264</v>
      </c>
      <c r="P1869" s="630"/>
      <c r="Q1869" s="631"/>
      <c r="R1869" s="632"/>
      <c r="S1869" s="633"/>
      <c r="T1869" s="102">
        <f t="shared" si="1295"/>
        <v>0</v>
      </c>
      <c r="U1869" s="78" t="str">
        <f>IF(NOT(ISNUMBER(G1869)), "", VLOOKUP(A1869,'Discount Lookup'!D:E,2,FALSE)*G1869)</f>
        <v/>
      </c>
      <c r="V1869" s="78" t="str">
        <f>IF(NOT(ISNUMBER(G1869)), "", VLOOKUP(A1869,'Discount Lookup'!G:H,2,FALSE)*G1869)</f>
        <v/>
      </c>
      <c r="W1869" s="102">
        <f t="shared" si="1296"/>
        <v>0</v>
      </c>
      <c r="X1869" s="102" t="str">
        <f t="shared" si="1297"/>
        <v>Pale Lavender bloom</v>
      </c>
      <c r="Y1869" s="120" t="b">
        <f t="shared" si="1298"/>
        <v>0</v>
      </c>
      <c r="Z1869" s="117">
        <f t="shared" si="1299"/>
        <v>0</v>
      </c>
      <c r="AA1869" s="118"/>
      <c r="AB1869" s="118" t="str">
        <f t="shared" si="1300"/>
        <v/>
      </c>
      <c r="AC1869" s="712" t="str">
        <f>IF(AE1869="T2G","no charge",IF(AND(OR(PlanterYesMe="No",PlanterYesMe="N",PlanterYesMe="me"),H1869=""),"",IF(H1869="credit","NO install",IF(AND(K1869="",AE1869="me"),"EACH row",IF(AND(K1869="images",AE1869="me"),"EACH row",IF(D1869="","",IF(H1869="credit","",IF(AE1869="free","re-planting",IF(AE1869="me","   not ELP, by",IF(AND(OR(PlanterYesMe="Yes",PlanterYesMe="Y"),G1869&gt;0),(VLOOKUP(A1869,'Discount Lookup'!J:K,2)*G1869*(1-PlanterDiscount)*(1+PlanterDifficultyPercentage)),IF(AE1869="ELP",(VLOOKUP(A1869,'Discount Lookup'!J:K,2)*G1869*(1-PlanterDiscount)*(1+PlanterDifficultyPercentage)),IF(AE1869="free","re-planting",IF(G1869=0,"",IF(PlanterYesMe="",IF(AE1869="me","   not ELP, by",IF(AE1869="",IF(G1869&gt;0,(VLOOKUP(A1869,'Discount Lookup'!J:K,2)*G1869*(1-PlanterDiscount)*(1+PlanterDifficultyPercentage)),""),"")),"   not ELP, by"))))))))))))))</f>
        <v/>
      </c>
      <c r="AD1869" s="712"/>
      <c r="AE1869" s="513" t="str">
        <f t="shared" si="1301"/>
        <v/>
      </c>
      <c r="AF1869" s="713" t="str">
        <f t="shared" si="1302"/>
        <v/>
      </c>
      <c r="AG1869" s="713"/>
      <c r="AH1869" s="713"/>
      <c r="AI1869" s="112">
        <f>IF(H1869="credit",0,IF(AE1869="free",0,IF(AE1869="me",0,IF(G1869&gt;0,(VLOOKUP(A1869,'Discount Lookup'!J:K,2)*G1869),0))))</f>
        <v>0</v>
      </c>
      <c r="AJ1869" s="107" t="str">
        <f t="shared" ca="1" si="1303"/>
        <v/>
      </c>
      <c r="AK1869" s="714" t="str">
        <f t="shared" si="1304"/>
        <v/>
      </c>
      <c r="AL1869" s="714"/>
      <c r="AM1869" s="114" t="str">
        <f t="shared" si="1305"/>
        <v/>
      </c>
      <c r="AN1869" s="115"/>
      <c r="AO1869" s="116"/>
      <c r="AP1869" s="116"/>
      <c r="AQ1869" s="116"/>
      <c r="AR1869" s="116"/>
      <c r="AS1869" s="116"/>
      <c r="AT1869" s="116"/>
      <c r="AU1869" s="116"/>
      <c r="AV1869" s="78"/>
      <c r="AW1869" s="102"/>
      <c r="AX1869" s="78"/>
      <c r="AY1869" s="78"/>
      <c r="AZ1869" s="78"/>
      <c r="BA1869" s="78"/>
      <c r="BB1869" s="78"/>
      <c r="BC1869" s="78"/>
      <c r="BD1869" s="78"/>
      <c r="BE1869" s="465"/>
      <c r="BF1869" s="165" t="str">
        <f t="shared" si="1306"/>
        <v>https://www.google.com/search?tbm=isch&amp;q=Hosta%20%27First%20Frost%27%20First%20Frost%20Hosta</v>
      </c>
      <c r="BG1869" s="165" t="str">
        <f t="shared" si="1307"/>
        <v>H</v>
      </c>
      <c r="BH1869" s="65"/>
      <c r="BI1869" s="65"/>
      <c r="BJ1869" s="65"/>
      <c r="BK1869" s="65"/>
      <c r="BL1869" s="99"/>
      <c r="BM1869" s="99"/>
      <c r="BN1869" s="99"/>
    </row>
    <row r="1870" spans="1:66" s="51" customFormat="1" ht="15.75" x14ac:dyDescent="0.25">
      <c r="A1870" s="634">
        <v>4</v>
      </c>
      <c r="B1870" s="635" t="s">
        <v>338</v>
      </c>
      <c r="C1870" s="636" t="s">
        <v>2467</v>
      </c>
      <c r="D1870" s="637" t="s">
        <v>329</v>
      </c>
      <c r="E1870" s="638">
        <v>11.95</v>
      </c>
      <c r="F1870" s="639" t="s">
        <v>292</v>
      </c>
      <c r="G1870" s="484">
        <v>0</v>
      </c>
      <c r="H1870" s="691" t="str">
        <f>IF(G1870=0,"",IF(F1870="Buy",IF(G1870=1,"plant","plants"),IF(F1870&gt;0.01,"warranty","Error")))</f>
        <v/>
      </c>
      <c r="I1870" s="640">
        <f>IF(H1870="free",0,IF(H1870="credit",((E1870*(F1870))*G1870*-1),IF(F1870="Buy",(E1870*G1870),((E1870*(1-F1870))*G1870))))</f>
        <v>0</v>
      </c>
      <c r="J1870" s="640">
        <f>IF(H1870="warranty",0,(I1870*(_xlfn.SINGLE(SalesTaxPercentage))))</f>
        <v>0</v>
      </c>
      <c r="K1870" s="716">
        <f t="shared" ref="K1870" si="1329">I1870+J1870</f>
        <v>0</v>
      </c>
      <c r="L1870" s="716"/>
      <c r="M1870" s="689" t="str">
        <f ca="1">IF(AND(G1870&gt;0,E1870=0),"WARNING - no PRICE inserted",IF(H1870="free","FREE ~ no charge this plant",IF(H1870="credit",CONCATENATE("-$",ROUND(K1870*(1-_xlfn.SINGLE(T2GDiscount))*-1,2)," CREDIT after discount"),IF(_xlfn.SINGLE(T2GDiscount)=0,"",IF(G1870=0,"",IF(F1870="Buy",CONCATENATE("$",ROUND(K1870*(1-_xlfn.SINGLE(T2GDiscount)),2)," with ",(_xlfn.SINGLE(T2GDiscount)*100),"% discount"),CONCATENATE("$",ROUND(K1870*(1-_xlfn.SINGLE(T2GDiscount)),2)," with ",((_xlfn.SINGLE(T2GDiscount)*100+F1870*100)-(_xlfn.SINGLE(T2GDiscount)*100*F1870)),IF(F1870&gt;0,"% discounts",IF(_xlfn.SINGLE(NoWarrantyDiscount)&gt;0,"% discounts","% discount")))))))))</f>
        <v/>
      </c>
      <c r="N1870" s="690"/>
      <c r="O1870" s="486"/>
      <c r="P1870" s="486"/>
      <c r="Q1870" s="486"/>
      <c r="R1870" s="486"/>
      <c r="S1870" s="486"/>
      <c r="T1870" s="102">
        <f t="shared" si="1295"/>
        <v>0</v>
      </c>
      <c r="U1870" s="78">
        <f>IF(NOT(ISNUMBER(G1870)), "", VLOOKUP(A1870,'Discount Lookup'!D:E,2,FALSE)*G1870)</f>
        <v>0</v>
      </c>
      <c r="V1870" s="78">
        <f>IF(NOT(ISNUMBER(G1870)), "", VLOOKUP(A1870,'Discount Lookup'!G:H,2,FALSE)*G1870)</f>
        <v>0</v>
      </c>
      <c r="W1870" s="102">
        <f t="shared" si="1296"/>
        <v>0</v>
      </c>
      <c r="X1870" s="102">
        <f t="shared" si="1297"/>
        <v>0</v>
      </c>
      <c r="Y1870" s="120" t="b">
        <f t="shared" si="1298"/>
        <v>0</v>
      </c>
      <c r="Z1870" s="117">
        <f t="shared" si="1299"/>
        <v>0</v>
      </c>
      <c r="AA1870" s="118"/>
      <c r="AB1870" s="118" t="str">
        <f t="shared" si="1300"/>
        <v/>
      </c>
      <c r="AC1870" s="712" t="str">
        <f>IF(AE1870="T2G","no charge",IF(AND(OR(PlanterYesMe="No",PlanterYesMe="N",PlanterYesMe="me"),H1870=""),"",IF(H1870="credit","NO install",IF(AND(K1870="",AE1870="me"),"EACH row",IF(AND(K1870="images",AE1870="me"),"EACH row",IF(D1870="","",IF(H1870="credit","",IF(AE1870="free","re-planting",IF(AE1870="me","   not ELP, by",IF(AND(OR(PlanterYesMe="Yes",PlanterYesMe="Y"),G1870&gt;0),(VLOOKUP(A1870,'Discount Lookup'!J:K,2)*G1870*(1-PlanterDiscount)*(1+PlanterDifficultyPercentage)),IF(AE1870="ELP",(VLOOKUP(A1870,'Discount Lookup'!J:K,2)*G1870*(1-PlanterDiscount)*(1+PlanterDifficultyPercentage)),IF(AE1870="free","re-planting",IF(G1870=0,"",IF(PlanterYesMe="",IF(AE1870="me","   not ELP, by",IF(AE1870="",IF(G1870&gt;0,(VLOOKUP(A1870,'Discount Lookup'!J:K,2)*G1870*(1-PlanterDiscount)*(1+PlanterDifficultyPercentage)),""),"")),"   not ELP, by"))))))))))))))</f>
        <v/>
      </c>
      <c r="AD1870" s="712"/>
      <c r="AE1870" s="513" t="str">
        <f t="shared" si="1301"/>
        <v/>
      </c>
      <c r="AF1870" s="713" t="str">
        <f t="shared" si="1302"/>
        <v/>
      </c>
      <c r="AG1870" s="713"/>
      <c r="AH1870" s="713"/>
      <c r="AI1870" s="112">
        <f>IF(H1870="credit",0,IF(AE1870="free",0,IF(AE1870="me",0,IF(G1870&gt;0,(VLOOKUP(A1870,'Discount Lookup'!J:K,2)*G1870),0))))</f>
        <v>0</v>
      </c>
      <c r="AJ1870" s="107" t="str">
        <f t="shared" ca="1" si="1303"/>
        <v/>
      </c>
      <c r="AK1870" s="714" t="str">
        <f t="shared" si="1304"/>
        <v/>
      </c>
      <c r="AL1870" s="714"/>
      <c r="AM1870" s="114" t="str">
        <f t="shared" si="1305"/>
        <v/>
      </c>
      <c r="AN1870" s="115"/>
      <c r="AO1870" s="116"/>
      <c r="AP1870" s="116"/>
      <c r="AQ1870" s="116"/>
      <c r="AR1870" s="116"/>
      <c r="AS1870" s="116"/>
      <c r="AT1870" s="116"/>
      <c r="AU1870" s="116"/>
      <c r="AV1870" s="78"/>
      <c r="AW1870" s="102"/>
      <c r="AX1870" s="78"/>
      <c r="AY1870" s="78"/>
      <c r="AZ1870" s="78"/>
      <c r="BA1870" s="78"/>
      <c r="BB1870" s="78"/>
      <c r="BC1870" s="78"/>
      <c r="BD1870" s="78"/>
      <c r="BE1870" s="465"/>
      <c r="BF1870" s="165" t="str">
        <f t="shared" si="1306"/>
        <v>https://www.google.com/search?tbm=isch&amp;q=4%20G2</v>
      </c>
      <c r="BG1870" s="165" t="str">
        <f t="shared" si="1307"/>
        <v>H</v>
      </c>
      <c r="BH1870" s="65"/>
      <c r="BI1870" s="65"/>
      <c r="BJ1870" s="65"/>
      <c r="BK1870" s="65"/>
      <c r="BL1870" s="99"/>
      <c r="BM1870" s="99"/>
      <c r="BN1870" s="99"/>
    </row>
    <row r="1871" spans="1:66" s="51" customFormat="1" ht="17.25" thickBot="1" x14ac:dyDescent="0.3">
      <c r="A1871" s="704" t="s">
        <v>5415</v>
      </c>
      <c r="B1871" s="642"/>
      <c r="C1871" s="710"/>
      <c r="D1871" s="643"/>
      <c r="E1871" s="643"/>
      <c r="F1871" s="644"/>
      <c r="G1871" s="645"/>
      <c r="H1871" s="646"/>
      <c r="I1871" s="647"/>
      <c r="J1871" s="648"/>
      <c r="K1871" s="649"/>
      <c r="L1871" s="650"/>
      <c r="M1871" s="650"/>
      <c r="N1871" s="644"/>
      <c r="O1871" s="644"/>
      <c r="P1871" s="644"/>
      <c r="Q1871" s="644"/>
      <c r="R1871" s="644"/>
      <c r="S1871" s="701" t="s">
        <v>5287</v>
      </c>
      <c r="T1871" s="102">
        <f t="shared" si="1295"/>
        <v>0</v>
      </c>
      <c r="U1871" s="78" t="str">
        <f>IF(NOT(ISNUMBER(G1871)), "", VLOOKUP(A1871,'Discount Lookup'!D:E,2,FALSE)*G1871)</f>
        <v/>
      </c>
      <c r="V1871" s="78" t="str">
        <f>IF(NOT(ISNUMBER(G1871)), "", VLOOKUP(A1871,'Discount Lookup'!G:H,2,FALSE)*G1871)</f>
        <v/>
      </c>
      <c r="W1871" s="102">
        <f t="shared" si="1296"/>
        <v>0</v>
      </c>
      <c r="X1871" s="102">
        <f t="shared" si="1297"/>
        <v>0</v>
      </c>
      <c r="Y1871" s="120" t="b">
        <f t="shared" si="1298"/>
        <v>0</v>
      </c>
      <c r="Z1871" s="117">
        <f t="shared" si="1299"/>
        <v>0</v>
      </c>
      <c r="AA1871" s="118"/>
      <c r="AB1871" s="118" t="str">
        <f t="shared" si="1300"/>
        <v/>
      </c>
      <c r="AC1871" s="712" t="str">
        <f>IF(AE1871="T2G","no charge",IF(AND(OR(PlanterYesMe="No",PlanterYesMe="N",PlanterYesMe="me"),H1871=""),"",IF(H1871="credit","NO install",IF(AND(K1871="",AE1871="me"),"EACH row",IF(AND(K1871="images",AE1871="me"),"EACH row",IF(D1871="","",IF(H1871="credit","",IF(AE1871="free","re-planting",IF(AE1871="me","   not ELP, by",IF(AND(OR(PlanterYesMe="Yes",PlanterYesMe="Y"),G1871&gt;0),(VLOOKUP(A1871,'Discount Lookup'!J:K,2)*G1871*(1-PlanterDiscount)*(1+PlanterDifficultyPercentage)),IF(AE1871="ELP",(VLOOKUP(A1871,'Discount Lookup'!J:K,2)*G1871*(1-PlanterDiscount)*(1+PlanterDifficultyPercentage)),IF(AE1871="free","re-planting",IF(G1871=0,"",IF(PlanterYesMe="",IF(AE1871="me","   not ELP, by",IF(AE1871="",IF(G1871&gt;0,(VLOOKUP(A1871,'Discount Lookup'!J:K,2)*G1871*(1-PlanterDiscount)*(1+PlanterDifficultyPercentage)),""),"")),"   not ELP, by"))))))))))))))</f>
        <v/>
      </c>
      <c r="AD1871" s="712"/>
      <c r="AE1871" s="513" t="str">
        <f t="shared" si="1301"/>
        <v/>
      </c>
      <c r="AF1871" s="713" t="str">
        <f t="shared" si="1302"/>
        <v/>
      </c>
      <c r="AG1871" s="713"/>
      <c r="AH1871" s="713"/>
      <c r="AI1871" s="112">
        <f>IF(H1871="credit",0,IF(AE1871="free",0,IF(AE1871="me",0,IF(G1871&gt;0,(VLOOKUP(A1871,'Discount Lookup'!J:K,2)*G1871),0))))</f>
        <v>0</v>
      </c>
      <c r="AJ1871" s="107" t="str">
        <f t="shared" ca="1" si="1303"/>
        <v/>
      </c>
      <c r="AK1871" s="714" t="str">
        <f t="shared" si="1304"/>
        <v/>
      </c>
      <c r="AL1871" s="714"/>
      <c r="AM1871" s="114" t="str">
        <f t="shared" si="1305"/>
        <v/>
      </c>
      <c r="AN1871" s="115"/>
      <c r="AO1871" s="116"/>
      <c r="AP1871" s="116"/>
      <c r="AQ1871" s="116"/>
      <c r="AR1871" s="116"/>
      <c r="AS1871" s="116"/>
      <c r="AT1871" s="116"/>
      <c r="AU1871" s="116"/>
      <c r="AV1871" s="78"/>
      <c r="AW1871" s="102"/>
      <c r="AX1871" s="78"/>
      <c r="AY1871" s="78"/>
      <c r="AZ1871" s="78"/>
      <c r="BA1871" s="78"/>
      <c r="BB1871" s="78"/>
      <c r="BC1871" s="78"/>
      <c r="BD1871" s="78"/>
      <c r="BE1871" s="465"/>
      <c r="BF1871" s="165" t="str">
        <f t="shared" si="1306"/>
        <v>https://www.google.com/search?tbm=isch&amp;q=moist%20sites%F0%9F%92%A7OK%2C%20First%20Frost%20named%20for%20%22frosted%22%20look%20of%20powdery%20Blue-Green%20leaf%20centers%20and%20Creamy-White%20margin%20</v>
      </c>
      <c r="BG1871" s="165" t="str">
        <f t="shared" si="1307"/>
        <v>m</v>
      </c>
      <c r="BH1871" s="65"/>
      <c r="BI1871" s="65"/>
      <c r="BJ1871" s="65"/>
      <c r="BK1871" s="65"/>
      <c r="BL1871" s="99"/>
      <c r="BM1871" s="99"/>
      <c r="BN1871" s="99"/>
    </row>
    <row r="1872" spans="1:66" s="51" customFormat="1" ht="18" x14ac:dyDescent="0.25">
      <c r="A1872" s="623" t="s">
        <v>2728</v>
      </c>
      <c r="B1872" s="624"/>
      <c r="C1872" s="709"/>
      <c r="D1872" s="625" t="s">
        <v>2729</v>
      </c>
      <c r="E1872" s="626"/>
      <c r="F1872" s="626"/>
      <c r="G1872" s="626"/>
      <c r="H1872" s="622" t="s">
        <v>4738</v>
      </c>
      <c r="I1872" s="627" t="s">
        <v>2746</v>
      </c>
      <c r="J1872" s="628"/>
      <c r="K1872" s="628"/>
      <c r="L1872" s="629"/>
      <c r="M1872" s="702" t="s">
        <v>5256</v>
      </c>
      <c r="N1872" s="693" t="str">
        <f>IF(AND(ISTEXT($A1872), ISERROR($A1872+0)), HYPERLINK($BF1872, "Images"), "")</f>
        <v>Images</v>
      </c>
      <c r="O1872" s="695" t="s">
        <v>5286</v>
      </c>
      <c r="P1872" s="630"/>
      <c r="Q1872" s="631"/>
      <c r="R1872" s="632"/>
      <c r="S1872" s="633"/>
      <c r="T1872" s="102">
        <f t="shared" si="1295"/>
        <v>0</v>
      </c>
      <c r="U1872" s="78" t="str">
        <f>IF(NOT(ISNUMBER(G1872)), "", VLOOKUP(A1872,'Discount Lookup'!D:E,2,FALSE)*G1872)</f>
        <v/>
      </c>
      <c r="V1872" s="78" t="str">
        <f>IF(NOT(ISNUMBER(G1872)), "", VLOOKUP(A1872,'Discount Lookup'!G:H,2,FALSE)*G1872)</f>
        <v/>
      </c>
      <c r="W1872" s="102">
        <f t="shared" si="1296"/>
        <v>0</v>
      </c>
      <c r="X1872" s="102" t="str">
        <f t="shared" si="1297"/>
        <v>Pale Lavender bloom</v>
      </c>
      <c r="Y1872" s="120" t="b">
        <f t="shared" si="1298"/>
        <v>0</v>
      </c>
      <c r="Z1872" s="117">
        <f t="shared" si="1299"/>
        <v>0</v>
      </c>
      <c r="AA1872" s="118"/>
      <c r="AB1872" s="118" t="str">
        <f t="shared" si="1300"/>
        <v/>
      </c>
      <c r="AC1872" s="712" t="str">
        <f>IF(AE1872="T2G","no charge",IF(AND(OR(PlanterYesMe="No",PlanterYesMe="N",PlanterYesMe="me"),H1872=""),"",IF(H1872="credit","NO install",IF(AND(K1872="",AE1872="me"),"EACH row",IF(AND(K1872="images",AE1872="me"),"EACH row",IF(D1872="","",IF(H1872="credit","",IF(AE1872="free","re-planting",IF(AE1872="me","   not ELP, by",IF(AND(OR(PlanterYesMe="Yes",PlanterYesMe="Y"),G1872&gt;0),(VLOOKUP(A1872,'Discount Lookup'!J:K,2)*G1872*(1-PlanterDiscount)*(1+PlanterDifficultyPercentage)),IF(AE1872="ELP",(VLOOKUP(A1872,'Discount Lookup'!J:K,2)*G1872*(1-PlanterDiscount)*(1+PlanterDifficultyPercentage)),IF(AE1872="free","re-planting",IF(G1872=0,"",IF(PlanterYesMe="",IF(AE1872="me","   not ELP, by",IF(AE1872="",IF(G1872&gt;0,(VLOOKUP(A1872,'Discount Lookup'!J:K,2)*G1872*(1-PlanterDiscount)*(1+PlanterDifficultyPercentage)),""),"")),"   not ELP, by"))))))))))))))</f>
        <v/>
      </c>
      <c r="AD1872" s="712"/>
      <c r="AE1872" s="513" t="str">
        <f t="shared" si="1301"/>
        <v/>
      </c>
      <c r="AF1872" s="713" t="str">
        <f t="shared" si="1302"/>
        <v/>
      </c>
      <c r="AG1872" s="713"/>
      <c r="AH1872" s="713"/>
      <c r="AI1872" s="112">
        <f>IF(H1872="credit",0,IF(AE1872="free",0,IF(AE1872="me",0,IF(G1872&gt;0,(VLOOKUP(A1872,'Discount Lookup'!J:K,2)*G1872),0))))</f>
        <v>0</v>
      </c>
      <c r="AJ1872" s="107" t="str">
        <f t="shared" ca="1" si="1303"/>
        <v/>
      </c>
      <c r="AK1872" s="714" t="str">
        <f t="shared" si="1304"/>
        <v/>
      </c>
      <c r="AL1872" s="714"/>
      <c r="AM1872" s="114" t="str">
        <f t="shared" si="1305"/>
        <v/>
      </c>
      <c r="AN1872" s="115"/>
      <c r="AO1872" s="116"/>
      <c r="AP1872" s="116"/>
      <c r="AQ1872" s="116"/>
      <c r="AR1872" s="116"/>
      <c r="AS1872" s="116"/>
      <c r="AT1872" s="116"/>
      <c r="AU1872" s="116"/>
      <c r="AV1872" s="78"/>
      <c r="AW1872" s="102"/>
      <c r="AX1872" s="78"/>
      <c r="AY1872" s="78"/>
      <c r="AZ1872" s="78"/>
      <c r="BA1872" s="78"/>
      <c r="BB1872" s="78"/>
      <c r="BC1872" s="78"/>
      <c r="BD1872" s="78"/>
      <c r="BE1872" s="465"/>
      <c r="BF1872" s="165" t="str">
        <f t="shared" si="1306"/>
        <v>https://www.google.com/search?tbm=isch&amp;q=Hosta%20Fortunei%20%27Albomarginata%27%20Silver%20Crown%20Hosta</v>
      </c>
      <c r="BG1872" s="165" t="str">
        <f t="shared" si="1307"/>
        <v>H</v>
      </c>
      <c r="BH1872" s="65"/>
      <c r="BI1872" s="65"/>
      <c r="BJ1872" s="65"/>
      <c r="BK1872" s="65"/>
      <c r="BL1872" s="99"/>
      <c r="BM1872" s="99"/>
      <c r="BN1872" s="99"/>
    </row>
    <row r="1873" spans="1:66" s="51" customFormat="1" ht="15.75" x14ac:dyDescent="0.25">
      <c r="A1873" s="634">
        <v>1</v>
      </c>
      <c r="B1873" s="635" t="s">
        <v>291</v>
      </c>
      <c r="C1873" s="636" t="s">
        <v>2730</v>
      </c>
      <c r="D1873" s="637" t="s">
        <v>309</v>
      </c>
      <c r="E1873" s="638">
        <v>6.95</v>
      </c>
      <c r="F1873" s="639" t="s">
        <v>292</v>
      </c>
      <c r="G1873" s="484">
        <v>0</v>
      </c>
      <c r="H1873" s="691" t="str">
        <f>IF(G1873=0,"",IF(F1873="Buy",IF(G1873=1,"plant","plants"),IF(F1873&gt;0.01,"warranty","Error")))</f>
        <v/>
      </c>
      <c r="I1873" s="640">
        <f>IF(H1873="free",0,IF(H1873="credit",((E1873*(F1873))*G1873*-1),IF(F1873="Buy",(E1873*G1873),((E1873*(1-F1873))*G1873))))</f>
        <v>0</v>
      </c>
      <c r="J1873" s="640">
        <f>IF(H1873="warranty",0,(I1873*(_xlfn.SINGLE(SalesTaxPercentage))))</f>
        <v>0</v>
      </c>
      <c r="K1873" s="716">
        <f t="shared" ref="K1873" si="1330">I1873+J1873</f>
        <v>0</v>
      </c>
      <c r="L1873" s="716"/>
      <c r="M1873" s="689" t="str">
        <f ca="1">IF(AND(G1873&gt;0,E1873=0),"WARNING - no PRICE inserted",IF(H1873="free","FREE ~ no charge this plant",IF(H1873="credit",CONCATENATE("-$",ROUND(K1873*(1-_xlfn.SINGLE(T2GDiscount))*-1,2)," CREDIT after discount"),IF(_xlfn.SINGLE(T2GDiscount)=0,"",IF(G1873=0,"",IF(F1873="Buy",CONCATENATE("$",ROUND(K1873*(1-_xlfn.SINGLE(T2GDiscount)),2)," with ",(_xlfn.SINGLE(T2GDiscount)*100),"% discount"),CONCATENATE("$",ROUND(K1873*(1-_xlfn.SINGLE(T2GDiscount)),2)," with ",((_xlfn.SINGLE(T2GDiscount)*100+F1873*100)-(_xlfn.SINGLE(T2GDiscount)*100*F1873)),IF(F1873&gt;0,"% discounts",IF(_xlfn.SINGLE(NoWarrantyDiscount)&gt;0,"% discounts","% discount")))))))))</f>
        <v/>
      </c>
      <c r="N1873" s="690"/>
      <c r="O1873" s="486"/>
      <c r="P1873" s="486"/>
      <c r="Q1873" s="486"/>
      <c r="R1873" s="486"/>
      <c r="S1873" s="486"/>
      <c r="T1873" s="102">
        <f t="shared" si="1295"/>
        <v>0</v>
      </c>
      <c r="U1873" s="78">
        <f>IF(NOT(ISNUMBER(G1873)), "", VLOOKUP(A1873,'Discount Lookup'!D:E,2,FALSE)*G1873)</f>
        <v>0</v>
      </c>
      <c r="V1873" s="78">
        <f>IF(NOT(ISNUMBER(G1873)), "", VLOOKUP(A1873,'Discount Lookup'!G:H,2,FALSE)*G1873)</f>
        <v>0</v>
      </c>
      <c r="W1873" s="102">
        <f t="shared" si="1296"/>
        <v>0</v>
      </c>
      <c r="X1873" s="102">
        <f t="shared" si="1297"/>
        <v>0</v>
      </c>
      <c r="Y1873" s="120" t="b">
        <f t="shared" si="1298"/>
        <v>0</v>
      </c>
      <c r="Z1873" s="117">
        <f t="shared" si="1299"/>
        <v>0</v>
      </c>
      <c r="AA1873" s="118"/>
      <c r="AB1873" s="118" t="str">
        <f t="shared" si="1300"/>
        <v/>
      </c>
      <c r="AC1873" s="712" t="str">
        <f>IF(AE1873="T2G","no charge",IF(AND(OR(PlanterYesMe="No",PlanterYesMe="N",PlanterYesMe="me"),H1873=""),"",IF(H1873="credit","NO install",IF(AND(K1873="",AE1873="me"),"EACH row",IF(AND(K1873="images",AE1873="me"),"EACH row",IF(D1873="","",IF(H1873="credit","",IF(AE1873="free","re-planting",IF(AE1873="me","   not ELP, by",IF(AND(OR(PlanterYesMe="Yes",PlanterYesMe="Y"),G1873&gt;0),(VLOOKUP(A1873,'Discount Lookup'!J:K,2)*G1873*(1-PlanterDiscount)*(1+PlanterDifficultyPercentage)),IF(AE1873="ELP",(VLOOKUP(A1873,'Discount Lookup'!J:K,2)*G1873*(1-PlanterDiscount)*(1+PlanterDifficultyPercentage)),IF(AE1873="free","re-planting",IF(G1873=0,"",IF(PlanterYesMe="",IF(AE1873="me","   not ELP, by",IF(AE1873="",IF(G1873&gt;0,(VLOOKUP(A1873,'Discount Lookup'!J:K,2)*G1873*(1-PlanterDiscount)*(1+PlanterDifficultyPercentage)),""),"")),"   not ELP, by"))))))))))))))</f>
        <v/>
      </c>
      <c r="AD1873" s="712"/>
      <c r="AE1873" s="513" t="str">
        <f t="shared" si="1301"/>
        <v/>
      </c>
      <c r="AF1873" s="713" t="str">
        <f t="shared" si="1302"/>
        <v/>
      </c>
      <c r="AG1873" s="713"/>
      <c r="AH1873" s="713"/>
      <c r="AI1873" s="112">
        <f>IF(H1873="credit",0,IF(AE1873="free",0,IF(AE1873="me",0,IF(G1873&gt;0,(VLOOKUP(A1873,'Discount Lookup'!J:K,2)*G1873),0))))</f>
        <v>0</v>
      </c>
      <c r="AJ1873" s="107" t="str">
        <f t="shared" ca="1" si="1303"/>
        <v/>
      </c>
      <c r="AK1873" s="714" t="str">
        <f t="shared" si="1304"/>
        <v/>
      </c>
      <c r="AL1873" s="714"/>
      <c r="AM1873" s="114" t="str">
        <f t="shared" si="1305"/>
        <v/>
      </c>
      <c r="AN1873" s="115"/>
      <c r="AO1873" s="116"/>
      <c r="AP1873" s="116"/>
      <c r="AQ1873" s="116"/>
      <c r="AR1873" s="116"/>
      <c r="AS1873" s="116"/>
      <c r="AT1873" s="116"/>
      <c r="AU1873" s="116"/>
      <c r="AV1873" s="78"/>
      <c r="AW1873" s="102"/>
      <c r="AX1873" s="78"/>
      <c r="AY1873" s="78"/>
      <c r="AZ1873" s="78"/>
      <c r="BA1873" s="78"/>
      <c r="BB1873" s="78"/>
      <c r="BC1873" s="78"/>
      <c r="BD1873" s="78"/>
      <c r="BE1873" s="465"/>
      <c r="BF1873" s="165" t="str">
        <f t="shared" si="1306"/>
        <v>https://www.google.com/search?tbm=isch&amp;q=1%20G3</v>
      </c>
      <c r="BG1873" s="165" t="str">
        <f t="shared" si="1307"/>
        <v>H</v>
      </c>
      <c r="BH1873" s="65"/>
      <c r="BI1873" s="65"/>
      <c r="BJ1873" s="65"/>
      <c r="BK1873" s="65"/>
      <c r="BL1873" s="99"/>
      <c r="BM1873" s="99"/>
      <c r="BN1873" s="99"/>
    </row>
    <row r="1874" spans="1:66" s="51" customFormat="1" ht="17.25" thickBot="1" x14ac:dyDescent="0.3">
      <c r="A1874" s="704" t="s">
        <v>5416</v>
      </c>
      <c r="B1874" s="642"/>
      <c r="C1874" s="710"/>
      <c r="D1874" s="643"/>
      <c r="E1874" s="643"/>
      <c r="F1874" s="644"/>
      <c r="G1874" s="645"/>
      <c r="H1874" s="646"/>
      <c r="I1874" s="647"/>
      <c r="J1874" s="648"/>
      <c r="K1874" s="649"/>
      <c r="L1874" s="650"/>
      <c r="M1874" s="650"/>
      <c r="N1874" s="644"/>
      <c r="O1874" s="644"/>
      <c r="P1874" s="644"/>
      <c r="Q1874" s="644"/>
      <c r="R1874" s="644"/>
      <c r="S1874" s="701" t="s">
        <v>5287</v>
      </c>
      <c r="T1874" s="102">
        <f t="shared" si="1295"/>
        <v>0</v>
      </c>
      <c r="U1874" s="78" t="str">
        <f>IF(NOT(ISNUMBER(G1874)), "", VLOOKUP(A1874,'Discount Lookup'!D:E,2,FALSE)*G1874)</f>
        <v/>
      </c>
      <c r="V1874" s="78" t="str">
        <f>IF(NOT(ISNUMBER(G1874)), "", VLOOKUP(A1874,'Discount Lookup'!G:H,2,FALSE)*G1874)</f>
        <v/>
      </c>
      <c r="W1874" s="102">
        <f t="shared" si="1296"/>
        <v>0</v>
      </c>
      <c r="X1874" s="102">
        <f t="shared" si="1297"/>
        <v>0</v>
      </c>
      <c r="Y1874" s="120" t="b">
        <f t="shared" si="1298"/>
        <v>0</v>
      </c>
      <c r="Z1874" s="117">
        <f t="shared" si="1299"/>
        <v>0</v>
      </c>
      <c r="AA1874" s="118"/>
      <c r="AB1874" s="118" t="str">
        <f t="shared" si="1300"/>
        <v/>
      </c>
      <c r="AC1874" s="712" t="str">
        <f>IF(AE1874="T2G","no charge",IF(AND(OR(PlanterYesMe="No",PlanterYesMe="N",PlanterYesMe="me"),H1874=""),"",IF(H1874="credit","NO install",IF(AND(K1874="",AE1874="me"),"EACH row",IF(AND(K1874="images",AE1874="me"),"EACH row",IF(D1874="","",IF(H1874="credit","",IF(AE1874="free","re-planting",IF(AE1874="me","   not ELP, by",IF(AND(OR(PlanterYesMe="Yes",PlanterYesMe="Y"),G1874&gt;0),(VLOOKUP(A1874,'Discount Lookup'!J:K,2)*G1874*(1-PlanterDiscount)*(1+PlanterDifficultyPercentage)),IF(AE1874="ELP",(VLOOKUP(A1874,'Discount Lookup'!J:K,2)*G1874*(1-PlanterDiscount)*(1+PlanterDifficultyPercentage)),IF(AE1874="free","re-planting",IF(G1874=0,"",IF(PlanterYesMe="",IF(AE1874="me","   not ELP, by",IF(AE1874="",IF(G1874&gt;0,(VLOOKUP(A1874,'Discount Lookup'!J:K,2)*G1874*(1-PlanterDiscount)*(1+PlanterDifficultyPercentage)),""),"")),"   not ELP, by"))))))))))))))</f>
        <v/>
      </c>
      <c r="AD1874" s="712"/>
      <c r="AE1874" s="513" t="str">
        <f t="shared" si="1301"/>
        <v/>
      </c>
      <c r="AF1874" s="713" t="str">
        <f t="shared" si="1302"/>
        <v/>
      </c>
      <c r="AG1874" s="713"/>
      <c r="AH1874" s="713"/>
      <c r="AI1874" s="112">
        <f>IF(H1874="credit",0,IF(AE1874="free",0,IF(AE1874="me",0,IF(G1874&gt;0,(VLOOKUP(A1874,'Discount Lookup'!J:K,2)*G1874),0))))</f>
        <v>0</v>
      </c>
      <c r="AJ1874" s="107" t="str">
        <f t="shared" ca="1" si="1303"/>
        <v/>
      </c>
      <c r="AK1874" s="714" t="str">
        <f t="shared" si="1304"/>
        <v/>
      </c>
      <c r="AL1874" s="714"/>
      <c r="AM1874" s="114" t="str">
        <f t="shared" si="1305"/>
        <v/>
      </c>
      <c r="AN1874" s="115"/>
      <c r="AO1874" s="116"/>
      <c r="AP1874" s="116"/>
      <c r="AQ1874" s="116"/>
      <c r="AR1874" s="116"/>
      <c r="AS1874" s="116"/>
      <c r="AT1874" s="116"/>
      <c r="AU1874" s="116"/>
      <c r="AV1874" s="78"/>
      <c r="AW1874" s="102"/>
      <c r="AX1874" s="78"/>
      <c r="AY1874" s="78"/>
      <c r="AZ1874" s="78"/>
      <c r="BA1874" s="78"/>
      <c r="BB1874" s="78"/>
      <c r="BC1874" s="78"/>
      <c r="BD1874" s="78"/>
      <c r="BE1874" s="465"/>
      <c r="BF1874" s="165" t="str">
        <f t="shared" si="1306"/>
        <v>https://www.google.com/search?tbm=isch&amp;q=moist%20sites%F0%9F%92%A7OK%2C%20Silver%20Crown%20known%20for%20its%20large%2C%20Green%2C%20heart-shaped%20leaves%20with%20a%20striking%2C%20Creamy-White%20margin%20</v>
      </c>
      <c r="BG1874" s="165" t="str">
        <f t="shared" si="1307"/>
        <v>m</v>
      </c>
      <c r="BH1874" s="65"/>
      <c r="BI1874" s="65"/>
      <c r="BJ1874" s="65"/>
      <c r="BK1874" s="65"/>
      <c r="BL1874" s="99"/>
      <c r="BM1874" s="99"/>
      <c r="BN1874" s="99"/>
    </row>
    <row r="1875" spans="1:66" s="51" customFormat="1" ht="18" x14ac:dyDescent="0.25">
      <c r="A1875" s="623" t="s">
        <v>2731</v>
      </c>
      <c r="B1875" s="624"/>
      <c r="C1875" s="709"/>
      <c r="D1875" s="625" t="s">
        <v>2732</v>
      </c>
      <c r="E1875" s="626"/>
      <c r="F1875" s="626"/>
      <c r="G1875" s="626"/>
      <c r="H1875" s="622" t="s">
        <v>4739</v>
      </c>
      <c r="I1875" s="627" t="s">
        <v>3983</v>
      </c>
      <c r="J1875" s="628"/>
      <c r="K1875" s="628"/>
      <c r="L1875" s="629"/>
      <c r="M1875" s="702" t="s">
        <v>5256</v>
      </c>
      <c r="N1875" s="693" t="str">
        <f>IF(AND(ISTEXT($A1875), ISERROR($A1875+0)), HYPERLINK($BF1875, "Images"), "")</f>
        <v>Images</v>
      </c>
      <c r="O1875" s="695" t="s">
        <v>5286</v>
      </c>
      <c r="P1875" s="630"/>
      <c r="Q1875" s="631"/>
      <c r="R1875" s="632"/>
      <c r="S1875" s="633"/>
      <c r="T1875" s="102">
        <f t="shared" si="1295"/>
        <v>0</v>
      </c>
      <c r="U1875" s="78" t="str">
        <f>IF(NOT(ISNUMBER(G1875)), "", VLOOKUP(A1875,'Discount Lookup'!D:E,2,FALSE)*G1875)</f>
        <v/>
      </c>
      <c r="V1875" s="78" t="str">
        <f>IF(NOT(ISNUMBER(G1875)), "", VLOOKUP(A1875,'Discount Lookup'!G:H,2,FALSE)*G1875)</f>
        <v/>
      </c>
      <c r="W1875" s="102">
        <f t="shared" si="1296"/>
        <v>0</v>
      </c>
      <c r="X1875" s="102" t="str">
        <f t="shared" si="1297"/>
        <v>Lavender-Purple bloom</v>
      </c>
      <c r="Y1875" s="120" t="b">
        <f t="shared" si="1298"/>
        <v>0</v>
      </c>
      <c r="Z1875" s="117">
        <f t="shared" si="1299"/>
        <v>0</v>
      </c>
      <c r="AA1875" s="118"/>
      <c r="AB1875" s="118" t="str">
        <f t="shared" si="1300"/>
        <v/>
      </c>
      <c r="AC1875" s="712" t="str">
        <f>IF(AE1875="T2G","no charge",IF(AND(OR(PlanterYesMe="No",PlanterYesMe="N",PlanterYesMe="me"),H1875=""),"",IF(H1875="credit","NO install",IF(AND(K1875="",AE1875="me"),"EACH row",IF(AND(K1875="images",AE1875="me"),"EACH row",IF(D1875="","",IF(H1875="credit","",IF(AE1875="free","re-planting",IF(AE1875="me","   not ELP, by",IF(AND(OR(PlanterYesMe="Yes",PlanterYesMe="Y"),G1875&gt;0),(VLOOKUP(A1875,'Discount Lookup'!J:K,2)*G1875*(1-PlanterDiscount)*(1+PlanterDifficultyPercentage)),IF(AE1875="ELP",(VLOOKUP(A1875,'Discount Lookup'!J:K,2)*G1875*(1-PlanterDiscount)*(1+PlanterDifficultyPercentage)),IF(AE1875="free","re-planting",IF(G1875=0,"",IF(PlanterYesMe="",IF(AE1875="me","   not ELP, by",IF(AE1875="",IF(G1875&gt;0,(VLOOKUP(A1875,'Discount Lookup'!J:K,2)*G1875*(1-PlanterDiscount)*(1+PlanterDifficultyPercentage)),""),"")),"   not ELP, by"))))))))))))))</f>
        <v/>
      </c>
      <c r="AD1875" s="712"/>
      <c r="AE1875" s="513" t="str">
        <f t="shared" si="1301"/>
        <v/>
      </c>
      <c r="AF1875" s="713" t="str">
        <f t="shared" si="1302"/>
        <v/>
      </c>
      <c r="AG1875" s="713"/>
      <c r="AH1875" s="713"/>
      <c r="AI1875" s="112">
        <f>IF(H1875="credit",0,IF(AE1875="free",0,IF(AE1875="me",0,IF(G1875&gt;0,(VLOOKUP(A1875,'Discount Lookup'!J:K,2)*G1875),0))))</f>
        <v>0</v>
      </c>
      <c r="AJ1875" s="107" t="str">
        <f t="shared" ca="1" si="1303"/>
        <v/>
      </c>
      <c r="AK1875" s="714" t="str">
        <f t="shared" si="1304"/>
        <v/>
      </c>
      <c r="AL1875" s="714"/>
      <c r="AM1875" s="114" t="str">
        <f t="shared" si="1305"/>
        <v/>
      </c>
      <c r="AN1875" s="115"/>
      <c r="AO1875" s="116"/>
      <c r="AP1875" s="116"/>
      <c r="AQ1875" s="116"/>
      <c r="AR1875" s="116"/>
      <c r="AS1875" s="116"/>
      <c r="AT1875" s="116"/>
      <c r="AU1875" s="116"/>
      <c r="AV1875" s="78"/>
      <c r="AW1875" s="102"/>
      <c r="AX1875" s="78"/>
      <c r="AY1875" s="78"/>
      <c r="AZ1875" s="78"/>
      <c r="BA1875" s="78"/>
      <c r="BB1875" s="78"/>
      <c r="BC1875" s="78"/>
      <c r="BD1875" s="78"/>
      <c r="BE1875" s="465"/>
      <c r="BF1875" s="165" t="str">
        <f t="shared" si="1306"/>
        <v>https://www.google.com/search?tbm=isch&amp;q=Hosta%20%27Golden%20Tiara%27%20Golden%20Tiara%20Hosta</v>
      </c>
      <c r="BG1875" s="165" t="str">
        <f t="shared" si="1307"/>
        <v>H</v>
      </c>
      <c r="BH1875" s="65"/>
      <c r="BI1875" s="65"/>
      <c r="BJ1875" s="65"/>
      <c r="BK1875" s="65"/>
      <c r="BL1875" s="99"/>
      <c r="BM1875" s="99"/>
      <c r="BN1875" s="99"/>
    </row>
    <row r="1876" spans="1:66" s="51" customFormat="1" ht="15.75" x14ac:dyDescent="0.25">
      <c r="A1876" s="634">
        <v>1</v>
      </c>
      <c r="B1876" s="635" t="s">
        <v>291</v>
      </c>
      <c r="C1876" s="636" t="s">
        <v>2733</v>
      </c>
      <c r="D1876" s="637" t="s">
        <v>311</v>
      </c>
      <c r="E1876" s="638">
        <v>10.95</v>
      </c>
      <c r="F1876" s="639" t="s">
        <v>292</v>
      </c>
      <c r="G1876" s="484">
        <v>0</v>
      </c>
      <c r="H1876" s="691" t="str">
        <f>IF(G1876=0,"",IF(F1876="Buy",IF(G1876=1,"plant","plants"),IF(F1876&gt;0.01,"warranty","Error")))</f>
        <v/>
      </c>
      <c r="I1876" s="640">
        <f>IF(H1876="free",0,IF(H1876="credit",((E1876*(F1876))*G1876*-1),IF(F1876="Buy",(E1876*G1876),((E1876*(1-F1876))*G1876))))</f>
        <v>0</v>
      </c>
      <c r="J1876" s="640">
        <f>IF(H1876="warranty",0,(I1876*(_xlfn.SINGLE(SalesTaxPercentage))))</f>
        <v>0</v>
      </c>
      <c r="K1876" s="716">
        <f t="shared" ref="K1876" si="1331">I1876+J1876</f>
        <v>0</v>
      </c>
      <c r="L1876" s="716"/>
      <c r="M1876" s="689" t="str">
        <f ca="1">IF(AND(G1876&gt;0,E1876=0),"WARNING - no PRICE inserted",IF(H1876="free","FREE ~ no charge this plant",IF(H1876="credit",CONCATENATE("-$",ROUND(K1876*(1-_xlfn.SINGLE(T2GDiscount))*-1,2)," CREDIT after discount"),IF(_xlfn.SINGLE(T2GDiscount)=0,"",IF(G1876=0,"",IF(F1876="Buy",CONCATENATE("$",ROUND(K1876*(1-_xlfn.SINGLE(T2GDiscount)),2)," with ",(_xlfn.SINGLE(T2GDiscount)*100),"% discount"),CONCATENATE("$",ROUND(K1876*(1-_xlfn.SINGLE(T2GDiscount)),2)," with ",((_xlfn.SINGLE(T2GDiscount)*100+F1876*100)-(_xlfn.SINGLE(T2GDiscount)*100*F1876)),IF(F1876&gt;0,"% discounts",IF(_xlfn.SINGLE(NoWarrantyDiscount)&gt;0,"% discounts","% discount")))))))))</f>
        <v/>
      </c>
      <c r="N1876" s="690"/>
      <c r="O1876" s="486"/>
      <c r="P1876" s="486"/>
      <c r="Q1876" s="486"/>
      <c r="R1876" s="486"/>
      <c r="S1876" s="486"/>
      <c r="T1876" s="102">
        <f t="shared" ref="T1876:T1939" si="1332">E1876*G1876</f>
        <v>0</v>
      </c>
      <c r="U1876" s="78">
        <f>IF(NOT(ISNUMBER(G1876)), "", VLOOKUP(A1876,'Discount Lookup'!D:E,2,FALSE)*G1876)</f>
        <v>0</v>
      </c>
      <c r="V1876" s="78">
        <f>IF(NOT(ISNUMBER(G1876)), "", VLOOKUP(A1876,'Discount Lookup'!G:H,2,FALSE)*G1876)</f>
        <v>0</v>
      </c>
      <c r="W1876" s="102">
        <f t="shared" ref="W1876:W1939" si="1333">IF(H1876="credit",0,E1876*(SalesTaxPercentage)*G1876)</f>
        <v>0</v>
      </c>
      <c r="X1876" s="102">
        <f t="shared" ref="X1876:X1939" si="1334">I1876</f>
        <v>0</v>
      </c>
      <c r="Y1876" s="120" t="b">
        <f t="shared" ref="Y1876:Y1939" si="1335">IF(AE1876="T2G",0,IF(H1876="credit",0,IF(G1876&gt;0,IF(AE1876="me","",G1876))))</f>
        <v>0</v>
      </c>
      <c r="Z1876" s="117">
        <f t="shared" ref="Z1876:Z1939" si="1336">IF(H1876="credit",G1876,0)</f>
        <v>0</v>
      </c>
      <c r="AA1876" s="118"/>
      <c r="AB1876" s="118" t="str">
        <f t="shared" ref="AB1876:AB1939" si="1337">IF(AE1876="T2G","by Trees2Go",IF(H1876="credit","CREDIT only ~",IF(AND(K1876="",AE1876=OR(PlanterYesMe="No",PlanterYesMe="N",PlanterYesMe="me")),"not THIS line⇨",IF(AND(K1876="images",AE1876="me"),"not THIS line⇨",IF(H1876="credit","",IF(G1876=0,"",IF(AE1876="me","",IF(OR(PlanterYesMe="No",PlanterYesMe="N",PlanterYesMe="me"),"",IF(AE1876="free","warranty",IF(OR(PlanterYesMe="yes",PlanterYesMe="y"),"Edison install:","to install:"))))))))))</f>
        <v/>
      </c>
      <c r="AC1876" s="712" t="str">
        <f>IF(AE1876="T2G","no charge",IF(AND(OR(PlanterYesMe="No",PlanterYesMe="N",PlanterYesMe="me"),H1876=""),"",IF(H1876="credit","NO install",IF(AND(K1876="",AE1876="me"),"EACH row",IF(AND(K1876="images",AE1876="me"),"EACH row",IF(D1876="","",IF(H1876="credit","",IF(AE1876="free","re-planting",IF(AE1876="me","   not ELP, by",IF(AND(OR(PlanterYesMe="Yes",PlanterYesMe="Y"),G1876&gt;0),(VLOOKUP(A1876,'Discount Lookup'!J:K,2)*G1876*(1-PlanterDiscount)*(1+PlanterDifficultyPercentage)),IF(AE1876="ELP",(VLOOKUP(A1876,'Discount Lookup'!J:K,2)*G1876*(1-PlanterDiscount)*(1+PlanterDifficultyPercentage)),IF(AE1876="free","re-planting",IF(G1876=0,"",IF(PlanterYesMe="",IF(AE1876="me","   not ELP, by",IF(AE1876="",IF(G1876&gt;0,(VLOOKUP(A1876,'Discount Lookup'!J:K,2)*G1876*(1-PlanterDiscount)*(1+PlanterDifficultyPercentage)),""),"")),"   not ELP, by"))))))))))))))</f>
        <v/>
      </c>
      <c r="AD1876" s="712"/>
      <c r="AE1876" s="513" t="str">
        <f t="shared" ref="AE1876:AE1939" si="1338">IF(H1876="credit","",IF(G1876=0,"",IF(OR(PlanterYesMe="No",PlanterYesMe="N",PlanterYesMe="me"),"me",IF(H1876="warranty","free",IF(OR(PlanterYesMe="yes",PlanterYesMe="y"),"ELP","")))))</f>
        <v/>
      </c>
      <c r="AF1876" s="713" t="str">
        <f t="shared" ref="AF1876:AF1939" si="1339">IF(OR(PlanterYesMe="No",PlanterYesMe="N",PlanterYesMe="me"),"",IF(H1876="credit","",IF(G1876&gt;0,(CONCATENATE((G1876)," quantity, ",(A1876)," ",B1876)),"")))</f>
        <v/>
      </c>
      <c r="AG1876" s="713"/>
      <c r="AH1876" s="713"/>
      <c r="AI1876" s="112">
        <f>IF(H1876="credit",0,IF(AE1876="free",0,IF(AE1876="me",0,IF(G1876&gt;0,(VLOOKUP(A1876,'Discount Lookup'!J:K,2)*G1876),0))))</f>
        <v>0</v>
      </c>
      <c r="AJ1876" s="107" t="str">
        <f t="shared" ref="AJ1876:AJ1939" ca="1" si="1340">IF(AND(ISREF(H1876),H1876="credit"),"",IF(AND(AND(OFFSET(G1876,0,0)=0,OFFSET(G1876,1,0)&gt;0,ISNUMBER(OFFSET(AC1876,1,0)),OFFSET(AC1876,1,0)&gt;0),OR(PlanterYesMe="yes",PlanterYesMe="y")),"T2G+ELP=",IF(AND(OFFSET(G1876,0,0)=0,OFFSET(G1876,1,0)&gt;0,ISNUMBER(OFFSET(AC1876,1,0)),OFFSET(AC1876,1,0)&gt;0),"if T2G+ELP=",IF(AND(OFFSET(G1876,0,0)=0,OFFSET(G1876,1,0)&gt;0),"T2G Subtotal",IF(H1876="credit","",IF(G1876=0,"",IF(AE1876="free",(K1876*(1-T2GDiscount)),IF(OR(PlanterYesMe="No",PlanterYesMe="N",PlanterYesMe="me"),(K1876*(1-T2GDiscount)),IF(OR(AE1876="me",AE1876="T2G"),(K1876*(1-T2GDiscount)),(K1876*(1-T2GDiscount))+AC1876)))))))))</f>
        <v/>
      </c>
      <c r="AK1876" s="714" t="str">
        <f t="shared" ref="AK1876:AK1939" si="1341">IF(H1876="credit","",IF(G1876=0,"",IF(OR(AE1876="me",AE1876="T2G"),"  delivery-only",IF(OR(PlanterYesMe="No",PlanterYesMe="N",PlanterYesMe="me"),"  delivery-only",CONCATENATE(" $",ROUND(AJ1876/G1876,2)," each")))))</f>
        <v/>
      </c>
      <c r="AL1876" s="714"/>
      <c r="AM1876" s="114" t="str">
        <f t="shared" ref="AM1876:AM1939" si="1342">IF(H1876="credit","",IF(AE1876="free","      ~ discounts included, no tax or planting fee applies ~",IF(G1876=0,"",IF(OR(PlanterYesMe="No",PlanterYesMe="N",PlanterYesMe="me"),CONCATENATE(" $",ROUND(AJ1876/G1876,2)," per plant, with tax &amp; discount"),IF(OR(AE1876="me",AE1876="T2G"),CONCATENATE(" $",ROUND(AJ1876/G1876,2)," per plant, with tax &amp; discount"),CONCATENATE("= $",ROUND((K1876*(1-T2GDiscount))/G1876,2)," per plant + $",AC1876/G1876,(" per planting      ~ includes tax &amp; discounts ~")))))))</f>
        <v/>
      </c>
      <c r="AN1876" s="115"/>
      <c r="AO1876" s="116"/>
      <c r="AP1876" s="116"/>
      <c r="AQ1876" s="116"/>
      <c r="AR1876" s="116"/>
      <c r="AS1876" s="116"/>
      <c r="AT1876" s="116"/>
      <c r="AU1876" s="116"/>
      <c r="AV1876" s="78"/>
      <c r="AW1876" s="102"/>
      <c r="AX1876" s="78"/>
      <c r="AY1876" s="78"/>
      <c r="AZ1876" s="78"/>
      <c r="BA1876" s="78"/>
      <c r="BB1876" s="78"/>
      <c r="BC1876" s="78"/>
      <c r="BD1876" s="78"/>
      <c r="BE1876" s="465"/>
      <c r="BF1876" s="165" t="str">
        <f t="shared" ref="BF1876:BF1939" si="1343">"https://www.google.com/search?tbm=isch&amp;q=" &amp; _xlfn.ENCODEURL($A1876 &amp; " " &amp; $D1876)</f>
        <v>https://www.google.com/search?tbm=isch&amp;q=1%20G5</v>
      </c>
      <c r="BG1876" s="165" t="str">
        <f t="shared" ref="BG1876:BG1939" si="1344">IF(ISTEXT(A1876),LEFT(A1876,1),BG1875)</f>
        <v>H</v>
      </c>
      <c r="BH1876" s="65"/>
      <c r="BI1876" s="65"/>
      <c r="BJ1876" s="65"/>
      <c r="BK1876" s="65"/>
      <c r="BL1876" s="99"/>
      <c r="BM1876" s="99"/>
      <c r="BN1876" s="99"/>
    </row>
    <row r="1877" spans="1:66" s="51" customFormat="1" ht="15.75" x14ac:dyDescent="0.25">
      <c r="A1877" s="634">
        <v>4</v>
      </c>
      <c r="B1877" s="635" t="s">
        <v>338</v>
      </c>
      <c r="C1877" s="636" t="s">
        <v>2467</v>
      </c>
      <c r="D1877" s="637" t="s">
        <v>329</v>
      </c>
      <c r="E1877" s="638">
        <v>11.95</v>
      </c>
      <c r="F1877" s="639" t="s">
        <v>292</v>
      </c>
      <c r="G1877" s="484">
        <v>0</v>
      </c>
      <c r="H1877" s="691" t="str">
        <f>IF(G1877=0,"",IF(F1877="Buy",IF(G1877=1,"plant","plants"),IF(F1877&gt;0.01,"warranty","Error")))</f>
        <v/>
      </c>
      <c r="I1877" s="640">
        <f>IF(H1877="free",0,IF(H1877="credit",((E1877*(F1877))*G1877*-1),IF(F1877="Buy",(E1877*G1877),((E1877*(1-F1877))*G1877))))</f>
        <v>0</v>
      </c>
      <c r="J1877" s="640">
        <f>IF(H1877="warranty",0,(I1877*(_xlfn.SINGLE(SalesTaxPercentage))))</f>
        <v>0</v>
      </c>
      <c r="K1877" s="716">
        <f t="shared" ref="K1877" si="1345">I1877+J1877</f>
        <v>0</v>
      </c>
      <c r="L1877" s="716"/>
      <c r="M1877" s="689" t="str">
        <f ca="1">IF(AND(G1877&gt;0,E1877=0),"WARNING - no PRICE inserted",IF(H1877="free","FREE ~ no charge this plant",IF(H1877="credit",CONCATENATE("-$",ROUND(K1877*(1-_xlfn.SINGLE(T2GDiscount))*-1,2)," CREDIT after discount"),IF(_xlfn.SINGLE(T2GDiscount)=0,"",IF(G1877=0,"",IF(F1877="Buy",CONCATENATE("$",ROUND(K1877*(1-_xlfn.SINGLE(T2GDiscount)),2)," with ",(_xlfn.SINGLE(T2GDiscount)*100),"% discount"),CONCATENATE("$",ROUND(K1877*(1-_xlfn.SINGLE(T2GDiscount)),2)," with ",((_xlfn.SINGLE(T2GDiscount)*100+F1877*100)-(_xlfn.SINGLE(T2GDiscount)*100*F1877)),IF(F1877&gt;0,"% discounts",IF(_xlfn.SINGLE(NoWarrantyDiscount)&gt;0,"% discounts","% discount")))))))))</f>
        <v/>
      </c>
      <c r="N1877" s="690"/>
      <c r="O1877" s="486"/>
      <c r="P1877" s="486"/>
      <c r="Q1877" s="486"/>
      <c r="R1877" s="486"/>
      <c r="S1877" s="486"/>
      <c r="T1877" s="102">
        <f t="shared" si="1332"/>
        <v>0</v>
      </c>
      <c r="U1877" s="78">
        <f>IF(NOT(ISNUMBER(G1877)), "", VLOOKUP(A1877,'Discount Lookup'!D:E,2,FALSE)*G1877)</f>
        <v>0</v>
      </c>
      <c r="V1877" s="78">
        <f>IF(NOT(ISNUMBER(G1877)), "", VLOOKUP(A1877,'Discount Lookup'!G:H,2,FALSE)*G1877)</f>
        <v>0</v>
      </c>
      <c r="W1877" s="102">
        <f t="shared" si="1333"/>
        <v>0</v>
      </c>
      <c r="X1877" s="102">
        <f t="shared" si="1334"/>
        <v>0</v>
      </c>
      <c r="Y1877" s="120" t="b">
        <f t="shared" si="1335"/>
        <v>0</v>
      </c>
      <c r="Z1877" s="117">
        <f t="shared" si="1336"/>
        <v>0</v>
      </c>
      <c r="AA1877" s="118"/>
      <c r="AB1877" s="118" t="str">
        <f t="shared" si="1337"/>
        <v/>
      </c>
      <c r="AC1877" s="712" t="str">
        <f>IF(AE1877="T2G","no charge",IF(AND(OR(PlanterYesMe="No",PlanterYesMe="N",PlanterYesMe="me"),H1877=""),"",IF(H1877="credit","NO install",IF(AND(K1877="",AE1877="me"),"EACH row",IF(AND(K1877="images",AE1877="me"),"EACH row",IF(D1877="","",IF(H1877="credit","",IF(AE1877="free","re-planting",IF(AE1877="me","   not ELP, by",IF(AND(OR(PlanterYesMe="Yes",PlanterYesMe="Y"),G1877&gt;0),(VLOOKUP(A1877,'Discount Lookup'!J:K,2)*G1877*(1-PlanterDiscount)*(1+PlanterDifficultyPercentage)),IF(AE1877="ELP",(VLOOKUP(A1877,'Discount Lookup'!J:K,2)*G1877*(1-PlanterDiscount)*(1+PlanterDifficultyPercentage)),IF(AE1877="free","re-planting",IF(G1877=0,"",IF(PlanterYesMe="",IF(AE1877="me","   not ELP, by",IF(AE1877="",IF(G1877&gt;0,(VLOOKUP(A1877,'Discount Lookup'!J:K,2)*G1877*(1-PlanterDiscount)*(1+PlanterDifficultyPercentage)),""),"")),"   not ELP, by"))))))))))))))</f>
        <v/>
      </c>
      <c r="AD1877" s="712"/>
      <c r="AE1877" s="513" t="str">
        <f t="shared" si="1338"/>
        <v/>
      </c>
      <c r="AF1877" s="713" t="str">
        <f t="shared" si="1339"/>
        <v/>
      </c>
      <c r="AG1877" s="713"/>
      <c r="AH1877" s="713"/>
      <c r="AI1877" s="112">
        <f>IF(H1877="credit",0,IF(AE1877="free",0,IF(AE1877="me",0,IF(G1877&gt;0,(VLOOKUP(A1877,'Discount Lookup'!J:K,2)*G1877),0))))</f>
        <v>0</v>
      </c>
      <c r="AJ1877" s="107" t="str">
        <f t="shared" ca="1" si="1340"/>
        <v/>
      </c>
      <c r="AK1877" s="714" t="str">
        <f t="shared" si="1341"/>
        <v/>
      </c>
      <c r="AL1877" s="714"/>
      <c r="AM1877" s="114" t="str">
        <f t="shared" si="1342"/>
        <v/>
      </c>
      <c r="AN1877" s="115"/>
      <c r="AO1877" s="116"/>
      <c r="AP1877" s="116"/>
      <c r="AQ1877" s="116"/>
      <c r="AR1877" s="116"/>
      <c r="AS1877" s="116"/>
      <c r="AT1877" s="116"/>
      <c r="AU1877" s="116"/>
      <c r="AV1877" s="78"/>
      <c r="AW1877" s="102"/>
      <c r="AX1877" s="78"/>
      <c r="AY1877" s="78"/>
      <c r="AZ1877" s="78"/>
      <c r="BA1877" s="78"/>
      <c r="BB1877" s="78"/>
      <c r="BC1877" s="78"/>
      <c r="BD1877" s="78"/>
      <c r="BE1877" s="465"/>
      <c r="BF1877" s="165" t="str">
        <f t="shared" si="1343"/>
        <v>https://www.google.com/search?tbm=isch&amp;q=4%20G2</v>
      </c>
      <c r="BG1877" s="165" t="str">
        <f t="shared" si="1344"/>
        <v>H</v>
      </c>
      <c r="BH1877" s="65"/>
      <c r="BI1877" s="65"/>
      <c r="BJ1877" s="65"/>
      <c r="BK1877" s="65"/>
      <c r="BL1877" s="99"/>
      <c r="BM1877" s="99"/>
      <c r="BN1877" s="99"/>
    </row>
    <row r="1878" spans="1:66" s="51" customFormat="1" ht="17.25" thickBot="1" x14ac:dyDescent="0.3">
      <c r="A1878" s="704" t="s">
        <v>5417</v>
      </c>
      <c r="B1878" s="642"/>
      <c r="C1878" s="710"/>
      <c r="D1878" s="643"/>
      <c r="E1878" s="643"/>
      <c r="F1878" s="644"/>
      <c r="G1878" s="645"/>
      <c r="H1878" s="646"/>
      <c r="I1878" s="647"/>
      <c r="J1878" s="648"/>
      <c r="K1878" s="649"/>
      <c r="L1878" s="650"/>
      <c r="M1878" s="650"/>
      <c r="N1878" s="644"/>
      <c r="O1878" s="644"/>
      <c r="P1878" s="644"/>
      <c r="Q1878" s="644"/>
      <c r="R1878" s="644"/>
      <c r="S1878" s="701" t="s">
        <v>5287</v>
      </c>
      <c r="T1878" s="102">
        <f t="shared" si="1332"/>
        <v>0</v>
      </c>
      <c r="U1878" s="78" t="str">
        <f>IF(NOT(ISNUMBER(G1878)), "", VLOOKUP(A1878,'Discount Lookup'!D:E,2,FALSE)*G1878)</f>
        <v/>
      </c>
      <c r="V1878" s="78" t="str">
        <f>IF(NOT(ISNUMBER(G1878)), "", VLOOKUP(A1878,'Discount Lookup'!G:H,2,FALSE)*G1878)</f>
        <v/>
      </c>
      <c r="W1878" s="102">
        <f t="shared" si="1333"/>
        <v>0</v>
      </c>
      <c r="X1878" s="102">
        <f t="shared" si="1334"/>
        <v>0</v>
      </c>
      <c r="Y1878" s="120" t="b">
        <f t="shared" si="1335"/>
        <v>0</v>
      </c>
      <c r="Z1878" s="117">
        <f t="shared" si="1336"/>
        <v>0</v>
      </c>
      <c r="AA1878" s="118"/>
      <c r="AB1878" s="118" t="str">
        <f t="shared" si="1337"/>
        <v/>
      </c>
      <c r="AC1878" s="712" t="str">
        <f>IF(AE1878="T2G","no charge",IF(AND(OR(PlanterYesMe="No",PlanterYesMe="N",PlanterYesMe="me"),H1878=""),"",IF(H1878="credit","NO install",IF(AND(K1878="",AE1878="me"),"EACH row",IF(AND(K1878="images",AE1878="me"),"EACH row",IF(D1878="","",IF(H1878="credit","",IF(AE1878="free","re-planting",IF(AE1878="me","   not ELP, by",IF(AND(OR(PlanterYesMe="Yes",PlanterYesMe="Y"),G1878&gt;0),(VLOOKUP(A1878,'Discount Lookup'!J:K,2)*G1878*(1-PlanterDiscount)*(1+PlanterDifficultyPercentage)),IF(AE1878="ELP",(VLOOKUP(A1878,'Discount Lookup'!J:K,2)*G1878*(1-PlanterDiscount)*(1+PlanterDifficultyPercentage)),IF(AE1878="free","re-planting",IF(G1878=0,"",IF(PlanterYesMe="",IF(AE1878="me","   not ELP, by",IF(AE1878="",IF(G1878&gt;0,(VLOOKUP(A1878,'Discount Lookup'!J:K,2)*G1878*(1-PlanterDiscount)*(1+PlanterDifficultyPercentage)),""),"")),"   not ELP, by"))))))))))))))</f>
        <v/>
      </c>
      <c r="AD1878" s="712"/>
      <c r="AE1878" s="513" t="str">
        <f t="shared" si="1338"/>
        <v/>
      </c>
      <c r="AF1878" s="713" t="str">
        <f t="shared" si="1339"/>
        <v/>
      </c>
      <c r="AG1878" s="713"/>
      <c r="AH1878" s="713"/>
      <c r="AI1878" s="112">
        <f>IF(H1878="credit",0,IF(AE1878="free",0,IF(AE1878="me",0,IF(G1878&gt;0,(VLOOKUP(A1878,'Discount Lookup'!J:K,2)*G1878),0))))</f>
        <v>0</v>
      </c>
      <c r="AJ1878" s="107" t="str">
        <f t="shared" ca="1" si="1340"/>
        <v/>
      </c>
      <c r="AK1878" s="714" t="str">
        <f t="shared" si="1341"/>
        <v/>
      </c>
      <c r="AL1878" s="714"/>
      <c r="AM1878" s="114" t="str">
        <f t="shared" si="1342"/>
        <v/>
      </c>
      <c r="AN1878" s="115"/>
      <c r="AO1878" s="116"/>
      <c r="AP1878" s="116"/>
      <c r="AQ1878" s="116"/>
      <c r="AR1878" s="116"/>
      <c r="AS1878" s="116"/>
      <c r="AT1878" s="116"/>
      <c r="AU1878" s="116"/>
      <c r="AV1878" s="78"/>
      <c r="AW1878" s="102"/>
      <c r="AX1878" s="78"/>
      <c r="AY1878" s="78"/>
      <c r="AZ1878" s="78"/>
      <c r="BA1878" s="78"/>
      <c r="BB1878" s="78"/>
      <c r="BC1878" s="78"/>
      <c r="BD1878" s="78"/>
      <c r="BE1878" s="465"/>
      <c r="BF1878" s="165" t="str">
        <f t="shared" si="1343"/>
        <v>https://www.google.com/search?tbm=isch&amp;q=moist%20sites%F0%9F%92%A7OK%2C%20Golden%20Tiara%20Hosta%20has%20cheerful%2C%20heart-shaped%20leaves%20with%20a%20striking%20Golden-Yellow%20margin%20</v>
      </c>
      <c r="BG1878" s="165" t="str">
        <f t="shared" si="1344"/>
        <v>m</v>
      </c>
      <c r="BH1878" s="65"/>
      <c r="BI1878" s="65"/>
      <c r="BJ1878" s="65"/>
      <c r="BK1878" s="65"/>
      <c r="BL1878" s="99"/>
      <c r="BM1878" s="99"/>
      <c r="BN1878" s="99"/>
    </row>
    <row r="1879" spans="1:66" s="51" customFormat="1" ht="18" x14ac:dyDescent="0.25">
      <c r="A1879" s="623" t="s">
        <v>2734</v>
      </c>
      <c r="B1879" s="624"/>
      <c r="C1879" s="709"/>
      <c r="D1879" s="625" t="s">
        <v>2735</v>
      </c>
      <c r="E1879" s="626"/>
      <c r="F1879" s="626"/>
      <c r="G1879" s="626"/>
      <c r="H1879" s="622" t="s">
        <v>4735</v>
      </c>
      <c r="I1879" s="627" t="s">
        <v>2736</v>
      </c>
      <c r="J1879" s="628"/>
      <c r="K1879" s="628"/>
      <c r="L1879" s="629"/>
      <c r="M1879" s="702" t="s">
        <v>5256</v>
      </c>
      <c r="N1879" s="693" t="str">
        <f>IF(AND(ISTEXT($A1879), ISERROR($A1879+0)), HYPERLINK($BF1879, "Images"), "")</f>
        <v>Images</v>
      </c>
      <c r="O1879" s="695" t="s">
        <v>5286</v>
      </c>
      <c r="P1879" s="630"/>
      <c r="Q1879" s="631"/>
      <c r="R1879" s="632"/>
      <c r="S1879" s="633"/>
      <c r="T1879" s="102">
        <f t="shared" si="1332"/>
        <v>0</v>
      </c>
      <c r="U1879" s="78" t="str">
        <f>IF(NOT(ISNUMBER(G1879)), "", VLOOKUP(A1879,'Discount Lookup'!D:E,2,FALSE)*G1879)</f>
        <v/>
      </c>
      <c r="V1879" s="78" t="str">
        <f>IF(NOT(ISNUMBER(G1879)), "", VLOOKUP(A1879,'Discount Lookup'!G:H,2,FALSE)*G1879)</f>
        <v/>
      </c>
      <c r="W1879" s="102">
        <f t="shared" si="1333"/>
        <v>0</v>
      </c>
      <c r="X1879" s="102" t="str">
        <f t="shared" si="1334"/>
        <v>White-Lavender bloom</v>
      </c>
      <c r="Y1879" s="120" t="b">
        <f t="shared" si="1335"/>
        <v>0</v>
      </c>
      <c r="Z1879" s="117">
        <f t="shared" si="1336"/>
        <v>0</v>
      </c>
      <c r="AA1879" s="118"/>
      <c r="AB1879" s="118" t="str">
        <f t="shared" si="1337"/>
        <v/>
      </c>
      <c r="AC1879" s="712" t="str">
        <f>IF(AE1879="T2G","no charge",IF(AND(OR(PlanterYesMe="No",PlanterYesMe="N",PlanterYesMe="me"),H1879=""),"",IF(H1879="credit","NO install",IF(AND(K1879="",AE1879="me"),"EACH row",IF(AND(K1879="images",AE1879="me"),"EACH row",IF(D1879="","",IF(H1879="credit","",IF(AE1879="free","re-planting",IF(AE1879="me","   not ELP, by",IF(AND(OR(PlanterYesMe="Yes",PlanterYesMe="Y"),G1879&gt;0),(VLOOKUP(A1879,'Discount Lookup'!J:K,2)*G1879*(1-PlanterDiscount)*(1+PlanterDifficultyPercentage)),IF(AE1879="ELP",(VLOOKUP(A1879,'Discount Lookup'!J:K,2)*G1879*(1-PlanterDiscount)*(1+PlanterDifficultyPercentage)),IF(AE1879="free","re-planting",IF(G1879=0,"",IF(PlanterYesMe="",IF(AE1879="me","   not ELP, by",IF(AE1879="",IF(G1879&gt;0,(VLOOKUP(A1879,'Discount Lookup'!J:K,2)*G1879*(1-PlanterDiscount)*(1+PlanterDifficultyPercentage)),""),"")),"   not ELP, by"))))))))))))))</f>
        <v/>
      </c>
      <c r="AD1879" s="712"/>
      <c r="AE1879" s="513" t="str">
        <f t="shared" si="1338"/>
        <v/>
      </c>
      <c r="AF1879" s="713" t="str">
        <f t="shared" si="1339"/>
        <v/>
      </c>
      <c r="AG1879" s="713"/>
      <c r="AH1879" s="713"/>
      <c r="AI1879" s="112">
        <f>IF(H1879="credit",0,IF(AE1879="free",0,IF(AE1879="me",0,IF(G1879&gt;0,(VLOOKUP(A1879,'Discount Lookup'!J:K,2)*G1879),0))))</f>
        <v>0</v>
      </c>
      <c r="AJ1879" s="107" t="str">
        <f t="shared" ca="1" si="1340"/>
        <v/>
      </c>
      <c r="AK1879" s="714" t="str">
        <f t="shared" si="1341"/>
        <v/>
      </c>
      <c r="AL1879" s="714"/>
      <c r="AM1879" s="114" t="str">
        <f t="shared" si="1342"/>
        <v/>
      </c>
      <c r="AN1879" s="115"/>
      <c r="AO1879" s="116"/>
      <c r="AP1879" s="116"/>
      <c r="AQ1879" s="116"/>
      <c r="AR1879" s="116"/>
      <c r="AS1879" s="116"/>
      <c r="AT1879" s="116"/>
      <c r="AU1879" s="116"/>
      <c r="AV1879" s="78"/>
      <c r="AW1879" s="102"/>
      <c r="AX1879" s="78"/>
      <c r="AY1879" s="78"/>
      <c r="AZ1879" s="78"/>
      <c r="BA1879" s="78"/>
      <c r="BB1879" s="78"/>
      <c r="BC1879" s="78"/>
      <c r="BD1879" s="78"/>
      <c r="BE1879" s="465"/>
      <c r="BF1879" s="165" t="str">
        <f t="shared" si="1343"/>
        <v>https://www.google.com/search?tbm=isch&amp;q=Hosta%20%27Guacamole%27%20Guacamole%20Hosta</v>
      </c>
      <c r="BG1879" s="165" t="str">
        <f t="shared" si="1344"/>
        <v>H</v>
      </c>
      <c r="BH1879" s="65"/>
      <c r="BI1879" s="65"/>
      <c r="BJ1879" s="65"/>
      <c r="BK1879" s="65"/>
      <c r="BL1879" s="99"/>
      <c r="BM1879" s="99"/>
      <c r="BN1879" s="99"/>
    </row>
    <row r="1880" spans="1:66" s="51" customFormat="1" ht="15.75" x14ac:dyDescent="0.25">
      <c r="A1880" s="634">
        <v>4</v>
      </c>
      <c r="B1880" s="635" t="s">
        <v>338</v>
      </c>
      <c r="C1880" s="636" t="s">
        <v>2467</v>
      </c>
      <c r="D1880" s="637" t="s">
        <v>329</v>
      </c>
      <c r="E1880" s="638">
        <v>11.95</v>
      </c>
      <c r="F1880" s="639" t="s">
        <v>292</v>
      </c>
      <c r="G1880" s="484">
        <v>0</v>
      </c>
      <c r="H1880" s="691" t="str">
        <f>IF(G1880=0,"",IF(F1880="Buy",IF(G1880=1,"plant","plants"),IF(F1880&gt;0.01,"warranty","Error")))</f>
        <v/>
      </c>
      <c r="I1880" s="640">
        <f>IF(H1880="free",0,IF(H1880="credit",((E1880*(F1880))*G1880*-1),IF(F1880="Buy",(E1880*G1880),((E1880*(1-F1880))*G1880))))</f>
        <v>0</v>
      </c>
      <c r="J1880" s="640">
        <f>IF(H1880="warranty",0,(I1880*(_xlfn.SINGLE(SalesTaxPercentage))))</f>
        <v>0</v>
      </c>
      <c r="K1880" s="716">
        <f t="shared" ref="K1880" si="1346">I1880+J1880</f>
        <v>0</v>
      </c>
      <c r="L1880" s="716"/>
      <c r="M1880" s="689" t="str">
        <f ca="1">IF(AND(G1880&gt;0,E1880=0),"WARNING - no PRICE inserted",IF(H1880="free","FREE ~ no charge this plant",IF(H1880="credit",CONCATENATE("-$",ROUND(K1880*(1-_xlfn.SINGLE(T2GDiscount))*-1,2)," CREDIT after discount"),IF(_xlfn.SINGLE(T2GDiscount)=0,"",IF(G1880=0,"",IF(F1880="Buy",CONCATENATE("$",ROUND(K1880*(1-_xlfn.SINGLE(T2GDiscount)),2)," with ",(_xlfn.SINGLE(T2GDiscount)*100),"% discount"),CONCATENATE("$",ROUND(K1880*(1-_xlfn.SINGLE(T2GDiscount)),2)," with ",((_xlfn.SINGLE(T2GDiscount)*100+F1880*100)-(_xlfn.SINGLE(T2GDiscount)*100*F1880)),IF(F1880&gt;0,"% discounts",IF(_xlfn.SINGLE(NoWarrantyDiscount)&gt;0,"% discounts","% discount")))))))))</f>
        <v/>
      </c>
      <c r="N1880" s="690"/>
      <c r="O1880" s="486"/>
      <c r="P1880" s="486"/>
      <c r="Q1880" s="486"/>
      <c r="R1880" s="486"/>
      <c r="S1880" s="486"/>
      <c r="T1880" s="102">
        <f t="shared" si="1332"/>
        <v>0</v>
      </c>
      <c r="U1880" s="78">
        <f>IF(NOT(ISNUMBER(G1880)), "", VLOOKUP(A1880,'Discount Lookup'!D:E,2,FALSE)*G1880)</f>
        <v>0</v>
      </c>
      <c r="V1880" s="78">
        <f>IF(NOT(ISNUMBER(G1880)), "", VLOOKUP(A1880,'Discount Lookup'!G:H,2,FALSE)*G1880)</f>
        <v>0</v>
      </c>
      <c r="W1880" s="102">
        <f t="shared" si="1333"/>
        <v>0</v>
      </c>
      <c r="X1880" s="102">
        <f t="shared" si="1334"/>
        <v>0</v>
      </c>
      <c r="Y1880" s="120" t="b">
        <f t="shared" si="1335"/>
        <v>0</v>
      </c>
      <c r="Z1880" s="117">
        <f t="shared" si="1336"/>
        <v>0</v>
      </c>
      <c r="AA1880" s="118"/>
      <c r="AB1880" s="118" t="str">
        <f t="shared" si="1337"/>
        <v/>
      </c>
      <c r="AC1880" s="712" t="str">
        <f>IF(AE1880="T2G","no charge",IF(AND(OR(PlanterYesMe="No",PlanterYesMe="N",PlanterYesMe="me"),H1880=""),"",IF(H1880="credit","NO install",IF(AND(K1880="",AE1880="me"),"EACH row",IF(AND(K1880="images",AE1880="me"),"EACH row",IF(D1880="","",IF(H1880="credit","",IF(AE1880="free","re-planting",IF(AE1880="me","   not ELP, by",IF(AND(OR(PlanterYesMe="Yes",PlanterYesMe="Y"),G1880&gt;0),(VLOOKUP(A1880,'Discount Lookup'!J:K,2)*G1880*(1-PlanterDiscount)*(1+PlanterDifficultyPercentage)),IF(AE1880="ELP",(VLOOKUP(A1880,'Discount Lookup'!J:K,2)*G1880*(1-PlanterDiscount)*(1+PlanterDifficultyPercentage)),IF(AE1880="free","re-planting",IF(G1880=0,"",IF(PlanterYesMe="",IF(AE1880="me","   not ELP, by",IF(AE1880="",IF(G1880&gt;0,(VLOOKUP(A1880,'Discount Lookup'!J:K,2)*G1880*(1-PlanterDiscount)*(1+PlanterDifficultyPercentage)),""),"")),"   not ELP, by"))))))))))))))</f>
        <v/>
      </c>
      <c r="AD1880" s="712"/>
      <c r="AE1880" s="513" t="str">
        <f t="shared" si="1338"/>
        <v/>
      </c>
      <c r="AF1880" s="713" t="str">
        <f t="shared" si="1339"/>
        <v/>
      </c>
      <c r="AG1880" s="713"/>
      <c r="AH1880" s="713"/>
      <c r="AI1880" s="112">
        <f>IF(H1880="credit",0,IF(AE1880="free",0,IF(AE1880="me",0,IF(G1880&gt;0,(VLOOKUP(A1880,'Discount Lookup'!J:K,2)*G1880),0))))</f>
        <v>0</v>
      </c>
      <c r="AJ1880" s="107" t="str">
        <f t="shared" ca="1" si="1340"/>
        <v/>
      </c>
      <c r="AK1880" s="714" t="str">
        <f t="shared" si="1341"/>
        <v/>
      </c>
      <c r="AL1880" s="714"/>
      <c r="AM1880" s="114" t="str">
        <f t="shared" si="1342"/>
        <v/>
      </c>
      <c r="AN1880" s="115"/>
      <c r="AO1880" s="116"/>
      <c r="AP1880" s="116"/>
      <c r="AQ1880" s="116"/>
      <c r="AR1880" s="116"/>
      <c r="AS1880" s="116"/>
      <c r="AT1880" s="116"/>
      <c r="AU1880" s="116"/>
      <c r="AV1880" s="78"/>
      <c r="AW1880" s="102"/>
      <c r="AX1880" s="78"/>
      <c r="AY1880" s="78"/>
      <c r="AZ1880" s="78"/>
      <c r="BA1880" s="78"/>
      <c r="BB1880" s="78"/>
      <c r="BC1880" s="78"/>
      <c r="BD1880" s="78"/>
      <c r="BE1880" s="465"/>
      <c r="BF1880" s="165" t="str">
        <f t="shared" si="1343"/>
        <v>https://www.google.com/search?tbm=isch&amp;q=4%20G2</v>
      </c>
      <c r="BG1880" s="165" t="str">
        <f t="shared" si="1344"/>
        <v>H</v>
      </c>
      <c r="BH1880" s="65"/>
      <c r="BI1880" s="65"/>
      <c r="BJ1880" s="65"/>
      <c r="BK1880" s="65"/>
      <c r="BL1880" s="99"/>
      <c r="BM1880" s="99"/>
      <c r="BN1880" s="99"/>
    </row>
    <row r="1881" spans="1:66" s="51" customFormat="1" ht="17.25" thickBot="1" x14ac:dyDescent="0.3">
      <c r="A1881" s="704" t="s">
        <v>5418</v>
      </c>
      <c r="B1881" s="642"/>
      <c r="C1881" s="710"/>
      <c r="D1881" s="643"/>
      <c r="E1881" s="643"/>
      <c r="F1881" s="644"/>
      <c r="G1881" s="645"/>
      <c r="H1881" s="646"/>
      <c r="I1881" s="647"/>
      <c r="J1881" s="648"/>
      <c r="K1881" s="649"/>
      <c r="L1881" s="650"/>
      <c r="M1881" s="650"/>
      <c r="N1881" s="644"/>
      <c r="O1881" s="644"/>
      <c r="P1881" s="644"/>
      <c r="Q1881" s="644"/>
      <c r="R1881" s="644"/>
      <c r="S1881" s="701" t="s">
        <v>5287</v>
      </c>
      <c r="T1881" s="102">
        <f t="shared" si="1332"/>
        <v>0</v>
      </c>
      <c r="U1881" s="78" t="str">
        <f>IF(NOT(ISNUMBER(G1881)), "", VLOOKUP(A1881,'Discount Lookup'!D:E,2,FALSE)*G1881)</f>
        <v/>
      </c>
      <c r="V1881" s="78" t="str">
        <f>IF(NOT(ISNUMBER(G1881)), "", VLOOKUP(A1881,'Discount Lookup'!G:H,2,FALSE)*G1881)</f>
        <v/>
      </c>
      <c r="W1881" s="102">
        <f t="shared" si="1333"/>
        <v>0</v>
      </c>
      <c r="X1881" s="102">
        <f t="shared" si="1334"/>
        <v>0</v>
      </c>
      <c r="Y1881" s="120" t="b">
        <f t="shared" si="1335"/>
        <v>0</v>
      </c>
      <c r="Z1881" s="117">
        <f t="shared" si="1336"/>
        <v>0</v>
      </c>
      <c r="AA1881" s="118"/>
      <c r="AB1881" s="118" t="str">
        <f t="shared" si="1337"/>
        <v/>
      </c>
      <c r="AC1881" s="712" t="str">
        <f>IF(AE1881="T2G","no charge",IF(AND(OR(PlanterYesMe="No",PlanterYesMe="N",PlanterYesMe="me"),H1881=""),"",IF(H1881="credit","NO install",IF(AND(K1881="",AE1881="me"),"EACH row",IF(AND(K1881="images",AE1881="me"),"EACH row",IF(D1881="","",IF(H1881="credit","",IF(AE1881="free","re-planting",IF(AE1881="me","   not ELP, by",IF(AND(OR(PlanterYesMe="Yes",PlanterYesMe="Y"),G1881&gt;0),(VLOOKUP(A1881,'Discount Lookup'!J:K,2)*G1881*(1-PlanterDiscount)*(1+PlanterDifficultyPercentage)),IF(AE1881="ELP",(VLOOKUP(A1881,'Discount Lookup'!J:K,2)*G1881*(1-PlanterDiscount)*(1+PlanterDifficultyPercentage)),IF(AE1881="free","re-planting",IF(G1881=0,"",IF(PlanterYesMe="",IF(AE1881="me","   not ELP, by",IF(AE1881="",IF(G1881&gt;0,(VLOOKUP(A1881,'Discount Lookup'!J:K,2)*G1881*(1-PlanterDiscount)*(1+PlanterDifficultyPercentage)),""),"")),"   not ELP, by"))))))))))))))</f>
        <v/>
      </c>
      <c r="AD1881" s="712"/>
      <c r="AE1881" s="513" t="str">
        <f t="shared" si="1338"/>
        <v/>
      </c>
      <c r="AF1881" s="713" t="str">
        <f t="shared" si="1339"/>
        <v/>
      </c>
      <c r="AG1881" s="713"/>
      <c r="AH1881" s="713"/>
      <c r="AI1881" s="112">
        <f>IF(H1881="credit",0,IF(AE1881="free",0,IF(AE1881="me",0,IF(G1881&gt;0,(VLOOKUP(A1881,'Discount Lookup'!J:K,2)*G1881),0))))</f>
        <v>0</v>
      </c>
      <c r="AJ1881" s="107" t="str">
        <f t="shared" ca="1" si="1340"/>
        <v/>
      </c>
      <c r="AK1881" s="714" t="str">
        <f t="shared" si="1341"/>
        <v/>
      </c>
      <c r="AL1881" s="714"/>
      <c r="AM1881" s="114" t="str">
        <f t="shared" si="1342"/>
        <v/>
      </c>
      <c r="AN1881" s="115"/>
      <c r="AO1881" s="116"/>
      <c r="AP1881" s="116"/>
      <c r="AQ1881" s="116"/>
      <c r="AR1881" s="116"/>
      <c r="AS1881" s="116"/>
      <c r="AT1881" s="116"/>
      <c r="AU1881" s="116"/>
      <c r="AV1881" s="78"/>
      <c r="AW1881" s="102"/>
      <c r="AX1881" s="78"/>
      <c r="AY1881" s="78"/>
      <c r="AZ1881" s="78"/>
      <c r="BA1881" s="78"/>
      <c r="BB1881" s="78"/>
      <c r="BC1881" s="78"/>
      <c r="BD1881" s="78"/>
      <c r="BE1881" s="465"/>
      <c r="BF1881" s="165" t="str">
        <f t="shared" si="1343"/>
        <v>https://www.google.com/search?tbm=isch&amp;q=moist%20sites%F0%9F%92%A7OK%2C%20Guacamole%20has%20large%2C%20glossy%2C%20leaves%20with%20Avacado%20foliage%20%26%20darker%20Green%20margin.%20Higly%20fragrant%20</v>
      </c>
      <c r="BG1881" s="165" t="str">
        <f t="shared" si="1344"/>
        <v>m</v>
      </c>
      <c r="BH1881" s="65"/>
      <c r="BI1881" s="65"/>
      <c r="BJ1881" s="65"/>
      <c r="BK1881" s="65"/>
      <c r="BL1881" s="99"/>
      <c r="BM1881" s="99"/>
      <c r="BN1881" s="99"/>
    </row>
    <row r="1882" spans="1:66" s="51" customFormat="1" ht="18" x14ac:dyDescent="0.25">
      <c r="A1882" s="623" t="s">
        <v>2737</v>
      </c>
      <c r="B1882" s="624"/>
      <c r="C1882" s="709"/>
      <c r="D1882" s="625" t="s">
        <v>2738</v>
      </c>
      <c r="E1882" s="626"/>
      <c r="F1882" s="626"/>
      <c r="G1882" s="626"/>
      <c r="H1882" s="622" t="s">
        <v>4740</v>
      </c>
      <c r="I1882" s="627" t="s">
        <v>2736</v>
      </c>
      <c r="J1882" s="628"/>
      <c r="K1882" s="628"/>
      <c r="L1882" s="629"/>
      <c r="M1882" s="702" t="s">
        <v>5256</v>
      </c>
      <c r="N1882" s="693" t="str">
        <f>IF(AND(ISTEXT($A1882), ISERROR($A1882+0)), HYPERLINK($BF1882, "Images"), "")</f>
        <v>Images</v>
      </c>
      <c r="O1882" s="695" t="s">
        <v>5286</v>
      </c>
      <c r="P1882" s="630"/>
      <c r="Q1882" s="631"/>
      <c r="R1882" s="632"/>
      <c r="S1882" s="633"/>
      <c r="T1882" s="102">
        <f t="shared" si="1332"/>
        <v>0</v>
      </c>
      <c r="U1882" s="78" t="str">
        <f>IF(NOT(ISNUMBER(G1882)), "", VLOOKUP(A1882,'Discount Lookup'!D:E,2,FALSE)*G1882)</f>
        <v/>
      </c>
      <c r="V1882" s="78" t="str">
        <f>IF(NOT(ISNUMBER(G1882)), "", VLOOKUP(A1882,'Discount Lookup'!G:H,2,FALSE)*G1882)</f>
        <v/>
      </c>
      <c r="W1882" s="102">
        <f t="shared" si="1333"/>
        <v>0</v>
      </c>
      <c r="X1882" s="102" t="str">
        <f t="shared" si="1334"/>
        <v>White-Lavender bloom</v>
      </c>
      <c r="Y1882" s="120" t="b">
        <f t="shared" si="1335"/>
        <v>0</v>
      </c>
      <c r="Z1882" s="117">
        <f t="shared" si="1336"/>
        <v>0</v>
      </c>
      <c r="AA1882" s="118"/>
      <c r="AB1882" s="118" t="str">
        <f t="shared" si="1337"/>
        <v/>
      </c>
      <c r="AC1882" s="712" t="str">
        <f>IF(AE1882="T2G","no charge",IF(AND(OR(PlanterYesMe="No",PlanterYesMe="N",PlanterYesMe="me"),H1882=""),"",IF(H1882="credit","NO install",IF(AND(K1882="",AE1882="me"),"EACH row",IF(AND(K1882="images",AE1882="me"),"EACH row",IF(D1882="","",IF(H1882="credit","",IF(AE1882="free","re-planting",IF(AE1882="me","   not ELP, by",IF(AND(OR(PlanterYesMe="Yes",PlanterYesMe="Y"),G1882&gt;0),(VLOOKUP(A1882,'Discount Lookup'!J:K,2)*G1882*(1-PlanterDiscount)*(1+PlanterDifficultyPercentage)),IF(AE1882="ELP",(VLOOKUP(A1882,'Discount Lookup'!J:K,2)*G1882*(1-PlanterDiscount)*(1+PlanterDifficultyPercentage)),IF(AE1882="free","re-planting",IF(G1882=0,"",IF(PlanterYesMe="",IF(AE1882="me","   not ELP, by",IF(AE1882="",IF(G1882&gt;0,(VLOOKUP(A1882,'Discount Lookup'!J:K,2)*G1882*(1-PlanterDiscount)*(1+PlanterDifficultyPercentage)),""),"")),"   not ELP, by"))))))))))))))</f>
        <v/>
      </c>
      <c r="AD1882" s="712"/>
      <c r="AE1882" s="513" t="str">
        <f t="shared" si="1338"/>
        <v/>
      </c>
      <c r="AF1882" s="713" t="str">
        <f t="shared" si="1339"/>
        <v/>
      </c>
      <c r="AG1882" s="713"/>
      <c r="AH1882" s="713"/>
      <c r="AI1882" s="112">
        <f>IF(H1882="credit",0,IF(AE1882="free",0,IF(AE1882="me",0,IF(G1882&gt;0,(VLOOKUP(A1882,'Discount Lookup'!J:K,2)*G1882),0))))</f>
        <v>0</v>
      </c>
      <c r="AJ1882" s="107" t="str">
        <f t="shared" ca="1" si="1340"/>
        <v/>
      </c>
      <c r="AK1882" s="714" t="str">
        <f t="shared" si="1341"/>
        <v/>
      </c>
      <c r="AL1882" s="714"/>
      <c r="AM1882" s="114" t="str">
        <f t="shared" si="1342"/>
        <v/>
      </c>
      <c r="AN1882" s="115"/>
      <c r="AO1882" s="116"/>
      <c r="AP1882" s="116"/>
      <c r="AQ1882" s="116"/>
      <c r="AR1882" s="116"/>
      <c r="AS1882" s="116"/>
      <c r="AT1882" s="116"/>
      <c r="AU1882" s="116"/>
      <c r="AV1882" s="78"/>
      <c r="AW1882" s="102"/>
      <c r="AX1882" s="78"/>
      <c r="AY1882" s="78"/>
      <c r="AZ1882" s="78"/>
      <c r="BA1882" s="78"/>
      <c r="BB1882" s="78"/>
      <c r="BC1882" s="78"/>
      <c r="BD1882" s="78"/>
      <c r="BE1882" s="465"/>
      <c r="BF1882" s="165" t="str">
        <f t="shared" si="1343"/>
        <v>https://www.google.com/search?tbm=isch&amp;q=Hosta%20%27Guardian%20Angel%27%20Guardian%20Angel%20Hosta</v>
      </c>
      <c r="BG1882" s="165" t="str">
        <f t="shared" si="1344"/>
        <v>H</v>
      </c>
      <c r="BH1882" s="65"/>
      <c r="BI1882" s="65"/>
      <c r="BJ1882" s="65"/>
      <c r="BK1882" s="65"/>
      <c r="BL1882" s="99"/>
      <c r="BM1882" s="99"/>
      <c r="BN1882" s="99"/>
    </row>
    <row r="1883" spans="1:66" s="51" customFormat="1" ht="15.75" x14ac:dyDescent="0.25">
      <c r="A1883" s="634">
        <v>4</v>
      </c>
      <c r="B1883" s="635" t="s">
        <v>338</v>
      </c>
      <c r="C1883" s="636" t="s">
        <v>2467</v>
      </c>
      <c r="D1883" s="637" t="s">
        <v>329</v>
      </c>
      <c r="E1883" s="638">
        <v>11.95</v>
      </c>
      <c r="F1883" s="639" t="s">
        <v>292</v>
      </c>
      <c r="G1883" s="484">
        <v>0</v>
      </c>
      <c r="H1883" s="691" t="str">
        <f>IF(G1883=0,"",IF(F1883="Buy",IF(G1883=1,"plant","plants"),IF(F1883&gt;0.01,"warranty","Error")))</f>
        <v/>
      </c>
      <c r="I1883" s="640">
        <f>IF(H1883="free",0,IF(H1883="credit",((E1883*(F1883))*G1883*-1),IF(F1883="Buy",(E1883*G1883),((E1883*(1-F1883))*G1883))))</f>
        <v>0</v>
      </c>
      <c r="J1883" s="640">
        <f>IF(H1883="warranty",0,(I1883*(_xlfn.SINGLE(SalesTaxPercentage))))</f>
        <v>0</v>
      </c>
      <c r="K1883" s="716">
        <f t="shared" ref="K1883" si="1347">I1883+J1883</f>
        <v>0</v>
      </c>
      <c r="L1883" s="716"/>
      <c r="M1883" s="689" t="str">
        <f ca="1">IF(AND(G1883&gt;0,E1883=0),"WARNING - no PRICE inserted",IF(H1883="free","FREE ~ no charge this plant",IF(H1883="credit",CONCATENATE("-$",ROUND(K1883*(1-_xlfn.SINGLE(T2GDiscount))*-1,2)," CREDIT after discount"),IF(_xlfn.SINGLE(T2GDiscount)=0,"",IF(G1883=0,"",IF(F1883="Buy",CONCATENATE("$",ROUND(K1883*(1-_xlfn.SINGLE(T2GDiscount)),2)," with ",(_xlfn.SINGLE(T2GDiscount)*100),"% discount"),CONCATENATE("$",ROUND(K1883*(1-_xlfn.SINGLE(T2GDiscount)),2)," with ",((_xlfn.SINGLE(T2GDiscount)*100+F1883*100)-(_xlfn.SINGLE(T2GDiscount)*100*F1883)),IF(F1883&gt;0,"% discounts",IF(_xlfn.SINGLE(NoWarrantyDiscount)&gt;0,"% discounts","% discount")))))))))</f>
        <v/>
      </c>
      <c r="N1883" s="690"/>
      <c r="O1883" s="486"/>
      <c r="P1883" s="486"/>
      <c r="Q1883" s="486"/>
      <c r="R1883" s="486"/>
      <c r="S1883" s="486"/>
      <c r="T1883" s="102">
        <f t="shared" si="1332"/>
        <v>0</v>
      </c>
      <c r="U1883" s="78">
        <f>IF(NOT(ISNUMBER(G1883)), "", VLOOKUP(A1883,'Discount Lookup'!D:E,2,FALSE)*G1883)</f>
        <v>0</v>
      </c>
      <c r="V1883" s="78">
        <f>IF(NOT(ISNUMBER(G1883)), "", VLOOKUP(A1883,'Discount Lookup'!G:H,2,FALSE)*G1883)</f>
        <v>0</v>
      </c>
      <c r="W1883" s="102">
        <f t="shared" si="1333"/>
        <v>0</v>
      </c>
      <c r="X1883" s="102">
        <f t="shared" si="1334"/>
        <v>0</v>
      </c>
      <c r="Y1883" s="120" t="b">
        <f t="shared" si="1335"/>
        <v>0</v>
      </c>
      <c r="Z1883" s="117">
        <f t="shared" si="1336"/>
        <v>0</v>
      </c>
      <c r="AA1883" s="118"/>
      <c r="AB1883" s="118" t="str">
        <f t="shared" si="1337"/>
        <v/>
      </c>
      <c r="AC1883" s="712" t="str">
        <f>IF(AE1883="T2G","no charge",IF(AND(OR(PlanterYesMe="No",PlanterYesMe="N",PlanterYesMe="me"),H1883=""),"",IF(H1883="credit","NO install",IF(AND(K1883="",AE1883="me"),"EACH row",IF(AND(K1883="images",AE1883="me"),"EACH row",IF(D1883="","",IF(H1883="credit","",IF(AE1883="free","re-planting",IF(AE1883="me","   not ELP, by",IF(AND(OR(PlanterYesMe="Yes",PlanterYesMe="Y"),G1883&gt;0),(VLOOKUP(A1883,'Discount Lookup'!J:K,2)*G1883*(1-PlanterDiscount)*(1+PlanterDifficultyPercentage)),IF(AE1883="ELP",(VLOOKUP(A1883,'Discount Lookup'!J:K,2)*G1883*(1-PlanterDiscount)*(1+PlanterDifficultyPercentage)),IF(AE1883="free","re-planting",IF(G1883=0,"",IF(PlanterYesMe="",IF(AE1883="me","   not ELP, by",IF(AE1883="",IF(G1883&gt;0,(VLOOKUP(A1883,'Discount Lookup'!J:K,2)*G1883*(1-PlanterDiscount)*(1+PlanterDifficultyPercentage)),""),"")),"   not ELP, by"))))))))))))))</f>
        <v/>
      </c>
      <c r="AD1883" s="712"/>
      <c r="AE1883" s="513" t="str">
        <f t="shared" si="1338"/>
        <v/>
      </c>
      <c r="AF1883" s="713" t="str">
        <f t="shared" si="1339"/>
        <v/>
      </c>
      <c r="AG1883" s="713"/>
      <c r="AH1883" s="713"/>
      <c r="AI1883" s="112">
        <f>IF(H1883="credit",0,IF(AE1883="free",0,IF(AE1883="me",0,IF(G1883&gt;0,(VLOOKUP(A1883,'Discount Lookup'!J:K,2)*G1883),0))))</f>
        <v>0</v>
      </c>
      <c r="AJ1883" s="107" t="str">
        <f t="shared" ca="1" si="1340"/>
        <v/>
      </c>
      <c r="AK1883" s="714" t="str">
        <f t="shared" si="1341"/>
        <v/>
      </c>
      <c r="AL1883" s="714"/>
      <c r="AM1883" s="114" t="str">
        <f t="shared" si="1342"/>
        <v/>
      </c>
      <c r="AN1883" s="115"/>
      <c r="AO1883" s="116"/>
      <c r="AP1883" s="116"/>
      <c r="AQ1883" s="116"/>
      <c r="AR1883" s="116"/>
      <c r="AS1883" s="116"/>
      <c r="AT1883" s="116"/>
      <c r="AU1883" s="116"/>
      <c r="AV1883" s="78"/>
      <c r="AW1883" s="102"/>
      <c r="AX1883" s="78"/>
      <c r="AY1883" s="78"/>
      <c r="AZ1883" s="78"/>
      <c r="BA1883" s="78"/>
      <c r="BB1883" s="78"/>
      <c r="BC1883" s="78"/>
      <c r="BD1883" s="78"/>
      <c r="BE1883" s="465"/>
      <c r="BF1883" s="165" t="str">
        <f t="shared" si="1343"/>
        <v>https://www.google.com/search?tbm=isch&amp;q=4%20G2</v>
      </c>
      <c r="BG1883" s="165" t="str">
        <f t="shared" si="1344"/>
        <v>H</v>
      </c>
      <c r="BH1883" s="65"/>
      <c r="BI1883" s="65"/>
      <c r="BJ1883" s="65"/>
      <c r="BK1883" s="65"/>
      <c r="BL1883" s="99"/>
      <c r="BM1883" s="99"/>
      <c r="BN1883" s="99"/>
    </row>
    <row r="1884" spans="1:66" s="51" customFormat="1" ht="17.25" thickBot="1" x14ac:dyDescent="0.3">
      <c r="A1884" s="704" t="s">
        <v>5419</v>
      </c>
      <c r="B1884" s="642"/>
      <c r="C1884" s="710"/>
      <c r="D1884" s="643"/>
      <c r="E1884" s="643"/>
      <c r="F1884" s="644"/>
      <c r="G1884" s="645"/>
      <c r="H1884" s="646"/>
      <c r="I1884" s="647"/>
      <c r="J1884" s="648"/>
      <c r="K1884" s="649"/>
      <c r="L1884" s="650"/>
      <c r="M1884" s="650"/>
      <c r="N1884" s="644"/>
      <c r="O1884" s="644"/>
      <c r="P1884" s="644"/>
      <c r="Q1884" s="644"/>
      <c r="R1884" s="644"/>
      <c r="S1884" s="701" t="s">
        <v>5287</v>
      </c>
      <c r="T1884" s="102">
        <f t="shared" si="1332"/>
        <v>0</v>
      </c>
      <c r="U1884" s="78" t="str">
        <f>IF(NOT(ISNUMBER(G1884)), "", VLOOKUP(A1884,'Discount Lookup'!D:E,2,FALSE)*G1884)</f>
        <v/>
      </c>
      <c r="V1884" s="78" t="str">
        <f>IF(NOT(ISNUMBER(G1884)), "", VLOOKUP(A1884,'Discount Lookup'!G:H,2,FALSE)*G1884)</f>
        <v/>
      </c>
      <c r="W1884" s="102">
        <f t="shared" si="1333"/>
        <v>0</v>
      </c>
      <c r="X1884" s="102">
        <f t="shared" si="1334"/>
        <v>0</v>
      </c>
      <c r="Y1884" s="120" t="b">
        <f t="shared" si="1335"/>
        <v>0</v>
      </c>
      <c r="Z1884" s="117">
        <f t="shared" si="1336"/>
        <v>0</v>
      </c>
      <c r="AA1884" s="118"/>
      <c r="AB1884" s="118" t="str">
        <f t="shared" si="1337"/>
        <v/>
      </c>
      <c r="AC1884" s="712" t="str">
        <f>IF(AE1884="T2G","no charge",IF(AND(OR(PlanterYesMe="No",PlanterYesMe="N",PlanterYesMe="me"),H1884=""),"",IF(H1884="credit","NO install",IF(AND(K1884="",AE1884="me"),"EACH row",IF(AND(K1884="images",AE1884="me"),"EACH row",IF(D1884="","",IF(H1884="credit","",IF(AE1884="free","re-planting",IF(AE1884="me","   not ELP, by",IF(AND(OR(PlanterYesMe="Yes",PlanterYesMe="Y"),G1884&gt;0),(VLOOKUP(A1884,'Discount Lookup'!J:K,2)*G1884*(1-PlanterDiscount)*(1+PlanterDifficultyPercentage)),IF(AE1884="ELP",(VLOOKUP(A1884,'Discount Lookup'!J:K,2)*G1884*(1-PlanterDiscount)*(1+PlanterDifficultyPercentage)),IF(AE1884="free","re-planting",IF(G1884=0,"",IF(PlanterYesMe="",IF(AE1884="me","   not ELP, by",IF(AE1884="",IF(G1884&gt;0,(VLOOKUP(A1884,'Discount Lookup'!J:K,2)*G1884*(1-PlanterDiscount)*(1+PlanterDifficultyPercentage)),""),"")),"   not ELP, by"))))))))))))))</f>
        <v/>
      </c>
      <c r="AD1884" s="712"/>
      <c r="AE1884" s="513" t="str">
        <f t="shared" si="1338"/>
        <v/>
      </c>
      <c r="AF1884" s="713" t="str">
        <f t="shared" si="1339"/>
        <v/>
      </c>
      <c r="AG1884" s="713"/>
      <c r="AH1884" s="713"/>
      <c r="AI1884" s="112">
        <f>IF(H1884="credit",0,IF(AE1884="free",0,IF(AE1884="me",0,IF(G1884&gt;0,(VLOOKUP(A1884,'Discount Lookup'!J:K,2)*G1884),0))))</f>
        <v>0</v>
      </c>
      <c r="AJ1884" s="107" t="str">
        <f t="shared" ca="1" si="1340"/>
        <v/>
      </c>
      <c r="AK1884" s="714" t="str">
        <f t="shared" si="1341"/>
        <v/>
      </c>
      <c r="AL1884" s="714"/>
      <c r="AM1884" s="114" t="str">
        <f t="shared" si="1342"/>
        <v/>
      </c>
      <c r="AN1884" s="115"/>
      <c r="AO1884" s="116"/>
      <c r="AP1884" s="116"/>
      <c r="AQ1884" s="116"/>
      <c r="AR1884" s="116"/>
      <c r="AS1884" s="116"/>
      <c r="AT1884" s="116"/>
      <c r="AU1884" s="116"/>
      <c r="AV1884" s="78"/>
      <c r="AW1884" s="102"/>
      <c r="AX1884" s="78"/>
      <c r="AY1884" s="78"/>
      <c r="AZ1884" s="78"/>
      <c r="BA1884" s="78"/>
      <c r="BB1884" s="78"/>
      <c r="BC1884" s="78"/>
      <c r="BD1884" s="78"/>
      <c r="BE1884" s="465"/>
      <c r="BF1884" s="165" t="str">
        <f t="shared" si="1343"/>
        <v>https://www.google.com/search?tbm=isch&amp;q=moist%20sites%F0%9F%92%A7OK%2C%20Guardian%20Angel%20leaves%20shift%20from%20misty%20Blue-Green%20to%20Creamy-centered%20variegation%20through%20the%20season%20</v>
      </c>
      <c r="BG1884" s="165" t="str">
        <f t="shared" si="1344"/>
        <v>m</v>
      </c>
      <c r="BH1884" s="65"/>
      <c r="BI1884" s="65"/>
      <c r="BJ1884" s="65"/>
      <c r="BK1884" s="65"/>
      <c r="BL1884" s="99"/>
      <c r="BM1884" s="99"/>
      <c r="BN1884" s="99"/>
    </row>
    <row r="1885" spans="1:66" s="51" customFormat="1" ht="18" x14ac:dyDescent="0.25">
      <c r="A1885" s="623" t="s">
        <v>2739</v>
      </c>
      <c r="B1885" s="624"/>
      <c r="C1885" s="709"/>
      <c r="D1885" s="625" t="s">
        <v>2740</v>
      </c>
      <c r="E1885" s="626"/>
      <c r="F1885" s="626"/>
      <c r="G1885" s="626"/>
      <c r="H1885" s="622" t="s">
        <v>4741</v>
      </c>
      <c r="I1885" s="627" t="s">
        <v>2746</v>
      </c>
      <c r="J1885" s="628"/>
      <c r="K1885" s="628"/>
      <c r="L1885" s="629"/>
      <c r="M1885" s="702" t="s">
        <v>5256</v>
      </c>
      <c r="N1885" s="693" t="str">
        <f>IF(AND(ISTEXT($A1885), ISERROR($A1885+0)), HYPERLINK($BF1885, "Images"), "")</f>
        <v>Images</v>
      </c>
      <c r="O1885" s="695" t="s">
        <v>5264</v>
      </c>
      <c r="P1885" s="630"/>
      <c r="Q1885" s="631"/>
      <c r="R1885" s="632"/>
      <c r="S1885" s="633"/>
      <c r="T1885" s="102">
        <f t="shared" si="1332"/>
        <v>0</v>
      </c>
      <c r="U1885" s="78" t="str">
        <f>IF(NOT(ISNUMBER(G1885)), "", VLOOKUP(A1885,'Discount Lookup'!D:E,2,FALSE)*G1885)</f>
        <v/>
      </c>
      <c r="V1885" s="78" t="str">
        <f>IF(NOT(ISNUMBER(G1885)), "", VLOOKUP(A1885,'Discount Lookup'!G:H,2,FALSE)*G1885)</f>
        <v/>
      </c>
      <c r="W1885" s="102">
        <f t="shared" si="1333"/>
        <v>0</v>
      </c>
      <c r="X1885" s="102" t="str">
        <f t="shared" si="1334"/>
        <v>Pale Lavender bloom</v>
      </c>
      <c r="Y1885" s="120" t="b">
        <f t="shared" si="1335"/>
        <v>0</v>
      </c>
      <c r="Z1885" s="117">
        <f t="shared" si="1336"/>
        <v>0</v>
      </c>
      <c r="AA1885" s="118"/>
      <c r="AB1885" s="118" t="str">
        <f t="shared" si="1337"/>
        <v/>
      </c>
      <c r="AC1885" s="712" t="str">
        <f>IF(AE1885="T2G","no charge",IF(AND(OR(PlanterYesMe="No",PlanterYesMe="N",PlanterYesMe="me"),H1885=""),"",IF(H1885="credit","NO install",IF(AND(K1885="",AE1885="me"),"EACH row",IF(AND(K1885="images",AE1885="me"),"EACH row",IF(D1885="","",IF(H1885="credit","",IF(AE1885="free","re-planting",IF(AE1885="me","   not ELP, by",IF(AND(OR(PlanterYesMe="Yes",PlanterYesMe="Y"),G1885&gt;0),(VLOOKUP(A1885,'Discount Lookup'!J:K,2)*G1885*(1-PlanterDiscount)*(1+PlanterDifficultyPercentage)),IF(AE1885="ELP",(VLOOKUP(A1885,'Discount Lookup'!J:K,2)*G1885*(1-PlanterDiscount)*(1+PlanterDifficultyPercentage)),IF(AE1885="free","re-planting",IF(G1885=0,"",IF(PlanterYesMe="",IF(AE1885="me","   not ELP, by",IF(AE1885="",IF(G1885&gt;0,(VLOOKUP(A1885,'Discount Lookup'!J:K,2)*G1885*(1-PlanterDiscount)*(1+PlanterDifficultyPercentage)),""),"")),"   not ELP, by"))))))))))))))</f>
        <v/>
      </c>
      <c r="AD1885" s="712"/>
      <c r="AE1885" s="513" t="str">
        <f t="shared" si="1338"/>
        <v/>
      </c>
      <c r="AF1885" s="713" t="str">
        <f t="shared" si="1339"/>
        <v/>
      </c>
      <c r="AG1885" s="713"/>
      <c r="AH1885" s="713"/>
      <c r="AI1885" s="112">
        <f>IF(H1885="credit",0,IF(AE1885="free",0,IF(AE1885="me",0,IF(G1885&gt;0,(VLOOKUP(A1885,'Discount Lookup'!J:K,2)*G1885),0))))</f>
        <v>0</v>
      </c>
      <c r="AJ1885" s="107" t="str">
        <f t="shared" ca="1" si="1340"/>
        <v/>
      </c>
      <c r="AK1885" s="714" t="str">
        <f t="shared" si="1341"/>
        <v/>
      </c>
      <c r="AL1885" s="714"/>
      <c r="AM1885" s="114" t="str">
        <f t="shared" si="1342"/>
        <v/>
      </c>
      <c r="AN1885" s="115"/>
      <c r="AO1885" s="116"/>
      <c r="AP1885" s="116"/>
      <c r="AQ1885" s="116"/>
      <c r="AR1885" s="116"/>
      <c r="AS1885" s="116"/>
      <c r="AT1885" s="116"/>
      <c r="AU1885" s="116"/>
      <c r="AV1885" s="78"/>
      <c r="AW1885" s="102"/>
      <c r="AX1885" s="78"/>
      <c r="AY1885" s="78"/>
      <c r="AZ1885" s="78"/>
      <c r="BA1885" s="78"/>
      <c r="BB1885" s="78"/>
      <c r="BC1885" s="78"/>
      <c r="BD1885" s="78"/>
      <c r="BE1885" s="465"/>
      <c r="BF1885" s="165" t="str">
        <f t="shared" si="1343"/>
        <v>https://www.google.com/search?tbm=isch&amp;q=Hosta%20%27June%27%20June%20Hosta</v>
      </c>
      <c r="BG1885" s="165" t="str">
        <f t="shared" si="1344"/>
        <v>H</v>
      </c>
      <c r="BH1885" s="65"/>
      <c r="BI1885" s="65"/>
      <c r="BJ1885" s="65"/>
      <c r="BK1885" s="65"/>
      <c r="BL1885" s="99"/>
      <c r="BM1885" s="99"/>
      <c r="BN1885" s="99"/>
    </row>
    <row r="1886" spans="1:66" s="51" customFormat="1" ht="15.75" x14ac:dyDescent="0.25">
      <c r="A1886" s="634">
        <v>1</v>
      </c>
      <c r="B1886" s="635" t="s">
        <v>291</v>
      </c>
      <c r="C1886" s="636" t="s">
        <v>1125</v>
      </c>
      <c r="D1886" s="637" t="s">
        <v>309</v>
      </c>
      <c r="E1886" s="638">
        <v>9.9499999999999993</v>
      </c>
      <c r="F1886" s="639" t="s">
        <v>292</v>
      </c>
      <c r="G1886" s="484">
        <v>0</v>
      </c>
      <c r="H1886" s="691" t="str">
        <f>IF(G1886=0,"",IF(F1886="Buy",IF(G1886=1,"plant","plants"),IF(F1886&gt;0.01,"warranty","Error")))</f>
        <v/>
      </c>
      <c r="I1886" s="640">
        <f>IF(H1886="free",0,IF(H1886="credit",((E1886*(F1886))*G1886*-1),IF(F1886="Buy",(E1886*G1886),((E1886*(1-F1886))*G1886))))</f>
        <v>0</v>
      </c>
      <c r="J1886" s="640">
        <f>IF(H1886="warranty",0,(I1886*(_xlfn.SINGLE(SalesTaxPercentage))))</f>
        <v>0</v>
      </c>
      <c r="K1886" s="716">
        <f t="shared" ref="K1886" si="1348">I1886+J1886</f>
        <v>0</v>
      </c>
      <c r="L1886" s="716"/>
      <c r="M1886" s="689" t="str">
        <f ca="1">IF(AND(G1886&gt;0,E1886=0),"WARNING - no PRICE inserted",IF(H1886="free","FREE ~ no charge this plant",IF(H1886="credit",CONCATENATE("-$",ROUND(K1886*(1-_xlfn.SINGLE(T2GDiscount))*-1,2)," CREDIT after discount"),IF(_xlfn.SINGLE(T2GDiscount)=0,"",IF(G1886=0,"",IF(F1886="Buy",CONCATENATE("$",ROUND(K1886*(1-_xlfn.SINGLE(T2GDiscount)),2)," with ",(_xlfn.SINGLE(T2GDiscount)*100),"% discount"),CONCATENATE("$",ROUND(K1886*(1-_xlfn.SINGLE(T2GDiscount)),2)," with ",((_xlfn.SINGLE(T2GDiscount)*100+F1886*100)-(_xlfn.SINGLE(T2GDiscount)*100*F1886)),IF(F1886&gt;0,"% discounts",IF(_xlfn.SINGLE(NoWarrantyDiscount)&gt;0,"% discounts","% discount")))))))))</f>
        <v/>
      </c>
      <c r="N1886" s="690"/>
      <c r="O1886" s="486"/>
      <c r="P1886" s="486"/>
      <c r="Q1886" s="486"/>
      <c r="R1886" s="486"/>
      <c r="S1886" s="486"/>
      <c r="T1886" s="102">
        <f t="shared" si="1332"/>
        <v>0</v>
      </c>
      <c r="U1886" s="78">
        <f>IF(NOT(ISNUMBER(G1886)), "", VLOOKUP(A1886,'Discount Lookup'!D:E,2,FALSE)*G1886)</f>
        <v>0</v>
      </c>
      <c r="V1886" s="78">
        <f>IF(NOT(ISNUMBER(G1886)), "", VLOOKUP(A1886,'Discount Lookup'!G:H,2,FALSE)*G1886)</f>
        <v>0</v>
      </c>
      <c r="W1886" s="102">
        <f t="shared" si="1333"/>
        <v>0</v>
      </c>
      <c r="X1886" s="102">
        <f t="shared" si="1334"/>
        <v>0</v>
      </c>
      <c r="Y1886" s="120" t="b">
        <f t="shared" si="1335"/>
        <v>0</v>
      </c>
      <c r="Z1886" s="117">
        <f t="shared" si="1336"/>
        <v>0</v>
      </c>
      <c r="AA1886" s="118"/>
      <c r="AB1886" s="118" t="str">
        <f t="shared" si="1337"/>
        <v/>
      </c>
      <c r="AC1886" s="712" t="str">
        <f>IF(AE1886="T2G","no charge",IF(AND(OR(PlanterYesMe="No",PlanterYesMe="N",PlanterYesMe="me"),H1886=""),"",IF(H1886="credit","NO install",IF(AND(K1886="",AE1886="me"),"EACH row",IF(AND(K1886="images",AE1886="me"),"EACH row",IF(D1886="","",IF(H1886="credit","",IF(AE1886="free","re-planting",IF(AE1886="me","   not ELP, by",IF(AND(OR(PlanterYesMe="Yes",PlanterYesMe="Y"),G1886&gt;0),(VLOOKUP(A1886,'Discount Lookup'!J:K,2)*G1886*(1-PlanterDiscount)*(1+PlanterDifficultyPercentage)),IF(AE1886="ELP",(VLOOKUP(A1886,'Discount Lookup'!J:K,2)*G1886*(1-PlanterDiscount)*(1+PlanterDifficultyPercentage)),IF(AE1886="free","re-planting",IF(G1886=0,"",IF(PlanterYesMe="",IF(AE1886="me","   not ELP, by",IF(AE1886="",IF(G1886&gt;0,(VLOOKUP(A1886,'Discount Lookup'!J:K,2)*G1886*(1-PlanterDiscount)*(1+PlanterDifficultyPercentage)),""),"")),"   not ELP, by"))))))))))))))</f>
        <v/>
      </c>
      <c r="AD1886" s="712"/>
      <c r="AE1886" s="513" t="str">
        <f t="shared" si="1338"/>
        <v/>
      </c>
      <c r="AF1886" s="713" t="str">
        <f t="shared" si="1339"/>
        <v/>
      </c>
      <c r="AG1886" s="713"/>
      <c r="AH1886" s="713"/>
      <c r="AI1886" s="112">
        <f>IF(H1886="credit",0,IF(AE1886="free",0,IF(AE1886="me",0,IF(G1886&gt;0,(VLOOKUP(A1886,'Discount Lookup'!J:K,2)*G1886),0))))</f>
        <v>0</v>
      </c>
      <c r="AJ1886" s="107" t="str">
        <f t="shared" ca="1" si="1340"/>
        <v/>
      </c>
      <c r="AK1886" s="714" t="str">
        <f t="shared" si="1341"/>
        <v/>
      </c>
      <c r="AL1886" s="714"/>
      <c r="AM1886" s="114" t="str">
        <f t="shared" si="1342"/>
        <v/>
      </c>
      <c r="AN1886" s="115"/>
      <c r="AO1886" s="116"/>
      <c r="AP1886" s="116"/>
      <c r="AQ1886" s="116"/>
      <c r="AR1886" s="116"/>
      <c r="AS1886" s="116"/>
      <c r="AT1886" s="116"/>
      <c r="AU1886" s="116"/>
      <c r="AV1886" s="78"/>
      <c r="AW1886" s="102"/>
      <c r="AX1886" s="78"/>
      <c r="AY1886" s="78"/>
      <c r="AZ1886" s="78"/>
      <c r="BA1886" s="78"/>
      <c r="BB1886" s="78"/>
      <c r="BC1886" s="78"/>
      <c r="BD1886" s="78"/>
      <c r="BE1886" s="465"/>
      <c r="BF1886" s="165" t="str">
        <f t="shared" si="1343"/>
        <v>https://www.google.com/search?tbm=isch&amp;q=1%20G3</v>
      </c>
      <c r="BG1886" s="165" t="str">
        <f t="shared" si="1344"/>
        <v>H</v>
      </c>
      <c r="BH1886" s="65"/>
      <c r="BI1886" s="65"/>
      <c r="BJ1886" s="65"/>
      <c r="BK1886" s="65"/>
      <c r="BL1886" s="99"/>
      <c r="BM1886" s="99"/>
      <c r="BN1886" s="99"/>
    </row>
    <row r="1887" spans="1:66" s="51" customFormat="1" ht="17.25" thickBot="1" x14ac:dyDescent="0.3">
      <c r="A1887" s="704" t="s">
        <v>5420</v>
      </c>
      <c r="B1887" s="642"/>
      <c r="C1887" s="710"/>
      <c r="D1887" s="643"/>
      <c r="E1887" s="643"/>
      <c r="F1887" s="644"/>
      <c r="G1887" s="645"/>
      <c r="H1887" s="646"/>
      <c r="I1887" s="647"/>
      <c r="J1887" s="648"/>
      <c r="K1887" s="649"/>
      <c r="L1887" s="650"/>
      <c r="M1887" s="650"/>
      <c r="N1887" s="644"/>
      <c r="O1887" s="644"/>
      <c r="P1887" s="644"/>
      <c r="Q1887" s="644"/>
      <c r="R1887" s="644"/>
      <c r="S1887" s="701" t="s">
        <v>5287</v>
      </c>
      <c r="T1887" s="102">
        <f t="shared" si="1332"/>
        <v>0</v>
      </c>
      <c r="U1887" s="78" t="str">
        <f>IF(NOT(ISNUMBER(G1887)), "", VLOOKUP(A1887,'Discount Lookup'!D:E,2,FALSE)*G1887)</f>
        <v/>
      </c>
      <c r="V1887" s="78" t="str">
        <f>IF(NOT(ISNUMBER(G1887)), "", VLOOKUP(A1887,'Discount Lookup'!G:H,2,FALSE)*G1887)</f>
        <v/>
      </c>
      <c r="W1887" s="102">
        <f t="shared" si="1333"/>
        <v>0</v>
      </c>
      <c r="X1887" s="102">
        <f t="shared" si="1334"/>
        <v>0</v>
      </c>
      <c r="Y1887" s="120" t="b">
        <f t="shared" si="1335"/>
        <v>0</v>
      </c>
      <c r="Z1887" s="117">
        <f t="shared" si="1336"/>
        <v>0</v>
      </c>
      <c r="AA1887" s="118"/>
      <c r="AB1887" s="118" t="str">
        <f t="shared" si="1337"/>
        <v/>
      </c>
      <c r="AC1887" s="712" t="str">
        <f>IF(AE1887="T2G","no charge",IF(AND(OR(PlanterYesMe="No",PlanterYesMe="N",PlanterYesMe="me"),H1887=""),"",IF(H1887="credit","NO install",IF(AND(K1887="",AE1887="me"),"EACH row",IF(AND(K1887="images",AE1887="me"),"EACH row",IF(D1887="","",IF(H1887="credit","",IF(AE1887="free","re-planting",IF(AE1887="me","   not ELP, by",IF(AND(OR(PlanterYesMe="Yes",PlanterYesMe="Y"),G1887&gt;0),(VLOOKUP(A1887,'Discount Lookup'!J:K,2)*G1887*(1-PlanterDiscount)*(1+PlanterDifficultyPercentage)),IF(AE1887="ELP",(VLOOKUP(A1887,'Discount Lookup'!J:K,2)*G1887*(1-PlanterDiscount)*(1+PlanterDifficultyPercentage)),IF(AE1887="free","re-planting",IF(G1887=0,"",IF(PlanterYesMe="",IF(AE1887="me","   not ELP, by",IF(AE1887="",IF(G1887&gt;0,(VLOOKUP(A1887,'Discount Lookup'!J:K,2)*G1887*(1-PlanterDiscount)*(1+PlanterDifficultyPercentage)),""),"")),"   not ELP, by"))))))))))))))</f>
        <v/>
      </c>
      <c r="AD1887" s="712"/>
      <c r="AE1887" s="513" t="str">
        <f t="shared" si="1338"/>
        <v/>
      </c>
      <c r="AF1887" s="713" t="str">
        <f t="shared" si="1339"/>
        <v/>
      </c>
      <c r="AG1887" s="713"/>
      <c r="AH1887" s="713"/>
      <c r="AI1887" s="112">
        <f>IF(H1887="credit",0,IF(AE1887="free",0,IF(AE1887="me",0,IF(G1887&gt;0,(VLOOKUP(A1887,'Discount Lookup'!J:K,2)*G1887),0))))</f>
        <v>0</v>
      </c>
      <c r="AJ1887" s="107" t="str">
        <f t="shared" ca="1" si="1340"/>
        <v/>
      </c>
      <c r="AK1887" s="714" t="str">
        <f t="shared" si="1341"/>
        <v/>
      </c>
      <c r="AL1887" s="714"/>
      <c r="AM1887" s="114" t="str">
        <f t="shared" si="1342"/>
        <v/>
      </c>
      <c r="AN1887" s="115"/>
      <c r="AO1887" s="116"/>
      <c r="AP1887" s="116"/>
      <c r="AQ1887" s="116"/>
      <c r="AR1887" s="116"/>
      <c r="AS1887" s="116"/>
      <c r="AT1887" s="116"/>
      <c r="AU1887" s="116"/>
      <c r="AV1887" s="78"/>
      <c r="AW1887" s="102"/>
      <c r="AX1887" s="78"/>
      <c r="AY1887" s="78"/>
      <c r="AZ1887" s="78"/>
      <c r="BA1887" s="78"/>
      <c r="BB1887" s="78"/>
      <c r="BC1887" s="78"/>
      <c r="BD1887" s="78"/>
      <c r="BE1887" s="465"/>
      <c r="BF1887" s="165" t="str">
        <f t="shared" si="1343"/>
        <v>https://www.google.com/search?tbm=isch&amp;q=moist%20sites%F0%9F%92%A7OK%2C%20June%20foliage%20emerges%20with%20a%20Chartreuse%20center%20bordered%20by%20a%20striking%20Blue-Green%20margin%20</v>
      </c>
      <c r="BG1887" s="165" t="str">
        <f t="shared" si="1344"/>
        <v>m</v>
      </c>
      <c r="BH1887" s="65"/>
      <c r="BI1887" s="65"/>
      <c r="BJ1887" s="65"/>
      <c r="BK1887" s="65"/>
      <c r="BL1887" s="99"/>
      <c r="BM1887" s="99"/>
      <c r="BN1887" s="99"/>
    </row>
    <row r="1888" spans="1:66" s="51" customFormat="1" ht="18" x14ac:dyDescent="0.25">
      <c r="A1888" s="623" t="s">
        <v>2741</v>
      </c>
      <c r="B1888" s="624"/>
      <c r="C1888" s="709"/>
      <c r="D1888" s="625" t="s">
        <v>2742</v>
      </c>
      <c r="E1888" s="626"/>
      <c r="F1888" s="626"/>
      <c r="G1888" s="626"/>
      <c r="H1888" s="622" t="s">
        <v>4737</v>
      </c>
      <c r="I1888" s="627" t="s">
        <v>2746</v>
      </c>
      <c r="J1888" s="628"/>
      <c r="K1888" s="628"/>
      <c r="L1888" s="629"/>
      <c r="M1888" s="702" t="s">
        <v>5256</v>
      </c>
      <c r="N1888" s="693" t="str">
        <f>IF(AND(ISTEXT($A1888), ISERROR($A1888+0)), HYPERLINK($BF1888, "Images"), "")</f>
        <v>Images</v>
      </c>
      <c r="O1888" s="695" t="s">
        <v>5286</v>
      </c>
      <c r="P1888" s="630"/>
      <c r="Q1888" s="631"/>
      <c r="R1888" s="632"/>
      <c r="S1888" s="633"/>
      <c r="T1888" s="102">
        <f t="shared" si="1332"/>
        <v>0</v>
      </c>
      <c r="U1888" s="78" t="str">
        <f>IF(NOT(ISNUMBER(G1888)), "", VLOOKUP(A1888,'Discount Lookup'!D:E,2,FALSE)*G1888)</f>
        <v/>
      </c>
      <c r="V1888" s="78" t="str">
        <f>IF(NOT(ISNUMBER(G1888)), "", VLOOKUP(A1888,'Discount Lookup'!G:H,2,FALSE)*G1888)</f>
        <v/>
      </c>
      <c r="W1888" s="102">
        <f t="shared" si="1333"/>
        <v>0</v>
      </c>
      <c r="X1888" s="102" t="str">
        <f t="shared" si="1334"/>
        <v>Pale Lavender bloom</v>
      </c>
      <c r="Y1888" s="120" t="b">
        <f t="shared" si="1335"/>
        <v>0</v>
      </c>
      <c r="Z1888" s="117">
        <f t="shared" si="1336"/>
        <v>0</v>
      </c>
      <c r="AA1888" s="118"/>
      <c r="AB1888" s="118" t="str">
        <f t="shared" si="1337"/>
        <v/>
      </c>
      <c r="AC1888" s="712" t="str">
        <f>IF(AE1888="T2G","no charge",IF(AND(OR(PlanterYesMe="No",PlanterYesMe="N",PlanterYesMe="me"),H1888=""),"",IF(H1888="credit","NO install",IF(AND(K1888="",AE1888="me"),"EACH row",IF(AND(K1888="images",AE1888="me"),"EACH row",IF(D1888="","",IF(H1888="credit","",IF(AE1888="free","re-planting",IF(AE1888="me","   not ELP, by",IF(AND(OR(PlanterYesMe="Yes",PlanterYesMe="Y"),G1888&gt;0),(VLOOKUP(A1888,'Discount Lookup'!J:K,2)*G1888*(1-PlanterDiscount)*(1+PlanterDifficultyPercentage)),IF(AE1888="ELP",(VLOOKUP(A1888,'Discount Lookup'!J:K,2)*G1888*(1-PlanterDiscount)*(1+PlanterDifficultyPercentage)),IF(AE1888="free","re-planting",IF(G1888=0,"",IF(PlanterYesMe="",IF(AE1888="me","   not ELP, by",IF(AE1888="",IF(G1888&gt;0,(VLOOKUP(A1888,'Discount Lookup'!J:K,2)*G1888*(1-PlanterDiscount)*(1+PlanterDifficultyPercentage)),""),"")),"   not ELP, by"))))))))))))))</f>
        <v/>
      </c>
      <c r="AD1888" s="712"/>
      <c r="AE1888" s="513" t="str">
        <f t="shared" si="1338"/>
        <v/>
      </c>
      <c r="AF1888" s="713" t="str">
        <f t="shared" si="1339"/>
        <v/>
      </c>
      <c r="AG1888" s="713"/>
      <c r="AH1888" s="713"/>
      <c r="AI1888" s="112">
        <f>IF(H1888="credit",0,IF(AE1888="free",0,IF(AE1888="me",0,IF(G1888&gt;0,(VLOOKUP(A1888,'Discount Lookup'!J:K,2)*G1888),0))))</f>
        <v>0</v>
      </c>
      <c r="AJ1888" s="107" t="str">
        <f t="shared" ca="1" si="1340"/>
        <v/>
      </c>
      <c r="AK1888" s="714" t="str">
        <f t="shared" si="1341"/>
        <v/>
      </c>
      <c r="AL1888" s="714"/>
      <c r="AM1888" s="114" t="str">
        <f t="shared" si="1342"/>
        <v/>
      </c>
      <c r="AN1888" s="115"/>
      <c r="AO1888" s="116"/>
      <c r="AP1888" s="116"/>
      <c r="AQ1888" s="116"/>
      <c r="AR1888" s="116"/>
      <c r="AS1888" s="116"/>
      <c r="AT1888" s="116"/>
      <c r="AU1888" s="116"/>
      <c r="AV1888" s="78"/>
      <c r="AW1888" s="102"/>
      <c r="AX1888" s="78"/>
      <c r="AY1888" s="78"/>
      <c r="AZ1888" s="78"/>
      <c r="BA1888" s="78"/>
      <c r="BB1888" s="78"/>
      <c r="BC1888" s="78"/>
      <c r="BD1888" s="78"/>
      <c r="BE1888" s="465"/>
      <c r="BF1888" s="165" t="str">
        <f t="shared" si="1343"/>
        <v>https://www.google.com/search?tbm=isch&amp;q=Hosta%20%27Minuteman%27%20Minuteman%20Hosta</v>
      </c>
      <c r="BG1888" s="165" t="str">
        <f t="shared" si="1344"/>
        <v>H</v>
      </c>
      <c r="BH1888" s="65"/>
      <c r="BI1888" s="65"/>
      <c r="BJ1888" s="65"/>
      <c r="BK1888" s="65"/>
      <c r="BL1888" s="99"/>
      <c r="BM1888" s="99"/>
      <c r="BN1888" s="99"/>
    </row>
    <row r="1889" spans="1:66" s="51" customFormat="1" ht="15.75" x14ac:dyDescent="0.25">
      <c r="A1889" s="634">
        <v>1</v>
      </c>
      <c r="B1889" s="635" t="s">
        <v>291</v>
      </c>
      <c r="C1889" s="636" t="s">
        <v>2743</v>
      </c>
      <c r="D1889" s="637" t="s">
        <v>311</v>
      </c>
      <c r="E1889" s="638">
        <v>10.95</v>
      </c>
      <c r="F1889" s="639" t="s">
        <v>292</v>
      </c>
      <c r="G1889" s="484">
        <v>0</v>
      </c>
      <c r="H1889" s="691" t="str">
        <f>IF(G1889=0,"",IF(F1889="Buy",IF(G1889=1,"plant","plants"),IF(F1889&gt;0.01,"warranty","Error")))</f>
        <v/>
      </c>
      <c r="I1889" s="640">
        <f>IF(H1889="free",0,IF(H1889="credit",((E1889*(F1889))*G1889*-1),IF(F1889="Buy",(E1889*G1889),((E1889*(1-F1889))*G1889))))</f>
        <v>0</v>
      </c>
      <c r="J1889" s="640">
        <f>IF(H1889="warranty",0,(I1889*(_xlfn.SINGLE(SalesTaxPercentage))))</f>
        <v>0</v>
      </c>
      <c r="K1889" s="716">
        <f t="shared" ref="K1889" si="1349">I1889+J1889</f>
        <v>0</v>
      </c>
      <c r="L1889" s="716"/>
      <c r="M1889" s="689" t="str">
        <f ca="1">IF(AND(G1889&gt;0,E1889=0),"WARNING - no PRICE inserted",IF(H1889="free","FREE ~ no charge this plant",IF(H1889="credit",CONCATENATE("-$",ROUND(K1889*(1-_xlfn.SINGLE(T2GDiscount))*-1,2)," CREDIT after discount"),IF(_xlfn.SINGLE(T2GDiscount)=0,"",IF(G1889=0,"",IF(F1889="Buy",CONCATENATE("$",ROUND(K1889*(1-_xlfn.SINGLE(T2GDiscount)),2)," with ",(_xlfn.SINGLE(T2GDiscount)*100),"% discount"),CONCATENATE("$",ROUND(K1889*(1-_xlfn.SINGLE(T2GDiscount)),2)," with ",((_xlfn.SINGLE(T2GDiscount)*100+F1889*100)-(_xlfn.SINGLE(T2GDiscount)*100*F1889)),IF(F1889&gt;0,"% discounts",IF(_xlfn.SINGLE(NoWarrantyDiscount)&gt;0,"% discounts","% discount")))))))))</f>
        <v/>
      </c>
      <c r="N1889" s="690"/>
      <c r="O1889" s="486"/>
      <c r="P1889" s="486"/>
      <c r="Q1889" s="486"/>
      <c r="R1889" s="486"/>
      <c r="S1889" s="486"/>
      <c r="T1889" s="102">
        <f t="shared" si="1332"/>
        <v>0</v>
      </c>
      <c r="U1889" s="78">
        <f>IF(NOT(ISNUMBER(G1889)), "", VLOOKUP(A1889,'Discount Lookup'!D:E,2,FALSE)*G1889)</f>
        <v>0</v>
      </c>
      <c r="V1889" s="78">
        <f>IF(NOT(ISNUMBER(G1889)), "", VLOOKUP(A1889,'Discount Lookup'!G:H,2,FALSE)*G1889)</f>
        <v>0</v>
      </c>
      <c r="W1889" s="102">
        <f t="shared" si="1333"/>
        <v>0</v>
      </c>
      <c r="X1889" s="102">
        <f t="shared" si="1334"/>
        <v>0</v>
      </c>
      <c r="Y1889" s="120" t="b">
        <f t="shared" si="1335"/>
        <v>0</v>
      </c>
      <c r="Z1889" s="117">
        <f t="shared" si="1336"/>
        <v>0</v>
      </c>
      <c r="AA1889" s="118"/>
      <c r="AB1889" s="118" t="str">
        <f t="shared" si="1337"/>
        <v/>
      </c>
      <c r="AC1889" s="712" t="str">
        <f>IF(AE1889="T2G","no charge",IF(AND(OR(PlanterYesMe="No",PlanterYesMe="N",PlanterYesMe="me"),H1889=""),"",IF(H1889="credit","NO install",IF(AND(K1889="",AE1889="me"),"EACH row",IF(AND(K1889="images",AE1889="me"),"EACH row",IF(D1889="","",IF(H1889="credit","",IF(AE1889="free","re-planting",IF(AE1889="me","   not ELP, by",IF(AND(OR(PlanterYesMe="Yes",PlanterYesMe="Y"),G1889&gt;0),(VLOOKUP(A1889,'Discount Lookup'!J:K,2)*G1889*(1-PlanterDiscount)*(1+PlanterDifficultyPercentage)),IF(AE1889="ELP",(VLOOKUP(A1889,'Discount Lookup'!J:K,2)*G1889*(1-PlanterDiscount)*(1+PlanterDifficultyPercentage)),IF(AE1889="free","re-planting",IF(G1889=0,"",IF(PlanterYesMe="",IF(AE1889="me","   not ELP, by",IF(AE1889="",IF(G1889&gt;0,(VLOOKUP(A1889,'Discount Lookup'!J:K,2)*G1889*(1-PlanterDiscount)*(1+PlanterDifficultyPercentage)),""),"")),"   not ELP, by"))))))))))))))</f>
        <v/>
      </c>
      <c r="AD1889" s="712"/>
      <c r="AE1889" s="513" t="str">
        <f t="shared" si="1338"/>
        <v/>
      </c>
      <c r="AF1889" s="713" t="str">
        <f t="shared" si="1339"/>
        <v/>
      </c>
      <c r="AG1889" s="713"/>
      <c r="AH1889" s="713"/>
      <c r="AI1889" s="112">
        <f>IF(H1889="credit",0,IF(AE1889="free",0,IF(AE1889="me",0,IF(G1889&gt;0,(VLOOKUP(A1889,'Discount Lookup'!J:K,2)*G1889),0))))</f>
        <v>0</v>
      </c>
      <c r="AJ1889" s="107" t="str">
        <f t="shared" ca="1" si="1340"/>
        <v/>
      </c>
      <c r="AK1889" s="714" t="str">
        <f t="shared" si="1341"/>
        <v/>
      </c>
      <c r="AL1889" s="714"/>
      <c r="AM1889" s="114" t="str">
        <f t="shared" si="1342"/>
        <v/>
      </c>
      <c r="AN1889" s="115"/>
      <c r="AO1889" s="116"/>
      <c r="AP1889" s="116"/>
      <c r="AQ1889" s="116"/>
      <c r="AR1889" s="116"/>
      <c r="AS1889" s="116"/>
      <c r="AT1889" s="116"/>
      <c r="AU1889" s="116"/>
      <c r="AV1889" s="78"/>
      <c r="AW1889" s="102"/>
      <c r="AX1889" s="78"/>
      <c r="AY1889" s="78"/>
      <c r="AZ1889" s="78"/>
      <c r="BA1889" s="78"/>
      <c r="BB1889" s="78"/>
      <c r="BC1889" s="78"/>
      <c r="BD1889" s="78"/>
      <c r="BE1889" s="465"/>
      <c r="BF1889" s="165" t="str">
        <f t="shared" si="1343"/>
        <v>https://www.google.com/search?tbm=isch&amp;q=1%20G5</v>
      </c>
      <c r="BG1889" s="165" t="str">
        <f t="shared" si="1344"/>
        <v>H</v>
      </c>
      <c r="BH1889" s="65"/>
      <c r="BI1889" s="65"/>
      <c r="BJ1889" s="65"/>
      <c r="BK1889" s="65"/>
      <c r="BL1889" s="99"/>
      <c r="BM1889" s="99"/>
      <c r="BN1889" s="99"/>
    </row>
    <row r="1890" spans="1:66" s="51" customFormat="1" ht="15.75" x14ac:dyDescent="0.25">
      <c r="A1890" s="634">
        <v>1</v>
      </c>
      <c r="B1890" s="635" t="s">
        <v>291</v>
      </c>
      <c r="C1890" s="636" t="s">
        <v>2467</v>
      </c>
      <c r="D1890" s="637" t="s">
        <v>329</v>
      </c>
      <c r="E1890" s="638">
        <v>11.95</v>
      </c>
      <c r="F1890" s="639" t="s">
        <v>292</v>
      </c>
      <c r="G1890" s="484">
        <v>0</v>
      </c>
      <c r="H1890" s="691" t="str">
        <f>IF(G1890=0,"",IF(F1890="Buy",IF(G1890=1,"plant","plants"),IF(F1890&gt;0.01,"warranty","Error")))</f>
        <v/>
      </c>
      <c r="I1890" s="640">
        <f>IF(H1890="free",0,IF(H1890="credit",((E1890*(F1890))*G1890*-1),IF(F1890="Buy",(E1890*G1890),((E1890*(1-F1890))*G1890))))</f>
        <v>0</v>
      </c>
      <c r="J1890" s="640">
        <f>IF(H1890="warranty",0,(I1890*(_xlfn.SINGLE(SalesTaxPercentage))))</f>
        <v>0</v>
      </c>
      <c r="K1890" s="716">
        <f t="shared" ref="K1890" si="1350">I1890+J1890</f>
        <v>0</v>
      </c>
      <c r="L1890" s="716"/>
      <c r="M1890" s="689" t="str">
        <f ca="1">IF(AND(G1890&gt;0,E1890=0),"WARNING - no PRICE inserted",IF(H1890="free","FREE ~ no charge this plant",IF(H1890="credit",CONCATENATE("-$",ROUND(K1890*(1-_xlfn.SINGLE(T2GDiscount))*-1,2)," CREDIT after discount"),IF(_xlfn.SINGLE(T2GDiscount)=0,"",IF(G1890=0,"",IF(F1890="Buy",CONCATENATE("$",ROUND(K1890*(1-_xlfn.SINGLE(T2GDiscount)),2)," with ",(_xlfn.SINGLE(T2GDiscount)*100),"% discount"),CONCATENATE("$",ROUND(K1890*(1-_xlfn.SINGLE(T2GDiscount)),2)," with ",((_xlfn.SINGLE(T2GDiscount)*100+F1890*100)-(_xlfn.SINGLE(T2GDiscount)*100*F1890)),IF(F1890&gt;0,"% discounts",IF(_xlfn.SINGLE(NoWarrantyDiscount)&gt;0,"% discounts","% discount")))))))))</f>
        <v/>
      </c>
      <c r="N1890" s="690"/>
      <c r="O1890" s="486"/>
      <c r="P1890" s="486"/>
      <c r="Q1890" s="486"/>
      <c r="R1890" s="486"/>
      <c r="S1890" s="486"/>
      <c r="T1890" s="102">
        <f t="shared" si="1332"/>
        <v>0</v>
      </c>
      <c r="U1890" s="78">
        <f>IF(NOT(ISNUMBER(G1890)), "", VLOOKUP(A1890,'Discount Lookup'!D:E,2,FALSE)*G1890)</f>
        <v>0</v>
      </c>
      <c r="V1890" s="78">
        <f>IF(NOT(ISNUMBER(G1890)), "", VLOOKUP(A1890,'Discount Lookup'!G:H,2,FALSE)*G1890)</f>
        <v>0</v>
      </c>
      <c r="W1890" s="102">
        <f t="shared" si="1333"/>
        <v>0</v>
      </c>
      <c r="X1890" s="102">
        <f t="shared" si="1334"/>
        <v>0</v>
      </c>
      <c r="Y1890" s="120" t="b">
        <f t="shared" si="1335"/>
        <v>0</v>
      </c>
      <c r="Z1890" s="117">
        <f t="shared" si="1336"/>
        <v>0</v>
      </c>
      <c r="AA1890" s="118"/>
      <c r="AB1890" s="118" t="str">
        <f t="shared" si="1337"/>
        <v/>
      </c>
      <c r="AC1890" s="712" t="str">
        <f>IF(AE1890="T2G","no charge",IF(AND(OR(PlanterYesMe="No",PlanterYesMe="N",PlanterYesMe="me"),H1890=""),"",IF(H1890="credit","NO install",IF(AND(K1890="",AE1890="me"),"EACH row",IF(AND(K1890="images",AE1890="me"),"EACH row",IF(D1890="","",IF(H1890="credit","",IF(AE1890="free","re-planting",IF(AE1890="me","   not ELP, by",IF(AND(OR(PlanterYesMe="Yes",PlanterYesMe="Y"),G1890&gt;0),(VLOOKUP(A1890,'Discount Lookup'!J:K,2)*G1890*(1-PlanterDiscount)*(1+PlanterDifficultyPercentage)),IF(AE1890="ELP",(VLOOKUP(A1890,'Discount Lookup'!J:K,2)*G1890*(1-PlanterDiscount)*(1+PlanterDifficultyPercentage)),IF(AE1890="free","re-planting",IF(G1890=0,"",IF(PlanterYesMe="",IF(AE1890="me","   not ELP, by",IF(AE1890="",IF(G1890&gt;0,(VLOOKUP(A1890,'Discount Lookup'!J:K,2)*G1890*(1-PlanterDiscount)*(1+PlanterDifficultyPercentage)),""),"")),"   not ELP, by"))))))))))))))</f>
        <v/>
      </c>
      <c r="AD1890" s="712"/>
      <c r="AE1890" s="513" t="str">
        <f t="shared" si="1338"/>
        <v/>
      </c>
      <c r="AF1890" s="713" t="str">
        <f t="shared" si="1339"/>
        <v/>
      </c>
      <c r="AG1890" s="713"/>
      <c r="AH1890" s="713"/>
      <c r="AI1890" s="112">
        <f>IF(H1890="credit",0,IF(AE1890="free",0,IF(AE1890="me",0,IF(G1890&gt;0,(VLOOKUP(A1890,'Discount Lookup'!J:K,2)*G1890),0))))</f>
        <v>0</v>
      </c>
      <c r="AJ1890" s="107" t="str">
        <f t="shared" ca="1" si="1340"/>
        <v/>
      </c>
      <c r="AK1890" s="714" t="str">
        <f t="shared" si="1341"/>
        <v/>
      </c>
      <c r="AL1890" s="714"/>
      <c r="AM1890" s="114" t="str">
        <f t="shared" si="1342"/>
        <v/>
      </c>
      <c r="AN1890" s="115"/>
      <c r="AO1890" s="116"/>
      <c r="AP1890" s="116"/>
      <c r="AQ1890" s="116"/>
      <c r="AR1890" s="116"/>
      <c r="AS1890" s="116"/>
      <c r="AT1890" s="116"/>
      <c r="AU1890" s="116"/>
      <c r="AV1890" s="78"/>
      <c r="AW1890" s="102"/>
      <c r="AX1890" s="78"/>
      <c r="AY1890" s="78"/>
      <c r="AZ1890" s="78"/>
      <c r="BA1890" s="78"/>
      <c r="BB1890" s="78"/>
      <c r="BC1890" s="78"/>
      <c r="BD1890" s="78"/>
      <c r="BE1890" s="465"/>
      <c r="BF1890" s="165" t="str">
        <f t="shared" si="1343"/>
        <v>https://www.google.com/search?tbm=isch&amp;q=1%20G2</v>
      </c>
      <c r="BG1890" s="165" t="str">
        <f t="shared" si="1344"/>
        <v>H</v>
      </c>
      <c r="BH1890" s="65"/>
      <c r="BI1890" s="65"/>
      <c r="BJ1890" s="65"/>
      <c r="BK1890" s="65"/>
      <c r="BL1890" s="99"/>
      <c r="BM1890" s="99"/>
      <c r="BN1890" s="99"/>
    </row>
    <row r="1891" spans="1:66" s="51" customFormat="1" ht="17.25" thickBot="1" x14ac:dyDescent="0.3">
      <c r="A1891" s="704" t="s">
        <v>5421</v>
      </c>
      <c r="B1891" s="642"/>
      <c r="C1891" s="710"/>
      <c r="D1891" s="643"/>
      <c r="E1891" s="643"/>
      <c r="F1891" s="644"/>
      <c r="G1891" s="645"/>
      <c r="H1891" s="646"/>
      <c r="I1891" s="647"/>
      <c r="J1891" s="648"/>
      <c r="K1891" s="649"/>
      <c r="L1891" s="650"/>
      <c r="M1891" s="650"/>
      <c r="N1891" s="644"/>
      <c r="O1891" s="644"/>
      <c r="P1891" s="644"/>
      <c r="Q1891" s="644"/>
      <c r="R1891" s="644"/>
      <c r="S1891" s="701" t="s">
        <v>5287</v>
      </c>
      <c r="T1891" s="102">
        <f t="shared" si="1332"/>
        <v>0</v>
      </c>
      <c r="U1891" s="78" t="str">
        <f>IF(NOT(ISNUMBER(G1891)), "", VLOOKUP(A1891,'Discount Lookup'!D:E,2,FALSE)*G1891)</f>
        <v/>
      </c>
      <c r="V1891" s="78" t="str">
        <f>IF(NOT(ISNUMBER(G1891)), "", VLOOKUP(A1891,'Discount Lookup'!G:H,2,FALSE)*G1891)</f>
        <v/>
      </c>
      <c r="W1891" s="102">
        <f t="shared" si="1333"/>
        <v>0</v>
      </c>
      <c r="X1891" s="102">
        <f t="shared" si="1334"/>
        <v>0</v>
      </c>
      <c r="Y1891" s="120" t="b">
        <f t="shared" si="1335"/>
        <v>0</v>
      </c>
      <c r="Z1891" s="117">
        <f t="shared" si="1336"/>
        <v>0</v>
      </c>
      <c r="AA1891" s="118"/>
      <c r="AB1891" s="118" t="str">
        <f t="shared" si="1337"/>
        <v/>
      </c>
      <c r="AC1891" s="712" t="str">
        <f>IF(AE1891="T2G","no charge",IF(AND(OR(PlanterYesMe="No",PlanterYesMe="N",PlanterYesMe="me"),H1891=""),"",IF(H1891="credit","NO install",IF(AND(K1891="",AE1891="me"),"EACH row",IF(AND(K1891="images",AE1891="me"),"EACH row",IF(D1891="","",IF(H1891="credit","",IF(AE1891="free","re-planting",IF(AE1891="me","   not ELP, by",IF(AND(OR(PlanterYesMe="Yes",PlanterYesMe="Y"),G1891&gt;0),(VLOOKUP(A1891,'Discount Lookup'!J:K,2)*G1891*(1-PlanterDiscount)*(1+PlanterDifficultyPercentage)),IF(AE1891="ELP",(VLOOKUP(A1891,'Discount Lookup'!J:K,2)*G1891*(1-PlanterDiscount)*(1+PlanterDifficultyPercentage)),IF(AE1891="free","re-planting",IF(G1891=0,"",IF(PlanterYesMe="",IF(AE1891="me","   not ELP, by",IF(AE1891="",IF(G1891&gt;0,(VLOOKUP(A1891,'Discount Lookup'!J:K,2)*G1891*(1-PlanterDiscount)*(1+PlanterDifficultyPercentage)),""),"")),"   not ELP, by"))))))))))))))</f>
        <v/>
      </c>
      <c r="AD1891" s="712"/>
      <c r="AE1891" s="513" t="str">
        <f t="shared" si="1338"/>
        <v/>
      </c>
      <c r="AF1891" s="713" t="str">
        <f t="shared" si="1339"/>
        <v/>
      </c>
      <c r="AG1891" s="713"/>
      <c r="AH1891" s="713"/>
      <c r="AI1891" s="112">
        <f>IF(H1891="credit",0,IF(AE1891="free",0,IF(AE1891="me",0,IF(G1891&gt;0,(VLOOKUP(A1891,'Discount Lookup'!J:K,2)*G1891),0))))</f>
        <v>0</v>
      </c>
      <c r="AJ1891" s="107" t="str">
        <f t="shared" ca="1" si="1340"/>
        <v/>
      </c>
      <c r="AK1891" s="714" t="str">
        <f t="shared" si="1341"/>
        <v/>
      </c>
      <c r="AL1891" s="714"/>
      <c r="AM1891" s="114" t="str">
        <f t="shared" si="1342"/>
        <v/>
      </c>
      <c r="AN1891" s="115"/>
      <c r="AO1891" s="116"/>
      <c r="AP1891" s="116"/>
      <c r="AQ1891" s="116"/>
      <c r="AR1891" s="116"/>
      <c r="AS1891" s="116"/>
      <c r="AT1891" s="116"/>
      <c r="AU1891" s="116"/>
      <c r="AV1891" s="78"/>
      <c r="AW1891" s="102"/>
      <c r="AX1891" s="78"/>
      <c r="AY1891" s="78"/>
      <c r="AZ1891" s="78"/>
      <c r="BA1891" s="78"/>
      <c r="BB1891" s="78"/>
      <c r="BC1891" s="78"/>
      <c r="BD1891" s="78"/>
      <c r="BE1891" s="465"/>
      <c r="BF1891" s="165" t="str">
        <f t="shared" si="1343"/>
        <v>https://www.google.com/search?tbm=isch&amp;q=moist%20sites%F0%9F%92%A7OK%2C%20Minuteman%20has%20large%2C%20heart-shaped%2C%20Dark%20Green%20leaves%20with%20a%20crisp%2C%20wide%20White%20margin%20</v>
      </c>
      <c r="BG1891" s="165" t="str">
        <f t="shared" si="1344"/>
        <v>m</v>
      </c>
      <c r="BH1891" s="65"/>
      <c r="BI1891" s="65"/>
      <c r="BJ1891" s="65"/>
      <c r="BK1891" s="65"/>
      <c r="BL1891" s="99"/>
      <c r="BM1891" s="99"/>
      <c r="BN1891" s="99"/>
    </row>
    <row r="1892" spans="1:66" s="51" customFormat="1" ht="18" x14ac:dyDescent="0.25">
      <c r="A1892" s="623" t="s">
        <v>2744</v>
      </c>
      <c r="B1892" s="624"/>
      <c r="C1892" s="709"/>
      <c r="D1892" s="625" t="s">
        <v>2745</v>
      </c>
      <c r="E1892" s="626"/>
      <c r="F1892" s="626"/>
      <c r="G1892" s="626"/>
      <c r="H1892" s="622" t="s">
        <v>1917</v>
      </c>
      <c r="I1892" s="627" t="s">
        <v>2746</v>
      </c>
      <c r="J1892" s="628"/>
      <c r="K1892" s="628"/>
      <c r="L1892" s="629"/>
      <c r="M1892" s="702" t="s">
        <v>5252</v>
      </c>
      <c r="N1892" s="693" t="str">
        <f>IF(AND(ISTEXT($A1892), ISERROR($A1892+0)), HYPERLINK($BF1892, "Images"), "")</f>
        <v>Images</v>
      </c>
      <c r="O1892" s="695" t="s">
        <v>5286</v>
      </c>
      <c r="P1892" s="630"/>
      <c r="Q1892" s="631"/>
      <c r="R1892" s="632"/>
      <c r="S1892" s="633"/>
      <c r="T1892" s="102">
        <f t="shared" si="1332"/>
        <v>0</v>
      </c>
      <c r="U1892" s="78" t="str">
        <f>IF(NOT(ISNUMBER(G1892)), "", VLOOKUP(A1892,'Discount Lookup'!D:E,2,FALSE)*G1892)</f>
        <v/>
      </c>
      <c r="V1892" s="78" t="str">
        <f>IF(NOT(ISNUMBER(G1892)), "", VLOOKUP(A1892,'Discount Lookup'!G:H,2,FALSE)*G1892)</f>
        <v/>
      </c>
      <c r="W1892" s="102">
        <f t="shared" si="1333"/>
        <v>0</v>
      </c>
      <c r="X1892" s="102" t="str">
        <f t="shared" si="1334"/>
        <v>Pale Lavender bloom</v>
      </c>
      <c r="Y1892" s="120" t="b">
        <f t="shared" si="1335"/>
        <v>0</v>
      </c>
      <c r="Z1892" s="117">
        <f t="shared" si="1336"/>
        <v>0</v>
      </c>
      <c r="AA1892" s="118"/>
      <c r="AB1892" s="118" t="str">
        <f t="shared" si="1337"/>
        <v/>
      </c>
      <c r="AC1892" s="712" t="str">
        <f>IF(AE1892="T2G","no charge",IF(AND(OR(PlanterYesMe="No",PlanterYesMe="N",PlanterYesMe="me"),H1892=""),"",IF(H1892="credit","NO install",IF(AND(K1892="",AE1892="me"),"EACH row",IF(AND(K1892="images",AE1892="me"),"EACH row",IF(D1892="","",IF(H1892="credit","",IF(AE1892="free","re-planting",IF(AE1892="me","   not ELP, by",IF(AND(OR(PlanterYesMe="Yes",PlanterYesMe="Y"),G1892&gt;0),(VLOOKUP(A1892,'Discount Lookup'!J:K,2)*G1892*(1-PlanterDiscount)*(1+PlanterDifficultyPercentage)),IF(AE1892="ELP",(VLOOKUP(A1892,'Discount Lookup'!J:K,2)*G1892*(1-PlanterDiscount)*(1+PlanterDifficultyPercentage)),IF(AE1892="free","re-planting",IF(G1892=0,"",IF(PlanterYesMe="",IF(AE1892="me","   not ELP, by",IF(AE1892="",IF(G1892&gt;0,(VLOOKUP(A1892,'Discount Lookup'!J:K,2)*G1892*(1-PlanterDiscount)*(1+PlanterDifficultyPercentage)),""),"")),"   not ELP, by"))))))))))))))</f>
        <v/>
      </c>
      <c r="AD1892" s="712"/>
      <c r="AE1892" s="513" t="str">
        <f t="shared" si="1338"/>
        <v/>
      </c>
      <c r="AF1892" s="713" t="str">
        <f t="shared" si="1339"/>
        <v/>
      </c>
      <c r="AG1892" s="713"/>
      <c r="AH1892" s="713"/>
      <c r="AI1892" s="112">
        <f>IF(H1892="credit",0,IF(AE1892="free",0,IF(AE1892="me",0,IF(G1892&gt;0,(VLOOKUP(A1892,'Discount Lookup'!J:K,2)*G1892),0))))</f>
        <v>0</v>
      </c>
      <c r="AJ1892" s="107" t="str">
        <f t="shared" ca="1" si="1340"/>
        <v/>
      </c>
      <c r="AK1892" s="714" t="str">
        <f t="shared" si="1341"/>
        <v/>
      </c>
      <c r="AL1892" s="714"/>
      <c r="AM1892" s="114" t="str">
        <f t="shared" si="1342"/>
        <v/>
      </c>
      <c r="AN1892" s="115"/>
      <c r="AO1892" s="116"/>
      <c r="AP1892" s="116"/>
      <c r="AQ1892" s="116"/>
      <c r="AR1892" s="116"/>
      <c r="AS1892" s="116"/>
      <c r="AT1892" s="116"/>
      <c r="AU1892" s="116"/>
      <c r="AV1892" s="78"/>
      <c r="AW1892" s="102"/>
      <c r="AX1892" s="78"/>
      <c r="AY1892" s="78"/>
      <c r="AZ1892" s="78"/>
      <c r="BA1892" s="78"/>
      <c r="BB1892" s="78"/>
      <c r="BC1892" s="78"/>
      <c r="BD1892" s="78"/>
      <c r="BE1892" s="465"/>
      <c r="BF1892" s="165" t="str">
        <f t="shared" si="1343"/>
        <v>https://www.google.com/search?tbm=isch&amp;q=Hosta%20%27Stained%20Glass%27%20Stained%20Glass%20Hosta</v>
      </c>
      <c r="BG1892" s="165" t="str">
        <f t="shared" si="1344"/>
        <v>H</v>
      </c>
      <c r="BH1892" s="65"/>
      <c r="BI1892" s="65"/>
      <c r="BJ1892" s="65"/>
      <c r="BK1892" s="65"/>
      <c r="BL1892" s="99"/>
      <c r="BM1892" s="99"/>
      <c r="BN1892" s="99"/>
    </row>
    <row r="1893" spans="1:66" s="51" customFormat="1" ht="15.75" x14ac:dyDescent="0.25">
      <c r="A1893" s="634">
        <v>4</v>
      </c>
      <c r="B1893" s="635" t="s">
        <v>338</v>
      </c>
      <c r="C1893" s="636" t="s">
        <v>2467</v>
      </c>
      <c r="D1893" s="637" t="s">
        <v>329</v>
      </c>
      <c r="E1893" s="638">
        <v>11.95</v>
      </c>
      <c r="F1893" s="639" t="s">
        <v>292</v>
      </c>
      <c r="G1893" s="484">
        <v>0</v>
      </c>
      <c r="H1893" s="691" t="str">
        <f>IF(G1893=0,"",IF(F1893="Buy",IF(G1893=1,"plant","plants"),IF(F1893&gt;0.01,"warranty","Error")))</f>
        <v/>
      </c>
      <c r="I1893" s="640">
        <f>IF(H1893="free",0,IF(H1893="credit",((E1893*(F1893))*G1893*-1),IF(F1893="Buy",(E1893*G1893),((E1893*(1-F1893))*G1893))))</f>
        <v>0</v>
      </c>
      <c r="J1893" s="640">
        <f>IF(H1893="warranty",0,(I1893*(_xlfn.SINGLE(SalesTaxPercentage))))</f>
        <v>0</v>
      </c>
      <c r="K1893" s="716">
        <f t="shared" ref="K1893" si="1351">I1893+J1893</f>
        <v>0</v>
      </c>
      <c r="L1893" s="716"/>
      <c r="M1893" s="689" t="str">
        <f ca="1">IF(AND(G1893&gt;0,E1893=0),"WARNING - no PRICE inserted",IF(H1893="free","FREE ~ no charge this plant",IF(H1893="credit",CONCATENATE("-$",ROUND(K1893*(1-_xlfn.SINGLE(T2GDiscount))*-1,2)," CREDIT after discount"),IF(_xlfn.SINGLE(T2GDiscount)=0,"",IF(G1893=0,"",IF(F1893="Buy",CONCATENATE("$",ROUND(K1893*(1-_xlfn.SINGLE(T2GDiscount)),2)," with ",(_xlfn.SINGLE(T2GDiscount)*100),"% discount"),CONCATENATE("$",ROUND(K1893*(1-_xlfn.SINGLE(T2GDiscount)),2)," with ",((_xlfn.SINGLE(T2GDiscount)*100+F1893*100)-(_xlfn.SINGLE(T2GDiscount)*100*F1893)),IF(F1893&gt;0,"% discounts",IF(_xlfn.SINGLE(NoWarrantyDiscount)&gt;0,"% discounts","% discount")))))))))</f>
        <v/>
      </c>
      <c r="N1893" s="690"/>
      <c r="O1893" s="486"/>
      <c r="P1893" s="486"/>
      <c r="Q1893" s="486"/>
      <c r="R1893" s="486"/>
      <c r="S1893" s="486"/>
      <c r="T1893" s="102">
        <f t="shared" si="1332"/>
        <v>0</v>
      </c>
      <c r="U1893" s="78">
        <f>IF(NOT(ISNUMBER(G1893)), "", VLOOKUP(A1893,'Discount Lookup'!D:E,2,FALSE)*G1893)</f>
        <v>0</v>
      </c>
      <c r="V1893" s="78">
        <f>IF(NOT(ISNUMBER(G1893)), "", VLOOKUP(A1893,'Discount Lookup'!G:H,2,FALSE)*G1893)</f>
        <v>0</v>
      </c>
      <c r="W1893" s="102">
        <f t="shared" si="1333"/>
        <v>0</v>
      </c>
      <c r="X1893" s="102">
        <f t="shared" si="1334"/>
        <v>0</v>
      </c>
      <c r="Y1893" s="120" t="b">
        <f t="shared" si="1335"/>
        <v>0</v>
      </c>
      <c r="Z1893" s="117">
        <f t="shared" si="1336"/>
        <v>0</v>
      </c>
      <c r="AA1893" s="118"/>
      <c r="AB1893" s="118" t="str">
        <f t="shared" si="1337"/>
        <v/>
      </c>
      <c r="AC1893" s="712" t="str">
        <f>IF(AE1893="T2G","no charge",IF(AND(OR(PlanterYesMe="No",PlanterYesMe="N",PlanterYesMe="me"),H1893=""),"",IF(H1893="credit","NO install",IF(AND(K1893="",AE1893="me"),"EACH row",IF(AND(K1893="images",AE1893="me"),"EACH row",IF(D1893="","",IF(H1893="credit","",IF(AE1893="free","re-planting",IF(AE1893="me","   not ELP, by",IF(AND(OR(PlanterYesMe="Yes",PlanterYesMe="Y"),G1893&gt;0),(VLOOKUP(A1893,'Discount Lookup'!J:K,2)*G1893*(1-PlanterDiscount)*(1+PlanterDifficultyPercentage)),IF(AE1893="ELP",(VLOOKUP(A1893,'Discount Lookup'!J:K,2)*G1893*(1-PlanterDiscount)*(1+PlanterDifficultyPercentage)),IF(AE1893="free","re-planting",IF(G1893=0,"",IF(PlanterYesMe="",IF(AE1893="me","   not ELP, by",IF(AE1893="",IF(G1893&gt;0,(VLOOKUP(A1893,'Discount Lookup'!J:K,2)*G1893*(1-PlanterDiscount)*(1+PlanterDifficultyPercentage)),""),"")),"   not ELP, by"))))))))))))))</f>
        <v/>
      </c>
      <c r="AD1893" s="712"/>
      <c r="AE1893" s="513" t="str">
        <f t="shared" si="1338"/>
        <v/>
      </c>
      <c r="AF1893" s="713" t="str">
        <f t="shared" si="1339"/>
        <v/>
      </c>
      <c r="AG1893" s="713"/>
      <c r="AH1893" s="713"/>
      <c r="AI1893" s="112">
        <f>IF(H1893="credit",0,IF(AE1893="free",0,IF(AE1893="me",0,IF(G1893&gt;0,(VLOOKUP(A1893,'Discount Lookup'!J:K,2)*G1893),0))))</f>
        <v>0</v>
      </c>
      <c r="AJ1893" s="107" t="str">
        <f t="shared" ca="1" si="1340"/>
        <v/>
      </c>
      <c r="AK1893" s="714" t="str">
        <f t="shared" si="1341"/>
        <v/>
      </c>
      <c r="AL1893" s="714"/>
      <c r="AM1893" s="114" t="str">
        <f t="shared" si="1342"/>
        <v/>
      </c>
      <c r="AN1893" s="115"/>
      <c r="AO1893" s="116"/>
      <c r="AP1893" s="116"/>
      <c r="AQ1893" s="116"/>
      <c r="AR1893" s="116"/>
      <c r="AS1893" s="116"/>
      <c r="AT1893" s="116"/>
      <c r="AU1893" s="116"/>
      <c r="AV1893" s="78"/>
      <c r="AW1893" s="102"/>
      <c r="AX1893" s="78"/>
      <c r="AY1893" s="78"/>
      <c r="AZ1893" s="78"/>
      <c r="BA1893" s="78"/>
      <c r="BB1893" s="78"/>
      <c r="BC1893" s="78"/>
      <c r="BD1893" s="78"/>
      <c r="BE1893" s="465"/>
      <c r="BF1893" s="165" t="str">
        <f t="shared" si="1343"/>
        <v>https://www.google.com/search?tbm=isch&amp;q=4%20G2</v>
      </c>
      <c r="BG1893" s="165" t="str">
        <f t="shared" si="1344"/>
        <v>H</v>
      </c>
      <c r="BH1893" s="65"/>
      <c r="BI1893" s="65"/>
      <c r="BJ1893" s="65"/>
      <c r="BK1893" s="65"/>
      <c r="BL1893" s="99"/>
      <c r="BM1893" s="99"/>
      <c r="BN1893" s="99"/>
    </row>
    <row r="1894" spans="1:66" s="51" customFormat="1" ht="17.25" thickBot="1" x14ac:dyDescent="0.3">
      <c r="A1894" s="704" t="s">
        <v>5422</v>
      </c>
      <c r="B1894" s="642"/>
      <c r="C1894" s="710"/>
      <c r="D1894" s="643"/>
      <c r="E1894" s="643"/>
      <c r="F1894" s="644"/>
      <c r="G1894" s="645"/>
      <c r="H1894" s="646"/>
      <c r="I1894" s="647"/>
      <c r="J1894" s="648"/>
      <c r="K1894" s="649"/>
      <c r="L1894" s="650"/>
      <c r="M1894" s="650"/>
      <c r="N1894" s="644"/>
      <c r="O1894" s="644"/>
      <c r="P1894" s="644"/>
      <c r="Q1894" s="644"/>
      <c r="R1894" s="644"/>
      <c r="S1894" s="701" t="s">
        <v>5287</v>
      </c>
      <c r="T1894" s="102">
        <f t="shared" si="1332"/>
        <v>0</v>
      </c>
      <c r="U1894" s="78" t="str">
        <f>IF(NOT(ISNUMBER(G1894)), "", VLOOKUP(A1894,'Discount Lookup'!D:E,2,FALSE)*G1894)</f>
        <v/>
      </c>
      <c r="V1894" s="78" t="str">
        <f>IF(NOT(ISNUMBER(G1894)), "", VLOOKUP(A1894,'Discount Lookup'!G:H,2,FALSE)*G1894)</f>
        <v/>
      </c>
      <c r="W1894" s="102">
        <f t="shared" si="1333"/>
        <v>0</v>
      </c>
      <c r="X1894" s="102">
        <f t="shared" si="1334"/>
        <v>0</v>
      </c>
      <c r="Y1894" s="120" t="b">
        <f t="shared" si="1335"/>
        <v>0</v>
      </c>
      <c r="Z1894" s="117">
        <f t="shared" si="1336"/>
        <v>0</v>
      </c>
      <c r="AA1894" s="118"/>
      <c r="AB1894" s="118" t="str">
        <f t="shared" si="1337"/>
        <v/>
      </c>
      <c r="AC1894" s="712" t="str">
        <f>IF(AE1894="T2G","no charge",IF(AND(OR(PlanterYesMe="No",PlanterYesMe="N",PlanterYesMe="me"),H1894=""),"",IF(H1894="credit","NO install",IF(AND(K1894="",AE1894="me"),"EACH row",IF(AND(K1894="images",AE1894="me"),"EACH row",IF(D1894="","",IF(H1894="credit","",IF(AE1894="free","re-planting",IF(AE1894="me","   not ELP, by",IF(AND(OR(PlanterYesMe="Yes",PlanterYesMe="Y"),G1894&gt;0),(VLOOKUP(A1894,'Discount Lookup'!J:K,2)*G1894*(1-PlanterDiscount)*(1+PlanterDifficultyPercentage)),IF(AE1894="ELP",(VLOOKUP(A1894,'Discount Lookup'!J:K,2)*G1894*(1-PlanterDiscount)*(1+PlanterDifficultyPercentage)),IF(AE1894="free","re-planting",IF(G1894=0,"",IF(PlanterYesMe="",IF(AE1894="me","   not ELP, by",IF(AE1894="",IF(G1894&gt;0,(VLOOKUP(A1894,'Discount Lookup'!J:K,2)*G1894*(1-PlanterDiscount)*(1+PlanterDifficultyPercentage)),""),"")),"   not ELP, by"))))))))))))))</f>
        <v/>
      </c>
      <c r="AD1894" s="712"/>
      <c r="AE1894" s="513" t="str">
        <f t="shared" si="1338"/>
        <v/>
      </c>
      <c r="AF1894" s="713" t="str">
        <f t="shared" si="1339"/>
        <v/>
      </c>
      <c r="AG1894" s="713"/>
      <c r="AH1894" s="713"/>
      <c r="AI1894" s="112">
        <f>IF(H1894="credit",0,IF(AE1894="free",0,IF(AE1894="me",0,IF(G1894&gt;0,(VLOOKUP(A1894,'Discount Lookup'!J:K,2)*G1894),0))))</f>
        <v>0</v>
      </c>
      <c r="AJ1894" s="107" t="str">
        <f t="shared" ca="1" si="1340"/>
        <v/>
      </c>
      <c r="AK1894" s="714" t="str">
        <f t="shared" si="1341"/>
        <v/>
      </c>
      <c r="AL1894" s="714"/>
      <c r="AM1894" s="114" t="str">
        <f t="shared" si="1342"/>
        <v/>
      </c>
      <c r="AN1894" s="115"/>
      <c r="AO1894" s="116"/>
      <c r="AP1894" s="116"/>
      <c r="AQ1894" s="116"/>
      <c r="AR1894" s="116"/>
      <c r="AS1894" s="116"/>
      <c r="AT1894" s="116"/>
      <c r="AU1894" s="116"/>
      <c r="AV1894" s="78"/>
      <c r="AW1894" s="102"/>
      <c r="AX1894" s="78"/>
      <c r="AY1894" s="78"/>
      <c r="AZ1894" s="78"/>
      <c r="BA1894" s="78"/>
      <c r="BB1894" s="78"/>
      <c r="BC1894" s="78"/>
      <c r="BD1894" s="78"/>
      <c r="BE1894" s="465"/>
      <c r="BF1894" s="165" t="str">
        <f t="shared" si="1343"/>
        <v>https://www.google.com/search?tbm=isch&amp;q=moist%20sites%F0%9F%92%A7OK%2C%20Stained%20Glass%20named%20for%20Golden-Yellow%20leaves%20with%20wide%2C%20Dark%20Green%20margins.%20Fragrant%20blooms%20</v>
      </c>
      <c r="BG1894" s="165" t="str">
        <f t="shared" si="1344"/>
        <v>m</v>
      </c>
      <c r="BH1894" s="65"/>
      <c r="BI1894" s="65"/>
      <c r="BJ1894" s="65"/>
      <c r="BK1894" s="65"/>
      <c r="BL1894" s="99"/>
      <c r="BM1894" s="99"/>
      <c r="BN1894" s="99"/>
    </row>
    <row r="1895" spans="1:66" s="51" customFormat="1" ht="18" x14ac:dyDescent="0.25">
      <c r="A1895" s="623" t="s">
        <v>2747</v>
      </c>
      <c r="B1895" s="624"/>
      <c r="C1895" s="709"/>
      <c r="D1895" s="625" t="s">
        <v>2748</v>
      </c>
      <c r="E1895" s="626"/>
      <c r="F1895" s="626"/>
      <c r="G1895" s="626"/>
      <c r="H1895" s="622" t="s">
        <v>4890</v>
      </c>
      <c r="I1895" s="627" t="s">
        <v>2746</v>
      </c>
      <c r="J1895" s="628"/>
      <c r="K1895" s="628"/>
      <c r="L1895" s="629"/>
      <c r="M1895" s="702" t="s">
        <v>5252</v>
      </c>
      <c r="N1895" s="693" t="str">
        <f>IF(AND(ISTEXT($A1895), ISERROR($A1895+0)), HYPERLINK($BF1895, "Images"), "")</f>
        <v>Images</v>
      </c>
      <c r="O1895" s="695" t="s">
        <v>5286</v>
      </c>
      <c r="P1895" s="630"/>
      <c r="Q1895" s="631"/>
      <c r="R1895" s="632"/>
      <c r="S1895" s="633"/>
      <c r="T1895" s="102">
        <f t="shared" si="1332"/>
        <v>0</v>
      </c>
      <c r="U1895" s="78" t="str">
        <f>IF(NOT(ISNUMBER(G1895)), "", VLOOKUP(A1895,'Discount Lookup'!D:E,2,FALSE)*G1895)</f>
        <v/>
      </c>
      <c r="V1895" s="78" t="str">
        <f>IF(NOT(ISNUMBER(G1895)), "", VLOOKUP(A1895,'Discount Lookup'!G:H,2,FALSE)*G1895)</f>
        <v/>
      </c>
      <c r="W1895" s="102">
        <f t="shared" si="1333"/>
        <v>0</v>
      </c>
      <c r="X1895" s="102" t="str">
        <f t="shared" si="1334"/>
        <v>Pale Lavender bloom</v>
      </c>
      <c r="Y1895" s="120" t="b">
        <f t="shared" si="1335"/>
        <v>0</v>
      </c>
      <c r="Z1895" s="117">
        <f t="shared" si="1336"/>
        <v>0</v>
      </c>
      <c r="AA1895" s="118"/>
      <c r="AB1895" s="118" t="str">
        <f t="shared" si="1337"/>
        <v/>
      </c>
      <c r="AC1895" s="712" t="str">
        <f>IF(AE1895="T2G","no charge",IF(AND(OR(PlanterYesMe="No",PlanterYesMe="N",PlanterYesMe="me"),H1895=""),"",IF(H1895="credit","NO install",IF(AND(K1895="",AE1895="me"),"EACH row",IF(AND(K1895="images",AE1895="me"),"EACH row",IF(D1895="","",IF(H1895="credit","",IF(AE1895="free","re-planting",IF(AE1895="me","   not ELP, by",IF(AND(OR(PlanterYesMe="Yes",PlanterYesMe="Y"),G1895&gt;0),(VLOOKUP(A1895,'Discount Lookup'!J:K,2)*G1895*(1-PlanterDiscount)*(1+PlanterDifficultyPercentage)),IF(AE1895="ELP",(VLOOKUP(A1895,'Discount Lookup'!J:K,2)*G1895*(1-PlanterDiscount)*(1+PlanterDifficultyPercentage)),IF(AE1895="free","re-planting",IF(G1895=0,"",IF(PlanterYesMe="",IF(AE1895="me","   not ELP, by",IF(AE1895="",IF(G1895&gt;0,(VLOOKUP(A1895,'Discount Lookup'!J:K,2)*G1895*(1-PlanterDiscount)*(1+PlanterDifficultyPercentage)),""),"")),"   not ELP, by"))))))))))))))</f>
        <v/>
      </c>
      <c r="AD1895" s="712"/>
      <c r="AE1895" s="513" t="str">
        <f t="shared" si="1338"/>
        <v/>
      </c>
      <c r="AF1895" s="713" t="str">
        <f t="shared" si="1339"/>
        <v/>
      </c>
      <c r="AG1895" s="713"/>
      <c r="AH1895" s="713"/>
      <c r="AI1895" s="112">
        <f>IF(H1895="credit",0,IF(AE1895="free",0,IF(AE1895="me",0,IF(G1895&gt;0,(VLOOKUP(A1895,'Discount Lookup'!J:K,2)*G1895),0))))</f>
        <v>0</v>
      </c>
      <c r="AJ1895" s="107" t="str">
        <f t="shared" ca="1" si="1340"/>
        <v/>
      </c>
      <c r="AK1895" s="714" t="str">
        <f t="shared" si="1341"/>
        <v/>
      </c>
      <c r="AL1895" s="714"/>
      <c r="AM1895" s="114" t="str">
        <f t="shared" si="1342"/>
        <v/>
      </c>
      <c r="AN1895" s="115"/>
      <c r="AO1895" s="116"/>
      <c r="AP1895" s="116"/>
      <c r="AQ1895" s="116"/>
      <c r="AR1895" s="116"/>
      <c r="AS1895" s="116"/>
      <c r="AT1895" s="116"/>
      <c r="AU1895" s="116"/>
      <c r="AV1895" s="78"/>
      <c r="AW1895" s="102"/>
      <c r="AX1895" s="78"/>
      <c r="AY1895" s="78"/>
      <c r="AZ1895" s="78"/>
      <c r="BA1895" s="78"/>
      <c r="BB1895" s="78"/>
      <c r="BC1895" s="78"/>
      <c r="BD1895" s="78"/>
      <c r="BE1895" s="465"/>
      <c r="BF1895" s="165" t="str">
        <f t="shared" si="1343"/>
        <v>https://www.google.com/search?tbm=isch&amp;q=Hosta%20%27Sum%20%26%20Substance%27%20Sum%20%26%20Substance%20Hosta</v>
      </c>
      <c r="BG1895" s="165" t="str">
        <f t="shared" si="1344"/>
        <v>H</v>
      </c>
      <c r="BH1895" s="65"/>
      <c r="BI1895" s="65"/>
      <c r="BJ1895" s="65"/>
      <c r="BK1895" s="65"/>
      <c r="BL1895" s="99"/>
      <c r="BM1895" s="99"/>
      <c r="BN1895" s="99"/>
    </row>
    <row r="1896" spans="1:66" s="51" customFormat="1" ht="15.75" x14ac:dyDescent="0.25">
      <c r="A1896" s="634">
        <v>1</v>
      </c>
      <c r="B1896" s="635" t="s">
        <v>291</v>
      </c>
      <c r="C1896" s="636" t="s">
        <v>4982</v>
      </c>
      <c r="D1896" s="637" t="s">
        <v>293</v>
      </c>
      <c r="E1896" s="638">
        <v>17.95</v>
      </c>
      <c r="F1896" s="639" t="s">
        <v>292</v>
      </c>
      <c r="G1896" s="484">
        <v>0</v>
      </c>
      <c r="H1896" s="691" t="str">
        <f>IF(G1896=0,"",IF(F1896="Buy",IF(G1896=1,"plant","plants"),IF(F1896&gt;0.01,"warranty","Error")))</f>
        <v/>
      </c>
      <c r="I1896" s="640">
        <f>IF(H1896="free",0,IF(H1896="credit",((E1896*(F1896))*G1896*-1),IF(F1896="Buy",(E1896*G1896),((E1896*(1-F1896))*G1896))))</f>
        <v>0</v>
      </c>
      <c r="J1896" s="640">
        <f>IF(H1896="warranty",0,(I1896*(_xlfn.SINGLE(SalesTaxPercentage))))</f>
        <v>0</v>
      </c>
      <c r="K1896" s="716">
        <f t="shared" ref="K1896" si="1352">I1896+J1896</f>
        <v>0</v>
      </c>
      <c r="L1896" s="716"/>
      <c r="M1896" s="689" t="str">
        <f ca="1">IF(AND(G1896&gt;0,E1896=0),"WARNING - no PRICE inserted",IF(H1896="free","FREE ~ no charge this plant",IF(H1896="credit",CONCATENATE("-$",ROUND(K1896*(1-_xlfn.SINGLE(T2GDiscount))*-1,2)," CREDIT after discount"),IF(_xlfn.SINGLE(T2GDiscount)=0,"",IF(G1896=0,"",IF(F1896="Buy",CONCATENATE("$",ROUND(K1896*(1-_xlfn.SINGLE(T2GDiscount)),2)," with ",(_xlfn.SINGLE(T2GDiscount)*100),"% discount"),CONCATENATE("$",ROUND(K1896*(1-_xlfn.SINGLE(T2GDiscount)),2)," with ",((_xlfn.SINGLE(T2GDiscount)*100+F1896*100)-(_xlfn.SINGLE(T2GDiscount)*100*F1896)),IF(F1896&gt;0,"% discounts",IF(_xlfn.SINGLE(NoWarrantyDiscount)&gt;0,"% discounts","% discount")))))))))</f>
        <v/>
      </c>
      <c r="N1896" s="690"/>
      <c r="O1896" s="486"/>
      <c r="P1896" s="486"/>
      <c r="Q1896" s="486"/>
      <c r="R1896" s="486"/>
      <c r="S1896" s="486"/>
      <c r="T1896" s="102">
        <f t="shared" si="1332"/>
        <v>0</v>
      </c>
      <c r="U1896" s="78">
        <f>IF(NOT(ISNUMBER(G1896)), "", VLOOKUP(A1896,'Discount Lookup'!D:E,2,FALSE)*G1896)</f>
        <v>0</v>
      </c>
      <c r="V1896" s="78">
        <f>IF(NOT(ISNUMBER(G1896)), "", VLOOKUP(A1896,'Discount Lookup'!G:H,2,FALSE)*G1896)</f>
        <v>0</v>
      </c>
      <c r="W1896" s="102">
        <f t="shared" si="1333"/>
        <v>0</v>
      </c>
      <c r="X1896" s="102">
        <f t="shared" si="1334"/>
        <v>0</v>
      </c>
      <c r="Y1896" s="120" t="b">
        <f t="shared" si="1335"/>
        <v>0</v>
      </c>
      <c r="Z1896" s="117">
        <f t="shared" si="1336"/>
        <v>0</v>
      </c>
      <c r="AA1896" s="118"/>
      <c r="AB1896" s="118" t="str">
        <f t="shared" si="1337"/>
        <v/>
      </c>
      <c r="AC1896" s="712" t="str">
        <f>IF(AE1896="T2G","no charge",IF(AND(OR(PlanterYesMe="No",PlanterYesMe="N",PlanterYesMe="me"),H1896=""),"",IF(H1896="credit","NO install",IF(AND(K1896="",AE1896="me"),"EACH row",IF(AND(K1896="images",AE1896="me"),"EACH row",IF(D1896="","",IF(H1896="credit","",IF(AE1896="free","re-planting",IF(AE1896="me","   not ELP, by",IF(AND(OR(PlanterYesMe="Yes",PlanterYesMe="Y"),G1896&gt;0),(VLOOKUP(A1896,'Discount Lookup'!J:K,2)*G1896*(1-PlanterDiscount)*(1+PlanterDifficultyPercentage)),IF(AE1896="ELP",(VLOOKUP(A1896,'Discount Lookup'!J:K,2)*G1896*(1-PlanterDiscount)*(1+PlanterDifficultyPercentage)),IF(AE1896="free","re-planting",IF(G1896=0,"",IF(PlanterYesMe="",IF(AE1896="me","   not ELP, by",IF(AE1896="",IF(G1896&gt;0,(VLOOKUP(A1896,'Discount Lookup'!J:K,2)*G1896*(1-PlanterDiscount)*(1+PlanterDifficultyPercentage)),""),"")),"   not ELP, by"))))))))))))))</f>
        <v/>
      </c>
      <c r="AD1896" s="712"/>
      <c r="AE1896" s="513" t="str">
        <f t="shared" si="1338"/>
        <v/>
      </c>
      <c r="AF1896" s="713" t="str">
        <f t="shared" si="1339"/>
        <v/>
      </c>
      <c r="AG1896" s="713"/>
      <c r="AH1896" s="713"/>
      <c r="AI1896" s="112">
        <f>IF(H1896="credit",0,IF(AE1896="free",0,IF(AE1896="me",0,IF(G1896&gt;0,(VLOOKUP(A1896,'Discount Lookup'!J:K,2)*G1896),0))))</f>
        <v>0</v>
      </c>
      <c r="AJ1896" s="107" t="str">
        <f t="shared" ca="1" si="1340"/>
        <v/>
      </c>
      <c r="AK1896" s="714" t="str">
        <f t="shared" si="1341"/>
        <v/>
      </c>
      <c r="AL1896" s="714"/>
      <c r="AM1896" s="114" t="str">
        <f t="shared" si="1342"/>
        <v/>
      </c>
      <c r="AN1896" s="115"/>
      <c r="AO1896" s="116"/>
      <c r="AP1896" s="116"/>
      <c r="AQ1896" s="116"/>
      <c r="AR1896" s="116"/>
      <c r="AS1896" s="116"/>
      <c r="AT1896" s="116"/>
      <c r="AU1896" s="116"/>
      <c r="AV1896" s="78"/>
      <c r="AW1896" s="102"/>
      <c r="AX1896" s="78"/>
      <c r="AY1896" s="78"/>
      <c r="AZ1896" s="78"/>
      <c r="BA1896" s="78"/>
      <c r="BB1896" s="78"/>
      <c r="BC1896" s="78"/>
      <c r="BD1896" s="78"/>
      <c r="BE1896" s="465"/>
      <c r="BF1896" s="165" t="str">
        <f t="shared" si="1343"/>
        <v>https://www.google.com/search?tbm=isch&amp;q=1%20G6</v>
      </c>
      <c r="BG1896" s="165" t="str">
        <f t="shared" si="1344"/>
        <v>H</v>
      </c>
      <c r="BH1896" s="65"/>
      <c r="BI1896" s="65"/>
      <c r="BJ1896" s="65"/>
      <c r="BK1896" s="65"/>
      <c r="BL1896" s="99"/>
      <c r="BM1896" s="99"/>
      <c r="BN1896" s="99"/>
    </row>
    <row r="1897" spans="1:66" s="51" customFormat="1" ht="15.75" x14ac:dyDescent="0.25">
      <c r="A1897" s="634">
        <v>1</v>
      </c>
      <c r="B1897" s="635" t="s">
        <v>291</v>
      </c>
      <c r="C1897" s="636" t="s">
        <v>2749</v>
      </c>
      <c r="D1897" s="637" t="s">
        <v>311</v>
      </c>
      <c r="E1897" s="638">
        <v>18.95</v>
      </c>
      <c r="F1897" s="639" t="s">
        <v>292</v>
      </c>
      <c r="G1897" s="484">
        <v>0</v>
      </c>
      <c r="H1897" s="691" t="str">
        <f>IF(G1897=0,"",IF(F1897="Buy",IF(G1897=1,"plant","plants"),IF(F1897&gt;0.01,"warranty","Error")))</f>
        <v/>
      </c>
      <c r="I1897" s="640">
        <f>IF(H1897="free",0,IF(H1897="credit",((E1897*(F1897))*G1897*-1),IF(F1897="Buy",(E1897*G1897),((E1897*(1-F1897))*G1897))))</f>
        <v>0</v>
      </c>
      <c r="J1897" s="640">
        <f>IF(H1897="warranty",0,(I1897*(_xlfn.SINGLE(SalesTaxPercentage))))</f>
        <v>0</v>
      </c>
      <c r="K1897" s="716">
        <f t="shared" ref="K1897" si="1353">I1897+J1897</f>
        <v>0</v>
      </c>
      <c r="L1897" s="716"/>
      <c r="M1897" s="689" t="str">
        <f ca="1">IF(AND(G1897&gt;0,E1897=0),"WARNING - no PRICE inserted",IF(H1897="free","FREE ~ no charge this plant",IF(H1897="credit",CONCATENATE("-$",ROUND(K1897*(1-_xlfn.SINGLE(T2GDiscount))*-1,2)," CREDIT after discount"),IF(_xlfn.SINGLE(T2GDiscount)=0,"",IF(G1897=0,"",IF(F1897="Buy",CONCATENATE("$",ROUND(K1897*(1-_xlfn.SINGLE(T2GDiscount)),2)," with ",(_xlfn.SINGLE(T2GDiscount)*100),"% discount"),CONCATENATE("$",ROUND(K1897*(1-_xlfn.SINGLE(T2GDiscount)),2)," with ",((_xlfn.SINGLE(T2GDiscount)*100+F1897*100)-(_xlfn.SINGLE(T2GDiscount)*100*F1897)),IF(F1897&gt;0,"% discounts",IF(_xlfn.SINGLE(NoWarrantyDiscount)&gt;0,"% discounts","% discount")))))))))</f>
        <v/>
      </c>
      <c r="N1897" s="690"/>
      <c r="O1897" s="486"/>
      <c r="P1897" s="486"/>
      <c r="Q1897" s="486"/>
      <c r="R1897" s="486"/>
      <c r="S1897" s="486"/>
      <c r="T1897" s="102">
        <f t="shared" si="1332"/>
        <v>0</v>
      </c>
      <c r="U1897" s="78">
        <f>IF(NOT(ISNUMBER(G1897)), "", VLOOKUP(A1897,'Discount Lookup'!D:E,2,FALSE)*G1897)</f>
        <v>0</v>
      </c>
      <c r="V1897" s="78">
        <f>IF(NOT(ISNUMBER(G1897)), "", VLOOKUP(A1897,'Discount Lookup'!G:H,2,FALSE)*G1897)</f>
        <v>0</v>
      </c>
      <c r="W1897" s="102">
        <f t="shared" si="1333"/>
        <v>0</v>
      </c>
      <c r="X1897" s="102">
        <f t="shared" si="1334"/>
        <v>0</v>
      </c>
      <c r="Y1897" s="120" t="b">
        <f t="shared" si="1335"/>
        <v>0</v>
      </c>
      <c r="Z1897" s="117">
        <f t="shared" si="1336"/>
        <v>0</v>
      </c>
      <c r="AA1897" s="118"/>
      <c r="AB1897" s="118" t="str">
        <f t="shared" si="1337"/>
        <v/>
      </c>
      <c r="AC1897" s="712" t="str">
        <f>IF(AE1897="T2G","no charge",IF(AND(OR(PlanterYesMe="No",PlanterYesMe="N",PlanterYesMe="me"),H1897=""),"",IF(H1897="credit","NO install",IF(AND(K1897="",AE1897="me"),"EACH row",IF(AND(K1897="images",AE1897="me"),"EACH row",IF(D1897="","",IF(H1897="credit","",IF(AE1897="free","re-planting",IF(AE1897="me","   not ELP, by",IF(AND(OR(PlanterYesMe="Yes",PlanterYesMe="Y"),G1897&gt;0),(VLOOKUP(A1897,'Discount Lookup'!J:K,2)*G1897*(1-PlanterDiscount)*(1+PlanterDifficultyPercentage)),IF(AE1897="ELP",(VLOOKUP(A1897,'Discount Lookup'!J:K,2)*G1897*(1-PlanterDiscount)*(1+PlanterDifficultyPercentage)),IF(AE1897="free","re-planting",IF(G1897=0,"",IF(PlanterYesMe="",IF(AE1897="me","   not ELP, by",IF(AE1897="",IF(G1897&gt;0,(VLOOKUP(A1897,'Discount Lookup'!J:K,2)*G1897*(1-PlanterDiscount)*(1+PlanterDifficultyPercentage)),""),"")),"   not ELP, by"))))))))))))))</f>
        <v/>
      </c>
      <c r="AD1897" s="712"/>
      <c r="AE1897" s="513" t="str">
        <f t="shared" si="1338"/>
        <v/>
      </c>
      <c r="AF1897" s="713" t="str">
        <f t="shared" si="1339"/>
        <v/>
      </c>
      <c r="AG1897" s="713"/>
      <c r="AH1897" s="713"/>
      <c r="AI1897" s="112">
        <f>IF(H1897="credit",0,IF(AE1897="free",0,IF(AE1897="me",0,IF(G1897&gt;0,(VLOOKUP(A1897,'Discount Lookup'!J:K,2)*G1897),0))))</f>
        <v>0</v>
      </c>
      <c r="AJ1897" s="107" t="str">
        <f t="shared" ca="1" si="1340"/>
        <v/>
      </c>
      <c r="AK1897" s="714" t="str">
        <f t="shared" si="1341"/>
        <v/>
      </c>
      <c r="AL1897" s="714"/>
      <c r="AM1897" s="114" t="str">
        <f t="shared" si="1342"/>
        <v/>
      </c>
      <c r="AN1897" s="115"/>
      <c r="AO1897" s="116"/>
      <c r="AP1897" s="116"/>
      <c r="AQ1897" s="116"/>
      <c r="AR1897" s="116"/>
      <c r="AS1897" s="116"/>
      <c r="AT1897" s="116"/>
      <c r="AU1897" s="116"/>
      <c r="AV1897" s="78"/>
      <c r="AW1897" s="102"/>
      <c r="AX1897" s="78"/>
      <c r="AY1897" s="78"/>
      <c r="AZ1897" s="78"/>
      <c r="BA1897" s="78"/>
      <c r="BB1897" s="78"/>
      <c r="BC1897" s="78"/>
      <c r="BD1897" s="78"/>
      <c r="BE1897" s="465"/>
      <c r="BF1897" s="165" t="str">
        <f t="shared" si="1343"/>
        <v>https://www.google.com/search?tbm=isch&amp;q=1%20G5</v>
      </c>
      <c r="BG1897" s="165" t="str">
        <f t="shared" si="1344"/>
        <v>H</v>
      </c>
      <c r="BH1897" s="65"/>
      <c r="BI1897" s="65"/>
      <c r="BJ1897" s="65"/>
      <c r="BK1897" s="65"/>
      <c r="BL1897" s="99"/>
      <c r="BM1897" s="99"/>
      <c r="BN1897" s="99"/>
    </row>
    <row r="1898" spans="1:66" s="51" customFormat="1" ht="17.25" thickBot="1" x14ac:dyDescent="0.3">
      <c r="A1898" s="704" t="s">
        <v>5423</v>
      </c>
      <c r="B1898" s="642"/>
      <c r="C1898" s="710"/>
      <c r="D1898" s="643"/>
      <c r="E1898" s="643"/>
      <c r="F1898" s="644"/>
      <c r="G1898" s="645"/>
      <c r="H1898" s="646"/>
      <c r="I1898" s="647"/>
      <c r="J1898" s="648"/>
      <c r="K1898" s="649"/>
      <c r="L1898" s="650"/>
      <c r="M1898" s="650"/>
      <c r="N1898" s="644"/>
      <c r="O1898" s="644"/>
      <c r="P1898" s="644"/>
      <c r="Q1898" s="644"/>
      <c r="R1898" s="644"/>
      <c r="S1898" s="701" t="s">
        <v>5287</v>
      </c>
      <c r="T1898" s="102">
        <f t="shared" si="1332"/>
        <v>0</v>
      </c>
      <c r="U1898" s="78" t="str">
        <f>IF(NOT(ISNUMBER(G1898)), "", VLOOKUP(A1898,'Discount Lookup'!D:E,2,FALSE)*G1898)</f>
        <v/>
      </c>
      <c r="V1898" s="78" t="str">
        <f>IF(NOT(ISNUMBER(G1898)), "", VLOOKUP(A1898,'Discount Lookup'!G:H,2,FALSE)*G1898)</f>
        <v/>
      </c>
      <c r="W1898" s="102">
        <f t="shared" si="1333"/>
        <v>0</v>
      </c>
      <c r="X1898" s="102">
        <f t="shared" si="1334"/>
        <v>0</v>
      </c>
      <c r="Y1898" s="120" t="b">
        <f t="shared" si="1335"/>
        <v>0</v>
      </c>
      <c r="Z1898" s="117">
        <f t="shared" si="1336"/>
        <v>0</v>
      </c>
      <c r="AA1898" s="118"/>
      <c r="AB1898" s="118" t="str">
        <f t="shared" si="1337"/>
        <v/>
      </c>
      <c r="AC1898" s="712" t="str">
        <f>IF(AE1898="T2G","no charge",IF(AND(OR(PlanterYesMe="No",PlanterYesMe="N",PlanterYesMe="me"),H1898=""),"",IF(H1898="credit","NO install",IF(AND(K1898="",AE1898="me"),"EACH row",IF(AND(K1898="images",AE1898="me"),"EACH row",IF(D1898="","",IF(H1898="credit","",IF(AE1898="free","re-planting",IF(AE1898="me","   not ELP, by",IF(AND(OR(PlanterYesMe="Yes",PlanterYesMe="Y"),G1898&gt;0),(VLOOKUP(A1898,'Discount Lookup'!J:K,2)*G1898*(1-PlanterDiscount)*(1+PlanterDifficultyPercentage)),IF(AE1898="ELP",(VLOOKUP(A1898,'Discount Lookup'!J:K,2)*G1898*(1-PlanterDiscount)*(1+PlanterDifficultyPercentage)),IF(AE1898="free","re-planting",IF(G1898=0,"",IF(PlanterYesMe="",IF(AE1898="me","   not ELP, by",IF(AE1898="",IF(G1898&gt;0,(VLOOKUP(A1898,'Discount Lookup'!J:K,2)*G1898*(1-PlanterDiscount)*(1+PlanterDifficultyPercentage)),""),"")),"   not ELP, by"))))))))))))))</f>
        <v/>
      </c>
      <c r="AD1898" s="712"/>
      <c r="AE1898" s="513" t="str">
        <f t="shared" si="1338"/>
        <v/>
      </c>
      <c r="AF1898" s="713" t="str">
        <f t="shared" si="1339"/>
        <v/>
      </c>
      <c r="AG1898" s="713"/>
      <c r="AH1898" s="713"/>
      <c r="AI1898" s="112">
        <f>IF(H1898="credit",0,IF(AE1898="free",0,IF(AE1898="me",0,IF(G1898&gt;0,(VLOOKUP(A1898,'Discount Lookup'!J:K,2)*G1898),0))))</f>
        <v>0</v>
      </c>
      <c r="AJ1898" s="107" t="str">
        <f t="shared" ca="1" si="1340"/>
        <v/>
      </c>
      <c r="AK1898" s="714" t="str">
        <f t="shared" si="1341"/>
        <v/>
      </c>
      <c r="AL1898" s="714"/>
      <c r="AM1898" s="114" t="str">
        <f t="shared" si="1342"/>
        <v/>
      </c>
      <c r="AN1898" s="115"/>
      <c r="AO1898" s="116"/>
      <c r="AP1898" s="116"/>
      <c r="AQ1898" s="116"/>
      <c r="AR1898" s="116"/>
      <c r="AS1898" s="116"/>
      <c r="AT1898" s="116"/>
      <c r="AU1898" s="116"/>
      <c r="AV1898" s="78"/>
      <c r="AW1898" s="102"/>
      <c r="AX1898" s="78"/>
      <c r="AY1898" s="78"/>
      <c r="AZ1898" s="78"/>
      <c r="BA1898" s="78"/>
      <c r="BB1898" s="78"/>
      <c r="BC1898" s="78"/>
      <c r="BD1898" s="78"/>
      <c r="BE1898" s="465"/>
      <c r="BF1898" s="165" t="str">
        <f t="shared" si="1343"/>
        <v>https://www.google.com/search?tbm=isch&amp;q=moist%20sites%F0%9F%92%A7OK%2C%20Sum%20%26%20Substance%20is%20the%20largest%20Hosta.%20Heart-shaped%2C%20Chartreuse-to-Golden-Yellow%20foliage%20</v>
      </c>
      <c r="BG1898" s="165" t="str">
        <f t="shared" si="1344"/>
        <v>m</v>
      </c>
      <c r="BH1898" s="65"/>
      <c r="BI1898" s="65"/>
      <c r="BJ1898" s="65"/>
      <c r="BK1898" s="65"/>
      <c r="BL1898" s="99"/>
      <c r="BM1898" s="99"/>
      <c r="BN1898" s="99"/>
    </row>
    <row r="1899" spans="1:66" s="51" customFormat="1" ht="18" x14ac:dyDescent="0.25">
      <c r="A1899" s="623" t="s">
        <v>4742</v>
      </c>
      <c r="B1899" s="624"/>
      <c r="C1899" s="709"/>
      <c r="D1899" s="625" t="s">
        <v>4743</v>
      </c>
      <c r="E1899" s="626"/>
      <c r="F1899" s="626"/>
      <c r="G1899" s="626"/>
      <c r="H1899" s="622" t="s">
        <v>4737</v>
      </c>
      <c r="I1899" s="627" t="s">
        <v>2746</v>
      </c>
      <c r="J1899" s="628"/>
      <c r="K1899" s="628"/>
      <c r="L1899" s="629"/>
      <c r="M1899" s="702" t="s">
        <v>5256</v>
      </c>
      <c r="N1899" s="693" t="str">
        <f>IF(AND(ISTEXT($A1899), ISERROR($A1899+0)), HYPERLINK($BF1899, "Images"), "")</f>
        <v>Images</v>
      </c>
      <c r="O1899" s="695" t="s">
        <v>5286</v>
      </c>
      <c r="P1899" s="630"/>
      <c r="Q1899" s="631"/>
      <c r="R1899" s="632"/>
      <c r="S1899" s="633"/>
      <c r="T1899" s="102">
        <f t="shared" si="1332"/>
        <v>0</v>
      </c>
      <c r="U1899" s="78" t="str">
        <f>IF(NOT(ISNUMBER(G1899)), "", VLOOKUP(A1899,'Discount Lookup'!D:E,2,FALSE)*G1899)</f>
        <v/>
      </c>
      <c r="V1899" s="78" t="str">
        <f>IF(NOT(ISNUMBER(G1899)), "", VLOOKUP(A1899,'Discount Lookup'!G:H,2,FALSE)*G1899)</f>
        <v/>
      </c>
      <c r="W1899" s="102">
        <f t="shared" si="1333"/>
        <v>0</v>
      </c>
      <c r="X1899" s="102" t="str">
        <f t="shared" si="1334"/>
        <v>Pale Lavender bloom</v>
      </c>
      <c r="Y1899" s="120" t="b">
        <f t="shared" si="1335"/>
        <v>0</v>
      </c>
      <c r="Z1899" s="117">
        <f t="shared" si="1336"/>
        <v>0</v>
      </c>
      <c r="AA1899" s="118"/>
      <c r="AB1899" s="118" t="str">
        <f t="shared" si="1337"/>
        <v/>
      </c>
      <c r="AC1899" s="712" t="str">
        <f>IF(AE1899="T2G","no charge",IF(AND(OR(PlanterYesMe="No",PlanterYesMe="N",PlanterYesMe="me"),H1899=""),"",IF(H1899="credit","NO install",IF(AND(K1899="",AE1899="me"),"EACH row",IF(AND(K1899="images",AE1899="me"),"EACH row",IF(D1899="","",IF(H1899="credit","",IF(AE1899="free","re-planting",IF(AE1899="me","   not ELP, by",IF(AND(OR(PlanterYesMe="Yes",PlanterYesMe="Y"),G1899&gt;0),(VLOOKUP(A1899,'Discount Lookup'!J:K,2)*G1899*(1-PlanterDiscount)*(1+PlanterDifficultyPercentage)),IF(AE1899="ELP",(VLOOKUP(A1899,'Discount Lookup'!J:K,2)*G1899*(1-PlanterDiscount)*(1+PlanterDifficultyPercentage)),IF(AE1899="free","re-planting",IF(G1899=0,"",IF(PlanterYesMe="",IF(AE1899="me","   not ELP, by",IF(AE1899="",IF(G1899&gt;0,(VLOOKUP(A1899,'Discount Lookup'!J:K,2)*G1899*(1-PlanterDiscount)*(1+PlanterDifficultyPercentage)),""),"")),"   not ELP, by"))))))))))))))</f>
        <v/>
      </c>
      <c r="AD1899" s="712"/>
      <c r="AE1899" s="513" t="str">
        <f t="shared" si="1338"/>
        <v/>
      </c>
      <c r="AF1899" s="713" t="str">
        <f t="shared" si="1339"/>
        <v/>
      </c>
      <c r="AG1899" s="713"/>
      <c r="AH1899" s="713"/>
      <c r="AI1899" s="112">
        <f>IF(H1899="credit",0,IF(AE1899="free",0,IF(AE1899="me",0,IF(G1899&gt;0,(VLOOKUP(A1899,'Discount Lookup'!J:K,2)*G1899),0))))</f>
        <v>0</v>
      </c>
      <c r="AJ1899" s="107" t="str">
        <f t="shared" ca="1" si="1340"/>
        <v/>
      </c>
      <c r="AK1899" s="714" t="str">
        <f t="shared" si="1341"/>
        <v/>
      </c>
      <c r="AL1899" s="714"/>
      <c r="AM1899" s="114" t="str">
        <f t="shared" si="1342"/>
        <v/>
      </c>
      <c r="AN1899" s="115"/>
      <c r="AO1899" s="116"/>
      <c r="AP1899" s="116"/>
      <c r="AQ1899" s="116"/>
      <c r="AR1899" s="116"/>
      <c r="AS1899" s="116"/>
      <c r="AT1899" s="116"/>
      <c r="AU1899" s="116"/>
      <c r="AV1899" s="78"/>
      <c r="AW1899" s="102"/>
      <c r="AX1899" s="78"/>
      <c r="AY1899" s="78"/>
      <c r="AZ1899" s="78"/>
      <c r="BA1899" s="78"/>
      <c r="BB1899" s="78"/>
      <c r="BC1899" s="78"/>
      <c r="BD1899" s="78"/>
      <c r="BE1899" s="465"/>
      <c r="BF1899" s="165" t="str">
        <f t="shared" si="1343"/>
        <v>https://www.google.com/search?tbm=isch&amp;q=Hosta%20undulata%20%27Variegata%27%20Variegated%20Wavy%20Leaf%20Hosta</v>
      </c>
      <c r="BG1899" s="165" t="str">
        <f t="shared" si="1344"/>
        <v>H</v>
      </c>
      <c r="BH1899" s="65"/>
      <c r="BI1899" s="65"/>
      <c r="BJ1899" s="65"/>
      <c r="BK1899" s="65"/>
      <c r="BL1899" s="99"/>
      <c r="BM1899" s="99"/>
      <c r="BN1899" s="99"/>
    </row>
    <row r="1900" spans="1:66" s="51" customFormat="1" ht="15.75" x14ac:dyDescent="0.25">
      <c r="A1900" s="634">
        <v>1</v>
      </c>
      <c r="B1900" s="635" t="s">
        <v>291</v>
      </c>
      <c r="C1900" s="636" t="s">
        <v>2750</v>
      </c>
      <c r="D1900" s="637" t="s">
        <v>311</v>
      </c>
      <c r="E1900" s="638">
        <v>10.95</v>
      </c>
      <c r="F1900" s="639" t="s">
        <v>292</v>
      </c>
      <c r="G1900" s="484">
        <v>0</v>
      </c>
      <c r="H1900" s="691" t="str">
        <f>IF(G1900=0,"",IF(F1900="Buy",IF(G1900=1,"plant","plants"),IF(F1900&gt;0.01,"warranty","Error")))</f>
        <v/>
      </c>
      <c r="I1900" s="640">
        <f>IF(H1900="free",0,IF(H1900="credit",((E1900*(F1900))*G1900*-1),IF(F1900="Buy",(E1900*G1900),((E1900*(1-F1900))*G1900))))</f>
        <v>0</v>
      </c>
      <c r="J1900" s="640">
        <f>IF(H1900="warranty",0,(I1900*(_xlfn.SINGLE(SalesTaxPercentage))))</f>
        <v>0</v>
      </c>
      <c r="K1900" s="716">
        <f t="shared" ref="K1900" si="1354">I1900+J1900</f>
        <v>0</v>
      </c>
      <c r="L1900" s="716"/>
      <c r="M1900" s="689" t="str">
        <f ca="1">IF(AND(G1900&gt;0,E1900=0),"WARNING - no PRICE inserted",IF(H1900="free","FREE ~ no charge this plant",IF(H1900="credit",CONCATENATE("-$",ROUND(K1900*(1-_xlfn.SINGLE(T2GDiscount))*-1,2)," CREDIT after discount"),IF(_xlfn.SINGLE(T2GDiscount)=0,"",IF(G1900=0,"",IF(F1900="Buy",CONCATENATE("$",ROUND(K1900*(1-_xlfn.SINGLE(T2GDiscount)),2)," with ",(_xlfn.SINGLE(T2GDiscount)*100),"% discount"),CONCATENATE("$",ROUND(K1900*(1-_xlfn.SINGLE(T2GDiscount)),2)," with ",((_xlfn.SINGLE(T2GDiscount)*100+F1900*100)-(_xlfn.SINGLE(T2GDiscount)*100*F1900)),IF(F1900&gt;0,"% discounts",IF(_xlfn.SINGLE(NoWarrantyDiscount)&gt;0,"% discounts","% discount")))))))))</f>
        <v/>
      </c>
      <c r="N1900" s="690"/>
      <c r="O1900" s="486"/>
      <c r="P1900" s="486"/>
      <c r="Q1900" s="486"/>
      <c r="R1900" s="486"/>
      <c r="S1900" s="486"/>
      <c r="T1900" s="102">
        <f t="shared" si="1332"/>
        <v>0</v>
      </c>
      <c r="U1900" s="78">
        <f>IF(NOT(ISNUMBER(G1900)), "", VLOOKUP(A1900,'Discount Lookup'!D:E,2,FALSE)*G1900)</f>
        <v>0</v>
      </c>
      <c r="V1900" s="78">
        <f>IF(NOT(ISNUMBER(G1900)), "", VLOOKUP(A1900,'Discount Lookup'!G:H,2,FALSE)*G1900)</f>
        <v>0</v>
      </c>
      <c r="W1900" s="102">
        <f t="shared" si="1333"/>
        <v>0</v>
      </c>
      <c r="X1900" s="102">
        <f t="shared" si="1334"/>
        <v>0</v>
      </c>
      <c r="Y1900" s="120" t="b">
        <f t="shared" si="1335"/>
        <v>0</v>
      </c>
      <c r="Z1900" s="117">
        <f t="shared" si="1336"/>
        <v>0</v>
      </c>
      <c r="AA1900" s="118"/>
      <c r="AB1900" s="118" t="str">
        <f t="shared" si="1337"/>
        <v/>
      </c>
      <c r="AC1900" s="712" t="str">
        <f>IF(AE1900="T2G","no charge",IF(AND(OR(PlanterYesMe="No",PlanterYesMe="N",PlanterYesMe="me"),H1900=""),"",IF(H1900="credit","NO install",IF(AND(K1900="",AE1900="me"),"EACH row",IF(AND(K1900="images",AE1900="me"),"EACH row",IF(D1900="","",IF(H1900="credit","",IF(AE1900="free","re-planting",IF(AE1900="me","   not ELP, by",IF(AND(OR(PlanterYesMe="Yes",PlanterYesMe="Y"),G1900&gt;0),(VLOOKUP(A1900,'Discount Lookup'!J:K,2)*G1900*(1-PlanterDiscount)*(1+PlanterDifficultyPercentage)),IF(AE1900="ELP",(VLOOKUP(A1900,'Discount Lookup'!J:K,2)*G1900*(1-PlanterDiscount)*(1+PlanterDifficultyPercentage)),IF(AE1900="free","re-planting",IF(G1900=0,"",IF(PlanterYesMe="",IF(AE1900="me","   not ELP, by",IF(AE1900="",IF(G1900&gt;0,(VLOOKUP(A1900,'Discount Lookup'!J:K,2)*G1900*(1-PlanterDiscount)*(1+PlanterDifficultyPercentage)),""),"")),"   not ELP, by"))))))))))))))</f>
        <v/>
      </c>
      <c r="AD1900" s="712"/>
      <c r="AE1900" s="513" t="str">
        <f t="shared" si="1338"/>
        <v/>
      </c>
      <c r="AF1900" s="713" t="str">
        <f t="shared" si="1339"/>
        <v/>
      </c>
      <c r="AG1900" s="713"/>
      <c r="AH1900" s="713"/>
      <c r="AI1900" s="112">
        <f>IF(H1900="credit",0,IF(AE1900="free",0,IF(AE1900="me",0,IF(G1900&gt;0,(VLOOKUP(A1900,'Discount Lookup'!J:K,2)*G1900),0))))</f>
        <v>0</v>
      </c>
      <c r="AJ1900" s="107" t="str">
        <f t="shared" ca="1" si="1340"/>
        <v/>
      </c>
      <c r="AK1900" s="714" t="str">
        <f t="shared" si="1341"/>
        <v/>
      </c>
      <c r="AL1900" s="714"/>
      <c r="AM1900" s="114" t="str">
        <f t="shared" si="1342"/>
        <v/>
      </c>
      <c r="AN1900" s="115"/>
      <c r="AO1900" s="116"/>
      <c r="AP1900" s="116"/>
      <c r="AQ1900" s="116"/>
      <c r="AR1900" s="116"/>
      <c r="AS1900" s="116"/>
      <c r="AT1900" s="116"/>
      <c r="AU1900" s="116"/>
      <c r="AV1900" s="78"/>
      <c r="AW1900" s="102"/>
      <c r="AX1900" s="78"/>
      <c r="AY1900" s="78"/>
      <c r="AZ1900" s="78"/>
      <c r="BA1900" s="78"/>
      <c r="BB1900" s="78"/>
      <c r="BC1900" s="78"/>
      <c r="BD1900" s="78"/>
      <c r="BE1900" s="465"/>
      <c r="BF1900" s="165" t="str">
        <f t="shared" si="1343"/>
        <v>https://www.google.com/search?tbm=isch&amp;q=1%20G5</v>
      </c>
      <c r="BG1900" s="165" t="str">
        <f t="shared" si="1344"/>
        <v>H</v>
      </c>
      <c r="BH1900" s="65"/>
      <c r="BI1900" s="65"/>
      <c r="BJ1900" s="65"/>
      <c r="BK1900" s="65"/>
      <c r="BL1900" s="99"/>
      <c r="BM1900" s="99"/>
      <c r="BN1900" s="99"/>
    </row>
    <row r="1901" spans="1:66" s="51" customFormat="1" ht="17.25" thickBot="1" x14ac:dyDescent="0.3">
      <c r="A1901" s="704" t="s">
        <v>5424</v>
      </c>
      <c r="B1901" s="642"/>
      <c r="C1901" s="710"/>
      <c r="D1901" s="643"/>
      <c r="E1901" s="643"/>
      <c r="F1901" s="644"/>
      <c r="G1901" s="645"/>
      <c r="H1901" s="646"/>
      <c r="I1901" s="647"/>
      <c r="J1901" s="648"/>
      <c r="K1901" s="649"/>
      <c r="L1901" s="650"/>
      <c r="M1901" s="650"/>
      <c r="N1901" s="644"/>
      <c r="O1901" s="644"/>
      <c r="P1901" s="644"/>
      <c r="Q1901" s="644"/>
      <c r="R1901" s="644"/>
      <c r="S1901" s="701" t="s">
        <v>5287</v>
      </c>
      <c r="T1901" s="102">
        <f t="shared" si="1332"/>
        <v>0</v>
      </c>
      <c r="U1901" s="78" t="str">
        <f>IF(NOT(ISNUMBER(G1901)), "", VLOOKUP(A1901,'Discount Lookup'!D:E,2,FALSE)*G1901)</f>
        <v/>
      </c>
      <c r="V1901" s="78" t="str">
        <f>IF(NOT(ISNUMBER(G1901)), "", VLOOKUP(A1901,'Discount Lookup'!G:H,2,FALSE)*G1901)</f>
        <v/>
      </c>
      <c r="W1901" s="102">
        <f t="shared" si="1333"/>
        <v>0</v>
      </c>
      <c r="X1901" s="102">
        <f t="shared" si="1334"/>
        <v>0</v>
      </c>
      <c r="Y1901" s="120" t="b">
        <f t="shared" si="1335"/>
        <v>0</v>
      </c>
      <c r="Z1901" s="117">
        <f t="shared" si="1336"/>
        <v>0</v>
      </c>
      <c r="AA1901" s="118"/>
      <c r="AB1901" s="118" t="str">
        <f t="shared" si="1337"/>
        <v/>
      </c>
      <c r="AC1901" s="712" t="str">
        <f>IF(AE1901="T2G","no charge",IF(AND(OR(PlanterYesMe="No",PlanterYesMe="N",PlanterYesMe="me"),H1901=""),"",IF(H1901="credit","NO install",IF(AND(K1901="",AE1901="me"),"EACH row",IF(AND(K1901="images",AE1901="me"),"EACH row",IF(D1901="","",IF(H1901="credit","",IF(AE1901="free","re-planting",IF(AE1901="me","   not ELP, by",IF(AND(OR(PlanterYesMe="Yes",PlanterYesMe="Y"),G1901&gt;0),(VLOOKUP(A1901,'Discount Lookup'!J:K,2)*G1901*(1-PlanterDiscount)*(1+PlanterDifficultyPercentage)),IF(AE1901="ELP",(VLOOKUP(A1901,'Discount Lookup'!J:K,2)*G1901*(1-PlanterDiscount)*(1+PlanterDifficultyPercentage)),IF(AE1901="free","re-planting",IF(G1901=0,"",IF(PlanterYesMe="",IF(AE1901="me","   not ELP, by",IF(AE1901="",IF(G1901&gt;0,(VLOOKUP(A1901,'Discount Lookup'!J:K,2)*G1901*(1-PlanterDiscount)*(1+PlanterDifficultyPercentage)),""),"")),"   not ELP, by"))))))))))))))</f>
        <v/>
      </c>
      <c r="AD1901" s="712"/>
      <c r="AE1901" s="513" t="str">
        <f t="shared" si="1338"/>
        <v/>
      </c>
      <c r="AF1901" s="713" t="str">
        <f t="shared" si="1339"/>
        <v/>
      </c>
      <c r="AG1901" s="713"/>
      <c r="AH1901" s="713"/>
      <c r="AI1901" s="112">
        <f>IF(H1901="credit",0,IF(AE1901="free",0,IF(AE1901="me",0,IF(G1901&gt;0,(VLOOKUP(A1901,'Discount Lookup'!J:K,2)*G1901),0))))</f>
        <v>0</v>
      </c>
      <c r="AJ1901" s="107" t="str">
        <f t="shared" ca="1" si="1340"/>
        <v/>
      </c>
      <c r="AK1901" s="714" t="str">
        <f t="shared" si="1341"/>
        <v/>
      </c>
      <c r="AL1901" s="714"/>
      <c r="AM1901" s="114" t="str">
        <f t="shared" si="1342"/>
        <v/>
      </c>
      <c r="AN1901" s="115"/>
      <c r="AO1901" s="116"/>
      <c r="AP1901" s="116"/>
      <c r="AQ1901" s="116"/>
      <c r="AR1901" s="116"/>
      <c r="AS1901" s="116"/>
      <c r="AT1901" s="116"/>
      <c r="AU1901" s="116"/>
      <c r="AV1901" s="78"/>
      <c r="AW1901" s="102"/>
      <c r="AX1901" s="78"/>
      <c r="AY1901" s="78"/>
      <c r="AZ1901" s="78"/>
      <c r="BA1901" s="78"/>
      <c r="BB1901" s="78"/>
      <c r="BC1901" s="78"/>
      <c r="BD1901" s="78"/>
      <c r="BE1901" s="465"/>
      <c r="BF1901" s="165" t="str">
        <f t="shared" si="1343"/>
        <v>https://www.google.com/search?tbm=isch&amp;q=moist%20sites%F0%9F%92%A7OK%2C%20Variegated%20Wavy%20Leaf%20has%20a%20unique%20White-to-Cream%20center%20that%20twists%20as%20it%20grows%20</v>
      </c>
      <c r="BG1901" s="165" t="str">
        <f t="shared" si="1344"/>
        <v>m</v>
      </c>
      <c r="BH1901" s="65"/>
      <c r="BI1901" s="65"/>
      <c r="BJ1901" s="65"/>
      <c r="BK1901" s="65"/>
      <c r="BL1901" s="99"/>
      <c r="BM1901" s="99"/>
      <c r="BN1901" s="99"/>
    </row>
    <row r="1902" spans="1:66" s="51" customFormat="1" ht="18" x14ac:dyDescent="0.25">
      <c r="A1902" s="623" t="s">
        <v>2751</v>
      </c>
      <c r="B1902" s="624"/>
      <c r="C1902" s="709"/>
      <c r="D1902" s="625" t="s">
        <v>2752</v>
      </c>
      <c r="E1902" s="626"/>
      <c r="F1902" s="626"/>
      <c r="G1902" s="626"/>
      <c r="H1902" s="622" t="s">
        <v>4890</v>
      </c>
      <c r="I1902" s="627" t="s">
        <v>2736</v>
      </c>
      <c r="J1902" s="628"/>
      <c r="K1902" s="628"/>
      <c r="L1902" s="629"/>
      <c r="M1902" s="702" t="s">
        <v>5256</v>
      </c>
      <c r="N1902" s="693" t="str">
        <f>IF(AND(ISTEXT($A1902), ISERROR($A1902+0)), HYPERLINK($BF1902, "Images"), "")</f>
        <v>Images</v>
      </c>
      <c r="O1902" s="695" t="s">
        <v>5264</v>
      </c>
      <c r="P1902" s="630"/>
      <c r="Q1902" s="631"/>
      <c r="R1902" s="632"/>
      <c r="S1902" s="633"/>
      <c r="T1902" s="102">
        <f t="shared" si="1332"/>
        <v>0</v>
      </c>
      <c r="U1902" s="78" t="str">
        <f>IF(NOT(ISNUMBER(G1902)), "", VLOOKUP(A1902,'Discount Lookup'!D:E,2,FALSE)*G1902)</f>
        <v/>
      </c>
      <c r="V1902" s="78" t="str">
        <f>IF(NOT(ISNUMBER(G1902)), "", VLOOKUP(A1902,'Discount Lookup'!G:H,2,FALSE)*G1902)</f>
        <v/>
      </c>
      <c r="W1902" s="102">
        <f t="shared" si="1333"/>
        <v>0</v>
      </c>
      <c r="X1902" s="102" t="str">
        <f t="shared" si="1334"/>
        <v>White-Lavender bloom</v>
      </c>
      <c r="Y1902" s="120" t="b">
        <f t="shared" si="1335"/>
        <v>0</v>
      </c>
      <c r="Z1902" s="117">
        <f t="shared" si="1336"/>
        <v>0</v>
      </c>
      <c r="AA1902" s="118"/>
      <c r="AB1902" s="118" t="str">
        <f t="shared" si="1337"/>
        <v/>
      </c>
      <c r="AC1902" s="712" t="str">
        <f>IF(AE1902="T2G","no charge",IF(AND(OR(PlanterYesMe="No",PlanterYesMe="N",PlanterYesMe="me"),H1902=""),"",IF(H1902="credit","NO install",IF(AND(K1902="",AE1902="me"),"EACH row",IF(AND(K1902="images",AE1902="me"),"EACH row",IF(D1902="","",IF(H1902="credit","",IF(AE1902="free","re-planting",IF(AE1902="me","   not ELP, by",IF(AND(OR(PlanterYesMe="Yes",PlanterYesMe="Y"),G1902&gt;0),(VLOOKUP(A1902,'Discount Lookup'!J:K,2)*G1902*(1-PlanterDiscount)*(1+PlanterDifficultyPercentage)),IF(AE1902="ELP",(VLOOKUP(A1902,'Discount Lookup'!J:K,2)*G1902*(1-PlanterDiscount)*(1+PlanterDifficultyPercentage)),IF(AE1902="free","re-planting",IF(G1902=0,"",IF(PlanterYesMe="",IF(AE1902="me","   not ELP, by",IF(AE1902="",IF(G1902&gt;0,(VLOOKUP(A1902,'Discount Lookup'!J:K,2)*G1902*(1-PlanterDiscount)*(1+PlanterDifficultyPercentage)),""),"")),"   not ELP, by"))))))))))))))</f>
        <v/>
      </c>
      <c r="AD1902" s="712"/>
      <c r="AE1902" s="513" t="str">
        <f t="shared" si="1338"/>
        <v/>
      </c>
      <c r="AF1902" s="713" t="str">
        <f t="shared" si="1339"/>
        <v/>
      </c>
      <c r="AG1902" s="713"/>
      <c r="AH1902" s="713"/>
      <c r="AI1902" s="112">
        <f>IF(H1902="credit",0,IF(AE1902="free",0,IF(AE1902="me",0,IF(G1902&gt;0,(VLOOKUP(A1902,'Discount Lookup'!J:K,2)*G1902),0))))</f>
        <v>0</v>
      </c>
      <c r="AJ1902" s="107" t="str">
        <f t="shared" ca="1" si="1340"/>
        <v/>
      </c>
      <c r="AK1902" s="714" t="str">
        <f t="shared" si="1341"/>
        <v/>
      </c>
      <c r="AL1902" s="714"/>
      <c r="AM1902" s="114" t="str">
        <f t="shared" si="1342"/>
        <v/>
      </c>
      <c r="AN1902" s="115"/>
      <c r="AO1902" s="116"/>
      <c r="AP1902" s="116"/>
      <c r="AQ1902" s="116"/>
      <c r="AR1902" s="116"/>
      <c r="AS1902" s="116"/>
      <c r="AT1902" s="116"/>
      <c r="AU1902" s="116"/>
      <c r="AV1902" s="78"/>
      <c r="AW1902" s="102"/>
      <c r="AX1902" s="78"/>
      <c r="AY1902" s="78"/>
      <c r="AZ1902" s="78"/>
      <c r="BA1902" s="78"/>
      <c r="BB1902" s="78"/>
      <c r="BC1902" s="78"/>
      <c r="BD1902" s="78"/>
      <c r="BE1902" s="465"/>
      <c r="BF1902" s="165" t="str">
        <f t="shared" si="1343"/>
        <v>https://www.google.com/search?tbm=isch&amp;q=Hosta%20x%20sieboldiana%20%27Blue%20Angel%27%20Blue%20Angel%20Hosta</v>
      </c>
      <c r="BG1902" s="165" t="str">
        <f t="shared" si="1344"/>
        <v>H</v>
      </c>
      <c r="BH1902" s="65"/>
      <c r="BI1902" s="65"/>
      <c r="BJ1902" s="65"/>
      <c r="BK1902" s="65"/>
      <c r="BL1902" s="99"/>
      <c r="BM1902" s="99"/>
      <c r="BN1902" s="99"/>
    </row>
    <row r="1903" spans="1:66" s="51" customFormat="1" ht="15.75" x14ac:dyDescent="0.25">
      <c r="A1903" s="634">
        <v>1</v>
      </c>
      <c r="B1903" s="635" t="s">
        <v>291</v>
      </c>
      <c r="C1903" s="636"/>
      <c r="D1903" s="637" t="s">
        <v>309</v>
      </c>
      <c r="E1903" s="638">
        <v>9.9499999999999993</v>
      </c>
      <c r="F1903" s="639" t="s">
        <v>292</v>
      </c>
      <c r="G1903" s="484">
        <v>0</v>
      </c>
      <c r="H1903" s="691" t="str">
        <f>IF(G1903=0,"",IF(F1903="Buy",IF(G1903=1,"plant","plants"),IF(F1903&gt;0.01,"warranty","Error")))</f>
        <v/>
      </c>
      <c r="I1903" s="640">
        <f>IF(H1903="free",0,IF(H1903="credit",((E1903*(F1903))*G1903*-1),IF(F1903="Buy",(E1903*G1903),((E1903*(1-F1903))*G1903))))</f>
        <v>0</v>
      </c>
      <c r="J1903" s="640">
        <f>IF(H1903="warranty",0,(I1903*(_xlfn.SINGLE(SalesTaxPercentage))))</f>
        <v>0</v>
      </c>
      <c r="K1903" s="716">
        <f t="shared" ref="K1903" si="1355">I1903+J1903</f>
        <v>0</v>
      </c>
      <c r="L1903" s="716"/>
      <c r="M1903" s="689" t="str">
        <f ca="1">IF(AND(G1903&gt;0,E1903=0),"WARNING - no PRICE inserted",IF(H1903="free","FREE ~ no charge this plant",IF(H1903="credit",CONCATENATE("-$",ROUND(K1903*(1-_xlfn.SINGLE(T2GDiscount))*-1,2)," CREDIT after discount"),IF(_xlfn.SINGLE(T2GDiscount)=0,"",IF(G1903=0,"",IF(F1903="Buy",CONCATENATE("$",ROUND(K1903*(1-_xlfn.SINGLE(T2GDiscount)),2)," with ",(_xlfn.SINGLE(T2GDiscount)*100),"% discount"),CONCATENATE("$",ROUND(K1903*(1-_xlfn.SINGLE(T2GDiscount)),2)," with ",((_xlfn.SINGLE(T2GDiscount)*100+F1903*100)-(_xlfn.SINGLE(T2GDiscount)*100*F1903)),IF(F1903&gt;0,"% discounts",IF(_xlfn.SINGLE(NoWarrantyDiscount)&gt;0,"% discounts","% discount")))))))))</f>
        <v/>
      </c>
      <c r="N1903" s="690"/>
      <c r="O1903" s="486"/>
      <c r="P1903" s="486"/>
      <c r="Q1903" s="486"/>
      <c r="R1903" s="486"/>
      <c r="S1903" s="486"/>
      <c r="T1903" s="102">
        <f t="shared" si="1332"/>
        <v>0</v>
      </c>
      <c r="U1903" s="78">
        <f>IF(NOT(ISNUMBER(G1903)), "", VLOOKUP(A1903,'Discount Lookup'!D:E,2,FALSE)*G1903)</f>
        <v>0</v>
      </c>
      <c r="V1903" s="78">
        <f>IF(NOT(ISNUMBER(G1903)), "", VLOOKUP(A1903,'Discount Lookup'!G:H,2,FALSE)*G1903)</f>
        <v>0</v>
      </c>
      <c r="W1903" s="102">
        <f t="shared" si="1333"/>
        <v>0</v>
      </c>
      <c r="X1903" s="102">
        <f t="shared" si="1334"/>
        <v>0</v>
      </c>
      <c r="Y1903" s="120" t="b">
        <f t="shared" si="1335"/>
        <v>0</v>
      </c>
      <c r="Z1903" s="117">
        <f t="shared" si="1336"/>
        <v>0</v>
      </c>
      <c r="AA1903" s="118"/>
      <c r="AB1903" s="118" t="str">
        <f t="shared" si="1337"/>
        <v/>
      </c>
      <c r="AC1903" s="712" t="str">
        <f>IF(AE1903="T2G","no charge",IF(AND(OR(PlanterYesMe="No",PlanterYesMe="N",PlanterYesMe="me"),H1903=""),"",IF(H1903="credit","NO install",IF(AND(K1903="",AE1903="me"),"EACH row",IF(AND(K1903="images",AE1903="me"),"EACH row",IF(D1903="","",IF(H1903="credit","",IF(AE1903="free","re-planting",IF(AE1903="me","   not ELP, by",IF(AND(OR(PlanterYesMe="Yes",PlanterYesMe="Y"),G1903&gt;0),(VLOOKUP(A1903,'Discount Lookup'!J:K,2)*G1903*(1-PlanterDiscount)*(1+PlanterDifficultyPercentage)),IF(AE1903="ELP",(VLOOKUP(A1903,'Discount Lookup'!J:K,2)*G1903*(1-PlanterDiscount)*(1+PlanterDifficultyPercentage)),IF(AE1903="free","re-planting",IF(G1903=0,"",IF(PlanterYesMe="",IF(AE1903="me","   not ELP, by",IF(AE1903="",IF(G1903&gt;0,(VLOOKUP(A1903,'Discount Lookup'!J:K,2)*G1903*(1-PlanterDiscount)*(1+PlanterDifficultyPercentage)),""),"")),"   not ELP, by"))))))))))))))</f>
        <v/>
      </c>
      <c r="AD1903" s="712"/>
      <c r="AE1903" s="513" t="str">
        <f t="shared" si="1338"/>
        <v/>
      </c>
      <c r="AF1903" s="713" t="str">
        <f t="shared" si="1339"/>
        <v/>
      </c>
      <c r="AG1903" s="713"/>
      <c r="AH1903" s="713"/>
      <c r="AI1903" s="112">
        <f>IF(H1903="credit",0,IF(AE1903="free",0,IF(AE1903="me",0,IF(G1903&gt;0,(VLOOKUP(A1903,'Discount Lookup'!J:K,2)*G1903),0))))</f>
        <v>0</v>
      </c>
      <c r="AJ1903" s="107" t="str">
        <f t="shared" ca="1" si="1340"/>
        <v/>
      </c>
      <c r="AK1903" s="714" t="str">
        <f t="shared" si="1341"/>
        <v/>
      </c>
      <c r="AL1903" s="714"/>
      <c r="AM1903" s="114" t="str">
        <f t="shared" si="1342"/>
        <v/>
      </c>
      <c r="AN1903" s="115"/>
      <c r="AO1903" s="116"/>
      <c r="AP1903" s="116"/>
      <c r="AQ1903" s="116"/>
      <c r="AR1903" s="116"/>
      <c r="AS1903" s="116"/>
      <c r="AT1903" s="116"/>
      <c r="AU1903" s="116"/>
      <c r="AV1903" s="78"/>
      <c r="AW1903" s="102"/>
      <c r="AX1903" s="78"/>
      <c r="AY1903" s="78"/>
      <c r="AZ1903" s="78"/>
      <c r="BA1903" s="78"/>
      <c r="BB1903" s="78"/>
      <c r="BC1903" s="78"/>
      <c r="BD1903" s="78"/>
      <c r="BE1903" s="465"/>
      <c r="BF1903" s="165" t="str">
        <f t="shared" si="1343"/>
        <v>https://www.google.com/search?tbm=isch&amp;q=1%20G3</v>
      </c>
      <c r="BG1903" s="165" t="str">
        <f t="shared" si="1344"/>
        <v>H</v>
      </c>
      <c r="BH1903" s="65"/>
      <c r="BI1903" s="65"/>
      <c r="BJ1903" s="65"/>
      <c r="BK1903" s="65"/>
      <c r="BL1903" s="99"/>
      <c r="BM1903" s="99"/>
      <c r="BN1903" s="99"/>
    </row>
    <row r="1904" spans="1:66" s="51" customFormat="1" ht="17.25" thickBot="1" x14ac:dyDescent="0.3">
      <c r="A1904" s="704" t="s">
        <v>5425</v>
      </c>
      <c r="B1904" s="642"/>
      <c r="C1904" s="710"/>
      <c r="D1904" s="643"/>
      <c r="E1904" s="643"/>
      <c r="F1904" s="644"/>
      <c r="G1904" s="645"/>
      <c r="H1904" s="646"/>
      <c r="I1904" s="647"/>
      <c r="J1904" s="648"/>
      <c r="K1904" s="649"/>
      <c r="L1904" s="650"/>
      <c r="M1904" s="650"/>
      <c r="N1904" s="644"/>
      <c r="O1904" s="644"/>
      <c r="P1904" s="644"/>
      <c r="Q1904" s="644"/>
      <c r="R1904" s="644"/>
      <c r="S1904" s="701" t="s">
        <v>5287</v>
      </c>
      <c r="T1904" s="102">
        <f t="shared" si="1332"/>
        <v>0</v>
      </c>
      <c r="U1904" s="78" t="str">
        <f>IF(NOT(ISNUMBER(G1904)), "", VLOOKUP(A1904,'Discount Lookup'!D:E,2,FALSE)*G1904)</f>
        <v/>
      </c>
      <c r="V1904" s="78" t="str">
        <f>IF(NOT(ISNUMBER(G1904)), "", VLOOKUP(A1904,'Discount Lookup'!G:H,2,FALSE)*G1904)</f>
        <v/>
      </c>
      <c r="W1904" s="102">
        <f t="shared" si="1333"/>
        <v>0</v>
      </c>
      <c r="X1904" s="102">
        <f t="shared" si="1334"/>
        <v>0</v>
      </c>
      <c r="Y1904" s="120" t="b">
        <f t="shared" si="1335"/>
        <v>0</v>
      </c>
      <c r="Z1904" s="117">
        <f t="shared" si="1336"/>
        <v>0</v>
      </c>
      <c r="AA1904" s="118"/>
      <c r="AB1904" s="118" t="str">
        <f t="shared" si="1337"/>
        <v/>
      </c>
      <c r="AC1904" s="712" t="str">
        <f>IF(AE1904="T2G","no charge",IF(AND(OR(PlanterYesMe="No",PlanterYesMe="N",PlanterYesMe="me"),H1904=""),"",IF(H1904="credit","NO install",IF(AND(K1904="",AE1904="me"),"EACH row",IF(AND(K1904="images",AE1904="me"),"EACH row",IF(D1904="","",IF(H1904="credit","",IF(AE1904="free","re-planting",IF(AE1904="me","   not ELP, by",IF(AND(OR(PlanterYesMe="Yes",PlanterYesMe="Y"),G1904&gt;0),(VLOOKUP(A1904,'Discount Lookup'!J:K,2)*G1904*(1-PlanterDiscount)*(1+PlanterDifficultyPercentage)),IF(AE1904="ELP",(VLOOKUP(A1904,'Discount Lookup'!J:K,2)*G1904*(1-PlanterDiscount)*(1+PlanterDifficultyPercentage)),IF(AE1904="free","re-planting",IF(G1904=0,"",IF(PlanterYesMe="",IF(AE1904="me","   not ELP, by",IF(AE1904="",IF(G1904&gt;0,(VLOOKUP(A1904,'Discount Lookup'!J:K,2)*G1904*(1-PlanterDiscount)*(1+PlanterDifficultyPercentage)),""),"")),"   not ELP, by"))))))))))))))</f>
        <v/>
      </c>
      <c r="AD1904" s="712"/>
      <c r="AE1904" s="513" t="str">
        <f t="shared" si="1338"/>
        <v/>
      </c>
      <c r="AF1904" s="713" t="str">
        <f t="shared" si="1339"/>
        <v/>
      </c>
      <c r="AG1904" s="713"/>
      <c r="AH1904" s="713"/>
      <c r="AI1904" s="112">
        <f>IF(H1904="credit",0,IF(AE1904="free",0,IF(AE1904="me",0,IF(G1904&gt;0,(VLOOKUP(A1904,'Discount Lookup'!J:K,2)*G1904),0))))</f>
        <v>0</v>
      </c>
      <c r="AJ1904" s="107" t="str">
        <f t="shared" ca="1" si="1340"/>
        <v/>
      </c>
      <c r="AK1904" s="714" t="str">
        <f t="shared" si="1341"/>
        <v/>
      </c>
      <c r="AL1904" s="714"/>
      <c r="AM1904" s="114" t="str">
        <f t="shared" si="1342"/>
        <v/>
      </c>
      <c r="AN1904" s="115"/>
      <c r="AO1904" s="116"/>
      <c r="AP1904" s="116"/>
      <c r="AQ1904" s="116"/>
      <c r="AR1904" s="116"/>
      <c r="AS1904" s="116"/>
      <c r="AT1904" s="116"/>
      <c r="AU1904" s="116"/>
      <c r="AV1904" s="78"/>
      <c r="AW1904" s="102"/>
      <c r="AX1904" s="78"/>
      <c r="AY1904" s="78"/>
      <c r="AZ1904" s="78"/>
      <c r="BA1904" s="78"/>
      <c r="BB1904" s="78"/>
      <c r="BC1904" s="78"/>
      <c r="BD1904" s="78"/>
      <c r="BE1904" s="465"/>
      <c r="BF1904" s="165" t="str">
        <f t="shared" si="1343"/>
        <v>https://www.google.com/search?tbm=isch&amp;q=moist%20sites%F0%9F%92%A7OK%2C%20Blue%20Angel%20known%20for%20its%20immense%20size%20and%20large%2C%20deeply%20veined%2C%20powdery%20Blue-Green%20leaves%20</v>
      </c>
      <c r="BG1904" s="165" t="str">
        <f t="shared" si="1344"/>
        <v>m</v>
      </c>
      <c r="BH1904" s="65"/>
      <c r="BI1904" s="65"/>
      <c r="BJ1904" s="65"/>
      <c r="BK1904" s="65"/>
      <c r="BL1904" s="99"/>
      <c r="BM1904" s="99"/>
      <c r="BN1904" s="99"/>
    </row>
    <row r="1905" spans="1:66" s="51" customFormat="1" ht="18" x14ac:dyDescent="0.25">
      <c r="A1905" s="623" t="s">
        <v>2753</v>
      </c>
      <c r="B1905" s="624"/>
      <c r="C1905" s="709"/>
      <c r="D1905" s="625" t="s">
        <v>2754</v>
      </c>
      <c r="E1905" s="626"/>
      <c r="F1905" s="626"/>
      <c r="G1905" s="626"/>
      <c r="H1905" s="622" t="s">
        <v>4891</v>
      </c>
      <c r="I1905" s="627" t="s">
        <v>4744</v>
      </c>
      <c r="J1905" s="628"/>
      <c r="K1905" s="628"/>
      <c r="L1905" s="629"/>
      <c r="M1905" s="700" t="s">
        <v>5242</v>
      </c>
      <c r="N1905" s="693" t="str">
        <f>IF(AND(ISTEXT($A1905), ISERROR($A1905+0)), HYPERLINK($BF1905, "Images"), "")</f>
        <v>Images</v>
      </c>
      <c r="O1905" s="695" t="s">
        <v>5286</v>
      </c>
      <c r="P1905" s="630"/>
      <c r="Q1905" s="631"/>
      <c r="R1905" s="632"/>
      <c r="S1905" s="633"/>
      <c r="T1905" s="102">
        <f t="shared" si="1332"/>
        <v>0</v>
      </c>
      <c r="U1905" s="78" t="str">
        <f>IF(NOT(ISNUMBER(G1905)), "", VLOOKUP(A1905,'Discount Lookup'!D:E,2,FALSE)*G1905)</f>
        <v/>
      </c>
      <c r="V1905" s="78" t="str">
        <f>IF(NOT(ISNUMBER(G1905)), "", VLOOKUP(A1905,'Discount Lookup'!G:H,2,FALSE)*G1905)</f>
        <v/>
      </c>
      <c r="W1905" s="102">
        <f t="shared" si="1333"/>
        <v>0</v>
      </c>
      <c r="X1905" s="102" t="str">
        <f t="shared" si="1334"/>
        <v>Lavender-Blue bloom</v>
      </c>
      <c r="Y1905" s="120" t="b">
        <f t="shared" si="1335"/>
        <v>0</v>
      </c>
      <c r="Z1905" s="117">
        <f t="shared" si="1336"/>
        <v>0</v>
      </c>
      <c r="AA1905" s="118"/>
      <c r="AB1905" s="118" t="str">
        <f t="shared" si="1337"/>
        <v/>
      </c>
      <c r="AC1905" s="712" t="str">
        <f>IF(AE1905="T2G","no charge",IF(AND(OR(PlanterYesMe="No",PlanterYesMe="N",PlanterYesMe="me"),H1905=""),"",IF(H1905="credit","NO install",IF(AND(K1905="",AE1905="me"),"EACH row",IF(AND(K1905="images",AE1905="me"),"EACH row",IF(D1905="","",IF(H1905="credit","",IF(AE1905="free","re-planting",IF(AE1905="me","   not ELP, by",IF(AND(OR(PlanterYesMe="Yes",PlanterYesMe="Y"),G1905&gt;0),(VLOOKUP(A1905,'Discount Lookup'!J:K,2)*G1905*(1-PlanterDiscount)*(1+PlanterDifficultyPercentage)),IF(AE1905="ELP",(VLOOKUP(A1905,'Discount Lookup'!J:K,2)*G1905*(1-PlanterDiscount)*(1+PlanterDifficultyPercentage)),IF(AE1905="free","re-planting",IF(G1905=0,"",IF(PlanterYesMe="",IF(AE1905="me","   not ELP, by",IF(AE1905="",IF(G1905&gt;0,(VLOOKUP(A1905,'Discount Lookup'!J:K,2)*G1905*(1-PlanterDiscount)*(1+PlanterDifficultyPercentage)),""),"")),"   not ELP, by"))))))))))))))</f>
        <v/>
      </c>
      <c r="AD1905" s="712"/>
      <c r="AE1905" s="513" t="str">
        <f t="shared" si="1338"/>
        <v/>
      </c>
      <c r="AF1905" s="713" t="str">
        <f t="shared" si="1339"/>
        <v/>
      </c>
      <c r="AG1905" s="713"/>
      <c r="AH1905" s="713"/>
      <c r="AI1905" s="112">
        <f>IF(H1905="credit",0,IF(AE1905="free",0,IF(AE1905="me",0,IF(G1905&gt;0,(VLOOKUP(A1905,'Discount Lookup'!J:K,2)*G1905),0))))</f>
        <v>0</v>
      </c>
      <c r="AJ1905" s="107" t="str">
        <f t="shared" ca="1" si="1340"/>
        <v/>
      </c>
      <c r="AK1905" s="714" t="str">
        <f t="shared" si="1341"/>
        <v/>
      </c>
      <c r="AL1905" s="714"/>
      <c r="AM1905" s="114" t="str">
        <f t="shared" si="1342"/>
        <v/>
      </c>
      <c r="AN1905" s="115"/>
      <c r="AO1905" s="116"/>
      <c r="AP1905" s="116"/>
      <c r="AQ1905" s="116"/>
      <c r="AR1905" s="116"/>
      <c r="AS1905" s="116"/>
      <c r="AT1905" s="116"/>
      <c r="AU1905" s="116"/>
      <c r="AV1905" s="78"/>
      <c r="AW1905" s="102"/>
      <c r="AX1905" s="78"/>
      <c r="AY1905" s="78"/>
      <c r="AZ1905" s="78"/>
      <c r="BA1905" s="78"/>
      <c r="BB1905" s="78"/>
      <c r="BC1905" s="78"/>
      <c r="BD1905" s="78"/>
      <c r="BE1905" s="465"/>
      <c r="BF1905" s="165" t="str">
        <f t="shared" si="1343"/>
        <v>https://www.google.com/search?tbm=isch&amp;q=Hosta%20x%20sieboldiana%20%27Patriot%27%20Patriot%20Hosta</v>
      </c>
      <c r="BG1905" s="165" t="str">
        <f t="shared" si="1344"/>
        <v>H</v>
      </c>
      <c r="BH1905" s="65"/>
      <c r="BI1905" s="65"/>
      <c r="BJ1905" s="65"/>
      <c r="BK1905" s="65"/>
      <c r="BL1905" s="99"/>
      <c r="BM1905" s="99"/>
      <c r="BN1905" s="99"/>
    </row>
    <row r="1906" spans="1:66" s="51" customFormat="1" ht="15.75" x14ac:dyDescent="0.25">
      <c r="A1906" s="634">
        <v>1</v>
      </c>
      <c r="B1906" s="635" t="s">
        <v>291</v>
      </c>
      <c r="C1906" s="636" t="s">
        <v>1561</v>
      </c>
      <c r="D1906" s="637" t="s">
        <v>309</v>
      </c>
      <c r="E1906" s="638">
        <v>10.95</v>
      </c>
      <c r="F1906" s="639" t="s">
        <v>292</v>
      </c>
      <c r="G1906" s="484">
        <v>0</v>
      </c>
      <c r="H1906" s="691" t="str">
        <f>IF(G1906=0,"",IF(F1906="Buy",IF(G1906=1,"plant","plants"),IF(F1906&gt;0.01,"warranty","Error")))</f>
        <v/>
      </c>
      <c r="I1906" s="640">
        <f>IF(H1906="free",0,IF(H1906="credit",((E1906*(F1906))*G1906*-1),IF(F1906="Buy",(E1906*G1906),((E1906*(1-F1906))*G1906))))</f>
        <v>0</v>
      </c>
      <c r="J1906" s="640">
        <f>IF(H1906="warranty",0,(I1906*(_xlfn.SINGLE(SalesTaxPercentage))))</f>
        <v>0</v>
      </c>
      <c r="K1906" s="716">
        <f t="shared" ref="K1906" si="1356">I1906+J1906</f>
        <v>0</v>
      </c>
      <c r="L1906" s="716"/>
      <c r="M1906" s="689" t="str">
        <f ca="1">IF(AND(G1906&gt;0,E1906=0),"WARNING - no PRICE inserted",IF(H1906="free","FREE ~ no charge this plant",IF(H1906="credit",CONCATENATE("-$",ROUND(K1906*(1-_xlfn.SINGLE(T2GDiscount))*-1,2)," CREDIT after discount"),IF(_xlfn.SINGLE(T2GDiscount)=0,"",IF(G1906=0,"",IF(F1906="Buy",CONCATENATE("$",ROUND(K1906*(1-_xlfn.SINGLE(T2GDiscount)),2)," with ",(_xlfn.SINGLE(T2GDiscount)*100),"% discount"),CONCATENATE("$",ROUND(K1906*(1-_xlfn.SINGLE(T2GDiscount)),2)," with ",((_xlfn.SINGLE(T2GDiscount)*100+F1906*100)-(_xlfn.SINGLE(T2GDiscount)*100*F1906)),IF(F1906&gt;0,"% discounts",IF(_xlfn.SINGLE(NoWarrantyDiscount)&gt;0,"% discounts","% discount")))))))))</f>
        <v/>
      </c>
      <c r="N1906" s="690"/>
      <c r="O1906" s="486"/>
      <c r="P1906" s="486"/>
      <c r="Q1906" s="486"/>
      <c r="R1906" s="486"/>
      <c r="S1906" s="486"/>
      <c r="T1906" s="102">
        <f t="shared" si="1332"/>
        <v>0</v>
      </c>
      <c r="U1906" s="78">
        <f>IF(NOT(ISNUMBER(G1906)), "", VLOOKUP(A1906,'Discount Lookup'!D:E,2,FALSE)*G1906)</f>
        <v>0</v>
      </c>
      <c r="V1906" s="78">
        <f>IF(NOT(ISNUMBER(G1906)), "", VLOOKUP(A1906,'Discount Lookup'!G:H,2,FALSE)*G1906)</f>
        <v>0</v>
      </c>
      <c r="W1906" s="102">
        <f t="shared" si="1333"/>
        <v>0</v>
      </c>
      <c r="X1906" s="102">
        <f t="shared" si="1334"/>
        <v>0</v>
      </c>
      <c r="Y1906" s="120" t="b">
        <f t="shared" si="1335"/>
        <v>0</v>
      </c>
      <c r="Z1906" s="117">
        <f t="shared" si="1336"/>
        <v>0</v>
      </c>
      <c r="AA1906" s="118"/>
      <c r="AB1906" s="118" t="str">
        <f t="shared" si="1337"/>
        <v/>
      </c>
      <c r="AC1906" s="712" t="str">
        <f>IF(AE1906="T2G","no charge",IF(AND(OR(PlanterYesMe="No",PlanterYesMe="N",PlanterYesMe="me"),H1906=""),"",IF(H1906="credit","NO install",IF(AND(K1906="",AE1906="me"),"EACH row",IF(AND(K1906="images",AE1906="me"),"EACH row",IF(D1906="","",IF(H1906="credit","",IF(AE1906="free","re-planting",IF(AE1906="me","   not ELP, by",IF(AND(OR(PlanterYesMe="Yes",PlanterYesMe="Y"),G1906&gt;0),(VLOOKUP(A1906,'Discount Lookup'!J:K,2)*G1906*(1-PlanterDiscount)*(1+PlanterDifficultyPercentage)),IF(AE1906="ELP",(VLOOKUP(A1906,'Discount Lookup'!J:K,2)*G1906*(1-PlanterDiscount)*(1+PlanterDifficultyPercentage)),IF(AE1906="free","re-planting",IF(G1906=0,"",IF(PlanterYesMe="",IF(AE1906="me","   not ELP, by",IF(AE1906="",IF(G1906&gt;0,(VLOOKUP(A1906,'Discount Lookup'!J:K,2)*G1906*(1-PlanterDiscount)*(1+PlanterDifficultyPercentage)),""),"")),"   not ELP, by"))))))))))))))</f>
        <v/>
      </c>
      <c r="AD1906" s="712"/>
      <c r="AE1906" s="513" t="str">
        <f t="shared" si="1338"/>
        <v/>
      </c>
      <c r="AF1906" s="713" t="str">
        <f t="shared" si="1339"/>
        <v/>
      </c>
      <c r="AG1906" s="713"/>
      <c r="AH1906" s="713"/>
      <c r="AI1906" s="112">
        <f>IF(H1906="credit",0,IF(AE1906="free",0,IF(AE1906="me",0,IF(G1906&gt;0,(VLOOKUP(A1906,'Discount Lookup'!J:K,2)*G1906),0))))</f>
        <v>0</v>
      </c>
      <c r="AJ1906" s="107" t="str">
        <f t="shared" ca="1" si="1340"/>
        <v/>
      </c>
      <c r="AK1906" s="714" t="str">
        <f t="shared" si="1341"/>
        <v/>
      </c>
      <c r="AL1906" s="714"/>
      <c r="AM1906" s="114" t="str">
        <f t="shared" si="1342"/>
        <v/>
      </c>
      <c r="AN1906" s="115"/>
      <c r="AO1906" s="116"/>
      <c r="AP1906" s="116"/>
      <c r="AQ1906" s="116"/>
      <c r="AR1906" s="116"/>
      <c r="AS1906" s="116"/>
      <c r="AT1906" s="116"/>
      <c r="AU1906" s="116"/>
      <c r="AV1906" s="78"/>
      <c r="AW1906" s="102"/>
      <c r="AX1906" s="78"/>
      <c r="AY1906" s="78"/>
      <c r="AZ1906" s="78"/>
      <c r="BA1906" s="78"/>
      <c r="BB1906" s="78"/>
      <c r="BC1906" s="78"/>
      <c r="BD1906" s="78"/>
      <c r="BE1906" s="465"/>
      <c r="BF1906" s="165" t="str">
        <f t="shared" si="1343"/>
        <v>https://www.google.com/search?tbm=isch&amp;q=1%20G3</v>
      </c>
      <c r="BG1906" s="165" t="str">
        <f t="shared" si="1344"/>
        <v>H</v>
      </c>
      <c r="BH1906" s="65"/>
      <c r="BI1906" s="65"/>
      <c r="BJ1906" s="65"/>
      <c r="BK1906" s="65"/>
      <c r="BL1906" s="99"/>
      <c r="BM1906" s="99"/>
      <c r="BN1906" s="99"/>
    </row>
    <row r="1907" spans="1:66" s="51" customFormat="1" ht="15.75" x14ac:dyDescent="0.25">
      <c r="A1907" s="634">
        <v>1</v>
      </c>
      <c r="B1907" s="635" t="s">
        <v>291</v>
      </c>
      <c r="C1907" s="636" t="s">
        <v>2755</v>
      </c>
      <c r="D1907" s="637" t="s">
        <v>311</v>
      </c>
      <c r="E1907" s="638">
        <v>10.95</v>
      </c>
      <c r="F1907" s="639" t="s">
        <v>292</v>
      </c>
      <c r="G1907" s="484">
        <v>0</v>
      </c>
      <c r="H1907" s="691" t="str">
        <f>IF(G1907=0,"",IF(F1907="Buy",IF(G1907=1,"plant","plants"),IF(F1907&gt;0.01,"warranty","Error")))</f>
        <v/>
      </c>
      <c r="I1907" s="640">
        <f>IF(H1907="free",0,IF(H1907="credit",((E1907*(F1907))*G1907*-1),IF(F1907="Buy",(E1907*G1907),((E1907*(1-F1907))*G1907))))</f>
        <v>0</v>
      </c>
      <c r="J1907" s="640">
        <f>IF(H1907="warranty",0,(I1907*(_xlfn.SINGLE(SalesTaxPercentage))))</f>
        <v>0</v>
      </c>
      <c r="K1907" s="716">
        <f t="shared" ref="K1907" si="1357">I1907+J1907</f>
        <v>0</v>
      </c>
      <c r="L1907" s="716"/>
      <c r="M1907" s="689" t="str">
        <f ca="1">IF(AND(G1907&gt;0,E1907=0),"WARNING - no PRICE inserted",IF(H1907="free","FREE ~ no charge this plant",IF(H1907="credit",CONCATENATE("-$",ROUND(K1907*(1-_xlfn.SINGLE(T2GDiscount))*-1,2)," CREDIT after discount"),IF(_xlfn.SINGLE(T2GDiscount)=0,"",IF(G1907=0,"",IF(F1907="Buy",CONCATENATE("$",ROUND(K1907*(1-_xlfn.SINGLE(T2GDiscount)),2)," with ",(_xlfn.SINGLE(T2GDiscount)*100),"% discount"),CONCATENATE("$",ROUND(K1907*(1-_xlfn.SINGLE(T2GDiscount)),2)," with ",((_xlfn.SINGLE(T2GDiscount)*100+F1907*100)-(_xlfn.SINGLE(T2GDiscount)*100*F1907)),IF(F1907&gt;0,"% discounts",IF(_xlfn.SINGLE(NoWarrantyDiscount)&gt;0,"% discounts","% discount")))))))))</f>
        <v/>
      </c>
      <c r="N1907" s="690"/>
      <c r="O1907" s="486"/>
      <c r="P1907" s="486"/>
      <c r="Q1907" s="486"/>
      <c r="R1907" s="486"/>
      <c r="S1907" s="486"/>
      <c r="T1907" s="102">
        <f t="shared" si="1332"/>
        <v>0</v>
      </c>
      <c r="U1907" s="78">
        <f>IF(NOT(ISNUMBER(G1907)), "", VLOOKUP(A1907,'Discount Lookup'!D:E,2,FALSE)*G1907)</f>
        <v>0</v>
      </c>
      <c r="V1907" s="78">
        <f>IF(NOT(ISNUMBER(G1907)), "", VLOOKUP(A1907,'Discount Lookup'!G:H,2,FALSE)*G1907)</f>
        <v>0</v>
      </c>
      <c r="W1907" s="102">
        <f t="shared" si="1333"/>
        <v>0</v>
      </c>
      <c r="X1907" s="102">
        <f t="shared" si="1334"/>
        <v>0</v>
      </c>
      <c r="Y1907" s="120" t="b">
        <f t="shared" si="1335"/>
        <v>0</v>
      </c>
      <c r="Z1907" s="117">
        <f t="shared" si="1336"/>
        <v>0</v>
      </c>
      <c r="AA1907" s="118"/>
      <c r="AB1907" s="118" t="str">
        <f t="shared" si="1337"/>
        <v/>
      </c>
      <c r="AC1907" s="712" t="str">
        <f>IF(AE1907="T2G","no charge",IF(AND(OR(PlanterYesMe="No",PlanterYesMe="N",PlanterYesMe="me"),H1907=""),"",IF(H1907="credit","NO install",IF(AND(K1907="",AE1907="me"),"EACH row",IF(AND(K1907="images",AE1907="me"),"EACH row",IF(D1907="","",IF(H1907="credit","",IF(AE1907="free","re-planting",IF(AE1907="me","   not ELP, by",IF(AND(OR(PlanterYesMe="Yes",PlanterYesMe="Y"),G1907&gt;0),(VLOOKUP(A1907,'Discount Lookup'!J:K,2)*G1907*(1-PlanterDiscount)*(1+PlanterDifficultyPercentage)),IF(AE1907="ELP",(VLOOKUP(A1907,'Discount Lookup'!J:K,2)*G1907*(1-PlanterDiscount)*(1+PlanterDifficultyPercentage)),IF(AE1907="free","re-planting",IF(G1907=0,"",IF(PlanterYesMe="",IF(AE1907="me","   not ELP, by",IF(AE1907="",IF(G1907&gt;0,(VLOOKUP(A1907,'Discount Lookup'!J:K,2)*G1907*(1-PlanterDiscount)*(1+PlanterDifficultyPercentage)),""),"")),"   not ELP, by"))))))))))))))</f>
        <v/>
      </c>
      <c r="AD1907" s="712"/>
      <c r="AE1907" s="513" t="str">
        <f t="shared" si="1338"/>
        <v/>
      </c>
      <c r="AF1907" s="713" t="str">
        <f t="shared" si="1339"/>
        <v/>
      </c>
      <c r="AG1907" s="713"/>
      <c r="AH1907" s="713"/>
      <c r="AI1907" s="112">
        <f>IF(H1907="credit",0,IF(AE1907="free",0,IF(AE1907="me",0,IF(G1907&gt;0,(VLOOKUP(A1907,'Discount Lookup'!J:K,2)*G1907),0))))</f>
        <v>0</v>
      </c>
      <c r="AJ1907" s="107" t="str">
        <f t="shared" ca="1" si="1340"/>
        <v/>
      </c>
      <c r="AK1907" s="714" t="str">
        <f t="shared" si="1341"/>
        <v/>
      </c>
      <c r="AL1907" s="714"/>
      <c r="AM1907" s="114" t="str">
        <f t="shared" si="1342"/>
        <v/>
      </c>
      <c r="AN1907" s="115"/>
      <c r="AO1907" s="116"/>
      <c r="AP1907" s="116"/>
      <c r="AQ1907" s="116"/>
      <c r="AR1907" s="116"/>
      <c r="AS1907" s="116"/>
      <c r="AT1907" s="116"/>
      <c r="AU1907" s="116"/>
      <c r="AV1907" s="78"/>
      <c r="AW1907" s="102"/>
      <c r="AX1907" s="78"/>
      <c r="AY1907" s="78"/>
      <c r="AZ1907" s="78"/>
      <c r="BA1907" s="78"/>
      <c r="BB1907" s="78"/>
      <c r="BC1907" s="78"/>
      <c r="BD1907" s="78"/>
      <c r="BE1907" s="465"/>
      <c r="BF1907" s="165" t="str">
        <f t="shared" si="1343"/>
        <v>https://www.google.com/search?tbm=isch&amp;q=1%20G5</v>
      </c>
      <c r="BG1907" s="165" t="str">
        <f t="shared" si="1344"/>
        <v>H</v>
      </c>
      <c r="BH1907" s="65"/>
      <c r="BI1907" s="65"/>
      <c r="BJ1907" s="65"/>
      <c r="BK1907" s="65"/>
      <c r="BL1907" s="99"/>
      <c r="BM1907" s="99"/>
      <c r="BN1907" s="99"/>
    </row>
    <row r="1908" spans="1:66" s="51" customFormat="1" ht="15.75" x14ac:dyDescent="0.25">
      <c r="A1908" s="634">
        <v>1</v>
      </c>
      <c r="B1908" s="635" t="s">
        <v>291</v>
      </c>
      <c r="C1908" s="636" t="s">
        <v>2467</v>
      </c>
      <c r="D1908" s="637" t="s">
        <v>329</v>
      </c>
      <c r="E1908" s="638">
        <v>11.95</v>
      </c>
      <c r="F1908" s="639" t="s">
        <v>292</v>
      </c>
      <c r="G1908" s="484">
        <v>0</v>
      </c>
      <c r="H1908" s="691" t="str">
        <f>IF(G1908=0,"",IF(F1908="Buy",IF(G1908=1,"plant","plants"),IF(F1908&gt;0.01,"warranty","Error")))</f>
        <v/>
      </c>
      <c r="I1908" s="640">
        <f>IF(H1908="free",0,IF(H1908="credit",((E1908*(F1908))*G1908*-1),IF(F1908="Buy",(E1908*G1908),((E1908*(1-F1908))*G1908))))</f>
        <v>0</v>
      </c>
      <c r="J1908" s="640">
        <f>IF(H1908="warranty",0,(I1908*(_xlfn.SINGLE(SalesTaxPercentage))))</f>
        <v>0</v>
      </c>
      <c r="K1908" s="716">
        <f t="shared" ref="K1908" si="1358">I1908+J1908</f>
        <v>0</v>
      </c>
      <c r="L1908" s="716"/>
      <c r="M1908" s="689" t="str">
        <f ca="1">IF(AND(G1908&gt;0,E1908=0),"WARNING - no PRICE inserted",IF(H1908="free","FREE ~ no charge this plant",IF(H1908="credit",CONCATENATE("-$",ROUND(K1908*(1-_xlfn.SINGLE(T2GDiscount))*-1,2)," CREDIT after discount"),IF(_xlfn.SINGLE(T2GDiscount)=0,"",IF(G1908=0,"",IF(F1908="Buy",CONCATENATE("$",ROUND(K1908*(1-_xlfn.SINGLE(T2GDiscount)),2)," with ",(_xlfn.SINGLE(T2GDiscount)*100),"% discount"),CONCATENATE("$",ROUND(K1908*(1-_xlfn.SINGLE(T2GDiscount)),2)," with ",((_xlfn.SINGLE(T2GDiscount)*100+F1908*100)-(_xlfn.SINGLE(T2GDiscount)*100*F1908)),IF(F1908&gt;0,"% discounts",IF(_xlfn.SINGLE(NoWarrantyDiscount)&gt;0,"% discounts","% discount")))))))))</f>
        <v/>
      </c>
      <c r="N1908" s="690"/>
      <c r="O1908" s="486"/>
      <c r="P1908" s="486"/>
      <c r="Q1908" s="486"/>
      <c r="R1908" s="486"/>
      <c r="S1908" s="486"/>
      <c r="T1908" s="102">
        <f t="shared" si="1332"/>
        <v>0</v>
      </c>
      <c r="U1908" s="78">
        <f>IF(NOT(ISNUMBER(G1908)), "", VLOOKUP(A1908,'Discount Lookup'!D:E,2,FALSE)*G1908)</f>
        <v>0</v>
      </c>
      <c r="V1908" s="78">
        <f>IF(NOT(ISNUMBER(G1908)), "", VLOOKUP(A1908,'Discount Lookup'!G:H,2,FALSE)*G1908)</f>
        <v>0</v>
      </c>
      <c r="W1908" s="102">
        <f t="shared" si="1333"/>
        <v>0</v>
      </c>
      <c r="X1908" s="102">
        <f t="shared" si="1334"/>
        <v>0</v>
      </c>
      <c r="Y1908" s="120" t="b">
        <f t="shared" si="1335"/>
        <v>0</v>
      </c>
      <c r="Z1908" s="117">
        <f t="shared" si="1336"/>
        <v>0</v>
      </c>
      <c r="AA1908" s="118"/>
      <c r="AB1908" s="118" t="str">
        <f t="shared" si="1337"/>
        <v/>
      </c>
      <c r="AC1908" s="712" t="str">
        <f>IF(AE1908="T2G","no charge",IF(AND(OR(PlanterYesMe="No",PlanterYesMe="N",PlanterYesMe="me"),H1908=""),"",IF(H1908="credit","NO install",IF(AND(K1908="",AE1908="me"),"EACH row",IF(AND(K1908="images",AE1908="me"),"EACH row",IF(D1908="","",IF(H1908="credit","",IF(AE1908="free","re-planting",IF(AE1908="me","   not ELP, by",IF(AND(OR(PlanterYesMe="Yes",PlanterYesMe="Y"),G1908&gt;0),(VLOOKUP(A1908,'Discount Lookup'!J:K,2)*G1908*(1-PlanterDiscount)*(1+PlanterDifficultyPercentage)),IF(AE1908="ELP",(VLOOKUP(A1908,'Discount Lookup'!J:K,2)*G1908*(1-PlanterDiscount)*(1+PlanterDifficultyPercentage)),IF(AE1908="free","re-planting",IF(G1908=0,"",IF(PlanterYesMe="",IF(AE1908="me","   not ELP, by",IF(AE1908="",IF(G1908&gt;0,(VLOOKUP(A1908,'Discount Lookup'!J:K,2)*G1908*(1-PlanterDiscount)*(1+PlanterDifficultyPercentage)),""),"")),"   not ELP, by"))))))))))))))</f>
        <v/>
      </c>
      <c r="AD1908" s="712"/>
      <c r="AE1908" s="513" t="str">
        <f t="shared" si="1338"/>
        <v/>
      </c>
      <c r="AF1908" s="713" t="str">
        <f t="shared" si="1339"/>
        <v/>
      </c>
      <c r="AG1908" s="713"/>
      <c r="AH1908" s="713"/>
      <c r="AI1908" s="112">
        <f>IF(H1908="credit",0,IF(AE1908="free",0,IF(AE1908="me",0,IF(G1908&gt;0,(VLOOKUP(A1908,'Discount Lookup'!J:K,2)*G1908),0))))</f>
        <v>0</v>
      </c>
      <c r="AJ1908" s="107" t="str">
        <f t="shared" ca="1" si="1340"/>
        <v/>
      </c>
      <c r="AK1908" s="714" t="str">
        <f t="shared" si="1341"/>
        <v/>
      </c>
      <c r="AL1908" s="714"/>
      <c r="AM1908" s="114" t="str">
        <f t="shared" si="1342"/>
        <v/>
      </c>
      <c r="AN1908" s="115"/>
      <c r="AO1908" s="116"/>
      <c r="AP1908" s="116"/>
      <c r="AQ1908" s="116"/>
      <c r="AR1908" s="116"/>
      <c r="AS1908" s="116"/>
      <c r="AT1908" s="116"/>
      <c r="AU1908" s="116"/>
      <c r="AV1908" s="78"/>
      <c r="AW1908" s="102"/>
      <c r="AX1908" s="78"/>
      <c r="AY1908" s="78"/>
      <c r="AZ1908" s="78"/>
      <c r="BA1908" s="78"/>
      <c r="BB1908" s="78"/>
      <c r="BC1908" s="78"/>
      <c r="BD1908" s="78"/>
      <c r="BE1908" s="465"/>
      <c r="BF1908" s="165" t="str">
        <f t="shared" si="1343"/>
        <v>https://www.google.com/search?tbm=isch&amp;q=1%20G2</v>
      </c>
      <c r="BG1908" s="165" t="str">
        <f t="shared" si="1344"/>
        <v>H</v>
      </c>
      <c r="BH1908" s="65"/>
      <c r="BI1908" s="65"/>
      <c r="BJ1908" s="65"/>
      <c r="BK1908" s="65"/>
      <c r="BL1908" s="99"/>
      <c r="BM1908" s="99"/>
      <c r="BN1908" s="99"/>
    </row>
    <row r="1909" spans="1:66" s="51" customFormat="1" ht="15.75" x14ac:dyDescent="0.25">
      <c r="A1909" s="634">
        <v>1</v>
      </c>
      <c r="B1909" s="635" t="s">
        <v>291</v>
      </c>
      <c r="C1909" s="636"/>
      <c r="D1909" s="637" t="s">
        <v>293</v>
      </c>
      <c r="E1909" s="638">
        <v>17.95</v>
      </c>
      <c r="F1909" s="639" t="s">
        <v>292</v>
      </c>
      <c r="G1909" s="484">
        <v>0</v>
      </c>
      <c r="H1909" s="691" t="str">
        <f>IF(G1909=0,"",IF(F1909="Buy",IF(G1909=1,"plant","plants"),IF(F1909&gt;0.01,"warranty","Error")))</f>
        <v/>
      </c>
      <c r="I1909" s="640">
        <f>IF(H1909="free",0,IF(H1909="credit",((E1909*(F1909))*G1909*-1),IF(F1909="Buy",(E1909*G1909),((E1909*(1-F1909))*G1909))))</f>
        <v>0</v>
      </c>
      <c r="J1909" s="640">
        <f>IF(H1909="warranty",0,(I1909*(_xlfn.SINGLE(SalesTaxPercentage))))</f>
        <v>0</v>
      </c>
      <c r="K1909" s="716">
        <f t="shared" ref="K1909" si="1359">I1909+J1909</f>
        <v>0</v>
      </c>
      <c r="L1909" s="716"/>
      <c r="M1909" s="689" t="str">
        <f ca="1">IF(AND(G1909&gt;0,E1909=0),"WARNING - no PRICE inserted",IF(H1909="free","FREE ~ no charge this plant",IF(H1909="credit",CONCATENATE("-$",ROUND(K1909*(1-_xlfn.SINGLE(T2GDiscount))*-1,2)," CREDIT after discount"),IF(_xlfn.SINGLE(T2GDiscount)=0,"",IF(G1909=0,"",IF(F1909="Buy",CONCATENATE("$",ROUND(K1909*(1-_xlfn.SINGLE(T2GDiscount)),2)," with ",(_xlfn.SINGLE(T2GDiscount)*100),"% discount"),CONCATENATE("$",ROUND(K1909*(1-_xlfn.SINGLE(T2GDiscount)),2)," with ",((_xlfn.SINGLE(T2GDiscount)*100+F1909*100)-(_xlfn.SINGLE(T2GDiscount)*100*F1909)),IF(F1909&gt;0,"% discounts",IF(_xlfn.SINGLE(NoWarrantyDiscount)&gt;0,"% discounts","% discount")))))))))</f>
        <v/>
      </c>
      <c r="N1909" s="690"/>
      <c r="O1909" s="486"/>
      <c r="P1909" s="486"/>
      <c r="Q1909" s="486"/>
      <c r="R1909" s="486"/>
      <c r="S1909" s="486"/>
      <c r="T1909" s="102">
        <f t="shared" si="1332"/>
        <v>0</v>
      </c>
      <c r="U1909" s="78">
        <f>IF(NOT(ISNUMBER(G1909)), "", VLOOKUP(A1909,'Discount Lookup'!D:E,2,FALSE)*G1909)</f>
        <v>0</v>
      </c>
      <c r="V1909" s="78">
        <f>IF(NOT(ISNUMBER(G1909)), "", VLOOKUP(A1909,'Discount Lookup'!G:H,2,FALSE)*G1909)</f>
        <v>0</v>
      </c>
      <c r="W1909" s="102">
        <f t="shared" si="1333"/>
        <v>0</v>
      </c>
      <c r="X1909" s="102">
        <f t="shared" si="1334"/>
        <v>0</v>
      </c>
      <c r="Y1909" s="120" t="b">
        <f t="shared" si="1335"/>
        <v>0</v>
      </c>
      <c r="Z1909" s="117">
        <f t="shared" si="1336"/>
        <v>0</v>
      </c>
      <c r="AA1909" s="118"/>
      <c r="AB1909" s="118" t="str">
        <f t="shared" si="1337"/>
        <v/>
      </c>
      <c r="AC1909" s="712" t="str">
        <f>IF(AE1909="T2G","no charge",IF(AND(OR(PlanterYesMe="No",PlanterYesMe="N",PlanterYesMe="me"),H1909=""),"",IF(H1909="credit","NO install",IF(AND(K1909="",AE1909="me"),"EACH row",IF(AND(K1909="images",AE1909="me"),"EACH row",IF(D1909="","",IF(H1909="credit","",IF(AE1909="free","re-planting",IF(AE1909="me","   not ELP, by",IF(AND(OR(PlanterYesMe="Yes",PlanterYesMe="Y"),G1909&gt;0),(VLOOKUP(A1909,'Discount Lookup'!J:K,2)*G1909*(1-PlanterDiscount)*(1+PlanterDifficultyPercentage)),IF(AE1909="ELP",(VLOOKUP(A1909,'Discount Lookup'!J:K,2)*G1909*(1-PlanterDiscount)*(1+PlanterDifficultyPercentage)),IF(AE1909="free","re-planting",IF(G1909=0,"",IF(PlanterYesMe="",IF(AE1909="me","   not ELP, by",IF(AE1909="",IF(G1909&gt;0,(VLOOKUP(A1909,'Discount Lookup'!J:K,2)*G1909*(1-PlanterDiscount)*(1+PlanterDifficultyPercentage)),""),"")),"   not ELP, by"))))))))))))))</f>
        <v/>
      </c>
      <c r="AD1909" s="712"/>
      <c r="AE1909" s="513" t="str">
        <f t="shared" si="1338"/>
        <v/>
      </c>
      <c r="AF1909" s="713" t="str">
        <f t="shared" si="1339"/>
        <v/>
      </c>
      <c r="AG1909" s="713"/>
      <c r="AH1909" s="713"/>
      <c r="AI1909" s="112">
        <f>IF(H1909="credit",0,IF(AE1909="free",0,IF(AE1909="me",0,IF(G1909&gt;0,(VLOOKUP(A1909,'Discount Lookup'!J:K,2)*G1909),0))))</f>
        <v>0</v>
      </c>
      <c r="AJ1909" s="107" t="str">
        <f t="shared" ca="1" si="1340"/>
        <v/>
      </c>
      <c r="AK1909" s="714" t="str">
        <f t="shared" si="1341"/>
        <v/>
      </c>
      <c r="AL1909" s="714"/>
      <c r="AM1909" s="114" t="str">
        <f t="shared" si="1342"/>
        <v/>
      </c>
      <c r="AN1909" s="115"/>
      <c r="AO1909" s="116"/>
      <c r="AP1909" s="116"/>
      <c r="AQ1909" s="116"/>
      <c r="AR1909" s="116"/>
      <c r="AS1909" s="116"/>
      <c r="AT1909" s="116"/>
      <c r="AU1909" s="116"/>
      <c r="AV1909" s="78"/>
      <c r="AW1909" s="102"/>
      <c r="AX1909" s="78"/>
      <c r="AY1909" s="78"/>
      <c r="AZ1909" s="78"/>
      <c r="BA1909" s="78"/>
      <c r="BB1909" s="78"/>
      <c r="BC1909" s="78"/>
      <c r="BD1909" s="78"/>
      <c r="BE1909" s="465"/>
      <c r="BF1909" s="165" t="str">
        <f t="shared" si="1343"/>
        <v>https://www.google.com/search?tbm=isch&amp;q=1%20G6</v>
      </c>
      <c r="BG1909" s="165" t="str">
        <f t="shared" si="1344"/>
        <v>H</v>
      </c>
      <c r="BH1909" s="65"/>
      <c r="BI1909" s="65"/>
      <c r="BJ1909" s="65"/>
      <c r="BK1909" s="65"/>
      <c r="BL1909" s="99"/>
      <c r="BM1909" s="99"/>
      <c r="BN1909" s="99"/>
    </row>
    <row r="1910" spans="1:66" s="51" customFormat="1" ht="27" x14ac:dyDescent="0.25">
      <c r="A1910" s="634">
        <v>3</v>
      </c>
      <c r="B1910" s="635" t="s">
        <v>291</v>
      </c>
      <c r="C1910" s="636" t="s">
        <v>5169</v>
      </c>
      <c r="D1910" s="637" t="s">
        <v>299</v>
      </c>
      <c r="E1910" s="638">
        <v>28.95</v>
      </c>
      <c r="F1910" s="639" t="s">
        <v>292</v>
      </c>
      <c r="G1910" s="484">
        <v>0</v>
      </c>
      <c r="H1910" s="691" t="str">
        <f>IF(G1910=0,"",IF(F1910="Buy",IF(G1910=1,"plant","plants"),IF(F1910&gt;0.01,"warranty","Error")))</f>
        <v/>
      </c>
      <c r="I1910" s="640">
        <f>IF(H1910="free",0,IF(H1910="credit",((E1910*(F1910))*G1910*-1),IF(F1910="Buy",(E1910*G1910),((E1910*(1-F1910))*G1910))))</f>
        <v>0</v>
      </c>
      <c r="J1910" s="640">
        <f>IF(H1910="warranty",0,(I1910*(_xlfn.SINGLE(SalesTaxPercentage))))</f>
        <v>0</v>
      </c>
      <c r="K1910" s="716">
        <f t="shared" ref="K1910" si="1360">I1910+J1910</f>
        <v>0</v>
      </c>
      <c r="L1910" s="716"/>
      <c r="M1910" s="689" t="str">
        <f ca="1">IF(AND(G1910&gt;0,E1910=0),"WARNING - no PRICE inserted",IF(H1910="free","FREE ~ no charge this plant",IF(H1910="credit",CONCATENATE("-$",ROUND(K1910*(1-_xlfn.SINGLE(T2GDiscount))*-1,2)," CREDIT after discount"),IF(_xlfn.SINGLE(T2GDiscount)=0,"",IF(G1910=0,"",IF(F1910="Buy",CONCATENATE("$",ROUND(K1910*(1-_xlfn.SINGLE(T2GDiscount)),2)," with ",(_xlfn.SINGLE(T2GDiscount)*100),"% discount"),CONCATENATE("$",ROUND(K1910*(1-_xlfn.SINGLE(T2GDiscount)),2)," with ",((_xlfn.SINGLE(T2GDiscount)*100+F1910*100)-(_xlfn.SINGLE(T2GDiscount)*100*F1910)),IF(F1910&gt;0,"% discounts",IF(_xlfn.SINGLE(NoWarrantyDiscount)&gt;0,"% discounts","% discount")))))))))</f>
        <v/>
      </c>
      <c r="N1910" s="690"/>
      <c r="O1910" s="486"/>
      <c r="P1910" s="486"/>
      <c r="Q1910" s="486"/>
      <c r="R1910" s="486"/>
      <c r="S1910" s="486"/>
      <c r="T1910" s="102">
        <f t="shared" si="1332"/>
        <v>0</v>
      </c>
      <c r="U1910" s="78">
        <f>IF(NOT(ISNUMBER(G1910)), "", VLOOKUP(A1910,'Discount Lookup'!D:E,2,FALSE)*G1910)</f>
        <v>0</v>
      </c>
      <c r="V1910" s="78">
        <f>IF(NOT(ISNUMBER(G1910)), "", VLOOKUP(A1910,'Discount Lookup'!G:H,2,FALSE)*G1910)</f>
        <v>0</v>
      </c>
      <c r="W1910" s="102">
        <f t="shared" si="1333"/>
        <v>0</v>
      </c>
      <c r="X1910" s="102">
        <f t="shared" si="1334"/>
        <v>0</v>
      </c>
      <c r="Y1910" s="120" t="b">
        <f t="shared" si="1335"/>
        <v>0</v>
      </c>
      <c r="Z1910" s="117">
        <f t="shared" si="1336"/>
        <v>0</v>
      </c>
      <c r="AA1910" s="118"/>
      <c r="AB1910" s="118" t="str">
        <f t="shared" si="1337"/>
        <v/>
      </c>
      <c r="AC1910" s="712" t="str">
        <f>IF(AE1910="T2G","no charge",IF(AND(OR(PlanterYesMe="No",PlanterYesMe="N",PlanterYesMe="me"),H1910=""),"",IF(H1910="credit","NO install",IF(AND(K1910="",AE1910="me"),"EACH row",IF(AND(K1910="images",AE1910="me"),"EACH row",IF(D1910="","",IF(H1910="credit","",IF(AE1910="free","re-planting",IF(AE1910="me","   not ELP, by",IF(AND(OR(PlanterYesMe="Yes",PlanterYesMe="Y"),G1910&gt;0),(VLOOKUP(A1910,'Discount Lookup'!J:K,2)*G1910*(1-PlanterDiscount)*(1+PlanterDifficultyPercentage)),IF(AE1910="ELP",(VLOOKUP(A1910,'Discount Lookup'!J:K,2)*G1910*(1-PlanterDiscount)*(1+PlanterDifficultyPercentage)),IF(AE1910="free","re-planting",IF(G1910=0,"",IF(PlanterYesMe="",IF(AE1910="me","   not ELP, by",IF(AE1910="",IF(G1910&gt;0,(VLOOKUP(A1910,'Discount Lookup'!J:K,2)*G1910*(1-PlanterDiscount)*(1+PlanterDifficultyPercentage)),""),"")),"   not ELP, by"))))))))))))))</f>
        <v/>
      </c>
      <c r="AD1910" s="712"/>
      <c r="AE1910" s="513" t="str">
        <f t="shared" si="1338"/>
        <v/>
      </c>
      <c r="AF1910" s="713" t="str">
        <f t="shared" si="1339"/>
        <v/>
      </c>
      <c r="AG1910" s="713"/>
      <c r="AH1910" s="713"/>
      <c r="AI1910" s="112">
        <f>IF(H1910="credit",0,IF(AE1910="free",0,IF(AE1910="me",0,IF(G1910&gt;0,(VLOOKUP(A1910,'Discount Lookup'!J:K,2)*G1910),0))))</f>
        <v>0</v>
      </c>
      <c r="AJ1910" s="107" t="str">
        <f t="shared" ca="1" si="1340"/>
        <v/>
      </c>
      <c r="AK1910" s="714" t="str">
        <f t="shared" si="1341"/>
        <v/>
      </c>
      <c r="AL1910" s="714"/>
      <c r="AM1910" s="114" t="str">
        <f t="shared" si="1342"/>
        <v/>
      </c>
      <c r="AN1910" s="115"/>
      <c r="AO1910" s="116"/>
      <c r="AP1910" s="116"/>
      <c r="AQ1910" s="116"/>
      <c r="AR1910" s="116"/>
      <c r="AS1910" s="116"/>
      <c r="AT1910" s="116"/>
      <c r="AU1910" s="116"/>
      <c r="AV1910" s="78"/>
      <c r="AW1910" s="102"/>
      <c r="AX1910" s="78"/>
      <c r="AY1910" s="78"/>
      <c r="AZ1910" s="78"/>
      <c r="BA1910" s="78"/>
      <c r="BB1910" s="78"/>
      <c r="BC1910" s="78"/>
      <c r="BD1910" s="78"/>
      <c r="BE1910" s="465"/>
      <c r="BF1910" s="165" t="str">
        <f t="shared" si="1343"/>
        <v>https://www.google.com/search?tbm=isch&amp;q=3%20G4</v>
      </c>
      <c r="BG1910" s="165" t="str">
        <f t="shared" si="1344"/>
        <v>H</v>
      </c>
      <c r="BH1910" s="65"/>
      <c r="BI1910" s="65"/>
      <c r="BJ1910" s="65"/>
      <c r="BK1910" s="65"/>
      <c r="BL1910" s="99"/>
      <c r="BM1910" s="99"/>
      <c r="BN1910" s="99"/>
    </row>
    <row r="1911" spans="1:66" s="51" customFormat="1" ht="16.5" x14ac:dyDescent="0.25">
      <c r="A1911" s="704" t="s">
        <v>5426</v>
      </c>
      <c r="B1911" s="642"/>
      <c r="C1911" s="710"/>
      <c r="D1911" s="643"/>
      <c r="E1911" s="643"/>
      <c r="F1911" s="644"/>
      <c r="G1911" s="645"/>
      <c r="H1911" s="646"/>
      <c r="I1911" s="647"/>
      <c r="J1911" s="648"/>
      <c r="K1911" s="649"/>
      <c r="L1911" s="650"/>
      <c r="M1911" s="650"/>
      <c r="N1911" s="644"/>
      <c r="O1911" s="644"/>
      <c r="P1911" s="644"/>
      <c r="Q1911" s="644"/>
      <c r="R1911" s="644"/>
      <c r="S1911" s="701" t="s">
        <v>5287</v>
      </c>
      <c r="T1911" s="102">
        <f t="shared" si="1332"/>
        <v>0</v>
      </c>
      <c r="U1911" s="78" t="str">
        <f>IF(NOT(ISNUMBER(G1911)), "", VLOOKUP(A1911,'Discount Lookup'!D:E,2,FALSE)*G1911)</f>
        <v/>
      </c>
      <c r="V1911" s="78" t="str">
        <f>IF(NOT(ISNUMBER(G1911)), "", VLOOKUP(A1911,'Discount Lookup'!G:H,2,FALSE)*G1911)</f>
        <v/>
      </c>
      <c r="W1911" s="102">
        <f t="shared" si="1333"/>
        <v>0</v>
      </c>
      <c r="X1911" s="102">
        <f t="shared" si="1334"/>
        <v>0</v>
      </c>
      <c r="Y1911" s="120" t="b">
        <f t="shared" si="1335"/>
        <v>0</v>
      </c>
      <c r="Z1911" s="117">
        <f t="shared" si="1336"/>
        <v>0</v>
      </c>
      <c r="AA1911" s="118"/>
      <c r="AB1911" s="118" t="str">
        <f t="shared" si="1337"/>
        <v/>
      </c>
      <c r="AC1911" s="712" t="str">
        <f>IF(AE1911="T2G","no charge",IF(AND(OR(PlanterYesMe="No",PlanterYesMe="N",PlanterYesMe="me"),H1911=""),"",IF(H1911="credit","NO install",IF(AND(K1911="",AE1911="me"),"EACH row",IF(AND(K1911="images",AE1911="me"),"EACH row",IF(D1911="","",IF(H1911="credit","",IF(AE1911="free","re-planting",IF(AE1911="me","   not ELP, by",IF(AND(OR(PlanterYesMe="Yes",PlanterYesMe="Y"),G1911&gt;0),(VLOOKUP(A1911,'Discount Lookup'!J:K,2)*G1911*(1-PlanterDiscount)*(1+PlanterDifficultyPercentage)),IF(AE1911="ELP",(VLOOKUP(A1911,'Discount Lookup'!J:K,2)*G1911*(1-PlanterDiscount)*(1+PlanterDifficultyPercentage)),IF(AE1911="free","re-planting",IF(G1911=0,"",IF(PlanterYesMe="",IF(AE1911="me","   not ELP, by",IF(AE1911="",IF(G1911&gt;0,(VLOOKUP(A1911,'Discount Lookup'!J:K,2)*G1911*(1-PlanterDiscount)*(1+PlanterDifficultyPercentage)),""),"")),"   not ELP, by"))))))))))))))</f>
        <v/>
      </c>
      <c r="AD1911" s="712"/>
      <c r="AE1911" s="513" t="str">
        <f t="shared" si="1338"/>
        <v/>
      </c>
      <c r="AF1911" s="713" t="str">
        <f t="shared" si="1339"/>
        <v/>
      </c>
      <c r="AG1911" s="713"/>
      <c r="AH1911" s="713"/>
      <c r="AI1911" s="112">
        <f>IF(H1911="credit",0,IF(AE1911="free",0,IF(AE1911="me",0,IF(G1911&gt;0,(VLOOKUP(A1911,'Discount Lookup'!J:K,2)*G1911),0))))</f>
        <v>0</v>
      </c>
      <c r="AJ1911" s="107" t="str">
        <f t="shared" ca="1" si="1340"/>
        <v/>
      </c>
      <c r="AK1911" s="714" t="str">
        <f t="shared" si="1341"/>
        <v/>
      </c>
      <c r="AL1911" s="714"/>
      <c r="AM1911" s="114" t="str">
        <f t="shared" si="1342"/>
        <v/>
      </c>
      <c r="AN1911" s="115"/>
      <c r="AO1911" s="116"/>
      <c r="AP1911" s="116"/>
      <c r="AQ1911" s="116"/>
      <c r="AR1911" s="116"/>
      <c r="AS1911" s="116"/>
      <c r="AT1911" s="116"/>
      <c r="AU1911" s="116"/>
      <c r="AV1911" s="78"/>
      <c r="AW1911" s="102"/>
      <c r="AX1911" s="78"/>
      <c r="AY1911" s="78"/>
      <c r="AZ1911" s="78"/>
      <c r="BA1911" s="78"/>
      <c r="BB1911" s="78"/>
      <c r="BC1911" s="78"/>
      <c r="BD1911" s="78"/>
      <c r="BE1911" s="465"/>
      <c r="BF1911" s="165" t="str">
        <f t="shared" si="1343"/>
        <v>https://www.google.com/search?tbm=isch&amp;q=moist%20sites%F0%9F%92%A7OK%2C%20Patriot%20has%20bold%2C%20Dark%20Green%2C%20heart-shaped%20leaves%20with%20a%20very%20wide%2C%20clean%20White%20margin%20</v>
      </c>
      <c r="BG1911" s="165" t="str">
        <f t="shared" si="1344"/>
        <v>m</v>
      </c>
      <c r="BH1911" s="65"/>
      <c r="BI1911" s="65"/>
      <c r="BJ1911" s="65"/>
      <c r="BK1911" s="65"/>
      <c r="BL1911" s="99"/>
      <c r="BM1911" s="99"/>
      <c r="BN1911" s="99"/>
    </row>
    <row r="1912" spans="1:66" s="51" customFormat="1" ht="19.5" thickBot="1" x14ac:dyDescent="0.3">
      <c r="A1912" s="686" t="s">
        <v>502</v>
      </c>
      <c r="B1912" s="73"/>
      <c r="C1912" s="708"/>
      <c r="D1912" s="73"/>
      <c r="E1912" s="73"/>
      <c r="F1912" s="496"/>
      <c r="G1912" s="73"/>
      <c r="H1912" s="73"/>
      <c r="I1912" s="73"/>
      <c r="J1912" s="73"/>
      <c r="K1912" s="497" t="s">
        <v>357</v>
      </c>
      <c r="L1912" s="562"/>
      <c r="M1912" s="73"/>
      <c r="N1912"/>
      <c r="O1912"/>
      <c r="P1912"/>
      <c r="Q1912"/>
      <c r="R1912"/>
      <c r="S1912"/>
      <c r="T1912" s="102">
        <f t="shared" si="1332"/>
        <v>0</v>
      </c>
      <c r="U1912" s="78" t="str">
        <f>IF(NOT(ISNUMBER(G1912)), "", VLOOKUP(A1912,'Discount Lookup'!D:E,2,FALSE)*G1912)</f>
        <v/>
      </c>
      <c r="V1912" s="78" t="str">
        <f>IF(NOT(ISNUMBER(G1912)), "", VLOOKUP(A1912,'Discount Lookup'!G:H,2,FALSE)*G1912)</f>
        <v/>
      </c>
      <c r="W1912" s="102">
        <f t="shared" si="1333"/>
        <v>0</v>
      </c>
      <c r="X1912" s="102">
        <f t="shared" si="1334"/>
        <v>0</v>
      </c>
      <c r="Y1912" s="120" t="b">
        <f t="shared" si="1335"/>
        <v>0</v>
      </c>
      <c r="Z1912" s="117">
        <f t="shared" si="1336"/>
        <v>0</v>
      </c>
      <c r="AA1912" s="118"/>
      <c r="AB1912" s="118" t="str">
        <f t="shared" si="1337"/>
        <v/>
      </c>
      <c r="AC1912" s="712" t="str">
        <f>IF(AE1912="T2G","no charge",IF(AND(OR(PlanterYesMe="No",PlanterYesMe="N",PlanterYesMe="me"),H1912=""),"",IF(H1912="credit","NO install",IF(AND(K1912="",AE1912="me"),"EACH row",IF(AND(K1912="images",AE1912="me"),"EACH row",IF(D1912="","",IF(H1912="credit","",IF(AE1912="free","re-planting",IF(AE1912="me","   not ELP, by",IF(AND(OR(PlanterYesMe="Yes",PlanterYesMe="Y"),G1912&gt;0),(VLOOKUP(A1912,'Discount Lookup'!J:K,2)*G1912*(1-PlanterDiscount)*(1+PlanterDifficultyPercentage)),IF(AE1912="ELP",(VLOOKUP(A1912,'Discount Lookup'!J:K,2)*G1912*(1-PlanterDiscount)*(1+PlanterDifficultyPercentage)),IF(AE1912="free","re-planting",IF(G1912=0,"",IF(PlanterYesMe="",IF(AE1912="me","   not ELP, by",IF(AE1912="",IF(G1912&gt;0,(VLOOKUP(A1912,'Discount Lookup'!J:K,2)*G1912*(1-PlanterDiscount)*(1+PlanterDifficultyPercentage)),""),"")),"   not ELP, by"))))))))))))))</f>
        <v/>
      </c>
      <c r="AD1912" s="712"/>
      <c r="AE1912" s="513" t="str">
        <f t="shared" si="1338"/>
        <v/>
      </c>
      <c r="AF1912" s="713" t="str">
        <f t="shared" si="1339"/>
        <v/>
      </c>
      <c r="AG1912" s="713"/>
      <c r="AH1912" s="713"/>
      <c r="AI1912" s="112">
        <f>IF(H1912="credit",0,IF(AE1912="free",0,IF(AE1912="me",0,IF(G1912&gt;0,(VLOOKUP(A1912,'Discount Lookup'!J:K,2)*G1912),0))))</f>
        <v>0</v>
      </c>
      <c r="AJ1912" s="107" t="str">
        <f t="shared" ca="1" si="1340"/>
        <v/>
      </c>
      <c r="AK1912" s="714" t="str">
        <f t="shared" si="1341"/>
        <v/>
      </c>
      <c r="AL1912" s="714"/>
      <c r="AM1912" s="114" t="str">
        <f t="shared" si="1342"/>
        <v/>
      </c>
      <c r="AN1912" s="115"/>
      <c r="AO1912" s="116"/>
      <c r="AP1912" s="116"/>
      <c r="AQ1912" s="116"/>
      <c r="AR1912" s="116"/>
      <c r="AS1912" s="116"/>
      <c r="AT1912" s="116"/>
      <c r="AU1912" s="116"/>
      <c r="AV1912" s="78"/>
      <c r="AW1912" s="102"/>
      <c r="AX1912" s="78"/>
      <c r="AY1912" s="78"/>
      <c r="AZ1912" s="78"/>
      <c r="BA1912" s="78"/>
      <c r="BB1912" s="78"/>
      <c r="BC1912" s="78"/>
      <c r="BD1912" s="78"/>
      <c r="BE1912" s="465"/>
      <c r="BF1912" s="165" t="str">
        <f t="shared" si="1343"/>
        <v>https://www.google.com/search?tbm=isch&amp;q=Hyd.%20%3D%20Bigleaf%2C%20Climbing%2C%20Hardy%2C%20Mountain%2C%20Oakleaf%2C%20and%20Smooth%20Hydrangea%20</v>
      </c>
      <c r="BG1912" s="165" t="str">
        <f t="shared" si="1344"/>
        <v>H</v>
      </c>
      <c r="BH1912" s="65"/>
      <c r="BI1912" s="65"/>
      <c r="BJ1912" s="65"/>
      <c r="BK1912" s="65"/>
      <c r="BL1912" s="99"/>
      <c r="BM1912" s="99"/>
      <c r="BN1912" s="99"/>
    </row>
    <row r="1913" spans="1:66" s="51" customFormat="1" ht="18" x14ac:dyDescent="0.25">
      <c r="A1913" s="623" t="s">
        <v>2756</v>
      </c>
      <c r="B1913" s="624"/>
      <c r="C1913" s="709"/>
      <c r="D1913" s="625" t="s">
        <v>2757</v>
      </c>
      <c r="E1913" s="626"/>
      <c r="F1913" s="626"/>
      <c r="G1913" s="626"/>
      <c r="H1913" s="622" t="s">
        <v>2758</v>
      </c>
      <c r="I1913" s="627" t="s">
        <v>350</v>
      </c>
      <c r="J1913" s="628"/>
      <c r="K1913" s="628"/>
      <c r="L1913" s="629"/>
      <c r="M1913" s="702" t="s">
        <v>5252</v>
      </c>
      <c r="N1913" s="693" t="str">
        <f>IF(AND(ISTEXT($A1913), ISERROR($A1913+0)), HYPERLINK($BF1913, "Images"), "")</f>
        <v>Images</v>
      </c>
      <c r="O1913" s="695" t="s">
        <v>5264</v>
      </c>
      <c r="P1913" s="630"/>
      <c r="Q1913" s="631"/>
      <c r="R1913" s="632"/>
      <c r="S1913" s="633"/>
      <c r="T1913" s="102">
        <f t="shared" si="1332"/>
        <v>0</v>
      </c>
      <c r="U1913" s="78" t="str">
        <f>IF(NOT(ISNUMBER(G1913)), "", VLOOKUP(A1913,'Discount Lookup'!D:E,2,FALSE)*G1913)</f>
        <v/>
      </c>
      <c r="V1913" s="78" t="str">
        <f>IF(NOT(ISNUMBER(G1913)), "", VLOOKUP(A1913,'Discount Lookup'!G:H,2,FALSE)*G1913)</f>
        <v/>
      </c>
      <c r="W1913" s="102">
        <f t="shared" si="1333"/>
        <v>0</v>
      </c>
      <c r="X1913" s="102" t="str">
        <f t="shared" si="1334"/>
        <v>Creamy White bloom</v>
      </c>
      <c r="Y1913" s="120" t="b">
        <f t="shared" si="1335"/>
        <v>0</v>
      </c>
      <c r="Z1913" s="117">
        <f t="shared" si="1336"/>
        <v>0</v>
      </c>
      <c r="AA1913" s="118"/>
      <c r="AB1913" s="118" t="str">
        <f t="shared" si="1337"/>
        <v/>
      </c>
      <c r="AC1913" s="712" t="str">
        <f>IF(AE1913="T2G","no charge",IF(AND(OR(PlanterYesMe="No",PlanterYesMe="N",PlanterYesMe="me"),H1913=""),"",IF(H1913="credit","NO install",IF(AND(K1913="",AE1913="me"),"EACH row",IF(AND(K1913="images",AE1913="me"),"EACH row",IF(D1913="","",IF(H1913="credit","",IF(AE1913="free","re-planting",IF(AE1913="me","   not ELP, by",IF(AND(OR(PlanterYesMe="Yes",PlanterYesMe="Y"),G1913&gt;0),(VLOOKUP(A1913,'Discount Lookup'!J:K,2)*G1913*(1-PlanterDiscount)*(1+PlanterDifficultyPercentage)),IF(AE1913="ELP",(VLOOKUP(A1913,'Discount Lookup'!J:K,2)*G1913*(1-PlanterDiscount)*(1+PlanterDifficultyPercentage)),IF(AE1913="free","re-planting",IF(G1913=0,"",IF(PlanterYesMe="",IF(AE1913="me","   not ELP, by",IF(AE1913="",IF(G1913&gt;0,(VLOOKUP(A1913,'Discount Lookup'!J:K,2)*G1913*(1-PlanterDiscount)*(1+PlanterDifficultyPercentage)),""),"")),"   not ELP, by"))))))))))))))</f>
        <v/>
      </c>
      <c r="AD1913" s="712"/>
      <c r="AE1913" s="513" t="str">
        <f t="shared" si="1338"/>
        <v/>
      </c>
      <c r="AF1913" s="713" t="str">
        <f t="shared" si="1339"/>
        <v/>
      </c>
      <c r="AG1913" s="713"/>
      <c r="AH1913" s="713"/>
      <c r="AI1913" s="112">
        <f>IF(H1913="credit",0,IF(AE1913="free",0,IF(AE1913="me",0,IF(G1913&gt;0,(VLOOKUP(A1913,'Discount Lookup'!J:K,2)*G1913),0))))</f>
        <v>0</v>
      </c>
      <c r="AJ1913" s="107" t="str">
        <f t="shared" ca="1" si="1340"/>
        <v/>
      </c>
      <c r="AK1913" s="714" t="str">
        <f t="shared" si="1341"/>
        <v/>
      </c>
      <c r="AL1913" s="714"/>
      <c r="AM1913" s="114" t="str">
        <f t="shared" si="1342"/>
        <v/>
      </c>
      <c r="AN1913" s="115"/>
      <c r="AO1913" s="116"/>
      <c r="AP1913" s="116"/>
      <c r="AQ1913" s="116"/>
      <c r="AR1913" s="116"/>
      <c r="AS1913" s="116"/>
      <c r="AT1913" s="116"/>
      <c r="AU1913" s="116"/>
      <c r="AV1913" s="78"/>
      <c r="AW1913" s="102"/>
      <c r="AX1913" s="78"/>
      <c r="AY1913" s="78"/>
      <c r="AZ1913" s="78"/>
      <c r="BA1913" s="78"/>
      <c r="BB1913" s="78"/>
      <c r="BC1913" s="78"/>
      <c r="BD1913" s="78"/>
      <c r="BE1913" s="465"/>
      <c r="BF1913" s="165" t="str">
        <f t="shared" si="1343"/>
        <v>https://www.google.com/search?tbm=isch&amp;q=Hyd.%20anomala%20petiolaris%20Climbing%20Hydrangea</v>
      </c>
      <c r="BG1913" s="165" t="str">
        <f t="shared" si="1344"/>
        <v>H</v>
      </c>
      <c r="BH1913" s="65"/>
      <c r="BI1913" s="65"/>
      <c r="BJ1913" s="65"/>
      <c r="BK1913" s="65"/>
      <c r="BL1913" s="99"/>
      <c r="BM1913" s="99"/>
      <c r="BN1913" s="99"/>
    </row>
    <row r="1914" spans="1:66" s="51" customFormat="1" ht="15.75" x14ac:dyDescent="0.25">
      <c r="A1914" s="634">
        <v>3</v>
      </c>
      <c r="B1914" s="635" t="s">
        <v>291</v>
      </c>
      <c r="C1914" s="636" t="s">
        <v>2759</v>
      </c>
      <c r="D1914" s="637" t="s">
        <v>329</v>
      </c>
      <c r="E1914" s="638">
        <v>32.950000000000003</v>
      </c>
      <c r="F1914" s="639" t="s">
        <v>292</v>
      </c>
      <c r="G1914" s="484">
        <v>0</v>
      </c>
      <c r="H1914" s="691" t="str">
        <f>IF(G1914=0,"",IF(F1914="Buy",IF(G1914=1,"plant","plants"),IF(F1914&gt;0.01,"warranty","Error")))</f>
        <v/>
      </c>
      <c r="I1914" s="640">
        <f>IF(H1914="free",0,IF(H1914="credit",((E1914*(F1914))*G1914*-1),IF(F1914="Buy",(E1914*G1914),((E1914*(1-F1914))*G1914))))</f>
        <v>0</v>
      </c>
      <c r="J1914" s="640">
        <f>IF(H1914="warranty",0,(I1914*(_xlfn.SINGLE(SalesTaxPercentage))))</f>
        <v>0</v>
      </c>
      <c r="K1914" s="716">
        <f t="shared" ref="K1914" si="1361">I1914+J1914</f>
        <v>0</v>
      </c>
      <c r="L1914" s="716"/>
      <c r="M1914" s="689" t="str">
        <f ca="1">IF(AND(G1914&gt;0,E1914=0),"WARNING - no PRICE inserted",IF(H1914="free","FREE ~ no charge this plant",IF(H1914="credit",CONCATENATE("-$",ROUND(K1914*(1-_xlfn.SINGLE(T2GDiscount))*-1,2)," CREDIT after discount"),IF(_xlfn.SINGLE(T2GDiscount)=0,"",IF(G1914=0,"",IF(F1914="Buy",CONCATENATE("$",ROUND(K1914*(1-_xlfn.SINGLE(T2GDiscount)),2)," with ",(_xlfn.SINGLE(T2GDiscount)*100),"% discount"),CONCATENATE("$",ROUND(K1914*(1-_xlfn.SINGLE(T2GDiscount)),2)," with ",((_xlfn.SINGLE(T2GDiscount)*100+F1914*100)-(_xlfn.SINGLE(T2GDiscount)*100*F1914)),IF(F1914&gt;0,"% discounts",IF(_xlfn.SINGLE(NoWarrantyDiscount)&gt;0,"% discounts","% discount")))))))))</f>
        <v/>
      </c>
      <c r="N1914" s="690"/>
      <c r="O1914" s="486"/>
      <c r="P1914" s="486"/>
      <c r="Q1914" s="486"/>
      <c r="R1914" s="486"/>
      <c r="S1914" s="486"/>
      <c r="T1914" s="102">
        <f t="shared" si="1332"/>
        <v>0</v>
      </c>
      <c r="U1914" s="78">
        <f>IF(NOT(ISNUMBER(G1914)), "", VLOOKUP(A1914,'Discount Lookup'!D:E,2,FALSE)*G1914)</f>
        <v>0</v>
      </c>
      <c r="V1914" s="78">
        <f>IF(NOT(ISNUMBER(G1914)), "", VLOOKUP(A1914,'Discount Lookup'!G:H,2,FALSE)*G1914)</f>
        <v>0</v>
      </c>
      <c r="W1914" s="102">
        <f t="shared" si="1333"/>
        <v>0</v>
      </c>
      <c r="X1914" s="102">
        <f t="shared" si="1334"/>
        <v>0</v>
      </c>
      <c r="Y1914" s="120" t="b">
        <f t="shared" si="1335"/>
        <v>0</v>
      </c>
      <c r="Z1914" s="117">
        <f t="shared" si="1336"/>
        <v>0</v>
      </c>
      <c r="AA1914" s="118"/>
      <c r="AB1914" s="118" t="str">
        <f t="shared" si="1337"/>
        <v/>
      </c>
      <c r="AC1914" s="712" t="str">
        <f>IF(AE1914="T2G","no charge",IF(AND(OR(PlanterYesMe="No",PlanterYesMe="N",PlanterYesMe="me"),H1914=""),"",IF(H1914="credit","NO install",IF(AND(K1914="",AE1914="me"),"EACH row",IF(AND(K1914="images",AE1914="me"),"EACH row",IF(D1914="","",IF(H1914="credit","",IF(AE1914="free","re-planting",IF(AE1914="me","   not ELP, by",IF(AND(OR(PlanterYesMe="Yes",PlanterYesMe="Y"),G1914&gt;0),(VLOOKUP(A1914,'Discount Lookup'!J:K,2)*G1914*(1-PlanterDiscount)*(1+PlanterDifficultyPercentage)),IF(AE1914="ELP",(VLOOKUP(A1914,'Discount Lookup'!J:K,2)*G1914*(1-PlanterDiscount)*(1+PlanterDifficultyPercentage)),IF(AE1914="free","re-planting",IF(G1914=0,"",IF(PlanterYesMe="",IF(AE1914="me","   not ELP, by",IF(AE1914="",IF(G1914&gt;0,(VLOOKUP(A1914,'Discount Lookup'!J:K,2)*G1914*(1-PlanterDiscount)*(1+PlanterDifficultyPercentage)),""),"")),"   not ELP, by"))))))))))))))</f>
        <v/>
      </c>
      <c r="AD1914" s="712"/>
      <c r="AE1914" s="513" t="str">
        <f t="shared" si="1338"/>
        <v/>
      </c>
      <c r="AF1914" s="713" t="str">
        <f t="shared" si="1339"/>
        <v/>
      </c>
      <c r="AG1914" s="713"/>
      <c r="AH1914" s="713"/>
      <c r="AI1914" s="112">
        <f>IF(H1914="credit",0,IF(AE1914="free",0,IF(AE1914="me",0,IF(G1914&gt;0,(VLOOKUP(A1914,'Discount Lookup'!J:K,2)*G1914),0))))</f>
        <v>0</v>
      </c>
      <c r="AJ1914" s="107" t="str">
        <f t="shared" ca="1" si="1340"/>
        <v/>
      </c>
      <c r="AK1914" s="714" t="str">
        <f t="shared" si="1341"/>
        <v/>
      </c>
      <c r="AL1914" s="714"/>
      <c r="AM1914" s="114" t="str">
        <f t="shared" si="1342"/>
        <v/>
      </c>
      <c r="AN1914" s="115"/>
      <c r="AO1914" s="116"/>
      <c r="AP1914" s="116"/>
      <c r="AQ1914" s="116"/>
      <c r="AR1914" s="116"/>
      <c r="AS1914" s="116"/>
      <c r="AT1914" s="116"/>
      <c r="AU1914" s="116"/>
      <c r="AV1914" s="78"/>
      <c r="AW1914" s="102"/>
      <c r="AX1914" s="78"/>
      <c r="AY1914" s="78"/>
      <c r="AZ1914" s="78"/>
      <c r="BA1914" s="78"/>
      <c r="BB1914" s="78"/>
      <c r="BC1914" s="78"/>
      <c r="BD1914" s="78"/>
      <c r="BE1914" s="465"/>
      <c r="BF1914" s="165" t="str">
        <f t="shared" si="1343"/>
        <v>https://www.google.com/search?tbm=isch&amp;q=3%20G2</v>
      </c>
      <c r="BG1914" s="165" t="str">
        <f t="shared" si="1344"/>
        <v>H</v>
      </c>
      <c r="BH1914" s="65"/>
      <c r="BI1914" s="65"/>
      <c r="BJ1914" s="65"/>
      <c r="BK1914" s="65"/>
      <c r="BL1914" s="99"/>
      <c r="BM1914" s="99"/>
      <c r="BN1914" s="99"/>
    </row>
    <row r="1915" spans="1:66" s="51" customFormat="1" ht="27" x14ac:dyDescent="0.25">
      <c r="A1915" s="634">
        <v>7</v>
      </c>
      <c r="B1915" s="635" t="s">
        <v>291</v>
      </c>
      <c r="C1915" s="636" t="s">
        <v>2760</v>
      </c>
      <c r="D1915" s="637" t="s">
        <v>299</v>
      </c>
      <c r="E1915" s="638">
        <v>127.95</v>
      </c>
      <c r="F1915" s="639" t="s">
        <v>292</v>
      </c>
      <c r="G1915" s="484">
        <v>0</v>
      </c>
      <c r="H1915" s="691" t="str">
        <f>IF(G1915=0,"",IF(F1915="Buy",IF(G1915=1,"plant","plants"),IF(F1915&gt;0.01,"warranty","Error")))</f>
        <v/>
      </c>
      <c r="I1915" s="640">
        <f>IF(H1915="free",0,IF(H1915="credit",((E1915*(F1915))*G1915*-1),IF(F1915="Buy",(E1915*G1915),((E1915*(1-F1915))*G1915))))</f>
        <v>0</v>
      </c>
      <c r="J1915" s="640">
        <f>IF(H1915="warranty",0,(I1915*(_xlfn.SINGLE(SalesTaxPercentage))))</f>
        <v>0</v>
      </c>
      <c r="K1915" s="716">
        <f t="shared" ref="K1915" si="1362">I1915+J1915</f>
        <v>0</v>
      </c>
      <c r="L1915" s="716"/>
      <c r="M1915" s="689" t="str">
        <f ca="1">IF(AND(G1915&gt;0,E1915=0),"WARNING - no PRICE inserted",IF(H1915="free","FREE ~ no charge this plant",IF(H1915="credit",CONCATENATE("-$",ROUND(K1915*(1-_xlfn.SINGLE(T2GDiscount))*-1,2)," CREDIT after discount"),IF(_xlfn.SINGLE(T2GDiscount)=0,"",IF(G1915=0,"",IF(F1915="Buy",CONCATENATE("$",ROUND(K1915*(1-_xlfn.SINGLE(T2GDiscount)),2)," with ",(_xlfn.SINGLE(T2GDiscount)*100),"% discount"),CONCATENATE("$",ROUND(K1915*(1-_xlfn.SINGLE(T2GDiscount)),2)," with ",((_xlfn.SINGLE(T2GDiscount)*100+F1915*100)-(_xlfn.SINGLE(T2GDiscount)*100*F1915)),IF(F1915&gt;0,"% discounts",IF(_xlfn.SINGLE(NoWarrantyDiscount)&gt;0,"% discounts","% discount")))))))))</f>
        <v/>
      </c>
      <c r="N1915" s="690"/>
      <c r="O1915" s="486"/>
      <c r="P1915" s="486"/>
      <c r="Q1915" s="486"/>
      <c r="R1915" s="486"/>
      <c r="S1915" s="486"/>
      <c r="T1915" s="102">
        <f t="shared" si="1332"/>
        <v>0</v>
      </c>
      <c r="U1915" s="78">
        <f>IF(NOT(ISNUMBER(G1915)), "", VLOOKUP(A1915,'Discount Lookup'!D:E,2,FALSE)*G1915)</f>
        <v>0</v>
      </c>
      <c r="V1915" s="78">
        <f>IF(NOT(ISNUMBER(G1915)), "", VLOOKUP(A1915,'Discount Lookup'!G:H,2,FALSE)*G1915)</f>
        <v>0</v>
      </c>
      <c r="W1915" s="102">
        <f t="shared" si="1333"/>
        <v>0</v>
      </c>
      <c r="X1915" s="102">
        <f t="shared" si="1334"/>
        <v>0</v>
      </c>
      <c r="Y1915" s="120" t="b">
        <f t="shared" si="1335"/>
        <v>0</v>
      </c>
      <c r="Z1915" s="117">
        <f t="shared" si="1336"/>
        <v>0</v>
      </c>
      <c r="AA1915" s="118"/>
      <c r="AB1915" s="118" t="str">
        <f t="shared" si="1337"/>
        <v/>
      </c>
      <c r="AC1915" s="712" t="str">
        <f>IF(AE1915="T2G","no charge",IF(AND(OR(PlanterYesMe="No",PlanterYesMe="N",PlanterYesMe="me"),H1915=""),"",IF(H1915="credit","NO install",IF(AND(K1915="",AE1915="me"),"EACH row",IF(AND(K1915="images",AE1915="me"),"EACH row",IF(D1915="","",IF(H1915="credit","",IF(AE1915="free","re-planting",IF(AE1915="me","   not ELP, by",IF(AND(OR(PlanterYesMe="Yes",PlanterYesMe="Y"),G1915&gt;0),(VLOOKUP(A1915,'Discount Lookup'!J:K,2)*G1915*(1-PlanterDiscount)*(1+PlanterDifficultyPercentage)),IF(AE1915="ELP",(VLOOKUP(A1915,'Discount Lookup'!J:K,2)*G1915*(1-PlanterDiscount)*(1+PlanterDifficultyPercentage)),IF(AE1915="free","re-planting",IF(G1915=0,"",IF(PlanterYesMe="",IF(AE1915="me","   not ELP, by",IF(AE1915="",IF(G1915&gt;0,(VLOOKUP(A1915,'Discount Lookup'!J:K,2)*G1915*(1-PlanterDiscount)*(1+PlanterDifficultyPercentage)),""),"")),"   not ELP, by"))))))))))))))</f>
        <v/>
      </c>
      <c r="AD1915" s="712"/>
      <c r="AE1915" s="513" t="str">
        <f t="shared" si="1338"/>
        <v/>
      </c>
      <c r="AF1915" s="713" t="str">
        <f t="shared" si="1339"/>
        <v/>
      </c>
      <c r="AG1915" s="713"/>
      <c r="AH1915" s="713"/>
      <c r="AI1915" s="112">
        <f>IF(H1915="credit",0,IF(AE1915="free",0,IF(AE1915="me",0,IF(G1915&gt;0,(VLOOKUP(A1915,'Discount Lookup'!J:K,2)*G1915),0))))</f>
        <v>0</v>
      </c>
      <c r="AJ1915" s="107" t="str">
        <f t="shared" ca="1" si="1340"/>
        <v/>
      </c>
      <c r="AK1915" s="714" t="str">
        <f t="shared" si="1341"/>
        <v/>
      </c>
      <c r="AL1915" s="714"/>
      <c r="AM1915" s="114" t="str">
        <f t="shared" si="1342"/>
        <v/>
      </c>
      <c r="AN1915" s="115"/>
      <c r="AO1915" s="116"/>
      <c r="AP1915" s="116"/>
      <c r="AQ1915" s="116"/>
      <c r="AR1915" s="116"/>
      <c r="AS1915" s="116"/>
      <c r="AT1915" s="116"/>
      <c r="AU1915" s="116"/>
      <c r="AV1915" s="78"/>
      <c r="AW1915" s="102"/>
      <c r="AX1915" s="78"/>
      <c r="AY1915" s="78"/>
      <c r="AZ1915" s="78"/>
      <c r="BA1915" s="78"/>
      <c r="BB1915" s="78"/>
      <c r="BC1915" s="78"/>
      <c r="BD1915" s="78"/>
      <c r="BE1915" s="465"/>
      <c r="BF1915" s="165" t="str">
        <f t="shared" si="1343"/>
        <v>https://www.google.com/search?tbm=isch&amp;q=7%20G4</v>
      </c>
      <c r="BG1915" s="165" t="str">
        <f t="shared" si="1344"/>
        <v>H</v>
      </c>
      <c r="BH1915" s="65"/>
      <c r="BI1915" s="65"/>
      <c r="BJ1915" s="65"/>
      <c r="BK1915" s="65"/>
      <c r="BL1915" s="99"/>
      <c r="BM1915" s="99"/>
      <c r="BN1915" s="99"/>
    </row>
    <row r="1916" spans="1:66" s="51" customFormat="1" ht="27" x14ac:dyDescent="0.25">
      <c r="A1916" s="634">
        <v>7</v>
      </c>
      <c r="B1916" s="635" t="s">
        <v>291</v>
      </c>
      <c r="C1916" s="636" t="s">
        <v>2761</v>
      </c>
      <c r="D1916" s="637" t="s">
        <v>299</v>
      </c>
      <c r="E1916" s="638">
        <v>164.95</v>
      </c>
      <c r="F1916" s="639" t="s">
        <v>292</v>
      </c>
      <c r="G1916" s="484">
        <v>0</v>
      </c>
      <c r="H1916" s="691" t="str">
        <f>IF(G1916=0,"",IF(F1916="Buy",IF(G1916=1,"plant","plants"),IF(F1916&gt;0.01,"warranty","Error")))</f>
        <v/>
      </c>
      <c r="I1916" s="640">
        <f>IF(H1916="free",0,IF(H1916="credit",((E1916*(F1916))*G1916*-1),IF(F1916="Buy",(E1916*G1916),((E1916*(1-F1916))*G1916))))</f>
        <v>0</v>
      </c>
      <c r="J1916" s="640">
        <f>IF(H1916="warranty",0,(I1916*(_xlfn.SINGLE(SalesTaxPercentage))))</f>
        <v>0</v>
      </c>
      <c r="K1916" s="716">
        <f t="shared" ref="K1916" si="1363">I1916+J1916</f>
        <v>0</v>
      </c>
      <c r="L1916" s="716"/>
      <c r="M1916" s="689" t="str">
        <f ca="1">IF(AND(G1916&gt;0,E1916=0),"WARNING - no PRICE inserted",IF(H1916="free","FREE ~ no charge this plant",IF(H1916="credit",CONCATENATE("-$",ROUND(K1916*(1-_xlfn.SINGLE(T2GDiscount))*-1,2)," CREDIT after discount"),IF(_xlfn.SINGLE(T2GDiscount)=0,"",IF(G1916=0,"",IF(F1916="Buy",CONCATENATE("$",ROUND(K1916*(1-_xlfn.SINGLE(T2GDiscount)),2)," with ",(_xlfn.SINGLE(T2GDiscount)*100),"% discount"),CONCATENATE("$",ROUND(K1916*(1-_xlfn.SINGLE(T2GDiscount)),2)," with ",((_xlfn.SINGLE(T2GDiscount)*100+F1916*100)-(_xlfn.SINGLE(T2GDiscount)*100*F1916)),IF(F1916&gt;0,"% discounts",IF(_xlfn.SINGLE(NoWarrantyDiscount)&gt;0,"% discounts","% discount")))))))))</f>
        <v/>
      </c>
      <c r="N1916" s="690"/>
      <c r="O1916" s="486"/>
      <c r="P1916" s="486"/>
      <c r="Q1916" s="486"/>
      <c r="R1916" s="486"/>
      <c r="S1916" s="486"/>
      <c r="T1916" s="102">
        <f t="shared" si="1332"/>
        <v>0</v>
      </c>
      <c r="U1916" s="78">
        <f>IF(NOT(ISNUMBER(G1916)), "", VLOOKUP(A1916,'Discount Lookup'!D:E,2,FALSE)*G1916)</f>
        <v>0</v>
      </c>
      <c r="V1916" s="78">
        <f>IF(NOT(ISNUMBER(G1916)), "", VLOOKUP(A1916,'Discount Lookup'!G:H,2,FALSE)*G1916)</f>
        <v>0</v>
      </c>
      <c r="W1916" s="102">
        <f t="shared" si="1333"/>
        <v>0</v>
      </c>
      <c r="X1916" s="102">
        <f t="shared" si="1334"/>
        <v>0</v>
      </c>
      <c r="Y1916" s="120" t="b">
        <f t="shared" si="1335"/>
        <v>0</v>
      </c>
      <c r="Z1916" s="117">
        <f t="shared" si="1336"/>
        <v>0</v>
      </c>
      <c r="AA1916" s="118"/>
      <c r="AB1916" s="118" t="str">
        <f t="shared" si="1337"/>
        <v/>
      </c>
      <c r="AC1916" s="712" t="str">
        <f>IF(AE1916="T2G","no charge",IF(AND(OR(PlanterYesMe="No",PlanterYesMe="N",PlanterYesMe="me"),H1916=""),"",IF(H1916="credit","NO install",IF(AND(K1916="",AE1916="me"),"EACH row",IF(AND(K1916="images",AE1916="me"),"EACH row",IF(D1916="","",IF(H1916="credit","",IF(AE1916="free","re-planting",IF(AE1916="me","   not ELP, by",IF(AND(OR(PlanterYesMe="Yes",PlanterYesMe="Y"),G1916&gt;0),(VLOOKUP(A1916,'Discount Lookup'!J:K,2)*G1916*(1-PlanterDiscount)*(1+PlanterDifficultyPercentage)),IF(AE1916="ELP",(VLOOKUP(A1916,'Discount Lookup'!J:K,2)*G1916*(1-PlanterDiscount)*(1+PlanterDifficultyPercentage)),IF(AE1916="free","re-planting",IF(G1916=0,"",IF(PlanterYesMe="",IF(AE1916="me","   not ELP, by",IF(AE1916="",IF(G1916&gt;0,(VLOOKUP(A1916,'Discount Lookup'!J:K,2)*G1916*(1-PlanterDiscount)*(1+PlanterDifficultyPercentage)),""),"")),"   not ELP, by"))))))))))))))</f>
        <v/>
      </c>
      <c r="AD1916" s="712"/>
      <c r="AE1916" s="513" t="str">
        <f t="shared" si="1338"/>
        <v/>
      </c>
      <c r="AF1916" s="713" t="str">
        <f t="shared" si="1339"/>
        <v/>
      </c>
      <c r="AG1916" s="713"/>
      <c r="AH1916" s="713"/>
      <c r="AI1916" s="112">
        <f>IF(H1916="credit",0,IF(AE1916="free",0,IF(AE1916="me",0,IF(G1916&gt;0,(VLOOKUP(A1916,'Discount Lookup'!J:K,2)*G1916),0))))</f>
        <v>0</v>
      </c>
      <c r="AJ1916" s="107" t="str">
        <f t="shared" ca="1" si="1340"/>
        <v/>
      </c>
      <c r="AK1916" s="714" t="str">
        <f t="shared" si="1341"/>
        <v/>
      </c>
      <c r="AL1916" s="714"/>
      <c r="AM1916" s="114" t="str">
        <f t="shared" si="1342"/>
        <v/>
      </c>
      <c r="AN1916" s="115"/>
      <c r="AO1916" s="116"/>
      <c r="AP1916" s="116"/>
      <c r="AQ1916" s="116"/>
      <c r="AR1916" s="116"/>
      <c r="AS1916" s="116"/>
      <c r="AT1916" s="116"/>
      <c r="AU1916" s="116"/>
      <c r="AV1916" s="78"/>
      <c r="AW1916" s="102"/>
      <c r="AX1916" s="78"/>
      <c r="AY1916" s="78"/>
      <c r="AZ1916" s="78"/>
      <c r="BA1916" s="78"/>
      <c r="BB1916" s="78"/>
      <c r="BC1916" s="78"/>
      <c r="BD1916" s="78"/>
      <c r="BE1916" s="465"/>
      <c r="BF1916" s="165" t="str">
        <f t="shared" si="1343"/>
        <v>https://www.google.com/search?tbm=isch&amp;q=7%20G4</v>
      </c>
      <c r="BG1916" s="165" t="str">
        <f t="shared" si="1344"/>
        <v>H</v>
      </c>
      <c r="BH1916" s="65"/>
      <c r="BI1916" s="65"/>
      <c r="BJ1916" s="65"/>
      <c r="BK1916" s="65"/>
      <c r="BL1916" s="99"/>
      <c r="BM1916" s="99"/>
      <c r="BN1916" s="99"/>
    </row>
    <row r="1917" spans="1:66" s="51" customFormat="1" ht="27" x14ac:dyDescent="0.25">
      <c r="A1917" s="634">
        <v>15</v>
      </c>
      <c r="B1917" s="635" t="s">
        <v>291</v>
      </c>
      <c r="C1917" s="636" t="s">
        <v>2762</v>
      </c>
      <c r="D1917" s="637" t="s">
        <v>299</v>
      </c>
      <c r="E1917" s="638">
        <v>339.95</v>
      </c>
      <c r="F1917" s="639" t="s">
        <v>292</v>
      </c>
      <c r="G1917" s="484">
        <v>0</v>
      </c>
      <c r="H1917" s="691" t="str">
        <f>IF(G1917=0,"",IF(F1917="Buy",IF(G1917=1,"plant","plants"),IF(F1917&gt;0.01,"warranty","Error")))</f>
        <v/>
      </c>
      <c r="I1917" s="640">
        <f>IF(H1917="free",0,IF(H1917="credit",((E1917*(F1917))*G1917*-1),IF(F1917="Buy",(E1917*G1917),((E1917*(1-F1917))*G1917))))</f>
        <v>0</v>
      </c>
      <c r="J1917" s="640">
        <f>IF(H1917="warranty",0,(I1917*(_xlfn.SINGLE(SalesTaxPercentage))))</f>
        <v>0</v>
      </c>
      <c r="K1917" s="716">
        <f t="shared" ref="K1917" si="1364">I1917+J1917</f>
        <v>0</v>
      </c>
      <c r="L1917" s="716"/>
      <c r="M1917" s="689" t="str">
        <f ca="1">IF(AND(G1917&gt;0,E1917=0),"WARNING - no PRICE inserted",IF(H1917="free","FREE ~ no charge this plant",IF(H1917="credit",CONCATENATE("-$",ROUND(K1917*(1-_xlfn.SINGLE(T2GDiscount))*-1,2)," CREDIT after discount"),IF(_xlfn.SINGLE(T2GDiscount)=0,"",IF(G1917=0,"",IF(F1917="Buy",CONCATENATE("$",ROUND(K1917*(1-_xlfn.SINGLE(T2GDiscount)),2)," with ",(_xlfn.SINGLE(T2GDiscount)*100),"% discount"),CONCATENATE("$",ROUND(K1917*(1-_xlfn.SINGLE(T2GDiscount)),2)," with ",((_xlfn.SINGLE(T2GDiscount)*100+F1917*100)-(_xlfn.SINGLE(T2GDiscount)*100*F1917)),IF(F1917&gt;0,"% discounts",IF(_xlfn.SINGLE(NoWarrantyDiscount)&gt;0,"% discounts","% discount")))))))))</f>
        <v/>
      </c>
      <c r="N1917" s="690"/>
      <c r="O1917" s="486"/>
      <c r="P1917" s="486"/>
      <c r="Q1917" s="486"/>
      <c r="R1917" s="486"/>
      <c r="S1917" s="486"/>
      <c r="T1917" s="102">
        <f t="shared" si="1332"/>
        <v>0</v>
      </c>
      <c r="U1917" s="78">
        <f>IF(NOT(ISNUMBER(G1917)), "", VLOOKUP(A1917,'Discount Lookup'!D:E,2,FALSE)*G1917)</f>
        <v>0</v>
      </c>
      <c r="V1917" s="78">
        <f>IF(NOT(ISNUMBER(G1917)), "", VLOOKUP(A1917,'Discount Lookup'!G:H,2,FALSE)*G1917)</f>
        <v>0</v>
      </c>
      <c r="W1917" s="102">
        <f t="shared" si="1333"/>
        <v>0</v>
      </c>
      <c r="X1917" s="102">
        <f t="shared" si="1334"/>
        <v>0</v>
      </c>
      <c r="Y1917" s="120" t="b">
        <f t="shared" si="1335"/>
        <v>0</v>
      </c>
      <c r="Z1917" s="117">
        <f t="shared" si="1336"/>
        <v>0</v>
      </c>
      <c r="AA1917" s="118"/>
      <c r="AB1917" s="118" t="str">
        <f t="shared" si="1337"/>
        <v/>
      </c>
      <c r="AC1917" s="712" t="str">
        <f>IF(AE1917="T2G","no charge",IF(AND(OR(PlanterYesMe="No",PlanterYesMe="N",PlanterYesMe="me"),H1917=""),"",IF(H1917="credit","NO install",IF(AND(K1917="",AE1917="me"),"EACH row",IF(AND(K1917="images",AE1917="me"),"EACH row",IF(D1917="","",IF(H1917="credit","",IF(AE1917="free","re-planting",IF(AE1917="me","   not ELP, by",IF(AND(OR(PlanterYesMe="Yes",PlanterYesMe="Y"),G1917&gt;0),(VLOOKUP(A1917,'Discount Lookup'!J:K,2)*G1917*(1-PlanterDiscount)*(1+PlanterDifficultyPercentage)),IF(AE1917="ELP",(VLOOKUP(A1917,'Discount Lookup'!J:K,2)*G1917*(1-PlanterDiscount)*(1+PlanterDifficultyPercentage)),IF(AE1917="free","re-planting",IF(G1917=0,"",IF(PlanterYesMe="",IF(AE1917="me","   not ELP, by",IF(AE1917="",IF(G1917&gt;0,(VLOOKUP(A1917,'Discount Lookup'!J:K,2)*G1917*(1-PlanterDiscount)*(1+PlanterDifficultyPercentage)),""),"")),"   not ELP, by"))))))))))))))</f>
        <v/>
      </c>
      <c r="AD1917" s="712"/>
      <c r="AE1917" s="513" t="str">
        <f t="shared" si="1338"/>
        <v/>
      </c>
      <c r="AF1917" s="713" t="str">
        <f t="shared" si="1339"/>
        <v/>
      </c>
      <c r="AG1917" s="713"/>
      <c r="AH1917" s="713"/>
      <c r="AI1917" s="112">
        <f>IF(H1917="credit",0,IF(AE1917="free",0,IF(AE1917="me",0,IF(G1917&gt;0,(VLOOKUP(A1917,'Discount Lookup'!J:K,2)*G1917),0))))</f>
        <v>0</v>
      </c>
      <c r="AJ1917" s="107" t="str">
        <f t="shared" ca="1" si="1340"/>
        <v/>
      </c>
      <c r="AK1917" s="714" t="str">
        <f t="shared" si="1341"/>
        <v/>
      </c>
      <c r="AL1917" s="714"/>
      <c r="AM1917" s="114" t="str">
        <f t="shared" si="1342"/>
        <v/>
      </c>
      <c r="AN1917" s="115"/>
      <c r="AO1917" s="116"/>
      <c r="AP1917" s="116"/>
      <c r="AQ1917" s="116"/>
      <c r="AR1917" s="116"/>
      <c r="AS1917" s="116"/>
      <c r="AT1917" s="116"/>
      <c r="AU1917" s="116"/>
      <c r="AV1917" s="78"/>
      <c r="AW1917" s="102"/>
      <c r="AX1917" s="78"/>
      <c r="AY1917" s="78"/>
      <c r="AZ1917" s="78"/>
      <c r="BA1917" s="78"/>
      <c r="BB1917" s="78"/>
      <c r="BC1917" s="78"/>
      <c r="BD1917" s="78"/>
      <c r="BE1917" s="465"/>
      <c r="BF1917" s="165" t="str">
        <f t="shared" si="1343"/>
        <v>https://www.google.com/search?tbm=isch&amp;q=15%20G4</v>
      </c>
      <c r="BG1917" s="165" t="str">
        <f t="shared" si="1344"/>
        <v>H</v>
      </c>
      <c r="BH1917" s="65"/>
      <c r="BI1917" s="65"/>
      <c r="BJ1917" s="65"/>
      <c r="BK1917" s="65"/>
      <c r="BL1917" s="99"/>
      <c r="BM1917" s="99"/>
      <c r="BN1917" s="99"/>
    </row>
    <row r="1918" spans="1:66" s="51" customFormat="1" ht="17.25" thickBot="1" x14ac:dyDescent="0.3">
      <c r="A1918" s="641" t="s">
        <v>2763</v>
      </c>
      <c r="B1918" s="642"/>
      <c r="C1918" s="710"/>
      <c r="D1918" s="643"/>
      <c r="E1918" s="643"/>
      <c r="F1918" s="644"/>
      <c r="G1918" s="645"/>
      <c r="H1918" s="646"/>
      <c r="I1918" s="647"/>
      <c r="J1918" s="648"/>
      <c r="K1918" s="649"/>
      <c r="L1918" s="650"/>
      <c r="M1918" s="650"/>
      <c r="N1918" s="644"/>
      <c r="O1918" s="644"/>
      <c r="P1918" s="644"/>
      <c r="Q1918" s="644"/>
      <c r="R1918" s="644"/>
      <c r="S1918" s="651"/>
      <c r="T1918" s="102">
        <f t="shared" si="1332"/>
        <v>0</v>
      </c>
      <c r="U1918" s="78" t="str">
        <f>IF(NOT(ISNUMBER(G1918)), "", VLOOKUP(A1918,'Discount Lookup'!D:E,2,FALSE)*G1918)</f>
        <v/>
      </c>
      <c r="V1918" s="78" t="str">
        <f>IF(NOT(ISNUMBER(G1918)), "", VLOOKUP(A1918,'Discount Lookup'!G:H,2,FALSE)*G1918)</f>
        <v/>
      </c>
      <c r="W1918" s="102">
        <f t="shared" si="1333"/>
        <v>0</v>
      </c>
      <c r="X1918" s="102">
        <f t="shared" si="1334"/>
        <v>0</v>
      </c>
      <c r="Y1918" s="120" t="b">
        <f t="shared" si="1335"/>
        <v>0</v>
      </c>
      <c r="Z1918" s="117">
        <f t="shared" si="1336"/>
        <v>0</v>
      </c>
      <c r="AA1918" s="118"/>
      <c r="AB1918" s="118" t="str">
        <f t="shared" si="1337"/>
        <v/>
      </c>
      <c r="AC1918" s="712" t="str">
        <f>IF(AE1918="T2G","no charge",IF(AND(OR(PlanterYesMe="No",PlanterYesMe="N",PlanterYesMe="me"),H1918=""),"",IF(H1918="credit","NO install",IF(AND(K1918="",AE1918="me"),"EACH row",IF(AND(K1918="images",AE1918="me"),"EACH row",IF(D1918="","",IF(H1918="credit","",IF(AE1918="free","re-planting",IF(AE1918="me","   not ELP, by",IF(AND(OR(PlanterYesMe="Yes",PlanterYesMe="Y"),G1918&gt;0),(VLOOKUP(A1918,'Discount Lookup'!J:K,2)*G1918*(1-PlanterDiscount)*(1+PlanterDifficultyPercentage)),IF(AE1918="ELP",(VLOOKUP(A1918,'Discount Lookup'!J:K,2)*G1918*(1-PlanterDiscount)*(1+PlanterDifficultyPercentage)),IF(AE1918="free","re-planting",IF(G1918=0,"",IF(PlanterYesMe="",IF(AE1918="me","   not ELP, by",IF(AE1918="",IF(G1918&gt;0,(VLOOKUP(A1918,'Discount Lookup'!J:K,2)*G1918*(1-PlanterDiscount)*(1+PlanterDifficultyPercentage)),""),"")),"   not ELP, by"))))))))))))))</f>
        <v/>
      </c>
      <c r="AD1918" s="712"/>
      <c r="AE1918" s="513" t="str">
        <f t="shared" si="1338"/>
        <v/>
      </c>
      <c r="AF1918" s="713" t="str">
        <f t="shared" si="1339"/>
        <v/>
      </c>
      <c r="AG1918" s="713"/>
      <c r="AH1918" s="713"/>
      <c r="AI1918" s="112">
        <f>IF(H1918="credit",0,IF(AE1918="free",0,IF(AE1918="me",0,IF(G1918&gt;0,(VLOOKUP(A1918,'Discount Lookup'!J:K,2)*G1918),0))))</f>
        <v>0</v>
      </c>
      <c r="AJ1918" s="107" t="str">
        <f t="shared" ca="1" si="1340"/>
        <v/>
      </c>
      <c r="AK1918" s="714" t="str">
        <f t="shared" si="1341"/>
        <v/>
      </c>
      <c r="AL1918" s="714"/>
      <c r="AM1918" s="114" t="str">
        <f t="shared" si="1342"/>
        <v/>
      </c>
      <c r="AN1918" s="115"/>
      <c r="AO1918" s="116"/>
      <c r="AP1918" s="116"/>
      <c r="AQ1918" s="116"/>
      <c r="AR1918" s="116"/>
      <c r="AS1918" s="116"/>
      <c r="AT1918" s="116"/>
      <c r="AU1918" s="116"/>
      <c r="AV1918" s="78"/>
      <c r="AW1918" s="102"/>
      <c r="AX1918" s="78"/>
      <c r="AY1918" s="78"/>
      <c r="AZ1918" s="78"/>
      <c r="BA1918" s="78"/>
      <c r="BB1918" s="78"/>
      <c r="BC1918" s="78"/>
      <c r="BD1918" s="78"/>
      <c r="BE1918" s="465"/>
      <c r="BF1918" s="165" t="str">
        <f t="shared" si="1343"/>
        <v>https://www.google.com/search?tbm=isch&amp;q=Climbing%20has%20Dark%20Green%20foliage.%20%22Climbing%22%20Hydrangea%20is%20a%20vine%2C%20with%20Lacecap%20flowers%20on%20old%20wood.%20Exfoliating%20bark%20</v>
      </c>
      <c r="BG1918" s="165" t="str">
        <f t="shared" si="1344"/>
        <v>C</v>
      </c>
      <c r="BH1918" s="65"/>
      <c r="BI1918" s="65"/>
      <c r="BJ1918" s="65"/>
      <c r="BK1918" s="65"/>
      <c r="BL1918" s="99"/>
      <c r="BM1918" s="99"/>
      <c r="BN1918" s="99"/>
    </row>
    <row r="1919" spans="1:66" s="51" customFormat="1" ht="18" x14ac:dyDescent="0.25">
      <c r="A1919" s="623" t="s">
        <v>2764</v>
      </c>
      <c r="B1919" s="624"/>
      <c r="C1919" s="709"/>
      <c r="D1919" s="625" t="s">
        <v>5885</v>
      </c>
      <c r="E1919" s="626"/>
      <c r="F1919" s="626"/>
      <c r="G1919" s="626"/>
      <c r="H1919" s="622" t="s">
        <v>1082</v>
      </c>
      <c r="I1919" s="627" t="s">
        <v>2765</v>
      </c>
      <c r="J1919" s="628"/>
      <c r="K1919" s="628"/>
      <c r="L1919" s="629"/>
      <c r="M1919" s="702" t="s">
        <v>5252</v>
      </c>
      <c r="N1919" s="693" t="str">
        <f>IF(AND(ISTEXT($A1919), ISERROR($A1919+0)), HYPERLINK($BF1919, "Images"), "")</f>
        <v>Images</v>
      </c>
      <c r="O1919" s="695" t="s">
        <v>5264</v>
      </c>
      <c r="P1919" s="630"/>
      <c r="Q1919" s="631"/>
      <c r="R1919" s="632"/>
      <c r="S1919" s="633" t="s">
        <v>294</v>
      </c>
      <c r="T1919" s="102">
        <f t="shared" si="1332"/>
        <v>0</v>
      </c>
      <c r="U1919" s="78" t="str">
        <f>IF(NOT(ISNUMBER(G1919)), "", VLOOKUP(A1919,'Discount Lookup'!D:E,2,FALSE)*G1919)</f>
        <v/>
      </c>
      <c r="V1919" s="78" t="str">
        <f>IF(NOT(ISNUMBER(G1919)), "", VLOOKUP(A1919,'Discount Lookup'!G:H,2,FALSE)*G1919)</f>
        <v/>
      </c>
      <c r="W1919" s="102">
        <f t="shared" si="1333"/>
        <v>0</v>
      </c>
      <c r="X1919" s="102" t="str">
        <f t="shared" si="1334"/>
        <v>Tourmaline Green bloom, pink hue</v>
      </c>
      <c r="Y1919" s="120" t="b">
        <f t="shared" si="1335"/>
        <v>0</v>
      </c>
      <c r="Z1919" s="117">
        <f t="shared" si="1336"/>
        <v>0</v>
      </c>
      <c r="AA1919" s="118"/>
      <c r="AB1919" s="118" t="str">
        <f t="shared" si="1337"/>
        <v/>
      </c>
      <c r="AC1919" s="712" t="str">
        <f>IF(AE1919="T2G","no charge",IF(AND(OR(PlanterYesMe="No",PlanterYesMe="N",PlanterYesMe="me"),H1919=""),"",IF(H1919="credit","NO install",IF(AND(K1919="",AE1919="me"),"EACH row",IF(AND(K1919="images",AE1919="me"),"EACH row",IF(D1919="","",IF(H1919="credit","",IF(AE1919="free","re-planting",IF(AE1919="me","   not ELP, by",IF(AND(OR(PlanterYesMe="Yes",PlanterYesMe="Y"),G1919&gt;0),(VLOOKUP(A1919,'Discount Lookup'!J:K,2)*G1919*(1-PlanterDiscount)*(1+PlanterDifficultyPercentage)),IF(AE1919="ELP",(VLOOKUP(A1919,'Discount Lookup'!J:K,2)*G1919*(1-PlanterDiscount)*(1+PlanterDifficultyPercentage)),IF(AE1919="free","re-planting",IF(G1919=0,"",IF(PlanterYesMe="",IF(AE1919="me","   not ELP, by",IF(AE1919="",IF(G1919&gt;0,(VLOOKUP(A1919,'Discount Lookup'!J:K,2)*G1919*(1-PlanterDiscount)*(1+PlanterDifficultyPercentage)),""),"")),"   not ELP, by"))))))))))))))</f>
        <v/>
      </c>
      <c r="AD1919" s="712"/>
      <c r="AE1919" s="513" t="str">
        <f t="shared" si="1338"/>
        <v/>
      </c>
      <c r="AF1919" s="713" t="str">
        <f t="shared" si="1339"/>
        <v/>
      </c>
      <c r="AG1919" s="713"/>
      <c r="AH1919" s="713"/>
      <c r="AI1919" s="112">
        <f>IF(H1919="credit",0,IF(AE1919="free",0,IF(AE1919="me",0,IF(G1919&gt;0,(VLOOKUP(A1919,'Discount Lookup'!J:K,2)*G1919),0))))</f>
        <v>0</v>
      </c>
      <c r="AJ1919" s="107" t="str">
        <f t="shared" ca="1" si="1340"/>
        <v/>
      </c>
      <c r="AK1919" s="714" t="str">
        <f t="shared" si="1341"/>
        <v/>
      </c>
      <c r="AL1919" s="714"/>
      <c r="AM1919" s="114" t="str">
        <f t="shared" si="1342"/>
        <v/>
      </c>
      <c r="AN1919" s="115"/>
      <c r="AO1919" s="116"/>
      <c r="AP1919" s="116"/>
      <c r="AQ1919" s="116"/>
      <c r="AR1919" s="116"/>
      <c r="AS1919" s="116"/>
      <c r="AT1919" s="116"/>
      <c r="AU1919" s="116"/>
      <c r="AV1919" s="78"/>
      <c r="AW1919" s="102"/>
      <c r="AX1919" s="78"/>
      <c r="AY1919" s="78"/>
      <c r="AZ1919" s="78"/>
      <c r="BA1919" s="78"/>
      <c r="BB1919" s="78"/>
      <c r="BC1919" s="78"/>
      <c r="BD1919" s="78"/>
      <c r="BE1919" s="465"/>
      <c r="BF1919" s="165" t="str">
        <f t="shared" si="1343"/>
        <v>https://www.google.com/search?tbm=isch&amp;q=Hyd.%20arborescens%20%27SMNHRL%27%20PP%2334418%20Invincibelle%20Sublime%E2%84%A2%20Smooth%20Hydrangea%20%28PW%C2%AE%29</v>
      </c>
      <c r="BG1919" s="165" t="str">
        <f t="shared" si="1344"/>
        <v>H</v>
      </c>
      <c r="BH1919" s="65"/>
      <c r="BI1919" s="65"/>
      <c r="BJ1919" s="65"/>
      <c r="BK1919" s="65"/>
      <c r="BL1919" s="99"/>
      <c r="BM1919" s="99"/>
      <c r="BN1919" s="99"/>
    </row>
    <row r="1920" spans="1:66" s="51" customFormat="1" ht="15.75" x14ac:dyDescent="0.25">
      <c r="A1920" s="634">
        <v>3</v>
      </c>
      <c r="B1920" s="635" t="s">
        <v>291</v>
      </c>
      <c r="C1920" s="636" t="s">
        <v>2766</v>
      </c>
      <c r="D1920" s="637" t="s">
        <v>329</v>
      </c>
      <c r="E1920" s="638">
        <v>34.950000000000003</v>
      </c>
      <c r="F1920" s="639" t="s">
        <v>292</v>
      </c>
      <c r="G1920" s="484">
        <v>0</v>
      </c>
      <c r="H1920" s="691" t="str">
        <f>IF(G1920=0,"",IF(F1920="Buy",IF(G1920=1,"plant","plants"),IF(F1920&gt;0.01,"warranty","Error")))</f>
        <v/>
      </c>
      <c r="I1920" s="640">
        <f>IF(H1920="free",0,IF(H1920="credit",((E1920*(F1920))*G1920*-1),IF(F1920="Buy",(E1920*G1920),((E1920*(1-F1920))*G1920))))</f>
        <v>0</v>
      </c>
      <c r="J1920" s="640">
        <f>IF(H1920="warranty",0,(I1920*(_xlfn.SINGLE(SalesTaxPercentage))))</f>
        <v>0</v>
      </c>
      <c r="K1920" s="716">
        <f t="shared" ref="K1920" si="1365">I1920+J1920</f>
        <v>0</v>
      </c>
      <c r="L1920" s="716"/>
      <c r="M1920" s="689" t="str">
        <f ca="1">IF(AND(G1920&gt;0,E1920=0),"WARNING - no PRICE inserted",IF(H1920="free","FREE ~ no charge this plant",IF(H1920="credit",CONCATENATE("-$",ROUND(K1920*(1-_xlfn.SINGLE(T2GDiscount))*-1,2)," CREDIT after discount"),IF(_xlfn.SINGLE(T2GDiscount)=0,"",IF(G1920=0,"",IF(F1920="Buy",CONCATENATE("$",ROUND(K1920*(1-_xlfn.SINGLE(T2GDiscount)),2)," with ",(_xlfn.SINGLE(T2GDiscount)*100),"% discount"),CONCATENATE("$",ROUND(K1920*(1-_xlfn.SINGLE(T2GDiscount)),2)," with ",((_xlfn.SINGLE(T2GDiscount)*100+F1920*100)-(_xlfn.SINGLE(T2GDiscount)*100*F1920)),IF(F1920&gt;0,"% discounts",IF(_xlfn.SINGLE(NoWarrantyDiscount)&gt;0,"% discounts","% discount")))))))))</f>
        <v/>
      </c>
      <c r="N1920" s="690"/>
      <c r="O1920" s="486"/>
      <c r="P1920" s="486"/>
      <c r="Q1920" s="486"/>
      <c r="R1920" s="486"/>
      <c r="S1920" s="486"/>
      <c r="T1920" s="102">
        <f t="shared" si="1332"/>
        <v>0</v>
      </c>
      <c r="U1920" s="78">
        <f>IF(NOT(ISNUMBER(G1920)), "", VLOOKUP(A1920,'Discount Lookup'!D:E,2,FALSE)*G1920)</f>
        <v>0</v>
      </c>
      <c r="V1920" s="78">
        <f>IF(NOT(ISNUMBER(G1920)), "", VLOOKUP(A1920,'Discount Lookup'!G:H,2,FALSE)*G1920)</f>
        <v>0</v>
      </c>
      <c r="W1920" s="102">
        <f t="shared" si="1333"/>
        <v>0</v>
      </c>
      <c r="X1920" s="102">
        <f t="shared" si="1334"/>
        <v>0</v>
      </c>
      <c r="Y1920" s="120" t="b">
        <f t="shared" si="1335"/>
        <v>0</v>
      </c>
      <c r="Z1920" s="117">
        <f t="shared" si="1336"/>
        <v>0</v>
      </c>
      <c r="AA1920" s="118"/>
      <c r="AB1920" s="118" t="str">
        <f t="shared" si="1337"/>
        <v/>
      </c>
      <c r="AC1920" s="712" t="str">
        <f>IF(AE1920="T2G","no charge",IF(AND(OR(PlanterYesMe="No",PlanterYesMe="N",PlanterYesMe="me"),H1920=""),"",IF(H1920="credit","NO install",IF(AND(K1920="",AE1920="me"),"EACH row",IF(AND(K1920="images",AE1920="me"),"EACH row",IF(D1920="","",IF(H1920="credit","",IF(AE1920="free","re-planting",IF(AE1920="me","   not ELP, by",IF(AND(OR(PlanterYesMe="Yes",PlanterYesMe="Y"),G1920&gt;0),(VLOOKUP(A1920,'Discount Lookup'!J:K,2)*G1920*(1-PlanterDiscount)*(1+PlanterDifficultyPercentage)),IF(AE1920="ELP",(VLOOKUP(A1920,'Discount Lookup'!J:K,2)*G1920*(1-PlanterDiscount)*(1+PlanterDifficultyPercentage)),IF(AE1920="free","re-planting",IF(G1920=0,"",IF(PlanterYesMe="",IF(AE1920="me","   not ELP, by",IF(AE1920="",IF(G1920&gt;0,(VLOOKUP(A1920,'Discount Lookup'!J:K,2)*G1920*(1-PlanterDiscount)*(1+PlanterDifficultyPercentage)),""),"")),"   not ELP, by"))))))))))))))</f>
        <v/>
      </c>
      <c r="AD1920" s="712"/>
      <c r="AE1920" s="513" t="str">
        <f t="shared" si="1338"/>
        <v/>
      </c>
      <c r="AF1920" s="713" t="str">
        <f t="shared" si="1339"/>
        <v/>
      </c>
      <c r="AG1920" s="713"/>
      <c r="AH1920" s="713"/>
      <c r="AI1920" s="112">
        <f>IF(H1920="credit",0,IF(AE1920="free",0,IF(AE1920="me",0,IF(G1920&gt;0,(VLOOKUP(A1920,'Discount Lookup'!J:K,2)*G1920),0))))</f>
        <v>0</v>
      </c>
      <c r="AJ1920" s="107" t="str">
        <f t="shared" ca="1" si="1340"/>
        <v/>
      </c>
      <c r="AK1920" s="714" t="str">
        <f t="shared" si="1341"/>
        <v/>
      </c>
      <c r="AL1920" s="714"/>
      <c r="AM1920" s="114" t="str">
        <f t="shared" si="1342"/>
        <v/>
      </c>
      <c r="AN1920" s="115"/>
      <c r="AO1920" s="116"/>
      <c r="AP1920" s="116"/>
      <c r="AQ1920" s="116"/>
      <c r="AR1920" s="116"/>
      <c r="AS1920" s="116"/>
      <c r="AT1920" s="116"/>
      <c r="AU1920" s="116"/>
      <c r="AV1920" s="78"/>
      <c r="AW1920" s="102"/>
      <c r="AX1920" s="78"/>
      <c r="AY1920" s="78"/>
      <c r="AZ1920" s="78"/>
      <c r="BA1920" s="78"/>
      <c r="BB1920" s="78"/>
      <c r="BC1920" s="78"/>
      <c r="BD1920" s="78"/>
      <c r="BE1920" s="465"/>
      <c r="BF1920" s="165" t="str">
        <f t="shared" si="1343"/>
        <v>https://www.google.com/search?tbm=isch&amp;q=3%20G2</v>
      </c>
      <c r="BG1920" s="165" t="str">
        <f t="shared" si="1344"/>
        <v>H</v>
      </c>
      <c r="BH1920" s="65"/>
      <c r="BI1920" s="65"/>
      <c r="BJ1920" s="65"/>
      <c r="BK1920" s="65"/>
      <c r="BL1920" s="99"/>
      <c r="BM1920" s="99"/>
      <c r="BN1920" s="99"/>
    </row>
    <row r="1921" spans="1:66" s="51" customFormat="1" ht="17.25" thickBot="1" x14ac:dyDescent="0.3">
      <c r="A1921" s="704" t="s">
        <v>5427</v>
      </c>
      <c r="B1921" s="642"/>
      <c r="C1921" s="710"/>
      <c r="D1921" s="643"/>
      <c r="E1921" s="643"/>
      <c r="F1921" s="644"/>
      <c r="G1921" s="645"/>
      <c r="H1921" s="646"/>
      <c r="I1921" s="647"/>
      <c r="J1921" s="648"/>
      <c r="K1921" s="649"/>
      <c r="L1921" s="650"/>
      <c r="M1921" s="650"/>
      <c r="N1921" s="644"/>
      <c r="O1921" s="644"/>
      <c r="P1921" s="644"/>
      <c r="Q1921" s="644"/>
      <c r="R1921" s="644"/>
      <c r="S1921" s="701" t="s">
        <v>5250</v>
      </c>
      <c r="T1921" s="102">
        <f t="shared" si="1332"/>
        <v>0</v>
      </c>
      <c r="U1921" s="78" t="str">
        <f>IF(NOT(ISNUMBER(G1921)), "", VLOOKUP(A1921,'Discount Lookup'!D:E,2,FALSE)*G1921)</f>
        <v/>
      </c>
      <c r="V1921" s="78" t="str">
        <f>IF(NOT(ISNUMBER(G1921)), "", VLOOKUP(A1921,'Discount Lookup'!G:H,2,FALSE)*G1921)</f>
        <v/>
      </c>
      <c r="W1921" s="102">
        <f t="shared" si="1333"/>
        <v>0</v>
      </c>
      <c r="X1921" s="102">
        <f t="shared" si="1334"/>
        <v>0</v>
      </c>
      <c r="Y1921" s="120" t="b">
        <f t="shared" si="1335"/>
        <v>0</v>
      </c>
      <c r="Z1921" s="117">
        <f t="shared" si="1336"/>
        <v>0</v>
      </c>
      <c r="AA1921" s="118"/>
      <c r="AB1921" s="118" t="str">
        <f t="shared" si="1337"/>
        <v/>
      </c>
      <c r="AC1921" s="712" t="str">
        <f>IF(AE1921="T2G","no charge",IF(AND(OR(PlanterYesMe="No",PlanterYesMe="N",PlanterYesMe="me"),H1921=""),"",IF(H1921="credit","NO install",IF(AND(K1921="",AE1921="me"),"EACH row",IF(AND(K1921="images",AE1921="me"),"EACH row",IF(D1921="","",IF(H1921="credit","",IF(AE1921="free","re-planting",IF(AE1921="me","   not ELP, by",IF(AND(OR(PlanterYesMe="Yes",PlanterYesMe="Y"),G1921&gt;0),(VLOOKUP(A1921,'Discount Lookup'!J:K,2)*G1921*(1-PlanterDiscount)*(1+PlanterDifficultyPercentage)),IF(AE1921="ELP",(VLOOKUP(A1921,'Discount Lookup'!J:K,2)*G1921*(1-PlanterDiscount)*(1+PlanterDifficultyPercentage)),IF(AE1921="free","re-planting",IF(G1921=0,"",IF(PlanterYesMe="",IF(AE1921="me","   not ELP, by",IF(AE1921="",IF(G1921&gt;0,(VLOOKUP(A1921,'Discount Lookup'!J:K,2)*G1921*(1-PlanterDiscount)*(1+PlanterDifficultyPercentage)),""),"")),"   not ELP, by"))))))))))))))</f>
        <v/>
      </c>
      <c r="AD1921" s="712"/>
      <c r="AE1921" s="513" t="str">
        <f t="shared" si="1338"/>
        <v/>
      </c>
      <c r="AF1921" s="713" t="str">
        <f t="shared" si="1339"/>
        <v/>
      </c>
      <c r="AG1921" s="713"/>
      <c r="AH1921" s="713"/>
      <c r="AI1921" s="112">
        <f>IF(H1921="credit",0,IF(AE1921="free",0,IF(AE1921="me",0,IF(G1921&gt;0,(VLOOKUP(A1921,'Discount Lookup'!J:K,2)*G1921),0))))</f>
        <v>0</v>
      </c>
      <c r="AJ1921" s="107" t="str">
        <f t="shared" ca="1" si="1340"/>
        <v/>
      </c>
      <c r="AK1921" s="714" t="str">
        <f t="shared" si="1341"/>
        <v/>
      </c>
      <c r="AL1921" s="714"/>
      <c r="AM1921" s="114" t="str">
        <f t="shared" si="1342"/>
        <v/>
      </c>
      <c r="AN1921" s="115"/>
      <c r="AO1921" s="116"/>
      <c r="AP1921" s="116"/>
      <c r="AQ1921" s="116"/>
      <c r="AR1921" s="116"/>
      <c r="AS1921" s="116"/>
      <c r="AT1921" s="116"/>
      <c r="AU1921" s="116"/>
      <c r="AV1921" s="78"/>
      <c r="AW1921" s="102"/>
      <c r="AX1921" s="78"/>
      <c r="AY1921" s="78"/>
      <c r="AZ1921" s="78"/>
      <c r="BA1921" s="78"/>
      <c r="BB1921" s="78"/>
      <c r="BC1921" s="78"/>
      <c r="BD1921" s="78"/>
      <c r="BE1921" s="465"/>
      <c r="BF1921" s="165" t="str">
        <f t="shared" si="1343"/>
        <v>https://www.google.com/search?tbm=isch&amp;q=moist%20sites%F0%9F%92%A7GOOD%2C%20Sublime%20has%20Dark%20Green%20foliage.%20All%20%22Smooth%22%20Hydrangea%20have%20mophead%2Flacecap%20flowers%20on%20new%20wood%20</v>
      </c>
      <c r="BG1921" s="165" t="str">
        <f t="shared" si="1344"/>
        <v>m</v>
      </c>
      <c r="BH1921" s="65"/>
      <c r="BI1921" s="65"/>
      <c r="BJ1921" s="65"/>
      <c r="BK1921" s="65"/>
      <c r="BL1921" s="99"/>
      <c r="BM1921" s="99"/>
      <c r="BN1921" s="99"/>
    </row>
    <row r="1922" spans="1:66" s="51" customFormat="1" ht="18" x14ac:dyDescent="0.25">
      <c r="A1922" s="623" t="s">
        <v>2767</v>
      </c>
      <c r="B1922" s="624"/>
      <c r="C1922" s="709"/>
      <c r="D1922" s="625" t="s">
        <v>5886</v>
      </c>
      <c r="E1922" s="626"/>
      <c r="F1922" s="626"/>
      <c r="G1922" s="626"/>
      <c r="H1922" s="622" t="s">
        <v>1104</v>
      </c>
      <c r="I1922" s="627" t="s">
        <v>2768</v>
      </c>
      <c r="J1922" s="628"/>
      <c r="K1922" s="628"/>
      <c r="L1922" s="629"/>
      <c r="M1922" s="702" t="s">
        <v>5252</v>
      </c>
      <c r="N1922" s="693" t="str">
        <f>IF(AND(ISTEXT($A1922), ISERROR($A1922+0)), HYPERLINK($BF1922, "Images"), "")</f>
        <v>Images</v>
      </c>
      <c r="O1922" s="695" t="s">
        <v>5264</v>
      </c>
      <c r="P1922" s="630"/>
      <c r="Q1922" s="631"/>
      <c r="R1922" s="632"/>
      <c r="S1922" s="633"/>
      <c r="T1922" s="102">
        <f t="shared" si="1332"/>
        <v>0</v>
      </c>
      <c r="U1922" s="78" t="str">
        <f>IF(NOT(ISNUMBER(G1922)), "", VLOOKUP(A1922,'Discount Lookup'!D:E,2,FALSE)*G1922)</f>
        <v/>
      </c>
      <c r="V1922" s="78" t="str">
        <f>IF(NOT(ISNUMBER(G1922)), "", VLOOKUP(A1922,'Discount Lookup'!G:H,2,FALSE)*G1922)</f>
        <v/>
      </c>
      <c r="W1922" s="102">
        <f t="shared" si="1333"/>
        <v>0</v>
      </c>
      <c r="X1922" s="102" t="str">
        <f t="shared" si="1334"/>
        <v>Raspberry Red-Purple</v>
      </c>
      <c r="Y1922" s="120" t="b">
        <f t="shared" si="1335"/>
        <v>0</v>
      </c>
      <c r="Z1922" s="117">
        <f t="shared" si="1336"/>
        <v>0</v>
      </c>
      <c r="AA1922" s="118"/>
      <c r="AB1922" s="118" t="str">
        <f t="shared" si="1337"/>
        <v/>
      </c>
      <c r="AC1922" s="712" t="str">
        <f>IF(AE1922="T2G","no charge",IF(AND(OR(PlanterYesMe="No",PlanterYesMe="N",PlanterYesMe="me"),H1922=""),"",IF(H1922="credit","NO install",IF(AND(K1922="",AE1922="me"),"EACH row",IF(AND(K1922="images",AE1922="me"),"EACH row",IF(D1922="","",IF(H1922="credit","",IF(AE1922="free","re-planting",IF(AE1922="me","   not ELP, by",IF(AND(OR(PlanterYesMe="Yes",PlanterYesMe="Y"),G1922&gt;0),(VLOOKUP(A1922,'Discount Lookup'!J:K,2)*G1922*(1-PlanterDiscount)*(1+PlanterDifficultyPercentage)),IF(AE1922="ELP",(VLOOKUP(A1922,'Discount Lookup'!J:K,2)*G1922*(1-PlanterDiscount)*(1+PlanterDifficultyPercentage)),IF(AE1922="free","re-planting",IF(G1922=0,"",IF(PlanterYesMe="",IF(AE1922="me","   not ELP, by",IF(AE1922="",IF(G1922&gt;0,(VLOOKUP(A1922,'Discount Lookup'!J:K,2)*G1922*(1-PlanterDiscount)*(1+PlanterDifficultyPercentage)),""),"")),"   not ELP, by"))))))))))))))</f>
        <v/>
      </c>
      <c r="AD1922" s="712"/>
      <c r="AE1922" s="513" t="str">
        <f t="shared" si="1338"/>
        <v/>
      </c>
      <c r="AF1922" s="713" t="str">
        <f t="shared" si="1339"/>
        <v/>
      </c>
      <c r="AG1922" s="713"/>
      <c r="AH1922" s="713"/>
      <c r="AI1922" s="112">
        <f>IF(H1922="credit",0,IF(AE1922="free",0,IF(AE1922="me",0,IF(G1922&gt;0,(VLOOKUP(A1922,'Discount Lookup'!J:K,2)*G1922),0))))</f>
        <v>0</v>
      </c>
      <c r="AJ1922" s="107" t="str">
        <f t="shared" ca="1" si="1340"/>
        <v/>
      </c>
      <c r="AK1922" s="714" t="str">
        <f t="shared" si="1341"/>
        <v/>
      </c>
      <c r="AL1922" s="714"/>
      <c r="AM1922" s="114" t="str">
        <f t="shared" si="1342"/>
        <v/>
      </c>
      <c r="AN1922" s="115"/>
      <c r="AO1922" s="116"/>
      <c r="AP1922" s="116"/>
      <c r="AQ1922" s="116"/>
      <c r="AR1922" s="116"/>
      <c r="AS1922" s="116"/>
      <c r="AT1922" s="116"/>
      <c r="AU1922" s="116"/>
      <c r="AV1922" s="78"/>
      <c r="AW1922" s="102"/>
      <c r="AX1922" s="78"/>
      <c r="AY1922" s="78"/>
      <c r="AZ1922" s="78"/>
      <c r="BA1922" s="78"/>
      <c r="BB1922" s="78"/>
      <c r="BC1922" s="78"/>
      <c r="BD1922" s="78"/>
      <c r="BE1922" s="465"/>
      <c r="BF1922" s="165" t="str">
        <f t="shared" si="1343"/>
        <v>https://www.google.com/search?tbm=isch&amp;q=Hyd.%20macrophylla%20%27Bailmacfive%27%20PP%2330359%20Summer%20Crush%C2%AE%20Bigleaf%20Hydrangea%20%28ES%C2%AE%29</v>
      </c>
      <c r="BG1922" s="165" t="str">
        <f t="shared" si="1344"/>
        <v>H</v>
      </c>
      <c r="BH1922" s="65"/>
      <c r="BI1922" s="65"/>
      <c r="BJ1922" s="65"/>
      <c r="BK1922" s="65"/>
      <c r="BL1922" s="99"/>
      <c r="BM1922" s="99"/>
      <c r="BN1922" s="99"/>
    </row>
    <row r="1923" spans="1:66" s="51" customFormat="1" ht="15.75" x14ac:dyDescent="0.25">
      <c r="A1923" s="634">
        <v>3</v>
      </c>
      <c r="B1923" s="635" t="s">
        <v>291</v>
      </c>
      <c r="C1923" s="636" t="s">
        <v>2769</v>
      </c>
      <c r="D1923" s="637" t="s">
        <v>329</v>
      </c>
      <c r="E1923" s="638">
        <v>38.950000000000003</v>
      </c>
      <c r="F1923" s="639" t="s">
        <v>292</v>
      </c>
      <c r="G1923" s="484">
        <v>0</v>
      </c>
      <c r="H1923" s="691" t="str">
        <f>IF(G1923=0,"",IF(F1923="Buy",IF(G1923=1,"plant","plants"),IF(F1923&gt;0.01,"warranty","Error")))</f>
        <v/>
      </c>
      <c r="I1923" s="640">
        <f>IF(H1923="free",0,IF(H1923="credit",((E1923*(F1923))*G1923*-1),IF(F1923="Buy",(E1923*G1923),((E1923*(1-F1923))*G1923))))</f>
        <v>0</v>
      </c>
      <c r="J1923" s="640">
        <f>IF(H1923="warranty",0,(I1923*(_xlfn.SINGLE(SalesTaxPercentage))))</f>
        <v>0</v>
      </c>
      <c r="K1923" s="716">
        <f t="shared" ref="K1923" si="1366">I1923+J1923</f>
        <v>0</v>
      </c>
      <c r="L1923" s="716"/>
      <c r="M1923" s="689" t="str">
        <f ca="1">IF(AND(G1923&gt;0,E1923=0),"WARNING - no PRICE inserted",IF(H1923="free","FREE ~ no charge this plant",IF(H1923="credit",CONCATENATE("-$",ROUND(K1923*(1-_xlfn.SINGLE(T2GDiscount))*-1,2)," CREDIT after discount"),IF(_xlfn.SINGLE(T2GDiscount)=0,"",IF(G1923=0,"",IF(F1923="Buy",CONCATENATE("$",ROUND(K1923*(1-_xlfn.SINGLE(T2GDiscount)),2)," with ",(_xlfn.SINGLE(T2GDiscount)*100),"% discount"),CONCATENATE("$",ROUND(K1923*(1-_xlfn.SINGLE(T2GDiscount)),2)," with ",((_xlfn.SINGLE(T2GDiscount)*100+F1923*100)-(_xlfn.SINGLE(T2GDiscount)*100*F1923)),IF(F1923&gt;0,"% discounts",IF(_xlfn.SINGLE(NoWarrantyDiscount)&gt;0,"% discounts","% discount")))))))))</f>
        <v/>
      </c>
      <c r="N1923" s="690"/>
      <c r="O1923" s="486"/>
      <c r="P1923" s="486"/>
      <c r="Q1923" s="486"/>
      <c r="R1923" s="486"/>
      <c r="S1923" s="486"/>
      <c r="T1923" s="102">
        <f t="shared" si="1332"/>
        <v>0</v>
      </c>
      <c r="U1923" s="78">
        <f>IF(NOT(ISNUMBER(G1923)), "", VLOOKUP(A1923,'Discount Lookup'!D:E,2,FALSE)*G1923)</f>
        <v>0</v>
      </c>
      <c r="V1923" s="78">
        <f>IF(NOT(ISNUMBER(G1923)), "", VLOOKUP(A1923,'Discount Lookup'!G:H,2,FALSE)*G1923)</f>
        <v>0</v>
      </c>
      <c r="W1923" s="102">
        <f t="shared" si="1333"/>
        <v>0</v>
      </c>
      <c r="X1923" s="102">
        <f t="shared" si="1334"/>
        <v>0</v>
      </c>
      <c r="Y1923" s="120" t="b">
        <f t="shared" si="1335"/>
        <v>0</v>
      </c>
      <c r="Z1923" s="117">
        <f t="shared" si="1336"/>
        <v>0</v>
      </c>
      <c r="AA1923" s="118"/>
      <c r="AB1923" s="118" t="str">
        <f t="shared" si="1337"/>
        <v/>
      </c>
      <c r="AC1923" s="712" t="str">
        <f>IF(AE1923="T2G","no charge",IF(AND(OR(PlanterYesMe="No",PlanterYesMe="N",PlanterYesMe="me"),H1923=""),"",IF(H1923="credit","NO install",IF(AND(K1923="",AE1923="me"),"EACH row",IF(AND(K1923="images",AE1923="me"),"EACH row",IF(D1923="","",IF(H1923="credit","",IF(AE1923="free","re-planting",IF(AE1923="me","   not ELP, by",IF(AND(OR(PlanterYesMe="Yes",PlanterYesMe="Y"),G1923&gt;0),(VLOOKUP(A1923,'Discount Lookup'!J:K,2)*G1923*(1-PlanterDiscount)*(1+PlanterDifficultyPercentage)),IF(AE1923="ELP",(VLOOKUP(A1923,'Discount Lookup'!J:K,2)*G1923*(1-PlanterDiscount)*(1+PlanterDifficultyPercentage)),IF(AE1923="free","re-planting",IF(G1923=0,"",IF(PlanterYesMe="",IF(AE1923="me","   not ELP, by",IF(AE1923="",IF(G1923&gt;0,(VLOOKUP(A1923,'Discount Lookup'!J:K,2)*G1923*(1-PlanterDiscount)*(1+PlanterDifficultyPercentage)),""),"")),"   not ELP, by"))))))))))))))</f>
        <v/>
      </c>
      <c r="AD1923" s="712"/>
      <c r="AE1923" s="513" t="str">
        <f t="shared" si="1338"/>
        <v/>
      </c>
      <c r="AF1923" s="713" t="str">
        <f t="shared" si="1339"/>
        <v/>
      </c>
      <c r="AG1923" s="713"/>
      <c r="AH1923" s="713"/>
      <c r="AI1923" s="112">
        <f>IF(H1923="credit",0,IF(AE1923="free",0,IF(AE1923="me",0,IF(G1923&gt;0,(VLOOKUP(A1923,'Discount Lookup'!J:K,2)*G1923),0))))</f>
        <v>0</v>
      </c>
      <c r="AJ1923" s="107" t="str">
        <f t="shared" ca="1" si="1340"/>
        <v/>
      </c>
      <c r="AK1923" s="714" t="str">
        <f t="shared" si="1341"/>
        <v/>
      </c>
      <c r="AL1923" s="714"/>
      <c r="AM1923" s="114" t="str">
        <f t="shared" si="1342"/>
        <v/>
      </c>
      <c r="AN1923" s="115"/>
      <c r="AO1923" s="116"/>
      <c r="AP1923" s="116"/>
      <c r="AQ1923" s="116"/>
      <c r="AR1923" s="116"/>
      <c r="AS1923" s="116"/>
      <c r="AT1923" s="116"/>
      <c r="AU1923" s="116"/>
      <c r="AV1923" s="78"/>
      <c r="AW1923" s="102"/>
      <c r="AX1923" s="78"/>
      <c r="AY1923" s="78"/>
      <c r="AZ1923" s="78"/>
      <c r="BA1923" s="78"/>
      <c r="BB1923" s="78"/>
      <c r="BC1923" s="78"/>
      <c r="BD1923" s="78"/>
      <c r="BE1923" s="465"/>
      <c r="BF1923" s="165" t="str">
        <f t="shared" si="1343"/>
        <v>https://www.google.com/search?tbm=isch&amp;q=3%20G2</v>
      </c>
      <c r="BG1923" s="165" t="str">
        <f t="shared" si="1344"/>
        <v>H</v>
      </c>
      <c r="BH1923" s="65"/>
      <c r="BI1923" s="65"/>
      <c r="BJ1923" s="65"/>
      <c r="BK1923" s="65"/>
      <c r="BL1923" s="99"/>
      <c r="BM1923" s="99"/>
      <c r="BN1923" s="99"/>
    </row>
    <row r="1924" spans="1:66" s="51" customFormat="1" ht="17.25" thickBot="1" x14ac:dyDescent="0.3">
      <c r="A1924" s="704" t="s">
        <v>5428</v>
      </c>
      <c r="B1924" s="642"/>
      <c r="C1924" s="710"/>
      <c r="D1924" s="643"/>
      <c r="E1924" s="643"/>
      <c r="F1924" s="644"/>
      <c r="G1924" s="645"/>
      <c r="H1924" s="646"/>
      <c r="I1924" s="647"/>
      <c r="J1924" s="648"/>
      <c r="K1924" s="649"/>
      <c r="L1924" s="650"/>
      <c r="M1924" s="650"/>
      <c r="N1924" s="644"/>
      <c r="O1924" s="644"/>
      <c r="P1924" s="644"/>
      <c r="Q1924" s="644"/>
      <c r="R1924" s="644"/>
      <c r="S1924" s="651"/>
      <c r="T1924" s="102">
        <f t="shared" si="1332"/>
        <v>0</v>
      </c>
      <c r="U1924" s="78" t="str">
        <f>IF(NOT(ISNUMBER(G1924)), "", VLOOKUP(A1924,'Discount Lookup'!D:E,2,FALSE)*G1924)</f>
        <v/>
      </c>
      <c r="V1924" s="78" t="str">
        <f>IF(NOT(ISNUMBER(G1924)), "", VLOOKUP(A1924,'Discount Lookup'!G:H,2,FALSE)*G1924)</f>
        <v/>
      </c>
      <c r="W1924" s="102">
        <f t="shared" si="1333"/>
        <v>0</v>
      </c>
      <c r="X1924" s="102">
        <f t="shared" si="1334"/>
        <v>0</v>
      </c>
      <c r="Y1924" s="120" t="b">
        <f t="shared" si="1335"/>
        <v>0</v>
      </c>
      <c r="Z1924" s="117">
        <f t="shared" si="1336"/>
        <v>0</v>
      </c>
      <c r="AA1924" s="118"/>
      <c r="AB1924" s="118" t="str">
        <f t="shared" si="1337"/>
        <v/>
      </c>
      <c r="AC1924" s="712" t="str">
        <f>IF(AE1924="T2G","no charge",IF(AND(OR(PlanterYesMe="No",PlanterYesMe="N",PlanterYesMe="me"),H1924=""),"",IF(H1924="credit","NO install",IF(AND(K1924="",AE1924="me"),"EACH row",IF(AND(K1924="images",AE1924="me"),"EACH row",IF(D1924="","",IF(H1924="credit","",IF(AE1924="free","re-planting",IF(AE1924="me","   not ELP, by",IF(AND(OR(PlanterYesMe="Yes",PlanterYesMe="Y"),G1924&gt;0),(VLOOKUP(A1924,'Discount Lookup'!J:K,2)*G1924*(1-PlanterDiscount)*(1+PlanterDifficultyPercentage)),IF(AE1924="ELP",(VLOOKUP(A1924,'Discount Lookup'!J:K,2)*G1924*(1-PlanterDiscount)*(1+PlanterDifficultyPercentage)),IF(AE1924="free","re-planting",IF(G1924=0,"",IF(PlanterYesMe="",IF(AE1924="me","   not ELP, by",IF(AE1924="",IF(G1924&gt;0,(VLOOKUP(A1924,'Discount Lookup'!J:K,2)*G1924*(1-PlanterDiscount)*(1+PlanterDifficultyPercentage)),""),"")),"   not ELP, by"))))))))))))))</f>
        <v/>
      </c>
      <c r="AD1924" s="712"/>
      <c r="AE1924" s="513" t="str">
        <f t="shared" si="1338"/>
        <v/>
      </c>
      <c r="AF1924" s="713" t="str">
        <f t="shared" si="1339"/>
        <v/>
      </c>
      <c r="AG1924" s="713"/>
      <c r="AH1924" s="713"/>
      <c r="AI1924" s="112">
        <f>IF(H1924="credit",0,IF(AE1924="free",0,IF(AE1924="me",0,IF(G1924&gt;0,(VLOOKUP(A1924,'Discount Lookup'!J:K,2)*G1924),0))))</f>
        <v>0</v>
      </c>
      <c r="AJ1924" s="107" t="str">
        <f t="shared" ca="1" si="1340"/>
        <v/>
      </c>
      <c r="AK1924" s="714" t="str">
        <f t="shared" si="1341"/>
        <v/>
      </c>
      <c r="AL1924" s="714"/>
      <c r="AM1924" s="114" t="str">
        <f t="shared" si="1342"/>
        <v/>
      </c>
      <c r="AN1924" s="115"/>
      <c r="AO1924" s="116"/>
      <c r="AP1924" s="116"/>
      <c r="AQ1924" s="116"/>
      <c r="AR1924" s="116"/>
      <c r="AS1924" s="116"/>
      <c r="AT1924" s="116"/>
      <c r="AU1924" s="116"/>
      <c r="AV1924" s="78"/>
      <c r="AW1924" s="102"/>
      <c r="AX1924" s="78"/>
      <c r="AY1924" s="78"/>
      <c r="AZ1924" s="78"/>
      <c r="BA1924" s="78"/>
      <c r="BB1924" s="78"/>
      <c r="BC1924" s="78"/>
      <c r="BD1924" s="78"/>
      <c r="BE1924" s="465"/>
      <c r="BF1924" s="165" t="str">
        <f t="shared" si="1343"/>
        <v>https://www.google.com/search?tbm=isch&amp;q=moist%20sites%F0%9F%92%A7GOOD%2C%20Summer%20Crush%20has%20Forest%20green%20foliage%2C%20turning%20Burgundy-Red%20in%20fall.%20Most%20%22Bigleaf%22%20Hydrangea%20have%20snowball%20flowers%20on%20old%20wood%20</v>
      </c>
      <c r="BG1924" s="165" t="str">
        <f t="shared" si="1344"/>
        <v>m</v>
      </c>
      <c r="BH1924" s="65"/>
      <c r="BI1924" s="65"/>
      <c r="BJ1924" s="65"/>
      <c r="BK1924" s="65"/>
      <c r="BL1924" s="99"/>
      <c r="BM1924" s="99"/>
      <c r="BN1924" s="99"/>
    </row>
    <row r="1925" spans="1:66" s="51" customFormat="1" ht="18" x14ac:dyDescent="0.25">
      <c r="A1925" s="623" t="s">
        <v>2770</v>
      </c>
      <c r="B1925" s="624"/>
      <c r="C1925" s="709"/>
      <c r="D1925" s="625" t="s">
        <v>5679</v>
      </c>
      <c r="E1925" s="626"/>
      <c r="F1925" s="626"/>
      <c r="G1925" s="626"/>
      <c r="H1925" s="622" t="s">
        <v>1082</v>
      </c>
      <c r="I1925" s="627" t="s">
        <v>2771</v>
      </c>
      <c r="J1925" s="628"/>
      <c r="K1925" s="628"/>
      <c r="L1925" s="629"/>
      <c r="M1925" s="702" t="s">
        <v>5252</v>
      </c>
      <c r="N1925" s="693" t="str">
        <f>IF(AND(ISTEXT($A1925), ISERROR($A1925+0)), HYPERLINK($BF1925, "Images"), "")</f>
        <v>Images</v>
      </c>
      <c r="O1925" s="695" t="s">
        <v>5264</v>
      </c>
      <c r="P1925" s="630"/>
      <c r="Q1925" s="631"/>
      <c r="R1925" s="632"/>
      <c r="S1925" s="633"/>
      <c r="T1925" s="102">
        <f t="shared" si="1332"/>
        <v>0</v>
      </c>
      <c r="U1925" s="78" t="str">
        <f>IF(NOT(ISNUMBER(G1925)), "", VLOOKUP(A1925,'Discount Lookup'!D:E,2,FALSE)*G1925)</f>
        <v/>
      </c>
      <c r="V1925" s="78" t="str">
        <f>IF(NOT(ISNUMBER(G1925)), "", VLOOKUP(A1925,'Discount Lookup'!G:H,2,FALSE)*G1925)</f>
        <v/>
      </c>
      <c r="W1925" s="102">
        <f t="shared" si="1333"/>
        <v>0</v>
      </c>
      <c r="X1925" s="102" t="str">
        <f t="shared" si="1334"/>
        <v>Cranberry to Purple bloom</v>
      </c>
      <c r="Y1925" s="120" t="b">
        <f t="shared" si="1335"/>
        <v>0</v>
      </c>
      <c r="Z1925" s="117">
        <f t="shared" si="1336"/>
        <v>0</v>
      </c>
      <c r="AA1925" s="118"/>
      <c r="AB1925" s="118" t="str">
        <f t="shared" si="1337"/>
        <v/>
      </c>
      <c r="AC1925" s="712" t="str">
        <f>IF(AE1925="T2G","no charge",IF(AND(OR(PlanterYesMe="No",PlanterYesMe="N",PlanterYesMe="me"),H1925=""),"",IF(H1925="credit","NO install",IF(AND(K1925="",AE1925="me"),"EACH row",IF(AND(K1925="images",AE1925="me"),"EACH row",IF(D1925="","",IF(H1925="credit","",IF(AE1925="free","re-planting",IF(AE1925="me","   not ELP, by",IF(AND(OR(PlanterYesMe="Yes",PlanterYesMe="Y"),G1925&gt;0),(VLOOKUP(A1925,'Discount Lookup'!J:K,2)*G1925*(1-PlanterDiscount)*(1+PlanterDifficultyPercentage)),IF(AE1925="ELP",(VLOOKUP(A1925,'Discount Lookup'!J:K,2)*G1925*(1-PlanterDiscount)*(1+PlanterDifficultyPercentage)),IF(AE1925="free","re-planting",IF(G1925=0,"",IF(PlanterYesMe="",IF(AE1925="me","   not ELP, by",IF(AE1925="",IF(G1925&gt;0,(VLOOKUP(A1925,'Discount Lookup'!J:K,2)*G1925*(1-PlanterDiscount)*(1+PlanterDifficultyPercentage)),""),"")),"   not ELP, by"))))))))))))))</f>
        <v/>
      </c>
      <c r="AD1925" s="712"/>
      <c r="AE1925" s="513" t="str">
        <f t="shared" si="1338"/>
        <v/>
      </c>
      <c r="AF1925" s="713" t="str">
        <f t="shared" si="1339"/>
        <v/>
      </c>
      <c r="AG1925" s="713"/>
      <c r="AH1925" s="713"/>
      <c r="AI1925" s="112">
        <f>IF(H1925="credit",0,IF(AE1925="free",0,IF(AE1925="me",0,IF(G1925&gt;0,(VLOOKUP(A1925,'Discount Lookup'!J:K,2)*G1925),0))))</f>
        <v>0</v>
      </c>
      <c r="AJ1925" s="107" t="str">
        <f t="shared" ca="1" si="1340"/>
        <v/>
      </c>
      <c r="AK1925" s="714" t="str">
        <f t="shared" si="1341"/>
        <v/>
      </c>
      <c r="AL1925" s="714"/>
      <c r="AM1925" s="114" t="str">
        <f t="shared" si="1342"/>
        <v/>
      </c>
      <c r="AN1925" s="115"/>
      <c r="AO1925" s="116"/>
      <c r="AP1925" s="116"/>
      <c r="AQ1925" s="116"/>
      <c r="AR1925" s="116"/>
      <c r="AS1925" s="116"/>
      <c r="AT1925" s="116"/>
      <c r="AU1925" s="116"/>
      <c r="AV1925" s="78"/>
      <c r="AW1925" s="102"/>
      <c r="AX1925" s="78"/>
      <c r="AY1925" s="78"/>
      <c r="AZ1925" s="78"/>
      <c r="BA1925" s="78"/>
      <c r="BB1925" s="78"/>
      <c r="BC1925" s="78"/>
      <c r="BD1925" s="78"/>
      <c r="BE1925" s="465"/>
      <c r="BF1925" s="165" t="str">
        <f t="shared" si="1343"/>
        <v>https://www.google.com/search?tbm=isch&amp;q=Hyd.%20macrophylla%20%27Bailmacseven%27%20PP%2334544%20Eclipse%C2%AE%20Bigleaf%20Hydrangea</v>
      </c>
      <c r="BG1925" s="165" t="str">
        <f t="shared" si="1344"/>
        <v>H</v>
      </c>
      <c r="BH1925" s="65"/>
      <c r="BI1925" s="65"/>
      <c r="BJ1925" s="65"/>
      <c r="BK1925" s="65"/>
      <c r="BL1925" s="99"/>
      <c r="BM1925" s="99"/>
      <c r="BN1925" s="99"/>
    </row>
    <row r="1926" spans="1:66" s="51" customFormat="1" ht="15.75" x14ac:dyDescent="0.25">
      <c r="A1926" s="634">
        <v>3</v>
      </c>
      <c r="B1926" s="635" t="s">
        <v>291</v>
      </c>
      <c r="C1926" s="636"/>
      <c r="D1926" s="637" t="s">
        <v>329</v>
      </c>
      <c r="E1926" s="638">
        <v>40.950000000000003</v>
      </c>
      <c r="F1926" s="639" t="s">
        <v>292</v>
      </c>
      <c r="G1926" s="484">
        <v>0</v>
      </c>
      <c r="H1926" s="691" t="str">
        <f>IF(G1926=0,"",IF(F1926="Buy",IF(G1926=1,"plant","plants"),IF(F1926&gt;0.01,"warranty","Error")))</f>
        <v/>
      </c>
      <c r="I1926" s="640">
        <f>IF(H1926="free",0,IF(H1926="credit",((E1926*(F1926))*G1926*-1),IF(F1926="Buy",(E1926*G1926),((E1926*(1-F1926))*G1926))))</f>
        <v>0</v>
      </c>
      <c r="J1926" s="640">
        <f>IF(H1926="warranty",0,(I1926*(_xlfn.SINGLE(SalesTaxPercentage))))</f>
        <v>0</v>
      </c>
      <c r="K1926" s="716">
        <f t="shared" ref="K1926" si="1367">I1926+J1926</f>
        <v>0</v>
      </c>
      <c r="L1926" s="716"/>
      <c r="M1926" s="689" t="str">
        <f ca="1">IF(AND(G1926&gt;0,E1926=0),"WARNING - no PRICE inserted",IF(H1926="free","FREE ~ no charge this plant",IF(H1926="credit",CONCATENATE("-$",ROUND(K1926*(1-_xlfn.SINGLE(T2GDiscount))*-1,2)," CREDIT after discount"),IF(_xlfn.SINGLE(T2GDiscount)=0,"",IF(G1926=0,"",IF(F1926="Buy",CONCATENATE("$",ROUND(K1926*(1-_xlfn.SINGLE(T2GDiscount)),2)," with ",(_xlfn.SINGLE(T2GDiscount)*100),"% discount"),CONCATENATE("$",ROUND(K1926*(1-_xlfn.SINGLE(T2GDiscount)),2)," with ",((_xlfn.SINGLE(T2GDiscount)*100+F1926*100)-(_xlfn.SINGLE(T2GDiscount)*100*F1926)),IF(F1926&gt;0,"% discounts",IF(_xlfn.SINGLE(NoWarrantyDiscount)&gt;0,"% discounts","% discount")))))))))</f>
        <v/>
      </c>
      <c r="N1926" s="690"/>
      <c r="O1926" s="486"/>
      <c r="P1926" s="486"/>
      <c r="Q1926" s="486"/>
      <c r="R1926" s="486"/>
      <c r="S1926" s="486"/>
      <c r="T1926" s="102">
        <f t="shared" si="1332"/>
        <v>0</v>
      </c>
      <c r="U1926" s="78">
        <f>IF(NOT(ISNUMBER(G1926)), "", VLOOKUP(A1926,'Discount Lookup'!D:E,2,FALSE)*G1926)</f>
        <v>0</v>
      </c>
      <c r="V1926" s="78">
        <f>IF(NOT(ISNUMBER(G1926)), "", VLOOKUP(A1926,'Discount Lookup'!G:H,2,FALSE)*G1926)</f>
        <v>0</v>
      </c>
      <c r="W1926" s="102">
        <f t="shared" si="1333"/>
        <v>0</v>
      </c>
      <c r="X1926" s="102">
        <f t="shared" si="1334"/>
        <v>0</v>
      </c>
      <c r="Y1926" s="120" t="b">
        <f t="shared" si="1335"/>
        <v>0</v>
      </c>
      <c r="Z1926" s="117">
        <f t="shared" si="1336"/>
        <v>0</v>
      </c>
      <c r="AA1926" s="118"/>
      <c r="AB1926" s="118" t="str">
        <f t="shared" si="1337"/>
        <v/>
      </c>
      <c r="AC1926" s="712" t="str">
        <f>IF(AE1926="T2G","no charge",IF(AND(OR(PlanterYesMe="No",PlanterYesMe="N",PlanterYesMe="me"),H1926=""),"",IF(H1926="credit","NO install",IF(AND(K1926="",AE1926="me"),"EACH row",IF(AND(K1926="images",AE1926="me"),"EACH row",IF(D1926="","",IF(H1926="credit","",IF(AE1926="free","re-planting",IF(AE1926="me","   not ELP, by",IF(AND(OR(PlanterYesMe="Yes",PlanterYesMe="Y"),G1926&gt;0),(VLOOKUP(A1926,'Discount Lookup'!J:K,2)*G1926*(1-PlanterDiscount)*(1+PlanterDifficultyPercentage)),IF(AE1926="ELP",(VLOOKUP(A1926,'Discount Lookup'!J:K,2)*G1926*(1-PlanterDiscount)*(1+PlanterDifficultyPercentage)),IF(AE1926="free","re-planting",IF(G1926=0,"",IF(PlanterYesMe="",IF(AE1926="me","   not ELP, by",IF(AE1926="",IF(G1926&gt;0,(VLOOKUP(A1926,'Discount Lookup'!J:K,2)*G1926*(1-PlanterDiscount)*(1+PlanterDifficultyPercentage)),""),"")),"   not ELP, by"))))))))))))))</f>
        <v/>
      </c>
      <c r="AD1926" s="712"/>
      <c r="AE1926" s="513" t="str">
        <f t="shared" si="1338"/>
        <v/>
      </c>
      <c r="AF1926" s="713" t="str">
        <f t="shared" si="1339"/>
        <v/>
      </c>
      <c r="AG1926" s="713"/>
      <c r="AH1926" s="713"/>
      <c r="AI1926" s="112">
        <f>IF(H1926="credit",0,IF(AE1926="free",0,IF(AE1926="me",0,IF(G1926&gt;0,(VLOOKUP(A1926,'Discount Lookup'!J:K,2)*G1926),0))))</f>
        <v>0</v>
      </c>
      <c r="AJ1926" s="107" t="str">
        <f t="shared" ca="1" si="1340"/>
        <v/>
      </c>
      <c r="AK1926" s="714" t="str">
        <f t="shared" si="1341"/>
        <v/>
      </c>
      <c r="AL1926" s="714"/>
      <c r="AM1926" s="114" t="str">
        <f t="shared" si="1342"/>
        <v/>
      </c>
      <c r="AN1926" s="115"/>
      <c r="AO1926" s="116"/>
      <c r="AP1926" s="116"/>
      <c r="AQ1926" s="116"/>
      <c r="AR1926" s="116"/>
      <c r="AS1926" s="116"/>
      <c r="AT1926" s="116"/>
      <c r="AU1926" s="116"/>
      <c r="AV1926" s="78"/>
      <c r="AW1926" s="102"/>
      <c r="AX1926" s="78"/>
      <c r="AY1926" s="78"/>
      <c r="AZ1926" s="78"/>
      <c r="BA1926" s="78"/>
      <c r="BB1926" s="78"/>
      <c r="BC1926" s="78"/>
      <c r="BD1926" s="78"/>
      <c r="BE1926" s="465"/>
      <c r="BF1926" s="165" t="str">
        <f t="shared" si="1343"/>
        <v>https://www.google.com/search?tbm=isch&amp;q=3%20G2</v>
      </c>
      <c r="BG1926" s="165" t="str">
        <f t="shared" si="1344"/>
        <v>H</v>
      </c>
      <c r="BH1926" s="65"/>
      <c r="BI1926" s="65"/>
      <c r="BJ1926" s="65"/>
      <c r="BK1926" s="65"/>
      <c r="BL1926" s="99"/>
      <c r="BM1926" s="99"/>
      <c r="BN1926" s="99"/>
    </row>
    <row r="1927" spans="1:66" s="51" customFormat="1" ht="17.25" thickBot="1" x14ac:dyDescent="0.3">
      <c r="A1927" s="704" t="s">
        <v>5429</v>
      </c>
      <c r="B1927" s="642"/>
      <c r="C1927" s="710"/>
      <c r="D1927" s="643"/>
      <c r="E1927" s="643"/>
      <c r="F1927" s="644"/>
      <c r="G1927" s="645"/>
      <c r="H1927" s="646"/>
      <c r="I1927" s="647"/>
      <c r="J1927" s="648"/>
      <c r="K1927" s="649"/>
      <c r="L1927" s="650"/>
      <c r="M1927" s="650"/>
      <c r="N1927" s="644"/>
      <c r="O1927" s="644"/>
      <c r="P1927" s="644"/>
      <c r="Q1927" s="644"/>
      <c r="R1927" s="644"/>
      <c r="S1927" s="651"/>
      <c r="T1927" s="102">
        <f t="shared" si="1332"/>
        <v>0</v>
      </c>
      <c r="U1927" s="78" t="str">
        <f>IF(NOT(ISNUMBER(G1927)), "", VLOOKUP(A1927,'Discount Lookup'!D:E,2,FALSE)*G1927)</f>
        <v/>
      </c>
      <c r="V1927" s="78" t="str">
        <f>IF(NOT(ISNUMBER(G1927)), "", VLOOKUP(A1927,'Discount Lookup'!G:H,2,FALSE)*G1927)</f>
        <v/>
      </c>
      <c r="W1927" s="102">
        <f t="shared" si="1333"/>
        <v>0</v>
      </c>
      <c r="X1927" s="102">
        <f t="shared" si="1334"/>
        <v>0</v>
      </c>
      <c r="Y1927" s="120" t="b">
        <f t="shared" si="1335"/>
        <v>0</v>
      </c>
      <c r="Z1927" s="117">
        <f t="shared" si="1336"/>
        <v>0</v>
      </c>
      <c r="AA1927" s="118"/>
      <c r="AB1927" s="118" t="str">
        <f t="shared" si="1337"/>
        <v/>
      </c>
      <c r="AC1927" s="712" t="str">
        <f>IF(AE1927="T2G","no charge",IF(AND(OR(PlanterYesMe="No",PlanterYesMe="N",PlanterYesMe="me"),H1927=""),"",IF(H1927="credit","NO install",IF(AND(K1927="",AE1927="me"),"EACH row",IF(AND(K1927="images",AE1927="me"),"EACH row",IF(D1927="","",IF(H1927="credit","",IF(AE1927="free","re-planting",IF(AE1927="me","   not ELP, by",IF(AND(OR(PlanterYesMe="Yes",PlanterYesMe="Y"),G1927&gt;0),(VLOOKUP(A1927,'Discount Lookup'!J:K,2)*G1927*(1-PlanterDiscount)*(1+PlanterDifficultyPercentage)),IF(AE1927="ELP",(VLOOKUP(A1927,'Discount Lookup'!J:K,2)*G1927*(1-PlanterDiscount)*(1+PlanterDifficultyPercentage)),IF(AE1927="free","re-planting",IF(G1927=0,"",IF(PlanterYesMe="",IF(AE1927="me","   not ELP, by",IF(AE1927="",IF(G1927&gt;0,(VLOOKUP(A1927,'Discount Lookup'!J:K,2)*G1927*(1-PlanterDiscount)*(1+PlanterDifficultyPercentage)),""),"")),"   not ELP, by"))))))))))))))</f>
        <v/>
      </c>
      <c r="AD1927" s="712"/>
      <c r="AE1927" s="513" t="str">
        <f t="shared" si="1338"/>
        <v/>
      </c>
      <c r="AF1927" s="713" t="str">
        <f t="shared" si="1339"/>
        <v/>
      </c>
      <c r="AG1927" s="713"/>
      <c r="AH1927" s="713"/>
      <c r="AI1927" s="112">
        <f>IF(H1927="credit",0,IF(AE1927="free",0,IF(AE1927="me",0,IF(G1927&gt;0,(VLOOKUP(A1927,'Discount Lookup'!J:K,2)*G1927),0))))</f>
        <v>0</v>
      </c>
      <c r="AJ1927" s="107" t="str">
        <f t="shared" ca="1" si="1340"/>
        <v/>
      </c>
      <c r="AK1927" s="714" t="str">
        <f t="shared" si="1341"/>
        <v/>
      </c>
      <c r="AL1927" s="714"/>
      <c r="AM1927" s="114" t="str">
        <f t="shared" si="1342"/>
        <v/>
      </c>
      <c r="AN1927" s="115"/>
      <c r="AO1927" s="116"/>
      <c r="AP1927" s="116"/>
      <c r="AQ1927" s="116"/>
      <c r="AR1927" s="116"/>
      <c r="AS1927" s="116"/>
      <c r="AT1927" s="116"/>
      <c r="AU1927" s="116"/>
      <c r="AV1927" s="78"/>
      <c r="AW1927" s="102"/>
      <c r="AX1927" s="78"/>
      <c r="AY1927" s="78"/>
      <c r="AZ1927" s="78"/>
      <c r="BA1927" s="78"/>
      <c r="BB1927" s="78"/>
      <c r="BC1927" s="78"/>
      <c r="BD1927" s="78"/>
      <c r="BE1927" s="465"/>
      <c r="BF1927" s="165" t="str">
        <f t="shared" si="1343"/>
        <v>https://www.google.com/search?tbm=isch&amp;q=moist%20sites%F0%9F%92%A7GOOD%2C%20Eclipse%20has%20Dark%20Purple%20foliage.%20Most%20%22Bigleaf%22%20Hydrangea%20have%20snowball%20flowers%20on%20old%20wood.%20Acidic%20soil%20for%20Blue%2C%20Alkaline%20for%20Pink%20</v>
      </c>
      <c r="BG1927" s="165" t="str">
        <f t="shared" si="1344"/>
        <v>m</v>
      </c>
      <c r="BH1927" s="65"/>
      <c r="BI1927" s="65"/>
      <c r="BJ1927" s="65"/>
      <c r="BK1927" s="65"/>
      <c r="BL1927" s="99"/>
      <c r="BM1927" s="99"/>
      <c r="BN1927" s="99"/>
    </row>
    <row r="1928" spans="1:66" s="51" customFormat="1" ht="18" x14ac:dyDescent="0.25">
      <c r="A1928" s="623" t="s">
        <v>2772</v>
      </c>
      <c r="B1928" s="624"/>
      <c r="C1928" s="709"/>
      <c r="D1928" s="625" t="s">
        <v>5680</v>
      </c>
      <c r="E1928" s="626"/>
      <c r="F1928" s="626"/>
      <c r="G1928" s="626"/>
      <c r="H1928" s="622" t="s">
        <v>1104</v>
      </c>
      <c r="I1928" s="627" t="s">
        <v>2773</v>
      </c>
      <c r="J1928" s="628"/>
      <c r="K1928" s="628"/>
      <c r="L1928" s="629"/>
      <c r="M1928" s="702" t="s">
        <v>5252</v>
      </c>
      <c r="N1928" s="693" t="str">
        <f>IF(AND(ISTEXT($A1928), ISERROR($A1928+0)), HYPERLINK($BF1928, "Images"), "")</f>
        <v>Images</v>
      </c>
      <c r="O1928" s="695" t="s">
        <v>5264</v>
      </c>
      <c r="P1928" s="630"/>
      <c r="Q1928" s="631"/>
      <c r="R1928" s="632"/>
      <c r="S1928" s="633"/>
      <c r="T1928" s="102">
        <f t="shared" si="1332"/>
        <v>0</v>
      </c>
      <c r="U1928" s="78" t="str">
        <f>IF(NOT(ISNUMBER(G1928)), "", VLOOKUP(A1928,'Discount Lookup'!D:E,2,FALSE)*G1928)</f>
        <v/>
      </c>
      <c r="V1928" s="78" t="str">
        <f>IF(NOT(ISNUMBER(G1928)), "", VLOOKUP(A1928,'Discount Lookup'!G:H,2,FALSE)*G1928)</f>
        <v/>
      </c>
      <c r="W1928" s="102">
        <f t="shared" si="1333"/>
        <v>0</v>
      </c>
      <c r="X1928" s="102" t="str">
        <f t="shared" si="1334"/>
        <v>Blue to Pink bloom</v>
      </c>
      <c r="Y1928" s="120" t="b">
        <f t="shared" si="1335"/>
        <v>0</v>
      </c>
      <c r="Z1928" s="117">
        <f t="shared" si="1336"/>
        <v>0</v>
      </c>
      <c r="AA1928" s="118"/>
      <c r="AB1928" s="118" t="str">
        <f t="shared" si="1337"/>
        <v/>
      </c>
      <c r="AC1928" s="712" t="str">
        <f>IF(AE1928="T2G","no charge",IF(AND(OR(PlanterYesMe="No",PlanterYesMe="N",PlanterYesMe="me"),H1928=""),"",IF(H1928="credit","NO install",IF(AND(K1928="",AE1928="me"),"EACH row",IF(AND(K1928="images",AE1928="me"),"EACH row",IF(D1928="","",IF(H1928="credit","",IF(AE1928="free","re-planting",IF(AE1928="me","   not ELP, by",IF(AND(OR(PlanterYesMe="Yes",PlanterYesMe="Y"),G1928&gt;0),(VLOOKUP(A1928,'Discount Lookup'!J:K,2)*G1928*(1-PlanterDiscount)*(1+PlanterDifficultyPercentage)),IF(AE1928="ELP",(VLOOKUP(A1928,'Discount Lookup'!J:K,2)*G1928*(1-PlanterDiscount)*(1+PlanterDifficultyPercentage)),IF(AE1928="free","re-planting",IF(G1928=0,"",IF(PlanterYesMe="",IF(AE1928="me","   not ELP, by",IF(AE1928="",IF(G1928&gt;0,(VLOOKUP(A1928,'Discount Lookup'!J:K,2)*G1928*(1-PlanterDiscount)*(1+PlanterDifficultyPercentage)),""),"")),"   not ELP, by"))))))))))))))</f>
        <v/>
      </c>
      <c r="AD1928" s="712"/>
      <c r="AE1928" s="513" t="str">
        <f t="shared" si="1338"/>
        <v/>
      </c>
      <c r="AF1928" s="713" t="str">
        <f t="shared" si="1339"/>
        <v/>
      </c>
      <c r="AG1928" s="713"/>
      <c r="AH1928" s="713"/>
      <c r="AI1928" s="112">
        <f>IF(H1928="credit",0,IF(AE1928="free",0,IF(AE1928="me",0,IF(G1928&gt;0,(VLOOKUP(A1928,'Discount Lookup'!J:K,2)*G1928),0))))</f>
        <v>0</v>
      </c>
      <c r="AJ1928" s="107" t="str">
        <f t="shared" ca="1" si="1340"/>
        <v/>
      </c>
      <c r="AK1928" s="714" t="str">
        <f t="shared" si="1341"/>
        <v/>
      </c>
      <c r="AL1928" s="714"/>
      <c r="AM1928" s="114" t="str">
        <f t="shared" si="1342"/>
        <v/>
      </c>
      <c r="AN1928" s="115"/>
      <c r="AO1928" s="116"/>
      <c r="AP1928" s="116"/>
      <c r="AQ1928" s="116"/>
      <c r="AR1928" s="116"/>
      <c r="AS1928" s="116"/>
      <c r="AT1928" s="116"/>
      <c r="AU1928" s="116"/>
      <c r="AV1928" s="78"/>
      <c r="AW1928" s="102"/>
      <c r="AX1928" s="78"/>
      <c r="AY1928" s="78"/>
      <c r="AZ1928" s="78"/>
      <c r="BA1928" s="78"/>
      <c r="BB1928" s="78"/>
      <c r="BC1928" s="78"/>
      <c r="BD1928" s="78"/>
      <c r="BE1928" s="465"/>
      <c r="BF1928" s="165" t="str">
        <f t="shared" si="1343"/>
        <v>https://www.google.com/search?tbm=isch&amp;q=Hyd.%20macrophylla%20%27Bailmacsix%27%20PP%2333703%20Pop%20Star%E2%84%A2%20Bigleaf%20Hydrangea</v>
      </c>
      <c r="BG1928" s="165" t="str">
        <f t="shared" si="1344"/>
        <v>H</v>
      </c>
      <c r="BH1928" s="65"/>
      <c r="BI1928" s="65"/>
      <c r="BJ1928" s="65"/>
      <c r="BK1928" s="65"/>
      <c r="BL1928" s="99"/>
      <c r="BM1928" s="99"/>
      <c r="BN1928" s="99"/>
    </row>
    <row r="1929" spans="1:66" s="51" customFormat="1" ht="15.75" x14ac:dyDescent="0.25">
      <c r="A1929" s="634">
        <v>3</v>
      </c>
      <c r="B1929" s="635" t="s">
        <v>291</v>
      </c>
      <c r="C1929" s="636" t="s">
        <v>2774</v>
      </c>
      <c r="D1929" s="637" t="s">
        <v>329</v>
      </c>
      <c r="E1929" s="638">
        <v>32.950000000000003</v>
      </c>
      <c r="F1929" s="639" t="s">
        <v>292</v>
      </c>
      <c r="G1929" s="484">
        <v>0</v>
      </c>
      <c r="H1929" s="691" t="str">
        <f>IF(G1929=0,"",IF(F1929="Buy",IF(G1929=1,"plant","plants"),IF(F1929&gt;0.01,"warranty","Error")))</f>
        <v/>
      </c>
      <c r="I1929" s="640">
        <f>IF(H1929="free",0,IF(H1929="credit",((E1929*(F1929))*G1929*-1),IF(F1929="Buy",(E1929*G1929),((E1929*(1-F1929))*G1929))))</f>
        <v>0</v>
      </c>
      <c r="J1929" s="640">
        <f>IF(H1929="warranty",0,(I1929*(_xlfn.SINGLE(SalesTaxPercentage))))</f>
        <v>0</v>
      </c>
      <c r="K1929" s="716">
        <f t="shared" ref="K1929" si="1368">I1929+J1929</f>
        <v>0</v>
      </c>
      <c r="L1929" s="716"/>
      <c r="M1929" s="689" t="str">
        <f ca="1">IF(AND(G1929&gt;0,E1929=0),"WARNING - no PRICE inserted",IF(H1929="free","FREE ~ no charge this plant",IF(H1929="credit",CONCATENATE("-$",ROUND(K1929*(1-_xlfn.SINGLE(T2GDiscount))*-1,2)," CREDIT after discount"),IF(_xlfn.SINGLE(T2GDiscount)=0,"",IF(G1929=0,"",IF(F1929="Buy",CONCATENATE("$",ROUND(K1929*(1-_xlfn.SINGLE(T2GDiscount)),2)," with ",(_xlfn.SINGLE(T2GDiscount)*100),"% discount"),CONCATENATE("$",ROUND(K1929*(1-_xlfn.SINGLE(T2GDiscount)),2)," with ",((_xlfn.SINGLE(T2GDiscount)*100+F1929*100)-(_xlfn.SINGLE(T2GDiscount)*100*F1929)),IF(F1929&gt;0,"% discounts",IF(_xlfn.SINGLE(NoWarrantyDiscount)&gt;0,"% discounts","% discount")))))))))</f>
        <v/>
      </c>
      <c r="N1929" s="690"/>
      <c r="O1929" s="486"/>
      <c r="P1929" s="486"/>
      <c r="Q1929" s="486"/>
      <c r="R1929" s="486"/>
      <c r="S1929" s="486"/>
      <c r="T1929" s="102">
        <f t="shared" si="1332"/>
        <v>0</v>
      </c>
      <c r="U1929" s="78">
        <f>IF(NOT(ISNUMBER(G1929)), "", VLOOKUP(A1929,'Discount Lookup'!D:E,2,FALSE)*G1929)</f>
        <v>0</v>
      </c>
      <c r="V1929" s="78">
        <f>IF(NOT(ISNUMBER(G1929)), "", VLOOKUP(A1929,'Discount Lookup'!G:H,2,FALSE)*G1929)</f>
        <v>0</v>
      </c>
      <c r="W1929" s="102">
        <f t="shared" si="1333"/>
        <v>0</v>
      </c>
      <c r="X1929" s="102">
        <f t="shared" si="1334"/>
        <v>0</v>
      </c>
      <c r="Y1929" s="120" t="b">
        <f t="shared" si="1335"/>
        <v>0</v>
      </c>
      <c r="Z1929" s="117">
        <f t="shared" si="1336"/>
        <v>0</v>
      </c>
      <c r="AA1929" s="118"/>
      <c r="AB1929" s="118" t="str">
        <f t="shared" si="1337"/>
        <v/>
      </c>
      <c r="AC1929" s="712" t="str">
        <f>IF(AE1929="T2G","no charge",IF(AND(OR(PlanterYesMe="No",PlanterYesMe="N",PlanterYesMe="me"),H1929=""),"",IF(H1929="credit","NO install",IF(AND(K1929="",AE1929="me"),"EACH row",IF(AND(K1929="images",AE1929="me"),"EACH row",IF(D1929="","",IF(H1929="credit","",IF(AE1929="free","re-planting",IF(AE1929="me","   not ELP, by",IF(AND(OR(PlanterYesMe="Yes",PlanterYesMe="Y"),G1929&gt;0),(VLOOKUP(A1929,'Discount Lookup'!J:K,2)*G1929*(1-PlanterDiscount)*(1+PlanterDifficultyPercentage)),IF(AE1929="ELP",(VLOOKUP(A1929,'Discount Lookup'!J:K,2)*G1929*(1-PlanterDiscount)*(1+PlanterDifficultyPercentage)),IF(AE1929="free","re-planting",IF(G1929=0,"",IF(PlanterYesMe="",IF(AE1929="me","   not ELP, by",IF(AE1929="",IF(G1929&gt;0,(VLOOKUP(A1929,'Discount Lookup'!J:K,2)*G1929*(1-PlanterDiscount)*(1+PlanterDifficultyPercentage)),""),"")),"   not ELP, by"))))))))))))))</f>
        <v/>
      </c>
      <c r="AD1929" s="712"/>
      <c r="AE1929" s="513" t="str">
        <f t="shared" si="1338"/>
        <v/>
      </c>
      <c r="AF1929" s="713" t="str">
        <f t="shared" si="1339"/>
        <v/>
      </c>
      <c r="AG1929" s="713"/>
      <c r="AH1929" s="713"/>
      <c r="AI1929" s="112">
        <f>IF(H1929="credit",0,IF(AE1929="free",0,IF(AE1929="me",0,IF(G1929&gt;0,(VLOOKUP(A1929,'Discount Lookup'!J:K,2)*G1929),0))))</f>
        <v>0</v>
      </c>
      <c r="AJ1929" s="107" t="str">
        <f t="shared" ca="1" si="1340"/>
        <v/>
      </c>
      <c r="AK1929" s="714" t="str">
        <f t="shared" si="1341"/>
        <v/>
      </c>
      <c r="AL1929" s="714"/>
      <c r="AM1929" s="114" t="str">
        <f t="shared" si="1342"/>
        <v/>
      </c>
      <c r="AN1929" s="115"/>
      <c r="AO1929" s="116"/>
      <c r="AP1929" s="116"/>
      <c r="AQ1929" s="116"/>
      <c r="AR1929" s="116"/>
      <c r="AS1929" s="116"/>
      <c r="AT1929" s="116"/>
      <c r="AU1929" s="116"/>
      <c r="AV1929" s="78"/>
      <c r="AW1929" s="102"/>
      <c r="AX1929" s="78"/>
      <c r="AY1929" s="78"/>
      <c r="AZ1929" s="78"/>
      <c r="BA1929" s="78"/>
      <c r="BB1929" s="78"/>
      <c r="BC1929" s="78"/>
      <c r="BD1929" s="78"/>
      <c r="BE1929" s="465"/>
      <c r="BF1929" s="165" t="str">
        <f t="shared" si="1343"/>
        <v>https://www.google.com/search?tbm=isch&amp;q=3%20G2</v>
      </c>
      <c r="BG1929" s="165" t="str">
        <f t="shared" si="1344"/>
        <v>H</v>
      </c>
      <c r="BH1929" s="65"/>
      <c r="BI1929" s="65"/>
      <c r="BJ1929" s="65"/>
      <c r="BK1929" s="65"/>
      <c r="BL1929" s="99"/>
      <c r="BM1929" s="99"/>
      <c r="BN1929" s="99"/>
    </row>
    <row r="1930" spans="1:66" s="51" customFormat="1" ht="17.25" thickBot="1" x14ac:dyDescent="0.3">
      <c r="A1930" s="704" t="s">
        <v>5430</v>
      </c>
      <c r="B1930" s="642"/>
      <c r="C1930" s="710"/>
      <c r="D1930" s="643"/>
      <c r="E1930" s="643"/>
      <c r="F1930" s="644"/>
      <c r="G1930" s="645"/>
      <c r="H1930" s="646"/>
      <c r="I1930" s="647"/>
      <c r="J1930" s="648"/>
      <c r="K1930" s="649"/>
      <c r="L1930" s="650"/>
      <c r="M1930" s="650"/>
      <c r="N1930" s="644"/>
      <c r="O1930" s="644"/>
      <c r="P1930" s="644"/>
      <c r="Q1930" s="644"/>
      <c r="R1930" s="644"/>
      <c r="S1930" s="651"/>
      <c r="T1930" s="102">
        <f t="shared" si="1332"/>
        <v>0</v>
      </c>
      <c r="U1930" s="78" t="str">
        <f>IF(NOT(ISNUMBER(G1930)), "", VLOOKUP(A1930,'Discount Lookup'!D:E,2,FALSE)*G1930)</f>
        <v/>
      </c>
      <c r="V1930" s="78" t="str">
        <f>IF(NOT(ISNUMBER(G1930)), "", VLOOKUP(A1930,'Discount Lookup'!G:H,2,FALSE)*G1930)</f>
        <v/>
      </c>
      <c r="W1930" s="102">
        <f t="shared" si="1333"/>
        <v>0</v>
      </c>
      <c r="X1930" s="102">
        <f t="shared" si="1334"/>
        <v>0</v>
      </c>
      <c r="Y1930" s="120" t="b">
        <f t="shared" si="1335"/>
        <v>0</v>
      </c>
      <c r="Z1930" s="117">
        <f t="shared" si="1336"/>
        <v>0</v>
      </c>
      <c r="AA1930" s="118"/>
      <c r="AB1930" s="118" t="str">
        <f t="shared" si="1337"/>
        <v/>
      </c>
      <c r="AC1930" s="712" t="str">
        <f>IF(AE1930="T2G","no charge",IF(AND(OR(PlanterYesMe="No",PlanterYesMe="N",PlanterYesMe="me"),H1930=""),"",IF(H1930="credit","NO install",IF(AND(K1930="",AE1930="me"),"EACH row",IF(AND(K1930="images",AE1930="me"),"EACH row",IF(D1930="","",IF(H1930="credit","",IF(AE1930="free","re-planting",IF(AE1930="me","   not ELP, by",IF(AND(OR(PlanterYesMe="Yes",PlanterYesMe="Y"),G1930&gt;0),(VLOOKUP(A1930,'Discount Lookup'!J:K,2)*G1930*(1-PlanterDiscount)*(1+PlanterDifficultyPercentage)),IF(AE1930="ELP",(VLOOKUP(A1930,'Discount Lookup'!J:K,2)*G1930*(1-PlanterDiscount)*(1+PlanterDifficultyPercentage)),IF(AE1930="free","re-planting",IF(G1930=0,"",IF(PlanterYesMe="",IF(AE1930="me","   not ELP, by",IF(AE1930="",IF(G1930&gt;0,(VLOOKUP(A1930,'Discount Lookup'!J:K,2)*G1930*(1-PlanterDiscount)*(1+PlanterDifficultyPercentage)),""),"")),"   not ELP, by"))))))))))))))</f>
        <v/>
      </c>
      <c r="AD1930" s="712"/>
      <c r="AE1930" s="513" t="str">
        <f t="shared" si="1338"/>
        <v/>
      </c>
      <c r="AF1930" s="713" t="str">
        <f t="shared" si="1339"/>
        <v/>
      </c>
      <c r="AG1930" s="713"/>
      <c r="AH1930" s="713"/>
      <c r="AI1930" s="112">
        <f>IF(H1930="credit",0,IF(AE1930="free",0,IF(AE1930="me",0,IF(G1930&gt;0,(VLOOKUP(A1930,'Discount Lookup'!J:K,2)*G1930),0))))</f>
        <v>0</v>
      </c>
      <c r="AJ1930" s="107" t="str">
        <f t="shared" ca="1" si="1340"/>
        <v/>
      </c>
      <c r="AK1930" s="714" t="str">
        <f t="shared" si="1341"/>
        <v/>
      </c>
      <c r="AL1930" s="714"/>
      <c r="AM1930" s="114" t="str">
        <f t="shared" si="1342"/>
        <v/>
      </c>
      <c r="AN1930" s="115"/>
      <c r="AO1930" s="116"/>
      <c r="AP1930" s="116"/>
      <c r="AQ1930" s="116"/>
      <c r="AR1930" s="116"/>
      <c r="AS1930" s="116"/>
      <c r="AT1930" s="116"/>
      <c r="AU1930" s="116"/>
      <c r="AV1930" s="78"/>
      <c r="AW1930" s="102"/>
      <c r="AX1930" s="78"/>
      <c r="AY1930" s="78"/>
      <c r="AZ1930" s="78"/>
      <c r="BA1930" s="78"/>
      <c r="BB1930" s="78"/>
      <c r="BC1930" s="78"/>
      <c r="BD1930" s="78"/>
      <c r="BE1930" s="465"/>
      <c r="BF1930" s="165" t="str">
        <f t="shared" si="1343"/>
        <v>https://www.google.com/search?tbm=isch&amp;q=moist%20sites%F0%9F%92%A7GOOD%2C%20Pop%20Star%20has%20Green%20foliage.%20Most%20%22Bigleaf%22%20Hydrangea%20have%20snowball%20flowers%20on%20old%20wood.%20Acidic%20soil%20for%20Blue%2C%20Alkaline%20for%20Pink%20</v>
      </c>
      <c r="BG1930" s="165" t="str">
        <f t="shared" si="1344"/>
        <v>m</v>
      </c>
      <c r="BH1930" s="65"/>
      <c r="BI1930" s="65"/>
      <c r="BJ1930" s="65"/>
      <c r="BK1930" s="65"/>
      <c r="BL1930" s="99"/>
      <c r="BM1930" s="99"/>
      <c r="BN1930" s="99"/>
    </row>
    <row r="1931" spans="1:66" s="51" customFormat="1" ht="18" x14ac:dyDescent="0.25">
      <c r="A1931" s="623" t="s">
        <v>2775</v>
      </c>
      <c r="B1931" s="624"/>
      <c r="C1931" s="709"/>
      <c r="D1931" s="625" t="s">
        <v>5887</v>
      </c>
      <c r="E1931" s="626"/>
      <c r="F1931" s="626"/>
      <c r="G1931" s="626"/>
      <c r="H1931" s="622" t="s">
        <v>1082</v>
      </c>
      <c r="I1931" s="627" t="s">
        <v>2776</v>
      </c>
      <c r="J1931" s="628"/>
      <c r="K1931" s="628"/>
      <c r="L1931" s="629"/>
      <c r="M1931" s="702" t="s">
        <v>5252</v>
      </c>
      <c r="N1931" s="693" t="str">
        <f>IF(AND(ISTEXT($A1931), ISERROR($A1931+0)), HYPERLINK($BF1931, "Images"), "")</f>
        <v>Images</v>
      </c>
      <c r="O1931" s="695" t="s">
        <v>5264</v>
      </c>
      <c r="P1931" s="630"/>
      <c r="Q1931" s="631"/>
      <c r="R1931" s="632"/>
      <c r="S1931" s="633"/>
      <c r="T1931" s="102">
        <f t="shared" si="1332"/>
        <v>0</v>
      </c>
      <c r="U1931" s="78" t="str">
        <f>IF(NOT(ISNUMBER(G1931)), "", VLOOKUP(A1931,'Discount Lookup'!D:E,2,FALSE)*G1931)</f>
        <v/>
      </c>
      <c r="V1931" s="78" t="str">
        <f>IF(NOT(ISNUMBER(G1931)), "", VLOOKUP(A1931,'Discount Lookup'!G:H,2,FALSE)*G1931)</f>
        <v/>
      </c>
      <c r="W1931" s="102">
        <f t="shared" si="1333"/>
        <v>0</v>
      </c>
      <c r="X1931" s="102" t="str">
        <f t="shared" si="1334"/>
        <v>Pale Blue to Soft Pink bloom</v>
      </c>
      <c r="Y1931" s="120" t="b">
        <f t="shared" si="1335"/>
        <v>0</v>
      </c>
      <c r="Z1931" s="117">
        <f t="shared" si="1336"/>
        <v>0</v>
      </c>
      <c r="AA1931" s="118"/>
      <c r="AB1931" s="118" t="str">
        <f t="shared" si="1337"/>
        <v/>
      </c>
      <c r="AC1931" s="712" t="str">
        <f>IF(AE1931="T2G","no charge",IF(AND(OR(PlanterYesMe="No",PlanterYesMe="N",PlanterYesMe="me"),H1931=""),"",IF(H1931="credit","NO install",IF(AND(K1931="",AE1931="me"),"EACH row",IF(AND(K1931="images",AE1931="me"),"EACH row",IF(D1931="","",IF(H1931="credit","",IF(AE1931="free","re-planting",IF(AE1931="me","   not ELP, by",IF(AND(OR(PlanterYesMe="Yes",PlanterYesMe="Y"),G1931&gt;0),(VLOOKUP(A1931,'Discount Lookup'!J:K,2)*G1931*(1-PlanterDiscount)*(1+PlanterDifficultyPercentage)),IF(AE1931="ELP",(VLOOKUP(A1931,'Discount Lookup'!J:K,2)*G1931*(1-PlanterDiscount)*(1+PlanterDifficultyPercentage)),IF(AE1931="free","re-planting",IF(G1931=0,"",IF(PlanterYesMe="",IF(AE1931="me","   not ELP, by",IF(AE1931="",IF(G1931&gt;0,(VLOOKUP(A1931,'Discount Lookup'!J:K,2)*G1931*(1-PlanterDiscount)*(1+PlanterDifficultyPercentage)),""),"")),"   not ELP, by"))))))))))))))</f>
        <v/>
      </c>
      <c r="AD1931" s="712"/>
      <c r="AE1931" s="513" t="str">
        <f t="shared" si="1338"/>
        <v/>
      </c>
      <c r="AF1931" s="713" t="str">
        <f t="shared" si="1339"/>
        <v/>
      </c>
      <c r="AG1931" s="713"/>
      <c r="AH1931" s="713"/>
      <c r="AI1931" s="112">
        <f>IF(H1931="credit",0,IF(AE1931="free",0,IF(AE1931="me",0,IF(G1931&gt;0,(VLOOKUP(A1931,'Discount Lookup'!J:K,2)*G1931),0))))</f>
        <v>0</v>
      </c>
      <c r="AJ1931" s="107" t="str">
        <f t="shared" ca="1" si="1340"/>
        <v/>
      </c>
      <c r="AK1931" s="714" t="str">
        <f t="shared" si="1341"/>
        <v/>
      </c>
      <c r="AL1931" s="714"/>
      <c r="AM1931" s="114" t="str">
        <f t="shared" si="1342"/>
        <v/>
      </c>
      <c r="AN1931" s="115"/>
      <c r="AO1931" s="116"/>
      <c r="AP1931" s="116"/>
      <c r="AQ1931" s="116"/>
      <c r="AR1931" s="116"/>
      <c r="AS1931" s="116"/>
      <c r="AT1931" s="116"/>
      <c r="AU1931" s="116"/>
      <c r="AV1931" s="78"/>
      <c r="AW1931" s="102"/>
      <c r="AX1931" s="78"/>
      <c r="AY1931" s="78"/>
      <c r="AZ1931" s="78"/>
      <c r="BA1931" s="78"/>
      <c r="BB1931" s="78"/>
      <c r="BC1931" s="78"/>
      <c r="BD1931" s="78"/>
      <c r="BE1931" s="465"/>
      <c r="BF1931" s="165" t="str">
        <f t="shared" si="1343"/>
        <v>https://www.google.com/search?tbm=isch&amp;q=Hyd.%20macrophylla%20%27Bailmer%27%20PP%2315298%20Endless%20Summer%C2%AE%20Bigleaf%20Hydrangea%20%28ES%C2%AE%29</v>
      </c>
      <c r="BG1931" s="165" t="str">
        <f t="shared" si="1344"/>
        <v>H</v>
      </c>
      <c r="BH1931" s="65"/>
      <c r="BI1931" s="65"/>
      <c r="BJ1931" s="65"/>
      <c r="BK1931" s="65"/>
      <c r="BL1931" s="99"/>
      <c r="BM1931" s="99"/>
      <c r="BN1931" s="99"/>
    </row>
    <row r="1932" spans="1:66" s="51" customFormat="1" ht="15.75" x14ac:dyDescent="0.25">
      <c r="A1932" s="634">
        <v>3</v>
      </c>
      <c r="B1932" s="635" t="s">
        <v>291</v>
      </c>
      <c r="C1932" s="636" t="s">
        <v>2777</v>
      </c>
      <c r="D1932" s="637" t="s">
        <v>329</v>
      </c>
      <c r="E1932" s="638">
        <v>38.950000000000003</v>
      </c>
      <c r="F1932" s="639" t="s">
        <v>292</v>
      </c>
      <c r="G1932" s="484">
        <v>0</v>
      </c>
      <c r="H1932" s="691" t="str">
        <f>IF(G1932=0,"",IF(F1932="Buy",IF(G1932=1,"plant","plants"),IF(F1932&gt;0.01,"warranty","Error")))</f>
        <v/>
      </c>
      <c r="I1932" s="640">
        <f>IF(H1932="free",0,IF(H1932="credit",((E1932*(F1932))*G1932*-1),IF(F1932="Buy",(E1932*G1932),((E1932*(1-F1932))*G1932))))</f>
        <v>0</v>
      </c>
      <c r="J1932" s="640">
        <f>IF(H1932="warranty",0,(I1932*(_xlfn.SINGLE(SalesTaxPercentage))))</f>
        <v>0</v>
      </c>
      <c r="K1932" s="716">
        <f t="shared" ref="K1932" si="1369">I1932+J1932</f>
        <v>0</v>
      </c>
      <c r="L1932" s="716"/>
      <c r="M1932" s="689" t="str">
        <f ca="1">IF(AND(G1932&gt;0,E1932=0),"WARNING - no PRICE inserted",IF(H1932="free","FREE ~ no charge this plant",IF(H1932="credit",CONCATENATE("-$",ROUND(K1932*(1-_xlfn.SINGLE(T2GDiscount))*-1,2)," CREDIT after discount"),IF(_xlfn.SINGLE(T2GDiscount)=0,"",IF(G1932=0,"",IF(F1932="Buy",CONCATENATE("$",ROUND(K1932*(1-_xlfn.SINGLE(T2GDiscount)),2)," with ",(_xlfn.SINGLE(T2GDiscount)*100),"% discount"),CONCATENATE("$",ROUND(K1932*(1-_xlfn.SINGLE(T2GDiscount)),2)," with ",((_xlfn.SINGLE(T2GDiscount)*100+F1932*100)-(_xlfn.SINGLE(T2GDiscount)*100*F1932)),IF(F1932&gt;0,"% discounts",IF(_xlfn.SINGLE(NoWarrantyDiscount)&gt;0,"% discounts","% discount")))))))))</f>
        <v/>
      </c>
      <c r="N1932" s="690"/>
      <c r="O1932" s="486"/>
      <c r="P1932" s="486"/>
      <c r="Q1932" s="486"/>
      <c r="R1932" s="486"/>
      <c r="S1932" s="486"/>
      <c r="T1932" s="102">
        <f t="shared" si="1332"/>
        <v>0</v>
      </c>
      <c r="U1932" s="78">
        <f>IF(NOT(ISNUMBER(G1932)), "", VLOOKUP(A1932,'Discount Lookup'!D:E,2,FALSE)*G1932)</f>
        <v>0</v>
      </c>
      <c r="V1932" s="78">
        <f>IF(NOT(ISNUMBER(G1932)), "", VLOOKUP(A1932,'Discount Lookup'!G:H,2,FALSE)*G1932)</f>
        <v>0</v>
      </c>
      <c r="W1932" s="102">
        <f t="shared" si="1333"/>
        <v>0</v>
      </c>
      <c r="X1932" s="102">
        <f t="shared" si="1334"/>
        <v>0</v>
      </c>
      <c r="Y1932" s="120" t="b">
        <f t="shared" si="1335"/>
        <v>0</v>
      </c>
      <c r="Z1932" s="117">
        <f t="shared" si="1336"/>
        <v>0</v>
      </c>
      <c r="AA1932" s="118"/>
      <c r="AB1932" s="118" t="str">
        <f t="shared" si="1337"/>
        <v/>
      </c>
      <c r="AC1932" s="712" t="str">
        <f>IF(AE1932="T2G","no charge",IF(AND(OR(PlanterYesMe="No",PlanterYesMe="N",PlanterYesMe="me"),H1932=""),"",IF(H1932="credit","NO install",IF(AND(K1932="",AE1932="me"),"EACH row",IF(AND(K1932="images",AE1932="me"),"EACH row",IF(D1932="","",IF(H1932="credit","",IF(AE1932="free","re-planting",IF(AE1932="me","   not ELP, by",IF(AND(OR(PlanterYesMe="Yes",PlanterYesMe="Y"),G1932&gt;0),(VLOOKUP(A1932,'Discount Lookup'!J:K,2)*G1932*(1-PlanterDiscount)*(1+PlanterDifficultyPercentage)),IF(AE1932="ELP",(VLOOKUP(A1932,'Discount Lookup'!J:K,2)*G1932*(1-PlanterDiscount)*(1+PlanterDifficultyPercentage)),IF(AE1932="free","re-planting",IF(G1932=0,"",IF(PlanterYesMe="",IF(AE1932="me","   not ELP, by",IF(AE1932="",IF(G1932&gt;0,(VLOOKUP(A1932,'Discount Lookup'!J:K,2)*G1932*(1-PlanterDiscount)*(1+PlanterDifficultyPercentage)),""),"")),"   not ELP, by"))))))))))))))</f>
        <v/>
      </c>
      <c r="AD1932" s="712"/>
      <c r="AE1932" s="513" t="str">
        <f t="shared" si="1338"/>
        <v/>
      </c>
      <c r="AF1932" s="713" t="str">
        <f t="shared" si="1339"/>
        <v/>
      </c>
      <c r="AG1932" s="713"/>
      <c r="AH1932" s="713"/>
      <c r="AI1932" s="112">
        <f>IF(H1932="credit",0,IF(AE1932="free",0,IF(AE1932="me",0,IF(G1932&gt;0,(VLOOKUP(A1932,'Discount Lookup'!J:K,2)*G1932),0))))</f>
        <v>0</v>
      </c>
      <c r="AJ1932" s="107" t="str">
        <f t="shared" ca="1" si="1340"/>
        <v/>
      </c>
      <c r="AK1932" s="714" t="str">
        <f t="shared" si="1341"/>
        <v/>
      </c>
      <c r="AL1932" s="714"/>
      <c r="AM1932" s="114" t="str">
        <f t="shared" si="1342"/>
        <v/>
      </c>
      <c r="AN1932" s="115"/>
      <c r="AO1932" s="116"/>
      <c r="AP1932" s="116"/>
      <c r="AQ1932" s="116"/>
      <c r="AR1932" s="116"/>
      <c r="AS1932" s="116"/>
      <c r="AT1932" s="116"/>
      <c r="AU1932" s="116"/>
      <c r="AV1932" s="78"/>
      <c r="AW1932" s="102"/>
      <c r="AX1932" s="78"/>
      <c r="AY1932" s="78"/>
      <c r="AZ1932" s="78"/>
      <c r="BA1932" s="78"/>
      <c r="BB1932" s="78"/>
      <c r="BC1932" s="78"/>
      <c r="BD1932" s="78"/>
      <c r="BE1932" s="465"/>
      <c r="BF1932" s="165" t="str">
        <f t="shared" si="1343"/>
        <v>https://www.google.com/search?tbm=isch&amp;q=3%20G2</v>
      </c>
      <c r="BG1932" s="165" t="str">
        <f t="shared" si="1344"/>
        <v>H</v>
      </c>
      <c r="BH1932" s="65"/>
      <c r="BI1932" s="65"/>
      <c r="BJ1932" s="65"/>
      <c r="BK1932" s="65"/>
      <c r="BL1932" s="99"/>
      <c r="BM1932" s="99"/>
      <c r="BN1932" s="99"/>
    </row>
    <row r="1933" spans="1:66" s="51" customFormat="1" ht="17.25" thickBot="1" x14ac:dyDescent="0.3">
      <c r="A1933" s="704" t="s">
        <v>5431</v>
      </c>
      <c r="B1933" s="642"/>
      <c r="C1933" s="710"/>
      <c r="D1933" s="643"/>
      <c r="E1933" s="643"/>
      <c r="F1933" s="644"/>
      <c r="G1933" s="645"/>
      <c r="H1933" s="646"/>
      <c r="I1933" s="647"/>
      <c r="J1933" s="648"/>
      <c r="K1933" s="649"/>
      <c r="L1933" s="650"/>
      <c r="M1933" s="650"/>
      <c r="N1933" s="644"/>
      <c r="O1933" s="644"/>
      <c r="P1933" s="644"/>
      <c r="Q1933" s="644"/>
      <c r="R1933" s="644"/>
      <c r="S1933" s="651"/>
      <c r="T1933" s="102">
        <f t="shared" si="1332"/>
        <v>0</v>
      </c>
      <c r="U1933" s="78" t="str">
        <f>IF(NOT(ISNUMBER(G1933)), "", VLOOKUP(A1933,'Discount Lookup'!D:E,2,FALSE)*G1933)</f>
        <v/>
      </c>
      <c r="V1933" s="78" t="str">
        <f>IF(NOT(ISNUMBER(G1933)), "", VLOOKUP(A1933,'Discount Lookup'!G:H,2,FALSE)*G1933)</f>
        <v/>
      </c>
      <c r="W1933" s="102">
        <f t="shared" si="1333"/>
        <v>0</v>
      </c>
      <c r="X1933" s="102">
        <f t="shared" si="1334"/>
        <v>0</v>
      </c>
      <c r="Y1933" s="120" t="b">
        <f t="shared" si="1335"/>
        <v>0</v>
      </c>
      <c r="Z1933" s="117">
        <f t="shared" si="1336"/>
        <v>0</v>
      </c>
      <c r="AA1933" s="118"/>
      <c r="AB1933" s="118" t="str">
        <f t="shared" si="1337"/>
        <v/>
      </c>
      <c r="AC1933" s="712" t="str">
        <f>IF(AE1933="T2G","no charge",IF(AND(OR(PlanterYesMe="No",PlanterYesMe="N",PlanterYesMe="me"),H1933=""),"",IF(H1933="credit","NO install",IF(AND(K1933="",AE1933="me"),"EACH row",IF(AND(K1933="images",AE1933="me"),"EACH row",IF(D1933="","",IF(H1933="credit","",IF(AE1933="free","re-planting",IF(AE1933="me","   not ELP, by",IF(AND(OR(PlanterYesMe="Yes",PlanterYesMe="Y"),G1933&gt;0),(VLOOKUP(A1933,'Discount Lookup'!J:K,2)*G1933*(1-PlanterDiscount)*(1+PlanterDifficultyPercentage)),IF(AE1933="ELP",(VLOOKUP(A1933,'Discount Lookup'!J:K,2)*G1933*(1-PlanterDiscount)*(1+PlanterDifficultyPercentage)),IF(AE1933="free","re-planting",IF(G1933=0,"",IF(PlanterYesMe="",IF(AE1933="me","   not ELP, by",IF(AE1933="",IF(G1933&gt;0,(VLOOKUP(A1933,'Discount Lookup'!J:K,2)*G1933*(1-PlanterDiscount)*(1+PlanterDifficultyPercentage)),""),"")),"   not ELP, by"))))))))))))))</f>
        <v/>
      </c>
      <c r="AD1933" s="712"/>
      <c r="AE1933" s="513" t="str">
        <f t="shared" si="1338"/>
        <v/>
      </c>
      <c r="AF1933" s="713" t="str">
        <f t="shared" si="1339"/>
        <v/>
      </c>
      <c r="AG1933" s="713"/>
      <c r="AH1933" s="713"/>
      <c r="AI1933" s="112">
        <f>IF(H1933="credit",0,IF(AE1933="free",0,IF(AE1933="me",0,IF(G1933&gt;0,(VLOOKUP(A1933,'Discount Lookup'!J:K,2)*G1933),0))))</f>
        <v>0</v>
      </c>
      <c r="AJ1933" s="107" t="str">
        <f t="shared" ca="1" si="1340"/>
        <v/>
      </c>
      <c r="AK1933" s="714" t="str">
        <f t="shared" si="1341"/>
        <v/>
      </c>
      <c r="AL1933" s="714"/>
      <c r="AM1933" s="114" t="str">
        <f t="shared" si="1342"/>
        <v/>
      </c>
      <c r="AN1933" s="115"/>
      <c r="AO1933" s="116"/>
      <c r="AP1933" s="116"/>
      <c r="AQ1933" s="116"/>
      <c r="AR1933" s="116"/>
      <c r="AS1933" s="116"/>
      <c r="AT1933" s="116"/>
      <c r="AU1933" s="116"/>
      <c r="AV1933" s="78"/>
      <c r="AW1933" s="102"/>
      <c r="AX1933" s="78"/>
      <c r="AY1933" s="78"/>
      <c r="AZ1933" s="78"/>
      <c r="BA1933" s="78"/>
      <c r="BB1933" s="78"/>
      <c r="BC1933" s="78"/>
      <c r="BD1933" s="78"/>
      <c r="BE1933" s="465"/>
      <c r="BF1933" s="165" t="str">
        <f t="shared" si="1343"/>
        <v>https://www.google.com/search?tbm=isch&amp;q=moist%20sites%F0%9F%92%A7GOOD%2C%20Endless%20Summer%20has%20Green%20foliage.%20Most%20%22Bigleaf%22%20Hydrangea%20have%20snowball%20flowers%20on%20old%20wood.%20Acidic%20soil%20for%20Blue%2C%20Alkaline%20for%20Pink%20</v>
      </c>
      <c r="BG1933" s="165" t="str">
        <f t="shared" si="1344"/>
        <v>m</v>
      </c>
      <c r="BH1933" s="65"/>
      <c r="BI1933" s="65"/>
      <c r="BJ1933" s="65"/>
      <c r="BK1933" s="65"/>
      <c r="BL1933" s="99"/>
      <c r="BM1933" s="99"/>
      <c r="BN1933" s="99"/>
    </row>
    <row r="1934" spans="1:66" s="51" customFormat="1" ht="18" x14ac:dyDescent="0.25">
      <c r="A1934" s="623" t="s">
        <v>2778</v>
      </c>
      <c r="B1934" s="624"/>
      <c r="C1934" s="709"/>
      <c r="D1934" s="625" t="s">
        <v>2779</v>
      </c>
      <c r="E1934" s="626"/>
      <c r="F1934" s="626"/>
      <c r="G1934" s="626"/>
      <c r="H1934" s="622" t="s">
        <v>1642</v>
      </c>
      <c r="I1934" s="627" t="s">
        <v>2229</v>
      </c>
      <c r="J1934" s="628"/>
      <c r="K1934" s="628"/>
      <c r="L1934" s="629"/>
      <c r="M1934" s="702" t="s">
        <v>5252</v>
      </c>
      <c r="N1934" s="693" t="str">
        <f>IF(AND(ISTEXT($A1934), ISERROR($A1934+0)), HYPERLINK($BF1934, "Images"), "")</f>
        <v>Images</v>
      </c>
      <c r="O1934" s="695" t="s">
        <v>5264</v>
      </c>
      <c r="P1934" s="630"/>
      <c r="Q1934" s="631"/>
      <c r="R1934" s="632"/>
      <c r="S1934" s="633"/>
      <c r="T1934" s="102">
        <f t="shared" si="1332"/>
        <v>0</v>
      </c>
      <c r="U1934" s="78" t="str">
        <f>IF(NOT(ISNUMBER(G1934)), "", VLOOKUP(A1934,'Discount Lookup'!D:E,2,FALSE)*G1934)</f>
        <v/>
      </c>
      <c r="V1934" s="78" t="str">
        <f>IF(NOT(ISNUMBER(G1934)), "", VLOOKUP(A1934,'Discount Lookup'!G:H,2,FALSE)*G1934)</f>
        <v/>
      </c>
      <c r="W1934" s="102">
        <f t="shared" si="1333"/>
        <v>0</v>
      </c>
      <c r="X1934" s="102" t="str">
        <f t="shared" si="1334"/>
        <v>Pure White bloom</v>
      </c>
      <c r="Y1934" s="120" t="b">
        <f t="shared" si="1335"/>
        <v>0</v>
      </c>
      <c r="Z1934" s="117">
        <f t="shared" si="1336"/>
        <v>0</v>
      </c>
      <c r="AA1934" s="118"/>
      <c r="AB1934" s="118" t="str">
        <f t="shared" si="1337"/>
        <v/>
      </c>
      <c r="AC1934" s="712" t="str">
        <f>IF(AE1934="T2G","no charge",IF(AND(OR(PlanterYesMe="No",PlanterYesMe="N",PlanterYesMe="me"),H1934=""),"",IF(H1934="credit","NO install",IF(AND(K1934="",AE1934="me"),"EACH row",IF(AND(K1934="images",AE1934="me"),"EACH row",IF(D1934="","",IF(H1934="credit","",IF(AE1934="free","re-planting",IF(AE1934="me","   not ELP, by",IF(AND(OR(PlanterYesMe="Yes",PlanterYesMe="Y"),G1934&gt;0),(VLOOKUP(A1934,'Discount Lookup'!J:K,2)*G1934*(1-PlanterDiscount)*(1+PlanterDifficultyPercentage)),IF(AE1934="ELP",(VLOOKUP(A1934,'Discount Lookup'!J:K,2)*G1934*(1-PlanterDiscount)*(1+PlanterDifficultyPercentage)),IF(AE1934="free","re-planting",IF(G1934=0,"",IF(PlanterYesMe="",IF(AE1934="me","   not ELP, by",IF(AE1934="",IF(G1934&gt;0,(VLOOKUP(A1934,'Discount Lookup'!J:K,2)*G1934*(1-PlanterDiscount)*(1+PlanterDifficultyPercentage)),""),"")),"   not ELP, by"))))))))))))))</f>
        <v/>
      </c>
      <c r="AD1934" s="712"/>
      <c r="AE1934" s="513" t="str">
        <f t="shared" si="1338"/>
        <v/>
      </c>
      <c r="AF1934" s="713" t="str">
        <f t="shared" si="1339"/>
        <v/>
      </c>
      <c r="AG1934" s="713"/>
      <c r="AH1934" s="713"/>
      <c r="AI1934" s="112">
        <f>IF(H1934="credit",0,IF(AE1934="free",0,IF(AE1934="me",0,IF(G1934&gt;0,(VLOOKUP(A1934,'Discount Lookup'!J:K,2)*G1934),0))))</f>
        <v>0</v>
      </c>
      <c r="AJ1934" s="107" t="str">
        <f t="shared" ca="1" si="1340"/>
        <v/>
      </c>
      <c r="AK1934" s="714" t="str">
        <f t="shared" si="1341"/>
        <v/>
      </c>
      <c r="AL1934" s="714"/>
      <c r="AM1934" s="114" t="str">
        <f t="shared" si="1342"/>
        <v/>
      </c>
      <c r="AN1934" s="115"/>
      <c r="AO1934" s="116"/>
      <c r="AP1934" s="116"/>
      <c r="AQ1934" s="116"/>
      <c r="AR1934" s="116"/>
      <c r="AS1934" s="116"/>
      <c r="AT1934" s="116"/>
      <c r="AU1934" s="116"/>
      <c r="AV1934" s="78"/>
      <c r="AW1934" s="102"/>
      <c r="AX1934" s="78"/>
      <c r="AY1934" s="78"/>
      <c r="AZ1934" s="78"/>
      <c r="BA1934" s="78"/>
      <c r="BB1934" s="78"/>
      <c r="BC1934" s="78"/>
      <c r="BD1934" s="78"/>
      <c r="BE1934" s="465"/>
      <c r="BF1934" s="165" t="str">
        <f t="shared" si="1343"/>
        <v>https://www.google.com/search?tbm=isch&amp;q=Hyd.%20macrophylla%20%27Dancing%20Snow%27%20PP%2321052%20Wedding%20Gown%20Bigleaf%20Hydrangea</v>
      </c>
      <c r="BG1934" s="165" t="str">
        <f t="shared" si="1344"/>
        <v>H</v>
      </c>
      <c r="BH1934" s="65"/>
      <c r="BI1934" s="65"/>
      <c r="BJ1934" s="65"/>
      <c r="BK1934" s="65"/>
      <c r="BL1934" s="99"/>
      <c r="BM1934" s="99"/>
      <c r="BN1934" s="99"/>
    </row>
    <row r="1935" spans="1:66" s="51" customFormat="1" ht="15.75" x14ac:dyDescent="0.25">
      <c r="A1935" s="634">
        <v>3</v>
      </c>
      <c r="B1935" s="635" t="s">
        <v>291</v>
      </c>
      <c r="C1935" s="636" t="s">
        <v>1871</v>
      </c>
      <c r="D1935" s="637" t="s">
        <v>310</v>
      </c>
      <c r="E1935" s="638">
        <v>32.950000000000003</v>
      </c>
      <c r="F1935" s="639" t="s">
        <v>292</v>
      </c>
      <c r="G1935" s="484">
        <v>0</v>
      </c>
      <c r="H1935" s="691" t="str">
        <f>IF(G1935=0,"",IF(F1935="Buy",IF(G1935=1,"plant","plants"),IF(F1935&gt;0.01,"warranty","Error")))</f>
        <v/>
      </c>
      <c r="I1935" s="640">
        <f>IF(H1935="free",0,IF(H1935="credit",((E1935*(F1935))*G1935*-1),IF(F1935="Buy",(E1935*G1935),((E1935*(1-F1935))*G1935))))</f>
        <v>0</v>
      </c>
      <c r="J1935" s="640">
        <f>IF(H1935="warranty",0,(I1935*(_xlfn.SINGLE(SalesTaxPercentage))))</f>
        <v>0</v>
      </c>
      <c r="K1935" s="716">
        <f t="shared" ref="K1935" si="1370">I1935+J1935</f>
        <v>0</v>
      </c>
      <c r="L1935" s="716"/>
      <c r="M1935" s="689" t="str">
        <f ca="1">IF(AND(G1935&gt;0,E1935=0),"WARNING - no PRICE inserted",IF(H1935="free","FREE ~ no charge this plant",IF(H1935="credit",CONCATENATE("-$",ROUND(K1935*(1-_xlfn.SINGLE(T2GDiscount))*-1,2)," CREDIT after discount"),IF(_xlfn.SINGLE(T2GDiscount)=0,"",IF(G1935=0,"",IF(F1935="Buy",CONCATENATE("$",ROUND(K1935*(1-_xlfn.SINGLE(T2GDiscount)),2)," with ",(_xlfn.SINGLE(T2GDiscount)*100),"% discount"),CONCATENATE("$",ROUND(K1935*(1-_xlfn.SINGLE(T2GDiscount)),2)," with ",((_xlfn.SINGLE(T2GDiscount)*100+F1935*100)-(_xlfn.SINGLE(T2GDiscount)*100*F1935)),IF(F1935&gt;0,"% discounts",IF(_xlfn.SINGLE(NoWarrantyDiscount)&gt;0,"% discounts","% discount")))))))))</f>
        <v/>
      </c>
      <c r="N1935" s="690"/>
      <c r="O1935" s="486"/>
      <c r="P1935" s="486"/>
      <c r="Q1935" s="486"/>
      <c r="R1935" s="486"/>
      <c r="S1935" s="486"/>
      <c r="T1935" s="102">
        <f t="shared" si="1332"/>
        <v>0</v>
      </c>
      <c r="U1935" s="78">
        <f>IF(NOT(ISNUMBER(G1935)), "", VLOOKUP(A1935,'Discount Lookup'!D:E,2,FALSE)*G1935)</f>
        <v>0</v>
      </c>
      <c r="V1935" s="78">
        <f>IF(NOT(ISNUMBER(G1935)), "", VLOOKUP(A1935,'Discount Lookup'!G:H,2,FALSE)*G1935)</f>
        <v>0</v>
      </c>
      <c r="W1935" s="102">
        <f t="shared" si="1333"/>
        <v>0</v>
      </c>
      <c r="X1935" s="102">
        <f t="shared" si="1334"/>
        <v>0</v>
      </c>
      <c r="Y1935" s="120" t="b">
        <f t="shared" si="1335"/>
        <v>0</v>
      </c>
      <c r="Z1935" s="117">
        <f t="shared" si="1336"/>
        <v>0</v>
      </c>
      <c r="AA1935" s="118"/>
      <c r="AB1935" s="118" t="str">
        <f t="shared" si="1337"/>
        <v/>
      </c>
      <c r="AC1935" s="712" t="str">
        <f>IF(AE1935="T2G","no charge",IF(AND(OR(PlanterYesMe="No",PlanterYesMe="N",PlanterYesMe="me"),H1935=""),"",IF(H1935="credit","NO install",IF(AND(K1935="",AE1935="me"),"EACH row",IF(AND(K1935="images",AE1935="me"),"EACH row",IF(D1935="","",IF(H1935="credit","",IF(AE1935="free","re-planting",IF(AE1935="me","   not ELP, by",IF(AND(OR(PlanterYesMe="Yes",PlanterYesMe="Y"),G1935&gt;0),(VLOOKUP(A1935,'Discount Lookup'!J:K,2)*G1935*(1-PlanterDiscount)*(1+PlanterDifficultyPercentage)),IF(AE1935="ELP",(VLOOKUP(A1935,'Discount Lookup'!J:K,2)*G1935*(1-PlanterDiscount)*(1+PlanterDifficultyPercentage)),IF(AE1935="free","re-planting",IF(G1935=0,"",IF(PlanterYesMe="",IF(AE1935="me","   not ELP, by",IF(AE1935="",IF(G1935&gt;0,(VLOOKUP(A1935,'Discount Lookup'!J:K,2)*G1935*(1-PlanterDiscount)*(1+PlanterDifficultyPercentage)),""),"")),"   not ELP, by"))))))))))))))</f>
        <v/>
      </c>
      <c r="AD1935" s="712"/>
      <c r="AE1935" s="513" t="str">
        <f t="shared" si="1338"/>
        <v/>
      </c>
      <c r="AF1935" s="713" t="str">
        <f t="shared" si="1339"/>
        <v/>
      </c>
      <c r="AG1935" s="713"/>
      <c r="AH1935" s="713"/>
      <c r="AI1935" s="112">
        <f>IF(H1935="credit",0,IF(AE1935="free",0,IF(AE1935="me",0,IF(G1935&gt;0,(VLOOKUP(A1935,'Discount Lookup'!J:K,2)*G1935),0))))</f>
        <v>0</v>
      </c>
      <c r="AJ1935" s="107" t="str">
        <f t="shared" ca="1" si="1340"/>
        <v/>
      </c>
      <c r="AK1935" s="714" t="str">
        <f t="shared" si="1341"/>
        <v/>
      </c>
      <c r="AL1935" s="714"/>
      <c r="AM1935" s="114" t="str">
        <f t="shared" si="1342"/>
        <v/>
      </c>
      <c r="AN1935" s="115"/>
      <c r="AO1935" s="116"/>
      <c r="AP1935" s="116"/>
      <c r="AQ1935" s="116"/>
      <c r="AR1935" s="116"/>
      <c r="AS1935" s="116"/>
      <c r="AT1935" s="116"/>
      <c r="AU1935" s="116"/>
      <c r="AV1935" s="78"/>
      <c r="AW1935" s="102"/>
      <c r="AX1935" s="78"/>
      <c r="AY1935" s="78"/>
      <c r="AZ1935" s="78"/>
      <c r="BA1935" s="78"/>
      <c r="BB1935" s="78"/>
      <c r="BC1935" s="78"/>
      <c r="BD1935" s="78"/>
      <c r="BE1935" s="465"/>
      <c r="BF1935" s="165" t="str">
        <f t="shared" si="1343"/>
        <v>https://www.google.com/search?tbm=isch&amp;q=3%20G1</v>
      </c>
      <c r="BG1935" s="165" t="str">
        <f t="shared" si="1344"/>
        <v>H</v>
      </c>
      <c r="BH1935" s="65"/>
      <c r="BI1935" s="65"/>
      <c r="BJ1935" s="65"/>
      <c r="BK1935" s="65"/>
      <c r="BL1935" s="99"/>
      <c r="BM1935" s="99"/>
      <c r="BN1935" s="99"/>
    </row>
    <row r="1936" spans="1:66" s="51" customFormat="1" ht="15.75" x14ac:dyDescent="0.25">
      <c r="A1936" s="634">
        <v>3</v>
      </c>
      <c r="B1936" s="635" t="s">
        <v>291</v>
      </c>
      <c r="C1936" s="636"/>
      <c r="D1936" s="637" t="s">
        <v>309</v>
      </c>
      <c r="E1936" s="638">
        <v>32.950000000000003</v>
      </c>
      <c r="F1936" s="639" t="s">
        <v>292</v>
      </c>
      <c r="G1936" s="484">
        <v>0</v>
      </c>
      <c r="H1936" s="691" t="str">
        <f>IF(G1936=0,"",IF(F1936="Buy",IF(G1936=1,"plant","plants"),IF(F1936&gt;0.01,"warranty","Error")))</f>
        <v/>
      </c>
      <c r="I1936" s="640">
        <f>IF(H1936="free",0,IF(H1936="credit",((E1936*(F1936))*G1936*-1),IF(F1936="Buy",(E1936*G1936),((E1936*(1-F1936))*G1936))))</f>
        <v>0</v>
      </c>
      <c r="J1936" s="640">
        <f>IF(H1936="warranty",0,(I1936*(_xlfn.SINGLE(SalesTaxPercentage))))</f>
        <v>0</v>
      </c>
      <c r="K1936" s="716">
        <f t="shared" ref="K1936" si="1371">I1936+J1936</f>
        <v>0</v>
      </c>
      <c r="L1936" s="716"/>
      <c r="M1936" s="689" t="str">
        <f ca="1">IF(AND(G1936&gt;0,E1936=0),"WARNING - no PRICE inserted",IF(H1936="free","FREE ~ no charge this plant",IF(H1936="credit",CONCATENATE("-$",ROUND(K1936*(1-_xlfn.SINGLE(T2GDiscount))*-1,2)," CREDIT after discount"),IF(_xlfn.SINGLE(T2GDiscount)=0,"",IF(G1936=0,"",IF(F1936="Buy",CONCATENATE("$",ROUND(K1936*(1-_xlfn.SINGLE(T2GDiscount)),2)," with ",(_xlfn.SINGLE(T2GDiscount)*100),"% discount"),CONCATENATE("$",ROUND(K1936*(1-_xlfn.SINGLE(T2GDiscount)),2)," with ",((_xlfn.SINGLE(T2GDiscount)*100+F1936*100)-(_xlfn.SINGLE(T2GDiscount)*100*F1936)),IF(F1936&gt;0,"% discounts",IF(_xlfn.SINGLE(NoWarrantyDiscount)&gt;0,"% discounts","% discount")))))))))</f>
        <v/>
      </c>
      <c r="N1936" s="690"/>
      <c r="O1936" s="486"/>
      <c r="P1936" s="486"/>
      <c r="Q1936" s="486"/>
      <c r="R1936" s="486"/>
      <c r="S1936" s="486"/>
      <c r="T1936" s="102">
        <f t="shared" si="1332"/>
        <v>0</v>
      </c>
      <c r="U1936" s="78">
        <f>IF(NOT(ISNUMBER(G1936)), "", VLOOKUP(A1936,'Discount Lookup'!D:E,2,FALSE)*G1936)</f>
        <v>0</v>
      </c>
      <c r="V1936" s="78">
        <f>IF(NOT(ISNUMBER(G1936)), "", VLOOKUP(A1936,'Discount Lookup'!G:H,2,FALSE)*G1936)</f>
        <v>0</v>
      </c>
      <c r="W1936" s="102">
        <f t="shared" si="1333"/>
        <v>0</v>
      </c>
      <c r="X1936" s="102">
        <f t="shared" si="1334"/>
        <v>0</v>
      </c>
      <c r="Y1936" s="120" t="b">
        <f t="shared" si="1335"/>
        <v>0</v>
      </c>
      <c r="Z1936" s="117">
        <f t="shared" si="1336"/>
        <v>0</v>
      </c>
      <c r="AA1936" s="118"/>
      <c r="AB1936" s="118" t="str">
        <f t="shared" si="1337"/>
        <v/>
      </c>
      <c r="AC1936" s="712" t="str">
        <f>IF(AE1936="T2G","no charge",IF(AND(OR(PlanterYesMe="No",PlanterYesMe="N",PlanterYesMe="me"),H1936=""),"",IF(H1936="credit","NO install",IF(AND(K1936="",AE1936="me"),"EACH row",IF(AND(K1936="images",AE1936="me"),"EACH row",IF(D1936="","",IF(H1936="credit","",IF(AE1936="free","re-planting",IF(AE1936="me","   not ELP, by",IF(AND(OR(PlanterYesMe="Yes",PlanterYesMe="Y"),G1936&gt;0),(VLOOKUP(A1936,'Discount Lookup'!J:K,2)*G1936*(1-PlanterDiscount)*(1+PlanterDifficultyPercentage)),IF(AE1936="ELP",(VLOOKUP(A1936,'Discount Lookup'!J:K,2)*G1936*(1-PlanterDiscount)*(1+PlanterDifficultyPercentage)),IF(AE1936="free","re-planting",IF(G1936=0,"",IF(PlanterYesMe="",IF(AE1936="me","   not ELP, by",IF(AE1936="",IF(G1936&gt;0,(VLOOKUP(A1936,'Discount Lookup'!J:K,2)*G1936*(1-PlanterDiscount)*(1+PlanterDifficultyPercentage)),""),"")),"   not ELP, by"))))))))))))))</f>
        <v/>
      </c>
      <c r="AD1936" s="712"/>
      <c r="AE1936" s="513" t="str">
        <f t="shared" si="1338"/>
        <v/>
      </c>
      <c r="AF1936" s="713" t="str">
        <f t="shared" si="1339"/>
        <v/>
      </c>
      <c r="AG1936" s="713"/>
      <c r="AH1936" s="713"/>
      <c r="AI1936" s="112">
        <f>IF(H1936="credit",0,IF(AE1936="free",0,IF(AE1936="me",0,IF(G1936&gt;0,(VLOOKUP(A1936,'Discount Lookup'!J:K,2)*G1936),0))))</f>
        <v>0</v>
      </c>
      <c r="AJ1936" s="107" t="str">
        <f t="shared" ca="1" si="1340"/>
        <v/>
      </c>
      <c r="AK1936" s="714" t="str">
        <f t="shared" si="1341"/>
        <v/>
      </c>
      <c r="AL1936" s="714"/>
      <c r="AM1936" s="114" t="str">
        <f t="shared" si="1342"/>
        <v/>
      </c>
      <c r="AN1936" s="115"/>
      <c r="AO1936" s="116"/>
      <c r="AP1936" s="116"/>
      <c r="AQ1936" s="116"/>
      <c r="AR1936" s="116"/>
      <c r="AS1936" s="116"/>
      <c r="AT1936" s="116"/>
      <c r="AU1936" s="116"/>
      <c r="AV1936" s="78"/>
      <c r="AW1936" s="102"/>
      <c r="AX1936" s="78"/>
      <c r="AY1936" s="78"/>
      <c r="AZ1936" s="78"/>
      <c r="BA1936" s="78"/>
      <c r="BB1936" s="78"/>
      <c r="BC1936" s="78"/>
      <c r="BD1936" s="78"/>
      <c r="BE1936" s="465"/>
      <c r="BF1936" s="165" t="str">
        <f t="shared" si="1343"/>
        <v>https://www.google.com/search?tbm=isch&amp;q=3%20G3</v>
      </c>
      <c r="BG1936" s="165" t="str">
        <f t="shared" si="1344"/>
        <v>H</v>
      </c>
      <c r="BH1936" s="65"/>
      <c r="BI1936" s="65"/>
      <c r="BJ1936" s="65"/>
      <c r="BK1936" s="65"/>
      <c r="BL1936" s="99"/>
      <c r="BM1936" s="99"/>
      <c r="BN1936" s="99"/>
    </row>
    <row r="1937" spans="1:66" s="51" customFormat="1" ht="17.25" thickBot="1" x14ac:dyDescent="0.3">
      <c r="A1937" s="704" t="s">
        <v>5432</v>
      </c>
      <c r="B1937" s="642"/>
      <c r="C1937" s="710"/>
      <c r="D1937" s="643"/>
      <c r="E1937" s="643"/>
      <c r="F1937" s="644"/>
      <c r="G1937" s="645"/>
      <c r="H1937" s="646"/>
      <c r="I1937" s="647"/>
      <c r="J1937" s="648"/>
      <c r="K1937" s="649"/>
      <c r="L1937" s="650"/>
      <c r="M1937" s="650"/>
      <c r="N1937" s="644"/>
      <c r="O1937" s="644"/>
      <c r="P1937" s="644"/>
      <c r="Q1937" s="644"/>
      <c r="R1937" s="644"/>
      <c r="S1937" s="651"/>
      <c r="T1937" s="102">
        <f t="shared" si="1332"/>
        <v>0</v>
      </c>
      <c r="U1937" s="78" t="str">
        <f>IF(NOT(ISNUMBER(G1937)), "", VLOOKUP(A1937,'Discount Lookup'!D:E,2,FALSE)*G1937)</f>
        <v/>
      </c>
      <c r="V1937" s="78" t="str">
        <f>IF(NOT(ISNUMBER(G1937)), "", VLOOKUP(A1937,'Discount Lookup'!G:H,2,FALSE)*G1937)</f>
        <v/>
      </c>
      <c r="W1937" s="102">
        <f t="shared" si="1333"/>
        <v>0</v>
      </c>
      <c r="X1937" s="102">
        <f t="shared" si="1334"/>
        <v>0</v>
      </c>
      <c r="Y1937" s="120" t="b">
        <f t="shared" si="1335"/>
        <v>0</v>
      </c>
      <c r="Z1937" s="117">
        <f t="shared" si="1336"/>
        <v>0</v>
      </c>
      <c r="AA1937" s="118"/>
      <c r="AB1937" s="118" t="str">
        <f t="shared" si="1337"/>
        <v/>
      </c>
      <c r="AC1937" s="712" t="str">
        <f>IF(AE1937="T2G","no charge",IF(AND(OR(PlanterYesMe="No",PlanterYesMe="N",PlanterYesMe="me"),H1937=""),"",IF(H1937="credit","NO install",IF(AND(K1937="",AE1937="me"),"EACH row",IF(AND(K1937="images",AE1937="me"),"EACH row",IF(D1937="","",IF(H1937="credit","",IF(AE1937="free","re-planting",IF(AE1937="me","   not ELP, by",IF(AND(OR(PlanterYesMe="Yes",PlanterYesMe="Y"),G1937&gt;0),(VLOOKUP(A1937,'Discount Lookup'!J:K,2)*G1937*(1-PlanterDiscount)*(1+PlanterDifficultyPercentage)),IF(AE1937="ELP",(VLOOKUP(A1937,'Discount Lookup'!J:K,2)*G1937*(1-PlanterDiscount)*(1+PlanterDifficultyPercentage)),IF(AE1937="free","re-planting",IF(G1937=0,"",IF(PlanterYesMe="",IF(AE1937="me","   not ELP, by",IF(AE1937="",IF(G1937&gt;0,(VLOOKUP(A1937,'Discount Lookup'!J:K,2)*G1937*(1-PlanterDiscount)*(1+PlanterDifficultyPercentage)),""),"")),"   not ELP, by"))))))))))))))</f>
        <v/>
      </c>
      <c r="AD1937" s="712"/>
      <c r="AE1937" s="513" t="str">
        <f t="shared" si="1338"/>
        <v/>
      </c>
      <c r="AF1937" s="713" t="str">
        <f t="shared" si="1339"/>
        <v/>
      </c>
      <c r="AG1937" s="713"/>
      <c r="AH1937" s="713"/>
      <c r="AI1937" s="112">
        <f>IF(H1937="credit",0,IF(AE1937="free",0,IF(AE1937="me",0,IF(G1937&gt;0,(VLOOKUP(A1937,'Discount Lookup'!J:K,2)*G1937),0))))</f>
        <v>0</v>
      </c>
      <c r="AJ1937" s="107" t="str">
        <f t="shared" ca="1" si="1340"/>
        <v/>
      </c>
      <c r="AK1937" s="714" t="str">
        <f t="shared" si="1341"/>
        <v/>
      </c>
      <c r="AL1937" s="714"/>
      <c r="AM1937" s="114" t="str">
        <f t="shared" si="1342"/>
        <v/>
      </c>
      <c r="AN1937" s="115"/>
      <c r="AO1937" s="116"/>
      <c r="AP1937" s="116"/>
      <c r="AQ1937" s="116"/>
      <c r="AR1937" s="116"/>
      <c r="AS1937" s="116"/>
      <c r="AT1937" s="116"/>
      <c r="AU1937" s="116"/>
      <c r="AV1937" s="78"/>
      <c r="AW1937" s="102"/>
      <c r="AX1937" s="78"/>
      <c r="AY1937" s="78"/>
      <c r="AZ1937" s="78"/>
      <c r="BA1937" s="78"/>
      <c r="BB1937" s="78"/>
      <c r="BC1937" s="78"/>
      <c r="BD1937" s="78"/>
      <c r="BE1937" s="465"/>
      <c r="BF1937" s="165" t="str">
        <f t="shared" si="1343"/>
        <v>https://www.google.com/search?tbm=isch&amp;q=moist%20sites%F0%9F%92%A7GOOD%2C%20Wedding%20Gown%20has%20Dark%20Green%20foliage.%20Bloom%20unaffected%20by%20soil%20pH.%20Most%20%22Bigleaf%22%20Hydrangea%20have%20snowball%20flowers%20on%20old%20wood%20</v>
      </c>
      <c r="BG1937" s="165" t="str">
        <f t="shared" si="1344"/>
        <v>m</v>
      </c>
      <c r="BH1937" s="65"/>
      <c r="BI1937" s="65"/>
      <c r="BJ1937" s="65"/>
      <c r="BK1937" s="65"/>
      <c r="BL1937" s="99"/>
      <c r="BM1937" s="99"/>
      <c r="BN1937" s="99"/>
    </row>
    <row r="1938" spans="1:66" s="51" customFormat="1" ht="18" x14ac:dyDescent="0.25">
      <c r="A1938" s="623" t="s">
        <v>2780</v>
      </c>
      <c r="B1938" s="624"/>
      <c r="C1938" s="709"/>
      <c r="D1938" s="625" t="s">
        <v>5681</v>
      </c>
      <c r="E1938" s="626"/>
      <c r="F1938" s="626"/>
      <c r="G1938" s="626"/>
      <c r="H1938" s="622" t="s">
        <v>1104</v>
      </c>
      <c r="I1938" s="627" t="s">
        <v>2781</v>
      </c>
      <c r="J1938" s="628"/>
      <c r="K1938" s="628"/>
      <c r="L1938" s="629"/>
      <c r="M1938" s="702" t="s">
        <v>5252</v>
      </c>
      <c r="N1938" s="693" t="str">
        <f>IF(AND(ISTEXT($A1938), ISERROR($A1938+0)), HYPERLINK($BF1938, "Images"), "")</f>
        <v>Images</v>
      </c>
      <c r="O1938" s="695" t="s">
        <v>5264</v>
      </c>
      <c r="P1938" s="630"/>
      <c r="Q1938" s="631"/>
      <c r="R1938" s="632"/>
      <c r="S1938" s="633"/>
      <c r="T1938" s="102">
        <f t="shared" si="1332"/>
        <v>0</v>
      </c>
      <c r="U1938" s="78" t="str">
        <f>IF(NOT(ISNUMBER(G1938)), "", VLOOKUP(A1938,'Discount Lookup'!D:E,2,FALSE)*G1938)</f>
        <v/>
      </c>
      <c r="V1938" s="78" t="str">
        <f>IF(NOT(ISNUMBER(G1938)), "", VLOOKUP(A1938,'Discount Lookup'!G:H,2,FALSE)*G1938)</f>
        <v/>
      </c>
      <c r="W1938" s="102">
        <f t="shared" si="1333"/>
        <v>0</v>
      </c>
      <c r="X1938" s="102" t="str">
        <f t="shared" si="1334"/>
        <v>Cherry-Red bloom ages to Purple</v>
      </c>
      <c r="Y1938" s="120" t="b">
        <f t="shared" si="1335"/>
        <v>0</v>
      </c>
      <c r="Z1938" s="117">
        <f t="shared" si="1336"/>
        <v>0</v>
      </c>
      <c r="AA1938" s="118"/>
      <c r="AB1938" s="118" t="str">
        <f t="shared" si="1337"/>
        <v/>
      </c>
      <c r="AC1938" s="712" t="str">
        <f>IF(AE1938="T2G","no charge",IF(AND(OR(PlanterYesMe="No",PlanterYesMe="N",PlanterYesMe="me"),H1938=""),"",IF(H1938="credit","NO install",IF(AND(K1938="",AE1938="me"),"EACH row",IF(AND(K1938="images",AE1938="me"),"EACH row",IF(D1938="","",IF(H1938="credit","",IF(AE1938="free","re-planting",IF(AE1938="me","   not ELP, by",IF(AND(OR(PlanterYesMe="Yes",PlanterYesMe="Y"),G1938&gt;0),(VLOOKUP(A1938,'Discount Lookup'!J:K,2)*G1938*(1-PlanterDiscount)*(1+PlanterDifficultyPercentage)),IF(AE1938="ELP",(VLOOKUP(A1938,'Discount Lookup'!J:K,2)*G1938*(1-PlanterDiscount)*(1+PlanterDifficultyPercentage)),IF(AE1938="free","re-planting",IF(G1938=0,"",IF(PlanterYesMe="",IF(AE1938="me","   not ELP, by",IF(AE1938="",IF(G1938&gt;0,(VLOOKUP(A1938,'Discount Lookup'!J:K,2)*G1938*(1-PlanterDiscount)*(1+PlanterDifficultyPercentage)),""),"")),"   not ELP, by"))))))))))))))</f>
        <v/>
      </c>
      <c r="AD1938" s="712"/>
      <c r="AE1938" s="513" t="str">
        <f t="shared" si="1338"/>
        <v/>
      </c>
      <c r="AF1938" s="713" t="str">
        <f t="shared" si="1339"/>
        <v/>
      </c>
      <c r="AG1938" s="713"/>
      <c r="AH1938" s="713"/>
      <c r="AI1938" s="112">
        <f>IF(H1938="credit",0,IF(AE1938="free",0,IF(AE1938="me",0,IF(G1938&gt;0,(VLOOKUP(A1938,'Discount Lookup'!J:K,2)*G1938),0))))</f>
        <v>0</v>
      </c>
      <c r="AJ1938" s="107" t="str">
        <f t="shared" ca="1" si="1340"/>
        <v/>
      </c>
      <c r="AK1938" s="714" t="str">
        <f t="shared" si="1341"/>
        <v/>
      </c>
      <c r="AL1938" s="714"/>
      <c r="AM1938" s="114" t="str">
        <f t="shared" si="1342"/>
        <v/>
      </c>
      <c r="AN1938" s="115"/>
      <c r="AO1938" s="116"/>
      <c r="AP1938" s="116"/>
      <c r="AQ1938" s="116"/>
      <c r="AR1938" s="116"/>
      <c r="AS1938" s="116"/>
      <c r="AT1938" s="116"/>
      <c r="AU1938" s="116"/>
      <c r="AV1938" s="78"/>
      <c r="AW1938" s="102"/>
      <c r="AX1938" s="78"/>
      <c r="AY1938" s="78"/>
      <c r="AZ1938" s="78"/>
      <c r="BA1938" s="78"/>
      <c r="BB1938" s="78"/>
      <c r="BC1938" s="78"/>
      <c r="BD1938" s="78"/>
      <c r="BE1938" s="465"/>
      <c r="BF1938" s="165" t="str">
        <f t="shared" si="1343"/>
        <v>https://www.google.com/search?tbm=isch&amp;q=Hyd.%20macrophylla%20%27Hokomaburlac%27%20PPAF%20Cherry-Go-Round%E2%84%A2%20Bigleaf%20Hydrangea</v>
      </c>
      <c r="BG1938" s="165" t="str">
        <f t="shared" si="1344"/>
        <v>H</v>
      </c>
      <c r="BH1938" s="65"/>
      <c r="BI1938" s="65"/>
      <c r="BJ1938" s="65"/>
      <c r="BK1938" s="65"/>
      <c r="BL1938" s="99"/>
      <c r="BM1938" s="99"/>
      <c r="BN1938" s="99"/>
    </row>
    <row r="1939" spans="1:66" s="51" customFormat="1" ht="15.75" x14ac:dyDescent="0.25">
      <c r="A1939" s="634">
        <v>1</v>
      </c>
      <c r="B1939" s="635" t="s">
        <v>291</v>
      </c>
      <c r="C1939" s="636"/>
      <c r="D1939" s="637" t="s">
        <v>329</v>
      </c>
      <c r="E1939" s="638">
        <v>30.95</v>
      </c>
      <c r="F1939" s="639" t="s">
        <v>292</v>
      </c>
      <c r="G1939" s="484">
        <v>0</v>
      </c>
      <c r="H1939" s="691" t="str">
        <f>IF(G1939=0,"",IF(F1939="Buy",IF(G1939=1,"plant","plants"),IF(F1939&gt;0.01,"warranty","Error")))</f>
        <v/>
      </c>
      <c r="I1939" s="640">
        <f>IF(H1939="free",0,IF(H1939="credit",((E1939*(F1939))*G1939*-1),IF(F1939="Buy",(E1939*G1939),((E1939*(1-F1939))*G1939))))</f>
        <v>0</v>
      </c>
      <c r="J1939" s="640">
        <f>IF(H1939="warranty",0,(I1939*(_xlfn.SINGLE(SalesTaxPercentage))))</f>
        <v>0</v>
      </c>
      <c r="K1939" s="716">
        <f t="shared" ref="K1939" si="1372">I1939+J1939</f>
        <v>0</v>
      </c>
      <c r="L1939" s="716"/>
      <c r="M1939" s="689" t="str">
        <f ca="1">IF(AND(G1939&gt;0,E1939=0),"WARNING - no PRICE inserted",IF(H1939="free","FREE ~ no charge this plant",IF(H1939="credit",CONCATENATE("-$",ROUND(K1939*(1-_xlfn.SINGLE(T2GDiscount))*-1,2)," CREDIT after discount"),IF(_xlfn.SINGLE(T2GDiscount)=0,"",IF(G1939=0,"",IF(F1939="Buy",CONCATENATE("$",ROUND(K1939*(1-_xlfn.SINGLE(T2GDiscount)),2)," with ",(_xlfn.SINGLE(T2GDiscount)*100),"% discount"),CONCATENATE("$",ROUND(K1939*(1-_xlfn.SINGLE(T2GDiscount)),2)," with ",((_xlfn.SINGLE(T2GDiscount)*100+F1939*100)-(_xlfn.SINGLE(T2GDiscount)*100*F1939)),IF(F1939&gt;0,"% discounts",IF(_xlfn.SINGLE(NoWarrantyDiscount)&gt;0,"% discounts","% discount")))))))))</f>
        <v/>
      </c>
      <c r="N1939" s="690"/>
      <c r="O1939" s="486"/>
      <c r="P1939" s="486"/>
      <c r="Q1939" s="486"/>
      <c r="R1939" s="486"/>
      <c r="S1939" s="486"/>
      <c r="T1939" s="102">
        <f t="shared" si="1332"/>
        <v>0</v>
      </c>
      <c r="U1939" s="78">
        <f>IF(NOT(ISNUMBER(G1939)), "", VLOOKUP(A1939,'Discount Lookup'!D:E,2,FALSE)*G1939)</f>
        <v>0</v>
      </c>
      <c r="V1939" s="78">
        <f>IF(NOT(ISNUMBER(G1939)), "", VLOOKUP(A1939,'Discount Lookup'!G:H,2,FALSE)*G1939)</f>
        <v>0</v>
      </c>
      <c r="W1939" s="102">
        <f t="shared" si="1333"/>
        <v>0</v>
      </c>
      <c r="X1939" s="102">
        <f t="shared" si="1334"/>
        <v>0</v>
      </c>
      <c r="Y1939" s="120" t="b">
        <f t="shared" si="1335"/>
        <v>0</v>
      </c>
      <c r="Z1939" s="117">
        <f t="shared" si="1336"/>
        <v>0</v>
      </c>
      <c r="AA1939" s="118"/>
      <c r="AB1939" s="118" t="str">
        <f t="shared" si="1337"/>
        <v/>
      </c>
      <c r="AC1939" s="712" t="str">
        <f>IF(AE1939="T2G","no charge",IF(AND(OR(PlanterYesMe="No",PlanterYesMe="N",PlanterYesMe="me"),H1939=""),"",IF(H1939="credit","NO install",IF(AND(K1939="",AE1939="me"),"EACH row",IF(AND(K1939="images",AE1939="me"),"EACH row",IF(D1939="","",IF(H1939="credit","",IF(AE1939="free","re-planting",IF(AE1939="me","   not ELP, by",IF(AND(OR(PlanterYesMe="Yes",PlanterYesMe="Y"),G1939&gt;0),(VLOOKUP(A1939,'Discount Lookup'!J:K,2)*G1939*(1-PlanterDiscount)*(1+PlanterDifficultyPercentage)),IF(AE1939="ELP",(VLOOKUP(A1939,'Discount Lookup'!J:K,2)*G1939*(1-PlanterDiscount)*(1+PlanterDifficultyPercentage)),IF(AE1939="free","re-planting",IF(G1939=0,"",IF(PlanterYesMe="",IF(AE1939="me","   not ELP, by",IF(AE1939="",IF(G1939&gt;0,(VLOOKUP(A1939,'Discount Lookup'!J:K,2)*G1939*(1-PlanterDiscount)*(1+PlanterDifficultyPercentage)),""),"")),"   not ELP, by"))))))))))))))</f>
        <v/>
      </c>
      <c r="AD1939" s="712"/>
      <c r="AE1939" s="513" t="str">
        <f t="shared" si="1338"/>
        <v/>
      </c>
      <c r="AF1939" s="713" t="str">
        <f t="shared" si="1339"/>
        <v/>
      </c>
      <c r="AG1939" s="713"/>
      <c r="AH1939" s="713"/>
      <c r="AI1939" s="112">
        <f>IF(H1939="credit",0,IF(AE1939="free",0,IF(AE1939="me",0,IF(G1939&gt;0,(VLOOKUP(A1939,'Discount Lookup'!J:K,2)*G1939),0))))</f>
        <v>0</v>
      </c>
      <c r="AJ1939" s="107" t="str">
        <f t="shared" ca="1" si="1340"/>
        <v/>
      </c>
      <c r="AK1939" s="714" t="str">
        <f t="shared" si="1341"/>
        <v/>
      </c>
      <c r="AL1939" s="714"/>
      <c r="AM1939" s="114" t="str">
        <f t="shared" si="1342"/>
        <v/>
      </c>
      <c r="AN1939" s="115"/>
      <c r="AO1939" s="116"/>
      <c r="AP1939" s="116"/>
      <c r="AQ1939" s="116"/>
      <c r="AR1939" s="116"/>
      <c r="AS1939" s="116"/>
      <c r="AT1939" s="116"/>
      <c r="AU1939" s="116"/>
      <c r="AV1939" s="78"/>
      <c r="AW1939" s="102"/>
      <c r="AX1939" s="78"/>
      <c r="AY1939" s="78"/>
      <c r="AZ1939" s="78"/>
      <c r="BA1939" s="78"/>
      <c r="BB1939" s="78"/>
      <c r="BC1939" s="78"/>
      <c r="BD1939" s="78"/>
      <c r="BE1939" s="465"/>
      <c r="BF1939" s="165" t="str">
        <f t="shared" si="1343"/>
        <v>https://www.google.com/search?tbm=isch&amp;q=1%20G2</v>
      </c>
      <c r="BG1939" s="165" t="str">
        <f t="shared" si="1344"/>
        <v>H</v>
      </c>
      <c r="BH1939" s="65"/>
      <c r="BI1939" s="65"/>
      <c r="BJ1939" s="65"/>
      <c r="BK1939" s="65"/>
      <c r="BL1939" s="99"/>
      <c r="BM1939" s="99"/>
      <c r="BN1939" s="99"/>
    </row>
    <row r="1940" spans="1:66" s="51" customFormat="1" ht="17.25" thickBot="1" x14ac:dyDescent="0.3">
      <c r="A1940" s="704" t="s">
        <v>5433</v>
      </c>
      <c r="B1940" s="642"/>
      <c r="C1940" s="710"/>
      <c r="D1940" s="643"/>
      <c r="E1940" s="643"/>
      <c r="F1940" s="644"/>
      <c r="G1940" s="645"/>
      <c r="H1940" s="646"/>
      <c r="I1940" s="647"/>
      <c r="J1940" s="648"/>
      <c r="K1940" s="649"/>
      <c r="L1940" s="650"/>
      <c r="M1940" s="650"/>
      <c r="N1940" s="644"/>
      <c r="O1940" s="644"/>
      <c r="P1940" s="644"/>
      <c r="Q1940" s="644"/>
      <c r="R1940" s="644"/>
      <c r="S1940" s="651"/>
      <c r="T1940" s="102">
        <f t="shared" ref="T1940:T2003" si="1373">E1940*G1940</f>
        <v>0</v>
      </c>
      <c r="U1940" s="78" t="str">
        <f>IF(NOT(ISNUMBER(G1940)), "", VLOOKUP(A1940,'Discount Lookup'!D:E,2,FALSE)*G1940)</f>
        <v/>
      </c>
      <c r="V1940" s="78" t="str">
        <f>IF(NOT(ISNUMBER(G1940)), "", VLOOKUP(A1940,'Discount Lookup'!G:H,2,FALSE)*G1940)</f>
        <v/>
      </c>
      <c r="W1940" s="102">
        <f t="shared" ref="W1940:W2003" si="1374">IF(H1940="credit",0,E1940*(SalesTaxPercentage)*G1940)</f>
        <v>0</v>
      </c>
      <c r="X1940" s="102">
        <f t="shared" ref="X1940:X2003" si="1375">I1940</f>
        <v>0</v>
      </c>
      <c r="Y1940" s="120" t="b">
        <f t="shared" ref="Y1940:Y2003" si="1376">IF(AE1940="T2G",0,IF(H1940="credit",0,IF(G1940&gt;0,IF(AE1940="me","",G1940))))</f>
        <v>0</v>
      </c>
      <c r="Z1940" s="117">
        <f t="shared" ref="Z1940:Z2003" si="1377">IF(H1940="credit",G1940,0)</f>
        <v>0</v>
      </c>
      <c r="AA1940" s="118"/>
      <c r="AB1940" s="118" t="str">
        <f t="shared" ref="AB1940:AB2003" si="1378">IF(AE1940="T2G","by Trees2Go",IF(H1940="credit","CREDIT only ~",IF(AND(K1940="",AE1940=OR(PlanterYesMe="No",PlanterYesMe="N",PlanterYesMe="me")),"not THIS line⇨",IF(AND(K1940="images",AE1940="me"),"not THIS line⇨",IF(H1940="credit","",IF(G1940=0,"",IF(AE1940="me","",IF(OR(PlanterYesMe="No",PlanterYesMe="N",PlanterYesMe="me"),"",IF(AE1940="free","warranty",IF(OR(PlanterYesMe="yes",PlanterYesMe="y"),"Edison install:","to install:"))))))))))</f>
        <v/>
      </c>
      <c r="AC1940" s="712" t="str">
        <f>IF(AE1940="T2G","no charge",IF(AND(OR(PlanterYesMe="No",PlanterYesMe="N",PlanterYesMe="me"),H1940=""),"",IF(H1940="credit","NO install",IF(AND(K1940="",AE1940="me"),"EACH row",IF(AND(K1940="images",AE1940="me"),"EACH row",IF(D1940="","",IF(H1940="credit","",IF(AE1940="free","re-planting",IF(AE1940="me","   not ELP, by",IF(AND(OR(PlanterYesMe="Yes",PlanterYesMe="Y"),G1940&gt;0),(VLOOKUP(A1940,'Discount Lookup'!J:K,2)*G1940*(1-PlanterDiscount)*(1+PlanterDifficultyPercentage)),IF(AE1940="ELP",(VLOOKUP(A1940,'Discount Lookup'!J:K,2)*G1940*(1-PlanterDiscount)*(1+PlanterDifficultyPercentage)),IF(AE1940="free","re-planting",IF(G1940=0,"",IF(PlanterYesMe="",IF(AE1940="me","   not ELP, by",IF(AE1940="",IF(G1940&gt;0,(VLOOKUP(A1940,'Discount Lookup'!J:K,2)*G1940*(1-PlanterDiscount)*(1+PlanterDifficultyPercentage)),""),"")),"   not ELP, by"))))))))))))))</f>
        <v/>
      </c>
      <c r="AD1940" s="712"/>
      <c r="AE1940" s="513" t="str">
        <f t="shared" ref="AE1940:AE2003" si="1379">IF(H1940="credit","",IF(G1940=0,"",IF(OR(PlanterYesMe="No",PlanterYesMe="N",PlanterYesMe="me"),"me",IF(H1940="warranty","free",IF(OR(PlanterYesMe="yes",PlanterYesMe="y"),"ELP","")))))</f>
        <v/>
      </c>
      <c r="AF1940" s="713" t="str">
        <f t="shared" ref="AF1940:AF2003" si="1380">IF(OR(PlanterYesMe="No",PlanterYesMe="N",PlanterYesMe="me"),"",IF(H1940="credit","",IF(G1940&gt;0,(CONCATENATE((G1940)," quantity, ",(A1940)," ",B1940)),"")))</f>
        <v/>
      </c>
      <c r="AG1940" s="713"/>
      <c r="AH1940" s="713"/>
      <c r="AI1940" s="112">
        <f>IF(H1940="credit",0,IF(AE1940="free",0,IF(AE1940="me",0,IF(G1940&gt;0,(VLOOKUP(A1940,'Discount Lookup'!J:K,2)*G1940),0))))</f>
        <v>0</v>
      </c>
      <c r="AJ1940" s="107" t="str">
        <f t="shared" ref="AJ1940:AJ2003" ca="1" si="1381">IF(AND(ISREF(H1940),H1940="credit"),"",IF(AND(AND(OFFSET(G1940,0,0)=0,OFFSET(G1940,1,0)&gt;0,ISNUMBER(OFFSET(AC1940,1,0)),OFFSET(AC1940,1,0)&gt;0),OR(PlanterYesMe="yes",PlanterYesMe="y")),"T2G+ELP=",IF(AND(OFFSET(G1940,0,0)=0,OFFSET(G1940,1,0)&gt;0,ISNUMBER(OFFSET(AC1940,1,0)),OFFSET(AC1940,1,0)&gt;0),"if T2G+ELP=",IF(AND(OFFSET(G1940,0,0)=0,OFFSET(G1940,1,0)&gt;0),"T2G Subtotal",IF(H1940="credit","",IF(G1940=0,"",IF(AE1940="free",(K1940*(1-T2GDiscount)),IF(OR(PlanterYesMe="No",PlanterYesMe="N",PlanterYesMe="me"),(K1940*(1-T2GDiscount)),IF(OR(AE1940="me",AE1940="T2G"),(K1940*(1-T2GDiscount)),(K1940*(1-T2GDiscount))+AC1940)))))))))</f>
        <v/>
      </c>
      <c r="AK1940" s="714" t="str">
        <f t="shared" ref="AK1940:AK2003" si="1382">IF(H1940="credit","",IF(G1940=0,"",IF(OR(AE1940="me",AE1940="T2G"),"  delivery-only",IF(OR(PlanterYesMe="No",PlanterYesMe="N",PlanterYesMe="me"),"  delivery-only",CONCATENATE(" $",ROUND(AJ1940/G1940,2)," each")))))</f>
        <v/>
      </c>
      <c r="AL1940" s="714"/>
      <c r="AM1940" s="114" t="str">
        <f t="shared" ref="AM1940:AM2003" si="1383">IF(H1940="credit","",IF(AE1940="free","      ~ discounts included, no tax or planting fee applies ~",IF(G1940=0,"",IF(OR(PlanterYesMe="No",PlanterYesMe="N",PlanterYesMe="me"),CONCATENATE(" $",ROUND(AJ1940/G1940,2)," per plant, with tax &amp; discount"),IF(OR(AE1940="me",AE1940="T2G"),CONCATENATE(" $",ROUND(AJ1940/G1940,2)," per plant, with tax &amp; discount"),CONCATENATE("= $",ROUND((K1940*(1-T2GDiscount))/G1940,2)," per plant + $",AC1940/G1940,(" per planting      ~ includes tax &amp; discounts ~")))))))</f>
        <v/>
      </c>
      <c r="AN1940" s="115"/>
      <c r="AO1940" s="116"/>
      <c r="AP1940" s="116"/>
      <c r="AQ1940" s="116"/>
      <c r="AR1940" s="116"/>
      <c r="AS1940" s="116"/>
      <c r="AT1940" s="116"/>
      <c r="AU1940" s="116"/>
      <c r="AV1940" s="78"/>
      <c r="AW1940" s="102"/>
      <c r="AX1940" s="78"/>
      <c r="AY1940" s="78"/>
      <c r="AZ1940" s="78"/>
      <c r="BA1940" s="78"/>
      <c r="BB1940" s="78"/>
      <c r="BC1940" s="78"/>
      <c r="BD1940" s="78"/>
      <c r="BE1940" s="465"/>
      <c r="BF1940" s="165" t="str">
        <f t="shared" ref="BF1940:BF2003" si="1384">"https://www.google.com/search?tbm=isch&amp;q=" &amp; _xlfn.ENCODEURL($A1940 &amp; " " &amp; $D1940)</f>
        <v>https://www.google.com/search?tbm=isch&amp;q=moist%20sites%F0%9F%92%A7GOOD%2C%20Cherry-Go-Round%20has%20Dark%20Green%20foliage.%20Most%20%22Bigleaf%22%20Hydrangea%20have%20snowball%20flowers%20on%20old%20wood.%20Acidic%20%3D%20Blue%2C%20Alkaline%20%3D%20Pink%20</v>
      </c>
      <c r="BG1940" s="165" t="str">
        <f t="shared" ref="BG1940:BG2003" si="1385">IF(ISTEXT(A1940),LEFT(A1940,1),BG1939)</f>
        <v>m</v>
      </c>
      <c r="BH1940" s="65"/>
      <c r="BI1940" s="65"/>
      <c r="BJ1940" s="65"/>
      <c r="BK1940" s="65"/>
      <c r="BL1940" s="99"/>
      <c r="BM1940" s="99"/>
      <c r="BN1940" s="99"/>
    </row>
    <row r="1941" spans="1:66" s="51" customFormat="1" ht="18" x14ac:dyDescent="0.25">
      <c r="A1941" s="623" t="s">
        <v>2782</v>
      </c>
      <c r="B1941" s="624"/>
      <c r="C1941" s="709"/>
      <c r="D1941" s="625" t="s">
        <v>5682</v>
      </c>
      <c r="E1941" s="626"/>
      <c r="F1941" s="626"/>
      <c r="G1941" s="626"/>
      <c r="H1941" s="622" t="s">
        <v>1104</v>
      </c>
      <c r="I1941" s="627" t="s">
        <v>2783</v>
      </c>
      <c r="J1941" s="628"/>
      <c r="K1941" s="628"/>
      <c r="L1941" s="629"/>
      <c r="M1941" s="702" t="s">
        <v>5252</v>
      </c>
      <c r="N1941" s="693" t="str">
        <f>IF(AND(ISTEXT($A1941), ISERROR($A1941+0)), HYPERLINK($BF1941, "Images"), "")</f>
        <v>Images</v>
      </c>
      <c r="O1941" s="695" t="s">
        <v>5264</v>
      </c>
      <c r="P1941" s="630"/>
      <c r="Q1941" s="631"/>
      <c r="R1941" s="632"/>
      <c r="S1941" s="633"/>
      <c r="T1941" s="102">
        <f t="shared" si="1373"/>
        <v>0</v>
      </c>
      <c r="U1941" s="78" t="str">
        <f>IF(NOT(ISNUMBER(G1941)), "", VLOOKUP(A1941,'Discount Lookup'!D:E,2,FALSE)*G1941)</f>
        <v/>
      </c>
      <c r="V1941" s="78" t="str">
        <f>IF(NOT(ISNUMBER(G1941)), "", VLOOKUP(A1941,'Discount Lookup'!G:H,2,FALSE)*G1941)</f>
        <v/>
      </c>
      <c r="W1941" s="102">
        <f t="shared" si="1374"/>
        <v>0</v>
      </c>
      <c r="X1941" s="102" t="str">
        <f t="shared" si="1375"/>
        <v>Lime-Green bloom ages to White</v>
      </c>
      <c r="Y1941" s="120" t="b">
        <f t="shared" si="1376"/>
        <v>0</v>
      </c>
      <c r="Z1941" s="117">
        <f t="shared" si="1377"/>
        <v>0</v>
      </c>
      <c r="AA1941" s="118"/>
      <c r="AB1941" s="118" t="str">
        <f t="shared" si="1378"/>
        <v/>
      </c>
      <c r="AC1941" s="712" t="str">
        <f>IF(AE1941="T2G","no charge",IF(AND(OR(PlanterYesMe="No",PlanterYesMe="N",PlanterYesMe="me"),H1941=""),"",IF(H1941="credit","NO install",IF(AND(K1941="",AE1941="me"),"EACH row",IF(AND(K1941="images",AE1941="me"),"EACH row",IF(D1941="","",IF(H1941="credit","",IF(AE1941="free","re-planting",IF(AE1941="me","   not ELP, by",IF(AND(OR(PlanterYesMe="Yes",PlanterYesMe="Y"),G1941&gt;0),(VLOOKUP(A1941,'Discount Lookup'!J:K,2)*G1941*(1-PlanterDiscount)*(1+PlanterDifficultyPercentage)),IF(AE1941="ELP",(VLOOKUP(A1941,'Discount Lookup'!J:K,2)*G1941*(1-PlanterDiscount)*(1+PlanterDifficultyPercentage)),IF(AE1941="free","re-planting",IF(G1941=0,"",IF(PlanterYesMe="",IF(AE1941="me","   not ELP, by",IF(AE1941="",IF(G1941&gt;0,(VLOOKUP(A1941,'Discount Lookup'!J:K,2)*G1941*(1-PlanterDiscount)*(1+PlanterDifficultyPercentage)),""),"")),"   not ELP, by"))))))))))))))</f>
        <v/>
      </c>
      <c r="AD1941" s="712"/>
      <c r="AE1941" s="513" t="str">
        <f t="shared" si="1379"/>
        <v/>
      </c>
      <c r="AF1941" s="713" t="str">
        <f t="shared" si="1380"/>
        <v/>
      </c>
      <c r="AG1941" s="713"/>
      <c r="AH1941" s="713"/>
      <c r="AI1941" s="112">
        <f>IF(H1941="credit",0,IF(AE1941="free",0,IF(AE1941="me",0,IF(G1941&gt;0,(VLOOKUP(A1941,'Discount Lookup'!J:K,2)*G1941),0))))</f>
        <v>0</v>
      </c>
      <c r="AJ1941" s="107" t="str">
        <f t="shared" ca="1" si="1381"/>
        <v/>
      </c>
      <c r="AK1941" s="714" t="str">
        <f t="shared" si="1382"/>
        <v/>
      </c>
      <c r="AL1941" s="714"/>
      <c r="AM1941" s="114" t="str">
        <f t="shared" si="1383"/>
        <v/>
      </c>
      <c r="AN1941" s="115"/>
      <c r="AO1941" s="116"/>
      <c r="AP1941" s="116"/>
      <c r="AQ1941" s="116"/>
      <c r="AR1941" s="116"/>
      <c r="AS1941" s="116"/>
      <c r="AT1941" s="116"/>
      <c r="AU1941" s="116"/>
      <c r="AV1941" s="78"/>
      <c r="AW1941" s="102"/>
      <c r="AX1941" s="78"/>
      <c r="AY1941" s="78"/>
      <c r="AZ1941" s="78"/>
      <c r="BA1941" s="78"/>
      <c r="BB1941" s="78"/>
      <c r="BC1941" s="78"/>
      <c r="BD1941" s="78"/>
      <c r="BE1941" s="465"/>
      <c r="BF1941" s="165" t="str">
        <f t="shared" si="1384"/>
        <v>https://www.google.com/search?tbm=isch&amp;q=Hyd.%20macrophylla%20%27Hokomagrito%27%20PP%2335207%20Grin%20%26%20Tonic%E2%84%A2%20Bigleaf%20Hydrangea</v>
      </c>
      <c r="BG1941" s="165" t="str">
        <f t="shared" si="1385"/>
        <v>H</v>
      </c>
      <c r="BH1941" s="65"/>
      <c r="BI1941" s="65"/>
      <c r="BJ1941" s="65"/>
      <c r="BK1941" s="65"/>
      <c r="BL1941" s="99"/>
      <c r="BM1941" s="99"/>
      <c r="BN1941" s="99"/>
    </row>
    <row r="1942" spans="1:66" s="51" customFormat="1" ht="15.75" x14ac:dyDescent="0.25">
      <c r="A1942" s="634">
        <v>3</v>
      </c>
      <c r="B1942" s="635" t="s">
        <v>291</v>
      </c>
      <c r="C1942" s="636" t="s">
        <v>1530</v>
      </c>
      <c r="D1942" s="637" t="s">
        <v>329</v>
      </c>
      <c r="E1942" s="638">
        <v>33.950000000000003</v>
      </c>
      <c r="F1942" s="639" t="s">
        <v>292</v>
      </c>
      <c r="G1942" s="484">
        <v>0</v>
      </c>
      <c r="H1942" s="691" t="str">
        <f>IF(G1942=0,"",IF(F1942="Buy",IF(G1942=1,"plant","plants"),IF(F1942&gt;0.01,"warranty","Error")))</f>
        <v/>
      </c>
      <c r="I1942" s="640">
        <f>IF(H1942="free",0,IF(H1942="credit",((E1942*(F1942))*G1942*-1),IF(F1942="Buy",(E1942*G1942),((E1942*(1-F1942))*G1942))))</f>
        <v>0</v>
      </c>
      <c r="J1942" s="640">
        <f>IF(H1942="warranty",0,(I1942*(_xlfn.SINGLE(SalesTaxPercentage))))</f>
        <v>0</v>
      </c>
      <c r="K1942" s="716">
        <f t="shared" ref="K1942" si="1386">I1942+J1942</f>
        <v>0</v>
      </c>
      <c r="L1942" s="716"/>
      <c r="M1942" s="689" t="str">
        <f ca="1">IF(AND(G1942&gt;0,E1942=0),"WARNING - no PRICE inserted",IF(H1942="free","FREE ~ no charge this plant",IF(H1942="credit",CONCATENATE("-$",ROUND(K1942*(1-_xlfn.SINGLE(T2GDiscount))*-1,2)," CREDIT after discount"),IF(_xlfn.SINGLE(T2GDiscount)=0,"",IF(G1942=0,"",IF(F1942="Buy",CONCATENATE("$",ROUND(K1942*(1-_xlfn.SINGLE(T2GDiscount)),2)," with ",(_xlfn.SINGLE(T2GDiscount)*100),"% discount"),CONCATENATE("$",ROUND(K1942*(1-_xlfn.SINGLE(T2GDiscount)),2)," with ",((_xlfn.SINGLE(T2GDiscount)*100+F1942*100)-(_xlfn.SINGLE(T2GDiscount)*100*F1942)),IF(F1942&gt;0,"% discounts",IF(_xlfn.SINGLE(NoWarrantyDiscount)&gt;0,"% discounts","% discount")))))))))</f>
        <v/>
      </c>
      <c r="N1942" s="690"/>
      <c r="O1942" s="486"/>
      <c r="P1942" s="486"/>
      <c r="Q1942" s="486"/>
      <c r="R1942" s="486"/>
      <c r="S1942" s="486"/>
      <c r="T1942" s="102">
        <f t="shared" si="1373"/>
        <v>0</v>
      </c>
      <c r="U1942" s="78">
        <f>IF(NOT(ISNUMBER(G1942)), "", VLOOKUP(A1942,'Discount Lookup'!D:E,2,FALSE)*G1942)</f>
        <v>0</v>
      </c>
      <c r="V1942" s="78">
        <f>IF(NOT(ISNUMBER(G1942)), "", VLOOKUP(A1942,'Discount Lookup'!G:H,2,FALSE)*G1942)</f>
        <v>0</v>
      </c>
      <c r="W1942" s="102">
        <f t="shared" si="1374"/>
        <v>0</v>
      </c>
      <c r="X1942" s="102">
        <f t="shared" si="1375"/>
        <v>0</v>
      </c>
      <c r="Y1942" s="120" t="b">
        <f t="shared" si="1376"/>
        <v>0</v>
      </c>
      <c r="Z1942" s="117">
        <f t="shared" si="1377"/>
        <v>0</v>
      </c>
      <c r="AA1942" s="118"/>
      <c r="AB1942" s="118" t="str">
        <f t="shared" si="1378"/>
        <v/>
      </c>
      <c r="AC1942" s="712" t="str">
        <f>IF(AE1942="T2G","no charge",IF(AND(OR(PlanterYesMe="No",PlanterYesMe="N",PlanterYesMe="me"),H1942=""),"",IF(H1942="credit","NO install",IF(AND(K1942="",AE1942="me"),"EACH row",IF(AND(K1942="images",AE1942="me"),"EACH row",IF(D1942="","",IF(H1942="credit","",IF(AE1942="free","re-planting",IF(AE1942="me","   not ELP, by",IF(AND(OR(PlanterYesMe="Yes",PlanterYesMe="Y"),G1942&gt;0),(VLOOKUP(A1942,'Discount Lookup'!J:K,2)*G1942*(1-PlanterDiscount)*(1+PlanterDifficultyPercentage)),IF(AE1942="ELP",(VLOOKUP(A1942,'Discount Lookup'!J:K,2)*G1942*(1-PlanterDiscount)*(1+PlanterDifficultyPercentage)),IF(AE1942="free","re-planting",IF(G1942=0,"",IF(PlanterYesMe="",IF(AE1942="me","   not ELP, by",IF(AE1942="",IF(G1942&gt;0,(VLOOKUP(A1942,'Discount Lookup'!J:K,2)*G1942*(1-PlanterDiscount)*(1+PlanterDifficultyPercentage)),""),"")),"   not ELP, by"))))))))))))))</f>
        <v/>
      </c>
      <c r="AD1942" s="712"/>
      <c r="AE1942" s="513" t="str">
        <f t="shared" si="1379"/>
        <v/>
      </c>
      <c r="AF1942" s="713" t="str">
        <f t="shared" si="1380"/>
        <v/>
      </c>
      <c r="AG1942" s="713"/>
      <c r="AH1942" s="713"/>
      <c r="AI1942" s="112">
        <f>IF(H1942="credit",0,IF(AE1942="free",0,IF(AE1942="me",0,IF(G1942&gt;0,(VLOOKUP(A1942,'Discount Lookup'!J:K,2)*G1942),0))))</f>
        <v>0</v>
      </c>
      <c r="AJ1942" s="107" t="str">
        <f t="shared" ca="1" si="1381"/>
        <v/>
      </c>
      <c r="AK1942" s="714" t="str">
        <f t="shared" si="1382"/>
        <v/>
      </c>
      <c r="AL1942" s="714"/>
      <c r="AM1942" s="114" t="str">
        <f t="shared" si="1383"/>
        <v/>
      </c>
      <c r="AN1942" s="115"/>
      <c r="AO1942" s="116"/>
      <c r="AP1942" s="116"/>
      <c r="AQ1942" s="116"/>
      <c r="AR1942" s="116"/>
      <c r="AS1942" s="116"/>
      <c r="AT1942" s="116"/>
      <c r="AU1942" s="116"/>
      <c r="AV1942" s="78"/>
      <c r="AW1942" s="102"/>
      <c r="AX1942" s="78"/>
      <c r="AY1942" s="78"/>
      <c r="AZ1942" s="78"/>
      <c r="BA1942" s="78"/>
      <c r="BB1942" s="78"/>
      <c r="BC1942" s="78"/>
      <c r="BD1942" s="78"/>
      <c r="BE1942" s="465"/>
      <c r="BF1942" s="165" t="str">
        <f t="shared" si="1384"/>
        <v>https://www.google.com/search?tbm=isch&amp;q=3%20G2</v>
      </c>
      <c r="BG1942" s="165" t="str">
        <f t="shared" si="1385"/>
        <v>H</v>
      </c>
      <c r="BH1942" s="65"/>
      <c r="BI1942" s="65"/>
      <c r="BJ1942" s="65"/>
      <c r="BK1942" s="65"/>
      <c r="BL1942" s="99"/>
      <c r="BM1942" s="99"/>
      <c r="BN1942" s="99"/>
    </row>
    <row r="1943" spans="1:66" s="51" customFormat="1" ht="17.25" thickBot="1" x14ac:dyDescent="0.3">
      <c r="A1943" s="704" t="s">
        <v>5434</v>
      </c>
      <c r="B1943" s="642"/>
      <c r="C1943" s="710"/>
      <c r="D1943" s="643"/>
      <c r="E1943" s="643"/>
      <c r="F1943" s="644"/>
      <c r="G1943" s="645"/>
      <c r="H1943" s="646"/>
      <c r="I1943" s="647"/>
      <c r="J1943" s="648"/>
      <c r="K1943" s="649"/>
      <c r="L1943" s="650"/>
      <c r="M1943" s="650"/>
      <c r="N1943" s="644"/>
      <c r="O1943" s="644"/>
      <c r="P1943" s="644"/>
      <c r="Q1943" s="644"/>
      <c r="R1943" s="644"/>
      <c r="S1943" s="651"/>
      <c r="T1943" s="102">
        <f t="shared" si="1373"/>
        <v>0</v>
      </c>
      <c r="U1943" s="78" t="str">
        <f>IF(NOT(ISNUMBER(G1943)), "", VLOOKUP(A1943,'Discount Lookup'!D:E,2,FALSE)*G1943)</f>
        <v/>
      </c>
      <c r="V1943" s="78" t="str">
        <f>IF(NOT(ISNUMBER(G1943)), "", VLOOKUP(A1943,'Discount Lookup'!G:H,2,FALSE)*G1943)</f>
        <v/>
      </c>
      <c r="W1943" s="102">
        <f t="shared" si="1374"/>
        <v>0</v>
      </c>
      <c r="X1943" s="102">
        <f t="shared" si="1375"/>
        <v>0</v>
      </c>
      <c r="Y1943" s="120" t="b">
        <f t="shared" si="1376"/>
        <v>0</v>
      </c>
      <c r="Z1943" s="117">
        <f t="shared" si="1377"/>
        <v>0</v>
      </c>
      <c r="AA1943" s="118"/>
      <c r="AB1943" s="118" t="str">
        <f t="shared" si="1378"/>
        <v/>
      </c>
      <c r="AC1943" s="712" t="str">
        <f>IF(AE1943="T2G","no charge",IF(AND(OR(PlanterYesMe="No",PlanterYesMe="N",PlanterYesMe="me"),H1943=""),"",IF(H1943="credit","NO install",IF(AND(K1943="",AE1943="me"),"EACH row",IF(AND(K1943="images",AE1943="me"),"EACH row",IF(D1943="","",IF(H1943="credit","",IF(AE1943="free","re-planting",IF(AE1943="me","   not ELP, by",IF(AND(OR(PlanterYesMe="Yes",PlanterYesMe="Y"),G1943&gt;0),(VLOOKUP(A1943,'Discount Lookup'!J:K,2)*G1943*(1-PlanterDiscount)*(1+PlanterDifficultyPercentage)),IF(AE1943="ELP",(VLOOKUP(A1943,'Discount Lookup'!J:K,2)*G1943*(1-PlanterDiscount)*(1+PlanterDifficultyPercentage)),IF(AE1943="free","re-planting",IF(G1943=0,"",IF(PlanterYesMe="",IF(AE1943="me","   not ELP, by",IF(AE1943="",IF(G1943&gt;0,(VLOOKUP(A1943,'Discount Lookup'!J:K,2)*G1943*(1-PlanterDiscount)*(1+PlanterDifficultyPercentage)),""),"")),"   not ELP, by"))))))))))))))</f>
        <v/>
      </c>
      <c r="AD1943" s="712"/>
      <c r="AE1943" s="513" t="str">
        <f t="shared" si="1379"/>
        <v/>
      </c>
      <c r="AF1943" s="713" t="str">
        <f t="shared" si="1380"/>
        <v/>
      </c>
      <c r="AG1943" s="713"/>
      <c r="AH1943" s="713"/>
      <c r="AI1943" s="112">
        <f>IF(H1943="credit",0,IF(AE1943="free",0,IF(AE1943="me",0,IF(G1943&gt;0,(VLOOKUP(A1943,'Discount Lookup'!J:K,2)*G1943),0))))</f>
        <v>0</v>
      </c>
      <c r="AJ1943" s="107" t="str">
        <f t="shared" ca="1" si="1381"/>
        <v/>
      </c>
      <c r="AK1943" s="714" t="str">
        <f t="shared" si="1382"/>
        <v/>
      </c>
      <c r="AL1943" s="714"/>
      <c r="AM1943" s="114" t="str">
        <f t="shared" si="1383"/>
        <v/>
      </c>
      <c r="AN1943" s="115"/>
      <c r="AO1943" s="116"/>
      <c r="AP1943" s="116"/>
      <c r="AQ1943" s="116"/>
      <c r="AR1943" s="116"/>
      <c r="AS1943" s="116"/>
      <c r="AT1943" s="116"/>
      <c r="AU1943" s="116"/>
      <c r="AV1943" s="78"/>
      <c r="AW1943" s="102"/>
      <c r="AX1943" s="78"/>
      <c r="AY1943" s="78"/>
      <c r="AZ1943" s="78"/>
      <c r="BA1943" s="78"/>
      <c r="BB1943" s="78"/>
      <c r="BC1943" s="78"/>
      <c r="BD1943" s="78"/>
      <c r="BE1943" s="465"/>
      <c r="BF1943" s="165" t="str">
        <f t="shared" si="1384"/>
        <v>https://www.google.com/search?tbm=isch&amp;q=moist%20sites%F0%9F%92%A7GOOD%2C%20Grin%20%26%20Tonic%20has%20Green%20foliage.%20Most%20%22Bigleaf%22%20Hydrangea%20have%20snowball%20flowers%20on%20old%20wood.%20Acidic%20soil%20for%20Blue%2C%20Alkaline%20for%20Pink%20</v>
      </c>
      <c r="BG1943" s="165" t="str">
        <f t="shared" si="1385"/>
        <v>m</v>
      </c>
      <c r="BH1943" s="65"/>
      <c r="BI1943" s="65"/>
      <c r="BJ1943" s="65"/>
      <c r="BK1943" s="65"/>
      <c r="BL1943" s="99"/>
      <c r="BM1943" s="99"/>
      <c r="BN1943" s="99"/>
    </row>
    <row r="1944" spans="1:66" s="51" customFormat="1" ht="18" x14ac:dyDescent="0.25">
      <c r="A1944" s="507" t="s">
        <v>2784</v>
      </c>
      <c r="B1944" s="470"/>
      <c r="C1944" s="706"/>
      <c r="D1944" s="471" t="s">
        <v>5683</v>
      </c>
      <c r="E1944" s="472"/>
      <c r="F1944" s="472"/>
      <c r="G1944" s="472"/>
      <c r="H1944" s="622" t="s">
        <v>1104</v>
      </c>
      <c r="I1944" s="473" t="s">
        <v>2785</v>
      </c>
      <c r="J1944" s="472"/>
      <c r="K1944" s="472"/>
      <c r="L1944" s="561"/>
      <c r="M1944" s="703" t="s">
        <v>5274</v>
      </c>
      <c r="N1944" s="692" t="str">
        <f>IF(AND(ISTEXT($A1944), ISERROR($A1944+0)), HYPERLINK($BF1944, "Images"), "")</f>
        <v>Images</v>
      </c>
      <c r="O1944" s="694" t="s">
        <v>5264</v>
      </c>
      <c r="P1944" s="475"/>
      <c r="Q1944" s="476"/>
      <c r="R1944" s="476"/>
      <c r="S1944" s="477"/>
      <c r="T1944" s="102">
        <f t="shared" si="1373"/>
        <v>0</v>
      </c>
      <c r="U1944" s="78" t="str">
        <f>IF(NOT(ISNUMBER(G1944)), "", VLOOKUP(A1944,'Discount Lookup'!D:E,2,FALSE)*G1944)</f>
        <v/>
      </c>
      <c r="V1944" s="78" t="str">
        <f>IF(NOT(ISNUMBER(G1944)), "", VLOOKUP(A1944,'Discount Lookup'!G:H,2,FALSE)*G1944)</f>
        <v/>
      </c>
      <c r="W1944" s="102">
        <f t="shared" si="1374"/>
        <v>0</v>
      </c>
      <c r="X1944" s="102" t="str">
        <f t="shared" si="1375"/>
        <v>Pink to Blue bloom</v>
      </c>
      <c r="Y1944" s="120" t="b">
        <f t="shared" si="1376"/>
        <v>0</v>
      </c>
      <c r="Z1944" s="117">
        <f t="shared" si="1377"/>
        <v>0</v>
      </c>
      <c r="AA1944" s="118"/>
      <c r="AB1944" s="118" t="str">
        <f t="shared" si="1378"/>
        <v/>
      </c>
      <c r="AC1944" s="712" t="str">
        <f>IF(AE1944="T2G","no charge",IF(AND(OR(PlanterYesMe="No",PlanterYesMe="N",PlanterYesMe="me"),H1944=""),"",IF(H1944="credit","NO install",IF(AND(K1944="",AE1944="me"),"EACH row",IF(AND(K1944="images",AE1944="me"),"EACH row",IF(D1944="","",IF(H1944="credit","",IF(AE1944="free","re-planting",IF(AE1944="me","   not ELP, by",IF(AND(OR(PlanterYesMe="Yes",PlanterYesMe="Y"),G1944&gt;0),(VLOOKUP(A1944,'Discount Lookup'!J:K,2)*G1944*(1-PlanterDiscount)*(1+PlanterDifficultyPercentage)),IF(AE1944="ELP",(VLOOKUP(A1944,'Discount Lookup'!J:K,2)*G1944*(1-PlanterDiscount)*(1+PlanterDifficultyPercentage)),IF(AE1944="free","re-planting",IF(G1944=0,"",IF(PlanterYesMe="",IF(AE1944="me","   not ELP, by",IF(AE1944="",IF(G1944&gt;0,(VLOOKUP(A1944,'Discount Lookup'!J:K,2)*G1944*(1-PlanterDiscount)*(1+PlanterDifficultyPercentage)),""),"")),"   not ELP, by"))))))))))))))</f>
        <v/>
      </c>
      <c r="AD1944" s="712"/>
      <c r="AE1944" s="513" t="str">
        <f t="shared" si="1379"/>
        <v/>
      </c>
      <c r="AF1944" s="713" t="str">
        <f t="shared" si="1380"/>
        <v/>
      </c>
      <c r="AG1944" s="713"/>
      <c r="AH1944" s="713"/>
      <c r="AI1944" s="112">
        <f>IF(H1944="credit",0,IF(AE1944="free",0,IF(AE1944="me",0,IF(G1944&gt;0,(VLOOKUP(A1944,'Discount Lookup'!J:K,2)*G1944),0))))</f>
        <v>0</v>
      </c>
      <c r="AJ1944" s="107" t="str">
        <f t="shared" ca="1" si="1381"/>
        <v/>
      </c>
      <c r="AK1944" s="714" t="str">
        <f t="shared" si="1382"/>
        <v/>
      </c>
      <c r="AL1944" s="714"/>
      <c r="AM1944" s="114" t="str">
        <f t="shared" si="1383"/>
        <v/>
      </c>
      <c r="AN1944" s="115"/>
      <c r="AO1944" s="116"/>
      <c r="AP1944" s="116"/>
      <c r="AQ1944" s="116"/>
      <c r="AR1944" s="116"/>
      <c r="AS1944" s="116"/>
      <c r="AT1944" s="116"/>
      <c r="AU1944" s="116"/>
      <c r="AV1944" s="78"/>
      <c r="AW1944" s="102"/>
      <c r="AX1944" s="78"/>
      <c r="AY1944" s="78"/>
      <c r="AZ1944" s="78"/>
      <c r="BA1944" s="78"/>
      <c r="BB1944" s="78"/>
      <c r="BC1944" s="78"/>
      <c r="BD1944" s="78"/>
      <c r="BE1944" s="465"/>
      <c r="BF1944" s="165" t="str">
        <f t="shared" si="1384"/>
        <v>https://www.google.com/search?tbm=isch&amp;q=Hyd.%20macrophylla%20%27Hortmafarfa%27%20PP%2332164%20Starfield%E2%84%A2%20Hydrangea</v>
      </c>
      <c r="BG1944" s="165" t="str">
        <f t="shared" si="1385"/>
        <v>H</v>
      </c>
      <c r="BH1944" s="65"/>
      <c r="BI1944" s="65"/>
      <c r="BJ1944" s="65"/>
      <c r="BK1944" s="65"/>
      <c r="BL1944" s="99"/>
      <c r="BM1944" s="99"/>
      <c r="BN1944" s="99"/>
    </row>
    <row r="1945" spans="1:66" s="51" customFormat="1" ht="15.75" x14ac:dyDescent="0.25">
      <c r="A1945" s="478">
        <v>3</v>
      </c>
      <c r="B1945" s="479" t="s">
        <v>291</v>
      </c>
      <c r="C1945" s="480" t="s">
        <v>2786</v>
      </c>
      <c r="D1945" s="481" t="s">
        <v>329</v>
      </c>
      <c r="E1945" s="482">
        <v>33.950000000000003</v>
      </c>
      <c r="F1945" s="483" t="s">
        <v>292</v>
      </c>
      <c r="G1945" s="484">
        <v>0</v>
      </c>
      <c r="H1945" s="688" t="str">
        <f>IF(G1945=0,"",IF(F1945="Buy",IF(G1945=1,"plant","plants"),IF(F1945&gt;0.01,"warranty","Error")))</f>
        <v/>
      </c>
      <c r="I1945" s="485">
        <f>IF(H1945="free",0,IF(H1945="credit",((E1945*(F1945))*G1945*-1),IF(F1945="Buy",(E1945*G1945),((E1945*(1-F1945))*G1945))))</f>
        <v>0</v>
      </c>
      <c r="J1945" s="485">
        <f>IF(H1945="warranty",0,(I1945*(_xlfn.SINGLE(SalesTaxPercentage))))</f>
        <v>0</v>
      </c>
      <c r="K1945" s="715">
        <f t="shared" ref="K1945" si="1387">I1945+J1945</f>
        <v>0</v>
      </c>
      <c r="L1945" s="715"/>
      <c r="M1945" s="689" t="str">
        <f ca="1">IF(AND(G1945&gt;0,E1945=0),"WARNING - no PRICE inserted",IF(H1945="free","FREE ~ no charge this plant",IF(H1945="credit",CONCATENATE("-$",ROUND(K1945*(1-_xlfn.SINGLE(T2GDiscount))*-1,2)," CREDIT after discount"),IF(_xlfn.SINGLE(T2GDiscount)=0,"",IF(G1945=0,"",IF(F1945="Buy",CONCATENATE("$",ROUND(K1945*(1-_xlfn.SINGLE(T2GDiscount)),2)," with ",(_xlfn.SINGLE(T2GDiscount)*100),"% discount"),CONCATENATE("$",ROUND(K1945*(1-_xlfn.SINGLE(T2GDiscount)),2)," with ",((_xlfn.SINGLE(T2GDiscount)*100+F1945*100)-(_xlfn.SINGLE(T2GDiscount)*100*F1945)),IF(F1945&gt;0,"% discounts",IF(_xlfn.SINGLE(NoWarrantyDiscount)&gt;0,"% discounts","% discount")))))))))</f>
        <v/>
      </c>
      <c r="N1945" s="690"/>
      <c r="O1945" s="486"/>
      <c r="P1945" s="486"/>
      <c r="Q1945" s="486"/>
      <c r="R1945" s="486"/>
      <c r="S1945" s="486"/>
      <c r="T1945" s="102">
        <f t="shared" si="1373"/>
        <v>0</v>
      </c>
      <c r="U1945" s="78">
        <f>IF(NOT(ISNUMBER(G1945)), "", VLOOKUP(A1945,'Discount Lookup'!D:E,2,FALSE)*G1945)</f>
        <v>0</v>
      </c>
      <c r="V1945" s="78">
        <f>IF(NOT(ISNUMBER(G1945)), "", VLOOKUP(A1945,'Discount Lookup'!G:H,2,FALSE)*G1945)</f>
        <v>0</v>
      </c>
      <c r="W1945" s="102">
        <f t="shared" si="1374"/>
        <v>0</v>
      </c>
      <c r="X1945" s="102">
        <f t="shared" si="1375"/>
        <v>0</v>
      </c>
      <c r="Y1945" s="120" t="b">
        <f t="shared" si="1376"/>
        <v>0</v>
      </c>
      <c r="Z1945" s="117">
        <f t="shared" si="1377"/>
        <v>0</v>
      </c>
      <c r="AA1945" s="118"/>
      <c r="AB1945" s="118" t="str">
        <f t="shared" si="1378"/>
        <v/>
      </c>
      <c r="AC1945" s="712" t="str">
        <f>IF(AE1945="T2G","no charge",IF(AND(OR(PlanterYesMe="No",PlanterYesMe="N",PlanterYesMe="me"),H1945=""),"",IF(H1945="credit","NO install",IF(AND(K1945="",AE1945="me"),"EACH row",IF(AND(K1945="images",AE1945="me"),"EACH row",IF(D1945="","",IF(H1945="credit","",IF(AE1945="free","re-planting",IF(AE1945="me","   not ELP, by",IF(AND(OR(PlanterYesMe="Yes",PlanterYesMe="Y"),G1945&gt;0),(VLOOKUP(A1945,'Discount Lookup'!J:K,2)*G1945*(1-PlanterDiscount)*(1+PlanterDifficultyPercentage)),IF(AE1945="ELP",(VLOOKUP(A1945,'Discount Lookup'!J:K,2)*G1945*(1-PlanterDiscount)*(1+PlanterDifficultyPercentage)),IF(AE1945="free","re-planting",IF(G1945=0,"",IF(PlanterYesMe="",IF(AE1945="me","   not ELP, by",IF(AE1945="",IF(G1945&gt;0,(VLOOKUP(A1945,'Discount Lookup'!J:K,2)*G1945*(1-PlanterDiscount)*(1+PlanterDifficultyPercentage)),""),"")),"   not ELP, by"))))))))))))))</f>
        <v/>
      </c>
      <c r="AD1945" s="712"/>
      <c r="AE1945" s="513" t="str">
        <f t="shared" si="1379"/>
        <v/>
      </c>
      <c r="AF1945" s="713" t="str">
        <f t="shared" si="1380"/>
        <v/>
      </c>
      <c r="AG1945" s="713"/>
      <c r="AH1945" s="713"/>
      <c r="AI1945" s="112">
        <f>IF(H1945="credit",0,IF(AE1945="free",0,IF(AE1945="me",0,IF(G1945&gt;0,(VLOOKUP(A1945,'Discount Lookup'!J:K,2)*G1945),0))))</f>
        <v>0</v>
      </c>
      <c r="AJ1945" s="107" t="str">
        <f t="shared" ca="1" si="1381"/>
        <v/>
      </c>
      <c r="AK1945" s="714" t="str">
        <f t="shared" si="1382"/>
        <v/>
      </c>
      <c r="AL1945" s="714"/>
      <c r="AM1945" s="114" t="str">
        <f t="shared" si="1383"/>
        <v/>
      </c>
      <c r="AN1945" s="115"/>
      <c r="AO1945" s="116"/>
      <c r="AP1945" s="116"/>
      <c r="AQ1945" s="116"/>
      <c r="AR1945" s="116"/>
      <c r="AS1945" s="116"/>
      <c r="AT1945" s="116"/>
      <c r="AU1945" s="116"/>
      <c r="AV1945" s="78"/>
      <c r="AW1945" s="102"/>
      <c r="AX1945" s="78"/>
      <c r="AY1945" s="78"/>
      <c r="AZ1945" s="78"/>
      <c r="BA1945" s="78"/>
      <c r="BB1945" s="78"/>
      <c r="BC1945" s="78"/>
      <c r="BD1945" s="78"/>
      <c r="BE1945" s="465"/>
      <c r="BF1945" s="165" t="str">
        <f t="shared" si="1384"/>
        <v>https://www.google.com/search?tbm=isch&amp;q=3%20G2</v>
      </c>
      <c r="BG1945" s="165" t="str">
        <f t="shared" si="1385"/>
        <v>H</v>
      </c>
      <c r="BH1945" s="65"/>
      <c r="BI1945" s="65"/>
      <c r="BJ1945" s="65"/>
      <c r="BK1945" s="65"/>
      <c r="BL1945" s="99"/>
      <c r="BM1945" s="99"/>
      <c r="BN1945" s="99"/>
    </row>
    <row r="1946" spans="1:66" s="51" customFormat="1" ht="16.5" thickBot="1" x14ac:dyDescent="0.3">
      <c r="A1946" s="705" t="s">
        <v>5435</v>
      </c>
      <c r="B1946" s="487"/>
      <c r="C1946" s="707"/>
      <c r="D1946" s="487"/>
      <c r="E1946" s="487"/>
      <c r="F1946" s="488"/>
      <c r="G1946" s="489"/>
      <c r="H1946" s="487"/>
      <c r="I1946" s="490"/>
      <c r="J1946" s="490"/>
      <c r="K1946" s="491"/>
      <c r="L1946" s="547"/>
      <c r="M1946" s="528"/>
      <c r="N1946" s="492"/>
      <c r="O1946" s="493"/>
      <c r="P1946" s="494"/>
      <c r="Q1946" s="492"/>
      <c r="R1946" s="492"/>
      <c r="S1946" s="495"/>
      <c r="T1946" s="102">
        <f t="shared" si="1373"/>
        <v>0</v>
      </c>
      <c r="U1946" s="78" t="str">
        <f>IF(NOT(ISNUMBER(G1946)), "", VLOOKUP(A1946,'Discount Lookup'!D:E,2,FALSE)*G1946)</f>
        <v/>
      </c>
      <c r="V1946" s="78" t="str">
        <f>IF(NOT(ISNUMBER(G1946)), "", VLOOKUP(A1946,'Discount Lookup'!G:H,2,FALSE)*G1946)</f>
        <v/>
      </c>
      <c r="W1946" s="102">
        <f t="shared" si="1374"/>
        <v>0</v>
      </c>
      <c r="X1946" s="102">
        <f t="shared" si="1375"/>
        <v>0</v>
      </c>
      <c r="Y1946" s="120" t="b">
        <f t="shared" si="1376"/>
        <v>0</v>
      </c>
      <c r="Z1946" s="117">
        <f t="shared" si="1377"/>
        <v>0</v>
      </c>
      <c r="AA1946" s="118"/>
      <c r="AB1946" s="118" t="str">
        <f t="shared" si="1378"/>
        <v/>
      </c>
      <c r="AC1946" s="712" t="str">
        <f>IF(AE1946="T2G","no charge",IF(AND(OR(PlanterYesMe="No",PlanterYesMe="N",PlanterYesMe="me"),H1946=""),"",IF(H1946="credit","NO install",IF(AND(K1946="",AE1946="me"),"EACH row",IF(AND(K1946="images",AE1946="me"),"EACH row",IF(D1946="","",IF(H1946="credit","",IF(AE1946="free","re-planting",IF(AE1946="me","   not ELP, by",IF(AND(OR(PlanterYesMe="Yes",PlanterYesMe="Y"),G1946&gt;0),(VLOOKUP(A1946,'Discount Lookup'!J:K,2)*G1946*(1-PlanterDiscount)*(1+PlanterDifficultyPercentage)),IF(AE1946="ELP",(VLOOKUP(A1946,'Discount Lookup'!J:K,2)*G1946*(1-PlanterDiscount)*(1+PlanterDifficultyPercentage)),IF(AE1946="free","re-planting",IF(G1946=0,"",IF(PlanterYesMe="",IF(AE1946="me","   not ELP, by",IF(AE1946="",IF(G1946&gt;0,(VLOOKUP(A1946,'Discount Lookup'!J:K,2)*G1946*(1-PlanterDiscount)*(1+PlanterDifficultyPercentage)),""),"")),"   not ELP, by"))))))))))))))</f>
        <v/>
      </c>
      <c r="AD1946" s="712"/>
      <c r="AE1946" s="513" t="str">
        <f t="shared" si="1379"/>
        <v/>
      </c>
      <c r="AF1946" s="713" t="str">
        <f t="shared" si="1380"/>
        <v/>
      </c>
      <c r="AG1946" s="713"/>
      <c r="AH1946" s="713"/>
      <c r="AI1946" s="112">
        <f>IF(H1946="credit",0,IF(AE1946="free",0,IF(AE1946="me",0,IF(G1946&gt;0,(VLOOKUP(A1946,'Discount Lookup'!J:K,2)*G1946),0))))</f>
        <v>0</v>
      </c>
      <c r="AJ1946" s="107" t="str">
        <f t="shared" ca="1" si="1381"/>
        <v/>
      </c>
      <c r="AK1946" s="714" t="str">
        <f t="shared" si="1382"/>
        <v/>
      </c>
      <c r="AL1946" s="714"/>
      <c r="AM1946" s="114" t="str">
        <f t="shared" si="1383"/>
        <v/>
      </c>
      <c r="AN1946" s="115"/>
      <c r="AO1946" s="116"/>
      <c r="AP1946" s="116"/>
      <c r="AQ1946" s="116"/>
      <c r="AR1946" s="116"/>
      <c r="AS1946" s="116"/>
      <c r="AT1946" s="116"/>
      <c r="AU1946" s="116"/>
      <c r="AV1946" s="78"/>
      <c r="AW1946" s="102"/>
      <c r="AX1946" s="78"/>
      <c r="AY1946" s="78"/>
      <c r="AZ1946" s="78"/>
      <c r="BA1946" s="78"/>
      <c r="BB1946" s="78"/>
      <c r="BC1946" s="78"/>
      <c r="BD1946" s="78"/>
      <c r="BE1946" s="465"/>
      <c r="BF1946" s="165" t="str">
        <f t="shared" si="1384"/>
        <v>https://www.google.com/search?tbm=isch&amp;q=moist%20sites%F0%9F%92%A7GOOD%2C%20Starfield%20has%20Dark%20Green%20foliage.%20Most%20%22Bigleaf%22%20Hydrangea%20have%20snowball%20flowers%20on%20old%20wood.%20Acidic%20soil%20for%20Blue%2C%20Alkaline%20for%20Pink%20</v>
      </c>
      <c r="BG1946" s="165" t="str">
        <f t="shared" si="1385"/>
        <v>m</v>
      </c>
      <c r="BH1946" s="65"/>
      <c r="BI1946" s="65"/>
      <c r="BJ1946" s="65"/>
      <c r="BK1946" s="65"/>
      <c r="BL1946" s="99"/>
      <c r="BM1946" s="99"/>
      <c r="BN1946" s="99"/>
    </row>
    <row r="1947" spans="1:66" s="51" customFormat="1" ht="18" x14ac:dyDescent="0.25">
      <c r="A1947" s="623" t="s">
        <v>2787</v>
      </c>
      <c r="B1947" s="624"/>
      <c r="C1947" s="709"/>
      <c r="D1947" s="625" t="s">
        <v>5684</v>
      </c>
      <c r="E1947" s="626"/>
      <c r="F1947" s="626"/>
      <c r="G1947" s="626"/>
      <c r="H1947" s="622" t="s">
        <v>1104</v>
      </c>
      <c r="I1947" s="627" t="s">
        <v>2788</v>
      </c>
      <c r="J1947" s="628"/>
      <c r="K1947" s="628"/>
      <c r="L1947" s="629"/>
      <c r="M1947" s="702" t="s">
        <v>5252</v>
      </c>
      <c r="N1947" s="693" t="str">
        <f>IF(AND(ISTEXT($A1947), ISERROR($A1947+0)), HYPERLINK($BF1947, "Images"), "")</f>
        <v>Images</v>
      </c>
      <c r="O1947" s="695" t="s">
        <v>5264</v>
      </c>
      <c r="P1947" s="630"/>
      <c r="Q1947" s="631"/>
      <c r="R1947" s="632"/>
      <c r="S1947" s="633"/>
      <c r="T1947" s="102">
        <f t="shared" si="1373"/>
        <v>0</v>
      </c>
      <c r="U1947" s="78" t="str">
        <f>IF(NOT(ISNUMBER(G1947)), "", VLOOKUP(A1947,'Discount Lookup'!D:E,2,FALSE)*G1947)</f>
        <v/>
      </c>
      <c r="V1947" s="78" t="str">
        <f>IF(NOT(ISNUMBER(G1947)), "", VLOOKUP(A1947,'Discount Lookup'!G:H,2,FALSE)*G1947)</f>
        <v/>
      </c>
      <c r="W1947" s="102">
        <f t="shared" si="1374"/>
        <v>0</v>
      </c>
      <c r="X1947" s="102" t="str">
        <f t="shared" si="1375"/>
        <v>Dark Cherry-Red bloom</v>
      </c>
      <c r="Y1947" s="120" t="b">
        <f t="shared" si="1376"/>
        <v>0</v>
      </c>
      <c r="Z1947" s="117">
        <f t="shared" si="1377"/>
        <v>0</v>
      </c>
      <c r="AA1947" s="118"/>
      <c r="AB1947" s="118" t="str">
        <f t="shared" si="1378"/>
        <v/>
      </c>
      <c r="AC1947" s="712" t="str">
        <f>IF(AE1947="T2G","no charge",IF(AND(OR(PlanterYesMe="No",PlanterYesMe="N",PlanterYesMe="me"),H1947=""),"",IF(H1947="credit","NO install",IF(AND(K1947="",AE1947="me"),"EACH row",IF(AND(K1947="images",AE1947="me"),"EACH row",IF(D1947="","",IF(H1947="credit","",IF(AE1947="free","re-planting",IF(AE1947="me","   not ELP, by",IF(AND(OR(PlanterYesMe="Yes",PlanterYesMe="Y"),G1947&gt;0),(VLOOKUP(A1947,'Discount Lookup'!J:K,2)*G1947*(1-PlanterDiscount)*(1+PlanterDifficultyPercentage)),IF(AE1947="ELP",(VLOOKUP(A1947,'Discount Lookup'!J:K,2)*G1947*(1-PlanterDiscount)*(1+PlanterDifficultyPercentage)),IF(AE1947="free","re-planting",IF(G1947=0,"",IF(PlanterYesMe="",IF(AE1947="me","   not ELP, by",IF(AE1947="",IF(G1947&gt;0,(VLOOKUP(A1947,'Discount Lookup'!J:K,2)*G1947*(1-PlanterDiscount)*(1+PlanterDifficultyPercentage)),""),"")),"   not ELP, by"))))))))))))))</f>
        <v/>
      </c>
      <c r="AD1947" s="712"/>
      <c r="AE1947" s="513" t="str">
        <f t="shared" si="1379"/>
        <v/>
      </c>
      <c r="AF1947" s="713" t="str">
        <f t="shared" si="1380"/>
        <v/>
      </c>
      <c r="AG1947" s="713"/>
      <c r="AH1947" s="713"/>
      <c r="AI1947" s="112">
        <f>IF(H1947="credit",0,IF(AE1947="free",0,IF(AE1947="me",0,IF(G1947&gt;0,(VLOOKUP(A1947,'Discount Lookup'!J:K,2)*G1947),0))))</f>
        <v>0</v>
      </c>
      <c r="AJ1947" s="107" t="str">
        <f t="shared" ca="1" si="1381"/>
        <v/>
      </c>
      <c r="AK1947" s="714" t="str">
        <f t="shared" si="1382"/>
        <v/>
      </c>
      <c r="AL1947" s="714"/>
      <c r="AM1947" s="114" t="str">
        <f t="shared" si="1383"/>
        <v/>
      </c>
      <c r="AN1947" s="115"/>
      <c r="AO1947" s="116"/>
      <c r="AP1947" s="116"/>
      <c r="AQ1947" s="116"/>
      <c r="AR1947" s="116"/>
      <c r="AS1947" s="116"/>
      <c r="AT1947" s="116"/>
      <c r="AU1947" s="116"/>
      <c r="AV1947" s="78"/>
      <c r="AW1947" s="102"/>
      <c r="AX1947" s="78"/>
      <c r="AY1947" s="78"/>
      <c r="AZ1947" s="78"/>
      <c r="BA1947" s="78"/>
      <c r="BB1947" s="78"/>
      <c r="BC1947" s="78"/>
      <c r="BD1947" s="78"/>
      <c r="BE1947" s="465"/>
      <c r="BF1947" s="165" t="str">
        <f t="shared" si="1384"/>
        <v>https://www.google.com/search?tbm=isch&amp;q=Hyd.%20macrophylla%20%27Hortmagitri%27%20PP%2330044%20Heart%20Throb%C2%AE%20Hydrangea</v>
      </c>
      <c r="BG1947" s="165" t="str">
        <f t="shared" si="1385"/>
        <v>H</v>
      </c>
      <c r="BH1947" s="65"/>
      <c r="BI1947" s="65"/>
      <c r="BJ1947" s="65"/>
      <c r="BK1947" s="65"/>
      <c r="BL1947" s="99"/>
      <c r="BM1947" s="99"/>
      <c r="BN1947" s="99"/>
    </row>
    <row r="1948" spans="1:66" s="51" customFormat="1" ht="15.75" x14ac:dyDescent="0.25">
      <c r="A1948" s="634">
        <v>3</v>
      </c>
      <c r="B1948" s="635" t="s">
        <v>291</v>
      </c>
      <c r="C1948" s="636" t="s">
        <v>884</v>
      </c>
      <c r="D1948" s="637" t="s">
        <v>329</v>
      </c>
      <c r="E1948" s="638">
        <v>32.950000000000003</v>
      </c>
      <c r="F1948" s="639" t="s">
        <v>292</v>
      </c>
      <c r="G1948" s="484">
        <v>0</v>
      </c>
      <c r="H1948" s="691" t="str">
        <f>IF(G1948=0,"",IF(F1948="Buy",IF(G1948=1,"plant","plants"),IF(F1948&gt;0.01,"warranty","Error")))</f>
        <v/>
      </c>
      <c r="I1948" s="640">
        <f>IF(H1948="free",0,IF(H1948="credit",((E1948*(F1948))*G1948*-1),IF(F1948="Buy",(E1948*G1948),((E1948*(1-F1948))*G1948))))</f>
        <v>0</v>
      </c>
      <c r="J1948" s="640">
        <f>IF(H1948="warranty",0,(I1948*(_xlfn.SINGLE(SalesTaxPercentage))))</f>
        <v>0</v>
      </c>
      <c r="K1948" s="716">
        <f t="shared" ref="K1948" si="1388">I1948+J1948</f>
        <v>0</v>
      </c>
      <c r="L1948" s="716"/>
      <c r="M1948" s="689" t="str">
        <f ca="1">IF(AND(G1948&gt;0,E1948=0),"WARNING - no PRICE inserted",IF(H1948="free","FREE ~ no charge this plant",IF(H1948="credit",CONCATENATE("-$",ROUND(K1948*(1-_xlfn.SINGLE(T2GDiscount))*-1,2)," CREDIT after discount"),IF(_xlfn.SINGLE(T2GDiscount)=0,"",IF(G1948=0,"",IF(F1948="Buy",CONCATENATE("$",ROUND(K1948*(1-_xlfn.SINGLE(T2GDiscount)),2)," with ",(_xlfn.SINGLE(T2GDiscount)*100),"% discount"),CONCATENATE("$",ROUND(K1948*(1-_xlfn.SINGLE(T2GDiscount)),2)," with ",((_xlfn.SINGLE(T2GDiscount)*100+F1948*100)-(_xlfn.SINGLE(T2GDiscount)*100*F1948)),IF(F1948&gt;0,"% discounts",IF(_xlfn.SINGLE(NoWarrantyDiscount)&gt;0,"% discounts","% discount")))))))))</f>
        <v/>
      </c>
      <c r="N1948" s="690"/>
      <c r="O1948" s="486"/>
      <c r="P1948" s="486"/>
      <c r="Q1948" s="486"/>
      <c r="R1948" s="486"/>
      <c r="S1948" s="486"/>
      <c r="T1948" s="102">
        <f t="shared" si="1373"/>
        <v>0</v>
      </c>
      <c r="U1948" s="78">
        <f>IF(NOT(ISNUMBER(G1948)), "", VLOOKUP(A1948,'Discount Lookup'!D:E,2,FALSE)*G1948)</f>
        <v>0</v>
      </c>
      <c r="V1948" s="78">
        <f>IF(NOT(ISNUMBER(G1948)), "", VLOOKUP(A1948,'Discount Lookup'!G:H,2,FALSE)*G1948)</f>
        <v>0</v>
      </c>
      <c r="W1948" s="102">
        <f t="shared" si="1374"/>
        <v>0</v>
      </c>
      <c r="X1948" s="102">
        <f t="shared" si="1375"/>
        <v>0</v>
      </c>
      <c r="Y1948" s="120" t="b">
        <f t="shared" si="1376"/>
        <v>0</v>
      </c>
      <c r="Z1948" s="117">
        <f t="shared" si="1377"/>
        <v>0</v>
      </c>
      <c r="AA1948" s="118"/>
      <c r="AB1948" s="118" t="str">
        <f t="shared" si="1378"/>
        <v/>
      </c>
      <c r="AC1948" s="712" t="str">
        <f>IF(AE1948="T2G","no charge",IF(AND(OR(PlanterYesMe="No",PlanterYesMe="N",PlanterYesMe="me"),H1948=""),"",IF(H1948="credit","NO install",IF(AND(K1948="",AE1948="me"),"EACH row",IF(AND(K1948="images",AE1948="me"),"EACH row",IF(D1948="","",IF(H1948="credit","",IF(AE1948="free","re-planting",IF(AE1948="me","   not ELP, by",IF(AND(OR(PlanterYesMe="Yes",PlanterYesMe="Y"),G1948&gt;0),(VLOOKUP(A1948,'Discount Lookup'!J:K,2)*G1948*(1-PlanterDiscount)*(1+PlanterDifficultyPercentage)),IF(AE1948="ELP",(VLOOKUP(A1948,'Discount Lookup'!J:K,2)*G1948*(1-PlanterDiscount)*(1+PlanterDifficultyPercentage)),IF(AE1948="free","re-planting",IF(G1948=0,"",IF(PlanterYesMe="",IF(AE1948="me","   not ELP, by",IF(AE1948="",IF(G1948&gt;0,(VLOOKUP(A1948,'Discount Lookup'!J:K,2)*G1948*(1-PlanterDiscount)*(1+PlanterDifficultyPercentage)),""),"")),"   not ELP, by"))))))))))))))</f>
        <v/>
      </c>
      <c r="AD1948" s="712"/>
      <c r="AE1948" s="513" t="str">
        <f t="shared" si="1379"/>
        <v/>
      </c>
      <c r="AF1948" s="713" t="str">
        <f t="shared" si="1380"/>
        <v/>
      </c>
      <c r="AG1948" s="713"/>
      <c r="AH1948" s="713"/>
      <c r="AI1948" s="112">
        <f>IF(H1948="credit",0,IF(AE1948="free",0,IF(AE1948="me",0,IF(G1948&gt;0,(VLOOKUP(A1948,'Discount Lookup'!J:K,2)*G1948),0))))</f>
        <v>0</v>
      </c>
      <c r="AJ1948" s="107" t="str">
        <f t="shared" ca="1" si="1381"/>
        <v/>
      </c>
      <c r="AK1948" s="714" t="str">
        <f t="shared" si="1382"/>
        <v/>
      </c>
      <c r="AL1948" s="714"/>
      <c r="AM1948" s="114" t="str">
        <f t="shared" si="1383"/>
        <v/>
      </c>
      <c r="AN1948" s="115"/>
      <c r="AO1948" s="116"/>
      <c r="AP1948" s="116"/>
      <c r="AQ1948" s="116"/>
      <c r="AR1948" s="116"/>
      <c r="AS1948" s="116"/>
      <c r="AT1948" s="116"/>
      <c r="AU1948" s="116"/>
      <c r="AV1948" s="78"/>
      <c r="AW1948" s="102"/>
      <c r="AX1948" s="78"/>
      <c r="AY1948" s="78"/>
      <c r="AZ1948" s="78"/>
      <c r="BA1948" s="78"/>
      <c r="BB1948" s="78"/>
      <c r="BC1948" s="78"/>
      <c r="BD1948" s="78"/>
      <c r="BE1948" s="465"/>
      <c r="BF1948" s="165" t="str">
        <f t="shared" si="1384"/>
        <v>https://www.google.com/search?tbm=isch&amp;q=3%20G2</v>
      </c>
      <c r="BG1948" s="165" t="str">
        <f t="shared" si="1385"/>
        <v>H</v>
      </c>
      <c r="BH1948" s="65"/>
      <c r="BI1948" s="65"/>
      <c r="BJ1948" s="65"/>
      <c r="BK1948" s="65"/>
      <c r="BL1948" s="99"/>
      <c r="BM1948" s="99"/>
      <c r="BN1948" s="99"/>
    </row>
    <row r="1949" spans="1:66" s="51" customFormat="1" ht="17.25" thickBot="1" x14ac:dyDescent="0.3">
      <c r="A1949" s="704" t="s">
        <v>5436</v>
      </c>
      <c r="B1949" s="642"/>
      <c r="C1949" s="710"/>
      <c r="D1949" s="643"/>
      <c r="E1949" s="643"/>
      <c r="F1949" s="644"/>
      <c r="G1949" s="645"/>
      <c r="H1949" s="646"/>
      <c r="I1949" s="647"/>
      <c r="J1949" s="648"/>
      <c r="K1949" s="649"/>
      <c r="L1949" s="650"/>
      <c r="M1949" s="650"/>
      <c r="N1949" s="644"/>
      <c r="O1949" s="644"/>
      <c r="P1949" s="644"/>
      <c r="Q1949" s="644"/>
      <c r="R1949" s="644"/>
      <c r="S1949" s="651"/>
      <c r="T1949" s="102">
        <f t="shared" si="1373"/>
        <v>0</v>
      </c>
      <c r="U1949" s="78" t="str">
        <f>IF(NOT(ISNUMBER(G1949)), "", VLOOKUP(A1949,'Discount Lookup'!D:E,2,FALSE)*G1949)</f>
        <v/>
      </c>
      <c r="V1949" s="78" t="str">
        <f>IF(NOT(ISNUMBER(G1949)), "", VLOOKUP(A1949,'Discount Lookup'!G:H,2,FALSE)*G1949)</f>
        <v/>
      </c>
      <c r="W1949" s="102">
        <f t="shared" si="1374"/>
        <v>0</v>
      </c>
      <c r="X1949" s="102">
        <f t="shared" si="1375"/>
        <v>0</v>
      </c>
      <c r="Y1949" s="120" t="b">
        <f t="shared" si="1376"/>
        <v>0</v>
      </c>
      <c r="Z1949" s="117">
        <f t="shared" si="1377"/>
        <v>0</v>
      </c>
      <c r="AA1949" s="118"/>
      <c r="AB1949" s="118" t="str">
        <f t="shared" si="1378"/>
        <v/>
      </c>
      <c r="AC1949" s="712" t="str">
        <f>IF(AE1949="T2G","no charge",IF(AND(OR(PlanterYesMe="No",PlanterYesMe="N",PlanterYesMe="me"),H1949=""),"",IF(H1949="credit","NO install",IF(AND(K1949="",AE1949="me"),"EACH row",IF(AND(K1949="images",AE1949="me"),"EACH row",IF(D1949="","",IF(H1949="credit","",IF(AE1949="free","re-planting",IF(AE1949="me","   not ELP, by",IF(AND(OR(PlanterYesMe="Yes",PlanterYesMe="Y"),G1949&gt;0),(VLOOKUP(A1949,'Discount Lookup'!J:K,2)*G1949*(1-PlanterDiscount)*(1+PlanterDifficultyPercentage)),IF(AE1949="ELP",(VLOOKUP(A1949,'Discount Lookup'!J:K,2)*G1949*(1-PlanterDiscount)*(1+PlanterDifficultyPercentage)),IF(AE1949="free","re-planting",IF(G1949=0,"",IF(PlanterYesMe="",IF(AE1949="me","   not ELP, by",IF(AE1949="",IF(G1949&gt;0,(VLOOKUP(A1949,'Discount Lookup'!J:K,2)*G1949*(1-PlanterDiscount)*(1+PlanterDifficultyPercentage)),""),"")),"   not ELP, by"))))))))))))))</f>
        <v/>
      </c>
      <c r="AD1949" s="712"/>
      <c r="AE1949" s="513" t="str">
        <f t="shared" si="1379"/>
        <v/>
      </c>
      <c r="AF1949" s="713" t="str">
        <f t="shared" si="1380"/>
        <v/>
      </c>
      <c r="AG1949" s="713"/>
      <c r="AH1949" s="713"/>
      <c r="AI1949" s="112">
        <f>IF(H1949="credit",0,IF(AE1949="free",0,IF(AE1949="me",0,IF(G1949&gt;0,(VLOOKUP(A1949,'Discount Lookup'!J:K,2)*G1949),0))))</f>
        <v>0</v>
      </c>
      <c r="AJ1949" s="107" t="str">
        <f t="shared" ca="1" si="1381"/>
        <v/>
      </c>
      <c r="AK1949" s="714" t="str">
        <f t="shared" si="1382"/>
        <v/>
      </c>
      <c r="AL1949" s="714"/>
      <c r="AM1949" s="114" t="str">
        <f t="shared" si="1383"/>
        <v/>
      </c>
      <c r="AN1949" s="115"/>
      <c r="AO1949" s="116"/>
      <c r="AP1949" s="116"/>
      <c r="AQ1949" s="116"/>
      <c r="AR1949" s="116"/>
      <c r="AS1949" s="116"/>
      <c r="AT1949" s="116"/>
      <c r="AU1949" s="116"/>
      <c r="AV1949" s="78"/>
      <c r="AW1949" s="102"/>
      <c r="AX1949" s="78"/>
      <c r="AY1949" s="78"/>
      <c r="AZ1949" s="78"/>
      <c r="BA1949" s="78"/>
      <c r="BB1949" s="78"/>
      <c r="BC1949" s="78"/>
      <c r="BD1949" s="78"/>
      <c r="BE1949" s="465"/>
      <c r="BF1949" s="165" t="str">
        <f t="shared" si="1384"/>
        <v>https://www.google.com/search?tbm=isch&amp;q=moist%20sites%F0%9F%92%A7GOOD%2C%20Heart%20Throb%20has%20Green%20foliage.%20Most%20%22Bigleaf%22%20Hydrangea%20have%20snowball%20flowers%20on%20old%20wood.%20Acidic%20soil%20for%20Blue%2C%20Alkaline%20for%20Pink%20</v>
      </c>
      <c r="BG1949" s="165" t="str">
        <f t="shared" si="1385"/>
        <v>m</v>
      </c>
      <c r="BH1949" s="65"/>
      <c r="BI1949" s="65"/>
      <c r="BJ1949" s="65"/>
      <c r="BK1949" s="65"/>
      <c r="BL1949" s="99"/>
      <c r="BM1949" s="99"/>
      <c r="BN1949" s="99"/>
    </row>
    <row r="1950" spans="1:66" s="51" customFormat="1" ht="18" x14ac:dyDescent="0.25">
      <c r="A1950" s="623" t="s">
        <v>2789</v>
      </c>
      <c r="B1950" s="624"/>
      <c r="C1950" s="709"/>
      <c r="D1950" s="625" t="s">
        <v>5685</v>
      </c>
      <c r="E1950" s="626"/>
      <c r="F1950" s="626"/>
      <c r="G1950" s="626"/>
      <c r="H1950" s="622" t="s">
        <v>1124</v>
      </c>
      <c r="I1950" s="627" t="s">
        <v>2785</v>
      </c>
      <c r="J1950" s="628"/>
      <c r="K1950" s="628"/>
      <c r="L1950" s="629"/>
      <c r="M1950" s="702" t="s">
        <v>5252</v>
      </c>
      <c r="N1950" s="693" t="str">
        <f>IF(AND(ISTEXT($A1950), ISERROR($A1950+0)), HYPERLINK($BF1950, "Images"), "")</f>
        <v>Images</v>
      </c>
      <c r="O1950" s="695" t="s">
        <v>5264</v>
      </c>
      <c r="P1950" s="630"/>
      <c r="Q1950" s="631"/>
      <c r="R1950" s="632"/>
      <c r="S1950" s="633"/>
      <c r="T1950" s="102">
        <f t="shared" si="1373"/>
        <v>0</v>
      </c>
      <c r="U1950" s="78" t="str">
        <f>IF(NOT(ISNUMBER(G1950)), "", VLOOKUP(A1950,'Discount Lookup'!D:E,2,FALSE)*G1950)</f>
        <v/>
      </c>
      <c r="V1950" s="78" t="str">
        <f>IF(NOT(ISNUMBER(G1950)), "", VLOOKUP(A1950,'Discount Lookup'!G:H,2,FALSE)*G1950)</f>
        <v/>
      </c>
      <c r="W1950" s="102">
        <f t="shared" si="1374"/>
        <v>0</v>
      </c>
      <c r="X1950" s="102" t="str">
        <f t="shared" si="1375"/>
        <v>Pink to Blue bloom</v>
      </c>
      <c r="Y1950" s="120" t="b">
        <f t="shared" si="1376"/>
        <v>0</v>
      </c>
      <c r="Z1950" s="117">
        <f t="shared" si="1377"/>
        <v>0</v>
      </c>
      <c r="AA1950" s="118"/>
      <c r="AB1950" s="118" t="str">
        <f t="shared" si="1378"/>
        <v/>
      </c>
      <c r="AC1950" s="712" t="str">
        <f>IF(AE1950="T2G","no charge",IF(AND(OR(PlanterYesMe="No",PlanterYesMe="N",PlanterYesMe="me"),H1950=""),"",IF(H1950="credit","NO install",IF(AND(K1950="",AE1950="me"),"EACH row",IF(AND(K1950="images",AE1950="me"),"EACH row",IF(D1950="","",IF(H1950="credit","",IF(AE1950="free","re-planting",IF(AE1950="me","   not ELP, by",IF(AND(OR(PlanterYesMe="Yes",PlanterYesMe="Y"),G1950&gt;0),(VLOOKUP(A1950,'Discount Lookup'!J:K,2)*G1950*(1-PlanterDiscount)*(1+PlanterDifficultyPercentage)),IF(AE1950="ELP",(VLOOKUP(A1950,'Discount Lookup'!J:K,2)*G1950*(1-PlanterDiscount)*(1+PlanterDifficultyPercentage)),IF(AE1950="free","re-planting",IF(G1950=0,"",IF(PlanterYesMe="",IF(AE1950="me","   not ELP, by",IF(AE1950="",IF(G1950&gt;0,(VLOOKUP(A1950,'Discount Lookup'!J:K,2)*G1950*(1-PlanterDiscount)*(1+PlanterDifficultyPercentage)),""),"")),"   not ELP, by"))))))))))))))</f>
        <v/>
      </c>
      <c r="AD1950" s="712"/>
      <c r="AE1950" s="513" t="str">
        <f t="shared" si="1379"/>
        <v/>
      </c>
      <c r="AF1950" s="713" t="str">
        <f t="shared" si="1380"/>
        <v/>
      </c>
      <c r="AG1950" s="713"/>
      <c r="AH1950" s="713"/>
      <c r="AI1950" s="112">
        <f>IF(H1950="credit",0,IF(AE1950="free",0,IF(AE1950="me",0,IF(G1950&gt;0,(VLOOKUP(A1950,'Discount Lookup'!J:K,2)*G1950),0))))</f>
        <v>0</v>
      </c>
      <c r="AJ1950" s="107" t="str">
        <f t="shared" ca="1" si="1381"/>
        <v/>
      </c>
      <c r="AK1950" s="714" t="str">
        <f t="shared" si="1382"/>
        <v/>
      </c>
      <c r="AL1950" s="714"/>
      <c r="AM1950" s="114" t="str">
        <f t="shared" si="1383"/>
        <v/>
      </c>
      <c r="AN1950" s="115"/>
      <c r="AO1950" s="116"/>
      <c r="AP1950" s="116"/>
      <c r="AQ1950" s="116"/>
      <c r="AR1950" s="116"/>
      <c r="AS1950" s="116"/>
      <c r="AT1950" s="116"/>
      <c r="AU1950" s="116"/>
      <c r="AV1950" s="78"/>
      <c r="AW1950" s="102"/>
      <c r="AX1950" s="78"/>
      <c r="AY1950" s="78"/>
      <c r="AZ1950" s="78"/>
      <c r="BA1950" s="78"/>
      <c r="BB1950" s="78"/>
      <c r="BC1950" s="78"/>
      <c r="BD1950" s="78"/>
      <c r="BE1950" s="465"/>
      <c r="BF1950" s="165" t="str">
        <f t="shared" si="1384"/>
        <v>https://www.google.com/search?tbm=isch&amp;q=Hyd.%20macrophylla%20%27Hydrsrpdow%27%20PP%2329836P2%20Double%20Down%C2%AE%20Bigleaf%20Hydrangea</v>
      </c>
      <c r="BG1950" s="165" t="str">
        <f t="shared" si="1385"/>
        <v>H</v>
      </c>
      <c r="BH1950" s="65"/>
      <c r="BI1950" s="65"/>
      <c r="BJ1950" s="65"/>
      <c r="BK1950" s="65"/>
      <c r="BL1950" s="99"/>
      <c r="BM1950" s="99"/>
      <c r="BN1950" s="99"/>
    </row>
    <row r="1951" spans="1:66" s="51" customFormat="1" ht="15.75" x14ac:dyDescent="0.25">
      <c r="A1951" s="634">
        <v>3</v>
      </c>
      <c r="B1951" s="635" t="s">
        <v>291</v>
      </c>
      <c r="C1951" s="636" t="s">
        <v>2790</v>
      </c>
      <c r="D1951" s="637" t="s">
        <v>329</v>
      </c>
      <c r="E1951" s="638">
        <v>30.95</v>
      </c>
      <c r="F1951" s="639" t="s">
        <v>292</v>
      </c>
      <c r="G1951" s="484">
        <v>0</v>
      </c>
      <c r="H1951" s="691" t="str">
        <f>IF(G1951=0,"",IF(F1951="Buy",IF(G1951=1,"plant","plants"),IF(F1951&gt;0.01,"warranty","Error")))</f>
        <v/>
      </c>
      <c r="I1951" s="640">
        <f>IF(H1951="free",0,IF(H1951="credit",((E1951*(F1951))*G1951*-1),IF(F1951="Buy",(E1951*G1951),((E1951*(1-F1951))*G1951))))</f>
        <v>0</v>
      </c>
      <c r="J1951" s="640">
        <f>IF(H1951="warranty",0,(I1951*(_xlfn.SINGLE(SalesTaxPercentage))))</f>
        <v>0</v>
      </c>
      <c r="K1951" s="716">
        <f t="shared" ref="K1951" si="1389">I1951+J1951</f>
        <v>0</v>
      </c>
      <c r="L1951" s="716"/>
      <c r="M1951" s="689" t="str">
        <f ca="1">IF(AND(G1951&gt;0,E1951=0),"WARNING - no PRICE inserted",IF(H1951="free","FREE ~ no charge this plant",IF(H1951="credit",CONCATENATE("-$",ROUND(K1951*(1-_xlfn.SINGLE(T2GDiscount))*-1,2)," CREDIT after discount"),IF(_xlfn.SINGLE(T2GDiscount)=0,"",IF(G1951=0,"",IF(F1951="Buy",CONCATENATE("$",ROUND(K1951*(1-_xlfn.SINGLE(T2GDiscount)),2)," with ",(_xlfn.SINGLE(T2GDiscount)*100),"% discount"),CONCATENATE("$",ROUND(K1951*(1-_xlfn.SINGLE(T2GDiscount)),2)," with ",((_xlfn.SINGLE(T2GDiscount)*100+F1951*100)-(_xlfn.SINGLE(T2GDiscount)*100*F1951)),IF(F1951&gt;0,"% discounts",IF(_xlfn.SINGLE(NoWarrantyDiscount)&gt;0,"% discounts","% discount")))))))))</f>
        <v/>
      </c>
      <c r="N1951" s="690"/>
      <c r="O1951" s="486"/>
      <c r="P1951" s="486"/>
      <c r="Q1951" s="486"/>
      <c r="R1951" s="486"/>
      <c r="S1951" s="486"/>
      <c r="T1951" s="102">
        <f t="shared" si="1373"/>
        <v>0</v>
      </c>
      <c r="U1951" s="78">
        <f>IF(NOT(ISNUMBER(G1951)), "", VLOOKUP(A1951,'Discount Lookup'!D:E,2,FALSE)*G1951)</f>
        <v>0</v>
      </c>
      <c r="V1951" s="78">
        <f>IF(NOT(ISNUMBER(G1951)), "", VLOOKUP(A1951,'Discount Lookup'!G:H,2,FALSE)*G1951)</f>
        <v>0</v>
      </c>
      <c r="W1951" s="102">
        <f t="shared" si="1374"/>
        <v>0</v>
      </c>
      <c r="X1951" s="102">
        <f t="shared" si="1375"/>
        <v>0</v>
      </c>
      <c r="Y1951" s="120" t="b">
        <f t="shared" si="1376"/>
        <v>0</v>
      </c>
      <c r="Z1951" s="117">
        <f t="shared" si="1377"/>
        <v>0</v>
      </c>
      <c r="AA1951" s="118"/>
      <c r="AB1951" s="118" t="str">
        <f t="shared" si="1378"/>
        <v/>
      </c>
      <c r="AC1951" s="712" t="str">
        <f>IF(AE1951="T2G","no charge",IF(AND(OR(PlanterYesMe="No",PlanterYesMe="N",PlanterYesMe="me"),H1951=""),"",IF(H1951="credit","NO install",IF(AND(K1951="",AE1951="me"),"EACH row",IF(AND(K1951="images",AE1951="me"),"EACH row",IF(D1951="","",IF(H1951="credit","",IF(AE1951="free","re-planting",IF(AE1951="me","   not ELP, by",IF(AND(OR(PlanterYesMe="Yes",PlanterYesMe="Y"),G1951&gt;0),(VLOOKUP(A1951,'Discount Lookup'!J:K,2)*G1951*(1-PlanterDiscount)*(1+PlanterDifficultyPercentage)),IF(AE1951="ELP",(VLOOKUP(A1951,'Discount Lookup'!J:K,2)*G1951*(1-PlanterDiscount)*(1+PlanterDifficultyPercentage)),IF(AE1951="free","re-planting",IF(G1951=0,"",IF(PlanterYesMe="",IF(AE1951="me","   not ELP, by",IF(AE1951="",IF(G1951&gt;0,(VLOOKUP(A1951,'Discount Lookup'!J:K,2)*G1951*(1-PlanterDiscount)*(1+PlanterDifficultyPercentage)),""),"")),"   not ELP, by"))))))))))))))</f>
        <v/>
      </c>
      <c r="AD1951" s="712"/>
      <c r="AE1951" s="513" t="str">
        <f t="shared" si="1379"/>
        <v/>
      </c>
      <c r="AF1951" s="713" t="str">
        <f t="shared" si="1380"/>
        <v/>
      </c>
      <c r="AG1951" s="713"/>
      <c r="AH1951" s="713"/>
      <c r="AI1951" s="112">
        <f>IF(H1951="credit",0,IF(AE1951="free",0,IF(AE1951="me",0,IF(G1951&gt;0,(VLOOKUP(A1951,'Discount Lookup'!J:K,2)*G1951),0))))</f>
        <v>0</v>
      </c>
      <c r="AJ1951" s="107" t="str">
        <f t="shared" ca="1" si="1381"/>
        <v/>
      </c>
      <c r="AK1951" s="714" t="str">
        <f t="shared" si="1382"/>
        <v/>
      </c>
      <c r="AL1951" s="714"/>
      <c r="AM1951" s="114" t="str">
        <f t="shared" si="1383"/>
        <v/>
      </c>
      <c r="AN1951" s="115"/>
      <c r="AO1951" s="116"/>
      <c r="AP1951" s="116"/>
      <c r="AQ1951" s="116"/>
      <c r="AR1951" s="116"/>
      <c r="AS1951" s="116"/>
      <c r="AT1951" s="116"/>
      <c r="AU1951" s="116"/>
      <c r="AV1951" s="78"/>
      <c r="AW1951" s="102"/>
      <c r="AX1951" s="78"/>
      <c r="AY1951" s="78"/>
      <c r="AZ1951" s="78"/>
      <c r="BA1951" s="78"/>
      <c r="BB1951" s="78"/>
      <c r="BC1951" s="78"/>
      <c r="BD1951" s="78"/>
      <c r="BE1951" s="465"/>
      <c r="BF1951" s="165" t="str">
        <f t="shared" si="1384"/>
        <v>https://www.google.com/search?tbm=isch&amp;q=3%20G2</v>
      </c>
      <c r="BG1951" s="165" t="str">
        <f t="shared" si="1385"/>
        <v>H</v>
      </c>
      <c r="BH1951" s="65"/>
      <c r="BI1951" s="65"/>
      <c r="BJ1951" s="65"/>
      <c r="BK1951" s="65"/>
      <c r="BL1951" s="99"/>
      <c r="BM1951" s="99"/>
      <c r="BN1951" s="99"/>
    </row>
    <row r="1952" spans="1:66" s="51" customFormat="1" ht="15.75" x14ac:dyDescent="0.25">
      <c r="A1952" s="634">
        <v>3</v>
      </c>
      <c r="B1952" s="635" t="s">
        <v>291</v>
      </c>
      <c r="C1952" s="636" t="s">
        <v>1871</v>
      </c>
      <c r="D1952" s="637" t="s">
        <v>310</v>
      </c>
      <c r="E1952" s="638">
        <v>32.950000000000003</v>
      </c>
      <c r="F1952" s="639" t="s">
        <v>292</v>
      </c>
      <c r="G1952" s="484">
        <v>0</v>
      </c>
      <c r="H1952" s="691" t="str">
        <f>IF(G1952=0,"",IF(F1952="Buy",IF(G1952=1,"plant","plants"),IF(F1952&gt;0.01,"warranty","Error")))</f>
        <v/>
      </c>
      <c r="I1952" s="640">
        <f>IF(H1952="free",0,IF(H1952="credit",((E1952*(F1952))*G1952*-1),IF(F1952="Buy",(E1952*G1952),((E1952*(1-F1952))*G1952))))</f>
        <v>0</v>
      </c>
      <c r="J1952" s="640">
        <f>IF(H1952="warranty",0,(I1952*(_xlfn.SINGLE(SalesTaxPercentage))))</f>
        <v>0</v>
      </c>
      <c r="K1952" s="716">
        <f t="shared" ref="K1952" si="1390">I1952+J1952</f>
        <v>0</v>
      </c>
      <c r="L1952" s="716"/>
      <c r="M1952" s="689" t="str">
        <f ca="1">IF(AND(G1952&gt;0,E1952=0),"WARNING - no PRICE inserted",IF(H1952="free","FREE ~ no charge this plant",IF(H1952="credit",CONCATENATE("-$",ROUND(K1952*(1-_xlfn.SINGLE(T2GDiscount))*-1,2)," CREDIT after discount"),IF(_xlfn.SINGLE(T2GDiscount)=0,"",IF(G1952=0,"",IF(F1952="Buy",CONCATENATE("$",ROUND(K1952*(1-_xlfn.SINGLE(T2GDiscount)),2)," with ",(_xlfn.SINGLE(T2GDiscount)*100),"% discount"),CONCATENATE("$",ROUND(K1952*(1-_xlfn.SINGLE(T2GDiscount)),2)," with ",((_xlfn.SINGLE(T2GDiscount)*100+F1952*100)-(_xlfn.SINGLE(T2GDiscount)*100*F1952)),IF(F1952&gt;0,"% discounts",IF(_xlfn.SINGLE(NoWarrantyDiscount)&gt;0,"% discounts","% discount")))))))))</f>
        <v/>
      </c>
      <c r="N1952" s="690"/>
      <c r="O1952" s="486"/>
      <c r="P1952" s="486"/>
      <c r="Q1952" s="486"/>
      <c r="R1952" s="486"/>
      <c r="S1952" s="486"/>
      <c r="T1952" s="102">
        <f t="shared" si="1373"/>
        <v>0</v>
      </c>
      <c r="U1952" s="78">
        <f>IF(NOT(ISNUMBER(G1952)), "", VLOOKUP(A1952,'Discount Lookup'!D:E,2,FALSE)*G1952)</f>
        <v>0</v>
      </c>
      <c r="V1952" s="78">
        <f>IF(NOT(ISNUMBER(G1952)), "", VLOOKUP(A1952,'Discount Lookup'!G:H,2,FALSE)*G1952)</f>
        <v>0</v>
      </c>
      <c r="W1952" s="102">
        <f t="shared" si="1374"/>
        <v>0</v>
      </c>
      <c r="X1952" s="102">
        <f t="shared" si="1375"/>
        <v>0</v>
      </c>
      <c r="Y1952" s="120" t="b">
        <f t="shared" si="1376"/>
        <v>0</v>
      </c>
      <c r="Z1952" s="117">
        <f t="shared" si="1377"/>
        <v>0</v>
      </c>
      <c r="AA1952" s="118"/>
      <c r="AB1952" s="118" t="str">
        <f t="shared" si="1378"/>
        <v/>
      </c>
      <c r="AC1952" s="712" t="str">
        <f>IF(AE1952="T2G","no charge",IF(AND(OR(PlanterYesMe="No",PlanterYesMe="N",PlanterYesMe="me"),H1952=""),"",IF(H1952="credit","NO install",IF(AND(K1952="",AE1952="me"),"EACH row",IF(AND(K1952="images",AE1952="me"),"EACH row",IF(D1952="","",IF(H1952="credit","",IF(AE1952="free","re-planting",IF(AE1952="me","   not ELP, by",IF(AND(OR(PlanterYesMe="Yes",PlanterYesMe="Y"),G1952&gt;0),(VLOOKUP(A1952,'Discount Lookup'!J:K,2)*G1952*(1-PlanterDiscount)*(1+PlanterDifficultyPercentage)),IF(AE1952="ELP",(VLOOKUP(A1952,'Discount Lookup'!J:K,2)*G1952*(1-PlanterDiscount)*(1+PlanterDifficultyPercentage)),IF(AE1952="free","re-planting",IF(G1952=0,"",IF(PlanterYesMe="",IF(AE1952="me","   not ELP, by",IF(AE1952="",IF(G1952&gt;0,(VLOOKUP(A1952,'Discount Lookup'!J:K,2)*G1952*(1-PlanterDiscount)*(1+PlanterDifficultyPercentage)),""),"")),"   not ELP, by"))))))))))))))</f>
        <v/>
      </c>
      <c r="AD1952" s="712"/>
      <c r="AE1952" s="513" t="str">
        <f t="shared" si="1379"/>
        <v/>
      </c>
      <c r="AF1952" s="713" t="str">
        <f t="shared" si="1380"/>
        <v/>
      </c>
      <c r="AG1952" s="713"/>
      <c r="AH1952" s="713"/>
      <c r="AI1952" s="112">
        <f>IF(H1952="credit",0,IF(AE1952="free",0,IF(AE1952="me",0,IF(G1952&gt;0,(VLOOKUP(A1952,'Discount Lookup'!J:K,2)*G1952),0))))</f>
        <v>0</v>
      </c>
      <c r="AJ1952" s="107" t="str">
        <f t="shared" ca="1" si="1381"/>
        <v/>
      </c>
      <c r="AK1952" s="714" t="str">
        <f t="shared" si="1382"/>
        <v/>
      </c>
      <c r="AL1952" s="714"/>
      <c r="AM1952" s="114" t="str">
        <f t="shared" si="1383"/>
        <v/>
      </c>
      <c r="AN1952" s="115"/>
      <c r="AO1952" s="116"/>
      <c r="AP1952" s="116"/>
      <c r="AQ1952" s="116"/>
      <c r="AR1952" s="116"/>
      <c r="AS1952" s="116"/>
      <c r="AT1952" s="116"/>
      <c r="AU1952" s="116"/>
      <c r="AV1952" s="78"/>
      <c r="AW1952" s="102"/>
      <c r="AX1952" s="78"/>
      <c r="AY1952" s="78"/>
      <c r="AZ1952" s="78"/>
      <c r="BA1952" s="78"/>
      <c r="BB1952" s="78"/>
      <c r="BC1952" s="78"/>
      <c r="BD1952" s="78"/>
      <c r="BE1952" s="465"/>
      <c r="BF1952" s="165" t="str">
        <f t="shared" si="1384"/>
        <v>https://www.google.com/search?tbm=isch&amp;q=3%20G1</v>
      </c>
      <c r="BG1952" s="165" t="str">
        <f t="shared" si="1385"/>
        <v>H</v>
      </c>
      <c r="BH1952" s="65"/>
      <c r="BI1952" s="65"/>
      <c r="BJ1952" s="65"/>
      <c r="BK1952" s="65"/>
      <c r="BL1952" s="99"/>
      <c r="BM1952" s="99"/>
      <c r="BN1952" s="99"/>
    </row>
    <row r="1953" spans="1:66" s="51" customFormat="1" ht="15.75" x14ac:dyDescent="0.25">
      <c r="A1953" s="634">
        <v>3</v>
      </c>
      <c r="B1953" s="635" t="s">
        <v>291</v>
      </c>
      <c r="C1953" s="636" t="s">
        <v>2791</v>
      </c>
      <c r="D1953" s="637" t="s">
        <v>309</v>
      </c>
      <c r="E1953" s="638">
        <v>32.950000000000003</v>
      </c>
      <c r="F1953" s="639" t="s">
        <v>292</v>
      </c>
      <c r="G1953" s="484">
        <v>0</v>
      </c>
      <c r="H1953" s="691" t="str">
        <f>IF(G1953=0,"",IF(F1953="Buy",IF(G1953=1,"plant","plants"),IF(F1953&gt;0.01,"warranty","Error")))</f>
        <v/>
      </c>
      <c r="I1953" s="640">
        <f>IF(H1953="free",0,IF(H1953="credit",((E1953*(F1953))*G1953*-1),IF(F1953="Buy",(E1953*G1953),((E1953*(1-F1953))*G1953))))</f>
        <v>0</v>
      </c>
      <c r="J1953" s="640">
        <f>IF(H1953="warranty",0,(I1953*(_xlfn.SINGLE(SalesTaxPercentage))))</f>
        <v>0</v>
      </c>
      <c r="K1953" s="716">
        <f t="shared" ref="K1953" si="1391">I1953+J1953</f>
        <v>0</v>
      </c>
      <c r="L1953" s="716"/>
      <c r="M1953" s="689" t="str">
        <f ca="1">IF(AND(G1953&gt;0,E1953=0),"WARNING - no PRICE inserted",IF(H1953="free","FREE ~ no charge this plant",IF(H1953="credit",CONCATENATE("-$",ROUND(K1953*(1-_xlfn.SINGLE(T2GDiscount))*-1,2)," CREDIT after discount"),IF(_xlfn.SINGLE(T2GDiscount)=0,"",IF(G1953=0,"",IF(F1953="Buy",CONCATENATE("$",ROUND(K1953*(1-_xlfn.SINGLE(T2GDiscount)),2)," with ",(_xlfn.SINGLE(T2GDiscount)*100),"% discount"),CONCATENATE("$",ROUND(K1953*(1-_xlfn.SINGLE(T2GDiscount)),2)," with ",((_xlfn.SINGLE(T2GDiscount)*100+F1953*100)-(_xlfn.SINGLE(T2GDiscount)*100*F1953)),IF(F1953&gt;0,"% discounts",IF(_xlfn.SINGLE(NoWarrantyDiscount)&gt;0,"% discounts","% discount")))))))))</f>
        <v/>
      </c>
      <c r="N1953" s="690"/>
      <c r="O1953" s="486"/>
      <c r="P1953" s="486"/>
      <c r="Q1953" s="486"/>
      <c r="R1953" s="486"/>
      <c r="S1953" s="486"/>
      <c r="T1953" s="102">
        <f t="shared" si="1373"/>
        <v>0</v>
      </c>
      <c r="U1953" s="78">
        <f>IF(NOT(ISNUMBER(G1953)), "", VLOOKUP(A1953,'Discount Lookup'!D:E,2,FALSE)*G1953)</f>
        <v>0</v>
      </c>
      <c r="V1953" s="78">
        <f>IF(NOT(ISNUMBER(G1953)), "", VLOOKUP(A1953,'Discount Lookup'!G:H,2,FALSE)*G1953)</f>
        <v>0</v>
      </c>
      <c r="W1953" s="102">
        <f t="shared" si="1374"/>
        <v>0</v>
      </c>
      <c r="X1953" s="102">
        <f t="shared" si="1375"/>
        <v>0</v>
      </c>
      <c r="Y1953" s="120" t="b">
        <f t="shared" si="1376"/>
        <v>0</v>
      </c>
      <c r="Z1953" s="117">
        <f t="shared" si="1377"/>
        <v>0</v>
      </c>
      <c r="AA1953" s="118"/>
      <c r="AB1953" s="118" t="str">
        <f t="shared" si="1378"/>
        <v/>
      </c>
      <c r="AC1953" s="712" t="str">
        <f>IF(AE1953="T2G","no charge",IF(AND(OR(PlanterYesMe="No",PlanterYesMe="N",PlanterYesMe="me"),H1953=""),"",IF(H1953="credit","NO install",IF(AND(K1953="",AE1953="me"),"EACH row",IF(AND(K1953="images",AE1953="me"),"EACH row",IF(D1953="","",IF(H1953="credit","",IF(AE1953="free","re-planting",IF(AE1953="me","   not ELP, by",IF(AND(OR(PlanterYesMe="Yes",PlanterYesMe="Y"),G1953&gt;0),(VLOOKUP(A1953,'Discount Lookup'!J:K,2)*G1953*(1-PlanterDiscount)*(1+PlanterDifficultyPercentage)),IF(AE1953="ELP",(VLOOKUP(A1953,'Discount Lookup'!J:K,2)*G1953*(1-PlanterDiscount)*(1+PlanterDifficultyPercentage)),IF(AE1953="free","re-planting",IF(G1953=0,"",IF(PlanterYesMe="",IF(AE1953="me","   not ELP, by",IF(AE1953="",IF(G1953&gt;0,(VLOOKUP(A1953,'Discount Lookup'!J:K,2)*G1953*(1-PlanterDiscount)*(1+PlanterDifficultyPercentage)),""),"")),"   not ELP, by"))))))))))))))</f>
        <v/>
      </c>
      <c r="AD1953" s="712"/>
      <c r="AE1953" s="513" t="str">
        <f t="shared" si="1379"/>
        <v/>
      </c>
      <c r="AF1953" s="713" t="str">
        <f t="shared" si="1380"/>
        <v/>
      </c>
      <c r="AG1953" s="713"/>
      <c r="AH1953" s="713"/>
      <c r="AI1953" s="112">
        <f>IF(H1953="credit",0,IF(AE1953="free",0,IF(AE1953="me",0,IF(G1953&gt;0,(VLOOKUP(A1953,'Discount Lookup'!J:K,2)*G1953),0))))</f>
        <v>0</v>
      </c>
      <c r="AJ1953" s="107" t="str">
        <f t="shared" ca="1" si="1381"/>
        <v/>
      </c>
      <c r="AK1953" s="714" t="str">
        <f t="shared" si="1382"/>
        <v/>
      </c>
      <c r="AL1953" s="714"/>
      <c r="AM1953" s="114" t="str">
        <f t="shared" si="1383"/>
        <v/>
      </c>
      <c r="AN1953" s="115"/>
      <c r="AO1953" s="116"/>
      <c r="AP1953" s="116"/>
      <c r="AQ1953" s="116"/>
      <c r="AR1953" s="116"/>
      <c r="AS1953" s="116"/>
      <c r="AT1953" s="116"/>
      <c r="AU1953" s="116"/>
      <c r="AV1953" s="78"/>
      <c r="AW1953" s="102"/>
      <c r="AX1953" s="78"/>
      <c r="AY1953" s="78"/>
      <c r="AZ1953" s="78"/>
      <c r="BA1953" s="78"/>
      <c r="BB1953" s="78"/>
      <c r="BC1953" s="78"/>
      <c r="BD1953" s="78"/>
      <c r="BE1953" s="465"/>
      <c r="BF1953" s="165" t="str">
        <f t="shared" si="1384"/>
        <v>https://www.google.com/search?tbm=isch&amp;q=3%20G3</v>
      </c>
      <c r="BG1953" s="165" t="str">
        <f t="shared" si="1385"/>
        <v>H</v>
      </c>
      <c r="BH1953" s="65"/>
      <c r="BI1953" s="65"/>
      <c r="BJ1953" s="65"/>
      <c r="BK1953" s="65"/>
      <c r="BL1953" s="99"/>
      <c r="BM1953" s="99"/>
      <c r="BN1953" s="99"/>
    </row>
    <row r="1954" spans="1:66" s="51" customFormat="1" ht="17.25" thickBot="1" x14ac:dyDescent="0.3">
      <c r="A1954" s="704" t="s">
        <v>5437</v>
      </c>
      <c r="B1954" s="642"/>
      <c r="C1954" s="710"/>
      <c r="D1954" s="643"/>
      <c r="E1954" s="643"/>
      <c r="F1954" s="644"/>
      <c r="G1954" s="645"/>
      <c r="H1954" s="646"/>
      <c r="I1954" s="647"/>
      <c r="J1954" s="648"/>
      <c r="K1954" s="649"/>
      <c r="L1954" s="650"/>
      <c r="M1954" s="650"/>
      <c r="N1954" s="644"/>
      <c r="O1954" s="644"/>
      <c r="P1954" s="644"/>
      <c r="Q1954" s="644"/>
      <c r="R1954" s="644"/>
      <c r="S1954" s="651"/>
      <c r="T1954" s="102">
        <f t="shared" si="1373"/>
        <v>0</v>
      </c>
      <c r="U1954" s="78" t="str">
        <f>IF(NOT(ISNUMBER(G1954)), "", VLOOKUP(A1954,'Discount Lookup'!D:E,2,FALSE)*G1954)</f>
        <v/>
      </c>
      <c r="V1954" s="78" t="str">
        <f>IF(NOT(ISNUMBER(G1954)), "", VLOOKUP(A1954,'Discount Lookup'!G:H,2,FALSE)*G1954)</f>
        <v/>
      </c>
      <c r="W1954" s="102">
        <f t="shared" si="1374"/>
        <v>0</v>
      </c>
      <c r="X1954" s="102">
        <f t="shared" si="1375"/>
        <v>0</v>
      </c>
      <c r="Y1954" s="120" t="b">
        <f t="shared" si="1376"/>
        <v>0</v>
      </c>
      <c r="Z1954" s="117">
        <f t="shared" si="1377"/>
        <v>0</v>
      </c>
      <c r="AA1954" s="118"/>
      <c r="AB1954" s="118" t="str">
        <f t="shared" si="1378"/>
        <v/>
      </c>
      <c r="AC1954" s="712" t="str">
        <f>IF(AE1954="T2G","no charge",IF(AND(OR(PlanterYesMe="No",PlanterYesMe="N",PlanterYesMe="me"),H1954=""),"",IF(H1954="credit","NO install",IF(AND(K1954="",AE1954="me"),"EACH row",IF(AND(K1954="images",AE1954="me"),"EACH row",IF(D1954="","",IF(H1954="credit","",IF(AE1954="free","re-planting",IF(AE1954="me","   not ELP, by",IF(AND(OR(PlanterYesMe="Yes",PlanterYesMe="Y"),G1954&gt;0),(VLOOKUP(A1954,'Discount Lookup'!J:K,2)*G1954*(1-PlanterDiscount)*(1+PlanterDifficultyPercentage)),IF(AE1954="ELP",(VLOOKUP(A1954,'Discount Lookup'!J:K,2)*G1954*(1-PlanterDiscount)*(1+PlanterDifficultyPercentage)),IF(AE1954="free","re-planting",IF(G1954=0,"",IF(PlanterYesMe="",IF(AE1954="me","   not ELP, by",IF(AE1954="",IF(G1954&gt;0,(VLOOKUP(A1954,'Discount Lookup'!J:K,2)*G1954*(1-PlanterDiscount)*(1+PlanterDifficultyPercentage)),""),"")),"   not ELP, by"))))))))))))))</f>
        <v/>
      </c>
      <c r="AD1954" s="712"/>
      <c r="AE1954" s="513" t="str">
        <f t="shared" si="1379"/>
        <v/>
      </c>
      <c r="AF1954" s="713" t="str">
        <f t="shared" si="1380"/>
        <v/>
      </c>
      <c r="AG1954" s="713"/>
      <c r="AH1954" s="713"/>
      <c r="AI1954" s="112">
        <f>IF(H1954="credit",0,IF(AE1954="free",0,IF(AE1954="me",0,IF(G1954&gt;0,(VLOOKUP(A1954,'Discount Lookup'!J:K,2)*G1954),0))))</f>
        <v>0</v>
      </c>
      <c r="AJ1954" s="107" t="str">
        <f t="shared" ca="1" si="1381"/>
        <v/>
      </c>
      <c r="AK1954" s="714" t="str">
        <f t="shared" si="1382"/>
        <v/>
      </c>
      <c r="AL1954" s="714"/>
      <c r="AM1954" s="114" t="str">
        <f t="shared" si="1383"/>
        <v/>
      </c>
      <c r="AN1954" s="115"/>
      <c r="AO1954" s="116"/>
      <c r="AP1954" s="116"/>
      <c r="AQ1954" s="116"/>
      <c r="AR1954" s="116"/>
      <c r="AS1954" s="116"/>
      <c r="AT1954" s="116"/>
      <c r="AU1954" s="116"/>
      <c r="AV1954" s="78"/>
      <c r="AW1954" s="102"/>
      <c r="AX1954" s="78"/>
      <c r="AY1954" s="78"/>
      <c r="AZ1954" s="78"/>
      <c r="BA1954" s="78"/>
      <c r="BB1954" s="78"/>
      <c r="BC1954" s="78"/>
      <c r="BD1954" s="78"/>
      <c r="BE1954" s="465"/>
      <c r="BF1954" s="165" t="str">
        <f t="shared" si="1384"/>
        <v>https://www.google.com/search?tbm=isch&amp;q=moist%20sites%F0%9F%92%A7GOOD%2C%20Double%20Down%20has%20Green%20foliage.%20Most%20%22Bigleaf%22%20Hydrangea%20have%20snowball%20flowers%20on%20old%20wood.%20Acidic%20soil%20for%20Blue%2C%20Alkaline%20for%20Pink%20</v>
      </c>
      <c r="BG1954" s="165" t="str">
        <f t="shared" si="1385"/>
        <v>m</v>
      </c>
      <c r="BH1954" s="65"/>
      <c r="BI1954" s="65"/>
      <c r="BJ1954" s="65"/>
      <c r="BK1954" s="65"/>
      <c r="BL1954" s="99"/>
      <c r="BM1954" s="99"/>
      <c r="BN1954" s="99"/>
    </row>
    <row r="1955" spans="1:66" s="51" customFormat="1" ht="18" x14ac:dyDescent="0.25">
      <c r="A1955" s="623" t="s">
        <v>2792</v>
      </c>
      <c r="B1955" s="624"/>
      <c r="C1955" s="709"/>
      <c r="D1955" s="625" t="s">
        <v>2793</v>
      </c>
      <c r="E1955" s="626"/>
      <c r="F1955" s="626"/>
      <c r="G1955" s="626"/>
      <c r="H1955" s="622" t="s">
        <v>1082</v>
      </c>
      <c r="I1955" s="627" t="s">
        <v>2785</v>
      </c>
      <c r="J1955" s="628"/>
      <c r="K1955" s="628"/>
      <c r="L1955" s="629"/>
      <c r="M1955" s="702" t="s">
        <v>5252</v>
      </c>
      <c r="N1955" s="693" t="str">
        <f>IF(AND(ISTEXT($A1955), ISERROR($A1955+0)), HYPERLINK($BF1955, "Images"), "")</f>
        <v>Images</v>
      </c>
      <c r="O1955" s="695" t="s">
        <v>5264</v>
      </c>
      <c r="P1955" s="630"/>
      <c r="Q1955" s="631"/>
      <c r="R1955" s="632"/>
      <c r="S1955" s="633"/>
      <c r="T1955" s="102">
        <f t="shared" si="1373"/>
        <v>0</v>
      </c>
      <c r="U1955" s="78" t="str">
        <f>IF(NOT(ISNUMBER(G1955)), "", VLOOKUP(A1955,'Discount Lookup'!D:E,2,FALSE)*G1955)</f>
        <v/>
      </c>
      <c r="V1955" s="78" t="str">
        <f>IF(NOT(ISNUMBER(G1955)), "", VLOOKUP(A1955,'Discount Lookup'!G:H,2,FALSE)*G1955)</f>
        <v/>
      </c>
      <c r="W1955" s="102">
        <f t="shared" si="1374"/>
        <v>0</v>
      </c>
      <c r="X1955" s="102" t="str">
        <f t="shared" si="1375"/>
        <v>Pink to Blue bloom</v>
      </c>
      <c r="Y1955" s="120" t="b">
        <f t="shared" si="1376"/>
        <v>0</v>
      </c>
      <c r="Z1955" s="117">
        <f t="shared" si="1377"/>
        <v>0</v>
      </c>
      <c r="AA1955" s="118"/>
      <c r="AB1955" s="118" t="str">
        <f t="shared" si="1378"/>
        <v/>
      </c>
      <c r="AC1955" s="712" t="str">
        <f>IF(AE1955="T2G","no charge",IF(AND(OR(PlanterYesMe="No",PlanterYesMe="N",PlanterYesMe="me"),H1955=""),"",IF(H1955="credit","NO install",IF(AND(K1955="",AE1955="me"),"EACH row",IF(AND(K1955="images",AE1955="me"),"EACH row",IF(D1955="","",IF(H1955="credit","",IF(AE1955="free","re-planting",IF(AE1955="me","   not ELP, by",IF(AND(OR(PlanterYesMe="Yes",PlanterYesMe="Y"),G1955&gt;0),(VLOOKUP(A1955,'Discount Lookup'!J:K,2)*G1955*(1-PlanterDiscount)*(1+PlanterDifficultyPercentage)),IF(AE1955="ELP",(VLOOKUP(A1955,'Discount Lookup'!J:K,2)*G1955*(1-PlanterDiscount)*(1+PlanterDifficultyPercentage)),IF(AE1955="free","re-planting",IF(G1955=0,"",IF(PlanterYesMe="",IF(AE1955="me","   not ELP, by",IF(AE1955="",IF(G1955&gt;0,(VLOOKUP(A1955,'Discount Lookup'!J:K,2)*G1955*(1-PlanterDiscount)*(1+PlanterDifficultyPercentage)),""),"")),"   not ELP, by"))))))))))))))</f>
        <v/>
      </c>
      <c r="AD1955" s="712"/>
      <c r="AE1955" s="513" t="str">
        <f t="shared" si="1379"/>
        <v/>
      </c>
      <c r="AF1955" s="713" t="str">
        <f t="shared" si="1380"/>
        <v/>
      </c>
      <c r="AG1955" s="713"/>
      <c r="AH1955" s="713"/>
      <c r="AI1955" s="112">
        <f>IF(H1955="credit",0,IF(AE1955="free",0,IF(AE1955="me",0,IF(G1955&gt;0,(VLOOKUP(A1955,'Discount Lookup'!J:K,2)*G1955),0))))</f>
        <v>0</v>
      </c>
      <c r="AJ1955" s="107" t="str">
        <f t="shared" ca="1" si="1381"/>
        <v/>
      </c>
      <c r="AK1955" s="714" t="str">
        <f t="shared" si="1382"/>
        <v/>
      </c>
      <c r="AL1955" s="714"/>
      <c r="AM1955" s="114" t="str">
        <f t="shared" si="1383"/>
        <v/>
      </c>
      <c r="AN1955" s="115"/>
      <c r="AO1955" s="116"/>
      <c r="AP1955" s="116"/>
      <c r="AQ1955" s="116"/>
      <c r="AR1955" s="116"/>
      <c r="AS1955" s="116"/>
      <c r="AT1955" s="116"/>
      <c r="AU1955" s="116"/>
      <c r="AV1955" s="78"/>
      <c r="AW1955" s="102"/>
      <c r="AX1955" s="78"/>
      <c r="AY1955" s="78"/>
      <c r="AZ1955" s="78"/>
      <c r="BA1955" s="78"/>
      <c r="BB1955" s="78"/>
      <c r="BC1955" s="78"/>
      <c r="BD1955" s="78"/>
      <c r="BE1955" s="465"/>
      <c r="BF1955" s="165" t="str">
        <f t="shared" si="1384"/>
        <v>https://www.google.com/search?tbm=isch&amp;q=Hyd.%20macrophylla%20%27Lady%20In%20Red%27%20PP%2315175%20Lady%20In%20Red%20Bigleaf%20Hydrangea</v>
      </c>
      <c r="BG1955" s="165" t="str">
        <f t="shared" si="1385"/>
        <v>H</v>
      </c>
      <c r="BH1955" s="65"/>
      <c r="BI1955" s="65"/>
      <c r="BJ1955" s="65"/>
      <c r="BK1955" s="65"/>
      <c r="BL1955" s="99"/>
      <c r="BM1955" s="99"/>
      <c r="BN1955" s="99"/>
    </row>
    <row r="1956" spans="1:66" s="51" customFormat="1" ht="15.75" x14ac:dyDescent="0.25">
      <c r="A1956" s="634">
        <v>3</v>
      </c>
      <c r="B1956" s="635" t="s">
        <v>291</v>
      </c>
      <c r="C1956" s="636" t="s">
        <v>2794</v>
      </c>
      <c r="D1956" s="637" t="s">
        <v>309</v>
      </c>
      <c r="E1956" s="638">
        <v>22.95</v>
      </c>
      <c r="F1956" s="639" t="s">
        <v>292</v>
      </c>
      <c r="G1956" s="484">
        <v>0</v>
      </c>
      <c r="H1956" s="691" t="str">
        <f>IF(G1956=0,"",IF(F1956="Buy",IF(G1956=1,"plant","plants"),IF(F1956&gt;0.01,"warranty","Error")))</f>
        <v/>
      </c>
      <c r="I1956" s="640">
        <f>IF(H1956="free",0,IF(H1956="credit",((E1956*(F1956))*G1956*-1),IF(F1956="Buy",(E1956*G1956),((E1956*(1-F1956))*G1956))))</f>
        <v>0</v>
      </c>
      <c r="J1956" s="640">
        <f>IF(H1956="warranty",0,(I1956*(_xlfn.SINGLE(SalesTaxPercentage))))</f>
        <v>0</v>
      </c>
      <c r="K1956" s="716">
        <f t="shared" ref="K1956" si="1392">I1956+J1956</f>
        <v>0</v>
      </c>
      <c r="L1956" s="716"/>
      <c r="M1956" s="689" t="str">
        <f ca="1">IF(AND(G1956&gt;0,E1956=0),"WARNING - no PRICE inserted",IF(H1956="free","FREE ~ no charge this plant",IF(H1956="credit",CONCATENATE("-$",ROUND(K1956*(1-_xlfn.SINGLE(T2GDiscount))*-1,2)," CREDIT after discount"),IF(_xlfn.SINGLE(T2GDiscount)=0,"",IF(G1956=0,"",IF(F1956="Buy",CONCATENATE("$",ROUND(K1956*(1-_xlfn.SINGLE(T2GDiscount)),2)," with ",(_xlfn.SINGLE(T2GDiscount)*100),"% discount"),CONCATENATE("$",ROUND(K1956*(1-_xlfn.SINGLE(T2GDiscount)),2)," with ",((_xlfn.SINGLE(T2GDiscount)*100+F1956*100)-(_xlfn.SINGLE(T2GDiscount)*100*F1956)),IF(F1956&gt;0,"% discounts",IF(_xlfn.SINGLE(NoWarrantyDiscount)&gt;0,"% discounts","% discount")))))))))</f>
        <v/>
      </c>
      <c r="N1956" s="690"/>
      <c r="O1956" s="486"/>
      <c r="P1956" s="486"/>
      <c r="Q1956" s="486"/>
      <c r="R1956" s="486"/>
      <c r="S1956" s="486"/>
      <c r="T1956" s="102">
        <f t="shared" si="1373"/>
        <v>0</v>
      </c>
      <c r="U1956" s="78">
        <f>IF(NOT(ISNUMBER(G1956)), "", VLOOKUP(A1956,'Discount Lookup'!D:E,2,FALSE)*G1956)</f>
        <v>0</v>
      </c>
      <c r="V1956" s="78">
        <f>IF(NOT(ISNUMBER(G1956)), "", VLOOKUP(A1956,'Discount Lookup'!G:H,2,FALSE)*G1956)</f>
        <v>0</v>
      </c>
      <c r="W1956" s="102">
        <f t="shared" si="1374"/>
        <v>0</v>
      </c>
      <c r="X1956" s="102">
        <f t="shared" si="1375"/>
        <v>0</v>
      </c>
      <c r="Y1956" s="120" t="b">
        <f t="shared" si="1376"/>
        <v>0</v>
      </c>
      <c r="Z1956" s="117">
        <f t="shared" si="1377"/>
        <v>0</v>
      </c>
      <c r="AA1956" s="118"/>
      <c r="AB1956" s="118" t="str">
        <f t="shared" si="1378"/>
        <v/>
      </c>
      <c r="AC1956" s="712" t="str">
        <f>IF(AE1956="T2G","no charge",IF(AND(OR(PlanterYesMe="No",PlanterYesMe="N",PlanterYesMe="me"),H1956=""),"",IF(H1956="credit","NO install",IF(AND(K1956="",AE1956="me"),"EACH row",IF(AND(K1956="images",AE1956="me"),"EACH row",IF(D1956="","",IF(H1956="credit","",IF(AE1956="free","re-planting",IF(AE1956="me","   not ELP, by",IF(AND(OR(PlanterYesMe="Yes",PlanterYesMe="Y"),G1956&gt;0),(VLOOKUP(A1956,'Discount Lookup'!J:K,2)*G1956*(1-PlanterDiscount)*(1+PlanterDifficultyPercentage)),IF(AE1956="ELP",(VLOOKUP(A1956,'Discount Lookup'!J:K,2)*G1956*(1-PlanterDiscount)*(1+PlanterDifficultyPercentage)),IF(AE1956="free","re-planting",IF(G1956=0,"",IF(PlanterYesMe="",IF(AE1956="me","   not ELP, by",IF(AE1956="",IF(G1956&gt;0,(VLOOKUP(A1956,'Discount Lookup'!J:K,2)*G1956*(1-PlanterDiscount)*(1+PlanterDifficultyPercentage)),""),"")),"   not ELP, by"))))))))))))))</f>
        <v/>
      </c>
      <c r="AD1956" s="712"/>
      <c r="AE1956" s="513" t="str">
        <f t="shared" si="1379"/>
        <v/>
      </c>
      <c r="AF1956" s="713" t="str">
        <f t="shared" si="1380"/>
        <v/>
      </c>
      <c r="AG1956" s="713"/>
      <c r="AH1956" s="713"/>
      <c r="AI1956" s="112">
        <f>IF(H1956="credit",0,IF(AE1956="free",0,IF(AE1956="me",0,IF(G1956&gt;0,(VLOOKUP(A1956,'Discount Lookup'!J:K,2)*G1956),0))))</f>
        <v>0</v>
      </c>
      <c r="AJ1956" s="107" t="str">
        <f t="shared" ca="1" si="1381"/>
        <v/>
      </c>
      <c r="AK1956" s="714" t="str">
        <f t="shared" si="1382"/>
        <v/>
      </c>
      <c r="AL1956" s="714"/>
      <c r="AM1956" s="114" t="str">
        <f t="shared" si="1383"/>
        <v/>
      </c>
      <c r="AN1956" s="115"/>
      <c r="AO1956" s="116"/>
      <c r="AP1956" s="116"/>
      <c r="AQ1956" s="116"/>
      <c r="AR1956" s="116"/>
      <c r="AS1956" s="116"/>
      <c r="AT1956" s="116"/>
      <c r="AU1956" s="116"/>
      <c r="AV1956" s="78"/>
      <c r="AW1956" s="102"/>
      <c r="AX1956" s="78"/>
      <c r="AY1956" s="78"/>
      <c r="AZ1956" s="78"/>
      <c r="BA1956" s="78"/>
      <c r="BB1956" s="78"/>
      <c r="BC1956" s="78"/>
      <c r="BD1956" s="78"/>
      <c r="BE1956" s="465"/>
      <c r="BF1956" s="165" t="str">
        <f t="shared" si="1384"/>
        <v>https://www.google.com/search?tbm=isch&amp;q=3%20G3</v>
      </c>
      <c r="BG1956" s="165" t="str">
        <f t="shared" si="1385"/>
        <v>H</v>
      </c>
      <c r="BH1956" s="65"/>
      <c r="BI1956" s="65"/>
      <c r="BJ1956" s="65"/>
      <c r="BK1956" s="65"/>
      <c r="BL1956" s="99"/>
      <c r="BM1956" s="99"/>
      <c r="BN1956" s="99"/>
    </row>
    <row r="1957" spans="1:66" s="51" customFormat="1" ht="15.75" x14ac:dyDescent="0.25">
      <c r="A1957" s="634">
        <v>5</v>
      </c>
      <c r="B1957" s="635" t="s">
        <v>291</v>
      </c>
      <c r="C1957" s="636" t="s">
        <v>2795</v>
      </c>
      <c r="D1957" s="637" t="s">
        <v>309</v>
      </c>
      <c r="E1957" s="638">
        <v>41.95</v>
      </c>
      <c r="F1957" s="639" t="s">
        <v>292</v>
      </c>
      <c r="G1957" s="484">
        <v>0</v>
      </c>
      <c r="H1957" s="691" t="str">
        <f>IF(G1957=0,"",IF(F1957="Buy",IF(G1957=1,"plant","plants"),IF(F1957&gt;0.01,"warranty","Error")))</f>
        <v/>
      </c>
      <c r="I1957" s="640">
        <f>IF(H1957="free",0,IF(H1957="credit",((E1957*(F1957))*G1957*-1),IF(F1957="Buy",(E1957*G1957),((E1957*(1-F1957))*G1957))))</f>
        <v>0</v>
      </c>
      <c r="J1957" s="640">
        <f>IF(H1957="warranty",0,(I1957*(_xlfn.SINGLE(SalesTaxPercentage))))</f>
        <v>0</v>
      </c>
      <c r="K1957" s="716">
        <f t="shared" ref="K1957" si="1393">I1957+J1957</f>
        <v>0</v>
      </c>
      <c r="L1957" s="716"/>
      <c r="M1957" s="689" t="str">
        <f ca="1">IF(AND(G1957&gt;0,E1957=0),"WARNING - no PRICE inserted",IF(H1957="free","FREE ~ no charge this plant",IF(H1957="credit",CONCATENATE("-$",ROUND(K1957*(1-_xlfn.SINGLE(T2GDiscount))*-1,2)," CREDIT after discount"),IF(_xlfn.SINGLE(T2GDiscount)=0,"",IF(G1957=0,"",IF(F1957="Buy",CONCATENATE("$",ROUND(K1957*(1-_xlfn.SINGLE(T2GDiscount)),2)," with ",(_xlfn.SINGLE(T2GDiscount)*100),"% discount"),CONCATENATE("$",ROUND(K1957*(1-_xlfn.SINGLE(T2GDiscount)),2)," with ",((_xlfn.SINGLE(T2GDiscount)*100+F1957*100)-(_xlfn.SINGLE(T2GDiscount)*100*F1957)),IF(F1957&gt;0,"% discounts",IF(_xlfn.SINGLE(NoWarrantyDiscount)&gt;0,"% discounts","% discount")))))))))</f>
        <v/>
      </c>
      <c r="N1957" s="690"/>
      <c r="O1957" s="486"/>
      <c r="P1957" s="486"/>
      <c r="Q1957" s="486"/>
      <c r="R1957" s="486"/>
      <c r="S1957" s="486"/>
      <c r="T1957" s="102">
        <f t="shared" si="1373"/>
        <v>0</v>
      </c>
      <c r="U1957" s="78">
        <f>IF(NOT(ISNUMBER(G1957)), "", VLOOKUP(A1957,'Discount Lookup'!D:E,2,FALSE)*G1957)</f>
        <v>0</v>
      </c>
      <c r="V1957" s="78">
        <f>IF(NOT(ISNUMBER(G1957)), "", VLOOKUP(A1957,'Discount Lookup'!G:H,2,FALSE)*G1957)</f>
        <v>0</v>
      </c>
      <c r="W1957" s="102">
        <f t="shared" si="1374"/>
        <v>0</v>
      </c>
      <c r="X1957" s="102">
        <f t="shared" si="1375"/>
        <v>0</v>
      </c>
      <c r="Y1957" s="120" t="b">
        <f t="shared" si="1376"/>
        <v>0</v>
      </c>
      <c r="Z1957" s="117">
        <f t="shared" si="1377"/>
        <v>0</v>
      </c>
      <c r="AA1957" s="118"/>
      <c r="AB1957" s="118" t="str">
        <f t="shared" si="1378"/>
        <v/>
      </c>
      <c r="AC1957" s="712" t="str">
        <f>IF(AE1957="T2G","no charge",IF(AND(OR(PlanterYesMe="No",PlanterYesMe="N",PlanterYesMe="me"),H1957=""),"",IF(H1957="credit","NO install",IF(AND(K1957="",AE1957="me"),"EACH row",IF(AND(K1957="images",AE1957="me"),"EACH row",IF(D1957="","",IF(H1957="credit","",IF(AE1957="free","re-planting",IF(AE1957="me","   not ELP, by",IF(AND(OR(PlanterYesMe="Yes",PlanterYesMe="Y"),G1957&gt;0),(VLOOKUP(A1957,'Discount Lookup'!J:K,2)*G1957*(1-PlanterDiscount)*(1+PlanterDifficultyPercentage)),IF(AE1957="ELP",(VLOOKUP(A1957,'Discount Lookup'!J:K,2)*G1957*(1-PlanterDiscount)*(1+PlanterDifficultyPercentage)),IF(AE1957="free","re-planting",IF(G1957=0,"",IF(PlanterYesMe="",IF(AE1957="me","   not ELP, by",IF(AE1957="",IF(G1957&gt;0,(VLOOKUP(A1957,'Discount Lookup'!J:K,2)*G1957*(1-PlanterDiscount)*(1+PlanterDifficultyPercentage)),""),"")),"   not ELP, by"))))))))))))))</f>
        <v/>
      </c>
      <c r="AD1957" s="712"/>
      <c r="AE1957" s="513" t="str">
        <f t="shared" si="1379"/>
        <v/>
      </c>
      <c r="AF1957" s="713" t="str">
        <f t="shared" si="1380"/>
        <v/>
      </c>
      <c r="AG1957" s="713"/>
      <c r="AH1957" s="713"/>
      <c r="AI1957" s="112">
        <f>IF(H1957="credit",0,IF(AE1957="free",0,IF(AE1957="me",0,IF(G1957&gt;0,(VLOOKUP(A1957,'Discount Lookup'!J:K,2)*G1957),0))))</f>
        <v>0</v>
      </c>
      <c r="AJ1957" s="107" t="str">
        <f t="shared" ca="1" si="1381"/>
        <v/>
      </c>
      <c r="AK1957" s="714" t="str">
        <f t="shared" si="1382"/>
        <v/>
      </c>
      <c r="AL1957" s="714"/>
      <c r="AM1957" s="114" t="str">
        <f t="shared" si="1383"/>
        <v/>
      </c>
      <c r="AN1957" s="115"/>
      <c r="AO1957" s="116"/>
      <c r="AP1957" s="116"/>
      <c r="AQ1957" s="116"/>
      <c r="AR1957" s="116"/>
      <c r="AS1957" s="116"/>
      <c r="AT1957" s="116"/>
      <c r="AU1957" s="116"/>
      <c r="AV1957" s="78"/>
      <c r="AW1957" s="102"/>
      <c r="AX1957" s="78"/>
      <c r="AY1957" s="78"/>
      <c r="AZ1957" s="78"/>
      <c r="BA1957" s="78"/>
      <c r="BB1957" s="78"/>
      <c r="BC1957" s="78"/>
      <c r="BD1957" s="78"/>
      <c r="BE1957" s="465"/>
      <c r="BF1957" s="165" t="str">
        <f t="shared" si="1384"/>
        <v>https://www.google.com/search?tbm=isch&amp;q=5%20G3</v>
      </c>
      <c r="BG1957" s="165" t="str">
        <f t="shared" si="1385"/>
        <v>H</v>
      </c>
      <c r="BH1957" s="65"/>
      <c r="BI1957" s="65"/>
      <c r="BJ1957" s="65"/>
      <c r="BK1957" s="65"/>
      <c r="BL1957" s="99"/>
      <c r="BM1957" s="99"/>
      <c r="BN1957" s="99"/>
    </row>
    <row r="1958" spans="1:66" s="51" customFormat="1" ht="17.25" thickBot="1" x14ac:dyDescent="0.3">
      <c r="A1958" s="704" t="s">
        <v>5438</v>
      </c>
      <c r="B1958" s="642"/>
      <c r="C1958" s="710"/>
      <c r="D1958" s="643"/>
      <c r="E1958" s="643"/>
      <c r="F1958" s="644"/>
      <c r="G1958" s="645"/>
      <c r="H1958" s="646"/>
      <c r="I1958" s="647"/>
      <c r="J1958" s="648"/>
      <c r="K1958" s="649"/>
      <c r="L1958" s="650"/>
      <c r="M1958" s="650"/>
      <c r="N1958" s="644"/>
      <c r="O1958" s="644"/>
      <c r="P1958" s="644"/>
      <c r="Q1958" s="644"/>
      <c r="R1958" s="644"/>
      <c r="S1958" s="651"/>
      <c r="T1958" s="102">
        <f t="shared" si="1373"/>
        <v>0</v>
      </c>
      <c r="U1958" s="78" t="str">
        <f>IF(NOT(ISNUMBER(G1958)), "", VLOOKUP(A1958,'Discount Lookup'!D:E,2,FALSE)*G1958)</f>
        <v/>
      </c>
      <c r="V1958" s="78" t="str">
        <f>IF(NOT(ISNUMBER(G1958)), "", VLOOKUP(A1958,'Discount Lookup'!G:H,2,FALSE)*G1958)</f>
        <v/>
      </c>
      <c r="W1958" s="102">
        <f t="shared" si="1374"/>
        <v>0</v>
      </c>
      <c r="X1958" s="102">
        <f t="shared" si="1375"/>
        <v>0</v>
      </c>
      <c r="Y1958" s="120" t="b">
        <f t="shared" si="1376"/>
        <v>0</v>
      </c>
      <c r="Z1958" s="117">
        <f t="shared" si="1377"/>
        <v>0</v>
      </c>
      <c r="AA1958" s="118"/>
      <c r="AB1958" s="118" t="str">
        <f t="shared" si="1378"/>
        <v/>
      </c>
      <c r="AC1958" s="712" t="str">
        <f>IF(AE1958="T2G","no charge",IF(AND(OR(PlanterYesMe="No",PlanterYesMe="N",PlanterYesMe="me"),H1958=""),"",IF(H1958="credit","NO install",IF(AND(K1958="",AE1958="me"),"EACH row",IF(AND(K1958="images",AE1958="me"),"EACH row",IF(D1958="","",IF(H1958="credit","",IF(AE1958="free","re-planting",IF(AE1958="me","   not ELP, by",IF(AND(OR(PlanterYesMe="Yes",PlanterYesMe="Y"),G1958&gt;0),(VLOOKUP(A1958,'Discount Lookup'!J:K,2)*G1958*(1-PlanterDiscount)*(1+PlanterDifficultyPercentage)),IF(AE1958="ELP",(VLOOKUP(A1958,'Discount Lookup'!J:K,2)*G1958*(1-PlanterDiscount)*(1+PlanterDifficultyPercentage)),IF(AE1958="free","re-planting",IF(G1958=0,"",IF(PlanterYesMe="",IF(AE1958="me","   not ELP, by",IF(AE1958="",IF(G1958&gt;0,(VLOOKUP(A1958,'Discount Lookup'!J:K,2)*G1958*(1-PlanterDiscount)*(1+PlanterDifficultyPercentage)),""),"")),"   not ELP, by"))))))))))))))</f>
        <v/>
      </c>
      <c r="AD1958" s="712"/>
      <c r="AE1958" s="513" t="str">
        <f t="shared" si="1379"/>
        <v/>
      </c>
      <c r="AF1958" s="713" t="str">
        <f t="shared" si="1380"/>
        <v/>
      </c>
      <c r="AG1958" s="713"/>
      <c r="AH1958" s="713"/>
      <c r="AI1958" s="112">
        <f>IF(H1958="credit",0,IF(AE1958="free",0,IF(AE1958="me",0,IF(G1958&gt;0,(VLOOKUP(A1958,'Discount Lookup'!J:K,2)*G1958),0))))</f>
        <v>0</v>
      </c>
      <c r="AJ1958" s="107" t="str">
        <f t="shared" ca="1" si="1381"/>
        <v/>
      </c>
      <c r="AK1958" s="714" t="str">
        <f t="shared" si="1382"/>
        <v/>
      </c>
      <c r="AL1958" s="714"/>
      <c r="AM1958" s="114" t="str">
        <f t="shared" si="1383"/>
        <v/>
      </c>
      <c r="AN1958" s="115"/>
      <c r="AO1958" s="116"/>
      <c r="AP1958" s="116"/>
      <c r="AQ1958" s="116"/>
      <c r="AR1958" s="116"/>
      <c r="AS1958" s="116"/>
      <c r="AT1958" s="116"/>
      <c r="AU1958" s="116"/>
      <c r="AV1958" s="78"/>
      <c r="AW1958" s="102"/>
      <c r="AX1958" s="78"/>
      <c r="AY1958" s="78"/>
      <c r="AZ1958" s="78"/>
      <c r="BA1958" s="78"/>
      <c r="BB1958" s="78"/>
      <c r="BC1958" s="78"/>
      <c r="BD1958" s="78"/>
      <c r="BE1958" s="465"/>
      <c r="BF1958" s="165" t="str">
        <f t="shared" si="1384"/>
        <v>https://www.google.com/search?tbm=isch&amp;q=moist%20sites%F0%9F%92%A7GOOD%2C%20Lady%20In%20Red%20has%20Green%20foliage%20with%20Red%20veins.%20Most%20%22Bigleaf%22%20Hydrangea%20have%20snowball%20flowers%20on%20old%20wood.%20Acidic%20%3D%20Blue%2C%20Alkaline%20%3D%20Pink%20</v>
      </c>
      <c r="BG1958" s="165" t="str">
        <f t="shared" si="1385"/>
        <v>m</v>
      </c>
      <c r="BH1958" s="65"/>
      <c r="BI1958" s="65"/>
      <c r="BJ1958" s="65"/>
      <c r="BK1958" s="65"/>
      <c r="BL1958" s="99"/>
      <c r="BM1958" s="99"/>
      <c r="BN1958" s="99"/>
    </row>
    <row r="1959" spans="1:66" s="51" customFormat="1" ht="18" x14ac:dyDescent="0.25">
      <c r="A1959" s="623" t="s">
        <v>2796</v>
      </c>
      <c r="B1959" s="624"/>
      <c r="C1959" s="709"/>
      <c r="D1959" s="625" t="s">
        <v>5686</v>
      </c>
      <c r="E1959" s="626"/>
      <c r="F1959" s="626"/>
      <c r="G1959" s="626"/>
      <c r="H1959" s="622" t="s">
        <v>1082</v>
      </c>
      <c r="I1959" s="627" t="s">
        <v>2797</v>
      </c>
      <c r="J1959" s="628"/>
      <c r="K1959" s="628"/>
      <c r="L1959" s="629"/>
      <c r="M1959" s="702" t="s">
        <v>5252</v>
      </c>
      <c r="N1959" s="693" t="str">
        <f>IF(AND(ISTEXT($A1959), ISERROR($A1959+0)), HYPERLINK($BF1959, "Images"), "")</f>
        <v>Images</v>
      </c>
      <c r="O1959" s="695" t="s">
        <v>5264</v>
      </c>
      <c r="P1959" s="630"/>
      <c r="Q1959" s="631"/>
      <c r="R1959" s="632"/>
      <c r="S1959" s="633"/>
      <c r="T1959" s="102">
        <f t="shared" si="1373"/>
        <v>0</v>
      </c>
      <c r="U1959" s="78" t="str">
        <f>IF(NOT(ISNUMBER(G1959)), "", VLOOKUP(A1959,'Discount Lookup'!D:E,2,FALSE)*G1959)</f>
        <v/>
      </c>
      <c r="V1959" s="78" t="str">
        <f>IF(NOT(ISNUMBER(G1959)), "", VLOOKUP(A1959,'Discount Lookup'!G:H,2,FALSE)*G1959)</f>
        <v/>
      </c>
      <c r="W1959" s="102">
        <f t="shared" si="1374"/>
        <v>0</v>
      </c>
      <c r="X1959" s="102" t="str">
        <f t="shared" si="1375"/>
        <v>Pink to Violet to Blue bloom</v>
      </c>
      <c r="Y1959" s="120" t="b">
        <f t="shared" si="1376"/>
        <v>0</v>
      </c>
      <c r="Z1959" s="117">
        <f t="shared" si="1377"/>
        <v>0</v>
      </c>
      <c r="AA1959" s="118"/>
      <c r="AB1959" s="118" t="str">
        <f t="shared" si="1378"/>
        <v/>
      </c>
      <c r="AC1959" s="712" t="str">
        <f>IF(AE1959="T2G","no charge",IF(AND(OR(PlanterYesMe="No",PlanterYesMe="N",PlanterYesMe="me"),H1959=""),"",IF(H1959="credit","NO install",IF(AND(K1959="",AE1959="me"),"EACH row",IF(AND(K1959="images",AE1959="me"),"EACH row",IF(D1959="","",IF(H1959="credit","",IF(AE1959="free","re-planting",IF(AE1959="me","   not ELP, by",IF(AND(OR(PlanterYesMe="Yes",PlanterYesMe="Y"),G1959&gt;0),(VLOOKUP(A1959,'Discount Lookup'!J:K,2)*G1959*(1-PlanterDiscount)*(1+PlanterDifficultyPercentage)),IF(AE1959="ELP",(VLOOKUP(A1959,'Discount Lookup'!J:K,2)*G1959*(1-PlanterDiscount)*(1+PlanterDifficultyPercentage)),IF(AE1959="free","re-planting",IF(G1959=0,"",IF(PlanterYesMe="",IF(AE1959="me","   not ELP, by",IF(AE1959="",IF(G1959&gt;0,(VLOOKUP(A1959,'Discount Lookup'!J:K,2)*G1959*(1-PlanterDiscount)*(1+PlanterDifficultyPercentage)),""),"")),"   not ELP, by"))))))))))))))</f>
        <v/>
      </c>
      <c r="AD1959" s="712"/>
      <c r="AE1959" s="513" t="str">
        <f t="shared" si="1379"/>
        <v/>
      </c>
      <c r="AF1959" s="713" t="str">
        <f t="shared" si="1380"/>
        <v/>
      </c>
      <c r="AG1959" s="713"/>
      <c r="AH1959" s="713"/>
      <c r="AI1959" s="112">
        <f>IF(H1959="credit",0,IF(AE1959="free",0,IF(AE1959="me",0,IF(G1959&gt;0,(VLOOKUP(A1959,'Discount Lookup'!J:K,2)*G1959),0))))</f>
        <v>0</v>
      </c>
      <c r="AJ1959" s="107" t="str">
        <f t="shared" ca="1" si="1381"/>
        <v/>
      </c>
      <c r="AK1959" s="714" t="str">
        <f t="shared" si="1382"/>
        <v/>
      </c>
      <c r="AL1959" s="714"/>
      <c r="AM1959" s="114" t="str">
        <f t="shared" si="1383"/>
        <v/>
      </c>
      <c r="AN1959" s="115"/>
      <c r="AO1959" s="116"/>
      <c r="AP1959" s="116"/>
      <c r="AQ1959" s="116"/>
      <c r="AR1959" s="116"/>
      <c r="AS1959" s="116"/>
      <c r="AT1959" s="116"/>
      <c r="AU1959" s="116"/>
      <c r="AV1959" s="78"/>
      <c r="AW1959" s="102"/>
      <c r="AX1959" s="78"/>
      <c r="AY1959" s="78"/>
      <c r="AZ1959" s="78"/>
      <c r="BA1959" s="78"/>
      <c r="BB1959" s="78"/>
      <c r="BC1959" s="78"/>
      <c r="BD1959" s="78"/>
      <c r="BE1959" s="465"/>
      <c r="BF1959" s="165" t="str">
        <f t="shared" si="1384"/>
        <v>https://www.google.com/search?tbm=isch&amp;q=Hyd.%20macrophylla%20%27Lindsey%20Ann%27%20PP%2326249%20L.A.%20Dreamin%27%C2%AE%20Bigleaf%20Hydrangea</v>
      </c>
      <c r="BG1959" s="165" t="str">
        <f t="shared" si="1385"/>
        <v>H</v>
      </c>
      <c r="BH1959" s="65"/>
      <c r="BI1959" s="65"/>
      <c r="BJ1959" s="65"/>
      <c r="BK1959" s="65"/>
      <c r="BL1959" s="99"/>
      <c r="BM1959" s="99"/>
      <c r="BN1959" s="99"/>
    </row>
    <row r="1960" spans="1:66" s="51" customFormat="1" ht="15.75" x14ac:dyDescent="0.25">
      <c r="A1960" s="634">
        <v>3</v>
      </c>
      <c r="B1960" s="635" t="s">
        <v>291</v>
      </c>
      <c r="C1960" s="636" t="s">
        <v>2798</v>
      </c>
      <c r="D1960" s="637" t="s">
        <v>329</v>
      </c>
      <c r="E1960" s="638">
        <v>34.950000000000003</v>
      </c>
      <c r="F1960" s="639" t="s">
        <v>292</v>
      </c>
      <c r="G1960" s="484">
        <v>0</v>
      </c>
      <c r="H1960" s="691" t="str">
        <f>IF(G1960=0,"",IF(F1960="Buy",IF(G1960=1,"plant","plants"),IF(F1960&gt;0.01,"warranty","Error")))</f>
        <v/>
      </c>
      <c r="I1960" s="640">
        <f>IF(H1960="free",0,IF(H1960="credit",((E1960*(F1960))*G1960*-1),IF(F1960="Buy",(E1960*G1960),((E1960*(1-F1960))*G1960))))</f>
        <v>0</v>
      </c>
      <c r="J1960" s="640">
        <f>IF(H1960="warranty",0,(I1960*(_xlfn.SINGLE(SalesTaxPercentage))))</f>
        <v>0</v>
      </c>
      <c r="K1960" s="716">
        <f t="shared" ref="K1960" si="1394">I1960+J1960</f>
        <v>0</v>
      </c>
      <c r="L1960" s="716"/>
      <c r="M1960" s="689" t="str">
        <f ca="1">IF(AND(G1960&gt;0,E1960=0),"WARNING - no PRICE inserted",IF(H1960="free","FREE ~ no charge this plant",IF(H1960="credit",CONCATENATE("-$",ROUND(K1960*(1-_xlfn.SINGLE(T2GDiscount))*-1,2)," CREDIT after discount"),IF(_xlfn.SINGLE(T2GDiscount)=0,"",IF(G1960=0,"",IF(F1960="Buy",CONCATENATE("$",ROUND(K1960*(1-_xlfn.SINGLE(T2GDiscount)),2)," with ",(_xlfn.SINGLE(T2GDiscount)*100),"% discount"),CONCATENATE("$",ROUND(K1960*(1-_xlfn.SINGLE(T2GDiscount)),2)," with ",((_xlfn.SINGLE(T2GDiscount)*100+F1960*100)-(_xlfn.SINGLE(T2GDiscount)*100*F1960)),IF(F1960&gt;0,"% discounts",IF(_xlfn.SINGLE(NoWarrantyDiscount)&gt;0,"% discounts","% discount")))))))))</f>
        <v/>
      </c>
      <c r="N1960" s="690"/>
      <c r="O1960" s="486"/>
      <c r="P1960" s="486"/>
      <c r="Q1960" s="486"/>
      <c r="R1960" s="486"/>
      <c r="S1960" s="486"/>
      <c r="T1960" s="102">
        <f t="shared" si="1373"/>
        <v>0</v>
      </c>
      <c r="U1960" s="78">
        <f>IF(NOT(ISNUMBER(G1960)), "", VLOOKUP(A1960,'Discount Lookup'!D:E,2,FALSE)*G1960)</f>
        <v>0</v>
      </c>
      <c r="V1960" s="78">
        <f>IF(NOT(ISNUMBER(G1960)), "", VLOOKUP(A1960,'Discount Lookup'!G:H,2,FALSE)*G1960)</f>
        <v>0</v>
      </c>
      <c r="W1960" s="102">
        <f t="shared" si="1374"/>
        <v>0</v>
      </c>
      <c r="X1960" s="102">
        <f t="shared" si="1375"/>
        <v>0</v>
      </c>
      <c r="Y1960" s="120" t="b">
        <f t="shared" si="1376"/>
        <v>0</v>
      </c>
      <c r="Z1960" s="117">
        <f t="shared" si="1377"/>
        <v>0</v>
      </c>
      <c r="AA1960" s="118"/>
      <c r="AB1960" s="118" t="str">
        <f t="shared" si="1378"/>
        <v/>
      </c>
      <c r="AC1960" s="712" t="str">
        <f>IF(AE1960="T2G","no charge",IF(AND(OR(PlanterYesMe="No",PlanterYesMe="N",PlanterYesMe="me"),H1960=""),"",IF(H1960="credit","NO install",IF(AND(K1960="",AE1960="me"),"EACH row",IF(AND(K1960="images",AE1960="me"),"EACH row",IF(D1960="","",IF(H1960="credit","",IF(AE1960="free","re-planting",IF(AE1960="me","   not ELP, by",IF(AND(OR(PlanterYesMe="Yes",PlanterYesMe="Y"),G1960&gt;0),(VLOOKUP(A1960,'Discount Lookup'!J:K,2)*G1960*(1-PlanterDiscount)*(1+PlanterDifficultyPercentage)),IF(AE1960="ELP",(VLOOKUP(A1960,'Discount Lookup'!J:K,2)*G1960*(1-PlanterDiscount)*(1+PlanterDifficultyPercentage)),IF(AE1960="free","re-planting",IF(G1960=0,"",IF(PlanterYesMe="",IF(AE1960="me","   not ELP, by",IF(AE1960="",IF(G1960&gt;0,(VLOOKUP(A1960,'Discount Lookup'!J:K,2)*G1960*(1-PlanterDiscount)*(1+PlanterDifficultyPercentage)),""),"")),"   not ELP, by"))))))))))))))</f>
        <v/>
      </c>
      <c r="AD1960" s="712"/>
      <c r="AE1960" s="513" t="str">
        <f t="shared" si="1379"/>
        <v/>
      </c>
      <c r="AF1960" s="713" t="str">
        <f t="shared" si="1380"/>
        <v/>
      </c>
      <c r="AG1960" s="713"/>
      <c r="AH1960" s="713"/>
      <c r="AI1960" s="112">
        <f>IF(H1960="credit",0,IF(AE1960="free",0,IF(AE1960="me",0,IF(G1960&gt;0,(VLOOKUP(A1960,'Discount Lookup'!J:K,2)*G1960),0))))</f>
        <v>0</v>
      </c>
      <c r="AJ1960" s="107" t="str">
        <f t="shared" ca="1" si="1381"/>
        <v/>
      </c>
      <c r="AK1960" s="714" t="str">
        <f t="shared" si="1382"/>
        <v/>
      </c>
      <c r="AL1960" s="714"/>
      <c r="AM1960" s="114" t="str">
        <f t="shared" si="1383"/>
        <v/>
      </c>
      <c r="AN1960" s="115"/>
      <c r="AO1960" s="116"/>
      <c r="AP1960" s="116"/>
      <c r="AQ1960" s="116"/>
      <c r="AR1960" s="116"/>
      <c r="AS1960" s="116"/>
      <c r="AT1960" s="116"/>
      <c r="AU1960" s="116"/>
      <c r="AV1960" s="78"/>
      <c r="AW1960" s="102"/>
      <c r="AX1960" s="78"/>
      <c r="AY1960" s="78"/>
      <c r="AZ1960" s="78"/>
      <c r="BA1960" s="78"/>
      <c r="BB1960" s="78"/>
      <c r="BC1960" s="78"/>
      <c r="BD1960" s="78"/>
      <c r="BE1960" s="465"/>
      <c r="BF1960" s="165" t="str">
        <f t="shared" si="1384"/>
        <v>https://www.google.com/search?tbm=isch&amp;q=3%20G2</v>
      </c>
      <c r="BG1960" s="165" t="str">
        <f t="shared" si="1385"/>
        <v>H</v>
      </c>
      <c r="BH1960" s="65"/>
      <c r="BI1960" s="65"/>
      <c r="BJ1960" s="65"/>
      <c r="BK1960" s="65"/>
      <c r="BL1960" s="99"/>
      <c r="BM1960" s="99"/>
      <c r="BN1960" s="99"/>
    </row>
    <row r="1961" spans="1:66" s="51" customFormat="1" ht="15.75" x14ac:dyDescent="0.25">
      <c r="A1961" s="634">
        <v>5</v>
      </c>
      <c r="B1961" s="635" t="s">
        <v>291</v>
      </c>
      <c r="C1961" s="636" t="s">
        <v>2799</v>
      </c>
      <c r="D1961" s="637" t="s">
        <v>293</v>
      </c>
      <c r="E1961" s="638">
        <v>62.95</v>
      </c>
      <c r="F1961" s="639" t="s">
        <v>292</v>
      </c>
      <c r="G1961" s="484">
        <v>0</v>
      </c>
      <c r="H1961" s="691" t="str">
        <f>IF(G1961=0,"",IF(F1961="Buy",IF(G1961=1,"plant","plants"),IF(F1961&gt;0.01,"warranty","Error")))</f>
        <v/>
      </c>
      <c r="I1961" s="640">
        <f>IF(H1961="free",0,IF(H1961="credit",((E1961*(F1961))*G1961*-1),IF(F1961="Buy",(E1961*G1961),((E1961*(1-F1961))*G1961))))</f>
        <v>0</v>
      </c>
      <c r="J1961" s="640">
        <f>IF(H1961="warranty",0,(I1961*(_xlfn.SINGLE(SalesTaxPercentage))))</f>
        <v>0</v>
      </c>
      <c r="K1961" s="716">
        <f t="shared" ref="K1961" si="1395">I1961+J1961</f>
        <v>0</v>
      </c>
      <c r="L1961" s="716"/>
      <c r="M1961" s="689" t="str">
        <f ca="1">IF(AND(G1961&gt;0,E1961=0),"WARNING - no PRICE inserted",IF(H1961="free","FREE ~ no charge this plant",IF(H1961="credit",CONCATENATE("-$",ROUND(K1961*(1-_xlfn.SINGLE(T2GDiscount))*-1,2)," CREDIT after discount"),IF(_xlfn.SINGLE(T2GDiscount)=0,"",IF(G1961=0,"",IF(F1961="Buy",CONCATENATE("$",ROUND(K1961*(1-_xlfn.SINGLE(T2GDiscount)),2)," with ",(_xlfn.SINGLE(T2GDiscount)*100),"% discount"),CONCATENATE("$",ROUND(K1961*(1-_xlfn.SINGLE(T2GDiscount)),2)," with ",((_xlfn.SINGLE(T2GDiscount)*100+F1961*100)-(_xlfn.SINGLE(T2GDiscount)*100*F1961)),IF(F1961&gt;0,"% discounts",IF(_xlfn.SINGLE(NoWarrantyDiscount)&gt;0,"% discounts","% discount")))))))))</f>
        <v/>
      </c>
      <c r="N1961" s="690"/>
      <c r="O1961" s="486"/>
      <c r="P1961" s="486"/>
      <c r="Q1961" s="486"/>
      <c r="R1961" s="486"/>
      <c r="S1961" s="486"/>
      <c r="T1961" s="102">
        <f t="shared" si="1373"/>
        <v>0</v>
      </c>
      <c r="U1961" s="78">
        <f>IF(NOT(ISNUMBER(G1961)), "", VLOOKUP(A1961,'Discount Lookup'!D:E,2,FALSE)*G1961)</f>
        <v>0</v>
      </c>
      <c r="V1961" s="78">
        <f>IF(NOT(ISNUMBER(G1961)), "", VLOOKUP(A1961,'Discount Lookup'!G:H,2,FALSE)*G1961)</f>
        <v>0</v>
      </c>
      <c r="W1961" s="102">
        <f t="shared" si="1374"/>
        <v>0</v>
      </c>
      <c r="X1961" s="102">
        <f t="shared" si="1375"/>
        <v>0</v>
      </c>
      <c r="Y1961" s="120" t="b">
        <f t="shared" si="1376"/>
        <v>0</v>
      </c>
      <c r="Z1961" s="117">
        <f t="shared" si="1377"/>
        <v>0</v>
      </c>
      <c r="AA1961" s="118"/>
      <c r="AB1961" s="118" t="str">
        <f t="shared" si="1378"/>
        <v/>
      </c>
      <c r="AC1961" s="712" t="str">
        <f>IF(AE1961="T2G","no charge",IF(AND(OR(PlanterYesMe="No",PlanterYesMe="N",PlanterYesMe="me"),H1961=""),"",IF(H1961="credit","NO install",IF(AND(K1961="",AE1961="me"),"EACH row",IF(AND(K1961="images",AE1961="me"),"EACH row",IF(D1961="","",IF(H1961="credit","",IF(AE1961="free","re-planting",IF(AE1961="me","   not ELP, by",IF(AND(OR(PlanterYesMe="Yes",PlanterYesMe="Y"),G1961&gt;0),(VLOOKUP(A1961,'Discount Lookup'!J:K,2)*G1961*(1-PlanterDiscount)*(1+PlanterDifficultyPercentage)),IF(AE1961="ELP",(VLOOKUP(A1961,'Discount Lookup'!J:K,2)*G1961*(1-PlanterDiscount)*(1+PlanterDifficultyPercentage)),IF(AE1961="free","re-planting",IF(G1961=0,"",IF(PlanterYesMe="",IF(AE1961="me","   not ELP, by",IF(AE1961="",IF(G1961&gt;0,(VLOOKUP(A1961,'Discount Lookup'!J:K,2)*G1961*(1-PlanterDiscount)*(1+PlanterDifficultyPercentage)),""),"")),"   not ELP, by"))))))))))))))</f>
        <v/>
      </c>
      <c r="AD1961" s="712"/>
      <c r="AE1961" s="513" t="str">
        <f t="shared" si="1379"/>
        <v/>
      </c>
      <c r="AF1961" s="713" t="str">
        <f t="shared" si="1380"/>
        <v/>
      </c>
      <c r="AG1961" s="713"/>
      <c r="AH1961" s="713"/>
      <c r="AI1961" s="112">
        <f>IF(H1961="credit",0,IF(AE1961="free",0,IF(AE1961="me",0,IF(G1961&gt;0,(VLOOKUP(A1961,'Discount Lookup'!J:K,2)*G1961),0))))</f>
        <v>0</v>
      </c>
      <c r="AJ1961" s="107" t="str">
        <f t="shared" ca="1" si="1381"/>
        <v/>
      </c>
      <c r="AK1961" s="714" t="str">
        <f t="shared" si="1382"/>
        <v/>
      </c>
      <c r="AL1961" s="714"/>
      <c r="AM1961" s="114" t="str">
        <f t="shared" si="1383"/>
        <v/>
      </c>
      <c r="AN1961" s="115"/>
      <c r="AO1961" s="116"/>
      <c r="AP1961" s="116"/>
      <c r="AQ1961" s="116"/>
      <c r="AR1961" s="116"/>
      <c r="AS1961" s="116"/>
      <c r="AT1961" s="116"/>
      <c r="AU1961" s="116"/>
      <c r="AV1961" s="78"/>
      <c r="AW1961" s="102"/>
      <c r="AX1961" s="78"/>
      <c r="AY1961" s="78"/>
      <c r="AZ1961" s="78"/>
      <c r="BA1961" s="78"/>
      <c r="BB1961" s="78"/>
      <c r="BC1961" s="78"/>
      <c r="BD1961" s="78"/>
      <c r="BE1961" s="465"/>
      <c r="BF1961" s="165" t="str">
        <f t="shared" si="1384"/>
        <v>https://www.google.com/search?tbm=isch&amp;q=5%20G6</v>
      </c>
      <c r="BG1961" s="165" t="str">
        <f t="shared" si="1385"/>
        <v>H</v>
      </c>
      <c r="BH1961" s="65"/>
      <c r="BI1961" s="65"/>
      <c r="BJ1961" s="65"/>
      <c r="BK1961" s="65"/>
      <c r="BL1961" s="99"/>
      <c r="BM1961" s="99"/>
      <c r="BN1961" s="99"/>
    </row>
    <row r="1962" spans="1:66" s="51" customFormat="1" ht="15.75" x14ac:dyDescent="0.25">
      <c r="A1962" s="634">
        <v>10</v>
      </c>
      <c r="B1962" s="635" t="s">
        <v>291</v>
      </c>
      <c r="C1962" s="636" t="s">
        <v>2517</v>
      </c>
      <c r="D1962" s="637" t="s">
        <v>293</v>
      </c>
      <c r="E1962" s="638">
        <v>166.95</v>
      </c>
      <c r="F1962" s="639" t="s">
        <v>292</v>
      </c>
      <c r="G1962" s="484">
        <v>0</v>
      </c>
      <c r="H1962" s="691" t="str">
        <f>IF(G1962=0,"",IF(F1962="Buy",IF(G1962=1,"plant","plants"),IF(F1962&gt;0.01,"warranty","Error")))</f>
        <v/>
      </c>
      <c r="I1962" s="640">
        <f>IF(H1962="free",0,IF(H1962="credit",((E1962*(F1962))*G1962*-1),IF(F1962="Buy",(E1962*G1962),((E1962*(1-F1962))*G1962))))</f>
        <v>0</v>
      </c>
      <c r="J1962" s="640">
        <f>IF(H1962="warranty",0,(I1962*(_xlfn.SINGLE(SalesTaxPercentage))))</f>
        <v>0</v>
      </c>
      <c r="K1962" s="716">
        <f t="shared" ref="K1962" si="1396">I1962+J1962</f>
        <v>0</v>
      </c>
      <c r="L1962" s="716"/>
      <c r="M1962" s="689" t="str">
        <f ca="1">IF(AND(G1962&gt;0,E1962=0),"WARNING - no PRICE inserted",IF(H1962="free","FREE ~ no charge this plant",IF(H1962="credit",CONCATENATE("-$",ROUND(K1962*(1-_xlfn.SINGLE(T2GDiscount))*-1,2)," CREDIT after discount"),IF(_xlfn.SINGLE(T2GDiscount)=0,"",IF(G1962=0,"",IF(F1962="Buy",CONCATENATE("$",ROUND(K1962*(1-_xlfn.SINGLE(T2GDiscount)),2)," with ",(_xlfn.SINGLE(T2GDiscount)*100),"% discount"),CONCATENATE("$",ROUND(K1962*(1-_xlfn.SINGLE(T2GDiscount)),2)," with ",((_xlfn.SINGLE(T2GDiscount)*100+F1962*100)-(_xlfn.SINGLE(T2GDiscount)*100*F1962)),IF(F1962&gt;0,"% discounts",IF(_xlfn.SINGLE(NoWarrantyDiscount)&gt;0,"% discounts","% discount")))))))))</f>
        <v/>
      </c>
      <c r="N1962" s="690"/>
      <c r="O1962" s="486"/>
      <c r="P1962" s="486"/>
      <c r="Q1962" s="486"/>
      <c r="R1962" s="486"/>
      <c r="S1962" s="486"/>
      <c r="T1962" s="102">
        <f t="shared" si="1373"/>
        <v>0</v>
      </c>
      <c r="U1962" s="78">
        <f>IF(NOT(ISNUMBER(G1962)), "", VLOOKUP(A1962,'Discount Lookup'!D:E,2,FALSE)*G1962)</f>
        <v>0</v>
      </c>
      <c r="V1962" s="78">
        <f>IF(NOT(ISNUMBER(G1962)), "", VLOOKUP(A1962,'Discount Lookup'!G:H,2,FALSE)*G1962)</f>
        <v>0</v>
      </c>
      <c r="W1962" s="102">
        <f t="shared" si="1374"/>
        <v>0</v>
      </c>
      <c r="X1962" s="102">
        <f t="shared" si="1375"/>
        <v>0</v>
      </c>
      <c r="Y1962" s="120" t="b">
        <f t="shared" si="1376"/>
        <v>0</v>
      </c>
      <c r="Z1962" s="117">
        <f t="shared" si="1377"/>
        <v>0</v>
      </c>
      <c r="AA1962" s="118"/>
      <c r="AB1962" s="118" t="str">
        <f t="shared" si="1378"/>
        <v/>
      </c>
      <c r="AC1962" s="712" t="str">
        <f>IF(AE1962="T2G","no charge",IF(AND(OR(PlanterYesMe="No",PlanterYesMe="N",PlanterYesMe="me"),H1962=""),"",IF(H1962="credit","NO install",IF(AND(K1962="",AE1962="me"),"EACH row",IF(AND(K1962="images",AE1962="me"),"EACH row",IF(D1962="","",IF(H1962="credit","",IF(AE1962="free","re-planting",IF(AE1962="me","   not ELP, by",IF(AND(OR(PlanterYesMe="Yes",PlanterYesMe="Y"),G1962&gt;0),(VLOOKUP(A1962,'Discount Lookup'!J:K,2)*G1962*(1-PlanterDiscount)*(1+PlanterDifficultyPercentage)),IF(AE1962="ELP",(VLOOKUP(A1962,'Discount Lookup'!J:K,2)*G1962*(1-PlanterDiscount)*(1+PlanterDifficultyPercentage)),IF(AE1962="free","re-planting",IF(G1962=0,"",IF(PlanterYesMe="",IF(AE1962="me","   not ELP, by",IF(AE1962="",IF(G1962&gt;0,(VLOOKUP(A1962,'Discount Lookup'!J:K,2)*G1962*(1-PlanterDiscount)*(1+PlanterDifficultyPercentage)),""),"")),"   not ELP, by"))))))))))))))</f>
        <v/>
      </c>
      <c r="AD1962" s="712"/>
      <c r="AE1962" s="513" t="str">
        <f t="shared" si="1379"/>
        <v/>
      </c>
      <c r="AF1962" s="713" t="str">
        <f t="shared" si="1380"/>
        <v/>
      </c>
      <c r="AG1962" s="713"/>
      <c r="AH1962" s="713"/>
      <c r="AI1962" s="112">
        <f>IF(H1962="credit",0,IF(AE1962="free",0,IF(AE1962="me",0,IF(G1962&gt;0,(VLOOKUP(A1962,'Discount Lookup'!J:K,2)*G1962),0))))</f>
        <v>0</v>
      </c>
      <c r="AJ1962" s="107" t="str">
        <f t="shared" ca="1" si="1381"/>
        <v/>
      </c>
      <c r="AK1962" s="714" t="str">
        <f t="shared" si="1382"/>
        <v/>
      </c>
      <c r="AL1962" s="714"/>
      <c r="AM1962" s="114" t="str">
        <f t="shared" si="1383"/>
        <v/>
      </c>
      <c r="AN1962" s="115"/>
      <c r="AO1962" s="116"/>
      <c r="AP1962" s="116"/>
      <c r="AQ1962" s="116"/>
      <c r="AR1962" s="116"/>
      <c r="AS1962" s="116"/>
      <c r="AT1962" s="116"/>
      <c r="AU1962" s="116"/>
      <c r="AV1962" s="78"/>
      <c r="AW1962" s="102"/>
      <c r="AX1962" s="78"/>
      <c r="AY1962" s="78"/>
      <c r="AZ1962" s="78"/>
      <c r="BA1962" s="78"/>
      <c r="BB1962" s="78"/>
      <c r="BC1962" s="78"/>
      <c r="BD1962" s="78"/>
      <c r="BE1962" s="465"/>
      <c r="BF1962" s="165" t="str">
        <f t="shared" si="1384"/>
        <v>https://www.google.com/search?tbm=isch&amp;q=10%20G6</v>
      </c>
      <c r="BG1962" s="165" t="str">
        <f t="shared" si="1385"/>
        <v>H</v>
      </c>
      <c r="BH1962" s="65"/>
      <c r="BI1962" s="65"/>
      <c r="BJ1962" s="65"/>
      <c r="BK1962" s="65"/>
      <c r="BL1962" s="99"/>
      <c r="BM1962" s="99"/>
      <c r="BN1962" s="99"/>
    </row>
    <row r="1963" spans="1:66" s="51" customFormat="1" ht="17.25" thickBot="1" x14ac:dyDescent="0.3">
      <c r="A1963" s="704" t="s">
        <v>5439</v>
      </c>
      <c r="B1963" s="642"/>
      <c r="C1963" s="710"/>
      <c r="D1963" s="643"/>
      <c r="E1963" s="643"/>
      <c r="F1963" s="644"/>
      <c r="G1963" s="645"/>
      <c r="H1963" s="646"/>
      <c r="I1963" s="647"/>
      <c r="J1963" s="648"/>
      <c r="K1963" s="649"/>
      <c r="L1963" s="650"/>
      <c r="M1963" s="650"/>
      <c r="N1963" s="644"/>
      <c r="O1963" s="644"/>
      <c r="P1963" s="644"/>
      <c r="Q1963" s="644"/>
      <c r="R1963" s="644"/>
      <c r="S1963" s="651"/>
      <c r="T1963" s="102">
        <f t="shared" si="1373"/>
        <v>0</v>
      </c>
      <c r="U1963" s="78" t="str">
        <f>IF(NOT(ISNUMBER(G1963)), "", VLOOKUP(A1963,'Discount Lookup'!D:E,2,FALSE)*G1963)</f>
        <v/>
      </c>
      <c r="V1963" s="78" t="str">
        <f>IF(NOT(ISNUMBER(G1963)), "", VLOOKUP(A1963,'Discount Lookup'!G:H,2,FALSE)*G1963)</f>
        <v/>
      </c>
      <c r="W1963" s="102">
        <f t="shared" si="1374"/>
        <v>0</v>
      </c>
      <c r="X1963" s="102">
        <f t="shared" si="1375"/>
        <v>0</v>
      </c>
      <c r="Y1963" s="120" t="b">
        <f t="shared" si="1376"/>
        <v>0</v>
      </c>
      <c r="Z1963" s="117">
        <f t="shared" si="1377"/>
        <v>0</v>
      </c>
      <c r="AA1963" s="118"/>
      <c r="AB1963" s="118" t="str">
        <f t="shared" si="1378"/>
        <v/>
      </c>
      <c r="AC1963" s="712" t="str">
        <f>IF(AE1963="T2G","no charge",IF(AND(OR(PlanterYesMe="No",PlanterYesMe="N",PlanterYesMe="me"),H1963=""),"",IF(H1963="credit","NO install",IF(AND(K1963="",AE1963="me"),"EACH row",IF(AND(K1963="images",AE1963="me"),"EACH row",IF(D1963="","",IF(H1963="credit","",IF(AE1963="free","re-planting",IF(AE1963="me","   not ELP, by",IF(AND(OR(PlanterYesMe="Yes",PlanterYesMe="Y"),G1963&gt;0),(VLOOKUP(A1963,'Discount Lookup'!J:K,2)*G1963*(1-PlanterDiscount)*(1+PlanterDifficultyPercentage)),IF(AE1963="ELP",(VLOOKUP(A1963,'Discount Lookup'!J:K,2)*G1963*(1-PlanterDiscount)*(1+PlanterDifficultyPercentage)),IF(AE1963="free","re-planting",IF(G1963=0,"",IF(PlanterYesMe="",IF(AE1963="me","   not ELP, by",IF(AE1963="",IF(G1963&gt;0,(VLOOKUP(A1963,'Discount Lookup'!J:K,2)*G1963*(1-PlanterDiscount)*(1+PlanterDifficultyPercentage)),""),"")),"   not ELP, by"))))))))))))))</f>
        <v/>
      </c>
      <c r="AD1963" s="712"/>
      <c r="AE1963" s="513" t="str">
        <f t="shared" si="1379"/>
        <v/>
      </c>
      <c r="AF1963" s="713" t="str">
        <f t="shared" si="1380"/>
        <v/>
      </c>
      <c r="AG1963" s="713"/>
      <c r="AH1963" s="713"/>
      <c r="AI1963" s="112">
        <f>IF(H1963="credit",0,IF(AE1963="free",0,IF(AE1963="me",0,IF(G1963&gt;0,(VLOOKUP(A1963,'Discount Lookup'!J:K,2)*G1963),0))))</f>
        <v>0</v>
      </c>
      <c r="AJ1963" s="107" t="str">
        <f t="shared" ca="1" si="1381"/>
        <v/>
      </c>
      <c r="AK1963" s="714" t="str">
        <f t="shared" si="1382"/>
        <v/>
      </c>
      <c r="AL1963" s="714"/>
      <c r="AM1963" s="114" t="str">
        <f t="shared" si="1383"/>
        <v/>
      </c>
      <c r="AN1963" s="115"/>
      <c r="AO1963" s="116"/>
      <c r="AP1963" s="116"/>
      <c r="AQ1963" s="116"/>
      <c r="AR1963" s="116"/>
      <c r="AS1963" s="116"/>
      <c r="AT1963" s="116"/>
      <c r="AU1963" s="116"/>
      <c r="AV1963" s="78"/>
      <c r="AW1963" s="102"/>
      <c r="AX1963" s="78"/>
      <c r="AY1963" s="78"/>
      <c r="AZ1963" s="78"/>
      <c r="BA1963" s="78"/>
      <c r="BB1963" s="78"/>
      <c r="BC1963" s="78"/>
      <c r="BD1963" s="78"/>
      <c r="BE1963" s="465"/>
      <c r="BF1963" s="165" t="str">
        <f t="shared" si="1384"/>
        <v>https://www.google.com/search?tbm=isch&amp;q=moist%20sites%F0%9F%92%A7GOOD%2C%20L.A.%20Driamin%27%20has%20Green%20foliage.%20Most%20%22Bigleaf%22%20Hydrangea%20have%20snowball%20flowers%20on%20old%20wood.%20Acidic%20soil%20for%20Blue%2C%20Alkaline%20for%20Pink%20</v>
      </c>
      <c r="BG1963" s="165" t="str">
        <f t="shared" si="1385"/>
        <v>m</v>
      </c>
      <c r="BH1963" s="65"/>
      <c r="BI1963" s="65"/>
      <c r="BJ1963" s="65"/>
      <c r="BK1963" s="65"/>
      <c r="BL1963" s="99"/>
      <c r="BM1963" s="99"/>
      <c r="BN1963" s="99"/>
    </row>
    <row r="1964" spans="1:66" s="51" customFormat="1" ht="18" x14ac:dyDescent="0.25">
      <c r="A1964" s="623" t="s">
        <v>2800</v>
      </c>
      <c r="B1964" s="624"/>
      <c r="C1964" s="709"/>
      <c r="D1964" s="625" t="s">
        <v>5687</v>
      </c>
      <c r="E1964" s="626"/>
      <c r="F1964" s="626"/>
      <c r="G1964" s="626"/>
      <c r="H1964" s="622" t="s">
        <v>1124</v>
      </c>
      <c r="I1964" s="627" t="s">
        <v>2781</v>
      </c>
      <c r="J1964" s="628"/>
      <c r="K1964" s="628"/>
      <c r="L1964" s="629"/>
      <c r="M1964" s="702" t="s">
        <v>5252</v>
      </c>
      <c r="N1964" s="693" t="str">
        <f>IF(AND(ISTEXT($A1964), ISERROR($A1964+0)), HYPERLINK($BF1964, "Images"), "")</f>
        <v>Images</v>
      </c>
      <c r="O1964" s="695" t="s">
        <v>5264</v>
      </c>
      <c r="P1964" s="630"/>
      <c r="Q1964" s="631"/>
      <c r="R1964" s="632"/>
      <c r="S1964" s="633"/>
      <c r="T1964" s="102">
        <f t="shared" si="1373"/>
        <v>0</v>
      </c>
      <c r="U1964" s="78" t="str">
        <f>IF(NOT(ISNUMBER(G1964)), "", VLOOKUP(A1964,'Discount Lookup'!D:E,2,FALSE)*G1964)</f>
        <v/>
      </c>
      <c r="V1964" s="78" t="str">
        <f>IF(NOT(ISNUMBER(G1964)), "", VLOOKUP(A1964,'Discount Lookup'!G:H,2,FALSE)*G1964)</f>
        <v/>
      </c>
      <c r="W1964" s="102">
        <f t="shared" si="1374"/>
        <v>0</v>
      </c>
      <c r="X1964" s="102" t="str">
        <f t="shared" si="1375"/>
        <v>Cherry-Red bloom ages to Purple</v>
      </c>
      <c r="Y1964" s="120" t="b">
        <f t="shared" si="1376"/>
        <v>0</v>
      </c>
      <c r="Z1964" s="117">
        <f t="shared" si="1377"/>
        <v>0</v>
      </c>
      <c r="AA1964" s="118"/>
      <c r="AB1964" s="118" t="str">
        <f t="shared" si="1378"/>
        <v/>
      </c>
      <c r="AC1964" s="712" t="str">
        <f>IF(AE1964="T2G","no charge",IF(AND(OR(PlanterYesMe="No",PlanterYesMe="N",PlanterYesMe="me"),H1964=""),"",IF(H1964="credit","NO install",IF(AND(K1964="",AE1964="me"),"EACH row",IF(AND(K1964="images",AE1964="me"),"EACH row",IF(D1964="","",IF(H1964="credit","",IF(AE1964="free","re-planting",IF(AE1964="me","   not ELP, by",IF(AND(OR(PlanterYesMe="Yes",PlanterYesMe="Y"),G1964&gt;0),(VLOOKUP(A1964,'Discount Lookup'!J:K,2)*G1964*(1-PlanterDiscount)*(1+PlanterDifficultyPercentage)),IF(AE1964="ELP",(VLOOKUP(A1964,'Discount Lookup'!J:K,2)*G1964*(1-PlanterDiscount)*(1+PlanterDifficultyPercentage)),IF(AE1964="free","re-planting",IF(G1964=0,"",IF(PlanterYesMe="",IF(AE1964="me","   not ELP, by",IF(AE1964="",IF(G1964&gt;0,(VLOOKUP(A1964,'Discount Lookup'!J:K,2)*G1964*(1-PlanterDiscount)*(1+PlanterDifficultyPercentage)),""),"")),"   not ELP, by"))))))))))))))</f>
        <v/>
      </c>
      <c r="AD1964" s="712"/>
      <c r="AE1964" s="513" t="str">
        <f t="shared" si="1379"/>
        <v/>
      </c>
      <c r="AF1964" s="713" t="str">
        <f t="shared" si="1380"/>
        <v/>
      </c>
      <c r="AG1964" s="713"/>
      <c r="AH1964" s="713"/>
      <c r="AI1964" s="112">
        <f>IF(H1964="credit",0,IF(AE1964="free",0,IF(AE1964="me",0,IF(G1964&gt;0,(VLOOKUP(A1964,'Discount Lookup'!J:K,2)*G1964),0))))</f>
        <v>0</v>
      </c>
      <c r="AJ1964" s="107" t="str">
        <f t="shared" ca="1" si="1381"/>
        <v/>
      </c>
      <c r="AK1964" s="714" t="str">
        <f t="shared" si="1382"/>
        <v/>
      </c>
      <c r="AL1964" s="714"/>
      <c r="AM1964" s="114" t="str">
        <f t="shared" si="1383"/>
        <v/>
      </c>
      <c r="AN1964" s="115"/>
      <c r="AO1964" s="116"/>
      <c r="AP1964" s="116"/>
      <c r="AQ1964" s="116"/>
      <c r="AR1964" s="116"/>
      <c r="AS1964" s="116"/>
      <c r="AT1964" s="116"/>
      <c r="AU1964" s="116"/>
      <c r="AV1964" s="78"/>
      <c r="AW1964" s="102"/>
      <c r="AX1964" s="78"/>
      <c r="AY1964" s="78"/>
      <c r="AZ1964" s="78"/>
      <c r="BA1964" s="78"/>
      <c r="BB1964" s="78"/>
      <c r="BC1964" s="78"/>
      <c r="BD1964" s="78"/>
      <c r="BE1964" s="465"/>
      <c r="BF1964" s="165" t="str">
        <f t="shared" si="1384"/>
        <v>https://www.google.com/search?tbm=isch&amp;q=Hyd.%20macrophylla%20%27McKay%27%20PP%2328757%20Cherry%20Explosion%E2%84%A2%20Bigleaf%20Hydrangea</v>
      </c>
      <c r="BG1964" s="165" t="str">
        <f t="shared" si="1385"/>
        <v>H</v>
      </c>
      <c r="BH1964" s="65"/>
      <c r="BI1964" s="65"/>
      <c r="BJ1964" s="65"/>
      <c r="BK1964" s="65"/>
      <c r="BL1964" s="99"/>
      <c r="BM1964" s="99"/>
      <c r="BN1964" s="99"/>
    </row>
    <row r="1965" spans="1:66" s="51" customFormat="1" ht="15.75" x14ac:dyDescent="0.25">
      <c r="A1965" s="634">
        <v>3</v>
      </c>
      <c r="B1965" s="635" t="s">
        <v>291</v>
      </c>
      <c r="C1965" s="636" t="s">
        <v>337</v>
      </c>
      <c r="D1965" s="637" t="s">
        <v>310</v>
      </c>
      <c r="E1965" s="638">
        <v>32.950000000000003</v>
      </c>
      <c r="F1965" s="639" t="s">
        <v>292</v>
      </c>
      <c r="G1965" s="484">
        <v>0</v>
      </c>
      <c r="H1965" s="691" t="str">
        <f>IF(G1965=0,"",IF(F1965="Buy",IF(G1965=1,"plant","plants"),IF(F1965&gt;0.01,"warranty","Error")))</f>
        <v/>
      </c>
      <c r="I1965" s="640">
        <f>IF(H1965="free",0,IF(H1965="credit",((E1965*(F1965))*G1965*-1),IF(F1965="Buy",(E1965*G1965),((E1965*(1-F1965))*G1965))))</f>
        <v>0</v>
      </c>
      <c r="J1965" s="640">
        <f>IF(H1965="warranty",0,(I1965*(_xlfn.SINGLE(SalesTaxPercentage))))</f>
        <v>0</v>
      </c>
      <c r="K1965" s="716">
        <f t="shared" ref="K1965" si="1397">I1965+J1965</f>
        <v>0</v>
      </c>
      <c r="L1965" s="716"/>
      <c r="M1965" s="689" t="str">
        <f ca="1">IF(AND(G1965&gt;0,E1965=0),"WARNING - no PRICE inserted",IF(H1965="free","FREE ~ no charge this plant",IF(H1965="credit",CONCATENATE("-$",ROUND(K1965*(1-_xlfn.SINGLE(T2GDiscount))*-1,2)," CREDIT after discount"),IF(_xlfn.SINGLE(T2GDiscount)=0,"",IF(G1965=0,"",IF(F1965="Buy",CONCATENATE("$",ROUND(K1965*(1-_xlfn.SINGLE(T2GDiscount)),2)," with ",(_xlfn.SINGLE(T2GDiscount)*100),"% discount"),CONCATENATE("$",ROUND(K1965*(1-_xlfn.SINGLE(T2GDiscount)),2)," with ",((_xlfn.SINGLE(T2GDiscount)*100+F1965*100)-(_xlfn.SINGLE(T2GDiscount)*100*F1965)),IF(F1965&gt;0,"% discounts",IF(_xlfn.SINGLE(NoWarrantyDiscount)&gt;0,"% discounts","% discount")))))))))</f>
        <v/>
      </c>
      <c r="N1965" s="690"/>
      <c r="O1965" s="486"/>
      <c r="P1965" s="486"/>
      <c r="Q1965" s="486"/>
      <c r="R1965" s="486"/>
      <c r="S1965" s="486"/>
      <c r="T1965" s="102">
        <f t="shared" si="1373"/>
        <v>0</v>
      </c>
      <c r="U1965" s="78">
        <f>IF(NOT(ISNUMBER(G1965)), "", VLOOKUP(A1965,'Discount Lookup'!D:E,2,FALSE)*G1965)</f>
        <v>0</v>
      </c>
      <c r="V1965" s="78">
        <f>IF(NOT(ISNUMBER(G1965)), "", VLOOKUP(A1965,'Discount Lookup'!G:H,2,FALSE)*G1965)</f>
        <v>0</v>
      </c>
      <c r="W1965" s="102">
        <f t="shared" si="1374"/>
        <v>0</v>
      </c>
      <c r="X1965" s="102">
        <f t="shared" si="1375"/>
        <v>0</v>
      </c>
      <c r="Y1965" s="120" t="b">
        <f t="shared" si="1376"/>
        <v>0</v>
      </c>
      <c r="Z1965" s="117">
        <f t="shared" si="1377"/>
        <v>0</v>
      </c>
      <c r="AA1965" s="118"/>
      <c r="AB1965" s="118" t="str">
        <f t="shared" si="1378"/>
        <v/>
      </c>
      <c r="AC1965" s="712" t="str">
        <f>IF(AE1965="T2G","no charge",IF(AND(OR(PlanterYesMe="No",PlanterYesMe="N",PlanterYesMe="me"),H1965=""),"",IF(H1965="credit","NO install",IF(AND(K1965="",AE1965="me"),"EACH row",IF(AND(K1965="images",AE1965="me"),"EACH row",IF(D1965="","",IF(H1965="credit","",IF(AE1965="free","re-planting",IF(AE1965="me","   not ELP, by",IF(AND(OR(PlanterYesMe="Yes",PlanterYesMe="Y"),G1965&gt;0),(VLOOKUP(A1965,'Discount Lookup'!J:K,2)*G1965*(1-PlanterDiscount)*(1+PlanterDifficultyPercentage)),IF(AE1965="ELP",(VLOOKUP(A1965,'Discount Lookup'!J:K,2)*G1965*(1-PlanterDiscount)*(1+PlanterDifficultyPercentage)),IF(AE1965="free","re-planting",IF(G1965=0,"",IF(PlanterYesMe="",IF(AE1965="me","   not ELP, by",IF(AE1965="",IF(G1965&gt;0,(VLOOKUP(A1965,'Discount Lookup'!J:K,2)*G1965*(1-PlanterDiscount)*(1+PlanterDifficultyPercentage)),""),"")),"   not ELP, by"))))))))))))))</f>
        <v/>
      </c>
      <c r="AD1965" s="712"/>
      <c r="AE1965" s="513" t="str">
        <f t="shared" si="1379"/>
        <v/>
      </c>
      <c r="AF1965" s="713" t="str">
        <f t="shared" si="1380"/>
        <v/>
      </c>
      <c r="AG1965" s="713"/>
      <c r="AH1965" s="713"/>
      <c r="AI1965" s="112">
        <f>IF(H1965="credit",0,IF(AE1965="free",0,IF(AE1965="me",0,IF(G1965&gt;0,(VLOOKUP(A1965,'Discount Lookup'!J:K,2)*G1965),0))))</f>
        <v>0</v>
      </c>
      <c r="AJ1965" s="107" t="str">
        <f t="shared" ca="1" si="1381"/>
        <v/>
      </c>
      <c r="AK1965" s="714" t="str">
        <f t="shared" si="1382"/>
        <v/>
      </c>
      <c r="AL1965" s="714"/>
      <c r="AM1965" s="114" t="str">
        <f t="shared" si="1383"/>
        <v/>
      </c>
      <c r="AN1965" s="115"/>
      <c r="AO1965" s="116"/>
      <c r="AP1965" s="116"/>
      <c r="AQ1965" s="116"/>
      <c r="AR1965" s="116"/>
      <c r="AS1965" s="116"/>
      <c r="AT1965" s="116"/>
      <c r="AU1965" s="116"/>
      <c r="AV1965" s="78"/>
      <c r="AW1965" s="102"/>
      <c r="AX1965" s="78"/>
      <c r="AY1965" s="78"/>
      <c r="AZ1965" s="78"/>
      <c r="BA1965" s="78"/>
      <c r="BB1965" s="78"/>
      <c r="BC1965" s="78"/>
      <c r="BD1965" s="78"/>
      <c r="BE1965" s="465"/>
      <c r="BF1965" s="165" t="str">
        <f t="shared" si="1384"/>
        <v>https://www.google.com/search?tbm=isch&amp;q=3%20G1</v>
      </c>
      <c r="BG1965" s="165" t="str">
        <f t="shared" si="1385"/>
        <v>H</v>
      </c>
      <c r="BH1965" s="65"/>
      <c r="BI1965" s="65"/>
      <c r="BJ1965" s="65"/>
      <c r="BK1965" s="65"/>
      <c r="BL1965" s="99"/>
      <c r="BM1965" s="99"/>
      <c r="BN1965" s="99"/>
    </row>
    <row r="1966" spans="1:66" s="51" customFormat="1" ht="15.75" x14ac:dyDescent="0.25">
      <c r="A1966" s="634">
        <v>3</v>
      </c>
      <c r="B1966" s="635" t="s">
        <v>291</v>
      </c>
      <c r="C1966" s="636" t="s">
        <v>2801</v>
      </c>
      <c r="D1966" s="637" t="s">
        <v>309</v>
      </c>
      <c r="E1966" s="638">
        <v>32.950000000000003</v>
      </c>
      <c r="F1966" s="639" t="s">
        <v>292</v>
      </c>
      <c r="G1966" s="484">
        <v>0</v>
      </c>
      <c r="H1966" s="691" t="str">
        <f>IF(G1966=0,"",IF(F1966="Buy",IF(G1966=1,"plant","plants"),IF(F1966&gt;0.01,"warranty","Error")))</f>
        <v/>
      </c>
      <c r="I1966" s="640">
        <f>IF(H1966="free",0,IF(H1966="credit",((E1966*(F1966))*G1966*-1),IF(F1966="Buy",(E1966*G1966),((E1966*(1-F1966))*G1966))))</f>
        <v>0</v>
      </c>
      <c r="J1966" s="640">
        <f>IF(H1966="warranty",0,(I1966*(_xlfn.SINGLE(SalesTaxPercentage))))</f>
        <v>0</v>
      </c>
      <c r="K1966" s="716">
        <f t="shared" ref="K1966" si="1398">I1966+J1966</f>
        <v>0</v>
      </c>
      <c r="L1966" s="716"/>
      <c r="M1966" s="689" t="str">
        <f ca="1">IF(AND(G1966&gt;0,E1966=0),"WARNING - no PRICE inserted",IF(H1966="free","FREE ~ no charge this plant",IF(H1966="credit",CONCATENATE("-$",ROUND(K1966*(1-_xlfn.SINGLE(T2GDiscount))*-1,2)," CREDIT after discount"),IF(_xlfn.SINGLE(T2GDiscount)=0,"",IF(G1966=0,"",IF(F1966="Buy",CONCATENATE("$",ROUND(K1966*(1-_xlfn.SINGLE(T2GDiscount)),2)," with ",(_xlfn.SINGLE(T2GDiscount)*100),"% discount"),CONCATENATE("$",ROUND(K1966*(1-_xlfn.SINGLE(T2GDiscount)),2)," with ",((_xlfn.SINGLE(T2GDiscount)*100+F1966*100)-(_xlfn.SINGLE(T2GDiscount)*100*F1966)),IF(F1966&gt;0,"% discounts",IF(_xlfn.SINGLE(NoWarrantyDiscount)&gt;0,"% discounts","% discount")))))))))</f>
        <v/>
      </c>
      <c r="N1966" s="690"/>
      <c r="O1966" s="486"/>
      <c r="P1966" s="486"/>
      <c r="Q1966" s="486"/>
      <c r="R1966" s="486"/>
      <c r="S1966" s="486"/>
      <c r="T1966" s="102">
        <f t="shared" si="1373"/>
        <v>0</v>
      </c>
      <c r="U1966" s="78">
        <f>IF(NOT(ISNUMBER(G1966)), "", VLOOKUP(A1966,'Discount Lookup'!D:E,2,FALSE)*G1966)</f>
        <v>0</v>
      </c>
      <c r="V1966" s="78">
        <f>IF(NOT(ISNUMBER(G1966)), "", VLOOKUP(A1966,'Discount Lookup'!G:H,2,FALSE)*G1966)</f>
        <v>0</v>
      </c>
      <c r="W1966" s="102">
        <f t="shared" si="1374"/>
        <v>0</v>
      </c>
      <c r="X1966" s="102">
        <f t="shared" si="1375"/>
        <v>0</v>
      </c>
      <c r="Y1966" s="120" t="b">
        <f t="shared" si="1376"/>
        <v>0</v>
      </c>
      <c r="Z1966" s="117">
        <f t="shared" si="1377"/>
        <v>0</v>
      </c>
      <c r="AA1966" s="118"/>
      <c r="AB1966" s="118" t="str">
        <f t="shared" si="1378"/>
        <v/>
      </c>
      <c r="AC1966" s="712" t="str">
        <f>IF(AE1966="T2G","no charge",IF(AND(OR(PlanterYesMe="No",PlanterYesMe="N",PlanterYesMe="me"),H1966=""),"",IF(H1966="credit","NO install",IF(AND(K1966="",AE1966="me"),"EACH row",IF(AND(K1966="images",AE1966="me"),"EACH row",IF(D1966="","",IF(H1966="credit","",IF(AE1966="free","re-planting",IF(AE1966="me","   not ELP, by",IF(AND(OR(PlanterYesMe="Yes",PlanterYesMe="Y"),G1966&gt;0),(VLOOKUP(A1966,'Discount Lookup'!J:K,2)*G1966*(1-PlanterDiscount)*(1+PlanterDifficultyPercentage)),IF(AE1966="ELP",(VLOOKUP(A1966,'Discount Lookup'!J:K,2)*G1966*(1-PlanterDiscount)*(1+PlanterDifficultyPercentage)),IF(AE1966="free","re-planting",IF(G1966=0,"",IF(PlanterYesMe="",IF(AE1966="me","   not ELP, by",IF(AE1966="",IF(G1966&gt;0,(VLOOKUP(A1966,'Discount Lookup'!J:K,2)*G1966*(1-PlanterDiscount)*(1+PlanterDifficultyPercentage)),""),"")),"   not ELP, by"))))))))))))))</f>
        <v/>
      </c>
      <c r="AD1966" s="712"/>
      <c r="AE1966" s="513" t="str">
        <f t="shared" si="1379"/>
        <v/>
      </c>
      <c r="AF1966" s="713" t="str">
        <f t="shared" si="1380"/>
        <v/>
      </c>
      <c r="AG1966" s="713"/>
      <c r="AH1966" s="713"/>
      <c r="AI1966" s="112">
        <f>IF(H1966="credit",0,IF(AE1966="free",0,IF(AE1966="me",0,IF(G1966&gt;0,(VLOOKUP(A1966,'Discount Lookup'!J:K,2)*G1966),0))))</f>
        <v>0</v>
      </c>
      <c r="AJ1966" s="107" t="str">
        <f t="shared" ca="1" si="1381"/>
        <v/>
      </c>
      <c r="AK1966" s="714" t="str">
        <f t="shared" si="1382"/>
        <v/>
      </c>
      <c r="AL1966" s="714"/>
      <c r="AM1966" s="114" t="str">
        <f t="shared" si="1383"/>
        <v/>
      </c>
      <c r="AN1966" s="115"/>
      <c r="AO1966" s="116"/>
      <c r="AP1966" s="116"/>
      <c r="AQ1966" s="116"/>
      <c r="AR1966" s="116"/>
      <c r="AS1966" s="116"/>
      <c r="AT1966" s="116"/>
      <c r="AU1966" s="116"/>
      <c r="AV1966" s="78"/>
      <c r="AW1966" s="102"/>
      <c r="AX1966" s="78"/>
      <c r="AY1966" s="78"/>
      <c r="AZ1966" s="78"/>
      <c r="BA1966" s="78"/>
      <c r="BB1966" s="78"/>
      <c r="BC1966" s="78"/>
      <c r="BD1966" s="78"/>
      <c r="BE1966" s="465"/>
      <c r="BF1966" s="165" t="str">
        <f t="shared" si="1384"/>
        <v>https://www.google.com/search?tbm=isch&amp;q=3%20G3</v>
      </c>
      <c r="BG1966" s="165" t="str">
        <f t="shared" si="1385"/>
        <v>H</v>
      </c>
      <c r="BH1966" s="65"/>
      <c r="BI1966" s="65"/>
      <c r="BJ1966" s="65"/>
      <c r="BK1966" s="65"/>
      <c r="BL1966" s="99"/>
      <c r="BM1966" s="99"/>
      <c r="BN1966" s="99"/>
    </row>
    <row r="1967" spans="1:66" s="51" customFormat="1" ht="15.75" x14ac:dyDescent="0.25">
      <c r="A1967" s="634">
        <v>3</v>
      </c>
      <c r="B1967" s="635" t="s">
        <v>291</v>
      </c>
      <c r="C1967" s="636" t="s">
        <v>1731</v>
      </c>
      <c r="D1967" s="637" t="s">
        <v>329</v>
      </c>
      <c r="E1967" s="638">
        <v>33.950000000000003</v>
      </c>
      <c r="F1967" s="639" t="s">
        <v>292</v>
      </c>
      <c r="G1967" s="484">
        <v>0</v>
      </c>
      <c r="H1967" s="691" t="str">
        <f>IF(G1967=0,"",IF(F1967="Buy",IF(G1967=1,"plant","plants"),IF(F1967&gt;0.01,"warranty","Error")))</f>
        <v/>
      </c>
      <c r="I1967" s="640">
        <f>IF(H1967="free",0,IF(H1967="credit",((E1967*(F1967))*G1967*-1),IF(F1967="Buy",(E1967*G1967),((E1967*(1-F1967))*G1967))))</f>
        <v>0</v>
      </c>
      <c r="J1967" s="640">
        <f>IF(H1967="warranty",0,(I1967*(_xlfn.SINGLE(SalesTaxPercentage))))</f>
        <v>0</v>
      </c>
      <c r="K1967" s="716">
        <f t="shared" ref="K1967" si="1399">I1967+J1967</f>
        <v>0</v>
      </c>
      <c r="L1967" s="716"/>
      <c r="M1967" s="689" t="str">
        <f ca="1">IF(AND(G1967&gt;0,E1967=0),"WARNING - no PRICE inserted",IF(H1967="free","FREE ~ no charge this plant",IF(H1967="credit",CONCATENATE("-$",ROUND(K1967*(1-_xlfn.SINGLE(T2GDiscount))*-1,2)," CREDIT after discount"),IF(_xlfn.SINGLE(T2GDiscount)=0,"",IF(G1967=0,"",IF(F1967="Buy",CONCATENATE("$",ROUND(K1967*(1-_xlfn.SINGLE(T2GDiscount)),2)," with ",(_xlfn.SINGLE(T2GDiscount)*100),"% discount"),CONCATENATE("$",ROUND(K1967*(1-_xlfn.SINGLE(T2GDiscount)),2)," with ",((_xlfn.SINGLE(T2GDiscount)*100+F1967*100)-(_xlfn.SINGLE(T2GDiscount)*100*F1967)),IF(F1967&gt;0,"% discounts",IF(_xlfn.SINGLE(NoWarrantyDiscount)&gt;0,"% discounts","% discount")))))))))</f>
        <v/>
      </c>
      <c r="N1967" s="690"/>
      <c r="O1967" s="486"/>
      <c r="P1967" s="486"/>
      <c r="Q1967" s="486"/>
      <c r="R1967" s="486"/>
      <c r="S1967" s="486"/>
      <c r="T1967" s="102">
        <f t="shared" si="1373"/>
        <v>0</v>
      </c>
      <c r="U1967" s="78">
        <f>IF(NOT(ISNUMBER(G1967)), "", VLOOKUP(A1967,'Discount Lookup'!D:E,2,FALSE)*G1967)</f>
        <v>0</v>
      </c>
      <c r="V1967" s="78">
        <f>IF(NOT(ISNUMBER(G1967)), "", VLOOKUP(A1967,'Discount Lookup'!G:H,2,FALSE)*G1967)</f>
        <v>0</v>
      </c>
      <c r="W1967" s="102">
        <f t="shared" si="1374"/>
        <v>0</v>
      </c>
      <c r="X1967" s="102">
        <f t="shared" si="1375"/>
        <v>0</v>
      </c>
      <c r="Y1967" s="120" t="b">
        <f t="shared" si="1376"/>
        <v>0</v>
      </c>
      <c r="Z1967" s="117">
        <f t="shared" si="1377"/>
        <v>0</v>
      </c>
      <c r="AA1967" s="118"/>
      <c r="AB1967" s="118" t="str">
        <f t="shared" si="1378"/>
        <v/>
      </c>
      <c r="AC1967" s="712" t="str">
        <f>IF(AE1967="T2G","no charge",IF(AND(OR(PlanterYesMe="No",PlanterYesMe="N",PlanterYesMe="me"),H1967=""),"",IF(H1967="credit","NO install",IF(AND(K1967="",AE1967="me"),"EACH row",IF(AND(K1967="images",AE1967="me"),"EACH row",IF(D1967="","",IF(H1967="credit","",IF(AE1967="free","re-planting",IF(AE1967="me","   not ELP, by",IF(AND(OR(PlanterYesMe="Yes",PlanterYesMe="Y"),G1967&gt;0),(VLOOKUP(A1967,'Discount Lookup'!J:K,2)*G1967*(1-PlanterDiscount)*(1+PlanterDifficultyPercentage)),IF(AE1967="ELP",(VLOOKUP(A1967,'Discount Lookup'!J:K,2)*G1967*(1-PlanterDiscount)*(1+PlanterDifficultyPercentage)),IF(AE1967="free","re-planting",IF(G1967=0,"",IF(PlanterYesMe="",IF(AE1967="me","   not ELP, by",IF(AE1967="",IF(G1967&gt;0,(VLOOKUP(A1967,'Discount Lookup'!J:K,2)*G1967*(1-PlanterDiscount)*(1+PlanterDifficultyPercentage)),""),"")),"   not ELP, by"))))))))))))))</f>
        <v/>
      </c>
      <c r="AD1967" s="712"/>
      <c r="AE1967" s="513" t="str">
        <f t="shared" si="1379"/>
        <v/>
      </c>
      <c r="AF1967" s="713" t="str">
        <f t="shared" si="1380"/>
        <v/>
      </c>
      <c r="AG1967" s="713"/>
      <c r="AH1967" s="713"/>
      <c r="AI1967" s="112">
        <f>IF(H1967="credit",0,IF(AE1967="free",0,IF(AE1967="me",0,IF(G1967&gt;0,(VLOOKUP(A1967,'Discount Lookup'!J:K,2)*G1967),0))))</f>
        <v>0</v>
      </c>
      <c r="AJ1967" s="107" t="str">
        <f t="shared" ca="1" si="1381"/>
        <v/>
      </c>
      <c r="AK1967" s="714" t="str">
        <f t="shared" si="1382"/>
        <v/>
      </c>
      <c r="AL1967" s="714"/>
      <c r="AM1967" s="114" t="str">
        <f t="shared" si="1383"/>
        <v/>
      </c>
      <c r="AN1967" s="115"/>
      <c r="AO1967" s="116"/>
      <c r="AP1967" s="116"/>
      <c r="AQ1967" s="116"/>
      <c r="AR1967" s="116"/>
      <c r="AS1967" s="116"/>
      <c r="AT1967" s="116"/>
      <c r="AU1967" s="116"/>
      <c r="AV1967" s="78"/>
      <c r="AW1967" s="102"/>
      <c r="AX1967" s="78"/>
      <c r="AY1967" s="78"/>
      <c r="AZ1967" s="78"/>
      <c r="BA1967" s="78"/>
      <c r="BB1967" s="78"/>
      <c r="BC1967" s="78"/>
      <c r="BD1967" s="78"/>
      <c r="BE1967" s="465"/>
      <c r="BF1967" s="165" t="str">
        <f t="shared" si="1384"/>
        <v>https://www.google.com/search?tbm=isch&amp;q=3%20G2</v>
      </c>
      <c r="BG1967" s="165" t="str">
        <f t="shared" si="1385"/>
        <v>H</v>
      </c>
      <c r="BH1967" s="65"/>
      <c r="BI1967" s="65"/>
      <c r="BJ1967" s="65"/>
      <c r="BK1967" s="65"/>
      <c r="BL1967" s="99"/>
      <c r="BM1967" s="99"/>
      <c r="BN1967" s="99"/>
    </row>
    <row r="1968" spans="1:66" s="51" customFormat="1" ht="17.25" thickBot="1" x14ac:dyDescent="0.3">
      <c r="A1968" s="704" t="s">
        <v>5440</v>
      </c>
      <c r="B1968" s="642"/>
      <c r="C1968" s="710"/>
      <c r="D1968" s="643"/>
      <c r="E1968" s="643"/>
      <c r="F1968" s="644"/>
      <c r="G1968" s="645"/>
      <c r="H1968" s="646"/>
      <c r="I1968" s="647"/>
      <c r="J1968" s="648"/>
      <c r="K1968" s="649"/>
      <c r="L1968" s="650"/>
      <c r="M1968" s="650"/>
      <c r="N1968" s="644"/>
      <c r="O1968" s="644"/>
      <c r="P1968" s="644"/>
      <c r="Q1968" s="644"/>
      <c r="R1968" s="644"/>
      <c r="S1968" s="651"/>
      <c r="T1968" s="102">
        <f t="shared" si="1373"/>
        <v>0</v>
      </c>
      <c r="U1968" s="78" t="str">
        <f>IF(NOT(ISNUMBER(G1968)), "", VLOOKUP(A1968,'Discount Lookup'!D:E,2,FALSE)*G1968)</f>
        <v/>
      </c>
      <c r="V1968" s="78" t="str">
        <f>IF(NOT(ISNUMBER(G1968)), "", VLOOKUP(A1968,'Discount Lookup'!G:H,2,FALSE)*G1968)</f>
        <v/>
      </c>
      <c r="W1968" s="102">
        <f t="shared" si="1374"/>
        <v>0</v>
      </c>
      <c r="X1968" s="102">
        <f t="shared" si="1375"/>
        <v>0</v>
      </c>
      <c r="Y1968" s="120" t="b">
        <f t="shared" si="1376"/>
        <v>0</v>
      </c>
      <c r="Z1968" s="117">
        <f t="shared" si="1377"/>
        <v>0</v>
      </c>
      <c r="AA1968" s="118"/>
      <c r="AB1968" s="118" t="str">
        <f t="shared" si="1378"/>
        <v/>
      </c>
      <c r="AC1968" s="712" t="str">
        <f>IF(AE1968="T2G","no charge",IF(AND(OR(PlanterYesMe="No",PlanterYesMe="N",PlanterYesMe="me"),H1968=""),"",IF(H1968="credit","NO install",IF(AND(K1968="",AE1968="me"),"EACH row",IF(AND(K1968="images",AE1968="me"),"EACH row",IF(D1968="","",IF(H1968="credit","",IF(AE1968="free","re-planting",IF(AE1968="me","   not ELP, by",IF(AND(OR(PlanterYesMe="Yes",PlanterYesMe="Y"),G1968&gt;0),(VLOOKUP(A1968,'Discount Lookup'!J:K,2)*G1968*(1-PlanterDiscount)*(1+PlanterDifficultyPercentage)),IF(AE1968="ELP",(VLOOKUP(A1968,'Discount Lookup'!J:K,2)*G1968*(1-PlanterDiscount)*(1+PlanterDifficultyPercentage)),IF(AE1968="free","re-planting",IF(G1968=0,"",IF(PlanterYesMe="",IF(AE1968="me","   not ELP, by",IF(AE1968="",IF(G1968&gt;0,(VLOOKUP(A1968,'Discount Lookup'!J:K,2)*G1968*(1-PlanterDiscount)*(1+PlanterDifficultyPercentage)),""),"")),"   not ELP, by"))))))))))))))</f>
        <v/>
      </c>
      <c r="AD1968" s="712"/>
      <c r="AE1968" s="513" t="str">
        <f t="shared" si="1379"/>
        <v/>
      </c>
      <c r="AF1968" s="713" t="str">
        <f t="shared" si="1380"/>
        <v/>
      </c>
      <c r="AG1968" s="713"/>
      <c r="AH1968" s="713"/>
      <c r="AI1968" s="112">
        <f>IF(H1968="credit",0,IF(AE1968="free",0,IF(AE1968="me",0,IF(G1968&gt;0,(VLOOKUP(A1968,'Discount Lookup'!J:K,2)*G1968),0))))</f>
        <v>0</v>
      </c>
      <c r="AJ1968" s="107" t="str">
        <f t="shared" ca="1" si="1381"/>
        <v/>
      </c>
      <c r="AK1968" s="714" t="str">
        <f t="shared" si="1382"/>
        <v/>
      </c>
      <c r="AL1968" s="714"/>
      <c r="AM1968" s="114" t="str">
        <f t="shared" si="1383"/>
        <v/>
      </c>
      <c r="AN1968" s="115"/>
      <c r="AO1968" s="116"/>
      <c r="AP1968" s="116"/>
      <c r="AQ1968" s="116"/>
      <c r="AR1968" s="116"/>
      <c r="AS1968" s="116"/>
      <c r="AT1968" s="116"/>
      <c r="AU1968" s="116"/>
      <c r="AV1968" s="78"/>
      <c r="AW1968" s="102"/>
      <c r="AX1968" s="78"/>
      <c r="AY1968" s="78"/>
      <c r="AZ1968" s="78"/>
      <c r="BA1968" s="78"/>
      <c r="BB1968" s="78"/>
      <c r="BC1968" s="78"/>
      <c r="BD1968" s="78"/>
      <c r="BE1968" s="465"/>
      <c r="BF1968" s="165" t="str">
        <f t="shared" si="1384"/>
        <v>https://www.google.com/search?tbm=isch&amp;q=moist%20sites%F0%9F%92%A7GOOD%2C%20Cherry%20Explosion%20has%20Green%20foliage.%20Most%20%22Bigleaf%22%20Hydrangea%20have%20snowball%20flowers%20on%20old%20wood.%20Acidic%20soil%20for%20Blue%2C%20Alkaline%20for%20Pink%20</v>
      </c>
      <c r="BG1968" s="165" t="str">
        <f t="shared" si="1385"/>
        <v>m</v>
      </c>
      <c r="BH1968" s="65"/>
      <c r="BI1968" s="65"/>
      <c r="BJ1968" s="65"/>
      <c r="BK1968" s="65"/>
      <c r="BL1968" s="99"/>
      <c r="BM1968" s="99"/>
      <c r="BN1968" s="99"/>
    </row>
    <row r="1969" spans="1:66" s="51" customFormat="1" ht="18" x14ac:dyDescent="0.25">
      <c r="A1969" s="623" t="s">
        <v>2802</v>
      </c>
      <c r="B1969" s="624"/>
      <c r="C1969" s="709"/>
      <c r="D1969" s="625" t="s">
        <v>2803</v>
      </c>
      <c r="E1969" s="626"/>
      <c r="F1969" s="626"/>
      <c r="G1969" s="626"/>
      <c r="H1969" s="622" t="s">
        <v>1217</v>
      </c>
      <c r="I1969" s="627" t="s">
        <v>2785</v>
      </c>
      <c r="J1969" s="628"/>
      <c r="K1969" s="628"/>
      <c r="L1969" s="629"/>
      <c r="M1969" s="702" t="s">
        <v>5252</v>
      </c>
      <c r="N1969" s="693" t="str">
        <f>IF(AND(ISTEXT($A1969), ISERROR($A1969+0)), HYPERLINK($BF1969, "Images"), "")</f>
        <v>Images</v>
      </c>
      <c r="O1969" s="695" t="s">
        <v>5264</v>
      </c>
      <c r="P1969" s="630"/>
      <c r="Q1969" s="631"/>
      <c r="R1969" s="632"/>
      <c r="S1969" s="633"/>
      <c r="T1969" s="102">
        <f t="shared" si="1373"/>
        <v>0</v>
      </c>
      <c r="U1969" s="78" t="str">
        <f>IF(NOT(ISNUMBER(G1969)), "", VLOOKUP(A1969,'Discount Lookup'!D:E,2,FALSE)*G1969)</f>
        <v/>
      </c>
      <c r="V1969" s="78" t="str">
        <f>IF(NOT(ISNUMBER(G1969)), "", VLOOKUP(A1969,'Discount Lookup'!G:H,2,FALSE)*G1969)</f>
        <v/>
      </c>
      <c r="W1969" s="102">
        <f t="shared" si="1374"/>
        <v>0</v>
      </c>
      <c r="X1969" s="102" t="str">
        <f t="shared" si="1375"/>
        <v>Pink to Blue bloom</v>
      </c>
      <c r="Y1969" s="120" t="b">
        <f t="shared" si="1376"/>
        <v>0</v>
      </c>
      <c r="Z1969" s="117">
        <f t="shared" si="1377"/>
        <v>0</v>
      </c>
      <c r="AA1969" s="118"/>
      <c r="AB1969" s="118" t="str">
        <f t="shared" si="1378"/>
        <v/>
      </c>
      <c r="AC1969" s="712" t="str">
        <f>IF(AE1969="T2G","no charge",IF(AND(OR(PlanterYesMe="No",PlanterYesMe="N",PlanterYesMe="me"),H1969=""),"",IF(H1969="credit","NO install",IF(AND(K1969="",AE1969="me"),"EACH row",IF(AND(K1969="images",AE1969="me"),"EACH row",IF(D1969="","",IF(H1969="credit","",IF(AE1969="free","re-planting",IF(AE1969="me","   not ELP, by",IF(AND(OR(PlanterYesMe="Yes",PlanterYesMe="Y"),G1969&gt;0),(VLOOKUP(A1969,'Discount Lookup'!J:K,2)*G1969*(1-PlanterDiscount)*(1+PlanterDifficultyPercentage)),IF(AE1969="ELP",(VLOOKUP(A1969,'Discount Lookup'!J:K,2)*G1969*(1-PlanterDiscount)*(1+PlanterDifficultyPercentage)),IF(AE1969="free","re-planting",IF(G1969=0,"",IF(PlanterYesMe="",IF(AE1969="me","   not ELP, by",IF(AE1969="",IF(G1969&gt;0,(VLOOKUP(A1969,'Discount Lookup'!J:K,2)*G1969*(1-PlanterDiscount)*(1+PlanterDifficultyPercentage)),""),"")),"   not ELP, by"))))))))))))))</f>
        <v/>
      </c>
      <c r="AD1969" s="712"/>
      <c r="AE1969" s="513" t="str">
        <f t="shared" si="1379"/>
        <v/>
      </c>
      <c r="AF1969" s="713" t="str">
        <f t="shared" si="1380"/>
        <v/>
      </c>
      <c r="AG1969" s="713"/>
      <c r="AH1969" s="713"/>
      <c r="AI1969" s="112">
        <f>IF(H1969="credit",0,IF(AE1969="free",0,IF(AE1969="me",0,IF(G1969&gt;0,(VLOOKUP(A1969,'Discount Lookup'!J:K,2)*G1969),0))))</f>
        <v>0</v>
      </c>
      <c r="AJ1969" s="107" t="str">
        <f t="shared" ca="1" si="1381"/>
        <v/>
      </c>
      <c r="AK1969" s="714" t="str">
        <f t="shared" si="1382"/>
        <v/>
      </c>
      <c r="AL1969" s="714"/>
      <c r="AM1969" s="114" t="str">
        <f t="shared" si="1383"/>
        <v/>
      </c>
      <c r="AN1969" s="115"/>
      <c r="AO1969" s="116"/>
      <c r="AP1969" s="116"/>
      <c r="AQ1969" s="116"/>
      <c r="AR1969" s="116"/>
      <c r="AS1969" s="116"/>
      <c r="AT1969" s="116"/>
      <c r="AU1969" s="116"/>
      <c r="AV1969" s="78"/>
      <c r="AW1969" s="102"/>
      <c r="AX1969" s="78"/>
      <c r="AY1969" s="78"/>
      <c r="AZ1969" s="78"/>
      <c r="BA1969" s="78"/>
      <c r="BB1969" s="78"/>
      <c r="BC1969" s="78"/>
      <c r="BD1969" s="78"/>
      <c r="BE1969" s="465"/>
      <c r="BF1969" s="165" t="str">
        <f t="shared" si="1384"/>
        <v>https://www.google.com/search?tbm=isch&amp;q=Hyd.%20macrophylla%20%27Penny%20Mac%27%20PP%2314527%20Penny%20Mac%20Bigleaf%20Hydrangea</v>
      </c>
      <c r="BG1969" s="165" t="str">
        <f t="shared" si="1385"/>
        <v>H</v>
      </c>
      <c r="BH1969" s="65"/>
      <c r="BI1969" s="65"/>
      <c r="BJ1969" s="65"/>
      <c r="BK1969" s="65"/>
      <c r="BL1969" s="99"/>
      <c r="BM1969" s="99"/>
      <c r="BN1969" s="99"/>
    </row>
    <row r="1970" spans="1:66" s="51" customFormat="1" ht="15.75" x14ac:dyDescent="0.25">
      <c r="A1970" s="634">
        <v>3</v>
      </c>
      <c r="B1970" s="635" t="s">
        <v>291</v>
      </c>
      <c r="C1970" s="636" t="s">
        <v>16</v>
      </c>
      <c r="D1970" s="637" t="s">
        <v>310</v>
      </c>
      <c r="E1970" s="638">
        <v>26.95</v>
      </c>
      <c r="F1970" s="639" t="s">
        <v>292</v>
      </c>
      <c r="G1970" s="484">
        <v>0</v>
      </c>
      <c r="H1970" s="691" t="str">
        <f>IF(G1970=0,"",IF(F1970="Buy",IF(G1970=1,"plant","plants"),IF(F1970&gt;0.01,"warranty","Error")))</f>
        <v/>
      </c>
      <c r="I1970" s="640">
        <f>IF(H1970="free",0,IF(H1970="credit",((E1970*(F1970))*G1970*-1),IF(F1970="Buy",(E1970*G1970),((E1970*(1-F1970))*G1970))))</f>
        <v>0</v>
      </c>
      <c r="J1970" s="640">
        <f>IF(H1970="warranty",0,(I1970*(_xlfn.SINGLE(SalesTaxPercentage))))</f>
        <v>0</v>
      </c>
      <c r="K1970" s="716">
        <f t="shared" ref="K1970" si="1400">I1970+J1970</f>
        <v>0</v>
      </c>
      <c r="L1970" s="716"/>
      <c r="M1970" s="689" t="str">
        <f ca="1">IF(AND(G1970&gt;0,E1970=0),"WARNING - no PRICE inserted",IF(H1970="free","FREE ~ no charge this plant",IF(H1970="credit",CONCATENATE("-$",ROUND(K1970*(1-_xlfn.SINGLE(T2GDiscount))*-1,2)," CREDIT after discount"),IF(_xlfn.SINGLE(T2GDiscount)=0,"",IF(G1970=0,"",IF(F1970="Buy",CONCATENATE("$",ROUND(K1970*(1-_xlfn.SINGLE(T2GDiscount)),2)," with ",(_xlfn.SINGLE(T2GDiscount)*100),"% discount"),CONCATENATE("$",ROUND(K1970*(1-_xlfn.SINGLE(T2GDiscount)),2)," with ",((_xlfn.SINGLE(T2GDiscount)*100+F1970*100)-(_xlfn.SINGLE(T2GDiscount)*100*F1970)),IF(F1970&gt;0,"% discounts",IF(_xlfn.SINGLE(NoWarrantyDiscount)&gt;0,"% discounts","% discount")))))))))</f>
        <v/>
      </c>
      <c r="N1970" s="690"/>
      <c r="O1970" s="486"/>
      <c r="P1970" s="486"/>
      <c r="Q1970" s="486"/>
      <c r="R1970" s="486"/>
      <c r="S1970" s="486"/>
      <c r="T1970" s="102">
        <f t="shared" si="1373"/>
        <v>0</v>
      </c>
      <c r="U1970" s="78">
        <f>IF(NOT(ISNUMBER(G1970)), "", VLOOKUP(A1970,'Discount Lookup'!D:E,2,FALSE)*G1970)</f>
        <v>0</v>
      </c>
      <c r="V1970" s="78">
        <f>IF(NOT(ISNUMBER(G1970)), "", VLOOKUP(A1970,'Discount Lookup'!G:H,2,FALSE)*G1970)</f>
        <v>0</v>
      </c>
      <c r="W1970" s="102">
        <f t="shared" si="1374"/>
        <v>0</v>
      </c>
      <c r="X1970" s="102">
        <f t="shared" si="1375"/>
        <v>0</v>
      </c>
      <c r="Y1970" s="120" t="b">
        <f t="shared" si="1376"/>
        <v>0</v>
      </c>
      <c r="Z1970" s="117">
        <f t="shared" si="1377"/>
        <v>0</v>
      </c>
      <c r="AA1970" s="118"/>
      <c r="AB1970" s="118" t="str">
        <f t="shared" si="1378"/>
        <v/>
      </c>
      <c r="AC1970" s="712" t="str">
        <f>IF(AE1970="T2G","no charge",IF(AND(OR(PlanterYesMe="No",PlanterYesMe="N",PlanterYesMe="me"),H1970=""),"",IF(H1970="credit","NO install",IF(AND(K1970="",AE1970="me"),"EACH row",IF(AND(K1970="images",AE1970="me"),"EACH row",IF(D1970="","",IF(H1970="credit","",IF(AE1970="free","re-planting",IF(AE1970="me","   not ELP, by",IF(AND(OR(PlanterYesMe="Yes",PlanterYesMe="Y"),G1970&gt;0),(VLOOKUP(A1970,'Discount Lookup'!J:K,2)*G1970*(1-PlanterDiscount)*(1+PlanterDifficultyPercentage)),IF(AE1970="ELP",(VLOOKUP(A1970,'Discount Lookup'!J:K,2)*G1970*(1-PlanterDiscount)*(1+PlanterDifficultyPercentage)),IF(AE1970="free","re-planting",IF(G1970=0,"",IF(PlanterYesMe="",IF(AE1970="me","   not ELP, by",IF(AE1970="",IF(G1970&gt;0,(VLOOKUP(A1970,'Discount Lookup'!J:K,2)*G1970*(1-PlanterDiscount)*(1+PlanterDifficultyPercentage)),""),"")),"   not ELP, by"))))))))))))))</f>
        <v/>
      </c>
      <c r="AD1970" s="712"/>
      <c r="AE1970" s="513" t="str">
        <f t="shared" si="1379"/>
        <v/>
      </c>
      <c r="AF1970" s="713" t="str">
        <f t="shared" si="1380"/>
        <v/>
      </c>
      <c r="AG1970" s="713"/>
      <c r="AH1970" s="713"/>
      <c r="AI1970" s="112">
        <f>IF(H1970="credit",0,IF(AE1970="free",0,IF(AE1970="me",0,IF(G1970&gt;0,(VLOOKUP(A1970,'Discount Lookup'!J:K,2)*G1970),0))))</f>
        <v>0</v>
      </c>
      <c r="AJ1970" s="107" t="str">
        <f t="shared" ca="1" si="1381"/>
        <v/>
      </c>
      <c r="AK1970" s="714" t="str">
        <f t="shared" si="1382"/>
        <v/>
      </c>
      <c r="AL1970" s="714"/>
      <c r="AM1970" s="114" t="str">
        <f t="shared" si="1383"/>
        <v/>
      </c>
      <c r="AN1970" s="115"/>
      <c r="AO1970" s="116"/>
      <c r="AP1970" s="116"/>
      <c r="AQ1970" s="116"/>
      <c r="AR1970" s="116"/>
      <c r="AS1970" s="116"/>
      <c r="AT1970" s="116"/>
      <c r="AU1970" s="116"/>
      <c r="AV1970" s="78"/>
      <c r="AW1970" s="102"/>
      <c r="AX1970" s="78"/>
      <c r="AY1970" s="78"/>
      <c r="AZ1970" s="78"/>
      <c r="BA1970" s="78"/>
      <c r="BB1970" s="78"/>
      <c r="BC1970" s="78"/>
      <c r="BD1970" s="78"/>
      <c r="BE1970" s="465"/>
      <c r="BF1970" s="165" t="str">
        <f t="shared" si="1384"/>
        <v>https://www.google.com/search?tbm=isch&amp;q=3%20G1</v>
      </c>
      <c r="BG1970" s="165" t="str">
        <f t="shared" si="1385"/>
        <v>H</v>
      </c>
      <c r="BH1970" s="65"/>
      <c r="BI1970" s="65"/>
      <c r="BJ1970" s="65"/>
      <c r="BK1970" s="65"/>
      <c r="BL1970" s="99"/>
      <c r="BM1970" s="99"/>
      <c r="BN1970" s="99"/>
    </row>
    <row r="1971" spans="1:66" s="51" customFormat="1" ht="15.75" x14ac:dyDescent="0.25">
      <c r="A1971" s="634">
        <v>3</v>
      </c>
      <c r="B1971" s="635" t="s">
        <v>291</v>
      </c>
      <c r="C1971" s="636" t="s">
        <v>2804</v>
      </c>
      <c r="D1971" s="637" t="s">
        <v>309</v>
      </c>
      <c r="E1971" s="638">
        <v>32.950000000000003</v>
      </c>
      <c r="F1971" s="639" t="s">
        <v>292</v>
      </c>
      <c r="G1971" s="484">
        <v>0</v>
      </c>
      <c r="H1971" s="691" t="str">
        <f>IF(G1971=0,"",IF(F1971="Buy",IF(G1971=1,"plant","plants"),IF(F1971&gt;0.01,"warranty","Error")))</f>
        <v/>
      </c>
      <c r="I1971" s="640">
        <f>IF(H1971="free",0,IF(H1971="credit",((E1971*(F1971))*G1971*-1),IF(F1971="Buy",(E1971*G1971),((E1971*(1-F1971))*G1971))))</f>
        <v>0</v>
      </c>
      <c r="J1971" s="640">
        <f>IF(H1971="warranty",0,(I1971*(_xlfn.SINGLE(SalesTaxPercentage))))</f>
        <v>0</v>
      </c>
      <c r="K1971" s="716">
        <f t="shared" ref="K1971" si="1401">I1971+J1971</f>
        <v>0</v>
      </c>
      <c r="L1971" s="716"/>
      <c r="M1971" s="689" t="str">
        <f ca="1">IF(AND(G1971&gt;0,E1971=0),"WARNING - no PRICE inserted",IF(H1971="free","FREE ~ no charge this plant",IF(H1971="credit",CONCATENATE("-$",ROUND(K1971*(1-_xlfn.SINGLE(T2GDiscount))*-1,2)," CREDIT after discount"),IF(_xlfn.SINGLE(T2GDiscount)=0,"",IF(G1971=0,"",IF(F1971="Buy",CONCATENATE("$",ROUND(K1971*(1-_xlfn.SINGLE(T2GDiscount)),2)," with ",(_xlfn.SINGLE(T2GDiscount)*100),"% discount"),CONCATENATE("$",ROUND(K1971*(1-_xlfn.SINGLE(T2GDiscount)),2)," with ",((_xlfn.SINGLE(T2GDiscount)*100+F1971*100)-(_xlfn.SINGLE(T2GDiscount)*100*F1971)),IF(F1971&gt;0,"% discounts",IF(_xlfn.SINGLE(NoWarrantyDiscount)&gt;0,"% discounts","% discount")))))))))</f>
        <v/>
      </c>
      <c r="N1971" s="690"/>
      <c r="O1971" s="486"/>
      <c r="P1971" s="486"/>
      <c r="Q1971" s="486"/>
      <c r="R1971" s="486"/>
      <c r="S1971" s="486"/>
      <c r="T1971" s="102">
        <f t="shared" si="1373"/>
        <v>0</v>
      </c>
      <c r="U1971" s="78">
        <f>IF(NOT(ISNUMBER(G1971)), "", VLOOKUP(A1971,'Discount Lookup'!D:E,2,FALSE)*G1971)</f>
        <v>0</v>
      </c>
      <c r="V1971" s="78">
        <f>IF(NOT(ISNUMBER(G1971)), "", VLOOKUP(A1971,'Discount Lookup'!G:H,2,FALSE)*G1971)</f>
        <v>0</v>
      </c>
      <c r="W1971" s="102">
        <f t="shared" si="1374"/>
        <v>0</v>
      </c>
      <c r="X1971" s="102">
        <f t="shared" si="1375"/>
        <v>0</v>
      </c>
      <c r="Y1971" s="120" t="b">
        <f t="shared" si="1376"/>
        <v>0</v>
      </c>
      <c r="Z1971" s="117">
        <f t="shared" si="1377"/>
        <v>0</v>
      </c>
      <c r="AA1971" s="118"/>
      <c r="AB1971" s="118" t="str">
        <f t="shared" si="1378"/>
        <v/>
      </c>
      <c r="AC1971" s="712" t="str">
        <f>IF(AE1971="T2G","no charge",IF(AND(OR(PlanterYesMe="No",PlanterYesMe="N",PlanterYesMe="me"),H1971=""),"",IF(H1971="credit","NO install",IF(AND(K1971="",AE1971="me"),"EACH row",IF(AND(K1971="images",AE1971="me"),"EACH row",IF(D1971="","",IF(H1971="credit","",IF(AE1971="free","re-planting",IF(AE1971="me","   not ELP, by",IF(AND(OR(PlanterYesMe="Yes",PlanterYesMe="Y"),G1971&gt;0),(VLOOKUP(A1971,'Discount Lookup'!J:K,2)*G1971*(1-PlanterDiscount)*(1+PlanterDifficultyPercentage)),IF(AE1971="ELP",(VLOOKUP(A1971,'Discount Lookup'!J:K,2)*G1971*(1-PlanterDiscount)*(1+PlanterDifficultyPercentage)),IF(AE1971="free","re-planting",IF(G1971=0,"",IF(PlanterYesMe="",IF(AE1971="me","   not ELP, by",IF(AE1971="",IF(G1971&gt;0,(VLOOKUP(A1971,'Discount Lookup'!J:K,2)*G1971*(1-PlanterDiscount)*(1+PlanterDifficultyPercentage)),""),"")),"   not ELP, by"))))))))))))))</f>
        <v/>
      </c>
      <c r="AD1971" s="712"/>
      <c r="AE1971" s="513" t="str">
        <f t="shared" si="1379"/>
        <v/>
      </c>
      <c r="AF1971" s="713" t="str">
        <f t="shared" si="1380"/>
        <v/>
      </c>
      <c r="AG1971" s="713"/>
      <c r="AH1971" s="713"/>
      <c r="AI1971" s="112">
        <f>IF(H1971="credit",0,IF(AE1971="free",0,IF(AE1971="me",0,IF(G1971&gt;0,(VLOOKUP(A1971,'Discount Lookup'!J:K,2)*G1971),0))))</f>
        <v>0</v>
      </c>
      <c r="AJ1971" s="107" t="str">
        <f t="shared" ca="1" si="1381"/>
        <v/>
      </c>
      <c r="AK1971" s="714" t="str">
        <f t="shared" si="1382"/>
        <v/>
      </c>
      <c r="AL1971" s="714"/>
      <c r="AM1971" s="114" t="str">
        <f t="shared" si="1383"/>
        <v/>
      </c>
      <c r="AN1971" s="115"/>
      <c r="AO1971" s="116"/>
      <c r="AP1971" s="116"/>
      <c r="AQ1971" s="116"/>
      <c r="AR1971" s="116"/>
      <c r="AS1971" s="116"/>
      <c r="AT1971" s="116"/>
      <c r="AU1971" s="116"/>
      <c r="AV1971" s="78"/>
      <c r="AW1971" s="102"/>
      <c r="AX1971" s="78"/>
      <c r="AY1971" s="78"/>
      <c r="AZ1971" s="78"/>
      <c r="BA1971" s="78"/>
      <c r="BB1971" s="78"/>
      <c r="BC1971" s="78"/>
      <c r="BD1971" s="78"/>
      <c r="BE1971" s="465"/>
      <c r="BF1971" s="165" t="str">
        <f t="shared" si="1384"/>
        <v>https://www.google.com/search?tbm=isch&amp;q=3%20G3</v>
      </c>
      <c r="BG1971" s="165" t="str">
        <f t="shared" si="1385"/>
        <v>H</v>
      </c>
      <c r="BH1971" s="65"/>
      <c r="BI1971" s="65"/>
      <c r="BJ1971" s="65"/>
      <c r="BK1971" s="65"/>
      <c r="BL1971" s="99"/>
      <c r="BM1971" s="99"/>
      <c r="BN1971" s="99"/>
    </row>
    <row r="1972" spans="1:66" s="51" customFormat="1" ht="15.75" x14ac:dyDescent="0.25">
      <c r="A1972" s="634">
        <v>3</v>
      </c>
      <c r="B1972" s="635" t="s">
        <v>291</v>
      </c>
      <c r="C1972" s="636" t="s">
        <v>2805</v>
      </c>
      <c r="D1972" s="637" t="s">
        <v>311</v>
      </c>
      <c r="E1972" s="638">
        <v>33.950000000000003</v>
      </c>
      <c r="F1972" s="639" t="s">
        <v>292</v>
      </c>
      <c r="G1972" s="484">
        <v>0</v>
      </c>
      <c r="H1972" s="691" t="str">
        <f>IF(G1972=0,"",IF(F1972="Buy",IF(G1972=1,"plant","plants"),IF(F1972&gt;0.01,"warranty","Error")))</f>
        <v/>
      </c>
      <c r="I1972" s="640">
        <f>IF(H1972="free",0,IF(H1972="credit",((E1972*(F1972))*G1972*-1),IF(F1972="Buy",(E1972*G1972),((E1972*(1-F1972))*G1972))))</f>
        <v>0</v>
      </c>
      <c r="J1972" s="640">
        <f>IF(H1972="warranty",0,(I1972*(_xlfn.SINGLE(SalesTaxPercentage))))</f>
        <v>0</v>
      </c>
      <c r="K1972" s="716">
        <f t="shared" ref="K1972" si="1402">I1972+J1972</f>
        <v>0</v>
      </c>
      <c r="L1972" s="716"/>
      <c r="M1972" s="689" t="str">
        <f ca="1">IF(AND(G1972&gt;0,E1972=0),"WARNING - no PRICE inserted",IF(H1972="free","FREE ~ no charge this plant",IF(H1972="credit",CONCATENATE("-$",ROUND(K1972*(1-_xlfn.SINGLE(T2GDiscount))*-1,2)," CREDIT after discount"),IF(_xlfn.SINGLE(T2GDiscount)=0,"",IF(G1972=0,"",IF(F1972="Buy",CONCATENATE("$",ROUND(K1972*(1-_xlfn.SINGLE(T2GDiscount)),2)," with ",(_xlfn.SINGLE(T2GDiscount)*100),"% discount"),CONCATENATE("$",ROUND(K1972*(1-_xlfn.SINGLE(T2GDiscount)),2)," with ",((_xlfn.SINGLE(T2GDiscount)*100+F1972*100)-(_xlfn.SINGLE(T2GDiscount)*100*F1972)),IF(F1972&gt;0,"% discounts",IF(_xlfn.SINGLE(NoWarrantyDiscount)&gt;0,"% discounts","% discount")))))))))</f>
        <v/>
      </c>
      <c r="N1972" s="690"/>
      <c r="O1972" s="486"/>
      <c r="P1972" s="486"/>
      <c r="Q1972" s="486"/>
      <c r="R1972" s="486"/>
      <c r="S1972" s="486"/>
      <c r="T1972" s="102">
        <f t="shared" si="1373"/>
        <v>0</v>
      </c>
      <c r="U1972" s="78">
        <f>IF(NOT(ISNUMBER(G1972)), "", VLOOKUP(A1972,'Discount Lookup'!D:E,2,FALSE)*G1972)</f>
        <v>0</v>
      </c>
      <c r="V1972" s="78">
        <f>IF(NOT(ISNUMBER(G1972)), "", VLOOKUP(A1972,'Discount Lookup'!G:H,2,FALSE)*G1972)</f>
        <v>0</v>
      </c>
      <c r="W1972" s="102">
        <f t="shared" si="1374"/>
        <v>0</v>
      </c>
      <c r="X1972" s="102">
        <f t="shared" si="1375"/>
        <v>0</v>
      </c>
      <c r="Y1972" s="120" t="b">
        <f t="shared" si="1376"/>
        <v>0</v>
      </c>
      <c r="Z1972" s="117">
        <f t="shared" si="1377"/>
        <v>0</v>
      </c>
      <c r="AA1972" s="118"/>
      <c r="AB1972" s="118" t="str">
        <f t="shared" si="1378"/>
        <v/>
      </c>
      <c r="AC1972" s="712" t="str">
        <f>IF(AE1972="T2G","no charge",IF(AND(OR(PlanterYesMe="No",PlanterYesMe="N",PlanterYesMe="me"),H1972=""),"",IF(H1972="credit","NO install",IF(AND(K1972="",AE1972="me"),"EACH row",IF(AND(K1972="images",AE1972="me"),"EACH row",IF(D1972="","",IF(H1972="credit","",IF(AE1972="free","re-planting",IF(AE1972="me","   not ELP, by",IF(AND(OR(PlanterYesMe="Yes",PlanterYesMe="Y"),G1972&gt;0),(VLOOKUP(A1972,'Discount Lookup'!J:K,2)*G1972*(1-PlanterDiscount)*(1+PlanterDifficultyPercentage)),IF(AE1972="ELP",(VLOOKUP(A1972,'Discount Lookup'!J:K,2)*G1972*(1-PlanterDiscount)*(1+PlanterDifficultyPercentage)),IF(AE1972="free","re-planting",IF(G1972=0,"",IF(PlanterYesMe="",IF(AE1972="me","   not ELP, by",IF(AE1972="",IF(G1972&gt;0,(VLOOKUP(A1972,'Discount Lookup'!J:K,2)*G1972*(1-PlanterDiscount)*(1+PlanterDifficultyPercentage)),""),"")),"   not ELP, by"))))))))))))))</f>
        <v/>
      </c>
      <c r="AD1972" s="712"/>
      <c r="AE1972" s="513" t="str">
        <f t="shared" si="1379"/>
        <v/>
      </c>
      <c r="AF1972" s="713" t="str">
        <f t="shared" si="1380"/>
        <v/>
      </c>
      <c r="AG1972" s="713"/>
      <c r="AH1972" s="713"/>
      <c r="AI1972" s="112">
        <f>IF(H1972="credit",0,IF(AE1972="free",0,IF(AE1972="me",0,IF(G1972&gt;0,(VLOOKUP(A1972,'Discount Lookup'!J:K,2)*G1972),0))))</f>
        <v>0</v>
      </c>
      <c r="AJ1972" s="107" t="str">
        <f t="shared" ca="1" si="1381"/>
        <v/>
      </c>
      <c r="AK1972" s="714" t="str">
        <f t="shared" si="1382"/>
        <v/>
      </c>
      <c r="AL1972" s="714"/>
      <c r="AM1972" s="114" t="str">
        <f t="shared" si="1383"/>
        <v/>
      </c>
      <c r="AN1972" s="115"/>
      <c r="AO1972" s="116"/>
      <c r="AP1972" s="116"/>
      <c r="AQ1972" s="116"/>
      <c r="AR1972" s="116"/>
      <c r="AS1972" s="116"/>
      <c r="AT1972" s="116"/>
      <c r="AU1972" s="116"/>
      <c r="AV1972" s="78"/>
      <c r="AW1972" s="102"/>
      <c r="AX1972" s="78"/>
      <c r="AY1972" s="78"/>
      <c r="AZ1972" s="78"/>
      <c r="BA1972" s="78"/>
      <c r="BB1972" s="78"/>
      <c r="BC1972" s="78"/>
      <c r="BD1972" s="78"/>
      <c r="BE1972" s="465"/>
      <c r="BF1972" s="165" t="str">
        <f t="shared" si="1384"/>
        <v>https://www.google.com/search?tbm=isch&amp;q=3%20G5</v>
      </c>
      <c r="BG1972" s="165" t="str">
        <f t="shared" si="1385"/>
        <v>H</v>
      </c>
      <c r="BH1972" s="65"/>
      <c r="BI1972" s="65"/>
      <c r="BJ1972" s="65"/>
      <c r="BK1972" s="65"/>
      <c r="BL1972" s="99"/>
      <c r="BM1972" s="99"/>
      <c r="BN1972" s="99"/>
    </row>
    <row r="1973" spans="1:66" s="51" customFormat="1" ht="15.75" x14ac:dyDescent="0.25">
      <c r="A1973" s="634">
        <v>5</v>
      </c>
      <c r="B1973" s="635" t="s">
        <v>291</v>
      </c>
      <c r="C1973" s="636" t="s">
        <v>2806</v>
      </c>
      <c r="D1973" s="637" t="s">
        <v>293</v>
      </c>
      <c r="E1973" s="638">
        <v>55.95</v>
      </c>
      <c r="F1973" s="639" t="s">
        <v>292</v>
      </c>
      <c r="G1973" s="484">
        <v>0</v>
      </c>
      <c r="H1973" s="691" t="str">
        <f>IF(G1973=0,"",IF(F1973="Buy",IF(G1973=1,"plant","plants"),IF(F1973&gt;0.01,"warranty","Error")))</f>
        <v/>
      </c>
      <c r="I1973" s="640">
        <f>IF(H1973="free",0,IF(H1973="credit",((E1973*(F1973))*G1973*-1),IF(F1973="Buy",(E1973*G1973),((E1973*(1-F1973))*G1973))))</f>
        <v>0</v>
      </c>
      <c r="J1973" s="640">
        <f>IF(H1973="warranty",0,(I1973*(_xlfn.SINGLE(SalesTaxPercentage))))</f>
        <v>0</v>
      </c>
      <c r="K1973" s="716">
        <f t="shared" ref="K1973" si="1403">I1973+J1973</f>
        <v>0</v>
      </c>
      <c r="L1973" s="716"/>
      <c r="M1973" s="689" t="str">
        <f ca="1">IF(AND(G1973&gt;0,E1973=0),"WARNING - no PRICE inserted",IF(H1973="free","FREE ~ no charge this plant",IF(H1973="credit",CONCATENATE("-$",ROUND(K1973*(1-_xlfn.SINGLE(T2GDiscount))*-1,2)," CREDIT after discount"),IF(_xlfn.SINGLE(T2GDiscount)=0,"",IF(G1973=0,"",IF(F1973="Buy",CONCATENATE("$",ROUND(K1973*(1-_xlfn.SINGLE(T2GDiscount)),2)," with ",(_xlfn.SINGLE(T2GDiscount)*100),"% discount"),CONCATENATE("$",ROUND(K1973*(1-_xlfn.SINGLE(T2GDiscount)),2)," with ",((_xlfn.SINGLE(T2GDiscount)*100+F1973*100)-(_xlfn.SINGLE(T2GDiscount)*100*F1973)),IF(F1973&gt;0,"% discounts",IF(_xlfn.SINGLE(NoWarrantyDiscount)&gt;0,"% discounts","% discount")))))))))</f>
        <v/>
      </c>
      <c r="N1973" s="690"/>
      <c r="O1973" s="486"/>
      <c r="P1973" s="486"/>
      <c r="Q1973" s="486"/>
      <c r="R1973" s="486"/>
      <c r="S1973" s="486"/>
      <c r="T1973" s="102">
        <f t="shared" si="1373"/>
        <v>0</v>
      </c>
      <c r="U1973" s="78">
        <f>IF(NOT(ISNUMBER(G1973)), "", VLOOKUP(A1973,'Discount Lookup'!D:E,2,FALSE)*G1973)</f>
        <v>0</v>
      </c>
      <c r="V1973" s="78">
        <f>IF(NOT(ISNUMBER(G1973)), "", VLOOKUP(A1973,'Discount Lookup'!G:H,2,FALSE)*G1973)</f>
        <v>0</v>
      </c>
      <c r="W1973" s="102">
        <f t="shared" si="1374"/>
        <v>0</v>
      </c>
      <c r="X1973" s="102">
        <f t="shared" si="1375"/>
        <v>0</v>
      </c>
      <c r="Y1973" s="120" t="b">
        <f t="shared" si="1376"/>
        <v>0</v>
      </c>
      <c r="Z1973" s="117">
        <f t="shared" si="1377"/>
        <v>0</v>
      </c>
      <c r="AA1973" s="118"/>
      <c r="AB1973" s="118" t="str">
        <f t="shared" si="1378"/>
        <v/>
      </c>
      <c r="AC1973" s="712" t="str">
        <f>IF(AE1973="T2G","no charge",IF(AND(OR(PlanterYesMe="No",PlanterYesMe="N",PlanterYesMe="me"),H1973=""),"",IF(H1973="credit","NO install",IF(AND(K1973="",AE1973="me"),"EACH row",IF(AND(K1973="images",AE1973="me"),"EACH row",IF(D1973="","",IF(H1973="credit","",IF(AE1973="free","re-planting",IF(AE1973="me","   not ELP, by",IF(AND(OR(PlanterYesMe="Yes",PlanterYesMe="Y"),G1973&gt;0),(VLOOKUP(A1973,'Discount Lookup'!J:K,2)*G1973*(1-PlanterDiscount)*(1+PlanterDifficultyPercentage)),IF(AE1973="ELP",(VLOOKUP(A1973,'Discount Lookup'!J:K,2)*G1973*(1-PlanterDiscount)*(1+PlanterDifficultyPercentage)),IF(AE1973="free","re-planting",IF(G1973=0,"",IF(PlanterYesMe="",IF(AE1973="me","   not ELP, by",IF(AE1973="",IF(G1973&gt;0,(VLOOKUP(A1973,'Discount Lookup'!J:K,2)*G1973*(1-PlanterDiscount)*(1+PlanterDifficultyPercentage)),""),"")),"   not ELP, by"))))))))))))))</f>
        <v/>
      </c>
      <c r="AD1973" s="712"/>
      <c r="AE1973" s="513" t="str">
        <f t="shared" si="1379"/>
        <v/>
      </c>
      <c r="AF1973" s="713" t="str">
        <f t="shared" si="1380"/>
        <v/>
      </c>
      <c r="AG1973" s="713"/>
      <c r="AH1973" s="713"/>
      <c r="AI1973" s="112">
        <f>IF(H1973="credit",0,IF(AE1973="free",0,IF(AE1973="me",0,IF(G1973&gt;0,(VLOOKUP(A1973,'Discount Lookup'!J:K,2)*G1973),0))))</f>
        <v>0</v>
      </c>
      <c r="AJ1973" s="107" t="str">
        <f t="shared" ca="1" si="1381"/>
        <v/>
      </c>
      <c r="AK1973" s="714" t="str">
        <f t="shared" si="1382"/>
        <v/>
      </c>
      <c r="AL1973" s="714"/>
      <c r="AM1973" s="114" t="str">
        <f t="shared" si="1383"/>
        <v/>
      </c>
      <c r="AN1973" s="115"/>
      <c r="AO1973" s="116"/>
      <c r="AP1973" s="116"/>
      <c r="AQ1973" s="116"/>
      <c r="AR1973" s="116"/>
      <c r="AS1973" s="116"/>
      <c r="AT1973" s="116"/>
      <c r="AU1973" s="116"/>
      <c r="AV1973" s="78"/>
      <c r="AW1973" s="102"/>
      <c r="AX1973" s="78"/>
      <c r="AY1973" s="78"/>
      <c r="AZ1973" s="78"/>
      <c r="BA1973" s="78"/>
      <c r="BB1973" s="78"/>
      <c r="BC1973" s="78"/>
      <c r="BD1973" s="78"/>
      <c r="BE1973" s="465"/>
      <c r="BF1973" s="165" t="str">
        <f t="shared" si="1384"/>
        <v>https://www.google.com/search?tbm=isch&amp;q=5%20G6</v>
      </c>
      <c r="BG1973" s="165" t="str">
        <f t="shared" si="1385"/>
        <v>H</v>
      </c>
      <c r="BH1973" s="65"/>
      <c r="BI1973" s="65"/>
      <c r="BJ1973" s="65"/>
      <c r="BK1973" s="65"/>
      <c r="BL1973" s="99"/>
      <c r="BM1973" s="99"/>
      <c r="BN1973" s="99"/>
    </row>
    <row r="1974" spans="1:66" s="51" customFormat="1" ht="15.75" x14ac:dyDescent="0.25">
      <c r="A1974" s="634">
        <v>10</v>
      </c>
      <c r="B1974" s="635" t="s">
        <v>291</v>
      </c>
      <c r="C1974" s="636" t="s">
        <v>4607</v>
      </c>
      <c r="D1974" s="637" t="s">
        <v>293</v>
      </c>
      <c r="E1974" s="638">
        <v>166.95</v>
      </c>
      <c r="F1974" s="639" t="s">
        <v>292</v>
      </c>
      <c r="G1974" s="484">
        <v>0</v>
      </c>
      <c r="H1974" s="691" t="str">
        <f>IF(G1974=0,"",IF(F1974="Buy",IF(G1974=1,"plant","plants"),IF(F1974&gt;0.01,"warranty","Error")))</f>
        <v/>
      </c>
      <c r="I1974" s="640">
        <f>IF(H1974="free",0,IF(H1974="credit",((E1974*(F1974))*G1974*-1),IF(F1974="Buy",(E1974*G1974),((E1974*(1-F1974))*G1974))))</f>
        <v>0</v>
      </c>
      <c r="J1974" s="640">
        <f>IF(H1974="warranty",0,(I1974*(_xlfn.SINGLE(SalesTaxPercentage))))</f>
        <v>0</v>
      </c>
      <c r="K1974" s="716">
        <f t="shared" ref="K1974" si="1404">I1974+J1974</f>
        <v>0</v>
      </c>
      <c r="L1974" s="716"/>
      <c r="M1974" s="689" t="str">
        <f ca="1">IF(AND(G1974&gt;0,E1974=0),"WARNING - no PRICE inserted",IF(H1974="free","FREE ~ no charge this plant",IF(H1974="credit",CONCATENATE("-$",ROUND(K1974*(1-_xlfn.SINGLE(T2GDiscount))*-1,2)," CREDIT after discount"),IF(_xlfn.SINGLE(T2GDiscount)=0,"",IF(G1974=0,"",IF(F1974="Buy",CONCATENATE("$",ROUND(K1974*(1-_xlfn.SINGLE(T2GDiscount)),2)," with ",(_xlfn.SINGLE(T2GDiscount)*100),"% discount"),CONCATENATE("$",ROUND(K1974*(1-_xlfn.SINGLE(T2GDiscount)),2)," with ",((_xlfn.SINGLE(T2GDiscount)*100+F1974*100)-(_xlfn.SINGLE(T2GDiscount)*100*F1974)),IF(F1974&gt;0,"% discounts",IF(_xlfn.SINGLE(NoWarrantyDiscount)&gt;0,"% discounts","% discount")))))))))</f>
        <v/>
      </c>
      <c r="N1974" s="690"/>
      <c r="O1974" s="486"/>
      <c r="P1974" s="486"/>
      <c r="Q1974" s="486"/>
      <c r="R1974" s="486"/>
      <c r="S1974" s="486"/>
      <c r="T1974" s="102">
        <f t="shared" si="1373"/>
        <v>0</v>
      </c>
      <c r="U1974" s="78">
        <f>IF(NOT(ISNUMBER(G1974)), "", VLOOKUP(A1974,'Discount Lookup'!D:E,2,FALSE)*G1974)</f>
        <v>0</v>
      </c>
      <c r="V1974" s="78">
        <f>IF(NOT(ISNUMBER(G1974)), "", VLOOKUP(A1974,'Discount Lookup'!G:H,2,FALSE)*G1974)</f>
        <v>0</v>
      </c>
      <c r="W1974" s="102">
        <f t="shared" si="1374"/>
        <v>0</v>
      </c>
      <c r="X1974" s="102">
        <f t="shared" si="1375"/>
        <v>0</v>
      </c>
      <c r="Y1974" s="120" t="b">
        <f t="shared" si="1376"/>
        <v>0</v>
      </c>
      <c r="Z1974" s="117">
        <f t="shared" si="1377"/>
        <v>0</v>
      </c>
      <c r="AA1974" s="118"/>
      <c r="AB1974" s="118" t="str">
        <f t="shared" si="1378"/>
        <v/>
      </c>
      <c r="AC1974" s="712" t="str">
        <f>IF(AE1974="T2G","no charge",IF(AND(OR(PlanterYesMe="No",PlanterYesMe="N",PlanterYesMe="me"),H1974=""),"",IF(H1974="credit","NO install",IF(AND(K1974="",AE1974="me"),"EACH row",IF(AND(K1974="images",AE1974="me"),"EACH row",IF(D1974="","",IF(H1974="credit","",IF(AE1974="free","re-planting",IF(AE1974="me","   not ELP, by",IF(AND(OR(PlanterYesMe="Yes",PlanterYesMe="Y"),G1974&gt;0),(VLOOKUP(A1974,'Discount Lookup'!J:K,2)*G1974*(1-PlanterDiscount)*(1+PlanterDifficultyPercentage)),IF(AE1974="ELP",(VLOOKUP(A1974,'Discount Lookup'!J:K,2)*G1974*(1-PlanterDiscount)*(1+PlanterDifficultyPercentage)),IF(AE1974="free","re-planting",IF(G1974=0,"",IF(PlanterYesMe="",IF(AE1974="me","   not ELP, by",IF(AE1974="",IF(G1974&gt;0,(VLOOKUP(A1974,'Discount Lookup'!J:K,2)*G1974*(1-PlanterDiscount)*(1+PlanterDifficultyPercentage)),""),"")),"   not ELP, by"))))))))))))))</f>
        <v/>
      </c>
      <c r="AD1974" s="712"/>
      <c r="AE1974" s="513" t="str">
        <f t="shared" si="1379"/>
        <v/>
      </c>
      <c r="AF1974" s="713" t="str">
        <f t="shared" si="1380"/>
        <v/>
      </c>
      <c r="AG1974" s="713"/>
      <c r="AH1974" s="713"/>
      <c r="AI1974" s="112">
        <f>IF(H1974="credit",0,IF(AE1974="free",0,IF(AE1974="me",0,IF(G1974&gt;0,(VLOOKUP(A1974,'Discount Lookup'!J:K,2)*G1974),0))))</f>
        <v>0</v>
      </c>
      <c r="AJ1974" s="107" t="str">
        <f t="shared" ca="1" si="1381"/>
        <v/>
      </c>
      <c r="AK1974" s="714" t="str">
        <f t="shared" si="1382"/>
        <v/>
      </c>
      <c r="AL1974" s="714"/>
      <c r="AM1974" s="114" t="str">
        <f t="shared" si="1383"/>
        <v/>
      </c>
      <c r="AN1974" s="115"/>
      <c r="AO1974" s="116"/>
      <c r="AP1974" s="116"/>
      <c r="AQ1974" s="116"/>
      <c r="AR1974" s="116"/>
      <c r="AS1974" s="116"/>
      <c r="AT1974" s="116"/>
      <c r="AU1974" s="116"/>
      <c r="AV1974" s="78"/>
      <c r="AW1974" s="102"/>
      <c r="AX1974" s="78"/>
      <c r="AY1974" s="78"/>
      <c r="AZ1974" s="78"/>
      <c r="BA1974" s="78"/>
      <c r="BB1974" s="78"/>
      <c r="BC1974" s="78"/>
      <c r="BD1974" s="78"/>
      <c r="BE1974" s="465"/>
      <c r="BF1974" s="165" t="str">
        <f t="shared" si="1384"/>
        <v>https://www.google.com/search?tbm=isch&amp;q=10%20G6</v>
      </c>
      <c r="BG1974" s="165" t="str">
        <f t="shared" si="1385"/>
        <v>H</v>
      </c>
      <c r="BH1974" s="65"/>
      <c r="BI1974" s="65"/>
      <c r="BJ1974" s="65"/>
      <c r="BK1974" s="65"/>
      <c r="BL1974" s="99"/>
      <c r="BM1974" s="99"/>
      <c r="BN1974" s="99"/>
    </row>
    <row r="1975" spans="1:66" s="51" customFormat="1" ht="17.25" thickBot="1" x14ac:dyDescent="0.3">
      <c r="A1975" s="704" t="s">
        <v>5441</v>
      </c>
      <c r="B1975" s="642"/>
      <c r="C1975" s="710"/>
      <c r="D1975" s="643"/>
      <c r="E1975" s="643"/>
      <c r="F1975" s="644"/>
      <c r="G1975" s="645"/>
      <c r="H1975" s="646"/>
      <c r="I1975" s="647"/>
      <c r="J1975" s="648"/>
      <c r="K1975" s="649"/>
      <c r="L1975" s="650"/>
      <c r="M1975" s="650"/>
      <c r="N1975" s="644"/>
      <c r="O1975" s="644"/>
      <c r="P1975" s="644"/>
      <c r="Q1975" s="644"/>
      <c r="R1975" s="644"/>
      <c r="S1975" s="651"/>
      <c r="T1975" s="102">
        <f t="shared" si="1373"/>
        <v>0</v>
      </c>
      <c r="U1975" s="78" t="str">
        <f>IF(NOT(ISNUMBER(G1975)), "", VLOOKUP(A1975,'Discount Lookup'!D:E,2,FALSE)*G1975)</f>
        <v/>
      </c>
      <c r="V1975" s="78" t="str">
        <f>IF(NOT(ISNUMBER(G1975)), "", VLOOKUP(A1975,'Discount Lookup'!G:H,2,FALSE)*G1975)</f>
        <v/>
      </c>
      <c r="W1975" s="102">
        <f t="shared" si="1374"/>
        <v>0</v>
      </c>
      <c r="X1975" s="102">
        <f t="shared" si="1375"/>
        <v>0</v>
      </c>
      <c r="Y1975" s="120" t="b">
        <f t="shared" si="1376"/>
        <v>0</v>
      </c>
      <c r="Z1975" s="117">
        <f t="shared" si="1377"/>
        <v>0</v>
      </c>
      <c r="AA1975" s="118"/>
      <c r="AB1975" s="118" t="str">
        <f t="shared" si="1378"/>
        <v/>
      </c>
      <c r="AC1975" s="712" t="str">
        <f>IF(AE1975="T2G","no charge",IF(AND(OR(PlanterYesMe="No",PlanterYesMe="N",PlanterYesMe="me"),H1975=""),"",IF(H1975="credit","NO install",IF(AND(K1975="",AE1975="me"),"EACH row",IF(AND(K1975="images",AE1975="me"),"EACH row",IF(D1975="","",IF(H1975="credit","",IF(AE1975="free","re-planting",IF(AE1975="me","   not ELP, by",IF(AND(OR(PlanterYesMe="Yes",PlanterYesMe="Y"),G1975&gt;0),(VLOOKUP(A1975,'Discount Lookup'!J:K,2)*G1975*(1-PlanterDiscount)*(1+PlanterDifficultyPercentage)),IF(AE1975="ELP",(VLOOKUP(A1975,'Discount Lookup'!J:K,2)*G1975*(1-PlanterDiscount)*(1+PlanterDifficultyPercentage)),IF(AE1975="free","re-planting",IF(G1975=0,"",IF(PlanterYesMe="",IF(AE1975="me","   not ELP, by",IF(AE1975="",IF(G1975&gt;0,(VLOOKUP(A1975,'Discount Lookup'!J:K,2)*G1975*(1-PlanterDiscount)*(1+PlanterDifficultyPercentage)),""),"")),"   not ELP, by"))))))))))))))</f>
        <v/>
      </c>
      <c r="AD1975" s="712"/>
      <c r="AE1975" s="513" t="str">
        <f t="shared" si="1379"/>
        <v/>
      </c>
      <c r="AF1975" s="713" t="str">
        <f t="shared" si="1380"/>
        <v/>
      </c>
      <c r="AG1975" s="713"/>
      <c r="AH1975" s="713"/>
      <c r="AI1975" s="112">
        <f>IF(H1975="credit",0,IF(AE1975="free",0,IF(AE1975="me",0,IF(G1975&gt;0,(VLOOKUP(A1975,'Discount Lookup'!J:K,2)*G1975),0))))</f>
        <v>0</v>
      </c>
      <c r="AJ1975" s="107" t="str">
        <f t="shared" ca="1" si="1381"/>
        <v/>
      </c>
      <c r="AK1975" s="714" t="str">
        <f t="shared" si="1382"/>
        <v/>
      </c>
      <c r="AL1975" s="714"/>
      <c r="AM1975" s="114" t="str">
        <f t="shared" si="1383"/>
        <v/>
      </c>
      <c r="AN1975" s="115"/>
      <c r="AO1975" s="116"/>
      <c r="AP1975" s="116"/>
      <c r="AQ1975" s="116"/>
      <c r="AR1975" s="116"/>
      <c r="AS1975" s="116"/>
      <c r="AT1975" s="116"/>
      <c r="AU1975" s="116"/>
      <c r="AV1975" s="78"/>
      <c r="AW1975" s="102"/>
      <c r="AX1975" s="78"/>
      <c r="AY1975" s="78"/>
      <c r="AZ1975" s="78"/>
      <c r="BA1975" s="78"/>
      <c r="BB1975" s="78"/>
      <c r="BC1975" s="78"/>
      <c r="BD1975" s="78"/>
      <c r="BE1975" s="465"/>
      <c r="BF1975" s="165" t="str">
        <f t="shared" si="1384"/>
        <v>https://www.google.com/search?tbm=isch&amp;q=moist%20sites%F0%9F%92%A7GOOD%2C%20Penny%20Mac%20has%20Green%20foliage.%20Most%20%22Bigleaf%22%20Hydrangea%20have%20snowball%20flowers%20on%20old%20wood.%20Acidic%20soil%20for%20Blue%2C%20Alkaline%20for%20Pink%20</v>
      </c>
      <c r="BG1975" s="165" t="str">
        <f t="shared" si="1385"/>
        <v>m</v>
      </c>
      <c r="BH1975" s="65"/>
      <c r="BI1975" s="65"/>
      <c r="BJ1975" s="65"/>
      <c r="BK1975" s="65"/>
      <c r="BL1975" s="99"/>
      <c r="BM1975" s="99"/>
      <c r="BN1975" s="99"/>
    </row>
    <row r="1976" spans="1:66" s="51" customFormat="1" ht="18" x14ac:dyDescent="0.25">
      <c r="A1976" s="623" t="s">
        <v>2807</v>
      </c>
      <c r="B1976" s="624"/>
      <c r="C1976" s="709"/>
      <c r="D1976" s="625" t="s">
        <v>5888</v>
      </c>
      <c r="E1976" s="626"/>
      <c r="F1976" s="626"/>
      <c r="G1976" s="626"/>
      <c r="H1976" s="622" t="s">
        <v>1270</v>
      </c>
      <c r="I1976" s="627" t="s">
        <v>2785</v>
      </c>
      <c r="J1976" s="628"/>
      <c r="K1976" s="628"/>
      <c r="L1976" s="629"/>
      <c r="M1976" s="702" t="s">
        <v>5252</v>
      </c>
      <c r="N1976" s="693" t="str">
        <f>IF(AND(ISTEXT($A1976), ISERROR($A1976+0)), HYPERLINK($BF1976, "Images"), "")</f>
        <v>Images</v>
      </c>
      <c r="O1976" s="695" t="s">
        <v>5264</v>
      </c>
      <c r="P1976" s="630"/>
      <c r="Q1976" s="631"/>
      <c r="R1976" s="632"/>
      <c r="S1976" s="633"/>
      <c r="T1976" s="102">
        <f t="shared" si="1373"/>
        <v>0</v>
      </c>
      <c r="U1976" s="78" t="str">
        <f>IF(NOT(ISNUMBER(G1976)), "", VLOOKUP(A1976,'Discount Lookup'!D:E,2,FALSE)*G1976)</f>
        <v/>
      </c>
      <c r="V1976" s="78" t="str">
        <f>IF(NOT(ISNUMBER(G1976)), "", VLOOKUP(A1976,'Discount Lookup'!G:H,2,FALSE)*G1976)</f>
        <v/>
      </c>
      <c r="W1976" s="102">
        <f t="shared" si="1374"/>
        <v>0</v>
      </c>
      <c r="X1976" s="102" t="str">
        <f t="shared" si="1375"/>
        <v>Pink to Blue bloom</v>
      </c>
      <c r="Y1976" s="120" t="b">
        <f t="shared" si="1376"/>
        <v>0</v>
      </c>
      <c r="Z1976" s="117">
        <f t="shared" si="1377"/>
        <v>0</v>
      </c>
      <c r="AA1976" s="118"/>
      <c r="AB1976" s="118" t="str">
        <f t="shared" si="1378"/>
        <v/>
      </c>
      <c r="AC1976" s="712" t="str">
        <f>IF(AE1976="T2G","no charge",IF(AND(OR(PlanterYesMe="No",PlanterYesMe="N",PlanterYesMe="me"),H1976=""),"",IF(H1976="credit","NO install",IF(AND(K1976="",AE1976="me"),"EACH row",IF(AND(K1976="images",AE1976="me"),"EACH row",IF(D1976="","",IF(H1976="credit","",IF(AE1976="free","re-planting",IF(AE1976="me","   not ELP, by",IF(AND(OR(PlanterYesMe="Yes",PlanterYesMe="Y"),G1976&gt;0),(VLOOKUP(A1976,'Discount Lookup'!J:K,2)*G1976*(1-PlanterDiscount)*(1+PlanterDifficultyPercentage)),IF(AE1976="ELP",(VLOOKUP(A1976,'Discount Lookup'!J:K,2)*G1976*(1-PlanterDiscount)*(1+PlanterDifficultyPercentage)),IF(AE1976="free","re-planting",IF(G1976=0,"",IF(PlanterYesMe="",IF(AE1976="me","   not ELP, by",IF(AE1976="",IF(G1976&gt;0,(VLOOKUP(A1976,'Discount Lookup'!J:K,2)*G1976*(1-PlanterDiscount)*(1+PlanterDifficultyPercentage)),""),"")),"   not ELP, by"))))))))))))))</f>
        <v/>
      </c>
      <c r="AD1976" s="712"/>
      <c r="AE1976" s="513" t="str">
        <f t="shared" si="1379"/>
        <v/>
      </c>
      <c r="AF1976" s="713" t="str">
        <f t="shared" si="1380"/>
        <v/>
      </c>
      <c r="AG1976" s="713"/>
      <c r="AH1976" s="713"/>
      <c r="AI1976" s="112">
        <f>IF(H1976="credit",0,IF(AE1976="free",0,IF(AE1976="me",0,IF(G1976&gt;0,(VLOOKUP(A1976,'Discount Lookup'!J:K,2)*G1976),0))))</f>
        <v>0</v>
      </c>
      <c r="AJ1976" s="107" t="str">
        <f t="shared" ca="1" si="1381"/>
        <v/>
      </c>
      <c r="AK1976" s="714" t="str">
        <f t="shared" si="1382"/>
        <v/>
      </c>
      <c r="AL1976" s="714"/>
      <c r="AM1976" s="114" t="str">
        <f t="shared" si="1383"/>
        <v/>
      </c>
      <c r="AN1976" s="115"/>
      <c r="AO1976" s="116"/>
      <c r="AP1976" s="116"/>
      <c r="AQ1976" s="116"/>
      <c r="AR1976" s="116"/>
      <c r="AS1976" s="116"/>
      <c r="AT1976" s="116"/>
      <c r="AU1976" s="116"/>
      <c r="AV1976" s="78"/>
      <c r="AW1976" s="102"/>
      <c r="AX1976" s="78"/>
      <c r="AY1976" s="78"/>
      <c r="AZ1976" s="78"/>
      <c r="BA1976" s="78"/>
      <c r="BB1976" s="78"/>
      <c r="BC1976" s="78"/>
      <c r="BD1976" s="78"/>
      <c r="BE1976" s="465"/>
      <c r="BF1976" s="165" t="str">
        <f t="shared" si="1384"/>
        <v>https://www.google.com/search?tbm=isch&amp;q=Hyd.%20macrophylla%20%27PIIHM-1%27%20PP%2320176%20Twist-N-Shout%C2%AE%20Bigleaf%20Hydrangea%20%28ES%C2%AE%29</v>
      </c>
      <c r="BG1976" s="165" t="str">
        <f t="shared" si="1385"/>
        <v>H</v>
      </c>
      <c r="BH1976" s="65"/>
      <c r="BI1976" s="65"/>
      <c r="BJ1976" s="65"/>
      <c r="BK1976" s="65"/>
      <c r="BL1976" s="99"/>
      <c r="BM1976" s="99"/>
      <c r="BN1976" s="99"/>
    </row>
    <row r="1977" spans="1:66" s="51" customFormat="1" ht="15.75" x14ac:dyDescent="0.25">
      <c r="A1977" s="634">
        <v>3</v>
      </c>
      <c r="B1977" s="635" t="s">
        <v>291</v>
      </c>
      <c r="C1977" s="636"/>
      <c r="D1977" s="637" t="s">
        <v>329</v>
      </c>
      <c r="E1977" s="638">
        <v>38.950000000000003</v>
      </c>
      <c r="F1977" s="639" t="s">
        <v>292</v>
      </c>
      <c r="G1977" s="484">
        <v>0</v>
      </c>
      <c r="H1977" s="691" t="str">
        <f>IF(G1977=0,"",IF(F1977="Buy",IF(G1977=1,"plant","plants"),IF(F1977&gt;0.01,"warranty","Error")))</f>
        <v/>
      </c>
      <c r="I1977" s="640">
        <f>IF(H1977="free",0,IF(H1977="credit",((E1977*(F1977))*G1977*-1),IF(F1977="Buy",(E1977*G1977),((E1977*(1-F1977))*G1977))))</f>
        <v>0</v>
      </c>
      <c r="J1977" s="640">
        <f>IF(H1977="warranty",0,(I1977*(_xlfn.SINGLE(SalesTaxPercentage))))</f>
        <v>0</v>
      </c>
      <c r="K1977" s="716">
        <f t="shared" ref="K1977" si="1405">I1977+J1977</f>
        <v>0</v>
      </c>
      <c r="L1977" s="716"/>
      <c r="M1977" s="689" t="str">
        <f ca="1">IF(AND(G1977&gt;0,E1977=0),"WARNING - no PRICE inserted",IF(H1977="free","FREE ~ no charge this plant",IF(H1977="credit",CONCATENATE("-$",ROUND(K1977*(1-_xlfn.SINGLE(T2GDiscount))*-1,2)," CREDIT after discount"),IF(_xlfn.SINGLE(T2GDiscount)=0,"",IF(G1977=0,"",IF(F1977="Buy",CONCATENATE("$",ROUND(K1977*(1-_xlfn.SINGLE(T2GDiscount)),2)," with ",(_xlfn.SINGLE(T2GDiscount)*100),"% discount"),CONCATENATE("$",ROUND(K1977*(1-_xlfn.SINGLE(T2GDiscount)),2)," with ",((_xlfn.SINGLE(T2GDiscount)*100+F1977*100)-(_xlfn.SINGLE(T2GDiscount)*100*F1977)),IF(F1977&gt;0,"% discounts",IF(_xlfn.SINGLE(NoWarrantyDiscount)&gt;0,"% discounts","% discount")))))))))</f>
        <v/>
      </c>
      <c r="N1977" s="690"/>
      <c r="O1977" s="486"/>
      <c r="P1977" s="486"/>
      <c r="Q1977" s="486"/>
      <c r="R1977" s="486"/>
      <c r="S1977" s="486"/>
      <c r="T1977" s="102">
        <f t="shared" si="1373"/>
        <v>0</v>
      </c>
      <c r="U1977" s="78">
        <f>IF(NOT(ISNUMBER(G1977)), "", VLOOKUP(A1977,'Discount Lookup'!D:E,2,FALSE)*G1977)</f>
        <v>0</v>
      </c>
      <c r="V1977" s="78">
        <f>IF(NOT(ISNUMBER(G1977)), "", VLOOKUP(A1977,'Discount Lookup'!G:H,2,FALSE)*G1977)</f>
        <v>0</v>
      </c>
      <c r="W1977" s="102">
        <f t="shared" si="1374"/>
        <v>0</v>
      </c>
      <c r="X1977" s="102">
        <f t="shared" si="1375"/>
        <v>0</v>
      </c>
      <c r="Y1977" s="120" t="b">
        <f t="shared" si="1376"/>
        <v>0</v>
      </c>
      <c r="Z1977" s="117">
        <f t="shared" si="1377"/>
        <v>0</v>
      </c>
      <c r="AA1977" s="118"/>
      <c r="AB1977" s="118" t="str">
        <f t="shared" si="1378"/>
        <v/>
      </c>
      <c r="AC1977" s="712" t="str">
        <f>IF(AE1977="T2G","no charge",IF(AND(OR(PlanterYesMe="No",PlanterYesMe="N",PlanterYesMe="me"),H1977=""),"",IF(H1977="credit","NO install",IF(AND(K1977="",AE1977="me"),"EACH row",IF(AND(K1977="images",AE1977="me"),"EACH row",IF(D1977="","",IF(H1977="credit","",IF(AE1977="free","re-planting",IF(AE1977="me","   not ELP, by",IF(AND(OR(PlanterYesMe="Yes",PlanterYesMe="Y"),G1977&gt;0),(VLOOKUP(A1977,'Discount Lookup'!J:K,2)*G1977*(1-PlanterDiscount)*(1+PlanterDifficultyPercentage)),IF(AE1977="ELP",(VLOOKUP(A1977,'Discount Lookup'!J:K,2)*G1977*(1-PlanterDiscount)*(1+PlanterDifficultyPercentage)),IF(AE1977="free","re-planting",IF(G1977=0,"",IF(PlanterYesMe="",IF(AE1977="me","   not ELP, by",IF(AE1977="",IF(G1977&gt;0,(VLOOKUP(A1977,'Discount Lookup'!J:K,2)*G1977*(1-PlanterDiscount)*(1+PlanterDifficultyPercentage)),""),"")),"   not ELP, by"))))))))))))))</f>
        <v/>
      </c>
      <c r="AD1977" s="712"/>
      <c r="AE1977" s="513" t="str">
        <f t="shared" si="1379"/>
        <v/>
      </c>
      <c r="AF1977" s="713" t="str">
        <f t="shared" si="1380"/>
        <v/>
      </c>
      <c r="AG1977" s="713"/>
      <c r="AH1977" s="713"/>
      <c r="AI1977" s="112">
        <f>IF(H1977="credit",0,IF(AE1977="free",0,IF(AE1977="me",0,IF(G1977&gt;0,(VLOOKUP(A1977,'Discount Lookup'!J:K,2)*G1977),0))))</f>
        <v>0</v>
      </c>
      <c r="AJ1977" s="107" t="str">
        <f t="shared" ca="1" si="1381"/>
        <v/>
      </c>
      <c r="AK1977" s="714" t="str">
        <f t="shared" si="1382"/>
        <v/>
      </c>
      <c r="AL1977" s="714"/>
      <c r="AM1977" s="114" t="str">
        <f t="shared" si="1383"/>
        <v/>
      </c>
      <c r="AN1977" s="115"/>
      <c r="AO1977" s="116"/>
      <c r="AP1977" s="116"/>
      <c r="AQ1977" s="116"/>
      <c r="AR1977" s="116"/>
      <c r="AS1977" s="116"/>
      <c r="AT1977" s="116"/>
      <c r="AU1977" s="116"/>
      <c r="AV1977" s="78"/>
      <c r="AW1977" s="102"/>
      <c r="AX1977" s="78"/>
      <c r="AY1977" s="78"/>
      <c r="AZ1977" s="78"/>
      <c r="BA1977" s="78"/>
      <c r="BB1977" s="78"/>
      <c r="BC1977" s="78"/>
      <c r="BD1977" s="78"/>
      <c r="BE1977" s="465"/>
      <c r="BF1977" s="165" t="str">
        <f t="shared" si="1384"/>
        <v>https://www.google.com/search?tbm=isch&amp;q=3%20G2</v>
      </c>
      <c r="BG1977" s="165" t="str">
        <f t="shared" si="1385"/>
        <v>H</v>
      </c>
      <c r="BH1977" s="65"/>
      <c r="BI1977" s="65"/>
      <c r="BJ1977" s="65"/>
      <c r="BK1977" s="65"/>
      <c r="BL1977" s="99"/>
      <c r="BM1977" s="99"/>
      <c r="BN1977" s="99"/>
    </row>
    <row r="1978" spans="1:66" s="51" customFormat="1" ht="17.25" thickBot="1" x14ac:dyDescent="0.3">
      <c r="A1978" s="704" t="s">
        <v>5442</v>
      </c>
      <c r="B1978" s="642"/>
      <c r="C1978" s="710"/>
      <c r="D1978" s="643"/>
      <c r="E1978" s="643"/>
      <c r="F1978" s="644"/>
      <c r="G1978" s="645"/>
      <c r="H1978" s="646"/>
      <c r="I1978" s="647"/>
      <c r="J1978" s="648"/>
      <c r="K1978" s="649"/>
      <c r="L1978" s="650"/>
      <c r="M1978" s="650"/>
      <c r="N1978" s="644"/>
      <c r="O1978" s="644"/>
      <c r="P1978" s="644"/>
      <c r="Q1978" s="644"/>
      <c r="R1978" s="644"/>
      <c r="S1978" s="651"/>
      <c r="T1978" s="102">
        <f t="shared" si="1373"/>
        <v>0</v>
      </c>
      <c r="U1978" s="78" t="str">
        <f>IF(NOT(ISNUMBER(G1978)), "", VLOOKUP(A1978,'Discount Lookup'!D:E,2,FALSE)*G1978)</f>
        <v/>
      </c>
      <c r="V1978" s="78" t="str">
        <f>IF(NOT(ISNUMBER(G1978)), "", VLOOKUP(A1978,'Discount Lookup'!G:H,2,FALSE)*G1978)</f>
        <v/>
      </c>
      <c r="W1978" s="102">
        <f t="shared" si="1374"/>
        <v>0</v>
      </c>
      <c r="X1978" s="102">
        <f t="shared" si="1375"/>
        <v>0</v>
      </c>
      <c r="Y1978" s="120" t="b">
        <f t="shared" si="1376"/>
        <v>0</v>
      </c>
      <c r="Z1978" s="117">
        <f t="shared" si="1377"/>
        <v>0</v>
      </c>
      <c r="AA1978" s="118"/>
      <c r="AB1978" s="118" t="str">
        <f t="shared" si="1378"/>
        <v/>
      </c>
      <c r="AC1978" s="712" t="str">
        <f>IF(AE1978="T2G","no charge",IF(AND(OR(PlanterYesMe="No",PlanterYesMe="N",PlanterYesMe="me"),H1978=""),"",IF(H1978="credit","NO install",IF(AND(K1978="",AE1978="me"),"EACH row",IF(AND(K1978="images",AE1978="me"),"EACH row",IF(D1978="","",IF(H1978="credit","",IF(AE1978="free","re-planting",IF(AE1978="me","   not ELP, by",IF(AND(OR(PlanterYesMe="Yes",PlanterYesMe="Y"),G1978&gt;0),(VLOOKUP(A1978,'Discount Lookup'!J:K,2)*G1978*(1-PlanterDiscount)*(1+PlanterDifficultyPercentage)),IF(AE1978="ELP",(VLOOKUP(A1978,'Discount Lookup'!J:K,2)*G1978*(1-PlanterDiscount)*(1+PlanterDifficultyPercentage)),IF(AE1978="free","re-planting",IF(G1978=0,"",IF(PlanterYesMe="",IF(AE1978="me","   not ELP, by",IF(AE1978="",IF(G1978&gt;0,(VLOOKUP(A1978,'Discount Lookup'!J:K,2)*G1978*(1-PlanterDiscount)*(1+PlanterDifficultyPercentage)),""),"")),"   not ELP, by"))))))))))))))</f>
        <v/>
      </c>
      <c r="AD1978" s="712"/>
      <c r="AE1978" s="513" t="str">
        <f t="shared" si="1379"/>
        <v/>
      </c>
      <c r="AF1978" s="713" t="str">
        <f t="shared" si="1380"/>
        <v/>
      </c>
      <c r="AG1978" s="713"/>
      <c r="AH1978" s="713"/>
      <c r="AI1978" s="112">
        <f>IF(H1978="credit",0,IF(AE1978="free",0,IF(AE1978="me",0,IF(G1978&gt;0,(VLOOKUP(A1978,'Discount Lookup'!J:K,2)*G1978),0))))</f>
        <v>0</v>
      </c>
      <c r="AJ1978" s="107" t="str">
        <f t="shared" ca="1" si="1381"/>
        <v/>
      </c>
      <c r="AK1978" s="714" t="str">
        <f t="shared" si="1382"/>
        <v/>
      </c>
      <c r="AL1978" s="714"/>
      <c r="AM1978" s="114" t="str">
        <f t="shared" si="1383"/>
        <v/>
      </c>
      <c r="AN1978" s="115"/>
      <c r="AO1978" s="116"/>
      <c r="AP1978" s="116"/>
      <c r="AQ1978" s="116"/>
      <c r="AR1978" s="116"/>
      <c r="AS1978" s="116"/>
      <c r="AT1978" s="116"/>
      <c r="AU1978" s="116"/>
      <c r="AV1978" s="78"/>
      <c r="AW1978" s="102"/>
      <c r="AX1978" s="78"/>
      <c r="AY1978" s="78"/>
      <c r="AZ1978" s="78"/>
      <c r="BA1978" s="78"/>
      <c r="BB1978" s="78"/>
      <c r="BC1978" s="78"/>
      <c r="BD1978" s="78"/>
      <c r="BE1978" s="465"/>
      <c r="BF1978" s="165" t="str">
        <f t="shared" si="1384"/>
        <v>https://www.google.com/search?tbm=isch&amp;q=moist%20sites%F0%9F%92%A7GOOD%2C%20Twist-N-Shout%20has%20Dark%20Green%20foliage%20with%20vivd%20Red%20stems.%20Most%20%22Bigleaf%22%20Hydrangea%20have%20snowball%20flowers%20on%20old%20wood%20</v>
      </c>
      <c r="BG1978" s="165" t="str">
        <f t="shared" si="1385"/>
        <v>m</v>
      </c>
      <c r="BH1978" s="65"/>
      <c r="BI1978" s="65"/>
      <c r="BJ1978" s="65"/>
      <c r="BK1978" s="65"/>
      <c r="BL1978" s="99"/>
      <c r="BM1978" s="99"/>
      <c r="BN1978" s="99"/>
    </row>
    <row r="1979" spans="1:66" s="51" customFormat="1" ht="18" x14ac:dyDescent="0.25">
      <c r="A1979" s="623" t="s">
        <v>2808</v>
      </c>
      <c r="B1979" s="624"/>
      <c r="C1979" s="709"/>
      <c r="D1979" s="625" t="s">
        <v>5889</v>
      </c>
      <c r="E1979" s="626"/>
      <c r="F1979" s="626"/>
      <c r="G1979" s="626"/>
      <c r="H1979" s="622" t="s">
        <v>1076</v>
      </c>
      <c r="I1979" s="627" t="s">
        <v>2773</v>
      </c>
      <c r="J1979" s="628"/>
      <c r="K1979" s="628"/>
      <c r="L1979" s="629"/>
      <c r="M1979" s="702" t="s">
        <v>5252</v>
      </c>
      <c r="N1979" s="693" t="str">
        <f>IF(AND(ISTEXT($A1979), ISERROR($A1979+0)), HYPERLINK($BF1979, "Images"), "")</f>
        <v>Images</v>
      </c>
      <c r="O1979" s="695" t="s">
        <v>5264</v>
      </c>
      <c r="P1979" s="630"/>
      <c r="Q1979" s="631"/>
      <c r="R1979" s="632"/>
      <c r="S1979" s="633"/>
      <c r="T1979" s="102">
        <f t="shared" si="1373"/>
        <v>0</v>
      </c>
      <c r="U1979" s="78" t="str">
        <f>IF(NOT(ISNUMBER(G1979)), "", VLOOKUP(A1979,'Discount Lookup'!D:E,2,FALSE)*G1979)</f>
        <v/>
      </c>
      <c r="V1979" s="78" t="str">
        <f>IF(NOT(ISNUMBER(G1979)), "", VLOOKUP(A1979,'Discount Lookup'!G:H,2,FALSE)*G1979)</f>
        <v/>
      </c>
      <c r="W1979" s="102">
        <f t="shared" si="1374"/>
        <v>0</v>
      </c>
      <c r="X1979" s="102" t="str">
        <f t="shared" si="1375"/>
        <v>Blue to Pink bloom</v>
      </c>
      <c r="Y1979" s="120" t="b">
        <f t="shared" si="1376"/>
        <v>0</v>
      </c>
      <c r="Z1979" s="117">
        <f t="shared" si="1377"/>
        <v>0</v>
      </c>
      <c r="AA1979" s="118"/>
      <c r="AB1979" s="118" t="str">
        <f t="shared" si="1378"/>
        <v/>
      </c>
      <c r="AC1979" s="712" t="str">
        <f>IF(AE1979="T2G","no charge",IF(AND(OR(PlanterYesMe="No",PlanterYesMe="N",PlanterYesMe="me"),H1979=""),"",IF(H1979="credit","NO install",IF(AND(K1979="",AE1979="me"),"EACH row",IF(AND(K1979="images",AE1979="me"),"EACH row",IF(D1979="","",IF(H1979="credit","",IF(AE1979="free","re-planting",IF(AE1979="me","   not ELP, by",IF(AND(OR(PlanterYesMe="Yes",PlanterYesMe="Y"),G1979&gt;0),(VLOOKUP(A1979,'Discount Lookup'!J:K,2)*G1979*(1-PlanterDiscount)*(1+PlanterDifficultyPercentage)),IF(AE1979="ELP",(VLOOKUP(A1979,'Discount Lookup'!J:K,2)*G1979*(1-PlanterDiscount)*(1+PlanterDifficultyPercentage)),IF(AE1979="free","re-planting",IF(G1979=0,"",IF(PlanterYesMe="",IF(AE1979="me","   not ELP, by",IF(AE1979="",IF(G1979&gt;0,(VLOOKUP(A1979,'Discount Lookup'!J:K,2)*G1979*(1-PlanterDiscount)*(1+PlanterDifficultyPercentage)),""),"")),"   not ELP, by"))))))))))))))</f>
        <v/>
      </c>
      <c r="AD1979" s="712"/>
      <c r="AE1979" s="513" t="str">
        <f t="shared" si="1379"/>
        <v/>
      </c>
      <c r="AF1979" s="713" t="str">
        <f t="shared" si="1380"/>
        <v/>
      </c>
      <c r="AG1979" s="713"/>
      <c r="AH1979" s="713"/>
      <c r="AI1979" s="112">
        <f>IF(H1979="credit",0,IF(AE1979="free",0,IF(AE1979="me",0,IF(G1979&gt;0,(VLOOKUP(A1979,'Discount Lookup'!J:K,2)*G1979),0))))</f>
        <v>0</v>
      </c>
      <c r="AJ1979" s="107" t="str">
        <f t="shared" ca="1" si="1381"/>
        <v/>
      </c>
      <c r="AK1979" s="714" t="str">
        <f t="shared" si="1382"/>
        <v/>
      </c>
      <c r="AL1979" s="714"/>
      <c r="AM1979" s="114" t="str">
        <f t="shared" si="1383"/>
        <v/>
      </c>
      <c r="AN1979" s="115"/>
      <c r="AO1979" s="116"/>
      <c r="AP1979" s="116"/>
      <c r="AQ1979" s="116"/>
      <c r="AR1979" s="116"/>
      <c r="AS1979" s="116"/>
      <c r="AT1979" s="116"/>
      <c r="AU1979" s="116"/>
      <c r="AV1979" s="78"/>
      <c r="AW1979" s="102"/>
      <c r="AX1979" s="78"/>
      <c r="AY1979" s="78"/>
      <c r="AZ1979" s="78"/>
      <c r="BA1979" s="78"/>
      <c r="BB1979" s="78"/>
      <c r="BC1979" s="78"/>
      <c r="BD1979" s="78"/>
      <c r="BE1979" s="465"/>
      <c r="BF1979" s="165" t="str">
        <f t="shared" si="1384"/>
        <v>https://www.google.com/search?tbm=isch&amp;q=Hyd.%20macrophylla%20%27PIIHM-II%27%20PP%2325566%20Bloomstruck%C2%AE%20Bigleaf%20Hydrangea%20%28ES%C2%AE%29</v>
      </c>
      <c r="BG1979" s="165" t="str">
        <f t="shared" si="1385"/>
        <v>H</v>
      </c>
      <c r="BH1979" s="65"/>
      <c r="BI1979" s="65"/>
      <c r="BJ1979" s="65"/>
      <c r="BK1979" s="65"/>
      <c r="BL1979" s="99"/>
      <c r="BM1979" s="99"/>
      <c r="BN1979" s="99"/>
    </row>
    <row r="1980" spans="1:66" s="51" customFormat="1" ht="15.75" x14ac:dyDescent="0.25">
      <c r="A1980" s="634">
        <v>3</v>
      </c>
      <c r="B1980" s="635" t="s">
        <v>291</v>
      </c>
      <c r="C1980" s="636" t="s">
        <v>2809</v>
      </c>
      <c r="D1980" s="637" t="s">
        <v>329</v>
      </c>
      <c r="E1980" s="638">
        <v>38.950000000000003</v>
      </c>
      <c r="F1980" s="639" t="s">
        <v>292</v>
      </c>
      <c r="G1980" s="484">
        <v>0</v>
      </c>
      <c r="H1980" s="691" t="str">
        <f>IF(G1980=0,"",IF(F1980="Buy",IF(G1980=1,"plant","plants"),IF(F1980&gt;0.01,"warranty","Error")))</f>
        <v/>
      </c>
      <c r="I1980" s="640">
        <f>IF(H1980="free",0,IF(H1980="credit",((E1980*(F1980))*G1980*-1),IF(F1980="Buy",(E1980*G1980),((E1980*(1-F1980))*G1980))))</f>
        <v>0</v>
      </c>
      <c r="J1980" s="640">
        <f>IF(H1980="warranty",0,(I1980*(_xlfn.SINGLE(SalesTaxPercentage))))</f>
        <v>0</v>
      </c>
      <c r="K1980" s="716">
        <f t="shared" ref="K1980" si="1406">I1980+J1980</f>
        <v>0</v>
      </c>
      <c r="L1980" s="716"/>
      <c r="M1980" s="689" t="str">
        <f ca="1">IF(AND(G1980&gt;0,E1980=0),"WARNING - no PRICE inserted",IF(H1980="free","FREE ~ no charge this plant",IF(H1980="credit",CONCATENATE("-$",ROUND(K1980*(1-_xlfn.SINGLE(T2GDiscount))*-1,2)," CREDIT after discount"),IF(_xlfn.SINGLE(T2GDiscount)=0,"",IF(G1980=0,"",IF(F1980="Buy",CONCATENATE("$",ROUND(K1980*(1-_xlfn.SINGLE(T2GDiscount)),2)," with ",(_xlfn.SINGLE(T2GDiscount)*100),"% discount"),CONCATENATE("$",ROUND(K1980*(1-_xlfn.SINGLE(T2GDiscount)),2)," with ",((_xlfn.SINGLE(T2GDiscount)*100+F1980*100)-(_xlfn.SINGLE(T2GDiscount)*100*F1980)),IF(F1980&gt;0,"% discounts",IF(_xlfn.SINGLE(NoWarrantyDiscount)&gt;0,"% discounts","% discount")))))))))</f>
        <v/>
      </c>
      <c r="N1980" s="690"/>
      <c r="O1980" s="486"/>
      <c r="P1980" s="486"/>
      <c r="Q1980" s="486"/>
      <c r="R1980" s="486"/>
      <c r="S1980" s="486"/>
      <c r="T1980" s="102">
        <f t="shared" si="1373"/>
        <v>0</v>
      </c>
      <c r="U1980" s="78">
        <f>IF(NOT(ISNUMBER(G1980)), "", VLOOKUP(A1980,'Discount Lookup'!D:E,2,FALSE)*G1980)</f>
        <v>0</v>
      </c>
      <c r="V1980" s="78">
        <f>IF(NOT(ISNUMBER(G1980)), "", VLOOKUP(A1980,'Discount Lookup'!G:H,2,FALSE)*G1980)</f>
        <v>0</v>
      </c>
      <c r="W1980" s="102">
        <f t="shared" si="1374"/>
        <v>0</v>
      </c>
      <c r="X1980" s="102">
        <f t="shared" si="1375"/>
        <v>0</v>
      </c>
      <c r="Y1980" s="120" t="b">
        <f t="shared" si="1376"/>
        <v>0</v>
      </c>
      <c r="Z1980" s="117">
        <f t="shared" si="1377"/>
        <v>0</v>
      </c>
      <c r="AA1980" s="118"/>
      <c r="AB1980" s="118" t="str">
        <f t="shared" si="1378"/>
        <v/>
      </c>
      <c r="AC1980" s="712" t="str">
        <f>IF(AE1980="T2G","no charge",IF(AND(OR(PlanterYesMe="No",PlanterYesMe="N",PlanterYesMe="me"),H1980=""),"",IF(H1980="credit","NO install",IF(AND(K1980="",AE1980="me"),"EACH row",IF(AND(K1980="images",AE1980="me"),"EACH row",IF(D1980="","",IF(H1980="credit","",IF(AE1980="free","re-planting",IF(AE1980="me","   not ELP, by",IF(AND(OR(PlanterYesMe="Yes",PlanterYesMe="Y"),G1980&gt;0),(VLOOKUP(A1980,'Discount Lookup'!J:K,2)*G1980*(1-PlanterDiscount)*(1+PlanterDifficultyPercentage)),IF(AE1980="ELP",(VLOOKUP(A1980,'Discount Lookup'!J:K,2)*G1980*(1-PlanterDiscount)*(1+PlanterDifficultyPercentage)),IF(AE1980="free","re-planting",IF(G1980=0,"",IF(PlanterYesMe="",IF(AE1980="me","   not ELP, by",IF(AE1980="",IF(G1980&gt;0,(VLOOKUP(A1980,'Discount Lookup'!J:K,2)*G1980*(1-PlanterDiscount)*(1+PlanterDifficultyPercentage)),""),"")),"   not ELP, by"))))))))))))))</f>
        <v/>
      </c>
      <c r="AD1980" s="712"/>
      <c r="AE1980" s="513" t="str">
        <f t="shared" si="1379"/>
        <v/>
      </c>
      <c r="AF1980" s="713" t="str">
        <f t="shared" si="1380"/>
        <v/>
      </c>
      <c r="AG1980" s="713"/>
      <c r="AH1980" s="713"/>
      <c r="AI1980" s="112">
        <f>IF(H1980="credit",0,IF(AE1980="free",0,IF(AE1980="me",0,IF(G1980&gt;0,(VLOOKUP(A1980,'Discount Lookup'!J:K,2)*G1980),0))))</f>
        <v>0</v>
      </c>
      <c r="AJ1980" s="107" t="str">
        <f t="shared" ca="1" si="1381"/>
        <v/>
      </c>
      <c r="AK1980" s="714" t="str">
        <f t="shared" si="1382"/>
        <v/>
      </c>
      <c r="AL1980" s="714"/>
      <c r="AM1980" s="114" t="str">
        <f t="shared" si="1383"/>
        <v/>
      </c>
      <c r="AN1980" s="115"/>
      <c r="AO1980" s="116"/>
      <c r="AP1980" s="116"/>
      <c r="AQ1980" s="116"/>
      <c r="AR1980" s="116"/>
      <c r="AS1980" s="116"/>
      <c r="AT1980" s="116"/>
      <c r="AU1980" s="116"/>
      <c r="AV1980" s="78"/>
      <c r="AW1980" s="102"/>
      <c r="AX1980" s="78"/>
      <c r="AY1980" s="78"/>
      <c r="AZ1980" s="78"/>
      <c r="BA1980" s="78"/>
      <c r="BB1980" s="78"/>
      <c r="BC1980" s="78"/>
      <c r="BD1980" s="78"/>
      <c r="BE1980" s="465"/>
      <c r="BF1980" s="165" t="str">
        <f t="shared" si="1384"/>
        <v>https://www.google.com/search?tbm=isch&amp;q=3%20G2</v>
      </c>
      <c r="BG1980" s="165" t="str">
        <f t="shared" si="1385"/>
        <v>H</v>
      </c>
      <c r="BH1980" s="65"/>
      <c r="BI1980" s="65"/>
      <c r="BJ1980" s="65"/>
      <c r="BK1980" s="65"/>
      <c r="BL1980" s="99"/>
      <c r="BM1980" s="99"/>
      <c r="BN1980" s="99"/>
    </row>
    <row r="1981" spans="1:66" s="51" customFormat="1" ht="17.25" thickBot="1" x14ac:dyDescent="0.3">
      <c r="A1981" s="704" t="s">
        <v>5443</v>
      </c>
      <c r="B1981" s="642"/>
      <c r="C1981" s="710"/>
      <c r="D1981" s="643"/>
      <c r="E1981" s="643"/>
      <c r="F1981" s="644"/>
      <c r="G1981" s="645"/>
      <c r="H1981" s="646"/>
      <c r="I1981" s="647"/>
      <c r="J1981" s="648"/>
      <c r="K1981" s="649"/>
      <c r="L1981" s="650"/>
      <c r="M1981" s="650"/>
      <c r="N1981" s="644"/>
      <c r="O1981" s="644"/>
      <c r="P1981" s="644"/>
      <c r="Q1981" s="644"/>
      <c r="R1981" s="644"/>
      <c r="S1981" s="651"/>
      <c r="T1981" s="102">
        <f t="shared" si="1373"/>
        <v>0</v>
      </c>
      <c r="U1981" s="78" t="str">
        <f>IF(NOT(ISNUMBER(G1981)), "", VLOOKUP(A1981,'Discount Lookup'!D:E,2,FALSE)*G1981)</f>
        <v/>
      </c>
      <c r="V1981" s="78" t="str">
        <f>IF(NOT(ISNUMBER(G1981)), "", VLOOKUP(A1981,'Discount Lookup'!G:H,2,FALSE)*G1981)</f>
        <v/>
      </c>
      <c r="W1981" s="102">
        <f t="shared" si="1374"/>
        <v>0</v>
      </c>
      <c r="X1981" s="102">
        <f t="shared" si="1375"/>
        <v>0</v>
      </c>
      <c r="Y1981" s="120" t="b">
        <f t="shared" si="1376"/>
        <v>0</v>
      </c>
      <c r="Z1981" s="117">
        <f t="shared" si="1377"/>
        <v>0</v>
      </c>
      <c r="AA1981" s="118"/>
      <c r="AB1981" s="118" t="str">
        <f t="shared" si="1378"/>
        <v/>
      </c>
      <c r="AC1981" s="712" t="str">
        <f>IF(AE1981="T2G","no charge",IF(AND(OR(PlanterYesMe="No",PlanterYesMe="N",PlanterYesMe="me"),H1981=""),"",IF(H1981="credit","NO install",IF(AND(K1981="",AE1981="me"),"EACH row",IF(AND(K1981="images",AE1981="me"),"EACH row",IF(D1981="","",IF(H1981="credit","",IF(AE1981="free","re-planting",IF(AE1981="me","   not ELP, by",IF(AND(OR(PlanterYesMe="Yes",PlanterYesMe="Y"),G1981&gt;0),(VLOOKUP(A1981,'Discount Lookup'!J:K,2)*G1981*(1-PlanterDiscount)*(1+PlanterDifficultyPercentage)),IF(AE1981="ELP",(VLOOKUP(A1981,'Discount Lookup'!J:K,2)*G1981*(1-PlanterDiscount)*(1+PlanterDifficultyPercentage)),IF(AE1981="free","re-planting",IF(G1981=0,"",IF(PlanterYesMe="",IF(AE1981="me","   not ELP, by",IF(AE1981="",IF(G1981&gt;0,(VLOOKUP(A1981,'Discount Lookup'!J:K,2)*G1981*(1-PlanterDiscount)*(1+PlanterDifficultyPercentage)),""),"")),"   not ELP, by"))))))))))))))</f>
        <v/>
      </c>
      <c r="AD1981" s="712"/>
      <c r="AE1981" s="513" t="str">
        <f t="shared" si="1379"/>
        <v/>
      </c>
      <c r="AF1981" s="713" t="str">
        <f t="shared" si="1380"/>
        <v/>
      </c>
      <c r="AG1981" s="713"/>
      <c r="AH1981" s="713"/>
      <c r="AI1981" s="112">
        <f>IF(H1981="credit",0,IF(AE1981="free",0,IF(AE1981="me",0,IF(G1981&gt;0,(VLOOKUP(A1981,'Discount Lookup'!J:K,2)*G1981),0))))</f>
        <v>0</v>
      </c>
      <c r="AJ1981" s="107" t="str">
        <f t="shared" ca="1" si="1381"/>
        <v/>
      </c>
      <c r="AK1981" s="714" t="str">
        <f t="shared" si="1382"/>
        <v/>
      </c>
      <c r="AL1981" s="714"/>
      <c r="AM1981" s="114" t="str">
        <f t="shared" si="1383"/>
        <v/>
      </c>
      <c r="AN1981" s="115"/>
      <c r="AO1981" s="116"/>
      <c r="AP1981" s="116"/>
      <c r="AQ1981" s="116"/>
      <c r="AR1981" s="116"/>
      <c r="AS1981" s="116"/>
      <c r="AT1981" s="116"/>
      <c r="AU1981" s="116"/>
      <c r="AV1981" s="78"/>
      <c r="AW1981" s="102"/>
      <c r="AX1981" s="78"/>
      <c r="AY1981" s="78"/>
      <c r="AZ1981" s="78"/>
      <c r="BA1981" s="78"/>
      <c r="BB1981" s="78"/>
      <c r="BC1981" s="78"/>
      <c r="BD1981" s="78"/>
      <c r="BE1981" s="465"/>
      <c r="BF1981" s="165" t="str">
        <f t="shared" si="1384"/>
        <v>https://www.google.com/search?tbm=isch&amp;q=moist%20sites%F0%9F%92%A7GOOD%2C%20Bloomstruck%20has%20Green%20foliage%20with%20Red%20veins.%20Most%20%22Bigleaf%22%20Hydrangea%20have%20snowball%20flowers%20on%20old%20wood.%20Acidic%20%3D%20Blue%2C%20Alkaline%20%3D%20Pink%20</v>
      </c>
      <c r="BG1981" s="165" t="str">
        <f t="shared" si="1385"/>
        <v>m</v>
      </c>
      <c r="BH1981" s="65"/>
      <c r="BI1981" s="65"/>
      <c r="BJ1981" s="65"/>
      <c r="BK1981" s="65"/>
      <c r="BL1981" s="99"/>
      <c r="BM1981" s="99"/>
      <c r="BN1981" s="99"/>
    </row>
    <row r="1982" spans="1:66" s="51" customFormat="1" ht="18" x14ac:dyDescent="0.25">
      <c r="A1982" s="623" t="s">
        <v>2810</v>
      </c>
      <c r="B1982" s="624"/>
      <c r="C1982" s="709"/>
      <c r="D1982" s="625" t="s">
        <v>5890</v>
      </c>
      <c r="E1982" s="626"/>
      <c r="F1982" s="626"/>
      <c r="G1982" s="626"/>
      <c r="H1982" s="622" t="s">
        <v>1124</v>
      </c>
      <c r="I1982" s="627" t="s">
        <v>2811</v>
      </c>
      <c r="J1982" s="628"/>
      <c r="K1982" s="628"/>
      <c r="L1982" s="629"/>
      <c r="M1982" s="702" t="s">
        <v>5252</v>
      </c>
      <c r="N1982" s="693" t="str">
        <f>IF(AND(ISTEXT($A1982), ISERROR($A1982+0)), HYPERLINK($BF1982, "Images"), "")</f>
        <v>Images</v>
      </c>
      <c r="O1982" s="695" t="s">
        <v>5264</v>
      </c>
      <c r="P1982" s="630"/>
      <c r="Q1982" s="631"/>
      <c r="R1982" s="632"/>
      <c r="S1982" s="633"/>
      <c r="T1982" s="102">
        <f t="shared" si="1373"/>
        <v>0</v>
      </c>
      <c r="U1982" s="78" t="str">
        <f>IF(NOT(ISNUMBER(G1982)), "", VLOOKUP(A1982,'Discount Lookup'!D:E,2,FALSE)*G1982)</f>
        <v/>
      </c>
      <c r="V1982" s="78" t="str">
        <f>IF(NOT(ISNUMBER(G1982)), "", VLOOKUP(A1982,'Discount Lookup'!G:H,2,FALSE)*G1982)</f>
        <v/>
      </c>
      <c r="W1982" s="102">
        <f t="shared" si="1374"/>
        <v>0</v>
      </c>
      <c r="X1982" s="102" t="str">
        <f t="shared" si="1375"/>
        <v>Bicolor Pink &amp; Green bloom</v>
      </c>
      <c r="Y1982" s="120" t="b">
        <f t="shared" si="1376"/>
        <v>0</v>
      </c>
      <c r="Z1982" s="117">
        <f t="shared" si="1377"/>
        <v>0</v>
      </c>
      <c r="AA1982" s="118"/>
      <c r="AB1982" s="118" t="str">
        <f t="shared" si="1378"/>
        <v/>
      </c>
      <c r="AC1982" s="712" t="str">
        <f>IF(AE1982="T2G","no charge",IF(AND(OR(PlanterYesMe="No",PlanterYesMe="N",PlanterYesMe="me"),H1982=""),"",IF(H1982="credit","NO install",IF(AND(K1982="",AE1982="me"),"EACH row",IF(AND(K1982="images",AE1982="me"),"EACH row",IF(D1982="","",IF(H1982="credit","",IF(AE1982="free","re-planting",IF(AE1982="me","   not ELP, by",IF(AND(OR(PlanterYesMe="Yes",PlanterYesMe="Y"),G1982&gt;0),(VLOOKUP(A1982,'Discount Lookup'!J:K,2)*G1982*(1-PlanterDiscount)*(1+PlanterDifficultyPercentage)),IF(AE1982="ELP",(VLOOKUP(A1982,'Discount Lookup'!J:K,2)*G1982*(1-PlanterDiscount)*(1+PlanterDifficultyPercentage)),IF(AE1982="free","re-planting",IF(G1982=0,"",IF(PlanterYesMe="",IF(AE1982="me","   not ELP, by",IF(AE1982="",IF(G1982&gt;0,(VLOOKUP(A1982,'Discount Lookup'!J:K,2)*G1982*(1-PlanterDiscount)*(1+PlanterDifficultyPercentage)),""),"")),"   not ELP, by"))))))))))))))</f>
        <v/>
      </c>
      <c r="AD1982" s="712"/>
      <c r="AE1982" s="513" t="str">
        <f t="shared" si="1379"/>
        <v/>
      </c>
      <c r="AF1982" s="713" t="str">
        <f t="shared" si="1380"/>
        <v/>
      </c>
      <c r="AG1982" s="713"/>
      <c r="AH1982" s="713"/>
      <c r="AI1982" s="112">
        <f>IF(H1982="credit",0,IF(AE1982="free",0,IF(AE1982="me",0,IF(G1982&gt;0,(VLOOKUP(A1982,'Discount Lookup'!J:K,2)*G1982),0))))</f>
        <v>0</v>
      </c>
      <c r="AJ1982" s="107" t="str">
        <f t="shared" ca="1" si="1381"/>
        <v/>
      </c>
      <c r="AK1982" s="714" t="str">
        <f t="shared" si="1382"/>
        <v/>
      </c>
      <c r="AL1982" s="714"/>
      <c r="AM1982" s="114" t="str">
        <f t="shared" si="1383"/>
        <v/>
      </c>
      <c r="AN1982" s="115"/>
      <c r="AO1982" s="116"/>
      <c r="AP1982" s="116"/>
      <c r="AQ1982" s="116"/>
      <c r="AR1982" s="116"/>
      <c r="AS1982" s="116"/>
      <c r="AT1982" s="116"/>
      <c r="AU1982" s="116"/>
      <c r="AV1982" s="78"/>
      <c r="AW1982" s="102"/>
      <c r="AX1982" s="78"/>
      <c r="AY1982" s="78"/>
      <c r="AZ1982" s="78"/>
      <c r="BA1982" s="78"/>
      <c r="BB1982" s="78"/>
      <c r="BC1982" s="78"/>
      <c r="BD1982" s="78"/>
      <c r="BE1982" s="465"/>
      <c r="BF1982" s="165" t="str">
        <f t="shared" si="1384"/>
        <v>https://www.google.com/search?tbm=isch&amp;q=Hyd.%20macrophylla%20%27QUFU%27%20PP%2326426%20Tilt-A-Swirl%C2%AE%20Bigleaf%20Hydrangea%20%28ES%C2%AE%29</v>
      </c>
      <c r="BG1982" s="165" t="str">
        <f t="shared" si="1385"/>
        <v>H</v>
      </c>
      <c r="BH1982" s="65"/>
      <c r="BI1982" s="65"/>
      <c r="BJ1982" s="65"/>
      <c r="BK1982" s="65"/>
      <c r="BL1982" s="99"/>
      <c r="BM1982" s="99"/>
      <c r="BN1982" s="99"/>
    </row>
    <row r="1983" spans="1:66" s="51" customFormat="1" ht="15.75" x14ac:dyDescent="0.25">
      <c r="A1983" s="634">
        <v>1</v>
      </c>
      <c r="B1983" s="635" t="s">
        <v>291</v>
      </c>
      <c r="C1983" s="636" t="s">
        <v>337</v>
      </c>
      <c r="D1983" s="637" t="s">
        <v>329</v>
      </c>
      <c r="E1983" s="638">
        <v>30.95</v>
      </c>
      <c r="F1983" s="639" t="s">
        <v>292</v>
      </c>
      <c r="G1983" s="484">
        <v>0</v>
      </c>
      <c r="H1983" s="691" t="str">
        <f>IF(G1983=0,"",IF(F1983="Buy",IF(G1983=1,"plant","plants"),IF(F1983&gt;0.01,"warranty","Error")))</f>
        <v/>
      </c>
      <c r="I1983" s="640">
        <f>IF(H1983="free",0,IF(H1983="credit",((E1983*(F1983))*G1983*-1),IF(F1983="Buy",(E1983*G1983),((E1983*(1-F1983))*G1983))))</f>
        <v>0</v>
      </c>
      <c r="J1983" s="640">
        <f>IF(H1983="warranty",0,(I1983*(_xlfn.SINGLE(SalesTaxPercentage))))</f>
        <v>0</v>
      </c>
      <c r="K1983" s="716">
        <f t="shared" ref="K1983" si="1407">I1983+J1983</f>
        <v>0</v>
      </c>
      <c r="L1983" s="716"/>
      <c r="M1983" s="689" t="str">
        <f ca="1">IF(AND(G1983&gt;0,E1983=0),"WARNING - no PRICE inserted",IF(H1983="free","FREE ~ no charge this plant",IF(H1983="credit",CONCATENATE("-$",ROUND(K1983*(1-_xlfn.SINGLE(T2GDiscount))*-1,2)," CREDIT after discount"),IF(_xlfn.SINGLE(T2GDiscount)=0,"",IF(G1983=0,"",IF(F1983="Buy",CONCATENATE("$",ROUND(K1983*(1-_xlfn.SINGLE(T2GDiscount)),2)," with ",(_xlfn.SINGLE(T2GDiscount)*100),"% discount"),CONCATENATE("$",ROUND(K1983*(1-_xlfn.SINGLE(T2GDiscount)),2)," with ",((_xlfn.SINGLE(T2GDiscount)*100+F1983*100)-(_xlfn.SINGLE(T2GDiscount)*100*F1983)),IF(F1983&gt;0,"% discounts",IF(_xlfn.SINGLE(NoWarrantyDiscount)&gt;0,"% discounts","% discount")))))))))</f>
        <v/>
      </c>
      <c r="N1983" s="690"/>
      <c r="O1983" s="486"/>
      <c r="P1983" s="486"/>
      <c r="Q1983" s="486"/>
      <c r="R1983" s="486"/>
      <c r="S1983" s="486"/>
      <c r="T1983" s="102">
        <f t="shared" si="1373"/>
        <v>0</v>
      </c>
      <c r="U1983" s="78">
        <f>IF(NOT(ISNUMBER(G1983)), "", VLOOKUP(A1983,'Discount Lookup'!D:E,2,FALSE)*G1983)</f>
        <v>0</v>
      </c>
      <c r="V1983" s="78">
        <f>IF(NOT(ISNUMBER(G1983)), "", VLOOKUP(A1983,'Discount Lookup'!G:H,2,FALSE)*G1983)</f>
        <v>0</v>
      </c>
      <c r="W1983" s="102">
        <f t="shared" si="1374"/>
        <v>0</v>
      </c>
      <c r="X1983" s="102">
        <f t="shared" si="1375"/>
        <v>0</v>
      </c>
      <c r="Y1983" s="120" t="b">
        <f t="shared" si="1376"/>
        <v>0</v>
      </c>
      <c r="Z1983" s="117">
        <f t="shared" si="1377"/>
        <v>0</v>
      </c>
      <c r="AA1983" s="118"/>
      <c r="AB1983" s="118" t="str">
        <f t="shared" si="1378"/>
        <v/>
      </c>
      <c r="AC1983" s="712" t="str">
        <f>IF(AE1983="T2G","no charge",IF(AND(OR(PlanterYesMe="No",PlanterYesMe="N",PlanterYesMe="me"),H1983=""),"",IF(H1983="credit","NO install",IF(AND(K1983="",AE1983="me"),"EACH row",IF(AND(K1983="images",AE1983="me"),"EACH row",IF(D1983="","",IF(H1983="credit","",IF(AE1983="free","re-planting",IF(AE1983="me","   not ELP, by",IF(AND(OR(PlanterYesMe="Yes",PlanterYesMe="Y"),G1983&gt;0),(VLOOKUP(A1983,'Discount Lookup'!J:K,2)*G1983*(1-PlanterDiscount)*(1+PlanterDifficultyPercentage)),IF(AE1983="ELP",(VLOOKUP(A1983,'Discount Lookup'!J:K,2)*G1983*(1-PlanterDiscount)*(1+PlanterDifficultyPercentage)),IF(AE1983="free","re-planting",IF(G1983=0,"",IF(PlanterYesMe="",IF(AE1983="me","   not ELP, by",IF(AE1983="",IF(G1983&gt;0,(VLOOKUP(A1983,'Discount Lookup'!J:K,2)*G1983*(1-PlanterDiscount)*(1+PlanterDifficultyPercentage)),""),"")),"   not ELP, by"))))))))))))))</f>
        <v/>
      </c>
      <c r="AD1983" s="712"/>
      <c r="AE1983" s="513" t="str">
        <f t="shared" si="1379"/>
        <v/>
      </c>
      <c r="AF1983" s="713" t="str">
        <f t="shared" si="1380"/>
        <v/>
      </c>
      <c r="AG1983" s="713"/>
      <c r="AH1983" s="713"/>
      <c r="AI1983" s="112">
        <f>IF(H1983="credit",0,IF(AE1983="free",0,IF(AE1983="me",0,IF(G1983&gt;0,(VLOOKUP(A1983,'Discount Lookup'!J:K,2)*G1983),0))))</f>
        <v>0</v>
      </c>
      <c r="AJ1983" s="107" t="str">
        <f t="shared" ca="1" si="1381"/>
        <v/>
      </c>
      <c r="AK1983" s="714" t="str">
        <f t="shared" si="1382"/>
        <v/>
      </c>
      <c r="AL1983" s="714"/>
      <c r="AM1983" s="114" t="str">
        <f t="shared" si="1383"/>
        <v/>
      </c>
      <c r="AN1983" s="115"/>
      <c r="AO1983" s="116"/>
      <c r="AP1983" s="116"/>
      <c r="AQ1983" s="116"/>
      <c r="AR1983" s="116"/>
      <c r="AS1983" s="116"/>
      <c r="AT1983" s="116"/>
      <c r="AU1983" s="116"/>
      <c r="AV1983" s="78"/>
      <c r="AW1983" s="102"/>
      <c r="AX1983" s="78"/>
      <c r="AY1983" s="78"/>
      <c r="AZ1983" s="78"/>
      <c r="BA1983" s="78"/>
      <c r="BB1983" s="78"/>
      <c r="BC1983" s="78"/>
      <c r="BD1983" s="78"/>
      <c r="BE1983" s="465"/>
      <c r="BF1983" s="165" t="str">
        <f t="shared" si="1384"/>
        <v>https://www.google.com/search?tbm=isch&amp;q=1%20G2</v>
      </c>
      <c r="BG1983" s="165" t="str">
        <f t="shared" si="1385"/>
        <v>H</v>
      </c>
      <c r="BH1983" s="65"/>
      <c r="BI1983" s="65"/>
      <c r="BJ1983" s="65"/>
      <c r="BK1983" s="65"/>
      <c r="BL1983" s="99"/>
      <c r="BM1983" s="99"/>
      <c r="BN1983" s="99"/>
    </row>
    <row r="1984" spans="1:66" s="51" customFormat="1" ht="17.25" thickBot="1" x14ac:dyDescent="0.3">
      <c r="A1984" s="704" t="s">
        <v>5444</v>
      </c>
      <c r="B1984" s="642"/>
      <c r="C1984" s="710"/>
      <c r="D1984" s="643"/>
      <c r="E1984" s="643"/>
      <c r="F1984" s="644"/>
      <c r="G1984" s="645"/>
      <c r="H1984" s="646"/>
      <c r="I1984" s="647"/>
      <c r="J1984" s="648"/>
      <c r="K1984" s="649"/>
      <c r="L1984" s="650"/>
      <c r="M1984" s="650"/>
      <c r="N1984" s="644"/>
      <c r="O1984" s="644"/>
      <c r="P1984" s="644"/>
      <c r="Q1984" s="644"/>
      <c r="R1984" s="644"/>
      <c r="S1984" s="651"/>
      <c r="T1984" s="102">
        <f t="shared" si="1373"/>
        <v>0</v>
      </c>
      <c r="U1984" s="78" t="str">
        <f>IF(NOT(ISNUMBER(G1984)), "", VLOOKUP(A1984,'Discount Lookup'!D:E,2,FALSE)*G1984)</f>
        <v/>
      </c>
      <c r="V1984" s="78" t="str">
        <f>IF(NOT(ISNUMBER(G1984)), "", VLOOKUP(A1984,'Discount Lookup'!G:H,2,FALSE)*G1984)</f>
        <v/>
      </c>
      <c r="W1984" s="102">
        <f t="shared" si="1374"/>
        <v>0</v>
      </c>
      <c r="X1984" s="102">
        <f t="shared" si="1375"/>
        <v>0</v>
      </c>
      <c r="Y1984" s="120" t="b">
        <f t="shared" si="1376"/>
        <v>0</v>
      </c>
      <c r="Z1984" s="117">
        <f t="shared" si="1377"/>
        <v>0</v>
      </c>
      <c r="AA1984" s="118"/>
      <c r="AB1984" s="118" t="str">
        <f t="shared" si="1378"/>
        <v/>
      </c>
      <c r="AC1984" s="712" t="str">
        <f>IF(AE1984="T2G","no charge",IF(AND(OR(PlanterYesMe="No",PlanterYesMe="N",PlanterYesMe="me"),H1984=""),"",IF(H1984="credit","NO install",IF(AND(K1984="",AE1984="me"),"EACH row",IF(AND(K1984="images",AE1984="me"),"EACH row",IF(D1984="","",IF(H1984="credit","",IF(AE1984="free","re-planting",IF(AE1984="me","   not ELP, by",IF(AND(OR(PlanterYesMe="Yes",PlanterYesMe="Y"),G1984&gt;0),(VLOOKUP(A1984,'Discount Lookup'!J:K,2)*G1984*(1-PlanterDiscount)*(1+PlanterDifficultyPercentage)),IF(AE1984="ELP",(VLOOKUP(A1984,'Discount Lookup'!J:K,2)*G1984*(1-PlanterDiscount)*(1+PlanterDifficultyPercentage)),IF(AE1984="free","re-planting",IF(G1984=0,"",IF(PlanterYesMe="",IF(AE1984="me","   not ELP, by",IF(AE1984="",IF(G1984&gt;0,(VLOOKUP(A1984,'Discount Lookup'!J:K,2)*G1984*(1-PlanterDiscount)*(1+PlanterDifficultyPercentage)),""),"")),"   not ELP, by"))))))))))))))</f>
        <v/>
      </c>
      <c r="AD1984" s="712"/>
      <c r="AE1984" s="513" t="str">
        <f t="shared" si="1379"/>
        <v/>
      </c>
      <c r="AF1984" s="713" t="str">
        <f t="shared" si="1380"/>
        <v/>
      </c>
      <c r="AG1984" s="713"/>
      <c r="AH1984" s="713"/>
      <c r="AI1984" s="112">
        <f>IF(H1984="credit",0,IF(AE1984="free",0,IF(AE1984="me",0,IF(G1984&gt;0,(VLOOKUP(A1984,'Discount Lookup'!J:K,2)*G1984),0))))</f>
        <v>0</v>
      </c>
      <c r="AJ1984" s="107" t="str">
        <f t="shared" ca="1" si="1381"/>
        <v/>
      </c>
      <c r="AK1984" s="714" t="str">
        <f t="shared" si="1382"/>
        <v/>
      </c>
      <c r="AL1984" s="714"/>
      <c r="AM1984" s="114" t="str">
        <f t="shared" si="1383"/>
        <v/>
      </c>
      <c r="AN1984" s="115"/>
      <c r="AO1984" s="116"/>
      <c r="AP1984" s="116"/>
      <c r="AQ1984" s="116"/>
      <c r="AR1984" s="116"/>
      <c r="AS1984" s="116"/>
      <c r="AT1984" s="116"/>
      <c r="AU1984" s="116"/>
      <c r="AV1984" s="78"/>
      <c r="AW1984" s="102"/>
      <c r="AX1984" s="78"/>
      <c r="AY1984" s="78"/>
      <c r="AZ1984" s="78"/>
      <c r="BA1984" s="78"/>
      <c r="BB1984" s="78"/>
      <c r="BC1984" s="78"/>
      <c r="BD1984" s="78"/>
      <c r="BE1984" s="465"/>
      <c r="BF1984" s="165" t="str">
        <f t="shared" si="1384"/>
        <v>https://www.google.com/search?tbm=isch&amp;q=moist%20sites%F0%9F%92%A7GOOD%2C%20Tilt-A-Swirl%20has%20Dark%20Green%20foliage.%20Most%20%22Bigleaf%22%20Hydrangea%20have%20snowball%20flowers%20on%20old%20wood.%20Acidic%20soil%20for%20Blue%2C%20Alkaline%20for%20Pink%20</v>
      </c>
      <c r="BG1984" s="165" t="str">
        <f t="shared" si="1385"/>
        <v>m</v>
      </c>
      <c r="BH1984" s="65"/>
      <c r="BI1984" s="65"/>
      <c r="BJ1984" s="65"/>
      <c r="BK1984" s="65"/>
      <c r="BL1984" s="99"/>
      <c r="BM1984" s="99"/>
      <c r="BN1984" s="99"/>
    </row>
    <row r="1985" spans="1:66" s="51" customFormat="1" ht="18" x14ac:dyDescent="0.25">
      <c r="A1985" s="623" t="s">
        <v>2812</v>
      </c>
      <c r="B1985" s="624"/>
      <c r="C1985" s="709"/>
      <c r="D1985" s="625" t="s">
        <v>2813</v>
      </c>
      <c r="E1985" s="626"/>
      <c r="F1985" s="626"/>
      <c r="G1985" s="626"/>
      <c r="H1985" s="622" t="s">
        <v>1082</v>
      </c>
      <c r="I1985" s="627" t="s">
        <v>2814</v>
      </c>
      <c r="J1985" s="628"/>
      <c r="K1985" s="628"/>
      <c r="L1985" s="629"/>
      <c r="M1985" s="700" t="s">
        <v>5249</v>
      </c>
      <c r="N1985" s="693" t="str">
        <f>IF(AND(ISTEXT($A1985), ISERROR($A1985+0)), HYPERLINK($BF1985, "Images"), "")</f>
        <v>Images</v>
      </c>
      <c r="O1985" s="695" t="s">
        <v>5247</v>
      </c>
      <c r="P1985" s="630"/>
      <c r="Q1985" s="631"/>
      <c r="R1985" s="632"/>
      <c r="S1985" s="633"/>
      <c r="T1985" s="102">
        <f t="shared" si="1373"/>
        <v>0</v>
      </c>
      <c r="U1985" s="78" t="str">
        <f>IF(NOT(ISNUMBER(G1985)), "", VLOOKUP(A1985,'Discount Lookup'!D:E,2,FALSE)*G1985)</f>
        <v/>
      </c>
      <c r="V1985" s="78" t="str">
        <f>IF(NOT(ISNUMBER(G1985)), "", VLOOKUP(A1985,'Discount Lookup'!G:H,2,FALSE)*G1985)</f>
        <v/>
      </c>
      <c r="W1985" s="102">
        <f t="shared" si="1374"/>
        <v>0</v>
      </c>
      <c r="X1985" s="102" t="str">
        <f t="shared" si="1375"/>
        <v>White bloom ages to Pink</v>
      </c>
      <c r="Y1985" s="120" t="b">
        <f t="shared" si="1376"/>
        <v>0</v>
      </c>
      <c r="Z1985" s="117">
        <f t="shared" si="1377"/>
        <v>0</v>
      </c>
      <c r="AA1985" s="118"/>
      <c r="AB1985" s="118" t="str">
        <f t="shared" si="1378"/>
        <v/>
      </c>
      <c r="AC1985" s="712" t="str">
        <f>IF(AE1985="T2G","no charge",IF(AND(OR(PlanterYesMe="No",PlanterYesMe="N",PlanterYesMe="me"),H1985=""),"",IF(H1985="credit","NO install",IF(AND(K1985="",AE1985="me"),"EACH row",IF(AND(K1985="images",AE1985="me"),"EACH row",IF(D1985="","",IF(H1985="credit","",IF(AE1985="free","re-planting",IF(AE1985="me","   not ELP, by",IF(AND(OR(PlanterYesMe="Yes",PlanterYesMe="Y"),G1985&gt;0),(VLOOKUP(A1985,'Discount Lookup'!J:K,2)*G1985*(1-PlanterDiscount)*(1+PlanterDifficultyPercentage)),IF(AE1985="ELP",(VLOOKUP(A1985,'Discount Lookup'!J:K,2)*G1985*(1-PlanterDiscount)*(1+PlanterDifficultyPercentage)),IF(AE1985="free","re-planting",IF(G1985=0,"",IF(PlanterYesMe="",IF(AE1985="me","   not ELP, by",IF(AE1985="",IF(G1985&gt;0,(VLOOKUP(A1985,'Discount Lookup'!J:K,2)*G1985*(1-PlanterDiscount)*(1+PlanterDifficultyPercentage)),""),"")),"   not ELP, by"))))))))))))))</f>
        <v/>
      </c>
      <c r="AD1985" s="712"/>
      <c r="AE1985" s="513" t="str">
        <f t="shared" si="1379"/>
        <v/>
      </c>
      <c r="AF1985" s="713" t="str">
        <f t="shared" si="1380"/>
        <v/>
      </c>
      <c r="AG1985" s="713"/>
      <c r="AH1985" s="713"/>
      <c r="AI1985" s="112">
        <f>IF(H1985="credit",0,IF(AE1985="free",0,IF(AE1985="me",0,IF(G1985&gt;0,(VLOOKUP(A1985,'Discount Lookup'!J:K,2)*G1985),0))))</f>
        <v>0</v>
      </c>
      <c r="AJ1985" s="107" t="str">
        <f t="shared" ca="1" si="1381"/>
        <v/>
      </c>
      <c r="AK1985" s="714" t="str">
        <f t="shared" si="1382"/>
        <v/>
      </c>
      <c r="AL1985" s="714"/>
      <c r="AM1985" s="114" t="str">
        <f t="shared" si="1383"/>
        <v/>
      </c>
      <c r="AN1985" s="115"/>
      <c r="AO1985" s="116"/>
      <c r="AP1985" s="116"/>
      <c r="AQ1985" s="116"/>
      <c r="AR1985" s="116"/>
      <c r="AS1985" s="116"/>
      <c r="AT1985" s="116"/>
      <c r="AU1985" s="116"/>
      <c r="AV1985" s="78"/>
      <c r="AW1985" s="102"/>
      <c r="AX1985" s="78"/>
      <c r="AY1985" s="78"/>
      <c r="AZ1985" s="78"/>
      <c r="BA1985" s="78"/>
      <c r="BB1985" s="78"/>
      <c r="BC1985" s="78"/>
      <c r="BD1985" s="78"/>
      <c r="BE1985" s="465"/>
      <c r="BF1985" s="165" t="str">
        <f t="shared" si="1384"/>
        <v>https://www.google.com/search?tbm=isch&amp;q=Hyd.%20paniculata%20%27Bailpanone%27%20PP%2332549%20Little%20Hottie%20Hydrangea</v>
      </c>
      <c r="BG1985" s="165" t="str">
        <f t="shared" si="1385"/>
        <v>H</v>
      </c>
      <c r="BH1985" s="65"/>
      <c r="BI1985" s="65"/>
      <c r="BJ1985" s="65"/>
      <c r="BK1985" s="65"/>
      <c r="BL1985" s="99"/>
      <c r="BM1985" s="99"/>
      <c r="BN1985" s="99"/>
    </row>
    <row r="1986" spans="1:66" s="51" customFormat="1" ht="27" x14ac:dyDescent="0.25">
      <c r="A1986" s="634">
        <v>3</v>
      </c>
      <c r="B1986" s="635" t="s">
        <v>291</v>
      </c>
      <c r="C1986" s="636" t="s">
        <v>2815</v>
      </c>
      <c r="D1986" s="637" t="s">
        <v>299</v>
      </c>
      <c r="E1986" s="638">
        <v>50.95</v>
      </c>
      <c r="F1986" s="639" t="s">
        <v>292</v>
      </c>
      <c r="G1986" s="484">
        <v>0</v>
      </c>
      <c r="H1986" s="691" t="str">
        <f>IF(G1986=0,"",IF(F1986="Buy",IF(G1986=1,"plant","plants"),IF(F1986&gt;0.01,"warranty","Error")))</f>
        <v/>
      </c>
      <c r="I1986" s="640">
        <f>IF(H1986="free",0,IF(H1986="credit",((E1986*(F1986))*G1986*-1),IF(F1986="Buy",(E1986*G1986),((E1986*(1-F1986))*G1986))))</f>
        <v>0</v>
      </c>
      <c r="J1986" s="640">
        <f>IF(H1986="warranty",0,(I1986*(_xlfn.SINGLE(SalesTaxPercentage))))</f>
        <v>0</v>
      </c>
      <c r="K1986" s="716">
        <f t="shared" ref="K1986" si="1408">I1986+J1986</f>
        <v>0</v>
      </c>
      <c r="L1986" s="716"/>
      <c r="M1986" s="689" t="str">
        <f ca="1">IF(AND(G1986&gt;0,E1986=0),"WARNING - no PRICE inserted",IF(H1986="free","FREE ~ no charge this plant",IF(H1986="credit",CONCATENATE("-$",ROUND(K1986*(1-_xlfn.SINGLE(T2GDiscount))*-1,2)," CREDIT after discount"),IF(_xlfn.SINGLE(T2GDiscount)=0,"",IF(G1986=0,"",IF(F1986="Buy",CONCATENATE("$",ROUND(K1986*(1-_xlfn.SINGLE(T2GDiscount)),2)," with ",(_xlfn.SINGLE(T2GDiscount)*100),"% discount"),CONCATENATE("$",ROUND(K1986*(1-_xlfn.SINGLE(T2GDiscount)),2)," with ",((_xlfn.SINGLE(T2GDiscount)*100+F1986*100)-(_xlfn.SINGLE(T2GDiscount)*100*F1986)),IF(F1986&gt;0,"% discounts",IF(_xlfn.SINGLE(NoWarrantyDiscount)&gt;0,"% discounts","% discount")))))))))</f>
        <v/>
      </c>
      <c r="N1986" s="690"/>
      <c r="O1986" s="486"/>
      <c r="P1986" s="486"/>
      <c r="Q1986" s="486"/>
      <c r="R1986" s="486"/>
      <c r="S1986" s="486"/>
      <c r="T1986" s="102">
        <f t="shared" si="1373"/>
        <v>0</v>
      </c>
      <c r="U1986" s="78">
        <f>IF(NOT(ISNUMBER(G1986)), "", VLOOKUP(A1986,'Discount Lookup'!D:E,2,FALSE)*G1986)</f>
        <v>0</v>
      </c>
      <c r="V1986" s="78">
        <f>IF(NOT(ISNUMBER(G1986)), "", VLOOKUP(A1986,'Discount Lookup'!G:H,2,FALSE)*G1986)</f>
        <v>0</v>
      </c>
      <c r="W1986" s="102">
        <f t="shared" si="1374"/>
        <v>0</v>
      </c>
      <c r="X1986" s="102">
        <f t="shared" si="1375"/>
        <v>0</v>
      </c>
      <c r="Y1986" s="120" t="b">
        <f t="shared" si="1376"/>
        <v>0</v>
      </c>
      <c r="Z1986" s="117">
        <f t="shared" si="1377"/>
        <v>0</v>
      </c>
      <c r="AA1986" s="118"/>
      <c r="AB1986" s="118" t="str">
        <f t="shared" si="1378"/>
        <v/>
      </c>
      <c r="AC1986" s="712" t="str">
        <f>IF(AE1986="T2G","no charge",IF(AND(OR(PlanterYesMe="No",PlanterYesMe="N",PlanterYesMe="me"),H1986=""),"",IF(H1986="credit","NO install",IF(AND(K1986="",AE1986="me"),"EACH row",IF(AND(K1986="images",AE1986="me"),"EACH row",IF(D1986="","",IF(H1986="credit","",IF(AE1986="free","re-planting",IF(AE1986="me","   not ELP, by",IF(AND(OR(PlanterYesMe="Yes",PlanterYesMe="Y"),G1986&gt;0),(VLOOKUP(A1986,'Discount Lookup'!J:K,2)*G1986*(1-PlanterDiscount)*(1+PlanterDifficultyPercentage)),IF(AE1986="ELP",(VLOOKUP(A1986,'Discount Lookup'!J:K,2)*G1986*(1-PlanterDiscount)*(1+PlanterDifficultyPercentage)),IF(AE1986="free","re-planting",IF(G1986=0,"",IF(PlanterYesMe="",IF(AE1986="me","   not ELP, by",IF(AE1986="",IF(G1986&gt;0,(VLOOKUP(A1986,'Discount Lookup'!J:K,2)*G1986*(1-PlanterDiscount)*(1+PlanterDifficultyPercentage)),""),"")),"   not ELP, by"))))))))))))))</f>
        <v/>
      </c>
      <c r="AD1986" s="712"/>
      <c r="AE1986" s="513" t="str">
        <f t="shared" si="1379"/>
        <v/>
      </c>
      <c r="AF1986" s="713" t="str">
        <f t="shared" si="1380"/>
        <v/>
      </c>
      <c r="AG1986" s="713"/>
      <c r="AH1986" s="713"/>
      <c r="AI1986" s="112">
        <f>IF(H1986="credit",0,IF(AE1986="free",0,IF(AE1986="me",0,IF(G1986&gt;0,(VLOOKUP(A1986,'Discount Lookup'!J:K,2)*G1986),0))))</f>
        <v>0</v>
      </c>
      <c r="AJ1986" s="107" t="str">
        <f t="shared" ca="1" si="1381"/>
        <v/>
      </c>
      <c r="AK1986" s="714" t="str">
        <f t="shared" si="1382"/>
        <v/>
      </c>
      <c r="AL1986" s="714"/>
      <c r="AM1986" s="114" t="str">
        <f t="shared" si="1383"/>
        <v/>
      </c>
      <c r="AN1986" s="115"/>
      <c r="AO1986" s="116"/>
      <c r="AP1986" s="116"/>
      <c r="AQ1986" s="116"/>
      <c r="AR1986" s="116"/>
      <c r="AS1986" s="116"/>
      <c r="AT1986" s="116"/>
      <c r="AU1986" s="116"/>
      <c r="AV1986" s="78"/>
      <c r="AW1986" s="102"/>
      <c r="AX1986" s="78"/>
      <c r="AY1986" s="78"/>
      <c r="AZ1986" s="78"/>
      <c r="BA1986" s="78"/>
      <c r="BB1986" s="78"/>
      <c r="BC1986" s="78"/>
      <c r="BD1986" s="78"/>
      <c r="BE1986" s="465"/>
      <c r="BF1986" s="165" t="str">
        <f t="shared" si="1384"/>
        <v>https://www.google.com/search?tbm=isch&amp;q=3%20G4</v>
      </c>
      <c r="BG1986" s="165" t="str">
        <f t="shared" si="1385"/>
        <v>H</v>
      </c>
      <c r="BH1986" s="65"/>
      <c r="BI1986" s="65"/>
      <c r="BJ1986" s="65"/>
      <c r="BK1986" s="65"/>
      <c r="BL1986" s="99"/>
      <c r="BM1986" s="99"/>
      <c r="BN1986" s="99"/>
    </row>
    <row r="1987" spans="1:66" s="51" customFormat="1" ht="15.75" x14ac:dyDescent="0.25">
      <c r="A1987" s="634">
        <v>7</v>
      </c>
      <c r="B1987" s="635" t="s">
        <v>291</v>
      </c>
      <c r="C1987" s="636" t="s">
        <v>2816</v>
      </c>
      <c r="D1987" s="637" t="s">
        <v>299</v>
      </c>
      <c r="E1987" s="638">
        <v>91.95</v>
      </c>
      <c r="F1987" s="639" t="s">
        <v>292</v>
      </c>
      <c r="G1987" s="484">
        <v>0</v>
      </c>
      <c r="H1987" s="691" t="str">
        <f>IF(G1987=0,"",IF(F1987="Buy",IF(G1987=1,"plant","plants"),IF(F1987&gt;0.01,"warranty","Error")))</f>
        <v/>
      </c>
      <c r="I1987" s="640">
        <f>IF(H1987="free",0,IF(H1987="credit",((E1987*(F1987))*G1987*-1),IF(F1987="Buy",(E1987*G1987),((E1987*(1-F1987))*G1987))))</f>
        <v>0</v>
      </c>
      <c r="J1987" s="640">
        <f>IF(H1987="warranty",0,(I1987*(_xlfn.SINGLE(SalesTaxPercentage))))</f>
        <v>0</v>
      </c>
      <c r="K1987" s="716">
        <f t="shared" ref="K1987" si="1409">I1987+J1987</f>
        <v>0</v>
      </c>
      <c r="L1987" s="716"/>
      <c r="M1987" s="689" t="str">
        <f ca="1">IF(AND(G1987&gt;0,E1987=0),"WARNING - no PRICE inserted",IF(H1987="free","FREE ~ no charge this plant",IF(H1987="credit",CONCATENATE("-$",ROUND(K1987*(1-_xlfn.SINGLE(T2GDiscount))*-1,2)," CREDIT after discount"),IF(_xlfn.SINGLE(T2GDiscount)=0,"",IF(G1987=0,"",IF(F1987="Buy",CONCATENATE("$",ROUND(K1987*(1-_xlfn.SINGLE(T2GDiscount)),2)," with ",(_xlfn.SINGLE(T2GDiscount)*100),"% discount"),CONCATENATE("$",ROUND(K1987*(1-_xlfn.SINGLE(T2GDiscount)),2)," with ",((_xlfn.SINGLE(T2GDiscount)*100+F1987*100)-(_xlfn.SINGLE(T2GDiscount)*100*F1987)),IF(F1987&gt;0,"% discounts",IF(_xlfn.SINGLE(NoWarrantyDiscount)&gt;0,"% discounts","% discount")))))))))</f>
        <v/>
      </c>
      <c r="N1987" s="690"/>
      <c r="O1987" s="486"/>
      <c r="P1987" s="486"/>
      <c r="Q1987" s="486"/>
      <c r="R1987" s="486"/>
      <c r="S1987" s="486"/>
      <c r="T1987" s="102">
        <f t="shared" si="1373"/>
        <v>0</v>
      </c>
      <c r="U1987" s="78">
        <f>IF(NOT(ISNUMBER(G1987)), "", VLOOKUP(A1987,'Discount Lookup'!D:E,2,FALSE)*G1987)</f>
        <v>0</v>
      </c>
      <c r="V1987" s="78">
        <f>IF(NOT(ISNUMBER(G1987)), "", VLOOKUP(A1987,'Discount Lookup'!G:H,2,FALSE)*G1987)</f>
        <v>0</v>
      </c>
      <c r="W1987" s="102">
        <f t="shared" si="1374"/>
        <v>0</v>
      </c>
      <c r="X1987" s="102">
        <f t="shared" si="1375"/>
        <v>0</v>
      </c>
      <c r="Y1987" s="120" t="b">
        <f t="shared" si="1376"/>
        <v>0</v>
      </c>
      <c r="Z1987" s="117">
        <f t="shared" si="1377"/>
        <v>0</v>
      </c>
      <c r="AA1987" s="118"/>
      <c r="AB1987" s="118" t="str">
        <f t="shared" si="1378"/>
        <v/>
      </c>
      <c r="AC1987" s="712" t="str">
        <f>IF(AE1987="T2G","no charge",IF(AND(OR(PlanterYesMe="No",PlanterYesMe="N",PlanterYesMe="me"),H1987=""),"",IF(H1987="credit","NO install",IF(AND(K1987="",AE1987="me"),"EACH row",IF(AND(K1987="images",AE1987="me"),"EACH row",IF(D1987="","",IF(H1987="credit","",IF(AE1987="free","re-planting",IF(AE1987="me","   not ELP, by",IF(AND(OR(PlanterYesMe="Yes",PlanterYesMe="Y"),G1987&gt;0),(VLOOKUP(A1987,'Discount Lookup'!J:K,2)*G1987*(1-PlanterDiscount)*(1+PlanterDifficultyPercentage)),IF(AE1987="ELP",(VLOOKUP(A1987,'Discount Lookup'!J:K,2)*G1987*(1-PlanterDiscount)*(1+PlanterDifficultyPercentage)),IF(AE1987="free","re-planting",IF(G1987=0,"",IF(PlanterYesMe="",IF(AE1987="me","   not ELP, by",IF(AE1987="",IF(G1987&gt;0,(VLOOKUP(A1987,'Discount Lookup'!J:K,2)*G1987*(1-PlanterDiscount)*(1+PlanterDifficultyPercentage)),""),"")),"   not ELP, by"))))))))))))))</f>
        <v/>
      </c>
      <c r="AD1987" s="712"/>
      <c r="AE1987" s="513" t="str">
        <f t="shared" si="1379"/>
        <v/>
      </c>
      <c r="AF1987" s="713" t="str">
        <f t="shared" si="1380"/>
        <v/>
      </c>
      <c r="AG1987" s="713"/>
      <c r="AH1987" s="713"/>
      <c r="AI1987" s="112">
        <f>IF(H1987="credit",0,IF(AE1987="free",0,IF(AE1987="me",0,IF(G1987&gt;0,(VLOOKUP(A1987,'Discount Lookup'!J:K,2)*G1987),0))))</f>
        <v>0</v>
      </c>
      <c r="AJ1987" s="107" t="str">
        <f t="shared" ca="1" si="1381"/>
        <v/>
      </c>
      <c r="AK1987" s="714" t="str">
        <f t="shared" si="1382"/>
        <v/>
      </c>
      <c r="AL1987" s="714"/>
      <c r="AM1987" s="114" t="str">
        <f t="shared" si="1383"/>
        <v/>
      </c>
      <c r="AN1987" s="115"/>
      <c r="AO1987" s="116"/>
      <c r="AP1987" s="116"/>
      <c r="AQ1987" s="116"/>
      <c r="AR1987" s="116"/>
      <c r="AS1987" s="116"/>
      <c r="AT1987" s="116"/>
      <c r="AU1987" s="116"/>
      <c r="AV1987" s="78"/>
      <c r="AW1987" s="102"/>
      <c r="AX1987" s="78"/>
      <c r="AY1987" s="78"/>
      <c r="AZ1987" s="78"/>
      <c r="BA1987" s="78"/>
      <c r="BB1987" s="78"/>
      <c r="BC1987" s="78"/>
      <c r="BD1987" s="78"/>
      <c r="BE1987" s="465"/>
      <c r="BF1987" s="165" t="str">
        <f t="shared" si="1384"/>
        <v>https://www.google.com/search?tbm=isch&amp;q=7%20G4</v>
      </c>
      <c r="BG1987" s="165" t="str">
        <f t="shared" si="1385"/>
        <v>H</v>
      </c>
      <c r="BH1987" s="65"/>
      <c r="BI1987" s="65"/>
      <c r="BJ1987" s="65"/>
      <c r="BK1987" s="65"/>
      <c r="BL1987" s="99"/>
      <c r="BM1987" s="99"/>
      <c r="BN1987" s="99"/>
    </row>
    <row r="1988" spans="1:66" s="51" customFormat="1" ht="17.25" thickBot="1" x14ac:dyDescent="0.3">
      <c r="A1988" s="641" t="s">
        <v>2817</v>
      </c>
      <c r="B1988" s="642"/>
      <c r="C1988" s="710"/>
      <c r="D1988" s="643"/>
      <c r="E1988" s="643"/>
      <c r="F1988" s="644"/>
      <c r="G1988" s="645"/>
      <c r="H1988" s="646"/>
      <c r="I1988" s="647"/>
      <c r="J1988" s="648"/>
      <c r="K1988" s="649"/>
      <c r="L1988" s="650"/>
      <c r="M1988" s="650"/>
      <c r="N1988" s="644"/>
      <c r="O1988" s="644"/>
      <c r="P1988" s="644"/>
      <c r="Q1988" s="644"/>
      <c r="R1988" s="644"/>
      <c r="S1988" s="651"/>
      <c r="T1988" s="102">
        <f t="shared" si="1373"/>
        <v>0</v>
      </c>
      <c r="U1988" s="78" t="str">
        <f>IF(NOT(ISNUMBER(G1988)), "", VLOOKUP(A1988,'Discount Lookup'!D:E,2,FALSE)*G1988)</f>
        <v/>
      </c>
      <c r="V1988" s="78" t="str">
        <f>IF(NOT(ISNUMBER(G1988)), "", VLOOKUP(A1988,'Discount Lookup'!G:H,2,FALSE)*G1988)</f>
        <v/>
      </c>
      <c r="W1988" s="102">
        <f t="shared" si="1374"/>
        <v>0</v>
      </c>
      <c r="X1988" s="102">
        <f t="shared" si="1375"/>
        <v>0</v>
      </c>
      <c r="Y1988" s="120" t="b">
        <f t="shared" si="1376"/>
        <v>0</v>
      </c>
      <c r="Z1988" s="117">
        <f t="shared" si="1377"/>
        <v>0</v>
      </c>
      <c r="AA1988" s="118"/>
      <c r="AB1988" s="118" t="str">
        <f t="shared" si="1378"/>
        <v/>
      </c>
      <c r="AC1988" s="712" t="str">
        <f>IF(AE1988="T2G","no charge",IF(AND(OR(PlanterYesMe="No",PlanterYesMe="N",PlanterYesMe="me"),H1988=""),"",IF(H1988="credit","NO install",IF(AND(K1988="",AE1988="me"),"EACH row",IF(AND(K1988="images",AE1988="me"),"EACH row",IF(D1988="","",IF(H1988="credit","",IF(AE1988="free","re-planting",IF(AE1988="me","   not ELP, by",IF(AND(OR(PlanterYesMe="Yes",PlanterYesMe="Y"),G1988&gt;0),(VLOOKUP(A1988,'Discount Lookup'!J:K,2)*G1988*(1-PlanterDiscount)*(1+PlanterDifficultyPercentage)),IF(AE1988="ELP",(VLOOKUP(A1988,'Discount Lookup'!J:K,2)*G1988*(1-PlanterDiscount)*(1+PlanterDifficultyPercentage)),IF(AE1988="free","re-planting",IF(G1988=0,"",IF(PlanterYesMe="",IF(AE1988="me","   not ELP, by",IF(AE1988="",IF(G1988&gt;0,(VLOOKUP(A1988,'Discount Lookup'!J:K,2)*G1988*(1-PlanterDiscount)*(1+PlanterDifficultyPercentage)),""),"")),"   not ELP, by"))))))))))))))</f>
        <v/>
      </c>
      <c r="AD1988" s="712"/>
      <c r="AE1988" s="513" t="str">
        <f t="shared" si="1379"/>
        <v/>
      </c>
      <c r="AF1988" s="713" t="str">
        <f t="shared" si="1380"/>
        <v/>
      </c>
      <c r="AG1988" s="713"/>
      <c r="AH1988" s="713"/>
      <c r="AI1988" s="112">
        <f>IF(H1988="credit",0,IF(AE1988="free",0,IF(AE1988="me",0,IF(G1988&gt;0,(VLOOKUP(A1988,'Discount Lookup'!J:K,2)*G1988),0))))</f>
        <v>0</v>
      </c>
      <c r="AJ1988" s="107" t="str">
        <f t="shared" ca="1" si="1381"/>
        <v/>
      </c>
      <c r="AK1988" s="714" t="str">
        <f t="shared" si="1382"/>
        <v/>
      </c>
      <c r="AL1988" s="714"/>
      <c r="AM1988" s="114" t="str">
        <f t="shared" si="1383"/>
        <v/>
      </c>
      <c r="AN1988" s="115"/>
      <c r="AO1988" s="116"/>
      <c r="AP1988" s="116"/>
      <c r="AQ1988" s="116"/>
      <c r="AR1988" s="116"/>
      <c r="AS1988" s="116"/>
      <c r="AT1988" s="116"/>
      <c r="AU1988" s="116"/>
      <c r="AV1988" s="78"/>
      <c r="AW1988" s="102"/>
      <c r="AX1988" s="78"/>
      <c r="AY1988" s="78"/>
      <c r="AZ1988" s="78"/>
      <c r="BA1988" s="78"/>
      <c r="BB1988" s="78"/>
      <c r="BC1988" s="78"/>
      <c r="BD1988" s="78"/>
      <c r="BE1988" s="465"/>
      <c r="BF1988" s="165" t="str">
        <f t="shared" si="1384"/>
        <v>https://www.google.com/search?tbm=isch&amp;q=Little%20Hottie%20has%20Green%20foliage.%20All%20%22Hardy%22%20Hydrangea%20have%20cone-shaped%20flowers%20on%20new%20wood.%20Flowers%20change%20color%20with%20age.%20Extremely%20cold-hardy%20</v>
      </c>
      <c r="BG1988" s="165" t="str">
        <f t="shared" si="1385"/>
        <v>L</v>
      </c>
      <c r="BH1988" s="65"/>
      <c r="BI1988" s="65"/>
      <c r="BJ1988" s="65"/>
      <c r="BK1988" s="65"/>
      <c r="BL1988" s="99"/>
      <c r="BM1988" s="99"/>
      <c r="BN1988" s="99"/>
    </row>
    <row r="1989" spans="1:66" s="51" customFormat="1" ht="18" x14ac:dyDescent="0.25">
      <c r="A1989" s="623" t="s">
        <v>2818</v>
      </c>
      <c r="B1989" s="624"/>
      <c r="C1989" s="709"/>
      <c r="D1989" s="625" t="s">
        <v>5688</v>
      </c>
      <c r="E1989" s="626"/>
      <c r="F1989" s="626"/>
      <c r="G1989" s="626"/>
      <c r="H1989" s="622" t="s">
        <v>1082</v>
      </c>
      <c r="I1989" s="627" t="s">
        <v>2814</v>
      </c>
      <c r="J1989" s="628"/>
      <c r="K1989" s="628"/>
      <c r="L1989" s="629"/>
      <c r="M1989" s="700" t="s">
        <v>5249</v>
      </c>
      <c r="N1989" s="693" t="str">
        <f>IF(AND(ISTEXT($A1989), ISERROR($A1989+0)), HYPERLINK($BF1989, "Images"), "")</f>
        <v>Images</v>
      </c>
      <c r="O1989" s="695" t="s">
        <v>5247</v>
      </c>
      <c r="P1989" s="630"/>
      <c r="Q1989" s="631"/>
      <c r="R1989" s="632"/>
      <c r="S1989" s="633"/>
      <c r="T1989" s="102">
        <f t="shared" si="1373"/>
        <v>0</v>
      </c>
      <c r="U1989" s="78" t="str">
        <f>IF(NOT(ISNUMBER(G1989)), "", VLOOKUP(A1989,'Discount Lookup'!D:E,2,FALSE)*G1989)</f>
        <v/>
      </c>
      <c r="V1989" s="78" t="str">
        <f>IF(NOT(ISNUMBER(G1989)), "", VLOOKUP(A1989,'Discount Lookup'!G:H,2,FALSE)*G1989)</f>
        <v/>
      </c>
      <c r="W1989" s="102">
        <f t="shared" si="1374"/>
        <v>0</v>
      </c>
      <c r="X1989" s="102" t="str">
        <f t="shared" si="1375"/>
        <v>White bloom ages to Pink</v>
      </c>
      <c r="Y1989" s="120" t="b">
        <f t="shared" si="1376"/>
        <v>0</v>
      </c>
      <c r="Z1989" s="117">
        <f t="shared" si="1377"/>
        <v>0</v>
      </c>
      <c r="AA1989" s="118"/>
      <c r="AB1989" s="118" t="str">
        <f t="shared" si="1378"/>
        <v/>
      </c>
      <c r="AC1989" s="712" t="str">
        <f>IF(AE1989="T2G","no charge",IF(AND(OR(PlanterYesMe="No",PlanterYesMe="N",PlanterYesMe="me"),H1989=""),"",IF(H1989="credit","NO install",IF(AND(K1989="",AE1989="me"),"EACH row",IF(AND(K1989="images",AE1989="me"),"EACH row",IF(D1989="","",IF(H1989="credit","",IF(AE1989="free","re-planting",IF(AE1989="me","   not ELP, by",IF(AND(OR(PlanterYesMe="Yes",PlanterYesMe="Y"),G1989&gt;0),(VLOOKUP(A1989,'Discount Lookup'!J:K,2)*G1989*(1-PlanterDiscount)*(1+PlanterDifficultyPercentage)),IF(AE1989="ELP",(VLOOKUP(A1989,'Discount Lookup'!J:K,2)*G1989*(1-PlanterDiscount)*(1+PlanterDifficultyPercentage)),IF(AE1989="free","re-planting",IF(G1989=0,"",IF(PlanterYesMe="",IF(AE1989="me","   not ELP, by",IF(AE1989="",IF(G1989&gt;0,(VLOOKUP(A1989,'Discount Lookup'!J:K,2)*G1989*(1-PlanterDiscount)*(1+PlanterDifficultyPercentage)),""),"")),"   not ELP, by"))))))))))))))</f>
        <v/>
      </c>
      <c r="AD1989" s="712"/>
      <c r="AE1989" s="513" t="str">
        <f t="shared" si="1379"/>
        <v/>
      </c>
      <c r="AF1989" s="713" t="str">
        <f t="shared" si="1380"/>
        <v/>
      </c>
      <c r="AG1989" s="713"/>
      <c r="AH1989" s="713"/>
      <c r="AI1989" s="112">
        <f>IF(H1989="credit",0,IF(AE1989="free",0,IF(AE1989="me",0,IF(G1989&gt;0,(VLOOKUP(A1989,'Discount Lookup'!J:K,2)*G1989),0))))</f>
        <v>0</v>
      </c>
      <c r="AJ1989" s="107" t="str">
        <f t="shared" ca="1" si="1381"/>
        <v/>
      </c>
      <c r="AK1989" s="714" t="str">
        <f t="shared" si="1382"/>
        <v/>
      </c>
      <c r="AL1989" s="714"/>
      <c r="AM1989" s="114" t="str">
        <f t="shared" si="1383"/>
        <v/>
      </c>
      <c r="AN1989" s="115"/>
      <c r="AO1989" s="116"/>
      <c r="AP1989" s="116"/>
      <c r="AQ1989" s="116"/>
      <c r="AR1989" s="116"/>
      <c r="AS1989" s="116"/>
      <c r="AT1989" s="116"/>
      <c r="AU1989" s="116"/>
      <c r="AV1989" s="78"/>
      <c r="AW1989" s="102"/>
      <c r="AX1989" s="78"/>
      <c r="AY1989" s="78"/>
      <c r="AZ1989" s="78"/>
      <c r="BA1989" s="78"/>
      <c r="BB1989" s="78"/>
      <c r="BC1989" s="78"/>
      <c r="BD1989" s="78"/>
      <c r="BE1989" s="465"/>
      <c r="BF1989" s="165" t="str">
        <f t="shared" si="1384"/>
        <v>https://www.google.com/search?tbm=isch&amp;q=Hyd.%20paniculata%20%27Bokomabou%27%20PPAF%20Bouncy%E2%84%A2%20Hydrangea</v>
      </c>
      <c r="BG1989" s="165" t="str">
        <f t="shared" si="1385"/>
        <v>H</v>
      </c>
      <c r="BH1989" s="65"/>
      <c r="BI1989" s="65"/>
      <c r="BJ1989" s="65"/>
      <c r="BK1989" s="65"/>
      <c r="BL1989" s="99"/>
      <c r="BM1989" s="99"/>
      <c r="BN1989" s="99"/>
    </row>
    <row r="1990" spans="1:66" s="51" customFormat="1" ht="15.75" x14ac:dyDescent="0.25">
      <c r="A1990" s="634">
        <v>3</v>
      </c>
      <c r="B1990" s="635" t="s">
        <v>291</v>
      </c>
      <c r="C1990" s="636" t="s">
        <v>2819</v>
      </c>
      <c r="D1990" s="637" t="s">
        <v>329</v>
      </c>
      <c r="E1990" s="638">
        <v>32.950000000000003</v>
      </c>
      <c r="F1990" s="639" t="s">
        <v>292</v>
      </c>
      <c r="G1990" s="484">
        <v>0</v>
      </c>
      <c r="H1990" s="691" t="str">
        <f>IF(G1990=0,"",IF(F1990="Buy",IF(G1990=1,"plant","plants"),IF(F1990&gt;0.01,"warranty","Error")))</f>
        <v/>
      </c>
      <c r="I1990" s="640">
        <f>IF(H1990="free",0,IF(H1990="credit",((E1990*(F1990))*G1990*-1),IF(F1990="Buy",(E1990*G1990),((E1990*(1-F1990))*G1990))))</f>
        <v>0</v>
      </c>
      <c r="J1990" s="640">
        <f>IF(H1990="warranty",0,(I1990*(_xlfn.SINGLE(SalesTaxPercentage))))</f>
        <v>0</v>
      </c>
      <c r="K1990" s="716">
        <f t="shared" ref="K1990" si="1410">I1990+J1990</f>
        <v>0</v>
      </c>
      <c r="L1990" s="716"/>
      <c r="M1990" s="689" t="str">
        <f ca="1">IF(AND(G1990&gt;0,E1990=0),"WARNING - no PRICE inserted",IF(H1990="free","FREE ~ no charge this plant",IF(H1990="credit",CONCATENATE("-$",ROUND(K1990*(1-_xlfn.SINGLE(T2GDiscount))*-1,2)," CREDIT after discount"),IF(_xlfn.SINGLE(T2GDiscount)=0,"",IF(G1990=0,"",IF(F1990="Buy",CONCATENATE("$",ROUND(K1990*(1-_xlfn.SINGLE(T2GDiscount)),2)," with ",(_xlfn.SINGLE(T2GDiscount)*100),"% discount"),CONCATENATE("$",ROUND(K1990*(1-_xlfn.SINGLE(T2GDiscount)),2)," with ",((_xlfn.SINGLE(T2GDiscount)*100+F1990*100)-(_xlfn.SINGLE(T2GDiscount)*100*F1990)),IF(F1990&gt;0,"% discounts",IF(_xlfn.SINGLE(NoWarrantyDiscount)&gt;0,"% discounts","% discount")))))))))</f>
        <v/>
      </c>
      <c r="N1990" s="690"/>
      <c r="O1990" s="486"/>
      <c r="P1990" s="486"/>
      <c r="Q1990" s="486"/>
      <c r="R1990" s="486"/>
      <c r="S1990" s="486"/>
      <c r="T1990" s="102">
        <f t="shared" si="1373"/>
        <v>0</v>
      </c>
      <c r="U1990" s="78">
        <f>IF(NOT(ISNUMBER(G1990)), "", VLOOKUP(A1990,'Discount Lookup'!D:E,2,FALSE)*G1990)</f>
        <v>0</v>
      </c>
      <c r="V1990" s="78">
        <f>IF(NOT(ISNUMBER(G1990)), "", VLOOKUP(A1990,'Discount Lookup'!G:H,2,FALSE)*G1990)</f>
        <v>0</v>
      </c>
      <c r="W1990" s="102">
        <f t="shared" si="1374"/>
        <v>0</v>
      </c>
      <c r="X1990" s="102">
        <f t="shared" si="1375"/>
        <v>0</v>
      </c>
      <c r="Y1990" s="120" t="b">
        <f t="shared" si="1376"/>
        <v>0</v>
      </c>
      <c r="Z1990" s="117">
        <f t="shared" si="1377"/>
        <v>0</v>
      </c>
      <c r="AA1990" s="118"/>
      <c r="AB1990" s="118" t="str">
        <f t="shared" si="1378"/>
        <v/>
      </c>
      <c r="AC1990" s="712" t="str">
        <f>IF(AE1990="T2G","no charge",IF(AND(OR(PlanterYesMe="No",PlanterYesMe="N",PlanterYesMe="me"),H1990=""),"",IF(H1990="credit","NO install",IF(AND(K1990="",AE1990="me"),"EACH row",IF(AND(K1990="images",AE1990="me"),"EACH row",IF(D1990="","",IF(H1990="credit","",IF(AE1990="free","re-planting",IF(AE1990="me","   not ELP, by",IF(AND(OR(PlanterYesMe="Yes",PlanterYesMe="Y"),G1990&gt;0),(VLOOKUP(A1990,'Discount Lookup'!J:K,2)*G1990*(1-PlanterDiscount)*(1+PlanterDifficultyPercentage)),IF(AE1990="ELP",(VLOOKUP(A1990,'Discount Lookup'!J:K,2)*G1990*(1-PlanterDiscount)*(1+PlanterDifficultyPercentage)),IF(AE1990="free","re-planting",IF(G1990=0,"",IF(PlanterYesMe="",IF(AE1990="me","   not ELP, by",IF(AE1990="",IF(G1990&gt;0,(VLOOKUP(A1990,'Discount Lookup'!J:K,2)*G1990*(1-PlanterDiscount)*(1+PlanterDifficultyPercentage)),""),"")),"   not ELP, by"))))))))))))))</f>
        <v/>
      </c>
      <c r="AD1990" s="712"/>
      <c r="AE1990" s="513" t="str">
        <f t="shared" si="1379"/>
        <v/>
      </c>
      <c r="AF1990" s="713" t="str">
        <f t="shared" si="1380"/>
        <v/>
      </c>
      <c r="AG1990" s="713"/>
      <c r="AH1990" s="713"/>
      <c r="AI1990" s="112">
        <f>IF(H1990="credit",0,IF(AE1990="free",0,IF(AE1990="me",0,IF(G1990&gt;0,(VLOOKUP(A1990,'Discount Lookup'!J:K,2)*G1990),0))))</f>
        <v>0</v>
      </c>
      <c r="AJ1990" s="107" t="str">
        <f t="shared" ca="1" si="1381"/>
        <v/>
      </c>
      <c r="AK1990" s="714" t="str">
        <f t="shared" si="1382"/>
        <v/>
      </c>
      <c r="AL1990" s="714"/>
      <c r="AM1990" s="114" t="str">
        <f t="shared" si="1383"/>
        <v/>
      </c>
      <c r="AN1990" s="115"/>
      <c r="AO1990" s="116"/>
      <c r="AP1990" s="116"/>
      <c r="AQ1990" s="116"/>
      <c r="AR1990" s="116"/>
      <c r="AS1990" s="116"/>
      <c r="AT1990" s="116"/>
      <c r="AU1990" s="116"/>
      <c r="AV1990" s="78"/>
      <c r="AW1990" s="102"/>
      <c r="AX1990" s="78"/>
      <c r="AY1990" s="78"/>
      <c r="AZ1990" s="78"/>
      <c r="BA1990" s="78"/>
      <c r="BB1990" s="78"/>
      <c r="BC1990" s="78"/>
      <c r="BD1990" s="78"/>
      <c r="BE1990" s="465"/>
      <c r="BF1990" s="165" t="str">
        <f t="shared" si="1384"/>
        <v>https://www.google.com/search?tbm=isch&amp;q=3%20G2</v>
      </c>
      <c r="BG1990" s="165" t="str">
        <f t="shared" si="1385"/>
        <v>H</v>
      </c>
      <c r="BH1990" s="65"/>
      <c r="BI1990" s="65"/>
      <c r="BJ1990" s="65"/>
      <c r="BK1990" s="65"/>
      <c r="BL1990" s="99"/>
      <c r="BM1990" s="99"/>
      <c r="BN1990" s="99"/>
    </row>
    <row r="1991" spans="1:66" s="51" customFormat="1" ht="17.25" thickBot="1" x14ac:dyDescent="0.3">
      <c r="A1991" s="641" t="s">
        <v>4745</v>
      </c>
      <c r="B1991" s="642"/>
      <c r="C1991" s="710"/>
      <c r="D1991" s="643"/>
      <c r="E1991" s="643"/>
      <c r="F1991" s="644"/>
      <c r="G1991" s="645"/>
      <c r="H1991" s="646"/>
      <c r="I1991" s="647"/>
      <c r="J1991" s="648"/>
      <c r="K1991" s="649"/>
      <c r="L1991" s="650"/>
      <c r="M1991" s="650"/>
      <c r="N1991" s="644"/>
      <c r="O1991" s="644"/>
      <c r="P1991" s="644"/>
      <c r="Q1991" s="644"/>
      <c r="R1991" s="644"/>
      <c r="S1991" s="651"/>
      <c r="T1991" s="102">
        <f t="shared" si="1373"/>
        <v>0</v>
      </c>
      <c r="U1991" s="78" t="str">
        <f>IF(NOT(ISNUMBER(G1991)), "", VLOOKUP(A1991,'Discount Lookup'!D:E,2,FALSE)*G1991)</f>
        <v/>
      </c>
      <c r="V1991" s="78" t="str">
        <f>IF(NOT(ISNUMBER(G1991)), "", VLOOKUP(A1991,'Discount Lookup'!G:H,2,FALSE)*G1991)</f>
        <v/>
      </c>
      <c r="W1991" s="102">
        <f t="shared" si="1374"/>
        <v>0</v>
      </c>
      <c r="X1991" s="102">
        <f t="shared" si="1375"/>
        <v>0</v>
      </c>
      <c r="Y1991" s="120" t="b">
        <f t="shared" si="1376"/>
        <v>0</v>
      </c>
      <c r="Z1991" s="117">
        <f t="shared" si="1377"/>
        <v>0</v>
      </c>
      <c r="AA1991" s="118"/>
      <c r="AB1991" s="118" t="str">
        <f t="shared" si="1378"/>
        <v/>
      </c>
      <c r="AC1991" s="712" t="str">
        <f>IF(AE1991="T2G","no charge",IF(AND(OR(PlanterYesMe="No",PlanterYesMe="N",PlanterYesMe="me"),H1991=""),"",IF(H1991="credit","NO install",IF(AND(K1991="",AE1991="me"),"EACH row",IF(AND(K1991="images",AE1991="me"),"EACH row",IF(D1991="","",IF(H1991="credit","",IF(AE1991="free","re-planting",IF(AE1991="me","   not ELP, by",IF(AND(OR(PlanterYesMe="Yes",PlanterYesMe="Y"),G1991&gt;0),(VLOOKUP(A1991,'Discount Lookup'!J:K,2)*G1991*(1-PlanterDiscount)*(1+PlanterDifficultyPercentage)),IF(AE1991="ELP",(VLOOKUP(A1991,'Discount Lookup'!J:K,2)*G1991*(1-PlanterDiscount)*(1+PlanterDifficultyPercentage)),IF(AE1991="free","re-planting",IF(G1991=0,"",IF(PlanterYesMe="",IF(AE1991="me","   not ELP, by",IF(AE1991="",IF(G1991&gt;0,(VLOOKUP(A1991,'Discount Lookup'!J:K,2)*G1991*(1-PlanterDiscount)*(1+PlanterDifficultyPercentage)),""),"")),"   not ELP, by"))))))))))))))</f>
        <v/>
      </c>
      <c r="AD1991" s="712"/>
      <c r="AE1991" s="513" t="str">
        <f t="shared" si="1379"/>
        <v/>
      </c>
      <c r="AF1991" s="713" t="str">
        <f t="shared" si="1380"/>
        <v/>
      </c>
      <c r="AG1991" s="713"/>
      <c r="AH1991" s="713"/>
      <c r="AI1991" s="112">
        <f>IF(H1991="credit",0,IF(AE1991="free",0,IF(AE1991="me",0,IF(G1991&gt;0,(VLOOKUP(A1991,'Discount Lookup'!J:K,2)*G1991),0))))</f>
        <v>0</v>
      </c>
      <c r="AJ1991" s="107" t="str">
        <f t="shared" ca="1" si="1381"/>
        <v/>
      </c>
      <c r="AK1991" s="714" t="str">
        <f t="shared" si="1382"/>
        <v/>
      </c>
      <c r="AL1991" s="714"/>
      <c r="AM1991" s="114" t="str">
        <f t="shared" si="1383"/>
        <v/>
      </c>
      <c r="AN1991" s="115"/>
      <c r="AO1991" s="116"/>
      <c r="AP1991" s="116"/>
      <c r="AQ1991" s="116"/>
      <c r="AR1991" s="116"/>
      <c r="AS1991" s="116"/>
      <c r="AT1991" s="116"/>
      <c r="AU1991" s="116"/>
      <c r="AV1991" s="78"/>
      <c r="AW1991" s="102"/>
      <c r="AX1991" s="78"/>
      <c r="AY1991" s="78"/>
      <c r="AZ1991" s="78"/>
      <c r="BA1991" s="78"/>
      <c r="BB1991" s="78"/>
      <c r="BC1991" s="78"/>
      <c r="BD1991" s="78"/>
      <c r="BE1991" s="465"/>
      <c r="BF1991" s="165" t="str">
        <f t="shared" si="1384"/>
        <v>https://www.google.com/search?tbm=isch&amp;q=Bouncy%20has%20Green%20foliage.%20All%20%22Hardy%22%20Hydrangea%20have%20cone-shaped%20flowers%20on%20new%20wood.%20Flowers%20change%20color%20with%20age.%20Extremely%20cold-hardy%20</v>
      </c>
      <c r="BG1991" s="165" t="str">
        <f t="shared" si="1385"/>
        <v>B</v>
      </c>
      <c r="BH1991" s="65"/>
      <c r="BI1991" s="65"/>
      <c r="BJ1991" s="65"/>
      <c r="BK1991" s="65"/>
      <c r="BL1991" s="99"/>
      <c r="BM1991" s="99"/>
      <c r="BN1991" s="99"/>
    </row>
    <row r="1992" spans="1:66" s="51" customFormat="1" ht="18" x14ac:dyDescent="0.25">
      <c r="A1992" s="623" t="s">
        <v>2820</v>
      </c>
      <c r="B1992" s="624"/>
      <c r="C1992" s="709"/>
      <c r="D1992" s="625" t="s">
        <v>2821</v>
      </c>
      <c r="E1992" s="626"/>
      <c r="F1992" s="626"/>
      <c r="G1992" s="626"/>
      <c r="H1992" s="622" t="s">
        <v>1207</v>
      </c>
      <c r="I1992" s="627" t="s">
        <v>2814</v>
      </c>
      <c r="J1992" s="628"/>
      <c r="K1992" s="628"/>
      <c r="L1992" s="629"/>
      <c r="M1992" s="700" t="s">
        <v>5249</v>
      </c>
      <c r="N1992" s="693" t="str">
        <f>IF(AND(ISTEXT($A1992), ISERROR($A1992+0)), HYPERLINK($BF1992, "Images"), "")</f>
        <v>Images</v>
      </c>
      <c r="O1992" s="695" t="s">
        <v>5247</v>
      </c>
      <c r="P1992" s="630"/>
      <c r="Q1992" s="631"/>
      <c r="R1992" s="632"/>
      <c r="S1992" s="633"/>
      <c r="T1992" s="102">
        <f t="shared" si="1373"/>
        <v>0</v>
      </c>
      <c r="U1992" s="78" t="str">
        <f>IF(NOT(ISNUMBER(G1992)), "", VLOOKUP(A1992,'Discount Lookup'!D:E,2,FALSE)*G1992)</f>
        <v/>
      </c>
      <c r="V1992" s="78" t="str">
        <f>IF(NOT(ISNUMBER(G1992)), "", VLOOKUP(A1992,'Discount Lookup'!G:H,2,FALSE)*G1992)</f>
        <v/>
      </c>
      <c r="W1992" s="102">
        <f t="shared" si="1374"/>
        <v>0</v>
      </c>
      <c r="X1992" s="102" t="str">
        <f t="shared" si="1375"/>
        <v>White bloom ages to Pink</v>
      </c>
      <c r="Y1992" s="120" t="b">
        <f t="shared" si="1376"/>
        <v>0</v>
      </c>
      <c r="Z1992" s="117">
        <f t="shared" si="1377"/>
        <v>0</v>
      </c>
      <c r="AA1992" s="118"/>
      <c r="AB1992" s="118" t="str">
        <f t="shared" si="1378"/>
        <v/>
      </c>
      <c r="AC1992" s="712" t="str">
        <f>IF(AE1992="T2G","no charge",IF(AND(OR(PlanterYesMe="No",PlanterYesMe="N",PlanterYesMe="me"),H1992=""),"",IF(H1992="credit","NO install",IF(AND(K1992="",AE1992="me"),"EACH row",IF(AND(K1992="images",AE1992="me"),"EACH row",IF(D1992="","",IF(H1992="credit","",IF(AE1992="free","re-planting",IF(AE1992="me","   not ELP, by",IF(AND(OR(PlanterYesMe="Yes",PlanterYesMe="Y"),G1992&gt;0),(VLOOKUP(A1992,'Discount Lookup'!J:K,2)*G1992*(1-PlanterDiscount)*(1+PlanterDifficultyPercentage)),IF(AE1992="ELP",(VLOOKUP(A1992,'Discount Lookup'!J:K,2)*G1992*(1-PlanterDiscount)*(1+PlanterDifficultyPercentage)),IF(AE1992="free","re-planting",IF(G1992=0,"",IF(PlanterYesMe="",IF(AE1992="me","   not ELP, by",IF(AE1992="",IF(G1992&gt;0,(VLOOKUP(A1992,'Discount Lookup'!J:K,2)*G1992*(1-PlanterDiscount)*(1+PlanterDifficultyPercentage)),""),"")),"   not ELP, by"))))))))))))))</f>
        <v/>
      </c>
      <c r="AD1992" s="712"/>
      <c r="AE1992" s="513" t="str">
        <f t="shared" si="1379"/>
        <v/>
      </c>
      <c r="AF1992" s="713" t="str">
        <f t="shared" si="1380"/>
        <v/>
      </c>
      <c r="AG1992" s="713"/>
      <c r="AH1992" s="713"/>
      <c r="AI1992" s="112">
        <f>IF(H1992="credit",0,IF(AE1992="free",0,IF(AE1992="me",0,IF(G1992&gt;0,(VLOOKUP(A1992,'Discount Lookup'!J:K,2)*G1992),0))))</f>
        <v>0</v>
      </c>
      <c r="AJ1992" s="107" t="str">
        <f t="shared" ca="1" si="1381"/>
        <v/>
      </c>
      <c r="AK1992" s="714" t="str">
        <f t="shared" si="1382"/>
        <v/>
      </c>
      <c r="AL1992" s="714"/>
      <c r="AM1992" s="114" t="str">
        <f t="shared" si="1383"/>
        <v/>
      </c>
      <c r="AN1992" s="115"/>
      <c r="AO1992" s="116"/>
      <c r="AP1992" s="116"/>
      <c r="AQ1992" s="116"/>
      <c r="AR1992" s="116"/>
      <c r="AS1992" s="116"/>
      <c r="AT1992" s="116"/>
      <c r="AU1992" s="116"/>
      <c r="AV1992" s="78"/>
      <c r="AW1992" s="102"/>
      <c r="AX1992" s="78"/>
      <c r="AY1992" s="78"/>
      <c r="AZ1992" s="78"/>
      <c r="BA1992" s="78"/>
      <c r="BB1992" s="78"/>
      <c r="BC1992" s="78"/>
      <c r="BD1992" s="78"/>
      <c r="BE1992" s="465"/>
      <c r="BF1992" s="165" t="str">
        <f t="shared" si="1384"/>
        <v>https://www.google.com/search?tbm=isch&amp;q=Hyd.%20paniculata%20%27Bokrathirteen%27%20PP%2321778%20Sweet%20Summer%20Hydrangea</v>
      </c>
      <c r="BG1992" s="165" t="str">
        <f t="shared" si="1385"/>
        <v>H</v>
      </c>
      <c r="BH1992" s="65"/>
      <c r="BI1992" s="65"/>
      <c r="BJ1992" s="65"/>
      <c r="BK1992" s="65"/>
      <c r="BL1992" s="99"/>
      <c r="BM1992" s="99"/>
      <c r="BN1992" s="99"/>
    </row>
    <row r="1993" spans="1:66" s="51" customFormat="1" ht="15.75" x14ac:dyDescent="0.25">
      <c r="A1993" s="634">
        <v>5</v>
      </c>
      <c r="B1993" s="635" t="s">
        <v>291</v>
      </c>
      <c r="C1993" s="636" t="s">
        <v>5170</v>
      </c>
      <c r="D1993" s="637" t="s">
        <v>299</v>
      </c>
      <c r="E1993" s="638">
        <v>63.95</v>
      </c>
      <c r="F1993" s="639" t="s">
        <v>292</v>
      </c>
      <c r="G1993" s="484">
        <v>0</v>
      </c>
      <c r="H1993" s="691" t="str">
        <f>IF(G1993=0,"",IF(F1993="Buy",IF(G1993=1,"plant","plants"),IF(F1993&gt;0.01,"warranty","Error")))</f>
        <v/>
      </c>
      <c r="I1993" s="640">
        <f>IF(H1993="free",0,IF(H1993="credit",((E1993*(F1993))*G1993*-1),IF(F1993="Buy",(E1993*G1993),((E1993*(1-F1993))*G1993))))</f>
        <v>0</v>
      </c>
      <c r="J1993" s="640">
        <f>IF(H1993="warranty",0,(I1993*(_xlfn.SINGLE(SalesTaxPercentage))))</f>
        <v>0</v>
      </c>
      <c r="K1993" s="716">
        <f t="shared" ref="K1993" si="1411">I1993+J1993</f>
        <v>0</v>
      </c>
      <c r="L1993" s="716"/>
      <c r="M1993" s="689" t="str">
        <f ca="1">IF(AND(G1993&gt;0,E1993=0),"WARNING - no PRICE inserted",IF(H1993="free","FREE ~ no charge this plant",IF(H1993="credit",CONCATENATE("-$",ROUND(K1993*(1-_xlfn.SINGLE(T2GDiscount))*-1,2)," CREDIT after discount"),IF(_xlfn.SINGLE(T2GDiscount)=0,"",IF(G1993=0,"",IF(F1993="Buy",CONCATENATE("$",ROUND(K1993*(1-_xlfn.SINGLE(T2GDiscount)),2)," with ",(_xlfn.SINGLE(T2GDiscount)*100),"% discount"),CONCATENATE("$",ROUND(K1993*(1-_xlfn.SINGLE(T2GDiscount)),2)," with ",((_xlfn.SINGLE(T2GDiscount)*100+F1993*100)-(_xlfn.SINGLE(T2GDiscount)*100*F1993)),IF(F1993&gt;0,"% discounts",IF(_xlfn.SINGLE(NoWarrantyDiscount)&gt;0,"% discounts","% discount")))))))))</f>
        <v/>
      </c>
      <c r="N1993" s="690"/>
      <c r="O1993" s="486"/>
      <c r="P1993" s="486"/>
      <c r="Q1993" s="486"/>
      <c r="R1993" s="486"/>
      <c r="S1993" s="486"/>
      <c r="T1993" s="102">
        <f t="shared" si="1373"/>
        <v>0</v>
      </c>
      <c r="U1993" s="78">
        <f>IF(NOT(ISNUMBER(G1993)), "", VLOOKUP(A1993,'Discount Lookup'!D:E,2,FALSE)*G1993)</f>
        <v>0</v>
      </c>
      <c r="V1993" s="78">
        <f>IF(NOT(ISNUMBER(G1993)), "", VLOOKUP(A1993,'Discount Lookup'!G:H,2,FALSE)*G1993)</f>
        <v>0</v>
      </c>
      <c r="W1993" s="102">
        <f t="shared" si="1374"/>
        <v>0</v>
      </c>
      <c r="X1993" s="102">
        <f t="shared" si="1375"/>
        <v>0</v>
      </c>
      <c r="Y1993" s="120" t="b">
        <f t="shared" si="1376"/>
        <v>0</v>
      </c>
      <c r="Z1993" s="117">
        <f t="shared" si="1377"/>
        <v>0</v>
      </c>
      <c r="AA1993" s="118"/>
      <c r="AB1993" s="118" t="str">
        <f t="shared" si="1378"/>
        <v/>
      </c>
      <c r="AC1993" s="712" t="str">
        <f>IF(AE1993="T2G","no charge",IF(AND(OR(PlanterYesMe="No",PlanterYesMe="N",PlanterYesMe="me"),H1993=""),"",IF(H1993="credit","NO install",IF(AND(K1993="",AE1993="me"),"EACH row",IF(AND(K1993="images",AE1993="me"),"EACH row",IF(D1993="","",IF(H1993="credit","",IF(AE1993="free","re-planting",IF(AE1993="me","   not ELP, by",IF(AND(OR(PlanterYesMe="Yes",PlanterYesMe="Y"),G1993&gt;0),(VLOOKUP(A1993,'Discount Lookup'!J:K,2)*G1993*(1-PlanterDiscount)*(1+PlanterDifficultyPercentage)),IF(AE1993="ELP",(VLOOKUP(A1993,'Discount Lookup'!J:K,2)*G1993*(1-PlanterDiscount)*(1+PlanterDifficultyPercentage)),IF(AE1993="free","re-planting",IF(G1993=0,"",IF(PlanterYesMe="",IF(AE1993="me","   not ELP, by",IF(AE1993="",IF(G1993&gt;0,(VLOOKUP(A1993,'Discount Lookup'!J:K,2)*G1993*(1-PlanterDiscount)*(1+PlanterDifficultyPercentage)),""),"")),"   not ELP, by"))))))))))))))</f>
        <v/>
      </c>
      <c r="AD1993" s="712"/>
      <c r="AE1993" s="513" t="str">
        <f t="shared" si="1379"/>
        <v/>
      </c>
      <c r="AF1993" s="713" t="str">
        <f t="shared" si="1380"/>
        <v/>
      </c>
      <c r="AG1993" s="713"/>
      <c r="AH1993" s="713"/>
      <c r="AI1993" s="112">
        <f>IF(H1993="credit",0,IF(AE1993="free",0,IF(AE1993="me",0,IF(G1993&gt;0,(VLOOKUP(A1993,'Discount Lookup'!J:K,2)*G1993),0))))</f>
        <v>0</v>
      </c>
      <c r="AJ1993" s="107" t="str">
        <f t="shared" ca="1" si="1381"/>
        <v/>
      </c>
      <c r="AK1993" s="714" t="str">
        <f t="shared" si="1382"/>
        <v/>
      </c>
      <c r="AL1993" s="714"/>
      <c r="AM1993" s="114" t="str">
        <f t="shared" si="1383"/>
        <v/>
      </c>
      <c r="AN1993" s="115"/>
      <c r="AO1993" s="116"/>
      <c r="AP1993" s="116"/>
      <c r="AQ1993" s="116"/>
      <c r="AR1993" s="116"/>
      <c r="AS1993" s="116"/>
      <c r="AT1993" s="116"/>
      <c r="AU1993" s="116"/>
      <c r="AV1993" s="78"/>
      <c r="AW1993" s="102"/>
      <c r="AX1993" s="78"/>
      <c r="AY1993" s="78"/>
      <c r="AZ1993" s="78"/>
      <c r="BA1993" s="78"/>
      <c r="BB1993" s="78"/>
      <c r="BC1993" s="78"/>
      <c r="BD1993" s="78"/>
      <c r="BE1993" s="465"/>
      <c r="BF1993" s="165" t="str">
        <f t="shared" si="1384"/>
        <v>https://www.google.com/search?tbm=isch&amp;q=5%20G4</v>
      </c>
      <c r="BG1993" s="165" t="str">
        <f t="shared" si="1385"/>
        <v>H</v>
      </c>
      <c r="BH1993" s="65"/>
      <c r="BI1993" s="65"/>
      <c r="BJ1993" s="65"/>
      <c r="BK1993" s="65"/>
      <c r="BL1993" s="99"/>
      <c r="BM1993" s="99"/>
      <c r="BN1993" s="99"/>
    </row>
    <row r="1994" spans="1:66" s="51" customFormat="1" ht="17.25" thickBot="1" x14ac:dyDescent="0.3">
      <c r="A1994" s="641" t="s">
        <v>2822</v>
      </c>
      <c r="B1994" s="642"/>
      <c r="C1994" s="710"/>
      <c r="D1994" s="643"/>
      <c r="E1994" s="643"/>
      <c r="F1994" s="644"/>
      <c r="G1994" s="645"/>
      <c r="H1994" s="646"/>
      <c r="I1994" s="647"/>
      <c r="J1994" s="648"/>
      <c r="K1994" s="649"/>
      <c r="L1994" s="650"/>
      <c r="M1994" s="650"/>
      <c r="N1994" s="644"/>
      <c r="O1994" s="644"/>
      <c r="P1994" s="644"/>
      <c r="Q1994" s="644"/>
      <c r="R1994" s="644"/>
      <c r="S1994" s="651"/>
      <c r="T1994" s="102">
        <f t="shared" si="1373"/>
        <v>0</v>
      </c>
      <c r="U1994" s="78" t="str">
        <f>IF(NOT(ISNUMBER(G1994)), "", VLOOKUP(A1994,'Discount Lookup'!D:E,2,FALSE)*G1994)</f>
        <v/>
      </c>
      <c r="V1994" s="78" t="str">
        <f>IF(NOT(ISNUMBER(G1994)), "", VLOOKUP(A1994,'Discount Lookup'!G:H,2,FALSE)*G1994)</f>
        <v/>
      </c>
      <c r="W1994" s="102">
        <f t="shared" si="1374"/>
        <v>0</v>
      </c>
      <c r="X1994" s="102">
        <f t="shared" si="1375"/>
        <v>0</v>
      </c>
      <c r="Y1994" s="120" t="b">
        <f t="shared" si="1376"/>
        <v>0</v>
      </c>
      <c r="Z1994" s="117">
        <f t="shared" si="1377"/>
        <v>0</v>
      </c>
      <c r="AA1994" s="118"/>
      <c r="AB1994" s="118" t="str">
        <f t="shared" si="1378"/>
        <v/>
      </c>
      <c r="AC1994" s="712" t="str">
        <f>IF(AE1994="T2G","no charge",IF(AND(OR(PlanterYesMe="No",PlanterYesMe="N",PlanterYesMe="me"),H1994=""),"",IF(H1994="credit","NO install",IF(AND(K1994="",AE1994="me"),"EACH row",IF(AND(K1994="images",AE1994="me"),"EACH row",IF(D1994="","",IF(H1994="credit","",IF(AE1994="free","re-planting",IF(AE1994="me","   not ELP, by",IF(AND(OR(PlanterYesMe="Yes",PlanterYesMe="Y"),G1994&gt;0),(VLOOKUP(A1994,'Discount Lookup'!J:K,2)*G1994*(1-PlanterDiscount)*(1+PlanterDifficultyPercentage)),IF(AE1994="ELP",(VLOOKUP(A1994,'Discount Lookup'!J:K,2)*G1994*(1-PlanterDiscount)*(1+PlanterDifficultyPercentage)),IF(AE1994="free","re-planting",IF(G1994=0,"",IF(PlanterYesMe="",IF(AE1994="me","   not ELP, by",IF(AE1994="",IF(G1994&gt;0,(VLOOKUP(A1994,'Discount Lookup'!J:K,2)*G1994*(1-PlanterDiscount)*(1+PlanterDifficultyPercentage)),""),"")),"   not ELP, by"))))))))))))))</f>
        <v/>
      </c>
      <c r="AD1994" s="712"/>
      <c r="AE1994" s="513" t="str">
        <f t="shared" si="1379"/>
        <v/>
      </c>
      <c r="AF1994" s="713" t="str">
        <f t="shared" si="1380"/>
        <v/>
      </c>
      <c r="AG1994" s="713"/>
      <c r="AH1994" s="713"/>
      <c r="AI1994" s="112">
        <f>IF(H1994="credit",0,IF(AE1994="free",0,IF(AE1994="me",0,IF(G1994&gt;0,(VLOOKUP(A1994,'Discount Lookup'!J:K,2)*G1994),0))))</f>
        <v>0</v>
      </c>
      <c r="AJ1994" s="107" t="str">
        <f t="shared" ca="1" si="1381"/>
        <v/>
      </c>
      <c r="AK1994" s="714" t="str">
        <f t="shared" si="1382"/>
        <v/>
      </c>
      <c r="AL1994" s="714"/>
      <c r="AM1994" s="114" t="str">
        <f t="shared" si="1383"/>
        <v/>
      </c>
      <c r="AN1994" s="115"/>
      <c r="AO1994" s="116"/>
      <c r="AP1994" s="116"/>
      <c r="AQ1994" s="116"/>
      <c r="AR1994" s="116"/>
      <c r="AS1994" s="116"/>
      <c r="AT1994" s="116"/>
      <c r="AU1994" s="116"/>
      <c r="AV1994" s="78"/>
      <c r="AW1994" s="102"/>
      <c r="AX1994" s="78"/>
      <c r="AY1994" s="78"/>
      <c r="AZ1994" s="78"/>
      <c r="BA1994" s="78"/>
      <c r="BB1994" s="78"/>
      <c r="BC1994" s="78"/>
      <c r="BD1994" s="78"/>
      <c r="BE1994" s="465"/>
      <c r="BF1994" s="165" t="str">
        <f t="shared" si="1384"/>
        <v>https://www.google.com/search?tbm=isch&amp;q=Sweet%20Summer%20has%20Green%20foliage.%20All%20%22Hardy%22%20Hydrangea%20have%20cone-shaped%20flowers%20on%20new%20wood.%20Flowers%20change%20color%20with%20age.%20Extremely%20cold-hardy%20</v>
      </c>
      <c r="BG1994" s="165" t="str">
        <f t="shared" si="1385"/>
        <v>S</v>
      </c>
      <c r="BH1994" s="65"/>
      <c r="BI1994" s="65"/>
      <c r="BJ1994" s="65"/>
      <c r="BK1994" s="65"/>
      <c r="BL1994" s="99"/>
      <c r="BM1994" s="99"/>
      <c r="BN1994" s="99"/>
    </row>
    <row r="1995" spans="1:66" s="51" customFormat="1" ht="18" x14ac:dyDescent="0.25">
      <c r="A1995" s="623" t="s">
        <v>2823</v>
      </c>
      <c r="B1995" s="624"/>
      <c r="C1995" s="709"/>
      <c r="D1995" s="625" t="s">
        <v>5689</v>
      </c>
      <c r="E1995" s="626"/>
      <c r="F1995" s="626"/>
      <c r="G1995" s="626"/>
      <c r="H1995" s="622" t="s">
        <v>1264</v>
      </c>
      <c r="I1995" s="627" t="s">
        <v>2814</v>
      </c>
      <c r="J1995" s="628"/>
      <c r="K1995" s="628"/>
      <c r="L1995" s="629"/>
      <c r="M1995" s="700" t="s">
        <v>5249</v>
      </c>
      <c r="N1995" s="693" t="str">
        <f>IF(AND(ISTEXT($A1995), ISERROR($A1995+0)), HYPERLINK($BF1995, "Images"), "")</f>
        <v>Images</v>
      </c>
      <c r="O1995" s="695" t="s">
        <v>5247</v>
      </c>
      <c r="P1995" s="630"/>
      <c r="Q1995" s="631"/>
      <c r="R1995" s="632"/>
      <c r="S1995" s="633"/>
      <c r="T1995" s="102">
        <f t="shared" si="1373"/>
        <v>0</v>
      </c>
      <c r="U1995" s="78" t="str">
        <f>IF(NOT(ISNUMBER(G1995)), "", VLOOKUP(A1995,'Discount Lookup'!D:E,2,FALSE)*G1995)</f>
        <v/>
      </c>
      <c r="V1995" s="78" t="str">
        <f>IF(NOT(ISNUMBER(G1995)), "", VLOOKUP(A1995,'Discount Lookup'!G:H,2,FALSE)*G1995)</f>
        <v/>
      </c>
      <c r="W1995" s="102">
        <f t="shared" si="1374"/>
        <v>0</v>
      </c>
      <c r="X1995" s="102" t="str">
        <f t="shared" si="1375"/>
        <v>White bloom ages to Pink</v>
      </c>
      <c r="Y1995" s="120" t="b">
        <f t="shared" si="1376"/>
        <v>0</v>
      </c>
      <c r="Z1995" s="117">
        <f t="shared" si="1377"/>
        <v>0</v>
      </c>
      <c r="AA1995" s="118"/>
      <c r="AB1995" s="118" t="str">
        <f t="shared" si="1378"/>
        <v/>
      </c>
      <c r="AC1995" s="712" t="str">
        <f>IF(AE1995="T2G","no charge",IF(AND(OR(PlanterYesMe="No",PlanterYesMe="N",PlanterYesMe="me"),H1995=""),"",IF(H1995="credit","NO install",IF(AND(K1995="",AE1995="me"),"EACH row",IF(AND(K1995="images",AE1995="me"),"EACH row",IF(D1995="","",IF(H1995="credit","",IF(AE1995="free","re-planting",IF(AE1995="me","   not ELP, by",IF(AND(OR(PlanterYesMe="Yes",PlanterYesMe="Y"),G1995&gt;0),(VLOOKUP(A1995,'Discount Lookup'!J:K,2)*G1995*(1-PlanterDiscount)*(1+PlanterDifficultyPercentage)),IF(AE1995="ELP",(VLOOKUP(A1995,'Discount Lookup'!J:K,2)*G1995*(1-PlanterDiscount)*(1+PlanterDifficultyPercentage)),IF(AE1995="free","re-planting",IF(G1995=0,"",IF(PlanterYesMe="",IF(AE1995="me","   not ELP, by",IF(AE1995="",IF(G1995&gt;0,(VLOOKUP(A1995,'Discount Lookup'!J:K,2)*G1995*(1-PlanterDiscount)*(1+PlanterDifficultyPercentage)),""),"")),"   not ELP, by"))))))))))))))</f>
        <v/>
      </c>
      <c r="AD1995" s="712"/>
      <c r="AE1995" s="513" t="str">
        <f t="shared" si="1379"/>
        <v/>
      </c>
      <c r="AF1995" s="713" t="str">
        <f t="shared" si="1380"/>
        <v/>
      </c>
      <c r="AG1995" s="713"/>
      <c r="AH1995" s="713"/>
      <c r="AI1995" s="112">
        <f>IF(H1995="credit",0,IF(AE1995="free",0,IF(AE1995="me",0,IF(G1995&gt;0,(VLOOKUP(A1995,'Discount Lookup'!J:K,2)*G1995),0))))</f>
        <v>0</v>
      </c>
      <c r="AJ1995" s="107" t="str">
        <f t="shared" ca="1" si="1381"/>
        <v/>
      </c>
      <c r="AK1995" s="714" t="str">
        <f t="shared" si="1382"/>
        <v/>
      </c>
      <c r="AL1995" s="714"/>
      <c r="AM1995" s="114" t="str">
        <f t="shared" si="1383"/>
        <v/>
      </c>
      <c r="AN1995" s="115"/>
      <c r="AO1995" s="116"/>
      <c r="AP1995" s="116"/>
      <c r="AQ1995" s="116"/>
      <c r="AR1995" s="116"/>
      <c r="AS1995" s="116"/>
      <c r="AT1995" s="116"/>
      <c r="AU1995" s="116"/>
      <c r="AV1995" s="78"/>
      <c r="AW1995" s="102"/>
      <c r="AX1995" s="78"/>
      <c r="AY1995" s="78"/>
      <c r="AZ1995" s="78"/>
      <c r="BA1995" s="78"/>
      <c r="BB1995" s="78"/>
      <c r="BC1995" s="78"/>
      <c r="BD1995" s="78"/>
      <c r="BE1995" s="465"/>
      <c r="BF1995" s="165" t="str">
        <f t="shared" si="1384"/>
        <v>https://www.google.com/search?tbm=isch&amp;q=Hyd.%20paniculata%20%27Bulk%27%20PP%2316812%20Quick%20Fire%C2%AE%20Hydrangea</v>
      </c>
      <c r="BG1995" s="165" t="str">
        <f t="shared" si="1385"/>
        <v>H</v>
      </c>
      <c r="BH1995" s="65"/>
      <c r="BI1995" s="65"/>
      <c r="BJ1995" s="65"/>
      <c r="BK1995" s="65"/>
      <c r="BL1995" s="99"/>
      <c r="BM1995" s="99"/>
      <c r="BN1995" s="99"/>
    </row>
    <row r="1996" spans="1:66" s="51" customFormat="1" ht="15.75" x14ac:dyDescent="0.25">
      <c r="A1996" s="634">
        <v>5</v>
      </c>
      <c r="B1996" s="635" t="s">
        <v>291</v>
      </c>
      <c r="C1996" s="636" t="s">
        <v>4608</v>
      </c>
      <c r="D1996" s="637" t="s">
        <v>293</v>
      </c>
      <c r="E1996" s="638">
        <v>64.95</v>
      </c>
      <c r="F1996" s="639" t="s">
        <v>292</v>
      </c>
      <c r="G1996" s="484">
        <v>0</v>
      </c>
      <c r="H1996" s="691" t="str">
        <f>IF(G1996=0,"",IF(F1996="Buy",IF(G1996=1,"plant","plants"),IF(F1996&gt;0.01,"warranty","Error")))</f>
        <v/>
      </c>
      <c r="I1996" s="640">
        <f>IF(H1996="free",0,IF(H1996="credit",((E1996*(F1996))*G1996*-1),IF(F1996="Buy",(E1996*G1996),((E1996*(1-F1996))*G1996))))</f>
        <v>0</v>
      </c>
      <c r="J1996" s="640">
        <f>IF(H1996="warranty",0,(I1996*(_xlfn.SINGLE(SalesTaxPercentage))))</f>
        <v>0</v>
      </c>
      <c r="K1996" s="716">
        <f t="shared" ref="K1996" si="1412">I1996+J1996</f>
        <v>0</v>
      </c>
      <c r="L1996" s="716"/>
      <c r="M1996" s="689" t="str">
        <f ca="1">IF(AND(G1996&gt;0,E1996=0),"WARNING - no PRICE inserted",IF(H1996="free","FREE ~ no charge this plant",IF(H1996="credit",CONCATENATE("-$",ROUND(K1996*(1-_xlfn.SINGLE(T2GDiscount))*-1,2)," CREDIT after discount"),IF(_xlfn.SINGLE(T2GDiscount)=0,"",IF(G1996=0,"",IF(F1996="Buy",CONCATENATE("$",ROUND(K1996*(1-_xlfn.SINGLE(T2GDiscount)),2)," with ",(_xlfn.SINGLE(T2GDiscount)*100),"% discount"),CONCATENATE("$",ROUND(K1996*(1-_xlfn.SINGLE(T2GDiscount)),2)," with ",((_xlfn.SINGLE(T2GDiscount)*100+F1996*100)-(_xlfn.SINGLE(T2GDiscount)*100*F1996)),IF(F1996&gt;0,"% discounts",IF(_xlfn.SINGLE(NoWarrantyDiscount)&gt;0,"% discounts","% discount")))))))))</f>
        <v/>
      </c>
      <c r="N1996" s="690"/>
      <c r="O1996" s="486"/>
      <c r="P1996" s="486"/>
      <c r="Q1996" s="486"/>
      <c r="R1996" s="486"/>
      <c r="S1996" s="486"/>
      <c r="T1996" s="102">
        <f t="shared" si="1373"/>
        <v>0</v>
      </c>
      <c r="U1996" s="78">
        <f>IF(NOT(ISNUMBER(G1996)), "", VLOOKUP(A1996,'Discount Lookup'!D:E,2,FALSE)*G1996)</f>
        <v>0</v>
      </c>
      <c r="V1996" s="78">
        <f>IF(NOT(ISNUMBER(G1996)), "", VLOOKUP(A1996,'Discount Lookup'!G:H,2,FALSE)*G1996)</f>
        <v>0</v>
      </c>
      <c r="W1996" s="102">
        <f t="shared" si="1374"/>
        <v>0</v>
      </c>
      <c r="X1996" s="102">
        <f t="shared" si="1375"/>
        <v>0</v>
      </c>
      <c r="Y1996" s="120" t="b">
        <f t="shared" si="1376"/>
        <v>0</v>
      </c>
      <c r="Z1996" s="117">
        <f t="shared" si="1377"/>
        <v>0</v>
      </c>
      <c r="AA1996" s="118"/>
      <c r="AB1996" s="118" t="str">
        <f t="shared" si="1378"/>
        <v/>
      </c>
      <c r="AC1996" s="712" t="str">
        <f>IF(AE1996="T2G","no charge",IF(AND(OR(PlanterYesMe="No",PlanterYesMe="N",PlanterYesMe="me"),H1996=""),"",IF(H1996="credit","NO install",IF(AND(K1996="",AE1996="me"),"EACH row",IF(AND(K1996="images",AE1996="me"),"EACH row",IF(D1996="","",IF(H1996="credit","",IF(AE1996="free","re-planting",IF(AE1996="me","   not ELP, by",IF(AND(OR(PlanterYesMe="Yes",PlanterYesMe="Y"),G1996&gt;0),(VLOOKUP(A1996,'Discount Lookup'!J:K,2)*G1996*(1-PlanterDiscount)*(1+PlanterDifficultyPercentage)),IF(AE1996="ELP",(VLOOKUP(A1996,'Discount Lookup'!J:K,2)*G1996*(1-PlanterDiscount)*(1+PlanterDifficultyPercentage)),IF(AE1996="free","re-planting",IF(G1996=0,"",IF(PlanterYesMe="",IF(AE1996="me","   not ELP, by",IF(AE1996="",IF(G1996&gt;0,(VLOOKUP(A1996,'Discount Lookup'!J:K,2)*G1996*(1-PlanterDiscount)*(1+PlanterDifficultyPercentage)),""),"")),"   not ELP, by"))))))))))))))</f>
        <v/>
      </c>
      <c r="AD1996" s="712"/>
      <c r="AE1996" s="513" t="str">
        <f t="shared" si="1379"/>
        <v/>
      </c>
      <c r="AF1996" s="713" t="str">
        <f t="shared" si="1380"/>
        <v/>
      </c>
      <c r="AG1996" s="713"/>
      <c r="AH1996" s="713"/>
      <c r="AI1996" s="112">
        <f>IF(H1996="credit",0,IF(AE1996="free",0,IF(AE1996="me",0,IF(G1996&gt;0,(VLOOKUP(A1996,'Discount Lookup'!J:K,2)*G1996),0))))</f>
        <v>0</v>
      </c>
      <c r="AJ1996" s="107" t="str">
        <f t="shared" ca="1" si="1381"/>
        <v/>
      </c>
      <c r="AK1996" s="714" t="str">
        <f t="shared" si="1382"/>
        <v/>
      </c>
      <c r="AL1996" s="714"/>
      <c r="AM1996" s="114" t="str">
        <f t="shared" si="1383"/>
        <v/>
      </c>
      <c r="AN1996" s="115"/>
      <c r="AO1996" s="116"/>
      <c r="AP1996" s="116"/>
      <c r="AQ1996" s="116"/>
      <c r="AR1996" s="116"/>
      <c r="AS1996" s="116"/>
      <c r="AT1996" s="116"/>
      <c r="AU1996" s="116"/>
      <c r="AV1996" s="78"/>
      <c r="AW1996" s="102"/>
      <c r="AX1996" s="78"/>
      <c r="AY1996" s="78"/>
      <c r="AZ1996" s="78"/>
      <c r="BA1996" s="78"/>
      <c r="BB1996" s="78"/>
      <c r="BC1996" s="78"/>
      <c r="BD1996" s="78"/>
      <c r="BE1996" s="465"/>
      <c r="BF1996" s="165" t="str">
        <f t="shared" si="1384"/>
        <v>https://www.google.com/search?tbm=isch&amp;q=5%20G6</v>
      </c>
      <c r="BG1996" s="165" t="str">
        <f t="shared" si="1385"/>
        <v>H</v>
      </c>
      <c r="BH1996" s="65"/>
      <c r="BI1996" s="65"/>
      <c r="BJ1996" s="65"/>
      <c r="BK1996" s="65"/>
      <c r="BL1996" s="99"/>
      <c r="BM1996" s="99"/>
      <c r="BN1996" s="99"/>
    </row>
    <row r="1997" spans="1:66" s="51" customFormat="1" ht="27" x14ac:dyDescent="0.25">
      <c r="A1997" s="634">
        <v>7</v>
      </c>
      <c r="B1997" s="635" t="s">
        <v>291</v>
      </c>
      <c r="C1997" s="636" t="s">
        <v>2824</v>
      </c>
      <c r="D1997" s="637" t="s">
        <v>299</v>
      </c>
      <c r="E1997" s="638">
        <v>180.95</v>
      </c>
      <c r="F1997" s="639" t="s">
        <v>292</v>
      </c>
      <c r="G1997" s="484">
        <v>0</v>
      </c>
      <c r="H1997" s="691" t="str">
        <f>IF(G1997=0,"",IF(F1997="Buy",IF(G1997=1,"plant","plants"),IF(F1997&gt;0.01,"warranty","Error")))</f>
        <v/>
      </c>
      <c r="I1997" s="640">
        <f>IF(H1997="free",0,IF(H1997="credit",((E1997*(F1997))*G1997*-1),IF(F1997="Buy",(E1997*G1997),((E1997*(1-F1997))*G1997))))</f>
        <v>0</v>
      </c>
      <c r="J1997" s="640">
        <f>IF(H1997="warranty",0,(I1997*(_xlfn.SINGLE(SalesTaxPercentage))))</f>
        <v>0</v>
      </c>
      <c r="K1997" s="716">
        <f t="shared" ref="K1997" si="1413">I1997+J1997</f>
        <v>0</v>
      </c>
      <c r="L1997" s="716"/>
      <c r="M1997" s="689" t="str">
        <f ca="1">IF(AND(G1997&gt;0,E1997=0),"WARNING - no PRICE inserted",IF(H1997="free","FREE ~ no charge this plant",IF(H1997="credit",CONCATENATE("-$",ROUND(K1997*(1-_xlfn.SINGLE(T2GDiscount))*-1,2)," CREDIT after discount"),IF(_xlfn.SINGLE(T2GDiscount)=0,"",IF(G1997=0,"",IF(F1997="Buy",CONCATENATE("$",ROUND(K1997*(1-_xlfn.SINGLE(T2GDiscount)),2)," with ",(_xlfn.SINGLE(T2GDiscount)*100),"% discount"),CONCATENATE("$",ROUND(K1997*(1-_xlfn.SINGLE(T2GDiscount)),2)," with ",((_xlfn.SINGLE(T2GDiscount)*100+F1997*100)-(_xlfn.SINGLE(T2GDiscount)*100*F1997)),IF(F1997&gt;0,"% discounts",IF(_xlfn.SINGLE(NoWarrantyDiscount)&gt;0,"% discounts","% discount")))))))))</f>
        <v/>
      </c>
      <c r="N1997" s="690"/>
      <c r="O1997" s="486"/>
      <c r="P1997" s="486"/>
      <c r="Q1997" s="486"/>
      <c r="R1997" s="486"/>
      <c r="S1997" s="486"/>
      <c r="T1997" s="102">
        <f t="shared" si="1373"/>
        <v>0</v>
      </c>
      <c r="U1997" s="78">
        <f>IF(NOT(ISNUMBER(G1997)), "", VLOOKUP(A1997,'Discount Lookup'!D:E,2,FALSE)*G1997)</f>
        <v>0</v>
      </c>
      <c r="V1997" s="78">
        <f>IF(NOT(ISNUMBER(G1997)), "", VLOOKUP(A1997,'Discount Lookup'!G:H,2,FALSE)*G1997)</f>
        <v>0</v>
      </c>
      <c r="W1997" s="102">
        <f t="shared" si="1374"/>
        <v>0</v>
      </c>
      <c r="X1997" s="102">
        <f t="shared" si="1375"/>
        <v>0</v>
      </c>
      <c r="Y1997" s="120" t="b">
        <f t="shared" si="1376"/>
        <v>0</v>
      </c>
      <c r="Z1997" s="117">
        <f t="shared" si="1377"/>
        <v>0</v>
      </c>
      <c r="AA1997" s="118"/>
      <c r="AB1997" s="118" t="str">
        <f t="shared" si="1378"/>
        <v/>
      </c>
      <c r="AC1997" s="712" t="str">
        <f>IF(AE1997="T2G","no charge",IF(AND(OR(PlanterYesMe="No",PlanterYesMe="N",PlanterYesMe="me"),H1997=""),"",IF(H1997="credit","NO install",IF(AND(K1997="",AE1997="me"),"EACH row",IF(AND(K1997="images",AE1997="me"),"EACH row",IF(D1997="","",IF(H1997="credit","",IF(AE1997="free","re-planting",IF(AE1997="me","   not ELP, by",IF(AND(OR(PlanterYesMe="Yes",PlanterYesMe="Y"),G1997&gt;0),(VLOOKUP(A1997,'Discount Lookup'!J:K,2)*G1997*(1-PlanterDiscount)*(1+PlanterDifficultyPercentage)),IF(AE1997="ELP",(VLOOKUP(A1997,'Discount Lookup'!J:K,2)*G1997*(1-PlanterDiscount)*(1+PlanterDifficultyPercentage)),IF(AE1997="free","re-planting",IF(G1997=0,"",IF(PlanterYesMe="",IF(AE1997="me","   not ELP, by",IF(AE1997="",IF(G1997&gt;0,(VLOOKUP(A1997,'Discount Lookup'!J:K,2)*G1997*(1-PlanterDiscount)*(1+PlanterDifficultyPercentage)),""),"")),"   not ELP, by"))))))))))))))</f>
        <v/>
      </c>
      <c r="AD1997" s="712"/>
      <c r="AE1997" s="513" t="str">
        <f t="shared" si="1379"/>
        <v/>
      </c>
      <c r="AF1997" s="713" t="str">
        <f t="shared" si="1380"/>
        <v/>
      </c>
      <c r="AG1997" s="713"/>
      <c r="AH1997" s="713"/>
      <c r="AI1997" s="112">
        <f>IF(H1997="credit",0,IF(AE1997="free",0,IF(AE1997="me",0,IF(G1997&gt;0,(VLOOKUP(A1997,'Discount Lookup'!J:K,2)*G1997),0))))</f>
        <v>0</v>
      </c>
      <c r="AJ1997" s="107" t="str">
        <f t="shared" ca="1" si="1381"/>
        <v/>
      </c>
      <c r="AK1997" s="714" t="str">
        <f t="shared" si="1382"/>
        <v/>
      </c>
      <c r="AL1997" s="714"/>
      <c r="AM1997" s="114" t="str">
        <f t="shared" si="1383"/>
        <v/>
      </c>
      <c r="AN1997" s="115"/>
      <c r="AO1997" s="116"/>
      <c r="AP1997" s="116"/>
      <c r="AQ1997" s="116"/>
      <c r="AR1997" s="116"/>
      <c r="AS1997" s="116"/>
      <c r="AT1997" s="116"/>
      <c r="AU1997" s="116"/>
      <c r="AV1997" s="78"/>
      <c r="AW1997" s="102"/>
      <c r="AX1997" s="78"/>
      <c r="AY1997" s="78"/>
      <c r="AZ1997" s="78"/>
      <c r="BA1997" s="78"/>
      <c r="BB1997" s="78"/>
      <c r="BC1997" s="78"/>
      <c r="BD1997" s="78"/>
      <c r="BE1997" s="465"/>
      <c r="BF1997" s="165" t="str">
        <f t="shared" si="1384"/>
        <v>https://www.google.com/search?tbm=isch&amp;q=7%20G4</v>
      </c>
      <c r="BG1997" s="165" t="str">
        <f t="shared" si="1385"/>
        <v>H</v>
      </c>
      <c r="BH1997" s="65"/>
      <c r="BI1997" s="65"/>
      <c r="BJ1997" s="65"/>
      <c r="BK1997" s="65"/>
      <c r="BL1997" s="99"/>
      <c r="BM1997" s="99"/>
      <c r="BN1997" s="99"/>
    </row>
    <row r="1998" spans="1:66" s="51" customFormat="1" ht="27" x14ac:dyDescent="0.25">
      <c r="A1998" s="634">
        <v>15</v>
      </c>
      <c r="B1998" s="635" t="s">
        <v>291</v>
      </c>
      <c r="C1998" s="636" t="s">
        <v>2825</v>
      </c>
      <c r="D1998" s="637" t="s">
        <v>299</v>
      </c>
      <c r="E1998" s="638">
        <v>321.95</v>
      </c>
      <c r="F1998" s="639" t="s">
        <v>292</v>
      </c>
      <c r="G1998" s="484">
        <v>0</v>
      </c>
      <c r="H1998" s="691" t="str">
        <f>IF(G1998=0,"",IF(F1998="Buy",IF(G1998=1,"plant","plants"),IF(F1998&gt;0.01,"warranty","Error")))</f>
        <v/>
      </c>
      <c r="I1998" s="640">
        <f>IF(H1998="free",0,IF(H1998="credit",((E1998*(F1998))*G1998*-1),IF(F1998="Buy",(E1998*G1998),((E1998*(1-F1998))*G1998))))</f>
        <v>0</v>
      </c>
      <c r="J1998" s="640">
        <f>IF(H1998="warranty",0,(I1998*(_xlfn.SINGLE(SalesTaxPercentage))))</f>
        <v>0</v>
      </c>
      <c r="K1998" s="716">
        <f t="shared" ref="K1998" si="1414">I1998+J1998</f>
        <v>0</v>
      </c>
      <c r="L1998" s="716"/>
      <c r="M1998" s="689" t="str">
        <f ca="1">IF(AND(G1998&gt;0,E1998=0),"WARNING - no PRICE inserted",IF(H1998="free","FREE ~ no charge this plant",IF(H1998="credit",CONCATENATE("-$",ROUND(K1998*(1-_xlfn.SINGLE(T2GDiscount))*-1,2)," CREDIT after discount"),IF(_xlfn.SINGLE(T2GDiscount)=0,"",IF(G1998=0,"",IF(F1998="Buy",CONCATENATE("$",ROUND(K1998*(1-_xlfn.SINGLE(T2GDiscount)),2)," with ",(_xlfn.SINGLE(T2GDiscount)*100),"% discount"),CONCATENATE("$",ROUND(K1998*(1-_xlfn.SINGLE(T2GDiscount)),2)," with ",((_xlfn.SINGLE(T2GDiscount)*100+F1998*100)-(_xlfn.SINGLE(T2GDiscount)*100*F1998)),IF(F1998&gt;0,"% discounts",IF(_xlfn.SINGLE(NoWarrantyDiscount)&gt;0,"% discounts","% discount")))))))))</f>
        <v/>
      </c>
      <c r="N1998" s="690"/>
      <c r="O1998" s="486"/>
      <c r="P1998" s="486"/>
      <c r="Q1998" s="486"/>
      <c r="R1998" s="486"/>
      <c r="S1998" s="486"/>
      <c r="T1998" s="102">
        <f t="shared" si="1373"/>
        <v>0</v>
      </c>
      <c r="U1998" s="78">
        <f>IF(NOT(ISNUMBER(G1998)), "", VLOOKUP(A1998,'Discount Lookup'!D:E,2,FALSE)*G1998)</f>
        <v>0</v>
      </c>
      <c r="V1998" s="78">
        <f>IF(NOT(ISNUMBER(G1998)), "", VLOOKUP(A1998,'Discount Lookup'!G:H,2,FALSE)*G1998)</f>
        <v>0</v>
      </c>
      <c r="W1998" s="102">
        <f t="shared" si="1374"/>
        <v>0</v>
      </c>
      <c r="X1998" s="102">
        <f t="shared" si="1375"/>
        <v>0</v>
      </c>
      <c r="Y1998" s="120" t="b">
        <f t="shared" si="1376"/>
        <v>0</v>
      </c>
      <c r="Z1998" s="117">
        <f t="shared" si="1377"/>
        <v>0</v>
      </c>
      <c r="AA1998" s="118"/>
      <c r="AB1998" s="118" t="str">
        <f t="shared" si="1378"/>
        <v/>
      </c>
      <c r="AC1998" s="712" t="str">
        <f>IF(AE1998="T2G","no charge",IF(AND(OR(PlanterYesMe="No",PlanterYesMe="N",PlanterYesMe="me"),H1998=""),"",IF(H1998="credit","NO install",IF(AND(K1998="",AE1998="me"),"EACH row",IF(AND(K1998="images",AE1998="me"),"EACH row",IF(D1998="","",IF(H1998="credit","",IF(AE1998="free","re-planting",IF(AE1998="me","   not ELP, by",IF(AND(OR(PlanterYesMe="Yes",PlanterYesMe="Y"),G1998&gt;0),(VLOOKUP(A1998,'Discount Lookup'!J:K,2)*G1998*(1-PlanterDiscount)*(1+PlanterDifficultyPercentage)),IF(AE1998="ELP",(VLOOKUP(A1998,'Discount Lookup'!J:K,2)*G1998*(1-PlanterDiscount)*(1+PlanterDifficultyPercentage)),IF(AE1998="free","re-planting",IF(G1998=0,"",IF(PlanterYesMe="",IF(AE1998="me","   not ELP, by",IF(AE1998="",IF(G1998&gt;0,(VLOOKUP(A1998,'Discount Lookup'!J:K,2)*G1998*(1-PlanterDiscount)*(1+PlanterDifficultyPercentage)),""),"")),"   not ELP, by"))))))))))))))</f>
        <v/>
      </c>
      <c r="AD1998" s="712"/>
      <c r="AE1998" s="513" t="str">
        <f t="shared" si="1379"/>
        <v/>
      </c>
      <c r="AF1998" s="713" t="str">
        <f t="shared" si="1380"/>
        <v/>
      </c>
      <c r="AG1998" s="713"/>
      <c r="AH1998" s="713"/>
      <c r="AI1998" s="112">
        <f>IF(H1998="credit",0,IF(AE1998="free",0,IF(AE1998="me",0,IF(G1998&gt;0,(VLOOKUP(A1998,'Discount Lookup'!J:K,2)*G1998),0))))</f>
        <v>0</v>
      </c>
      <c r="AJ1998" s="107" t="str">
        <f t="shared" ca="1" si="1381"/>
        <v/>
      </c>
      <c r="AK1998" s="714" t="str">
        <f t="shared" si="1382"/>
        <v/>
      </c>
      <c r="AL1998" s="714"/>
      <c r="AM1998" s="114" t="str">
        <f t="shared" si="1383"/>
        <v/>
      </c>
      <c r="AN1998" s="115"/>
      <c r="AO1998" s="116"/>
      <c r="AP1998" s="116"/>
      <c r="AQ1998" s="116"/>
      <c r="AR1998" s="116"/>
      <c r="AS1998" s="116"/>
      <c r="AT1998" s="116"/>
      <c r="AU1998" s="116"/>
      <c r="AV1998" s="78"/>
      <c r="AW1998" s="102"/>
      <c r="AX1998" s="78"/>
      <c r="AY1998" s="78"/>
      <c r="AZ1998" s="78"/>
      <c r="BA1998" s="78"/>
      <c r="BB1998" s="78"/>
      <c r="BC1998" s="78"/>
      <c r="BD1998" s="78"/>
      <c r="BE1998" s="465"/>
      <c r="BF1998" s="165" t="str">
        <f t="shared" si="1384"/>
        <v>https://www.google.com/search?tbm=isch&amp;q=15%20G4</v>
      </c>
      <c r="BG1998" s="165" t="str">
        <f t="shared" si="1385"/>
        <v>H</v>
      </c>
      <c r="BH1998" s="65"/>
      <c r="BI1998" s="65"/>
      <c r="BJ1998" s="65"/>
      <c r="BK1998" s="65"/>
      <c r="BL1998" s="99"/>
      <c r="BM1998" s="99"/>
      <c r="BN1998" s="99"/>
    </row>
    <row r="1999" spans="1:66" s="51" customFormat="1" ht="15.75" x14ac:dyDescent="0.25">
      <c r="A1999" s="634">
        <v>15</v>
      </c>
      <c r="B1999" s="635" t="s">
        <v>291</v>
      </c>
      <c r="C1999" s="636" t="s">
        <v>2826</v>
      </c>
      <c r="D1999" s="637" t="s">
        <v>293</v>
      </c>
      <c r="E1999" s="638">
        <v>333.95</v>
      </c>
      <c r="F1999" s="639" t="s">
        <v>292</v>
      </c>
      <c r="G1999" s="484">
        <v>0</v>
      </c>
      <c r="H1999" s="691" t="str">
        <f>IF(G1999=0,"",IF(F1999="Buy",IF(G1999=1,"plant","plants"),IF(F1999&gt;0.01,"warranty","Error")))</f>
        <v/>
      </c>
      <c r="I1999" s="640">
        <f>IF(H1999="free",0,IF(H1999="credit",((E1999*(F1999))*G1999*-1),IF(F1999="Buy",(E1999*G1999),((E1999*(1-F1999))*G1999))))</f>
        <v>0</v>
      </c>
      <c r="J1999" s="640">
        <f>IF(H1999="warranty",0,(I1999*(_xlfn.SINGLE(SalesTaxPercentage))))</f>
        <v>0</v>
      </c>
      <c r="K1999" s="716">
        <f t="shared" ref="K1999" si="1415">I1999+J1999</f>
        <v>0</v>
      </c>
      <c r="L1999" s="716"/>
      <c r="M1999" s="689" t="str">
        <f ca="1">IF(AND(G1999&gt;0,E1999=0),"WARNING - no PRICE inserted",IF(H1999="free","FREE ~ no charge this plant",IF(H1999="credit",CONCATENATE("-$",ROUND(K1999*(1-_xlfn.SINGLE(T2GDiscount))*-1,2)," CREDIT after discount"),IF(_xlfn.SINGLE(T2GDiscount)=0,"",IF(G1999=0,"",IF(F1999="Buy",CONCATENATE("$",ROUND(K1999*(1-_xlfn.SINGLE(T2GDiscount)),2)," with ",(_xlfn.SINGLE(T2GDiscount)*100),"% discount"),CONCATENATE("$",ROUND(K1999*(1-_xlfn.SINGLE(T2GDiscount)),2)," with ",((_xlfn.SINGLE(T2GDiscount)*100+F1999*100)-(_xlfn.SINGLE(T2GDiscount)*100*F1999)),IF(F1999&gt;0,"% discounts",IF(_xlfn.SINGLE(NoWarrantyDiscount)&gt;0,"% discounts","% discount")))))))))</f>
        <v/>
      </c>
      <c r="N1999" s="690"/>
      <c r="O1999" s="486"/>
      <c r="P1999" s="486"/>
      <c r="Q1999" s="486"/>
      <c r="R1999" s="486"/>
      <c r="S1999" s="486"/>
      <c r="T1999" s="102">
        <f t="shared" si="1373"/>
        <v>0</v>
      </c>
      <c r="U1999" s="78">
        <f>IF(NOT(ISNUMBER(G1999)), "", VLOOKUP(A1999,'Discount Lookup'!D:E,2,FALSE)*G1999)</f>
        <v>0</v>
      </c>
      <c r="V1999" s="78">
        <f>IF(NOT(ISNUMBER(G1999)), "", VLOOKUP(A1999,'Discount Lookup'!G:H,2,FALSE)*G1999)</f>
        <v>0</v>
      </c>
      <c r="W1999" s="102">
        <f t="shared" si="1374"/>
        <v>0</v>
      </c>
      <c r="X1999" s="102">
        <f t="shared" si="1375"/>
        <v>0</v>
      </c>
      <c r="Y1999" s="120" t="b">
        <f t="shared" si="1376"/>
        <v>0</v>
      </c>
      <c r="Z1999" s="117">
        <f t="shared" si="1377"/>
        <v>0</v>
      </c>
      <c r="AA1999" s="118"/>
      <c r="AB1999" s="118" t="str">
        <f t="shared" si="1378"/>
        <v/>
      </c>
      <c r="AC1999" s="712" t="str">
        <f>IF(AE1999="T2G","no charge",IF(AND(OR(PlanterYesMe="No",PlanterYesMe="N",PlanterYesMe="me"),H1999=""),"",IF(H1999="credit","NO install",IF(AND(K1999="",AE1999="me"),"EACH row",IF(AND(K1999="images",AE1999="me"),"EACH row",IF(D1999="","",IF(H1999="credit","",IF(AE1999="free","re-planting",IF(AE1999="me","   not ELP, by",IF(AND(OR(PlanterYesMe="Yes",PlanterYesMe="Y"),G1999&gt;0),(VLOOKUP(A1999,'Discount Lookup'!J:K,2)*G1999*(1-PlanterDiscount)*(1+PlanterDifficultyPercentage)),IF(AE1999="ELP",(VLOOKUP(A1999,'Discount Lookup'!J:K,2)*G1999*(1-PlanterDiscount)*(1+PlanterDifficultyPercentage)),IF(AE1999="free","re-planting",IF(G1999=0,"",IF(PlanterYesMe="",IF(AE1999="me","   not ELP, by",IF(AE1999="",IF(G1999&gt;0,(VLOOKUP(A1999,'Discount Lookup'!J:K,2)*G1999*(1-PlanterDiscount)*(1+PlanterDifficultyPercentage)),""),"")),"   not ELP, by"))))))))))))))</f>
        <v/>
      </c>
      <c r="AD1999" s="712"/>
      <c r="AE1999" s="513" t="str">
        <f t="shared" si="1379"/>
        <v/>
      </c>
      <c r="AF1999" s="713" t="str">
        <f t="shared" si="1380"/>
        <v/>
      </c>
      <c r="AG1999" s="713"/>
      <c r="AH1999" s="713"/>
      <c r="AI1999" s="112">
        <f>IF(H1999="credit",0,IF(AE1999="free",0,IF(AE1999="me",0,IF(G1999&gt;0,(VLOOKUP(A1999,'Discount Lookup'!J:K,2)*G1999),0))))</f>
        <v>0</v>
      </c>
      <c r="AJ1999" s="107" t="str">
        <f t="shared" ca="1" si="1381"/>
        <v/>
      </c>
      <c r="AK1999" s="714" t="str">
        <f t="shared" si="1382"/>
        <v/>
      </c>
      <c r="AL1999" s="714"/>
      <c r="AM1999" s="114" t="str">
        <f t="shared" si="1383"/>
        <v/>
      </c>
      <c r="AN1999" s="115"/>
      <c r="AO1999" s="116"/>
      <c r="AP1999" s="116"/>
      <c r="AQ1999" s="116"/>
      <c r="AR1999" s="116"/>
      <c r="AS1999" s="116"/>
      <c r="AT1999" s="116"/>
      <c r="AU1999" s="116"/>
      <c r="AV1999" s="78"/>
      <c r="AW1999" s="102"/>
      <c r="AX1999" s="78"/>
      <c r="AY1999" s="78"/>
      <c r="AZ1999" s="78"/>
      <c r="BA1999" s="78"/>
      <c r="BB1999" s="78"/>
      <c r="BC1999" s="78"/>
      <c r="BD1999" s="78"/>
      <c r="BE1999" s="465"/>
      <c r="BF1999" s="165" t="str">
        <f t="shared" si="1384"/>
        <v>https://www.google.com/search?tbm=isch&amp;q=15%20G6</v>
      </c>
      <c r="BG1999" s="165" t="str">
        <f t="shared" si="1385"/>
        <v>H</v>
      </c>
      <c r="BH1999" s="65"/>
      <c r="BI1999" s="65"/>
      <c r="BJ1999" s="65"/>
      <c r="BK1999" s="65"/>
      <c r="BL1999" s="99"/>
      <c r="BM1999" s="99"/>
      <c r="BN1999" s="99"/>
    </row>
    <row r="2000" spans="1:66" s="51" customFormat="1" ht="17.25" thickBot="1" x14ac:dyDescent="0.3">
      <c r="A2000" s="641" t="s">
        <v>4746</v>
      </c>
      <c r="B2000" s="642"/>
      <c r="C2000" s="710"/>
      <c r="D2000" s="643"/>
      <c r="E2000" s="643"/>
      <c r="F2000" s="644"/>
      <c r="G2000" s="645"/>
      <c r="H2000" s="646"/>
      <c r="I2000" s="647"/>
      <c r="J2000" s="648"/>
      <c r="K2000" s="649"/>
      <c r="L2000" s="650"/>
      <c r="M2000" s="650"/>
      <c r="N2000" s="644"/>
      <c r="O2000" s="644"/>
      <c r="P2000" s="644"/>
      <c r="Q2000" s="644"/>
      <c r="R2000" s="644"/>
      <c r="S2000" s="651"/>
      <c r="T2000" s="102">
        <f t="shared" si="1373"/>
        <v>0</v>
      </c>
      <c r="U2000" s="78" t="str">
        <f>IF(NOT(ISNUMBER(G2000)), "", VLOOKUP(A2000,'Discount Lookup'!D:E,2,FALSE)*G2000)</f>
        <v/>
      </c>
      <c r="V2000" s="78" t="str">
        <f>IF(NOT(ISNUMBER(G2000)), "", VLOOKUP(A2000,'Discount Lookup'!G:H,2,FALSE)*G2000)</f>
        <v/>
      </c>
      <c r="W2000" s="102">
        <f t="shared" si="1374"/>
        <v>0</v>
      </c>
      <c r="X2000" s="102">
        <f t="shared" si="1375"/>
        <v>0</v>
      </c>
      <c r="Y2000" s="120" t="b">
        <f t="shared" si="1376"/>
        <v>0</v>
      </c>
      <c r="Z2000" s="117">
        <f t="shared" si="1377"/>
        <v>0</v>
      </c>
      <c r="AA2000" s="118"/>
      <c r="AB2000" s="118" t="str">
        <f t="shared" si="1378"/>
        <v/>
      </c>
      <c r="AC2000" s="712" t="str">
        <f>IF(AE2000="T2G","no charge",IF(AND(OR(PlanterYesMe="No",PlanterYesMe="N",PlanterYesMe="me"),H2000=""),"",IF(H2000="credit","NO install",IF(AND(K2000="",AE2000="me"),"EACH row",IF(AND(K2000="images",AE2000="me"),"EACH row",IF(D2000="","",IF(H2000="credit","",IF(AE2000="free","re-planting",IF(AE2000="me","   not ELP, by",IF(AND(OR(PlanterYesMe="Yes",PlanterYesMe="Y"),G2000&gt;0),(VLOOKUP(A2000,'Discount Lookup'!J:K,2)*G2000*(1-PlanterDiscount)*(1+PlanterDifficultyPercentage)),IF(AE2000="ELP",(VLOOKUP(A2000,'Discount Lookup'!J:K,2)*G2000*(1-PlanterDiscount)*(1+PlanterDifficultyPercentage)),IF(AE2000="free","re-planting",IF(G2000=0,"",IF(PlanterYesMe="",IF(AE2000="me","   not ELP, by",IF(AE2000="",IF(G2000&gt;0,(VLOOKUP(A2000,'Discount Lookup'!J:K,2)*G2000*(1-PlanterDiscount)*(1+PlanterDifficultyPercentage)),""),"")),"   not ELP, by"))))))))))))))</f>
        <v/>
      </c>
      <c r="AD2000" s="712"/>
      <c r="AE2000" s="513" t="str">
        <f t="shared" si="1379"/>
        <v/>
      </c>
      <c r="AF2000" s="713" t="str">
        <f t="shared" si="1380"/>
        <v/>
      </c>
      <c r="AG2000" s="713"/>
      <c r="AH2000" s="713"/>
      <c r="AI2000" s="112">
        <f>IF(H2000="credit",0,IF(AE2000="free",0,IF(AE2000="me",0,IF(G2000&gt;0,(VLOOKUP(A2000,'Discount Lookup'!J:K,2)*G2000),0))))</f>
        <v>0</v>
      </c>
      <c r="AJ2000" s="107" t="str">
        <f t="shared" ca="1" si="1381"/>
        <v/>
      </c>
      <c r="AK2000" s="714" t="str">
        <f t="shared" si="1382"/>
        <v/>
      </c>
      <c r="AL2000" s="714"/>
      <c r="AM2000" s="114" t="str">
        <f t="shared" si="1383"/>
        <v/>
      </c>
      <c r="AN2000" s="115"/>
      <c r="AO2000" s="116"/>
      <c r="AP2000" s="116"/>
      <c r="AQ2000" s="116"/>
      <c r="AR2000" s="116"/>
      <c r="AS2000" s="116"/>
      <c r="AT2000" s="116"/>
      <c r="AU2000" s="116"/>
      <c r="AV2000" s="78"/>
      <c r="AW2000" s="102"/>
      <c r="AX2000" s="78"/>
      <c r="AY2000" s="78"/>
      <c r="AZ2000" s="78"/>
      <c r="BA2000" s="78"/>
      <c r="BB2000" s="78"/>
      <c r="BC2000" s="78"/>
      <c r="BD2000" s="78"/>
      <c r="BE2000" s="465"/>
      <c r="BF2000" s="165" t="str">
        <f t="shared" si="1384"/>
        <v>https://www.google.com/search?tbm=isch&amp;q=Quick%20Fire%20has%20Green%20foliage.%20All%20%22Hardy%22%20Hydrangea%20have%20cone-shaped%20flowers%20on%20new%20wood.%20Flowers%20change%20color%20with%20age.%20Extremely%20cold-hardy%20</v>
      </c>
      <c r="BG2000" s="165" t="str">
        <f t="shared" si="1385"/>
        <v>Q</v>
      </c>
      <c r="BH2000" s="65"/>
      <c r="BI2000" s="65"/>
      <c r="BJ2000" s="65"/>
      <c r="BK2000" s="65"/>
      <c r="BL2000" s="99"/>
      <c r="BM2000" s="99"/>
      <c r="BN2000" s="99"/>
    </row>
    <row r="2001" spans="1:66" s="51" customFormat="1" ht="18" x14ac:dyDescent="0.25">
      <c r="A2001" s="623" t="s">
        <v>2827</v>
      </c>
      <c r="B2001" s="624"/>
      <c r="C2001" s="709"/>
      <c r="D2001" s="625" t="s">
        <v>5891</v>
      </c>
      <c r="E2001" s="626"/>
      <c r="F2001" s="626"/>
      <c r="G2001" s="626"/>
      <c r="H2001" s="622" t="s">
        <v>1217</v>
      </c>
      <c r="I2001" s="627" t="s">
        <v>2814</v>
      </c>
      <c r="J2001" s="628"/>
      <c r="K2001" s="628"/>
      <c r="L2001" s="629"/>
      <c r="M2001" s="700" t="s">
        <v>5249</v>
      </c>
      <c r="N2001" s="693" t="str">
        <f>IF(AND(ISTEXT($A2001), ISERROR($A2001+0)), HYPERLINK($BF2001, "Images"), "")</f>
        <v>Images</v>
      </c>
      <c r="O2001" s="695" t="s">
        <v>5247</v>
      </c>
      <c r="P2001" s="630"/>
      <c r="Q2001" s="631"/>
      <c r="R2001" s="632"/>
      <c r="S2001" s="633"/>
      <c r="T2001" s="102">
        <f t="shared" si="1373"/>
        <v>0</v>
      </c>
      <c r="U2001" s="78" t="str">
        <f>IF(NOT(ISNUMBER(G2001)), "", VLOOKUP(A2001,'Discount Lookup'!D:E,2,FALSE)*G2001)</f>
        <v/>
      </c>
      <c r="V2001" s="78" t="str">
        <f>IF(NOT(ISNUMBER(G2001)), "", VLOOKUP(A2001,'Discount Lookup'!G:H,2,FALSE)*G2001)</f>
        <v/>
      </c>
      <c r="W2001" s="102">
        <f t="shared" si="1374"/>
        <v>0</v>
      </c>
      <c r="X2001" s="102" t="str">
        <f t="shared" si="1375"/>
        <v>White bloom ages to Pink</v>
      </c>
      <c r="Y2001" s="120" t="b">
        <f t="shared" si="1376"/>
        <v>0</v>
      </c>
      <c r="Z2001" s="117">
        <f t="shared" si="1377"/>
        <v>0</v>
      </c>
      <c r="AA2001" s="118"/>
      <c r="AB2001" s="118" t="str">
        <f t="shared" si="1378"/>
        <v/>
      </c>
      <c r="AC2001" s="712" t="str">
        <f>IF(AE2001="T2G","no charge",IF(AND(OR(PlanterYesMe="No",PlanterYesMe="N",PlanterYesMe="me"),H2001=""),"",IF(H2001="credit","NO install",IF(AND(K2001="",AE2001="me"),"EACH row",IF(AND(K2001="images",AE2001="me"),"EACH row",IF(D2001="","",IF(H2001="credit","",IF(AE2001="free","re-planting",IF(AE2001="me","   not ELP, by",IF(AND(OR(PlanterYesMe="Yes",PlanterYesMe="Y"),G2001&gt;0),(VLOOKUP(A2001,'Discount Lookup'!J:K,2)*G2001*(1-PlanterDiscount)*(1+PlanterDifficultyPercentage)),IF(AE2001="ELP",(VLOOKUP(A2001,'Discount Lookup'!J:K,2)*G2001*(1-PlanterDiscount)*(1+PlanterDifficultyPercentage)),IF(AE2001="free","re-planting",IF(G2001=0,"",IF(PlanterYesMe="",IF(AE2001="me","   not ELP, by",IF(AE2001="",IF(G2001&gt;0,(VLOOKUP(A2001,'Discount Lookup'!J:K,2)*G2001*(1-PlanterDiscount)*(1+PlanterDifficultyPercentage)),""),"")),"   not ELP, by"))))))))))))))</f>
        <v/>
      </c>
      <c r="AD2001" s="712"/>
      <c r="AE2001" s="513" t="str">
        <f t="shared" si="1379"/>
        <v/>
      </c>
      <c r="AF2001" s="713" t="str">
        <f t="shared" si="1380"/>
        <v/>
      </c>
      <c r="AG2001" s="713"/>
      <c r="AH2001" s="713"/>
      <c r="AI2001" s="112">
        <f>IF(H2001="credit",0,IF(AE2001="free",0,IF(AE2001="me",0,IF(G2001&gt;0,(VLOOKUP(A2001,'Discount Lookup'!J:K,2)*G2001),0))))</f>
        <v>0</v>
      </c>
      <c r="AJ2001" s="107" t="str">
        <f t="shared" ca="1" si="1381"/>
        <v/>
      </c>
      <c r="AK2001" s="714" t="str">
        <f t="shared" si="1382"/>
        <v/>
      </c>
      <c r="AL2001" s="714"/>
      <c r="AM2001" s="114" t="str">
        <f t="shared" si="1383"/>
        <v/>
      </c>
      <c r="AN2001" s="115"/>
      <c r="AO2001" s="116"/>
      <c r="AP2001" s="116"/>
      <c r="AQ2001" s="116"/>
      <c r="AR2001" s="116"/>
      <c r="AS2001" s="116"/>
      <c r="AT2001" s="116"/>
      <c r="AU2001" s="116"/>
      <c r="AV2001" s="78"/>
      <c r="AW2001" s="102"/>
      <c r="AX2001" s="78"/>
      <c r="AY2001" s="78"/>
      <c r="AZ2001" s="78"/>
      <c r="BA2001" s="78"/>
      <c r="BB2001" s="78"/>
      <c r="BC2001" s="78"/>
      <c r="BD2001" s="78"/>
      <c r="BE2001" s="465"/>
      <c r="BF2001" s="165" t="str">
        <f t="shared" si="1384"/>
        <v>https://www.google.com/search?tbm=isch&amp;q=Hyd.%20paniculata%20%27Hpopr013%27%20PP%2327472%20Candelabra%E2%84%A2%20Hydrangea%20%28BE%C2%AE%29</v>
      </c>
      <c r="BG2001" s="165" t="str">
        <f t="shared" si="1385"/>
        <v>H</v>
      </c>
      <c r="BH2001" s="65"/>
      <c r="BI2001" s="65"/>
      <c r="BJ2001" s="65"/>
      <c r="BK2001" s="65"/>
      <c r="BL2001" s="99"/>
      <c r="BM2001" s="99"/>
      <c r="BN2001" s="99"/>
    </row>
    <row r="2002" spans="1:66" s="51" customFormat="1" ht="15.75" x14ac:dyDescent="0.25">
      <c r="A2002" s="634">
        <v>3</v>
      </c>
      <c r="B2002" s="635" t="s">
        <v>291</v>
      </c>
      <c r="C2002" s="636"/>
      <c r="D2002" s="637" t="s">
        <v>329</v>
      </c>
      <c r="E2002" s="638">
        <v>34.950000000000003</v>
      </c>
      <c r="F2002" s="639" t="s">
        <v>292</v>
      </c>
      <c r="G2002" s="484">
        <v>0</v>
      </c>
      <c r="H2002" s="691" t="str">
        <f>IF(G2002=0,"",IF(F2002="Buy",IF(G2002=1,"plant","plants"),IF(F2002&gt;0.01,"warranty","Error")))</f>
        <v/>
      </c>
      <c r="I2002" s="640">
        <f>IF(H2002="free",0,IF(H2002="credit",((E2002*(F2002))*G2002*-1),IF(F2002="Buy",(E2002*G2002),((E2002*(1-F2002))*G2002))))</f>
        <v>0</v>
      </c>
      <c r="J2002" s="640">
        <f>IF(H2002="warranty",0,(I2002*(_xlfn.SINGLE(SalesTaxPercentage))))</f>
        <v>0</v>
      </c>
      <c r="K2002" s="716">
        <f t="shared" ref="K2002" si="1416">I2002+J2002</f>
        <v>0</v>
      </c>
      <c r="L2002" s="716"/>
      <c r="M2002" s="689" t="str">
        <f ca="1">IF(AND(G2002&gt;0,E2002=0),"WARNING - no PRICE inserted",IF(H2002="free","FREE ~ no charge this plant",IF(H2002="credit",CONCATENATE("-$",ROUND(K2002*(1-_xlfn.SINGLE(T2GDiscount))*-1,2)," CREDIT after discount"),IF(_xlfn.SINGLE(T2GDiscount)=0,"",IF(G2002=0,"",IF(F2002="Buy",CONCATENATE("$",ROUND(K2002*(1-_xlfn.SINGLE(T2GDiscount)),2)," with ",(_xlfn.SINGLE(T2GDiscount)*100),"% discount"),CONCATENATE("$",ROUND(K2002*(1-_xlfn.SINGLE(T2GDiscount)),2)," with ",((_xlfn.SINGLE(T2GDiscount)*100+F2002*100)-(_xlfn.SINGLE(T2GDiscount)*100*F2002)),IF(F2002&gt;0,"% discounts",IF(_xlfn.SINGLE(NoWarrantyDiscount)&gt;0,"% discounts","% discount")))))))))</f>
        <v/>
      </c>
      <c r="N2002" s="690"/>
      <c r="O2002" s="486"/>
      <c r="P2002" s="486"/>
      <c r="Q2002" s="486"/>
      <c r="R2002" s="486"/>
      <c r="S2002" s="486"/>
      <c r="T2002" s="102">
        <f t="shared" si="1373"/>
        <v>0</v>
      </c>
      <c r="U2002" s="78">
        <f>IF(NOT(ISNUMBER(G2002)), "", VLOOKUP(A2002,'Discount Lookup'!D:E,2,FALSE)*G2002)</f>
        <v>0</v>
      </c>
      <c r="V2002" s="78">
        <f>IF(NOT(ISNUMBER(G2002)), "", VLOOKUP(A2002,'Discount Lookup'!G:H,2,FALSE)*G2002)</f>
        <v>0</v>
      </c>
      <c r="W2002" s="102">
        <f t="shared" si="1374"/>
        <v>0</v>
      </c>
      <c r="X2002" s="102">
        <f t="shared" si="1375"/>
        <v>0</v>
      </c>
      <c r="Y2002" s="120" t="b">
        <f t="shared" si="1376"/>
        <v>0</v>
      </c>
      <c r="Z2002" s="117">
        <f t="shared" si="1377"/>
        <v>0</v>
      </c>
      <c r="AA2002" s="118"/>
      <c r="AB2002" s="118" t="str">
        <f t="shared" si="1378"/>
        <v/>
      </c>
      <c r="AC2002" s="712" t="str">
        <f>IF(AE2002="T2G","no charge",IF(AND(OR(PlanterYesMe="No",PlanterYesMe="N",PlanterYesMe="me"),H2002=""),"",IF(H2002="credit","NO install",IF(AND(K2002="",AE2002="me"),"EACH row",IF(AND(K2002="images",AE2002="me"),"EACH row",IF(D2002="","",IF(H2002="credit","",IF(AE2002="free","re-planting",IF(AE2002="me","   not ELP, by",IF(AND(OR(PlanterYesMe="Yes",PlanterYesMe="Y"),G2002&gt;0),(VLOOKUP(A2002,'Discount Lookup'!J:K,2)*G2002*(1-PlanterDiscount)*(1+PlanterDifficultyPercentage)),IF(AE2002="ELP",(VLOOKUP(A2002,'Discount Lookup'!J:K,2)*G2002*(1-PlanterDiscount)*(1+PlanterDifficultyPercentage)),IF(AE2002="free","re-planting",IF(G2002=0,"",IF(PlanterYesMe="",IF(AE2002="me","   not ELP, by",IF(AE2002="",IF(G2002&gt;0,(VLOOKUP(A2002,'Discount Lookup'!J:K,2)*G2002*(1-PlanterDiscount)*(1+PlanterDifficultyPercentage)),""),"")),"   not ELP, by"))))))))))))))</f>
        <v/>
      </c>
      <c r="AD2002" s="712"/>
      <c r="AE2002" s="513" t="str">
        <f t="shared" si="1379"/>
        <v/>
      </c>
      <c r="AF2002" s="713" t="str">
        <f t="shared" si="1380"/>
        <v/>
      </c>
      <c r="AG2002" s="713"/>
      <c r="AH2002" s="713"/>
      <c r="AI2002" s="112">
        <f>IF(H2002="credit",0,IF(AE2002="free",0,IF(AE2002="me",0,IF(G2002&gt;0,(VLOOKUP(A2002,'Discount Lookup'!J:K,2)*G2002),0))))</f>
        <v>0</v>
      </c>
      <c r="AJ2002" s="107" t="str">
        <f t="shared" ca="1" si="1381"/>
        <v/>
      </c>
      <c r="AK2002" s="714" t="str">
        <f t="shared" si="1382"/>
        <v/>
      </c>
      <c r="AL2002" s="714"/>
      <c r="AM2002" s="114" t="str">
        <f t="shared" si="1383"/>
        <v/>
      </c>
      <c r="AN2002" s="115"/>
      <c r="AO2002" s="116"/>
      <c r="AP2002" s="116"/>
      <c r="AQ2002" s="116"/>
      <c r="AR2002" s="116"/>
      <c r="AS2002" s="116"/>
      <c r="AT2002" s="116"/>
      <c r="AU2002" s="116"/>
      <c r="AV2002" s="78"/>
      <c r="AW2002" s="102"/>
      <c r="AX2002" s="78"/>
      <c r="AY2002" s="78"/>
      <c r="AZ2002" s="78"/>
      <c r="BA2002" s="78"/>
      <c r="BB2002" s="78"/>
      <c r="BC2002" s="78"/>
      <c r="BD2002" s="78"/>
      <c r="BE2002" s="465"/>
      <c r="BF2002" s="165" t="str">
        <f t="shared" si="1384"/>
        <v>https://www.google.com/search?tbm=isch&amp;q=3%20G2</v>
      </c>
      <c r="BG2002" s="165" t="str">
        <f t="shared" si="1385"/>
        <v>H</v>
      </c>
      <c r="BH2002" s="65"/>
      <c r="BI2002" s="65"/>
      <c r="BJ2002" s="65"/>
      <c r="BK2002" s="65"/>
      <c r="BL2002" s="99"/>
      <c r="BM2002" s="99"/>
      <c r="BN2002" s="99"/>
    </row>
    <row r="2003" spans="1:66" s="51" customFormat="1" ht="17.25" thickBot="1" x14ac:dyDescent="0.3">
      <c r="A2003" s="641" t="s">
        <v>4747</v>
      </c>
      <c r="B2003" s="642"/>
      <c r="C2003" s="710"/>
      <c r="D2003" s="643"/>
      <c r="E2003" s="643"/>
      <c r="F2003" s="644"/>
      <c r="G2003" s="645"/>
      <c r="H2003" s="646"/>
      <c r="I2003" s="647"/>
      <c r="J2003" s="648"/>
      <c r="K2003" s="649"/>
      <c r="L2003" s="650"/>
      <c r="M2003" s="650"/>
      <c r="N2003" s="644"/>
      <c r="O2003" s="644"/>
      <c r="P2003" s="644"/>
      <c r="Q2003" s="644"/>
      <c r="R2003" s="644"/>
      <c r="S2003" s="651"/>
      <c r="T2003" s="102">
        <f t="shared" si="1373"/>
        <v>0</v>
      </c>
      <c r="U2003" s="78" t="str">
        <f>IF(NOT(ISNUMBER(G2003)), "", VLOOKUP(A2003,'Discount Lookup'!D:E,2,FALSE)*G2003)</f>
        <v/>
      </c>
      <c r="V2003" s="78" t="str">
        <f>IF(NOT(ISNUMBER(G2003)), "", VLOOKUP(A2003,'Discount Lookup'!G:H,2,FALSE)*G2003)</f>
        <v/>
      </c>
      <c r="W2003" s="102">
        <f t="shared" si="1374"/>
        <v>0</v>
      </c>
      <c r="X2003" s="102">
        <f t="shared" si="1375"/>
        <v>0</v>
      </c>
      <c r="Y2003" s="120" t="b">
        <f t="shared" si="1376"/>
        <v>0</v>
      </c>
      <c r="Z2003" s="117">
        <f t="shared" si="1377"/>
        <v>0</v>
      </c>
      <c r="AA2003" s="118"/>
      <c r="AB2003" s="118" t="str">
        <f t="shared" si="1378"/>
        <v/>
      </c>
      <c r="AC2003" s="712" t="str">
        <f>IF(AE2003="T2G","no charge",IF(AND(OR(PlanterYesMe="No",PlanterYesMe="N",PlanterYesMe="me"),H2003=""),"",IF(H2003="credit","NO install",IF(AND(K2003="",AE2003="me"),"EACH row",IF(AND(K2003="images",AE2003="me"),"EACH row",IF(D2003="","",IF(H2003="credit","",IF(AE2003="free","re-planting",IF(AE2003="me","   not ELP, by",IF(AND(OR(PlanterYesMe="Yes",PlanterYesMe="Y"),G2003&gt;0),(VLOOKUP(A2003,'Discount Lookup'!J:K,2)*G2003*(1-PlanterDiscount)*(1+PlanterDifficultyPercentage)),IF(AE2003="ELP",(VLOOKUP(A2003,'Discount Lookup'!J:K,2)*G2003*(1-PlanterDiscount)*(1+PlanterDifficultyPercentage)),IF(AE2003="free","re-planting",IF(G2003=0,"",IF(PlanterYesMe="",IF(AE2003="me","   not ELP, by",IF(AE2003="",IF(G2003&gt;0,(VLOOKUP(A2003,'Discount Lookup'!J:K,2)*G2003*(1-PlanterDiscount)*(1+PlanterDifficultyPercentage)),""),"")),"   not ELP, by"))))))))))))))</f>
        <v/>
      </c>
      <c r="AD2003" s="712"/>
      <c r="AE2003" s="513" t="str">
        <f t="shared" si="1379"/>
        <v/>
      </c>
      <c r="AF2003" s="713" t="str">
        <f t="shared" si="1380"/>
        <v/>
      </c>
      <c r="AG2003" s="713"/>
      <c r="AH2003" s="713"/>
      <c r="AI2003" s="112">
        <f>IF(H2003="credit",0,IF(AE2003="free",0,IF(AE2003="me",0,IF(G2003&gt;0,(VLOOKUP(A2003,'Discount Lookup'!J:K,2)*G2003),0))))</f>
        <v>0</v>
      </c>
      <c r="AJ2003" s="107" t="str">
        <f t="shared" ca="1" si="1381"/>
        <v/>
      </c>
      <c r="AK2003" s="714" t="str">
        <f t="shared" si="1382"/>
        <v/>
      </c>
      <c r="AL2003" s="714"/>
      <c r="AM2003" s="114" t="str">
        <f t="shared" si="1383"/>
        <v/>
      </c>
      <c r="AN2003" s="115"/>
      <c r="AO2003" s="116"/>
      <c r="AP2003" s="116"/>
      <c r="AQ2003" s="116"/>
      <c r="AR2003" s="116"/>
      <c r="AS2003" s="116"/>
      <c r="AT2003" s="116"/>
      <c r="AU2003" s="116"/>
      <c r="AV2003" s="78"/>
      <c r="AW2003" s="102"/>
      <c r="AX2003" s="78"/>
      <c r="AY2003" s="78"/>
      <c r="AZ2003" s="78"/>
      <c r="BA2003" s="78"/>
      <c r="BB2003" s="78"/>
      <c r="BC2003" s="78"/>
      <c r="BD2003" s="78"/>
      <c r="BE2003" s="465"/>
      <c r="BF2003" s="165" t="str">
        <f t="shared" si="1384"/>
        <v>https://www.google.com/search?tbm=isch&amp;q=Candelabra%20has%20Green%20foliage.%20All%20%22Hardy%22%20Hydrangea%20have%20cone-shaped%20flowers%20on%20new%20wood.%20Flowers%20change%20color%20with%20age.%20Extremely%20cold-hardy%20</v>
      </c>
      <c r="BG2003" s="165" t="str">
        <f t="shared" si="1385"/>
        <v>C</v>
      </c>
      <c r="BH2003" s="65"/>
      <c r="BI2003" s="65"/>
      <c r="BJ2003" s="65"/>
      <c r="BK2003" s="65"/>
      <c r="BL2003" s="99"/>
      <c r="BM2003" s="99"/>
      <c r="BN2003" s="99"/>
    </row>
    <row r="2004" spans="1:66" s="51" customFormat="1" ht="18" x14ac:dyDescent="0.25">
      <c r="A2004" s="623" t="s">
        <v>2828</v>
      </c>
      <c r="B2004" s="624"/>
      <c r="C2004" s="709"/>
      <c r="D2004" s="625" t="s">
        <v>5690</v>
      </c>
      <c r="E2004" s="626"/>
      <c r="F2004" s="626"/>
      <c r="G2004" s="626"/>
      <c r="H2004" s="622" t="s">
        <v>1104</v>
      </c>
      <c r="I2004" s="627" t="s">
        <v>2829</v>
      </c>
      <c r="J2004" s="628"/>
      <c r="K2004" s="628"/>
      <c r="L2004" s="629"/>
      <c r="M2004" s="700" t="s">
        <v>5249</v>
      </c>
      <c r="N2004" s="693" t="str">
        <f>IF(AND(ISTEXT($A2004), ISERROR($A2004+0)), HYPERLINK($BF2004, "Images"), "")</f>
        <v>Images</v>
      </c>
      <c r="O2004" s="695" t="s">
        <v>5247</v>
      </c>
      <c r="P2004" s="630"/>
      <c r="Q2004" s="631"/>
      <c r="R2004" s="632"/>
      <c r="S2004" s="633"/>
      <c r="T2004" s="102">
        <f t="shared" ref="T2004:T2067" si="1417">E2004*G2004</f>
        <v>0</v>
      </c>
      <c r="U2004" s="78" t="str">
        <f>IF(NOT(ISNUMBER(G2004)), "", VLOOKUP(A2004,'Discount Lookup'!D:E,2,FALSE)*G2004)</f>
        <v/>
      </c>
      <c r="V2004" s="78" t="str">
        <f>IF(NOT(ISNUMBER(G2004)), "", VLOOKUP(A2004,'Discount Lookup'!G:H,2,FALSE)*G2004)</f>
        <v/>
      </c>
      <c r="W2004" s="102">
        <f t="shared" ref="W2004:W2067" si="1418">IF(H2004="credit",0,E2004*(SalesTaxPercentage)*G2004)</f>
        <v>0</v>
      </c>
      <c r="X2004" s="102" t="str">
        <f t="shared" ref="X2004:X2067" si="1419">I2004</f>
        <v>White-Lime ages to Pink</v>
      </c>
      <c r="Y2004" s="120" t="b">
        <f t="shared" ref="Y2004:Y2067" si="1420">IF(AE2004="T2G",0,IF(H2004="credit",0,IF(G2004&gt;0,IF(AE2004="me","",G2004))))</f>
        <v>0</v>
      </c>
      <c r="Z2004" s="117">
        <f t="shared" ref="Z2004:Z2067" si="1421">IF(H2004="credit",G2004,0)</f>
        <v>0</v>
      </c>
      <c r="AA2004" s="118"/>
      <c r="AB2004" s="118" t="str">
        <f t="shared" ref="AB2004:AB2067" si="1422">IF(AE2004="T2G","by Trees2Go",IF(H2004="credit","CREDIT only ~",IF(AND(K2004="",AE2004=OR(PlanterYesMe="No",PlanterYesMe="N",PlanterYesMe="me")),"not THIS line⇨",IF(AND(K2004="images",AE2004="me"),"not THIS line⇨",IF(H2004="credit","",IF(G2004=0,"",IF(AE2004="me","",IF(OR(PlanterYesMe="No",PlanterYesMe="N",PlanterYesMe="me"),"",IF(AE2004="free","warranty",IF(OR(PlanterYesMe="yes",PlanterYesMe="y"),"Edison install:","to install:"))))))))))</f>
        <v/>
      </c>
      <c r="AC2004" s="712" t="str">
        <f>IF(AE2004="T2G","no charge",IF(AND(OR(PlanterYesMe="No",PlanterYesMe="N",PlanterYesMe="me"),H2004=""),"",IF(H2004="credit","NO install",IF(AND(K2004="",AE2004="me"),"EACH row",IF(AND(K2004="images",AE2004="me"),"EACH row",IF(D2004="","",IF(H2004="credit","",IF(AE2004="free","re-planting",IF(AE2004="me","   not ELP, by",IF(AND(OR(PlanterYesMe="Yes",PlanterYesMe="Y"),G2004&gt;0),(VLOOKUP(A2004,'Discount Lookup'!J:K,2)*G2004*(1-PlanterDiscount)*(1+PlanterDifficultyPercentage)),IF(AE2004="ELP",(VLOOKUP(A2004,'Discount Lookup'!J:K,2)*G2004*(1-PlanterDiscount)*(1+PlanterDifficultyPercentage)),IF(AE2004="free","re-planting",IF(G2004=0,"",IF(PlanterYesMe="",IF(AE2004="me","   not ELP, by",IF(AE2004="",IF(G2004&gt;0,(VLOOKUP(A2004,'Discount Lookup'!J:K,2)*G2004*(1-PlanterDiscount)*(1+PlanterDifficultyPercentage)),""),"")),"   not ELP, by"))))))))))))))</f>
        <v/>
      </c>
      <c r="AD2004" s="712"/>
      <c r="AE2004" s="513" t="str">
        <f t="shared" ref="AE2004:AE2067" si="1423">IF(H2004="credit","",IF(G2004=0,"",IF(OR(PlanterYesMe="No",PlanterYesMe="N",PlanterYesMe="me"),"me",IF(H2004="warranty","free",IF(OR(PlanterYesMe="yes",PlanterYesMe="y"),"ELP","")))))</f>
        <v/>
      </c>
      <c r="AF2004" s="713" t="str">
        <f t="shared" ref="AF2004:AF2067" si="1424">IF(OR(PlanterYesMe="No",PlanterYesMe="N",PlanterYesMe="me"),"",IF(H2004="credit","",IF(G2004&gt;0,(CONCATENATE((G2004)," quantity, ",(A2004)," ",B2004)),"")))</f>
        <v/>
      </c>
      <c r="AG2004" s="713"/>
      <c r="AH2004" s="713"/>
      <c r="AI2004" s="112">
        <f>IF(H2004="credit",0,IF(AE2004="free",0,IF(AE2004="me",0,IF(G2004&gt;0,(VLOOKUP(A2004,'Discount Lookup'!J:K,2)*G2004),0))))</f>
        <v>0</v>
      </c>
      <c r="AJ2004" s="107" t="str">
        <f t="shared" ref="AJ2004:AJ2067" ca="1" si="1425">IF(AND(ISREF(H2004),H2004="credit"),"",IF(AND(AND(OFFSET(G2004,0,0)=0,OFFSET(G2004,1,0)&gt;0,ISNUMBER(OFFSET(AC2004,1,0)),OFFSET(AC2004,1,0)&gt;0),OR(PlanterYesMe="yes",PlanterYesMe="y")),"T2G+ELP=",IF(AND(OFFSET(G2004,0,0)=0,OFFSET(G2004,1,0)&gt;0,ISNUMBER(OFFSET(AC2004,1,0)),OFFSET(AC2004,1,0)&gt;0),"if T2G+ELP=",IF(AND(OFFSET(G2004,0,0)=0,OFFSET(G2004,1,0)&gt;0),"T2G Subtotal",IF(H2004="credit","",IF(G2004=0,"",IF(AE2004="free",(K2004*(1-T2GDiscount)),IF(OR(PlanterYesMe="No",PlanterYesMe="N",PlanterYesMe="me"),(K2004*(1-T2GDiscount)),IF(OR(AE2004="me",AE2004="T2G"),(K2004*(1-T2GDiscount)),(K2004*(1-T2GDiscount))+AC2004)))))))))</f>
        <v/>
      </c>
      <c r="AK2004" s="714" t="str">
        <f t="shared" ref="AK2004:AK2067" si="1426">IF(H2004="credit","",IF(G2004=0,"",IF(OR(AE2004="me",AE2004="T2G"),"  delivery-only",IF(OR(PlanterYesMe="No",PlanterYesMe="N",PlanterYesMe="me"),"  delivery-only",CONCATENATE(" $",ROUND(AJ2004/G2004,2)," each")))))</f>
        <v/>
      </c>
      <c r="AL2004" s="714"/>
      <c r="AM2004" s="114" t="str">
        <f t="shared" ref="AM2004:AM2067" si="1427">IF(H2004="credit","",IF(AE2004="free","      ~ discounts included, no tax or planting fee applies ~",IF(G2004=0,"",IF(OR(PlanterYesMe="No",PlanterYesMe="N",PlanterYesMe="me"),CONCATENATE(" $",ROUND(AJ2004/G2004,2)," per plant, with tax &amp; discount"),IF(OR(AE2004="me",AE2004="T2G"),CONCATENATE(" $",ROUND(AJ2004/G2004,2)," per plant, with tax &amp; discount"),CONCATENATE("= $",ROUND((K2004*(1-T2GDiscount))/G2004,2)," per plant + $",AC2004/G2004,(" per planting      ~ includes tax &amp; discounts ~")))))))</f>
        <v/>
      </c>
      <c r="AN2004" s="115"/>
      <c r="AO2004" s="116"/>
      <c r="AP2004" s="116"/>
      <c r="AQ2004" s="116"/>
      <c r="AR2004" s="116"/>
      <c r="AS2004" s="116"/>
      <c r="AT2004" s="116"/>
      <c r="AU2004" s="116"/>
      <c r="AV2004" s="78"/>
      <c r="AW2004" s="102"/>
      <c r="AX2004" s="78"/>
      <c r="AY2004" s="78"/>
      <c r="AZ2004" s="78"/>
      <c r="BA2004" s="78"/>
      <c r="BB2004" s="78"/>
      <c r="BC2004" s="78"/>
      <c r="BD2004" s="78"/>
      <c r="BE2004" s="465"/>
      <c r="BF2004" s="165" t="str">
        <f t="shared" ref="BF2004:BF2067" si="1428">"https://www.google.com/search?tbm=isch&amp;q=" &amp; _xlfn.ENCODEURL($A2004 &amp; " " &amp; $D2004)</f>
        <v>https://www.google.com/search?tbm=isch&amp;q=Hyd.%20paniculata%20%27HYLV17522%27%20PPAF%20Dragon%20Baby%E2%84%A2%20Hydrangea</v>
      </c>
      <c r="BG2004" s="165" t="str">
        <f t="shared" ref="BG2004:BG2067" si="1429">IF(ISTEXT(A2004),LEFT(A2004,1),BG2003)</f>
        <v>H</v>
      </c>
      <c r="BH2004" s="65"/>
      <c r="BI2004" s="65"/>
      <c r="BJ2004" s="65"/>
      <c r="BK2004" s="65"/>
      <c r="BL2004" s="99"/>
      <c r="BM2004" s="99"/>
      <c r="BN2004" s="99"/>
    </row>
    <row r="2005" spans="1:66" s="51" customFormat="1" ht="15.75" x14ac:dyDescent="0.25">
      <c r="A2005" s="634">
        <v>3</v>
      </c>
      <c r="B2005" s="635" t="s">
        <v>291</v>
      </c>
      <c r="C2005" s="636" t="s">
        <v>2830</v>
      </c>
      <c r="D2005" s="637" t="s">
        <v>329</v>
      </c>
      <c r="E2005" s="638">
        <v>32.950000000000003</v>
      </c>
      <c r="F2005" s="639" t="s">
        <v>292</v>
      </c>
      <c r="G2005" s="484">
        <v>0</v>
      </c>
      <c r="H2005" s="691" t="str">
        <f>IF(G2005=0,"",IF(F2005="Buy",IF(G2005=1,"plant","plants"),IF(F2005&gt;0.01,"warranty","Error")))</f>
        <v/>
      </c>
      <c r="I2005" s="640">
        <f>IF(H2005="free",0,IF(H2005="credit",((E2005*(F2005))*G2005*-1),IF(F2005="Buy",(E2005*G2005),((E2005*(1-F2005))*G2005))))</f>
        <v>0</v>
      </c>
      <c r="J2005" s="640">
        <f>IF(H2005="warranty",0,(I2005*(_xlfn.SINGLE(SalesTaxPercentage))))</f>
        <v>0</v>
      </c>
      <c r="K2005" s="716">
        <f t="shared" ref="K2005" si="1430">I2005+J2005</f>
        <v>0</v>
      </c>
      <c r="L2005" s="716"/>
      <c r="M2005" s="689" t="str">
        <f ca="1">IF(AND(G2005&gt;0,E2005=0),"WARNING - no PRICE inserted",IF(H2005="free","FREE ~ no charge this plant",IF(H2005="credit",CONCATENATE("-$",ROUND(K2005*(1-_xlfn.SINGLE(T2GDiscount))*-1,2)," CREDIT after discount"),IF(_xlfn.SINGLE(T2GDiscount)=0,"",IF(G2005=0,"",IF(F2005="Buy",CONCATENATE("$",ROUND(K2005*(1-_xlfn.SINGLE(T2GDiscount)),2)," with ",(_xlfn.SINGLE(T2GDiscount)*100),"% discount"),CONCATENATE("$",ROUND(K2005*(1-_xlfn.SINGLE(T2GDiscount)),2)," with ",((_xlfn.SINGLE(T2GDiscount)*100+F2005*100)-(_xlfn.SINGLE(T2GDiscount)*100*F2005)),IF(F2005&gt;0,"% discounts",IF(_xlfn.SINGLE(NoWarrantyDiscount)&gt;0,"% discounts","% discount")))))))))</f>
        <v/>
      </c>
      <c r="N2005" s="690"/>
      <c r="O2005" s="486"/>
      <c r="P2005" s="486"/>
      <c r="Q2005" s="486"/>
      <c r="R2005" s="486"/>
      <c r="S2005" s="486"/>
      <c r="T2005" s="102">
        <f t="shared" si="1417"/>
        <v>0</v>
      </c>
      <c r="U2005" s="78">
        <f>IF(NOT(ISNUMBER(G2005)), "", VLOOKUP(A2005,'Discount Lookup'!D:E,2,FALSE)*G2005)</f>
        <v>0</v>
      </c>
      <c r="V2005" s="78">
        <f>IF(NOT(ISNUMBER(G2005)), "", VLOOKUP(A2005,'Discount Lookup'!G:H,2,FALSE)*G2005)</f>
        <v>0</v>
      </c>
      <c r="W2005" s="102">
        <f t="shared" si="1418"/>
        <v>0</v>
      </c>
      <c r="X2005" s="102">
        <f t="shared" si="1419"/>
        <v>0</v>
      </c>
      <c r="Y2005" s="120" t="b">
        <f t="shared" si="1420"/>
        <v>0</v>
      </c>
      <c r="Z2005" s="117">
        <f t="shared" si="1421"/>
        <v>0</v>
      </c>
      <c r="AA2005" s="118"/>
      <c r="AB2005" s="118" t="str">
        <f t="shared" si="1422"/>
        <v/>
      </c>
      <c r="AC2005" s="712" t="str">
        <f>IF(AE2005="T2G","no charge",IF(AND(OR(PlanterYesMe="No",PlanterYesMe="N",PlanterYesMe="me"),H2005=""),"",IF(H2005="credit","NO install",IF(AND(K2005="",AE2005="me"),"EACH row",IF(AND(K2005="images",AE2005="me"),"EACH row",IF(D2005="","",IF(H2005="credit","",IF(AE2005="free","re-planting",IF(AE2005="me","   not ELP, by",IF(AND(OR(PlanterYesMe="Yes",PlanterYesMe="Y"),G2005&gt;0),(VLOOKUP(A2005,'Discount Lookup'!J:K,2)*G2005*(1-PlanterDiscount)*(1+PlanterDifficultyPercentage)),IF(AE2005="ELP",(VLOOKUP(A2005,'Discount Lookup'!J:K,2)*G2005*(1-PlanterDiscount)*(1+PlanterDifficultyPercentage)),IF(AE2005="free","re-planting",IF(G2005=0,"",IF(PlanterYesMe="",IF(AE2005="me","   not ELP, by",IF(AE2005="",IF(G2005&gt;0,(VLOOKUP(A2005,'Discount Lookup'!J:K,2)*G2005*(1-PlanterDiscount)*(1+PlanterDifficultyPercentage)),""),"")),"   not ELP, by"))))))))))))))</f>
        <v/>
      </c>
      <c r="AD2005" s="712"/>
      <c r="AE2005" s="513" t="str">
        <f t="shared" si="1423"/>
        <v/>
      </c>
      <c r="AF2005" s="713" t="str">
        <f t="shared" si="1424"/>
        <v/>
      </c>
      <c r="AG2005" s="713"/>
      <c r="AH2005" s="713"/>
      <c r="AI2005" s="112">
        <f>IF(H2005="credit",0,IF(AE2005="free",0,IF(AE2005="me",0,IF(G2005&gt;0,(VLOOKUP(A2005,'Discount Lookup'!J:K,2)*G2005),0))))</f>
        <v>0</v>
      </c>
      <c r="AJ2005" s="107" t="str">
        <f t="shared" ca="1" si="1425"/>
        <v/>
      </c>
      <c r="AK2005" s="714" t="str">
        <f t="shared" si="1426"/>
        <v/>
      </c>
      <c r="AL2005" s="714"/>
      <c r="AM2005" s="114" t="str">
        <f t="shared" si="1427"/>
        <v/>
      </c>
      <c r="AN2005" s="115"/>
      <c r="AO2005" s="116"/>
      <c r="AP2005" s="116"/>
      <c r="AQ2005" s="116"/>
      <c r="AR2005" s="116"/>
      <c r="AS2005" s="116"/>
      <c r="AT2005" s="116"/>
      <c r="AU2005" s="116"/>
      <c r="AV2005" s="78"/>
      <c r="AW2005" s="102"/>
      <c r="AX2005" s="78"/>
      <c r="AY2005" s="78"/>
      <c r="AZ2005" s="78"/>
      <c r="BA2005" s="78"/>
      <c r="BB2005" s="78"/>
      <c r="BC2005" s="78"/>
      <c r="BD2005" s="78"/>
      <c r="BE2005" s="465"/>
      <c r="BF2005" s="165" t="str">
        <f t="shared" si="1428"/>
        <v>https://www.google.com/search?tbm=isch&amp;q=3%20G2</v>
      </c>
      <c r="BG2005" s="165" t="str">
        <f t="shared" si="1429"/>
        <v>H</v>
      </c>
      <c r="BH2005" s="65"/>
      <c r="BI2005" s="65"/>
      <c r="BJ2005" s="65"/>
      <c r="BK2005" s="65"/>
      <c r="BL2005" s="99"/>
      <c r="BM2005" s="99"/>
      <c r="BN2005" s="99"/>
    </row>
    <row r="2006" spans="1:66" s="51" customFormat="1" ht="17.25" thickBot="1" x14ac:dyDescent="0.3">
      <c r="A2006" s="641" t="s">
        <v>4748</v>
      </c>
      <c r="B2006" s="642"/>
      <c r="C2006" s="710"/>
      <c r="D2006" s="643"/>
      <c r="E2006" s="643"/>
      <c r="F2006" s="644"/>
      <c r="G2006" s="645"/>
      <c r="H2006" s="646"/>
      <c r="I2006" s="647"/>
      <c r="J2006" s="648"/>
      <c r="K2006" s="649"/>
      <c r="L2006" s="650"/>
      <c r="M2006" s="650"/>
      <c r="N2006" s="644"/>
      <c r="O2006" s="644"/>
      <c r="P2006" s="644"/>
      <c r="Q2006" s="644"/>
      <c r="R2006" s="644"/>
      <c r="S2006" s="651"/>
      <c r="T2006" s="102">
        <f t="shared" si="1417"/>
        <v>0</v>
      </c>
      <c r="U2006" s="78" t="str">
        <f>IF(NOT(ISNUMBER(G2006)), "", VLOOKUP(A2006,'Discount Lookup'!D:E,2,FALSE)*G2006)</f>
        <v/>
      </c>
      <c r="V2006" s="78" t="str">
        <f>IF(NOT(ISNUMBER(G2006)), "", VLOOKUP(A2006,'Discount Lookup'!G:H,2,FALSE)*G2006)</f>
        <v/>
      </c>
      <c r="W2006" s="102">
        <f t="shared" si="1418"/>
        <v>0</v>
      </c>
      <c r="X2006" s="102">
        <f t="shared" si="1419"/>
        <v>0</v>
      </c>
      <c r="Y2006" s="120" t="b">
        <f t="shared" si="1420"/>
        <v>0</v>
      </c>
      <c r="Z2006" s="117">
        <f t="shared" si="1421"/>
        <v>0</v>
      </c>
      <c r="AA2006" s="118"/>
      <c r="AB2006" s="118" t="str">
        <f t="shared" si="1422"/>
        <v/>
      </c>
      <c r="AC2006" s="712" t="str">
        <f>IF(AE2006="T2G","no charge",IF(AND(OR(PlanterYesMe="No",PlanterYesMe="N",PlanterYesMe="me"),H2006=""),"",IF(H2006="credit","NO install",IF(AND(K2006="",AE2006="me"),"EACH row",IF(AND(K2006="images",AE2006="me"),"EACH row",IF(D2006="","",IF(H2006="credit","",IF(AE2006="free","re-planting",IF(AE2006="me","   not ELP, by",IF(AND(OR(PlanterYesMe="Yes",PlanterYesMe="Y"),G2006&gt;0),(VLOOKUP(A2006,'Discount Lookup'!J:K,2)*G2006*(1-PlanterDiscount)*(1+PlanterDifficultyPercentage)),IF(AE2006="ELP",(VLOOKUP(A2006,'Discount Lookup'!J:K,2)*G2006*(1-PlanterDiscount)*(1+PlanterDifficultyPercentage)),IF(AE2006="free","re-planting",IF(G2006=0,"",IF(PlanterYesMe="",IF(AE2006="me","   not ELP, by",IF(AE2006="",IF(G2006&gt;0,(VLOOKUP(A2006,'Discount Lookup'!J:K,2)*G2006*(1-PlanterDiscount)*(1+PlanterDifficultyPercentage)),""),"")),"   not ELP, by"))))))))))))))</f>
        <v/>
      </c>
      <c r="AD2006" s="712"/>
      <c r="AE2006" s="513" t="str">
        <f t="shared" si="1423"/>
        <v/>
      </c>
      <c r="AF2006" s="713" t="str">
        <f t="shared" si="1424"/>
        <v/>
      </c>
      <c r="AG2006" s="713"/>
      <c r="AH2006" s="713"/>
      <c r="AI2006" s="112">
        <f>IF(H2006="credit",0,IF(AE2006="free",0,IF(AE2006="me",0,IF(G2006&gt;0,(VLOOKUP(A2006,'Discount Lookup'!J:K,2)*G2006),0))))</f>
        <v>0</v>
      </c>
      <c r="AJ2006" s="107" t="str">
        <f t="shared" ca="1" si="1425"/>
        <v/>
      </c>
      <c r="AK2006" s="714" t="str">
        <f t="shared" si="1426"/>
        <v/>
      </c>
      <c r="AL2006" s="714"/>
      <c r="AM2006" s="114" t="str">
        <f t="shared" si="1427"/>
        <v/>
      </c>
      <c r="AN2006" s="115"/>
      <c r="AO2006" s="116"/>
      <c r="AP2006" s="116"/>
      <c r="AQ2006" s="116"/>
      <c r="AR2006" s="116"/>
      <c r="AS2006" s="116"/>
      <c r="AT2006" s="116"/>
      <c r="AU2006" s="116"/>
      <c r="AV2006" s="78"/>
      <c r="AW2006" s="102"/>
      <c r="AX2006" s="78"/>
      <c r="AY2006" s="78"/>
      <c r="AZ2006" s="78"/>
      <c r="BA2006" s="78"/>
      <c r="BB2006" s="78"/>
      <c r="BC2006" s="78"/>
      <c r="BD2006" s="78"/>
      <c r="BE2006" s="465"/>
      <c r="BF2006" s="165" t="str">
        <f t="shared" si="1428"/>
        <v>https://www.google.com/search?tbm=isch&amp;q=Dragon%20Baby%20has%20Green%20foliage.%20All%20%22Hardy%22%20Hydrangea%20have%20cone-shaped%20flowers%20on%20new%20wood.%20Flowers%20change%20color%20with%20age.%20Extremely%20cold-hardy%20</v>
      </c>
      <c r="BG2006" s="165" t="str">
        <f t="shared" si="1429"/>
        <v>D</v>
      </c>
      <c r="BH2006" s="65"/>
      <c r="BI2006" s="65"/>
      <c r="BJ2006" s="65"/>
      <c r="BK2006" s="65"/>
      <c r="BL2006" s="99"/>
      <c r="BM2006" s="99"/>
      <c r="BN2006" s="99"/>
    </row>
    <row r="2007" spans="1:66" s="51" customFormat="1" ht="18" x14ac:dyDescent="0.25">
      <c r="A2007" s="623" t="s">
        <v>2831</v>
      </c>
      <c r="B2007" s="624"/>
      <c r="C2007" s="709"/>
      <c r="D2007" s="625" t="s">
        <v>5691</v>
      </c>
      <c r="E2007" s="626"/>
      <c r="F2007" s="626"/>
      <c r="G2007" s="626"/>
      <c r="H2007" s="622" t="s">
        <v>1088</v>
      </c>
      <c r="I2007" s="627" t="s">
        <v>2814</v>
      </c>
      <c r="J2007" s="628"/>
      <c r="K2007" s="628"/>
      <c r="L2007" s="629"/>
      <c r="M2007" s="700" t="s">
        <v>5249</v>
      </c>
      <c r="N2007" s="693" t="str">
        <f>IF(AND(ISTEXT($A2007), ISERROR($A2007+0)), HYPERLINK($BF2007, "Images"), "")</f>
        <v>Images</v>
      </c>
      <c r="O2007" s="695" t="s">
        <v>5247</v>
      </c>
      <c r="P2007" s="630"/>
      <c r="Q2007" s="631"/>
      <c r="R2007" s="632"/>
      <c r="S2007" s="633"/>
      <c r="T2007" s="102">
        <f t="shared" si="1417"/>
        <v>0</v>
      </c>
      <c r="U2007" s="78" t="str">
        <f>IF(NOT(ISNUMBER(G2007)), "", VLOOKUP(A2007,'Discount Lookup'!D:E,2,FALSE)*G2007)</f>
        <v/>
      </c>
      <c r="V2007" s="78" t="str">
        <f>IF(NOT(ISNUMBER(G2007)), "", VLOOKUP(A2007,'Discount Lookup'!G:H,2,FALSE)*G2007)</f>
        <v/>
      </c>
      <c r="W2007" s="102">
        <f t="shared" si="1418"/>
        <v>0</v>
      </c>
      <c r="X2007" s="102" t="str">
        <f t="shared" si="1419"/>
        <v>White bloom ages to Pink</v>
      </c>
      <c r="Y2007" s="120" t="b">
        <f t="shared" si="1420"/>
        <v>0</v>
      </c>
      <c r="Z2007" s="117">
        <f t="shared" si="1421"/>
        <v>0</v>
      </c>
      <c r="AA2007" s="118"/>
      <c r="AB2007" s="118" t="str">
        <f t="shared" si="1422"/>
        <v/>
      </c>
      <c r="AC2007" s="712" t="str">
        <f>IF(AE2007="T2G","no charge",IF(AND(OR(PlanterYesMe="No",PlanterYesMe="N",PlanterYesMe="me"),H2007=""),"",IF(H2007="credit","NO install",IF(AND(K2007="",AE2007="me"),"EACH row",IF(AND(K2007="images",AE2007="me"),"EACH row",IF(D2007="","",IF(H2007="credit","",IF(AE2007="free","re-planting",IF(AE2007="me","   not ELP, by",IF(AND(OR(PlanterYesMe="Yes",PlanterYesMe="Y"),G2007&gt;0),(VLOOKUP(A2007,'Discount Lookup'!J:K,2)*G2007*(1-PlanterDiscount)*(1+PlanterDifficultyPercentage)),IF(AE2007="ELP",(VLOOKUP(A2007,'Discount Lookup'!J:K,2)*G2007*(1-PlanterDiscount)*(1+PlanterDifficultyPercentage)),IF(AE2007="free","re-planting",IF(G2007=0,"",IF(PlanterYesMe="",IF(AE2007="me","   not ELP, by",IF(AE2007="",IF(G2007&gt;0,(VLOOKUP(A2007,'Discount Lookup'!J:K,2)*G2007*(1-PlanterDiscount)*(1+PlanterDifficultyPercentage)),""),"")),"   not ELP, by"))))))))))))))</f>
        <v/>
      </c>
      <c r="AD2007" s="712"/>
      <c r="AE2007" s="513" t="str">
        <f t="shared" si="1423"/>
        <v/>
      </c>
      <c r="AF2007" s="713" t="str">
        <f t="shared" si="1424"/>
        <v/>
      </c>
      <c r="AG2007" s="713"/>
      <c r="AH2007" s="713"/>
      <c r="AI2007" s="112">
        <f>IF(H2007="credit",0,IF(AE2007="free",0,IF(AE2007="me",0,IF(G2007&gt;0,(VLOOKUP(A2007,'Discount Lookup'!J:K,2)*G2007),0))))</f>
        <v>0</v>
      </c>
      <c r="AJ2007" s="107" t="str">
        <f t="shared" ca="1" si="1425"/>
        <v/>
      </c>
      <c r="AK2007" s="714" t="str">
        <f t="shared" si="1426"/>
        <v/>
      </c>
      <c r="AL2007" s="714"/>
      <c r="AM2007" s="114" t="str">
        <f t="shared" si="1427"/>
        <v/>
      </c>
      <c r="AN2007" s="115"/>
      <c r="AO2007" s="116"/>
      <c r="AP2007" s="116"/>
      <c r="AQ2007" s="116"/>
      <c r="AR2007" s="116"/>
      <c r="AS2007" s="116"/>
      <c r="AT2007" s="116"/>
      <c r="AU2007" s="116"/>
      <c r="AV2007" s="78"/>
      <c r="AW2007" s="102"/>
      <c r="AX2007" s="78"/>
      <c r="AY2007" s="78"/>
      <c r="AZ2007" s="78"/>
      <c r="BA2007" s="78"/>
      <c r="BB2007" s="78"/>
      <c r="BC2007" s="78"/>
      <c r="BD2007" s="78"/>
      <c r="BE2007" s="465"/>
      <c r="BF2007" s="165" t="str">
        <f t="shared" si="1428"/>
        <v>https://www.google.com/search?tbm=isch&amp;q=Hyd.%20paniculata%20%27ILVOBO%27%20PP%2322782%20Bobo%C2%AE%20Hardy%20Hydrangea</v>
      </c>
      <c r="BG2007" s="165" t="str">
        <f t="shared" si="1429"/>
        <v>H</v>
      </c>
      <c r="BH2007" s="65"/>
      <c r="BI2007" s="65"/>
      <c r="BJ2007" s="65"/>
      <c r="BK2007" s="65"/>
      <c r="BL2007" s="99"/>
      <c r="BM2007" s="99"/>
      <c r="BN2007" s="99"/>
    </row>
    <row r="2008" spans="1:66" s="51" customFormat="1" ht="15.75" x14ac:dyDescent="0.25">
      <c r="A2008" s="634">
        <v>3</v>
      </c>
      <c r="B2008" s="635" t="s">
        <v>291</v>
      </c>
      <c r="C2008" s="636" t="s">
        <v>2832</v>
      </c>
      <c r="D2008" s="637" t="s">
        <v>309</v>
      </c>
      <c r="E2008" s="638">
        <v>36.950000000000003</v>
      </c>
      <c r="F2008" s="639" t="s">
        <v>292</v>
      </c>
      <c r="G2008" s="484">
        <v>0</v>
      </c>
      <c r="H2008" s="691" t="str">
        <f>IF(G2008=0,"",IF(F2008="Buy",IF(G2008=1,"plant","plants"),IF(F2008&gt;0.01,"warranty","Error")))</f>
        <v/>
      </c>
      <c r="I2008" s="640">
        <f>IF(H2008="free",0,IF(H2008="credit",((E2008*(F2008))*G2008*-1),IF(F2008="Buy",(E2008*G2008),((E2008*(1-F2008))*G2008))))</f>
        <v>0</v>
      </c>
      <c r="J2008" s="640">
        <f>IF(H2008="warranty",0,(I2008*(_xlfn.SINGLE(SalesTaxPercentage))))</f>
        <v>0</v>
      </c>
      <c r="K2008" s="716">
        <f t="shared" ref="K2008" si="1431">I2008+J2008</f>
        <v>0</v>
      </c>
      <c r="L2008" s="716"/>
      <c r="M2008" s="689" t="str">
        <f ca="1">IF(AND(G2008&gt;0,E2008=0),"WARNING - no PRICE inserted",IF(H2008="free","FREE ~ no charge this plant",IF(H2008="credit",CONCATENATE("-$",ROUND(K2008*(1-_xlfn.SINGLE(T2GDiscount))*-1,2)," CREDIT after discount"),IF(_xlfn.SINGLE(T2GDiscount)=0,"",IF(G2008=0,"",IF(F2008="Buy",CONCATENATE("$",ROUND(K2008*(1-_xlfn.SINGLE(T2GDiscount)),2)," with ",(_xlfn.SINGLE(T2GDiscount)*100),"% discount"),CONCATENATE("$",ROUND(K2008*(1-_xlfn.SINGLE(T2GDiscount)),2)," with ",((_xlfn.SINGLE(T2GDiscount)*100+F2008*100)-(_xlfn.SINGLE(T2GDiscount)*100*F2008)),IF(F2008&gt;0,"% discounts",IF(_xlfn.SINGLE(NoWarrantyDiscount)&gt;0,"% discounts","% discount")))))))))</f>
        <v/>
      </c>
      <c r="N2008" s="690"/>
      <c r="O2008" s="486"/>
      <c r="P2008" s="486"/>
      <c r="Q2008" s="486"/>
      <c r="R2008" s="486"/>
      <c r="S2008" s="486"/>
      <c r="T2008" s="102">
        <f t="shared" si="1417"/>
        <v>0</v>
      </c>
      <c r="U2008" s="78">
        <f>IF(NOT(ISNUMBER(G2008)), "", VLOOKUP(A2008,'Discount Lookup'!D:E,2,FALSE)*G2008)</f>
        <v>0</v>
      </c>
      <c r="V2008" s="78">
        <f>IF(NOT(ISNUMBER(G2008)), "", VLOOKUP(A2008,'Discount Lookup'!G:H,2,FALSE)*G2008)</f>
        <v>0</v>
      </c>
      <c r="W2008" s="102">
        <f t="shared" si="1418"/>
        <v>0</v>
      </c>
      <c r="X2008" s="102">
        <f t="shared" si="1419"/>
        <v>0</v>
      </c>
      <c r="Y2008" s="120" t="b">
        <f t="shared" si="1420"/>
        <v>0</v>
      </c>
      <c r="Z2008" s="117">
        <f t="shared" si="1421"/>
        <v>0</v>
      </c>
      <c r="AA2008" s="118"/>
      <c r="AB2008" s="118" t="str">
        <f t="shared" si="1422"/>
        <v/>
      </c>
      <c r="AC2008" s="712" t="str">
        <f>IF(AE2008="T2G","no charge",IF(AND(OR(PlanterYesMe="No",PlanterYesMe="N",PlanterYesMe="me"),H2008=""),"",IF(H2008="credit","NO install",IF(AND(K2008="",AE2008="me"),"EACH row",IF(AND(K2008="images",AE2008="me"),"EACH row",IF(D2008="","",IF(H2008="credit","",IF(AE2008="free","re-planting",IF(AE2008="me","   not ELP, by",IF(AND(OR(PlanterYesMe="Yes",PlanterYesMe="Y"),G2008&gt;0),(VLOOKUP(A2008,'Discount Lookup'!J:K,2)*G2008*(1-PlanterDiscount)*(1+PlanterDifficultyPercentage)),IF(AE2008="ELP",(VLOOKUP(A2008,'Discount Lookup'!J:K,2)*G2008*(1-PlanterDiscount)*(1+PlanterDifficultyPercentage)),IF(AE2008="free","re-planting",IF(G2008=0,"",IF(PlanterYesMe="",IF(AE2008="me","   not ELP, by",IF(AE2008="",IF(G2008&gt;0,(VLOOKUP(A2008,'Discount Lookup'!J:K,2)*G2008*(1-PlanterDiscount)*(1+PlanterDifficultyPercentage)),""),"")),"   not ELP, by"))))))))))))))</f>
        <v/>
      </c>
      <c r="AD2008" s="712"/>
      <c r="AE2008" s="513" t="str">
        <f t="shared" si="1423"/>
        <v/>
      </c>
      <c r="AF2008" s="713" t="str">
        <f t="shared" si="1424"/>
        <v/>
      </c>
      <c r="AG2008" s="713"/>
      <c r="AH2008" s="713"/>
      <c r="AI2008" s="112">
        <f>IF(H2008="credit",0,IF(AE2008="free",0,IF(AE2008="me",0,IF(G2008&gt;0,(VLOOKUP(A2008,'Discount Lookup'!J:K,2)*G2008),0))))</f>
        <v>0</v>
      </c>
      <c r="AJ2008" s="107" t="str">
        <f t="shared" ca="1" si="1425"/>
        <v/>
      </c>
      <c r="AK2008" s="714" t="str">
        <f t="shared" si="1426"/>
        <v/>
      </c>
      <c r="AL2008" s="714"/>
      <c r="AM2008" s="114" t="str">
        <f t="shared" si="1427"/>
        <v/>
      </c>
      <c r="AN2008" s="115"/>
      <c r="AO2008" s="116"/>
      <c r="AP2008" s="116"/>
      <c r="AQ2008" s="116"/>
      <c r="AR2008" s="116"/>
      <c r="AS2008" s="116"/>
      <c r="AT2008" s="116"/>
      <c r="AU2008" s="116"/>
      <c r="AV2008" s="78"/>
      <c r="AW2008" s="102"/>
      <c r="AX2008" s="78"/>
      <c r="AY2008" s="78"/>
      <c r="AZ2008" s="78"/>
      <c r="BA2008" s="78"/>
      <c r="BB2008" s="78"/>
      <c r="BC2008" s="78"/>
      <c r="BD2008" s="78"/>
      <c r="BE2008" s="465"/>
      <c r="BF2008" s="165" t="str">
        <f t="shared" si="1428"/>
        <v>https://www.google.com/search?tbm=isch&amp;q=3%20G3</v>
      </c>
      <c r="BG2008" s="165" t="str">
        <f t="shared" si="1429"/>
        <v>H</v>
      </c>
      <c r="BH2008" s="65"/>
      <c r="BI2008" s="65"/>
      <c r="BJ2008" s="65"/>
      <c r="BK2008" s="65"/>
      <c r="BL2008" s="99"/>
      <c r="BM2008" s="99"/>
      <c r="BN2008" s="99"/>
    </row>
    <row r="2009" spans="1:66" s="51" customFormat="1" ht="17.25" thickBot="1" x14ac:dyDescent="0.3">
      <c r="A2009" s="641" t="s">
        <v>4749</v>
      </c>
      <c r="B2009" s="642"/>
      <c r="C2009" s="710"/>
      <c r="D2009" s="643"/>
      <c r="E2009" s="643"/>
      <c r="F2009" s="644"/>
      <c r="G2009" s="645"/>
      <c r="H2009" s="646"/>
      <c r="I2009" s="647"/>
      <c r="J2009" s="648"/>
      <c r="K2009" s="649"/>
      <c r="L2009" s="650"/>
      <c r="M2009" s="650"/>
      <c r="N2009" s="644"/>
      <c r="O2009" s="644"/>
      <c r="P2009" s="644"/>
      <c r="Q2009" s="644"/>
      <c r="R2009" s="644"/>
      <c r="S2009" s="651"/>
      <c r="T2009" s="102">
        <f t="shared" si="1417"/>
        <v>0</v>
      </c>
      <c r="U2009" s="78" t="str">
        <f>IF(NOT(ISNUMBER(G2009)), "", VLOOKUP(A2009,'Discount Lookup'!D:E,2,FALSE)*G2009)</f>
        <v/>
      </c>
      <c r="V2009" s="78" t="str">
        <f>IF(NOT(ISNUMBER(G2009)), "", VLOOKUP(A2009,'Discount Lookup'!G:H,2,FALSE)*G2009)</f>
        <v/>
      </c>
      <c r="W2009" s="102">
        <f t="shared" si="1418"/>
        <v>0</v>
      </c>
      <c r="X2009" s="102">
        <f t="shared" si="1419"/>
        <v>0</v>
      </c>
      <c r="Y2009" s="120" t="b">
        <f t="shared" si="1420"/>
        <v>0</v>
      </c>
      <c r="Z2009" s="117">
        <f t="shared" si="1421"/>
        <v>0</v>
      </c>
      <c r="AA2009" s="118"/>
      <c r="AB2009" s="118" t="str">
        <f t="shared" si="1422"/>
        <v/>
      </c>
      <c r="AC2009" s="712" t="str">
        <f>IF(AE2009="T2G","no charge",IF(AND(OR(PlanterYesMe="No",PlanterYesMe="N",PlanterYesMe="me"),H2009=""),"",IF(H2009="credit","NO install",IF(AND(K2009="",AE2009="me"),"EACH row",IF(AND(K2009="images",AE2009="me"),"EACH row",IF(D2009="","",IF(H2009="credit","",IF(AE2009="free","re-planting",IF(AE2009="me","   not ELP, by",IF(AND(OR(PlanterYesMe="Yes",PlanterYesMe="Y"),G2009&gt;0),(VLOOKUP(A2009,'Discount Lookup'!J:K,2)*G2009*(1-PlanterDiscount)*(1+PlanterDifficultyPercentage)),IF(AE2009="ELP",(VLOOKUP(A2009,'Discount Lookup'!J:K,2)*G2009*(1-PlanterDiscount)*(1+PlanterDifficultyPercentage)),IF(AE2009="free","re-planting",IF(G2009=0,"",IF(PlanterYesMe="",IF(AE2009="me","   not ELP, by",IF(AE2009="",IF(G2009&gt;0,(VLOOKUP(A2009,'Discount Lookup'!J:K,2)*G2009*(1-PlanterDiscount)*(1+PlanterDifficultyPercentage)),""),"")),"   not ELP, by"))))))))))))))</f>
        <v/>
      </c>
      <c r="AD2009" s="712"/>
      <c r="AE2009" s="513" t="str">
        <f t="shared" si="1423"/>
        <v/>
      </c>
      <c r="AF2009" s="713" t="str">
        <f t="shared" si="1424"/>
        <v/>
      </c>
      <c r="AG2009" s="713"/>
      <c r="AH2009" s="713"/>
      <c r="AI2009" s="112">
        <f>IF(H2009="credit",0,IF(AE2009="free",0,IF(AE2009="me",0,IF(G2009&gt;0,(VLOOKUP(A2009,'Discount Lookup'!J:K,2)*G2009),0))))</f>
        <v>0</v>
      </c>
      <c r="AJ2009" s="107" t="str">
        <f t="shared" ca="1" si="1425"/>
        <v/>
      </c>
      <c r="AK2009" s="714" t="str">
        <f t="shared" si="1426"/>
        <v/>
      </c>
      <c r="AL2009" s="714"/>
      <c r="AM2009" s="114" t="str">
        <f t="shared" si="1427"/>
        <v/>
      </c>
      <c r="AN2009" s="115"/>
      <c r="AO2009" s="116"/>
      <c r="AP2009" s="116"/>
      <c r="AQ2009" s="116"/>
      <c r="AR2009" s="116"/>
      <c r="AS2009" s="116"/>
      <c r="AT2009" s="116"/>
      <c r="AU2009" s="116"/>
      <c r="AV2009" s="78"/>
      <c r="AW2009" s="102"/>
      <c r="AX2009" s="78"/>
      <c r="AY2009" s="78"/>
      <c r="AZ2009" s="78"/>
      <c r="BA2009" s="78"/>
      <c r="BB2009" s="78"/>
      <c r="BC2009" s="78"/>
      <c r="BD2009" s="78"/>
      <c r="BE2009" s="465"/>
      <c r="BF2009" s="165" t="str">
        <f t="shared" si="1428"/>
        <v>https://www.google.com/search?tbm=isch&amp;q=Bobo%20has%20Green%20foliage.%20All%20%22Hardy%22%20Hydrangea%20have%20cone-shaped%20flowers%20on%20new%20wood.%20Flowers%20change%20color%20with%20age.%20Extremely%20cold-hardy%20</v>
      </c>
      <c r="BG2009" s="165" t="str">
        <f t="shared" si="1429"/>
        <v>B</v>
      </c>
      <c r="BH2009" s="65"/>
      <c r="BI2009" s="65"/>
      <c r="BJ2009" s="65"/>
      <c r="BK2009" s="65"/>
      <c r="BL2009" s="99"/>
      <c r="BM2009" s="99"/>
      <c r="BN2009" s="99"/>
    </row>
    <row r="2010" spans="1:66" s="51" customFormat="1" ht="18" x14ac:dyDescent="0.25">
      <c r="A2010" s="623" t="s">
        <v>2833</v>
      </c>
      <c r="B2010" s="624"/>
      <c r="C2010" s="709"/>
      <c r="D2010" s="625" t="s">
        <v>5892</v>
      </c>
      <c r="E2010" s="626"/>
      <c r="F2010" s="626"/>
      <c r="G2010" s="626"/>
      <c r="H2010" s="622" t="s">
        <v>1082</v>
      </c>
      <c r="I2010" s="627" t="s">
        <v>2834</v>
      </c>
      <c r="J2010" s="628"/>
      <c r="K2010" s="628"/>
      <c r="L2010" s="629"/>
      <c r="M2010" s="700" t="s">
        <v>5249</v>
      </c>
      <c r="N2010" s="693" t="str">
        <f>IF(AND(ISTEXT($A2010), ISERROR($A2010+0)), HYPERLINK($BF2010, "Images"), "")</f>
        <v>Images</v>
      </c>
      <c r="O2010" s="695" t="s">
        <v>5247</v>
      </c>
      <c r="P2010" s="630"/>
      <c r="Q2010" s="631"/>
      <c r="R2010" s="632"/>
      <c r="S2010" s="633"/>
      <c r="T2010" s="102">
        <f t="shared" si="1417"/>
        <v>0</v>
      </c>
      <c r="U2010" s="78" t="str">
        <f>IF(NOT(ISNUMBER(G2010)), "", VLOOKUP(A2010,'Discount Lookup'!D:E,2,FALSE)*G2010)</f>
        <v/>
      </c>
      <c r="V2010" s="78" t="str">
        <f>IF(NOT(ISNUMBER(G2010)), "", VLOOKUP(A2010,'Discount Lookup'!G:H,2,FALSE)*G2010)</f>
        <v/>
      </c>
      <c r="W2010" s="102">
        <f t="shared" si="1418"/>
        <v>0</v>
      </c>
      <c r="X2010" s="102" t="str">
        <f t="shared" si="1419"/>
        <v>Lime Green ages to Pink</v>
      </c>
      <c r="Y2010" s="120" t="b">
        <f t="shared" si="1420"/>
        <v>0</v>
      </c>
      <c r="Z2010" s="117">
        <f t="shared" si="1421"/>
        <v>0</v>
      </c>
      <c r="AA2010" s="118"/>
      <c r="AB2010" s="118" t="str">
        <f t="shared" si="1422"/>
        <v/>
      </c>
      <c r="AC2010" s="712" t="str">
        <f>IF(AE2010="T2G","no charge",IF(AND(OR(PlanterYesMe="No",PlanterYesMe="N",PlanterYesMe="me"),H2010=""),"",IF(H2010="credit","NO install",IF(AND(K2010="",AE2010="me"),"EACH row",IF(AND(K2010="images",AE2010="me"),"EACH row",IF(D2010="","",IF(H2010="credit","",IF(AE2010="free","re-planting",IF(AE2010="me","   not ELP, by",IF(AND(OR(PlanterYesMe="Yes",PlanterYesMe="Y"),G2010&gt;0),(VLOOKUP(A2010,'Discount Lookup'!J:K,2)*G2010*(1-PlanterDiscount)*(1+PlanterDifficultyPercentage)),IF(AE2010="ELP",(VLOOKUP(A2010,'Discount Lookup'!J:K,2)*G2010*(1-PlanterDiscount)*(1+PlanterDifficultyPercentage)),IF(AE2010="free","re-planting",IF(G2010=0,"",IF(PlanterYesMe="",IF(AE2010="me","   not ELP, by",IF(AE2010="",IF(G2010&gt;0,(VLOOKUP(A2010,'Discount Lookup'!J:K,2)*G2010*(1-PlanterDiscount)*(1+PlanterDifficultyPercentage)),""),"")),"   not ELP, by"))))))))))))))</f>
        <v/>
      </c>
      <c r="AD2010" s="712"/>
      <c r="AE2010" s="513" t="str">
        <f t="shared" si="1423"/>
        <v/>
      </c>
      <c r="AF2010" s="713" t="str">
        <f t="shared" si="1424"/>
        <v/>
      </c>
      <c r="AG2010" s="713"/>
      <c r="AH2010" s="713"/>
      <c r="AI2010" s="112">
        <f>IF(H2010="credit",0,IF(AE2010="free",0,IF(AE2010="me",0,IF(G2010&gt;0,(VLOOKUP(A2010,'Discount Lookup'!J:K,2)*G2010),0))))</f>
        <v>0</v>
      </c>
      <c r="AJ2010" s="107" t="str">
        <f t="shared" ca="1" si="1425"/>
        <v/>
      </c>
      <c r="AK2010" s="714" t="str">
        <f t="shared" si="1426"/>
        <v/>
      </c>
      <c r="AL2010" s="714"/>
      <c r="AM2010" s="114" t="str">
        <f t="shared" si="1427"/>
        <v/>
      </c>
      <c r="AN2010" s="115"/>
      <c r="AO2010" s="116"/>
      <c r="AP2010" s="116"/>
      <c r="AQ2010" s="116"/>
      <c r="AR2010" s="116"/>
      <c r="AS2010" s="116"/>
      <c r="AT2010" s="116"/>
      <c r="AU2010" s="116"/>
      <c r="AV2010" s="78"/>
      <c r="AW2010" s="102"/>
      <c r="AX2010" s="78"/>
      <c r="AY2010" s="78"/>
      <c r="AZ2010" s="78"/>
      <c r="BA2010" s="78"/>
      <c r="BB2010" s="78"/>
      <c r="BC2010" s="78"/>
      <c r="BD2010" s="78"/>
      <c r="BE2010" s="465"/>
      <c r="BF2010" s="165" t="str">
        <f t="shared" si="1428"/>
        <v>https://www.google.com/search?tbm=isch&amp;q=Hyd.%20paniculata%20%27Jane%27%20PP%2322330%20Little%20Lime%C2%AE%20Hydrangea%20%28PW%C2%AE%29</v>
      </c>
      <c r="BG2010" s="165" t="str">
        <f t="shared" si="1429"/>
        <v>H</v>
      </c>
      <c r="BH2010" s="65"/>
      <c r="BI2010" s="65"/>
      <c r="BJ2010" s="65"/>
      <c r="BK2010" s="65"/>
      <c r="BL2010" s="99"/>
      <c r="BM2010" s="99"/>
      <c r="BN2010" s="99"/>
    </row>
    <row r="2011" spans="1:66" s="51" customFormat="1" ht="15.75" x14ac:dyDescent="0.25">
      <c r="A2011" s="634">
        <v>3</v>
      </c>
      <c r="B2011" s="635" t="s">
        <v>291</v>
      </c>
      <c r="C2011" s="636"/>
      <c r="D2011" s="637" t="s">
        <v>310</v>
      </c>
      <c r="E2011" s="638">
        <v>39.950000000000003</v>
      </c>
      <c r="F2011" s="639" t="s">
        <v>292</v>
      </c>
      <c r="G2011" s="484">
        <v>0</v>
      </c>
      <c r="H2011" s="691" t="str">
        <f t="shared" ref="H2011:H2017" si="1432">IF(G2011=0,"",IF(F2011="Buy",IF(G2011=1,"plant","plants"),IF(F2011&gt;0.01,"warranty","Error")))</f>
        <v/>
      </c>
      <c r="I2011" s="640">
        <f t="shared" ref="I2011:I2017" si="1433">IF(H2011="free",0,IF(H2011="credit",((E2011*(F2011))*G2011*-1),IF(F2011="Buy",(E2011*G2011),((E2011*(1-F2011))*G2011))))</f>
        <v>0</v>
      </c>
      <c r="J2011" s="640">
        <f t="shared" ref="J2011:J2017" si="1434">IF(H2011="warranty",0,(I2011*(_xlfn.SINGLE(SalesTaxPercentage))))</f>
        <v>0</v>
      </c>
      <c r="K2011" s="716">
        <f t="shared" ref="K2011" si="1435">I2011+J2011</f>
        <v>0</v>
      </c>
      <c r="L2011" s="716"/>
      <c r="M2011" s="689" t="str">
        <f t="shared" ref="M2011:M2017" ca="1" si="1436">IF(AND(G2011&gt;0,E2011=0),"WARNING - no PRICE inserted",IF(H2011="free","FREE ~ no charge this plant",IF(H2011="credit",CONCATENATE("-$",ROUND(K2011*(1-_xlfn.SINGLE(T2GDiscount))*-1,2)," CREDIT after discount"),IF(_xlfn.SINGLE(T2GDiscount)=0,"",IF(G2011=0,"",IF(F2011="Buy",CONCATENATE("$",ROUND(K2011*(1-_xlfn.SINGLE(T2GDiscount)),2)," with ",(_xlfn.SINGLE(T2GDiscount)*100),"% discount"),CONCATENATE("$",ROUND(K2011*(1-_xlfn.SINGLE(T2GDiscount)),2)," with ",((_xlfn.SINGLE(T2GDiscount)*100+F2011*100)-(_xlfn.SINGLE(T2GDiscount)*100*F2011)),IF(F2011&gt;0,"% discounts",IF(_xlfn.SINGLE(NoWarrantyDiscount)&gt;0,"% discounts","% discount")))))))))</f>
        <v/>
      </c>
      <c r="N2011" s="690"/>
      <c r="O2011" s="486"/>
      <c r="P2011" s="486"/>
      <c r="Q2011" s="486"/>
      <c r="R2011" s="486"/>
      <c r="S2011" s="486"/>
      <c r="T2011" s="102">
        <f t="shared" si="1417"/>
        <v>0</v>
      </c>
      <c r="U2011" s="78">
        <f>IF(NOT(ISNUMBER(G2011)), "", VLOOKUP(A2011,'Discount Lookup'!D:E,2,FALSE)*G2011)</f>
        <v>0</v>
      </c>
      <c r="V2011" s="78">
        <f>IF(NOT(ISNUMBER(G2011)), "", VLOOKUP(A2011,'Discount Lookup'!G:H,2,FALSE)*G2011)</f>
        <v>0</v>
      </c>
      <c r="W2011" s="102">
        <f t="shared" si="1418"/>
        <v>0</v>
      </c>
      <c r="X2011" s="102">
        <f t="shared" si="1419"/>
        <v>0</v>
      </c>
      <c r="Y2011" s="120" t="b">
        <f t="shared" si="1420"/>
        <v>0</v>
      </c>
      <c r="Z2011" s="117">
        <f t="shared" si="1421"/>
        <v>0</v>
      </c>
      <c r="AA2011" s="118"/>
      <c r="AB2011" s="118" t="str">
        <f t="shared" si="1422"/>
        <v/>
      </c>
      <c r="AC2011" s="712" t="str">
        <f>IF(AE2011="T2G","no charge",IF(AND(OR(PlanterYesMe="No",PlanterYesMe="N",PlanterYesMe="me"),H2011=""),"",IF(H2011="credit","NO install",IF(AND(K2011="",AE2011="me"),"EACH row",IF(AND(K2011="images",AE2011="me"),"EACH row",IF(D2011="","",IF(H2011="credit","",IF(AE2011="free","re-planting",IF(AE2011="me","   not ELP, by",IF(AND(OR(PlanterYesMe="Yes",PlanterYesMe="Y"),G2011&gt;0),(VLOOKUP(A2011,'Discount Lookup'!J:K,2)*G2011*(1-PlanterDiscount)*(1+PlanterDifficultyPercentage)),IF(AE2011="ELP",(VLOOKUP(A2011,'Discount Lookup'!J:K,2)*G2011*(1-PlanterDiscount)*(1+PlanterDifficultyPercentage)),IF(AE2011="free","re-planting",IF(G2011=0,"",IF(PlanterYesMe="",IF(AE2011="me","   not ELP, by",IF(AE2011="",IF(G2011&gt;0,(VLOOKUP(A2011,'Discount Lookup'!J:K,2)*G2011*(1-PlanterDiscount)*(1+PlanterDifficultyPercentage)),""),"")),"   not ELP, by"))))))))))))))</f>
        <v/>
      </c>
      <c r="AD2011" s="712"/>
      <c r="AE2011" s="513" t="str">
        <f t="shared" si="1423"/>
        <v/>
      </c>
      <c r="AF2011" s="713" t="str">
        <f t="shared" si="1424"/>
        <v/>
      </c>
      <c r="AG2011" s="713"/>
      <c r="AH2011" s="713"/>
      <c r="AI2011" s="112">
        <f>IF(H2011="credit",0,IF(AE2011="free",0,IF(AE2011="me",0,IF(G2011&gt;0,(VLOOKUP(A2011,'Discount Lookup'!J:K,2)*G2011),0))))</f>
        <v>0</v>
      </c>
      <c r="AJ2011" s="107" t="str">
        <f t="shared" ca="1" si="1425"/>
        <v/>
      </c>
      <c r="AK2011" s="714" t="str">
        <f t="shared" si="1426"/>
        <v/>
      </c>
      <c r="AL2011" s="714"/>
      <c r="AM2011" s="114" t="str">
        <f t="shared" si="1427"/>
        <v/>
      </c>
      <c r="AN2011" s="115"/>
      <c r="AO2011" s="116"/>
      <c r="AP2011" s="116"/>
      <c r="AQ2011" s="116"/>
      <c r="AR2011" s="116"/>
      <c r="AS2011" s="116"/>
      <c r="AT2011" s="116"/>
      <c r="AU2011" s="116"/>
      <c r="AV2011" s="78"/>
      <c r="AW2011" s="102"/>
      <c r="AX2011" s="78"/>
      <c r="AY2011" s="78"/>
      <c r="AZ2011" s="78"/>
      <c r="BA2011" s="78"/>
      <c r="BB2011" s="78"/>
      <c r="BC2011" s="78"/>
      <c r="BD2011" s="78"/>
      <c r="BE2011" s="465"/>
      <c r="BF2011" s="165" t="str">
        <f t="shared" si="1428"/>
        <v>https://www.google.com/search?tbm=isch&amp;q=3%20G1</v>
      </c>
      <c r="BG2011" s="165" t="str">
        <f t="shared" si="1429"/>
        <v>H</v>
      </c>
      <c r="BH2011" s="65"/>
      <c r="BI2011" s="65"/>
      <c r="BJ2011" s="65"/>
      <c r="BK2011" s="65"/>
      <c r="BL2011" s="99"/>
      <c r="BM2011" s="99"/>
      <c r="BN2011" s="99"/>
    </row>
    <row r="2012" spans="1:66" s="51" customFormat="1" ht="15.75" x14ac:dyDescent="0.25">
      <c r="A2012" s="634">
        <v>3</v>
      </c>
      <c r="B2012" s="635" t="s">
        <v>291</v>
      </c>
      <c r="C2012" s="636" t="s">
        <v>2835</v>
      </c>
      <c r="D2012" s="637" t="s">
        <v>329</v>
      </c>
      <c r="E2012" s="638">
        <v>41.95</v>
      </c>
      <c r="F2012" s="639" t="s">
        <v>292</v>
      </c>
      <c r="G2012" s="484">
        <v>0</v>
      </c>
      <c r="H2012" s="691" t="str">
        <f t="shared" si="1432"/>
        <v/>
      </c>
      <c r="I2012" s="640">
        <f t="shared" si="1433"/>
        <v>0</v>
      </c>
      <c r="J2012" s="640">
        <f t="shared" si="1434"/>
        <v>0</v>
      </c>
      <c r="K2012" s="716">
        <f t="shared" ref="K2012" si="1437">I2012+J2012</f>
        <v>0</v>
      </c>
      <c r="L2012" s="716"/>
      <c r="M2012" s="689" t="str">
        <f t="shared" ca="1" si="1436"/>
        <v/>
      </c>
      <c r="N2012" s="690"/>
      <c r="O2012" s="486"/>
      <c r="P2012" s="486"/>
      <c r="Q2012" s="486"/>
      <c r="R2012" s="486"/>
      <c r="S2012" s="486"/>
      <c r="T2012" s="102">
        <f t="shared" si="1417"/>
        <v>0</v>
      </c>
      <c r="U2012" s="78">
        <f>IF(NOT(ISNUMBER(G2012)), "", VLOOKUP(A2012,'Discount Lookup'!D:E,2,FALSE)*G2012)</f>
        <v>0</v>
      </c>
      <c r="V2012" s="78">
        <f>IF(NOT(ISNUMBER(G2012)), "", VLOOKUP(A2012,'Discount Lookup'!G:H,2,FALSE)*G2012)</f>
        <v>0</v>
      </c>
      <c r="W2012" s="102">
        <f t="shared" si="1418"/>
        <v>0</v>
      </c>
      <c r="X2012" s="102">
        <f t="shared" si="1419"/>
        <v>0</v>
      </c>
      <c r="Y2012" s="120" t="b">
        <f t="shared" si="1420"/>
        <v>0</v>
      </c>
      <c r="Z2012" s="117">
        <f t="shared" si="1421"/>
        <v>0</v>
      </c>
      <c r="AA2012" s="118"/>
      <c r="AB2012" s="118" t="str">
        <f t="shared" si="1422"/>
        <v/>
      </c>
      <c r="AC2012" s="712" t="str">
        <f>IF(AE2012="T2G","no charge",IF(AND(OR(PlanterYesMe="No",PlanterYesMe="N",PlanterYesMe="me"),H2012=""),"",IF(H2012="credit","NO install",IF(AND(K2012="",AE2012="me"),"EACH row",IF(AND(K2012="images",AE2012="me"),"EACH row",IF(D2012="","",IF(H2012="credit","",IF(AE2012="free","re-planting",IF(AE2012="me","   not ELP, by",IF(AND(OR(PlanterYesMe="Yes",PlanterYesMe="Y"),G2012&gt;0),(VLOOKUP(A2012,'Discount Lookup'!J:K,2)*G2012*(1-PlanterDiscount)*(1+PlanterDifficultyPercentage)),IF(AE2012="ELP",(VLOOKUP(A2012,'Discount Lookup'!J:K,2)*G2012*(1-PlanterDiscount)*(1+PlanterDifficultyPercentage)),IF(AE2012="free","re-planting",IF(G2012=0,"",IF(PlanterYesMe="",IF(AE2012="me","   not ELP, by",IF(AE2012="",IF(G2012&gt;0,(VLOOKUP(A2012,'Discount Lookup'!J:K,2)*G2012*(1-PlanterDiscount)*(1+PlanterDifficultyPercentage)),""),"")),"   not ELP, by"))))))))))))))</f>
        <v/>
      </c>
      <c r="AD2012" s="712"/>
      <c r="AE2012" s="513" t="str">
        <f t="shared" si="1423"/>
        <v/>
      </c>
      <c r="AF2012" s="713" t="str">
        <f t="shared" si="1424"/>
        <v/>
      </c>
      <c r="AG2012" s="713"/>
      <c r="AH2012" s="713"/>
      <c r="AI2012" s="112">
        <f>IF(H2012="credit",0,IF(AE2012="free",0,IF(AE2012="me",0,IF(G2012&gt;0,(VLOOKUP(A2012,'Discount Lookup'!J:K,2)*G2012),0))))</f>
        <v>0</v>
      </c>
      <c r="AJ2012" s="107" t="str">
        <f t="shared" ca="1" si="1425"/>
        <v/>
      </c>
      <c r="AK2012" s="714" t="str">
        <f t="shared" si="1426"/>
        <v/>
      </c>
      <c r="AL2012" s="714"/>
      <c r="AM2012" s="114" t="str">
        <f t="shared" si="1427"/>
        <v/>
      </c>
      <c r="AN2012" s="115"/>
      <c r="AO2012" s="116"/>
      <c r="AP2012" s="116"/>
      <c r="AQ2012" s="116"/>
      <c r="AR2012" s="116"/>
      <c r="AS2012" s="116"/>
      <c r="AT2012" s="116"/>
      <c r="AU2012" s="116"/>
      <c r="AV2012" s="78"/>
      <c r="AW2012" s="102"/>
      <c r="AX2012" s="78"/>
      <c r="AY2012" s="78"/>
      <c r="AZ2012" s="78"/>
      <c r="BA2012" s="78"/>
      <c r="BB2012" s="78"/>
      <c r="BC2012" s="78"/>
      <c r="BD2012" s="78"/>
      <c r="BE2012" s="465"/>
      <c r="BF2012" s="165" t="str">
        <f t="shared" si="1428"/>
        <v>https://www.google.com/search?tbm=isch&amp;q=3%20G2</v>
      </c>
      <c r="BG2012" s="165" t="str">
        <f t="shared" si="1429"/>
        <v>H</v>
      </c>
      <c r="BH2012" s="65"/>
      <c r="BI2012" s="65"/>
      <c r="BJ2012" s="65"/>
      <c r="BK2012" s="65"/>
      <c r="BL2012" s="99"/>
      <c r="BM2012" s="99"/>
      <c r="BN2012" s="99"/>
    </row>
    <row r="2013" spans="1:66" s="51" customFormat="1" ht="15.75" x14ac:dyDescent="0.25">
      <c r="A2013" s="634">
        <v>3</v>
      </c>
      <c r="B2013" s="635" t="s">
        <v>291</v>
      </c>
      <c r="C2013" s="636" t="s">
        <v>2836</v>
      </c>
      <c r="D2013" s="637" t="s">
        <v>311</v>
      </c>
      <c r="E2013" s="638">
        <v>42.95</v>
      </c>
      <c r="F2013" s="639" t="s">
        <v>292</v>
      </c>
      <c r="G2013" s="484">
        <v>0</v>
      </c>
      <c r="H2013" s="691" t="str">
        <f t="shared" si="1432"/>
        <v/>
      </c>
      <c r="I2013" s="640">
        <f t="shared" si="1433"/>
        <v>0</v>
      </c>
      <c r="J2013" s="640">
        <f t="shared" si="1434"/>
        <v>0</v>
      </c>
      <c r="K2013" s="716">
        <f t="shared" ref="K2013" si="1438">I2013+J2013</f>
        <v>0</v>
      </c>
      <c r="L2013" s="716"/>
      <c r="M2013" s="689" t="str">
        <f t="shared" ca="1" si="1436"/>
        <v/>
      </c>
      <c r="N2013" s="690"/>
      <c r="O2013" s="486"/>
      <c r="P2013" s="486"/>
      <c r="Q2013" s="486"/>
      <c r="R2013" s="486"/>
      <c r="S2013" s="486"/>
      <c r="T2013" s="102">
        <f t="shared" si="1417"/>
        <v>0</v>
      </c>
      <c r="U2013" s="78">
        <f>IF(NOT(ISNUMBER(G2013)), "", VLOOKUP(A2013,'Discount Lookup'!D:E,2,FALSE)*G2013)</f>
        <v>0</v>
      </c>
      <c r="V2013" s="78">
        <f>IF(NOT(ISNUMBER(G2013)), "", VLOOKUP(A2013,'Discount Lookup'!G:H,2,FALSE)*G2013)</f>
        <v>0</v>
      </c>
      <c r="W2013" s="102">
        <f t="shared" si="1418"/>
        <v>0</v>
      </c>
      <c r="X2013" s="102">
        <f t="shared" si="1419"/>
        <v>0</v>
      </c>
      <c r="Y2013" s="120" t="b">
        <f t="shared" si="1420"/>
        <v>0</v>
      </c>
      <c r="Z2013" s="117">
        <f t="shared" si="1421"/>
        <v>0</v>
      </c>
      <c r="AA2013" s="118"/>
      <c r="AB2013" s="118" t="str">
        <f t="shared" si="1422"/>
        <v/>
      </c>
      <c r="AC2013" s="712" t="str">
        <f>IF(AE2013="T2G","no charge",IF(AND(OR(PlanterYesMe="No",PlanterYesMe="N",PlanterYesMe="me"),H2013=""),"",IF(H2013="credit","NO install",IF(AND(K2013="",AE2013="me"),"EACH row",IF(AND(K2013="images",AE2013="me"),"EACH row",IF(D2013="","",IF(H2013="credit","",IF(AE2013="free","re-planting",IF(AE2013="me","   not ELP, by",IF(AND(OR(PlanterYesMe="Yes",PlanterYesMe="Y"),G2013&gt;0),(VLOOKUP(A2013,'Discount Lookup'!J:K,2)*G2013*(1-PlanterDiscount)*(1+PlanterDifficultyPercentage)),IF(AE2013="ELP",(VLOOKUP(A2013,'Discount Lookup'!J:K,2)*G2013*(1-PlanterDiscount)*(1+PlanterDifficultyPercentage)),IF(AE2013="free","re-planting",IF(G2013=0,"",IF(PlanterYesMe="",IF(AE2013="me","   not ELP, by",IF(AE2013="",IF(G2013&gt;0,(VLOOKUP(A2013,'Discount Lookup'!J:K,2)*G2013*(1-PlanterDiscount)*(1+PlanterDifficultyPercentage)),""),"")),"   not ELP, by"))))))))))))))</f>
        <v/>
      </c>
      <c r="AD2013" s="712"/>
      <c r="AE2013" s="513" t="str">
        <f t="shared" si="1423"/>
        <v/>
      </c>
      <c r="AF2013" s="713" t="str">
        <f t="shared" si="1424"/>
        <v/>
      </c>
      <c r="AG2013" s="713"/>
      <c r="AH2013" s="713"/>
      <c r="AI2013" s="112">
        <f>IF(H2013="credit",0,IF(AE2013="free",0,IF(AE2013="me",0,IF(G2013&gt;0,(VLOOKUP(A2013,'Discount Lookup'!J:K,2)*G2013),0))))</f>
        <v>0</v>
      </c>
      <c r="AJ2013" s="107" t="str">
        <f t="shared" ca="1" si="1425"/>
        <v/>
      </c>
      <c r="AK2013" s="714" t="str">
        <f t="shared" si="1426"/>
        <v/>
      </c>
      <c r="AL2013" s="714"/>
      <c r="AM2013" s="114" t="str">
        <f t="shared" si="1427"/>
        <v/>
      </c>
      <c r="AN2013" s="115"/>
      <c r="AO2013" s="116"/>
      <c r="AP2013" s="116"/>
      <c r="AQ2013" s="116"/>
      <c r="AR2013" s="116"/>
      <c r="AS2013" s="116"/>
      <c r="AT2013" s="116"/>
      <c r="AU2013" s="116"/>
      <c r="AV2013" s="78"/>
      <c r="AW2013" s="102"/>
      <c r="AX2013" s="78"/>
      <c r="AY2013" s="78"/>
      <c r="AZ2013" s="78"/>
      <c r="BA2013" s="78"/>
      <c r="BB2013" s="78"/>
      <c r="BC2013" s="78"/>
      <c r="BD2013" s="78"/>
      <c r="BE2013" s="465"/>
      <c r="BF2013" s="165" t="str">
        <f t="shared" si="1428"/>
        <v>https://www.google.com/search?tbm=isch&amp;q=3%20G5</v>
      </c>
      <c r="BG2013" s="165" t="str">
        <f t="shared" si="1429"/>
        <v>H</v>
      </c>
      <c r="BH2013" s="65"/>
      <c r="BI2013" s="65"/>
      <c r="BJ2013" s="65"/>
      <c r="BK2013" s="65"/>
      <c r="BL2013" s="99"/>
      <c r="BM2013" s="99"/>
      <c r="BN2013" s="99"/>
    </row>
    <row r="2014" spans="1:66" s="51" customFormat="1" ht="15.75" x14ac:dyDescent="0.25">
      <c r="A2014" s="634">
        <v>5</v>
      </c>
      <c r="B2014" s="635" t="s">
        <v>291</v>
      </c>
      <c r="C2014" s="636" t="s">
        <v>2837</v>
      </c>
      <c r="D2014" s="637" t="s">
        <v>293</v>
      </c>
      <c r="E2014" s="638">
        <v>64.95</v>
      </c>
      <c r="F2014" s="639" t="s">
        <v>292</v>
      </c>
      <c r="G2014" s="484">
        <v>0</v>
      </c>
      <c r="H2014" s="691" t="str">
        <f t="shared" si="1432"/>
        <v/>
      </c>
      <c r="I2014" s="640">
        <f t="shared" si="1433"/>
        <v>0</v>
      </c>
      <c r="J2014" s="640">
        <f t="shared" si="1434"/>
        <v>0</v>
      </c>
      <c r="K2014" s="716">
        <f t="shared" ref="K2014" si="1439">I2014+J2014</f>
        <v>0</v>
      </c>
      <c r="L2014" s="716"/>
      <c r="M2014" s="689" t="str">
        <f t="shared" ca="1" si="1436"/>
        <v/>
      </c>
      <c r="N2014" s="690"/>
      <c r="O2014" s="486"/>
      <c r="P2014" s="486"/>
      <c r="Q2014" s="486"/>
      <c r="R2014" s="486"/>
      <c r="S2014" s="486"/>
      <c r="T2014" s="102">
        <f t="shared" si="1417"/>
        <v>0</v>
      </c>
      <c r="U2014" s="78">
        <f>IF(NOT(ISNUMBER(G2014)), "", VLOOKUP(A2014,'Discount Lookup'!D:E,2,FALSE)*G2014)</f>
        <v>0</v>
      </c>
      <c r="V2014" s="78">
        <f>IF(NOT(ISNUMBER(G2014)), "", VLOOKUP(A2014,'Discount Lookup'!G:H,2,FALSE)*G2014)</f>
        <v>0</v>
      </c>
      <c r="W2014" s="102">
        <f t="shared" si="1418"/>
        <v>0</v>
      </c>
      <c r="X2014" s="102">
        <f t="shared" si="1419"/>
        <v>0</v>
      </c>
      <c r="Y2014" s="120" t="b">
        <f t="shared" si="1420"/>
        <v>0</v>
      </c>
      <c r="Z2014" s="117">
        <f t="shared" si="1421"/>
        <v>0</v>
      </c>
      <c r="AA2014" s="118"/>
      <c r="AB2014" s="118" t="str">
        <f t="shared" si="1422"/>
        <v/>
      </c>
      <c r="AC2014" s="712" t="str">
        <f>IF(AE2014="T2G","no charge",IF(AND(OR(PlanterYesMe="No",PlanterYesMe="N",PlanterYesMe="me"),H2014=""),"",IF(H2014="credit","NO install",IF(AND(K2014="",AE2014="me"),"EACH row",IF(AND(K2014="images",AE2014="me"),"EACH row",IF(D2014="","",IF(H2014="credit","",IF(AE2014="free","re-planting",IF(AE2014="me","   not ELP, by",IF(AND(OR(PlanterYesMe="Yes",PlanterYesMe="Y"),G2014&gt;0),(VLOOKUP(A2014,'Discount Lookup'!J:K,2)*G2014*(1-PlanterDiscount)*(1+PlanterDifficultyPercentage)),IF(AE2014="ELP",(VLOOKUP(A2014,'Discount Lookup'!J:K,2)*G2014*(1-PlanterDiscount)*(1+PlanterDifficultyPercentage)),IF(AE2014="free","re-planting",IF(G2014=0,"",IF(PlanterYesMe="",IF(AE2014="me","   not ELP, by",IF(AE2014="",IF(G2014&gt;0,(VLOOKUP(A2014,'Discount Lookup'!J:K,2)*G2014*(1-PlanterDiscount)*(1+PlanterDifficultyPercentage)),""),"")),"   not ELP, by"))))))))))))))</f>
        <v/>
      </c>
      <c r="AD2014" s="712"/>
      <c r="AE2014" s="513" t="str">
        <f t="shared" si="1423"/>
        <v/>
      </c>
      <c r="AF2014" s="713" t="str">
        <f t="shared" si="1424"/>
        <v/>
      </c>
      <c r="AG2014" s="713"/>
      <c r="AH2014" s="713"/>
      <c r="AI2014" s="112">
        <f>IF(H2014="credit",0,IF(AE2014="free",0,IF(AE2014="me",0,IF(G2014&gt;0,(VLOOKUP(A2014,'Discount Lookup'!J:K,2)*G2014),0))))</f>
        <v>0</v>
      </c>
      <c r="AJ2014" s="107" t="str">
        <f t="shared" ca="1" si="1425"/>
        <v/>
      </c>
      <c r="AK2014" s="714" t="str">
        <f t="shared" si="1426"/>
        <v/>
      </c>
      <c r="AL2014" s="714"/>
      <c r="AM2014" s="114" t="str">
        <f t="shared" si="1427"/>
        <v/>
      </c>
      <c r="AN2014" s="115"/>
      <c r="AO2014" s="116"/>
      <c r="AP2014" s="116"/>
      <c r="AQ2014" s="116"/>
      <c r="AR2014" s="116"/>
      <c r="AS2014" s="116"/>
      <c r="AT2014" s="116"/>
      <c r="AU2014" s="116"/>
      <c r="AV2014" s="78"/>
      <c r="AW2014" s="102"/>
      <c r="AX2014" s="78"/>
      <c r="AY2014" s="78"/>
      <c r="AZ2014" s="78"/>
      <c r="BA2014" s="78"/>
      <c r="BB2014" s="78"/>
      <c r="BC2014" s="78"/>
      <c r="BD2014" s="78"/>
      <c r="BE2014" s="465"/>
      <c r="BF2014" s="165" t="str">
        <f t="shared" si="1428"/>
        <v>https://www.google.com/search?tbm=isch&amp;q=5%20G6</v>
      </c>
      <c r="BG2014" s="165" t="str">
        <f t="shared" si="1429"/>
        <v>H</v>
      </c>
      <c r="BH2014" s="65"/>
      <c r="BI2014" s="65"/>
      <c r="BJ2014" s="65"/>
      <c r="BK2014" s="65"/>
      <c r="BL2014" s="99"/>
      <c r="BM2014" s="99"/>
      <c r="BN2014" s="99"/>
    </row>
    <row r="2015" spans="1:66" s="51" customFormat="1" ht="15.75" x14ac:dyDescent="0.25">
      <c r="A2015" s="634">
        <v>7</v>
      </c>
      <c r="B2015" s="635" t="s">
        <v>291</v>
      </c>
      <c r="C2015" s="636" t="s">
        <v>924</v>
      </c>
      <c r="D2015" s="637" t="s">
        <v>299</v>
      </c>
      <c r="E2015" s="638">
        <v>86.95</v>
      </c>
      <c r="F2015" s="639" t="s">
        <v>292</v>
      </c>
      <c r="G2015" s="484">
        <v>0</v>
      </c>
      <c r="H2015" s="691" t="str">
        <f t="shared" si="1432"/>
        <v/>
      </c>
      <c r="I2015" s="640">
        <f t="shared" si="1433"/>
        <v>0</v>
      </c>
      <c r="J2015" s="640">
        <f t="shared" si="1434"/>
        <v>0</v>
      </c>
      <c r="K2015" s="716">
        <f t="shared" ref="K2015" si="1440">I2015+J2015</f>
        <v>0</v>
      </c>
      <c r="L2015" s="716"/>
      <c r="M2015" s="689" t="str">
        <f t="shared" ca="1" si="1436"/>
        <v/>
      </c>
      <c r="N2015" s="690"/>
      <c r="O2015" s="486"/>
      <c r="P2015" s="486"/>
      <c r="Q2015" s="486"/>
      <c r="R2015" s="486"/>
      <c r="S2015" s="486"/>
      <c r="T2015" s="102">
        <f t="shared" si="1417"/>
        <v>0</v>
      </c>
      <c r="U2015" s="78">
        <f>IF(NOT(ISNUMBER(G2015)), "", VLOOKUP(A2015,'Discount Lookup'!D:E,2,FALSE)*G2015)</f>
        <v>0</v>
      </c>
      <c r="V2015" s="78">
        <f>IF(NOT(ISNUMBER(G2015)), "", VLOOKUP(A2015,'Discount Lookup'!G:H,2,FALSE)*G2015)</f>
        <v>0</v>
      </c>
      <c r="W2015" s="102">
        <f t="shared" si="1418"/>
        <v>0</v>
      </c>
      <c r="X2015" s="102">
        <f t="shared" si="1419"/>
        <v>0</v>
      </c>
      <c r="Y2015" s="120" t="b">
        <f t="shared" si="1420"/>
        <v>0</v>
      </c>
      <c r="Z2015" s="117">
        <f t="shared" si="1421"/>
        <v>0</v>
      </c>
      <c r="AA2015" s="118"/>
      <c r="AB2015" s="118" t="str">
        <f t="shared" si="1422"/>
        <v/>
      </c>
      <c r="AC2015" s="712" t="str">
        <f>IF(AE2015="T2G","no charge",IF(AND(OR(PlanterYesMe="No",PlanterYesMe="N",PlanterYesMe="me"),H2015=""),"",IF(H2015="credit","NO install",IF(AND(K2015="",AE2015="me"),"EACH row",IF(AND(K2015="images",AE2015="me"),"EACH row",IF(D2015="","",IF(H2015="credit","",IF(AE2015="free","re-planting",IF(AE2015="me","   not ELP, by",IF(AND(OR(PlanterYesMe="Yes",PlanterYesMe="Y"),G2015&gt;0),(VLOOKUP(A2015,'Discount Lookup'!J:K,2)*G2015*(1-PlanterDiscount)*(1+PlanterDifficultyPercentage)),IF(AE2015="ELP",(VLOOKUP(A2015,'Discount Lookup'!J:K,2)*G2015*(1-PlanterDiscount)*(1+PlanterDifficultyPercentage)),IF(AE2015="free","re-planting",IF(G2015=0,"",IF(PlanterYesMe="",IF(AE2015="me","   not ELP, by",IF(AE2015="",IF(G2015&gt;0,(VLOOKUP(A2015,'Discount Lookup'!J:K,2)*G2015*(1-PlanterDiscount)*(1+PlanterDifficultyPercentage)),""),"")),"   not ELP, by"))))))))))))))</f>
        <v/>
      </c>
      <c r="AD2015" s="712"/>
      <c r="AE2015" s="513" t="str">
        <f t="shared" si="1423"/>
        <v/>
      </c>
      <c r="AF2015" s="713" t="str">
        <f t="shared" si="1424"/>
        <v/>
      </c>
      <c r="AG2015" s="713"/>
      <c r="AH2015" s="713"/>
      <c r="AI2015" s="112">
        <f>IF(H2015="credit",0,IF(AE2015="free",0,IF(AE2015="me",0,IF(G2015&gt;0,(VLOOKUP(A2015,'Discount Lookup'!J:K,2)*G2015),0))))</f>
        <v>0</v>
      </c>
      <c r="AJ2015" s="107" t="str">
        <f t="shared" ca="1" si="1425"/>
        <v/>
      </c>
      <c r="AK2015" s="714" t="str">
        <f t="shared" si="1426"/>
        <v/>
      </c>
      <c r="AL2015" s="714"/>
      <c r="AM2015" s="114" t="str">
        <f t="shared" si="1427"/>
        <v/>
      </c>
      <c r="AN2015" s="115"/>
      <c r="AO2015" s="116"/>
      <c r="AP2015" s="116"/>
      <c r="AQ2015" s="116"/>
      <c r="AR2015" s="116"/>
      <c r="AS2015" s="116"/>
      <c r="AT2015" s="116"/>
      <c r="AU2015" s="116"/>
      <c r="AV2015" s="78"/>
      <c r="AW2015" s="102"/>
      <c r="AX2015" s="78"/>
      <c r="AY2015" s="78"/>
      <c r="AZ2015" s="78"/>
      <c r="BA2015" s="78"/>
      <c r="BB2015" s="78"/>
      <c r="BC2015" s="78"/>
      <c r="BD2015" s="78"/>
      <c r="BE2015" s="465"/>
      <c r="BF2015" s="165" t="str">
        <f t="shared" si="1428"/>
        <v>https://www.google.com/search?tbm=isch&amp;q=7%20G4</v>
      </c>
      <c r="BG2015" s="165" t="str">
        <f t="shared" si="1429"/>
        <v>H</v>
      </c>
      <c r="BH2015" s="65"/>
      <c r="BI2015" s="65"/>
      <c r="BJ2015" s="65"/>
      <c r="BK2015" s="65"/>
      <c r="BL2015" s="99"/>
      <c r="BM2015" s="99"/>
      <c r="BN2015" s="99"/>
    </row>
    <row r="2016" spans="1:66" s="51" customFormat="1" ht="27" x14ac:dyDescent="0.25">
      <c r="A2016" s="634">
        <v>7</v>
      </c>
      <c r="B2016" s="635" t="s">
        <v>291</v>
      </c>
      <c r="C2016" s="636" t="s">
        <v>5171</v>
      </c>
      <c r="D2016" s="637" t="s">
        <v>299</v>
      </c>
      <c r="E2016" s="638">
        <v>173.95</v>
      </c>
      <c r="F2016" s="639" t="s">
        <v>292</v>
      </c>
      <c r="G2016" s="484">
        <v>0</v>
      </c>
      <c r="H2016" s="691" t="str">
        <f t="shared" si="1432"/>
        <v/>
      </c>
      <c r="I2016" s="640">
        <f t="shared" si="1433"/>
        <v>0</v>
      </c>
      <c r="J2016" s="640">
        <f t="shared" si="1434"/>
        <v>0</v>
      </c>
      <c r="K2016" s="716">
        <f t="shared" ref="K2016" si="1441">I2016+J2016</f>
        <v>0</v>
      </c>
      <c r="L2016" s="716"/>
      <c r="M2016" s="689" t="str">
        <f t="shared" ca="1" si="1436"/>
        <v/>
      </c>
      <c r="N2016" s="690"/>
      <c r="O2016" s="486"/>
      <c r="P2016" s="486"/>
      <c r="Q2016" s="486"/>
      <c r="R2016" s="486"/>
      <c r="S2016" s="486"/>
      <c r="T2016" s="102">
        <f t="shared" si="1417"/>
        <v>0</v>
      </c>
      <c r="U2016" s="78">
        <f>IF(NOT(ISNUMBER(G2016)), "", VLOOKUP(A2016,'Discount Lookup'!D:E,2,FALSE)*G2016)</f>
        <v>0</v>
      </c>
      <c r="V2016" s="78">
        <f>IF(NOT(ISNUMBER(G2016)), "", VLOOKUP(A2016,'Discount Lookup'!G:H,2,FALSE)*G2016)</f>
        <v>0</v>
      </c>
      <c r="W2016" s="102">
        <f t="shared" si="1418"/>
        <v>0</v>
      </c>
      <c r="X2016" s="102">
        <f t="shared" si="1419"/>
        <v>0</v>
      </c>
      <c r="Y2016" s="120" t="b">
        <f t="shared" si="1420"/>
        <v>0</v>
      </c>
      <c r="Z2016" s="117">
        <f t="shared" si="1421"/>
        <v>0</v>
      </c>
      <c r="AA2016" s="118"/>
      <c r="AB2016" s="118" t="str">
        <f t="shared" si="1422"/>
        <v/>
      </c>
      <c r="AC2016" s="712" t="str">
        <f>IF(AE2016="T2G","no charge",IF(AND(OR(PlanterYesMe="No",PlanterYesMe="N",PlanterYesMe="me"),H2016=""),"",IF(H2016="credit","NO install",IF(AND(K2016="",AE2016="me"),"EACH row",IF(AND(K2016="images",AE2016="me"),"EACH row",IF(D2016="","",IF(H2016="credit","",IF(AE2016="free","re-planting",IF(AE2016="me","   not ELP, by",IF(AND(OR(PlanterYesMe="Yes",PlanterYesMe="Y"),G2016&gt;0),(VLOOKUP(A2016,'Discount Lookup'!J:K,2)*G2016*(1-PlanterDiscount)*(1+PlanterDifficultyPercentage)),IF(AE2016="ELP",(VLOOKUP(A2016,'Discount Lookup'!J:K,2)*G2016*(1-PlanterDiscount)*(1+PlanterDifficultyPercentage)),IF(AE2016="free","re-planting",IF(G2016=0,"",IF(PlanterYesMe="",IF(AE2016="me","   not ELP, by",IF(AE2016="",IF(G2016&gt;0,(VLOOKUP(A2016,'Discount Lookup'!J:K,2)*G2016*(1-PlanterDiscount)*(1+PlanterDifficultyPercentage)),""),"")),"   not ELP, by"))))))))))))))</f>
        <v/>
      </c>
      <c r="AD2016" s="712"/>
      <c r="AE2016" s="513" t="str">
        <f t="shared" si="1423"/>
        <v/>
      </c>
      <c r="AF2016" s="713" t="str">
        <f t="shared" si="1424"/>
        <v/>
      </c>
      <c r="AG2016" s="713"/>
      <c r="AH2016" s="713"/>
      <c r="AI2016" s="112">
        <f>IF(H2016="credit",0,IF(AE2016="free",0,IF(AE2016="me",0,IF(G2016&gt;0,(VLOOKUP(A2016,'Discount Lookup'!J:K,2)*G2016),0))))</f>
        <v>0</v>
      </c>
      <c r="AJ2016" s="107" t="str">
        <f t="shared" ca="1" si="1425"/>
        <v/>
      </c>
      <c r="AK2016" s="714" t="str">
        <f t="shared" si="1426"/>
        <v/>
      </c>
      <c r="AL2016" s="714"/>
      <c r="AM2016" s="114" t="str">
        <f t="shared" si="1427"/>
        <v/>
      </c>
      <c r="AN2016" s="115"/>
      <c r="AO2016" s="116"/>
      <c r="AP2016" s="116"/>
      <c r="AQ2016" s="116"/>
      <c r="AR2016" s="116"/>
      <c r="AS2016" s="116"/>
      <c r="AT2016" s="116"/>
      <c r="AU2016" s="116"/>
      <c r="AV2016" s="78"/>
      <c r="AW2016" s="102"/>
      <c r="AX2016" s="78"/>
      <c r="AY2016" s="78"/>
      <c r="AZ2016" s="78"/>
      <c r="BA2016" s="78"/>
      <c r="BB2016" s="78"/>
      <c r="BC2016" s="78"/>
      <c r="BD2016" s="78"/>
      <c r="BE2016" s="465"/>
      <c r="BF2016" s="165" t="str">
        <f t="shared" si="1428"/>
        <v>https://www.google.com/search?tbm=isch&amp;q=7%20G4</v>
      </c>
      <c r="BG2016" s="165" t="str">
        <f t="shared" si="1429"/>
        <v>H</v>
      </c>
      <c r="BH2016" s="65"/>
      <c r="BI2016" s="65"/>
      <c r="BJ2016" s="65"/>
      <c r="BK2016" s="65"/>
      <c r="BL2016" s="99"/>
      <c r="BM2016" s="99"/>
      <c r="BN2016" s="99"/>
    </row>
    <row r="2017" spans="1:66" s="51" customFormat="1" ht="15.75" x14ac:dyDescent="0.25">
      <c r="A2017" s="634">
        <v>10</v>
      </c>
      <c r="B2017" s="635" t="s">
        <v>291</v>
      </c>
      <c r="C2017" s="636" t="s">
        <v>2838</v>
      </c>
      <c r="D2017" s="637" t="s">
        <v>293</v>
      </c>
      <c r="E2017" s="638">
        <v>181.95</v>
      </c>
      <c r="F2017" s="639" t="s">
        <v>292</v>
      </c>
      <c r="G2017" s="484">
        <v>0</v>
      </c>
      <c r="H2017" s="691" t="str">
        <f t="shared" si="1432"/>
        <v/>
      </c>
      <c r="I2017" s="640">
        <f t="shared" si="1433"/>
        <v>0</v>
      </c>
      <c r="J2017" s="640">
        <f t="shared" si="1434"/>
        <v>0</v>
      </c>
      <c r="K2017" s="716">
        <f t="shared" ref="K2017" si="1442">I2017+J2017</f>
        <v>0</v>
      </c>
      <c r="L2017" s="716"/>
      <c r="M2017" s="689" t="str">
        <f t="shared" ca="1" si="1436"/>
        <v/>
      </c>
      <c r="N2017" s="690"/>
      <c r="O2017" s="486"/>
      <c r="P2017" s="486"/>
      <c r="Q2017" s="486"/>
      <c r="R2017" s="486"/>
      <c r="S2017" s="486"/>
      <c r="T2017" s="102">
        <f t="shared" si="1417"/>
        <v>0</v>
      </c>
      <c r="U2017" s="78">
        <f>IF(NOT(ISNUMBER(G2017)), "", VLOOKUP(A2017,'Discount Lookup'!D:E,2,FALSE)*G2017)</f>
        <v>0</v>
      </c>
      <c r="V2017" s="78">
        <f>IF(NOT(ISNUMBER(G2017)), "", VLOOKUP(A2017,'Discount Lookup'!G:H,2,FALSE)*G2017)</f>
        <v>0</v>
      </c>
      <c r="W2017" s="102">
        <f t="shared" si="1418"/>
        <v>0</v>
      </c>
      <c r="X2017" s="102">
        <f t="shared" si="1419"/>
        <v>0</v>
      </c>
      <c r="Y2017" s="120" t="b">
        <f t="shared" si="1420"/>
        <v>0</v>
      </c>
      <c r="Z2017" s="117">
        <f t="shared" si="1421"/>
        <v>0</v>
      </c>
      <c r="AA2017" s="118"/>
      <c r="AB2017" s="118" t="str">
        <f t="shared" si="1422"/>
        <v/>
      </c>
      <c r="AC2017" s="712" t="str">
        <f>IF(AE2017="T2G","no charge",IF(AND(OR(PlanterYesMe="No",PlanterYesMe="N",PlanterYesMe="me"),H2017=""),"",IF(H2017="credit","NO install",IF(AND(K2017="",AE2017="me"),"EACH row",IF(AND(K2017="images",AE2017="me"),"EACH row",IF(D2017="","",IF(H2017="credit","",IF(AE2017="free","re-planting",IF(AE2017="me","   not ELP, by",IF(AND(OR(PlanterYesMe="Yes",PlanterYesMe="Y"),G2017&gt;0),(VLOOKUP(A2017,'Discount Lookup'!J:K,2)*G2017*(1-PlanterDiscount)*(1+PlanterDifficultyPercentage)),IF(AE2017="ELP",(VLOOKUP(A2017,'Discount Lookup'!J:K,2)*G2017*(1-PlanterDiscount)*(1+PlanterDifficultyPercentage)),IF(AE2017="free","re-planting",IF(G2017=0,"",IF(PlanterYesMe="",IF(AE2017="me","   not ELP, by",IF(AE2017="",IF(G2017&gt;0,(VLOOKUP(A2017,'Discount Lookup'!J:K,2)*G2017*(1-PlanterDiscount)*(1+PlanterDifficultyPercentage)),""),"")),"   not ELP, by"))))))))))))))</f>
        <v/>
      </c>
      <c r="AD2017" s="712"/>
      <c r="AE2017" s="513" t="str">
        <f t="shared" si="1423"/>
        <v/>
      </c>
      <c r="AF2017" s="713" t="str">
        <f t="shared" si="1424"/>
        <v/>
      </c>
      <c r="AG2017" s="713"/>
      <c r="AH2017" s="713"/>
      <c r="AI2017" s="112">
        <f>IF(H2017="credit",0,IF(AE2017="free",0,IF(AE2017="me",0,IF(G2017&gt;0,(VLOOKUP(A2017,'Discount Lookup'!J:K,2)*G2017),0))))</f>
        <v>0</v>
      </c>
      <c r="AJ2017" s="107" t="str">
        <f t="shared" ca="1" si="1425"/>
        <v/>
      </c>
      <c r="AK2017" s="714" t="str">
        <f t="shared" si="1426"/>
        <v/>
      </c>
      <c r="AL2017" s="714"/>
      <c r="AM2017" s="114" t="str">
        <f t="shared" si="1427"/>
        <v/>
      </c>
      <c r="AN2017" s="115"/>
      <c r="AO2017" s="116"/>
      <c r="AP2017" s="116"/>
      <c r="AQ2017" s="116"/>
      <c r="AR2017" s="116"/>
      <c r="AS2017" s="116"/>
      <c r="AT2017" s="116"/>
      <c r="AU2017" s="116"/>
      <c r="AV2017" s="78"/>
      <c r="AW2017" s="102"/>
      <c r="AX2017" s="78"/>
      <c r="AY2017" s="78"/>
      <c r="AZ2017" s="78"/>
      <c r="BA2017" s="78"/>
      <c r="BB2017" s="78"/>
      <c r="BC2017" s="78"/>
      <c r="BD2017" s="78"/>
      <c r="BE2017" s="465"/>
      <c r="BF2017" s="165" t="str">
        <f t="shared" si="1428"/>
        <v>https://www.google.com/search?tbm=isch&amp;q=10%20G6</v>
      </c>
      <c r="BG2017" s="165" t="str">
        <f t="shared" si="1429"/>
        <v>H</v>
      </c>
      <c r="BH2017" s="65"/>
      <c r="BI2017" s="65"/>
      <c r="BJ2017" s="65"/>
      <c r="BK2017" s="65"/>
      <c r="BL2017" s="99"/>
      <c r="BM2017" s="99"/>
      <c r="BN2017" s="99"/>
    </row>
    <row r="2018" spans="1:66" s="51" customFormat="1" ht="17.25" thickBot="1" x14ac:dyDescent="0.3">
      <c r="A2018" s="641" t="s">
        <v>4750</v>
      </c>
      <c r="B2018" s="642"/>
      <c r="C2018" s="710"/>
      <c r="D2018" s="643"/>
      <c r="E2018" s="643"/>
      <c r="F2018" s="644"/>
      <c r="G2018" s="645"/>
      <c r="H2018" s="646"/>
      <c r="I2018" s="647"/>
      <c r="J2018" s="648"/>
      <c r="K2018" s="649"/>
      <c r="L2018" s="650"/>
      <c r="M2018" s="650"/>
      <c r="N2018" s="644"/>
      <c r="O2018" s="644"/>
      <c r="P2018" s="644"/>
      <c r="Q2018" s="644"/>
      <c r="R2018" s="644"/>
      <c r="S2018" s="651"/>
      <c r="T2018" s="102">
        <f t="shared" si="1417"/>
        <v>0</v>
      </c>
      <c r="U2018" s="78" t="str">
        <f>IF(NOT(ISNUMBER(G2018)), "", VLOOKUP(A2018,'Discount Lookup'!D:E,2,FALSE)*G2018)</f>
        <v/>
      </c>
      <c r="V2018" s="78" t="str">
        <f>IF(NOT(ISNUMBER(G2018)), "", VLOOKUP(A2018,'Discount Lookup'!G:H,2,FALSE)*G2018)</f>
        <v/>
      </c>
      <c r="W2018" s="102">
        <f t="shared" si="1418"/>
        <v>0</v>
      </c>
      <c r="X2018" s="102">
        <f t="shared" si="1419"/>
        <v>0</v>
      </c>
      <c r="Y2018" s="120" t="b">
        <f t="shared" si="1420"/>
        <v>0</v>
      </c>
      <c r="Z2018" s="117">
        <f t="shared" si="1421"/>
        <v>0</v>
      </c>
      <c r="AA2018" s="118"/>
      <c r="AB2018" s="118" t="str">
        <f t="shared" si="1422"/>
        <v/>
      </c>
      <c r="AC2018" s="712" t="str">
        <f>IF(AE2018="T2G","no charge",IF(AND(OR(PlanterYesMe="No",PlanterYesMe="N",PlanterYesMe="me"),H2018=""),"",IF(H2018="credit","NO install",IF(AND(K2018="",AE2018="me"),"EACH row",IF(AND(K2018="images",AE2018="me"),"EACH row",IF(D2018="","",IF(H2018="credit","",IF(AE2018="free","re-planting",IF(AE2018="me","   not ELP, by",IF(AND(OR(PlanterYesMe="Yes",PlanterYesMe="Y"),G2018&gt;0),(VLOOKUP(A2018,'Discount Lookup'!J:K,2)*G2018*(1-PlanterDiscount)*(1+PlanterDifficultyPercentage)),IF(AE2018="ELP",(VLOOKUP(A2018,'Discount Lookup'!J:K,2)*G2018*(1-PlanterDiscount)*(1+PlanterDifficultyPercentage)),IF(AE2018="free","re-planting",IF(G2018=0,"",IF(PlanterYesMe="",IF(AE2018="me","   not ELP, by",IF(AE2018="",IF(G2018&gt;0,(VLOOKUP(A2018,'Discount Lookup'!J:K,2)*G2018*(1-PlanterDiscount)*(1+PlanterDifficultyPercentage)),""),"")),"   not ELP, by"))))))))))))))</f>
        <v/>
      </c>
      <c r="AD2018" s="712"/>
      <c r="AE2018" s="513" t="str">
        <f t="shared" si="1423"/>
        <v/>
      </c>
      <c r="AF2018" s="713" t="str">
        <f t="shared" si="1424"/>
        <v/>
      </c>
      <c r="AG2018" s="713"/>
      <c r="AH2018" s="713"/>
      <c r="AI2018" s="112">
        <f>IF(H2018="credit",0,IF(AE2018="free",0,IF(AE2018="me",0,IF(G2018&gt;0,(VLOOKUP(A2018,'Discount Lookup'!J:K,2)*G2018),0))))</f>
        <v>0</v>
      </c>
      <c r="AJ2018" s="107" t="str">
        <f t="shared" ca="1" si="1425"/>
        <v/>
      </c>
      <c r="AK2018" s="714" t="str">
        <f t="shared" si="1426"/>
        <v/>
      </c>
      <c r="AL2018" s="714"/>
      <c r="AM2018" s="114" t="str">
        <f t="shared" si="1427"/>
        <v/>
      </c>
      <c r="AN2018" s="115"/>
      <c r="AO2018" s="116"/>
      <c r="AP2018" s="116"/>
      <c r="AQ2018" s="116"/>
      <c r="AR2018" s="116"/>
      <c r="AS2018" s="116"/>
      <c r="AT2018" s="116"/>
      <c r="AU2018" s="116"/>
      <c r="AV2018" s="78"/>
      <c r="AW2018" s="102"/>
      <c r="AX2018" s="78"/>
      <c r="AY2018" s="78"/>
      <c r="AZ2018" s="78"/>
      <c r="BA2018" s="78"/>
      <c r="BB2018" s="78"/>
      <c r="BC2018" s="78"/>
      <c r="BD2018" s="78"/>
      <c r="BE2018" s="465"/>
      <c r="BF2018" s="165" t="str">
        <f t="shared" si="1428"/>
        <v>https://www.google.com/search?tbm=isch&amp;q=Little%20Lime%20has%20Green%20foliage.%20All%20%22Hardy%22%20Hydrangea%20have%20cone-shaped%20flowers%20on%20new%20wood.%20Flowers%20change%20color%20with%20age.%20Extremely%20cold-hardy%20</v>
      </c>
      <c r="BG2018" s="165" t="str">
        <f t="shared" si="1429"/>
        <v>L</v>
      </c>
      <c r="BH2018" s="65"/>
      <c r="BI2018" s="65"/>
      <c r="BJ2018" s="65"/>
      <c r="BK2018" s="65"/>
      <c r="BL2018" s="99"/>
      <c r="BM2018" s="99"/>
      <c r="BN2018" s="99"/>
    </row>
    <row r="2019" spans="1:66" s="51" customFormat="1" ht="18" x14ac:dyDescent="0.25">
      <c r="A2019" s="623" t="s">
        <v>2839</v>
      </c>
      <c r="B2019" s="624"/>
      <c r="C2019" s="709"/>
      <c r="D2019" s="625" t="s">
        <v>5692</v>
      </c>
      <c r="E2019" s="626"/>
      <c r="F2019" s="626"/>
      <c r="G2019" s="626"/>
      <c r="H2019" s="622" t="s">
        <v>1217</v>
      </c>
      <c r="I2019" s="627" t="s">
        <v>2834</v>
      </c>
      <c r="J2019" s="628"/>
      <c r="K2019" s="628"/>
      <c r="L2019" s="629"/>
      <c r="M2019" s="700" t="s">
        <v>5249</v>
      </c>
      <c r="N2019" s="693" t="str">
        <f>IF(AND(ISTEXT($A2019), ISERROR($A2019+0)), HYPERLINK($BF2019, "Images"), "")</f>
        <v>Images</v>
      </c>
      <c r="O2019" s="695" t="s">
        <v>5247</v>
      </c>
      <c r="P2019" s="630"/>
      <c r="Q2019" s="631"/>
      <c r="R2019" s="632"/>
      <c r="S2019" s="633"/>
      <c r="T2019" s="102">
        <f t="shared" si="1417"/>
        <v>0</v>
      </c>
      <c r="U2019" s="78" t="str">
        <f>IF(NOT(ISNUMBER(G2019)), "", VLOOKUP(A2019,'Discount Lookup'!D:E,2,FALSE)*G2019)</f>
        <v/>
      </c>
      <c r="V2019" s="78" t="str">
        <f>IF(NOT(ISNUMBER(G2019)), "", VLOOKUP(A2019,'Discount Lookup'!G:H,2,FALSE)*G2019)</f>
        <v/>
      </c>
      <c r="W2019" s="102">
        <f t="shared" si="1418"/>
        <v>0</v>
      </c>
      <c r="X2019" s="102" t="str">
        <f t="shared" si="1419"/>
        <v>Lime Green ages to Pink</v>
      </c>
      <c r="Y2019" s="120" t="b">
        <f t="shared" si="1420"/>
        <v>0</v>
      </c>
      <c r="Z2019" s="117">
        <f t="shared" si="1421"/>
        <v>0</v>
      </c>
      <c r="AA2019" s="118"/>
      <c r="AB2019" s="118" t="str">
        <f t="shared" si="1422"/>
        <v/>
      </c>
      <c r="AC2019" s="712" t="str">
        <f>IF(AE2019="T2G","no charge",IF(AND(OR(PlanterYesMe="No",PlanterYesMe="N",PlanterYesMe="me"),H2019=""),"",IF(H2019="credit","NO install",IF(AND(K2019="",AE2019="me"),"EACH row",IF(AND(K2019="images",AE2019="me"),"EACH row",IF(D2019="","",IF(H2019="credit","",IF(AE2019="free","re-planting",IF(AE2019="me","   not ELP, by",IF(AND(OR(PlanterYesMe="Yes",PlanterYesMe="Y"),G2019&gt;0),(VLOOKUP(A2019,'Discount Lookup'!J:K,2)*G2019*(1-PlanterDiscount)*(1+PlanterDifficultyPercentage)),IF(AE2019="ELP",(VLOOKUP(A2019,'Discount Lookup'!J:K,2)*G2019*(1-PlanterDiscount)*(1+PlanterDifficultyPercentage)),IF(AE2019="free","re-planting",IF(G2019=0,"",IF(PlanterYesMe="",IF(AE2019="me","   not ELP, by",IF(AE2019="",IF(G2019&gt;0,(VLOOKUP(A2019,'Discount Lookup'!J:K,2)*G2019*(1-PlanterDiscount)*(1+PlanterDifficultyPercentage)),""),"")),"   not ELP, by"))))))))))))))</f>
        <v/>
      </c>
      <c r="AD2019" s="712"/>
      <c r="AE2019" s="513" t="str">
        <f t="shared" si="1423"/>
        <v/>
      </c>
      <c r="AF2019" s="713" t="str">
        <f t="shared" si="1424"/>
        <v/>
      </c>
      <c r="AG2019" s="713"/>
      <c r="AH2019" s="713"/>
      <c r="AI2019" s="112">
        <f>IF(H2019="credit",0,IF(AE2019="free",0,IF(AE2019="me",0,IF(G2019&gt;0,(VLOOKUP(A2019,'Discount Lookup'!J:K,2)*G2019),0))))</f>
        <v>0</v>
      </c>
      <c r="AJ2019" s="107" t="str">
        <f t="shared" ca="1" si="1425"/>
        <v/>
      </c>
      <c r="AK2019" s="714" t="str">
        <f t="shared" si="1426"/>
        <v/>
      </c>
      <c r="AL2019" s="714"/>
      <c r="AM2019" s="114" t="str">
        <f t="shared" si="1427"/>
        <v/>
      </c>
      <c r="AN2019" s="115"/>
      <c r="AO2019" s="116"/>
      <c r="AP2019" s="116"/>
      <c r="AQ2019" s="116"/>
      <c r="AR2019" s="116"/>
      <c r="AS2019" s="116"/>
      <c r="AT2019" s="116"/>
      <c r="AU2019" s="116"/>
      <c r="AV2019" s="78"/>
      <c r="AW2019" s="102"/>
      <c r="AX2019" s="78"/>
      <c r="AY2019" s="78"/>
      <c r="AZ2019" s="78"/>
      <c r="BA2019" s="78"/>
      <c r="BB2019" s="78"/>
      <c r="BC2019" s="78"/>
      <c r="BD2019" s="78"/>
      <c r="BE2019" s="465"/>
      <c r="BF2019" s="165" t="str">
        <f t="shared" si="1428"/>
        <v>https://www.google.com/search?tbm=isch&amp;q=Hyd.%20paniculata%20%27Kolmakilima%27%20PP%2329853%20Moonrock%E2%84%A2%20Hydrangea</v>
      </c>
      <c r="BG2019" s="165" t="str">
        <f t="shared" si="1429"/>
        <v>H</v>
      </c>
      <c r="BH2019" s="65"/>
      <c r="BI2019" s="65"/>
      <c r="BJ2019" s="65"/>
      <c r="BK2019" s="65"/>
      <c r="BL2019" s="99"/>
      <c r="BM2019" s="99"/>
      <c r="BN2019" s="99"/>
    </row>
    <row r="2020" spans="1:66" s="51" customFormat="1" ht="15.75" x14ac:dyDescent="0.25">
      <c r="A2020" s="634">
        <v>3</v>
      </c>
      <c r="B2020" s="635" t="s">
        <v>291</v>
      </c>
      <c r="C2020" s="636" t="s">
        <v>4983</v>
      </c>
      <c r="D2020" s="637" t="s">
        <v>329</v>
      </c>
      <c r="E2020" s="638">
        <v>32.950000000000003</v>
      </c>
      <c r="F2020" s="639" t="s">
        <v>292</v>
      </c>
      <c r="G2020" s="484">
        <v>0</v>
      </c>
      <c r="H2020" s="691" t="str">
        <f>IF(G2020=0,"",IF(F2020="Buy",IF(G2020=1,"plant","plants"),IF(F2020&gt;0.01,"warranty","Error")))</f>
        <v/>
      </c>
      <c r="I2020" s="640">
        <f>IF(H2020="free",0,IF(H2020="credit",((E2020*(F2020))*G2020*-1),IF(F2020="Buy",(E2020*G2020),((E2020*(1-F2020))*G2020))))</f>
        <v>0</v>
      </c>
      <c r="J2020" s="640">
        <f>IF(H2020="warranty",0,(I2020*(_xlfn.SINGLE(SalesTaxPercentage))))</f>
        <v>0</v>
      </c>
      <c r="K2020" s="716">
        <f t="shared" ref="K2020" si="1443">I2020+J2020</f>
        <v>0</v>
      </c>
      <c r="L2020" s="716"/>
      <c r="M2020" s="689" t="str">
        <f ca="1">IF(AND(G2020&gt;0,E2020=0),"WARNING - no PRICE inserted",IF(H2020="free","FREE ~ no charge this plant",IF(H2020="credit",CONCATENATE("-$",ROUND(K2020*(1-_xlfn.SINGLE(T2GDiscount))*-1,2)," CREDIT after discount"),IF(_xlfn.SINGLE(T2GDiscount)=0,"",IF(G2020=0,"",IF(F2020="Buy",CONCATENATE("$",ROUND(K2020*(1-_xlfn.SINGLE(T2GDiscount)),2)," with ",(_xlfn.SINGLE(T2GDiscount)*100),"% discount"),CONCATENATE("$",ROUND(K2020*(1-_xlfn.SINGLE(T2GDiscount)),2)," with ",((_xlfn.SINGLE(T2GDiscount)*100+F2020*100)-(_xlfn.SINGLE(T2GDiscount)*100*F2020)),IF(F2020&gt;0,"% discounts",IF(_xlfn.SINGLE(NoWarrantyDiscount)&gt;0,"% discounts","% discount")))))))))</f>
        <v/>
      </c>
      <c r="N2020" s="690"/>
      <c r="O2020" s="486"/>
      <c r="P2020" s="486"/>
      <c r="Q2020" s="486"/>
      <c r="R2020" s="486"/>
      <c r="S2020" s="486"/>
      <c r="T2020" s="102">
        <f t="shared" si="1417"/>
        <v>0</v>
      </c>
      <c r="U2020" s="78">
        <f>IF(NOT(ISNUMBER(G2020)), "", VLOOKUP(A2020,'Discount Lookup'!D:E,2,FALSE)*G2020)</f>
        <v>0</v>
      </c>
      <c r="V2020" s="78">
        <f>IF(NOT(ISNUMBER(G2020)), "", VLOOKUP(A2020,'Discount Lookup'!G:H,2,FALSE)*G2020)</f>
        <v>0</v>
      </c>
      <c r="W2020" s="102">
        <f t="shared" si="1418"/>
        <v>0</v>
      </c>
      <c r="X2020" s="102">
        <f t="shared" si="1419"/>
        <v>0</v>
      </c>
      <c r="Y2020" s="120" t="b">
        <f t="shared" si="1420"/>
        <v>0</v>
      </c>
      <c r="Z2020" s="117">
        <f t="shared" si="1421"/>
        <v>0</v>
      </c>
      <c r="AA2020" s="118"/>
      <c r="AB2020" s="118" t="str">
        <f t="shared" si="1422"/>
        <v/>
      </c>
      <c r="AC2020" s="712" t="str">
        <f>IF(AE2020="T2G","no charge",IF(AND(OR(PlanterYesMe="No",PlanterYesMe="N",PlanterYesMe="me"),H2020=""),"",IF(H2020="credit","NO install",IF(AND(K2020="",AE2020="me"),"EACH row",IF(AND(K2020="images",AE2020="me"),"EACH row",IF(D2020="","",IF(H2020="credit","",IF(AE2020="free","re-planting",IF(AE2020="me","   not ELP, by",IF(AND(OR(PlanterYesMe="Yes",PlanterYesMe="Y"),G2020&gt;0),(VLOOKUP(A2020,'Discount Lookup'!J:K,2)*G2020*(1-PlanterDiscount)*(1+PlanterDifficultyPercentage)),IF(AE2020="ELP",(VLOOKUP(A2020,'Discount Lookup'!J:K,2)*G2020*(1-PlanterDiscount)*(1+PlanterDifficultyPercentage)),IF(AE2020="free","re-planting",IF(G2020=0,"",IF(PlanterYesMe="",IF(AE2020="me","   not ELP, by",IF(AE2020="",IF(G2020&gt;0,(VLOOKUP(A2020,'Discount Lookup'!J:K,2)*G2020*(1-PlanterDiscount)*(1+PlanterDifficultyPercentage)),""),"")),"   not ELP, by"))))))))))))))</f>
        <v/>
      </c>
      <c r="AD2020" s="712"/>
      <c r="AE2020" s="513" t="str">
        <f t="shared" si="1423"/>
        <v/>
      </c>
      <c r="AF2020" s="713" t="str">
        <f t="shared" si="1424"/>
        <v/>
      </c>
      <c r="AG2020" s="713"/>
      <c r="AH2020" s="713"/>
      <c r="AI2020" s="112">
        <f>IF(H2020="credit",0,IF(AE2020="free",0,IF(AE2020="me",0,IF(G2020&gt;0,(VLOOKUP(A2020,'Discount Lookup'!J:K,2)*G2020),0))))</f>
        <v>0</v>
      </c>
      <c r="AJ2020" s="107" t="str">
        <f t="shared" ca="1" si="1425"/>
        <v/>
      </c>
      <c r="AK2020" s="714" t="str">
        <f t="shared" si="1426"/>
        <v/>
      </c>
      <c r="AL2020" s="714"/>
      <c r="AM2020" s="114" t="str">
        <f t="shared" si="1427"/>
        <v/>
      </c>
      <c r="AN2020" s="115"/>
      <c r="AO2020" s="116"/>
      <c r="AP2020" s="116"/>
      <c r="AQ2020" s="116"/>
      <c r="AR2020" s="116"/>
      <c r="AS2020" s="116"/>
      <c r="AT2020" s="116"/>
      <c r="AU2020" s="116"/>
      <c r="AV2020" s="78"/>
      <c r="AW2020" s="102"/>
      <c r="AX2020" s="78"/>
      <c r="AY2020" s="78"/>
      <c r="AZ2020" s="78"/>
      <c r="BA2020" s="78"/>
      <c r="BB2020" s="78"/>
      <c r="BC2020" s="78"/>
      <c r="BD2020" s="78"/>
      <c r="BE2020" s="465"/>
      <c r="BF2020" s="165" t="str">
        <f t="shared" si="1428"/>
        <v>https://www.google.com/search?tbm=isch&amp;q=3%20G2</v>
      </c>
      <c r="BG2020" s="165" t="str">
        <f t="shared" si="1429"/>
        <v>H</v>
      </c>
      <c r="BH2020" s="65"/>
      <c r="BI2020" s="65"/>
      <c r="BJ2020" s="65"/>
      <c r="BK2020" s="65"/>
      <c r="BL2020" s="99"/>
      <c r="BM2020" s="99"/>
      <c r="BN2020" s="99"/>
    </row>
    <row r="2021" spans="1:66" s="51" customFormat="1" ht="17.25" thickBot="1" x14ac:dyDescent="0.3">
      <c r="A2021" s="641" t="s">
        <v>4751</v>
      </c>
      <c r="B2021" s="642"/>
      <c r="C2021" s="710"/>
      <c r="D2021" s="643"/>
      <c r="E2021" s="643"/>
      <c r="F2021" s="644"/>
      <c r="G2021" s="645"/>
      <c r="H2021" s="646"/>
      <c r="I2021" s="647"/>
      <c r="J2021" s="648"/>
      <c r="K2021" s="649"/>
      <c r="L2021" s="650"/>
      <c r="M2021" s="650"/>
      <c r="N2021" s="644"/>
      <c r="O2021" s="644"/>
      <c r="P2021" s="644"/>
      <c r="Q2021" s="644"/>
      <c r="R2021" s="644"/>
      <c r="S2021" s="651"/>
      <c r="T2021" s="102">
        <f t="shared" si="1417"/>
        <v>0</v>
      </c>
      <c r="U2021" s="78" t="str">
        <f>IF(NOT(ISNUMBER(G2021)), "", VLOOKUP(A2021,'Discount Lookup'!D:E,2,FALSE)*G2021)</f>
        <v/>
      </c>
      <c r="V2021" s="78" t="str">
        <f>IF(NOT(ISNUMBER(G2021)), "", VLOOKUP(A2021,'Discount Lookup'!G:H,2,FALSE)*G2021)</f>
        <v/>
      </c>
      <c r="W2021" s="102">
        <f t="shared" si="1418"/>
        <v>0</v>
      </c>
      <c r="X2021" s="102">
        <f t="shared" si="1419"/>
        <v>0</v>
      </c>
      <c r="Y2021" s="120" t="b">
        <f t="shared" si="1420"/>
        <v>0</v>
      </c>
      <c r="Z2021" s="117">
        <f t="shared" si="1421"/>
        <v>0</v>
      </c>
      <c r="AA2021" s="118"/>
      <c r="AB2021" s="118" t="str">
        <f t="shared" si="1422"/>
        <v/>
      </c>
      <c r="AC2021" s="712" t="str">
        <f>IF(AE2021="T2G","no charge",IF(AND(OR(PlanterYesMe="No",PlanterYesMe="N",PlanterYesMe="me"),H2021=""),"",IF(H2021="credit","NO install",IF(AND(K2021="",AE2021="me"),"EACH row",IF(AND(K2021="images",AE2021="me"),"EACH row",IF(D2021="","",IF(H2021="credit","",IF(AE2021="free","re-planting",IF(AE2021="me","   not ELP, by",IF(AND(OR(PlanterYesMe="Yes",PlanterYesMe="Y"),G2021&gt;0),(VLOOKUP(A2021,'Discount Lookup'!J:K,2)*G2021*(1-PlanterDiscount)*(1+PlanterDifficultyPercentage)),IF(AE2021="ELP",(VLOOKUP(A2021,'Discount Lookup'!J:K,2)*G2021*(1-PlanterDiscount)*(1+PlanterDifficultyPercentage)),IF(AE2021="free","re-planting",IF(G2021=0,"",IF(PlanterYesMe="",IF(AE2021="me","   not ELP, by",IF(AE2021="",IF(G2021&gt;0,(VLOOKUP(A2021,'Discount Lookup'!J:K,2)*G2021*(1-PlanterDiscount)*(1+PlanterDifficultyPercentage)),""),"")),"   not ELP, by"))))))))))))))</f>
        <v/>
      </c>
      <c r="AD2021" s="712"/>
      <c r="AE2021" s="513" t="str">
        <f t="shared" si="1423"/>
        <v/>
      </c>
      <c r="AF2021" s="713" t="str">
        <f t="shared" si="1424"/>
        <v/>
      </c>
      <c r="AG2021" s="713"/>
      <c r="AH2021" s="713"/>
      <c r="AI2021" s="112">
        <f>IF(H2021="credit",0,IF(AE2021="free",0,IF(AE2021="me",0,IF(G2021&gt;0,(VLOOKUP(A2021,'Discount Lookup'!J:K,2)*G2021),0))))</f>
        <v>0</v>
      </c>
      <c r="AJ2021" s="107" t="str">
        <f t="shared" ca="1" si="1425"/>
        <v/>
      </c>
      <c r="AK2021" s="714" t="str">
        <f t="shared" si="1426"/>
        <v/>
      </c>
      <c r="AL2021" s="714"/>
      <c r="AM2021" s="114" t="str">
        <f t="shared" si="1427"/>
        <v/>
      </c>
      <c r="AN2021" s="115"/>
      <c r="AO2021" s="116"/>
      <c r="AP2021" s="116"/>
      <c r="AQ2021" s="116"/>
      <c r="AR2021" s="116"/>
      <c r="AS2021" s="116"/>
      <c r="AT2021" s="116"/>
      <c r="AU2021" s="116"/>
      <c r="AV2021" s="78"/>
      <c r="AW2021" s="102"/>
      <c r="AX2021" s="78"/>
      <c r="AY2021" s="78"/>
      <c r="AZ2021" s="78"/>
      <c r="BA2021" s="78"/>
      <c r="BB2021" s="78"/>
      <c r="BC2021" s="78"/>
      <c r="BD2021" s="78"/>
      <c r="BE2021" s="465"/>
      <c r="BF2021" s="165" t="str">
        <f t="shared" si="1428"/>
        <v>https://www.google.com/search?tbm=isch&amp;q=Moonrock%20has%20Green%20foliage.%20All%20%22Hardy%22%20Hydrangea%20have%20cone-shaped%20flowers%20on%20new%20wood.%20Flowers%20change%20color%20with%20age.%20Extremely%20cold-hardy%20</v>
      </c>
      <c r="BG2021" s="165" t="str">
        <f t="shared" si="1429"/>
        <v>M</v>
      </c>
      <c r="BH2021" s="65"/>
      <c r="BI2021" s="65"/>
      <c r="BJ2021" s="65"/>
      <c r="BK2021" s="65"/>
      <c r="BL2021" s="99"/>
      <c r="BM2021" s="99"/>
      <c r="BN2021" s="99"/>
    </row>
    <row r="2022" spans="1:66" s="51" customFormat="1" ht="18" x14ac:dyDescent="0.25">
      <c r="A2022" s="623" t="s">
        <v>2841</v>
      </c>
      <c r="B2022" s="624"/>
      <c r="C2022" s="709"/>
      <c r="D2022" s="625" t="s">
        <v>5693</v>
      </c>
      <c r="E2022" s="626"/>
      <c r="F2022" s="626"/>
      <c r="G2022" s="626"/>
      <c r="H2022" s="622" t="s">
        <v>1528</v>
      </c>
      <c r="I2022" s="627" t="s">
        <v>2814</v>
      </c>
      <c r="J2022" s="628"/>
      <c r="K2022" s="628"/>
      <c r="L2022" s="629"/>
      <c r="M2022" s="700" t="s">
        <v>5249</v>
      </c>
      <c r="N2022" s="693" t="str">
        <f>IF(AND(ISTEXT($A2022), ISERROR($A2022+0)), HYPERLINK($BF2022, "Images"), "")</f>
        <v>Images</v>
      </c>
      <c r="O2022" s="695" t="s">
        <v>5247</v>
      </c>
      <c r="P2022" s="630"/>
      <c r="Q2022" s="631"/>
      <c r="R2022" s="632"/>
      <c r="S2022" s="633"/>
      <c r="T2022" s="102">
        <f t="shared" si="1417"/>
        <v>0</v>
      </c>
      <c r="U2022" s="78" t="str">
        <f>IF(NOT(ISNUMBER(G2022)), "", VLOOKUP(A2022,'Discount Lookup'!D:E,2,FALSE)*G2022)</f>
        <v/>
      </c>
      <c r="V2022" s="78" t="str">
        <f>IF(NOT(ISNUMBER(G2022)), "", VLOOKUP(A2022,'Discount Lookup'!G:H,2,FALSE)*G2022)</f>
        <v/>
      </c>
      <c r="W2022" s="102">
        <f t="shared" si="1418"/>
        <v>0</v>
      </c>
      <c r="X2022" s="102" t="str">
        <f t="shared" si="1419"/>
        <v>White bloom ages to Pink</v>
      </c>
      <c r="Y2022" s="120" t="b">
        <f t="shared" si="1420"/>
        <v>0</v>
      </c>
      <c r="Z2022" s="117">
        <f t="shared" si="1421"/>
        <v>0</v>
      </c>
      <c r="AA2022" s="118"/>
      <c r="AB2022" s="118" t="str">
        <f t="shared" si="1422"/>
        <v/>
      </c>
      <c r="AC2022" s="712" t="str">
        <f>IF(AE2022="T2G","no charge",IF(AND(OR(PlanterYesMe="No",PlanterYesMe="N",PlanterYesMe="me"),H2022=""),"",IF(H2022="credit","NO install",IF(AND(K2022="",AE2022="me"),"EACH row",IF(AND(K2022="images",AE2022="me"),"EACH row",IF(D2022="","",IF(H2022="credit","",IF(AE2022="free","re-planting",IF(AE2022="me","   not ELP, by",IF(AND(OR(PlanterYesMe="Yes",PlanterYesMe="Y"),G2022&gt;0),(VLOOKUP(A2022,'Discount Lookup'!J:K,2)*G2022*(1-PlanterDiscount)*(1+PlanterDifficultyPercentage)),IF(AE2022="ELP",(VLOOKUP(A2022,'Discount Lookup'!J:K,2)*G2022*(1-PlanterDiscount)*(1+PlanterDifficultyPercentage)),IF(AE2022="free","re-planting",IF(G2022=0,"",IF(PlanterYesMe="",IF(AE2022="me","   not ELP, by",IF(AE2022="",IF(G2022&gt;0,(VLOOKUP(A2022,'Discount Lookup'!J:K,2)*G2022*(1-PlanterDiscount)*(1+PlanterDifficultyPercentage)),""),"")),"   not ELP, by"))))))))))))))</f>
        <v/>
      </c>
      <c r="AD2022" s="712"/>
      <c r="AE2022" s="513" t="str">
        <f t="shared" si="1423"/>
        <v/>
      </c>
      <c r="AF2022" s="713" t="str">
        <f t="shared" si="1424"/>
        <v/>
      </c>
      <c r="AG2022" s="713"/>
      <c r="AH2022" s="713"/>
      <c r="AI2022" s="112">
        <f>IF(H2022="credit",0,IF(AE2022="free",0,IF(AE2022="me",0,IF(G2022&gt;0,(VLOOKUP(A2022,'Discount Lookup'!J:K,2)*G2022),0))))</f>
        <v>0</v>
      </c>
      <c r="AJ2022" s="107" t="str">
        <f t="shared" ca="1" si="1425"/>
        <v/>
      </c>
      <c r="AK2022" s="714" t="str">
        <f t="shared" si="1426"/>
        <v/>
      </c>
      <c r="AL2022" s="714"/>
      <c r="AM2022" s="114" t="str">
        <f t="shared" si="1427"/>
        <v/>
      </c>
      <c r="AN2022" s="115"/>
      <c r="AO2022" s="116"/>
      <c r="AP2022" s="116"/>
      <c r="AQ2022" s="116"/>
      <c r="AR2022" s="116"/>
      <c r="AS2022" s="116"/>
      <c r="AT2022" s="116"/>
      <c r="AU2022" s="116"/>
      <c r="AV2022" s="78"/>
      <c r="AW2022" s="102"/>
      <c r="AX2022" s="78"/>
      <c r="AY2022" s="78"/>
      <c r="AZ2022" s="78"/>
      <c r="BA2022" s="78"/>
      <c r="BB2022" s="78"/>
      <c r="BC2022" s="78"/>
      <c r="BD2022" s="78"/>
      <c r="BE2022" s="465"/>
      <c r="BF2022" s="165" t="str">
        <f t="shared" si="1428"/>
        <v>https://www.google.com/search?tbm=isch&amp;q=Hyd.%20paniculata%20%27LeeP1%27%20PP%2328973%20White%20Wedding%C2%AE%20Hydrangea</v>
      </c>
      <c r="BG2022" s="165" t="str">
        <f t="shared" si="1429"/>
        <v>H</v>
      </c>
      <c r="BH2022" s="65"/>
      <c r="BI2022" s="65"/>
      <c r="BJ2022" s="65"/>
      <c r="BK2022" s="65"/>
      <c r="BL2022" s="99"/>
      <c r="BM2022" s="99"/>
      <c r="BN2022" s="99"/>
    </row>
    <row r="2023" spans="1:66" s="51" customFormat="1" ht="15.75" x14ac:dyDescent="0.25">
      <c r="A2023" s="634">
        <v>3</v>
      </c>
      <c r="B2023" s="635" t="s">
        <v>291</v>
      </c>
      <c r="C2023" s="636" t="s">
        <v>2842</v>
      </c>
      <c r="D2023" s="637" t="s">
        <v>329</v>
      </c>
      <c r="E2023" s="638">
        <v>32.950000000000003</v>
      </c>
      <c r="F2023" s="639" t="s">
        <v>292</v>
      </c>
      <c r="G2023" s="484">
        <v>0</v>
      </c>
      <c r="H2023" s="691" t="str">
        <f>IF(G2023=0,"",IF(F2023="Buy",IF(G2023=1,"plant","plants"),IF(F2023&gt;0.01,"warranty","Error")))</f>
        <v/>
      </c>
      <c r="I2023" s="640">
        <f>IF(H2023="free",0,IF(H2023="credit",((E2023*(F2023))*G2023*-1),IF(F2023="Buy",(E2023*G2023),((E2023*(1-F2023))*G2023))))</f>
        <v>0</v>
      </c>
      <c r="J2023" s="640">
        <f>IF(H2023="warranty",0,(I2023*(_xlfn.SINGLE(SalesTaxPercentage))))</f>
        <v>0</v>
      </c>
      <c r="K2023" s="716">
        <f t="shared" ref="K2023" si="1444">I2023+J2023</f>
        <v>0</v>
      </c>
      <c r="L2023" s="716"/>
      <c r="M2023" s="689" t="str">
        <f ca="1">IF(AND(G2023&gt;0,E2023=0),"WARNING - no PRICE inserted",IF(H2023="free","FREE ~ no charge this plant",IF(H2023="credit",CONCATENATE("-$",ROUND(K2023*(1-_xlfn.SINGLE(T2GDiscount))*-1,2)," CREDIT after discount"),IF(_xlfn.SINGLE(T2GDiscount)=0,"",IF(G2023=0,"",IF(F2023="Buy",CONCATENATE("$",ROUND(K2023*(1-_xlfn.SINGLE(T2GDiscount)),2)," with ",(_xlfn.SINGLE(T2GDiscount)*100),"% discount"),CONCATENATE("$",ROUND(K2023*(1-_xlfn.SINGLE(T2GDiscount)),2)," with ",((_xlfn.SINGLE(T2GDiscount)*100+F2023*100)-(_xlfn.SINGLE(T2GDiscount)*100*F2023)),IF(F2023&gt;0,"% discounts",IF(_xlfn.SINGLE(NoWarrantyDiscount)&gt;0,"% discounts","% discount")))))))))</f>
        <v/>
      </c>
      <c r="N2023" s="690"/>
      <c r="O2023" s="486"/>
      <c r="P2023" s="486"/>
      <c r="Q2023" s="486"/>
      <c r="R2023" s="486"/>
      <c r="S2023" s="486"/>
      <c r="T2023" s="102">
        <f t="shared" si="1417"/>
        <v>0</v>
      </c>
      <c r="U2023" s="78">
        <f>IF(NOT(ISNUMBER(G2023)), "", VLOOKUP(A2023,'Discount Lookup'!D:E,2,FALSE)*G2023)</f>
        <v>0</v>
      </c>
      <c r="V2023" s="78">
        <f>IF(NOT(ISNUMBER(G2023)), "", VLOOKUP(A2023,'Discount Lookup'!G:H,2,FALSE)*G2023)</f>
        <v>0</v>
      </c>
      <c r="W2023" s="102">
        <f t="shared" si="1418"/>
        <v>0</v>
      </c>
      <c r="X2023" s="102">
        <f t="shared" si="1419"/>
        <v>0</v>
      </c>
      <c r="Y2023" s="120" t="b">
        <f t="shared" si="1420"/>
        <v>0</v>
      </c>
      <c r="Z2023" s="117">
        <f t="shared" si="1421"/>
        <v>0</v>
      </c>
      <c r="AA2023" s="118"/>
      <c r="AB2023" s="118" t="str">
        <f t="shared" si="1422"/>
        <v/>
      </c>
      <c r="AC2023" s="712" t="str">
        <f>IF(AE2023="T2G","no charge",IF(AND(OR(PlanterYesMe="No",PlanterYesMe="N",PlanterYesMe="me"),H2023=""),"",IF(H2023="credit","NO install",IF(AND(K2023="",AE2023="me"),"EACH row",IF(AND(K2023="images",AE2023="me"),"EACH row",IF(D2023="","",IF(H2023="credit","",IF(AE2023="free","re-planting",IF(AE2023="me","   not ELP, by",IF(AND(OR(PlanterYesMe="Yes",PlanterYesMe="Y"),G2023&gt;0),(VLOOKUP(A2023,'Discount Lookup'!J:K,2)*G2023*(1-PlanterDiscount)*(1+PlanterDifficultyPercentage)),IF(AE2023="ELP",(VLOOKUP(A2023,'Discount Lookup'!J:K,2)*G2023*(1-PlanterDiscount)*(1+PlanterDifficultyPercentage)),IF(AE2023="free","re-planting",IF(G2023=0,"",IF(PlanterYesMe="",IF(AE2023="me","   not ELP, by",IF(AE2023="",IF(G2023&gt;0,(VLOOKUP(A2023,'Discount Lookup'!J:K,2)*G2023*(1-PlanterDiscount)*(1+PlanterDifficultyPercentage)),""),"")),"   not ELP, by"))))))))))))))</f>
        <v/>
      </c>
      <c r="AD2023" s="712"/>
      <c r="AE2023" s="513" t="str">
        <f t="shared" si="1423"/>
        <v/>
      </c>
      <c r="AF2023" s="713" t="str">
        <f t="shared" si="1424"/>
        <v/>
      </c>
      <c r="AG2023" s="713"/>
      <c r="AH2023" s="713"/>
      <c r="AI2023" s="112">
        <f>IF(H2023="credit",0,IF(AE2023="free",0,IF(AE2023="me",0,IF(G2023&gt;0,(VLOOKUP(A2023,'Discount Lookup'!J:K,2)*G2023),0))))</f>
        <v>0</v>
      </c>
      <c r="AJ2023" s="107" t="str">
        <f t="shared" ca="1" si="1425"/>
        <v/>
      </c>
      <c r="AK2023" s="714" t="str">
        <f t="shared" si="1426"/>
        <v/>
      </c>
      <c r="AL2023" s="714"/>
      <c r="AM2023" s="114" t="str">
        <f t="shared" si="1427"/>
        <v/>
      </c>
      <c r="AN2023" s="115"/>
      <c r="AO2023" s="116"/>
      <c r="AP2023" s="116"/>
      <c r="AQ2023" s="116"/>
      <c r="AR2023" s="116"/>
      <c r="AS2023" s="116"/>
      <c r="AT2023" s="116"/>
      <c r="AU2023" s="116"/>
      <c r="AV2023" s="78"/>
      <c r="AW2023" s="102"/>
      <c r="AX2023" s="78"/>
      <c r="AY2023" s="78"/>
      <c r="AZ2023" s="78"/>
      <c r="BA2023" s="78"/>
      <c r="BB2023" s="78"/>
      <c r="BC2023" s="78"/>
      <c r="BD2023" s="78"/>
      <c r="BE2023" s="465"/>
      <c r="BF2023" s="165" t="str">
        <f t="shared" si="1428"/>
        <v>https://www.google.com/search?tbm=isch&amp;q=3%20G2</v>
      </c>
      <c r="BG2023" s="165" t="str">
        <f t="shared" si="1429"/>
        <v>H</v>
      </c>
      <c r="BH2023" s="65"/>
      <c r="BI2023" s="65"/>
      <c r="BJ2023" s="65"/>
      <c r="BK2023" s="65"/>
      <c r="BL2023" s="99"/>
      <c r="BM2023" s="99"/>
      <c r="BN2023" s="99"/>
    </row>
    <row r="2024" spans="1:66" s="51" customFormat="1" ht="17.25" thickBot="1" x14ac:dyDescent="0.3">
      <c r="A2024" s="641" t="s">
        <v>4752</v>
      </c>
      <c r="B2024" s="642"/>
      <c r="C2024" s="710"/>
      <c r="D2024" s="643"/>
      <c r="E2024" s="643"/>
      <c r="F2024" s="644"/>
      <c r="G2024" s="645"/>
      <c r="H2024" s="646"/>
      <c r="I2024" s="647"/>
      <c r="J2024" s="648"/>
      <c r="K2024" s="649"/>
      <c r="L2024" s="650"/>
      <c r="M2024" s="650"/>
      <c r="N2024" s="644"/>
      <c r="O2024" s="644"/>
      <c r="P2024" s="644"/>
      <c r="Q2024" s="644"/>
      <c r="R2024" s="644"/>
      <c r="S2024" s="651"/>
      <c r="T2024" s="102">
        <f t="shared" si="1417"/>
        <v>0</v>
      </c>
      <c r="U2024" s="78" t="str">
        <f>IF(NOT(ISNUMBER(G2024)), "", VLOOKUP(A2024,'Discount Lookup'!D:E,2,FALSE)*G2024)</f>
        <v/>
      </c>
      <c r="V2024" s="78" t="str">
        <f>IF(NOT(ISNUMBER(G2024)), "", VLOOKUP(A2024,'Discount Lookup'!G:H,2,FALSE)*G2024)</f>
        <v/>
      </c>
      <c r="W2024" s="102">
        <f t="shared" si="1418"/>
        <v>0</v>
      </c>
      <c r="X2024" s="102">
        <f t="shared" si="1419"/>
        <v>0</v>
      </c>
      <c r="Y2024" s="120" t="b">
        <f t="shared" si="1420"/>
        <v>0</v>
      </c>
      <c r="Z2024" s="117">
        <f t="shared" si="1421"/>
        <v>0</v>
      </c>
      <c r="AA2024" s="118"/>
      <c r="AB2024" s="118" t="str">
        <f t="shared" si="1422"/>
        <v/>
      </c>
      <c r="AC2024" s="712" t="str">
        <f>IF(AE2024="T2G","no charge",IF(AND(OR(PlanterYesMe="No",PlanterYesMe="N",PlanterYesMe="me"),H2024=""),"",IF(H2024="credit","NO install",IF(AND(K2024="",AE2024="me"),"EACH row",IF(AND(K2024="images",AE2024="me"),"EACH row",IF(D2024="","",IF(H2024="credit","",IF(AE2024="free","re-planting",IF(AE2024="me","   not ELP, by",IF(AND(OR(PlanterYesMe="Yes",PlanterYesMe="Y"),G2024&gt;0),(VLOOKUP(A2024,'Discount Lookup'!J:K,2)*G2024*(1-PlanterDiscount)*(1+PlanterDifficultyPercentage)),IF(AE2024="ELP",(VLOOKUP(A2024,'Discount Lookup'!J:K,2)*G2024*(1-PlanterDiscount)*(1+PlanterDifficultyPercentage)),IF(AE2024="free","re-planting",IF(G2024=0,"",IF(PlanterYesMe="",IF(AE2024="me","   not ELP, by",IF(AE2024="",IF(G2024&gt;0,(VLOOKUP(A2024,'Discount Lookup'!J:K,2)*G2024*(1-PlanterDiscount)*(1+PlanterDifficultyPercentage)),""),"")),"   not ELP, by"))))))))))))))</f>
        <v/>
      </c>
      <c r="AD2024" s="712"/>
      <c r="AE2024" s="513" t="str">
        <f t="shared" si="1423"/>
        <v/>
      </c>
      <c r="AF2024" s="713" t="str">
        <f t="shared" si="1424"/>
        <v/>
      </c>
      <c r="AG2024" s="713"/>
      <c r="AH2024" s="713"/>
      <c r="AI2024" s="112">
        <f>IF(H2024="credit",0,IF(AE2024="free",0,IF(AE2024="me",0,IF(G2024&gt;0,(VLOOKUP(A2024,'Discount Lookup'!J:K,2)*G2024),0))))</f>
        <v>0</v>
      </c>
      <c r="AJ2024" s="107" t="str">
        <f t="shared" ca="1" si="1425"/>
        <v/>
      </c>
      <c r="AK2024" s="714" t="str">
        <f t="shared" si="1426"/>
        <v/>
      </c>
      <c r="AL2024" s="714"/>
      <c r="AM2024" s="114" t="str">
        <f t="shared" si="1427"/>
        <v/>
      </c>
      <c r="AN2024" s="115"/>
      <c r="AO2024" s="116"/>
      <c r="AP2024" s="116"/>
      <c r="AQ2024" s="116"/>
      <c r="AR2024" s="116"/>
      <c r="AS2024" s="116"/>
      <c r="AT2024" s="116"/>
      <c r="AU2024" s="116"/>
      <c r="AV2024" s="78"/>
      <c r="AW2024" s="102"/>
      <c r="AX2024" s="78"/>
      <c r="AY2024" s="78"/>
      <c r="AZ2024" s="78"/>
      <c r="BA2024" s="78"/>
      <c r="BB2024" s="78"/>
      <c r="BC2024" s="78"/>
      <c r="BD2024" s="78"/>
      <c r="BE2024" s="465"/>
      <c r="BF2024" s="165" t="str">
        <f t="shared" si="1428"/>
        <v>https://www.google.com/search?tbm=isch&amp;q=White%20Wedding%20has%20Green%20foliage.%20All%20%22Hardy%22%20Hydrangea%20have%20cone-shaped%20flowers%20on%20new%20wood.%20Flowers%20change%20color%20with%20age.%20Extremely%20cold-hardy%20</v>
      </c>
      <c r="BG2024" s="165" t="str">
        <f t="shared" si="1429"/>
        <v>W</v>
      </c>
      <c r="BH2024" s="65"/>
      <c r="BI2024" s="65"/>
      <c r="BJ2024" s="65"/>
      <c r="BK2024" s="65"/>
      <c r="BL2024" s="99"/>
      <c r="BM2024" s="99"/>
      <c r="BN2024" s="99"/>
    </row>
    <row r="2025" spans="1:66" s="51" customFormat="1" ht="18" x14ac:dyDescent="0.25">
      <c r="A2025" s="623" t="s">
        <v>2843</v>
      </c>
      <c r="B2025" s="624"/>
      <c r="C2025" s="709"/>
      <c r="D2025" s="625" t="s">
        <v>5694</v>
      </c>
      <c r="E2025" s="626"/>
      <c r="F2025" s="626"/>
      <c r="G2025" s="626"/>
      <c r="H2025" s="622" t="s">
        <v>1264</v>
      </c>
      <c r="I2025" s="627" t="s">
        <v>2844</v>
      </c>
      <c r="J2025" s="628"/>
      <c r="K2025" s="628"/>
      <c r="L2025" s="629"/>
      <c r="M2025" s="700" t="s">
        <v>5249</v>
      </c>
      <c r="N2025" s="693" t="str">
        <f>IF(AND(ISTEXT($A2025), ISERROR($A2025+0)), HYPERLINK($BF2025, "Images"), "")</f>
        <v>Images</v>
      </c>
      <c r="O2025" s="695" t="s">
        <v>5247</v>
      </c>
      <c r="P2025" s="630"/>
      <c r="Q2025" s="631"/>
      <c r="R2025" s="632"/>
      <c r="S2025" s="633"/>
      <c r="T2025" s="102">
        <f t="shared" si="1417"/>
        <v>0</v>
      </c>
      <c r="U2025" s="78" t="str">
        <f>IF(NOT(ISNUMBER(G2025)), "", VLOOKUP(A2025,'Discount Lookup'!D:E,2,FALSE)*G2025)</f>
        <v/>
      </c>
      <c r="V2025" s="78" t="str">
        <f>IF(NOT(ISNUMBER(G2025)), "", VLOOKUP(A2025,'Discount Lookup'!G:H,2,FALSE)*G2025)</f>
        <v/>
      </c>
      <c r="W2025" s="102">
        <f t="shared" si="1418"/>
        <v>0</v>
      </c>
      <c r="X2025" s="102" t="str">
        <f t="shared" si="1419"/>
        <v>Lime Green ages to White</v>
      </c>
      <c r="Y2025" s="120" t="b">
        <f t="shared" si="1420"/>
        <v>0</v>
      </c>
      <c r="Z2025" s="117">
        <f t="shared" si="1421"/>
        <v>0</v>
      </c>
      <c r="AA2025" s="118"/>
      <c r="AB2025" s="118" t="str">
        <f t="shared" si="1422"/>
        <v/>
      </c>
      <c r="AC2025" s="712" t="str">
        <f>IF(AE2025="T2G","no charge",IF(AND(OR(PlanterYesMe="No",PlanterYesMe="N",PlanterYesMe="me"),H2025=""),"",IF(H2025="credit","NO install",IF(AND(K2025="",AE2025="me"),"EACH row",IF(AND(K2025="images",AE2025="me"),"EACH row",IF(D2025="","",IF(H2025="credit","",IF(AE2025="free","re-planting",IF(AE2025="me","   not ELP, by",IF(AND(OR(PlanterYesMe="Yes",PlanterYesMe="Y"),G2025&gt;0),(VLOOKUP(A2025,'Discount Lookup'!J:K,2)*G2025*(1-PlanterDiscount)*(1+PlanterDifficultyPercentage)),IF(AE2025="ELP",(VLOOKUP(A2025,'Discount Lookup'!J:K,2)*G2025*(1-PlanterDiscount)*(1+PlanterDifficultyPercentage)),IF(AE2025="free","re-planting",IF(G2025=0,"",IF(PlanterYesMe="",IF(AE2025="me","   not ELP, by",IF(AE2025="",IF(G2025&gt;0,(VLOOKUP(A2025,'Discount Lookup'!J:K,2)*G2025*(1-PlanterDiscount)*(1+PlanterDifficultyPercentage)),""),"")),"   not ELP, by"))))))))))))))</f>
        <v/>
      </c>
      <c r="AD2025" s="712"/>
      <c r="AE2025" s="513" t="str">
        <f t="shared" si="1423"/>
        <v/>
      </c>
      <c r="AF2025" s="713" t="str">
        <f t="shared" si="1424"/>
        <v/>
      </c>
      <c r="AG2025" s="713"/>
      <c r="AH2025" s="713"/>
      <c r="AI2025" s="112">
        <f>IF(H2025="credit",0,IF(AE2025="free",0,IF(AE2025="me",0,IF(G2025&gt;0,(VLOOKUP(A2025,'Discount Lookup'!J:K,2)*G2025),0))))</f>
        <v>0</v>
      </c>
      <c r="AJ2025" s="107" t="str">
        <f t="shared" ca="1" si="1425"/>
        <v/>
      </c>
      <c r="AK2025" s="714" t="str">
        <f t="shared" si="1426"/>
        <v/>
      </c>
      <c r="AL2025" s="714"/>
      <c r="AM2025" s="114" t="str">
        <f t="shared" si="1427"/>
        <v/>
      </c>
      <c r="AN2025" s="115"/>
      <c r="AO2025" s="116"/>
      <c r="AP2025" s="116"/>
      <c r="AQ2025" s="116"/>
      <c r="AR2025" s="116"/>
      <c r="AS2025" s="116"/>
      <c r="AT2025" s="116"/>
      <c r="AU2025" s="116"/>
      <c r="AV2025" s="78"/>
      <c r="AW2025" s="102"/>
      <c r="AX2025" s="78"/>
      <c r="AY2025" s="78"/>
      <c r="AZ2025" s="78"/>
      <c r="BA2025" s="78"/>
      <c r="BB2025" s="78"/>
      <c r="BC2025" s="78"/>
      <c r="BD2025" s="78"/>
      <c r="BE2025" s="465"/>
      <c r="BF2025" s="165" t="str">
        <f t="shared" si="1428"/>
        <v>https://www.google.com/search?tbm=isch&amp;q=Hyd.%20paniculata%20%27Limelight%27%20PP%2312874%20Limelight%C2%AE%20Hydrangea</v>
      </c>
      <c r="BG2025" s="165" t="str">
        <f t="shared" si="1429"/>
        <v>H</v>
      </c>
      <c r="BH2025" s="65"/>
      <c r="BI2025" s="65"/>
      <c r="BJ2025" s="65"/>
      <c r="BK2025" s="65"/>
      <c r="BL2025" s="99"/>
      <c r="BM2025" s="99"/>
      <c r="BN2025" s="99"/>
    </row>
    <row r="2026" spans="1:66" s="51" customFormat="1" ht="15.75" x14ac:dyDescent="0.25">
      <c r="A2026" s="634">
        <v>3</v>
      </c>
      <c r="B2026" s="635" t="s">
        <v>291</v>
      </c>
      <c r="C2026" s="636" t="s">
        <v>2840</v>
      </c>
      <c r="D2026" s="637" t="s">
        <v>329</v>
      </c>
      <c r="E2026" s="638">
        <v>34.950000000000003</v>
      </c>
      <c r="F2026" s="639" t="s">
        <v>292</v>
      </c>
      <c r="G2026" s="484">
        <v>0</v>
      </c>
      <c r="H2026" s="691" t="str">
        <f t="shared" ref="H2026:H2032" si="1445">IF(G2026=0,"",IF(F2026="Buy",IF(G2026=1,"plant","plants"),IF(F2026&gt;0.01,"warranty","Error")))</f>
        <v/>
      </c>
      <c r="I2026" s="640">
        <f t="shared" ref="I2026:I2032" si="1446">IF(H2026="free",0,IF(H2026="credit",((E2026*(F2026))*G2026*-1),IF(F2026="Buy",(E2026*G2026),((E2026*(1-F2026))*G2026))))</f>
        <v>0</v>
      </c>
      <c r="J2026" s="640">
        <f t="shared" ref="J2026:J2032" si="1447">IF(H2026="warranty",0,(I2026*(_xlfn.SINGLE(SalesTaxPercentage))))</f>
        <v>0</v>
      </c>
      <c r="K2026" s="716">
        <f t="shared" ref="K2026" si="1448">I2026+J2026</f>
        <v>0</v>
      </c>
      <c r="L2026" s="716"/>
      <c r="M2026" s="689" t="str">
        <f t="shared" ref="M2026:M2032" ca="1" si="1449">IF(AND(G2026&gt;0,E2026=0),"WARNING - no PRICE inserted",IF(H2026="free","FREE ~ no charge this plant",IF(H2026="credit",CONCATENATE("-$",ROUND(K2026*(1-_xlfn.SINGLE(T2GDiscount))*-1,2)," CREDIT after discount"),IF(_xlfn.SINGLE(T2GDiscount)=0,"",IF(G2026=0,"",IF(F2026="Buy",CONCATENATE("$",ROUND(K2026*(1-_xlfn.SINGLE(T2GDiscount)),2)," with ",(_xlfn.SINGLE(T2GDiscount)*100),"% discount"),CONCATENATE("$",ROUND(K2026*(1-_xlfn.SINGLE(T2GDiscount)),2)," with ",((_xlfn.SINGLE(T2GDiscount)*100+F2026*100)-(_xlfn.SINGLE(T2GDiscount)*100*F2026)),IF(F2026&gt;0,"% discounts",IF(_xlfn.SINGLE(NoWarrantyDiscount)&gt;0,"% discounts","% discount")))))))))</f>
        <v/>
      </c>
      <c r="N2026" s="690"/>
      <c r="O2026" s="486"/>
      <c r="P2026" s="486"/>
      <c r="Q2026" s="486"/>
      <c r="R2026" s="486"/>
      <c r="S2026" s="486"/>
      <c r="T2026" s="102">
        <f t="shared" si="1417"/>
        <v>0</v>
      </c>
      <c r="U2026" s="78">
        <f>IF(NOT(ISNUMBER(G2026)), "", VLOOKUP(A2026,'Discount Lookup'!D:E,2,FALSE)*G2026)</f>
        <v>0</v>
      </c>
      <c r="V2026" s="78">
        <f>IF(NOT(ISNUMBER(G2026)), "", VLOOKUP(A2026,'Discount Lookup'!G:H,2,FALSE)*G2026)</f>
        <v>0</v>
      </c>
      <c r="W2026" s="102">
        <f t="shared" si="1418"/>
        <v>0</v>
      </c>
      <c r="X2026" s="102">
        <f t="shared" si="1419"/>
        <v>0</v>
      </c>
      <c r="Y2026" s="120" t="b">
        <f t="shared" si="1420"/>
        <v>0</v>
      </c>
      <c r="Z2026" s="117">
        <f t="shared" si="1421"/>
        <v>0</v>
      </c>
      <c r="AA2026" s="118"/>
      <c r="AB2026" s="118" t="str">
        <f t="shared" si="1422"/>
        <v/>
      </c>
      <c r="AC2026" s="712" t="str">
        <f>IF(AE2026="T2G","no charge",IF(AND(OR(PlanterYesMe="No",PlanterYesMe="N",PlanterYesMe="me"),H2026=""),"",IF(H2026="credit","NO install",IF(AND(K2026="",AE2026="me"),"EACH row",IF(AND(K2026="images",AE2026="me"),"EACH row",IF(D2026="","",IF(H2026="credit","",IF(AE2026="free","re-planting",IF(AE2026="me","   not ELP, by",IF(AND(OR(PlanterYesMe="Yes",PlanterYesMe="Y"),G2026&gt;0),(VLOOKUP(A2026,'Discount Lookup'!J:K,2)*G2026*(1-PlanterDiscount)*(1+PlanterDifficultyPercentage)),IF(AE2026="ELP",(VLOOKUP(A2026,'Discount Lookup'!J:K,2)*G2026*(1-PlanterDiscount)*(1+PlanterDifficultyPercentage)),IF(AE2026="free","re-planting",IF(G2026=0,"",IF(PlanterYesMe="",IF(AE2026="me","   not ELP, by",IF(AE2026="",IF(G2026&gt;0,(VLOOKUP(A2026,'Discount Lookup'!J:K,2)*G2026*(1-PlanterDiscount)*(1+PlanterDifficultyPercentage)),""),"")),"   not ELP, by"))))))))))))))</f>
        <v/>
      </c>
      <c r="AD2026" s="712"/>
      <c r="AE2026" s="513" t="str">
        <f t="shared" si="1423"/>
        <v/>
      </c>
      <c r="AF2026" s="713" t="str">
        <f t="shared" si="1424"/>
        <v/>
      </c>
      <c r="AG2026" s="713"/>
      <c r="AH2026" s="713"/>
      <c r="AI2026" s="112">
        <f>IF(H2026="credit",0,IF(AE2026="free",0,IF(AE2026="me",0,IF(G2026&gt;0,(VLOOKUP(A2026,'Discount Lookup'!J:K,2)*G2026),0))))</f>
        <v>0</v>
      </c>
      <c r="AJ2026" s="107" t="str">
        <f t="shared" ca="1" si="1425"/>
        <v/>
      </c>
      <c r="AK2026" s="714" t="str">
        <f t="shared" si="1426"/>
        <v/>
      </c>
      <c r="AL2026" s="714"/>
      <c r="AM2026" s="114" t="str">
        <f t="shared" si="1427"/>
        <v/>
      </c>
      <c r="AN2026" s="115"/>
      <c r="AO2026" s="116"/>
      <c r="AP2026" s="116"/>
      <c r="AQ2026" s="116"/>
      <c r="AR2026" s="116"/>
      <c r="AS2026" s="116"/>
      <c r="AT2026" s="116"/>
      <c r="AU2026" s="116"/>
      <c r="AV2026" s="78"/>
      <c r="AW2026" s="102"/>
      <c r="AX2026" s="78"/>
      <c r="AY2026" s="78"/>
      <c r="AZ2026" s="78"/>
      <c r="BA2026" s="78"/>
      <c r="BB2026" s="78"/>
      <c r="BC2026" s="78"/>
      <c r="BD2026" s="78"/>
      <c r="BE2026" s="465"/>
      <c r="BF2026" s="165" t="str">
        <f t="shared" si="1428"/>
        <v>https://www.google.com/search?tbm=isch&amp;q=3%20G2</v>
      </c>
      <c r="BG2026" s="165" t="str">
        <f t="shared" si="1429"/>
        <v>H</v>
      </c>
      <c r="BH2026" s="65"/>
      <c r="BI2026" s="65"/>
      <c r="BJ2026" s="65"/>
      <c r="BK2026" s="65"/>
      <c r="BL2026" s="99"/>
      <c r="BM2026" s="99"/>
      <c r="BN2026" s="99"/>
    </row>
    <row r="2027" spans="1:66" s="51" customFormat="1" ht="15.75" x14ac:dyDescent="0.25">
      <c r="A2027" s="634">
        <v>7</v>
      </c>
      <c r="B2027" s="635" t="s">
        <v>291</v>
      </c>
      <c r="C2027" s="636" t="s">
        <v>2845</v>
      </c>
      <c r="D2027" s="637" t="s">
        <v>309</v>
      </c>
      <c r="E2027" s="638">
        <v>56.95</v>
      </c>
      <c r="F2027" s="639" t="s">
        <v>292</v>
      </c>
      <c r="G2027" s="484">
        <v>0</v>
      </c>
      <c r="H2027" s="691" t="str">
        <f t="shared" si="1445"/>
        <v/>
      </c>
      <c r="I2027" s="640">
        <f t="shared" si="1446"/>
        <v>0</v>
      </c>
      <c r="J2027" s="640">
        <f t="shared" si="1447"/>
        <v>0</v>
      </c>
      <c r="K2027" s="716">
        <f t="shared" ref="K2027" si="1450">I2027+J2027</f>
        <v>0</v>
      </c>
      <c r="L2027" s="716"/>
      <c r="M2027" s="689" t="str">
        <f t="shared" ca="1" si="1449"/>
        <v/>
      </c>
      <c r="N2027" s="690"/>
      <c r="O2027" s="486"/>
      <c r="P2027" s="486"/>
      <c r="Q2027" s="486"/>
      <c r="R2027" s="486"/>
      <c r="S2027" s="486"/>
      <c r="T2027" s="102">
        <f t="shared" si="1417"/>
        <v>0</v>
      </c>
      <c r="U2027" s="78">
        <f>IF(NOT(ISNUMBER(G2027)), "", VLOOKUP(A2027,'Discount Lookup'!D:E,2,FALSE)*G2027)</f>
        <v>0</v>
      </c>
      <c r="V2027" s="78">
        <f>IF(NOT(ISNUMBER(G2027)), "", VLOOKUP(A2027,'Discount Lookup'!G:H,2,FALSE)*G2027)</f>
        <v>0</v>
      </c>
      <c r="W2027" s="102">
        <f t="shared" si="1418"/>
        <v>0</v>
      </c>
      <c r="X2027" s="102">
        <f t="shared" si="1419"/>
        <v>0</v>
      </c>
      <c r="Y2027" s="120" t="b">
        <f t="shared" si="1420"/>
        <v>0</v>
      </c>
      <c r="Z2027" s="117">
        <f t="shared" si="1421"/>
        <v>0</v>
      </c>
      <c r="AA2027" s="118"/>
      <c r="AB2027" s="118" t="str">
        <f t="shared" si="1422"/>
        <v/>
      </c>
      <c r="AC2027" s="712" t="str">
        <f>IF(AE2027="T2G","no charge",IF(AND(OR(PlanterYesMe="No",PlanterYesMe="N",PlanterYesMe="me"),H2027=""),"",IF(H2027="credit","NO install",IF(AND(K2027="",AE2027="me"),"EACH row",IF(AND(K2027="images",AE2027="me"),"EACH row",IF(D2027="","",IF(H2027="credit","",IF(AE2027="free","re-planting",IF(AE2027="me","   not ELP, by",IF(AND(OR(PlanterYesMe="Yes",PlanterYesMe="Y"),G2027&gt;0),(VLOOKUP(A2027,'Discount Lookup'!J:K,2)*G2027*(1-PlanterDiscount)*(1+PlanterDifficultyPercentage)),IF(AE2027="ELP",(VLOOKUP(A2027,'Discount Lookup'!J:K,2)*G2027*(1-PlanterDiscount)*(1+PlanterDifficultyPercentage)),IF(AE2027="free","re-planting",IF(G2027=0,"",IF(PlanterYesMe="",IF(AE2027="me","   not ELP, by",IF(AE2027="",IF(G2027&gt;0,(VLOOKUP(A2027,'Discount Lookup'!J:K,2)*G2027*(1-PlanterDiscount)*(1+PlanterDifficultyPercentage)),""),"")),"   not ELP, by"))))))))))))))</f>
        <v/>
      </c>
      <c r="AD2027" s="712"/>
      <c r="AE2027" s="513" t="str">
        <f t="shared" si="1423"/>
        <v/>
      </c>
      <c r="AF2027" s="713" t="str">
        <f t="shared" si="1424"/>
        <v/>
      </c>
      <c r="AG2027" s="713"/>
      <c r="AH2027" s="713"/>
      <c r="AI2027" s="112">
        <f>IF(H2027="credit",0,IF(AE2027="free",0,IF(AE2027="me",0,IF(G2027&gt;0,(VLOOKUP(A2027,'Discount Lookup'!J:K,2)*G2027),0))))</f>
        <v>0</v>
      </c>
      <c r="AJ2027" s="107" t="str">
        <f t="shared" ca="1" si="1425"/>
        <v/>
      </c>
      <c r="AK2027" s="714" t="str">
        <f t="shared" si="1426"/>
        <v/>
      </c>
      <c r="AL2027" s="714"/>
      <c r="AM2027" s="114" t="str">
        <f t="shared" si="1427"/>
        <v/>
      </c>
      <c r="AN2027" s="115"/>
      <c r="AO2027" s="116"/>
      <c r="AP2027" s="116"/>
      <c r="AQ2027" s="116"/>
      <c r="AR2027" s="116"/>
      <c r="AS2027" s="116"/>
      <c r="AT2027" s="116"/>
      <c r="AU2027" s="116"/>
      <c r="AV2027" s="78"/>
      <c r="AW2027" s="102"/>
      <c r="AX2027" s="78"/>
      <c r="AY2027" s="78"/>
      <c r="AZ2027" s="78"/>
      <c r="BA2027" s="78"/>
      <c r="BB2027" s="78"/>
      <c r="BC2027" s="78"/>
      <c r="BD2027" s="78"/>
      <c r="BE2027" s="465"/>
      <c r="BF2027" s="165" t="str">
        <f t="shared" si="1428"/>
        <v>https://www.google.com/search?tbm=isch&amp;q=7%20G3</v>
      </c>
      <c r="BG2027" s="165" t="str">
        <f t="shared" si="1429"/>
        <v>H</v>
      </c>
      <c r="BH2027" s="65"/>
      <c r="BI2027" s="65"/>
      <c r="BJ2027" s="65"/>
      <c r="BK2027" s="65"/>
      <c r="BL2027" s="99"/>
      <c r="BM2027" s="99"/>
      <c r="BN2027" s="99"/>
    </row>
    <row r="2028" spans="1:66" s="51" customFormat="1" ht="15.75" x14ac:dyDescent="0.25">
      <c r="A2028" s="634">
        <v>7</v>
      </c>
      <c r="B2028" s="635" t="s">
        <v>291</v>
      </c>
      <c r="C2028" s="636" t="s">
        <v>2846</v>
      </c>
      <c r="D2028" s="637" t="s">
        <v>299</v>
      </c>
      <c r="E2028" s="638">
        <v>86.95</v>
      </c>
      <c r="F2028" s="639" t="s">
        <v>292</v>
      </c>
      <c r="G2028" s="484">
        <v>0</v>
      </c>
      <c r="H2028" s="691" t="str">
        <f t="shared" si="1445"/>
        <v/>
      </c>
      <c r="I2028" s="640">
        <f t="shared" si="1446"/>
        <v>0</v>
      </c>
      <c r="J2028" s="640">
        <f t="shared" si="1447"/>
        <v>0</v>
      </c>
      <c r="K2028" s="716">
        <f t="shared" ref="K2028" si="1451">I2028+J2028</f>
        <v>0</v>
      </c>
      <c r="L2028" s="716"/>
      <c r="M2028" s="689" t="str">
        <f t="shared" ca="1" si="1449"/>
        <v/>
      </c>
      <c r="N2028" s="690"/>
      <c r="O2028" s="486"/>
      <c r="P2028" s="486"/>
      <c r="Q2028" s="486"/>
      <c r="R2028" s="486"/>
      <c r="S2028" s="486"/>
      <c r="T2028" s="102">
        <f t="shared" si="1417"/>
        <v>0</v>
      </c>
      <c r="U2028" s="78">
        <f>IF(NOT(ISNUMBER(G2028)), "", VLOOKUP(A2028,'Discount Lookup'!D:E,2,FALSE)*G2028)</f>
        <v>0</v>
      </c>
      <c r="V2028" s="78">
        <f>IF(NOT(ISNUMBER(G2028)), "", VLOOKUP(A2028,'Discount Lookup'!G:H,2,FALSE)*G2028)</f>
        <v>0</v>
      </c>
      <c r="W2028" s="102">
        <f t="shared" si="1418"/>
        <v>0</v>
      </c>
      <c r="X2028" s="102">
        <f t="shared" si="1419"/>
        <v>0</v>
      </c>
      <c r="Y2028" s="120" t="b">
        <f t="shared" si="1420"/>
        <v>0</v>
      </c>
      <c r="Z2028" s="117">
        <f t="shared" si="1421"/>
        <v>0</v>
      </c>
      <c r="AA2028" s="118"/>
      <c r="AB2028" s="118" t="str">
        <f t="shared" si="1422"/>
        <v/>
      </c>
      <c r="AC2028" s="712" t="str">
        <f>IF(AE2028="T2G","no charge",IF(AND(OR(PlanterYesMe="No",PlanterYesMe="N",PlanterYesMe="me"),H2028=""),"",IF(H2028="credit","NO install",IF(AND(K2028="",AE2028="me"),"EACH row",IF(AND(K2028="images",AE2028="me"),"EACH row",IF(D2028="","",IF(H2028="credit","",IF(AE2028="free","re-planting",IF(AE2028="me","   not ELP, by",IF(AND(OR(PlanterYesMe="Yes",PlanterYesMe="Y"),G2028&gt;0),(VLOOKUP(A2028,'Discount Lookup'!J:K,2)*G2028*(1-PlanterDiscount)*(1+PlanterDifficultyPercentage)),IF(AE2028="ELP",(VLOOKUP(A2028,'Discount Lookup'!J:K,2)*G2028*(1-PlanterDiscount)*(1+PlanterDifficultyPercentage)),IF(AE2028="free","re-planting",IF(G2028=0,"",IF(PlanterYesMe="",IF(AE2028="me","   not ELP, by",IF(AE2028="",IF(G2028&gt;0,(VLOOKUP(A2028,'Discount Lookup'!J:K,2)*G2028*(1-PlanterDiscount)*(1+PlanterDifficultyPercentage)),""),"")),"   not ELP, by"))))))))))))))</f>
        <v/>
      </c>
      <c r="AD2028" s="712"/>
      <c r="AE2028" s="513" t="str">
        <f t="shared" si="1423"/>
        <v/>
      </c>
      <c r="AF2028" s="713" t="str">
        <f t="shared" si="1424"/>
        <v/>
      </c>
      <c r="AG2028" s="713"/>
      <c r="AH2028" s="713"/>
      <c r="AI2028" s="112">
        <f>IF(H2028="credit",0,IF(AE2028="free",0,IF(AE2028="me",0,IF(G2028&gt;0,(VLOOKUP(A2028,'Discount Lookup'!J:K,2)*G2028),0))))</f>
        <v>0</v>
      </c>
      <c r="AJ2028" s="107" t="str">
        <f t="shared" ca="1" si="1425"/>
        <v/>
      </c>
      <c r="AK2028" s="714" t="str">
        <f t="shared" si="1426"/>
        <v/>
      </c>
      <c r="AL2028" s="714"/>
      <c r="AM2028" s="114" t="str">
        <f t="shared" si="1427"/>
        <v/>
      </c>
      <c r="AN2028" s="115"/>
      <c r="AO2028" s="116"/>
      <c r="AP2028" s="116"/>
      <c r="AQ2028" s="116"/>
      <c r="AR2028" s="116"/>
      <c r="AS2028" s="116"/>
      <c r="AT2028" s="116"/>
      <c r="AU2028" s="116"/>
      <c r="AV2028" s="78"/>
      <c r="AW2028" s="102"/>
      <c r="AX2028" s="78"/>
      <c r="AY2028" s="78"/>
      <c r="AZ2028" s="78"/>
      <c r="BA2028" s="78"/>
      <c r="BB2028" s="78"/>
      <c r="BC2028" s="78"/>
      <c r="BD2028" s="78"/>
      <c r="BE2028" s="465"/>
      <c r="BF2028" s="165" t="str">
        <f t="shared" si="1428"/>
        <v>https://www.google.com/search?tbm=isch&amp;q=7%20G4</v>
      </c>
      <c r="BG2028" s="165" t="str">
        <f t="shared" si="1429"/>
        <v>H</v>
      </c>
      <c r="BH2028" s="65"/>
      <c r="BI2028" s="65"/>
      <c r="BJ2028" s="65"/>
      <c r="BK2028" s="65"/>
      <c r="BL2028" s="99"/>
      <c r="BM2028" s="99"/>
      <c r="BN2028" s="99"/>
    </row>
    <row r="2029" spans="1:66" s="51" customFormat="1" ht="15.75" x14ac:dyDescent="0.25">
      <c r="A2029" s="634">
        <v>7</v>
      </c>
      <c r="B2029" s="635" t="s">
        <v>291</v>
      </c>
      <c r="C2029" s="636" t="s">
        <v>2847</v>
      </c>
      <c r="D2029" s="637" t="s">
        <v>309</v>
      </c>
      <c r="E2029" s="638">
        <v>119.95</v>
      </c>
      <c r="F2029" s="639" t="s">
        <v>292</v>
      </c>
      <c r="G2029" s="484">
        <v>0</v>
      </c>
      <c r="H2029" s="691" t="str">
        <f t="shared" si="1445"/>
        <v/>
      </c>
      <c r="I2029" s="640">
        <f t="shared" si="1446"/>
        <v>0</v>
      </c>
      <c r="J2029" s="640">
        <f t="shared" si="1447"/>
        <v>0</v>
      </c>
      <c r="K2029" s="716">
        <f t="shared" ref="K2029" si="1452">I2029+J2029</f>
        <v>0</v>
      </c>
      <c r="L2029" s="716"/>
      <c r="M2029" s="689" t="str">
        <f t="shared" ca="1" si="1449"/>
        <v/>
      </c>
      <c r="N2029" s="690"/>
      <c r="O2029" s="486"/>
      <c r="P2029" s="486"/>
      <c r="Q2029" s="486"/>
      <c r="R2029" s="486"/>
      <c r="S2029" s="486"/>
      <c r="T2029" s="102">
        <f t="shared" si="1417"/>
        <v>0</v>
      </c>
      <c r="U2029" s="78">
        <f>IF(NOT(ISNUMBER(G2029)), "", VLOOKUP(A2029,'Discount Lookup'!D:E,2,FALSE)*G2029)</f>
        <v>0</v>
      </c>
      <c r="V2029" s="78">
        <f>IF(NOT(ISNUMBER(G2029)), "", VLOOKUP(A2029,'Discount Lookup'!G:H,2,FALSE)*G2029)</f>
        <v>0</v>
      </c>
      <c r="W2029" s="102">
        <f t="shared" si="1418"/>
        <v>0</v>
      </c>
      <c r="X2029" s="102">
        <f t="shared" si="1419"/>
        <v>0</v>
      </c>
      <c r="Y2029" s="120" t="b">
        <f t="shared" si="1420"/>
        <v>0</v>
      </c>
      <c r="Z2029" s="117">
        <f t="shared" si="1421"/>
        <v>0</v>
      </c>
      <c r="AA2029" s="118"/>
      <c r="AB2029" s="118" t="str">
        <f t="shared" si="1422"/>
        <v/>
      </c>
      <c r="AC2029" s="712" t="str">
        <f>IF(AE2029="T2G","no charge",IF(AND(OR(PlanterYesMe="No",PlanterYesMe="N",PlanterYesMe="me"),H2029=""),"",IF(H2029="credit","NO install",IF(AND(K2029="",AE2029="me"),"EACH row",IF(AND(K2029="images",AE2029="me"),"EACH row",IF(D2029="","",IF(H2029="credit","",IF(AE2029="free","re-planting",IF(AE2029="me","   not ELP, by",IF(AND(OR(PlanterYesMe="Yes",PlanterYesMe="Y"),G2029&gt;0),(VLOOKUP(A2029,'Discount Lookup'!J:K,2)*G2029*(1-PlanterDiscount)*(1+PlanterDifficultyPercentage)),IF(AE2029="ELP",(VLOOKUP(A2029,'Discount Lookup'!J:K,2)*G2029*(1-PlanterDiscount)*(1+PlanterDifficultyPercentage)),IF(AE2029="free","re-planting",IF(G2029=0,"",IF(PlanterYesMe="",IF(AE2029="me","   not ELP, by",IF(AE2029="",IF(G2029&gt;0,(VLOOKUP(A2029,'Discount Lookup'!J:K,2)*G2029*(1-PlanterDiscount)*(1+PlanterDifficultyPercentage)),""),"")),"   not ELP, by"))))))))))))))</f>
        <v/>
      </c>
      <c r="AD2029" s="712"/>
      <c r="AE2029" s="513" t="str">
        <f t="shared" si="1423"/>
        <v/>
      </c>
      <c r="AF2029" s="713" t="str">
        <f t="shared" si="1424"/>
        <v/>
      </c>
      <c r="AG2029" s="713"/>
      <c r="AH2029" s="713"/>
      <c r="AI2029" s="112">
        <f>IF(H2029="credit",0,IF(AE2029="free",0,IF(AE2029="me",0,IF(G2029&gt;0,(VLOOKUP(A2029,'Discount Lookup'!J:K,2)*G2029),0))))</f>
        <v>0</v>
      </c>
      <c r="AJ2029" s="107" t="str">
        <f t="shared" ca="1" si="1425"/>
        <v/>
      </c>
      <c r="AK2029" s="714" t="str">
        <f t="shared" si="1426"/>
        <v/>
      </c>
      <c r="AL2029" s="714"/>
      <c r="AM2029" s="114" t="str">
        <f t="shared" si="1427"/>
        <v/>
      </c>
      <c r="AN2029" s="115"/>
      <c r="AO2029" s="116"/>
      <c r="AP2029" s="116"/>
      <c r="AQ2029" s="116"/>
      <c r="AR2029" s="116"/>
      <c r="AS2029" s="116"/>
      <c r="AT2029" s="116"/>
      <c r="AU2029" s="116"/>
      <c r="AV2029" s="78"/>
      <c r="AW2029" s="102"/>
      <c r="AX2029" s="78"/>
      <c r="AY2029" s="78"/>
      <c r="AZ2029" s="78"/>
      <c r="BA2029" s="78"/>
      <c r="BB2029" s="78"/>
      <c r="BC2029" s="78"/>
      <c r="BD2029" s="78"/>
      <c r="BE2029" s="465"/>
      <c r="BF2029" s="165" t="str">
        <f t="shared" si="1428"/>
        <v>https://www.google.com/search?tbm=isch&amp;q=7%20G3</v>
      </c>
      <c r="BG2029" s="165" t="str">
        <f t="shared" si="1429"/>
        <v>H</v>
      </c>
      <c r="BH2029" s="65"/>
      <c r="BI2029" s="65"/>
      <c r="BJ2029" s="65"/>
      <c r="BK2029" s="65"/>
      <c r="BL2029" s="99"/>
      <c r="BM2029" s="99"/>
      <c r="BN2029" s="99"/>
    </row>
    <row r="2030" spans="1:66" s="51" customFormat="1" ht="27" x14ac:dyDescent="0.25">
      <c r="A2030" s="634">
        <v>7</v>
      </c>
      <c r="B2030" s="635" t="s">
        <v>291</v>
      </c>
      <c r="C2030" s="636" t="s">
        <v>5172</v>
      </c>
      <c r="D2030" s="637" t="s">
        <v>299</v>
      </c>
      <c r="E2030" s="638">
        <v>173.95</v>
      </c>
      <c r="F2030" s="639" t="s">
        <v>292</v>
      </c>
      <c r="G2030" s="484">
        <v>0</v>
      </c>
      <c r="H2030" s="691" t="str">
        <f t="shared" si="1445"/>
        <v/>
      </c>
      <c r="I2030" s="640">
        <f t="shared" si="1446"/>
        <v>0</v>
      </c>
      <c r="J2030" s="640">
        <f t="shared" si="1447"/>
        <v>0</v>
      </c>
      <c r="K2030" s="716">
        <f t="shared" ref="K2030" si="1453">I2030+J2030</f>
        <v>0</v>
      </c>
      <c r="L2030" s="716"/>
      <c r="M2030" s="689" t="str">
        <f t="shared" ca="1" si="1449"/>
        <v/>
      </c>
      <c r="N2030" s="690"/>
      <c r="O2030" s="486"/>
      <c r="P2030" s="486"/>
      <c r="Q2030" s="486"/>
      <c r="R2030" s="486"/>
      <c r="S2030" s="486"/>
      <c r="T2030" s="102">
        <f t="shared" si="1417"/>
        <v>0</v>
      </c>
      <c r="U2030" s="78">
        <f>IF(NOT(ISNUMBER(G2030)), "", VLOOKUP(A2030,'Discount Lookup'!D:E,2,FALSE)*G2030)</f>
        <v>0</v>
      </c>
      <c r="V2030" s="78">
        <f>IF(NOT(ISNUMBER(G2030)), "", VLOOKUP(A2030,'Discount Lookup'!G:H,2,FALSE)*G2030)</f>
        <v>0</v>
      </c>
      <c r="W2030" s="102">
        <f t="shared" si="1418"/>
        <v>0</v>
      </c>
      <c r="X2030" s="102">
        <f t="shared" si="1419"/>
        <v>0</v>
      </c>
      <c r="Y2030" s="120" t="b">
        <f t="shared" si="1420"/>
        <v>0</v>
      </c>
      <c r="Z2030" s="117">
        <f t="shared" si="1421"/>
        <v>0</v>
      </c>
      <c r="AA2030" s="118"/>
      <c r="AB2030" s="118" t="str">
        <f t="shared" si="1422"/>
        <v/>
      </c>
      <c r="AC2030" s="712" t="str">
        <f>IF(AE2030="T2G","no charge",IF(AND(OR(PlanterYesMe="No",PlanterYesMe="N",PlanterYesMe="me"),H2030=""),"",IF(H2030="credit","NO install",IF(AND(K2030="",AE2030="me"),"EACH row",IF(AND(K2030="images",AE2030="me"),"EACH row",IF(D2030="","",IF(H2030="credit","",IF(AE2030="free","re-planting",IF(AE2030="me","   not ELP, by",IF(AND(OR(PlanterYesMe="Yes",PlanterYesMe="Y"),G2030&gt;0),(VLOOKUP(A2030,'Discount Lookup'!J:K,2)*G2030*(1-PlanterDiscount)*(1+PlanterDifficultyPercentage)),IF(AE2030="ELP",(VLOOKUP(A2030,'Discount Lookup'!J:K,2)*G2030*(1-PlanterDiscount)*(1+PlanterDifficultyPercentage)),IF(AE2030="free","re-planting",IF(G2030=0,"",IF(PlanterYesMe="",IF(AE2030="me","   not ELP, by",IF(AE2030="",IF(G2030&gt;0,(VLOOKUP(A2030,'Discount Lookup'!J:K,2)*G2030*(1-PlanterDiscount)*(1+PlanterDifficultyPercentage)),""),"")),"   not ELP, by"))))))))))))))</f>
        <v/>
      </c>
      <c r="AD2030" s="712"/>
      <c r="AE2030" s="513" t="str">
        <f t="shared" si="1423"/>
        <v/>
      </c>
      <c r="AF2030" s="713" t="str">
        <f t="shared" si="1424"/>
        <v/>
      </c>
      <c r="AG2030" s="713"/>
      <c r="AH2030" s="713"/>
      <c r="AI2030" s="112">
        <f>IF(H2030="credit",0,IF(AE2030="free",0,IF(AE2030="me",0,IF(G2030&gt;0,(VLOOKUP(A2030,'Discount Lookup'!J:K,2)*G2030),0))))</f>
        <v>0</v>
      </c>
      <c r="AJ2030" s="107" t="str">
        <f t="shared" ca="1" si="1425"/>
        <v/>
      </c>
      <c r="AK2030" s="714" t="str">
        <f t="shared" si="1426"/>
        <v/>
      </c>
      <c r="AL2030" s="714"/>
      <c r="AM2030" s="114" t="str">
        <f t="shared" si="1427"/>
        <v/>
      </c>
      <c r="AN2030" s="115"/>
      <c r="AO2030" s="116"/>
      <c r="AP2030" s="116"/>
      <c r="AQ2030" s="116"/>
      <c r="AR2030" s="116"/>
      <c r="AS2030" s="116"/>
      <c r="AT2030" s="116"/>
      <c r="AU2030" s="116"/>
      <c r="AV2030" s="78"/>
      <c r="AW2030" s="102"/>
      <c r="AX2030" s="78"/>
      <c r="AY2030" s="78"/>
      <c r="AZ2030" s="78"/>
      <c r="BA2030" s="78"/>
      <c r="BB2030" s="78"/>
      <c r="BC2030" s="78"/>
      <c r="BD2030" s="78"/>
      <c r="BE2030" s="465"/>
      <c r="BF2030" s="165" t="str">
        <f t="shared" si="1428"/>
        <v>https://www.google.com/search?tbm=isch&amp;q=7%20G4</v>
      </c>
      <c r="BG2030" s="165" t="str">
        <f t="shared" si="1429"/>
        <v>H</v>
      </c>
      <c r="BH2030" s="65"/>
      <c r="BI2030" s="65"/>
      <c r="BJ2030" s="65"/>
      <c r="BK2030" s="65"/>
      <c r="BL2030" s="99"/>
      <c r="BM2030" s="99"/>
      <c r="BN2030" s="99"/>
    </row>
    <row r="2031" spans="1:66" s="51" customFormat="1" ht="27" x14ac:dyDescent="0.25">
      <c r="A2031" s="634">
        <v>15</v>
      </c>
      <c r="B2031" s="635" t="s">
        <v>291</v>
      </c>
      <c r="C2031" s="636" t="s">
        <v>5173</v>
      </c>
      <c r="D2031" s="637" t="s">
        <v>299</v>
      </c>
      <c r="E2031" s="638">
        <v>321.95</v>
      </c>
      <c r="F2031" s="639" t="s">
        <v>292</v>
      </c>
      <c r="G2031" s="484">
        <v>0</v>
      </c>
      <c r="H2031" s="691" t="str">
        <f t="shared" si="1445"/>
        <v/>
      </c>
      <c r="I2031" s="640">
        <f t="shared" si="1446"/>
        <v>0</v>
      </c>
      <c r="J2031" s="640">
        <f t="shared" si="1447"/>
        <v>0</v>
      </c>
      <c r="K2031" s="716">
        <f t="shared" ref="K2031" si="1454">I2031+J2031</f>
        <v>0</v>
      </c>
      <c r="L2031" s="716"/>
      <c r="M2031" s="689" t="str">
        <f t="shared" ca="1" si="1449"/>
        <v/>
      </c>
      <c r="N2031" s="690"/>
      <c r="O2031" s="486"/>
      <c r="P2031" s="486"/>
      <c r="Q2031" s="486"/>
      <c r="R2031" s="486"/>
      <c r="S2031" s="486"/>
      <c r="T2031" s="102">
        <f t="shared" si="1417"/>
        <v>0</v>
      </c>
      <c r="U2031" s="78">
        <f>IF(NOT(ISNUMBER(G2031)), "", VLOOKUP(A2031,'Discount Lookup'!D:E,2,FALSE)*G2031)</f>
        <v>0</v>
      </c>
      <c r="V2031" s="78">
        <f>IF(NOT(ISNUMBER(G2031)), "", VLOOKUP(A2031,'Discount Lookup'!G:H,2,FALSE)*G2031)</f>
        <v>0</v>
      </c>
      <c r="W2031" s="102">
        <f t="shared" si="1418"/>
        <v>0</v>
      </c>
      <c r="X2031" s="102">
        <f t="shared" si="1419"/>
        <v>0</v>
      </c>
      <c r="Y2031" s="120" t="b">
        <f t="shared" si="1420"/>
        <v>0</v>
      </c>
      <c r="Z2031" s="117">
        <f t="shared" si="1421"/>
        <v>0</v>
      </c>
      <c r="AA2031" s="118"/>
      <c r="AB2031" s="118" t="str">
        <f t="shared" si="1422"/>
        <v/>
      </c>
      <c r="AC2031" s="712" t="str">
        <f>IF(AE2031="T2G","no charge",IF(AND(OR(PlanterYesMe="No",PlanterYesMe="N",PlanterYesMe="me"),H2031=""),"",IF(H2031="credit","NO install",IF(AND(K2031="",AE2031="me"),"EACH row",IF(AND(K2031="images",AE2031="me"),"EACH row",IF(D2031="","",IF(H2031="credit","",IF(AE2031="free","re-planting",IF(AE2031="me","   not ELP, by",IF(AND(OR(PlanterYesMe="Yes",PlanterYesMe="Y"),G2031&gt;0),(VLOOKUP(A2031,'Discount Lookup'!J:K,2)*G2031*(1-PlanterDiscount)*(1+PlanterDifficultyPercentage)),IF(AE2031="ELP",(VLOOKUP(A2031,'Discount Lookup'!J:K,2)*G2031*(1-PlanterDiscount)*(1+PlanterDifficultyPercentage)),IF(AE2031="free","re-planting",IF(G2031=0,"",IF(PlanterYesMe="",IF(AE2031="me","   not ELP, by",IF(AE2031="",IF(G2031&gt;0,(VLOOKUP(A2031,'Discount Lookup'!J:K,2)*G2031*(1-PlanterDiscount)*(1+PlanterDifficultyPercentage)),""),"")),"   not ELP, by"))))))))))))))</f>
        <v/>
      </c>
      <c r="AD2031" s="712"/>
      <c r="AE2031" s="513" t="str">
        <f t="shared" si="1423"/>
        <v/>
      </c>
      <c r="AF2031" s="713" t="str">
        <f t="shared" si="1424"/>
        <v/>
      </c>
      <c r="AG2031" s="713"/>
      <c r="AH2031" s="713"/>
      <c r="AI2031" s="112">
        <f>IF(H2031="credit",0,IF(AE2031="free",0,IF(AE2031="me",0,IF(G2031&gt;0,(VLOOKUP(A2031,'Discount Lookup'!J:K,2)*G2031),0))))</f>
        <v>0</v>
      </c>
      <c r="AJ2031" s="107" t="str">
        <f t="shared" ca="1" si="1425"/>
        <v/>
      </c>
      <c r="AK2031" s="714" t="str">
        <f t="shared" si="1426"/>
        <v/>
      </c>
      <c r="AL2031" s="714"/>
      <c r="AM2031" s="114" t="str">
        <f t="shared" si="1427"/>
        <v/>
      </c>
      <c r="AN2031" s="115"/>
      <c r="AO2031" s="116"/>
      <c r="AP2031" s="116"/>
      <c r="AQ2031" s="116"/>
      <c r="AR2031" s="116"/>
      <c r="AS2031" s="116"/>
      <c r="AT2031" s="116"/>
      <c r="AU2031" s="116"/>
      <c r="AV2031" s="78"/>
      <c r="AW2031" s="102"/>
      <c r="AX2031" s="78"/>
      <c r="AY2031" s="78"/>
      <c r="AZ2031" s="78"/>
      <c r="BA2031" s="78"/>
      <c r="BB2031" s="78"/>
      <c r="BC2031" s="78"/>
      <c r="BD2031" s="78"/>
      <c r="BE2031" s="465"/>
      <c r="BF2031" s="165" t="str">
        <f t="shared" si="1428"/>
        <v>https://www.google.com/search?tbm=isch&amp;q=15%20G4</v>
      </c>
      <c r="BG2031" s="165" t="str">
        <f t="shared" si="1429"/>
        <v>H</v>
      </c>
      <c r="BH2031" s="65"/>
      <c r="BI2031" s="65"/>
      <c r="BJ2031" s="65"/>
      <c r="BK2031" s="65"/>
      <c r="BL2031" s="99"/>
      <c r="BM2031" s="99"/>
      <c r="BN2031" s="99"/>
    </row>
    <row r="2032" spans="1:66" s="51" customFormat="1" ht="27" x14ac:dyDescent="0.25">
      <c r="A2032" s="634">
        <v>25</v>
      </c>
      <c r="B2032" s="635" t="s">
        <v>291</v>
      </c>
      <c r="C2032" s="636" t="s">
        <v>2848</v>
      </c>
      <c r="D2032" s="637" t="s">
        <v>299</v>
      </c>
      <c r="E2032" s="638">
        <v>454.95</v>
      </c>
      <c r="F2032" s="639" t="s">
        <v>292</v>
      </c>
      <c r="G2032" s="484">
        <v>0</v>
      </c>
      <c r="H2032" s="691" t="str">
        <f t="shared" si="1445"/>
        <v/>
      </c>
      <c r="I2032" s="640">
        <f t="shared" si="1446"/>
        <v>0</v>
      </c>
      <c r="J2032" s="640">
        <f t="shared" si="1447"/>
        <v>0</v>
      </c>
      <c r="K2032" s="716">
        <f t="shared" ref="K2032" si="1455">I2032+J2032</f>
        <v>0</v>
      </c>
      <c r="L2032" s="716"/>
      <c r="M2032" s="689" t="str">
        <f t="shared" ca="1" si="1449"/>
        <v/>
      </c>
      <c r="N2032" s="690"/>
      <c r="O2032" s="486"/>
      <c r="P2032" s="486"/>
      <c r="Q2032" s="486"/>
      <c r="R2032" s="486"/>
      <c r="S2032" s="486"/>
      <c r="T2032" s="102">
        <f t="shared" si="1417"/>
        <v>0</v>
      </c>
      <c r="U2032" s="78">
        <f>IF(NOT(ISNUMBER(G2032)), "", VLOOKUP(A2032,'Discount Lookup'!D:E,2,FALSE)*G2032)</f>
        <v>0</v>
      </c>
      <c r="V2032" s="78">
        <f>IF(NOT(ISNUMBER(G2032)), "", VLOOKUP(A2032,'Discount Lookup'!G:H,2,FALSE)*G2032)</f>
        <v>0</v>
      </c>
      <c r="W2032" s="102">
        <f t="shared" si="1418"/>
        <v>0</v>
      </c>
      <c r="X2032" s="102">
        <f t="shared" si="1419"/>
        <v>0</v>
      </c>
      <c r="Y2032" s="120" t="b">
        <f t="shared" si="1420"/>
        <v>0</v>
      </c>
      <c r="Z2032" s="117">
        <f t="shared" si="1421"/>
        <v>0</v>
      </c>
      <c r="AA2032" s="118"/>
      <c r="AB2032" s="118" t="str">
        <f t="shared" si="1422"/>
        <v/>
      </c>
      <c r="AC2032" s="712" t="str">
        <f>IF(AE2032="T2G","no charge",IF(AND(OR(PlanterYesMe="No",PlanterYesMe="N",PlanterYesMe="me"),H2032=""),"",IF(H2032="credit","NO install",IF(AND(K2032="",AE2032="me"),"EACH row",IF(AND(K2032="images",AE2032="me"),"EACH row",IF(D2032="","",IF(H2032="credit","",IF(AE2032="free","re-planting",IF(AE2032="me","   not ELP, by",IF(AND(OR(PlanterYesMe="Yes",PlanterYesMe="Y"),G2032&gt;0),(VLOOKUP(A2032,'Discount Lookup'!J:K,2)*G2032*(1-PlanterDiscount)*(1+PlanterDifficultyPercentage)),IF(AE2032="ELP",(VLOOKUP(A2032,'Discount Lookup'!J:K,2)*G2032*(1-PlanterDiscount)*(1+PlanterDifficultyPercentage)),IF(AE2032="free","re-planting",IF(G2032=0,"",IF(PlanterYesMe="",IF(AE2032="me","   not ELP, by",IF(AE2032="",IF(G2032&gt;0,(VLOOKUP(A2032,'Discount Lookup'!J:K,2)*G2032*(1-PlanterDiscount)*(1+PlanterDifficultyPercentage)),""),"")),"   not ELP, by"))))))))))))))</f>
        <v/>
      </c>
      <c r="AD2032" s="712"/>
      <c r="AE2032" s="513" t="str">
        <f t="shared" si="1423"/>
        <v/>
      </c>
      <c r="AF2032" s="713" t="str">
        <f t="shared" si="1424"/>
        <v/>
      </c>
      <c r="AG2032" s="713"/>
      <c r="AH2032" s="713"/>
      <c r="AI2032" s="112">
        <f>IF(H2032="credit",0,IF(AE2032="free",0,IF(AE2032="me",0,IF(G2032&gt;0,(VLOOKUP(A2032,'Discount Lookup'!J:K,2)*G2032),0))))</f>
        <v>0</v>
      </c>
      <c r="AJ2032" s="107" t="str">
        <f t="shared" ca="1" si="1425"/>
        <v/>
      </c>
      <c r="AK2032" s="714" t="str">
        <f t="shared" si="1426"/>
        <v/>
      </c>
      <c r="AL2032" s="714"/>
      <c r="AM2032" s="114" t="str">
        <f t="shared" si="1427"/>
        <v/>
      </c>
      <c r="AN2032" s="115"/>
      <c r="AO2032" s="116"/>
      <c r="AP2032" s="116"/>
      <c r="AQ2032" s="116"/>
      <c r="AR2032" s="116"/>
      <c r="AS2032" s="116"/>
      <c r="AT2032" s="116"/>
      <c r="AU2032" s="116"/>
      <c r="AV2032" s="78"/>
      <c r="AW2032" s="102"/>
      <c r="AX2032" s="78"/>
      <c r="AY2032" s="78"/>
      <c r="AZ2032" s="78"/>
      <c r="BA2032" s="78"/>
      <c r="BB2032" s="78"/>
      <c r="BC2032" s="78"/>
      <c r="BD2032" s="78"/>
      <c r="BE2032" s="465"/>
      <c r="BF2032" s="165" t="str">
        <f t="shared" si="1428"/>
        <v>https://www.google.com/search?tbm=isch&amp;q=25%20G4</v>
      </c>
      <c r="BG2032" s="165" t="str">
        <f t="shared" si="1429"/>
        <v>H</v>
      </c>
      <c r="BH2032" s="65"/>
      <c r="BI2032" s="65"/>
      <c r="BJ2032" s="65"/>
      <c r="BK2032" s="65"/>
      <c r="BL2032" s="99"/>
      <c r="BM2032" s="99"/>
      <c r="BN2032" s="99"/>
    </row>
    <row r="2033" spans="1:66" s="51" customFormat="1" ht="17.25" thickBot="1" x14ac:dyDescent="0.3">
      <c r="A2033" s="641" t="s">
        <v>4753</v>
      </c>
      <c r="B2033" s="642"/>
      <c r="C2033" s="710"/>
      <c r="D2033" s="643"/>
      <c r="E2033" s="643"/>
      <c r="F2033" s="644"/>
      <c r="G2033" s="645"/>
      <c r="H2033" s="646"/>
      <c r="I2033" s="647"/>
      <c r="J2033" s="648"/>
      <c r="K2033" s="649"/>
      <c r="L2033" s="650"/>
      <c r="M2033" s="650"/>
      <c r="N2033" s="644"/>
      <c r="O2033" s="644"/>
      <c r="P2033" s="644"/>
      <c r="Q2033" s="644"/>
      <c r="R2033" s="644"/>
      <c r="S2033" s="651"/>
      <c r="T2033" s="102">
        <f t="shared" si="1417"/>
        <v>0</v>
      </c>
      <c r="U2033" s="78" t="str">
        <f>IF(NOT(ISNUMBER(G2033)), "", VLOOKUP(A2033,'Discount Lookup'!D:E,2,FALSE)*G2033)</f>
        <v/>
      </c>
      <c r="V2033" s="78" t="str">
        <f>IF(NOT(ISNUMBER(G2033)), "", VLOOKUP(A2033,'Discount Lookup'!G:H,2,FALSE)*G2033)</f>
        <v/>
      </c>
      <c r="W2033" s="102">
        <f t="shared" si="1418"/>
        <v>0</v>
      </c>
      <c r="X2033" s="102">
        <f t="shared" si="1419"/>
        <v>0</v>
      </c>
      <c r="Y2033" s="120" t="b">
        <f t="shared" si="1420"/>
        <v>0</v>
      </c>
      <c r="Z2033" s="117">
        <f t="shared" si="1421"/>
        <v>0</v>
      </c>
      <c r="AA2033" s="118"/>
      <c r="AB2033" s="118" t="str">
        <f t="shared" si="1422"/>
        <v/>
      </c>
      <c r="AC2033" s="712" t="str">
        <f>IF(AE2033="T2G","no charge",IF(AND(OR(PlanterYesMe="No",PlanterYesMe="N",PlanterYesMe="me"),H2033=""),"",IF(H2033="credit","NO install",IF(AND(K2033="",AE2033="me"),"EACH row",IF(AND(K2033="images",AE2033="me"),"EACH row",IF(D2033="","",IF(H2033="credit","",IF(AE2033="free","re-planting",IF(AE2033="me","   not ELP, by",IF(AND(OR(PlanterYesMe="Yes",PlanterYesMe="Y"),G2033&gt;0),(VLOOKUP(A2033,'Discount Lookup'!J:K,2)*G2033*(1-PlanterDiscount)*(1+PlanterDifficultyPercentage)),IF(AE2033="ELP",(VLOOKUP(A2033,'Discount Lookup'!J:K,2)*G2033*(1-PlanterDiscount)*(1+PlanterDifficultyPercentage)),IF(AE2033="free","re-planting",IF(G2033=0,"",IF(PlanterYesMe="",IF(AE2033="me","   not ELP, by",IF(AE2033="",IF(G2033&gt;0,(VLOOKUP(A2033,'Discount Lookup'!J:K,2)*G2033*(1-PlanterDiscount)*(1+PlanterDifficultyPercentage)),""),"")),"   not ELP, by"))))))))))))))</f>
        <v/>
      </c>
      <c r="AD2033" s="712"/>
      <c r="AE2033" s="513" t="str">
        <f t="shared" si="1423"/>
        <v/>
      </c>
      <c r="AF2033" s="713" t="str">
        <f t="shared" si="1424"/>
        <v/>
      </c>
      <c r="AG2033" s="713"/>
      <c r="AH2033" s="713"/>
      <c r="AI2033" s="112">
        <f>IF(H2033="credit",0,IF(AE2033="free",0,IF(AE2033="me",0,IF(G2033&gt;0,(VLOOKUP(A2033,'Discount Lookup'!J:K,2)*G2033),0))))</f>
        <v>0</v>
      </c>
      <c r="AJ2033" s="107" t="str">
        <f t="shared" ca="1" si="1425"/>
        <v/>
      </c>
      <c r="AK2033" s="714" t="str">
        <f t="shared" si="1426"/>
        <v/>
      </c>
      <c r="AL2033" s="714"/>
      <c r="AM2033" s="114" t="str">
        <f t="shared" si="1427"/>
        <v/>
      </c>
      <c r="AN2033" s="115"/>
      <c r="AO2033" s="116"/>
      <c r="AP2033" s="116"/>
      <c r="AQ2033" s="116"/>
      <c r="AR2033" s="116"/>
      <c r="AS2033" s="116"/>
      <c r="AT2033" s="116"/>
      <c r="AU2033" s="116"/>
      <c r="AV2033" s="78"/>
      <c r="AW2033" s="102"/>
      <c r="AX2033" s="78"/>
      <c r="AY2033" s="78"/>
      <c r="AZ2033" s="78"/>
      <c r="BA2033" s="78"/>
      <c r="BB2033" s="78"/>
      <c r="BC2033" s="78"/>
      <c r="BD2033" s="78"/>
      <c r="BE2033" s="465"/>
      <c r="BF2033" s="165" t="str">
        <f t="shared" si="1428"/>
        <v>https://www.google.com/search?tbm=isch&amp;q=Limelight%20has%20Green%20foliage.%20All%20%22Hardy%22%20Hydrangea%20have%20cone-shaped%20flowers%20on%20new%20wood.%20Flowers%20change%20color%20with%20age.%20Extremely%20cold-hardy%20</v>
      </c>
      <c r="BG2033" s="165" t="str">
        <f t="shared" si="1429"/>
        <v>L</v>
      </c>
      <c r="BH2033" s="65"/>
      <c r="BI2033" s="65"/>
      <c r="BJ2033" s="65"/>
      <c r="BK2033" s="65"/>
      <c r="BL2033" s="99"/>
      <c r="BM2033" s="99"/>
      <c r="BN2033" s="99"/>
    </row>
    <row r="2034" spans="1:66" s="51" customFormat="1" ht="18" x14ac:dyDescent="0.25">
      <c r="A2034" s="623" t="s">
        <v>2849</v>
      </c>
      <c r="B2034" s="624"/>
      <c r="C2034" s="709"/>
      <c r="D2034" s="625" t="s">
        <v>5695</v>
      </c>
      <c r="E2034" s="626"/>
      <c r="F2034" s="626"/>
      <c r="G2034" s="626"/>
      <c r="H2034" s="622" t="s">
        <v>1124</v>
      </c>
      <c r="I2034" s="627" t="s">
        <v>2814</v>
      </c>
      <c r="J2034" s="628"/>
      <c r="K2034" s="628"/>
      <c r="L2034" s="629"/>
      <c r="M2034" s="700" t="s">
        <v>5249</v>
      </c>
      <c r="N2034" s="693" t="str">
        <f>IF(AND(ISTEXT($A2034), ISERROR($A2034+0)), HYPERLINK($BF2034, "Images"), "")</f>
        <v>Images</v>
      </c>
      <c r="O2034" s="695" t="s">
        <v>5247</v>
      </c>
      <c r="P2034" s="630"/>
      <c r="Q2034" s="631"/>
      <c r="R2034" s="632"/>
      <c r="S2034" s="633"/>
      <c r="T2034" s="102">
        <f t="shared" si="1417"/>
        <v>0</v>
      </c>
      <c r="U2034" s="78" t="str">
        <f>IF(NOT(ISNUMBER(G2034)), "", VLOOKUP(A2034,'Discount Lookup'!D:E,2,FALSE)*G2034)</f>
        <v/>
      </c>
      <c r="V2034" s="78" t="str">
        <f>IF(NOT(ISNUMBER(G2034)), "", VLOOKUP(A2034,'Discount Lookup'!G:H,2,FALSE)*G2034)</f>
        <v/>
      </c>
      <c r="W2034" s="102">
        <f t="shared" si="1418"/>
        <v>0</v>
      </c>
      <c r="X2034" s="102" t="str">
        <f t="shared" si="1419"/>
        <v>White bloom ages to Pink</v>
      </c>
      <c r="Y2034" s="120" t="b">
        <f t="shared" si="1420"/>
        <v>0</v>
      </c>
      <c r="Z2034" s="117">
        <f t="shared" si="1421"/>
        <v>0</v>
      </c>
      <c r="AA2034" s="118"/>
      <c r="AB2034" s="118" t="str">
        <f t="shared" si="1422"/>
        <v/>
      </c>
      <c r="AC2034" s="712" t="str">
        <f>IF(AE2034="T2G","no charge",IF(AND(OR(PlanterYesMe="No",PlanterYesMe="N",PlanterYesMe="me"),H2034=""),"",IF(H2034="credit","NO install",IF(AND(K2034="",AE2034="me"),"EACH row",IF(AND(K2034="images",AE2034="me"),"EACH row",IF(D2034="","",IF(H2034="credit","",IF(AE2034="free","re-planting",IF(AE2034="me","   not ELP, by",IF(AND(OR(PlanterYesMe="Yes",PlanterYesMe="Y"),G2034&gt;0),(VLOOKUP(A2034,'Discount Lookup'!J:K,2)*G2034*(1-PlanterDiscount)*(1+PlanterDifficultyPercentage)),IF(AE2034="ELP",(VLOOKUP(A2034,'Discount Lookup'!J:K,2)*G2034*(1-PlanterDiscount)*(1+PlanterDifficultyPercentage)),IF(AE2034="free","re-planting",IF(G2034=0,"",IF(PlanterYesMe="",IF(AE2034="me","   not ELP, by",IF(AE2034="",IF(G2034&gt;0,(VLOOKUP(A2034,'Discount Lookup'!J:K,2)*G2034*(1-PlanterDiscount)*(1+PlanterDifficultyPercentage)),""),"")),"   not ELP, by"))))))))))))))</f>
        <v/>
      </c>
      <c r="AD2034" s="712"/>
      <c r="AE2034" s="513" t="str">
        <f t="shared" si="1423"/>
        <v/>
      </c>
      <c r="AF2034" s="713" t="str">
        <f t="shared" si="1424"/>
        <v/>
      </c>
      <c r="AG2034" s="713"/>
      <c r="AH2034" s="713"/>
      <c r="AI2034" s="112">
        <f>IF(H2034="credit",0,IF(AE2034="free",0,IF(AE2034="me",0,IF(G2034&gt;0,(VLOOKUP(A2034,'Discount Lookup'!J:K,2)*G2034),0))))</f>
        <v>0</v>
      </c>
      <c r="AJ2034" s="107" t="str">
        <f t="shared" ca="1" si="1425"/>
        <v/>
      </c>
      <c r="AK2034" s="714" t="str">
        <f t="shared" si="1426"/>
        <v/>
      </c>
      <c r="AL2034" s="714"/>
      <c r="AM2034" s="114" t="str">
        <f t="shared" si="1427"/>
        <v/>
      </c>
      <c r="AN2034" s="115"/>
      <c r="AO2034" s="116"/>
      <c r="AP2034" s="116"/>
      <c r="AQ2034" s="116"/>
      <c r="AR2034" s="116"/>
      <c r="AS2034" s="116"/>
      <c r="AT2034" s="116"/>
      <c r="AU2034" s="116"/>
      <c r="AV2034" s="78"/>
      <c r="AW2034" s="102"/>
      <c r="AX2034" s="78"/>
      <c r="AY2034" s="78"/>
      <c r="AZ2034" s="78"/>
      <c r="BA2034" s="78"/>
      <c r="BB2034" s="78"/>
      <c r="BC2034" s="78"/>
      <c r="BD2034" s="78"/>
      <c r="BE2034" s="465"/>
      <c r="BF2034" s="165" t="str">
        <f t="shared" si="1428"/>
        <v>https://www.google.com/search?tbm=isch&amp;q=Hyd.%20paniculata%20%27Pan1782hydr%27%20PP%2335658%20Sweet%20Starlight%E2%84%A2%20Hydrangea</v>
      </c>
      <c r="BG2034" s="165" t="str">
        <f t="shared" si="1429"/>
        <v>H</v>
      </c>
      <c r="BH2034" s="65"/>
      <c r="BI2034" s="65"/>
      <c r="BJ2034" s="65"/>
      <c r="BK2034" s="65"/>
      <c r="BL2034" s="99"/>
      <c r="BM2034" s="99"/>
      <c r="BN2034" s="99"/>
    </row>
    <row r="2035" spans="1:66" s="51" customFormat="1" ht="15.75" x14ac:dyDescent="0.25">
      <c r="A2035" s="634">
        <v>3</v>
      </c>
      <c r="B2035" s="635" t="s">
        <v>291</v>
      </c>
      <c r="C2035" s="636" t="s">
        <v>2835</v>
      </c>
      <c r="D2035" s="637" t="s">
        <v>329</v>
      </c>
      <c r="E2035" s="638">
        <v>30.95</v>
      </c>
      <c r="F2035" s="639" t="s">
        <v>292</v>
      </c>
      <c r="G2035" s="484">
        <v>0</v>
      </c>
      <c r="H2035" s="691" t="str">
        <f>IF(G2035=0,"",IF(F2035="Buy",IF(G2035=1,"plant","plants"),IF(F2035&gt;0.01,"warranty","Error")))</f>
        <v/>
      </c>
      <c r="I2035" s="640">
        <f>IF(H2035="free",0,IF(H2035="credit",((E2035*(F2035))*G2035*-1),IF(F2035="Buy",(E2035*G2035),((E2035*(1-F2035))*G2035))))</f>
        <v>0</v>
      </c>
      <c r="J2035" s="640">
        <f>IF(H2035="warranty",0,(I2035*(_xlfn.SINGLE(SalesTaxPercentage))))</f>
        <v>0</v>
      </c>
      <c r="K2035" s="716">
        <f t="shared" ref="K2035" si="1456">I2035+J2035</f>
        <v>0</v>
      </c>
      <c r="L2035" s="716"/>
      <c r="M2035" s="689" t="str">
        <f ca="1">IF(AND(G2035&gt;0,E2035=0),"WARNING - no PRICE inserted",IF(H2035="free","FREE ~ no charge this plant",IF(H2035="credit",CONCATENATE("-$",ROUND(K2035*(1-_xlfn.SINGLE(T2GDiscount))*-1,2)," CREDIT after discount"),IF(_xlfn.SINGLE(T2GDiscount)=0,"",IF(G2035=0,"",IF(F2035="Buy",CONCATENATE("$",ROUND(K2035*(1-_xlfn.SINGLE(T2GDiscount)),2)," with ",(_xlfn.SINGLE(T2GDiscount)*100),"% discount"),CONCATENATE("$",ROUND(K2035*(1-_xlfn.SINGLE(T2GDiscount)),2)," with ",((_xlfn.SINGLE(T2GDiscount)*100+F2035*100)-(_xlfn.SINGLE(T2GDiscount)*100*F2035)),IF(F2035&gt;0,"% discounts",IF(_xlfn.SINGLE(NoWarrantyDiscount)&gt;0,"% discounts","% discount")))))))))</f>
        <v/>
      </c>
      <c r="N2035" s="690"/>
      <c r="O2035" s="486"/>
      <c r="P2035" s="486"/>
      <c r="Q2035" s="486"/>
      <c r="R2035" s="486"/>
      <c r="S2035" s="486"/>
      <c r="T2035" s="102">
        <f t="shared" si="1417"/>
        <v>0</v>
      </c>
      <c r="U2035" s="78">
        <f>IF(NOT(ISNUMBER(G2035)), "", VLOOKUP(A2035,'Discount Lookup'!D:E,2,FALSE)*G2035)</f>
        <v>0</v>
      </c>
      <c r="V2035" s="78">
        <f>IF(NOT(ISNUMBER(G2035)), "", VLOOKUP(A2035,'Discount Lookup'!G:H,2,FALSE)*G2035)</f>
        <v>0</v>
      </c>
      <c r="W2035" s="102">
        <f t="shared" si="1418"/>
        <v>0</v>
      </c>
      <c r="X2035" s="102">
        <f t="shared" si="1419"/>
        <v>0</v>
      </c>
      <c r="Y2035" s="120" t="b">
        <f t="shared" si="1420"/>
        <v>0</v>
      </c>
      <c r="Z2035" s="117">
        <f t="shared" si="1421"/>
        <v>0</v>
      </c>
      <c r="AA2035" s="118"/>
      <c r="AB2035" s="118" t="str">
        <f t="shared" si="1422"/>
        <v/>
      </c>
      <c r="AC2035" s="712" t="str">
        <f>IF(AE2035="T2G","no charge",IF(AND(OR(PlanterYesMe="No",PlanterYesMe="N",PlanterYesMe="me"),H2035=""),"",IF(H2035="credit","NO install",IF(AND(K2035="",AE2035="me"),"EACH row",IF(AND(K2035="images",AE2035="me"),"EACH row",IF(D2035="","",IF(H2035="credit","",IF(AE2035="free","re-planting",IF(AE2035="me","   not ELP, by",IF(AND(OR(PlanterYesMe="Yes",PlanterYesMe="Y"),G2035&gt;0),(VLOOKUP(A2035,'Discount Lookup'!J:K,2)*G2035*(1-PlanterDiscount)*(1+PlanterDifficultyPercentage)),IF(AE2035="ELP",(VLOOKUP(A2035,'Discount Lookup'!J:K,2)*G2035*(1-PlanterDiscount)*(1+PlanterDifficultyPercentage)),IF(AE2035="free","re-planting",IF(G2035=0,"",IF(PlanterYesMe="",IF(AE2035="me","   not ELP, by",IF(AE2035="",IF(G2035&gt;0,(VLOOKUP(A2035,'Discount Lookup'!J:K,2)*G2035*(1-PlanterDiscount)*(1+PlanterDifficultyPercentage)),""),"")),"   not ELP, by"))))))))))))))</f>
        <v/>
      </c>
      <c r="AD2035" s="712"/>
      <c r="AE2035" s="513" t="str">
        <f t="shared" si="1423"/>
        <v/>
      </c>
      <c r="AF2035" s="713" t="str">
        <f t="shared" si="1424"/>
        <v/>
      </c>
      <c r="AG2035" s="713"/>
      <c r="AH2035" s="713"/>
      <c r="AI2035" s="112">
        <f>IF(H2035="credit",0,IF(AE2035="free",0,IF(AE2035="me",0,IF(G2035&gt;0,(VLOOKUP(A2035,'Discount Lookup'!J:K,2)*G2035),0))))</f>
        <v>0</v>
      </c>
      <c r="AJ2035" s="107" t="str">
        <f t="shared" ca="1" si="1425"/>
        <v/>
      </c>
      <c r="AK2035" s="714" t="str">
        <f t="shared" si="1426"/>
        <v/>
      </c>
      <c r="AL2035" s="714"/>
      <c r="AM2035" s="114" t="str">
        <f t="shared" si="1427"/>
        <v/>
      </c>
      <c r="AN2035" s="115"/>
      <c r="AO2035" s="116"/>
      <c r="AP2035" s="116"/>
      <c r="AQ2035" s="116"/>
      <c r="AR2035" s="116"/>
      <c r="AS2035" s="116"/>
      <c r="AT2035" s="116"/>
      <c r="AU2035" s="116"/>
      <c r="AV2035" s="78"/>
      <c r="AW2035" s="102"/>
      <c r="AX2035" s="78"/>
      <c r="AY2035" s="78"/>
      <c r="AZ2035" s="78"/>
      <c r="BA2035" s="78"/>
      <c r="BB2035" s="78"/>
      <c r="BC2035" s="78"/>
      <c r="BD2035" s="78"/>
      <c r="BE2035" s="465"/>
      <c r="BF2035" s="165" t="str">
        <f t="shared" si="1428"/>
        <v>https://www.google.com/search?tbm=isch&amp;q=3%20G2</v>
      </c>
      <c r="BG2035" s="165" t="str">
        <f t="shared" si="1429"/>
        <v>H</v>
      </c>
      <c r="BH2035" s="65"/>
      <c r="BI2035" s="65"/>
      <c r="BJ2035" s="65"/>
      <c r="BK2035" s="65"/>
      <c r="BL2035" s="99"/>
      <c r="BM2035" s="99"/>
      <c r="BN2035" s="99"/>
    </row>
    <row r="2036" spans="1:66" s="51" customFormat="1" ht="15.75" x14ac:dyDescent="0.25">
      <c r="A2036" s="634">
        <v>3</v>
      </c>
      <c r="B2036" s="635" t="s">
        <v>291</v>
      </c>
      <c r="C2036" s="636" t="s">
        <v>2850</v>
      </c>
      <c r="D2036" s="637" t="s">
        <v>309</v>
      </c>
      <c r="E2036" s="638">
        <v>32.950000000000003</v>
      </c>
      <c r="F2036" s="639" t="s">
        <v>292</v>
      </c>
      <c r="G2036" s="484">
        <v>0</v>
      </c>
      <c r="H2036" s="691" t="str">
        <f>IF(G2036=0,"",IF(F2036="Buy",IF(G2036=1,"plant","plants"),IF(F2036&gt;0.01,"warranty","Error")))</f>
        <v/>
      </c>
      <c r="I2036" s="640">
        <f>IF(H2036="free",0,IF(H2036="credit",((E2036*(F2036))*G2036*-1),IF(F2036="Buy",(E2036*G2036),((E2036*(1-F2036))*G2036))))</f>
        <v>0</v>
      </c>
      <c r="J2036" s="640">
        <f>IF(H2036="warranty",0,(I2036*(_xlfn.SINGLE(SalesTaxPercentage))))</f>
        <v>0</v>
      </c>
      <c r="K2036" s="716">
        <f t="shared" ref="K2036" si="1457">I2036+J2036</f>
        <v>0</v>
      </c>
      <c r="L2036" s="716"/>
      <c r="M2036" s="689" t="str">
        <f ca="1">IF(AND(G2036&gt;0,E2036=0),"WARNING - no PRICE inserted",IF(H2036="free","FREE ~ no charge this plant",IF(H2036="credit",CONCATENATE("-$",ROUND(K2036*(1-_xlfn.SINGLE(T2GDiscount))*-1,2)," CREDIT after discount"),IF(_xlfn.SINGLE(T2GDiscount)=0,"",IF(G2036=0,"",IF(F2036="Buy",CONCATENATE("$",ROUND(K2036*(1-_xlfn.SINGLE(T2GDiscount)),2)," with ",(_xlfn.SINGLE(T2GDiscount)*100),"% discount"),CONCATENATE("$",ROUND(K2036*(1-_xlfn.SINGLE(T2GDiscount)),2)," with ",((_xlfn.SINGLE(T2GDiscount)*100+F2036*100)-(_xlfn.SINGLE(T2GDiscount)*100*F2036)),IF(F2036&gt;0,"% discounts",IF(_xlfn.SINGLE(NoWarrantyDiscount)&gt;0,"% discounts","% discount")))))))))</f>
        <v/>
      </c>
      <c r="N2036" s="690"/>
      <c r="O2036" s="486"/>
      <c r="P2036" s="486"/>
      <c r="Q2036" s="486"/>
      <c r="R2036" s="486"/>
      <c r="S2036" s="486"/>
      <c r="T2036" s="102">
        <f t="shared" si="1417"/>
        <v>0</v>
      </c>
      <c r="U2036" s="78">
        <f>IF(NOT(ISNUMBER(G2036)), "", VLOOKUP(A2036,'Discount Lookup'!D:E,2,FALSE)*G2036)</f>
        <v>0</v>
      </c>
      <c r="V2036" s="78">
        <f>IF(NOT(ISNUMBER(G2036)), "", VLOOKUP(A2036,'Discount Lookup'!G:H,2,FALSE)*G2036)</f>
        <v>0</v>
      </c>
      <c r="W2036" s="102">
        <f t="shared" si="1418"/>
        <v>0</v>
      </c>
      <c r="X2036" s="102">
        <f t="shared" si="1419"/>
        <v>0</v>
      </c>
      <c r="Y2036" s="120" t="b">
        <f t="shared" si="1420"/>
        <v>0</v>
      </c>
      <c r="Z2036" s="117">
        <f t="shared" si="1421"/>
        <v>0</v>
      </c>
      <c r="AA2036" s="118"/>
      <c r="AB2036" s="118" t="str">
        <f t="shared" si="1422"/>
        <v/>
      </c>
      <c r="AC2036" s="712" t="str">
        <f>IF(AE2036="T2G","no charge",IF(AND(OR(PlanterYesMe="No",PlanterYesMe="N",PlanterYesMe="me"),H2036=""),"",IF(H2036="credit","NO install",IF(AND(K2036="",AE2036="me"),"EACH row",IF(AND(K2036="images",AE2036="me"),"EACH row",IF(D2036="","",IF(H2036="credit","",IF(AE2036="free","re-planting",IF(AE2036="me","   not ELP, by",IF(AND(OR(PlanterYesMe="Yes",PlanterYesMe="Y"),G2036&gt;0),(VLOOKUP(A2036,'Discount Lookup'!J:K,2)*G2036*(1-PlanterDiscount)*(1+PlanterDifficultyPercentage)),IF(AE2036="ELP",(VLOOKUP(A2036,'Discount Lookup'!J:K,2)*G2036*(1-PlanterDiscount)*(1+PlanterDifficultyPercentage)),IF(AE2036="free","re-planting",IF(G2036=0,"",IF(PlanterYesMe="",IF(AE2036="me","   not ELP, by",IF(AE2036="",IF(G2036&gt;0,(VLOOKUP(A2036,'Discount Lookup'!J:K,2)*G2036*(1-PlanterDiscount)*(1+PlanterDifficultyPercentage)),""),"")),"   not ELP, by"))))))))))))))</f>
        <v/>
      </c>
      <c r="AD2036" s="712"/>
      <c r="AE2036" s="513" t="str">
        <f t="shared" si="1423"/>
        <v/>
      </c>
      <c r="AF2036" s="713" t="str">
        <f t="shared" si="1424"/>
        <v/>
      </c>
      <c r="AG2036" s="713"/>
      <c r="AH2036" s="713"/>
      <c r="AI2036" s="112">
        <f>IF(H2036="credit",0,IF(AE2036="free",0,IF(AE2036="me",0,IF(G2036&gt;0,(VLOOKUP(A2036,'Discount Lookup'!J:K,2)*G2036),0))))</f>
        <v>0</v>
      </c>
      <c r="AJ2036" s="107" t="str">
        <f t="shared" ca="1" si="1425"/>
        <v/>
      </c>
      <c r="AK2036" s="714" t="str">
        <f t="shared" si="1426"/>
        <v/>
      </c>
      <c r="AL2036" s="714"/>
      <c r="AM2036" s="114" t="str">
        <f t="shared" si="1427"/>
        <v/>
      </c>
      <c r="AN2036" s="115"/>
      <c r="AO2036" s="116"/>
      <c r="AP2036" s="116"/>
      <c r="AQ2036" s="116"/>
      <c r="AR2036" s="116"/>
      <c r="AS2036" s="116"/>
      <c r="AT2036" s="116"/>
      <c r="AU2036" s="116"/>
      <c r="AV2036" s="78"/>
      <c r="AW2036" s="102"/>
      <c r="AX2036" s="78"/>
      <c r="AY2036" s="78"/>
      <c r="AZ2036" s="78"/>
      <c r="BA2036" s="78"/>
      <c r="BB2036" s="78"/>
      <c r="BC2036" s="78"/>
      <c r="BD2036" s="78"/>
      <c r="BE2036" s="465"/>
      <c r="BF2036" s="165" t="str">
        <f t="shared" si="1428"/>
        <v>https://www.google.com/search?tbm=isch&amp;q=3%20G3</v>
      </c>
      <c r="BG2036" s="165" t="str">
        <f t="shared" si="1429"/>
        <v>H</v>
      </c>
      <c r="BH2036" s="65"/>
      <c r="BI2036" s="65"/>
      <c r="BJ2036" s="65"/>
      <c r="BK2036" s="65"/>
      <c r="BL2036" s="99"/>
      <c r="BM2036" s="99"/>
      <c r="BN2036" s="99"/>
    </row>
    <row r="2037" spans="1:66" s="51" customFormat="1" ht="15.75" x14ac:dyDescent="0.25">
      <c r="A2037" s="634">
        <v>3</v>
      </c>
      <c r="B2037" s="635" t="s">
        <v>291</v>
      </c>
      <c r="C2037" s="636" t="s">
        <v>2851</v>
      </c>
      <c r="D2037" s="637" t="s">
        <v>311</v>
      </c>
      <c r="E2037" s="638">
        <v>39.950000000000003</v>
      </c>
      <c r="F2037" s="639" t="s">
        <v>292</v>
      </c>
      <c r="G2037" s="484">
        <v>0</v>
      </c>
      <c r="H2037" s="691" t="str">
        <f>IF(G2037=0,"",IF(F2037="Buy",IF(G2037=1,"plant","plants"),IF(F2037&gt;0.01,"warranty","Error")))</f>
        <v/>
      </c>
      <c r="I2037" s="640">
        <f>IF(H2037="free",0,IF(H2037="credit",((E2037*(F2037))*G2037*-1),IF(F2037="Buy",(E2037*G2037),((E2037*(1-F2037))*G2037))))</f>
        <v>0</v>
      </c>
      <c r="J2037" s="640">
        <f>IF(H2037="warranty",0,(I2037*(_xlfn.SINGLE(SalesTaxPercentage))))</f>
        <v>0</v>
      </c>
      <c r="K2037" s="716">
        <f t="shared" ref="K2037" si="1458">I2037+J2037</f>
        <v>0</v>
      </c>
      <c r="L2037" s="716"/>
      <c r="M2037" s="689" t="str">
        <f ca="1">IF(AND(G2037&gt;0,E2037=0),"WARNING - no PRICE inserted",IF(H2037="free","FREE ~ no charge this plant",IF(H2037="credit",CONCATENATE("-$",ROUND(K2037*(1-_xlfn.SINGLE(T2GDiscount))*-1,2)," CREDIT after discount"),IF(_xlfn.SINGLE(T2GDiscount)=0,"",IF(G2037=0,"",IF(F2037="Buy",CONCATENATE("$",ROUND(K2037*(1-_xlfn.SINGLE(T2GDiscount)),2)," with ",(_xlfn.SINGLE(T2GDiscount)*100),"% discount"),CONCATENATE("$",ROUND(K2037*(1-_xlfn.SINGLE(T2GDiscount)),2)," with ",((_xlfn.SINGLE(T2GDiscount)*100+F2037*100)-(_xlfn.SINGLE(T2GDiscount)*100*F2037)),IF(F2037&gt;0,"% discounts",IF(_xlfn.SINGLE(NoWarrantyDiscount)&gt;0,"% discounts","% discount")))))))))</f>
        <v/>
      </c>
      <c r="N2037" s="690"/>
      <c r="O2037" s="486"/>
      <c r="P2037" s="486"/>
      <c r="Q2037" s="486"/>
      <c r="R2037" s="486"/>
      <c r="S2037" s="486"/>
      <c r="T2037" s="102">
        <f t="shared" si="1417"/>
        <v>0</v>
      </c>
      <c r="U2037" s="78">
        <f>IF(NOT(ISNUMBER(G2037)), "", VLOOKUP(A2037,'Discount Lookup'!D:E,2,FALSE)*G2037)</f>
        <v>0</v>
      </c>
      <c r="V2037" s="78">
        <f>IF(NOT(ISNUMBER(G2037)), "", VLOOKUP(A2037,'Discount Lookup'!G:H,2,FALSE)*G2037)</f>
        <v>0</v>
      </c>
      <c r="W2037" s="102">
        <f t="shared" si="1418"/>
        <v>0</v>
      </c>
      <c r="X2037" s="102">
        <f t="shared" si="1419"/>
        <v>0</v>
      </c>
      <c r="Y2037" s="120" t="b">
        <f t="shared" si="1420"/>
        <v>0</v>
      </c>
      <c r="Z2037" s="117">
        <f t="shared" si="1421"/>
        <v>0</v>
      </c>
      <c r="AA2037" s="118"/>
      <c r="AB2037" s="118" t="str">
        <f t="shared" si="1422"/>
        <v/>
      </c>
      <c r="AC2037" s="712" t="str">
        <f>IF(AE2037="T2G","no charge",IF(AND(OR(PlanterYesMe="No",PlanterYesMe="N",PlanterYesMe="me"),H2037=""),"",IF(H2037="credit","NO install",IF(AND(K2037="",AE2037="me"),"EACH row",IF(AND(K2037="images",AE2037="me"),"EACH row",IF(D2037="","",IF(H2037="credit","",IF(AE2037="free","re-planting",IF(AE2037="me","   not ELP, by",IF(AND(OR(PlanterYesMe="Yes",PlanterYesMe="Y"),G2037&gt;0),(VLOOKUP(A2037,'Discount Lookup'!J:K,2)*G2037*(1-PlanterDiscount)*(1+PlanterDifficultyPercentage)),IF(AE2037="ELP",(VLOOKUP(A2037,'Discount Lookup'!J:K,2)*G2037*(1-PlanterDiscount)*(1+PlanterDifficultyPercentage)),IF(AE2037="free","re-planting",IF(G2037=0,"",IF(PlanterYesMe="",IF(AE2037="me","   not ELP, by",IF(AE2037="",IF(G2037&gt;0,(VLOOKUP(A2037,'Discount Lookup'!J:K,2)*G2037*(1-PlanterDiscount)*(1+PlanterDifficultyPercentage)),""),"")),"   not ELP, by"))))))))))))))</f>
        <v/>
      </c>
      <c r="AD2037" s="712"/>
      <c r="AE2037" s="513" t="str">
        <f t="shared" si="1423"/>
        <v/>
      </c>
      <c r="AF2037" s="713" t="str">
        <f t="shared" si="1424"/>
        <v/>
      </c>
      <c r="AG2037" s="713"/>
      <c r="AH2037" s="713"/>
      <c r="AI2037" s="112">
        <f>IF(H2037="credit",0,IF(AE2037="free",0,IF(AE2037="me",0,IF(G2037&gt;0,(VLOOKUP(A2037,'Discount Lookup'!J:K,2)*G2037),0))))</f>
        <v>0</v>
      </c>
      <c r="AJ2037" s="107" t="str">
        <f t="shared" ca="1" si="1425"/>
        <v/>
      </c>
      <c r="AK2037" s="714" t="str">
        <f t="shared" si="1426"/>
        <v/>
      </c>
      <c r="AL2037" s="714"/>
      <c r="AM2037" s="114" t="str">
        <f t="shared" si="1427"/>
        <v/>
      </c>
      <c r="AN2037" s="115"/>
      <c r="AO2037" s="116"/>
      <c r="AP2037" s="116"/>
      <c r="AQ2037" s="116"/>
      <c r="AR2037" s="116"/>
      <c r="AS2037" s="116"/>
      <c r="AT2037" s="116"/>
      <c r="AU2037" s="116"/>
      <c r="AV2037" s="78"/>
      <c r="AW2037" s="102"/>
      <c r="AX2037" s="78"/>
      <c r="AY2037" s="78"/>
      <c r="AZ2037" s="78"/>
      <c r="BA2037" s="78"/>
      <c r="BB2037" s="78"/>
      <c r="BC2037" s="78"/>
      <c r="BD2037" s="78"/>
      <c r="BE2037" s="465"/>
      <c r="BF2037" s="165" t="str">
        <f t="shared" si="1428"/>
        <v>https://www.google.com/search?tbm=isch&amp;q=3%20G5</v>
      </c>
      <c r="BG2037" s="165" t="str">
        <f t="shared" si="1429"/>
        <v>H</v>
      </c>
      <c r="BH2037" s="65"/>
      <c r="BI2037" s="65"/>
      <c r="BJ2037" s="65"/>
      <c r="BK2037" s="65"/>
      <c r="BL2037" s="99"/>
      <c r="BM2037" s="99"/>
      <c r="BN2037" s="99"/>
    </row>
    <row r="2038" spans="1:66" s="51" customFormat="1" ht="15.75" x14ac:dyDescent="0.25">
      <c r="A2038" s="634">
        <v>5</v>
      </c>
      <c r="B2038" s="635" t="s">
        <v>291</v>
      </c>
      <c r="C2038" s="636" t="s">
        <v>4609</v>
      </c>
      <c r="D2038" s="637" t="s">
        <v>293</v>
      </c>
      <c r="E2038" s="638">
        <v>47.95</v>
      </c>
      <c r="F2038" s="639" t="s">
        <v>292</v>
      </c>
      <c r="G2038" s="484">
        <v>0</v>
      </c>
      <c r="H2038" s="691" t="str">
        <f>IF(G2038=0,"",IF(F2038="Buy",IF(G2038=1,"plant","plants"),IF(F2038&gt;0.01,"warranty","Error")))</f>
        <v/>
      </c>
      <c r="I2038" s="640">
        <f>IF(H2038="free",0,IF(H2038="credit",((E2038*(F2038))*G2038*-1),IF(F2038="Buy",(E2038*G2038),((E2038*(1-F2038))*G2038))))</f>
        <v>0</v>
      </c>
      <c r="J2038" s="640">
        <f>IF(H2038="warranty",0,(I2038*(_xlfn.SINGLE(SalesTaxPercentage))))</f>
        <v>0</v>
      </c>
      <c r="K2038" s="716">
        <f t="shared" ref="K2038" si="1459">I2038+J2038</f>
        <v>0</v>
      </c>
      <c r="L2038" s="716"/>
      <c r="M2038" s="689" t="str">
        <f ca="1">IF(AND(G2038&gt;0,E2038=0),"WARNING - no PRICE inserted",IF(H2038="free","FREE ~ no charge this plant",IF(H2038="credit",CONCATENATE("-$",ROUND(K2038*(1-_xlfn.SINGLE(T2GDiscount))*-1,2)," CREDIT after discount"),IF(_xlfn.SINGLE(T2GDiscount)=0,"",IF(G2038=0,"",IF(F2038="Buy",CONCATENATE("$",ROUND(K2038*(1-_xlfn.SINGLE(T2GDiscount)),2)," with ",(_xlfn.SINGLE(T2GDiscount)*100),"% discount"),CONCATENATE("$",ROUND(K2038*(1-_xlfn.SINGLE(T2GDiscount)),2)," with ",((_xlfn.SINGLE(T2GDiscount)*100+F2038*100)-(_xlfn.SINGLE(T2GDiscount)*100*F2038)),IF(F2038&gt;0,"% discounts",IF(_xlfn.SINGLE(NoWarrantyDiscount)&gt;0,"% discounts","% discount")))))))))</f>
        <v/>
      </c>
      <c r="N2038" s="690"/>
      <c r="O2038" s="486"/>
      <c r="P2038" s="486"/>
      <c r="Q2038" s="486"/>
      <c r="R2038" s="486"/>
      <c r="S2038" s="486"/>
      <c r="T2038" s="102">
        <f t="shared" si="1417"/>
        <v>0</v>
      </c>
      <c r="U2038" s="78">
        <f>IF(NOT(ISNUMBER(G2038)), "", VLOOKUP(A2038,'Discount Lookup'!D:E,2,FALSE)*G2038)</f>
        <v>0</v>
      </c>
      <c r="V2038" s="78">
        <f>IF(NOT(ISNUMBER(G2038)), "", VLOOKUP(A2038,'Discount Lookup'!G:H,2,FALSE)*G2038)</f>
        <v>0</v>
      </c>
      <c r="W2038" s="102">
        <f t="shared" si="1418"/>
        <v>0</v>
      </c>
      <c r="X2038" s="102">
        <f t="shared" si="1419"/>
        <v>0</v>
      </c>
      <c r="Y2038" s="120" t="b">
        <f t="shared" si="1420"/>
        <v>0</v>
      </c>
      <c r="Z2038" s="117">
        <f t="shared" si="1421"/>
        <v>0</v>
      </c>
      <c r="AA2038" s="118"/>
      <c r="AB2038" s="118" t="str">
        <f t="shared" si="1422"/>
        <v/>
      </c>
      <c r="AC2038" s="712" t="str">
        <f>IF(AE2038="T2G","no charge",IF(AND(OR(PlanterYesMe="No",PlanterYesMe="N",PlanterYesMe="me"),H2038=""),"",IF(H2038="credit","NO install",IF(AND(K2038="",AE2038="me"),"EACH row",IF(AND(K2038="images",AE2038="me"),"EACH row",IF(D2038="","",IF(H2038="credit","",IF(AE2038="free","re-planting",IF(AE2038="me","   not ELP, by",IF(AND(OR(PlanterYesMe="Yes",PlanterYesMe="Y"),G2038&gt;0),(VLOOKUP(A2038,'Discount Lookup'!J:K,2)*G2038*(1-PlanterDiscount)*(1+PlanterDifficultyPercentage)),IF(AE2038="ELP",(VLOOKUP(A2038,'Discount Lookup'!J:K,2)*G2038*(1-PlanterDiscount)*(1+PlanterDifficultyPercentage)),IF(AE2038="free","re-planting",IF(G2038=0,"",IF(PlanterYesMe="",IF(AE2038="me","   not ELP, by",IF(AE2038="",IF(G2038&gt;0,(VLOOKUP(A2038,'Discount Lookup'!J:K,2)*G2038*(1-PlanterDiscount)*(1+PlanterDifficultyPercentage)),""),"")),"   not ELP, by"))))))))))))))</f>
        <v/>
      </c>
      <c r="AD2038" s="712"/>
      <c r="AE2038" s="513" t="str">
        <f t="shared" si="1423"/>
        <v/>
      </c>
      <c r="AF2038" s="713" t="str">
        <f t="shared" si="1424"/>
        <v/>
      </c>
      <c r="AG2038" s="713"/>
      <c r="AH2038" s="713"/>
      <c r="AI2038" s="112">
        <f>IF(H2038="credit",0,IF(AE2038="free",0,IF(AE2038="me",0,IF(G2038&gt;0,(VLOOKUP(A2038,'Discount Lookup'!J:K,2)*G2038),0))))</f>
        <v>0</v>
      </c>
      <c r="AJ2038" s="107" t="str">
        <f t="shared" ca="1" si="1425"/>
        <v/>
      </c>
      <c r="AK2038" s="714" t="str">
        <f t="shared" si="1426"/>
        <v/>
      </c>
      <c r="AL2038" s="714"/>
      <c r="AM2038" s="114" t="str">
        <f t="shared" si="1427"/>
        <v/>
      </c>
      <c r="AN2038" s="115"/>
      <c r="AO2038" s="116"/>
      <c r="AP2038" s="116"/>
      <c r="AQ2038" s="116"/>
      <c r="AR2038" s="116"/>
      <c r="AS2038" s="116"/>
      <c r="AT2038" s="116"/>
      <c r="AU2038" s="116"/>
      <c r="AV2038" s="78"/>
      <c r="AW2038" s="102"/>
      <c r="AX2038" s="78"/>
      <c r="AY2038" s="78"/>
      <c r="AZ2038" s="78"/>
      <c r="BA2038" s="78"/>
      <c r="BB2038" s="78"/>
      <c r="BC2038" s="78"/>
      <c r="BD2038" s="78"/>
      <c r="BE2038" s="465"/>
      <c r="BF2038" s="165" t="str">
        <f t="shared" si="1428"/>
        <v>https://www.google.com/search?tbm=isch&amp;q=5%20G6</v>
      </c>
      <c r="BG2038" s="165" t="str">
        <f t="shared" si="1429"/>
        <v>H</v>
      </c>
      <c r="BH2038" s="65"/>
      <c r="BI2038" s="65"/>
      <c r="BJ2038" s="65"/>
      <c r="BK2038" s="65"/>
      <c r="BL2038" s="99"/>
      <c r="BM2038" s="99"/>
      <c r="BN2038" s="99"/>
    </row>
    <row r="2039" spans="1:66" s="51" customFormat="1" ht="15.75" x14ac:dyDescent="0.25">
      <c r="A2039" s="634">
        <v>10</v>
      </c>
      <c r="B2039" s="635" t="s">
        <v>291</v>
      </c>
      <c r="C2039" s="636" t="s">
        <v>4610</v>
      </c>
      <c r="D2039" s="637" t="s">
        <v>293</v>
      </c>
      <c r="E2039" s="638">
        <v>169.95</v>
      </c>
      <c r="F2039" s="639" t="s">
        <v>292</v>
      </c>
      <c r="G2039" s="484">
        <v>0</v>
      </c>
      <c r="H2039" s="691" t="str">
        <f>IF(G2039=0,"",IF(F2039="Buy",IF(G2039=1,"plant","plants"),IF(F2039&gt;0.01,"warranty","Error")))</f>
        <v/>
      </c>
      <c r="I2039" s="640">
        <f>IF(H2039="free",0,IF(H2039="credit",((E2039*(F2039))*G2039*-1),IF(F2039="Buy",(E2039*G2039),((E2039*(1-F2039))*G2039))))</f>
        <v>0</v>
      </c>
      <c r="J2039" s="640">
        <f>IF(H2039="warranty",0,(I2039*(_xlfn.SINGLE(SalesTaxPercentage))))</f>
        <v>0</v>
      </c>
      <c r="K2039" s="716">
        <f t="shared" ref="K2039" si="1460">I2039+J2039</f>
        <v>0</v>
      </c>
      <c r="L2039" s="716"/>
      <c r="M2039" s="689" t="str">
        <f ca="1">IF(AND(G2039&gt;0,E2039=0),"WARNING - no PRICE inserted",IF(H2039="free","FREE ~ no charge this plant",IF(H2039="credit",CONCATENATE("-$",ROUND(K2039*(1-_xlfn.SINGLE(T2GDiscount))*-1,2)," CREDIT after discount"),IF(_xlfn.SINGLE(T2GDiscount)=0,"",IF(G2039=0,"",IF(F2039="Buy",CONCATENATE("$",ROUND(K2039*(1-_xlfn.SINGLE(T2GDiscount)),2)," with ",(_xlfn.SINGLE(T2GDiscount)*100),"% discount"),CONCATENATE("$",ROUND(K2039*(1-_xlfn.SINGLE(T2GDiscount)),2)," with ",((_xlfn.SINGLE(T2GDiscount)*100+F2039*100)-(_xlfn.SINGLE(T2GDiscount)*100*F2039)),IF(F2039&gt;0,"% discounts",IF(_xlfn.SINGLE(NoWarrantyDiscount)&gt;0,"% discounts","% discount")))))))))</f>
        <v/>
      </c>
      <c r="N2039" s="690"/>
      <c r="O2039" s="486"/>
      <c r="P2039" s="486"/>
      <c r="Q2039" s="486"/>
      <c r="R2039" s="486"/>
      <c r="S2039" s="486"/>
      <c r="T2039" s="102">
        <f t="shared" si="1417"/>
        <v>0</v>
      </c>
      <c r="U2039" s="78">
        <f>IF(NOT(ISNUMBER(G2039)), "", VLOOKUP(A2039,'Discount Lookup'!D:E,2,FALSE)*G2039)</f>
        <v>0</v>
      </c>
      <c r="V2039" s="78">
        <f>IF(NOT(ISNUMBER(G2039)), "", VLOOKUP(A2039,'Discount Lookup'!G:H,2,FALSE)*G2039)</f>
        <v>0</v>
      </c>
      <c r="W2039" s="102">
        <f t="shared" si="1418"/>
        <v>0</v>
      </c>
      <c r="X2039" s="102">
        <f t="shared" si="1419"/>
        <v>0</v>
      </c>
      <c r="Y2039" s="120" t="b">
        <f t="shared" si="1420"/>
        <v>0</v>
      </c>
      <c r="Z2039" s="117">
        <f t="shared" si="1421"/>
        <v>0</v>
      </c>
      <c r="AA2039" s="118"/>
      <c r="AB2039" s="118" t="str">
        <f t="shared" si="1422"/>
        <v/>
      </c>
      <c r="AC2039" s="712" t="str">
        <f>IF(AE2039="T2G","no charge",IF(AND(OR(PlanterYesMe="No",PlanterYesMe="N",PlanterYesMe="me"),H2039=""),"",IF(H2039="credit","NO install",IF(AND(K2039="",AE2039="me"),"EACH row",IF(AND(K2039="images",AE2039="me"),"EACH row",IF(D2039="","",IF(H2039="credit","",IF(AE2039="free","re-planting",IF(AE2039="me","   not ELP, by",IF(AND(OR(PlanterYesMe="Yes",PlanterYesMe="Y"),G2039&gt;0),(VLOOKUP(A2039,'Discount Lookup'!J:K,2)*G2039*(1-PlanterDiscount)*(1+PlanterDifficultyPercentage)),IF(AE2039="ELP",(VLOOKUP(A2039,'Discount Lookup'!J:K,2)*G2039*(1-PlanterDiscount)*(1+PlanterDifficultyPercentage)),IF(AE2039="free","re-planting",IF(G2039=0,"",IF(PlanterYesMe="",IF(AE2039="me","   not ELP, by",IF(AE2039="",IF(G2039&gt;0,(VLOOKUP(A2039,'Discount Lookup'!J:K,2)*G2039*(1-PlanterDiscount)*(1+PlanterDifficultyPercentage)),""),"")),"   not ELP, by"))))))))))))))</f>
        <v/>
      </c>
      <c r="AD2039" s="712"/>
      <c r="AE2039" s="513" t="str">
        <f t="shared" si="1423"/>
        <v/>
      </c>
      <c r="AF2039" s="713" t="str">
        <f t="shared" si="1424"/>
        <v/>
      </c>
      <c r="AG2039" s="713"/>
      <c r="AH2039" s="713"/>
      <c r="AI2039" s="112">
        <f>IF(H2039="credit",0,IF(AE2039="free",0,IF(AE2039="me",0,IF(G2039&gt;0,(VLOOKUP(A2039,'Discount Lookup'!J:K,2)*G2039),0))))</f>
        <v>0</v>
      </c>
      <c r="AJ2039" s="107" t="str">
        <f t="shared" ca="1" si="1425"/>
        <v/>
      </c>
      <c r="AK2039" s="714" t="str">
        <f t="shared" si="1426"/>
        <v/>
      </c>
      <c r="AL2039" s="714"/>
      <c r="AM2039" s="114" t="str">
        <f t="shared" si="1427"/>
        <v/>
      </c>
      <c r="AN2039" s="115"/>
      <c r="AO2039" s="116"/>
      <c r="AP2039" s="116"/>
      <c r="AQ2039" s="116"/>
      <c r="AR2039" s="116"/>
      <c r="AS2039" s="116"/>
      <c r="AT2039" s="116"/>
      <c r="AU2039" s="116"/>
      <c r="AV2039" s="78"/>
      <c r="AW2039" s="102"/>
      <c r="AX2039" s="78"/>
      <c r="AY2039" s="78"/>
      <c r="AZ2039" s="78"/>
      <c r="BA2039" s="78"/>
      <c r="BB2039" s="78"/>
      <c r="BC2039" s="78"/>
      <c r="BD2039" s="78"/>
      <c r="BE2039" s="465"/>
      <c r="BF2039" s="165" t="str">
        <f t="shared" si="1428"/>
        <v>https://www.google.com/search?tbm=isch&amp;q=10%20G6</v>
      </c>
      <c r="BG2039" s="165" t="str">
        <f t="shared" si="1429"/>
        <v>H</v>
      </c>
      <c r="BH2039" s="65"/>
      <c r="BI2039" s="65"/>
      <c r="BJ2039" s="65"/>
      <c r="BK2039" s="65"/>
      <c r="BL2039" s="99"/>
      <c r="BM2039" s="99"/>
      <c r="BN2039" s="99"/>
    </row>
    <row r="2040" spans="1:66" s="51" customFormat="1" ht="17.25" thickBot="1" x14ac:dyDescent="0.3">
      <c r="A2040" s="641" t="s">
        <v>4754</v>
      </c>
      <c r="B2040" s="642"/>
      <c r="C2040" s="710"/>
      <c r="D2040" s="643"/>
      <c r="E2040" s="643"/>
      <c r="F2040" s="644"/>
      <c r="G2040" s="645"/>
      <c r="H2040" s="646"/>
      <c r="I2040" s="647"/>
      <c r="J2040" s="648"/>
      <c r="K2040" s="649"/>
      <c r="L2040" s="650"/>
      <c r="M2040" s="650"/>
      <c r="N2040" s="644"/>
      <c r="O2040" s="644"/>
      <c r="P2040" s="644"/>
      <c r="Q2040" s="644"/>
      <c r="R2040" s="644"/>
      <c r="S2040" s="651"/>
      <c r="T2040" s="102">
        <f t="shared" si="1417"/>
        <v>0</v>
      </c>
      <c r="U2040" s="78" t="str">
        <f>IF(NOT(ISNUMBER(G2040)), "", VLOOKUP(A2040,'Discount Lookup'!D:E,2,FALSE)*G2040)</f>
        <v/>
      </c>
      <c r="V2040" s="78" t="str">
        <f>IF(NOT(ISNUMBER(G2040)), "", VLOOKUP(A2040,'Discount Lookup'!G:H,2,FALSE)*G2040)</f>
        <v/>
      </c>
      <c r="W2040" s="102">
        <f t="shared" si="1418"/>
        <v>0</v>
      </c>
      <c r="X2040" s="102">
        <f t="shared" si="1419"/>
        <v>0</v>
      </c>
      <c r="Y2040" s="120" t="b">
        <f t="shared" si="1420"/>
        <v>0</v>
      </c>
      <c r="Z2040" s="117">
        <f t="shared" si="1421"/>
        <v>0</v>
      </c>
      <c r="AA2040" s="118"/>
      <c r="AB2040" s="118" t="str">
        <f t="shared" si="1422"/>
        <v/>
      </c>
      <c r="AC2040" s="712" t="str">
        <f>IF(AE2040="T2G","no charge",IF(AND(OR(PlanterYesMe="No",PlanterYesMe="N",PlanterYesMe="me"),H2040=""),"",IF(H2040="credit","NO install",IF(AND(K2040="",AE2040="me"),"EACH row",IF(AND(K2040="images",AE2040="me"),"EACH row",IF(D2040="","",IF(H2040="credit","",IF(AE2040="free","re-planting",IF(AE2040="me","   not ELP, by",IF(AND(OR(PlanterYesMe="Yes",PlanterYesMe="Y"),G2040&gt;0),(VLOOKUP(A2040,'Discount Lookup'!J:K,2)*G2040*(1-PlanterDiscount)*(1+PlanterDifficultyPercentage)),IF(AE2040="ELP",(VLOOKUP(A2040,'Discount Lookup'!J:K,2)*G2040*(1-PlanterDiscount)*(1+PlanterDifficultyPercentage)),IF(AE2040="free","re-planting",IF(G2040=0,"",IF(PlanterYesMe="",IF(AE2040="me","   not ELP, by",IF(AE2040="",IF(G2040&gt;0,(VLOOKUP(A2040,'Discount Lookup'!J:K,2)*G2040*(1-PlanterDiscount)*(1+PlanterDifficultyPercentage)),""),"")),"   not ELP, by"))))))))))))))</f>
        <v/>
      </c>
      <c r="AD2040" s="712"/>
      <c r="AE2040" s="513" t="str">
        <f t="shared" si="1423"/>
        <v/>
      </c>
      <c r="AF2040" s="713" t="str">
        <f t="shared" si="1424"/>
        <v/>
      </c>
      <c r="AG2040" s="713"/>
      <c r="AH2040" s="713"/>
      <c r="AI2040" s="112">
        <f>IF(H2040="credit",0,IF(AE2040="free",0,IF(AE2040="me",0,IF(G2040&gt;0,(VLOOKUP(A2040,'Discount Lookup'!J:K,2)*G2040),0))))</f>
        <v>0</v>
      </c>
      <c r="AJ2040" s="107" t="str">
        <f t="shared" ca="1" si="1425"/>
        <v/>
      </c>
      <c r="AK2040" s="714" t="str">
        <f t="shared" si="1426"/>
        <v/>
      </c>
      <c r="AL2040" s="714"/>
      <c r="AM2040" s="114" t="str">
        <f t="shared" si="1427"/>
        <v/>
      </c>
      <c r="AN2040" s="115"/>
      <c r="AO2040" s="116"/>
      <c r="AP2040" s="116"/>
      <c r="AQ2040" s="116"/>
      <c r="AR2040" s="116"/>
      <c r="AS2040" s="116"/>
      <c r="AT2040" s="116"/>
      <c r="AU2040" s="116"/>
      <c r="AV2040" s="78"/>
      <c r="AW2040" s="102"/>
      <c r="AX2040" s="78"/>
      <c r="AY2040" s="78"/>
      <c r="AZ2040" s="78"/>
      <c r="BA2040" s="78"/>
      <c r="BB2040" s="78"/>
      <c r="BC2040" s="78"/>
      <c r="BD2040" s="78"/>
      <c r="BE2040" s="465"/>
      <c r="BF2040" s="165" t="str">
        <f t="shared" si="1428"/>
        <v>https://www.google.com/search?tbm=isch&amp;q=Sweet%20Starlight%20has%20Green%20foliage.%20All%20%22Hardy%22%20Hydrangea%20have%20cone-shaped%20flowers%20on%20new%20wood.%20Flowers%20change%20color%20with%20age.%20Extremely%20cold-hardy%20</v>
      </c>
      <c r="BG2040" s="165" t="str">
        <f t="shared" si="1429"/>
        <v>S</v>
      </c>
      <c r="BH2040" s="65"/>
      <c r="BI2040" s="65"/>
      <c r="BJ2040" s="65"/>
      <c r="BK2040" s="65"/>
      <c r="BL2040" s="99"/>
      <c r="BM2040" s="99"/>
      <c r="BN2040" s="99"/>
    </row>
    <row r="2041" spans="1:66" s="51" customFormat="1" ht="18" x14ac:dyDescent="0.25">
      <c r="A2041" s="623" t="s">
        <v>2852</v>
      </c>
      <c r="B2041" s="624"/>
      <c r="C2041" s="709"/>
      <c r="D2041" s="625" t="s">
        <v>5696</v>
      </c>
      <c r="E2041" s="626"/>
      <c r="F2041" s="626"/>
      <c r="G2041" s="626"/>
      <c r="H2041" s="622" t="s">
        <v>2084</v>
      </c>
      <c r="I2041" s="627" t="s">
        <v>2853</v>
      </c>
      <c r="J2041" s="628"/>
      <c r="K2041" s="628"/>
      <c r="L2041" s="629"/>
      <c r="M2041" s="700" t="s">
        <v>5249</v>
      </c>
      <c r="N2041" s="693" t="str">
        <f>IF(AND(ISTEXT($A2041), ISERROR($A2041+0)), HYPERLINK($BF2041, "Images"), "")</f>
        <v>Images</v>
      </c>
      <c r="O2041" s="695" t="s">
        <v>5247</v>
      </c>
      <c r="P2041" s="630"/>
      <c r="Q2041" s="631"/>
      <c r="R2041" s="632"/>
      <c r="S2041" s="633"/>
      <c r="T2041" s="102">
        <f t="shared" si="1417"/>
        <v>0</v>
      </c>
      <c r="U2041" s="78" t="str">
        <f>IF(NOT(ISNUMBER(G2041)), "", VLOOKUP(A2041,'Discount Lookup'!D:E,2,FALSE)*G2041)</f>
        <v/>
      </c>
      <c r="V2041" s="78" t="str">
        <f>IF(NOT(ISNUMBER(G2041)), "", VLOOKUP(A2041,'Discount Lookup'!G:H,2,FALSE)*G2041)</f>
        <v/>
      </c>
      <c r="W2041" s="102">
        <f t="shared" si="1418"/>
        <v>0</v>
      </c>
      <c r="X2041" s="102" t="str">
        <f t="shared" si="1419"/>
        <v>White ages to Pink-Red</v>
      </c>
      <c r="Y2041" s="120" t="b">
        <f t="shared" si="1420"/>
        <v>0</v>
      </c>
      <c r="Z2041" s="117">
        <f t="shared" si="1421"/>
        <v>0</v>
      </c>
      <c r="AA2041" s="118"/>
      <c r="AB2041" s="118" t="str">
        <f t="shared" si="1422"/>
        <v/>
      </c>
      <c r="AC2041" s="712" t="str">
        <f>IF(AE2041="T2G","no charge",IF(AND(OR(PlanterYesMe="No",PlanterYesMe="N",PlanterYesMe="me"),H2041=""),"",IF(H2041="credit","NO install",IF(AND(K2041="",AE2041="me"),"EACH row",IF(AND(K2041="images",AE2041="me"),"EACH row",IF(D2041="","",IF(H2041="credit","",IF(AE2041="free","re-planting",IF(AE2041="me","   not ELP, by",IF(AND(OR(PlanterYesMe="Yes",PlanterYesMe="Y"),G2041&gt;0),(VLOOKUP(A2041,'Discount Lookup'!J:K,2)*G2041*(1-PlanterDiscount)*(1+PlanterDifficultyPercentage)),IF(AE2041="ELP",(VLOOKUP(A2041,'Discount Lookup'!J:K,2)*G2041*(1-PlanterDiscount)*(1+PlanterDifficultyPercentage)),IF(AE2041="free","re-planting",IF(G2041=0,"",IF(PlanterYesMe="",IF(AE2041="me","   not ELP, by",IF(AE2041="",IF(G2041&gt;0,(VLOOKUP(A2041,'Discount Lookup'!J:K,2)*G2041*(1-PlanterDiscount)*(1+PlanterDifficultyPercentage)),""),"")),"   not ELP, by"))))))))))))))</f>
        <v/>
      </c>
      <c r="AD2041" s="712"/>
      <c r="AE2041" s="513" t="str">
        <f t="shared" si="1423"/>
        <v/>
      </c>
      <c r="AF2041" s="713" t="str">
        <f t="shared" si="1424"/>
        <v/>
      </c>
      <c r="AG2041" s="713"/>
      <c r="AH2041" s="713"/>
      <c r="AI2041" s="112">
        <f>IF(H2041="credit",0,IF(AE2041="free",0,IF(AE2041="me",0,IF(G2041&gt;0,(VLOOKUP(A2041,'Discount Lookup'!J:K,2)*G2041),0))))</f>
        <v>0</v>
      </c>
      <c r="AJ2041" s="107" t="str">
        <f t="shared" ca="1" si="1425"/>
        <v/>
      </c>
      <c r="AK2041" s="714" t="str">
        <f t="shared" si="1426"/>
        <v/>
      </c>
      <c r="AL2041" s="714"/>
      <c r="AM2041" s="114" t="str">
        <f t="shared" si="1427"/>
        <v/>
      </c>
      <c r="AN2041" s="115"/>
      <c r="AO2041" s="116"/>
      <c r="AP2041" s="116"/>
      <c r="AQ2041" s="116"/>
      <c r="AR2041" s="116"/>
      <c r="AS2041" s="116"/>
      <c r="AT2041" s="116"/>
      <c r="AU2041" s="116"/>
      <c r="AV2041" s="78"/>
      <c r="AW2041" s="102"/>
      <c r="AX2041" s="78"/>
      <c r="AY2041" s="78"/>
      <c r="AZ2041" s="78"/>
      <c r="BA2041" s="78"/>
      <c r="BB2041" s="78"/>
      <c r="BC2041" s="78"/>
      <c r="BD2041" s="78"/>
      <c r="BE2041" s="465"/>
      <c r="BF2041" s="165" t="str">
        <f t="shared" si="1428"/>
        <v>https://www.google.com/search?tbm=isch&amp;q=Hyd.%20paniculata%20%27Renhy%27%20PP%2320670%20Vanilla%20Strawberry%E2%84%A2%20Hydrangea</v>
      </c>
      <c r="BG2041" s="165" t="str">
        <f t="shared" si="1429"/>
        <v>H</v>
      </c>
      <c r="BH2041" s="65"/>
      <c r="BI2041" s="65"/>
      <c r="BJ2041" s="65"/>
      <c r="BK2041" s="65"/>
      <c r="BL2041" s="99"/>
      <c r="BM2041" s="99"/>
      <c r="BN2041" s="99"/>
    </row>
    <row r="2042" spans="1:66" s="51" customFormat="1" ht="15.75" x14ac:dyDescent="0.25">
      <c r="A2042" s="634">
        <v>3</v>
      </c>
      <c r="B2042" s="635" t="s">
        <v>291</v>
      </c>
      <c r="C2042" s="636" t="s">
        <v>2332</v>
      </c>
      <c r="D2042" s="637" t="s">
        <v>329</v>
      </c>
      <c r="E2042" s="638">
        <v>34.950000000000003</v>
      </c>
      <c r="F2042" s="639" t="s">
        <v>292</v>
      </c>
      <c r="G2042" s="484">
        <v>0</v>
      </c>
      <c r="H2042" s="691" t="str">
        <f>IF(G2042=0,"",IF(F2042="Buy",IF(G2042=1,"plant","plants"),IF(F2042&gt;0.01,"warranty","Error")))</f>
        <v/>
      </c>
      <c r="I2042" s="640">
        <f>IF(H2042="free",0,IF(H2042="credit",((E2042*(F2042))*G2042*-1),IF(F2042="Buy",(E2042*G2042),((E2042*(1-F2042))*G2042))))</f>
        <v>0</v>
      </c>
      <c r="J2042" s="640">
        <f>IF(H2042="warranty",0,(I2042*(_xlfn.SINGLE(SalesTaxPercentage))))</f>
        <v>0</v>
      </c>
      <c r="K2042" s="716">
        <f t="shared" ref="K2042" si="1461">I2042+J2042</f>
        <v>0</v>
      </c>
      <c r="L2042" s="716"/>
      <c r="M2042" s="689" t="str">
        <f ca="1">IF(AND(G2042&gt;0,E2042=0),"WARNING - no PRICE inserted",IF(H2042="free","FREE ~ no charge this plant",IF(H2042="credit",CONCATENATE("-$",ROUND(K2042*(1-_xlfn.SINGLE(T2GDiscount))*-1,2)," CREDIT after discount"),IF(_xlfn.SINGLE(T2GDiscount)=0,"",IF(G2042=0,"",IF(F2042="Buy",CONCATENATE("$",ROUND(K2042*(1-_xlfn.SINGLE(T2GDiscount)),2)," with ",(_xlfn.SINGLE(T2GDiscount)*100),"% discount"),CONCATENATE("$",ROUND(K2042*(1-_xlfn.SINGLE(T2GDiscount)),2)," with ",((_xlfn.SINGLE(T2GDiscount)*100+F2042*100)-(_xlfn.SINGLE(T2GDiscount)*100*F2042)),IF(F2042&gt;0,"% discounts",IF(_xlfn.SINGLE(NoWarrantyDiscount)&gt;0,"% discounts","% discount")))))))))</f>
        <v/>
      </c>
      <c r="N2042" s="690"/>
      <c r="O2042" s="486"/>
      <c r="P2042" s="486"/>
      <c r="Q2042" s="486"/>
      <c r="R2042" s="486"/>
      <c r="S2042" s="486"/>
      <c r="T2042" s="102">
        <f t="shared" si="1417"/>
        <v>0</v>
      </c>
      <c r="U2042" s="78">
        <f>IF(NOT(ISNUMBER(G2042)), "", VLOOKUP(A2042,'Discount Lookup'!D:E,2,FALSE)*G2042)</f>
        <v>0</v>
      </c>
      <c r="V2042" s="78">
        <f>IF(NOT(ISNUMBER(G2042)), "", VLOOKUP(A2042,'Discount Lookup'!G:H,2,FALSE)*G2042)</f>
        <v>0</v>
      </c>
      <c r="W2042" s="102">
        <f t="shared" si="1418"/>
        <v>0</v>
      </c>
      <c r="X2042" s="102">
        <f t="shared" si="1419"/>
        <v>0</v>
      </c>
      <c r="Y2042" s="120" t="b">
        <f t="shared" si="1420"/>
        <v>0</v>
      </c>
      <c r="Z2042" s="117">
        <f t="shared" si="1421"/>
        <v>0</v>
      </c>
      <c r="AA2042" s="118"/>
      <c r="AB2042" s="118" t="str">
        <f t="shared" si="1422"/>
        <v/>
      </c>
      <c r="AC2042" s="712" t="str">
        <f>IF(AE2042="T2G","no charge",IF(AND(OR(PlanterYesMe="No",PlanterYesMe="N",PlanterYesMe="me"),H2042=""),"",IF(H2042="credit","NO install",IF(AND(K2042="",AE2042="me"),"EACH row",IF(AND(K2042="images",AE2042="me"),"EACH row",IF(D2042="","",IF(H2042="credit","",IF(AE2042="free","re-planting",IF(AE2042="me","   not ELP, by",IF(AND(OR(PlanterYesMe="Yes",PlanterYesMe="Y"),G2042&gt;0),(VLOOKUP(A2042,'Discount Lookup'!J:K,2)*G2042*(1-PlanterDiscount)*(1+PlanterDifficultyPercentage)),IF(AE2042="ELP",(VLOOKUP(A2042,'Discount Lookup'!J:K,2)*G2042*(1-PlanterDiscount)*(1+PlanterDifficultyPercentage)),IF(AE2042="free","re-planting",IF(G2042=0,"",IF(PlanterYesMe="",IF(AE2042="me","   not ELP, by",IF(AE2042="",IF(G2042&gt;0,(VLOOKUP(A2042,'Discount Lookup'!J:K,2)*G2042*(1-PlanterDiscount)*(1+PlanterDifficultyPercentage)),""),"")),"   not ELP, by"))))))))))))))</f>
        <v/>
      </c>
      <c r="AD2042" s="712"/>
      <c r="AE2042" s="513" t="str">
        <f t="shared" si="1423"/>
        <v/>
      </c>
      <c r="AF2042" s="713" t="str">
        <f t="shared" si="1424"/>
        <v/>
      </c>
      <c r="AG2042" s="713"/>
      <c r="AH2042" s="713"/>
      <c r="AI2042" s="112">
        <f>IF(H2042="credit",0,IF(AE2042="free",0,IF(AE2042="me",0,IF(G2042&gt;0,(VLOOKUP(A2042,'Discount Lookup'!J:K,2)*G2042),0))))</f>
        <v>0</v>
      </c>
      <c r="AJ2042" s="107" t="str">
        <f t="shared" ca="1" si="1425"/>
        <v/>
      </c>
      <c r="AK2042" s="714" t="str">
        <f t="shared" si="1426"/>
        <v/>
      </c>
      <c r="AL2042" s="714"/>
      <c r="AM2042" s="114" t="str">
        <f t="shared" si="1427"/>
        <v/>
      </c>
      <c r="AN2042" s="115"/>
      <c r="AO2042" s="116"/>
      <c r="AP2042" s="116"/>
      <c r="AQ2042" s="116"/>
      <c r="AR2042" s="116"/>
      <c r="AS2042" s="116"/>
      <c r="AT2042" s="116"/>
      <c r="AU2042" s="116"/>
      <c r="AV2042" s="78"/>
      <c r="AW2042" s="102"/>
      <c r="AX2042" s="78"/>
      <c r="AY2042" s="78"/>
      <c r="AZ2042" s="78"/>
      <c r="BA2042" s="78"/>
      <c r="BB2042" s="78"/>
      <c r="BC2042" s="78"/>
      <c r="BD2042" s="78"/>
      <c r="BE2042" s="465"/>
      <c r="BF2042" s="165" t="str">
        <f t="shared" si="1428"/>
        <v>https://www.google.com/search?tbm=isch&amp;q=3%20G2</v>
      </c>
      <c r="BG2042" s="165" t="str">
        <f t="shared" si="1429"/>
        <v>H</v>
      </c>
      <c r="BH2042" s="65"/>
      <c r="BI2042" s="65"/>
      <c r="BJ2042" s="65"/>
      <c r="BK2042" s="65"/>
      <c r="BL2042" s="99"/>
      <c r="BM2042" s="99"/>
      <c r="BN2042" s="99"/>
    </row>
    <row r="2043" spans="1:66" s="51" customFormat="1" ht="15.75" x14ac:dyDescent="0.25">
      <c r="A2043" s="634">
        <v>7</v>
      </c>
      <c r="B2043" s="635" t="s">
        <v>291</v>
      </c>
      <c r="C2043" s="636" t="s">
        <v>2854</v>
      </c>
      <c r="D2043" s="637" t="s">
        <v>309</v>
      </c>
      <c r="E2043" s="638">
        <v>56.95</v>
      </c>
      <c r="F2043" s="639" t="s">
        <v>292</v>
      </c>
      <c r="G2043" s="484">
        <v>0</v>
      </c>
      <c r="H2043" s="691" t="str">
        <f>IF(G2043=0,"",IF(F2043="Buy",IF(G2043=1,"plant","plants"),IF(F2043&gt;0.01,"warranty","Error")))</f>
        <v/>
      </c>
      <c r="I2043" s="640">
        <f>IF(H2043="free",0,IF(H2043="credit",((E2043*(F2043))*G2043*-1),IF(F2043="Buy",(E2043*G2043),((E2043*(1-F2043))*G2043))))</f>
        <v>0</v>
      </c>
      <c r="J2043" s="640">
        <f>IF(H2043="warranty",0,(I2043*(_xlfn.SINGLE(SalesTaxPercentage))))</f>
        <v>0</v>
      </c>
      <c r="K2043" s="716">
        <f t="shared" ref="K2043" si="1462">I2043+J2043</f>
        <v>0</v>
      </c>
      <c r="L2043" s="716"/>
      <c r="M2043" s="689" t="str">
        <f ca="1">IF(AND(G2043&gt;0,E2043=0),"WARNING - no PRICE inserted",IF(H2043="free","FREE ~ no charge this plant",IF(H2043="credit",CONCATENATE("-$",ROUND(K2043*(1-_xlfn.SINGLE(T2GDiscount))*-1,2)," CREDIT after discount"),IF(_xlfn.SINGLE(T2GDiscount)=0,"",IF(G2043=0,"",IF(F2043="Buy",CONCATENATE("$",ROUND(K2043*(1-_xlfn.SINGLE(T2GDiscount)),2)," with ",(_xlfn.SINGLE(T2GDiscount)*100),"% discount"),CONCATENATE("$",ROUND(K2043*(1-_xlfn.SINGLE(T2GDiscount)),2)," with ",((_xlfn.SINGLE(T2GDiscount)*100+F2043*100)-(_xlfn.SINGLE(T2GDiscount)*100*F2043)),IF(F2043&gt;0,"% discounts",IF(_xlfn.SINGLE(NoWarrantyDiscount)&gt;0,"% discounts","% discount")))))))))</f>
        <v/>
      </c>
      <c r="N2043" s="690"/>
      <c r="O2043" s="486"/>
      <c r="P2043" s="486"/>
      <c r="Q2043" s="486"/>
      <c r="R2043" s="486"/>
      <c r="S2043" s="486"/>
      <c r="T2043" s="102">
        <f t="shared" si="1417"/>
        <v>0</v>
      </c>
      <c r="U2043" s="78">
        <f>IF(NOT(ISNUMBER(G2043)), "", VLOOKUP(A2043,'Discount Lookup'!D:E,2,FALSE)*G2043)</f>
        <v>0</v>
      </c>
      <c r="V2043" s="78">
        <f>IF(NOT(ISNUMBER(G2043)), "", VLOOKUP(A2043,'Discount Lookup'!G:H,2,FALSE)*G2043)</f>
        <v>0</v>
      </c>
      <c r="W2043" s="102">
        <f t="shared" si="1418"/>
        <v>0</v>
      </c>
      <c r="X2043" s="102">
        <f t="shared" si="1419"/>
        <v>0</v>
      </c>
      <c r="Y2043" s="120" t="b">
        <f t="shared" si="1420"/>
        <v>0</v>
      </c>
      <c r="Z2043" s="117">
        <f t="shared" si="1421"/>
        <v>0</v>
      </c>
      <c r="AA2043" s="118"/>
      <c r="AB2043" s="118" t="str">
        <f t="shared" si="1422"/>
        <v/>
      </c>
      <c r="AC2043" s="712" t="str">
        <f>IF(AE2043="T2G","no charge",IF(AND(OR(PlanterYesMe="No",PlanterYesMe="N",PlanterYesMe="me"),H2043=""),"",IF(H2043="credit","NO install",IF(AND(K2043="",AE2043="me"),"EACH row",IF(AND(K2043="images",AE2043="me"),"EACH row",IF(D2043="","",IF(H2043="credit","",IF(AE2043="free","re-planting",IF(AE2043="me","   not ELP, by",IF(AND(OR(PlanterYesMe="Yes",PlanterYesMe="Y"),G2043&gt;0),(VLOOKUP(A2043,'Discount Lookup'!J:K,2)*G2043*(1-PlanterDiscount)*(1+PlanterDifficultyPercentage)),IF(AE2043="ELP",(VLOOKUP(A2043,'Discount Lookup'!J:K,2)*G2043*(1-PlanterDiscount)*(1+PlanterDifficultyPercentage)),IF(AE2043="free","re-planting",IF(G2043=0,"",IF(PlanterYesMe="",IF(AE2043="me","   not ELP, by",IF(AE2043="",IF(G2043&gt;0,(VLOOKUP(A2043,'Discount Lookup'!J:K,2)*G2043*(1-PlanterDiscount)*(1+PlanterDifficultyPercentage)),""),"")),"   not ELP, by"))))))))))))))</f>
        <v/>
      </c>
      <c r="AD2043" s="712"/>
      <c r="AE2043" s="513" t="str">
        <f t="shared" si="1423"/>
        <v/>
      </c>
      <c r="AF2043" s="713" t="str">
        <f t="shared" si="1424"/>
        <v/>
      </c>
      <c r="AG2043" s="713"/>
      <c r="AH2043" s="713"/>
      <c r="AI2043" s="112">
        <f>IF(H2043="credit",0,IF(AE2043="free",0,IF(AE2043="me",0,IF(G2043&gt;0,(VLOOKUP(A2043,'Discount Lookup'!J:K,2)*G2043),0))))</f>
        <v>0</v>
      </c>
      <c r="AJ2043" s="107" t="str">
        <f t="shared" ca="1" si="1425"/>
        <v/>
      </c>
      <c r="AK2043" s="714" t="str">
        <f t="shared" si="1426"/>
        <v/>
      </c>
      <c r="AL2043" s="714"/>
      <c r="AM2043" s="114" t="str">
        <f t="shared" si="1427"/>
        <v/>
      </c>
      <c r="AN2043" s="115"/>
      <c r="AO2043" s="116"/>
      <c r="AP2043" s="116"/>
      <c r="AQ2043" s="116"/>
      <c r="AR2043" s="116"/>
      <c r="AS2043" s="116"/>
      <c r="AT2043" s="116"/>
      <c r="AU2043" s="116"/>
      <c r="AV2043" s="78"/>
      <c r="AW2043" s="102"/>
      <c r="AX2043" s="78"/>
      <c r="AY2043" s="78"/>
      <c r="AZ2043" s="78"/>
      <c r="BA2043" s="78"/>
      <c r="BB2043" s="78"/>
      <c r="BC2043" s="78"/>
      <c r="BD2043" s="78"/>
      <c r="BE2043" s="465"/>
      <c r="BF2043" s="165" t="str">
        <f t="shared" si="1428"/>
        <v>https://www.google.com/search?tbm=isch&amp;q=7%20G3</v>
      </c>
      <c r="BG2043" s="165" t="str">
        <f t="shared" si="1429"/>
        <v>H</v>
      </c>
      <c r="BH2043" s="65"/>
      <c r="BI2043" s="65"/>
      <c r="BJ2043" s="65"/>
      <c r="BK2043" s="65"/>
      <c r="BL2043" s="99"/>
      <c r="BM2043" s="99"/>
      <c r="BN2043" s="99"/>
    </row>
    <row r="2044" spans="1:66" s="51" customFormat="1" ht="15.75" x14ac:dyDescent="0.25">
      <c r="A2044" s="634">
        <v>7</v>
      </c>
      <c r="B2044" s="635" t="s">
        <v>291</v>
      </c>
      <c r="C2044" s="636" t="s">
        <v>2855</v>
      </c>
      <c r="D2044" s="637" t="s">
        <v>299</v>
      </c>
      <c r="E2044" s="638">
        <v>95.95</v>
      </c>
      <c r="F2044" s="639" t="s">
        <v>292</v>
      </c>
      <c r="G2044" s="484">
        <v>0</v>
      </c>
      <c r="H2044" s="691" t="str">
        <f>IF(G2044=0,"",IF(F2044="Buy",IF(G2044=1,"plant","plants"),IF(F2044&gt;0.01,"warranty","Error")))</f>
        <v/>
      </c>
      <c r="I2044" s="640">
        <f>IF(H2044="free",0,IF(H2044="credit",((E2044*(F2044))*G2044*-1),IF(F2044="Buy",(E2044*G2044),((E2044*(1-F2044))*G2044))))</f>
        <v>0</v>
      </c>
      <c r="J2044" s="640">
        <f>IF(H2044="warranty",0,(I2044*(_xlfn.SINGLE(SalesTaxPercentage))))</f>
        <v>0</v>
      </c>
      <c r="K2044" s="716">
        <f t="shared" ref="K2044" si="1463">I2044+J2044</f>
        <v>0</v>
      </c>
      <c r="L2044" s="716"/>
      <c r="M2044" s="689" t="str">
        <f ca="1">IF(AND(G2044&gt;0,E2044=0),"WARNING - no PRICE inserted",IF(H2044="free","FREE ~ no charge this plant",IF(H2044="credit",CONCATENATE("-$",ROUND(K2044*(1-_xlfn.SINGLE(T2GDiscount))*-1,2)," CREDIT after discount"),IF(_xlfn.SINGLE(T2GDiscount)=0,"",IF(G2044=0,"",IF(F2044="Buy",CONCATENATE("$",ROUND(K2044*(1-_xlfn.SINGLE(T2GDiscount)),2)," with ",(_xlfn.SINGLE(T2GDiscount)*100),"% discount"),CONCATENATE("$",ROUND(K2044*(1-_xlfn.SINGLE(T2GDiscount)),2)," with ",((_xlfn.SINGLE(T2GDiscount)*100+F2044*100)-(_xlfn.SINGLE(T2GDiscount)*100*F2044)),IF(F2044&gt;0,"% discounts",IF(_xlfn.SINGLE(NoWarrantyDiscount)&gt;0,"% discounts","% discount")))))))))</f>
        <v/>
      </c>
      <c r="N2044" s="690"/>
      <c r="O2044" s="486"/>
      <c r="P2044" s="486"/>
      <c r="Q2044" s="486"/>
      <c r="R2044" s="486"/>
      <c r="S2044" s="486"/>
      <c r="T2044" s="102">
        <f t="shared" si="1417"/>
        <v>0</v>
      </c>
      <c r="U2044" s="78">
        <f>IF(NOT(ISNUMBER(G2044)), "", VLOOKUP(A2044,'Discount Lookup'!D:E,2,FALSE)*G2044)</f>
        <v>0</v>
      </c>
      <c r="V2044" s="78">
        <f>IF(NOT(ISNUMBER(G2044)), "", VLOOKUP(A2044,'Discount Lookup'!G:H,2,FALSE)*G2044)</f>
        <v>0</v>
      </c>
      <c r="W2044" s="102">
        <f t="shared" si="1418"/>
        <v>0</v>
      </c>
      <c r="X2044" s="102">
        <f t="shared" si="1419"/>
        <v>0</v>
      </c>
      <c r="Y2044" s="120" t="b">
        <f t="shared" si="1420"/>
        <v>0</v>
      </c>
      <c r="Z2044" s="117">
        <f t="shared" si="1421"/>
        <v>0</v>
      </c>
      <c r="AA2044" s="118"/>
      <c r="AB2044" s="118" t="str">
        <f t="shared" si="1422"/>
        <v/>
      </c>
      <c r="AC2044" s="712" t="str">
        <f>IF(AE2044="T2G","no charge",IF(AND(OR(PlanterYesMe="No",PlanterYesMe="N",PlanterYesMe="me"),H2044=""),"",IF(H2044="credit","NO install",IF(AND(K2044="",AE2044="me"),"EACH row",IF(AND(K2044="images",AE2044="me"),"EACH row",IF(D2044="","",IF(H2044="credit","",IF(AE2044="free","re-planting",IF(AE2044="me","   not ELP, by",IF(AND(OR(PlanterYesMe="Yes",PlanterYesMe="Y"),G2044&gt;0),(VLOOKUP(A2044,'Discount Lookup'!J:K,2)*G2044*(1-PlanterDiscount)*(1+PlanterDifficultyPercentage)),IF(AE2044="ELP",(VLOOKUP(A2044,'Discount Lookup'!J:K,2)*G2044*(1-PlanterDiscount)*(1+PlanterDifficultyPercentage)),IF(AE2044="free","re-planting",IF(G2044=0,"",IF(PlanterYesMe="",IF(AE2044="me","   not ELP, by",IF(AE2044="",IF(G2044&gt;0,(VLOOKUP(A2044,'Discount Lookup'!J:K,2)*G2044*(1-PlanterDiscount)*(1+PlanterDifficultyPercentage)),""),"")),"   not ELP, by"))))))))))))))</f>
        <v/>
      </c>
      <c r="AD2044" s="712"/>
      <c r="AE2044" s="513" t="str">
        <f t="shared" si="1423"/>
        <v/>
      </c>
      <c r="AF2044" s="713" t="str">
        <f t="shared" si="1424"/>
        <v/>
      </c>
      <c r="AG2044" s="713"/>
      <c r="AH2044" s="713"/>
      <c r="AI2044" s="112">
        <f>IF(H2044="credit",0,IF(AE2044="free",0,IF(AE2044="me",0,IF(G2044&gt;0,(VLOOKUP(A2044,'Discount Lookup'!J:K,2)*G2044),0))))</f>
        <v>0</v>
      </c>
      <c r="AJ2044" s="107" t="str">
        <f t="shared" ca="1" si="1425"/>
        <v/>
      </c>
      <c r="AK2044" s="714" t="str">
        <f t="shared" si="1426"/>
        <v/>
      </c>
      <c r="AL2044" s="714"/>
      <c r="AM2044" s="114" t="str">
        <f t="shared" si="1427"/>
        <v/>
      </c>
      <c r="AN2044" s="115"/>
      <c r="AO2044" s="116"/>
      <c r="AP2044" s="116"/>
      <c r="AQ2044" s="116"/>
      <c r="AR2044" s="116"/>
      <c r="AS2044" s="116"/>
      <c r="AT2044" s="116"/>
      <c r="AU2044" s="116"/>
      <c r="AV2044" s="78"/>
      <c r="AW2044" s="102"/>
      <c r="AX2044" s="78"/>
      <c r="AY2044" s="78"/>
      <c r="AZ2044" s="78"/>
      <c r="BA2044" s="78"/>
      <c r="BB2044" s="78"/>
      <c r="BC2044" s="78"/>
      <c r="BD2044" s="78"/>
      <c r="BE2044" s="465"/>
      <c r="BF2044" s="165" t="str">
        <f t="shared" si="1428"/>
        <v>https://www.google.com/search?tbm=isch&amp;q=7%20G4</v>
      </c>
      <c r="BG2044" s="165" t="str">
        <f t="shared" si="1429"/>
        <v>H</v>
      </c>
      <c r="BH2044" s="65"/>
      <c r="BI2044" s="65"/>
      <c r="BJ2044" s="65"/>
      <c r="BK2044" s="65"/>
      <c r="BL2044" s="99"/>
      <c r="BM2044" s="99"/>
      <c r="BN2044" s="99"/>
    </row>
    <row r="2045" spans="1:66" s="51" customFormat="1" ht="15.75" x14ac:dyDescent="0.25">
      <c r="A2045" s="634">
        <v>7</v>
      </c>
      <c r="B2045" s="635" t="s">
        <v>291</v>
      </c>
      <c r="C2045" s="636" t="s">
        <v>2856</v>
      </c>
      <c r="D2045" s="637" t="s">
        <v>309</v>
      </c>
      <c r="E2045" s="638">
        <v>119.95</v>
      </c>
      <c r="F2045" s="639" t="s">
        <v>292</v>
      </c>
      <c r="G2045" s="484">
        <v>0</v>
      </c>
      <c r="H2045" s="691" t="str">
        <f>IF(G2045=0,"",IF(F2045="Buy",IF(G2045=1,"plant","plants"),IF(F2045&gt;0.01,"warranty","Error")))</f>
        <v/>
      </c>
      <c r="I2045" s="640">
        <f>IF(H2045="free",0,IF(H2045="credit",((E2045*(F2045))*G2045*-1),IF(F2045="Buy",(E2045*G2045),((E2045*(1-F2045))*G2045))))</f>
        <v>0</v>
      </c>
      <c r="J2045" s="640">
        <f>IF(H2045="warranty",0,(I2045*(_xlfn.SINGLE(SalesTaxPercentage))))</f>
        <v>0</v>
      </c>
      <c r="K2045" s="716">
        <f t="shared" ref="K2045" si="1464">I2045+J2045</f>
        <v>0</v>
      </c>
      <c r="L2045" s="716"/>
      <c r="M2045" s="689" t="str">
        <f ca="1">IF(AND(G2045&gt;0,E2045=0),"WARNING - no PRICE inserted",IF(H2045="free","FREE ~ no charge this plant",IF(H2045="credit",CONCATENATE("-$",ROUND(K2045*(1-_xlfn.SINGLE(T2GDiscount))*-1,2)," CREDIT after discount"),IF(_xlfn.SINGLE(T2GDiscount)=0,"",IF(G2045=0,"",IF(F2045="Buy",CONCATENATE("$",ROUND(K2045*(1-_xlfn.SINGLE(T2GDiscount)),2)," with ",(_xlfn.SINGLE(T2GDiscount)*100),"% discount"),CONCATENATE("$",ROUND(K2045*(1-_xlfn.SINGLE(T2GDiscount)),2)," with ",((_xlfn.SINGLE(T2GDiscount)*100+F2045*100)-(_xlfn.SINGLE(T2GDiscount)*100*F2045)),IF(F2045&gt;0,"% discounts",IF(_xlfn.SINGLE(NoWarrantyDiscount)&gt;0,"% discounts","% discount")))))))))</f>
        <v/>
      </c>
      <c r="N2045" s="690"/>
      <c r="O2045" s="486"/>
      <c r="P2045" s="486"/>
      <c r="Q2045" s="486"/>
      <c r="R2045" s="486"/>
      <c r="S2045" s="486"/>
      <c r="T2045" s="102">
        <f t="shared" si="1417"/>
        <v>0</v>
      </c>
      <c r="U2045" s="78">
        <f>IF(NOT(ISNUMBER(G2045)), "", VLOOKUP(A2045,'Discount Lookup'!D:E,2,FALSE)*G2045)</f>
        <v>0</v>
      </c>
      <c r="V2045" s="78">
        <f>IF(NOT(ISNUMBER(G2045)), "", VLOOKUP(A2045,'Discount Lookup'!G:H,2,FALSE)*G2045)</f>
        <v>0</v>
      </c>
      <c r="W2045" s="102">
        <f t="shared" si="1418"/>
        <v>0</v>
      </c>
      <c r="X2045" s="102">
        <f t="shared" si="1419"/>
        <v>0</v>
      </c>
      <c r="Y2045" s="120" t="b">
        <f t="shared" si="1420"/>
        <v>0</v>
      </c>
      <c r="Z2045" s="117">
        <f t="shared" si="1421"/>
        <v>0</v>
      </c>
      <c r="AA2045" s="118"/>
      <c r="AB2045" s="118" t="str">
        <f t="shared" si="1422"/>
        <v/>
      </c>
      <c r="AC2045" s="712" t="str">
        <f>IF(AE2045="T2G","no charge",IF(AND(OR(PlanterYesMe="No",PlanterYesMe="N",PlanterYesMe="me"),H2045=""),"",IF(H2045="credit","NO install",IF(AND(K2045="",AE2045="me"),"EACH row",IF(AND(K2045="images",AE2045="me"),"EACH row",IF(D2045="","",IF(H2045="credit","",IF(AE2045="free","re-planting",IF(AE2045="me","   not ELP, by",IF(AND(OR(PlanterYesMe="Yes",PlanterYesMe="Y"),G2045&gt;0),(VLOOKUP(A2045,'Discount Lookup'!J:K,2)*G2045*(1-PlanterDiscount)*(1+PlanterDifficultyPercentage)),IF(AE2045="ELP",(VLOOKUP(A2045,'Discount Lookup'!J:K,2)*G2045*(1-PlanterDiscount)*(1+PlanterDifficultyPercentage)),IF(AE2045="free","re-planting",IF(G2045=0,"",IF(PlanterYesMe="",IF(AE2045="me","   not ELP, by",IF(AE2045="",IF(G2045&gt;0,(VLOOKUP(A2045,'Discount Lookup'!J:K,2)*G2045*(1-PlanterDiscount)*(1+PlanterDifficultyPercentage)),""),"")),"   not ELP, by"))))))))))))))</f>
        <v/>
      </c>
      <c r="AD2045" s="712"/>
      <c r="AE2045" s="513" t="str">
        <f t="shared" si="1423"/>
        <v/>
      </c>
      <c r="AF2045" s="713" t="str">
        <f t="shared" si="1424"/>
        <v/>
      </c>
      <c r="AG2045" s="713"/>
      <c r="AH2045" s="713"/>
      <c r="AI2045" s="112">
        <f>IF(H2045="credit",0,IF(AE2045="free",0,IF(AE2045="me",0,IF(G2045&gt;0,(VLOOKUP(A2045,'Discount Lookup'!J:K,2)*G2045),0))))</f>
        <v>0</v>
      </c>
      <c r="AJ2045" s="107" t="str">
        <f t="shared" ca="1" si="1425"/>
        <v/>
      </c>
      <c r="AK2045" s="714" t="str">
        <f t="shared" si="1426"/>
        <v/>
      </c>
      <c r="AL2045" s="714"/>
      <c r="AM2045" s="114" t="str">
        <f t="shared" si="1427"/>
        <v/>
      </c>
      <c r="AN2045" s="115"/>
      <c r="AO2045" s="116"/>
      <c r="AP2045" s="116"/>
      <c r="AQ2045" s="116"/>
      <c r="AR2045" s="116"/>
      <c r="AS2045" s="116"/>
      <c r="AT2045" s="116"/>
      <c r="AU2045" s="116"/>
      <c r="AV2045" s="78"/>
      <c r="AW2045" s="102"/>
      <c r="AX2045" s="78"/>
      <c r="AY2045" s="78"/>
      <c r="AZ2045" s="78"/>
      <c r="BA2045" s="78"/>
      <c r="BB2045" s="78"/>
      <c r="BC2045" s="78"/>
      <c r="BD2045" s="78"/>
      <c r="BE2045" s="465"/>
      <c r="BF2045" s="165" t="str">
        <f t="shared" si="1428"/>
        <v>https://www.google.com/search?tbm=isch&amp;q=7%20G3</v>
      </c>
      <c r="BG2045" s="165" t="str">
        <f t="shared" si="1429"/>
        <v>H</v>
      </c>
      <c r="BH2045" s="65"/>
      <c r="BI2045" s="65"/>
      <c r="BJ2045" s="65"/>
      <c r="BK2045" s="65"/>
      <c r="BL2045" s="99"/>
      <c r="BM2045" s="99"/>
      <c r="BN2045" s="99"/>
    </row>
    <row r="2046" spans="1:66" s="51" customFormat="1" ht="17.25" thickBot="1" x14ac:dyDescent="0.3">
      <c r="A2046" s="641" t="s">
        <v>4755</v>
      </c>
      <c r="B2046" s="642"/>
      <c r="C2046" s="710"/>
      <c r="D2046" s="643"/>
      <c r="E2046" s="643"/>
      <c r="F2046" s="644"/>
      <c r="G2046" s="645"/>
      <c r="H2046" s="646"/>
      <c r="I2046" s="647"/>
      <c r="J2046" s="648"/>
      <c r="K2046" s="649"/>
      <c r="L2046" s="650"/>
      <c r="M2046" s="650"/>
      <c r="N2046" s="644"/>
      <c r="O2046" s="644"/>
      <c r="P2046" s="644"/>
      <c r="Q2046" s="644"/>
      <c r="R2046" s="644"/>
      <c r="S2046" s="651"/>
      <c r="T2046" s="102">
        <f t="shared" si="1417"/>
        <v>0</v>
      </c>
      <c r="U2046" s="78" t="str">
        <f>IF(NOT(ISNUMBER(G2046)), "", VLOOKUP(A2046,'Discount Lookup'!D:E,2,FALSE)*G2046)</f>
        <v/>
      </c>
      <c r="V2046" s="78" t="str">
        <f>IF(NOT(ISNUMBER(G2046)), "", VLOOKUP(A2046,'Discount Lookup'!G:H,2,FALSE)*G2046)</f>
        <v/>
      </c>
      <c r="W2046" s="102">
        <f t="shared" si="1418"/>
        <v>0</v>
      </c>
      <c r="X2046" s="102">
        <f t="shared" si="1419"/>
        <v>0</v>
      </c>
      <c r="Y2046" s="120" t="b">
        <f t="shared" si="1420"/>
        <v>0</v>
      </c>
      <c r="Z2046" s="117">
        <f t="shared" si="1421"/>
        <v>0</v>
      </c>
      <c r="AA2046" s="118"/>
      <c r="AB2046" s="118" t="str">
        <f t="shared" si="1422"/>
        <v/>
      </c>
      <c r="AC2046" s="712" t="str">
        <f>IF(AE2046="T2G","no charge",IF(AND(OR(PlanterYesMe="No",PlanterYesMe="N",PlanterYesMe="me"),H2046=""),"",IF(H2046="credit","NO install",IF(AND(K2046="",AE2046="me"),"EACH row",IF(AND(K2046="images",AE2046="me"),"EACH row",IF(D2046="","",IF(H2046="credit","",IF(AE2046="free","re-planting",IF(AE2046="me","   not ELP, by",IF(AND(OR(PlanterYesMe="Yes",PlanterYesMe="Y"),G2046&gt;0),(VLOOKUP(A2046,'Discount Lookup'!J:K,2)*G2046*(1-PlanterDiscount)*(1+PlanterDifficultyPercentage)),IF(AE2046="ELP",(VLOOKUP(A2046,'Discount Lookup'!J:K,2)*G2046*(1-PlanterDiscount)*(1+PlanterDifficultyPercentage)),IF(AE2046="free","re-planting",IF(G2046=0,"",IF(PlanterYesMe="",IF(AE2046="me","   not ELP, by",IF(AE2046="",IF(G2046&gt;0,(VLOOKUP(A2046,'Discount Lookup'!J:K,2)*G2046*(1-PlanterDiscount)*(1+PlanterDifficultyPercentage)),""),"")),"   not ELP, by"))))))))))))))</f>
        <v/>
      </c>
      <c r="AD2046" s="712"/>
      <c r="AE2046" s="513" t="str">
        <f t="shared" si="1423"/>
        <v/>
      </c>
      <c r="AF2046" s="713" t="str">
        <f t="shared" si="1424"/>
        <v/>
      </c>
      <c r="AG2046" s="713"/>
      <c r="AH2046" s="713"/>
      <c r="AI2046" s="112">
        <f>IF(H2046="credit",0,IF(AE2046="free",0,IF(AE2046="me",0,IF(G2046&gt;0,(VLOOKUP(A2046,'Discount Lookup'!J:K,2)*G2046),0))))</f>
        <v>0</v>
      </c>
      <c r="AJ2046" s="107" t="str">
        <f t="shared" ca="1" si="1425"/>
        <v/>
      </c>
      <c r="AK2046" s="714" t="str">
        <f t="shared" si="1426"/>
        <v/>
      </c>
      <c r="AL2046" s="714"/>
      <c r="AM2046" s="114" t="str">
        <f t="shared" si="1427"/>
        <v/>
      </c>
      <c r="AN2046" s="115"/>
      <c r="AO2046" s="116"/>
      <c r="AP2046" s="116"/>
      <c r="AQ2046" s="116"/>
      <c r="AR2046" s="116"/>
      <c r="AS2046" s="116"/>
      <c r="AT2046" s="116"/>
      <c r="AU2046" s="116"/>
      <c r="AV2046" s="78"/>
      <c r="AW2046" s="102"/>
      <c r="AX2046" s="78"/>
      <c r="AY2046" s="78"/>
      <c r="AZ2046" s="78"/>
      <c r="BA2046" s="78"/>
      <c r="BB2046" s="78"/>
      <c r="BC2046" s="78"/>
      <c r="BD2046" s="78"/>
      <c r="BE2046" s="465"/>
      <c r="BF2046" s="165" t="str">
        <f t="shared" si="1428"/>
        <v>https://www.google.com/search?tbm=isch&amp;q=Vanilla%20Strawberry%20has%20Green%20foliage.%20All%20%22Hardy%22%20Hydrangea%20have%20cone-shaped%20flowers%20on%20new%20wood.%20Flowers%20change%20color%20with%20age.%20Extremely%20cold-hardy%20</v>
      </c>
      <c r="BG2046" s="165" t="str">
        <f t="shared" si="1429"/>
        <v>V</v>
      </c>
      <c r="BH2046" s="65"/>
      <c r="BI2046" s="65"/>
      <c r="BJ2046" s="65"/>
      <c r="BK2046" s="65"/>
      <c r="BL2046" s="99"/>
      <c r="BM2046" s="99"/>
      <c r="BN2046" s="99"/>
    </row>
    <row r="2047" spans="1:66" s="51" customFormat="1" ht="18" x14ac:dyDescent="0.25">
      <c r="A2047" s="623" t="s">
        <v>2857</v>
      </c>
      <c r="B2047" s="624"/>
      <c r="C2047" s="709"/>
      <c r="D2047" s="625" t="s">
        <v>5697</v>
      </c>
      <c r="E2047" s="626"/>
      <c r="F2047" s="626"/>
      <c r="G2047" s="626"/>
      <c r="H2047" s="622" t="s">
        <v>1264</v>
      </c>
      <c r="I2047" s="627" t="s">
        <v>2853</v>
      </c>
      <c r="J2047" s="628"/>
      <c r="K2047" s="628"/>
      <c r="L2047" s="629"/>
      <c r="M2047" s="700" t="s">
        <v>5249</v>
      </c>
      <c r="N2047" s="693" t="str">
        <f>IF(AND(ISTEXT($A2047), ISERROR($A2047+0)), HYPERLINK($BF2047, "Images"), "")</f>
        <v>Images</v>
      </c>
      <c r="O2047" s="695" t="s">
        <v>5247</v>
      </c>
      <c r="P2047" s="630"/>
      <c r="Q2047" s="631"/>
      <c r="R2047" s="632"/>
      <c r="S2047" s="633"/>
      <c r="T2047" s="102">
        <f t="shared" si="1417"/>
        <v>0</v>
      </c>
      <c r="U2047" s="78" t="str">
        <f>IF(NOT(ISNUMBER(G2047)), "", VLOOKUP(A2047,'Discount Lookup'!D:E,2,FALSE)*G2047)</f>
        <v/>
      </c>
      <c r="V2047" s="78" t="str">
        <f>IF(NOT(ISNUMBER(G2047)), "", VLOOKUP(A2047,'Discount Lookup'!G:H,2,FALSE)*G2047)</f>
        <v/>
      </c>
      <c r="W2047" s="102">
        <f t="shared" si="1418"/>
        <v>0</v>
      </c>
      <c r="X2047" s="102" t="str">
        <f t="shared" si="1419"/>
        <v>White ages to Pink-Red</v>
      </c>
      <c r="Y2047" s="120" t="b">
        <f t="shared" si="1420"/>
        <v>0</v>
      </c>
      <c r="Z2047" s="117">
        <f t="shared" si="1421"/>
        <v>0</v>
      </c>
      <c r="AA2047" s="118"/>
      <c r="AB2047" s="118" t="str">
        <f t="shared" si="1422"/>
        <v/>
      </c>
      <c r="AC2047" s="712" t="str">
        <f>IF(AE2047="T2G","no charge",IF(AND(OR(PlanterYesMe="No",PlanterYesMe="N",PlanterYesMe="me"),H2047=""),"",IF(H2047="credit","NO install",IF(AND(K2047="",AE2047="me"),"EACH row",IF(AND(K2047="images",AE2047="me"),"EACH row",IF(D2047="","",IF(H2047="credit","",IF(AE2047="free","re-planting",IF(AE2047="me","   not ELP, by",IF(AND(OR(PlanterYesMe="Yes",PlanterYesMe="Y"),G2047&gt;0),(VLOOKUP(A2047,'Discount Lookup'!J:K,2)*G2047*(1-PlanterDiscount)*(1+PlanterDifficultyPercentage)),IF(AE2047="ELP",(VLOOKUP(A2047,'Discount Lookup'!J:K,2)*G2047*(1-PlanterDiscount)*(1+PlanterDifficultyPercentage)),IF(AE2047="free","re-planting",IF(G2047=0,"",IF(PlanterYesMe="",IF(AE2047="me","   not ELP, by",IF(AE2047="",IF(G2047&gt;0,(VLOOKUP(A2047,'Discount Lookup'!J:K,2)*G2047*(1-PlanterDiscount)*(1+PlanterDifficultyPercentage)),""),"")),"   not ELP, by"))))))))))))))</f>
        <v/>
      </c>
      <c r="AD2047" s="712"/>
      <c r="AE2047" s="513" t="str">
        <f t="shared" si="1423"/>
        <v/>
      </c>
      <c r="AF2047" s="713" t="str">
        <f t="shared" si="1424"/>
        <v/>
      </c>
      <c r="AG2047" s="713"/>
      <c r="AH2047" s="713"/>
      <c r="AI2047" s="112">
        <f>IF(H2047="credit",0,IF(AE2047="free",0,IF(AE2047="me",0,IF(G2047&gt;0,(VLOOKUP(A2047,'Discount Lookup'!J:K,2)*G2047),0))))</f>
        <v>0</v>
      </c>
      <c r="AJ2047" s="107" t="str">
        <f t="shared" ca="1" si="1425"/>
        <v/>
      </c>
      <c r="AK2047" s="714" t="str">
        <f t="shared" si="1426"/>
        <v/>
      </c>
      <c r="AL2047" s="714"/>
      <c r="AM2047" s="114" t="str">
        <f t="shared" si="1427"/>
        <v/>
      </c>
      <c r="AN2047" s="115"/>
      <c r="AO2047" s="116"/>
      <c r="AP2047" s="116"/>
      <c r="AQ2047" s="116"/>
      <c r="AR2047" s="116"/>
      <c r="AS2047" s="116"/>
      <c r="AT2047" s="116"/>
      <c r="AU2047" s="116"/>
      <c r="AV2047" s="78"/>
      <c r="AW2047" s="102"/>
      <c r="AX2047" s="78"/>
      <c r="AY2047" s="78"/>
      <c r="AZ2047" s="78"/>
      <c r="BA2047" s="78"/>
      <c r="BB2047" s="78"/>
      <c r="BC2047" s="78"/>
      <c r="BD2047" s="78"/>
      <c r="BE2047" s="465"/>
      <c r="BF2047" s="165" t="str">
        <f t="shared" si="1428"/>
        <v>https://www.google.com/search?tbm=isch&amp;q=Hyd.%20paniculata%20%27SMHPFL%27%20PP%2325135%20Fire%20Light%C2%AE%20Hydrangea</v>
      </c>
      <c r="BG2047" s="165" t="str">
        <f t="shared" si="1429"/>
        <v>H</v>
      </c>
      <c r="BH2047" s="65"/>
      <c r="BI2047" s="65"/>
      <c r="BJ2047" s="65"/>
      <c r="BK2047" s="65"/>
      <c r="BL2047" s="99"/>
      <c r="BM2047" s="99"/>
      <c r="BN2047" s="99"/>
    </row>
    <row r="2048" spans="1:66" s="51" customFormat="1" ht="15.75" x14ac:dyDescent="0.25">
      <c r="A2048" s="634">
        <v>7</v>
      </c>
      <c r="B2048" s="635" t="s">
        <v>291</v>
      </c>
      <c r="C2048" s="636" t="s">
        <v>2858</v>
      </c>
      <c r="D2048" s="637" t="s">
        <v>299</v>
      </c>
      <c r="E2048" s="638">
        <v>95.95</v>
      </c>
      <c r="F2048" s="639" t="s">
        <v>292</v>
      </c>
      <c r="G2048" s="484">
        <v>0</v>
      </c>
      <c r="H2048" s="691" t="str">
        <f>IF(G2048=0,"",IF(F2048="Buy",IF(G2048=1,"plant","plants"),IF(F2048&gt;0.01,"warranty","Error")))</f>
        <v/>
      </c>
      <c r="I2048" s="640">
        <f>IF(H2048="free",0,IF(H2048="credit",((E2048*(F2048))*G2048*-1),IF(F2048="Buy",(E2048*G2048),((E2048*(1-F2048))*G2048))))</f>
        <v>0</v>
      </c>
      <c r="J2048" s="640">
        <f>IF(H2048="warranty",0,(I2048*(_xlfn.SINGLE(SalesTaxPercentage))))</f>
        <v>0</v>
      </c>
      <c r="K2048" s="716">
        <f t="shared" ref="K2048" si="1465">I2048+J2048</f>
        <v>0</v>
      </c>
      <c r="L2048" s="716"/>
      <c r="M2048" s="689" t="str">
        <f ca="1">IF(AND(G2048&gt;0,E2048=0),"WARNING - no PRICE inserted",IF(H2048="free","FREE ~ no charge this plant",IF(H2048="credit",CONCATENATE("-$",ROUND(K2048*(1-_xlfn.SINGLE(T2GDiscount))*-1,2)," CREDIT after discount"),IF(_xlfn.SINGLE(T2GDiscount)=0,"",IF(G2048=0,"",IF(F2048="Buy",CONCATENATE("$",ROUND(K2048*(1-_xlfn.SINGLE(T2GDiscount)),2)," with ",(_xlfn.SINGLE(T2GDiscount)*100),"% discount"),CONCATENATE("$",ROUND(K2048*(1-_xlfn.SINGLE(T2GDiscount)),2)," with ",((_xlfn.SINGLE(T2GDiscount)*100+F2048*100)-(_xlfn.SINGLE(T2GDiscount)*100*F2048)),IF(F2048&gt;0,"% discounts",IF(_xlfn.SINGLE(NoWarrantyDiscount)&gt;0,"% discounts","% discount")))))))))</f>
        <v/>
      </c>
      <c r="N2048" s="690"/>
      <c r="O2048" s="486"/>
      <c r="P2048" s="486"/>
      <c r="Q2048" s="486"/>
      <c r="R2048" s="486"/>
      <c r="S2048" s="486"/>
      <c r="T2048" s="102">
        <f t="shared" si="1417"/>
        <v>0</v>
      </c>
      <c r="U2048" s="78">
        <f>IF(NOT(ISNUMBER(G2048)), "", VLOOKUP(A2048,'Discount Lookup'!D:E,2,FALSE)*G2048)</f>
        <v>0</v>
      </c>
      <c r="V2048" s="78">
        <f>IF(NOT(ISNUMBER(G2048)), "", VLOOKUP(A2048,'Discount Lookup'!G:H,2,FALSE)*G2048)</f>
        <v>0</v>
      </c>
      <c r="W2048" s="102">
        <f t="shared" si="1418"/>
        <v>0</v>
      </c>
      <c r="X2048" s="102">
        <f t="shared" si="1419"/>
        <v>0</v>
      </c>
      <c r="Y2048" s="120" t="b">
        <f t="shared" si="1420"/>
        <v>0</v>
      </c>
      <c r="Z2048" s="117">
        <f t="shared" si="1421"/>
        <v>0</v>
      </c>
      <c r="AA2048" s="118"/>
      <c r="AB2048" s="118" t="str">
        <f t="shared" si="1422"/>
        <v/>
      </c>
      <c r="AC2048" s="712" t="str">
        <f>IF(AE2048="T2G","no charge",IF(AND(OR(PlanterYesMe="No",PlanterYesMe="N",PlanterYesMe="me"),H2048=""),"",IF(H2048="credit","NO install",IF(AND(K2048="",AE2048="me"),"EACH row",IF(AND(K2048="images",AE2048="me"),"EACH row",IF(D2048="","",IF(H2048="credit","",IF(AE2048="free","re-planting",IF(AE2048="me","   not ELP, by",IF(AND(OR(PlanterYesMe="Yes",PlanterYesMe="Y"),G2048&gt;0),(VLOOKUP(A2048,'Discount Lookup'!J:K,2)*G2048*(1-PlanterDiscount)*(1+PlanterDifficultyPercentage)),IF(AE2048="ELP",(VLOOKUP(A2048,'Discount Lookup'!J:K,2)*G2048*(1-PlanterDiscount)*(1+PlanterDifficultyPercentage)),IF(AE2048="free","re-planting",IF(G2048=0,"",IF(PlanterYesMe="",IF(AE2048="me","   not ELP, by",IF(AE2048="",IF(G2048&gt;0,(VLOOKUP(A2048,'Discount Lookup'!J:K,2)*G2048*(1-PlanterDiscount)*(1+PlanterDifficultyPercentage)),""),"")),"   not ELP, by"))))))))))))))</f>
        <v/>
      </c>
      <c r="AD2048" s="712"/>
      <c r="AE2048" s="513" t="str">
        <f t="shared" si="1423"/>
        <v/>
      </c>
      <c r="AF2048" s="713" t="str">
        <f t="shared" si="1424"/>
        <v/>
      </c>
      <c r="AG2048" s="713"/>
      <c r="AH2048" s="713"/>
      <c r="AI2048" s="112">
        <f>IF(H2048="credit",0,IF(AE2048="free",0,IF(AE2048="me",0,IF(G2048&gt;0,(VLOOKUP(A2048,'Discount Lookup'!J:K,2)*G2048),0))))</f>
        <v>0</v>
      </c>
      <c r="AJ2048" s="107" t="str">
        <f t="shared" ca="1" si="1425"/>
        <v/>
      </c>
      <c r="AK2048" s="714" t="str">
        <f t="shared" si="1426"/>
        <v/>
      </c>
      <c r="AL2048" s="714"/>
      <c r="AM2048" s="114" t="str">
        <f t="shared" si="1427"/>
        <v/>
      </c>
      <c r="AN2048" s="115"/>
      <c r="AO2048" s="116"/>
      <c r="AP2048" s="116"/>
      <c r="AQ2048" s="116"/>
      <c r="AR2048" s="116"/>
      <c r="AS2048" s="116"/>
      <c r="AT2048" s="116"/>
      <c r="AU2048" s="116"/>
      <c r="AV2048" s="78"/>
      <c r="AW2048" s="102"/>
      <c r="AX2048" s="78"/>
      <c r="AY2048" s="78"/>
      <c r="AZ2048" s="78"/>
      <c r="BA2048" s="78"/>
      <c r="BB2048" s="78"/>
      <c r="BC2048" s="78"/>
      <c r="BD2048" s="78"/>
      <c r="BE2048" s="465"/>
      <c r="BF2048" s="165" t="str">
        <f t="shared" si="1428"/>
        <v>https://www.google.com/search?tbm=isch&amp;q=7%20G4</v>
      </c>
      <c r="BG2048" s="165" t="str">
        <f t="shared" si="1429"/>
        <v>H</v>
      </c>
      <c r="BH2048" s="65"/>
      <c r="BI2048" s="65"/>
      <c r="BJ2048" s="65"/>
      <c r="BK2048" s="65"/>
      <c r="BL2048" s="99"/>
      <c r="BM2048" s="99"/>
      <c r="BN2048" s="99"/>
    </row>
    <row r="2049" spans="1:66" s="51" customFormat="1" ht="15.75" x14ac:dyDescent="0.25">
      <c r="A2049" s="634">
        <v>7</v>
      </c>
      <c r="B2049" s="635" t="s">
        <v>291</v>
      </c>
      <c r="C2049" s="636" t="s">
        <v>12</v>
      </c>
      <c r="D2049" s="637" t="s">
        <v>329</v>
      </c>
      <c r="E2049" s="638">
        <v>153.94999999999999</v>
      </c>
      <c r="F2049" s="639" t="s">
        <v>292</v>
      </c>
      <c r="G2049" s="484">
        <v>0</v>
      </c>
      <c r="H2049" s="691" t="str">
        <f>IF(G2049=0,"",IF(F2049="Buy",IF(G2049=1,"plant","plants"),IF(F2049&gt;0.01,"warranty","Error")))</f>
        <v/>
      </c>
      <c r="I2049" s="640">
        <f>IF(H2049="free",0,IF(H2049="credit",((E2049*(F2049))*G2049*-1),IF(F2049="Buy",(E2049*G2049),((E2049*(1-F2049))*G2049))))</f>
        <v>0</v>
      </c>
      <c r="J2049" s="640">
        <f>IF(H2049="warranty",0,(I2049*(_xlfn.SINGLE(SalesTaxPercentage))))</f>
        <v>0</v>
      </c>
      <c r="K2049" s="716">
        <f t="shared" ref="K2049" si="1466">I2049+J2049</f>
        <v>0</v>
      </c>
      <c r="L2049" s="716"/>
      <c r="M2049" s="689" t="str">
        <f ca="1">IF(AND(G2049&gt;0,E2049=0),"WARNING - no PRICE inserted",IF(H2049="free","FREE ~ no charge this plant",IF(H2049="credit",CONCATENATE("-$",ROUND(K2049*(1-_xlfn.SINGLE(T2GDiscount))*-1,2)," CREDIT after discount"),IF(_xlfn.SINGLE(T2GDiscount)=0,"",IF(G2049=0,"",IF(F2049="Buy",CONCATENATE("$",ROUND(K2049*(1-_xlfn.SINGLE(T2GDiscount)),2)," with ",(_xlfn.SINGLE(T2GDiscount)*100),"% discount"),CONCATENATE("$",ROUND(K2049*(1-_xlfn.SINGLE(T2GDiscount)),2)," with ",((_xlfn.SINGLE(T2GDiscount)*100+F2049*100)-(_xlfn.SINGLE(T2GDiscount)*100*F2049)),IF(F2049&gt;0,"% discounts",IF(_xlfn.SINGLE(NoWarrantyDiscount)&gt;0,"% discounts","% discount")))))))))</f>
        <v/>
      </c>
      <c r="N2049" s="690"/>
      <c r="O2049" s="486"/>
      <c r="P2049" s="486"/>
      <c r="Q2049" s="486"/>
      <c r="R2049" s="486"/>
      <c r="S2049" s="486"/>
      <c r="T2049" s="102">
        <f t="shared" si="1417"/>
        <v>0</v>
      </c>
      <c r="U2049" s="78">
        <f>IF(NOT(ISNUMBER(G2049)), "", VLOOKUP(A2049,'Discount Lookup'!D:E,2,FALSE)*G2049)</f>
        <v>0</v>
      </c>
      <c r="V2049" s="78">
        <f>IF(NOT(ISNUMBER(G2049)), "", VLOOKUP(A2049,'Discount Lookup'!G:H,2,FALSE)*G2049)</f>
        <v>0</v>
      </c>
      <c r="W2049" s="102">
        <f t="shared" si="1418"/>
        <v>0</v>
      </c>
      <c r="X2049" s="102">
        <f t="shared" si="1419"/>
        <v>0</v>
      </c>
      <c r="Y2049" s="120" t="b">
        <f t="shared" si="1420"/>
        <v>0</v>
      </c>
      <c r="Z2049" s="117">
        <f t="shared" si="1421"/>
        <v>0</v>
      </c>
      <c r="AA2049" s="118"/>
      <c r="AB2049" s="118" t="str">
        <f t="shared" si="1422"/>
        <v/>
      </c>
      <c r="AC2049" s="712" t="str">
        <f>IF(AE2049="T2G","no charge",IF(AND(OR(PlanterYesMe="No",PlanterYesMe="N",PlanterYesMe="me"),H2049=""),"",IF(H2049="credit","NO install",IF(AND(K2049="",AE2049="me"),"EACH row",IF(AND(K2049="images",AE2049="me"),"EACH row",IF(D2049="","",IF(H2049="credit","",IF(AE2049="free","re-planting",IF(AE2049="me","   not ELP, by",IF(AND(OR(PlanterYesMe="Yes",PlanterYesMe="Y"),G2049&gt;0),(VLOOKUP(A2049,'Discount Lookup'!J:K,2)*G2049*(1-PlanterDiscount)*(1+PlanterDifficultyPercentage)),IF(AE2049="ELP",(VLOOKUP(A2049,'Discount Lookup'!J:K,2)*G2049*(1-PlanterDiscount)*(1+PlanterDifficultyPercentage)),IF(AE2049="free","re-planting",IF(G2049=0,"",IF(PlanterYesMe="",IF(AE2049="me","   not ELP, by",IF(AE2049="",IF(G2049&gt;0,(VLOOKUP(A2049,'Discount Lookup'!J:K,2)*G2049*(1-PlanterDiscount)*(1+PlanterDifficultyPercentage)),""),"")),"   not ELP, by"))))))))))))))</f>
        <v/>
      </c>
      <c r="AD2049" s="712"/>
      <c r="AE2049" s="513" t="str">
        <f t="shared" si="1423"/>
        <v/>
      </c>
      <c r="AF2049" s="713" t="str">
        <f t="shared" si="1424"/>
        <v/>
      </c>
      <c r="AG2049" s="713"/>
      <c r="AH2049" s="713"/>
      <c r="AI2049" s="112">
        <f>IF(H2049="credit",0,IF(AE2049="free",0,IF(AE2049="me",0,IF(G2049&gt;0,(VLOOKUP(A2049,'Discount Lookup'!J:K,2)*G2049),0))))</f>
        <v>0</v>
      </c>
      <c r="AJ2049" s="107" t="str">
        <f t="shared" ca="1" si="1425"/>
        <v/>
      </c>
      <c r="AK2049" s="714" t="str">
        <f t="shared" si="1426"/>
        <v/>
      </c>
      <c r="AL2049" s="714"/>
      <c r="AM2049" s="114" t="str">
        <f t="shared" si="1427"/>
        <v/>
      </c>
      <c r="AN2049" s="115"/>
      <c r="AO2049" s="116"/>
      <c r="AP2049" s="116"/>
      <c r="AQ2049" s="116"/>
      <c r="AR2049" s="116"/>
      <c r="AS2049" s="116"/>
      <c r="AT2049" s="116"/>
      <c r="AU2049" s="116"/>
      <c r="AV2049" s="78"/>
      <c r="AW2049" s="102"/>
      <c r="AX2049" s="78"/>
      <c r="AY2049" s="78"/>
      <c r="AZ2049" s="78"/>
      <c r="BA2049" s="78"/>
      <c r="BB2049" s="78"/>
      <c r="BC2049" s="78"/>
      <c r="BD2049" s="78"/>
      <c r="BE2049" s="465"/>
      <c r="BF2049" s="165" t="str">
        <f t="shared" si="1428"/>
        <v>https://www.google.com/search?tbm=isch&amp;q=7%20G2</v>
      </c>
      <c r="BG2049" s="165" t="str">
        <f t="shared" si="1429"/>
        <v>H</v>
      </c>
      <c r="BH2049" s="65"/>
      <c r="BI2049" s="65"/>
      <c r="BJ2049" s="65"/>
      <c r="BK2049" s="65"/>
      <c r="BL2049" s="99"/>
      <c r="BM2049" s="99"/>
      <c r="BN2049" s="99"/>
    </row>
    <row r="2050" spans="1:66" s="51" customFormat="1" ht="17.25" thickBot="1" x14ac:dyDescent="0.3">
      <c r="A2050" s="641" t="s">
        <v>4756</v>
      </c>
      <c r="B2050" s="642"/>
      <c r="C2050" s="710"/>
      <c r="D2050" s="643"/>
      <c r="E2050" s="643"/>
      <c r="F2050" s="644"/>
      <c r="G2050" s="645"/>
      <c r="H2050" s="646"/>
      <c r="I2050" s="647"/>
      <c r="J2050" s="648"/>
      <c r="K2050" s="649"/>
      <c r="L2050" s="650"/>
      <c r="M2050" s="650"/>
      <c r="N2050" s="644"/>
      <c r="O2050" s="644"/>
      <c r="P2050" s="644"/>
      <c r="Q2050" s="644"/>
      <c r="R2050" s="644"/>
      <c r="S2050" s="651"/>
      <c r="T2050" s="102">
        <f t="shared" si="1417"/>
        <v>0</v>
      </c>
      <c r="U2050" s="78" t="str">
        <f>IF(NOT(ISNUMBER(G2050)), "", VLOOKUP(A2050,'Discount Lookup'!D:E,2,FALSE)*G2050)</f>
        <v/>
      </c>
      <c r="V2050" s="78" t="str">
        <f>IF(NOT(ISNUMBER(G2050)), "", VLOOKUP(A2050,'Discount Lookup'!G:H,2,FALSE)*G2050)</f>
        <v/>
      </c>
      <c r="W2050" s="102">
        <f t="shared" si="1418"/>
        <v>0</v>
      </c>
      <c r="X2050" s="102">
        <f t="shared" si="1419"/>
        <v>0</v>
      </c>
      <c r="Y2050" s="120" t="b">
        <f t="shared" si="1420"/>
        <v>0</v>
      </c>
      <c r="Z2050" s="117">
        <f t="shared" si="1421"/>
        <v>0</v>
      </c>
      <c r="AA2050" s="118"/>
      <c r="AB2050" s="118" t="str">
        <f t="shared" si="1422"/>
        <v/>
      </c>
      <c r="AC2050" s="712" t="str">
        <f>IF(AE2050="T2G","no charge",IF(AND(OR(PlanterYesMe="No",PlanterYesMe="N",PlanterYesMe="me"),H2050=""),"",IF(H2050="credit","NO install",IF(AND(K2050="",AE2050="me"),"EACH row",IF(AND(K2050="images",AE2050="me"),"EACH row",IF(D2050="","",IF(H2050="credit","",IF(AE2050="free","re-planting",IF(AE2050="me","   not ELP, by",IF(AND(OR(PlanterYesMe="Yes",PlanterYesMe="Y"),G2050&gt;0),(VLOOKUP(A2050,'Discount Lookup'!J:K,2)*G2050*(1-PlanterDiscount)*(1+PlanterDifficultyPercentage)),IF(AE2050="ELP",(VLOOKUP(A2050,'Discount Lookup'!J:K,2)*G2050*(1-PlanterDiscount)*(1+PlanterDifficultyPercentage)),IF(AE2050="free","re-planting",IF(G2050=0,"",IF(PlanterYesMe="",IF(AE2050="me","   not ELP, by",IF(AE2050="",IF(G2050&gt;0,(VLOOKUP(A2050,'Discount Lookup'!J:K,2)*G2050*(1-PlanterDiscount)*(1+PlanterDifficultyPercentage)),""),"")),"   not ELP, by"))))))))))))))</f>
        <v/>
      </c>
      <c r="AD2050" s="712"/>
      <c r="AE2050" s="513" t="str">
        <f t="shared" si="1423"/>
        <v/>
      </c>
      <c r="AF2050" s="713" t="str">
        <f t="shared" si="1424"/>
        <v/>
      </c>
      <c r="AG2050" s="713"/>
      <c r="AH2050" s="713"/>
      <c r="AI2050" s="112">
        <f>IF(H2050="credit",0,IF(AE2050="free",0,IF(AE2050="me",0,IF(G2050&gt;0,(VLOOKUP(A2050,'Discount Lookup'!J:K,2)*G2050),0))))</f>
        <v>0</v>
      </c>
      <c r="AJ2050" s="107" t="str">
        <f t="shared" ca="1" si="1425"/>
        <v/>
      </c>
      <c r="AK2050" s="714" t="str">
        <f t="shared" si="1426"/>
        <v/>
      </c>
      <c r="AL2050" s="714"/>
      <c r="AM2050" s="114" t="str">
        <f t="shared" si="1427"/>
        <v/>
      </c>
      <c r="AN2050" s="115"/>
      <c r="AO2050" s="116"/>
      <c r="AP2050" s="116"/>
      <c r="AQ2050" s="116"/>
      <c r="AR2050" s="116"/>
      <c r="AS2050" s="116"/>
      <c r="AT2050" s="116"/>
      <c r="AU2050" s="116"/>
      <c r="AV2050" s="78"/>
      <c r="AW2050" s="102"/>
      <c r="AX2050" s="78"/>
      <c r="AY2050" s="78"/>
      <c r="AZ2050" s="78"/>
      <c r="BA2050" s="78"/>
      <c r="BB2050" s="78"/>
      <c r="BC2050" s="78"/>
      <c r="BD2050" s="78"/>
      <c r="BE2050" s="465"/>
      <c r="BF2050" s="165" t="str">
        <f t="shared" si="1428"/>
        <v>https://www.google.com/search?tbm=isch&amp;q=Fire%20Light%20has%20Green%20foliage.%20All%20%22Hardy%22%20Hydrangea%20have%20cone-shaped%20flowers%20on%20new%20wood.%20Flowers%20change%20color%20with%20age.%20Extremely%20cold-hardy%20</v>
      </c>
      <c r="BG2050" s="165" t="str">
        <f t="shared" si="1429"/>
        <v>F</v>
      </c>
      <c r="BH2050" s="65"/>
      <c r="BI2050" s="65"/>
      <c r="BJ2050" s="65"/>
      <c r="BK2050" s="65"/>
      <c r="BL2050" s="99"/>
      <c r="BM2050" s="99"/>
      <c r="BN2050" s="99"/>
    </row>
    <row r="2051" spans="1:66" s="51" customFormat="1" ht="18" x14ac:dyDescent="0.25">
      <c r="A2051" s="623" t="s">
        <v>2859</v>
      </c>
      <c r="B2051" s="624"/>
      <c r="C2051" s="709"/>
      <c r="D2051" s="625" t="s">
        <v>5698</v>
      </c>
      <c r="E2051" s="626"/>
      <c r="F2051" s="626"/>
      <c r="G2051" s="626"/>
      <c r="H2051" s="622" t="s">
        <v>1082</v>
      </c>
      <c r="I2051" s="627" t="s">
        <v>2853</v>
      </c>
      <c r="J2051" s="628"/>
      <c r="K2051" s="628"/>
      <c r="L2051" s="629"/>
      <c r="M2051" s="700" t="s">
        <v>5249</v>
      </c>
      <c r="N2051" s="693" t="str">
        <f>IF(AND(ISTEXT($A2051), ISERROR($A2051+0)), HYPERLINK($BF2051, "Images"), "")</f>
        <v>Images</v>
      </c>
      <c r="O2051" s="695" t="s">
        <v>5247</v>
      </c>
      <c r="P2051" s="630"/>
      <c r="Q2051" s="631"/>
      <c r="R2051" s="632"/>
      <c r="S2051" s="633"/>
      <c r="T2051" s="102">
        <f t="shared" si="1417"/>
        <v>0</v>
      </c>
      <c r="U2051" s="78" t="str">
        <f>IF(NOT(ISNUMBER(G2051)), "", VLOOKUP(A2051,'Discount Lookup'!D:E,2,FALSE)*G2051)</f>
        <v/>
      </c>
      <c r="V2051" s="78" t="str">
        <f>IF(NOT(ISNUMBER(G2051)), "", VLOOKUP(A2051,'Discount Lookup'!G:H,2,FALSE)*G2051)</f>
        <v/>
      </c>
      <c r="W2051" s="102">
        <f t="shared" si="1418"/>
        <v>0</v>
      </c>
      <c r="X2051" s="102" t="str">
        <f t="shared" si="1419"/>
        <v>White ages to Pink-Red</v>
      </c>
      <c r="Y2051" s="120" t="b">
        <f t="shared" si="1420"/>
        <v>0</v>
      </c>
      <c r="Z2051" s="117">
        <f t="shared" si="1421"/>
        <v>0</v>
      </c>
      <c r="AA2051" s="118"/>
      <c r="AB2051" s="118" t="str">
        <f t="shared" si="1422"/>
        <v/>
      </c>
      <c r="AC2051" s="712" t="str">
        <f>IF(AE2051="T2G","no charge",IF(AND(OR(PlanterYesMe="No",PlanterYesMe="N",PlanterYesMe="me"),H2051=""),"",IF(H2051="credit","NO install",IF(AND(K2051="",AE2051="me"),"EACH row",IF(AND(K2051="images",AE2051="me"),"EACH row",IF(D2051="","",IF(H2051="credit","",IF(AE2051="free","re-planting",IF(AE2051="me","   not ELP, by",IF(AND(OR(PlanterYesMe="Yes",PlanterYesMe="Y"),G2051&gt;0),(VLOOKUP(A2051,'Discount Lookup'!J:K,2)*G2051*(1-PlanterDiscount)*(1+PlanterDifficultyPercentage)),IF(AE2051="ELP",(VLOOKUP(A2051,'Discount Lookup'!J:K,2)*G2051*(1-PlanterDiscount)*(1+PlanterDifficultyPercentage)),IF(AE2051="free","re-planting",IF(G2051=0,"",IF(PlanterYesMe="",IF(AE2051="me","   not ELP, by",IF(AE2051="",IF(G2051&gt;0,(VLOOKUP(A2051,'Discount Lookup'!J:K,2)*G2051*(1-PlanterDiscount)*(1+PlanterDifficultyPercentage)),""),"")),"   not ELP, by"))))))))))))))</f>
        <v/>
      </c>
      <c r="AD2051" s="712"/>
      <c r="AE2051" s="513" t="str">
        <f t="shared" si="1423"/>
        <v/>
      </c>
      <c r="AF2051" s="713" t="str">
        <f t="shared" si="1424"/>
        <v/>
      </c>
      <c r="AG2051" s="713"/>
      <c r="AH2051" s="713"/>
      <c r="AI2051" s="112">
        <f>IF(H2051="credit",0,IF(AE2051="free",0,IF(AE2051="me",0,IF(G2051&gt;0,(VLOOKUP(A2051,'Discount Lookup'!J:K,2)*G2051),0))))</f>
        <v>0</v>
      </c>
      <c r="AJ2051" s="107" t="str">
        <f t="shared" ca="1" si="1425"/>
        <v/>
      </c>
      <c r="AK2051" s="714" t="str">
        <f t="shared" si="1426"/>
        <v/>
      </c>
      <c r="AL2051" s="714"/>
      <c r="AM2051" s="114" t="str">
        <f t="shared" si="1427"/>
        <v/>
      </c>
      <c r="AN2051" s="115"/>
      <c r="AO2051" s="116"/>
      <c r="AP2051" s="116"/>
      <c r="AQ2051" s="116"/>
      <c r="AR2051" s="116"/>
      <c r="AS2051" s="116"/>
      <c r="AT2051" s="116"/>
      <c r="AU2051" s="116"/>
      <c r="AV2051" s="78"/>
      <c r="AW2051" s="102"/>
      <c r="AX2051" s="78"/>
      <c r="AY2051" s="78"/>
      <c r="AZ2051" s="78"/>
      <c r="BA2051" s="78"/>
      <c r="BB2051" s="78"/>
      <c r="BC2051" s="78"/>
      <c r="BD2051" s="78"/>
      <c r="BE2051" s="465"/>
      <c r="BF2051" s="165" t="str">
        <f t="shared" si="1428"/>
        <v>https://www.google.com/search?tbm=isch&amp;q=Hyd.%20paniculata%20%27SMHPLQF%27%20USPP%2025%2C136%20Little%20Quick%20Fire%C2%AE%20Hydrangea</v>
      </c>
      <c r="BG2051" s="165" t="str">
        <f t="shared" si="1429"/>
        <v>H</v>
      </c>
      <c r="BH2051" s="65"/>
      <c r="BI2051" s="65"/>
      <c r="BJ2051" s="65"/>
      <c r="BK2051" s="65"/>
      <c r="BL2051" s="99"/>
      <c r="BM2051" s="99"/>
      <c r="BN2051" s="99"/>
    </row>
    <row r="2052" spans="1:66" s="51" customFormat="1" ht="15.75" x14ac:dyDescent="0.25">
      <c r="A2052" s="634">
        <v>3</v>
      </c>
      <c r="B2052" s="635" t="s">
        <v>291</v>
      </c>
      <c r="C2052" s="636" t="s">
        <v>2860</v>
      </c>
      <c r="D2052" s="637" t="s">
        <v>311</v>
      </c>
      <c r="E2052" s="638">
        <v>42.95</v>
      </c>
      <c r="F2052" s="639" t="s">
        <v>292</v>
      </c>
      <c r="G2052" s="484">
        <v>0</v>
      </c>
      <c r="H2052" s="691" t="str">
        <f>IF(G2052=0,"",IF(F2052="Buy",IF(G2052=1,"plant","plants"),IF(F2052&gt;0.01,"warranty","Error")))</f>
        <v/>
      </c>
      <c r="I2052" s="640">
        <f>IF(H2052="free",0,IF(H2052="credit",((E2052*(F2052))*G2052*-1),IF(F2052="Buy",(E2052*G2052),((E2052*(1-F2052))*G2052))))</f>
        <v>0</v>
      </c>
      <c r="J2052" s="640">
        <f>IF(H2052="warranty",0,(I2052*(_xlfn.SINGLE(SalesTaxPercentage))))</f>
        <v>0</v>
      </c>
      <c r="K2052" s="716">
        <f t="shared" ref="K2052" si="1467">I2052+J2052</f>
        <v>0</v>
      </c>
      <c r="L2052" s="716"/>
      <c r="M2052" s="689" t="str">
        <f ca="1">IF(AND(G2052&gt;0,E2052=0),"WARNING - no PRICE inserted",IF(H2052="free","FREE ~ no charge this plant",IF(H2052="credit",CONCATENATE("-$",ROUND(K2052*(1-_xlfn.SINGLE(T2GDiscount))*-1,2)," CREDIT after discount"),IF(_xlfn.SINGLE(T2GDiscount)=0,"",IF(G2052=0,"",IF(F2052="Buy",CONCATENATE("$",ROUND(K2052*(1-_xlfn.SINGLE(T2GDiscount)),2)," with ",(_xlfn.SINGLE(T2GDiscount)*100),"% discount"),CONCATENATE("$",ROUND(K2052*(1-_xlfn.SINGLE(T2GDiscount)),2)," with ",((_xlfn.SINGLE(T2GDiscount)*100+F2052*100)-(_xlfn.SINGLE(T2GDiscount)*100*F2052)),IF(F2052&gt;0,"% discounts",IF(_xlfn.SINGLE(NoWarrantyDiscount)&gt;0,"% discounts","% discount")))))))))</f>
        <v/>
      </c>
      <c r="N2052" s="690"/>
      <c r="O2052" s="486"/>
      <c r="P2052" s="486"/>
      <c r="Q2052" s="486"/>
      <c r="R2052" s="486"/>
      <c r="S2052" s="486"/>
      <c r="T2052" s="102">
        <f t="shared" si="1417"/>
        <v>0</v>
      </c>
      <c r="U2052" s="78">
        <f>IF(NOT(ISNUMBER(G2052)), "", VLOOKUP(A2052,'Discount Lookup'!D:E,2,FALSE)*G2052)</f>
        <v>0</v>
      </c>
      <c r="V2052" s="78">
        <f>IF(NOT(ISNUMBER(G2052)), "", VLOOKUP(A2052,'Discount Lookup'!G:H,2,FALSE)*G2052)</f>
        <v>0</v>
      </c>
      <c r="W2052" s="102">
        <f t="shared" si="1418"/>
        <v>0</v>
      </c>
      <c r="X2052" s="102">
        <f t="shared" si="1419"/>
        <v>0</v>
      </c>
      <c r="Y2052" s="120" t="b">
        <f t="shared" si="1420"/>
        <v>0</v>
      </c>
      <c r="Z2052" s="117">
        <f t="shared" si="1421"/>
        <v>0</v>
      </c>
      <c r="AA2052" s="118"/>
      <c r="AB2052" s="118" t="str">
        <f t="shared" si="1422"/>
        <v/>
      </c>
      <c r="AC2052" s="712" t="str">
        <f>IF(AE2052="T2G","no charge",IF(AND(OR(PlanterYesMe="No",PlanterYesMe="N",PlanterYesMe="me"),H2052=""),"",IF(H2052="credit","NO install",IF(AND(K2052="",AE2052="me"),"EACH row",IF(AND(K2052="images",AE2052="me"),"EACH row",IF(D2052="","",IF(H2052="credit","",IF(AE2052="free","re-planting",IF(AE2052="me","   not ELP, by",IF(AND(OR(PlanterYesMe="Yes",PlanterYesMe="Y"),G2052&gt;0),(VLOOKUP(A2052,'Discount Lookup'!J:K,2)*G2052*(1-PlanterDiscount)*(1+PlanterDifficultyPercentage)),IF(AE2052="ELP",(VLOOKUP(A2052,'Discount Lookup'!J:K,2)*G2052*(1-PlanterDiscount)*(1+PlanterDifficultyPercentage)),IF(AE2052="free","re-planting",IF(G2052=0,"",IF(PlanterYesMe="",IF(AE2052="me","   not ELP, by",IF(AE2052="",IF(G2052&gt;0,(VLOOKUP(A2052,'Discount Lookup'!J:K,2)*G2052*(1-PlanterDiscount)*(1+PlanterDifficultyPercentage)),""),"")),"   not ELP, by"))))))))))))))</f>
        <v/>
      </c>
      <c r="AD2052" s="712"/>
      <c r="AE2052" s="513" t="str">
        <f t="shared" si="1423"/>
        <v/>
      </c>
      <c r="AF2052" s="713" t="str">
        <f t="shared" si="1424"/>
        <v/>
      </c>
      <c r="AG2052" s="713"/>
      <c r="AH2052" s="713"/>
      <c r="AI2052" s="112">
        <f>IF(H2052="credit",0,IF(AE2052="free",0,IF(AE2052="me",0,IF(G2052&gt;0,(VLOOKUP(A2052,'Discount Lookup'!J:K,2)*G2052),0))))</f>
        <v>0</v>
      </c>
      <c r="AJ2052" s="107" t="str">
        <f t="shared" ca="1" si="1425"/>
        <v/>
      </c>
      <c r="AK2052" s="714" t="str">
        <f t="shared" si="1426"/>
        <v/>
      </c>
      <c r="AL2052" s="714"/>
      <c r="AM2052" s="114" t="str">
        <f t="shared" si="1427"/>
        <v/>
      </c>
      <c r="AN2052" s="115"/>
      <c r="AO2052" s="116"/>
      <c r="AP2052" s="116"/>
      <c r="AQ2052" s="116"/>
      <c r="AR2052" s="116"/>
      <c r="AS2052" s="116"/>
      <c r="AT2052" s="116"/>
      <c r="AU2052" s="116"/>
      <c r="AV2052" s="78"/>
      <c r="AW2052" s="102"/>
      <c r="AX2052" s="78"/>
      <c r="AY2052" s="78"/>
      <c r="AZ2052" s="78"/>
      <c r="BA2052" s="78"/>
      <c r="BB2052" s="78"/>
      <c r="BC2052" s="78"/>
      <c r="BD2052" s="78"/>
      <c r="BE2052" s="465"/>
      <c r="BF2052" s="165" t="str">
        <f t="shared" si="1428"/>
        <v>https://www.google.com/search?tbm=isch&amp;q=3%20G5</v>
      </c>
      <c r="BG2052" s="165" t="str">
        <f t="shared" si="1429"/>
        <v>H</v>
      </c>
      <c r="BH2052" s="65"/>
      <c r="BI2052" s="65"/>
      <c r="BJ2052" s="65"/>
      <c r="BK2052" s="65"/>
      <c r="BL2052" s="99"/>
      <c r="BM2052" s="99"/>
      <c r="BN2052" s="99"/>
    </row>
    <row r="2053" spans="1:66" s="51" customFormat="1" ht="17.25" thickBot="1" x14ac:dyDescent="0.3">
      <c r="A2053" s="641" t="s">
        <v>4757</v>
      </c>
      <c r="B2053" s="642"/>
      <c r="C2053" s="710"/>
      <c r="D2053" s="643"/>
      <c r="E2053" s="643"/>
      <c r="F2053" s="644"/>
      <c r="G2053" s="645"/>
      <c r="H2053" s="646"/>
      <c r="I2053" s="647"/>
      <c r="J2053" s="648"/>
      <c r="K2053" s="649"/>
      <c r="L2053" s="650"/>
      <c r="M2053" s="650"/>
      <c r="N2053" s="644"/>
      <c r="O2053" s="644"/>
      <c r="P2053" s="644"/>
      <c r="Q2053" s="644"/>
      <c r="R2053" s="644"/>
      <c r="S2053" s="651"/>
      <c r="T2053" s="102">
        <f t="shared" si="1417"/>
        <v>0</v>
      </c>
      <c r="U2053" s="78" t="str">
        <f>IF(NOT(ISNUMBER(G2053)), "", VLOOKUP(A2053,'Discount Lookup'!D:E,2,FALSE)*G2053)</f>
        <v/>
      </c>
      <c r="V2053" s="78" t="str">
        <f>IF(NOT(ISNUMBER(G2053)), "", VLOOKUP(A2053,'Discount Lookup'!G:H,2,FALSE)*G2053)</f>
        <v/>
      </c>
      <c r="W2053" s="102">
        <f t="shared" si="1418"/>
        <v>0</v>
      </c>
      <c r="X2053" s="102">
        <f t="shared" si="1419"/>
        <v>0</v>
      </c>
      <c r="Y2053" s="120" t="b">
        <f t="shared" si="1420"/>
        <v>0</v>
      </c>
      <c r="Z2053" s="117">
        <f t="shared" si="1421"/>
        <v>0</v>
      </c>
      <c r="AA2053" s="118"/>
      <c r="AB2053" s="118" t="str">
        <f t="shared" si="1422"/>
        <v/>
      </c>
      <c r="AC2053" s="712" t="str">
        <f>IF(AE2053="T2G","no charge",IF(AND(OR(PlanterYesMe="No",PlanterYesMe="N",PlanterYesMe="me"),H2053=""),"",IF(H2053="credit","NO install",IF(AND(K2053="",AE2053="me"),"EACH row",IF(AND(K2053="images",AE2053="me"),"EACH row",IF(D2053="","",IF(H2053="credit","",IF(AE2053="free","re-planting",IF(AE2053="me","   not ELP, by",IF(AND(OR(PlanterYesMe="Yes",PlanterYesMe="Y"),G2053&gt;0),(VLOOKUP(A2053,'Discount Lookup'!J:K,2)*G2053*(1-PlanterDiscount)*(1+PlanterDifficultyPercentage)),IF(AE2053="ELP",(VLOOKUP(A2053,'Discount Lookup'!J:K,2)*G2053*(1-PlanterDiscount)*(1+PlanterDifficultyPercentage)),IF(AE2053="free","re-planting",IF(G2053=0,"",IF(PlanterYesMe="",IF(AE2053="me","   not ELP, by",IF(AE2053="",IF(G2053&gt;0,(VLOOKUP(A2053,'Discount Lookup'!J:K,2)*G2053*(1-PlanterDiscount)*(1+PlanterDifficultyPercentage)),""),"")),"   not ELP, by"))))))))))))))</f>
        <v/>
      </c>
      <c r="AD2053" s="712"/>
      <c r="AE2053" s="513" t="str">
        <f t="shared" si="1423"/>
        <v/>
      </c>
      <c r="AF2053" s="713" t="str">
        <f t="shared" si="1424"/>
        <v/>
      </c>
      <c r="AG2053" s="713"/>
      <c r="AH2053" s="713"/>
      <c r="AI2053" s="112">
        <f>IF(H2053="credit",0,IF(AE2053="free",0,IF(AE2053="me",0,IF(G2053&gt;0,(VLOOKUP(A2053,'Discount Lookup'!J:K,2)*G2053),0))))</f>
        <v>0</v>
      </c>
      <c r="AJ2053" s="107" t="str">
        <f t="shared" ca="1" si="1425"/>
        <v/>
      </c>
      <c r="AK2053" s="714" t="str">
        <f t="shared" si="1426"/>
        <v/>
      </c>
      <c r="AL2053" s="714"/>
      <c r="AM2053" s="114" t="str">
        <f t="shared" si="1427"/>
        <v/>
      </c>
      <c r="AN2053" s="115"/>
      <c r="AO2053" s="116"/>
      <c r="AP2053" s="116"/>
      <c r="AQ2053" s="116"/>
      <c r="AR2053" s="116"/>
      <c r="AS2053" s="116"/>
      <c r="AT2053" s="116"/>
      <c r="AU2053" s="116"/>
      <c r="AV2053" s="78"/>
      <c r="AW2053" s="102"/>
      <c r="AX2053" s="78"/>
      <c r="AY2053" s="78"/>
      <c r="AZ2053" s="78"/>
      <c r="BA2053" s="78"/>
      <c r="BB2053" s="78"/>
      <c r="BC2053" s="78"/>
      <c r="BD2053" s="78"/>
      <c r="BE2053" s="465"/>
      <c r="BF2053" s="165" t="str">
        <f t="shared" si="1428"/>
        <v>https://www.google.com/search?tbm=isch&amp;q=Little%20Quick%20Fire%20has%20Green%20foliage.%20All%20%22Hardy%22%20Hydrangea%20have%20cone-shaped%20flowers%20on%20new%20wood.%20Flowers%20change%20color%20with%20age.%20Extremely%20cold-hardy%20</v>
      </c>
      <c r="BG2053" s="165" t="str">
        <f t="shared" si="1429"/>
        <v>L</v>
      </c>
      <c r="BH2053" s="65"/>
      <c r="BI2053" s="65"/>
      <c r="BJ2053" s="65"/>
      <c r="BK2053" s="65"/>
      <c r="BL2053" s="99"/>
      <c r="BM2053" s="99"/>
      <c r="BN2053" s="99"/>
    </row>
    <row r="2054" spans="1:66" s="51" customFormat="1" ht="18" x14ac:dyDescent="0.25">
      <c r="A2054" s="623" t="s">
        <v>4611</v>
      </c>
      <c r="B2054" s="624"/>
      <c r="C2054" s="709"/>
      <c r="D2054" s="625" t="s">
        <v>5893</v>
      </c>
      <c r="E2054" s="626"/>
      <c r="F2054" s="626"/>
      <c r="G2054" s="626"/>
      <c r="H2054" s="622" t="s">
        <v>1082</v>
      </c>
      <c r="I2054" s="627" t="s">
        <v>4612</v>
      </c>
      <c r="J2054" s="628"/>
      <c r="K2054" s="628"/>
      <c r="L2054" s="629"/>
      <c r="M2054" s="700" t="s">
        <v>5249</v>
      </c>
      <c r="N2054" s="693" t="str">
        <f>IF(AND(ISTEXT($A2054), ISERROR($A2054+0)), HYPERLINK($BF2054, "Images"), "")</f>
        <v>Images</v>
      </c>
      <c r="O2054" s="695" t="s">
        <v>5247</v>
      </c>
      <c r="P2054" s="630"/>
      <c r="Q2054" s="631"/>
      <c r="R2054" s="632"/>
      <c r="S2054" s="633"/>
      <c r="T2054" s="102">
        <f t="shared" si="1417"/>
        <v>0</v>
      </c>
      <c r="U2054" s="78" t="str">
        <f>IF(NOT(ISNUMBER(G2054)), "", VLOOKUP(A2054,'Discount Lookup'!D:E,2,FALSE)*G2054)</f>
        <v/>
      </c>
      <c r="V2054" s="78" t="str">
        <f>IF(NOT(ISNUMBER(G2054)), "", VLOOKUP(A2054,'Discount Lookup'!G:H,2,FALSE)*G2054)</f>
        <v/>
      </c>
      <c r="W2054" s="102">
        <f t="shared" si="1418"/>
        <v>0</v>
      </c>
      <c r="X2054" s="102" t="str">
        <f t="shared" si="1419"/>
        <v>Lime Green ages to Pink-Red</v>
      </c>
      <c r="Y2054" s="120" t="b">
        <f t="shared" si="1420"/>
        <v>0</v>
      </c>
      <c r="Z2054" s="117">
        <f t="shared" si="1421"/>
        <v>0</v>
      </c>
      <c r="AA2054" s="118"/>
      <c r="AB2054" s="118" t="str">
        <f t="shared" si="1422"/>
        <v/>
      </c>
      <c r="AC2054" s="712" t="str">
        <f>IF(AE2054="T2G","no charge",IF(AND(OR(PlanterYesMe="No",PlanterYesMe="N",PlanterYesMe="me"),H2054=""),"",IF(H2054="credit","NO install",IF(AND(K2054="",AE2054="me"),"EACH row",IF(AND(K2054="images",AE2054="me"),"EACH row",IF(D2054="","",IF(H2054="credit","",IF(AE2054="free","re-planting",IF(AE2054="me","   not ELP, by",IF(AND(OR(PlanterYesMe="Yes",PlanterYesMe="Y"),G2054&gt;0),(VLOOKUP(A2054,'Discount Lookup'!J:K,2)*G2054*(1-PlanterDiscount)*(1+PlanterDifficultyPercentage)),IF(AE2054="ELP",(VLOOKUP(A2054,'Discount Lookup'!J:K,2)*G2054*(1-PlanterDiscount)*(1+PlanterDifficultyPercentage)),IF(AE2054="free","re-planting",IF(G2054=0,"",IF(PlanterYesMe="",IF(AE2054="me","   not ELP, by",IF(AE2054="",IF(G2054&gt;0,(VLOOKUP(A2054,'Discount Lookup'!J:K,2)*G2054*(1-PlanterDiscount)*(1+PlanterDifficultyPercentage)),""),"")),"   not ELP, by"))))))))))))))</f>
        <v/>
      </c>
      <c r="AD2054" s="712"/>
      <c r="AE2054" s="513" t="str">
        <f t="shared" si="1423"/>
        <v/>
      </c>
      <c r="AF2054" s="713" t="str">
        <f t="shared" si="1424"/>
        <v/>
      </c>
      <c r="AG2054" s="713"/>
      <c r="AH2054" s="713"/>
      <c r="AI2054" s="112">
        <f>IF(H2054="credit",0,IF(AE2054="free",0,IF(AE2054="me",0,IF(G2054&gt;0,(VLOOKUP(A2054,'Discount Lookup'!J:K,2)*G2054),0))))</f>
        <v>0</v>
      </c>
      <c r="AJ2054" s="107" t="str">
        <f t="shared" ca="1" si="1425"/>
        <v/>
      </c>
      <c r="AK2054" s="714" t="str">
        <f t="shared" si="1426"/>
        <v/>
      </c>
      <c r="AL2054" s="714"/>
      <c r="AM2054" s="114" t="str">
        <f t="shared" si="1427"/>
        <v/>
      </c>
      <c r="AN2054" s="115"/>
      <c r="AO2054" s="116"/>
      <c r="AP2054" s="116"/>
      <c r="AQ2054" s="116"/>
      <c r="AR2054" s="116"/>
      <c r="AS2054" s="116"/>
      <c r="AT2054" s="116"/>
      <c r="AU2054" s="116"/>
      <c r="AV2054" s="78"/>
      <c r="AW2054" s="102"/>
      <c r="AX2054" s="78"/>
      <c r="AY2054" s="78"/>
      <c r="AZ2054" s="78"/>
      <c r="BA2054" s="78"/>
      <c r="BB2054" s="78"/>
      <c r="BC2054" s="78"/>
      <c r="BD2054" s="78"/>
      <c r="BE2054" s="465"/>
      <c r="BF2054" s="165" t="str">
        <f t="shared" si="1428"/>
        <v>https://www.google.com/search?tbm=isch&amp;q=Hyd.%20paniculata%20%27SMNHPH%27%20PP%2333207%20Little%20Lime%20Punch%C2%AE%20Hydrangea%20%28PW%C2%AE%29</v>
      </c>
      <c r="BG2054" s="165" t="str">
        <f t="shared" si="1429"/>
        <v>H</v>
      </c>
      <c r="BH2054" s="65"/>
      <c r="BI2054" s="65"/>
      <c r="BJ2054" s="65"/>
      <c r="BK2054" s="65"/>
      <c r="BL2054" s="99"/>
      <c r="BM2054" s="99"/>
      <c r="BN2054" s="99"/>
    </row>
    <row r="2055" spans="1:66" s="51" customFormat="1" ht="15.75" x14ac:dyDescent="0.25">
      <c r="A2055" s="634">
        <v>3</v>
      </c>
      <c r="B2055" s="635" t="s">
        <v>291</v>
      </c>
      <c r="C2055" s="636" t="s">
        <v>5174</v>
      </c>
      <c r="D2055" s="637" t="s">
        <v>299</v>
      </c>
      <c r="E2055" s="638">
        <v>42.95</v>
      </c>
      <c r="F2055" s="639" t="s">
        <v>292</v>
      </c>
      <c r="G2055" s="484">
        <v>0</v>
      </c>
      <c r="H2055" s="691" t="str">
        <f>IF(G2055=0,"",IF(F2055="Buy",IF(G2055=1,"plant","plants"),IF(F2055&gt;0.01,"warranty","Error")))</f>
        <v/>
      </c>
      <c r="I2055" s="640">
        <f>IF(H2055="free",0,IF(H2055="credit",((E2055*(F2055))*G2055*-1),IF(F2055="Buy",(E2055*G2055),((E2055*(1-F2055))*G2055))))</f>
        <v>0</v>
      </c>
      <c r="J2055" s="640">
        <f>IF(H2055="warranty",0,(I2055*(_xlfn.SINGLE(SalesTaxPercentage))))</f>
        <v>0</v>
      </c>
      <c r="K2055" s="716">
        <f t="shared" ref="K2055" si="1468">I2055+J2055</f>
        <v>0</v>
      </c>
      <c r="L2055" s="716"/>
      <c r="M2055" s="689" t="str">
        <f ca="1">IF(AND(G2055&gt;0,E2055=0),"WARNING - no PRICE inserted",IF(H2055="free","FREE ~ no charge this plant",IF(H2055="credit",CONCATENATE("-$",ROUND(K2055*(1-_xlfn.SINGLE(T2GDiscount))*-1,2)," CREDIT after discount"),IF(_xlfn.SINGLE(T2GDiscount)=0,"",IF(G2055=0,"",IF(F2055="Buy",CONCATENATE("$",ROUND(K2055*(1-_xlfn.SINGLE(T2GDiscount)),2)," with ",(_xlfn.SINGLE(T2GDiscount)*100),"% discount"),CONCATENATE("$",ROUND(K2055*(1-_xlfn.SINGLE(T2GDiscount)),2)," with ",((_xlfn.SINGLE(T2GDiscount)*100+F2055*100)-(_xlfn.SINGLE(T2GDiscount)*100*F2055)),IF(F2055&gt;0,"% discounts",IF(_xlfn.SINGLE(NoWarrantyDiscount)&gt;0,"% discounts","% discount")))))))))</f>
        <v/>
      </c>
      <c r="N2055" s="690"/>
      <c r="O2055" s="486"/>
      <c r="P2055" s="486"/>
      <c r="Q2055" s="486"/>
      <c r="R2055" s="486"/>
      <c r="S2055" s="486"/>
      <c r="T2055" s="102">
        <f t="shared" si="1417"/>
        <v>0</v>
      </c>
      <c r="U2055" s="78">
        <f>IF(NOT(ISNUMBER(G2055)), "", VLOOKUP(A2055,'Discount Lookup'!D:E,2,FALSE)*G2055)</f>
        <v>0</v>
      </c>
      <c r="V2055" s="78">
        <f>IF(NOT(ISNUMBER(G2055)), "", VLOOKUP(A2055,'Discount Lookup'!G:H,2,FALSE)*G2055)</f>
        <v>0</v>
      </c>
      <c r="W2055" s="102">
        <f t="shared" si="1418"/>
        <v>0</v>
      </c>
      <c r="X2055" s="102">
        <f t="shared" si="1419"/>
        <v>0</v>
      </c>
      <c r="Y2055" s="120" t="b">
        <f t="shared" si="1420"/>
        <v>0</v>
      </c>
      <c r="Z2055" s="117">
        <f t="shared" si="1421"/>
        <v>0</v>
      </c>
      <c r="AA2055" s="118"/>
      <c r="AB2055" s="118" t="str">
        <f t="shared" si="1422"/>
        <v/>
      </c>
      <c r="AC2055" s="712" t="str">
        <f>IF(AE2055="T2G","no charge",IF(AND(OR(PlanterYesMe="No",PlanterYesMe="N",PlanterYesMe="me"),H2055=""),"",IF(H2055="credit","NO install",IF(AND(K2055="",AE2055="me"),"EACH row",IF(AND(K2055="images",AE2055="me"),"EACH row",IF(D2055="","",IF(H2055="credit","",IF(AE2055="free","re-planting",IF(AE2055="me","   not ELP, by",IF(AND(OR(PlanterYesMe="Yes",PlanterYesMe="Y"),G2055&gt;0),(VLOOKUP(A2055,'Discount Lookup'!J:K,2)*G2055*(1-PlanterDiscount)*(1+PlanterDifficultyPercentage)),IF(AE2055="ELP",(VLOOKUP(A2055,'Discount Lookup'!J:K,2)*G2055*(1-PlanterDiscount)*(1+PlanterDifficultyPercentage)),IF(AE2055="free","re-planting",IF(G2055=0,"",IF(PlanterYesMe="",IF(AE2055="me","   not ELP, by",IF(AE2055="",IF(G2055&gt;0,(VLOOKUP(A2055,'Discount Lookup'!J:K,2)*G2055*(1-PlanterDiscount)*(1+PlanterDifficultyPercentage)),""),"")),"   not ELP, by"))))))))))))))</f>
        <v/>
      </c>
      <c r="AD2055" s="712"/>
      <c r="AE2055" s="513" t="str">
        <f t="shared" si="1423"/>
        <v/>
      </c>
      <c r="AF2055" s="713" t="str">
        <f t="shared" si="1424"/>
        <v/>
      </c>
      <c r="AG2055" s="713"/>
      <c r="AH2055" s="713"/>
      <c r="AI2055" s="112">
        <f>IF(H2055="credit",0,IF(AE2055="free",0,IF(AE2055="me",0,IF(G2055&gt;0,(VLOOKUP(A2055,'Discount Lookup'!J:K,2)*G2055),0))))</f>
        <v>0</v>
      </c>
      <c r="AJ2055" s="107" t="str">
        <f t="shared" ca="1" si="1425"/>
        <v/>
      </c>
      <c r="AK2055" s="714" t="str">
        <f t="shared" si="1426"/>
        <v/>
      </c>
      <c r="AL2055" s="714"/>
      <c r="AM2055" s="114" t="str">
        <f t="shared" si="1427"/>
        <v/>
      </c>
      <c r="AN2055" s="115"/>
      <c r="AO2055" s="116"/>
      <c r="AP2055" s="116"/>
      <c r="AQ2055" s="116"/>
      <c r="AR2055" s="116"/>
      <c r="AS2055" s="116"/>
      <c r="AT2055" s="116"/>
      <c r="AU2055" s="116"/>
      <c r="AV2055" s="78"/>
      <c r="AW2055" s="102"/>
      <c r="AX2055" s="78"/>
      <c r="AY2055" s="78"/>
      <c r="AZ2055" s="78"/>
      <c r="BA2055" s="78"/>
      <c r="BB2055" s="78"/>
      <c r="BC2055" s="78"/>
      <c r="BD2055" s="78"/>
      <c r="BE2055" s="465"/>
      <c r="BF2055" s="165" t="str">
        <f t="shared" si="1428"/>
        <v>https://www.google.com/search?tbm=isch&amp;q=3%20G4</v>
      </c>
      <c r="BG2055" s="165" t="str">
        <f t="shared" si="1429"/>
        <v>H</v>
      </c>
      <c r="BH2055" s="65"/>
      <c r="BI2055" s="65"/>
      <c r="BJ2055" s="65"/>
      <c r="BK2055" s="65"/>
      <c r="BL2055" s="99"/>
      <c r="BM2055" s="99"/>
      <c r="BN2055" s="99"/>
    </row>
    <row r="2056" spans="1:66" s="51" customFormat="1" ht="15.75" x14ac:dyDescent="0.25">
      <c r="A2056" s="634">
        <v>3</v>
      </c>
      <c r="B2056" s="635" t="s">
        <v>291</v>
      </c>
      <c r="C2056" s="636" t="s">
        <v>4613</v>
      </c>
      <c r="D2056" s="637" t="s">
        <v>311</v>
      </c>
      <c r="E2056" s="638">
        <v>42.95</v>
      </c>
      <c r="F2056" s="639" t="s">
        <v>292</v>
      </c>
      <c r="G2056" s="484">
        <v>0</v>
      </c>
      <c r="H2056" s="691" t="str">
        <f>IF(G2056=0,"",IF(F2056="Buy",IF(G2056=1,"plant","plants"),IF(F2056&gt;0.01,"warranty","Error")))</f>
        <v/>
      </c>
      <c r="I2056" s="640">
        <f>IF(H2056="free",0,IF(H2056="credit",((E2056*(F2056))*G2056*-1),IF(F2056="Buy",(E2056*G2056),((E2056*(1-F2056))*G2056))))</f>
        <v>0</v>
      </c>
      <c r="J2056" s="640">
        <f>IF(H2056="warranty",0,(I2056*(_xlfn.SINGLE(SalesTaxPercentage))))</f>
        <v>0</v>
      </c>
      <c r="K2056" s="716">
        <f t="shared" ref="K2056" si="1469">I2056+J2056</f>
        <v>0</v>
      </c>
      <c r="L2056" s="716"/>
      <c r="M2056" s="689" t="str">
        <f ca="1">IF(AND(G2056&gt;0,E2056=0),"WARNING - no PRICE inserted",IF(H2056="free","FREE ~ no charge this plant",IF(H2056="credit",CONCATENATE("-$",ROUND(K2056*(1-_xlfn.SINGLE(T2GDiscount))*-1,2)," CREDIT after discount"),IF(_xlfn.SINGLE(T2GDiscount)=0,"",IF(G2056=0,"",IF(F2056="Buy",CONCATENATE("$",ROUND(K2056*(1-_xlfn.SINGLE(T2GDiscount)),2)," with ",(_xlfn.SINGLE(T2GDiscount)*100),"% discount"),CONCATENATE("$",ROUND(K2056*(1-_xlfn.SINGLE(T2GDiscount)),2)," with ",((_xlfn.SINGLE(T2GDiscount)*100+F2056*100)-(_xlfn.SINGLE(T2GDiscount)*100*F2056)),IF(F2056&gt;0,"% discounts",IF(_xlfn.SINGLE(NoWarrantyDiscount)&gt;0,"% discounts","% discount")))))))))</f>
        <v/>
      </c>
      <c r="N2056" s="690"/>
      <c r="O2056" s="486"/>
      <c r="P2056" s="486"/>
      <c r="Q2056" s="486"/>
      <c r="R2056" s="486"/>
      <c r="S2056" s="486"/>
      <c r="T2056" s="102">
        <f t="shared" si="1417"/>
        <v>0</v>
      </c>
      <c r="U2056" s="78">
        <f>IF(NOT(ISNUMBER(G2056)), "", VLOOKUP(A2056,'Discount Lookup'!D:E,2,FALSE)*G2056)</f>
        <v>0</v>
      </c>
      <c r="V2056" s="78">
        <f>IF(NOT(ISNUMBER(G2056)), "", VLOOKUP(A2056,'Discount Lookup'!G:H,2,FALSE)*G2056)</f>
        <v>0</v>
      </c>
      <c r="W2056" s="102">
        <f t="shared" si="1418"/>
        <v>0</v>
      </c>
      <c r="X2056" s="102">
        <f t="shared" si="1419"/>
        <v>0</v>
      </c>
      <c r="Y2056" s="120" t="b">
        <f t="shared" si="1420"/>
        <v>0</v>
      </c>
      <c r="Z2056" s="117">
        <f t="shared" si="1421"/>
        <v>0</v>
      </c>
      <c r="AA2056" s="118"/>
      <c r="AB2056" s="118" t="str">
        <f t="shared" si="1422"/>
        <v/>
      </c>
      <c r="AC2056" s="712" t="str">
        <f>IF(AE2056="T2G","no charge",IF(AND(OR(PlanterYesMe="No",PlanterYesMe="N",PlanterYesMe="me"),H2056=""),"",IF(H2056="credit","NO install",IF(AND(K2056="",AE2056="me"),"EACH row",IF(AND(K2056="images",AE2056="me"),"EACH row",IF(D2056="","",IF(H2056="credit","",IF(AE2056="free","re-planting",IF(AE2056="me","   not ELP, by",IF(AND(OR(PlanterYesMe="Yes",PlanterYesMe="Y"),G2056&gt;0),(VLOOKUP(A2056,'Discount Lookup'!J:K,2)*G2056*(1-PlanterDiscount)*(1+PlanterDifficultyPercentage)),IF(AE2056="ELP",(VLOOKUP(A2056,'Discount Lookup'!J:K,2)*G2056*(1-PlanterDiscount)*(1+PlanterDifficultyPercentage)),IF(AE2056="free","re-planting",IF(G2056=0,"",IF(PlanterYesMe="",IF(AE2056="me","   not ELP, by",IF(AE2056="",IF(G2056&gt;0,(VLOOKUP(A2056,'Discount Lookup'!J:K,2)*G2056*(1-PlanterDiscount)*(1+PlanterDifficultyPercentage)),""),"")),"   not ELP, by"))))))))))))))</f>
        <v/>
      </c>
      <c r="AD2056" s="712"/>
      <c r="AE2056" s="513" t="str">
        <f t="shared" si="1423"/>
        <v/>
      </c>
      <c r="AF2056" s="713" t="str">
        <f t="shared" si="1424"/>
        <v/>
      </c>
      <c r="AG2056" s="713"/>
      <c r="AH2056" s="713"/>
      <c r="AI2056" s="112">
        <f>IF(H2056="credit",0,IF(AE2056="free",0,IF(AE2056="me",0,IF(G2056&gt;0,(VLOOKUP(A2056,'Discount Lookup'!J:K,2)*G2056),0))))</f>
        <v>0</v>
      </c>
      <c r="AJ2056" s="107" t="str">
        <f t="shared" ca="1" si="1425"/>
        <v/>
      </c>
      <c r="AK2056" s="714" t="str">
        <f t="shared" si="1426"/>
        <v/>
      </c>
      <c r="AL2056" s="714"/>
      <c r="AM2056" s="114" t="str">
        <f t="shared" si="1427"/>
        <v/>
      </c>
      <c r="AN2056" s="115"/>
      <c r="AO2056" s="116"/>
      <c r="AP2056" s="116"/>
      <c r="AQ2056" s="116"/>
      <c r="AR2056" s="116"/>
      <c r="AS2056" s="116"/>
      <c r="AT2056" s="116"/>
      <c r="AU2056" s="116"/>
      <c r="AV2056" s="78"/>
      <c r="AW2056" s="102"/>
      <c r="AX2056" s="78"/>
      <c r="AY2056" s="78"/>
      <c r="AZ2056" s="78"/>
      <c r="BA2056" s="78"/>
      <c r="BB2056" s="78"/>
      <c r="BC2056" s="78"/>
      <c r="BD2056" s="78"/>
      <c r="BE2056" s="465"/>
      <c r="BF2056" s="165" t="str">
        <f t="shared" si="1428"/>
        <v>https://www.google.com/search?tbm=isch&amp;q=3%20G5</v>
      </c>
      <c r="BG2056" s="165" t="str">
        <f t="shared" si="1429"/>
        <v>H</v>
      </c>
      <c r="BH2056" s="65"/>
      <c r="BI2056" s="65"/>
      <c r="BJ2056" s="65"/>
      <c r="BK2056" s="65"/>
      <c r="BL2056" s="99"/>
      <c r="BM2056" s="99"/>
      <c r="BN2056" s="99"/>
    </row>
    <row r="2057" spans="1:66" s="51" customFormat="1" ht="17.25" thickBot="1" x14ac:dyDescent="0.3">
      <c r="A2057" s="641" t="s">
        <v>4758</v>
      </c>
      <c r="B2057" s="642"/>
      <c r="C2057" s="710"/>
      <c r="D2057" s="643"/>
      <c r="E2057" s="643"/>
      <c r="F2057" s="644"/>
      <c r="G2057" s="645"/>
      <c r="H2057" s="646"/>
      <c r="I2057" s="647"/>
      <c r="J2057" s="648"/>
      <c r="K2057" s="649"/>
      <c r="L2057" s="650"/>
      <c r="M2057" s="650"/>
      <c r="N2057" s="644"/>
      <c r="O2057" s="644"/>
      <c r="P2057" s="644"/>
      <c r="Q2057" s="644"/>
      <c r="R2057" s="644"/>
      <c r="S2057" s="651"/>
      <c r="T2057" s="102">
        <f t="shared" si="1417"/>
        <v>0</v>
      </c>
      <c r="U2057" s="78" t="str">
        <f>IF(NOT(ISNUMBER(G2057)), "", VLOOKUP(A2057,'Discount Lookup'!D:E,2,FALSE)*G2057)</f>
        <v/>
      </c>
      <c r="V2057" s="78" t="str">
        <f>IF(NOT(ISNUMBER(G2057)), "", VLOOKUP(A2057,'Discount Lookup'!G:H,2,FALSE)*G2057)</f>
        <v/>
      </c>
      <c r="W2057" s="102">
        <f t="shared" si="1418"/>
        <v>0</v>
      </c>
      <c r="X2057" s="102">
        <f t="shared" si="1419"/>
        <v>0</v>
      </c>
      <c r="Y2057" s="120" t="b">
        <f t="shared" si="1420"/>
        <v>0</v>
      </c>
      <c r="Z2057" s="117">
        <f t="shared" si="1421"/>
        <v>0</v>
      </c>
      <c r="AA2057" s="118"/>
      <c r="AB2057" s="118" t="str">
        <f t="shared" si="1422"/>
        <v/>
      </c>
      <c r="AC2057" s="712" t="str">
        <f>IF(AE2057="T2G","no charge",IF(AND(OR(PlanterYesMe="No",PlanterYesMe="N",PlanterYesMe="me"),H2057=""),"",IF(H2057="credit","NO install",IF(AND(K2057="",AE2057="me"),"EACH row",IF(AND(K2057="images",AE2057="me"),"EACH row",IF(D2057="","",IF(H2057="credit","",IF(AE2057="free","re-planting",IF(AE2057="me","   not ELP, by",IF(AND(OR(PlanterYesMe="Yes",PlanterYesMe="Y"),G2057&gt;0),(VLOOKUP(A2057,'Discount Lookup'!J:K,2)*G2057*(1-PlanterDiscount)*(1+PlanterDifficultyPercentage)),IF(AE2057="ELP",(VLOOKUP(A2057,'Discount Lookup'!J:K,2)*G2057*(1-PlanterDiscount)*(1+PlanterDifficultyPercentage)),IF(AE2057="free","re-planting",IF(G2057=0,"",IF(PlanterYesMe="",IF(AE2057="me","   not ELP, by",IF(AE2057="",IF(G2057&gt;0,(VLOOKUP(A2057,'Discount Lookup'!J:K,2)*G2057*(1-PlanterDiscount)*(1+PlanterDifficultyPercentage)),""),"")),"   not ELP, by"))))))))))))))</f>
        <v/>
      </c>
      <c r="AD2057" s="712"/>
      <c r="AE2057" s="513" t="str">
        <f t="shared" si="1423"/>
        <v/>
      </c>
      <c r="AF2057" s="713" t="str">
        <f t="shared" si="1424"/>
        <v/>
      </c>
      <c r="AG2057" s="713"/>
      <c r="AH2057" s="713"/>
      <c r="AI2057" s="112">
        <f>IF(H2057="credit",0,IF(AE2057="free",0,IF(AE2057="me",0,IF(G2057&gt;0,(VLOOKUP(A2057,'Discount Lookup'!J:K,2)*G2057),0))))</f>
        <v>0</v>
      </c>
      <c r="AJ2057" s="107" t="str">
        <f t="shared" ca="1" si="1425"/>
        <v/>
      </c>
      <c r="AK2057" s="714" t="str">
        <f t="shared" si="1426"/>
        <v/>
      </c>
      <c r="AL2057" s="714"/>
      <c r="AM2057" s="114" t="str">
        <f t="shared" si="1427"/>
        <v/>
      </c>
      <c r="AN2057" s="115"/>
      <c r="AO2057" s="116"/>
      <c r="AP2057" s="116"/>
      <c r="AQ2057" s="116"/>
      <c r="AR2057" s="116"/>
      <c r="AS2057" s="116"/>
      <c r="AT2057" s="116"/>
      <c r="AU2057" s="116"/>
      <c r="AV2057" s="78"/>
      <c r="AW2057" s="102"/>
      <c r="AX2057" s="78"/>
      <c r="AY2057" s="78"/>
      <c r="AZ2057" s="78"/>
      <c r="BA2057" s="78"/>
      <c r="BB2057" s="78"/>
      <c r="BC2057" s="78"/>
      <c r="BD2057" s="78"/>
      <c r="BE2057" s="465"/>
      <c r="BF2057" s="165" t="str">
        <f t="shared" si="1428"/>
        <v>https://www.google.com/search?tbm=isch&amp;q=Little%20Lime%20Punch%20has%20Green%20foliage.%20All%20%22Hardy%22%20Hydrangea%20have%20cone-shaped%20flowers%20on%20new%20wood.%20Flowers%20change%20color%20with%20age.%20Extremely%20cold-hardy%20</v>
      </c>
      <c r="BG2057" s="165" t="str">
        <f t="shared" si="1429"/>
        <v>L</v>
      </c>
      <c r="BH2057" s="65"/>
      <c r="BI2057" s="65"/>
      <c r="BJ2057" s="65"/>
      <c r="BK2057" s="65"/>
      <c r="BL2057" s="99"/>
      <c r="BM2057" s="99"/>
      <c r="BN2057" s="99"/>
    </row>
    <row r="2058" spans="1:66" s="51" customFormat="1" ht="18" x14ac:dyDescent="0.25">
      <c r="A2058" s="623" t="s">
        <v>2861</v>
      </c>
      <c r="B2058" s="624"/>
      <c r="C2058" s="709"/>
      <c r="D2058" s="625" t="s">
        <v>5699</v>
      </c>
      <c r="E2058" s="626"/>
      <c r="F2058" s="626"/>
      <c r="G2058" s="626"/>
      <c r="H2058" s="622" t="s">
        <v>1104</v>
      </c>
      <c r="I2058" s="627" t="s">
        <v>2853</v>
      </c>
      <c r="J2058" s="628"/>
      <c r="K2058" s="628"/>
      <c r="L2058" s="629"/>
      <c r="M2058" s="700" t="s">
        <v>5249</v>
      </c>
      <c r="N2058" s="693" t="str">
        <f>IF(AND(ISTEXT($A2058), ISERROR($A2058+0)), HYPERLINK($BF2058, "Images"), "")</f>
        <v>Images</v>
      </c>
      <c r="O2058" s="695" t="s">
        <v>5247</v>
      </c>
      <c r="P2058" s="630"/>
      <c r="Q2058" s="631"/>
      <c r="R2058" s="632"/>
      <c r="S2058" s="633"/>
      <c r="T2058" s="102">
        <f t="shared" si="1417"/>
        <v>0</v>
      </c>
      <c r="U2058" s="78" t="str">
        <f>IF(NOT(ISNUMBER(G2058)), "", VLOOKUP(A2058,'Discount Lookup'!D:E,2,FALSE)*G2058)</f>
        <v/>
      </c>
      <c r="V2058" s="78" t="str">
        <f>IF(NOT(ISNUMBER(G2058)), "", VLOOKUP(A2058,'Discount Lookup'!G:H,2,FALSE)*G2058)</f>
        <v/>
      </c>
      <c r="W2058" s="102">
        <f t="shared" si="1418"/>
        <v>0</v>
      </c>
      <c r="X2058" s="102" t="str">
        <f t="shared" si="1419"/>
        <v>White ages to Pink-Red</v>
      </c>
      <c r="Y2058" s="120" t="b">
        <f t="shared" si="1420"/>
        <v>0</v>
      </c>
      <c r="Z2058" s="117">
        <f t="shared" si="1421"/>
        <v>0</v>
      </c>
      <c r="AA2058" s="118"/>
      <c r="AB2058" s="118" t="str">
        <f t="shared" si="1422"/>
        <v/>
      </c>
      <c r="AC2058" s="712" t="str">
        <f>IF(AE2058="T2G","no charge",IF(AND(OR(PlanterYesMe="No",PlanterYesMe="N",PlanterYesMe="me"),H2058=""),"",IF(H2058="credit","NO install",IF(AND(K2058="",AE2058="me"),"EACH row",IF(AND(K2058="images",AE2058="me"),"EACH row",IF(D2058="","",IF(H2058="credit","",IF(AE2058="free","re-planting",IF(AE2058="me","   not ELP, by",IF(AND(OR(PlanterYesMe="Yes",PlanterYesMe="Y"),G2058&gt;0),(VLOOKUP(A2058,'Discount Lookup'!J:K,2)*G2058*(1-PlanterDiscount)*(1+PlanterDifficultyPercentage)),IF(AE2058="ELP",(VLOOKUP(A2058,'Discount Lookup'!J:K,2)*G2058*(1-PlanterDiscount)*(1+PlanterDifficultyPercentage)),IF(AE2058="free","re-planting",IF(G2058=0,"",IF(PlanterYesMe="",IF(AE2058="me","   not ELP, by",IF(AE2058="",IF(G2058&gt;0,(VLOOKUP(A2058,'Discount Lookup'!J:K,2)*G2058*(1-PlanterDiscount)*(1+PlanterDifficultyPercentage)),""),"")),"   not ELP, by"))))))))))))))</f>
        <v/>
      </c>
      <c r="AD2058" s="712"/>
      <c r="AE2058" s="513" t="str">
        <f t="shared" si="1423"/>
        <v/>
      </c>
      <c r="AF2058" s="713" t="str">
        <f t="shared" si="1424"/>
        <v/>
      </c>
      <c r="AG2058" s="713"/>
      <c r="AH2058" s="713"/>
      <c r="AI2058" s="112">
        <f>IF(H2058="credit",0,IF(AE2058="free",0,IF(AE2058="me",0,IF(G2058&gt;0,(VLOOKUP(A2058,'Discount Lookup'!J:K,2)*G2058),0))))</f>
        <v>0</v>
      </c>
      <c r="AJ2058" s="107" t="str">
        <f t="shared" ca="1" si="1425"/>
        <v/>
      </c>
      <c r="AK2058" s="714" t="str">
        <f t="shared" si="1426"/>
        <v/>
      </c>
      <c r="AL2058" s="714"/>
      <c r="AM2058" s="114" t="str">
        <f t="shared" si="1427"/>
        <v/>
      </c>
      <c r="AN2058" s="115"/>
      <c r="AO2058" s="116"/>
      <c r="AP2058" s="116"/>
      <c r="AQ2058" s="116"/>
      <c r="AR2058" s="116"/>
      <c r="AS2058" s="116"/>
      <c r="AT2058" s="116"/>
      <c r="AU2058" s="116"/>
      <c r="AV2058" s="78"/>
      <c r="AW2058" s="102"/>
      <c r="AX2058" s="78"/>
      <c r="AY2058" s="78"/>
      <c r="AZ2058" s="78"/>
      <c r="BA2058" s="78"/>
      <c r="BB2058" s="78"/>
      <c r="BC2058" s="78"/>
      <c r="BD2058" s="78"/>
      <c r="BE2058" s="465"/>
      <c r="BF2058" s="165" t="str">
        <f t="shared" si="1428"/>
        <v>https://www.google.com/search?tbm=isch&amp;q=Hyd.%20paniculata%20%27SMNHPK%27%20PP%2332512%20Fire%20Light%20Tidbit%C2%AE%20Hydrangea</v>
      </c>
      <c r="BG2058" s="165" t="str">
        <f t="shared" si="1429"/>
        <v>H</v>
      </c>
      <c r="BH2058" s="65"/>
      <c r="BI2058" s="65"/>
      <c r="BJ2058" s="65"/>
      <c r="BK2058" s="65"/>
      <c r="BL2058" s="99"/>
      <c r="BM2058" s="99"/>
      <c r="BN2058" s="99"/>
    </row>
    <row r="2059" spans="1:66" s="51" customFormat="1" ht="15.75" x14ac:dyDescent="0.25">
      <c r="A2059" s="634">
        <v>3</v>
      </c>
      <c r="B2059" s="635" t="s">
        <v>291</v>
      </c>
      <c r="C2059" s="636" t="s">
        <v>4614</v>
      </c>
      <c r="D2059" s="637" t="s">
        <v>311</v>
      </c>
      <c r="E2059" s="638">
        <v>42.95</v>
      </c>
      <c r="F2059" s="639" t="s">
        <v>292</v>
      </c>
      <c r="G2059" s="484">
        <v>0</v>
      </c>
      <c r="H2059" s="691" t="str">
        <f>IF(G2059=0,"",IF(F2059="Buy",IF(G2059=1,"plant","plants"),IF(F2059&gt;0.01,"warranty","Error")))</f>
        <v/>
      </c>
      <c r="I2059" s="640">
        <f>IF(H2059="free",0,IF(H2059="credit",((E2059*(F2059))*G2059*-1),IF(F2059="Buy",(E2059*G2059),((E2059*(1-F2059))*G2059))))</f>
        <v>0</v>
      </c>
      <c r="J2059" s="640">
        <f>IF(H2059="warranty",0,(I2059*(_xlfn.SINGLE(SalesTaxPercentage))))</f>
        <v>0</v>
      </c>
      <c r="K2059" s="716">
        <f t="shared" ref="K2059" si="1470">I2059+J2059</f>
        <v>0</v>
      </c>
      <c r="L2059" s="716"/>
      <c r="M2059" s="689" t="str">
        <f ca="1">IF(AND(G2059&gt;0,E2059=0),"WARNING - no PRICE inserted",IF(H2059="free","FREE ~ no charge this plant",IF(H2059="credit",CONCATENATE("-$",ROUND(K2059*(1-_xlfn.SINGLE(T2GDiscount))*-1,2)," CREDIT after discount"),IF(_xlfn.SINGLE(T2GDiscount)=0,"",IF(G2059=0,"",IF(F2059="Buy",CONCATENATE("$",ROUND(K2059*(1-_xlfn.SINGLE(T2GDiscount)),2)," with ",(_xlfn.SINGLE(T2GDiscount)*100),"% discount"),CONCATENATE("$",ROUND(K2059*(1-_xlfn.SINGLE(T2GDiscount)),2)," with ",((_xlfn.SINGLE(T2GDiscount)*100+F2059*100)-(_xlfn.SINGLE(T2GDiscount)*100*F2059)),IF(F2059&gt;0,"% discounts",IF(_xlfn.SINGLE(NoWarrantyDiscount)&gt;0,"% discounts","% discount")))))))))</f>
        <v/>
      </c>
      <c r="N2059" s="690"/>
      <c r="O2059" s="486"/>
      <c r="P2059" s="486"/>
      <c r="Q2059" s="486"/>
      <c r="R2059" s="486"/>
      <c r="S2059" s="486"/>
      <c r="T2059" s="102">
        <f t="shared" si="1417"/>
        <v>0</v>
      </c>
      <c r="U2059" s="78">
        <f>IF(NOT(ISNUMBER(G2059)), "", VLOOKUP(A2059,'Discount Lookup'!D:E,2,FALSE)*G2059)</f>
        <v>0</v>
      </c>
      <c r="V2059" s="78">
        <f>IF(NOT(ISNUMBER(G2059)), "", VLOOKUP(A2059,'Discount Lookup'!G:H,2,FALSE)*G2059)</f>
        <v>0</v>
      </c>
      <c r="W2059" s="102">
        <f t="shared" si="1418"/>
        <v>0</v>
      </c>
      <c r="X2059" s="102">
        <f t="shared" si="1419"/>
        <v>0</v>
      </c>
      <c r="Y2059" s="120" t="b">
        <f t="shared" si="1420"/>
        <v>0</v>
      </c>
      <c r="Z2059" s="117">
        <f t="shared" si="1421"/>
        <v>0</v>
      </c>
      <c r="AA2059" s="118"/>
      <c r="AB2059" s="118" t="str">
        <f t="shared" si="1422"/>
        <v/>
      </c>
      <c r="AC2059" s="712" t="str">
        <f>IF(AE2059="T2G","no charge",IF(AND(OR(PlanterYesMe="No",PlanterYesMe="N",PlanterYesMe="me"),H2059=""),"",IF(H2059="credit","NO install",IF(AND(K2059="",AE2059="me"),"EACH row",IF(AND(K2059="images",AE2059="me"),"EACH row",IF(D2059="","",IF(H2059="credit","",IF(AE2059="free","re-planting",IF(AE2059="me","   not ELP, by",IF(AND(OR(PlanterYesMe="Yes",PlanterYesMe="Y"),G2059&gt;0),(VLOOKUP(A2059,'Discount Lookup'!J:K,2)*G2059*(1-PlanterDiscount)*(1+PlanterDifficultyPercentage)),IF(AE2059="ELP",(VLOOKUP(A2059,'Discount Lookup'!J:K,2)*G2059*(1-PlanterDiscount)*(1+PlanterDifficultyPercentage)),IF(AE2059="free","re-planting",IF(G2059=0,"",IF(PlanterYesMe="",IF(AE2059="me","   not ELP, by",IF(AE2059="",IF(G2059&gt;0,(VLOOKUP(A2059,'Discount Lookup'!J:K,2)*G2059*(1-PlanterDiscount)*(1+PlanterDifficultyPercentage)),""),"")),"   not ELP, by"))))))))))))))</f>
        <v/>
      </c>
      <c r="AD2059" s="712"/>
      <c r="AE2059" s="513" t="str">
        <f t="shared" si="1423"/>
        <v/>
      </c>
      <c r="AF2059" s="713" t="str">
        <f t="shared" si="1424"/>
        <v/>
      </c>
      <c r="AG2059" s="713"/>
      <c r="AH2059" s="713"/>
      <c r="AI2059" s="112">
        <f>IF(H2059="credit",0,IF(AE2059="free",0,IF(AE2059="me",0,IF(G2059&gt;0,(VLOOKUP(A2059,'Discount Lookup'!J:K,2)*G2059),0))))</f>
        <v>0</v>
      </c>
      <c r="AJ2059" s="107" t="str">
        <f t="shared" ca="1" si="1425"/>
        <v/>
      </c>
      <c r="AK2059" s="714" t="str">
        <f t="shared" si="1426"/>
        <v/>
      </c>
      <c r="AL2059" s="714"/>
      <c r="AM2059" s="114" t="str">
        <f t="shared" si="1427"/>
        <v/>
      </c>
      <c r="AN2059" s="115"/>
      <c r="AO2059" s="116"/>
      <c r="AP2059" s="116"/>
      <c r="AQ2059" s="116"/>
      <c r="AR2059" s="116"/>
      <c r="AS2059" s="116"/>
      <c r="AT2059" s="116"/>
      <c r="AU2059" s="116"/>
      <c r="AV2059" s="78"/>
      <c r="AW2059" s="102"/>
      <c r="AX2059" s="78"/>
      <c r="AY2059" s="78"/>
      <c r="AZ2059" s="78"/>
      <c r="BA2059" s="78"/>
      <c r="BB2059" s="78"/>
      <c r="BC2059" s="78"/>
      <c r="BD2059" s="78"/>
      <c r="BE2059" s="465"/>
      <c r="BF2059" s="165" t="str">
        <f t="shared" si="1428"/>
        <v>https://www.google.com/search?tbm=isch&amp;q=3%20G5</v>
      </c>
      <c r="BG2059" s="165" t="str">
        <f t="shared" si="1429"/>
        <v>H</v>
      </c>
      <c r="BH2059" s="65"/>
      <c r="BI2059" s="65"/>
      <c r="BJ2059" s="65"/>
      <c r="BK2059" s="65"/>
      <c r="BL2059" s="99"/>
      <c r="BM2059" s="99"/>
      <c r="BN2059" s="99"/>
    </row>
    <row r="2060" spans="1:66" s="51" customFormat="1" ht="15.75" x14ac:dyDescent="0.25">
      <c r="A2060" s="634">
        <v>5</v>
      </c>
      <c r="B2060" s="635" t="s">
        <v>291</v>
      </c>
      <c r="C2060" s="636" t="s">
        <v>2862</v>
      </c>
      <c r="D2060" s="637" t="s">
        <v>293</v>
      </c>
      <c r="E2060" s="638">
        <v>75.95</v>
      </c>
      <c r="F2060" s="639" t="s">
        <v>292</v>
      </c>
      <c r="G2060" s="484">
        <v>0</v>
      </c>
      <c r="H2060" s="691" t="str">
        <f>IF(G2060=0,"",IF(F2060="Buy",IF(G2060=1,"plant","plants"),IF(F2060&gt;0.01,"warranty","Error")))</f>
        <v/>
      </c>
      <c r="I2060" s="640">
        <f>IF(H2060="free",0,IF(H2060="credit",((E2060*(F2060))*G2060*-1),IF(F2060="Buy",(E2060*G2060),((E2060*(1-F2060))*G2060))))</f>
        <v>0</v>
      </c>
      <c r="J2060" s="640">
        <f>IF(H2060="warranty",0,(I2060*(_xlfn.SINGLE(SalesTaxPercentage))))</f>
        <v>0</v>
      </c>
      <c r="K2060" s="716">
        <f t="shared" ref="K2060" si="1471">I2060+J2060</f>
        <v>0</v>
      </c>
      <c r="L2060" s="716"/>
      <c r="M2060" s="689" t="str">
        <f ca="1">IF(AND(G2060&gt;0,E2060=0),"WARNING - no PRICE inserted",IF(H2060="free","FREE ~ no charge this plant",IF(H2060="credit",CONCATENATE("-$",ROUND(K2060*(1-_xlfn.SINGLE(T2GDiscount))*-1,2)," CREDIT after discount"),IF(_xlfn.SINGLE(T2GDiscount)=0,"",IF(G2060=0,"",IF(F2060="Buy",CONCATENATE("$",ROUND(K2060*(1-_xlfn.SINGLE(T2GDiscount)),2)," with ",(_xlfn.SINGLE(T2GDiscount)*100),"% discount"),CONCATENATE("$",ROUND(K2060*(1-_xlfn.SINGLE(T2GDiscount)),2)," with ",((_xlfn.SINGLE(T2GDiscount)*100+F2060*100)-(_xlfn.SINGLE(T2GDiscount)*100*F2060)),IF(F2060&gt;0,"% discounts",IF(_xlfn.SINGLE(NoWarrantyDiscount)&gt;0,"% discounts","% discount")))))))))</f>
        <v/>
      </c>
      <c r="N2060" s="690"/>
      <c r="O2060" s="486"/>
      <c r="P2060" s="486"/>
      <c r="Q2060" s="486"/>
      <c r="R2060" s="486"/>
      <c r="S2060" s="486"/>
      <c r="T2060" s="102">
        <f t="shared" si="1417"/>
        <v>0</v>
      </c>
      <c r="U2060" s="78">
        <f>IF(NOT(ISNUMBER(G2060)), "", VLOOKUP(A2060,'Discount Lookup'!D:E,2,FALSE)*G2060)</f>
        <v>0</v>
      </c>
      <c r="V2060" s="78">
        <f>IF(NOT(ISNUMBER(G2060)), "", VLOOKUP(A2060,'Discount Lookup'!G:H,2,FALSE)*G2060)</f>
        <v>0</v>
      </c>
      <c r="W2060" s="102">
        <f t="shared" si="1418"/>
        <v>0</v>
      </c>
      <c r="X2060" s="102">
        <f t="shared" si="1419"/>
        <v>0</v>
      </c>
      <c r="Y2060" s="120" t="b">
        <f t="shared" si="1420"/>
        <v>0</v>
      </c>
      <c r="Z2060" s="117">
        <f t="shared" si="1421"/>
        <v>0</v>
      </c>
      <c r="AA2060" s="118"/>
      <c r="AB2060" s="118" t="str">
        <f t="shared" si="1422"/>
        <v/>
      </c>
      <c r="AC2060" s="712" t="str">
        <f>IF(AE2060="T2G","no charge",IF(AND(OR(PlanterYesMe="No",PlanterYesMe="N",PlanterYesMe="me"),H2060=""),"",IF(H2060="credit","NO install",IF(AND(K2060="",AE2060="me"),"EACH row",IF(AND(K2060="images",AE2060="me"),"EACH row",IF(D2060="","",IF(H2060="credit","",IF(AE2060="free","re-planting",IF(AE2060="me","   not ELP, by",IF(AND(OR(PlanterYesMe="Yes",PlanterYesMe="Y"),G2060&gt;0),(VLOOKUP(A2060,'Discount Lookup'!J:K,2)*G2060*(1-PlanterDiscount)*(1+PlanterDifficultyPercentage)),IF(AE2060="ELP",(VLOOKUP(A2060,'Discount Lookup'!J:K,2)*G2060*(1-PlanterDiscount)*(1+PlanterDifficultyPercentage)),IF(AE2060="free","re-planting",IF(G2060=0,"",IF(PlanterYesMe="",IF(AE2060="me","   not ELP, by",IF(AE2060="",IF(G2060&gt;0,(VLOOKUP(A2060,'Discount Lookup'!J:K,2)*G2060*(1-PlanterDiscount)*(1+PlanterDifficultyPercentage)),""),"")),"   not ELP, by"))))))))))))))</f>
        <v/>
      </c>
      <c r="AD2060" s="712"/>
      <c r="AE2060" s="513" t="str">
        <f t="shared" si="1423"/>
        <v/>
      </c>
      <c r="AF2060" s="713" t="str">
        <f t="shared" si="1424"/>
        <v/>
      </c>
      <c r="AG2060" s="713"/>
      <c r="AH2060" s="713"/>
      <c r="AI2060" s="112">
        <f>IF(H2060="credit",0,IF(AE2060="free",0,IF(AE2060="me",0,IF(G2060&gt;0,(VLOOKUP(A2060,'Discount Lookup'!J:K,2)*G2060),0))))</f>
        <v>0</v>
      </c>
      <c r="AJ2060" s="107" t="str">
        <f t="shared" ca="1" si="1425"/>
        <v/>
      </c>
      <c r="AK2060" s="714" t="str">
        <f t="shared" si="1426"/>
        <v/>
      </c>
      <c r="AL2060" s="714"/>
      <c r="AM2060" s="114" t="str">
        <f t="shared" si="1427"/>
        <v/>
      </c>
      <c r="AN2060" s="115"/>
      <c r="AO2060" s="116"/>
      <c r="AP2060" s="116"/>
      <c r="AQ2060" s="116"/>
      <c r="AR2060" s="116"/>
      <c r="AS2060" s="116"/>
      <c r="AT2060" s="116"/>
      <c r="AU2060" s="116"/>
      <c r="AV2060" s="78"/>
      <c r="AW2060" s="102"/>
      <c r="AX2060" s="78"/>
      <c r="AY2060" s="78"/>
      <c r="AZ2060" s="78"/>
      <c r="BA2060" s="78"/>
      <c r="BB2060" s="78"/>
      <c r="BC2060" s="78"/>
      <c r="BD2060" s="78"/>
      <c r="BE2060" s="465"/>
      <c r="BF2060" s="165" t="str">
        <f t="shared" si="1428"/>
        <v>https://www.google.com/search?tbm=isch&amp;q=5%20G6</v>
      </c>
      <c r="BG2060" s="165" t="str">
        <f t="shared" si="1429"/>
        <v>H</v>
      </c>
      <c r="BH2060" s="65"/>
      <c r="BI2060" s="65"/>
      <c r="BJ2060" s="65"/>
      <c r="BK2060" s="65"/>
      <c r="BL2060" s="99"/>
      <c r="BM2060" s="99"/>
      <c r="BN2060" s="99"/>
    </row>
    <row r="2061" spans="1:66" s="51" customFormat="1" ht="17.25" thickBot="1" x14ac:dyDescent="0.3">
      <c r="A2061" s="641" t="s">
        <v>4759</v>
      </c>
      <c r="B2061" s="642"/>
      <c r="C2061" s="710"/>
      <c r="D2061" s="643"/>
      <c r="E2061" s="643"/>
      <c r="F2061" s="644"/>
      <c r="G2061" s="645"/>
      <c r="H2061" s="646"/>
      <c r="I2061" s="647"/>
      <c r="J2061" s="648"/>
      <c r="K2061" s="649"/>
      <c r="L2061" s="650"/>
      <c r="M2061" s="650"/>
      <c r="N2061" s="644"/>
      <c r="O2061" s="644"/>
      <c r="P2061" s="644"/>
      <c r="Q2061" s="644"/>
      <c r="R2061" s="644"/>
      <c r="S2061" s="651"/>
      <c r="T2061" s="102">
        <f t="shared" si="1417"/>
        <v>0</v>
      </c>
      <c r="U2061" s="78" t="str">
        <f>IF(NOT(ISNUMBER(G2061)), "", VLOOKUP(A2061,'Discount Lookup'!D:E,2,FALSE)*G2061)</f>
        <v/>
      </c>
      <c r="V2061" s="78" t="str">
        <f>IF(NOT(ISNUMBER(G2061)), "", VLOOKUP(A2061,'Discount Lookup'!G:H,2,FALSE)*G2061)</f>
        <v/>
      </c>
      <c r="W2061" s="102">
        <f t="shared" si="1418"/>
        <v>0</v>
      </c>
      <c r="X2061" s="102">
        <f t="shared" si="1419"/>
        <v>0</v>
      </c>
      <c r="Y2061" s="120" t="b">
        <f t="shared" si="1420"/>
        <v>0</v>
      </c>
      <c r="Z2061" s="117">
        <f t="shared" si="1421"/>
        <v>0</v>
      </c>
      <c r="AA2061" s="118"/>
      <c r="AB2061" s="118" t="str">
        <f t="shared" si="1422"/>
        <v/>
      </c>
      <c r="AC2061" s="712" t="str">
        <f>IF(AE2061="T2G","no charge",IF(AND(OR(PlanterYesMe="No",PlanterYesMe="N",PlanterYesMe="me"),H2061=""),"",IF(H2061="credit","NO install",IF(AND(K2061="",AE2061="me"),"EACH row",IF(AND(K2061="images",AE2061="me"),"EACH row",IF(D2061="","",IF(H2061="credit","",IF(AE2061="free","re-planting",IF(AE2061="me","   not ELP, by",IF(AND(OR(PlanterYesMe="Yes",PlanterYesMe="Y"),G2061&gt;0),(VLOOKUP(A2061,'Discount Lookup'!J:K,2)*G2061*(1-PlanterDiscount)*(1+PlanterDifficultyPercentage)),IF(AE2061="ELP",(VLOOKUP(A2061,'Discount Lookup'!J:K,2)*G2061*(1-PlanterDiscount)*(1+PlanterDifficultyPercentage)),IF(AE2061="free","re-planting",IF(G2061=0,"",IF(PlanterYesMe="",IF(AE2061="me","   not ELP, by",IF(AE2061="",IF(G2061&gt;0,(VLOOKUP(A2061,'Discount Lookup'!J:K,2)*G2061*(1-PlanterDiscount)*(1+PlanterDifficultyPercentage)),""),"")),"   not ELP, by"))))))))))))))</f>
        <v/>
      </c>
      <c r="AD2061" s="712"/>
      <c r="AE2061" s="513" t="str">
        <f t="shared" si="1423"/>
        <v/>
      </c>
      <c r="AF2061" s="713" t="str">
        <f t="shared" si="1424"/>
        <v/>
      </c>
      <c r="AG2061" s="713"/>
      <c r="AH2061" s="713"/>
      <c r="AI2061" s="112">
        <f>IF(H2061="credit",0,IF(AE2061="free",0,IF(AE2061="me",0,IF(G2061&gt;0,(VLOOKUP(A2061,'Discount Lookup'!J:K,2)*G2061),0))))</f>
        <v>0</v>
      </c>
      <c r="AJ2061" s="107" t="str">
        <f t="shared" ca="1" si="1425"/>
        <v/>
      </c>
      <c r="AK2061" s="714" t="str">
        <f t="shared" si="1426"/>
        <v/>
      </c>
      <c r="AL2061" s="714"/>
      <c r="AM2061" s="114" t="str">
        <f t="shared" si="1427"/>
        <v/>
      </c>
      <c r="AN2061" s="115"/>
      <c r="AO2061" s="116"/>
      <c r="AP2061" s="116"/>
      <c r="AQ2061" s="116"/>
      <c r="AR2061" s="116"/>
      <c r="AS2061" s="116"/>
      <c r="AT2061" s="116"/>
      <c r="AU2061" s="116"/>
      <c r="AV2061" s="78"/>
      <c r="AW2061" s="102"/>
      <c r="AX2061" s="78"/>
      <c r="AY2061" s="78"/>
      <c r="AZ2061" s="78"/>
      <c r="BA2061" s="78"/>
      <c r="BB2061" s="78"/>
      <c r="BC2061" s="78"/>
      <c r="BD2061" s="78"/>
      <c r="BE2061" s="465"/>
      <c r="BF2061" s="165" t="str">
        <f t="shared" si="1428"/>
        <v>https://www.google.com/search?tbm=isch&amp;q=Fire%20Light%20Tidbit%20has%20Green%20foliage.%20All%20%22Hardy%22%20Hydrangea%20have%20cone-shaped%20flowers%20on%20new%20wood.%20Flowers%20change%20color%20with%20age.%20Extremely%20cold-hardy%20</v>
      </c>
      <c r="BG2061" s="165" t="str">
        <f t="shared" si="1429"/>
        <v>F</v>
      </c>
      <c r="BH2061" s="65"/>
      <c r="BI2061" s="65"/>
      <c r="BJ2061" s="65"/>
      <c r="BK2061" s="65"/>
      <c r="BL2061" s="99"/>
      <c r="BM2061" s="99"/>
      <c r="BN2061" s="99"/>
    </row>
    <row r="2062" spans="1:66" s="51" customFormat="1" ht="18" x14ac:dyDescent="0.25">
      <c r="A2062" s="623" t="s">
        <v>2863</v>
      </c>
      <c r="B2062" s="624"/>
      <c r="C2062" s="709"/>
      <c r="D2062" s="625" t="s">
        <v>5700</v>
      </c>
      <c r="E2062" s="626"/>
      <c r="F2062" s="626"/>
      <c r="G2062" s="626"/>
      <c r="H2062" s="622" t="s">
        <v>1471</v>
      </c>
      <c r="I2062" s="627" t="s">
        <v>2853</v>
      </c>
      <c r="J2062" s="628"/>
      <c r="K2062" s="628"/>
      <c r="L2062" s="629"/>
      <c r="M2062" s="700" t="s">
        <v>5249</v>
      </c>
      <c r="N2062" s="693" t="str">
        <f>IF(AND(ISTEXT($A2062), ISERROR($A2062+0)), HYPERLINK($BF2062, "Images"), "")</f>
        <v>Images</v>
      </c>
      <c r="O2062" s="695" t="s">
        <v>5247</v>
      </c>
      <c r="P2062" s="630"/>
      <c r="Q2062" s="631"/>
      <c r="R2062" s="632"/>
      <c r="S2062" s="633"/>
      <c r="T2062" s="102">
        <f t="shared" si="1417"/>
        <v>0</v>
      </c>
      <c r="U2062" s="78" t="str">
        <f>IF(NOT(ISNUMBER(G2062)), "", VLOOKUP(A2062,'Discount Lookup'!D:E,2,FALSE)*G2062)</f>
        <v/>
      </c>
      <c r="V2062" s="78" t="str">
        <f>IF(NOT(ISNUMBER(G2062)), "", VLOOKUP(A2062,'Discount Lookup'!G:H,2,FALSE)*G2062)</f>
        <v/>
      </c>
      <c r="W2062" s="102">
        <f t="shared" si="1418"/>
        <v>0</v>
      </c>
      <c r="X2062" s="102" t="str">
        <f t="shared" si="1419"/>
        <v>White ages to Pink-Red</v>
      </c>
      <c r="Y2062" s="120" t="b">
        <f t="shared" si="1420"/>
        <v>0</v>
      </c>
      <c r="Z2062" s="117">
        <f t="shared" si="1421"/>
        <v>0</v>
      </c>
      <c r="AA2062" s="118"/>
      <c r="AB2062" s="118" t="str">
        <f t="shared" si="1422"/>
        <v/>
      </c>
      <c r="AC2062" s="712" t="str">
        <f>IF(AE2062="T2G","no charge",IF(AND(OR(PlanterYesMe="No",PlanterYesMe="N",PlanterYesMe="me"),H2062=""),"",IF(H2062="credit","NO install",IF(AND(K2062="",AE2062="me"),"EACH row",IF(AND(K2062="images",AE2062="me"),"EACH row",IF(D2062="","",IF(H2062="credit","",IF(AE2062="free","re-planting",IF(AE2062="me","   not ELP, by",IF(AND(OR(PlanterYesMe="Yes",PlanterYesMe="Y"),G2062&gt;0),(VLOOKUP(A2062,'Discount Lookup'!J:K,2)*G2062*(1-PlanterDiscount)*(1+PlanterDifficultyPercentage)),IF(AE2062="ELP",(VLOOKUP(A2062,'Discount Lookup'!J:K,2)*G2062*(1-PlanterDiscount)*(1+PlanterDifficultyPercentage)),IF(AE2062="free","re-planting",IF(G2062=0,"",IF(PlanterYesMe="",IF(AE2062="me","   not ELP, by",IF(AE2062="",IF(G2062&gt;0,(VLOOKUP(A2062,'Discount Lookup'!J:K,2)*G2062*(1-PlanterDiscount)*(1+PlanterDifficultyPercentage)),""),"")),"   not ELP, by"))))))))))))))</f>
        <v/>
      </c>
      <c r="AD2062" s="712"/>
      <c r="AE2062" s="513" t="str">
        <f t="shared" si="1423"/>
        <v/>
      </c>
      <c r="AF2062" s="713" t="str">
        <f t="shared" si="1424"/>
        <v/>
      </c>
      <c r="AG2062" s="713"/>
      <c r="AH2062" s="713"/>
      <c r="AI2062" s="112">
        <f>IF(H2062="credit",0,IF(AE2062="free",0,IF(AE2062="me",0,IF(G2062&gt;0,(VLOOKUP(A2062,'Discount Lookup'!J:K,2)*G2062),0))))</f>
        <v>0</v>
      </c>
      <c r="AJ2062" s="107" t="str">
        <f t="shared" ca="1" si="1425"/>
        <v/>
      </c>
      <c r="AK2062" s="714" t="str">
        <f t="shared" si="1426"/>
        <v/>
      </c>
      <c r="AL2062" s="714"/>
      <c r="AM2062" s="114" t="str">
        <f t="shared" si="1427"/>
        <v/>
      </c>
      <c r="AN2062" s="115"/>
      <c r="AO2062" s="116"/>
      <c r="AP2062" s="116"/>
      <c r="AQ2062" s="116"/>
      <c r="AR2062" s="116"/>
      <c r="AS2062" s="116"/>
      <c r="AT2062" s="116"/>
      <c r="AU2062" s="116"/>
      <c r="AV2062" s="78"/>
      <c r="AW2062" s="102"/>
      <c r="AX2062" s="78"/>
      <c r="AY2062" s="78"/>
      <c r="AZ2062" s="78"/>
      <c r="BA2062" s="78"/>
      <c r="BB2062" s="78"/>
      <c r="BC2062" s="78"/>
      <c r="BD2062" s="78"/>
      <c r="BE2062" s="465"/>
      <c r="BF2062" s="165" t="str">
        <f t="shared" si="1428"/>
        <v>https://www.google.com/search?tbm=isch&amp;q=Hyd.%20paniculata%20%27SMNHPM%27%20PP%2332513%20Quick%20Fire%20Fab%C2%AE%20Hydrangea</v>
      </c>
      <c r="BG2062" s="165" t="str">
        <f t="shared" si="1429"/>
        <v>H</v>
      </c>
      <c r="BH2062" s="65"/>
      <c r="BI2062" s="65"/>
      <c r="BJ2062" s="65"/>
      <c r="BK2062" s="65"/>
      <c r="BL2062" s="99"/>
      <c r="BM2062" s="99"/>
      <c r="BN2062" s="99"/>
    </row>
    <row r="2063" spans="1:66" s="51" customFormat="1" ht="15.75" x14ac:dyDescent="0.25">
      <c r="A2063" s="634">
        <v>7</v>
      </c>
      <c r="B2063" s="635" t="s">
        <v>291</v>
      </c>
      <c r="C2063" s="636" t="s">
        <v>12</v>
      </c>
      <c r="D2063" s="637" t="s">
        <v>329</v>
      </c>
      <c r="E2063" s="638">
        <v>153.94999999999999</v>
      </c>
      <c r="F2063" s="639" t="s">
        <v>292</v>
      </c>
      <c r="G2063" s="484">
        <v>0</v>
      </c>
      <c r="H2063" s="691" t="str">
        <f>IF(G2063=0,"",IF(F2063="Buy",IF(G2063=1,"plant","plants"),IF(F2063&gt;0.01,"warranty","Error")))</f>
        <v/>
      </c>
      <c r="I2063" s="640">
        <f>IF(H2063="free",0,IF(H2063="credit",((E2063*(F2063))*G2063*-1),IF(F2063="Buy",(E2063*G2063),((E2063*(1-F2063))*G2063))))</f>
        <v>0</v>
      </c>
      <c r="J2063" s="640">
        <f>IF(H2063="warranty",0,(I2063*(_xlfn.SINGLE(SalesTaxPercentage))))</f>
        <v>0</v>
      </c>
      <c r="K2063" s="716">
        <f t="shared" ref="K2063" si="1472">I2063+J2063</f>
        <v>0</v>
      </c>
      <c r="L2063" s="716"/>
      <c r="M2063" s="689" t="str">
        <f ca="1">IF(AND(G2063&gt;0,E2063=0),"WARNING - no PRICE inserted",IF(H2063="free","FREE ~ no charge this plant",IF(H2063="credit",CONCATENATE("-$",ROUND(K2063*(1-_xlfn.SINGLE(T2GDiscount))*-1,2)," CREDIT after discount"),IF(_xlfn.SINGLE(T2GDiscount)=0,"",IF(G2063=0,"",IF(F2063="Buy",CONCATENATE("$",ROUND(K2063*(1-_xlfn.SINGLE(T2GDiscount)),2)," with ",(_xlfn.SINGLE(T2GDiscount)*100),"% discount"),CONCATENATE("$",ROUND(K2063*(1-_xlfn.SINGLE(T2GDiscount)),2)," with ",((_xlfn.SINGLE(T2GDiscount)*100+F2063*100)-(_xlfn.SINGLE(T2GDiscount)*100*F2063)),IF(F2063&gt;0,"% discounts",IF(_xlfn.SINGLE(NoWarrantyDiscount)&gt;0,"% discounts","% discount")))))))))</f>
        <v/>
      </c>
      <c r="N2063" s="690"/>
      <c r="O2063" s="486"/>
      <c r="P2063" s="486"/>
      <c r="Q2063" s="486"/>
      <c r="R2063" s="486"/>
      <c r="S2063" s="486"/>
      <c r="T2063" s="102">
        <f t="shared" si="1417"/>
        <v>0</v>
      </c>
      <c r="U2063" s="78">
        <f>IF(NOT(ISNUMBER(G2063)), "", VLOOKUP(A2063,'Discount Lookup'!D:E,2,FALSE)*G2063)</f>
        <v>0</v>
      </c>
      <c r="V2063" s="78">
        <f>IF(NOT(ISNUMBER(G2063)), "", VLOOKUP(A2063,'Discount Lookup'!G:H,2,FALSE)*G2063)</f>
        <v>0</v>
      </c>
      <c r="W2063" s="102">
        <f t="shared" si="1418"/>
        <v>0</v>
      </c>
      <c r="X2063" s="102">
        <f t="shared" si="1419"/>
        <v>0</v>
      </c>
      <c r="Y2063" s="120" t="b">
        <f t="shared" si="1420"/>
        <v>0</v>
      </c>
      <c r="Z2063" s="117">
        <f t="shared" si="1421"/>
        <v>0</v>
      </c>
      <c r="AA2063" s="118"/>
      <c r="AB2063" s="118" t="str">
        <f t="shared" si="1422"/>
        <v/>
      </c>
      <c r="AC2063" s="712" t="str">
        <f>IF(AE2063="T2G","no charge",IF(AND(OR(PlanterYesMe="No",PlanterYesMe="N",PlanterYesMe="me"),H2063=""),"",IF(H2063="credit","NO install",IF(AND(K2063="",AE2063="me"),"EACH row",IF(AND(K2063="images",AE2063="me"),"EACH row",IF(D2063="","",IF(H2063="credit","",IF(AE2063="free","re-planting",IF(AE2063="me","   not ELP, by",IF(AND(OR(PlanterYesMe="Yes",PlanterYesMe="Y"),G2063&gt;0),(VLOOKUP(A2063,'Discount Lookup'!J:K,2)*G2063*(1-PlanterDiscount)*(1+PlanterDifficultyPercentage)),IF(AE2063="ELP",(VLOOKUP(A2063,'Discount Lookup'!J:K,2)*G2063*(1-PlanterDiscount)*(1+PlanterDifficultyPercentage)),IF(AE2063="free","re-planting",IF(G2063=0,"",IF(PlanterYesMe="",IF(AE2063="me","   not ELP, by",IF(AE2063="",IF(G2063&gt;0,(VLOOKUP(A2063,'Discount Lookup'!J:K,2)*G2063*(1-PlanterDiscount)*(1+PlanterDifficultyPercentage)),""),"")),"   not ELP, by"))))))))))))))</f>
        <v/>
      </c>
      <c r="AD2063" s="712"/>
      <c r="AE2063" s="513" t="str">
        <f t="shared" si="1423"/>
        <v/>
      </c>
      <c r="AF2063" s="713" t="str">
        <f t="shared" si="1424"/>
        <v/>
      </c>
      <c r="AG2063" s="713"/>
      <c r="AH2063" s="713"/>
      <c r="AI2063" s="112">
        <f>IF(H2063="credit",0,IF(AE2063="free",0,IF(AE2063="me",0,IF(G2063&gt;0,(VLOOKUP(A2063,'Discount Lookup'!J:K,2)*G2063),0))))</f>
        <v>0</v>
      </c>
      <c r="AJ2063" s="107" t="str">
        <f t="shared" ca="1" si="1425"/>
        <v/>
      </c>
      <c r="AK2063" s="714" t="str">
        <f t="shared" si="1426"/>
        <v/>
      </c>
      <c r="AL2063" s="714"/>
      <c r="AM2063" s="114" t="str">
        <f t="shared" si="1427"/>
        <v/>
      </c>
      <c r="AN2063" s="115"/>
      <c r="AO2063" s="116"/>
      <c r="AP2063" s="116"/>
      <c r="AQ2063" s="116"/>
      <c r="AR2063" s="116"/>
      <c r="AS2063" s="116"/>
      <c r="AT2063" s="116"/>
      <c r="AU2063" s="116"/>
      <c r="AV2063" s="78"/>
      <c r="AW2063" s="102"/>
      <c r="AX2063" s="78"/>
      <c r="AY2063" s="78"/>
      <c r="AZ2063" s="78"/>
      <c r="BA2063" s="78"/>
      <c r="BB2063" s="78"/>
      <c r="BC2063" s="78"/>
      <c r="BD2063" s="78"/>
      <c r="BE2063" s="465"/>
      <c r="BF2063" s="165" t="str">
        <f t="shared" si="1428"/>
        <v>https://www.google.com/search?tbm=isch&amp;q=7%20G2</v>
      </c>
      <c r="BG2063" s="165" t="str">
        <f t="shared" si="1429"/>
        <v>H</v>
      </c>
      <c r="BH2063" s="65"/>
      <c r="BI2063" s="65"/>
      <c r="BJ2063" s="65"/>
      <c r="BK2063" s="65"/>
      <c r="BL2063" s="99"/>
      <c r="BM2063" s="99"/>
      <c r="BN2063" s="99"/>
    </row>
    <row r="2064" spans="1:66" s="51" customFormat="1" ht="17.25" thickBot="1" x14ac:dyDescent="0.3">
      <c r="A2064" s="641" t="s">
        <v>4760</v>
      </c>
      <c r="B2064" s="642"/>
      <c r="C2064" s="710"/>
      <c r="D2064" s="643"/>
      <c r="E2064" s="643"/>
      <c r="F2064" s="644"/>
      <c r="G2064" s="645"/>
      <c r="H2064" s="646"/>
      <c r="I2064" s="647"/>
      <c r="J2064" s="648"/>
      <c r="K2064" s="649"/>
      <c r="L2064" s="650"/>
      <c r="M2064" s="650"/>
      <c r="N2064" s="644"/>
      <c r="O2064" s="644"/>
      <c r="P2064" s="644"/>
      <c r="Q2064" s="644"/>
      <c r="R2064" s="644"/>
      <c r="S2064" s="651"/>
      <c r="T2064" s="102">
        <f t="shared" si="1417"/>
        <v>0</v>
      </c>
      <c r="U2064" s="78" t="str">
        <f>IF(NOT(ISNUMBER(G2064)), "", VLOOKUP(A2064,'Discount Lookup'!D:E,2,FALSE)*G2064)</f>
        <v/>
      </c>
      <c r="V2064" s="78" t="str">
        <f>IF(NOT(ISNUMBER(G2064)), "", VLOOKUP(A2064,'Discount Lookup'!G:H,2,FALSE)*G2064)</f>
        <v/>
      </c>
      <c r="W2064" s="102">
        <f t="shared" si="1418"/>
        <v>0</v>
      </c>
      <c r="X2064" s="102">
        <f t="shared" si="1419"/>
        <v>0</v>
      </c>
      <c r="Y2064" s="120" t="b">
        <f t="shared" si="1420"/>
        <v>0</v>
      </c>
      <c r="Z2064" s="117">
        <f t="shared" si="1421"/>
        <v>0</v>
      </c>
      <c r="AA2064" s="118"/>
      <c r="AB2064" s="118" t="str">
        <f t="shared" si="1422"/>
        <v/>
      </c>
      <c r="AC2064" s="712" t="str">
        <f>IF(AE2064="T2G","no charge",IF(AND(OR(PlanterYesMe="No",PlanterYesMe="N",PlanterYesMe="me"),H2064=""),"",IF(H2064="credit","NO install",IF(AND(K2064="",AE2064="me"),"EACH row",IF(AND(K2064="images",AE2064="me"),"EACH row",IF(D2064="","",IF(H2064="credit","",IF(AE2064="free","re-planting",IF(AE2064="me","   not ELP, by",IF(AND(OR(PlanterYesMe="Yes",PlanterYesMe="Y"),G2064&gt;0),(VLOOKUP(A2064,'Discount Lookup'!J:K,2)*G2064*(1-PlanterDiscount)*(1+PlanterDifficultyPercentage)),IF(AE2064="ELP",(VLOOKUP(A2064,'Discount Lookup'!J:K,2)*G2064*(1-PlanterDiscount)*(1+PlanterDifficultyPercentage)),IF(AE2064="free","re-planting",IF(G2064=0,"",IF(PlanterYesMe="",IF(AE2064="me","   not ELP, by",IF(AE2064="",IF(G2064&gt;0,(VLOOKUP(A2064,'Discount Lookup'!J:K,2)*G2064*(1-PlanterDiscount)*(1+PlanterDifficultyPercentage)),""),"")),"   not ELP, by"))))))))))))))</f>
        <v/>
      </c>
      <c r="AD2064" s="712"/>
      <c r="AE2064" s="513" t="str">
        <f t="shared" si="1423"/>
        <v/>
      </c>
      <c r="AF2064" s="713" t="str">
        <f t="shared" si="1424"/>
        <v/>
      </c>
      <c r="AG2064" s="713"/>
      <c r="AH2064" s="713"/>
      <c r="AI2064" s="112">
        <f>IF(H2064="credit",0,IF(AE2064="free",0,IF(AE2064="me",0,IF(G2064&gt;0,(VLOOKUP(A2064,'Discount Lookup'!J:K,2)*G2064),0))))</f>
        <v>0</v>
      </c>
      <c r="AJ2064" s="107" t="str">
        <f t="shared" ca="1" si="1425"/>
        <v/>
      </c>
      <c r="AK2064" s="714" t="str">
        <f t="shared" si="1426"/>
        <v/>
      </c>
      <c r="AL2064" s="714"/>
      <c r="AM2064" s="114" t="str">
        <f t="shared" si="1427"/>
        <v/>
      </c>
      <c r="AN2064" s="115"/>
      <c r="AO2064" s="116"/>
      <c r="AP2064" s="116"/>
      <c r="AQ2064" s="116"/>
      <c r="AR2064" s="116"/>
      <c r="AS2064" s="116"/>
      <c r="AT2064" s="116"/>
      <c r="AU2064" s="116"/>
      <c r="AV2064" s="78"/>
      <c r="AW2064" s="102"/>
      <c r="AX2064" s="78"/>
      <c r="AY2064" s="78"/>
      <c r="AZ2064" s="78"/>
      <c r="BA2064" s="78"/>
      <c r="BB2064" s="78"/>
      <c r="BC2064" s="78"/>
      <c r="BD2064" s="78"/>
      <c r="BE2064" s="465"/>
      <c r="BF2064" s="165" t="str">
        <f t="shared" si="1428"/>
        <v>https://www.google.com/search?tbm=isch&amp;q=Quick%20Fire%20Fab%20has%20Green%20foliage.%20All%20%22Hardy%22%20Hydrangea%20have%20cone-shaped%20flowers%20on%20new%20wood.%20Flowers%20change%20color%20with%20age.%20Extremely%20cold-hardy%20</v>
      </c>
      <c r="BG2064" s="165" t="str">
        <f t="shared" si="1429"/>
        <v>Q</v>
      </c>
      <c r="BH2064" s="65"/>
      <c r="BI2064" s="65"/>
      <c r="BJ2064" s="65"/>
      <c r="BK2064" s="65"/>
      <c r="BL2064" s="99"/>
      <c r="BM2064" s="99"/>
      <c r="BN2064" s="99"/>
    </row>
    <row r="2065" spans="1:66" s="51" customFormat="1" ht="18" x14ac:dyDescent="0.25">
      <c r="A2065" s="623" t="s">
        <v>2864</v>
      </c>
      <c r="B2065" s="624"/>
      <c r="C2065" s="709"/>
      <c r="D2065" s="625" t="s">
        <v>5894</v>
      </c>
      <c r="E2065" s="626"/>
      <c r="F2065" s="626"/>
      <c r="G2065" s="626"/>
      <c r="H2065" s="622" t="s">
        <v>1528</v>
      </c>
      <c r="I2065" s="627" t="s">
        <v>2834</v>
      </c>
      <c r="J2065" s="628"/>
      <c r="K2065" s="628"/>
      <c r="L2065" s="629"/>
      <c r="M2065" s="700" t="s">
        <v>5249</v>
      </c>
      <c r="N2065" s="693" t="str">
        <f>IF(AND(ISTEXT($A2065), ISERROR($A2065+0)), HYPERLINK($BF2065, "Images"), "")</f>
        <v>Images</v>
      </c>
      <c r="O2065" s="695" t="s">
        <v>5247</v>
      </c>
      <c r="P2065" s="630"/>
      <c r="Q2065" s="631"/>
      <c r="R2065" s="632"/>
      <c r="S2065" s="633"/>
      <c r="T2065" s="102">
        <f t="shared" si="1417"/>
        <v>0</v>
      </c>
      <c r="U2065" s="78" t="str">
        <f>IF(NOT(ISNUMBER(G2065)), "", VLOOKUP(A2065,'Discount Lookup'!D:E,2,FALSE)*G2065)</f>
        <v/>
      </c>
      <c r="V2065" s="78" t="str">
        <f>IF(NOT(ISNUMBER(G2065)), "", VLOOKUP(A2065,'Discount Lookup'!G:H,2,FALSE)*G2065)</f>
        <v/>
      </c>
      <c r="W2065" s="102">
        <f t="shared" si="1418"/>
        <v>0</v>
      </c>
      <c r="X2065" s="102" t="str">
        <f t="shared" si="1419"/>
        <v>Lime Green ages to Pink</v>
      </c>
      <c r="Y2065" s="120" t="b">
        <f t="shared" si="1420"/>
        <v>0</v>
      </c>
      <c r="Z2065" s="117">
        <f t="shared" si="1421"/>
        <v>0</v>
      </c>
      <c r="AA2065" s="118"/>
      <c r="AB2065" s="118" t="str">
        <f t="shared" si="1422"/>
        <v/>
      </c>
      <c r="AC2065" s="712" t="str">
        <f>IF(AE2065="T2G","no charge",IF(AND(OR(PlanterYesMe="No",PlanterYesMe="N",PlanterYesMe="me"),H2065=""),"",IF(H2065="credit","NO install",IF(AND(K2065="",AE2065="me"),"EACH row",IF(AND(K2065="images",AE2065="me"),"EACH row",IF(D2065="","",IF(H2065="credit","",IF(AE2065="free","re-planting",IF(AE2065="me","   not ELP, by",IF(AND(OR(PlanterYesMe="Yes",PlanterYesMe="Y"),G2065&gt;0),(VLOOKUP(A2065,'Discount Lookup'!J:K,2)*G2065*(1-PlanterDiscount)*(1+PlanterDifficultyPercentage)),IF(AE2065="ELP",(VLOOKUP(A2065,'Discount Lookup'!J:K,2)*G2065*(1-PlanterDiscount)*(1+PlanterDifficultyPercentage)),IF(AE2065="free","re-planting",IF(G2065=0,"",IF(PlanterYesMe="",IF(AE2065="me","   not ELP, by",IF(AE2065="",IF(G2065&gt;0,(VLOOKUP(A2065,'Discount Lookup'!J:K,2)*G2065*(1-PlanterDiscount)*(1+PlanterDifficultyPercentage)),""),"")),"   not ELP, by"))))))))))))))</f>
        <v/>
      </c>
      <c r="AD2065" s="712"/>
      <c r="AE2065" s="513" t="str">
        <f t="shared" si="1423"/>
        <v/>
      </c>
      <c r="AF2065" s="713" t="str">
        <f t="shared" si="1424"/>
        <v/>
      </c>
      <c r="AG2065" s="713"/>
      <c r="AH2065" s="713"/>
      <c r="AI2065" s="112">
        <f>IF(H2065="credit",0,IF(AE2065="free",0,IF(AE2065="me",0,IF(G2065&gt;0,(VLOOKUP(A2065,'Discount Lookup'!J:K,2)*G2065),0))))</f>
        <v>0</v>
      </c>
      <c r="AJ2065" s="107" t="str">
        <f t="shared" ca="1" si="1425"/>
        <v/>
      </c>
      <c r="AK2065" s="714" t="str">
        <f t="shared" si="1426"/>
        <v/>
      </c>
      <c r="AL2065" s="714"/>
      <c r="AM2065" s="114" t="str">
        <f t="shared" si="1427"/>
        <v/>
      </c>
      <c r="AN2065" s="115"/>
      <c r="AO2065" s="116"/>
      <c r="AP2065" s="116"/>
      <c r="AQ2065" s="116"/>
      <c r="AR2065" s="116"/>
      <c r="AS2065" s="116"/>
      <c r="AT2065" s="116"/>
      <c r="AU2065" s="116"/>
      <c r="AV2065" s="78"/>
      <c r="AW2065" s="102"/>
      <c r="AX2065" s="78"/>
      <c r="AY2065" s="78"/>
      <c r="AZ2065" s="78"/>
      <c r="BA2065" s="78"/>
      <c r="BB2065" s="78"/>
      <c r="BC2065" s="78"/>
      <c r="BD2065" s="78"/>
      <c r="BE2065" s="465"/>
      <c r="BF2065" s="165" t="str">
        <f t="shared" si="1428"/>
        <v>https://www.google.com/search?tbm=isch&amp;q=Hyd.%20paniculata%20%27SMNHPPH%27%20PP%2332511%20Limelight%20Prime%C2%AE%20Hydrangea%20%28PW%C2%AE%29</v>
      </c>
      <c r="BG2065" s="165" t="str">
        <f t="shared" si="1429"/>
        <v>H</v>
      </c>
      <c r="BH2065" s="65"/>
      <c r="BI2065" s="65"/>
      <c r="BJ2065" s="65"/>
      <c r="BK2065" s="65"/>
      <c r="BL2065" s="99"/>
      <c r="BM2065" s="99"/>
      <c r="BN2065" s="99"/>
    </row>
    <row r="2066" spans="1:66" s="51" customFormat="1" ht="15.75" x14ac:dyDescent="0.25">
      <c r="A2066" s="634">
        <v>3</v>
      </c>
      <c r="B2066" s="635" t="s">
        <v>291</v>
      </c>
      <c r="C2066" s="636" t="s">
        <v>5175</v>
      </c>
      <c r="D2066" s="637" t="s">
        <v>299</v>
      </c>
      <c r="E2066" s="638">
        <v>40.950000000000003</v>
      </c>
      <c r="F2066" s="639" t="s">
        <v>292</v>
      </c>
      <c r="G2066" s="484">
        <v>0</v>
      </c>
      <c r="H2066" s="691" t="str">
        <f t="shared" ref="H2066:H2071" si="1473">IF(G2066=0,"",IF(F2066="Buy",IF(G2066=1,"plant","plants"),IF(F2066&gt;0.01,"warranty","Error")))</f>
        <v/>
      </c>
      <c r="I2066" s="640">
        <f t="shared" ref="I2066:I2071" si="1474">IF(H2066="free",0,IF(H2066="credit",((E2066*(F2066))*G2066*-1),IF(F2066="Buy",(E2066*G2066),((E2066*(1-F2066))*G2066))))</f>
        <v>0</v>
      </c>
      <c r="J2066" s="640">
        <f t="shared" ref="J2066:J2071" si="1475">IF(H2066="warranty",0,(I2066*(_xlfn.SINGLE(SalesTaxPercentage))))</f>
        <v>0</v>
      </c>
      <c r="K2066" s="716">
        <f t="shared" ref="K2066" si="1476">I2066+J2066</f>
        <v>0</v>
      </c>
      <c r="L2066" s="716"/>
      <c r="M2066" s="689" t="str">
        <f t="shared" ref="M2066:M2071" ca="1" si="1477">IF(AND(G2066&gt;0,E2066=0),"WARNING - no PRICE inserted",IF(H2066="free","FREE ~ no charge this plant",IF(H2066="credit",CONCATENATE("-$",ROUND(K2066*(1-_xlfn.SINGLE(T2GDiscount))*-1,2)," CREDIT after discount"),IF(_xlfn.SINGLE(T2GDiscount)=0,"",IF(G2066=0,"",IF(F2066="Buy",CONCATENATE("$",ROUND(K2066*(1-_xlfn.SINGLE(T2GDiscount)),2)," with ",(_xlfn.SINGLE(T2GDiscount)*100),"% discount"),CONCATENATE("$",ROUND(K2066*(1-_xlfn.SINGLE(T2GDiscount)),2)," with ",((_xlfn.SINGLE(T2GDiscount)*100+F2066*100)-(_xlfn.SINGLE(T2GDiscount)*100*F2066)),IF(F2066&gt;0,"% discounts",IF(_xlfn.SINGLE(NoWarrantyDiscount)&gt;0,"% discounts","% discount")))))))))</f>
        <v/>
      </c>
      <c r="N2066" s="690"/>
      <c r="O2066" s="486"/>
      <c r="P2066" s="486"/>
      <c r="Q2066" s="486"/>
      <c r="R2066" s="486"/>
      <c r="S2066" s="486"/>
      <c r="T2066" s="102">
        <f t="shared" si="1417"/>
        <v>0</v>
      </c>
      <c r="U2066" s="78">
        <f>IF(NOT(ISNUMBER(G2066)), "", VLOOKUP(A2066,'Discount Lookup'!D:E,2,FALSE)*G2066)</f>
        <v>0</v>
      </c>
      <c r="V2066" s="78">
        <f>IF(NOT(ISNUMBER(G2066)), "", VLOOKUP(A2066,'Discount Lookup'!G:H,2,FALSE)*G2066)</f>
        <v>0</v>
      </c>
      <c r="W2066" s="102">
        <f t="shared" si="1418"/>
        <v>0</v>
      </c>
      <c r="X2066" s="102">
        <f t="shared" si="1419"/>
        <v>0</v>
      </c>
      <c r="Y2066" s="120" t="b">
        <f t="shared" si="1420"/>
        <v>0</v>
      </c>
      <c r="Z2066" s="117">
        <f t="shared" si="1421"/>
        <v>0</v>
      </c>
      <c r="AA2066" s="118"/>
      <c r="AB2066" s="118" t="str">
        <f t="shared" si="1422"/>
        <v/>
      </c>
      <c r="AC2066" s="712" t="str">
        <f>IF(AE2066="T2G","no charge",IF(AND(OR(PlanterYesMe="No",PlanterYesMe="N",PlanterYesMe="me"),H2066=""),"",IF(H2066="credit","NO install",IF(AND(K2066="",AE2066="me"),"EACH row",IF(AND(K2066="images",AE2066="me"),"EACH row",IF(D2066="","",IF(H2066="credit","",IF(AE2066="free","re-planting",IF(AE2066="me","   not ELP, by",IF(AND(OR(PlanterYesMe="Yes",PlanterYesMe="Y"),G2066&gt;0),(VLOOKUP(A2066,'Discount Lookup'!J:K,2)*G2066*(1-PlanterDiscount)*(1+PlanterDifficultyPercentage)),IF(AE2066="ELP",(VLOOKUP(A2066,'Discount Lookup'!J:K,2)*G2066*(1-PlanterDiscount)*(1+PlanterDifficultyPercentage)),IF(AE2066="free","re-planting",IF(G2066=0,"",IF(PlanterYesMe="",IF(AE2066="me","   not ELP, by",IF(AE2066="",IF(G2066&gt;0,(VLOOKUP(A2066,'Discount Lookup'!J:K,2)*G2066*(1-PlanterDiscount)*(1+PlanterDifficultyPercentage)),""),"")),"   not ELP, by"))))))))))))))</f>
        <v/>
      </c>
      <c r="AD2066" s="712"/>
      <c r="AE2066" s="513" t="str">
        <f t="shared" si="1423"/>
        <v/>
      </c>
      <c r="AF2066" s="713" t="str">
        <f t="shared" si="1424"/>
        <v/>
      </c>
      <c r="AG2066" s="713"/>
      <c r="AH2066" s="713"/>
      <c r="AI2066" s="112">
        <f>IF(H2066="credit",0,IF(AE2066="free",0,IF(AE2066="me",0,IF(G2066&gt;0,(VLOOKUP(A2066,'Discount Lookup'!J:K,2)*G2066),0))))</f>
        <v>0</v>
      </c>
      <c r="AJ2066" s="107" t="str">
        <f t="shared" ca="1" si="1425"/>
        <v/>
      </c>
      <c r="AK2066" s="714" t="str">
        <f t="shared" si="1426"/>
        <v/>
      </c>
      <c r="AL2066" s="714"/>
      <c r="AM2066" s="114" t="str">
        <f t="shared" si="1427"/>
        <v/>
      </c>
      <c r="AN2066" s="115"/>
      <c r="AO2066" s="116"/>
      <c r="AP2066" s="116"/>
      <c r="AQ2066" s="116"/>
      <c r="AR2066" s="116"/>
      <c r="AS2066" s="116"/>
      <c r="AT2066" s="116"/>
      <c r="AU2066" s="116"/>
      <c r="AV2066" s="78"/>
      <c r="AW2066" s="102"/>
      <c r="AX2066" s="78"/>
      <c r="AY2066" s="78"/>
      <c r="AZ2066" s="78"/>
      <c r="BA2066" s="78"/>
      <c r="BB2066" s="78"/>
      <c r="BC2066" s="78"/>
      <c r="BD2066" s="78"/>
      <c r="BE2066" s="465"/>
      <c r="BF2066" s="165" t="str">
        <f t="shared" si="1428"/>
        <v>https://www.google.com/search?tbm=isch&amp;q=3%20G4</v>
      </c>
      <c r="BG2066" s="165" t="str">
        <f t="shared" si="1429"/>
        <v>H</v>
      </c>
      <c r="BH2066" s="65"/>
      <c r="BI2066" s="65"/>
      <c r="BJ2066" s="65"/>
      <c r="BK2066" s="65"/>
      <c r="BL2066" s="99"/>
      <c r="BM2066" s="99"/>
      <c r="BN2066" s="99"/>
    </row>
    <row r="2067" spans="1:66" s="51" customFormat="1" ht="15.75" x14ac:dyDescent="0.25">
      <c r="A2067" s="634">
        <v>3</v>
      </c>
      <c r="B2067" s="635" t="s">
        <v>291</v>
      </c>
      <c r="C2067" s="636" t="s">
        <v>2865</v>
      </c>
      <c r="D2067" s="637" t="s">
        <v>329</v>
      </c>
      <c r="E2067" s="638">
        <v>42.95</v>
      </c>
      <c r="F2067" s="639" t="s">
        <v>292</v>
      </c>
      <c r="G2067" s="484">
        <v>0</v>
      </c>
      <c r="H2067" s="691" t="str">
        <f t="shared" si="1473"/>
        <v/>
      </c>
      <c r="I2067" s="640">
        <f t="shared" si="1474"/>
        <v>0</v>
      </c>
      <c r="J2067" s="640">
        <f t="shared" si="1475"/>
        <v>0</v>
      </c>
      <c r="K2067" s="716">
        <f t="shared" ref="K2067" si="1478">I2067+J2067</f>
        <v>0</v>
      </c>
      <c r="L2067" s="716"/>
      <c r="M2067" s="689" t="str">
        <f t="shared" ca="1" si="1477"/>
        <v/>
      </c>
      <c r="N2067" s="690"/>
      <c r="O2067" s="486"/>
      <c r="P2067" s="486"/>
      <c r="Q2067" s="486"/>
      <c r="R2067" s="486"/>
      <c r="S2067" s="486"/>
      <c r="T2067" s="102">
        <f t="shared" si="1417"/>
        <v>0</v>
      </c>
      <c r="U2067" s="78">
        <f>IF(NOT(ISNUMBER(G2067)), "", VLOOKUP(A2067,'Discount Lookup'!D:E,2,FALSE)*G2067)</f>
        <v>0</v>
      </c>
      <c r="V2067" s="78">
        <f>IF(NOT(ISNUMBER(G2067)), "", VLOOKUP(A2067,'Discount Lookup'!G:H,2,FALSE)*G2067)</f>
        <v>0</v>
      </c>
      <c r="W2067" s="102">
        <f t="shared" si="1418"/>
        <v>0</v>
      </c>
      <c r="X2067" s="102">
        <f t="shared" si="1419"/>
        <v>0</v>
      </c>
      <c r="Y2067" s="120" t="b">
        <f t="shared" si="1420"/>
        <v>0</v>
      </c>
      <c r="Z2067" s="117">
        <f t="shared" si="1421"/>
        <v>0</v>
      </c>
      <c r="AA2067" s="118"/>
      <c r="AB2067" s="118" t="str">
        <f t="shared" si="1422"/>
        <v/>
      </c>
      <c r="AC2067" s="712" t="str">
        <f>IF(AE2067="T2G","no charge",IF(AND(OR(PlanterYesMe="No",PlanterYesMe="N",PlanterYesMe="me"),H2067=""),"",IF(H2067="credit","NO install",IF(AND(K2067="",AE2067="me"),"EACH row",IF(AND(K2067="images",AE2067="me"),"EACH row",IF(D2067="","",IF(H2067="credit","",IF(AE2067="free","re-planting",IF(AE2067="me","   not ELP, by",IF(AND(OR(PlanterYesMe="Yes",PlanterYesMe="Y"),G2067&gt;0),(VLOOKUP(A2067,'Discount Lookup'!J:K,2)*G2067*(1-PlanterDiscount)*(1+PlanterDifficultyPercentage)),IF(AE2067="ELP",(VLOOKUP(A2067,'Discount Lookup'!J:K,2)*G2067*(1-PlanterDiscount)*(1+PlanterDifficultyPercentage)),IF(AE2067="free","re-planting",IF(G2067=0,"",IF(PlanterYesMe="",IF(AE2067="me","   not ELP, by",IF(AE2067="",IF(G2067&gt;0,(VLOOKUP(A2067,'Discount Lookup'!J:K,2)*G2067*(1-PlanterDiscount)*(1+PlanterDifficultyPercentage)),""),"")),"   not ELP, by"))))))))))))))</f>
        <v/>
      </c>
      <c r="AD2067" s="712"/>
      <c r="AE2067" s="513" t="str">
        <f t="shared" si="1423"/>
        <v/>
      </c>
      <c r="AF2067" s="713" t="str">
        <f t="shared" si="1424"/>
        <v/>
      </c>
      <c r="AG2067" s="713"/>
      <c r="AH2067" s="713"/>
      <c r="AI2067" s="112">
        <f>IF(H2067="credit",0,IF(AE2067="free",0,IF(AE2067="me",0,IF(G2067&gt;0,(VLOOKUP(A2067,'Discount Lookup'!J:K,2)*G2067),0))))</f>
        <v>0</v>
      </c>
      <c r="AJ2067" s="107" t="str">
        <f t="shared" ca="1" si="1425"/>
        <v/>
      </c>
      <c r="AK2067" s="714" t="str">
        <f t="shared" si="1426"/>
        <v/>
      </c>
      <c r="AL2067" s="714"/>
      <c r="AM2067" s="114" t="str">
        <f t="shared" si="1427"/>
        <v/>
      </c>
      <c r="AN2067" s="115"/>
      <c r="AO2067" s="116"/>
      <c r="AP2067" s="116"/>
      <c r="AQ2067" s="116"/>
      <c r="AR2067" s="116"/>
      <c r="AS2067" s="116"/>
      <c r="AT2067" s="116"/>
      <c r="AU2067" s="116"/>
      <c r="AV2067" s="78"/>
      <c r="AW2067" s="102"/>
      <c r="AX2067" s="78"/>
      <c r="AY2067" s="78"/>
      <c r="AZ2067" s="78"/>
      <c r="BA2067" s="78"/>
      <c r="BB2067" s="78"/>
      <c r="BC2067" s="78"/>
      <c r="BD2067" s="78"/>
      <c r="BE2067" s="465"/>
      <c r="BF2067" s="165" t="str">
        <f t="shared" si="1428"/>
        <v>https://www.google.com/search?tbm=isch&amp;q=3%20G2</v>
      </c>
      <c r="BG2067" s="165" t="str">
        <f t="shared" si="1429"/>
        <v>H</v>
      </c>
      <c r="BH2067" s="65"/>
      <c r="BI2067" s="65"/>
      <c r="BJ2067" s="65"/>
      <c r="BK2067" s="65"/>
      <c r="BL2067" s="99"/>
      <c r="BM2067" s="99"/>
      <c r="BN2067" s="99"/>
    </row>
    <row r="2068" spans="1:66" s="51" customFormat="1" ht="15.75" x14ac:dyDescent="0.25">
      <c r="A2068" s="634">
        <v>3</v>
      </c>
      <c r="B2068" s="635" t="s">
        <v>291</v>
      </c>
      <c r="C2068" s="636" t="s">
        <v>4615</v>
      </c>
      <c r="D2068" s="637" t="s">
        <v>311</v>
      </c>
      <c r="E2068" s="638">
        <v>42.95</v>
      </c>
      <c r="F2068" s="639" t="s">
        <v>292</v>
      </c>
      <c r="G2068" s="484">
        <v>0</v>
      </c>
      <c r="H2068" s="691" t="str">
        <f t="shared" si="1473"/>
        <v/>
      </c>
      <c r="I2068" s="640">
        <f t="shared" si="1474"/>
        <v>0</v>
      </c>
      <c r="J2068" s="640">
        <f t="shared" si="1475"/>
        <v>0</v>
      </c>
      <c r="K2068" s="716">
        <f t="shared" ref="K2068" si="1479">I2068+J2068</f>
        <v>0</v>
      </c>
      <c r="L2068" s="716"/>
      <c r="M2068" s="689" t="str">
        <f t="shared" ca="1" si="1477"/>
        <v/>
      </c>
      <c r="N2068" s="690"/>
      <c r="O2068" s="486"/>
      <c r="P2068" s="486"/>
      <c r="Q2068" s="486"/>
      <c r="R2068" s="486"/>
      <c r="S2068" s="486"/>
      <c r="T2068" s="102">
        <f t="shared" ref="T2068:T2131" si="1480">E2068*G2068</f>
        <v>0</v>
      </c>
      <c r="U2068" s="78">
        <f>IF(NOT(ISNUMBER(G2068)), "", VLOOKUP(A2068,'Discount Lookup'!D:E,2,FALSE)*G2068)</f>
        <v>0</v>
      </c>
      <c r="V2068" s="78">
        <f>IF(NOT(ISNUMBER(G2068)), "", VLOOKUP(A2068,'Discount Lookup'!G:H,2,FALSE)*G2068)</f>
        <v>0</v>
      </c>
      <c r="W2068" s="102">
        <f t="shared" ref="W2068:W2131" si="1481">IF(H2068="credit",0,E2068*(SalesTaxPercentage)*G2068)</f>
        <v>0</v>
      </c>
      <c r="X2068" s="102">
        <f t="shared" ref="X2068:X2131" si="1482">I2068</f>
        <v>0</v>
      </c>
      <c r="Y2068" s="120" t="b">
        <f t="shared" ref="Y2068:Y2131" si="1483">IF(AE2068="T2G",0,IF(H2068="credit",0,IF(G2068&gt;0,IF(AE2068="me","",G2068))))</f>
        <v>0</v>
      </c>
      <c r="Z2068" s="117">
        <f t="shared" ref="Z2068:Z2131" si="1484">IF(H2068="credit",G2068,0)</f>
        <v>0</v>
      </c>
      <c r="AA2068" s="118"/>
      <c r="AB2068" s="118" t="str">
        <f t="shared" ref="AB2068:AB2131" si="1485">IF(AE2068="T2G","by Trees2Go",IF(H2068="credit","CREDIT only ~",IF(AND(K2068="",AE2068=OR(PlanterYesMe="No",PlanterYesMe="N",PlanterYesMe="me")),"not THIS line⇨",IF(AND(K2068="images",AE2068="me"),"not THIS line⇨",IF(H2068="credit","",IF(G2068=0,"",IF(AE2068="me","",IF(OR(PlanterYesMe="No",PlanterYesMe="N",PlanterYesMe="me"),"",IF(AE2068="free","warranty",IF(OR(PlanterYesMe="yes",PlanterYesMe="y"),"Edison install:","to install:"))))))))))</f>
        <v/>
      </c>
      <c r="AC2068" s="712" t="str">
        <f>IF(AE2068="T2G","no charge",IF(AND(OR(PlanterYesMe="No",PlanterYesMe="N",PlanterYesMe="me"),H2068=""),"",IF(H2068="credit","NO install",IF(AND(K2068="",AE2068="me"),"EACH row",IF(AND(K2068="images",AE2068="me"),"EACH row",IF(D2068="","",IF(H2068="credit","",IF(AE2068="free","re-planting",IF(AE2068="me","   not ELP, by",IF(AND(OR(PlanterYesMe="Yes",PlanterYesMe="Y"),G2068&gt;0),(VLOOKUP(A2068,'Discount Lookup'!J:K,2)*G2068*(1-PlanterDiscount)*(1+PlanterDifficultyPercentage)),IF(AE2068="ELP",(VLOOKUP(A2068,'Discount Lookup'!J:K,2)*G2068*(1-PlanterDiscount)*(1+PlanterDifficultyPercentage)),IF(AE2068="free","re-planting",IF(G2068=0,"",IF(PlanterYesMe="",IF(AE2068="me","   not ELP, by",IF(AE2068="",IF(G2068&gt;0,(VLOOKUP(A2068,'Discount Lookup'!J:K,2)*G2068*(1-PlanterDiscount)*(1+PlanterDifficultyPercentage)),""),"")),"   not ELP, by"))))))))))))))</f>
        <v/>
      </c>
      <c r="AD2068" s="712"/>
      <c r="AE2068" s="513" t="str">
        <f t="shared" ref="AE2068:AE2131" si="1486">IF(H2068="credit","",IF(G2068=0,"",IF(OR(PlanterYesMe="No",PlanterYesMe="N",PlanterYesMe="me"),"me",IF(H2068="warranty","free",IF(OR(PlanterYesMe="yes",PlanterYesMe="y"),"ELP","")))))</f>
        <v/>
      </c>
      <c r="AF2068" s="713" t="str">
        <f t="shared" ref="AF2068:AF2131" si="1487">IF(OR(PlanterYesMe="No",PlanterYesMe="N",PlanterYesMe="me"),"",IF(H2068="credit","",IF(G2068&gt;0,(CONCATENATE((G2068)," quantity, ",(A2068)," ",B2068)),"")))</f>
        <v/>
      </c>
      <c r="AG2068" s="713"/>
      <c r="AH2068" s="713"/>
      <c r="AI2068" s="112">
        <f>IF(H2068="credit",0,IF(AE2068="free",0,IF(AE2068="me",0,IF(G2068&gt;0,(VLOOKUP(A2068,'Discount Lookup'!J:K,2)*G2068),0))))</f>
        <v>0</v>
      </c>
      <c r="AJ2068" s="107" t="str">
        <f t="shared" ref="AJ2068:AJ2131" ca="1" si="1488">IF(AND(ISREF(H2068),H2068="credit"),"",IF(AND(AND(OFFSET(G2068,0,0)=0,OFFSET(G2068,1,0)&gt;0,ISNUMBER(OFFSET(AC2068,1,0)),OFFSET(AC2068,1,0)&gt;0),OR(PlanterYesMe="yes",PlanterYesMe="y")),"T2G+ELP=",IF(AND(OFFSET(G2068,0,0)=0,OFFSET(G2068,1,0)&gt;0,ISNUMBER(OFFSET(AC2068,1,0)),OFFSET(AC2068,1,0)&gt;0),"if T2G+ELP=",IF(AND(OFFSET(G2068,0,0)=0,OFFSET(G2068,1,0)&gt;0),"T2G Subtotal",IF(H2068="credit","",IF(G2068=0,"",IF(AE2068="free",(K2068*(1-T2GDiscount)),IF(OR(PlanterYesMe="No",PlanterYesMe="N",PlanterYesMe="me"),(K2068*(1-T2GDiscount)),IF(OR(AE2068="me",AE2068="T2G"),(K2068*(1-T2GDiscount)),(K2068*(1-T2GDiscount))+AC2068)))))))))</f>
        <v/>
      </c>
      <c r="AK2068" s="714" t="str">
        <f t="shared" ref="AK2068:AK2131" si="1489">IF(H2068="credit","",IF(G2068=0,"",IF(OR(AE2068="me",AE2068="T2G"),"  delivery-only",IF(OR(PlanterYesMe="No",PlanterYesMe="N",PlanterYesMe="me"),"  delivery-only",CONCATENATE(" $",ROUND(AJ2068/G2068,2)," each")))))</f>
        <v/>
      </c>
      <c r="AL2068" s="714"/>
      <c r="AM2068" s="114" t="str">
        <f t="shared" ref="AM2068:AM2131" si="1490">IF(H2068="credit","",IF(AE2068="free","      ~ discounts included, no tax or planting fee applies ~",IF(G2068=0,"",IF(OR(PlanterYesMe="No",PlanterYesMe="N",PlanterYesMe="me"),CONCATENATE(" $",ROUND(AJ2068/G2068,2)," per plant, with tax &amp; discount"),IF(OR(AE2068="me",AE2068="T2G"),CONCATENATE(" $",ROUND(AJ2068/G2068,2)," per plant, with tax &amp; discount"),CONCATENATE("= $",ROUND((K2068*(1-T2GDiscount))/G2068,2)," per plant + $",AC2068/G2068,(" per planting      ~ includes tax &amp; discounts ~")))))))</f>
        <v/>
      </c>
      <c r="AN2068" s="115"/>
      <c r="AO2068" s="116"/>
      <c r="AP2068" s="116"/>
      <c r="AQ2068" s="116"/>
      <c r="AR2068" s="116"/>
      <c r="AS2068" s="116"/>
      <c r="AT2068" s="116"/>
      <c r="AU2068" s="116"/>
      <c r="AV2068" s="78"/>
      <c r="AW2068" s="102"/>
      <c r="AX2068" s="78"/>
      <c r="AY2068" s="78"/>
      <c r="AZ2068" s="78"/>
      <c r="BA2068" s="78"/>
      <c r="BB2068" s="78"/>
      <c r="BC2068" s="78"/>
      <c r="BD2068" s="78"/>
      <c r="BE2068" s="465"/>
      <c r="BF2068" s="165" t="str">
        <f t="shared" ref="BF2068:BF2131" si="1491">"https://www.google.com/search?tbm=isch&amp;q=" &amp; _xlfn.ENCODEURL($A2068 &amp; " " &amp; $D2068)</f>
        <v>https://www.google.com/search?tbm=isch&amp;q=3%20G5</v>
      </c>
      <c r="BG2068" s="165" t="str">
        <f t="shared" ref="BG2068:BG2131" si="1492">IF(ISTEXT(A2068),LEFT(A2068,1),BG2067)</f>
        <v>H</v>
      </c>
      <c r="BH2068" s="65"/>
      <c r="BI2068" s="65"/>
      <c r="BJ2068" s="65"/>
      <c r="BK2068" s="65"/>
      <c r="BL2068" s="99"/>
      <c r="BM2068" s="99"/>
      <c r="BN2068" s="99"/>
    </row>
    <row r="2069" spans="1:66" s="51" customFormat="1" ht="15.75" x14ac:dyDescent="0.25">
      <c r="A2069" s="634">
        <v>7</v>
      </c>
      <c r="B2069" s="635" t="s">
        <v>291</v>
      </c>
      <c r="C2069" s="636" t="s">
        <v>2866</v>
      </c>
      <c r="D2069" s="637" t="s">
        <v>293</v>
      </c>
      <c r="E2069" s="638">
        <v>109.95</v>
      </c>
      <c r="F2069" s="639" t="s">
        <v>292</v>
      </c>
      <c r="G2069" s="484">
        <v>0</v>
      </c>
      <c r="H2069" s="691" t="str">
        <f t="shared" si="1473"/>
        <v/>
      </c>
      <c r="I2069" s="640">
        <f t="shared" si="1474"/>
        <v>0</v>
      </c>
      <c r="J2069" s="640">
        <f t="shared" si="1475"/>
        <v>0</v>
      </c>
      <c r="K2069" s="716">
        <f t="shared" ref="K2069" si="1493">I2069+J2069</f>
        <v>0</v>
      </c>
      <c r="L2069" s="716"/>
      <c r="M2069" s="689" t="str">
        <f t="shared" ca="1" si="1477"/>
        <v/>
      </c>
      <c r="N2069" s="690"/>
      <c r="O2069" s="486"/>
      <c r="P2069" s="486"/>
      <c r="Q2069" s="486"/>
      <c r="R2069" s="486"/>
      <c r="S2069" s="486"/>
      <c r="T2069" s="102">
        <f t="shared" si="1480"/>
        <v>0</v>
      </c>
      <c r="U2069" s="78">
        <f>IF(NOT(ISNUMBER(G2069)), "", VLOOKUP(A2069,'Discount Lookup'!D:E,2,FALSE)*G2069)</f>
        <v>0</v>
      </c>
      <c r="V2069" s="78">
        <f>IF(NOT(ISNUMBER(G2069)), "", VLOOKUP(A2069,'Discount Lookup'!G:H,2,FALSE)*G2069)</f>
        <v>0</v>
      </c>
      <c r="W2069" s="102">
        <f t="shared" si="1481"/>
        <v>0</v>
      </c>
      <c r="X2069" s="102">
        <f t="shared" si="1482"/>
        <v>0</v>
      </c>
      <c r="Y2069" s="120" t="b">
        <f t="shared" si="1483"/>
        <v>0</v>
      </c>
      <c r="Z2069" s="117">
        <f t="shared" si="1484"/>
        <v>0</v>
      </c>
      <c r="AA2069" s="118"/>
      <c r="AB2069" s="118" t="str">
        <f t="shared" si="1485"/>
        <v/>
      </c>
      <c r="AC2069" s="712" t="str">
        <f>IF(AE2069="T2G","no charge",IF(AND(OR(PlanterYesMe="No",PlanterYesMe="N",PlanterYesMe="me"),H2069=""),"",IF(H2069="credit","NO install",IF(AND(K2069="",AE2069="me"),"EACH row",IF(AND(K2069="images",AE2069="me"),"EACH row",IF(D2069="","",IF(H2069="credit","",IF(AE2069="free","re-planting",IF(AE2069="me","   not ELP, by",IF(AND(OR(PlanterYesMe="Yes",PlanterYesMe="Y"),G2069&gt;0),(VLOOKUP(A2069,'Discount Lookup'!J:K,2)*G2069*(1-PlanterDiscount)*(1+PlanterDifficultyPercentage)),IF(AE2069="ELP",(VLOOKUP(A2069,'Discount Lookup'!J:K,2)*G2069*(1-PlanterDiscount)*(1+PlanterDifficultyPercentage)),IF(AE2069="free","re-planting",IF(G2069=0,"",IF(PlanterYesMe="",IF(AE2069="me","   not ELP, by",IF(AE2069="",IF(G2069&gt;0,(VLOOKUP(A2069,'Discount Lookup'!J:K,2)*G2069*(1-PlanterDiscount)*(1+PlanterDifficultyPercentage)),""),"")),"   not ELP, by"))))))))))))))</f>
        <v/>
      </c>
      <c r="AD2069" s="712"/>
      <c r="AE2069" s="513" t="str">
        <f t="shared" si="1486"/>
        <v/>
      </c>
      <c r="AF2069" s="713" t="str">
        <f t="shared" si="1487"/>
        <v/>
      </c>
      <c r="AG2069" s="713"/>
      <c r="AH2069" s="713"/>
      <c r="AI2069" s="112">
        <f>IF(H2069="credit",0,IF(AE2069="free",0,IF(AE2069="me",0,IF(G2069&gt;0,(VLOOKUP(A2069,'Discount Lookup'!J:K,2)*G2069),0))))</f>
        <v>0</v>
      </c>
      <c r="AJ2069" s="107" t="str">
        <f t="shared" ca="1" si="1488"/>
        <v/>
      </c>
      <c r="AK2069" s="714" t="str">
        <f t="shared" si="1489"/>
        <v/>
      </c>
      <c r="AL2069" s="714"/>
      <c r="AM2069" s="114" t="str">
        <f t="shared" si="1490"/>
        <v/>
      </c>
      <c r="AN2069" s="115"/>
      <c r="AO2069" s="116"/>
      <c r="AP2069" s="116"/>
      <c r="AQ2069" s="116"/>
      <c r="AR2069" s="116"/>
      <c r="AS2069" s="116"/>
      <c r="AT2069" s="116"/>
      <c r="AU2069" s="116"/>
      <c r="AV2069" s="78"/>
      <c r="AW2069" s="102"/>
      <c r="AX2069" s="78"/>
      <c r="AY2069" s="78"/>
      <c r="AZ2069" s="78"/>
      <c r="BA2069" s="78"/>
      <c r="BB2069" s="78"/>
      <c r="BC2069" s="78"/>
      <c r="BD2069" s="78"/>
      <c r="BE2069" s="465"/>
      <c r="BF2069" s="165" t="str">
        <f t="shared" si="1491"/>
        <v>https://www.google.com/search?tbm=isch&amp;q=7%20G6</v>
      </c>
      <c r="BG2069" s="165" t="str">
        <f t="shared" si="1492"/>
        <v>H</v>
      </c>
      <c r="BH2069" s="65"/>
      <c r="BI2069" s="65"/>
      <c r="BJ2069" s="65"/>
      <c r="BK2069" s="65"/>
      <c r="BL2069" s="99"/>
      <c r="BM2069" s="99"/>
      <c r="BN2069" s="99"/>
    </row>
    <row r="2070" spans="1:66" s="51" customFormat="1" ht="15.75" x14ac:dyDescent="0.25">
      <c r="A2070" s="634">
        <v>7</v>
      </c>
      <c r="B2070" s="635" t="s">
        <v>291</v>
      </c>
      <c r="C2070" s="636" t="s">
        <v>12</v>
      </c>
      <c r="D2070" s="637" t="s">
        <v>329</v>
      </c>
      <c r="E2070" s="638">
        <v>153.94999999999999</v>
      </c>
      <c r="F2070" s="639" t="s">
        <v>292</v>
      </c>
      <c r="G2070" s="484">
        <v>0</v>
      </c>
      <c r="H2070" s="691" t="str">
        <f t="shared" si="1473"/>
        <v/>
      </c>
      <c r="I2070" s="640">
        <f t="shared" si="1474"/>
        <v>0</v>
      </c>
      <c r="J2070" s="640">
        <f t="shared" si="1475"/>
        <v>0</v>
      </c>
      <c r="K2070" s="716">
        <f t="shared" ref="K2070" si="1494">I2070+J2070</f>
        <v>0</v>
      </c>
      <c r="L2070" s="716"/>
      <c r="M2070" s="689" t="str">
        <f t="shared" ca="1" si="1477"/>
        <v/>
      </c>
      <c r="N2070" s="690"/>
      <c r="O2070" s="486"/>
      <c r="P2070" s="486"/>
      <c r="Q2070" s="486"/>
      <c r="R2070" s="486"/>
      <c r="S2070" s="486"/>
      <c r="T2070" s="102">
        <f t="shared" si="1480"/>
        <v>0</v>
      </c>
      <c r="U2070" s="78">
        <f>IF(NOT(ISNUMBER(G2070)), "", VLOOKUP(A2070,'Discount Lookup'!D:E,2,FALSE)*G2070)</f>
        <v>0</v>
      </c>
      <c r="V2070" s="78">
        <f>IF(NOT(ISNUMBER(G2070)), "", VLOOKUP(A2070,'Discount Lookup'!G:H,2,FALSE)*G2070)</f>
        <v>0</v>
      </c>
      <c r="W2070" s="102">
        <f t="shared" si="1481"/>
        <v>0</v>
      </c>
      <c r="X2070" s="102">
        <f t="shared" si="1482"/>
        <v>0</v>
      </c>
      <c r="Y2070" s="120" t="b">
        <f t="shared" si="1483"/>
        <v>0</v>
      </c>
      <c r="Z2070" s="117">
        <f t="shared" si="1484"/>
        <v>0</v>
      </c>
      <c r="AA2070" s="118"/>
      <c r="AB2070" s="118" t="str">
        <f t="shared" si="1485"/>
        <v/>
      </c>
      <c r="AC2070" s="712" t="str">
        <f>IF(AE2070="T2G","no charge",IF(AND(OR(PlanterYesMe="No",PlanterYesMe="N",PlanterYesMe="me"),H2070=""),"",IF(H2070="credit","NO install",IF(AND(K2070="",AE2070="me"),"EACH row",IF(AND(K2070="images",AE2070="me"),"EACH row",IF(D2070="","",IF(H2070="credit","",IF(AE2070="free","re-planting",IF(AE2070="me","   not ELP, by",IF(AND(OR(PlanterYesMe="Yes",PlanterYesMe="Y"),G2070&gt;0),(VLOOKUP(A2070,'Discount Lookup'!J:K,2)*G2070*(1-PlanterDiscount)*(1+PlanterDifficultyPercentage)),IF(AE2070="ELP",(VLOOKUP(A2070,'Discount Lookup'!J:K,2)*G2070*(1-PlanterDiscount)*(1+PlanterDifficultyPercentage)),IF(AE2070="free","re-planting",IF(G2070=0,"",IF(PlanterYesMe="",IF(AE2070="me","   not ELP, by",IF(AE2070="",IF(G2070&gt;0,(VLOOKUP(A2070,'Discount Lookup'!J:K,2)*G2070*(1-PlanterDiscount)*(1+PlanterDifficultyPercentage)),""),"")),"   not ELP, by"))))))))))))))</f>
        <v/>
      </c>
      <c r="AD2070" s="712"/>
      <c r="AE2070" s="513" t="str">
        <f t="shared" si="1486"/>
        <v/>
      </c>
      <c r="AF2070" s="713" t="str">
        <f t="shared" si="1487"/>
        <v/>
      </c>
      <c r="AG2070" s="713"/>
      <c r="AH2070" s="713"/>
      <c r="AI2070" s="112">
        <f>IF(H2070="credit",0,IF(AE2070="free",0,IF(AE2070="me",0,IF(G2070&gt;0,(VLOOKUP(A2070,'Discount Lookup'!J:K,2)*G2070),0))))</f>
        <v>0</v>
      </c>
      <c r="AJ2070" s="107" t="str">
        <f t="shared" ca="1" si="1488"/>
        <v/>
      </c>
      <c r="AK2070" s="714" t="str">
        <f t="shared" si="1489"/>
        <v/>
      </c>
      <c r="AL2070" s="714"/>
      <c r="AM2070" s="114" t="str">
        <f t="shared" si="1490"/>
        <v/>
      </c>
      <c r="AN2070" s="115"/>
      <c r="AO2070" s="116"/>
      <c r="AP2070" s="116"/>
      <c r="AQ2070" s="116"/>
      <c r="AR2070" s="116"/>
      <c r="AS2070" s="116"/>
      <c r="AT2070" s="116"/>
      <c r="AU2070" s="116"/>
      <c r="AV2070" s="78"/>
      <c r="AW2070" s="102"/>
      <c r="AX2070" s="78"/>
      <c r="AY2070" s="78"/>
      <c r="AZ2070" s="78"/>
      <c r="BA2070" s="78"/>
      <c r="BB2070" s="78"/>
      <c r="BC2070" s="78"/>
      <c r="BD2070" s="78"/>
      <c r="BE2070" s="465"/>
      <c r="BF2070" s="165" t="str">
        <f t="shared" si="1491"/>
        <v>https://www.google.com/search?tbm=isch&amp;q=7%20G2</v>
      </c>
      <c r="BG2070" s="165" t="str">
        <f t="shared" si="1492"/>
        <v>H</v>
      </c>
      <c r="BH2070" s="65"/>
      <c r="BI2070" s="65"/>
      <c r="BJ2070" s="65"/>
      <c r="BK2070" s="65"/>
      <c r="BL2070" s="99"/>
      <c r="BM2070" s="99"/>
      <c r="BN2070" s="99"/>
    </row>
    <row r="2071" spans="1:66" s="51" customFormat="1" ht="15.75" x14ac:dyDescent="0.25">
      <c r="A2071" s="634">
        <v>15</v>
      </c>
      <c r="B2071" s="635" t="s">
        <v>291</v>
      </c>
      <c r="C2071" s="636" t="s">
        <v>2867</v>
      </c>
      <c r="D2071" s="637" t="s">
        <v>293</v>
      </c>
      <c r="E2071" s="638">
        <v>333.95</v>
      </c>
      <c r="F2071" s="639" t="s">
        <v>292</v>
      </c>
      <c r="G2071" s="484">
        <v>0</v>
      </c>
      <c r="H2071" s="691" t="str">
        <f t="shared" si="1473"/>
        <v/>
      </c>
      <c r="I2071" s="640">
        <f t="shared" si="1474"/>
        <v>0</v>
      </c>
      <c r="J2071" s="640">
        <f t="shared" si="1475"/>
        <v>0</v>
      </c>
      <c r="K2071" s="716">
        <f t="shared" ref="K2071" si="1495">I2071+J2071</f>
        <v>0</v>
      </c>
      <c r="L2071" s="716"/>
      <c r="M2071" s="689" t="str">
        <f t="shared" ca="1" si="1477"/>
        <v/>
      </c>
      <c r="N2071" s="690"/>
      <c r="O2071" s="486"/>
      <c r="P2071" s="486"/>
      <c r="Q2071" s="486"/>
      <c r="R2071" s="486"/>
      <c r="S2071" s="486"/>
      <c r="T2071" s="102">
        <f t="shared" si="1480"/>
        <v>0</v>
      </c>
      <c r="U2071" s="78">
        <f>IF(NOT(ISNUMBER(G2071)), "", VLOOKUP(A2071,'Discount Lookup'!D:E,2,FALSE)*G2071)</f>
        <v>0</v>
      </c>
      <c r="V2071" s="78">
        <f>IF(NOT(ISNUMBER(G2071)), "", VLOOKUP(A2071,'Discount Lookup'!G:H,2,FALSE)*G2071)</f>
        <v>0</v>
      </c>
      <c r="W2071" s="102">
        <f t="shared" si="1481"/>
        <v>0</v>
      </c>
      <c r="X2071" s="102">
        <f t="shared" si="1482"/>
        <v>0</v>
      </c>
      <c r="Y2071" s="120" t="b">
        <f t="shared" si="1483"/>
        <v>0</v>
      </c>
      <c r="Z2071" s="117">
        <f t="shared" si="1484"/>
        <v>0</v>
      </c>
      <c r="AA2071" s="118"/>
      <c r="AB2071" s="118" t="str">
        <f t="shared" si="1485"/>
        <v/>
      </c>
      <c r="AC2071" s="712" t="str">
        <f>IF(AE2071="T2G","no charge",IF(AND(OR(PlanterYesMe="No",PlanterYesMe="N",PlanterYesMe="me"),H2071=""),"",IF(H2071="credit","NO install",IF(AND(K2071="",AE2071="me"),"EACH row",IF(AND(K2071="images",AE2071="me"),"EACH row",IF(D2071="","",IF(H2071="credit","",IF(AE2071="free","re-planting",IF(AE2071="me","   not ELP, by",IF(AND(OR(PlanterYesMe="Yes",PlanterYesMe="Y"),G2071&gt;0),(VLOOKUP(A2071,'Discount Lookup'!J:K,2)*G2071*(1-PlanterDiscount)*(1+PlanterDifficultyPercentage)),IF(AE2071="ELP",(VLOOKUP(A2071,'Discount Lookup'!J:K,2)*G2071*(1-PlanterDiscount)*(1+PlanterDifficultyPercentage)),IF(AE2071="free","re-planting",IF(G2071=0,"",IF(PlanterYesMe="",IF(AE2071="me","   not ELP, by",IF(AE2071="",IF(G2071&gt;0,(VLOOKUP(A2071,'Discount Lookup'!J:K,2)*G2071*(1-PlanterDiscount)*(1+PlanterDifficultyPercentage)),""),"")),"   not ELP, by"))))))))))))))</f>
        <v/>
      </c>
      <c r="AD2071" s="712"/>
      <c r="AE2071" s="513" t="str">
        <f t="shared" si="1486"/>
        <v/>
      </c>
      <c r="AF2071" s="713" t="str">
        <f t="shared" si="1487"/>
        <v/>
      </c>
      <c r="AG2071" s="713"/>
      <c r="AH2071" s="713"/>
      <c r="AI2071" s="112">
        <f>IF(H2071="credit",0,IF(AE2071="free",0,IF(AE2071="me",0,IF(G2071&gt;0,(VLOOKUP(A2071,'Discount Lookup'!J:K,2)*G2071),0))))</f>
        <v>0</v>
      </c>
      <c r="AJ2071" s="107" t="str">
        <f t="shared" ca="1" si="1488"/>
        <v/>
      </c>
      <c r="AK2071" s="714" t="str">
        <f t="shared" si="1489"/>
        <v/>
      </c>
      <c r="AL2071" s="714"/>
      <c r="AM2071" s="114" t="str">
        <f t="shared" si="1490"/>
        <v/>
      </c>
      <c r="AN2071" s="115"/>
      <c r="AO2071" s="116"/>
      <c r="AP2071" s="116"/>
      <c r="AQ2071" s="116"/>
      <c r="AR2071" s="116"/>
      <c r="AS2071" s="116"/>
      <c r="AT2071" s="116"/>
      <c r="AU2071" s="116"/>
      <c r="AV2071" s="78"/>
      <c r="AW2071" s="102"/>
      <c r="AX2071" s="78"/>
      <c r="AY2071" s="78"/>
      <c r="AZ2071" s="78"/>
      <c r="BA2071" s="78"/>
      <c r="BB2071" s="78"/>
      <c r="BC2071" s="78"/>
      <c r="BD2071" s="78"/>
      <c r="BE2071" s="465"/>
      <c r="BF2071" s="165" t="str">
        <f t="shared" si="1491"/>
        <v>https://www.google.com/search?tbm=isch&amp;q=15%20G6</v>
      </c>
      <c r="BG2071" s="165" t="str">
        <f t="shared" si="1492"/>
        <v>H</v>
      </c>
      <c r="BH2071" s="65"/>
      <c r="BI2071" s="65"/>
      <c r="BJ2071" s="65"/>
      <c r="BK2071" s="65"/>
      <c r="BL2071" s="99"/>
      <c r="BM2071" s="99"/>
      <c r="BN2071" s="99"/>
    </row>
    <row r="2072" spans="1:66" s="51" customFormat="1" ht="17.25" thickBot="1" x14ac:dyDescent="0.3">
      <c r="A2072" s="641" t="s">
        <v>4761</v>
      </c>
      <c r="B2072" s="642"/>
      <c r="C2072" s="710"/>
      <c r="D2072" s="643"/>
      <c r="E2072" s="643"/>
      <c r="F2072" s="644"/>
      <c r="G2072" s="645"/>
      <c r="H2072" s="646"/>
      <c r="I2072" s="647"/>
      <c r="J2072" s="648"/>
      <c r="K2072" s="649"/>
      <c r="L2072" s="650"/>
      <c r="M2072" s="650"/>
      <c r="N2072" s="644"/>
      <c r="O2072" s="644"/>
      <c r="P2072" s="644"/>
      <c r="Q2072" s="644"/>
      <c r="R2072" s="644"/>
      <c r="S2072" s="651"/>
      <c r="T2072" s="102">
        <f t="shared" si="1480"/>
        <v>0</v>
      </c>
      <c r="U2072" s="78" t="str">
        <f>IF(NOT(ISNUMBER(G2072)), "", VLOOKUP(A2072,'Discount Lookup'!D:E,2,FALSE)*G2072)</f>
        <v/>
      </c>
      <c r="V2072" s="78" t="str">
        <f>IF(NOT(ISNUMBER(G2072)), "", VLOOKUP(A2072,'Discount Lookup'!G:H,2,FALSE)*G2072)</f>
        <v/>
      </c>
      <c r="W2072" s="102">
        <f t="shared" si="1481"/>
        <v>0</v>
      </c>
      <c r="X2072" s="102">
        <f t="shared" si="1482"/>
        <v>0</v>
      </c>
      <c r="Y2072" s="120" t="b">
        <f t="shared" si="1483"/>
        <v>0</v>
      </c>
      <c r="Z2072" s="117">
        <f t="shared" si="1484"/>
        <v>0</v>
      </c>
      <c r="AA2072" s="118"/>
      <c r="AB2072" s="118" t="str">
        <f t="shared" si="1485"/>
        <v/>
      </c>
      <c r="AC2072" s="712" t="str">
        <f>IF(AE2072="T2G","no charge",IF(AND(OR(PlanterYesMe="No",PlanterYesMe="N",PlanterYesMe="me"),H2072=""),"",IF(H2072="credit","NO install",IF(AND(K2072="",AE2072="me"),"EACH row",IF(AND(K2072="images",AE2072="me"),"EACH row",IF(D2072="","",IF(H2072="credit","",IF(AE2072="free","re-planting",IF(AE2072="me","   not ELP, by",IF(AND(OR(PlanterYesMe="Yes",PlanterYesMe="Y"),G2072&gt;0),(VLOOKUP(A2072,'Discount Lookup'!J:K,2)*G2072*(1-PlanterDiscount)*(1+PlanterDifficultyPercentage)),IF(AE2072="ELP",(VLOOKUP(A2072,'Discount Lookup'!J:K,2)*G2072*(1-PlanterDiscount)*(1+PlanterDifficultyPercentage)),IF(AE2072="free","re-planting",IF(G2072=0,"",IF(PlanterYesMe="",IF(AE2072="me","   not ELP, by",IF(AE2072="",IF(G2072&gt;0,(VLOOKUP(A2072,'Discount Lookup'!J:K,2)*G2072*(1-PlanterDiscount)*(1+PlanterDifficultyPercentage)),""),"")),"   not ELP, by"))))))))))))))</f>
        <v/>
      </c>
      <c r="AD2072" s="712"/>
      <c r="AE2072" s="513" t="str">
        <f t="shared" si="1486"/>
        <v/>
      </c>
      <c r="AF2072" s="713" t="str">
        <f t="shared" si="1487"/>
        <v/>
      </c>
      <c r="AG2072" s="713"/>
      <c r="AH2072" s="713"/>
      <c r="AI2072" s="112">
        <f>IF(H2072="credit",0,IF(AE2072="free",0,IF(AE2072="me",0,IF(G2072&gt;0,(VLOOKUP(A2072,'Discount Lookup'!J:K,2)*G2072),0))))</f>
        <v>0</v>
      </c>
      <c r="AJ2072" s="107" t="str">
        <f t="shared" ca="1" si="1488"/>
        <v/>
      </c>
      <c r="AK2072" s="714" t="str">
        <f t="shared" si="1489"/>
        <v/>
      </c>
      <c r="AL2072" s="714"/>
      <c r="AM2072" s="114" t="str">
        <f t="shared" si="1490"/>
        <v/>
      </c>
      <c r="AN2072" s="115"/>
      <c r="AO2072" s="116"/>
      <c r="AP2072" s="116"/>
      <c r="AQ2072" s="116"/>
      <c r="AR2072" s="116"/>
      <c r="AS2072" s="116"/>
      <c r="AT2072" s="116"/>
      <c r="AU2072" s="116"/>
      <c r="AV2072" s="78"/>
      <c r="AW2072" s="102"/>
      <c r="AX2072" s="78"/>
      <c r="AY2072" s="78"/>
      <c r="AZ2072" s="78"/>
      <c r="BA2072" s="78"/>
      <c r="BB2072" s="78"/>
      <c r="BC2072" s="78"/>
      <c r="BD2072" s="78"/>
      <c r="BE2072" s="465"/>
      <c r="BF2072" s="165" t="str">
        <f t="shared" si="1491"/>
        <v>https://www.google.com/search?tbm=isch&amp;q=Limelight%20Prime%20has%20Dark%20Green%20foliage.%20All%20%22Hardy%22%20Hydrangea%20have%20cone-shaped%20flowers%20on%20new%20wood.%20Flowers%20change%20color%20with%20age.%20Extremely%20cold-hardy%20</v>
      </c>
      <c r="BG2072" s="165" t="str">
        <f t="shared" si="1492"/>
        <v>L</v>
      </c>
      <c r="BH2072" s="65"/>
      <c r="BI2072" s="65"/>
      <c r="BJ2072" s="65"/>
      <c r="BK2072" s="65"/>
      <c r="BL2072" s="99"/>
      <c r="BM2072" s="99"/>
      <c r="BN2072" s="99"/>
    </row>
    <row r="2073" spans="1:66" s="51" customFormat="1" ht="18" x14ac:dyDescent="0.25">
      <c r="A2073" s="623" t="s">
        <v>2868</v>
      </c>
      <c r="B2073" s="624"/>
      <c r="C2073" s="709"/>
      <c r="D2073" s="625" t="s">
        <v>5701</v>
      </c>
      <c r="E2073" s="626"/>
      <c r="F2073" s="626"/>
      <c r="G2073" s="626"/>
      <c r="H2073" s="622" t="s">
        <v>1217</v>
      </c>
      <c r="I2073" s="627" t="s">
        <v>2814</v>
      </c>
      <c r="J2073" s="628"/>
      <c r="K2073" s="628"/>
      <c r="L2073" s="629"/>
      <c r="M2073" s="702" t="s">
        <v>5252</v>
      </c>
      <c r="N2073" s="693" t="str">
        <f>IF(AND(ISTEXT($A2073), ISERROR($A2073+0)), HYPERLINK($BF2073, "Images"), "")</f>
        <v>Images</v>
      </c>
      <c r="O2073" s="695" t="s">
        <v>5264</v>
      </c>
      <c r="P2073" s="630"/>
      <c r="Q2073" s="631"/>
      <c r="R2073" s="632"/>
      <c r="S2073" s="633" t="s">
        <v>294</v>
      </c>
      <c r="T2073" s="102">
        <f t="shared" si="1480"/>
        <v>0</v>
      </c>
      <c r="U2073" s="78" t="str">
        <f>IF(NOT(ISNUMBER(G2073)), "", VLOOKUP(A2073,'Discount Lookup'!D:E,2,FALSE)*G2073)</f>
        <v/>
      </c>
      <c r="V2073" s="78" t="str">
        <f>IF(NOT(ISNUMBER(G2073)), "", VLOOKUP(A2073,'Discount Lookup'!G:H,2,FALSE)*G2073)</f>
        <v/>
      </c>
      <c r="W2073" s="102">
        <f t="shared" si="1481"/>
        <v>0</v>
      </c>
      <c r="X2073" s="102" t="str">
        <f t="shared" si="1482"/>
        <v>White bloom ages to Pink</v>
      </c>
      <c r="Y2073" s="120" t="b">
        <f t="shared" si="1483"/>
        <v>0</v>
      </c>
      <c r="Z2073" s="117">
        <f t="shared" si="1484"/>
        <v>0</v>
      </c>
      <c r="AA2073" s="118"/>
      <c r="AB2073" s="118" t="str">
        <f t="shared" si="1485"/>
        <v/>
      </c>
      <c r="AC2073" s="712" t="str">
        <f>IF(AE2073="T2G","no charge",IF(AND(OR(PlanterYesMe="No",PlanterYesMe="N",PlanterYesMe="me"),H2073=""),"",IF(H2073="credit","NO install",IF(AND(K2073="",AE2073="me"),"EACH row",IF(AND(K2073="images",AE2073="me"),"EACH row",IF(D2073="","",IF(H2073="credit","",IF(AE2073="free","re-planting",IF(AE2073="me","   not ELP, by",IF(AND(OR(PlanterYesMe="Yes",PlanterYesMe="Y"),G2073&gt;0),(VLOOKUP(A2073,'Discount Lookup'!J:K,2)*G2073*(1-PlanterDiscount)*(1+PlanterDifficultyPercentage)),IF(AE2073="ELP",(VLOOKUP(A2073,'Discount Lookup'!J:K,2)*G2073*(1-PlanterDiscount)*(1+PlanterDifficultyPercentage)),IF(AE2073="free","re-planting",IF(G2073=0,"",IF(PlanterYesMe="",IF(AE2073="me","   not ELP, by",IF(AE2073="",IF(G2073&gt;0,(VLOOKUP(A2073,'Discount Lookup'!J:K,2)*G2073*(1-PlanterDiscount)*(1+PlanterDifficultyPercentage)),""),"")),"   not ELP, by"))))))))))))))</f>
        <v/>
      </c>
      <c r="AD2073" s="712"/>
      <c r="AE2073" s="513" t="str">
        <f t="shared" si="1486"/>
        <v/>
      </c>
      <c r="AF2073" s="713" t="str">
        <f t="shared" si="1487"/>
        <v/>
      </c>
      <c r="AG2073" s="713"/>
      <c r="AH2073" s="713"/>
      <c r="AI2073" s="112">
        <f>IF(H2073="credit",0,IF(AE2073="free",0,IF(AE2073="me",0,IF(G2073&gt;0,(VLOOKUP(A2073,'Discount Lookup'!J:K,2)*G2073),0))))</f>
        <v>0</v>
      </c>
      <c r="AJ2073" s="107" t="str">
        <f t="shared" ca="1" si="1488"/>
        <v/>
      </c>
      <c r="AK2073" s="714" t="str">
        <f t="shared" si="1489"/>
        <v/>
      </c>
      <c r="AL2073" s="714"/>
      <c r="AM2073" s="114" t="str">
        <f t="shared" si="1490"/>
        <v/>
      </c>
      <c r="AN2073" s="115"/>
      <c r="AO2073" s="116"/>
      <c r="AP2073" s="116"/>
      <c r="AQ2073" s="116"/>
      <c r="AR2073" s="116"/>
      <c r="AS2073" s="116"/>
      <c r="AT2073" s="116"/>
      <c r="AU2073" s="116"/>
      <c r="AV2073" s="78"/>
      <c r="AW2073" s="102"/>
      <c r="AX2073" s="78"/>
      <c r="AY2073" s="78"/>
      <c r="AZ2073" s="78"/>
      <c r="BA2073" s="78"/>
      <c r="BB2073" s="78"/>
      <c r="BC2073" s="78"/>
      <c r="BD2073" s="78"/>
      <c r="BE2073" s="465"/>
      <c r="BF2073" s="165" t="str">
        <f t="shared" si="1491"/>
        <v>https://www.google.com/search?tbm=isch&amp;q=Hyd.%20quercifolia%20%271925querrep%27%20PP%2335796%20Autumn%20Reprise%E2%84%A2%20Oakleaf%20Hydrangea</v>
      </c>
      <c r="BG2073" s="165" t="str">
        <f t="shared" si="1492"/>
        <v>H</v>
      </c>
      <c r="BH2073" s="65"/>
      <c r="BI2073" s="65"/>
      <c r="BJ2073" s="65"/>
      <c r="BK2073" s="65"/>
      <c r="BL2073" s="99"/>
      <c r="BM2073" s="99"/>
      <c r="BN2073" s="99"/>
    </row>
    <row r="2074" spans="1:66" s="51" customFormat="1" ht="15.75" x14ac:dyDescent="0.25">
      <c r="A2074" s="634">
        <v>3</v>
      </c>
      <c r="B2074" s="635" t="s">
        <v>291</v>
      </c>
      <c r="C2074" s="636" t="s">
        <v>2840</v>
      </c>
      <c r="D2074" s="637" t="s">
        <v>329</v>
      </c>
      <c r="E2074" s="638">
        <v>29.95</v>
      </c>
      <c r="F2074" s="639" t="s">
        <v>292</v>
      </c>
      <c r="G2074" s="484">
        <v>0</v>
      </c>
      <c r="H2074" s="691" t="str">
        <f>IF(G2074=0,"",IF(F2074="Buy",IF(G2074=1,"plant","plants"),IF(F2074&gt;0.01,"warranty","Error")))</f>
        <v/>
      </c>
      <c r="I2074" s="640">
        <f>IF(H2074="free",0,IF(H2074="credit",((E2074*(F2074))*G2074*-1),IF(F2074="Buy",(E2074*G2074),((E2074*(1-F2074))*G2074))))</f>
        <v>0</v>
      </c>
      <c r="J2074" s="640">
        <f>IF(H2074="warranty",0,(I2074*(_xlfn.SINGLE(SalesTaxPercentage))))</f>
        <v>0</v>
      </c>
      <c r="K2074" s="716">
        <f t="shared" ref="K2074" si="1496">I2074+J2074</f>
        <v>0</v>
      </c>
      <c r="L2074" s="716"/>
      <c r="M2074" s="689" t="str">
        <f ca="1">IF(AND(G2074&gt;0,E2074=0),"WARNING - no PRICE inserted",IF(H2074="free","FREE ~ no charge this plant",IF(H2074="credit",CONCATENATE("-$",ROUND(K2074*(1-_xlfn.SINGLE(T2GDiscount))*-1,2)," CREDIT after discount"),IF(_xlfn.SINGLE(T2GDiscount)=0,"",IF(G2074=0,"",IF(F2074="Buy",CONCATENATE("$",ROUND(K2074*(1-_xlfn.SINGLE(T2GDiscount)),2)," with ",(_xlfn.SINGLE(T2GDiscount)*100),"% discount"),CONCATENATE("$",ROUND(K2074*(1-_xlfn.SINGLE(T2GDiscount)),2)," with ",((_xlfn.SINGLE(T2GDiscount)*100+F2074*100)-(_xlfn.SINGLE(T2GDiscount)*100*F2074)),IF(F2074&gt;0,"% discounts",IF(_xlfn.SINGLE(NoWarrantyDiscount)&gt;0,"% discounts","% discount")))))))))</f>
        <v/>
      </c>
      <c r="N2074" s="690"/>
      <c r="O2074" s="486"/>
      <c r="P2074" s="486"/>
      <c r="Q2074" s="486"/>
      <c r="R2074" s="486"/>
      <c r="S2074" s="486"/>
      <c r="T2074" s="102">
        <f t="shared" si="1480"/>
        <v>0</v>
      </c>
      <c r="U2074" s="78">
        <f>IF(NOT(ISNUMBER(G2074)), "", VLOOKUP(A2074,'Discount Lookup'!D:E,2,FALSE)*G2074)</f>
        <v>0</v>
      </c>
      <c r="V2074" s="78">
        <f>IF(NOT(ISNUMBER(G2074)), "", VLOOKUP(A2074,'Discount Lookup'!G:H,2,FALSE)*G2074)</f>
        <v>0</v>
      </c>
      <c r="W2074" s="102">
        <f t="shared" si="1481"/>
        <v>0</v>
      </c>
      <c r="X2074" s="102">
        <f t="shared" si="1482"/>
        <v>0</v>
      </c>
      <c r="Y2074" s="120" t="b">
        <f t="shared" si="1483"/>
        <v>0</v>
      </c>
      <c r="Z2074" s="117">
        <f t="shared" si="1484"/>
        <v>0</v>
      </c>
      <c r="AA2074" s="118"/>
      <c r="AB2074" s="118" t="str">
        <f t="shared" si="1485"/>
        <v/>
      </c>
      <c r="AC2074" s="712" t="str">
        <f>IF(AE2074="T2G","no charge",IF(AND(OR(PlanterYesMe="No",PlanterYesMe="N",PlanterYesMe="me"),H2074=""),"",IF(H2074="credit","NO install",IF(AND(K2074="",AE2074="me"),"EACH row",IF(AND(K2074="images",AE2074="me"),"EACH row",IF(D2074="","",IF(H2074="credit","",IF(AE2074="free","re-planting",IF(AE2074="me","   not ELP, by",IF(AND(OR(PlanterYesMe="Yes",PlanterYesMe="Y"),G2074&gt;0),(VLOOKUP(A2074,'Discount Lookup'!J:K,2)*G2074*(1-PlanterDiscount)*(1+PlanterDifficultyPercentage)),IF(AE2074="ELP",(VLOOKUP(A2074,'Discount Lookup'!J:K,2)*G2074*(1-PlanterDiscount)*(1+PlanterDifficultyPercentage)),IF(AE2074="free","re-planting",IF(G2074=0,"",IF(PlanterYesMe="",IF(AE2074="me","   not ELP, by",IF(AE2074="",IF(G2074&gt;0,(VLOOKUP(A2074,'Discount Lookup'!J:K,2)*G2074*(1-PlanterDiscount)*(1+PlanterDifficultyPercentage)),""),"")),"   not ELP, by"))))))))))))))</f>
        <v/>
      </c>
      <c r="AD2074" s="712"/>
      <c r="AE2074" s="513" t="str">
        <f t="shared" si="1486"/>
        <v/>
      </c>
      <c r="AF2074" s="713" t="str">
        <f t="shared" si="1487"/>
        <v/>
      </c>
      <c r="AG2074" s="713"/>
      <c r="AH2074" s="713"/>
      <c r="AI2074" s="112">
        <f>IF(H2074="credit",0,IF(AE2074="free",0,IF(AE2074="me",0,IF(G2074&gt;0,(VLOOKUP(A2074,'Discount Lookup'!J:K,2)*G2074),0))))</f>
        <v>0</v>
      </c>
      <c r="AJ2074" s="107" t="str">
        <f t="shared" ca="1" si="1488"/>
        <v/>
      </c>
      <c r="AK2074" s="714" t="str">
        <f t="shared" si="1489"/>
        <v/>
      </c>
      <c r="AL2074" s="714"/>
      <c r="AM2074" s="114" t="str">
        <f t="shared" si="1490"/>
        <v/>
      </c>
      <c r="AN2074" s="115"/>
      <c r="AO2074" s="116"/>
      <c r="AP2074" s="116"/>
      <c r="AQ2074" s="116"/>
      <c r="AR2074" s="116"/>
      <c r="AS2074" s="116"/>
      <c r="AT2074" s="116"/>
      <c r="AU2074" s="116"/>
      <c r="AV2074" s="78"/>
      <c r="AW2074" s="102"/>
      <c r="AX2074" s="78"/>
      <c r="AY2074" s="78"/>
      <c r="AZ2074" s="78"/>
      <c r="BA2074" s="78"/>
      <c r="BB2074" s="78"/>
      <c r="BC2074" s="78"/>
      <c r="BD2074" s="78"/>
      <c r="BE2074" s="465"/>
      <c r="BF2074" s="165" t="str">
        <f t="shared" si="1491"/>
        <v>https://www.google.com/search?tbm=isch&amp;q=3%20G2</v>
      </c>
      <c r="BG2074" s="165" t="str">
        <f t="shared" si="1492"/>
        <v>H</v>
      </c>
      <c r="BH2074" s="65"/>
      <c r="BI2074" s="65"/>
      <c r="BJ2074" s="65"/>
      <c r="BK2074" s="65"/>
      <c r="BL2074" s="99"/>
      <c r="BM2074" s="99"/>
      <c r="BN2074" s="99"/>
    </row>
    <row r="2075" spans="1:66" s="51" customFormat="1" ht="15.75" x14ac:dyDescent="0.25">
      <c r="A2075" s="634">
        <v>3</v>
      </c>
      <c r="B2075" s="635" t="s">
        <v>291</v>
      </c>
      <c r="C2075" s="636"/>
      <c r="D2075" s="637" t="s">
        <v>310</v>
      </c>
      <c r="E2075" s="638">
        <v>32.950000000000003</v>
      </c>
      <c r="F2075" s="639" t="s">
        <v>292</v>
      </c>
      <c r="G2075" s="484">
        <v>0</v>
      </c>
      <c r="H2075" s="691" t="str">
        <f>IF(G2075=0,"",IF(F2075="Buy",IF(G2075=1,"plant","plants"),IF(F2075&gt;0.01,"warranty","Error")))</f>
        <v/>
      </c>
      <c r="I2075" s="640">
        <f>IF(H2075="free",0,IF(H2075="credit",((E2075*(F2075))*G2075*-1),IF(F2075="Buy",(E2075*G2075),((E2075*(1-F2075))*G2075))))</f>
        <v>0</v>
      </c>
      <c r="J2075" s="640">
        <f>IF(H2075="warranty",0,(I2075*(_xlfn.SINGLE(SalesTaxPercentage))))</f>
        <v>0</v>
      </c>
      <c r="K2075" s="716">
        <f t="shared" ref="K2075" si="1497">I2075+J2075</f>
        <v>0</v>
      </c>
      <c r="L2075" s="716"/>
      <c r="M2075" s="689" t="str">
        <f ca="1">IF(AND(G2075&gt;0,E2075=0),"WARNING - no PRICE inserted",IF(H2075="free","FREE ~ no charge this plant",IF(H2075="credit",CONCATENATE("-$",ROUND(K2075*(1-_xlfn.SINGLE(T2GDiscount))*-1,2)," CREDIT after discount"),IF(_xlfn.SINGLE(T2GDiscount)=0,"",IF(G2075=0,"",IF(F2075="Buy",CONCATENATE("$",ROUND(K2075*(1-_xlfn.SINGLE(T2GDiscount)),2)," with ",(_xlfn.SINGLE(T2GDiscount)*100),"% discount"),CONCATENATE("$",ROUND(K2075*(1-_xlfn.SINGLE(T2GDiscount)),2)," with ",((_xlfn.SINGLE(T2GDiscount)*100+F2075*100)-(_xlfn.SINGLE(T2GDiscount)*100*F2075)),IF(F2075&gt;0,"% discounts",IF(_xlfn.SINGLE(NoWarrantyDiscount)&gt;0,"% discounts","% discount")))))))))</f>
        <v/>
      </c>
      <c r="N2075" s="690"/>
      <c r="O2075" s="486"/>
      <c r="P2075" s="486"/>
      <c r="Q2075" s="486"/>
      <c r="R2075" s="486"/>
      <c r="S2075" s="486"/>
      <c r="T2075" s="102">
        <f t="shared" si="1480"/>
        <v>0</v>
      </c>
      <c r="U2075" s="78">
        <f>IF(NOT(ISNUMBER(G2075)), "", VLOOKUP(A2075,'Discount Lookup'!D:E,2,FALSE)*G2075)</f>
        <v>0</v>
      </c>
      <c r="V2075" s="78">
        <f>IF(NOT(ISNUMBER(G2075)), "", VLOOKUP(A2075,'Discount Lookup'!G:H,2,FALSE)*G2075)</f>
        <v>0</v>
      </c>
      <c r="W2075" s="102">
        <f t="shared" si="1481"/>
        <v>0</v>
      </c>
      <c r="X2075" s="102">
        <f t="shared" si="1482"/>
        <v>0</v>
      </c>
      <c r="Y2075" s="120" t="b">
        <f t="shared" si="1483"/>
        <v>0</v>
      </c>
      <c r="Z2075" s="117">
        <f t="shared" si="1484"/>
        <v>0</v>
      </c>
      <c r="AA2075" s="118"/>
      <c r="AB2075" s="118" t="str">
        <f t="shared" si="1485"/>
        <v/>
      </c>
      <c r="AC2075" s="712" t="str">
        <f>IF(AE2075="T2G","no charge",IF(AND(OR(PlanterYesMe="No",PlanterYesMe="N",PlanterYesMe="me"),H2075=""),"",IF(H2075="credit","NO install",IF(AND(K2075="",AE2075="me"),"EACH row",IF(AND(K2075="images",AE2075="me"),"EACH row",IF(D2075="","",IF(H2075="credit","",IF(AE2075="free","re-planting",IF(AE2075="me","   not ELP, by",IF(AND(OR(PlanterYesMe="Yes",PlanterYesMe="Y"),G2075&gt;0),(VLOOKUP(A2075,'Discount Lookup'!J:K,2)*G2075*(1-PlanterDiscount)*(1+PlanterDifficultyPercentage)),IF(AE2075="ELP",(VLOOKUP(A2075,'Discount Lookup'!J:K,2)*G2075*(1-PlanterDiscount)*(1+PlanterDifficultyPercentage)),IF(AE2075="free","re-planting",IF(G2075=0,"",IF(PlanterYesMe="",IF(AE2075="me","   not ELP, by",IF(AE2075="",IF(G2075&gt;0,(VLOOKUP(A2075,'Discount Lookup'!J:K,2)*G2075*(1-PlanterDiscount)*(1+PlanterDifficultyPercentage)),""),"")),"   not ELP, by"))))))))))))))</f>
        <v/>
      </c>
      <c r="AD2075" s="712"/>
      <c r="AE2075" s="513" t="str">
        <f t="shared" si="1486"/>
        <v/>
      </c>
      <c r="AF2075" s="713" t="str">
        <f t="shared" si="1487"/>
        <v/>
      </c>
      <c r="AG2075" s="713"/>
      <c r="AH2075" s="713"/>
      <c r="AI2075" s="112">
        <f>IF(H2075="credit",0,IF(AE2075="free",0,IF(AE2075="me",0,IF(G2075&gt;0,(VLOOKUP(A2075,'Discount Lookup'!J:K,2)*G2075),0))))</f>
        <v>0</v>
      </c>
      <c r="AJ2075" s="107" t="str">
        <f t="shared" ca="1" si="1488"/>
        <v/>
      </c>
      <c r="AK2075" s="714" t="str">
        <f t="shared" si="1489"/>
        <v/>
      </c>
      <c r="AL2075" s="714"/>
      <c r="AM2075" s="114" t="str">
        <f t="shared" si="1490"/>
        <v/>
      </c>
      <c r="AN2075" s="115"/>
      <c r="AO2075" s="116"/>
      <c r="AP2075" s="116"/>
      <c r="AQ2075" s="116"/>
      <c r="AR2075" s="116"/>
      <c r="AS2075" s="116"/>
      <c r="AT2075" s="116"/>
      <c r="AU2075" s="116"/>
      <c r="AV2075" s="78"/>
      <c r="AW2075" s="102"/>
      <c r="AX2075" s="78"/>
      <c r="AY2075" s="78"/>
      <c r="AZ2075" s="78"/>
      <c r="BA2075" s="78"/>
      <c r="BB2075" s="78"/>
      <c r="BC2075" s="78"/>
      <c r="BD2075" s="78"/>
      <c r="BE2075" s="465"/>
      <c r="BF2075" s="165" t="str">
        <f t="shared" si="1491"/>
        <v>https://www.google.com/search?tbm=isch&amp;q=3%20G1</v>
      </c>
      <c r="BG2075" s="165" t="str">
        <f t="shared" si="1492"/>
        <v>H</v>
      </c>
      <c r="BH2075" s="65"/>
      <c r="BI2075" s="65"/>
      <c r="BJ2075" s="65"/>
      <c r="BK2075" s="65"/>
      <c r="BL2075" s="99"/>
      <c r="BM2075" s="99"/>
      <c r="BN2075" s="99"/>
    </row>
    <row r="2076" spans="1:66" s="51" customFormat="1" ht="15.75" x14ac:dyDescent="0.25">
      <c r="A2076" s="634">
        <v>3</v>
      </c>
      <c r="B2076" s="635" t="s">
        <v>291</v>
      </c>
      <c r="C2076" s="636" t="s">
        <v>4984</v>
      </c>
      <c r="D2076" s="637" t="s">
        <v>309</v>
      </c>
      <c r="E2076" s="638">
        <v>32.950000000000003</v>
      </c>
      <c r="F2076" s="639" t="s">
        <v>292</v>
      </c>
      <c r="G2076" s="484">
        <v>0</v>
      </c>
      <c r="H2076" s="691" t="str">
        <f>IF(G2076=0,"",IF(F2076="Buy",IF(G2076=1,"plant","plants"),IF(F2076&gt;0.01,"warranty","Error")))</f>
        <v/>
      </c>
      <c r="I2076" s="640">
        <f>IF(H2076="free",0,IF(H2076="credit",((E2076*(F2076))*G2076*-1),IF(F2076="Buy",(E2076*G2076),((E2076*(1-F2076))*G2076))))</f>
        <v>0</v>
      </c>
      <c r="J2076" s="640">
        <f>IF(H2076="warranty",0,(I2076*(_xlfn.SINGLE(SalesTaxPercentage))))</f>
        <v>0</v>
      </c>
      <c r="K2076" s="716">
        <f t="shared" ref="K2076" si="1498">I2076+J2076</f>
        <v>0</v>
      </c>
      <c r="L2076" s="716"/>
      <c r="M2076" s="689" t="str">
        <f ca="1">IF(AND(G2076&gt;0,E2076=0),"WARNING - no PRICE inserted",IF(H2076="free","FREE ~ no charge this plant",IF(H2076="credit",CONCATENATE("-$",ROUND(K2076*(1-_xlfn.SINGLE(T2GDiscount))*-1,2)," CREDIT after discount"),IF(_xlfn.SINGLE(T2GDiscount)=0,"",IF(G2076=0,"",IF(F2076="Buy",CONCATENATE("$",ROUND(K2076*(1-_xlfn.SINGLE(T2GDiscount)),2)," with ",(_xlfn.SINGLE(T2GDiscount)*100),"% discount"),CONCATENATE("$",ROUND(K2076*(1-_xlfn.SINGLE(T2GDiscount)),2)," with ",((_xlfn.SINGLE(T2GDiscount)*100+F2076*100)-(_xlfn.SINGLE(T2GDiscount)*100*F2076)),IF(F2076&gt;0,"% discounts",IF(_xlfn.SINGLE(NoWarrantyDiscount)&gt;0,"% discounts","% discount")))))))))</f>
        <v/>
      </c>
      <c r="N2076" s="690"/>
      <c r="O2076" s="486"/>
      <c r="P2076" s="486"/>
      <c r="Q2076" s="486"/>
      <c r="R2076" s="486"/>
      <c r="S2076" s="486"/>
      <c r="T2076" s="102">
        <f t="shared" si="1480"/>
        <v>0</v>
      </c>
      <c r="U2076" s="78">
        <f>IF(NOT(ISNUMBER(G2076)), "", VLOOKUP(A2076,'Discount Lookup'!D:E,2,FALSE)*G2076)</f>
        <v>0</v>
      </c>
      <c r="V2076" s="78">
        <f>IF(NOT(ISNUMBER(G2076)), "", VLOOKUP(A2076,'Discount Lookup'!G:H,2,FALSE)*G2076)</f>
        <v>0</v>
      </c>
      <c r="W2076" s="102">
        <f t="shared" si="1481"/>
        <v>0</v>
      </c>
      <c r="X2076" s="102">
        <f t="shared" si="1482"/>
        <v>0</v>
      </c>
      <c r="Y2076" s="120" t="b">
        <f t="shared" si="1483"/>
        <v>0</v>
      </c>
      <c r="Z2076" s="117">
        <f t="shared" si="1484"/>
        <v>0</v>
      </c>
      <c r="AA2076" s="118"/>
      <c r="AB2076" s="118" t="str">
        <f t="shared" si="1485"/>
        <v/>
      </c>
      <c r="AC2076" s="712" t="str">
        <f>IF(AE2076="T2G","no charge",IF(AND(OR(PlanterYesMe="No",PlanterYesMe="N",PlanterYesMe="me"),H2076=""),"",IF(H2076="credit","NO install",IF(AND(K2076="",AE2076="me"),"EACH row",IF(AND(K2076="images",AE2076="me"),"EACH row",IF(D2076="","",IF(H2076="credit","",IF(AE2076="free","re-planting",IF(AE2076="me","   not ELP, by",IF(AND(OR(PlanterYesMe="Yes",PlanterYesMe="Y"),G2076&gt;0),(VLOOKUP(A2076,'Discount Lookup'!J:K,2)*G2076*(1-PlanterDiscount)*(1+PlanterDifficultyPercentage)),IF(AE2076="ELP",(VLOOKUP(A2076,'Discount Lookup'!J:K,2)*G2076*(1-PlanterDiscount)*(1+PlanterDifficultyPercentage)),IF(AE2076="free","re-planting",IF(G2076=0,"",IF(PlanterYesMe="",IF(AE2076="me","   not ELP, by",IF(AE2076="",IF(G2076&gt;0,(VLOOKUP(A2076,'Discount Lookup'!J:K,2)*G2076*(1-PlanterDiscount)*(1+PlanterDifficultyPercentage)),""),"")),"   not ELP, by"))))))))))))))</f>
        <v/>
      </c>
      <c r="AD2076" s="712"/>
      <c r="AE2076" s="513" t="str">
        <f t="shared" si="1486"/>
        <v/>
      </c>
      <c r="AF2076" s="713" t="str">
        <f t="shared" si="1487"/>
        <v/>
      </c>
      <c r="AG2076" s="713"/>
      <c r="AH2076" s="713"/>
      <c r="AI2076" s="112">
        <f>IF(H2076="credit",0,IF(AE2076="free",0,IF(AE2076="me",0,IF(G2076&gt;0,(VLOOKUP(A2076,'Discount Lookup'!J:K,2)*G2076),0))))</f>
        <v>0</v>
      </c>
      <c r="AJ2076" s="107" t="str">
        <f t="shared" ca="1" si="1488"/>
        <v/>
      </c>
      <c r="AK2076" s="714" t="str">
        <f t="shared" si="1489"/>
        <v/>
      </c>
      <c r="AL2076" s="714"/>
      <c r="AM2076" s="114" t="str">
        <f t="shared" si="1490"/>
        <v/>
      </c>
      <c r="AN2076" s="115"/>
      <c r="AO2076" s="116"/>
      <c r="AP2076" s="116"/>
      <c r="AQ2076" s="116"/>
      <c r="AR2076" s="116"/>
      <c r="AS2076" s="116"/>
      <c r="AT2076" s="116"/>
      <c r="AU2076" s="116"/>
      <c r="AV2076" s="78"/>
      <c r="AW2076" s="102"/>
      <c r="AX2076" s="78"/>
      <c r="AY2076" s="78"/>
      <c r="AZ2076" s="78"/>
      <c r="BA2076" s="78"/>
      <c r="BB2076" s="78"/>
      <c r="BC2076" s="78"/>
      <c r="BD2076" s="78"/>
      <c r="BE2076" s="465"/>
      <c r="BF2076" s="165" t="str">
        <f t="shared" si="1491"/>
        <v>https://www.google.com/search?tbm=isch&amp;q=3%20G3</v>
      </c>
      <c r="BG2076" s="165" t="str">
        <f t="shared" si="1492"/>
        <v>H</v>
      </c>
      <c r="BH2076" s="65"/>
      <c r="BI2076" s="65"/>
      <c r="BJ2076" s="65"/>
      <c r="BK2076" s="65"/>
      <c r="BL2076" s="99"/>
      <c r="BM2076" s="99"/>
      <c r="BN2076" s="99"/>
    </row>
    <row r="2077" spans="1:66" s="51" customFormat="1" ht="17.25" thickBot="1" x14ac:dyDescent="0.3">
      <c r="A2077" s="704" t="s">
        <v>5445</v>
      </c>
      <c r="B2077" s="642"/>
      <c r="C2077" s="710"/>
      <c r="D2077" s="643"/>
      <c r="E2077" s="643"/>
      <c r="F2077" s="644"/>
      <c r="G2077" s="645"/>
      <c r="H2077" s="646"/>
      <c r="I2077" s="647"/>
      <c r="J2077" s="648"/>
      <c r="K2077" s="649"/>
      <c r="L2077" s="650"/>
      <c r="M2077" s="650"/>
      <c r="N2077" s="644"/>
      <c r="O2077" s="644"/>
      <c r="P2077" s="644"/>
      <c r="Q2077" s="644"/>
      <c r="R2077" s="644"/>
      <c r="S2077" s="651"/>
      <c r="T2077" s="102">
        <f t="shared" si="1480"/>
        <v>0</v>
      </c>
      <c r="U2077" s="78" t="str">
        <f>IF(NOT(ISNUMBER(G2077)), "", VLOOKUP(A2077,'Discount Lookup'!D:E,2,FALSE)*G2077)</f>
        <v/>
      </c>
      <c r="V2077" s="78" t="str">
        <f>IF(NOT(ISNUMBER(G2077)), "", VLOOKUP(A2077,'Discount Lookup'!G:H,2,FALSE)*G2077)</f>
        <v/>
      </c>
      <c r="W2077" s="102">
        <f t="shared" si="1481"/>
        <v>0</v>
      </c>
      <c r="X2077" s="102">
        <f t="shared" si="1482"/>
        <v>0</v>
      </c>
      <c r="Y2077" s="120" t="b">
        <f t="shared" si="1483"/>
        <v>0</v>
      </c>
      <c r="Z2077" s="117">
        <f t="shared" si="1484"/>
        <v>0</v>
      </c>
      <c r="AA2077" s="118"/>
      <c r="AB2077" s="118" t="str">
        <f t="shared" si="1485"/>
        <v/>
      </c>
      <c r="AC2077" s="712" t="str">
        <f>IF(AE2077="T2G","no charge",IF(AND(OR(PlanterYesMe="No",PlanterYesMe="N",PlanterYesMe="me"),H2077=""),"",IF(H2077="credit","NO install",IF(AND(K2077="",AE2077="me"),"EACH row",IF(AND(K2077="images",AE2077="me"),"EACH row",IF(D2077="","",IF(H2077="credit","",IF(AE2077="free","re-planting",IF(AE2077="me","   not ELP, by",IF(AND(OR(PlanterYesMe="Yes",PlanterYesMe="Y"),G2077&gt;0),(VLOOKUP(A2077,'Discount Lookup'!J:K,2)*G2077*(1-PlanterDiscount)*(1+PlanterDifficultyPercentage)),IF(AE2077="ELP",(VLOOKUP(A2077,'Discount Lookup'!J:K,2)*G2077*(1-PlanterDiscount)*(1+PlanterDifficultyPercentage)),IF(AE2077="free","re-planting",IF(G2077=0,"",IF(PlanterYesMe="",IF(AE2077="me","   not ELP, by",IF(AE2077="",IF(G2077&gt;0,(VLOOKUP(A2077,'Discount Lookup'!J:K,2)*G2077*(1-PlanterDiscount)*(1+PlanterDifficultyPercentage)),""),"")),"   not ELP, by"))))))))))))))</f>
        <v/>
      </c>
      <c r="AD2077" s="712"/>
      <c r="AE2077" s="513" t="str">
        <f t="shared" si="1486"/>
        <v/>
      </c>
      <c r="AF2077" s="713" t="str">
        <f t="shared" si="1487"/>
        <v/>
      </c>
      <c r="AG2077" s="713"/>
      <c r="AH2077" s="713"/>
      <c r="AI2077" s="112">
        <f>IF(H2077="credit",0,IF(AE2077="free",0,IF(AE2077="me",0,IF(G2077&gt;0,(VLOOKUP(A2077,'Discount Lookup'!J:K,2)*G2077),0))))</f>
        <v>0</v>
      </c>
      <c r="AJ2077" s="107" t="str">
        <f t="shared" ca="1" si="1488"/>
        <v/>
      </c>
      <c r="AK2077" s="714" t="str">
        <f t="shared" si="1489"/>
        <v/>
      </c>
      <c r="AL2077" s="714"/>
      <c r="AM2077" s="114" t="str">
        <f t="shared" si="1490"/>
        <v/>
      </c>
      <c r="AN2077" s="115"/>
      <c r="AO2077" s="116"/>
      <c r="AP2077" s="116"/>
      <c r="AQ2077" s="116"/>
      <c r="AR2077" s="116"/>
      <c r="AS2077" s="116"/>
      <c r="AT2077" s="116"/>
      <c r="AU2077" s="116"/>
      <c r="AV2077" s="78"/>
      <c r="AW2077" s="102"/>
      <c r="AX2077" s="78"/>
      <c r="AY2077" s="78"/>
      <c r="AZ2077" s="78"/>
      <c r="BA2077" s="78"/>
      <c r="BB2077" s="78"/>
      <c r="BC2077" s="78"/>
      <c r="BD2077" s="78"/>
      <c r="BE2077" s="465"/>
      <c r="BF2077" s="165" t="str">
        <f t="shared" si="1491"/>
        <v>https://www.google.com/search?tbm=isch&amp;q=moist%20sites%F0%9F%92%A7OK%2C%20Autumn%20Reprise%20has%20Green%20foliage%2C%20Wine-Red%20in%20fall.%20All%20%22Oakleaf%22%20have%20cone-shaped%20flowers%20on%20old%20wood.%20Exfoliating%20Cinnamon%20bark%20</v>
      </c>
      <c r="BG2077" s="165" t="str">
        <f t="shared" si="1492"/>
        <v>m</v>
      </c>
      <c r="BH2077" s="65"/>
      <c r="BI2077" s="65"/>
      <c r="BJ2077" s="65"/>
      <c r="BK2077" s="65"/>
      <c r="BL2077" s="99"/>
      <c r="BM2077" s="99"/>
      <c r="BN2077" s="99"/>
    </row>
    <row r="2078" spans="1:66" s="51" customFormat="1" ht="18" x14ac:dyDescent="0.25">
      <c r="A2078" s="623" t="s">
        <v>2869</v>
      </c>
      <c r="B2078" s="624"/>
      <c r="C2078" s="709"/>
      <c r="D2078" s="625" t="s">
        <v>2870</v>
      </c>
      <c r="E2078" s="626"/>
      <c r="F2078" s="626"/>
      <c r="G2078" s="626"/>
      <c r="H2078" s="622" t="s">
        <v>1264</v>
      </c>
      <c r="I2078" s="627" t="s">
        <v>2814</v>
      </c>
      <c r="J2078" s="628"/>
      <c r="K2078" s="628"/>
      <c r="L2078" s="629"/>
      <c r="M2078" s="702" t="s">
        <v>5252</v>
      </c>
      <c r="N2078" s="693" t="str">
        <f>IF(AND(ISTEXT($A2078), ISERROR($A2078+0)), HYPERLINK($BF2078, "Images"), "")</f>
        <v>Images</v>
      </c>
      <c r="O2078" s="695" t="s">
        <v>5264</v>
      </c>
      <c r="P2078" s="630"/>
      <c r="Q2078" s="631"/>
      <c r="R2078" s="632"/>
      <c r="S2078" s="633" t="s">
        <v>294</v>
      </c>
      <c r="T2078" s="102">
        <f t="shared" si="1480"/>
        <v>0</v>
      </c>
      <c r="U2078" s="78" t="str">
        <f>IF(NOT(ISNUMBER(G2078)), "", VLOOKUP(A2078,'Discount Lookup'!D:E,2,FALSE)*G2078)</f>
        <v/>
      </c>
      <c r="V2078" s="78" t="str">
        <f>IF(NOT(ISNUMBER(G2078)), "", VLOOKUP(A2078,'Discount Lookup'!G:H,2,FALSE)*G2078)</f>
        <v/>
      </c>
      <c r="W2078" s="102">
        <f t="shared" si="1481"/>
        <v>0</v>
      </c>
      <c r="X2078" s="102" t="str">
        <f t="shared" si="1482"/>
        <v>White bloom ages to Pink</v>
      </c>
      <c r="Y2078" s="120" t="b">
        <f t="shared" si="1483"/>
        <v>0</v>
      </c>
      <c r="Z2078" s="117">
        <f t="shared" si="1484"/>
        <v>0</v>
      </c>
      <c r="AA2078" s="118"/>
      <c r="AB2078" s="118" t="str">
        <f t="shared" si="1485"/>
        <v/>
      </c>
      <c r="AC2078" s="712" t="str">
        <f>IF(AE2078="T2G","no charge",IF(AND(OR(PlanterYesMe="No",PlanterYesMe="N",PlanterYesMe="me"),H2078=""),"",IF(H2078="credit","NO install",IF(AND(K2078="",AE2078="me"),"EACH row",IF(AND(K2078="images",AE2078="me"),"EACH row",IF(D2078="","",IF(H2078="credit","",IF(AE2078="free","re-planting",IF(AE2078="me","   not ELP, by",IF(AND(OR(PlanterYesMe="Yes",PlanterYesMe="Y"),G2078&gt;0),(VLOOKUP(A2078,'Discount Lookup'!J:K,2)*G2078*(1-PlanterDiscount)*(1+PlanterDifficultyPercentage)),IF(AE2078="ELP",(VLOOKUP(A2078,'Discount Lookup'!J:K,2)*G2078*(1-PlanterDiscount)*(1+PlanterDifficultyPercentage)),IF(AE2078="free","re-planting",IF(G2078=0,"",IF(PlanterYesMe="",IF(AE2078="me","   not ELP, by",IF(AE2078="",IF(G2078&gt;0,(VLOOKUP(A2078,'Discount Lookup'!J:K,2)*G2078*(1-PlanterDiscount)*(1+PlanterDifficultyPercentage)),""),"")),"   not ELP, by"))))))))))))))</f>
        <v/>
      </c>
      <c r="AD2078" s="712"/>
      <c r="AE2078" s="513" t="str">
        <f t="shared" si="1486"/>
        <v/>
      </c>
      <c r="AF2078" s="713" t="str">
        <f t="shared" si="1487"/>
        <v/>
      </c>
      <c r="AG2078" s="713"/>
      <c r="AH2078" s="713"/>
      <c r="AI2078" s="112">
        <f>IF(H2078="credit",0,IF(AE2078="free",0,IF(AE2078="me",0,IF(G2078&gt;0,(VLOOKUP(A2078,'Discount Lookup'!J:K,2)*G2078),0))))</f>
        <v>0</v>
      </c>
      <c r="AJ2078" s="107" t="str">
        <f t="shared" ca="1" si="1488"/>
        <v/>
      </c>
      <c r="AK2078" s="714" t="str">
        <f t="shared" si="1489"/>
        <v/>
      </c>
      <c r="AL2078" s="714"/>
      <c r="AM2078" s="114" t="str">
        <f t="shared" si="1490"/>
        <v/>
      </c>
      <c r="AN2078" s="115"/>
      <c r="AO2078" s="116"/>
      <c r="AP2078" s="116"/>
      <c r="AQ2078" s="116"/>
      <c r="AR2078" s="116"/>
      <c r="AS2078" s="116"/>
      <c r="AT2078" s="116"/>
      <c r="AU2078" s="116"/>
      <c r="AV2078" s="78"/>
      <c r="AW2078" s="102"/>
      <c r="AX2078" s="78"/>
      <c r="AY2078" s="78"/>
      <c r="AZ2078" s="78"/>
      <c r="BA2078" s="78"/>
      <c r="BB2078" s="78"/>
      <c r="BC2078" s="78"/>
      <c r="BD2078" s="78"/>
      <c r="BE2078" s="465"/>
      <c r="BF2078" s="165" t="str">
        <f t="shared" si="1491"/>
        <v>https://www.google.com/search?tbm=isch&amp;q=Hyd.%20quercifolia%20%27Alice%27%20Alice%20Oakleaf%20Hydrangea</v>
      </c>
      <c r="BG2078" s="165" t="str">
        <f t="shared" si="1492"/>
        <v>H</v>
      </c>
      <c r="BH2078" s="65"/>
      <c r="BI2078" s="65"/>
      <c r="BJ2078" s="65"/>
      <c r="BK2078" s="65"/>
      <c r="BL2078" s="99"/>
      <c r="BM2078" s="99"/>
      <c r="BN2078" s="99"/>
    </row>
    <row r="2079" spans="1:66" s="51" customFormat="1" ht="15.75" x14ac:dyDescent="0.25">
      <c r="A2079" s="634">
        <v>5</v>
      </c>
      <c r="B2079" s="635" t="s">
        <v>291</v>
      </c>
      <c r="C2079" s="636" t="s">
        <v>4616</v>
      </c>
      <c r="D2079" s="637" t="s">
        <v>293</v>
      </c>
      <c r="E2079" s="638">
        <v>71.95</v>
      </c>
      <c r="F2079" s="639" t="s">
        <v>292</v>
      </c>
      <c r="G2079" s="484">
        <v>0</v>
      </c>
      <c r="H2079" s="691" t="str">
        <f>IF(G2079=0,"",IF(F2079="Buy",IF(G2079=1,"plant","plants"),IF(F2079&gt;0.01,"warranty","Error")))</f>
        <v/>
      </c>
      <c r="I2079" s="640">
        <f>IF(H2079="free",0,IF(H2079="credit",((E2079*(F2079))*G2079*-1),IF(F2079="Buy",(E2079*G2079),((E2079*(1-F2079))*G2079))))</f>
        <v>0</v>
      </c>
      <c r="J2079" s="640">
        <f>IF(H2079="warranty",0,(I2079*(_xlfn.SINGLE(SalesTaxPercentage))))</f>
        <v>0</v>
      </c>
      <c r="K2079" s="716">
        <f t="shared" ref="K2079" si="1499">I2079+J2079</f>
        <v>0</v>
      </c>
      <c r="L2079" s="716"/>
      <c r="M2079" s="689" t="str">
        <f ca="1">IF(AND(G2079&gt;0,E2079=0),"WARNING - no PRICE inserted",IF(H2079="free","FREE ~ no charge this plant",IF(H2079="credit",CONCATENATE("-$",ROUND(K2079*(1-_xlfn.SINGLE(T2GDiscount))*-1,2)," CREDIT after discount"),IF(_xlfn.SINGLE(T2GDiscount)=0,"",IF(G2079=0,"",IF(F2079="Buy",CONCATENATE("$",ROUND(K2079*(1-_xlfn.SINGLE(T2GDiscount)),2)," with ",(_xlfn.SINGLE(T2GDiscount)*100),"% discount"),CONCATENATE("$",ROUND(K2079*(1-_xlfn.SINGLE(T2GDiscount)),2)," with ",((_xlfn.SINGLE(T2GDiscount)*100+F2079*100)-(_xlfn.SINGLE(T2GDiscount)*100*F2079)),IF(F2079&gt;0,"% discounts",IF(_xlfn.SINGLE(NoWarrantyDiscount)&gt;0,"% discounts","% discount")))))))))</f>
        <v/>
      </c>
      <c r="N2079" s="690"/>
      <c r="O2079" s="486"/>
      <c r="P2079" s="486"/>
      <c r="Q2079" s="486"/>
      <c r="R2079" s="486"/>
      <c r="S2079" s="486"/>
      <c r="T2079" s="102">
        <f t="shared" si="1480"/>
        <v>0</v>
      </c>
      <c r="U2079" s="78">
        <f>IF(NOT(ISNUMBER(G2079)), "", VLOOKUP(A2079,'Discount Lookup'!D:E,2,FALSE)*G2079)</f>
        <v>0</v>
      </c>
      <c r="V2079" s="78">
        <f>IF(NOT(ISNUMBER(G2079)), "", VLOOKUP(A2079,'Discount Lookup'!G:H,2,FALSE)*G2079)</f>
        <v>0</v>
      </c>
      <c r="W2079" s="102">
        <f t="shared" si="1481"/>
        <v>0</v>
      </c>
      <c r="X2079" s="102">
        <f t="shared" si="1482"/>
        <v>0</v>
      </c>
      <c r="Y2079" s="120" t="b">
        <f t="shared" si="1483"/>
        <v>0</v>
      </c>
      <c r="Z2079" s="117">
        <f t="shared" si="1484"/>
        <v>0</v>
      </c>
      <c r="AA2079" s="118"/>
      <c r="AB2079" s="118" t="str">
        <f t="shared" si="1485"/>
        <v/>
      </c>
      <c r="AC2079" s="712" t="str">
        <f>IF(AE2079="T2G","no charge",IF(AND(OR(PlanterYesMe="No",PlanterYesMe="N",PlanterYesMe="me"),H2079=""),"",IF(H2079="credit","NO install",IF(AND(K2079="",AE2079="me"),"EACH row",IF(AND(K2079="images",AE2079="me"),"EACH row",IF(D2079="","",IF(H2079="credit","",IF(AE2079="free","re-planting",IF(AE2079="me","   not ELP, by",IF(AND(OR(PlanterYesMe="Yes",PlanterYesMe="Y"),G2079&gt;0),(VLOOKUP(A2079,'Discount Lookup'!J:K,2)*G2079*(1-PlanterDiscount)*(1+PlanterDifficultyPercentage)),IF(AE2079="ELP",(VLOOKUP(A2079,'Discount Lookup'!J:K,2)*G2079*(1-PlanterDiscount)*(1+PlanterDifficultyPercentage)),IF(AE2079="free","re-planting",IF(G2079=0,"",IF(PlanterYesMe="",IF(AE2079="me","   not ELP, by",IF(AE2079="",IF(G2079&gt;0,(VLOOKUP(A2079,'Discount Lookup'!J:K,2)*G2079*(1-PlanterDiscount)*(1+PlanterDifficultyPercentage)),""),"")),"   not ELP, by"))))))))))))))</f>
        <v/>
      </c>
      <c r="AD2079" s="712"/>
      <c r="AE2079" s="513" t="str">
        <f t="shared" si="1486"/>
        <v/>
      </c>
      <c r="AF2079" s="713" t="str">
        <f t="shared" si="1487"/>
        <v/>
      </c>
      <c r="AG2079" s="713"/>
      <c r="AH2079" s="713"/>
      <c r="AI2079" s="112">
        <f>IF(H2079="credit",0,IF(AE2079="free",0,IF(AE2079="me",0,IF(G2079&gt;0,(VLOOKUP(A2079,'Discount Lookup'!J:K,2)*G2079),0))))</f>
        <v>0</v>
      </c>
      <c r="AJ2079" s="107" t="str">
        <f t="shared" ca="1" si="1488"/>
        <v/>
      </c>
      <c r="AK2079" s="714" t="str">
        <f t="shared" si="1489"/>
        <v/>
      </c>
      <c r="AL2079" s="714"/>
      <c r="AM2079" s="114" t="str">
        <f t="shared" si="1490"/>
        <v/>
      </c>
      <c r="AN2079" s="115"/>
      <c r="AO2079" s="116"/>
      <c r="AP2079" s="116"/>
      <c r="AQ2079" s="116"/>
      <c r="AR2079" s="116"/>
      <c r="AS2079" s="116"/>
      <c r="AT2079" s="116"/>
      <c r="AU2079" s="116"/>
      <c r="AV2079" s="78"/>
      <c r="AW2079" s="102"/>
      <c r="AX2079" s="78"/>
      <c r="AY2079" s="78"/>
      <c r="AZ2079" s="78"/>
      <c r="BA2079" s="78"/>
      <c r="BB2079" s="78"/>
      <c r="BC2079" s="78"/>
      <c r="BD2079" s="78"/>
      <c r="BE2079" s="465"/>
      <c r="BF2079" s="165" t="str">
        <f t="shared" si="1491"/>
        <v>https://www.google.com/search?tbm=isch&amp;q=5%20G6</v>
      </c>
      <c r="BG2079" s="165" t="str">
        <f t="shared" si="1492"/>
        <v>H</v>
      </c>
      <c r="BH2079" s="65"/>
      <c r="BI2079" s="65"/>
      <c r="BJ2079" s="65"/>
      <c r="BK2079" s="65"/>
      <c r="BL2079" s="99"/>
      <c r="BM2079" s="99"/>
      <c r="BN2079" s="99"/>
    </row>
    <row r="2080" spans="1:66" s="51" customFormat="1" ht="17.25" thickBot="1" x14ac:dyDescent="0.3">
      <c r="A2080" s="704" t="s">
        <v>5446</v>
      </c>
      <c r="B2080" s="642"/>
      <c r="C2080" s="710"/>
      <c r="D2080" s="643"/>
      <c r="E2080" s="643"/>
      <c r="F2080" s="644"/>
      <c r="G2080" s="645"/>
      <c r="H2080" s="646"/>
      <c r="I2080" s="647"/>
      <c r="J2080" s="648"/>
      <c r="K2080" s="649"/>
      <c r="L2080" s="650"/>
      <c r="M2080" s="650"/>
      <c r="N2080" s="644"/>
      <c r="O2080" s="644"/>
      <c r="P2080" s="644"/>
      <c r="Q2080" s="644"/>
      <c r="R2080" s="644"/>
      <c r="S2080" s="651"/>
      <c r="T2080" s="102">
        <f t="shared" si="1480"/>
        <v>0</v>
      </c>
      <c r="U2080" s="78" t="str">
        <f>IF(NOT(ISNUMBER(G2080)), "", VLOOKUP(A2080,'Discount Lookup'!D:E,2,FALSE)*G2080)</f>
        <v/>
      </c>
      <c r="V2080" s="78" t="str">
        <f>IF(NOT(ISNUMBER(G2080)), "", VLOOKUP(A2080,'Discount Lookup'!G:H,2,FALSE)*G2080)</f>
        <v/>
      </c>
      <c r="W2080" s="102">
        <f t="shared" si="1481"/>
        <v>0</v>
      </c>
      <c r="X2080" s="102">
        <f t="shared" si="1482"/>
        <v>0</v>
      </c>
      <c r="Y2080" s="120" t="b">
        <f t="shared" si="1483"/>
        <v>0</v>
      </c>
      <c r="Z2080" s="117">
        <f t="shared" si="1484"/>
        <v>0</v>
      </c>
      <c r="AA2080" s="118"/>
      <c r="AB2080" s="118" t="str">
        <f t="shared" si="1485"/>
        <v/>
      </c>
      <c r="AC2080" s="712" t="str">
        <f>IF(AE2080="T2G","no charge",IF(AND(OR(PlanterYesMe="No",PlanterYesMe="N",PlanterYesMe="me"),H2080=""),"",IF(H2080="credit","NO install",IF(AND(K2080="",AE2080="me"),"EACH row",IF(AND(K2080="images",AE2080="me"),"EACH row",IF(D2080="","",IF(H2080="credit","",IF(AE2080="free","re-planting",IF(AE2080="me","   not ELP, by",IF(AND(OR(PlanterYesMe="Yes",PlanterYesMe="Y"),G2080&gt;0),(VLOOKUP(A2080,'Discount Lookup'!J:K,2)*G2080*(1-PlanterDiscount)*(1+PlanterDifficultyPercentage)),IF(AE2080="ELP",(VLOOKUP(A2080,'Discount Lookup'!J:K,2)*G2080*(1-PlanterDiscount)*(1+PlanterDifficultyPercentage)),IF(AE2080="free","re-planting",IF(G2080=0,"",IF(PlanterYesMe="",IF(AE2080="me","   not ELP, by",IF(AE2080="",IF(G2080&gt;0,(VLOOKUP(A2080,'Discount Lookup'!J:K,2)*G2080*(1-PlanterDiscount)*(1+PlanterDifficultyPercentage)),""),"")),"   not ELP, by"))))))))))))))</f>
        <v/>
      </c>
      <c r="AD2080" s="712"/>
      <c r="AE2080" s="513" t="str">
        <f t="shared" si="1486"/>
        <v/>
      </c>
      <c r="AF2080" s="713" t="str">
        <f t="shared" si="1487"/>
        <v/>
      </c>
      <c r="AG2080" s="713"/>
      <c r="AH2080" s="713"/>
      <c r="AI2080" s="112">
        <f>IF(H2080="credit",0,IF(AE2080="free",0,IF(AE2080="me",0,IF(G2080&gt;0,(VLOOKUP(A2080,'Discount Lookup'!J:K,2)*G2080),0))))</f>
        <v>0</v>
      </c>
      <c r="AJ2080" s="107" t="str">
        <f t="shared" ca="1" si="1488"/>
        <v/>
      </c>
      <c r="AK2080" s="714" t="str">
        <f t="shared" si="1489"/>
        <v/>
      </c>
      <c r="AL2080" s="714"/>
      <c r="AM2080" s="114" t="str">
        <f t="shared" si="1490"/>
        <v/>
      </c>
      <c r="AN2080" s="115"/>
      <c r="AO2080" s="116"/>
      <c r="AP2080" s="116"/>
      <c r="AQ2080" s="116"/>
      <c r="AR2080" s="116"/>
      <c r="AS2080" s="116"/>
      <c r="AT2080" s="116"/>
      <c r="AU2080" s="116"/>
      <c r="AV2080" s="78"/>
      <c r="AW2080" s="102"/>
      <c r="AX2080" s="78"/>
      <c r="AY2080" s="78"/>
      <c r="AZ2080" s="78"/>
      <c r="BA2080" s="78"/>
      <c r="BB2080" s="78"/>
      <c r="BC2080" s="78"/>
      <c r="BD2080" s="78"/>
      <c r="BE2080" s="465"/>
      <c r="BF2080" s="165" t="str">
        <f t="shared" si="1491"/>
        <v>https://www.google.com/search?tbm=isch&amp;q=moist%20sites%F0%9F%92%A7OK%2C%20Alice%20has%20Green%20foliage%2C%20Maroon-Purple%20in%20fall.%20All%20%22Oakleaf%22%20have%20cone-shaped%20flowers%20on%20old%20wood.%20Exfoliating%20Cinnamon%20bark%20</v>
      </c>
      <c r="BG2080" s="165" t="str">
        <f t="shared" si="1492"/>
        <v>m</v>
      </c>
      <c r="BH2080" s="65"/>
      <c r="BI2080" s="65"/>
      <c r="BJ2080" s="65"/>
      <c r="BK2080" s="65"/>
      <c r="BL2080" s="99"/>
      <c r="BM2080" s="99"/>
      <c r="BN2080" s="99"/>
    </row>
    <row r="2081" spans="1:66" s="51" customFormat="1" ht="18" x14ac:dyDescent="0.25">
      <c r="A2081" s="623" t="s">
        <v>2871</v>
      </c>
      <c r="B2081" s="624"/>
      <c r="C2081" s="709"/>
      <c r="D2081" s="625" t="s">
        <v>2872</v>
      </c>
      <c r="E2081" s="626"/>
      <c r="F2081" s="626"/>
      <c r="G2081" s="626"/>
      <c r="H2081" s="622" t="s">
        <v>1240</v>
      </c>
      <c r="I2081" s="627" t="s">
        <v>2814</v>
      </c>
      <c r="J2081" s="628"/>
      <c r="K2081" s="628"/>
      <c r="L2081" s="629"/>
      <c r="M2081" s="702" t="s">
        <v>5252</v>
      </c>
      <c r="N2081" s="693" t="str">
        <f>IF(AND(ISTEXT($A2081), ISERROR($A2081+0)), HYPERLINK($BF2081, "Images"), "")</f>
        <v>Images</v>
      </c>
      <c r="O2081" s="695" t="s">
        <v>5264</v>
      </c>
      <c r="P2081" s="630"/>
      <c r="Q2081" s="631"/>
      <c r="R2081" s="632"/>
      <c r="S2081" s="633" t="s">
        <v>294</v>
      </c>
      <c r="T2081" s="102">
        <f t="shared" si="1480"/>
        <v>0</v>
      </c>
      <c r="U2081" s="78" t="str">
        <f>IF(NOT(ISNUMBER(G2081)), "", VLOOKUP(A2081,'Discount Lookup'!D:E,2,FALSE)*G2081)</f>
        <v/>
      </c>
      <c r="V2081" s="78" t="str">
        <f>IF(NOT(ISNUMBER(G2081)), "", VLOOKUP(A2081,'Discount Lookup'!G:H,2,FALSE)*G2081)</f>
        <v/>
      </c>
      <c r="W2081" s="102">
        <f t="shared" si="1481"/>
        <v>0</v>
      </c>
      <c r="X2081" s="102" t="str">
        <f t="shared" si="1482"/>
        <v>White bloom ages to Pink</v>
      </c>
      <c r="Y2081" s="120" t="b">
        <f t="shared" si="1483"/>
        <v>0</v>
      </c>
      <c r="Z2081" s="117">
        <f t="shared" si="1484"/>
        <v>0</v>
      </c>
      <c r="AA2081" s="118"/>
      <c r="AB2081" s="118" t="str">
        <f t="shared" si="1485"/>
        <v/>
      </c>
      <c r="AC2081" s="712" t="str">
        <f>IF(AE2081="T2G","no charge",IF(AND(OR(PlanterYesMe="No",PlanterYesMe="N",PlanterYesMe="me"),H2081=""),"",IF(H2081="credit","NO install",IF(AND(K2081="",AE2081="me"),"EACH row",IF(AND(K2081="images",AE2081="me"),"EACH row",IF(D2081="","",IF(H2081="credit","",IF(AE2081="free","re-planting",IF(AE2081="me","   not ELP, by",IF(AND(OR(PlanterYesMe="Yes",PlanterYesMe="Y"),G2081&gt;0),(VLOOKUP(A2081,'Discount Lookup'!J:K,2)*G2081*(1-PlanterDiscount)*(1+PlanterDifficultyPercentage)),IF(AE2081="ELP",(VLOOKUP(A2081,'Discount Lookup'!J:K,2)*G2081*(1-PlanterDiscount)*(1+PlanterDifficultyPercentage)),IF(AE2081="free","re-planting",IF(G2081=0,"",IF(PlanterYesMe="",IF(AE2081="me","   not ELP, by",IF(AE2081="",IF(G2081&gt;0,(VLOOKUP(A2081,'Discount Lookup'!J:K,2)*G2081*(1-PlanterDiscount)*(1+PlanterDifficultyPercentage)),""),"")),"   not ELP, by"))))))))))))))</f>
        <v/>
      </c>
      <c r="AD2081" s="712"/>
      <c r="AE2081" s="513" t="str">
        <f t="shared" si="1486"/>
        <v/>
      </c>
      <c r="AF2081" s="713" t="str">
        <f t="shared" si="1487"/>
        <v/>
      </c>
      <c r="AG2081" s="713"/>
      <c r="AH2081" s="713"/>
      <c r="AI2081" s="112">
        <f>IF(H2081="credit",0,IF(AE2081="free",0,IF(AE2081="me",0,IF(G2081&gt;0,(VLOOKUP(A2081,'Discount Lookup'!J:K,2)*G2081),0))))</f>
        <v>0</v>
      </c>
      <c r="AJ2081" s="107" t="str">
        <f t="shared" ca="1" si="1488"/>
        <v/>
      </c>
      <c r="AK2081" s="714" t="str">
        <f t="shared" si="1489"/>
        <v/>
      </c>
      <c r="AL2081" s="714"/>
      <c r="AM2081" s="114" t="str">
        <f t="shared" si="1490"/>
        <v/>
      </c>
      <c r="AN2081" s="115"/>
      <c r="AO2081" s="116"/>
      <c r="AP2081" s="116"/>
      <c r="AQ2081" s="116"/>
      <c r="AR2081" s="116"/>
      <c r="AS2081" s="116"/>
      <c r="AT2081" s="116"/>
      <c r="AU2081" s="116"/>
      <c r="AV2081" s="78"/>
      <c r="AW2081" s="102"/>
      <c r="AX2081" s="78"/>
      <c r="AY2081" s="78"/>
      <c r="AZ2081" s="78"/>
      <c r="BA2081" s="78"/>
      <c r="BB2081" s="78"/>
      <c r="BC2081" s="78"/>
      <c r="BD2081" s="78"/>
      <c r="BE2081" s="465"/>
      <c r="BF2081" s="165" t="str">
        <f t="shared" si="1491"/>
        <v>https://www.google.com/search?tbm=isch&amp;q=Hyd.%20quercifolia%20%27Flemygea%27%20PP%234458Exp.%20Snow%20Queen%20Oakleaf%20Hydrangea</v>
      </c>
      <c r="BG2081" s="165" t="str">
        <f t="shared" si="1492"/>
        <v>H</v>
      </c>
      <c r="BH2081" s="65"/>
      <c r="BI2081" s="65"/>
      <c r="BJ2081" s="65"/>
      <c r="BK2081" s="65"/>
      <c r="BL2081" s="99"/>
      <c r="BM2081" s="99"/>
      <c r="BN2081" s="99"/>
    </row>
    <row r="2082" spans="1:66" s="51" customFormat="1" ht="15.75" x14ac:dyDescent="0.25">
      <c r="A2082" s="634">
        <v>10</v>
      </c>
      <c r="B2082" s="635" t="s">
        <v>291</v>
      </c>
      <c r="C2082" s="636" t="s">
        <v>4617</v>
      </c>
      <c r="D2082" s="637" t="s">
        <v>293</v>
      </c>
      <c r="E2082" s="638">
        <v>177.95</v>
      </c>
      <c r="F2082" s="639" t="s">
        <v>292</v>
      </c>
      <c r="G2082" s="484">
        <v>0</v>
      </c>
      <c r="H2082" s="691" t="str">
        <f>IF(G2082=0,"",IF(F2082="Buy",IF(G2082=1,"plant","plants"),IF(F2082&gt;0.01,"warranty","Error")))</f>
        <v/>
      </c>
      <c r="I2082" s="640">
        <f>IF(H2082="free",0,IF(H2082="credit",((E2082*(F2082))*G2082*-1),IF(F2082="Buy",(E2082*G2082),((E2082*(1-F2082))*G2082))))</f>
        <v>0</v>
      </c>
      <c r="J2082" s="640">
        <f>IF(H2082="warranty",0,(I2082*(_xlfn.SINGLE(SalesTaxPercentage))))</f>
        <v>0</v>
      </c>
      <c r="K2082" s="716">
        <f t="shared" ref="K2082" si="1500">I2082+J2082</f>
        <v>0</v>
      </c>
      <c r="L2082" s="716"/>
      <c r="M2082" s="689" t="str">
        <f ca="1">IF(AND(G2082&gt;0,E2082=0),"WARNING - no PRICE inserted",IF(H2082="free","FREE ~ no charge this plant",IF(H2082="credit",CONCATENATE("-$",ROUND(K2082*(1-_xlfn.SINGLE(T2GDiscount))*-1,2)," CREDIT after discount"),IF(_xlfn.SINGLE(T2GDiscount)=0,"",IF(G2082=0,"",IF(F2082="Buy",CONCATENATE("$",ROUND(K2082*(1-_xlfn.SINGLE(T2GDiscount)),2)," with ",(_xlfn.SINGLE(T2GDiscount)*100),"% discount"),CONCATENATE("$",ROUND(K2082*(1-_xlfn.SINGLE(T2GDiscount)),2)," with ",((_xlfn.SINGLE(T2GDiscount)*100+F2082*100)-(_xlfn.SINGLE(T2GDiscount)*100*F2082)),IF(F2082&gt;0,"% discounts",IF(_xlfn.SINGLE(NoWarrantyDiscount)&gt;0,"% discounts","% discount")))))))))</f>
        <v/>
      </c>
      <c r="N2082" s="690"/>
      <c r="O2082" s="486"/>
      <c r="P2082" s="486"/>
      <c r="Q2082" s="486"/>
      <c r="R2082" s="486"/>
      <c r="S2082" s="486"/>
      <c r="T2082" s="102">
        <f t="shared" si="1480"/>
        <v>0</v>
      </c>
      <c r="U2082" s="78">
        <f>IF(NOT(ISNUMBER(G2082)), "", VLOOKUP(A2082,'Discount Lookup'!D:E,2,FALSE)*G2082)</f>
        <v>0</v>
      </c>
      <c r="V2082" s="78">
        <f>IF(NOT(ISNUMBER(G2082)), "", VLOOKUP(A2082,'Discount Lookup'!G:H,2,FALSE)*G2082)</f>
        <v>0</v>
      </c>
      <c r="W2082" s="102">
        <f t="shared" si="1481"/>
        <v>0</v>
      </c>
      <c r="X2082" s="102">
        <f t="shared" si="1482"/>
        <v>0</v>
      </c>
      <c r="Y2082" s="120" t="b">
        <f t="shared" si="1483"/>
        <v>0</v>
      </c>
      <c r="Z2082" s="117">
        <f t="shared" si="1484"/>
        <v>0</v>
      </c>
      <c r="AA2082" s="118"/>
      <c r="AB2082" s="118" t="str">
        <f t="shared" si="1485"/>
        <v/>
      </c>
      <c r="AC2082" s="712" t="str">
        <f>IF(AE2082="T2G","no charge",IF(AND(OR(PlanterYesMe="No",PlanterYesMe="N",PlanterYesMe="me"),H2082=""),"",IF(H2082="credit","NO install",IF(AND(K2082="",AE2082="me"),"EACH row",IF(AND(K2082="images",AE2082="me"),"EACH row",IF(D2082="","",IF(H2082="credit","",IF(AE2082="free","re-planting",IF(AE2082="me","   not ELP, by",IF(AND(OR(PlanterYesMe="Yes",PlanterYesMe="Y"),G2082&gt;0),(VLOOKUP(A2082,'Discount Lookup'!J:K,2)*G2082*(1-PlanterDiscount)*(1+PlanterDifficultyPercentage)),IF(AE2082="ELP",(VLOOKUP(A2082,'Discount Lookup'!J:K,2)*G2082*(1-PlanterDiscount)*(1+PlanterDifficultyPercentage)),IF(AE2082="free","re-planting",IF(G2082=0,"",IF(PlanterYesMe="",IF(AE2082="me","   not ELP, by",IF(AE2082="",IF(G2082&gt;0,(VLOOKUP(A2082,'Discount Lookup'!J:K,2)*G2082*(1-PlanterDiscount)*(1+PlanterDifficultyPercentage)),""),"")),"   not ELP, by"))))))))))))))</f>
        <v/>
      </c>
      <c r="AD2082" s="712"/>
      <c r="AE2082" s="513" t="str">
        <f t="shared" si="1486"/>
        <v/>
      </c>
      <c r="AF2082" s="713" t="str">
        <f t="shared" si="1487"/>
        <v/>
      </c>
      <c r="AG2082" s="713"/>
      <c r="AH2082" s="713"/>
      <c r="AI2082" s="112">
        <f>IF(H2082="credit",0,IF(AE2082="free",0,IF(AE2082="me",0,IF(G2082&gt;0,(VLOOKUP(A2082,'Discount Lookup'!J:K,2)*G2082),0))))</f>
        <v>0</v>
      </c>
      <c r="AJ2082" s="107" t="str">
        <f t="shared" ca="1" si="1488"/>
        <v/>
      </c>
      <c r="AK2082" s="714" t="str">
        <f t="shared" si="1489"/>
        <v/>
      </c>
      <c r="AL2082" s="714"/>
      <c r="AM2082" s="114" t="str">
        <f t="shared" si="1490"/>
        <v/>
      </c>
      <c r="AN2082" s="115"/>
      <c r="AO2082" s="116"/>
      <c r="AP2082" s="116"/>
      <c r="AQ2082" s="116"/>
      <c r="AR2082" s="116"/>
      <c r="AS2082" s="116"/>
      <c r="AT2082" s="116"/>
      <c r="AU2082" s="116"/>
      <c r="AV2082" s="78"/>
      <c r="AW2082" s="102"/>
      <c r="AX2082" s="78"/>
      <c r="AY2082" s="78"/>
      <c r="AZ2082" s="78"/>
      <c r="BA2082" s="78"/>
      <c r="BB2082" s="78"/>
      <c r="BC2082" s="78"/>
      <c r="BD2082" s="78"/>
      <c r="BE2082" s="465"/>
      <c r="BF2082" s="165" t="str">
        <f t="shared" si="1491"/>
        <v>https://www.google.com/search?tbm=isch&amp;q=10%20G6</v>
      </c>
      <c r="BG2082" s="165" t="str">
        <f t="shared" si="1492"/>
        <v>H</v>
      </c>
      <c r="BH2082" s="65"/>
      <c r="BI2082" s="65"/>
      <c r="BJ2082" s="65"/>
      <c r="BK2082" s="65"/>
      <c r="BL2082" s="99"/>
      <c r="BM2082" s="99"/>
      <c r="BN2082" s="99"/>
    </row>
    <row r="2083" spans="1:66" s="51" customFormat="1" ht="17.25" thickBot="1" x14ac:dyDescent="0.3">
      <c r="A2083" s="704" t="s">
        <v>5447</v>
      </c>
      <c r="B2083" s="642"/>
      <c r="C2083" s="710"/>
      <c r="D2083" s="643"/>
      <c r="E2083" s="643"/>
      <c r="F2083" s="644"/>
      <c r="G2083" s="645"/>
      <c r="H2083" s="646"/>
      <c r="I2083" s="647"/>
      <c r="J2083" s="648"/>
      <c r="K2083" s="649"/>
      <c r="L2083" s="650"/>
      <c r="M2083" s="650"/>
      <c r="N2083" s="644"/>
      <c r="O2083" s="644"/>
      <c r="P2083" s="644"/>
      <c r="Q2083" s="644"/>
      <c r="R2083" s="644"/>
      <c r="S2083" s="651"/>
      <c r="T2083" s="102">
        <f t="shared" si="1480"/>
        <v>0</v>
      </c>
      <c r="U2083" s="78" t="str">
        <f>IF(NOT(ISNUMBER(G2083)), "", VLOOKUP(A2083,'Discount Lookup'!D:E,2,FALSE)*G2083)</f>
        <v/>
      </c>
      <c r="V2083" s="78" t="str">
        <f>IF(NOT(ISNUMBER(G2083)), "", VLOOKUP(A2083,'Discount Lookup'!G:H,2,FALSE)*G2083)</f>
        <v/>
      </c>
      <c r="W2083" s="102">
        <f t="shared" si="1481"/>
        <v>0</v>
      </c>
      <c r="X2083" s="102">
        <f t="shared" si="1482"/>
        <v>0</v>
      </c>
      <c r="Y2083" s="120" t="b">
        <f t="shared" si="1483"/>
        <v>0</v>
      </c>
      <c r="Z2083" s="117">
        <f t="shared" si="1484"/>
        <v>0</v>
      </c>
      <c r="AA2083" s="118"/>
      <c r="AB2083" s="118" t="str">
        <f t="shared" si="1485"/>
        <v/>
      </c>
      <c r="AC2083" s="712" t="str">
        <f>IF(AE2083="T2G","no charge",IF(AND(OR(PlanterYesMe="No",PlanterYesMe="N",PlanterYesMe="me"),H2083=""),"",IF(H2083="credit","NO install",IF(AND(K2083="",AE2083="me"),"EACH row",IF(AND(K2083="images",AE2083="me"),"EACH row",IF(D2083="","",IF(H2083="credit","",IF(AE2083="free","re-planting",IF(AE2083="me","   not ELP, by",IF(AND(OR(PlanterYesMe="Yes",PlanterYesMe="Y"),G2083&gt;0),(VLOOKUP(A2083,'Discount Lookup'!J:K,2)*G2083*(1-PlanterDiscount)*(1+PlanterDifficultyPercentage)),IF(AE2083="ELP",(VLOOKUP(A2083,'Discount Lookup'!J:K,2)*G2083*(1-PlanterDiscount)*(1+PlanterDifficultyPercentage)),IF(AE2083="free","re-planting",IF(G2083=0,"",IF(PlanterYesMe="",IF(AE2083="me","   not ELP, by",IF(AE2083="",IF(G2083&gt;0,(VLOOKUP(A2083,'Discount Lookup'!J:K,2)*G2083*(1-PlanterDiscount)*(1+PlanterDifficultyPercentage)),""),"")),"   not ELP, by"))))))))))))))</f>
        <v/>
      </c>
      <c r="AD2083" s="712"/>
      <c r="AE2083" s="513" t="str">
        <f t="shared" si="1486"/>
        <v/>
      </c>
      <c r="AF2083" s="713" t="str">
        <f t="shared" si="1487"/>
        <v/>
      </c>
      <c r="AG2083" s="713"/>
      <c r="AH2083" s="713"/>
      <c r="AI2083" s="112">
        <f>IF(H2083="credit",0,IF(AE2083="free",0,IF(AE2083="me",0,IF(G2083&gt;0,(VLOOKUP(A2083,'Discount Lookup'!J:K,2)*G2083),0))))</f>
        <v>0</v>
      </c>
      <c r="AJ2083" s="107" t="str">
        <f t="shared" ca="1" si="1488"/>
        <v/>
      </c>
      <c r="AK2083" s="714" t="str">
        <f t="shared" si="1489"/>
        <v/>
      </c>
      <c r="AL2083" s="714"/>
      <c r="AM2083" s="114" t="str">
        <f t="shared" si="1490"/>
        <v/>
      </c>
      <c r="AN2083" s="115"/>
      <c r="AO2083" s="116"/>
      <c r="AP2083" s="116"/>
      <c r="AQ2083" s="116"/>
      <c r="AR2083" s="116"/>
      <c r="AS2083" s="116"/>
      <c r="AT2083" s="116"/>
      <c r="AU2083" s="116"/>
      <c r="AV2083" s="78"/>
      <c r="AW2083" s="102"/>
      <c r="AX2083" s="78"/>
      <c r="AY2083" s="78"/>
      <c r="AZ2083" s="78"/>
      <c r="BA2083" s="78"/>
      <c r="BB2083" s="78"/>
      <c r="BC2083" s="78"/>
      <c r="BD2083" s="78"/>
      <c r="BE2083" s="465"/>
      <c r="BF2083" s="165" t="str">
        <f t="shared" si="1491"/>
        <v>https://www.google.com/search?tbm=isch&amp;q=moist%20sites%F0%9F%92%A7OK%2C%20Snow%20Queen%20has%20Green%20foliage%2CMahogany-Red%20in%20fall.%20All%20%22Oakleaf%22%20have%20cone-shaped%20flowers%20on%20old%20wood.%20Exfoliating%20Cinnamon%20bark%20</v>
      </c>
      <c r="BG2083" s="165" t="str">
        <f t="shared" si="1492"/>
        <v>m</v>
      </c>
      <c r="BH2083" s="65"/>
      <c r="BI2083" s="65"/>
      <c r="BJ2083" s="65"/>
      <c r="BK2083" s="65"/>
      <c r="BL2083" s="99"/>
      <c r="BM2083" s="99"/>
      <c r="BN2083" s="99"/>
    </row>
    <row r="2084" spans="1:66" s="51" customFormat="1" ht="18" x14ac:dyDescent="0.25">
      <c r="A2084" s="623" t="s">
        <v>2873</v>
      </c>
      <c r="B2084" s="624"/>
      <c r="C2084" s="709"/>
      <c r="D2084" s="625" t="s">
        <v>5702</v>
      </c>
      <c r="E2084" s="626"/>
      <c r="F2084" s="626"/>
      <c r="G2084" s="626"/>
      <c r="H2084" s="622" t="s">
        <v>1076</v>
      </c>
      <c r="I2084" s="627" t="s">
        <v>2814</v>
      </c>
      <c r="J2084" s="628"/>
      <c r="K2084" s="628"/>
      <c r="L2084" s="629"/>
      <c r="M2084" s="702" t="s">
        <v>5252</v>
      </c>
      <c r="N2084" s="693" t="str">
        <f>IF(AND(ISTEXT($A2084), ISERROR($A2084+0)), HYPERLINK($BF2084, "Images"), "")</f>
        <v>Images</v>
      </c>
      <c r="O2084" s="695" t="s">
        <v>5264</v>
      </c>
      <c r="P2084" s="630"/>
      <c r="Q2084" s="631"/>
      <c r="R2084" s="632"/>
      <c r="S2084" s="633" t="s">
        <v>294</v>
      </c>
      <c r="T2084" s="102">
        <f t="shared" si="1480"/>
        <v>0</v>
      </c>
      <c r="U2084" s="78" t="str">
        <f>IF(NOT(ISNUMBER(G2084)), "", VLOOKUP(A2084,'Discount Lookup'!D:E,2,FALSE)*G2084)</f>
        <v/>
      </c>
      <c r="V2084" s="78" t="str">
        <f>IF(NOT(ISNUMBER(G2084)), "", VLOOKUP(A2084,'Discount Lookup'!G:H,2,FALSE)*G2084)</f>
        <v/>
      </c>
      <c r="W2084" s="102">
        <f t="shared" si="1481"/>
        <v>0</v>
      </c>
      <c r="X2084" s="102" t="str">
        <f t="shared" si="1482"/>
        <v>White bloom ages to Pink</v>
      </c>
      <c r="Y2084" s="120" t="b">
        <f t="shared" si="1483"/>
        <v>0</v>
      </c>
      <c r="Z2084" s="117">
        <f t="shared" si="1484"/>
        <v>0</v>
      </c>
      <c r="AA2084" s="118"/>
      <c r="AB2084" s="118" t="str">
        <f t="shared" si="1485"/>
        <v/>
      </c>
      <c r="AC2084" s="712" t="str">
        <f>IF(AE2084="T2G","no charge",IF(AND(OR(PlanterYesMe="No",PlanterYesMe="N",PlanterYesMe="me"),H2084=""),"",IF(H2084="credit","NO install",IF(AND(K2084="",AE2084="me"),"EACH row",IF(AND(K2084="images",AE2084="me"),"EACH row",IF(D2084="","",IF(H2084="credit","",IF(AE2084="free","re-planting",IF(AE2084="me","   not ELP, by",IF(AND(OR(PlanterYesMe="Yes",PlanterYesMe="Y"),G2084&gt;0),(VLOOKUP(A2084,'Discount Lookup'!J:K,2)*G2084*(1-PlanterDiscount)*(1+PlanterDifficultyPercentage)),IF(AE2084="ELP",(VLOOKUP(A2084,'Discount Lookup'!J:K,2)*G2084*(1-PlanterDiscount)*(1+PlanterDifficultyPercentage)),IF(AE2084="free","re-planting",IF(G2084=0,"",IF(PlanterYesMe="",IF(AE2084="me","   not ELP, by",IF(AE2084="",IF(G2084&gt;0,(VLOOKUP(A2084,'Discount Lookup'!J:K,2)*G2084*(1-PlanterDiscount)*(1+PlanterDifficultyPercentage)),""),"")),"   not ELP, by"))))))))))))))</f>
        <v/>
      </c>
      <c r="AD2084" s="712"/>
      <c r="AE2084" s="513" t="str">
        <f t="shared" si="1486"/>
        <v/>
      </c>
      <c r="AF2084" s="713" t="str">
        <f t="shared" si="1487"/>
        <v/>
      </c>
      <c r="AG2084" s="713"/>
      <c r="AH2084" s="713"/>
      <c r="AI2084" s="112">
        <f>IF(H2084="credit",0,IF(AE2084="free",0,IF(AE2084="me",0,IF(G2084&gt;0,(VLOOKUP(A2084,'Discount Lookup'!J:K,2)*G2084),0))))</f>
        <v>0</v>
      </c>
      <c r="AJ2084" s="107" t="str">
        <f t="shared" ca="1" si="1488"/>
        <v/>
      </c>
      <c r="AK2084" s="714" t="str">
        <f t="shared" si="1489"/>
        <v/>
      </c>
      <c r="AL2084" s="714"/>
      <c r="AM2084" s="114" t="str">
        <f t="shared" si="1490"/>
        <v/>
      </c>
      <c r="AN2084" s="115"/>
      <c r="AO2084" s="116"/>
      <c r="AP2084" s="116"/>
      <c r="AQ2084" s="116"/>
      <c r="AR2084" s="116"/>
      <c r="AS2084" s="116"/>
      <c r="AT2084" s="116"/>
      <c r="AU2084" s="116"/>
      <c r="AV2084" s="78"/>
      <c r="AW2084" s="102"/>
      <c r="AX2084" s="78"/>
      <c r="AY2084" s="78"/>
      <c r="AZ2084" s="78"/>
      <c r="BA2084" s="78"/>
      <c r="BB2084" s="78"/>
      <c r="BC2084" s="78"/>
      <c r="BD2084" s="78"/>
      <c r="BE2084" s="465"/>
      <c r="BF2084" s="165" t="str">
        <f t="shared" si="1491"/>
        <v>https://www.google.com/search?tbm=isch&amp;q=Hyd.%20quercifolia%20%27Oakann1588%27%20PP%2336030%20Li%27l%20Annie%20Oakleaf%E2%84%A2%20Hydrangea</v>
      </c>
      <c r="BG2084" s="165" t="str">
        <f t="shared" si="1492"/>
        <v>H</v>
      </c>
      <c r="BH2084" s="65"/>
      <c r="BI2084" s="65"/>
      <c r="BJ2084" s="65"/>
      <c r="BK2084" s="65"/>
      <c r="BL2084" s="99"/>
      <c r="BM2084" s="99"/>
      <c r="BN2084" s="99"/>
    </row>
    <row r="2085" spans="1:66" s="51" customFormat="1" ht="15.75" x14ac:dyDescent="0.25">
      <c r="A2085" s="634">
        <v>3</v>
      </c>
      <c r="B2085" s="635" t="s">
        <v>291</v>
      </c>
      <c r="C2085" s="636" t="s">
        <v>337</v>
      </c>
      <c r="D2085" s="637" t="s">
        <v>329</v>
      </c>
      <c r="E2085" s="638">
        <v>30.95</v>
      </c>
      <c r="F2085" s="639" t="s">
        <v>292</v>
      </c>
      <c r="G2085" s="484">
        <v>0</v>
      </c>
      <c r="H2085" s="691" t="str">
        <f>IF(G2085=0,"",IF(F2085="Buy",IF(G2085=1,"plant","plants"),IF(F2085&gt;0.01,"warranty","Error")))</f>
        <v/>
      </c>
      <c r="I2085" s="640">
        <f>IF(H2085="free",0,IF(H2085="credit",((E2085*(F2085))*G2085*-1),IF(F2085="Buy",(E2085*G2085),((E2085*(1-F2085))*G2085))))</f>
        <v>0</v>
      </c>
      <c r="J2085" s="640">
        <f>IF(H2085="warranty",0,(I2085*(_xlfn.SINGLE(SalesTaxPercentage))))</f>
        <v>0</v>
      </c>
      <c r="K2085" s="716">
        <f t="shared" ref="K2085" si="1501">I2085+J2085</f>
        <v>0</v>
      </c>
      <c r="L2085" s="716"/>
      <c r="M2085" s="689" t="str">
        <f ca="1">IF(AND(G2085&gt;0,E2085=0),"WARNING - no PRICE inserted",IF(H2085="free","FREE ~ no charge this plant",IF(H2085="credit",CONCATENATE("-$",ROUND(K2085*(1-_xlfn.SINGLE(T2GDiscount))*-1,2)," CREDIT after discount"),IF(_xlfn.SINGLE(T2GDiscount)=0,"",IF(G2085=0,"",IF(F2085="Buy",CONCATENATE("$",ROUND(K2085*(1-_xlfn.SINGLE(T2GDiscount)),2)," with ",(_xlfn.SINGLE(T2GDiscount)*100),"% discount"),CONCATENATE("$",ROUND(K2085*(1-_xlfn.SINGLE(T2GDiscount)),2)," with ",((_xlfn.SINGLE(T2GDiscount)*100+F2085*100)-(_xlfn.SINGLE(T2GDiscount)*100*F2085)),IF(F2085&gt;0,"% discounts",IF(_xlfn.SINGLE(NoWarrantyDiscount)&gt;0,"% discounts","% discount")))))))))</f>
        <v/>
      </c>
      <c r="N2085" s="690"/>
      <c r="O2085" s="486"/>
      <c r="P2085" s="486"/>
      <c r="Q2085" s="486"/>
      <c r="R2085" s="486"/>
      <c r="S2085" s="486"/>
      <c r="T2085" s="102">
        <f t="shared" si="1480"/>
        <v>0</v>
      </c>
      <c r="U2085" s="78">
        <f>IF(NOT(ISNUMBER(G2085)), "", VLOOKUP(A2085,'Discount Lookup'!D:E,2,FALSE)*G2085)</f>
        <v>0</v>
      </c>
      <c r="V2085" s="78">
        <f>IF(NOT(ISNUMBER(G2085)), "", VLOOKUP(A2085,'Discount Lookup'!G:H,2,FALSE)*G2085)</f>
        <v>0</v>
      </c>
      <c r="W2085" s="102">
        <f t="shared" si="1481"/>
        <v>0</v>
      </c>
      <c r="X2085" s="102">
        <f t="shared" si="1482"/>
        <v>0</v>
      </c>
      <c r="Y2085" s="120" t="b">
        <f t="shared" si="1483"/>
        <v>0</v>
      </c>
      <c r="Z2085" s="117">
        <f t="shared" si="1484"/>
        <v>0</v>
      </c>
      <c r="AA2085" s="118"/>
      <c r="AB2085" s="118" t="str">
        <f t="shared" si="1485"/>
        <v/>
      </c>
      <c r="AC2085" s="712" t="str">
        <f>IF(AE2085="T2G","no charge",IF(AND(OR(PlanterYesMe="No",PlanterYesMe="N",PlanterYesMe="me"),H2085=""),"",IF(H2085="credit","NO install",IF(AND(K2085="",AE2085="me"),"EACH row",IF(AND(K2085="images",AE2085="me"),"EACH row",IF(D2085="","",IF(H2085="credit","",IF(AE2085="free","re-planting",IF(AE2085="me","   not ELP, by",IF(AND(OR(PlanterYesMe="Yes",PlanterYesMe="Y"),G2085&gt;0),(VLOOKUP(A2085,'Discount Lookup'!J:K,2)*G2085*(1-PlanterDiscount)*(1+PlanterDifficultyPercentage)),IF(AE2085="ELP",(VLOOKUP(A2085,'Discount Lookup'!J:K,2)*G2085*(1-PlanterDiscount)*(1+PlanterDifficultyPercentage)),IF(AE2085="free","re-planting",IF(G2085=0,"",IF(PlanterYesMe="",IF(AE2085="me","   not ELP, by",IF(AE2085="",IF(G2085&gt;0,(VLOOKUP(A2085,'Discount Lookup'!J:K,2)*G2085*(1-PlanterDiscount)*(1+PlanterDifficultyPercentage)),""),"")),"   not ELP, by"))))))))))))))</f>
        <v/>
      </c>
      <c r="AD2085" s="712"/>
      <c r="AE2085" s="513" t="str">
        <f t="shared" si="1486"/>
        <v/>
      </c>
      <c r="AF2085" s="713" t="str">
        <f t="shared" si="1487"/>
        <v/>
      </c>
      <c r="AG2085" s="713"/>
      <c r="AH2085" s="713"/>
      <c r="AI2085" s="112">
        <f>IF(H2085="credit",0,IF(AE2085="free",0,IF(AE2085="me",0,IF(G2085&gt;0,(VLOOKUP(A2085,'Discount Lookup'!J:K,2)*G2085),0))))</f>
        <v>0</v>
      </c>
      <c r="AJ2085" s="107" t="str">
        <f t="shared" ca="1" si="1488"/>
        <v/>
      </c>
      <c r="AK2085" s="714" t="str">
        <f t="shared" si="1489"/>
        <v/>
      </c>
      <c r="AL2085" s="714"/>
      <c r="AM2085" s="114" t="str">
        <f t="shared" si="1490"/>
        <v/>
      </c>
      <c r="AN2085" s="115"/>
      <c r="AO2085" s="116"/>
      <c r="AP2085" s="116"/>
      <c r="AQ2085" s="116"/>
      <c r="AR2085" s="116"/>
      <c r="AS2085" s="116"/>
      <c r="AT2085" s="116"/>
      <c r="AU2085" s="116"/>
      <c r="AV2085" s="78"/>
      <c r="AW2085" s="102"/>
      <c r="AX2085" s="78"/>
      <c r="AY2085" s="78"/>
      <c r="AZ2085" s="78"/>
      <c r="BA2085" s="78"/>
      <c r="BB2085" s="78"/>
      <c r="BC2085" s="78"/>
      <c r="BD2085" s="78"/>
      <c r="BE2085" s="465"/>
      <c r="BF2085" s="165" t="str">
        <f t="shared" si="1491"/>
        <v>https://www.google.com/search?tbm=isch&amp;q=3%20G2</v>
      </c>
      <c r="BG2085" s="165" t="str">
        <f t="shared" si="1492"/>
        <v>H</v>
      </c>
      <c r="BH2085" s="65"/>
      <c r="BI2085" s="65"/>
      <c r="BJ2085" s="65"/>
      <c r="BK2085" s="65"/>
      <c r="BL2085" s="99"/>
      <c r="BM2085" s="99"/>
      <c r="BN2085" s="99"/>
    </row>
    <row r="2086" spans="1:66" s="51" customFormat="1" ht="17.25" thickBot="1" x14ac:dyDescent="0.3">
      <c r="A2086" s="704" t="s">
        <v>5448</v>
      </c>
      <c r="B2086" s="642"/>
      <c r="C2086" s="710"/>
      <c r="D2086" s="643"/>
      <c r="E2086" s="643"/>
      <c r="F2086" s="644"/>
      <c r="G2086" s="645"/>
      <c r="H2086" s="646"/>
      <c r="I2086" s="647"/>
      <c r="J2086" s="648"/>
      <c r="K2086" s="649"/>
      <c r="L2086" s="650"/>
      <c r="M2086" s="650"/>
      <c r="N2086" s="644"/>
      <c r="O2086" s="644"/>
      <c r="P2086" s="644"/>
      <c r="Q2086" s="644"/>
      <c r="R2086" s="644"/>
      <c r="S2086" s="651"/>
      <c r="T2086" s="102">
        <f t="shared" si="1480"/>
        <v>0</v>
      </c>
      <c r="U2086" s="78" t="str">
        <f>IF(NOT(ISNUMBER(G2086)), "", VLOOKUP(A2086,'Discount Lookup'!D:E,2,FALSE)*G2086)</f>
        <v/>
      </c>
      <c r="V2086" s="78" t="str">
        <f>IF(NOT(ISNUMBER(G2086)), "", VLOOKUP(A2086,'Discount Lookup'!G:H,2,FALSE)*G2086)</f>
        <v/>
      </c>
      <c r="W2086" s="102">
        <f t="shared" si="1481"/>
        <v>0</v>
      </c>
      <c r="X2086" s="102">
        <f t="shared" si="1482"/>
        <v>0</v>
      </c>
      <c r="Y2086" s="120" t="b">
        <f t="shared" si="1483"/>
        <v>0</v>
      </c>
      <c r="Z2086" s="117">
        <f t="shared" si="1484"/>
        <v>0</v>
      </c>
      <c r="AA2086" s="118"/>
      <c r="AB2086" s="118" t="str">
        <f t="shared" si="1485"/>
        <v/>
      </c>
      <c r="AC2086" s="712" t="str">
        <f>IF(AE2086="T2G","no charge",IF(AND(OR(PlanterYesMe="No",PlanterYesMe="N",PlanterYesMe="me"),H2086=""),"",IF(H2086="credit","NO install",IF(AND(K2086="",AE2086="me"),"EACH row",IF(AND(K2086="images",AE2086="me"),"EACH row",IF(D2086="","",IF(H2086="credit","",IF(AE2086="free","re-planting",IF(AE2086="me","   not ELP, by",IF(AND(OR(PlanterYesMe="Yes",PlanterYesMe="Y"),G2086&gt;0),(VLOOKUP(A2086,'Discount Lookup'!J:K,2)*G2086*(1-PlanterDiscount)*(1+PlanterDifficultyPercentage)),IF(AE2086="ELP",(VLOOKUP(A2086,'Discount Lookup'!J:K,2)*G2086*(1-PlanterDiscount)*(1+PlanterDifficultyPercentage)),IF(AE2086="free","re-planting",IF(G2086=0,"",IF(PlanterYesMe="",IF(AE2086="me","   not ELP, by",IF(AE2086="",IF(G2086&gt;0,(VLOOKUP(A2086,'Discount Lookup'!J:K,2)*G2086*(1-PlanterDiscount)*(1+PlanterDifficultyPercentage)),""),"")),"   not ELP, by"))))))))))))))</f>
        <v/>
      </c>
      <c r="AD2086" s="712"/>
      <c r="AE2086" s="513" t="str">
        <f t="shared" si="1486"/>
        <v/>
      </c>
      <c r="AF2086" s="713" t="str">
        <f t="shared" si="1487"/>
        <v/>
      </c>
      <c r="AG2086" s="713"/>
      <c r="AH2086" s="713"/>
      <c r="AI2086" s="112">
        <f>IF(H2086="credit",0,IF(AE2086="free",0,IF(AE2086="me",0,IF(G2086&gt;0,(VLOOKUP(A2086,'Discount Lookup'!J:K,2)*G2086),0))))</f>
        <v>0</v>
      </c>
      <c r="AJ2086" s="107" t="str">
        <f t="shared" ca="1" si="1488"/>
        <v/>
      </c>
      <c r="AK2086" s="714" t="str">
        <f t="shared" si="1489"/>
        <v/>
      </c>
      <c r="AL2086" s="714"/>
      <c r="AM2086" s="114" t="str">
        <f t="shared" si="1490"/>
        <v/>
      </c>
      <c r="AN2086" s="115"/>
      <c r="AO2086" s="116"/>
      <c r="AP2086" s="116"/>
      <c r="AQ2086" s="116"/>
      <c r="AR2086" s="116"/>
      <c r="AS2086" s="116"/>
      <c r="AT2086" s="116"/>
      <c r="AU2086" s="116"/>
      <c r="AV2086" s="78"/>
      <c r="AW2086" s="102"/>
      <c r="AX2086" s="78"/>
      <c r="AY2086" s="78"/>
      <c r="AZ2086" s="78"/>
      <c r="BA2086" s="78"/>
      <c r="BB2086" s="78"/>
      <c r="BC2086" s="78"/>
      <c r="BD2086" s="78"/>
      <c r="BE2086" s="465"/>
      <c r="BF2086" s="165" t="str">
        <f t="shared" si="1491"/>
        <v>https://www.google.com/search?tbm=isch&amp;q=moist%20sites%F0%9F%92%A7OK%2C%20Li%27l%20Annie%20has%20Green%20foliage%2C%20Burgundy-Bronze%20in%20fall.%20All%20%22Oakleaf%22%20have%20cone-shaped%20flowers%20on%20old%20wood.%20Exfoliating%20Cinnamon%20bark%20</v>
      </c>
      <c r="BG2086" s="165" t="str">
        <f t="shared" si="1492"/>
        <v>m</v>
      </c>
      <c r="BH2086" s="65"/>
      <c r="BI2086" s="65"/>
      <c r="BJ2086" s="65"/>
      <c r="BK2086" s="65"/>
      <c r="BL2086" s="99"/>
      <c r="BM2086" s="99"/>
      <c r="BN2086" s="99"/>
    </row>
    <row r="2087" spans="1:66" s="51" customFormat="1" ht="18" x14ac:dyDescent="0.25">
      <c r="A2087" s="623" t="s">
        <v>2874</v>
      </c>
      <c r="B2087" s="624"/>
      <c r="C2087" s="709"/>
      <c r="D2087" s="625" t="s">
        <v>5703</v>
      </c>
      <c r="E2087" s="626"/>
      <c r="F2087" s="626"/>
      <c r="G2087" s="626"/>
      <c r="H2087" s="622" t="s">
        <v>1528</v>
      </c>
      <c r="I2087" s="627" t="s">
        <v>2814</v>
      </c>
      <c r="J2087" s="628"/>
      <c r="K2087" s="628"/>
      <c r="L2087" s="629"/>
      <c r="M2087" s="702" t="s">
        <v>5252</v>
      </c>
      <c r="N2087" s="693" t="str">
        <f>IF(AND(ISTEXT($A2087), ISERROR($A2087+0)), HYPERLINK($BF2087, "Images"), "")</f>
        <v>Images</v>
      </c>
      <c r="O2087" s="695" t="s">
        <v>5264</v>
      </c>
      <c r="P2087" s="630"/>
      <c r="Q2087" s="631"/>
      <c r="R2087" s="632"/>
      <c r="S2087" s="633" t="s">
        <v>294</v>
      </c>
      <c r="T2087" s="102">
        <f t="shared" si="1480"/>
        <v>0</v>
      </c>
      <c r="U2087" s="78" t="str">
        <f>IF(NOT(ISNUMBER(G2087)), "", VLOOKUP(A2087,'Discount Lookup'!D:E,2,FALSE)*G2087)</f>
        <v/>
      </c>
      <c r="V2087" s="78" t="str">
        <f>IF(NOT(ISNUMBER(G2087)), "", VLOOKUP(A2087,'Discount Lookup'!G:H,2,FALSE)*G2087)</f>
        <v/>
      </c>
      <c r="W2087" s="102">
        <f t="shared" si="1481"/>
        <v>0</v>
      </c>
      <c r="X2087" s="102" t="str">
        <f t="shared" si="1482"/>
        <v>White bloom ages to Pink</v>
      </c>
      <c r="Y2087" s="120" t="b">
        <f t="shared" si="1483"/>
        <v>0</v>
      </c>
      <c r="Z2087" s="117">
        <f t="shared" si="1484"/>
        <v>0</v>
      </c>
      <c r="AA2087" s="118"/>
      <c r="AB2087" s="118" t="str">
        <f t="shared" si="1485"/>
        <v/>
      </c>
      <c r="AC2087" s="712" t="str">
        <f>IF(AE2087="T2G","no charge",IF(AND(OR(PlanterYesMe="No",PlanterYesMe="N",PlanterYesMe="me"),H2087=""),"",IF(H2087="credit","NO install",IF(AND(K2087="",AE2087="me"),"EACH row",IF(AND(K2087="images",AE2087="me"),"EACH row",IF(D2087="","",IF(H2087="credit","",IF(AE2087="free","re-planting",IF(AE2087="me","   not ELP, by",IF(AND(OR(PlanterYesMe="Yes",PlanterYesMe="Y"),G2087&gt;0),(VLOOKUP(A2087,'Discount Lookup'!J:K,2)*G2087*(1-PlanterDiscount)*(1+PlanterDifficultyPercentage)),IF(AE2087="ELP",(VLOOKUP(A2087,'Discount Lookup'!J:K,2)*G2087*(1-PlanterDiscount)*(1+PlanterDifficultyPercentage)),IF(AE2087="free","re-planting",IF(G2087=0,"",IF(PlanterYesMe="",IF(AE2087="me","   not ELP, by",IF(AE2087="",IF(G2087&gt;0,(VLOOKUP(A2087,'Discount Lookup'!J:K,2)*G2087*(1-PlanterDiscount)*(1+PlanterDifficultyPercentage)),""),"")),"   not ELP, by"))))))))))))))</f>
        <v/>
      </c>
      <c r="AD2087" s="712"/>
      <c r="AE2087" s="513" t="str">
        <f t="shared" si="1486"/>
        <v/>
      </c>
      <c r="AF2087" s="713" t="str">
        <f t="shared" si="1487"/>
        <v/>
      </c>
      <c r="AG2087" s="713"/>
      <c r="AH2087" s="713"/>
      <c r="AI2087" s="112">
        <f>IF(H2087="credit",0,IF(AE2087="free",0,IF(AE2087="me",0,IF(G2087&gt;0,(VLOOKUP(A2087,'Discount Lookup'!J:K,2)*G2087),0))))</f>
        <v>0</v>
      </c>
      <c r="AJ2087" s="107" t="str">
        <f t="shared" ca="1" si="1488"/>
        <v/>
      </c>
      <c r="AK2087" s="714" t="str">
        <f t="shared" si="1489"/>
        <v/>
      </c>
      <c r="AL2087" s="714"/>
      <c r="AM2087" s="114" t="str">
        <f t="shared" si="1490"/>
        <v/>
      </c>
      <c r="AN2087" s="115"/>
      <c r="AO2087" s="116"/>
      <c r="AP2087" s="116"/>
      <c r="AQ2087" s="116"/>
      <c r="AR2087" s="116"/>
      <c r="AS2087" s="116"/>
      <c r="AT2087" s="116"/>
      <c r="AU2087" s="116"/>
      <c r="AV2087" s="78"/>
      <c r="AW2087" s="102"/>
      <c r="AX2087" s="78"/>
      <c r="AY2087" s="78"/>
      <c r="AZ2087" s="78"/>
      <c r="BA2087" s="78"/>
      <c r="BB2087" s="78"/>
      <c r="BC2087" s="78"/>
      <c r="BD2087" s="78"/>
      <c r="BE2087" s="465"/>
      <c r="BF2087" s="165" t="str">
        <f t="shared" si="1491"/>
        <v>https://www.google.com/search?tbm=isch&amp;q=Hyd.%20quercifolia%20%27PIIHQ-I%27%20PP%2325319%20Jetstream%E2%84%A2%20Oakleaf%20Hydrangea</v>
      </c>
      <c r="BG2087" s="165" t="str">
        <f t="shared" si="1492"/>
        <v>H</v>
      </c>
      <c r="BH2087" s="65"/>
      <c r="BI2087" s="65"/>
      <c r="BJ2087" s="65"/>
      <c r="BK2087" s="65"/>
      <c r="BL2087" s="99"/>
      <c r="BM2087" s="99"/>
      <c r="BN2087" s="99"/>
    </row>
    <row r="2088" spans="1:66" s="51" customFormat="1" ht="15.75" x14ac:dyDescent="0.25">
      <c r="A2088" s="634">
        <v>3</v>
      </c>
      <c r="B2088" s="635" t="s">
        <v>291</v>
      </c>
      <c r="C2088" s="636" t="s">
        <v>2875</v>
      </c>
      <c r="D2088" s="637" t="s">
        <v>329</v>
      </c>
      <c r="E2088" s="638">
        <v>35.950000000000003</v>
      </c>
      <c r="F2088" s="639" t="s">
        <v>292</v>
      </c>
      <c r="G2088" s="484">
        <v>0</v>
      </c>
      <c r="H2088" s="691" t="str">
        <f>IF(G2088=0,"",IF(F2088="Buy",IF(G2088=1,"plant","plants"),IF(F2088&gt;0.01,"warranty","Error")))</f>
        <v/>
      </c>
      <c r="I2088" s="640">
        <f>IF(H2088="free",0,IF(H2088="credit",((E2088*(F2088))*G2088*-1),IF(F2088="Buy",(E2088*G2088),((E2088*(1-F2088))*G2088))))</f>
        <v>0</v>
      </c>
      <c r="J2088" s="640">
        <f>IF(H2088="warranty",0,(I2088*(_xlfn.SINGLE(SalesTaxPercentage))))</f>
        <v>0</v>
      </c>
      <c r="K2088" s="716">
        <f t="shared" ref="K2088" si="1502">I2088+J2088</f>
        <v>0</v>
      </c>
      <c r="L2088" s="716"/>
      <c r="M2088" s="689" t="str">
        <f ca="1">IF(AND(G2088&gt;0,E2088=0),"WARNING - no PRICE inserted",IF(H2088="free","FREE ~ no charge this plant",IF(H2088="credit",CONCATENATE("-$",ROUND(K2088*(1-_xlfn.SINGLE(T2GDiscount))*-1,2)," CREDIT after discount"),IF(_xlfn.SINGLE(T2GDiscount)=0,"",IF(G2088=0,"",IF(F2088="Buy",CONCATENATE("$",ROUND(K2088*(1-_xlfn.SINGLE(T2GDiscount)),2)," with ",(_xlfn.SINGLE(T2GDiscount)*100),"% discount"),CONCATENATE("$",ROUND(K2088*(1-_xlfn.SINGLE(T2GDiscount)),2)," with ",((_xlfn.SINGLE(T2GDiscount)*100+F2088*100)-(_xlfn.SINGLE(T2GDiscount)*100*F2088)),IF(F2088&gt;0,"% discounts",IF(_xlfn.SINGLE(NoWarrantyDiscount)&gt;0,"% discounts","% discount")))))))))</f>
        <v/>
      </c>
      <c r="N2088" s="690"/>
      <c r="O2088" s="486"/>
      <c r="P2088" s="486"/>
      <c r="Q2088" s="486"/>
      <c r="R2088" s="486"/>
      <c r="S2088" s="486"/>
      <c r="T2088" s="102">
        <f t="shared" si="1480"/>
        <v>0</v>
      </c>
      <c r="U2088" s="78">
        <f>IF(NOT(ISNUMBER(G2088)), "", VLOOKUP(A2088,'Discount Lookup'!D:E,2,FALSE)*G2088)</f>
        <v>0</v>
      </c>
      <c r="V2088" s="78">
        <f>IF(NOT(ISNUMBER(G2088)), "", VLOOKUP(A2088,'Discount Lookup'!G:H,2,FALSE)*G2088)</f>
        <v>0</v>
      </c>
      <c r="W2088" s="102">
        <f t="shared" si="1481"/>
        <v>0</v>
      </c>
      <c r="X2088" s="102">
        <f t="shared" si="1482"/>
        <v>0</v>
      </c>
      <c r="Y2088" s="120" t="b">
        <f t="shared" si="1483"/>
        <v>0</v>
      </c>
      <c r="Z2088" s="117">
        <f t="shared" si="1484"/>
        <v>0</v>
      </c>
      <c r="AA2088" s="118"/>
      <c r="AB2088" s="118" t="str">
        <f t="shared" si="1485"/>
        <v/>
      </c>
      <c r="AC2088" s="712" t="str">
        <f>IF(AE2088="T2G","no charge",IF(AND(OR(PlanterYesMe="No",PlanterYesMe="N",PlanterYesMe="me"),H2088=""),"",IF(H2088="credit","NO install",IF(AND(K2088="",AE2088="me"),"EACH row",IF(AND(K2088="images",AE2088="me"),"EACH row",IF(D2088="","",IF(H2088="credit","",IF(AE2088="free","re-planting",IF(AE2088="me","   not ELP, by",IF(AND(OR(PlanterYesMe="Yes",PlanterYesMe="Y"),G2088&gt;0),(VLOOKUP(A2088,'Discount Lookup'!J:K,2)*G2088*(1-PlanterDiscount)*(1+PlanterDifficultyPercentage)),IF(AE2088="ELP",(VLOOKUP(A2088,'Discount Lookup'!J:K,2)*G2088*(1-PlanterDiscount)*(1+PlanterDifficultyPercentage)),IF(AE2088="free","re-planting",IF(G2088=0,"",IF(PlanterYesMe="",IF(AE2088="me","   not ELP, by",IF(AE2088="",IF(G2088&gt;0,(VLOOKUP(A2088,'Discount Lookup'!J:K,2)*G2088*(1-PlanterDiscount)*(1+PlanterDifficultyPercentage)),""),"")),"   not ELP, by"))))))))))))))</f>
        <v/>
      </c>
      <c r="AD2088" s="712"/>
      <c r="AE2088" s="513" t="str">
        <f t="shared" si="1486"/>
        <v/>
      </c>
      <c r="AF2088" s="713" t="str">
        <f t="shared" si="1487"/>
        <v/>
      </c>
      <c r="AG2088" s="713"/>
      <c r="AH2088" s="713"/>
      <c r="AI2088" s="112">
        <f>IF(H2088="credit",0,IF(AE2088="free",0,IF(AE2088="me",0,IF(G2088&gt;0,(VLOOKUP(A2088,'Discount Lookup'!J:K,2)*G2088),0))))</f>
        <v>0</v>
      </c>
      <c r="AJ2088" s="107" t="str">
        <f t="shared" ca="1" si="1488"/>
        <v/>
      </c>
      <c r="AK2088" s="714" t="str">
        <f t="shared" si="1489"/>
        <v/>
      </c>
      <c r="AL2088" s="714"/>
      <c r="AM2088" s="114" t="str">
        <f t="shared" si="1490"/>
        <v/>
      </c>
      <c r="AN2088" s="115"/>
      <c r="AO2088" s="116"/>
      <c r="AP2088" s="116"/>
      <c r="AQ2088" s="116"/>
      <c r="AR2088" s="116"/>
      <c r="AS2088" s="116"/>
      <c r="AT2088" s="116"/>
      <c r="AU2088" s="116"/>
      <c r="AV2088" s="78"/>
      <c r="AW2088" s="102"/>
      <c r="AX2088" s="78"/>
      <c r="AY2088" s="78"/>
      <c r="AZ2088" s="78"/>
      <c r="BA2088" s="78"/>
      <c r="BB2088" s="78"/>
      <c r="BC2088" s="78"/>
      <c r="BD2088" s="78"/>
      <c r="BE2088" s="465"/>
      <c r="BF2088" s="165" t="str">
        <f t="shared" si="1491"/>
        <v>https://www.google.com/search?tbm=isch&amp;q=3%20G2</v>
      </c>
      <c r="BG2088" s="165" t="str">
        <f t="shared" si="1492"/>
        <v>H</v>
      </c>
      <c r="BH2088" s="65"/>
      <c r="BI2088" s="65"/>
      <c r="BJ2088" s="65"/>
      <c r="BK2088" s="65"/>
      <c r="BL2088" s="99"/>
      <c r="BM2088" s="99"/>
      <c r="BN2088" s="99"/>
    </row>
    <row r="2089" spans="1:66" s="51" customFormat="1" ht="17.25" thickBot="1" x14ac:dyDescent="0.3">
      <c r="A2089" s="704" t="s">
        <v>5449</v>
      </c>
      <c r="B2089" s="642"/>
      <c r="C2089" s="710"/>
      <c r="D2089" s="643"/>
      <c r="E2089" s="643"/>
      <c r="F2089" s="644"/>
      <c r="G2089" s="645"/>
      <c r="H2089" s="646"/>
      <c r="I2089" s="647"/>
      <c r="J2089" s="648"/>
      <c r="K2089" s="649"/>
      <c r="L2089" s="650"/>
      <c r="M2089" s="650"/>
      <c r="N2089" s="644"/>
      <c r="O2089" s="644"/>
      <c r="P2089" s="644"/>
      <c r="Q2089" s="644"/>
      <c r="R2089" s="644"/>
      <c r="S2089" s="651"/>
      <c r="T2089" s="102">
        <f t="shared" si="1480"/>
        <v>0</v>
      </c>
      <c r="U2089" s="78" t="str">
        <f>IF(NOT(ISNUMBER(G2089)), "", VLOOKUP(A2089,'Discount Lookup'!D:E,2,FALSE)*G2089)</f>
        <v/>
      </c>
      <c r="V2089" s="78" t="str">
        <f>IF(NOT(ISNUMBER(G2089)), "", VLOOKUP(A2089,'Discount Lookup'!G:H,2,FALSE)*G2089)</f>
        <v/>
      </c>
      <c r="W2089" s="102">
        <f t="shared" si="1481"/>
        <v>0</v>
      </c>
      <c r="X2089" s="102">
        <f t="shared" si="1482"/>
        <v>0</v>
      </c>
      <c r="Y2089" s="120" t="b">
        <f t="shared" si="1483"/>
        <v>0</v>
      </c>
      <c r="Z2089" s="117">
        <f t="shared" si="1484"/>
        <v>0</v>
      </c>
      <c r="AA2089" s="118"/>
      <c r="AB2089" s="118" t="str">
        <f t="shared" si="1485"/>
        <v/>
      </c>
      <c r="AC2089" s="712" t="str">
        <f>IF(AE2089="T2G","no charge",IF(AND(OR(PlanterYesMe="No",PlanterYesMe="N",PlanterYesMe="me"),H2089=""),"",IF(H2089="credit","NO install",IF(AND(K2089="",AE2089="me"),"EACH row",IF(AND(K2089="images",AE2089="me"),"EACH row",IF(D2089="","",IF(H2089="credit","",IF(AE2089="free","re-planting",IF(AE2089="me","   not ELP, by",IF(AND(OR(PlanterYesMe="Yes",PlanterYesMe="Y"),G2089&gt;0),(VLOOKUP(A2089,'Discount Lookup'!J:K,2)*G2089*(1-PlanterDiscount)*(1+PlanterDifficultyPercentage)),IF(AE2089="ELP",(VLOOKUP(A2089,'Discount Lookup'!J:K,2)*G2089*(1-PlanterDiscount)*(1+PlanterDifficultyPercentage)),IF(AE2089="free","re-planting",IF(G2089=0,"",IF(PlanterYesMe="",IF(AE2089="me","   not ELP, by",IF(AE2089="",IF(G2089&gt;0,(VLOOKUP(A2089,'Discount Lookup'!J:K,2)*G2089*(1-PlanterDiscount)*(1+PlanterDifficultyPercentage)),""),"")),"   not ELP, by"))))))))))))))</f>
        <v/>
      </c>
      <c r="AD2089" s="712"/>
      <c r="AE2089" s="513" t="str">
        <f t="shared" si="1486"/>
        <v/>
      </c>
      <c r="AF2089" s="713" t="str">
        <f t="shared" si="1487"/>
        <v/>
      </c>
      <c r="AG2089" s="713"/>
      <c r="AH2089" s="713"/>
      <c r="AI2089" s="112">
        <f>IF(H2089="credit",0,IF(AE2089="free",0,IF(AE2089="me",0,IF(G2089&gt;0,(VLOOKUP(A2089,'Discount Lookup'!J:K,2)*G2089),0))))</f>
        <v>0</v>
      </c>
      <c r="AJ2089" s="107" t="str">
        <f t="shared" ca="1" si="1488"/>
        <v/>
      </c>
      <c r="AK2089" s="714" t="str">
        <f t="shared" si="1489"/>
        <v/>
      </c>
      <c r="AL2089" s="714"/>
      <c r="AM2089" s="114" t="str">
        <f t="shared" si="1490"/>
        <v/>
      </c>
      <c r="AN2089" s="115"/>
      <c r="AO2089" s="116"/>
      <c r="AP2089" s="116"/>
      <c r="AQ2089" s="116"/>
      <c r="AR2089" s="116"/>
      <c r="AS2089" s="116"/>
      <c r="AT2089" s="116"/>
      <c r="AU2089" s="116"/>
      <c r="AV2089" s="78"/>
      <c r="AW2089" s="102"/>
      <c r="AX2089" s="78"/>
      <c r="AY2089" s="78"/>
      <c r="AZ2089" s="78"/>
      <c r="BA2089" s="78"/>
      <c r="BB2089" s="78"/>
      <c r="BC2089" s="78"/>
      <c r="BD2089" s="78"/>
      <c r="BE2089" s="465"/>
      <c r="BF2089" s="165" t="str">
        <f t="shared" si="1491"/>
        <v>https://www.google.com/search?tbm=isch&amp;q=moist%20sites%F0%9F%92%A7OK%2C%20Jetstream%20has%20Dark%20Green%20foliage%2C%20Orange-Red-Burgundy%20in%20fall.%20All%20%22Oakleaf%22%20have%20cone-shaped%20flowers%20on%20old%20wood.%20Exfoliating%20Cinnamon%20bark%20</v>
      </c>
      <c r="BG2089" s="165" t="str">
        <f t="shared" si="1492"/>
        <v>m</v>
      </c>
      <c r="BH2089" s="65"/>
      <c r="BI2089" s="65"/>
      <c r="BJ2089" s="65"/>
      <c r="BK2089" s="65"/>
      <c r="BL2089" s="99"/>
      <c r="BM2089" s="99"/>
      <c r="BN2089" s="99"/>
    </row>
    <row r="2090" spans="1:66" s="51" customFormat="1" ht="18" x14ac:dyDescent="0.25">
      <c r="A2090" s="623" t="s">
        <v>2876</v>
      </c>
      <c r="B2090" s="624"/>
      <c r="C2090" s="709"/>
      <c r="D2090" s="625" t="s">
        <v>5704</v>
      </c>
      <c r="E2090" s="626"/>
      <c r="F2090" s="626"/>
      <c r="G2090" s="626"/>
      <c r="H2090" s="622" t="s">
        <v>1104</v>
      </c>
      <c r="I2090" s="627" t="s">
        <v>2877</v>
      </c>
      <c r="J2090" s="628"/>
      <c r="K2090" s="628"/>
      <c r="L2090" s="629"/>
      <c r="M2090" s="702" t="s">
        <v>5252</v>
      </c>
      <c r="N2090" s="693" t="str">
        <f>IF(AND(ISTEXT($A2090), ISERROR($A2090+0)), HYPERLINK($BF2090, "Images"), "")</f>
        <v>Images</v>
      </c>
      <c r="O2090" s="695" t="s">
        <v>5264</v>
      </c>
      <c r="P2090" s="630"/>
      <c r="Q2090" s="631"/>
      <c r="R2090" s="632"/>
      <c r="S2090" s="633"/>
      <c r="T2090" s="102">
        <f t="shared" si="1480"/>
        <v>0</v>
      </c>
      <c r="U2090" s="78" t="str">
        <f>IF(NOT(ISNUMBER(G2090)), "", VLOOKUP(A2090,'Discount Lookup'!D:E,2,FALSE)*G2090)</f>
        <v/>
      </c>
      <c r="V2090" s="78" t="str">
        <f>IF(NOT(ISNUMBER(G2090)), "", VLOOKUP(A2090,'Discount Lookup'!G:H,2,FALSE)*G2090)</f>
        <v/>
      </c>
      <c r="W2090" s="102">
        <f t="shared" si="1481"/>
        <v>0</v>
      </c>
      <c r="X2090" s="102" t="str">
        <f t="shared" si="1482"/>
        <v>Hot Pink to Purple bloom</v>
      </c>
      <c r="Y2090" s="120" t="b">
        <f t="shared" si="1483"/>
        <v>0</v>
      </c>
      <c r="Z2090" s="117">
        <f t="shared" si="1484"/>
        <v>0</v>
      </c>
      <c r="AA2090" s="118"/>
      <c r="AB2090" s="118" t="str">
        <f t="shared" si="1485"/>
        <v/>
      </c>
      <c r="AC2090" s="712" t="str">
        <f>IF(AE2090="T2G","no charge",IF(AND(OR(PlanterYesMe="No",PlanterYesMe="N",PlanterYesMe="me"),H2090=""),"",IF(H2090="credit","NO install",IF(AND(K2090="",AE2090="me"),"EACH row",IF(AND(K2090="images",AE2090="me"),"EACH row",IF(D2090="","",IF(H2090="credit","",IF(AE2090="free","re-planting",IF(AE2090="me","   not ELP, by",IF(AND(OR(PlanterYesMe="Yes",PlanterYesMe="Y"),G2090&gt;0),(VLOOKUP(A2090,'Discount Lookup'!J:K,2)*G2090*(1-PlanterDiscount)*(1+PlanterDifficultyPercentage)),IF(AE2090="ELP",(VLOOKUP(A2090,'Discount Lookup'!J:K,2)*G2090*(1-PlanterDiscount)*(1+PlanterDifficultyPercentage)),IF(AE2090="free","re-planting",IF(G2090=0,"",IF(PlanterYesMe="",IF(AE2090="me","   not ELP, by",IF(AE2090="",IF(G2090&gt;0,(VLOOKUP(A2090,'Discount Lookup'!J:K,2)*G2090*(1-PlanterDiscount)*(1+PlanterDifficultyPercentage)),""),"")),"   not ELP, by"))))))))))))))</f>
        <v/>
      </c>
      <c r="AD2090" s="712"/>
      <c r="AE2090" s="513" t="str">
        <f t="shared" si="1486"/>
        <v/>
      </c>
      <c r="AF2090" s="713" t="str">
        <f t="shared" si="1487"/>
        <v/>
      </c>
      <c r="AG2090" s="713"/>
      <c r="AH2090" s="713"/>
      <c r="AI2090" s="112">
        <f>IF(H2090="credit",0,IF(AE2090="free",0,IF(AE2090="me",0,IF(G2090&gt;0,(VLOOKUP(A2090,'Discount Lookup'!J:K,2)*G2090),0))))</f>
        <v>0</v>
      </c>
      <c r="AJ2090" s="107" t="str">
        <f t="shared" ca="1" si="1488"/>
        <v/>
      </c>
      <c r="AK2090" s="714" t="str">
        <f t="shared" si="1489"/>
        <v/>
      </c>
      <c r="AL2090" s="714"/>
      <c r="AM2090" s="114" t="str">
        <f t="shared" si="1490"/>
        <v/>
      </c>
      <c r="AN2090" s="115"/>
      <c r="AO2090" s="116"/>
      <c r="AP2090" s="116"/>
      <c r="AQ2090" s="116"/>
      <c r="AR2090" s="116"/>
      <c r="AS2090" s="116"/>
      <c r="AT2090" s="116"/>
      <c r="AU2090" s="116"/>
      <c r="AV2090" s="78"/>
      <c r="AW2090" s="102"/>
      <c r="AX2090" s="78"/>
      <c r="AY2090" s="78"/>
      <c r="AZ2090" s="78"/>
      <c r="BA2090" s="78"/>
      <c r="BB2090" s="78"/>
      <c r="BC2090" s="78"/>
      <c r="BD2090" s="78"/>
      <c r="BE2090" s="465"/>
      <c r="BF2090" s="165" t="str">
        <f t="shared" si="1491"/>
        <v>https://www.google.com/search?tbm=isch&amp;q=Hyd.%20serrata%20%27JPD01%27%20PP%2333412%20Pink%20Dynamo%E2%84%A2%20Mountain%20Hydrangea</v>
      </c>
      <c r="BG2090" s="165" t="str">
        <f t="shared" si="1492"/>
        <v>H</v>
      </c>
      <c r="BH2090" s="65"/>
      <c r="BI2090" s="65"/>
      <c r="BJ2090" s="65"/>
      <c r="BK2090" s="65"/>
      <c r="BL2090" s="99"/>
      <c r="BM2090" s="99"/>
      <c r="BN2090" s="99"/>
    </row>
    <row r="2091" spans="1:66" s="51" customFormat="1" ht="15.75" x14ac:dyDescent="0.25">
      <c r="A2091" s="634">
        <v>1</v>
      </c>
      <c r="B2091" s="635" t="s">
        <v>291</v>
      </c>
      <c r="C2091" s="636" t="s">
        <v>2878</v>
      </c>
      <c r="D2091" s="637" t="s">
        <v>329</v>
      </c>
      <c r="E2091" s="638">
        <v>30.95</v>
      </c>
      <c r="F2091" s="639" t="s">
        <v>292</v>
      </c>
      <c r="G2091" s="484">
        <v>0</v>
      </c>
      <c r="H2091" s="691" t="str">
        <f>IF(G2091=0,"",IF(F2091="Buy",IF(G2091=1,"plant","plants"),IF(F2091&gt;0.01,"warranty","Error")))</f>
        <v/>
      </c>
      <c r="I2091" s="640">
        <f>IF(H2091="free",0,IF(H2091="credit",((E2091*(F2091))*G2091*-1),IF(F2091="Buy",(E2091*G2091),((E2091*(1-F2091))*G2091))))</f>
        <v>0</v>
      </c>
      <c r="J2091" s="640">
        <f>IF(H2091="warranty",0,(I2091*(_xlfn.SINGLE(SalesTaxPercentage))))</f>
        <v>0</v>
      </c>
      <c r="K2091" s="716">
        <f t="shared" ref="K2091" si="1503">I2091+J2091</f>
        <v>0</v>
      </c>
      <c r="L2091" s="716"/>
      <c r="M2091" s="689" t="str">
        <f ca="1">IF(AND(G2091&gt;0,E2091=0),"WARNING - no PRICE inserted",IF(H2091="free","FREE ~ no charge this plant",IF(H2091="credit",CONCATENATE("-$",ROUND(K2091*(1-_xlfn.SINGLE(T2GDiscount))*-1,2)," CREDIT after discount"),IF(_xlfn.SINGLE(T2GDiscount)=0,"",IF(G2091=0,"",IF(F2091="Buy",CONCATENATE("$",ROUND(K2091*(1-_xlfn.SINGLE(T2GDiscount)),2)," with ",(_xlfn.SINGLE(T2GDiscount)*100),"% discount"),CONCATENATE("$",ROUND(K2091*(1-_xlfn.SINGLE(T2GDiscount)),2)," with ",((_xlfn.SINGLE(T2GDiscount)*100+F2091*100)-(_xlfn.SINGLE(T2GDiscount)*100*F2091)),IF(F2091&gt;0,"% discounts",IF(_xlfn.SINGLE(NoWarrantyDiscount)&gt;0,"% discounts","% discount")))))))))</f>
        <v/>
      </c>
      <c r="N2091" s="690"/>
      <c r="O2091" s="486"/>
      <c r="P2091" s="486"/>
      <c r="Q2091" s="486"/>
      <c r="R2091" s="486"/>
      <c r="S2091" s="486"/>
      <c r="T2091" s="102">
        <f t="shared" si="1480"/>
        <v>0</v>
      </c>
      <c r="U2091" s="78">
        <f>IF(NOT(ISNUMBER(G2091)), "", VLOOKUP(A2091,'Discount Lookup'!D:E,2,FALSE)*G2091)</f>
        <v>0</v>
      </c>
      <c r="V2091" s="78">
        <f>IF(NOT(ISNUMBER(G2091)), "", VLOOKUP(A2091,'Discount Lookup'!G:H,2,FALSE)*G2091)</f>
        <v>0</v>
      </c>
      <c r="W2091" s="102">
        <f t="shared" si="1481"/>
        <v>0</v>
      </c>
      <c r="X2091" s="102">
        <f t="shared" si="1482"/>
        <v>0</v>
      </c>
      <c r="Y2091" s="120" t="b">
        <f t="shared" si="1483"/>
        <v>0</v>
      </c>
      <c r="Z2091" s="117">
        <f t="shared" si="1484"/>
        <v>0</v>
      </c>
      <c r="AA2091" s="118"/>
      <c r="AB2091" s="118" t="str">
        <f t="shared" si="1485"/>
        <v/>
      </c>
      <c r="AC2091" s="712" t="str">
        <f>IF(AE2091="T2G","no charge",IF(AND(OR(PlanterYesMe="No",PlanterYesMe="N",PlanterYesMe="me"),H2091=""),"",IF(H2091="credit","NO install",IF(AND(K2091="",AE2091="me"),"EACH row",IF(AND(K2091="images",AE2091="me"),"EACH row",IF(D2091="","",IF(H2091="credit","",IF(AE2091="free","re-planting",IF(AE2091="me","   not ELP, by",IF(AND(OR(PlanterYesMe="Yes",PlanterYesMe="Y"),G2091&gt;0),(VLOOKUP(A2091,'Discount Lookup'!J:K,2)*G2091*(1-PlanterDiscount)*(1+PlanterDifficultyPercentage)),IF(AE2091="ELP",(VLOOKUP(A2091,'Discount Lookup'!J:K,2)*G2091*(1-PlanterDiscount)*(1+PlanterDifficultyPercentage)),IF(AE2091="free","re-planting",IF(G2091=0,"",IF(PlanterYesMe="",IF(AE2091="me","   not ELP, by",IF(AE2091="",IF(G2091&gt;0,(VLOOKUP(A2091,'Discount Lookup'!J:K,2)*G2091*(1-PlanterDiscount)*(1+PlanterDifficultyPercentage)),""),"")),"   not ELP, by"))))))))))))))</f>
        <v/>
      </c>
      <c r="AD2091" s="712"/>
      <c r="AE2091" s="513" t="str">
        <f t="shared" si="1486"/>
        <v/>
      </c>
      <c r="AF2091" s="713" t="str">
        <f t="shared" si="1487"/>
        <v/>
      </c>
      <c r="AG2091" s="713"/>
      <c r="AH2091" s="713"/>
      <c r="AI2091" s="112">
        <f>IF(H2091="credit",0,IF(AE2091="free",0,IF(AE2091="me",0,IF(G2091&gt;0,(VLOOKUP(A2091,'Discount Lookup'!J:K,2)*G2091),0))))</f>
        <v>0</v>
      </c>
      <c r="AJ2091" s="107" t="str">
        <f t="shared" ca="1" si="1488"/>
        <v/>
      </c>
      <c r="AK2091" s="714" t="str">
        <f t="shared" si="1489"/>
        <v/>
      </c>
      <c r="AL2091" s="714"/>
      <c r="AM2091" s="114" t="str">
        <f t="shared" si="1490"/>
        <v/>
      </c>
      <c r="AN2091" s="115"/>
      <c r="AO2091" s="116"/>
      <c r="AP2091" s="116"/>
      <c r="AQ2091" s="116"/>
      <c r="AR2091" s="116"/>
      <c r="AS2091" s="116"/>
      <c r="AT2091" s="116"/>
      <c r="AU2091" s="116"/>
      <c r="AV2091" s="78"/>
      <c r="AW2091" s="102"/>
      <c r="AX2091" s="78"/>
      <c r="AY2091" s="78"/>
      <c r="AZ2091" s="78"/>
      <c r="BA2091" s="78"/>
      <c r="BB2091" s="78"/>
      <c r="BC2091" s="78"/>
      <c r="BD2091" s="78"/>
      <c r="BE2091" s="465"/>
      <c r="BF2091" s="165" t="str">
        <f t="shared" si="1491"/>
        <v>https://www.google.com/search?tbm=isch&amp;q=1%20G2</v>
      </c>
      <c r="BG2091" s="165" t="str">
        <f t="shared" si="1492"/>
        <v>H</v>
      </c>
      <c r="BH2091" s="65"/>
      <c r="BI2091" s="65"/>
      <c r="BJ2091" s="65"/>
      <c r="BK2091" s="65"/>
      <c r="BL2091" s="99"/>
      <c r="BM2091" s="99"/>
      <c r="BN2091" s="99"/>
    </row>
    <row r="2092" spans="1:66" s="51" customFormat="1" ht="15.75" x14ac:dyDescent="0.25">
      <c r="A2092" s="634">
        <v>3</v>
      </c>
      <c r="B2092" s="635" t="s">
        <v>291</v>
      </c>
      <c r="C2092" s="636" t="s">
        <v>337</v>
      </c>
      <c r="D2092" s="637" t="s">
        <v>329</v>
      </c>
      <c r="E2092" s="638">
        <v>33.950000000000003</v>
      </c>
      <c r="F2092" s="639" t="s">
        <v>292</v>
      </c>
      <c r="G2092" s="484">
        <v>0</v>
      </c>
      <c r="H2092" s="691" t="str">
        <f>IF(G2092=0,"",IF(F2092="Buy",IF(G2092=1,"plant","plants"),IF(F2092&gt;0.01,"warranty","Error")))</f>
        <v/>
      </c>
      <c r="I2092" s="640">
        <f>IF(H2092="free",0,IF(H2092="credit",((E2092*(F2092))*G2092*-1),IF(F2092="Buy",(E2092*G2092),((E2092*(1-F2092))*G2092))))</f>
        <v>0</v>
      </c>
      <c r="J2092" s="640">
        <f>IF(H2092="warranty",0,(I2092*(_xlfn.SINGLE(SalesTaxPercentage))))</f>
        <v>0</v>
      </c>
      <c r="K2092" s="716">
        <f t="shared" ref="K2092" si="1504">I2092+J2092</f>
        <v>0</v>
      </c>
      <c r="L2092" s="716"/>
      <c r="M2092" s="689" t="str">
        <f ca="1">IF(AND(G2092&gt;0,E2092=0),"WARNING - no PRICE inserted",IF(H2092="free","FREE ~ no charge this plant",IF(H2092="credit",CONCATENATE("-$",ROUND(K2092*(1-_xlfn.SINGLE(T2GDiscount))*-1,2)," CREDIT after discount"),IF(_xlfn.SINGLE(T2GDiscount)=0,"",IF(G2092=0,"",IF(F2092="Buy",CONCATENATE("$",ROUND(K2092*(1-_xlfn.SINGLE(T2GDiscount)),2)," with ",(_xlfn.SINGLE(T2GDiscount)*100),"% discount"),CONCATENATE("$",ROUND(K2092*(1-_xlfn.SINGLE(T2GDiscount)),2)," with ",((_xlfn.SINGLE(T2GDiscount)*100+F2092*100)-(_xlfn.SINGLE(T2GDiscount)*100*F2092)),IF(F2092&gt;0,"% discounts",IF(_xlfn.SINGLE(NoWarrantyDiscount)&gt;0,"% discounts","% discount")))))))))</f>
        <v/>
      </c>
      <c r="N2092" s="690"/>
      <c r="O2092" s="486"/>
      <c r="P2092" s="486"/>
      <c r="Q2092" s="486"/>
      <c r="R2092" s="486"/>
      <c r="S2092" s="486"/>
      <c r="T2092" s="102">
        <f t="shared" si="1480"/>
        <v>0</v>
      </c>
      <c r="U2092" s="78">
        <f>IF(NOT(ISNUMBER(G2092)), "", VLOOKUP(A2092,'Discount Lookup'!D:E,2,FALSE)*G2092)</f>
        <v>0</v>
      </c>
      <c r="V2092" s="78">
        <f>IF(NOT(ISNUMBER(G2092)), "", VLOOKUP(A2092,'Discount Lookup'!G:H,2,FALSE)*G2092)</f>
        <v>0</v>
      </c>
      <c r="W2092" s="102">
        <f t="shared" si="1481"/>
        <v>0</v>
      </c>
      <c r="X2092" s="102">
        <f t="shared" si="1482"/>
        <v>0</v>
      </c>
      <c r="Y2092" s="120" t="b">
        <f t="shared" si="1483"/>
        <v>0</v>
      </c>
      <c r="Z2092" s="117">
        <f t="shared" si="1484"/>
        <v>0</v>
      </c>
      <c r="AA2092" s="118"/>
      <c r="AB2092" s="118" t="str">
        <f t="shared" si="1485"/>
        <v/>
      </c>
      <c r="AC2092" s="712" t="str">
        <f>IF(AE2092="T2G","no charge",IF(AND(OR(PlanterYesMe="No",PlanterYesMe="N",PlanterYesMe="me"),H2092=""),"",IF(H2092="credit","NO install",IF(AND(K2092="",AE2092="me"),"EACH row",IF(AND(K2092="images",AE2092="me"),"EACH row",IF(D2092="","",IF(H2092="credit","",IF(AE2092="free","re-planting",IF(AE2092="me","   not ELP, by",IF(AND(OR(PlanterYesMe="Yes",PlanterYesMe="Y"),G2092&gt;0),(VLOOKUP(A2092,'Discount Lookup'!J:K,2)*G2092*(1-PlanterDiscount)*(1+PlanterDifficultyPercentage)),IF(AE2092="ELP",(VLOOKUP(A2092,'Discount Lookup'!J:K,2)*G2092*(1-PlanterDiscount)*(1+PlanterDifficultyPercentage)),IF(AE2092="free","re-planting",IF(G2092=0,"",IF(PlanterYesMe="",IF(AE2092="me","   not ELP, by",IF(AE2092="",IF(G2092&gt;0,(VLOOKUP(A2092,'Discount Lookup'!J:K,2)*G2092*(1-PlanterDiscount)*(1+PlanterDifficultyPercentage)),""),"")),"   not ELP, by"))))))))))))))</f>
        <v/>
      </c>
      <c r="AD2092" s="712"/>
      <c r="AE2092" s="513" t="str">
        <f t="shared" si="1486"/>
        <v/>
      </c>
      <c r="AF2092" s="713" t="str">
        <f t="shared" si="1487"/>
        <v/>
      </c>
      <c r="AG2092" s="713"/>
      <c r="AH2092" s="713"/>
      <c r="AI2092" s="112">
        <f>IF(H2092="credit",0,IF(AE2092="free",0,IF(AE2092="me",0,IF(G2092&gt;0,(VLOOKUP(A2092,'Discount Lookup'!J:K,2)*G2092),0))))</f>
        <v>0</v>
      </c>
      <c r="AJ2092" s="107" t="str">
        <f t="shared" ca="1" si="1488"/>
        <v/>
      </c>
      <c r="AK2092" s="714" t="str">
        <f t="shared" si="1489"/>
        <v/>
      </c>
      <c r="AL2092" s="714"/>
      <c r="AM2092" s="114" t="str">
        <f t="shared" si="1490"/>
        <v/>
      </c>
      <c r="AN2092" s="115"/>
      <c r="AO2092" s="116"/>
      <c r="AP2092" s="116"/>
      <c r="AQ2092" s="116"/>
      <c r="AR2092" s="116"/>
      <c r="AS2092" s="116"/>
      <c r="AT2092" s="116"/>
      <c r="AU2092" s="116"/>
      <c r="AV2092" s="78"/>
      <c r="AW2092" s="102"/>
      <c r="AX2092" s="78"/>
      <c r="AY2092" s="78"/>
      <c r="AZ2092" s="78"/>
      <c r="BA2092" s="78"/>
      <c r="BB2092" s="78"/>
      <c r="BC2092" s="78"/>
      <c r="BD2092" s="78"/>
      <c r="BE2092" s="465"/>
      <c r="BF2092" s="165" t="str">
        <f t="shared" si="1491"/>
        <v>https://www.google.com/search?tbm=isch&amp;q=3%20G2</v>
      </c>
      <c r="BG2092" s="165" t="str">
        <f t="shared" si="1492"/>
        <v>H</v>
      </c>
      <c r="BH2092" s="65"/>
      <c r="BI2092" s="65"/>
      <c r="BJ2092" s="65"/>
      <c r="BK2092" s="65"/>
      <c r="BL2092" s="99"/>
      <c r="BM2092" s="99"/>
      <c r="BN2092" s="99"/>
    </row>
    <row r="2093" spans="1:66" s="51" customFormat="1" ht="17.25" thickBot="1" x14ac:dyDescent="0.3">
      <c r="A2093" s="704" t="s">
        <v>5450</v>
      </c>
      <c r="B2093" s="642"/>
      <c r="C2093" s="710"/>
      <c r="D2093" s="643"/>
      <c r="E2093" s="643"/>
      <c r="F2093" s="644"/>
      <c r="G2093" s="645"/>
      <c r="H2093" s="646"/>
      <c r="I2093" s="647"/>
      <c r="J2093" s="648"/>
      <c r="K2093" s="649"/>
      <c r="L2093" s="650"/>
      <c r="M2093" s="650"/>
      <c r="N2093" s="644"/>
      <c r="O2093" s="644"/>
      <c r="P2093" s="644"/>
      <c r="Q2093" s="644"/>
      <c r="R2093" s="644"/>
      <c r="S2093" s="651"/>
      <c r="T2093" s="102">
        <f t="shared" si="1480"/>
        <v>0</v>
      </c>
      <c r="U2093" s="78" t="str">
        <f>IF(NOT(ISNUMBER(G2093)), "", VLOOKUP(A2093,'Discount Lookup'!D:E,2,FALSE)*G2093)</f>
        <v/>
      </c>
      <c r="V2093" s="78" t="str">
        <f>IF(NOT(ISNUMBER(G2093)), "", VLOOKUP(A2093,'Discount Lookup'!G:H,2,FALSE)*G2093)</f>
        <v/>
      </c>
      <c r="W2093" s="102">
        <f t="shared" si="1481"/>
        <v>0</v>
      </c>
      <c r="X2093" s="102">
        <f t="shared" si="1482"/>
        <v>0</v>
      </c>
      <c r="Y2093" s="120" t="b">
        <f t="shared" si="1483"/>
        <v>0</v>
      </c>
      <c r="Z2093" s="117">
        <f t="shared" si="1484"/>
        <v>0</v>
      </c>
      <c r="AA2093" s="118"/>
      <c r="AB2093" s="118" t="str">
        <f t="shared" si="1485"/>
        <v/>
      </c>
      <c r="AC2093" s="712" t="str">
        <f>IF(AE2093="T2G","no charge",IF(AND(OR(PlanterYesMe="No",PlanterYesMe="N",PlanterYesMe="me"),H2093=""),"",IF(H2093="credit","NO install",IF(AND(K2093="",AE2093="me"),"EACH row",IF(AND(K2093="images",AE2093="me"),"EACH row",IF(D2093="","",IF(H2093="credit","",IF(AE2093="free","re-planting",IF(AE2093="me","   not ELP, by",IF(AND(OR(PlanterYesMe="Yes",PlanterYesMe="Y"),G2093&gt;0),(VLOOKUP(A2093,'Discount Lookup'!J:K,2)*G2093*(1-PlanterDiscount)*(1+PlanterDifficultyPercentage)),IF(AE2093="ELP",(VLOOKUP(A2093,'Discount Lookup'!J:K,2)*G2093*(1-PlanterDiscount)*(1+PlanterDifficultyPercentage)),IF(AE2093="free","re-planting",IF(G2093=0,"",IF(PlanterYesMe="",IF(AE2093="me","   not ELP, by",IF(AE2093="",IF(G2093&gt;0,(VLOOKUP(A2093,'Discount Lookup'!J:K,2)*G2093*(1-PlanterDiscount)*(1+PlanterDifficultyPercentage)),""),"")),"   not ELP, by"))))))))))))))</f>
        <v/>
      </c>
      <c r="AD2093" s="712"/>
      <c r="AE2093" s="513" t="str">
        <f t="shared" si="1486"/>
        <v/>
      </c>
      <c r="AF2093" s="713" t="str">
        <f t="shared" si="1487"/>
        <v/>
      </c>
      <c r="AG2093" s="713"/>
      <c r="AH2093" s="713"/>
      <c r="AI2093" s="112">
        <f>IF(H2093="credit",0,IF(AE2093="free",0,IF(AE2093="me",0,IF(G2093&gt;0,(VLOOKUP(A2093,'Discount Lookup'!J:K,2)*G2093),0))))</f>
        <v>0</v>
      </c>
      <c r="AJ2093" s="107" t="str">
        <f t="shared" ca="1" si="1488"/>
        <v/>
      </c>
      <c r="AK2093" s="714" t="str">
        <f t="shared" si="1489"/>
        <v/>
      </c>
      <c r="AL2093" s="714"/>
      <c r="AM2093" s="114" t="str">
        <f t="shared" si="1490"/>
        <v/>
      </c>
      <c r="AN2093" s="115"/>
      <c r="AO2093" s="116"/>
      <c r="AP2093" s="116"/>
      <c r="AQ2093" s="116"/>
      <c r="AR2093" s="116"/>
      <c r="AS2093" s="116"/>
      <c r="AT2093" s="116"/>
      <c r="AU2093" s="116"/>
      <c r="AV2093" s="78"/>
      <c r="AW2093" s="102"/>
      <c r="AX2093" s="78"/>
      <c r="AY2093" s="78"/>
      <c r="AZ2093" s="78"/>
      <c r="BA2093" s="78"/>
      <c r="BB2093" s="78"/>
      <c r="BC2093" s="78"/>
      <c r="BD2093" s="78"/>
      <c r="BE2093" s="465"/>
      <c r="BF2093" s="165" t="str">
        <f t="shared" si="1491"/>
        <v>https://www.google.com/search?tbm=isch&amp;q=moist%20sites%F0%9F%92%A7GOOD%2C%20Pink%20Dynamo%20has%20Blackish-Green%20foliage%2C%20deepening%20in%20fall.%20All%20%22Mountain%22%20have%20Lacecap%20blooms%20on%20old%20and%20new%20wood.%20Flowers%20change%20color%20with%20age%20</v>
      </c>
      <c r="BG2093" s="165" t="str">
        <f t="shared" si="1492"/>
        <v>m</v>
      </c>
      <c r="BH2093" s="65"/>
      <c r="BI2093" s="65"/>
      <c r="BJ2093" s="65"/>
      <c r="BK2093" s="65"/>
      <c r="BL2093" s="99"/>
      <c r="BM2093" s="99"/>
      <c r="BN2093" s="99"/>
    </row>
    <row r="2094" spans="1:66" s="51" customFormat="1" ht="18" x14ac:dyDescent="0.25">
      <c r="A2094" s="623" t="s">
        <v>2879</v>
      </c>
      <c r="B2094" s="624"/>
      <c r="C2094" s="709"/>
      <c r="D2094" s="625" t="s">
        <v>5705</v>
      </c>
      <c r="E2094" s="626"/>
      <c r="F2094" s="626"/>
      <c r="G2094" s="626"/>
      <c r="H2094" s="622" t="s">
        <v>2462</v>
      </c>
      <c r="I2094" s="627" t="s">
        <v>2773</v>
      </c>
      <c r="J2094" s="628"/>
      <c r="K2094" s="628"/>
      <c r="L2094" s="629"/>
      <c r="M2094" s="702" t="s">
        <v>5252</v>
      </c>
      <c r="N2094" s="693" t="str">
        <f>IF(AND(ISTEXT($A2094), ISERROR($A2094+0)), HYPERLINK($BF2094, "Images"), "")</f>
        <v>Images</v>
      </c>
      <c r="O2094" s="695" t="s">
        <v>5264</v>
      </c>
      <c r="P2094" s="630"/>
      <c r="Q2094" s="631"/>
      <c r="R2094" s="632"/>
      <c r="S2094" s="633"/>
      <c r="T2094" s="102">
        <f t="shared" si="1480"/>
        <v>0</v>
      </c>
      <c r="U2094" s="78" t="str">
        <f>IF(NOT(ISNUMBER(G2094)), "", VLOOKUP(A2094,'Discount Lookup'!D:E,2,FALSE)*G2094)</f>
        <v/>
      </c>
      <c r="V2094" s="78" t="str">
        <f>IF(NOT(ISNUMBER(G2094)), "", VLOOKUP(A2094,'Discount Lookup'!G:H,2,FALSE)*G2094)</f>
        <v/>
      </c>
      <c r="W2094" s="102">
        <f t="shared" si="1481"/>
        <v>0</v>
      </c>
      <c r="X2094" s="102" t="str">
        <f t="shared" si="1482"/>
        <v>Blue to Pink bloom</v>
      </c>
      <c r="Y2094" s="120" t="b">
        <f t="shared" si="1483"/>
        <v>0</v>
      </c>
      <c r="Z2094" s="117">
        <f t="shared" si="1484"/>
        <v>0</v>
      </c>
      <c r="AA2094" s="118"/>
      <c r="AB2094" s="118" t="str">
        <f t="shared" si="1485"/>
        <v/>
      </c>
      <c r="AC2094" s="712" t="str">
        <f>IF(AE2094="T2G","no charge",IF(AND(OR(PlanterYesMe="No",PlanterYesMe="N",PlanterYesMe="me"),H2094=""),"",IF(H2094="credit","NO install",IF(AND(K2094="",AE2094="me"),"EACH row",IF(AND(K2094="images",AE2094="me"),"EACH row",IF(D2094="","",IF(H2094="credit","",IF(AE2094="free","re-planting",IF(AE2094="me","   not ELP, by",IF(AND(OR(PlanterYesMe="Yes",PlanterYesMe="Y"),G2094&gt;0),(VLOOKUP(A2094,'Discount Lookup'!J:K,2)*G2094*(1-PlanterDiscount)*(1+PlanterDifficultyPercentage)),IF(AE2094="ELP",(VLOOKUP(A2094,'Discount Lookup'!J:K,2)*G2094*(1-PlanterDiscount)*(1+PlanterDifficultyPercentage)),IF(AE2094="free","re-planting",IF(G2094=0,"",IF(PlanterYesMe="",IF(AE2094="me","   not ELP, by",IF(AE2094="",IF(G2094&gt;0,(VLOOKUP(A2094,'Discount Lookup'!J:K,2)*G2094*(1-PlanterDiscount)*(1+PlanterDifficultyPercentage)),""),"")),"   not ELP, by"))))))))))))))</f>
        <v/>
      </c>
      <c r="AD2094" s="712"/>
      <c r="AE2094" s="513" t="str">
        <f t="shared" si="1486"/>
        <v/>
      </c>
      <c r="AF2094" s="713" t="str">
        <f t="shared" si="1487"/>
        <v/>
      </c>
      <c r="AG2094" s="713"/>
      <c r="AH2094" s="713"/>
      <c r="AI2094" s="112">
        <f>IF(H2094="credit",0,IF(AE2094="free",0,IF(AE2094="me",0,IF(G2094&gt;0,(VLOOKUP(A2094,'Discount Lookup'!J:K,2)*G2094),0))))</f>
        <v>0</v>
      </c>
      <c r="AJ2094" s="107" t="str">
        <f t="shared" ca="1" si="1488"/>
        <v/>
      </c>
      <c r="AK2094" s="714" t="str">
        <f t="shared" si="1489"/>
        <v/>
      </c>
      <c r="AL2094" s="714"/>
      <c r="AM2094" s="114" t="str">
        <f t="shared" si="1490"/>
        <v/>
      </c>
      <c r="AN2094" s="115"/>
      <c r="AO2094" s="116"/>
      <c r="AP2094" s="116"/>
      <c r="AQ2094" s="116"/>
      <c r="AR2094" s="116"/>
      <c r="AS2094" s="116"/>
      <c r="AT2094" s="116"/>
      <c r="AU2094" s="116"/>
      <c r="AV2094" s="78"/>
      <c r="AW2094" s="102"/>
      <c r="AX2094" s="78"/>
      <c r="AY2094" s="78"/>
      <c r="AZ2094" s="78"/>
      <c r="BA2094" s="78"/>
      <c r="BB2094" s="78"/>
      <c r="BC2094" s="78"/>
      <c r="BD2094" s="78"/>
      <c r="BE2094" s="465"/>
      <c r="BF2094" s="165" t="str">
        <f t="shared" si="1491"/>
        <v>https://www.google.com/search?tbm=isch&amp;q=Hyd.%20serrata%20%27MAKD%27%20PP%2324842%20Tiny%20Tuff%20Stuff%E2%84%A2%20Mountain%20Hydrangea</v>
      </c>
      <c r="BG2094" s="165" t="str">
        <f t="shared" si="1492"/>
        <v>H</v>
      </c>
      <c r="BH2094" s="65"/>
      <c r="BI2094" s="65"/>
      <c r="BJ2094" s="65"/>
      <c r="BK2094" s="65"/>
      <c r="BL2094" s="99"/>
      <c r="BM2094" s="99"/>
      <c r="BN2094" s="99"/>
    </row>
    <row r="2095" spans="1:66" s="51" customFormat="1" ht="15.75" x14ac:dyDescent="0.25">
      <c r="A2095" s="634">
        <v>3</v>
      </c>
      <c r="B2095" s="635" t="s">
        <v>291</v>
      </c>
      <c r="C2095" s="636" t="s">
        <v>2880</v>
      </c>
      <c r="D2095" s="637" t="s">
        <v>311</v>
      </c>
      <c r="E2095" s="638">
        <v>42.95</v>
      </c>
      <c r="F2095" s="639" t="s">
        <v>292</v>
      </c>
      <c r="G2095" s="484">
        <v>0</v>
      </c>
      <c r="H2095" s="691" t="str">
        <f>IF(G2095=0,"",IF(F2095="Buy",IF(G2095=1,"plant","plants"),IF(F2095&gt;0.01,"warranty","Error")))</f>
        <v/>
      </c>
      <c r="I2095" s="640">
        <f>IF(H2095="free",0,IF(H2095="credit",((E2095*(F2095))*G2095*-1),IF(F2095="Buy",(E2095*G2095),((E2095*(1-F2095))*G2095))))</f>
        <v>0</v>
      </c>
      <c r="J2095" s="640">
        <f>IF(H2095="warranty",0,(I2095*(_xlfn.SINGLE(SalesTaxPercentage))))</f>
        <v>0</v>
      </c>
      <c r="K2095" s="716">
        <f t="shared" ref="K2095" si="1505">I2095+J2095</f>
        <v>0</v>
      </c>
      <c r="L2095" s="716"/>
      <c r="M2095" s="689" t="str">
        <f ca="1">IF(AND(G2095&gt;0,E2095=0),"WARNING - no PRICE inserted",IF(H2095="free","FREE ~ no charge this plant",IF(H2095="credit",CONCATENATE("-$",ROUND(K2095*(1-_xlfn.SINGLE(T2GDiscount))*-1,2)," CREDIT after discount"),IF(_xlfn.SINGLE(T2GDiscount)=0,"",IF(G2095=0,"",IF(F2095="Buy",CONCATENATE("$",ROUND(K2095*(1-_xlfn.SINGLE(T2GDiscount)),2)," with ",(_xlfn.SINGLE(T2GDiscount)*100),"% discount"),CONCATENATE("$",ROUND(K2095*(1-_xlfn.SINGLE(T2GDiscount)),2)," with ",((_xlfn.SINGLE(T2GDiscount)*100+F2095*100)-(_xlfn.SINGLE(T2GDiscount)*100*F2095)),IF(F2095&gt;0,"% discounts",IF(_xlfn.SINGLE(NoWarrantyDiscount)&gt;0,"% discounts","% discount")))))))))</f>
        <v/>
      </c>
      <c r="N2095" s="690"/>
      <c r="O2095" s="486"/>
      <c r="P2095" s="486"/>
      <c r="Q2095" s="486"/>
      <c r="R2095" s="486"/>
      <c r="S2095" s="486"/>
      <c r="T2095" s="102">
        <f t="shared" si="1480"/>
        <v>0</v>
      </c>
      <c r="U2095" s="78">
        <f>IF(NOT(ISNUMBER(G2095)), "", VLOOKUP(A2095,'Discount Lookup'!D:E,2,FALSE)*G2095)</f>
        <v>0</v>
      </c>
      <c r="V2095" s="78">
        <f>IF(NOT(ISNUMBER(G2095)), "", VLOOKUP(A2095,'Discount Lookup'!G:H,2,FALSE)*G2095)</f>
        <v>0</v>
      </c>
      <c r="W2095" s="102">
        <f t="shared" si="1481"/>
        <v>0</v>
      </c>
      <c r="X2095" s="102">
        <f t="shared" si="1482"/>
        <v>0</v>
      </c>
      <c r="Y2095" s="120" t="b">
        <f t="shared" si="1483"/>
        <v>0</v>
      </c>
      <c r="Z2095" s="117">
        <f t="shared" si="1484"/>
        <v>0</v>
      </c>
      <c r="AA2095" s="118"/>
      <c r="AB2095" s="118" t="str">
        <f t="shared" si="1485"/>
        <v/>
      </c>
      <c r="AC2095" s="712" t="str">
        <f>IF(AE2095="T2G","no charge",IF(AND(OR(PlanterYesMe="No",PlanterYesMe="N",PlanterYesMe="me"),H2095=""),"",IF(H2095="credit","NO install",IF(AND(K2095="",AE2095="me"),"EACH row",IF(AND(K2095="images",AE2095="me"),"EACH row",IF(D2095="","",IF(H2095="credit","",IF(AE2095="free","re-planting",IF(AE2095="me","   not ELP, by",IF(AND(OR(PlanterYesMe="Yes",PlanterYesMe="Y"),G2095&gt;0),(VLOOKUP(A2095,'Discount Lookup'!J:K,2)*G2095*(1-PlanterDiscount)*(1+PlanterDifficultyPercentage)),IF(AE2095="ELP",(VLOOKUP(A2095,'Discount Lookup'!J:K,2)*G2095*(1-PlanterDiscount)*(1+PlanterDifficultyPercentage)),IF(AE2095="free","re-planting",IF(G2095=0,"",IF(PlanterYesMe="",IF(AE2095="me","   not ELP, by",IF(AE2095="",IF(G2095&gt;0,(VLOOKUP(A2095,'Discount Lookup'!J:K,2)*G2095*(1-PlanterDiscount)*(1+PlanterDifficultyPercentage)),""),"")),"   not ELP, by"))))))))))))))</f>
        <v/>
      </c>
      <c r="AD2095" s="712"/>
      <c r="AE2095" s="513" t="str">
        <f t="shared" si="1486"/>
        <v/>
      </c>
      <c r="AF2095" s="713" t="str">
        <f t="shared" si="1487"/>
        <v/>
      </c>
      <c r="AG2095" s="713"/>
      <c r="AH2095" s="713"/>
      <c r="AI2095" s="112">
        <f>IF(H2095="credit",0,IF(AE2095="free",0,IF(AE2095="me",0,IF(G2095&gt;0,(VLOOKUP(A2095,'Discount Lookup'!J:K,2)*G2095),0))))</f>
        <v>0</v>
      </c>
      <c r="AJ2095" s="107" t="str">
        <f t="shared" ca="1" si="1488"/>
        <v/>
      </c>
      <c r="AK2095" s="714" t="str">
        <f t="shared" si="1489"/>
        <v/>
      </c>
      <c r="AL2095" s="714"/>
      <c r="AM2095" s="114" t="str">
        <f t="shared" si="1490"/>
        <v/>
      </c>
      <c r="AN2095" s="115"/>
      <c r="AO2095" s="116"/>
      <c r="AP2095" s="116"/>
      <c r="AQ2095" s="116"/>
      <c r="AR2095" s="116"/>
      <c r="AS2095" s="116"/>
      <c r="AT2095" s="116"/>
      <c r="AU2095" s="116"/>
      <c r="AV2095" s="78"/>
      <c r="AW2095" s="102"/>
      <c r="AX2095" s="78"/>
      <c r="AY2095" s="78"/>
      <c r="AZ2095" s="78"/>
      <c r="BA2095" s="78"/>
      <c r="BB2095" s="78"/>
      <c r="BC2095" s="78"/>
      <c r="BD2095" s="78"/>
      <c r="BE2095" s="465"/>
      <c r="BF2095" s="165" t="str">
        <f t="shared" si="1491"/>
        <v>https://www.google.com/search?tbm=isch&amp;q=3%20G5</v>
      </c>
      <c r="BG2095" s="165" t="str">
        <f t="shared" si="1492"/>
        <v>H</v>
      </c>
      <c r="BH2095" s="65"/>
      <c r="BI2095" s="65"/>
      <c r="BJ2095" s="65"/>
      <c r="BK2095" s="65"/>
      <c r="BL2095" s="99"/>
      <c r="BM2095" s="99"/>
      <c r="BN2095" s="99"/>
    </row>
    <row r="2096" spans="1:66" s="51" customFormat="1" ht="16.5" x14ac:dyDescent="0.25">
      <c r="A2096" s="704" t="s">
        <v>5451</v>
      </c>
      <c r="B2096" s="642"/>
      <c r="C2096" s="710"/>
      <c r="D2096" s="643"/>
      <c r="E2096" s="643"/>
      <c r="F2096" s="644"/>
      <c r="G2096" s="645"/>
      <c r="H2096" s="646"/>
      <c r="I2096" s="647"/>
      <c r="J2096" s="648"/>
      <c r="K2096" s="649"/>
      <c r="L2096" s="650"/>
      <c r="M2096" s="650"/>
      <c r="N2096" s="644"/>
      <c r="O2096" s="644"/>
      <c r="P2096" s="644"/>
      <c r="Q2096" s="644"/>
      <c r="R2096" s="644"/>
      <c r="S2096" s="651"/>
      <c r="T2096" s="102">
        <f t="shared" si="1480"/>
        <v>0</v>
      </c>
      <c r="U2096" s="78" t="str">
        <f>IF(NOT(ISNUMBER(G2096)), "", VLOOKUP(A2096,'Discount Lookup'!D:E,2,FALSE)*G2096)</f>
        <v/>
      </c>
      <c r="V2096" s="78" t="str">
        <f>IF(NOT(ISNUMBER(G2096)), "", VLOOKUP(A2096,'Discount Lookup'!G:H,2,FALSE)*G2096)</f>
        <v/>
      </c>
      <c r="W2096" s="102">
        <f t="shared" si="1481"/>
        <v>0</v>
      </c>
      <c r="X2096" s="102">
        <f t="shared" si="1482"/>
        <v>0</v>
      </c>
      <c r="Y2096" s="120" t="b">
        <f t="shared" si="1483"/>
        <v>0</v>
      </c>
      <c r="Z2096" s="117">
        <f t="shared" si="1484"/>
        <v>0</v>
      </c>
      <c r="AA2096" s="118"/>
      <c r="AB2096" s="118" t="str">
        <f t="shared" si="1485"/>
        <v/>
      </c>
      <c r="AC2096" s="712" t="str">
        <f>IF(AE2096="T2G","no charge",IF(AND(OR(PlanterYesMe="No",PlanterYesMe="N",PlanterYesMe="me"),H2096=""),"",IF(H2096="credit","NO install",IF(AND(K2096="",AE2096="me"),"EACH row",IF(AND(K2096="images",AE2096="me"),"EACH row",IF(D2096="","",IF(H2096="credit","",IF(AE2096="free","re-planting",IF(AE2096="me","   not ELP, by",IF(AND(OR(PlanterYesMe="Yes",PlanterYesMe="Y"),G2096&gt;0),(VLOOKUP(A2096,'Discount Lookup'!J:K,2)*G2096*(1-PlanterDiscount)*(1+PlanterDifficultyPercentage)),IF(AE2096="ELP",(VLOOKUP(A2096,'Discount Lookup'!J:K,2)*G2096*(1-PlanterDiscount)*(1+PlanterDifficultyPercentage)),IF(AE2096="free","re-planting",IF(G2096=0,"",IF(PlanterYesMe="",IF(AE2096="me","   not ELP, by",IF(AE2096="",IF(G2096&gt;0,(VLOOKUP(A2096,'Discount Lookup'!J:K,2)*G2096*(1-PlanterDiscount)*(1+PlanterDifficultyPercentage)),""),"")),"   not ELP, by"))))))))))))))</f>
        <v/>
      </c>
      <c r="AD2096" s="712"/>
      <c r="AE2096" s="513" t="str">
        <f t="shared" si="1486"/>
        <v/>
      </c>
      <c r="AF2096" s="713" t="str">
        <f t="shared" si="1487"/>
        <v/>
      </c>
      <c r="AG2096" s="713"/>
      <c r="AH2096" s="713"/>
      <c r="AI2096" s="112">
        <f>IF(H2096="credit",0,IF(AE2096="free",0,IF(AE2096="me",0,IF(G2096&gt;0,(VLOOKUP(A2096,'Discount Lookup'!J:K,2)*G2096),0))))</f>
        <v>0</v>
      </c>
      <c r="AJ2096" s="107" t="str">
        <f t="shared" ca="1" si="1488"/>
        <v/>
      </c>
      <c r="AK2096" s="714" t="str">
        <f t="shared" si="1489"/>
        <v/>
      </c>
      <c r="AL2096" s="714"/>
      <c r="AM2096" s="114" t="str">
        <f t="shared" si="1490"/>
        <v/>
      </c>
      <c r="AN2096" s="115"/>
      <c r="AO2096" s="116"/>
      <c r="AP2096" s="116"/>
      <c r="AQ2096" s="116"/>
      <c r="AR2096" s="116"/>
      <c r="AS2096" s="116"/>
      <c r="AT2096" s="116"/>
      <c r="AU2096" s="116"/>
      <c r="AV2096" s="78"/>
      <c r="AW2096" s="102"/>
      <c r="AX2096" s="78"/>
      <c r="AY2096" s="78"/>
      <c r="AZ2096" s="78"/>
      <c r="BA2096" s="78"/>
      <c r="BB2096" s="78"/>
      <c r="BC2096" s="78"/>
      <c r="BD2096" s="78"/>
      <c r="BE2096" s="465"/>
      <c r="BF2096" s="165" t="str">
        <f t="shared" si="1491"/>
        <v>https://www.google.com/search?tbm=isch&amp;q=moist%20sites%F0%9F%92%A7GOOD%2C%20Tiny%20Tuff%20Stuff%20has%20Green%20foliage%2C%20Burgundy%20in%20fall.%20All%20%22Mountain%22%20have%20Lacecap%20blooms%20on%20old%20and%20new%20wood.%20Flowers%20change%20color%20with%20age%20</v>
      </c>
      <c r="BG2096" s="165" t="str">
        <f t="shared" si="1492"/>
        <v>m</v>
      </c>
      <c r="BH2096" s="65"/>
      <c r="BI2096" s="65"/>
      <c r="BJ2096" s="65"/>
      <c r="BK2096" s="65"/>
      <c r="BL2096" s="99"/>
      <c r="BM2096" s="99"/>
      <c r="BN2096" s="99"/>
    </row>
    <row r="2097" spans="1:66" s="51" customFormat="1" ht="19.5" thickBot="1" x14ac:dyDescent="0.3">
      <c r="A2097" s="686" t="s">
        <v>503</v>
      </c>
      <c r="B2097" s="73"/>
      <c r="C2097" s="708"/>
      <c r="D2097" s="73"/>
      <c r="E2097" s="73"/>
      <c r="F2097" s="496"/>
      <c r="G2097" s="73"/>
      <c r="H2097" s="73"/>
      <c r="I2097" s="73"/>
      <c r="J2097" s="497" t="s">
        <v>357</v>
      </c>
      <c r="K2097" s="498"/>
      <c r="L2097" s="562"/>
      <c r="M2097" s="73"/>
      <c r="N2097"/>
      <c r="O2097"/>
      <c r="P2097"/>
      <c r="Q2097"/>
      <c r="R2097"/>
      <c r="S2097"/>
      <c r="T2097" s="102">
        <f t="shared" si="1480"/>
        <v>0</v>
      </c>
      <c r="U2097" s="78" t="str">
        <f>IF(NOT(ISNUMBER(G2097)), "", VLOOKUP(A2097,'Discount Lookup'!D:E,2,FALSE)*G2097)</f>
        <v/>
      </c>
      <c r="V2097" s="78" t="str">
        <f>IF(NOT(ISNUMBER(G2097)), "", VLOOKUP(A2097,'Discount Lookup'!G:H,2,FALSE)*G2097)</f>
        <v/>
      </c>
      <c r="W2097" s="102">
        <f t="shared" si="1481"/>
        <v>0</v>
      </c>
      <c r="X2097" s="102">
        <f t="shared" si="1482"/>
        <v>0</v>
      </c>
      <c r="Y2097" s="120" t="b">
        <f t="shared" si="1483"/>
        <v>0</v>
      </c>
      <c r="Z2097" s="117">
        <f t="shared" si="1484"/>
        <v>0</v>
      </c>
      <c r="AA2097" s="118"/>
      <c r="AB2097" s="118" t="str">
        <f t="shared" si="1485"/>
        <v/>
      </c>
      <c r="AC2097" s="712" t="str">
        <f>IF(AE2097="T2G","no charge",IF(AND(OR(PlanterYesMe="No",PlanterYesMe="N",PlanterYesMe="me"),H2097=""),"",IF(H2097="credit","NO install",IF(AND(K2097="",AE2097="me"),"EACH row",IF(AND(K2097="images",AE2097="me"),"EACH row",IF(D2097="","",IF(H2097="credit","",IF(AE2097="free","re-planting",IF(AE2097="me","   not ELP, by",IF(AND(OR(PlanterYesMe="Yes",PlanterYesMe="Y"),G2097&gt;0),(VLOOKUP(A2097,'Discount Lookup'!J:K,2)*G2097*(1-PlanterDiscount)*(1+PlanterDifficultyPercentage)),IF(AE2097="ELP",(VLOOKUP(A2097,'Discount Lookup'!J:K,2)*G2097*(1-PlanterDiscount)*(1+PlanterDifficultyPercentage)),IF(AE2097="free","re-planting",IF(G2097=0,"",IF(PlanterYesMe="",IF(AE2097="me","   not ELP, by",IF(AE2097="",IF(G2097&gt;0,(VLOOKUP(A2097,'Discount Lookup'!J:K,2)*G2097*(1-PlanterDiscount)*(1+PlanterDifficultyPercentage)),""),"")),"   not ELP, by"))))))))))))))</f>
        <v/>
      </c>
      <c r="AD2097" s="712"/>
      <c r="AE2097" s="513" t="str">
        <f t="shared" si="1486"/>
        <v/>
      </c>
      <c r="AF2097" s="713" t="str">
        <f t="shared" si="1487"/>
        <v/>
      </c>
      <c r="AG2097" s="713"/>
      <c r="AH2097" s="713"/>
      <c r="AI2097" s="112">
        <f>IF(H2097="credit",0,IF(AE2097="free",0,IF(AE2097="me",0,IF(G2097&gt;0,(VLOOKUP(A2097,'Discount Lookup'!J:K,2)*G2097),0))))</f>
        <v>0</v>
      </c>
      <c r="AJ2097" s="107" t="str">
        <f t="shared" ca="1" si="1488"/>
        <v/>
      </c>
      <c r="AK2097" s="714" t="str">
        <f t="shared" si="1489"/>
        <v/>
      </c>
      <c r="AL2097" s="714"/>
      <c r="AM2097" s="114" t="str">
        <f t="shared" si="1490"/>
        <v/>
      </c>
      <c r="AN2097" s="115"/>
      <c r="AO2097" s="116"/>
      <c r="AP2097" s="116"/>
      <c r="AQ2097" s="116"/>
      <c r="AR2097" s="116"/>
      <c r="AS2097" s="116"/>
      <c r="AT2097" s="116"/>
      <c r="AU2097" s="116"/>
      <c r="AV2097" s="78"/>
      <c r="AW2097" s="102"/>
      <c r="AX2097" s="78"/>
      <c r="AY2097" s="78"/>
      <c r="AZ2097" s="78"/>
      <c r="BA2097" s="78"/>
      <c r="BB2097" s="78"/>
      <c r="BC2097" s="78"/>
      <c r="BD2097" s="78"/>
      <c r="BE2097" s="465"/>
      <c r="BF2097" s="165" t="str">
        <f t="shared" si="1491"/>
        <v>https://www.google.com/search?tbm=isch&amp;q=Hypericum%20%3D%20St.%20John%27s%20Wort%20</v>
      </c>
      <c r="BG2097" s="165" t="str">
        <f t="shared" si="1492"/>
        <v>H</v>
      </c>
      <c r="BH2097" s="65"/>
      <c r="BI2097" s="65"/>
      <c r="BJ2097" s="65"/>
      <c r="BK2097" s="65"/>
      <c r="BL2097" s="99"/>
      <c r="BM2097" s="99"/>
      <c r="BN2097" s="99"/>
    </row>
    <row r="2098" spans="1:66" s="51" customFormat="1" ht="18" x14ac:dyDescent="0.25">
      <c r="A2098" s="623" t="s">
        <v>2881</v>
      </c>
      <c r="B2098" s="624"/>
      <c r="C2098" s="709"/>
      <c r="D2098" s="625" t="s">
        <v>2882</v>
      </c>
      <c r="E2098" s="626"/>
      <c r="F2098" s="626"/>
      <c r="G2098" s="626"/>
      <c r="H2098" s="622" t="s">
        <v>1124</v>
      </c>
      <c r="I2098" s="627" t="s">
        <v>1441</v>
      </c>
      <c r="J2098" s="628"/>
      <c r="K2098" s="628"/>
      <c r="L2098" s="629"/>
      <c r="M2098" s="700" t="s">
        <v>5249</v>
      </c>
      <c r="N2098" s="693" t="str">
        <f>IF(AND(ISTEXT($A2098), ISERROR($A2098+0)), HYPERLINK($BF2098, "Images"), "")</f>
        <v>Images</v>
      </c>
      <c r="O2098" s="695" t="s">
        <v>5247</v>
      </c>
      <c r="P2098" s="630"/>
      <c r="Q2098" s="631"/>
      <c r="R2098" s="632"/>
      <c r="S2098" s="633"/>
      <c r="T2098" s="102">
        <f t="shared" si="1480"/>
        <v>0</v>
      </c>
      <c r="U2098" s="78" t="str">
        <f>IF(NOT(ISNUMBER(G2098)), "", VLOOKUP(A2098,'Discount Lookup'!D:E,2,FALSE)*G2098)</f>
        <v/>
      </c>
      <c r="V2098" s="78" t="str">
        <f>IF(NOT(ISNUMBER(G2098)), "", VLOOKUP(A2098,'Discount Lookup'!G:H,2,FALSE)*G2098)</f>
        <v/>
      </c>
      <c r="W2098" s="102">
        <f t="shared" si="1481"/>
        <v>0</v>
      </c>
      <c r="X2098" s="102" t="str">
        <f t="shared" si="1482"/>
        <v>Yellow bloom</v>
      </c>
      <c r="Y2098" s="120" t="b">
        <f t="shared" si="1483"/>
        <v>0</v>
      </c>
      <c r="Z2098" s="117">
        <f t="shared" si="1484"/>
        <v>0</v>
      </c>
      <c r="AA2098" s="118"/>
      <c r="AB2098" s="118" t="str">
        <f t="shared" si="1485"/>
        <v/>
      </c>
      <c r="AC2098" s="712" t="str">
        <f>IF(AE2098="T2G","no charge",IF(AND(OR(PlanterYesMe="No",PlanterYesMe="N",PlanterYesMe="me"),H2098=""),"",IF(H2098="credit","NO install",IF(AND(K2098="",AE2098="me"),"EACH row",IF(AND(K2098="images",AE2098="me"),"EACH row",IF(D2098="","",IF(H2098="credit","",IF(AE2098="free","re-planting",IF(AE2098="me","   not ELP, by",IF(AND(OR(PlanterYesMe="Yes",PlanterYesMe="Y"),G2098&gt;0),(VLOOKUP(A2098,'Discount Lookup'!J:K,2)*G2098*(1-PlanterDiscount)*(1+PlanterDifficultyPercentage)),IF(AE2098="ELP",(VLOOKUP(A2098,'Discount Lookup'!J:K,2)*G2098*(1-PlanterDiscount)*(1+PlanterDifficultyPercentage)),IF(AE2098="free","re-planting",IF(G2098=0,"",IF(PlanterYesMe="",IF(AE2098="me","   not ELP, by",IF(AE2098="",IF(G2098&gt;0,(VLOOKUP(A2098,'Discount Lookup'!J:K,2)*G2098*(1-PlanterDiscount)*(1+PlanterDifficultyPercentage)),""),"")),"   not ELP, by"))))))))))))))</f>
        <v/>
      </c>
      <c r="AD2098" s="712"/>
      <c r="AE2098" s="513" t="str">
        <f t="shared" si="1486"/>
        <v/>
      </c>
      <c r="AF2098" s="713" t="str">
        <f t="shared" si="1487"/>
        <v/>
      </c>
      <c r="AG2098" s="713"/>
      <c r="AH2098" s="713"/>
      <c r="AI2098" s="112">
        <f>IF(H2098="credit",0,IF(AE2098="free",0,IF(AE2098="me",0,IF(G2098&gt;0,(VLOOKUP(A2098,'Discount Lookup'!J:K,2)*G2098),0))))</f>
        <v>0</v>
      </c>
      <c r="AJ2098" s="107" t="str">
        <f t="shared" ca="1" si="1488"/>
        <v/>
      </c>
      <c r="AK2098" s="714" t="str">
        <f t="shared" si="1489"/>
        <v/>
      </c>
      <c r="AL2098" s="714"/>
      <c r="AM2098" s="114" t="str">
        <f t="shared" si="1490"/>
        <v/>
      </c>
      <c r="AN2098" s="115"/>
      <c r="AO2098" s="116"/>
      <c r="AP2098" s="116"/>
      <c r="AQ2098" s="116"/>
      <c r="AR2098" s="116"/>
      <c r="AS2098" s="116"/>
      <c r="AT2098" s="116"/>
      <c r="AU2098" s="116"/>
      <c r="AV2098" s="78"/>
      <c r="AW2098" s="102"/>
      <c r="AX2098" s="78"/>
      <c r="AY2098" s="78"/>
      <c r="AZ2098" s="78"/>
      <c r="BA2098" s="78"/>
      <c r="BB2098" s="78"/>
      <c r="BC2098" s="78"/>
      <c r="BD2098" s="78"/>
      <c r="BE2098" s="465"/>
      <c r="BF2098" s="165" t="str">
        <f t="shared" si="1491"/>
        <v>https://www.google.com/search?tbm=isch&amp;q=Hypericum%20frondosum%20%27Sunburst%27%20Sunburst%20St.%20John%27s%20Wort</v>
      </c>
      <c r="BG2098" s="165" t="str">
        <f t="shared" si="1492"/>
        <v>H</v>
      </c>
      <c r="BH2098" s="65"/>
      <c r="BI2098" s="65"/>
      <c r="BJ2098" s="65"/>
      <c r="BK2098" s="65"/>
      <c r="BL2098" s="99"/>
      <c r="BM2098" s="99"/>
      <c r="BN2098" s="99"/>
    </row>
    <row r="2099" spans="1:66" s="51" customFormat="1" ht="27" x14ac:dyDescent="0.25">
      <c r="A2099" s="634">
        <v>3</v>
      </c>
      <c r="B2099" s="635" t="s">
        <v>291</v>
      </c>
      <c r="C2099" s="636" t="s">
        <v>2883</v>
      </c>
      <c r="D2099" s="637" t="s">
        <v>311</v>
      </c>
      <c r="E2099" s="638">
        <v>36.950000000000003</v>
      </c>
      <c r="F2099" s="639" t="s">
        <v>292</v>
      </c>
      <c r="G2099" s="484">
        <v>0</v>
      </c>
      <c r="H2099" s="691" t="str">
        <f>IF(G2099=0,"",IF(F2099="Buy",IF(G2099=1,"plant","plants"),IF(F2099&gt;0.01,"warranty","Error")))</f>
        <v/>
      </c>
      <c r="I2099" s="640">
        <f>IF(H2099="free",0,IF(H2099="credit",((E2099*(F2099))*G2099*-1),IF(F2099="Buy",(E2099*G2099),((E2099*(1-F2099))*G2099))))</f>
        <v>0</v>
      </c>
      <c r="J2099" s="640">
        <f>IF(H2099="warranty",0,(I2099*(_xlfn.SINGLE(SalesTaxPercentage))))</f>
        <v>0</v>
      </c>
      <c r="K2099" s="716">
        <f t="shared" ref="K2099" si="1506">I2099+J2099</f>
        <v>0</v>
      </c>
      <c r="L2099" s="716"/>
      <c r="M2099" s="689" t="str">
        <f ca="1">IF(AND(G2099&gt;0,E2099=0),"WARNING - no PRICE inserted",IF(H2099="free","FREE ~ no charge this plant",IF(H2099="credit",CONCATENATE("-$",ROUND(K2099*(1-_xlfn.SINGLE(T2GDiscount))*-1,2)," CREDIT after discount"),IF(_xlfn.SINGLE(T2GDiscount)=0,"",IF(G2099=0,"",IF(F2099="Buy",CONCATENATE("$",ROUND(K2099*(1-_xlfn.SINGLE(T2GDiscount)),2)," with ",(_xlfn.SINGLE(T2GDiscount)*100),"% discount"),CONCATENATE("$",ROUND(K2099*(1-_xlfn.SINGLE(T2GDiscount)),2)," with ",((_xlfn.SINGLE(T2GDiscount)*100+F2099*100)-(_xlfn.SINGLE(T2GDiscount)*100*F2099)),IF(F2099&gt;0,"% discounts",IF(_xlfn.SINGLE(NoWarrantyDiscount)&gt;0,"% discounts","% discount")))))))))</f>
        <v/>
      </c>
      <c r="N2099" s="690"/>
      <c r="O2099" s="486"/>
      <c r="P2099" s="486"/>
      <c r="Q2099" s="486"/>
      <c r="R2099" s="486"/>
      <c r="S2099" s="486"/>
      <c r="T2099" s="102">
        <f t="shared" si="1480"/>
        <v>0</v>
      </c>
      <c r="U2099" s="78">
        <f>IF(NOT(ISNUMBER(G2099)), "", VLOOKUP(A2099,'Discount Lookup'!D:E,2,FALSE)*G2099)</f>
        <v>0</v>
      </c>
      <c r="V2099" s="78">
        <f>IF(NOT(ISNUMBER(G2099)), "", VLOOKUP(A2099,'Discount Lookup'!G:H,2,FALSE)*G2099)</f>
        <v>0</v>
      </c>
      <c r="W2099" s="102">
        <f t="shared" si="1481"/>
        <v>0</v>
      </c>
      <c r="X2099" s="102">
        <f t="shared" si="1482"/>
        <v>0</v>
      </c>
      <c r="Y2099" s="120" t="b">
        <f t="shared" si="1483"/>
        <v>0</v>
      </c>
      <c r="Z2099" s="117">
        <f t="shared" si="1484"/>
        <v>0</v>
      </c>
      <c r="AA2099" s="118"/>
      <c r="AB2099" s="118" t="str">
        <f t="shared" si="1485"/>
        <v/>
      </c>
      <c r="AC2099" s="712" t="str">
        <f>IF(AE2099="T2G","no charge",IF(AND(OR(PlanterYesMe="No",PlanterYesMe="N",PlanterYesMe="me"),H2099=""),"",IF(H2099="credit","NO install",IF(AND(K2099="",AE2099="me"),"EACH row",IF(AND(K2099="images",AE2099="me"),"EACH row",IF(D2099="","",IF(H2099="credit","",IF(AE2099="free","re-planting",IF(AE2099="me","   not ELP, by",IF(AND(OR(PlanterYesMe="Yes",PlanterYesMe="Y"),G2099&gt;0),(VLOOKUP(A2099,'Discount Lookup'!J:K,2)*G2099*(1-PlanterDiscount)*(1+PlanterDifficultyPercentage)),IF(AE2099="ELP",(VLOOKUP(A2099,'Discount Lookup'!J:K,2)*G2099*(1-PlanterDiscount)*(1+PlanterDifficultyPercentage)),IF(AE2099="free","re-planting",IF(G2099=0,"",IF(PlanterYesMe="",IF(AE2099="me","   not ELP, by",IF(AE2099="",IF(G2099&gt;0,(VLOOKUP(A2099,'Discount Lookup'!J:K,2)*G2099*(1-PlanterDiscount)*(1+PlanterDifficultyPercentage)),""),"")),"   not ELP, by"))))))))))))))</f>
        <v/>
      </c>
      <c r="AD2099" s="712"/>
      <c r="AE2099" s="513" t="str">
        <f t="shared" si="1486"/>
        <v/>
      </c>
      <c r="AF2099" s="713" t="str">
        <f t="shared" si="1487"/>
        <v/>
      </c>
      <c r="AG2099" s="713"/>
      <c r="AH2099" s="713"/>
      <c r="AI2099" s="112">
        <f>IF(H2099="credit",0,IF(AE2099="free",0,IF(AE2099="me",0,IF(G2099&gt;0,(VLOOKUP(A2099,'Discount Lookup'!J:K,2)*G2099),0))))</f>
        <v>0</v>
      </c>
      <c r="AJ2099" s="107" t="str">
        <f t="shared" ca="1" si="1488"/>
        <v/>
      </c>
      <c r="AK2099" s="714" t="str">
        <f t="shared" si="1489"/>
        <v/>
      </c>
      <c r="AL2099" s="714"/>
      <c r="AM2099" s="114" t="str">
        <f t="shared" si="1490"/>
        <v/>
      </c>
      <c r="AN2099" s="115"/>
      <c r="AO2099" s="116"/>
      <c r="AP2099" s="116"/>
      <c r="AQ2099" s="116"/>
      <c r="AR2099" s="116"/>
      <c r="AS2099" s="116"/>
      <c r="AT2099" s="116"/>
      <c r="AU2099" s="116"/>
      <c r="AV2099" s="78"/>
      <c r="AW2099" s="102"/>
      <c r="AX2099" s="78"/>
      <c r="AY2099" s="78"/>
      <c r="AZ2099" s="78"/>
      <c r="BA2099" s="78"/>
      <c r="BB2099" s="78"/>
      <c r="BC2099" s="78"/>
      <c r="BD2099" s="78"/>
      <c r="BE2099" s="465"/>
      <c r="BF2099" s="165" t="str">
        <f t="shared" si="1491"/>
        <v>https://www.google.com/search?tbm=isch&amp;q=3%20G5</v>
      </c>
      <c r="BG2099" s="165" t="str">
        <f t="shared" si="1492"/>
        <v>H</v>
      </c>
      <c r="BH2099" s="65"/>
      <c r="BI2099" s="65"/>
      <c r="BJ2099" s="65"/>
      <c r="BK2099" s="65"/>
      <c r="BL2099" s="99"/>
      <c r="BM2099" s="99"/>
      <c r="BN2099" s="99"/>
    </row>
    <row r="2100" spans="1:66" s="51" customFormat="1" ht="17.25" thickBot="1" x14ac:dyDescent="0.3">
      <c r="A2100" s="641" t="s">
        <v>2884</v>
      </c>
      <c r="B2100" s="642"/>
      <c r="C2100" s="710"/>
      <c r="D2100" s="643"/>
      <c r="E2100" s="643"/>
      <c r="F2100" s="644"/>
      <c r="G2100" s="645"/>
      <c r="H2100" s="646"/>
      <c r="I2100" s="647"/>
      <c r="J2100" s="648"/>
      <c r="K2100" s="649"/>
      <c r="L2100" s="650"/>
      <c r="M2100" s="650"/>
      <c r="N2100" s="644"/>
      <c r="O2100" s="644"/>
      <c r="P2100" s="644"/>
      <c r="Q2100" s="644"/>
      <c r="R2100" s="644"/>
      <c r="S2100" s="651"/>
      <c r="T2100" s="102">
        <f t="shared" si="1480"/>
        <v>0</v>
      </c>
      <c r="U2100" s="78" t="str">
        <f>IF(NOT(ISNUMBER(G2100)), "", VLOOKUP(A2100,'Discount Lookup'!D:E,2,FALSE)*G2100)</f>
        <v/>
      </c>
      <c r="V2100" s="78" t="str">
        <f>IF(NOT(ISNUMBER(G2100)), "", VLOOKUP(A2100,'Discount Lookup'!G:H,2,FALSE)*G2100)</f>
        <v/>
      </c>
      <c r="W2100" s="102">
        <f t="shared" si="1481"/>
        <v>0</v>
      </c>
      <c r="X2100" s="102">
        <f t="shared" si="1482"/>
        <v>0</v>
      </c>
      <c r="Y2100" s="120" t="b">
        <f t="shared" si="1483"/>
        <v>0</v>
      </c>
      <c r="Z2100" s="117">
        <f t="shared" si="1484"/>
        <v>0</v>
      </c>
      <c r="AA2100" s="118"/>
      <c r="AB2100" s="118" t="str">
        <f t="shared" si="1485"/>
        <v/>
      </c>
      <c r="AC2100" s="712" t="str">
        <f>IF(AE2100="T2G","no charge",IF(AND(OR(PlanterYesMe="No",PlanterYesMe="N",PlanterYesMe="me"),H2100=""),"",IF(H2100="credit","NO install",IF(AND(K2100="",AE2100="me"),"EACH row",IF(AND(K2100="images",AE2100="me"),"EACH row",IF(D2100="","",IF(H2100="credit","",IF(AE2100="free","re-planting",IF(AE2100="me","   not ELP, by",IF(AND(OR(PlanterYesMe="Yes",PlanterYesMe="Y"),G2100&gt;0),(VLOOKUP(A2100,'Discount Lookup'!J:K,2)*G2100*(1-PlanterDiscount)*(1+PlanterDifficultyPercentage)),IF(AE2100="ELP",(VLOOKUP(A2100,'Discount Lookup'!J:K,2)*G2100*(1-PlanterDiscount)*(1+PlanterDifficultyPercentage)),IF(AE2100="free","re-planting",IF(G2100=0,"",IF(PlanterYesMe="",IF(AE2100="me","   not ELP, by",IF(AE2100="",IF(G2100&gt;0,(VLOOKUP(A2100,'Discount Lookup'!J:K,2)*G2100*(1-PlanterDiscount)*(1+PlanterDifficultyPercentage)),""),"")),"   not ELP, by"))))))))))))))</f>
        <v/>
      </c>
      <c r="AD2100" s="712"/>
      <c r="AE2100" s="513" t="str">
        <f t="shared" si="1486"/>
        <v/>
      </c>
      <c r="AF2100" s="713" t="str">
        <f t="shared" si="1487"/>
        <v/>
      </c>
      <c r="AG2100" s="713"/>
      <c r="AH2100" s="713"/>
      <c r="AI2100" s="112">
        <f>IF(H2100="credit",0,IF(AE2100="free",0,IF(AE2100="me",0,IF(G2100&gt;0,(VLOOKUP(A2100,'Discount Lookup'!J:K,2)*G2100),0))))</f>
        <v>0</v>
      </c>
      <c r="AJ2100" s="107" t="str">
        <f t="shared" ca="1" si="1488"/>
        <v/>
      </c>
      <c r="AK2100" s="714" t="str">
        <f t="shared" si="1489"/>
        <v/>
      </c>
      <c r="AL2100" s="714"/>
      <c r="AM2100" s="114" t="str">
        <f t="shared" si="1490"/>
        <v/>
      </c>
      <c r="AN2100" s="115"/>
      <c r="AO2100" s="116"/>
      <c r="AP2100" s="116"/>
      <c r="AQ2100" s="116"/>
      <c r="AR2100" s="116"/>
      <c r="AS2100" s="116"/>
      <c r="AT2100" s="116"/>
      <c r="AU2100" s="116"/>
      <c r="AV2100" s="78"/>
      <c r="AW2100" s="102"/>
      <c r="AX2100" s="78"/>
      <c r="AY2100" s="78"/>
      <c r="AZ2100" s="78"/>
      <c r="BA2100" s="78"/>
      <c r="BB2100" s="78"/>
      <c r="BC2100" s="78"/>
      <c r="BD2100" s="78"/>
      <c r="BE2100" s="465"/>
      <c r="BF2100" s="165" t="str">
        <f t="shared" si="1491"/>
        <v>https://www.google.com/search?tbm=isch&amp;q=Sunburst%27s%20large%20blooms%20look%20great%20against%20Blue-tinged%20Green%20foliage%20%26%20exfoliating%20Cinnamon-Brown%20bark%20</v>
      </c>
      <c r="BG2100" s="165" t="str">
        <f t="shared" si="1492"/>
        <v>S</v>
      </c>
      <c r="BH2100" s="65"/>
      <c r="BI2100" s="65"/>
      <c r="BJ2100" s="65"/>
      <c r="BK2100" s="65"/>
      <c r="BL2100" s="99"/>
      <c r="BM2100" s="99"/>
      <c r="BN2100" s="99"/>
    </row>
    <row r="2101" spans="1:66" s="51" customFormat="1" ht="18" x14ac:dyDescent="0.25">
      <c r="A2101" s="623" t="s">
        <v>2885</v>
      </c>
      <c r="B2101" s="624"/>
      <c r="C2101" s="709"/>
      <c r="D2101" s="625" t="s">
        <v>2886</v>
      </c>
      <c r="E2101" s="626"/>
      <c r="F2101" s="626"/>
      <c r="G2101" s="626"/>
      <c r="H2101" s="622" t="s">
        <v>1088</v>
      </c>
      <c r="I2101" s="627" t="s">
        <v>2471</v>
      </c>
      <c r="J2101" s="628"/>
      <c r="K2101" s="628"/>
      <c r="L2101" s="629"/>
      <c r="M2101" s="700" t="s">
        <v>5249</v>
      </c>
      <c r="N2101" s="693" t="str">
        <f>IF(AND(ISTEXT($A2101), ISERROR($A2101+0)), HYPERLINK($BF2101, "Images"), "")</f>
        <v>Images</v>
      </c>
      <c r="O2101" s="695" t="s">
        <v>5247</v>
      </c>
      <c r="P2101" s="630"/>
      <c r="Q2101" s="631"/>
      <c r="R2101" s="632"/>
      <c r="S2101" s="633"/>
      <c r="T2101" s="102">
        <f t="shared" si="1480"/>
        <v>0</v>
      </c>
      <c r="U2101" s="78" t="str">
        <f>IF(NOT(ISNUMBER(G2101)), "", VLOOKUP(A2101,'Discount Lookup'!D:E,2,FALSE)*G2101)</f>
        <v/>
      </c>
      <c r="V2101" s="78" t="str">
        <f>IF(NOT(ISNUMBER(G2101)), "", VLOOKUP(A2101,'Discount Lookup'!G:H,2,FALSE)*G2101)</f>
        <v/>
      </c>
      <c r="W2101" s="102">
        <f t="shared" si="1481"/>
        <v>0</v>
      </c>
      <c r="X2101" s="102" t="str">
        <f t="shared" si="1482"/>
        <v>Golden-Yellow bloom</v>
      </c>
      <c r="Y2101" s="120" t="b">
        <f t="shared" si="1483"/>
        <v>0</v>
      </c>
      <c r="Z2101" s="117">
        <f t="shared" si="1484"/>
        <v>0</v>
      </c>
      <c r="AA2101" s="118"/>
      <c r="AB2101" s="118" t="str">
        <f t="shared" si="1485"/>
        <v/>
      </c>
      <c r="AC2101" s="712" t="str">
        <f>IF(AE2101="T2G","no charge",IF(AND(OR(PlanterYesMe="No",PlanterYesMe="N",PlanterYesMe="me"),H2101=""),"",IF(H2101="credit","NO install",IF(AND(K2101="",AE2101="me"),"EACH row",IF(AND(K2101="images",AE2101="me"),"EACH row",IF(D2101="","",IF(H2101="credit","",IF(AE2101="free","re-planting",IF(AE2101="me","   not ELP, by",IF(AND(OR(PlanterYesMe="Yes",PlanterYesMe="Y"),G2101&gt;0),(VLOOKUP(A2101,'Discount Lookup'!J:K,2)*G2101*(1-PlanterDiscount)*(1+PlanterDifficultyPercentage)),IF(AE2101="ELP",(VLOOKUP(A2101,'Discount Lookup'!J:K,2)*G2101*(1-PlanterDiscount)*(1+PlanterDifficultyPercentage)),IF(AE2101="free","re-planting",IF(G2101=0,"",IF(PlanterYesMe="",IF(AE2101="me","   not ELP, by",IF(AE2101="",IF(G2101&gt;0,(VLOOKUP(A2101,'Discount Lookup'!J:K,2)*G2101*(1-PlanterDiscount)*(1+PlanterDifficultyPercentage)),""),"")),"   not ELP, by"))))))))))))))</f>
        <v/>
      </c>
      <c r="AD2101" s="712"/>
      <c r="AE2101" s="513" t="str">
        <f t="shared" si="1486"/>
        <v/>
      </c>
      <c r="AF2101" s="713" t="str">
        <f t="shared" si="1487"/>
        <v/>
      </c>
      <c r="AG2101" s="713"/>
      <c r="AH2101" s="713"/>
      <c r="AI2101" s="112">
        <f>IF(H2101="credit",0,IF(AE2101="free",0,IF(AE2101="me",0,IF(G2101&gt;0,(VLOOKUP(A2101,'Discount Lookup'!J:K,2)*G2101),0))))</f>
        <v>0</v>
      </c>
      <c r="AJ2101" s="107" t="str">
        <f t="shared" ca="1" si="1488"/>
        <v/>
      </c>
      <c r="AK2101" s="714" t="str">
        <f t="shared" si="1489"/>
        <v/>
      </c>
      <c r="AL2101" s="714"/>
      <c r="AM2101" s="114" t="str">
        <f t="shared" si="1490"/>
        <v/>
      </c>
      <c r="AN2101" s="115"/>
      <c r="AO2101" s="116"/>
      <c r="AP2101" s="116"/>
      <c r="AQ2101" s="116"/>
      <c r="AR2101" s="116"/>
      <c r="AS2101" s="116"/>
      <c r="AT2101" s="116"/>
      <c r="AU2101" s="116"/>
      <c r="AV2101" s="78"/>
      <c r="AW2101" s="102"/>
      <c r="AX2101" s="78"/>
      <c r="AY2101" s="78"/>
      <c r="AZ2101" s="78"/>
      <c r="BA2101" s="78"/>
      <c r="BB2101" s="78"/>
      <c r="BC2101" s="78"/>
      <c r="BD2101" s="78"/>
      <c r="BE2101" s="465"/>
      <c r="BF2101" s="165" t="str">
        <f t="shared" si="1491"/>
        <v>https://www.google.com/search?tbm=isch&amp;q=Hypericum%20patalum%20%27Sungold%27%20Sungold%20St.%20John%27s%20Wort</v>
      </c>
      <c r="BG2101" s="165" t="str">
        <f t="shared" si="1492"/>
        <v>H</v>
      </c>
      <c r="BH2101" s="65"/>
      <c r="BI2101" s="65"/>
      <c r="BJ2101" s="65"/>
      <c r="BK2101" s="65"/>
      <c r="BL2101" s="99"/>
      <c r="BM2101" s="99"/>
      <c r="BN2101" s="99"/>
    </row>
    <row r="2102" spans="1:66" s="51" customFormat="1" ht="15.75" x14ac:dyDescent="0.25">
      <c r="A2102" s="634">
        <v>3</v>
      </c>
      <c r="B2102" s="635" t="s">
        <v>291</v>
      </c>
      <c r="C2102" s="636"/>
      <c r="D2102" s="637" t="s">
        <v>310</v>
      </c>
      <c r="E2102" s="638">
        <v>25.95</v>
      </c>
      <c r="F2102" s="639" t="s">
        <v>292</v>
      </c>
      <c r="G2102" s="484">
        <v>0</v>
      </c>
      <c r="H2102" s="691" t="str">
        <f>IF(G2102=0,"",IF(F2102="Buy",IF(G2102=1,"plant","plants"),IF(F2102&gt;0.01,"warranty","Error")))</f>
        <v/>
      </c>
      <c r="I2102" s="640">
        <f>IF(H2102="free",0,IF(H2102="credit",((E2102*(F2102))*G2102*-1),IF(F2102="Buy",(E2102*G2102),((E2102*(1-F2102))*G2102))))</f>
        <v>0</v>
      </c>
      <c r="J2102" s="640">
        <f>IF(H2102="warranty",0,(I2102*(_xlfn.SINGLE(SalesTaxPercentage))))</f>
        <v>0</v>
      </c>
      <c r="K2102" s="716">
        <f t="shared" ref="K2102" si="1507">I2102+J2102</f>
        <v>0</v>
      </c>
      <c r="L2102" s="716"/>
      <c r="M2102" s="689" t="str">
        <f ca="1">IF(AND(G2102&gt;0,E2102=0),"WARNING - no PRICE inserted",IF(H2102="free","FREE ~ no charge this plant",IF(H2102="credit",CONCATENATE("-$",ROUND(K2102*(1-_xlfn.SINGLE(T2GDiscount))*-1,2)," CREDIT after discount"),IF(_xlfn.SINGLE(T2GDiscount)=0,"",IF(G2102=0,"",IF(F2102="Buy",CONCATENATE("$",ROUND(K2102*(1-_xlfn.SINGLE(T2GDiscount)),2)," with ",(_xlfn.SINGLE(T2GDiscount)*100),"% discount"),CONCATENATE("$",ROUND(K2102*(1-_xlfn.SINGLE(T2GDiscount)),2)," with ",((_xlfn.SINGLE(T2GDiscount)*100+F2102*100)-(_xlfn.SINGLE(T2GDiscount)*100*F2102)),IF(F2102&gt;0,"% discounts",IF(_xlfn.SINGLE(NoWarrantyDiscount)&gt;0,"% discounts","% discount")))))))))</f>
        <v/>
      </c>
      <c r="N2102" s="690"/>
      <c r="O2102" s="486"/>
      <c r="P2102" s="486"/>
      <c r="Q2102" s="486"/>
      <c r="R2102" s="486"/>
      <c r="S2102" s="486"/>
      <c r="T2102" s="102">
        <f t="shared" si="1480"/>
        <v>0</v>
      </c>
      <c r="U2102" s="78">
        <f>IF(NOT(ISNUMBER(G2102)), "", VLOOKUP(A2102,'Discount Lookup'!D:E,2,FALSE)*G2102)</f>
        <v>0</v>
      </c>
      <c r="V2102" s="78">
        <f>IF(NOT(ISNUMBER(G2102)), "", VLOOKUP(A2102,'Discount Lookup'!G:H,2,FALSE)*G2102)</f>
        <v>0</v>
      </c>
      <c r="W2102" s="102">
        <f t="shared" si="1481"/>
        <v>0</v>
      </c>
      <c r="X2102" s="102">
        <f t="shared" si="1482"/>
        <v>0</v>
      </c>
      <c r="Y2102" s="120" t="b">
        <f t="shared" si="1483"/>
        <v>0</v>
      </c>
      <c r="Z2102" s="117">
        <f t="shared" si="1484"/>
        <v>0</v>
      </c>
      <c r="AA2102" s="118"/>
      <c r="AB2102" s="118" t="str">
        <f t="shared" si="1485"/>
        <v/>
      </c>
      <c r="AC2102" s="712" t="str">
        <f>IF(AE2102="T2G","no charge",IF(AND(OR(PlanterYesMe="No",PlanterYesMe="N",PlanterYesMe="me"),H2102=""),"",IF(H2102="credit","NO install",IF(AND(K2102="",AE2102="me"),"EACH row",IF(AND(K2102="images",AE2102="me"),"EACH row",IF(D2102="","",IF(H2102="credit","",IF(AE2102="free","re-planting",IF(AE2102="me","   not ELP, by",IF(AND(OR(PlanterYesMe="Yes",PlanterYesMe="Y"),G2102&gt;0),(VLOOKUP(A2102,'Discount Lookup'!J:K,2)*G2102*(1-PlanterDiscount)*(1+PlanterDifficultyPercentage)),IF(AE2102="ELP",(VLOOKUP(A2102,'Discount Lookup'!J:K,2)*G2102*(1-PlanterDiscount)*(1+PlanterDifficultyPercentage)),IF(AE2102="free","re-planting",IF(G2102=0,"",IF(PlanterYesMe="",IF(AE2102="me","   not ELP, by",IF(AE2102="",IF(G2102&gt;0,(VLOOKUP(A2102,'Discount Lookup'!J:K,2)*G2102*(1-PlanterDiscount)*(1+PlanterDifficultyPercentage)),""),"")),"   not ELP, by"))))))))))))))</f>
        <v/>
      </c>
      <c r="AD2102" s="712"/>
      <c r="AE2102" s="513" t="str">
        <f t="shared" si="1486"/>
        <v/>
      </c>
      <c r="AF2102" s="713" t="str">
        <f t="shared" si="1487"/>
        <v/>
      </c>
      <c r="AG2102" s="713"/>
      <c r="AH2102" s="713"/>
      <c r="AI2102" s="112">
        <f>IF(H2102="credit",0,IF(AE2102="free",0,IF(AE2102="me",0,IF(G2102&gt;0,(VLOOKUP(A2102,'Discount Lookup'!J:K,2)*G2102),0))))</f>
        <v>0</v>
      </c>
      <c r="AJ2102" s="107" t="str">
        <f t="shared" ca="1" si="1488"/>
        <v/>
      </c>
      <c r="AK2102" s="714" t="str">
        <f t="shared" si="1489"/>
        <v/>
      </c>
      <c r="AL2102" s="714"/>
      <c r="AM2102" s="114" t="str">
        <f t="shared" si="1490"/>
        <v/>
      </c>
      <c r="AN2102" s="115"/>
      <c r="AO2102" s="116"/>
      <c r="AP2102" s="116"/>
      <c r="AQ2102" s="116"/>
      <c r="AR2102" s="116"/>
      <c r="AS2102" s="116"/>
      <c r="AT2102" s="116"/>
      <c r="AU2102" s="116"/>
      <c r="AV2102" s="78"/>
      <c r="AW2102" s="102"/>
      <c r="AX2102" s="78"/>
      <c r="AY2102" s="78"/>
      <c r="AZ2102" s="78"/>
      <c r="BA2102" s="78"/>
      <c r="BB2102" s="78"/>
      <c r="BC2102" s="78"/>
      <c r="BD2102" s="78"/>
      <c r="BE2102" s="465"/>
      <c r="BF2102" s="165" t="str">
        <f t="shared" si="1491"/>
        <v>https://www.google.com/search?tbm=isch&amp;q=3%20G1</v>
      </c>
      <c r="BG2102" s="165" t="str">
        <f t="shared" si="1492"/>
        <v>H</v>
      </c>
      <c r="BH2102" s="65"/>
      <c r="BI2102" s="65"/>
      <c r="BJ2102" s="65"/>
      <c r="BK2102" s="65"/>
      <c r="BL2102" s="99"/>
      <c r="BM2102" s="99"/>
      <c r="BN2102" s="99"/>
    </row>
    <row r="2103" spans="1:66" s="51" customFormat="1" ht="16.5" x14ac:dyDescent="0.25">
      <c r="A2103" s="641" t="s">
        <v>2887</v>
      </c>
      <c r="B2103" s="642"/>
      <c r="C2103" s="710"/>
      <c r="D2103" s="643"/>
      <c r="E2103" s="643"/>
      <c r="F2103" s="644"/>
      <c r="G2103" s="645"/>
      <c r="H2103" s="646"/>
      <c r="I2103" s="647"/>
      <c r="J2103" s="648"/>
      <c r="K2103" s="649"/>
      <c r="L2103" s="650"/>
      <c r="M2103" s="650"/>
      <c r="N2103" s="644"/>
      <c r="O2103" s="644"/>
      <c r="P2103" s="644"/>
      <c r="Q2103" s="644"/>
      <c r="R2103" s="644"/>
      <c r="S2103" s="651"/>
      <c r="T2103" s="102">
        <f t="shared" si="1480"/>
        <v>0</v>
      </c>
      <c r="U2103" s="78" t="str">
        <f>IF(NOT(ISNUMBER(G2103)), "", VLOOKUP(A2103,'Discount Lookup'!D:E,2,FALSE)*G2103)</f>
        <v/>
      </c>
      <c r="V2103" s="78" t="str">
        <f>IF(NOT(ISNUMBER(G2103)), "", VLOOKUP(A2103,'Discount Lookup'!G:H,2,FALSE)*G2103)</f>
        <v/>
      </c>
      <c r="W2103" s="102">
        <f t="shared" si="1481"/>
        <v>0</v>
      </c>
      <c r="X2103" s="102">
        <f t="shared" si="1482"/>
        <v>0</v>
      </c>
      <c r="Y2103" s="120" t="b">
        <f t="shared" si="1483"/>
        <v>0</v>
      </c>
      <c r="Z2103" s="117">
        <f t="shared" si="1484"/>
        <v>0</v>
      </c>
      <c r="AA2103" s="118"/>
      <c r="AB2103" s="118" t="str">
        <f t="shared" si="1485"/>
        <v/>
      </c>
      <c r="AC2103" s="712" t="str">
        <f>IF(AE2103="T2G","no charge",IF(AND(OR(PlanterYesMe="No",PlanterYesMe="N",PlanterYesMe="me"),H2103=""),"",IF(H2103="credit","NO install",IF(AND(K2103="",AE2103="me"),"EACH row",IF(AND(K2103="images",AE2103="me"),"EACH row",IF(D2103="","",IF(H2103="credit","",IF(AE2103="free","re-planting",IF(AE2103="me","   not ELP, by",IF(AND(OR(PlanterYesMe="Yes",PlanterYesMe="Y"),G2103&gt;0),(VLOOKUP(A2103,'Discount Lookup'!J:K,2)*G2103*(1-PlanterDiscount)*(1+PlanterDifficultyPercentage)),IF(AE2103="ELP",(VLOOKUP(A2103,'Discount Lookup'!J:K,2)*G2103*(1-PlanterDiscount)*(1+PlanterDifficultyPercentage)),IF(AE2103="free","re-planting",IF(G2103=0,"",IF(PlanterYesMe="",IF(AE2103="me","   not ELP, by",IF(AE2103="",IF(G2103&gt;0,(VLOOKUP(A2103,'Discount Lookup'!J:K,2)*G2103*(1-PlanterDiscount)*(1+PlanterDifficultyPercentage)),""),"")),"   not ELP, by"))))))))))))))</f>
        <v/>
      </c>
      <c r="AD2103" s="712"/>
      <c r="AE2103" s="513" t="str">
        <f t="shared" si="1486"/>
        <v/>
      </c>
      <c r="AF2103" s="713" t="str">
        <f t="shared" si="1487"/>
        <v/>
      </c>
      <c r="AG2103" s="713"/>
      <c r="AH2103" s="713"/>
      <c r="AI2103" s="112">
        <f>IF(H2103="credit",0,IF(AE2103="free",0,IF(AE2103="me",0,IF(G2103&gt;0,(VLOOKUP(A2103,'Discount Lookup'!J:K,2)*G2103),0))))</f>
        <v>0</v>
      </c>
      <c r="AJ2103" s="107" t="str">
        <f t="shared" ca="1" si="1488"/>
        <v/>
      </c>
      <c r="AK2103" s="714" t="str">
        <f t="shared" si="1489"/>
        <v/>
      </c>
      <c r="AL2103" s="714"/>
      <c r="AM2103" s="114" t="str">
        <f t="shared" si="1490"/>
        <v/>
      </c>
      <c r="AN2103" s="115"/>
      <c r="AO2103" s="116"/>
      <c r="AP2103" s="116"/>
      <c r="AQ2103" s="116"/>
      <c r="AR2103" s="116"/>
      <c r="AS2103" s="116"/>
      <c r="AT2103" s="116"/>
      <c r="AU2103" s="116"/>
      <c r="AV2103" s="78"/>
      <c r="AW2103" s="102"/>
      <c r="AX2103" s="78"/>
      <c r="AY2103" s="78"/>
      <c r="AZ2103" s="78"/>
      <c r="BA2103" s="78"/>
      <c r="BB2103" s="78"/>
      <c r="BC2103" s="78"/>
      <c r="BD2103" s="78"/>
      <c r="BE2103" s="465"/>
      <c r="BF2103" s="165" t="str">
        <f t="shared" si="1491"/>
        <v>https://www.google.com/search?tbm=isch&amp;q=Sungold%20has%20a%20profusion%20of%20flowers%20with%20prominent%20stamens%20that%20bloom%20over%20a%20long%20period%2C%20from%20summer%20into%20fall.%20Green%20foliage%20</v>
      </c>
      <c r="BG2103" s="165" t="str">
        <f t="shared" si="1492"/>
        <v>S</v>
      </c>
      <c r="BH2103" s="65"/>
      <c r="BI2103" s="65"/>
      <c r="BJ2103" s="65"/>
      <c r="BK2103" s="65"/>
      <c r="BL2103" s="99"/>
      <c r="BM2103" s="99"/>
      <c r="BN2103" s="99"/>
    </row>
    <row r="2104" spans="1:66" s="51" customFormat="1" ht="55.5" x14ac:dyDescent="0.25">
      <c r="A2104" s="520" t="s">
        <v>504</v>
      </c>
      <c r="B2104" s="501"/>
      <c r="C2104" s="502"/>
      <c r="D2104" s="502"/>
      <c r="E2104" s="502"/>
      <c r="F2104" s="502"/>
      <c r="G2104" s="502"/>
      <c r="H2104" s="502"/>
      <c r="I2104" s="502"/>
      <c r="J2104" s="502"/>
      <c r="K2104" s="509" t="s">
        <v>871</v>
      </c>
      <c r="L2104" s="503"/>
      <c r="M2104" s="563"/>
      <c r="N2104" s="504"/>
      <c r="O2104" s="504"/>
      <c r="P2104" s="504"/>
      <c r="Q2104" s="504"/>
      <c r="R2104" s="504"/>
      <c r="S2104" s="511" t="s">
        <v>1546</v>
      </c>
      <c r="T2104" s="102">
        <f t="shared" si="1480"/>
        <v>0</v>
      </c>
      <c r="U2104" s="78" t="str">
        <f>IF(NOT(ISNUMBER(G2104)), "", VLOOKUP(A2104,'Discount Lookup'!D:E,2,FALSE)*G2104)</f>
        <v/>
      </c>
      <c r="V2104" s="78" t="str">
        <f>IF(NOT(ISNUMBER(G2104)), "", VLOOKUP(A2104,'Discount Lookup'!G:H,2,FALSE)*G2104)</f>
        <v/>
      </c>
      <c r="W2104" s="102">
        <f t="shared" si="1481"/>
        <v>0</v>
      </c>
      <c r="X2104" s="102">
        <f t="shared" si="1482"/>
        <v>0</v>
      </c>
      <c r="Y2104" s="120" t="b">
        <f t="shared" si="1483"/>
        <v>0</v>
      </c>
      <c r="Z2104" s="117">
        <f t="shared" si="1484"/>
        <v>0</v>
      </c>
      <c r="AA2104" s="118"/>
      <c r="AB2104" s="118" t="str">
        <f t="shared" si="1485"/>
        <v/>
      </c>
      <c r="AC2104" s="712" t="str">
        <f>IF(AE2104="T2G","no charge",IF(AND(OR(PlanterYesMe="No",PlanterYesMe="N",PlanterYesMe="me"),H2104=""),"",IF(H2104="credit","NO install",IF(AND(K2104="",AE2104="me"),"EACH row",IF(AND(K2104="images",AE2104="me"),"EACH row",IF(D2104="","",IF(H2104="credit","",IF(AE2104="free","re-planting",IF(AE2104="me","   not ELP, by",IF(AND(OR(PlanterYesMe="Yes",PlanterYesMe="Y"),G2104&gt;0),(VLOOKUP(A2104,'Discount Lookup'!J:K,2)*G2104*(1-PlanterDiscount)*(1+PlanterDifficultyPercentage)),IF(AE2104="ELP",(VLOOKUP(A2104,'Discount Lookup'!J:K,2)*G2104*(1-PlanterDiscount)*(1+PlanterDifficultyPercentage)),IF(AE2104="free","re-planting",IF(G2104=0,"",IF(PlanterYesMe="",IF(AE2104="me","   not ELP, by",IF(AE2104="",IF(G2104&gt;0,(VLOOKUP(A2104,'Discount Lookup'!J:K,2)*G2104*(1-PlanterDiscount)*(1+PlanterDifficultyPercentage)),""),"")),"   not ELP, by"))))))))))))))</f>
        <v/>
      </c>
      <c r="AD2104" s="712"/>
      <c r="AE2104" s="513" t="str">
        <f t="shared" si="1486"/>
        <v/>
      </c>
      <c r="AF2104" s="713" t="str">
        <f t="shared" si="1487"/>
        <v/>
      </c>
      <c r="AG2104" s="713"/>
      <c r="AH2104" s="713"/>
      <c r="AI2104" s="112">
        <f>IF(H2104="credit",0,IF(AE2104="free",0,IF(AE2104="me",0,IF(G2104&gt;0,(VLOOKUP(A2104,'Discount Lookup'!J:K,2)*G2104),0))))</f>
        <v>0</v>
      </c>
      <c r="AJ2104" s="107" t="str">
        <f t="shared" ca="1" si="1488"/>
        <v/>
      </c>
      <c r="AK2104" s="714" t="str">
        <f t="shared" si="1489"/>
        <v/>
      </c>
      <c r="AL2104" s="714"/>
      <c r="AM2104" s="114" t="str">
        <f t="shared" si="1490"/>
        <v/>
      </c>
      <c r="AN2104" s="115"/>
      <c r="AO2104" s="116"/>
      <c r="AP2104" s="116"/>
      <c r="AQ2104" s="116"/>
      <c r="AR2104" s="116"/>
      <c r="AS2104" s="116"/>
      <c r="AT2104" s="116"/>
      <c r="AU2104" s="116"/>
      <c r="AV2104" s="78"/>
      <c r="AW2104" s="102"/>
      <c r="AX2104" s="78"/>
      <c r="AY2104" s="78"/>
      <c r="AZ2104" s="78"/>
      <c r="BA2104" s="78"/>
      <c r="BB2104" s="78"/>
      <c r="BC2104" s="78"/>
      <c r="BD2104" s="78"/>
      <c r="BE2104" s="465"/>
      <c r="BF2104" s="165" t="str">
        <f t="shared" si="1491"/>
        <v>https://www.google.com/search?tbm=isch&amp;q=I%20</v>
      </c>
      <c r="BG2104" s="165" t="str">
        <f t="shared" si="1492"/>
        <v>I</v>
      </c>
      <c r="BH2104" s="65"/>
      <c r="BI2104" s="65"/>
      <c r="BJ2104" s="65"/>
      <c r="BK2104" s="65"/>
      <c r="BL2104" s="99"/>
      <c r="BM2104" s="99"/>
      <c r="BN2104" s="99"/>
    </row>
    <row r="2105" spans="1:66" s="51" customFormat="1" ht="19.5" thickBot="1" x14ac:dyDescent="0.3">
      <c r="A2105" s="686" t="s">
        <v>505</v>
      </c>
      <c r="B2105" s="73"/>
      <c r="C2105" s="708"/>
      <c r="D2105" s="73"/>
      <c r="E2105" s="73"/>
      <c r="F2105" s="496"/>
      <c r="G2105" s="73"/>
      <c r="H2105" s="73"/>
      <c r="I2105" s="73"/>
      <c r="J2105" s="497" t="s">
        <v>357</v>
      </c>
      <c r="K2105" s="498"/>
      <c r="L2105" s="562"/>
      <c r="M2105" s="73"/>
      <c r="N2105"/>
      <c r="O2105"/>
      <c r="P2105"/>
      <c r="Q2105"/>
      <c r="R2105"/>
      <c r="S2105"/>
      <c r="T2105" s="102">
        <f t="shared" si="1480"/>
        <v>0</v>
      </c>
      <c r="U2105" s="78" t="str">
        <f>IF(NOT(ISNUMBER(G2105)), "", VLOOKUP(A2105,'Discount Lookup'!D:E,2,FALSE)*G2105)</f>
        <v/>
      </c>
      <c r="V2105" s="78" t="str">
        <f>IF(NOT(ISNUMBER(G2105)), "", VLOOKUP(A2105,'Discount Lookup'!G:H,2,FALSE)*G2105)</f>
        <v/>
      </c>
      <c r="W2105" s="102">
        <f t="shared" si="1481"/>
        <v>0</v>
      </c>
      <c r="X2105" s="102">
        <f t="shared" si="1482"/>
        <v>0</v>
      </c>
      <c r="Y2105" s="120" t="b">
        <f t="shared" si="1483"/>
        <v>0</v>
      </c>
      <c r="Z2105" s="117">
        <f t="shared" si="1484"/>
        <v>0</v>
      </c>
      <c r="AA2105" s="118"/>
      <c r="AB2105" s="118" t="str">
        <f t="shared" si="1485"/>
        <v/>
      </c>
      <c r="AC2105" s="712" t="str">
        <f>IF(AE2105="T2G","no charge",IF(AND(OR(PlanterYesMe="No",PlanterYesMe="N",PlanterYesMe="me"),H2105=""),"",IF(H2105="credit","NO install",IF(AND(K2105="",AE2105="me"),"EACH row",IF(AND(K2105="images",AE2105="me"),"EACH row",IF(D2105="","",IF(H2105="credit","",IF(AE2105="free","re-planting",IF(AE2105="me","   not ELP, by",IF(AND(OR(PlanterYesMe="Yes",PlanterYesMe="Y"),G2105&gt;0),(VLOOKUP(A2105,'Discount Lookup'!J:K,2)*G2105*(1-PlanterDiscount)*(1+PlanterDifficultyPercentage)),IF(AE2105="ELP",(VLOOKUP(A2105,'Discount Lookup'!J:K,2)*G2105*(1-PlanterDiscount)*(1+PlanterDifficultyPercentage)),IF(AE2105="free","re-planting",IF(G2105=0,"",IF(PlanterYesMe="",IF(AE2105="me","   not ELP, by",IF(AE2105="",IF(G2105&gt;0,(VLOOKUP(A2105,'Discount Lookup'!J:K,2)*G2105*(1-PlanterDiscount)*(1+PlanterDifficultyPercentage)),""),"")),"   not ELP, by"))))))))))))))</f>
        <v/>
      </c>
      <c r="AD2105" s="712"/>
      <c r="AE2105" s="513" t="str">
        <f t="shared" si="1486"/>
        <v/>
      </c>
      <c r="AF2105" s="713" t="str">
        <f t="shared" si="1487"/>
        <v/>
      </c>
      <c r="AG2105" s="713"/>
      <c r="AH2105" s="713"/>
      <c r="AI2105" s="112">
        <f>IF(H2105="credit",0,IF(AE2105="free",0,IF(AE2105="me",0,IF(G2105&gt;0,(VLOOKUP(A2105,'Discount Lookup'!J:K,2)*G2105),0))))</f>
        <v>0</v>
      </c>
      <c r="AJ2105" s="107" t="str">
        <f t="shared" ca="1" si="1488"/>
        <v/>
      </c>
      <c r="AK2105" s="714" t="str">
        <f t="shared" si="1489"/>
        <v/>
      </c>
      <c r="AL2105" s="714"/>
      <c r="AM2105" s="114" t="str">
        <f t="shared" si="1490"/>
        <v/>
      </c>
      <c r="AN2105" s="115"/>
      <c r="AO2105" s="116"/>
      <c r="AP2105" s="116"/>
      <c r="AQ2105" s="116"/>
      <c r="AR2105" s="116"/>
      <c r="AS2105" s="116"/>
      <c r="AT2105" s="116"/>
      <c r="AU2105" s="116"/>
      <c r="AV2105" s="78"/>
      <c r="AW2105" s="102"/>
      <c r="AX2105" s="78"/>
      <c r="AY2105" s="78"/>
      <c r="AZ2105" s="78"/>
      <c r="BA2105" s="78"/>
      <c r="BB2105" s="78"/>
      <c r="BC2105" s="78"/>
      <c r="BD2105" s="78"/>
      <c r="BE2105" s="465"/>
      <c r="BF2105" s="165" t="str">
        <f t="shared" si="1491"/>
        <v>https://www.google.com/search?tbm=isch&amp;q=Ilex%20%3D%20Holly%20</v>
      </c>
      <c r="BG2105" s="165" t="str">
        <f t="shared" si="1492"/>
        <v>I</v>
      </c>
      <c r="BH2105" s="65"/>
      <c r="BI2105" s="65"/>
      <c r="BJ2105" s="65"/>
      <c r="BK2105" s="65"/>
      <c r="BL2105" s="99"/>
      <c r="BM2105" s="99"/>
      <c r="BN2105" s="99"/>
    </row>
    <row r="2106" spans="1:66" s="51" customFormat="1" ht="18" x14ac:dyDescent="0.25">
      <c r="A2106" s="507" t="s">
        <v>2888</v>
      </c>
      <c r="B2106" s="470"/>
      <c r="C2106" s="706"/>
      <c r="D2106" s="471" t="s">
        <v>2889</v>
      </c>
      <c r="E2106" s="472"/>
      <c r="F2106" s="472"/>
      <c r="G2106" s="472"/>
      <c r="H2106" s="622" t="s">
        <v>2010</v>
      </c>
      <c r="I2106" s="473" t="s">
        <v>431</v>
      </c>
      <c r="J2106" s="472"/>
      <c r="K2106" s="472"/>
      <c r="L2106" s="561"/>
      <c r="M2106" s="698" t="s">
        <v>5246</v>
      </c>
      <c r="N2106" s="692" t="str">
        <f>IF(AND(ISTEXT($A2106), ISERROR($A2106+0)), HYPERLINK($BF2106, "Images"), "")</f>
        <v>Images</v>
      </c>
      <c r="O2106" s="694" t="s">
        <v>5244</v>
      </c>
      <c r="P2106" s="475"/>
      <c r="Q2106" s="476"/>
      <c r="R2106" s="476"/>
      <c r="S2106" s="477"/>
      <c r="T2106" s="102">
        <f t="shared" si="1480"/>
        <v>0</v>
      </c>
      <c r="U2106" s="78" t="str">
        <f>IF(NOT(ISNUMBER(G2106)), "", VLOOKUP(A2106,'Discount Lookup'!D:E,2,FALSE)*G2106)</f>
        <v/>
      </c>
      <c r="V2106" s="78" t="str">
        <f>IF(NOT(ISNUMBER(G2106)), "", VLOOKUP(A2106,'Discount Lookup'!G:H,2,FALSE)*G2106)</f>
        <v/>
      </c>
      <c r="W2106" s="102">
        <f t="shared" si="1481"/>
        <v>0</v>
      </c>
      <c r="X2106" s="102" t="str">
        <f t="shared" si="1482"/>
        <v>Dark Green foliage</v>
      </c>
      <c r="Y2106" s="120" t="b">
        <f t="shared" si="1483"/>
        <v>0</v>
      </c>
      <c r="Z2106" s="117">
        <f t="shared" si="1484"/>
        <v>0</v>
      </c>
      <c r="AA2106" s="118"/>
      <c r="AB2106" s="118" t="str">
        <f t="shared" si="1485"/>
        <v/>
      </c>
      <c r="AC2106" s="712" t="str">
        <f>IF(AE2106="T2G","no charge",IF(AND(OR(PlanterYesMe="No",PlanterYesMe="N",PlanterYesMe="me"),H2106=""),"",IF(H2106="credit","NO install",IF(AND(K2106="",AE2106="me"),"EACH row",IF(AND(K2106="images",AE2106="me"),"EACH row",IF(D2106="","",IF(H2106="credit","",IF(AE2106="free","re-planting",IF(AE2106="me","   not ELP, by",IF(AND(OR(PlanterYesMe="Yes",PlanterYesMe="Y"),G2106&gt;0),(VLOOKUP(A2106,'Discount Lookup'!J:K,2)*G2106*(1-PlanterDiscount)*(1+PlanterDifficultyPercentage)),IF(AE2106="ELP",(VLOOKUP(A2106,'Discount Lookup'!J:K,2)*G2106*(1-PlanterDiscount)*(1+PlanterDifficultyPercentage)),IF(AE2106="free","re-planting",IF(G2106=0,"",IF(PlanterYesMe="",IF(AE2106="me","   not ELP, by",IF(AE2106="",IF(G2106&gt;0,(VLOOKUP(A2106,'Discount Lookup'!J:K,2)*G2106*(1-PlanterDiscount)*(1+PlanterDifficultyPercentage)),""),"")),"   not ELP, by"))))))))))))))</f>
        <v/>
      </c>
      <c r="AD2106" s="712"/>
      <c r="AE2106" s="513" t="str">
        <f t="shared" si="1486"/>
        <v/>
      </c>
      <c r="AF2106" s="713" t="str">
        <f t="shared" si="1487"/>
        <v/>
      </c>
      <c r="AG2106" s="713"/>
      <c r="AH2106" s="713"/>
      <c r="AI2106" s="112">
        <f>IF(H2106="credit",0,IF(AE2106="free",0,IF(AE2106="me",0,IF(G2106&gt;0,(VLOOKUP(A2106,'Discount Lookup'!J:K,2)*G2106),0))))</f>
        <v>0</v>
      </c>
      <c r="AJ2106" s="107" t="str">
        <f t="shared" ca="1" si="1488"/>
        <v/>
      </c>
      <c r="AK2106" s="714" t="str">
        <f t="shared" si="1489"/>
        <v/>
      </c>
      <c r="AL2106" s="714"/>
      <c r="AM2106" s="114" t="str">
        <f t="shared" si="1490"/>
        <v/>
      </c>
      <c r="AN2106" s="115"/>
      <c r="AO2106" s="116"/>
      <c r="AP2106" s="116"/>
      <c r="AQ2106" s="116"/>
      <c r="AR2106" s="116"/>
      <c r="AS2106" s="116"/>
      <c r="AT2106" s="116"/>
      <c r="AU2106" s="116"/>
      <c r="AV2106" s="78"/>
      <c r="AW2106" s="102"/>
      <c r="AX2106" s="78"/>
      <c r="AY2106" s="78"/>
      <c r="AZ2106" s="78"/>
      <c r="BA2106" s="78"/>
      <c r="BB2106" s="78"/>
      <c r="BC2106" s="78"/>
      <c r="BD2106" s="78"/>
      <c r="BE2106" s="465"/>
      <c r="BF2106" s="165" t="str">
        <f t="shared" si="1491"/>
        <v>https://www.google.com/search?tbm=isch&amp;q=Ilex%20%27Cherry%20Bomb%27%20Cherry%20Bomb%20Holly</v>
      </c>
      <c r="BG2106" s="165" t="str">
        <f t="shared" si="1492"/>
        <v>I</v>
      </c>
      <c r="BH2106" s="65"/>
      <c r="BI2106" s="65"/>
      <c r="BJ2106" s="65"/>
      <c r="BK2106" s="65"/>
      <c r="BL2106" s="99"/>
      <c r="BM2106" s="99"/>
      <c r="BN2106" s="99"/>
    </row>
    <row r="2107" spans="1:66" s="51" customFormat="1" ht="15.75" x14ac:dyDescent="0.25">
      <c r="A2107" s="478">
        <v>7</v>
      </c>
      <c r="B2107" s="479" t="s">
        <v>291</v>
      </c>
      <c r="C2107" s="480" t="s">
        <v>2890</v>
      </c>
      <c r="D2107" s="481" t="s">
        <v>299</v>
      </c>
      <c r="E2107" s="482">
        <v>104.95</v>
      </c>
      <c r="F2107" s="483" t="s">
        <v>292</v>
      </c>
      <c r="G2107" s="484">
        <v>0</v>
      </c>
      <c r="H2107" s="688" t="str">
        <f>IF(G2107=0,"",IF(F2107="Buy",IF(G2107=1,"plant","plants"),IF(F2107&gt;0.01,"warranty","Error")))</f>
        <v/>
      </c>
      <c r="I2107" s="485">
        <f>IF(H2107="free",0,IF(H2107="credit",((E2107*(F2107))*G2107*-1),IF(F2107="Buy",(E2107*G2107),((E2107*(1-F2107))*G2107))))</f>
        <v>0</v>
      </c>
      <c r="J2107" s="485">
        <f>IF(H2107="warranty",0,(I2107*(_xlfn.SINGLE(SalesTaxPercentage))))</f>
        <v>0</v>
      </c>
      <c r="K2107" s="715">
        <f t="shared" ref="K2107" si="1508">I2107+J2107</f>
        <v>0</v>
      </c>
      <c r="L2107" s="715"/>
      <c r="M2107" s="689" t="str">
        <f ca="1">IF(AND(G2107&gt;0,E2107=0),"WARNING - no PRICE inserted",IF(H2107="free","FREE ~ no charge this plant",IF(H2107="credit",CONCATENATE("-$",ROUND(K2107*(1-_xlfn.SINGLE(T2GDiscount))*-1,2)," CREDIT after discount"),IF(_xlfn.SINGLE(T2GDiscount)=0,"",IF(G2107=0,"",IF(F2107="Buy",CONCATENATE("$",ROUND(K2107*(1-_xlfn.SINGLE(T2GDiscount)),2)," with ",(_xlfn.SINGLE(T2GDiscount)*100),"% discount"),CONCATENATE("$",ROUND(K2107*(1-_xlfn.SINGLE(T2GDiscount)),2)," with ",((_xlfn.SINGLE(T2GDiscount)*100+F2107*100)-(_xlfn.SINGLE(T2GDiscount)*100*F2107)),IF(F2107&gt;0,"% discounts",IF(_xlfn.SINGLE(NoWarrantyDiscount)&gt;0,"% discounts","% discount")))))))))</f>
        <v/>
      </c>
      <c r="N2107" s="690"/>
      <c r="O2107" s="486"/>
      <c r="P2107" s="486"/>
      <c r="Q2107" s="486"/>
      <c r="R2107" s="486"/>
      <c r="S2107" s="486"/>
      <c r="T2107" s="102">
        <f t="shared" si="1480"/>
        <v>0</v>
      </c>
      <c r="U2107" s="78">
        <f>IF(NOT(ISNUMBER(G2107)), "", VLOOKUP(A2107,'Discount Lookup'!D:E,2,FALSE)*G2107)</f>
        <v>0</v>
      </c>
      <c r="V2107" s="78">
        <f>IF(NOT(ISNUMBER(G2107)), "", VLOOKUP(A2107,'Discount Lookup'!G:H,2,FALSE)*G2107)</f>
        <v>0</v>
      </c>
      <c r="W2107" s="102">
        <f t="shared" si="1481"/>
        <v>0</v>
      </c>
      <c r="X2107" s="102">
        <f t="shared" si="1482"/>
        <v>0</v>
      </c>
      <c r="Y2107" s="120" t="b">
        <f t="shared" si="1483"/>
        <v>0</v>
      </c>
      <c r="Z2107" s="117">
        <f t="shared" si="1484"/>
        <v>0</v>
      </c>
      <c r="AA2107" s="118"/>
      <c r="AB2107" s="118" t="str">
        <f t="shared" si="1485"/>
        <v/>
      </c>
      <c r="AC2107" s="712" t="str">
        <f>IF(AE2107="T2G","no charge",IF(AND(OR(PlanterYesMe="No",PlanterYesMe="N",PlanterYesMe="me"),H2107=""),"",IF(H2107="credit","NO install",IF(AND(K2107="",AE2107="me"),"EACH row",IF(AND(K2107="images",AE2107="me"),"EACH row",IF(D2107="","",IF(H2107="credit","",IF(AE2107="free","re-planting",IF(AE2107="me","   not ELP, by",IF(AND(OR(PlanterYesMe="Yes",PlanterYesMe="Y"),G2107&gt;0),(VLOOKUP(A2107,'Discount Lookup'!J:K,2)*G2107*(1-PlanterDiscount)*(1+PlanterDifficultyPercentage)),IF(AE2107="ELP",(VLOOKUP(A2107,'Discount Lookup'!J:K,2)*G2107*(1-PlanterDiscount)*(1+PlanterDifficultyPercentage)),IF(AE2107="free","re-planting",IF(G2107=0,"",IF(PlanterYesMe="",IF(AE2107="me","   not ELP, by",IF(AE2107="",IF(G2107&gt;0,(VLOOKUP(A2107,'Discount Lookup'!J:K,2)*G2107*(1-PlanterDiscount)*(1+PlanterDifficultyPercentage)),""),"")),"   not ELP, by"))))))))))))))</f>
        <v/>
      </c>
      <c r="AD2107" s="712"/>
      <c r="AE2107" s="513" t="str">
        <f t="shared" si="1486"/>
        <v/>
      </c>
      <c r="AF2107" s="713" t="str">
        <f t="shared" si="1487"/>
        <v/>
      </c>
      <c r="AG2107" s="713"/>
      <c r="AH2107" s="713"/>
      <c r="AI2107" s="112">
        <f>IF(H2107="credit",0,IF(AE2107="free",0,IF(AE2107="me",0,IF(G2107&gt;0,(VLOOKUP(A2107,'Discount Lookup'!J:K,2)*G2107),0))))</f>
        <v>0</v>
      </c>
      <c r="AJ2107" s="107" t="str">
        <f t="shared" ca="1" si="1488"/>
        <v/>
      </c>
      <c r="AK2107" s="714" t="str">
        <f t="shared" si="1489"/>
        <v/>
      </c>
      <c r="AL2107" s="714"/>
      <c r="AM2107" s="114" t="str">
        <f t="shared" si="1490"/>
        <v/>
      </c>
      <c r="AN2107" s="115"/>
      <c r="AO2107" s="116"/>
      <c r="AP2107" s="116"/>
      <c r="AQ2107" s="116"/>
      <c r="AR2107" s="116"/>
      <c r="AS2107" s="116"/>
      <c r="AT2107" s="116"/>
      <c r="AU2107" s="116"/>
      <c r="AV2107" s="78"/>
      <c r="AW2107" s="102"/>
      <c r="AX2107" s="78"/>
      <c r="AY2107" s="78"/>
      <c r="AZ2107" s="78"/>
      <c r="BA2107" s="78"/>
      <c r="BB2107" s="78"/>
      <c r="BC2107" s="78"/>
      <c r="BD2107" s="78"/>
      <c r="BE2107" s="465"/>
      <c r="BF2107" s="165" t="str">
        <f t="shared" si="1491"/>
        <v>https://www.google.com/search?tbm=isch&amp;q=7%20G4</v>
      </c>
      <c r="BG2107" s="165" t="str">
        <f t="shared" si="1492"/>
        <v>I</v>
      </c>
      <c r="BH2107" s="65"/>
      <c r="BI2107" s="65"/>
      <c r="BJ2107" s="65"/>
      <c r="BK2107" s="65"/>
      <c r="BL2107" s="99"/>
      <c r="BM2107" s="99"/>
      <c r="BN2107" s="99"/>
    </row>
    <row r="2108" spans="1:66" s="51" customFormat="1" ht="27" x14ac:dyDescent="0.25">
      <c r="A2108" s="478">
        <v>15</v>
      </c>
      <c r="B2108" s="479" t="s">
        <v>291</v>
      </c>
      <c r="C2108" s="480" t="s">
        <v>2891</v>
      </c>
      <c r="D2108" s="481" t="s">
        <v>299</v>
      </c>
      <c r="E2108" s="482">
        <v>201.95</v>
      </c>
      <c r="F2108" s="483" t="s">
        <v>292</v>
      </c>
      <c r="G2108" s="484">
        <v>0</v>
      </c>
      <c r="H2108" s="688" t="str">
        <f>IF(G2108=0,"",IF(F2108="Buy",IF(G2108=1,"plant","plants"),IF(F2108&gt;0.01,"warranty","Error")))</f>
        <v/>
      </c>
      <c r="I2108" s="485">
        <f>IF(H2108="free",0,IF(H2108="credit",((E2108*(F2108))*G2108*-1),IF(F2108="Buy",(E2108*G2108),((E2108*(1-F2108))*G2108))))</f>
        <v>0</v>
      </c>
      <c r="J2108" s="485">
        <f>IF(H2108="warranty",0,(I2108*(_xlfn.SINGLE(SalesTaxPercentage))))</f>
        <v>0</v>
      </c>
      <c r="K2108" s="715">
        <f t="shared" ref="K2108" si="1509">I2108+J2108</f>
        <v>0</v>
      </c>
      <c r="L2108" s="715"/>
      <c r="M2108" s="689" t="str">
        <f ca="1">IF(AND(G2108&gt;0,E2108=0),"WARNING - no PRICE inserted",IF(H2108="free","FREE ~ no charge this plant",IF(H2108="credit",CONCATENATE("-$",ROUND(K2108*(1-_xlfn.SINGLE(T2GDiscount))*-1,2)," CREDIT after discount"),IF(_xlfn.SINGLE(T2GDiscount)=0,"",IF(G2108=0,"",IF(F2108="Buy",CONCATENATE("$",ROUND(K2108*(1-_xlfn.SINGLE(T2GDiscount)),2)," with ",(_xlfn.SINGLE(T2GDiscount)*100),"% discount"),CONCATENATE("$",ROUND(K2108*(1-_xlfn.SINGLE(T2GDiscount)),2)," with ",((_xlfn.SINGLE(T2GDiscount)*100+F2108*100)-(_xlfn.SINGLE(T2GDiscount)*100*F2108)),IF(F2108&gt;0,"% discounts",IF(_xlfn.SINGLE(NoWarrantyDiscount)&gt;0,"% discounts","% discount")))))))))</f>
        <v/>
      </c>
      <c r="N2108" s="690"/>
      <c r="O2108" s="486"/>
      <c r="P2108" s="486"/>
      <c r="Q2108" s="486"/>
      <c r="R2108" s="486"/>
      <c r="S2108" s="486"/>
      <c r="T2108" s="102">
        <f t="shared" si="1480"/>
        <v>0</v>
      </c>
      <c r="U2108" s="78">
        <f>IF(NOT(ISNUMBER(G2108)), "", VLOOKUP(A2108,'Discount Lookup'!D:E,2,FALSE)*G2108)</f>
        <v>0</v>
      </c>
      <c r="V2108" s="78">
        <f>IF(NOT(ISNUMBER(G2108)), "", VLOOKUP(A2108,'Discount Lookup'!G:H,2,FALSE)*G2108)</f>
        <v>0</v>
      </c>
      <c r="W2108" s="102">
        <f t="shared" si="1481"/>
        <v>0</v>
      </c>
      <c r="X2108" s="102">
        <f t="shared" si="1482"/>
        <v>0</v>
      </c>
      <c r="Y2108" s="120" t="b">
        <f t="shared" si="1483"/>
        <v>0</v>
      </c>
      <c r="Z2108" s="117">
        <f t="shared" si="1484"/>
        <v>0</v>
      </c>
      <c r="AA2108" s="118"/>
      <c r="AB2108" s="118" t="str">
        <f t="shared" si="1485"/>
        <v/>
      </c>
      <c r="AC2108" s="712" t="str">
        <f>IF(AE2108="T2G","no charge",IF(AND(OR(PlanterYesMe="No",PlanterYesMe="N",PlanterYesMe="me"),H2108=""),"",IF(H2108="credit","NO install",IF(AND(K2108="",AE2108="me"),"EACH row",IF(AND(K2108="images",AE2108="me"),"EACH row",IF(D2108="","",IF(H2108="credit","",IF(AE2108="free","re-planting",IF(AE2108="me","   not ELP, by",IF(AND(OR(PlanterYesMe="Yes",PlanterYesMe="Y"),G2108&gt;0),(VLOOKUP(A2108,'Discount Lookup'!J:K,2)*G2108*(1-PlanterDiscount)*(1+PlanterDifficultyPercentage)),IF(AE2108="ELP",(VLOOKUP(A2108,'Discount Lookup'!J:K,2)*G2108*(1-PlanterDiscount)*(1+PlanterDifficultyPercentage)),IF(AE2108="free","re-planting",IF(G2108=0,"",IF(PlanterYesMe="",IF(AE2108="me","   not ELP, by",IF(AE2108="",IF(G2108&gt;0,(VLOOKUP(A2108,'Discount Lookup'!J:K,2)*G2108*(1-PlanterDiscount)*(1+PlanterDifficultyPercentage)),""),"")),"   not ELP, by"))))))))))))))</f>
        <v/>
      </c>
      <c r="AD2108" s="712"/>
      <c r="AE2108" s="513" t="str">
        <f t="shared" si="1486"/>
        <v/>
      </c>
      <c r="AF2108" s="713" t="str">
        <f t="shared" si="1487"/>
        <v/>
      </c>
      <c r="AG2108" s="713"/>
      <c r="AH2108" s="713"/>
      <c r="AI2108" s="112">
        <f>IF(H2108="credit",0,IF(AE2108="free",0,IF(AE2108="me",0,IF(G2108&gt;0,(VLOOKUP(A2108,'Discount Lookup'!J:K,2)*G2108),0))))</f>
        <v>0</v>
      </c>
      <c r="AJ2108" s="107" t="str">
        <f t="shared" ca="1" si="1488"/>
        <v/>
      </c>
      <c r="AK2108" s="714" t="str">
        <f t="shared" si="1489"/>
        <v/>
      </c>
      <c r="AL2108" s="714"/>
      <c r="AM2108" s="114" t="str">
        <f t="shared" si="1490"/>
        <v/>
      </c>
      <c r="AN2108" s="115"/>
      <c r="AO2108" s="116"/>
      <c r="AP2108" s="116"/>
      <c r="AQ2108" s="116"/>
      <c r="AR2108" s="116"/>
      <c r="AS2108" s="116"/>
      <c r="AT2108" s="116"/>
      <c r="AU2108" s="116"/>
      <c r="AV2108" s="78"/>
      <c r="AW2108" s="102"/>
      <c r="AX2108" s="78"/>
      <c r="AY2108" s="78"/>
      <c r="AZ2108" s="78"/>
      <c r="BA2108" s="78"/>
      <c r="BB2108" s="78"/>
      <c r="BC2108" s="78"/>
      <c r="BD2108" s="78"/>
      <c r="BE2108" s="465"/>
      <c r="BF2108" s="165" t="str">
        <f t="shared" si="1491"/>
        <v>https://www.google.com/search?tbm=isch&amp;q=15%20G4</v>
      </c>
      <c r="BG2108" s="165" t="str">
        <f t="shared" si="1492"/>
        <v>I</v>
      </c>
      <c r="BH2108" s="65"/>
      <c r="BI2108" s="65"/>
      <c r="BJ2108" s="65"/>
      <c r="BK2108" s="65"/>
      <c r="BL2108" s="99"/>
      <c r="BM2108" s="99"/>
      <c r="BN2108" s="99"/>
    </row>
    <row r="2109" spans="1:66" s="51" customFormat="1" ht="27" x14ac:dyDescent="0.25">
      <c r="A2109" s="478">
        <v>25</v>
      </c>
      <c r="B2109" s="479" t="s">
        <v>291</v>
      </c>
      <c r="C2109" s="480" t="s">
        <v>2892</v>
      </c>
      <c r="D2109" s="481" t="s">
        <v>299</v>
      </c>
      <c r="E2109" s="482">
        <v>378.95</v>
      </c>
      <c r="F2109" s="483" t="s">
        <v>292</v>
      </c>
      <c r="G2109" s="484">
        <v>0</v>
      </c>
      <c r="H2109" s="688" t="str">
        <f>IF(G2109=0,"",IF(F2109="Buy",IF(G2109=1,"plant","plants"),IF(F2109&gt;0.01,"warranty","Error")))</f>
        <v/>
      </c>
      <c r="I2109" s="485">
        <f>IF(H2109="free",0,IF(H2109="credit",((E2109*(F2109))*G2109*-1),IF(F2109="Buy",(E2109*G2109),((E2109*(1-F2109))*G2109))))</f>
        <v>0</v>
      </c>
      <c r="J2109" s="485">
        <f>IF(H2109="warranty",0,(I2109*(_xlfn.SINGLE(SalesTaxPercentage))))</f>
        <v>0</v>
      </c>
      <c r="K2109" s="715">
        <f t="shared" ref="K2109" si="1510">I2109+J2109</f>
        <v>0</v>
      </c>
      <c r="L2109" s="715"/>
      <c r="M2109" s="689" t="str">
        <f ca="1">IF(AND(G2109&gt;0,E2109=0),"WARNING - no PRICE inserted",IF(H2109="free","FREE ~ no charge this plant",IF(H2109="credit",CONCATENATE("-$",ROUND(K2109*(1-_xlfn.SINGLE(T2GDiscount))*-1,2)," CREDIT after discount"),IF(_xlfn.SINGLE(T2GDiscount)=0,"",IF(G2109=0,"",IF(F2109="Buy",CONCATENATE("$",ROUND(K2109*(1-_xlfn.SINGLE(T2GDiscount)),2)," with ",(_xlfn.SINGLE(T2GDiscount)*100),"% discount"),CONCATENATE("$",ROUND(K2109*(1-_xlfn.SINGLE(T2GDiscount)),2)," with ",((_xlfn.SINGLE(T2GDiscount)*100+F2109*100)-(_xlfn.SINGLE(T2GDiscount)*100*F2109)),IF(F2109&gt;0,"% discounts",IF(_xlfn.SINGLE(NoWarrantyDiscount)&gt;0,"% discounts","% discount")))))))))</f>
        <v/>
      </c>
      <c r="N2109" s="690"/>
      <c r="O2109" s="486"/>
      <c r="P2109" s="486"/>
      <c r="Q2109" s="486"/>
      <c r="R2109" s="486"/>
      <c r="S2109" s="486"/>
      <c r="T2109" s="102">
        <f t="shared" si="1480"/>
        <v>0</v>
      </c>
      <c r="U2109" s="78">
        <f>IF(NOT(ISNUMBER(G2109)), "", VLOOKUP(A2109,'Discount Lookup'!D:E,2,FALSE)*G2109)</f>
        <v>0</v>
      </c>
      <c r="V2109" s="78">
        <f>IF(NOT(ISNUMBER(G2109)), "", VLOOKUP(A2109,'Discount Lookup'!G:H,2,FALSE)*G2109)</f>
        <v>0</v>
      </c>
      <c r="W2109" s="102">
        <f t="shared" si="1481"/>
        <v>0</v>
      </c>
      <c r="X2109" s="102">
        <f t="shared" si="1482"/>
        <v>0</v>
      </c>
      <c r="Y2109" s="120" t="b">
        <f t="shared" si="1483"/>
        <v>0</v>
      </c>
      <c r="Z2109" s="117">
        <f t="shared" si="1484"/>
        <v>0</v>
      </c>
      <c r="AA2109" s="118"/>
      <c r="AB2109" s="118" t="str">
        <f t="shared" si="1485"/>
        <v/>
      </c>
      <c r="AC2109" s="712" t="str">
        <f>IF(AE2109="T2G","no charge",IF(AND(OR(PlanterYesMe="No",PlanterYesMe="N",PlanterYesMe="me"),H2109=""),"",IF(H2109="credit","NO install",IF(AND(K2109="",AE2109="me"),"EACH row",IF(AND(K2109="images",AE2109="me"),"EACH row",IF(D2109="","",IF(H2109="credit","",IF(AE2109="free","re-planting",IF(AE2109="me","   not ELP, by",IF(AND(OR(PlanterYesMe="Yes",PlanterYesMe="Y"),G2109&gt;0),(VLOOKUP(A2109,'Discount Lookup'!J:K,2)*G2109*(1-PlanterDiscount)*(1+PlanterDifficultyPercentage)),IF(AE2109="ELP",(VLOOKUP(A2109,'Discount Lookup'!J:K,2)*G2109*(1-PlanterDiscount)*(1+PlanterDifficultyPercentage)),IF(AE2109="free","re-planting",IF(G2109=0,"",IF(PlanterYesMe="",IF(AE2109="me","   not ELP, by",IF(AE2109="",IF(G2109&gt;0,(VLOOKUP(A2109,'Discount Lookup'!J:K,2)*G2109*(1-PlanterDiscount)*(1+PlanterDifficultyPercentage)),""),"")),"   not ELP, by"))))))))))))))</f>
        <v/>
      </c>
      <c r="AD2109" s="712"/>
      <c r="AE2109" s="513" t="str">
        <f t="shared" si="1486"/>
        <v/>
      </c>
      <c r="AF2109" s="713" t="str">
        <f t="shared" si="1487"/>
        <v/>
      </c>
      <c r="AG2109" s="713"/>
      <c r="AH2109" s="713"/>
      <c r="AI2109" s="112">
        <f>IF(H2109="credit",0,IF(AE2109="free",0,IF(AE2109="me",0,IF(G2109&gt;0,(VLOOKUP(A2109,'Discount Lookup'!J:K,2)*G2109),0))))</f>
        <v>0</v>
      </c>
      <c r="AJ2109" s="107" t="str">
        <f t="shared" ca="1" si="1488"/>
        <v/>
      </c>
      <c r="AK2109" s="714" t="str">
        <f t="shared" si="1489"/>
        <v/>
      </c>
      <c r="AL2109" s="714"/>
      <c r="AM2109" s="114" t="str">
        <f t="shared" si="1490"/>
        <v/>
      </c>
      <c r="AN2109" s="115"/>
      <c r="AO2109" s="116"/>
      <c r="AP2109" s="116"/>
      <c r="AQ2109" s="116"/>
      <c r="AR2109" s="116"/>
      <c r="AS2109" s="116"/>
      <c r="AT2109" s="116"/>
      <c r="AU2109" s="116"/>
      <c r="AV2109" s="78"/>
      <c r="AW2109" s="102"/>
      <c r="AX2109" s="78"/>
      <c r="AY2109" s="78"/>
      <c r="AZ2109" s="78"/>
      <c r="BA2109" s="78"/>
      <c r="BB2109" s="78"/>
      <c r="BC2109" s="78"/>
      <c r="BD2109" s="78"/>
      <c r="BE2109" s="465"/>
      <c r="BF2109" s="165" t="str">
        <f t="shared" si="1491"/>
        <v>https://www.google.com/search?tbm=isch&amp;q=25%20G4</v>
      </c>
      <c r="BG2109" s="165" t="str">
        <f t="shared" si="1492"/>
        <v>I</v>
      </c>
      <c r="BH2109" s="65"/>
      <c r="BI2109" s="65"/>
      <c r="BJ2109" s="65"/>
      <c r="BK2109" s="65"/>
      <c r="BL2109" s="99"/>
      <c r="BM2109" s="99"/>
      <c r="BN2109" s="99"/>
    </row>
    <row r="2110" spans="1:66" s="51" customFormat="1" ht="17.25" thickBot="1" x14ac:dyDescent="0.3">
      <c r="A2110" s="508" t="s">
        <v>2893</v>
      </c>
      <c r="B2110" s="487"/>
      <c r="C2110" s="707"/>
      <c r="D2110" s="487"/>
      <c r="E2110" s="487"/>
      <c r="F2110" s="488"/>
      <c r="G2110" s="489"/>
      <c r="H2110" s="487"/>
      <c r="I2110" s="490"/>
      <c r="J2110" s="490"/>
      <c r="K2110" s="491"/>
      <c r="L2110" s="547"/>
      <c r="M2110" s="528"/>
      <c r="N2110" s="492"/>
      <c r="O2110" s="493"/>
      <c r="P2110" s="494"/>
      <c r="Q2110" s="492"/>
      <c r="R2110" s="492"/>
      <c r="S2110" s="699" t="s">
        <v>5288</v>
      </c>
      <c r="T2110" s="102">
        <f t="shared" si="1480"/>
        <v>0</v>
      </c>
      <c r="U2110" s="78" t="str">
        <f>IF(NOT(ISNUMBER(G2110)), "", VLOOKUP(A2110,'Discount Lookup'!D:E,2,FALSE)*G2110)</f>
        <v/>
      </c>
      <c r="V2110" s="78" t="str">
        <f>IF(NOT(ISNUMBER(G2110)), "", VLOOKUP(A2110,'Discount Lookup'!G:H,2,FALSE)*G2110)</f>
        <v/>
      </c>
      <c r="W2110" s="102">
        <f t="shared" si="1481"/>
        <v>0</v>
      </c>
      <c r="X2110" s="102">
        <f t="shared" si="1482"/>
        <v>0</v>
      </c>
      <c r="Y2110" s="120" t="b">
        <f t="shared" si="1483"/>
        <v>0</v>
      </c>
      <c r="Z2110" s="117">
        <f t="shared" si="1484"/>
        <v>0</v>
      </c>
      <c r="AA2110" s="118"/>
      <c r="AB2110" s="118" t="str">
        <f t="shared" si="1485"/>
        <v/>
      </c>
      <c r="AC2110" s="712" t="str">
        <f>IF(AE2110="T2G","no charge",IF(AND(OR(PlanterYesMe="No",PlanterYesMe="N",PlanterYesMe="me"),H2110=""),"",IF(H2110="credit","NO install",IF(AND(K2110="",AE2110="me"),"EACH row",IF(AND(K2110="images",AE2110="me"),"EACH row",IF(D2110="","",IF(H2110="credit","",IF(AE2110="free","re-planting",IF(AE2110="me","   not ELP, by",IF(AND(OR(PlanterYesMe="Yes",PlanterYesMe="Y"),G2110&gt;0),(VLOOKUP(A2110,'Discount Lookup'!J:K,2)*G2110*(1-PlanterDiscount)*(1+PlanterDifficultyPercentage)),IF(AE2110="ELP",(VLOOKUP(A2110,'Discount Lookup'!J:K,2)*G2110*(1-PlanterDiscount)*(1+PlanterDifficultyPercentage)),IF(AE2110="free","re-planting",IF(G2110=0,"",IF(PlanterYesMe="",IF(AE2110="me","   not ELP, by",IF(AE2110="",IF(G2110&gt;0,(VLOOKUP(A2110,'Discount Lookup'!J:K,2)*G2110*(1-PlanterDiscount)*(1+PlanterDifficultyPercentage)),""),"")),"   not ELP, by"))))))))))))))</f>
        <v/>
      </c>
      <c r="AD2110" s="712"/>
      <c r="AE2110" s="513" t="str">
        <f t="shared" si="1486"/>
        <v/>
      </c>
      <c r="AF2110" s="713" t="str">
        <f t="shared" si="1487"/>
        <v/>
      </c>
      <c r="AG2110" s="713"/>
      <c r="AH2110" s="713"/>
      <c r="AI2110" s="112">
        <f>IF(H2110="credit",0,IF(AE2110="free",0,IF(AE2110="me",0,IF(G2110&gt;0,(VLOOKUP(A2110,'Discount Lookup'!J:K,2)*G2110),0))))</f>
        <v>0</v>
      </c>
      <c r="AJ2110" s="107" t="str">
        <f t="shared" ca="1" si="1488"/>
        <v/>
      </c>
      <c r="AK2110" s="714" t="str">
        <f t="shared" si="1489"/>
        <v/>
      </c>
      <c r="AL2110" s="714"/>
      <c r="AM2110" s="114" t="str">
        <f t="shared" si="1490"/>
        <v/>
      </c>
      <c r="AN2110" s="115"/>
      <c r="AO2110" s="116"/>
      <c r="AP2110" s="116"/>
      <c r="AQ2110" s="116"/>
      <c r="AR2110" s="116"/>
      <c r="AS2110" s="116"/>
      <c r="AT2110" s="116"/>
      <c r="AU2110" s="116"/>
      <c r="AV2110" s="78"/>
      <c r="AW2110" s="102"/>
      <c r="AX2110" s="78"/>
      <c r="AY2110" s="78"/>
      <c r="AZ2110" s="78"/>
      <c r="BA2110" s="78"/>
      <c r="BB2110" s="78"/>
      <c r="BC2110" s="78"/>
      <c r="BD2110" s="78"/>
      <c r="BE2110" s="465"/>
      <c r="BF2110" s="165" t="str">
        <f t="shared" si="1491"/>
        <v>https://www.google.com/search?tbm=isch&amp;q=Cherry%20Bomb%20best%20if%20kept%20pruned%20to%20about%205%27%20tall.%20Abundant%20Red%20berries%20from%20fall%20through%20spring%20</v>
      </c>
      <c r="BG2110" s="165" t="str">
        <f t="shared" si="1492"/>
        <v>C</v>
      </c>
      <c r="BH2110" s="65"/>
      <c r="BI2110" s="65"/>
      <c r="BJ2110" s="65"/>
      <c r="BK2110" s="65"/>
      <c r="BL2110" s="99"/>
      <c r="BM2110" s="99"/>
      <c r="BN2110" s="99"/>
    </row>
    <row r="2111" spans="1:66" s="51" customFormat="1" ht="18" x14ac:dyDescent="0.25">
      <c r="A2111" s="507" t="s">
        <v>506</v>
      </c>
      <c r="B2111" s="470"/>
      <c r="C2111" s="706"/>
      <c r="D2111" s="471" t="s">
        <v>5706</v>
      </c>
      <c r="E2111" s="472"/>
      <c r="F2111" s="472"/>
      <c r="G2111" s="472"/>
      <c r="H2111" s="622" t="s">
        <v>326</v>
      </c>
      <c r="I2111" s="473" t="s">
        <v>431</v>
      </c>
      <c r="J2111" s="472"/>
      <c r="K2111" s="472"/>
      <c r="L2111" s="561"/>
      <c r="M2111" s="698" t="s">
        <v>5246</v>
      </c>
      <c r="N2111" s="692" t="str">
        <f>IF(AND(ISTEXT($A2111), ISERROR($A2111+0)), HYPERLINK($BF2111, "Images"), "")</f>
        <v>Images</v>
      </c>
      <c r="O2111" s="694" t="s">
        <v>5289</v>
      </c>
      <c r="P2111" s="475"/>
      <c r="Q2111" s="476"/>
      <c r="R2111" s="476"/>
      <c r="S2111" s="477"/>
      <c r="T2111" s="102">
        <f t="shared" si="1480"/>
        <v>0</v>
      </c>
      <c r="U2111" s="78" t="str">
        <f>IF(NOT(ISNUMBER(G2111)), "", VLOOKUP(A2111,'Discount Lookup'!D:E,2,FALSE)*G2111)</f>
        <v/>
      </c>
      <c r="V2111" s="78" t="str">
        <f>IF(NOT(ISNUMBER(G2111)), "", VLOOKUP(A2111,'Discount Lookup'!G:H,2,FALSE)*G2111)</f>
        <v/>
      </c>
      <c r="W2111" s="102">
        <f t="shared" si="1481"/>
        <v>0</v>
      </c>
      <c r="X2111" s="102" t="str">
        <f t="shared" si="1482"/>
        <v>Dark Green foliage</v>
      </c>
      <c r="Y2111" s="120" t="b">
        <f t="shared" si="1483"/>
        <v>0</v>
      </c>
      <c r="Z2111" s="117">
        <f t="shared" si="1484"/>
        <v>0</v>
      </c>
      <c r="AA2111" s="118"/>
      <c r="AB2111" s="118" t="str">
        <f t="shared" si="1485"/>
        <v/>
      </c>
      <c r="AC2111" s="712" t="str">
        <f>IF(AE2111="T2G","no charge",IF(AND(OR(PlanterYesMe="No",PlanterYesMe="N",PlanterYesMe="me"),H2111=""),"",IF(H2111="credit","NO install",IF(AND(K2111="",AE2111="me"),"EACH row",IF(AND(K2111="images",AE2111="me"),"EACH row",IF(D2111="","",IF(H2111="credit","",IF(AE2111="free","re-planting",IF(AE2111="me","   not ELP, by",IF(AND(OR(PlanterYesMe="Yes",PlanterYesMe="Y"),G2111&gt;0),(VLOOKUP(A2111,'Discount Lookup'!J:K,2)*G2111*(1-PlanterDiscount)*(1+PlanterDifficultyPercentage)),IF(AE2111="ELP",(VLOOKUP(A2111,'Discount Lookup'!J:K,2)*G2111*(1-PlanterDiscount)*(1+PlanterDifficultyPercentage)),IF(AE2111="free","re-planting",IF(G2111=0,"",IF(PlanterYesMe="",IF(AE2111="me","   not ELP, by",IF(AE2111="",IF(G2111&gt;0,(VLOOKUP(A2111,'Discount Lookup'!J:K,2)*G2111*(1-PlanterDiscount)*(1+PlanterDifficultyPercentage)),""),"")),"   not ELP, by"))))))))))))))</f>
        <v/>
      </c>
      <c r="AD2111" s="712"/>
      <c r="AE2111" s="513" t="str">
        <f t="shared" si="1486"/>
        <v/>
      </c>
      <c r="AF2111" s="713" t="str">
        <f t="shared" si="1487"/>
        <v/>
      </c>
      <c r="AG2111" s="713"/>
      <c r="AH2111" s="713"/>
      <c r="AI2111" s="112">
        <f>IF(H2111="credit",0,IF(AE2111="free",0,IF(AE2111="me",0,IF(G2111&gt;0,(VLOOKUP(A2111,'Discount Lookup'!J:K,2)*G2111),0))))</f>
        <v>0</v>
      </c>
      <c r="AJ2111" s="107" t="str">
        <f t="shared" ca="1" si="1488"/>
        <v/>
      </c>
      <c r="AK2111" s="714" t="str">
        <f t="shared" si="1489"/>
        <v/>
      </c>
      <c r="AL2111" s="714"/>
      <c r="AM2111" s="114" t="str">
        <f t="shared" si="1490"/>
        <v/>
      </c>
      <c r="AN2111" s="115"/>
      <c r="AO2111" s="116"/>
      <c r="AP2111" s="116"/>
      <c r="AQ2111" s="116"/>
      <c r="AR2111" s="116"/>
      <c r="AS2111" s="116"/>
      <c r="AT2111" s="116"/>
      <c r="AU2111" s="116"/>
      <c r="AV2111" s="78"/>
      <c r="AW2111" s="102"/>
      <c r="AX2111" s="78"/>
      <c r="AY2111" s="78"/>
      <c r="AZ2111" s="78"/>
      <c r="BA2111" s="78"/>
      <c r="BB2111" s="78"/>
      <c r="BC2111" s="78"/>
      <c r="BD2111" s="78"/>
      <c r="BE2111" s="465"/>
      <c r="BF2111" s="165" t="str">
        <f t="shared" si="1491"/>
        <v>https://www.google.com/search?tbm=isch&amp;q=Ilex%20%27Conaf%27%20PP%239487Exp.%20Oak%20Leaf%E2%84%A2%20Holly</v>
      </c>
      <c r="BG2111" s="165" t="str">
        <f t="shared" si="1492"/>
        <v>I</v>
      </c>
      <c r="BH2111" s="65"/>
      <c r="BI2111" s="65"/>
      <c r="BJ2111" s="65"/>
      <c r="BK2111" s="65"/>
      <c r="BL2111" s="99"/>
      <c r="BM2111" s="99"/>
      <c r="BN2111" s="99"/>
    </row>
    <row r="2112" spans="1:66" s="51" customFormat="1" ht="15.75" x14ac:dyDescent="0.25">
      <c r="A2112" s="478">
        <v>15</v>
      </c>
      <c r="B2112" s="479" t="s">
        <v>291</v>
      </c>
      <c r="C2112" s="480" t="s">
        <v>507</v>
      </c>
      <c r="D2112" s="481" t="s">
        <v>309</v>
      </c>
      <c r="E2112" s="482">
        <v>155.94999999999999</v>
      </c>
      <c r="F2112" s="483" t="s">
        <v>292</v>
      </c>
      <c r="G2112" s="484">
        <v>0</v>
      </c>
      <c r="H2112" s="688" t="str">
        <f>IF(G2112=0,"",IF(F2112="Buy",IF(G2112=1,"plant","plants"),IF(F2112&gt;0.01,"warranty","Error")))</f>
        <v/>
      </c>
      <c r="I2112" s="485">
        <f>IF(H2112="free",0,IF(H2112="credit",((E2112*(F2112))*G2112*-1),IF(F2112="Buy",(E2112*G2112),((E2112*(1-F2112))*G2112))))</f>
        <v>0</v>
      </c>
      <c r="J2112" s="485">
        <f>IF(H2112="warranty",0,(I2112*(_xlfn.SINGLE(SalesTaxPercentage))))</f>
        <v>0</v>
      </c>
      <c r="K2112" s="715">
        <f t="shared" ref="K2112" si="1511">I2112+J2112</f>
        <v>0</v>
      </c>
      <c r="L2112" s="715"/>
      <c r="M2112" s="689" t="str">
        <f ca="1">IF(AND(G2112&gt;0,E2112=0),"WARNING - no PRICE inserted",IF(H2112="free","FREE ~ no charge this plant",IF(H2112="credit",CONCATENATE("-$",ROUND(K2112*(1-_xlfn.SINGLE(T2GDiscount))*-1,2)," CREDIT after discount"),IF(_xlfn.SINGLE(T2GDiscount)=0,"",IF(G2112=0,"",IF(F2112="Buy",CONCATENATE("$",ROUND(K2112*(1-_xlfn.SINGLE(T2GDiscount)),2)," with ",(_xlfn.SINGLE(T2GDiscount)*100),"% discount"),CONCATENATE("$",ROUND(K2112*(1-_xlfn.SINGLE(T2GDiscount)),2)," with ",((_xlfn.SINGLE(T2GDiscount)*100+F2112*100)-(_xlfn.SINGLE(T2GDiscount)*100*F2112)),IF(F2112&gt;0,"% discounts",IF(_xlfn.SINGLE(NoWarrantyDiscount)&gt;0,"% discounts","% discount")))))))))</f>
        <v/>
      </c>
      <c r="N2112" s="690"/>
      <c r="O2112" s="486"/>
      <c r="P2112" s="486"/>
      <c r="Q2112" s="486"/>
      <c r="R2112" s="486"/>
      <c r="S2112" s="486"/>
      <c r="T2112" s="102">
        <f t="shared" si="1480"/>
        <v>0</v>
      </c>
      <c r="U2112" s="78">
        <f>IF(NOT(ISNUMBER(G2112)), "", VLOOKUP(A2112,'Discount Lookup'!D:E,2,FALSE)*G2112)</f>
        <v>0</v>
      </c>
      <c r="V2112" s="78">
        <f>IF(NOT(ISNUMBER(G2112)), "", VLOOKUP(A2112,'Discount Lookup'!G:H,2,FALSE)*G2112)</f>
        <v>0</v>
      </c>
      <c r="W2112" s="102">
        <f t="shared" si="1481"/>
        <v>0</v>
      </c>
      <c r="X2112" s="102">
        <f t="shared" si="1482"/>
        <v>0</v>
      </c>
      <c r="Y2112" s="120" t="b">
        <f t="shared" si="1483"/>
        <v>0</v>
      </c>
      <c r="Z2112" s="117">
        <f t="shared" si="1484"/>
        <v>0</v>
      </c>
      <c r="AA2112" s="118"/>
      <c r="AB2112" s="118" t="str">
        <f t="shared" si="1485"/>
        <v/>
      </c>
      <c r="AC2112" s="712" t="str">
        <f>IF(AE2112="T2G","no charge",IF(AND(OR(PlanterYesMe="No",PlanterYesMe="N",PlanterYesMe="me"),H2112=""),"",IF(H2112="credit","NO install",IF(AND(K2112="",AE2112="me"),"EACH row",IF(AND(K2112="images",AE2112="me"),"EACH row",IF(D2112="","",IF(H2112="credit","",IF(AE2112="free","re-planting",IF(AE2112="me","   not ELP, by",IF(AND(OR(PlanterYesMe="Yes",PlanterYesMe="Y"),G2112&gt;0),(VLOOKUP(A2112,'Discount Lookup'!J:K,2)*G2112*(1-PlanterDiscount)*(1+PlanterDifficultyPercentage)),IF(AE2112="ELP",(VLOOKUP(A2112,'Discount Lookup'!J:K,2)*G2112*(1-PlanterDiscount)*(1+PlanterDifficultyPercentage)),IF(AE2112="free","re-planting",IF(G2112=0,"",IF(PlanterYesMe="",IF(AE2112="me","   not ELP, by",IF(AE2112="",IF(G2112&gt;0,(VLOOKUP(A2112,'Discount Lookup'!J:K,2)*G2112*(1-PlanterDiscount)*(1+PlanterDifficultyPercentage)),""),"")),"   not ELP, by"))))))))))))))</f>
        <v/>
      </c>
      <c r="AD2112" s="712"/>
      <c r="AE2112" s="513" t="str">
        <f t="shared" si="1486"/>
        <v/>
      </c>
      <c r="AF2112" s="713" t="str">
        <f t="shared" si="1487"/>
        <v/>
      </c>
      <c r="AG2112" s="713"/>
      <c r="AH2112" s="713"/>
      <c r="AI2112" s="112">
        <f>IF(H2112="credit",0,IF(AE2112="free",0,IF(AE2112="me",0,IF(G2112&gt;0,(VLOOKUP(A2112,'Discount Lookup'!J:K,2)*G2112),0))))</f>
        <v>0</v>
      </c>
      <c r="AJ2112" s="107" t="str">
        <f t="shared" ca="1" si="1488"/>
        <v/>
      </c>
      <c r="AK2112" s="714" t="str">
        <f t="shared" si="1489"/>
        <v/>
      </c>
      <c r="AL2112" s="714"/>
      <c r="AM2112" s="114" t="str">
        <f t="shared" si="1490"/>
        <v/>
      </c>
      <c r="AN2112" s="115"/>
      <c r="AO2112" s="116"/>
      <c r="AP2112" s="116"/>
      <c r="AQ2112" s="116"/>
      <c r="AR2112" s="116"/>
      <c r="AS2112" s="116"/>
      <c r="AT2112" s="116"/>
      <c r="AU2112" s="116"/>
      <c r="AV2112" s="78"/>
      <c r="AW2112" s="102"/>
      <c r="AX2112" s="78"/>
      <c r="AY2112" s="78"/>
      <c r="AZ2112" s="78"/>
      <c r="BA2112" s="78"/>
      <c r="BB2112" s="78"/>
      <c r="BC2112" s="78"/>
      <c r="BD2112" s="78"/>
      <c r="BE2112" s="465"/>
      <c r="BF2112" s="165" t="str">
        <f t="shared" si="1491"/>
        <v>https://www.google.com/search?tbm=isch&amp;q=15%20G3</v>
      </c>
      <c r="BG2112" s="165" t="str">
        <f t="shared" si="1492"/>
        <v>I</v>
      </c>
      <c r="BH2112" s="65"/>
      <c r="BI2112" s="65"/>
      <c r="BJ2112" s="65"/>
      <c r="BK2112" s="65"/>
      <c r="BL2112" s="99"/>
      <c r="BM2112" s="99"/>
      <c r="BN2112" s="99"/>
    </row>
    <row r="2113" spans="1:66" s="51" customFormat="1" ht="15.75" x14ac:dyDescent="0.25">
      <c r="A2113" s="478">
        <v>65</v>
      </c>
      <c r="B2113" s="479" t="s">
        <v>291</v>
      </c>
      <c r="C2113" s="480" t="s">
        <v>949</v>
      </c>
      <c r="D2113" s="481" t="s">
        <v>299</v>
      </c>
      <c r="E2113" s="482">
        <v>858.95</v>
      </c>
      <c r="F2113" s="483" t="s">
        <v>292</v>
      </c>
      <c r="G2113" s="484">
        <v>0</v>
      </c>
      <c r="H2113" s="688" t="str">
        <f>IF(G2113=0,"",IF(F2113="Buy",IF(G2113=1,"plant","plants"),IF(F2113&gt;0.01,"warranty","Error")))</f>
        <v/>
      </c>
      <c r="I2113" s="485">
        <f>IF(H2113="free",0,IF(H2113="credit",((E2113*(F2113))*G2113*-1),IF(F2113="Buy",(E2113*G2113),((E2113*(1-F2113))*G2113))))</f>
        <v>0</v>
      </c>
      <c r="J2113" s="485">
        <f>IF(H2113="warranty",0,(I2113*(_xlfn.SINGLE(SalesTaxPercentage))))</f>
        <v>0</v>
      </c>
      <c r="K2113" s="715">
        <f t="shared" ref="K2113" si="1512">I2113+J2113</f>
        <v>0</v>
      </c>
      <c r="L2113" s="715"/>
      <c r="M2113" s="689" t="str">
        <f ca="1">IF(AND(G2113&gt;0,E2113=0),"WARNING - no PRICE inserted",IF(H2113="free","FREE ~ no charge this plant",IF(H2113="credit",CONCATENATE("-$",ROUND(K2113*(1-_xlfn.SINGLE(T2GDiscount))*-1,2)," CREDIT after discount"),IF(_xlfn.SINGLE(T2GDiscount)=0,"",IF(G2113=0,"",IF(F2113="Buy",CONCATENATE("$",ROUND(K2113*(1-_xlfn.SINGLE(T2GDiscount)),2)," with ",(_xlfn.SINGLE(T2GDiscount)*100),"% discount"),CONCATENATE("$",ROUND(K2113*(1-_xlfn.SINGLE(T2GDiscount)),2)," with ",((_xlfn.SINGLE(T2GDiscount)*100+F2113*100)-(_xlfn.SINGLE(T2GDiscount)*100*F2113)),IF(F2113&gt;0,"% discounts",IF(_xlfn.SINGLE(NoWarrantyDiscount)&gt;0,"% discounts","% discount")))))))))</f>
        <v/>
      </c>
      <c r="N2113" s="690"/>
      <c r="O2113" s="486"/>
      <c r="P2113" s="486"/>
      <c r="Q2113" s="486"/>
      <c r="R2113" s="486"/>
      <c r="S2113" s="486"/>
      <c r="T2113" s="102">
        <f t="shared" si="1480"/>
        <v>0</v>
      </c>
      <c r="U2113" s="78">
        <f>IF(NOT(ISNUMBER(G2113)), "", VLOOKUP(A2113,'Discount Lookup'!D:E,2,FALSE)*G2113)</f>
        <v>0</v>
      </c>
      <c r="V2113" s="78">
        <f>IF(NOT(ISNUMBER(G2113)), "", VLOOKUP(A2113,'Discount Lookup'!G:H,2,FALSE)*G2113)</f>
        <v>0</v>
      </c>
      <c r="W2113" s="102">
        <f t="shared" si="1481"/>
        <v>0</v>
      </c>
      <c r="X2113" s="102">
        <f t="shared" si="1482"/>
        <v>0</v>
      </c>
      <c r="Y2113" s="120" t="b">
        <f t="shared" si="1483"/>
        <v>0</v>
      </c>
      <c r="Z2113" s="117">
        <f t="shared" si="1484"/>
        <v>0</v>
      </c>
      <c r="AA2113" s="118"/>
      <c r="AB2113" s="118" t="str">
        <f t="shared" si="1485"/>
        <v/>
      </c>
      <c r="AC2113" s="712" t="str">
        <f>IF(AE2113="T2G","no charge",IF(AND(OR(PlanterYesMe="No",PlanterYesMe="N",PlanterYesMe="me"),H2113=""),"",IF(H2113="credit","NO install",IF(AND(K2113="",AE2113="me"),"EACH row",IF(AND(K2113="images",AE2113="me"),"EACH row",IF(D2113="","",IF(H2113="credit","",IF(AE2113="free","re-planting",IF(AE2113="me","   not ELP, by",IF(AND(OR(PlanterYesMe="Yes",PlanterYesMe="Y"),G2113&gt;0),(VLOOKUP(A2113,'Discount Lookup'!J:K,2)*G2113*(1-PlanterDiscount)*(1+PlanterDifficultyPercentage)),IF(AE2113="ELP",(VLOOKUP(A2113,'Discount Lookup'!J:K,2)*G2113*(1-PlanterDiscount)*(1+PlanterDifficultyPercentage)),IF(AE2113="free","re-planting",IF(G2113=0,"",IF(PlanterYesMe="",IF(AE2113="me","   not ELP, by",IF(AE2113="",IF(G2113&gt;0,(VLOOKUP(A2113,'Discount Lookup'!J:K,2)*G2113*(1-PlanterDiscount)*(1+PlanterDifficultyPercentage)),""),"")),"   not ELP, by"))))))))))))))</f>
        <v/>
      </c>
      <c r="AD2113" s="712"/>
      <c r="AE2113" s="513" t="str">
        <f t="shared" si="1486"/>
        <v/>
      </c>
      <c r="AF2113" s="713" t="str">
        <f t="shared" si="1487"/>
        <v/>
      </c>
      <c r="AG2113" s="713"/>
      <c r="AH2113" s="713"/>
      <c r="AI2113" s="112">
        <f>IF(H2113="credit",0,IF(AE2113="free",0,IF(AE2113="me",0,IF(G2113&gt;0,(VLOOKUP(A2113,'Discount Lookup'!J:K,2)*G2113),0))))</f>
        <v>0</v>
      </c>
      <c r="AJ2113" s="107" t="str">
        <f t="shared" ca="1" si="1488"/>
        <v/>
      </c>
      <c r="AK2113" s="714" t="str">
        <f t="shared" si="1489"/>
        <v/>
      </c>
      <c r="AL2113" s="714"/>
      <c r="AM2113" s="114" t="str">
        <f t="shared" si="1490"/>
        <v/>
      </c>
      <c r="AN2113" s="115"/>
      <c r="AO2113" s="116"/>
      <c r="AP2113" s="116"/>
      <c r="AQ2113" s="116"/>
      <c r="AR2113" s="116"/>
      <c r="AS2113" s="116"/>
      <c r="AT2113" s="116"/>
      <c r="AU2113" s="116"/>
      <c r="AV2113" s="78"/>
      <c r="AW2113" s="102"/>
      <c r="AX2113" s="78"/>
      <c r="AY2113" s="78"/>
      <c r="AZ2113" s="78"/>
      <c r="BA2113" s="78"/>
      <c r="BB2113" s="78"/>
      <c r="BC2113" s="78"/>
      <c r="BD2113" s="78"/>
      <c r="BE2113" s="465"/>
      <c r="BF2113" s="165" t="str">
        <f t="shared" si="1491"/>
        <v>https://www.google.com/search?tbm=isch&amp;q=65%20G4</v>
      </c>
      <c r="BG2113" s="165" t="str">
        <f t="shared" si="1492"/>
        <v>I</v>
      </c>
      <c r="BH2113" s="65"/>
      <c r="BI2113" s="65"/>
      <c r="BJ2113" s="65"/>
      <c r="BK2113" s="65"/>
      <c r="BL2113" s="99"/>
      <c r="BM2113" s="99"/>
      <c r="BN2113" s="99"/>
    </row>
    <row r="2114" spans="1:66" s="51" customFormat="1" ht="17.25" thickBot="1" x14ac:dyDescent="0.3">
      <c r="A2114" s="508" t="s">
        <v>508</v>
      </c>
      <c r="B2114" s="487"/>
      <c r="C2114" s="707"/>
      <c r="D2114" s="487"/>
      <c r="E2114" s="487"/>
      <c r="F2114" s="488"/>
      <c r="G2114" s="489"/>
      <c r="H2114" s="487"/>
      <c r="I2114" s="490"/>
      <c r="J2114" s="490"/>
      <c r="K2114" s="491"/>
      <c r="L2114" s="547"/>
      <c r="M2114" s="528"/>
      <c r="N2114" s="492"/>
      <c r="O2114" s="493"/>
      <c r="P2114" s="494"/>
      <c r="Q2114" s="492"/>
      <c r="R2114" s="492"/>
      <c r="S2114" s="699" t="s">
        <v>5290</v>
      </c>
      <c r="T2114" s="102">
        <f t="shared" si="1480"/>
        <v>0</v>
      </c>
      <c r="U2114" s="78" t="str">
        <f>IF(NOT(ISNUMBER(G2114)), "", VLOOKUP(A2114,'Discount Lookup'!D:E,2,FALSE)*G2114)</f>
        <v/>
      </c>
      <c r="V2114" s="78" t="str">
        <f>IF(NOT(ISNUMBER(G2114)), "", VLOOKUP(A2114,'Discount Lookup'!G:H,2,FALSE)*G2114)</f>
        <v/>
      </c>
      <c r="W2114" s="102">
        <f t="shared" si="1481"/>
        <v>0</v>
      </c>
      <c r="X2114" s="102">
        <f t="shared" si="1482"/>
        <v>0</v>
      </c>
      <c r="Y2114" s="120" t="b">
        <f t="shared" si="1483"/>
        <v>0</v>
      </c>
      <c r="Z2114" s="117">
        <f t="shared" si="1484"/>
        <v>0</v>
      </c>
      <c r="AA2114" s="118"/>
      <c r="AB2114" s="118" t="str">
        <f t="shared" si="1485"/>
        <v/>
      </c>
      <c r="AC2114" s="712" t="str">
        <f>IF(AE2114="T2G","no charge",IF(AND(OR(PlanterYesMe="No",PlanterYesMe="N",PlanterYesMe="me"),H2114=""),"",IF(H2114="credit","NO install",IF(AND(K2114="",AE2114="me"),"EACH row",IF(AND(K2114="images",AE2114="me"),"EACH row",IF(D2114="","",IF(H2114="credit","",IF(AE2114="free","re-planting",IF(AE2114="me","   not ELP, by",IF(AND(OR(PlanterYesMe="Yes",PlanterYesMe="Y"),G2114&gt;0),(VLOOKUP(A2114,'Discount Lookup'!J:K,2)*G2114*(1-PlanterDiscount)*(1+PlanterDifficultyPercentage)),IF(AE2114="ELP",(VLOOKUP(A2114,'Discount Lookup'!J:K,2)*G2114*(1-PlanterDiscount)*(1+PlanterDifficultyPercentage)),IF(AE2114="free","re-planting",IF(G2114=0,"",IF(PlanterYesMe="",IF(AE2114="me","   not ELP, by",IF(AE2114="",IF(G2114&gt;0,(VLOOKUP(A2114,'Discount Lookup'!J:K,2)*G2114*(1-PlanterDiscount)*(1+PlanterDifficultyPercentage)),""),"")),"   not ELP, by"))))))))))))))</f>
        <v/>
      </c>
      <c r="AD2114" s="712"/>
      <c r="AE2114" s="513" t="str">
        <f t="shared" si="1486"/>
        <v/>
      </c>
      <c r="AF2114" s="713" t="str">
        <f t="shared" si="1487"/>
        <v/>
      </c>
      <c r="AG2114" s="713"/>
      <c r="AH2114" s="713"/>
      <c r="AI2114" s="112">
        <f>IF(H2114="credit",0,IF(AE2114="free",0,IF(AE2114="me",0,IF(G2114&gt;0,(VLOOKUP(A2114,'Discount Lookup'!J:K,2)*G2114),0))))</f>
        <v>0</v>
      </c>
      <c r="AJ2114" s="107" t="str">
        <f t="shared" ca="1" si="1488"/>
        <v/>
      </c>
      <c r="AK2114" s="714" t="str">
        <f t="shared" si="1489"/>
        <v/>
      </c>
      <c r="AL2114" s="714"/>
      <c r="AM2114" s="114" t="str">
        <f t="shared" si="1490"/>
        <v/>
      </c>
      <c r="AN2114" s="115"/>
      <c r="AO2114" s="116"/>
      <c r="AP2114" s="116"/>
      <c r="AQ2114" s="116"/>
      <c r="AR2114" s="116"/>
      <c r="AS2114" s="116"/>
      <c r="AT2114" s="116"/>
      <c r="AU2114" s="116"/>
      <c r="AV2114" s="78"/>
      <c r="AW2114" s="102"/>
      <c r="AX2114" s="78"/>
      <c r="AY2114" s="78"/>
      <c r="AZ2114" s="78"/>
      <c r="BA2114" s="78"/>
      <c r="BB2114" s="78"/>
      <c r="BC2114" s="78"/>
      <c r="BD2114" s="78"/>
      <c r="BE2114" s="465"/>
      <c r="BF2114" s="165" t="str">
        <f t="shared" si="1491"/>
        <v>https://www.google.com/search?tbm=isch&amp;q=Oak%20Leaf%20named%20for%20shape%20of%20leaves%2C%20like%20an%20Oak%20leaf.%20Self-pollinates%2C%20so%20no%20male%20is%20required.%20Pyramidal%20shape%20</v>
      </c>
      <c r="BG2114" s="165" t="str">
        <f t="shared" si="1492"/>
        <v>O</v>
      </c>
      <c r="BH2114" s="65"/>
      <c r="BI2114" s="65"/>
      <c r="BJ2114" s="65"/>
      <c r="BK2114" s="65"/>
      <c r="BL2114" s="99"/>
      <c r="BM2114" s="99"/>
      <c r="BN2114" s="99"/>
    </row>
    <row r="2115" spans="1:66" s="51" customFormat="1" ht="18" x14ac:dyDescent="0.25">
      <c r="A2115" s="507" t="s">
        <v>509</v>
      </c>
      <c r="B2115" s="470"/>
      <c r="C2115" s="706"/>
      <c r="D2115" s="471" t="s">
        <v>5707</v>
      </c>
      <c r="E2115" s="472"/>
      <c r="F2115" s="472"/>
      <c r="G2115" s="472"/>
      <c r="H2115" s="622" t="s">
        <v>510</v>
      </c>
      <c r="I2115" s="473" t="s">
        <v>431</v>
      </c>
      <c r="J2115" s="472"/>
      <c r="K2115" s="472"/>
      <c r="L2115" s="561"/>
      <c r="M2115" s="698" t="s">
        <v>5246</v>
      </c>
      <c r="N2115" s="692" t="str">
        <f>IF(AND(ISTEXT($A2115), ISERROR($A2115+0)), HYPERLINK($BF2115, "Images"), "")</f>
        <v>Images</v>
      </c>
      <c r="O2115" s="694" t="s">
        <v>5289</v>
      </c>
      <c r="P2115" s="475"/>
      <c r="Q2115" s="476"/>
      <c r="R2115" s="476"/>
      <c r="S2115" s="477"/>
      <c r="T2115" s="102">
        <f t="shared" si="1480"/>
        <v>0</v>
      </c>
      <c r="U2115" s="78" t="str">
        <f>IF(NOT(ISNUMBER(G2115)), "", VLOOKUP(A2115,'Discount Lookup'!D:E,2,FALSE)*G2115)</f>
        <v/>
      </c>
      <c r="V2115" s="78" t="str">
        <f>IF(NOT(ISNUMBER(G2115)), "", VLOOKUP(A2115,'Discount Lookup'!G:H,2,FALSE)*G2115)</f>
        <v/>
      </c>
      <c r="W2115" s="102">
        <f t="shared" si="1481"/>
        <v>0</v>
      </c>
      <c r="X2115" s="102" t="str">
        <f t="shared" si="1482"/>
        <v>Dark Green foliage</v>
      </c>
      <c r="Y2115" s="120" t="b">
        <f t="shared" si="1483"/>
        <v>0</v>
      </c>
      <c r="Z2115" s="117">
        <f t="shared" si="1484"/>
        <v>0</v>
      </c>
      <c r="AA2115" s="118"/>
      <c r="AB2115" s="118" t="str">
        <f t="shared" si="1485"/>
        <v/>
      </c>
      <c r="AC2115" s="712" t="str">
        <f>IF(AE2115="T2G","no charge",IF(AND(OR(PlanterYesMe="No",PlanterYesMe="N",PlanterYesMe="me"),H2115=""),"",IF(H2115="credit","NO install",IF(AND(K2115="",AE2115="me"),"EACH row",IF(AND(K2115="images",AE2115="me"),"EACH row",IF(D2115="","",IF(H2115="credit","",IF(AE2115="free","re-planting",IF(AE2115="me","   not ELP, by",IF(AND(OR(PlanterYesMe="Yes",PlanterYesMe="Y"),G2115&gt;0),(VLOOKUP(A2115,'Discount Lookup'!J:K,2)*G2115*(1-PlanterDiscount)*(1+PlanterDifficultyPercentage)),IF(AE2115="ELP",(VLOOKUP(A2115,'Discount Lookup'!J:K,2)*G2115*(1-PlanterDiscount)*(1+PlanterDifficultyPercentage)),IF(AE2115="free","re-planting",IF(G2115=0,"",IF(PlanterYesMe="",IF(AE2115="me","   not ELP, by",IF(AE2115="",IF(G2115&gt;0,(VLOOKUP(A2115,'Discount Lookup'!J:K,2)*G2115*(1-PlanterDiscount)*(1+PlanterDifficultyPercentage)),""),"")),"   not ELP, by"))))))))))))))</f>
        <v/>
      </c>
      <c r="AD2115" s="712"/>
      <c r="AE2115" s="513" t="str">
        <f t="shared" si="1486"/>
        <v/>
      </c>
      <c r="AF2115" s="713" t="str">
        <f t="shared" si="1487"/>
        <v/>
      </c>
      <c r="AG2115" s="713"/>
      <c r="AH2115" s="713"/>
      <c r="AI2115" s="112">
        <f>IF(H2115="credit",0,IF(AE2115="free",0,IF(AE2115="me",0,IF(G2115&gt;0,(VLOOKUP(A2115,'Discount Lookup'!J:K,2)*G2115),0))))</f>
        <v>0</v>
      </c>
      <c r="AJ2115" s="107" t="str">
        <f t="shared" ca="1" si="1488"/>
        <v/>
      </c>
      <c r="AK2115" s="714" t="str">
        <f t="shared" si="1489"/>
        <v/>
      </c>
      <c r="AL2115" s="714"/>
      <c r="AM2115" s="114" t="str">
        <f t="shared" si="1490"/>
        <v/>
      </c>
      <c r="AN2115" s="115"/>
      <c r="AO2115" s="116"/>
      <c r="AP2115" s="116"/>
      <c r="AQ2115" s="116"/>
      <c r="AR2115" s="116"/>
      <c r="AS2115" s="116"/>
      <c r="AT2115" s="116"/>
      <c r="AU2115" s="116"/>
      <c r="AV2115" s="78"/>
      <c r="AW2115" s="102"/>
      <c r="AX2115" s="78"/>
      <c r="AY2115" s="78"/>
      <c r="AZ2115" s="78"/>
      <c r="BA2115" s="78"/>
      <c r="BB2115" s="78"/>
      <c r="BC2115" s="78"/>
      <c r="BD2115" s="78"/>
      <c r="BE2115" s="465"/>
      <c r="BF2115" s="165" t="str">
        <f t="shared" si="1491"/>
        <v>https://www.google.com/search?tbm=isch&amp;q=Ilex%20%27Conin%27%20PP%239486Exp.%20Robin%E2%84%A2%20Holly</v>
      </c>
      <c r="BG2115" s="165" t="str">
        <f t="shared" si="1492"/>
        <v>I</v>
      </c>
      <c r="BH2115" s="65"/>
      <c r="BI2115" s="65"/>
      <c r="BJ2115" s="65"/>
      <c r="BK2115" s="65"/>
      <c r="BL2115" s="99"/>
      <c r="BM2115" s="99"/>
      <c r="BN2115" s="99"/>
    </row>
    <row r="2116" spans="1:66" s="51" customFormat="1" ht="15.75" x14ac:dyDescent="0.25">
      <c r="A2116" s="478">
        <v>15</v>
      </c>
      <c r="B2116" s="479" t="s">
        <v>291</v>
      </c>
      <c r="C2116" s="480">
        <v>2026</v>
      </c>
      <c r="D2116" s="481" t="s">
        <v>309</v>
      </c>
      <c r="E2116" s="482">
        <v>155.94999999999999</v>
      </c>
      <c r="F2116" s="483" t="s">
        <v>292</v>
      </c>
      <c r="G2116" s="484">
        <v>0</v>
      </c>
      <c r="H2116" s="688" t="str">
        <f>IF(G2116=0,"",IF(F2116="Buy",IF(G2116=1,"plant","plants"),IF(F2116&gt;0.01,"warranty","Error")))</f>
        <v/>
      </c>
      <c r="I2116" s="485">
        <f>IF(H2116="free",0,IF(H2116="credit",((E2116*(F2116))*G2116*-1),IF(F2116="Buy",(E2116*G2116),((E2116*(1-F2116))*G2116))))</f>
        <v>0</v>
      </c>
      <c r="J2116" s="485">
        <f>IF(H2116="warranty",0,(I2116*(_xlfn.SINGLE(SalesTaxPercentage))))</f>
        <v>0</v>
      </c>
      <c r="K2116" s="715">
        <f t="shared" ref="K2116" si="1513">I2116+J2116</f>
        <v>0</v>
      </c>
      <c r="L2116" s="715"/>
      <c r="M2116" s="689" t="str">
        <f ca="1">IF(AND(G2116&gt;0,E2116=0),"WARNING - no PRICE inserted",IF(H2116="free","FREE ~ no charge this plant",IF(H2116="credit",CONCATENATE("-$",ROUND(K2116*(1-_xlfn.SINGLE(T2GDiscount))*-1,2)," CREDIT after discount"),IF(_xlfn.SINGLE(T2GDiscount)=0,"",IF(G2116=0,"",IF(F2116="Buy",CONCATENATE("$",ROUND(K2116*(1-_xlfn.SINGLE(T2GDiscount)),2)," with ",(_xlfn.SINGLE(T2GDiscount)*100),"% discount"),CONCATENATE("$",ROUND(K2116*(1-_xlfn.SINGLE(T2GDiscount)),2)," with ",((_xlfn.SINGLE(T2GDiscount)*100+F2116*100)-(_xlfn.SINGLE(T2GDiscount)*100*F2116)),IF(F2116&gt;0,"% discounts",IF(_xlfn.SINGLE(NoWarrantyDiscount)&gt;0,"% discounts","% discount")))))))))</f>
        <v/>
      </c>
      <c r="N2116" s="690"/>
      <c r="O2116" s="486"/>
      <c r="P2116" s="486"/>
      <c r="Q2116" s="486"/>
      <c r="R2116" s="486"/>
      <c r="S2116" s="486"/>
      <c r="T2116" s="102">
        <f t="shared" si="1480"/>
        <v>0</v>
      </c>
      <c r="U2116" s="78">
        <f>IF(NOT(ISNUMBER(G2116)), "", VLOOKUP(A2116,'Discount Lookup'!D:E,2,FALSE)*G2116)</f>
        <v>0</v>
      </c>
      <c r="V2116" s="78">
        <f>IF(NOT(ISNUMBER(G2116)), "", VLOOKUP(A2116,'Discount Lookup'!G:H,2,FALSE)*G2116)</f>
        <v>0</v>
      </c>
      <c r="W2116" s="102">
        <f t="shared" si="1481"/>
        <v>0</v>
      </c>
      <c r="X2116" s="102">
        <f t="shared" si="1482"/>
        <v>0</v>
      </c>
      <c r="Y2116" s="120" t="b">
        <f t="shared" si="1483"/>
        <v>0</v>
      </c>
      <c r="Z2116" s="117">
        <f t="shared" si="1484"/>
        <v>0</v>
      </c>
      <c r="AA2116" s="118"/>
      <c r="AB2116" s="118" t="str">
        <f t="shared" si="1485"/>
        <v/>
      </c>
      <c r="AC2116" s="712" t="str">
        <f>IF(AE2116="T2G","no charge",IF(AND(OR(PlanterYesMe="No",PlanterYesMe="N",PlanterYesMe="me"),H2116=""),"",IF(H2116="credit","NO install",IF(AND(K2116="",AE2116="me"),"EACH row",IF(AND(K2116="images",AE2116="me"),"EACH row",IF(D2116="","",IF(H2116="credit","",IF(AE2116="free","re-planting",IF(AE2116="me","   not ELP, by",IF(AND(OR(PlanterYesMe="Yes",PlanterYesMe="Y"),G2116&gt;0),(VLOOKUP(A2116,'Discount Lookup'!J:K,2)*G2116*(1-PlanterDiscount)*(1+PlanterDifficultyPercentage)),IF(AE2116="ELP",(VLOOKUP(A2116,'Discount Lookup'!J:K,2)*G2116*(1-PlanterDiscount)*(1+PlanterDifficultyPercentage)),IF(AE2116="free","re-planting",IF(G2116=0,"",IF(PlanterYesMe="",IF(AE2116="me","   not ELP, by",IF(AE2116="",IF(G2116&gt;0,(VLOOKUP(A2116,'Discount Lookup'!J:K,2)*G2116*(1-PlanterDiscount)*(1+PlanterDifficultyPercentage)),""),"")),"   not ELP, by"))))))))))))))</f>
        <v/>
      </c>
      <c r="AD2116" s="712"/>
      <c r="AE2116" s="513" t="str">
        <f t="shared" si="1486"/>
        <v/>
      </c>
      <c r="AF2116" s="713" t="str">
        <f t="shared" si="1487"/>
        <v/>
      </c>
      <c r="AG2116" s="713"/>
      <c r="AH2116" s="713"/>
      <c r="AI2116" s="112">
        <f>IF(H2116="credit",0,IF(AE2116="free",0,IF(AE2116="me",0,IF(G2116&gt;0,(VLOOKUP(A2116,'Discount Lookup'!J:K,2)*G2116),0))))</f>
        <v>0</v>
      </c>
      <c r="AJ2116" s="107" t="str">
        <f t="shared" ca="1" si="1488"/>
        <v/>
      </c>
      <c r="AK2116" s="714" t="str">
        <f t="shared" si="1489"/>
        <v/>
      </c>
      <c r="AL2116" s="714"/>
      <c r="AM2116" s="114" t="str">
        <f t="shared" si="1490"/>
        <v/>
      </c>
      <c r="AN2116" s="115"/>
      <c r="AO2116" s="116"/>
      <c r="AP2116" s="116"/>
      <c r="AQ2116" s="116"/>
      <c r="AR2116" s="116"/>
      <c r="AS2116" s="116"/>
      <c r="AT2116" s="116"/>
      <c r="AU2116" s="116"/>
      <c r="AV2116" s="78"/>
      <c r="AW2116" s="102"/>
      <c r="AX2116" s="78"/>
      <c r="AY2116" s="78"/>
      <c r="AZ2116" s="78"/>
      <c r="BA2116" s="78"/>
      <c r="BB2116" s="78"/>
      <c r="BC2116" s="78"/>
      <c r="BD2116" s="78"/>
      <c r="BE2116" s="465"/>
      <c r="BF2116" s="165" t="str">
        <f t="shared" si="1491"/>
        <v>https://www.google.com/search?tbm=isch&amp;q=15%20G3</v>
      </c>
      <c r="BG2116" s="165" t="str">
        <f t="shared" si="1492"/>
        <v>I</v>
      </c>
      <c r="BH2116" s="65"/>
      <c r="BI2116" s="65"/>
      <c r="BJ2116" s="65"/>
      <c r="BK2116" s="65"/>
      <c r="BL2116" s="99"/>
      <c r="BM2116" s="99"/>
      <c r="BN2116" s="99"/>
    </row>
    <row r="2117" spans="1:66" s="51" customFormat="1" ht="15.75" x14ac:dyDescent="0.25">
      <c r="A2117" s="478">
        <v>15</v>
      </c>
      <c r="B2117" s="479" t="s">
        <v>291</v>
      </c>
      <c r="C2117" s="480" t="s">
        <v>328</v>
      </c>
      <c r="D2117" s="481" t="s">
        <v>311</v>
      </c>
      <c r="E2117" s="482">
        <v>160.94999999999999</v>
      </c>
      <c r="F2117" s="483" t="s">
        <v>292</v>
      </c>
      <c r="G2117" s="484">
        <v>0</v>
      </c>
      <c r="H2117" s="688" t="str">
        <f>IF(G2117=0,"",IF(F2117="Buy",IF(G2117=1,"plant","plants"),IF(F2117&gt;0.01,"warranty","Error")))</f>
        <v/>
      </c>
      <c r="I2117" s="485">
        <f>IF(H2117="free",0,IF(H2117="credit",((E2117*(F2117))*G2117*-1),IF(F2117="Buy",(E2117*G2117),((E2117*(1-F2117))*G2117))))</f>
        <v>0</v>
      </c>
      <c r="J2117" s="485">
        <f>IF(H2117="warranty",0,(I2117*(_xlfn.SINGLE(SalesTaxPercentage))))</f>
        <v>0</v>
      </c>
      <c r="K2117" s="715">
        <f t="shared" ref="K2117" si="1514">I2117+J2117</f>
        <v>0</v>
      </c>
      <c r="L2117" s="715"/>
      <c r="M2117" s="689" t="str">
        <f ca="1">IF(AND(G2117&gt;0,E2117=0),"WARNING - no PRICE inserted",IF(H2117="free","FREE ~ no charge this plant",IF(H2117="credit",CONCATENATE("-$",ROUND(K2117*(1-_xlfn.SINGLE(T2GDiscount))*-1,2)," CREDIT after discount"),IF(_xlfn.SINGLE(T2GDiscount)=0,"",IF(G2117=0,"",IF(F2117="Buy",CONCATENATE("$",ROUND(K2117*(1-_xlfn.SINGLE(T2GDiscount)),2)," with ",(_xlfn.SINGLE(T2GDiscount)*100),"% discount"),CONCATENATE("$",ROUND(K2117*(1-_xlfn.SINGLE(T2GDiscount)),2)," with ",((_xlfn.SINGLE(T2GDiscount)*100+F2117*100)-(_xlfn.SINGLE(T2GDiscount)*100*F2117)),IF(F2117&gt;0,"% discounts",IF(_xlfn.SINGLE(NoWarrantyDiscount)&gt;0,"% discounts","% discount")))))))))</f>
        <v/>
      </c>
      <c r="N2117" s="690"/>
      <c r="O2117" s="486"/>
      <c r="P2117" s="486"/>
      <c r="Q2117" s="486"/>
      <c r="R2117" s="486"/>
      <c r="S2117" s="486"/>
      <c r="T2117" s="102">
        <f t="shared" si="1480"/>
        <v>0</v>
      </c>
      <c r="U2117" s="78">
        <f>IF(NOT(ISNUMBER(G2117)), "", VLOOKUP(A2117,'Discount Lookup'!D:E,2,FALSE)*G2117)</f>
        <v>0</v>
      </c>
      <c r="V2117" s="78">
        <f>IF(NOT(ISNUMBER(G2117)), "", VLOOKUP(A2117,'Discount Lookup'!G:H,2,FALSE)*G2117)</f>
        <v>0</v>
      </c>
      <c r="W2117" s="102">
        <f t="shared" si="1481"/>
        <v>0</v>
      </c>
      <c r="X2117" s="102">
        <f t="shared" si="1482"/>
        <v>0</v>
      </c>
      <c r="Y2117" s="120" t="b">
        <f t="shared" si="1483"/>
        <v>0</v>
      </c>
      <c r="Z2117" s="117">
        <f t="shared" si="1484"/>
        <v>0</v>
      </c>
      <c r="AA2117" s="118"/>
      <c r="AB2117" s="118" t="str">
        <f t="shared" si="1485"/>
        <v/>
      </c>
      <c r="AC2117" s="712" t="str">
        <f>IF(AE2117="T2G","no charge",IF(AND(OR(PlanterYesMe="No",PlanterYesMe="N",PlanterYesMe="me"),H2117=""),"",IF(H2117="credit","NO install",IF(AND(K2117="",AE2117="me"),"EACH row",IF(AND(K2117="images",AE2117="me"),"EACH row",IF(D2117="","",IF(H2117="credit","",IF(AE2117="free","re-planting",IF(AE2117="me","   not ELP, by",IF(AND(OR(PlanterYesMe="Yes",PlanterYesMe="Y"),G2117&gt;0),(VLOOKUP(A2117,'Discount Lookup'!J:K,2)*G2117*(1-PlanterDiscount)*(1+PlanterDifficultyPercentage)),IF(AE2117="ELP",(VLOOKUP(A2117,'Discount Lookup'!J:K,2)*G2117*(1-PlanterDiscount)*(1+PlanterDifficultyPercentage)),IF(AE2117="free","re-planting",IF(G2117=0,"",IF(PlanterYesMe="",IF(AE2117="me","   not ELP, by",IF(AE2117="",IF(G2117&gt;0,(VLOOKUP(A2117,'Discount Lookup'!J:K,2)*G2117*(1-PlanterDiscount)*(1+PlanterDifficultyPercentage)),""),"")),"   not ELP, by"))))))))))))))</f>
        <v/>
      </c>
      <c r="AD2117" s="712"/>
      <c r="AE2117" s="513" t="str">
        <f t="shared" si="1486"/>
        <v/>
      </c>
      <c r="AF2117" s="713" t="str">
        <f t="shared" si="1487"/>
        <v/>
      </c>
      <c r="AG2117" s="713"/>
      <c r="AH2117" s="713"/>
      <c r="AI2117" s="112">
        <f>IF(H2117="credit",0,IF(AE2117="free",0,IF(AE2117="me",0,IF(G2117&gt;0,(VLOOKUP(A2117,'Discount Lookup'!J:K,2)*G2117),0))))</f>
        <v>0</v>
      </c>
      <c r="AJ2117" s="107" t="str">
        <f t="shared" ca="1" si="1488"/>
        <v/>
      </c>
      <c r="AK2117" s="714" t="str">
        <f t="shared" si="1489"/>
        <v/>
      </c>
      <c r="AL2117" s="714"/>
      <c r="AM2117" s="114" t="str">
        <f t="shared" si="1490"/>
        <v/>
      </c>
      <c r="AN2117" s="115"/>
      <c r="AO2117" s="116"/>
      <c r="AP2117" s="116"/>
      <c r="AQ2117" s="116"/>
      <c r="AR2117" s="116"/>
      <c r="AS2117" s="116"/>
      <c r="AT2117" s="116"/>
      <c r="AU2117" s="116"/>
      <c r="AV2117" s="78"/>
      <c r="AW2117" s="102"/>
      <c r="AX2117" s="78"/>
      <c r="AY2117" s="78"/>
      <c r="AZ2117" s="78"/>
      <c r="BA2117" s="78"/>
      <c r="BB2117" s="78"/>
      <c r="BC2117" s="78"/>
      <c r="BD2117" s="78"/>
      <c r="BE2117" s="465"/>
      <c r="BF2117" s="165" t="str">
        <f t="shared" si="1491"/>
        <v>https://www.google.com/search?tbm=isch&amp;q=15%20G5</v>
      </c>
      <c r="BG2117" s="165" t="str">
        <f t="shared" si="1492"/>
        <v>I</v>
      </c>
      <c r="BH2117" s="65"/>
      <c r="BI2117" s="65"/>
      <c r="BJ2117" s="65"/>
      <c r="BK2117" s="65"/>
      <c r="BL2117" s="99"/>
      <c r="BM2117" s="99"/>
      <c r="BN2117" s="99"/>
    </row>
    <row r="2118" spans="1:66" s="51" customFormat="1" ht="15.75" x14ac:dyDescent="0.25">
      <c r="A2118" s="478">
        <v>45</v>
      </c>
      <c r="B2118" s="479" t="s">
        <v>291</v>
      </c>
      <c r="C2118" s="480" t="s">
        <v>511</v>
      </c>
      <c r="D2118" s="481" t="s">
        <v>293</v>
      </c>
      <c r="E2118" s="482">
        <v>645.95000000000005</v>
      </c>
      <c r="F2118" s="483" t="s">
        <v>292</v>
      </c>
      <c r="G2118" s="484">
        <v>0</v>
      </c>
      <c r="H2118" s="688" t="str">
        <f>IF(G2118=0,"",IF(F2118="Buy",IF(G2118=1,"plant","plants"),IF(F2118&gt;0.01,"warranty","Error")))</f>
        <v/>
      </c>
      <c r="I2118" s="485">
        <f>IF(H2118="free",0,IF(H2118="credit",((E2118*(F2118))*G2118*-1),IF(F2118="Buy",(E2118*G2118),((E2118*(1-F2118))*G2118))))</f>
        <v>0</v>
      </c>
      <c r="J2118" s="485">
        <f>IF(H2118="warranty",0,(I2118*(_xlfn.SINGLE(SalesTaxPercentage))))</f>
        <v>0</v>
      </c>
      <c r="K2118" s="715">
        <f t="shared" ref="K2118" si="1515">I2118+J2118</f>
        <v>0</v>
      </c>
      <c r="L2118" s="715"/>
      <c r="M2118" s="689" t="str">
        <f ca="1">IF(AND(G2118&gt;0,E2118=0),"WARNING - no PRICE inserted",IF(H2118="free","FREE ~ no charge this plant",IF(H2118="credit",CONCATENATE("-$",ROUND(K2118*(1-_xlfn.SINGLE(T2GDiscount))*-1,2)," CREDIT after discount"),IF(_xlfn.SINGLE(T2GDiscount)=0,"",IF(G2118=0,"",IF(F2118="Buy",CONCATENATE("$",ROUND(K2118*(1-_xlfn.SINGLE(T2GDiscount)),2)," with ",(_xlfn.SINGLE(T2GDiscount)*100),"% discount"),CONCATENATE("$",ROUND(K2118*(1-_xlfn.SINGLE(T2GDiscount)),2)," with ",((_xlfn.SINGLE(T2GDiscount)*100+F2118*100)-(_xlfn.SINGLE(T2GDiscount)*100*F2118)),IF(F2118&gt;0,"% discounts",IF(_xlfn.SINGLE(NoWarrantyDiscount)&gt;0,"% discounts","% discount")))))))))</f>
        <v/>
      </c>
      <c r="N2118" s="690"/>
      <c r="O2118" s="486"/>
      <c r="P2118" s="486"/>
      <c r="Q2118" s="486"/>
      <c r="R2118" s="486"/>
      <c r="S2118" s="486"/>
      <c r="T2118" s="102">
        <f t="shared" si="1480"/>
        <v>0</v>
      </c>
      <c r="U2118" s="78">
        <f>IF(NOT(ISNUMBER(G2118)), "", VLOOKUP(A2118,'Discount Lookup'!D:E,2,FALSE)*G2118)</f>
        <v>0</v>
      </c>
      <c r="V2118" s="78">
        <f>IF(NOT(ISNUMBER(G2118)), "", VLOOKUP(A2118,'Discount Lookup'!G:H,2,FALSE)*G2118)</f>
        <v>0</v>
      </c>
      <c r="W2118" s="102">
        <f t="shared" si="1481"/>
        <v>0</v>
      </c>
      <c r="X2118" s="102">
        <f t="shared" si="1482"/>
        <v>0</v>
      </c>
      <c r="Y2118" s="120" t="b">
        <f t="shared" si="1483"/>
        <v>0</v>
      </c>
      <c r="Z2118" s="117">
        <f t="shared" si="1484"/>
        <v>0</v>
      </c>
      <c r="AA2118" s="118"/>
      <c r="AB2118" s="118" t="str">
        <f t="shared" si="1485"/>
        <v/>
      </c>
      <c r="AC2118" s="712" t="str">
        <f>IF(AE2118="T2G","no charge",IF(AND(OR(PlanterYesMe="No",PlanterYesMe="N",PlanterYesMe="me"),H2118=""),"",IF(H2118="credit","NO install",IF(AND(K2118="",AE2118="me"),"EACH row",IF(AND(K2118="images",AE2118="me"),"EACH row",IF(D2118="","",IF(H2118="credit","",IF(AE2118="free","re-planting",IF(AE2118="me","   not ELP, by",IF(AND(OR(PlanterYesMe="Yes",PlanterYesMe="Y"),G2118&gt;0),(VLOOKUP(A2118,'Discount Lookup'!J:K,2)*G2118*(1-PlanterDiscount)*(1+PlanterDifficultyPercentage)),IF(AE2118="ELP",(VLOOKUP(A2118,'Discount Lookup'!J:K,2)*G2118*(1-PlanterDiscount)*(1+PlanterDifficultyPercentage)),IF(AE2118="free","re-planting",IF(G2118=0,"",IF(PlanterYesMe="",IF(AE2118="me","   not ELP, by",IF(AE2118="",IF(G2118&gt;0,(VLOOKUP(A2118,'Discount Lookup'!J:K,2)*G2118*(1-PlanterDiscount)*(1+PlanterDifficultyPercentage)),""),"")),"   not ELP, by"))))))))))))))</f>
        <v/>
      </c>
      <c r="AD2118" s="712"/>
      <c r="AE2118" s="513" t="str">
        <f t="shared" si="1486"/>
        <v/>
      </c>
      <c r="AF2118" s="713" t="str">
        <f t="shared" si="1487"/>
        <v/>
      </c>
      <c r="AG2118" s="713"/>
      <c r="AH2118" s="713"/>
      <c r="AI2118" s="112">
        <f>IF(H2118="credit",0,IF(AE2118="free",0,IF(AE2118="me",0,IF(G2118&gt;0,(VLOOKUP(A2118,'Discount Lookup'!J:K,2)*G2118),0))))</f>
        <v>0</v>
      </c>
      <c r="AJ2118" s="107" t="str">
        <f t="shared" ca="1" si="1488"/>
        <v/>
      </c>
      <c r="AK2118" s="714" t="str">
        <f t="shared" si="1489"/>
        <v/>
      </c>
      <c r="AL2118" s="714"/>
      <c r="AM2118" s="114" t="str">
        <f t="shared" si="1490"/>
        <v/>
      </c>
      <c r="AN2118" s="115"/>
      <c r="AO2118" s="116"/>
      <c r="AP2118" s="116"/>
      <c r="AQ2118" s="116"/>
      <c r="AR2118" s="116"/>
      <c r="AS2118" s="116"/>
      <c r="AT2118" s="116"/>
      <c r="AU2118" s="116"/>
      <c r="AV2118" s="78"/>
      <c r="AW2118" s="102"/>
      <c r="AX2118" s="78"/>
      <c r="AY2118" s="78"/>
      <c r="AZ2118" s="78"/>
      <c r="BA2118" s="78"/>
      <c r="BB2118" s="78"/>
      <c r="BC2118" s="78"/>
      <c r="BD2118" s="78"/>
      <c r="BE2118" s="465"/>
      <c r="BF2118" s="165" t="str">
        <f t="shared" si="1491"/>
        <v>https://www.google.com/search?tbm=isch&amp;q=45%20G6</v>
      </c>
      <c r="BG2118" s="165" t="str">
        <f t="shared" si="1492"/>
        <v>I</v>
      </c>
      <c r="BH2118" s="65"/>
      <c r="BI2118" s="65"/>
      <c r="BJ2118" s="65"/>
      <c r="BK2118" s="65"/>
      <c r="BL2118" s="99"/>
      <c r="BM2118" s="99"/>
      <c r="BN2118" s="99"/>
    </row>
    <row r="2119" spans="1:66" s="51" customFormat="1" ht="17.25" thickBot="1" x14ac:dyDescent="0.3">
      <c r="A2119" s="508" t="s">
        <v>836</v>
      </c>
      <c r="B2119" s="487"/>
      <c r="C2119" s="707"/>
      <c r="D2119" s="487"/>
      <c r="E2119" s="487"/>
      <c r="F2119" s="488"/>
      <c r="G2119" s="489"/>
      <c r="H2119" s="487"/>
      <c r="I2119" s="490"/>
      <c r="J2119" s="490"/>
      <c r="K2119" s="491"/>
      <c r="L2119" s="547"/>
      <c r="M2119" s="528"/>
      <c r="N2119" s="492"/>
      <c r="O2119" s="493"/>
      <c r="P2119" s="494"/>
      <c r="Q2119" s="492"/>
      <c r="R2119" s="492"/>
      <c r="S2119" s="699" t="s">
        <v>5290</v>
      </c>
      <c r="T2119" s="102">
        <f t="shared" si="1480"/>
        <v>0</v>
      </c>
      <c r="U2119" s="78" t="str">
        <f>IF(NOT(ISNUMBER(G2119)), "", VLOOKUP(A2119,'Discount Lookup'!D:E,2,FALSE)*G2119)</f>
        <v/>
      </c>
      <c r="V2119" s="78" t="str">
        <f>IF(NOT(ISNUMBER(G2119)), "", VLOOKUP(A2119,'Discount Lookup'!G:H,2,FALSE)*G2119)</f>
        <v/>
      </c>
      <c r="W2119" s="102">
        <f t="shared" si="1481"/>
        <v>0</v>
      </c>
      <c r="X2119" s="102">
        <f t="shared" si="1482"/>
        <v>0</v>
      </c>
      <c r="Y2119" s="120" t="b">
        <f t="shared" si="1483"/>
        <v>0</v>
      </c>
      <c r="Z2119" s="117">
        <f t="shared" si="1484"/>
        <v>0</v>
      </c>
      <c r="AA2119" s="118"/>
      <c r="AB2119" s="118" t="str">
        <f t="shared" si="1485"/>
        <v/>
      </c>
      <c r="AC2119" s="712" t="str">
        <f>IF(AE2119="T2G","no charge",IF(AND(OR(PlanterYesMe="No",PlanterYesMe="N",PlanterYesMe="me"),H2119=""),"",IF(H2119="credit","NO install",IF(AND(K2119="",AE2119="me"),"EACH row",IF(AND(K2119="images",AE2119="me"),"EACH row",IF(D2119="","",IF(H2119="credit","",IF(AE2119="free","re-planting",IF(AE2119="me","   not ELP, by",IF(AND(OR(PlanterYesMe="Yes",PlanterYesMe="Y"),G2119&gt;0),(VLOOKUP(A2119,'Discount Lookup'!J:K,2)*G2119*(1-PlanterDiscount)*(1+PlanterDifficultyPercentage)),IF(AE2119="ELP",(VLOOKUP(A2119,'Discount Lookup'!J:K,2)*G2119*(1-PlanterDiscount)*(1+PlanterDifficultyPercentage)),IF(AE2119="free","re-planting",IF(G2119=0,"",IF(PlanterYesMe="",IF(AE2119="me","   not ELP, by",IF(AE2119="",IF(G2119&gt;0,(VLOOKUP(A2119,'Discount Lookup'!J:K,2)*G2119*(1-PlanterDiscount)*(1+PlanterDifficultyPercentage)),""),"")),"   not ELP, by"))))))))))))))</f>
        <v/>
      </c>
      <c r="AD2119" s="712"/>
      <c r="AE2119" s="513" t="str">
        <f t="shared" si="1486"/>
        <v/>
      </c>
      <c r="AF2119" s="713" t="str">
        <f t="shared" si="1487"/>
        <v/>
      </c>
      <c r="AG2119" s="713"/>
      <c r="AH2119" s="713"/>
      <c r="AI2119" s="112">
        <f>IF(H2119="credit",0,IF(AE2119="free",0,IF(AE2119="me",0,IF(G2119&gt;0,(VLOOKUP(A2119,'Discount Lookup'!J:K,2)*G2119),0))))</f>
        <v>0</v>
      </c>
      <c r="AJ2119" s="107" t="str">
        <f t="shared" ca="1" si="1488"/>
        <v/>
      </c>
      <c r="AK2119" s="714" t="str">
        <f t="shared" si="1489"/>
        <v/>
      </c>
      <c r="AL2119" s="714"/>
      <c r="AM2119" s="114" t="str">
        <f t="shared" si="1490"/>
        <v/>
      </c>
      <c r="AN2119" s="115"/>
      <c r="AO2119" s="116"/>
      <c r="AP2119" s="116"/>
      <c r="AQ2119" s="116"/>
      <c r="AR2119" s="116"/>
      <c r="AS2119" s="116"/>
      <c r="AT2119" s="116"/>
      <c r="AU2119" s="116"/>
      <c r="AV2119" s="78"/>
      <c r="AW2119" s="102"/>
      <c r="AX2119" s="78"/>
      <c r="AY2119" s="78"/>
      <c r="AZ2119" s="78"/>
      <c r="BA2119" s="78"/>
      <c r="BB2119" s="78"/>
      <c r="BC2119" s="78"/>
      <c r="BD2119" s="78"/>
      <c r="BE2119" s="465"/>
      <c r="BF2119" s="165" t="str">
        <f t="shared" si="1491"/>
        <v>https://www.google.com/search?tbm=isch&amp;q=Robin%20Holly%20foliage%20emerges%20Maroon%2C%20then%20turns%20Dark%20Green.%20All%20female%20%7E%20requires%20a%20nearby%20male%20to%20set%20berries%20</v>
      </c>
      <c r="BG2119" s="165" t="str">
        <f t="shared" si="1492"/>
        <v>R</v>
      </c>
      <c r="BH2119" s="65"/>
      <c r="BI2119" s="65"/>
      <c r="BJ2119" s="65"/>
      <c r="BK2119" s="65"/>
      <c r="BL2119" s="99"/>
      <c r="BM2119" s="99"/>
      <c r="BN2119" s="99"/>
    </row>
    <row r="2120" spans="1:66" s="51" customFormat="1" ht="18" x14ac:dyDescent="0.25">
      <c r="A2120" s="507" t="s">
        <v>2894</v>
      </c>
      <c r="B2120" s="470"/>
      <c r="C2120" s="706"/>
      <c r="D2120" s="471" t="s">
        <v>2895</v>
      </c>
      <c r="E2120" s="472"/>
      <c r="F2120" s="472"/>
      <c r="G2120" s="472"/>
      <c r="H2120" s="622" t="s">
        <v>534</v>
      </c>
      <c r="I2120" s="473" t="s">
        <v>431</v>
      </c>
      <c r="J2120" s="472"/>
      <c r="K2120" s="472"/>
      <c r="L2120" s="561"/>
      <c r="M2120" s="698" t="s">
        <v>5246</v>
      </c>
      <c r="N2120" s="692" t="str">
        <f>IF(AND(ISTEXT($A2120), ISERROR($A2120+0)), HYPERLINK($BF2120, "Images"), "")</f>
        <v>Images</v>
      </c>
      <c r="O2120" s="694" t="s">
        <v>5244</v>
      </c>
      <c r="P2120" s="475"/>
      <c r="Q2120" s="476"/>
      <c r="R2120" s="476"/>
      <c r="S2120" s="477"/>
      <c r="T2120" s="102">
        <f t="shared" si="1480"/>
        <v>0</v>
      </c>
      <c r="U2120" s="78" t="str">
        <f>IF(NOT(ISNUMBER(G2120)), "", VLOOKUP(A2120,'Discount Lookup'!D:E,2,FALSE)*G2120)</f>
        <v/>
      </c>
      <c r="V2120" s="78" t="str">
        <f>IF(NOT(ISNUMBER(G2120)), "", VLOOKUP(A2120,'Discount Lookup'!G:H,2,FALSE)*G2120)</f>
        <v/>
      </c>
      <c r="W2120" s="102">
        <f t="shared" si="1481"/>
        <v>0</v>
      </c>
      <c r="X2120" s="102" t="str">
        <f t="shared" si="1482"/>
        <v>Dark Green foliage</v>
      </c>
      <c r="Y2120" s="120" t="b">
        <f t="shared" si="1483"/>
        <v>0</v>
      </c>
      <c r="Z2120" s="117">
        <f t="shared" si="1484"/>
        <v>0</v>
      </c>
      <c r="AA2120" s="118"/>
      <c r="AB2120" s="118" t="str">
        <f t="shared" si="1485"/>
        <v/>
      </c>
      <c r="AC2120" s="712" t="str">
        <f>IF(AE2120="T2G","no charge",IF(AND(OR(PlanterYesMe="No",PlanterYesMe="N",PlanterYesMe="me"),H2120=""),"",IF(H2120="credit","NO install",IF(AND(K2120="",AE2120="me"),"EACH row",IF(AND(K2120="images",AE2120="me"),"EACH row",IF(D2120="","",IF(H2120="credit","",IF(AE2120="free","re-planting",IF(AE2120="me","   not ELP, by",IF(AND(OR(PlanterYesMe="Yes",PlanterYesMe="Y"),G2120&gt;0),(VLOOKUP(A2120,'Discount Lookup'!J:K,2)*G2120*(1-PlanterDiscount)*(1+PlanterDifficultyPercentage)),IF(AE2120="ELP",(VLOOKUP(A2120,'Discount Lookup'!J:K,2)*G2120*(1-PlanterDiscount)*(1+PlanterDifficultyPercentage)),IF(AE2120="free","re-planting",IF(G2120=0,"",IF(PlanterYesMe="",IF(AE2120="me","   not ELP, by",IF(AE2120="",IF(G2120&gt;0,(VLOOKUP(A2120,'Discount Lookup'!J:K,2)*G2120*(1-PlanterDiscount)*(1+PlanterDifficultyPercentage)),""),"")),"   not ELP, by"))))))))))))))</f>
        <v/>
      </c>
      <c r="AD2120" s="712"/>
      <c r="AE2120" s="513" t="str">
        <f t="shared" si="1486"/>
        <v/>
      </c>
      <c r="AF2120" s="713" t="str">
        <f t="shared" si="1487"/>
        <v/>
      </c>
      <c r="AG2120" s="713"/>
      <c r="AH2120" s="713"/>
      <c r="AI2120" s="112">
        <f>IF(H2120="credit",0,IF(AE2120="free",0,IF(AE2120="me",0,IF(G2120&gt;0,(VLOOKUP(A2120,'Discount Lookup'!J:K,2)*G2120),0))))</f>
        <v>0</v>
      </c>
      <c r="AJ2120" s="107" t="str">
        <f t="shared" ca="1" si="1488"/>
        <v/>
      </c>
      <c r="AK2120" s="714" t="str">
        <f t="shared" si="1489"/>
        <v/>
      </c>
      <c r="AL2120" s="714"/>
      <c r="AM2120" s="114" t="str">
        <f t="shared" si="1490"/>
        <v/>
      </c>
      <c r="AN2120" s="115"/>
      <c r="AO2120" s="116"/>
      <c r="AP2120" s="116"/>
      <c r="AQ2120" s="116"/>
      <c r="AR2120" s="116"/>
      <c r="AS2120" s="116"/>
      <c r="AT2120" s="116"/>
      <c r="AU2120" s="116"/>
      <c r="AV2120" s="78"/>
      <c r="AW2120" s="102"/>
      <c r="AX2120" s="78"/>
      <c r="AY2120" s="78"/>
      <c r="AZ2120" s="78"/>
      <c r="BA2120" s="78"/>
      <c r="BB2120" s="78"/>
      <c r="BC2120" s="78"/>
      <c r="BD2120" s="78"/>
      <c r="BE2120" s="465"/>
      <c r="BF2120" s="165" t="str">
        <f t="shared" si="1491"/>
        <v>https://www.google.com/search?tbm=isch&amp;q=Ilex%20cornuta%20%27Burfordii%27%20Burford%20Holly</v>
      </c>
      <c r="BG2120" s="165" t="str">
        <f t="shared" si="1492"/>
        <v>I</v>
      </c>
      <c r="BH2120" s="65"/>
      <c r="BI2120" s="65"/>
      <c r="BJ2120" s="65"/>
      <c r="BK2120" s="65"/>
      <c r="BL2120" s="99"/>
      <c r="BM2120" s="99"/>
      <c r="BN2120" s="99"/>
    </row>
    <row r="2121" spans="1:66" s="51" customFormat="1" ht="15.75" x14ac:dyDescent="0.25">
      <c r="A2121" s="478">
        <v>10</v>
      </c>
      <c r="B2121" s="479" t="s">
        <v>291</v>
      </c>
      <c r="C2121" s="480" t="s">
        <v>2896</v>
      </c>
      <c r="D2121" s="481" t="s">
        <v>309</v>
      </c>
      <c r="E2121" s="482">
        <v>83.95</v>
      </c>
      <c r="F2121" s="483" t="s">
        <v>292</v>
      </c>
      <c r="G2121" s="484">
        <v>0</v>
      </c>
      <c r="H2121" s="688" t="str">
        <f>IF(G2121=0,"",IF(F2121="Buy",IF(G2121=1,"plant","plants"),IF(F2121&gt;0.01,"warranty","Error")))</f>
        <v/>
      </c>
      <c r="I2121" s="485">
        <f>IF(H2121="free",0,IF(H2121="credit",((E2121*(F2121))*G2121*-1),IF(F2121="Buy",(E2121*G2121),((E2121*(1-F2121))*G2121))))</f>
        <v>0</v>
      </c>
      <c r="J2121" s="485">
        <f>IF(H2121="warranty",0,(I2121*(_xlfn.SINGLE(SalesTaxPercentage))))</f>
        <v>0</v>
      </c>
      <c r="K2121" s="715">
        <f t="shared" ref="K2121" si="1516">I2121+J2121</f>
        <v>0</v>
      </c>
      <c r="L2121" s="715"/>
      <c r="M2121" s="689" t="str">
        <f ca="1">IF(AND(G2121&gt;0,E2121=0),"WARNING - no PRICE inserted",IF(H2121="free","FREE ~ no charge this plant",IF(H2121="credit",CONCATENATE("-$",ROUND(K2121*(1-_xlfn.SINGLE(T2GDiscount))*-1,2)," CREDIT after discount"),IF(_xlfn.SINGLE(T2GDiscount)=0,"",IF(G2121=0,"",IF(F2121="Buy",CONCATENATE("$",ROUND(K2121*(1-_xlfn.SINGLE(T2GDiscount)),2)," with ",(_xlfn.SINGLE(T2GDiscount)*100),"% discount"),CONCATENATE("$",ROUND(K2121*(1-_xlfn.SINGLE(T2GDiscount)),2)," with ",((_xlfn.SINGLE(T2GDiscount)*100+F2121*100)-(_xlfn.SINGLE(T2GDiscount)*100*F2121)),IF(F2121&gt;0,"% discounts",IF(_xlfn.SINGLE(NoWarrantyDiscount)&gt;0,"% discounts","% discount")))))))))</f>
        <v/>
      </c>
      <c r="N2121" s="690"/>
      <c r="O2121" s="486"/>
      <c r="P2121" s="486"/>
      <c r="Q2121" s="486"/>
      <c r="R2121" s="486"/>
      <c r="S2121" s="486"/>
      <c r="T2121" s="102">
        <f t="shared" si="1480"/>
        <v>0</v>
      </c>
      <c r="U2121" s="78">
        <f>IF(NOT(ISNUMBER(G2121)), "", VLOOKUP(A2121,'Discount Lookup'!D:E,2,FALSE)*G2121)</f>
        <v>0</v>
      </c>
      <c r="V2121" s="78">
        <f>IF(NOT(ISNUMBER(G2121)), "", VLOOKUP(A2121,'Discount Lookup'!G:H,2,FALSE)*G2121)</f>
        <v>0</v>
      </c>
      <c r="W2121" s="102">
        <f t="shared" si="1481"/>
        <v>0</v>
      </c>
      <c r="X2121" s="102">
        <f t="shared" si="1482"/>
        <v>0</v>
      </c>
      <c r="Y2121" s="120" t="b">
        <f t="shared" si="1483"/>
        <v>0</v>
      </c>
      <c r="Z2121" s="117">
        <f t="shared" si="1484"/>
        <v>0</v>
      </c>
      <c r="AA2121" s="118"/>
      <c r="AB2121" s="118" t="str">
        <f t="shared" si="1485"/>
        <v/>
      </c>
      <c r="AC2121" s="712" t="str">
        <f>IF(AE2121="T2G","no charge",IF(AND(OR(PlanterYesMe="No",PlanterYesMe="N",PlanterYesMe="me"),H2121=""),"",IF(H2121="credit","NO install",IF(AND(K2121="",AE2121="me"),"EACH row",IF(AND(K2121="images",AE2121="me"),"EACH row",IF(D2121="","",IF(H2121="credit","",IF(AE2121="free","re-planting",IF(AE2121="me","   not ELP, by",IF(AND(OR(PlanterYesMe="Yes",PlanterYesMe="Y"),G2121&gt;0),(VLOOKUP(A2121,'Discount Lookup'!J:K,2)*G2121*(1-PlanterDiscount)*(1+PlanterDifficultyPercentage)),IF(AE2121="ELP",(VLOOKUP(A2121,'Discount Lookup'!J:K,2)*G2121*(1-PlanterDiscount)*(1+PlanterDifficultyPercentage)),IF(AE2121="free","re-planting",IF(G2121=0,"",IF(PlanterYesMe="",IF(AE2121="me","   not ELP, by",IF(AE2121="",IF(G2121&gt;0,(VLOOKUP(A2121,'Discount Lookup'!J:K,2)*G2121*(1-PlanterDiscount)*(1+PlanterDifficultyPercentage)),""),"")),"   not ELP, by"))))))))))))))</f>
        <v/>
      </c>
      <c r="AD2121" s="712"/>
      <c r="AE2121" s="513" t="str">
        <f t="shared" si="1486"/>
        <v/>
      </c>
      <c r="AF2121" s="713" t="str">
        <f t="shared" si="1487"/>
        <v/>
      </c>
      <c r="AG2121" s="713"/>
      <c r="AH2121" s="713"/>
      <c r="AI2121" s="112">
        <f>IF(H2121="credit",0,IF(AE2121="free",0,IF(AE2121="me",0,IF(G2121&gt;0,(VLOOKUP(A2121,'Discount Lookup'!J:K,2)*G2121),0))))</f>
        <v>0</v>
      </c>
      <c r="AJ2121" s="107" t="str">
        <f t="shared" ca="1" si="1488"/>
        <v/>
      </c>
      <c r="AK2121" s="714" t="str">
        <f t="shared" si="1489"/>
        <v/>
      </c>
      <c r="AL2121" s="714"/>
      <c r="AM2121" s="114" t="str">
        <f t="shared" si="1490"/>
        <v/>
      </c>
      <c r="AN2121" s="115"/>
      <c r="AO2121" s="116"/>
      <c r="AP2121" s="116"/>
      <c r="AQ2121" s="116"/>
      <c r="AR2121" s="116"/>
      <c r="AS2121" s="116"/>
      <c r="AT2121" s="116"/>
      <c r="AU2121" s="116"/>
      <c r="AV2121" s="78"/>
      <c r="AW2121" s="102"/>
      <c r="AX2121" s="78"/>
      <c r="AY2121" s="78"/>
      <c r="AZ2121" s="78"/>
      <c r="BA2121" s="78"/>
      <c r="BB2121" s="78"/>
      <c r="BC2121" s="78"/>
      <c r="BD2121" s="78"/>
      <c r="BE2121" s="465"/>
      <c r="BF2121" s="165" t="str">
        <f t="shared" si="1491"/>
        <v>https://www.google.com/search?tbm=isch&amp;q=10%20G3</v>
      </c>
      <c r="BG2121" s="165" t="str">
        <f t="shared" si="1492"/>
        <v>I</v>
      </c>
      <c r="BH2121" s="65"/>
      <c r="BI2121" s="65"/>
      <c r="BJ2121" s="65"/>
      <c r="BK2121" s="65"/>
      <c r="BL2121" s="99"/>
      <c r="BM2121" s="99"/>
      <c r="BN2121" s="99"/>
    </row>
    <row r="2122" spans="1:66" s="51" customFormat="1" ht="27" x14ac:dyDescent="0.25">
      <c r="A2122" s="478">
        <v>25</v>
      </c>
      <c r="B2122" s="479" t="s">
        <v>291</v>
      </c>
      <c r="C2122" s="480" t="s">
        <v>2897</v>
      </c>
      <c r="D2122" s="481" t="s">
        <v>299</v>
      </c>
      <c r="E2122" s="482">
        <v>367.95</v>
      </c>
      <c r="F2122" s="483" t="s">
        <v>292</v>
      </c>
      <c r="G2122" s="484">
        <v>0</v>
      </c>
      <c r="H2122" s="688" t="str">
        <f>IF(G2122=0,"",IF(F2122="Buy",IF(G2122=1,"plant","plants"),IF(F2122&gt;0.01,"warranty","Error")))</f>
        <v/>
      </c>
      <c r="I2122" s="485">
        <f>IF(H2122="free",0,IF(H2122="credit",((E2122*(F2122))*G2122*-1),IF(F2122="Buy",(E2122*G2122),((E2122*(1-F2122))*G2122))))</f>
        <v>0</v>
      </c>
      <c r="J2122" s="485">
        <f>IF(H2122="warranty",0,(I2122*(_xlfn.SINGLE(SalesTaxPercentage))))</f>
        <v>0</v>
      </c>
      <c r="K2122" s="715">
        <f t="shared" ref="K2122" si="1517">I2122+J2122</f>
        <v>0</v>
      </c>
      <c r="L2122" s="715"/>
      <c r="M2122" s="689" t="str">
        <f ca="1">IF(AND(G2122&gt;0,E2122=0),"WARNING - no PRICE inserted",IF(H2122="free","FREE ~ no charge this plant",IF(H2122="credit",CONCATENATE("-$",ROUND(K2122*(1-_xlfn.SINGLE(T2GDiscount))*-1,2)," CREDIT after discount"),IF(_xlfn.SINGLE(T2GDiscount)=0,"",IF(G2122=0,"",IF(F2122="Buy",CONCATENATE("$",ROUND(K2122*(1-_xlfn.SINGLE(T2GDiscount)),2)," with ",(_xlfn.SINGLE(T2GDiscount)*100),"% discount"),CONCATENATE("$",ROUND(K2122*(1-_xlfn.SINGLE(T2GDiscount)),2)," with ",((_xlfn.SINGLE(T2GDiscount)*100+F2122*100)-(_xlfn.SINGLE(T2GDiscount)*100*F2122)),IF(F2122&gt;0,"% discounts",IF(_xlfn.SINGLE(NoWarrantyDiscount)&gt;0,"% discounts","% discount")))))))))</f>
        <v/>
      </c>
      <c r="N2122" s="690"/>
      <c r="O2122" s="486"/>
      <c r="P2122" s="486"/>
      <c r="Q2122" s="486"/>
      <c r="R2122" s="486"/>
      <c r="S2122" s="486"/>
      <c r="T2122" s="102">
        <f t="shared" si="1480"/>
        <v>0</v>
      </c>
      <c r="U2122" s="78">
        <f>IF(NOT(ISNUMBER(G2122)), "", VLOOKUP(A2122,'Discount Lookup'!D:E,2,FALSE)*G2122)</f>
        <v>0</v>
      </c>
      <c r="V2122" s="78">
        <f>IF(NOT(ISNUMBER(G2122)), "", VLOOKUP(A2122,'Discount Lookup'!G:H,2,FALSE)*G2122)</f>
        <v>0</v>
      </c>
      <c r="W2122" s="102">
        <f t="shared" si="1481"/>
        <v>0</v>
      </c>
      <c r="X2122" s="102">
        <f t="shared" si="1482"/>
        <v>0</v>
      </c>
      <c r="Y2122" s="120" t="b">
        <f t="shared" si="1483"/>
        <v>0</v>
      </c>
      <c r="Z2122" s="117">
        <f t="shared" si="1484"/>
        <v>0</v>
      </c>
      <c r="AA2122" s="118"/>
      <c r="AB2122" s="118" t="str">
        <f t="shared" si="1485"/>
        <v/>
      </c>
      <c r="AC2122" s="712" t="str">
        <f>IF(AE2122="T2G","no charge",IF(AND(OR(PlanterYesMe="No",PlanterYesMe="N",PlanterYesMe="me"),H2122=""),"",IF(H2122="credit","NO install",IF(AND(K2122="",AE2122="me"),"EACH row",IF(AND(K2122="images",AE2122="me"),"EACH row",IF(D2122="","",IF(H2122="credit","",IF(AE2122="free","re-planting",IF(AE2122="me","   not ELP, by",IF(AND(OR(PlanterYesMe="Yes",PlanterYesMe="Y"),G2122&gt;0),(VLOOKUP(A2122,'Discount Lookup'!J:K,2)*G2122*(1-PlanterDiscount)*(1+PlanterDifficultyPercentage)),IF(AE2122="ELP",(VLOOKUP(A2122,'Discount Lookup'!J:K,2)*G2122*(1-PlanterDiscount)*(1+PlanterDifficultyPercentage)),IF(AE2122="free","re-planting",IF(G2122=0,"",IF(PlanterYesMe="",IF(AE2122="me","   not ELP, by",IF(AE2122="",IF(G2122&gt;0,(VLOOKUP(A2122,'Discount Lookup'!J:K,2)*G2122*(1-PlanterDiscount)*(1+PlanterDifficultyPercentage)),""),"")),"   not ELP, by"))))))))))))))</f>
        <v/>
      </c>
      <c r="AD2122" s="712"/>
      <c r="AE2122" s="513" t="str">
        <f t="shared" si="1486"/>
        <v/>
      </c>
      <c r="AF2122" s="713" t="str">
        <f t="shared" si="1487"/>
        <v/>
      </c>
      <c r="AG2122" s="713"/>
      <c r="AH2122" s="713"/>
      <c r="AI2122" s="112">
        <f>IF(H2122="credit",0,IF(AE2122="free",0,IF(AE2122="me",0,IF(G2122&gt;0,(VLOOKUP(A2122,'Discount Lookup'!J:K,2)*G2122),0))))</f>
        <v>0</v>
      </c>
      <c r="AJ2122" s="107" t="str">
        <f t="shared" ca="1" si="1488"/>
        <v/>
      </c>
      <c r="AK2122" s="714" t="str">
        <f t="shared" si="1489"/>
        <v/>
      </c>
      <c r="AL2122" s="714"/>
      <c r="AM2122" s="114" t="str">
        <f t="shared" si="1490"/>
        <v/>
      </c>
      <c r="AN2122" s="115"/>
      <c r="AO2122" s="116"/>
      <c r="AP2122" s="116"/>
      <c r="AQ2122" s="116"/>
      <c r="AR2122" s="116"/>
      <c r="AS2122" s="116"/>
      <c r="AT2122" s="116"/>
      <c r="AU2122" s="116"/>
      <c r="AV2122" s="78"/>
      <c r="AW2122" s="102"/>
      <c r="AX2122" s="78"/>
      <c r="AY2122" s="78"/>
      <c r="AZ2122" s="78"/>
      <c r="BA2122" s="78"/>
      <c r="BB2122" s="78"/>
      <c r="BC2122" s="78"/>
      <c r="BD2122" s="78"/>
      <c r="BE2122" s="465"/>
      <c r="BF2122" s="165" t="str">
        <f t="shared" si="1491"/>
        <v>https://www.google.com/search?tbm=isch&amp;q=25%20G4</v>
      </c>
      <c r="BG2122" s="165" t="str">
        <f t="shared" si="1492"/>
        <v>I</v>
      </c>
      <c r="BH2122" s="65"/>
      <c r="BI2122" s="65"/>
      <c r="BJ2122" s="65"/>
      <c r="BK2122" s="65"/>
      <c r="BL2122" s="99"/>
      <c r="BM2122" s="99"/>
      <c r="BN2122" s="99"/>
    </row>
    <row r="2123" spans="1:66" s="51" customFormat="1" ht="40.5" x14ac:dyDescent="0.25">
      <c r="A2123" s="478">
        <v>65</v>
      </c>
      <c r="B2123" s="479" t="s">
        <v>291</v>
      </c>
      <c r="C2123" s="480" t="s">
        <v>2898</v>
      </c>
      <c r="D2123" s="481" t="s">
        <v>299</v>
      </c>
      <c r="E2123" s="482">
        <v>835.95</v>
      </c>
      <c r="F2123" s="483" t="s">
        <v>292</v>
      </c>
      <c r="G2123" s="484">
        <v>0</v>
      </c>
      <c r="H2123" s="688" t="str">
        <f>IF(G2123=0,"",IF(F2123="Buy",IF(G2123=1,"plant","plants"),IF(F2123&gt;0.01,"warranty","Error")))</f>
        <v/>
      </c>
      <c r="I2123" s="485">
        <f>IF(H2123="free",0,IF(H2123="credit",((E2123*(F2123))*G2123*-1),IF(F2123="Buy",(E2123*G2123),((E2123*(1-F2123))*G2123))))</f>
        <v>0</v>
      </c>
      <c r="J2123" s="485">
        <f>IF(H2123="warranty",0,(I2123*(_xlfn.SINGLE(SalesTaxPercentage))))</f>
        <v>0</v>
      </c>
      <c r="K2123" s="715">
        <f t="shared" ref="K2123" si="1518">I2123+J2123</f>
        <v>0</v>
      </c>
      <c r="L2123" s="715"/>
      <c r="M2123" s="689" t="str">
        <f ca="1">IF(AND(G2123&gt;0,E2123=0),"WARNING - no PRICE inserted",IF(H2123="free","FREE ~ no charge this plant",IF(H2123="credit",CONCATENATE("-$",ROUND(K2123*(1-_xlfn.SINGLE(T2GDiscount))*-1,2)," CREDIT after discount"),IF(_xlfn.SINGLE(T2GDiscount)=0,"",IF(G2123=0,"",IF(F2123="Buy",CONCATENATE("$",ROUND(K2123*(1-_xlfn.SINGLE(T2GDiscount)),2)," with ",(_xlfn.SINGLE(T2GDiscount)*100),"% discount"),CONCATENATE("$",ROUND(K2123*(1-_xlfn.SINGLE(T2GDiscount)),2)," with ",((_xlfn.SINGLE(T2GDiscount)*100+F2123*100)-(_xlfn.SINGLE(T2GDiscount)*100*F2123)),IF(F2123&gt;0,"% discounts",IF(_xlfn.SINGLE(NoWarrantyDiscount)&gt;0,"% discounts","% discount")))))))))</f>
        <v/>
      </c>
      <c r="N2123" s="690"/>
      <c r="O2123" s="486"/>
      <c r="P2123" s="486"/>
      <c r="Q2123" s="486"/>
      <c r="R2123" s="486"/>
      <c r="S2123" s="486"/>
      <c r="T2123" s="102">
        <f t="shared" si="1480"/>
        <v>0</v>
      </c>
      <c r="U2123" s="78">
        <f>IF(NOT(ISNUMBER(G2123)), "", VLOOKUP(A2123,'Discount Lookup'!D:E,2,FALSE)*G2123)</f>
        <v>0</v>
      </c>
      <c r="V2123" s="78">
        <f>IF(NOT(ISNUMBER(G2123)), "", VLOOKUP(A2123,'Discount Lookup'!G:H,2,FALSE)*G2123)</f>
        <v>0</v>
      </c>
      <c r="W2123" s="102">
        <f t="shared" si="1481"/>
        <v>0</v>
      </c>
      <c r="X2123" s="102">
        <f t="shared" si="1482"/>
        <v>0</v>
      </c>
      <c r="Y2123" s="120" t="b">
        <f t="shared" si="1483"/>
        <v>0</v>
      </c>
      <c r="Z2123" s="117">
        <f t="shared" si="1484"/>
        <v>0</v>
      </c>
      <c r="AA2123" s="118"/>
      <c r="AB2123" s="118" t="str">
        <f t="shared" si="1485"/>
        <v/>
      </c>
      <c r="AC2123" s="712" t="str">
        <f>IF(AE2123="T2G","no charge",IF(AND(OR(PlanterYesMe="No",PlanterYesMe="N",PlanterYesMe="me"),H2123=""),"",IF(H2123="credit","NO install",IF(AND(K2123="",AE2123="me"),"EACH row",IF(AND(K2123="images",AE2123="me"),"EACH row",IF(D2123="","",IF(H2123="credit","",IF(AE2123="free","re-planting",IF(AE2123="me","   not ELP, by",IF(AND(OR(PlanterYesMe="Yes",PlanterYesMe="Y"),G2123&gt;0),(VLOOKUP(A2123,'Discount Lookup'!J:K,2)*G2123*(1-PlanterDiscount)*(1+PlanterDifficultyPercentage)),IF(AE2123="ELP",(VLOOKUP(A2123,'Discount Lookup'!J:K,2)*G2123*(1-PlanterDiscount)*(1+PlanterDifficultyPercentage)),IF(AE2123="free","re-planting",IF(G2123=0,"",IF(PlanterYesMe="",IF(AE2123="me","   not ELP, by",IF(AE2123="",IF(G2123&gt;0,(VLOOKUP(A2123,'Discount Lookup'!J:K,2)*G2123*(1-PlanterDiscount)*(1+PlanterDifficultyPercentage)),""),"")),"   not ELP, by"))))))))))))))</f>
        <v/>
      </c>
      <c r="AD2123" s="712"/>
      <c r="AE2123" s="513" t="str">
        <f t="shared" si="1486"/>
        <v/>
      </c>
      <c r="AF2123" s="713" t="str">
        <f t="shared" si="1487"/>
        <v/>
      </c>
      <c r="AG2123" s="713"/>
      <c r="AH2123" s="713"/>
      <c r="AI2123" s="112">
        <f>IF(H2123="credit",0,IF(AE2123="free",0,IF(AE2123="me",0,IF(G2123&gt;0,(VLOOKUP(A2123,'Discount Lookup'!J:K,2)*G2123),0))))</f>
        <v>0</v>
      </c>
      <c r="AJ2123" s="107" t="str">
        <f t="shared" ca="1" si="1488"/>
        <v/>
      </c>
      <c r="AK2123" s="714" t="str">
        <f t="shared" si="1489"/>
        <v/>
      </c>
      <c r="AL2123" s="714"/>
      <c r="AM2123" s="114" t="str">
        <f t="shared" si="1490"/>
        <v/>
      </c>
      <c r="AN2123" s="115"/>
      <c r="AO2123" s="116"/>
      <c r="AP2123" s="116"/>
      <c r="AQ2123" s="116"/>
      <c r="AR2123" s="116"/>
      <c r="AS2123" s="116"/>
      <c r="AT2123" s="116"/>
      <c r="AU2123" s="116"/>
      <c r="AV2123" s="78"/>
      <c r="AW2123" s="102"/>
      <c r="AX2123" s="78"/>
      <c r="AY2123" s="78"/>
      <c r="AZ2123" s="78"/>
      <c r="BA2123" s="78"/>
      <c r="BB2123" s="78"/>
      <c r="BC2123" s="78"/>
      <c r="BD2123" s="78"/>
      <c r="BE2123" s="465"/>
      <c r="BF2123" s="165" t="str">
        <f t="shared" si="1491"/>
        <v>https://www.google.com/search?tbm=isch&amp;q=65%20G4</v>
      </c>
      <c r="BG2123" s="165" t="str">
        <f t="shared" si="1492"/>
        <v>I</v>
      </c>
      <c r="BH2123" s="65"/>
      <c r="BI2123" s="65"/>
      <c r="BJ2123" s="65"/>
      <c r="BK2123" s="65"/>
      <c r="BL2123" s="99"/>
      <c r="BM2123" s="99"/>
      <c r="BN2123" s="99"/>
    </row>
    <row r="2124" spans="1:66" s="51" customFormat="1" ht="17.25" thickBot="1" x14ac:dyDescent="0.3">
      <c r="A2124" s="508" t="s">
        <v>2899</v>
      </c>
      <c r="B2124" s="487"/>
      <c r="C2124" s="707"/>
      <c r="D2124" s="487"/>
      <c r="E2124" s="487"/>
      <c r="F2124" s="488"/>
      <c r="G2124" s="489"/>
      <c r="H2124" s="487"/>
      <c r="I2124" s="490"/>
      <c r="J2124" s="490"/>
      <c r="K2124" s="491"/>
      <c r="L2124" s="547"/>
      <c r="M2124" s="528"/>
      <c r="N2124" s="492"/>
      <c r="O2124" s="493"/>
      <c r="P2124" s="494"/>
      <c r="Q2124" s="492"/>
      <c r="R2124" s="492"/>
      <c r="S2124" s="699" t="s">
        <v>5288</v>
      </c>
      <c r="T2124" s="102">
        <f t="shared" si="1480"/>
        <v>0</v>
      </c>
      <c r="U2124" s="78" t="str">
        <f>IF(NOT(ISNUMBER(G2124)), "", VLOOKUP(A2124,'Discount Lookup'!D:E,2,FALSE)*G2124)</f>
        <v/>
      </c>
      <c r="V2124" s="78" t="str">
        <f>IF(NOT(ISNUMBER(G2124)), "", VLOOKUP(A2124,'Discount Lookup'!G:H,2,FALSE)*G2124)</f>
        <v/>
      </c>
      <c r="W2124" s="102">
        <f t="shared" si="1481"/>
        <v>0</v>
      </c>
      <c r="X2124" s="102">
        <f t="shared" si="1482"/>
        <v>0</v>
      </c>
      <c r="Y2124" s="120" t="b">
        <f t="shared" si="1483"/>
        <v>0</v>
      </c>
      <c r="Z2124" s="117">
        <f t="shared" si="1484"/>
        <v>0</v>
      </c>
      <c r="AA2124" s="118"/>
      <c r="AB2124" s="118" t="str">
        <f t="shared" si="1485"/>
        <v/>
      </c>
      <c r="AC2124" s="712" t="str">
        <f>IF(AE2124="T2G","no charge",IF(AND(OR(PlanterYesMe="No",PlanterYesMe="N",PlanterYesMe="me"),H2124=""),"",IF(H2124="credit","NO install",IF(AND(K2124="",AE2124="me"),"EACH row",IF(AND(K2124="images",AE2124="me"),"EACH row",IF(D2124="","",IF(H2124="credit","",IF(AE2124="free","re-planting",IF(AE2124="me","   not ELP, by",IF(AND(OR(PlanterYesMe="Yes",PlanterYesMe="Y"),G2124&gt;0),(VLOOKUP(A2124,'Discount Lookup'!J:K,2)*G2124*(1-PlanterDiscount)*(1+PlanterDifficultyPercentage)),IF(AE2124="ELP",(VLOOKUP(A2124,'Discount Lookup'!J:K,2)*G2124*(1-PlanterDiscount)*(1+PlanterDifficultyPercentage)),IF(AE2124="free","re-planting",IF(G2124=0,"",IF(PlanterYesMe="",IF(AE2124="me","   not ELP, by",IF(AE2124="",IF(G2124&gt;0,(VLOOKUP(A2124,'Discount Lookup'!J:K,2)*G2124*(1-PlanterDiscount)*(1+PlanterDifficultyPercentage)),""),"")),"   not ELP, by"))))))))))))))</f>
        <v/>
      </c>
      <c r="AD2124" s="712"/>
      <c r="AE2124" s="513" t="str">
        <f t="shared" si="1486"/>
        <v/>
      </c>
      <c r="AF2124" s="713" t="str">
        <f t="shared" si="1487"/>
        <v/>
      </c>
      <c r="AG2124" s="713"/>
      <c r="AH2124" s="713"/>
      <c r="AI2124" s="112">
        <f>IF(H2124="credit",0,IF(AE2124="free",0,IF(AE2124="me",0,IF(G2124&gt;0,(VLOOKUP(A2124,'Discount Lookup'!J:K,2)*G2124),0))))</f>
        <v>0</v>
      </c>
      <c r="AJ2124" s="107" t="str">
        <f t="shared" ca="1" si="1488"/>
        <v/>
      </c>
      <c r="AK2124" s="714" t="str">
        <f t="shared" si="1489"/>
        <v/>
      </c>
      <c r="AL2124" s="714"/>
      <c r="AM2124" s="114" t="str">
        <f t="shared" si="1490"/>
        <v/>
      </c>
      <c r="AN2124" s="115"/>
      <c r="AO2124" s="116"/>
      <c r="AP2124" s="116"/>
      <c r="AQ2124" s="116"/>
      <c r="AR2124" s="116"/>
      <c r="AS2124" s="116"/>
      <c r="AT2124" s="116"/>
      <c r="AU2124" s="116"/>
      <c r="AV2124" s="78"/>
      <c r="AW2124" s="102"/>
      <c r="AX2124" s="78"/>
      <c r="AY2124" s="78"/>
      <c r="AZ2124" s="78"/>
      <c r="BA2124" s="78"/>
      <c r="BB2124" s="78"/>
      <c r="BC2124" s="78"/>
      <c r="BD2124" s="78"/>
      <c r="BE2124" s="465"/>
      <c r="BF2124" s="165" t="str">
        <f t="shared" si="1491"/>
        <v>https://www.google.com/search?tbm=isch&amp;q=Burford%20Holly%20has%20a%20heavy%20display%20of%20bright%20Red%20berries%20and%20ability%20to%20be%20shaped%20into%20hedges%20or%20small%20specimen%20trees%20</v>
      </c>
      <c r="BG2124" s="165" t="str">
        <f t="shared" si="1492"/>
        <v>B</v>
      </c>
      <c r="BH2124" s="65"/>
      <c r="BI2124" s="65"/>
      <c r="BJ2124" s="65"/>
      <c r="BK2124" s="65"/>
      <c r="BL2124" s="99"/>
      <c r="BM2124" s="99"/>
      <c r="BN2124" s="99"/>
    </row>
    <row r="2125" spans="1:66" s="51" customFormat="1" ht="18" x14ac:dyDescent="0.25">
      <c r="A2125" s="507" t="s">
        <v>2900</v>
      </c>
      <c r="B2125" s="470"/>
      <c r="C2125" s="706"/>
      <c r="D2125" s="471" t="s">
        <v>2901</v>
      </c>
      <c r="E2125" s="472"/>
      <c r="F2125" s="472"/>
      <c r="G2125" s="472"/>
      <c r="H2125" s="622" t="s">
        <v>1217</v>
      </c>
      <c r="I2125" s="473" t="s">
        <v>432</v>
      </c>
      <c r="J2125" s="472"/>
      <c r="K2125" s="472"/>
      <c r="L2125" s="561"/>
      <c r="M2125" s="698" t="s">
        <v>5246</v>
      </c>
      <c r="N2125" s="692" t="str">
        <f>IF(AND(ISTEXT($A2125), ISERROR($A2125+0)), HYPERLINK($BF2125, "Images"), "")</f>
        <v>Images</v>
      </c>
      <c r="O2125" s="694" t="s">
        <v>5247</v>
      </c>
      <c r="P2125" s="475"/>
      <c r="Q2125" s="476"/>
      <c r="R2125" s="476"/>
      <c r="S2125" s="477"/>
      <c r="T2125" s="102">
        <f t="shared" si="1480"/>
        <v>0</v>
      </c>
      <c r="U2125" s="78" t="str">
        <f>IF(NOT(ISNUMBER(G2125)), "", VLOOKUP(A2125,'Discount Lookup'!D:E,2,FALSE)*G2125)</f>
        <v/>
      </c>
      <c r="V2125" s="78" t="str">
        <f>IF(NOT(ISNUMBER(G2125)), "", VLOOKUP(A2125,'Discount Lookup'!G:H,2,FALSE)*G2125)</f>
        <v/>
      </c>
      <c r="W2125" s="102">
        <f t="shared" si="1481"/>
        <v>0</v>
      </c>
      <c r="X2125" s="102" t="str">
        <f t="shared" si="1482"/>
        <v>Green foliage</v>
      </c>
      <c r="Y2125" s="120" t="b">
        <f t="shared" si="1483"/>
        <v>0</v>
      </c>
      <c r="Z2125" s="117">
        <f t="shared" si="1484"/>
        <v>0</v>
      </c>
      <c r="AA2125" s="118"/>
      <c r="AB2125" s="118" t="str">
        <f t="shared" si="1485"/>
        <v/>
      </c>
      <c r="AC2125" s="712" t="str">
        <f>IF(AE2125="T2G","no charge",IF(AND(OR(PlanterYesMe="No",PlanterYesMe="N",PlanterYesMe="me"),H2125=""),"",IF(H2125="credit","NO install",IF(AND(K2125="",AE2125="me"),"EACH row",IF(AND(K2125="images",AE2125="me"),"EACH row",IF(D2125="","",IF(H2125="credit","",IF(AE2125="free","re-planting",IF(AE2125="me","   not ELP, by",IF(AND(OR(PlanterYesMe="Yes",PlanterYesMe="Y"),G2125&gt;0),(VLOOKUP(A2125,'Discount Lookup'!J:K,2)*G2125*(1-PlanterDiscount)*(1+PlanterDifficultyPercentage)),IF(AE2125="ELP",(VLOOKUP(A2125,'Discount Lookup'!J:K,2)*G2125*(1-PlanterDiscount)*(1+PlanterDifficultyPercentage)),IF(AE2125="free","re-planting",IF(G2125=0,"",IF(PlanterYesMe="",IF(AE2125="me","   not ELP, by",IF(AE2125="",IF(G2125&gt;0,(VLOOKUP(A2125,'Discount Lookup'!J:K,2)*G2125*(1-PlanterDiscount)*(1+PlanterDifficultyPercentage)),""),"")),"   not ELP, by"))))))))))))))</f>
        <v/>
      </c>
      <c r="AD2125" s="712"/>
      <c r="AE2125" s="513" t="str">
        <f t="shared" si="1486"/>
        <v/>
      </c>
      <c r="AF2125" s="713" t="str">
        <f t="shared" si="1487"/>
        <v/>
      </c>
      <c r="AG2125" s="713"/>
      <c r="AH2125" s="713"/>
      <c r="AI2125" s="112">
        <f>IF(H2125="credit",0,IF(AE2125="free",0,IF(AE2125="me",0,IF(G2125&gt;0,(VLOOKUP(A2125,'Discount Lookup'!J:K,2)*G2125),0))))</f>
        <v>0</v>
      </c>
      <c r="AJ2125" s="107" t="str">
        <f t="shared" ca="1" si="1488"/>
        <v/>
      </c>
      <c r="AK2125" s="714" t="str">
        <f t="shared" si="1489"/>
        <v/>
      </c>
      <c r="AL2125" s="714"/>
      <c r="AM2125" s="114" t="str">
        <f t="shared" si="1490"/>
        <v/>
      </c>
      <c r="AN2125" s="115"/>
      <c r="AO2125" s="116"/>
      <c r="AP2125" s="116"/>
      <c r="AQ2125" s="116"/>
      <c r="AR2125" s="116"/>
      <c r="AS2125" s="116"/>
      <c r="AT2125" s="116"/>
      <c r="AU2125" s="116"/>
      <c r="AV2125" s="78"/>
      <c r="AW2125" s="102"/>
      <c r="AX2125" s="78"/>
      <c r="AY2125" s="78"/>
      <c r="AZ2125" s="78"/>
      <c r="BA2125" s="78"/>
      <c r="BB2125" s="78"/>
      <c r="BC2125" s="78"/>
      <c r="BD2125" s="78"/>
      <c r="BE2125" s="465"/>
      <c r="BF2125" s="165" t="str">
        <f t="shared" si="1491"/>
        <v>https://www.google.com/search?tbm=isch&amp;q=Ilex%20cornuta%20%27Burfordii%20Nana%27%20Dwarf%20Burford%20Holly</v>
      </c>
      <c r="BG2125" s="165" t="str">
        <f t="shared" si="1492"/>
        <v>I</v>
      </c>
      <c r="BH2125" s="65"/>
      <c r="BI2125" s="65"/>
      <c r="BJ2125" s="65"/>
      <c r="BK2125" s="65"/>
      <c r="BL2125" s="99"/>
      <c r="BM2125" s="99"/>
      <c r="BN2125" s="99"/>
    </row>
    <row r="2126" spans="1:66" s="51" customFormat="1" ht="15.75" x14ac:dyDescent="0.25">
      <c r="A2126" s="478">
        <v>3</v>
      </c>
      <c r="B2126" s="479" t="s">
        <v>291</v>
      </c>
      <c r="C2126" s="480" t="s">
        <v>2902</v>
      </c>
      <c r="D2126" s="481" t="s">
        <v>309</v>
      </c>
      <c r="E2126" s="482">
        <v>22.95</v>
      </c>
      <c r="F2126" s="483" t="s">
        <v>292</v>
      </c>
      <c r="G2126" s="484">
        <v>0</v>
      </c>
      <c r="H2126" s="688" t="str">
        <f t="shared" ref="H2126:H2132" si="1519">IF(G2126=0,"",IF(F2126="Buy",IF(G2126=1,"plant","plants"),IF(F2126&gt;0.01,"warranty","Error")))</f>
        <v/>
      </c>
      <c r="I2126" s="485">
        <f t="shared" ref="I2126:I2132" si="1520">IF(H2126="free",0,IF(H2126="credit",((E2126*(F2126))*G2126*-1),IF(F2126="Buy",(E2126*G2126),((E2126*(1-F2126))*G2126))))</f>
        <v>0</v>
      </c>
      <c r="J2126" s="485">
        <f t="shared" ref="J2126:J2132" si="1521">IF(H2126="warranty",0,(I2126*(_xlfn.SINGLE(SalesTaxPercentage))))</f>
        <v>0</v>
      </c>
      <c r="K2126" s="715">
        <f t="shared" ref="K2126" si="1522">I2126+J2126</f>
        <v>0</v>
      </c>
      <c r="L2126" s="715"/>
      <c r="M2126" s="689" t="str">
        <f t="shared" ref="M2126:M2132" ca="1" si="1523">IF(AND(G2126&gt;0,E2126=0),"WARNING - no PRICE inserted",IF(H2126="free","FREE ~ no charge this plant",IF(H2126="credit",CONCATENATE("-$",ROUND(K2126*(1-_xlfn.SINGLE(T2GDiscount))*-1,2)," CREDIT after discount"),IF(_xlfn.SINGLE(T2GDiscount)=0,"",IF(G2126=0,"",IF(F2126="Buy",CONCATENATE("$",ROUND(K2126*(1-_xlfn.SINGLE(T2GDiscount)),2)," with ",(_xlfn.SINGLE(T2GDiscount)*100),"% discount"),CONCATENATE("$",ROUND(K2126*(1-_xlfn.SINGLE(T2GDiscount)),2)," with ",((_xlfn.SINGLE(T2GDiscount)*100+F2126*100)-(_xlfn.SINGLE(T2GDiscount)*100*F2126)),IF(F2126&gt;0,"% discounts",IF(_xlfn.SINGLE(NoWarrantyDiscount)&gt;0,"% discounts","% discount")))))))))</f>
        <v/>
      </c>
      <c r="N2126" s="690"/>
      <c r="O2126" s="486"/>
      <c r="P2126" s="486"/>
      <c r="Q2126" s="486"/>
      <c r="R2126" s="486"/>
      <c r="S2126" s="486"/>
      <c r="T2126" s="102">
        <f t="shared" si="1480"/>
        <v>0</v>
      </c>
      <c r="U2126" s="78">
        <f>IF(NOT(ISNUMBER(G2126)), "", VLOOKUP(A2126,'Discount Lookup'!D:E,2,FALSE)*G2126)</f>
        <v>0</v>
      </c>
      <c r="V2126" s="78">
        <f>IF(NOT(ISNUMBER(G2126)), "", VLOOKUP(A2126,'Discount Lookup'!G:H,2,FALSE)*G2126)</f>
        <v>0</v>
      </c>
      <c r="W2126" s="102">
        <f t="shared" si="1481"/>
        <v>0</v>
      </c>
      <c r="X2126" s="102">
        <f t="shared" si="1482"/>
        <v>0</v>
      </c>
      <c r="Y2126" s="120" t="b">
        <f t="shared" si="1483"/>
        <v>0</v>
      </c>
      <c r="Z2126" s="117">
        <f t="shared" si="1484"/>
        <v>0</v>
      </c>
      <c r="AA2126" s="118"/>
      <c r="AB2126" s="118" t="str">
        <f t="shared" si="1485"/>
        <v/>
      </c>
      <c r="AC2126" s="712" t="str">
        <f>IF(AE2126="T2G","no charge",IF(AND(OR(PlanterYesMe="No",PlanterYesMe="N",PlanterYesMe="me"),H2126=""),"",IF(H2126="credit","NO install",IF(AND(K2126="",AE2126="me"),"EACH row",IF(AND(K2126="images",AE2126="me"),"EACH row",IF(D2126="","",IF(H2126="credit","",IF(AE2126="free","re-planting",IF(AE2126="me","   not ELP, by",IF(AND(OR(PlanterYesMe="Yes",PlanterYesMe="Y"),G2126&gt;0),(VLOOKUP(A2126,'Discount Lookup'!J:K,2)*G2126*(1-PlanterDiscount)*(1+PlanterDifficultyPercentage)),IF(AE2126="ELP",(VLOOKUP(A2126,'Discount Lookup'!J:K,2)*G2126*(1-PlanterDiscount)*(1+PlanterDifficultyPercentage)),IF(AE2126="free","re-planting",IF(G2126=0,"",IF(PlanterYesMe="",IF(AE2126="me","   not ELP, by",IF(AE2126="",IF(G2126&gt;0,(VLOOKUP(A2126,'Discount Lookup'!J:K,2)*G2126*(1-PlanterDiscount)*(1+PlanterDifficultyPercentage)),""),"")),"   not ELP, by"))))))))))))))</f>
        <v/>
      </c>
      <c r="AD2126" s="712"/>
      <c r="AE2126" s="513" t="str">
        <f t="shared" si="1486"/>
        <v/>
      </c>
      <c r="AF2126" s="713" t="str">
        <f t="shared" si="1487"/>
        <v/>
      </c>
      <c r="AG2126" s="713"/>
      <c r="AH2126" s="713"/>
      <c r="AI2126" s="112">
        <f>IF(H2126="credit",0,IF(AE2126="free",0,IF(AE2126="me",0,IF(G2126&gt;0,(VLOOKUP(A2126,'Discount Lookup'!J:K,2)*G2126),0))))</f>
        <v>0</v>
      </c>
      <c r="AJ2126" s="107" t="str">
        <f t="shared" ca="1" si="1488"/>
        <v/>
      </c>
      <c r="AK2126" s="714" t="str">
        <f t="shared" si="1489"/>
        <v/>
      </c>
      <c r="AL2126" s="714"/>
      <c r="AM2126" s="114" t="str">
        <f t="shared" si="1490"/>
        <v/>
      </c>
      <c r="AN2126" s="115"/>
      <c r="AO2126" s="116"/>
      <c r="AP2126" s="116"/>
      <c r="AQ2126" s="116"/>
      <c r="AR2126" s="116"/>
      <c r="AS2126" s="116"/>
      <c r="AT2126" s="116"/>
      <c r="AU2126" s="116"/>
      <c r="AV2126" s="78"/>
      <c r="AW2126" s="102"/>
      <c r="AX2126" s="78"/>
      <c r="AY2126" s="78"/>
      <c r="AZ2126" s="78"/>
      <c r="BA2126" s="78"/>
      <c r="BB2126" s="78"/>
      <c r="BC2126" s="78"/>
      <c r="BD2126" s="78"/>
      <c r="BE2126" s="465"/>
      <c r="BF2126" s="165" t="str">
        <f t="shared" si="1491"/>
        <v>https://www.google.com/search?tbm=isch&amp;q=3%20G3</v>
      </c>
      <c r="BG2126" s="165" t="str">
        <f t="shared" si="1492"/>
        <v>I</v>
      </c>
      <c r="BH2126" s="65"/>
      <c r="BI2126" s="65"/>
      <c r="BJ2126" s="65"/>
      <c r="BK2126" s="65"/>
      <c r="BL2126" s="99"/>
      <c r="BM2126" s="99"/>
      <c r="BN2126" s="99"/>
    </row>
    <row r="2127" spans="1:66" s="51" customFormat="1" ht="15.75" x14ac:dyDescent="0.25">
      <c r="A2127" s="478">
        <v>3</v>
      </c>
      <c r="B2127" s="479" t="s">
        <v>291</v>
      </c>
      <c r="C2127" s="480" t="s">
        <v>2865</v>
      </c>
      <c r="D2127" s="481" t="s">
        <v>329</v>
      </c>
      <c r="E2127" s="482">
        <v>24.95</v>
      </c>
      <c r="F2127" s="483" t="s">
        <v>292</v>
      </c>
      <c r="G2127" s="484">
        <v>0</v>
      </c>
      <c r="H2127" s="688" t="str">
        <f t="shared" si="1519"/>
        <v/>
      </c>
      <c r="I2127" s="485">
        <f t="shared" si="1520"/>
        <v>0</v>
      </c>
      <c r="J2127" s="485">
        <f t="shared" si="1521"/>
        <v>0</v>
      </c>
      <c r="K2127" s="715">
        <f t="shared" ref="K2127" si="1524">I2127+J2127</f>
        <v>0</v>
      </c>
      <c r="L2127" s="715"/>
      <c r="M2127" s="689" t="str">
        <f t="shared" ca="1" si="1523"/>
        <v/>
      </c>
      <c r="N2127" s="690"/>
      <c r="O2127" s="486"/>
      <c r="P2127" s="486"/>
      <c r="Q2127" s="486"/>
      <c r="R2127" s="486"/>
      <c r="S2127" s="486"/>
      <c r="T2127" s="102">
        <f t="shared" si="1480"/>
        <v>0</v>
      </c>
      <c r="U2127" s="78">
        <f>IF(NOT(ISNUMBER(G2127)), "", VLOOKUP(A2127,'Discount Lookup'!D:E,2,FALSE)*G2127)</f>
        <v>0</v>
      </c>
      <c r="V2127" s="78">
        <f>IF(NOT(ISNUMBER(G2127)), "", VLOOKUP(A2127,'Discount Lookup'!G:H,2,FALSE)*G2127)</f>
        <v>0</v>
      </c>
      <c r="W2127" s="102">
        <f t="shared" si="1481"/>
        <v>0</v>
      </c>
      <c r="X2127" s="102">
        <f t="shared" si="1482"/>
        <v>0</v>
      </c>
      <c r="Y2127" s="120" t="b">
        <f t="shared" si="1483"/>
        <v>0</v>
      </c>
      <c r="Z2127" s="117">
        <f t="shared" si="1484"/>
        <v>0</v>
      </c>
      <c r="AA2127" s="118"/>
      <c r="AB2127" s="118" t="str">
        <f t="shared" si="1485"/>
        <v/>
      </c>
      <c r="AC2127" s="712" t="str">
        <f>IF(AE2127="T2G","no charge",IF(AND(OR(PlanterYesMe="No",PlanterYesMe="N",PlanterYesMe="me"),H2127=""),"",IF(H2127="credit","NO install",IF(AND(K2127="",AE2127="me"),"EACH row",IF(AND(K2127="images",AE2127="me"),"EACH row",IF(D2127="","",IF(H2127="credit","",IF(AE2127="free","re-planting",IF(AE2127="me","   not ELP, by",IF(AND(OR(PlanterYesMe="Yes",PlanterYesMe="Y"),G2127&gt;0),(VLOOKUP(A2127,'Discount Lookup'!J:K,2)*G2127*(1-PlanterDiscount)*(1+PlanterDifficultyPercentage)),IF(AE2127="ELP",(VLOOKUP(A2127,'Discount Lookup'!J:K,2)*G2127*(1-PlanterDiscount)*(1+PlanterDifficultyPercentage)),IF(AE2127="free","re-planting",IF(G2127=0,"",IF(PlanterYesMe="",IF(AE2127="me","   not ELP, by",IF(AE2127="",IF(G2127&gt;0,(VLOOKUP(A2127,'Discount Lookup'!J:K,2)*G2127*(1-PlanterDiscount)*(1+PlanterDifficultyPercentage)),""),"")),"   not ELP, by"))))))))))))))</f>
        <v/>
      </c>
      <c r="AD2127" s="712"/>
      <c r="AE2127" s="513" t="str">
        <f t="shared" si="1486"/>
        <v/>
      </c>
      <c r="AF2127" s="713" t="str">
        <f t="shared" si="1487"/>
        <v/>
      </c>
      <c r="AG2127" s="713"/>
      <c r="AH2127" s="713"/>
      <c r="AI2127" s="112">
        <f>IF(H2127="credit",0,IF(AE2127="free",0,IF(AE2127="me",0,IF(G2127&gt;0,(VLOOKUP(A2127,'Discount Lookup'!J:K,2)*G2127),0))))</f>
        <v>0</v>
      </c>
      <c r="AJ2127" s="107" t="str">
        <f t="shared" ca="1" si="1488"/>
        <v/>
      </c>
      <c r="AK2127" s="714" t="str">
        <f t="shared" si="1489"/>
        <v/>
      </c>
      <c r="AL2127" s="714"/>
      <c r="AM2127" s="114" t="str">
        <f t="shared" si="1490"/>
        <v/>
      </c>
      <c r="AN2127" s="115"/>
      <c r="AO2127" s="116"/>
      <c r="AP2127" s="116"/>
      <c r="AQ2127" s="116"/>
      <c r="AR2127" s="116"/>
      <c r="AS2127" s="116"/>
      <c r="AT2127" s="116"/>
      <c r="AU2127" s="116"/>
      <c r="AV2127" s="78"/>
      <c r="AW2127" s="102"/>
      <c r="AX2127" s="78"/>
      <c r="AY2127" s="78"/>
      <c r="AZ2127" s="78"/>
      <c r="BA2127" s="78"/>
      <c r="BB2127" s="78"/>
      <c r="BC2127" s="78"/>
      <c r="BD2127" s="78"/>
      <c r="BE2127" s="465"/>
      <c r="BF2127" s="165" t="str">
        <f t="shared" si="1491"/>
        <v>https://www.google.com/search?tbm=isch&amp;q=3%20G2</v>
      </c>
      <c r="BG2127" s="165" t="str">
        <f t="shared" si="1492"/>
        <v>I</v>
      </c>
      <c r="BH2127" s="65"/>
      <c r="BI2127" s="65"/>
      <c r="BJ2127" s="65"/>
      <c r="BK2127" s="65"/>
      <c r="BL2127" s="99"/>
      <c r="BM2127" s="99"/>
      <c r="BN2127" s="99"/>
    </row>
    <row r="2128" spans="1:66" s="51" customFormat="1" ht="15.75" x14ac:dyDescent="0.25">
      <c r="A2128" s="478">
        <v>3</v>
      </c>
      <c r="B2128" s="479" t="s">
        <v>291</v>
      </c>
      <c r="C2128" s="480" t="s">
        <v>10</v>
      </c>
      <c r="D2128" s="481" t="s">
        <v>310</v>
      </c>
      <c r="E2128" s="482">
        <v>25.95</v>
      </c>
      <c r="F2128" s="483" t="s">
        <v>292</v>
      </c>
      <c r="G2128" s="484">
        <v>0</v>
      </c>
      <c r="H2128" s="688" t="str">
        <f t="shared" si="1519"/>
        <v/>
      </c>
      <c r="I2128" s="485">
        <f t="shared" si="1520"/>
        <v>0</v>
      </c>
      <c r="J2128" s="485">
        <f t="shared" si="1521"/>
        <v>0</v>
      </c>
      <c r="K2128" s="715">
        <f t="shared" ref="K2128" si="1525">I2128+J2128</f>
        <v>0</v>
      </c>
      <c r="L2128" s="715"/>
      <c r="M2128" s="689" t="str">
        <f t="shared" ca="1" si="1523"/>
        <v/>
      </c>
      <c r="N2128" s="690"/>
      <c r="O2128" s="486"/>
      <c r="P2128" s="486"/>
      <c r="Q2128" s="486"/>
      <c r="R2128" s="486"/>
      <c r="S2128" s="486"/>
      <c r="T2128" s="102">
        <f t="shared" si="1480"/>
        <v>0</v>
      </c>
      <c r="U2128" s="78">
        <f>IF(NOT(ISNUMBER(G2128)), "", VLOOKUP(A2128,'Discount Lookup'!D:E,2,FALSE)*G2128)</f>
        <v>0</v>
      </c>
      <c r="V2128" s="78">
        <f>IF(NOT(ISNUMBER(G2128)), "", VLOOKUP(A2128,'Discount Lookup'!G:H,2,FALSE)*G2128)</f>
        <v>0</v>
      </c>
      <c r="W2128" s="102">
        <f t="shared" si="1481"/>
        <v>0</v>
      </c>
      <c r="X2128" s="102">
        <f t="shared" si="1482"/>
        <v>0</v>
      </c>
      <c r="Y2128" s="120" t="b">
        <f t="shared" si="1483"/>
        <v>0</v>
      </c>
      <c r="Z2128" s="117">
        <f t="shared" si="1484"/>
        <v>0</v>
      </c>
      <c r="AA2128" s="118"/>
      <c r="AB2128" s="118" t="str">
        <f t="shared" si="1485"/>
        <v/>
      </c>
      <c r="AC2128" s="712" t="str">
        <f>IF(AE2128="T2G","no charge",IF(AND(OR(PlanterYesMe="No",PlanterYesMe="N",PlanterYesMe="me"),H2128=""),"",IF(H2128="credit","NO install",IF(AND(K2128="",AE2128="me"),"EACH row",IF(AND(K2128="images",AE2128="me"),"EACH row",IF(D2128="","",IF(H2128="credit","",IF(AE2128="free","re-planting",IF(AE2128="me","   not ELP, by",IF(AND(OR(PlanterYesMe="Yes",PlanterYesMe="Y"),G2128&gt;0),(VLOOKUP(A2128,'Discount Lookup'!J:K,2)*G2128*(1-PlanterDiscount)*(1+PlanterDifficultyPercentage)),IF(AE2128="ELP",(VLOOKUP(A2128,'Discount Lookup'!J:K,2)*G2128*(1-PlanterDiscount)*(1+PlanterDifficultyPercentage)),IF(AE2128="free","re-planting",IF(G2128=0,"",IF(PlanterYesMe="",IF(AE2128="me","   not ELP, by",IF(AE2128="",IF(G2128&gt;0,(VLOOKUP(A2128,'Discount Lookup'!J:K,2)*G2128*(1-PlanterDiscount)*(1+PlanterDifficultyPercentage)),""),"")),"   not ELP, by"))))))))))))))</f>
        <v/>
      </c>
      <c r="AD2128" s="712"/>
      <c r="AE2128" s="513" t="str">
        <f t="shared" si="1486"/>
        <v/>
      </c>
      <c r="AF2128" s="713" t="str">
        <f t="shared" si="1487"/>
        <v/>
      </c>
      <c r="AG2128" s="713"/>
      <c r="AH2128" s="713"/>
      <c r="AI2128" s="112">
        <f>IF(H2128="credit",0,IF(AE2128="free",0,IF(AE2128="me",0,IF(G2128&gt;0,(VLOOKUP(A2128,'Discount Lookup'!J:K,2)*G2128),0))))</f>
        <v>0</v>
      </c>
      <c r="AJ2128" s="107" t="str">
        <f t="shared" ca="1" si="1488"/>
        <v/>
      </c>
      <c r="AK2128" s="714" t="str">
        <f t="shared" si="1489"/>
        <v/>
      </c>
      <c r="AL2128" s="714"/>
      <c r="AM2128" s="114" t="str">
        <f t="shared" si="1490"/>
        <v/>
      </c>
      <c r="AN2128" s="115"/>
      <c r="AO2128" s="116"/>
      <c r="AP2128" s="116"/>
      <c r="AQ2128" s="116"/>
      <c r="AR2128" s="116"/>
      <c r="AS2128" s="116"/>
      <c r="AT2128" s="116"/>
      <c r="AU2128" s="116"/>
      <c r="AV2128" s="78"/>
      <c r="AW2128" s="102"/>
      <c r="AX2128" s="78"/>
      <c r="AY2128" s="78"/>
      <c r="AZ2128" s="78"/>
      <c r="BA2128" s="78"/>
      <c r="BB2128" s="78"/>
      <c r="BC2128" s="78"/>
      <c r="BD2128" s="78"/>
      <c r="BE2128" s="465"/>
      <c r="BF2128" s="165" t="str">
        <f t="shared" si="1491"/>
        <v>https://www.google.com/search?tbm=isch&amp;q=3%20G1</v>
      </c>
      <c r="BG2128" s="165" t="str">
        <f t="shared" si="1492"/>
        <v>I</v>
      </c>
      <c r="BH2128" s="65"/>
      <c r="BI2128" s="65"/>
      <c r="BJ2128" s="65"/>
      <c r="BK2128" s="65"/>
      <c r="BL2128" s="99"/>
      <c r="BM2128" s="99"/>
      <c r="BN2128" s="99"/>
    </row>
    <row r="2129" spans="1:66" s="51" customFormat="1" ht="15.75" x14ac:dyDescent="0.25">
      <c r="A2129" s="478">
        <v>3</v>
      </c>
      <c r="B2129" s="479" t="s">
        <v>291</v>
      </c>
      <c r="C2129" s="480" t="s">
        <v>2903</v>
      </c>
      <c r="D2129" s="481" t="s">
        <v>311</v>
      </c>
      <c r="E2129" s="482">
        <v>27.95</v>
      </c>
      <c r="F2129" s="483" t="s">
        <v>292</v>
      </c>
      <c r="G2129" s="484">
        <v>0</v>
      </c>
      <c r="H2129" s="688" t="str">
        <f t="shared" si="1519"/>
        <v/>
      </c>
      <c r="I2129" s="485">
        <f t="shared" si="1520"/>
        <v>0</v>
      </c>
      <c r="J2129" s="485">
        <f t="shared" si="1521"/>
        <v>0</v>
      </c>
      <c r="K2129" s="715">
        <f t="shared" ref="K2129" si="1526">I2129+J2129</f>
        <v>0</v>
      </c>
      <c r="L2129" s="715"/>
      <c r="M2129" s="689" t="str">
        <f t="shared" ca="1" si="1523"/>
        <v/>
      </c>
      <c r="N2129" s="690"/>
      <c r="O2129" s="486"/>
      <c r="P2129" s="486"/>
      <c r="Q2129" s="486"/>
      <c r="R2129" s="486"/>
      <c r="S2129" s="486"/>
      <c r="T2129" s="102">
        <f t="shared" si="1480"/>
        <v>0</v>
      </c>
      <c r="U2129" s="78">
        <f>IF(NOT(ISNUMBER(G2129)), "", VLOOKUP(A2129,'Discount Lookup'!D:E,2,FALSE)*G2129)</f>
        <v>0</v>
      </c>
      <c r="V2129" s="78">
        <f>IF(NOT(ISNUMBER(G2129)), "", VLOOKUP(A2129,'Discount Lookup'!G:H,2,FALSE)*G2129)</f>
        <v>0</v>
      </c>
      <c r="W2129" s="102">
        <f t="shared" si="1481"/>
        <v>0</v>
      </c>
      <c r="X2129" s="102">
        <f t="shared" si="1482"/>
        <v>0</v>
      </c>
      <c r="Y2129" s="120" t="b">
        <f t="shared" si="1483"/>
        <v>0</v>
      </c>
      <c r="Z2129" s="117">
        <f t="shared" si="1484"/>
        <v>0</v>
      </c>
      <c r="AA2129" s="118"/>
      <c r="AB2129" s="118" t="str">
        <f t="shared" si="1485"/>
        <v/>
      </c>
      <c r="AC2129" s="712" t="str">
        <f>IF(AE2129="T2G","no charge",IF(AND(OR(PlanterYesMe="No",PlanterYesMe="N",PlanterYesMe="me"),H2129=""),"",IF(H2129="credit","NO install",IF(AND(K2129="",AE2129="me"),"EACH row",IF(AND(K2129="images",AE2129="me"),"EACH row",IF(D2129="","",IF(H2129="credit","",IF(AE2129="free","re-planting",IF(AE2129="me","   not ELP, by",IF(AND(OR(PlanterYesMe="Yes",PlanterYesMe="Y"),G2129&gt;0),(VLOOKUP(A2129,'Discount Lookup'!J:K,2)*G2129*(1-PlanterDiscount)*(1+PlanterDifficultyPercentage)),IF(AE2129="ELP",(VLOOKUP(A2129,'Discount Lookup'!J:K,2)*G2129*(1-PlanterDiscount)*(1+PlanterDifficultyPercentage)),IF(AE2129="free","re-planting",IF(G2129=0,"",IF(PlanterYesMe="",IF(AE2129="me","   not ELP, by",IF(AE2129="",IF(G2129&gt;0,(VLOOKUP(A2129,'Discount Lookup'!J:K,2)*G2129*(1-PlanterDiscount)*(1+PlanterDifficultyPercentage)),""),"")),"   not ELP, by"))))))))))))))</f>
        <v/>
      </c>
      <c r="AD2129" s="712"/>
      <c r="AE2129" s="513" t="str">
        <f t="shared" si="1486"/>
        <v/>
      </c>
      <c r="AF2129" s="713" t="str">
        <f t="shared" si="1487"/>
        <v/>
      </c>
      <c r="AG2129" s="713"/>
      <c r="AH2129" s="713"/>
      <c r="AI2129" s="112">
        <f>IF(H2129="credit",0,IF(AE2129="free",0,IF(AE2129="me",0,IF(G2129&gt;0,(VLOOKUP(A2129,'Discount Lookup'!J:K,2)*G2129),0))))</f>
        <v>0</v>
      </c>
      <c r="AJ2129" s="107" t="str">
        <f t="shared" ca="1" si="1488"/>
        <v/>
      </c>
      <c r="AK2129" s="714" t="str">
        <f t="shared" si="1489"/>
        <v/>
      </c>
      <c r="AL2129" s="714"/>
      <c r="AM2129" s="114" t="str">
        <f t="shared" si="1490"/>
        <v/>
      </c>
      <c r="AN2129" s="115"/>
      <c r="AO2129" s="116"/>
      <c r="AP2129" s="116"/>
      <c r="AQ2129" s="116"/>
      <c r="AR2129" s="116"/>
      <c r="AS2129" s="116"/>
      <c r="AT2129" s="116"/>
      <c r="AU2129" s="116"/>
      <c r="AV2129" s="78"/>
      <c r="AW2129" s="102"/>
      <c r="AX2129" s="78"/>
      <c r="AY2129" s="78"/>
      <c r="AZ2129" s="78"/>
      <c r="BA2129" s="78"/>
      <c r="BB2129" s="78"/>
      <c r="BC2129" s="78"/>
      <c r="BD2129" s="78"/>
      <c r="BE2129" s="465"/>
      <c r="BF2129" s="165" t="str">
        <f t="shared" si="1491"/>
        <v>https://www.google.com/search?tbm=isch&amp;q=3%20G5</v>
      </c>
      <c r="BG2129" s="165" t="str">
        <f t="shared" si="1492"/>
        <v>I</v>
      </c>
      <c r="BH2129" s="65"/>
      <c r="BI2129" s="65"/>
      <c r="BJ2129" s="65"/>
      <c r="BK2129" s="65"/>
      <c r="BL2129" s="99"/>
      <c r="BM2129" s="99"/>
      <c r="BN2129" s="99"/>
    </row>
    <row r="2130" spans="1:66" s="51" customFormat="1" ht="15.75" x14ac:dyDescent="0.25">
      <c r="A2130" s="478">
        <v>7</v>
      </c>
      <c r="B2130" s="479" t="s">
        <v>291</v>
      </c>
      <c r="C2130" s="480" t="s">
        <v>2904</v>
      </c>
      <c r="D2130" s="481" t="s">
        <v>309</v>
      </c>
      <c r="E2130" s="482">
        <v>56.95</v>
      </c>
      <c r="F2130" s="483" t="s">
        <v>292</v>
      </c>
      <c r="G2130" s="484">
        <v>0</v>
      </c>
      <c r="H2130" s="688" t="str">
        <f t="shared" si="1519"/>
        <v/>
      </c>
      <c r="I2130" s="485">
        <f t="shared" si="1520"/>
        <v>0</v>
      </c>
      <c r="J2130" s="485">
        <f t="shared" si="1521"/>
        <v>0</v>
      </c>
      <c r="K2130" s="715">
        <f t="shared" ref="K2130" si="1527">I2130+J2130</f>
        <v>0</v>
      </c>
      <c r="L2130" s="715"/>
      <c r="M2130" s="689" t="str">
        <f t="shared" ca="1" si="1523"/>
        <v/>
      </c>
      <c r="N2130" s="690"/>
      <c r="O2130" s="486"/>
      <c r="P2130" s="486"/>
      <c r="Q2130" s="486"/>
      <c r="R2130" s="486"/>
      <c r="S2130" s="486"/>
      <c r="T2130" s="102">
        <f t="shared" si="1480"/>
        <v>0</v>
      </c>
      <c r="U2130" s="78">
        <f>IF(NOT(ISNUMBER(G2130)), "", VLOOKUP(A2130,'Discount Lookup'!D:E,2,FALSE)*G2130)</f>
        <v>0</v>
      </c>
      <c r="V2130" s="78">
        <f>IF(NOT(ISNUMBER(G2130)), "", VLOOKUP(A2130,'Discount Lookup'!G:H,2,FALSE)*G2130)</f>
        <v>0</v>
      </c>
      <c r="W2130" s="102">
        <f t="shared" si="1481"/>
        <v>0</v>
      </c>
      <c r="X2130" s="102">
        <f t="shared" si="1482"/>
        <v>0</v>
      </c>
      <c r="Y2130" s="120" t="b">
        <f t="shared" si="1483"/>
        <v>0</v>
      </c>
      <c r="Z2130" s="117">
        <f t="shared" si="1484"/>
        <v>0</v>
      </c>
      <c r="AA2130" s="118"/>
      <c r="AB2130" s="118" t="str">
        <f t="shared" si="1485"/>
        <v/>
      </c>
      <c r="AC2130" s="712" t="str">
        <f>IF(AE2130="T2G","no charge",IF(AND(OR(PlanterYesMe="No",PlanterYesMe="N",PlanterYesMe="me"),H2130=""),"",IF(H2130="credit","NO install",IF(AND(K2130="",AE2130="me"),"EACH row",IF(AND(K2130="images",AE2130="me"),"EACH row",IF(D2130="","",IF(H2130="credit","",IF(AE2130="free","re-planting",IF(AE2130="me","   not ELP, by",IF(AND(OR(PlanterYesMe="Yes",PlanterYesMe="Y"),G2130&gt;0),(VLOOKUP(A2130,'Discount Lookup'!J:K,2)*G2130*(1-PlanterDiscount)*(1+PlanterDifficultyPercentage)),IF(AE2130="ELP",(VLOOKUP(A2130,'Discount Lookup'!J:K,2)*G2130*(1-PlanterDiscount)*(1+PlanterDifficultyPercentage)),IF(AE2130="free","re-planting",IF(G2130=0,"",IF(PlanterYesMe="",IF(AE2130="me","   not ELP, by",IF(AE2130="",IF(G2130&gt;0,(VLOOKUP(A2130,'Discount Lookup'!J:K,2)*G2130*(1-PlanterDiscount)*(1+PlanterDifficultyPercentage)),""),"")),"   not ELP, by"))))))))))))))</f>
        <v/>
      </c>
      <c r="AD2130" s="712"/>
      <c r="AE2130" s="513" t="str">
        <f t="shared" si="1486"/>
        <v/>
      </c>
      <c r="AF2130" s="713" t="str">
        <f t="shared" si="1487"/>
        <v/>
      </c>
      <c r="AG2130" s="713"/>
      <c r="AH2130" s="713"/>
      <c r="AI2130" s="112">
        <f>IF(H2130="credit",0,IF(AE2130="free",0,IF(AE2130="me",0,IF(G2130&gt;0,(VLOOKUP(A2130,'Discount Lookup'!J:K,2)*G2130),0))))</f>
        <v>0</v>
      </c>
      <c r="AJ2130" s="107" t="str">
        <f t="shared" ca="1" si="1488"/>
        <v/>
      </c>
      <c r="AK2130" s="714" t="str">
        <f t="shared" si="1489"/>
        <v/>
      </c>
      <c r="AL2130" s="714"/>
      <c r="AM2130" s="114" t="str">
        <f t="shared" si="1490"/>
        <v/>
      </c>
      <c r="AN2130" s="115"/>
      <c r="AO2130" s="116"/>
      <c r="AP2130" s="116"/>
      <c r="AQ2130" s="116"/>
      <c r="AR2130" s="116"/>
      <c r="AS2130" s="116"/>
      <c r="AT2130" s="116"/>
      <c r="AU2130" s="116"/>
      <c r="AV2130" s="78"/>
      <c r="AW2130" s="102"/>
      <c r="AX2130" s="78"/>
      <c r="AY2130" s="78"/>
      <c r="AZ2130" s="78"/>
      <c r="BA2130" s="78"/>
      <c r="BB2130" s="78"/>
      <c r="BC2130" s="78"/>
      <c r="BD2130" s="78"/>
      <c r="BE2130" s="465"/>
      <c r="BF2130" s="165" t="str">
        <f t="shared" si="1491"/>
        <v>https://www.google.com/search?tbm=isch&amp;q=7%20G3</v>
      </c>
      <c r="BG2130" s="165" t="str">
        <f t="shared" si="1492"/>
        <v>I</v>
      </c>
      <c r="BH2130" s="65"/>
      <c r="BI2130" s="65"/>
      <c r="BJ2130" s="65"/>
      <c r="BK2130" s="65"/>
      <c r="BL2130" s="99"/>
      <c r="BM2130" s="99"/>
      <c r="BN2130" s="99"/>
    </row>
    <row r="2131" spans="1:66" s="51" customFormat="1" ht="15.75" x14ac:dyDescent="0.25">
      <c r="A2131" s="478">
        <v>7</v>
      </c>
      <c r="B2131" s="479" t="s">
        <v>291</v>
      </c>
      <c r="C2131" s="480" t="s">
        <v>2905</v>
      </c>
      <c r="D2131" s="481" t="s">
        <v>311</v>
      </c>
      <c r="E2131" s="482">
        <v>56.95</v>
      </c>
      <c r="F2131" s="483" t="s">
        <v>292</v>
      </c>
      <c r="G2131" s="484">
        <v>0</v>
      </c>
      <c r="H2131" s="688" t="str">
        <f t="shared" si="1519"/>
        <v/>
      </c>
      <c r="I2131" s="485">
        <f t="shared" si="1520"/>
        <v>0</v>
      </c>
      <c r="J2131" s="485">
        <f t="shared" si="1521"/>
        <v>0</v>
      </c>
      <c r="K2131" s="715">
        <f t="shared" ref="K2131" si="1528">I2131+J2131</f>
        <v>0</v>
      </c>
      <c r="L2131" s="715"/>
      <c r="M2131" s="689" t="str">
        <f t="shared" ca="1" si="1523"/>
        <v/>
      </c>
      <c r="N2131" s="690"/>
      <c r="O2131" s="486"/>
      <c r="P2131" s="486"/>
      <c r="Q2131" s="486"/>
      <c r="R2131" s="486"/>
      <c r="S2131" s="486"/>
      <c r="T2131" s="102">
        <f t="shared" si="1480"/>
        <v>0</v>
      </c>
      <c r="U2131" s="78">
        <f>IF(NOT(ISNUMBER(G2131)), "", VLOOKUP(A2131,'Discount Lookup'!D:E,2,FALSE)*G2131)</f>
        <v>0</v>
      </c>
      <c r="V2131" s="78">
        <f>IF(NOT(ISNUMBER(G2131)), "", VLOOKUP(A2131,'Discount Lookup'!G:H,2,FALSE)*G2131)</f>
        <v>0</v>
      </c>
      <c r="W2131" s="102">
        <f t="shared" si="1481"/>
        <v>0</v>
      </c>
      <c r="X2131" s="102">
        <f t="shared" si="1482"/>
        <v>0</v>
      </c>
      <c r="Y2131" s="120" t="b">
        <f t="shared" si="1483"/>
        <v>0</v>
      </c>
      <c r="Z2131" s="117">
        <f t="shared" si="1484"/>
        <v>0</v>
      </c>
      <c r="AA2131" s="118"/>
      <c r="AB2131" s="118" t="str">
        <f t="shared" si="1485"/>
        <v/>
      </c>
      <c r="AC2131" s="712" t="str">
        <f>IF(AE2131="T2G","no charge",IF(AND(OR(PlanterYesMe="No",PlanterYesMe="N",PlanterYesMe="me"),H2131=""),"",IF(H2131="credit","NO install",IF(AND(K2131="",AE2131="me"),"EACH row",IF(AND(K2131="images",AE2131="me"),"EACH row",IF(D2131="","",IF(H2131="credit","",IF(AE2131="free","re-planting",IF(AE2131="me","   not ELP, by",IF(AND(OR(PlanterYesMe="Yes",PlanterYesMe="Y"),G2131&gt;0),(VLOOKUP(A2131,'Discount Lookup'!J:K,2)*G2131*(1-PlanterDiscount)*(1+PlanterDifficultyPercentage)),IF(AE2131="ELP",(VLOOKUP(A2131,'Discount Lookup'!J:K,2)*G2131*(1-PlanterDiscount)*(1+PlanterDifficultyPercentage)),IF(AE2131="free","re-planting",IF(G2131=0,"",IF(PlanterYesMe="",IF(AE2131="me","   not ELP, by",IF(AE2131="",IF(G2131&gt;0,(VLOOKUP(A2131,'Discount Lookup'!J:K,2)*G2131*(1-PlanterDiscount)*(1+PlanterDifficultyPercentage)),""),"")),"   not ELP, by"))))))))))))))</f>
        <v/>
      </c>
      <c r="AD2131" s="712"/>
      <c r="AE2131" s="513" t="str">
        <f t="shared" si="1486"/>
        <v/>
      </c>
      <c r="AF2131" s="713" t="str">
        <f t="shared" si="1487"/>
        <v/>
      </c>
      <c r="AG2131" s="713"/>
      <c r="AH2131" s="713"/>
      <c r="AI2131" s="112">
        <f>IF(H2131="credit",0,IF(AE2131="free",0,IF(AE2131="me",0,IF(G2131&gt;0,(VLOOKUP(A2131,'Discount Lookup'!J:K,2)*G2131),0))))</f>
        <v>0</v>
      </c>
      <c r="AJ2131" s="107" t="str">
        <f t="shared" ca="1" si="1488"/>
        <v/>
      </c>
      <c r="AK2131" s="714" t="str">
        <f t="shared" si="1489"/>
        <v/>
      </c>
      <c r="AL2131" s="714"/>
      <c r="AM2131" s="114" t="str">
        <f t="shared" si="1490"/>
        <v/>
      </c>
      <c r="AN2131" s="115"/>
      <c r="AO2131" s="116"/>
      <c r="AP2131" s="116"/>
      <c r="AQ2131" s="116"/>
      <c r="AR2131" s="116"/>
      <c r="AS2131" s="116"/>
      <c r="AT2131" s="116"/>
      <c r="AU2131" s="116"/>
      <c r="AV2131" s="78"/>
      <c r="AW2131" s="102"/>
      <c r="AX2131" s="78"/>
      <c r="AY2131" s="78"/>
      <c r="AZ2131" s="78"/>
      <c r="BA2131" s="78"/>
      <c r="BB2131" s="78"/>
      <c r="BC2131" s="78"/>
      <c r="BD2131" s="78"/>
      <c r="BE2131" s="465"/>
      <c r="BF2131" s="165" t="str">
        <f t="shared" si="1491"/>
        <v>https://www.google.com/search?tbm=isch&amp;q=7%20G5</v>
      </c>
      <c r="BG2131" s="165" t="str">
        <f t="shared" si="1492"/>
        <v>I</v>
      </c>
      <c r="BH2131" s="65"/>
      <c r="BI2131" s="65"/>
      <c r="BJ2131" s="65"/>
      <c r="BK2131" s="65"/>
      <c r="BL2131" s="99"/>
      <c r="BM2131" s="99"/>
      <c r="BN2131" s="99"/>
    </row>
    <row r="2132" spans="1:66" s="51" customFormat="1" ht="15.75" x14ac:dyDescent="0.25">
      <c r="A2132" s="478">
        <v>10</v>
      </c>
      <c r="B2132" s="479" t="s">
        <v>291</v>
      </c>
      <c r="C2132" s="480" t="s">
        <v>2906</v>
      </c>
      <c r="D2132" s="481" t="s">
        <v>309</v>
      </c>
      <c r="E2132" s="482">
        <v>83.95</v>
      </c>
      <c r="F2132" s="483" t="s">
        <v>292</v>
      </c>
      <c r="G2132" s="484">
        <v>0</v>
      </c>
      <c r="H2132" s="688" t="str">
        <f t="shared" si="1519"/>
        <v/>
      </c>
      <c r="I2132" s="485">
        <f t="shared" si="1520"/>
        <v>0</v>
      </c>
      <c r="J2132" s="485">
        <f t="shared" si="1521"/>
        <v>0</v>
      </c>
      <c r="K2132" s="715">
        <f t="shared" ref="K2132" si="1529">I2132+J2132</f>
        <v>0</v>
      </c>
      <c r="L2132" s="715"/>
      <c r="M2132" s="689" t="str">
        <f t="shared" ca="1" si="1523"/>
        <v/>
      </c>
      <c r="N2132" s="690"/>
      <c r="O2132" s="486"/>
      <c r="P2132" s="486"/>
      <c r="Q2132" s="486"/>
      <c r="R2132" s="486"/>
      <c r="S2132" s="486"/>
      <c r="T2132" s="102">
        <f t="shared" ref="T2132:T2195" si="1530">E2132*G2132</f>
        <v>0</v>
      </c>
      <c r="U2132" s="78">
        <f>IF(NOT(ISNUMBER(G2132)), "", VLOOKUP(A2132,'Discount Lookup'!D:E,2,FALSE)*G2132)</f>
        <v>0</v>
      </c>
      <c r="V2132" s="78">
        <f>IF(NOT(ISNUMBER(G2132)), "", VLOOKUP(A2132,'Discount Lookup'!G:H,2,FALSE)*G2132)</f>
        <v>0</v>
      </c>
      <c r="W2132" s="102">
        <f t="shared" ref="W2132:W2195" si="1531">IF(H2132="credit",0,E2132*(SalesTaxPercentage)*G2132)</f>
        <v>0</v>
      </c>
      <c r="X2132" s="102">
        <f t="shared" ref="X2132:X2195" si="1532">I2132</f>
        <v>0</v>
      </c>
      <c r="Y2132" s="120" t="b">
        <f t="shared" ref="Y2132:Y2195" si="1533">IF(AE2132="T2G",0,IF(H2132="credit",0,IF(G2132&gt;0,IF(AE2132="me","",G2132))))</f>
        <v>0</v>
      </c>
      <c r="Z2132" s="117">
        <f t="shared" ref="Z2132:Z2195" si="1534">IF(H2132="credit",G2132,0)</f>
        <v>0</v>
      </c>
      <c r="AA2132" s="118"/>
      <c r="AB2132" s="118" t="str">
        <f t="shared" ref="AB2132:AB2195" si="1535">IF(AE2132="T2G","by Trees2Go",IF(H2132="credit","CREDIT only ~",IF(AND(K2132="",AE2132=OR(PlanterYesMe="No",PlanterYesMe="N",PlanterYesMe="me")),"not THIS line⇨",IF(AND(K2132="images",AE2132="me"),"not THIS line⇨",IF(H2132="credit","",IF(G2132=0,"",IF(AE2132="me","",IF(OR(PlanterYesMe="No",PlanterYesMe="N",PlanterYesMe="me"),"",IF(AE2132="free","warranty",IF(OR(PlanterYesMe="yes",PlanterYesMe="y"),"Edison install:","to install:"))))))))))</f>
        <v/>
      </c>
      <c r="AC2132" s="712" t="str">
        <f>IF(AE2132="T2G","no charge",IF(AND(OR(PlanterYesMe="No",PlanterYesMe="N",PlanterYesMe="me"),H2132=""),"",IF(H2132="credit","NO install",IF(AND(K2132="",AE2132="me"),"EACH row",IF(AND(K2132="images",AE2132="me"),"EACH row",IF(D2132="","",IF(H2132="credit","",IF(AE2132="free","re-planting",IF(AE2132="me","   not ELP, by",IF(AND(OR(PlanterYesMe="Yes",PlanterYesMe="Y"),G2132&gt;0),(VLOOKUP(A2132,'Discount Lookup'!J:K,2)*G2132*(1-PlanterDiscount)*(1+PlanterDifficultyPercentage)),IF(AE2132="ELP",(VLOOKUP(A2132,'Discount Lookup'!J:K,2)*G2132*(1-PlanterDiscount)*(1+PlanterDifficultyPercentage)),IF(AE2132="free","re-planting",IF(G2132=0,"",IF(PlanterYesMe="",IF(AE2132="me","   not ELP, by",IF(AE2132="",IF(G2132&gt;0,(VLOOKUP(A2132,'Discount Lookup'!J:K,2)*G2132*(1-PlanterDiscount)*(1+PlanterDifficultyPercentage)),""),"")),"   not ELP, by"))))))))))))))</f>
        <v/>
      </c>
      <c r="AD2132" s="712"/>
      <c r="AE2132" s="513" t="str">
        <f t="shared" ref="AE2132:AE2195" si="1536">IF(H2132="credit","",IF(G2132=0,"",IF(OR(PlanterYesMe="No",PlanterYesMe="N",PlanterYesMe="me"),"me",IF(H2132="warranty","free",IF(OR(PlanterYesMe="yes",PlanterYesMe="y"),"ELP","")))))</f>
        <v/>
      </c>
      <c r="AF2132" s="713" t="str">
        <f t="shared" ref="AF2132:AF2195" si="1537">IF(OR(PlanterYesMe="No",PlanterYesMe="N",PlanterYesMe="me"),"",IF(H2132="credit","",IF(G2132&gt;0,(CONCATENATE((G2132)," quantity, ",(A2132)," ",B2132)),"")))</f>
        <v/>
      </c>
      <c r="AG2132" s="713"/>
      <c r="AH2132" s="713"/>
      <c r="AI2132" s="112">
        <f>IF(H2132="credit",0,IF(AE2132="free",0,IF(AE2132="me",0,IF(G2132&gt;0,(VLOOKUP(A2132,'Discount Lookup'!J:K,2)*G2132),0))))</f>
        <v>0</v>
      </c>
      <c r="AJ2132" s="107" t="str">
        <f t="shared" ref="AJ2132:AJ2195" ca="1" si="1538">IF(AND(ISREF(H2132),H2132="credit"),"",IF(AND(AND(OFFSET(G2132,0,0)=0,OFFSET(G2132,1,0)&gt;0,ISNUMBER(OFFSET(AC2132,1,0)),OFFSET(AC2132,1,0)&gt;0),OR(PlanterYesMe="yes",PlanterYesMe="y")),"T2G+ELP=",IF(AND(OFFSET(G2132,0,0)=0,OFFSET(G2132,1,0)&gt;0,ISNUMBER(OFFSET(AC2132,1,0)),OFFSET(AC2132,1,0)&gt;0),"if T2G+ELP=",IF(AND(OFFSET(G2132,0,0)=0,OFFSET(G2132,1,0)&gt;0),"T2G Subtotal",IF(H2132="credit","",IF(G2132=0,"",IF(AE2132="free",(K2132*(1-T2GDiscount)),IF(OR(PlanterYesMe="No",PlanterYesMe="N",PlanterYesMe="me"),(K2132*(1-T2GDiscount)),IF(OR(AE2132="me",AE2132="T2G"),(K2132*(1-T2GDiscount)),(K2132*(1-T2GDiscount))+AC2132)))))))))</f>
        <v/>
      </c>
      <c r="AK2132" s="714" t="str">
        <f t="shared" ref="AK2132:AK2195" si="1539">IF(H2132="credit","",IF(G2132=0,"",IF(OR(AE2132="me",AE2132="T2G"),"  delivery-only",IF(OR(PlanterYesMe="No",PlanterYesMe="N",PlanterYesMe="me"),"  delivery-only",CONCATENATE(" $",ROUND(AJ2132/G2132,2)," each")))))</f>
        <v/>
      </c>
      <c r="AL2132" s="714"/>
      <c r="AM2132" s="114" t="str">
        <f t="shared" ref="AM2132:AM2195" si="1540">IF(H2132="credit","",IF(AE2132="free","      ~ discounts included, no tax or planting fee applies ~",IF(G2132=0,"",IF(OR(PlanterYesMe="No",PlanterYesMe="N",PlanterYesMe="me"),CONCATENATE(" $",ROUND(AJ2132/G2132,2)," per plant, with tax &amp; discount"),IF(OR(AE2132="me",AE2132="T2G"),CONCATENATE(" $",ROUND(AJ2132/G2132,2)," per plant, with tax &amp; discount"),CONCATENATE("= $",ROUND((K2132*(1-T2GDiscount))/G2132,2)," per plant + $",AC2132/G2132,(" per planting      ~ includes tax &amp; discounts ~")))))))</f>
        <v/>
      </c>
      <c r="AN2132" s="115"/>
      <c r="AO2132" s="116"/>
      <c r="AP2132" s="116"/>
      <c r="AQ2132" s="116"/>
      <c r="AR2132" s="116"/>
      <c r="AS2132" s="116"/>
      <c r="AT2132" s="116"/>
      <c r="AU2132" s="116"/>
      <c r="AV2132" s="78"/>
      <c r="AW2132" s="102"/>
      <c r="AX2132" s="78"/>
      <c r="AY2132" s="78"/>
      <c r="AZ2132" s="78"/>
      <c r="BA2132" s="78"/>
      <c r="BB2132" s="78"/>
      <c r="BC2132" s="78"/>
      <c r="BD2132" s="78"/>
      <c r="BE2132" s="465"/>
      <c r="BF2132" s="165" t="str">
        <f t="shared" ref="BF2132:BF2195" si="1541">"https://www.google.com/search?tbm=isch&amp;q=" &amp; _xlfn.ENCODEURL($A2132 &amp; " " &amp; $D2132)</f>
        <v>https://www.google.com/search?tbm=isch&amp;q=10%20G3</v>
      </c>
      <c r="BG2132" s="165" t="str">
        <f t="shared" ref="BG2132:BG2195" si="1542">IF(ISTEXT(A2132),LEFT(A2132,1),BG2131)</f>
        <v>I</v>
      </c>
      <c r="BH2132" s="65"/>
      <c r="BI2132" s="65"/>
      <c r="BJ2132" s="65"/>
      <c r="BK2132" s="65"/>
      <c r="BL2132" s="99"/>
      <c r="BM2132" s="99"/>
      <c r="BN2132" s="99"/>
    </row>
    <row r="2133" spans="1:66" s="51" customFormat="1" ht="16.5" thickBot="1" x14ac:dyDescent="0.3">
      <c r="A2133" s="508" t="s">
        <v>2907</v>
      </c>
      <c r="B2133" s="487"/>
      <c r="C2133" s="707"/>
      <c r="D2133" s="487"/>
      <c r="E2133" s="487"/>
      <c r="F2133" s="488"/>
      <c r="G2133" s="489"/>
      <c r="H2133" s="487"/>
      <c r="I2133" s="490"/>
      <c r="J2133" s="490"/>
      <c r="K2133" s="491"/>
      <c r="L2133" s="547"/>
      <c r="M2133" s="528"/>
      <c r="N2133" s="492"/>
      <c r="O2133" s="493"/>
      <c r="P2133" s="494"/>
      <c r="Q2133" s="492"/>
      <c r="R2133" s="492"/>
      <c r="S2133" s="699" t="s">
        <v>5259</v>
      </c>
      <c r="T2133" s="102">
        <f t="shared" si="1530"/>
        <v>0</v>
      </c>
      <c r="U2133" s="78" t="str">
        <f>IF(NOT(ISNUMBER(G2133)), "", VLOOKUP(A2133,'Discount Lookup'!D:E,2,FALSE)*G2133)</f>
        <v/>
      </c>
      <c r="V2133" s="78" t="str">
        <f>IF(NOT(ISNUMBER(G2133)), "", VLOOKUP(A2133,'Discount Lookup'!G:H,2,FALSE)*G2133)</f>
        <v/>
      </c>
      <c r="W2133" s="102">
        <f t="shared" si="1531"/>
        <v>0</v>
      </c>
      <c r="X2133" s="102">
        <f t="shared" si="1532"/>
        <v>0</v>
      </c>
      <c r="Y2133" s="120" t="b">
        <f t="shared" si="1533"/>
        <v>0</v>
      </c>
      <c r="Z2133" s="117">
        <f t="shared" si="1534"/>
        <v>0</v>
      </c>
      <c r="AA2133" s="118"/>
      <c r="AB2133" s="118" t="str">
        <f t="shared" si="1535"/>
        <v/>
      </c>
      <c r="AC2133" s="712" t="str">
        <f>IF(AE2133="T2G","no charge",IF(AND(OR(PlanterYesMe="No",PlanterYesMe="N",PlanterYesMe="me"),H2133=""),"",IF(H2133="credit","NO install",IF(AND(K2133="",AE2133="me"),"EACH row",IF(AND(K2133="images",AE2133="me"),"EACH row",IF(D2133="","",IF(H2133="credit","",IF(AE2133="free","re-planting",IF(AE2133="me","   not ELP, by",IF(AND(OR(PlanterYesMe="Yes",PlanterYesMe="Y"),G2133&gt;0),(VLOOKUP(A2133,'Discount Lookup'!J:K,2)*G2133*(1-PlanterDiscount)*(1+PlanterDifficultyPercentage)),IF(AE2133="ELP",(VLOOKUP(A2133,'Discount Lookup'!J:K,2)*G2133*(1-PlanterDiscount)*(1+PlanterDifficultyPercentage)),IF(AE2133="free","re-planting",IF(G2133=0,"",IF(PlanterYesMe="",IF(AE2133="me","   not ELP, by",IF(AE2133="",IF(G2133&gt;0,(VLOOKUP(A2133,'Discount Lookup'!J:K,2)*G2133*(1-PlanterDiscount)*(1+PlanterDifficultyPercentage)),""),"")),"   not ELP, by"))))))))))))))</f>
        <v/>
      </c>
      <c r="AD2133" s="712"/>
      <c r="AE2133" s="513" t="str">
        <f t="shared" si="1536"/>
        <v/>
      </c>
      <c r="AF2133" s="713" t="str">
        <f t="shared" si="1537"/>
        <v/>
      </c>
      <c r="AG2133" s="713"/>
      <c r="AH2133" s="713"/>
      <c r="AI2133" s="112">
        <f>IF(H2133="credit",0,IF(AE2133="free",0,IF(AE2133="me",0,IF(G2133&gt;0,(VLOOKUP(A2133,'Discount Lookup'!J:K,2)*G2133),0))))</f>
        <v>0</v>
      </c>
      <c r="AJ2133" s="107" t="str">
        <f t="shared" ca="1" si="1538"/>
        <v/>
      </c>
      <c r="AK2133" s="714" t="str">
        <f t="shared" si="1539"/>
        <v/>
      </c>
      <c r="AL2133" s="714"/>
      <c r="AM2133" s="114" t="str">
        <f t="shared" si="1540"/>
        <v/>
      </c>
      <c r="AN2133" s="115"/>
      <c r="AO2133" s="116"/>
      <c r="AP2133" s="116"/>
      <c r="AQ2133" s="116"/>
      <c r="AR2133" s="116"/>
      <c r="AS2133" s="116"/>
      <c r="AT2133" s="116"/>
      <c r="AU2133" s="116"/>
      <c r="AV2133" s="78"/>
      <c r="AW2133" s="102"/>
      <c r="AX2133" s="78"/>
      <c r="AY2133" s="78"/>
      <c r="AZ2133" s="78"/>
      <c r="BA2133" s="78"/>
      <c r="BB2133" s="78"/>
      <c r="BC2133" s="78"/>
      <c r="BD2133" s="78"/>
      <c r="BE2133" s="465"/>
      <c r="BF2133" s="165" t="str">
        <f t="shared" si="1541"/>
        <v>https://www.google.com/search?tbm=isch&amp;q=Dwarf%20Burford%20springtime%20flower%20clusters%20are%20fragrant%2C%20somewhat%20showy.%20Self-pollinates%20for%20Bright%20Red%20berries%20in%20winter%20</v>
      </c>
      <c r="BG2133" s="165" t="str">
        <f t="shared" si="1542"/>
        <v>D</v>
      </c>
      <c r="BH2133" s="65"/>
      <c r="BI2133" s="65"/>
      <c r="BJ2133" s="65"/>
      <c r="BK2133" s="65"/>
      <c r="BL2133" s="99"/>
      <c r="BM2133" s="99"/>
      <c r="BN2133" s="99"/>
    </row>
    <row r="2134" spans="1:66" s="51" customFormat="1" ht="18" x14ac:dyDescent="0.25">
      <c r="A2134" s="507" t="s">
        <v>2908</v>
      </c>
      <c r="B2134" s="470"/>
      <c r="C2134" s="706"/>
      <c r="D2134" s="471" t="s">
        <v>2909</v>
      </c>
      <c r="E2134" s="472"/>
      <c r="F2134" s="472"/>
      <c r="G2134" s="472"/>
      <c r="H2134" s="622" t="s">
        <v>1076</v>
      </c>
      <c r="I2134" s="473" t="s">
        <v>432</v>
      </c>
      <c r="J2134" s="472"/>
      <c r="K2134" s="472"/>
      <c r="L2134" s="561"/>
      <c r="M2134" s="698" t="s">
        <v>5246</v>
      </c>
      <c r="N2134" s="692" t="str">
        <f>IF(AND(ISTEXT($A2134), ISERROR($A2134+0)), HYPERLINK($BF2134, "Images"), "")</f>
        <v>Images</v>
      </c>
      <c r="O2134" s="694" t="s">
        <v>5289</v>
      </c>
      <c r="P2134" s="475"/>
      <c r="Q2134" s="476"/>
      <c r="R2134" s="476"/>
      <c r="S2134" s="477"/>
      <c r="T2134" s="102">
        <f t="shared" si="1530"/>
        <v>0</v>
      </c>
      <c r="U2134" s="78" t="str">
        <f>IF(NOT(ISNUMBER(G2134)), "", VLOOKUP(A2134,'Discount Lookup'!D:E,2,FALSE)*G2134)</f>
        <v/>
      </c>
      <c r="V2134" s="78" t="str">
        <f>IF(NOT(ISNUMBER(G2134)), "", VLOOKUP(A2134,'Discount Lookup'!G:H,2,FALSE)*G2134)</f>
        <v/>
      </c>
      <c r="W2134" s="102">
        <f t="shared" si="1531"/>
        <v>0</v>
      </c>
      <c r="X2134" s="102" t="str">
        <f t="shared" si="1532"/>
        <v>Green foliage</v>
      </c>
      <c r="Y2134" s="120" t="b">
        <f t="shared" si="1533"/>
        <v>0</v>
      </c>
      <c r="Z2134" s="117">
        <f t="shared" si="1534"/>
        <v>0</v>
      </c>
      <c r="AA2134" s="118"/>
      <c r="AB2134" s="118" t="str">
        <f t="shared" si="1535"/>
        <v/>
      </c>
      <c r="AC2134" s="712" t="str">
        <f>IF(AE2134="T2G","no charge",IF(AND(OR(PlanterYesMe="No",PlanterYesMe="N",PlanterYesMe="me"),H2134=""),"",IF(H2134="credit","NO install",IF(AND(K2134="",AE2134="me"),"EACH row",IF(AND(K2134="images",AE2134="me"),"EACH row",IF(D2134="","",IF(H2134="credit","",IF(AE2134="free","re-planting",IF(AE2134="me","   not ELP, by",IF(AND(OR(PlanterYesMe="Yes",PlanterYesMe="Y"),G2134&gt;0),(VLOOKUP(A2134,'Discount Lookup'!J:K,2)*G2134*(1-PlanterDiscount)*(1+PlanterDifficultyPercentage)),IF(AE2134="ELP",(VLOOKUP(A2134,'Discount Lookup'!J:K,2)*G2134*(1-PlanterDiscount)*(1+PlanterDifficultyPercentage)),IF(AE2134="free","re-planting",IF(G2134=0,"",IF(PlanterYesMe="",IF(AE2134="me","   not ELP, by",IF(AE2134="",IF(G2134&gt;0,(VLOOKUP(A2134,'Discount Lookup'!J:K,2)*G2134*(1-PlanterDiscount)*(1+PlanterDifficultyPercentage)),""),"")),"   not ELP, by"))))))))))))))</f>
        <v/>
      </c>
      <c r="AD2134" s="712"/>
      <c r="AE2134" s="513" t="str">
        <f t="shared" si="1536"/>
        <v/>
      </c>
      <c r="AF2134" s="713" t="str">
        <f t="shared" si="1537"/>
        <v/>
      </c>
      <c r="AG2134" s="713"/>
      <c r="AH2134" s="713"/>
      <c r="AI2134" s="112">
        <f>IF(H2134="credit",0,IF(AE2134="free",0,IF(AE2134="me",0,IF(G2134&gt;0,(VLOOKUP(A2134,'Discount Lookup'!J:K,2)*G2134),0))))</f>
        <v>0</v>
      </c>
      <c r="AJ2134" s="107" t="str">
        <f t="shared" ca="1" si="1538"/>
        <v/>
      </c>
      <c r="AK2134" s="714" t="str">
        <f t="shared" si="1539"/>
        <v/>
      </c>
      <c r="AL2134" s="714"/>
      <c r="AM2134" s="114" t="str">
        <f t="shared" si="1540"/>
        <v/>
      </c>
      <c r="AN2134" s="115"/>
      <c r="AO2134" s="116"/>
      <c r="AP2134" s="116"/>
      <c r="AQ2134" s="116"/>
      <c r="AR2134" s="116"/>
      <c r="AS2134" s="116"/>
      <c r="AT2134" s="116"/>
      <c r="AU2134" s="116"/>
      <c r="AV2134" s="78"/>
      <c r="AW2134" s="102"/>
      <c r="AX2134" s="78"/>
      <c r="AY2134" s="78"/>
      <c r="AZ2134" s="78"/>
      <c r="BA2134" s="78"/>
      <c r="BB2134" s="78"/>
      <c r="BC2134" s="78"/>
      <c r="BD2134" s="78"/>
      <c r="BE2134" s="465"/>
      <c r="BF2134" s="165" t="str">
        <f t="shared" si="1541"/>
        <v>https://www.google.com/search?tbm=isch&amp;q=Ilex%20cornuta%20%27Carissa%27%20Carissa%20Holly</v>
      </c>
      <c r="BG2134" s="165" t="str">
        <f t="shared" si="1542"/>
        <v>I</v>
      </c>
      <c r="BH2134" s="65"/>
      <c r="BI2134" s="65"/>
      <c r="BJ2134" s="65"/>
      <c r="BK2134" s="65"/>
      <c r="BL2134" s="99"/>
      <c r="BM2134" s="99"/>
      <c r="BN2134" s="99"/>
    </row>
    <row r="2135" spans="1:66" s="51" customFormat="1" ht="15.75" x14ac:dyDescent="0.25">
      <c r="A2135" s="478">
        <v>1</v>
      </c>
      <c r="B2135" s="479" t="s">
        <v>291</v>
      </c>
      <c r="C2135" s="480"/>
      <c r="D2135" s="481" t="s">
        <v>329</v>
      </c>
      <c r="E2135" s="482">
        <v>10.95</v>
      </c>
      <c r="F2135" s="483" t="s">
        <v>292</v>
      </c>
      <c r="G2135" s="484">
        <v>0</v>
      </c>
      <c r="H2135" s="688" t="str">
        <f t="shared" ref="H2135:H2140" si="1543">IF(G2135=0,"",IF(F2135="Buy",IF(G2135=1,"plant","plants"),IF(F2135&gt;0.01,"warranty","Error")))</f>
        <v/>
      </c>
      <c r="I2135" s="485">
        <f t="shared" ref="I2135:I2140" si="1544">IF(H2135="free",0,IF(H2135="credit",((E2135*(F2135))*G2135*-1),IF(F2135="Buy",(E2135*G2135),((E2135*(1-F2135))*G2135))))</f>
        <v>0</v>
      </c>
      <c r="J2135" s="485">
        <f t="shared" ref="J2135:J2140" si="1545">IF(H2135="warranty",0,(I2135*(_xlfn.SINGLE(SalesTaxPercentage))))</f>
        <v>0</v>
      </c>
      <c r="K2135" s="715">
        <f t="shared" ref="K2135" si="1546">I2135+J2135</f>
        <v>0</v>
      </c>
      <c r="L2135" s="715"/>
      <c r="M2135" s="689" t="str">
        <f t="shared" ref="M2135:M2140" ca="1" si="1547">IF(AND(G2135&gt;0,E2135=0),"WARNING - no PRICE inserted",IF(H2135="free","FREE ~ no charge this plant",IF(H2135="credit",CONCATENATE("-$",ROUND(K2135*(1-_xlfn.SINGLE(T2GDiscount))*-1,2)," CREDIT after discount"),IF(_xlfn.SINGLE(T2GDiscount)=0,"",IF(G2135=0,"",IF(F2135="Buy",CONCATENATE("$",ROUND(K2135*(1-_xlfn.SINGLE(T2GDiscount)),2)," with ",(_xlfn.SINGLE(T2GDiscount)*100),"% discount"),CONCATENATE("$",ROUND(K2135*(1-_xlfn.SINGLE(T2GDiscount)),2)," with ",((_xlfn.SINGLE(T2GDiscount)*100+F2135*100)-(_xlfn.SINGLE(T2GDiscount)*100*F2135)),IF(F2135&gt;0,"% discounts",IF(_xlfn.SINGLE(NoWarrantyDiscount)&gt;0,"% discounts","% discount")))))))))</f>
        <v/>
      </c>
      <c r="N2135" s="690"/>
      <c r="O2135" s="486"/>
      <c r="P2135" s="486"/>
      <c r="Q2135" s="486"/>
      <c r="R2135" s="486"/>
      <c r="S2135" s="486"/>
      <c r="T2135" s="102">
        <f t="shared" si="1530"/>
        <v>0</v>
      </c>
      <c r="U2135" s="78">
        <f>IF(NOT(ISNUMBER(G2135)), "", VLOOKUP(A2135,'Discount Lookup'!D:E,2,FALSE)*G2135)</f>
        <v>0</v>
      </c>
      <c r="V2135" s="78">
        <f>IF(NOT(ISNUMBER(G2135)), "", VLOOKUP(A2135,'Discount Lookup'!G:H,2,FALSE)*G2135)</f>
        <v>0</v>
      </c>
      <c r="W2135" s="102">
        <f t="shared" si="1531"/>
        <v>0</v>
      </c>
      <c r="X2135" s="102">
        <f t="shared" si="1532"/>
        <v>0</v>
      </c>
      <c r="Y2135" s="120" t="b">
        <f t="shared" si="1533"/>
        <v>0</v>
      </c>
      <c r="Z2135" s="117">
        <f t="shared" si="1534"/>
        <v>0</v>
      </c>
      <c r="AA2135" s="118"/>
      <c r="AB2135" s="118" t="str">
        <f t="shared" si="1535"/>
        <v/>
      </c>
      <c r="AC2135" s="712" t="str">
        <f>IF(AE2135="T2G","no charge",IF(AND(OR(PlanterYesMe="No",PlanterYesMe="N",PlanterYesMe="me"),H2135=""),"",IF(H2135="credit","NO install",IF(AND(K2135="",AE2135="me"),"EACH row",IF(AND(K2135="images",AE2135="me"),"EACH row",IF(D2135="","",IF(H2135="credit","",IF(AE2135="free","re-planting",IF(AE2135="me","   not ELP, by",IF(AND(OR(PlanterYesMe="Yes",PlanterYesMe="Y"),G2135&gt;0),(VLOOKUP(A2135,'Discount Lookup'!J:K,2)*G2135*(1-PlanterDiscount)*(1+PlanterDifficultyPercentage)),IF(AE2135="ELP",(VLOOKUP(A2135,'Discount Lookup'!J:K,2)*G2135*(1-PlanterDiscount)*(1+PlanterDifficultyPercentage)),IF(AE2135="free","re-planting",IF(G2135=0,"",IF(PlanterYesMe="",IF(AE2135="me","   not ELP, by",IF(AE2135="",IF(G2135&gt;0,(VLOOKUP(A2135,'Discount Lookup'!J:K,2)*G2135*(1-PlanterDiscount)*(1+PlanterDifficultyPercentage)),""),"")),"   not ELP, by"))))))))))))))</f>
        <v/>
      </c>
      <c r="AD2135" s="712"/>
      <c r="AE2135" s="513" t="str">
        <f t="shared" si="1536"/>
        <v/>
      </c>
      <c r="AF2135" s="713" t="str">
        <f t="shared" si="1537"/>
        <v/>
      </c>
      <c r="AG2135" s="713"/>
      <c r="AH2135" s="713"/>
      <c r="AI2135" s="112">
        <f>IF(H2135="credit",0,IF(AE2135="free",0,IF(AE2135="me",0,IF(G2135&gt;0,(VLOOKUP(A2135,'Discount Lookup'!J:K,2)*G2135),0))))</f>
        <v>0</v>
      </c>
      <c r="AJ2135" s="107" t="str">
        <f t="shared" ca="1" si="1538"/>
        <v/>
      </c>
      <c r="AK2135" s="714" t="str">
        <f t="shared" si="1539"/>
        <v/>
      </c>
      <c r="AL2135" s="714"/>
      <c r="AM2135" s="114" t="str">
        <f t="shared" si="1540"/>
        <v/>
      </c>
      <c r="AN2135" s="115"/>
      <c r="AO2135" s="116"/>
      <c r="AP2135" s="116"/>
      <c r="AQ2135" s="116"/>
      <c r="AR2135" s="116"/>
      <c r="AS2135" s="116"/>
      <c r="AT2135" s="116"/>
      <c r="AU2135" s="116"/>
      <c r="AV2135" s="78"/>
      <c r="AW2135" s="102"/>
      <c r="AX2135" s="78"/>
      <c r="AY2135" s="78"/>
      <c r="AZ2135" s="78"/>
      <c r="BA2135" s="78"/>
      <c r="BB2135" s="78"/>
      <c r="BC2135" s="78"/>
      <c r="BD2135" s="78"/>
      <c r="BE2135" s="465"/>
      <c r="BF2135" s="165" t="str">
        <f t="shared" si="1541"/>
        <v>https://www.google.com/search?tbm=isch&amp;q=1%20G2</v>
      </c>
      <c r="BG2135" s="165" t="str">
        <f t="shared" si="1542"/>
        <v>I</v>
      </c>
      <c r="BH2135" s="65"/>
      <c r="BI2135" s="65"/>
      <c r="BJ2135" s="65"/>
      <c r="BK2135" s="65"/>
      <c r="BL2135" s="99"/>
      <c r="BM2135" s="99"/>
      <c r="BN2135" s="99"/>
    </row>
    <row r="2136" spans="1:66" s="51" customFormat="1" ht="15.75" x14ac:dyDescent="0.25">
      <c r="A2136" s="478">
        <v>3</v>
      </c>
      <c r="B2136" s="479" t="s">
        <v>291</v>
      </c>
      <c r="C2136" s="480" t="s">
        <v>2910</v>
      </c>
      <c r="D2136" s="481" t="s">
        <v>329</v>
      </c>
      <c r="E2136" s="482">
        <v>24.95</v>
      </c>
      <c r="F2136" s="483" t="s">
        <v>292</v>
      </c>
      <c r="G2136" s="484">
        <v>0</v>
      </c>
      <c r="H2136" s="688" t="str">
        <f t="shared" si="1543"/>
        <v/>
      </c>
      <c r="I2136" s="485">
        <f t="shared" si="1544"/>
        <v>0</v>
      </c>
      <c r="J2136" s="485">
        <f t="shared" si="1545"/>
        <v>0</v>
      </c>
      <c r="K2136" s="715">
        <f t="shared" ref="K2136" si="1548">I2136+J2136</f>
        <v>0</v>
      </c>
      <c r="L2136" s="715"/>
      <c r="M2136" s="689" t="str">
        <f t="shared" ca="1" si="1547"/>
        <v/>
      </c>
      <c r="N2136" s="690"/>
      <c r="O2136" s="486"/>
      <c r="P2136" s="486"/>
      <c r="Q2136" s="486"/>
      <c r="R2136" s="486"/>
      <c r="S2136" s="486"/>
      <c r="T2136" s="102">
        <f t="shared" si="1530"/>
        <v>0</v>
      </c>
      <c r="U2136" s="78">
        <f>IF(NOT(ISNUMBER(G2136)), "", VLOOKUP(A2136,'Discount Lookup'!D:E,2,FALSE)*G2136)</f>
        <v>0</v>
      </c>
      <c r="V2136" s="78">
        <f>IF(NOT(ISNUMBER(G2136)), "", VLOOKUP(A2136,'Discount Lookup'!G:H,2,FALSE)*G2136)</f>
        <v>0</v>
      </c>
      <c r="W2136" s="102">
        <f t="shared" si="1531"/>
        <v>0</v>
      </c>
      <c r="X2136" s="102">
        <f t="shared" si="1532"/>
        <v>0</v>
      </c>
      <c r="Y2136" s="120" t="b">
        <f t="shared" si="1533"/>
        <v>0</v>
      </c>
      <c r="Z2136" s="117">
        <f t="shared" si="1534"/>
        <v>0</v>
      </c>
      <c r="AA2136" s="118"/>
      <c r="AB2136" s="118" t="str">
        <f t="shared" si="1535"/>
        <v/>
      </c>
      <c r="AC2136" s="712" t="str">
        <f>IF(AE2136="T2G","no charge",IF(AND(OR(PlanterYesMe="No",PlanterYesMe="N",PlanterYesMe="me"),H2136=""),"",IF(H2136="credit","NO install",IF(AND(K2136="",AE2136="me"),"EACH row",IF(AND(K2136="images",AE2136="me"),"EACH row",IF(D2136="","",IF(H2136="credit","",IF(AE2136="free","re-planting",IF(AE2136="me","   not ELP, by",IF(AND(OR(PlanterYesMe="Yes",PlanterYesMe="Y"),G2136&gt;0),(VLOOKUP(A2136,'Discount Lookup'!J:K,2)*G2136*(1-PlanterDiscount)*(1+PlanterDifficultyPercentage)),IF(AE2136="ELP",(VLOOKUP(A2136,'Discount Lookup'!J:K,2)*G2136*(1-PlanterDiscount)*(1+PlanterDifficultyPercentage)),IF(AE2136="free","re-planting",IF(G2136=0,"",IF(PlanterYesMe="",IF(AE2136="me","   not ELP, by",IF(AE2136="",IF(G2136&gt;0,(VLOOKUP(A2136,'Discount Lookup'!J:K,2)*G2136*(1-PlanterDiscount)*(1+PlanterDifficultyPercentage)),""),"")),"   not ELP, by"))))))))))))))</f>
        <v/>
      </c>
      <c r="AD2136" s="712"/>
      <c r="AE2136" s="513" t="str">
        <f t="shared" si="1536"/>
        <v/>
      </c>
      <c r="AF2136" s="713" t="str">
        <f t="shared" si="1537"/>
        <v/>
      </c>
      <c r="AG2136" s="713"/>
      <c r="AH2136" s="713"/>
      <c r="AI2136" s="112">
        <f>IF(H2136="credit",0,IF(AE2136="free",0,IF(AE2136="me",0,IF(G2136&gt;0,(VLOOKUP(A2136,'Discount Lookup'!J:K,2)*G2136),0))))</f>
        <v>0</v>
      </c>
      <c r="AJ2136" s="107" t="str">
        <f t="shared" ca="1" si="1538"/>
        <v/>
      </c>
      <c r="AK2136" s="714" t="str">
        <f t="shared" si="1539"/>
        <v/>
      </c>
      <c r="AL2136" s="714"/>
      <c r="AM2136" s="114" t="str">
        <f t="shared" si="1540"/>
        <v/>
      </c>
      <c r="AN2136" s="115"/>
      <c r="AO2136" s="116"/>
      <c r="AP2136" s="116"/>
      <c r="AQ2136" s="116"/>
      <c r="AR2136" s="116"/>
      <c r="AS2136" s="116"/>
      <c r="AT2136" s="116"/>
      <c r="AU2136" s="116"/>
      <c r="AV2136" s="78"/>
      <c r="AW2136" s="102"/>
      <c r="AX2136" s="78"/>
      <c r="AY2136" s="78"/>
      <c r="AZ2136" s="78"/>
      <c r="BA2136" s="78"/>
      <c r="BB2136" s="78"/>
      <c r="BC2136" s="78"/>
      <c r="BD2136" s="78"/>
      <c r="BE2136" s="465"/>
      <c r="BF2136" s="165" t="str">
        <f t="shared" si="1541"/>
        <v>https://www.google.com/search?tbm=isch&amp;q=3%20G2</v>
      </c>
      <c r="BG2136" s="165" t="str">
        <f t="shared" si="1542"/>
        <v>I</v>
      </c>
      <c r="BH2136" s="65"/>
      <c r="BI2136" s="65"/>
      <c r="BJ2136" s="65"/>
      <c r="BK2136" s="65"/>
      <c r="BL2136" s="99"/>
      <c r="BM2136" s="99"/>
      <c r="BN2136" s="99"/>
    </row>
    <row r="2137" spans="1:66" s="51" customFormat="1" ht="15.75" x14ac:dyDescent="0.25">
      <c r="A2137" s="478">
        <v>3</v>
      </c>
      <c r="B2137" s="479" t="s">
        <v>291</v>
      </c>
      <c r="C2137" s="480"/>
      <c r="D2137" s="481" t="s">
        <v>310</v>
      </c>
      <c r="E2137" s="482">
        <v>25.95</v>
      </c>
      <c r="F2137" s="483" t="s">
        <v>292</v>
      </c>
      <c r="G2137" s="484">
        <v>0</v>
      </c>
      <c r="H2137" s="688" t="str">
        <f t="shared" si="1543"/>
        <v/>
      </c>
      <c r="I2137" s="485">
        <f t="shared" si="1544"/>
        <v>0</v>
      </c>
      <c r="J2137" s="485">
        <f t="shared" si="1545"/>
        <v>0</v>
      </c>
      <c r="K2137" s="715">
        <f t="shared" ref="K2137" si="1549">I2137+J2137</f>
        <v>0</v>
      </c>
      <c r="L2137" s="715"/>
      <c r="M2137" s="689" t="str">
        <f t="shared" ca="1" si="1547"/>
        <v/>
      </c>
      <c r="N2137" s="690"/>
      <c r="O2137" s="486"/>
      <c r="P2137" s="486"/>
      <c r="Q2137" s="486"/>
      <c r="R2137" s="486"/>
      <c r="S2137" s="486"/>
      <c r="T2137" s="102">
        <f t="shared" si="1530"/>
        <v>0</v>
      </c>
      <c r="U2137" s="78">
        <f>IF(NOT(ISNUMBER(G2137)), "", VLOOKUP(A2137,'Discount Lookup'!D:E,2,FALSE)*G2137)</f>
        <v>0</v>
      </c>
      <c r="V2137" s="78">
        <f>IF(NOT(ISNUMBER(G2137)), "", VLOOKUP(A2137,'Discount Lookup'!G:H,2,FALSE)*G2137)</f>
        <v>0</v>
      </c>
      <c r="W2137" s="102">
        <f t="shared" si="1531"/>
        <v>0</v>
      </c>
      <c r="X2137" s="102">
        <f t="shared" si="1532"/>
        <v>0</v>
      </c>
      <c r="Y2137" s="120" t="b">
        <f t="shared" si="1533"/>
        <v>0</v>
      </c>
      <c r="Z2137" s="117">
        <f t="shared" si="1534"/>
        <v>0</v>
      </c>
      <c r="AA2137" s="118"/>
      <c r="AB2137" s="118" t="str">
        <f t="shared" si="1535"/>
        <v/>
      </c>
      <c r="AC2137" s="712" t="str">
        <f>IF(AE2137="T2G","no charge",IF(AND(OR(PlanterYesMe="No",PlanterYesMe="N",PlanterYesMe="me"),H2137=""),"",IF(H2137="credit","NO install",IF(AND(K2137="",AE2137="me"),"EACH row",IF(AND(K2137="images",AE2137="me"),"EACH row",IF(D2137="","",IF(H2137="credit","",IF(AE2137="free","re-planting",IF(AE2137="me","   not ELP, by",IF(AND(OR(PlanterYesMe="Yes",PlanterYesMe="Y"),G2137&gt;0),(VLOOKUP(A2137,'Discount Lookup'!J:K,2)*G2137*(1-PlanterDiscount)*(1+PlanterDifficultyPercentage)),IF(AE2137="ELP",(VLOOKUP(A2137,'Discount Lookup'!J:K,2)*G2137*(1-PlanterDiscount)*(1+PlanterDifficultyPercentage)),IF(AE2137="free","re-planting",IF(G2137=0,"",IF(PlanterYesMe="",IF(AE2137="me","   not ELP, by",IF(AE2137="",IF(G2137&gt;0,(VLOOKUP(A2137,'Discount Lookup'!J:K,2)*G2137*(1-PlanterDiscount)*(1+PlanterDifficultyPercentage)),""),"")),"   not ELP, by"))))))))))))))</f>
        <v/>
      </c>
      <c r="AD2137" s="712"/>
      <c r="AE2137" s="513" t="str">
        <f t="shared" si="1536"/>
        <v/>
      </c>
      <c r="AF2137" s="713" t="str">
        <f t="shared" si="1537"/>
        <v/>
      </c>
      <c r="AG2137" s="713"/>
      <c r="AH2137" s="713"/>
      <c r="AI2137" s="112">
        <f>IF(H2137="credit",0,IF(AE2137="free",0,IF(AE2137="me",0,IF(G2137&gt;0,(VLOOKUP(A2137,'Discount Lookup'!J:K,2)*G2137),0))))</f>
        <v>0</v>
      </c>
      <c r="AJ2137" s="107" t="str">
        <f t="shared" ca="1" si="1538"/>
        <v/>
      </c>
      <c r="AK2137" s="714" t="str">
        <f t="shared" si="1539"/>
        <v/>
      </c>
      <c r="AL2137" s="714"/>
      <c r="AM2137" s="114" t="str">
        <f t="shared" si="1540"/>
        <v/>
      </c>
      <c r="AN2137" s="115"/>
      <c r="AO2137" s="116"/>
      <c r="AP2137" s="116"/>
      <c r="AQ2137" s="116"/>
      <c r="AR2137" s="116"/>
      <c r="AS2137" s="116"/>
      <c r="AT2137" s="116"/>
      <c r="AU2137" s="116"/>
      <c r="AV2137" s="78"/>
      <c r="AW2137" s="102"/>
      <c r="AX2137" s="78"/>
      <c r="AY2137" s="78"/>
      <c r="AZ2137" s="78"/>
      <c r="BA2137" s="78"/>
      <c r="BB2137" s="78"/>
      <c r="BC2137" s="78"/>
      <c r="BD2137" s="78"/>
      <c r="BE2137" s="465"/>
      <c r="BF2137" s="165" t="str">
        <f t="shared" si="1541"/>
        <v>https://www.google.com/search?tbm=isch&amp;q=3%20G1</v>
      </c>
      <c r="BG2137" s="165" t="str">
        <f t="shared" si="1542"/>
        <v>I</v>
      </c>
      <c r="BH2137" s="65"/>
      <c r="BI2137" s="65"/>
      <c r="BJ2137" s="65"/>
      <c r="BK2137" s="65"/>
      <c r="BL2137" s="99"/>
      <c r="BM2137" s="99"/>
      <c r="BN2137" s="99"/>
    </row>
    <row r="2138" spans="1:66" s="51" customFormat="1" ht="15.75" x14ac:dyDescent="0.25">
      <c r="A2138" s="478">
        <v>3</v>
      </c>
      <c r="B2138" s="479" t="s">
        <v>291</v>
      </c>
      <c r="C2138" s="480" t="s">
        <v>2911</v>
      </c>
      <c r="D2138" s="481" t="s">
        <v>311</v>
      </c>
      <c r="E2138" s="482">
        <v>27.95</v>
      </c>
      <c r="F2138" s="483" t="s">
        <v>292</v>
      </c>
      <c r="G2138" s="484">
        <v>0</v>
      </c>
      <c r="H2138" s="688" t="str">
        <f t="shared" si="1543"/>
        <v/>
      </c>
      <c r="I2138" s="485">
        <f t="shared" si="1544"/>
        <v>0</v>
      </c>
      <c r="J2138" s="485">
        <f t="shared" si="1545"/>
        <v>0</v>
      </c>
      <c r="K2138" s="715">
        <f t="shared" ref="K2138" si="1550">I2138+J2138</f>
        <v>0</v>
      </c>
      <c r="L2138" s="715"/>
      <c r="M2138" s="689" t="str">
        <f t="shared" ca="1" si="1547"/>
        <v/>
      </c>
      <c r="N2138" s="690"/>
      <c r="O2138" s="486"/>
      <c r="P2138" s="486"/>
      <c r="Q2138" s="486"/>
      <c r="R2138" s="486"/>
      <c r="S2138" s="486"/>
      <c r="T2138" s="102">
        <f t="shared" si="1530"/>
        <v>0</v>
      </c>
      <c r="U2138" s="78">
        <f>IF(NOT(ISNUMBER(G2138)), "", VLOOKUP(A2138,'Discount Lookup'!D:E,2,FALSE)*G2138)</f>
        <v>0</v>
      </c>
      <c r="V2138" s="78">
        <f>IF(NOT(ISNUMBER(G2138)), "", VLOOKUP(A2138,'Discount Lookup'!G:H,2,FALSE)*G2138)</f>
        <v>0</v>
      </c>
      <c r="W2138" s="102">
        <f t="shared" si="1531"/>
        <v>0</v>
      </c>
      <c r="X2138" s="102">
        <f t="shared" si="1532"/>
        <v>0</v>
      </c>
      <c r="Y2138" s="120" t="b">
        <f t="shared" si="1533"/>
        <v>0</v>
      </c>
      <c r="Z2138" s="117">
        <f t="shared" si="1534"/>
        <v>0</v>
      </c>
      <c r="AA2138" s="118"/>
      <c r="AB2138" s="118" t="str">
        <f t="shared" si="1535"/>
        <v/>
      </c>
      <c r="AC2138" s="712" t="str">
        <f>IF(AE2138="T2G","no charge",IF(AND(OR(PlanterYesMe="No",PlanterYesMe="N",PlanterYesMe="me"),H2138=""),"",IF(H2138="credit","NO install",IF(AND(K2138="",AE2138="me"),"EACH row",IF(AND(K2138="images",AE2138="me"),"EACH row",IF(D2138="","",IF(H2138="credit","",IF(AE2138="free","re-planting",IF(AE2138="me","   not ELP, by",IF(AND(OR(PlanterYesMe="Yes",PlanterYesMe="Y"),G2138&gt;0),(VLOOKUP(A2138,'Discount Lookup'!J:K,2)*G2138*(1-PlanterDiscount)*(1+PlanterDifficultyPercentage)),IF(AE2138="ELP",(VLOOKUP(A2138,'Discount Lookup'!J:K,2)*G2138*(1-PlanterDiscount)*(1+PlanterDifficultyPercentage)),IF(AE2138="free","re-planting",IF(G2138=0,"",IF(PlanterYesMe="",IF(AE2138="me","   not ELP, by",IF(AE2138="",IF(G2138&gt;0,(VLOOKUP(A2138,'Discount Lookup'!J:K,2)*G2138*(1-PlanterDiscount)*(1+PlanterDifficultyPercentage)),""),"")),"   not ELP, by"))))))))))))))</f>
        <v/>
      </c>
      <c r="AD2138" s="712"/>
      <c r="AE2138" s="513" t="str">
        <f t="shared" si="1536"/>
        <v/>
      </c>
      <c r="AF2138" s="713" t="str">
        <f t="shared" si="1537"/>
        <v/>
      </c>
      <c r="AG2138" s="713"/>
      <c r="AH2138" s="713"/>
      <c r="AI2138" s="112">
        <f>IF(H2138="credit",0,IF(AE2138="free",0,IF(AE2138="me",0,IF(G2138&gt;0,(VLOOKUP(A2138,'Discount Lookup'!J:K,2)*G2138),0))))</f>
        <v>0</v>
      </c>
      <c r="AJ2138" s="107" t="str">
        <f t="shared" ca="1" si="1538"/>
        <v/>
      </c>
      <c r="AK2138" s="714" t="str">
        <f t="shared" si="1539"/>
        <v/>
      </c>
      <c r="AL2138" s="714"/>
      <c r="AM2138" s="114" t="str">
        <f t="shared" si="1540"/>
        <v/>
      </c>
      <c r="AN2138" s="115"/>
      <c r="AO2138" s="116"/>
      <c r="AP2138" s="116"/>
      <c r="AQ2138" s="116"/>
      <c r="AR2138" s="116"/>
      <c r="AS2138" s="116"/>
      <c r="AT2138" s="116"/>
      <c r="AU2138" s="116"/>
      <c r="AV2138" s="78"/>
      <c r="AW2138" s="102"/>
      <c r="AX2138" s="78"/>
      <c r="AY2138" s="78"/>
      <c r="AZ2138" s="78"/>
      <c r="BA2138" s="78"/>
      <c r="BB2138" s="78"/>
      <c r="BC2138" s="78"/>
      <c r="BD2138" s="78"/>
      <c r="BE2138" s="465"/>
      <c r="BF2138" s="165" t="str">
        <f t="shared" si="1541"/>
        <v>https://www.google.com/search?tbm=isch&amp;q=3%20G5</v>
      </c>
      <c r="BG2138" s="165" t="str">
        <f t="shared" si="1542"/>
        <v>I</v>
      </c>
      <c r="BH2138" s="65"/>
      <c r="BI2138" s="65"/>
      <c r="BJ2138" s="65"/>
      <c r="BK2138" s="65"/>
      <c r="BL2138" s="99"/>
      <c r="BM2138" s="99"/>
      <c r="BN2138" s="99"/>
    </row>
    <row r="2139" spans="1:66" s="51" customFormat="1" ht="15.75" x14ac:dyDescent="0.25">
      <c r="A2139" s="478">
        <v>3</v>
      </c>
      <c r="B2139" s="479" t="s">
        <v>291</v>
      </c>
      <c r="C2139" s="480" t="s">
        <v>4618</v>
      </c>
      <c r="D2139" s="481" t="s">
        <v>293</v>
      </c>
      <c r="E2139" s="482">
        <v>33.950000000000003</v>
      </c>
      <c r="F2139" s="483" t="s">
        <v>292</v>
      </c>
      <c r="G2139" s="484">
        <v>0</v>
      </c>
      <c r="H2139" s="688" t="str">
        <f t="shared" si="1543"/>
        <v/>
      </c>
      <c r="I2139" s="485">
        <f t="shared" si="1544"/>
        <v>0</v>
      </c>
      <c r="J2139" s="485">
        <f t="shared" si="1545"/>
        <v>0</v>
      </c>
      <c r="K2139" s="715">
        <f t="shared" ref="K2139" si="1551">I2139+J2139</f>
        <v>0</v>
      </c>
      <c r="L2139" s="715"/>
      <c r="M2139" s="689" t="str">
        <f t="shared" ca="1" si="1547"/>
        <v/>
      </c>
      <c r="N2139" s="690"/>
      <c r="O2139" s="486"/>
      <c r="P2139" s="486"/>
      <c r="Q2139" s="486"/>
      <c r="R2139" s="486"/>
      <c r="S2139" s="486"/>
      <c r="T2139" s="102">
        <f t="shared" si="1530"/>
        <v>0</v>
      </c>
      <c r="U2139" s="78">
        <f>IF(NOT(ISNUMBER(G2139)), "", VLOOKUP(A2139,'Discount Lookup'!D:E,2,FALSE)*G2139)</f>
        <v>0</v>
      </c>
      <c r="V2139" s="78">
        <f>IF(NOT(ISNUMBER(G2139)), "", VLOOKUP(A2139,'Discount Lookup'!G:H,2,FALSE)*G2139)</f>
        <v>0</v>
      </c>
      <c r="W2139" s="102">
        <f t="shared" si="1531"/>
        <v>0</v>
      </c>
      <c r="X2139" s="102">
        <f t="shared" si="1532"/>
        <v>0</v>
      </c>
      <c r="Y2139" s="120" t="b">
        <f t="shared" si="1533"/>
        <v>0</v>
      </c>
      <c r="Z2139" s="117">
        <f t="shared" si="1534"/>
        <v>0</v>
      </c>
      <c r="AA2139" s="118"/>
      <c r="AB2139" s="118" t="str">
        <f t="shared" si="1535"/>
        <v/>
      </c>
      <c r="AC2139" s="712" t="str">
        <f>IF(AE2139="T2G","no charge",IF(AND(OR(PlanterYesMe="No",PlanterYesMe="N",PlanterYesMe="me"),H2139=""),"",IF(H2139="credit","NO install",IF(AND(K2139="",AE2139="me"),"EACH row",IF(AND(K2139="images",AE2139="me"),"EACH row",IF(D2139="","",IF(H2139="credit","",IF(AE2139="free","re-planting",IF(AE2139="me","   not ELP, by",IF(AND(OR(PlanterYesMe="Yes",PlanterYesMe="Y"),G2139&gt;0),(VLOOKUP(A2139,'Discount Lookup'!J:K,2)*G2139*(1-PlanterDiscount)*(1+PlanterDifficultyPercentage)),IF(AE2139="ELP",(VLOOKUP(A2139,'Discount Lookup'!J:K,2)*G2139*(1-PlanterDiscount)*(1+PlanterDifficultyPercentage)),IF(AE2139="free","re-planting",IF(G2139=0,"",IF(PlanterYesMe="",IF(AE2139="me","   not ELP, by",IF(AE2139="",IF(G2139&gt;0,(VLOOKUP(A2139,'Discount Lookup'!J:K,2)*G2139*(1-PlanterDiscount)*(1+PlanterDifficultyPercentage)),""),"")),"   not ELP, by"))))))))))))))</f>
        <v/>
      </c>
      <c r="AD2139" s="712"/>
      <c r="AE2139" s="513" t="str">
        <f t="shared" si="1536"/>
        <v/>
      </c>
      <c r="AF2139" s="713" t="str">
        <f t="shared" si="1537"/>
        <v/>
      </c>
      <c r="AG2139" s="713"/>
      <c r="AH2139" s="713"/>
      <c r="AI2139" s="112">
        <f>IF(H2139="credit",0,IF(AE2139="free",0,IF(AE2139="me",0,IF(G2139&gt;0,(VLOOKUP(A2139,'Discount Lookup'!J:K,2)*G2139),0))))</f>
        <v>0</v>
      </c>
      <c r="AJ2139" s="107" t="str">
        <f t="shared" ca="1" si="1538"/>
        <v/>
      </c>
      <c r="AK2139" s="714" t="str">
        <f t="shared" si="1539"/>
        <v/>
      </c>
      <c r="AL2139" s="714"/>
      <c r="AM2139" s="114" t="str">
        <f t="shared" si="1540"/>
        <v/>
      </c>
      <c r="AN2139" s="115"/>
      <c r="AO2139" s="116"/>
      <c r="AP2139" s="116"/>
      <c r="AQ2139" s="116"/>
      <c r="AR2139" s="116"/>
      <c r="AS2139" s="116"/>
      <c r="AT2139" s="116"/>
      <c r="AU2139" s="116"/>
      <c r="AV2139" s="78"/>
      <c r="AW2139" s="102"/>
      <c r="AX2139" s="78"/>
      <c r="AY2139" s="78"/>
      <c r="AZ2139" s="78"/>
      <c r="BA2139" s="78"/>
      <c r="BB2139" s="78"/>
      <c r="BC2139" s="78"/>
      <c r="BD2139" s="78"/>
      <c r="BE2139" s="465"/>
      <c r="BF2139" s="165" t="str">
        <f t="shared" si="1541"/>
        <v>https://www.google.com/search?tbm=isch&amp;q=3%20G6</v>
      </c>
      <c r="BG2139" s="165" t="str">
        <f t="shared" si="1542"/>
        <v>I</v>
      </c>
      <c r="BH2139" s="65"/>
      <c r="BI2139" s="65"/>
      <c r="BJ2139" s="65"/>
      <c r="BK2139" s="65"/>
      <c r="BL2139" s="99"/>
      <c r="BM2139" s="99"/>
      <c r="BN2139" s="99"/>
    </row>
    <row r="2140" spans="1:66" s="51" customFormat="1" ht="15.75" x14ac:dyDescent="0.25">
      <c r="A2140" s="478">
        <v>5</v>
      </c>
      <c r="B2140" s="479" t="s">
        <v>291</v>
      </c>
      <c r="C2140" s="480" t="s">
        <v>4985</v>
      </c>
      <c r="D2140" s="481" t="s">
        <v>309</v>
      </c>
      <c r="E2140" s="482">
        <v>41.95</v>
      </c>
      <c r="F2140" s="483" t="s">
        <v>292</v>
      </c>
      <c r="G2140" s="484">
        <v>0</v>
      </c>
      <c r="H2140" s="688" t="str">
        <f t="shared" si="1543"/>
        <v/>
      </c>
      <c r="I2140" s="485">
        <f t="shared" si="1544"/>
        <v>0</v>
      </c>
      <c r="J2140" s="485">
        <f t="shared" si="1545"/>
        <v>0</v>
      </c>
      <c r="K2140" s="715">
        <f t="shared" ref="K2140" si="1552">I2140+J2140</f>
        <v>0</v>
      </c>
      <c r="L2140" s="715"/>
      <c r="M2140" s="689" t="str">
        <f t="shared" ca="1" si="1547"/>
        <v/>
      </c>
      <c r="N2140" s="690"/>
      <c r="O2140" s="486"/>
      <c r="P2140" s="486"/>
      <c r="Q2140" s="486"/>
      <c r="R2140" s="486"/>
      <c r="S2140" s="486"/>
      <c r="T2140" s="102">
        <f t="shared" si="1530"/>
        <v>0</v>
      </c>
      <c r="U2140" s="78">
        <f>IF(NOT(ISNUMBER(G2140)), "", VLOOKUP(A2140,'Discount Lookup'!D:E,2,FALSE)*G2140)</f>
        <v>0</v>
      </c>
      <c r="V2140" s="78">
        <f>IF(NOT(ISNUMBER(G2140)), "", VLOOKUP(A2140,'Discount Lookup'!G:H,2,FALSE)*G2140)</f>
        <v>0</v>
      </c>
      <c r="W2140" s="102">
        <f t="shared" si="1531"/>
        <v>0</v>
      </c>
      <c r="X2140" s="102">
        <f t="shared" si="1532"/>
        <v>0</v>
      </c>
      <c r="Y2140" s="120" t="b">
        <f t="shared" si="1533"/>
        <v>0</v>
      </c>
      <c r="Z2140" s="117">
        <f t="shared" si="1534"/>
        <v>0</v>
      </c>
      <c r="AA2140" s="118"/>
      <c r="AB2140" s="118" t="str">
        <f t="shared" si="1535"/>
        <v/>
      </c>
      <c r="AC2140" s="712" t="str">
        <f>IF(AE2140="T2G","no charge",IF(AND(OR(PlanterYesMe="No",PlanterYesMe="N",PlanterYesMe="me"),H2140=""),"",IF(H2140="credit","NO install",IF(AND(K2140="",AE2140="me"),"EACH row",IF(AND(K2140="images",AE2140="me"),"EACH row",IF(D2140="","",IF(H2140="credit","",IF(AE2140="free","re-planting",IF(AE2140="me","   not ELP, by",IF(AND(OR(PlanterYesMe="Yes",PlanterYesMe="Y"),G2140&gt;0),(VLOOKUP(A2140,'Discount Lookup'!J:K,2)*G2140*(1-PlanterDiscount)*(1+PlanterDifficultyPercentage)),IF(AE2140="ELP",(VLOOKUP(A2140,'Discount Lookup'!J:K,2)*G2140*(1-PlanterDiscount)*(1+PlanterDifficultyPercentage)),IF(AE2140="free","re-planting",IF(G2140=0,"",IF(PlanterYesMe="",IF(AE2140="me","   not ELP, by",IF(AE2140="",IF(G2140&gt;0,(VLOOKUP(A2140,'Discount Lookup'!J:K,2)*G2140*(1-PlanterDiscount)*(1+PlanterDifficultyPercentage)),""),"")),"   not ELP, by"))))))))))))))</f>
        <v/>
      </c>
      <c r="AD2140" s="712"/>
      <c r="AE2140" s="513" t="str">
        <f t="shared" si="1536"/>
        <v/>
      </c>
      <c r="AF2140" s="713" t="str">
        <f t="shared" si="1537"/>
        <v/>
      </c>
      <c r="AG2140" s="713"/>
      <c r="AH2140" s="713"/>
      <c r="AI2140" s="112">
        <f>IF(H2140="credit",0,IF(AE2140="free",0,IF(AE2140="me",0,IF(G2140&gt;0,(VLOOKUP(A2140,'Discount Lookup'!J:K,2)*G2140),0))))</f>
        <v>0</v>
      </c>
      <c r="AJ2140" s="107" t="str">
        <f t="shared" ca="1" si="1538"/>
        <v/>
      </c>
      <c r="AK2140" s="714" t="str">
        <f t="shared" si="1539"/>
        <v/>
      </c>
      <c r="AL2140" s="714"/>
      <c r="AM2140" s="114" t="str">
        <f t="shared" si="1540"/>
        <v/>
      </c>
      <c r="AN2140" s="115"/>
      <c r="AO2140" s="116"/>
      <c r="AP2140" s="116"/>
      <c r="AQ2140" s="116"/>
      <c r="AR2140" s="116"/>
      <c r="AS2140" s="116"/>
      <c r="AT2140" s="116"/>
      <c r="AU2140" s="116"/>
      <c r="AV2140" s="78"/>
      <c r="AW2140" s="102"/>
      <c r="AX2140" s="78"/>
      <c r="AY2140" s="78"/>
      <c r="AZ2140" s="78"/>
      <c r="BA2140" s="78"/>
      <c r="BB2140" s="78"/>
      <c r="BC2140" s="78"/>
      <c r="BD2140" s="78"/>
      <c r="BE2140" s="465"/>
      <c r="BF2140" s="165" t="str">
        <f t="shared" si="1541"/>
        <v>https://www.google.com/search?tbm=isch&amp;q=5%20G3</v>
      </c>
      <c r="BG2140" s="165" t="str">
        <f t="shared" si="1542"/>
        <v>I</v>
      </c>
      <c r="BH2140" s="65"/>
      <c r="BI2140" s="65"/>
      <c r="BJ2140" s="65"/>
      <c r="BK2140" s="65"/>
      <c r="BL2140" s="99"/>
      <c r="BM2140" s="99"/>
      <c r="BN2140" s="99"/>
    </row>
    <row r="2141" spans="1:66" s="51" customFormat="1" ht="16.5" thickBot="1" x14ac:dyDescent="0.3">
      <c r="A2141" s="508" t="s">
        <v>2912</v>
      </c>
      <c r="B2141" s="487"/>
      <c r="C2141" s="707"/>
      <c r="D2141" s="487"/>
      <c r="E2141" s="487"/>
      <c r="F2141" s="488"/>
      <c r="G2141" s="489"/>
      <c r="H2141" s="487"/>
      <c r="I2141" s="490"/>
      <c r="J2141" s="490"/>
      <c r="K2141" s="491"/>
      <c r="L2141" s="547"/>
      <c r="M2141" s="528"/>
      <c r="N2141" s="492"/>
      <c r="O2141" s="493"/>
      <c r="P2141" s="494"/>
      <c r="Q2141" s="492"/>
      <c r="R2141" s="492"/>
      <c r="S2141" s="699" t="s">
        <v>5259</v>
      </c>
      <c r="T2141" s="102">
        <f t="shared" si="1530"/>
        <v>0</v>
      </c>
      <c r="U2141" s="78" t="str">
        <f>IF(NOT(ISNUMBER(G2141)), "", VLOOKUP(A2141,'Discount Lookup'!D:E,2,FALSE)*G2141)</f>
        <v/>
      </c>
      <c r="V2141" s="78" t="str">
        <f>IF(NOT(ISNUMBER(G2141)), "", VLOOKUP(A2141,'Discount Lookup'!G:H,2,FALSE)*G2141)</f>
        <v/>
      </c>
      <c r="W2141" s="102">
        <f t="shared" si="1531"/>
        <v>0</v>
      </c>
      <c r="X2141" s="102">
        <f t="shared" si="1532"/>
        <v>0</v>
      </c>
      <c r="Y2141" s="120" t="b">
        <f t="shared" si="1533"/>
        <v>0</v>
      </c>
      <c r="Z2141" s="117">
        <f t="shared" si="1534"/>
        <v>0</v>
      </c>
      <c r="AA2141" s="118"/>
      <c r="AB2141" s="118" t="str">
        <f t="shared" si="1535"/>
        <v/>
      </c>
      <c r="AC2141" s="712" t="str">
        <f>IF(AE2141="T2G","no charge",IF(AND(OR(PlanterYesMe="No",PlanterYesMe="N",PlanterYesMe="me"),H2141=""),"",IF(H2141="credit","NO install",IF(AND(K2141="",AE2141="me"),"EACH row",IF(AND(K2141="images",AE2141="me"),"EACH row",IF(D2141="","",IF(H2141="credit","",IF(AE2141="free","re-planting",IF(AE2141="me","   not ELP, by",IF(AND(OR(PlanterYesMe="Yes",PlanterYesMe="Y"),G2141&gt;0),(VLOOKUP(A2141,'Discount Lookup'!J:K,2)*G2141*(1-PlanterDiscount)*(1+PlanterDifficultyPercentage)),IF(AE2141="ELP",(VLOOKUP(A2141,'Discount Lookup'!J:K,2)*G2141*(1-PlanterDiscount)*(1+PlanterDifficultyPercentage)),IF(AE2141="free","re-planting",IF(G2141=0,"",IF(PlanterYesMe="",IF(AE2141="me","   not ELP, by",IF(AE2141="",IF(G2141&gt;0,(VLOOKUP(A2141,'Discount Lookup'!J:K,2)*G2141*(1-PlanterDiscount)*(1+PlanterDifficultyPercentage)),""),"")),"   not ELP, by"))))))))))))))</f>
        <v/>
      </c>
      <c r="AD2141" s="712"/>
      <c r="AE2141" s="513" t="str">
        <f t="shared" si="1536"/>
        <v/>
      </c>
      <c r="AF2141" s="713" t="str">
        <f t="shared" si="1537"/>
        <v/>
      </c>
      <c r="AG2141" s="713"/>
      <c r="AH2141" s="713"/>
      <c r="AI2141" s="112">
        <f>IF(H2141="credit",0,IF(AE2141="free",0,IF(AE2141="me",0,IF(G2141&gt;0,(VLOOKUP(A2141,'Discount Lookup'!J:K,2)*G2141),0))))</f>
        <v>0</v>
      </c>
      <c r="AJ2141" s="107" t="str">
        <f t="shared" ca="1" si="1538"/>
        <v/>
      </c>
      <c r="AK2141" s="714" t="str">
        <f t="shared" si="1539"/>
        <v/>
      </c>
      <c r="AL2141" s="714"/>
      <c r="AM2141" s="114" t="str">
        <f t="shared" si="1540"/>
        <v/>
      </c>
      <c r="AN2141" s="115"/>
      <c r="AO2141" s="116"/>
      <c r="AP2141" s="116"/>
      <c r="AQ2141" s="116"/>
      <c r="AR2141" s="116"/>
      <c r="AS2141" s="116"/>
      <c r="AT2141" s="116"/>
      <c r="AU2141" s="116"/>
      <c r="AV2141" s="78"/>
      <c r="AW2141" s="102"/>
      <c r="AX2141" s="78"/>
      <c r="AY2141" s="78"/>
      <c r="AZ2141" s="78"/>
      <c r="BA2141" s="78"/>
      <c r="BB2141" s="78"/>
      <c r="BC2141" s="78"/>
      <c r="BD2141" s="78"/>
      <c r="BE2141" s="465"/>
      <c r="BF2141" s="165" t="str">
        <f t="shared" si="1541"/>
        <v>https://www.google.com/search?tbm=isch&amp;q=Carissa%20are%20sharp.%20Use%20to%20keep%20kids%20%26%20pets%20out%20of%20an%20area.%20Fragrant%2C%20showy%20blooms%20are%20followed%20by%20Bright%20Red%20berries%20</v>
      </c>
      <c r="BG2141" s="165" t="str">
        <f t="shared" si="1542"/>
        <v>C</v>
      </c>
      <c r="BH2141" s="65"/>
      <c r="BI2141" s="65"/>
      <c r="BJ2141" s="65"/>
      <c r="BK2141" s="65"/>
      <c r="BL2141" s="99"/>
      <c r="BM2141" s="99"/>
      <c r="BN2141" s="99"/>
    </row>
    <row r="2142" spans="1:66" s="51" customFormat="1" ht="18" x14ac:dyDescent="0.25">
      <c r="A2142" s="507" t="s">
        <v>2913</v>
      </c>
      <c r="B2142" s="470"/>
      <c r="C2142" s="706"/>
      <c r="D2142" s="471" t="s">
        <v>2914</v>
      </c>
      <c r="E2142" s="472"/>
      <c r="F2142" s="472"/>
      <c r="G2142" s="472"/>
      <c r="H2142" s="622" t="s">
        <v>333</v>
      </c>
      <c r="I2142" s="473" t="s">
        <v>431</v>
      </c>
      <c r="J2142" s="472"/>
      <c r="K2142" s="472"/>
      <c r="L2142" s="561"/>
      <c r="M2142" s="698" t="s">
        <v>5246</v>
      </c>
      <c r="N2142" s="692" t="str">
        <f>IF(AND(ISTEXT($A2142), ISERROR($A2142+0)), HYPERLINK($BF2142, "Images"), "")</f>
        <v>Images</v>
      </c>
      <c r="O2142" s="694" t="s">
        <v>5247</v>
      </c>
      <c r="P2142" s="475"/>
      <c r="Q2142" s="476"/>
      <c r="R2142" s="476"/>
      <c r="S2142" s="477"/>
      <c r="T2142" s="102">
        <f t="shared" si="1530"/>
        <v>0</v>
      </c>
      <c r="U2142" s="78" t="str">
        <f>IF(NOT(ISNUMBER(G2142)), "", VLOOKUP(A2142,'Discount Lookup'!D:E,2,FALSE)*G2142)</f>
        <v/>
      </c>
      <c r="V2142" s="78" t="str">
        <f>IF(NOT(ISNUMBER(G2142)), "", VLOOKUP(A2142,'Discount Lookup'!G:H,2,FALSE)*G2142)</f>
        <v/>
      </c>
      <c r="W2142" s="102">
        <f t="shared" si="1531"/>
        <v>0</v>
      </c>
      <c r="X2142" s="102" t="str">
        <f t="shared" si="1532"/>
        <v>Dark Green foliage</v>
      </c>
      <c r="Y2142" s="120" t="b">
        <f t="shared" si="1533"/>
        <v>0</v>
      </c>
      <c r="Z2142" s="117">
        <f t="shared" si="1534"/>
        <v>0</v>
      </c>
      <c r="AA2142" s="118"/>
      <c r="AB2142" s="118" t="str">
        <f t="shared" si="1535"/>
        <v/>
      </c>
      <c r="AC2142" s="712" t="str">
        <f>IF(AE2142="T2G","no charge",IF(AND(OR(PlanterYesMe="No",PlanterYesMe="N",PlanterYesMe="me"),H2142=""),"",IF(H2142="credit","NO install",IF(AND(K2142="",AE2142="me"),"EACH row",IF(AND(K2142="images",AE2142="me"),"EACH row",IF(D2142="","",IF(H2142="credit","",IF(AE2142="free","re-planting",IF(AE2142="me","   not ELP, by",IF(AND(OR(PlanterYesMe="Yes",PlanterYesMe="Y"),G2142&gt;0),(VLOOKUP(A2142,'Discount Lookup'!J:K,2)*G2142*(1-PlanterDiscount)*(1+PlanterDifficultyPercentage)),IF(AE2142="ELP",(VLOOKUP(A2142,'Discount Lookup'!J:K,2)*G2142*(1-PlanterDiscount)*(1+PlanterDifficultyPercentage)),IF(AE2142="free","re-planting",IF(G2142=0,"",IF(PlanterYesMe="",IF(AE2142="me","   not ELP, by",IF(AE2142="",IF(G2142&gt;0,(VLOOKUP(A2142,'Discount Lookup'!J:K,2)*G2142*(1-PlanterDiscount)*(1+PlanterDifficultyPercentage)),""),"")),"   not ELP, by"))))))))))))))</f>
        <v/>
      </c>
      <c r="AD2142" s="712"/>
      <c r="AE2142" s="513" t="str">
        <f t="shared" si="1536"/>
        <v/>
      </c>
      <c r="AF2142" s="713" t="str">
        <f t="shared" si="1537"/>
        <v/>
      </c>
      <c r="AG2142" s="713"/>
      <c r="AH2142" s="713"/>
      <c r="AI2142" s="112">
        <f>IF(H2142="credit",0,IF(AE2142="free",0,IF(AE2142="me",0,IF(G2142&gt;0,(VLOOKUP(A2142,'Discount Lookup'!J:K,2)*G2142),0))))</f>
        <v>0</v>
      </c>
      <c r="AJ2142" s="107" t="str">
        <f t="shared" ca="1" si="1538"/>
        <v/>
      </c>
      <c r="AK2142" s="714" t="str">
        <f t="shared" si="1539"/>
        <v/>
      </c>
      <c r="AL2142" s="714"/>
      <c r="AM2142" s="114" t="str">
        <f t="shared" si="1540"/>
        <v/>
      </c>
      <c r="AN2142" s="115"/>
      <c r="AO2142" s="116"/>
      <c r="AP2142" s="116"/>
      <c r="AQ2142" s="116"/>
      <c r="AR2142" s="116"/>
      <c r="AS2142" s="116"/>
      <c r="AT2142" s="116"/>
      <c r="AU2142" s="116"/>
      <c r="AV2142" s="78"/>
      <c r="AW2142" s="102"/>
      <c r="AX2142" s="78"/>
      <c r="AY2142" s="78"/>
      <c r="AZ2142" s="78"/>
      <c r="BA2142" s="78"/>
      <c r="BB2142" s="78"/>
      <c r="BC2142" s="78"/>
      <c r="BD2142" s="78"/>
      <c r="BE2142" s="465"/>
      <c r="BF2142" s="165" t="str">
        <f t="shared" si="1541"/>
        <v>https://www.google.com/search?tbm=isch&amp;q=Ilex%20cornuta%20%27Needlepoint%27%20Needlepoint%20Holly</v>
      </c>
      <c r="BG2142" s="165" t="str">
        <f t="shared" si="1542"/>
        <v>I</v>
      </c>
      <c r="BH2142" s="65"/>
      <c r="BI2142" s="65"/>
      <c r="BJ2142" s="65"/>
      <c r="BK2142" s="65"/>
      <c r="BL2142" s="99"/>
      <c r="BM2142" s="99"/>
      <c r="BN2142" s="99"/>
    </row>
    <row r="2143" spans="1:66" s="51" customFormat="1" ht="15.75" x14ac:dyDescent="0.25">
      <c r="A2143" s="478">
        <v>3</v>
      </c>
      <c r="B2143" s="479" t="s">
        <v>291</v>
      </c>
      <c r="C2143" s="480" t="s">
        <v>16</v>
      </c>
      <c r="D2143" s="481" t="s">
        <v>310</v>
      </c>
      <c r="E2143" s="482">
        <v>25.95</v>
      </c>
      <c r="F2143" s="483" t="s">
        <v>292</v>
      </c>
      <c r="G2143" s="484">
        <v>0</v>
      </c>
      <c r="H2143" s="688" t="str">
        <f t="shared" ref="H2143:H2153" si="1553">IF(G2143=0,"",IF(F2143="Buy",IF(G2143=1,"plant","plants"),IF(F2143&gt;0.01,"warranty","Error")))</f>
        <v/>
      </c>
      <c r="I2143" s="485">
        <f t="shared" ref="I2143:I2153" si="1554">IF(H2143="free",0,IF(H2143="credit",((E2143*(F2143))*G2143*-1),IF(F2143="Buy",(E2143*G2143),((E2143*(1-F2143))*G2143))))</f>
        <v>0</v>
      </c>
      <c r="J2143" s="485">
        <f t="shared" ref="J2143:J2153" si="1555">IF(H2143="warranty",0,(I2143*(_xlfn.SINGLE(SalesTaxPercentage))))</f>
        <v>0</v>
      </c>
      <c r="K2143" s="715">
        <f t="shared" ref="K2143" si="1556">I2143+J2143</f>
        <v>0</v>
      </c>
      <c r="L2143" s="715"/>
      <c r="M2143" s="689" t="str">
        <f t="shared" ref="M2143:M2153" ca="1" si="1557">IF(AND(G2143&gt;0,E2143=0),"WARNING - no PRICE inserted",IF(H2143="free","FREE ~ no charge this plant",IF(H2143="credit",CONCATENATE("-$",ROUND(K2143*(1-_xlfn.SINGLE(T2GDiscount))*-1,2)," CREDIT after discount"),IF(_xlfn.SINGLE(T2GDiscount)=0,"",IF(G2143=0,"",IF(F2143="Buy",CONCATENATE("$",ROUND(K2143*(1-_xlfn.SINGLE(T2GDiscount)),2)," with ",(_xlfn.SINGLE(T2GDiscount)*100),"% discount"),CONCATENATE("$",ROUND(K2143*(1-_xlfn.SINGLE(T2GDiscount)),2)," with ",((_xlfn.SINGLE(T2GDiscount)*100+F2143*100)-(_xlfn.SINGLE(T2GDiscount)*100*F2143)),IF(F2143&gt;0,"% discounts",IF(_xlfn.SINGLE(NoWarrantyDiscount)&gt;0,"% discounts","% discount")))))))))</f>
        <v/>
      </c>
      <c r="N2143" s="690"/>
      <c r="O2143" s="486"/>
      <c r="P2143" s="486"/>
      <c r="Q2143" s="486"/>
      <c r="R2143" s="486"/>
      <c r="S2143" s="486"/>
      <c r="T2143" s="102">
        <f t="shared" si="1530"/>
        <v>0</v>
      </c>
      <c r="U2143" s="78">
        <f>IF(NOT(ISNUMBER(G2143)), "", VLOOKUP(A2143,'Discount Lookup'!D:E,2,FALSE)*G2143)</f>
        <v>0</v>
      </c>
      <c r="V2143" s="78">
        <f>IF(NOT(ISNUMBER(G2143)), "", VLOOKUP(A2143,'Discount Lookup'!G:H,2,FALSE)*G2143)</f>
        <v>0</v>
      </c>
      <c r="W2143" s="102">
        <f t="shared" si="1531"/>
        <v>0</v>
      </c>
      <c r="X2143" s="102">
        <f t="shared" si="1532"/>
        <v>0</v>
      </c>
      <c r="Y2143" s="120" t="b">
        <f t="shared" si="1533"/>
        <v>0</v>
      </c>
      <c r="Z2143" s="117">
        <f t="shared" si="1534"/>
        <v>0</v>
      </c>
      <c r="AA2143" s="118"/>
      <c r="AB2143" s="118" t="str">
        <f t="shared" si="1535"/>
        <v/>
      </c>
      <c r="AC2143" s="712" t="str">
        <f>IF(AE2143="T2G","no charge",IF(AND(OR(PlanterYesMe="No",PlanterYesMe="N",PlanterYesMe="me"),H2143=""),"",IF(H2143="credit","NO install",IF(AND(K2143="",AE2143="me"),"EACH row",IF(AND(K2143="images",AE2143="me"),"EACH row",IF(D2143="","",IF(H2143="credit","",IF(AE2143="free","re-planting",IF(AE2143="me","   not ELP, by",IF(AND(OR(PlanterYesMe="Yes",PlanterYesMe="Y"),G2143&gt;0),(VLOOKUP(A2143,'Discount Lookup'!J:K,2)*G2143*(1-PlanterDiscount)*(1+PlanterDifficultyPercentage)),IF(AE2143="ELP",(VLOOKUP(A2143,'Discount Lookup'!J:K,2)*G2143*(1-PlanterDiscount)*(1+PlanterDifficultyPercentage)),IF(AE2143="free","re-planting",IF(G2143=0,"",IF(PlanterYesMe="",IF(AE2143="me","   not ELP, by",IF(AE2143="",IF(G2143&gt;0,(VLOOKUP(A2143,'Discount Lookup'!J:K,2)*G2143*(1-PlanterDiscount)*(1+PlanterDifficultyPercentage)),""),"")),"   not ELP, by"))))))))))))))</f>
        <v/>
      </c>
      <c r="AD2143" s="712"/>
      <c r="AE2143" s="513" t="str">
        <f t="shared" si="1536"/>
        <v/>
      </c>
      <c r="AF2143" s="713" t="str">
        <f t="shared" si="1537"/>
        <v/>
      </c>
      <c r="AG2143" s="713"/>
      <c r="AH2143" s="713"/>
      <c r="AI2143" s="112">
        <f>IF(H2143="credit",0,IF(AE2143="free",0,IF(AE2143="me",0,IF(G2143&gt;0,(VLOOKUP(A2143,'Discount Lookup'!J:K,2)*G2143),0))))</f>
        <v>0</v>
      </c>
      <c r="AJ2143" s="107" t="str">
        <f t="shared" ca="1" si="1538"/>
        <v/>
      </c>
      <c r="AK2143" s="714" t="str">
        <f t="shared" si="1539"/>
        <v/>
      </c>
      <c r="AL2143" s="714"/>
      <c r="AM2143" s="114" t="str">
        <f t="shared" si="1540"/>
        <v/>
      </c>
      <c r="AN2143" s="115"/>
      <c r="AO2143" s="116"/>
      <c r="AP2143" s="116"/>
      <c r="AQ2143" s="116"/>
      <c r="AR2143" s="116"/>
      <c r="AS2143" s="116"/>
      <c r="AT2143" s="116"/>
      <c r="AU2143" s="116"/>
      <c r="AV2143" s="78"/>
      <c r="AW2143" s="102"/>
      <c r="AX2143" s="78"/>
      <c r="AY2143" s="78"/>
      <c r="AZ2143" s="78"/>
      <c r="BA2143" s="78"/>
      <c r="BB2143" s="78"/>
      <c r="BC2143" s="78"/>
      <c r="BD2143" s="78"/>
      <c r="BE2143" s="465"/>
      <c r="BF2143" s="165" t="str">
        <f t="shared" si="1541"/>
        <v>https://www.google.com/search?tbm=isch&amp;q=3%20G1</v>
      </c>
      <c r="BG2143" s="165" t="str">
        <f t="shared" si="1542"/>
        <v>I</v>
      </c>
      <c r="BH2143" s="65"/>
      <c r="BI2143" s="65"/>
      <c r="BJ2143" s="65"/>
      <c r="BK2143" s="65"/>
      <c r="BL2143" s="99"/>
      <c r="BM2143" s="99"/>
      <c r="BN2143" s="99"/>
    </row>
    <row r="2144" spans="1:66" s="51" customFormat="1" ht="15.75" x14ac:dyDescent="0.25">
      <c r="A2144" s="478">
        <v>3</v>
      </c>
      <c r="B2144" s="479" t="s">
        <v>291</v>
      </c>
      <c r="C2144" s="480" t="s">
        <v>4619</v>
      </c>
      <c r="D2144" s="481" t="s">
        <v>293</v>
      </c>
      <c r="E2144" s="482">
        <v>25.95</v>
      </c>
      <c r="F2144" s="483" t="s">
        <v>292</v>
      </c>
      <c r="G2144" s="484">
        <v>0</v>
      </c>
      <c r="H2144" s="688" t="str">
        <f t="shared" si="1553"/>
        <v/>
      </c>
      <c r="I2144" s="485">
        <f t="shared" si="1554"/>
        <v>0</v>
      </c>
      <c r="J2144" s="485">
        <f t="shared" si="1555"/>
        <v>0</v>
      </c>
      <c r="K2144" s="715">
        <f t="shared" ref="K2144" si="1558">I2144+J2144</f>
        <v>0</v>
      </c>
      <c r="L2144" s="715"/>
      <c r="M2144" s="689" t="str">
        <f t="shared" ca="1" si="1557"/>
        <v/>
      </c>
      <c r="N2144" s="690"/>
      <c r="O2144" s="486"/>
      <c r="P2144" s="486"/>
      <c r="Q2144" s="486"/>
      <c r="R2144" s="486"/>
      <c r="S2144" s="486"/>
      <c r="T2144" s="102">
        <f t="shared" si="1530"/>
        <v>0</v>
      </c>
      <c r="U2144" s="78">
        <f>IF(NOT(ISNUMBER(G2144)), "", VLOOKUP(A2144,'Discount Lookup'!D:E,2,FALSE)*G2144)</f>
        <v>0</v>
      </c>
      <c r="V2144" s="78">
        <f>IF(NOT(ISNUMBER(G2144)), "", VLOOKUP(A2144,'Discount Lookup'!G:H,2,FALSE)*G2144)</f>
        <v>0</v>
      </c>
      <c r="W2144" s="102">
        <f t="shared" si="1531"/>
        <v>0</v>
      </c>
      <c r="X2144" s="102">
        <f t="shared" si="1532"/>
        <v>0</v>
      </c>
      <c r="Y2144" s="120" t="b">
        <f t="shared" si="1533"/>
        <v>0</v>
      </c>
      <c r="Z2144" s="117">
        <f t="shared" si="1534"/>
        <v>0</v>
      </c>
      <c r="AA2144" s="118"/>
      <c r="AB2144" s="118" t="str">
        <f t="shared" si="1535"/>
        <v/>
      </c>
      <c r="AC2144" s="712" t="str">
        <f>IF(AE2144="T2G","no charge",IF(AND(OR(PlanterYesMe="No",PlanterYesMe="N",PlanterYesMe="me"),H2144=""),"",IF(H2144="credit","NO install",IF(AND(K2144="",AE2144="me"),"EACH row",IF(AND(K2144="images",AE2144="me"),"EACH row",IF(D2144="","",IF(H2144="credit","",IF(AE2144="free","re-planting",IF(AE2144="me","   not ELP, by",IF(AND(OR(PlanterYesMe="Yes",PlanterYesMe="Y"),G2144&gt;0),(VLOOKUP(A2144,'Discount Lookup'!J:K,2)*G2144*(1-PlanterDiscount)*(1+PlanterDifficultyPercentage)),IF(AE2144="ELP",(VLOOKUP(A2144,'Discount Lookup'!J:K,2)*G2144*(1-PlanterDiscount)*(1+PlanterDifficultyPercentage)),IF(AE2144="free","re-planting",IF(G2144=0,"",IF(PlanterYesMe="",IF(AE2144="me","   not ELP, by",IF(AE2144="",IF(G2144&gt;0,(VLOOKUP(A2144,'Discount Lookup'!J:K,2)*G2144*(1-PlanterDiscount)*(1+PlanterDifficultyPercentage)),""),"")),"   not ELP, by"))))))))))))))</f>
        <v/>
      </c>
      <c r="AD2144" s="712"/>
      <c r="AE2144" s="513" t="str">
        <f t="shared" si="1536"/>
        <v/>
      </c>
      <c r="AF2144" s="713" t="str">
        <f t="shared" si="1537"/>
        <v/>
      </c>
      <c r="AG2144" s="713"/>
      <c r="AH2144" s="713"/>
      <c r="AI2144" s="112">
        <f>IF(H2144="credit",0,IF(AE2144="free",0,IF(AE2144="me",0,IF(G2144&gt;0,(VLOOKUP(A2144,'Discount Lookup'!J:K,2)*G2144),0))))</f>
        <v>0</v>
      </c>
      <c r="AJ2144" s="107" t="str">
        <f t="shared" ca="1" si="1538"/>
        <v/>
      </c>
      <c r="AK2144" s="714" t="str">
        <f t="shared" si="1539"/>
        <v/>
      </c>
      <c r="AL2144" s="714"/>
      <c r="AM2144" s="114" t="str">
        <f t="shared" si="1540"/>
        <v/>
      </c>
      <c r="AN2144" s="115"/>
      <c r="AO2144" s="116"/>
      <c r="AP2144" s="116"/>
      <c r="AQ2144" s="116"/>
      <c r="AR2144" s="116"/>
      <c r="AS2144" s="116"/>
      <c r="AT2144" s="116"/>
      <c r="AU2144" s="116"/>
      <c r="AV2144" s="78"/>
      <c r="AW2144" s="102"/>
      <c r="AX2144" s="78"/>
      <c r="AY2144" s="78"/>
      <c r="AZ2144" s="78"/>
      <c r="BA2144" s="78"/>
      <c r="BB2144" s="78"/>
      <c r="BC2144" s="78"/>
      <c r="BD2144" s="78"/>
      <c r="BE2144" s="465"/>
      <c r="BF2144" s="165" t="str">
        <f t="shared" si="1541"/>
        <v>https://www.google.com/search?tbm=isch&amp;q=3%20G6</v>
      </c>
      <c r="BG2144" s="165" t="str">
        <f t="shared" si="1542"/>
        <v>I</v>
      </c>
      <c r="BH2144" s="65"/>
      <c r="BI2144" s="65"/>
      <c r="BJ2144" s="65"/>
      <c r="BK2144" s="65"/>
      <c r="BL2144" s="99"/>
      <c r="BM2144" s="99"/>
      <c r="BN2144" s="99"/>
    </row>
    <row r="2145" spans="1:66" s="51" customFormat="1" ht="15.75" x14ac:dyDescent="0.25">
      <c r="A2145" s="478">
        <v>3</v>
      </c>
      <c r="B2145" s="479" t="s">
        <v>291</v>
      </c>
      <c r="C2145" s="480" t="s">
        <v>2915</v>
      </c>
      <c r="D2145" s="481" t="s">
        <v>311</v>
      </c>
      <c r="E2145" s="482">
        <v>27.95</v>
      </c>
      <c r="F2145" s="483" t="s">
        <v>292</v>
      </c>
      <c r="G2145" s="484">
        <v>0</v>
      </c>
      <c r="H2145" s="688" t="str">
        <f t="shared" si="1553"/>
        <v/>
      </c>
      <c r="I2145" s="485">
        <f t="shared" si="1554"/>
        <v>0</v>
      </c>
      <c r="J2145" s="485">
        <f t="shared" si="1555"/>
        <v>0</v>
      </c>
      <c r="K2145" s="715">
        <f t="shared" ref="K2145" si="1559">I2145+J2145</f>
        <v>0</v>
      </c>
      <c r="L2145" s="715"/>
      <c r="M2145" s="689" t="str">
        <f t="shared" ca="1" si="1557"/>
        <v/>
      </c>
      <c r="N2145" s="690"/>
      <c r="O2145" s="486"/>
      <c r="P2145" s="486"/>
      <c r="Q2145" s="486"/>
      <c r="R2145" s="486"/>
      <c r="S2145" s="486"/>
      <c r="T2145" s="102">
        <f t="shared" si="1530"/>
        <v>0</v>
      </c>
      <c r="U2145" s="78">
        <f>IF(NOT(ISNUMBER(G2145)), "", VLOOKUP(A2145,'Discount Lookup'!D:E,2,FALSE)*G2145)</f>
        <v>0</v>
      </c>
      <c r="V2145" s="78">
        <f>IF(NOT(ISNUMBER(G2145)), "", VLOOKUP(A2145,'Discount Lookup'!G:H,2,FALSE)*G2145)</f>
        <v>0</v>
      </c>
      <c r="W2145" s="102">
        <f t="shared" si="1531"/>
        <v>0</v>
      </c>
      <c r="X2145" s="102">
        <f t="shared" si="1532"/>
        <v>0</v>
      </c>
      <c r="Y2145" s="120" t="b">
        <f t="shared" si="1533"/>
        <v>0</v>
      </c>
      <c r="Z2145" s="117">
        <f t="shared" si="1534"/>
        <v>0</v>
      </c>
      <c r="AA2145" s="118"/>
      <c r="AB2145" s="118" t="str">
        <f t="shared" si="1535"/>
        <v/>
      </c>
      <c r="AC2145" s="712" t="str">
        <f>IF(AE2145="T2G","no charge",IF(AND(OR(PlanterYesMe="No",PlanterYesMe="N",PlanterYesMe="me"),H2145=""),"",IF(H2145="credit","NO install",IF(AND(K2145="",AE2145="me"),"EACH row",IF(AND(K2145="images",AE2145="me"),"EACH row",IF(D2145="","",IF(H2145="credit","",IF(AE2145="free","re-planting",IF(AE2145="me","   not ELP, by",IF(AND(OR(PlanterYesMe="Yes",PlanterYesMe="Y"),G2145&gt;0),(VLOOKUP(A2145,'Discount Lookup'!J:K,2)*G2145*(1-PlanterDiscount)*(1+PlanterDifficultyPercentage)),IF(AE2145="ELP",(VLOOKUP(A2145,'Discount Lookup'!J:K,2)*G2145*(1-PlanterDiscount)*(1+PlanterDifficultyPercentage)),IF(AE2145="free","re-planting",IF(G2145=0,"",IF(PlanterYesMe="",IF(AE2145="me","   not ELP, by",IF(AE2145="",IF(G2145&gt;0,(VLOOKUP(A2145,'Discount Lookup'!J:K,2)*G2145*(1-PlanterDiscount)*(1+PlanterDifficultyPercentage)),""),"")),"   not ELP, by"))))))))))))))</f>
        <v/>
      </c>
      <c r="AD2145" s="712"/>
      <c r="AE2145" s="513" t="str">
        <f t="shared" si="1536"/>
        <v/>
      </c>
      <c r="AF2145" s="713" t="str">
        <f t="shared" si="1537"/>
        <v/>
      </c>
      <c r="AG2145" s="713"/>
      <c r="AH2145" s="713"/>
      <c r="AI2145" s="112">
        <f>IF(H2145="credit",0,IF(AE2145="free",0,IF(AE2145="me",0,IF(G2145&gt;0,(VLOOKUP(A2145,'Discount Lookup'!J:K,2)*G2145),0))))</f>
        <v>0</v>
      </c>
      <c r="AJ2145" s="107" t="str">
        <f t="shared" ca="1" si="1538"/>
        <v/>
      </c>
      <c r="AK2145" s="714" t="str">
        <f t="shared" si="1539"/>
        <v/>
      </c>
      <c r="AL2145" s="714"/>
      <c r="AM2145" s="114" t="str">
        <f t="shared" si="1540"/>
        <v/>
      </c>
      <c r="AN2145" s="115"/>
      <c r="AO2145" s="116"/>
      <c r="AP2145" s="116"/>
      <c r="AQ2145" s="116"/>
      <c r="AR2145" s="116"/>
      <c r="AS2145" s="116"/>
      <c r="AT2145" s="116"/>
      <c r="AU2145" s="116"/>
      <c r="AV2145" s="78"/>
      <c r="AW2145" s="102"/>
      <c r="AX2145" s="78"/>
      <c r="AY2145" s="78"/>
      <c r="AZ2145" s="78"/>
      <c r="BA2145" s="78"/>
      <c r="BB2145" s="78"/>
      <c r="BC2145" s="78"/>
      <c r="BD2145" s="78"/>
      <c r="BE2145" s="465"/>
      <c r="BF2145" s="165" t="str">
        <f t="shared" si="1541"/>
        <v>https://www.google.com/search?tbm=isch&amp;q=3%20G5</v>
      </c>
      <c r="BG2145" s="165" t="str">
        <f t="shared" si="1542"/>
        <v>I</v>
      </c>
      <c r="BH2145" s="65"/>
      <c r="BI2145" s="65"/>
      <c r="BJ2145" s="65"/>
      <c r="BK2145" s="65"/>
      <c r="BL2145" s="99"/>
      <c r="BM2145" s="99"/>
      <c r="BN2145" s="99"/>
    </row>
    <row r="2146" spans="1:66" s="51" customFormat="1" ht="15.75" x14ac:dyDescent="0.25">
      <c r="A2146" s="478">
        <v>7</v>
      </c>
      <c r="B2146" s="479" t="s">
        <v>291</v>
      </c>
      <c r="C2146" s="480" t="s">
        <v>336</v>
      </c>
      <c r="D2146" s="481" t="s">
        <v>310</v>
      </c>
      <c r="E2146" s="482">
        <v>56.95</v>
      </c>
      <c r="F2146" s="483" t="s">
        <v>292</v>
      </c>
      <c r="G2146" s="484">
        <v>0</v>
      </c>
      <c r="H2146" s="688" t="str">
        <f t="shared" si="1553"/>
        <v/>
      </c>
      <c r="I2146" s="485">
        <f t="shared" si="1554"/>
        <v>0</v>
      </c>
      <c r="J2146" s="485">
        <f t="shared" si="1555"/>
        <v>0</v>
      </c>
      <c r="K2146" s="715">
        <f t="shared" ref="K2146" si="1560">I2146+J2146</f>
        <v>0</v>
      </c>
      <c r="L2146" s="715"/>
      <c r="M2146" s="689" t="str">
        <f t="shared" ca="1" si="1557"/>
        <v/>
      </c>
      <c r="N2146" s="690"/>
      <c r="O2146" s="486"/>
      <c r="P2146" s="486"/>
      <c r="Q2146" s="486"/>
      <c r="R2146" s="486"/>
      <c r="S2146" s="486"/>
      <c r="T2146" s="102">
        <f t="shared" si="1530"/>
        <v>0</v>
      </c>
      <c r="U2146" s="78">
        <f>IF(NOT(ISNUMBER(G2146)), "", VLOOKUP(A2146,'Discount Lookup'!D:E,2,FALSE)*G2146)</f>
        <v>0</v>
      </c>
      <c r="V2146" s="78">
        <f>IF(NOT(ISNUMBER(G2146)), "", VLOOKUP(A2146,'Discount Lookup'!G:H,2,FALSE)*G2146)</f>
        <v>0</v>
      </c>
      <c r="W2146" s="102">
        <f t="shared" si="1531"/>
        <v>0</v>
      </c>
      <c r="X2146" s="102">
        <f t="shared" si="1532"/>
        <v>0</v>
      </c>
      <c r="Y2146" s="120" t="b">
        <f t="shared" si="1533"/>
        <v>0</v>
      </c>
      <c r="Z2146" s="117">
        <f t="shared" si="1534"/>
        <v>0</v>
      </c>
      <c r="AA2146" s="118"/>
      <c r="AB2146" s="118" t="str">
        <f t="shared" si="1535"/>
        <v/>
      </c>
      <c r="AC2146" s="712" t="str">
        <f>IF(AE2146="T2G","no charge",IF(AND(OR(PlanterYesMe="No",PlanterYesMe="N",PlanterYesMe="me"),H2146=""),"",IF(H2146="credit","NO install",IF(AND(K2146="",AE2146="me"),"EACH row",IF(AND(K2146="images",AE2146="me"),"EACH row",IF(D2146="","",IF(H2146="credit","",IF(AE2146="free","re-planting",IF(AE2146="me","   not ELP, by",IF(AND(OR(PlanterYesMe="Yes",PlanterYesMe="Y"),G2146&gt;0),(VLOOKUP(A2146,'Discount Lookup'!J:K,2)*G2146*(1-PlanterDiscount)*(1+PlanterDifficultyPercentage)),IF(AE2146="ELP",(VLOOKUP(A2146,'Discount Lookup'!J:K,2)*G2146*(1-PlanterDiscount)*(1+PlanterDifficultyPercentage)),IF(AE2146="free","re-planting",IF(G2146=0,"",IF(PlanterYesMe="",IF(AE2146="me","   not ELP, by",IF(AE2146="",IF(G2146&gt;0,(VLOOKUP(A2146,'Discount Lookup'!J:K,2)*G2146*(1-PlanterDiscount)*(1+PlanterDifficultyPercentage)),""),"")),"   not ELP, by"))))))))))))))</f>
        <v/>
      </c>
      <c r="AD2146" s="712"/>
      <c r="AE2146" s="513" t="str">
        <f t="shared" si="1536"/>
        <v/>
      </c>
      <c r="AF2146" s="713" t="str">
        <f t="shared" si="1537"/>
        <v/>
      </c>
      <c r="AG2146" s="713"/>
      <c r="AH2146" s="713"/>
      <c r="AI2146" s="112">
        <f>IF(H2146="credit",0,IF(AE2146="free",0,IF(AE2146="me",0,IF(G2146&gt;0,(VLOOKUP(A2146,'Discount Lookup'!J:K,2)*G2146),0))))</f>
        <v>0</v>
      </c>
      <c r="AJ2146" s="107" t="str">
        <f t="shared" ca="1" si="1538"/>
        <v/>
      </c>
      <c r="AK2146" s="714" t="str">
        <f t="shared" si="1539"/>
        <v/>
      </c>
      <c r="AL2146" s="714"/>
      <c r="AM2146" s="114" t="str">
        <f t="shared" si="1540"/>
        <v/>
      </c>
      <c r="AN2146" s="115"/>
      <c r="AO2146" s="116"/>
      <c r="AP2146" s="116"/>
      <c r="AQ2146" s="116"/>
      <c r="AR2146" s="116"/>
      <c r="AS2146" s="116"/>
      <c r="AT2146" s="116"/>
      <c r="AU2146" s="116"/>
      <c r="AV2146" s="78"/>
      <c r="AW2146" s="102"/>
      <c r="AX2146" s="78"/>
      <c r="AY2146" s="78"/>
      <c r="AZ2146" s="78"/>
      <c r="BA2146" s="78"/>
      <c r="BB2146" s="78"/>
      <c r="BC2146" s="78"/>
      <c r="BD2146" s="78"/>
      <c r="BE2146" s="465"/>
      <c r="BF2146" s="165" t="str">
        <f t="shared" si="1541"/>
        <v>https://www.google.com/search?tbm=isch&amp;q=7%20G1</v>
      </c>
      <c r="BG2146" s="165" t="str">
        <f t="shared" si="1542"/>
        <v>I</v>
      </c>
      <c r="BH2146" s="65"/>
      <c r="BI2146" s="65"/>
      <c r="BJ2146" s="65"/>
      <c r="BK2146" s="65"/>
      <c r="BL2146" s="99"/>
      <c r="BM2146" s="99"/>
      <c r="BN2146" s="99"/>
    </row>
    <row r="2147" spans="1:66" s="51" customFormat="1" ht="15.75" x14ac:dyDescent="0.25">
      <c r="A2147" s="478">
        <v>7</v>
      </c>
      <c r="B2147" s="479" t="s">
        <v>291</v>
      </c>
      <c r="C2147" s="480" t="s">
        <v>2916</v>
      </c>
      <c r="D2147" s="481" t="s">
        <v>309</v>
      </c>
      <c r="E2147" s="482">
        <v>56.95</v>
      </c>
      <c r="F2147" s="483" t="s">
        <v>292</v>
      </c>
      <c r="G2147" s="484">
        <v>0</v>
      </c>
      <c r="H2147" s="688" t="str">
        <f t="shared" si="1553"/>
        <v/>
      </c>
      <c r="I2147" s="485">
        <f t="shared" si="1554"/>
        <v>0</v>
      </c>
      <c r="J2147" s="485">
        <f t="shared" si="1555"/>
        <v>0</v>
      </c>
      <c r="K2147" s="715">
        <f t="shared" ref="K2147" si="1561">I2147+J2147</f>
        <v>0</v>
      </c>
      <c r="L2147" s="715"/>
      <c r="M2147" s="689" t="str">
        <f t="shared" ca="1" si="1557"/>
        <v/>
      </c>
      <c r="N2147" s="690"/>
      <c r="O2147" s="486"/>
      <c r="P2147" s="486"/>
      <c r="Q2147" s="486"/>
      <c r="R2147" s="486"/>
      <c r="S2147" s="486"/>
      <c r="T2147" s="102">
        <f t="shared" si="1530"/>
        <v>0</v>
      </c>
      <c r="U2147" s="78">
        <f>IF(NOT(ISNUMBER(G2147)), "", VLOOKUP(A2147,'Discount Lookup'!D:E,2,FALSE)*G2147)</f>
        <v>0</v>
      </c>
      <c r="V2147" s="78">
        <f>IF(NOT(ISNUMBER(G2147)), "", VLOOKUP(A2147,'Discount Lookup'!G:H,2,FALSE)*G2147)</f>
        <v>0</v>
      </c>
      <c r="W2147" s="102">
        <f t="shared" si="1531"/>
        <v>0</v>
      </c>
      <c r="X2147" s="102">
        <f t="shared" si="1532"/>
        <v>0</v>
      </c>
      <c r="Y2147" s="120" t="b">
        <f t="shared" si="1533"/>
        <v>0</v>
      </c>
      <c r="Z2147" s="117">
        <f t="shared" si="1534"/>
        <v>0</v>
      </c>
      <c r="AA2147" s="118"/>
      <c r="AB2147" s="118" t="str">
        <f t="shared" si="1535"/>
        <v/>
      </c>
      <c r="AC2147" s="712" t="str">
        <f>IF(AE2147="T2G","no charge",IF(AND(OR(PlanterYesMe="No",PlanterYesMe="N",PlanterYesMe="me"),H2147=""),"",IF(H2147="credit","NO install",IF(AND(K2147="",AE2147="me"),"EACH row",IF(AND(K2147="images",AE2147="me"),"EACH row",IF(D2147="","",IF(H2147="credit","",IF(AE2147="free","re-planting",IF(AE2147="me","   not ELP, by",IF(AND(OR(PlanterYesMe="Yes",PlanterYesMe="Y"),G2147&gt;0),(VLOOKUP(A2147,'Discount Lookup'!J:K,2)*G2147*(1-PlanterDiscount)*(1+PlanterDifficultyPercentage)),IF(AE2147="ELP",(VLOOKUP(A2147,'Discount Lookup'!J:K,2)*G2147*(1-PlanterDiscount)*(1+PlanterDifficultyPercentage)),IF(AE2147="free","re-planting",IF(G2147=0,"",IF(PlanterYesMe="",IF(AE2147="me","   not ELP, by",IF(AE2147="",IF(G2147&gt;0,(VLOOKUP(A2147,'Discount Lookup'!J:K,2)*G2147*(1-PlanterDiscount)*(1+PlanterDifficultyPercentage)),""),"")),"   not ELP, by"))))))))))))))</f>
        <v/>
      </c>
      <c r="AD2147" s="712"/>
      <c r="AE2147" s="513" t="str">
        <f t="shared" si="1536"/>
        <v/>
      </c>
      <c r="AF2147" s="713" t="str">
        <f t="shared" si="1537"/>
        <v/>
      </c>
      <c r="AG2147" s="713"/>
      <c r="AH2147" s="713"/>
      <c r="AI2147" s="112">
        <f>IF(H2147="credit",0,IF(AE2147="free",0,IF(AE2147="me",0,IF(G2147&gt;0,(VLOOKUP(A2147,'Discount Lookup'!J:K,2)*G2147),0))))</f>
        <v>0</v>
      </c>
      <c r="AJ2147" s="107" t="str">
        <f t="shared" ca="1" si="1538"/>
        <v/>
      </c>
      <c r="AK2147" s="714" t="str">
        <f t="shared" si="1539"/>
        <v/>
      </c>
      <c r="AL2147" s="714"/>
      <c r="AM2147" s="114" t="str">
        <f t="shared" si="1540"/>
        <v/>
      </c>
      <c r="AN2147" s="115"/>
      <c r="AO2147" s="116"/>
      <c r="AP2147" s="116"/>
      <c r="AQ2147" s="116"/>
      <c r="AR2147" s="116"/>
      <c r="AS2147" s="116"/>
      <c r="AT2147" s="116"/>
      <c r="AU2147" s="116"/>
      <c r="AV2147" s="78"/>
      <c r="AW2147" s="102"/>
      <c r="AX2147" s="78"/>
      <c r="AY2147" s="78"/>
      <c r="AZ2147" s="78"/>
      <c r="BA2147" s="78"/>
      <c r="BB2147" s="78"/>
      <c r="BC2147" s="78"/>
      <c r="BD2147" s="78"/>
      <c r="BE2147" s="465"/>
      <c r="BF2147" s="165" t="str">
        <f t="shared" si="1541"/>
        <v>https://www.google.com/search?tbm=isch&amp;q=7%20G3</v>
      </c>
      <c r="BG2147" s="165" t="str">
        <f t="shared" si="1542"/>
        <v>I</v>
      </c>
      <c r="BH2147" s="65"/>
      <c r="BI2147" s="65"/>
      <c r="BJ2147" s="65"/>
      <c r="BK2147" s="65"/>
      <c r="BL2147" s="99"/>
      <c r="BM2147" s="99"/>
      <c r="BN2147" s="99"/>
    </row>
    <row r="2148" spans="1:66" s="51" customFormat="1" ht="15.75" x14ac:dyDescent="0.25">
      <c r="A2148" s="478">
        <v>7</v>
      </c>
      <c r="B2148" s="479" t="s">
        <v>291</v>
      </c>
      <c r="C2148" s="480" t="s">
        <v>2917</v>
      </c>
      <c r="D2148" s="481" t="s">
        <v>311</v>
      </c>
      <c r="E2148" s="482">
        <v>62.95</v>
      </c>
      <c r="F2148" s="483" t="s">
        <v>292</v>
      </c>
      <c r="G2148" s="484">
        <v>0</v>
      </c>
      <c r="H2148" s="688" t="str">
        <f t="shared" si="1553"/>
        <v/>
      </c>
      <c r="I2148" s="485">
        <f t="shared" si="1554"/>
        <v>0</v>
      </c>
      <c r="J2148" s="485">
        <f t="shared" si="1555"/>
        <v>0</v>
      </c>
      <c r="K2148" s="715">
        <f t="shared" ref="K2148" si="1562">I2148+J2148</f>
        <v>0</v>
      </c>
      <c r="L2148" s="715"/>
      <c r="M2148" s="689" t="str">
        <f t="shared" ca="1" si="1557"/>
        <v/>
      </c>
      <c r="N2148" s="690"/>
      <c r="O2148" s="486"/>
      <c r="P2148" s="486"/>
      <c r="Q2148" s="486"/>
      <c r="R2148" s="486"/>
      <c r="S2148" s="486"/>
      <c r="T2148" s="102">
        <f t="shared" si="1530"/>
        <v>0</v>
      </c>
      <c r="U2148" s="78">
        <f>IF(NOT(ISNUMBER(G2148)), "", VLOOKUP(A2148,'Discount Lookup'!D:E,2,FALSE)*G2148)</f>
        <v>0</v>
      </c>
      <c r="V2148" s="78">
        <f>IF(NOT(ISNUMBER(G2148)), "", VLOOKUP(A2148,'Discount Lookup'!G:H,2,FALSE)*G2148)</f>
        <v>0</v>
      </c>
      <c r="W2148" s="102">
        <f t="shared" si="1531"/>
        <v>0</v>
      </c>
      <c r="X2148" s="102">
        <f t="shared" si="1532"/>
        <v>0</v>
      </c>
      <c r="Y2148" s="120" t="b">
        <f t="shared" si="1533"/>
        <v>0</v>
      </c>
      <c r="Z2148" s="117">
        <f t="shared" si="1534"/>
        <v>0</v>
      </c>
      <c r="AA2148" s="118"/>
      <c r="AB2148" s="118" t="str">
        <f t="shared" si="1535"/>
        <v/>
      </c>
      <c r="AC2148" s="712" t="str">
        <f>IF(AE2148="T2G","no charge",IF(AND(OR(PlanterYesMe="No",PlanterYesMe="N",PlanterYesMe="me"),H2148=""),"",IF(H2148="credit","NO install",IF(AND(K2148="",AE2148="me"),"EACH row",IF(AND(K2148="images",AE2148="me"),"EACH row",IF(D2148="","",IF(H2148="credit","",IF(AE2148="free","re-planting",IF(AE2148="me","   not ELP, by",IF(AND(OR(PlanterYesMe="Yes",PlanterYesMe="Y"),G2148&gt;0),(VLOOKUP(A2148,'Discount Lookup'!J:K,2)*G2148*(1-PlanterDiscount)*(1+PlanterDifficultyPercentage)),IF(AE2148="ELP",(VLOOKUP(A2148,'Discount Lookup'!J:K,2)*G2148*(1-PlanterDiscount)*(1+PlanterDifficultyPercentage)),IF(AE2148="free","re-planting",IF(G2148=0,"",IF(PlanterYesMe="",IF(AE2148="me","   not ELP, by",IF(AE2148="",IF(G2148&gt;0,(VLOOKUP(A2148,'Discount Lookup'!J:K,2)*G2148*(1-PlanterDiscount)*(1+PlanterDifficultyPercentage)),""),"")),"   not ELP, by"))))))))))))))</f>
        <v/>
      </c>
      <c r="AD2148" s="712"/>
      <c r="AE2148" s="513" t="str">
        <f t="shared" si="1536"/>
        <v/>
      </c>
      <c r="AF2148" s="713" t="str">
        <f t="shared" si="1537"/>
        <v/>
      </c>
      <c r="AG2148" s="713"/>
      <c r="AH2148" s="713"/>
      <c r="AI2148" s="112">
        <f>IF(H2148="credit",0,IF(AE2148="free",0,IF(AE2148="me",0,IF(G2148&gt;0,(VLOOKUP(A2148,'Discount Lookup'!J:K,2)*G2148),0))))</f>
        <v>0</v>
      </c>
      <c r="AJ2148" s="107" t="str">
        <f t="shared" ca="1" si="1538"/>
        <v/>
      </c>
      <c r="AK2148" s="714" t="str">
        <f t="shared" si="1539"/>
        <v/>
      </c>
      <c r="AL2148" s="714"/>
      <c r="AM2148" s="114" t="str">
        <f t="shared" si="1540"/>
        <v/>
      </c>
      <c r="AN2148" s="115"/>
      <c r="AO2148" s="116"/>
      <c r="AP2148" s="116"/>
      <c r="AQ2148" s="116"/>
      <c r="AR2148" s="116"/>
      <c r="AS2148" s="116"/>
      <c r="AT2148" s="116"/>
      <c r="AU2148" s="116"/>
      <c r="AV2148" s="78"/>
      <c r="AW2148" s="102"/>
      <c r="AX2148" s="78"/>
      <c r="AY2148" s="78"/>
      <c r="AZ2148" s="78"/>
      <c r="BA2148" s="78"/>
      <c r="BB2148" s="78"/>
      <c r="BC2148" s="78"/>
      <c r="BD2148" s="78"/>
      <c r="BE2148" s="465"/>
      <c r="BF2148" s="165" t="str">
        <f t="shared" si="1541"/>
        <v>https://www.google.com/search?tbm=isch&amp;q=7%20G5</v>
      </c>
      <c r="BG2148" s="165" t="str">
        <f t="shared" si="1542"/>
        <v>I</v>
      </c>
      <c r="BH2148" s="65"/>
      <c r="BI2148" s="65"/>
      <c r="BJ2148" s="65"/>
      <c r="BK2148" s="65"/>
      <c r="BL2148" s="99"/>
      <c r="BM2148" s="99"/>
      <c r="BN2148" s="99"/>
    </row>
    <row r="2149" spans="1:66" s="51" customFormat="1" ht="15.75" x14ac:dyDescent="0.25">
      <c r="A2149" s="478">
        <v>7</v>
      </c>
      <c r="B2149" s="479" t="s">
        <v>291</v>
      </c>
      <c r="C2149" s="480" t="s">
        <v>5176</v>
      </c>
      <c r="D2149" s="481" t="s">
        <v>299</v>
      </c>
      <c r="E2149" s="482">
        <v>68.95</v>
      </c>
      <c r="F2149" s="483" t="s">
        <v>292</v>
      </c>
      <c r="G2149" s="484">
        <v>0</v>
      </c>
      <c r="H2149" s="688" t="str">
        <f t="shared" si="1553"/>
        <v/>
      </c>
      <c r="I2149" s="485">
        <f t="shared" si="1554"/>
        <v>0</v>
      </c>
      <c r="J2149" s="485">
        <f t="shared" si="1555"/>
        <v>0</v>
      </c>
      <c r="K2149" s="715">
        <f t="shared" ref="K2149" si="1563">I2149+J2149</f>
        <v>0</v>
      </c>
      <c r="L2149" s="715"/>
      <c r="M2149" s="689" t="str">
        <f t="shared" ca="1" si="1557"/>
        <v/>
      </c>
      <c r="N2149" s="690"/>
      <c r="O2149" s="486"/>
      <c r="P2149" s="486"/>
      <c r="Q2149" s="486"/>
      <c r="R2149" s="486"/>
      <c r="S2149" s="486"/>
      <c r="T2149" s="102">
        <f t="shared" si="1530"/>
        <v>0</v>
      </c>
      <c r="U2149" s="78">
        <f>IF(NOT(ISNUMBER(G2149)), "", VLOOKUP(A2149,'Discount Lookup'!D:E,2,FALSE)*G2149)</f>
        <v>0</v>
      </c>
      <c r="V2149" s="78">
        <f>IF(NOT(ISNUMBER(G2149)), "", VLOOKUP(A2149,'Discount Lookup'!G:H,2,FALSE)*G2149)</f>
        <v>0</v>
      </c>
      <c r="W2149" s="102">
        <f t="shared" si="1531"/>
        <v>0</v>
      </c>
      <c r="X2149" s="102">
        <f t="shared" si="1532"/>
        <v>0</v>
      </c>
      <c r="Y2149" s="120" t="b">
        <f t="shared" si="1533"/>
        <v>0</v>
      </c>
      <c r="Z2149" s="117">
        <f t="shared" si="1534"/>
        <v>0</v>
      </c>
      <c r="AA2149" s="118"/>
      <c r="AB2149" s="118" t="str">
        <f t="shared" si="1535"/>
        <v/>
      </c>
      <c r="AC2149" s="712" t="str">
        <f>IF(AE2149="T2G","no charge",IF(AND(OR(PlanterYesMe="No",PlanterYesMe="N",PlanterYesMe="me"),H2149=""),"",IF(H2149="credit","NO install",IF(AND(K2149="",AE2149="me"),"EACH row",IF(AND(K2149="images",AE2149="me"),"EACH row",IF(D2149="","",IF(H2149="credit","",IF(AE2149="free","re-planting",IF(AE2149="me","   not ELP, by",IF(AND(OR(PlanterYesMe="Yes",PlanterYesMe="Y"),G2149&gt;0),(VLOOKUP(A2149,'Discount Lookup'!J:K,2)*G2149*(1-PlanterDiscount)*(1+PlanterDifficultyPercentage)),IF(AE2149="ELP",(VLOOKUP(A2149,'Discount Lookup'!J:K,2)*G2149*(1-PlanterDiscount)*(1+PlanterDifficultyPercentage)),IF(AE2149="free","re-planting",IF(G2149=0,"",IF(PlanterYesMe="",IF(AE2149="me","   not ELP, by",IF(AE2149="",IF(G2149&gt;0,(VLOOKUP(A2149,'Discount Lookup'!J:K,2)*G2149*(1-PlanterDiscount)*(1+PlanterDifficultyPercentage)),""),"")),"   not ELP, by"))))))))))))))</f>
        <v/>
      </c>
      <c r="AD2149" s="712"/>
      <c r="AE2149" s="513" t="str">
        <f t="shared" si="1536"/>
        <v/>
      </c>
      <c r="AF2149" s="713" t="str">
        <f t="shared" si="1537"/>
        <v/>
      </c>
      <c r="AG2149" s="713"/>
      <c r="AH2149" s="713"/>
      <c r="AI2149" s="112">
        <f>IF(H2149="credit",0,IF(AE2149="free",0,IF(AE2149="me",0,IF(G2149&gt;0,(VLOOKUP(A2149,'Discount Lookup'!J:K,2)*G2149),0))))</f>
        <v>0</v>
      </c>
      <c r="AJ2149" s="107" t="str">
        <f t="shared" ca="1" si="1538"/>
        <v/>
      </c>
      <c r="AK2149" s="714" t="str">
        <f t="shared" si="1539"/>
        <v/>
      </c>
      <c r="AL2149" s="714"/>
      <c r="AM2149" s="114" t="str">
        <f t="shared" si="1540"/>
        <v/>
      </c>
      <c r="AN2149" s="115"/>
      <c r="AO2149" s="116"/>
      <c r="AP2149" s="116"/>
      <c r="AQ2149" s="116"/>
      <c r="AR2149" s="116"/>
      <c r="AS2149" s="116"/>
      <c r="AT2149" s="116"/>
      <c r="AU2149" s="116"/>
      <c r="AV2149" s="78"/>
      <c r="AW2149" s="102"/>
      <c r="AX2149" s="78"/>
      <c r="AY2149" s="78"/>
      <c r="AZ2149" s="78"/>
      <c r="BA2149" s="78"/>
      <c r="BB2149" s="78"/>
      <c r="BC2149" s="78"/>
      <c r="BD2149" s="78"/>
      <c r="BE2149" s="465"/>
      <c r="BF2149" s="165" t="str">
        <f t="shared" si="1541"/>
        <v>https://www.google.com/search?tbm=isch&amp;q=7%20G4</v>
      </c>
      <c r="BG2149" s="165" t="str">
        <f t="shared" si="1542"/>
        <v>I</v>
      </c>
      <c r="BH2149" s="65"/>
      <c r="BI2149" s="65"/>
      <c r="BJ2149" s="65"/>
      <c r="BK2149" s="65"/>
      <c r="BL2149" s="99"/>
      <c r="BM2149" s="99"/>
      <c r="BN2149" s="99"/>
    </row>
    <row r="2150" spans="1:66" s="51" customFormat="1" ht="15.75" x14ac:dyDescent="0.25">
      <c r="A2150" s="478">
        <v>10</v>
      </c>
      <c r="B2150" s="479" t="s">
        <v>291</v>
      </c>
      <c r="C2150" s="480" t="s">
        <v>2918</v>
      </c>
      <c r="D2150" s="481" t="s">
        <v>309</v>
      </c>
      <c r="E2150" s="482">
        <v>83.95</v>
      </c>
      <c r="F2150" s="483" t="s">
        <v>292</v>
      </c>
      <c r="G2150" s="484">
        <v>0</v>
      </c>
      <c r="H2150" s="688" t="str">
        <f t="shared" si="1553"/>
        <v/>
      </c>
      <c r="I2150" s="485">
        <f t="shared" si="1554"/>
        <v>0</v>
      </c>
      <c r="J2150" s="485">
        <f t="shared" si="1555"/>
        <v>0</v>
      </c>
      <c r="K2150" s="715">
        <f t="shared" ref="K2150" si="1564">I2150+J2150</f>
        <v>0</v>
      </c>
      <c r="L2150" s="715"/>
      <c r="M2150" s="689" t="str">
        <f t="shared" ca="1" si="1557"/>
        <v/>
      </c>
      <c r="N2150" s="690"/>
      <c r="O2150" s="486"/>
      <c r="P2150" s="486"/>
      <c r="Q2150" s="486"/>
      <c r="R2150" s="486"/>
      <c r="S2150" s="486"/>
      <c r="T2150" s="102">
        <f t="shared" si="1530"/>
        <v>0</v>
      </c>
      <c r="U2150" s="78">
        <f>IF(NOT(ISNUMBER(G2150)), "", VLOOKUP(A2150,'Discount Lookup'!D:E,2,FALSE)*G2150)</f>
        <v>0</v>
      </c>
      <c r="V2150" s="78">
        <f>IF(NOT(ISNUMBER(G2150)), "", VLOOKUP(A2150,'Discount Lookup'!G:H,2,FALSE)*G2150)</f>
        <v>0</v>
      </c>
      <c r="W2150" s="102">
        <f t="shared" si="1531"/>
        <v>0</v>
      </c>
      <c r="X2150" s="102">
        <f t="shared" si="1532"/>
        <v>0</v>
      </c>
      <c r="Y2150" s="120" t="b">
        <f t="shared" si="1533"/>
        <v>0</v>
      </c>
      <c r="Z2150" s="117">
        <f t="shared" si="1534"/>
        <v>0</v>
      </c>
      <c r="AA2150" s="118"/>
      <c r="AB2150" s="118" t="str">
        <f t="shared" si="1535"/>
        <v/>
      </c>
      <c r="AC2150" s="712" t="str">
        <f>IF(AE2150="T2G","no charge",IF(AND(OR(PlanterYesMe="No",PlanterYesMe="N",PlanterYesMe="me"),H2150=""),"",IF(H2150="credit","NO install",IF(AND(K2150="",AE2150="me"),"EACH row",IF(AND(K2150="images",AE2150="me"),"EACH row",IF(D2150="","",IF(H2150="credit","",IF(AE2150="free","re-planting",IF(AE2150="me","   not ELP, by",IF(AND(OR(PlanterYesMe="Yes",PlanterYesMe="Y"),G2150&gt;0),(VLOOKUP(A2150,'Discount Lookup'!J:K,2)*G2150*(1-PlanterDiscount)*(1+PlanterDifficultyPercentage)),IF(AE2150="ELP",(VLOOKUP(A2150,'Discount Lookup'!J:K,2)*G2150*(1-PlanterDiscount)*(1+PlanterDifficultyPercentage)),IF(AE2150="free","re-planting",IF(G2150=0,"",IF(PlanterYesMe="",IF(AE2150="me","   not ELP, by",IF(AE2150="",IF(G2150&gt;0,(VLOOKUP(A2150,'Discount Lookup'!J:K,2)*G2150*(1-PlanterDiscount)*(1+PlanterDifficultyPercentage)),""),"")),"   not ELP, by"))))))))))))))</f>
        <v/>
      </c>
      <c r="AD2150" s="712"/>
      <c r="AE2150" s="513" t="str">
        <f t="shared" si="1536"/>
        <v/>
      </c>
      <c r="AF2150" s="713" t="str">
        <f t="shared" si="1537"/>
        <v/>
      </c>
      <c r="AG2150" s="713"/>
      <c r="AH2150" s="713"/>
      <c r="AI2150" s="112">
        <f>IF(H2150="credit",0,IF(AE2150="free",0,IF(AE2150="me",0,IF(G2150&gt;0,(VLOOKUP(A2150,'Discount Lookup'!J:K,2)*G2150),0))))</f>
        <v>0</v>
      </c>
      <c r="AJ2150" s="107" t="str">
        <f t="shared" ca="1" si="1538"/>
        <v/>
      </c>
      <c r="AK2150" s="714" t="str">
        <f t="shared" si="1539"/>
        <v/>
      </c>
      <c r="AL2150" s="714"/>
      <c r="AM2150" s="114" t="str">
        <f t="shared" si="1540"/>
        <v/>
      </c>
      <c r="AN2150" s="115"/>
      <c r="AO2150" s="116"/>
      <c r="AP2150" s="116"/>
      <c r="AQ2150" s="116"/>
      <c r="AR2150" s="116"/>
      <c r="AS2150" s="116"/>
      <c r="AT2150" s="116"/>
      <c r="AU2150" s="116"/>
      <c r="AV2150" s="78"/>
      <c r="AW2150" s="102"/>
      <c r="AX2150" s="78"/>
      <c r="AY2150" s="78"/>
      <c r="AZ2150" s="78"/>
      <c r="BA2150" s="78"/>
      <c r="BB2150" s="78"/>
      <c r="BC2150" s="78"/>
      <c r="BD2150" s="78"/>
      <c r="BE2150" s="465"/>
      <c r="BF2150" s="165" t="str">
        <f t="shared" si="1541"/>
        <v>https://www.google.com/search?tbm=isch&amp;q=10%20G3</v>
      </c>
      <c r="BG2150" s="165" t="str">
        <f t="shared" si="1542"/>
        <v>I</v>
      </c>
      <c r="BH2150" s="65"/>
      <c r="BI2150" s="65"/>
      <c r="BJ2150" s="65"/>
      <c r="BK2150" s="65"/>
      <c r="BL2150" s="99"/>
      <c r="BM2150" s="99"/>
      <c r="BN2150" s="99"/>
    </row>
    <row r="2151" spans="1:66" s="51" customFormat="1" ht="15.75" x14ac:dyDescent="0.25">
      <c r="A2151" s="478">
        <v>10</v>
      </c>
      <c r="B2151" s="479" t="s">
        <v>291</v>
      </c>
      <c r="C2151" s="480" t="s">
        <v>4620</v>
      </c>
      <c r="D2151" s="481" t="s">
        <v>293</v>
      </c>
      <c r="E2151" s="482">
        <v>97.95</v>
      </c>
      <c r="F2151" s="483" t="s">
        <v>292</v>
      </c>
      <c r="G2151" s="484">
        <v>0</v>
      </c>
      <c r="H2151" s="688" t="str">
        <f t="shared" si="1553"/>
        <v/>
      </c>
      <c r="I2151" s="485">
        <f t="shared" si="1554"/>
        <v>0</v>
      </c>
      <c r="J2151" s="485">
        <f t="shared" si="1555"/>
        <v>0</v>
      </c>
      <c r="K2151" s="715">
        <f t="shared" ref="K2151" si="1565">I2151+J2151</f>
        <v>0</v>
      </c>
      <c r="L2151" s="715"/>
      <c r="M2151" s="689" t="str">
        <f t="shared" ca="1" si="1557"/>
        <v/>
      </c>
      <c r="N2151" s="690"/>
      <c r="O2151" s="486"/>
      <c r="P2151" s="486"/>
      <c r="Q2151" s="486"/>
      <c r="R2151" s="486"/>
      <c r="S2151" s="486"/>
      <c r="T2151" s="102">
        <f t="shared" si="1530"/>
        <v>0</v>
      </c>
      <c r="U2151" s="78">
        <f>IF(NOT(ISNUMBER(G2151)), "", VLOOKUP(A2151,'Discount Lookup'!D:E,2,FALSE)*G2151)</f>
        <v>0</v>
      </c>
      <c r="V2151" s="78">
        <f>IF(NOT(ISNUMBER(G2151)), "", VLOOKUP(A2151,'Discount Lookup'!G:H,2,FALSE)*G2151)</f>
        <v>0</v>
      </c>
      <c r="W2151" s="102">
        <f t="shared" si="1531"/>
        <v>0</v>
      </c>
      <c r="X2151" s="102">
        <f t="shared" si="1532"/>
        <v>0</v>
      </c>
      <c r="Y2151" s="120" t="b">
        <f t="shared" si="1533"/>
        <v>0</v>
      </c>
      <c r="Z2151" s="117">
        <f t="shared" si="1534"/>
        <v>0</v>
      </c>
      <c r="AA2151" s="118"/>
      <c r="AB2151" s="118" t="str">
        <f t="shared" si="1535"/>
        <v/>
      </c>
      <c r="AC2151" s="712" t="str">
        <f>IF(AE2151="T2G","no charge",IF(AND(OR(PlanterYesMe="No",PlanterYesMe="N",PlanterYesMe="me"),H2151=""),"",IF(H2151="credit","NO install",IF(AND(K2151="",AE2151="me"),"EACH row",IF(AND(K2151="images",AE2151="me"),"EACH row",IF(D2151="","",IF(H2151="credit","",IF(AE2151="free","re-planting",IF(AE2151="me","   not ELP, by",IF(AND(OR(PlanterYesMe="Yes",PlanterYesMe="Y"),G2151&gt;0),(VLOOKUP(A2151,'Discount Lookup'!J:K,2)*G2151*(1-PlanterDiscount)*(1+PlanterDifficultyPercentage)),IF(AE2151="ELP",(VLOOKUP(A2151,'Discount Lookup'!J:K,2)*G2151*(1-PlanterDiscount)*(1+PlanterDifficultyPercentage)),IF(AE2151="free","re-planting",IF(G2151=0,"",IF(PlanterYesMe="",IF(AE2151="me","   not ELP, by",IF(AE2151="",IF(G2151&gt;0,(VLOOKUP(A2151,'Discount Lookup'!J:K,2)*G2151*(1-PlanterDiscount)*(1+PlanterDifficultyPercentage)),""),"")),"   not ELP, by"))))))))))))))</f>
        <v/>
      </c>
      <c r="AD2151" s="712"/>
      <c r="AE2151" s="513" t="str">
        <f t="shared" si="1536"/>
        <v/>
      </c>
      <c r="AF2151" s="713" t="str">
        <f t="shared" si="1537"/>
        <v/>
      </c>
      <c r="AG2151" s="713"/>
      <c r="AH2151" s="713"/>
      <c r="AI2151" s="112">
        <f>IF(H2151="credit",0,IF(AE2151="free",0,IF(AE2151="me",0,IF(G2151&gt;0,(VLOOKUP(A2151,'Discount Lookup'!J:K,2)*G2151),0))))</f>
        <v>0</v>
      </c>
      <c r="AJ2151" s="107" t="str">
        <f t="shared" ca="1" si="1538"/>
        <v/>
      </c>
      <c r="AK2151" s="714" t="str">
        <f t="shared" si="1539"/>
        <v/>
      </c>
      <c r="AL2151" s="714"/>
      <c r="AM2151" s="114" t="str">
        <f t="shared" si="1540"/>
        <v/>
      </c>
      <c r="AN2151" s="115"/>
      <c r="AO2151" s="116"/>
      <c r="AP2151" s="116"/>
      <c r="AQ2151" s="116"/>
      <c r="AR2151" s="116"/>
      <c r="AS2151" s="116"/>
      <c r="AT2151" s="116"/>
      <c r="AU2151" s="116"/>
      <c r="AV2151" s="78"/>
      <c r="AW2151" s="102"/>
      <c r="AX2151" s="78"/>
      <c r="AY2151" s="78"/>
      <c r="AZ2151" s="78"/>
      <c r="BA2151" s="78"/>
      <c r="BB2151" s="78"/>
      <c r="BC2151" s="78"/>
      <c r="BD2151" s="78"/>
      <c r="BE2151" s="465"/>
      <c r="BF2151" s="165" t="str">
        <f t="shared" si="1541"/>
        <v>https://www.google.com/search?tbm=isch&amp;q=10%20G6</v>
      </c>
      <c r="BG2151" s="165" t="str">
        <f t="shared" si="1542"/>
        <v>I</v>
      </c>
      <c r="BH2151" s="65"/>
      <c r="BI2151" s="65"/>
      <c r="BJ2151" s="65"/>
      <c r="BK2151" s="65"/>
      <c r="BL2151" s="99"/>
      <c r="BM2151" s="99"/>
      <c r="BN2151" s="99"/>
    </row>
    <row r="2152" spans="1:66" s="51" customFormat="1" ht="15.75" x14ac:dyDescent="0.25">
      <c r="A2152" s="478">
        <v>15</v>
      </c>
      <c r="B2152" s="479" t="s">
        <v>291</v>
      </c>
      <c r="C2152" s="480" t="s">
        <v>2919</v>
      </c>
      <c r="D2152" s="481" t="s">
        <v>299</v>
      </c>
      <c r="E2152" s="482">
        <v>155.94999999999999</v>
      </c>
      <c r="F2152" s="483" t="s">
        <v>292</v>
      </c>
      <c r="G2152" s="484">
        <v>0</v>
      </c>
      <c r="H2152" s="688" t="str">
        <f t="shared" si="1553"/>
        <v/>
      </c>
      <c r="I2152" s="485">
        <f t="shared" si="1554"/>
        <v>0</v>
      </c>
      <c r="J2152" s="485">
        <f t="shared" si="1555"/>
        <v>0</v>
      </c>
      <c r="K2152" s="715">
        <f t="shared" ref="K2152" si="1566">I2152+J2152</f>
        <v>0</v>
      </c>
      <c r="L2152" s="715"/>
      <c r="M2152" s="689" t="str">
        <f t="shared" ca="1" si="1557"/>
        <v/>
      </c>
      <c r="N2152" s="690"/>
      <c r="O2152" s="486"/>
      <c r="P2152" s="486"/>
      <c r="Q2152" s="486"/>
      <c r="R2152" s="486"/>
      <c r="S2152" s="486"/>
      <c r="T2152" s="102">
        <f t="shared" si="1530"/>
        <v>0</v>
      </c>
      <c r="U2152" s="78">
        <f>IF(NOT(ISNUMBER(G2152)), "", VLOOKUP(A2152,'Discount Lookup'!D:E,2,FALSE)*G2152)</f>
        <v>0</v>
      </c>
      <c r="V2152" s="78">
        <f>IF(NOT(ISNUMBER(G2152)), "", VLOOKUP(A2152,'Discount Lookup'!G:H,2,FALSE)*G2152)</f>
        <v>0</v>
      </c>
      <c r="W2152" s="102">
        <f t="shared" si="1531"/>
        <v>0</v>
      </c>
      <c r="X2152" s="102">
        <f t="shared" si="1532"/>
        <v>0</v>
      </c>
      <c r="Y2152" s="120" t="b">
        <f t="shared" si="1533"/>
        <v>0</v>
      </c>
      <c r="Z2152" s="117">
        <f t="shared" si="1534"/>
        <v>0</v>
      </c>
      <c r="AA2152" s="118"/>
      <c r="AB2152" s="118" t="str">
        <f t="shared" si="1535"/>
        <v/>
      </c>
      <c r="AC2152" s="712" t="str">
        <f>IF(AE2152="T2G","no charge",IF(AND(OR(PlanterYesMe="No",PlanterYesMe="N",PlanterYesMe="me"),H2152=""),"",IF(H2152="credit","NO install",IF(AND(K2152="",AE2152="me"),"EACH row",IF(AND(K2152="images",AE2152="me"),"EACH row",IF(D2152="","",IF(H2152="credit","",IF(AE2152="free","re-planting",IF(AE2152="me","   not ELP, by",IF(AND(OR(PlanterYesMe="Yes",PlanterYesMe="Y"),G2152&gt;0),(VLOOKUP(A2152,'Discount Lookup'!J:K,2)*G2152*(1-PlanterDiscount)*(1+PlanterDifficultyPercentage)),IF(AE2152="ELP",(VLOOKUP(A2152,'Discount Lookup'!J:K,2)*G2152*(1-PlanterDiscount)*(1+PlanterDifficultyPercentage)),IF(AE2152="free","re-planting",IF(G2152=0,"",IF(PlanterYesMe="",IF(AE2152="me","   not ELP, by",IF(AE2152="",IF(G2152&gt;0,(VLOOKUP(A2152,'Discount Lookup'!J:K,2)*G2152*(1-PlanterDiscount)*(1+PlanterDifficultyPercentage)),""),"")),"   not ELP, by"))))))))))))))</f>
        <v/>
      </c>
      <c r="AD2152" s="712"/>
      <c r="AE2152" s="513" t="str">
        <f t="shared" si="1536"/>
        <v/>
      </c>
      <c r="AF2152" s="713" t="str">
        <f t="shared" si="1537"/>
        <v/>
      </c>
      <c r="AG2152" s="713"/>
      <c r="AH2152" s="713"/>
      <c r="AI2152" s="112">
        <f>IF(H2152="credit",0,IF(AE2152="free",0,IF(AE2152="me",0,IF(G2152&gt;0,(VLOOKUP(A2152,'Discount Lookup'!J:K,2)*G2152),0))))</f>
        <v>0</v>
      </c>
      <c r="AJ2152" s="107" t="str">
        <f t="shared" ca="1" si="1538"/>
        <v/>
      </c>
      <c r="AK2152" s="714" t="str">
        <f t="shared" si="1539"/>
        <v/>
      </c>
      <c r="AL2152" s="714"/>
      <c r="AM2152" s="114" t="str">
        <f t="shared" si="1540"/>
        <v/>
      </c>
      <c r="AN2152" s="115"/>
      <c r="AO2152" s="116"/>
      <c r="AP2152" s="116"/>
      <c r="AQ2152" s="116"/>
      <c r="AR2152" s="116"/>
      <c r="AS2152" s="116"/>
      <c r="AT2152" s="116"/>
      <c r="AU2152" s="116"/>
      <c r="AV2152" s="78"/>
      <c r="AW2152" s="102"/>
      <c r="AX2152" s="78"/>
      <c r="AY2152" s="78"/>
      <c r="AZ2152" s="78"/>
      <c r="BA2152" s="78"/>
      <c r="BB2152" s="78"/>
      <c r="BC2152" s="78"/>
      <c r="BD2152" s="78"/>
      <c r="BE2152" s="465"/>
      <c r="BF2152" s="165" t="str">
        <f t="shared" si="1541"/>
        <v>https://www.google.com/search?tbm=isch&amp;q=15%20G4</v>
      </c>
      <c r="BG2152" s="165" t="str">
        <f t="shared" si="1542"/>
        <v>I</v>
      </c>
      <c r="BH2152" s="65"/>
      <c r="BI2152" s="65"/>
      <c r="BJ2152" s="65"/>
      <c r="BK2152" s="65"/>
      <c r="BL2152" s="99"/>
      <c r="BM2152" s="99"/>
      <c r="BN2152" s="99"/>
    </row>
    <row r="2153" spans="1:66" s="51" customFormat="1" ht="15.75" x14ac:dyDescent="0.25">
      <c r="A2153" s="478">
        <v>25</v>
      </c>
      <c r="B2153" s="479" t="s">
        <v>291</v>
      </c>
      <c r="C2153" s="480" t="s">
        <v>2920</v>
      </c>
      <c r="D2153" s="481" t="s">
        <v>299</v>
      </c>
      <c r="E2153" s="482">
        <v>206.95</v>
      </c>
      <c r="F2153" s="483" t="s">
        <v>292</v>
      </c>
      <c r="G2153" s="484">
        <v>0</v>
      </c>
      <c r="H2153" s="688" t="str">
        <f t="shared" si="1553"/>
        <v/>
      </c>
      <c r="I2153" s="485">
        <f t="shared" si="1554"/>
        <v>0</v>
      </c>
      <c r="J2153" s="485">
        <f t="shared" si="1555"/>
        <v>0</v>
      </c>
      <c r="K2153" s="715">
        <f t="shared" ref="K2153" si="1567">I2153+J2153</f>
        <v>0</v>
      </c>
      <c r="L2153" s="715"/>
      <c r="M2153" s="689" t="str">
        <f t="shared" ca="1" si="1557"/>
        <v/>
      </c>
      <c r="N2153" s="690"/>
      <c r="O2153" s="486"/>
      <c r="P2153" s="486"/>
      <c r="Q2153" s="486"/>
      <c r="R2153" s="486"/>
      <c r="S2153" s="486"/>
      <c r="T2153" s="102">
        <f t="shared" si="1530"/>
        <v>0</v>
      </c>
      <c r="U2153" s="78">
        <f>IF(NOT(ISNUMBER(G2153)), "", VLOOKUP(A2153,'Discount Lookup'!D:E,2,FALSE)*G2153)</f>
        <v>0</v>
      </c>
      <c r="V2153" s="78">
        <f>IF(NOT(ISNUMBER(G2153)), "", VLOOKUP(A2153,'Discount Lookup'!G:H,2,FALSE)*G2153)</f>
        <v>0</v>
      </c>
      <c r="W2153" s="102">
        <f t="shared" si="1531"/>
        <v>0</v>
      </c>
      <c r="X2153" s="102">
        <f t="shared" si="1532"/>
        <v>0</v>
      </c>
      <c r="Y2153" s="120" t="b">
        <f t="shared" si="1533"/>
        <v>0</v>
      </c>
      <c r="Z2153" s="117">
        <f t="shared" si="1534"/>
        <v>0</v>
      </c>
      <c r="AA2153" s="118"/>
      <c r="AB2153" s="118" t="str">
        <f t="shared" si="1535"/>
        <v/>
      </c>
      <c r="AC2153" s="712" t="str">
        <f>IF(AE2153="T2G","no charge",IF(AND(OR(PlanterYesMe="No",PlanterYesMe="N",PlanterYesMe="me"),H2153=""),"",IF(H2153="credit","NO install",IF(AND(K2153="",AE2153="me"),"EACH row",IF(AND(K2153="images",AE2153="me"),"EACH row",IF(D2153="","",IF(H2153="credit","",IF(AE2153="free","re-planting",IF(AE2153="me","   not ELP, by",IF(AND(OR(PlanterYesMe="Yes",PlanterYesMe="Y"),G2153&gt;0),(VLOOKUP(A2153,'Discount Lookup'!J:K,2)*G2153*(1-PlanterDiscount)*(1+PlanterDifficultyPercentage)),IF(AE2153="ELP",(VLOOKUP(A2153,'Discount Lookup'!J:K,2)*G2153*(1-PlanterDiscount)*(1+PlanterDifficultyPercentage)),IF(AE2153="free","re-planting",IF(G2153=0,"",IF(PlanterYesMe="",IF(AE2153="me","   not ELP, by",IF(AE2153="",IF(G2153&gt;0,(VLOOKUP(A2153,'Discount Lookup'!J:K,2)*G2153*(1-PlanterDiscount)*(1+PlanterDifficultyPercentage)),""),"")),"   not ELP, by"))))))))))))))</f>
        <v/>
      </c>
      <c r="AD2153" s="712"/>
      <c r="AE2153" s="513" t="str">
        <f t="shared" si="1536"/>
        <v/>
      </c>
      <c r="AF2153" s="713" t="str">
        <f t="shared" si="1537"/>
        <v/>
      </c>
      <c r="AG2153" s="713"/>
      <c r="AH2153" s="713"/>
      <c r="AI2153" s="112">
        <f>IF(H2153="credit",0,IF(AE2153="free",0,IF(AE2153="me",0,IF(G2153&gt;0,(VLOOKUP(A2153,'Discount Lookup'!J:K,2)*G2153),0))))</f>
        <v>0</v>
      </c>
      <c r="AJ2153" s="107" t="str">
        <f t="shared" ca="1" si="1538"/>
        <v/>
      </c>
      <c r="AK2153" s="714" t="str">
        <f t="shared" si="1539"/>
        <v/>
      </c>
      <c r="AL2153" s="714"/>
      <c r="AM2153" s="114" t="str">
        <f t="shared" si="1540"/>
        <v/>
      </c>
      <c r="AN2153" s="115"/>
      <c r="AO2153" s="116"/>
      <c r="AP2153" s="116"/>
      <c r="AQ2153" s="116"/>
      <c r="AR2153" s="116"/>
      <c r="AS2153" s="116"/>
      <c r="AT2153" s="116"/>
      <c r="AU2153" s="116"/>
      <c r="AV2153" s="78"/>
      <c r="AW2153" s="102"/>
      <c r="AX2153" s="78"/>
      <c r="AY2153" s="78"/>
      <c r="AZ2153" s="78"/>
      <c r="BA2153" s="78"/>
      <c r="BB2153" s="78"/>
      <c r="BC2153" s="78"/>
      <c r="BD2153" s="78"/>
      <c r="BE2153" s="465"/>
      <c r="BF2153" s="165" t="str">
        <f t="shared" si="1541"/>
        <v>https://www.google.com/search?tbm=isch&amp;q=25%20G4</v>
      </c>
      <c r="BG2153" s="165" t="str">
        <f t="shared" si="1542"/>
        <v>I</v>
      </c>
      <c r="BH2153" s="65"/>
      <c r="BI2153" s="65"/>
      <c r="BJ2153" s="65"/>
      <c r="BK2153" s="65"/>
      <c r="BL2153" s="99"/>
      <c r="BM2153" s="99"/>
      <c r="BN2153" s="99"/>
    </row>
    <row r="2154" spans="1:66" s="51" customFormat="1" ht="17.25" thickBot="1" x14ac:dyDescent="0.3">
      <c r="A2154" s="508" t="s">
        <v>2921</v>
      </c>
      <c r="B2154" s="487"/>
      <c r="C2154" s="707"/>
      <c r="D2154" s="487"/>
      <c r="E2154" s="487"/>
      <c r="F2154" s="488"/>
      <c r="G2154" s="489"/>
      <c r="H2154" s="487"/>
      <c r="I2154" s="490"/>
      <c r="J2154" s="490"/>
      <c r="K2154" s="491"/>
      <c r="L2154" s="547"/>
      <c r="M2154" s="528"/>
      <c r="N2154" s="492"/>
      <c r="O2154" s="493"/>
      <c r="P2154" s="494"/>
      <c r="Q2154" s="492"/>
      <c r="R2154" s="492"/>
      <c r="S2154" s="699" t="s">
        <v>5290</v>
      </c>
      <c r="T2154" s="102">
        <f t="shared" si="1530"/>
        <v>0</v>
      </c>
      <c r="U2154" s="78" t="str">
        <f>IF(NOT(ISNUMBER(G2154)), "", VLOOKUP(A2154,'Discount Lookup'!D:E,2,FALSE)*G2154)</f>
        <v/>
      </c>
      <c r="V2154" s="78" t="str">
        <f>IF(NOT(ISNUMBER(G2154)), "", VLOOKUP(A2154,'Discount Lookup'!G:H,2,FALSE)*G2154)</f>
        <v/>
      </c>
      <c r="W2154" s="102">
        <f t="shared" si="1531"/>
        <v>0</v>
      </c>
      <c r="X2154" s="102">
        <f t="shared" si="1532"/>
        <v>0</v>
      </c>
      <c r="Y2154" s="120" t="b">
        <f t="shared" si="1533"/>
        <v>0</v>
      </c>
      <c r="Z2154" s="117">
        <f t="shared" si="1534"/>
        <v>0</v>
      </c>
      <c r="AA2154" s="118"/>
      <c r="AB2154" s="118" t="str">
        <f t="shared" si="1535"/>
        <v/>
      </c>
      <c r="AC2154" s="712" t="str">
        <f>IF(AE2154="T2G","no charge",IF(AND(OR(PlanterYesMe="No",PlanterYesMe="N",PlanterYesMe="me"),H2154=""),"",IF(H2154="credit","NO install",IF(AND(K2154="",AE2154="me"),"EACH row",IF(AND(K2154="images",AE2154="me"),"EACH row",IF(D2154="","",IF(H2154="credit","",IF(AE2154="free","re-planting",IF(AE2154="me","   not ELP, by",IF(AND(OR(PlanterYesMe="Yes",PlanterYesMe="Y"),G2154&gt;0),(VLOOKUP(A2154,'Discount Lookup'!J:K,2)*G2154*(1-PlanterDiscount)*(1+PlanterDifficultyPercentage)),IF(AE2154="ELP",(VLOOKUP(A2154,'Discount Lookup'!J:K,2)*G2154*(1-PlanterDiscount)*(1+PlanterDifficultyPercentage)),IF(AE2154="free","re-planting",IF(G2154=0,"",IF(PlanterYesMe="",IF(AE2154="me","   not ELP, by",IF(AE2154="",IF(G2154&gt;0,(VLOOKUP(A2154,'Discount Lookup'!J:K,2)*G2154*(1-PlanterDiscount)*(1+PlanterDifficultyPercentage)),""),"")),"   not ELP, by"))))))))))))))</f>
        <v/>
      </c>
      <c r="AD2154" s="712"/>
      <c r="AE2154" s="513" t="str">
        <f t="shared" si="1536"/>
        <v/>
      </c>
      <c r="AF2154" s="713" t="str">
        <f t="shared" si="1537"/>
        <v/>
      </c>
      <c r="AG2154" s="713"/>
      <c r="AH2154" s="713"/>
      <c r="AI2154" s="112">
        <f>IF(H2154="credit",0,IF(AE2154="free",0,IF(AE2154="me",0,IF(G2154&gt;0,(VLOOKUP(A2154,'Discount Lookup'!J:K,2)*G2154),0))))</f>
        <v>0</v>
      </c>
      <c r="AJ2154" s="107" t="str">
        <f t="shared" ca="1" si="1538"/>
        <v/>
      </c>
      <c r="AK2154" s="714" t="str">
        <f t="shared" si="1539"/>
        <v/>
      </c>
      <c r="AL2154" s="714"/>
      <c r="AM2154" s="114" t="str">
        <f t="shared" si="1540"/>
        <v/>
      </c>
      <c r="AN2154" s="115"/>
      <c r="AO2154" s="116"/>
      <c r="AP2154" s="116"/>
      <c r="AQ2154" s="116"/>
      <c r="AR2154" s="116"/>
      <c r="AS2154" s="116"/>
      <c r="AT2154" s="116"/>
      <c r="AU2154" s="116"/>
      <c r="AV2154" s="78"/>
      <c r="AW2154" s="102"/>
      <c r="AX2154" s="78"/>
      <c r="AY2154" s="78"/>
      <c r="AZ2154" s="78"/>
      <c r="BA2154" s="78"/>
      <c r="BB2154" s="78"/>
      <c r="BC2154" s="78"/>
      <c r="BD2154" s="78"/>
      <c r="BE2154" s="465"/>
      <c r="BF2154" s="165" t="str">
        <f t="shared" si="1541"/>
        <v>https://www.google.com/search?tbm=isch&amp;q=Needlepoint%20is%20named%20for%20the%20prickly%20foliage%2C%20not%20the%20overall%20form.%20The%20most%20prolific%20berry%20producer.%20Self-pollinates%20</v>
      </c>
      <c r="BG2154" s="165" t="str">
        <f t="shared" si="1542"/>
        <v>N</v>
      </c>
      <c r="BH2154" s="65"/>
      <c r="BI2154" s="65"/>
      <c r="BJ2154" s="65"/>
      <c r="BK2154" s="65"/>
      <c r="BL2154" s="99"/>
      <c r="BM2154" s="99"/>
      <c r="BN2154" s="99"/>
    </row>
    <row r="2155" spans="1:66" s="51" customFormat="1" ht="18" x14ac:dyDescent="0.25">
      <c r="A2155" s="507" t="s">
        <v>2922</v>
      </c>
      <c r="B2155" s="470"/>
      <c r="C2155" s="706"/>
      <c r="D2155" s="471" t="s">
        <v>2923</v>
      </c>
      <c r="E2155" s="472"/>
      <c r="F2155" s="472"/>
      <c r="G2155" s="472"/>
      <c r="H2155" s="622" t="s">
        <v>1217</v>
      </c>
      <c r="I2155" s="473" t="s">
        <v>431</v>
      </c>
      <c r="J2155" s="472"/>
      <c r="K2155" s="472"/>
      <c r="L2155" s="561"/>
      <c r="M2155" s="698" t="s">
        <v>5246</v>
      </c>
      <c r="N2155" s="692" t="str">
        <f>IF(AND(ISTEXT($A2155), ISERROR($A2155+0)), HYPERLINK($BF2155, "Images"), "")</f>
        <v>Images</v>
      </c>
      <c r="O2155" s="694" t="s">
        <v>5289</v>
      </c>
      <c r="P2155" s="475"/>
      <c r="Q2155" s="476"/>
      <c r="R2155" s="476"/>
      <c r="S2155" s="477"/>
      <c r="T2155" s="102">
        <f t="shared" si="1530"/>
        <v>0</v>
      </c>
      <c r="U2155" s="78" t="str">
        <f>IF(NOT(ISNUMBER(G2155)), "", VLOOKUP(A2155,'Discount Lookup'!D:E,2,FALSE)*G2155)</f>
        <v/>
      </c>
      <c r="V2155" s="78" t="str">
        <f>IF(NOT(ISNUMBER(G2155)), "", VLOOKUP(A2155,'Discount Lookup'!G:H,2,FALSE)*G2155)</f>
        <v/>
      </c>
      <c r="W2155" s="102">
        <f t="shared" si="1531"/>
        <v>0</v>
      </c>
      <c r="X2155" s="102" t="str">
        <f t="shared" si="1532"/>
        <v>Dark Green foliage</v>
      </c>
      <c r="Y2155" s="120" t="b">
        <f t="shared" si="1533"/>
        <v>0</v>
      </c>
      <c r="Z2155" s="117">
        <f t="shared" si="1534"/>
        <v>0</v>
      </c>
      <c r="AA2155" s="118"/>
      <c r="AB2155" s="118" t="str">
        <f t="shared" si="1535"/>
        <v/>
      </c>
      <c r="AC2155" s="712" t="str">
        <f>IF(AE2155="T2G","no charge",IF(AND(OR(PlanterYesMe="No",PlanterYesMe="N",PlanterYesMe="me"),H2155=""),"",IF(H2155="credit","NO install",IF(AND(K2155="",AE2155="me"),"EACH row",IF(AND(K2155="images",AE2155="me"),"EACH row",IF(D2155="","",IF(H2155="credit","",IF(AE2155="free","re-planting",IF(AE2155="me","   not ELP, by",IF(AND(OR(PlanterYesMe="Yes",PlanterYesMe="Y"),G2155&gt;0),(VLOOKUP(A2155,'Discount Lookup'!J:K,2)*G2155*(1-PlanterDiscount)*(1+PlanterDifficultyPercentage)),IF(AE2155="ELP",(VLOOKUP(A2155,'Discount Lookup'!J:K,2)*G2155*(1-PlanterDiscount)*(1+PlanterDifficultyPercentage)),IF(AE2155="free","re-planting",IF(G2155=0,"",IF(PlanterYesMe="",IF(AE2155="me","   not ELP, by",IF(AE2155="",IF(G2155&gt;0,(VLOOKUP(A2155,'Discount Lookup'!J:K,2)*G2155*(1-PlanterDiscount)*(1+PlanterDifficultyPercentage)),""),"")),"   not ELP, by"))))))))))))))</f>
        <v/>
      </c>
      <c r="AD2155" s="712"/>
      <c r="AE2155" s="513" t="str">
        <f t="shared" si="1536"/>
        <v/>
      </c>
      <c r="AF2155" s="713" t="str">
        <f t="shared" si="1537"/>
        <v/>
      </c>
      <c r="AG2155" s="713"/>
      <c r="AH2155" s="713"/>
      <c r="AI2155" s="112">
        <f>IF(H2155="credit",0,IF(AE2155="free",0,IF(AE2155="me",0,IF(G2155&gt;0,(VLOOKUP(A2155,'Discount Lookup'!J:K,2)*G2155),0))))</f>
        <v>0</v>
      </c>
      <c r="AJ2155" s="107" t="str">
        <f t="shared" ca="1" si="1538"/>
        <v/>
      </c>
      <c r="AK2155" s="714" t="str">
        <f t="shared" si="1539"/>
        <v/>
      </c>
      <c r="AL2155" s="714"/>
      <c r="AM2155" s="114" t="str">
        <f t="shared" si="1540"/>
        <v/>
      </c>
      <c r="AN2155" s="115"/>
      <c r="AO2155" s="116"/>
      <c r="AP2155" s="116"/>
      <c r="AQ2155" s="116"/>
      <c r="AR2155" s="116"/>
      <c r="AS2155" s="116"/>
      <c r="AT2155" s="116"/>
      <c r="AU2155" s="116"/>
      <c r="AV2155" s="78"/>
      <c r="AW2155" s="102"/>
      <c r="AX2155" s="78"/>
      <c r="AY2155" s="78"/>
      <c r="AZ2155" s="78"/>
      <c r="BA2155" s="78"/>
      <c r="BB2155" s="78"/>
      <c r="BC2155" s="78"/>
      <c r="BD2155" s="78"/>
      <c r="BE2155" s="465"/>
      <c r="BF2155" s="165" t="str">
        <f t="shared" si="1541"/>
        <v>https://www.google.com/search?tbm=isch&amp;q=Ilex%20crenata%20%27Compacta%27%20Compacta%20Japanese%20Holly</v>
      </c>
      <c r="BG2155" s="165" t="str">
        <f t="shared" si="1542"/>
        <v>I</v>
      </c>
      <c r="BH2155" s="65"/>
      <c r="BI2155" s="65"/>
      <c r="BJ2155" s="65"/>
      <c r="BK2155" s="65"/>
      <c r="BL2155" s="99"/>
      <c r="BM2155" s="99"/>
      <c r="BN2155" s="99"/>
    </row>
    <row r="2156" spans="1:66" s="51" customFormat="1" ht="15.75" x14ac:dyDescent="0.25">
      <c r="A2156" s="478">
        <v>1</v>
      </c>
      <c r="B2156" s="479" t="s">
        <v>291</v>
      </c>
      <c r="C2156" s="480"/>
      <c r="D2156" s="481" t="s">
        <v>310</v>
      </c>
      <c r="E2156" s="482">
        <v>7.95</v>
      </c>
      <c r="F2156" s="483" t="s">
        <v>292</v>
      </c>
      <c r="G2156" s="484">
        <v>0</v>
      </c>
      <c r="H2156" s="688" t="str">
        <f t="shared" ref="H2156:H2164" si="1568">IF(G2156=0,"",IF(F2156="Buy",IF(G2156=1,"plant","plants"),IF(F2156&gt;0.01,"warranty","Error")))</f>
        <v/>
      </c>
      <c r="I2156" s="485">
        <f t="shared" ref="I2156:I2164" si="1569">IF(H2156="free",0,IF(H2156="credit",((E2156*(F2156))*G2156*-1),IF(F2156="Buy",(E2156*G2156),((E2156*(1-F2156))*G2156))))</f>
        <v>0</v>
      </c>
      <c r="J2156" s="485">
        <f t="shared" ref="J2156:J2164" si="1570">IF(H2156="warranty",0,(I2156*(_xlfn.SINGLE(SalesTaxPercentage))))</f>
        <v>0</v>
      </c>
      <c r="K2156" s="715">
        <f t="shared" ref="K2156" si="1571">I2156+J2156</f>
        <v>0</v>
      </c>
      <c r="L2156" s="715"/>
      <c r="M2156" s="689" t="str">
        <f t="shared" ref="M2156:M2164" ca="1" si="1572">IF(AND(G2156&gt;0,E2156=0),"WARNING - no PRICE inserted",IF(H2156="free","FREE ~ no charge this plant",IF(H2156="credit",CONCATENATE("-$",ROUND(K2156*(1-_xlfn.SINGLE(T2GDiscount))*-1,2)," CREDIT after discount"),IF(_xlfn.SINGLE(T2GDiscount)=0,"",IF(G2156=0,"",IF(F2156="Buy",CONCATENATE("$",ROUND(K2156*(1-_xlfn.SINGLE(T2GDiscount)),2)," with ",(_xlfn.SINGLE(T2GDiscount)*100),"% discount"),CONCATENATE("$",ROUND(K2156*(1-_xlfn.SINGLE(T2GDiscount)),2)," with ",((_xlfn.SINGLE(T2GDiscount)*100+F2156*100)-(_xlfn.SINGLE(T2GDiscount)*100*F2156)),IF(F2156&gt;0,"% discounts",IF(_xlfn.SINGLE(NoWarrantyDiscount)&gt;0,"% discounts","% discount")))))))))</f>
        <v/>
      </c>
      <c r="N2156" s="690"/>
      <c r="O2156" s="486"/>
      <c r="P2156" s="486"/>
      <c r="Q2156" s="486"/>
      <c r="R2156" s="486"/>
      <c r="S2156" s="486"/>
      <c r="T2156" s="102">
        <f t="shared" si="1530"/>
        <v>0</v>
      </c>
      <c r="U2156" s="78">
        <f>IF(NOT(ISNUMBER(G2156)), "", VLOOKUP(A2156,'Discount Lookup'!D:E,2,FALSE)*G2156)</f>
        <v>0</v>
      </c>
      <c r="V2156" s="78">
        <f>IF(NOT(ISNUMBER(G2156)), "", VLOOKUP(A2156,'Discount Lookup'!G:H,2,FALSE)*G2156)</f>
        <v>0</v>
      </c>
      <c r="W2156" s="102">
        <f t="shared" si="1531"/>
        <v>0</v>
      </c>
      <c r="X2156" s="102">
        <f t="shared" si="1532"/>
        <v>0</v>
      </c>
      <c r="Y2156" s="120" t="b">
        <f t="shared" si="1533"/>
        <v>0</v>
      </c>
      <c r="Z2156" s="117">
        <f t="shared" si="1534"/>
        <v>0</v>
      </c>
      <c r="AA2156" s="118"/>
      <c r="AB2156" s="118" t="str">
        <f t="shared" si="1535"/>
        <v/>
      </c>
      <c r="AC2156" s="712" t="str">
        <f>IF(AE2156="T2G","no charge",IF(AND(OR(PlanterYesMe="No",PlanterYesMe="N",PlanterYesMe="me"),H2156=""),"",IF(H2156="credit","NO install",IF(AND(K2156="",AE2156="me"),"EACH row",IF(AND(K2156="images",AE2156="me"),"EACH row",IF(D2156="","",IF(H2156="credit","",IF(AE2156="free","re-planting",IF(AE2156="me","   not ELP, by",IF(AND(OR(PlanterYesMe="Yes",PlanterYesMe="Y"),G2156&gt;0),(VLOOKUP(A2156,'Discount Lookup'!J:K,2)*G2156*(1-PlanterDiscount)*(1+PlanterDifficultyPercentage)),IF(AE2156="ELP",(VLOOKUP(A2156,'Discount Lookup'!J:K,2)*G2156*(1-PlanterDiscount)*(1+PlanterDifficultyPercentage)),IF(AE2156="free","re-planting",IF(G2156=0,"",IF(PlanterYesMe="",IF(AE2156="me","   not ELP, by",IF(AE2156="",IF(G2156&gt;0,(VLOOKUP(A2156,'Discount Lookup'!J:K,2)*G2156*(1-PlanterDiscount)*(1+PlanterDifficultyPercentage)),""),"")),"   not ELP, by"))))))))))))))</f>
        <v/>
      </c>
      <c r="AD2156" s="712"/>
      <c r="AE2156" s="513" t="str">
        <f t="shared" si="1536"/>
        <v/>
      </c>
      <c r="AF2156" s="713" t="str">
        <f t="shared" si="1537"/>
        <v/>
      </c>
      <c r="AG2156" s="713"/>
      <c r="AH2156" s="713"/>
      <c r="AI2156" s="112">
        <f>IF(H2156="credit",0,IF(AE2156="free",0,IF(AE2156="me",0,IF(G2156&gt;0,(VLOOKUP(A2156,'Discount Lookup'!J:K,2)*G2156),0))))</f>
        <v>0</v>
      </c>
      <c r="AJ2156" s="107" t="str">
        <f t="shared" ca="1" si="1538"/>
        <v/>
      </c>
      <c r="AK2156" s="714" t="str">
        <f t="shared" si="1539"/>
        <v/>
      </c>
      <c r="AL2156" s="714"/>
      <c r="AM2156" s="114" t="str">
        <f t="shared" si="1540"/>
        <v/>
      </c>
      <c r="AN2156" s="115"/>
      <c r="AO2156" s="116"/>
      <c r="AP2156" s="116"/>
      <c r="AQ2156" s="116"/>
      <c r="AR2156" s="116"/>
      <c r="AS2156" s="116"/>
      <c r="AT2156" s="116"/>
      <c r="AU2156" s="116"/>
      <c r="AV2156" s="78"/>
      <c r="AW2156" s="102"/>
      <c r="AX2156" s="78"/>
      <c r="AY2156" s="78"/>
      <c r="AZ2156" s="78"/>
      <c r="BA2156" s="78"/>
      <c r="BB2156" s="78"/>
      <c r="BC2156" s="78"/>
      <c r="BD2156" s="78"/>
      <c r="BE2156" s="465"/>
      <c r="BF2156" s="165" t="str">
        <f t="shared" si="1541"/>
        <v>https://www.google.com/search?tbm=isch&amp;q=1%20G1</v>
      </c>
      <c r="BG2156" s="165" t="str">
        <f t="shared" si="1542"/>
        <v>I</v>
      </c>
      <c r="BH2156" s="65"/>
      <c r="BI2156" s="65"/>
      <c r="BJ2156" s="65"/>
      <c r="BK2156" s="65"/>
      <c r="BL2156" s="99"/>
      <c r="BM2156" s="99"/>
      <c r="BN2156" s="99"/>
    </row>
    <row r="2157" spans="1:66" s="51" customFormat="1" ht="15.75" x14ac:dyDescent="0.25">
      <c r="A2157" s="478">
        <v>1</v>
      </c>
      <c r="B2157" s="479" t="s">
        <v>291</v>
      </c>
      <c r="C2157" s="480" t="s">
        <v>2924</v>
      </c>
      <c r="D2157" s="481" t="s">
        <v>311</v>
      </c>
      <c r="E2157" s="482">
        <v>7.95</v>
      </c>
      <c r="F2157" s="483" t="s">
        <v>292</v>
      </c>
      <c r="G2157" s="484">
        <v>0</v>
      </c>
      <c r="H2157" s="688" t="str">
        <f t="shared" si="1568"/>
        <v/>
      </c>
      <c r="I2157" s="485">
        <f t="shared" si="1569"/>
        <v>0</v>
      </c>
      <c r="J2157" s="485">
        <f t="shared" si="1570"/>
        <v>0</v>
      </c>
      <c r="K2157" s="715">
        <f t="shared" ref="K2157" si="1573">I2157+J2157</f>
        <v>0</v>
      </c>
      <c r="L2157" s="715"/>
      <c r="M2157" s="689" t="str">
        <f t="shared" ca="1" si="1572"/>
        <v/>
      </c>
      <c r="N2157" s="690"/>
      <c r="O2157" s="486"/>
      <c r="P2157" s="486"/>
      <c r="Q2157" s="486"/>
      <c r="R2157" s="486"/>
      <c r="S2157" s="486"/>
      <c r="T2157" s="102">
        <f t="shared" si="1530"/>
        <v>0</v>
      </c>
      <c r="U2157" s="78">
        <f>IF(NOT(ISNUMBER(G2157)), "", VLOOKUP(A2157,'Discount Lookup'!D:E,2,FALSE)*G2157)</f>
        <v>0</v>
      </c>
      <c r="V2157" s="78">
        <f>IF(NOT(ISNUMBER(G2157)), "", VLOOKUP(A2157,'Discount Lookup'!G:H,2,FALSE)*G2157)</f>
        <v>0</v>
      </c>
      <c r="W2157" s="102">
        <f t="shared" si="1531"/>
        <v>0</v>
      </c>
      <c r="X2157" s="102">
        <f t="shared" si="1532"/>
        <v>0</v>
      </c>
      <c r="Y2157" s="120" t="b">
        <f t="shared" si="1533"/>
        <v>0</v>
      </c>
      <c r="Z2157" s="117">
        <f t="shared" si="1534"/>
        <v>0</v>
      </c>
      <c r="AA2157" s="118"/>
      <c r="AB2157" s="118" t="str">
        <f t="shared" si="1535"/>
        <v/>
      </c>
      <c r="AC2157" s="712" t="str">
        <f>IF(AE2157="T2G","no charge",IF(AND(OR(PlanterYesMe="No",PlanterYesMe="N",PlanterYesMe="me"),H2157=""),"",IF(H2157="credit","NO install",IF(AND(K2157="",AE2157="me"),"EACH row",IF(AND(K2157="images",AE2157="me"),"EACH row",IF(D2157="","",IF(H2157="credit","",IF(AE2157="free","re-planting",IF(AE2157="me","   not ELP, by",IF(AND(OR(PlanterYesMe="Yes",PlanterYesMe="Y"),G2157&gt;0),(VLOOKUP(A2157,'Discount Lookup'!J:K,2)*G2157*(1-PlanterDiscount)*(1+PlanterDifficultyPercentage)),IF(AE2157="ELP",(VLOOKUP(A2157,'Discount Lookup'!J:K,2)*G2157*(1-PlanterDiscount)*(1+PlanterDifficultyPercentage)),IF(AE2157="free","re-planting",IF(G2157=0,"",IF(PlanterYesMe="",IF(AE2157="me","   not ELP, by",IF(AE2157="",IF(G2157&gt;0,(VLOOKUP(A2157,'Discount Lookup'!J:K,2)*G2157*(1-PlanterDiscount)*(1+PlanterDifficultyPercentage)),""),"")),"   not ELP, by"))))))))))))))</f>
        <v/>
      </c>
      <c r="AD2157" s="712"/>
      <c r="AE2157" s="513" t="str">
        <f t="shared" si="1536"/>
        <v/>
      </c>
      <c r="AF2157" s="713" t="str">
        <f t="shared" si="1537"/>
        <v/>
      </c>
      <c r="AG2157" s="713"/>
      <c r="AH2157" s="713"/>
      <c r="AI2157" s="112">
        <f>IF(H2157="credit",0,IF(AE2157="free",0,IF(AE2157="me",0,IF(G2157&gt;0,(VLOOKUP(A2157,'Discount Lookup'!J:K,2)*G2157),0))))</f>
        <v>0</v>
      </c>
      <c r="AJ2157" s="107" t="str">
        <f t="shared" ca="1" si="1538"/>
        <v/>
      </c>
      <c r="AK2157" s="714" t="str">
        <f t="shared" si="1539"/>
        <v/>
      </c>
      <c r="AL2157" s="714"/>
      <c r="AM2157" s="114" t="str">
        <f t="shared" si="1540"/>
        <v/>
      </c>
      <c r="AN2157" s="115"/>
      <c r="AO2157" s="116"/>
      <c r="AP2157" s="116"/>
      <c r="AQ2157" s="116"/>
      <c r="AR2157" s="116"/>
      <c r="AS2157" s="116"/>
      <c r="AT2157" s="116"/>
      <c r="AU2157" s="116"/>
      <c r="AV2157" s="78"/>
      <c r="AW2157" s="102"/>
      <c r="AX2157" s="78"/>
      <c r="AY2157" s="78"/>
      <c r="AZ2157" s="78"/>
      <c r="BA2157" s="78"/>
      <c r="BB2157" s="78"/>
      <c r="BC2157" s="78"/>
      <c r="BD2157" s="78"/>
      <c r="BE2157" s="465"/>
      <c r="BF2157" s="165" t="str">
        <f t="shared" si="1541"/>
        <v>https://www.google.com/search?tbm=isch&amp;q=1%20G5</v>
      </c>
      <c r="BG2157" s="165" t="str">
        <f t="shared" si="1542"/>
        <v>I</v>
      </c>
      <c r="BH2157" s="65"/>
      <c r="BI2157" s="65"/>
      <c r="BJ2157" s="65"/>
      <c r="BK2157" s="65"/>
      <c r="BL2157" s="99"/>
      <c r="BM2157" s="99"/>
      <c r="BN2157" s="99"/>
    </row>
    <row r="2158" spans="1:66" s="51" customFormat="1" ht="15.75" x14ac:dyDescent="0.25">
      <c r="A2158" s="478">
        <v>3</v>
      </c>
      <c r="B2158" s="479" t="s">
        <v>291</v>
      </c>
      <c r="C2158" s="480" t="s">
        <v>2925</v>
      </c>
      <c r="D2158" s="481" t="s">
        <v>309</v>
      </c>
      <c r="E2158" s="482">
        <v>22.95</v>
      </c>
      <c r="F2158" s="483" t="s">
        <v>292</v>
      </c>
      <c r="G2158" s="484">
        <v>0</v>
      </c>
      <c r="H2158" s="688" t="str">
        <f t="shared" si="1568"/>
        <v/>
      </c>
      <c r="I2158" s="485">
        <f t="shared" si="1569"/>
        <v>0</v>
      </c>
      <c r="J2158" s="485">
        <f t="shared" si="1570"/>
        <v>0</v>
      </c>
      <c r="K2158" s="715">
        <f t="shared" ref="K2158" si="1574">I2158+J2158</f>
        <v>0</v>
      </c>
      <c r="L2158" s="715"/>
      <c r="M2158" s="689" t="str">
        <f t="shared" ca="1" si="1572"/>
        <v/>
      </c>
      <c r="N2158" s="690"/>
      <c r="O2158" s="486"/>
      <c r="P2158" s="486"/>
      <c r="Q2158" s="486"/>
      <c r="R2158" s="486"/>
      <c r="S2158" s="486"/>
      <c r="T2158" s="102">
        <f t="shared" si="1530"/>
        <v>0</v>
      </c>
      <c r="U2158" s="78">
        <f>IF(NOT(ISNUMBER(G2158)), "", VLOOKUP(A2158,'Discount Lookup'!D:E,2,FALSE)*G2158)</f>
        <v>0</v>
      </c>
      <c r="V2158" s="78">
        <f>IF(NOT(ISNUMBER(G2158)), "", VLOOKUP(A2158,'Discount Lookup'!G:H,2,FALSE)*G2158)</f>
        <v>0</v>
      </c>
      <c r="W2158" s="102">
        <f t="shared" si="1531"/>
        <v>0</v>
      </c>
      <c r="X2158" s="102">
        <f t="shared" si="1532"/>
        <v>0</v>
      </c>
      <c r="Y2158" s="120" t="b">
        <f t="shared" si="1533"/>
        <v>0</v>
      </c>
      <c r="Z2158" s="117">
        <f t="shared" si="1534"/>
        <v>0</v>
      </c>
      <c r="AA2158" s="118"/>
      <c r="AB2158" s="118" t="str">
        <f t="shared" si="1535"/>
        <v/>
      </c>
      <c r="AC2158" s="712" t="str">
        <f>IF(AE2158="T2G","no charge",IF(AND(OR(PlanterYesMe="No",PlanterYesMe="N",PlanterYesMe="me"),H2158=""),"",IF(H2158="credit","NO install",IF(AND(K2158="",AE2158="me"),"EACH row",IF(AND(K2158="images",AE2158="me"),"EACH row",IF(D2158="","",IF(H2158="credit","",IF(AE2158="free","re-planting",IF(AE2158="me","   not ELP, by",IF(AND(OR(PlanterYesMe="Yes",PlanterYesMe="Y"),G2158&gt;0),(VLOOKUP(A2158,'Discount Lookup'!J:K,2)*G2158*(1-PlanterDiscount)*(1+PlanterDifficultyPercentage)),IF(AE2158="ELP",(VLOOKUP(A2158,'Discount Lookup'!J:K,2)*G2158*(1-PlanterDiscount)*(1+PlanterDifficultyPercentage)),IF(AE2158="free","re-planting",IF(G2158=0,"",IF(PlanterYesMe="",IF(AE2158="me","   not ELP, by",IF(AE2158="",IF(G2158&gt;0,(VLOOKUP(A2158,'Discount Lookup'!J:K,2)*G2158*(1-PlanterDiscount)*(1+PlanterDifficultyPercentage)),""),"")),"   not ELP, by"))))))))))))))</f>
        <v/>
      </c>
      <c r="AD2158" s="712"/>
      <c r="AE2158" s="513" t="str">
        <f t="shared" si="1536"/>
        <v/>
      </c>
      <c r="AF2158" s="713" t="str">
        <f t="shared" si="1537"/>
        <v/>
      </c>
      <c r="AG2158" s="713"/>
      <c r="AH2158" s="713"/>
      <c r="AI2158" s="112">
        <f>IF(H2158="credit",0,IF(AE2158="free",0,IF(AE2158="me",0,IF(G2158&gt;0,(VLOOKUP(A2158,'Discount Lookup'!J:K,2)*G2158),0))))</f>
        <v>0</v>
      </c>
      <c r="AJ2158" s="107" t="str">
        <f t="shared" ca="1" si="1538"/>
        <v/>
      </c>
      <c r="AK2158" s="714" t="str">
        <f t="shared" si="1539"/>
        <v/>
      </c>
      <c r="AL2158" s="714"/>
      <c r="AM2158" s="114" t="str">
        <f t="shared" si="1540"/>
        <v/>
      </c>
      <c r="AN2158" s="115"/>
      <c r="AO2158" s="116"/>
      <c r="AP2158" s="116"/>
      <c r="AQ2158" s="116"/>
      <c r="AR2158" s="116"/>
      <c r="AS2158" s="116"/>
      <c r="AT2158" s="116"/>
      <c r="AU2158" s="116"/>
      <c r="AV2158" s="78"/>
      <c r="AW2158" s="102"/>
      <c r="AX2158" s="78"/>
      <c r="AY2158" s="78"/>
      <c r="AZ2158" s="78"/>
      <c r="BA2158" s="78"/>
      <c r="BB2158" s="78"/>
      <c r="BC2158" s="78"/>
      <c r="BD2158" s="78"/>
      <c r="BE2158" s="465"/>
      <c r="BF2158" s="165" t="str">
        <f t="shared" si="1541"/>
        <v>https://www.google.com/search?tbm=isch&amp;q=3%20G3</v>
      </c>
      <c r="BG2158" s="165" t="str">
        <f t="shared" si="1542"/>
        <v>I</v>
      </c>
      <c r="BH2158" s="65"/>
      <c r="BI2158" s="65"/>
      <c r="BJ2158" s="65"/>
      <c r="BK2158" s="65"/>
      <c r="BL2158" s="99"/>
      <c r="BM2158" s="99"/>
      <c r="BN2158" s="99"/>
    </row>
    <row r="2159" spans="1:66" s="51" customFormat="1" ht="15.75" x14ac:dyDescent="0.25">
      <c r="A2159" s="478">
        <v>3</v>
      </c>
      <c r="B2159" s="479" t="s">
        <v>291</v>
      </c>
      <c r="C2159" s="480" t="s">
        <v>345</v>
      </c>
      <c r="D2159" s="481" t="s">
        <v>310</v>
      </c>
      <c r="E2159" s="482">
        <v>25.95</v>
      </c>
      <c r="F2159" s="483" t="s">
        <v>292</v>
      </c>
      <c r="G2159" s="484">
        <v>0</v>
      </c>
      <c r="H2159" s="688" t="str">
        <f t="shared" si="1568"/>
        <v/>
      </c>
      <c r="I2159" s="485">
        <f t="shared" si="1569"/>
        <v>0</v>
      </c>
      <c r="J2159" s="485">
        <f t="shared" si="1570"/>
        <v>0</v>
      </c>
      <c r="K2159" s="715">
        <f t="shared" ref="K2159" si="1575">I2159+J2159</f>
        <v>0</v>
      </c>
      <c r="L2159" s="715"/>
      <c r="M2159" s="689" t="str">
        <f t="shared" ca="1" si="1572"/>
        <v/>
      </c>
      <c r="N2159" s="690"/>
      <c r="O2159" s="486"/>
      <c r="P2159" s="486"/>
      <c r="Q2159" s="486"/>
      <c r="R2159" s="486"/>
      <c r="S2159" s="486"/>
      <c r="T2159" s="102">
        <f t="shared" si="1530"/>
        <v>0</v>
      </c>
      <c r="U2159" s="78">
        <f>IF(NOT(ISNUMBER(G2159)), "", VLOOKUP(A2159,'Discount Lookup'!D:E,2,FALSE)*G2159)</f>
        <v>0</v>
      </c>
      <c r="V2159" s="78">
        <f>IF(NOT(ISNUMBER(G2159)), "", VLOOKUP(A2159,'Discount Lookup'!G:H,2,FALSE)*G2159)</f>
        <v>0</v>
      </c>
      <c r="W2159" s="102">
        <f t="shared" si="1531"/>
        <v>0</v>
      </c>
      <c r="X2159" s="102">
        <f t="shared" si="1532"/>
        <v>0</v>
      </c>
      <c r="Y2159" s="120" t="b">
        <f t="shared" si="1533"/>
        <v>0</v>
      </c>
      <c r="Z2159" s="117">
        <f t="shared" si="1534"/>
        <v>0</v>
      </c>
      <c r="AA2159" s="118"/>
      <c r="AB2159" s="118" t="str">
        <f t="shared" si="1535"/>
        <v/>
      </c>
      <c r="AC2159" s="712" t="str">
        <f>IF(AE2159="T2G","no charge",IF(AND(OR(PlanterYesMe="No",PlanterYesMe="N",PlanterYesMe="me"),H2159=""),"",IF(H2159="credit","NO install",IF(AND(K2159="",AE2159="me"),"EACH row",IF(AND(K2159="images",AE2159="me"),"EACH row",IF(D2159="","",IF(H2159="credit","",IF(AE2159="free","re-planting",IF(AE2159="me","   not ELP, by",IF(AND(OR(PlanterYesMe="Yes",PlanterYesMe="Y"),G2159&gt;0),(VLOOKUP(A2159,'Discount Lookup'!J:K,2)*G2159*(1-PlanterDiscount)*(1+PlanterDifficultyPercentage)),IF(AE2159="ELP",(VLOOKUP(A2159,'Discount Lookup'!J:K,2)*G2159*(1-PlanterDiscount)*(1+PlanterDifficultyPercentage)),IF(AE2159="free","re-planting",IF(G2159=0,"",IF(PlanterYesMe="",IF(AE2159="me","   not ELP, by",IF(AE2159="",IF(G2159&gt;0,(VLOOKUP(A2159,'Discount Lookup'!J:K,2)*G2159*(1-PlanterDiscount)*(1+PlanterDifficultyPercentage)),""),"")),"   not ELP, by"))))))))))))))</f>
        <v/>
      </c>
      <c r="AD2159" s="712"/>
      <c r="AE2159" s="513" t="str">
        <f t="shared" si="1536"/>
        <v/>
      </c>
      <c r="AF2159" s="713" t="str">
        <f t="shared" si="1537"/>
        <v/>
      </c>
      <c r="AG2159" s="713"/>
      <c r="AH2159" s="713"/>
      <c r="AI2159" s="112">
        <f>IF(H2159="credit",0,IF(AE2159="free",0,IF(AE2159="me",0,IF(G2159&gt;0,(VLOOKUP(A2159,'Discount Lookup'!J:K,2)*G2159),0))))</f>
        <v>0</v>
      </c>
      <c r="AJ2159" s="107" t="str">
        <f t="shared" ca="1" si="1538"/>
        <v/>
      </c>
      <c r="AK2159" s="714" t="str">
        <f t="shared" si="1539"/>
        <v/>
      </c>
      <c r="AL2159" s="714"/>
      <c r="AM2159" s="114" t="str">
        <f t="shared" si="1540"/>
        <v/>
      </c>
      <c r="AN2159" s="115"/>
      <c r="AO2159" s="116"/>
      <c r="AP2159" s="116"/>
      <c r="AQ2159" s="116"/>
      <c r="AR2159" s="116"/>
      <c r="AS2159" s="116"/>
      <c r="AT2159" s="116"/>
      <c r="AU2159" s="116"/>
      <c r="AV2159" s="78"/>
      <c r="AW2159" s="102"/>
      <c r="AX2159" s="78"/>
      <c r="AY2159" s="78"/>
      <c r="AZ2159" s="78"/>
      <c r="BA2159" s="78"/>
      <c r="BB2159" s="78"/>
      <c r="BC2159" s="78"/>
      <c r="BD2159" s="78"/>
      <c r="BE2159" s="465"/>
      <c r="BF2159" s="165" t="str">
        <f t="shared" si="1541"/>
        <v>https://www.google.com/search?tbm=isch&amp;q=3%20G1</v>
      </c>
      <c r="BG2159" s="165" t="str">
        <f t="shared" si="1542"/>
        <v>I</v>
      </c>
      <c r="BH2159" s="65"/>
      <c r="BI2159" s="65"/>
      <c r="BJ2159" s="65"/>
      <c r="BK2159" s="65"/>
      <c r="BL2159" s="99"/>
      <c r="BM2159" s="99"/>
      <c r="BN2159" s="99"/>
    </row>
    <row r="2160" spans="1:66" s="51" customFormat="1" ht="15.75" x14ac:dyDescent="0.25">
      <c r="A2160" s="478">
        <v>3</v>
      </c>
      <c r="B2160" s="479" t="s">
        <v>291</v>
      </c>
      <c r="C2160" s="480" t="s">
        <v>2926</v>
      </c>
      <c r="D2160" s="481" t="s">
        <v>293</v>
      </c>
      <c r="E2160" s="482">
        <v>27.95</v>
      </c>
      <c r="F2160" s="483" t="s">
        <v>292</v>
      </c>
      <c r="G2160" s="484">
        <v>0</v>
      </c>
      <c r="H2160" s="688" t="str">
        <f t="shared" si="1568"/>
        <v/>
      </c>
      <c r="I2160" s="485">
        <f t="shared" si="1569"/>
        <v>0</v>
      </c>
      <c r="J2160" s="485">
        <f t="shared" si="1570"/>
        <v>0</v>
      </c>
      <c r="K2160" s="715">
        <f t="shared" ref="K2160" si="1576">I2160+J2160</f>
        <v>0</v>
      </c>
      <c r="L2160" s="715"/>
      <c r="M2160" s="689" t="str">
        <f t="shared" ca="1" si="1572"/>
        <v/>
      </c>
      <c r="N2160" s="690"/>
      <c r="O2160" s="486"/>
      <c r="P2160" s="486"/>
      <c r="Q2160" s="486"/>
      <c r="R2160" s="486"/>
      <c r="S2160" s="486"/>
      <c r="T2160" s="102">
        <f t="shared" si="1530"/>
        <v>0</v>
      </c>
      <c r="U2160" s="78">
        <f>IF(NOT(ISNUMBER(G2160)), "", VLOOKUP(A2160,'Discount Lookup'!D:E,2,FALSE)*G2160)</f>
        <v>0</v>
      </c>
      <c r="V2160" s="78">
        <f>IF(NOT(ISNUMBER(G2160)), "", VLOOKUP(A2160,'Discount Lookup'!G:H,2,FALSE)*G2160)</f>
        <v>0</v>
      </c>
      <c r="W2160" s="102">
        <f t="shared" si="1531"/>
        <v>0</v>
      </c>
      <c r="X2160" s="102">
        <f t="shared" si="1532"/>
        <v>0</v>
      </c>
      <c r="Y2160" s="120" t="b">
        <f t="shared" si="1533"/>
        <v>0</v>
      </c>
      <c r="Z2160" s="117">
        <f t="shared" si="1534"/>
        <v>0</v>
      </c>
      <c r="AA2160" s="118"/>
      <c r="AB2160" s="118" t="str">
        <f t="shared" si="1535"/>
        <v/>
      </c>
      <c r="AC2160" s="712" t="str">
        <f>IF(AE2160="T2G","no charge",IF(AND(OR(PlanterYesMe="No",PlanterYesMe="N",PlanterYesMe="me"),H2160=""),"",IF(H2160="credit","NO install",IF(AND(K2160="",AE2160="me"),"EACH row",IF(AND(K2160="images",AE2160="me"),"EACH row",IF(D2160="","",IF(H2160="credit","",IF(AE2160="free","re-planting",IF(AE2160="me","   not ELP, by",IF(AND(OR(PlanterYesMe="Yes",PlanterYesMe="Y"),G2160&gt;0),(VLOOKUP(A2160,'Discount Lookup'!J:K,2)*G2160*(1-PlanterDiscount)*(1+PlanterDifficultyPercentage)),IF(AE2160="ELP",(VLOOKUP(A2160,'Discount Lookup'!J:K,2)*G2160*(1-PlanterDiscount)*(1+PlanterDifficultyPercentage)),IF(AE2160="free","re-planting",IF(G2160=0,"",IF(PlanterYesMe="",IF(AE2160="me","   not ELP, by",IF(AE2160="",IF(G2160&gt;0,(VLOOKUP(A2160,'Discount Lookup'!J:K,2)*G2160*(1-PlanterDiscount)*(1+PlanterDifficultyPercentage)),""),"")),"   not ELP, by"))))))))))))))</f>
        <v/>
      </c>
      <c r="AD2160" s="712"/>
      <c r="AE2160" s="513" t="str">
        <f t="shared" si="1536"/>
        <v/>
      </c>
      <c r="AF2160" s="713" t="str">
        <f t="shared" si="1537"/>
        <v/>
      </c>
      <c r="AG2160" s="713"/>
      <c r="AH2160" s="713"/>
      <c r="AI2160" s="112">
        <f>IF(H2160="credit",0,IF(AE2160="free",0,IF(AE2160="me",0,IF(G2160&gt;0,(VLOOKUP(A2160,'Discount Lookup'!J:K,2)*G2160),0))))</f>
        <v>0</v>
      </c>
      <c r="AJ2160" s="107" t="str">
        <f t="shared" ca="1" si="1538"/>
        <v/>
      </c>
      <c r="AK2160" s="714" t="str">
        <f t="shared" si="1539"/>
        <v/>
      </c>
      <c r="AL2160" s="714"/>
      <c r="AM2160" s="114" t="str">
        <f t="shared" si="1540"/>
        <v/>
      </c>
      <c r="AN2160" s="115"/>
      <c r="AO2160" s="116"/>
      <c r="AP2160" s="116"/>
      <c r="AQ2160" s="116"/>
      <c r="AR2160" s="116"/>
      <c r="AS2160" s="116"/>
      <c r="AT2160" s="116"/>
      <c r="AU2160" s="116"/>
      <c r="AV2160" s="78"/>
      <c r="AW2160" s="102"/>
      <c r="AX2160" s="78"/>
      <c r="AY2160" s="78"/>
      <c r="AZ2160" s="78"/>
      <c r="BA2160" s="78"/>
      <c r="BB2160" s="78"/>
      <c r="BC2160" s="78"/>
      <c r="BD2160" s="78"/>
      <c r="BE2160" s="465"/>
      <c r="BF2160" s="165" t="str">
        <f t="shared" si="1541"/>
        <v>https://www.google.com/search?tbm=isch&amp;q=3%20G6</v>
      </c>
      <c r="BG2160" s="165" t="str">
        <f t="shared" si="1542"/>
        <v>I</v>
      </c>
      <c r="BH2160" s="65"/>
      <c r="BI2160" s="65"/>
      <c r="BJ2160" s="65"/>
      <c r="BK2160" s="65"/>
      <c r="BL2160" s="99"/>
      <c r="BM2160" s="99"/>
      <c r="BN2160" s="99"/>
    </row>
    <row r="2161" spans="1:66" s="51" customFormat="1" ht="15.75" x14ac:dyDescent="0.25">
      <c r="A2161" s="478">
        <v>5</v>
      </c>
      <c r="B2161" s="479" t="s">
        <v>291</v>
      </c>
      <c r="C2161" s="480" t="s">
        <v>2927</v>
      </c>
      <c r="D2161" s="481" t="s">
        <v>311</v>
      </c>
      <c r="E2161" s="482">
        <v>40.950000000000003</v>
      </c>
      <c r="F2161" s="483" t="s">
        <v>292</v>
      </c>
      <c r="G2161" s="484">
        <v>0</v>
      </c>
      <c r="H2161" s="688" t="str">
        <f t="shared" si="1568"/>
        <v/>
      </c>
      <c r="I2161" s="485">
        <f t="shared" si="1569"/>
        <v>0</v>
      </c>
      <c r="J2161" s="485">
        <f t="shared" si="1570"/>
        <v>0</v>
      </c>
      <c r="K2161" s="715">
        <f t="shared" ref="K2161" si="1577">I2161+J2161</f>
        <v>0</v>
      </c>
      <c r="L2161" s="715"/>
      <c r="M2161" s="689" t="str">
        <f t="shared" ca="1" si="1572"/>
        <v/>
      </c>
      <c r="N2161" s="690"/>
      <c r="O2161" s="486"/>
      <c r="P2161" s="486"/>
      <c r="Q2161" s="486"/>
      <c r="R2161" s="486"/>
      <c r="S2161" s="486"/>
      <c r="T2161" s="102">
        <f t="shared" si="1530"/>
        <v>0</v>
      </c>
      <c r="U2161" s="78">
        <f>IF(NOT(ISNUMBER(G2161)), "", VLOOKUP(A2161,'Discount Lookup'!D:E,2,FALSE)*G2161)</f>
        <v>0</v>
      </c>
      <c r="V2161" s="78">
        <f>IF(NOT(ISNUMBER(G2161)), "", VLOOKUP(A2161,'Discount Lookup'!G:H,2,FALSE)*G2161)</f>
        <v>0</v>
      </c>
      <c r="W2161" s="102">
        <f t="shared" si="1531"/>
        <v>0</v>
      </c>
      <c r="X2161" s="102">
        <f t="shared" si="1532"/>
        <v>0</v>
      </c>
      <c r="Y2161" s="120" t="b">
        <f t="shared" si="1533"/>
        <v>0</v>
      </c>
      <c r="Z2161" s="117">
        <f t="shared" si="1534"/>
        <v>0</v>
      </c>
      <c r="AA2161" s="118"/>
      <c r="AB2161" s="118" t="str">
        <f t="shared" si="1535"/>
        <v/>
      </c>
      <c r="AC2161" s="712" t="str">
        <f>IF(AE2161="T2G","no charge",IF(AND(OR(PlanterYesMe="No",PlanterYesMe="N",PlanterYesMe="me"),H2161=""),"",IF(H2161="credit","NO install",IF(AND(K2161="",AE2161="me"),"EACH row",IF(AND(K2161="images",AE2161="me"),"EACH row",IF(D2161="","",IF(H2161="credit","",IF(AE2161="free","re-planting",IF(AE2161="me","   not ELP, by",IF(AND(OR(PlanterYesMe="Yes",PlanterYesMe="Y"),G2161&gt;0),(VLOOKUP(A2161,'Discount Lookup'!J:K,2)*G2161*(1-PlanterDiscount)*(1+PlanterDifficultyPercentage)),IF(AE2161="ELP",(VLOOKUP(A2161,'Discount Lookup'!J:K,2)*G2161*(1-PlanterDiscount)*(1+PlanterDifficultyPercentage)),IF(AE2161="free","re-planting",IF(G2161=0,"",IF(PlanterYesMe="",IF(AE2161="me","   not ELP, by",IF(AE2161="",IF(G2161&gt;0,(VLOOKUP(A2161,'Discount Lookup'!J:K,2)*G2161*(1-PlanterDiscount)*(1+PlanterDifficultyPercentage)),""),"")),"   not ELP, by"))))))))))))))</f>
        <v/>
      </c>
      <c r="AD2161" s="712"/>
      <c r="AE2161" s="513" t="str">
        <f t="shared" si="1536"/>
        <v/>
      </c>
      <c r="AF2161" s="713" t="str">
        <f t="shared" si="1537"/>
        <v/>
      </c>
      <c r="AG2161" s="713"/>
      <c r="AH2161" s="713"/>
      <c r="AI2161" s="112">
        <f>IF(H2161="credit",0,IF(AE2161="free",0,IF(AE2161="me",0,IF(G2161&gt;0,(VLOOKUP(A2161,'Discount Lookup'!J:K,2)*G2161),0))))</f>
        <v>0</v>
      </c>
      <c r="AJ2161" s="107" t="str">
        <f t="shared" ca="1" si="1538"/>
        <v/>
      </c>
      <c r="AK2161" s="714" t="str">
        <f t="shared" si="1539"/>
        <v/>
      </c>
      <c r="AL2161" s="714"/>
      <c r="AM2161" s="114" t="str">
        <f t="shared" si="1540"/>
        <v/>
      </c>
      <c r="AN2161" s="115"/>
      <c r="AO2161" s="116"/>
      <c r="AP2161" s="116"/>
      <c r="AQ2161" s="116"/>
      <c r="AR2161" s="116"/>
      <c r="AS2161" s="116"/>
      <c r="AT2161" s="116"/>
      <c r="AU2161" s="116"/>
      <c r="AV2161" s="78"/>
      <c r="AW2161" s="102"/>
      <c r="AX2161" s="78"/>
      <c r="AY2161" s="78"/>
      <c r="AZ2161" s="78"/>
      <c r="BA2161" s="78"/>
      <c r="BB2161" s="78"/>
      <c r="BC2161" s="78"/>
      <c r="BD2161" s="78"/>
      <c r="BE2161" s="465"/>
      <c r="BF2161" s="165" t="str">
        <f t="shared" si="1541"/>
        <v>https://www.google.com/search?tbm=isch&amp;q=5%20G5</v>
      </c>
      <c r="BG2161" s="165" t="str">
        <f t="shared" si="1542"/>
        <v>I</v>
      </c>
      <c r="BH2161" s="65"/>
      <c r="BI2161" s="65"/>
      <c r="BJ2161" s="65"/>
      <c r="BK2161" s="65"/>
      <c r="BL2161" s="99"/>
      <c r="BM2161" s="99"/>
      <c r="BN2161" s="99"/>
    </row>
    <row r="2162" spans="1:66" s="51" customFormat="1" ht="15.75" x14ac:dyDescent="0.25">
      <c r="A2162" s="478">
        <v>5</v>
      </c>
      <c r="B2162" s="479" t="s">
        <v>291</v>
      </c>
      <c r="C2162" s="480" t="s">
        <v>2928</v>
      </c>
      <c r="D2162" s="481" t="s">
        <v>309</v>
      </c>
      <c r="E2162" s="482">
        <v>41.95</v>
      </c>
      <c r="F2162" s="483" t="s">
        <v>292</v>
      </c>
      <c r="G2162" s="484">
        <v>0</v>
      </c>
      <c r="H2162" s="688" t="str">
        <f t="shared" si="1568"/>
        <v/>
      </c>
      <c r="I2162" s="485">
        <f t="shared" si="1569"/>
        <v>0</v>
      </c>
      <c r="J2162" s="485">
        <f t="shared" si="1570"/>
        <v>0</v>
      </c>
      <c r="K2162" s="715">
        <f t="shared" ref="K2162" si="1578">I2162+J2162</f>
        <v>0</v>
      </c>
      <c r="L2162" s="715"/>
      <c r="M2162" s="689" t="str">
        <f t="shared" ca="1" si="1572"/>
        <v/>
      </c>
      <c r="N2162" s="690"/>
      <c r="O2162" s="486"/>
      <c r="P2162" s="486"/>
      <c r="Q2162" s="486"/>
      <c r="R2162" s="486"/>
      <c r="S2162" s="486"/>
      <c r="T2162" s="102">
        <f t="shared" si="1530"/>
        <v>0</v>
      </c>
      <c r="U2162" s="78">
        <f>IF(NOT(ISNUMBER(G2162)), "", VLOOKUP(A2162,'Discount Lookup'!D:E,2,FALSE)*G2162)</f>
        <v>0</v>
      </c>
      <c r="V2162" s="78">
        <f>IF(NOT(ISNUMBER(G2162)), "", VLOOKUP(A2162,'Discount Lookup'!G:H,2,FALSE)*G2162)</f>
        <v>0</v>
      </c>
      <c r="W2162" s="102">
        <f t="shared" si="1531"/>
        <v>0</v>
      </c>
      <c r="X2162" s="102">
        <f t="shared" si="1532"/>
        <v>0</v>
      </c>
      <c r="Y2162" s="120" t="b">
        <f t="shared" si="1533"/>
        <v>0</v>
      </c>
      <c r="Z2162" s="117">
        <f t="shared" si="1534"/>
        <v>0</v>
      </c>
      <c r="AA2162" s="118"/>
      <c r="AB2162" s="118" t="str">
        <f t="shared" si="1535"/>
        <v/>
      </c>
      <c r="AC2162" s="712" t="str">
        <f>IF(AE2162="T2G","no charge",IF(AND(OR(PlanterYesMe="No",PlanterYesMe="N",PlanterYesMe="me"),H2162=""),"",IF(H2162="credit","NO install",IF(AND(K2162="",AE2162="me"),"EACH row",IF(AND(K2162="images",AE2162="me"),"EACH row",IF(D2162="","",IF(H2162="credit","",IF(AE2162="free","re-planting",IF(AE2162="me","   not ELP, by",IF(AND(OR(PlanterYesMe="Yes",PlanterYesMe="Y"),G2162&gt;0),(VLOOKUP(A2162,'Discount Lookup'!J:K,2)*G2162*(1-PlanterDiscount)*(1+PlanterDifficultyPercentage)),IF(AE2162="ELP",(VLOOKUP(A2162,'Discount Lookup'!J:K,2)*G2162*(1-PlanterDiscount)*(1+PlanterDifficultyPercentage)),IF(AE2162="free","re-planting",IF(G2162=0,"",IF(PlanterYesMe="",IF(AE2162="me","   not ELP, by",IF(AE2162="",IF(G2162&gt;0,(VLOOKUP(A2162,'Discount Lookup'!J:K,2)*G2162*(1-PlanterDiscount)*(1+PlanterDifficultyPercentage)),""),"")),"   not ELP, by"))))))))))))))</f>
        <v/>
      </c>
      <c r="AD2162" s="712"/>
      <c r="AE2162" s="513" t="str">
        <f t="shared" si="1536"/>
        <v/>
      </c>
      <c r="AF2162" s="713" t="str">
        <f t="shared" si="1537"/>
        <v/>
      </c>
      <c r="AG2162" s="713"/>
      <c r="AH2162" s="713"/>
      <c r="AI2162" s="112">
        <f>IF(H2162="credit",0,IF(AE2162="free",0,IF(AE2162="me",0,IF(G2162&gt;0,(VLOOKUP(A2162,'Discount Lookup'!J:K,2)*G2162),0))))</f>
        <v>0</v>
      </c>
      <c r="AJ2162" s="107" t="str">
        <f t="shared" ca="1" si="1538"/>
        <v/>
      </c>
      <c r="AK2162" s="714" t="str">
        <f t="shared" si="1539"/>
        <v/>
      </c>
      <c r="AL2162" s="714"/>
      <c r="AM2162" s="114" t="str">
        <f t="shared" si="1540"/>
        <v/>
      </c>
      <c r="AN2162" s="115"/>
      <c r="AO2162" s="116"/>
      <c r="AP2162" s="116"/>
      <c r="AQ2162" s="116"/>
      <c r="AR2162" s="116"/>
      <c r="AS2162" s="116"/>
      <c r="AT2162" s="116"/>
      <c r="AU2162" s="116"/>
      <c r="AV2162" s="78"/>
      <c r="AW2162" s="102"/>
      <c r="AX2162" s="78"/>
      <c r="AY2162" s="78"/>
      <c r="AZ2162" s="78"/>
      <c r="BA2162" s="78"/>
      <c r="BB2162" s="78"/>
      <c r="BC2162" s="78"/>
      <c r="BD2162" s="78"/>
      <c r="BE2162" s="465"/>
      <c r="BF2162" s="165" t="str">
        <f t="shared" si="1541"/>
        <v>https://www.google.com/search?tbm=isch&amp;q=5%20G3</v>
      </c>
      <c r="BG2162" s="165" t="str">
        <f t="shared" si="1542"/>
        <v>I</v>
      </c>
      <c r="BH2162" s="65"/>
      <c r="BI2162" s="65"/>
      <c r="BJ2162" s="65"/>
      <c r="BK2162" s="65"/>
      <c r="BL2162" s="99"/>
      <c r="BM2162" s="99"/>
      <c r="BN2162" s="99"/>
    </row>
    <row r="2163" spans="1:66" s="51" customFormat="1" ht="15.75" x14ac:dyDescent="0.25">
      <c r="A2163" s="478">
        <v>7</v>
      </c>
      <c r="B2163" s="479" t="s">
        <v>291</v>
      </c>
      <c r="C2163" s="480" t="s">
        <v>2929</v>
      </c>
      <c r="D2163" s="481" t="s">
        <v>311</v>
      </c>
      <c r="E2163" s="482">
        <v>56.95</v>
      </c>
      <c r="F2163" s="483" t="s">
        <v>292</v>
      </c>
      <c r="G2163" s="484">
        <v>0</v>
      </c>
      <c r="H2163" s="688" t="str">
        <f t="shared" si="1568"/>
        <v/>
      </c>
      <c r="I2163" s="485">
        <f t="shared" si="1569"/>
        <v>0</v>
      </c>
      <c r="J2163" s="485">
        <f t="shared" si="1570"/>
        <v>0</v>
      </c>
      <c r="K2163" s="715">
        <f t="shared" ref="K2163" si="1579">I2163+J2163</f>
        <v>0</v>
      </c>
      <c r="L2163" s="715"/>
      <c r="M2163" s="689" t="str">
        <f t="shared" ca="1" si="1572"/>
        <v/>
      </c>
      <c r="N2163" s="690"/>
      <c r="O2163" s="486"/>
      <c r="P2163" s="486"/>
      <c r="Q2163" s="486"/>
      <c r="R2163" s="486"/>
      <c r="S2163" s="486"/>
      <c r="T2163" s="102">
        <f t="shared" si="1530"/>
        <v>0</v>
      </c>
      <c r="U2163" s="78">
        <f>IF(NOT(ISNUMBER(G2163)), "", VLOOKUP(A2163,'Discount Lookup'!D:E,2,FALSE)*G2163)</f>
        <v>0</v>
      </c>
      <c r="V2163" s="78">
        <f>IF(NOT(ISNUMBER(G2163)), "", VLOOKUP(A2163,'Discount Lookup'!G:H,2,FALSE)*G2163)</f>
        <v>0</v>
      </c>
      <c r="W2163" s="102">
        <f t="shared" si="1531"/>
        <v>0</v>
      </c>
      <c r="X2163" s="102">
        <f t="shared" si="1532"/>
        <v>0</v>
      </c>
      <c r="Y2163" s="120" t="b">
        <f t="shared" si="1533"/>
        <v>0</v>
      </c>
      <c r="Z2163" s="117">
        <f t="shared" si="1534"/>
        <v>0</v>
      </c>
      <c r="AA2163" s="118"/>
      <c r="AB2163" s="118" t="str">
        <f t="shared" si="1535"/>
        <v/>
      </c>
      <c r="AC2163" s="712" t="str">
        <f>IF(AE2163="T2G","no charge",IF(AND(OR(PlanterYesMe="No",PlanterYesMe="N",PlanterYesMe="me"),H2163=""),"",IF(H2163="credit","NO install",IF(AND(K2163="",AE2163="me"),"EACH row",IF(AND(K2163="images",AE2163="me"),"EACH row",IF(D2163="","",IF(H2163="credit","",IF(AE2163="free","re-planting",IF(AE2163="me","   not ELP, by",IF(AND(OR(PlanterYesMe="Yes",PlanterYesMe="Y"),G2163&gt;0),(VLOOKUP(A2163,'Discount Lookup'!J:K,2)*G2163*(1-PlanterDiscount)*(1+PlanterDifficultyPercentage)),IF(AE2163="ELP",(VLOOKUP(A2163,'Discount Lookup'!J:K,2)*G2163*(1-PlanterDiscount)*(1+PlanterDifficultyPercentage)),IF(AE2163="free","re-planting",IF(G2163=0,"",IF(PlanterYesMe="",IF(AE2163="me","   not ELP, by",IF(AE2163="",IF(G2163&gt;0,(VLOOKUP(A2163,'Discount Lookup'!J:K,2)*G2163*(1-PlanterDiscount)*(1+PlanterDifficultyPercentage)),""),"")),"   not ELP, by"))))))))))))))</f>
        <v/>
      </c>
      <c r="AD2163" s="712"/>
      <c r="AE2163" s="513" t="str">
        <f t="shared" si="1536"/>
        <v/>
      </c>
      <c r="AF2163" s="713" t="str">
        <f t="shared" si="1537"/>
        <v/>
      </c>
      <c r="AG2163" s="713"/>
      <c r="AH2163" s="713"/>
      <c r="AI2163" s="112">
        <f>IF(H2163="credit",0,IF(AE2163="free",0,IF(AE2163="me",0,IF(G2163&gt;0,(VLOOKUP(A2163,'Discount Lookup'!J:K,2)*G2163),0))))</f>
        <v>0</v>
      </c>
      <c r="AJ2163" s="107" t="str">
        <f t="shared" ca="1" si="1538"/>
        <v/>
      </c>
      <c r="AK2163" s="714" t="str">
        <f t="shared" si="1539"/>
        <v/>
      </c>
      <c r="AL2163" s="714"/>
      <c r="AM2163" s="114" t="str">
        <f t="shared" si="1540"/>
        <v/>
      </c>
      <c r="AN2163" s="115"/>
      <c r="AO2163" s="116"/>
      <c r="AP2163" s="116"/>
      <c r="AQ2163" s="116"/>
      <c r="AR2163" s="116"/>
      <c r="AS2163" s="116"/>
      <c r="AT2163" s="116"/>
      <c r="AU2163" s="116"/>
      <c r="AV2163" s="78"/>
      <c r="AW2163" s="102"/>
      <c r="AX2163" s="78"/>
      <c r="AY2163" s="78"/>
      <c r="AZ2163" s="78"/>
      <c r="BA2163" s="78"/>
      <c r="BB2163" s="78"/>
      <c r="BC2163" s="78"/>
      <c r="BD2163" s="78"/>
      <c r="BE2163" s="465"/>
      <c r="BF2163" s="165" t="str">
        <f t="shared" si="1541"/>
        <v>https://www.google.com/search?tbm=isch&amp;q=7%20G5</v>
      </c>
      <c r="BG2163" s="165" t="str">
        <f t="shared" si="1542"/>
        <v>I</v>
      </c>
      <c r="BH2163" s="65"/>
      <c r="BI2163" s="65"/>
      <c r="BJ2163" s="65"/>
      <c r="BK2163" s="65"/>
      <c r="BL2163" s="99"/>
      <c r="BM2163" s="99"/>
      <c r="BN2163" s="99"/>
    </row>
    <row r="2164" spans="1:66" s="51" customFormat="1" ht="27" x14ac:dyDescent="0.25">
      <c r="A2164" s="478">
        <v>10</v>
      </c>
      <c r="B2164" s="479" t="s">
        <v>291</v>
      </c>
      <c r="C2164" s="480" t="s">
        <v>2930</v>
      </c>
      <c r="D2164" s="481" t="s">
        <v>309</v>
      </c>
      <c r="E2164" s="482">
        <v>83.95</v>
      </c>
      <c r="F2164" s="483" t="s">
        <v>292</v>
      </c>
      <c r="G2164" s="484">
        <v>0</v>
      </c>
      <c r="H2164" s="688" t="str">
        <f t="shared" si="1568"/>
        <v/>
      </c>
      <c r="I2164" s="485">
        <f t="shared" si="1569"/>
        <v>0</v>
      </c>
      <c r="J2164" s="485">
        <f t="shared" si="1570"/>
        <v>0</v>
      </c>
      <c r="K2164" s="715">
        <f t="shared" ref="K2164" si="1580">I2164+J2164</f>
        <v>0</v>
      </c>
      <c r="L2164" s="715"/>
      <c r="M2164" s="689" t="str">
        <f t="shared" ca="1" si="1572"/>
        <v/>
      </c>
      <c r="N2164" s="690"/>
      <c r="O2164" s="486"/>
      <c r="P2164" s="486"/>
      <c r="Q2164" s="486"/>
      <c r="R2164" s="486"/>
      <c r="S2164" s="486"/>
      <c r="T2164" s="102">
        <f t="shared" si="1530"/>
        <v>0</v>
      </c>
      <c r="U2164" s="78">
        <f>IF(NOT(ISNUMBER(G2164)), "", VLOOKUP(A2164,'Discount Lookup'!D:E,2,FALSE)*G2164)</f>
        <v>0</v>
      </c>
      <c r="V2164" s="78">
        <f>IF(NOT(ISNUMBER(G2164)), "", VLOOKUP(A2164,'Discount Lookup'!G:H,2,FALSE)*G2164)</f>
        <v>0</v>
      </c>
      <c r="W2164" s="102">
        <f t="shared" si="1531"/>
        <v>0</v>
      </c>
      <c r="X2164" s="102">
        <f t="shared" si="1532"/>
        <v>0</v>
      </c>
      <c r="Y2164" s="120" t="b">
        <f t="shared" si="1533"/>
        <v>0</v>
      </c>
      <c r="Z2164" s="117">
        <f t="shared" si="1534"/>
        <v>0</v>
      </c>
      <c r="AA2164" s="118"/>
      <c r="AB2164" s="118" t="str">
        <f t="shared" si="1535"/>
        <v/>
      </c>
      <c r="AC2164" s="712" t="str">
        <f>IF(AE2164="T2G","no charge",IF(AND(OR(PlanterYesMe="No",PlanterYesMe="N",PlanterYesMe="me"),H2164=""),"",IF(H2164="credit","NO install",IF(AND(K2164="",AE2164="me"),"EACH row",IF(AND(K2164="images",AE2164="me"),"EACH row",IF(D2164="","",IF(H2164="credit","",IF(AE2164="free","re-planting",IF(AE2164="me","   not ELP, by",IF(AND(OR(PlanterYesMe="Yes",PlanterYesMe="Y"),G2164&gt;0),(VLOOKUP(A2164,'Discount Lookup'!J:K,2)*G2164*(1-PlanterDiscount)*(1+PlanterDifficultyPercentage)),IF(AE2164="ELP",(VLOOKUP(A2164,'Discount Lookup'!J:K,2)*G2164*(1-PlanterDiscount)*(1+PlanterDifficultyPercentage)),IF(AE2164="free","re-planting",IF(G2164=0,"",IF(PlanterYesMe="",IF(AE2164="me","   not ELP, by",IF(AE2164="",IF(G2164&gt;0,(VLOOKUP(A2164,'Discount Lookup'!J:K,2)*G2164*(1-PlanterDiscount)*(1+PlanterDifficultyPercentage)),""),"")),"   not ELP, by"))))))))))))))</f>
        <v/>
      </c>
      <c r="AD2164" s="712"/>
      <c r="AE2164" s="513" t="str">
        <f t="shared" si="1536"/>
        <v/>
      </c>
      <c r="AF2164" s="713" t="str">
        <f t="shared" si="1537"/>
        <v/>
      </c>
      <c r="AG2164" s="713"/>
      <c r="AH2164" s="713"/>
      <c r="AI2164" s="112">
        <f>IF(H2164="credit",0,IF(AE2164="free",0,IF(AE2164="me",0,IF(G2164&gt;0,(VLOOKUP(A2164,'Discount Lookup'!J:K,2)*G2164),0))))</f>
        <v>0</v>
      </c>
      <c r="AJ2164" s="107" t="str">
        <f t="shared" ca="1" si="1538"/>
        <v/>
      </c>
      <c r="AK2164" s="714" t="str">
        <f t="shared" si="1539"/>
        <v/>
      </c>
      <c r="AL2164" s="714"/>
      <c r="AM2164" s="114" t="str">
        <f t="shared" si="1540"/>
        <v/>
      </c>
      <c r="AN2164" s="115"/>
      <c r="AO2164" s="116"/>
      <c r="AP2164" s="116"/>
      <c r="AQ2164" s="116"/>
      <c r="AR2164" s="116"/>
      <c r="AS2164" s="116"/>
      <c r="AT2164" s="116"/>
      <c r="AU2164" s="116"/>
      <c r="AV2164" s="78"/>
      <c r="AW2164" s="102"/>
      <c r="AX2164" s="78"/>
      <c r="AY2164" s="78"/>
      <c r="AZ2164" s="78"/>
      <c r="BA2164" s="78"/>
      <c r="BB2164" s="78"/>
      <c r="BC2164" s="78"/>
      <c r="BD2164" s="78"/>
      <c r="BE2164" s="465"/>
      <c r="BF2164" s="165" t="str">
        <f t="shared" si="1541"/>
        <v>https://www.google.com/search?tbm=isch&amp;q=10%20G3</v>
      </c>
      <c r="BG2164" s="165" t="str">
        <f t="shared" si="1542"/>
        <v>I</v>
      </c>
      <c r="BH2164" s="65"/>
      <c r="BI2164" s="65"/>
      <c r="BJ2164" s="65"/>
      <c r="BK2164" s="65"/>
      <c r="BL2164" s="99"/>
      <c r="BM2164" s="99"/>
      <c r="BN2164" s="99"/>
    </row>
    <row r="2165" spans="1:66" s="51" customFormat="1" ht="16.5" thickBot="1" x14ac:dyDescent="0.3">
      <c r="A2165" s="508" t="s">
        <v>2931</v>
      </c>
      <c r="B2165" s="487"/>
      <c r="C2165" s="707"/>
      <c r="D2165" s="487"/>
      <c r="E2165" s="487"/>
      <c r="F2165" s="488"/>
      <c r="G2165" s="489"/>
      <c r="H2165" s="487"/>
      <c r="I2165" s="490"/>
      <c r="J2165" s="490"/>
      <c r="K2165" s="491"/>
      <c r="L2165" s="547"/>
      <c r="M2165" s="528"/>
      <c r="N2165" s="492"/>
      <c r="O2165" s="493"/>
      <c r="P2165" s="494"/>
      <c r="Q2165" s="492"/>
      <c r="R2165" s="492"/>
      <c r="S2165" s="699" t="s">
        <v>5259</v>
      </c>
      <c r="T2165" s="102">
        <f t="shared" si="1530"/>
        <v>0</v>
      </c>
      <c r="U2165" s="78" t="str">
        <f>IF(NOT(ISNUMBER(G2165)), "", VLOOKUP(A2165,'Discount Lookup'!D:E,2,FALSE)*G2165)</f>
        <v/>
      </c>
      <c r="V2165" s="78" t="str">
        <f>IF(NOT(ISNUMBER(G2165)), "", VLOOKUP(A2165,'Discount Lookup'!G:H,2,FALSE)*G2165)</f>
        <v/>
      </c>
      <c r="W2165" s="102">
        <f t="shared" si="1531"/>
        <v>0</v>
      </c>
      <c r="X2165" s="102">
        <f t="shared" si="1532"/>
        <v>0</v>
      </c>
      <c r="Y2165" s="120" t="b">
        <f t="shared" si="1533"/>
        <v>0</v>
      </c>
      <c r="Z2165" s="117">
        <f t="shared" si="1534"/>
        <v>0</v>
      </c>
      <c r="AA2165" s="118"/>
      <c r="AB2165" s="118" t="str">
        <f t="shared" si="1535"/>
        <v/>
      </c>
      <c r="AC2165" s="712" t="str">
        <f>IF(AE2165="T2G","no charge",IF(AND(OR(PlanterYesMe="No",PlanterYesMe="N",PlanterYesMe="me"),H2165=""),"",IF(H2165="credit","NO install",IF(AND(K2165="",AE2165="me"),"EACH row",IF(AND(K2165="images",AE2165="me"),"EACH row",IF(D2165="","",IF(H2165="credit","",IF(AE2165="free","re-planting",IF(AE2165="me","   not ELP, by",IF(AND(OR(PlanterYesMe="Yes",PlanterYesMe="Y"),G2165&gt;0),(VLOOKUP(A2165,'Discount Lookup'!J:K,2)*G2165*(1-PlanterDiscount)*(1+PlanterDifficultyPercentage)),IF(AE2165="ELP",(VLOOKUP(A2165,'Discount Lookup'!J:K,2)*G2165*(1-PlanterDiscount)*(1+PlanterDifficultyPercentage)),IF(AE2165="free","re-planting",IF(G2165=0,"",IF(PlanterYesMe="",IF(AE2165="me","   not ELP, by",IF(AE2165="",IF(G2165&gt;0,(VLOOKUP(A2165,'Discount Lookup'!J:K,2)*G2165*(1-PlanterDiscount)*(1+PlanterDifficultyPercentage)),""),"")),"   not ELP, by"))))))))))))))</f>
        <v/>
      </c>
      <c r="AD2165" s="712"/>
      <c r="AE2165" s="513" t="str">
        <f t="shared" si="1536"/>
        <v/>
      </c>
      <c r="AF2165" s="713" t="str">
        <f t="shared" si="1537"/>
        <v/>
      </c>
      <c r="AG2165" s="713"/>
      <c r="AH2165" s="713"/>
      <c r="AI2165" s="112">
        <f>IF(H2165="credit",0,IF(AE2165="free",0,IF(AE2165="me",0,IF(G2165&gt;0,(VLOOKUP(A2165,'Discount Lookup'!J:K,2)*G2165),0))))</f>
        <v>0</v>
      </c>
      <c r="AJ2165" s="107" t="str">
        <f t="shared" ca="1" si="1538"/>
        <v/>
      </c>
      <c r="AK2165" s="714" t="str">
        <f t="shared" si="1539"/>
        <v/>
      </c>
      <c r="AL2165" s="714"/>
      <c r="AM2165" s="114" t="str">
        <f t="shared" si="1540"/>
        <v/>
      </c>
      <c r="AN2165" s="115"/>
      <c r="AO2165" s="116"/>
      <c r="AP2165" s="116"/>
      <c r="AQ2165" s="116"/>
      <c r="AR2165" s="116"/>
      <c r="AS2165" s="116"/>
      <c r="AT2165" s="116"/>
      <c r="AU2165" s="116"/>
      <c r="AV2165" s="78"/>
      <c r="AW2165" s="102"/>
      <c r="AX2165" s="78"/>
      <c r="AY2165" s="78"/>
      <c r="AZ2165" s="78"/>
      <c r="BA2165" s="78"/>
      <c r="BB2165" s="78"/>
      <c r="BC2165" s="78"/>
      <c r="BD2165" s="78"/>
      <c r="BE2165" s="465"/>
      <c r="BF2165" s="165" t="str">
        <f t="shared" si="1541"/>
        <v>https://www.google.com/search?tbm=isch&amp;q=Compacta%20is%20optimal%20in%20full%20sun%2C%20as%20a%20hedge%20or%20foundation%20plant.%20Good%20substitute%20for%20Boxwood%20</v>
      </c>
      <c r="BG2165" s="165" t="str">
        <f t="shared" si="1542"/>
        <v>C</v>
      </c>
      <c r="BH2165" s="65"/>
      <c r="BI2165" s="65"/>
      <c r="BJ2165" s="65"/>
      <c r="BK2165" s="65"/>
      <c r="BL2165" s="99"/>
      <c r="BM2165" s="99"/>
      <c r="BN2165" s="99"/>
    </row>
    <row r="2166" spans="1:66" s="51" customFormat="1" ht="18" x14ac:dyDescent="0.25">
      <c r="A2166" s="507" t="s">
        <v>2932</v>
      </c>
      <c r="B2166" s="470"/>
      <c r="C2166" s="706"/>
      <c r="D2166" s="471" t="s">
        <v>2933</v>
      </c>
      <c r="E2166" s="472"/>
      <c r="F2166" s="472"/>
      <c r="G2166" s="472"/>
      <c r="H2166" s="622" t="s">
        <v>2396</v>
      </c>
      <c r="I2166" s="473" t="s">
        <v>2934</v>
      </c>
      <c r="J2166" s="472"/>
      <c r="K2166" s="472"/>
      <c r="L2166" s="561"/>
      <c r="M2166" s="698" t="s">
        <v>5246</v>
      </c>
      <c r="N2166" s="692" t="str">
        <f>IF(AND(ISTEXT($A2166), ISERROR($A2166+0)), HYPERLINK($BF2166, "Images"), "")</f>
        <v>Images</v>
      </c>
      <c r="O2166" s="694" t="s">
        <v>5244</v>
      </c>
      <c r="P2166" s="475"/>
      <c r="Q2166" s="476"/>
      <c r="R2166" s="476"/>
      <c r="S2166" s="477"/>
      <c r="T2166" s="102">
        <f t="shared" si="1530"/>
        <v>0</v>
      </c>
      <c r="U2166" s="78" t="str">
        <f>IF(NOT(ISNUMBER(G2166)), "", VLOOKUP(A2166,'Discount Lookup'!D:E,2,FALSE)*G2166)</f>
        <v/>
      </c>
      <c r="V2166" s="78" t="str">
        <f>IF(NOT(ISNUMBER(G2166)), "", VLOOKUP(A2166,'Discount Lookup'!G:H,2,FALSE)*G2166)</f>
        <v/>
      </c>
      <c r="W2166" s="102">
        <f t="shared" si="1531"/>
        <v>0</v>
      </c>
      <c r="X2166" s="102" t="str">
        <f t="shared" si="1532"/>
        <v>Yellow+Green foliage</v>
      </c>
      <c r="Y2166" s="120" t="b">
        <f t="shared" si="1533"/>
        <v>0</v>
      </c>
      <c r="Z2166" s="117">
        <f t="shared" si="1534"/>
        <v>0</v>
      </c>
      <c r="AA2166" s="118"/>
      <c r="AB2166" s="118" t="str">
        <f t="shared" si="1535"/>
        <v/>
      </c>
      <c r="AC2166" s="712" t="str">
        <f>IF(AE2166="T2G","no charge",IF(AND(OR(PlanterYesMe="No",PlanterYesMe="N",PlanterYesMe="me"),H2166=""),"",IF(H2166="credit","NO install",IF(AND(K2166="",AE2166="me"),"EACH row",IF(AND(K2166="images",AE2166="me"),"EACH row",IF(D2166="","",IF(H2166="credit","",IF(AE2166="free","re-planting",IF(AE2166="me","   not ELP, by",IF(AND(OR(PlanterYesMe="Yes",PlanterYesMe="Y"),G2166&gt;0),(VLOOKUP(A2166,'Discount Lookup'!J:K,2)*G2166*(1-PlanterDiscount)*(1+PlanterDifficultyPercentage)),IF(AE2166="ELP",(VLOOKUP(A2166,'Discount Lookup'!J:K,2)*G2166*(1-PlanterDiscount)*(1+PlanterDifficultyPercentage)),IF(AE2166="free","re-planting",IF(G2166=0,"",IF(PlanterYesMe="",IF(AE2166="me","   not ELP, by",IF(AE2166="",IF(G2166&gt;0,(VLOOKUP(A2166,'Discount Lookup'!J:K,2)*G2166*(1-PlanterDiscount)*(1+PlanterDifficultyPercentage)),""),"")),"   not ELP, by"))))))))))))))</f>
        <v/>
      </c>
      <c r="AD2166" s="712"/>
      <c r="AE2166" s="513" t="str">
        <f t="shared" si="1536"/>
        <v/>
      </c>
      <c r="AF2166" s="713" t="str">
        <f t="shared" si="1537"/>
        <v/>
      </c>
      <c r="AG2166" s="713"/>
      <c r="AH2166" s="713"/>
      <c r="AI2166" s="112">
        <f>IF(H2166="credit",0,IF(AE2166="free",0,IF(AE2166="me",0,IF(G2166&gt;0,(VLOOKUP(A2166,'Discount Lookup'!J:K,2)*G2166),0))))</f>
        <v>0</v>
      </c>
      <c r="AJ2166" s="107" t="str">
        <f t="shared" ca="1" si="1538"/>
        <v/>
      </c>
      <c r="AK2166" s="714" t="str">
        <f t="shared" si="1539"/>
        <v/>
      </c>
      <c r="AL2166" s="714"/>
      <c r="AM2166" s="114" t="str">
        <f t="shared" si="1540"/>
        <v/>
      </c>
      <c r="AN2166" s="115"/>
      <c r="AO2166" s="116"/>
      <c r="AP2166" s="116"/>
      <c r="AQ2166" s="116"/>
      <c r="AR2166" s="116"/>
      <c r="AS2166" s="116"/>
      <c r="AT2166" s="116"/>
      <c r="AU2166" s="116"/>
      <c r="AV2166" s="78"/>
      <c r="AW2166" s="102"/>
      <c r="AX2166" s="78"/>
      <c r="AY2166" s="78"/>
      <c r="AZ2166" s="78"/>
      <c r="BA2166" s="78"/>
      <c r="BB2166" s="78"/>
      <c r="BC2166" s="78"/>
      <c r="BD2166" s="78"/>
      <c r="BE2166" s="465"/>
      <c r="BF2166" s="165" t="str">
        <f t="shared" si="1541"/>
        <v>https://www.google.com/search?tbm=isch&amp;q=Ilex%20crenata%20%27Drops%20of%20Gold%27%20PP%2314420%20Drops%20of%20Gold%20Holly</v>
      </c>
      <c r="BG2166" s="165" t="str">
        <f t="shared" si="1542"/>
        <v>I</v>
      </c>
      <c r="BH2166" s="65"/>
      <c r="BI2166" s="65"/>
      <c r="BJ2166" s="65"/>
      <c r="BK2166" s="65"/>
      <c r="BL2166" s="99"/>
      <c r="BM2166" s="99"/>
      <c r="BN2166" s="99"/>
    </row>
    <row r="2167" spans="1:66" s="51" customFormat="1" ht="27" x14ac:dyDescent="0.25">
      <c r="A2167" s="478">
        <v>7</v>
      </c>
      <c r="B2167" s="479" t="s">
        <v>291</v>
      </c>
      <c r="C2167" s="480" t="s">
        <v>2935</v>
      </c>
      <c r="D2167" s="481" t="s">
        <v>299</v>
      </c>
      <c r="E2167" s="482">
        <v>100.95</v>
      </c>
      <c r="F2167" s="483" t="s">
        <v>292</v>
      </c>
      <c r="G2167" s="484">
        <v>0</v>
      </c>
      <c r="H2167" s="688" t="str">
        <f>IF(G2167=0,"",IF(F2167="Buy",IF(G2167=1,"plant","plants"),IF(F2167&gt;0.01,"warranty","Error")))</f>
        <v/>
      </c>
      <c r="I2167" s="485">
        <f>IF(H2167="free",0,IF(H2167="credit",((E2167*(F2167))*G2167*-1),IF(F2167="Buy",(E2167*G2167),((E2167*(1-F2167))*G2167))))</f>
        <v>0</v>
      </c>
      <c r="J2167" s="485">
        <f>IF(H2167="warranty",0,(I2167*(_xlfn.SINGLE(SalesTaxPercentage))))</f>
        <v>0</v>
      </c>
      <c r="K2167" s="715">
        <f t="shared" ref="K2167" si="1581">I2167+J2167</f>
        <v>0</v>
      </c>
      <c r="L2167" s="715"/>
      <c r="M2167" s="689" t="str">
        <f ca="1">IF(AND(G2167&gt;0,E2167=0),"WARNING - no PRICE inserted",IF(H2167="free","FREE ~ no charge this plant",IF(H2167="credit",CONCATENATE("-$",ROUND(K2167*(1-_xlfn.SINGLE(T2GDiscount))*-1,2)," CREDIT after discount"),IF(_xlfn.SINGLE(T2GDiscount)=0,"",IF(G2167=0,"",IF(F2167="Buy",CONCATENATE("$",ROUND(K2167*(1-_xlfn.SINGLE(T2GDiscount)),2)," with ",(_xlfn.SINGLE(T2GDiscount)*100),"% discount"),CONCATENATE("$",ROUND(K2167*(1-_xlfn.SINGLE(T2GDiscount)),2)," with ",((_xlfn.SINGLE(T2GDiscount)*100+F2167*100)-(_xlfn.SINGLE(T2GDiscount)*100*F2167)),IF(F2167&gt;0,"% discounts",IF(_xlfn.SINGLE(NoWarrantyDiscount)&gt;0,"% discounts","% discount")))))))))</f>
        <v/>
      </c>
      <c r="N2167" s="690"/>
      <c r="O2167" s="486"/>
      <c r="P2167" s="486"/>
      <c r="Q2167" s="486"/>
      <c r="R2167" s="486"/>
      <c r="S2167" s="486"/>
      <c r="T2167" s="102">
        <f t="shared" si="1530"/>
        <v>0</v>
      </c>
      <c r="U2167" s="78">
        <f>IF(NOT(ISNUMBER(G2167)), "", VLOOKUP(A2167,'Discount Lookup'!D:E,2,FALSE)*G2167)</f>
        <v>0</v>
      </c>
      <c r="V2167" s="78">
        <f>IF(NOT(ISNUMBER(G2167)), "", VLOOKUP(A2167,'Discount Lookup'!G:H,2,FALSE)*G2167)</f>
        <v>0</v>
      </c>
      <c r="W2167" s="102">
        <f t="shared" si="1531"/>
        <v>0</v>
      </c>
      <c r="X2167" s="102">
        <f t="shared" si="1532"/>
        <v>0</v>
      </c>
      <c r="Y2167" s="120" t="b">
        <f t="shared" si="1533"/>
        <v>0</v>
      </c>
      <c r="Z2167" s="117">
        <f t="shared" si="1534"/>
        <v>0</v>
      </c>
      <c r="AA2167" s="118"/>
      <c r="AB2167" s="118" t="str">
        <f t="shared" si="1535"/>
        <v/>
      </c>
      <c r="AC2167" s="712" t="str">
        <f>IF(AE2167="T2G","no charge",IF(AND(OR(PlanterYesMe="No",PlanterYesMe="N",PlanterYesMe="me"),H2167=""),"",IF(H2167="credit","NO install",IF(AND(K2167="",AE2167="me"),"EACH row",IF(AND(K2167="images",AE2167="me"),"EACH row",IF(D2167="","",IF(H2167="credit","",IF(AE2167="free","re-planting",IF(AE2167="me","   not ELP, by",IF(AND(OR(PlanterYesMe="Yes",PlanterYesMe="Y"),G2167&gt;0),(VLOOKUP(A2167,'Discount Lookup'!J:K,2)*G2167*(1-PlanterDiscount)*(1+PlanterDifficultyPercentage)),IF(AE2167="ELP",(VLOOKUP(A2167,'Discount Lookup'!J:K,2)*G2167*(1-PlanterDiscount)*(1+PlanterDifficultyPercentage)),IF(AE2167="free","re-planting",IF(G2167=0,"",IF(PlanterYesMe="",IF(AE2167="me","   not ELP, by",IF(AE2167="",IF(G2167&gt;0,(VLOOKUP(A2167,'Discount Lookup'!J:K,2)*G2167*(1-PlanterDiscount)*(1+PlanterDifficultyPercentage)),""),"")),"   not ELP, by"))))))))))))))</f>
        <v/>
      </c>
      <c r="AD2167" s="712"/>
      <c r="AE2167" s="513" t="str">
        <f t="shared" si="1536"/>
        <v/>
      </c>
      <c r="AF2167" s="713" t="str">
        <f t="shared" si="1537"/>
        <v/>
      </c>
      <c r="AG2167" s="713"/>
      <c r="AH2167" s="713"/>
      <c r="AI2167" s="112">
        <f>IF(H2167="credit",0,IF(AE2167="free",0,IF(AE2167="me",0,IF(G2167&gt;0,(VLOOKUP(A2167,'Discount Lookup'!J:K,2)*G2167),0))))</f>
        <v>0</v>
      </c>
      <c r="AJ2167" s="107" t="str">
        <f t="shared" ca="1" si="1538"/>
        <v/>
      </c>
      <c r="AK2167" s="714" t="str">
        <f t="shared" si="1539"/>
        <v/>
      </c>
      <c r="AL2167" s="714"/>
      <c r="AM2167" s="114" t="str">
        <f t="shared" si="1540"/>
        <v/>
      </c>
      <c r="AN2167" s="115"/>
      <c r="AO2167" s="116"/>
      <c r="AP2167" s="116"/>
      <c r="AQ2167" s="116"/>
      <c r="AR2167" s="116"/>
      <c r="AS2167" s="116"/>
      <c r="AT2167" s="116"/>
      <c r="AU2167" s="116"/>
      <c r="AV2167" s="78"/>
      <c r="AW2167" s="102"/>
      <c r="AX2167" s="78"/>
      <c r="AY2167" s="78"/>
      <c r="AZ2167" s="78"/>
      <c r="BA2167" s="78"/>
      <c r="BB2167" s="78"/>
      <c r="BC2167" s="78"/>
      <c r="BD2167" s="78"/>
      <c r="BE2167" s="465"/>
      <c r="BF2167" s="165" t="str">
        <f t="shared" si="1541"/>
        <v>https://www.google.com/search?tbm=isch&amp;q=7%20G4</v>
      </c>
      <c r="BG2167" s="165" t="str">
        <f t="shared" si="1542"/>
        <v>I</v>
      </c>
      <c r="BH2167" s="65"/>
      <c r="BI2167" s="65"/>
      <c r="BJ2167" s="65"/>
      <c r="BK2167" s="65"/>
      <c r="BL2167" s="99"/>
      <c r="BM2167" s="99"/>
      <c r="BN2167" s="99"/>
    </row>
    <row r="2168" spans="1:66" s="51" customFormat="1" ht="17.25" thickBot="1" x14ac:dyDescent="0.3">
      <c r="A2168" s="508" t="s">
        <v>2936</v>
      </c>
      <c r="B2168" s="487"/>
      <c r="C2168" s="707"/>
      <c r="D2168" s="487"/>
      <c r="E2168" s="487"/>
      <c r="F2168" s="488"/>
      <c r="G2168" s="489"/>
      <c r="H2168" s="487"/>
      <c r="I2168" s="490"/>
      <c r="J2168" s="490"/>
      <c r="K2168" s="491"/>
      <c r="L2168" s="547"/>
      <c r="M2168" s="528"/>
      <c r="N2168" s="492"/>
      <c r="O2168" s="493"/>
      <c r="P2168" s="494"/>
      <c r="Q2168" s="492"/>
      <c r="R2168" s="492"/>
      <c r="S2168" s="699" t="s">
        <v>5268</v>
      </c>
      <c r="T2168" s="102">
        <f t="shared" si="1530"/>
        <v>0</v>
      </c>
      <c r="U2168" s="78" t="str">
        <f>IF(NOT(ISNUMBER(G2168)), "", VLOOKUP(A2168,'Discount Lookup'!D:E,2,FALSE)*G2168)</f>
        <v/>
      </c>
      <c r="V2168" s="78" t="str">
        <f>IF(NOT(ISNUMBER(G2168)), "", VLOOKUP(A2168,'Discount Lookup'!G:H,2,FALSE)*G2168)</f>
        <v/>
      </c>
      <c r="W2168" s="102">
        <f t="shared" si="1531"/>
        <v>0</v>
      </c>
      <c r="X2168" s="102">
        <f t="shared" si="1532"/>
        <v>0</v>
      </c>
      <c r="Y2168" s="120" t="b">
        <f t="shared" si="1533"/>
        <v>0</v>
      </c>
      <c r="Z2168" s="117">
        <f t="shared" si="1534"/>
        <v>0</v>
      </c>
      <c r="AA2168" s="118"/>
      <c r="AB2168" s="118" t="str">
        <f t="shared" si="1535"/>
        <v/>
      </c>
      <c r="AC2168" s="712" t="str">
        <f>IF(AE2168="T2G","no charge",IF(AND(OR(PlanterYesMe="No",PlanterYesMe="N",PlanterYesMe="me"),H2168=""),"",IF(H2168="credit","NO install",IF(AND(K2168="",AE2168="me"),"EACH row",IF(AND(K2168="images",AE2168="me"),"EACH row",IF(D2168="","",IF(H2168="credit","",IF(AE2168="free","re-planting",IF(AE2168="me","   not ELP, by",IF(AND(OR(PlanterYesMe="Yes",PlanterYesMe="Y"),G2168&gt;0),(VLOOKUP(A2168,'Discount Lookup'!J:K,2)*G2168*(1-PlanterDiscount)*(1+PlanterDifficultyPercentage)),IF(AE2168="ELP",(VLOOKUP(A2168,'Discount Lookup'!J:K,2)*G2168*(1-PlanterDiscount)*(1+PlanterDifficultyPercentage)),IF(AE2168="free","re-planting",IF(G2168=0,"",IF(PlanterYesMe="",IF(AE2168="me","   not ELP, by",IF(AE2168="",IF(G2168&gt;0,(VLOOKUP(A2168,'Discount Lookup'!J:K,2)*G2168*(1-PlanterDiscount)*(1+PlanterDifficultyPercentage)),""),"")),"   not ELP, by"))))))))))))))</f>
        <v/>
      </c>
      <c r="AD2168" s="712"/>
      <c r="AE2168" s="513" t="str">
        <f t="shared" si="1536"/>
        <v/>
      </c>
      <c r="AF2168" s="713" t="str">
        <f t="shared" si="1537"/>
        <v/>
      </c>
      <c r="AG2168" s="713"/>
      <c r="AH2168" s="713"/>
      <c r="AI2168" s="112">
        <f>IF(H2168="credit",0,IF(AE2168="free",0,IF(AE2168="me",0,IF(G2168&gt;0,(VLOOKUP(A2168,'Discount Lookup'!J:K,2)*G2168),0))))</f>
        <v>0</v>
      </c>
      <c r="AJ2168" s="107" t="str">
        <f t="shared" ca="1" si="1538"/>
        <v/>
      </c>
      <c r="AK2168" s="714" t="str">
        <f t="shared" si="1539"/>
        <v/>
      </c>
      <c r="AL2168" s="714"/>
      <c r="AM2168" s="114" t="str">
        <f t="shared" si="1540"/>
        <v/>
      </c>
      <c r="AN2168" s="115"/>
      <c r="AO2168" s="116"/>
      <c r="AP2168" s="116"/>
      <c r="AQ2168" s="116"/>
      <c r="AR2168" s="116"/>
      <c r="AS2168" s="116"/>
      <c r="AT2168" s="116"/>
      <c r="AU2168" s="116"/>
      <c r="AV2168" s="78"/>
      <c r="AW2168" s="102"/>
      <c r="AX2168" s="78"/>
      <c r="AY2168" s="78"/>
      <c r="AZ2168" s="78"/>
      <c r="BA2168" s="78"/>
      <c r="BB2168" s="78"/>
      <c r="BC2168" s="78"/>
      <c r="BD2168" s="78"/>
      <c r="BE2168" s="465"/>
      <c r="BF2168" s="165" t="str">
        <f t="shared" si="1541"/>
        <v>https://www.google.com/search?tbm=isch&amp;q=Drops%20of%20Gold%20has%20striking%20Golden-Yellow%20new%20foliage%20that%20provides%20a%20beautiful%20contrast%20to%20its%20Dark%20Green%20mature%20leaves%20</v>
      </c>
      <c r="BG2168" s="165" t="str">
        <f t="shared" si="1542"/>
        <v>D</v>
      </c>
      <c r="BH2168" s="65"/>
      <c r="BI2168" s="65"/>
      <c r="BJ2168" s="65"/>
      <c r="BK2168" s="65"/>
      <c r="BL2168" s="99"/>
      <c r="BM2168" s="99"/>
      <c r="BN2168" s="99"/>
    </row>
    <row r="2169" spans="1:66" s="51" customFormat="1" ht="18" x14ac:dyDescent="0.25">
      <c r="A2169" s="507" t="s">
        <v>2937</v>
      </c>
      <c r="B2169" s="470"/>
      <c r="C2169" s="706"/>
      <c r="D2169" s="471" t="s">
        <v>2938</v>
      </c>
      <c r="E2169" s="472"/>
      <c r="F2169" s="472"/>
      <c r="G2169" s="472"/>
      <c r="H2169" s="622" t="s">
        <v>318</v>
      </c>
      <c r="I2169" s="473" t="s">
        <v>431</v>
      </c>
      <c r="J2169" s="472"/>
      <c r="K2169" s="472"/>
      <c r="L2169" s="561"/>
      <c r="M2169" s="698" t="s">
        <v>5246</v>
      </c>
      <c r="N2169" s="692" t="str">
        <f>IF(AND(ISTEXT($A2169), ISERROR($A2169+0)), HYPERLINK($BF2169, "Images"), "")</f>
        <v>Images</v>
      </c>
      <c r="O2169" s="694" t="s">
        <v>5244</v>
      </c>
      <c r="P2169" s="475"/>
      <c r="Q2169" s="476"/>
      <c r="R2169" s="476"/>
      <c r="S2169" s="477"/>
      <c r="T2169" s="102">
        <f t="shared" si="1530"/>
        <v>0</v>
      </c>
      <c r="U2169" s="78" t="str">
        <f>IF(NOT(ISNUMBER(G2169)), "", VLOOKUP(A2169,'Discount Lookup'!D:E,2,FALSE)*G2169)</f>
        <v/>
      </c>
      <c r="V2169" s="78" t="str">
        <f>IF(NOT(ISNUMBER(G2169)), "", VLOOKUP(A2169,'Discount Lookup'!G:H,2,FALSE)*G2169)</f>
        <v/>
      </c>
      <c r="W2169" s="102">
        <f t="shared" si="1531"/>
        <v>0</v>
      </c>
      <c r="X2169" s="102" t="str">
        <f t="shared" si="1532"/>
        <v>Dark Green foliage</v>
      </c>
      <c r="Y2169" s="120" t="b">
        <f t="shared" si="1533"/>
        <v>0</v>
      </c>
      <c r="Z2169" s="117">
        <f t="shared" si="1534"/>
        <v>0</v>
      </c>
      <c r="AA2169" s="118"/>
      <c r="AB2169" s="118" t="str">
        <f t="shared" si="1535"/>
        <v/>
      </c>
      <c r="AC2169" s="712" t="str">
        <f>IF(AE2169="T2G","no charge",IF(AND(OR(PlanterYesMe="No",PlanterYesMe="N",PlanterYesMe="me"),H2169=""),"",IF(H2169="credit","NO install",IF(AND(K2169="",AE2169="me"),"EACH row",IF(AND(K2169="images",AE2169="me"),"EACH row",IF(D2169="","",IF(H2169="credit","",IF(AE2169="free","re-planting",IF(AE2169="me","   not ELP, by",IF(AND(OR(PlanterYesMe="Yes",PlanterYesMe="Y"),G2169&gt;0),(VLOOKUP(A2169,'Discount Lookup'!J:K,2)*G2169*(1-PlanterDiscount)*(1+PlanterDifficultyPercentage)),IF(AE2169="ELP",(VLOOKUP(A2169,'Discount Lookup'!J:K,2)*G2169*(1-PlanterDiscount)*(1+PlanterDifficultyPercentage)),IF(AE2169="free","re-planting",IF(G2169=0,"",IF(PlanterYesMe="",IF(AE2169="me","   not ELP, by",IF(AE2169="",IF(G2169&gt;0,(VLOOKUP(A2169,'Discount Lookup'!J:K,2)*G2169*(1-PlanterDiscount)*(1+PlanterDifficultyPercentage)),""),"")),"   not ELP, by"))))))))))))))</f>
        <v/>
      </c>
      <c r="AD2169" s="712"/>
      <c r="AE2169" s="513" t="str">
        <f t="shared" si="1536"/>
        <v/>
      </c>
      <c r="AF2169" s="713" t="str">
        <f t="shared" si="1537"/>
        <v/>
      </c>
      <c r="AG2169" s="713"/>
      <c r="AH2169" s="713"/>
      <c r="AI2169" s="112">
        <f>IF(H2169="credit",0,IF(AE2169="free",0,IF(AE2169="me",0,IF(G2169&gt;0,(VLOOKUP(A2169,'Discount Lookup'!J:K,2)*G2169),0))))</f>
        <v>0</v>
      </c>
      <c r="AJ2169" s="107" t="str">
        <f t="shared" ca="1" si="1538"/>
        <v/>
      </c>
      <c r="AK2169" s="714" t="str">
        <f t="shared" si="1539"/>
        <v/>
      </c>
      <c r="AL2169" s="714"/>
      <c r="AM2169" s="114" t="str">
        <f t="shared" si="1540"/>
        <v/>
      </c>
      <c r="AN2169" s="115"/>
      <c r="AO2169" s="116"/>
      <c r="AP2169" s="116"/>
      <c r="AQ2169" s="116"/>
      <c r="AR2169" s="116"/>
      <c r="AS2169" s="116"/>
      <c r="AT2169" s="116"/>
      <c r="AU2169" s="116"/>
      <c r="AV2169" s="78"/>
      <c r="AW2169" s="102"/>
      <c r="AX2169" s="78"/>
      <c r="AY2169" s="78"/>
      <c r="AZ2169" s="78"/>
      <c r="BA2169" s="78"/>
      <c r="BB2169" s="78"/>
      <c r="BC2169" s="78"/>
      <c r="BD2169" s="78"/>
      <c r="BE2169" s="465"/>
      <c r="BF2169" s="165" t="str">
        <f t="shared" si="1541"/>
        <v>https://www.google.com/search?tbm=isch&amp;q=Ilex%20crenata%20%27Excelsa%20Schwoebel%27%20Excelsa%20Schwoebel%20Holly</v>
      </c>
      <c r="BG2169" s="165" t="str">
        <f t="shared" si="1542"/>
        <v>I</v>
      </c>
      <c r="BH2169" s="65"/>
      <c r="BI2169" s="65"/>
      <c r="BJ2169" s="65"/>
      <c r="BK2169" s="65"/>
      <c r="BL2169" s="99"/>
      <c r="BM2169" s="99"/>
      <c r="BN2169" s="99"/>
    </row>
    <row r="2170" spans="1:66" s="51" customFormat="1" ht="15.75" x14ac:dyDescent="0.25">
      <c r="A2170" s="478">
        <v>3</v>
      </c>
      <c r="B2170" s="479" t="s">
        <v>291</v>
      </c>
      <c r="C2170" s="480" t="s">
        <v>1706</v>
      </c>
      <c r="D2170" s="481" t="s">
        <v>311</v>
      </c>
      <c r="E2170" s="482">
        <v>30.95</v>
      </c>
      <c r="F2170" s="483" t="s">
        <v>292</v>
      </c>
      <c r="G2170" s="484">
        <v>0</v>
      </c>
      <c r="H2170" s="688" t="str">
        <f>IF(G2170=0,"",IF(F2170="Buy",IF(G2170=1,"plant","plants"),IF(F2170&gt;0.01,"warranty","Error")))</f>
        <v/>
      </c>
      <c r="I2170" s="485">
        <f>IF(H2170="free",0,IF(H2170="credit",((E2170*(F2170))*G2170*-1),IF(F2170="Buy",(E2170*G2170),((E2170*(1-F2170))*G2170))))</f>
        <v>0</v>
      </c>
      <c r="J2170" s="485">
        <f>IF(H2170="warranty",0,(I2170*(_xlfn.SINGLE(SalesTaxPercentage))))</f>
        <v>0</v>
      </c>
      <c r="K2170" s="715">
        <f t="shared" ref="K2170" si="1582">I2170+J2170</f>
        <v>0</v>
      </c>
      <c r="L2170" s="715"/>
      <c r="M2170" s="689" t="str">
        <f ca="1">IF(AND(G2170&gt;0,E2170=0),"WARNING - no PRICE inserted",IF(H2170="free","FREE ~ no charge this plant",IF(H2170="credit",CONCATENATE("-$",ROUND(K2170*(1-_xlfn.SINGLE(T2GDiscount))*-1,2)," CREDIT after discount"),IF(_xlfn.SINGLE(T2GDiscount)=0,"",IF(G2170=0,"",IF(F2170="Buy",CONCATENATE("$",ROUND(K2170*(1-_xlfn.SINGLE(T2GDiscount)),2)," with ",(_xlfn.SINGLE(T2GDiscount)*100),"% discount"),CONCATENATE("$",ROUND(K2170*(1-_xlfn.SINGLE(T2GDiscount)),2)," with ",((_xlfn.SINGLE(T2GDiscount)*100+F2170*100)-(_xlfn.SINGLE(T2GDiscount)*100*F2170)),IF(F2170&gt;0,"% discounts",IF(_xlfn.SINGLE(NoWarrantyDiscount)&gt;0,"% discounts","% discount")))))))))</f>
        <v/>
      </c>
      <c r="N2170" s="690"/>
      <c r="O2170" s="486"/>
      <c r="P2170" s="486"/>
      <c r="Q2170" s="486"/>
      <c r="R2170" s="486"/>
      <c r="S2170" s="486"/>
      <c r="T2170" s="102">
        <f t="shared" si="1530"/>
        <v>0</v>
      </c>
      <c r="U2170" s="78">
        <f>IF(NOT(ISNUMBER(G2170)), "", VLOOKUP(A2170,'Discount Lookup'!D:E,2,FALSE)*G2170)</f>
        <v>0</v>
      </c>
      <c r="V2170" s="78">
        <f>IF(NOT(ISNUMBER(G2170)), "", VLOOKUP(A2170,'Discount Lookup'!G:H,2,FALSE)*G2170)</f>
        <v>0</v>
      </c>
      <c r="W2170" s="102">
        <f t="shared" si="1531"/>
        <v>0</v>
      </c>
      <c r="X2170" s="102">
        <f t="shared" si="1532"/>
        <v>0</v>
      </c>
      <c r="Y2170" s="120" t="b">
        <f t="shared" si="1533"/>
        <v>0</v>
      </c>
      <c r="Z2170" s="117">
        <f t="shared" si="1534"/>
        <v>0</v>
      </c>
      <c r="AA2170" s="118"/>
      <c r="AB2170" s="118" t="str">
        <f t="shared" si="1535"/>
        <v/>
      </c>
      <c r="AC2170" s="712" t="str">
        <f>IF(AE2170="T2G","no charge",IF(AND(OR(PlanterYesMe="No",PlanterYesMe="N",PlanterYesMe="me"),H2170=""),"",IF(H2170="credit","NO install",IF(AND(K2170="",AE2170="me"),"EACH row",IF(AND(K2170="images",AE2170="me"),"EACH row",IF(D2170="","",IF(H2170="credit","",IF(AE2170="free","re-planting",IF(AE2170="me","   not ELP, by",IF(AND(OR(PlanterYesMe="Yes",PlanterYesMe="Y"),G2170&gt;0),(VLOOKUP(A2170,'Discount Lookup'!J:K,2)*G2170*(1-PlanterDiscount)*(1+PlanterDifficultyPercentage)),IF(AE2170="ELP",(VLOOKUP(A2170,'Discount Lookup'!J:K,2)*G2170*(1-PlanterDiscount)*(1+PlanterDifficultyPercentage)),IF(AE2170="free","re-planting",IF(G2170=0,"",IF(PlanterYesMe="",IF(AE2170="me","   not ELP, by",IF(AE2170="",IF(G2170&gt;0,(VLOOKUP(A2170,'Discount Lookup'!J:K,2)*G2170*(1-PlanterDiscount)*(1+PlanterDifficultyPercentage)),""),"")),"   not ELP, by"))))))))))))))</f>
        <v/>
      </c>
      <c r="AD2170" s="712"/>
      <c r="AE2170" s="513" t="str">
        <f t="shared" si="1536"/>
        <v/>
      </c>
      <c r="AF2170" s="713" t="str">
        <f t="shared" si="1537"/>
        <v/>
      </c>
      <c r="AG2170" s="713"/>
      <c r="AH2170" s="713"/>
      <c r="AI2170" s="112">
        <f>IF(H2170="credit",0,IF(AE2170="free",0,IF(AE2170="me",0,IF(G2170&gt;0,(VLOOKUP(A2170,'Discount Lookup'!J:K,2)*G2170),0))))</f>
        <v>0</v>
      </c>
      <c r="AJ2170" s="107" t="str">
        <f t="shared" ca="1" si="1538"/>
        <v/>
      </c>
      <c r="AK2170" s="714" t="str">
        <f t="shared" si="1539"/>
        <v/>
      </c>
      <c r="AL2170" s="714"/>
      <c r="AM2170" s="114" t="str">
        <f t="shared" si="1540"/>
        <v/>
      </c>
      <c r="AN2170" s="115"/>
      <c r="AO2170" s="116"/>
      <c r="AP2170" s="116"/>
      <c r="AQ2170" s="116"/>
      <c r="AR2170" s="116"/>
      <c r="AS2170" s="116"/>
      <c r="AT2170" s="116"/>
      <c r="AU2170" s="116"/>
      <c r="AV2170" s="78"/>
      <c r="AW2170" s="102"/>
      <c r="AX2170" s="78"/>
      <c r="AY2170" s="78"/>
      <c r="AZ2170" s="78"/>
      <c r="BA2170" s="78"/>
      <c r="BB2170" s="78"/>
      <c r="BC2170" s="78"/>
      <c r="BD2170" s="78"/>
      <c r="BE2170" s="465"/>
      <c r="BF2170" s="165" t="str">
        <f t="shared" si="1541"/>
        <v>https://www.google.com/search?tbm=isch&amp;q=3%20G5</v>
      </c>
      <c r="BG2170" s="165" t="str">
        <f t="shared" si="1542"/>
        <v>I</v>
      </c>
      <c r="BH2170" s="65"/>
      <c r="BI2170" s="65"/>
      <c r="BJ2170" s="65"/>
      <c r="BK2170" s="65"/>
      <c r="BL2170" s="99"/>
      <c r="BM2170" s="99"/>
      <c r="BN2170" s="99"/>
    </row>
    <row r="2171" spans="1:66" s="51" customFormat="1" ht="17.25" thickBot="1" x14ac:dyDescent="0.3">
      <c r="A2171" s="508" t="s">
        <v>2939</v>
      </c>
      <c r="B2171" s="487"/>
      <c r="C2171" s="707"/>
      <c r="D2171" s="487"/>
      <c r="E2171" s="487"/>
      <c r="F2171" s="488"/>
      <c r="G2171" s="489"/>
      <c r="H2171" s="487"/>
      <c r="I2171" s="490"/>
      <c r="J2171" s="490"/>
      <c r="K2171" s="491"/>
      <c r="L2171" s="547"/>
      <c r="M2171" s="528"/>
      <c r="N2171" s="492"/>
      <c r="O2171" s="493"/>
      <c r="P2171" s="494"/>
      <c r="Q2171" s="492"/>
      <c r="R2171" s="492"/>
      <c r="S2171" s="699" t="s">
        <v>5268</v>
      </c>
      <c r="T2171" s="102">
        <f t="shared" si="1530"/>
        <v>0</v>
      </c>
      <c r="U2171" s="78" t="str">
        <f>IF(NOT(ISNUMBER(G2171)), "", VLOOKUP(A2171,'Discount Lookup'!D:E,2,FALSE)*G2171)</f>
        <v/>
      </c>
      <c r="V2171" s="78" t="str">
        <f>IF(NOT(ISNUMBER(G2171)), "", VLOOKUP(A2171,'Discount Lookup'!G:H,2,FALSE)*G2171)</f>
        <v/>
      </c>
      <c r="W2171" s="102">
        <f t="shared" si="1531"/>
        <v>0</v>
      </c>
      <c r="X2171" s="102">
        <f t="shared" si="1532"/>
        <v>0</v>
      </c>
      <c r="Y2171" s="120" t="b">
        <f t="shared" si="1533"/>
        <v>0</v>
      </c>
      <c r="Z2171" s="117">
        <f t="shared" si="1534"/>
        <v>0</v>
      </c>
      <c r="AA2171" s="118"/>
      <c r="AB2171" s="118" t="str">
        <f t="shared" si="1535"/>
        <v/>
      </c>
      <c r="AC2171" s="712" t="str">
        <f>IF(AE2171="T2G","no charge",IF(AND(OR(PlanterYesMe="No",PlanterYesMe="N",PlanterYesMe="me"),H2171=""),"",IF(H2171="credit","NO install",IF(AND(K2171="",AE2171="me"),"EACH row",IF(AND(K2171="images",AE2171="me"),"EACH row",IF(D2171="","",IF(H2171="credit","",IF(AE2171="free","re-planting",IF(AE2171="me","   not ELP, by",IF(AND(OR(PlanterYesMe="Yes",PlanterYesMe="Y"),G2171&gt;0),(VLOOKUP(A2171,'Discount Lookup'!J:K,2)*G2171*(1-PlanterDiscount)*(1+PlanterDifficultyPercentage)),IF(AE2171="ELP",(VLOOKUP(A2171,'Discount Lookup'!J:K,2)*G2171*(1-PlanterDiscount)*(1+PlanterDifficultyPercentage)),IF(AE2171="free","re-planting",IF(G2171=0,"",IF(PlanterYesMe="",IF(AE2171="me","   not ELP, by",IF(AE2171="",IF(G2171&gt;0,(VLOOKUP(A2171,'Discount Lookup'!J:K,2)*G2171*(1-PlanterDiscount)*(1+PlanterDifficultyPercentage)),""),"")),"   not ELP, by"))))))))))))))</f>
        <v/>
      </c>
      <c r="AD2171" s="712"/>
      <c r="AE2171" s="513" t="str">
        <f t="shared" si="1536"/>
        <v/>
      </c>
      <c r="AF2171" s="713" t="str">
        <f t="shared" si="1537"/>
        <v/>
      </c>
      <c r="AG2171" s="713"/>
      <c r="AH2171" s="713"/>
      <c r="AI2171" s="112">
        <f>IF(H2171="credit",0,IF(AE2171="free",0,IF(AE2171="me",0,IF(G2171&gt;0,(VLOOKUP(A2171,'Discount Lookup'!J:K,2)*G2171),0))))</f>
        <v>0</v>
      </c>
      <c r="AJ2171" s="107" t="str">
        <f t="shared" ca="1" si="1538"/>
        <v/>
      </c>
      <c r="AK2171" s="714" t="str">
        <f t="shared" si="1539"/>
        <v/>
      </c>
      <c r="AL2171" s="714"/>
      <c r="AM2171" s="114" t="str">
        <f t="shared" si="1540"/>
        <v/>
      </c>
      <c r="AN2171" s="115"/>
      <c r="AO2171" s="116"/>
      <c r="AP2171" s="116"/>
      <c r="AQ2171" s="116"/>
      <c r="AR2171" s="116"/>
      <c r="AS2171" s="116"/>
      <c r="AT2171" s="116"/>
      <c r="AU2171" s="116"/>
      <c r="AV2171" s="78"/>
      <c r="AW2171" s="102"/>
      <c r="AX2171" s="78"/>
      <c r="AY2171" s="78"/>
      <c r="AZ2171" s="78"/>
      <c r="BA2171" s="78"/>
      <c r="BB2171" s="78"/>
      <c r="BC2171" s="78"/>
      <c r="BD2171" s="78"/>
      <c r="BE2171" s="465"/>
      <c r="BF2171" s="165" t="str">
        <f t="shared" si="1541"/>
        <v>https://www.google.com/search?tbm=isch&amp;q=Excelsa%20Schwoebel%20is%20a%20vigorous%2C%20upright%20grower%20with%20a%20narrow%2C%20pyramidal%20form%20and%20small%2C%20glossy%20leaves%20</v>
      </c>
      <c r="BG2171" s="165" t="str">
        <f t="shared" si="1542"/>
        <v>E</v>
      </c>
      <c r="BH2171" s="65"/>
      <c r="BI2171" s="65"/>
      <c r="BJ2171" s="65"/>
      <c r="BK2171" s="65"/>
      <c r="BL2171" s="99"/>
      <c r="BM2171" s="99"/>
      <c r="BN2171" s="99"/>
    </row>
    <row r="2172" spans="1:66" s="51" customFormat="1" ht="18" x14ac:dyDescent="0.25">
      <c r="A2172" s="507" t="s">
        <v>2940</v>
      </c>
      <c r="B2172" s="470"/>
      <c r="C2172" s="706"/>
      <c r="D2172" s="471" t="s">
        <v>2941</v>
      </c>
      <c r="E2172" s="472"/>
      <c r="F2172" s="472"/>
      <c r="G2172" s="472"/>
      <c r="H2172" s="622" t="s">
        <v>1088</v>
      </c>
      <c r="I2172" s="473" t="s">
        <v>2942</v>
      </c>
      <c r="J2172" s="472"/>
      <c r="K2172" s="472"/>
      <c r="L2172" s="561"/>
      <c r="M2172" s="698" t="s">
        <v>5246</v>
      </c>
      <c r="N2172" s="692" t="str">
        <f>IF(AND(ISTEXT($A2172), ISERROR($A2172+0)), HYPERLINK($BF2172, "Images"), "")</f>
        <v>Images</v>
      </c>
      <c r="O2172" s="694" t="s">
        <v>5289</v>
      </c>
      <c r="P2172" s="475"/>
      <c r="Q2172" s="476"/>
      <c r="R2172" s="476"/>
      <c r="S2172" s="477"/>
      <c r="T2172" s="102">
        <f t="shared" si="1530"/>
        <v>0</v>
      </c>
      <c r="U2172" s="78" t="str">
        <f>IF(NOT(ISNUMBER(G2172)), "", VLOOKUP(A2172,'Discount Lookup'!D:E,2,FALSE)*G2172)</f>
        <v/>
      </c>
      <c r="V2172" s="78" t="str">
        <f>IF(NOT(ISNUMBER(G2172)), "", VLOOKUP(A2172,'Discount Lookup'!G:H,2,FALSE)*G2172)</f>
        <v/>
      </c>
      <c r="W2172" s="102">
        <f t="shared" si="1531"/>
        <v>0</v>
      </c>
      <c r="X2172" s="102" t="str">
        <f t="shared" si="1532"/>
        <v>Green, Yellow edges</v>
      </c>
      <c r="Y2172" s="120" t="b">
        <f t="shared" si="1533"/>
        <v>0</v>
      </c>
      <c r="Z2172" s="117">
        <f t="shared" si="1534"/>
        <v>0</v>
      </c>
      <c r="AA2172" s="118"/>
      <c r="AB2172" s="118" t="str">
        <f t="shared" si="1535"/>
        <v/>
      </c>
      <c r="AC2172" s="712" t="str">
        <f>IF(AE2172="T2G","no charge",IF(AND(OR(PlanterYesMe="No",PlanterYesMe="N",PlanterYesMe="me"),H2172=""),"",IF(H2172="credit","NO install",IF(AND(K2172="",AE2172="me"),"EACH row",IF(AND(K2172="images",AE2172="me"),"EACH row",IF(D2172="","",IF(H2172="credit","",IF(AE2172="free","re-planting",IF(AE2172="me","   not ELP, by",IF(AND(OR(PlanterYesMe="Yes",PlanterYesMe="Y"),G2172&gt;0),(VLOOKUP(A2172,'Discount Lookup'!J:K,2)*G2172*(1-PlanterDiscount)*(1+PlanterDifficultyPercentage)),IF(AE2172="ELP",(VLOOKUP(A2172,'Discount Lookup'!J:K,2)*G2172*(1-PlanterDiscount)*(1+PlanterDifficultyPercentage)),IF(AE2172="free","re-planting",IF(G2172=0,"",IF(PlanterYesMe="",IF(AE2172="me","   not ELP, by",IF(AE2172="",IF(G2172&gt;0,(VLOOKUP(A2172,'Discount Lookup'!J:K,2)*G2172*(1-PlanterDiscount)*(1+PlanterDifficultyPercentage)),""),"")),"   not ELP, by"))))))))))))))</f>
        <v/>
      </c>
      <c r="AD2172" s="712"/>
      <c r="AE2172" s="513" t="str">
        <f t="shared" si="1536"/>
        <v/>
      </c>
      <c r="AF2172" s="713" t="str">
        <f t="shared" si="1537"/>
        <v/>
      </c>
      <c r="AG2172" s="713"/>
      <c r="AH2172" s="713"/>
      <c r="AI2172" s="112">
        <f>IF(H2172="credit",0,IF(AE2172="free",0,IF(AE2172="me",0,IF(G2172&gt;0,(VLOOKUP(A2172,'Discount Lookup'!J:K,2)*G2172),0))))</f>
        <v>0</v>
      </c>
      <c r="AJ2172" s="107" t="str">
        <f t="shared" ca="1" si="1538"/>
        <v/>
      </c>
      <c r="AK2172" s="714" t="str">
        <f t="shared" si="1539"/>
        <v/>
      </c>
      <c r="AL2172" s="714"/>
      <c r="AM2172" s="114" t="str">
        <f t="shared" si="1540"/>
        <v/>
      </c>
      <c r="AN2172" s="115"/>
      <c r="AO2172" s="116"/>
      <c r="AP2172" s="116"/>
      <c r="AQ2172" s="116"/>
      <c r="AR2172" s="116"/>
      <c r="AS2172" s="116"/>
      <c r="AT2172" s="116"/>
      <c r="AU2172" s="116"/>
      <c r="AV2172" s="78"/>
      <c r="AW2172" s="102"/>
      <c r="AX2172" s="78"/>
      <c r="AY2172" s="78"/>
      <c r="AZ2172" s="78"/>
      <c r="BA2172" s="78"/>
      <c r="BB2172" s="78"/>
      <c r="BC2172" s="78"/>
      <c r="BD2172" s="78"/>
      <c r="BE2172" s="465"/>
      <c r="BF2172" s="165" t="str">
        <f t="shared" si="1541"/>
        <v>https://www.google.com/search?tbm=isch&amp;q=Ilex%20crenata%20%27Golden%20Soft%20Touch%27%20Golden%20Soft%20Touch%20Holly</v>
      </c>
      <c r="BG2172" s="165" t="str">
        <f t="shared" si="1542"/>
        <v>I</v>
      </c>
      <c r="BH2172" s="65"/>
      <c r="BI2172" s="65"/>
      <c r="BJ2172" s="65"/>
      <c r="BK2172" s="65"/>
      <c r="BL2172" s="99"/>
      <c r="BM2172" s="99"/>
      <c r="BN2172" s="99"/>
    </row>
    <row r="2173" spans="1:66" s="51" customFormat="1" ht="15.75" x14ac:dyDescent="0.25">
      <c r="A2173" s="478">
        <v>3</v>
      </c>
      <c r="B2173" s="479" t="s">
        <v>291</v>
      </c>
      <c r="C2173" s="480"/>
      <c r="D2173" s="481" t="s">
        <v>310</v>
      </c>
      <c r="E2173" s="482">
        <v>27.95</v>
      </c>
      <c r="F2173" s="483" t="s">
        <v>292</v>
      </c>
      <c r="G2173" s="484">
        <v>0</v>
      </c>
      <c r="H2173" s="688" t="str">
        <f>IF(G2173=0,"",IF(F2173="Buy",IF(G2173=1,"plant","plants"),IF(F2173&gt;0.01,"warranty","Error")))</f>
        <v/>
      </c>
      <c r="I2173" s="485">
        <f>IF(H2173="free",0,IF(H2173="credit",((E2173*(F2173))*G2173*-1),IF(F2173="Buy",(E2173*G2173),((E2173*(1-F2173))*G2173))))</f>
        <v>0</v>
      </c>
      <c r="J2173" s="485">
        <f>IF(H2173="warranty",0,(I2173*(_xlfn.SINGLE(SalesTaxPercentage))))</f>
        <v>0</v>
      </c>
      <c r="K2173" s="715">
        <f t="shared" ref="K2173" si="1583">I2173+J2173</f>
        <v>0</v>
      </c>
      <c r="L2173" s="715"/>
      <c r="M2173" s="689" t="str">
        <f ca="1">IF(AND(G2173&gt;0,E2173=0),"WARNING - no PRICE inserted",IF(H2173="free","FREE ~ no charge this plant",IF(H2173="credit",CONCATENATE("-$",ROUND(K2173*(1-_xlfn.SINGLE(T2GDiscount))*-1,2)," CREDIT after discount"),IF(_xlfn.SINGLE(T2GDiscount)=0,"",IF(G2173=0,"",IF(F2173="Buy",CONCATENATE("$",ROUND(K2173*(1-_xlfn.SINGLE(T2GDiscount)),2)," with ",(_xlfn.SINGLE(T2GDiscount)*100),"% discount"),CONCATENATE("$",ROUND(K2173*(1-_xlfn.SINGLE(T2GDiscount)),2)," with ",((_xlfn.SINGLE(T2GDiscount)*100+F2173*100)-(_xlfn.SINGLE(T2GDiscount)*100*F2173)),IF(F2173&gt;0,"% discounts",IF(_xlfn.SINGLE(NoWarrantyDiscount)&gt;0,"% discounts","% discount")))))))))</f>
        <v/>
      </c>
      <c r="N2173" s="690"/>
      <c r="O2173" s="486"/>
      <c r="P2173" s="486"/>
      <c r="Q2173" s="486"/>
      <c r="R2173" s="486"/>
      <c r="S2173" s="486"/>
      <c r="T2173" s="102">
        <f t="shared" si="1530"/>
        <v>0</v>
      </c>
      <c r="U2173" s="78">
        <f>IF(NOT(ISNUMBER(G2173)), "", VLOOKUP(A2173,'Discount Lookup'!D:E,2,FALSE)*G2173)</f>
        <v>0</v>
      </c>
      <c r="V2173" s="78">
        <f>IF(NOT(ISNUMBER(G2173)), "", VLOOKUP(A2173,'Discount Lookup'!G:H,2,FALSE)*G2173)</f>
        <v>0</v>
      </c>
      <c r="W2173" s="102">
        <f t="shared" si="1531"/>
        <v>0</v>
      </c>
      <c r="X2173" s="102">
        <f t="shared" si="1532"/>
        <v>0</v>
      </c>
      <c r="Y2173" s="120" t="b">
        <f t="shared" si="1533"/>
        <v>0</v>
      </c>
      <c r="Z2173" s="117">
        <f t="shared" si="1534"/>
        <v>0</v>
      </c>
      <c r="AA2173" s="118"/>
      <c r="AB2173" s="118" t="str">
        <f t="shared" si="1535"/>
        <v/>
      </c>
      <c r="AC2173" s="712" t="str">
        <f>IF(AE2173="T2G","no charge",IF(AND(OR(PlanterYesMe="No",PlanterYesMe="N",PlanterYesMe="me"),H2173=""),"",IF(H2173="credit","NO install",IF(AND(K2173="",AE2173="me"),"EACH row",IF(AND(K2173="images",AE2173="me"),"EACH row",IF(D2173="","",IF(H2173="credit","",IF(AE2173="free","re-planting",IF(AE2173="me","   not ELP, by",IF(AND(OR(PlanterYesMe="Yes",PlanterYesMe="Y"),G2173&gt;0),(VLOOKUP(A2173,'Discount Lookup'!J:K,2)*G2173*(1-PlanterDiscount)*(1+PlanterDifficultyPercentage)),IF(AE2173="ELP",(VLOOKUP(A2173,'Discount Lookup'!J:K,2)*G2173*(1-PlanterDiscount)*(1+PlanterDifficultyPercentage)),IF(AE2173="free","re-planting",IF(G2173=0,"",IF(PlanterYesMe="",IF(AE2173="me","   not ELP, by",IF(AE2173="",IF(G2173&gt;0,(VLOOKUP(A2173,'Discount Lookup'!J:K,2)*G2173*(1-PlanterDiscount)*(1+PlanterDifficultyPercentage)),""),"")),"   not ELP, by"))))))))))))))</f>
        <v/>
      </c>
      <c r="AD2173" s="712"/>
      <c r="AE2173" s="513" t="str">
        <f t="shared" si="1536"/>
        <v/>
      </c>
      <c r="AF2173" s="713" t="str">
        <f t="shared" si="1537"/>
        <v/>
      </c>
      <c r="AG2173" s="713"/>
      <c r="AH2173" s="713"/>
      <c r="AI2173" s="112">
        <f>IF(H2173="credit",0,IF(AE2173="free",0,IF(AE2173="me",0,IF(G2173&gt;0,(VLOOKUP(A2173,'Discount Lookup'!J:K,2)*G2173),0))))</f>
        <v>0</v>
      </c>
      <c r="AJ2173" s="107" t="str">
        <f t="shared" ca="1" si="1538"/>
        <v/>
      </c>
      <c r="AK2173" s="714" t="str">
        <f t="shared" si="1539"/>
        <v/>
      </c>
      <c r="AL2173" s="714"/>
      <c r="AM2173" s="114" t="str">
        <f t="shared" si="1540"/>
        <v/>
      </c>
      <c r="AN2173" s="115"/>
      <c r="AO2173" s="116"/>
      <c r="AP2173" s="116"/>
      <c r="AQ2173" s="116"/>
      <c r="AR2173" s="116"/>
      <c r="AS2173" s="116"/>
      <c r="AT2173" s="116"/>
      <c r="AU2173" s="116"/>
      <c r="AV2173" s="78"/>
      <c r="AW2173" s="102"/>
      <c r="AX2173" s="78"/>
      <c r="AY2173" s="78"/>
      <c r="AZ2173" s="78"/>
      <c r="BA2173" s="78"/>
      <c r="BB2173" s="78"/>
      <c r="BC2173" s="78"/>
      <c r="BD2173" s="78"/>
      <c r="BE2173" s="465"/>
      <c r="BF2173" s="165" t="str">
        <f t="shared" si="1541"/>
        <v>https://www.google.com/search?tbm=isch&amp;q=3%20G1</v>
      </c>
      <c r="BG2173" s="165" t="str">
        <f t="shared" si="1542"/>
        <v>I</v>
      </c>
      <c r="BH2173" s="65"/>
      <c r="BI2173" s="65"/>
      <c r="BJ2173" s="65"/>
      <c r="BK2173" s="65"/>
      <c r="BL2173" s="99"/>
      <c r="BM2173" s="99"/>
      <c r="BN2173" s="99"/>
    </row>
    <row r="2174" spans="1:66" s="51" customFormat="1" ht="15.75" x14ac:dyDescent="0.25">
      <c r="A2174" s="478">
        <v>3</v>
      </c>
      <c r="B2174" s="479" t="s">
        <v>291</v>
      </c>
      <c r="C2174" s="480" t="s">
        <v>2943</v>
      </c>
      <c r="D2174" s="481" t="s">
        <v>311</v>
      </c>
      <c r="E2174" s="482">
        <v>30.95</v>
      </c>
      <c r="F2174" s="483" t="s">
        <v>292</v>
      </c>
      <c r="G2174" s="484">
        <v>0</v>
      </c>
      <c r="H2174" s="688" t="str">
        <f>IF(G2174=0,"",IF(F2174="Buy",IF(G2174=1,"plant","plants"),IF(F2174&gt;0.01,"warranty","Error")))</f>
        <v/>
      </c>
      <c r="I2174" s="485">
        <f>IF(H2174="free",0,IF(H2174="credit",((E2174*(F2174))*G2174*-1),IF(F2174="Buy",(E2174*G2174),((E2174*(1-F2174))*G2174))))</f>
        <v>0</v>
      </c>
      <c r="J2174" s="485">
        <f>IF(H2174="warranty",0,(I2174*(_xlfn.SINGLE(SalesTaxPercentage))))</f>
        <v>0</v>
      </c>
      <c r="K2174" s="715">
        <f t="shared" ref="K2174" si="1584">I2174+J2174</f>
        <v>0</v>
      </c>
      <c r="L2174" s="715"/>
      <c r="M2174" s="689" t="str">
        <f ca="1">IF(AND(G2174&gt;0,E2174=0),"WARNING - no PRICE inserted",IF(H2174="free","FREE ~ no charge this plant",IF(H2174="credit",CONCATENATE("-$",ROUND(K2174*(1-_xlfn.SINGLE(T2GDiscount))*-1,2)," CREDIT after discount"),IF(_xlfn.SINGLE(T2GDiscount)=0,"",IF(G2174=0,"",IF(F2174="Buy",CONCATENATE("$",ROUND(K2174*(1-_xlfn.SINGLE(T2GDiscount)),2)," with ",(_xlfn.SINGLE(T2GDiscount)*100),"% discount"),CONCATENATE("$",ROUND(K2174*(1-_xlfn.SINGLE(T2GDiscount)),2)," with ",((_xlfn.SINGLE(T2GDiscount)*100+F2174*100)-(_xlfn.SINGLE(T2GDiscount)*100*F2174)),IF(F2174&gt;0,"% discounts",IF(_xlfn.SINGLE(NoWarrantyDiscount)&gt;0,"% discounts","% discount")))))))))</f>
        <v/>
      </c>
      <c r="N2174" s="690"/>
      <c r="O2174" s="486"/>
      <c r="P2174" s="486"/>
      <c r="Q2174" s="486"/>
      <c r="R2174" s="486"/>
      <c r="S2174" s="486"/>
      <c r="T2174" s="102">
        <f t="shared" si="1530"/>
        <v>0</v>
      </c>
      <c r="U2174" s="78">
        <f>IF(NOT(ISNUMBER(G2174)), "", VLOOKUP(A2174,'Discount Lookup'!D:E,2,FALSE)*G2174)</f>
        <v>0</v>
      </c>
      <c r="V2174" s="78">
        <f>IF(NOT(ISNUMBER(G2174)), "", VLOOKUP(A2174,'Discount Lookup'!G:H,2,FALSE)*G2174)</f>
        <v>0</v>
      </c>
      <c r="W2174" s="102">
        <f t="shared" si="1531"/>
        <v>0</v>
      </c>
      <c r="X2174" s="102">
        <f t="shared" si="1532"/>
        <v>0</v>
      </c>
      <c r="Y2174" s="120" t="b">
        <f t="shared" si="1533"/>
        <v>0</v>
      </c>
      <c r="Z2174" s="117">
        <f t="shared" si="1534"/>
        <v>0</v>
      </c>
      <c r="AA2174" s="118"/>
      <c r="AB2174" s="118" t="str">
        <f t="shared" si="1535"/>
        <v/>
      </c>
      <c r="AC2174" s="712" t="str">
        <f>IF(AE2174="T2G","no charge",IF(AND(OR(PlanterYesMe="No",PlanterYesMe="N",PlanterYesMe="me"),H2174=""),"",IF(H2174="credit","NO install",IF(AND(K2174="",AE2174="me"),"EACH row",IF(AND(K2174="images",AE2174="me"),"EACH row",IF(D2174="","",IF(H2174="credit","",IF(AE2174="free","re-planting",IF(AE2174="me","   not ELP, by",IF(AND(OR(PlanterYesMe="Yes",PlanterYesMe="Y"),G2174&gt;0),(VLOOKUP(A2174,'Discount Lookup'!J:K,2)*G2174*(1-PlanterDiscount)*(1+PlanterDifficultyPercentage)),IF(AE2174="ELP",(VLOOKUP(A2174,'Discount Lookup'!J:K,2)*G2174*(1-PlanterDiscount)*(1+PlanterDifficultyPercentage)),IF(AE2174="free","re-planting",IF(G2174=0,"",IF(PlanterYesMe="",IF(AE2174="me","   not ELP, by",IF(AE2174="",IF(G2174&gt;0,(VLOOKUP(A2174,'Discount Lookup'!J:K,2)*G2174*(1-PlanterDiscount)*(1+PlanterDifficultyPercentage)),""),"")),"   not ELP, by"))))))))))))))</f>
        <v/>
      </c>
      <c r="AD2174" s="712"/>
      <c r="AE2174" s="513" t="str">
        <f t="shared" si="1536"/>
        <v/>
      </c>
      <c r="AF2174" s="713" t="str">
        <f t="shared" si="1537"/>
        <v/>
      </c>
      <c r="AG2174" s="713"/>
      <c r="AH2174" s="713"/>
      <c r="AI2174" s="112">
        <f>IF(H2174="credit",0,IF(AE2174="free",0,IF(AE2174="me",0,IF(G2174&gt;0,(VLOOKUP(A2174,'Discount Lookup'!J:K,2)*G2174),0))))</f>
        <v>0</v>
      </c>
      <c r="AJ2174" s="107" t="str">
        <f t="shared" ca="1" si="1538"/>
        <v/>
      </c>
      <c r="AK2174" s="714" t="str">
        <f t="shared" si="1539"/>
        <v/>
      </c>
      <c r="AL2174" s="714"/>
      <c r="AM2174" s="114" t="str">
        <f t="shared" si="1540"/>
        <v/>
      </c>
      <c r="AN2174" s="115"/>
      <c r="AO2174" s="116"/>
      <c r="AP2174" s="116"/>
      <c r="AQ2174" s="116"/>
      <c r="AR2174" s="116"/>
      <c r="AS2174" s="116"/>
      <c r="AT2174" s="116"/>
      <c r="AU2174" s="116"/>
      <c r="AV2174" s="78"/>
      <c r="AW2174" s="102"/>
      <c r="AX2174" s="78"/>
      <c r="AY2174" s="78"/>
      <c r="AZ2174" s="78"/>
      <c r="BA2174" s="78"/>
      <c r="BB2174" s="78"/>
      <c r="BC2174" s="78"/>
      <c r="BD2174" s="78"/>
      <c r="BE2174" s="465"/>
      <c r="BF2174" s="165" t="str">
        <f t="shared" si="1541"/>
        <v>https://www.google.com/search?tbm=isch&amp;q=3%20G5</v>
      </c>
      <c r="BG2174" s="165" t="str">
        <f t="shared" si="1542"/>
        <v>I</v>
      </c>
      <c r="BH2174" s="65"/>
      <c r="BI2174" s="65"/>
      <c r="BJ2174" s="65"/>
      <c r="BK2174" s="65"/>
      <c r="BL2174" s="99"/>
      <c r="BM2174" s="99"/>
      <c r="BN2174" s="99"/>
    </row>
    <row r="2175" spans="1:66" s="51" customFormat="1" ht="16.5" thickBot="1" x14ac:dyDescent="0.3">
      <c r="A2175" s="508" t="s">
        <v>2944</v>
      </c>
      <c r="B2175" s="487"/>
      <c r="C2175" s="707"/>
      <c r="D2175" s="487"/>
      <c r="E2175" s="487"/>
      <c r="F2175" s="488"/>
      <c r="G2175" s="489"/>
      <c r="H2175" s="487"/>
      <c r="I2175" s="490"/>
      <c r="J2175" s="490"/>
      <c r="K2175" s="491"/>
      <c r="L2175" s="547"/>
      <c r="M2175" s="528"/>
      <c r="N2175" s="492"/>
      <c r="O2175" s="493"/>
      <c r="P2175" s="494"/>
      <c r="Q2175" s="492"/>
      <c r="R2175" s="492"/>
      <c r="S2175" s="699" t="s">
        <v>5259</v>
      </c>
      <c r="T2175" s="102">
        <f t="shared" si="1530"/>
        <v>0</v>
      </c>
      <c r="U2175" s="78" t="str">
        <f>IF(NOT(ISNUMBER(G2175)), "", VLOOKUP(A2175,'Discount Lookup'!D:E,2,FALSE)*G2175)</f>
        <v/>
      </c>
      <c r="V2175" s="78" t="str">
        <f>IF(NOT(ISNUMBER(G2175)), "", VLOOKUP(A2175,'Discount Lookup'!G:H,2,FALSE)*G2175)</f>
        <v/>
      </c>
      <c r="W2175" s="102">
        <f t="shared" si="1531"/>
        <v>0</v>
      </c>
      <c r="X2175" s="102">
        <f t="shared" si="1532"/>
        <v>0</v>
      </c>
      <c r="Y2175" s="120" t="b">
        <f t="shared" si="1533"/>
        <v>0</v>
      </c>
      <c r="Z2175" s="117">
        <f t="shared" si="1534"/>
        <v>0</v>
      </c>
      <c r="AA2175" s="118"/>
      <c r="AB2175" s="118" t="str">
        <f t="shared" si="1535"/>
        <v/>
      </c>
      <c r="AC2175" s="712" t="str">
        <f>IF(AE2175="T2G","no charge",IF(AND(OR(PlanterYesMe="No",PlanterYesMe="N",PlanterYesMe="me"),H2175=""),"",IF(H2175="credit","NO install",IF(AND(K2175="",AE2175="me"),"EACH row",IF(AND(K2175="images",AE2175="me"),"EACH row",IF(D2175="","",IF(H2175="credit","",IF(AE2175="free","re-planting",IF(AE2175="me","   not ELP, by",IF(AND(OR(PlanterYesMe="Yes",PlanterYesMe="Y"),G2175&gt;0),(VLOOKUP(A2175,'Discount Lookup'!J:K,2)*G2175*(1-PlanterDiscount)*(1+PlanterDifficultyPercentage)),IF(AE2175="ELP",(VLOOKUP(A2175,'Discount Lookup'!J:K,2)*G2175*(1-PlanterDiscount)*(1+PlanterDifficultyPercentage)),IF(AE2175="free","re-planting",IF(G2175=0,"",IF(PlanterYesMe="",IF(AE2175="me","   not ELP, by",IF(AE2175="",IF(G2175&gt;0,(VLOOKUP(A2175,'Discount Lookup'!J:K,2)*G2175*(1-PlanterDiscount)*(1+PlanterDifficultyPercentage)),""),"")),"   not ELP, by"))))))))))))))</f>
        <v/>
      </c>
      <c r="AD2175" s="712"/>
      <c r="AE2175" s="513" t="str">
        <f t="shared" si="1536"/>
        <v/>
      </c>
      <c r="AF2175" s="713" t="str">
        <f t="shared" si="1537"/>
        <v/>
      </c>
      <c r="AG2175" s="713"/>
      <c r="AH2175" s="713"/>
      <c r="AI2175" s="112">
        <f>IF(H2175="credit",0,IF(AE2175="free",0,IF(AE2175="me",0,IF(G2175&gt;0,(VLOOKUP(A2175,'Discount Lookup'!J:K,2)*G2175),0))))</f>
        <v>0</v>
      </c>
      <c r="AJ2175" s="107" t="str">
        <f t="shared" ca="1" si="1538"/>
        <v/>
      </c>
      <c r="AK2175" s="714" t="str">
        <f t="shared" si="1539"/>
        <v/>
      </c>
      <c r="AL2175" s="714"/>
      <c r="AM2175" s="114" t="str">
        <f t="shared" si="1540"/>
        <v/>
      </c>
      <c r="AN2175" s="115"/>
      <c r="AO2175" s="116"/>
      <c r="AP2175" s="116"/>
      <c r="AQ2175" s="116"/>
      <c r="AR2175" s="116"/>
      <c r="AS2175" s="116"/>
      <c r="AT2175" s="116"/>
      <c r="AU2175" s="116"/>
      <c r="AV2175" s="78"/>
      <c r="AW2175" s="102"/>
      <c r="AX2175" s="78"/>
      <c r="AY2175" s="78"/>
      <c r="AZ2175" s="78"/>
      <c r="BA2175" s="78"/>
      <c r="BB2175" s="78"/>
      <c r="BC2175" s="78"/>
      <c r="BD2175" s="78"/>
      <c r="BE2175" s="465"/>
      <c r="BF2175" s="165" t="str">
        <f t="shared" si="1541"/>
        <v>https://www.google.com/search?tbm=isch&amp;q=Golden%20Soft%20Touch%20foliage%20emerge%20Golden-Green.%20It%20is%20indeed%20soft%20to%20the%20touch.%20Not%20drought%20tolerant%20</v>
      </c>
      <c r="BG2175" s="165" t="str">
        <f t="shared" si="1542"/>
        <v>G</v>
      </c>
      <c r="BH2175" s="65"/>
      <c r="BI2175" s="65"/>
      <c r="BJ2175" s="65"/>
      <c r="BK2175" s="65"/>
      <c r="BL2175" s="99"/>
      <c r="BM2175" s="99"/>
      <c r="BN2175" s="99"/>
    </row>
    <row r="2176" spans="1:66" s="51" customFormat="1" ht="18" x14ac:dyDescent="0.25">
      <c r="A2176" s="507" t="s">
        <v>2945</v>
      </c>
      <c r="B2176" s="470"/>
      <c r="C2176" s="706"/>
      <c r="D2176" s="471" t="s">
        <v>2946</v>
      </c>
      <c r="E2176" s="472"/>
      <c r="F2176" s="472"/>
      <c r="G2176" s="472"/>
      <c r="H2176" s="622" t="s">
        <v>1076</v>
      </c>
      <c r="I2176" s="473" t="s">
        <v>431</v>
      </c>
      <c r="J2176" s="472"/>
      <c r="K2176" s="472"/>
      <c r="L2176" s="561"/>
      <c r="M2176" s="698" t="s">
        <v>5246</v>
      </c>
      <c r="N2176" s="692" t="str">
        <f>IF(AND(ISTEXT($A2176), ISERROR($A2176+0)), HYPERLINK($BF2176, "Images"), "")</f>
        <v>Images</v>
      </c>
      <c r="O2176" s="694" t="s">
        <v>5247</v>
      </c>
      <c r="P2176" s="475"/>
      <c r="Q2176" s="476"/>
      <c r="R2176" s="476"/>
      <c r="S2176" s="477"/>
      <c r="T2176" s="102">
        <f t="shared" si="1530"/>
        <v>0</v>
      </c>
      <c r="U2176" s="78" t="str">
        <f>IF(NOT(ISNUMBER(G2176)), "", VLOOKUP(A2176,'Discount Lookup'!D:E,2,FALSE)*G2176)</f>
        <v/>
      </c>
      <c r="V2176" s="78" t="str">
        <f>IF(NOT(ISNUMBER(G2176)), "", VLOOKUP(A2176,'Discount Lookup'!G:H,2,FALSE)*G2176)</f>
        <v/>
      </c>
      <c r="W2176" s="102">
        <f t="shared" si="1531"/>
        <v>0</v>
      </c>
      <c r="X2176" s="102" t="str">
        <f t="shared" si="1532"/>
        <v>Dark Green foliage</v>
      </c>
      <c r="Y2176" s="120" t="b">
        <f t="shared" si="1533"/>
        <v>0</v>
      </c>
      <c r="Z2176" s="117">
        <f t="shared" si="1534"/>
        <v>0</v>
      </c>
      <c r="AA2176" s="118"/>
      <c r="AB2176" s="118" t="str">
        <f t="shared" si="1535"/>
        <v/>
      </c>
      <c r="AC2176" s="712" t="str">
        <f>IF(AE2176="T2G","no charge",IF(AND(OR(PlanterYesMe="No",PlanterYesMe="N",PlanterYesMe="me"),H2176=""),"",IF(H2176="credit","NO install",IF(AND(K2176="",AE2176="me"),"EACH row",IF(AND(K2176="images",AE2176="me"),"EACH row",IF(D2176="","",IF(H2176="credit","",IF(AE2176="free","re-planting",IF(AE2176="me","   not ELP, by",IF(AND(OR(PlanterYesMe="Yes",PlanterYesMe="Y"),G2176&gt;0),(VLOOKUP(A2176,'Discount Lookup'!J:K,2)*G2176*(1-PlanterDiscount)*(1+PlanterDifficultyPercentage)),IF(AE2176="ELP",(VLOOKUP(A2176,'Discount Lookup'!J:K,2)*G2176*(1-PlanterDiscount)*(1+PlanterDifficultyPercentage)),IF(AE2176="free","re-planting",IF(G2176=0,"",IF(PlanterYesMe="",IF(AE2176="me","   not ELP, by",IF(AE2176="",IF(G2176&gt;0,(VLOOKUP(A2176,'Discount Lookup'!J:K,2)*G2176*(1-PlanterDiscount)*(1+PlanterDifficultyPercentage)),""),"")),"   not ELP, by"))))))))))))))</f>
        <v/>
      </c>
      <c r="AD2176" s="712"/>
      <c r="AE2176" s="513" t="str">
        <f t="shared" si="1536"/>
        <v/>
      </c>
      <c r="AF2176" s="713" t="str">
        <f t="shared" si="1537"/>
        <v/>
      </c>
      <c r="AG2176" s="713"/>
      <c r="AH2176" s="713"/>
      <c r="AI2176" s="112">
        <f>IF(H2176="credit",0,IF(AE2176="free",0,IF(AE2176="me",0,IF(G2176&gt;0,(VLOOKUP(A2176,'Discount Lookup'!J:K,2)*G2176),0))))</f>
        <v>0</v>
      </c>
      <c r="AJ2176" s="107" t="str">
        <f t="shared" ca="1" si="1538"/>
        <v/>
      </c>
      <c r="AK2176" s="714" t="str">
        <f t="shared" si="1539"/>
        <v/>
      </c>
      <c r="AL2176" s="714"/>
      <c r="AM2176" s="114" t="str">
        <f t="shared" si="1540"/>
        <v/>
      </c>
      <c r="AN2176" s="115"/>
      <c r="AO2176" s="116"/>
      <c r="AP2176" s="116"/>
      <c r="AQ2176" s="116"/>
      <c r="AR2176" s="116"/>
      <c r="AS2176" s="116"/>
      <c r="AT2176" s="116"/>
      <c r="AU2176" s="116"/>
      <c r="AV2176" s="78"/>
      <c r="AW2176" s="102"/>
      <c r="AX2176" s="78"/>
      <c r="AY2176" s="78"/>
      <c r="AZ2176" s="78"/>
      <c r="BA2176" s="78"/>
      <c r="BB2176" s="78"/>
      <c r="BC2176" s="78"/>
      <c r="BD2176" s="78"/>
      <c r="BE2176" s="465"/>
      <c r="BF2176" s="165" t="str">
        <f t="shared" si="1541"/>
        <v>https://www.google.com/search?tbm=isch&amp;q=Ilex%20crenata%20%27Helleri%27%20Helleri%20Holly</v>
      </c>
      <c r="BG2176" s="165" t="str">
        <f t="shared" si="1542"/>
        <v>I</v>
      </c>
      <c r="BH2176" s="65"/>
      <c r="BI2176" s="65"/>
      <c r="BJ2176" s="65"/>
      <c r="BK2176" s="65"/>
      <c r="BL2176" s="99"/>
      <c r="BM2176" s="99"/>
      <c r="BN2176" s="99"/>
    </row>
    <row r="2177" spans="1:66" s="51" customFormat="1" ht="15.75" x14ac:dyDescent="0.25">
      <c r="A2177" s="478">
        <v>3</v>
      </c>
      <c r="B2177" s="479" t="s">
        <v>291</v>
      </c>
      <c r="C2177" s="480" t="s">
        <v>2947</v>
      </c>
      <c r="D2177" s="481" t="s">
        <v>329</v>
      </c>
      <c r="E2177" s="482">
        <v>24.95</v>
      </c>
      <c r="F2177" s="483" t="s">
        <v>292</v>
      </c>
      <c r="G2177" s="484">
        <v>0</v>
      </c>
      <c r="H2177" s="688" t="str">
        <f>IF(G2177=0,"",IF(F2177="Buy",IF(G2177=1,"plant","plants"),IF(F2177&gt;0.01,"warranty","Error")))</f>
        <v/>
      </c>
      <c r="I2177" s="485">
        <f>IF(H2177="free",0,IF(H2177="credit",((E2177*(F2177))*G2177*-1),IF(F2177="Buy",(E2177*G2177),((E2177*(1-F2177))*G2177))))</f>
        <v>0</v>
      </c>
      <c r="J2177" s="485">
        <f>IF(H2177="warranty",0,(I2177*(_xlfn.SINGLE(SalesTaxPercentage))))</f>
        <v>0</v>
      </c>
      <c r="K2177" s="715">
        <f t="shared" ref="K2177" si="1585">I2177+J2177</f>
        <v>0</v>
      </c>
      <c r="L2177" s="715"/>
      <c r="M2177" s="689" t="str">
        <f ca="1">IF(AND(G2177&gt;0,E2177=0),"WARNING - no PRICE inserted",IF(H2177="free","FREE ~ no charge this plant",IF(H2177="credit",CONCATENATE("-$",ROUND(K2177*(1-_xlfn.SINGLE(T2GDiscount))*-1,2)," CREDIT after discount"),IF(_xlfn.SINGLE(T2GDiscount)=0,"",IF(G2177=0,"",IF(F2177="Buy",CONCATENATE("$",ROUND(K2177*(1-_xlfn.SINGLE(T2GDiscount)),2)," with ",(_xlfn.SINGLE(T2GDiscount)*100),"% discount"),CONCATENATE("$",ROUND(K2177*(1-_xlfn.SINGLE(T2GDiscount)),2)," with ",((_xlfn.SINGLE(T2GDiscount)*100+F2177*100)-(_xlfn.SINGLE(T2GDiscount)*100*F2177)),IF(F2177&gt;0,"% discounts",IF(_xlfn.SINGLE(NoWarrantyDiscount)&gt;0,"% discounts","% discount")))))))))</f>
        <v/>
      </c>
      <c r="N2177" s="690"/>
      <c r="O2177" s="486"/>
      <c r="P2177" s="486"/>
      <c r="Q2177" s="486"/>
      <c r="R2177" s="486"/>
      <c r="S2177" s="486"/>
      <c r="T2177" s="102">
        <f t="shared" si="1530"/>
        <v>0</v>
      </c>
      <c r="U2177" s="78">
        <f>IF(NOT(ISNUMBER(G2177)), "", VLOOKUP(A2177,'Discount Lookup'!D:E,2,FALSE)*G2177)</f>
        <v>0</v>
      </c>
      <c r="V2177" s="78">
        <f>IF(NOT(ISNUMBER(G2177)), "", VLOOKUP(A2177,'Discount Lookup'!G:H,2,FALSE)*G2177)</f>
        <v>0</v>
      </c>
      <c r="W2177" s="102">
        <f t="shared" si="1531"/>
        <v>0</v>
      </c>
      <c r="X2177" s="102">
        <f t="shared" si="1532"/>
        <v>0</v>
      </c>
      <c r="Y2177" s="120" t="b">
        <f t="shared" si="1533"/>
        <v>0</v>
      </c>
      <c r="Z2177" s="117">
        <f t="shared" si="1534"/>
        <v>0</v>
      </c>
      <c r="AA2177" s="118"/>
      <c r="AB2177" s="118" t="str">
        <f t="shared" si="1535"/>
        <v/>
      </c>
      <c r="AC2177" s="712" t="str">
        <f>IF(AE2177="T2G","no charge",IF(AND(OR(PlanterYesMe="No",PlanterYesMe="N",PlanterYesMe="me"),H2177=""),"",IF(H2177="credit","NO install",IF(AND(K2177="",AE2177="me"),"EACH row",IF(AND(K2177="images",AE2177="me"),"EACH row",IF(D2177="","",IF(H2177="credit","",IF(AE2177="free","re-planting",IF(AE2177="me","   not ELP, by",IF(AND(OR(PlanterYesMe="Yes",PlanterYesMe="Y"),G2177&gt;0),(VLOOKUP(A2177,'Discount Lookup'!J:K,2)*G2177*(1-PlanterDiscount)*(1+PlanterDifficultyPercentage)),IF(AE2177="ELP",(VLOOKUP(A2177,'Discount Lookup'!J:K,2)*G2177*(1-PlanterDiscount)*(1+PlanterDifficultyPercentage)),IF(AE2177="free","re-planting",IF(G2177=0,"",IF(PlanterYesMe="",IF(AE2177="me","   not ELP, by",IF(AE2177="",IF(G2177&gt;0,(VLOOKUP(A2177,'Discount Lookup'!J:K,2)*G2177*(1-PlanterDiscount)*(1+PlanterDifficultyPercentage)),""),"")),"   not ELP, by"))))))))))))))</f>
        <v/>
      </c>
      <c r="AD2177" s="712"/>
      <c r="AE2177" s="513" t="str">
        <f t="shared" si="1536"/>
        <v/>
      </c>
      <c r="AF2177" s="713" t="str">
        <f t="shared" si="1537"/>
        <v/>
      </c>
      <c r="AG2177" s="713"/>
      <c r="AH2177" s="713"/>
      <c r="AI2177" s="112">
        <f>IF(H2177="credit",0,IF(AE2177="free",0,IF(AE2177="me",0,IF(G2177&gt;0,(VLOOKUP(A2177,'Discount Lookup'!J:K,2)*G2177),0))))</f>
        <v>0</v>
      </c>
      <c r="AJ2177" s="107" t="str">
        <f t="shared" ca="1" si="1538"/>
        <v/>
      </c>
      <c r="AK2177" s="714" t="str">
        <f t="shared" si="1539"/>
        <v/>
      </c>
      <c r="AL2177" s="714"/>
      <c r="AM2177" s="114" t="str">
        <f t="shared" si="1540"/>
        <v/>
      </c>
      <c r="AN2177" s="115"/>
      <c r="AO2177" s="116"/>
      <c r="AP2177" s="116"/>
      <c r="AQ2177" s="116"/>
      <c r="AR2177" s="116"/>
      <c r="AS2177" s="116"/>
      <c r="AT2177" s="116"/>
      <c r="AU2177" s="116"/>
      <c r="AV2177" s="78"/>
      <c r="AW2177" s="102"/>
      <c r="AX2177" s="78"/>
      <c r="AY2177" s="78"/>
      <c r="AZ2177" s="78"/>
      <c r="BA2177" s="78"/>
      <c r="BB2177" s="78"/>
      <c r="BC2177" s="78"/>
      <c r="BD2177" s="78"/>
      <c r="BE2177" s="465"/>
      <c r="BF2177" s="165" t="str">
        <f t="shared" si="1541"/>
        <v>https://www.google.com/search?tbm=isch&amp;q=3%20G2</v>
      </c>
      <c r="BG2177" s="165" t="str">
        <f t="shared" si="1542"/>
        <v>I</v>
      </c>
      <c r="BH2177" s="65"/>
      <c r="BI2177" s="65"/>
      <c r="BJ2177" s="65"/>
      <c r="BK2177" s="65"/>
      <c r="BL2177" s="99"/>
      <c r="BM2177" s="99"/>
      <c r="BN2177" s="99"/>
    </row>
    <row r="2178" spans="1:66" s="51" customFormat="1" ht="15.75" x14ac:dyDescent="0.25">
      <c r="A2178" s="478">
        <v>3</v>
      </c>
      <c r="B2178" s="479" t="s">
        <v>291</v>
      </c>
      <c r="C2178" s="480"/>
      <c r="D2178" s="481" t="s">
        <v>310</v>
      </c>
      <c r="E2178" s="482">
        <v>25.95</v>
      </c>
      <c r="F2178" s="483" t="s">
        <v>292</v>
      </c>
      <c r="G2178" s="484">
        <v>0</v>
      </c>
      <c r="H2178" s="688" t="str">
        <f>IF(G2178=0,"",IF(F2178="Buy",IF(G2178=1,"plant","plants"),IF(F2178&gt;0.01,"warranty","Error")))</f>
        <v/>
      </c>
      <c r="I2178" s="485">
        <f>IF(H2178="free",0,IF(H2178="credit",((E2178*(F2178))*G2178*-1),IF(F2178="Buy",(E2178*G2178),((E2178*(1-F2178))*G2178))))</f>
        <v>0</v>
      </c>
      <c r="J2178" s="485">
        <f>IF(H2178="warranty",0,(I2178*(_xlfn.SINGLE(SalesTaxPercentage))))</f>
        <v>0</v>
      </c>
      <c r="K2178" s="715">
        <f t="shared" ref="K2178" si="1586">I2178+J2178</f>
        <v>0</v>
      </c>
      <c r="L2178" s="715"/>
      <c r="M2178" s="689" t="str">
        <f ca="1">IF(AND(G2178&gt;0,E2178=0),"WARNING - no PRICE inserted",IF(H2178="free","FREE ~ no charge this plant",IF(H2178="credit",CONCATENATE("-$",ROUND(K2178*(1-_xlfn.SINGLE(T2GDiscount))*-1,2)," CREDIT after discount"),IF(_xlfn.SINGLE(T2GDiscount)=0,"",IF(G2178=0,"",IF(F2178="Buy",CONCATENATE("$",ROUND(K2178*(1-_xlfn.SINGLE(T2GDiscount)),2)," with ",(_xlfn.SINGLE(T2GDiscount)*100),"% discount"),CONCATENATE("$",ROUND(K2178*(1-_xlfn.SINGLE(T2GDiscount)),2)," with ",((_xlfn.SINGLE(T2GDiscount)*100+F2178*100)-(_xlfn.SINGLE(T2GDiscount)*100*F2178)),IF(F2178&gt;0,"% discounts",IF(_xlfn.SINGLE(NoWarrantyDiscount)&gt;0,"% discounts","% discount")))))))))</f>
        <v/>
      </c>
      <c r="N2178" s="690"/>
      <c r="O2178" s="486"/>
      <c r="P2178" s="486"/>
      <c r="Q2178" s="486"/>
      <c r="R2178" s="486"/>
      <c r="S2178" s="486"/>
      <c r="T2178" s="102">
        <f t="shared" si="1530"/>
        <v>0</v>
      </c>
      <c r="U2178" s="78">
        <f>IF(NOT(ISNUMBER(G2178)), "", VLOOKUP(A2178,'Discount Lookup'!D:E,2,FALSE)*G2178)</f>
        <v>0</v>
      </c>
      <c r="V2178" s="78">
        <f>IF(NOT(ISNUMBER(G2178)), "", VLOOKUP(A2178,'Discount Lookup'!G:H,2,FALSE)*G2178)</f>
        <v>0</v>
      </c>
      <c r="W2178" s="102">
        <f t="shared" si="1531"/>
        <v>0</v>
      </c>
      <c r="X2178" s="102">
        <f t="shared" si="1532"/>
        <v>0</v>
      </c>
      <c r="Y2178" s="120" t="b">
        <f t="shared" si="1533"/>
        <v>0</v>
      </c>
      <c r="Z2178" s="117">
        <f t="shared" si="1534"/>
        <v>0</v>
      </c>
      <c r="AA2178" s="118"/>
      <c r="AB2178" s="118" t="str">
        <f t="shared" si="1535"/>
        <v/>
      </c>
      <c r="AC2178" s="712" t="str">
        <f>IF(AE2178="T2G","no charge",IF(AND(OR(PlanterYesMe="No",PlanterYesMe="N",PlanterYesMe="me"),H2178=""),"",IF(H2178="credit","NO install",IF(AND(K2178="",AE2178="me"),"EACH row",IF(AND(K2178="images",AE2178="me"),"EACH row",IF(D2178="","",IF(H2178="credit","",IF(AE2178="free","re-planting",IF(AE2178="me","   not ELP, by",IF(AND(OR(PlanterYesMe="Yes",PlanterYesMe="Y"),G2178&gt;0),(VLOOKUP(A2178,'Discount Lookup'!J:K,2)*G2178*(1-PlanterDiscount)*(1+PlanterDifficultyPercentage)),IF(AE2178="ELP",(VLOOKUP(A2178,'Discount Lookup'!J:K,2)*G2178*(1-PlanterDiscount)*(1+PlanterDifficultyPercentage)),IF(AE2178="free","re-planting",IF(G2178=0,"",IF(PlanterYesMe="",IF(AE2178="me","   not ELP, by",IF(AE2178="",IF(G2178&gt;0,(VLOOKUP(A2178,'Discount Lookup'!J:K,2)*G2178*(1-PlanterDiscount)*(1+PlanterDifficultyPercentage)),""),"")),"   not ELP, by"))))))))))))))</f>
        <v/>
      </c>
      <c r="AD2178" s="712"/>
      <c r="AE2178" s="513" t="str">
        <f t="shared" si="1536"/>
        <v/>
      </c>
      <c r="AF2178" s="713" t="str">
        <f t="shared" si="1537"/>
        <v/>
      </c>
      <c r="AG2178" s="713"/>
      <c r="AH2178" s="713"/>
      <c r="AI2178" s="112">
        <f>IF(H2178="credit",0,IF(AE2178="free",0,IF(AE2178="me",0,IF(G2178&gt;0,(VLOOKUP(A2178,'Discount Lookup'!J:K,2)*G2178),0))))</f>
        <v>0</v>
      </c>
      <c r="AJ2178" s="107" t="str">
        <f t="shared" ca="1" si="1538"/>
        <v/>
      </c>
      <c r="AK2178" s="714" t="str">
        <f t="shared" si="1539"/>
        <v/>
      </c>
      <c r="AL2178" s="714"/>
      <c r="AM2178" s="114" t="str">
        <f t="shared" si="1540"/>
        <v/>
      </c>
      <c r="AN2178" s="115"/>
      <c r="AO2178" s="116"/>
      <c r="AP2178" s="116"/>
      <c r="AQ2178" s="116"/>
      <c r="AR2178" s="116"/>
      <c r="AS2178" s="116"/>
      <c r="AT2178" s="116"/>
      <c r="AU2178" s="116"/>
      <c r="AV2178" s="78"/>
      <c r="AW2178" s="102"/>
      <c r="AX2178" s="78"/>
      <c r="AY2178" s="78"/>
      <c r="AZ2178" s="78"/>
      <c r="BA2178" s="78"/>
      <c r="BB2178" s="78"/>
      <c r="BC2178" s="78"/>
      <c r="BD2178" s="78"/>
      <c r="BE2178" s="465"/>
      <c r="BF2178" s="165" t="str">
        <f t="shared" si="1541"/>
        <v>https://www.google.com/search?tbm=isch&amp;q=3%20G1</v>
      </c>
      <c r="BG2178" s="165" t="str">
        <f t="shared" si="1542"/>
        <v>I</v>
      </c>
      <c r="BH2178" s="65"/>
      <c r="BI2178" s="65"/>
      <c r="BJ2178" s="65"/>
      <c r="BK2178" s="65"/>
      <c r="BL2178" s="99"/>
      <c r="BM2178" s="99"/>
      <c r="BN2178" s="99"/>
    </row>
    <row r="2179" spans="1:66" s="51" customFormat="1" ht="15.75" x14ac:dyDescent="0.25">
      <c r="A2179" s="478">
        <v>3</v>
      </c>
      <c r="B2179" s="479" t="s">
        <v>291</v>
      </c>
      <c r="C2179" s="480" t="s">
        <v>2948</v>
      </c>
      <c r="D2179" s="481" t="s">
        <v>311</v>
      </c>
      <c r="E2179" s="482">
        <v>27.95</v>
      </c>
      <c r="F2179" s="483" t="s">
        <v>292</v>
      </c>
      <c r="G2179" s="484">
        <v>0</v>
      </c>
      <c r="H2179" s="688" t="str">
        <f>IF(G2179=0,"",IF(F2179="Buy",IF(G2179=1,"plant","plants"),IF(F2179&gt;0.01,"warranty","Error")))</f>
        <v/>
      </c>
      <c r="I2179" s="485">
        <f>IF(H2179="free",0,IF(H2179="credit",((E2179*(F2179))*G2179*-1),IF(F2179="Buy",(E2179*G2179),((E2179*(1-F2179))*G2179))))</f>
        <v>0</v>
      </c>
      <c r="J2179" s="485">
        <f>IF(H2179="warranty",0,(I2179*(_xlfn.SINGLE(SalesTaxPercentage))))</f>
        <v>0</v>
      </c>
      <c r="K2179" s="715">
        <f t="shared" ref="K2179" si="1587">I2179+J2179</f>
        <v>0</v>
      </c>
      <c r="L2179" s="715"/>
      <c r="M2179" s="689" t="str">
        <f ca="1">IF(AND(G2179&gt;0,E2179=0),"WARNING - no PRICE inserted",IF(H2179="free","FREE ~ no charge this plant",IF(H2179="credit",CONCATENATE("-$",ROUND(K2179*(1-_xlfn.SINGLE(T2GDiscount))*-1,2)," CREDIT after discount"),IF(_xlfn.SINGLE(T2GDiscount)=0,"",IF(G2179=0,"",IF(F2179="Buy",CONCATENATE("$",ROUND(K2179*(1-_xlfn.SINGLE(T2GDiscount)),2)," with ",(_xlfn.SINGLE(T2GDiscount)*100),"% discount"),CONCATENATE("$",ROUND(K2179*(1-_xlfn.SINGLE(T2GDiscount)),2)," with ",((_xlfn.SINGLE(T2GDiscount)*100+F2179*100)-(_xlfn.SINGLE(T2GDiscount)*100*F2179)),IF(F2179&gt;0,"% discounts",IF(_xlfn.SINGLE(NoWarrantyDiscount)&gt;0,"% discounts","% discount")))))))))</f>
        <v/>
      </c>
      <c r="N2179" s="690"/>
      <c r="O2179" s="486"/>
      <c r="P2179" s="486"/>
      <c r="Q2179" s="486"/>
      <c r="R2179" s="486"/>
      <c r="S2179" s="486"/>
      <c r="T2179" s="102">
        <f t="shared" si="1530"/>
        <v>0</v>
      </c>
      <c r="U2179" s="78">
        <f>IF(NOT(ISNUMBER(G2179)), "", VLOOKUP(A2179,'Discount Lookup'!D:E,2,FALSE)*G2179)</f>
        <v>0</v>
      </c>
      <c r="V2179" s="78">
        <f>IF(NOT(ISNUMBER(G2179)), "", VLOOKUP(A2179,'Discount Lookup'!G:H,2,FALSE)*G2179)</f>
        <v>0</v>
      </c>
      <c r="W2179" s="102">
        <f t="shared" si="1531"/>
        <v>0</v>
      </c>
      <c r="X2179" s="102">
        <f t="shared" si="1532"/>
        <v>0</v>
      </c>
      <c r="Y2179" s="120" t="b">
        <f t="shared" si="1533"/>
        <v>0</v>
      </c>
      <c r="Z2179" s="117">
        <f t="shared" si="1534"/>
        <v>0</v>
      </c>
      <c r="AA2179" s="118"/>
      <c r="AB2179" s="118" t="str">
        <f t="shared" si="1535"/>
        <v/>
      </c>
      <c r="AC2179" s="712" t="str">
        <f>IF(AE2179="T2G","no charge",IF(AND(OR(PlanterYesMe="No",PlanterYesMe="N",PlanterYesMe="me"),H2179=""),"",IF(H2179="credit","NO install",IF(AND(K2179="",AE2179="me"),"EACH row",IF(AND(K2179="images",AE2179="me"),"EACH row",IF(D2179="","",IF(H2179="credit","",IF(AE2179="free","re-planting",IF(AE2179="me","   not ELP, by",IF(AND(OR(PlanterYesMe="Yes",PlanterYesMe="Y"),G2179&gt;0),(VLOOKUP(A2179,'Discount Lookup'!J:K,2)*G2179*(1-PlanterDiscount)*(1+PlanterDifficultyPercentage)),IF(AE2179="ELP",(VLOOKUP(A2179,'Discount Lookup'!J:K,2)*G2179*(1-PlanterDiscount)*(1+PlanterDifficultyPercentage)),IF(AE2179="free","re-planting",IF(G2179=0,"",IF(PlanterYesMe="",IF(AE2179="me","   not ELP, by",IF(AE2179="",IF(G2179&gt;0,(VLOOKUP(A2179,'Discount Lookup'!J:K,2)*G2179*(1-PlanterDiscount)*(1+PlanterDifficultyPercentage)),""),"")),"   not ELP, by"))))))))))))))</f>
        <v/>
      </c>
      <c r="AD2179" s="712"/>
      <c r="AE2179" s="513" t="str">
        <f t="shared" si="1536"/>
        <v/>
      </c>
      <c r="AF2179" s="713" t="str">
        <f t="shared" si="1537"/>
        <v/>
      </c>
      <c r="AG2179" s="713"/>
      <c r="AH2179" s="713"/>
      <c r="AI2179" s="112">
        <f>IF(H2179="credit",0,IF(AE2179="free",0,IF(AE2179="me",0,IF(G2179&gt;0,(VLOOKUP(A2179,'Discount Lookup'!J:K,2)*G2179),0))))</f>
        <v>0</v>
      </c>
      <c r="AJ2179" s="107" t="str">
        <f t="shared" ca="1" si="1538"/>
        <v/>
      </c>
      <c r="AK2179" s="714" t="str">
        <f t="shared" si="1539"/>
        <v/>
      </c>
      <c r="AL2179" s="714"/>
      <c r="AM2179" s="114" t="str">
        <f t="shared" si="1540"/>
        <v/>
      </c>
      <c r="AN2179" s="115"/>
      <c r="AO2179" s="116"/>
      <c r="AP2179" s="116"/>
      <c r="AQ2179" s="116"/>
      <c r="AR2179" s="116"/>
      <c r="AS2179" s="116"/>
      <c r="AT2179" s="116"/>
      <c r="AU2179" s="116"/>
      <c r="AV2179" s="78"/>
      <c r="AW2179" s="102"/>
      <c r="AX2179" s="78"/>
      <c r="AY2179" s="78"/>
      <c r="AZ2179" s="78"/>
      <c r="BA2179" s="78"/>
      <c r="BB2179" s="78"/>
      <c r="BC2179" s="78"/>
      <c r="BD2179" s="78"/>
      <c r="BE2179" s="465"/>
      <c r="BF2179" s="165" t="str">
        <f t="shared" si="1541"/>
        <v>https://www.google.com/search?tbm=isch&amp;q=3%20G5</v>
      </c>
      <c r="BG2179" s="165" t="str">
        <f t="shared" si="1542"/>
        <v>I</v>
      </c>
      <c r="BH2179" s="65"/>
      <c r="BI2179" s="65"/>
      <c r="BJ2179" s="65"/>
      <c r="BK2179" s="65"/>
      <c r="BL2179" s="99"/>
      <c r="BM2179" s="99"/>
      <c r="BN2179" s="99"/>
    </row>
    <row r="2180" spans="1:66" s="51" customFormat="1" ht="17.25" thickBot="1" x14ac:dyDescent="0.3">
      <c r="A2180" s="508" t="s">
        <v>2949</v>
      </c>
      <c r="B2180" s="487"/>
      <c r="C2180" s="707"/>
      <c r="D2180" s="487"/>
      <c r="E2180" s="487"/>
      <c r="F2180" s="488"/>
      <c r="G2180" s="489"/>
      <c r="H2180" s="487"/>
      <c r="I2180" s="490"/>
      <c r="J2180" s="490"/>
      <c r="K2180" s="491"/>
      <c r="L2180" s="547"/>
      <c r="M2180" s="528"/>
      <c r="N2180" s="492"/>
      <c r="O2180" s="493"/>
      <c r="P2180" s="494"/>
      <c r="Q2180" s="492"/>
      <c r="R2180" s="492"/>
      <c r="S2180" s="699" t="s">
        <v>5288</v>
      </c>
      <c r="T2180" s="102">
        <f t="shared" si="1530"/>
        <v>0</v>
      </c>
      <c r="U2180" s="78" t="str">
        <f>IF(NOT(ISNUMBER(G2180)), "", VLOOKUP(A2180,'Discount Lookup'!D:E,2,FALSE)*G2180)</f>
        <v/>
      </c>
      <c r="V2180" s="78" t="str">
        <f>IF(NOT(ISNUMBER(G2180)), "", VLOOKUP(A2180,'Discount Lookup'!G:H,2,FALSE)*G2180)</f>
        <v/>
      </c>
      <c r="W2180" s="102">
        <f t="shared" si="1531"/>
        <v>0</v>
      </c>
      <c r="X2180" s="102">
        <f t="shared" si="1532"/>
        <v>0</v>
      </c>
      <c r="Y2180" s="120" t="b">
        <f t="shared" si="1533"/>
        <v>0</v>
      </c>
      <c r="Z2180" s="117">
        <f t="shared" si="1534"/>
        <v>0</v>
      </c>
      <c r="AA2180" s="118"/>
      <c r="AB2180" s="118" t="str">
        <f t="shared" si="1535"/>
        <v/>
      </c>
      <c r="AC2180" s="712" t="str">
        <f>IF(AE2180="T2G","no charge",IF(AND(OR(PlanterYesMe="No",PlanterYesMe="N",PlanterYesMe="me"),H2180=""),"",IF(H2180="credit","NO install",IF(AND(K2180="",AE2180="me"),"EACH row",IF(AND(K2180="images",AE2180="me"),"EACH row",IF(D2180="","",IF(H2180="credit","",IF(AE2180="free","re-planting",IF(AE2180="me","   not ELP, by",IF(AND(OR(PlanterYesMe="Yes",PlanterYesMe="Y"),G2180&gt;0),(VLOOKUP(A2180,'Discount Lookup'!J:K,2)*G2180*(1-PlanterDiscount)*(1+PlanterDifficultyPercentage)),IF(AE2180="ELP",(VLOOKUP(A2180,'Discount Lookup'!J:K,2)*G2180*(1-PlanterDiscount)*(1+PlanterDifficultyPercentage)),IF(AE2180="free","re-planting",IF(G2180=0,"",IF(PlanterYesMe="",IF(AE2180="me","   not ELP, by",IF(AE2180="",IF(G2180&gt;0,(VLOOKUP(A2180,'Discount Lookup'!J:K,2)*G2180*(1-PlanterDiscount)*(1+PlanterDifficultyPercentage)),""),"")),"   not ELP, by"))))))))))))))</f>
        <v/>
      </c>
      <c r="AD2180" s="712"/>
      <c r="AE2180" s="513" t="str">
        <f t="shared" si="1536"/>
        <v/>
      </c>
      <c r="AF2180" s="713" t="str">
        <f t="shared" si="1537"/>
        <v/>
      </c>
      <c r="AG2180" s="713"/>
      <c r="AH2180" s="713"/>
      <c r="AI2180" s="112">
        <f>IF(H2180="credit",0,IF(AE2180="free",0,IF(AE2180="me",0,IF(G2180&gt;0,(VLOOKUP(A2180,'Discount Lookup'!J:K,2)*G2180),0))))</f>
        <v>0</v>
      </c>
      <c r="AJ2180" s="107" t="str">
        <f t="shared" ca="1" si="1538"/>
        <v/>
      </c>
      <c r="AK2180" s="714" t="str">
        <f t="shared" si="1539"/>
        <v/>
      </c>
      <c r="AL2180" s="714"/>
      <c r="AM2180" s="114" t="str">
        <f t="shared" si="1540"/>
        <v/>
      </c>
      <c r="AN2180" s="115"/>
      <c r="AO2180" s="116"/>
      <c r="AP2180" s="116"/>
      <c r="AQ2180" s="116"/>
      <c r="AR2180" s="116"/>
      <c r="AS2180" s="116"/>
      <c r="AT2180" s="116"/>
      <c r="AU2180" s="116"/>
      <c r="AV2180" s="78"/>
      <c r="AW2180" s="102"/>
      <c r="AX2180" s="78"/>
      <c r="AY2180" s="78"/>
      <c r="AZ2180" s="78"/>
      <c r="BA2180" s="78"/>
      <c r="BB2180" s="78"/>
      <c r="BC2180" s="78"/>
      <c r="BD2180" s="78"/>
      <c r="BE2180" s="465"/>
      <c r="BF2180" s="165" t="str">
        <f t="shared" si="1541"/>
        <v>https://www.google.com/search?tbm=isch&amp;q=Helleri%20is%20naturally%20a%20nice%20shape%2C%20with%20no%20pruning.%20All%20female%20%7E%20requires%20a%20male%20for%20better%20blooms%20%26%20Black%20berries%20</v>
      </c>
      <c r="BG2180" s="165" t="str">
        <f t="shared" si="1542"/>
        <v>H</v>
      </c>
      <c r="BH2180" s="65"/>
      <c r="BI2180" s="65"/>
      <c r="BJ2180" s="65"/>
      <c r="BK2180" s="65"/>
      <c r="BL2180" s="99"/>
      <c r="BM2180" s="99"/>
      <c r="BN2180" s="99"/>
    </row>
    <row r="2181" spans="1:66" s="51" customFormat="1" ht="18" x14ac:dyDescent="0.25">
      <c r="A2181" s="507" t="s">
        <v>2950</v>
      </c>
      <c r="B2181" s="470"/>
      <c r="C2181" s="706"/>
      <c r="D2181" s="471" t="s">
        <v>2951</v>
      </c>
      <c r="E2181" s="472"/>
      <c r="F2181" s="472"/>
      <c r="G2181" s="472"/>
      <c r="H2181" s="622" t="s">
        <v>1642</v>
      </c>
      <c r="I2181" s="473" t="s">
        <v>431</v>
      </c>
      <c r="J2181" s="472"/>
      <c r="K2181" s="472"/>
      <c r="L2181" s="561"/>
      <c r="M2181" s="698" t="s">
        <v>5246</v>
      </c>
      <c r="N2181" s="692" t="str">
        <f>IF(AND(ISTEXT($A2181), ISERROR($A2181+0)), HYPERLINK($BF2181, "Images"), "")</f>
        <v>Images</v>
      </c>
      <c r="O2181" s="694" t="s">
        <v>5244</v>
      </c>
      <c r="P2181" s="475"/>
      <c r="Q2181" s="476"/>
      <c r="R2181" s="476"/>
      <c r="S2181" s="477"/>
      <c r="T2181" s="102">
        <f t="shared" si="1530"/>
        <v>0</v>
      </c>
      <c r="U2181" s="78" t="str">
        <f>IF(NOT(ISNUMBER(G2181)), "", VLOOKUP(A2181,'Discount Lookup'!D:E,2,FALSE)*G2181)</f>
        <v/>
      </c>
      <c r="V2181" s="78" t="str">
        <f>IF(NOT(ISNUMBER(G2181)), "", VLOOKUP(A2181,'Discount Lookup'!G:H,2,FALSE)*G2181)</f>
        <v/>
      </c>
      <c r="W2181" s="102">
        <f t="shared" si="1531"/>
        <v>0</v>
      </c>
      <c r="X2181" s="102" t="str">
        <f t="shared" si="1532"/>
        <v>Dark Green foliage</v>
      </c>
      <c r="Y2181" s="120" t="b">
        <f t="shared" si="1533"/>
        <v>0</v>
      </c>
      <c r="Z2181" s="117">
        <f t="shared" si="1534"/>
        <v>0</v>
      </c>
      <c r="AA2181" s="118"/>
      <c r="AB2181" s="118" t="str">
        <f t="shared" si="1535"/>
        <v/>
      </c>
      <c r="AC2181" s="712" t="str">
        <f>IF(AE2181="T2G","no charge",IF(AND(OR(PlanterYesMe="No",PlanterYesMe="N",PlanterYesMe="me"),H2181=""),"",IF(H2181="credit","NO install",IF(AND(K2181="",AE2181="me"),"EACH row",IF(AND(K2181="images",AE2181="me"),"EACH row",IF(D2181="","",IF(H2181="credit","",IF(AE2181="free","re-planting",IF(AE2181="me","   not ELP, by",IF(AND(OR(PlanterYesMe="Yes",PlanterYesMe="Y"),G2181&gt;0),(VLOOKUP(A2181,'Discount Lookup'!J:K,2)*G2181*(1-PlanterDiscount)*(1+PlanterDifficultyPercentage)),IF(AE2181="ELP",(VLOOKUP(A2181,'Discount Lookup'!J:K,2)*G2181*(1-PlanterDiscount)*(1+PlanterDifficultyPercentage)),IF(AE2181="free","re-planting",IF(G2181=0,"",IF(PlanterYesMe="",IF(AE2181="me","   not ELP, by",IF(AE2181="",IF(G2181&gt;0,(VLOOKUP(A2181,'Discount Lookup'!J:K,2)*G2181*(1-PlanterDiscount)*(1+PlanterDifficultyPercentage)),""),"")),"   not ELP, by"))))))))))))))</f>
        <v/>
      </c>
      <c r="AD2181" s="712"/>
      <c r="AE2181" s="513" t="str">
        <f t="shared" si="1536"/>
        <v/>
      </c>
      <c r="AF2181" s="713" t="str">
        <f t="shared" si="1537"/>
        <v/>
      </c>
      <c r="AG2181" s="713"/>
      <c r="AH2181" s="713"/>
      <c r="AI2181" s="112">
        <f>IF(H2181="credit",0,IF(AE2181="free",0,IF(AE2181="me",0,IF(G2181&gt;0,(VLOOKUP(A2181,'Discount Lookup'!J:K,2)*G2181),0))))</f>
        <v>0</v>
      </c>
      <c r="AJ2181" s="107" t="str">
        <f t="shared" ca="1" si="1538"/>
        <v/>
      </c>
      <c r="AK2181" s="714" t="str">
        <f t="shared" si="1539"/>
        <v/>
      </c>
      <c r="AL2181" s="714"/>
      <c r="AM2181" s="114" t="str">
        <f t="shared" si="1540"/>
        <v/>
      </c>
      <c r="AN2181" s="115"/>
      <c r="AO2181" s="116"/>
      <c r="AP2181" s="116"/>
      <c r="AQ2181" s="116"/>
      <c r="AR2181" s="116"/>
      <c r="AS2181" s="116"/>
      <c r="AT2181" s="116"/>
      <c r="AU2181" s="116"/>
      <c r="AV2181" s="78"/>
      <c r="AW2181" s="102"/>
      <c r="AX2181" s="78"/>
      <c r="AY2181" s="78"/>
      <c r="AZ2181" s="78"/>
      <c r="BA2181" s="78"/>
      <c r="BB2181" s="78"/>
      <c r="BC2181" s="78"/>
      <c r="BD2181" s="78"/>
      <c r="BE2181" s="465"/>
      <c r="BF2181" s="165" t="str">
        <f t="shared" si="1541"/>
        <v>https://www.google.com/search?tbm=isch&amp;q=Ilex%20crenata%20%27Hoogendorn%27%20Hoogendorn%20Holly</v>
      </c>
      <c r="BG2181" s="165" t="str">
        <f t="shared" si="1542"/>
        <v>I</v>
      </c>
      <c r="BH2181" s="65"/>
      <c r="BI2181" s="65"/>
      <c r="BJ2181" s="65"/>
      <c r="BK2181" s="65"/>
      <c r="BL2181" s="99"/>
      <c r="BM2181" s="99"/>
      <c r="BN2181" s="99"/>
    </row>
    <row r="2182" spans="1:66" s="51" customFormat="1" ht="15.75" x14ac:dyDescent="0.25">
      <c r="A2182" s="478">
        <v>3</v>
      </c>
      <c r="B2182" s="479" t="s">
        <v>291</v>
      </c>
      <c r="C2182" s="480"/>
      <c r="D2182" s="481" t="s">
        <v>309</v>
      </c>
      <c r="E2182" s="482">
        <v>22.95</v>
      </c>
      <c r="F2182" s="483" t="s">
        <v>292</v>
      </c>
      <c r="G2182" s="484">
        <v>0</v>
      </c>
      <c r="H2182" s="688" t="str">
        <f>IF(G2182=0,"",IF(F2182="Buy",IF(G2182=1,"plant","plants"),IF(F2182&gt;0.01,"warranty","Error")))</f>
        <v/>
      </c>
      <c r="I2182" s="485">
        <f>IF(H2182="free",0,IF(H2182="credit",((E2182*(F2182))*G2182*-1),IF(F2182="Buy",(E2182*G2182),((E2182*(1-F2182))*G2182))))</f>
        <v>0</v>
      </c>
      <c r="J2182" s="485">
        <f>IF(H2182="warranty",0,(I2182*(_xlfn.SINGLE(SalesTaxPercentage))))</f>
        <v>0</v>
      </c>
      <c r="K2182" s="715">
        <f t="shared" ref="K2182" si="1588">I2182+J2182</f>
        <v>0</v>
      </c>
      <c r="L2182" s="715"/>
      <c r="M2182" s="689" t="str">
        <f ca="1">IF(AND(G2182&gt;0,E2182=0),"WARNING - no PRICE inserted",IF(H2182="free","FREE ~ no charge this plant",IF(H2182="credit",CONCATENATE("-$",ROUND(K2182*(1-_xlfn.SINGLE(T2GDiscount))*-1,2)," CREDIT after discount"),IF(_xlfn.SINGLE(T2GDiscount)=0,"",IF(G2182=0,"",IF(F2182="Buy",CONCATENATE("$",ROUND(K2182*(1-_xlfn.SINGLE(T2GDiscount)),2)," with ",(_xlfn.SINGLE(T2GDiscount)*100),"% discount"),CONCATENATE("$",ROUND(K2182*(1-_xlfn.SINGLE(T2GDiscount)),2)," with ",((_xlfn.SINGLE(T2GDiscount)*100+F2182*100)-(_xlfn.SINGLE(T2GDiscount)*100*F2182)),IF(F2182&gt;0,"% discounts",IF(_xlfn.SINGLE(NoWarrantyDiscount)&gt;0,"% discounts","% discount")))))))))</f>
        <v/>
      </c>
      <c r="N2182" s="690"/>
      <c r="O2182" s="486"/>
      <c r="P2182" s="486"/>
      <c r="Q2182" s="486"/>
      <c r="R2182" s="486"/>
      <c r="S2182" s="486"/>
      <c r="T2182" s="102">
        <f t="shared" si="1530"/>
        <v>0</v>
      </c>
      <c r="U2182" s="78">
        <f>IF(NOT(ISNUMBER(G2182)), "", VLOOKUP(A2182,'Discount Lookup'!D:E,2,FALSE)*G2182)</f>
        <v>0</v>
      </c>
      <c r="V2182" s="78">
        <f>IF(NOT(ISNUMBER(G2182)), "", VLOOKUP(A2182,'Discount Lookup'!G:H,2,FALSE)*G2182)</f>
        <v>0</v>
      </c>
      <c r="W2182" s="102">
        <f t="shared" si="1531"/>
        <v>0</v>
      </c>
      <c r="X2182" s="102">
        <f t="shared" si="1532"/>
        <v>0</v>
      </c>
      <c r="Y2182" s="120" t="b">
        <f t="shared" si="1533"/>
        <v>0</v>
      </c>
      <c r="Z2182" s="117">
        <f t="shared" si="1534"/>
        <v>0</v>
      </c>
      <c r="AA2182" s="118"/>
      <c r="AB2182" s="118" t="str">
        <f t="shared" si="1535"/>
        <v/>
      </c>
      <c r="AC2182" s="712" t="str">
        <f>IF(AE2182="T2G","no charge",IF(AND(OR(PlanterYesMe="No",PlanterYesMe="N",PlanterYesMe="me"),H2182=""),"",IF(H2182="credit","NO install",IF(AND(K2182="",AE2182="me"),"EACH row",IF(AND(K2182="images",AE2182="me"),"EACH row",IF(D2182="","",IF(H2182="credit","",IF(AE2182="free","re-planting",IF(AE2182="me","   not ELP, by",IF(AND(OR(PlanterYesMe="Yes",PlanterYesMe="Y"),G2182&gt;0),(VLOOKUP(A2182,'Discount Lookup'!J:K,2)*G2182*(1-PlanterDiscount)*(1+PlanterDifficultyPercentage)),IF(AE2182="ELP",(VLOOKUP(A2182,'Discount Lookup'!J:K,2)*G2182*(1-PlanterDiscount)*(1+PlanterDifficultyPercentage)),IF(AE2182="free","re-planting",IF(G2182=0,"",IF(PlanterYesMe="",IF(AE2182="me","   not ELP, by",IF(AE2182="",IF(G2182&gt;0,(VLOOKUP(A2182,'Discount Lookup'!J:K,2)*G2182*(1-PlanterDiscount)*(1+PlanterDifficultyPercentage)),""),"")),"   not ELP, by"))))))))))))))</f>
        <v/>
      </c>
      <c r="AD2182" s="712"/>
      <c r="AE2182" s="513" t="str">
        <f t="shared" si="1536"/>
        <v/>
      </c>
      <c r="AF2182" s="713" t="str">
        <f t="shared" si="1537"/>
        <v/>
      </c>
      <c r="AG2182" s="713"/>
      <c r="AH2182" s="713"/>
      <c r="AI2182" s="112">
        <f>IF(H2182="credit",0,IF(AE2182="free",0,IF(AE2182="me",0,IF(G2182&gt;0,(VLOOKUP(A2182,'Discount Lookup'!J:K,2)*G2182),0))))</f>
        <v>0</v>
      </c>
      <c r="AJ2182" s="107" t="str">
        <f t="shared" ca="1" si="1538"/>
        <v/>
      </c>
      <c r="AK2182" s="714" t="str">
        <f t="shared" si="1539"/>
        <v/>
      </c>
      <c r="AL2182" s="714"/>
      <c r="AM2182" s="114" t="str">
        <f t="shared" si="1540"/>
        <v/>
      </c>
      <c r="AN2182" s="115"/>
      <c r="AO2182" s="116"/>
      <c r="AP2182" s="116"/>
      <c r="AQ2182" s="116"/>
      <c r="AR2182" s="116"/>
      <c r="AS2182" s="116"/>
      <c r="AT2182" s="116"/>
      <c r="AU2182" s="116"/>
      <c r="AV2182" s="78"/>
      <c r="AW2182" s="102"/>
      <c r="AX2182" s="78"/>
      <c r="AY2182" s="78"/>
      <c r="AZ2182" s="78"/>
      <c r="BA2182" s="78"/>
      <c r="BB2182" s="78"/>
      <c r="BC2182" s="78"/>
      <c r="BD2182" s="78"/>
      <c r="BE2182" s="465"/>
      <c r="BF2182" s="165" t="str">
        <f t="shared" si="1541"/>
        <v>https://www.google.com/search?tbm=isch&amp;q=3%20G3</v>
      </c>
      <c r="BG2182" s="165" t="str">
        <f t="shared" si="1542"/>
        <v>I</v>
      </c>
      <c r="BH2182" s="65"/>
      <c r="BI2182" s="65"/>
      <c r="BJ2182" s="65"/>
      <c r="BK2182" s="65"/>
      <c r="BL2182" s="99"/>
      <c r="BM2182" s="99"/>
      <c r="BN2182" s="99"/>
    </row>
    <row r="2183" spans="1:66" s="51" customFormat="1" ht="15.75" x14ac:dyDescent="0.25">
      <c r="A2183" s="478">
        <v>3</v>
      </c>
      <c r="B2183" s="479" t="s">
        <v>291</v>
      </c>
      <c r="C2183" s="480" t="s">
        <v>2952</v>
      </c>
      <c r="D2183" s="481" t="s">
        <v>329</v>
      </c>
      <c r="E2183" s="482">
        <v>24.95</v>
      </c>
      <c r="F2183" s="483" t="s">
        <v>292</v>
      </c>
      <c r="G2183" s="484">
        <v>0</v>
      </c>
      <c r="H2183" s="688" t="str">
        <f>IF(G2183=0,"",IF(F2183="Buy",IF(G2183=1,"plant","plants"),IF(F2183&gt;0.01,"warranty","Error")))</f>
        <v/>
      </c>
      <c r="I2183" s="485">
        <f>IF(H2183="free",0,IF(H2183="credit",((E2183*(F2183))*G2183*-1),IF(F2183="Buy",(E2183*G2183),((E2183*(1-F2183))*G2183))))</f>
        <v>0</v>
      </c>
      <c r="J2183" s="485">
        <f>IF(H2183="warranty",0,(I2183*(_xlfn.SINGLE(SalesTaxPercentage))))</f>
        <v>0</v>
      </c>
      <c r="K2183" s="715">
        <f t="shared" ref="K2183" si="1589">I2183+J2183</f>
        <v>0</v>
      </c>
      <c r="L2183" s="715"/>
      <c r="M2183" s="689" t="str">
        <f ca="1">IF(AND(G2183&gt;0,E2183=0),"WARNING - no PRICE inserted",IF(H2183="free","FREE ~ no charge this plant",IF(H2183="credit",CONCATENATE("-$",ROUND(K2183*(1-_xlfn.SINGLE(T2GDiscount))*-1,2)," CREDIT after discount"),IF(_xlfn.SINGLE(T2GDiscount)=0,"",IF(G2183=0,"",IF(F2183="Buy",CONCATENATE("$",ROUND(K2183*(1-_xlfn.SINGLE(T2GDiscount)),2)," with ",(_xlfn.SINGLE(T2GDiscount)*100),"% discount"),CONCATENATE("$",ROUND(K2183*(1-_xlfn.SINGLE(T2GDiscount)),2)," with ",((_xlfn.SINGLE(T2GDiscount)*100+F2183*100)-(_xlfn.SINGLE(T2GDiscount)*100*F2183)),IF(F2183&gt;0,"% discounts",IF(_xlfn.SINGLE(NoWarrantyDiscount)&gt;0,"% discounts","% discount")))))))))</f>
        <v/>
      </c>
      <c r="N2183" s="690"/>
      <c r="O2183" s="486"/>
      <c r="P2183" s="486"/>
      <c r="Q2183" s="486"/>
      <c r="R2183" s="486"/>
      <c r="S2183" s="486"/>
      <c r="T2183" s="102">
        <f t="shared" si="1530"/>
        <v>0</v>
      </c>
      <c r="U2183" s="78">
        <f>IF(NOT(ISNUMBER(G2183)), "", VLOOKUP(A2183,'Discount Lookup'!D:E,2,FALSE)*G2183)</f>
        <v>0</v>
      </c>
      <c r="V2183" s="78">
        <f>IF(NOT(ISNUMBER(G2183)), "", VLOOKUP(A2183,'Discount Lookup'!G:H,2,FALSE)*G2183)</f>
        <v>0</v>
      </c>
      <c r="W2183" s="102">
        <f t="shared" si="1531"/>
        <v>0</v>
      </c>
      <c r="X2183" s="102">
        <f t="shared" si="1532"/>
        <v>0</v>
      </c>
      <c r="Y2183" s="120" t="b">
        <f t="shared" si="1533"/>
        <v>0</v>
      </c>
      <c r="Z2183" s="117">
        <f t="shared" si="1534"/>
        <v>0</v>
      </c>
      <c r="AA2183" s="118"/>
      <c r="AB2183" s="118" t="str">
        <f t="shared" si="1535"/>
        <v/>
      </c>
      <c r="AC2183" s="712" t="str">
        <f>IF(AE2183="T2G","no charge",IF(AND(OR(PlanterYesMe="No",PlanterYesMe="N",PlanterYesMe="me"),H2183=""),"",IF(H2183="credit","NO install",IF(AND(K2183="",AE2183="me"),"EACH row",IF(AND(K2183="images",AE2183="me"),"EACH row",IF(D2183="","",IF(H2183="credit","",IF(AE2183="free","re-planting",IF(AE2183="me","   not ELP, by",IF(AND(OR(PlanterYesMe="Yes",PlanterYesMe="Y"),G2183&gt;0),(VLOOKUP(A2183,'Discount Lookup'!J:K,2)*G2183*(1-PlanterDiscount)*(1+PlanterDifficultyPercentage)),IF(AE2183="ELP",(VLOOKUP(A2183,'Discount Lookup'!J:K,2)*G2183*(1-PlanterDiscount)*(1+PlanterDifficultyPercentage)),IF(AE2183="free","re-planting",IF(G2183=0,"",IF(PlanterYesMe="",IF(AE2183="me","   not ELP, by",IF(AE2183="",IF(G2183&gt;0,(VLOOKUP(A2183,'Discount Lookup'!J:K,2)*G2183*(1-PlanterDiscount)*(1+PlanterDifficultyPercentage)),""),"")),"   not ELP, by"))))))))))))))</f>
        <v/>
      </c>
      <c r="AD2183" s="712"/>
      <c r="AE2183" s="513" t="str">
        <f t="shared" si="1536"/>
        <v/>
      </c>
      <c r="AF2183" s="713" t="str">
        <f t="shared" si="1537"/>
        <v/>
      </c>
      <c r="AG2183" s="713"/>
      <c r="AH2183" s="713"/>
      <c r="AI2183" s="112">
        <f>IF(H2183="credit",0,IF(AE2183="free",0,IF(AE2183="me",0,IF(G2183&gt;0,(VLOOKUP(A2183,'Discount Lookup'!J:K,2)*G2183),0))))</f>
        <v>0</v>
      </c>
      <c r="AJ2183" s="107" t="str">
        <f t="shared" ca="1" si="1538"/>
        <v/>
      </c>
      <c r="AK2183" s="714" t="str">
        <f t="shared" si="1539"/>
        <v/>
      </c>
      <c r="AL2183" s="714"/>
      <c r="AM2183" s="114" t="str">
        <f t="shared" si="1540"/>
        <v/>
      </c>
      <c r="AN2183" s="115"/>
      <c r="AO2183" s="116"/>
      <c r="AP2183" s="116"/>
      <c r="AQ2183" s="116"/>
      <c r="AR2183" s="116"/>
      <c r="AS2183" s="116"/>
      <c r="AT2183" s="116"/>
      <c r="AU2183" s="116"/>
      <c r="AV2183" s="78"/>
      <c r="AW2183" s="102"/>
      <c r="AX2183" s="78"/>
      <c r="AY2183" s="78"/>
      <c r="AZ2183" s="78"/>
      <c r="BA2183" s="78"/>
      <c r="BB2183" s="78"/>
      <c r="BC2183" s="78"/>
      <c r="BD2183" s="78"/>
      <c r="BE2183" s="465"/>
      <c r="BF2183" s="165" t="str">
        <f t="shared" si="1541"/>
        <v>https://www.google.com/search?tbm=isch&amp;q=3%20G2</v>
      </c>
      <c r="BG2183" s="165" t="str">
        <f t="shared" si="1542"/>
        <v>I</v>
      </c>
      <c r="BH2183" s="65"/>
      <c r="BI2183" s="65"/>
      <c r="BJ2183" s="65"/>
      <c r="BK2183" s="65"/>
      <c r="BL2183" s="99"/>
      <c r="BM2183" s="99"/>
      <c r="BN2183" s="99"/>
    </row>
    <row r="2184" spans="1:66" s="51" customFormat="1" ht="15.75" x14ac:dyDescent="0.25">
      <c r="A2184" s="478">
        <v>3</v>
      </c>
      <c r="B2184" s="479" t="s">
        <v>291</v>
      </c>
      <c r="C2184" s="480" t="s">
        <v>337</v>
      </c>
      <c r="D2184" s="481" t="s">
        <v>310</v>
      </c>
      <c r="E2184" s="482">
        <v>25.95</v>
      </c>
      <c r="F2184" s="483" t="s">
        <v>292</v>
      </c>
      <c r="G2184" s="484">
        <v>0</v>
      </c>
      <c r="H2184" s="688" t="str">
        <f>IF(G2184=0,"",IF(F2184="Buy",IF(G2184=1,"plant","plants"),IF(F2184&gt;0.01,"warranty","Error")))</f>
        <v/>
      </c>
      <c r="I2184" s="485">
        <f>IF(H2184="free",0,IF(H2184="credit",((E2184*(F2184))*G2184*-1),IF(F2184="Buy",(E2184*G2184),((E2184*(1-F2184))*G2184))))</f>
        <v>0</v>
      </c>
      <c r="J2184" s="485">
        <f>IF(H2184="warranty",0,(I2184*(_xlfn.SINGLE(SalesTaxPercentage))))</f>
        <v>0</v>
      </c>
      <c r="K2184" s="715">
        <f t="shared" ref="K2184" si="1590">I2184+J2184</f>
        <v>0</v>
      </c>
      <c r="L2184" s="715"/>
      <c r="M2184" s="689" t="str">
        <f ca="1">IF(AND(G2184&gt;0,E2184=0),"WARNING - no PRICE inserted",IF(H2184="free","FREE ~ no charge this plant",IF(H2184="credit",CONCATENATE("-$",ROUND(K2184*(1-_xlfn.SINGLE(T2GDiscount))*-1,2)," CREDIT after discount"),IF(_xlfn.SINGLE(T2GDiscount)=0,"",IF(G2184=0,"",IF(F2184="Buy",CONCATENATE("$",ROUND(K2184*(1-_xlfn.SINGLE(T2GDiscount)),2)," with ",(_xlfn.SINGLE(T2GDiscount)*100),"% discount"),CONCATENATE("$",ROUND(K2184*(1-_xlfn.SINGLE(T2GDiscount)),2)," with ",((_xlfn.SINGLE(T2GDiscount)*100+F2184*100)-(_xlfn.SINGLE(T2GDiscount)*100*F2184)),IF(F2184&gt;0,"% discounts",IF(_xlfn.SINGLE(NoWarrantyDiscount)&gt;0,"% discounts","% discount")))))))))</f>
        <v/>
      </c>
      <c r="N2184" s="690"/>
      <c r="O2184" s="486"/>
      <c r="P2184" s="486"/>
      <c r="Q2184" s="486"/>
      <c r="R2184" s="486"/>
      <c r="S2184" s="486"/>
      <c r="T2184" s="102">
        <f t="shared" si="1530"/>
        <v>0</v>
      </c>
      <c r="U2184" s="78">
        <f>IF(NOT(ISNUMBER(G2184)), "", VLOOKUP(A2184,'Discount Lookup'!D:E,2,FALSE)*G2184)</f>
        <v>0</v>
      </c>
      <c r="V2184" s="78">
        <f>IF(NOT(ISNUMBER(G2184)), "", VLOOKUP(A2184,'Discount Lookup'!G:H,2,FALSE)*G2184)</f>
        <v>0</v>
      </c>
      <c r="W2184" s="102">
        <f t="shared" si="1531"/>
        <v>0</v>
      </c>
      <c r="X2184" s="102">
        <f t="shared" si="1532"/>
        <v>0</v>
      </c>
      <c r="Y2184" s="120" t="b">
        <f t="shared" si="1533"/>
        <v>0</v>
      </c>
      <c r="Z2184" s="117">
        <f t="shared" si="1534"/>
        <v>0</v>
      </c>
      <c r="AA2184" s="118"/>
      <c r="AB2184" s="118" t="str">
        <f t="shared" si="1535"/>
        <v/>
      </c>
      <c r="AC2184" s="712" t="str">
        <f>IF(AE2184="T2G","no charge",IF(AND(OR(PlanterYesMe="No",PlanterYesMe="N",PlanterYesMe="me"),H2184=""),"",IF(H2184="credit","NO install",IF(AND(K2184="",AE2184="me"),"EACH row",IF(AND(K2184="images",AE2184="me"),"EACH row",IF(D2184="","",IF(H2184="credit","",IF(AE2184="free","re-planting",IF(AE2184="me","   not ELP, by",IF(AND(OR(PlanterYesMe="Yes",PlanterYesMe="Y"),G2184&gt;0),(VLOOKUP(A2184,'Discount Lookup'!J:K,2)*G2184*(1-PlanterDiscount)*(1+PlanterDifficultyPercentage)),IF(AE2184="ELP",(VLOOKUP(A2184,'Discount Lookup'!J:K,2)*G2184*(1-PlanterDiscount)*(1+PlanterDifficultyPercentage)),IF(AE2184="free","re-planting",IF(G2184=0,"",IF(PlanterYesMe="",IF(AE2184="me","   not ELP, by",IF(AE2184="",IF(G2184&gt;0,(VLOOKUP(A2184,'Discount Lookup'!J:K,2)*G2184*(1-PlanterDiscount)*(1+PlanterDifficultyPercentage)),""),"")),"   not ELP, by"))))))))))))))</f>
        <v/>
      </c>
      <c r="AD2184" s="712"/>
      <c r="AE2184" s="513" t="str">
        <f t="shared" si="1536"/>
        <v/>
      </c>
      <c r="AF2184" s="713" t="str">
        <f t="shared" si="1537"/>
        <v/>
      </c>
      <c r="AG2184" s="713"/>
      <c r="AH2184" s="713"/>
      <c r="AI2184" s="112">
        <f>IF(H2184="credit",0,IF(AE2184="free",0,IF(AE2184="me",0,IF(G2184&gt;0,(VLOOKUP(A2184,'Discount Lookup'!J:K,2)*G2184),0))))</f>
        <v>0</v>
      </c>
      <c r="AJ2184" s="107" t="str">
        <f t="shared" ca="1" si="1538"/>
        <v/>
      </c>
      <c r="AK2184" s="714" t="str">
        <f t="shared" si="1539"/>
        <v/>
      </c>
      <c r="AL2184" s="714"/>
      <c r="AM2184" s="114" t="str">
        <f t="shared" si="1540"/>
        <v/>
      </c>
      <c r="AN2184" s="115"/>
      <c r="AO2184" s="116"/>
      <c r="AP2184" s="116"/>
      <c r="AQ2184" s="116"/>
      <c r="AR2184" s="116"/>
      <c r="AS2184" s="116"/>
      <c r="AT2184" s="116"/>
      <c r="AU2184" s="116"/>
      <c r="AV2184" s="78"/>
      <c r="AW2184" s="102"/>
      <c r="AX2184" s="78"/>
      <c r="AY2184" s="78"/>
      <c r="AZ2184" s="78"/>
      <c r="BA2184" s="78"/>
      <c r="BB2184" s="78"/>
      <c r="BC2184" s="78"/>
      <c r="BD2184" s="78"/>
      <c r="BE2184" s="465"/>
      <c r="BF2184" s="165" t="str">
        <f t="shared" si="1541"/>
        <v>https://www.google.com/search?tbm=isch&amp;q=3%20G1</v>
      </c>
      <c r="BG2184" s="165" t="str">
        <f t="shared" si="1542"/>
        <v>I</v>
      </c>
      <c r="BH2184" s="65"/>
      <c r="BI2184" s="65"/>
      <c r="BJ2184" s="65"/>
      <c r="BK2184" s="65"/>
      <c r="BL2184" s="99"/>
      <c r="BM2184" s="99"/>
      <c r="BN2184" s="99"/>
    </row>
    <row r="2185" spans="1:66" s="51" customFormat="1" ht="15.75" x14ac:dyDescent="0.25">
      <c r="A2185" s="478">
        <v>5</v>
      </c>
      <c r="B2185" s="479" t="s">
        <v>291</v>
      </c>
      <c r="C2185" s="480"/>
      <c r="D2185" s="481" t="s">
        <v>310</v>
      </c>
      <c r="E2185" s="482">
        <v>41.95</v>
      </c>
      <c r="F2185" s="483" t="s">
        <v>292</v>
      </c>
      <c r="G2185" s="484">
        <v>0</v>
      </c>
      <c r="H2185" s="688" t="str">
        <f>IF(G2185=0,"",IF(F2185="Buy",IF(G2185=1,"plant","plants"),IF(F2185&gt;0.01,"warranty","Error")))</f>
        <v/>
      </c>
      <c r="I2185" s="485">
        <f>IF(H2185="free",0,IF(H2185="credit",((E2185*(F2185))*G2185*-1),IF(F2185="Buy",(E2185*G2185),((E2185*(1-F2185))*G2185))))</f>
        <v>0</v>
      </c>
      <c r="J2185" s="485">
        <f>IF(H2185="warranty",0,(I2185*(_xlfn.SINGLE(SalesTaxPercentage))))</f>
        <v>0</v>
      </c>
      <c r="K2185" s="715">
        <f t="shared" ref="K2185" si="1591">I2185+J2185</f>
        <v>0</v>
      </c>
      <c r="L2185" s="715"/>
      <c r="M2185" s="689" t="str">
        <f ca="1">IF(AND(G2185&gt;0,E2185=0),"WARNING - no PRICE inserted",IF(H2185="free","FREE ~ no charge this plant",IF(H2185="credit",CONCATENATE("-$",ROUND(K2185*(1-_xlfn.SINGLE(T2GDiscount))*-1,2)," CREDIT after discount"),IF(_xlfn.SINGLE(T2GDiscount)=0,"",IF(G2185=0,"",IF(F2185="Buy",CONCATENATE("$",ROUND(K2185*(1-_xlfn.SINGLE(T2GDiscount)),2)," with ",(_xlfn.SINGLE(T2GDiscount)*100),"% discount"),CONCATENATE("$",ROUND(K2185*(1-_xlfn.SINGLE(T2GDiscount)),2)," with ",((_xlfn.SINGLE(T2GDiscount)*100+F2185*100)-(_xlfn.SINGLE(T2GDiscount)*100*F2185)),IF(F2185&gt;0,"% discounts",IF(_xlfn.SINGLE(NoWarrantyDiscount)&gt;0,"% discounts","% discount")))))))))</f>
        <v/>
      </c>
      <c r="N2185" s="690"/>
      <c r="O2185" s="486"/>
      <c r="P2185" s="486"/>
      <c r="Q2185" s="486"/>
      <c r="R2185" s="486"/>
      <c r="S2185" s="486"/>
      <c r="T2185" s="102">
        <f t="shared" si="1530"/>
        <v>0</v>
      </c>
      <c r="U2185" s="78">
        <f>IF(NOT(ISNUMBER(G2185)), "", VLOOKUP(A2185,'Discount Lookup'!D:E,2,FALSE)*G2185)</f>
        <v>0</v>
      </c>
      <c r="V2185" s="78">
        <f>IF(NOT(ISNUMBER(G2185)), "", VLOOKUP(A2185,'Discount Lookup'!G:H,2,FALSE)*G2185)</f>
        <v>0</v>
      </c>
      <c r="W2185" s="102">
        <f t="shared" si="1531"/>
        <v>0</v>
      </c>
      <c r="X2185" s="102">
        <f t="shared" si="1532"/>
        <v>0</v>
      </c>
      <c r="Y2185" s="120" t="b">
        <f t="shared" si="1533"/>
        <v>0</v>
      </c>
      <c r="Z2185" s="117">
        <f t="shared" si="1534"/>
        <v>0</v>
      </c>
      <c r="AA2185" s="118"/>
      <c r="AB2185" s="118" t="str">
        <f t="shared" si="1535"/>
        <v/>
      </c>
      <c r="AC2185" s="712" t="str">
        <f>IF(AE2185="T2G","no charge",IF(AND(OR(PlanterYesMe="No",PlanterYesMe="N",PlanterYesMe="me"),H2185=""),"",IF(H2185="credit","NO install",IF(AND(K2185="",AE2185="me"),"EACH row",IF(AND(K2185="images",AE2185="me"),"EACH row",IF(D2185="","",IF(H2185="credit","",IF(AE2185="free","re-planting",IF(AE2185="me","   not ELP, by",IF(AND(OR(PlanterYesMe="Yes",PlanterYesMe="Y"),G2185&gt;0),(VLOOKUP(A2185,'Discount Lookup'!J:K,2)*G2185*(1-PlanterDiscount)*(1+PlanterDifficultyPercentage)),IF(AE2185="ELP",(VLOOKUP(A2185,'Discount Lookup'!J:K,2)*G2185*(1-PlanterDiscount)*(1+PlanterDifficultyPercentage)),IF(AE2185="free","re-planting",IF(G2185=0,"",IF(PlanterYesMe="",IF(AE2185="me","   not ELP, by",IF(AE2185="",IF(G2185&gt;0,(VLOOKUP(A2185,'Discount Lookup'!J:K,2)*G2185*(1-PlanterDiscount)*(1+PlanterDifficultyPercentage)),""),"")),"   not ELP, by"))))))))))))))</f>
        <v/>
      </c>
      <c r="AD2185" s="712"/>
      <c r="AE2185" s="513" t="str">
        <f t="shared" si="1536"/>
        <v/>
      </c>
      <c r="AF2185" s="713" t="str">
        <f t="shared" si="1537"/>
        <v/>
      </c>
      <c r="AG2185" s="713"/>
      <c r="AH2185" s="713"/>
      <c r="AI2185" s="112">
        <f>IF(H2185="credit",0,IF(AE2185="free",0,IF(AE2185="me",0,IF(G2185&gt;0,(VLOOKUP(A2185,'Discount Lookup'!J:K,2)*G2185),0))))</f>
        <v>0</v>
      </c>
      <c r="AJ2185" s="107" t="str">
        <f t="shared" ca="1" si="1538"/>
        <v/>
      </c>
      <c r="AK2185" s="714" t="str">
        <f t="shared" si="1539"/>
        <v/>
      </c>
      <c r="AL2185" s="714"/>
      <c r="AM2185" s="114" t="str">
        <f t="shared" si="1540"/>
        <v/>
      </c>
      <c r="AN2185" s="115"/>
      <c r="AO2185" s="116"/>
      <c r="AP2185" s="116"/>
      <c r="AQ2185" s="116"/>
      <c r="AR2185" s="116"/>
      <c r="AS2185" s="116"/>
      <c r="AT2185" s="116"/>
      <c r="AU2185" s="116"/>
      <c r="AV2185" s="78"/>
      <c r="AW2185" s="102"/>
      <c r="AX2185" s="78"/>
      <c r="AY2185" s="78"/>
      <c r="AZ2185" s="78"/>
      <c r="BA2185" s="78"/>
      <c r="BB2185" s="78"/>
      <c r="BC2185" s="78"/>
      <c r="BD2185" s="78"/>
      <c r="BE2185" s="465"/>
      <c r="BF2185" s="165" t="str">
        <f t="shared" si="1541"/>
        <v>https://www.google.com/search?tbm=isch&amp;q=5%20G1</v>
      </c>
      <c r="BG2185" s="165" t="str">
        <f t="shared" si="1542"/>
        <v>I</v>
      </c>
      <c r="BH2185" s="65"/>
      <c r="BI2185" s="65"/>
      <c r="BJ2185" s="65"/>
      <c r="BK2185" s="65"/>
      <c r="BL2185" s="99"/>
      <c r="BM2185" s="99"/>
      <c r="BN2185" s="99"/>
    </row>
    <row r="2186" spans="1:66" s="51" customFormat="1" ht="15.75" x14ac:dyDescent="0.25">
      <c r="A2186" s="478">
        <v>5</v>
      </c>
      <c r="B2186" s="479" t="s">
        <v>291</v>
      </c>
      <c r="C2186" s="480" t="s">
        <v>1602</v>
      </c>
      <c r="D2186" s="481" t="s">
        <v>309</v>
      </c>
      <c r="E2186" s="482">
        <v>41.95</v>
      </c>
      <c r="F2186" s="483" t="s">
        <v>292</v>
      </c>
      <c r="G2186" s="484">
        <v>0</v>
      </c>
      <c r="H2186" s="688" t="str">
        <f>IF(G2186=0,"",IF(F2186="Buy",IF(G2186=1,"plant","plants"),IF(F2186&gt;0.01,"warranty","Error")))</f>
        <v/>
      </c>
      <c r="I2186" s="485">
        <f>IF(H2186="free",0,IF(H2186="credit",((E2186*(F2186))*G2186*-1),IF(F2186="Buy",(E2186*G2186),((E2186*(1-F2186))*G2186))))</f>
        <v>0</v>
      </c>
      <c r="J2186" s="485">
        <f>IF(H2186="warranty",0,(I2186*(_xlfn.SINGLE(SalesTaxPercentage))))</f>
        <v>0</v>
      </c>
      <c r="K2186" s="715">
        <f t="shared" ref="K2186" si="1592">I2186+J2186</f>
        <v>0</v>
      </c>
      <c r="L2186" s="715"/>
      <c r="M2186" s="689" t="str">
        <f ca="1">IF(AND(G2186&gt;0,E2186=0),"WARNING - no PRICE inserted",IF(H2186="free","FREE ~ no charge this plant",IF(H2186="credit",CONCATENATE("-$",ROUND(K2186*(1-_xlfn.SINGLE(T2GDiscount))*-1,2)," CREDIT after discount"),IF(_xlfn.SINGLE(T2GDiscount)=0,"",IF(G2186=0,"",IF(F2186="Buy",CONCATENATE("$",ROUND(K2186*(1-_xlfn.SINGLE(T2GDiscount)),2)," with ",(_xlfn.SINGLE(T2GDiscount)*100),"% discount"),CONCATENATE("$",ROUND(K2186*(1-_xlfn.SINGLE(T2GDiscount)),2)," with ",((_xlfn.SINGLE(T2GDiscount)*100+F2186*100)-(_xlfn.SINGLE(T2GDiscount)*100*F2186)),IF(F2186&gt;0,"% discounts",IF(_xlfn.SINGLE(NoWarrantyDiscount)&gt;0,"% discounts","% discount")))))))))</f>
        <v/>
      </c>
      <c r="N2186" s="690"/>
      <c r="O2186" s="486"/>
      <c r="P2186" s="486"/>
      <c r="Q2186" s="486"/>
      <c r="R2186" s="486"/>
      <c r="S2186" s="486"/>
      <c r="T2186" s="102">
        <f t="shared" si="1530"/>
        <v>0</v>
      </c>
      <c r="U2186" s="78">
        <f>IF(NOT(ISNUMBER(G2186)), "", VLOOKUP(A2186,'Discount Lookup'!D:E,2,FALSE)*G2186)</f>
        <v>0</v>
      </c>
      <c r="V2186" s="78">
        <f>IF(NOT(ISNUMBER(G2186)), "", VLOOKUP(A2186,'Discount Lookup'!G:H,2,FALSE)*G2186)</f>
        <v>0</v>
      </c>
      <c r="W2186" s="102">
        <f t="shared" si="1531"/>
        <v>0</v>
      </c>
      <c r="X2186" s="102">
        <f t="shared" si="1532"/>
        <v>0</v>
      </c>
      <c r="Y2186" s="120" t="b">
        <f t="shared" si="1533"/>
        <v>0</v>
      </c>
      <c r="Z2186" s="117">
        <f t="shared" si="1534"/>
        <v>0</v>
      </c>
      <c r="AA2186" s="118"/>
      <c r="AB2186" s="118" t="str">
        <f t="shared" si="1535"/>
        <v/>
      </c>
      <c r="AC2186" s="712" t="str">
        <f>IF(AE2186="T2G","no charge",IF(AND(OR(PlanterYesMe="No",PlanterYesMe="N",PlanterYesMe="me"),H2186=""),"",IF(H2186="credit","NO install",IF(AND(K2186="",AE2186="me"),"EACH row",IF(AND(K2186="images",AE2186="me"),"EACH row",IF(D2186="","",IF(H2186="credit","",IF(AE2186="free","re-planting",IF(AE2186="me","   not ELP, by",IF(AND(OR(PlanterYesMe="Yes",PlanterYesMe="Y"),G2186&gt;0),(VLOOKUP(A2186,'Discount Lookup'!J:K,2)*G2186*(1-PlanterDiscount)*(1+PlanterDifficultyPercentage)),IF(AE2186="ELP",(VLOOKUP(A2186,'Discount Lookup'!J:K,2)*G2186*(1-PlanterDiscount)*(1+PlanterDifficultyPercentage)),IF(AE2186="free","re-planting",IF(G2186=0,"",IF(PlanterYesMe="",IF(AE2186="me","   not ELP, by",IF(AE2186="",IF(G2186&gt;0,(VLOOKUP(A2186,'Discount Lookup'!J:K,2)*G2186*(1-PlanterDiscount)*(1+PlanterDifficultyPercentage)),""),"")),"   not ELP, by"))))))))))))))</f>
        <v/>
      </c>
      <c r="AD2186" s="712"/>
      <c r="AE2186" s="513" t="str">
        <f t="shared" si="1536"/>
        <v/>
      </c>
      <c r="AF2186" s="713" t="str">
        <f t="shared" si="1537"/>
        <v/>
      </c>
      <c r="AG2186" s="713"/>
      <c r="AH2186" s="713"/>
      <c r="AI2186" s="112">
        <f>IF(H2186="credit",0,IF(AE2186="free",0,IF(AE2186="me",0,IF(G2186&gt;0,(VLOOKUP(A2186,'Discount Lookup'!J:K,2)*G2186),0))))</f>
        <v>0</v>
      </c>
      <c r="AJ2186" s="107" t="str">
        <f t="shared" ca="1" si="1538"/>
        <v/>
      </c>
      <c r="AK2186" s="714" t="str">
        <f t="shared" si="1539"/>
        <v/>
      </c>
      <c r="AL2186" s="714"/>
      <c r="AM2186" s="114" t="str">
        <f t="shared" si="1540"/>
        <v/>
      </c>
      <c r="AN2186" s="115"/>
      <c r="AO2186" s="116"/>
      <c r="AP2186" s="116"/>
      <c r="AQ2186" s="116"/>
      <c r="AR2186" s="116"/>
      <c r="AS2186" s="116"/>
      <c r="AT2186" s="116"/>
      <c r="AU2186" s="116"/>
      <c r="AV2186" s="78"/>
      <c r="AW2186" s="102"/>
      <c r="AX2186" s="78"/>
      <c r="AY2186" s="78"/>
      <c r="AZ2186" s="78"/>
      <c r="BA2186" s="78"/>
      <c r="BB2186" s="78"/>
      <c r="BC2186" s="78"/>
      <c r="BD2186" s="78"/>
      <c r="BE2186" s="465"/>
      <c r="BF2186" s="165" t="str">
        <f t="shared" si="1541"/>
        <v>https://www.google.com/search?tbm=isch&amp;q=5%20G3</v>
      </c>
      <c r="BG2186" s="165" t="str">
        <f t="shared" si="1542"/>
        <v>I</v>
      </c>
      <c r="BH2186" s="65"/>
      <c r="BI2186" s="65"/>
      <c r="BJ2186" s="65"/>
      <c r="BK2186" s="65"/>
      <c r="BL2186" s="99"/>
      <c r="BM2186" s="99"/>
      <c r="BN2186" s="99"/>
    </row>
    <row r="2187" spans="1:66" s="51" customFormat="1" ht="17.25" thickBot="1" x14ac:dyDescent="0.3">
      <c r="A2187" s="508" t="s">
        <v>2953</v>
      </c>
      <c r="B2187" s="487"/>
      <c r="C2187" s="707"/>
      <c r="D2187" s="487"/>
      <c r="E2187" s="487"/>
      <c r="F2187" s="488"/>
      <c r="G2187" s="489"/>
      <c r="H2187" s="487"/>
      <c r="I2187" s="490"/>
      <c r="J2187" s="490"/>
      <c r="K2187" s="491"/>
      <c r="L2187" s="547"/>
      <c r="M2187" s="528"/>
      <c r="N2187" s="492"/>
      <c r="O2187" s="493"/>
      <c r="P2187" s="494"/>
      <c r="Q2187" s="492"/>
      <c r="R2187" s="492"/>
      <c r="S2187" s="699" t="s">
        <v>5288</v>
      </c>
      <c r="T2187" s="102">
        <f t="shared" si="1530"/>
        <v>0</v>
      </c>
      <c r="U2187" s="78" t="str">
        <f>IF(NOT(ISNUMBER(G2187)), "", VLOOKUP(A2187,'Discount Lookup'!D:E,2,FALSE)*G2187)</f>
        <v/>
      </c>
      <c r="V2187" s="78" t="str">
        <f>IF(NOT(ISNUMBER(G2187)), "", VLOOKUP(A2187,'Discount Lookup'!G:H,2,FALSE)*G2187)</f>
        <v/>
      </c>
      <c r="W2187" s="102">
        <f t="shared" si="1531"/>
        <v>0</v>
      </c>
      <c r="X2187" s="102">
        <f t="shared" si="1532"/>
        <v>0</v>
      </c>
      <c r="Y2187" s="120" t="b">
        <f t="shared" si="1533"/>
        <v>0</v>
      </c>
      <c r="Z2187" s="117">
        <f t="shared" si="1534"/>
        <v>0</v>
      </c>
      <c r="AA2187" s="118"/>
      <c r="AB2187" s="118" t="str">
        <f t="shared" si="1535"/>
        <v/>
      </c>
      <c r="AC2187" s="712" t="str">
        <f>IF(AE2187="T2G","no charge",IF(AND(OR(PlanterYesMe="No",PlanterYesMe="N",PlanterYesMe="me"),H2187=""),"",IF(H2187="credit","NO install",IF(AND(K2187="",AE2187="me"),"EACH row",IF(AND(K2187="images",AE2187="me"),"EACH row",IF(D2187="","",IF(H2187="credit","",IF(AE2187="free","re-planting",IF(AE2187="me","   not ELP, by",IF(AND(OR(PlanterYesMe="Yes",PlanterYesMe="Y"),G2187&gt;0),(VLOOKUP(A2187,'Discount Lookup'!J:K,2)*G2187*(1-PlanterDiscount)*(1+PlanterDifficultyPercentage)),IF(AE2187="ELP",(VLOOKUP(A2187,'Discount Lookup'!J:K,2)*G2187*(1-PlanterDiscount)*(1+PlanterDifficultyPercentage)),IF(AE2187="free","re-planting",IF(G2187=0,"",IF(PlanterYesMe="",IF(AE2187="me","   not ELP, by",IF(AE2187="",IF(G2187&gt;0,(VLOOKUP(A2187,'Discount Lookup'!J:K,2)*G2187*(1-PlanterDiscount)*(1+PlanterDifficultyPercentage)),""),"")),"   not ELP, by"))))))))))))))</f>
        <v/>
      </c>
      <c r="AD2187" s="712"/>
      <c r="AE2187" s="513" t="str">
        <f t="shared" si="1536"/>
        <v/>
      </c>
      <c r="AF2187" s="713" t="str">
        <f t="shared" si="1537"/>
        <v/>
      </c>
      <c r="AG2187" s="713"/>
      <c r="AH2187" s="713"/>
      <c r="AI2187" s="112">
        <f>IF(H2187="credit",0,IF(AE2187="free",0,IF(AE2187="me",0,IF(G2187&gt;0,(VLOOKUP(A2187,'Discount Lookup'!J:K,2)*G2187),0))))</f>
        <v>0</v>
      </c>
      <c r="AJ2187" s="107" t="str">
        <f t="shared" ca="1" si="1538"/>
        <v/>
      </c>
      <c r="AK2187" s="714" t="str">
        <f t="shared" si="1539"/>
        <v/>
      </c>
      <c r="AL2187" s="714"/>
      <c r="AM2187" s="114" t="str">
        <f t="shared" si="1540"/>
        <v/>
      </c>
      <c r="AN2187" s="115"/>
      <c r="AO2187" s="116"/>
      <c r="AP2187" s="116"/>
      <c r="AQ2187" s="116"/>
      <c r="AR2187" s="116"/>
      <c r="AS2187" s="116"/>
      <c r="AT2187" s="116"/>
      <c r="AU2187" s="116"/>
      <c r="AV2187" s="78"/>
      <c r="AW2187" s="102"/>
      <c r="AX2187" s="78"/>
      <c r="AY2187" s="78"/>
      <c r="AZ2187" s="78"/>
      <c r="BA2187" s="78"/>
      <c r="BB2187" s="78"/>
      <c r="BC2187" s="78"/>
      <c r="BD2187" s="78"/>
      <c r="BE2187" s="465"/>
      <c r="BF2187" s="165" t="str">
        <f t="shared" si="1541"/>
        <v>https://www.google.com/search?tbm=isch&amp;q=Hoogendorn%20is%20a%20cold-hardy%2C%20fine-textured%20evergreen%20with%20graceful%20spreading%20form%20and%20glossy%20foliage%20</v>
      </c>
      <c r="BG2187" s="165" t="str">
        <f t="shared" si="1542"/>
        <v>H</v>
      </c>
      <c r="BH2187" s="65"/>
      <c r="BI2187" s="65"/>
      <c r="BJ2187" s="65"/>
      <c r="BK2187" s="65"/>
      <c r="BL2187" s="99"/>
      <c r="BM2187" s="99"/>
      <c r="BN2187" s="99"/>
    </row>
    <row r="2188" spans="1:66" s="51" customFormat="1" ht="18" x14ac:dyDescent="0.25">
      <c r="A2188" s="507" t="s">
        <v>2954</v>
      </c>
      <c r="B2188" s="470"/>
      <c r="C2188" s="706"/>
      <c r="D2188" s="471" t="s">
        <v>2955</v>
      </c>
      <c r="E2188" s="472"/>
      <c r="F2188" s="472"/>
      <c r="G2188" s="472"/>
      <c r="H2188" s="622" t="s">
        <v>1471</v>
      </c>
      <c r="I2188" s="473" t="s">
        <v>2956</v>
      </c>
      <c r="J2188" s="472"/>
      <c r="K2188" s="472"/>
      <c r="L2188" s="561"/>
      <c r="M2188" s="698" t="s">
        <v>5246</v>
      </c>
      <c r="N2188" s="692" t="str">
        <f>IF(AND(ISTEXT($A2188), ISERROR($A2188+0)), HYPERLINK($BF2188, "Images"), "")</f>
        <v>Images</v>
      </c>
      <c r="O2188" s="694" t="s">
        <v>5244</v>
      </c>
      <c r="P2188" s="475"/>
      <c r="Q2188" s="476"/>
      <c r="R2188" s="476"/>
      <c r="S2188" s="477"/>
      <c r="T2188" s="102">
        <f t="shared" si="1530"/>
        <v>0</v>
      </c>
      <c r="U2188" s="78" t="str">
        <f>IF(NOT(ISNUMBER(G2188)), "", VLOOKUP(A2188,'Discount Lookup'!D:E,2,FALSE)*G2188)</f>
        <v/>
      </c>
      <c r="V2188" s="78" t="str">
        <f>IF(NOT(ISNUMBER(G2188)), "", VLOOKUP(A2188,'Discount Lookup'!G:H,2,FALSE)*G2188)</f>
        <v/>
      </c>
      <c r="W2188" s="102">
        <f t="shared" si="1531"/>
        <v>0</v>
      </c>
      <c r="X2188" s="102" t="str">
        <f t="shared" si="1532"/>
        <v>Dark Greem, White edge</v>
      </c>
      <c r="Y2188" s="120" t="b">
        <f t="shared" si="1533"/>
        <v>0</v>
      </c>
      <c r="Z2188" s="117">
        <f t="shared" si="1534"/>
        <v>0</v>
      </c>
      <c r="AA2188" s="118"/>
      <c r="AB2188" s="118" t="str">
        <f t="shared" si="1535"/>
        <v/>
      </c>
      <c r="AC2188" s="712" t="str">
        <f>IF(AE2188="T2G","no charge",IF(AND(OR(PlanterYesMe="No",PlanterYesMe="N",PlanterYesMe="me"),H2188=""),"",IF(H2188="credit","NO install",IF(AND(K2188="",AE2188="me"),"EACH row",IF(AND(K2188="images",AE2188="me"),"EACH row",IF(D2188="","",IF(H2188="credit","",IF(AE2188="free","re-planting",IF(AE2188="me","   not ELP, by",IF(AND(OR(PlanterYesMe="Yes",PlanterYesMe="Y"),G2188&gt;0),(VLOOKUP(A2188,'Discount Lookup'!J:K,2)*G2188*(1-PlanterDiscount)*(1+PlanterDifficultyPercentage)),IF(AE2188="ELP",(VLOOKUP(A2188,'Discount Lookup'!J:K,2)*G2188*(1-PlanterDiscount)*(1+PlanterDifficultyPercentage)),IF(AE2188="free","re-planting",IF(G2188=0,"",IF(PlanterYesMe="",IF(AE2188="me","   not ELP, by",IF(AE2188="",IF(G2188&gt;0,(VLOOKUP(A2188,'Discount Lookup'!J:K,2)*G2188*(1-PlanterDiscount)*(1+PlanterDifficultyPercentage)),""),"")),"   not ELP, by"))))))))))))))</f>
        <v/>
      </c>
      <c r="AD2188" s="712"/>
      <c r="AE2188" s="513" t="str">
        <f t="shared" si="1536"/>
        <v/>
      </c>
      <c r="AF2188" s="713" t="str">
        <f t="shared" si="1537"/>
        <v/>
      </c>
      <c r="AG2188" s="713"/>
      <c r="AH2188" s="713"/>
      <c r="AI2188" s="112">
        <f>IF(H2188="credit",0,IF(AE2188="free",0,IF(AE2188="me",0,IF(G2188&gt;0,(VLOOKUP(A2188,'Discount Lookup'!J:K,2)*G2188),0))))</f>
        <v>0</v>
      </c>
      <c r="AJ2188" s="107" t="str">
        <f t="shared" ca="1" si="1538"/>
        <v/>
      </c>
      <c r="AK2188" s="714" t="str">
        <f t="shared" si="1539"/>
        <v/>
      </c>
      <c r="AL2188" s="714"/>
      <c r="AM2188" s="114" t="str">
        <f t="shared" si="1540"/>
        <v/>
      </c>
      <c r="AN2188" s="115"/>
      <c r="AO2188" s="116"/>
      <c r="AP2188" s="116"/>
      <c r="AQ2188" s="116"/>
      <c r="AR2188" s="116"/>
      <c r="AS2188" s="116"/>
      <c r="AT2188" s="116"/>
      <c r="AU2188" s="116"/>
      <c r="AV2188" s="78"/>
      <c r="AW2188" s="102"/>
      <c r="AX2188" s="78"/>
      <c r="AY2188" s="78"/>
      <c r="AZ2188" s="78"/>
      <c r="BA2188" s="78"/>
      <c r="BB2188" s="78"/>
      <c r="BC2188" s="78"/>
      <c r="BD2188" s="78"/>
      <c r="BE2188" s="465"/>
      <c r="BF2188" s="165" t="str">
        <f t="shared" si="1541"/>
        <v>https://www.google.com/search?tbm=isch&amp;q=Ilex%20crenata%20%27Shiro-fukurin%27%20Snowflake%20Holly</v>
      </c>
      <c r="BG2188" s="165" t="str">
        <f t="shared" si="1542"/>
        <v>I</v>
      </c>
      <c r="BH2188" s="65"/>
      <c r="BI2188" s="65"/>
      <c r="BJ2188" s="65"/>
      <c r="BK2188" s="65"/>
      <c r="BL2188" s="99"/>
      <c r="BM2188" s="99"/>
      <c r="BN2188" s="99"/>
    </row>
    <row r="2189" spans="1:66" s="51" customFormat="1" ht="27" x14ac:dyDescent="0.25">
      <c r="A2189" s="478">
        <v>7</v>
      </c>
      <c r="B2189" s="479" t="s">
        <v>291</v>
      </c>
      <c r="C2189" s="480" t="s">
        <v>2957</v>
      </c>
      <c r="D2189" s="481" t="s">
        <v>299</v>
      </c>
      <c r="E2189" s="482">
        <v>95.95</v>
      </c>
      <c r="F2189" s="483" t="s">
        <v>292</v>
      </c>
      <c r="G2189" s="484">
        <v>0</v>
      </c>
      <c r="H2189" s="688" t="str">
        <f>IF(G2189=0,"",IF(F2189="Buy",IF(G2189=1,"plant","plants"),IF(F2189&gt;0.01,"warranty","Error")))</f>
        <v/>
      </c>
      <c r="I2189" s="485">
        <f>IF(H2189="free",0,IF(H2189="credit",((E2189*(F2189))*G2189*-1),IF(F2189="Buy",(E2189*G2189),((E2189*(1-F2189))*G2189))))</f>
        <v>0</v>
      </c>
      <c r="J2189" s="485">
        <f>IF(H2189="warranty",0,(I2189*(_xlfn.SINGLE(SalesTaxPercentage))))</f>
        <v>0</v>
      </c>
      <c r="K2189" s="715">
        <f t="shared" ref="K2189" si="1593">I2189+J2189</f>
        <v>0</v>
      </c>
      <c r="L2189" s="715"/>
      <c r="M2189" s="689" t="str">
        <f ca="1">IF(AND(G2189&gt;0,E2189=0),"WARNING - no PRICE inserted",IF(H2189="free","FREE ~ no charge this plant",IF(H2189="credit",CONCATENATE("-$",ROUND(K2189*(1-_xlfn.SINGLE(T2GDiscount))*-1,2)," CREDIT after discount"),IF(_xlfn.SINGLE(T2GDiscount)=0,"",IF(G2189=0,"",IF(F2189="Buy",CONCATENATE("$",ROUND(K2189*(1-_xlfn.SINGLE(T2GDiscount)),2)," with ",(_xlfn.SINGLE(T2GDiscount)*100),"% discount"),CONCATENATE("$",ROUND(K2189*(1-_xlfn.SINGLE(T2GDiscount)),2)," with ",((_xlfn.SINGLE(T2GDiscount)*100+F2189*100)-(_xlfn.SINGLE(T2GDiscount)*100*F2189)),IF(F2189&gt;0,"% discounts",IF(_xlfn.SINGLE(NoWarrantyDiscount)&gt;0,"% discounts","% discount")))))))))</f>
        <v/>
      </c>
      <c r="N2189" s="690"/>
      <c r="O2189" s="486"/>
      <c r="P2189" s="486"/>
      <c r="Q2189" s="486"/>
      <c r="R2189" s="486"/>
      <c r="S2189" s="486"/>
      <c r="T2189" s="102">
        <f t="shared" si="1530"/>
        <v>0</v>
      </c>
      <c r="U2189" s="78">
        <f>IF(NOT(ISNUMBER(G2189)), "", VLOOKUP(A2189,'Discount Lookup'!D:E,2,FALSE)*G2189)</f>
        <v>0</v>
      </c>
      <c r="V2189" s="78">
        <f>IF(NOT(ISNUMBER(G2189)), "", VLOOKUP(A2189,'Discount Lookup'!G:H,2,FALSE)*G2189)</f>
        <v>0</v>
      </c>
      <c r="W2189" s="102">
        <f t="shared" si="1531"/>
        <v>0</v>
      </c>
      <c r="X2189" s="102">
        <f t="shared" si="1532"/>
        <v>0</v>
      </c>
      <c r="Y2189" s="120" t="b">
        <f t="shared" si="1533"/>
        <v>0</v>
      </c>
      <c r="Z2189" s="117">
        <f t="shared" si="1534"/>
        <v>0</v>
      </c>
      <c r="AA2189" s="118"/>
      <c r="AB2189" s="118" t="str">
        <f t="shared" si="1535"/>
        <v/>
      </c>
      <c r="AC2189" s="712" t="str">
        <f>IF(AE2189="T2G","no charge",IF(AND(OR(PlanterYesMe="No",PlanterYesMe="N",PlanterYesMe="me"),H2189=""),"",IF(H2189="credit","NO install",IF(AND(K2189="",AE2189="me"),"EACH row",IF(AND(K2189="images",AE2189="me"),"EACH row",IF(D2189="","",IF(H2189="credit","",IF(AE2189="free","re-planting",IF(AE2189="me","   not ELP, by",IF(AND(OR(PlanterYesMe="Yes",PlanterYesMe="Y"),G2189&gt;0),(VLOOKUP(A2189,'Discount Lookup'!J:K,2)*G2189*(1-PlanterDiscount)*(1+PlanterDifficultyPercentage)),IF(AE2189="ELP",(VLOOKUP(A2189,'Discount Lookup'!J:K,2)*G2189*(1-PlanterDiscount)*(1+PlanterDifficultyPercentage)),IF(AE2189="free","re-planting",IF(G2189=0,"",IF(PlanterYesMe="",IF(AE2189="me","   not ELP, by",IF(AE2189="",IF(G2189&gt;0,(VLOOKUP(A2189,'Discount Lookup'!J:K,2)*G2189*(1-PlanterDiscount)*(1+PlanterDifficultyPercentage)),""),"")),"   not ELP, by"))))))))))))))</f>
        <v/>
      </c>
      <c r="AD2189" s="712"/>
      <c r="AE2189" s="513" t="str">
        <f t="shared" si="1536"/>
        <v/>
      </c>
      <c r="AF2189" s="713" t="str">
        <f t="shared" si="1537"/>
        <v/>
      </c>
      <c r="AG2189" s="713"/>
      <c r="AH2189" s="713"/>
      <c r="AI2189" s="112">
        <f>IF(H2189="credit",0,IF(AE2189="free",0,IF(AE2189="me",0,IF(G2189&gt;0,(VLOOKUP(A2189,'Discount Lookup'!J:K,2)*G2189),0))))</f>
        <v>0</v>
      </c>
      <c r="AJ2189" s="107" t="str">
        <f t="shared" ca="1" si="1538"/>
        <v/>
      </c>
      <c r="AK2189" s="714" t="str">
        <f t="shared" si="1539"/>
        <v/>
      </c>
      <c r="AL2189" s="714"/>
      <c r="AM2189" s="114" t="str">
        <f t="shared" si="1540"/>
        <v/>
      </c>
      <c r="AN2189" s="115"/>
      <c r="AO2189" s="116"/>
      <c r="AP2189" s="116"/>
      <c r="AQ2189" s="116"/>
      <c r="AR2189" s="116"/>
      <c r="AS2189" s="116"/>
      <c r="AT2189" s="116"/>
      <c r="AU2189" s="116"/>
      <c r="AV2189" s="78"/>
      <c r="AW2189" s="102"/>
      <c r="AX2189" s="78"/>
      <c r="AY2189" s="78"/>
      <c r="AZ2189" s="78"/>
      <c r="BA2189" s="78"/>
      <c r="BB2189" s="78"/>
      <c r="BC2189" s="78"/>
      <c r="BD2189" s="78"/>
      <c r="BE2189" s="465"/>
      <c r="BF2189" s="165" t="str">
        <f t="shared" si="1541"/>
        <v>https://www.google.com/search?tbm=isch&amp;q=7%20G4</v>
      </c>
      <c r="BG2189" s="165" t="str">
        <f t="shared" si="1542"/>
        <v>I</v>
      </c>
      <c r="BH2189" s="65"/>
      <c r="BI2189" s="65"/>
      <c r="BJ2189" s="65"/>
      <c r="BK2189" s="65"/>
      <c r="BL2189" s="99"/>
      <c r="BM2189" s="99"/>
      <c r="BN2189" s="99"/>
    </row>
    <row r="2190" spans="1:66" s="51" customFormat="1" ht="17.25" thickBot="1" x14ac:dyDescent="0.3">
      <c r="A2190" s="508" t="s">
        <v>2958</v>
      </c>
      <c r="B2190" s="487"/>
      <c r="C2190" s="707"/>
      <c r="D2190" s="487"/>
      <c r="E2190" s="487"/>
      <c r="F2190" s="488"/>
      <c r="G2190" s="489"/>
      <c r="H2190" s="487"/>
      <c r="I2190" s="490"/>
      <c r="J2190" s="490"/>
      <c r="K2190" s="491"/>
      <c r="L2190" s="547"/>
      <c r="M2190" s="528"/>
      <c r="N2190" s="492"/>
      <c r="O2190" s="493"/>
      <c r="P2190" s="494"/>
      <c r="Q2190" s="492"/>
      <c r="R2190" s="492"/>
      <c r="S2190" s="699" t="s">
        <v>5268</v>
      </c>
      <c r="T2190" s="102">
        <f t="shared" si="1530"/>
        <v>0</v>
      </c>
      <c r="U2190" s="78" t="str">
        <f>IF(NOT(ISNUMBER(G2190)), "", VLOOKUP(A2190,'Discount Lookup'!D:E,2,FALSE)*G2190)</f>
        <v/>
      </c>
      <c r="V2190" s="78" t="str">
        <f>IF(NOT(ISNUMBER(G2190)), "", VLOOKUP(A2190,'Discount Lookup'!G:H,2,FALSE)*G2190)</f>
        <v/>
      </c>
      <c r="W2190" s="102">
        <f t="shared" si="1531"/>
        <v>0</v>
      </c>
      <c r="X2190" s="102">
        <f t="shared" si="1532"/>
        <v>0</v>
      </c>
      <c r="Y2190" s="120" t="b">
        <f t="shared" si="1533"/>
        <v>0</v>
      </c>
      <c r="Z2190" s="117">
        <f t="shared" si="1534"/>
        <v>0</v>
      </c>
      <c r="AA2190" s="118"/>
      <c r="AB2190" s="118" t="str">
        <f t="shared" si="1535"/>
        <v/>
      </c>
      <c r="AC2190" s="712" t="str">
        <f>IF(AE2190="T2G","no charge",IF(AND(OR(PlanterYesMe="No",PlanterYesMe="N",PlanterYesMe="me"),H2190=""),"",IF(H2190="credit","NO install",IF(AND(K2190="",AE2190="me"),"EACH row",IF(AND(K2190="images",AE2190="me"),"EACH row",IF(D2190="","",IF(H2190="credit","",IF(AE2190="free","re-planting",IF(AE2190="me","   not ELP, by",IF(AND(OR(PlanterYesMe="Yes",PlanterYesMe="Y"),G2190&gt;0),(VLOOKUP(A2190,'Discount Lookup'!J:K,2)*G2190*(1-PlanterDiscount)*(1+PlanterDifficultyPercentage)),IF(AE2190="ELP",(VLOOKUP(A2190,'Discount Lookup'!J:K,2)*G2190*(1-PlanterDiscount)*(1+PlanterDifficultyPercentage)),IF(AE2190="free","re-planting",IF(G2190=0,"",IF(PlanterYesMe="",IF(AE2190="me","   not ELP, by",IF(AE2190="",IF(G2190&gt;0,(VLOOKUP(A2190,'Discount Lookup'!J:K,2)*G2190*(1-PlanterDiscount)*(1+PlanterDifficultyPercentage)),""),"")),"   not ELP, by"))))))))))))))</f>
        <v/>
      </c>
      <c r="AD2190" s="712"/>
      <c r="AE2190" s="513" t="str">
        <f t="shared" si="1536"/>
        <v/>
      </c>
      <c r="AF2190" s="713" t="str">
        <f t="shared" si="1537"/>
        <v/>
      </c>
      <c r="AG2190" s="713"/>
      <c r="AH2190" s="713"/>
      <c r="AI2190" s="112">
        <f>IF(H2190="credit",0,IF(AE2190="free",0,IF(AE2190="me",0,IF(G2190&gt;0,(VLOOKUP(A2190,'Discount Lookup'!J:K,2)*G2190),0))))</f>
        <v>0</v>
      </c>
      <c r="AJ2190" s="107" t="str">
        <f t="shared" ca="1" si="1538"/>
        <v/>
      </c>
      <c r="AK2190" s="714" t="str">
        <f t="shared" si="1539"/>
        <v/>
      </c>
      <c r="AL2190" s="714"/>
      <c r="AM2190" s="114" t="str">
        <f t="shared" si="1540"/>
        <v/>
      </c>
      <c r="AN2190" s="115"/>
      <c r="AO2190" s="116"/>
      <c r="AP2190" s="116"/>
      <c r="AQ2190" s="116"/>
      <c r="AR2190" s="116"/>
      <c r="AS2190" s="116"/>
      <c r="AT2190" s="116"/>
      <c r="AU2190" s="116"/>
      <c r="AV2190" s="78"/>
      <c r="AW2190" s="102"/>
      <c r="AX2190" s="78"/>
      <c r="AY2190" s="78"/>
      <c r="AZ2190" s="78"/>
      <c r="BA2190" s="78"/>
      <c r="BB2190" s="78"/>
      <c r="BC2190" s="78"/>
      <c r="BD2190" s="78"/>
      <c r="BE2190" s="465"/>
      <c r="BF2190" s="165" t="str">
        <f t="shared" si="1541"/>
        <v>https://www.google.com/search?tbm=isch&amp;q=Snowflake%20has%20striking%20variegated%20foliage%20with%20creamy%20white%20margins%2C%20glossy%20texture%2C%20and%20black%20fruit%20on%20pollinated%20female%20plants%20</v>
      </c>
      <c r="BG2190" s="165" t="str">
        <f t="shared" si="1542"/>
        <v>S</v>
      </c>
      <c r="BH2190" s="65"/>
      <c r="BI2190" s="65"/>
      <c r="BJ2190" s="65"/>
      <c r="BK2190" s="65"/>
      <c r="BL2190" s="99"/>
      <c r="BM2190" s="99"/>
      <c r="BN2190" s="99"/>
    </row>
    <row r="2191" spans="1:66" s="51" customFormat="1" ht="18" x14ac:dyDescent="0.25">
      <c r="A2191" s="507" t="s">
        <v>513</v>
      </c>
      <c r="B2191" s="470"/>
      <c r="C2191" s="706"/>
      <c r="D2191" s="471" t="s">
        <v>514</v>
      </c>
      <c r="E2191" s="472"/>
      <c r="F2191" s="472"/>
      <c r="G2191" s="472"/>
      <c r="H2191" s="622" t="s">
        <v>515</v>
      </c>
      <c r="I2191" s="473" t="s">
        <v>431</v>
      </c>
      <c r="J2191" s="472"/>
      <c r="K2191" s="472"/>
      <c r="L2191" s="561"/>
      <c r="M2191" s="698" t="s">
        <v>5246</v>
      </c>
      <c r="N2191" s="692" t="str">
        <f>IF(AND(ISTEXT($A2191), ISERROR($A2191+0)), HYPERLINK($BF2191, "Images"), "")</f>
        <v>Images</v>
      </c>
      <c r="O2191" s="694" t="s">
        <v>5289</v>
      </c>
      <c r="P2191" s="475"/>
      <c r="Q2191" s="476"/>
      <c r="R2191" s="476"/>
      <c r="S2191" s="477"/>
      <c r="T2191" s="102">
        <f t="shared" si="1530"/>
        <v>0</v>
      </c>
      <c r="U2191" s="78" t="str">
        <f>IF(NOT(ISNUMBER(G2191)), "", VLOOKUP(A2191,'Discount Lookup'!D:E,2,FALSE)*G2191)</f>
        <v/>
      </c>
      <c r="V2191" s="78" t="str">
        <f>IF(NOT(ISNUMBER(G2191)), "", VLOOKUP(A2191,'Discount Lookup'!G:H,2,FALSE)*G2191)</f>
        <v/>
      </c>
      <c r="W2191" s="102">
        <f t="shared" si="1531"/>
        <v>0</v>
      </c>
      <c r="X2191" s="102" t="str">
        <f t="shared" si="1532"/>
        <v>Dark Green foliage</v>
      </c>
      <c r="Y2191" s="120" t="b">
        <f t="shared" si="1533"/>
        <v>0</v>
      </c>
      <c r="Z2191" s="117">
        <f t="shared" si="1534"/>
        <v>0</v>
      </c>
      <c r="AA2191" s="118"/>
      <c r="AB2191" s="118" t="str">
        <f t="shared" si="1535"/>
        <v/>
      </c>
      <c r="AC2191" s="712" t="str">
        <f>IF(AE2191="T2G","no charge",IF(AND(OR(PlanterYesMe="No",PlanterYesMe="N",PlanterYesMe="me"),H2191=""),"",IF(H2191="credit","NO install",IF(AND(K2191="",AE2191="me"),"EACH row",IF(AND(K2191="images",AE2191="me"),"EACH row",IF(D2191="","",IF(H2191="credit","",IF(AE2191="free","re-planting",IF(AE2191="me","   not ELP, by",IF(AND(OR(PlanterYesMe="Yes",PlanterYesMe="Y"),G2191&gt;0),(VLOOKUP(A2191,'Discount Lookup'!J:K,2)*G2191*(1-PlanterDiscount)*(1+PlanterDifficultyPercentage)),IF(AE2191="ELP",(VLOOKUP(A2191,'Discount Lookup'!J:K,2)*G2191*(1-PlanterDiscount)*(1+PlanterDifficultyPercentage)),IF(AE2191="free","re-planting",IF(G2191=0,"",IF(PlanterYesMe="",IF(AE2191="me","   not ELP, by",IF(AE2191="",IF(G2191&gt;0,(VLOOKUP(A2191,'Discount Lookup'!J:K,2)*G2191*(1-PlanterDiscount)*(1+PlanterDifficultyPercentage)),""),"")),"   not ELP, by"))))))))))))))</f>
        <v/>
      </c>
      <c r="AD2191" s="712"/>
      <c r="AE2191" s="513" t="str">
        <f t="shared" si="1536"/>
        <v/>
      </c>
      <c r="AF2191" s="713" t="str">
        <f t="shared" si="1537"/>
        <v/>
      </c>
      <c r="AG2191" s="713"/>
      <c r="AH2191" s="713"/>
      <c r="AI2191" s="112">
        <f>IF(H2191="credit",0,IF(AE2191="free",0,IF(AE2191="me",0,IF(G2191&gt;0,(VLOOKUP(A2191,'Discount Lookup'!J:K,2)*G2191),0))))</f>
        <v>0</v>
      </c>
      <c r="AJ2191" s="107" t="str">
        <f t="shared" ca="1" si="1538"/>
        <v/>
      </c>
      <c r="AK2191" s="714" t="str">
        <f t="shared" si="1539"/>
        <v/>
      </c>
      <c r="AL2191" s="714"/>
      <c r="AM2191" s="114" t="str">
        <f t="shared" si="1540"/>
        <v/>
      </c>
      <c r="AN2191" s="115"/>
      <c r="AO2191" s="116"/>
      <c r="AP2191" s="116"/>
      <c r="AQ2191" s="116"/>
      <c r="AR2191" s="116"/>
      <c r="AS2191" s="116"/>
      <c r="AT2191" s="116"/>
      <c r="AU2191" s="116"/>
      <c r="AV2191" s="78"/>
      <c r="AW2191" s="102"/>
      <c r="AX2191" s="78"/>
      <c r="AY2191" s="78"/>
      <c r="AZ2191" s="78"/>
      <c r="BA2191" s="78"/>
      <c r="BB2191" s="78"/>
      <c r="BC2191" s="78"/>
      <c r="BD2191" s="78"/>
      <c r="BE2191" s="465"/>
      <c r="BF2191" s="165" t="str">
        <f t="shared" si="1541"/>
        <v>https://www.google.com/search?tbm=isch&amp;q=Ilex%20crenata%20%27Sky%20Pencil%27%20Sky%20Pencil%20Holly</v>
      </c>
      <c r="BG2191" s="165" t="str">
        <f t="shared" si="1542"/>
        <v>I</v>
      </c>
      <c r="BH2191" s="65"/>
      <c r="BI2191" s="65"/>
      <c r="BJ2191" s="65"/>
      <c r="BK2191" s="65"/>
      <c r="BL2191" s="99"/>
      <c r="BM2191" s="99"/>
      <c r="BN2191" s="99"/>
    </row>
    <row r="2192" spans="1:66" s="51" customFormat="1" ht="15.75" x14ac:dyDescent="0.25">
      <c r="A2192" s="478">
        <v>1</v>
      </c>
      <c r="B2192" s="479" t="s">
        <v>291</v>
      </c>
      <c r="C2192" s="480" t="s">
        <v>516</v>
      </c>
      <c r="D2192" s="481" t="s">
        <v>311</v>
      </c>
      <c r="E2192" s="482">
        <v>7.95</v>
      </c>
      <c r="F2192" s="483" t="s">
        <v>292</v>
      </c>
      <c r="G2192" s="484">
        <v>0</v>
      </c>
      <c r="H2192" s="688" t="str">
        <f t="shared" ref="H2192:H2201" si="1594">IF(G2192=0,"",IF(F2192="Buy",IF(G2192=1,"plant","plants"),IF(F2192&gt;0.01,"warranty","Error")))</f>
        <v/>
      </c>
      <c r="I2192" s="485">
        <f t="shared" ref="I2192:I2201" si="1595">IF(H2192="free",0,IF(H2192="credit",((E2192*(F2192))*G2192*-1),IF(F2192="Buy",(E2192*G2192),((E2192*(1-F2192))*G2192))))</f>
        <v>0</v>
      </c>
      <c r="J2192" s="485">
        <f t="shared" ref="J2192:J2201" si="1596">IF(H2192="warranty",0,(I2192*(_xlfn.SINGLE(SalesTaxPercentage))))</f>
        <v>0</v>
      </c>
      <c r="K2192" s="715">
        <f t="shared" ref="K2192" si="1597">I2192+J2192</f>
        <v>0</v>
      </c>
      <c r="L2192" s="715"/>
      <c r="M2192" s="689" t="str">
        <f t="shared" ref="M2192:M2201" ca="1" si="1598">IF(AND(G2192&gt;0,E2192=0),"WARNING - no PRICE inserted",IF(H2192="free","FREE ~ no charge this plant",IF(H2192="credit",CONCATENATE("-$",ROUND(K2192*(1-_xlfn.SINGLE(T2GDiscount))*-1,2)," CREDIT after discount"),IF(_xlfn.SINGLE(T2GDiscount)=0,"",IF(G2192=0,"",IF(F2192="Buy",CONCATENATE("$",ROUND(K2192*(1-_xlfn.SINGLE(T2GDiscount)),2)," with ",(_xlfn.SINGLE(T2GDiscount)*100),"% discount"),CONCATENATE("$",ROUND(K2192*(1-_xlfn.SINGLE(T2GDiscount)),2)," with ",((_xlfn.SINGLE(T2GDiscount)*100+F2192*100)-(_xlfn.SINGLE(T2GDiscount)*100*F2192)),IF(F2192&gt;0,"% discounts",IF(_xlfn.SINGLE(NoWarrantyDiscount)&gt;0,"% discounts","% discount")))))))))</f>
        <v/>
      </c>
      <c r="N2192" s="690"/>
      <c r="O2192" s="486"/>
      <c r="P2192" s="486"/>
      <c r="Q2192" s="486"/>
      <c r="R2192" s="486"/>
      <c r="S2192" s="486"/>
      <c r="T2192" s="102">
        <f t="shared" si="1530"/>
        <v>0</v>
      </c>
      <c r="U2192" s="78">
        <f>IF(NOT(ISNUMBER(G2192)), "", VLOOKUP(A2192,'Discount Lookup'!D:E,2,FALSE)*G2192)</f>
        <v>0</v>
      </c>
      <c r="V2192" s="78">
        <f>IF(NOT(ISNUMBER(G2192)), "", VLOOKUP(A2192,'Discount Lookup'!G:H,2,FALSE)*G2192)</f>
        <v>0</v>
      </c>
      <c r="W2192" s="102">
        <f t="shared" si="1531"/>
        <v>0</v>
      </c>
      <c r="X2192" s="102">
        <f t="shared" si="1532"/>
        <v>0</v>
      </c>
      <c r="Y2192" s="120" t="b">
        <f t="shared" si="1533"/>
        <v>0</v>
      </c>
      <c r="Z2192" s="117">
        <f t="shared" si="1534"/>
        <v>0</v>
      </c>
      <c r="AA2192" s="118"/>
      <c r="AB2192" s="118" t="str">
        <f t="shared" si="1535"/>
        <v/>
      </c>
      <c r="AC2192" s="712" t="str">
        <f>IF(AE2192="T2G","no charge",IF(AND(OR(PlanterYesMe="No",PlanterYesMe="N",PlanterYesMe="me"),H2192=""),"",IF(H2192="credit","NO install",IF(AND(K2192="",AE2192="me"),"EACH row",IF(AND(K2192="images",AE2192="me"),"EACH row",IF(D2192="","",IF(H2192="credit","",IF(AE2192="free","re-planting",IF(AE2192="me","   not ELP, by",IF(AND(OR(PlanterYesMe="Yes",PlanterYesMe="Y"),G2192&gt;0),(VLOOKUP(A2192,'Discount Lookup'!J:K,2)*G2192*(1-PlanterDiscount)*(1+PlanterDifficultyPercentage)),IF(AE2192="ELP",(VLOOKUP(A2192,'Discount Lookup'!J:K,2)*G2192*(1-PlanterDiscount)*(1+PlanterDifficultyPercentage)),IF(AE2192="free","re-planting",IF(G2192=0,"",IF(PlanterYesMe="",IF(AE2192="me","   not ELP, by",IF(AE2192="",IF(G2192&gt;0,(VLOOKUP(A2192,'Discount Lookup'!J:K,2)*G2192*(1-PlanterDiscount)*(1+PlanterDifficultyPercentage)),""),"")),"   not ELP, by"))))))))))))))</f>
        <v/>
      </c>
      <c r="AD2192" s="712"/>
      <c r="AE2192" s="513" t="str">
        <f t="shared" si="1536"/>
        <v/>
      </c>
      <c r="AF2192" s="713" t="str">
        <f t="shared" si="1537"/>
        <v/>
      </c>
      <c r="AG2192" s="713"/>
      <c r="AH2192" s="713"/>
      <c r="AI2192" s="112">
        <f>IF(H2192="credit",0,IF(AE2192="free",0,IF(AE2192="me",0,IF(G2192&gt;0,(VLOOKUP(A2192,'Discount Lookup'!J:K,2)*G2192),0))))</f>
        <v>0</v>
      </c>
      <c r="AJ2192" s="107" t="str">
        <f t="shared" ca="1" si="1538"/>
        <v/>
      </c>
      <c r="AK2192" s="714" t="str">
        <f t="shared" si="1539"/>
        <v/>
      </c>
      <c r="AL2192" s="714"/>
      <c r="AM2192" s="114" t="str">
        <f t="shared" si="1540"/>
        <v/>
      </c>
      <c r="AN2192" s="115"/>
      <c r="AO2192" s="116"/>
      <c r="AP2192" s="116"/>
      <c r="AQ2192" s="116"/>
      <c r="AR2192" s="116"/>
      <c r="AS2192" s="116"/>
      <c r="AT2192" s="116"/>
      <c r="AU2192" s="116"/>
      <c r="AV2192" s="78"/>
      <c r="AW2192" s="102"/>
      <c r="AX2192" s="78"/>
      <c r="AY2192" s="78"/>
      <c r="AZ2192" s="78"/>
      <c r="BA2192" s="78"/>
      <c r="BB2192" s="78"/>
      <c r="BC2192" s="78"/>
      <c r="BD2192" s="78"/>
      <c r="BE2192" s="465"/>
      <c r="BF2192" s="165" t="str">
        <f t="shared" si="1541"/>
        <v>https://www.google.com/search?tbm=isch&amp;q=1%20G5</v>
      </c>
      <c r="BG2192" s="165" t="str">
        <f t="shared" si="1542"/>
        <v>I</v>
      </c>
      <c r="BH2192" s="65"/>
      <c r="BI2192" s="65"/>
      <c r="BJ2192" s="65"/>
      <c r="BK2192" s="65"/>
      <c r="BL2192" s="99"/>
      <c r="BM2192" s="99"/>
      <c r="BN2192" s="99"/>
    </row>
    <row r="2193" spans="1:66" s="51" customFormat="1" ht="15.75" x14ac:dyDescent="0.25">
      <c r="A2193" s="478">
        <v>3</v>
      </c>
      <c r="B2193" s="479" t="s">
        <v>291</v>
      </c>
      <c r="C2193" s="480" t="s">
        <v>517</v>
      </c>
      <c r="D2193" s="481" t="s">
        <v>309</v>
      </c>
      <c r="E2193" s="482">
        <v>22.95</v>
      </c>
      <c r="F2193" s="483" t="s">
        <v>292</v>
      </c>
      <c r="G2193" s="484">
        <v>0</v>
      </c>
      <c r="H2193" s="688" t="str">
        <f t="shared" si="1594"/>
        <v/>
      </c>
      <c r="I2193" s="485">
        <f t="shared" si="1595"/>
        <v>0</v>
      </c>
      <c r="J2193" s="485">
        <f t="shared" si="1596"/>
        <v>0</v>
      </c>
      <c r="K2193" s="715">
        <f t="shared" ref="K2193" si="1599">I2193+J2193</f>
        <v>0</v>
      </c>
      <c r="L2193" s="715"/>
      <c r="M2193" s="689" t="str">
        <f t="shared" ca="1" si="1598"/>
        <v/>
      </c>
      <c r="N2193" s="690"/>
      <c r="O2193" s="486"/>
      <c r="P2193" s="486"/>
      <c r="Q2193" s="486"/>
      <c r="R2193" s="486"/>
      <c r="S2193" s="486"/>
      <c r="T2193" s="102">
        <f t="shared" si="1530"/>
        <v>0</v>
      </c>
      <c r="U2193" s="78">
        <f>IF(NOT(ISNUMBER(G2193)), "", VLOOKUP(A2193,'Discount Lookup'!D:E,2,FALSE)*G2193)</f>
        <v>0</v>
      </c>
      <c r="V2193" s="78">
        <f>IF(NOT(ISNUMBER(G2193)), "", VLOOKUP(A2193,'Discount Lookup'!G:H,2,FALSE)*G2193)</f>
        <v>0</v>
      </c>
      <c r="W2193" s="102">
        <f t="shared" si="1531"/>
        <v>0</v>
      </c>
      <c r="X2193" s="102">
        <f t="shared" si="1532"/>
        <v>0</v>
      </c>
      <c r="Y2193" s="120" t="b">
        <f t="shared" si="1533"/>
        <v>0</v>
      </c>
      <c r="Z2193" s="117">
        <f t="shared" si="1534"/>
        <v>0</v>
      </c>
      <c r="AA2193" s="118"/>
      <c r="AB2193" s="118" t="str">
        <f t="shared" si="1535"/>
        <v/>
      </c>
      <c r="AC2193" s="712" t="str">
        <f>IF(AE2193="T2G","no charge",IF(AND(OR(PlanterYesMe="No",PlanterYesMe="N",PlanterYesMe="me"),H2193=""),"",IF(H2193="credit","NO install",IF(AND(K2193="",AE2193="me"),"EACH row",IF(AND(K2193="images",AE2193="me"),"EACH row",IF(D2193="","",IF(H2193="credit","",IF(AE2193="free","re-planting",IF(AE2193="me","   not ELP, by",IF(AND(OR(PlanterYesMe="Yes",PlanterYesMe="Y"),G2193&gt;0),(VLOOKUP(A2193,'Discount Lookup'!J:K,2)*G2193*(1-PlanterDiscount)*(1+PlanterDifficultyPercentage)),IF(AE2193="ELP",(VLOOKUP(A2193,'Discount Lookup'!J:K,2)*G2193*(1-PlanterDiscount)*(1+PlanterDifficultyPercentage)),IF(AE2193="free","re-planting",IF(G2193=0,"",IF(PlanterYesMe="",IF(AE2193="me","   not ELP, by",IF(AE2193="",IF(G2193&gt;0,(VLOOKUP(A2193,'Discount Lookup'!J:K,2)*G2193*(1-PlanterDiscount)*(1+PlanterDifficultyPercentage)),""),"")),"   not ELP, by"))))))))))))))</f>
        <v/>
      </c>
      <c r="AD2193" s="712"/>
      <c r="AE2193" s="513" t="str">
        <f t="shared" si="1536"/>
        <v/>
      </c>
      <c r="AF2193" s="713" t="str">
        <f t="shared" si="1537"/>
        <v/>
      </c>
      <c r="AG2193" s="713"/>
      <c r="AH2193" s="713"/>
      <c r="AI2193" s="112">
        <f>IF(H2193="credit",0,IF(AE2193="free",0,IF(AE2193="me",0,IF(G2193&gt;0,(VLOOKUP(A2193,'Discount Lookup'!J:K,2)*G2193),0))))</f>
        <v>0</v>
      </c>
      <c r="AJ2193" s="107" t="str">
        <f t="shared" ca="1" si="1538"/>
        <v/>
      </c>
      <c r="AK2193" s="714" t="str">
        <f t="shared" si="1539"/>
        <v/>
      </c>
      <c r="AL2193" s="714"/>
      <c r="AM2193" s="114" t="str">
        <f t="shared" si="1540"/>
        <v/>
      </c>
      <c r="AN2193" s="115"/>
      <c r="AO2193" s="116"/>
      <c r="AP2193" s="116"/>
      <c r="AQ2193" s="116"/>
      <c r="AR2193" s="116"/>
      <c r="AS2193" s="116"/>
      <c r="AT2193" s="116"/>
      <c r="AU2193" s="116"/>
      <c r="AV2193" s="78"/>
      <c r="AW2193" s="102"/>
      <c r="AX2193" s="78"/>
      <c r="AY2193" s="78"/>
      <c r="AZ2193" s="78"/>
      <c r="BA2193" s="78"/>
      <c r="BB2193" s="78"/>
      <c r="BC2193" s="78"/>
      <c r="BD2193" s="78"/>
      <c r="BE2193" s="465"/>
      <c r="BF2193" s="165" t="str">
        <f t="shared" si="1541"/>
        <v>https://www.google.com/search?tbm=isch&amp;q=3%20G3</v>
      </c>
      <c r="BG2193" s="165" t="str">
        <f t="shared" si="1542"/>
        <v>I</v>
      </c>
      <c r="BH2193" s="65"/>
      <c r="BI2193" s="65"/>
      <c r="BJ2193" s="65"/>
      <c r="BK2193" s="65"/>
      <c r="BL2193" s="99"/>
      <c r="BM2193" s="99"/>
      <c r="BN2193" s="99"/>
    </row>
    <row r="2194" spans="1:66" s="51" customFormat="1" ht="15.75" x14ac:dyDescent="0.25">
      <c r="A2194" s="478">
        <v>3</v>
      </c>
      <c r="B2194" s="479" t="s">
        <v>291</v>
      </c>
      <c r="C2194" s="480" t="s">
        <v>2968</v>
      </c>
      <c r="D2194" s="481" t="s">
        <v>310</v>
      </c>
      <c r="E2194" s="482">
        <v>25.95</v>
      </c>
      <c r="F2194" s="483" t="s">
        <v>292</v>
      </c>
      <c r="G2194" s="484">
        <v>0</v>
      </c>
      <c r="H2194" s="688" t="str">
        <f t="shared" si="1594"/>
        <v/>
      </c>
      <c r="I2194" s="485">
        <f t="shared" si="1595"/>
        <v>0</v>
      </c>
      <c r="J2194" s="485">
        <f t="shared" si="1596"/>
        <v>0</v>
      </c>
      <c r="K2194" s="715">
        <f t="shared" ref="K2194" si="1600">I2194+J2194</f>
        <v>0</v>
      </c>
      <c r="L2194" s="715"/>
      <c r="M2194" s="689" t="str">
        <f t="shared" ca="1" si="1598"/>
        <v/>
      </c>
      <c r="N2194" s="690"/>
      <c r="O2194" s="486"/>
      <c r="P2194" s="486"/>
      <c r="Q2194" s="486"/>
      <c r="R2194" s="486"/>
      <c r="S2194" s="486"/>
      <c r="T2194" s="102">
        <f t="shared" si="1530"/>
        <v>0</v>
      </c>
      <c r="U2194" s="78">
        <f>IF(NOT(ISNUMBER(G2194)), "", VLOOKUP(A2194,'Discount Lookup'!D:E,2,FALSE)*G2194)</f>
        <v>0</v>
      </c>
      <c r="V2194" s="78">
        <f>IF(NOT(ISNUMBER(G2194)), "", VLOOKUP(A2194,'Discount Lookup'!G:H,2,FALSE)*G2194)</f>
        <v>0</v>
      </c>
      <c r="W2194" s="102">
        <f t="shared" si="1531"/>
        <v>0</v>
      </c>
      <c r="X2194" s="102">
        <f t="shared" si="1532"/>
        <v>0</v>
      </c>
      <c r="Y2194" s="120" t="b">
        <f t="shared" si="1533"/>
        <v>0</v>
      </c>
      <c r="Z2194" s="117">
        <f t="shared" si="1534"/>
        <v>0</v>
      </c>
      <c r="AA2194" s="118"/>
      <c r="AB2194" s="118" t="str">
        <f t="shared" si="1535"/>
        <v/>
      </c>
      <c r="AC2194" s="712" t="str">
        <f>IF(AE2194="T2G","no charge",IF(AND(OR(PlanterYesMe="No",PlanterYesMe="N",PlanterYesMe="me"),H2194=""),"",IF(H2194="credit","NO install",IF(AND(K2194="",AE2194="me"),"EACH row",IF(AND(K2194="images",AE2194="me"),"EACH row",IF(D2194="","",IF(H2194="credit","",IF(AE2194="free","re-planting",IF(AE2194="me","   not ELP, by",IF(AND(OR(PlanterYesMe="Yes",PlanterYesMe="Y"),G2194&gt;0),(VLOOKUP(A2194,'Discount Lookup'!J:K,2)*G2194*(1-PlanterDiscount)*(1+PlanterDifficultyPercentage)),IF(AE2194="ELP",(VLOOKUP(A2194,'Discount Lookup'!J:K,2)*G2194*(1-PlanterDiscount)*(1+PlanterDifficultyPercentage)),IF(AE2194="free","re-planting",IF(G2194=0,"",IF(PlanterYesMe="",IF(AE2194="me","   not ELP, by",IF(AE2194="",IF(G2194&gt;0,(VLOOKUP(A2194,'Discount Lookup'!J:K,2)*G2194*(1-PlanterDiscount)*(1+PlanterDifficultyPercentage)),""),"")),"   not ELP, by"))))))))))))))</f>
        <v/>
      </c>
      <c r="AD2194" s="712"/>
      <c r="AE2194" s="513" t="str">
        <f t="shared" si="1536"/>
        <v/>
      </c>
      <c r="AF2194" s="713" t="str">
        <f t="shared" si="1537"/>
        <v/>
      </c>
      <c r="AG2194" s="713"/>
      <c r="AH2194" s="713"/>
      <c r="AI2194" s="112">
        <f>IF(H2194="credit",0,IF(AE2194="free",0,IF(AE2194="me",0,IF(G2194&gt;0,(VLOOKUP(A2194,'Discount Lookup'!J:K,2)*G2194),0))))</f>
        <v>0</v>
      </c>
      <c r="AJ2194" s="107" t="str">
        <f t="shared" ca="1" si="1538"/>
        <v/>
      </c>
      <c r="AK2194" s="714" t="str">
        <f t="shared" si="1539"/>
        <v/>
      </c>
      <c r="AL2194" s="714"/>
      <c r="AM2194" s="114" t="str">
        <f t="shared" si="1540"/>
        <v/>
      </c>
      <c r="AN2194" s="115"/>
      <c r="AO2194" s="116"/>
      <c r="AP2194" s="116"/>
      <c r="AQ2194" s="116"/>
      <c r="AR2194" s="116"/>
      <c r="AS2194" s="116"/>
      <c r="AT2194" s="116"/>
      <c r="AU2194" s="116"/>
      <c r="AV2194" s="78"/>
      <c r="AW2194" s="102"/>
      <c r="AX2194" s="78"/>
      <c r="AY2194" s="78"/>
      <c r="AZ2194" s="78"/>
      <c r="BA2194" s="78"/>
      <c r="BB2194" s="78"/>
      <c r="BC2194" s="78"/>
      <c r="BD2194" s="78"/>
      <c r="BE2194" s="465"/>
      <c r="BF2194" s="165" t="str">
        <f t="shared" si="1541"/>
        <v>https://www.google.com/search?tbm=isch&amp;q=3%20G1</v>
      </c>
      <c r="BG2194" s="165" t="str">
        <f t="shared" si="1542"/>
        <v>I</v>
      </c>
      <c r="BH2194" s="65"/>
      <c r="BI2194" s="65"/>
      <c r="BJ2194" s="65"/>
      <c r="BK2194" s="65"/>
      <c r="BL2194" s="99"/>
      <c r="BM2194" s="99"/>
      <c r="BN2194" s="99"/>
    </row>
    <row r="2195" spans="1:66" s="51" customFormat="1" ht="15.75" x14ac:dyDescent="0.25">
      <c r="A2195" s="478">
        <v>3</v>
      </c>
      <c r="B2195" s="479" t="s">
        <v>291</v>
      </c>
      <c r="C2195" s="480" t="s">
        <v>19</v>
      </c>
      <c r="D2195" s="481" t="s">
        <v>329</v>
      </c>
      <c r="E2195" s="482">
        <v>25.95</v>
      </c>
      <c r="F2195" s="483" t="s">
        <v>292</v>
      </c>
      <c r="G2195" s="484">
        <v>0</v>
      </c>
      <c r="H2195" s="688" t="str">
        <f t="shared" si="1594"/>
        <v/>
      </c>
      <c r="I2195" s="485">
        <f t="shared" si="1595"/>
        <v>0</v>
      </c>
      <c r="J2195" s="485">
        <f t="shared" si="1596"/>
        <v>0</v>
      </c>
      <c r="K2195" s="715">
        <f t="shared" ref="K2195" si="1601">I2195+J2195</f>
        <v>0</v>
      </c>
      <c r="L2195" s="715"/>
      <c r="M2195" s="689" t="str">
        <f t="shared" ca="1" si="1598"/>
        <v/>
      </c>
      <c r="N2195" s="690"/>
      <c r="O2195" s="486"/>
      <c r="P2195" s="486"/>
      <c r="Q2195" s="486"/>
      <c r="R2195" s="486"/>
      <c r="S2195" s="486"/>
      <c r="T2195" s="102">
        <f t="shared" si="1530"/>
        <v>0</v>
      </c>
      <c r="U2195" s="78">
        <f>IF(NOT(ISNUMBER(G2195)), "", VLOOKUP(A2195,'Discount Lookup'!D:E,2,FALSE)*G2195)</f>
        <v>0</v>
      </c>
      <c r="V2195" s="78">
        <f>IF(NOT(ISNUMBER(G2195)), "", VLOOKUP(A2195,'Discount Lookup'!G:H,2,FALSE)*G2195)</f>
        <v>0</v>
      </c>
      <c r="W2195" s="102">
        <f t="shared" si="1531"/>
        <v>0</v>
      </c>
      <c r="X2195" s="102">
        <f t="shared" si="1532"/>
        <v>0</v>
      </c>
      <c r="Y2195" s="120" t="b">
        <f t="shared" si="1533"/>
        <v>0</v>
      </c>
      <c r="Z2195" s="117">
        <f t="shared" si="1534"/>
        <v>0</v>
      </c>
      <c r="AA2195" s="118"/>
      <c r="AB2195" s="118" t="str">
        <f t="shared" si="1535"/>
        <v/>
      </c>
      <c r="AC2195" s="712" t="str">
        <f>IF(AE2195="T2G","no charge",IF(AND(OR(PlanterYesMe="No",PlanterYesMe="N",PlanterYesMe="me"),H2195=""),"",IF(H2195="credit","NO install",IF(AND(K2195="",AE2195="me"),"EACH row",IF(AND(K2195="images",AE2195="me"),"EACH row",IF(D2195="","",IF(H2195="credit","",IF(AE2195="free","re-planting",IF(AE2195="me","   not ELP, by",IF(AND(OR(PlanterYesMe="Yes",PlanterYesMe="Y"),G2195&gt;0),(VLOOKUP(A2195,'Discount Lookup'!J:K,2)*G2195*(1-PlanterDiscount)*(1+PlanterDifficultyPercentage)),IF(AE2195="ELP",(VLOOKUP(A2195,'Discount Lookup'!J:K,2)*G2195*(1-PlanterDiscount)*(1+PlanterDifficultyPercentage)),IF(AE2195="free","re-planting",IF(G2195=0,"",IF(PlanterYesMe="",IF(AE2195="me","   not ELP, by",IF(AE2195="",IF(G2195&gt;0,(VLOOKUP(A2195,'Discount Lookup'!J:K,2)*G2195*(1-PlanterDiscount)*(1+PlanterDifficultyPercentage)),""),"")),"   not ELP, by"))))))))))))))</f>
        <v/>
      </c>
      <c r="AD2195" s="712"/>
      <c r="AE2195" s="513" t="str">
        <f t="shared" si="1536"/>
        <v/>
      </c>
      <c r="AF2195" s="713" t="str">
        <f t="shared" si="1537"/>
        <v/>
      </c>
      <c r="AG2195" s="713"/>
      <c r="AH2195" s="713"/>
      <c r="AI2195" s="112">
        <f>IF(H2195="credit",0,IF(AE2195="free",0,IF(AE2195="me",0,IF(G2195&gt;0,(VLOOKUP(A2195,'Discount Lookup'!J:K,2)*G2195),0))))</f>
        <v>0</v>
      </c>
      <c r="AJ2195" s="107" t="str">
        <f t="shared" ca="1" si="1538"/>
        <v/>
      </c>
      <c r="AK2195" s="714" t="str">
        <f t="shared" si="1539"/>
        <v/>
      </c>
      <c r="AL2195" s="714"/>
      <c r="AM2195" s="114" t="str">
        <f t="shared" si="1540"/>
        <v/>
      </c>
      <c r="AN2195" s="115"/>
      <c r="AO2195" s="116"/>
      <c r="AP2195" s="116"/>
      <c r="AQ2195" s="116"/>
      <c r="AR2195" s="116"/>
      <c r="AS2195" s="116"/>
      <c r="AT2195" s="116"/>
      <c r="AU2195" s="116"/>
      <c r="AV2195" s="78"/>
      <c r="AW2195" s="102"/>
      <c r="AX2195" s="78"/>
      <c r="AY2195" s="78"/>
      <c r="AZ2195" s="78"/>
      <c r="BA2195" s="78"/>
      <c r="BB2195" s="78"/>
      <c r="BC2195" s="78"/>
      <c r="BD2195" s="78"/>
      <c r="BE2195" s="465"/>
      <c r="BF2195" s="165" t="str">
        <f t="shared" si="1541"/>
        <v>https://www.google.com/search?tbm=isch&amp;q=3%20G2</v>
      </c>
      <c r="BG2195" s="165" t="str">
        <f t="shared" si="1542"/>
        <v>I</v>
      </c>
      <c r="BH2195" s="65"/>
      <c r="BI2195" s="65"/>
      <c r="BJ2195" s="65"/>
      <c r="BK2195" s="65"/>
      <c r="BL2195" s="99"/>
      <c r="BM2195" s="99"/>
      <c r="BN2195" s="99"/>
    </row>
    <row r="2196" spans="1:66" s="51" customFormat="1" ht="15.75" x14ac:dyDescent="0.25">
      <c r="A2196" s="478">
        <v>3</v>
      </c>
      <c r="B2196" s="479" t="s">
        <v>291</v>
      </c>
      <c r="C2196" s="480" t="s">
        <v>518</v>
      </c>
      <c r="D2196" s="481" t="s">
        <v>311</v>
      </c>
      <c r="E2196" s="482">
        <v>31.95</v>
      </c>
      <c r="F2196" s="483" t="s">
        <v>292</v>
      </c>
      <c r="G2196" s="484">
        <v>0</v>
      </c>
      <c r="H2196" s="688" t="str">
        <f t="shared" si="1594"/>
        <v/>
      </c>
      <c r="I2196" s="485">
        <f t="shared" si="1595"/>
        <v>0</v>
      </c>
      <c r="J2196" s="485">
        <f t="shared" si="1596"/>
        <v>0</v>
      </c>
      <c r="K2196" s="715">
        <f t="shared" ref="K2196" si="1602">I2196+J2196</f>
        <v>0</v>
      </c>
      <c r="L2196" s="715"/>
      <c r="M2196" s="689" t="str">
        <f t="shared" ca="1" si="1598"/>
        <v/>
      </c>
      <c r="N2196" s="690"/>
      <c r="O2196" s="486"/>
      <c r="P2196" s="486"/>
      <c r="Q2196" s="486"/>
      <c r="R2196" s="486"/>
      <c r="S2196" s="486"/>
      <c r="T2196" s="102">
        <f t="shared" ref="T2196:T2259" si="1603">E2196*G2196</f>
        <v>0</v>
      </c>
      <c r="U2196" s="78">
        <f>IF(NOT(ISNUMBER(G2196)), "", VLOOKUP(A2196,'Discount Lookup'!D:E,2,FALSE)*G2196)</f>
        <v>0</v>
      </c>
      <c r="V2196" s="78">
        <f>IF(NOT(ISNUMBER(G2196)), "", VLOOKUP(A2196,'Discount Lookup'!G:H,2,FALSE)*G2196)</f>
        <v>0</v>
      </c>
      <c r="W2196" s="102">
        <f t="shared" ref="W2196:W2259" si="1604">IF(H2196="credit",0,E2196*(SalesTaxPercentage)*G2196)</f>
        <v>0</v>
      </c>
      <c r="X2196" s="102">
        <f t="shared" ref="X2196:X2259" si="1605">I2196</f>
        <v>0</v>
      </c>
      <c r="Y2196" s="120" t="b">
        <f t="shared" ref="Y2196:Y2259" si="1606">IF(AE2196="T2G",0,IF(H2196="credit",0,IF(G2196&gt;0,IF(AE2196="me","",G2196))))</f>
        <v>0</v>
      </c>
      <c r="Z2196" s="117">
        <f t="shared" ref="Z2196:Z2259" si="1607">IF(H2196="credit",G2196,0)</f>
        <v>0</v>
      </c>
      <c r="AA2196" s="118"/>
      <c r="AB2196" s="118" t="str">
        <f t="shared" ref="AB2196:AB2259" si="1608">IF(AE2196="T2G","by Trees2Go",IF(H2196="credit","CREDIT only ~",IF(AND(K2196="",AE2196=OR(PlanterYesMe="No",PlanterYesMe="N",PlanterYesMe="me")),"not THIS line⇨",IF(AND(K2196="images",AE2196="me"),"not THIS line⇨",IF(H2196="credit","",IF(G2196=0,"",IF(AE2196="me","",IF(OR(PlanterYesMe="No",PlanterYesMe="N",PlanterYesMe="me"),"",IF(AE2196="free","warranty",IF(OR(PlanterYesMe="yes",PlanterYesMe="y"),"Edison install:","to install:"))))))))))</f>
        <v/>
      </c>
      <c r="AC2196" s="712" t="str">
        <f>IF(AE2196="T2G","no charge",IF(AND(OR(PlanterYesMe="No",PlanterYesMe="N",PlanterYesMe="me"),H2196=""),"",IF(H2196="credit","NO install",IF(AND(K2196="",AE2196="me"),"EACH row",IF(AND(K2196="images",AE2196="me"),"EACH row",IF(D2196="","",IF(H2196="credit","",IF(AE2196="free","re-planting",IF(AE2196="me","   not ELP, by",IF(AND(OR(PlanterYesMe="Yes",PlanterYesMe="Y"),G2196&gt;0),(VLOOKUP(A2196,'Discount Lookup'!J:K,2)*G2196*(1-PlanterDiscount)*(1+PlanterDifficultyPercentage)),IF(AE2196="ELP",(VLOOKUP(A2196,'Discount Lookup'!J:K,2)*G2196*(1-PlanterDiscount)*(1+PlanterDifficultyPercentage)),IF(AE2196="free","re-planting",IF(G2196=0,"",IF(PlanterYesMe="",IF(AE2196="me","   not ELP, by",IF(AE2196="",IF(G2196&gt;0,(VLOOKUP(A2196,'Discount Lookup'!J:K,2)*G2196*(1-PlanterDiscount)*(1+PlanterDifficultyPercentage)),""),"")),"   not ELP, by"))))))))))))))</f>
        <v/>
      </c>
      <c r="AD2196" s="712"/>
      <c r="AE2196" s="513" t="str">
        <f t="shared" ref="AE2196:AE2259" si="1609">IF(H2196="credit","",IF(G2196=0,"",IF(OR(PlanterYesMe="No",PlanterYesMe="N",PlanterYesMe="me"),"me",IF(H2196="warranty","free",IF(OR(PlanterYesMe="yes",PlanterYesMe="y"),"ELP","")))))</f>
        <v/>
      </c>
      <c r="AF2196" s="713" t="str">
        <f t="shared" ref="AF2196:AF2259" si="1610">IF(OR(PlanterYesMe="No",PlanterYesMe="N",PlanterYesMe="me"),"",IF(H2196="credit","",IF(G2196&gt;0,(CONCATENATE((G2196)," quantity, ",(A2196)," ",B2196)),"")))</f>
        <v/>
      </c>
      <c r="AG2196" s="713"/>
      <c r="AH2196" s="713"/>
      <c r="AI2196" s="112">
        <f>IF(H2196="credit",0,IF(AE2196="free",0,IF(AE2196="me",0,IF(G2196&gt;0,(VLOOKUP(A2196,'Discount Lookup'!J:K,2)*G2196),0))))</f>
        <v>0</v>
      </c>
      <c r="AJ2196" s="107" t="str">
        <f t="shared" ref="AJ2196:AJ2259" ca="1" si="1611">IF(AND(ISREF(H2196),H2196="credit"),"",IF(AND(AND(OFFSET(G2196,0,0)=0,OFFSET(G2196,1,0)&gt;0,ISNUMBER(OFFSET(AC2196,1,0)),OFFSET(AC2196,1,0)&gt;0),OR(PlanterYesMe="yes",PlanterYesMe="y")),"T2G+ELP=",IF(AND(OFFSET(G2196,0,0)=0,OFFSET(G2196,1,0)&gt;0,ISNUMBER(OFFSET(AC2196,1,0)),OFFSET(AC2196,1,0)&gt;0),"if T2G+ELP=",IF(AND(OFFSET(G2196,0,0)=0,OFFSET(G2196,1,0)&gt;0),"T2G Subtotal",IF(H2196="credit","",IF(G2196=0,"",IF(AE2196="free",(K2196*(1-T2GDiscount)),IF(OR(PlanterYesMe="No",PlanterYesMe="N",PlanterYesMe="me"),(K2196*(1-T2GDiscount)),IF(OR(AE2196="me",AE2196="T2G"),(K2196*(1-T2GDiscount)),(K2196*(1-T2GDiscount))+AC2196)))))))))</f>
        <v/>
      </c>
      <c r="AK2196" s="714" t="str">
        <f t="shared" ref="AK2196:AK2259" si="1612">IF(H2196="credit","",IF(G2196=0,"",IF(OR(AE2196="me",AE2196="T2G"),"  delivery-only",IF(OR(PlanterYesMe="No",PlanterYesMe="N",PlanterYesMe="me"),"  delivery-only",CONCATENATE(" $",ROUND(AJ2196/G2196,2)," each")))))</f>
        <v/>
      </c>
      <c r="AL2196" s="714"/>
      <c r="AM2196" s="114" t="str">
        <f t="shared" ref="AM2196:AM2259" si="1613">IF(H2196="credit","",IF(AE2196="free","      ~ discounts included, no tax or planting fee applies ~",IF(G2196=0,"",IF(OR(PlanterYesMe="No",PlanterYesMe="N",PlanterYesMe="me"),CONCATENATE(" $",ROUND(AJ2196/G2196,2)," per plant, with tax &amp; discount"),IF(OR(AE2196="me",AE2196="T2G"),CONCATENATE(" $",ROUND(AJ2196/G2196,2)," per plant, with tax &amp; discount"),CONCATENATE("= $",ROUND((K2196*(1-T2GDiscount))/G2196,2)," per plant + $",AC2196/G2196,(" per planting      ~ includes tax &amp; discounts ~")))))))</f>
        <v/>
      </c>
      <c r="AN2196" s="115"/>
      <c r="AO2196" s="116"/>
      <c r="AP2196" s="116"/>
      <c r="AQ2196" s="116"/>
      <c r="AR2196" s="116"/>
      <c r="AS2196" s="116"/>
      <c r="AT2196" s="116"/>
      <c r="AU2196" s="116"/>
      <c r="AV2196" s="78"/>
      <c r="AW2196" s="102"/>
      <c r="AX2196" s="78"/>
      <c r="AY2196" s="78"/>
      <c r="AZ2196" s="78"/>
      <c r="BA2196" s="78"/>
      <c r="BB2196" s="78"/>
      <c r="BC2196" s="78"/>
      <c r="BD2196" s="78"/>
      <c r="BE2196" s="465"/>
      <c r="BF2196" s="165" t="str">
        <f t="shared" ref="BF2196:BF2259" si="1614">"https://www.google.com/search?tbm=isch&amp;q=" &amp; _xlfn.ENCODEURL($A2196 &amp; " " &amp; $D2196)</f>
        <v>https://www.google.com/search?tbm=isch&amp;q=3%20G5</v>
      </c>
      <c r="BG2196" s="165" t="str">
        <f t="shared" ref="BG2196:BG2259" si="1615">IF(ISTEXT(A2196),LEFT(A2196,1),BG2195)</f>
        <v>I</v>
      </c>
      <c r="BH2196" s="65"/>
      <c r="BI2196" s="65"/>
      <c r="BJ2196" s="65"/>
      <c r="BK2196" s="65"/>
      <c r="BL2196" s="99"/>
      <c r="BM2196" s="99"/>
      <c r="BN2196" s="99"/>
    </row>
    <row r="2197" spans="1:66" s="51" customFormat="1" ht="15.75" x14ac:dyDescent="0.25">
      <c r="A2197" s="478">
        <v>7</v>
      </c>
      <c r="B2197" s="479" t="s">
        <v>291</v>
      </c>
      <c r="C2197" s="480" t="s">
        <v>519</v>
      </c>
      <c r="D2197" s="481" t="s">
        <v>309</v>
      </c>
      <c r="E2197" s="482">
        <v>56.95</v>
      </c>
      <c r="F2197" s="483" t="s">
        <v>292</v>
      </c>
      <c r="G2197" s="484">
        <v>0</v>
      </c>
      <c r="H2197" s="688" t="str">
        <f t="shared" si="1594"/>
        <v/>
      </c>
      <c r="I2197" s="485">
        <f t="shared" si="1595"/>
        <v>0</v>
      </c>
      <c r="J2197" s="485">
        <f t="shared" si="1596"/>
        <v>0</v>
      </c>
      <c r="K2197" s="715">
        <f t="shared" ref="K2197" si="1616">I2197+J2197</f>
        <v>0</v>
      </c>
      <c r="L2197" s="715"/>
      <c r="M2197" s="689" t="str">
        <f t="shared" ca="1" si="1598"/>
        <v/>
      </c>
      <c r="N2197" s="690"/>
      <c r="O2197" s="486"/>
      <c r="P2197" s="486"/>
      <c r="Q2197" s="486"/>
      <c r="R2197" s="486"/>
      <c r="S2197" s="486"/>
      <c r="T2197" s="102">
        <f t="shared" si="1603"/>
        <v>0</v>
      </c>
      <c r="U2197" s="78">
        <f>IF(NOT(ISNUMBER(G2197)), "", VLOOKUP(A2197,'Discount Lookup'!D:E,2,FALSE)*G2197)</f>
        <v>0</v>
      </c>
      <c r="V2197" s="78">
        <f>IF(NOT(ISNUMBER(G2197)), "", VLOOKUP(A2197,'Discount Lookup'!G:H,2,FALSE)*G2197)</f>
        <v>0</v>
      </c>
      <c r="W2197" s="102">
        <f t="shared" si="1604"/>
        <v>0</v>
      </c>
      <c r="X2197" s="102">
        <f t="shared" si="1605"/>
        <v>0</v>
      </c>
      <c r="Y2197" s="120" t="b">
        <f t="shared" si="1606"/>
        <v>0</v>
      </c>
      <c r="Z2197" s="117">
        <f t="shared" si="1607"/>
        <v>0</v>
      </c>
      <c r="AA2197" s="118"/>
      <c r="AB2197" s="118" t="str">
        <f t="shared" si="1608"/>
        <v/>
      </c>
      <c r="AC2197" s="712" t="str">
        <f>IF(AE2197="T2G","no charge",IF(AND(OR(PlanterYesMe="No",PlanterYesMe="N",PlanterYesMe="me"),H2197=""),"",IF(H2197="credit","NO install",IF(AND(K2197="",AE2197="me"),"EACH row",IF(AND(K2197="images",AE2197="me"),"EACH row",IF(D2197="","",IF(H2197="credit","",IF(AE2197="free","re-planting",IF(AE2197="me","   not ELP, by",IF(AND(OR(PlanterYesMe="Yes",PlanterYesMe="Y"),G2197&gt;0),(VLOOKUP(A2197,'Discount Lookup'!J:K,2)*G2197*(1-PlanterDiscount)*(1+PlanterDifficultyPercentage)),IF(AE2197="ELP",(VLOOKUP(A2197,'Discount Lookup'!J:K,2)*G2197*(1-PlanterDiscount)*(1+PlanterDifficultyPercentage)),IF(AE2197="free","re-planting",IF(G2197=0,"",IF(PlanterYesMe="",IF(AE2197="me","   not ELP, by",IF(AE2197="",IF(G2197&gt;0,(VLOOKUP(A2197,'Discount Lookup'!J:K,2)*G2197*(1-PlanterDiscount)*(1+PlanterDifficultyPercentage)),""),"")),"   not ELP, by"))))))))))))))</f>
        <v/>
      </c>
      <c r="AD2197" s="712"/>
      <c r="AE2197" s="513" t="str">
        <f t="shared" si="1609"/>
        <v/>
      </c>
      <c r="AF2197" s="713" t="str">
        <f t="shared" si="1610"/>
        <v/>
      </c>
      <c r="AG2197" s="713"/>
      <c r="AH2197" s="713"/>
      <c r="AI2197" s="112">
        <f>IF(H2197="credit",0,IF(AE2197="free",0,IF(AE2197="me",0,IF(G2197&gt;0,(VLOOKUP(A2197,'Discount Lookup'!J:K,2)*G2197),0))))</f>
        <v>0</v>
      </c>
      <c r="AJ2197" s="107" t="str">
        <f t="shared" ca="1" si="1611"/>
        <v/>
      </c>
      <c r="AK2197" s="714" t="str">
        <f t="shared" si="1612"/>
        <v/>
      </c>
      <c r="AL2197" s="714"/>
      <c r="AM2197" s="114" t="str">
        <f t="shared" si="1613"/>
        <v/>
      </c>
      <c r="AN2197" s="115"/>
      <c r="AO2197" s="116"/>
      <c r="AP2197" s="116"/>
      <c r="AQ2197" s="116"/>
      <c r="AR2197" s="116"/>
      <c r="AS2197" s="116"/>
      <c r="AT2197" s="116"/>
      <c r="AU2197" s="116"/>
      <c r="AV2197" s="78"/>
      <c r="AW2197" s="102"/>
      <c r="AX2197" s="78"/>
      <c r="AY2197" s="78"/>
      <c r="AZ2197" s="78"/>
      <c r="BA2197" s="78"/>
      <c r="BB2197" s="78"/>
      <c r="BC2197" s="78"/>
      <c r="BD2197" s="78"/>
      <c r="BE2197" s="465"/>
      <c r="BF2197" s="165" t="str">
        <f t="shared" si="1614"/>
        <v>https://www.google.com/search?tbm=isch&amp;q=7%20G3</v>
      </c>
      <c r="BG2197" s="165" t="str">
        <f t="shared" si="1615"/>
        <v>I</v>
      </c>
      <c r="BH2197" s="65"/>
      <c r="BI2197" s="65"/>
      <c r="BJ2197" s="65"/>
      <c r="BK2197" s="65"/>
      <c r="BL2197" s="99"/>
      <c r="BM2197" s="99"/>
      <c r="BN2197" s="99"/>
    </row>
    <row r="2198" spans="1:66" s="51" customFormat="1" ht="15.75" x14ac:dyDescent="0.25">
      <c r="A2198" s="478">
        <v>7</v>
      </c>
      <c r="B2198" s="479" t="s">
        <v>291</v>
      </c>
      <c r="C2198" s="480" t="s">
        <v>853</v>
      </c>
      <c r="D2198" s="481" t="s">
        <v>311</v>
      </c>
      <c r="E2198" s="482">
        <v>62.95</v>
      </c>
      <c r="F2198" s="483" t="s">
        <v>292</v>
      </c>
      <c r="G2198" s="484">
        <v>0</v>
      </c>
      <c r="H2198" s="688" t="str">
        <f t="shared" si="1594"/>
        <v/>
      </c>
      <c r="I2198" s="485">
        <f t="shared" si="1595"/>
        <v>0</v>
      </c>
      <c r="J2198" s="485">
        <f t="shared" si="1596"/>
        <v>0</v>
      </c>
      <c r="K2198" s="715">
        <f t="shared" ref="K2198" si="1617">I2198+J2198</f>
        <v>0</v>
      </c>
      <c r="L2198" s="715"/>
      <c r="M2198" s="689" t="str">
        <f t="shared" ca="1" si="1598"/>
        <v/>
      </c>
      <c r="N2198" s="690"/>
      <c r="O2198" s="486"/>
      <c r="P2198" s="486"/>
      <c r="Q2198" s="486"/>
      <c r="R2198" s="486"/>
      <c r="S2198" s="486"/>
      <c r="T2198" s="102">
        <f t="shared" si="1603"/>
        <v>0</v>
      </c>
      <c r="U2198" s="78">
        <f>IF(NOT(ISNUMBER(G2198)), "", VLOOKUP(A2198,'Discount Lookup'!D:E,2,FALSE)*G2198)</f>
        <v>0</v>
      </c>
      <c r="V2198" s="78">
        <f>IF(NOT(ISNUMBER(G2198)), "", VLOOKUP(A2198,'Discount Lookup'!G:H,2,FALSE)*G2198)</f>
        <v>0</v>
      </c>
      <c r="W2198" s="102">
        <f t="shared" si="1604"/>
        <v>0</v>
      </c>
      <c r="X2198" s="102">
        <f t="shared" si="1605"/>
        <v>0</v>
      </c>
      <c r="Y2198" s="120" t="b">
        <f t="shared" si="1606"/>
        <v>0</v>
      </c>
      <c r="Z2198" s="117">
        <f t="shared" si="1607"/>
        <v>0</v>
      </c>
      <c r="AA2198" s="118"/>
      <c r="AB2198" s="118" t="str">
        <f t="shared" si="1608"/>
        <v/>
      </c>
      <c r="AC2198" s="712" t="str">
        <f>IF(AE2198="T2G","no charge",IF(AND(OR(PlanterYesMe="No",PlanterYesMe="N",PlanterYesMe="me"),H2198=""),"",IF(H2198="credit","NO install",IF(AND(K2198="",AE2198="me"),"EACH row",IF(AND(K2198="images",AE2198="me"),"EACH row",IF(D2198="","",IF(H2198="credit","",IF(AE2198="free","re-planting",IF(AE2198="me","   not ELP, by",IF(AND(OR(PlanterYesMe="Yes",PlanterYesMe="Y"),G2198&gt;0),(VLOOKUP(A2198,'Discount Lookup'!J:K,2)*G2198*(1-PlanterDiscount)*(1+PlanterDifficultyPercentage)),IF(AE2198="ELP",(VLOOKUP(A2198,'Discount Lookup'!J:K,2)*G2198*(1-PlanterDiscount)*(1+PlanterDifficultyPercentage)),IF(AE2198="free","re-planting",IF(G2198=0,"",IF(PlanterYesMe="",IF(AE2198="me","   not ELP, by",IF(AE2198="",IF(G2198&gt;0,(VLOOKUP(A2198,'Discount Lookup'!J:K,2)*G2198*(1-PlanterDiscount)*(1+PlanterDifficultyPercentage)),""),"")),"   not ELP, by"))))))))))))))</f>
        <v/>
      </c>
      <c r="AD2198" s="712"/>
      <c r="AE2198" s="513" t="str">
        <f t="shared" si="1609"/>
        <v/>
      </c>
      <c r="AF2198" s="713" t="str">
        <f t="shared" si="1610"/>
        <v/>
      </c>
      <c r="AG2198" s="713"/>
      <c r="AH2198" s="713"/>
      <c r="AI2198" s="112">
        <f>IF(H2198="credit",0,IF(AE2198="free",0,IF(AE2198="me",0,IF(G2198&gt;0,(VLOOKUP(A2198,'Discount Lookup'!J:K,2)*G2198),0))))</f>
        <v>0</v>
      </c>
      <c r="AJ2198" s="107" t="str">
        <f t="shared" ca="1" si="1611"/>
        <v/>
      </c>
      <c r="AK2198" s="714" t="str">
        <f t="shared" si="1612"/>
        <v/>
      </c>
      <c r="AL2198" s="714"/>
      <c r="AM2198" s="114" t="str">
        <f t="shared" si="1613"/>
        <v/>
      </c>
      <c r="AN2198" s="115"/>
      <c r="AO2198" s="116"/>
      <c r="AP2198" s="116"/>
      <c r="AQ2198" s="116"/>
      <c r="AR2198" s="116"/>
      <c r="AS2198" s="116"/>
      <c r="AT2198" s="116"/>
      <c r="AU2198" s="116"/>
      <c r="AV2198" s="78"/>
      <c r="AW2198" s="102"/>
      <c r="AX2198" s="78"/>
      <c r="AY2198" s="78"/>
      <c r="AZ2198" s="78"/>
      <c r="BA2198" s="78"/>
      <c r="BB2198" s="78"/>
      <c r="BC2198" s="78"/>
      <c r="BD2198" s="78"/>
      <c r="BE2198" s="465"/>
      <c r="BF2198" s="165" t="str">
        <f t="shared" si="1614"/>
        <v>https://www.google.com/search?tbm=isch&amp;q=7%20G5</v>
      </c>
      <c r="BG2198" s="165" t="str">
        <f t="shared" si="1615"/>
        <v>I</v>
      </c>
      <c r="BH2198" s="65"/>
      <c r="BI2198" s="65"/>
      <c r="BJ2198" s="65"/>
      <c r="BK2198" s="65"/>
      <c r="BL2198" s="99"/>
      <c r="BM2198" s="99"/>
      <c r="BN2198" s="99"/>
    </row>
    <row r="2199" spans="1:66" s="51" customFormat="1" ht="15.75" x14ac:dyDescent="0.25">
      <c r="A2199" s="478">
        <v>7</v>
      </c>
      <c r="B2199" s="479" t="s">
        <v>291</v>
      </c>
      <c r="C2199" s="480" t="s">
        <v>950</v>
      </c>
      <c r="D2199" s="481" t="s">
        <v>299</v>
      </c>
      <c r="E2199" s="482">
        <v>72.95</v>
      </c>
      <c r="F2199" s="483" t="s">
        <v>292</v>
      </c>
      <c r="G2199" s="484">
        <v>0</v>
      </c>
      <c r="H2199" s="688" t="str">
        <f t="shared" si="1594"/>
        <v/>
      </c>
      <c r="I2199" s="485">
        <f t="shared" si="1595"/>
        <v>0</v>
      </c>
      <c r="J2199" s="485">
        <f t="shared" si="1596"/>
        <v>0</v>
      </c>
      <c r="K2199" s="715">
        <f t="shared" ref="K2199" si="1618">I2199+J2199</f>
        <v>0</v>
      </c>
      <c r="L2199" s="715"/>
      <c r="M2199" s="689" t="str">
        <f t="shared" ca="1" si="1598"/>
        <v/>
      </c>
      <c r="N2199" s="690"/>
      <c r="O2199" s="486"/>
      <c r="P2199" s="486"/>
      <c r="Q2199" s="486"/>
      <c r="R2199" s="486"/>
      <c r="S2199" s="486"/>
      <c r="T2199" s="102">
        <f t="shared" si="1603"/>
        <v>0</v>
      </c>
      <c r="U2199" s="78">
        <f>IF(NOT(ISNUMBER(G2199)), "", VLOOKUP(A2199,'Discount Lookup'!D:E,2,FALSE)*G2199)</f>
        <v>0</v>
      </c>
      <c r="V2199" s="78">
        <f>IF(NOT(ISNUMBER(G2199)), "", VLOOKUP(A2199,'Discount Lookup'!G:H,2,FALSE)*G2199)</f>
        <v>0</v>
      </c>
      <c r="W2199" s="102">
        <f t="shared" si="1604"/>
        <v>0</v>
      </c>
      <c r="X2199" s="102">
        <f t="shared" si="1605"/>
        <v>0</v>
      </c>
      <c r="Y2199" s="120" t="b">
        <f t="shared" si="1606"/>
        <v>0</v>
      </c>
      <c r="Z2199" s="117">
        <f t="shared" si="1607"/>
        <v>0</v>
      </c>
      <c r="AA2199" s="118"/>
      <c r="AB2199" s="118" t="str">
        <f t="shared" si="1608"/>
        <v/>
      </c>
      <c r="AC2199" s="712" t="str">
        <f>IF(AE2199="T2G","no charge",IF(AND(OR(PlanterYesMe="No",PlanterYesMe="N",PlanterYesMe="me"),H2199=""),"",IF(H2199="credit","NO install",IF(AND(K2199="",AE2199="me"),"EACH row",IF(AND(K2199="images",AE2199="me"),"EACH row",IF(D2199="","",IF(H2199="credit","",IF(AE2199="free","re-planting",IF(AE2199="me","   not ELP, by",IF(AND(OR(PlanterYesMe="Yes",PlanterYesMe="Y"),G2199&gt;0),(VLOOKUP(A2199,'Discount Lookup'!J:K,2)*G2199*(1-PlanterDiscount)*(1+PlanterDifficultyPercentage)),IF(AE2199="ELP",(VLOOKUP(A2199,'Discount Lookup'!J:K,2)*G2199*(1-PlanterDiscount)*(1+PlanterDifficultyPercentage)),IF(AE2199="free","re-planting",IF(G2199=0,"",IF(PlanterYesMe="",IF(AE2199="me","   not ELP, by",IF(AE2199="",IF(G2199&gt;0,(VLOOKUP(A2199,'Discount Lookup'!J:K,2)*G2199*(1-PlanterDiscount)*(1+PlanterDifficultyPercentage)),""),"")),"   not ELP, by"))))))))))))))</f>
        <v/>
      </c>
      <c r="AD2199" s="712"/>
      <c r="AE2199" s="513" t="str">
        <f t="shared" si="1609"/>
        <v/>
      </c>
      <c r="AF2199" s="713" t="str">
        <f t="shared" si="1610"/>
        <v/>
      </c>
      <c r="AG2199" s="713"/>
      <c r="AH2199" s="713"/>
      <c r="AI2199" s="112">
        <f>IF(H2199="credit",0,IF(AE2199="free",0,IF(AE2199="me",0,IF(G2199&gt;0,(VLOOKUP(A2199,'Discount Lookup'!J:K,2)*G2199),0))))</f>
        <v>0</v>
      </c>
      <c r="AJ2199" s="107" t="str">
        <f t="shared" ca="1" si="1611"/>
        <v/>
      </c>
      <c r="AK2199" s="714" t="str">
        <f t="shared" si="1612"/>
        <v/>
      </c>
      <c r="AL2199" s="714"/>
      <c r="AM2199" s="114" t="str">
        <f t="shared" si="1613"/>
        <v/>
      </c>
      <c r="AN2199" s="115"/>
      <c r="AO2199" s="116"/>
      <c r="AP2199" s="116"/>
      <c r="AQ2199" s="116"/>
      <c r="AR2199" s="116"/>
      <c r="AS2199" s="116"/>
      <c r="AT2199" s="116"/>
      <c r="AU2199" s="116"/>
      <c r="AV2199" s="78"/>
      <c r="AW2199" s="102"/>
      <c r="AX2199" s="78"/>
      <c r="AY2199" s="78"/>
      <c r="AZ2199" s="78"/>
      <c r="BA2199" s="78"/>
      <c r="BB2199" s="78"/>
      <c r="BC2199" s="78"/>
      <c r="BD2199" s="78"/>
      <c r="BE2199" s="465"/>
      <c r="BF2199" s="165" t="str">
        <f t="shared" si="1614"/>
        <v>https://www.google.com/search?tbm=isch&amp;q=7%20G4</v>
      </c>
      <c r="BG2199" s="165" t="str">
        <f t="shared" si="1615"/>
        <v>I</v>
      </c>
      <c r="BH2199" s="65"/>
      <c r="BI2199" s="65"/>
      <c r="BJ2199" s="65"/>
      <c r="BK2199" s="65"/>
      <c r="BL2199" s="99"/>
      <c r="BM2199" s="99"/>
      <c r="BN2199" s="99"/>
    </row>
    <row r="2200" spans="1:66" s="51" customFormat="1" ht="15.75" x14ac:dyDescent="0.25">
      <c r="A2200" s="478">
        <v>10</v>
      </c>
      <c r="B2200" s="479" t="s">
        <v>291</v>
      </c>
      <c r="C2200" s="480" t="s">
        <v>520</v>
      </c>
      <c r="D2200" s="481" t="s">
        <v>309</v>
      </c>
      <c r="E2200" s="482">
        <v>83.95</v>
      </c>
      <c r="F2200" s="483" t="s">
        <v>292</v>
      </c>
      <c r="G2200" s="484">
        <v>0</v>
      </c>
      <c r="H2200" s="688" t="str">
        <f t="shared" si="1594"/>
        <v/>
      </c>
      <c r="I2200" s="485">
        <f t="shared" si="1595"/>
        <v>0</v>
      </c>
      <c r="J2200" s="485">
        <f t="shared" si="1596"/>
        <v>0</v>
      </c>
      <c r="K2200" s="715">
        <f t="shared" ref="K2200" si="1619">I2200+J2200</f>
        <v>0</v>
      </c>
      <c r="L2200" s="715"/>
      <c r="M2200" s="689" t="str">
        <f t="shared" ca="1" si="1598"/>
        <v/>
      </c>
      <c r="N2200" s="690"/>
      <c r="O2200" s="486"/>
      <c r="P2200" s="486"/>
      <c r="Q2200" s="486"/>
      <c r="R2200" s="486"/>
      <c r="S2200" s="486"/>
      <c r="T2200" s="102">
        <f t="shared" si="1603"/>
        <v>0</v>
      </c>
      <c r="U2200" s="78">
        <f>IF(NOT(ISNUMBER(G2200)), "", VLOOKUP(A2200,'Discount Lookup'!D:E,2,FALSE)*G2200)</f>
        <v>0</v>
      </c>
      <c r="V2200" s="78">
        <f>IF(NOT(ISNUMBER(G2200)), "", VLOOKUP(A2200,'Discount Lookup'!G:H,2,FALSE)*G2200)</f>
        <v>0</v>
      </c>
      <c r="W2200" s="102">
        <f t="shared" si="1604"/>
        <v>0</v>
      </c>
      <c r="X2200" s="102">
        <f t="shared" si="1605"/>
        <v>0</v>
      </c>
      <c r="Y2200" s="120" t="b">
        <f t="shared" si="1606"/>
        <v>0</v>
      </c>
      <c r="Z2200" s="117">
        <f t="shared" si="1607"/>
        <v>0</v>
      </c>
      <c r="AA2200" s="118"/>
      <c r="AB2200" s="118" t="str">
        <f t="shared" si="1608"/>
        <v/>
      </c>
      <c r="AC2200" s="712" t="str">
        <f>IF(AE2200="T2G","no charge",IF(AND(OR(PlanterYesMe="No",PlanterYesMe="N",PlanterYesMe="me"),H2200=""),"",IF(H2200="credit","NO install",IF(AND(K2200="",AE2200="me"),"EACH row",IF(AND(K2200="images",AE2200="me"),"EACH row",IF(D2200="","",IF(H2200="credit","",IF(AE2200="free","re-planting",IF(AE2200="me","   not ELP, by",IF(AND(OR(PlanterYesMe="Yes",PlanterYesMe="Y"),G2200&gt;0),(VLOOKUP(A2200,'Discount Lookup'!J:K,2)*G2200*(1-PlanterDiscount)*(1+PlanterDifficultyPercentage)),IF(AE2200="ELP",(VLOOKUP(A2200,'Discount Lookup'!J:K,2)*G2200*(1-PlanterDiscount)*(1+PlanterDifficultyPercentage)),IF(AE2200="free","re-planting",IF(G2200=0,"",IF(PlanterYesMe="",IF(AE2200="me","   not ELP, by",IF(AE2200="",IF(G2200&gt;0,(VLOOKUP(A2200,'Discount Lookup'!J:K,2)*G2200*(1-PlanterDiscount)*(1+PlanterDifficultyPercentage)),""),"")),"   not ELP, by"))))))))))))))</f>
        <v/>
      </c>
      <c r="AD2200" s="712"/>
      <c r="AE2200" s="513" t="str">
        <f t="shared" si="1609"/>
        <v/>
      </c>
      <c r="AF2200" s="713" t="str">
        <f t="shared" si="1610"/>
        <v/>
      </c>
      <c r="AG2200" s="713"/>
      <c r="AH2200" s="713"/>
      <c r="AI2200" s="112">
        <f>IF(H2200="credit",0,IF(AE2200="free",0,IF(AE2200="me",0,IF(G2200&gt;0,(VLOOKUP(A2200,'Discount Lookup'!J:K,2)*G2200),0))))</f>
        <v>0</v>
      </c>
      <c r="AJ2200" s="107" t="str">
        <f t="shared" ca="1" si="1611"/>
        <v/>
      </c>
      <c r="AK2200" s="714" t="str">
        <f t="shared" si="1612"/>
        <v/>
      </c>
      <c r="AL2200" s="714"/>
      <c r="AM2200" s="114" t="str">
        <f t="shared" si="1613"/>
        <v/>
      </c>
      <c r="AN2200" s="115"/>
      <c r="AO2200" s="116"/>
      <c r="AP2200" s="116"/>
      <c r="AQ2200" s="116"/>
      <c r="AR2200" s="116"/>
      <c r="AS2200" s="116"/>
      <c r="AT2200" s="116"/>
      <c r="AU2200" s="116"/>
      <c r="AV2200" s="78"/>
      <c r="AW2200" s="102"/>
      <c r="AX2200" s="78"/>
      <c r="AY2200" s="78"/>
      <c r="AZ2200" s="78"/>
      <c r="BA2200" s="78"/>
      <c r="BB2200" s="78"/>
      <c r="BC2200" s="78"/>
      <c r="BD2200" s="78"/>
      <c r="BE2200" s="465"/>
      <c r="BF2200" s="165" t="str">
        <f t="shared" si="1614"/>
        <v>https://www.google.com/search?tbm=isch&amp;q=10%20G3</v>
      </c>
      <c r="BG2200" s="165" t="str">
        <f t="shared" si="1615"/>
        <v>I</v>
      </c>
      <c r="BH2200" s="65"/>
      <c r="BI2200" s="65"/>
      <c r="BJ2200" s="65"/>
      <c r="BK2200" s="65"/>
      <c r="BL2200" s="99"/>
      <c r="BM2200" s="99"/>
      <c r="BN2200" s="99"/>
    </row>
    <row r="2201" spans="1:66" s="51" customFormat="1" ht="15.75" x14ac:dyDescent="0.25">
      <c r="A2201" s="478">
        <v>7</v>
      </c>
      <c r="B2201" s="479" t="s">
        <v>291</v>
      </c>
      <c r="C2201" s="480" t="s">
        <v>521</v>
      </c>
      <c r="D2201" s="481" t="s">
        <v>293</v>
      </c>
      <c r="E2201" s="482">
        <v>90.95</v>
      </c>
      <c r="F2201" s="483" t="s">
        <v>292</v>
      </c>
      <c r="G2201" s="484">
        <v>0</v>
      </c>
      <c r="H2201" s="688" t="str">
        <f t="shared" si="1594"/>
        <v/>
      </c>
      <c r="I2201" s="485">
        <f t="shared" si="1595"/>
        <v>0</v>
      </c>
      <c r="J2201" s="485">
        <f t="shared" si="1596"/>
        <v>0</v>
      </c>
      <c r="K2201" s="715">
        <f t="shared" ref="K2201" si="1620">I2201+J2201</f>
        <v>0</v>
      </c>
      <c r="L2201" s="715"/>
      <c r="M2201" s="689" t="str">
        <f t="shared" ca="1" si="1598"/>
        <v/>
      </c>
      <c r="N2201" s="690"/>
      <c r="O2201" s="486"/>
      <c r="P2201" s="486"/>
      <c r="Q2201" s="486"/>
      <c r="R2201" s="486"/>
      <c r="S2201" s="486"/>
      <c r="T2201" s="102">
        <f t="shared" si="1603"/>
        <v>0</v>
      </c>
      <c r="U2201" s="78">
        <f>IF(NOT(ISNUMBER(G2201)), "", VLOOKUP(A2201,'Discount Lookup'!D:E,2,FALSE)*G2201)</f>
        <v>0</v>
      </c>
      <c r="V2201" s="78">
        <f>IF(NOT(ISNUMBER(G2201)), "", VLOOKUP(A2201,'Discount Lookup'!G:H,2,FALSE)*G2201)</f>
        <v>0</v>
      </c>
      <c r="W2201" s="102">
        <f t="shared" si="1604"/>
        <v>0</v>
      </c>
      <c r="X2201" s="102">
        <f t="shared" si="1605"/>
        <v>0</v>
      </c>
      <c r="Y2201" s="120" t="b">
        <f t="shared" si="1606"/>
        <v>0</v>
      </c>
      <c r="Z2201" s="117">
        <f t="shared" si="1607"/>
        <v>0</v>
      </c>
      <c r="AA2201" s="118"/>
      <c r="AB2201" s="118" t="str">
        <f t="shared" si="1608"/>
        <v/>
      </c>
      <c r="AC2201" s="712" t="str">
        <f>IF(AE2201="T2G","no charge",IF(AND(OR(PlanterYesMe="No",PlanterYesMe="N",PlanterYesMe="me"),H2201=""),"",IF(H2201="credit","NO install",IF(AND(K2201="",AE2201="me"),"EACH row",IF(AND(K2201="images",AE2201="me"),"EACH row",IF(D2201="","",IF(H2201="credit","",IF(AE2201="free","re-planting",IF(AE2201="me","   not ELP, by",IF(AND(OR(PlanterYesMe="Yes",PlanterYesMe="Y"),G2201&gt;0),(VLOOKUP(A2201,'Discount Lookup'!J:K,2)*G2201*(1-PlanterDiscount)*(1+PlanterDifficultyPercentage)),IF(AE2201="ELP",(VLOOKUP(A2201,'Discount Lookup'!J:K,2)*G2201*(1-PlanterDiscount)*(1+PlanterDifficultyPercentage)),IF(AE2201="free","re-planting",IF(G2201=0,"",IF(PlanterYesMe="",IF(AE2201="me","   not ELP, by",IF(AE2201="",IF(G2201&gt;0,(VLOOKUP(A2201,'Discount Lookup'!J:K,2)*G2201*(1-PlanterDiscount)*(1+PlanterDifficultyPercentage)),""),"")),"   not ELP, by"))))))))))))))</f>
        <v/>
      </c>
      <c r="AD2201" s="712"/>
      <c r="AE2201" s="513" t="str">
        <f t="shared" si="1609"/>
        <v/>
      </c>
      <c r="AF2201" s="713" t="str">
        <f t="shared" si="1610"/>
        <v/>
      </c>
      <c r="AG2201" s="713"/>
      <c r="AH2201" s="713"/>
      <c r="AI2201" s="112">
        <f>IF(H2201="credit",0,IF(AE2201="free",0,IF(AE2201="me",0,IF(G2201&gt;0,(VLOOKUP(A2201,'Discount Lookup'!J:K,2)*G2201),0))))</f>
        <v>0</v>
      </c>
      <c r="AJ2201" s="107" t="str">
        <f t="shared" ca="1" si="1611"/>
        <v/>
      </c>
      <c r="AK2201" s="714" t="str">
        <f t="shared" si="1612"/>
        <v/>
      </c>
      <c r="AL2201" s="714"/>
      <c r="AM2201" s="114" t="str">
        <f t="shared" si="1613"/>
        <v/>
      </c>
      <c r="AN2201" s="115"/>
      <c r="AO2201" s="116"/>
      <c r="AP2201" s="116"/>
      <c r="AQ2201" s="116"/>
      <c r="AR2201" s="116"/>
      <c r="AS2201" s="116"/>
      <c r="AT2201" s="116"/>
      <c r="AU2201" s="116"/>
      <c r="AV2201" s="78"/>
      <c r="AW2201" s="102"/>
      <c r="AX2201" s="78"/>
      <c r="AY2201" s="78"/>
      <c r="AZ2201" s="78"/>
      <c r="BA2201" s="78"/>
      <c r="BB2201" s="78"/>
      <c r="BC2201" s="78"/>
      <c r="BD2201" s="78"/>
      <c r="BE2201" s="465"/>
      <c r="BF2201" s="165" t="str">
        <f t="shared" si="1614"/>
        <v>https://www.google.com/search?tbm=isch&amp;q=7%20G6</v>
      </c>
      <c r="BG2201" s="165" t="str">
        <f t="shared" si="1615"/>
        <v>I</v>
      </c>
      <c r="BH2201" s="65"/>
      <c r="BI2201" s="65"/>
      <c r="BJ2201" s="65"/>
      <c r="BK2201" s="65"/>
      <c r="BL2201" s="99"/>
      <c r="BM2201" s="99"/>
      <c r="BN2201" s="99"/>
    </row>
    <row r="2202" spans="1:66" s="51" customFormat="1" ht="17.25" thickBot="1" x14ac:dyDescent="0.3">
      <c r="A2202" s="508" t="s">
        <v>872</v>
      </c>
      <c r="B2202" s="487"/>
      <c r="C2202" s="707"/>
      <c r="D2202" s="487"/>
      <c r="E2202" s="487"/>
      <c r="F2202" s="488"/>
      <c r="G2202" s="489"/>
      <c r="H2202" s="487"/>
      <c r="I2202" s="490"/>
      <c r="J2202" s="490"/>
      <c r="K2202" s="491"/>
      <c r="L2202" s="547"/>
      <c r="M2202" s="528"/>
      <c r="N2202" s="492"/>
      <c r="O2202" s="493"/>
      <c r="P2202" s="494"/>
      <c r="Q2202" s="492"/>
      <c r="R2202" s="492"/>
      <c r="S2202" s="699" t="s">
        <v>5290</v>
      </c>
      <c r="T2202" s="102">
        <f t="shared" si="1603"/>
        <v>0</v>
      </c>
      <c r="U2202" s="78" t="str">
        <f>IF(NOT(ISNUMBER(G2202)), "", VLOOKUP(A2202,'Discount Lookup'!D:E,2,FALSE)*G2202)</f>
        <v/>
      </c>
      <c r="V2202" s="78" t="str">
        <f>IF(NOT(ISNUMBER(G2202)), "", VLOOKUP(A2202,'Discount Lookup'!G:H,2,FALSE)*G2202)</f>
        <v/>
      </c>
      <c r="W2202" s="102">
        <f t="shared" si="1604"/>
        <v>0</v>
      </c>
      <c r="X2202" s="102">
        <f t="shared" si="1605"/>
        <v>0</v>
      </c>
      <c r="Y2202" s="120" t="b">
        <f t="shared" si="1606"/>
        <v>0</v>
      </c>
      <c r="Z2202" s="117">
        <f t="shared" si="1607"/>
        <v>0</v>
      </c>
      <c r="AA2202" s="118"/>
      <c r="AB2202" s="118" t="str">
        <f t="shared" si="1608"/>
        <v/>
      </c>
      <c r="AC2202" s="712" t="str">
        <f>IF(AE2202="T2G","no charge",IF(AND(OR(PlanterYesMe="No",PlanterYesMe="N",PlanterYesMe="me"),H2202=""),"",IF(H2202="credit","NO install",IF(AND(K2202="",AE2202="me"),"EACH row",IF(AND(K2202="images",AE2202="me"),"EACH row",IF(D2202="","",IF(H2202="credit","",IF(AE2202="free","re-planting",IF(AE2202="me","   not ELP, by",IF(AND(OR(PlanterYesMe="Yes",PlanterYesMe="Y"),G2202&gt;0),(VLOOKUP(A2202,'Discount Lookup'!J:K,2)*G2202*(1-PlanterDiscount)*(1+PlanterDifficultyPercentage)),IF(AE2202="ELP",(VLOOKUP(A2202,'Discount Lookup'!J:K,2)*G2202*(1-PlanterDiscount)*(1+PlanterDifficultyPercentage)),IF(AE2202="free","re-planting",IF(G2202=0,"",IF(PlanterYesMe="",IF(AE2202="me","   not ELP, by",IF(AE2202="",IF(G2202&gt;0,(VLOOKUP(A2202,'Discount Lookup'!J:K,2)*G2202*(1-PlanterDiscount)*(1+PlanterDifficultyPercentage)),""),"")),"   not ELP, by"))))))))))))))</f>
        <v/>
      </c>
      <c r="AD2202" s="712"/>
      <c r="AE2202" s="513" t="str">
        <f t="shared" si="1609"/>
        <v/>
      </c>
      <c r="AF2202" s="713" t="str">
        <f t="shared" si="1610"/>
        <v/>
      </c>
      <c r="AG2202" s="713"/>
      <c r="AH2202" s="713"/>
      <c r="AI2202" s="112">
        <f>IF(H2202="credit",0,IF(AE2202="free",0,IF(AE2202="me",0,IF(G2202&gt;0,(VLOOKUP(A2202,'Discount Lookup'!J:K,2)*G2202),0))))</f>
        <v>0</v>
      </c>
      <c r="AJ2202" s="107" t="str">
        <f t="shared" ca="1" si="1611"/>
        <v/>
      </c>
      <c r="AK2202" s="714" t="str">
        <f t="shared" si="1612"/>
        <v/>
      </c>
      <c r="AL2202" s="714"/>
      <c r="AM2202" s="114" t="str">
        <f t="shared" si="1613"/>
        <v/>
      </c>
      <c r="AN2202" s="115"/>
      <c r="AO2202" s="116"/>
      <c r="AP2202" s="116"/>
      <c r="AQ2202" s="116"/>
      <c r="AR2202" s="116"/>
      <c r="AS2202" s="116"/>
      <c r="AT2202" s="116"/>
      <c r="AU2202" s="116"/>
      <c r="AV2202" s="78"/>
      <c r="AW2202" s="102"/>
      <c r="AX2202" s="78"/>
      <c r="AY2202" s="78"/>
      <c r="AZ2202" s="78"/>
      <c r="BA2202" s="78"/>
      <c r="BB2202" s="78"/>
      <c r="BC2202" s="78"/>
      <c r="BD2202" s="78"/>
      <c r="BE2202" s="465"/>
      <c r="BF2202" s="165" t="str">
        <f t="shared" si="1614"/>
        <v>https://www.google.com/search?tbm=isch&amp;q=Sky%20Pencil%20are%20all%20female%2C%20requiring%20a%20male%20Holly%20to%20bear%20the%20Black%20fruit.%20Protect%20from%20wind%20%26%20late%20day%20sun%20</v>
      </c>
      <c r="BG2202" s="165" t="str">
        <f t="shared" si="1615"/>
        <v>S</v>
      </c>
      <c r="BH2202" s="65"/>
      <c r="BI2202" s="65"/>
      <c r="BJ2202" s="65"/>
      <c r="BK2202" s="65"/>
      <c r="BL2202" s="99"/>
      <c r="BM2202" s="99"/>
      <c r="BN2202" s="99"/>
    </row>
    <row r="2203" spans="1:66" s="51" customFormat="1" ht="18" x14ac:dyDescent="0.25">
      <c r="A2203" s="507" t="s">
        <v>2959</v>
      </c>
      <c r="B2203" s="470"/>
      <c r="C2203" s="706"/>
      <c r="D2203" s="471" t="s">
        <v>2960</v>
      </c>
      <c r="E2203" s="472"/>
      <c r="F2203" s="472"/>
      <c r="G2203" s="472"/>
      <c r="H2203" s="622" t="s">
        <v>1088</v>
      </c>
      <c r="I2203" s="473" t="s">
        <v>431</v>
      </c>
      <c r="J2203" s="472"/>
      <c r="K2203" s="472"/>
      <c r="L2203" s="561"/>
      <c r="M2203" s="698" t="s">
        <v>5246</v>
      </c>
      <c r="N2203" s="692" t="str">
        <f>IF(AND(ISTEXT($A2203), ISERROR($A2203+0)), HYPERLINK($BF2203, "Images"), "")</f>
        <v>Images</v>
      </c>
      <c r="O2203" s="694" t="s">
        <v>5289</v>
      </c>
      <c r="P2203" s="475"/>
      <c r="Q2203" s="476"/>
      <c r="R2203" s="476"/>
      <c r="S2203" s="477"/>
      <c r="T2203" s="102">
        <f t="shared" si="1603"/>
        <v>0</v>
      </c>
      <c r="U2203" s="78" t="str">
        <f>IF(NOT(ISNUMBER(G2203)), "", VLOOKUP(A2203,'Discount Lookup'!D:E,2,FALSE)*G2203)</f>
        <v/>
      </c>
      <c r="V2203" s="78" t="str">
        <f>IF(NOT(ISNUMBER(G2203)), "", VLOOKUP(A2203,'Discount Lookup'!G:H,2,FALSE)*G2203)</f>
        <v/>
      </c>
      <c r="W2203" s="102">
        <f t="shared" si="1604"/>
        <v>0</v>
      </c>
      <c r="X2203" s="102" t="str">
        <f t="shared" si="1605"/>
        <v>Dark Green foliage</v>
      </c>
      <c r="Y2203" s="120" t="b">
        <f t="shared" si="1606"/>
        <v>0</v>
      </c>
      <c r="Z2203" s="117">
        <f t="shared" si="1607"/>
        <v>0</v>
      </c>
      <c r="AA2203" s="118"/>
      <c r="AB2203" s="118" t="str">
        <f t="shared" si="1608"/>
        <v/>
      </c>
      <c r="AC2203" s="712" t="str">
        <f>IF(AE2203="T2G","no charge",IF(AND(OR(PlanterYesMe="No",PlanterYesMe="N",PlanterYesMe="me"),H2203=""),"",IF(H2203="credit","NO install",IF(AND(K2203="",AE2203="me"),"EACH row",IF(AND(K2203="images",AE2203="me"),"EACH row",IF(D2203="","",IF(H2203="credit","",IF(AE2203="free","re-planting",IF(AE2203="me","   not ELP, by",IF(AND(OR(PlanterYesMe="Yes",PlanterYesMe="Y"),G2203&gt;0),(VLOOKUP(A2203,'Discount Lookup'!J:K,2)*G2203*(1-PlanterDiscount)*(1+PlanterDifficultyPercentage)),IF(AE2203="ELP",(VLOOKUP(A2203,'Discount Lookup'!J:K,2)*G2203*(1-PlanterDiscount)*(1+PlanterDifficultyPercentage)),IF(AE2203="free","re-planting",IF(G2203=0,"",IF(PlanterYesMe="",IF(AE2203="me","   not ELP, by",IF(AE2203="",IF(G2203&gt;0,(VLOOKUP(A2203,'Discount Lookup'!J:K,2)*G2203*(1-PlanterDiscount)*(1+PlanterDifficultyPercentage)),""),"")),"   not ELP, by"))))))))))))))</f>
        <v/>
      </c>
      <c r="AD2203" s="712"/>
      <c r="AE2203" s="513" t="str">
        <f t="shared" si="1609"/>
        <v/>
      </c>
      <c r="AF2203" s="713" t="str">
        <f t="shared" si="1610"/>
        <v/>
      </c>
      <c r="AG2203" s="713"/>
      <c r="AH2203" s="713"/>
      <c r="AI2203" s="112">
        <f>IF(H2203="credit",0,IF(AE2203="free",0,IF(AE2203="me",0,IF(G2203&gt;0,(VLOOKUP(A2203,'Discount Lookup'!J:K,2)*G2203),0))))</f>
        <v>0</v>
      </c>
      <c r="AJ2203" s="107" t="str">
        <f t="shared" ca="1" si="1611"/>
        <v/>
      </c>
      <c r="AK2203" s="714" t="str">
        <f t="shared" si="1612"/>
        <v/>
      </c>
      <c r="AL2203" s="714"/>
      <c r="AM2203" s="114" t="str">
        <f t="shared" si="1613"/>
        <v/>
      </c>
      <c r="AN2203" s="115"/>
      <c r="AO2203" s="116"/>
      <c r="AP2203" s="116"/>
      <c r="AQ2203" s="116"/>
      <c r="AR2203" s="116"/>
      <c r="AS2203" s="116"/>
      <c r="AT2203" s="116"/>
      <c r="AU2203" s="116"/>
      <c r="AV2203" s="78"/>
      <c r="AW2203" s="102"/>
      <c r="AX2203" s="78"/>
      <c r="AY2203" s="78"/>
      <c r="AZ2203" s="78"/>
      <c r="BA2203" s="78"/>
      <c r="BB2203" s="78"/>
      <c r="BC2203" s="78"/>
      <c r="BD2203" s="78"/>
      <c r="BE2203" s="465"/>
      <c r="BF2203" s="165" t="str">
        <f t="shared" si="1614"/>
        <v>https://www.google.com/search?tbm=isch&amp;q=Ilex%20crenata%20%27Soft%20Touch%27%20Soft%20Touch%20Holly</v>
      </c>
      <c r="BG2203" s="165" t="str">
        <f t="shared" si="1615"/>
        <v>I</v>
      </c>
      <c r="BH2203" s="65"/>
      <c r="BI2203" s="65"/>
      <c r="BJ2203" s="65"/>
      <c r="BK2203" s="65"/>
      <c r="BL2203" s="99"/>
      <c r="BM2203" s="99"/>
      <c r="BN2203" s="99"/>
    </row>
    <row r="2204" spans="1:66" s="51" customFormat="1" ht="15.75" x14ac:dyDescent="0.25">
      <c r="A2204" s="478">
        <v>3</v>
      </c>
      <c r="B2204" s="479" t="s">
        <v>291</v>
      </c>
      <c r="C2204" s="480" t="s">
        <v>2961</v>
      </c>
      <c r="D2204" s="481" t="s">
        <v>309</v>
      </c>
      <c r="E2204" s="482">
        <v>22.95</v>
      </c>
      <c r="F2204" s="483" t="s">
        <v>292</v>
      </c>
      <c r="G2204" s="484">
        <v>0</v>
      </c>
      <c r="H2204" s="688" t="str">
        <f t="shared" ref="H2204:H2209" si="1621">IF(G2204=0,"",IF(F2204="Buy",IF(G2204=1,"plant","plants"),IF(F2204&gt;0.01,"warranty","Error")))</f>
        <v/>
      </c>
      <c r="I2204" s="485">
        <f t="shared" ref="I2204:I2209" si="1622">IF(H2204="free",0,IF(H2204="credit",((E2204*(F2204))*G2204*-1),IF(F2204="Buy",(E2204*G2204),((E2204*(1-F2204))*G2204))))</f>
        <v>0</v>
      </c>
      <c r="J2204" s="485">
        <f t="shared" ref="J2204:J2209" si="1623">IF(H2204="warranty",0,(I2204*(_xlfn.SINGLE(SalesTaxPercentage))))</f>
        <v>0</v>
      </c>
      <c r="K2204" s="715">
        <f t="shared" ref="K2204" si="1624">I2204+J2204</f>
        <v>0</v>
      </c>
      <c r="L2204" s="715"/>
      <c r="M2204" s="689" t="str">
        <f t="shared" ref="M2204:M2209" ca="1" si="1625">IF(AND(G2204&gt;0,E2204=0),"WARNING - no PRICE inserted",IF(H2204="free","FREE ~ no charge this plant",IF(H2204="credit",CONCATENATE("-$",ROUND(K2204*(1-_xlfn.SINGLE(T2GDiscount))*-1,2)," CREDIT after discount"),IF(_xlfn.SINGLE(T2GDiscount)=0,"",IF(G2204=0,"",IF(F2204="Buy",CONCATENATE("$",ROUND(K2204*(1-_xlfn.SINGLE(T2GDiscount)),2)," with ",(_xlfn.SINGLE(T2GDiscount)*100),"% discount"),CONCATENATE("$",ROUND(K2204*(1-_xlfn.SINGLE(T2GDiscount)),2)," with ",((_xlfn.SINGLE(T2GDiscount)*100+F2204*100)-(_xlfn.SINGLE(T2GDiscount)*100*F2204)),IF(F2204&gt;0,"% discounts",IF(_xlfn.SINGLE(NoWarrantyDiscount)&gt;0,"% discounts","% discount")))))))))</f>
        <v/>
      </c>
      <c r="N2204" s="690"/>
      <c r="O2204" s="486"/>
      <c r="P2204" s="486"/>
      <c r="Q2204" s="486"/>
      <c r="R2204" s="486"/>
      <c r="S2204" s="486"/>
      <c r="T2204" s="102">
        <f t="shared" si="1603"/>
        <v>0</v>
      </c>
      <c r="U2204" s="78">
        <f>IF(NOT(ISNUMBER(G2204)), "", VLOOKUP(A2204,'Discount Lookup'!D:E,2,FALSE)*G2204)</f>
        <v>0</v>
      </c>
      <c r="V2204" s="78">
        <f>IF(NOT(ISNUMBER(G2204)), "", VLOOKUP(A2204,'Discount Lookup'!G:H,2,FALSE)*G2204)</f>
        <v>0</v>
      </c>
      <c r="W2204" s="102">
        <f t="shared" si="1604"/>
        <v>0</v>
      </c>
      <c r="X2204" s="102">
        <f t="shared" si="1605"/>
        <v>0</v>
      </c>
      <c r="Y2204" s="120" t="b">
        <f t="shared" si="1606"/>
        <v>0</v>
      </c>
      <c r="Z2204" s="117">
        <f t="shared" si="1607"/>
        <v>0</v>
      </c>
      <c r="AA2204" s="118"/>
      <c r="AB2204" s="118" t="str">
        <f t="shared" si="1608"/>
        <v/>
      </c>
      <c r="AC2204" s="712" t="str">
        <f>IF(AE2204="T2G","no charge",IF(AND(OR(PlanterYesMe="No",PlanterYesMe="N",PlanterYesMe="me"),H2204=""),"",IF(H2204="credit","NO install",IF(AND(K2204="",AE2204="me"),"EACH row",IF(AND(K2204="images",AE2204="me"),"EACH row",IF(D2204="","",IF(H2204="credit","",IF(AE2204="free","re-planting",IF(AE2204="me","   not ELP, by",IF(AND(OR(PlanterYesMe="Yes",PlanterYesMe="Y"),G2204&gt;0),(VLOOKUP(A2204,'Discount Lookup'!J:K,2)*G2204*(1-PlanterDiscount)*(1+PlanterDifficultyPercentage)),IF(AE2204="ELP",(VLOOKUP(A2204,'Discount Lookup'!J:K,2)*G2204*(1-PlanterDiscount)*(1+PlanterDifficultyPercentage)),IF(AE2204="free","re-planting",IF(G2204=0,"",IF(PlanterYesMe="",IF(AE2204="me","   not ELP, by",IF(AE2204="",IF(G2204&gt;0,(VLOOKUP(A2204,'Discount Lookup'!J:K,2)*G2204*(1-PlanterDiscount)*(1+PlanterDifficultyPercentage)),""),"")),"   not ELP, by"))))))))))))))</f>
        <v/>
      </c>
      <c r="AD2204" s="712"/>
      <c r="AE2204" s="513" t="str">
        <f t="shared" si="1609"/>
        <v/>
      </c>
      <c r="AF2204" s="713" t="str">
        <f t="shared" si="1610"/>
        <v/>
      </c>
      <c r="AG2204" s="713"/>
      <c r="AH2204" s="713"/>
      <c r="AI2204" s="112">
        <f>IF(H2204="credit",0,IF(AE2204="free",0,IF(AE2204="me",0,IF(G2204&gt;0,(VLOOKUP(A2204,'Discount Lookup'!J:K,2)*G2204),0))))</f>
        <v>0</v>
      </c>
      <c r="AJ2204" s="107" t="str">
        <f t="shared" ca="1" si="1611"/>
        <v/>
      </c>
      <c r="AK2204" s="714" t="str">
        <f t="shared" si="1612"/>
        <v/>
      </c>
      <c r="AL2204" s="714"/>
      <c r="AM2204" s="114" t="str">
        <f t="shared" si="1613"/>
        <v/>
      </c>
      <c r="AN2204" s="115"/>
      <c r="AO2204" s="116"/>
      <c r="AP2204" s="116"/>
      <c r="AQ2204" s="116"/>
      <c r="AR2204" s="116"/>
      <c r="AS2204" s="116"/>
      <c r="AT2204" s="116"/>
      <c r="AU2204" s="116"/>
      <c r="AV2204" s="78"/>
      <c r="AW2204" s="102"/>
      <c r="AX2204" s="78"/>
      <c r="AY2204" s="78"/>
      <c r="AZ2204" s="78"/>
      <c r="BA2204" s="78"/>
      <c r="BB2204" s="78"/>
      <c r="BC2204" s="78"/>
      <c r="BD2204" s="78"/>
      <c r="BE2204" s="465"/>
      <c r="BF2204" s="165" t="str">
        <f t="shared" si="1614"/>
        <v>https://www.google.com/search?tbm=isch&amp;q=3%20G3</v>
      </c>
      <c r="BG2204" s="165" t="str">
        <f t="shared" si="1615"/>
        <v>I</v>
      </c>
      <c r="BH2204" s="65"/>
      <c r="BI2204" s="65"/>
      <c r="BJ2204" s="65"/>
      <c r="BK2204" s="65"/>
      <c r="BL2204" s="99"/>
      <c r="BM2204" s="99"/>
      <c r="BN2204" s="99"/>
    </row>
    <row r="2205" spans="1:66" s="51" customFormat="1" ht="15.75" x14ac:dyDescent="0.25">
      <c r="A2205" s="478">
        <v>3</v>
      </c>
      <c r="B2205" s="479" t="s">
        <v>291</v>
      </c>
      <c r="C2205" s="480" t="s">
        <v>337</v>
      </c>
      <c r="D2205" s="481" t="s">
        <v>310</v>
      </c>
      <c r="E2205" s="482">
        <v>25.95</v>
      </c>
      <c r="F2205" s="483" t="s">
        <v>292</v>
      </c>
      <c r="G2205" s="484">
        <v>0</v>
      </c>
      <c r="H2205" s="688" t="str">
        <f t="shared" si="1621"/>
        <v/>
      </c>
      <c r="I2205" s="485">
        <f t="shared" si="1622"/>
        <v>0</v>
      </c>
      <c r="J2205" s="485">
        <f t="shared" si="1623"/>
        <v>0</v>
      </c>
      <c r="K2205" s="715">
        <f t="shared" ref="K2205" si="1626">I2205+J2205</f>
        <v>0</v>
      </c>
      <c r="L2205" s="715"/>
      <c r="M2205" s="689" t="str">
        <f t="shared" ca="1" si="1625"/>
        <v/>
      </c>
      <c r="N2205" s="690"/>
      <c r="O2205" s="486"/>
      <c r="P2205" s="486"/>
      <c r="Q2205" s="486"/>
      <c r="R2205" s="486"/>
      <c r="S2205" s="486"/>
      <c r="T2205" s="102">
        <f t="shared" si="1603"/>
        <v>0</v>
      </c>
      <c r="U2205" s="78">
        <f>IF(NOT(ISNUMBER(G2205)), "", VLOOKUP(A2205,'Discount Lookup'!D:E,2,FALSE)*G2205)</f>
        <v>0</v>
      </c>
      <c r="V2205" s="78">
        <f>IF(NOT(ISNUMBER(G2205)), "", VLOOKUP(A2205,'Discount Lookup'!G:H,2,FALSE)*G2205)</f>
        <v>0</v>
      </c>
      <c r="W2205" s="102">
        <f t="shared" si="1604"/>
        <v>0</v>
      </c>
      <c r="X2205" s="102">
        <f t="shared" si="1605"/>
        <v>0</v>
      </c>
      <c r="Y2205" s="120" t="b">
        <f t="shared" si="1606"/>
        <v>0</v>
      </c>
      <c r="Z2205" s="117">
        <f t="shared" si="1607"/>
        <v>0</v>
      </c>
      <c r="AA2205" s="118"/>
      <c r="AB2205" s="118" t="str">
        <f t="shared" si="1608"/>
        <v/>
      </c>
      <c r="AC2205" s="712" t="str">
        <f>IF(AE2205="T2G","no charge",IF(AND(OR(PlanterYesMe="No",PlanterYesMe="N",PlanterYesMe="me"),H2205=""),"",IF(H2205="credit","NO install",IF(AND(K2205="",AE2205="me"),"EACH row",IF(AND(K2205="images",AE2205="me"),"EACH row",IF(D2205="","",IF(H2205="credit","",IF(AE2205="free","re-planting",IF(AE2205="me","   not ELP, by",IF(AND(OR(PlanterYesMe="Yes",PlanterYesMe="Y"),G2205&gt;0),(VLOOKUP(A2205,'Discount Lookup'!J:K,2)*G2205*(1-PlanterDiscount)*(1+PlanterDifficultyPercentage)),IF(AE2205="ELP",(VLOOKUP(A2205,'Discount Lookup'!J:K,2)*G2205*(1-PlanterDiscount)*(1+PlanterDifficultyPercentage)),IF(AE2205="free","re-planting",IF(G2205=0,"",IF(PlanterYesMe="",IF(AE2205="me","   not ELP, by",IF(AE2205="",IF(G2205&gt;0,(VLOOKUP(A2205,'Discount Lookup'!J:K,2)*G2205*(1-PlanterDiscount)*(1+PlanterDifficultyPercentage)),""),"")),"   not ELP, by"))))))))))))))</f>
        <v/>
      </c>
      <c r="AD2205" s="712"/>
      <c r="AE2205" s="513" t="str">
        <f t="shared" si="1609"/>
        <v/>
      </c>
      <c r="AF2205" s="713" t="str">
        <f t="shared" si="1610"/>
        <v/>
      </c>
      <c r="AG2205" s="713"/>
      <c r="AH2205" s="713"/>
      <c r="AI2205" s="112">
        <f>IF(H2205="credit",0,IF(AE2205="free",0,IF(AE2205="me",0,IF(G2205&gt;0,(VLOOKUP(A2205,'Discount Lookup'!J:K,2)*G2205),0))))</f>
        <v>0</v>
      </c>
      <c r="AJ2205" s="107" t="str">
        <f t="shared" ca="1" si="1611"/>
        <v/>
      </c>
      <c r="AK2205" s="714" t="str">
        <f t="shared" si="1612"/>
        <v/>
      </c>
      <c r="AL2205" s="714"/>
      <c r="AM2205" s="114" t="str">
        <f t="shared" si="1613"/>
        <v/>
      </c>
      <c r="AN2205" s="115"/>
      <c r="AO2205" s="116"/>
      <c r="AP2205" s="116"/>
      <c r="AQ2205" s="116"/>
      <c r="AR2205" s="116"/>
      <c r="AS2205" s="116"/>
      <c r="AT2205" s="116"/>
      <c r="AU2205" s="116"/>
      <c r="AV2205" s="78"/>
      <c r="AW2205" s="102"/>
      <c r="AX2205" s="78"/>
      <c r="AY2205" s="78"/>
      <c r="AZ2205" s="78"/>
      <c r="BA2205" s="78"/>
      <c r="BB2205" s="78"/>
      <c r="BC2205" s="78"/>
      <c r="BD2205" s="78"/>
      <c r="BE2205" s="465"/>
      <c r="BF2205" s="165" t="str">
        <f t="shared" si="1614"/>
        <v>https://www.google.com/search?tbm=isch&amp;q=3%20G1</v>
      </c>
      <c r="BG2205" s="165" t="str">
        <f t="shared" si="1615"/>
        <v>I</v>
      </c>
      <c r="BH2205" s="65"/>
      <c r="BI2205" s="65"/>
      <c r="BJ2205" s="65"/>
      <c r="BK2205" s="65"/>
      <c r="BL2205" s="99"/>
      <c r="BM2205" s="99"/>
      <c r="BN2205" s="99"/>
    </row>
    <row r="2206" spans="1:66" s="51" customFormat="1" ht="15.75" x14ac:dyDescent="0.25">
      <c r="A2206" s="478">
        <v>3</v>
      </c>
      <c r="B2206" s="479" t="s">
        <v>291</v>
      </c>
      <c r="C2206" s="480" t="s">
        <v>2962</v>
      </c>
      <c r="D2206" s="481" t="s">
        <v>329</v>
      </c>
      <c r="E2206" s="482">
        <v>25.95</v>
      </c>
      <c r="F2206" s="483" t="s">
        <v>292</v>
      </c>
      <c r="G2206" s="484">
        <v>0</v>
      </c>
      <c r="H2206" s="688" t="str">
        <f t="shared" si="1621"/>
        <v/>
      </c>
      <c r="I2206" s="485">
        <f t="shared" si="1622"/>
        <v>0</v>
      </c>
      <c r="J2206" s="485">
        <f t="shared" si="1623"/>
        <v>0</v>
      </c>
      <c r="K2206" s="715">
        <f t="shared" ref="K2206" si="1627">I2206+J2206</f>
        <v>0</v>
      </c>
      <c r="L2206" s="715"/>
      <c r="M2206" s="689" t="str">
        <f t="shared" ca="1" si="1625"/>
        <v/>
      </c>
      <c r="N2206" s="690"/>
      <c r="O2206" s="486"/>
      <c r="P2206" s="486"/>
      <c r="Q2206" s="486"/>
      <c r="R2206" s="486"/>
      <c r="S2206" s="486"/>
      <c r="T2206" s="102">
        <f t="shared" si="1603"/>
        <v>0</v>
      </c>
      <c r="U2206" s="78">
        <f>IF(NOT(ISNUMBER(G2206)), "", VLOOKUP(A2206,'Discount Lookup'!D:E,2,FALSE)*G2206)</f>
        <v>0</v>
      </c>
      <c r="V2206" s="78">
        <f>IF(NOT(ISNUMBER(G2206)), "", VLOOKUP(A2206,'Discount Lookup'!G:H,2,FALSE)*G2206)</f>
        <v>0</v>
      </c>
      <c r="W2206" s="102">
        <f t="shared" si="1604"/>
        <v>0</v>
      </c>
      <c r="X2206" s="102">
        <f t="shared" si="1605"/>
        <v>0</v>
      </c>
      <c r="Y2206" s="120" t="b">
        <f t="shared" si="1606"/>
        <v>0</v>
      </c>
      <c r="Z2206" s="117">
        <f t="shared" si="1607"/>
        <v>0</v>
      </c>
      <c r="AA2206" s="118"/>
      <c r="AB2206" s="118" t="str">
        <f t="shared" si="1608"/>
        <v/>
      </c>
      <c r="AC2206" s="712" t="str">
        <f>IF(AE2206="T2G","no charge",IF(AND(OR(PlanterYesMe="No",PlanterYesMe="N",PlanterYesMe="me"),H2206=""),"",IF(H2206="credit","NO install",IF(AND(K2206="",AE2206="me"),"EACH row",IF(AND(K2206="images",AE2206="me"),"EACH row",IF(D2206="","",IF(H2206="credit","",IF(AE2206="free","re-planting",IF(AE2206="me","   not ELP, by",IF(AND(OR(PlanterYesMe="Yes",PlanterYesMe="Y"),G2206&gt;0),(VLOOKUP(A2206,'Discount Lookup'!J:K,2)*G2206*(1-PlanterDiscount)*(1+PlanterDifficultyPercentage)),IF(AE2206="ELP",(VLOOKUP(A2206,'Discount Lookup'!J:K,2)*G2206*(1-PlanterDiscount)*(1+PlanterDifficultyPercentage)),IF(AE2206="free","re-planting",IF(G2206=0,"",IF(PlanterYesMe="",IF(AE2206="me","   not ELP, by",IF(AE2206="",IF(G2206&gt;0,(VLOOKUP(A2206,'Discount Lookup'!J:K,2)*G2206*(1-PlanterDiscount)*(1+PlanterDifficultyPercentage)),""),"")),"   not ELP, by"))))))))))))))</f>
        <v/>
      </c>
      <c r="AD2206" s="712"/>
      <c r="AE2206" s="513" t="str">
        <f t="shared" si="1609"/>
        <v/>
      </c>
      <c r="AF2206" s="713" t="str">
        <f t="shared" si="1610"/>
        <v/>
      </c>
      <c r="AG2206" s="713"/>
      <c r="AH2206" s="713"/>
      <c r="AI2206" s="112">
        <f>IF(H2206="credit",0,IF(AE2206="free",0,IF(AE2206="me",0,IF(G2206&gt;0,(VLOOKUP(A2206,'Discount Lookup'!J:K,2)*G2206),0))))</f>
        <v>0</v>
      </c>
      <c r="AJ2206" s="107" t="str">
        <f t="shared" ca="1" si="1611"/>
        <v/>
      </c>
      <c r="AK2206" s="714" t="str">
        <f t="shared" si="1612"/>
        <v/>
      </c>
      <c r="AL2206" s="714"/>
      <c r="AM2206" s="114" t="str">
        <f t="shared" si="1613"/>
        <v/>
      </c>
      <c r="AN2206" s="115"/>
      <c r="AO2206" s="116"/>
      <c r="AP2206" s="116"/>
      <c r="AQ2206" s="116"/>
      <c r="AR2206" s="116"/>
      <c r="AS2206" s="116"/>
      <c r="AT2206" s="116"/>
      <c r="AU2206" s="116"/>
      <c r="AV2206" s="78"/>
      <c r="AW2206" s="102"/>
      <c r="AX2206" s="78"/>
      <c r="AY2206" s="78"/>
      <c r="AZ2206" s="78"/>
      <c r="BA2206" s="78"/>
      <c r="BB2206" s="78"/>
      <c r="BC2206" s="78"/>
      <c r="BD2206" s="78"/>
      <c r="BE2206" s="465"/>
      <c r="BF2206" s="165" t="str">
        <f t="shared" si="1614"/>
        <v>https://www.google.com/search?tbm=isch&amp;q=3%20G2</v>
      </c>
      <c r="BG2206" s="165" t="str">
        <f t="shared" si="1615"/>
        <v>I</v>
      </c>
      <c r="BH2206" s="65"/>
      <c r="BI2206" s="65"/>
      <c r="BJ2206" s="65"/>
      <c r="BK2206" s="65"/>
      <c r="BL2206" s="99"/>
      <c r="BM2206" s="99"/>
      <c r="BN2206" s="99"/>
    </row>
    <row r="2207" spans="1:66" s="51" customFormat="1" ht="15.75" x14ac:dyDescent="0.25">
      <c r="A2207" s="478">
        <v>3</v>
      </c>
      <c r="B2207" s="479" t="s">
        <v>291</v>
      </c>
      <c r="C2207" s="480"/>
      <c r="D2207" s="481" t="s">
        <v>311</v>
      </c>
      <c r="E2207" s="482">
        <v>27.95</v>
      </c>
      <c r="F2207" s="483" t="s">
        <v>292</v>
      </c>
      <c r="G2207" s="484">
        <v>0</v>
      </c>
      <c r="H2207" s="688" t="str">
        <f t="shared" si="1621"/>
        <v/>
      </c>
      <c r="I2207" s="485">
        <f t="shared" si="1622"/>
        <v>0</v>
      </c>
      <c r="J2207" s="485">
        <f t="shared" si="1623"/>
        <v>0</v>
      </c>
      <c r="K2207" s="715">
        <f t="shared" ref="K2207" si="1628">I2207+J2207</f>
        <v>0</v>
      </c>
      <c r="L2207" s="715"/>
      <c r="M2207" s="689" t="str">
        <f t="shared" ca="1" si="1625"/>
        <v/>
      </c>
      <c r="N2207" s="690"/>
      <c r="O2207" s="486"/>
      <c r="P2207" s="486"/>
      <c r="Q2207" s="486"/>
      <c r="R2207" s="486"/>
      <c r="S2207" s="486"/>
      <c r="T2207" s="102">
        <f t="shared" si="1603"/>
        <v>0</v>
      </c>
      <c r="U2207" s="78">
        <f>IF(NOT(ISNUMBER(G2207)), "", VLOOKUP(A2207,'Discount Lookup'!D:E,2,FALSE)*G2207)</f>
        <v>0</v>
      </c>
      <c r="V2207" s="78">
        <f>IF(NOT(ISNUMBER(G2207)), "", VLOOKUP(A2207,'Discount Lookup'!G:H,2,FALSE)*G2207)</f>
        <v>0</v>
      </c>
      <c r="W2207" s="102">
        <f t="shared" si="1604"/>
        <v>0</v>
      </c>
      <c r="X2207" s="102">
        <f t="shared" si="1605"/>
        <v>0</v>
      </c>
      <c r="Y2207" s="120" t="b">
        <f t="shared" si="1606"/>
        <v>0</v>
      </c>
      <c r="Z2207" s="117">
        <f t="shared" si="1607"/>
        <v>0</v>
      </c>
      <c r="AA2207" s="118"/>
      <c r="AB2207" s="118" t="str">
        <f t="shared" si="1608"/>
        <v/>
      </c>
      <c r="AC2207" s="712" t="str">
        <f>IF(AE2207="T2G","no charge",IF(AND(OR(PlanterYesMe="No",PlanterYesMe="N",PlanterYesMe="me"),H2207=""),"",IF(H2207="credit","NO install",IF(AND(K2207="",AE2207="me"),"EACH row",IF(AND(K2207="images",AE2207="me"),"EACH row",IF(D2207="","",IF(H2207="credit","",IF(AE2207="free","re-planting",IF(AE2207="me","   not ELP, by",IF(AND(OR(PlanterYesMe="Yes",PlanterYesMe="Y"),G2207&gt;0),(VLOOKUP(A2207,'Discount Lookup'!J:K,2)*G2207*(1-PlanterDiscount)*(1+PlanterDifficultyPercentage)),IF(AE2207="ELP",(VLOOKUP(A2207,'Discount Lookup'!J:K,2)*G2207*(1-PlanterDiscount)*(1+PlanterDifficultyPercentage)),IF(AE2207="free","re-planting",IF(G2207=0,"",IF(PlanterYesMe="",IF(AE2207="me","   not ELP, by",IF(AE2207="",IF(G2207&gt;0,(VLOOKUP(A2207,'Discount Lookup'!J:K,2)*G2207*(1-PlanterDiscount)*(1+PlanterDifficultyPercentage)),""),"")),"   not ELP, by"))))))))))))))</f>
        <v/>
      </c>
      <c r="AD2207" s="712"/>
      <c r="AE2207" s="513" t="str">
        <f t="shared" si="1609"/>
        <v/>
      </c>
      <c r="AF2207" s="713" t="str">
        <f t="shared" si="1610"/>
        <v/>
      </c>
      <c r="AG2207" s="713"/>
      <c r="AH2207" s="713"/>
      <c r="AI2207" s="112">
        <f>IF(H2207="credit",0,IF(AE2207="free",0,IF(AE2207="me",0,IF(G2207&gt;0,(VLOOKUP(A2207,'Discount Lookup'!J:K,2)*G2207),0))))</f>
        <v>0</v>
      </c>
      <c r="AJ2207" s="107" t="str">
        <f t="shared" ca="1" si="1611"/>
        <v/>
      </c>
      <c r="AK2207" s="714" t="str">
        <f t="shared" si="1612"/>
        <v/>
      </c>
      <c r="AL2207" s="714"/>
      <c r="AM2207" s="114" t="str">
        <f t="shared" si="1613"/>
        <v/>
      </c>
      <c r="AN2207" s="115"/>
      <c r="AO2207" s="116"/>
      <c r="AP2207" s="116"/>
      <c r="AQ2207" s="116"/>
      <c r="AR2207" s="116"/>
      <c r="AS2207" s="116"/>
      <c r="AT2207" s="116"/>
      <c r="AU2207" s="116"/>
      <c r="AV2207" s="78"/>
      <c r="AW2207" s="102"/>
      <c r="AX2207" s="78"/>
      <c r="AY2207" s="78"/>
      <c r="AZ2207" s="78"/>
      <c r="BA2207" s="78"/>
      <c r="BB2207" s="78"/>
      <c r="BC2207" s="78"/>
      <c r="BD2207" s="78"/>
      <c r="BE2207" s="465"/>
      <c r="BF2207" s="165" t="str">
        <f t="shared" si="1614"/>
        <v>https://www.google.com/search?tbm=isch&amp;q=3%20G5</v>
      </c>
      <c r="BG2207" s="165" t="str">
        <f t="shared" si="1615"/>
        <v>I</v>
      </c>
      <c r="BH2207" s="65"/>
      <c r="BI2207" s="65"/>
      <c r="BJ2207" s="65"/>
      <c r="BK2207" s="65"/>
      <c r="BL2207" s="99"/>
      <c r="BM2207" s="99"/>
      <c r="BN2207" s="99"/>
    </row>
    <row r="2208" spans="1:66" s="51" customFormat="1" ht="15.75" x14ac:dyDescent="0.25">
      <c r="A2208" s="478">
        <v>5</v>
      </c>
      <c r="B2208" s="479" t="s">
        <v>291</v>
      </c>
      <c r="C2208" s="480" t="s">
        <v>2963</v>
      </c>
      <c r="D2208" s="481" t="s">
        <v>309</v>
      </c>
      <c r="E2208" s="482">
        <v>40.950000000000003</v>
      </c>
      <c r="F2208" s="483" t="s">
        <v>292</v>
      </c>
      <c r="G2208" s="484">
        <v>0</v>
      </c>
      <c r="H2208" s="688" t="str">
        <f t="shared" si="1621"/>
        <v/>
      </c>
      <c r="I2208" s="485">
        <f t="shared" si="1622"/>
        <v>0</v>
      </c>
      <c r="J2208" s="485">
        <f t="shared" si="1623"/>
        <v>0</v>
      </c>
      <c r="K2208" s="715">
        <f t="shared" ref="K2208" si="1629">I2208+J2208</f>
        <v>0</v>
      </c>
      <c r="L2208" s="715"/>
      <c r="M2208" s="689" t="str">
        <f t="shared" ca="1" si="1625"/>
        <v/>
      </c>
      <c r="N2208" s="690"/>
      <c r="O2208" s="486"/>
      <c r="P2208" s="486"/>
      <c r="Q2208" s="486"/>
      <c r="R2208" s="486"/>
      <c r="S2208" s="486"/>
      <c r="T2208" s="102">
        <f t="shared" si="1603"/>
        <v>0</v>
      </c>
      <c r="U2208" s="78">
        <f>IF(NOT(ISNUMBER(G2208)), "", VLOOKUP(A2208,'Discount Lookup'!D:E,2,FALSE)*G2208)</f>
        <v>0</v>
      </c>
      <c r="V2208" s="78">
        <f>IF(NOT(ISNUMBER(G2208)), "", VLOOKUP(A2208,'Discount Lookup'!G:H,2,FALSE)*G2208)</f>
        <v>0</v>
      </c>
      <c r="W2208" s="102">
        <f t="shared" si="1604"/>
        <v>0</v>
      </c>
      <c r="X2208" s="102">
        <f t="shared" si="1605"/>
        <v>0</v>
      </c>
      <c r="Y2208" s="120" t="b">
        <f t="shared" si="1606"/>
        <v>0</v>
      </c>
      <c r="Z2208" s="117">
        <f t="shared" si="1607"/>
        <v>0</v>
      </c>
      <c r="AA2208" s="118"/>
      <c r="AB2208" s="118" t="str">
        <f t="shared" si="1608"/>
        <v/>
      </c>
      <c r="AC2208" s="712" t="str">
        <f>IF(AE2208="T2G","no charge",IF(AND(OR(PlanterYesMe="No",PlanterYesMe="N",PlanterYesMe="me"),H2208=""),"",IF(H2208="credit","NO install",IF(AND(K2208="",AE2208="me"),"EACH row",IF(AND(K2208="images",AE2208="me"),"EACH row",IF(D2208="","",IF(H2208="credit","",IF(AE2208="free","re-planting",IF(AE2208="me","   not ELP, by",IF(AND(OR(PlanterYesMe="Yes",PlanterYesMe="Y"),G2208&gt;0),(VLOOKUP(A2208,'Discount Lookup'!J:K,2)*G2208*(1-PlanterDiscount)*(1+PlanterDifficultyPercentage)),IF(AE2208="ELP",(VLOOKUP(A2208,'Discount Lookup'!J:K,2)*G2208*(1-PlanterDiscount)*(1+PlanterDifficultyPercentage)),IF(AE2208="free","re-planting",IF(G2208=0,"",IF(PlanterYesMe="",IF(AE2208="me","   not ELP, by",IF(AE2208="",IF(G2208&gt;0,(VLOOKUP(A2208,'Discount Lookup'!J:K,2)*G2208*(1-PlanterDiscount)*(1+PlanterDifficultyPercentage)),""),"")),"   not ELP, by"))))))))))))))</f>
        <v/>
      </c>
      <c r="AD2208" s="712"/>
      <c r="AE2208" s="513" t="str">
        <f t="shared" si="1609"/>
        <v/>
      </c>
      <c r="AF2208" s="713" t="str">
        <f t="shared" si="1610"/>
        <v/>
      </c>
      <c r="AG2208" s="713"/>
      <c r="AH2208" s="713"/>
      <c r="AI2208" s="112">
        <f>IF(H2208="credit",0,IF(AE2208="free",0,IF(AE2208="me",0,IF(G2208&gt;0,(VLOOKUP(A2208,'Discount Lookup'!J:K,2)*G2208),0))))</f>
        <v>0</v>
      </c>
      <c r="AJ2208" s="107" t="str">
        <f t="shared" ca="1" si="1611"/>
        <v/>
      </c>
      <c r="AK2208" s="714" t="str">
        <f t="shared" si="1612"/>
        <v/>
      </c>
      <c r="AL2208" s="714"/>
      <c r="AM2208" s="114" t="str">
        <f t="shared" si="1613"/>
        <v/>
      </c>
      <c r="AN2208" s="115"/>
      <c r="AO2208" s="116"/>
      <c r="AP2208" s="116"/>
      <c r="AQ2208" s="116"/>
      <c r="AR2208" s="116"/>
      <c r="AS2208" s="116"/>
      <c r="AT2208" s="116"/>
      <c r="AU2208" s="116"/>
      <c r="AV2208" s="78"/>
      <c r="AW2208" s="102"/>
      <c r="AX2208" s="78"/>
      <c r="AY2208" s="78"/>
      <c r="AZ2208" s="78"/>
      <c r="BA2208" s="78"/>
      <c r="BB2208" s="78"/>
      <c r="BC2208" s="78"/>
      <c r="BD2208" s="78"/>
      <c r="BE2208" s="465"/>
      <c r="BF2208" s="165" t="str">
        <f t="shared" si="1614"/>
        <v>https://www.google.com/search?tbm=isch&amp;q=5%20G3</v>
      </c>
      <c r="BG2208" s="165" t="str">
        <f t="shared" si="1615"/>
        <v>I</v>
      </c>
      <c r="BH2208" s="65"/>
      <c r="BI2208" s="65"/>
      <c r="BJ2208" s="65"/>
      <c r="BK2208" s="65"/>
      <c r="BL2208" s="99"/>
      <c r="BM2208" s="99"/>
      <c r="BN2208" s="99"/>
    </row>
    <row r="2209" spans="1:66" s="51" customFormat="1" ht="15.75" x14ac:dyDescent="0.25">
      <c r="A2209" s="478">
        <v>7</v>
      </c>
      <c r="B2209" s="479" t="s">
        <v>291</v>
      </c>
      <c r="C2209" s="480" t="s">
        <v>2964</v>
      </c>
      <c r="D2209" s="481" t="s">
        <v>311</v>
      </c>
      <c r="E2209" s="482">
        <v>56.95</v>
      </c>
      <c r="F2209" s="483" t="s">
        <v>292</v>
      </c>
      <c r="G2209" s="484">
        <v>0</v>
      </c>
      <c r="H2209" s="688" t="str">
        <f t="shared" si="1621"/>
        <v/>
      </c>
      <c r="I2209" s="485">
        <f t="shared" si="1622"/>
        <v>0</v>
      </c>
      <c r="J2209" s="485">
        <f t="shared" si="1623"/>
        <v>0</v>
      </c>
      <c r="K2209" s="715">
        <f t="shared" ref="K2209" si="1630">I2209+J2209</f>
        <v>0</v>
      </c>
      <c r="L2209" s="715"/>
      <c r="M2209" s="689" t="str">
        <f t="shared" ca="1" si="1625"/>
        <v/>
      </c>
      <c r="N2209" s="690"/>
      <c r="O2209" s="486"/>
      <c r="P2209" s="486"/>
      <c r="Q2209" s="486"/>
      <c r="R2209" s="486"/>
      <c r="S2209" s="486"/>
      <c r="T2209" s="102">
        <f t="shared" si="1603"/>
        <v>0</v>
      </c>
      <c r="U2209" s="78">
        <f>IF(NOT(ISNUMBER(G2209)), "", VLOOKUP(A2209,'Discount Lookup'!D:E,2,FALSE)*G2209)</f>
        <v>0</v>
      </c>
      <c r="V2209" s="78">
        <f>IF(NOT(ISNUMBER(G2209)), "", VLOOKUP(A2209,'Discount Lookup'!G:H,2,FALSE)*G2209)</f>
        <v>0</v>
      </c>
      <c r="W2209" s="102">
        <f t="shared" si="1604"/>
        <v>0</v>
      </c>
      <c r="X2209" s="102">
        <f t="shared" si="1605"/>
        <v>0</v>
      </c>
      <c r="Y2209" s="120" t="b">
        <f t="shared" si="1606"/>
        <v>0</v>
      </c>
      <c r="Z2209" s="117">
        <f t="shared" si="1607"/>
        <v>0</v>
      </c>
      <c r="AA2209" s="118"/>
      <c r="AB2209" s="118" t="str">
        <f t="shared" si="1608"/>
        <v/>
      </c>
      <c r="AC2209" s="712" t="str">
        <f>IF(AE2209="T2G","no charge",IF(AND(OR(PlanterYesMe="No",PlanterYesMe="N",PlanterYesMe="me"),H2209=""),"",IF(H2209="credit","NO install",IF(AND(K2209="",AE2209="me"),"EACH row",IF(AND(K2209="images",AE2209="me"),"EACH row",IF(D2209="","",IF(H2209="credit","",IF(AE2209="free","re-planting",IF(AE2209="me","   not ELP, by",IF(AND(OR(PlanterYesMe="Yes",PlanterYesMe="Y"),G2209&gt;0),(VLOOKUP(A2209,'Discount Lookup'!J:K,2)*G2209*(1-PlanterDiscount)*(1+PlanterDifficultyPercentage)),IF(AE2209="ELP",(VLOOKUP(A2209,'Discount Lookup'!J:K,2)*G2209*(1-PlanterDiscount)*(1+PlanterDifficultyPercentage)),IF(AE2209="free","re-planting",IF(G2209=0,"",IF(PlanterYesMe="",IF(AE2209="me","   not ELP, by",IF(AE2209="",IF(G2209&gt;0,(VLOOKUP(A2209,'Discount Lookup'!J:K,2)*G2209*(1-PlanterDiscount)*(1+PlanterDifficultyPercentage)),""),"")),"   not ELP, by"))))))))))))))</f>
        <v/>
      </c>
      <c r="AD2209" s="712"/>
      <c r="AE2209" s="513" t="str">
        <f t="shared" si="1609"/>
        <v/>
      </c>
      <c r="AF2209" s="713" t="str">
        <f t="shared" si="1610"/>
        <v/>
      </c>
      <c r="AG2209" s="713"/>
      <c r="AH2209" s="713"/>
      <c r="AI2209" s="112">
        <f>IF(H2209="credit",0,IF(AE2209="free",0,IF(AE2209="me",0,IF(G2209&gt;0,(VLOOKUP(A2209,'Discount Lookup'!J:K,2)*G2209),0))))</f>
        <v>0</v>
      </c>
      <c r="AJ2209" s="107" t="str">
        <f t="shared" ca="1" si="1611"/>
        <v/>
      </c>
      <c r="AK2209" s="714" t="str">
        <f t="shared" si="1612"/>
        <v/>
      </c>
      <c r="AL2209" s="714"/>
      <c r="AM2209" s="114" t="str">
        <f t="shared" si="1613"/>
        <v/>
      </c>
      <c r="AN2209" s="115"/>
      <c r="AO2209" s="116"/>
      <c r="AP2209" s="116"/>
      <c r="AQ2209" s="116"/>
      <c r="AR2209" s="116"/>
      <c r="AS2209" s="116"/>
      <c r="AT2209" s="116"/>
      <c r="AU2209" s="116"/>
      <c r="AV2209" s="78"/>
      <c r="AW2209" s="102"/>
      <c r="AX2209" s="78"/>
      <c r="AY2209" s="78"/>
      <c r="AZ2209" s="78"/>
      <c r="BA2209" s="78"/>
      <c r="BB2209" s="78"/>
      <c r="BC2209" s="78"/>
      <c r="BD2209" s="78"/>
      <c r="BE2209" s="465"/>
      <c r="BF2209" s="165" t="str">
        <f t="shared" si="1614"/>
        <v>https://www.google.com/search?tbm=isch&amp;q=7%20G5</v>
      </c>
      <c r="BG2209" s="165" t="str">
        <f t="shared" si="1615"/>
        <v>I</v>
      </c>
      <c r="BH2209" s="65"/>
      <c r="BI2209" s="65"/>
      <c r="BJ2209" s="65"/>
      <c r="BK2209" s="65"/>
      <c r="BL2209" s="99"/>
      <c r="BM2209" s="99"/>
      <c r="BN2209" s="99"/>
    </row>
    <row r="2210" spans="1:66" s="51" customFormat="1" ht="17.25" thickBot="1" x14ac:dyDescent="0.3">
      <c r="A2210" s="508" t="s">
        <v>2965</v>
      </c>
      <c r="B2210" s="487"/>
      <c r="C2210" s="707"/>
      <c r="D2210" s="487"/>
      <c r="E2210" s="487"/>
      <c r="F2210" s="488"/>
      <c r="G2210" s="489"/>
      <c r="H2210" s="487"/>
      <c r="I2210" s="490"/>
      <c r="J2210" s="490"/>
      <c r="K2210" s="491"/>
      <c r="L2210" s="547"/>
      <c r="M2210" s="528"/>
      <c r="N2210" s="492"/>
      <c r="O2210" s="493"/>
      <c r="P2210" s="494"/>
      <c r="Q2210" s="492"/>
      <c r="R2210" s="492"/>
      <c r="S2210" s="699" t="s">
        <v>5280</v>
      </c>
      <c r="T2210" s="102">
        <f t="shared" si="1603"/>
        <v>0</v>
      </c>
      <c r="U2210" s="78" t="str">
        <f>IF(NOT(ISNUMBER(G2210)), "", VLOOKUP(A2210,'Discount Lookup'!D:E,2,FALSE)*G2210)</f>
        <v/>
      </c>
      <c r="V2210" s="78" t="str">
        <f>IF(NOT(ISNUMBER(G2210)), "", VLOOKUP(A2210,'Discount Lookup'!G:H,2,FALSE)*G2210)</f>
        <v/>
      </c>
      <c r="W2210" s="102">
        <f t="shared" si="1604"/>
        <v>0</v>
      </c>
      <c r="X2210" s="102">
        <f t="shared" si="1605"/>
        <v>0</v>
      </c>
      <c r="Y2210" s="120" t="b">
        <f t="shared" si="1606"/>
        <v>0</v>
      </c>
      <c r="Z2210" s="117">
        <f t="shared" si="1607"/>
        <v>0</v>
      </c>
      <c r="AA2210" s="118"/>
      <c r="AB2210" s="118" t="str">
        <f t="shared" si="1608"/>
        <v/>
      </c>
      <c r="AC2210" s="712" t="str">
        <f>IF(AE2210="T2G","no charge",IF(AND(OR(PlanterYesMe="No",PlanterYesMe="N",PlanterYesMe="me"),H2210=""),"",IF(H2210="credit","NO install",IF(AND(K2210="",AE2210="me"),"EACH row",IF(AND(K2210="images",AE2210="me"),"EACH row",IF(D2210="","",IF(H2210="credit","",IF(AE2210="free","re-planting",IF(AE2210="me","   not ELP, by",IF(AND(OR(PlanterYesMe="Yes",PlanterYesMe="Y"),G2210&gt;0),(VLOOKUP(A2210,'Discount Lookup'!J:K,2)*G2210*(1-PlanterDiscount)*(1+PlanterDifficultyPercentage)),IF(AE2210="ELP",(VLOOKUP(A2210,'Discount Lookup'!J:K,2)*G2210*(1-PlanterDiscount)*(1+PlanterDifficultyPercentage)),IF(AE2210="free","re-planting",IF(G2210=0,"",IF(PlanterYesMe="",IF(AE2210="me","   not ELP, by",IF(AE2210="",IF(G2210&gt;0,(VLOOKUP(A2210,'Discount Lookup'!J:K,2)*G2210*(1-PlanterDiscount)*(1+PlanterDifficultyPercentage)),""),"")),"   not ELP, by"))))))))))))))</f>
        <v/>
      </c>
      <c r="AD2210" s="712"/>
      <c r="AE2210" s="513" t="str">
        <f t="shared" si="1609"/>
        <v/>
      </c>
      <c r="AF2210" s="713" t="str">
        <f t="shared" si="1610"/>
        <v/>
      </c>
      <c r="AG2210" s="713"/>
      <c r="AH2210" s="713"/>
      <c r="AI2210" s="112">
        <f>IF(H2210="credit",0,IF(AE2210="free",0,IF(AE2210="me",0,IF(G2210&gt;0,(VLOOKUP(A2210,'Discount Lookup'!J:K,2)*G2210),0))))</f>
        <v>0</v>
      </c>
      <c r="AJ2210" s="107" t="str">
        <f t="shared" ca="1" si="1611"/>
        <v/>
      </c>
      <c r="AK2210" s="714" t="str">
        <f t="shared" si="1612"/>
        <v/>
      </c>
      <c r="AL2210" s="714"/>
      <c r="AM2210" s="114" t="str">
        <f t="shared" si="1613"/>
        <v/>
      </c>
      <c r="AN2210" s="115"/>
      <c r="AO2210" s="116"/>
      <c r="AP2210" s="116"/>
      <c r="AQ2210" s="116"/>
      <c r="AR2210" s="116"/>
      <c r="AS2210" s="116"/>
      <c r="AT2210" s="116"/>
      <c r="AU2210" s="116"/>
      <c r="AV2210" s="78"/>
      <c r="AW2210" s="102"/>
      <c r="AX2210" s="78"/>
      <c r="AY2210" s="78"/>
      <c r="AZ2210" s="78"/>
      <c r="BA2210" s="78"/>
      <c r="BB2210" s="78"/>
      <c r="BC2210" s="78"/>
      <c r="BD2210" s="78"/>
      <c r="BE2210" s="465"/>
      <c r="BF2210" s="165" t="str">
        <f t="shared" si="1614"/>
        <v>https://www.google.com/search?tbm=isch&amp;q=Soft%20Touch%20is%20indeed%20soft%20to%20the%20touch.%20Deep%20green%20foliage%20with%20a%20silver%20mid-vein.%20Lustrous%20black%20berries%20in%20fall%20</v>
      </c>
      <c r="BG2210" s="165" t="str">
        <f t="shared" si="1615"/>
        <v>S</v>
      </c>
      <c r="BH2210" s="65"/>
      <c r="BI2210" s="65"/>
      <c r="BJ2210" s="65"/>
      <c r="BK2210" s="65"/>
      <c r="BL2210" s="99"/>
      <c r="BM2210" s="99"/>
      <c r="BN2210" s="99"/>
    </row>
    <row r="2211" spans="1:66" s="51" customFormat="1" ht="18" x14ac:dyDescent="0.25">
      <c r="A2211" s="507" t="s">
        <v>2966</v>
      </c>
      <c r="B2211" s="470"/>
      <c r="C2211" s="706"/>
      <c r="D2211" s="471" t="s">
        <v>2967</v>
      </c>
      <c r="E2211" s="472"/>
      <c r="F2211" s="472"/>
      <c r="G2211" s="472"/>
      <c r="H2211" s="622" t="s">
        <v>1471</v>
      </c>
      <c r="I2211" s="473" t="s">
        <v>431</v>
      </c>
      <c r="J2211" s="472"/>
      <c r="K2211" s="472"/>
      <c r="L2211" s="561"/>
      <c r="M2211" s="698" t="s">
        <v>5246</v>
      </c>
      <c r="N2211" s="692" t="str">
        <f>IF(AND(ISTEXT($A2211), ISERROR($A2211+0)), HYPERLINK($BF2211, "Images"), "")</f>
        <v>Images</v>
      </c>
      <c r="O2211" s="694" t="s">
        <v>5289</v>
      </c>
      <c r="P2211" s="475"/>
      <c r="Q2211" s="476"/>
      <c r="R2211" s="476"/>
      <c r="S2211" s="477"/>
      <c r="T2211" s="102">
        <f t="shared" si="1603"/>
        <v>0</v>
      </c>
      <c r="U2211" s="78" t="str">
        <f>IF(NOT(ISNUMBER(G2211)), "", VLOOKUP(A2211,'Discount Lookup'!D:E,2,FALSE)*G2211)</f>
        <v/>
      </c>
      <c r="V2211" s="78" t="str">
        <f>IF(NOT(ISNUMBER(G2211)), "", VLOOKUP(A2211,'Discount Lookup'!G:H,2,FALSE)*G2211)</f>
        <v/>
      </c>
      <c r="W2211" s="102">
        <f t="shared" si="1604"/>
        <v>0</v>
      </c>
      <c r="X2211" s="102" t="str">
        <f t="shared" si="1605"/>
        <v>Dark Green foliage</v>
      </c>
      <c r="Y2211" s="120" t="b">
        <f t="shared" si="1606"/>
        <v>0</v>
      </c>
      <c r="Z2211" s="117">
        <f t="shared" si="1607"/>
        <v>0</v>
      </c>
      <c r="AA2211" s="118"/>
      <c r="AB2211" s="118" t="str">
        <f t="shared" si="1608"/>
        <v/>
      </c>
      <c r="AC2211" s="712" t="str">
        <f>IF(AE2211="T2G","no charge",IF(AND(OR(PlanterYesMe="No",PlanterYesMe="N",PlanterYesMe="me"),H2211=""),"",IF(H2211="credit","NO install",IF(AND(K2211="",AE2211="me"),"EACH row",IF(AND(K2211="images",AE2211="me"),"EACH row",IF(D2211="","",IF(H2211="credit","",IF(AE2211="free","re-planting",IF(AE2211="me","   not ELP, by",IF(AND(OR(PlanterYesMe="Yes",PlanterYesMe="Y"),G2211&gt;0),(VLOOKUP(A2211,'Discount Lookup'!J:K,2)*G2211*(1-PlanterDiscount)*(1+PlanterDifficultyPercentage)),IF(AE2211="ELP",(VLOOKUP(A2211,'Discount Lookup'!J:K,2)*G2211*(1-PlanterDiscount)*(1+PlanterDifficultyPercentage)),IF(AE2211="free","re-planting",IF(G2211=0,"",IF(PlanterYesMe="",IF(AE2211="me","   not ELP, by",IF(AE2211="",IF(G2211&gt;0,(VLOOKUP(A2211,'Discount Lookup'!J:K,2)*G2211*(1-PlanterDiscount)*(1+PlanterDifficultyPercentage)),""),"")),"   not ELP, by"))))))))))))))</f>
        <v/>
      </c>
      <c r="AD2211" s="712"/>
      <c r="AE2211" s="513" t="str">
        <f t="shared" si="1609"/>
        <v/>
      </c>
      <c r="AF2211" s="713" t="str">
        <f t="shared" si="1610"/>
        <v/>
      </c>
      <c r="AG2211" s="713"/>
      <c r="AH2211" s="713"/>
      <c r="AI2211" s="112">
        <f>IF(H2211="credit",0,IF(AE2211="free",0,IF(AE2211="me",0,IF(G2211&gt;0,(VLOOKUP(A2211,'Discount Lookup'!J:K,2)*G2211),0))))</f>
        <v>0</v>
      </c>
      <c r="AJ2211" s="107" t="str">
        <f t="shared" ca="1" si="1611"/>
        <v/>
      </c>
      <c r="AK2211" s="714" t="str">
        <f t="shared" si="1612"/>
        <v/>
      </c>
      <c r="AL2211" s="714"/>
      <c r="AM2211" s="114" t="str">
        <f t="shared" si="1613"/>
        <v/>
      </c>
      <c r="AN2211" s="115"/>
      <c r="AO2211" s="116"/>
      <c r="AP2211" s="116"/>
      <c r="AQ2211" s="116"/>
      <c r="AR2211" s="116"/>
      <c r="AS2211" s="116"/>
      <c r="AT2211" s="116"/>
      <c r="AU2211" s="116"/>
      <c r="AV2211" s="78"/>
      <c r="AW2211" s="102"/>
      <c r="AX2211" s="78"/>
      <c r="AY2211" s="78"/>
      <c r="AZ2211" s="78"/>
      <c r="BA2211" s="78"/>
      <c r="BB2211" s="78"/>
      <c r="BC2211" s="78"/>
      <c r="BD2211" s="78"/>
      <c r="BE2211" s="465"/>
      <c r="BF2211" s="165" t="str">
        <f t="shared" si="1614"/>
        <v>https://www.google.com/search?tbm=isch&amp;q=Ilex%20crenata%20%27Steeds%27%20Steeds%20Holly</v>
      </c>
      <c r="BG2211" s="165" t="str">
        <f t="shared" si="1615"/>
        <v>I</v>
      </c>
      <c r="BH2211" s="65"/>
      <c r="BI2211" s="65"/>
      <c r="BJ2211" s="65"/>
      <c r="BK2211" s="65"/>
      <c r="BL2211" s="99"/>
      <c r="BM2211" s="99"/>
      <c r="BN2211" s="99"/>
    </row>
    <row r="2212" spans="1:66" s="51" customFormat="1" ht="15.75" x14ac:dyDescent="0.25">
      <c r="A2212" s="478">
        <v>3</v>
      </c>
      <c r="B2212" s="479" t="s">
        <v>291</v>
      </c>
      <c r="C2212" s="480" t="s">
        <v>2968</v>
      </c>
      <c r="D2212" s="481" t="s">
        <v>310</v>
      </c>
      <c r="E2212" s="482">
        <v>25.95</v>
      </c>
      <c r="F2212" s="483" t="s">
        <v>292</v>
      </c>
      <c r="G2212" s="484">
        <v>0</v>
      </c>
      <c r="H2212" s="688" t="str">
        <f t="shared" ref="H2212:H2222" si="1631">IF(G2212=0,"",IF(F2212="Buy",IF(G2212=1,"plant","plants"),IF(F2212&gt;0.01,"warranty","Error")))</f>
        <v/>
      </c>
      <c r="I2212" s="485">
        <f t="shared" ref="I2212:I2222" si="1632">IF(H2212="free",0,IF(H2212="credit",((E2212*(F2212))*G2212*-1),IF(F2212="Buy",(E2212*G2212),((E2212*(1-F2212))*G2212))))</f>
        <v>0</v>
      </c>
      <c r="J2212" s="485">
        <f t="shared" ref="J2212:J2222" si="1633">IF(H2212="warranty",0,(I2212*(_xlfn.SINGLE(SalesTaxPercentage))))</f>
        <v>0</v>
      </c>
      <c r="K2212" s="715">
        <f t="shared" ref="K2212" si="1634">I2212+J2212</f>
        <v>0</v>
      </c>
      <c r="L2212" s="715"/>
      <c r="M2212" s="689" t="str">
        <f t="shared" ref="M2212:M2222" ca="1" si="1635">IF(AND(G2212&gt;0,E2212=0),"WARNING - no PRICE inserted",IF(H2212="free","FREE ~ no charge this plant",IF(H2212="credit",CONCATENATE("-$",ROUND(K2212*(1-_xlfn.SINGLE(T2GDiscount))*-1,2)," CREDIT after discount"),IF(_xlfn.SINGLE(T2GDiscount)=0,"",IF(G2212=0,"",IF(F2212="Buy",CONCATENATE("$",ROUND(K2212*(1-_xlfn.SINGLE(T2GDiscount)),2)," with ",(_xlfn.SINGLE(T2GDiscount)*100),"% discount"),CONCATENATE("$",ROUND(K2212*(1-_xlfn.SINGLE(T2GDiscount)),2)," with ",((_xlfn.SINGLE(T2GDiscount)*100+F2212*100)-(_xlfn.SINGLE(T2GDiscount)*100*F2212)),IF(F2212&gt;0,"% discounts",IF(_xlfn.SINGLE(NoWarrantyDiscount)&gt;0,"% discounts","% discount")))))))))</f>
        <v/>
      </c>
      <c r="N2212" s="690"/>
      <c r="O2212" s="486"/>
      <c r="P2212" s="486"/>
      <c r="Q2212" s="486"/>
      <c r="R2212" s="486"/>
      <c r="S2212" s="486"/>
      <c r="T2212" s="102">
        <f t="shared" si="1603"/>
        <v>0</v>
      </c>
      <c r="U2212" s="78">
        <f>IF(NOT(ISNUMBER(G2212)), "", VLOOKUP(A2212,'Discount Lookup'!D:E,2,FALSE)*G2212)</f>
        <v>0</v>
      </c>
      <c r="V2212" s="78">
        <f>IF(NOT(ISNUMBER(G2212)), "", VLOOKUP(A2212,'Discount Lookup'!G:H,2,FALSE)*G2212)</f>
        <v>0</v>
      </c>
      <c r="W2212" s="102">
        <f t="shared" si="1604"/>
        <v>0</v>
      </c>
      <c r="X2212" s="102">
        <f t="shared" si="1605"/>
        <v>0</v>
      </c>
      <c r="Y2212" s="120" t="b">
        <f t="shared" si="1606"/>
        <v>0</v>
      </c>
      <c r="Z2212" s="117">
        <f t="shared" si="1607"/>
        <v>0</v>
      </c>
      <c r="AA2212" s="118"/>
      <c r="AB2212" s="118" t="str">
        <f t="shared" si="1608"/>
        <v/>
      </c>
      <c r="AC2212" s="712" t="str">
        <f>IF(AE2212="T2G","no charge",IF(AND(OR(PlanterYesMe="No",PlanterYesMe="N",PlanterYesMe="me"),H2212=""),"",IF(H2212="credit","NO install",IF(AND(K2212="",AE2212="me"),"EACH row",IF(AND(K2212="images",AE2212="me"),"EACH row",IF(D2212="","",IF(H2212="credit","",IF(AE2212="free","re-planting",IF(AE2212="me","   not ELP, by",IF(AND(OR(PlanterYesMe="Yes",PlanterYesMe="Y"),G2212&gt;0),(VLOOKUP(A2212,'Discount Lookup'!J:K,2)*G2212*(1-PlanterDiscount)*(1+PlanterDifficultyPercentage)),IF(AE2212="ELP",(VLOOKUP(A2212,'Discount Lookup'!J:K,2)*G2212*(1-PlanterDiscount)*(1+PlanterDifficultyPercentage)),IF(AE2212="free","re-planting",IF(G2212=0,"",IF(PlanterYesMe="",IF(AE2212="me","   not ELP, by",IF(AE2212="",IF(G2212&gt;0,(VLOOKUP(A2212,'Discount Lookup'!J:K,2)*G2212*(1-PlanterDiscount)*(1+PlanterDifficultyPercentage)),""),"")),"   not ELP, by"))))))))))))))</f>
        <v/>
      </c>
      <c r="AD2212" s="712"/>
      <c r="AE2212" s="513" t="str">
        <f t="shared" si="1609"/>
        <v/>
      </c>
      <c r="AF2212" s="713" t="str">
        <f t="shared" si="1610"/>
        <v/>
      </c>
      <c r="AG2212" s="713"/>
      <c r="AH2212" s="713"/>
      <c r="AI2212" s="112">
        <f>IF(H2212="credit",0,IF(AE2212="free",0,IF(AE2212="me",0,IF(G2212&gt;0,(VLOOKUP(A2212,'Discount Lookup'!J:K,2)*G2212),0))))</f>
        <v>0</v>
      </c>
      <c r="AJ2212" s="107" t="str">
        <f t="shared" ca="1" si="1611"/>
        <v/>
      </c>
      <c r="AK2212" s="714" t="str">
        <f t="shared" si="1612"/>
        <v/>
      </c>
      <c r="AL2212" s="714"/>
      <c r="AM2212" s="114" t="str">
        <f t="shared" si="1613"/>
        <v/>
      </c>
      <c r="AN2212" s="115"/>
      <c r="AO2212" s="116"/>
      <c r="AP2212" s="116"/>
      <c r="AQ2212" s="116"/>
      <c r="AR2212" s="116"/>
      <c r="AS2212" s="116"/>
      <c r="AT2212" s="116"/>
      <c r="AU2212" s="116"/>
      <c r="AV2212" s="78"/>
      <c r="AW2212" s="102"/>
      <c r="AX2212" s="78"/>
      <c r="AY2212" s="78"/>
      <c r="AZ2212" s="78"/>
      <c r="BA2212" s="78"/>
      <c r="BB2212" s="78"/>
      <c r="BC2212" s="78"/>
      <c r="BD2212" s="78"/>
      <c r="BE2212" s="465"/>
      <c r="BF2212" s="165" t="str">
        <f t="shared" si="1614"/>
        <v>https://www.google.com/search?tbm=isch&amp;q=3%20G1</v>
      </c>
      <c r="BG2212" s="165" t="str">
        <f t="shared" si="1615"/>
        <v>I</v>
      </c>
      <c r="BH2212" s="65"/>
      <c r="BI2212" s="65"/>
      <c r="BJ2212" s="65"/>
      <c r="BK2212" s="65"/>
      <c r="BL2212" s="99"/>
      <c r="BM2212" s="99"/>
      <c r="BN2212" s="99"/>
    </row>
    <row r="2213" spans="1:66" s="51" customFormat="1" ht="15.75" x14ac:dyDescent="0.25">
      <c r="A2213" s="478">
        <v>3</v>
      </c>
      <c r="B2213" s="479" t="s">
        <v>291</v>
      </c>
      <c r="C2213" s="480" t="s">
        <v>2969</v>
      </c>
      <c r="D2213" s="481" t="s">
        <v>293</v>
      </c>
      <c r="E2213" s="482">
        <v>29.95</v>
      </c>
      <c r="F2213" s="483" t="s">
        <v>292</v>
      </c>
      <c r="G2213" s="484">
        <v>0</v>
      </c>
      <c r="H2213" s="688" t="str">
        <f t="shared" si="1631"/>
        <v/>
      </c>
      <c r="I2213" s="485">
        <f t="shared" si="1632"/>
        <v>0</v>
      </c>
      <c r="J2213" s="485">
        <f t="shared" si="1633"/>
        <v>0</v>
      </c>
      <c r="K2213" s="715">
        <f t="shared" ref="K2213" si="1636">I2213+J2213</f>
        <v>0</v>
      </c>
      <c r="L2213" s="715"/>
      <c r="M2213" s="689" t="str">
        <f t="shared" ca="1" si="1635"/>
        <v/>
      </c>
      <c r="N2213" s="690"/>
      <c r="O2213" s="486"/>
      <c r="P2213" s="486"/>
      <c r="Q2213" s="486"/>
      <c r="R2213" s="486"/>
      <c r="S2213" s="486"/>
      <c r="T2213" s="102">
        <f t="shared" si="1603"/>
        <v>0</v>
      </c>
      <c r="U2213" s="78">
        <f>IF(NOT(ISNUMBER(G2213)), "", VLOOKUP(A2213,'Discount Lookup'!D:E,2,FALSE)*G2213)</f>
        <v>0</v>
      </c>
      <c r="V2213" s="78">
        <f>IF(NOT(ISNUMBER(G2213)), "", VLOOKUP(A2213,'Discount Lookup'!G:H,2,FALSE)*G2213)</f>
        <v>0</v>
      </c>
      <c r="W2213" s="102">
        <f t="shared" si="1604"/>
        <v>0</v>
      </c>
      <c r="X2213" s="102">
        <f t="shared" si="1605"/>
        <v>0</v>
      </c>
      <c r="Y2213" s="120" t="b">
        <f t="shared" si="1606"/>
        <v>0</v>
      </c>
      <c r="Z2213" s="117">
        <f t="shared" si="1607"/>
        <v>0</v>
      </c>
      <c r="AA2213" s="118"/>
      <c r="AB2213" s="118" t="str">
        <f t="shared" si="1608"/>
        <v/>
      </c>
      <c r="AC2213" s="712" t="str">
        <f>IF(AE2213="T2G","no charge",IF(AND(OR(PlanterYesMe="No",PlanterYesMe="N",PlanterYesMe="me"),H2213=""),"",IF(H2213="credit","NO install",IF(AND(K2213="",AE2213="me"),"EACH row",IF(AND(K2213="images",AE2213="me"),"EACH row",IF(D2213="","",IF(H2213="credit","",IF(AE2213="free","re-planting",IF(AE2213="me","   not ELP, by",IF(AND(OR(PlanterYesMe="Yes",PlanterYesMe="Y"),G2213&gt;0),(VLOOKUP(A2213,'Discount Lookup'!J:K,2)*G2213*(1-PlanterDiscount)*(1+PlanterDifficultyPercentage)),IF(AE2213="ELP",(VLOOKUP(A2213,'Discount Lookup'!J:K,2)*G2213*(1-PlanterDiscount)*(1+PlanterDifficultyPercentage)),IF(AE2213="free","re-planting",IF(G2213=0,"",IF(PlanterYesMe="",IF(AE2213="me","   not ELP, by",IF(AE2213="",IF(G2213&gt;0,(VLOOKUP(A2213,'Discount Lookup'!J:K,2)*G2213*(1-PlanterDiscount)*(1+PlanterDifficultyPercentage)),""),"")),"   not ELP, by"))))))))))))))</f>
        <v/>
      </c>
      <c r="AD2213" s="712"/>
      <c r="AE2213" s="513" t="str">
        <f t="shared" si="1609"/>
        <v/>
      </c>
      <c r="AF2213" s="713" t="str">
        <f t="shared" si="1610"/>
        <v/>
      </c>
      <c r="AG2213" s="713"/>
      <c r="AH2213" s="713"/>
      <c r="AI2213" s="112">
        <f>IF(H2213="credit",0,IF(AE2213="free",0,IF(AE2213="me",0,IF(G2213&gt;0,(VLOOKUP(A2213,'Discount Lookup'!J:K,2)*G2213),0))))</f>
        <v>0</v>
      </c>
      <c r="AJ2213" s="107" t="str">
        <f t="shared" ca="1" si="1611"/>
        <v/>
      </c>
      <c r="AK2213" s="714" t="str">
        <f t="shared" si="1612"/>
        <v/>
      </c>
      <c r="AL2213" s="714"/>
      <c r="AM2213" s="114" t="str">
        <f t="shared" si="1613"/>
        <v/>
      </c>
      <c r="AN2213" s="115"/>
      <c r="AO2213" s="116"/>
      <c r="AP2213" s="116"/>
      <c r="AQ2213" s="116"/>
      <c r="AR2213" s="116"/>
      <c r="AS2213" s="116"/>
      <c r="AT2213" s="116"/>
      <c r="AU2213" s="116"/>
      <c r="AV2213" s="78"/>
      <c r="AW2213" s="102"/>
      <c r="AX2213" s="78"/>
      <c r="AY2213" s="78"/>
      <c r="AZ2213" s="78"/>
      <c r="BA2213" s="78"/>
      <c r="BB2213" s="78"/>
      <c r="BC2213" s="78"/>
      <c r="BD2213" s="78"/>
      <c r="BE2213" s="465"/>
      <c r="BF2213" s="165" t="str">
        <f t="shared" si="1614"/>
        <v>https://www.google.com/search?tbm=isch&amp;q=3%20G6</v>
      </c>
      <c r="BG2213" s="165" t="str">
        <f t="shared" si="1615"/>
        <v>I</v>
      </c>
      <c r="BH2213" s="65"/>
      <c r="BI2213" s="65"/>
      <c r="BJ2213" s="65"/>
      <c r="BK2213" s="65"/>
      <c r="BL2213" s="99"/>
      <c r="BM2213" s="99"/>
      <c r="BN2213" s="99"/>
    </row>
    <row r="2214" spans="1:66" s="51" customFormat="1" ht="15.75" x14ac:dyDescent="0.25">
      <c r="A2214" s="478">
        <v>5</v>
      </c>
      <c r="B2214" s="479" t="s">
        <v>291</v>
      </c>
      <c r="C2214" s="480" t="s">
        <v>18</v>
      </c>
      <c r="D2214" s="481" t="s">
        <v>310</v>
      </c>
      <c r="E2214" s="482">
        <v>41.95</v>
      </c>
      <c r="F2214" s="483" t="s">
        <v>292</v>
      </c>
      <c r="G2214" s="484">
        <v>0</v>
      </c>
      <c r="H2214" s="688" t="str">
        <f t="shared" si="1631"/>
        <v/>
      </c>
      <c r="I2214" s="485">
        <f t="shared" si="1632"/>
        <v>0</v>
      </c>
      <c r="J2214" s="485">
        <f t="shared" si="1633"/>
        <v>0</v>
      </c>
      <c r="K2214" s="715">
        <f t="shared" ref="K2214" si="1637">I2214+J2214</f>
        <v>0</v>
      </c>
      <c r="L2214" s="715"/>
      <c r="M2214" s="689" t="str">
        <f t="shared" ca="1" si="1635"/>
        <v/>
      </c>
      <c r="N2214" s="690"/>
      <c r="O2214" s="486"/>
      <c r="P2214" s="486"/>
      <c r="Q2214" s="486"/>
      <c r="R2214" s="486"/>
      <c r="S2214" s="486"/>
      <c r="T2214" s="102">
        <f t="shared" si="1603"/>
        <v>0</v>
      </c>
      <c r="U2214" s="78">
        <f>IF(NOT(ISNUMBER(G2214)), "", VLOOKUP(A2214,'Discount Lookup'!D:E,2,FALSE)*G2214)</f>
        <v>0</v>
      </c>
      <c r="V2214" s="78">
        <f>IF(NOT(ISNUMBER(G2214)), "", VLOOKUP(A2214,'Discount Lookup'!G:H,2,FALSE)*G2214)</f>
        <v>0</v>
      </c>
      <c r="W2214" s="102">
        <f t="shared" si="1604"/>
        <v>0</v>
      </c>
      <c r="X2214" s="102">
        <f t="shared" si="1605"/>
        <v>0</v>
      </c>
      <c r="Y2214" s="120" t="b">
        <f t="shared" si="1606"/>
        <v>0</v>
      </c>
      <c r="Z2214" s="117">
        <f t="shared" si="1607"/>
        <v>0</v>
      </c>
      <c r="AA2214" s="118"/>
      <c r="AB2214" s="118" t="str">
        <f t="shared" si="1608"/>
        <v/>
      </c>
      <c r="AC2214" s="712" t="str">
        <f>IF(AE2214="T2G","no charge",IF(AND(OR(PlanterYesMe="No",PlanterYesMe="N",PlanterYesMe="me"),H2214=""),"",IF(H2214="credit","NO install",IF(AND(K2214="",AE2214="me"),"EACH row",IF(AND(K2214="images",AE2214="me"),"EACH row",IF(D2214="","",IF(H2214="credit","",IF(AE2214="free","re-planting",IF(AE2214="me","   not ELP, by",IF(AND(OR(PlanterYesMe="Yes",PlanterYesMe="Y"),G2214&gt;0),(VLOOKUP(A2214,'Discount Lookup'!J:K,2)*G2214*(1-PlanterDiscount)*(1+PlanterDifficultyPercentage)),IF(AE2214="ELP",(VLOOKUP(A2214,'Discount Lookup'!J:K,2)*G2214*(1-PlanterDiscount)*(1+PlanterDifficultyPercentage)),IF(AE2214="free","re-planting",IF(G2214=0,"",IF(PlanterYesMe="",IF(AE2214="me","   not ELP, by",IF(AE2214="",IF(G2214&gt;0,(VLOOKUP(A2214,'Discount Lookup'!J:K,2)*G2214*(1-PlanterDiscount)*(1+PlanterDifficultyPercentage)),""),"")),"   not ELP, by"))))))))))))))</f>
        <v/>
      </c>
      <c r="AD2214" s="712"/>
      <c r="AE2214" s="513" t="str">
        <f t="shared" si="1609"/>
        <v/>
      </c>
      <c r="AF2214" s="713" t="str">
        <f t="shared" si="1610"/>
        <v/>
      </c>
      <c r="AG2214" s="713"/>
      <c r="AH2214" s="713"/>
      <c r="AI2214" s="112">
        <f>IF(H2214="credit",0,IF(AE2214="free",0,IF(AE2214="me",0,IF(G2214&gt;0,(VLOOKUP(A2214,'Discount Lookup'!J:K,2)*G2214),0))))</f>
        <v>0</v>
      </c>
      <c r="AJ2214" s="107" t="str">
        <f t="shared" ca="1" si="1611"/>
        <v/>
      </c>
      <c r="AK2214" s="714" t="str">
        <f t="shared" si="1612"/>
        <v/>
      </c>
      <c r="AL2214" s="714"/>
      <c r="AM2214" s="114" t="str">
        <f t="shared" si="1613"/>
        <v/>
      </c>
      <c r="AN2214" s="115"/>
      <c r="AO2214" s="116"/>
      <c r="AP2214" s="116"/>
      <c r="AQ2214" s="116"/>
      <c r="AR2214" s="116"/>
      <c r="AS2214" s="116"/>
      <c r="AT2214" s="116"/>
      <c r="AU2214" s="116"/>
      <c r="AV2214" s="78"/>
      <c r="AW2214" s="102"/>
      <c r="AX2214" s="78"/>
      <c r="AY2214" s="78"/>
      <c r="AZ2214" s="78"/>
      <c r="BA2214" s="78"/>
      <c r="BB2214" s="78"/>
      <c r="BC2214" s="78"/>
      <c r="BD2214" s="78"/>
      <c r="BE2214" s="465"/>
      <c r="BF2214" s="165" t="str">
        <f t="shared" si="1614"/>
        <v>https://www.google.com/search?tbm=isch&amp;q=5%20G1</v>
      </c>
      <c r="BG2214" s="165" t="str">
        <f t="shared" si="1615"/>
        <v>I</v>
      </c>
      <c r="BH2214" s="65"/>
      <c r="BI2214" s="65"/>
      <c r="BJ2214" s="65"/>
      <c r="BK2214" s="65"/>
      <c r="BL2214" s="99"/>
      <c r="BM2214" s="99"/>
      <c r="BN2214" s="99"/>
    </row>
    <row r="2215" spans="1:66" s="51" customFormat="1" ht="15.75" x14ac:dyDescent="0.25">
      <c r="A2215" s="478">
        <v>7</v>
      </c>
      <c r="B2215" s="479" t="s">
        <v>291</v>
      </c>
      <c r="C2215" s="480" t="s">
        <v>18</v>
      </c>
      <c r="D2215" s="481" t="s">
        <v>310</v>
      </c>
      <c r="E2215" s="482">
        <v>56.95</v>
      </c>
      <c r="F2215" s="483" t="s">
        <v>292</v>
      </c>
      <c r="G2215" s="484">
        <v>0</v>
      </c>
      <c r="H2215" s="688" t="str">
        <f t="shared" si="1631"/>
        <v/>
      </c>
      <c r="I2215" s="485">
        <f t="shared" si="1632"/>
        <v>0</v>
      </c>
      <c r="J2215" s="485">
        <f t="shared" si="1633"/>
        <v>0</v>
      </c>
      <c r="K2215" s="715">
        <f t="shared" ref="K2215" si="1638">I2215+J2215</f>
        <v>0</v>
      </c>
      <c r="L2215" s="715"/>
      <c r="M2215" s="689" t="str">
        <f t="shared" ca="1" si="1635"/>
        <v/>
      </c>
      <c r="N2215" s="690"/>
      <c r="O2215" s="486"/>
      <c r="P2215" s="486"/>
      <c r="Q2215" s="486"/>
      <c r="R2215" s="486"/>
      <c r="S2215" s="486"/>
      <c r="T2215" s="102">
        <f t="shared" si="1603"/>
        <v>0</v>
      </c>
      <c r="U2215" s="78">
        <f>IF(NOT(ISNUMBER(G2215)), "", VLOOKUP(A2215,'Discount Lookup'!D:E,2,FALSE)*G2215)</f>
        <v>0</v>
      </c>
      <c r="V2215" s="78">
        <f>IF(NOT(ISNUMBER(G2215)), "", VLOOKUP(A2215,'Discount Lookup'!G:H,2,FALSE)*G2215)</f>
        <v>0</v>
      </c>
      <c r="W2215" s="102">
        <f t="shared" si="1604"/>
        <v>0</v>
      </c>
      <c r="X2215" s="102">
        <f t="shared" si="1605"/>
        <v>0</v>
      </c>
      <c r="Y2215" s="120" t="b">
        <f t="shared" si="1606"/>
        <v>0</v>
      </c>
      <c r="Z2215" s="117">
        <f t="shared" si="1607"/>
        <v>0</v>
      </c>
      <c r="AA2215" s="118"/>
      <c r="AB2215" s="118" t="str">
        <f t="shared" si="1608"/>
        <v/>
      </c>
      <c r="AC2215" s="712" t="str">
        <f>IF(AE2215="T2G","no charge",IF(AND(OR(PlanterYesMe="No",PlanterYesMe="N",PlanterYesMe="me"),H2215=""),"",IF(H2215="credit","NO install",IF(AND(K2215="",AE2215="me"),"EACH row",IF(AND(K2215="images",AE2215="me"),"EACH row",IF(D2215="","",IF(H2215="credit","",IF(AE2215="free","re-planting",IF(AE2215="me","   not ELP, by",IF(AND(OR(PlanterYesMe="Yes",PlanterYesMe="Y"),G2215&gt;0),(VLOOKUP(A2215,'Discount Lookup'!J:K,2)*G2215*(1-PlanterDiscount)*(1+PlanterDifficultyPercentage)),IF(AE2215="ELP",(VLOOKUP(A2215,'Discount Lookup'!J:K,2)*G2215*(1-PlanterDiscount)*(1+PlanterDifficultyPercentage)),IF(AE2215="free","re-planting",IF(G2215=0,"",IF(PlanterYesMe="",IF(AE2215="me","   not ELP, by",IF(AE2215="",IF(G2215&gt;0,(VLOOKUP(A2215,'Discount Lookup'!J:K,2)*G2215*(1-PlanterDiscount)*(1+PlanterDifficultyPercentage)),""),"")),"   not ELP, by"))))))))))))))</f>
        <v/>
      </c>
      <c r="AD2215" s="712"/>
      <c r="AE2215" s="513" t="str">
        <f t="shared" si="1609"/>
        <v/>
      </c>
      <c r="AF2215" s="713" t="str">
        <f t="shared" si="1610"/>
        <v/>
      </c>
      <c r="AG2215" s="713"/>
      <c r="AH2215" s="713"/>
      <c r="AI2215" s="112">
        <f>IF(H2215="credit",0,IF(AE2215="free",0,IF(AE2215="me",0,IF(G2215&gt;0,(VLOOKUP(A2215,'Discount Lookup'!J:K,2)*G2215),0))))</f>
        <v>0</v>
      </c>
      <c r="AJ2215" s="107" t="str">
        <f t="shared" ca="1" si="1611"/>
        <v/>
      </c>
      <c r="AK2215" s="714" t="str">
        <f t="shared" si="1612"/>
        <v/>
      </c>
      <c r="AL2215" s="714"/>
      <c r="AM2215" s="114" t="str">
        <f t="shared" si="1613"/>
        <v/>
      </c>
      <c r="AN2215" s="115"/>
      <c r="AO2215" s="116"/>
      <c r="AP2215" s="116"/>
      <c r="AQ2215" s="116"/>
      <c r="AR2215" s="116"/>
      <c r="AS2215" s="116"/>
      <c r="AT2215" s="116"/>
      <c r="AU2215" s="116"/>
      <c r="AV2215" s="78"/>
      <c r="AW2215" s="102"/>
      <c r="AX2215" s="78"/>
      <c r="AY2215" s="78"/>
      <c r="AZ2215" s="78"/>
      <c r="BA2215" s="78"/>
      <c r="BB2215" s="78"/>
      <c r="BC2215" s="78"/>
      <c r="BD2215" s="78"/>
      <c r="BE2215" s="465"/>
      <c r="BF2215" s="165" t="str">
        <f t="shared" si="1614"/>
        <v>https://www.google.com/search?tbm=isch&amp;q=7%20G1</v>
      </c>
      <c r="BG2215" s="165" t="str">
        <f t="shared" si="1615"/>
        <v>I</v>
      </c>
      <c r="BH2215" s="65"/>
      <c r="BI2215" s="65"/>
      <c r="BJ2215" s="65"/>
      <c r="BK2215" s="65"/>
      <c r="BL2215" s="99"/>
      <c r="BM2215" s="99"/>
      <c r="BN2215" s="99"/>
    </row>
    <row r="2216" spans="1:66" s="51" customFormat="1" ht="15.75" x14ac:dyDescent="0.25">
      <c r="A2216" s="478">
        <v>7</v>
      </c>
      <c r="B2216" s="479" t="s">
        <v>291</v>
      </c>
      <c r="C2216" s="480" t="s">
        <v>4986</v>
      </c>
      <c r="D2216" s="481" t="s">
        <v>309</v>
      </c>
      <c r="E2216" s="482">
        <v>56.95</v>
      </c>
      <c r="F2216" s="483" t="s">
        <v>292</v>
      </c>
      <c r="G2216" s="484">
        <v>0</v>
      </c>
      <c r="H2216" s="688" t="str">
        <f t="shared" si="1631"/>
        <v/>
      </c>
      <c r="I2216" s="485">
        <f t="shared" si="1632"/>
        <v>0</v>
      </c>
      <c r="J2216" s="485">
        <f t="shared" si="1633"/>
        <v>0</v>
      </c>
      <c r="K2216" s="715">
        <f t="shared" ref="K2216" si="1639">I2216+J2216</f>
        <v>0</v>
      </c>
      <c r="L2216" s="715"/>
      <c r="M2216" s="689" t="str">
        <f t="shared" ca="1" si="1635"/>
        <v/>
      </c>
      <c r="N2216" s="690"/>
      <c r="O2216" s="486"/>
      <c r="P2216" s="486"/>
      <c r="Q2216" s="486"/>
      <c r="R2216" s="486"/>
      <c r="S2216" s="486"/>
      <c r="T2216" s="102">
        <f t="shared" si="1603"/>
        <v>0</v>
      </c>
      <c r="U2216" s="78">
        <f>IF(NOT(ISNUMBER(G2216)), "", VLOOKUP(A2216,'Discount Lookup'!D:E,2,FALSE)*G2216)</f>
        <v>0</v>
      </c>
      <c r="V2216" s="78">
        <f>IF(NOT(ISNUMBER(G2216)), "", VLOOKUP(A2216,'Discount Lookup'!G:H,2,FALSE)*G2216)</f>
        <v>0</v>
      </c>
      <c r="W2216" s="102">
        <f t="shared" si="1604"/>
        <v>0</v>
      </c>
      <c r="X2216" s="102">
        <f t="shared" si="1605"/>
        <v>0</v>
      </c>
      <c r="Y2216" s="120" t="b">
        <f t="shared" si="1606"/>
        <v>0</v>
      </c>
      <c r="Z2216" s="117">
        <f t="shared" si="1607"/>
        <v>0</v>
      </c>
      <c r="AA2216" s="118"/>
      <c r="AB2216" s="118" t="str">
        <f t="shared" si="1608"/>
        <v/>
      </c>
      <c r="AC2216" s="712" t="str">
        <f>IF(AE2216="T2G","no charge",IF(AND(OR(PlanterYesMe="No",PlanterYesMe="N",PlanterYesMe="me"),H2216=""),"",IF(H2216="credit","NO install",IF(AND(K2216="",AE2216="me"),"EACH row",IF(AND(K2216="images",AE2216="me"),"EACH row",IF(D2216="","",IF(H2216="credit","",IF(AE2216="free","re-planting",IF(AE2216="me","   not ELP, by",IF(AND(OR(PlanterYesMe="Yes",PlanterYesMe="Y"),G2216&gt;0),(VLOOKUP(A2216,'Discount Lookup'!J:K,2)*G2216*(1-PlanterDiscount)*(1+PlanterDifficultyPercentage)),IF(AE2216="ELP",(VLOOKUP(A2216,'Discount Lookup'!J:K,2)*G2216*(1-PlanterDiscount)*(1+PlanterDifficultyPercentage)),IF(AE2216="free","re-planting",IF(G2216=0,"",IF(PlanterYesMe="",IF(AE2216="me","   not ELP, by",IF(AE2216="",IF(G2216&gt;0,(VLOOKUP(A2216,'Discount Lookup'!J:K,2)*G2216*(1-PlanterDiscount)*(1+PlanterDifficultyPercentage)),""),"")),"   not ELP, by"))))))))))))))</f>
        <v/>
      </c>
      <c r="AD2216" s="712"/>
      <c r="AE2216" s="513" t="str">
        <f t="shared" si="1609"/>
        <v/>
      </c>
      <c r="AF2216" s="713" t="str">
        <f t="shared" si="1610"/>
        <v/>
      </c>
      <c r="AG2216" s="713"/>
      <c r="AH2216" s="713"/>
      <c r="AI2216" s="112">
        <f>IF(H2216="credit",0,IF(AE2216="free",0,IF(AE2216="me",0,IF(G2216&gt;0,(VLOOKUP(A2216,'Discount Lookup'!J:K,2)*G2216),0))))</f>
        <v>0</v>
      </c>
      <c r="AJ2216" s="107" t="str">
        <f t="shared" ca="1" si="1611"/>
        <v/>
      </c>
      <c r="AK2216" s="714" t="str">
        <f t="shared" si="1612"/>
        <v/>
      </c>
      <c r="AL2216" s="714"/>
      <c r="AM2216" s="114" t="str">
        <f t="shared" si="1613"/>
        <v/>
      </c>
      <c r="AN2216" s="115"/>
      <c r="AO2216" s="116"/>
      <c r="AP2216" s="116"/>
      <c r="AQ2216" s="116"/>
      <c r="AR2216" s="116"/>
      <c r="AS2216" s="116"/>
      <c r="AT2216" s="116"/>
      <c r="AU2216" s="116"/>
      <c r="AV2216" s="78"/>
      <c r="AW2216" s="102"/>
      <c r="AX2216" s="78"/>
      <c r="AY2216" s="78"/>
      <c r="AZ2216" s="78"/>
      <c r="BA2216" s="78"/>
      <c r="BB2216" s="78"/>
      <c r="BC2216" s="78"/>
      <c r="BD2216" s="78"/>
      <c r="BE2216" s="465"/>
      <c r="BF2216" s="165" t="str">
        <f t="shared" si="1614"/>
        <v>https://www.google.com/search?tbm=isch&amp;q=7%20G3</v>
      </c>
      <c r="BG2216" s="165" t="str">
        <f t="shared" si="1615"/>
        <v>I</v>
      </c>
      <c r="BH2216" s="65"/>
      <c r="BI2216" s="65"/>
      <c r="BJ2216" s="65"/>
      <c r="BK2216" s="65"/>
      <c r="BL2216" s="99"/>
      <c r="BM2216" s="99"/>
      <c r="BN2216" s="99"/>
    </row>
    <row r="2217" spans="1:66" s="51" customFormat="1" ht="15.75" x14ac:dyDescent="0.25">
      <c r="A2217" s="478">
        <v>7</v>
      </c>
      <c r="B2217" s="479" t="s">
        <v>291</v>
      </c>
      <c r="C2217" s="480" t="s">
        <v>2970</v>
      </c>
      <c r="D2217" s="481" t="s">
        <v>311</v>
      </c>
      <c r="E2217" s="482">
        <v>68.95</v>
      </c>
      <c r="F2217" s="483" t="s">
        <v>292</v>
      </c>
      <c r="G2217" s="484">
        <v>0</v>
      </c>
      <c r="H2217" s="688" t="str">
        <f t="shared" si="1631"/>
        <v/>
      </c>
      <c r="I2217" s="485">
        <f t="shared" si="1632"/>
        <v>0</v>
      </c>
      <c r="J2217" s="485">
        <f t="shared" si="1633"/>
        <v>0</v>
      </c>
      <c r="K2217" s="715">
        <f t="shared" ref="K2217" si="1640">I2217+J2217</f>
        <v>0</v>
      </c>
      <c r="L2217" s="715"/>
      <c r="M2217" s="689" t="str">
        <f t="shared" ca="1" si="1635"/>
        <v/>
      </c>
      <c r="N2217" s="690"/>
      <c r="O2217" s="486"/>
      <c r="P2217" s="486"/>
      <c r="Q2217" s="486"/>
      <c r="R2217" s="486"/>
      <c r="S2217" s="486"/>
      <c r="T2217" s="102">
        <f t="shared" si="1603"/>
        <v>0</v>
      </c>
      <c r="U2217" s="78">
        <f>IF(NOT(ISNUMBER(G2217)), "", VLOOKUP(A2217,'Discount Lookup'!D:E,2,FALSE)*G2217)</f>
        <v>0</v>
      </c>
      <c r="V2217" s="78">
        <f>IF(NOT(ISNUMBER(G2217)), "", VLOOKUP(A2217,'Discount Lookup'!G:H,2,FALSE)*G2217)</f>
        <v>0</v>
      </c>
      <c r="W2217" s="102">
        <f t="shared" si="1604"/>
        <v>0</v>
      </c>
      <c r="X2217" s="102">
        <f t="shared" si="1605"/>
        <v>0</v>
      </c>
      <c r="Y2217" s="120" t="b">
        <f t="shared" si="1606"/>
        <v>0</v>
      </c>
      <c r="Z2217" s="117">
        <f t="shared" si="1607"/>
        <v>0</v>
      </c>
      <c r="AA2217" s="118"/>
      <c r="AB2217" s="118" t="str">
        <f t="shared" si="1608"/>
        <v/>
      </c>
      <c r="AC2217" s="712" t="str">
        <f>IF(AE2217="T2G","no charge",IF(AND(OR(PlanterYesMe="No",PlanterYesMe="N",PlanterYesMe="me"),H2217=""),"",IF(H2217="credit","NO install",IF(AND(K2217="",AE2217="me"),"EACH row",IF(AND(K2217="images",AE2217="me"),"EACH row",IF(D2217="","",IF(H2217="credit","",IF(AE2217="free","re-planting",IF(AE2217="me","   not ELP, by",IF(AND(OR(PlanterYesMe="Yes",PlanterYesMe="Y"),G2217&gt;0),(VLOOKUP(A2217,'Discount Lookup'!J:K,2)*G2217*(1-PlanterDiscount)*(1+PlanterDifficultyPercentage)),IF(AE2217="ELP",(VLOOKUP(A2217,'Discount Lookup'!J:K,2)*G2217*(1-PlanterDiscount)*(1+PlanterDifficultyPercentage)),IF(AE2217="free","re-planting",IF(G2217=0,"",IF(PlanterYesMe="",IF(AE2217="me","   not ELP, by",IF(AE2217="",IF(G2217&gt;0,(VLOOKUP(A2217,'Discount Lookup'!J:K,2)*G2217*(1-PlanterDiscount)*(1+PlanterDifficultyPercentage)),""),"")),"   not ELP, by"))))))))))))))</f>
        <v/>
      </c>
      <c r="AD2217" s="712"/>
      <c r="AE2217" s="513" t="str">
        <f t="shared" si="1609"/>
        <v/>
      </c>
      <c r="AF2217" s="713" t="str">
        <f t="shared" si="1610"/>
        <v/>
      </c>
      <c r="AG2217" s="713"/>
      <c r="AH2217" s="713"/>
      <c r="AI2217" s="112">
        <f>IF(H2217="credit",0,IF(AE2217="free",0,IF(AE2217="me",0,IF(G2217&gt;0,(VLOOKUP(A2217,'Discount Lookup'!J:K,2)*G2217),0))))</f>
        <v>0</v>
      </c>
      <c r="AJ2217" s="107" t="str">
        <f t="shared" ca="1" si="1611"/>
        <v/>
      </c>
      <c r="AK2217" s="714" t="str">
        <f t="shared" si="1612"/>
        <v/>
      </c>
      <c r="AL2217" s="714"/>
      <c r="AM2217" s="114" t="str">
        <f t="shared" si="1613"/>
        <v/>
      </c>
      <c r="AN2217" s="115"/>
      <c r="AO2217" s="116"/>
      <c r="AP2217" s="116"/>
      <c r="AQ2217" s="116"/>
      <c r="AR2217" s="116"/>
      <c r="AS2217" s="116"/>
      <c r="AT2217" s="116"/>
      <c r="AU2217" s="116"/>
      <c r="AV2217" s="78"/>
      <c r="AW2217" s="102"/>
      <c r="AX2217" s="78"/>
      <c r="AY2217" s="78"/>
      <c r="AZ2217" s="78"/>
      <c r="BA2217" s="78"/>
      <c r="BB2217" s="78"/>
      <c r="BC2217" s="78"/>
      <c r="BD2217" s="78"/>
      <c r="BE2217" s="465"/>
      <c r="BF2217" s="165" t="str">
        <f t="shared" si="1614"/>
        <v>https://www.google.com/search?tbm=isch&amp;q=7%20G5</v>
      </c>
      <c r="BG2217" s="165" t="str">
        <f t="shared" si="1615"/>
        <v>I</v>
      </c>
      <c r="BH2217" s="65"/>
      <c r="BI2217" s="65"/>
      <c r="BJ2217" s="65"/>
      <c r="BK2217" s="65"/>
      <c r="BL2217" s="99"/>
      <c r="BM2217" s="99"/>
      <c r="BN2217" s="99"/>
    </row>
    <row r="2218" spans="1:66" s="51" customFormat="1" ht="15.75" x14ac:dyDescent="0.25">
      <c r="A2218" s="478">
        <v>7</v>
      </c>
      <c r="B2218" s="479" t="s">
        <v>291</v>
      </c>
      <c r="C2218" s="480" t="s">
        <v>5177</v>
      </c>
      <c r="D2218" s="481" t="s">
        <v>299</v>
      </c>
      <c r="E2218" s="482">
        <v>77.95</v>
      </c>
      <c r="F2218" s="483" t="s">
        <v>292</v>
      </c>
      <c r="G2218" s="484">
        <v>0</v>
      </c>
      <c r="H2218" s="688" t="str">
        <f t="shared" si="1631"/>
        <v/>
      </c>
      <c r="I2218" s="485">
        <f t="shared" si="1632"/>
        <v>0</v>
      </c>
      <c r="J2218" s="485">
        <f t="shared" si="1633"/>
        <v>0</v>
      </c>
      <c r="K2218" s="715">
        <f t="shared" ref="K2218" si="1641">I2218+J2218</f>
        <v>0</v>
      </c>
      <c r="L2218" s="715"/>
      <c r="M2218" s="689" t="str">
        <f t="shared" ca="1" si="1635"/>
        <v/>
      </c>
      <c r="N2218" s="690"/>
      <c r="O2218" s="486"/>
      <c r="P2218" s="486"/>
      <c r="Q2218" s="486"/>
      <c r="R2218" s="486"/>
      <c r="S2218" s="486"/>
      <c r="T2218" s="102">
        <f t="shared" si="1603"/>
        <v>0</v>
      </c>
      <c r="U2218" s="78">
        <f>IF(NOT(ISNUMBER(G2218)), "", VLOOKUP(A2218,'Discount Lookup'!D:E,2,FALSE)*G2218)</f>
        <v>0</v>
      </c>
      <c r="V2218" s="78">
        <f>IF(NOT(ISNUMBER(G2218)), "", VLOOKUP(A2218,'Discount Lookup'!G:H,2,FALSE)*G2218)</f>
        <v>0</v>
      </c>
      <c r="W2218" s="102">
        <f t="shared" si="1604"/>
        <v>0</v>
      </c>
      <c r="X2218" s="102">
        <f t="shared" si="1605"/>
        <v>0</v>
      </c>
      <c r="Y2218" s="120" t="b">
        <f t="shared" si="1606"/>
        <v>0</v>
      </c>
      <c r="Z2218" s="117">
        <f t="shared" si="1607"/>
        <v>0</v>
      </c>
      <c r="AA2218" s="118"/>
      <c r="AB2218" s="118" t="str">
        <f t="shared" si="1608"/>
        <v/>
      </c>
      <c r="AC2218" s="712" t="str">
        <f>IF(AE2218="T2G","no charge",IF(AND(OR(PlanterYesMe="No",PlanterYesMe="N",PlanterYesMe="me"),H2218=""),"",IF(H2218="credit","NO install",IF(AND(K2218="",AE2218="me"),"EACH row",IF(AND(K2218="images",AE2218="me"),"EACH row",IF(D2218="","",IF(H2218="credit","",IF(AE2218="free","re-planting",IF(AE2218="me","   not ELP, by",IF(AND(OR(PlanterYesMe="Yes",PlanterYesMe="Y"),G2218&gt;0),(VLOOKUP(A2218,'Discount Lookup'!J:K,2)*G2218*(1-PlanterDiscount)*(1+PlanterDifficultyPercentage)),IF(AE2218="ELP",(VLOOKUP(A2218,'Discount Lookup'!J:K,2)*G2218*(1-PlanterDiscount)*(1+PlanterDifficultyPercentage)),IF(AE2218="free","re-planting",IF(G2218=0,"",IF(PlanterYesMe="",IF(AE2218="me","   not ELP, by",IF(AE2218="",IF(G2218&gt;0,(VLOOKUP(A2218,'Discount Lookup'!J:K,2)*G2218*(1-PlanterDiscount)*(1+PlanterDifficultyPercentage)),""),"")),"   not ELP, by"))))))))))))))</f>
        <v/>
      </c>
      <c r="AD2218" s="712"/>
      <c r="AE2218" s="513" t="str">
        <f t="shared" si="1609"/>
        <v/>
      </c>
      <c r="AF2218" s="713" t="str">
        <f t="shared" si="1610"/>
        <v/>
      </c>
      <c r="AG2218" s="713"/>
      <c r="AH2218" s="713"/>
      <c r="AI2218" s="112">
        <f>IF(H2218="credit",0,IF(AE2218="free",0,IF(AE2218="me",0,IF(G2218&gt;0,(VLOOKUP(A2218,'Discount Lookup'!J:K,2)*G2218),0))))</f>
        <v>0</v>
      </c>
      <c r="AJ2218" s="107" t="str">
        <f t="shared" ca="1" si="1611"/>
        <v/>
      </c>
      <c r="AK2218" s="714" t="str">
        <f t="shared" si="1612"/>
        <v/>
      </c>
      <c r="AL2218" s="714"/>
      <c r="AM2218" s="114" t="str">
        <f t="shared" si="1613"/>
        <v/>
      </c>
      <c r="AN2218" s="115"/>
      <c r="AO2218" s="116"/>
      <c r="AP2218" s="116"/>
      <c r="AQ2218" s="116"/>
      <c r="AR2218" s="116"/>
      <c r="AS2218" s="116"/>
      <c r="AT2218" s="116"/>
      <c r="AU2218" s="116"/>
      <c r="AV2218" s="78"/>
      <c r="AW2218" s="102"/>
      <c r="AX2218" s="78"/>
      <c r="AY2218" s="78"/>
      <c r="AZ2218" s="78"/>
      <c r="BA2218" s="78"/>
      <c r="BB2218" s="78"/>
      <c r="BC2218" s="78"/>
      <c r="BD2218" s="78"/>
      <c r="BE2218" s="465"/>
      <c r="BF2218" s="165" t="str">
        <f t="shared" si="1614"/>
        <v>https://www.google.com/search?tbm=isch&amp;q=7%20G4</v>
      </c>
      <c r="BG2218" s="165" t="str">
        <f t="shared" si="1615"/>
        <v>I</v>
      </c>
      <c r="BH2218" s="65"/>
      <c r="BI2218" s="65"/>
      <c r="BJ2218" s="65"/>
      <c r="BK2218" s="65"/>
      <c r="BL2218" s="99"/>
      <c r="BM2218" s="99"/>
      <c r="BN2218" s="99"/>
    </row>
    <row r="2219" spans="1:66" s="51" customFormat="1" ht="15.75" x14ac:dyDescent="0.25">
      <c r="A2219" s="478">
        <v>10</v>
      </c>
      <c r="B2219" s="479" t="s">
        <v>291</v>
      </c>
      <c r="C2219" s="480" t="s">
        <v>4987</v>
      </c>
      <c r="D2219" s="481" t="s">
        <v>309</v>
      </c>
      <c r="E2219" s="482">
        <v>83.95</v>
      </c>
      <c r="F2219" s="483" t="s">
        <v>292</v>
      </c>
      <c r="G2219" s="484">
        <v>0</v>
      </c>
      <c r="H2219" s="688" t="str">
        <f t="shared" si="1631"/>
        <v/>
      </c>
      <c r="I2219" s="485">
        <f t="shared" si="1632"/>
        <v>0</v>
      </c>
      <c r="J2219" s="485">
        <f t="shared" si="1633"/>
        <v>0</v>
      </c>
      <c r="K2219" s="715">
        <f t="shared" ref="K2219" si="1642">I2219+J2219</f>
        <v>0</v>
      </c>
      <c r="L2219" s="715"/>
      <c r="M2219" s="689" t="str">
        <f t="shared" ca="1" si="1635"/>
        <v/>
      </c>
      <c r="N2219" s="690"/>
      <c r="O2219" s="486"/>
      <c r="P2219" s="486"/>
      <c r="Q2219" s="486"/>
      <c r="R2219" s="486"/>
      <c r="S2219" s="486"/>
      <c r="T2219" s="102">
        <f t="shared" si="1603"/>
        <v>0</v>
      </c>
      <c r="U2219" s="78">
        <f>IF(NOT(ISNUMBER(G2219)), "", VLOOKUP(A2219,'Discount Lookup'!D:E,2,FALSE)*G2219)</f>
        <v>0</v>
      </c>
      <c r="V2219" s="78">
        <f>IF(NOT(ISNUMBER(G2219)), "", VLOOKUP(A2219,'Discount Lookup'!G:H,2,FALSE)*G2219)</f>
        <v>0</v>
      </c>
      <c r="W2219" s="102">
        <f t="shared" si="1604"/>
        <v>0</v>
      </c>
      <c r="X2219" s="102">
        <f t="shared" si="1605"/>
        <v>0</v>
      </c>
      <c r="Y2219" s="120" t="b">
        <f t="shared" si="1606"/>
        <v>0</v>
      </c>
      <c r="Z2219" s="117">
        <f t="shared" si="1607"/>
        <v>0</v>
      </c>
      <c r="AA2219" s="118"/>
      <c r="AB2219" s="118" t="str">
        <f t="shared" si="1608"/>
        <v/>
      </c>
      <c r="AC2219" s="712" t="str">
        <f>IF(AE2219="T2G","no charge",IF(AND(OR(PlanterYesMe="No",PlanterYesMe="N",PlanterYesMe="me"),H2219=""),"",IF(H2219="credit","NO install",IF(AND(K2219="",AE2219="me"),"EACH row",IF(AND(K2219="images",AE2219="me"),"EACH row",IF(D2219="","",IF(H2219="credit","",IF(AE2219="free","re-planting",IF(AE2219="me","   not ELP, by",IF(AND(OR(PlanterYesMe="Yes",PlanterYesMe="Y"),G2219&gt;0),(VLOOKUP(A2219,'Discount Lookup'!J:K,2)*G2219*(1-PlanterDiscount)*(1+PlanterDifficultyPercentage)),IF(AE2219="ELP",(VLOOKUP(A2219,'Discount Lookup'!J:K,2)*G2219*(1-PlanterDiscount)*(1+PlanterDifficultyPercentage)),IF(AE2219="free","re-planting",IF(G2219=0,"",IF(PlanterYesMe="",IF(AE2219="me","   not ELP, by",IF(AE2219="",IF(G2219&gt;0,(VLOOKUP(A2219,'Discount Lookup'!J:K,2)*G2219*(1-PlanterDiscount)*(1+PlanterDifficultyPercentage)),""),"")),"   not ELP, by"))))))))))))))</f>
        <v/>
      </c>
      <c r="AD2219" s="712"/>
      <c r="AE2219" s="513" t="str">
        <f t="shared" si="1609"/>
        <v/>
      </c>
      <c r="AF2219" s="713" t="str">
        <f t="shared" si="1610"/>
        <v/>
      </c>
      <c r="AG2219" s="713"/>
      <c r="AH2219" s="713"/>
      <c r="AI2219" s="112">
        <f>IF(H2219="credit",0,IF(AE2219="free",0,IF(AE2219="me",0,IF(G2219&gt;0,(VLOOKUP(A2219,'Discount Lookup'!J:K,2)*G2219),0))))</f>
        <v>0</v>
      </c>
      <c r="AJ2219" s="107" t="str">
        <f t="shared" ca="1" si="1611"/>
        <v/>
      </c>
      <c r="AK2219" s="714" t="str">
        <f t="shared" si="1612"/>
        <v/>
      </c>
      <c r="AL2219" s="714"/>
      <c r="AM2219" s="114" t="str">
        <f t="shared" si="1613"/>
        <v/>
      </c>
      <c r="AN2219" s="115"/>
      <c r="AO2219" s="116"/>
      <c r="AP2219" s="116"/>
      <c r="AQ2219" s="116"/>
      <c r="AR2219" s="116"/>
      <c r="AS2219" s="116"/>
      <c r="AT2219" s="116"/>
      <c r="AU2219" s="116"/>
      <c r="AV2219" s="78"/>
      <c r="AW2219" s="102"/>
      <c r="AX2219" s="78"/>
      <c r="AY2219" s="78"/>
      <c r="AZ2219" s="78"/>
      <c r="BA2219" s="78"/>
      <c r="BB2219" s="78"/>
      <c r="BC2219" s="78"/>
      <c r="BD2219" s="78"/>
      <c r="BE2219" s="465"/>
      <c r="BF2219" s="165" t="str">
        <f t="shared" si="1614"/>
        <v>https://www.google.com/search?tbm=isch&amp;q=10%20G3</v>
      </c>
      <c r="BG2219" s="165" t="str">
        <f t="shared" si="1615"/>
        <v>I</v>
      </c>
      <c r="BH2219" s="65"/>
      <c r="BI2219" s="65"/>
      <c r="BJ2219" s="65"/>
      <c r="BK2219" s="65"/>
      <c r="BL2219" s="99"/>
      <c r="BM2219" s="99"/>
      <c r="BN2219" s="99"/>
    </row>
    <row r="2220" spans="1:66" s="51" customFormat="1" ht="15.75" x14ac:dyDescent="0.25">
      <c r="A2220" s="478">
        <v>15</v>
      </c>
      <c r="B2220" s="479" t="s">
        <v>291</v>
      </c>
      <c r="C2220" s="480" t="s">
        <v>2482</v>
      </c>
      <c r="D2220" s="481" t="s">
        <v>293</v>
      </c>
      <c r="E2220" s="482">
        <v>104.95</v>
      </c>
      <c r="F2220" s="483" t="s">
        <v>292</v>
      </c>
      <c r="G2220" s="484">
        <v>0</v>
      </c>
      <c r="H2220" s="688" t="str">
        <f t="shared" si="1631"/>
        <v/>
      </c>
      <c r="I2220" s="485">
        <f t="shared" si="1632"/>
        <v>0</v>
      </c>
      <c r="J2220" s="485">
        <f t="shared" si="1633"/>
        <v>0</v>
      </c>
      <c r="K2220" s="715">
        <f t="shared" ref="K2220" si="1643">I2220+J2220</f>
        <v>0</v>
      </c>
      <c r="L2220" s="715"/>
      <c r="M2220" s="689" t="str">
        <f t="shared" ca="1" si="1635"/>
        <v/>
      </c>
      <c r="N2220" s="690"/>
      <c r="O2220" s="486"/>
      <c r="P2220" s="486"/>
      <c r="Q2220" s="486"/>
      <c r="R2220" s="486"/>
      <c r="S2220" s="486"/>
      <c r="T2220" s="102">
        <f t="shared" si="1603"/>
        <v>0</v>
      </c>
      <c r="U2220" s="78">
        <f>IF(NOT(ISNUMBER(G2220)), "", VLOOKUP(A2220,'Discount Lookup'!D:E,2,FALSE)*G2220)</f>
        <v>0</v>
      </c>
      <c r="V2220" s="78">
        <f>IF(NOT(ISNUMBER(G2220)), "", VLOOKUP(A2220,'Discount Lookup'!G:H,2,FALSE)*G2220)</f>
        <v>0</v>
      </c>
      <c r="W2220" s="102">
        <f t="shared" si="1604"/>
        <v>0</v>
      </c>
      <c r="X2220" s="102">
        <f t="shared" si="1605"/>
        <v>0</v>
      </c>
      <c r="Y2220" s="120" t="b">
        <f t="shared" si="1606"/>
        <v>0</v>
      </c>
      <c r="Z2220" s="117">
        <f t="shared" si="1607"/>
        <v>0</v>
      </c>
      <c r="AA2220" s="118"/>
      <c r="AB2220" s="118" t="str">
        <f t="shared" si="1608"/>
        <v/>
      </c>
      <c r="AC2220" s="712" t="str">
        <f>IF(AE2220="T2G","no charge",IF(AND(OR(PlanterYesMe="No",PlanterYesMe="N",PlanterYesMe="me"),H2220=""),"",IF(H2220="credit","NO install",IF(AND(K2220="",AE2220="me"),"EACH row",IF(AND(K2220="images",AE2220="me"),"EACH row",IF(D2220="","",IF(H2220="credit","",IF(AE2220="free","re-planting",IF(AE2220="me","   not ELP, by",IF(AND(OR(PlanterYesMe="Yes",PlanterYesMe="Y"),G2220&gt;0),(VLOOKUP(A2220,'Discount Lookup'!J:K,2)*G2220*(1-PlanterDiscount)*(1+PlanterDifficultyPercentage)),IF(AE2220="ELP",(VLOOKUP(A2220,'Discount Lookup'!J:K,2)*G2220*(1-PlanterDiscount)*(1+PlanterDifficultyPercentage)),IF(AE2220="free","re-planting",IF(G2220=0,"",IF(PlanterYesMe="",IF(AE2220="me","   not ELP, by",IF(AE2220="",IF(G2220&gt;0,(VLOOKUP(A2220,'Discount Lookup'!J:K,2)*G2220*(1-PlanterDiscount)*(1+PlanterDifficultyPercentage)),""),"")),"   not ELP, by"))))))))))))))</f>
        <v/>
      </c>
      <c r="AD2220" s="712"/>
      <c r="AE2220" s="513" t="str">
        <f t="shared" si="1609"/>
        <v/>
      </c>
      <c r="AF2220" s="713" t="str">
        <f t="shared" si="1610"/>
        <v/>
      </c>
      <c r="AG2220" s="713"/>
      <c r="AH2220" s="713"/>
      <c r="AI2220" s="112">
        <f>IF(H2220="credit",0,IF(AE2220="free",0,IF(AE2220="me",0,IF(G2220&gt;0,(VLOOKUP(A2220,'Discount Lookup'!J:K,2)*G2220),0))))</f>
        <v>0</v>
      </c>
      <c r="AJ2220" s="107" t="str">
        <f t="shared" ca="1" si="1611"/>
        <v/>
      </c>
      <c r="AK2220" s="714" t="str">
        <f t="shared" si="1612"/>
        <v/>
      </c>
      <c r="AL2220" s="714"/>
      <c r="AM2220" s="114" t="str">
        <f t="shared" si="1613"/>
        <v/>
      </c>
      <c r="AN2220" s="115"/>
      <c r="AO2220" s="116"/>
      <c r="AP2220" s="116"/>
      <c r="AQ2220" s="116"/>
      <c r="AR2220" s="116"/>
      <c r="AS2220" s="116"/>
      <c r="AT2220" s="116"/>
      <c r="AU2220" s="116"/>
      <c r="AV2220" s="78"/>
      <c r="AW2220" s="102"/>
      <c r="AX2220" s="78"/>
      <c r="AY2220" s="78"/>
      <c r="AZ2220" s="78"/>
      <c r="BA2220" s="78"/>
      <c r="BB2220" s="78"/>
      <c r="BC2220" s="78"/>
      <c r="BD2220" s="78"/>
      <c r="BE2220" s="465"/>
      <c r="BF2220" s="165" t="str">
        <f t="shared" si="1614"/>
        <v>https://www.google.com/search?tbm=isch&amp;q=15%20G6</v>
      </c>
      <c r="BG2220" s="165" t="str">
        <f t="shared" si="1615"/>
        <v>I</v>
      </c>
      <c r="BH2220" s="65"/>
      <c r="BI2220" s="65"/>
      <c r="BJ2220" s="65"/>
      <c r="BK2220" s="65"/>
      <c r="BL2220" s="99"/>
      <c r="BM2220" s="99"/>
      <c r="BN2220" s="99"/>
    </row>
    <row r="2221" spans="1:66" s="51" customFormat="1" ht="27" x14ac:dyDescent="0.25">
      <c r="A2221" s="478">
        <v>15</v>
      </c>
      <c r="B2221" s="479" t="s">
        <v>291</v>
      </c>
      <c r="C2221" s="480" t="s">
        <v>2971</v>
      </c>
      <c r="D2221" s="481" t="s">
        <v>311</v>
      </c>
      <c r="E2221" s="482">
        <v>160.94999999999999</v>
      </c>
      <c r="F2221" s="483" t="s">
        <v>292</v>
      </c>
      <c r="G2221" s="484">
        <v>0</v>
      </c>
      <c r="H2221" s="688" t="str">
        <f t="shared" si="1631"/>
        <v/>
      </c>
      <c r="I2221" s="485">
        <f t="shared" si="1632"/>
        <v>0</v>
      </c>
      <c r="J2221" s="485">
        <f t="shared" si="1633"/>
        <v>0</v>
      </c>
      <c r="K2221" s="715">
        <f t="shared" ref="K2221" si="1644">I2221+J2221</f>
        <v>0</v>
      </c>
      <c r="L2221" s="715"/>
      <c r="M2221" s="689" t="str">
        <f t="shared" ca="1" si="1635"/>
        <v/>
      </c>
      <c r="N2221" s="690"/>
      <c r="O2221" s="486"/>
      <c r="P2221" s="486"/>
      <c r="Q2221" s="486"/>
      <c r="R2221" s="486"/>
      <c r="S2221" s="486"/>
      <c r="T2221" s="102">
        <f t="shared" si="1603"/>
        <v>0</v>
      </c>
      <c r="U2221" s="78">
        <f>IF(NOT(ISNUMBER(G2221)), "", VLOOKUP(A2221,'Discount Lookup'!D:E,2,FALSE)*G2221)</f>
        <v>0</v>
      </c>
      <c r="V2221" s="78">
        <f>IF(NOT(ISNUMBER(G2221)), "", VLOOKUP(A2221,'Discount Lookup'!G:H,2,FALSE)*G2221)</f>
        <v>0</v>
      </c>
      <c r="W2221" s="102">
        <f t="shared" si="1604"/>
        <v>0</v>
      </c>
      <c r="X2221" s="102">
        <f t="shared" si="1605"/>
        <v>0</v>
      </c>
      <c r="Y2221" s="120" t="b">
        <f t="shared" si="1606"/>
        <v>0</v>
      </c>
      <c r="Z2221" s="117">
        <f t="shared" si="1607"/>
        <v>0</v>
      </c>
      <c r="AA2221" s="118"/>
      <c r="AB2221" s="118" t="str">
        <f t="shared" si="1608"/>
        <v/>
      </c>
      <c r="AC2221" s="712" t="str">
        <f>IF(AE2221="T2G","no charge",IF(AND(OR(PlanterYesMe="No",PlanterYesMe="N",PlanterYesMe="me"),H2221=""),"",IF(H2221="credit","NO install",IF(AND(K2221="",AE2221="me"),"EACH row",IF(AND(K2221="images",AE2221="me"),"EACH row",IF(D2221="","",IF(H2221="credit","",IF(AE2221="free","re-planting",IF(AE2221="me","   not ELP, by",IF(AND(OR(PlanterYesMe="Yes",PlanterYesMe="Y"),G2221&gt;0),(VLOOKUP(A2221,'Discount Lookup'!J:K,2)*G2221*(1-PlanterDiscount)*(1+PlanterDifficultyPercentage)),IF(AE2221="ELP",(VLOOKUP(A2221,'Discount Lookup'!J:K,2)*G2221*(1-PlanterDiscount)*(1+PlanterDifficultyPercentage)),IF(AE2221="free","re-planting",IF(G2221=0,"",IF(PlanterYesMe="",IF(AE2221="me","   not ELP, by",IF(AE2221="",IF(G2221&gt;0,(VLOOKUP(A2221,'Discount Lookup'!J:K,2)*G2221*(1-PlanterDiscount)*(1+PlanterDifficultyPercentage)),""),"")),"   not ELP, by"))))))))))))))</f>
        <v/>
      </c>
      <c r="AD2221" s="712"/>
      <c r="AE2221" s="513" t="str">
        <f t="shared" si="1609"/>
        <v/>
      </c>
      <c r="AF2221" s="713" t="str">
        <f t="shared" si="1610"/>
        <v/>
      </c>
      <c r="AG2221" s="713"/>
      <c r="AH2221" s="713"/>
      <c r="AI2221" s="112">
        <f>IF(H2221="credit",0,IF(AE2221="free",0,IF(AE2221="me",0,IF(G2221&gt;0,(VLOOKUP(A2221,'Discount Lookup'!J:K,2)*G2221),0))))</f>
        <v>0</v>
      </c>
      <c r="AJ2221" s="107" t="str">
        <f t="shared" ca="1" si="1611"/>
        <v/>
      </c>
      <c r="AK2221" s="714" t="str">
        <f t="shared" si="1612"/>
        <v/>
      </c>
      <c r="AL2221" s="714"/>
      <c r="AM2221" s="114" t="str">
        <f t="shared" si="1613"/>
        <v/>
      </c>
      <c r="AN2221" s="115"/>
      <c r="AO2221" s="116"/>
      <c r="AP2221" s="116"/>
      <c r="AQ2221" s="116"/>
      <c r="AR2221" s="116"/>
      <c r="AS2221" s="116"/>
      <c r="AT2221" s="116"/>
      <c r="AU2221" s="116"/>
      <c r="AV2221" s="78"/>
      <c r="AW2221" s="102"/>
      <c r="AX2221" s="78"/>
      <c r="AY2221" s="78"/>
      <c r="AZ2221" s="78"/>
      <c r="BA2221" s="78"/>
      <c r="BB2221" s="78"/>
      <c r="BC2221" s="78"/>
      <c r="BD2221" s="78"/>
      <c r="BE2221" s="465"/>
      <c r="BF2221" s="165" t="str">
        <f t="shared" si="1614"/>
        <v>https://www.google.com/search?tbm=isch&amp;q=15%20G5</v>
      </c>
      <c r="BG2221" s="165" t="str">
        <f t="shared" si="1615"/>
        <v>I</v>
      </c>
      <c r="BH2221" s="65"/>
      <c r="BI2221" s="65"/>
      <c r="BJ2221" s="65"/>
      <c r="BK2221" s="65"/>
      <c r="BL2221" s="99"/>
      <c r="BM2221" s="99"/>
      <c r="BN2221" s="99"/>
    </row>
    <row r="2222" spans="1:66" s="51" customFormat="1" ht="15.75" x14ac:dyDescent="0.25">
      <c r="A2222" s="478">
        <v>25</v>
      </c>
      <c r="B2222" s="479" t="s">
        <v>291</v>
      </c>
      <c r="C2222" s="480" t="s">
        <v>2972</v>
      </c>
      <c r="D2222" s="481" t="s">
        <v>293</v>
      </c>
      <c r="E2222" s="482">
        <v>420.95</v>
      </c>
      <c r="F2222" s="483" t="s">
        <v>292</v>
      </c>
      <c r="G2222" s="484">
        <v>0</v>
      </c>
      <c r="H2222" s="688" t="str">
        <f t="shared" si="1631"/>
        <v/>
      </c>
      <c r="I2222" s="485">
        <f t="shared" si="1632"/>
        <v>0</v>
      </c>
      <c r="J2222" s="485">
        <f t="shared" si="1633"/>
        <v>0</v>
      </c>
      <c r="K2222" s="715">
        <f t="shared" ref="K2222" si="1645">I2222+J2222</f>
        <v>0</v>
      </c>
      <c r="L2222" s="715"/>
      <c r="M2222" s="689" t="str">
        <f t="shared" ca="1" si="1635"/>
        <v/>
      </c>
      <c r="N2222" s="690"/>
      <c r="O2222" s="486"/>
      <c r="P2222" s="486"/>
      <c r="Q2222" s="486"/>
      <c r="R2222" s="486"/>
      <c r="S2222" s="486"/>
      <c r="T2222" s="102">
        <f t="shared" si="1603"/>
        <v>0</v>
      </c>
      <c r="U2222" s="78">
        <f>IF(NOT(ISNUMBER(G2222)), "", VLOOKUP(A2222,'Discount Lookup'!D:E,2,FALSE)*G2222)</f>
        <v>0</v>
      </c>
      <c r="V2222" s="78">
        <f>IF(NOT(ISNUMBER(G2222)), "", VLOOKUP(A2222,'Discount Lookup'!G:H,2,FALSE)*G2222)</f>
        <v>0</v>
      </c>
      <c r="W2222" s="102">
        <f t="shared" si="1604"/>
        <v>0</v>
      </c>
      <c r="X2222" s="102">
        <f t="shared" si="1605"/>
        <v>0</v>
      </c>
      <c r="Y2222" s="120" t="b">
        <f t="shared" si="1606"/>
        <v>0</v>
      </c>
      <c r="Z2222" s="117">
        <f t="shared" si="1607"/>
        <v>0</v>
      </c>
      <c r="AA2222" s="118"/>
      <c r="AB2222" s="118" t="str">
        <f t="shared" si="1608"/>
        <v/>
      </c>
      <c r="AC2222" s="712" t="str">
        <f>IF(AE2222="T2G","no charge",IF(AND(OR(PlanterYesMe="No",PlanterYesMe="N",PlanterYesMe="me"),H2222=""),"",IF(H2222="credit","NO install",IF(AND(K2222="",AE2222="me"),"EACH row",IF(AND(K2222="images",AE2222="me"),"EACH row",IF(D2222="","",IF(H2222="credit","",IF(AE2222="free","re-planting",IF(AE2222="me","   not ELP, by",IF(AND(OR(PlanterYesMe="Yes",PlanterYesMe="Y"),G2222&gt;0),(VLOOKUP(A2222,'Discount Lookup'!J:K,2)*G2222*(1-PlanterDiscount)*(1+PlanterDifficultyPercentage)),IF(AE2222="ELP",(VLOOKUP(A2222,'Discount Lookup'!J:K,2)*G2222*(1-PlanterDiscount)*(1+PlanterDifficultyPercentage)),IF(AE2222="free","re-planting",IF(G2222=0,"",IF(PlanterYesMe="",IF(AE2222="me","   not ELP, by",IF(AE2222="",IF(G2222&gt;0,(VLOOKUP(A2222,'Discount Lookup'!J:K,2)*G2222*(1-PlanterDiscount)*(1+PlanterDifficultyPercentage)),""),"")),"   not ELP, by"))))))))))))))</f>
        <v/>
      </c>
      <c r="AD2222" s="712"/>
      <c r="AE2222" s="513" t="str">
        <f t="shared" si="1609"/>
        <v/>
      </c>
      <c r="AF2222" s="713" t="str">
        <f t="shared" si="1610"/>
        <v/>
      </c>
      <c r="AG2222" s="713"/>
      <c r="AH2222" s="713"/>
      <c r="AI2222" s="112">
        <f>IF(H2222="credit",0,IF(AE2222="free",0,IF(AE2222="me",0,IF(G2222&gt;0,(VLOOKUP(A2222,'Discount Lookup'!J:K,2)*G2222),0))))</f>
        <v>0</v>
      </c>
      <c r="AJ2222" s="107" t="str">
        <f t="shared" ca="1" si="1611"/>
        <v/>
      </c>
      <c r="AK2222" s="714" t="str">
        <f t="shared" si="1612"/>
        <v/>
      </c>
      <c r="AL2222" s="714"/>
      <c r="AM2222" s="114" t="str">
        <f t="shared" si="1613"/>
        <v/>
      </c>
      <c r="AN2222" s="115"/>
      <c r="AO2222" s="116"/>
      <c r="AP2222" s="116"/>
      <c r="AQ2222" s="116"/>
      <c r="AR2222" s="116"/>
      <c r="AS2222" s="116"/>
      <c r="AT2222" s="116"/>
      <c r="AU2222" s="116"/>
      <c r="AV2222" s="78"/>
      <c r="AW2222" s="102"/>
      <c r="AX2222" s="78"/>
      <c r="AY2222" s="78"/>
      <c r="AZ2222" s="78"/>
      <c r="BA2222" s="78"/>
      <c r="BB2222" s="78"/>
      <c r="BC2222" s="78"/>
      <c r="BD2222" s="78"/>
      <c r="BE2222" s="465"/>
      <c r="BF2222" s="165" t="str">
        <f t="shared" si="1614"/>
        <v>https://www.google.com/search?tbm=isch&amp;q=25%20G6</v>
      </c>
      <c r="BG2222" s="165" t="str">
        <f t="shared" si="1615"/>
        <v>I</v>
      </c>
      <c r="BH2222" s="65"/>
      <c r="BI2222" s="65"/>
      <c r="BJ2222" s="65"/>
      <c r="BK2222" s="65"/>
      <c r="BL2222" s="99"/>
      <c r="BM2222" s="99"/>
      <c r="BN2222" s="99"/>
    </row>
    <row r="2223" spans="1:66" s="51" customFormat="1" ht="16.5" thickBot="1" x14ac:dyDescent="0.3">
      <c r="A2223" s="508" t="s">
        <v>2973</v>
      </c>
      <c r="B2223" s="487"/>
      <c r="C2223" s="707"/>
      <c r="D2223" s="487"/>
      <c r="E2223" s="487"/>
      <c r="F2223" s="488"/>
      <c r="G2223" s="489"/>
      <c r="H2223" s="487"/>
      <c r="I2223" s="490"/>
      <c r="J2223" s="490"/>
      <c r="K2223" s="491"/>
      <c r="L2223" s="547"/>
      <c r="M2223" s="528"/>
      <c r="N2223" s="492"/>
      <c r="O2223" s="493"/>
      <c r="P2223" s="494"/>
      <c r="Q2223" s="492"/>
      <c r="R2223" s="492"/>
      <c r="S2223" s="699" t="s">
        <v>5259</v>
      </c>
      <c r="T2223" s="102">
        <f t="shared" si="1603"/>
        <v>0</v>
      </c>
      <c r="U2223" s="78" t="str">
        <f>IF(NOT(ISNUMBER(G2223)), "", VLOOKUP(A2223,'Discount Lookup'!D:E,2,FALSE)*G2223)</f>
        <v/>
      </c>
      <c r="V2223" s="78" t="str">
        <f>IF(NOT(ISNUMBER(G2223)), "", VLOOKUP(A2223,'Discount Lookup'!G:H,2,FALSE)*G2223)</f>
        <v/>
      </c>
      <c r="W2223" s="102">
        <f t="shared" si="1604"/>
        <v>0</v>
      </c>
      <c r="X2223" s="102">
        <f t="shared" si="1605"/>
        <v>0</v>
      </c>
      <c r="Y2223" s="120" t="b">
        <f t="shared" si="1606"/>
        <v>0</v>
      </c>
      <c r="Z2223" s="117">
        <f t="shared" si="1607"/>
        <v>0</v>
      </c>
      <c r="AA2223" s="118"/>
      <c r="AB2223" s="118" t="str">
        <f t="shared" si="1608"/>
        <v/>
      </c>
      <c r="AC2223" s="712" t="str">
        <f>IF(AE2223="T2G","no charge",IF(AND(OR(PlanterYesMe="No",PlanterYesMe="N",PlanterYesMe="me"),H2223=""),"",IF(H2223="credit","NO install",IF(AND(K2223="",AE2223="me"),"EACH row",IF(AND(K2223="images",AE2223="me"),"EACH row",IF(D2223="","",IF(H2223="credit","",IF(AE2223="free","re-planting",IF(AE2223="me","   not ELP, by",IF(AND(OR(PlanterYesMe="Yes",PlanterYesMe="Y"),G2223&gt;0),(VLOOKUP(A2223,'Discount Lookup'!J:K,2)*G2223*(1-PlanterDiscount)*(1+PlanterDifficultyPercentage)),IF(AE2223="ELP",(VLOOKUP(A2223,'Discount Lookup'!J:K,2)*G2223*(1-PlanterDiscount)*(1+PlanterDifficultyPercentage)),IF(AE2223="free","re-planting",IF(G2223=0,"",IF(PlanterYesMe="",IF(AE2223="me","   not ELP, by",IF(AE2223="",IF(G2223&gt;0,(VLOOKUP(A2223,'Discount Lookup'!J:K,2)*G2223*(1-PlanterDiscount)*(1+PlanterDifficultyPercentage)),""),"")),"   not ELP, by"))))))))))))))</f>
        <v/>
      </c>
      <c r="AD2223" s="712"/>
      <c r="AE2223" s="513" t="str">
        <f t="shared" si="1609"/>
        <v/>
      </c>
      <c r="AF2223" s="713" t="str">
        <f t="shared" si="1610"/>
        <v/>
      </c>
      <c r="AG2223" s="713"/>
      <c r="AH2223" s="713"/>
      <c r="AI2223" s="112">
        <f>IF(H2223="credit",0,IF(AE2223="free",0,IF(AE2223="me",0,IF(G2223&gt;0,(VLOOKUP(A2223,'Discount Lookup'!J:K,2)*G2223),0))))</f>
        <v>0</v>
      </c>
      <c r="AJ2223" s="107" t="str">
        <f t="shared" ca="1" si="1611"/>
        <v/>
      </c>
      <c r="AK2223" s="714" t="str">
        <f t="shared" si="1612"/>
        <v/>
      </c>
      <c r="AL2223" s="714"/>
      <c r="AM2223" s="114" t="str">
        <f t="shared" si="1613"/>
        <v/>
      </c>
      <c r="AN2223" s="115"/>
      <c r="AO2223" s="116"/>
      <c r="AP2223" s="116"/>
      <c r="AQ2223" s="116"/>
      <c r="AR2223" s="116"/>
      <c r="AS2223" s="116"/>
      <c r="AT2223" s="116"/>
      <c r="AU2223" s="116"/>
      <c r="AV2223" s="78"/>
      <c r="AW2223" s="102"/>
      <c r="AX2223" s="78"/>
      <c r="AY2223" s="78"/>
      <c r="AZ2223" s="78"/>
      <c r="BA2223" s="78"/>
      <c r="BB2223" s="78"/>
      <c r="BC2223" s="78"/>
      <c r="BD2223" s="78"/>
      <c r="BE2223" s="465"/>
      <c r="BF2223" s="165" t="str">
        <f t="shared" si="1614"/>
        <v>https://www.google.com/search?tbm=isch&amp;q=Steeds%20is%20a%20dense%2C%20lustrous%2C%20upright%20pyramidal%20shrub%20that%20shears%20well.%20Tiny%20flowers%20produce%20showy%20black%20winter%20berries%20</v>
      </c>
      <c r="BG2223" s="165" t="str">
        <f t="shared" si="1615"/>
        <v>S</v>
      </c>
      <c r="BH2223" s="65"/>
      <c r="BI2223" s="65"/>
      <c r="BJ2223" s="65"/>
      <c r="BK2223" s="65"/>
      <c r="BL2223" s="99"/>
      <c r="BM2223" s="99"/>
      <c r="BN2223" s="99"/>
    </row>
    <row r="2224" spans="1:66" s="51" customFormat="1" ht="18" x14ac:dyDescent="0.25">
      <c r="A2224" s="507" t="s">
        <v>2974</v>
      </c>
      <c r="B2224" s="470"/>
      <c r="C2224" s="706"/>
      <c r="D2224" s="471" t="s">
        <v>5708</v>
      </c>
      <c r="E2224" s="472"/>
      <c r="F2224" s="472"/>
      <c r="G2224" s="472"/>
      <c r="H2224" s="622" t="s">
        <v>331</v>
      </c>
      <c r="I2224" s="473" t="s">
        <v>565</v>
      </c>
      <c r="J2224" s="472"/>
      <c r="K2224" s="472"/>
      <c r="L2224" s="561"/>
      <c r="M2224" s="698" t="s">
        <v>5246</v>
      </c>
      <c r="N2224" s="692" t="str">
        <f>IF(AND(ISTEXT($A2224), ISERROR($A2224+0)), HYPERLINK($BF2224, "Images"), "")</f>
        <v>Images</v>
      </c>
      <c r="O2224" s="694" t="s">
        <v>5244</v>
      </c>
      <c r="P2224" s="475"/>
      <c r="Q2224" s="476"/>
      <c r="R2224" s="476"/>
      <c r="S2224" s="477"/>
      <c r="T2224" s="102">
        <f t="shared" si="1603"/>
        <v>0</v>
      </c>
      <c r="U2224" s="78" t="str">
        <f>IF(NOT(ISNUMBER(G2224)), "", VLOOKUP(A2224,'Discount Lookup'!D:E,2,FALSE)*G2224)</f>
        <v/>
      </c>
      <c r="V2224" s="78" t="str">
        <f>IF(NOT(ISNUMBER(G2224)), "", VLOOKUP(A2224,'Discount Lookup'!G:H,2,FALSE)*G2224)</f>
        <v/>
      </c>
      <c r="W2224" s="102">
        <f t="shared" si="1604"/>
        <v>0</v>
      </c>
      <c r="X2224" s="102" t="str">
        <f t="shared" si="1605"/>
        <v>Blue-Green foliage</v>
      </c>
      <c r="Y2224" s="120" t="b">
        <f t="shared" si="1606"/>
        <v>0</v>
      </c>
      <c r="Z2224" s="117">
        <f t="shared" si="1607"/>
        <v>0</v>
      </c>
      <c r="AA2224" s="118"/>
      <c r="AB2224" s="118" t="str">
        <f t="shared" si="1608"/>
        <v/>
      </c>
      <c r="AC2224" s="712" t="str">
        <f>IF(AE2224="T2G","no charge",IF(AND(OR(PlanterYesMe="No",PlanterYesMe="N",PlanterYesMe="me"),H2224=""),"",IF(H2224="credit","NO install",IF(AND(K2224="",AE2224="me"),"EACH row",IF(AND(K2224="images",AE2224="me"),"EACH row",IF(D2224="","",IF(H2224="credit","",IF(AE2224="free","re-planting",IF(AE2224="me","   not ELP, by",IF(AND(OR(PlanterYesMe="Yes",PlanterYesMe="Y"),G2224&gt;0),(VLOOKUP(A2224,'Discount Lookup'!J:K,2)*G2224*(1-PlanterDiscount)*(1+PlanterDifficultyPercentage)),IF(AE2224="ELP",(VLOOKUP(A2224,'Discount Lookup'!J:K,2)*G2224*(1-PlanterDiscount)*(1+PlanterDifficultyPercentage)),IF(AE2224="free","re-planting",IF(G2224=0,"",IF(PlanterYesMe="",IF(AE2224="me","   not ELP, by",IF(AE2224="",IF(G2224&gt;0,(VLOOKUP(A2224,'Discount Lookup'!J:K,2)*G2224*(1-PlanterDiscount)*(1+PlanterDifficultyPercentage)),""),"")),"   not ELP, by"))))))))))))))</f>
        <v/>
      </c>
      <c r="AD2224" s="712"/>
      <c r="AE2224" s="513" t="str">
        <f t="shared" si="1609"/>
        <v/>
      </c>
      <c r="AF2224" s="713" t="str">
        <f t="shared" si="1610"/>
        <v/>
      </c>
      <c r="AG2224" s="713"/>
      <c r="AH2224" s="713"/>
      <c r="AI2224" s="112">
        <f>IF(H2224="credit",0,IF(AE2224="free",0,IF(AE2224="me",0,IF(G2224&gt;0,(VLOOKUP(A2224,'Discount Lookup'!J:K,2)*G2224),0))))</f>
        <v>0</v>
      </c>
      <c r="AJ2224" s="107" t="str">
        <f t="shared" ca="1" si="1611"/>
        <v/>
      </c>
      <c r="AK2224" s="714" t="str">
        <f t="shared" si="1612"/>
        <v/>
      </c>
      <c r="AL2224" s="714"/>
      <c r="AM2224" s="114" t="str">
        <f t="shared" si="1613"/>
        <v/>
      </c>
      <c r="AN2224" s="115"/>
      <c r="AO2224" s="116"/>
      <c r="AP2224" s="116"/>
      <c r="AQ2224" s="116"/>
      <c r="AR2224" s="116"/>
      <c r="AS2224" s="116"/>
      <c r="AT2224" s="116"/>
      <c r="AU2224" s="116"/>
      <c r="AV2224" s="78"/>
      <c r="AW2224" s="102"/>
      <c r="AX2224" s="78"/>
      <c r="AY2224" s="78"/>
      <c r="AZ2224" s="78"/>
      <c r="BA2224" s="78"/>
      <c r="BB2224" s="78"/>
      <c r="BC2224" s="78"/>
      <c r="BD2224" s="78"/>
      <c r="BE2224" s="465"/>
      <c r="BF2224" s="165" t="str">
        <f t="shared" si="1614"/>
        <v>https://www.google.com/search?tbm=isch&amp;q=Ilex%20%27EN5%27%20PPAF%20My%20Lady%E2%84%A2%20Holly</v>
      </c>
      <c r="BG2224" s="165" t="str">
        <f t="shared" si="1615"/>
        <v>I</v>
      </c>
      <c r="BH2224" s="65"/>
      <c r="BI2224" s="65"/>
      <c r="BJ2224" s="65"/>
      <c r="BK2224" s="65"/>
      <c r="BL2224" s="99"/>
      <c r="BM2224" s="99"/>
      <c r="BN2224" s="99"/>
    </row>
    <row r="2225" spans="1:66" s="51" customFormat="1" ht="27" x14ac:dyDescent="0.25">
      <c r="A2225" s="478">
        <v>15</v>
      </c>
      <c r="B2225" s="479" t="s">
        <v>291</v>
      </c>
      <c r="C2225" s="480" t="s">
        <v>2975</v>
      </c>
      <c r="D2225" s="481" t="s">
        <v>299</v>
      </c>
      <c r="E2225" s="482">
        <v>270.95</v>
      </c>
      <c r="F2225" s="483" t="s">
        <v>292</v>
      </c>
      <c r="G2225" s="484">
        <v>0</v>
      </c>
      <c r="H2225" s="688" t="str">
        <f>IF(G2225=0,"",IF(F2225="Buy",IF(G2225=1,"plant","plants"),IF(F2225&gt;0.01,"warranty","Error")))</f>
        <v/>
      </c>
      <c r="I2225" s="485">
        <f>IF(H2225="free",0,IF(H2225="credit",((E2225*(F2225))*G2225*-1),IF(F2225="Buy",(E2225*G2225),((E2225*(1-F2225))*G2225))))</f>
        <v>0</v>
      </c>
      <c r="J2225" s="485">
        <f>IF(H2225="warranty",0,(I2225*(_xlfn.SINGLE(SalesTaxPercentage))))</f>
        <v>0</v>
      </c>
      <c r="K2225" s="715">
        <f t="shared" ref="K2225" si="1646">I2225+J2225</f>
        <v>0</v>
      </c>
      <c r="L2225" s="715"/>
      <c r="M2225" s="689" t="str">
        <f ca="1">IF(AND(G2225&gt;0,E2225=0),"WARNING - no PRICE inserted",IF(H2225="free","FREE ~ no charge this plant",IF(H2225="credit",CONCATENATE("-$",ROUND(K2225*(1-_xlfn.SINGLE(T2GDiscount))*-1,2)," CREDIT after discount"),IF(_xlfn.SINGLE(T2GDiscount)=0,"",IF(G2225=0,"",IF(F2225="Buy",CONCATENATE("$",ROUND(K2225*(1-_xlfn.SINGLE(T2GDiscount)),2)," with ",(_xlfn.SINGLE(T2GDiscount)*100),"% discount"),CONCATENATE("$",ROUND(K2225*(1-_xlfn.SINGLE(T2GDiscount)),2)," with ",((_xlfn.SINGLE(T2GDiscount)*100+F2225*100)-(_xlfn.SINGLE(T2GDiscount)*100*F2225)),IF(F2225&gt;0,"% discounts",IF(_xlfn.SINGLE(NoWarrantyDiscount)&gt;0,"% discounts","% discount")))))))))</f>
        <v/>
      </c>
      <c r="N2225" s="690"/>
      <c r="O2225" s="486"/>
      <c r="P2225" s="486"/>
      <c r="Q2225" s="486"/>
      <c r="R2225" s="486"/>
      <c r="S2225" s="486"/>
      <c r="T2225" s="102">
        <f t="shared" si="1603"/>
        <v>0</v>
      </c>
      <c r="U2225" s="78">
        <f>IF(NOT(ISNUMBER(G2225)), "", VLOOKUP(A2225,'Discount Lookup'!D:E,2,FALSE)*G2225)</f>
        <v>0</v>
      </c>
      <c r="V2225" s="78">
        <f>IF(NOT(ISNUMBER(G2225)), "", VLOOKUP(A2225,'Discount Lookup'!G:H,2,FALSE)*G2225)</f>
        <v>0</v>
      </c>
      <c r="W2225" s="102">
        <f t="shared" si="1604"/>
        <v>0</v>
      </c>
      <c r="X2225" s="102">
        <f t="shared" si="1605"/>
        <v>0</v>
      </c>
      <c r="Y2225" s="120" t="b">
        <f t="shared" si="1606"/>
        <v>0</v>
      </c>
      <c r="Z2225" s="117">
        <f t="shared" si="1607"/>
        <v>0</v>
      </c>
      <c r="AA2225" s="118"/>
      <c r="AB2225" s="118" t="str">
        <f t="shared" si="1608"/>
        <v/>
      </c>
      <c r="AC2225" s="712" t="str">
        <f>IF(AE2225="T2G","no charge",IF(AND(OR(PlanterYesMe="No",PlanterYesMe="N",PlanterYesMe="me"),H2225=""),"",IF(H2225="credit","NO install",IF(AND(K2225="",AE2225="me"),"EACH row",IF(AND(K2225="images",AE2225="me"),"EACH row",IF(D2225="","",IF(H2225="credit","",IF(AE2225="free","re-planting",IF(AE2225="me","   not ELP, by",IF(AND(OR(PlanterYesMe="Yes",PlanterYesMe="Y"),G2225&gt;0),(VLOOKUP(A2225,'Discount Lookup'!J:K,2)*G2225*(1-PlanterDiscount)*(1+PlanterDifficultyPercentage)),IF(AE2225="ELP",(VLOOKUP(A2225,'Discount Lookup'!J:K,2)*G2225*(1-PlanterDiscount)*(1+PlanterDifficultyPercentage)),IF(AE2225="free","re-planting",IF(G2225=0,"",IF(PlanterYesMe="",IF(AE2225="me","   not ELP, by",IF(AE2225="",IF(G2225&gt;0,(VLOOKUP(A2225,'Discount Lookup'!J:K,2)*G2225*(1-PlanterDiscount)*(1+PlanterDifficultyPercentage)),""),"")),"   not ELP, by"))))))))))))))</f>
        <v/>
      </c>
      <c r="AD2225" s="712"/>
      <c r="AE2225" s="513" t="str">
        <f t="shared" si="1609"/>
        <v/>
      </c>
      <c r="AF2225" s="713" t="str">
        <f t="shared" si="1610"/>
        <v/>
      </c>
      <c r="AG2225" s="713"/>
      <c r="AH2225" s="713"/>
      <c r="AI2225" s="112">
        <f>IF(H2225="credit",0,IF(AE2225="free",0,IF(AE2225="me",0,IF(G2225&gt;0,(VLOOKUP(A2225,'Discount Lookup'!J:K,2)*G2225),0))))</f>
        <v>0</v>
      </c>
      <c r="AJ2225" s="107" t="str">
        <f t="shared" ca="1" si="1611"/>
        <v/>
      </c>
      <c r="AK2225" s="714" t="str">
        <f t="shared" si="1612"/>
        <v/>
      </c>
      <c r="AL2225" s="714"/>
      <c r="AM2225" s="114" t="str">
        <f t="shared" si="1613"/>
        <v/>
      </c>
      <c r="AN2225" s="115"/>
      <c r="AO2225" s="116"/>
      <c r="AP2225" s="116"/>
      <c r="AQ2225" s="116"/>
      <c r="AR2225" s="116"/>
      <c r="AS2225" s="116"/>
      <c r="AT2225" s="116"/>
      <c r="AU2225" s="116"/>
      <c r="AV2225" s="78"/>
      <c r="AW2225" s="102"/>
      <c r="AX2225" s="78"/>
      <c r="AY2225" s="78"/>
      <c r="AZ2225" s="78"/>
      <c r="BA2225" s="78"/>
      <c r="BB2225" s="78"/>
      <c r="BC2225" s="78"/>
      <c r="BD2225" s="78"/>
      <c r="BE2225" s="465"/>
      <c r="BF2225" s="165" t="str">
        <f t="shared" si="1614"/>
        <v>https://www.google.com/search?tbm=isch&amp;q=15%20G4</v>
      </c>
      <c r="BG2225" s="165" t="str">
        <f t="shared" si="1615"/>
        <v>I</v>
      </c>
      <c r="BH2225" s="65"/>
      <c r="BI2225" s="65"/>
      <c r="BJ2225" s="65"/>
      <c r="BK2225" s="65"/>
      <c r="BL2225" s="99"/>
      <c r="BM2225" s="99"/>
      <c r="BN2225" s="99"/>
    </row>
    <row r="2226" spans="1:66" s="51" customFormat="1" ht="17.25" thickBot="1" x14ac:dyDescent="0.3">
      <c r="A2226" s="508" t="s">
        <v>4762</v>
      </c>
      <c r="B2226" s="487"/>
      <c r="C2226" s="707"/>
      <c r="D2226" s="487"/>
      <c r="E2226" s="487"/>
      <c r="F2226" s="488"/>
      <c r="G2226" s="489"/>
      <c r="H2226" s="487"/>
      <c r="I2226" s="490"/>
      <c r="J2226" s="490"/>
      <c r="K2226" s="491"/>
      <c r="L2226" s="547"/>
      <c r="M2226" s="528"/>
      <c r="N2226" s="492"/>
      <c r="O2226" s="493"/>
      <c r="P2226" s="494"/>
      <c r="Q2226" s="492"/>
      <c r="R2226" s="492"/>
      <c r="S2226" s="699" t="s">
        <v>5268</v>
      </c>
      <c r="T2226" s="102">
        <f t="shared" si="1603"/>
        <v>0</v>
      </c>
      <c r="U2226" s="78" t="str">
        <f>IF(NOT(ISNUMBER(G2226)), "", VLOOKUP(A2226,'Discount Lookup'!D:E,2,FALSE)*G2226)</f>
        <v/>
      </c>
      <c r="V2226" s="78" t="str">
        <f>IF(NOT(ISNUMBER(G2226)), "", VLOOKUP(A2226,'Discount Lookup'!G:H,2,FALSE)*G2226)</f>
        <v/>
      </c>
      <c r="W2226" s="102">
        <f t="shared" si="1604"/>
        <v>0</v>
      </c>
      <c r="X2226" s="102">
        <f t="shared" si="1605"/>
        <v>0</v>
      </c>
      <c r="Y2226" s="120" t="b">
        <f t="shared" si="1606"/>
        <v>0</v>
      </c>
      <c r="Z2226" s="117">
        <f t="shared" si="1607"/>
        <v>0</v>
      </c>
      <c r="AA2226" s="118"/>
      <c r="AB2226" s="118" t="str">
        <f t="shared" si="1608"/>
        <v/>
      </c>
      <c r="AC2226" s="712" t="str">
        <f>IF(AE2226="T2G","no charge",IF(AND(OR(PlanterYesMe="No",PlanterYesMe="N",PlanterYesMe="me"),H2226=""),"",IF(H2226="credit","NO install",IF(AND(K2226="",AE2226="me"),"EACH row",IF(AND(K2226="images",AE2226="me"),"EACH row",IF(D2226="","",IF(H2226="credit","",IF(AE2226="free","re-planting",IF(AE2226="me","   not ELP, by",IF(AND(OR(PlanterYesMe="Yes",PlanterYesMe="Y"),G2226&gt;0),(VLOOKUP(A2226,'Discount Lookup'!J:K,2)*G2226*(1-PlanterDiscount)*(1+PlanterDifficultyPercentage)),IF(AE2226="ELP",(VLOOKUP(A2226,'Discount Lookup'!J:K,2)*G2226*(1-PlanterDiscount)*(1+PlanterDifficultyPercentage)),IF(AE2226="free","re-planting",IF(G2226=0,"",IF(PlanterYesMe="",IF(AE2226="me","   not ELP, by",IF(AE2226="",IF(G2226&gt;0,(VLOOKUP(A2226,'Discount Lookup'!J:K,2)*G2226*(1-PlanterDiscount)*(1+PlanterDifficultyPercentage)),""),"")),"   not ELP, by"))))))))))))))</f>
        <v/>
      </c>
      <c r="AD2226" s="712"/>
      <c r="AE2226" s="513" t="str">
        <f t="shared" si="1609"/>
        <v/>
      </c>
      <c r="AF2226" s="713" t="str">
        <f t="shared" si="1610"/>
        <v/>
      </c>
      <c r="AG2226" s="713"/>
      <c r="AH2226" s="713"/>
      <c r="AI2226" s="112">
        <f>IF(H2226="credit",0,IF(AE2226="free",0,IF(AE2226="me",0,IF(G2226&gt;0,(VLOOKUP(A2226,'Discount Lookup'!J:K,2)*G2226),0))))</f>
        <v>0</v>
      </c>
      <c r="AJ2226" s="107" t="str">
        <f t="shared" ca="1" si="1611"/>
        <v/>
      </c>
      <c r="AK2226" s="714" t="str">
        <f t="shared" si="1612"/>
        <v/>
      </c>
      <c r="AL2226" s="714"/>
      <c r="AM2226" s="114" t="str">
        <f t="shared" si="1613"/>
        <v/>
      </c>
      <c r="AN2226" s="115"/>
      <c r="AO2226" s="116"/>
      <c r="AP2226" s="116"/>
      <c r="AQ2226" s="116"/>
      <c r="AR2226" s="116"/>
      <c r="AS2226" s="116"/>
      <c r="AT2226" s="116"/>
      <c r="AU2226" s="116"/>
      <c r="AV2226" s="78"/>
      <c r="AW2226" s="102"/>
      <c r="AX2226" s="78"/>
      <c r="AY2226" s="78"/>
      <c r="AZ2226" s="78"/>
      <c r="BA2226" s="78"/>
      <c r="BB2226" s="78"/>
      <c r="BC2226" s="78"/>
      <c r="BD2226" s="78"/>
      <c r="BE2226" s="465"/>
      <c r="BF2226" s="165" t="str">
        <f t="shared" si="1614"/>
        <v>https://www.google.com/search?tbm=isch&amp;q=My%20Lady%20Red%20Holly%20foliage%20emerges%20striking%20Copper-Red.%20Heat%2Fcold%20tolerant.%20Bright%20Red%20berries%20if%20pollinated%20</v>
      </c>
      <c r="BG2226" s="165" t="str">
        <f t="shared" si="1615"/>
        <v>M</v>
      </c>
      <c r="BH2226" s="65"/>
      <c r="BI2226" s="65"/>
      <c r="BJ2226" s="65"/>
      <c r="BK2226" s="65"/>
      <c r="BL2226" s="99"/>
      <c r="BM2226" s="99"/>
      <c r="BN2226" s="99"/>
    </row>
    <row r="2227" spans="1:66" s="51" customFormat="1" ht="18" x14ac:dyDescent="0.25">
      <c r="A2227" s="507" t="s">
        <v>2976</v>
      </c>
      <c r="B2227" s="470"/>
      <c r="C2227" s="706"/>
      <c r="D2227" s="471" t="s">
        <v>5709</v>
      </c>
      <c r="E2227" s="472"/>
      <c r="F2227" s="472"/>
      <c r="G2227" s="472"/>
      <c r="H2227" s="622" t="s">
        <v>510</v>
      </c>
      <c r="I2227" s="473" t="s">
        <v>2977</v>
      </c>
      <c r="J2227" s="472"/>
      <c r="K2227" s="472"/>
      <c r="L2227" s="561"/>
      <c r="M2227" s="698" t="s">
        <v>5246</v>
      </c>
      <c r="N2227" s="692" t="str">
        <f>IF(AND(ISTEXT($A2227), ISERROR($A2227+0)), HYPERLINK($BF2227, "Images"), "")</f>
        <v>Images</v>
      </c>
      <c r="O2227" s="694" t="s">
        <v>5244</v>
      </c>
      <c r="P2227" s="475"/>
      <c r="Q2227" s="476"/>
      <c r="R2227" s="476"/>
      <c r="S2227" s="477"/>
      <c r="T2227" s="102">
        <f t="shared" si="1603"/>
        <v>0</v>
      </c>
      <c r="U2227" s="78" t="str">
        <f>IF(NOT(ISNUMBER(G2227)), "", VLOOKUP(A2227,'Discount Lookup'!D:E,2,FALSE)*G2227)</f>
        <v/>
      </c>
      <c r="V2227" s="78" t="str">
        <f>IF(NOT(ISNUMBER(G2227)), "", VLOOKUP(A2227,'Discount Lookup'!G:H,2,FALSE)*G2227)</f>
        <v/>
      </c>
      <c r="W2227" s="102">
        <f t="shared" si="1604"/>
        <v>0</v>
      </c>
      <c r="X2227" s="102" t="str">
        <f t="shared" si="1605"/>
        <v>Dark Blue-Green</v>
      </c>
      <c r="Y2227" s="120" t="b">
        <f t="shared" si="1606"/>
        <v>0</v>
      </c>
      <c r="Z2227" s="117">
        <f t="shared" si="1607"/>
        <v>0</v>
      </c>
      <c r="AA2227" s="118"/>
      <c r="AB2227" s="118" t="str">
        <f t="shared" si="1608"/>
        <v/>
      </c>
      <c r="AC2227" s="712" t="str">
        <f>IF(AE2227="T2G","no charge",IF(AND(OR(PlanterYesMe="No",PlanterYesMe="N",PlanterYesMe="me"),H2227=""),"",IF(H2227="credit","NO install",IF(AND(K2227="",AE2227="me"),"EACH row",IF(AND(K2227="images",AE2227="me"),"EACH row",IF(D2227="","",IF(H2227="credit","",IF(AE2227="free","re-planting",IF(AE2227="me","   not ELP, by",IF(AND(OR(PlanterYesMe="Yes",PlanterYesMe="Y"),G2227&gt;0),(VLOOKUP(A2227,'Discount Lookup'!J:K,2)*G2227*(1-PlanterDiscount)*(1+PlanterDifficultyPercentage)),IF(AE2227="ELP",(VLOOKUP(A2227,'Discount Lookup'!J:K,2)*G2227*(1-PlanterDiscount)*(1+PlanterDifficultyPercentage)),IF(AE2227="free","re-planting",IF(G2227=0,"",IF(PlanterYesMe="",IF(AE2227="me","   not ELP, by",IF(AE2227="",IF(G2227&gt;0,(VLOOKUP(A2227,'Discount Lookup'!J:K,2)*G2227*(1-PlanterDiscount)*(1+PlanterDifficultyPercentage)),""),"")),"   not ELP, by"))))))))))))))</f>
        <v/>
      </c>
      <c r="AD2227" s="712"/>
      <c r="AE2227" s="513" t="str">
        <f t="shared" si="1609"/>
        <v/>
      </c>
      <c r="AF2227" s="713" t="str">
        <f t="shared" si="1610"/>
        <v/>
      </c>
      <c r="AG2227" s="713"/>
      <c r="AH2227" s="713"/>
      <c r="AI2227" s="112">
        <f>IF(H2227="credit",0,IF(AE2227="free",0,IF(AE2227="me",0,IF(G2227&gt;0,(VLOOKUP(A2227,'Discount Lookup'!J:K,2)*G2227),0))))</f>
        <v>0</v>
      </c>
      <c r="AJ2227" s="107" t="str">
        <f t="shared" ca="1" si="1611"/>
        <v/>
      </c>
      <c r="AK2227" s="714" t="str">
        <f t="shared" si="1612"/>
        <v/>
      </c>
      <c r="AL2227" s="714"/>
      <c r="AM2227" s="114" t="str">
        <f t="shared" si="1613"/>
        <v/>
      </c>
      <c r="AN2227" s="115"/>
      <c r="AO2227" s="116"/>
      <c r="AP2227" s="116"/>
      <c r="AQ2227" s="116"/>
      <c r="AR2227" s="116"/>
      <c r="AS2227" s="116"/>
      <c r="AT2227" s="116"/>
      <c r="AU2227" s="116"/>
      <c r="AV2227" s="78"/>
      <c r="AW2227" s="102"/>
      <c r="AX2227" s="78"/>
      <c r="AY2227" s="78"/>
      <c r="AZ2227" s="78"/>
      <c r="BA2227" s="78"/>
      <c r="BB2227" s="78"/>
      <c r="BC2227" s="78"/>
      <c r="BD2227" s="78"/>
      <c r="BE2227" s="465"/>
      <c r="BF2227" s="165" t="str">
        <f t="shared" si="1614"/>
        <v>https://www.google.com/search?tbm=isch&amp;q=Ilex%20%27EN-6%27%20PPAF%20Monarch%E2%84%A2%20Holly</v>
      </c>
      <c r="BG2227" s="165" t="str">
        <f t="shared" si="1615"/>
        <v>I</v>
      </c>
      <c r="BH2227" s="65"/>
      <c r="BI2227" s="65"/>
      <c r="BJ2227" s="65"/>
      <c r="BK2227" s="65"/>
      <c r="BL2227" s="99"/>
      <c r="BM2227" s="99"/>
      <c r="BN2227" s="99"/>
    </row>
    <row r="2228" spans="1:66" s="51" customFormat="1" ht="15.75" x14ac:dyDescent="0.25">
      <c r="A2228" s="478">
        <v>15</v>
      </c>
      <c r="B2228" s="479" t="s">
        <v>291</v>
      </c>
      <c r="C2228" s="480" t="s">
        <v>2978</v>
      </c>
      <c r="D2228" s="481" t="s">
        <v>299</v>
      </c>
      <c r="E2228" s="482">
        <v>270.95</v>
      </c>
      <c r="F2228" s="483" t="s">
        <v>292</v>
      </c>
      <c r="G2228" s="484">
        <v>0</v>
      </c>
      <c r="H2228" s="688" t="str">
        <f>IF(G2228=0,"",IF(F2228="Buy",IF(G2228=1,"plant","plants"),IF(F2228&gt;0.01,"warranty","Error")))</f>
        <v/>
      </c>
      <c r="I2228" s="485">
        <f>IF(H2228="free",0,IF(H2228="credit",((E2228*(F2228))*G2228*-1),IF(F2228="Buy",(E2228*G2228),((E2228*(1-F2228))*G2228))))</f>
        <v>0</v>
      </c>
      <c r="J2228" s="485">
        <f>IF(H2228="warranty",0,(I2228*(_xlfn.SINGLE(SalesTaxPercentage))))</f>
        <v>0</v>
      </c>
      <c r="K2228" s="715">
        <f t="shared" ref="K2228" si="1647">I2228+J2228</f>
        <v>0</v>
      </c>
      <c r="L2228" s="715"/>
      <c r="M2228" s="689" t="str">
        <f ca="1">IF(AND(G2228&gt;0,E2228=0),"WARNING - no PRICE inserted",IF(H2228="free","FREE ~ no charge this plant",IF(H2228="credit",CONCATENATE("-$",ROUND(K2228*(1-_xlfn.SINGLE(T2GDiscount))*-1,2)," CREDIT after discount"),IF(_xlfn.SINGLE(T2GDiscount)=0,"",IF(G2228=0,"",IF(F2228="Buy",CONCATENATE("$",ROUND(K2228*(1-_xlfn.SINGLE(T2GDiscount)),2)," with ",(_xlfn.SINGLE(T2GDiscount)*100),"% discount"),CONCATENATE("$",ROUND(K2228*(1-_xlfn.SINGLE(T2GDiscount)),2)," with ",((_xlfn.SINGLE(T2GDiscount)*100+F2228*100)-(_xlfn.SINGLE(T2GDiscount)*100*F2228)),IF(F2228&gt;0,"% discounts",IF(_xlfn.SINGLE(NoWarrantyDiscount)&gt;0,"% discounts","% discount")))))))))</f>
        <v/>
      </c>
      <c r="N2228" s="690"/>
      <c r="O2228" s="486"/>
      <c r="P2228" s="486"/>
      <c r="Q2228" s="486"/>
      <c r="R2228" s="486"/>
      <c r="S2228" s="486"/>
      <c r="T2228" s="102">
        <f t="shared" si="1603"/>
        <v>0</v>
      </c>
      <c r="U2228" s="78">
        <f>IF(NOT(ISNUMBER(G2228)), "", VLOOKUP(A2228,'Discount Lookup'!D:E,2,FALSE)*G2228)</f>
        <v>0</v>
      </c>
      <c r="V2228" s="78">
        <f>IF(NOT(ISNUMBER(G2228)), "", VLOOKUP(A2228,'Discount Lookup'!G:H,2,FALSE)*G2228)</f>
        <v>0</v>
      </c>
      <c r="W2228" s="102">
        <f t="shared" si="1604"/>
        <v>0</v>
      </c>
      <c r="X2228" s="102">
        <f t="shared" si="1605"/>
        <v>0</v>
      </c>
      <c r="Y2228" s="120" t="b">
        <f t="shared" si="1606"/>
        <v>0</v>
      </c>
      <c r="Z2228" s="117">
        <f t="shared" si="1607"/>
        <v>0</v>
      </c>
      <c r="AA2228" s="118"/>
      <c r="AB2228" s="118" t="str">
        <f t="shared" si="1608"/>
        <v/>
      </c>
      <c r="AC2228" s="712" t="str">
        <f>IF(AE2228="T2G","no charge",IF(AND(OR(PlanterYesMe="No",PlanterYesMe="N",PlanterYesMe="me"),H2228=""),"",IF(H2228="credit","NO install",IF(AND(K2228="",AE2228="me"),"EACH row",IF(AND(K2228="images",AE2228="me"),"EACH row",IF(D2228="","",IF(H2228="credit","",IF(AE2228="free","re-planting",IF(AE2228="me","   not ELP, by",IF(AND(OR(PlanterYesMe="Yes",PlanterYesMe="Y"),G2228&gt;0),(VLOOKUP(A2228,'Discount Lookup'!J:K,2)*G2228*(1-PlanterDiscount)*(1+PlanterDifficultyPercentage)),IF(AE2228="ELP",(VLOOKUP(A2228,'Discount Lookup'!J:K,2)*G2228*(1-PlanterDiscount)*(1+PlanterDifficultyPercentage)),IF(AE2228="free","re-planting",IF(G2228=0,"",IF(PlanterYesMe="",IF(AE2228="me","   not ELP, by",IF(AE2228="",IF(G2228&gt;0,(VLOOKUP(A2228,'Discount Lookup'!J:K,2)*G2228*(1-PlanterDiscount)*(1+PlanterDifficultyPercentage)),""),"")),"   not ELP, by"))))))))))))))</f>
        <v/>
      </c>
      <c r="AD2228" s="712"/>
      <c r="AE2228" s="513" t="str">
        <f t="shared" si="1609"/>
        <v/>
      </c>
      <c r="AF2228" s="713" t="str">
        <f t="shared" si="1610"/>
        <v/>
      </c>
      <c r="AG2228" s="713"/>
      <c r="AH2228" s="713"/>
      <c r="AI2228" s="112">
        <f>IF(H2228="credit",0,IF(AE2228="free",0,IF(AE2228="me",0,IF(G2228&gt;0,(VLOOKUP(A2228,'Discount Lookup'!J:K,2)*G2228),0))))</f>
        <v>0</v>
      </c>
      <c r="AJ2228" s="107" t="str">
        <f t="shared" ca="1" si="1611"/>
        <v/>
      </c>
      <c r="AK2228" s="714" t="str">
        <f t="shared" si="1612"/>
        <v/>
      </c>
      <c r="AL2228" s="714"/>
      <c r="AM2228" s="114" t="str">
        <f t="shared" si="1613"/>
        <v/>
      </c>
      <c r="AN2228" s="115"/>
      <c r="AO2228" s="116"/>
      <c r="AP2228" s="116"/>
      <c r="AQ2228" s="116"/>
      <c r="AR2228" s="116"/>
      <c r="AS2228" s="116"/>
      <c r="AT2228" s="116"/>
      <c r="AU2228" s="116"/>
      <c r="AV2228" s="78"/>
      <c r="AW2228" s="102"/>
      <c r="AX2228" s="78"/>
      <c r="AY2228" s="78"/>
      <c r="AZ2228" s="78"/>
      <c r="BA2228" s="78"/>
      <c r="BB2228" s="78"/>
      <c r="BC2228" s="78"/>
      <c r="BD2228" s="78"/>
      <c r="BE2228" s="465"/>
      <c r="BF2228" s="165" t="str">
        <f t="shared" si="1614"/>
        <v>https://www.google.com/search?tbm=isch&amp;q=15%20G4</v>
      </c>
      <c r="BG2228" s="165" t="str">
        <f t="shared" si="1615"/>
        <v>I</v>
      </c>
      <c r="BH2228" s="65"/>
      <c r="BI2228" s="65"/>
      <c r="BJ2228" s="65"/>
      <c r="BK2228" s="65"/>
      <c r="BL2228" s="99"/>
      <c r="BM2228" s="99"/>
      <c r="BN2228" s="99"/>
    </row>
    <row r="2229" spans="1:66" s="51" customFormat="1" ht="17.25" thickBot="1" x14ac:dyDescent="0.3">
      <c r="A2229" s="508" t="s">
        <v>4763</v>
      </c>
      <c r="B2229" s="487"/>
      <c r="C2229" s="707"/>
      <c r="D2229" s="487"/>
      <c r="E2229" s="487"/>
      <c r="F2229" s="488"/>
      <c r="G2229" s="489"/>
      <c r="H2229" s="487"/>
      <c r="I2229" s="490"/>
      <c r="J2229" s="490"/>
      <c r="K2229" s="491"/>
      <c r="L2229" s="547"/>
      <c r="M2229" s="528"/>
      <c r="N2229" s="492"/>
      <c r="O2229" s="493"/>
      <c r="P2229" s="494"/>
      <c r="Q2229" s="492"/>
      <c r="R2229" s="492"/>
      <c r="S2229" s="699" t="s">
        <v>5268</v>
      </c>
      <c r="T2229" s="102">
        <f t="shared" si="1603"/>
        <v>0</v>
      </c>
      <c r="U2229" s="78" t="str">
        <f>IF(NOT(ISNUMBER(G2229)), "", VLOOKUP(A2229,'Discount Lookup'!D:E,2,FALSE)*G2229)</f>
        <v/>
      </c>
      <c r="V2229" s="78" t="str">
        <f>IF(NOT(ISNUMBER(G2229)), "", VLOOKUP(A2229,'Discount Lookup'!G:H,2,FALSE)*G2229)</f>
        <v/>
      </c>
      <c r="W2229" s="102">
        <f t="shared" si="1604"/>
        <v>0</v>
      </c>
      <c r="X2229" s="102">
        <f t="shared" si="1605"/>
        <v>0</v>
      </c>
      <c r="Y2229" s="120" t="b">
        <f t="shared" si="1606"/>
        <v>0</v>
      </c>
      <c r="Z2229" s="117">
        <f t="shared" si="1607"/>
        <v>0</v>
      </c>
      <c r="AA2229" s="118"/>
      <c r="AB2229" s="118" t="str">
        <f t="shared" si="1608"/>
        <v/>
      </c>
      <c r="AC2229" s="712" t="str">
        <f>IF(AE2229="T2G","no charge",IF(AND(OR(PlanterYesMe="No",PlanterYesMe="N",PlanterYesMe="me"),H2229=""),"",IF(H2229="credit","NO install",IF(AND(K2229="",AE2229="me"),"EACH row",IF(AND(K2229="images",AE2229="me"),"EACH row",IF(D2229="","",IF(H2229="credit","",IF(AE2229="free","re-planting",IF(AE2229="me","   not ELP, by",IF(AND(OR(PlanterYesMe="Yes",PlanterYesMe="Y"),G2229&gt;0),(VLOOKUP(A2229,'Discount Lookup'!J:K,2)*G2229*(1-PlanterDiscount)*(1+PlanterDifficultyPercentage)),IF(AE2229="ELP",(VLOOKUP(A2229,'Discount Lookup'!J:K,2)*G2229*(1-PlanterDiscount)*(1+PlanterDifficultyPercentage)),IF(AE2229="free","re-planting",IF(G2229=0,"",IF(PlanterYesMe="",IF(AE2229="me","   not ELP, by",IF(AE2229="",IF(G2229&gt;0,(VLOOKUP(A2229,'Discount Lookup'!J:K,2)*G2229*(1-PlanterDiscount)*(1+PlanterDifficultyPercentage)),""),"")),"   not ELP, by"))))))))))))))</f>
        <v/>
      </c>
      <c r="AD2229" s="712"/>
      <c r="AE2229" s="513" t="str">
        <f t="shared" si="1609"/>
        <v/>
      </c>
      <c r="AF2229" s="713" t="str">
        <f t="shared" si="1610"/>
        <v/>
      </c>
      <c r="AG2229" s="713"/>
      <c r="AH2229" s="713"/>
      <c r="AI2229" s="112">
        <f>IF(H2229="credit",0,IF(AE2229="free",0,IF(AE2229="me",0,IF(G2229&gt;0,(VLOOKUP(A2229,'Discount Lookup'!J:K,2)*G2229),0))))</f>
        <v>0</v>
      </c>
      <c r="AJ2229" s="107" t="str">
        <f t="shared" ca="1" si="1611"/>
        <v/>
      </c>
      <c r="AK2229" s="714" t="str">
        <f t="shared" si="1612"/>
        <v/>
      </c>
      <c r="AL2229" s="714"/>
      <c r="AM2229" s="114" t="str">
        <f t="shared" si="1613"/>
        <v/>
      </c>
      <c r="AN2229" s="115"/>
      <c r="AO2229" s="116"/>
      <c r="AP2229" s="116"/>
      <c r="AQ2229" s="116"/>
      <c r="AR2229" s="116"/>
      <c r="AS2229" s="116"/>
      <c r="AT2229" s="116"/>
      <c r="AU2229" s="116"/>
      <c r="AV2229" s="78"/>
      <c r="AW2229" s="102"/>
      <c r="AX2229" s="78"/>
      <c r="AY2229" s="78"/>
      <c r="AZ2229" s="78"/>
      <c r="BA2229" s="78"/>
      <c r="BB2229" s="78"/>
      <c r="BC2229" s="78"/>
      <c r="BD2229" s="78"/>
      <c r="BE2229" s="465"/>
      <c r="BF2229" s="165" t="str">
        <f t="shared" si="1614"/>
        <v>https://www.google.com/search?tbm=isch&amp;q=Monarch%20Holly%20has%20a%20dense%20conical%20form%2C%20Good%20cold%2Fheat%20tolerance%20from%20its%20red%20and%20blue%20holly%20parentage.%20Brilliant%20Red%20fall%20berries%20</v>
      </c>
      <c r="BG2229" s="165" t="str">
        <f t="shared" si="1615"/>
        <v>M</v>
      </c>
      <c r="BH2229" s="65"/>
      <c r="BI2229" s="65"/>
      <c r="BJ2229" s="65"/>
      <c r="BK2229" s="65"/>
      <c r="BL2229" s="99"/>
      <c r="BM2229" s="99"/>
      <c r="BN2229" s="99"/>
    </row>
    <row r="2230" spans="1:66" s="51" customFormat="1" ht="18" x14ac:dyDescent="0.25">
      <c r="A2230" s="507" t="s">
        <v>2979</v>
      </c>
      <c r="B2230" s="470"/>
      <c r="C2230" s="706"/>
      <c r="D2230" s="471" t="s">
        <v>5710</v>
      </c>
      <c r="E2230" s="472"/>
      <c r="F2230" s="472"/>
      <c r="G2230" s="472"/>
      <c r="H2230" s="622" t="s">
        <v>1308</v>
      </c>
      <c r="I2230" s="473" t="s">
        <v>431</v>
      </c>
      <c r="J2230" s="472"/>
      <c r="K2230" s="472"/>
      <c r="L2230" s="561"/>
      <c r="M2230" s="698" t="s">
        <v>5246</v>
      </c>
      <c r="N2230" s="692" t="str">
        <f>IF(AND(ISTEXT($A2230), ISERROR($A2230+0)), HYPERLINK($BF2230, "Images"), "")</f>
        <v>Images</v>
      </c>
      <c r="O2230" s="694" t="s">
        <v>5244</v>
      </c>
      <c r="P2230" s="475"/>
      <c r="Q2230" s="476"/>
      <c r="R2230" s="476"/>
      <c r="S2230" s="477"/>
      <c r="T2230" s="102">
        <f t="shared" si="1603"/>
        <v>0</v>
      </c>
      <c r="U2230" s="78" t="str">
        <f>IF(NOT(ISNUMBER(G2230)), "", VLOOKUP(A2230,'Discount Lookup'!D:E,2,FALSE)*G2230)</f>
        <v/>
      </c>
      <c r="V2230" s="78" t="str">
        <f>IF(NOT(ISNUMBER(G2230)), "", VLOOKUP(A2230,'Discount Lookup'!G:H,2,FALSE)*G2230)</f>
        <v/>
      </c>
      <c r="W2230" s="102">
        <f t="shared" si="1604"/>
        <v>0</v>
      </c>
      <c r="X2230" s="102" t="str">
        <f t="shared" si="1605"/>
        <v>Dark Green foliage</v>
      </c>
      <c r="Y2230" s="120" t="b">
        <f t="shared" si="1606"/>
        <v>0</v>
      </c>
      <c r="Z2230" s="117">
        <f t="shared" si="1607"/>
        <v>0</v>
      </c>
      <c r="AA2230" s="118"/>
      <c r="AB2230" s="118" t="str">
        <f t="shared" si="1608"/>
        <v/>
      </c>
      <c r="AC2230" s="712" t="str">
        <f>IF(AE2230="T2G","no charge",IF(AND(OR(PlanterYesMe="No",PlanterYesMe="N",PlanterYesMe="me"),H2230=""),"",IF(H2230="credit","NO install",IF(AND(K2230="",AE2230="me"),"EACH row",IF(AND(K2230="images",AE2230="me"),"EACH row",IF(D2230="","",IF(H2230="credit","",IF(AE2230="free","re-planting",IF(AE2230="me","   not ELP, by",IF(AND(OR(PlanterYesMe="Yes",PlanterYesMe="Y"),G2230&gt;0),(VLOOKUP(A2230,'Discount Lookup'!J:K,2)*G2230*(1-PlanterDiscount)*(1+PlanterDifficultyPercentage)),IF(AE2230="ELP",(VLOOKUP(A2230,'Discount Lookup'!J:K,2)*G2230*(1-PlanterDiscount)*(1+PlanterDifficultyPercentage)),IF(AE2230="free","re-planting",IF(G2230=0,"",IF(PlanterYesMe="",IF(AE2230="me","   not ELP, by",IF(AE2230="",IF(G2230&gt;0,(VLOOKUP(A2230,'Discount Lookup'!J:K,2)*G2230*(1-PlanterDiscount)*(1+PlanterDifficultyPercentage)),""),"")),"   not ELP, by"))))))))))))))</f>
        <v/>
      </c>
      <c r="AD2230" s="712"/>
      <c r="AE2230" s="513" t="str">
        <f t="shared" si="1609"/>
        <v/>
      </c>
      <c r="AF2230" s="713" t="str">
        <f t="shared" si="1610"/>
        <v/>
      </c>
      <c r="AG2230" s="713"/>
      <c r="AH2230" s="713"/>
      <c r="AI2230" s="112">
        <f>IF(H2230="credit",0,IF(AE2230="free",0,IF(AE2230="me",0,IF(G2230&gt;0,(VLOOKUP(A2230,'Discount Lookup'!J:K,2)*G2230),0))))</f>
        <v>0</v>
      </c>
      <c r="AJ2230" s="107" t="str">
        <f t="shared" ca="1" si="1611"/>
        <v/>
      </c>
      <c r="AK2230" s="714" t="str">
        <f t="shared" si="1612"/>
        <v/>
      </c>
      <c r="AL2230" s="714"/>
      <c r="AM2230" s="114" t="str">
        <f t="shared" si="1613"/>
        <v/>
      </c>
      <c r="AN2230" s="115"/>
      <c r="AO2230" s="116"/>
      <c r="AP2230" s="116"/>
      <c r="AQ2230" s="116"/>
      <c r="AR2230" s="116"/>
      <c r="AS2230" s="116"/>
      <c r="AT2230" s="116"/>
      <c r="AU2230" s="116"/>
      <c r="AV2230" s="78"/>
      <c r="AW2230" s="102"/>
      <c r="AX2230" s="78"/>
      <c r="AY2230" s="78"/>
      <c r="AZ2230" s="78"/>
      <c r="BA2230" s="78"/>
      <c r="BB2230" s="78"/>
      <c r="BC2230" s="78"/>
      <c r="BD2230" s="78"/>
      <c r="BE2230" s="465"/>
      <c r="BF2230" s="165" t="str">
        <f t="shared" si="1614"/>
        <v>https://www.google.com/search?tbm=isch&amp;q=Ilex%20%27EN-7%27%20PPAF%20Crown%20Point%E2%84%A2%20Holly</v>
      </c>
      <c r="BG2230" s="165" t="str">
        <f t="shared" si="1615"/>
        <v>I</v>
      </c>
      <c r="BH2230" s="65"/>
      <c r="BI2230" s="65"/>
      <c r="BJ2230" s="65"/>
      <c r="BK2230" s="65"/>
      <c r="BL2230" s="99"/>
      <c r="BM2230" s="99"/>
      <c r="BN2230" s="99"/>
    </row>
    <row r="2231" spans="1:66" s="51" customFormat="1" ht="15.75" x14ac:dyDescent="0.25">
      <c r="A2231" s="478">
        <v>15</v>
      </c>
      <c r="B2231" s="479" t="s">
        <v>291</v>
      </c>
      <c r="C2231" s="480" t="s">
        <v>2980</v>
      </c>
      <c r="D2231" s="481" t="s">
        <v>299</v>
      </c>
      <c r="E2231" s="482">
        <v>270.95</v>
      </c>
      <c r="F2231" s="483" t="s">
        <v>292</v>
      </c>
      <c r="G2231" s="484">
        <v>0</v>
      </c>
      <c r="H2231" s="688" t="str">
        <f>IF(G2231=0,"",IF(F2231="Buy",IF(G2231=1,"plant","plants"),IF(F2231&gt;0.01,"warranty","Error")))</f>
        <v/>
      </c>
      <c r="I2231" s="485">
        <f>IF(H2231="free",0,IF(H2231="credit",((E2231*(F2231))*G2231*-1),IF(F2231="Buy",(E2231*G2231),((E2231*(1-F2231))*G2231))))</f>
        <v>0</v>
      </c>
      <c r="J2231" s="485">
        <f>IF(H2231="warranty",0,(I2231*(_xlfn.SINGLE(SalesTaxPercentage))))</f>
        <v>0</v>
      </c>
      <c r="K2231" s="715">
        <f t="shared" ref="K2231" si="1648">I2231+J2231</f>
        <v>0</v>
      </c>
      <c r="L2231" s="715"/>
      <c r="M2231" s="689" t="str">
        <f ca="1">IF(AND(G2231&gt;0,E2231=0),"WARNING - no PRICE inserted",IF(H2231="free","FREE ~ no charge this plant",IF(H2231="credit",CONCATENATE("-$",ROUND(K2231*(1-_xlfn.SINGLE(T2GDiscount))*-1,2)," CREDIT after discount"),IF(_xlfn.SINGLE(T2GDiscount)=0,"",IF(G2231=0,"",IF(F2231="Buy",CONCATENATE("$",ROUND(K2231*(1-_xlfn.SINGLE(T2GDiscount)),2)," with ",(_xlfn.SINGLE(T2GDiscount)*100),"% discount"),CONCATENATE("$",ROUND(K2231*(1-_xlfn.SINGLE(T2GDiscount)),2)," with ",((_xlfn.SINGLE(T2GDiscount)*100+F2231*100)-(_xlfn.SINGLE(T2GDiscount)*100*F2231)),IF(F2231&gt;0,"% discounts",IF(_xlfn.SINGLE(NoWarrantyDiscount)&gt;0,"% discounts","% discount")))))))))</f>
        <v/>
      </c>
      <c r="N2231" s="690"/>
      <c r="O2231" s="486"/>
      <c r="P2231" s="486"/>
      <c r="Q2231" s="486"/>
      <c r="R2231" s="486"/>
      <c r="S2231" s="486"/>
      <c r="T2231" s="102">
        <f t="shared" si="1603"/>
        <v>0</v>
      </c>
      <c r="U2231" s="78">
        <f>IF(NOT(ISNUMBER(G2231)), "", VLOOKUP(A2231,'Discount Lookup'!D:E,2,FALSE)*G2231)</f>
        <v>0</v>
      </c>
      <c r="V2231" s="78">
        <f>IF(NOT(ISNUMBER(G2231)), "", VLOOKUP(A2231,'Discount Lookup'!G:H,2,FALSE)*G2231)</f>
        <v>0</v>
      </c>
      <c r="W2231" s="102">
        <f t="shared" si="1604"/>
        <v>0</v>
      </c>
      <c r="X2231" s="102">
        <f t="shared" si="1605"/>
        <v>0</v>
      </c>
      <c r="Y2231" s="120" t="b">
        <f t="shared" si="1606"/>
        <v>0</v>
      </c>
      <c r="Z2231" s="117">
        <f t="shared" si="1607"/>
        <v>0</v>
      </c>
      <c r="AA2231" s="118"/>
      <c r="AB2231" s="118" t="str">
        <f t="shared" si="1608"/>
        <v/>
      </c>
      <c r="AC2231" s="712" t="str">
        <f>IF(AE2231="T2G","no charge",IF(AND(OR(PlanterYesMe="No",PlanterYesMe="N",PlanterYesMe="me"),H2231=""),"",IF(H2231="credit","NO install",IF(AND(K2231="",AE2231="me"),"EACH row",IF(AND(K2231="images",AE2231="me"),"EACH row",IF(D2231="","",IF(H2231="credit","",IF(AE2231="free","re-planting",IF(AE2231="me","   not ELP, by",IF(AND(OR(PlanterYesMe="Yes",PlanterYesMe="Y"),G2231&gt;0),(VLOOKUP(A2231,'Discount Lookup'!J:K,2)*G2231*(1-PlanterDiscount)*(1+PlanterDifficultyPercentage)),IF(AE2231="ELP",(VLOOKUP(A2231,'Discount Lookup'!J:K,2)*G2231*(1-PlanterDiscount)*(1+PlanterDifficultyPercentage)),IF(AE2231="free","re-planting",IF(G2231=0,"",IF(PlanterYesMe="",IF(AE2231="me","   not ELP, by",IF(AE2231="",IF(G2231&gt;0,(VLOOKUP(A2231,'Discount Lookup'!J:K,2)*G2231*(1-PlanterDiscount)*(1+PlanterDifficultyPercentage)),""),"")),"   not ELP, by"))))))))))))))</f>
        <v/>
      </c>
      <c r="AD2231" s="712"/>
      <c r="AE2231" s="513" t="str">
        <f t="shared" si="1609"/>
        <v/>
      </c>
      <c r="AF2231" s="713" t="str">
        <f t="shared" si="1610"/>
        <v/>
      </c>
      <c r="AG2231" s="713"/>
      <c r="AH2231" s="713"/>
      <c r="AI2231" s="112">
        <f>IF(H2231="credit",0,IF(AE2231="free",0,IF(AE2231="me",0,IF(G2231&gt;0,(VLOOKUP(A2231,'Discount Lookup'!J:K,2)*G2231),0))))</f>
        <v>0</v>
      </c>
      <c r="AJ2231" s="107" t="str">
        <f t="shared" ca="1" si="1611"/>
        <v/>
      </c>
      <c r="AK2231" s="714" t="str">
        <f t="shared" si="1612"/>
        <v/>
      </c>
      <c r="AL2231" s="714"/>
      <c r="AM2231" s="114" t="str">
        <f t="shared" si="1613"/>
        <v/>
      </c>
      <c r="AN2231" s="115"/>
      <c r="AO2231" s="116"/>
      <c r="AP2231" s="116"/>
      <c r="AQ2231" s="116"/>
      <c r="AR2231" s="116"/>
      <c r="AS2231" s="116"/>
      <c r="AT2231" s="116"/>
      <c r="AU2231" s="116"/>
      <c r="AV2231" s="78"/>
      <c r="AW2231" s="102"/>
      <c r="AX2231" s="78"/>
      <c r="AY2231" s="78"/>
      <c r="AZ2231" s="78"/>
      <c r="BA2231" s="78"/>
      <c r="BB2231" s="78"/>
      <c r="BC2231" s="78"/>
      <c r="BD2231" s="78"/>
      <c r="BE2231" s="465"/>
      <c r="BF2231" s="165" t="str">
        <f t="shared" si="1614"/>
        <v>https://www.google.com/search?tbm=isch&amp;q=15%20G4</v>
      </c>
      <c r="BG2231" s="165" t="str">
        <f t="shared" si="1615"/>
        <v>I</v>
      </c>
      <c r="BH2231" s="65"/>
      <c r="BI2231" s="65"/>
      <c r="BJ2231" s="65"/>
      <c r="BK2231" s="65"/>
      <c r="BL2231" s="99"/>
      <c r="BM2231" s="99"/>
      <c r="BN2231" s="99"/>
    </row>
    <row r="2232" spans="1:66" s="51" customFormat="1" ht="17.25" thickBot="1" x14ac:dyDescent="0.3">
      <c r="A2232" s="508" t="s">
        <v>4764</v>
      </c>
      <c r="B2232" s="487"/>
      <c r="C2232" s="707"/>
      <c r="D2232" s="487"/>
      <c r="E2232" s="487"/>
      <c r="F2232" s="488"/>
      <c r="G2232" s="489"/>
      <c r="H2232" s="487"/>
      <c r="I2232" s="490"/>
      <c r="J2232" s="490"/>
      <c r="K2232" s="491"/>
      <c r="L2232" s="547"/>
      <c r="M2232" s="528"/>
      <c r="N2232" s="492"/>
      <c r="O2232" s="493"/>
      <c r="P2232" s="494"/>
      <c r="Q2232" s="492"/>
      <c r="R2232" s="492"/>
      <c r="S2232" s="699" t="s">
        <v>5268</v>
      </c>
      <c r="T2232" s="102">
        <f t="shared" si="1603"/>
        <v>0</v>
      </c>
      <c r="U2232" s="78" t="str">
        <f>IF(NOT(ISNUMBER(G2232)), "", VLOOKUP(A2232,'Discount Lookup'!D:E,2,FALSE)*G2232)</f>
        <v/>
      </c>
      <c r="V2232" s="78" t="str">
        <f>IF(NOT(ISNUMBER(G2232)), "", VLOOKUP(A2232,'Discount Lookup'!G:H,2,FALSE)*G2232)</f>
        <v/>
      </c>
      <c r="W2232" s="102">
        <f t="shared" si="1604"/>
        <v>0</v>
      </c>
      <c r="X2232" s="102">
        <f t="shared" si="1605"/>
        <v>0</v>
      </c>
      <c r="Y2232" s="120" t="b">
        <f t="shared" si="1606"/>
        <v>0</v>
      </c>
      <c r="Z2232" s="117">
        <f t="shared" si="1607"/>
        <v>0</v>
      </c>
      <c r="AA2232" s="118"/>
      <c r="AB2232" s="118" t="str">
        <f t="shared" si="1608"/>
        <v/>
      </c>
      <c r="AC2232" s="712" t="str">
        <f>IF(AE2232="T2G","no charge",IF(AND(OR(PlanterYesMe="No",PlanterYesMe="N",PlanterYesMe="me"),H2232=""),"",IF(H2232="credit","NO install",IF(AND(K2232="",AE2232="me"),"EACH row",IF(AND(K2232="images",AE2232="me"),"EACH row",IF(D2232="","",IF(H2232="credit","",IF(AE2232="free","re-planting",IF(AE2232="me","   not ELP, by",IF(AND(OR(PlanterYesMe="Yes",PlanterYesMe="Y"),G2232&gt;0),(VLOOKUP(A2232,'Discount Lookup'!J:K,2)*G2232*(1-PlanterDiscount)*(1+PlanterDifficultyPercentage)),IF(AE2232="ELP",(VLOOKUP(A2232,'Discount Lookup'!J:K,2)*G2232*(1-PlanterDiscount)*(1+PlanterDifficultyPercentage)),IF(AE2232="free","re-planting",IF(G2232=0,"",IF(PlanterYesMe="",IF(AE2232="me","   not ELP, by",IF(AE2232="",IF(G2232&gt;0,(VLOOKUP(A2232,'Discount Lookup'!J:K,2)*G2232*(1-PlanterDiscount)*(1+PlanterDifficultyPercentage)),""),"")),"   not ELP, by"))))))))))))))</f>
        <v/>
      </c>
      <c r="AD2232" s="712"/>
      <c r="AE2232" s="513" t="str">
        <f t="shared" si="1609"/>
        <v/>
      </c>
      <c r="AF2232" s="713" t="str">
        <f t="shared" si="1610"/>
        <v/>
      </c>
      <c r="AG2232" s="713"/>
      <c r="AH2232" s="713"/>
      <c r="AI2232" s="112">
        <f>IF(H2232="credit",0,IF(AE2232="free",0,IF(AE2232="me",0,IF(G2232&gt;0,(VLOOKUP(A2232,'Discount Lookup'!J:K,2)*G2232),0))))</f>
        <v>0</v>
      </c>
      <c r="AJ2232" s="107" t="str">
        <f t="shared" ca="1" si="1611"/>
        <v/>
      </c>
      <c r="AK2232" s="714" t="str">
        <f t="shared" si="1612"/>
        <v/>
      </c>
      <c r="AL2232" s="714"/>
      <c r="AM2232" s="114" t="str">
        <f t="shared" si="1613"/>
        <v/>
      </c>
      <c r="AN2232" s="115"/>
      <c r="AO2232" s="116"/>
      <c r="AP2232" s="116"/>
      <c r="AQ2232" s="116"/>
      <c r="AR2232" s="116"/>
      <c r="AS2232" s="116"/>
      <c r="AT2232" s="116"/>
      <c r="AU2232" s="116"/>
      <c r="AV2232" s="78"/>
      <c r="AW2232" s="102"/>
      <c r="AX2232" s="78"/>
      <c r="AY2232" s="78"/>
      <c r="AZ2232" s="78"/>
      <c r="BA2232" s="78"/>
      <c r="BB2232" s="78"/>
      <c r="BC2232" s="78"/>
      <c r="BD2232" s="78"/>
      <c r="BE2232" s="465"/>
      <c r="BF2232" s="165" t="str">
        <f t="shared" si="1614"/>
        <v>https://www.google.com/search?tbm=isch&amp;q=Crown%20Point%20Holly%20is%20a%20striking%2C%20columnar%20evergreen%20with%20elongated%20foliage%20and%20a%20compact%20habit.Berries%20if%20pollinated%20</v>
      </c>
      <c r="BG2232" s="165" t="str">
        <f t="shared" si="1615"/>
        <v>C</v>
      </c>
      <c r="BH2232" s="65"/>
      <c r="BI2232" s="65"/>
      <c r="BJ2232" s="65"/>
      <c r="BK2232" s="65"/>
      <c r="BL2232" s="99"/>
      <c r="BM2232" s="99"/>
      <c r="BN2232" s="99"/>
    </row>
    <row r="2233" spans="1:66" s="51" customFormat="1" ht="18" x14ac:dyDescent="0.25">
      <c r="A2233" s="507" t="s">
        <v>2981</v>
      </c>
      <c r="B2233" s="470"/>
      <c r="C2233" s="706"/>
      <c r="D2233" s="471" t="s">
        <v>2982</v>
      </c>
      <c r="E2233" s="472"/>
      <c r="F2233" s="472"/>
      <c r="G2233" s="472"/>
      <c r="H2233" s="622" t="s">
        <v>1124</v>
      </c>
      <c r="I2233" s="473" t="s">
        <v>431</v>
      </c>
      <c r="J2233" s="472"/>
      <c r="K2233" s="472"/>
      <c r="L2233" s="561"/>
      <c r="M2233" s="698" t="s">
        <v>5246</v>
      </c>
      <c r="N2233" s="692" t="str">
        <f>IF(AND(ISTEXT($A2233), ISERROR($A2233+0)), HYPERLINK($BF2233, "Images"), "")</f>
        <v>Images</v>
      </c>
      <c r="O2233" s="694" t="s">
        <v>5247</v>
      </c>
      <c r="P2233" s="475"/>
      <c r="Q2233" s="476"/>
      <c r="R2233" s="476"/>
      <c r="S2233" s="477" t="s">
        <v>294</v>
      </c>
      <c r="T2233" s="102">
        <f t="shared" si="1603"/>
        <v>0</v>
      </c>
      <c r="U2233" s="78" t="str">
        <f>IF(NOT(ISNUMBER(G2233)), "", VLOOKUP(A2233,'Discount Lookup'!D:E,2,FALSE)*G2233)</f>
        <v/>
      </c>
      <c r="V2233" s="78" t="str">
        <f>IF(NOT(ISNUMBER(G2233)), "", VLOOKUP(A2233,'Discount Lookup'!G:H,2,FALSE)*G2233)</f>
        <v/>
      </c>
      <c r="W2233" s="102">
        <f t="shared" si="1604"/>
        <v>0</v>
      </c>
      <c r="X2233" s="102" t="str">
        <f t="shared" si="1605"/>
        <v>Dark Green foliage</v>
      </c>
      <c r="Y2233" s="120" t="b">
        <f t="shared" si="1606"/>
        <v>0</v>
      </c>
      <c r="Z2233" s="117">
        <f t="shared" si="1607"/>
        <v>0</v>
      </c>
      <c r="AA2233" s="118"/>
      <c r="AB2233" s="118" t="str">
        <f t="shared" si="1608"/>
        <v/>
      </c>
      <c r="AC2233" s="712" t="str">
        <f>IF(AE2233="T2G","no charge",IF(AND(OR(PlanterYesMe="No",PlanterYesMe="N",PlanterYesMe="me"),H2233=""),"",IF(H2233="credit","NO install",IF(AND(K2233="",AE2233="me"),"EACH row",IF(AND(K2233="images",AE2233="me"),"EACH row",IF(D2233="","",IF(H2233="credit","",IF(AE2233="free","re-planting",IF(AE2233="me","   not ELP, by",IF(AND(OR(PlanterYesMe="Yes",PlanterYesMe="Y"),G2233&gt;0),(VLOOKUP(A2233,'Discount Lookup'!J:K,2)*G2233*(1-PlanterDiscount)*(1+PlanterDifficultyPercentage)),IF(AE2233="ELP",(VLOOKUP(A2233,'Discount Lookup'!J:K,2)*G2233*(1-PlanterDiscount)*(1+PlanterDifficultyPercentage)),IF(AE2233="free","re-planting",IF(G2233=0,"",IF(PlanterYesMe="",IF(AE2233="me","   not ELP, by",IF(AE2233="",IF(G2233&gt;0,(VLOOKUP(A2233,'Discount Lookup'!J:K,2)*G2233*(1-PlanterDiscount)*(1+PlanterDifficultyPercentage)),""),"")),"   not ELP, by"))))))))))))))</f>
        <v/>
      </c>
      <c r="AD2233" s="712"/>
      <c r="AE2233" s="513" t="str">
        <f t="shared" si="1609"/>
        <v/>
      </c>
      <c r="AF2233" s="713" t="str">
        <f t="shared" si="1610"/>
        <v/>
      </c>
      <c r="AG2233" s="713"/>
      <c r="AH2233" s="713"/>
      <c r="AI2233" s="112">
        <f>IF(H2233="credit",0,IF(AE2233="free",0,IF(AE2233="me",0,IF(G2233&gt;0,(VLOOKUP(A2233,'Discount Lookup'!J:K,2)*G2233),0))))</f>
        <v>0</v>
      </c>
      <c r="AJ2233" s="107" t="str">
        <f t="shared" ca="1" si="1611"/>
        <v/>
      </c>
      <c r="AK2233" s="714" t="str">
        <f t="shared" si="1612"/>
        <v/>
      </c>
      <c r="AL2233" s="714"/>
      <c r="AM2233" s="114" t="str">
        <f t="shared" si="1613"/>
        <v/>
      </c>
      <c r="AN2233" s="115"/>
      <c r="AO2233" s="116"/>
      <c r="AP2233" s="116"/>
      <c r="AQ2233" s="116"/>
      <c r="AR2233" s="116"/>
      <c r="AS2233" s="116"/>
      <c r="AT2233" s="116"/>
      <c r="AU2233" s="116"/>
      <c r="AV2233" s="78"/>
      <c r="AW2233" s="102"/>
      <c r="AX2233" s="78"/>
      <c r="AY2233" s="78"/>
      <c r="AZ2233" s="78"/>
      <c r="BA2233" s="78"/>
      <c r="BB2233" s="78"/>
      <c r="BC2233" s="78"/>
      <c r="BD2233" s="78"/>
      <c r="BE2233" s="465"/>
      <c r="BF2233" s="165" t="str">
        <f t="shared" si="1614"/>
        <v>https://www.google.com/search?tbm=isch&amp;q=Ilex%20glabra%20%27Shamrock%27%20Shamrock%20Inkberry%20Holly</v>
      </c>
      <c r="BG2233" s="165" t="str">
        <f t="shared" si="1615"/>
        <v>I</v>
      </c>
      <c r="BH2233" s="65"/>
      <c r="BI2233" s="65"/>
      <c r="BJ2233" s="65"/>
      <c r="BK2233" s="65"/>
      <c r="BL2233" s="99"/>
      <c r="BM2233" s="99"/>
      <c r="BN2233" s="99"/>
    </row>
    <row r="2234" spans="1:66" s="51" customFormat="1" ht="15.75" x14ac:dyDescent="0.25">
      <c r="A2234" s="478">
        <v>3</v>
      </c>
      <c r="B2234" s="479" t="s">
        <v>291</v>
      </c>
      <c r="C2234" s="480" t="s">
        <v>2983</v>
      </c>
      <c r="D2234" s="481" t="s">
        <v>293</v>
      </c>
      <c r="E2234" s="482">
        <v>38.950000000000003</v>
      </c>
      <c r="F2234" s="483" t="s">
        <v>292</v>
      </c>
      <c r="G2234" s="484">
        <v>0</v>
      </c>
      <c r="H2234" s="688" t="str">
        <f>IF(G2234=0,"",IF(F2234="Buy",IF(G2234=1,"plant","plants"),IF(F2234&gt;0.01,"warranty","Error")))</f>
        <v/>
      </c>
      <c r="I2234" s="485">
        <f>IF(H2234="free",0,IF(H2234="credit",((E2234*(F2234))*G2234*-1),IF(F2234="Buy",(E2234*G2234),((E2234*(1-F2234))*G2234))))</f>
        <v>0</v>
      </c>
      <c r="J2234" s="485">
        <f>IF(H2234="warranty",0,(I2234*(_xlfn.SINGLE(SalesTaxPercentage))))</f>
        <v>0</v>
      </c>
      <c r="K2234" s="715">
        <f t="shared" ref="K2234" si="1649">I2234+J2234</f>
        <v>0</v>
      </c>
      <c r="L2234" s="715"/>
      <c r="M2234" s="689" t="str">
        <f ca="1">IF(AND(G2234&gt;0,E2234=0),"WARNING - no PRICE inserted",IF(H2234="free","FREE ~ no charge this plant",IF(H2234="credit",CONCATENATE("-$",ROUND(K2234*(1-_xlfn.SINGLE(T2GDiscount))*-1,2)," CREDIT after discount"),IF(_xlfn.SINGLE(T2GDiscount)=0,"",IF(G2234=0,"",IF(F2234="Buy",CONCATENATE("$",ROUND(K2234*(1-_xlfn.SINGLE(T2GDiscount)),2)," with ",(_xlfn.SINGLE(T2GDiscount)*100),"% discount"),CONCATENATE("$",ROUND(K2234*(1-_xlfn.SINGLE(T2GDiscount)),2)," with ",((_xlfn.SINGLE(T2GDiscount)*100+F2234*100)-(_xlfn.SINGLE(T2GDiscount)*100*F2234)),IF(F2234&gt;0,"% discounts",IF(_xlfn.SINGLE(NoWarrantyDiscount)&gt;0,"% discounts","% discount")))))))))</f>
        <v/>
      </c>
      <c r="N2234" s="690"/>
      <c r="O2234" s="486"/>
      <c r="P2234" s="486"/>
      <c r="Q2234" s="486"/>
      <c r="R2234" s="486"/>
      <c r="S2234" s="486"/>
      <c r="T2234" s="102">
        <f t="shared" si="1603"/>
        <v>0</v>
      </c>
      <c r="U2234" s="78">
        <f>IF(NOT(ISNUMBER(G2234)), "", VLOOKUP(A2234,'Discount Lookup'!D:E,2,FALSE)*G2234)</f>
        <v>0</v>
      </c>
      <c r="V2234" s="78">
        <f>IF(NOT(ISNUMBER(G2234)), "", VLOOKUP(A2234,'Discount Lookup'!G:H,2,FALSE)*G2234)</f>
        <v>0</v>
      </c>
      <c r="W2234" s="102">
        <f t="shared" si="1604"/>
        <v>0</v>
      </c>
      <c r="X2234" s="102">
        <f t="shared" si="1605"/>
        <v>0</v>
      </c>
      <c r="Y2234" s="120" t="b">
        <f t="shared" si="1606"/>
        <v>0</v>
      </c>
      <c r="Z2234" s="117">
        <f t="shared" si="1607"/>
        <v>0</v>
      </c>
      <c r="AA2234" s="118"/>
      <c r="AB2234" s="118" t="str">
        <f t="shared" si="1608"/>
        <v/>
      </c>
      <c r="AC2234" s="712" t="str">
        <f>IF(AE2234="T2G","no charge",IF(AND(OR(PlanterYesMe="No",PlanterYesMe="N",PlanterYesMe="me"),H2234=""),"",IF(H2234="credit","NO install",IF(AND(K2234="",AE2234="me"),"EACH row",IF(AND(K2234="images",AE2234="me"),"EACH row",IF(D2234="","",IF(H2234="credit","",IF(AE2234="free","re-planting",IF(AE2234="me","   not ELP, by",IF(AND(OR(PlanterYesMe="Yes",PlanterYesMe="Y"),G2234&gt;0),(VLOOKUP(A2234,'Discount Lookup'!J:K,2)*G2234*(1-PlanterDiscount)*(1+PlanterDifficultyPercentage)),IF(AE2234="ELP",(VLOOKUP(A2234,'Discount Lookup'!J:K,2)*G2234*(1-PlanterDiscount)*(1+PlanterDifficultyPercentage)),IF(AE2234="free","re-planting",IF(G2234=0,"",IF(PlanterYesMe="",IF(AE2234="me","   not ELP, by",IF(AE2234="",IF(G2234&gt;0,(VLOOKUP(A2234,'Discount Lookup'!J:K,2)*G2234*(1-PlanterDiscount)*(1+PlanterDifficultyPercentage)),""),"")),"   not ELP, by"))))))))))))))</f>
        <v/>
      </c>
      <c r="AD2234" s="712"/>
      <c r="AE2234" s="513" t="str">
        <f t="shared" si="1609"/>
        <v/>
      </c>
      <c r="AF2234" s="713" t="str">
        <f t="shared" si="1610"/>
        <v/>
      </c>
      <c r="AG2234" s="713"/>
      <c r="AH2234" s="713"/>
      <c r="AI2234" s="112">
        <f>IF(H2234="credit",0,IF(AE2234="free",0,IF(AE2234="me",0,IF(G2234&gt;0,(VLOOKUP(A2234,'Discount Lookup'!J:K,2)*G2234),0))))</f>
        <v>0</v>
      </c>
      <c r="AJ2234" s="107" t="str">
        <f t="shared" ca="1" si="1611"/>
        <v/>
      </c>
      <c r="AK2234" s="714" t="str">
        <f t="shared" si="1612"/>
        <v/>
      </c>
      <c r="AL2234" s="714"/>
      <c r="AM2234" s="114" t="str">
        <f t="shared" si="1613"/>
        <v/>
      </c>
      <c r="AN2234" s="115"/>
      <c r="AO2234" s="116"/>
      <c r="AP2234" s="116"/>
      <c r="AQ2234" s="116"/>
      <c r="AR2234" s="116"/>
      <c r="AS2234" s="116"/>
      <c r="AT2234" s="116"/>
      <c r="AU2234" s="116"/>
      <c r="AV2234" s="78"/>
      <c r="AW2234" s="102"/>
      <c r="AX2234" s="78"/>
      <c r="AY2234" s="78"/>
      <c r="AZ2234" s="78"/>
      <c r="BA2234" s="78"/>
      <c r="BB2234" s="78"/>
      <c r="BC2234" s="78"/>
      <c r="BD2234" s="78"/>
      <c r="BE2234" s="465"/>
      <c r="BF2234" s="165" t="str">
        <f t="shared" si="1614"/>
        <v>https://www.google.com/search?tbm=isch&amp;q=3%20G6</v>
      </c>
      <c r="BG2234" s="165" t="str">
        <f t="shared" si="1615"/>
        <v>I</v>
      </c>
      <c r="BH2234" s="65"/>
      <c r="BI2234" s="65"/>
      <c r="BJ2234" s="65"/>
      <c r="BK2234" s="65"/>
      <c r="BL2234" s="99"/>
      <c r="BM2234" s="99"/>
      <c r="BN2234" s="99"/>
    </row>
    <row r="2235" spans="1:66" s="51" customFormat="1" ht="15.75" x14ac:dyDescent="0.25">
      <c r="A2235" s="478">
        <v>7</v>
      </c>
      <c r="B2235" s="479" t="s">
        <v>291</v>
      </c>
      <c r="C2235" s="480" t="s">
        <v>2984</v>
      </c>
      <c r="D2235" s="481" t="s">
        <v>311</v>
      </c>
      <c r="E2235" s="482">
        <v>56.95</v>
      </c>
      <c r="F2235" s="483" t="s">
        <v>292</v>
      </c>
      <c r="G2235" s="484">
        <v>0</v>
      </c>
      <c r="H2235" s="688" t="str">
        <f>IF(G2235=0,"",IF(F2235="Buy",IF(G2235=1,"plant","plants"),IF(F2235&gt;0.01,"warranty","Error")))</f>
        <v/>
      </c>
      <c r="I2235" s="485">
        <f>IF(H2235="free",0,IF(H2235="credit",((E2235*(F2235))*G2235*-1),IF(F2235="Buy",(E2235*G2235),((E2235*(1-F2235))*G2235))))</f>
        <v>0</v>
      </c>
      <c r="J2235" s="485">
        <f>IF(H2235="warranty",0,(I2235*(_xlfn.SINGLE(SalesTaxPercentage))))</f>
        <v>0</v>
      </c>
      <c r="K2235" s="715">
        <f t="shared" ref="K2235" si="1650">I2235+J2235</f>
        <v>0</v>
      </c>
      <c r="L2235" s="715"/>
      <c r="M2235" s="689" t="str">
        <f ca="1">IF(AND(G2235&gt;0,E2235=0),"WARNING - no PRICE inserted",IF(H2235="free","FREE ~ no charge this plant",IF(H2235="credit",CONCATENATE("-$",ROUND(K2235*(1-_xlfn.SINGLE(T2GDiscount))*-1,2)," CREDIT after discount"),IF(_xlfn.SINGLE(T2GDiscount)=0,"",IF(G2235=0,"",IF(F2235="Buy",CONCATENATE("$",ROUND(K2235*(1-_xlfn.SINGLE(T2GDiscount)),2)," with ",(_xlfn.SINGLE(T2GDiscount)*100),"% discount"),CONCATENATE("$",ROUND(K2235*(1-_xlfn.SINGLE(T2GDiscount)),2)," with ",((_xlfn.SINGLE(T2GDiscount)*100+F2235*100)-(_xlfn.SINGLE(T2GDiscount)*100*F2235)),IF(F2235&gt;0,"% discounts",IF(_xlfn.SINGLE(NoWarrantyDiscount)&gt;0,"% discounts","% discount")))))))))</f>
        <v/>
      </c>
      <c r="N2235" s="690"/>
      <c r="O2235" s="486"/>
      <c r="P2235" s="486"/>
      <c r="Q2235" s="486"/>
      <c r="R2235" s="486"/>
      <c r="S2235" s="486"/>
      <c r="T2235" s="102">
        <f t="shared" si="1603"/>
        <v>0</v>
      </c>
      <c r="U2235" s="78">
        <f>IF(NOT(ISNUMBER(G2235)), "", VLOOKUP(A2235,'Discount Lookup'!D:E,2,FALSE)*G2235)</f>
        <v>0</v>
      </c>
      <c r="V2235" s="78">
        <f>IF(NOT(ISNUMBER(G2235)), "", VLOOKUP(A2235,'Discount Lookup'!G:H,2,FALSE)*G2235)</f>
        <v>0</v>
      </c>
      <c r="W2235" s="102">
        <f t="shared" si="1604"/>
        <v>0</v>
      </c>
      <c r="X2235" s="102">
        <f t="shared" si="1605"/>
        <v>0</v>
      </c>
      <c r="Y2235" s="120" t="b">
        <f t="shared" si="1606"/>
        <v>0</v>
      </c>
      <c r="Z2235" s="117">
        <f t="shared" si="1607"/>
        <v>0</v>
      </c>
      <c r="AA2235" s="118"/>
      <c r="AB2235" s="118" t="str">
        <f t="shared" si="1608"/>
        <v/>
      </c>
      <c r="AC2235" s="712" t="str">
        <f>IF(AE2235="T2G","no charge",IF(AND(OR(PlanterYesMe="No",PlanterYesMe="N",PlanterYesMe="me"),H2235=""),"",IF(H2235="credit","NO install",IF(AND(K2235="",AE2235="me"),"EACH row",IF(AND(K2235="images",AE2235="me"),"EACH row",IF(D2235="","",IF(H2235="credit","",IF(AE2235="free","re-planting",IF(AE2235="me","   not ELP, by",IF(AND(OR(PlanterYesMe="Yes",PlanterYesMe="Y"),G2235&gt;0),(VLOOKUP(A2235,'Discount Lookup'!J:K,2)*G2235*(1-PlanterDiscount)*(1+PlanterDifficultyPercentage)),IF(AE2235="ELP",(VLOOKUP(A2235,'Discount Lookup'!J:K,2)*G2235*(1-PlanterDiscount)*(1+PlanterDifficultyPercentage)),IF(AE2235="free","re-planting",IF(G2235=0,"",IF(PlanterYesMe="",IF(AE2235="me","   not ELP, by",IF(AE2235="",IF(G2235&gt;0,(VLOOKUP(A2235,'Discount Lookup'!J:K,2)*G2235*(1-PlanterDiscount)*(1+PlanterDifficultyPercentage)),""),"")),"   not ELP, by"))))))))))))))</f>
        <v/>
      </c>
      <c r="AD2235" s="712"/>
      <c r="AE2235" s="513" t="str">
        <f t="shared" si="1609"/>
        <v/>
      </c>
      <c r="AF2235" s="713" t="str">
        <f t="shared" si="1610"/>
        <v/>
      </c>
      <c r="AG2235" s="713"/>
      <c r="AH2235" s="713"/>
      <c r="AI2235" s="112">
        <f>IF(H2235="credit",0,IF(AE2235="free",0,IF(AE2235="me",0,IF(G2235&gt;0,(VLOOKUP(A2235,'Discount Lookup'!J:K,2)*G2235),0))))</f>
        <v>0</v>
      </c>
      <c r="AJ2235" s="107" t="str">
        <f t="shared" ca="1" si="1611"/>
        <v/>
      </c>
      <c r="AK2235" s="714" t="str">
        <f t="shared" si="1612"/>
        <v/>
      </c>
      <c r="AL2235" s="714"/>
      <c r="AM2235" s="114" t="str">
        <f t="shared" si="1613"/>
        <v/>
      </c>
      <c r="AN2235" s="115"/>
      <c r="AO2235" s="116"/>
      <c r="AP2235" s="116"/>
      <c r="AQ2235" s="116"/>
      <c r="AR2235" s="116"/>
      <c r="AS2235" s="116"/>
      <c r="AT2235" s="116"/>
      <c r="AU2235" s="116"/>
      <c r="AV2235" s="78"/>
      <c r="AW2235" s="102"/>
      <c r="AX2235" s="78"/>
      <c r="AY2235" s="78"/>
      <c r="AZ2235" s="78"/>
      <c r="BA2235" s="78"/>
      <c r="BB2235" s="78"/>
      <c r="BC2235" s="78"/>
      <c r="BD2235" s="78"/>
      <c r="BE2235" s="465"/>
      <c r="BF2235" s="165" t="str">
        <f t="shared" si="1614"/>
        <v>https://www.google.com/search?tbm=isch&amp;q=7%20G5</v>
      </c>
      <c r="BG2235" s="165" t="str">
        <f t="shared" si="1615"/>
        <v>I</v>
      </c>
      <c r="BH2235" s="65"/>
      <c r="BI2235" s="65"/>
      <c r="BJ2235" s="65"/>
      <c r="BK2235" s="65"/>
      <c r="BL2235" s="99"/>
      <c r="BM2235" s="99"/>
      <c r="BN2235" s="99"/>
    </row>
    <row r="2236" spans="1:66" s="51" customFormat="1" ht="16.5" thickBot="1" x14ac:dyDescent="0.3">
      <c r="A2236" s="705" t="s">
        <v>5452</v>
      </c>
      <c r="B2236" s="487"/>
      <c r="C2236" s="707"/>
      <c r="D2236" s="487"/>
      <c r="E2236" s="487"/>
      <c r="F2236" s="488"/>
      <c r="G2236" s="489"/>
      <c r="H2236" s="487"/>
      <c r="I2236" s="490"/>
      <c r="J2236" s="490"/>
      <c r="K2236" s="491"/>
      <c r="L2236" s="547"/>
      <c r="M2236" s="528"/>
      <c r="N2236" s="492"/>
      <c r="O2236" s="493"/>
      <c r="P2236" s="494"/>
      <c r="Q2236" s="492"/>
      <c r="R2236" s="492"/>
      <c r="S2236" s="699" t="s">
        <v>5259</v>
      </c>
      <c r="T2236" s="102">
        <f t="shared" si="1603"/>
        <v>0</v>
      </c>
      <c r="U2236" s="78" t="str">
        <f>IF(NOT(ISNUMBER(G2236)), "", VLOOKUP(A2236,'Discount Lookup'!D:E,2,FALSE)*G2236)</f>
        <v/>
      </c>
      <c r="V2236" s="78" t="str">
        <f>IF(NOT(ISNUMBER(G2236)), "", VLOOKUP(A2236,'Discount Lookup'!G:H,2,FALSE)*G2236)</f>
        <v/>
      </c>
      <c r="W2236" s="102">
        <f t="shared" si="1604"/>
        <v>0</v>
      </c>
      <c r="X2236" s="102">
        <f t="shared" si="1605"/>
        <v>0</v>
      </c>
      <c r="Y2236" s="120" t="b">
        <f t="shared" si="1606"/>
        <v>0</v>
      </c>
      <c r="Z2236" s="117">
        <f t="shared" si="1607"/>
        <v>0</v>
      </c>
      <c r="AA2236" s="118"/>
      <c r="AB2236" s="118" t="str">
        <f t="shared" si="1608"/>
        <v/>
      </c>
      <c r="AC2236" s="712" t="str">
        <f>IF(AE2236="T2G","no charge",IF(AND(OR(PlanterYesMe="No",PlanterYesMe="N",PlanterYesMe="me"),H2236=""),"",IF(H2236="credit","NO install",IF(AND(K2236="",AE2236="me"),"EACH row",IF(AND(K2236="images",AE2236="me"),"EACH row",IF(D2236="","",IF(H2236="credit","",IF(AE2236="free","re-planting",IF(AE2236="me","   not ELP, by",IF(AND(OR(PlanterYesMe="Yes",PlanterYesMe="Y"),G2236&gt;0),(VLOOKUP(A2236,'Discount Lookup'!J:K,2)*G2236*(1-PlanterDiscount)*(1+PlanterDifficultyPercentage)),IF(AE2236="ELP",(VLOOKUP(A2236,'Discount Lookup'!J:K,2)*G2236*(1-PlanterDiscount)*(1+PlanterDifficultyPercentage)),IF(AE2236="free","re-planting",IF(G2236=0,"",IF(PlanterYesMe="",IF(AE2236="me","   not ELP, by",IF(AE2236="",IF(G2236&gt;0,(VLOOKUP(A2236,'Discount Lookup'!J:K,2)*G2236*(1-PlanterDiscount)*(1+PlanterDifficultyPercentage)),""),"")),"   not ELP, by"))))))))))))))</f>
        <v/>
      </c>
      <c r="AD2236" s="712"/>
      <c r="AE2236" s="513" t="str">
        <f t="shared" si="1609"/>
        <v/>
      </c>
      <c r="AF2236" s="713" t="str">
        <f t="shared" si="1610"/>
        <v/>
      </c>
      <c r="AG2236" s="713"/>
      <c r="AH2236" s="713"/>
      <c r="AI2236" s="112">
        <f>IF(H2236="credit",0,IF(AE2236="free",0,IF(AE2236="me",0,IF(G2236&gt;0,(VLOOKUP(A2236,'Discount Lookup'!J:K,2)*G2236),0))))</f>
        <v>0</v>
      </c>
      <c r="AJ2236" s="107" t="str">
        <f t="shared" ca="1" si="1611"/>
        <v/>
      </c>
      <c r="AK2236" s="714" t="str">
        <f t="shared" si="1612"/>
        <v/>
      </c>
      <c r="AL2236" s="714"/>
      <c r="AM2236" s="114" t="str">
        <f t="shared" si="1613"/>
        <v/>
      </c>
      <c r="AN2236" s="115"/>
      <c r="AO2236" s="116"/>
      <c r="AP2236" s="116"/>
      <c r="AQ2236" s="116"/>
      <c r="AR2236" s="116"/>
      <c r="AS2236" s="116"/>
      <c r="AT2236" s="116"/>
      <c r="AU2236" s="116"/>
      <c r="AV2236" s="78"/>
      <c r="AW2236" s="102"/>
      <c r="AX2236" s="78"/>
      <c r="AY2236" s="78"/>
      <c r="AZ2236" s="78"/>
      <c r="BA2236" s="78"/>
      <c r="BB2236" s="78"/>
      <c r="BC2236" s="78"/>
      <c r="BD2236" s="78"/>
      <c r="BE2236" s="465"/>
      <c r="BF2236" s="165" t="str">
        <f t="shared" si="1614"/>
        <v>https://www.google.com/search?tbm=isch&amp;q=wet%20sites%F0%9F%92%A7GOOD%2C%20Shamrock%20are%20all%20female%2C%20so%20require%20a%20male%20plant%20for%20pea-size%20Black%20winter%20berries.%20Suckers%20less%20than%20other%20Inkberry%20</v>
      </c>
      <c r="BG2236" s="165" t="str">
        <f t="shared" si="1615"/>
        <v>w</v>
      </c>
      <c r="BH2236" s="65"/>
      <c r="BI2236" s="65"/>
      <c r="BJ2236" s="65"/>
      <c r="BK2236" s="65"/>
      <c r="BL2236" s="99"/>
      <c r="BM2236" s="99"/>
      <c r="BN2236" s="99"/>
    </row>
    <row r="2237" spans="1:66" s="51" customFormat="1" ht="18" x14ac:dyDescent="0.25">
      <c r="A2237" s="507" t="s">
        <v>2985</v>
      </c>
      <c r="B2237" s="470"/>
      <c r="C2237" s="706"/>
      <c r="D2237" s="471" t="s">
        <v>5711</v>
      </c>
      <c r="E2237" s="472"/>
      <c r="F2237" s="472"/>
      <c r="G2237" s="472"/>
      <c r="H2237" s="622" t="s">
        <v>1104</v>
      </c>
      <c r="I2237" s="473" t="s">
        <v>522</v>
      </c>
      <c r="J2237" s="472"/>
      <c r="K2237" s="472"/>
      <c r="L2237" s="561"/>
      <c r="M2237" s="698" t="s">
        <v>5246</v>
      </c>
      <c r="N2237" s="692" t="str">
        <f>IF(AND(ISTEXT($A2237), ISERROR($A2237+0)), HYPERLINK($BF2237, "Images"), "")</f>
        <v>Images</v>
      </c>
      <c r="O2237" s="694" t="s">
        <v>5247</v>
      </c>
      <c r="P2237" s="475"/>
      <c r="Q2237" s="476"/>
      <c r="R2237" s="476"/>
      <c r="S2237" s="477" t="s">
        <v>294</v>
      </c>
      <c r="T2237" s="102">
        <f t="shared" si="1603"/>
        <v>0</v>
      </c>
      <c r="U2237" s="78" t="str">
        <f>IF(NOT(ISNUMBER(G2237)), "", VLOOKUP(A2237,'Discount Lookup'!D:E,2,FALSE)*G2237)</f>
        <v/>
      </c>
      <c r="V2237" s="78" t="str">
        <f>IF(NOT(ISNUMBER(G2237)), "", VLOOKUP(A2237,'Discount Lookup'!G:H,2,FALSE)*G2237)</f>
        <v/>
      </c>
      <c r="W2237" s="102">
        <f t="shared" si="1604"/>
        <v>0</v>
      </c>
      <c r="X2237" s="102" t="str">
        <f t="shared" si="1605"/>
        <v>Dark Green folaige</v>
      </c>
      <c r="Y2237" s="120" t="b">
        <f t="shared" si="1606"/>
        <v>0</v>
      </c>
      <c r="Z2237" s="117">
        <f t="shared" si="1607"/>
        <v>0</v>
      </c>
      <c r="AA2237" s="118"/>
      <c r="AB2237" s="118" t="str">
        <f t="shared" si="1608"/>
        <v/>
      </c>
      <c r="AC2237" s="712" t="str">
        <f>IF(AE2237="T2G","no charge",IF(AND(OR(PlanterYesMe="No",PlanterYesMe="N",PlanterYesMe="me"),H2237=""),"",IF(H2237="credit","NO install",IF(AND(K2237="",AE2237="me"),"EACH row",IF(AND(K2237="images",AE2237="me"),"EACH row",IF(D2237="","",IF(H2237="credit","",IF(AE2237="free","re-planting",IF(AE2237="me","   not ELP, by",IF(AND(OR(PlanterYesMe="Yes",PlanterYesMe="Y"),G2237&gt;0),(VLOOKUP(A2237,'Discount Lookup'!J:K,2)*G2237*(1-PlanterDiscount)*(1+PlanterDifficultyPercentage)),IF(AE2237="ELP",(VLOOKUP(A2237,'Discount Lookup'!J:K,2)*G2237*(1-PlanterDiscount)*(1+PlanterDifficultyPercentage)),IF(AE2237="free","re-planting",IF(G2237=0,"",IF(PlanterYesMe="",IF(AE2237="me","   not ELP, by",IF(AE2237="",IF(G2237&gt;0,(VLOOKUP(A2237,'Discount Lookup'!J:K,2)*G2237*(1-PlanterDiscount)*(1+PlanterDifficultyPercentage)),""),"")),"   not ELP, by"))))))))))))))</f>
        <v/>
      </c>
      <c r="AD2237" s="712"/>
      <c r="AE2237" s="513" t="str">
        <f t="shared" si="1609"/>
        <v/>
      </c>
      <c r="AF2237" s="713" t="str">
        <f t="shared" si="1610"/>
        <v/>
      </c>
      <c r="AG2237" s="713"/>
      <c r="AH2237" s="713"/>
      <c r="AI2237" s="112">
        <f>IF(H2237="credit",0,IF(AE2237="free",0,IF(AE2237="me",0,IF(G2237&gt;0,(VLOOKUP(A2237,'Discount Lookup'!J:K,2)*G2237),0))))</f>
        <v>0</v>
      </c>
      <c r="AJ2237" s="107" t="str">
        <f t="shared" ca="1" si="1611"/>
        <v/>
      </c>
      <c r="AK2237" s="714" t="str">
        <f t="shared" si="1612"/>
        <v/>
      </c>
      <c r="AL2237" s="714"/>
      <c r="AM2237" s="114" t="str">
        <f t="shared" si="1613"/>
        <v/>
      </c>
      <c r="AN2237" s="115"/>
      <c r="AO2237" s="116"/>
      <c r="AP2237" s="116"/>
      <c r="AQ2237" s="116"/>
      <c r="AR2237" s="116"/>
      <c r="AS2237" s="116"/>
      <c r="AT2237" s="116"/>
      <c r="AU2237" s="116"/>
      <c r="AV2237" s="78"/>
      <c r="AW2237" s="102"/>
      <c r="AX2237" s="78"/>
      <c r="AY2237" s="78"/>
      <c r="AZ2237" s="78"/>
      <c r="BA2237" s="78"/>
      <c r="BB2237" s="78"/>
      <c r="BC2237" s="78"/>
      <c r="BD2237" s="78"/>
      <c r="BE2237" s="465"/>
      <c r="BF2237" s="165" t="str">
        <f t="shared" si="1614"/>
        <v>https://www.google.com/search?tbm=isch&amp;q=Ilex%20glabra%20%27SMNIGAB17%27%20PP%2327554%20Gem%20Box%C2%AE%20Inkberry%20Holly</v>
      </c>
      <c r="BG2237" s="165" t="str">
        <f t="shared" si="1615"/>
        <v>I</v>
      </c>
      <c r="BH2237" s="65"/>
      <c r="BI2237" s="65"/>
      <c r="BJ2237" s="65"/>
      <c r="BK2237" s="65"/>
      <c r="BL2237" s="99"/>
      <c r="BM2237" s="99"/>
      <c r="BN2237" s="99"/>
    </row>
    <row r="2238" spans="1:66" s="51" customFormat="1" ht="15.75" x14ac:dyDescent="0.25">
      <c r="A2238" s="478">
        <v>3</v>
      </c>
      <c r="B2238" s="479" t="s">
        <v>291</v>
      </c>
      <c r="C2238" s="480" t="s">
        <v>2986</v>
      </c>
      <c r="D2238" s="481" t="s">
        <v>311</v>
      </c>
      <c r="E2238" s="482">
        <v>42.95</v>
      </c>
      <c r="F2238" s="483" t="s">
        <v>292</v>
      </c>
      <c r="G2238" s="484">
        <v>0</v>
      </c>
      <c r="H2238" s="688" t="str">
        <f>IF(G2238=0,"",IF(F2238="Buy",IF(G2238=1,"plant","plants"),IF(F2238&gt;0.01,"warranty","Error")))</f>
        <v/>
      </c>
      <c r="I2238" s="485">
        <f>IF(H2238="free",0,IF(H2238="credit",((E2238*(F2238))*G2238*-1),IF(F2238="Buy",(E2238*G2238),((E2238*(1-F2238))*G2238))))</f>
        <v>0</v>
      </c>
      <c r="J2238" s="485">
        <f>IF(H2238="warranty",0,(I2238*(_xlfn.SINGLE(SalesTaxPercentage))))</f>
        <v>0</v>
      </c>
      <c r="K2238" s="715">
        <f t="shared" ref="K2238" si="1651">I2238+J2238</f>
        <v>0</v>
      </c>
      <c r="L2238" s="715"/>
      <c r="M2238" s="689" t="str">
        <f ca="1">IF(AND(G2238&gt;0,E2238=0),"WARNING - no PRICE inserted",IF(H2238="free","FREE ~ no charge this plant",IF(H2238="credit",CONCATENATE("-$",ROUND(K2238*(1-_xlfn.SINGLE(T2GDiscount))*-1,2)," CREDIT after discount"),IF(_xlfn.SINGLE(T2GDiscount)=0,"",IF(G2238=0,"",IF(F2238="Buy",CONCATENATE("$",ROUND(K2238*(1-_xlfn.SINGLE(T2GDiscount)),2)," with ",(_xlfn.SINGLE(T2GDiscount)*100),"% discount"),CONCATENATE("$",ROUND(K2238*(1-_xlfn.SINGLE(T2GDiscount)),2)," with ",((_xlfn.SINGLE(T2GDiscount)*100+F2238*100)-(_xlfn.SINGLE(T2GDiscount)*100*F2238)),IF(F2238&gt;0,"% discounts",IF(_xlfn.SINGLE(NoWarrantyDiscount)&gt;0,"% discounts","% discount")))))))))</f>
        <v/>
      </c>
      <c r="N2238" s="690"/>
      <c r="O2238" s="486"/>
      <c r="P2238" s="486"/>
      <c r="Q2238" s="486"/>
      <c r="R2238" s="486"/>
      <c r="S2238" s="486"/>
      <c r="T2238" s="102">
        <f t="shared" si="1603"/>
        <v>0</v>
      </c>
      <c r="U2238" s="78">
        <f>IF(NOT(ISNUMBER(G2238)), "", VLOOKUP(A2238,'Discount Lookup'!D:E,2,FALSE)*G2238)</f>
        <v>0</v>
      </c>
      <c r="V2238" s="78">
        <f>IF(NOT(ISNUMBER(G2238)), "", VLOOKUP(A2238,'Discount Lookup'!G:H,2,FALSE)*G2238)</f>
        <v>0</v>
      </c>
      <c r="W2238" s="102">
        <f t="shared" si="1604"/>
        <v>0</v>
      </c>
      <c r="X2238" s="102">
        <f t="shared" si="1605"/>
        <v>0</v>
      </c>
      <c r="Y2238" s="120" t="b">
        <f t="shared" si="1606"/>
        <v>0</v>
      </c>
      <c r="Z2238" s="117">
        <f t="shared" si="1607"/>
        <v>0</v>
      </c>
      <c r="AA2238" s="118"/>
      <c r="AB2238" s="118" t="str">
        <f t="shared" si="1608"/>
        <v/>
      </c>
      <c r="AC2238" s="712" t="str">
        <f>IF(AE2238="T2G","no charge",IF(AND(OR(PlanterYesMe="No",PlanterYesMe="N",PlanterYesMe="me"),H2238=""),"",IF(H2238="credit","NO install",IF(AND(K2238="",AE2238="me"),"EACH row",IF(AND(K2238="images",AE2238="me"),"EACH row",IF(D2238="","",IF(H2238="credit","",IF(AE2238="free","re-planting",IF(AE2238="me","   not ELP, by",IF(AND(OR(PlanterYesMe="Yes",PlanterYesMe="Y"),G2238&gt;0),(VLOOKUP(A2238,'Discount Lookup'!J:K,2)*G2238*(1-PlanterDiscount)*(1+PlanterDifficultyPercentage)),IF(AE2238="ELP",(VLOOKUP(A2238,'Discount Lookup'!J:K,2)*G2238*(1-PlanterDiscount)*(1+PlanterDifficultyPercentage)),IF(AE2238="free","re-planting",IF(G2238=0,"",IF(PlanterYesMe="",IF(AE2238="me","   not ELP, by",IF(AE2238="",IF(G2238&gt;0,(VLOOKUP(A2238,'Discount Lookup'!J:K,2)*G2238*(1-PlanterDiscount)*(1+PlanterDifficultyPercentage)),""),"")),"   not ELP, by"))))))))))))))</f>
        <v/>
      </c>
      <c r="AD2238" s="712"/>
      <c r="AE2238" s="513" t="str">
        <f t="shared" si="1609"/>
        <v/>
      </c>
      <c r="AF2238" s="713" t="str">
        <f t="shared" si="1610"/>
        <v/>
      </c>
      <c r="AG2238" s="713"/>
      <c r="AH2238" s="713"/>
      <c r="AI2238" s="112">
        <f>IF(H2238="credit",0,IF(AE2238="free",0,IF(AE2238="me",0,IF(G2238&gt;0,(VLOOKUP(A2238,'Discount Lookup'!J:K,2)*G2238),0))))</f>
        <v>0</v>
      </c>
      <c r="AJ2238" s="107" t="str">
        <f t="shared" ca="1" si="1611"/>
        <v/>
      </c>
      <c r="AK2238" s="714" t="str">
        <f t="shared" si="1612"/>
        <v/>
      </c>
      <c r="AL2238" s="714"/>
      <c r="AM2238" s="114" t="str">
        <f t="shared" si="1613"/>
        <v/>
      </c>
      <c r="AN2238" s="115"/>
      <c r="AO2238" s="116"/>
      <c r="AP2238" s="116"/>
      <c r="AQ2238" s="116"/>
      <c r="AR2238" s="116"/>
      <c r="AS2238" s="116"/>
      <c r="AT2238" s="116"/>
      <c r="AU2238" s="116"/>
      <c r="AV2238" s="78"/>
      <c r="AW2238" s="102"/>
      <c r="AX2238" s="78"/>
      <c r="AY2238" s="78"/>
      <c r="AZ2238" s="78"/>
      <c r="BA2238" s="78"/>
      <c r="BB2238" s="78"/>
      <c r="BC2238" s="78"/>
      <c r="BD2238" s="78"/>
      <c r="BE2238" s="465"/>
      <c r="BF2238" s="165" t="str">
        <f t="shared" si="1614"/>
        <v>https://www.google.com/search?tbm=isch&amp;q=3%20G5</v>
      </c>
      <c r="BG2238" s="165" t="str">
        <f t="shared" si="1615"/>
        <v>I</v>
      </c>
      <c r="BH2238" s="65"/>
      <c r="BI2238" s="65"/>
      <c r="BJ2238" s="65"/>
      <c r="BK2238" s="65"/>
      <c r="BL2238" s="99"/>
      <c r="BM2238" s="99"/>
      <c r="BN2238" s="99"/>
    </row>
    <row r="2239" spans="1:66" s="51" customFormat="1" ht="16.5" thickBot="1" x14ac:dyDescent="0.3">
      <c r="A2239" s="705" t="s">
        <v>5453</v>
      </c>
      <c r="B2239" s="487"/>
      <c r="C2239" s="707"/>
      <c r="D2239" s="487"/>
      <c r="E2239" s="487"/>
      <c r="F2239" s="488"/>
      <c r="G2239" s="489"/>
      <c r="H2239" s="487"/>
      <c r="I2239" s="490"/>
      <c r="J2239" s="490"/>
      <c r="K2239" s="491"/>
      <c r="L2239" s="547"/>
      <c r="M2239" s="528"/>
      <c r="N2239" s="492"/>
      <c r="O2239" s="493"/>
      <c r="P2239" s="494"/>
      <c r="Q2239" s="492"/>
      <c r="R2239" s="492"/>
      <c r="S2239" s="699" t="s">
        <v>5259</v>
      </c>
      <c r="T2239" s="102">
        <f t="shared" si="1603"/>
        <v>0</v>
      </c>
      <c r="U2239" s="78" t="str">
        <f>IF(NOT(ISNUMBER(G2239)), "", VLOOKUP(A2239,'Discount Lookup'!D:E,2,FALSE)*G2239)</f>
        <v/>
      </c>
      <c r="V2239" s="78" t="str">
        <f>IF(NOT(ISNUMBER(G2239)), "", VLOOKUP(A2239,'Discount Lookup'!G:H,2,FALSE)*G2239)</f>
        <v/>
      </c>
      <c r="W2239" s="102">
        <f t="shared" si="1604"/>
        <v>0</v>
      </c>
      <c r="X2239" s="102">
        <f t="shared" si="1605"/>
        <v>0</v>
      </c>
      <c r="Y2239" s="120" t="b">
        <f t="shared" si="1606"/>
        <v>0</v>
      </c>
      <c r="Z2239" s="117">
        <f t="shared" si="1607"/>
        <v>0</v>
      </c>
      <c r="AA2239" s="118"/>
      <c r="AB2239" s="118" t="str">
        <f t="shared" si="1608"/>
        <v/>
      </c>
      <c r="AC2239" s="712" t="str">
        <f>IF(AE2239="T2G","no charge",IF(AND(OR(PlanterYesMe="No",PlanterYesMe="N",PlanterYesMe="me"),H2239=""),"",IF(H2239="credit","NO install",IF(AND(K2239="",AE2239="me"),"EACH row",IF(AND(K2239="images",AE2239="me"),"EACH row",IF(D2239="","",IF(H2239="credit","",IF(AE2239="free","re-planting",IF(AE2239="me","   not ELP, by",IF(AND(OR(PlanterYesMe="Yes",PlanterYesMe="Y"),G2239&gt;0),(VLOOKUP(A2239,'Discount Lookup'!J:K,2)*G2239*(1-PlanterDiscount)*(1+PlanterDifficultyPercentage)),IF(AE2239="ELP",(VLOOKUP(A2239,'Discount Lookup'!J:K,2)*G2239*(1-PlanterDiscount)*(1+PlanterDifficultyPercentage)),IF(AE2239="free","re-planting",IF(G2239=0,"",IF(PlanterYesMe="",IF(AE2239="me","   not ELP, by",IF(AE2239="",IF(G2239&gt;0,(VLOOKUP(A2239,'Discount Lookup'!J:K,2)*G2239*(1-PlanterDiscount)*(1+PlanterDifficultyPercentage)),""),"")),"   not ELP, by"))))))))))))))</f>
        <v/>
      </c>
      <c r="AD2239" s="712"/>
      <c r="AE2239" s="513" t="str">
        <f t="shared" si="1609"/>
        <v/>
      </c>
      <c r="AF2239" s="713" t="str">
        <f t="shared" si="1610"/>
        <v/>
      </c>
      <c r="AG2239" s="713"/>
      <c r="AH2239" s="713"/>
      <c r="AI2239" s="112">
        <f>IF(H2239="credit",0,IF(AE2239="free",0,IF(AE2239="me",0,IF(G2239&gt;0,(VLOOKUP(A2239,'Discount Lookup'!J:K,2)*G2239),0))))</f>
        <v>0</v>
      </c>
      <c r="AJ2239" s="107" t="str">
        <f t="shared" ca="1" si="1611"/>
        <v/>
      </c>
      <c r="AK2239" s="714" t="str">
        <f t="shared" si="1612"/>
        <v/>
      </c>
      <c r="AL2239" s="714"/>
      <c r="AM2239" s="114" t="str">
        <f t="shared" si="1613"/>
        <v/>
      </c>
      <c r="AN2239" s="115"/>
      <c r="AO2239" s="116"/>
      <c r="AP2239" s="116"/>
      <c r="AQ2239" s="116"/>
      <c r="AR2239" s="116"/>
      <c r="AS2239" s="116"/>
      <c r="AT2239" s="116"/>
      <c r="AU2239" s="116"/>
      <c r="AV2239" s="78"/>
      <c r="AW2239" s="102"/>
      <c r="AX2239" s="78"/>
      <c r="AY2239" s="78"/>
      <c r="AZ2239" s="78"/>
      <c r="BA2239" s="78"/>
      <c r="BB2239" s="78"/>
      <c r="BC2239" s="78"/>
      <c r="BD2239" s="78"/>
      <c r="BE2239" s="465"/>
      <c r="BF2239" s="165" t="str">
        <f t="shared" si="1614"/>
        <v>https://www.google.com/search?tbm=isch&amp;q=wet%20sites%F0%9F%92%A7GOOD%2C%20Gem%20Box%20named%20for%20being%20great%20alternate%20to%20Boxwood.%20Naturally%20rounded.%20Small%20black%20berries%20if%20a%20male%20nearby.%20Tolerant%20</v>
      </c>
      <c r="BG2239" s="165" t="str">
        <f t="shared" si="1615"/>
        <v>w</v>
      </c>
      <c r="BH2239" s="65"/>
      <c r="BI2239" s="65"/>
      <c r="BJ2239" s="65"/>
      <c r="BK2239" s="65"/>
      <c r="BL2239" s="99"/>
      <c r="BM2239" s="99"/>
      <c r="BN2239" s="99"/>
    </row>
    <row r="2240" spans="1:66" s="51" customFormat="1" ht="18" x14ac:dyDescent="0.25">
      <c r="A2240" s="507" t="s">
        <v>2987</v>
      </c>
      <c r="B2240" s="470"/>
      <c r="C2240" s="706"/>
      <c r="D2240" s="471" t="s">
        <v>2988</v>
      </c>
      <c r="E2240" s="472"/>
      <c r="F2240" s="472"/>
      <c r="G2240" s="472"/>
      <c r="H2240" s="622" t="s">
        <v>1246</v>
      </c>
      <c r="I2240" s="473" t="s">
        <v>431</v>
      </c>
      <c r="J2240" s="472"/>
      <c r="K2240" s="472"/>
      <c r="L2240" s="561"/>
      <c r="M2240" s="698" t="s">
        <v>5246</v>
      </c>
      <c r="N2240" s="692" t="str">
        <f>IF(AND(ISTEXT($A2240), ISERROR($A2240+0)), HYPERLINK($BF2240, "Images"), "")</f>
        <v>Images</v>
      </c>
      <c r="O2240" s="694" t="s">
        <v>5289</v>
      </c>
      <c r="P2240" s="475"/>
      <c r="Q2240" s="476"/>
      <c r="R2240" s="476"/>
      <c r="S2240" s="477"/>
      <c r="T2240" s="102">
        <f t="shared" si="1603"/>
        <v>0</v>
      </c>
      <c r="U2240" s="78" t="str">
        <f>IF(NOT(ISNUMBER(G2240)), "", VLOOKUP(A2240,'Discount Lookup'!D:E,2,FALSE)*G2240)</f>
        <v/>
      </c>
      <c r="V2240" s="78" t="str">
        <f>IF(NOT(ISNUMBER(G2240)), "", VLOOKUP(A2240,'Discount Lookup'!G:H,2,FALSE)*G2240)</f>
        <v/>
      </c>
      <c r="W2240" s="102">
        <f t="shared" si="1604"/>
        <v>0</v>
      </c>
      <c r="X2240" s="102" t="str">
        <f t="shared" si="1605"/>
        <v>Dark Green foliage</v>
      </c>
      <c r="Y2240" s="120" t="b">
        <f t="shared" si="1606"/>
        <v>0</v>
      </c>
      <c r="Z2240" s="117">
        <f t="shared" si="1607"/>
        <v>0</v>
      </c>
      <c r="AA2240" s="118"/>
      <c r="AB2240" s="118" t="str">
        <f t="shared" si="1608"/>
        <v/>
      </c>
      <c r="AC2240" s="712" t="str">
        <f>IF(AE2240="T2G","no charge",IF(AND(OR(PlanterYesMe="No",PlanterYesMe="N",PlanterYesMe="me"),H2240=""),"",IF(H2240="credit","NO install",IF(AND(K2240="",AE2240="me"),"EACH row",IF(AND(K2240="images",AE2240="me"),"EACH row",IF(D2240="","",IF(H2240="credit","",IF(AE2240="free","re-planting",IF(AE2240="me","   not ELP, by",IF(AND(OR(PlanterYesMe="Yes",PlanterYesMe="Y"),G2240&gt;0),(VLOOKUP(A2240,'Discount Lookup'!J:K,2)*G2240*(1-PlanterDiscount)*(1+PlanterDifficultyPercentage)),IF(AE2240="ELP",(VLOOKUP(A2240,'Discount Lookup'!J:K,2)*G2240*(1-PlanterDiscount)*(1+PlanterDifficultyPercentage)),IF(AE2240="free","re-planting",IF(G2240=0,"",IF(PlanterYesMe="",IF(AE2240="me","   not ELP, by",IF(AE2240="",IF(G2240&gt;0,(VLOOKUP(A2240,'Discount Lookup'!J:K,2)*G2240*(1-PlanterDiscount)*(1+PlanterDifficultyPercentage)),""),"")),"   not ELP, by"))))))))))))))</f>
        <v/>
      </c>
      <c r="AD2240" s="712"/>
      <c r="AE2240" s="513" t="str">
        <f t="shared" si="1609"/>
        <v/>
      </c>
      <c r="AF2240" s="713" t="str">
        <f t="shared" si="1610"/>
        <v/>
      </c>
      <c r="AG2240" s="713"/>
      <c r="AH2240" s="713"/>
      <c r="AI2240" s="112">
        <f>IF(H2240="credit",0,IF(AE2240="free",0,IF(AE2240="me",0,IF(G2240&gt;0,(VLOOKUP(A2240,'Discount Lookup'!J:K,2)*G2240),0))))</f>
        <v>0</v>
      </c>
      <c r="AJ2240" s="107" t="str">
        <f t="shared" ca="1" si="1611"/>
        <v/>
      </c>
      <c r="AK2240" s="714" t="str">
        <f t="shared" si="1612"/>
        <v/>
      </c>
      <c r="AL2240" s="714"/>
      <c r="AM2240" s="114" t="str">
        <f t="shared" si="1613"/>
        <v/>
      </c>
      <c r="AN2240" s="115"/>
      <c r="AO2240" s="116"/>
      <c r="AP2240" s="116"/>
      <c r="AQ2240" s="116"/>
      <c r="AR2240" s="116"/>
      <c r="AS2240" s="116"/>
      <c r="AT2240" s="116"/>
      <c r="AU2240" s="116"/>
      <c r="AV2240" s="78"/>
      <c r="AW2240" s="102"/>
      <c r="AX2240" s="78"/>
      <c r="AY2240" s="78"/>
      <c r="AZ2240" s="78"/>
      <c r="BA2240" s="78"/>
      <c r="BB2240" s="78"/>
      <c r="BC2240" s="78"/>
      <c r="BD2240" s="78"/>
      <c r="BE2240" s="465"/>
      <c r="BF2240" s="165" t="str">
        <f t="shared" si="1614"/>
        <v>https://www.google.com/search?tbm=isch&amp;q=Ilex%20%27HL10-90%27%20PP%2314477%20Christmas%20Jewel%20Holly</v>
      </c>
      <c r="BG2240" s="165" t="str">
        <f t="shared" si="1615"/>
        <v>I</v>
      </c>
      <c r="BH2240" s="65"/>
      <c r="BI2240" s="65"/>
      <c r="BJ2240" s="65"/>
      <c r="BK2240" s="65"/>
      <c r="BL2240" s="99"/>
      <c r="BM2240" s="99"/>
      <c r="BN2240" s="99"/>
    </row>
    <row r="2241" spans="1:66" s="51" customFormat="1" ht="15.75" x14ac:dyDescent="0.25">
      <c r="A2241" s="478">
        <v>7</v>
      </c>
      <c r="B2241" s="479" t="s">
        <v>291</v>
      </c>
      <c r="C2241" s="480" t="s">
        <v>523</v>
      </c>
      <c r="D2241" s="481" t="s">
        <v>309</v>
      </c>
      <c r="E2241" s="482">
        <v>68.95</v>
      </c>
      <c r="F2241" s="483" t="s">
        <v>292</v>
      </c>
      <c r="G2241" s="484">
        <v>0</v>
      </c>
      <c r="H2241" s="688" t="str">
        <f t="shared" ref="H2241:H2246" si="1652">IF(G2241=0,"",IF(F2241="Buy",IF(G2241=1,"plant","plants"),IF(F2241&gt;0.01,"warranty","Error")))</f>
        <v/>
      </c>
      <c r="I2241" s="485">
        <f t="shared" ref="I2241:I2246" si="1653">IF(H2241="free",0,IF(H2241="credit",((E2241*(F2241))*G2241*-1),IF(F2241="Buy",(E2241*G2241),((E2241*(1-F2241))*G2241))))</f>
        <v>0</v>
      </c>
      <c r="J2241" s="485">
        <f t="shared" ref="J2241:J2246" si="1654">IF(H2241="warranty",0,(I2241*(_xlfn.SINGLE(SalesTaxPercentage))))</f>
        <v>0</v>
      </c>
      <c r="K2241" s="715">
        <f t="shared" ref="K2241" si="1655">I2241+J2241</f>
        <v>0</v>
      </c>
      <c r="L2241" s="715"/>
      <c r="M2241" s="689" t="str">
        <f t="shared" ref="M2241:M2246" ca="1" si="1656">IF(AND(G2241&gt;0,E2241=0),"WARNING - no PRICE inserted",IF(H2241="free","FREE ~ no charge this plant",IF(H2241="credit",CONCATENATE("-$",ROUND(K2241*(1-_xlfn.SINGLE(T2GDiscount))*-1,2)," CREDIT after discount"),IF(_xlfn.SINGLE(T2GDiscount)=0,"",IF(G2241=0,"",IF(F2241="Buy",CONCATENATE("$",ROUND(K2241*(1-_xlfn.SINGLE(T2GDiscount)),2)," with ",(_xlfn.SINGLE(T2GDiscount)*100),"% discount"),CONCATENATE("$",ROUND(K2241*(1-_xlfn.SINGLE(T2GDiscount)),2)," with ",((_xlfn.SINGLE(T2GDiscount)*100+F2241*100)-(_xlfn.SINGLE(T2GDiscount)*100*F2241)),IF(F2241&gt;0,"% discounts",IF(_xlfn.SINGLE(NoWarrantyDiscount)&gt;0,"% discounts","% discount")))))))))</f>
        <v/>
      </c>
      <c r="N2241" s="690"/>
      <c r="O2241" s="486"/>
      <c r="P2241" s="486"/>
      <c r="Q2241" s="486"/>
      <c r="R2241" s="486"/>
      <c r="S2241" s="486"/>
      <c r="T2241" s="102">
        <f t="shared" si="1603"/>
        <v>0</v>
      </c>
      <c r="U2241" s="78">
        <f>IF(NOT(ISNUMBER(G2241)), "", VLOOKUP(A2241,'Discount Lookup'!D:E,2,FALSE)*G2241)</f>
        <v>0</v>
      </c>
      <c r="V2241" s="78">
        <f>IF(NOT(ISNUMBER(G2241)), "", VLOOKUP(A2241,'Discount Lookup'!G:H,2,FALSE)*G2241)</f>
        <v>0</v>
      </c>
      <c r="W2241" s="102">
        <f t="shared" si="1604"/>
        <v>0</v>
      </c>
      <c r="X2241" s="102">
        <f t="shared" si="1605"/>
        <v>0</v>
      </c>
      <c r="Y2241" s="120" t="b">
        <f t="shared" si="1606"/>
        <v>0</v>
      </c>
      <c r="Z2241" s="117">
        <f t="shared" si="1607"/>
        <v>0</v>
      </c>
      <c r="AA2241" s="118"/>
      <c r="AB2241" s="118" t="str">
        <f t="shared" si="1608"/>
        <v/>
      </c>
      <c r="AC2241" s="712" t="str">
        <f>IF(AE2241="T2G","no charge",IF(AND(OR(PlanterYesMe="No",PlanterYesMe="N",PlanterYesMe="me"),H2241=""),"",IF(H2241="credit","NO install",IF(AND(K2241="",AE2241="me"),"EACH row",IF(AND(K2241="images",AE2241="me"),"EACH row",IF(D2241="","",IF(H2241="credit","",IF(AE2241="free","re-planting",IF(AE2241="me","   not ELP, by",IF(AND(OR(PlanterYesMe="Yes",PlanterYesMe="Y"),G2241&gt;0),(VLOOKUP(A2241,'Discount Lookup'!J:K,2)*G2241*(1-PlanterDiscount)*(1+PlanterDifficultyPercentage)),IF(AE2241="ELP",(VLOOKUP(A2241,'Discount Lookup'!J:K,2)*G2241*(1-PlanterDiscount)*(1+PlanterDifficultyPercentage)),IF(AE2241="free","re-planting",IF(G2241=0,"",IF(PlanterYesMe="",IF(AE2241="me","   not ELP, by",IF(AE2241="",IF(G2241&gt;0,(VLOOKUP(A2241,'Discount Lookup'!J:K,2)*G2241*(1-PlanterDiscount)*(1+PlanterDifficultyPercentage)),""),"")),"   not ELP, by"))))))))))))))</f>
        <v/>
      </c>
      <c r="AD2241" s="712"/>
      <c r="AE2241" s="513" t="str">
        <f t="shared" si="1609"/>
        <v/>
      </c>
      <c r="AF2241" s="713" t="str">
        <f t="shared" si="1610"/>
        <v/>
      </c>
      <c r="AG2241" s="713"/>
      <c r="AH2241" s="713"/>
      <c r="AI2241" s="112">
        <f>IF(H2241="credit",0,IF(AE2241="free",0,IF(AE2241="me",0,IF(G2241&gt;0,(VLOOKUP(A2241,'Discount Lookup'!J:K,2)*G2241),0))))</f>
        <v>0</v>
      </c>
      <c r="AJ2241" s="107" t="str">
        <f t="shared" ca="1" si="1611"/>
        <v/>
      </c>
      <c r="AK2241" s="714" t="str">
        <f t="shared" si="1612"/>
        <v/>
      </c>
      <c r="AL2241" s="714"/>
      <c r="AM2241" s="114" t="str">
        <f t="shared" si="1613"/>
        <v/>
      </c>
      <c r="AN2241" s="115"/>
      <c r="AO2241" s="116"/>
      <c r="AP2241" s="116"/>
      <c r="AQ2241" s="116"/>
      <c r="AR2241" s="116"/>
      <c r="AS2241" s="116"/>
      <c r="AT2241" s="116"/>
      <c r="AU2241" s="116"/>
      <c r="AV2241" s="78"/>
      <c r="AW2241" s="102"/>
      <c r="AX2241" s="78"/>
      <c r="AY2241" s="78"/>
      <c r="AZ2241" s="78"/>
      <c r="BA2241" s="78"/>
      <c r="BB2241" s="78"/>
      <c r="BC2241" s="78"/>
      <c r="BD2241" s="78"/>
      <c r="BE2241" s="465"/>
      <c r="BF2241" s="165" t="str">
        <f t="shared" si="1614"/>
        <v>https://www.google.com/search?tbm=isch&amp;q=7%20G3</v>
      </c>
      <c r="BG2241" s="165" t="str">
        <f t="shared" si="1615"/>
        <v>I</v>
      </c>
      <c r="BH2241" s="65"/>
      <c r="BI2241" s="65"/>
      <c r="BJ2241" s="65"/>
      <c r="BK2241" s="65"/>
      <c r="BL2241" s="99"/>
      <c r="BM2241" s="99"/>
      <c r="BN2241" s="99"/>
    </row>
    <row r="2242" spans="1:66" s="51" customFormat="1" ht="15.75" x14ac:dyDescent="0.25">
      <c r="A2242" s="478">
        <v>7</v>
      </c>
      <c r="B2242" s="479" t="s">
        <v>291</v>
      </c>
      <c r="C2242" s="480" t="s">
        <v>2989</v>
      </c>
      <c r="D2242" s="481" t="s">
        <v>311</v>
      </c>
      <c r="E2242" s="482">
        <v>68.95</v>
      </c>
      <c r="F2242" s="483" t="s">
        <v>292</v>
      </c>
      <c r="G2242" s="484">
        <v>0</v>
      </c>
      <c r="H2242" s="688" t="str">
        <f t="shared" si="1652"/>
        <v/>
      </c>
      <c r="I2242" s="485">
        <f t="shared" si="1653"/>
        <v>0</v>
      </c>
      <c r="J2242" s="485">
        <f t="shared" si="1654"/>
        <v>0</v>
      </c>
      <c r="K2242" s="715">
        <f t="shared" ref="K2242" si="1657">I2242+J2242</f>
        <v>0</v>
      </c>
      <c r="L2242" s="715"/>
      <c r="M2242" s="689" t="str">
        <f t="shared" ca="1" si="1656"/>
        <v/>
      </c>
      <c r="N2242" s="690"/>
      <c r="O2242" s="486"/>
      <c r="P2242" s="486"/>
      <c r="Q2242" s="486"/>
      <c r="R2242" s="486"/>
      <c r="S2242" s="486"/>
      <c r="T2242" s="102">
        <f t="shared" si="1603"/>
        <v>0</v>
      </c>
      <c r="U2242" s="78">
        <f>IF(NOT(ISNUMBER(G2242)), "", VLOOKUP(A2242,'Discount Lookup'!D:E,2,FALSE)*G2242)</f>
        <v>0</v>
      </c>
      <c r="V2242" s="78">
        <f>IF(NOT(ISNUMBER(G2242)), "", VLOOKUP(A2242,'Discount Lookup'!G:H,2,FALSE)*G2242)</f>
        <v>0</v>
      </c>
      <c r="W2242" s="102">
        <f t="shared" si="1604"/>
        <v>0</v>
      </c>
      <c r="X2242" s="102">
        <f t="shared" si="1605"/>
        <v>0</v>
      </c>
      <c r="Y2242" s="120" t="b">
        <f t="shared" si="1606"/>
        <v>0</v>
      </c>
      <c r="Z2242" s="117">
        <f t="shared" si="1607"/>
        <v>0</v>
      </c>
      <c r="AA2242" s="118"/>
      <c r="AB2242" s="118" t="str">
        <f t="shared" si="1608"/>
        <v/>
      </c>
      <c r="AC2242" s="712" t="str">
        <f>IF(AE2242="T2G","no charge",IF(AND(OR(PlanterYesMe="No",PlanterYesMe="N",PlanterYesMe="me"),H2242=""),"",IF(H2242="credit","NO install",IF(AND(K2242="",AE2242="me"),"EACH row",IF(AND(K2242="images",AE2242="me"),"EACH row",IF(D2242="","",IF(H2242="credit","",IF(AE2242="free","re-planting",IF(AE2242="me","   not ELP, by",IF(AND(OR(PlanterYesMe="Yes",PlanterYesMe="Y"),G2242&gt;0),(VLOOKUP(A2242,'Discount Lookup'!J:K,2)*G2242*(1-PlanterDiscount)*(1+PlanterDifficultyPercentage)),IF(AE2242="ELP",(VLOOKUP(A2242,'Discount Lookup'!J:K,2)*G2242*(1-PlanterDiscount)*(1+PlanterDifficultyPercentage)),IF(AE2242="free","re-planting",IF(G2242=0,"",IF(PlanterYesMe="",IF(AE2242="me","   not ELP, by",IF(AE2242="",IF(G2242&gt;0,(VLOOKUP(A2242,'Discount Lookup'!J:K,2)*G2242*(1-PlanterDiscount)*(1+PlanterDifficultyPercentage)),""),"")),"   not ELP, by"))))))))))))))</f>
        <v/>
      </c>
      <c r="AD2242" s="712"/>
      <c r="AE2242" s="513" t="str">
        <f t="shared" si="1609"/>
        <v/>
      </c>
      <c r="AF2242" s="713" t="str">
        <f t="shared" si="1610"/>
        <v/>
      </c>
      <c r="AG2242" s="713"/>
      <c r="AH2242" s="713"/>
      <c r="AI2242" s="112">
        <f>IF(H2242="credit",0,IF(AE2242="free",0,IF(AE2242="me",0,IF(G2242&gt;0,(VLOOKUP(A2242,'Discount Lookup'!J:K,2)*G2242),0))))</f>
        <v>0</v>
      </c>
      <c r="AJ2242" s="107" t="str">
        <f t="shared" ca="1" si="1611"/>
        <v/>
      </c>
      <c r="AK2242" s="714" t="str">
        <f t="shared" si="1612"/>
        <v/>
      </c>
      <c r="AL2242" s="714"/>
      <c r="AM2242" s="114" t="str">
        <f t="shared" si="1613"/>
        <v/>
      </c>
      <c r="AN2242" s="115"/>
      <c r="AO2242" s="116"/>
      <c r="AP2242" s="116"/>
      <c r="AQ2242" s="116"/>
      <c r="AR2242" s="116"/>
      <c r="AS2242" s="116"/>
      <c r="AT2242" s="116"/>
      <c r="AU2242" s="116"/>
      <c r="AV2242" s="78"/>
      <c r="AW2242" s="102"/>
      <c r="AX2242" s="78"/>
      <c r="AY2242" s="78"/>
      <c r="AZ2242" s="78"/>
      <c r="BA2242" s="78"/>
      <c r="BB2242" s="78"/>
      <c r="BC2242" s="78"/>
      <c r="BD2242" s="78"/>
      <c r="BE2242" s="465"/>
      <c r="BF2242" s="165" t="str">
        <f t="shared" si="1614"/>
        <v>https://www.google.com/search?tbm=isch&amp;q=7%20G5</v>
      </c>
      <c r="BG2242" s="165" t="str">
        <f t="shared" si="1615"/>
        <v>I</v>
      </c>
      <c r="BH2242" s="65"/>
      <c r="BI2242" s="65"/>
      <c r="BJ2242" s="65"/>
      <c r="BK2242" s="65"/>
      <c r="BL2242" s="99"/>
      <c r="BM2242" s="99"/>
      <c r="BN2242" s="99"/>
    </row>
    <row r="2243" spans="1:66" s="51" customFormat="1" ht="27" x14ac:dyDescent="0.25">
      <c r="A2243" s="478">
        <v>7</v>
      </c>
      <c r="B2243" s="479" t="s">
        <v>291</v>
      </c>
      <c r="C2243" s="480" t="s">
        <v>2990</v>
      </c>
      <c r="D2243" s="481" t="s">
        <v>299</v>
      </c>
      <c r="E2243" s="482">
        <v>118.95</v>
      </c>
      <c r="F2243" s="483" t="s">
        <v>292</v>
      </c>
      <c r="G2243" s="484">
        <v>0</v>
      </c>
      <c r="H2243" s="688" t="str">
        <f t="shared" si="1652"/>
        <v/>
      </c>
      <c r="I2243" s="485">
        <f t="shared" si="1653"/>
        <v>0</v>
      </c>
      <c r="J2243" s="485">
        <f t="shared" si="1654"/>
        <v>0</v>
      </c>
      <c r="K2243" s="715">
        <f t="shared" ref="K2243" si="1658">I2243+J2243</f>
        <v>0</v>
      </c>
      <c r="L2243" s="715"/>
      <c r="M2243" s="689" t="str">
        <f t="shared" ca="1" si="1656"/>
        <v/>
      </c>
      <c r="N2243" s="690"/>
      <c r="O2243" s="486"/>
      <c r="P2243" s="486"/>
      <c r="Q2243" s="486"/>
      <c r="R2243" s="486"/>
      <c r="S2243" s="486"/>
      <c r="T2243" s="102">
        <f t="shared" si="1603"/>
        <v>0</v>
      </c>
      <c r="U2243" s="78">
        <f>IF(NOT(ISNUMBER(G2243)), "", VLOOKUP(A2243,'Discount Lookup'!D:E,2,FALSE)*G2243)</f>
        <v>0</v>
      </c>
      <c r="V2243" s="78">
        <f>IF(NOT(ISNUMBER(G2243)), "", VLOOKUP(A2243,'Discount Lookup'!G:H,2,FALSE)*G2243)</f>
        <v>0</v>
      </c>
      <c r="W2243" s="102">
        <f t="shared" si="1604"/>
        <v>0</v>
      </c>
      <c r="X2243" s="102">
        <f t="shared" si="1605"/>
        <v>0</v>
      </c>
      <c r="Y2243" s="120" t="b">
        <f t="shared" si="1606"/>
        <v>0</v>
      </c>
      <c r="Z2243" s="117">
        <f t="shared" si="1607"/>
        <v>0</v>
      </c>
      <c r="AA2243" s="118"/>
      <c r="AB2243" s="118" t="str">
        <f t="shared" si="1608"/>
        <v/>
      </c>
      <c r="AC2243" s="712" t="str">
        <f>IF(AE2243="T2G","no charge",IF(AND(OR(PlanterYesMe="No",PlanterYesMe="N",PlanterYesMe="me"),H2243=""),"",IF(H2243="credit","NO install",IF(AND(K2243="",AE2243="me"),"EACH row",IF(AND(K2243="images",AE2243="me"),"EACH row",IF(D2243="","",IF(H2243="credit","",IF(AE2243="free","re-planting",IF(AE2243="me","   not ELP, by",IF(AND(OR(PlanterYesMe="Yes",PlanterYesMe="Y"),G2243&gt;0),(VLOOKUP(A2243,'Discount Lookup'!J:K,2)*G2243*(1-PlanterDiscount)*(1+PlanterDifficultyPercentage)),IF(AE2243="ELP",(VLOOKUP(A2243,'Discount Lookup'!J:K,2)*G2243*(1-PlanterDiscount)*(1+PlanterDifficultyPercentage)),IF(AE2243="free","re-planting",IF(G2243=0,"",IF(PlanterYesMe="",IF(AE2243="me","   not ELP, by",IF(AE2243="",IF(G2243&gt;0,(VLOOKUP(A2243,'Discount Lookup'!J:K,2)*G2243*(1-PlanterDiscount)*(1+PlanterDifficultyPercentage)),""),"")),"   not ELP, by"))))))))))))))</f>
        <v/>
      </c>
      <c r="AD2243" s="712"/>
      <c r="AE2243" s="513" t="str">
        <f t="shared" si="1609"/>
        <v/>
      </c>
      <c r="AF2243" s="713" t="str">
        <f t="shared" si="1610"/>
        <v/>
      </c>
      <c r="AG2243" s="713"/>
      <c r="AH2243" s="713"/>
      <c r="AI2243" s="112">
        <f>IF(H2243="credit",0,IF(AE2243="free",0,IF(AE2243="me",0,IF(G2243&gt;0,(VLOOKUP(A2243,'Discount Lookup'!J:K,2)*G2243),0))))</f>
        <v>0</v>
      </c>
      <c r="AJ2243" s="107" t="str">
        <f t="shared" ca="1" si="1611"/>
        <v/>
      </c>
      <c r="AK2243" s="714" t="str">
        <f t="shared" si="1612"/>
        <v/>
      </c>
      <c r="AL2243" s="714"/>
      <c r="AM2243" s="114" t="str">
        <f t="shared" si="1613"/>
        <v/>
      </c>
      <c r="AN2243" s="115"/>
      <c r="AO2243" s="116"/>
      <c r="AP2243" s="116"/>
      <c r="AQ2243" s="116"/>
      <c r="AR2243" s="116"/>
      <c r="AS2243" s="116"/>
      <c r="AT2243" s="116"/>
      <c r="AU2243" s="116"/>
      <c r="AV2243" s="78"/>
      <c r="AW2243" s="102"/>
      <c r="AX2243" s="78"/>
      <c r="AY2243" s="78"/>
      <c r="AZ2243" s="78"/>
      <c r="BA2243" s="78"/>
      <c r="BB2243" s="78"/>
      <c r="BC2243" s="78"/>
      <c r="BD2243" s="78"/>
      <c r="BE2243" s="465"/>
      <c r="BF2243" s="165" t="str">
        <f t="shared" si="1614"/>
        <v>https://www.google.com/search?tbm=isch&amp;q=7%20G4</v>
      </c>
      <c r="BG2243" s="165" t="str">
        <f t="shared" si="1615"/>
        <v>I</v>
      </c>
      <c r="BH2243" s="65"/>
      <c r="BI2243" s="65"/>
      <c r="BJ2243" s="65"/>
      <c r="BK2243" s="65"/>
      <c r="BL2243" s="99"/>
      <c r="BM2243" s="99"/>
      <c r="BN2243" s="99"/>
    </row>
    <row r="2244" spans="1:66" s="51" customFormat="1" ht="15.75" x14ac:dyDescent="0.25">
      <c r="A2244" s="478">
        <v>15</v>
      </c>
      <c r="B2244" s="479" t="s">
        <v>291</v>
      </c>
      <c r="C2244" s="480" t="s">
        <v>2991</v>
      </c>
      <c r="D2244" s="481" t="s">
        <v>311</v>
      </c>
      <c r="E2244" s="482">
        <v>171.95</v>
      </c>
      <c r="F2244" s="483" t="s">
        <v>292</v>
      </c>
      <c r="G2244" s="484">
        <v>0</v>
      </c>
      <c r="H2244" s="688" t="str">
        <f t="shared" si="1652"/>
        <v/>
      </c>
      <c r="I2244" s="485">
        <f t="shared" si="1653"/>
        <v>0</v>
      </c>
      <c r="J2244" s="485">
        <f t="shared" si="1654"/>
        <v>0</v>
      </c>
      <c r="K2244" s="715">
        <f t="shared" ref="K2244" si="1659">I2244+J2244</f>
        <v>0</v>
      </c>
      <c r="L2244" s="715"/>
      <c r="M2244" s="689" t="str">
        <f t="shared" ca="1" si="1656"/>
        <v/>
      </c>
      <c r="N2244" s="690"/>
      <c r="O2244" s="486"/>
      <c r="P2244" s="486"/>
      <c r="Q2244" s="486"/>
      <c r="R2244" s="486"/>
      <c r="S2244" s="486"/>
      <c r="T2244" s="102">
        <f t="shared" si="1603"/>
        <v>0</v>
      </c>
      <c r="U2244" s="78">
        <f>IF(NOT(ISNUMBER(G2244)), "", VLOOKUP(A2244,'Discount Lookup'!D:E,2,FALSE)*G2244)</f>
        <v>0</v>
      </c>
      <c r="V2244" s="78">
        <f>IF(NOT(ISNUMBER(G2244)), "", VLOOKUP(A2244,'Discount Lookup'!G:H,2,FALSE)*G2244)</f>
        <v>0</v>
      </c>
      <c r="W2244" s="102">
        <f t="shared" si="1604"/>
        <v>0</v>
      </c>
      <c r="X2244" s="102">
        <f t="shared" si="1605"/>
        <v>0</v>
      </c>
      <c r="Y2244" s="120" t="b">
        <f t="shared" si="1606"/>
        <v>0</v>
      </c>
      <c r="Z2244" s="117">
        <f t="shared" si="1607"/>
        <v>0</v>
      </c>
      <c r="AA2244" s="118"/>
      <c r="AB2244" s="118" t="str">
        <f t="shared" si="1608"/>
        <v/>
      </c>
      <c r="AC2244" s="712" t="str">
        <f>IF(AE2244="T2G","no charge",IF(AND(OR(PlanterYesMe="No",PlanterYesMe="N",PlanterYesMe="me"),H2244=""),"",IF(H2244="credit","NO install",IF(AND(K2244="",AE2244="me"),"EACH row",IF(AND(K2244="images",AE2244="me"),"EACH row",IF(D2244="","",IF(H2244="credit","",IF(AE2244="free","re-planting",IF(AE2244="me","   not ELP, by",IF(AND(OR(PlanterYesMe="Yes",PlanterYesMe="Y"),G2244&gt;0),(VLOOKUP(A2244,'Discount Lookup'!J:K,2)*G2244*(1-PlanterDiscount)*(1+PlanterDifficultyPercentage)),IF(AE2244="ELP",(VLOOKUP(A2244,'Discount Lookup'!J:K,2)*G2244*(1-PlanterDiscount)*(1+PlanterDifficultyPercentage)),IF(AE2244="free","re-planting",IF(G2244=0,"",IF(PlanterYesMe="",IF(AE2244="me","   not ELP, by",IF(AE2244="",IF(G2244&gt;0,(VLOOKUP(A2244,'Discount Lookup'!J:K,2)*G2244*(1-PlanterDiscount)*(1+PlanterDifficultyPercentage)),""),"")),"   not ELP, by"))))))))))))))</f>
        <v/>
      </c>
      <c r="AD2244" s="712"/>
      <c r="AE2244" s="513" t="str">
        <f t="shared" si="1609"/>
        <v/>
      </c>
      <c r="AF2244" s="713" t="str">
        <f t="shared" si="1610"/>
        <v/>
      </c>
      <c r="AG2244" s="713"/>
      <c r="AH2244" s="713"/>
      <c r="AI2244" s="112">
        <f>IF(H2244="credit",0,IF(AE2244="free",0,IF(AE2244="me",0,IF(G2244&gt;0,(VLOOKUP(A2244,'Discount Lookup'!J:K,2)*G2244),0))))</f>
        <v>0</v>
      </c>
      <c r="AJ2244" s="107" t="str">
        <f t="shared" ca="1" si="1611"/>
        <v/>
      </c>
      <c r="AK2244" s="714" t="str">
        <f t="shared" si="1612"/>
        <v/>
      </c>
      <c r="AL2244" s="714"/>
      <c r="AM2244" s="114" t="str">
        <f t="shared" si="1613"/>
        <v/>
      </c>
      <c r="AN2244" s="115"/>
      <c r="AO2244" s="116"/>
      <c r="AP2244" s="116"/>
      <c r="AQ2244" s="116"/>
      <c r="AR2244" s="116"/>
      <c r="AS2244" s="116"/>
      <c r="AT2244" s="116"/>
      <c r="AU2244" s="116"/>
      <c r="AV2244" s="78"/>
      <c r="AW2244" s="102"/>
      <c r="AX2244" s="78"/>
      <c r="AY2244" s="78"/>
      <c r="AZ2244" s="78"/>
      <c r="BA2244" s="78"/>
      <c r="BB2244" s="78"/>
      <c r="BC2244" s="78"/>
      <c r="BD2244" s="78"/>
      <c r="BE2244" s="465"/>
      <c r="BF2244" s="165" t="str">
        <f t="shared" si="1614"/>
        <v>https://www.google.com/search?tbm=isch&amp;q=15%20G5</v>
      </c>
      <c r="BG2244" s="165" t="str">
        <f t="shared" si="1615"/>
        <v>I</v>
      </c>
      <c r="BH2244" s="65"/>
      <c r="BI2244" s="65"/>
      <c r="BJ2244" s="65"/>
      <c r="BK2244" s="65"/>
      <c r="BL2244" s="99"/>
      <c r="BM2244" s="99"/>
      <c r="BN2244" s="99"/>
    </row>
    <row r="2245" spans="1:66" s="51" customFormat="1" ht="27" x14ac:dyDescent="0.25">
      <c r="A2245" s="478">
        <v>15</v>
      </c>
      <c r="B2245" s="479" t="s">
        <v>291</v>
      </c>
      <c r="C2245" s="480" t="s">
        <v>2992</v>
      </c>
      <c r="D2245" s="481" t="s">
        <v>299</v>
      </c>
      <c r="E2245" s="482">
        <v>180.95</v>
      </c>
      <c r="F2245" s="483" t="s">
        <v>292</v>
      </c>
      <c r="G2245" s="484">
        <v>0</v>
      </c>
      <c r="H2245" s="688" t="str">
        <f t="shared" si="1652"/>
        <v/>
      </c>
      <c r="I2245" s="485">
        <f t="shared" si="1653"/>
        <v>0</v>
      </c>
      <c r="J2245" s="485">
        <f t="shared" si="1654"/>
        <v>0</v>
      </c>
      <c r="K2245" s="715">
        <f t="shared" ref="K2245" si="1660">I2245+J2245</f>
        <v>0</v>
      </c>
      <c r="L2245" s="715"/>
      <c r="M2245" s="689" t="str">
        <f t="shared" ca="1" si="1656"/>
        <v/>
      </c>
      <c r="N2245" s="690"/>
      <c r="O2245" s="486"/>
      <c r="P2245" s="486"/>
      <c r="Q2245" s="486"/>
      <c r="R2245" s="486"/>
      <c r="S2245" s="486"/>
      <c r="T2245" s="102">
        <f t="shared" si="1603"/>
        <v>0</v>
      </c>
      <c r="U2245" s="78">
        <f>IF(NOT(ISNUMBER(G2245)), "", VLOOKUP(A2245,'Discount Lookup'!D:E,2,FALSE)*G2245)</f>
        <v>0</v>
      </c>
      <c r="V2245" s="78">
        <f>IF(NOT(ISNUMBER(G2245)), "", VLOOKUP(A2245,'Discount Lookup'!G:H,2,FALSE)*G2245)</f>
        <v>0</v>
      </c>
      <c r="W2245" s="102">
        <f t="shared" si="1604"/>
        <v>0</v>
      </c>
      <c r="X2245" s="102">
        <f t="shared" si="1605"/>
        <v>0</v>
      </c>
      <c r="Y2245" s="120" t="b">
        <f t="shared" si="1606"/>
        <v>0</v>
      </c>
      <c r="Z2245" s="117">
        <f t="shared" si="1607"/>
        <v>0</v>
      </c>
      <c r="AA2245" s="118"/>
      <c r="AB2245" s="118" t="str">
        <f t="shared" si="1608"/>
        <v/>
      </c>
      <c r="AC2245" s="712" t="str">
        <f>IF(AE2245="T2G","no charge",IF(AND(OR(PlanterYesMe="No",PlanterYesMe="N",PlanterYesMe="me"),H2245=""),"",IF(H2245="credit","NO install",IF(AND(K2245="",AE2245="me"),"EACH row",IF(AND(K2245="images",AE2245="me"),"EACH row",IF(D2245="","",IF(H2245="credit","",IF(AE2245="free","re-planting",IF(AE2245="me","   not ELP, by",IF(AND(OR(PlanterYesMe="Yes",PlanterYesMe="Y"),G2245&gt;0),(VLOOKUP(A2245,'Discount Lookup'!J:K,2)*G2245*(1-PlanterDiscount)*(1+PlanterDifficultyPercentage)),IF(AE2245="ELP",(VLOOKUP(A2245,'Discount Lookup'!J:K,2)*G2245*(1-PlanterDiscount)*(1+PlanterDifficultyPercentage)),IF(AE2245="free","re-planting",IF(G2245=0,"",IF(PlanterYesMe="",IF(AE2245="me","   not ELP, by",IF(AE2245="",IF(G2245&gt;0,(VLOOKUP(A2245,'Discount Lookup'!J:K,2)*G2245*(1-PlanterDiscount)*(1+PlanterDifficultyPercentage)),""),"")),"   not ELP, by"))))))))))))))</f>
        <v/>
      </c>
      <c r="AD2245" s="712"/>
      <c r="AE2245" s="513" t="str">
        <f t="shared" si="1609"/>
        <v/>
      </c>
      <c r="AF2245" s="713" t="str">
        <f t="shared" si="1610"/>
        <v/>
      </c>
      <c r="AG2245" s="713"/>
      <c r="AH2245" s="713"/>
      <c r="AI2245" s="112">
        <f>IF(H2245="credit",0,IF(AE2245="free",0,IF(AE2245="me",0,IF(G2245&gt;0,(VLOOKUP(A2245,'Discount Lookup'!J:K,2)*G2245),0))))</f>
        <v>0</v>
      </c>
      <c r="AJ2245" s="107" t="str">
        <f t="shared" ca="1" si="1611"/>
        <v/>
      </c>
      <c r="AK2245" s="714" t="str">
        <f t="shared" si="1612"/>
        <v/>
      </c>
      <c r="AL2245" s="714"/>
      <c r="AM2245" s="114" t="str">
        <f t="shared" si="1613"/>
        <v/>
      </c>
      <c r="AN2245" s="115"/>
      <c r="AO2245" s="116"/>
      <c r="AP2245" s="116"/>
      <c r="AQ2245" s="116"/>
      <c r="AR2245" s="116"/>
      <c r="AS2245" s="116"/>
      <c r="AT2245" s="116"/>
      <c r="AU2245" s="116"/>
      <c r="AV2245" s="78"/>
      <c r="AW2245" s="102"/>
      <c r="AX2245" s="78"/>
      <c r="AY2245" s="78"/>
      <c r="AZ2245" s="78"/>
      <c r="BA2245" s="78"/>
      <c r="BB2245" s="78"/>
      <c r="BC2245" s="78"/>
      <c r="BD2245" s="78"/>
      <c r="BE2245" s="465"/>
      <c r="BF2245" s="165" t="str">
        <f t="shared" si="1614"/>
        <v>https://www.google.com/search?tbm=isch&amp;q=15%20G4</v>
      </c>
      <c r="BG2245" s="165" t="str">
        <f t="shared" si="1615"/>
        <v>I</v>
      </c>
      <c r="BH2245" s="65"/>
      <c r="BI2245" s="65"/>
      <c r="BJ2245" s="65"/>
      <c r="BK2245" s="65"/>
      <c r="BL2245" s="99"/>
      <c r="BM2245" s="99"/>
      <c r="BN2245" s="99"/>
    </row>
    <row r="2246" spans="1:66" s="51" customFormat="1" ht="15.75" x14ac:dyDescent="0.25">
      <c r="A2246" s="478">
        <v>30</v>
      </c>
      <c r="B2246" s="479" t="s">
        <v>291</v>
      </c>
      <c r="C2246" s="480" t="s">
        <v>2993</v>
      </c>
      <c r="D2246" s="481" t="s">
        <v>311</v>
      </c>
      <c r="E2246" s="482">
        <v>353.95</v>
      </c>
      <c r="F2246" s="483" t="s">
        <v>292</v>
      </c>
      <c r="G2246" s="484">
        <v>0</v>
      </c>
      <c r="H2246" s="688" t="str">
        <f t="shared" si="1652"/>
        <v/>
      </c>
      <c r="I2246" s="485">
        <f t="shared" si="1653"/>
        <v>0</v>
      </c>
      <c r="J2246" s="485">
        <f t="shared" si="1654"/>
        <v>0</v>
      </c>
      <c r="K2246" s="715">
        <f t="shared" ref="K2246" si="1661">I2246+J2246</f>
        <v>0</v>
      </c>
      <c r="L2246" s="715"/>
      <c r="M2246" s="689" t="str">
        <f t="shared" ca="1" si="1656"/>
        <v/>
      </c>
      <c r="N2246" s="690"/>
      <c r="O2246" s="486"/>
      <c r="P2246" s="486"/>
      <c r="Q2246" s="486"/>
      <c r="R2246" s="486"/>
      <c r="S2246" s="486"/>
      <c r="T2246" s="102">
        <f t="shared" si="1603"/>
        <v>0</v>
      </c>
      <c r="U2246" s="78">
        <f>IF(NOT(ISNUMBER(G2246)), "", VLOOKUP(A2246,'Discount Lookup'!D:E,2,FALSE)*G2246)</f>
        <v>0</v>
      </c>
      <c r="V2246" s="78">
        <f>IF(NOT(ISNUMBER(G2246)), "", VLOOKUP(A2246,'Discount Lookup'!G:H,2,FALSE)*G2246)</f>
        <v>0</v>
      </c>
      <c r="W2246" s="102">
        <f t="shared" si="1604"/>
        <v>0</v>
      </c>
      <c r="X2246" s="102">
        <f t="shared" si="1605"/>
        <v>0</v>
      </c>
      <c r="Y2246" s="120" t="b">
        <f t="shared" si="1606"/>
        <v>0</v>
      </c>
      <c r="Z2246" s="117">
        <f t="shared" si="1607"/>
        <v>0</v>
      </c>
      <c r="AA2246" s="118"/>
      <c r="AB2246" s="118" t="str">
        <f t="shared" si="1608"/>
        <v/>
      </c>
      <c r="AC2246" s="712" t="str">
        <f>IF(AE2246="T2G","no charge",IF(AND(OR(PlanterYesMe="No",PlanterYesMe="N",PlanterYesMe="me"),H2246=""),"",IF(H2246="credit","NO install",IF(AND(K2246="",AE2246="me"),"EACH row",IF(AND(K2246="images",AE2246="me"),"EACH row",IF(D2246="","",IF(H2246="credit","",IF(AE2246="free","re-planting",IF(AE2246="me","   not ELP, by",IF(AND(OR(PlanterYesMe="Yes",PlanterYesMe="Y"),G2246&gt;0),(VLOOKUP(A2246,'Discount Lookup'!J:K,2)*G2246*(1-PlanterDiscount)*(1+PlanterDifficultyPercentage)),IF(AE2246="ELP",(VLOOKUP(A2246,'Discount Lookup'!J:K,2)*G2246*(1-PlanterDiscount)*(1+PlanterDifficultyPercentage)),IF(AE2246="free","re-planting",IF(G2246=0,"",IF(PlanterYesMe="",IF(AE2246="me","   not ELP, by",IF(AE2246="",IF(G2246&gt;0,(VLOOKUP(A2246,'Discount Lookup'!J:K,2)*G2246*(1-PlanterDiscount)*(1+PlanterDifficultyPercentage)),""),"")),"   not ELP, by"))))))))))))))</f>
        <v/>
      </c>
      <c r="AD2246" s="712"/>
      <c r="AE2246" s="513" t="str">
        <f t="shared" si="1609"/>
        <v/>
      </c>
      <c r="AF2246" s="713" t="str">
        <f t="shared" si="1610"/>
        <v/>
      </c>
      <c r="AG2246" s="713"/>
      <c r="AH2246" s="713"/>
      <c r="AI2246" s="112">
        <f>IF(H2246="credit",0,IF(AE2246="free",0,IF(AE2246="me",0,IF(G2246&gt;0,(VLOOKUP(A2246,'Discount Lookup'!J:K,2)*G2246),0))))</f>
        <v>0</v>
      </c>
      <c r="AJ2246" s="107" t="str">
        <f t="shared" ca="1" si="1611"/>
        <v/>
      </c>
      <c r="AK2246" s="714" t="str">
        <f t="shared" si="1612"/>
        <v/>
      </c>
      <c r="AL2246" s="714"/>
      <c r="AM2246" s="114" t="str">
        <f t="shared" si="1613"/>
        <v/>
      </c>
      <c r="AN2246" s="115"/>
      <c r="AO2246" s="116"/>
      <c r="AP2246" s="116"/>
      <c r="AQ2246" s="116"/>
      <c r="AR2246" s="116"/>
      <c r="AS2246" s="116"/>
      <c r="AT2246" s="116"/>
      <c r="AU2246" s="116"/>
      <c r="AV2246" s="78"/>
      <c r="AW2246" s="102"/>
      <c r="AX2246" s="78"/>
      <c r="AY2246" s="78"/>
      <c r="AZ2246" s="78"/>
      <c r="BA2246" s="78"/>
      <c r="BB2246" s="78"/>
      <c r="BC2246" s="78"/>
      <c r="BD2246" s="78"/>
      <c r="BE2246" s="465"/>
      <c r="BF2246" s="165" t="str">
        <f t="shared" si="1614"/>
        <v>https://www.google.com/search?tbm=isch&amp;q=30%20G5</v>
      </c>
      <c r="BG2246" s="165" t="str">
        <f t="shared" si="1615"/>
        <v>I</v>
      </c>
      <c r="BH2246" s="65"/>
      <c r="BI2246" s="65"/>
      <c r="BJ2246" s="65"/>
      <c r="BK2246" s="65"/>
      <c r="BL2246" s="99"/>
      <c r="BM2246" s="99"/>
      <c r="BN2246" s="99"/>
    </row>
    <row r="2247" spans="1:66" s="51" customFormat="1" ht="17.25" thickBot="1" x14ac:dyDescent="0.3">
      <c r="A2247" s="508" t="s">
        <v>2994</v>
      </c>
      <c r="B2247" s="487"/>
      <c r="C2247" s="707"/>
      <c r="D2247" s="487"/>
      <c r="E2247" s="487"/>
      <c r="F2247" s="488"/>
      <c r="G2247" s="489"/>
      <c r="H2247" s="487"/>
      <c r="I2247" s="490"/>
      <c r="J2247" s="490"/>
      <c r="K2247" s="491"/>
      <c r="L2247" s="547"/>
      <c r="M2247" s="528"/>
      <c r="N2247" s="492"/>
      <c r="O2247" s="493"/>
      <c r="P2247" s="494"/>
      <c r="Q2247" s="492"/>
      <c r="R2247" s="492"/>
      <c r="S2247" s="699" t="s">
        <v>5290</v>
      </c>
      <c r="T2247" s="102">
        <f t="shared" si="1603"/>
        <v>0</v>
      </c>
      <c r="U2247" s="78" t="str">
        <f>IF(NOT(ISNUMBER(G2247)), "", VLOOKUP(A2247,'Discount Lookup'!D:E,2,FALSE)*G2247)</f>
        <v/>
      </c>
      <c r="V2247" s="78" t="str">
        <f>IF(NOT(ISNUMBER(G2247)), "", VLOOKUP(A2247,'Discount Lookup'!G:H,2,FALSE)*G2247)</f>
        <v/>
      </c>
      <c r="W2247" s="102">
        <f t="shared" si="1604"/>
        <v>0</v>
      </c>
      <c r="X2247" s="102">
        <f t="shared" si="1605"/>
        <v>0</v>
      </c>
      <c r="Y2247" s="120" t="b">
        <f t="shared" si="1606"/>
        <v>0</v>
      </c>
      <c r="Z2247" s="117">
        <f t="shared" si="1607"/>
        <v>0</v>
      </c>
      <c r="AA2247" s="118"/>
      <c r="AB2247" s="118" t="str">
        <f t="shared" si="1608"/>
        <v/>
      </c>
      <c r="AC2247" s="712" t="str">
        <f>IF(AE2247="T2G","no charge",IF(AND(OR(PlanterYesMe="No",PlanterYesMe="N",PlanterYesMe="me"),H2247=""),"",IF(H2247="credit","NO install",IF(AND(K2247="",AE2247="me"),"EACH row",IF(AND(K2247="images",AE2247="me"),"EACH row",IF(D2247="","",IF(H2247="credit","",IF(AE2247="free","re-planting",IF(AE2247="me","   not ELP, by",IF(AND(OR(PlanterYesMe="Yes",PlanterYesMe="Y"),G2247&gt;0),(VLOOKUP(A2247,'Discount Lookup'!J:K,2)*G2247*(1-PlanterDiscount)*(1+PlanterDifficultyPercentage)),IF(AE2247="ELP",(VLOOKUP(A2247,'Discount Lookup'!J:K,2)*G2247*(1-PlanterDiscount)*(1+PlanterDifficultyPercentage)),IF(AE2247="free","re-planting",IF(G2247=0,"",IF(PlanterYesMe="",IF(AE2247="me","   not ELP, by",IF(AE2247="",IF(G2247&gt;0,(VLOOKUP(A2247,'Discount Lookup'!J:K,2)*G2247*(1-PlanterDiscount)*(1+PlanterDifficultyPercentage)),""),"")),"   not ELP, by"))))))))))))))</f>
        <v/>
      </c>
      <c r="AD2247" s="712"/>
      <c r="AE2247" s="513" t="str">
        <f t="shared" si="1609"/>
        <v/>
      </c>
      <c r="AF2247" s="713" t="str">
        <f t="shared" si="1610"/>
        <v/>
      </c>
      <c r="AG2247" s="713"/>
      <c r="AH2247" s="713"/>
      <c r="AI2247" s="112">
        <f>IF(H2247="credit",0,IF(AE2247="free",0,IF(AE2247="me",0,IF(G2247&gt;0,(VLOOKUP(A2247,'Discount Lookup'!J:K,2)*G2247),0))))</f>
        <v>0</v>
      </c>
      <c r="AJ2247" s="107" t="str">
        <f t="shared" ca="1" si="1611"/>
        <v/>
      </c>
      <c r="AK2247" s="714" t="str">
        <f t="shared" si="1612"/>
        <v/>
      </c>
      <c r="AL2247" s="714"/>
      <c r="AM2247" s="114" t="str">
        <f t="shared" si="1613"/>
        <v/>
      </c>
      <c r="AN2247" s="115"/>
      <c r="AO2247" s="116"/>
      <c r="AP2247" s="116"/>
      <c r="AQ2247" s="116"/>
      <c r="AR2247" s="116"/>
      <c r="AS2247" s="116"/>
      <c r="AT2247" s="116"/>
      <c r="AU2247" s="116"/>
      <c r="AV2247" s="78"/>
      <c r="AW2247" s="102"/>
      <c r="AX2247" s="78"/>
      <c r="AY2247" s="78"/>
      <c r="AZ2247" s="78"/>
      <c r="BA2247" s="78"/>
      <c r="BB2247" s="78"/>
      <c r="BC2247" s="78"/>
      <c r="BD2247" s="78"/>
      <c r="BE2247" s="465"/>
      <c r="BF2247" s="165" t="str">
        <f t="shared" si="1614"/>
        <v>https://www.google.com/search?tbm=isch&amp;q=Christmas%20Jewel%20has%20painless%20blunt%20spines.%20Self-pollinating%20female%20produces%20large%20berries%20by%20Christmas%20</v>
      </c>
      <c r="BG2247" s="165" t="str">
        <f t="shared" si="1615"/>
        <v>C</v>
      </c>
      <c r="BH2247" s="65"/>
      <c r="BI2247" s="65"/>
      <c r="BJ2247" s="65"/>
      <c r="BK2247" s="65"/>
      <c r="BL2247" s="99"/>
      <c r="BM2247" s="99"/>
      <c r="BN2247" s="99"/>
    </row>
    <row r="2248" spans="1:66" s="51" customFormat="1" ht="18" x14ac:dyDescent="0.25">
      <c r="A2248" s="507" t="s">
        <v>2995</v>
      </c>
      <c r="B2248" s="470"/>
      <c r="C2248" s="706"/>
      <c r="D2248" s="471" t="s">
        <v>5712</v>
      </c>
      <c r="E2248" s="472"/>
      <c r="F2248" s="472"/>
      <c r="G2248" s="472"/>
      <c r="H2248" s="622" t="s">
        <v>2996</v>
      </c>
      <c r="I2248" s="473" t="s">
        <v>2997</v>
      </c>
      <c r="J2248" s="472"/>
      <c r="K2248" s="472"/>
      <c r="L2248" s="561"/>
      <c r="M2248" s="698" t="s">
        <v>5246</v>
      </c>
      <c r="N2248" s="692" t="str">
        <f>IF(AND(ISTEXT($A2248), ISERROR($A2248+0)), HYPERLINK($BF2248, "Images"), "")</f>
        <v>Images</v>
      </c>
      <c r="O2248" s="694" t="s">
        <v>5244</v>
      </c>
      <c r="P2248" s="475"/>
      <c r="Q2248" s="476"/>
      <c r="R2248" s="476"/>
      <c r="S2248" s="477"/>
      <c r="T2248" s="102">
        <f t="shared" si="1603"/>
        <v>0</v>
      </c>
      <c r="U2248" s="78" t="str">
        <f>IF(NOT(ISNUMBER(G2248)), "", VLOOKUP(A2248,'Discount Lookup'!D:E,2,FALSE)*G2248)</f>
        <v/>
      </c>
      <c r="V2248" s="78" t="str">
        <f>IF(NOT(ISNUMBER(G2248)), "", VLOOKUP(A2248,'Discount Lookup'!G:H,2,FALSE)*G2248)</f>
        <v/>
      </c>
      <c r="W2248" s="102">
        <f t="shared" si="1604"/>
        <v>0</v>
      </c>
      <c r="X2248" s="102" t="str">
        <f t="shared" si="1605"/>
        <v>Green, Bronze tinge</v>
      </c>
      <c r="Y2248" s="120" t="b">
        <f t="shared" si="1606"/>
        <v>0</v>
      </c>
      <c r="Z2248" s="117">
        <f t="shared" si="1607"/>
        <v>0</v>
      </c>
      <c r="AA2248" s="118"/>
      <c r="AB2248" s="118" t="str">
        <f t="shared" si="1608"/>
        <v/>
      </c>
      <c r="AC2248" s="712" t="str">
        <f>IF(AE2248="T2G","no charge",IF(AND(OR(PlanterYesMe="No",PlanterYesMe="N",PlanterYesMe="me"),H2248=""),"",IF(H2248="credit","NO install",IF(AND(K2248="",AE2248="me"),"EACH row",IF(AND(K2248="images",AE2248="me"),"EACH row",IF(D2248="","",IF(H2248="credit","",IF(AE2248="free","re-planting",IF(AE2248="me","   not ELP, by",IF(AND(OR(PlanterYesMe="Yes",PlanterYesMe="Y"),G2248&gt;0),(VLOOKUP(A2248,'Discount Lookup'!J:K,2)*G2248*(1-PlanterDiscount)*(1+PlanterDifficultyPercentage)),IF(AE2248="ELP",(VLOOKUP(A2248,'Discount Lookup'!J:K,2)*G2248*(1-PlanterDiscount)*(1+PlanterDifficultyPercentage)),IF(AE2248="free","re-planting",IF(G2248=0,"",IF(PlanterYesMe="",IF(AE2248="me","   not ELP, by",IF(AE2248="",IF(G2248&gt;0,(VLOOKUP(A2248,'Discount Lookup'!J:K,2)*G2248*(1-PlanterDiscount)*(1+PlanterDifficultyPercentage)),""),"")),"   not ELP, by"))))))))))))))</f>
        <v/>
      </c>
      <c r="AD2248" s="712"/>
      <c r="AE2248" s="513" t="str">
        <f t="shared" si="1609"/>
        <v/>
      </c>
      <c r="AF2248" s="713" t="str">
        <f t="shared" si="1610"/>
        <v/>
      </c>
      <c r="AG2248" s="713"/>
      <c r="AH2248" s="713"/>
      <c r="AI2248" s="112">
        <f>IF(H2248="credit",0,IF(AE2248="free",0,IF(AE2248="me",0,IF(G2248&gt;0,(VLOOKUP(A2248,'Discount Lookup'!J:K,2)*G2248),0))))</f>
        <v>0</v>
      </c>
      <c r="AJ2248" s="107" t="str">
        <f t="shared" ca="1" si="1611"/>
        <v/>
      </c>
      <c r="AK2248" s="714" t="str">
        <f t="shared" si="1612"/>
        <v/>
      </c>
      <c r="AL2248" s="714"/>
      <c r="AM2248" s="114" t="str">
        <f t="shared" si="1613"/>
        <v/>
      </c>
      <c r="AN2248" s="115"/>
      <c r="AO2248" s="116"/>
      <c r="AP2248" s="116"/>
      <c r="AQ2248" s="116"/>
      <c r="AR2248" s="116"/>
      <c r="AS2248" s="116"/>
      <c r="AT2248" s="116"/>
      <c r="AU2248" s="116"/>
      <c r="AV2248" s="78"/>
      <c r="AW2248" s="102"/>
      <c r="AX2248" s="78"/>
      <c r="AY2248" s="78"/>
      <c r="AZ2248" s="78"/>
      <c r="BA2248" s="78"/>
      <c r="BB2248" s="78"/>
      <c r="BC2248" s="78"/>
      <c r="BD2248" s="78"/>
      <c r="BE2248" s="465"/>
      <c r="BF2248" s="165" t="str">
        <f t="shared" si="1614"/>
        <v>https://www.google.com/search?tbm=isch&amp;q=Ilex%20integra%20x%20latifolia%20%27Screen%20Play%27%20PP%2327524%20Screen%20Play%E2%84%A2%20Holly</v>
      </c>
      <c r="BG2248" s="165" t="str">
        <f t="shared" si="1615"/>
        <v>I</v>
      </c>
      <c r="BH2248" s="65"/>
      <c r="BI2248" s="65"/>
      <c r="BJ2248" s="65"/>
      <c r="BK2248" s="65"/>
      <c r="BL2248" s="99"/>
      <c r="BM2248" s="99"/>
      <c r="BN2248" s="99"/>
    </row>
    <row r="2249" spans="1:66" s="51" customFormat="1" ht="15.75" x14ac:dyDescent="0.25">
      <c r="A2249" s="478">
        <v>7</v>
      </c>
      <c r="B2249" s="479" t="s">
        <v>291</v>
      </c>
      <c r="C2249" s="480" t="s">
        <v>2998</v>
      </c>
      <c r="D2249" s="481" t="s">
        <v>299</v>
      </c>
      <c r="E2249" s="482">
        <v>104.95</v>
      </c>
      <c r="F2249" s="483" t="s">
        <v>292</v>
      </c>
      <c r="G2249" s="484">
        <v>0</v>
      </c>
      <c r="H2249" s="688" t="str">
        <f>IF(G2249=0,"",IF(F2249="Buy",IF(G2249=1,"plant","plants"),IF(F2249&gt;0.01,"warranty","Error")))</f>
        <v/>
      </c>
      <c r="I2249" s="485">
        <f>IF(H2249="free",0,IF(H2249="credit",((E2249*(F2249))*G2249*-1),IF(F2249="Buy",(E2249*G2249),((E2249*(1-F2249))*G2249))))</f>
        <v>0</v>
      </c>
      <c r="J2249" s="485">
        <f>IF(H2249="warranty",0,(I2249*(_xlfn.SINGLE(SalesTaxPercentage))))</f>
        <v>0</v>
      </c>
      <c r="K2249" s="715">
        <f t="shared" ref="K2249" si="1662">I2249+J2249</f>
        <v>0</v>
      </c>
      <c r="L2249" s="715"/>
      <c r="M2249" s="689" t="str">
        <f ca="1">IF(AND(G2249&gt;0,E2249=0),"WARNING - no PRICE inserted",IF(H2249="free","FREE ~ no charge this plant",IF(H2249="credit",CONCATENATE("-$",ROUND(K2249*(1-_xlfn.SINGLE(T2GDiscount))*-1,2)," CREDIT after discount"),IF(_xlfn.SINGLE(T2GDiscount)=0,"",IF(G2249=0,"",IF(F2249="Buy",CONCATENATE("$",ROUND(K2249*(1-_xlfn.SINGLE(T2GDiscount)),2)," with ",(_xlfn.SINGLE(T2GDiscount)*100),"% discount"),CONCATENATE("$",ROUND(K2249*(1-_xlfn.SINGLE(T2GDiscount)),2)," with ",((_xlfn.SINGLE(T2GDiscount)*100+F2249*100)-(_xlfn.SINGLE(T2GDiscount)*100*F2249)),IF(F2249&gt;0,"% discounts",IF(_xlfn.SINGLE(NoWarrantyDiscount)&gt;0,"% discounts","% discount")))))))))</f>
        <v/>
      </c>
      <c r="N2249" s="690"/>
      <c r="O2249" s="486"/>
      <c r="P2249" s="486"/>
      <c r="Q2249" s="486"/>
      <c r="R2249" s="486"/>
      <c r="S2249" s="486"/>
      <c r="T2249" s="102">
        <f t="shared" si="1603"/>
        <v>0</v>
      </c>
      <c r="U2249" s="78">
        <f>IF(NOT(ISNUMBER(G2249)), "", VLOOKUP(A2249,'Discount Lookup'!D:E,2,FALSE)*G2249)</f>
        <v>0</v>
      </c>
      <c r="V2249" s="78">
        <f>IF(NOT(ISNUMBER(G2249)), "", VLOOKUP(A2249,'Discount Lookup'!G:H,2,FALSE)*G2249)</f>
        <v>0</v>
      </c>
      <c r="W2249" s="102">
        <f t="shared" si="1604"/>
        <v>0</v>
      </c>
      <c r="X2249" s="102">
        <f t="shared" si="1605"/>
        <v>0</v>
      </c>
      <c r="Y2249" s="120" t="b">
        <f t="shared" si="1606"/>
        <v>0</v>
      </c>
      <c r="Z2249" s="117">
        <f t="shared" si="1607"/>
        <v>0</v>
      </c>
      <c r="AA2249" s="118"/>
      <c r="AB2249" s="118" t="str">
        <f t="shared" si="1608"/>
        <v/>
      </c>
      <c r="AC2249" s="712" t="str">
        <f>IF(AE2249="T2G","no charge",IF(AND(OR(PlanterYesMe="No",PlanterYesMe="N",PlanterYesMe="me"),H2249=""),"",IF(H2249="credit","NO install",IF(AND(K2249="",AE2249="me"),"EACH row",IF(AND(K2249="images",AE2249="me"),"EACH row",IF(D2249="","",IF(H2249="credit","",IF(AE2249="free","re-planting",IF(AE2249="me","   not ELP, by",IF(AND(OR(PlanterYesMe="Yes",PlanterYesMe="Y"),G2249&gt;0),(VLOOKUP(A2249,'Discount Lookup'!J:K,2)*G2249*(1-PlanterDiscount)*(1+PlanterDifficultyPercentage)),IF(AE2249="ELP",(VLOOKUP(A2249,'Discount Lookup'!J:K,2)*G2249*(1-PlanterDiscount)*(1+PlanterDifficultyPercentage)),IF(AE2249="free","re-planting",IF(G2249=0,"",IF(PlanterYesMe="",IF(AE2249="me","   not ELP, by",IF(AE2249="",IF(G2249&gt;0,(VLOOKUP(A2249,'Discount Lookup'!J:K,2)*G2249*(1-PlanterDiscount)*(1+PlanterDifficultyPercentage)),""),"")),"   not ELP, by"))))))))))))))</f>
        <v/>
      </c>
      <c r="AD2249" s="712"/>
      <c r="AE2249" s="513" t="str">
        <f t="shared" si="1609"/>
        <v/>
      </c>
      <c r="AF2249" s="713" t="str">
        <f t="shared" si="1610"/>
        <v/>
      </c>
      <c r="AG2249" s="713"/>
      <c r="AH2249" s="713"/>
      <c r="AI2249" s="112">
        <f>IF(H2249="credit",0,IF(AE2249="free",0,IF(AE2249="me",0,IF(G2249&gt;0,(VLOOKUP(A2249,'Discount Lookup'!J:K,2)*G2249),0))))</f>
        <v>0</v>
      </c>
      <c r="AJ2249" s="107" t="str">
        <f t="shared" ca="1" si="1611"/>
        <v/>
      </c>
      <c r="AK2249" s="714" t="str">
        <f t="shared" si="1612"/>
        <v/>
      </c>
      <c r="AL2249" s="714"/>
      <c r="AM2249" s="114" t="str">
        <f t="shared" si="1613"/>
        <v/>
      </c>
      <c r="AN2249" s="115"/>
      <c r="AO2249" s="116"/>
      <c r="AP2249" s="116"/>
      <c r="AQ2249" s="116"/>
      <c r="AR2249" s="116"/>
      <c r="AS2249" s="116"/>
      <c r="AT2249" s="116"/>
      <c r="AU2249" s="116"/>
      <c r="AV2249" s="78"/>
      <c r="AW2249" s="102"/>
      <c r="AX2249" s="78"/>
      <c r="AY2249" s="78"/>
      <c r="AZ2249" s="78"/>
      <c r="BA2249" s="78"/>
      <c r="BB2249" s="78"/>
      <c r="BC2249" s="78"/>
      <c r="BD2249" s="78"/>
      <c r="BE2249" s="465"/>
      <c r="BF2249" s="165" t="str">
        <f t="shared" si="1614"/>
        <v>https://www.google.com/search?tbm=isch&amp;q=7%20G4</v>
      </c>
      <c r="BG2249" s="165" t="str">
        <f t="shared" si="1615"/>
        <v>I</v>
      </c>
      <c r="BH2249" s="65"/>
      <c r="BI2249" s="65"/>
      <c r="BJ2249" s="65"/>
      <c r="BK2249" s="65"/>
      <c r="BL2249" s="99"/>
      <c r="BM2249" s="99"/>
      <c r="BN2249" s="99"/>
    </row>
    <row r="2250" spans="1:66" s="51" customFormat="1" ht="17.25" thickBot="1" x14ac:dyDescent="0.3">
      <c r="A2250" s="508" t="s">
        <v>4765</v>
      </c>
      <c r="B2250" s="487"/>
      <c r="C2250" s="707"/>
      <c r="D2250" s="487"/>
      <c r="E2250" s="487"/>
      <c r="F2250" s="488"/>
      <c r="G2250" s="489"/>
      <c r="H2250" s="487"/>
      <c r="I2250" s="490"/>
      <c r="J2250" s="490"/>
      <c r="K2250" s="491"/>
      <c r="L2250" s="547"/>
      <c r="M2250" s="528"/>
      <c r="N2250" s="492"/>
      <c r="O2250" s="493"/>
      <c r="P2250" s="494"/>
      <c r="Q2250" s="492"/>
      <c r="R2250" s="492"/>
      <c r="S2250" s="699" t="s">
        <v>5268</v>
      </c>
      <c r="T2250" s="102">
        <f t="shared" si="1603"/>
        <v>0</v>
      </c>
      <c r="U2250" s="78" t="str">
        <f>IF(NOT(ISNUMBER(G2250)), "", VLOOKUP(A2250,'Discount Lookup'!D:E,2,FALSE)*G2250)</f>
        <v/>
      </c>
      <c r="V2250" s="78" t="str">
        <f>IF(NOT(ISNUMBER(G2250)), "", VLOOKUP(A2250,'Discount Lookup'!G:H,2,FALSE)*G2250)</f>
        <v/>
      </c>
      <c r="W2250" s="102">
        <f t="shared" si="1604"/>
        <v>0</v>
      </c>
      <c r="X2250" s="102">
        <f t="shared" si="1605"/>
        <v>0</v>
      </c>
      <c r="Y2250" s="120" t="b">
        <f t="shared" si="1606"/>
        <v>0</v>
      </c>
      <c r="Z2250" s="117">
        <f t="shared" si="1607"/>
        <v>0</v>
      </c>
      <c r="AA2250" s="118"/>
      <c r="AB2250" s="118" t="str">
        <f t="shared" si="1608"/>
        <v/>
      </c>
      <c r="AC2250" s="712" t="str">
        <f>IF(AE2250="T2G","no charge",IF(AND(OR(PlanterYesMe="No",PlanterYesMe="N",PlanterYesMe="me"),H2250=""),"",IF(H2250="credit","NO install",IF(AND(K2250="",AE2250="me"),"EACH row",IF(AND(K2250="images",AE2250="me"),"EACH row",IF(D2250="","",IF(H2250="credit","",IF(AE2250="free","re-planting",IF(AE2250="me","   not ELP, by",IF(AND(OR(PlanterYesMe="Yes",PlanterYesMe="Y"),G2250&gt;0),(VLOOKUP(A2250,'Discount Lookup'!J:K,2)*G2250*(1-PlanterDiscount)*(1+PlanterDifficultyPercentage)),IF(AE2250="ELP",(VLOOKUP(A2250,'Discount Lookup'!J:K,2)*G2250*(1-PlanterDiscount)*(1+PlanterDifficultyPercentage)),IF(AE2250="free","re-planting",IF(G2250=0,"",IF(PlanterYesMe="",IF(AE2250="me","   not ELP, by",IF(AE2250="",IF(G2250&gt;0,(VLOOKUP(A2250,'Discount Lookup'!J:K,2)*G2250*(1-PlanterDiscount)*(1+PlanterDifficultyPercentage)),""),"")),"   not ELP, by"))))))))))))))</f>
        <v/>
      </c>
      <c r="AD2250" s="712"/>
      <c r="AE2250" s="513" t="str">
        <f t="shared" si="1609"/>
        <v/>
      </c>
      <c r="AF2250" s="713" t="str">
        <f t="shared" si="1610"/>
        <v/>
      </c>
      <c r="AG2250" s="713"/>
      <c r="AH2250" s="713"/>
      <c r="AI2250" s="112">
        <f>IF(H2250="credit",0,IF(AE2250="free",0,IF(AE2250="me",0,IF(G2250&gt;0,(VLOOKUP(A2250,'Discount Lookup'!J:K,2)*G2250),0))))</f>
        <v>0</v>
      </c>
      <c r="AJ2250" s="107" t="str">
        <f t="shared" ca="1" si="1611"/>
        <v/>
      </c>
      <c r="AK2250" s="714" t="str">
        <f t="shared" si="1612"/>
        <v/>
      </c>
      <c r="AL2250" s="714"/>
      <c r="AM2250" s="114" t="str">
        <f t="shared" si="1613"/>
        <v/>
      </c>
      <c r="AN2250" s="115"/>
      <c r="AO2250" s="116"/>
      <c r="AP2250" s="116"/>
      <c r="AQ2250" s="116"/>
      <c r="AR2250" s="116"/>
      <c r="AS2250" s="116"/>
      <c r="AT2250" s="116"/>
      <c r="AU2250" s="116"/>
      <c r="AV2250" s="78"/>
      <c r="AW2250" s="102"/>
      <c r="AX2250" s="78"/>
      <c r="AY2250" s="78"/>
      <c r="AZ2250" s="78"/>
      <c r="BA2250" s="78"/>
      <c r="BB2250" s="78"/>
      <c r="BC2250" s="78"/>
      <c r="BD2250" s="78"/>
      <c r="BE2250" s="465"/>
      <c r="BF2250" s="165" t="str">
        <f t="shared" si="1614"/>
        <v>https://www.google.com/search?tbm=isch&amp;q=Screen%20Play%20features%20glossy%2C%20spineless%20Bronze-tinged%20foliage%20and%20abundant%20Red%20berries%20in%20winter%20</v>
      </c>
      <c r="BG2250" s="165" t="str">
        <f t="shared" si="1615"/>
        <v>S</v>
      </c>
      <c r="BH2250" s="65"/>
      <c r="BI2250" s="65"/>
      <c r="BJ2250" s="65"/>
      <c r="BK2250" s="65"/>
      <c r="BL2250" s="99"/>
      <c r="BM2250" s="99"/>
      <c r="BN2250" s="99"/>
    </row>
    <row r="2251" spans="1:66" s="51" customFormat="1" ht="18" x14ac:dyDescent="0.25">
      <c r="A2251" s="507" t="s">
        <v>2999</v>
      </c>
      <c r="B2251" s="470"/>
      <c r="C2251" s="706"/>
      <c r="D2251" s="471" t="s">
        <v>3000</v>
      </c>
      <c r="E2251" s="472"/>
      <c r="F2251" s="472"/>
      <c r="G2251" s="472"/>
      <c r="H2251" s="622" t="s">
        <v>333</v>
      </c>
      <c r="I2251" s="473" t="s">
        <v>3001</v>
      </c>
      <c r="J2251" s="472"/>
      <c r="K2251" s="472"/>
      <c r="L2251" s="561"/>
      <c r="M2251" s="698" t="s">
        <v>5246</v>
      </c>
      <c r="N2251" s="692" t="str">
        <f>IF(AND(ISTEXT($A2251), ISERROR($A2251+0)), HYPERLINK($BF2251, "Images"), "")</f>
        <v>Images</v>
      </c>
      <c r="O2251" s="694" t="s">
        <v>5244</v>
      </c>
      <c r="P2251" s="475"/>
      <c r="Q2251" s="476"/>
      <c r="R2251" s="476"/>
      <c r="S2251" s="477"/>
      <c r="T2251" s="102">
        <f t="shared" si="1603"/>
        <v>0</v>
      </c>
      <c r="U2251" s="78" t="str">
        <f>IF(NOT(ISNUMBER(G2251)), "", VLOOKUP(A2251,'Discount Lookup'!D:E,2,FALSE)*G2251)</f>
        <v/>
      </c>
      <c r="V2251" s="78" t="str">
        <f>IF(NOT(ISNUMBER(G2251)), "", VLOOKUP(A2251,'Discount Lookup'!G:H,2,FALSE)*G2251)</f>
        <v/>
      </c>
      <c r="W2251" s="102">
        <f t="shared" si="1604"/>
        <v>0</v>
      </c>
      <c r="X2251" s="102" t="str">
        <f t="shared" si="1605"/>
        <v>Green-Yellow variegated</v>
      </c>
      <c r="Y2251" s="120" t="b">
        <f t="shared" si="1606"/>
        <v>0</v>
      </c>
      <c r="Z2251" s="117">
        <f t="shared" si="1607"/>
        <v>0</v>
      </c>
      <c r="AA2251" s="118"/>
      <c r="AB2251" s="118" t="str">
        <f t="shared" si="1608"/>
        <v/>
      </c>
      <c r="AC2251" s="712" t="str">
        <f>IF(AE2251="T2G","no charge",IF(AND(OR(PlanterYesMe="No",PlanterYesMe="N",PlanterYesMe="me"),H2251=""),"",IF(H2251="credit","NO install",IF(AND(K2251="",AE2251="me"),"EACH row",IF(AND(K2251="images",AE2251="me"),"EACH row",IF(D2251="","",IF(H2251="credit","",IF(AE2251="free","re-planting",IF(AE2251="me","   not ELP, by",IF(AND(OR(PlanterYesMe="Yes",PlanterYesMe="Y"),G2251&gt;0),(VLOOKUP(A2251,'Discount Lookup'!J:K,2)*G2251*(1-PlanterDiscount)*(1+PlanterDifficultyPercentage)),IF(AE2251="ELP",(VLOOKUP(A2251,'Discount Lookup'!J:K,2)*G2251*(1-PlanterDiscount)*(1+PlanterDifficultyPercentage)),IF(AE2251="free","re-planting",IF(G2251=0,"",IF(PlanterYesMe="",IF(AE2251="me","   not ELP, by",IF(AE2251="",IF(G2251&gt;0,(VLOOKUP(A2251,'Discount Lookup'!J:K,2)*G2251*(1-PlanterDiscount)*(1+PlanterDifficultyPercentage)),""),"")),"   not ELP, by"))))))))))))))</f>
        <v/>
      </c>
      <c r="AD2251" s="712"/>
      <c r="AE2251" s="513" t="str">
        <f t="shared" si="1609"/>
        <v/>
      </c>
      <c r="AF2251" s="713" t="str">
        <f t="shared" si="1610"/>
        <v/>
      </c>
      <c r="AG2251" s="713"/>
      <c r="AH2251" s="713"/>
      <c r="AI2251" s="112">
        <f>IF(H2251="credit",0,IF(AE2251="free",0,IF(AE2251="me",0,IF(G2251&gt;0,(VLOOKUP(A2251,'Discount Lookup'!J:K,2)*G2251),0))))</f>
        <v>0</v>
      </c>
      <c r="AJ2251" s="107" t="str">
        <f t="shared" ca="1" si="1611"/>
        <v/>
      </c>
      <c r="AK2251" s="714" t="str">
        <f t="shared" si="1612"/>
        <v/>
      </c>
      <c r="AL2251" s="714"/>
      <c r="AM2251" s="114" t="str">
        <f t="shared" si="1613"/>
        <v/>
      </c>
      <c r="AN2251" s="115"/>
      <c r="AO2251" s="116"/>
      <c r="AP2251" s="116"/>
      <c r="AQ2251" s="116"/>
      <c r="AR2251" s="116"/>
      <c r="AS2251" s="116"/>
      <c r="AT2251" s="116"/>
      <c r="AU2251" s="116"/>
      <c r="AV2251" s="78"/>
      <c r="AW2251" s="102"/>
      <c r="AX2251" s="78"/>
      <c r="AY2251" s="78"/>
      <c r="AZ2251" s="78"/>
      <c r="BA2251" s="78"/>
      <c r="BB2251" s="78"/>
      <c r="BC2251" s="78"/>
      <c r="BD2251" s="78"/>
      <c r="BE2251" s="465"/>
      <c r="BF2251" s="165" t="str">
        <f t="shared" si="1614"/>
        <v>https://www.google.com/search?tbm=isch&amp;q=Ilex%20%27Magden%27%20PP%2330451%20Golden%20Oakland%20Holly</v>
      </c>
      <c r="BG2251" s="165" t="str">
        <f t="shared" si="1615"/>
        <v>I</v>
      </c>
      <c r="BH2251" s="65"/>
      <c r="BI2251" s="65"/>
      <c r="BJ2251" s="65"/>
      <c r="BK2251" s="65"/>
      <c r="BL2251" s="99"/>
      <c r="BM2251" s="99"/>
      <c r="BN2251" s="99"/>
    </row>
    <row r="2252" spans="1:66" s="51" customFormat="1" ht="15.75" x14ac:dyDescent="0.25">
      <c r="A2252" s="478">
        <v>7</v>
      </c>
      <c r="B2252" s="479" t="s">
        <v>291</v>
      </c>
      <c r="C2252" s="480" t="s">
        <v>3002</v>
      </c>
      <c r="D2252" s="481" t="s">
        <v>299</v>
      </c>
      <c r="E2252" s="482">
        <v>102.95</v>
      </c>
      <c r="F2252" s="483" t="s">
        <v>292</v>
      </c>
      <c r="G2252" s="484">
        <v>0</v>
      </c>
      <c r="H2252" s="688" t="str">
        <f>IF(G2252=0,"",IF(F2252="Buy",IF(G2252=1,"plant","plants"),IF(F2252&gt;0.01,"warranty","Error")))</f>
        <v/>
      </c>
      <c r="I2252" s="485">
        <f>IF(H2252="free",0,IF(H2252="credit",((E2252*(F2252))*G2252*-1),IF(F2252="Buy",(E2252*G2252),((E2252*(1-F2252))*G2252))))</f>
        <v>0</v>
      </c>
      <c r="J2252" s="485">
        <f>IF(H2252="warranty",0,(I2252*(_xlfn.SINGLE(SalesTaxPercentage))))</f>
        <v>0</v>
      </c>
      <c r="K2252" s="715">
        <f t="shared" ref="K2252" si="1663">I2252+J2252</f>
        <v>0</v>
      </c>
      <c r="L2252" s="715"/>
      <c r="M2252" s="689" t="str">
        <f ca="1">IF(AND(G2252&gt;0,E2252=0),"WARNING - no PRICE inserted",IF(H2252="free","FREE ~ no charge this plant",IF(H2252="credit",CONCATENATE("-$",ROUND(K2252*(1-_xlfn.SINGLE(T2GDiscount))*-1,2)," CREDIT after discount"),IF(_xlfn.SINGLE(T2GDiscount)=0,"",IF(G2252=0,"",IF(F2252="Buy",CONCATENATE("$",ROUND(K2252*(1-_xlfn.SINGLE(T2GDiscount)),2)," with ",(_xlfn.SINGLE(T2GDiscount)*100),"% discount"),CONCATENATE("$",ROUND(K2252*(1-_xlfn.SINGLE(T2GDiscount)),2)," with ",((_xlfn.SINGLE(T2GDiscount)*100+F2252*100)-(_xlfn.SINGLE(T2GDiscount)*100*F2252)),IF(F2252&gt;0,"% discounts",IF(_xlfn.SINGLE(NoWarrantyDiscount)&gt;0,"% discounts","% discount")))))))))</f>
        <v/>
      </c>
      <c r="N2252" s="690"/>
      <c r="O2252" s="486"/>
      <c r="P2252" s="486"/>
      <c r="Q2252" s="486"/>
      <c r="R2252" s="486"/>
      <c r="S2252" s="486"/>
      <c r="T2252" s="102">
        <f t="shared" si="1603"/>
        <v>0</v>
      </c>
      <c r="U2252" s="78">
        <f>IF(NOT(ISNUMBER(G2252)), "", VLOOKUP(A2252,'Discount Lookup'!D:E,2,FALSE)*G2252)</f>
        <v>0</v>
      </c>
      <c r="V2252" s="78">
        <f>IF(NOT(ISNUMBER(G2252)), "", VLOOKUP(A2252,'Discount Lookup'!G:H,2,FALSE)*G2252)</f>
        <v>0</v>
      </c>
      <c r="W2252" s="102">
        <f t="shared" si="1604"/>
        <v>0</v>
      </c>
      <c r="X2252" s="102">
        <f t="shared" si="1605"/>
        <v>0</v>
      </c>
      <c r="Y2252" s="120" t="b">
        <f t="shared" si="1606"/>
        <v>0</v>
      </c>
      <c r="Z2252" s="117">
        <f t="shared" si="1607"/>
        <v>0</v>
      </c>
      <c r="AA2252" s="118"/>
      <c r="AB2252" s="118" t="str">
        <f t="shared" si="1608"/>
        <v/>
      </c>
      <c r="AC2252" s="712" t="str">
        <f>IF(AE2252="T2G","no charge",IF(AND(OR(PlanterYesMe="No",PlanterYesMe="N",PlanterYesMe="me"),H2252=""),"",IF(H2252="credit","NO install",IF(AND(K2252="",AE2252="me"),"EACH row",IF(AND(K2252="images",AE2252="me"),"EACH row",IF(D2252="","",IF(H2252="credit","",IF(AE2252="free","re-planting",IF(AE2252="me","   not ELP, by",IF(AND(OR(PlanterYesMe="Yes",PlanterYesMe="Y"),G2252&gt;0),(VLOOKUP(A2252,'Discount Lookup'!J:K,2)*G2252*(1-PlanterDiscount)*(1+PlanterDifficultyPercentage)),IF(AE2252="ELP",(VLOOKUP(A2252,'Discount Lookup'!J:K,2)*G2252*(1-PlanterDiscount)*(1+PlanterDifficultyPercentage)),IF(AE2252="free","re-planting",IF(G2252=0,"",IF(PlanterYesMe="",IF(AE2252="me","   not ELP, by",IF(AE2252="",IF(G2252&gt;0,(VLOOKUP(A2252,'Discount Lookup'!J:K,2)*G2252*(1-PlanterDiscount)*(1+PlanterDifficultyPercentage)),""),"")),"   not ELP, by"))))))))))))))</f>
        <v/>
      </c>
      <c r="AD2252" s="712"/>
      <c r="AE2252" s="513" t="str">
        <f t="shared" si="1609"/>
        <v/>
      </c>
      <c r="AF2252" s="713" t="str">
        <f t="shared" si="1610"/>
        <v/>
      </c>
      <c r="AG2252" s="713"/>
      <c r="AH2252" s="713"/>
      <c r="AI2252" s="112">
        <f>IF(H2252="credit",0,IF(AE2252="free",0,IF(AE2252="me",0,IF(G2252&gt;0,(VLOOKUP(A2252,'Discount Lookup'!J:K,2)*G2252),0))))</f>
        <v>0</v>
      </c>
      <c r="AJ2252" s="107" t="str">
        <f t="shared" ca="1" si="1611"/>
        <v/>
      </c>
      <c r="AK2252" s="714" t="str">
        <f t="shared" si="1612"/>
        <v/>
      </c>
      <c r="AL2252" s="714"/>
      <c r="AM2252" s="114" t="str">
        <f t="shared" si="1613"/>
        <v/>
      </c>
      <c r="AN2252" s="115"/>
      <c r="AO2252" s="116"/>
      <c r="AP2252" s="116"/>
      <c r="AQ2252" s="116"/>
      <c r="AR2252" s="116"/>
      <c r="AS2252" s="116"/>
      <c r="AT2252" s="116"/>
      <c r="AU2252" s="116"/>
      <c r="AV2252" s="78"/>
      <c r="AW2252" s="102"/>
      <c r="AX2252" s="78"/>
      <c r="AY2252" s="78"/>
      <c r="AZ2252" s="78"/>
      <c r="BA2252" s="78"/>
      <c r="BB2252" s="78"/>
      <c r="BC2252" s="78"/>
      <c r="BD2252" s="78"/>
      <c r="BE2252" s="465"/>
      <c r="BF2252" s="165" t="str">
        <f t="shared" si="1614"/>
        <v>https://www.google.com/search?tbm=isch&amp;q=7%20G4</v>
      </c>
      <c r="BG2252" s="165" t="str">
        <f t="shared" si="1615"/>
        <v>I</v>
      </c>
      <c r="BH2252" s="65"/>
      <c r="BI2252" s="65"/>
      <c r="BJ2252" s="65"/>
      <c r="BK2252" s="65"/>
      <c r="BL2252" s="99"/>
      <c r="BM2252" s="99"/>
      <c r="BN2252" s="99"/>
    </row>
    <row r="2253" spans="1:66" s="51" customFormat="1" ht="27" x14ac:dyDescent="0.25">
      <c r="A2253" s="478">
        <v>15</v>
      </c>
      <c r="B2253" s="479" t="s">
        <v>291</v>
      </c>
      <c r="C2253" s="480" t="s">
        <v>3003</v>
      </c>
      <c r="D2253" s="481" t="s">
        <v>299</v>
      </c>
      <c r="E2253" s="482">
        <v>201.95</v>
      </c>
      <c r="F2253" s="483" t="s">
        <v>292</v>
      </c>
      <c r="G2253" s="484">
        <v>0</v>
      </c>
      <c r="H2253" s="688" t="str">
        <f>IF(G2253=0,"",IF(F2253="Buy",IF(G2253=1,"plant","plants"),IF(F2253&gt;0.01,"warranty","Error")))</f>
        <v/>
      </c>
      <c r="I2253" s="485">
        <f>IF(H2253="free",0,IF(H2253="credit",((E2253*(F2253))*G2253*-1),IF(F2253="Buy",(E2253*G2253),((E2253*(1-F2253))*G2253))))</f>
        <v>0</v>
      </c>
      <c r="J2253" s="485">
        <f>IF(H2253="warranty",0,(I2253*(_xlfn.SINGLE(SalesTaxPercentage))))</f>
        <v>0</v>
      </c>
      <c r="K2253" s="715">
        <f t="shared" ref="K2253" si="1664">I2253+J2253</f>
        <v>0</v>
      </c>
      <c r="L2253" s="715"/>
      <c r="M2253" s="689" t="str">
        <f ca="1">IF(AND(G2253&gt;0,E2253=0),"WARNING - no PRICE inserted",IF(H2253="free","FREE ~ no charge this plant",IF(H2253="credit",CONCATENATE("-$",ROUND(K2253*(1-_xlfn.SINGLE(T2GDiscount))*-1,2)," CREDIT after discount"),IF(_xlfn.SINGLE(T2GDiscount)=0,"",IF(G2253=0,"",IF(F2253="Buy",CONCATENATE("$",ROUND(K2253*(1-_xlfn.SINGLE(T2GDiscount)),2)," with ",(_xlfn.SINGLE(T2GDiscount)*100),"% discount"),CONCATENATE("$",ROUND(K2253*(1-_xlfn.SINGLE(T2GDiscount)),2)," with ",((_xlfn.SINGLE(T2GDiscount)*100+F2253*100)-(_xlfn.SINGLE(T2GDiscount)*100*F2253)),IF(F2253&gt;0,"% discounts",IF(_xlfn.SINGLE(NoWarrantyDiscount)&gt;0,"% discounts","% discount")))))))))</f>
        <v/>
      </c>
      <c r="N2253" s="690"/>
      <c r="O2253" s="486"/>
      <c r="P2253" s="486"/>
      <c r="Q2253" s="486"/>
      <c r="R2253" s="486"/>
      <c r="S2253" s="486"/>
      <c r="T2253" s="102">
        <f t="shared" si="1603"/>
        <v>0</v>
      </c>
      <c r="U2253" s="78">
        <f>IF(NOT(ISNUMBER(G2253)), "", VLOOKUP(A2253,'Discount Lookup'!D:E,2,FALSE)*G2253)</f>
        <v>0</v>
      </c>
      <c r="V2253" s="78">
        <f>IF(NOT(ISNUMBER(G2253)), "", VLOOKUP(A2253,'Discount Lookup'!G:H,2,FALSE)*G2253)</f>
        <v>0</v>
      </c>
      <c r="W2253" s="102">
        <f t="shared" si="1604"/>
        <v>0</v>
      </c>
      <c r="X2253" s="102">
        <f t="shared" si="1605"/>
        <v>0</v>
      </c>
      <c r="Y2253" s="120" t="b">
        <f t="shared" si="1606"/>
        <v>0</v>
      </c>
      <c r="Z2253" s="117">
        <f t="shared" si="1607"/>
        <v>0</v>
      </c>
      <c r="AA2253" s="118"/>
      <c r="AB2253" s="118" t="str">
        <f t="shared" si="1608"/>
        <v/>
      </c>
      <c r="AC2253" s="712" t="str">
        <f>IF(AE2253="T2G","no charge",IF(AND(OR(PlanterYesMe="No",PlanterYesMe="N",PlanterYesMe="me"),H2253=""),"",IF(H2253="credit","NO install",IF(AND(K2253="",AE2253="me"),"EACH row",IF(AND(K2253="images",AE2253="me"),"EACH row",IF(D2253="","",IF(H2253="credit","",IF(AE2253="free","re-planting",IF(AE2253="me","   not ELP, by",IF(AND(OR(PlanterYesMe="Yes",PlanterYesMe="Y"),G2253&gt;0),(VLOOKUP(A2253,'Discount Lookup'!J:K,2)*G2253*(1-PlanterDiscount)*(1+PlanterDifficultyPercentage)),IF(AE2253="ELP",(VLOOKUP(A2253,'Discount Lookup'!J:K,2)*G2253*(1-PlanterDiscount)*(1+PlanterDifficultyPercentage)),IF(AE2253="free","re-planting",IF(G2253=0,"",IF(PlanterYesMe="",IF(AE2253="me","   not ELP, by",IF(AE2253="",IF(G2253&gt;0,(VLOOKUP(A2253,'Discount Lookup'!J:K,2)*G2253*(1-PlanterDiscount)*(1+PlanterDifficultyPercentage)),""),"")),"   not ELP, by"))))))))))))))</f>
        <v/>
      </c>
      <c r="AD2253" s="712"/>
      <c r="AE2253" s="513" t="str">
        <f t="shared" si="1609"/>
        <v/>
      </c>
      <c r="AF2253" s="713" t="str">
        <f t="shared" si="1610"/>
        <v/>
      </c>
      <c r="AG2253" s="713"/>
      <c r="AH2253" s="713"/>
      <c r="AI2253" s="112">
        <f>IF(H2253="credit",0,IF(AE2253="free",0,IF(AE2253="me",0,IF(G2253&gt;0,(VLOOKUP(A2253,'Discount Lookup'!J:K,2)*G2253),0))))</f>
        <v>0</v>
      </c>
      <c r="AJ2253" s="107" t="str">
        <f t="shared" ca="1" si="1611"/>
        <v/>
      </c>
      <c r="AK2253" s="714" t="str">
        <f t="shared" si="1612"/>
        <v/>
      </c>
      <c r="AL2253" s="714"/>
      <c r="AM2253" s="114" t="str">
        <f t="shared" si="1613"/>
        <v/>
      </c>
      <c r="AN2253" s="115"/>
      <c r="AO2253" s="116"/>
      <c r="AP2253" s="116"/>
      <c r="AQ2253" s="116"/>
      <c r="AR2253" s="116"/>
      <c r="AS2253" s="116"/>
      <c r="AT2253" s="116"/>
      <c r="AU2253" s="116"/>
      <c r="AV2253" s="78"/>
      <c r="AW2253" s="102"/>
      <c r="AX2253" s="78"/>
      <c r="AY2253" s="78"/>
      <c r="AZ2253" s="78"/>
      <c r="BA2253" s="78"/>
      <c r="BB2253" s="78"/>
      <c r="BC2253" s="78"/>
      <c r="BD2253" s="78"/>
      <c r="BE2253" s="465"/>
      <c r="BF2253" s="165" t="str">
        <f t="shared" si="1614"/>
        <v>https://www.google.com/search?tbm=isch&amp;q=15%20G4</v>
      </c>
      <c r="BG2253" s="165" t="str">
        <f t="shared" si="1615"/>
        <v>I</v>
      </c>
      <c r="BH2253" s="65"/>
      <c r="BI2253" s="65"/>
      <c r="BJ2253" s="65"/>
      <c r="BK2253" s="65"/>
      <c r="BL2253" s="99"/>
      <c r="BM2253" s="99"/>
      <c r="BN2253" s="99"/>
    </row>
    <row r="2254" spans="1:66" s="51" customFormat="1" ht="17.25" thickBot="1" x14ac:dyDescent="0.3">
      <c r="A2254" s="508" t="s">
        <v>4766</v>
      </c>
      <c r="B2254" s="487"/>
      <c r="C2254" s="707"/>
      <c r="D2254" s="487"/>
      <c r="E2254" s="487"/>
      <c r="F2254" s="488"/>
      <c r="G2254" s="489"/>
      <c r="H2254" s="487"/>
      <c r="I2254" s="490"/>
      <c r="J2254" s="490"/>
      <c r="K2254" s="491"/>
      <c r="L2254" s="547"/>
      <c r="M2254" s="528"/>
      <c r="N2254" s="492"/>
      <c r="O2254" s="493"/>
      <c r="P2254" s="494"/>
      <c r="Q2254" s="492"/>
      <c r="R2254" s="492"/>
      <c r="S2254" s="699" t="s">
        <v>5268</v>
      </c>
      <c r="T2254" s="102">
        <f t="shared" si="1603"/>
        <v>0</v>
      </c>
      <c r="U2254" s="78" t="str">
        <f>IF(NOT(ISNUMBER(G2254)), "", VLOOKUP(A2254,'Discount Lookup'!D:E,2,FALSE)*G2254)</f>
        <v/>
      </c>
      <c r="V2254" s="78" t="str">
        <f>IF(NOT(ISNUMBER(G2254)), "", VLOOKUP(A2254,'Discount Lookup'!G:H,2,FALSE)*G2254)</f>
        <v/>
      </c>
      <c r="W2254" s="102">
        <f t="shared" si="1604"/>
        <v>0</v>
      </c>
      <c r="X2254" s="102">
        <f t="shared" si="1605"/>
        <v>0</v>
      </c>
      <c r="Y2254" s="120" t="b">
        <f t="shared" si="1606"/>
        <v>0</v>
      </c>
      <c r="Z2254" s="117">
        <f t="shared" si="1607"/>
        <v>0</v>
      </c>
      <c r="AA2254" s="118"/>
      <c r="AB2254" s="118" t="str">
        <f t="shared" si="1608"/>
        <v/>
      </c>
      <c r="AC2254" s="712" t="str">
        <f>IF(AE2254="T2G","no charge",IF(AND(OR(PlanterYesMe="No",PlanterYesMe="N",PlanterYesMe="me"),H2254=""),"",IF(H2254="credit","NO install",IF(AND(K2254="",AE2254="me"),"EACH row",IF(AND(K2254="images",AE2254="me"),"EACH row",IF(D2254="","",IF(H2254="credit","",IF(AE2254="free","re-planting",IF(AE2254="me","   not ELP, by",IF(AND(OR(PlanterYesMe="Yes",PlanterYesMe="Y"),G2254&gt;0),(VLOOKUP(A2254,'Discount Lookup'!J:K,2)*G2254*(1-PlanterDiscount)*(1+PlanterDifficultyPercentage)),IF(AE2254="ELP",(VLOOKUP(A2254,'Discount Lookup'!J:K,2)*G2254*(1-PlanterDiscount)*(1+PlanterDifficultyPercentage)),IF(AE2254="free","re-planting",IF(G2254=0,"",IF(PlanterYesMe="",IF(AE2254="me","   not ELP, by",IF(AE2254="",IF(G2254&gt;0,(VLOOKUP(A2254,'Discount Lookup'!J:K,2)*G2254*(1-PlanterDiscount)*(1+PlanterDifficultyPercentage)),""),"")),"   not ELP, by"))))))))))))))</f>
        <v/>
      </c>
      <c r="AD2254" s="712"/>
      <c r="AE2254" s="513" t="str">
        <f t="shared" si="1609"/>
        <v/>
      </c>
      <c r="AF2254" s="713" t="str">
        <f t="shared" si="1610"/>
        <v/>
      </c>
      <c r="AG2254" s="713"/>
      <c r="AH2254" s="713"/>
      <c r="AI2254" s="112">
        <f>IF(H2254="credit",0,IF(AE2254="free",0,IF(AE2254="me",0,IF(G2254&gt;0,(VLOOKUP(A2254,'Discount Lookup'!J:K,2)*G2254),0))))</f>
        <v>0</v>
      </c>
      <c r="AJ2254" s="107" t="str">
        <f t="shared" ca="1" si="1611"/>
        <v/>
      </c>
      <c r="AK2254" s="714" t="str">
        <f t="shared" si="1612"/>
        <v/>
      </c>
      <c r="AL2254" s="714"/>
      <c r="AM2254" s="114" t="str">
        <f t="shared" si="1613"/>
        <v/>
      </c>
      <c r="AN2254" s="115"/>
      <c r="AO2254" s="116"/>
      <c r="AP2254" s="116"/>
      <c r="AQ2254" s="116"/>
      <c r="AR2254" s="116"/>
      <c r="AS2254" s="116"/>
      <c r="AT2254" s="116"/>
      <c r="AU2254" s="116"/>
      <c r="AV2254" s="78"/>
      <c r="AW2254" s="102"/>
      <c r="AX2254" s="78"/>
      <c r="AY2254" s="78"/>
      <c r="AZ2254" s="78"/>
      <c r="BA2254" s="78"/>
      <c r="BB2254" s="78"/>
      <c r="BC2254" s="78"/>
      <c r="BD2254" s="78"/>
      <c r="BE2254" s="465"/>
      <c r="BF2254" s="165" t="str">
        <f t="shared" si="1614"/>
        <v>https://www.google.com/search?tbm=isch&amp;q=Golden%20Oakland%20has%20striking%20Golden%20variegated%20foliage%20with%20oak-like%20leaves%2C%20offering%20bold%20year-round%20color%20</v>
      </c>
      <c r="BG2254" s="165" t="str">
        <f t="shared" si="1615"/>
        <v>G</v>
      </c>
      <c r="BH2254" s="65"/>
      <c r="BI2254" s="65"/>
      <c r="BJ2254" s="65"/>
      <c r="BK2254" s="65"/>
      <c r="BL2254" s="99"/>
      <c r="BM2254" s="99"/>
      <c r="BN2254" s="99"/>
    </row>
    <row r="2255" spans="1:66" s="51" customFormat="1" ht="18" x14ac:dyDescent="0.25">
      <c r="A2255" s="507" t="s">
        <v>524</v>
      </c>
      <c r="B2255" s="470"/>
      <c r="C2255" s="706"/>
      <c r="D2255" s="471" t="s">
        <v>5713</v>
      </c>
      <c r="E2255" s="472"/>
      <c r="F2255" s="472"/>
      <c r="G2255" s="472"/>
      <c r="H2255" s="622" t="s">
        <v>510</v>
      </c>
      <c r="I2255" s="473" t="s">
        <v>522</v>
      </c>
      <c r="J2255" s="472"/>
      <c r="K2255" s="472"/>
      <c r="L2255" s="561"/>
      <c r="M2255" s="698" t="s">
        <v>5246</v>
      </c>
      <c r="N2255" s="692" t="str">
        <f>IF(AND(ISTEXT($A2255), ISERROR($A2255+0)), HYPERLINK($BF2255, "Images"), "")</f>
        <v>Images</v>
      </c>
      <c r="O2255" s="694" t="s">
        <v>5247</v>
      </c>
      <c r="P2255" s="475"/>
      <c r="Q2255" s="476"/>
      <c r="R2255" s="476"/>
      <c r="S2255" s="477"/>
      <c r="T2255" s="102">
        <f t="shared" si="1603"/>
        <v>0</v>
      </c>
      <c r="U2255" s="78" t="str">
        <f>IF(NOT(ISNUMBER(G2255)), "", VLOOKUP(A2255,'Discount Lookup'!D:E,2,FALSE)*G2255)</f>
        <v/>
      </c>
      <c r="V2255" s="78" t="str">
        <f>IF(NOT(ISNUMBER(G2255)), "", VLOOKUP(A2255,'Discount Lookup'!G:H,2,FALSE)*G2255)</f>
        <v/>
      </c>
      <c r="W2255" s="102">
        <f t="shared" si="1604"/>
        <v>0</v>
      </c>
      <c r="X2255" s="102" t="str">
        <f t="shared" si="1605"/>
        <v>Dark Green folaige</v>
      </c>
      <c r="Y2255" s="120" t="b">
        <f t="shared" si="1606"/>
        <v>0</v>
      </c>
      <c r="Z2255" s="117">
        <f t="shared" si="1607"/>
        <v>0</v>
      </c>
      <c r="AA2255" s="118"/>
      <c r="AB2255" s="118" t="str">
        <f t="shared" si="1608"/>
        <v/>
      </c>
      <c r="AC2255" s="712" t="str">
        <f>IF(AE2255="T2G","no charge",IF(AND(OR(PlanterYesMe="No",PlanterYesMe="N",PlanterYesMe="me"),H2255=""),"",IF(H2255="credit","NO install",IF(AND(K2255="",AE2255="me"),"EACH row",IF(AND(K2255="images",AE2255="me"),"EACH row",IF(D2255="","",IF(H2255="credit","",IF(AE2255="free","re-planting",IF(AE2255="me","   not ELP, by",IF(AND(OR(PlanterYesMe="Yes",PlanterYesMe="Y"),G2255&gt;0),(VLOOKUP(A2255,'Discount Lookup'!J:K,2)*G2255*(1-PlanterDiscount)*(1+PlanterDifficultyPercentage)),IF(AE2255="ELP",(VLOOKUP(A2255,'Discount Lookup'!J:K,2)*G2255*(1-PlanterDiscount)*(1+PlanterDifficultyPercentage)),IF(AE2255="free","re-planting",IF(G2255=0,"",IF(PlanterYesMe="",IF(AE2255="me","   not ELP, by",IF(AE2255="",IF(G2255&gt;0,(VLOOKUP(A2255,'Discount Lookup'!J:K,2)*G2255*(1-PlanterDiscount)*(1+PlanterDifficultyPercentage)),""),"")),"   not ELP, by"))))))))))))))</f>
        <v/>
      </c>
      <c r="AD2255" s="712"/>
      <c r="AE2255" s="513" t="str">
        <f t="shared" si="1609"/>
        <v/>
      </c>
      <c r="AF2255" s="713" t="str">
        <f t="shared" si="1610"/>
        <v/>
      </c>
      <c r="AG2255" s="713"/>
      <c r="AH2255" s="713"/>
      <c r="AI2255" s="112">
        <f>IF(H2255="credit",0,IF(AE2255="free",0,IF(AE2255="me",0,IF(G2255&gt;0,(VLOOKUP(A2255,'Discount Lookup'!J:K,2)*G2255),0))))</f>
        <v>0</v>
      </c>
      <c r="AJ2255" s="107" t="str">
        <f t="shared" ca="1" si="1611"/>
        <v/>
      </c>
      <c r="AK2255" s="714" t="str">
        <f t="shared" si="1612"/>
        <v/>
      </c>
      <c r="AL2255" s="714"/>
      <c r="AM2255" s="114" t="str">
        <f t="shared" si="1613"/>
        <v/>
      </c>
      <c r="AN2255" s="115"/>
      <c r="AO2255" s="116"/>
      <c r="AP2255" s="116"/>
      <c r="AQ2255" s="116"/>
      <c r="AR2255" s="116"/>
      <c r="AS2255" s="116"/>
      <c r="AT2255" s="116"/>
      <c r="AU2255" s="116"/>
      <c r="AV2255" s="78"/>
      <c r="AW2255" s="102"/>
      <c r="AX2255" s="78"/>
      <c r="AY2255" s="78"/>
      <c r="AZ2255" s="78"/>
      <c r="BA2255" s="78"/>
      <c r="BB2255" s="78"/>
      <c r="BC2255" s="78"/>
      <c r="BD2255" s="78"/>
      <c r="BE2255" s="465"/>
      <c r="BF2255" s="165" t="str">
        <f t="shared" si="1614"/>
        <v>https://www.google.com/search?tbm=isch&amp;q=Ilex%20%27Magiana%27%20PP%2314418%20Acadiana%E2%84%A2%20Holly</v>
      </c>
      <c r="BG2255" s="165" t="str">
        <f t="shared" si="1615"/>
        <v>I</v>
      </c>
      <c r="BH2255" s="65"/>
      <c r="BI2255" s="65"/>
      <c r="BJ2255" s="65"/>
      <c r="BK2255" s="65"/>
      <c r="BL2255" s="99"/>
      <c r="BM2255" s="99"/>
      <c r="BN2255" s="99"/>
    </row>
    <row r="2256" spans="1:66" s="51" customFormat="1" ht="15.75" x14ac:dyDescent="0.25">
      <c r="A2256" s="478">
        <v>25</v>
      </c>
      <c r="B2256" s="479" t="s">
        <v>291</v>
      </c>
      <c r="C2256" s="480" t="s">
        <v>4621</v>
      </c>
      <c r="D2256" s="481" t="s">
        <v>293</v>
      </c>
      <c r="E2256" s="482">
        <v>378.95</v>
      </c>
      <c r="F2256" s="483" t="s">
        <v>292</v>
      </c>
      <c r="G2256" s="484">
        <v>0</v>
      </c>
      <c r="H2256" s="688" t="str">
        <f>IF(G2256=0,"",IF(F2256="Buy",IF(G2256=1,"plant","plants"),IF(F2256&gt;0.01,"warranty","Error")))</f>
        <v/>
      </c>
      <c r="I2256" s="485">
        <f>IF(H2256="free",0,IF(H2256="credit",((E2256*(F2256))*G2256*-1),IF(F2256="Buy",(E2256*G2256),((E2256*(1-F2256))*G2256))))</f>
        <v>0</v>
      </c>
      <c r="J2256" s="485">
        <f>IF(H2256="warranty",0,(I2256*(_xlfn.SINGLE(SalesTaxPercentage))))</f>
        <v>0</v>
      </c>
      <c r="K2256" s="715">
        <f t="shared" ref="K2256" si="1665">I2256+J2256</f>
        <v>0</v>
      </c>
      <c r="L2256" s="715"/>
      <c r="M2256" s="689" t="str">
        <f ca="1">IF(AND(G2256&gt;0,E2256=0),"WARNING - no PRICE inserted",IF(H2256="free","FREE ~ no charge this plant",IF(H2256="credit",CONCATENATE("-$",ROUND(K2256*(1-_xlfn.SINGLE(T2GDiscount))*-1,2)," CREDIT after discount"),IF(_xlfn.SINGLE(T2GDiscount)=0,"",IF(G2256=0,"",IF(F2256="Buy",CONCATENATE("$",ROUND(K2256*(1-_xlfn.SINGLE(T2GDiscount)),2)," with ",(_xlfn.SINGLE(T2GDiscount)*100),"% discount"),CONCATENATE("$",ROUND(K2256*(1-_xlfn.SINGLE(T2GDiscount)),2)," with ",((_xlfn.SINGLE(T2GDiscount)*100+F2256*100)-(_xlfn.SINGLE(T2GDiscount)*100*F2256)),IF(F2256&gt;0,"% discounts",IF(_xlfn.SINGLE(NoWarrantyDiscount)&gt;0,"% discounts","% discount")))))))))</f>
        <v/>
      </c>
      <c r="N2256" s="690"/>
      <c r="O2256" s="486"/>
      <c r="P2256" s="486"/>
      <c r="Q2256" s="486"/>
      <c r="R2256" s="486"/>
      <c r="S2256" s="486"/>
      <c r="T2256" s="102">
        <f t="shared" si="1603"/>
        <v>0</v>
      </c>
      <c r="U2256" s="78">
        <f>IF(NOT(ISNUMBER(G2256)), "", VLOOKUP(A2256,'Discount Lookup'!D:E,2,FALSE)*G2256)</f>
        <v>0</v>
      </c>
      <c r="V2256" s="78">
        <f>IF(NOT(ISNUMBER(G2256)), "", VLOOKUP(A2256,'Discount Lookup'!G:H,2,FALSE)*G2256)</f>
        <v>0</v>
      </c>
      <c r="W2256" s="102">
        <f t="shared" si="1604"/>
        <v>0</v>
      </c>
      <c r="X2256" s="102">
        <f t="shared" si="1605"/>
        <v>0</v>
      </c>
      <c r="Y2256" s="120" t="b">
        <f t="shared" si="1606"/>
        <v>0</v>
      </c>
      <c r="Z2256" s="117">
        <f t="shared" si="1607"/>
        <v>0</v>
      </c>
      <c r="AA2256" s="118"/>
      <c r="AB2256" s="118" t="str">
        <f t="shared" si="1608"/>
        <v/>
      </c>
      <c r="AC2256" s="712" t="str">
        <f>IF(AE2256="T2G","no charge",IF(AND(OR(PlanterYesMe="No",PlanterYesMe="N",PlanterYesMe="me"),H2256=""),"",IF(H2256="credit","NO install",IF(AND(K2256="",AE2256="me"),"EACH row",IF(AND(K2256="images",AE2256="me"),"EACH row",IF(D2256="","",IF(H2256="credit","",IF(AE2256="free","re-planting",IF(AE2256="me","   not ELP, by",IF(AND(OR(PlanterYesMe="Yes",PlanterYesMe="Y"),G2256&gt;0),(VLOOKUP(A2256,'Discount Lookup'!J:K,2)*G2256*(1-PlanterDiscount)*(1+PlanterDifficultyPercentage)),IF(AE2256="ELP",(VLOOKUP(A2256,'Discount Lookup'!J:K,2)*G2256*(1-PlanterDiscount)*(1+PlanterDifficultyPercentage)),IF(AE2256="free","re-planting",IF(G2256=0,"",IF(PlanterYesMe="",IF(AE2256="me","   not ELP, by",IF(AE2256="",IF(G2256&gt;0,(VLOOKUP(A2256,'Discount Lookup'!J:K,2)*G2256*(1-PlanterDiscount)*(1+PlanterDifficultyPercentage)),""),"")),"   not ELP, by"))))))))))))))</f>
        <v/>
      </c>
      <c r="AD2256" s="712"/>
      <c r="AE2256" s="513" t="str">
        <f t="shared" si="1609"/>
        <v/>
      </c>
      <c r="AF2256" s="713" t="str">
        <f t="shared" si="1610"/>
        <v/>
      </c>
      <c r="AG2256" s="713"/>
      <c r="AH2256" s="713"/>
      <c r="AI2256" s="112">
        <f>IF(H2256="credit",0,IF(AE2256="free",0,IF(AE2256="me",0,IF(G2256&gt;0,(VLOOKUP(A2256,'Discount Lookup'!J:K,2)*G2256),0))))</f>
        <v>0</v>
      </c>
      <c r="AJ2256" s="107" t="str">
        <f t="shared" ca="1" si="1611"/>
        <v/>
      </c>
      <c r="AK2256" s="714" t="str">
        <f t="shared" si="1612"/>
        <v/>
      </c>
      <c r="AL2256" s="714"/>
      <c r="AM2256" s="114" t="str">
        <f t="shared" si="1613"/>
        <v/>
      </c>
      <c r="AN2256" s="115"/>
      <c r="AO2256" s="116"/>
      <c r="AP2256" s="116"/>
      <c r="AQ2256" s="116"/>
      <c r="AR2256" s="116"/>
      <c r="AS2256" s="116"/>
      <c r="AT2256" s="116"/>
      <c r="AU2256" s="116"/>
      <c r="AV2256" s="78"/>
      <c r="AW2256" s="102"/>
      <c r="AX2256" s="78"/>
      <c r="AY2256" s="78"/>
      <c r="AZ2256" s="78"/>
      <c r="BA2256" s="78"/>
      <c r="BB2256" s="78"/>
      <c r="BC2256" s="78"/>
      <c r="BD2256" s="78"/>
      <c r="BE2256" s="465"/>
      <c r="BF2256" s="165" t="str">
        <f t="shared" si="1614"/>
        <v>https://www.google.com/search?tbm=isch&amp;q=25%20G6</v>
      </c>
      <c r="BG2256" s="165" t="str">
        <f t="shared" si="1615"/>
        <v>I</v>
      </c>
      <c r="BH2256" s="65"/>
      <c r="BI2256" s="65"/>
      <c r="BJ2256" s="65"/>
      <c r="BK2256" s="65"/>
      <c r="BL2256" s="99"/>
      <c r="BM2256" s="99"/>
      <c r="BN2256" s="99"/>
    </row>
    <row r="2257" spans="1:66" s="51" customFormat="1" ht="16.5" thickBot="1" x14ac:dyDescent="0.3">
      <c r="A2257" s="508" t="s">
        <v>525</v>
      </c>
      <c r="B2257" s="487"/>
      <c r="C2257" s="707"/>
      <c r="D2257" s="487"/>
      <c r="E2257" s="487"/>
      <c r="F2257" s="488"/>
      <c r="G2257" s="489"/>
      <c r="H2257" s="487"/>
      <c r="I2257" s="490"/>
      <c r="J2257" s="490"/>
      <c r="K2257" s="491"/>
      <c r="L2257" s="547"/>
      <c r="M2257" s="528"/>
      <c r="N2257" s="492"/>
      <c r="O2257" s="493"/>
      <c r="P2257" s="494"/>
      <c r="Q2257" s="492"/>
      <c r="R2257" s="492"/>
      <c r="S2257" s="699" t="s">
        <v>5259</v>
      </c>
      <c r="T2257" s="102">
        <f t="shared" si="1603"/>
        <v>0</v>
      </c>
      <c r="U2257" s="78" t="str">
        <f>IF(NOT(ISNUMBER(G2257)), "", VLOOKUP(A2257,'Discount Lookup'!D:E,2,FALSE)*G2257)</f>
        <v/>
      </c>
      <c r="V2257" s="78" t="str">
        <f>IF(NOT(ISNUMBER(G2257)), "", VLOOKUP(A2257,'Discount Lookup'!G:H,2,FALSE)*G2257)</f>
        <v/>
      </c>
      <c r="W2257" s="102">
        <f t="shared" si="1604"/>
        <v>0</v>
      </c>
      <c r="X2257" s="102">
        <f t="shared" si="1605"/>
        <v>0</v>
      </c>
      <c r="Y2257" s="120" t="b">
        <f t="shared" si="1606"/>
        <v>0</v>
      </c>
      <c r="Z2257" s="117">
        <f t="shared" si="1607"/>
        <v>0</v>
      </c>
      <c r="AA2257" s="118"/>
      <c r="AB2257" s="118" t="str">
        <f t="shared" si="1608"/>
        <v/>
      </c>
      <c r="AC2257" s="712" t="str">
        <f>IF(AE2257="T2G","no charge",IF(AND(OR(PlanterYesMe="No",PlanterYesMe="N",PlanterYesMe="me"),H2257=""),"",IF(H2257="credit","NO install",IF(AND(K2257="",AE2257="me"),"EACH row",IF(AND(K2257="images",AE2257="me"),"EACH row",IF(D2257="","",IF(H2257="credit","",IF(AE2257="free","re-planting",IF(AE2257="me","   not ELP, by",IF(AND(OR(PlanterYesMe="Yes",PlanterYesMe="Y"),G2257&gt;0),(VLOOKUP(A2257,'Discount Lookup'!J:K,2)*G2257*(1-PlanterDiscount)*(1+PlanterDifficultyPercentage)),IF(AE2257="ELP",(VLOOKUP(A2257,'Discount Lookup'!J:K,2)*G2257*(1-PlanterDiscount)*(1+PlanterDifficultyPercentage)),IF(AE2257="free","re-planting",IF(G2257=0,"",IF(PlanterYesMe="",IF(AE2257="me","   not ELP, by",IF(AE2257="",IF(G2257&gt;0,(VLOOKUP(A2257,'Discount Lookup'!J:K,2)*G2257*(1-PlanterDiscount)*(1+PlanterDifficultyPercentage)),""),"")),"   not ELP, by"))))))))))))))</f>
        <v/>
      </c>
      <c r="AD2257" s="712"/>
      <c r="AE2257" s="513" t="str">
        <f t="shared" si="1609"/>
        <v/>
      </c>
      <c r="AF2257" s="713" t="str">
        <f t="shared" si="1610"/>
        <v/>
      </c>
      <c r="AG2257" s="713"/>
      <c r="AH2257" s="713"/>
      <c r="AI2257" s="112">
        <f>IF(H2257="credit",0,IF(AE2257="free",0,IF(AE2257="me",0,IF(G2257&gt;0,(VLOOKUP(A2257,'Discount Lookup'!J:K,2)*G2257),0))))</f>
        <v>0</v>
      </c>
      <c r="AJ2257" s="107" t="str">
        <f t="shared" ca="1" si="1611"/>
        <v/>
      </c>
      <c r="AK2257" s="714" t="str">
        <f t="shared" si="1612"/>
        <v/>
      </c>
      <c r="AL2257" s="714"/>
      <c r="AM2257" s="114" t="str">
        <f t="shared" si="1613"/>
        <v/>
      </c>
      <c r="AN2257" s="115"/>
      <c r="AO2257" s="116"/>
      <c r="AP2257" s="116"/>
      <c r="AQ2257" s="116"/>
      <c r="AR2257" s="116"/>
      <c r="AS2257" s="116"/>
      <c r="AT2257" s="116"/>
      <c r="AU2257" s="116"/>
      <c r="AV2257" s="78"/>
      <c r="AW2257" s="102"/>
      <c r="AX2257" s="78"/>
      <c r="AY2257" s="78"/>
      <c r="AZ2257" s="78"/>
      <c r="BA2257" s="78"/>
      <c r="BB2257" s="78"/>
      <c r="BC2257" s="78"/>
      <c r="BD2257" s="78"/>
      <c r="BE2257" s="465"/>
      <c r="BF2257" s="165" t="str">
        <f t="shared" si="1614"/>
        <v>https://www.google.com/search?tbm=isch&amp;q=Acadiana%20foliage%20is%20very%20tightly%20branched.%20Heavy%20Orange-Red%20fruit%20set.%20Self-pollinating%20</v>
      </c>
      <c r="BG2257" s="165" t="str">
        <f t="shared" si="1615"/>
        <v>A</v>
      </c>
      <c r="BH2257" s="65"/>
      <c r="BI2257" s="65"/>
      <c r="BJ2257" s="65"/>
      <c r="BK2257" s="65"/>
      <c r="BL2257" s="99"/>
      <c r="BM2257" s="99"/>
      <c r="BN2257" s="99"/>
    </row>
    <row r="2258" spans="1:66" s="51" customFormat="1" ht="18" x14ac:dyDescent="0.25">
      <c r="A2258" s="507" t="s">
        <v>526</v>
      </c>
      <c r="B2258" s="470"/>
      <c r="C2258" s="706"/>
      <c r="D2258" s="471" t="s">
        <v>5714</v>
      </c>
      <c r="E2258" s="472"/>
      <c r="F2258" s="472"/>
      <c r="G2258" s="472"/>
      <c r="H2258" s="622" t="s">
        <v>327</v>
      </c>
      <c r="I2258" s="473" t="s">
        <v>432</v>
      </c>
      <c r="J2258" s="472"/>
      <c r="K2258" s="472"/>
      <c r="L2258" s="561"/>
      <c r="M2258" s="698" t="s">
        <v>5246</v>
      </c>
      <c r="N2258" s="692" t="str">
        <f>IF(AND(ISTEXT($A2258), ISERROR($A2258+0)), HYPERLINK($BF2258, "Images"), "")</f>
        <v>Images</v>
      </c>
      <c r="O2258" s="694" t="s">
        <v>5289</v>
      </c>
      <c r="P2258" s="475"/>
      <c r="Q2258" s="476"/>
      <c r="R2258" s="476"/>
      <c r="S2258" s="477"/>
      <c r="T2258" s="102">
        <f t="shared" si="1603"/>
        <v>0</v>
      </c>
      <c r="U2258" s="78" t="str">
        <f>IF(NOT(ISNUMBER(G2258)), "", VLOOKUP(A2258,'Discount Lookup'!D:E,2,FALSE)*G2258)</f>
        <v/>
      </c>
      <c r="V2258" s="78" t="str">
        <f>IF(NOT(ISNUMBER(G2258)), "", VLOOKUP(A2258,'Discount Lookup'!G:H,2,FALSE)*G2258)</f>
        <v/>
      </c>
      <c r="W2258" s="102">
        <f t="shared" si="1604"/>
        <v>0</v>
      </c>
      <c r="X2258" s="102" t="str">
        <f t="shared" si="1605"/>
        <v>Green foliage</v>
      </c>
      <c r="Y2258" s="120" t="b">
        <f t="shared" si="1606"/>
        <v>0</v>
      </c>
      <c r="Z2258" s="117">
        <f t="shared" si="1607"/>
        <v>0</v>
      </c>
      <c r="AA2258" s="118"/>
      <c r="AB2258" s="118" t="str">
        <f t="shared" si="1608"/>
        <v/>
      </c>
      <c r="AC2258" s="712" t="str">
        <f>IF(AE2258="T2G","no charge",IF(AND(OR(PlanterYesMe="No",PlanterYesMe="N",PlanterYesMe="me"),H2258=""),"",IF(H2258="credit","NO install",IF(AND(K2258="",AE2258="me"),"EACH row",IF(AND(K2258="images",AE2258="me"),"EACH row",IF(D2258="","",IF(H2258="credit","",IF(AE2258="free","re-planting",IF(AE2258="me","   not ELP, by",IF(AND(OR(PlanterYesMe="Yes",PlanterYesMe="Y"),G2258&gt;0),(VLOOKUP(A2258,'Discount Lookup'!J:K,2)*G2258*(1-PlanterDiscount)*(1+PlanterDifficultyPercentage)),IF(AE2258="ELP",(VLOOKUP(A2258,'Discount Lookup'!J:K,2)*G2258*(1-PlanterDiscount)*(1+PlanterDifficultyPercentage)),IF(AE2258="free","re-planting",IF(G2258=0,"",IF(PlanterYesMe="",IF(AE2258="me","   not ELP, by",IF(AE2258="",IF(G2258&gt;0,(VLOOKUP(A2258,'Discount Lookup'!J:K,2)*G2258*(1-PlanterDiscount)*(1+PlanterDifficultyPercentage)),""),"")),"   not ELP, by"))))))))))))))</f>
        <v/>
      </c>
      <c r="AD2258" s="712"/>
      <c r="AE2258" s="513" t="str">
        <f t="shared" si="1609"/>
        <v/>
      </c>
      <c r="AF2258" s="713" t="str">
        <f t="shared" si="1610"/>
        <v/>
      </c>
      <c r="AG2258" s="713"/>
      <c r="AH2258" s="713"/>
      <c r="AI2258" s="112">
        <f>IF(H2258="credit",0,IF(AE2258="free",0,IF(AE2258="me",0,IF(G2258&gt;0,(VLOOKUP(A2258,'Discount Lookup'!J:K,2)*G2258),0))))</f>
        <v>0</v>
      </c>
      <c r="AJ2258" s="107" t="str">
        <f t="shared" ca="1" si="1611"/>
        <v/>
      </c>
      <c r="AK2258" s="714" t="str">
        <f t="shared" si="1612"/>
        <v/>
      </c>
      <c r="AL2258" s="714"/>
      <c r="AM2258" s="114" t="str">
        <f t="shared" si="1613"/>
        <v/>
      </c>
      <c r="AN2258" s="115"/>
      <c r="AO2258" s="116"/>
      <c r="AP2258" s="116"/>
      <c r="AQ2258" s="116"/>
      <c r="AR2258" s="116"/>
      <c r="AS2258" s="116"/>
      <c r="AT2258" s="116"/>
      <c r="AU2258" s="116"/>
      <c r="AV2258" s="78"/>
      <c r="AW2258" s="102"/>
      <c r="AX2258" s="78"/>
      <c r="AY2258" s="78"/>
      <c r="AZ2258" s="78"/>
      <c r="BA2258" s="78"/>
      <c r="BB2258" s="78"/>
      <c r="BC2258" s="78"/>
      <c r="BD2258" s="78"/>
      <c r="BE2258" s="465"/>
      <c r="BF2258" s="165" t="str">
        <f t="shared" si="1614"/>
        <v>https://www.google.com/search?tbm=isch&amp;q=Ilex%20%27Magland%27%20PP%2314417%20Oakland%E2%84%A2%20Holly</v>
      </c>
      <c r="BG2258" s="165" t="str">
        <f t="shared" si="1615"/>
        <v>I</v>
      </c>
      <c r="BH2258" s="65"/>
      <c r="BI2258" s="65"/>
      <c r="BJ2258" s="65"/>
      <c r="BK2258" s="65"/>
      <c r="BL2258" s="99"/>
      <c r="BM2258" s="99"/>
      <c r="BN2258" s="99"/>
    </row>
    <row r="2259" spans="1:66" s="51" customFormat="1" ht="15.75" x14ac:dyDescent="0.25">
      <c r="A2259" s="478">
        <v>7</v>
      </c>
      <c r="B2259" s="479" t="s">
        <v>291</v>
      </c>
      <c r="C2259" s="480" t="s">
        <v>951</v>
      </c>
      <c r="D2259" s="481" t="s">
        <v>299</v>
      </c>
      <c r="E2259" s="482">
        <v>95.95</v>
      </c>
      <c r="F2259" s="483" t="s">
        <v>292</v>
      </c>
      <c r="G2259" s="484">
        <v>0</v>
      </c>
      <c r="H2259" s="688" t="str">
        <f>IF(G2259=0,"",IF(F2259="Buy",IF(G2259=1,"plant","plants"),IF(F2259&gt;0.01,"warranty","Error")))</f>
        <v/>
      </c>
      <c r="I2259" s="485">
        <f>IF(H2259="free",0,IF(H2259="credit",((E2259*(F2259))*G2259*-1),IF(F2259="Buy",(E2259*G2259),((E2259*(1-F2259))*G2259))))</f>
        <v>0</v>
      </c>
      <c r="J2259" s="485">
        <f>IF(H2259="warranty",0,(I2259*(_xlfn.SINGLE(SalesTaxPercentage))))</f>
        <v>0</v>
      </c>
      <c r="K2259" s="715">
        <f t="shared" ref="K2259" si="1666">I2259+J2259</f>
        <v>0</v>
      </c>
      <c r="L2259" s="715"/>
      <c r="M2259" s="689" t="str">
        <f ca="1">IF(AND(G2259&gt;0,E2259=0),"WARNING - no PRICE inserted",IF(H2259="free","FREE ~ no charge this plant",IF(H2259="credit",CONCATENATE("-$",ROUND(K2259*(1-_xlfn.SINGLE(T2GDiscount))*-1,2)," CREDIT after discount"),IF(_xlfn.SINGLE(T2GDiscount)=0,"",IF(G2259=0,"",IF(F2259="Buy",CONCATENATE("$",ROUND(K2259*(1-_xlfn.SINGLE(T2GDiscount)),2)," with ",(_xlfn.SINGLE(T2GDiscount)*100),"% discount"),CONCATENATE("$",ROUND(K2259*(1-_xlfn.SINGLE(T2GDiscount)),2)," with ",((_xlfn.SINGLE(T2GDiscount)*100+F2259*100)-(_xlfn.SINGLE(T2GDiscount)*100*F2259)),IF(F2259&gt;0,"% discounts",IF(_xlfn.SINGLE(NoWarrantyDiscount)&gt;0,"% discounts","% discount")))))))))</f>
        <v/>
      </c>
      <c r="N2259" s="690"/>
      <c r="O2259" s="486"/>
      <c r="P2259" s="486"/>
      <c r="Q2259" s="486"/>
      <c r="R2259" s="486"/>
      <c r="S2259" s="486"/>
      <c r="T2259" s="102">
        <f t="shared" si="1603"/>
        <v>0</v>
      </c>
      <c r="U2259" s="78">
        <f>IF(NOT(ISNUMBER(G2259)), "", VLOOKUP(A2259,'Discount Lookup'!D:E,2,FALSE)*G2259)</f>
        <v>0</v>
      </c>
      <c r="V2259" s="78">
        <f>IF(NOT(ISNUMBER(G2259)), "", VLOOKUP(A2259,'Discount Lookup'!G:H,2,FALSE)*G2259)</f>
        <v>0</v>
      </c>
      <c r="W2259" s="102">
        <f t="shared" si="1604"/>
        <v>0</v>
      </c>
      <c r="X2259" s="102">
        <f t="shared" si="1605"/>
        <v>0</v>
      </c>
      <c r="Y2259" s="120" t="b">
        <f t="shared" si="1606"/>
        <v>0</v>
      </c>
      <c r="Z2259" s="117">
        <f t="shared" si="1607"/>
        <v>0</v>
      </c>
      <c r="AA2259" s="118"/>
      <c r="AB2259" s="118" t="str">
        <f t="shared" si="1608"/>
        <v/>
      </c>
      <c r="AC2259" s="712" t="str">
        <f>IF(AE2259="T2G","no charge",IF(AND(OR(PlanterYesMe="No",PlanterYesMe="N",PlanterYesMe="me"),H2259=""),"",IF(H2259="credit","NO install",IF(AND(K2259="",AE2259="me"),"EACH row",IF(AND(K2259="images",AE2259="me"),"EACH row",IF(D2259="","",IF(H2259="credit","",IF(AE2259="free","re-planting",IF(AE2259="me","   not ELP, by",IF(AND(OR(PlanterYesMe="Yes",PlanterYesMe="Y"),G2259&gt;0),(VLOOKUP(A2259,'Discount Lookup'!J:K,2)*G2259*(1-PlanterDiscount)*(1+PlanterDifficultyPercentage)),IF(AE2259="ELP",(VLOOKUP(A2259,'Discount Lookup'!J:K,2)*G2259*(1-PlanterDiscount)*(1+PlanterDifficultyPercentage)),IF(AE2259="free","re-planting",IF(G2259=0,"",IF(PlanterYesMe="",IF(AE2259="me","   not ELP, by",IF(AE2259="",IF(G2259&gt;0,(VLOOKUP(A2259,'Discount Lookup'!J:K,2)*G2259*(1-PlanterDiscount)*(1+PlanterDifficultyPercentage)),""),"")),"   not ELP, by"))))))))))))))</f>
        <v/>
      </c>
      <c r="AD2259" s="712"/>
      <c r="AE2259" s="513" t="str">
        <f t="shared" si="1609"/>
        <v/>
      </c>
      <c r="AF2259" s="713" t="str">
        <f t="shared" si="1610"/>
        <v/>
      </c>
      <c r="AG2259" s="713"/>
      <c r="AH2259" s="713"/>
      <c r="AI2259" s="112">
        <f>IF(H2259="credit",0,IF(AE2259="free",0,IF(AE2259="me",0,IF(G2259&gt;0,(VLOOKUP(A2259,'Discount Lookup'!J:K,2)*G2259),0))))</f>
        <v>0</v>
      </c>
      <c r="AJ2259" s="107" t="str">
        <f t="shared" ca="1" si="1611"/>
        <v/>
      </c>
      <c r="AK2259" s="714" t="str">
        <f t="shared" si="1612"/>
        <v/>
      </c>
      <c r="AL2259" s="714"/>
      <c r="AM2259" s="114" t="str">
        <f t="shared" si="1613"/>
        <v/>
      </c>
      <c r="AN2259" s="115"/>
      <c r="AO2259" s="116"/>
      <c r="AP2259" s="116"/>
      <c r="AQ2259" s="116"/>
      <c r="AR2259" s="116"/>
      <c r="AS2259" s="116"/>
      <c r="AT2259" s="116"/>
      <c r="AU2259" s="116"/>
      <c r="AV2259" s="78"/>
      <c r="AW2259" s="102"/>
      <c r="AX2259" s="78"/>
      <c r="AY2259" s="78"/>
      <c r="AZ2259" s="78"/>
      <c r="BA2259" s="78"/>
      <c r="BB2259" s="78"/>
      <c r="BC2259" s="78"/>
      <c r="BD2259" s="78"/>
      <c r="BE2259" s="465"/>
      <c r="BF2259" s="165" t="str">
        <f t="shared" si="1614"/>
        <v>https://www.google.com/search?tbm=isch&amp;q=7%20G4</v>
      </c>
      <c r="BG2259" s="165" t="str">
        <f t="shared" si="1615"/>
        <v>I</v>
      </c>
      <c r="BH2259" s="65"/>
      <c r="BI2259" s="65"/>
      <c r="BJ2259" s="65"/>
      <c r="BK2259" s="65"/>
      <c r="BL2259" s="99"/>
      <c r="BM2259" s="99"/>
      <c r="BN2259" s="99"/>
    </row>
    <row r="2260" spans="1:66" s="51" customFormat="1" ht="27" x14ac:dyDescent="0.25">
      <c r="A2260" s="478">
        <v>15</v>
      </c>
      <c r="B2260" s="479" t="s">
        <v>291</v>
      </c>
      <c r="C2260" s="480" t="s">
        <v>527</v>
      </c>
      <c r="D2260" s="481" t="s">
        <v>311</v>
      </c>
      <c r="E2260" s="482">
        <v>160.94999999999999</v>
      </c>
      <c r="F2260" s="483" t="s">
        <v>292</v>
      </c>
      <c r="G2260" s="484">
        <v>0</v>
      </c>
      <c r="H2260" s="688" t="str">
        <f>IF(G2260=0,"",IF(F2260="Buy",IF(G2260=1,"plant","plants"),IF(F2260&gt;0.01,"warranty","Error")))</f>
        <v/>
      </c>
      <c r="I2260" s="485">
        <f>IF(H2260="free",0,IF(H2260="credit",((E2260*(F2260))*G2260*-1),IF(F2260="Buy",(E2260*G2260),((E2260*(1-F2260))*G2260))))</f>
        <v>0</v>
      </c>
      <c r="J2260" s="485">
        <f>IF(H2260="warranty",0,(I2260*(_xlfn.SINGLE(SalesTaxPercentage))))</f>
        <v>0</v>
      </c>
      <c r="K2260" s="715">
        <f t="shared" ref="K2260" si="1667">I2260+J2260</f>
        <v>0</v>
      </c>
      <c r="L2260" s="715"/>
      <c r="M2260" s="689" t="str">
        <f ca="1">IF(AND(G2260&gt;0,E2260=0),"WARNING - no PRICE inserted",IF(H2260="free","FREE ~ no charge this plant",IF(H2260="credit",CONCATENATE("-$",ROUND(K2260*(1-_xlfn.SINGLE(T2GDiscount))*-1,2)," CREDIT after discount"),IF(_xlfn.SINGLE(T2GDiscount)=0,"",IF(G2260=0,"",IF(F2260="Buy",CONCATENATE("$",ROUND(K2260*(1-_xlfn.SINGLE(T2GDiscount)),2)," with ",(_xlfn.SINGLE(T2GDiscount)*100),"% discount"),CONCATENATE("$",ROUND(K2260*(1-_xlfn.SINGLE(T2GDiscount)),2)," with ",((_xlfn.SINGLE(T2GDiscount)*100+F2260*100)-(_xlfn.SINGLE(T2GDiscount)*100*F2260)),IF(F2260&gt;0,"% discounts",IF(_xlfn.SINGLE(NoWarrantyDiscount)&gt;0,"% discounts","% discount")))))))))</f>
        <v/>
      </c>
      <c r="N2260" s="690"/>
      <c r="O2260" s="486"/>
      <c r="P2260" s="486"/>
      <c r="Q2260" s="486"/>
      <c r="R2260" s="486"/>
      <c r="S2260" s="486"/>
      <c r="T2260" s="102">
        <f t="shared" ref="T2260:T2323" si="1668">E2260*G2260</f>
        <v>0</v>
      </c>
      <c r="U2260" s="78">
        <f>IF(NOT(ISNUMBER(G2260)), "", VLOOKUP(A2260,'Discount Lookup'!D:E,2,FALSE)*G2260)</f>
        <v>0</v>
      </c>
      <c r="V2260" s="78">
        <f>IF(NOT(ISNUMBER(G2260)), "", VLOOKUP(A2260,'Discount Lookup'!G:H,2,FALSE)*G2260)</f>
        <v>0</v>
      </c>
      <c r="W2260" s="102">
        <f t="shared" ref="W2260:W2323" si="1669">IF(H2260="credit",0,E2260*(SalesTaxPercentage)*G2260)</f>
        <v>0</v>
      </c>
      <c r="X2260" s="102">
        <f t="shared" ref="X2260:X2323" si="1670">I2260</f>
        <v>0</v>
      </c>
      <c r="Y2260" s="120" t="b">
        <f t="shared" ref="Y2260:Y2323" si="1671">IF(AE2260="T2G",0,IF(H2260="credit",0,IF(G2260&gt;0,IF(AE2260="me","",G2260))))</f>
        <v>0</v>
      </c>
      <c r="Z2260" s="117">
        <f t="shared" ref="Z2260:Z2323" si="1672">IF(H2260="credit",G2260,0)</f>
        <v>0</v>
      </c>
      <c r="AA2260" s="118"/>
      <c r="AB2260" s="118" t="str">
        <f t="shared" ref="AB2260:AB2323" si="1673">IF(AE2260="T2G","by Trees2Go",IF(H2260="credit","CREDIT only ~",IF(AND(K2260="",AE2260=OR(PlanterYesMe="No",PlanterYesMe="N",PlanterYesMe="me")),"not THIS line⇨",IF(AND(K2260="images",AE2260="me"),"not THIS line⇨",IF(H2260="credit","",IF(G2260=0,"",IF(AE2260="me","",IF(OR(PlanterYesMe="No",PlanterYesMe="N",PlanterYesMe="me"),"",IF(AE2260="free","warranty",IF(OR(PlanterYesMe="yes",PlanterYesMe="y"),"Edison install:","to install:"))))))))))</f>
        <v/>
      </c>
      <c r="AC2260" s="712" t="str">
        <f>IF(AE2260="T2G","no charge",IF(AND(OR(PlanterYesMe="No",PlanterYesMe="N",PlanterYesMe="me"),H2260=""),"",IF(H2260="credit","NO install",IF(AND(K2260="",AE2260="me"),"EACH row",IF(AND(K2260="images",AE2260="me"),"EACH row",IF(D2260="","",IF(H2260="credit","",IF(AE2260="free","re-planting",IF(AE2260="me","   not ELP, by",IF(AND(OR(PlanterYesMe="Yes",PlanterYesMe="Y"),G2260&gt;0),(VLOOKUP(A2260,'Discount Lookup'!J:K,2)*G2260*(1-PlanterDiscount)*(1+PlanterDifficultyPercentage)),IF(AE2260="ELP",(VLOOKUP(A2260,'Discount Lookup'!J:K,2)*G2260*(1-PlanterDiscount)*(1+PlanterDifficultyPercentage)),IF(AE2260="free","re-planting",IF(G2260=0,"",IF(PlanterYesMe="",IF(AE2260="me","   not ELP, by",IF(AE2260="",IF(G2260&gt;0,(VLOOKUP(A2260,'Discount Lookup'!J:K,2)*G2260*(1-PlanterDiscount)*(1+PlanterDifficultyPercentage)),""),"")),"   not ELP, by"))))))))))))))</f>
        <v/>
      </c>
      <c r="AD2260" s="712"/>
      <c r="AE2260" s="513" t="str">
        <f t="shared" ref="AE2260:AE2323" si="1674">IF(H2260="credit","",IF(G2260=0,"",IF(OR(PlanterYesMe="No",PlanterYesMe="N",PlanterYesMe="me"),"me",IF(H2260="warranty","free",IF(OR(PlanterYesMe="yes",PlanterYesMe="y"),"ELP","")))))</f>
        <v/>
      </c>
      <c r="AF2260" s="713" t="str">
        <f t="shared" ref="AF2260:AF2323" si="1675">IF(OR(PlanterYesMe="No",PlanterYesMe="N",PlanterYesMe="me"),"",IF(H2260="credit","",IF(G2260&gt;0,(CONCATENATE((G2260)," quantity, ",(A2260)," ",B2260)),"")))</f>
        <v/>
      </c>
      <c r="AG2260" s="713"/>
      <c r="AH2260" s="713"/>
      <c r="AI2260" s="112">
        <f>IF(H2260="credit",0,IF(AE2260="free",0,IF(AE2260="me",0,IF(G2260&gt;0,(VLOOKUP(A2260,'Discount Lookup'!J:K,2)*G2260),0))))</f>
        <v>0</v>
      </c>
      <c r="AJ2260" s="107" t="str">
        <f t="shared" ref="AJ2260:AJ2323" ca="1" si="1676">IF(AND(ISREF(H2260),H2260="credit"),"",IF(AND(AND(OFFSET(G2260,0,0)=0,OFFSET(G2260,1,0)&gt;0,ISNUMBER(OFFSET(AC2260,1,0)),OFFSET(AC2260,1,0)&gt;0),OR(PlanterYesMe="yes",PlanterYesMe="y")),"T2G+ELP=",IF(AND(OFFSET(G2260,0,0)=0,OFFSET(G2260,1,0)&gt;0,ISNUMBER(OFFSET(AC2260,1,0)),OFFSET(AC2260,1,0)&gt;0),"if T2G+ELP=",IF(AND(OFFSET(G2260,0,0)=0,OFFSET(G2260,1,0)&gt;0),"T2G Subtotal",IF(H2260="credit","",IF(G2260=0,"",IF(AE2260="free",(K2260*(1-T2GDiscount)),IF(OR(PlanterYesMe="No",PlanterYesMe="N",PlanterYesMe="me"),(K2260*(1-T2GDiscount)),IF(OR(AE2260="me",AE2260="T2G"),(K2260*(1-T2GDiscount)),(K2260*(1-T2GDiscount))+AC2260)))))))))</f>
        <v/>
      </c>
      <c r="AK2260" s="714" t="str">
        <f t="shared" ref="AK2260:AK2323" si="1677">IF(H2260="credit","",IF(G2260=0,"",IF(OR(AE2260="me",AE2260="T2G"),"  delivery-only",IF(OR(PlanterYesMe="No",PlanterYesMe="N",PlanterYesMe="me"),"  delivery-only",CONCATENATE(" $",ROUND(AJ2260/G2260,2)," each")))))</f>
        <v/>
      </c>
      <c r="AL2260" s="714"/>
      <c r="AM2260" s="114" t="str">
        <f t="shared" ref="AM2260:AM2323" si="1678">IF(H2260="credit","",IF(AE2260="free","      ~ discounts included, no tax or planting fee applies ~",IF(G2260=0,"",IF(OR(PlanterYesMe="No",PlanterYesMe="N",PlanterYesMe="me"),CONCATENATE(" $",ROUND(AJ2260/G2260,2)," per plant, with tax &amp; discount"),IF(OR(AE2260="me",AE2260="T2G"),CONCATENATE(" $",ROUND(AJ2260/G2260,2)," per plant, with tax &amp; discount"),CONCATENATE("= $",ROUND((K2260*(1-T2GDiscount))/G2260,2)," per plant + $",AC2260/G2260,(" per planting      ~ includes tax &amp; discounts ~")))))))</f>
        <v/>
      </c>
      <c r="AN2260" s="115"/>
      <c r="AO2260" s="116"/>
      <c r="AP2260" s="116"/>
      <c r="AQ2260" s="116"/>
      <c r="AR2260" s="116"/>
      <c r="AS2260" s="116"/>
      <c r="AT2260" s="116"/>
      <c r="AU2260" s="116"/>
      <c r="AV2260" s="78"/>
      <c r="AW2260" s="102"/>
      <c r="AX2260" s="78"/>
      <c r="AY2260" s="78"/>
      <c r="AZ2260" s="78"/>
      <c r="BA2260" s="78"/>
      <c r="BB2260" s="78"/>
      <c r="BC2260" s="78"/>
      <c r="BD2260" s="78"/>
      <c r="BE2260" s="465"/>
      <c r="BF2260" s="165" t="str">
        <f t="shared" ref="BF2260:BF2323" si="1679">"https://www.google.com/search?tbm=isch&amp;q=" &amp; _xlfn.ENCODEURL($A2260 &amp; " " &amp; $D2260)</f>
        <v>https://www.google.com/search?tbm=isch&amp;q=15%20G5</v>
      </c>
      <c r="BG2260" s="165" t="str">
        <f t="shared" ref="BG2260:BG2323" si="1680">IF(ISTEXT(A2260),LEFT(A2260,1),BG2259)</f>
        <v>I</v>
      </c>
      <c r="BH2260" s="65"/>
      <c r="BI2260" s="65"/>
      <c r="BJ2260" s="65"/>
      <c r="BK2260" s="65"/>
      <c r="BL2260" s="99"/>
      <c r="BM2260" s="99"/>
      <c r="BN2260" s="99"/>
    </row>
    <row r="2261" spans="1:66" s="51" customFormat="1" ht="15.75" x14ac:dyDescent="0.25">
      <c r="A2261" s="478">
        <v>15</v>
      </c>
      <c r="B2261" s="479" t="s">
        <v>291</v>
      </c>
      <c r="C2261" s="480" t="s">
        <v>943</v>
      </c>
      <c r="D2261" s="481" t="s">
        <v>299</v>
      </c>
      <c r="E2261" s="482">
        <v>171.95</v>
      </c>
      <c r="F2261" s="483" t="s">
        <v>292</v>
      </c>
      <c r="G2261" s="484">
        <v>0</v>
      </c>
      <c r="H2261" s="688" t="str">
        <f>IF(G2261=0,"",IF(F2261="Buy",IF(G2261=1,"plant","plants"),IF(F2261&gt;0.01,"warranty","Error")))</f>
        <v/>
      </c>
      <c r="I2261" s="485">
        <f>IF(H2261="free",0,IF(H2261="credit",((E2261*(F2261))*G2261*-1),IF(F2261="Buy",(E2261*G2261),((E2261*(1-F2261))*G2261))))</f>
        <v>0</v>
      </c>
      <c r="J2261" s="485">
        <f>IF(H2261="warranty",0,(I2261*(_xlfn.SINGLE(SalesTaxPercentage))))</f>
        <v>0</v>
      </c>
      <c r="K2261" s="715">
        <f t="shared" ref="K2261" si="1681">I2261+J2261</f>
        <v>0</v>
      </c>
      <c r="L2261" s="715"/>
      <c r="M2261" s="689" t="str">
        <f ca="1">IF(AND(G2261&gt;0,E2261=0),"WARNING - no PRICE inserted",IF(H2261="free","FREE ~ no charge this plant",IF(H2261="credit",CONCATENATE("-$",ROUND(K2261*(1-_xlfn.SINGLE(T2GDiscount))*-1,2)," CREDIT after discount"),IF(_xlfn.SINGLE(T2GDiscount)=0,"",IF(G2261=0,"",IF(F2261="Buy",CONCATENATE("$",ROUND(K2261*(1-_xlfn.SINGLE(T2GDiscount)),2)," with ",(_xlfn.SINGLE(T2GDiscount)*100),"% discount"),CONCATENATE("$",ROUND(K2261*(1-_xlfn.SINGLE(T2GDiscount)),2)," with ",((_xlfn.SINGLE(T2GDiscount)*100+F2261*100)-(_xlfn.SINGLE(T2GDiscount)*100*F2261)),IF(F2261&gt;0,"% discounts",IF(_xlfn.SINGLE(NoWarrantyDiscount)&gt;0,"% discounts","% discount")))))))))</f>
        <v/>
      </c>
      <c r="N2261" s="690"/>
      <c r="O2261" s="486"/>
      <c r="P2261" s="486"/>
      <c r="Q2261" s="486"/>
      <c r="R2261" s="486"/>
      <c r="S2261" s="486"/>
      <c r="T2261" s="102">
        <f t="shared" si="1668"/>
        <v>0</v>
      </c>
      <c r="U2261" s="78">
        <f>IF(NOT(ISNUMBER(G2261)), "", VLOOKUP(A2261,'Discount Lookup'!D:E,2,FALSE)*G2261)</f>
        <v>0</v>
      </c>
      <c r="V2261" s="78">
        <f>IF(NOT(ISNUMBER(G2261)), "", VLOOKUP(A2261,'Discount Lookup'!G:H,2,FALSE)*G2261)</f>
        <v>0</v>
      </c>
      <c r="W2261" s="102">
        <f t="shared" si="1669"/>
        <v>0</v>
      </c>
      <c r="X2261" s="102">
        <f t="shared" si="1670"/>
        <v>0</v>
      </c>
      <c r="Y2261" s="120" t="b">
        <f t="shared" si="1671"/>
        <v>0</v>
      </c>
      <c r="Z2261" s="117">
        <f t="shared" si="1672"/>
        <v>0</v>
      </c>
      <c r="AA2261" s="118"/>
      <c r="AB2261" s="118" t="str">
        <f t="shared" si="1673"/>
        <v/>
      </c>
      <c r="AC2261" s="712" t="str">
        <f>IF(AE2261="T2G","no charge",IF(AND(OR(PlanterYesMe="No",PlanterYesMe="N",PlanterYesMe="me"),H2261=""),"",IF(H2261="credit","NO install",IF(AND(K2261="",AE2261="me"),"EACH row",IF(AND(K2261="images",AE2261="me"),"EACH row",IF(D2261="","",IF(H2261="credit","",IF(AE2261="free","re-planting",IF(AE2261="me","   not ELP, by",IF(AND(OR(PlanterYesMe="Yes",PlanterYesMe="Y"),G2261&gt;0),(VLOOKUP(A2261,'Discount Lookup'!J:K,2)*G2261*(1-PlanterDiscount)*(1+PlanterDifficultyPercentage)),IF(AE2261="ELP",(VLOOKUP(A2261,'Discount Lookup'!J:K,2)*G2261*(1-PlanterDiscount)*(1+PlanterDifficultyPercentage)),IF(AE2261="free","re-planting",IF(G2261=0,"",IF(PlanterYesMe="",IF(AE2261="me","   not ELP, by",IF(AE2261="",IF(G2261&gt;0,(VLOOKUP(A2261,'Discount Lookup'!J:K,2)*G2261*(1-PlanterDiscount)*(1+PlanterDifficultyPercentage)),""),"")),"   not ELP, by"))))))))))))))</f>
        <v/>
      </c>
      <c r="AD2261" s="712"/>
      <c r="AE2261" s="513" t="str">
        <f t="shared" si="1674"/>
        <v/>
      </c>
      <c r="AF2261" s="713" t="str">
        <f t="shared" si="1675"/>
        <v/>
      </c>
      <c r="AG2261" s="713"/>
      <c r="AH2261" s="713"/>
      <c r="AI2261" s="112">
        <f>IF(H2261="credit",0,IF(AE2261="free",0,IF(AE2261="me",0,IF(G2261&gt;0,(VLOOKUP(A2261,'Discount Lookup'!J:K,2)*G2261),0))))</f>
        <v>0</v>
      </c>
      <c r="AJ2261" s="107" t="str">
        <f t="shared" ca="1" si="1676"/>
        <v/>
      </c>
      <c r="AK2261" s="714" t="str">
        <f t="shared" si="1677"/>
        <v/>
      </c>
      <c r="AL2261" s="714"/>
      <c r="AM2261" s="114" t="str">
        <f t="shared" si="1678"/>
        <v/>
      </c>
      <c r="AN2261" s="115"/>
      <c r="AO2261" s="116"/>
      <c r="AP2261" s="116"/>
      <c r="AQ2261" s="116"/>
      <c r="AR2261" s="116"/>
      <c r="AS2261" s="116"/>
      <c r="AT2261" s="116"/>
      <c r="AU2261" s="116"/>
      <c r="AV2261" s="78"/>
      <c r="AW2261" s="102"/>
      <c r="AX2261" s="78"/>
      <c r="AY2261" s="78"/>
      <c r="AZ2261" s="78"/>
      <c r="BA2261" s="78"/>
      <c r="BB2261" s="78"/>
      <c r="BC2261" s="78"/>
      <c r="BD2261" s="78"/>
      <c r="BE2261" s="465"/>
      <c r="BF2261" s="165" t="str">
        <f t="shared" si="1679"/>
        <v>https://www.google.com/search?tbm=isch&amp;q=15%20G4</v>
      </c>
      <c r="BG2261" s="165" t="str">
        <f t="shared" si="1680"/>
        <v>I</v>
      </c>
      <c r="BH2261" s="65"/>
      <c r="BI2261" s="65"/>
      <c r="BJ2261" s="65"/>
      <c r="BK2261" s="65"/>
      <c r="BL2261" s="99"/>
      <c r="BM2261" s="99"/>
      <c r="BN2261" s="99"/>
    </row>
    <row r="2262" spans="1:66" s="51" customFormat="1" ht="15.75" x14ac:dyDescent="0.25">
      <c r="A2262" s="478">
        <v>25</v>
      </c>
      <c r="B2262" s="479" t="s">
        <v>291</v>
      </c>
      <c r="C2262" s="480" t="s">
        <v>5178</v>
      </c>
      <c r="D2262" s="481" t="s">
        <v>299</v>
      </c>
      <c r="E2262" s="482">
        <v>339.95</v>
      </c>
      <c r="F2262" s="483" t="s">
        <v>292</v>
      </c>
      <c r="G2262" s="484">
        <v>0</v>
      </c>
      <c r="H2262" s="688" t="str">
        <f>IF(G2262=0,"",IF(F2262="Buy",IF(G2262=1,"plant","plants"),IF(F2262&gt;0.01,"warranty","Error")))</f>
        <v/>
      </c>
      <c r="I2262" s="485">
        <f>IF(H2262="free",0,IF(H2262="credit",((E2262*(F2262))*G2262*-1),IF(F2262="Buy",(E2262*G2262),((E2262*(1-F2262))*G2262))))</f>
        <v>0</v>
      </c>
      <c r="J2262" s="485">
        <f>IF(H2262="warranty",0,(I2262*(_xlfn.SINGLE(SalesTaxPercentage))))</f>
        <v>0</v>
      </c>
      <c r="K2262" s="715">
        <f t="shared" ref="K2262" si="1682">I2262+J2262</f>
        <v>0</v>
      </c>
      <c r="L2262" s="715"/>
      <c r="M2262" s="689" t="str">
        <f ca="1">IF(AND(G2262&gt;0,E2262=0),"WARNING - no PRICE inserted",IF(H2262="free","FREE ~ no charge this plant",IF(H2262="credit",CONCATENATE("-$",ROUND(K2262*(1-_xlfn.SINGLE(T2GDiscount))*-1,2)," CREDIT after discount"),IF(_xlfn.SINGLE(T2GDiscount)=0,"",IF(G2262=0,"",IF(F2262="Buy",CONCATENATE("$",ROUND(K2262*(1-_xlfn.SINGLE(T2GDiscount)),2)," with ",(_xlfn.SINGLE(T2GDiscount)*100),"% discount"),CONCATENATE("$",ROUND(K2262*(1-_xlfn.SINGLE(T2GDiscount)),2)," with ",((_xlfn.SINGLE(T2GDiscount)*100+F2262*100)-(_xlfn.SINGLE(T2GDiscount)*100*F2262)),IF(F2262&gt;0,"% discounts",IF(_xlfn.SINGLE(NoWarrantyDiscount)&gt;0,"% discounts","% discount")))))))))</f>
        <v/>
      </c>
      <c r="N2262" s="690"/>
      <c r="O2262" s="486"/>
      <c r="P2262" s="486"/>
      <c r="Q2262" s="486"/>
      <c r="R2262" s="486"/>
      <c r="S2262" s="486"/>
      <c r="T2262" s="102">
        <f t="shared" si="1668"/>
        <v>0</v>
      </c>
      <c r="U2262" s="78">
        <f>IF(NOT(ISNUMBER(G2262)), "", VLOOKUP(A2262,'Discount Lookup'!D:E,2,FALSE)*G2262)</f>
        <v>0</v>
      </c>
      <c r="V2262" s="78">
        <f>IF(NOT(ISNUMBER(G2262)), "", VLOOKUP(A2262,'Discount Lookup'!G:H,2,FALSE)*G2262)</f>
        <v>0</v>
      </c>
      <c r="W2262" s="102">
        <f t="shared" si="1669"/>
        <v>0</v>
      </c>
      <c r="X2262" s="102">
        <f t="shared" si="1670"/>
        <v>0</v>
      </c>
      <c r="Y2262" s="120" t="b">
        <f t="shared" si="1671"/>
        <v>0</v>
      </c>
      <c r="Z2262" s="117">
        <f t="shared" si="1672"/>
        <v>0</v>
      </c>
      <c r="AA2262" s="118"/>
      <c r="AB2262" s="118" t="str">
        <f t="shared" si="1673"/>
        <v/>
      </c>
      <c r="AC2262" s="712" t="str">
        <f>IF(AE2262="T2G","no charge",IF(AND(OR(PlanterYesMe="No",PlanterYesMe="N",PlanterYesMe="me"),H2262=""),"",IF(H2262="credit","NO install",IF(AND(K2262="",AE2262="me"),"EACH row",IF(AND(K2262="images",AE2262="me"),"EACH row",IF(D2262="","",IF(H2262="credit","",IF(AE2262="free","re-planting",IF(AE2262="me","   not ELP, by",IF(AND(OR(PlanterYesMe="Yes",PlanterYesMe="Y"),G2262&gt;0),(VLOOKUP(A2262,'Discount Lookup'!J:K,2)*G2262*(1-PlanterDiscount)*(1+PlanterDifficultyPercentage)),IF(AE2262="ELP",(VLOOKUP(A2262,'Discount Lookup'!J:K,2)*G2262*(1-PlanterDiscount)*(1+PlanterDifficultyPercentage)),IF(AE2262="free","re-planting",IF(G2262=0,"",IF(PlanterYesMe="",IF(AE2262="me","   not ELP, by",IF(AE2262="",IF(G2262&gt;0,(VLOOKUP(A2262,'Discount Lookup'!J:K,2)*G2262*(1-PlanterDiscount)*(1+PlanterDifficultyPercentage)),""),"")),"   not ELP, by"))))))))))))))</f>
        <v/>
      </c>
      <c r="AD2262" s="712"/>
      <c r="AE2262" s="513" t="str">
        <f t="shared" si="1674"/>
        <v/>
      </c>
      <c r="AF2262" s="713" t="str">
        <f t="shared" si="1675"/>
        <v/>
      </c>
      <c r="AG2262" s="713"/>
      <c r="AH2262" s="713"/>
      <c r="AI2262" s="112">
        <f>IF(H2262="credit",0,IF(AE2262="free",0,IF(AE2262="me",0,IF(G2262&gt;0,(VLOOKUP(A2262,'Discount Lookup'!J:K,2)*G2262),0))))</f>
        <v>0</v>
      </c>
      <c r="AJ2262" s="107" t="str">
        <f t="shared" ca="1" si="1676"/>
        <v/>
      </c>
      <c r="AK2262" s="714" t="str">
        <f t="shared" si="1677"/>
        <v/>
      </c>
      <c r="AL2262" s="714"/>
      <c r="AM2262" s="114" t="str">
        <f t="shared" si="1678"/>
        <v/>
      </c>
      <c r="AN2262" s="115"/>
      <c r="AO2262" s="116"/>
      <c r="AP2262" s="116"/>
      <c r="AQ2262" s="116"/>
      <c r="AR2262" s="116"/>
      <c r="AS2262" s="116"/>
      <c r="AT2262" s="116"/>
      <c r="AU2262" s="116"/>
      <c r="AV2262" s="78"/>
      <c r="AW2262" s="102"/>
      <c r="AX2262" s="78"/>
      <c r="AY2262" s="78"/>
      <c r="AZ2262" s="78"/>
      <c r="BA2262" s="78"/>
      <c r="BB2262" s="78"/>
      <c r="BC2262" s="78"/>
      <c r="BD2262" s="78"/>
      <c r="BE2262" s="465"/>
      <c r="BF2262" s="165" t="str">
        <f t="shared" si="1679"/>
        <v>https://www.google.com/search?tbm=isch&amp;q=25%20G4</v>
      </c>
      <c r="BG2262" s="165" t="str">
        <f t="shared" si="1680"/>
        <v>I</v>
      </c>
      <c r="BH2262" s="65"/>
      <c r="BI2262" s="65"/>
      <c r="BJ2262" s="65"/>
      <c r="BK2262" s="65"/>
      <c r="BL2262" s="99"/>
      <c r="BM2262" s="99"/>
      <c r="BN2262" s="99"/>
    </row>
    <row r="2263" spans="1:66" s="51" customFormat="1" ht="15.75" x14ac:dyDescent="0.25">
      <c r="A2263" s="478">
        <v>30</v>
      </c>
      <c r="B2263" s="479" t="s">
        <v>291</v>
      </c>
      <c r="C2263" s="480" t="s">
        <v>843</v>
      </c>
      <c r="D2263" s="481" t="s">
        <v>311</v>
      </c>
      <c r="E2263" s="482">
        <v>353.95</v>
      </c>
      <c r="F2263" s="483" t="s">
        <v>292</v>
      </c>
      <c r="G2263" s="484">
        <v>0</v>
      </c>
      <c r="H2263" s="688" t="str">
        <f>IF(G2263=0,"",IF(F2263="Buy",IF(G2263=1,"plant","plants"),IF(F2263&gt;0.01,"warranty","Error")))</f>
        <v/>
      </c>
      <c r="I2263" s="485">
        <f>IF(H2263="free",0,IF(H2263="credit",((E2263*(F2263))*G2263*-1),IF(F2263="Buy",(E2263*G2263),((E2263*(1-F2263))*G2263))))</f>
        <v>0</v>
      </c>
      <c r="J2263" s="485">
        <f>IF(H2263="warranty",0,(I2263*(_xlfn.SINGLE(SalesTaxPercentage))))</f>
        <v>0</v>
      </c>
      <c r="K2263" s="715">
        <f t="shared" ref="K2263" si="1683">I2263+J2263</f>
        <v>0</v>
      </c>
      <c r="L2263" s="715"/>
      <c r="M2263" s="689" t="str">
        <f ca="1">IF(AND(G2263&gt;0,E2263=0),"WARNING - no PRICE inserted",IF(H2263="free","FREE ~ no charge this plant",IF(H2263="credit",CONCATENATE("-$",ROUND(K2263*(1-_xlfn.SINGLE(T2GDiscount))*-1,2)," CREDIT after discount"),IF(_xlfn.SINGLE(T2GDiscount)=0,"",IF(G2263=0,"",IF(F2263="Buy",CONCATENATE("$",ROUND(K2263*(1-_xlfn.SINGLE(T2GDiscount)),2)," with ",(_xlfn.SINGLE(T2GDiscount)*100),"% discount"),CONCATENATE("$",ROUND(K2263*(1-_xlfn.SINGLE(T2GDiscount)),2)," with ",((_xlfn.SINGLE(T2GDiscount)*100+F2263*100)-(_xlfn.SINGLE(T2GDiscount)*100*F2263)),IF(F2263&gt;0,"% discounts",IF(_xlfn.SINGLE(NoWarrantyDiscount)&gt;0,"% discounts","% discount")))))))))</f>
        <v/>
      </c>
      <c r="N2263" s="690"/>
      <c r="O2263" s="486"/>
      <c r="P2263" s="486"/>
      <c r="Q2263" s="486"/>
      <c r="R2263" s="486"/>
      <c r="S2263" s="486"/>
      <c r="T2263" s="102">
        <f t="shared" si="1668"/>
        <v>0</v>
      </c>
      <c r="U2263" s="78">
        <f>IF(NOT(ISNUMBER(G2263)), "", VLOOKUP(A2263,'Discount Lookup'!D:E,2,FALSE)*G2263)</f>
        <v>0</v>
      </c>
      <c r="V2263" s="78">
        <f>IF(NOT(ISNUMBER(G2263)), "", VLOOKUP(A2263,'Discount Lookup'!G:H,2,FALSE)*G2263)</f>
        <v>0</v>
      </c>
      <c r="W2263" s="102">
        <f t="shared" si="1669"/>
        <v>0</v>
      </c>
      <c r="X2263" s="102">
        <f t="shared" si="1670"/>
        <v>0</v>
      </c>
      <c r="Y2263" s="120" t="b">
        <f t="shared" si="1671"/>
        <v>0</v>
      </c>
      <c r="Z2263" s="117">
        <f t="shared" si="1672"/>
        <v>0</v>
      </c>
      <c r="AA2263" s="118"/>
      <c r="AB2263" s="118" t="str">
        <f t="shared" si="1673"/>
        <v/>
      </c>
      <c r="AC2263" s="712" t="str">
        <f>IF(AE2263="T2G","no charge",IF(AND(OR(PlanterYesMe="No",PlanterYesMe="N",PlanterYesMe="me"),H2263=""),"",IF(H2263="credit","NO install",IF(AND(K2263="",AE2263="me"),"EACH row",IF(AND(K2263="images",AE2263="me"),"EACH row",IF(D2263="","",IF(H2263="credit","",IF(AE2263="free","re-planting",IF(AE2263="me","   not ELP, by",IF(AND(OR(PlanterYesMe="Yes",PlanterYesMe="Y"),G2263&gt;0),(VLOOKUP(A2263,'Discount Lookup'!J:K,2)*G2263*(1-PlanterDiscount)*(1+PlanterDifficultyPercentage)),IF(AE2263="ELP",(VLOOKUP(A2263,'Discount Lookup'!J:K,2)*G2263*(1-PlanterDiscount)*(1+PlanterDifficultyPercentage)),IF(AE2263="free","re-planting",IF(G2263=0,"",IF(PlanterYesMe="",IF(AE2263="me","   not ELP, by",IF(AE2263="",IF(G2263&gt;0,(VLOOKUP(A2263,'Discount Lookup'!J:K,2)*G2263*(1-PlanterDiscount)*(1+PlanterDifficultyPercentage)),""),"")),"   not ELP, by"))))))))))))))</f>
        <v/>
      </c>
      <c r="AD2263" s="712"/>
      <c r="AE2263" s="513" t="str">
        <f t="shared" si="1674"/>
        <v/>
      </c>
      <c r="AF2263" s="713" t="str">
        <f t="shared" si="1675"/>
        <v/>
      </c>
      <c r="AG2263" s="713"/>
      <c r="AH2263" s="713"/>
      <c r="AI2263" s="112">
        <f>IF(H2263="credit",0,IF(AE2263="free",0,IF(AE2263="me",0,IF(G2263&gt;0,(VLOOKUP(A2263,'Discount Lookup'!J:K,2)*G2263),0))))</f>
        <v>0</v>
      </c>
      <c r="AJ2263" s="107" t="str">
        <f t="shared" ca="1" si="1676"/>
        <v/>
      </c>
      <c r="AK2263" s="714" t="str">
        <f t="shared" si="1677"/>
        <v/>
      </c>
      <c r="AL2263" s="714"/>
      <c r="AM2263" s="114" t="str">
        <f t="shared" si="1678"/>
        <v/>
      </c>
      <c r="AN2263" s="115"/>
      <c r="AO2263" s="116"/>
      <c r="AP2263" s="116"/>
      <c r="AQ2263" s="116"/>
      <c r="AR2263" s="116"/>
      <c r="AS2263" s="116"/>
      <c r="AT2263" s="116"/>
      <c r="AU2263" s="116"/>
      <c r="AV2263" s="78"/>
      <c r="AW2263" s="102"/>
      <c r="AX2263" s="78"/>
      <c r="AY2263" s="78"/>
      <c r="AZ2263" s="78"/>
      <c r="BA2263" s="78"/>
      <c r="BB2263" s="78"/>
      <c r="BC2263" s="78"/>
      <c r="BD2263" s="78"/>
      <c r="BE2263" s="465"/>
      <c r="BF2263" s="165" t="str">
        <f t="shared" si="1679"/>
        <v>https://www.google.com/search?tbm=isch&amp;q=30%20G5</v>
      </c>
      <c r="BG2263" s="165" t="str">
        <f t="shared" si="1680"/>
        <v>I</v>
      </c>
      <c r="BH2263" s="65"/>
      <c r="BI2263" s="65"/>
      <c r="BJ2263" s="65"/>
      <c r="BK2263" s="65"/>
      <c r="BL2263" s="99"/>
      <c r="BM2263" s="99"/>
      <c r="BN2263" s="99"/>
    </row>
    <row r="2264" spans="1:66" s="51" customFormat="1" ht="17.25" thickBot="1" x14ac:dyDescent="0.3">
      <c r="A2264" s="508" t="s">
        <v>528</v>
      </c>
      <c r="B2264" s="487"/>
      <c r="C2264" s="707"/>
      <c r="D2264" s="487"/>
      <c r="E2264" s="487"/>
      <c r="F2264" s="488"/>
      <c r="G2264" s="489"/>
      <c r="H2264" s="487"/>
      <c r="I2264" s="490"/>
      <c r="J2264" s="490"/>
      <c r="K2264" s="491"/>
      <c r="L2264" s="547"/>
      <c r="M2264" s="528"/>
      <c r="N2264" s="492"/>
      <c r="O2264" s="493"/>
      <c r="P2264" s="494"/>
      <c r="Q2264" s="492"/>
      <c r="R2264" s="492"/>
      <c r="S2264" s="699" t="s">
        <v>5290</v>
      </c>
      <c r="T2264" s="102">
        <f t="shared" si="1668"/>
        <v>0</v>
      </c>
      <c r="U2264" s="78" t="str">
        <f>IF(NOT(ISNUMBER(G2264)), "", VLOOKUP(A2264,'Discount Lookup'!D:E,2,FALSE)*G2264)</f>
        <v/>
      </c>
      <c r="V2264" s="78" t="str">
        <f>IF(NOT(ISNUMBER(G2264)), "", VLOOKUP(A2264,'Discount Lookup'!G:H,2,FALSE)*G2264)</f>
        <v/>
      </c>
      <c r="W2264" s="102">
        <f t="shared" si="1669"/>
        <v>0</v>
      </c>
      <c r="X2264" s="102">
        <f t="shared" si="1670"/>
        <v>0</v>
      </c>
      <c r="Y2264" s="120" t="b">
        <f t="shared" si="1671"/>
        <v>0</v>
      </c>
      <c r="Z2264" s="117">
        <f t="shared" si="1672"/>
        <v>0</v>
      </c>
      <c r="AA2264" s="118"/>
      <c r="AB2264" s="118" t="str">
        <f t="shared" si="1673"/>
        <v/>
      </c>
      <c r="AC2264" s="712" t="str">
        <f>IF(AE2264="T2G","no charge",IF(AND(OR(PlanterYesMe="No",PlanterYesMe="N",PlanterYesMe="me"),H2264=""),"",IF(H2264="credit","NO install",IF(AND(K2264="",AE2264="me"),"EACH row",IF(AND(K2264="images",AE2264="me"),"EACH row",IF(D2264="","",IF(H2264="credit","",IF(AE2264="free","re-planting",IF(AE2264="me","   not ELP, by",IF(AND(OR(PlanterYesMe="Yes",PlanterYesMe="Y"),G2264&gt;0),(VLOOKUP(A2264,'Discount Lookup'!J:K,2)*G2264*(1-PlanterDiscount)*(1+PlanterDifficultyPercentage)),IF(AE2264="ELP",(VLOOKUP(A2264,'Discount Lookup'!J:K,2)*G2264*(1-PlanterDiscount)*(1+PlanterDifficultyPercentage)),IF(AE2264="free","re-planting",IF(G2264=0,"",IF(PlanterYesMe="",IF(AE2264="me","   not ELP, by",IF(AE2264="",IF(G2264&gt;0,(VLOOKUP(A2264,'Discount Lookup'!J:K,2)*G2264*(1-PlanterDiscount)*(1+PlanterDifficultyPercentage)),""),"")),"   not ELP, by"))))))))))))))</f>
        <v/>
      </c>
      <c r="AD2264" s="712"/>
      <c r="AE2264" s="513" t="str">
        <f t="shared" si="1674"/>
        <v/>
      </c>
      <c r="AF2264" s="713" t="str">
        <f t="shared" si="1675"/>
        <v/>
      </c>
      <c r="AG2264" s="713"/>
      <c r="AH2264" s="713"/>
      <c r="AI2264" s="112">
        <f>IF(H2264="credit",0,IF(AE2264="free",0,IF(AE2264="me",0,IF(G2264&gt;0,(VLOOKUP(A2264,'Discount Lookup'!J:K,2)*G2264),0))))</f>
        <v>0</v>
      </c>
      <c r="AJ2264" s="107" t="str">
        <f t="shared" ca="1" si="1676"/>
        <v/>
      </c>
      <c r="AK2264" s="714" t="str">
        <f t="shared" si="1677"/>
        <v/>
      </c>
      <c r="AL2264" s="714"/>
      <c r="AM2264" s="114" t="str">
        <f t="shared" si="1678"/>
        <v/>
      </c>
      <c r="AN2264" s="115"/>
      <c r="AO2264" s="116"/>
      <c r="AP2264" s="116"/>
      <c r="AQ2264" s="116"/>
      <c r="AR2264" s="116"/>
      <c r="AS2264" s="116"/>
      <c r="AT2264" s="116"/>
      <c r="AU2264" s="116"/>
      <c r="AV2264" s="78"/>
      <c r="AW2264" s="102"/>
      <c r="AX2264" s="78"/>
      <c r="AY2264" s="78"/>
      <c r="AZ2264" s="78"/>
      <c r="BA2264" s="78"/>
      <c r="BB2264" s="78"/>
      <c r="BC2264" s="78"/>
      <c r="BD2264" s="78"/>
      <c r="BE2264" s="465"/>
      <c r="BF2264" s="165" t="str">
        <f t="shared" si="1679"/>
        <v>https://www.google.com/search?tbm=isch&amp;q=Oakland%20has%20very%20oak%20leaf-shaped%20leaves.%20%27Perfect%27%20flowers%20are%20both%20male%20%26%20female%20%26%20able%20to%20pollinate%20other%20Hollies%20</v>
      </c>
      <c r="BG2264" s="165" t="str">
        <f t="shared" si="1680"/>
        <v>O</v>
      </c>
      <c r="BH2264" s="65"/>
      <c r="BI2264" s="65"/>
      <c r="BJ2264" s="65"/>
      <c r="BK2264" s="65"/>
      <c r="BL2264" s="99"/>
      <c r="BM2264" s="99"/>
      <c r="BN2264" s="99"/>
    </row>
    <row r="2265" spans="1:66" s="51" customFormat="1" ht="18" x14ac:dyDescent="0.25">
      <c r="A2265" s="507" t="s">
        <v>529</v>
      </c>
      <c r="B2265" s="470"/>
      <c r="C2265" s="706"/>
      <c r="D2265" s="471" t="s">
        <v>530</v>
      </c>
      <c r="E2265" s="472"/>
      <c r="F2265" s="472"/>
      <c r="G2265" s="472"/>
      <c r="H2265" s="622" t="s">
        <v>510</v>
      </c>
      <c r="I2265" s="473" t="s">
        <v>430</v>
      </c>
      <c r="J2265" s="472"/>
      <c r="K2265" s="472"/>
      <c r="L2265" s="561"/>
      <c r="M2265" s="698" t="s">
        <v>5246</v>
      </c>
      <c r="N2265" s="692" t="str">
        <f>IF(AND(ISTEXT($A2265), ISERROR($A2265+0)), HYPERLINK($BF2265, "Images"), "")</f>
        <v>Images</v>
      </c>
      <c r="O2265" s="694" t="s">
        <v>5244</v>
      </c>
      <c r="P2265" s="475"/>
      <c r="Q2265" s="476"/>
      <c r="R2265" s="476"/>
      <c r="S2265" s="477"/>
      <c r="T2265" s="102">
        <f t="shared" si="1668"/>
        <v>0</v>
      </c>
      <c r="U2265" s="78" t="str">
        <f>IF(NOT(ISNUMBER(G2265)), "", VLOOKUP(A2265,'Discount Lookup'!D:E,2,FALSE)*G2265)</f>
        <v/>
      </c>
      <c r="V2265" s="78" t="str">
        <f>IF(NOT(ISNUMBER(G2265)), "", VLOOKUP(A2265,'Discount Lookup'!G:H,2,FALSE)*G2265)</f>
        <v/>
      </c>
      <c r="W2265" s="102">
        <f t="shared" si="1669"/>
        <v>0</v>
      </c>
      <c r="X2265" s="102" t="str">
        <f t="shared" si="1670"/>
        <v>Deep Green foliage</v>
      </c>
      <c r="Y2265" s="120" t="b">
        <f t="shared" si="1671"/>
        <v>0</v>
      </c>
      <c r="Z2265" s="117">
        <f t="shared" si="1672"/>
        <v>0</v>
      </c>
      <c r="AA2265" s="118"/>
      <c r="AB2265" s="118" t="str">
        <f t="shared" si="1673"/>
        <v/>
      </c>
      <c r="AC2265" s="712" t="str">
        <f>IF(AE2265="T2G","no charge",IF(AND(OR(PlanterYesMe="No",PlanterYesMe="N",PlanterYesMe="me"),H2265=""),"",IF(H2265="credit","NO install",IF(AND(K2265="",AE2265="me"),"EACH row",IF(AND(K2265="images",AE2265="me"),"EACH row",IF(D2265="","",IF(H2265="credit","",IF(AE2265="free","re-planting",IF(AE2265="me","   not ELP, by",IF(AND(OR(PlanterYesMe="Yes",PlanterYesMe="Y"),G2265&gt;0),(VLOOKUP(A2265,'Discount Lookup'!J:K,2)*G2265*(1-PlanterDiscount)*(1+PlanterDifficultyPercentage)),IF(AE2265="ELP",(VLOOKUP(A2265,'Discount Lookup'!J:K,2)*G2265*(1-PlanterDiscount)*(1+PlanterDifficultyPercentage)),IF(AE2265="free","re-planting",IF(G2265=0,"",IF(PlanterYesMe="",IF(AE2265="me","   not ELP, by",IF(AE2265="",IF(G2265&gt;0,(VLOOKUP(A2265,'Discount Lookup'!J:K,2)*G2265*(1-PlanterDiscount)*(1+PlanterDifficultyPercentage)),""),"")),"   not ELP, by"))))))))))))))</f>
        <v/>
      </c>
      <c r="AD2265" s="712"/>
      <c r="AE2265" s="513" t="str">
        <f t="shared" si="1674"/>
        <v/>
      </c>
      <c r="AF2265" s="713" t="str">
        <f t="shared" si="1675"/>
        <v/>
      </c>
      <c r="AG2265" s="713"/>
      <c r="AH2265" s="713"/>
      <c r="AI2265" s="112">
        <f>IF(H2265="credit",0,IF(AE2265="free",0,IF(AE2265="me",0,IF(G2265&gt;0,(VLOOKUP(A2265,'Discount Lookup'!J:K,2)*G2265),0))))</f>
        <v>0</v>
      </c>
      <c r="AJ2265" s="107" t="str">
        <f t="shared" ca="1" si="1676"/>
        <v/>
      </c>
      <c r="AK2265" s="714" t="str">
        <f t="shared" si="1677"/>
        <v/>
      </c>
      <c r="AL2265" s="714"/>
      <c r="AM2265" s="114" t="str">
        <f t="shared" si="1678"/>
        <v/>
      </c>
      <c r="AN2265" s="115"/>
      <c r="AO2265" s="116"/>
      <c r="AP2265" s="116"/>
      <c r="AQ2265" s="116"/>
      <c r="AR2265" s="116"/>
      <c r="AS2265" s="116"/>
      <c r="AT2265" s="116"/>
      <c r="AU2265" s="116"/>
      <c r="AV2265" s="78"/>
      <c r="AW2265" s="102"/>
      <c r="AX2265" s="78"/>
      <c r="AY2265" s="78"/>
      <c r="AZ2265" s="78"/>
      <c r="BA2265" s="78"/>
      <c r="BB2265" s="78"/>
      <c r="BC2265" s="78"/>
      <c r="BD2265" s="78"/>
      <c r="BE2265" s="465"/>
      <c r="BF2265" s="165" t="str">
        <f t="shared" si="1679"/>
        <v>https://www.google.com/search?tbm=isch&amp;q=Ilex%20%27Mary%20Nell%27%20Mary%20Nell%20Holly</v>
      </c>
      <c r="BG2265" s="165" t="str">
        <f t="shared" si="1680"/>
        <v>I</v>
      </c>
      <c r="BH2265" s="65"/>
      <c r="BI2265" s="65"/>
      <c r="BJ2265" s="65"/>
      <c r="BK2265" s="65"/>
      <c r="BL2265" s="99"/>
      <c r="BM2265" s="99"/>
      <c r="BN2265" s="99"/>
    </row>
    <row r="2266" spans="1:66" s="51" customFormat="1" ht="15.75" x14ac:dyDescent="0.25">
      <c r="A2266" s="478">
        <v>15</v>
      </c>
      <c r="B2266" s="479" t="s">
        <v>291</v>
      </c>
      <c r="C2266" s="480" t="s">
        <v>844</v>
      </c>
      <c r="D2266" s="481" t="s">
        <v>309</v>
      </c>
      <c r="E2266" s="482">
        <v>155.94999999999999</v>
      </c>
      <c r="F2266" s="483" t="s">
        <v>292</v>
      </c>
      <c r="G2266" s="484">
        <v>0</v>
      </c>
      <c r="H2266" s="688" t="str">
        <f>IF(G2266=0,"",IF(F2266="Buy",IF(G2266=1,"plant","plants"),IF(F2266&gt;0.01,"warranty","Error")))</f>
        <v/>
      </c>
      <c r="I2266" s="485">
        <f>IF(H2266="free",0,IF(H2266="credit",((E2266*(F2266))*G2266*-1),IF(F2266="Buy",(E2266*G2266),((E2266*(1-F2266))*G2266))))</f>
        <v>0</v>
      </c>
      <c r="J2266" s="485">
        <f>IF(H2266="warranty",0,(I2266*(_xlfn.SINGLE(SalesTaxPercentage))))</f>
        <v>0</v>
      </c>
      <c r="K2266" s="715">
        <f t="shared" ref="K2266" si="1684">I2266+J2266</f>
        <v>0</v>
      </c>
      <c r="L2266" s="715"/>
      <c r="M2266" s="689" t="str">
        <f ca="1">IF(AND(G2266&gt;0,E2266=0),"WARNING - no PRICE inserted",IF(H2266="free","FREE ~ no charge this plant",IF(H2266="credit",CONCATENATE("-$",ROUND(K2266*(1-_xlfn.SINGLE(T2GDiscount))*-1,2)," CREDIT after discount"),IF(_xlfn.SINGLE(T2GDiscount)=0,"",IF(G2266=0,"",IF(F2266="Buy",CONCATENATE("$",ROUND(K2266*(1-_xlfn.SINGLE(T2GDiscount)),2)," with ",(_xlfn.SINGLE(T2GDiscount)*100),"% discount"),CONCATENATE("$",ROUND(K2266*(1-_xlfn.SINGLE(T2GDiscount)),2)," with ",((_xlfn.SINGLE(T2GDiscount)*100+F2266*100)-(_xlfn.SINGLE(T2GDiscount)*100*F2266)),IF(F2266&gt;0,"% discounts",IF(_xlfn.SINGLE(NoWarrantyDiscount)&gt;0,"% discounts","% discount")))))))))</f>
        <v/>
      </c>
      <c r="N2266" s="690"/>
      <c r="O2266" s="486"/>
      <c r="P2266" s="486"/>
      <c r="Q2266" s="486"/>
      <c r="R2266" s="486"/>
      <c r="S2266" s="486"/>
      <c r="T2266" s="102">
        <f t="shared" si="1668"/>
        <v>0</v>
      </c>
      <c r="U2266" s="78">
        <f>IF(NOT(ISNUMBER(G2266)), "", VLOOKUP(A2266,'Discount Lookup'!D:E,2,FALSE)*G2266)</f>
        <v>0</v>
      </c>
      <c r="V2266" s="78">
        <f>IF(NOT(ISNUMBER(G2266)), "", VLOOKUP(A2266,'Discount Lookup'!G:H,2,FALSE)*G2266)</f>
        <v>0</v>
      </c>
      <c r="W2266" s="102">
        <f t="shared" si="1669"/>
        <v>0</v>
      </c>
      <c r="X2266" s="102">
        <f t="shared" si="1670"/>
        <v>0</v>
      </c>
      <c r="Y2266" s="120" t="b">
        <f t="shared" si="1671"/>
        <v>0</v>
      </c>
      <c r="Z2266" s="117">
        <f t="shared" si="1672"/>
        <v>0</v>
      </c>
      <c r="AA2266" s="118"/>
      <c r="AB2266" s="118" t="str">
        <f t="shared" si="1673"/>
        <v/>
      </c>
      <c r="AC2266" s="712" t="str">
        <f>IF(AE2266="T2G","no charge",IF(AND(OR(PlanterYesMe="No",PlanterYesMe="N",PlanterYesMe="me"),H2266=""),"",IF(H2266="credit","NO install",IF(AND(K2266="",AE2266="me"),"EACH row",IF(AND(K2266="images",AE2266="me"),"EACH row",IF(D2266="","",IF(H2266="credit","",IF(AE2266="free","re-planting",IF(AE2266="me","   not ELP, by",IF(AND(OR(PlanterYesMe="Yes",PlanterYesMe="Y"),G2266&gt;0),(VLOOKUP(A2266,'Discount Lookup'!J:K,2)*G2266*(1-PlanterDiscount)*(1+PlanterDifficultyPercentage)),IF(AE2266="ELP",(VLOOKUP(A2266,'Discount Lookup'!J:K,2)*G2266*(1-PlanterDiscount)*(1+PlanterDifficultyPercentage)),IF(AE2266="free","re-planting",IF(G2266=0,"",IF(PlanterYesMe="",IF(AE2266="me","   not ELP, by",IF(AE2266="",IF(G2266&gt;0,(VLOOKUP(A2266,'Discount Lookup'!J:K,2)*G2266*(1-PlanterDiscount)*(1+PlanterDifficultyPercentage)),""),"")),"   not ELP, by"))))))))))))))</f>
        <v/>
      </c>
      <c r="AD2266" s="712"/>
      <c r="AE2266" s="513" t="str">
        <f t="shared" si="1674"/>
        <v/>
      </c>
      <c r="AF2266" s="713" t="str">
        <f t="shared" si="1675"/>
        <v/>
      </c>
      <c r="AG2266" s="713"/>
      <c r="AH2266" s="713"/>
      <c r="AI2266" s="112">
        <f>IF(H2266="credit",0,IF(AE2266="free",0,IF(AE2266="me",0,IF(G2266&gt;0,(VLOOKUP(A2266,'Discount Lookup'!J:K,2)*G2266),0))))</f>
        <v>0</v>
      </c>
      <c r="AJ2266" s="107" t="str">
        <f t="shared" ca="1" si="1676"/>
        <v/>
      </c>
      <c r="AK2266" s="714" t="str">
        <f t="shared" si="1677"/>
        <v/>
      </c>
      <c r="AL2266" s="714"/>
      <c r="AM2266" s="114" t="str">
        <f t="shared" si="1678"/>
        <v/>
      </c>
      <c r="AN2266" s="115"/>
      <c r="AO2266" s="116"/>
      <c r="AP2266" s="116"/>
      <c r="AQ2266" s="116"/>
      <c r="AR2266" s="116"/>
      <c r="AS2266" s="116"/>
      <c r="AT2266" s="116"/>
      <c r="AU2266" s="116"/>
      <c r="AV2266" s="78"/>
      <c r="AW2266" s="102"/>
      <c r="AX2266" s="78"/>
      <c r="AY2266" s="78"/>
      <c r="AZ2266" s="78"/>
      <c r="BA2266" s="78"/>
      <c r="BB2266" s="78"/>
      <c r="BC2266" s="78"/>
      <c r="BD2266" s="78"/>
      <c r="BE2266" s="465"/>
      <c r="BF2266" s="165" t="str">
        <f t="shared" si="1679"/>
        <v>https://www.google.com/search?tbm=isch&amp;q=15%20G3</v>
      </c>
      <c r="BG2266" s="165" t="str">
        <f t="shared" si="1680"/>
        <v>I</v>
      </c>
      <c r="BH2266" s="65"/>
      <c r="BI2266" s="65"/>
      <c r="BJ2266" s="65"/>
      <c r="BK2266" s="65"/>
      <c r="BL2266" s="99"/>
      <c r="BM2266" s="99"/>
      <c r="BN2266" s="99"/>
    </row>
    <row r="2267" spans="1:66" s="51" customFormat="1" ht="17.25" thickBot="1" x14ac:dyDescent="0.3">
      <c r="A2267" s="508" t="s">
        <v>531</v>
      </c>
      <c r="B2267" s="487"/>
      <c r="C2267" s="707"/>
      <c r="D2267" s="487"/>
      <c r="E2267" s="487"/>
      <c r="F2267" s="488"/>
      <c r="G2267" s="489"/>
      <c r="H2267" s="487"/>
      <c r="I2267" s="490"/>
      <c r="J2267" s="490"/>
      <c r="K2267" s="491"/>
      <c r="L2267" s="547"/>
      <c r="M2267" s="528"/>
      <c r="N2267" s="492"/>
      <c r="O2267" s="493"/>
      <c r="P2267" s="494"/>
      <c r="Q2267" s="492"/>
      <c r="R2267" s="492"/>
      <c r="S2267" s="699" t="s">
        <v>5280</v>
      </c>
      <c r="T2267" s="102">
        <f t="shared" si="1668"/>
        <v>0</v>
      </c>
      <c r="U2267" s="78" t="str">
        <f>IF(NOT(ISNUMBER(G2267)), "", VLOOKUP(A2267,'Discount Lookup'!D:E,2,FALSE)*G2267)</f>
        <v/>
      </c>
      <c r="V2267" s="78" t="str">
        <f>IF(NOT(ISNUMBER(G2267)), "", VLOOKUP(A2267,'Discount Lookup'!G:H,2,FALSE)*G2267)</f>
        <v/>
      </c>
      <c r="W2267" s="102">
        <f t="shared" si="1669"/>
        <v>0</v>
      </c>
      <c r="X2267" s="102">
        <f t="shared" si="1670"/>
        <v>0</v>
      </c>
      <c r="Y2267" s="120" t="b">
        <f t="shared" si="1671"/>
        <v>0</v>
      </c>
      <c r="Z2267" s="117">
        <f t="shared" si="1672"/>
        <v>0</v>
      </c>
      <c r="AA2267" s="118"/>
      <c r="AB2267" s="118" t="str">
        <f t="shared" si="1673"/>
        <v/>
      </c>
      <c r="AC2267" s="712" t="str">
        <f>IF(AE2267="T2G","no charge",IF(AND(OR(PlanterYesMe="No",PlanterYesMe="N",PlanterYesMe="me"),H2267=""),"",IF(H2267="credit","NO install",IF(AND(K2267="",AE2267="me"),"EACH row",IF(AND(K2267="images",AE2267="me"),"EACH row",IF(D2267="","",IF(H2267="credit","",IF(AE2267="free","re-planting",IF(AE2267="me","   not ELP, by",IF(AND(OR(PlanterYesMe="Yes",PlanterYesMe="Y"),G2267&gt;0),(VLOOKUP(A2267,'Discount Lookup'!J:K,2)*G2267*(1-PlanterDiscount)*(1+PlanterDifficultyPercentage)),IF(AE2267="ELP",(VLOOKUP(A2267,'Discount Lookup'!J:K,2)*G2267*(1-PlanterDiscount)*(1+PlanterDifficultyPercentage)),IF(AE2267="free","re-planting",IF(G2267=0,"",IF(PlanterYesMe="",IF(AE2267="me","   not ELP, by",IF(AE2267="",IF(G2267&gt;0,(VLOOKUP(A2267,'Discount Lookup'!J:K,2)*G2267*(1-PlanterDiscount)*(1+PlanterDifficultyPercentage)),""),"")),"   not ELP, by"))))))))))))))</f>
        <v/>
      </c>
      <c r="AD2267" s="712"/>
      <c r="AE2267" s="513" t="str">
        <f t="shared" si="1674"/>
        <v/>
      </c>
      <c r="AF2267" s="713" t="str">
        <f t="shared" si="1675"/>
        <v/>
      </c>
      <c r="AG2267" s="713"/>
      <c r="AH2267" s="713"/>
      <c r="AI2267" s="112">
        <f>IF(H2267="credit",0,IF(AE2267="free",0,IF(AE2267="me",0,IF(G2267&gt;0,(VLOOKUP(A2267,'Discount Lookup'!J:K,2)*G2267),0))))</f>
        <v>0</v>
      </c>
      <c r="AJ2267" s="107" t="str">
        <f t="shared" ca="1" si="1676"/>
        <v/>
      </c>
      <c r="AK2267" s="714" t="str">
        <f t="shared" si="1677"/>
        <v/>
      </c>
      <c r="AL2267" s="714"/>
      <c r="AM2267" s="114" t="str">
        <f t="shared" si="1678"/>
        <v/>
      </c>
      <c r="AN2267" s="115"/>
      <c r="AO2267" s="116"/>
      <c r="AP2267" s="116"/>
      <c r="AQ2267" s="116"/>
      <c r="AR2267" s="116"/>
      <c r="AS2267" s="116"/>
      <c r="AT2267" s="116"/>
      <c r="AU2267" s="116"/>
      <c r="AV2267" s="78"/>
      <c r="AW2267" s="102"/>
      <c r="AX2267" s="78"/>
      <c r="AY2267" s="78"/>
      <c r="AZ2267" s="78"/>
      <c r="BA2267" s="78"/>
      <c r="BB2267" s="78"/>
      <c r="BC2267" s="78"/>
      <c r="BD2267" s="78"/>
      <c r="BE2267" s="465"/>
      <c r="BF2267" s="165" t="str">
        <f t="shared" si="1679"/>
        <v>https://www.google.com/search?tbm=isch&amp;q=Mary%20Nell%27s%20spiny%20foliage%20defends%20itself%20well.%20Requires%20a%20male%20pollinator%20for%20good%20berry%20set%20</v>
      </c>
      <c r="BG2267" s="165" t="str">
        <f t="shared" si="1680"/>
        <v>M</v>
      </c>
      <c r="BH2267" s="65"/>
      <c r="BI2267" s="65"/>
      <c r="BJ2267" s="65"/>
      <c r="BK2267" s="65"/>
      <c r="BL2267" s="99"/>
      <c r="BM2267" s="99"/>
      <c r="BN2267" s="99"/>
    </row>
    <row r="2268" spans="1:66" s="51" customFormat="1" ht="18" x14ac:dyDescent="0.25">
      <c r="A2268" s="507" t="s">
        <v>532</v>
      </c>
      <c r="B2268" s="470"/>
      <c r="C2268" s="706"/>
      <c r="D2268" s="471" t="s">
        <v>533</v>
      </c>
      <c r="E2268" s="472"/>
      <c r="F2268" s="472"/>
      <c r="G2268" s="472"/>
      <c r="H2268" s="622" t="s">
        <v>534</v>
      </c>
      <c r="I2268" s="473" t="s">
        <v>535</v>
      </c>
      <c r="J2268" s="472"/>
      <c r="K2268" s="472"/>
      <c r="L2268" s="561"/>
      <c r="M2268" s="698" t="s">
        <v>5246</v>
      </c>
      <c r="N2268" s="692" t="str">
        <f>IF(AND(ISTEXT($A2268), ISERROR($A2268+0)), HYPERLINK($BF2268, "Images"), "")</f>
        <v>Images</v>
      </c>
      <c r="O2268" s="694" t="s">
        <v>5289</v>
      </c>
      <c r="P2268" s="475"/>
      <c r="Q2268" s="476"/>
      <c r="R2268" s="476"/>
      <c r="S2268" s="477"/>
      <c r="T2268" s="102">
        <f t="shared" si="1668"/>
        <v>0</v>
      </c>
      <c r="U2268" s="78" t="str">
        <f>IF(NOT(ISNUMBER(G2268)), "", VLOOKUP(A2268,'Discount Lookup'!D:E,2,FALSE)*G2268)</f>
        <v/>
      </c>
      <c r="V2268" s="78" t="str">
        <f>IF(NOT(ISNUMBER(G2268)), "", VLOOKUP(A2268,'Discount Lookup'!G:H,2,FALSE)*G2268)</f>
        <v/>
      </c>
      <c r="W2268" s="102">
        <f t="shared" si="1669"/>
        <v>0</v>
      </c>
      <c r="X2268" s="102" t="str">
        <f t="shared" si="1670"/>
        <v>Glossy Dark Green leaf</v>
      </c>
      <c r="Y2268" s="120" t="b">
        <f t="shared" si="1671"/>
        <v>0</v>
      </c>
      <c r="Z2268" s="117">
        <f t="shared" si="1672"/>
        <v>0</v>
      </c>
      <c r="AA2268" s="118"/>
      <c r="AB2268" s="118" t="str">
        <f t="shared" si="1673"/>
        <v/>
      </c>
      <c r="AC2268" s="712" t="str">
        <f>IF(AE2268="T2G","no charge",IF(AND(OR(PlanterYesMe="No",PlanterYesMe="N",PlanterYesMe="me"),H2268=""),"",IF(H2268="credit","NO install",IF(AND(K2268="",AE2268="me"),"EACH row",IF(AND(K2268="images",AE2268="me"),"EACH row",IF(D2268="","",IF(H2268="credit","",IF(AE2268="free","re-planting",IF(AE2268="me","   not ELP, by",IF(AND(OR(PlanterYesMe="Yes",PlanterYesMe="Y"),G2268&gt;0),(VLOOKUP(A2268,'Discount Lookup'!J:K,2)*G2268*(1-PlanterDiscount)*(1+PlanterDifficultyPercentage)),IF(AE2268="ELP",(VLOOKUP(A2268,'Discount Lookup'!J:K,2)*G2268*(1-PlanterDiscount)*(1+PlanterDifficultyPercentage)),IF(AE2268="free","re-planting",IF(G2268=0,"",IF(PlanterYesMe="",IF(AE2268="me","   not ELP, by",IF(AE2268="",IF(G2268&gt;0,(VLOOKUP(A2268,'Discount Lookup'!J:K,2)*G2268*(1-PlanterDiscount)*(1+PlanterDifficultyPercentage)),""),"")),"   not ELP, by"))))))))))))))</f>
        <v/>
      </c>
      <c r="AD2268" s="712"/>
      <c r="AE2268" s="513" t="str">
        <f t="shared" si="1674"/>
        <v/>
      </c>
      <c r="AF2268" s="713" t="str">
        <f t="shared" si="1675"/>
        <v/>
      </c>
      <c r="AG2268" s="713"/>
      <c r="AH2268" s="713"/>
      <c r="AI2268" s="112">
        <f>IF(H2268="credit",0,IF(AE2268="free",0,IF(AE2268="me",0,IF(G2268&gt;0,(VLOOKUP(A2268,'Discount Lookup'!J:K,2)*G2268),0))))</f>
        <v>0</v>
      </c>
      <c r="AJ2268" s="107" t="str">
        <f t="shared" ca="1" si="1676"/>
        <v/>
      </c>
      <c r="AK2268" s="714" t="str">
        <f t="shared" si="1677"/>
        <v/>
      </c>
      <c r="AL2268" s="714"/>
      <c r="AM2268" s="114" t="str">
        <f t="shared" si="1678"/>
        <v/>
      </c>
      <c r="AN2268" s="115"/>
      <c r="AO2268" s="116"/>
      <c r="AP2268" s="116"/>
      <c r="AQ2268" s="116"/>
      <c r="AR2268" s="116"/>
      <c r="AS2268" s="116"/>
      <c r="AT2268" s="116"/>
      <c r="AU2268" s="116"/>
      <c r="AV2268" s="78"/>
      <c r="AW2268" s="102"/>
      <c r="AX2268" s="78"/>
      <c r="AY2268" s="78"/>
      <c r="AZ2268" s="78"/>
      <c r="BA2268" s="78"/>
      <c r="BB2268" s="78"/>
      <c r="BC2268" s="78"/>
      <c r="BD2268" s="78"/>
      <c r="BE2268" s="465"/>
      <c r="BF2268" s="165" t="str">
        <f t="shared" si="1679"/>
        <v>https://www.google.com/search?tbm=isch&amp;q=Ilex%20%27Nellie%20R.%20Stevens%27%20PP%238537Exp.%20Nellie%20Stevens%20Holly</v>
      </c>
      <c r="BG2268" s="165" t="str">
        <f t="shared" si="1680"/>
        <v>I</v>
      </c>
      <c r="BH2268" s="65"/>
      <c r="BI2268" s="65"/>
      <c r="BJ2268" s="65"/>
      <c r="BK2268" s="65"/>
      <c r="BL2268" s="99"/>
      <c r="BM2268" s="99"/>
      <c r="BN2268" s="99"/>
    </row>
    <row r="2269" spans="1:66" s="51" customFormat="1" ht="15.75" x14ac:dyDescent="0.25">
      <c r="A2269" s="478">
        <v>10</v>
      </c>
      <c r="B2269" s="479" t="s">
        <v>291</v>
      </c>
      <c r="C2269" s="480" t="s">
        <v>536</v>
      </c>
      <c r="D2269" s="481" t="s">
        <v>310</v>
      </c>
      <c r="E2269" s="482">
        <v>102.95</v>
      </c>
      <c r="F2269" s="483" t="s">
        <v>292</v>
      </c>
      <c r="G2269" s="484">
        <v>0</v>
      </c>
      <c r="H2269" s="688" t="str">
        <f t="shared" ref="H2269:H2277" si="1685">IF(G2269=0,"",IF(F2269="Buy",IF(G2269=1,"plant","plants"),IF(F2269&gt;0.01,"warranty","Error")))</f>
        <v/>
      </c>
      <c r="I2269" s="485">
        <f t="shared" ref="I2269:I2277" si="1686">IF(H2269="free",0,IF(H2269="credit",((E2269*(F2269))*G2269*-1),IF(F2269="Buy",(E2269*G2269),((E2269*(1-F2269))*G2269))))</f>
        <v>0</v>
      </c>
      <c r="J2269" s="485">
        <f t="shared" ref="J2269:J2277" si="1687">IF(H2269="warranty",0,(I2269*(_xlfn.SINGLE(SalesTaxPercentage))))</f>
        <v>0</v>
      </c>
      <c r="K2269" s="715">
        <f t="shared" ref="K2269" si="1688">I2269+J2269</f>
        <v>0</v>
      </c>
      <c r="L2269" s="715"/>
      <c r="M2269" s="689" t="str">
        <f t="shared" ref="M2269:M2277" ca="1" si="1689">IF(AND(G2269&gt;0,E2269=0),"WARNING - no PRICE inserted",IF(H2269="free","FREE ~ no charge this plant",IF(H2269="credit",CONCATENATE("-$",ROUND(K2269*(1-_xlfn.SINGLE(T2GDiscount))*-1,2)," CREDIT after discount"),IF(_xlfn.SINGLE(T2GDiscount)=0,"",IF(G2269=0,"",IF(F2269="Buy",CONCATENATE("$",ROUND(K2269*(1-_xlfn.SINGLE(T2GDiscount)),2)," with ",(_xlfn.SINGLE(T2GDiscount)*100),"% discount"),CONCATENATE("$",ROUND(K2269*(1-_xlfn.SINGLE(T2GDiscount)),2)," with ",((_xlfn.SINGLE(T2GDiscount)*100+F2269*100)-(_xlfn.SINGLE(T2GDiscount)*100*F2269)),IF(F2269&gt;0,"% discounts",IF(_xlfn.SINGLE(NoWarrantyDiscount)&gt;0,"% discounts","% discount")))))))))</f>
        <v/>
      </c>
      <c r="N2269" s="690"/>
      <c r="O2269" s="486"/>
      <c r="P2269" s="486"/>
      <c r="Q2269" s="486"/>
      <c r="R2269" s="486"/>
      <c r="S2269" s="486"/>
      <c r="T2269" s="102">
        <f t="shared" si="1668"/>
        <v>0</v>
      </c>
      <c r="U2269" s="78">
        <f>IF(NOT(ISNUMBER(G2269)), "", VLOOKUP(A2269,'Discount Lookup'!D:E,2,FALSE)*G2269)</f>
        <v>0</v>
      </c>
      <c r="V2269" s="78">
        <f>IF(NOT(ISNUMBER(G2269)), "", VLOOKUP(A2269,'Discount Lookup'!G:H,2,FALSE)*G2269)</f>
        <v>0</v>
      </c>
      <c r="W2269" s="102">
        <f t="shared" si="1669"/>
        <v>0</v>
      </c>
      <c r="X2269" s="102">
        <f t="shared" si="1670"/>
        <v>0</v>
      </c>
      <c r="Y2269" s="120" t="b">
        <f t="shared" si="1671"/>
        <v>0</v>
      </c>
      <c r="Z2269" s="117">
        <f t="shared" si="1672"/>
        <v>0</v>
      </c>
      <c r="AA2269" s="118"/>
      <c r="AB2269" s="118" t="str">
        <f t="shared" si="1673"/>
        <v/>
      </c>
      <c r="AC2269" s="712" t="str">
        <f>IF(AE2269="T2G","no charge",IF(AND(OR(PlanterYesMe="No",PlanterYesMe="N",PlanterYesMe="me"),H2269=""),"",IF(H2269="credit","NO install",IF(AND(K2269="",AE2269="me"),"EACH row",IF(AND(K2269="images",AE2269="me"),"EACH row",IF(D2269="","",IF(H2269="credit","",IF(AE2269="free","re-planting",IF(AE2269="me","   not ELP, by",IF(AND(OR(PlanterYesMe="Yes",PlanterYesMe="Y"),G2269&gt;0),(VLOOKUP(A2269,'Discount Lookup'!J:K,2)*G2269*(1-PlanterDiscount)*(1+PlanterDifficultyPercentage)),IF(AE2269="ELP",(VLOOKUP(A2269,'Discount Lookup'!J:K,2)*G2269*(1-PlanterDiscount)*(1+PlanterDifficultyPercentage)),IF(AE2269="free","re-planting",IF(G2269=0,"",IF(PlanterYesMe="",IF(AE2269="me","   not ELP, by",IF(AE2269="",IF(G2269&gt;0,(VLOOKUP(A2269,'Discount Lookup'!J:K,2)*G2269*(1-PlanterDiscount)*(1+PlanterDifficultyPercentage)),""),"")),"   not ELP, by"))))))))))))))</f>
        <v/>
      </c>
      <c r="AD2269" s="712"/>
      <c r="AE2269" s="513" t="str">
        <f t="shared" si="1674"/>
        <v/>
      </c>
      <c r="AF2269" s="713" t="str">
        <f t="shared" si="1675"/>
        <v/>
      </c>
      <c r="AG2269" s="713"/>
      <c r="AH2269" s="713"/>
      <c r="AI2269" s="112">
        <f>IF(H2269="credit",0,IF(AE2269="free",0,IF(AE2269="me",0,IF(G2269&gt;0,(VLOOKUP(A2269,'Discount Lookup'!J:K,2)*G2269),0))))</f>
        <v>0</v>
      </c>
      <c r="AJ2269" s="107" t="str">
        <f t="shared" ca="1" si="1676"/>
        <v/>
      </c>
      <c r="AK2269" s="714" t="str">
        <f t="shared" si="1677"/>
        <v/>
      </c>
      <c r="AL2269" s="714"/>
      <c r="AM2269" s="114" t="str">
        <f t="shared" si="1678"/>
        <v/>
      </c>
      <c r="AN2269" s="115"/>
      <c r="AO2269" s="116"/>
      <c r="AP2269" s="116"/>
      <c r="AQ2269" s="116"/>
      <c r="AR2269" s="116"/>
      <c r="AS2269" s="116"/>
      <c r="AT2269" s="116"/>
      <c r="AU2269" s="116"/>
      <c r="AV2269" s="78"/>
      <c r="AW2269" s="102"/>
      <c r="AX2269" s="78"/>
      <c r="AY2269" s="78"/>
      <c r="AZ2269" s="78"/>
      <c r="BA2269" s="78"/>
      <c r="BB2269" s="78"/>
      <c r="BC2269" s="78"/>
      <c r="BD2269" s="78"/>
      <c r="BE2269" s="465"/>
      <c r="BF2269" s="165" t="str">
        <f t="shared" si="1679"/>
        <v>https://www.google.com/search?tbm=isch&amp;q=10%20G1</v>
      </c>
      <c r="BG2269" s="165" t="str">
        <f t="shared" si="1680"/>
        <v>I</v>
      </c>
      <c r="BH2269" s="65"/>
      <c r="BI2269" s="65"/>
      <c r="BJ2269" s="65"/>
      <c r="BK2269" s="65"/>
      <c r="BL2269" s="99"/>
      <c r="BM2269" s="99"/>
      <c r="BN2269" s="99"/>
    </row>
    <row r="2270" spans="1:66" s="51" customFormat="1" ht="15.75" x14ac:dyDescent="0.25">
      <c r="A2270" s="478">
        <v>15</v>
      </c>
      <c r="B2270" s="479" t="s">
        <v>291</v>
      </c>
      <c r="C2270" s="480" t="s">
        <v>507</v>
      </c>
      <c r="D2270" s="481" t="s">
        <v>309</v>
      </c>
      <c r="E2270" s="482">
        <v>155.94999999999999</v>
      </c>
      <c r="F2270" s="483" t="s">
        <v>292</v>
      </c>
      <c r="G2270" s="484">
        <v>0</v>
      </c>
      <c r="H2270" s="688" t="str">
        <f t="shared" si="1685"/>
        <v/>
      </c>
      <c r="I2270" s="485">
        <f t="shared" si="1686"/>
        <v>0</v>
      </c>
      <c r="J2270" s="485">
        <f t="shared" si="1687"/>
        <v>0</v>
      </c>
      <c r="K2270" s="715">
        <f t="shared" ref="K2270" si="1690">I2270+J2270</f>
        <v>0</v>
      </c>
      <c r="L2270" s="715"/>
      <c r="M2270" s="689" t="str">
        <f t="shared" ca="1" si="1689"/>
        <v/>
      </c>
      <c r="N2270" s="690"/>
      <c r="O2270" s="486"/>
      <c r="P2270" s="486"/>
      <c r="Q2270" s="486"/>
      <c r="R2270" s="486"/>
      <c r="S2270" s="486"/>
      <c r="T2270" s="102">
        <f t="shared" si="1668"/>
        <v>0</v>
      </c>
      <c r="U2270" s="78">
        <f>IF(NOT(ISNUMBER(G2270)), "", VLOOKUP(A2270,'Discount Lookup'!D:E,2,FALSE)*G2270)</f>
        <v>0</v>
      </c>
      <c r="V2270" s="78">
        <f>IF(NOT(ISNUMBER(G2270)), "", VLOOKUP(A2270,'Discount Lookup'!G:H,2,FALSE)*G2270)</f>
        <v>0</v>
      </c>
      <c r="W2270" s="102">
        <f t="shared" si="1669"/>
        <v>0</v>
      </c>
      <c r="X2270" s="102">
        <f t="shared" si="1670"/>
        <v>0</v>
      </c>
      <c r="Y2270" s="120" t="b">
        <f t="shared" si="1671"/>
        <v>0</v>
      </c>
      <c r="Z2270" s="117">
        <f t="shared" si="1672"/>
        <v>0</v>
      </c>
      <c r="AA2270" s="118"/>
      <c r="AB2270" s="118" t="str">
        <f t="shared" si="1673"/>
        <v/>
      </c>
      <c r="AC2270" s="712" t="str">
        <f>IF(AE2270="T2G","no charge",IF(AND(OR(PlanterYesMe="No",PlanterYesMe="N",PlanterYesMe="me"),H2270=""),"",IF(H2270="credit","NO install",IF(AND(K2270="",AE2270="me"),"EACH row",IF(AND(K2270="images",AE2270="me"),"EACH row",IF(D2270="","",IF(H2270="credit","",IF(AE2270="free","re-planting",IF(AE2270="me","   not ELP, by",IF(AND(OR(PlanterYesMe="Yes",PlanterYesMe="Y"),G2270&gt;0),(VLOOKUP(A2270,'Discount Lookup'!J:K,2)*G2270*(1-PlanterDiscount)*(1+PlanterDifficultyPercentage)),IF(AE2270="ELP",(VLOOKUP(A2270,'Discount Lookup'!J:K,2)*G2270*(1-PlanterDiscount)*(1+PlanterDifficultyPercentage)),IF(AE2270="free","re-planting",IF(G2270=0,"",IF(PlanterYesMe="",IF(AE2270="me","   not ELP, by",IF(AE2270="",IF(G2270&gt;0,(VLOOKUP(A2270,'Discount Lookup'!J:K,2)*G2270*(1-PlanterDiscount)*(1+PlanterDifficultyPercentage)),""),"")),"   not ELP, by"))))))))))))))</f>
        <v/>
      </c>
      <c r="AD2270" s="712"/>
      <c r="AE2270" s="513" t="str">
        <f t="shared" si="1674"/>
        <v/>
      </c>
      <c r="AF2270" s="713" t="str">
        <f t="shared" si="1675"/>
        <v/>
      </c>
      <c r="AG2270" s="713"/>
      <c r="AH2270" s="713"/>
      <c r="AI2270" s="112">
        <f>IF(H2270="credit",0,IF(AE2270="free",0,IF(AE2270="me",0,IF(G2270&gt;0,(VLOOKUP(A2270,'Discount Lookup'!J:K,2)*G2270),0))))</f>
        <v>0</v>
      </c>
      <c r="AJ2270" s="107" t="str">
        <f t="shared" ca="1" si="1676"/>
        <v/>
      </c>
      <c r="AK2270" s="714" t="str">
        <f t="shared" si="1677"/>
        <v/>
      </c>
      <c r="AL2270" s="714"/>
      <c r="AM2270" s="114" t="str">
        <f t="shared" si="1678"/>
        <v/>
      </c>
      <c r="AN2270" s="115"/>
      <c r="AO2270" s="116"/>
      <c r="AP2270" s="116"/>
      <c r="AQ2270" s="116"/>
      <c r="AR2270" s="116"/>
      <c r="AS2270" s="116"/>
      <c r="AT2270" s="116"/>
      <c r="AU2270" s="116"/>
      <c r="AV2270" s="78"/>
      <c r="AW2270" s="102"/>
      <c r="AX2270" s="78"/>
      <c r="AY2270" s="78"/>
      <c r="AZ2270" s="78"/>
      <c r="BA2270" s="78"/>
      <c r="BB2270" s="78"/>
      <c r="BC2270" s="78"/>
      <c r="BD2270" s="78"/>
      <c r="BE2270" s="465"/>
      <c r="BF2270" s="165" t="str">
        <f t="shared" si="1679"/>
        <v>https://www.google.com/search?tbm=isch&amp;q=15%20G3</v>
      </c>
      <c r="BG2270" s="165" t="str">
        <f t="shared" si="1680"/>
        <v>I</v>
      </c>
      <c r="BH2270" s="65"/>
      <c r="BI2270" s="65"/>
      <c r="BJ2270" s="65"/>
      <c r="BK2270" s="65"/>
      <c r="BL2270" s="99"/>
      <c r="BM2270" s="99"/>
      <c r="BN2270" s="99"/>
    </row>
    <row r="2271" spans="1:66" s="51" customFormat="1" ht="15.75" x14ac:dyDescent="0.25">
      <c r="A2271" s="478">
        <v>15</v>
      </c>
      <c r="B2271" s="479" t="s">
        <v>291</v>
      </c>
      <c r="C2271" s="480" t="s">
        <v>537</v>
      </c>
      <c r="D2271" s="481" t="s">
        <v>311</v>
      </c>
      <c r="E2271" s="482">
        <v>160.94999999999999</v>
      </c>
      <c r="F2271" s="483" t="s">
        <v>292</v>
      </c>
      <c r="G2271" s="484">
        <v>0</v>
      </c>
      <c r="H2271" s="688" t="str">
        <f t="shared" si="1685"/>
        <v/>
      </c>
      <c r="I2271" s="485">
        <f t="shared" si="1686"/>
        <v>0</v>
      </c>
      <c r="J2271" s="485">
        <f t="shared" si="1687"/>
        <v>0</v>
      </c>
      <c r="K2271" s="715">
        <f t="shared" ref="K2271" si="1691">I2271+J2271</f>
        <v>0</v>
      </c>
      <c r="L2271" s="715"/>
      <c r="M2271" s="689" t="str">
        <f t="shared" ca="1" si="1689"/>
        <v/>
      </c>
      <c r="N2271" s="690"/>
      <c r="O2271" s="486"/>
      <c r="P2271" s="486"/>
      <c r="Q2271" s="486"/>
      <c r="R2271" s="486"/>
      <c r="S2271" s="486"/>
      <c r="T2271" s="102">
        <f t="shared" si="1668"/>
        <v>0</v>
      </c>
      <c r="U2271" s="78">
        <f>IF(NOT(ISNUMBER(G2271)), "", VLOOKUP(A2271,'Discount Lookup'!D:E,2,FALSE)*G2271)</f>
        <v>0</v>
      </c>
      <c r="V2271" s="78">
        <f>IF(NOT(ISNUMBER(G2271)), "", VLOOKUP(A2271,'Discount Lookup'!G:H,2,FALSE)*G2271)</f>
        <v>0</v>
      </c>
      <c r="W2271" s="102">
        <f t="shared" si="1669"/>
        <v>0</v>
      </c>
      <c r="X2271" s="102">
        <f t="shared" si="1670"/>
        <v>0</v>
      </c>
      <c r="Y2271" s="120" t="b">
        <f t="shared" si="1671"/>
        <v>0</v>
      </c>
      <c r="Z2271" s="117">
        <f t="shared" si="1672"/>
        <v>0</v>
      </c>
      <c r="AA2271" s="118"/>
      <c r="AB2271" s="118" t="str">
        <f t="shared" si="1673"/>
        <v/>
      </c>
      <c r="AC2271" s="712" t="str">
        <f>IF(AE2271="T2G","no charge",IF(AND(OR(PlanterYesMe="No",PlanterYesMe="N",PlanterYesMe="me"),H2271=""),"",IF(H2271="credit","NO install",IF(AND(K2271="",AE2271="me"),"EACH row",IF(AND(K2271="images",AE2271="me"),"EACH row",IF(D2271="","",IF(H2271="credit","",IF(AE2271="free","re-planting",IF(AE2271="me","   not ELP, by",IF(AND(OR(PlanterYesMe="Yes",PlanterYesMe="Y"),G2271&gt;0),(VLOOKUP(A2271,'Discount Lookup'!J:K,2)*G2271*(1-PlanterDiscount)*(1+PlanterDifficultyPercentage)),IF(AE2271="ELP",(VLOOKUP(A2271,'Discount Lookup'!J:K,2)*G2271*(1-PlanterDiscount)*(1+PlanterDifficultyPercentage)),IF(AE2271="free","re-planting",IF(G2271=0,"",IF(PlanterYesMe="",IF(AE2271="me","   not ELP, by",IF(AE2271="",IF(G2271&gt;0,(VLOOKUP(A2271,'Discount Lookup'!J:K,2)*G2271*(1-PlanterDiscount)*(1+PlanterDifficultyPercentage)),""),"")),"   not ELP, by"))))))))))))))</f>
        <v/>
      </c>
      <c r="AD2271" s="712"/>
      <c r="AE2271" s="513" t="str">
        <f t="shared" si="1674"/>
        <v/>
      </c>
      <c r="AF2271" s="713" t="str">
        <f t="shared" si="1675"/>
        <v/>
      </c>
      <c r="AG2271" s="713"/>
      <c r="AH2271" s="713"/>
      <c r="AI2271" s="112">
        <f>IF(H2271="credit",0,IF(AE2271="free",0,IF(AE2271="me",0,IF(G2271&gt;0,(VLOOKUP(A2271,'Discount Lookup'!J:K,2)*G2271),0))))</f>
        <v>0</v>
      </c>
      <c r="AJ2271" s="107" t="str">
        <f t="shared" ca="1" si="1676"/>
        <v/>
      </c>
      <c r="AK2271" s="714" t="str">
        <f t="shared" si="1677"/>
        <v/>
      </c>
      <c r="AL2271" s="714"/>
      <c r="AM2271" s="114" t="str">
        <f t="shared" si="1678"/>
        <v/>
      </c>
      <c r="AN2271" s="115"/>
      <c r="AO2271" s="116"/>
      <c r="AP2271" s="116"/>
      <c r="AQ2271" s="116"/>
      <c r="AR2271" s="116"/>
      <c r="AS2271" s="116"/>
      <c r="AT2271" s="116"/>
      <c r="AU2271" s="116"/>
      <c r="AV2271" s="78"/>
      <c r="AW2271" s="102"/>
      <c r="AX2271" s="78"/>
      <c r="AY2271" s="78"/>
      <c r="AZ2271" s="78"/>
      <c r="BA2271" s="78"/>
      <c r="BB2271" s="78"/>
      <c r="BC2271" s="78"/>
      <c r="BD2271" s="78"/>
      <c r="BE2271" s="465"/>
      <c r="BF2271" s="165" t="str">
        <f t="shared" si="1679"/>
        <v>https://www.google.com/search?tbm=isch&amp;q=15%20G5</v>
      </c>
      <c r="BG2271" s="165" t="str">
        <f t="shared" si="1680"/>
        <v>I</v>
      </c>
      <c r="BH2271" s="65"/>
      <c r="BI2271" s="65"/>
      <c r="BJ2271" s="65"/>
      <c r="BK2271" s="65"/>
      <c r="BL2271" s="99"/>
      <c r="BM2271" s="99"/>
      <c r="BN2271" s="99"/>
    </row>
    <row r="2272" spans="1:66" s="51" customFormat="1" ht="15.75" x14ac:dyDescent="0.25">
      <c r="A2272" s="478">
        <v>15</v>
      </c>
      <c r="B2272" s="479" t="s">
        <v>291</v>
      </c>
      <c r="C2272" s="480" t="s">
        <v>952</v>
      </c>
      <c r="D2272" s="481" t="s">
        <v>299</v>
      </c>
      <c r="E2272" s="482">
        <v>171.95</v>
      </c>
      <c r="F2272" s="483" t="s">
        <v>292</v>
      </c>
      <c r="G2272" s="484">
        <v>0</v>
      </c>
      <c r="H2272" s="688" t="str">
        <f t="shared" si="1685"/>
        <v/>
      </c>
      <c r="I2272" s="485">
        <f t="shared" si="1686"/>
        <v>0</v>
      </c>
      <c r="J2272" s="485">
        <f t="shared" si="1687"/>
        <v>0</v>
      </c>
      <c r="K2272" s="715">
        <f t="shared" ref="K2272" si="1692">I2272+J2272</f>
        <v>0</v>
      </c>
      <c r="L2272" s="715"/>
      <c r="M2272" s="689" t="str">
        <f t="shared" ca="1" si="1689"/>
        <v/>
      </c>
      <c r="N2272" s="690"/>
      <c r="O2272" s="486"/>
      <c r="P2272" s="486"/>
      <c r="Q2272" s="486"/>
      <c r="R2272" s="486"/>
      <c r="S2272" s="486"/>
      <c r="T2272" s="102">
        <f t="shared" si="1668"/>
        <v>0</v>
      </c>
      <c r="U2272" s="78">
        <f>IF(NOT(ISNUMBER(G2272)), "", VLOOKUP(A2272,'Discount Lookup'!D:E,2,FALSE)*G2272)</f>
        <v>0</v>
      </c>
      <c r="V2272" s="78">
        <f>IF(NOT(ISNUMBER(G2272)), "", VLOOKUP(A2272,'Discount Lookup'!G:H,2,FALSE)*G2272)</f>
        <v>0</v>
      </c>
      <c r="W2272" s="102">
        <f t="shared" si="1669"/>
        <v>0</v>
      </c>
      <c r="X2272" s="102">
        <f t="shared" si="1670"/>
        <v>0</v>
      </c>
      <c r="Y2272" s="120" t="b">
        <f t="shared" si="1671"/>
        <v>0</v>
      </c>
      <c r="Z2272" s="117">
        <f t="shared" si="1672"/>
        <v>0</v>
      </c>
      <c r="AA2272" s="118"/>
      <c r="AB2272" s="118" t="str">
        <f t="shared" si="1673"/>
        <v/>
      </c>
      <c r="AC2272" s="712" t="str">
        <f>IF(AE2272="T2G","no charge",IF(AND(OR(PlanterYesMe="No",PlanterYesMe="N",PlanterYesMe="me"),H2272=""),"",IF(H2272="credit","NO install",IF(AND(K2272="",AE2272="me"),"EACH row",IF(AND(K2272="images",AE2272="me"),"EACH row",IF(D2272="","",IF(H2272="credit","",IF(AE2272="free","re-planting",IF(AE2272="me","   not ELP, by",IF(AND(OR(PlanterYesMe="Yes",PlanterYesMe="Y"),G2272&gt;0),(VLOOKUP(A2272,'Discount Lookup'!J:K,2)*G2272*(1-PlanterDiscount)*(1+PlanterDifficultyPercentage)),IF(AE2272="ELP",(VLOOKUP(A2272,'Discount Lookup'!J:K,2)*G2272*(1-PlanterDiscount)*(1+PlanterDifficultyPercentage)),IF(AE2272="free","re-planting",IF(G2272=0,"",IF(PlanterYesMe="",IF(AE2272="me","   not ELP, by",IF(AE2272="",IF(G2272&gt;0,(VLOOKUP(A2272,'Discount Lookup'!J:K,2)*G2272*(1-PlanterDiscount)*(1+PlanterDifficultyPercentage)),""),"")),"   not ELP, by"))))))))))))))</f>
        <v/>
      </c>
      <c r="AD2272" s="712"/>
      <c r="AE2272" s="513" t="str">
        <f t="shared" si="1674"/>
        <v/>
      </c>
      <c r="AF2272" s="713" t="str">
        <f t="shared" si="1675"/>
        <v/>
      </c>
      <c r="AG2272" s="713"/>
      <c r="AH2272" s="713"/>
      <c r="AI2272" s="112">
        <f>IF(H2272="credit",0,IF(AE2272="free",0,IF(AE2272="me",0,IF(G2272&gt;0,(VLOOKUP(A2272,'Discount Lookup'!J:K,2)*G2272),0))))</f>
        <v>0</v>
      </c>
      <c r="AJ2272" s="107" t="str">
        <f t="shared" ca="1" si="1676"/>
        <v/>
      </c>
      <c r="AK2272" s="714" t="str">
        <f t="shared" si="1677"/>
        <v/>
      </c>
      <c r="AL2272" s="714"/>
      <c r="AM2272" s="114" t="str">
        <f t="shared" si="1678"/>
        <v/>
      </c>
      <c r="AN2272" s="115"/>
      <c r="AO2272" s="116"/>
      <c r="AP2272" s="116"/>
      <c r="AQ2272" s="116"/>
      <c r="AR2272" s="116"/>
      <c r="AS2272" s="116"/>
      <c r="AT2272" s="116"/>
      <c r="AU2272" s="116"/>
      <c r="AV2272" s="78"/>
      <c r="AW2272" s="102"/>
      <c r="AX2272" s="78"/>
      <c r="AY2272" s="78"/>
      <c r="AZ2272" s="78"/>
      <c r="BA2272" s="78"/>
      <c r="BB2272" s="78"/>
      <c r="BC2272" s="78"/>
      <c r="BD2272" s="78"/>
      <c r="BE2272" s="465"/>
      <c r="BF2272" s="165" t="str">
        <f t="shared" si="1679"/>
        <v>https://www.google.com/search?tbm=isch&amp;q=15%20G4</v>
      </c>
      <c r="BG2272" s="165" t="str">
        <f t="shared" si="1680"/>
        <v>I</v>
      </c>
      <c r="BH2272" s="65"/>
      <c r="BI2272" s="65"/>
      <c r="BJ2272" s="65"/>
      <c r="BK2272" s="65"/>
      <c r="BL2272" s="99"/>
      <c r="BM2272" s="99"/>
      <c r="BN2272" s="99"/>
    </row>
    <row r="2273" spans="1:66" s="51" customFormat="1" ht="15.75" x14ac:dyDescent="0.25">
      <c r="A2273" s="478">
        <v>25</v>
      </c>
      <c r="B2273" s="479" t="s">
        <v>291</v>
      </c>
      <c r="C2273" s="480" t="s">
        <v>913</v>
      </c>
      <c r="D2273" s="481" t="s">
        <v>309</v>
      </c>
      <c r="E2273" s="482">
        <v>249.95</v>
      </c>
      <c r="F2273" s="483" t="s">
        <v>292</v>
      </c>
      <c r="G2273" s="484">
        <v>0</v>
      </c>
      <c r="H2273" s="688" t="str">
        <f t="shared" si="1685"/>
        <v/>
      </c>
      <c r="I2273" s="485">
        <f t="shared" si="1686"/>
        <v>0</v>
      </c>
      <c r="J2273" s="485">
        <f t="shared" si="1687"/>
        <v>0</v>
      </c>
      <c r="K2273" s="715">
        <f t="shared" ref="K2273" si="1693">I2273+J2273</f>
        <v>0</v>
      </c>
      <c r="L2273" s="715"/>
      <c r="M2273" s="689" t="str">
        <f t="shared" ca="1" si="1689"/>
        <v/>
      </c>
      <c r="N2273" s="690"/>
      <c r="O2273" s="486"/>
      <c r="P2273" s="486"/>
      <c r="Q2273" s="486"/>
      <c r="R2273" s="486"/>
      <c r="S2273" s="486"/>
      <c r="T2273" s="102">
        <f t="shared" si="1668"/>
        <v>0</v>
      </c>
      <c r="U2273" s="78">
        <f>IF(NOT(ISNUMBER(G2273)), "", VLOOKUP(A2273,'Discount Lookup'!D:E,2,FALSE)*G2273)</f>
        <v>0</v>
      </c>
      <c r="V2273" s="78">
        <f>IF(NOT(ISNUMBER(G2273)), "", VLOOKUP(A2273,'Discount Lookup'!G:H,2,FALSE)*G2273)</f>
        <v>0</v>
      </c>
      <c r="W2273" s="102">
        <f t="shared" si="1669"/>
        <v>0</v>
      </c>
      <c r="X2273" s="102">
        <f t="shared" si="1670"/>
        <v>0</v>
      </c>
      <c r="Y2273" s="120" t="b">
        <f t="shared" si="1671"/>
        <v>0</v>
      </c>
      <c r="Z2273" s="117">
        <f t="shared" si="1672"/>
        <v>0</v>
      </c>
      <c r="AA2273" s="118"/>
      <c r="AB2273" s="118" t="str">
        <f t="shared" si="1673"/>
        <v/>
      </c>
      <c r="AC2273" s="712" t="str">
        <f>IF(AE2273="T2G","no charge",IF(AND(OR(PlanterYesMe="No",PlanterYesMe="N",PlanterYesMe="me"),H2273=""),"",IF(H2273="credit","NO install",IF(AND(K2273="",AE2273="me"),"EACH row",IF(AND(K2273="images",AE2273="me"),"EACH row",IF(D2273="","",IF(H2273="credit","",IF(AE2273="free","re-planting",IF(AE2273="me","   not ELP, by",IF(AND(OR(PlanterYesMe="Yes",PlanterYesMe="Y"),G2273&gt;0),(VLOOKUP(A2273,'Discount Lookup'!J:K,2)*G2273*(1-PlanterDiscount)*(1+PlanterDifficultyPercentage)),IF(AE2273="ELP",(VLOOKUP(A2273,'Discount Lookup'!J:K,2)*G2273*(1-PlanterDiscount)*(1+PlanterDifficultyPercentage)),IF(AE2273="free","re-planting",IF(G2273=0,"",IF(PlanterYesMe="",IF(AE2273="me","   not ELP, by",IF(AE2273="",IF(G2273&gt;0,(VLOOKUP(A2273,'Discount Lookup'!J:K,2)*G2273*(1-PlanterDiscount)*(1+PlanterDifficultyPercentage)),""),"")),"   not ELP, by"))))))))))))))</f>
        <v/>
      </c>
      <c r="AD2273" s="712"/>
      <c r="AE2273" s="513" t="str">
        <f t="shared" si="1674"/>
        <v/>
      </c>
      <c r="AF2273" s="713" t="str">
        <f t="shared" si="1675"/>
        <v/>
      </c>
      <c r="AG2273" s="713"/>
      <c r="AH2273" s="713"/>
      <c r="AI2273" s="112">
        <f>IF(H2273="credit",0,IF(AE2273="free",0,IF(AE2273="me",0,IF(G2273&gt;0,(VLOOKUP(A2273,'Discount Lookup'!J:K,2)*G2273),0))))</f>
        <v>0</v>
      </c>
      <c r="AJ2273" s="107" t="str">
        <f t="shared" ca="1" si="1676"/>
        <v/>
      </c>
      <c r="AK2273" s="714" t="str">
        <f t="shared" si="1677"/>
        <v/>
      </c>
      <c r="AL2273" s="714"/>
      <c r="AM2273" s="114" t="str">
        <f t="shared" si="1678"/>
        <v/>
      </c>
      <c r="AN2273" s="115"/>
      <c r="AO2273" s="116"/>
      <c r="AP2273" s="116"/>
      <c r="AQ2273" s="116"/>
      <c r="AR2273" s="116"/>
      <c r="AS2273" s="116"/>
      <c r="AT2273" s="116"/>
      <c r="AU2273" s="116"/>
      <c r="AV2273" s="78"/>
      <c r="AW2273" s="102"/>
      <c r="AX2273" s="78"/>
      <c r="AY2273" s="78"/>
      <c r="AZ2273" s="78"/>
      <c r="BA2273" s="78"/>
      <c r="BB2273" s="78"/>
      <c r="BC2273" s="78"/>
      <c r="BD2273" s="78"/>
      <c r="BE2273" s="465"/>
      <c r="BF2273" s="165" t="str">
        <f t="shared" si="1679"/>
        <v>https://www.google.com/search?tbm=isch&amp;q=25%20G3</v>
      </c>
      <c r="BG2273" s="165" t="str">
        <f t="shared" si="1680"/>
        <v>I</v>
      </c>
      <c r="BH2273" s="65"/>
      <c r="BI2273" s="65"/>
      <c r="BJ2273" s="65"/>
      <c r="BK2273" s="65"/>
      <c r="BL2273" s="99"/>
      <c r="BM2273" s="99"/>
      <c r="BN2273" s="99"/>
    </row>
    <row r="2274" spans="1:66" s="51" customFormat="1" ht="15.75" x14ac:dyDescent="0.25">
      <c r="A2274" s="478">
        <v>25</v>
      </c>
      <c r="B2274" s="479" t="s">
        <v>291</v>
      </c>
      <c r="C2274" s="480" t="s">
        <v>953</v>
      </c>
      <c r="D2274" s="481" t="s">
        <v>299</v>
      </c>
      <c r="E2274" s="482">
        <v>339.95</v>
      </c>
      <c r="F2274" s="483" t="s">
        <v>292</v>
      </c>
      <c r="G2274" s="484">
        <v>0</v>
      </c>
      <c r="H2274" s="688" t="str">
        <f t="shared" si="1685"/>
        <v/>
      </c>
      <c r="I2274" s="485">
        <f t="shared" si="1686"/>
        <v>0</v>
      </c>
      <c r="J2274" s="485">
        <f t="shared" si="1687"/>
        <v>0</v>
      </c>
      <c r="K2274" s="715">
        <f t="shared" ref="K2274" si="1694">I2274+J2274</f>
        <v>0</v>
      </c>
      <c r="L2274" s="715"/>
      <c r="M2274" s="689" t="str">
        <f t="shared" ca="1" si="1689"/>
        <v/>
      </c>
      <c r="N2274" s="690"/>
      <c r="O2274" s="486"/>
      <c r="P2274" s="486"/>
      <c r="Q2274" s="486"/>
      <c r="R2274" s="486"/>
      <c r="S2274" s="486"/>
      <c r="T2274" s="102">
        <f t="shared" si="1668"/>
        <v>0</v>
      </c>
      <c r="U2274" s="78">
        <f>IF(NOT(ISNUMBER(G2274)), "", VLOOKUP(A2274,'Discount Lookup'!D:E,2,FALSE)*G2274)</f>
        <v>0</v>
      </c>
      <c r="V2274" s="78">
        <f>IF(NOT(ISNUMBER(G2274)), "", VLOOKUP(A2274,'Discount Lookup'!G:H,2,FALSE)*G2274)</f>
        <v>0</v>
      </c>
      <c r="W2274" s="102">
        <f t="shared" si="1669"/>
        <v>0</v>
      </c>
      <c r="X2274" s="102">
        <f t="shared" si="1670"/>
        <v>0</v>
      </c>
      <c r="Y2274" s="120" t="b">
        <f t="shared" si="1671"/>
        <v>0</v>
      </c>
      <c r="Z2274" s="117">
        <f t="shared" si="1672"/>
        <v>0</v>
      </c>
      <c r="AA2274" s="118"/>
      <c r="AB2274" s="118" t="str">
        <f t="shared" si="1673"/>
        <v/>
      </c>
      <c r="AC2274" s="712" t="str">
        <f>IF(AE2274="T2G","no charge",IF(AND(OR(PlanterYesMe="No",PlanterYesMe="N",PlanterYesMe="me"),H2274=""),"",IF(H2274="credit","NO install",IF(AND(K2274="",AE2274="me"),"EACH row",IF(AND(K2274="images",AE2274="me"),"EACH row",IF(D2274="","",IF(H2274="credit","",IF(AE2274="free","re-planting",IF(AE2274="me","   not ELP, by",IF(AND(OR(PlanterYesMe="Yes",PlanterYesMe="Y"),G2274&gt;0),(VLOOKUP(A2274,'Discount Lookup'!J:K,2)*G2274*(1-PlanterDiscount)*(1+PlanterDifficultyPercentage)),IF(AE2274="ELP",(VLOOKUP(A2274,'Discount Lookup'!J:K,2)*G2274*(1-PlanterDiscount)*(1+PlanterDifficultyPercentage)),IF(AE2274="free","re-planting",IF(G2274=0,"",IF(PlanterYesMe="",IF(AE2274="me","   not ELP, by",IF(AE2274="",IF(G2274&gt;0,(VLOOKUP(A2274,'Discount Lookup'!J:K,2)*G2274*(1-PlanterDiscount)*(1+PlanterDifficultyPercentage)),""),"")),"   not ELP, by"))))))))))))))</f>
        <v/>
      </c>
      <c r="AD2274" s="712"/>
      <c r="AE2274" s="513" t="str">
        <f t="shared" si="1674"/>
        <v/>
      </c>
      <c r="AF2274" s="713" t="str">
        <f t="shared" si="1675"/>
        <v/>
      </c>
      <c r="AG2274" s="713"/>
      <c r="AH2274" s="713"/>
      <c r="AI2274" s="112">
        <f>IF(H2274="credit",0,IF(AE2274="free",0,IF(AE2274="me",0,IF(G2274&gt;0,(VLOOKUP(A2274,'Discount Lookup'!J:K,2)*G2274),0))))</f>
        <v>0</v>
      </c>
      <c r="AJ2274" s="107" t="str">
        <f t="shared" ca="1" si="1676"/>
        <v/>
      </c>
      <c r="AK2274" s="714" t="str">
        <f t="shared" si="1677"/>
        <v/>
      </c>
      <c r="AL2274" s="714"/>
      <c r="AM2274" s="114" t="str">
        <f t="shared" si="1678"/>
        <v/>
      </c>
      <c r="AN2274" s="115"/>
      <c r="AO2274" s="116"/>
      <c r="AP2274" s="116"/>
      <c r="AQ2274" s="116"/>
      <c r="AR2274" s="116"/>
      <c r="AS2274" s="116"/>
      <c r="AT2274" s="116"/>
      <c r="AU2274" s="116"/>
      <c r="AV2274" s="78"/>
      <c r="AW2274" s="102"/>
      <c r="AX2274" s="78"/>
      <c r="AY2274" s="78"/>
      <c r="AZ2274" s="78"/>
      <c r="BA2274" s="78"/>
      <c r="BB2274" s="78"/>
      <c r="BC2274" s="78"/>
      <c r="BD2274" s="78"/>
      <c r="BE2274" s="465"/>
      <c r="BF2274" s="165" t="str">
        <f t="shared" si="1679"/>
        <v>https://www.google.com/search?tbm=isch&amp;q=25%20G4</v>
      </c>
      <c r="BG2274" s="165" t="str">
        <f t="shared" si="1680"/>
        <v>I</v>
      </c>
      <c r="BH2274" s="65"/>
      <c r="BI2274" s="65"/>
      <c r="BJ2274" s="65"/>
      <c r="BK2274" s="65"/>
      <c r="BL2274" s="99"/>
      <c r="BM2274" s="99"/>
      <c r="BN2274" s="99"/>
    </row>
    <row r="2275" spans="1:66" s="51" customFormat="1" ht="15.75" x14ac:dyDescent="0.25">
      <c r="A2275" s="478">
        <v>30</v>
      </c>
      <c r="B2275" s="479" t="s">
        <v>291</v>
      </c>
      <c r="C2275" s="480" t="s">
        <v>538</v>
      </c>
      <c r="D2275" s="481" t="s">
        <v>311</v>
      </c>
      <c r="E2275" s="482">
        <v>341.95</v>
      </c>
      <c r="F2275" s="483" t="s">
        <v>292</v>
      </c>
      <c r="G2275" s="484">
        <v>0</v>
      </c>
      <c r="H2275" s="688" t="str">
        <f t="shared" si="1685"/>
        <v/>
      </c>
      <c r="I2275" s="485">
        <f t="shared" si="1686"/>
        <v>0</v>
      </c>
      <c r="J2275" s="485">
        <f t="shared" si="1687"/>
        <v>0</v>
      </c>
      <c r="K2275" s="715">
        <f t="shared" ref="K2275" si="1695">I2275+J2275</f>
        <v>0</v>
      </c>
      <c r="L2275" s="715"/>
      <c r="M2275" s="689" t="str">
        <f t="shared" ca="1" si="1689"/>
        <v/>
      </c>
      <c r="N2275" s="690"/>
      <c r="O2275" s="486"/>
      <c r="P2275" s="486"/>
      <c r="Q2275" s="486"/>
      <c r="R2275" s="486"/>
      <c r="S2275" s="486"/>
      <c r="T2275" s="102">
        <f t="shared" si="1668"/>
        <v>0</v>
      </c>
      <c r="U2275" s="78">
        <f>IF(NOT(ISNUMBER(G2275)), "", VLOOKUP(A2275,'Discount Lookup'!D:E,2,FALSE)*G2275)</f>
        <v>0</v>
      </c>
      <c r="V2275" s="78">
        <f>IF(NOT(ISNUMBER(G2275)), "", VLOOKUP(A2275,'Discount Lookup'!G:H,2,FALSE)*G2275)</f>
        <v>0</v>
      </c>
      <c r="W2275" s="102">
        <f t="shared" si="1669"/>
        <v>0</v>
      </c>
      <c r="X2275" s="102">
        <f t="shared" si="1670"/>
        <v>0</v>
      </c>
      <c r="Y2275" s="120" t="b">
        <f t="shared" si="1671"/>
        <v>0</v>
      </c>
      <c r="Z2275" s="117">
        <f t="shared" si="1672"/>
        <v>0</v>
      </c>
      <c r="AA2275" s="118"/>
      <c r="AB2275" s="118" t="str">
        <f t="shared" si="1673"/>
        <v/>
      </c>
      <c r="AC2275" s="712" t="str">
        <f>IF(AE2275="T2G","no charge",IF(AND(OR(PlanterYesMe="No",PlanterYesMe="N",PlanterYesMe="me"),H2275=""),"",IF(H2275="credit","NO install",IF(AND(K2275="",AE2275="me"),"EACH row",IF(AND(K2275="images",AE2275="me"),"EACH row",IF(D2275="","",IF(H2275="credit","",IF(AE2275="free","re-planting",IF(AE2275="me","   not ELP, by",IF(AND(OR(PlanterYesMe="Yes",PlanterYesMe="Y"),G2275&gt;0),(VLOOKUP(A2275,'Discount Lookup'!J:K,2)*G2275*(1-PlanterDiscount)*(1+PlanterDifficultyPercentage)),IF(AE2275="ELP",(VLOOKUP(A2275,'Discount Lookup'!J:K,2)*G2275*(1-PlanterDiscount)*(1+PlanterDifficultyPercentage)),IF(AE2275="free","re-planting",IF(G2275=0,"",IF(PlanterYesMe="",IF(AE2275="me","   not ELP, by",IF(AE2275="",IF(G2275&gt;0,(VLOOKUP(A2275,'Discount Lookup'!J:K,2)*G2275*(1-PlanterDiscount)*(1+PlanterDifficultyPercentage)),""),"")),"   not ELP, by"))))))))))))))</f>
        <v/>
      </c>
      <c r="AD2275" s="712"/>
      <c r="AE2275" s="513" t="str">
        <f t="shared" si="1674"/>
        <v/>
      </c>
      <c r="AF2275" s="713" t="str">
        <f t="shared" si="1675"/>
        <v/>
      </c>
      <c r="AG2275" s="713"/>
      <c r="AH2275" s="713"/>
      <c r="AI2275" s="112">
        <f>IF(H2275="credit",0,IF(AE2275="free",0,IF(AE2275="me",0,IF(G2275&gt;0,(VLOOKUP(A2275,'Discount Lookup'!J:K,2)*G2275),0))))</f>
        <v>0</v>
      </c>
      <c r="AJ2275" s="107" t="str">
        <f t="shared" ca="1" si="1676"/>
        <v/>
      </c>
      <c r="AK2275" s="714" t="str">
        <f t="shared" si="1677"/>
        <v/>
      </c>
      <c r="AL2275" s="714"/>
      <c r="AM2275" s="114" t="str">
        <f t="shared" si="1678"/>
        <v/>
      </c>
      <c r="AN2275" s="115"/>
      <c r="AO2275" s="116"/>
      <c r="AP2275" s="116"/>
      <c r="AQ2275" s="116"/>
      <c r="AR2275" s="116"/>
      <c r="AS2275" s="116"/>
      <c r="AT2275" s="116"/>
      <c r="AU2275" s="116"/>
      <c r="AV2275" s="78"/>
      <c r="AW2275" s="102"/>
      <c r="AX2275" s="78"/>
      <c r="AY2275" s="78"/>
      <c r="AZ2275" s="78"/>
      <c r="BA2275" s="78"/>
      <c r="BB2275" s="78"/>
      <c r="BC2275" s="78"/>
      <c r="BD2275" s="78"/>
      <c r="BE2275" s="465"/>
      <c r="BF2275" s="165" t="str">
        <f t="shared" si="1679"/>
        <v>https://www.google.com/search?tbm=isch&amp;q=30%20G5</v>
      </c>
      <c r="BG2275" s="165" t="str">
        <f t="shared" si="1680"/>
        <v>I</v>
      </c>
      <c r="BH2275" s="65"/>
      <c r="BI2275" s="65"/>
      <c r="BJ2275" s="65"/>
      <c r="BK2275" s="65"/>
      <c r="BL2275" s="99"/>
      <c r="BM2275" s="99"/>
      <c r="BN2275" s="99"/>
    </row>
    <row r="2276" spans="1:66" s="51" customFormat="1" ht="15.75" x14ac:dyDescent="0.25">
      <c r="A2276" s="478">
        <v>45</v>
      </c>
      <c r="B2276" s="479" t="s">
        <v>291</v>
      </c>
      <c r="C2276" s="480" t="s">
        <v>539</v>
      </c>
      <c r="D2276" s="481" t="s">
        <v>293</v>
      </c>
      <c r="E2276" s="482">
        <v>633.95000000000005</v>
      </c>
      <c r="F2276" s="483" t="s">
        <v>292</v>
      </c>
      <c r="G2276" s="484">
        <v>0</v>
      </c>
      <c r="H2276" s="688" t="str">
        <f t="shared" si="1685"/>
        <v/>
      </c>
      <c r="I2276" s="485">
        <f t="shared" si="1686"/>
        <v>0</v>
      </c>
      <c r="J2276" s="485">
        <f t="shared" si="1687"/>
        <v>0</v>
      </c>
      <c r="K2276" s="715">
        <f t="shared" ref="K2276" si="1696">I2276+J2276</f>
        <v>0</v>
      </c>
      <c r="L2276" s="715"/>
      <c r="M2276" s="689" t="str">
        <f t="shared" ca="1" si="1689"/>
        <v/>
      </c>
      <c r="N2276" s="690"/>
      <c r="O2276" s="486"/>
      <c r="P2276" s="486"/>
      <c r="Q2276" s="486"/>
      <c r="R2276" s="486"/>
      <c r="S2276" s="486"/>
      <c r="T2276" s="102">
        <f t="shared" si="1668"/>
        <v>0</v>
      </c>
      <c r="U2276" s="78">
        <f>IF(NOT(ISNUMBER(G2276)), "", VLOOKUP(A2276,'Discount Lookup'!D:E,2,FALSE)*G2276)</f>
        <v>0</v>
      </c>
      <c r="V2276" s="78">
        <f>IF(NOT(ISNUMBER(G2276)), "", VLOOKUP(A2276,'Discount Lookup'!G:H,2,FALSE)*G2276)</f>
        <v>0</v>
      </c>
      <c r="W2276" s="102">
        <f t="shared" si="1669"/>
        <v>0</v>
      </c>
      <c r="X2276" s="102">
        <f t="shared" si="1670"/>
        <v>0</v>
      </c>
      <c r="Y2276" s="120" t="b">
        <f t="shared" si="1671"/>
        <v>0</v>
      </c>
      <c r="Z2276" s="117">
        <f t="shared" si="1672"/>
        <v>0</v>
      </c>
      <c r="AA2276" s="118"/>
      <c r="AB2276" s="118" t="str">
        <f t="shared" si="1673"/>
        <v/>
      </c>
      <c r="AC2276" s="712" t="str">
        <f>IF(AE2276="T2G","no charge",IF(AND(OR(PlanterYesMe="No",PlanterYesMe="N",PlanterYesMe="me"),H2276=""),"",IF(H2276="credit","NO install",IF(AND(K2276="",AE2276="me"),"EACH row",IF(AND(K2276="images",AE2276="me"),"EACH row",IF(D2276="","",IF(H2276="credit","",IF(AE2276="free","re-planting",IF(AE2276="me","   not ELP, by",IF(AND(OR(PlanterYesMe="Yes",PlanterYesMe="Y"),G2276&gt;0),(VLOOKUP(A2276,'Discount Lookup'!J:K,2)*G2276*(1-PlanterDiscount)*(1+PlanterDifficultyPercentage)),IF(AE2276="ELP",(VLOOKUP(A2276,'Discount Lookup'!J:K,2)*G2276*(1-PlanterDiscount)*(1+PlanterDifficultyPercentage)),IF(AE2276="free","re-planting",IF(G2276=0,"",IF(PlanterYesMe="",IF(AE2276="me","   not ELP, by",IF(AE2276="",IF(G2276&gt;0,(VLOOKUP(A2276,'Discount Lookup'!J:K,2)*G2276*(1-PlanterDiscount)*(1+PlanterDifficultyPercentage)),""),"")),"   not ELP, by"))))))))))))))</f>
        <v/>
      </c>
      <c r="AD2276" s="712"/>
      <c r="AE2276" s="513" t="str">
        <f t="shared" si="1674"/>
        <v/>
      </c>
      <c r="AF2276" s="713" t="str">
        <f t="shared" si="1675"/>
        <v/>
      </c>
      <c r="AG2276" s="713"/>
      <c r="AH2276" s="713"/>
      <c r="AI2276" s="112">
        <f>IF(H2276="credit",0,IF(AE2276="free",0,IF(AE2276="me",0,IF(G2276&gt;0,(VLOOKUP(A2276,'Discount Lookup'!J:K,2)*G2276),0))))</f>
        <v>0</v>
      </c>
      <c r="AJ2276" s="107" t="str">
        <f t="shared" ca="1" si="1676"/>
        <v/>
      </c>
      <c r="AK2276" s="714" t="str">
        <f t="shared" si="1677"/>
        <v/>
      </c>
      <c r="AL2276" s="714"/>
      <c r="AM2276" s="114" t="str">
        <f t="shared" si="1678"/>
        <v/>
      </c>
      <c r="AN2276" s="115"/>
      <c r="AO2276" s="116"/>
      <c r="AP2276" s="116"/>
      <c r="AQ2276" s="116"/>
      <c r="AR2276" s="116"/>
      <c r="AS2276" s="116"/>
      <c r="AT2276" s="116"/>
      <c r="AU2276" s="116"/>
      <c r="AV2276" s="78"/>
      <c r="AW2276" s="102"/>
      <c r="AX2276" s="78"/>
      <c r="AY2276" s="78"/>
      <c r="AZ2276" s="78"/>
      <c r="BA2276" s="78"/>
      <c r="BB2276" s="78"/>
      <c r="BC2276" s="78"/>
      <c r="BD2276" s="78"/>
      <c r="BE2276" s="465"/>
      <c r="BF2276" s="165" t="str">
        <f t="shared" si="1679"/>
        <v>https://www.google.com/search?tbm=isch&amp;q=45%20G6</v>
      </c>
      <c r="BG2276" s="165" t="str">
        <f t="shared" si="1680"/>
        <v>I</v>
      </c>
      <c r="BH2276" s="65"/>
      <c r="BI2276" s="65"/>
      <c r="BJ2276" s="65"/>
      <c r="BK2276" s="65"/>
      <c r="BL2276" s="99"/>
      <c r="BM2276" s="99"/>
      <c r="BN2276" s="99"/>
    </row>
    <row r="2277" spans="1:66" s="51" customFormat="1" ht="27" x14ac:dyDescent="0.25">
      <c r="A2277" s="478">
        <v>65</v>
      </c>
      <c r="B2277" s="479" t="s">
        <v>291</v>
      </c>
      <c r="C2277" s="480" t="s">
        <v>954</v>
      </c>
      <c r="D2277" s="481" t="s">
        <v>299</v>
      </c>
      <c r="E2277" s="482">
        <v>858.95</v>
      </c>
      <c r="F2277" s="483" t="s">
        <v>292</v>
      </c>
      <c r="G2277" s="484">
        <v>0</v>
      </c>
      <c r="H2277" s="688" t="str">
        <f t="shared" si="1685"/>
        <v/>
      </c>
      <c r="I2277" s="485">
        <f t="shared" si="1686"/>
        <v>0</v>
      </c>
      <c r="J2277" s="485">
        <f t="shared" si="1687"/>
        <v>0</v>
      </c>
      <c r="K2277" s="715">
        <f t="shared" ref="K2277" si="1697">I2277+J2277</f>
        <v>0</v>
      </c>
      <c r="L2277" s="715"/>
      <c r="M2277" s="689" t="str">
        <f t="shared" ca="1" si="1689"/>
        <v/>
      </c>
      <c r="N2277" s="690"/>
      <c r="O2277" s="486"/>
      <c r="P2277" s="486"/>
      <c r="Q2277" s="486"/>
      <c r="R2277" s="486"/>
      <c r="S2277" s="486"/>
      <c r="T2277" s="102">
        <f t="shared" si="1668"/>
        <v>0</v>
      </c>
      <c r="U2277" s="78">
        <f>IF(NOT(ISNUMBER(G2277)), "", VLOOKUP(A2277,'Discount Lookup'!D:E,2,FALSE)*G2277)</f>
        <v>0</v>
      </c>
      <c r="V2277" s="78">
        <f>IF(NOT(ISNUMBER(G2277)), "", VLOOKUP(A2277,'Discount Lookup'!G:H,2,FALSE)*G2277)</f>
        <v>0</v>
      </c>
      <c r="W2277" s="102">
        <f t="shared" si="1669"/>
        <v>0</v>
      </c>
      <c r="X2277" s="102">
        <f t="shared" si="1670"/>
        <v>0</v>
      </c>
      <c r="Y2277" s="120" t="b">
        <f t="shared" si="1671"/>
        <v>0</v>
      </c>
      <c r="Z2277" s="117">
        <f t="shared" si="1672"/>
        <v>0</v>
      </c>
      <c r="AA2277" s="118"/>
      <c r="AB2277" s="118" t="str">
        <f t="shared" si="1673"/>
        <v/>
      </c>
      <c r="AC2277" s="712" t="str">
        <f>IF(AE2277="T2G","no charge",IF(AND(OR(PlanterYesMe="No",PlanterYesMe="N",PlanterYesMe="me"),H2277=""),"",IF(H2277="credit","NO install",IF(AND(K2277="",AE2277="me"),"EACH row",IF(AND(K2277="images",AE2277="me"),"EACH row",IF(D2277="","",IF(H2277="credit","",IF(AE2277="free","re-planting",IF(AE2277="me","   not ELP, by",IF(AND(OR(PlanterYesMe="Yes",PlanterYesMe="Y"),G2277&gt;0),(VLOOKUP(A2277,'Discount Lookup'!J:K,2)*G2277*(1-PlanterDiscount)*(1+PlanterDifficultyPercentage)),IF(AE2277="ELP",(VLOOKUP(A2277,'Discount Lookup'!J:K,2)*G2277*(1-PlanterDiscount)*(1+PlanterDifficultyPercentage)),IF(AE2277="free","re-planting",IF(G2277=0,"",IF(PlanterYesMe="",IF(AE2277="me","   not ELP, by",IF(AE2277="",IF(G2277&gt;0,(VLOOKUP(A2277,'Discount Lookup'!J:K,2)*G2277*(1-PlanterDiscount)*(1+PlanterDifficultyPercentage)),""),"")),"   not ELP, by"))))))))))))))</f>
        <v/>
      </c>
      <c r="AD2277" s="712"/>
      <c r="AE2277" s="513" t="str">
        <f t="shared" si="1674"/>
        <v/>
      </c>
      <c r="AF2277" s="713" t="str">
        <f t="shared" si="1675"/>
        <v/>
      </c>
      <c r="AG2277" s="713"/>
      <c r="AH2277" s="713"/>
      <c r="AI2277" s="112">
        <f>IF(H2277="credit",0,IF(AE2277="free",0,IF(AE2277="me",0,IF(G2277&gt;0,(VLOOKUP(A2277,'Discount Lookup'!J:K,2)*G2277),0))))</f>
        <v>0</v>
      </c>
      <c r="AJ2277" s="107" t="str">
        <f t="shared" ca="1" si="1676"/>
        <v/>
      </c>
      <c r="AK2277" s="714" t="str">
        <f t="shared" si="1677"/>
        <v/>
      </c>
      <c r="AL2277" s="714"/>
      <c r="AM2277" s="114" t="str">
        <f t="shared" si="1678"/>
        <v/>
      </c>
      <c r="AN2277" s="115"/>
      <c r="AO2277" s="116"/>
      <c r="AP2277" s="116"/>
      <c r="AQ2277" s="116"/>
      <c r="AR2277" s="116"/>
      <c r="AS2277" s="116"/>
      <c r="AT2277" s="116"/>
      <c r="AU2277" s="116"/>
      <c r="AV2277" s="78"/>
      <c r="AW2277" s="102"/>
      <c r="AX2277" s="78"/>
      <c r="AY2277" s="78"/>
      <c r="AZ2277" s="78"/>
      <c r="BA2277" s="78"/>
      <c r="BB2277" s="78"/>
      <c r="BC2277" s="78"/>
      <c r="BD2277" s="78"/>
      <c r="BE2277" s="465"/>
      <c r="BF2277" s="165" t="str">
        <f t="shared" si="1679"/>
        <v>https://www.google.com/search?tbm=isch&amp;q=65%20G4</v>
      </c>
      <c r="BG2277" s="165" t="str">
        <f t="shared" si="1680"/>
        <v>I</v>
      </c>
      <c r="BH2277" s="65"/>
      <c r="BI2277" s="65"/>
      <c r="BJ2277" s="65"/>
      <c r="BK2277" s="65"/>
      <c r="BL2277" s="99"/>
      <c r="BM2277" s="99"/>
      <c r="BN2277" s="99"/>
    </row>
    <row r="2278" spans="1:66" s="51" customFormat="1" ht="17.25" thickBot="1" x14ac:dyDescent="0.3">
      <c r="A2278" s="508" t="s">
        <v>540</v>
      </c>
      <c r="B2278" s="487"/>
      <c r="C2278" s="707"/>
      <c r="D2278" s="487"/>
      <c r="E2278" s="487"/>
      <c r="F2278" s="488"/>
      <c r="G2278" s="489"/>
      <c r="H2278" s="487"/>
      <c r="I2278" s="490"/>
      <c r="J2278" s="490"/>
      <c r="K2278" s="491"/>
      <c r="L2278" s="547"/>
      <c r="M2278" s="528"/>
      <c r="N2278" s="492"/>
      <c r="O2278" s="493"/>
      <c r="P2278" s="494"/>
      <c r="Q2278" s="492"/>
      <c r="R2278" s="492"/>
      <c r="S2278" s="699" t="s">
        <v>5290</v>
      </c>
      <c r="T2278" s="102">
        <f t="shared" si="1668"/>
        <v>0</v>
      </c>
      <c r="U2278" s="78" t="str">
        <f>IF(NOT(ISNUMBER(G2278)), "", VLOOKUP(A2278,'Discount Lookup'!D:E,2,FALSE)*G2278)</f>
        <v/>
      </c>
      <c r="V2278" s="78" t="str">
        <f>IF(NOT(ISNUMBER(G2278)), "", VLOOKUP(A2278,'Discount Lookup'!G:H,2,FALSE)*G2278)</f>
        <v/>
      </c>
      <c r="W2278" s="102">
        <f t="shared" si="1669"/>
        <v>0</v>
      </c>
      <c r="X2278" s="102">
        <f t="shared" si="1670"/>
        <v>0</v>
      </c>
      <c r="Y2278" s="120" t="b">
        <f t="shared" si="1671"/>
        <v>0</v>
      </c>
      <c r="Z2278" s="117">
        <f t="shared" si="1672"/>
        <v>0</v>
      </c>
      <c r="AA2278" s="118"/>
      <c r="AB2278" s="118" t="str">
        <f t="shared" si="1673"/>
        <v/>
      </c>
      <c r="AC2278" s="712" t="str">
        <f>IF(AE2278="T2G","no charge",IF(AND(OR(PlanterYesMe="No",PlanterYesMe="N",PlanterYesMe="me"),H2278=""),"",IF(H2278="credit","NO install",IF(AND(K2278="",AE2278="me"),"EACH row",IF(AND(K2278="images",AE2278="me"),"EACH row",IF(D2278="","",IF(H2278="credit","",IF(AE2278="free","re-planting",IF(AE2278="me","   not ELP, by",IF(AND(OR(PlanterYesMe="Yes",PlanterYesMe="Y"),G2278&gt;0),(VLOOKUP(A2278,'Discount Lookup'!J:K,2)*G2278*(1-PlanterDiscount)*(1+PlanterDifficultyPercentage)),IF(AE2278="ELP",(VLOOKUP(A2278,'Discount Lookup'!J:K,2)*G2278*(1-PlanterDiscount)*(1+PlanterDifficultyPercentage)),IF(AE2278="free","re-planting",IF(G2278=0,"",IF(PlanterYesMe="",IF(AE2278="me","   not ELP, by",IF(AE2278="",IF(G2278&gt;0,(VLOOKUP(A2278,'Discount Lookup'!J:K,2)*G2278*(1-PlanterDiscount)*(1+PlanterDifficultyPercentage)),""),"")),"   not ELP, by"))))))))))))))</f>
        <v/>
      </c>
      <c r="AD2278" s="712"/>
      <c r="AE2278" s="513" t="str">
        <f t="shared" si="1674"/>
        <v/>
      </c>
      <c r="AF2278" s="713" t="str">
        <f t="shared" si="1675"/>
        <v/>
      </c>
      <c r="AG2278" s="713"/>
      <c r="AH2278" s="713"/>
      <c r="AI2278" s="112">
        <f>IF(H2278="credit",0,IF(AE2278="free",0,IF(AE2278="me",0,IF(G2278&gt;0,(VLOOKUP(A2278,'Discount Lookup'!J:K,2)*G2278),0))))</f>
        <v>0</v>
      </c>
      <c r="AJ2278" s="107" t="str">
        <f t="shared" ca="1" si="1676"/>
        <v/>
      </c>
      <c r="AK2278" s="714" t="str">
        <f t="shared" si="1677"/>
        <v/>
      </c>
      <c r="AL2278" s="714"/>
      <c r="AM2278" s="114" t="str">
        <f t="shared" si="1678"/>
        <v/>
      </c>
      <c r="AN2278" s="115"/>
      <c r="AO2278" s="116"/>
      <c r="AP2278" s="116"/>
      <c r="AQ2278" s="116"/>
      <c r="AR2278" s="116"/>
      <c r="AS2278" s="116"/>
      <c r="AT2278" s="116"/>
      <c r="AU2278" s="116"/>
      <c r="AV2278" s="78"/>
      <c r="AW2278" s="102"/>
      <c r="AX2278" s="78"/>
      <c r="AY2278" s="78"/>
      <c r="AZ2278" s="78"/>
      <c r="BA2278" s="78"/>
      <c r="BB2278" s="78"/>
      <c r="BC2278" s="78"/>
      <c r="BD2278" s="78"/>
      <c r="BE2278" s="465"/>
      <c r="BF2278" s="165" t="str">
        <f t="shared" si="1679"/>
        <v>https://www.google.com/search?tbm=isch&amp;q=Nellies%20are%20all%20female%2C%20but%20able%20to%20self-pollinate.%20Plant%20with%20an%20Ilex%20cornuta%20male%20to%20increase%20berry%20set%20</v>
      </c>
      <c r="BG2278" s="165" t="str">
        <f t="shared" si="1680"/>
        <v>N</v>
      </c>
      <c r="BH2278" s="65"/>
      <c r="BI2278" s="65"/>
      <c r="BJ2278" s="65"/>
      <c r="BK2278" s="65"/>
      <c r="BL2278" s="99"/>
      <c r="BM2278" s="99"/>
      <c r="BN2278" s="99"/>
    </row>
    <row r="2279" spans="1:66" s="51" customFormat="1" ht="18" x14ac:dyDescent="0.25">
      <c r="A2279" s="507" t="s">
        <v>3004</v>
      </c>
      <c r="B2279" s="470"/>
      <c r="C2279" s="706"/>
      <c r="D2279" s="471" t="s">
        <v>5715</v>
      </c>
      <c r="E2279" s="472"/>
      <c r="F2279" s="472"/>
      <c r="G2279" s="472"/>
      <c r="H2279" s="622" t="s">
        <v>3005</v>
      </c>
      <c r="I2279" s="473" t="s">
        <v>1133</v>
      </c>
      <c r="J2279" s="472"/>
      <c r="K2279" s="472"/>
      <c r="L2279" s="561"/>
      <c r="M2279" s="698" t="s">
        <v>5246</v>
      </c>
      <c r="N2279" s="692" t="str">
        <f>IF(AND(ISTEXT($A2279), ISERROR($A2279+0)), HYPERLINK($BF2279, "Images"), "")</f>
        <v>Images</v>
      </c>
      <c r="O2279" s="694" t="s">
        <v>5264</v>
      </c>
      <c r="P2279" s="475"/>
      <c r="Q2279" s="476"/>
      <c r="R2279" s="476"/>
      <c r="S2279" s="477"/>
      <c r="T2279" s="102">
        <f t="shared" si="1668"/>
        <v>0</v>
      </c>
      <c r="U2279" s="78" t="str">
        <f>IF(NOT(ISNUMBER(G2279)), "", VLOOKUP(A2279,'Discount Lookup'!D:E,2,FALSE)*G2279)</f>
        <v/>
      </c>
      <c r="V2279" s="78" t="str">
        <f>IF(NOT(ISNUMBER(G2279)), "", VLOOKUP(A2279,'Discount Lookup'!G:H,2,FALSE)*G2279)</f>
        <v/>
      </c>
      <c r="W2279" s="102">
        <f t="shared" si="1669"/>
        <v>0</v>
      </c>
      <c r="X2279" s="102" t="str">
        <f t="shared" si="1670"/>
        <v>Glossy Green foliage</v>
      </c>
      <c r="Y2279" s="120" t="b">
        <f t="shared" si="1671"/>
        <v>0</v>
      </c>
      <c r="Z2279" s="117">
        <f t="shared" si="1672"/>
        <v>0</v>
      </c>
      <c r="AA2279" s="118"/>
      <c r="AB2279" s="118" t="str">
        <f t="shared" si="1673"/>
        <v/>
      </c>
      <c r="AC2279" s="712" t="str">
        <f>IF(AE2279="T2G","no charge",IF(AND(OR(PlanterYesMe="No",PlanterYesMe="N",PlanterYesMe="me"),H2279=""),"",IF(H2279="credit","NO install",IF(AND(K2279="",AE2279="me"),"EACH row",IF(AND(K2279="images",AE2279="me"),"EACH row",IF(D2279="","",IF(H2279="credit","",IF(AE2279="free","re-planting",IF(AE2279="me","   not ELP, by",IF(AND(OR(PlanterYesMe="Yes",PlanterYesMe="Y"),G2279&gt;0),(VLOOKUP(A2279,'Discount Lookup'!J:K,2)*G2279*(1-PlanterDiscount)*(1+PlanterDifficultyPercentage)),IF(AE2279="ELP",(VLOOKUP(A2279,'Discount Lookup'!J:K,2)*G2279*(1-PlanterDiscount)*(1+PlanterDifficultyPercentage)),IF(AE2279="free","re-planting",IF(G2279=0,"",IF(PlanterYesMe="",IF(AE2279="me","   not ELP, by",IF(AE2279="",IF(G2279&gt;0,(VLOOKUP(A2279,'Discount Lookup'!J:K,2)*G2279*(1-PlanterDiscount)*(1+PlanterDifficultyPercentage)),""),"")),"   not ELP, by"))))))))))))))</f>
        <v/>
      </c>
      <c r="AD2279" s="712"/>
      <c r="AE2279" s="513" t="str">
        <f t="shared" si="1674"/>
        <v/>
      </c>
      <c r="AF2279" s="713" t="str">
        <f t="shared" si="1675"/>
        <v/>
      </c>
      <c r="AG2279" s="713"/>
      <c r="AH2279" s="713"/>
      <c r="AI2279" s="112">
        <f>IF(H2279="credit",0,IF(AE2279="free",0,IF(AE2279="me",0,IF(G2279&gt;0,(VLOOKUP(A2279,'Discount Lookup'!J:K,2)*G2279),0))))</f>
        <v>0</v>
      </c>
      <c r="AJ2279" s="107" t="str">
        <f t="shared" ca="1" si="1676"/>
        <v/>
      </c>
      <c r="AK2279" s="714" t="str">
        <f t="shared" si="1677"/>
        <v/>
      </c>
      <c r="AL2279" s="714"/>
      <c r="AM2279" s="114" t="str">
        <f t="shared" si="1678"/>
        <v/>
      </c>
      <c r="AN2279" s="115"/>
      <c r="AO2279" s="116"/>
      <c r="AP2279" s="116"/>
      <c r="AQ2279" s="116"/>
      <c r="AR2279" s="116"/>
      <c r="AS2279" s="116"/>
      <c r="AT2279" s="116"/>
      <c r="AU2279" s="116"/>
      <c r="AV2279" s="78"/>
      <c r="AW2279" s="102"/>
      <c r="AX2279" s="78"/>
      <c r="AY2279" s="78"/>
      <c r="AZ2279" s="78"/>
      <c r="BA2279" s="78"/>
      <c r="BB2279" s="78"/>
      <c r="BC2279" s="78"/>
      <c r="BD2279" s="78"/>
      <c r="BE2279" s="465"/>
      <c r="BF2279" s="165" t="str">
        <f t="shared" si="1679"/>
        <v>https://www.google.com/search?tbm=isch&amp;q=Ilex%20%27RutHol1%27%20PP%2323905%20Emerald%20Colonnade%C2%AE%20Holly</v>
      </c>
      <c r="BG2279" s="165" t="str">
        <f t="shared" si="1680"/>
        <v>I</v>
      </c>
      <c r="BH2279" s="65"/>
      <c r="BI2279" s="65"/>
      <c r="BJ2279" s="65"/>
      <c r="BK2279" s="65"/>
      <c r="BL2279" s="99"/>
      <c r="BM2279" s="99"/>
      <c r="BN2279" s="99"/>
    </row>
    <row r="2280" spans="1:66" s="51" customFormat="1" ht="15.75" x14ac:dyDescent="0.25">
      <c r="A2280" s="478">
        <v>15</v>
      </c>
      <c r="B2280" s="479" t="s">
        <v>291</v>
      </c>
      <c r="C2280" s="480" t="s">
        <v>5179</v>
      </c>
      <c r="D2280" s="481" t="s">
        <v>299</v>
      </c>
      <c r="E2280" s="482">
        <v>194.95</v>
      </c>
      <c r="F2280" s="483" t="s">
        <v>292</v>
      </c>
      <c r="G2280" s="484">
        <v>0</v>
      </c>
      <c r="H2280" s="688" t="str">
        <f t="shared" ref="H2280:H2287" si="1698">IF(G2280=0,"",IF(F2280="Buy",IF(G2280=1,"plant","plants"),IF(F2280&gt;0.01,"warranty","Error")))</f>
        <v/>
      </c>
      <c r="I2280" s="485">
        <f t="shared" ref="I2280:I2287" si="1699">IF(H2280="free",0,IF(H2280="credit",((E2280*(F2280))*G2280*-1),IF(F2280="Buy",(E2280*G2280),((E2280*(1-F2280))*G2280))))</f>
        <v>0</v>
      </c>
      <c r="J2280" s="485">
        <f t="shared" ref="J2280:J2287" si="1700">IF(H2280="warranty",0,(I2280*(_xlfn.SINGLE(SalesTaxPercentage))))</f>
        <v>0</v>
      </c>
      <c r="K2280" s="715">
        <f t="shared" ref="K2280" si="1701">I2280+J2280</f>
        <v>0</v>
      </c>
      <c r="L2280" s="715"/>
      <c r="M2280" s="689" t="str">
        <f t="shared" ref="M2280:M2287" ca="1" si="1702">IF(AND(G2280&gt;0,E2280=0),"WARNING - no PRICE inserted",IF(H2280="free","FREE ~ no charge this plant",IF(H2280="credit",CONCATENATE("-$",ROUND(K2280*(1-_xlfn.SINGLE(T2GDiscount))*-1,2)," CREDIT after discount"),IF(_xlfn.SINGLE(T2GDiscount)=0,"",IF(G2280=0,"",IF(F2280="Buy",CONCATENATE("$",ROUND(K2280*(1-_xlfn.SINGLE(T2GDiscount)),2)," with ",(_xlfn.SINGLE(T2GDiscount)*100),"% discount"),CONCATENATE("$",ROUND(K2280*(1-_xlfn.SINGLE(T2GDiscount)),2)," with ",((_xlfn.SINGLE(T2GDiscount)*100+F2280*100)-(_xlfn.SINGLE(T2GDiscount)*100*F2280)),IF(F2280&gt;0,"% discounts",IF(_xlfn.SINGLE(NoWarrantyDiscount)&gt;0,"% discounts","% discount")))))))))</f>
        <v/>
      </c>
      <c r="N2280" s="690"/>
      <c r="O2280" s="486"/>
      <c r="P2280" s="486"/>
      <c r="Q2280" s="486"/>
      <c r="R2280" s="486"/>
      <c r="S2280" s="486"/>
      <c r="T2280" s="102">
        <f t="shared" si="1668"/>
        <v>0</v>
      </c>
      <c r="U2280" s="78">
        <f>IF(NOT(ISNUMBER(G2280)), "", VLOOKUP(A2280,'Discount Lookup'!D:E,2,FALSE)*G2280)</f>
        <v>0</v>
      </c>
      <c r="V2280" s="78">
        <f>IF(NOT(ISNUMBER(G2280)), "", VLOOKUP(A2280,'Discount Lookup'!G:H,2,FALSE)*G2280)</f>
        <v>0</v>
      </c>
      <c r="W2280" s="102">
        <f t="shared" si="1669"/>
        <v>0</v>
      </c>
      <c r="X2280" s="102">
        <f t="shared" si="1670"/>
        <v>0</v>
      </c>
      <c r="Y2280" s="120" t="b">
        <f t="shared" si="1671"/>
        <v>0</v>
      </c>
      <c r="Z2280" s="117">
        <f t="shared" si="1672"/>
        <v>0</v>
      </c>
      <c r="AA2280" s="118"/>
      <c r="AB2280" s="118" t="str">
        <f t="shared" si="1673"/>
        <v/>
      </c>
      <c r="AC2280" s="712" t="str">
        <f>IF(AE2280="T2G","no charge",IF(AND(OR(PlanterYesMe="No",PlanterYesMe="N",PlanterYesMe="me"),H2280=""),"",IF(H2280="credit","NO install",IF(AND(K2280="",AE2280="me"),"EACH row",IF(AND(K2280="images",AE2280="me"),"EACH row",IF(D2280="","",IF(H2280="credit","",IF(AE2280="free","re-planting",IF(AE2280="me","   not ELP, by",IF(AND(OR(PlanterYesMe="Yes",PlanterYesMe="Y"),G2280&gt;0),(VLOOKUP(A2280,'Discount Lookup'!J:K,2)*G2280*(1-PlanterDiscount)*(1+PlanterDifficultyPercentage)),IF(AE2280="ELP",(VLOOKUP(A2280,'Discount Lookup'!J:K,2)*G2280*(1-PlanterDiscount)*(1+PlanterDifficultyPercentage)),IF(AE2280="free","re-planting",IF(G2280=0,"",IF(PlanterYesMe="",IF(AE2280="me","   not ELP, by",IF(AE2280="",IF(G2280&gt;0,(VLOOKUP(A2280,'Discount Lookup'!J:K,2)*G2280*(1-PlanterDiscount)*(1+PlanterDifficultyPercentage)),""),"")),"   not ELP, by"))))))))))))))</f>
        <v/>
      </c>
      <c r="AD2280" s="712"/>
      <c r="AE2280" s="513" t="str">
        <f t="shared" si="1674"/>
        <v/>
      </c>
      <c r="AF2280" s="713" t="str">
        <f t="shared" si="1675"/>
        <v/>
      </c>
      <c r="AG2280" s="713"/>
      <c r="AH2280" s="713"/>
      <c r="AI2280" s="112">
        <f>IF(H2280="credit",0,IF(AE2280="free",0,IF(AE2280="me",0,IF(G2280&gt;0,(VLOOKUP(A2280,'Discount Lookup'!J:K,2)*G2280),0))))</f>
        <v>0</v>
      </c>
      <c r="AJ2280" s="107" t="str">
        <f t="shared" ca="1" si="1676"/>
        <v/>
      </c>
      <c r="AK2280" s="714" t="str">
        <f t="shared" si="1677"/>
        <v/>
      </c>
      <c r="AL2280" s="714"/>
      <c r="AM2280" s="114" t="str">
        <f t="shared" si="1678"/>
        <v/>
      </c>
      <c r="AN2280" s="115"/>
      <c r="AO2280" s="116"/>
      <c r="AP2280" s="116"/>
      <c r="AQ2280" s="116"/>
      <c r="AR2280" s="116"/>
      <c r="AS2280" s="116"/>
      <c r="AT2280" s="116"/>
      <c r="AU2280" s="116"/>
      <c r="AV2280" s="78"/>
      <c r="AW2280" s="102"/>
      <c r="AX2280" s="78"/>
      <c r="AY2280" s="78"/>
      <c r="AZ2280" s="78"/>
      <c r="BA2280" s="78"/>
      <c r="BB2280" s="78"/>
      <c r="BC2280" s="78"/>
      <c r="BD2280" s="78"/>
      <c r="BE2280" s="465"/>
      <c r="BF2280" s="165" t="str">
        <f t="shared" si="1679"/>
        <v>https://www.google.com/search?tbm=isch&amp;q=15%20G4</v>
      </c>
      <c r="BG2280" s="165" t="str">
        <f t="shared" si="1680"/>
        <v>I</v>
      </c>
      <c r="BH2280" s="65"/>
      <c r="BI2280" s="65"/>
      <c r="BJ2280" s="65"/>
      <c r="BK2280" s="65"/>
      <c r="BL2280" s="99"/>
      <c r="BM2280" s="99"/>
      <c r="BN2280" s="99"/>
    </row>
    <row r="2281" spans="1:66" s="51" customFormat="1" ht="15.75" x14ac:dyDescent="0.25">
      <c r="A2281" s="478">
        <v>15</v>
      </c>
      <c r="B2281" s="479" t="s">
        <v>291</v>
      </c>
      <c r="C2281" s="480" t="s">
        <v>4622</v>
      </c>
      <c r="D2281" s="481" t="s">
        <v>293</v>
      </c>
      <c r="E2281" s="482">
        <v>326.95</v>
      </c>
      <c r="F2281" s="483" t="s">
        <v>292</v>
      </c>
      <c r="G2281" s="484">
        <v>0</v>
      </c>
      <c r="H2281" s="688" t="str">
        <f t="shared" si="1698"/>
        <v/>
      </c>
      <c r="I2281" s="485">
        <f t="shared" si="1699"/>
        <v>0</v>
      </c>
      <c r="J2281" s="485">
        <f t="shared" si="1700"/>
        <v>0</v>
      </c>
      <c r="K2281" s="715">
        <f t="shared" ref="K2281" si="1703">I2281+J2281</f>
        <v>0</v>
      </c>
      <c r="L2281" s="715"/>
      <c r="M2281" s="689" t="str">
        <f t="shared" ca="1" si="1702"/>
        <v/>
      </c>
      <c r="N2281" s="690"/>
      <c r="O2281" s="486"/>
      <c r="P2281" s="486"/>
      <c r="Q2281" s="486"/>
      <c r="R2281" s="486"/>
      <c r="S2281" s="486"/>
      <c r="T2281" s="102">
        <f t="shared" si="1668"/>
        <v>0</v>
      </c>
      <c r="U2281" s="78">
        <f>IF(NOT(ISNUMBER(G2281)), "", VLOOKUP(A2281,'Discount Lookup'!D:E,2,FALSE)*G2281)</f>
        <v>0</v>
      </c>
      <c r="V2281" s="78">
        <f>IF(NOT(ISNUMBER(G2281)), "", VLOOKUP(A2281,'Discount Lookup'!G:H,2,FALSE)*G2281)</f>
        <v>0</v>
      </c>
      <c r="W2281" s="102">
        <f t="shared" si="1669"/>
        <v>0</v>
      </c>
      <c r="X2281" s="102">
        <f t="shared" si="1670"/>
        <v>0</v>
      </c>
      <c r="Y2281" s="120" t="b">
        <f t="shared" si="1671"/>
        <v>0</v>
      </c>
      <c r="Z2281" s="117">
        <f t="shared" si="1672"/>
        <v>0</v>
      </c>
      <c r="AA2281" s="118"/>
      <c r="AB2281" s="118" t="str">
        <f t="shared" si="1673"/>
        <v/>
      </c>
      <c r="AC2281" s="712" t="str">
        <f>IF(AE2281="T2G","no charge",IF(AND(OR(PlanterYesMe="No",PlanterYesMe="N",PlanterYesMe="me"),H2281=""),"",IF(H2281="credit","NO install",IF(AND(K2281="",AE2281="me"),"EACH row",IF(AND(K2281="images",AE2281="me"),"EACH row",IF(D2281="","",IF(H2281="credit","",IF(AE2281="free","re-planting",IF(AE2281="me","   not ELP, by",IF(AND(OR(PlanterYesMe="Yes",PlanterYesMe="Y"),G2281&gt;0),(VLOOKUP(A2281,'Discount Lookup'!J:K,2)*G2281*(1-PlanterDiscount)*(1+PlanterDifficultyPercentage)),IF(AE2281="ELP",(VLOOKUP(A2281,'Discount Lookup'!J:K,2)*G2281*(1-PlanterDiscount)*(1+PlanterDifficultyPercentage)),IF(AE2281="free","re-planting",IF(G2281=0,"",IF(PlanterYesMe="",IF(AE2281="me","   not ELP, by",IF(AE2281="",IF(G2281&gt;0,(VLOOKUP(A2281,'Discount Lookup'!J:K,2)*G2281*(1-PlanterDiscount)*(1+PlanterDifficultyPercentage)),""),"")),"   not ELP, by"))))))))))))))</f>
        <v/>
      </c>
      <c r="AD2281" s="712"/>
      <c r="AE2281" s="513" t="str">
        <f t="shared" si="1674"/>
        <v/>
      </c>
      <c r="AF2281" s="713" t="str">
        <f t="shared" si="1675"/>
        <v/>
      </c>
      <c r="AG2281" s="713"/>
      <c r="AH2281" s="713"/>
      <c r="AI2281" s="112">
        <f>IF(H2281="credit",0,IF(AE2281="free",0,IF(AE2281="me",0,IF(G2281&gt;0,(VLOOKUP(A2281,'Discount Lookup'!J:K,2)*G2281),0))))</f>
        <v>0</v>
      </c>
      <c r="AJ2281" s="107" t="str">
        <f t="shared" ca="1" si="1676"/>
        <v/>
      </c>
      <c r="AK2281" s="714" t="str">
        <f t="shared" si="1677"/>
        <v/>
      </c>
      <c r="AL2281" s="714"/>
      <c r="AM2281" s="114" t="str">
        <f t="shared" si="1678"/>
        <v/>
      </c>
      <c r="AN2281" s="115"/>
      <c r="AO2281" s="116"/>
      <c r="AP2281" s="116"/>
      <c r="AQ2281" s="116"/>
      <c r="AR2281" s="116"/>
      <c r="AS2281" s="116"/>
      <c r="AT2281" s="116"/>
      <c r="AU2281" s="116"/>
      <c r="AV2281" s="78"/>
      <c r="AW2281" s="102"/>
      <c r="AX2281" s="78"/>
      <c r="AY2281" s="78"/>
      <c r="AZ2281" s="78"/>
      <c r="BA2281" s="78"/>
      <c r="BB2281" s="78"/>
      <c r="BC2281" s="78"/>
      <c r="BD2281" s="78"/>
      <c r="BE2281" s="465"/>
      <c r="BF2281" s="165" t="str">
        <f t="shared" si="1679"/>
        <v>https://www.google.com/search?tbm=isch&amp;q=15%20G6</v>
      </c>
      <c r="BG2281" s="165" t="str">
        <f t="shared" si="1680"/>
        <v>I</v>
      </c>
      <c r="BH2281" s="65"/>
      <c r="BI2281" s="65"/>
      <c r="BJ2281" s="65"/>
      <c r="BK2281" s="65"/>
      <c r="BL2281" s="99"/>
      <c r="BM2281" s="99"/>
      <c r="BN2281" s="99"/>
    </row>
    <row r="2282" spans="1:66" s="51" customFormat="1" ht="15.75" x14ac:dyDescent="0.25">
      <c r="A2282" s="478">
        <v>25</v>
      </c>
      <c r="B2282" s="479" t="s">
        <v>291</v>
      </c>
      <c r="C2282" s="480" t="s">
        <v>2092</v>
      </c>
      <c r="D2282" s="481" t="s">
        <v>299</v>
      </c>
      <c r="E2282" s="482">
        <v>362.95</v>
      </c>
      <c r="F2282" s="483" t="s">
        <v>292</v>
      </c>
      <c r="G2282" s="484">
        <v>0</v>
      </c>
      <c r="H2282" s="688" t="str">
        <f t="shared" si="1698"/>
        <v/>
      </c>
      <c r="I2282" s="485">
        <f t="shared" si="1699"/>
        <v>0</v>
      </c>
      <c r="J2282" s="485">
        <f t="shared" si="1700"/>
        <v>0</v>
      </c>
      <c r="K2282" s="715">
        <f t="shared" ref="K2282" si="1704">I2282+J2282</f>
        <v>0</v>
      </c>
      <c r="L2282" s="715"/>
      <c r="M2282" s="689" t="str">
        <f t="shared" ca="1" si="1702"/>
        <v/>
      </c>
      <c r="N2282" s="690"/>
      <c r="O2282" s="486"/>
      <c r="P2282" s="486"/>
      <c r="Q2282" s="486"/>
      <c r="R2282" s="486"/>
      <c r="S2282" s="486"/>
      <c r="T2282" s="102">
        <f t="shared" si="1668"/>
        <v>0</v>
      </c>
      <c r="U2282" s="78">
        <f>IF(NOT(ISNUMBER(G2282)), "", VLOOKUP(A2282,'Discount Lookup'!D:E,2,FALSE)*G2282)</f>
        <v>0</v>
      </c>
      <c r="V2282" s="78">
        <f>IF(NOT(ISNUMBER(G2282)), "", VLOOKUP(A2282,'Discount Lookup'!G:H,2,FALSE)*G2282)</f>
        <v>0</v>
      </c>
      <c r="W2282" s="102">
        <f t="shared" si="1669"/>
        <v>0</v>
      </c>
      <c r="X2282" s="102">
        <f t="shared" si="1670"/>
        <v>0</v>
      </c>
      <c r="Y2282" s="120" t="b">
        <f t="shared" si="1671"/>
        <v>0</v>
      </c>
      <c r="Z2282" s="117">
        <f t="shared" si="1672"/>
        <v>0</v>
      </c>
      <c r="AA2282" s="118"/>
      <c r="AB2282" s="118" t="str">
        <f t="shared" si="1673"/>
        <v/>
      </c>
      <c r="AC2282" s="712" t="str">
        <f>IF(AE2282="T2G","no charge",IF(AND(OR(PlanterYesMe="No",PlanterYesMe="N",PlanterYesMe="me"),H2282=""),"",IF(H2282="credit","NO install",IF(AND(K2282="",AE2282="me"),"EACH row",IF(AND(K2282="images",AE2282="me"),"EACH row",IF(D2282="","",IF(H2282="credit","",IF(AE2282="free","re-planting",IF(AE2282="me","   not ELP, by",IF(AND(OR(PlanterYesMe="Yes",PlanterYesMe="Y"),G2282&gt;0),(VLOOKUP(A2282,'Discount Lookup'!J:K,2)*G2282*(1-PlanterDiscount)*(1+PlanterDifficultyPercentage)),IF(AE2282="ELP",(VLOOKUP(A2282,'Discount Lookup'!J:K,2)*G2282*(1-PlanterDiscount)*(1+PlanterDifficultyPercentage)),IF(AE2282="free","re-planting",IF(G2282=0,"",IF(PlanterYesMe="",IF(AE2282="me","   not ELP, by",IF(AE2282="",IF(G2282&gt;0,(VLOOKUP(A2282,'Discount Lookup'!J:K,2)*G2282*(1-PlanterDiscount)*(1+PlanterDifficultyPercentage)),""),"")),"   not ELP, by"))))))))))))))</f>
        <v/>
      </c>
      <c r="AD2282" s="712"/>
      <c r="AE2282" s="513" t="str">
        <f t="shared" si="1674"/>
        <v/>
      </c>
      <c r="AF2282" s="713" t="str">
        <f t="shared" si="1675"/>
        <v/>
      </c>
      <c r="AG2282" s="713"/>
      <c r="AH2282" s="713"/>
      <c r="AI2282" s="112">
        <f>IF(H2282="credit",0,IF(AE2282="free",0,IF(AE2282="me",0,IF(G2282&gt;0,(VLOOKUP(A2282,'Discount Lookup'!J:K,2)*G2282),0))))</f>
        <v>0</v>
      </c>
      <c r="AJ2282" s="107" t="str">
        <f t="shared" ca="1" si="1676"/>
        <v/>
      </c>
      <c r="AK2282" s="714" t="str">
        <f t="shared" si="1677"/>
        <v/>
      </c>
      <c r="AL2282" s="714"/>
      <c r="AM2282" s="114" t="str">
        <f t="shared" si="1678"/>
        <v/>
      </c>
      <c r="AN2282" s="115"/>
      <c r="AO2282" s="116"/>
      <c r="AP2282" s="116"/>
      <c r="AQ2282" s="116"/>
      <c r="AR2282" s="116"/>
      <c r="AS2282" s="116"/>
      <c r="AT2282" s="116"/>
      <c r="AU2282" s="116"/>
      <c r="AV2282" s="78"/>
      <c r="AW2282" s="102"/>
      <c r="AX2282" s="78"/>
      <c r="AY2282" s="78"/>
      <c r="AZ2282" s="78"/>
      <c r="BA2282" s="78"/>
      <c r="BB2282" s="78"/>
      <c r="BC2282" s="78"/>
      <c r="BD2282" s="78"/>
      <c r="BE2282" s="465"/>
      <c r="BF2282" s="165" t="str">
        <f t="shared" si="1679"/>
        <v>https://www.google.com/search?tbm=isch&amp;q=25%20G4</v>
      </c>
      <c r="BG2282" s="165" t="str">
        <f t="shared" si="1680"/>
        <v>I</v>
      </c>
      <c r="BH2282" s="65"/>
      <c r="BI2282" s="65"/>
      <c r="BJ2282" s="65"/>
      <c r="BK2282" s="65"/>
      <c r="BL2282" s="99"/>
      <c r="BM2282" s="99"/>
      <c r="BN2282" s="99"/>
    </row>
    <row r="2283" spans="1:66" s="51" customFormat="1" ht="15.75" x14ac:dyDescent="0.25">
      <c r="A2283" s="478">
        <v>15</v>
      </c>
      <c r="B2283" s="479" t="s">
        <v>291</v>
      </c>
      <c r="C2283" s="480" t="s">
        <v>3006</v>
      </c>
      <c r="D2283" s="481" t="s">
        <v>299</v>
      </c>
      <c r="E2283" s="482">
        <v>399.95</v>
      </c>
      <c r="F2283" s="483" t="s">
        <v>292</v>
      </c>
      <c r="G2283" s="484">
        <v>0</v>
      </c>
      <c r="H2283" s="688" t="str">
        <f t="shared" si="1698"/>
        <v/>
      </c>
      <c r="I2283" s="485">
        <f t="shared" si="1699"/>
        <v>0</v>
      </c>
      <c r="J2283" s="485">
        <f t="shared" si="1700"/>
        <v>0</v>
      </c>
      <c r="K2283" s="715">
        <f t="shared" ref="K2283" si="1705">I2283+J2283</f>
        <v>0</v>
      </c>
      <c r="L2283" s="715"/>
      <c r="M2283" s="689" t="str">
        <f t="shared" ca="1" si="1702"/>
        <v/>
      </c>
      <c r="N2283" s="690"/>
      <c r="O2283" s="486"/>
      <c r="P2283" s="486"/>
      <c r="Q2283" s="486"/>
      <c r="R2283" s="486"/>
      <c r="S2283" s="486"/>
      <c r="T2283" s="102">
        <f t="shared" si="1668"/>
        <v>0</v>
      </c>
      <c r="U2283" s="78">
        <f>IF(NOT(ISNUMBER(G2283)), "", VLOOKUP(A2283,'Discount Lookup'!D:E,2,FALSE)*G2283)</f>
        <v>0</v>
      </c>
      <c r="V2283" s="78">
        <f>IF(NOT(ISNUMBER(G2283)), "", VLOOKUP(A2283,'Discount Lookup'!G:H,2,FALSE)*G2283)</f>
        <v>0</v>
      </c>
      <c r="W2283" s="102">
        <f t="shared" si="1669"/>
        <v>0</v>
      </c>
      <c r="X2283" s="102">
        <f t="shared" si="1670"/>
        <v>0</v>
      </c>
      <c r="Y2283" s="120" t="b">
        <f t="shared" si="1671"/>
        <v>0</v>
      </c>
      <c r="Z2283" s="117">
        <f t="shared" si="1672"/>
        <v>0</v>
      </c>
      <c r="AA2283" s="118"/>
      <c r="AB2283" s="118" t="str">
        <f t="shared" si="1673"/>
        <v/>
      </c>
      <c r="AC2283" s="712" t="str">
        <f>IF(AE2283="T2G","no charge",IF(AND(OR(PlanterYesMe="No",PlanterYesMe="N",PlanterYesMe="me"),H2283=""),"",IF(H2283="credit","NO install",IF(AND(K2283="",AE2283="me"),"EACH row",IF(AND(K2283="images",AE2283="me"),"EACH row",IF(D2283="","",IF(H2283="credit","",IF(AE2283="free","re-planting",IF(AE2283="me","   not ELP, by",IF(AND(OR(PlanterYesMe="Yes",PlanterYesMe="Y"),G2283&gt;0),(VLOOKUP(A2283,'Discount Lookup'!J:K,2)*G2283*(1-PlanterDiscount)*(1+PlanterDifficultyPercentage)),IF(AE2283="ELP",(VLOOKUP(A2283,'Discount Lookup'!J:K,2)*G2283*(1-PlanterDiscount)*(1+PlanterDifficultyPercentage)),IF(AE2283="free","re-planting",IF(G2283=0,"",IF(PlanterYesMe="",IF(AE2283="me","   not ELP, by",IF(AE2283="",IF(G2283&gt;0,(VLOOKUP(A2283,'Discount Lookup'!J:K,2)*G2283*(1-PlanterDiscount)*(1+PlanterDifficultyPercentage)),""),"")),"   not ELP, by"))))))))))))))</f>
        <v/>
      </c>
      <c r="AD2283" s="712"/>
      <c r="AE2283" s="513" t="str">
        <f t="shared" si="1674"/>
        <v/>
      </c>
      <c r="AF2283" s="713" t="str">
        <f t="shared" si="1675"/>
        <v/>
      </c>
      <c r="AG2283" s="713"/>
      <c r="AH2283" s="713"/>
      <c r="AI2283" s="112">
        <f>IF(H2283="credit",0,IF(AE2283="free",0,IF(AE2283="me",0,IF(G2283&gt;0,(VLOOKUP(A2283,'Discount Lookup'!J:K,2)*G2283),0))))</f>
        <v>0</v>
      </c>
      <c r="AJ2283" s="107" t="str">
        <f t="shared" ca="1" si="1676"/>
        <v/>
      </c>
      <c r="AK2283" s="714" t="str">
        <f t="shared" si="1677"/>
        <v/>
      </c>
      <c r="AL2283" s="714"/>
      <c r="AM2283" s="114" t="str">
        <f t="shared" si="1678"/>
        <v/>
      </c>
      <c r="AN2283" s="115"/>
      <c r="AO2283" s="116"/>
      <c r="AP2283" s="116"/>
      <c r="AQ2283" s="116"/>
      <c r="AR2283" s="116"/>
      <c r="AS2283" s="116"/>
      <c r="AT2283" s="116"/>
      <c r="AU2283" s="116"/>
      <c r="AV2283" s="78"/>
      <c r="AW2283" s="102"/>
      <c r="AX2283" s="78"/>
      <c r="AY2283" s="78"/>
      <c r="AZ2283" s="78"/>
      <c r="BA2283" s="78"/>
      <c r="BB2283" s="78"/>
      <c r="BC2283" s="78"/>
      <c r="BD2283" s="78"/>
      <c r="BE2283" s="465"/>
      <c r="BF2283" s="165" t="str">
        <f t="shared" si="1679"/>
        <v>https://www.google.com/search?tbm=isch&amp;q=15%20G4</v>
      </c>
      <c r="BG2283" s="165" t="str">
        <f t="shared" si="1680"/>
        <v>I</v>
      </c>
      <c r="BH2283" s="65"/>
      <c r="BI2283" s="65"/>
      <c r="BJ2283" s="65"/>
      <c r="BK2283" s="65"/>
      <c r="BL2283" s="99"/>
      <c r="BM2283" s="99"/>
      <c r="BN2283" s="99"/>
    </row>
    <row r="2284" spans="1:66" s="51" customFormat="1" ht="15.75" x14ac:dyDescent="0.25">
      <c r="A2284" s="478">
        <v>25</v>
      </c>
      <c r="B2284" s="479" t="s">
        <v>291</v>
      </c>
      <c r="C2284" s="480" t="s">
        <v>3007</v>
      </c>
      <c r="D2284" s="481" t="s">
        <v>299</v>
      </c>
      <c r="E2284" s="482">
        <v>401.95</v>
      </c>
      <c r="F2284" s="483" t="s">
        <v>292</v>
      </c>
      <c r="G2284" s="484">
        <v>0</v>
      </c>
      <c r="H2284" s="688" t="str">
        <f t="shared" si="1698"/>
        <v/>
      </c>
      <c r="I2284" s="485">
        <f t="shared" si="1699"/>
        <v>0</v>
      </c>
      <c r="J2284" s="485">
        <f t="shared" si="1700"/>
        <v>0</v>
      </c>
      <c r="K2284" s="715">
        <f t="shared" ref="K2284" si="1706">I2284+J2284</f>
        <v>0</v>
      </c>
      <c r="L2284" s="715"/>
      <c r="M2284" s="689" t="str">
        <f t="shared" ca="1" si="1702"/>
        <v/>
      </c>
      <c r="N2284" s="690"/>
      <c r="O2284" s="486"/>
      <c r="P2284" s="486"/>
      <c r="Q2284" s="486"/>
      <c r="R2284" s="486"/>
      <c r="S2284" s="486"/>
      <c r="T2284" s="102">
        <f t="shared" si="1668"/>
        <v>0</v>
      </c>
      <c r="U2284" s="78">
        <f>IF(NOT(ISNUMBER(G2284)), "", VLOOKUP(A2284,'Discount Lookup'!D:E,2,FALSE)*G2284)</f>
        <v>0</v>
      </c>
      <c r="V2284" s="78">
        <f>IF(NOT(ISNUMBER(G2284)), "", VLOOKUP(A2284,'Discount Lookup'!G:H,2,FALSE)*G2284)</f>
        <v>0</v>
      </c>
      <c r="W2284" s="102">
        <f t="shared" si="1669"/>
        <v>0</v>
      </c>
      <c r="X2284" s="102">
        <f t="shared" si="1670"/>
        <v>0</v>
      </c>
      <c r="Y2284" s="120" t="b">
        <f t="shared" si="1671"/>
        <v>0</v>
      </c>
      <c r="Z2284" s="117">
        <f t="shared" si="1672"/>
        <v>0</v>
      </c>
      <c r="AA2284" s="118"/>
      <c r="AB2284" s="118" t="str">
        <f t="shared" si="1673"/>
        <v/>
      </c>
      <c r="AC2284" s="712" t="str">
        <f>IF(AE2284="T2G","no charge",IF(AND(OR(PlanterYesMe="No",PlanterYesMe="N",PlanterYesMe="me"),H2284=""),"",IF(H2284="credit","NO install",IF(AND(K2284="",AE2284="me"),"EACH row",IF(AND(K2284="images",AE2284="me"),"EACH row",IF(D2284="","",IF(H2284="credit","",IF(AE2284="free","re-planting",IF(AE2284="me","   not ELP, by",IF(AND(OR(PlanterYesMe="Yes",PlanterYesMe="Y"),G2284&gt;0),(VLOOKUP(A2284,'Discount Lookup'!J:K,2)*G2284*(1-PlanterDiscount)*(1+PlanterDifficultyPercentage)),IF(AE2284="ELP",(VLOOKUP(A2284,'Discount Lookup'!J:K,2)*G2284*(1-PlanterDiscount)*(1+PlanterDifficultyPercentage)),IF(AE2284="free","re-planting",IF(G2284=0,"",IF(PlanterYesMe="",IF(AE2284="me","   not ELP, by",IF(AE2284="",IF(G2284&gt;0,(VLOOKUP(A2284,'Discount Lookup'!J:K,2)*G2284*(1-PlanterDiscount)*(1+PlanterDifficultyPercentage)),""),"")),"   not ELP, by"))))))))))))))</f>
        <v/>
      </c>
      <c r="AD2284" s="712"/>
      <c r="AE2284" s="513" t="str">
        <f t="shared" si="1674"/>
        <v/>
      </c>
      <c r="AF2284" s="713" t="str">
        <f t="shared" si="1675"/>
        <v/>
      </c>
      <c r="AG2284" s="713"/>
      <c r="AH2284" s="713"/>
      <c r="AI2284" s="112">
        <f>IF(H2284="credit",0,IF(AE2284="free",0,IF(AE2284="me",0,IF(G2284&gt;0,(VLOOKUP(A2284,'Discount Lookup'!J:K,2)*G2284),0))))</f>
        <v>0</v>
      </c>
      <c r="AJ2284" s="107" t="str">
        <f t="shared" ca="1" si="1676"/>
        <v/>
      </c>
      <c r="AK2284" s="714" t="str">
        <f t="shared" si="1677"/>
        <v/>
      </c>
      <c r="AL2284" s="714"/>
      <c r="AM2284" s="114" t="str">
        <f t="shared" si="1678"/>
        <v/>
      </c>
      <c r="AN2284" s="115"/>
      <c r="AO2284" s="116"/>
      <c r="AP2284" s="116"/>
      <c r="AQ2284" s="116"/>
      <c r="AR2284" s="116"/>
      <c r="AS2284" s="116"/>
      <c r="AT2284" s="116"/>
      <c r="AU2284" s="116"/>
      <c r="AV2284" s="78"/>
      <c r="AW2284" s="102"/>
      <c r="AX2284" s="78"/>
      <c r="AY2284" s="78"/>
      <c r="AZ2284" s="78"/>
      <c r="BA2284" s="78"/>
      <c r="BB2284" s="78"/>
      <c r="BC2284" s="78"/>
      <c r="BD2284" s="78"/>
      <c r="BE2284" s="465"/>
      <c r="BF2284" s="165" t="str">
        <f t="shared" si="1679"/>
        <v>https://www.google.com/search?tbm=isch&amp;q=25%20G4</v>
      </c>
      <c r="BG2284" s="165" t="str">
        <f t="shared" si="1680"/>
        <v>I</v>
      </c>
      <c r="BH2284" s="65"/>
      <c r="BI2284" s="65"/>
      <c r="BJ2284" s="65"/>
      <c r="BK2284" s="65"/>
      <c r="BL2284" s="99"/>
      <c r="BM2284" s="99"/>
      <c r="BN2284" s="99"/>
    </row>
    <row r="2285" spans="1:66" s="51" customFormat="1" ht="15.75" x14ac:dyDescent="0.25">
      <c r="A2285" s="478">
        <v>15</v>
      </c>
      <c r="B2285" s="479" t="s">
        <v>291</v>
      </c>
      <c r="C2285" s="480" t="s">
        <v>5180</v>
      </c>
      <c r="D2285" s="481" t="s">
        <v>299</v>
      </c>
      <c r="E2285" s="482">
        <v>454.95</v>
      </c>
      <c r="F2285" s="483" t="s">
        <v>292</v>
      </c>
      <c r="G2285" s="484">
        <v>0</v>
      </c>
      <c r="H2285" s="688" t="str">
        <f t="shared" si="1698"/>
        <v/>
      </c>
      <c r="I2285" s="485">
        <f t="shared" si="1699"/>
        <v>0</v>
      </c>
      <c r="J2285" s="485">
        <f t="shared" si="1700"/>
        <v>0</v>
      </c>
      <c r="K2285" s="715">
        <f t="shared" ref="K2285" si="1707">I2285+J2285</f>
        <v>0</v>
      </c>
      <c r="L2285" s="715"/>
      <c r="M2285" s="689" t="str">
        <f t="shared" ca="1" si="1702"/>
        <v/>
      </c>
      <c r="N2285" s="690"/>
      <c r="O2285" s="486"/>
      <c r="P2285" s="486"/>
      <c r="Q2285" s="486"/>
      <c r="R2285" s="486"/>
      <c r="S2285" s="486"/>
      <c r="T2285" s="102">
        <f t="shared" si="1668"/>
        <v>0</v>
      </c>
      <c r="U2285" s="78">
        <f>IF(NOT(ISNUMBER(G2285)), "", VLOOKUP(A2285,'Discount Lookup'!D:E,2,FALSE)*G2285)</f>
        <v>0</v>
      </c>
      <c r="V2285" s="78">
        <f>IF(NOT(ISNUMBER(G2285)), "", VLOOKUP(A2285,'Discount Lookup'!G:H,2,FALSE)*G2285)</f>
        <v>0</v>
      </c>
      <c r="W2285" s="102">
        <f t="shared" si="1669"/>
        <v>0</v>
      </c>
      <c r="X2285" s="102">
        <f t="shared" si="1670"/>
        <v>0</v>
      </c>
      <c r="Y2285" s="120" t="b">
        <f t="shared" si="1671"/>
        <v>0</v>
      </c>
      <c r="Z2285" s="117">
        <f t="shared" si="1672"/>
        <v>0</v>
      </c>
      <c r="AA2285" s="118"/>
      <c r="AB2285" s="118" t="str">
        <f t="shared" si="1673"/>
        <v/>
      </c>
      <c r="AC2285" s="712" t="str">
        <f>IF(AE2285="T2G","no charge",IF(AND(OR(PlanterYesMe="No",PlanterYesMe="N",PlanterYesMe="me"),H2285=""),"",IF(H2285="credit","NO install",IF(AND(K2285="",AE2285="me"),"EACH row",IF(AND(K2285="images",AE2285="me"),"EACH row",IF(D2285="","",IF(H2285="credit","",IF(AE2285="free","re-planting",IF(AE2285="me","   not ELP, by",IF(AND(OR(PlanterYesMe="Yes",PlanterYesMe="Y"),G2285&gt;0),(VLOOKUP(A2285,'Discount Lookup'!J:K,2)*G2285*(1-PlanterDiscount)*(1+PlanterDifficultyPercentage)),IF(AE2285="ELP",(VLOOKUP(A2285,'Discount Lookup'!J:K,2)*G2285*(1-PlanterDiscount)*(1+PlanterDifficultyPercentage)),IF(AE2285="free","re-planting",IF(G2285=0,"",IF(PlanterYesMe="",IF(AE2285="me","   not ELP, by",IF(AE2285="",IF(G2285&gt;0,(VLOOKUP(A2285,'Discount Lookup'!J:K,2)*G2285*(1-PlanterDiscount)*(1+PlanterDifficultyPercentage)),""),"")),"   not ELP, by"))))))))))))))</f>
        <v/>
      </c>
      <c r="AD2285" s="712"/>
      <c r="AE2285" s="513" t="str">
        <f t="shared" si="1674"/>
        <v/>
      </c>
      <c r="AF2285" s="713" t="str">
        <f t="shared" si="1675"/>
        <v/>
      </c>
      <c r="AG2285" s="713"/>
      <c r="AH2285" s="713"/>
      <c r="AI2285" s="112">
        <f>IF(H2285="credit",0,IF(AE2285="free",0,IF(AE2285="me",0,IF(G2285&gt;0,(VLOOKUP(A2285,'Discount Lookup'!J:K,2)*G2285),0))))</f>
        <v>0</v>
      </c>
      <c r="AJ2285" s="107" t="str">
        <f t="shared" ca="1" si="1676"/>
        <v/>
      </c>
      <c r="AK2285" s="714" t="str">
        <f t="shared" si="1677"/>
        <v/>
      </c>
      <c r="AL2285" s="714"/>
      <c r="AM2285" s="114" t="str">
        <f t="shared" si="1678"/>
        <v/>
      </c>
      <c r="AN2285" s="115"/>
      <c r="AO2285" s="116"/>
      <c r="AP2285" s="116"/>
      <c r="AQ2285" s="116"/>
      <c r="AR2285" s="116"/>
      <c r="AS2285" s="116"/>
      <c r="AT2285" s="116"/>
      <c r="AU2285" s="116"/>
      <c r="AV2285" s="78"/>
      <c r="AW2285" s="102"/>
      <c r="AX2285" s="78"/>
      <c r="AY2285" s="78"/>
      <c r="AZ2285" s="78"/>
      <c r="BA2285" s="78"/>
      <c r="BB2285" s="78"/>
      <c r="BC2285" s="78"/>
      <c r="BD2285" s="78"/>
      <c r="BE2285" s="465"/>
      <c r="BF2285" s="165" t="str">
        <f t="shared" si="1679"/>
        <v>https://www.google.com/search?tbm=isch&amp;q=15%20G4</v>
      </c>
      <c r="BG2285" s="165" t="str">
        <f t="shared" si="1680"/>
        <v>I</v>
      </c>
      <c r="BH2285" s="65"/>
      <c r="BI2285" s="65"/>
      <c r="BJ2285" s="65"/>
      <c r="BK2285" s="65"/>
      <c r="BL2285" s="99"/>
      <c r="BM2285" s="99"/>
      <c r="BN2285" s="99"/>
    </row>
    <row r="2286" spans="1:66" s="51" customFormat="1" ht="15.75" x14ac:dyDescent="0.25">
      <c r="A2286" s="478">
        <v>25</v>
      </c>
      <c r="B2286" s="479" t="s">
        <v>291</v>
      </c>
      <c r="C2286" s="480" t="s">
        <v>3008</v>
      </c>
      <c r="D2286" s="481" t="s">
        <v>299</v>
      </c>
      <c r="E2286" s="482">
        <v>672.95</v>
      </c>
      <c r="F2286" s="483" t="s">
        <v>292</v>
      </c>
      <c r="G2286" s="484">
        <v>0</v>
      </c>
      <c r="H2286" s="688" t="str">
        <f t="shared" si="1698"/>
        <v/>
      </c>
      <c r="I2286" s="485">
        <f t="shared" si="1699"/>
        <v>0</v>
      </c>
      <c r="J2286" s="485">
        <f t="shared" si="1700"/>
        <v>0</v>
      </c>
      <c r="K2286" s="715">
        <f t="shared" ref="K2286" si="1708">I2286+J2286</f>
        <v>0</v>
      </c>
      <c r="L2286" s="715"/>
      <c r="M2286" s="689" t="str">
        <f t="shared" ca="1" si="1702"/>
        <v/>
      </c>
      <c r="N2286" s="690"/>
      <c r="O2286" s="486"/>
      <c r="P2286" s="486"/>
      <c r="Q2286" s="486"/>
      <c r="R2286" s="486"/>
      <c r="S2286" s="486"/>
      <c r="T2286" s="102">
        <f t="shared" si="1668"/>
        <v>0</v>
      </c>
      <c r="U2286" s="78">
        <f>IF(NOT(ISNUMBER(G2286)), "", VLOOKUP(A2286,'Discount Lookup'!D:E,2,FALSE)*G2286)</f>
        <v>0</v>
      </c>
      <c r="V2286" s="78">
        <f>IF(NOT(ISNUMBER(G2286)), "", VLOOKUP(A2286,'Discount Lookup'!G:H,2,FALSE)*G2286)</f>
        <v>0</v>
      </c>
      <c r="W2286" s="102">
        <f t="shared" si="1669"/>
        <v>0</v>
      </c>
      <c r="X2286" s="102">
        <f t="shared" si="1670"/>
        <v>0</v>
      </c>
      <c r="Y2286" s="120" t="b">
        <f t="shared" si="1671"/>
        <v>0</v>
      </c>
      <c r="Z2286" s="117">
        <f t="shared" si="1672"/>
        <v>0</v>
      </c>
      <c r="AA2286" s="118"/>
      <c r="AB2286" s="118" t="str">
        <f t="shared" si="1673"/>
        <v/>
      </c>
      <c r="AC2286" s="712" t="str">
        <f>IF(AE2286="T2G","no charge",IF(AND(OR(PlanterYesMe="No",PlanterYesMe="N",PlanterYesMe="me"),H2286=""),"",IF(H2286="credit","NO install",IF(AND(K2286="",AE2286="me"),"EACH row",IF(AND(K2286="images",AE2286="me"),"EACH row",IF(D2286="","",IF(H2286="credit","",IF(AE2286="free","re-planting",IF(AE2286="me","   not ELP, by",IF(AND(OR(PlanterYesMe="Yes",PlanterYesMe="Y"),G2286&gt;0),(VLOOKUP(A2286,'Discount Lookup'!J:K,2)*G2286*(1-PlanterDiscount)*(1+PlanterDifficultyPercentage)),IF(AE2286="ELP",(VLOOKUP(A2286,'Discount Lookup'!J:K,2)*G2286*(1-PlanterDiscount)*(1+PlanterDifficultyPercentage)),IF(AE2286="free","re-planting",IF(G2286=0,"",IF(PlanterYesMe="",IF(AE2286="me","   not ELP, by",IF(AE2286="",IF(G2286&gt;0,(VLOOKUP(A2286,'Discount Lookup'!J:K,2)*G2286*(1-PlanterDiscount)*(1+PlanterDifficultyPercentage)),""),"")),"   not ELP, by"))))))))))))))</f>
        <v/>
      </c>
      <c r="AD2286" s="712"/>
      <c r="AE2286" s="513" t="str">
        <f t="shared" si="1674"/>
        <v/>
      </c>
      <c r="AF2286" s="713" t="str">
        <f t="shared" si="1675"/>
        <v/>
      </c>
      <c r="AG2286" s="713"/>
      <c r="AH2286" s="713"/>
      <c r="AI2286" s="112">
        <f>IF(H2286="credit",0,IF(AE2286="free",0,IF(AE2286="me",0,IF(G2286&gt;0,(VLOOKUP(A2286,'Discount Lookup'!J:K,2)*G2286),0))))</f>
        <v>0</v>
      </c>
      <c r="AJ2286" s="107" t="str">
        <f t="shared" ca="1" si="1676"/>
        <v/>
      </c>
      <c r="AK2286" s="714" t="str">
        <f t="shared" si="1677"/>
        <v/>
      </c>
      <c r="AL2286" s="714"/>
      <c r="AM2286" s="114" t="str">
        <f t="shared" si="1678"/>
        <v/>
      </c>
      <c r="AN2286" s="115"/>
      <c r="AO2286" s="116"/>
      <c r="AP2286" s="116"/>
      <c r="AQ2286" s="116"/>
      <c r="AR2286" s="116"/>
      <c r="AS2286" s="116"/>
      <c r="AT2286" s="116"/>
      <c r="AU2286" s="116"/>
      <c r="AV2286" s="78"/>
      <c r="AW2286" s="102"/>
      <c r="AX2286" s="78"/>
      <c r="AY2286" s="78"/>
      <c r="AZ2286" s="78"/>
      <c r="BA2286" s="78"/>
      <c r="BB2286" s="78"/>
      <c r="BC2286" s="78"/>
      <c r="BD2286" s="78"/>
      <c r="BE2286" s="465"/>
      <c r="BF2286" s="165" t="str">
        <f t="shared" si="1679"/>
        <v>https://www.google.com/search?tbm=isch&amp;q=25%20G4</v>
      </c>
      <c r="BG2286" s="165" t="str">
        <f t="shared" si="1680"/>
        <v>I</v>
      </c>
      <c r="BH2286" s="65"/>
      <c r="BI2286" s="65"/>
      <c r="BJ2286" s="65"/>
      <c r="BK2286" s="65"/>
      <c r="BL2286" s="99"/>
      <c r="BM2286" s="99"/>
      <c r="BN2286" s="99"/>
    </row>
    <row r="2287" spans="1:66" s="51" customFormat="1" ht="15.75" x14ac:dyDescent="0.25">
      <c r="A2287" s="478">
        <v>65</v>
      </c>
      <c r="B2287" s="479" t="s">
        <v>291</v>
      </c>
      <c r="C2287" s="480" t="s">
        <v>3009</v>
      </c>
      <c r="D2287" s="481" t="s">
        <v>299</v>
      </c>
      <c r="E2287" s="482">
        <v>994.95</v>
      </c>
      <c r="F2287" s="483" t="s">
        <v>292</v>
      </c>
      <c r="G2287" s="484">
        <v>0</v>
      </c>
      <c r="H2287" s="688" t="str">
        <f t="shared" si="1698"/>
        <v/>
      </c>
      <c r="I2287" s="485">
        <f t="shared" si="1699"/>
        <v>0</v>
      </c>
      <c r="J2287" s="485">
        <f t="shared" si="1700"/>
        <v>0</v>
      </c>
      <c r="K2287" s="715">
        <f t="shared" ref="K2287" si="1709">I2287+J2287</f>
        <v>0</v>
      </c>
      <c r="L2287" s="715"/>
      <c r="M2287" s="689" t="str">
        <f t="shared" ca="1" si="1702"/>
        <v/>
      </c>
      <c r="N2287" s="690"/>
      <c r="O2287" s="486"/>
      <c r="P2287" s="486"/>
      <c r="Q2287" s="486"/>
      <c r="R2287" s="486"/>
      <c r="S2287" s="486"/>
      <c r="T2287" s="102">
        <f t="shared" si="1668"/>
        <v>0</v>
      </c>
      <c r="U2287" s="78">
        <f>IF(NOT(ISNUMBER(G2287)), "", VLOOKUP(A2287,'Discount Lookup'!D:E,2,FALSE)*G2287)</f>
        <v>0</v>
      </c>
      <c r="V2287" s="78">
        <f>IF(NOT(ISNUMBER(G2287)), "", VLOOKUP(A2287,'Discount Lookup'!G:H,2,FALSE)*G2287)</f>
        <v>0</v>
      </c>
      <c r="W2287" s="102">
        <f t="shared" si="1669"/>
        <v>0</v>
      </c>
      <c r="X2287" s="102">
        <f t="shared" si="1670"/>
        <v>0</v>
      </c>
      <c r="Y2287" s="120" t="b">
        <f t="shared" si="1671"/>
        <v>0</v>
      </c>
      <c r="Z2287" s="117">
        <f t="shared" si="1672"/>
        <v>0</v>
      </c>
      <c r="AA2287" s="118"/>
      <c r="AB2287" s="118" t="str">
        <f t="shared" si="1673"/>
        <v/>
      </c>
      <c r="AC2287" s="712" t="str">
        <f>IF(AE2287="T2G","no charge",IF(AND(OR(PlanterYesMe="No",PlanterYesMe="N",PlanterYesMe="me"),H2287=""),"",IF(H2287="credit","NO install",IF(AND(K2287="",AE2287="me"),"EACH row",IF(AND(K2287="images",AE2287="me"),"EACH row",IF(D2287="","",IF(H2287="credit","",IF(AE2287="free","re-planting",IF(AE2287="me","   not ELP, by",IF(AND(OR(PlanterYesMe="Yes",PlanterYesMe="Y"),G2287&gt;0),(VLOOKUP(A2287,'Discount Lookup'!J:K,2)*G2287*(1-PlanterDiscount)*(1+PlanterDifficultyPercentage)),IF(AE2287="ELP",(VLOOKUP(A2287,'Discount Lookup'!J:K,2)*G2287*(1-PlanterDiscount)*(1+PlanterDifficultyPercentage)),IF(AE2287="free","re-planting",IF(G2287=0,"",IF(PlanterYesMe="",IF(AE2287="me","   not ELP, by",IF(AE2287="",IF(G2287&gt;0,(VLOOKUP(A2287,'Discount Lookup'!J:K,2)*G2287*(1-PlanterDiscount)*(1+PlanterDifficultyPercentage)),""),"")),"   not ELP, by"))))))))))))))</f>
        <v/>
      </c>
      <c r="AD2287" s="712"/>
      <c r="AE2287" s="513" t="str">
        <f t="shared" si="1674"/>
        <v/>
      </c>
      <c r="AF2287" s="713" t="str">
        <f t="shared" si="1675"/>
        <v/>
      </c>
      <c r="AG2287" s="713"/>
      <c r="AH2287" s="713"/>
      <c r="AI2287" s="112">
        <f>IF(H2287="credit",0,IF(AE2287="free",0,IF(AE2287="me",0,IF(G2287&gt;0,(VLOOKUP(A2287,'Discount Lookup'!J:K,2)*G2287),0))))</f>
        <v>0</v>
      </c>
      <c r="AJ2287" s="107" t="str">
        <f t="shared" ca="1" si="1676"/>
        <v/>
      </c>
      <c r="AK2287" s="714" t="str">
        <f t="shared" si="1677"/>
        <v/>
      </c>
      <c r="AL2287" s="714"/>
      <c r="AM2287" s="114" t="str">
        <f t="shared" si="1678"/>
        <v/>
      </c>
      <c r="AN2287" s="115"/>
      <c r="AO2287" s="116"/>
      <c r="AP2287" s="116"/>
      <c r="AQ2287" s="116"/>
      <c r="AR2287" s="116"/>
      <c r="AS2287" s="116"/>
      <c r="AT2287" s="116"/>
      <c r="AU2287" s="116"/>
      <c r="AV2287" s="78"/>
      <c r="AW2287" s="102"/>
      <c r="AX2287" s="78"/>
      <c r="AY2287" s="78"/>
      <c r="AZ2287" s="78"/>
      <c r="BA2287" s="78"/>
      <c r="BB2287" s="78"/>
      <c r="BC2287" s="78"/>
      <c r="BD2287" s="78"/>
      <c r="BE2287" s="465"/>
      <c r="BF2287" s="165" t="str">
        <f t="shared" si="1679"/>
        <v>https://www.google.com/search?tbm=isch&amp;q=65%20G4</v>
      </c>
      <c r="BG2287" s="165" t="str">
        <f t="shared" si="1680"/>
        <v>I</v>
      </c>
      <c r="BH2287" s="65"/>
      <c r="BI2287" s="65"/>
      <c r="BJ2287" s="65"/>
      <c r="BK2287" s="65"/>
      <c r="BL2287" s="99"/>
      <c r="BM2287" s="99"/>
      <c r="BN2287" s="99"/>
    </row>
    <row r="2288" spans="1:66" s="51" customFormat="1" ht="16.5" thickBot="1" x14ac:dyDescent="0.3">
      <c r="A2288" s="508" t="s">
        <v>5181</v>
      </c>
      <c r="B2288" s="487"/>
      <c r="C2288" s="707"/>
      <c r="D2288" s="487"/>
      <c r="E2288" s="487"/>
      <c r="F2288" s="488"/>
      <c r="G2288" s="489"/>
      <c r="H2288" s="487"/>
      <c r="I2288" s="490"/>
      <c r="J2288" s="490"/>
      <c r="K2288" s="491"/>
      <c r="L2288" s="547"/>
      <c r="M2288" s="528"/>
      <c r="N2288" s="492"/>
      <c r="O2288" s="493"/>
      <c r="P2288" s="494"/>
      <c r="Q2288" s="492"/>
      <c r="R2288" s="492"/>
      <c r="S2288" s="699" t="s">
        <v>5259</v>
      </c>
      <c r="T2288" s="102">
        <f t="shared" si="1668"/>
        <v>0</v>
      </c>
      <c r="U2288" s="78" t="str">
        <f>IF(NOT(ISNUMBER(G2288)), "", VLOOKUP(A2288,'Discount Lookup'!D:E,2,FALSE)*G2288)</f>
        <v/>
      </c>
      <c r="V2288" s="78" t="str">
        <f>IF(NOT(ISNUMBER(G2288)), "", VLOOKUP(A2288,'Discount Lookup'!G:H,2,FALSE)*G2288)</f>
        <v/>
      </c>
      <c r="W2288" s="102">
        <f t="shared" si="1669"/>
        <v>0</v>
      </c>
      <c r="X2288" s="102">
        <f t="shared" si="1670"/>
        <v>0</v>
      </c>
      <c r="Y2288" s="120" t="b">
        <f t="shared" si="1671"/>
        <v>0</v>
      </c>
      <c r="Z2288" s="117">
        <f t="shared" si="1672"/>
        <v>0</v>
      </c>
      <c r="AA2288" s="118"/>
      <c r="AB2288" s="118" t="str">
        <f t="shared" si="1673"/>
        <v/>
      </c>
      <c r="AC2288" s="712" t="str">
        <f>IF(AE2288="T2G","no charge",IF(AND(OR(PlanterYesMe="No",PlanterYesMe="N",PlanterYesMe="me"),H2288=""),"",IF(H2288="credit","NO install",IF(AND(K2288="",AE2288="me"),"EACH row",IF(AND(K2288="images",AE2288="me"),"EACH row",IF(D2288="","",IF(H2288="credit","",IF(AE2288="free","re-planting",IF(AE2288="me","   not ELP, by",IF(AND(OR(PlanterYesMe="Yes",PlanterYesMe="Y"),G2288&gt;0),(VLOOKUP(A2288,'Discount Lookup'!J:K,2)*G2288*(1-PlanterDiscount)*(1+PlanterDifficultyPercentage)),IF(AE2288="ELP",(VLOOKUP(A2288,'Discount Lookup'!J:K,2)*G2288*(1-PlanterDiscount)*(1+PlanterDifficultyPercentage)),IF(AE2288="free","re-planting",IF(G2288=0,"",IF(PlanterYesMe="",IF(AE2288="me","   not ELP, by",IF(AE2288="",IF(G2288&gt;0,(VLOOKUP(A2288,'Discount Lookup'!J:K,2)*G2288*(1-PlanterDiscount)*(1+PlanterDifficultyPercentage)),""),"")),"   not ELP, by"))))))))))))))</f>
        <v/>
      </c>
      <c r="AD2288" s="712"/>
      <c r="AE2288" s="513" t="str">
        <f t="shared" si="1674"/>
        <v/>
      </c>
      <c r="AF2288" s="713" t="str">
        <f t="shared" si="1675"/>
        <v/>
      </c>
      <c r="AG2288" s="713"/>
      <c r="AH2288" s="713"/>
      <c r="AI2288" s="112">
        <f>IF(H2288="credit",0,IF(AE2288="free",0,IF(AE2288="me",0,IF(G2288&gt;0,(VLOOKUP(A2288,'Discount Lookup'!J:K,2)*G2288),0))))</f>
        <v>0</v>
      </c>
      <c r="AJ2288" s="107" t="str">
        <f t="shared" ca="1" si="1676"/>
        <v/>
      </c>
      <c r="AK2288" s="714" t="str">
        <f t="shared" si="1677"/>
        <v/>
      </c>
      <c r="AL2288" s="714"/>
      <c r="AM2288" s="114" t="str">
        <f t="shared" si="1678"/>
        <v/>
      </c>
      <c r="AN2288" s="115"/>
      <c r="AO2288" s="116"/>
      <c r="AP2288" s="116"/>
      <c r="AQ2288" s="116"/>
      <c r="AR2288" s="116"/>
      <c r="AS2288" s="116"/>
      <c r="AT2288" s="116"/>
      <c r="AU2288" s="116"/>
      <c r="AV2288" s="78"/>
      <c r="AW2288" s="102"/>
      <c r="AX2288" s="78"/>
      <c r="AY2288" s="78"/>
      <c r="AZ2288" s="78"/>
      <c r="BA2288" s="78"/>
      <c r="BB2288" s="78"/>
      <c r="BC2288" s="78"/>
      <c r="BD2288" s="78"/>
      <c r="BE2288" s="465"/>
      <c r="BF2288" s="165" t="str">
        <f t="shared" si="1679"/>
        <v>https://www.google.com/search?tbm=isch&amp;q=Emerald%20Colonnade%20is%20dense%20and%20bright%2C%20with%20no%20berries.%20All%20male%2C%20they%20can%20pollinate%20female%20Hollies.%20Minimal%20shearing%20needed%20</v>
      </c>
      <c r="BG2288" s="165" t="str">
        <f t="shared" si="1680"/>
        <v>E</v>
      </c>
      <c r="BH2288" s="65"/>
      <c r="BI2288" s="65"/>
      <c r="BJ2288" s="65"/>
      <c r="BK2288" s="65"/>
      <c r="BL2288" s="99"/>
      <c r="BM2288" s="99"/>
      <c r="BN2288" s="99"/>
    </row>
    <row r="2289" spans="1:66" s="51" customFormat="1" ht="18" x14ac:dyDescent="0.25">
      <c r="A2289" s="507" t="s">
        <v>5182</v>
      </c>
      <c r="B2289" s="470"/>
      <c r="C2289" s="706"/>
      <c r="D2289" s="471" t="s">
        <v>5716</v>
      </c>
      <c r="E2289" s="472"/>
      <c r="F2289" s="472"/>
      <c r="G2289" s="472"/>
      <c r="H2289" s="622" t="s">
        <v>330</v>
      </c>
      <c r="I2289" s="473" t="s">
        <v>1133</v>
      </c>
      <c r="J2289" s="472"/>
      <c r="K2289" s="472"/>
      <c r="L2289" s="561"/>
      <c r="M2289" s="698" t="s">
        <v>5240</v>
      </c>
      <c r="N2289" s="692" t="str">
        <f>IF(AND(ISTEXT($A2289), ISERROR($A2289+0)), HYPERLINK($BF2289, "Images"), "")</f>
        <v>Images</v>
      </c>
      <c r="O2289" s="694" t="s">
        <v>5264</v>
      </c>
      <c r="P2289" s="475"/>
      <c r="Q2289" s="476"/>
      <c r="R2289" s="476"/>
      <c r="S2289" s="477"/>
      <c r="T2289" s="102">
        <f t="shared" si="1668"/>
        <v>0</v>
      </c>
      <c r="U2289" s="78" t="str">
        <f>IF(NOT(ISNUMBER(G2289)), "", VLOOKUP(A2289,'Discount Lookup'!D:E,2,FALSE)*G2289)</f>
        <v/>
      </c>
      <c r="V2289" s="78" t="str">
        <f>IF(NOT(ISNUMBER(G2289)), "", VLOOKUP(A2289,'Discount Lookup'!G:H,2,FALSE)*G2289)</f>
        <v/>
      </c>
      <c r="W2289" s="102">
        <f t="shared" si="1669"/>
        <v>0</v>
      </c>
      <c r="X2289" s="102" t="str">
        <f t="shared" si="1670"/>
        <v>Glossy Green foliage</v>
      </c>
      <c r="Y2289" s="120" t="b">
        <f t="shared" si="1671"/>
        <v>0</v>
      </c>
      <c r="Z2289" s="117">
        <f t="shared" si="1672"/>
        <v>0</v>
      </c>
      <c r="AA2289" s="118"/>
      <c r="AB2289" s="118" t="str">
        <f t="shared" si="1673"/>
        <v/>
      </c>
      <c r="AC2289" s="712" t="str">
        <f>IF(AE2289="T2G","no charge",IF(AND(OR(PlanterYesMe="No",PlanterYesMe="N",PlanterYesMe="me"),H2289=""),"",IF(H2289="credit","NO install",IF(AND(K2289="",AE2289="me"),"EACH row",IF(AND(K2289="images",AE2289="me"),"EACH row",IF(D2289="","",IF(H2289="credit","",IF(AE2289="free","re-planting",IF(AE2289="me","   not ELP, by",IF(AND(OR(PlanterYesMe="Yes",PlanterYesMe="Y"),G2289&gt;0),(VLOOKUP(A2289,'Discount Lookup'!J:K,2)*G2289*(1-PlanterDiscount)*(1+PlanterDifficultyPercentage)),IF(AE2289="ELP",(VLOOKUP(A2289,'Discount Lookup'!J:K,2)*G2289*(1-PlanterDiscount)*(1+PlanterDifficultyPercentage)),IF(AE2289="free","re-planting",IF(G2289=0,"",IF(PlanterYesMe="",IF(AE2289="me","   not ELP, by",IF(AE2289="",IF(G2289&gt;0,(VLOOKUP(A2289,'Discount Lookup'!J:K,2)*G2289*(1-PlanterDiscount)*(1+PlanterDifficultyPercentage)),""),"")),"   not ELP, by"))))))))))))))</f>
        <v/>
      </c>
      <c r="AD2289" s="712"/>
      <c r="AE2289" s="513" t="str">
        <f t="shared" si="1674"/>
        <v/>
      </c>
      <c r="AF2289" s="713" t="str">
        <f t="shared" si="1675"/>
        <v/>
      </c>
      <c r="AG2289" s="713"/>
      <c r="AH2289" s="713"/>
      <c r="AI2289" s="112">
        <f>IF(H2289="credit",0,IF(AE2289="free",0,IF(AE2289="me",0,IF(G2289&gt;0,(VLOOKUP(A2289,'Discount Lookup'!J:K,2)*G2289),0))))</f>
        <v>0</v>
      </c>
      <c r="AJ2289" s="107" t="str">
        <f t="shared" ca="1" si="1676"/>
        <v/>
      </c>
      <c r="AK2289" s="714" t="str">
        <f t="shared" si="1677"/>
        <v/>
      </c>
      <c r="AL2289" s="714"/>
      <c r="AM2289" s="114" t="str">
        <f t="shared" si="1678"/>
        <v/>
      </c>
      <c r="AN2289" s="115"/>
      <c r="AO2289" s="116"/>
      <c r="AP2289" s="116"/>
      <c r="AQ2289" s="116"/>
      <c r="AR2289" s="116"/>
      <c r="AS2289" s="116"/>
      <c r="AT2289" s="116"/>
      <c r="AU2289" s="116"/>
      <c r="AV2289" s="78"/>
      <c r="AW2289" s="102"/>
      <c r="AX2289" s="78"/>
      <c r="AY2289" s="78"/>
      <c r="AZ2289" s="78"/>
      <c r="BA2289" s="78"/>
      <c r="BB2289" s="78"/>
      <c r="BC2289" s="78"/>
      <c r="BD2289" s="78"/>
      <c r="BE2289" s="465"/>
      <c r="BF2289" s="165" t="str">
        <f t="shared" si="1679"/>
        <v>https://www.google.com/search?tbm=isch&amp;q=Ilex%20%27RutHol5%27%20PP%2335169%20Ruby%20Colonnade%C2%AE%20Holly</v>
      </c>
      <c r="BG2289" s="165" t="str">
        <f t="shared" si="1680"/>
        <v>I</v>
      </c>
      <c r="BH2289" s="65"/>
      <c r="BI2289" s="65"/>
      <c r="BJ2289" s="65"/>
      <c r="BK2289" s="65"/>
      <c r="BL2289" s="99"/>
      <c r="BM2289" s="99"/>
      <c r="BN2289" s="99"/>
    </row>
    <row r="2290" spans="1:66" s="51" customFormat="1" ht="15.75" x14ac:dyDescent="0.25">
      <c r="A2290" s="478">
        <v>15</v>
      </c>
      <c r="B2290" s="479" t="s">
        <v>291</v>
      </c>
      <c r="C2290" s="480" t="s">
        <v>5183</v>
      </c>
      <c r="D2290" s="481" t="s">
        <v>299</v>
      </c>
      <c r="E2290" s="482">
        <v>210.95</v>
      </c>
      <c r="F2290" s="483" t="s">
        <v>292</v>
      </c>
      <c r="G2290" s="484">
        <v>0</v>
      </c>
      <c r="H2290" s="688" t="str">
        <f>IF(G2290=0,"",IF(F2290="Buy",IF(G2290=1,"plant","plants"),IF(F2290&gt;0.01,"warranty","Error")))</f>
        <v/>
      </c>
      <c r="I2290" s="485">
        <f>IF(H2290="free",0,IF(H2290="credit",((E2290*(F2290))*G2290*-1),IF(F2290="Buy",(E2290*G2290),((E2290*(1-F2290))*G2290))))</f>
        <v>0</v>
      </c>
      <c r="J2290" s="485">
        <f>IF(H2290="warranty",0,(I2290*(_xlfn.SINGLE(SalesTaxPercentage))))</f>
        <v>0</v>
      </c>
      <c r="K2290" s="715">
        <f t="shared" ref="K2290" si="1710">I2290+J2290</f>
        <v>0</v>
      </c>
      <c r="L2290" s="715"/>
      <c r="M2290" s="689" t="str">
        <f ca="1">IF(AND(G2290&gt;0,E2290=0),"WARNING - no PRICE inserted",IF(H2290="free","FREE ~ no charge this plant",IF(H2290="credit",CONCATENATE("-$",ROUND(K2290*(1-_xlfn.SINGLE(T2GDiscount))*-1,2)," CREDIT after discount"),IF(_xlfn.SINGLE(T2GDiscount)=0,"",IF(G2290=0,"",IF(F2290="Buy",CONCATENATE("$",ROUND(K2290*(1-_xlfn.SINGLE(T2GDiscount)),2)," with ",(_xlfn.SINGLE(T2GDiscount)*100),"% discount"),CONCATENATE("$",ROUND(K2290*(1-_xlfn.SINGLE(T2GDiscount)),2)," with ",((_xlfn.SINGLE(T2GDiscount)*100+F2290*100)-(_xlfn.SINGLE(T2GDiscount)*100*F2290)),IF(F2290&gt;0,"% discounts",IF(_xlfn.SINGLE(NoWarrantyDiscount)&gt;0,"% discounts","% discount")))))))))</f>
        <v/>
      </c>
      <c r="N2290" s="690"/>
      <c r="O2290" s="486"/>
      <c r="P2290" s="486"/>
      <c r="Q2290" s="486"/>
      <c r="R2290" s="486"/>
      <c r="S2290" s="486"/>
      <c r="T2290" s="102">
        <f t="shared" si="1668"/>
        <v>0</v>
      </c>
      <c r="U2290" s="78">
        <f>IF(NOT(ISNUMBER(G2290)), "", VLOOKUP(A2290,'Discount Lookup'!D:E,2,FALSE)*G2290)</f>
        <v>0</v>
      </c>
      <c r="V2290" s="78">
        <f>IF(NOT(ISNUMBER(G2290)), "", VLOOKUP(A2290,'Discount Lookup'!G:H,2,FALSE)*G2290)</f>
        <v>0</v>
      </c>
      <c r="W2290" s="102">
        <f t="shared" si="1669"/>
        <v>0</v>
      </c>
      <c r="X2290" s="102">
        <f t="shared" si="1670"/>
        <v>0</v>
      </c>
      <c r="Y2290" s="120" t="b">
        <f t="shared" si="1671"/>
        <v>0</v>
      </c>
      <c r="Z2290" s="117">
        <f t="shared" si="1672"/>
        <v>0</v>
      </c>
      <c r="AA2290" s="118"/>
      <c r="AB2290" s="118" t="str">
        <f t="shared" si="1673"/>
        <v/>
      </c>
      <c r="AC2290" s="712" t="str">
        <f>IF(AE2290="T2G","no charge",IF(AND(OR(PlanterYesMe="No",PlanterYesMe="N",PlanterYesMe="me"),H2290=""),"",IF(H2290="credit","NO install",IF(AND(K2290="",AE2290="me"),"EACH row",IF(AND(K2290="images",AE2290="me"),"EACH row",IF(D2290="","",IF(H2290="credit","",IF(AE2290="free","re-planting",IF(AE2290="me","   not ELP, by",IF(AND(OR(PlanterYesMe="Yes",PlanterYesMe="Y"),G2290&gt;0),(VLOOKUP(A2290,'Discount Lookup'!J:K,2)*G2290*(1-PlanterDiscount)*(1+PlanterDifficultyPercentage)),IF(AE2290="ELP",(VLOOKUP(A2290,'Discount Lookup'!J:K,2)*G2290*(1-PlanterDiscount)*(1+PlanterDifficultyPercentage)),IF(AE2290="free","re-planting",IF(G2290=0,"",IF(PlanterYesMe="",IF(AE2290="me","   not ELP, by",IF(AE2290="",IF(G2290&gt;0,(VLOOKUP(A2290,'Discount Lookup'!J:K,2)*G2290*(1-PlanterDiscount)*(1+PlanterDifficultyPercentage)),""),"")),"   not ELP, by"))))))))))))))</f>
        <v/>
      </c>
      <c r="AD2290" s="712"/>
      <c r="AE2290" s="513" t="str">
        <f t="shared" si="1674"/>
        <v/>
      </c>
      <c r="AF2290" s="713" t="str">
        <f t="shared" si="1675"/>
        <v/>
      </c>
      <c r="AG2290" s="713"/>
      <c r="AH2290" s="713"/>
      <c r="AI2290" s="112">
        <f>IF(H2290="credit",0,IF(AE2290="free",0,IF(AE2290="me",0,IF(G2290&gt;0,(VLOOKUP(A2290,'Discount Lookup'!J:K,2)*G2290),0))))</f>
        <v>0</v>
      </c>
      <c r="AJ2290" s="107" t="str">
        <f t="shared" ca="1" si="1676"/>
        <v/>
      </c>
      <c r="AK2290" s="714" t="str">
        <f t="shared" si="1677"/>
        <v/>
      </c>
      <c r="AL2290" s="714"/>
      <c r="AM2290" s="114" t="str">
        <f t="shared" si="1678"/>
        <v/>
      </c>
      <c r="AN2290" s="115"/>
      <c r="AO2290" s="116"/>
      <c r="AP2290" s="116"/>
      <c r="AQ2290" s="116"/>
      <c r="AR2290" s="116"/>
      <c r="AS2290" s="116"/>
      <c r="AT2290" s="116"/>
      <c r="AU2290" s="116"/>
      <c r="AV2290" s="78"/>
      <c r="AW2290" s="102"/>
      <c r="AX2290" s="78"/>
      <c r="AY2290" s="78"/>
      <c r="AZ2290" s="78"/>
      <c r="BA2290" s="78"/>
      <c r="BB2290" s="78"/>
      <c r="BC2290" s="78"/>
      <c r="BD2290" s="78"/>
      <c r="BE2290" s="465"/>
      <c r="BF2290" s="165" t="str">
        <f t="shared" si="1679"/>
        <v>https://www.google.com/search?tbm=isch&amp;q=15%20G4</v>
      </c>
      <c r="BG2290" s="165" t="str">
        <f t="shared" si="1680"/>
        <v>I</v>
      </c>
      <c r="BH2290" s="65"/>
      <c r="BI2290" s="65"/>
      <c r="BJ2290" s="65"/>
      <c r="BK2290" s="65"/>
      <c r="BL2290" s="99"/>
      <c r="BM2290" s="99"/>
      <c r="BN2290" s="99"/>
    </row>
    <row r="2291" spans="1:66" s="51" customFormat="1" ht="16.5" thickBot="1" x14ac:dyDescent="0.3">
      <c r="A2291" s="508" t="s">
        <v>5184</v>
      </c>
      <c r="B2291" s="487"/>
      <c r="C2291" s="707"/>
      <c r="D2291" s="487"/>
      <c r="E2291" s="487"/>
      <c r="F2291" s="488"/>
      <c r="G2291" s="489"/>
      <c r="H2291" s="487"/>
      <c r="I2291" s="490"/>
      <c r="J2291" s="490"/>
      <c r="K2291" s="491"/>
      <c r="L2291" s="547"/>
      <c r="M2291" s="528"/>
      <c r="N2291" s="492"/>
      <c r="O2291" s="493"/>
      <c r="P2291" s="494"/>
      <c r="Q2291" s="492"/>
      <c r="R2291" s="492"/>
      <c r="S2291" s="699" t="s">
        <v>5259</v>
      </c>
      <c r="T2291" s="102">
        <f t="shared" si="1668"/>
        <v>0</v>
      </c>
      <c r="U2291" s="78" t="str">
        <f>IF(NOT(ISNUMBER(G2291)), "", VLOOKUP(A2291,'Discount Lookup'!D:E,2,FALSE)*G2291)</f>
        <v/>
      </c>
      <c r="V2291" s="78" t="str">
        <f>IF(NOT(ISNUMBER(G2291)), "", VLOOKUP(A2291,'Discount Lookup'!G:H,2,FALSE)*G2291)</f>
        <v/>
      </c>
      <c r="W2291" s="102">
        <f t="shared" si="1669"/>
        <v>0</v>
      </c>
      <c r="X2291" s="102">
        <f t="shared" si="1670"/>
        <v>0</v>
      </c>
      <c r="Y2291" s="120" t="b">
        <f t="shared" si="1671"/>
        <v>0</v>
      </c>
      <c r="Z2291" s="117">
        <f t="shared" si="1672"/>
        <v>0</v>
      </c>
      <c r="AA2291" s="118"/>
      <c r="AB2291" s="118" t="str">
        <f t="shared" si="1673"/>
        <v/>
      </c>
      <c r="AC2291" s="712" t="str">
        <f>IF(AE2291="T2G","no charge",IF(AND(OR(PlanterYesMe="No",PlanterYesMe="N",PlanterYesMe="me"),H2291=""),"",IF(H2291="credit","NO install",IF(AND(K2291="",AE2291="me"),"EACH row",IF(AND(K2291="images",AE2291="me"),"EACH row",IF(D2291="","",IF(H2291="credit","",IF(AE2291="free","re-planting",IF(AE2291="me","   not ELP, by",IF(AND(OR(PlanterYesMe="Yes",PlanterYesMe="Y"),G2291&gt;0),(VLOOKUP(A2291,'Discount Lookup'!J:K,2)*G2291*(1-PlanterDiscount)*(1+PlanterDifficultyPercentage)),IF(AE2291="ELP",(VLOOKUP(A2291,'Discount Lookup'!J:K,2)*G2291*(1-PlanterDiscount)*(1+PlanterDifficultyPercentage)),IF(AE2291="free","re-planting",IF(G2291=0,"",IF(PlanterYesMe="",IF(AE2291="me","   not ELP, by",IF(AE2291="",IF(G2291&gt;0,(VLOOKUP(A2291,'Discount Lookup'!J:K,2)*G2291*(1-PlanterDiscount)*(1+PlanterDifficultyPercentage)),""),"")),"   not ELP, by"))))))))))))))</f>
        <v/>
      </c>
      <c r="AD2291" s="712"/>
      <c r="AE2291" s="513" t="str">
        <f t="shared" si="1674"/>
        <v/>
      </c>
      <c r="AF2291" s="713" t="str">
        <f t="shared" si="1675"/>
        <v/>
      </c>
      <c r="AG2291" s="713"/>
      <c r="AH2291" s="713"/>
      <c r="AI2291" s="112">
        <f>IF(H2291="credit",0,IF(AE2291="free",0,IF(AE2291="me",0,IF(G2291&gt;0,(VLOOKUP(A2291,'Discount Lookup'!J:K,2)*G2291),0))))</f>
        <v>0</v>
      </c>
      <c r="AJ2291" s="107" t="str">
        <f t="shared" ca="1" si="1676"/>
        <v/>
      </c>
      <c r="AK2291" s="714" t="str">
        <f t="shared" si="1677"/>
        <v/>
      </c>
      <c r="AL2291" s="714"/>
      <c r="AM2291" s="114" t="str">
        <f t="shared" si="1678"/>
        <v/>
      </c>
      <c r="AN2291" s="115"/>
      <c r="AO2291" s="116"/>
      <c r="AP2291" s="116"/>
      <c r="AQ2291" s="116"/>
      <c r="AR2291" s="116"/>
      <c r="AS2291" s="116"/>
      <c r="AT2291" s="116"/>
      <c r="AU2291" s="116"/>
      <c r="AV2291" s="78"/>
      <c r="AW2291" s="102"/>
      <c r="AX2291" s="78"/>
      <c r="AY2291" s="78"/>
      <c r="AZ2291" s="78"/>
      <c r="BA2291" s="78"/>
      <c r="BB2291" s="78"/>
      <c r="BC2291" s="78"/>
      <c r="BD2291" s="78"/>
      <c r="BE2291" s="465"/>
      <c r="BF2291" s="165" t="str">
        <f t="shared" si="1679"/>
        <v>https://www.google.com/search?tbm=isch&amp;q=Ruby%20Colonnade%20foliage%20emerges%20a%20Deep%20Ruby-Red%20before%20maturing%20to%20a%20Glossy%20Dark%20Green.%20All%20male%2C%20they%20can%20pollinate%20female%20Hollies%20</v>
      </c>
      <c r="BG2291" s="165" t="str">
        <f t="shared" si="1680"/>
        <v>R</v>
      </c>
      <c r="BH2291" s="65"/>
      <c r="BI2291" s="65"/>
      <c r="BJ2291" s="65"/>
      <c r="BK2291" s="65"/>
      <c r="BL2291" s="99"/>
      <c r="BM2291" s="99"/>
      <c r="BN2291" s="99"/>
    </row>
    <row r="2292" spans="1:66" s="51" customFormat="1" ht="18" x14ac:dyDescent="0.25">
      <c r="A2292" s="623" t="s">
        <v>3010</v>
      </c>
      <c r="B2292" s="624"/>
      <c r="C2292" s="709"/>
      <c r="D2292" s="625" t="s">
        <v>3011</v>
      </c>
      <c r="E2292" s="626"/>
      <c r="F2292" s="626"/>
      <c r="G2292" s="626"/>
      <c r="H2292" s="622" t="s">
        <v>1264</v>
      </c>
      <c r="I2292" s="627" t="s">
        <v>432</v>
      </c>
      <c r="J2292" s="628"/>
      <c r="K2292" s="628"/>
      <c r="L2292" s="629"/>
      <c r="M2292" s="700" t="s">
        <v>5242</v>
      </c>
      <c r="N2292" s="693" t="str">
        <f>IF(AND(ISTEXT($A2292), ISERROR($A2292+0)), HYPERLINK($BF2292, "Images"), "")</f>
        <v>Images</v>
      </c>
      <c r="O2292" s="695" t="s">
        <v>5247</v>
      </c>
      <c r="P2292" s="630"/>
      <c r="Q2292" s="631"/>
      <c r="R2292" s="632"/>
      <c r="S2292" s="633"/>
      <c r="T2292" s="102">
        <f t="shared" si="1668"/>
        <v>0</v>
      </c>
      <c r="U2292" s="78" t="str">
        <f>IF(NOT(ISNUMBER(G2292)), "", VLOOKUP(A2292,'Discount Lookup'!D:E,2,FALSE)*G2292)</f>
        <v/>
      </c>
      <c r="V2292" s="78" t="str">
        <f>IF(NOT(ISNUMBER(G2292)), "", VLOOKUP(A2292,'Discount Lookup'!G:H,2,FALSE)*G2292)</f>
        <v/>
      </c>
      <c r="W2292" s="102">
        <f t="shared" si="1669"/>
        <v>0</v>
      </c>
      <c r="X2292" s="102" t="str">
        <f t="shared" si="1670"/>
        <v>Green foliage</v>
      </c>
      <c r="Y2292" s="120" t="b">
        <f t="shared" si="1671"/>
        <v>0</v>
      </c>
      <c r="Z2292" s="117">
        <f t="shared" si="1672"/>
        <v>0</v>
      </c>
      <c r="AA2292" s="118"/>
      <c r="AB2292" s="118" t="str">
        <f t="shared" si="1673"/>
        <v/>
      </c>
      <c r="AC2292" s="712" t="str">
        <f>IF(AE2292="T2G","no charge",IF(AND(OR(PlanterYesMe="No",PlanterYesMe="N",PlanterYesMe="me"),H2292=""),"",IF(H2292="credit","NO install",IF(AND(K2292="",AE2292="me"),"EACH row",IF(AND(K2292="images",AE2292="me"),"EACH row",IF(D2292="","",IF(H2292="credit","",IF(AE2292="free","re-planting",IF(AE2292="me","   not ELP, by",IF(AND(OR(PlanterYesMe="Yes",PlanterYesMe="Y"),G2292&gt;0),(VLOOKUP(A2292,'Discount Lookup'!J:K,2)*G2292*(1-PlanterDiscount)*(1+PlanterDifficultyPercentage)),IF(AE2292="ELP",(VLOOKUP(A2292,'Discount Lookup'!J:K,2)*G2292*(1-PlanterDiscount)*(1+PlanterDifficultyPercentage)),IF(AE2292="free","re-planting",IF(G2292=0,"",IF(PlanterYesMe="",IF(AE2292="me","   not ELP, by",IF(AE2292="",IF(G2292&gt;0,(VLOOKUP(A2292,'Discount Lookup'!J:K,2)*G2292*(1-PlanterDiscount)*(1+PlanterDifficultyPercentage)),""),"")),"   not ELP, by"))))))))))))))</f>
        <v/>
      </c>
      <c r="AD2292" s="712"/>
      <c r="AE2292" s="513" t="str">
        <f t="shared" si="1674"/>
        <v/>
      </c>
      <c r="AF2292" s="713" t="str">
        <f t="shared" si="1675"/>
        <v/>
      </c>
      <c r="AG2292" s="713"/>
      <c r="AH2292" s="713"/>
      <c r="AI2292" s="112">
        <f>IF(H2292="credit",0,IF(AE2292="free",0,IF(AE2292="me",0,IF(G2292&gt;0,(VLOOKUP(A2292,'Discount Lookup'!J:K,2)*G2292),0))))</f>
        <v>0</v>
      </c>
      <c r="AJ2292" s="107" t="str">
        <f t="shared" ca="1" si="1676"/>
        <v/>
      </c>
      <c r="AK2292" s="714" t="str">
        <f t="shared" si="1677"/>
        <v/>
      </c>
      <c r="AL2292" s="714"/>
      <c r="AM2292" s="114" t="str">
        <f t="shared" si="1678"/>
        <v/>
      </c>
      <c r="AN2292" s="115"/>
      <c r="AO2292" s="116"/>
      <c r="AP2292" s="116"/>
      <c r="AQ2292" s="116"/>
      <c r="AR2292" s="116"/>
      <c r="AS2292" s="116"/>
      <c r="AT2292" s="116"/>
      <c r="AU2292" s="116"/>
      <c r="AV2292" s="78"/>
      <c r="AW2292" s="102"/>
      <c r="AX2292" s="78"/>
      <c r="AY2292" s="78"/>
      <c r="AZ2292" s="78"/>
      <c r="BA2292" s="78"/>
      <c r="BB2292" s="78"/>
      <c r="BC2292" s="78"/>
      <c r="BD2292" s="78"/>
      <c r="BE2292" s="465"/>
      <c r="BF2292" s="165" t="str">
        <f t="shared" si="1679"/>
        <v>https://www.google.com/search?tbm=isch&amp;q=Ilex%20verticillata%20%27Apollo%27%20Apollo%20Winterberry%20Holly</v>
      </c>
      <c r="BG2292" s="165" t="str">
        <f t="shared" si="1680"/>
        <v>I</v>
      </c>
      <c r="BH2292" s="65"/>
      <c r="BI2292" s="65"/>
      <c r="BJ2292" s="65"/>
      <c r="BK2292" s="65"/>
      <c r="BL2292" s="99"/>
      <c r="BM2292" s="99"/>
      <c r="BN2292" s="99"/>
    </row>
    <row r="2293" spans="1:66" s="51" customFormat="1" ht="15.75" x14ac:dyDescent="0.25">
      <c r="A2293" s="634">
        <v>3</v>
      </c>
      <c r="B2293" s="635" t="s">
        <v>291</v>
      </c>
      <c r="C2293" s="636" t="s">
        <v>3012</v>
      </c>
      <c r="D2293" s="637" t="s">
        <v>311</v>
      </c>
      <c r="E2293" s="638">
        <v>30.95</v>
      </c>
      <c r="F2293" s="639" t="s">
        <v>292</v>
      </c>
      <c r="G2293" s="484">
        <v>0</v>
      </c>
      <c r="H2293" s="691" t="str">
        <f>IF(G2293=0,"",IF(F2293="Buy",IF(G2293=1,"plant","plants"),IF(F2293&gt;0.01,"warranty","Error")))</f>
        <v/>
      </c>
      <c r="I2293" s="640">
        <f>IF(H2293="free",0,IF(H2293="credit",((E2293*(F2293))*G2293*-1),IF(F2293="Buy",(E2293*G2293),((E2293*(1-F2293))*G2293))))</f>
        <v>0</v>
      </c>
      <c r="J2293" s="640">
        <f>IF(H2293="warranty",0,(I2293*(_xlfn.SINGLE(SalesTaxPercentage))))</f>
        <v>0</v>
      </c>
      <c r="K2293" s="716">
        <f t="shared" ref="K2293" si="1711">I2293+J2293</f>
        <v>0</v>
      </c>
      <c r="L2293" s="716"/>
      <c r="M2293" s="689" t="str">
        <f ca="1">IF(AND(G2293&gt;0,E2293=0),"WARNING - no PRICE inserted",IF(H2293="free","FREE ~ no charge this plant",IF(H2293="credit",CONCATENATE("-$",ROUND(K2293*(1-_xlfn.SINGLE(T2GDiscount))*-1,2)," CREDIT after discount"),IF(_xlfn.SINGLE(T2GDiscount)=0,"",IF(G2293=0,"",IF(F2293="Buy",CONCATENATE("$",ROUND(K2293*(1-_xlfn.SINGLE(T2GDiscount)),2)," with ",(_xlfn.SINGLE(T2GDiscount)*100),"% discount"),CONCATENATE("$",ROUND(K2293*(1-_xlfn.SINGLE(T2GDiscount)),2)," with ",((_xlfn.SINGLE(T2GDiscount)*100+F2293*100)-(_xlfn.SINGLE(T2GDiscount)*100*F2293)),IF(F2293&gt;0,"% discounts",IF(_xlfn.SINGLE(NoWarrantyDiscount)&gt;0,"% discounts","% discount")))))))))</f>
        <v/>
      </c>
      <c r="N2293" s="690"/>
      <c r="O2293" s="486"/>
      <c r="P2293" s="486"/>
      <c r="Q2293" s="486"/>
      <c r="R2293" s="486"/>
      <c r="S2293" s="486"/>
      <c r="T2293" s="102">
        <f t="shared" si="1668"/>
        <v>0</v>
      </c>
      <c r="U2293" s="78">
        <f>IF(NOT(ISNUMBER(G2293)), "", VLOOKUP(A2293,'Discount Lookup'!D:E,2,FALSE)*G2293)</f>
        <v>0</v>
      </c>
      <c r="V2293" s="78">
        <f>IF(NOT(ISNUMBER(G2293)), "", VLOOKUP(A2293,'Discount Lookup'!G:H,2,FALSE)*G2293)</f>
        <v>0</v>
      </c>
      <c r="W2293" s="102">
        <f t="shared" si="1669"/>
        <v>0</v>
      </c>
      <c r="X2293" s="102">
        <f t="shared" si="1670"/>
        <v>0</v>
      </c>
      <c r="Y2293" s="120" t="b">
        <f t="shared" si="1671"/>
        <v>0</v>
      </c>
      <c r="Z2293" s="117">
        <f t="shared" si="1672"/>
        <v>0</v>
      </c>
      <c r="AA2293" s="118"/>
      <c r="AB2293" s="118" t="str">
        <f t="shared" si="1673"/>
        <v/>
      </c>
      <c r="AC2293" s="712" t="str">
        <f>IF(AE2293="T2G","no charge",IF(AND(OR(PlanterYesMe="No",PlanterYesMe="N",PlanterYesMe="me"),H2293=""),"",IF(H2293="credit","NO install",IF(AND(K2293="",AE2293="me"),"EACH row",IF(AND(K2293="images",AE2293="me"),"EACH row",IF(D2293="","",IF(H2293="credit","",IF(AE2293="free","re-planting",IF(AE2293="me","   not ELP, by",IF(AND(OR(PlanterYesMe="Yes",PlanterYesMe="Y"),G2293&gt;0),(VLOOKUP(A2293,'Discount Lookup'!J:K,2)*G2293*(1-PlanterDiscount)*(1+PlanterDifficultyPercentage)),IF(AE2293="ELP",(VLOOKUP(A2293,'Discount Lookup'!J:K,2)*G2293*(1-PlanterDiscount)*(1+PlanterDifficultyPercentage)),IF(AE2293="free","re-planting",IF(G2293=0,"",IF(PlanterYesMe="",IF(AE2293="me","   not ELP, by",IF(AE2293="",IF(G2293&gt;0,(VLOOKUP(A2293,'Discount Lookup'!J:K,2)*G2293*(1-PlanterDiscount)*(1+PlanterDifficultyPercentage)),""),"")),"   not ELP, by"))))))))))))))</f>
        <v/>
      </c>
      <c r="AD2293" s="712"/>
      <c r="AE2293" s="513" t="str">
        <f t="shared" si="1674"/>
        <v/>
      </c>
      <c r="AF2293" s="713" t="str">
        <f t="shared" si="1675"/>
        <v/>
      </c>
      <c r="AG2293" s="713"/>
      <c r="AH2293" s="713"/>
      <c r="AI2293" s="112">
        <f>IF(H2293="credit",0,IF(AE2293="free",0,IF(AE2293="me",0,IF(G2293&gt;0,(VLOOKUP(A2293,'Discount Lookup'!J:K,2)*G2293),0))))</f>
        <v>0</v>
      </c>
      <c r="AJ2293" s="107" t="str">
        <f t="shared" ca="1" si="1676"/>
        <v/>
      </c>
      <c r="AK2293" s="714" t="str">
        <f t="shared" si="1677"/>
        <v/>
      </c>
      <c r="AL2293" s="714"/>
      <c r="AM2293" s="114" t="str">
        <f t="shared" si="1678"/>
        <v/>
      </c>
      <c r="AN2293" s="115"/>
      <c r="AO2293" s="116"/>
      <c r="AP2293" s="116"/>
      <c r="AQ2293" s="116"/>
      <c r="AR2293" s="116"/>
      <c r="AS2293" s="116"/>
      <c r="AT2293" s="116"/>
      <c r="AU2293" s="116"/>
      <c r="AV2293" s="78"/>
      <c r="AW2293" s="102"/>
      <c r="AX2293" s="78"/>
      <c r="AY2293" s="78"/>
      <c r="AZ2293" s="78"/>
      <c r="BA2293" s="78"/>
      <c r="BB2293" s="78"/>
      <c r="BC2293" s="78"/>
      <c r="BD2293" s="78"/>
      <c r="BE2293" s="465"/>
      <c r="BF2293" s="165" t="str">
        <f t="shared" si="1679"/>
        <v>https://www.google.com/search?tbm=isch&amp;q=3%20G5</v>
      </c>
      <c r="BG2293" s="165" t="str">
        <f t="shared" si="1680"/>
        <v>I</v>
      </c>
      <c r="BH2293" s="65"/>
      <c r="BI2293" s="65"/>
      <c r="BJ2293" s="65"/>
      <c r="BK2293" s="65"/>
      <c r="BL2293" s="99"/>
      <c r="BM2293" s="99"/>
      <c r="BN2293" s="99"/>
    </row>
    <row r="2294" spans="1:66" s="51" customFormat="1" ht="17.25" thickBot="1" x14ac:dyDescent="0.3">
      <c r="A2294" s="704" t="s">
        <v>5454</v>
      </c>
      <c r="B2294" s="642"/>
      <c r="C2294" s="710"/>
      <c r="D2294" s="643"/>
      <c r="E2294" s="643"/>
      <c r="F2294" s="644"/>
      <c r="G2294" s="645"/>
      <c r="H2294" s="646"/>
      <c r="I2294" s="647"/>
      <c r="J2294" s="648"/>
      <c r="K2294" s="649"/>
      <c r="L2294" s="650"/>
      <c r="M2294" s="650"/>
      <c r="N2294" s="644"/>
      <c r="O2294" s="644"/>
      <c r="P2294" s="644"/>
      <c r="Q2294" s="644"/>
      <c r="R2294" s="644"/>
      <c r="S2294" s="701" t="s">
        <v>5251</v>
      </c>
      <c r="T2294" s="102">
        <f t="shared" si="1668"/>
        <v>0</v>
      </c>
      <c r="U2294" s="78" t="str">
        <f>IF(NOT(ISNUMBER(G2294)), "", VLOOKUP(A2294,'Discount Lookup'!D:E,2,FALSE)*G2294)</f>
        <v/>
      </c>
      <c r="V2294" s="78" t="str">
        <f>IF(NOT(ISNUMBER(G2294)), "", VLOOKUP(A2294,'Discount Lookup'!G:H,2,FALSE)*G2294)</f>
        <v/>
      </c>
      <c r="W2294" s="102">
        <f t="shared" si="1669"/>
        <v>0</v>
      </c>
      <c r="X2294" s="102">
        <f t="shared" si="1670"/>
        <v>0</v>
      </c>
      <c r="Y2294" s="120" t="b">
        <f t="shared" si="1671"/>
        <v>0</v>
      </c>
      <c r="Z2294" s="117">
        <f t="shared" si="1672"/>
        <v>0</v>
      </c>
      <c r="AA2294" s="118"/>
      <c r="AB2294" s="118" t="str">
        <f t="shared" si="1673"/>
        <v/>
      </c>
      <c r="AC2294" s="712" t="str">
        <f>IF(AE2294="T2G","no charge",IF(AND(OR(PlanterYesMe="No",PlanterYesMe="N",PlanterYesMe="me"),H2294=""),"",IF(H2294="credit","NO install",IF(AND(K2294="",AE2294="me"),"EACH row",IF(AND(K2294="images",AE2294="me"),"EACH row",IF(D2294="","",IF(H2294="credit","",IF(AE2294="free","re-planting",IF(AE2294="me","   not ELP, by",IF(AND(OR(PlanterYesMe="Yes",PlanterYesMe="Y"),G2294&gt;0),(VLOOKUP(A2294,'Discount Lookup'!J:K,2)*G2294*(1-PlanterDiscount)*(1+PlanterDifficultyPercentage)),IF(AE2294="ELP",(VLOOKUP(A2294,'Discount Lookup'!J:K,2)*G2294*(1-PlanterDiscount)*(1+PlanterDifficultyPercentage)),IF(AE2294="free","re-planting",IF(G2294=0,"",IF(PlanterYesMe="",IF(AE2294="me","   not ELP, by",IF(AE2294="",IF(G2294&gt;0,(VLOOKUP(A2294,'Discount Lookup'!J:K,2)*G2294*(1-PlanterDiscount)*(1+PlanterDifficultyPercentage)),""),"")),"   not ELP, by"))))))))))))))</f>
        <v/>
      </c>
      <c r="AD2294" s="712"/>
      <c r="AE2294" s="513" t="str">
        <f t="shared" si="1674"/>
        <v/>
      </c>
      <c r="AF2294" s="713" t="str">
        <f t="shared" si="1675"/>
        <v/>
      </c>
      <c r="AG2294" s="713"/>
      <c r="AH2294" s="713"/>
      <c r="AI2294" s="112">
        <f>IF(H2294="credit",0,IF(AE2294="free",0,IF(AE2294="me",0,IF(G2294&gt;0,(VLOOKUP(A2294,'Discount Lookup'!J:K,2)*G2294),0))))</f>
        <v>0</v>
      </c>
      <c r="AJ2294" s="107" t="str">
        <f t="shared" ca="1" si="1676"/>
        <v/>
      </c>
      <c r="AK2294" s="714" t="str">
        <f t="shared" si="1677"/>
        <v/>
      </c>
      <c r="AL2294" s="714"/>
      <c r="AM2294" s="114" t="str">
        <f t="shared" si="1678"/>
        <v/>
      </c>
      <c r="AN2294" s="115"/>
      <c r="AO2294" s="116"/>
      <c r="AP2294" s="116"/>
      <c r="AQ2294" s="116"/>
      <c r="AR2294" s="116"/>
      <c r="AS2294" s="116"/>
      <c r="AT2294" s="116"/>
      <c r="AU2294" s="116"/>
      <c r="AV2294" s="78"/>
      <c r="AW2294" s="102"/>
      <c r="AX2294" s="78"/>
      <c r="AY2294" s="78"/>
      <c r="AZ2294" s="78"/>
      <c r="BA2294" s="78"/>
      <c r="BB2294" s="78"/>
      <c r="BC2294" s="78"/>
      <c r="BD2294" s="78"/>
      <c r="BE2294" s="465"/>
      <c r="BF2294" s="165" t="str">
        <f t="shared" si="1679"/>
        <v>https://www.google.com/search?tbm=isch&amp;q=wet%20sites%F0%9F%92%A7BEST%2C%20Apollo%20Winterberry%20is%20a%20rare%20male%20pollinator%2C%20prized%20for%20its%20ability%20to%20fertilize%20female%20winterberry%20holly%20</v>
      </c>
      <c r="BG2294" s="165" t="str">
        <f t="shared" si="1680"/>
        <v>w</v>
      </c>
      <c r="BH2294" s="65"/>
      <c r="BI2294" s="65"/>
      <c r="BJ2294" s="65"/>
      <c r="BK2294" s="65"/>
      <c r="BL2294" s="99"/>
      <c r="BM2294" s="99"/>
      <c r="BN2294" s="99"/>
    </row>
    <row r="2295" spans="1:66" s="51" customFormat="1" ht="18" x14ac:dyDescent="0.25">
      <c r="A2295" s="623" t="s">
        <v>3013</v>
      </c>
      <c r="B2295" s="624"/>
      <c r="C2295" s="709"/>
      <c r="D2295" s="625" t="s">
        <v>3014</v>
      </c>
      <c r="E2295" s="626"/>
      <c r="F2295" s="626"/>
      <c r="G2295" s="626"/>
      <c r="H2295" s="622" t="s">
        <v>2541</v>
      </c>
      <c r="I2295" s="627" t="s">
        <v>432</v>
      </c>
      <c r="J2295" s="628"/>
      <c r="K2295" s="628"/>
      <c r="L2295" s="629"/>
      <c r="M2295" s="700" t="s">
        <v>5249</v>
      </c>
      <c r="N2295" s="693" t="str">
        <f>IF(AND(ISTEXT($A2295), ISERROR($A2295+0)), HYPERLINK($BF2295, "Images"), "")</f>
        <v>Images</v>
      </c>
      <c r="O2295" s="695" t="s">
        <v>5247</v>
      </c>
      <c r="P2295" s="630"/>
      <c r="Q2295" s="631"/>
      <c r="R2295" s="632"/>
      <c r="S2295" s="633" t="s">
        <v>294</v>
      </c>
      <c r="T2295" s="102">
        <f t="shared" si="1668"/>
        <v>0</v>
      </c>
      <c r="U2295" s="78" t="str">
        <f>IF(NOT(ISNUMBER(G2295)), "", VLOOKUP(A2295,'Discount Lookup'!D:E,2,FALSE)*G2295)</f>
        <v/>
      </c>
      <c r="V2295" s="78" t="str">
        <f>IF(NOT(ISNUMBER(G2295)), "", VLOOKUP(A2295,'Discount Lookup'!G:H,2,FALSE)*G2295)</f>
        <v/>
      </c>
      <c r="W2295" s="102">
        <f t="shared" si="1669"/>
        <v>0</v>
      </c>
      <c r="X2295" s="102" t="str">
        <f t="shared" si="1670"/>
        <v>Green foliage</v>
      </c>
      <c r="Y2295" s="120" t="b">
        <f t="shared" si="1671"/>
        <v>0</v>
      </c>
      <c r="Z2295" s="117">
        <f t="shared" si="1672"/>
        <v>0</v>
      </c>
      <c r="AA2295" s="118"/>
      <c r="AB2295" s="118" t="str">
        <f t="shared" si="1673"/>
        <v/>
      </c>
      <c r="AC2295" s="712" t="str">
        <f>IF(AE2295="T2G","no charge",IF(AND(OR(PlanterYesMe="No",PlanterYesMe="N",PlanterYesMe="me"),H2295=""),"",IF(H2295="credit","NO install",IF(AND(K2295="",AE2295="me"),"EACH row",IF(AND(K2295="images",AE2295="me"),"EACH row",IF(D2295="","",IF(H2295="credit","",IF(AE2295="free","re-planting",IF(AE2295="me","   not ELP, by",IF(AND(OR(PlanterYesMe="Yes",PlanterYesMe="Y"),G2295&gt;0),(VLOOKUP(A2295,'Discount Lookup'!J:K,2)*G2295*(1-PlanterDiscount)*(1+PlanterDifficultyPercentage)),IF(AE2295="ELP",(VLOOKUP(A2295,'Discount Lookup'!J:K,2)*G2295*(1-PlanterDiscount)*(1+PlanterDifficultyPercentage)),IF(AE2295="free","re-planting",IF(G2295=0,"",IF(PlanterYesMe="",IF(AE2295="me","   not ELP, by",IF(AE2295="",IF(G2295&gt;0,(VLOOKUP(A2295,'Discount Lookup'!J:K,2)*G2295*(1-PlanterDiscount)*(1+PlanterDifficultyPercentage)),""),"")),"   not ELP, by"))))))))))))))</f>
        <v/>
      </c>
      <c r="AD2295" s="712"/>
      <c r="AE2295" s="513" t="str">
        <f t="shared" si="1674"/>
        <v/>
      </c>
      <c r="AF2295" s="713" t="str">
        <f t="shared" si="1675"/>
        <v/>
      </c>
      <c r="AG2295" s="713"/>
      <c r="AH2295" s="713"/>
      <c r="AI2295" s="112">
        <f>IF(H2295="credit",0,IF(AE2295="free",0,IF(AE2295="me",0,IF(G2295&gt;0,(VLOOKUP(A2295,'Discount Lookup'!J:K,2)*G2295),0))))</f>
        <v>0</v>
      </c>
      <c r="AJ2295" s="107" t="str">
        <f t="shared" ca="1" si="1676"/>
        <v/>
      </c>
      <c r="AK2295" s="714" t="str">
        <f t="shared" si="1677"/>
        <v/>
      </c>
      <c r="AL2295" s="714"/>
      <c r="AM2295" s="114" t="str">
        <f t="shared" si="1678"/>
        <v/>
      </c>
      <c r="AN2295" s="115"/>
      <c r="AO2295" s="116"/>
      <c r="AP2295" s="116"/>
      <c r="AQ2295" s="116"/>
      <c r="AR2295" s="116"/>
      <c r="AS2295" s="116"/>
      <c r="AT2295" s="116"/>
      <c r="AU2295" s="116"/>
      <c r="AV2295" s="78"/>
      <c r="AW2295" s="102"/>
      <c r="AX2295" s="78"/>
      <c r="AY2295" s="78"/>
      <c r="AZ2295" s="78"/>
      <c r="BA2295" s="78"/>
      <c r="BB2295" s="78"/>
      <c r="BC2295" s="78"/>
      <c r="BD2295" s="78"/>
      <c r="BE2295" s="465"/>
      <c r="BF2295" s="165" t="str">
        <f t="shared" si="1679"/>
        <v>https://www.google.com/search?tbm=isch&amp;q=Ilex%20verticillata%20%27Southern%20Gentleman%27%20Southern%20Gentleman%20Winterberry%20Holly</v>
      </c>
      <c r="BG2295" s="165" t="str">
        <f t="shared" si="1680"/>
        <v>I</v>
      </c>
      <c r="BH2295" s="65"/>
      <c r="BI2295" s="65"/>
      <c r="BJ2295" s="65"/>
      <c r="BK2295" s="65"/>
      <c r="BL2295" s="99"/>
      <c r="BM2295" s="99"/>
      <c r="BN2295" s="99"/>
    </row>
    <row r="2296" spans="1:66" s="51" customFormat="1" ht="15.75" x14ac:dyDescent="0.25">
      <c r="A2296" s="634">
        <v>3</v>
      </c>
      <c r="B2296" s="635" t="s">
        <v>291</v>
      </c>
      <c r="C2296" s="636" t="s">
        <v>3015</v>
      </c>
      <c r="D2296" s="637" t="s">
        <v>311</v>
      </c>
      <c r="E2296" s="638">
        <v>30.95</v>
      </c>
      <c r="F2296" s="639" t="s">
        <v>292</v>
      </c>
      <c r="G2296" s="484">
        <v>0</v>
      </c>
      <c r="H2296" s="691" t="str">
        <f>IF(G2296=0,"",IF(F2296="Buy",IF(G2296=1,"plant","plants"),IF(F2296&gt;0.01,"warranty","Error")))</f>
        <v/>
      </c>
      <c r="I2296" s="640">
        <f>IF(H2296="free",0,IF(H2296="credit",((E2296*(F2296))*G2296*-1),IF(F2296="Buy",(E2296*G2296),((E2296*(1-F2296))*G2296))))</f>
        <v>0</v>
      </c>
      <c r="J2296" s="640">
        <f>IF(H2296="warranty",0,(I2296*(_xlfn.SINGLE(SalesTaxPercentage))))</f>
        <v>0</v>
      </c>
      <c r="K2296" s="716">
        <f t="shared" ref="K2296" si="1712">I2296+J2296</f>
        <v>0</v>
      </c>
      <c r="L2296" s="716"/>
      <c r="M2296" s="689" t="str">
        <f ca="1">IF(AND(G2296&gt;0,E2296=0),"WARNING - no PRICE inserted",IF(H2296="free","FREE ~ no charge this plant",IF(H2296="credit",CONCATENATE("-$",ROUND(K2296*(1-_xlfn.SINGLE(T2GDiscount))*-1,2)," CREDIT after discount"),IF(_xlfn.SINGLE(T2GDiscount)=0,"",IF(G2296=0,"",IF(F2296="Buy",CONCATENATE("$",ROUND(K2296*(1-_xlfn.SINGLE(T2GDiscount)),2)," with ",(_xlfn.SINGLE(T2GDiscount)*100),"% discount"),CONCATENATE("$",ROUND(K2296*(1-_xlfn.SINGLE(T2GDiscount)),2)," with ",((_xlfn.SINGLE(T2GDiscount)*100+F2296*100)-(_xlfn.SINGLE(T2GDiscount)*100*F2296)),IF(F2296&gt;0,"% discounts",IF(_xlfn.SINGLE(NoWarrantyDiscount)&gt;0,"% discounts","% discount")))))))))</f>
        <v/>
      </c>
      <c r="N2296" s="690"/>
      <c r="O2296" s="486"/>
      <c r="P2296" s="486"/>
      <c r="Q2296" s="486"/>
      <c r="R2296" s="486"/>
      <c r="S2296" s="486"/>
      <c r="T2296" s="102">
        <f t="shared" si="1668"/>
        <v>0</v>
      </c>
      <c r="U2296" s="78">
        <f>IF(NOT(ISNUMBER(G2296)), "", VLOOKUP(A2296,'Discount Lookup'!D:E,2,FALSE)*G2296)</f>
        <v>0</v>
      </c>
      <c r="V2296" s="78">
        <f>IF(NOT(ISNUMBER(G2296)), "", VLOOKUP(A2296,'Discount Lookup'!G:H,2,FALSE)*G2296)</f>
        <v>0</v>
      </c>
      <c r="W2296" s="102">
        <f t="shared" si="1669"/>
        <v>0</v>
      </c>
      <c r="X2296" s="102">
        <f t="shared" si="1670"/>
        <v>0</v>
      </c>
      <c r="Y2296" s="120" t="b">
        <f t="shared" si="1671"/>
        <v>0</v>
      </c>
      <c r="Z2296" s="117">
        <f t="shared" si="1672"/>
        <v>0</v>
      </c>
      <c r="AA2296" s="118"/>
      <c r="AB2296" s="118" t="str">
        <f t="shared" si="1673"/>
        <v/>
      </c>
      <c r="AC2296" s="712" t="str">
        <f>IF(AE2296="T2G","no charge",IF(AND(OR(PlanterYesMe="No",PlanterYesMe="N",PlanterYesMe="me"),H2296=""),"",IF(H2296="credit","NO install",IF(AND(K2296="",AE2296="me"),"EACH row",IF(AND(K2296="images",AE2296="me"),"EACH row",IF(D2296="","",IF(H2296="credit","",IF(AE2296="free","re-planting",IF(AE2296="me","   not ELP, by",IF(AND(OR(PlanterYesMe="Yes",PlanterYesMe="Y"),G2296&gt;0),(VLOOKUP(A2296,'Discount Lookup'!J:K,2)*G2296*(1-PlanterDiscount)*(1+PlanterDifficultyPercentage)),IF(AE2296="ELP",(VLOOKUP(A2296,'Discount Lookup'!J:K,2)*G2296*(1-PlanterDiscount)*(1+PlanterDifficultyPercentage)),IF(AE2296="free","re-planting",IF(G2296=0,"",IF(PlanterYesMe="",IF(AE2296="me","   not ELP, by",IF(AE2296="",IF(G2296&gt;0,(VLOOKUP(A2296,'Discount Lookup'!J:K,2)*G2296*(1-PlanterDiscount)*(1+PlanterDifficultyPercentage)),""),"")),"   not ELP, by"))))))))))))))</f>
        <v/>
      </c>
      <c r="AD2296" s="712"/>
      <c r="AE2296" s="513" t="str">
        <f t="shared" si="1674"/>
        <v/>
      </c>
      <c r="AF2296" s="713" t="str">
        <f t="shared" si="1675"/>
        <v/>
      </c>
      <c r="AG2296" s="713"/>
      <c r="AH2296" s="713"/>
      <c r="AI2296" s="112">
        <f>IF(H2296="credit",0,IF(AE2296="free",0,IF(AE2296="me",0,IF(G2296&gt;0,(VLOOKUP(A2296,'Discount Lookup'!J:K,2)*G2296),0))))</f>
        <v>0</v>
      </c>
      <c r="AJ2296" s="107" t="str">
        <f t="shared" ca="1" si="1676"/>
        <v/>
      </c>
      <c r="AK2296" s="714" t="str">
        <f t="shared" si="1677"/>
        <v/>
      </c>
      <c r="AL2296" s="714"/>
      <c r="AM2296" s="114" t="str">
        <f t="shared" si="1678"/>
        <v/>
      </c>
      <c r="AN2296" s="115"/>
      <c r="AO2296" s="116"/>
      <c r="AP2296" s="116"/>
      <c r="AQ2296" s="116"/>
      <c r="AR2296" s="116"/>
      <c r="AS2296" s="116"/>
      <c r="AT2296" s="116"/>
      <c r="AU2296" s="116"/>
      <c r="AV2296" s="78"/>
      <c r="AW2296" s="102"/>
      <c r="AX2296" s="78"/>
      <c r="AY2296" s="78"/>
      <c r="AZ2296" s="78"/>
      <c r="BA2296" s="78"/>
      <c r="BB2296" s="78"/>
      <c r="BC2296" s="78"/>
      <c r="BD2296" s="78"/>
      <c r="BE2296" s="465"/>
      <c r="BF2296" s="165" t="str">
        <f t="shared" si="1679"/>
        <v>https://www.google.com/search?tbm=isch&amp;q=3%20G5</v>
      </c>
      <c r="BG2296" s="165" t="str">
        <f t="shared" si="1680"/>
        <v>I</v>
      </c>
      <c r="BH2296" s="65"/>
      <c r="BI2296" s="65"/>
      <c r="BJ2296" s="65"/>
      <c r="BK2296" s="65"/>
      <c r="BL2296" s="99"/>
      <c r="BM2296" s="99"/>
      <c r="BN2296" s="99"/>
    </row>
    <row r="2297" spans="1:66" s="51" customFormat="1" ht="15.75" x14ac:dyDescent="0.25">
      <c r="A2297" s="634">
        <v>7</v>
      </c>
      <c r="B2297" s="635" t="s">
        <v>291</v>
      </c>
      <c r="C2297" s="636" t="s">
        <v>3016</v>
      </c>
      <c r="D2297" s="637" t="s">
        <v>293</v>
      </c>
      <c r="E2297" s="638">
        <v>96.95</v>
      </c>
      <c r="F2297" s="639" t="s">
        <v>292</v>
      </c>
      <c r="G2297" s="484">
        <v>0</v>
      </c>
      <c r="H2297" s="691" t="str">
        <f>IF(G2297=0,"",IF(F2297="Buy",IF(G2297=1,"plant","plants"),IF(F2297&gt;0.01,"warranty","Error")))</f>
        <v/>
      </c>
      <c r="I2297" s="640">
        <f>IF(H2297="free",0,IF(H2297="credit",((E2297*(F2297))*G2297*-1),IF(F2297="Buy",(E2297*G2297),((E2297*(1-F2297))*G2297))))</f>
        <v>0</v>
      </c>
      <c r="J2297" s="640">
        <f>IF(H2297="warranty",0,(I2297*(_xlfn.SINGLE(SalesTaxPercentage))))</f>
        <v>0</v>
      </c>
      <c r="K2297" s="716">
        <f t="shared" ref="K2297" si="1713">I2297+J2297</f>
        <v>0</v>
      </c>
      <c r="L2297" s="716"/>
      <c r="M2297" s="689" t="str">
        <f ca="1">IF(AND(G2297&gt;0,E2297=0),"WARNING - no PRICE inserted",IF(H2297="free","FREE ~ no charge this plant",IF(H2297="credit",CONCATENATE("-$",ROUND(K2297*(1-_xlfn.SINGLE(T2GDiscount))*-1,2)," CREDIT after discount"),IF(_xlfn.SINGLE(T2GDiscount)=0,"",IF(G2297=0,"",IF(F2297="Buy",CONCATENATE("$",ROUND(K2297*(1-_xlfn.SINGLE(T2GDiscount)),2)," with ",(_xlfn.SINGLE(T2GDiscount)*100),"% discount"),CONCATENATE("$",ROUND(K2297*(1-_xlfn.SINGLE(T2GDiscount)),2)," with ",((_xlfn.SINGLE(T2GDiscount)*100+F2297*100)-(_xlfn.SINGLE(T2GDiscount)*100*F2297)),IF(F2297&gt;0,"% discounts",IF(_xlfn.SINGLE(NoWarrantyDiscount)&gt;0,"% discounts","% discount")))))))))</f>
        <v/>
      </c>
      <c r="N2297" s="690"/>
      <c r="O2297" s="486"/>
      <c r="P2297" s="486"/>
      <c r="Q2297" s="486"/>
      <c r="R2297" s="486"/>
      <c r="S2297" s="486"/>
      <c r="T2297" s="102">
        <f t="shared" si="1668"/>
        <v>0</v>
      </c>
      <c r="U2297" s="78">
        <f>IF(NOT(ISNUMBER(G2297)), "", VLOOKUP(A2297,'Discount Lookup'!D:E,2,FALSE)*G2297)</f>
        <v>0</v>
      </c>
      <c r="V2297" s="78">
        <f>IF(NOT(ISNUMBER(G2297)), "", VLOOKUP(A2297,'Discount Lookup'!G:H,2,FALSE)*G2297)</f>
        <v>0</v>
      </c>
      <c r="W2297" s="102">
        <f t="shared" si="1669"/>
        <v>0</v>
      </c>
      <c r="X2297" s="102">
        <f t="shared" si="1670"/>
        <v>0</v>
      </c>
      <c r="Y2297" s="120" t="b">
        <f t="shared" si="1671"/>
        <v>0</v>
      </c>
      <c r="Z2297" s="117">
        <f t="shared" si="1672"/>
        <v>0</v>
      </c>
      <c r="AA2297" s="118"/>
      <c r="AB2297" s="118" t="str">
        <f t="shared" si="1673"/>
        <v/>
      </c>
      <c r="AC2297" s="712" t="str">
        <f>IF(AE2297="T2G","no charge",IF(AND(OR(PlanterYesMe="No",PlanterYesMe="N",PlanterYesMe="me"),H2297=""),"",IF(H2297="credit","NO install",IF(AND(K2297="",AE2297="me"),"EACH row",IF(AND(K2297="images",AE2297="me"),"EACH row",IF(D2297="","",IF(H2297="credit","",IF(AE2297="free","re-planting",IF(AE2297="me","   not ELP, by",IF(AND(OR(PlanterYesMe="Yes",PlanterYesMe="Y"),G2297&gt;0),(VLOOKUP(A2297,'Discount Lookup'!J:K,2)*G2297*(1-PlanterDiscount)*(1+PlanterDifficultyPercentage)),IF(AE2297="ELP",(VLOOKUP(A2297,'Discount Lookup'!J:K,2)*G2297*(1-PlanterDiscount)*(1+PlanterDifficultyPercentage)),IF(AE2297="free","re-planting",IF(G2297=0,"",IF(PlanterYesMe="",IF(AE2297="me","   not ELP, by",IF(AE2297="",IF(G2297&gt;0,(VLOOKUP(A2297,'Discount Lookup'!J:K,2)*G2297*(1-PlanterDiscount)*(1+PlanterDifficultyPercentage)),""),"")),"   not ELP, by"))))))))))))))</f>
        <v/>
      </c>
      <c r="AD2297" s="712"/>
      <c r="AE2297" s="513" t="str">
        <f t="shared" si="1674"/>
        <v/>
      </c>
      <c r="AF2297" s="713" t="str">
        <f t="shared" si="1675"/>
        <v/>
      </c>
      <c r="AG2297" s="713"/>
      <c r="AH2297" s="713"/>
      <c r="AI2297" s="112">
        <f>IF(H2297="credit",0,IF(AE2297="free",0,IF(AE2297="me",0,IF(G2297&gt;0,(VLOOKUP(A2297,'Discount Lookup'!J:K,2)*G2297),0))))</f>
        <v>0</v>
      </c>
      <c r="AJ2297" s="107" t="str">
        <f t="shared" ca="1" si="1676"/>
        <v/>
      </c>
      <c r="AK2297" s="714" t="str">
        <f t="shared" si="1677"/>
        <v/>
      </c>
      <c r="AL2297" s="714"/>
      <c r="AM2297" s="114" t="str">
        <f t="shared" si="1678"/>
        <v/>
      </c>
      <c r="AN2297" s="115"/>
      <c r="AO2297" s="116"/>
      <c r="AP2297" s="116"/>
      <c r="AQ2297" s="116"/>
      <c r="AR2297" s="116"/>
      <c r="AS2297" s="116"/>
      <c r="AT2297" s="116"/>
      <c r="AU2297" s="116"/>
      <c r="AV2297" s="78"/>
      <c r="AW2297" s="102"/>
      <c r="AX2297" s="78"/>
      <c r="AY2297" s="78"/>
      <c r="AZ2297" s="78"/>
      <c r="BA2297" s="78"/>
      <c r="BB2297" s="78"/>
      <c r="BC2297" s="78"/>
      <c r="BD2297" s="78"/>
      <c r="BE2297" s="465"/>
      <c r="BF2297" s="165" t="str">
        <f t="shared" si="1679"/>
        <v>https://www.google.com/search?tbm=isch&amp;q=7%20G6</v>
      </c>
      <c r="BG2297" s="165" t="str">
        <f t="shared" si="1680"/>
        <v>I</v>
      </c>
      <c r="BH2297" s="65"/>
      <c r="BI2297" s="65"/>
      <c r="BJ2297" s="65"/>
      <c r="BK2297" s="65"/>
      <c r="BL2297" s="99"/>
      <c r="BM2297" s="99"/>
      <c r="BN2297" s="99"/>
    </row>
    <row r="2298" spans="1:66" s="51" customFormat="1" ht="17.25" thickBot="1" x14ac:dyDescent="0.3">
      <c r="A2298" s="704" t="s">
        <v>5455</v>
      </c>
      <c r="B2298" s="642"/>
      <c r="C2298" s="710"/>
      <c r="D2298" s="643"/>
      <c r="E2298" s="643"/>
      <c r="F2298" s="644"/>
      <c r="G2298" s="645"/>
      <c r="H2298" s="646"/>
      <c r="I2298" s="647"/>
      <c r="J2298" s="648"/>
      <c r="K2298" s="649"/>
      <c r="L2298" s="650"/>
      <c r="M2298" s="650"/>
      <c r="N2298" s="644"/>
      <c r="O2298" s="644"/>
      <c r="P2298" s="644"/>
      <c r="Q2298" s="644"/>
      <c r="R2298" s="644"/>
      <c r="S2298" s="701" t="s">
        <v>5261</v>
      </c>
      <c r="T2298" s="102">
        <f t="shared" si="1668"/>
        <v>0</v>
      </c>
      <c r="U2298" s="78" t="str">
        <f>IF(NOT(ISNUMBER(G2298)), "", VLOOKUP(A2298,'Discount Lookup'!D:E,2,FALSE)*G2298)</f>
        <v/>
      </c>
      <c r="V2298" s="78" t="str">
        <f>IF(NOT(ISNUMBER(G2298)), "", VLOOKUP(A2298,'Discount Lookup'!G:H,2,FALSE)*G2298)</f>
        <v/>
      </c>
      <c r="W2298" s="102">
        <f t="shared" si="1669"/>
        <v>0</v>
      </c>
      <c r="X2298" s="102">
        <f t="shared" si="1670"/>
        <v>0</v>
      </c>
      <c r="Y2298" s="120" t="b">
        <f t="shared" si="1671"/>
        <v>0</v>
      </c>
      <c r="Z2298" s="117">
        <f t="shared" si="1672"/>
        <v>0</v>
      </c>
      <c r="AA2298" s="118"/>
      <c r="AB2298" s="118" t="str">
        <f t="shared" si="1673"/>
        <v/>
      </c>
      <c r="AC2298" s="712" t="str">
        <f>IF(AE2298="T2G","no charge",IF(AND(OR(PlanterYesMe="No",PlanterYesMe="N",PlanterYesMe="me"),H2298=""),"",IF(H2298="credit","NO install",IF(AND(K2298="",AE2298="me"),"EACH row",IF(AND(K2298="images",AE2298="me"),"EACH row",IF(D2298="","",IF(H2298="credit","",IF(AE2298="free","re-planting",IF(AE2298="me","   not ELP, by",IF(AND(OR(PlanterYesMe="Yes",PlanterYesMe="Y"),G2298&gt;0),(VLOOKUP(A2298,'Discount Lookup'!J:K,2)*G2298*(1-PlanterDiscount)*(1+PlanterDifficultyPercentage)),IF(AE2298="ELP",(VLOOKUP(A2298,'Discount Lookup'!J:K,2)*G2298*(1-PlanterDiscount)*(1+PlanterDifficultyPercentage)),IF(AE2298="free","re-planting",IF(G2298=0,"",IF(PlanterYesMe="",IF(AE2298="me","   not ELP, by",IF(AE2298="",IF(G2298&gt;0,(VLOOKUP(A2298,'Discount Lookup'!J:K,2)*G2298*(1-PlanterDiscount)*(1+PlanterDifficultyPercentage)),""),"")),"   not ELP, by"))))))))))))))</f>
        <v/>
      </c>
      <c r="AD2298" s="712"/>
      <c r="AE2298" s="513" t="str">
        <f t="shared" si="1674"/>
        <v/>
      </c>
      <c r="AF2298" s="713" t="str">
        <f t="shared" si="1675"/>
        <v/>
      </c>
      <c r="AG2298" s="713"/>
      <c r="AH2298" s="713"/>
      <c r="AI2298" s="112">
        <f>IF(H2298="credit",0,IF(AE2298="free",0,IF(AE2298="me",0,IF(G2298&gt;0,(VLOOKUP(A2298,'Discount Lookup'!J:K,2)*G2298),0))))</f>
        <v>0</v>
      </c>
      <c r="AJ2298" s="107" t="str">
        <f t="shared" ca="1" si="1676"/>
        <v/>
      </c>
      <c r="AK2298" s="714" t="str">
        <f t="shared" si="1677"/>
        <v/>
      </c>
      <c r="AL2298" s="714"/>
      <c r="AM2298" s="114" t="str">
        <f t="shared" si="1678"/>
        <v/>
      </c>
      <c r="AN2298" s="115"/>
      <c r="AO2298" s="116"/>
      <c r="AP2298" s="116"/>
      <c r="AQ2298" s="116"/>
      <c r="AR2298" s="116"/>
      <c r="AS2298" s="116"/>
      <c r="AT2298" s="116"/>
      <c r="AU2298" s="116"/>
      <c r="AV2298" s="78"/>
      <c r="AW2298" s="102"/>
      <c r="AX2298" s="78"/>
      <c r="AY2298" s="78"/>
      <c r="AZ2298" s="78"/>
      <c r="BA2298" s="78"/>
      <c r="BB2298" s="78"/>
      <c r="BC2298" s="78"/>
      <c r="BD2298" s="78"/>
      <c r="BE2298" s="465"/>
      <c r="BF2298" s="165" t="str">
        <f t="shared" si="1679"/>
        <v>https://www.google.com/search?tbm=isch&amp;q=wet%20sites%F0%9F%92%A7BEST%2C%20Gentleman%20is%20a%20rare%20male%20pollinator.%20Optimal%20for%20verticilatta%2C%20maybe%20worth%20a%20try%20on%20other%20species%20</v>
      </c>
      <c r="BG2298" s="165" t="str">
        <f t="shared" si="1680"/>
        <v>w</v>
      </c>
      <c r="BH2298" s="65"/>
      <c r="BI2298" s="65"/>
      <c r="BJ2298" s="65"/>
      <c r="BK2298" s="65"/>
      <c r="BL2298" s="99"/>
      <c r="BM2298" s="99"/>
      <c r="BN2298" s="99"/>
    </row>
    <row r="2299" spans="1:66" s="51" customFormat="1" ht="18" x14ac:dyDescent="0.25">
      <c r="A2299" s="623" t="s">
        <v>3017</v>
      </c>
      <c r="B2299" s="624"/>
      <c r="C2299" s="709"/>
      <c r="D2299" s="625" t="s">
        <v>3018</v>
      </c>
      <c r="E2299" s="626"/>
      <c r="F2299" s="626"/>
      <c r="G2299" s="626"/>
      <c r="H2299" s="622" t="s">
        <v>1264</v>
      </c>
      <c r="I2299" s="627" t="s">
        <v>432</v>
      </c>
      <c r="J2299" s="628"/>
      <c r="K2299" s="628"/>
      <c r="L2299" s="629"/>
      <c r="M2299" s="700" t="s">
        <v>5249</v>
      </c>
      <c r="N2299" s="693" t="str">
        <f>IF(AND(ISTEXT($A2299), ISERROR($A2299+0)), HYPERLINK($BF2299, "Images"), "")</f>
        <v>Images</v>
      </c>
      <c r="O2299" s="695" t="s">
        <v>5247</v>
      </c>
      <c r="P2299" s="630"/>
      <c r="Q2299" s="631"/>
      <c r="R2299" s="632"/>
      <c r="S2299" s="633" t="s">
        <v>294</v>
      </c>
      <c r="T2299" s="102">
        <f t="shared" si="1668"/>
        <v>0</v>
      </c>
      <c r="U2299" s="78" t="str">
        <f>IF(NOT(ISNUMBER(G2299)), "", VLOOKUP(A2299,'Discount Lookup'!D:E,2,FALSE)*G2299)</f>
        <v/>
      </c>
      <c r="V2299" s="78" t="str">
        <f>IF(NOT(ISNUMBER(G2299)), "", VLOOKUP(A2299,'Discount Lookup'!G:H,2,FALSE)*G2299)</f>
        <v/>
      </c>
      <c r="W2299" s="102">
        <f t="shared" si="1669"/>
        <v>0</v>
      </c>
      <c r="X2299" s="102" t="str">
        <f t="shared" si="1670"/>
        <v>Green foliage</v>
      </c>
      <c r="Y2299" s="120" t="b">
        <f t="shared" si="1671"/>
        <v>0</v>
      </c>
      <c r="Z2299" s="117">
        <f t="shared" si="1672"/>
        <v>0</v>
      </c>
      <c r="AA2299" s="118"/>
      <c r="AB2299" s="118" t="str">
        <f t="shared" si="1673"/>
        <v/>
      </c>
      <c r="AC2299" s="712" t="str">
        <f>IF(AE2299="T2G","no charge",IF(AND(OR(PlanterYesMe="No",PlanterYesMe="N",PlanterYesMe="me"),H2299=""),"",IF(H2299="credit","NO install",IF(AND(K2299="",AE2299="me"),"EACH row",IF(AND(K2299="images",AE2299="me"),"EACH row",IF(D2299="","",IF(H2299="credit","",IF(AE2299="free","re-planting",IF(AE2299="me","   not ELP, by",IF(AND(OR(PlanterYesMe="Yes",PlanterYesMe="Y"),G2299&gt;0),(VLOOKUP(A2299,'Discount Lookup'!J:K,2)*G2299*(1-PlanterDiscount)*(1+PlanterDifficultyPercentage)),IF(AE2299="ELP",(VLOOKUP(A2299,'Discount Lookup'!J:K,2)*G2299*(1-PlanterDiscount)*(1+PlanterDifficultyPercentage)),IF(AE2299="free","re-planting",IF(G2299=0,"",IF(PlanterYesMe="",IF(AE2299="me","   not ELP, by",IF(AE2299="",IF(G2299&gt;0,(VLOOKUP(A2299,'Discount Lookup'!J:K,2)*G2299*(1-PlanterDiscount)*(1+PlanterDifficultyPercentage)),""),"")),"   not ELP, by"))))))))))))))</f>
        <v/>
      </c>
      <c r="AD2299" s="712"/>
      <c r="AE2299" s="513" t="str">
        <f t="shared" si="1674"/>
        <v/>
      </c>
      <c r="AF2299" s="713" t="str">
        <f t="shared" si="1675"/>
        <v/>
      </c>
      <c r="AG2299" s="713"/>
      <c r="AH2299" s="713"/>
      <c r="AI2299" s="112">
        <f>IF(H2299="credit",0,IF(AE2299="free",0,IF(AE2299="me",0,IF(G2299&gt;0,(VLOOKUP(A2299,'Discount Lookup'!J:K,2)*G2299),0))))</f>
        <v>0</v>
      </c>
      <c r="AJ2299" s="107" t="str">
        <f t="shared" ca="1" si="1676"/>
        <v/>
      </c>
      <c r="AK2299" s="714" t="str">
        <f t="shared" si="1677"/>
        <v/>
      </c>
      <c r="AL2299" s="714"/>
      <c r="AM2299" s="114" t="str">
        <f t="shared" si="1678"/>
        <v/>
      </c>
      <c r="AN2299" s="115"/>
      <c r="AO2299" s="116"/>
      <c r="AP2299" s="116"/>
      <c r="AQ2299" s="116"/>
      <c r="AR2299" s="116"/>
      <c r="AS2299" s="116"/>
      <c r="AT2299" s="116"/>
      <c r="AU2299" s="116"/>
      <c r="AV2299" s="78"/>
      <c r="AW2299" s="102"/>
      <c r="AX2299" s="78"/>
      <c r="AY2299" s="78"/>
      <c r="AZ2299" s="78"/>
      <c r="BA2299" s="78"/>
      <c r="BB2299" s="78"/>
      <c r="BC2299" s="78"/>
      <c r="BD2299" s="78"/>
      <c r="BE2299" s="465"/>
      <c r="BF2299" s="165" t="str">
        <f t="shared" si="1679"/>
        <v>https://www.google.com/search?tbm=isch&amp;q=Ilex%20verticillata%20%27Winter%20Red%27%20PP%234146Exp.%20Winter%20Red%20Winterberry%20Holly</v>
      </c>
      <c r="BG2299" s="165" t="str">
        <f t="shared" si="1680"/>
        <v>I</v>
      </c>
      <c r="BH2299" s="65"/>
      <c r="BI2299" s="65"/>
      <c r="BJ2299" s="65"/>
      <c r="BK2299" s="65"/>
      <c r="BL2299" s="99"/>
      <c r="BM2299" s="99"/>
      <c r="BN2299" s="99"/>
    </row>
    <row r="2300" spans="1:66" s="51" customFormat="1" ht="15.75" x14ac:dyDescent="0.25">
      <c r="A2300" s="634">
        <v>3</v>
      </c>
      <c r="B2300" s="635" t="s">
        <v>291</v>
      </c>
      <c r="C2300" s="636" t="s">
        <v>3019</v>
      </c>
      <c r="D2300" s="637" t="s">
        <v>311</v>
      </c>
      <c r="E2300" s="638">
        <v>30.95</v>
      </c>
      <c r="F2300" s="639" t="s">
        <v>292</v>
      </c>
      <c r="G2300" s="484">
        <v>0</v>
      </c>
      <c r="H2300" s="691" t="str">
        <f>IF(G2300=0,"",IF(F2300="Buy",IF(G2300=1,"plant","plants"),IF(F2300&gt;0.01,"warranty","Error")))</f>
        <v/>
      </c>
      <c r="I2300" s="640">
        <f>IF(H2300="free",0,IF(H2300="credit",((E2300*(F2300))*G2300*-1),IF(F2300="Buy",(E2300*G2300),((E2300*(1-F2300))*G2300))))</f>
        <v>0</v>
      </c>
      <c r="J2300" s="640">
        <f>IF(H2300="warranty",0,(I2300*(_xlfn.SINGLE(SalesTaxPercentage))))</f>
        <v>0</v>
      </c>
      <c r="K2300" s="716">
        <f t="shared" ref="K2300" si="1714">I2300+J2300</f>
        <v>0</v>
      </c>
      <c r="L2300" s="716"/>
      <c r="M2300" s="689" t="str">
        <f ca="1">IF(AND(G2300&gt;0,E2300=0),"WARNING - no PRICE inserted",IF(H2300="free","FREE ~ no charge this plant",IF(H2300="credit",CONCATENATE("-$",ROUND(K2300*(1-_xlfn.SINGLE(T2GDiscount))*-1,2)," CREDIT after discount"),IF(_xlfn.SINGLE(T2GDiscount)=0,"",IF(G2300=0,"",IF(F2300="Buy",CONCATENATE("$",ROUND(K2300*(1-_xlfn.SINGLE(T2GDiscount)),2)," with ",(_xlfn.SINGLE(T2GDiscount)*100),"% discount"),CONCATENATE("$",ROUND(K2300*(1-_xlfn.SINGLE(T2GDiscount)),2)," with ",((_xlfn.SINGLE(T2GDiscount)*100+F2300*100)-(_xlfn.SINGLE(T2GDiscount)*100*F2300)),IF(F2300&gt;0,"% discounts",IF(_xlfn.SINGLE(NoWarrantyDiscount)&gt;0,"% discounts","% discount")))))))))</f>
        <v/>
      </c>
      <c r="N2300" s="690"/>
      <c r="O2300" s="486"/>
      <c r="P2300" s="486"/>
      <c r="Q2300" s="486"/>
      <c r="R2300" s="486"/>
      <c r="S2300" s="486"/>
      <c r="T2300" s="102">
        <f t="shared" si="1668"/>
        <v>0</v>
      </c>
      <c r="U2300" s="78">
        <f>IF(NOT(ISNUMBER(G2300)), "", VLOOKUP(A2300,'Discount Lookup'!D:E,2,FALSE)*G2300)</f>
        <v>0</v>
      </c>
      <c r="V2300" s="78">
        <f>IF(NOT(ISNUMBER(G2300)), "", VLOOKUP(A2300,'Discount Lookup'!G:H,2,FALSE)*G2300)</f>
        <v>0</v>
      </c>
      <c r="W2300" s="102">
        <f t="shared" si="1669"/>
        <v>0</v>
      </c>
      <c r="X2300" s="102">
        <f t="shared" si="1670"/>
        <v>0</v>
      </c>
      <c r="Y2300" s="120" t="b">
        <f t="shared" si="1671"/>
        <v>0</v>
      </c>
      <c r="Z2300" s="117">
        <f t="shared" si="1672"/>
        <v>0</v>
      </c>
      <c r="AA2300" s="118"/>
      <c r="AB2300" s="118" t="str">
        <f t="shared" si="1673"/>
        <v/>
      </c>
      <c r="AC2300" s="712" t="str">
        <f>IF(AE2300="T2G","no charge",IF(AND(OR(PlanterYesMe="No",PlanterYesMe="N",PlanterYesMe="me"),H2300=""),"",IF(H2300="credit","NO install",IF(AND(K2300="",AE2300="me"),"EACH row",IF(AND(K2300="images",AE2300="me"),"EACH row",IF(D2300="","",IF(H2300="credit","",IF(AE2300="free","re-planting",IF(AE2300="me","   not ELP, by",IF(AND(OR(PlanterYesMe="Yes",PlanterYesMe="Y"),G2300&gt;0),(VLOOKUP(A2300,'Discount Lookup'!J:K,2)*G2300*(1-PlanterDiscount)*(1+PlanterDifficultyPercentage)),IF(AE2300="ELP",(VLOOKUP(A2300,'Discount Lookup'!J:K,2)*G2300*(1-PlanterDiscount)*(1+PlanterDifficultyPercentage)),IF(AE2300="free","re-planting",IF(G2300=0,"",IF(PlanterYesMe="",IF(AE2300="me","   not ELP, by",IF(AE2300="",IF(G2300&gt;0,(VLOOKUP(A2300,'Discount Lookup'!J:K,2)*G2300*(1-PlanterDiscount)*(1+PlanterDifficultyPercentage)),""),"")),"   not ELP, by"))))))))))))))</f>
        <v/>
      </c>
      <c r="AD2300" s="712"/>
      <c r="AE2300" s="513" t="str">
        <f t="shared" si="1674"/>
        <v/>
      </c>
      <c r="AF2300" s="713" t="str">
        <f t="shared" si="1675"/>
        <v/>
      </c>
      <c r="AG2300" s="713"/>
      <c r="AH2300" s="713"/>
      <c r="AI2300" s="112">
        <f>IF(H2300="credit",0,IF(AE2300="free",0,IF(AE2300="me",0,IF(G2300&gt;0,(VLOOKUP(A2300,'Discount Lookup'!J:K,2)*G2300),0))))</f>
        <v>0</v>
      </c>
      <c r="AJ2300" s="107" t="str">
        <f t="shared" ca="1" si="1676"/>
        <v/>
      </c>
      <c r="AK2300" s="714" t="str">
        <f t="shared" si="1677"/>
        <v/>
      </c>
      <c r="AL2300" s="714"/>
      <c r="AM2300" s="114" t="str">
        <f t="shared" si="1678"/>
        <v/>
      </c>
      <c r="AN2300" s="115"/>
      <c r="AO2300" s="116"/>
      <c r="AP2300" s="116"/>
      <c r="AQ2300" s="116"/>
      <c r="AR2300" s="116"/>
      <c r="AS2300" s="116"/>
      <c r="AT2300" s="116"/>
      <c r="AU2300" s="116"/>
      <c r="AV2300" s="78"/>
      <c r="AW2300" s="102"/>
      <c r="AX2300" s="78"/>
      <c r="AY2300" s="78"/>
      <c r="AZ2300" s="78"/>
      <c r="BA2300" s="78"/>
      <c r="BB2300" s="78"/>
      <c r="BC2300" s="78"/>
      <c r="BD2300" s="78"/>
      <c r="BE2300" s="465"/>
      <c r="BF2300" s="165" t="str">
        <f t="shared" si="1679"/>
        <v>https://www.google.com/search?tbm=isch&amp;q=3%20G5</v>
      </c>
      <c r="BG2300" s="165" t="str">
        <f t="shared" si="1680"/>
        <v>I</v>
      </c>
      <c r="BH2300" s="65"/>
      <c r="BI2300" s="65"/>
      <c r="BJ2300" s="65"/>
      <c r="BK2300" s="65"/>
      <c r="BL2300" s="99"/>
      <c r="BM2300" s="99"/>
      <c r="BN2300" s="99"/>
    </row>
    <row r="2301" spans="1:66" s="51" customFormat="1" ht="17.25" thickBot="1" x14ac:dyDescent="0.3">
      <c r="A2301" s="704" t="s">
        <v>5456</v>
      </c>
      <c r="B2301" s="642"/>
      <c r="C2301" s="710"/>
      <c r="D2301" s="643"/>
      <c r="E2301" s="643"/>
      <c r="F2301" s="644"/>
      <c r="G2301" s="645"/>
      <c r="H2301" s="646"/>
      <c r="I2301" s="647"/>
      <c r="J2301" s="648"/>
      <c r="K2301" s="649"/>
      <c r="L2301" s="650"/>
      <c r="M2301" s="650"/>
      <c r="N2301" s="644"/>
      <c r="O2301" s="644"/>
      <c r="P2301" s="644"/>
      <c r="Q2301" s="644"/>
      <c r="R2301" s="644"/>
      <c r="S2301" s="701" t="s">
        <v>5291</v>
      </c>
      <c r="T2301" s="102">
        <f t="shared" si="1668"/>
        <v>0</v>
      </c>
      <c r="U2301" s="78" t="str">
        <f>IF(NOT(ISNUMBER(G2301)), "", VLOOKUP(A2301,'Discount Lookup'!D:E,2,FALSE)*G2301)</f>
        <v/>
      </c>
      <c r="V2301" s="78" t="str">
        <f>IF(NOT(ISNUMBER(G2301)), "", VLOOKUP(A2301,'Discount Lookup'!G:H,2,FALSE)*G2301)</f>
        <v/>
      </c>
      <c r="W2301" s="102">
        <f t="shared" si="1669"/>
        <v>0</v>
      </c>
      <c r="X2301" s="102">
        <f t="shared" si="1670"/>
        <v>0</v>
      </c>
      <c r="Y2301" s="120" t="b">
        <f t="shared" si="1671"/>
        <v>0</v>
      </c>
      <c r="Z2301" s="117">
        <f t="shared" si="1672"/>
        <v>0</v>
      </c>
      <c r="AA2301" s="118"/>
      <c r="AB2301" s="118" t="str">
        <f t="shared" si="1673"/>
        <v/>
      </c>
      <c r="AC2301" s="712" t="str">
        <f>IF(AE2301="T2G","no charge",IF(AND(OR(PlanterYesMe="No",PlanterYesMe="N",PlanterYesMe="me"),H2301=""),"",IF(H2301="credit","NO install",IF(AND(K2301="",AE2301="me"),"EACH row",IF(AND(K2301="images",AE2301="me"),"EACH row",IF(D2301="","",IF(H2301="credit","",IF(AE2301="free","re-planting",IF(AE2301="me","   not ELP, by",IF(AND(OR(PlanterYesMe="Yes",PlanterYesMe="Y"),G2301&gt;0),(VLOOKUP(A2301,'Discount Lookup'!J:K,2)*G2301*(1-PlanterDiscount)*(1+PlanterDifficultyPercentage)),IF(AE2301="ELP",(VLOOKUP(A2301,'Discount Lookup'!J:K,2)*G2301*(1-PlanterDiscount)*(1+PlanterDifficultyPercentage)),IF(AE2301="free","re-planting",IF(G2301=0,"",IF(PlanterYesMe="",IF(AE2301="me","   not ELP, by",IF(AE2301="",IF(G2301&gt;0,(VLOOKUP(A2301,'Discount Lookup'!J:K,2)*G2301*(1-PlanterDiscount)*(1+PlanterDifficultyPercentage)),""),"")),"   not ELP, by"))))))))))))))</f>
        <v/>
      </c>
      <c r="AD2301" s="712"/>
      <c r="AE2301" s="513" t="str">
        <f t="shared" si="1674"/>
        <v/>
      </c>
      <c r="AF2301" s="713" t="str">
        <f t="shared" si="1675"/>
        <v/>
      </c>
      <c r="AG2301" s="713"/>
      <c r="AH2301" s="713"/>
      <c r="AI2301" s="112">
        <f>IF(H2301="credit",0,IF(AE2301="free",0,IF(AE2301="me",0,IF(G2301&gt;0,(VLOOKUP(A2301,'Discount Lookup'!J:K,2)*G2301),0))))</f>
        <v>0</v>
      </c>
      <c r="AJ2301" s="107" t="str">
        <f t="shared" ca="1" si="1676"/>
        <v/>
      </c>
      <c r="AK2301" s="714" t="str">
        <f t="shared" si="1677"/>
        <v/>
      </c>
      <c r="AL2301" s="714"/>
      <c r="AM2301" s="114" t="str">
        <f t="shared" si="1678"/>
        <v/>
      </c>
      <c r="AN2301" s="115"/>
      <c r="AO2301" s="116"/>
      <c r="AP2301" s="116"/>
      <c r="AQ2301" s="116"/>
      <c r="AR2301" s="116"/>
      <c r="AS2301" s="116"/>
      <c r="AT2301" s="116"/>
      <c r="AU2301" s="116"/>
      <c r="AV2301" s="78"/>
      <c r="AW2301" s="102"/>
      <c r="AX2301" s="78"/>
      <c r="AY2301" s="78"/>
      <c r="AZ2301" s="78"/>
      <c r="BA2301" s="78"/>
      <c r="BB2301" s="78"/>
      <c r="BC2301" s="78"/>
      <c r="BD2301" s="78"/>
      <c r="BE2301" s="465"/>
      <c r="BF2301" s="165" t="str">
        <f t="shared" si="1679"/>
        <v>https://www.google.com/search?tbm=isch&amp;q=wet%20sites%F0%9F%92%A7BEST%2C%20Winter%20Red%20has%20a%20heavy%2C%20long%20lasting%2C%20fruit%20set.%20Needs%20pollinator%2C%20like%20%27Southern%20Gentleman%27%20or%20%27Apollo%27%20</v>
      </c>
      <c r="BG2301" s="165" t="str">
        <f t="shared" si="1680"/>
        <v>w</v>
      </c>
      <c r="BH2301" s="65"/>
      <c r="BI2301" s="65"/>
      <c r="BJ2301" s="65"/>
      <c r="BK2301" s="65"/>
      <c r="BL2301" s="99"/>
      <c r="BM2301" s="99"/>
      <c r="BN2301" s="99"/>
    </row>
    <row r="2302" spans="1:66" s="51" customFormat="1" ht="18" x14ac:dyDescent="0.25">
      <c r="A2302" s="507" t="s">
        <v>3020</v>
      </c>
      <c r="B2302" s="470"/>
      <c r="C2302" s="706"/>
      <c r="D2302" s="471" t="s">
        <v>3021</v>
      </c>
      <c r="E2302" s="472"/>
      <c r="F2302" s="472"/>
      <c r="G2302" s="472"/>
      <c r="H2302" s="622" t="s">
        <v>1076</v>
      </c>
      <c r="I2302" s="473" t="s">
        <v>431</v>
      </c>
      <c r="J2302" s="472"/>
      <c r="K2302" s="472"/>
      <c r="L2302" s="561"/>
      <c r="M2302" s="698" t="s">
        <v>5246</v>
      </c>
      <c r="N2302" s="692" t="str">
        <f>IF(AND(ISTEXT($A2302), ISERROR($A2302+0)), HYPERLINK($BF2302, "Images"), "")</f>
        <v>Images</v>
      </c>
      <c r="O2302" s="694" t="s">
        <v>5247</v>
      </c>
      <c r="P2302" s="475"/>
      <c r="Q2302" s="476"/>
      <c r="R2302" s="476"/>
      <c r="S2302" s="477" t="s">
        <v>294</v>
      </c>
      <c r="T2302" s="102">
        <f t="shared" si="1668"/>
        <v>0</v>
      </c>
      <c r="U2302" s="78" t="str">
        <f>IF(NOT(ISNUMBER(G2302)), "", VLOOKUP(A2302,'Discount Lookup'!D:E,2,FALSE)*G2302)</f>
        <v/>
      </c>
      <c r="V2302" s="78" t="str">
        <f>IF(NOT(ISNUMBER(G2302)), "", VLOOKUP(A2302,'Discount Lookup'!G:H,2,FALSE)*G2302)</f>
        <v/>
      </c>
      <c r="W2302" s="102">
        <f t="shared" si="1669"/>
        <v>0</v>
      </c>
      <c r="X2302" s="102" t="str">
        <f t="shared" si="1670"/>
        <v>Dark Green foliage</v>
      </c>
      <c r="Y2302" s="120" t="b">
        <f t="shared" si="1671"/>
        <v>0</v>
      </c>
      <c r="Z2302" s="117">
        <f t="shared" si="1672"/>
        <v>0</v>
      </c>
      <c r="AA2302" s="118"/>
      <c r="AB2302" s="118" t="str">
        <f t="shared" si="1673"/>
        <v/>
      </c>
      <c r="AC2302" s="712" t="str">
        <f>IF(AE2302="T2G","no charge",IF(AND(OR(PlanterYesMe="No",PlanterYesMe="N",PlanterYesMe="me"),H2302=""),"",IF(H2302="credit","NO install",IF(AND(K2302="",AE2302="me"),"EACH row",IF(AND(K2302="images",AE2302="me"),"EACH row",IF(D2302="","",IF(H2302="credit","",IF(AE2302="free","re-planting",IF(AE2302="me","   not ELP, by",IF(AND(OR(PlanterYesMe="Yes",PlanterYesMe="Y"),G2302&gt;0),(VLOOKUP(A2302,'Discount Lookup'!J:K,2)*G2302*(1-PlanterDiscount)*(1+PlanterDifficultyPercentage)),IF(AE2302="ELP",(VLOOKUP(A2302,'Discount Lookup'!J:K,2)*G2302*(1-PlanterDiscount)*(1+PlanterDifficultyPercentage)),IF(AE2302="free","re-planting",IF(G2302=0,"",IF(PlanterYesMe="",IF(AE2302="me","   not ELP, by",IF(AE2302="",IF(G2302&gt;0,(VLOOKUP(A2302,'Discount Lookup'!J:K,2)*G2302*(1-PlanterDiscount)*(1+PlanterDifficultyPercentage)),""),"")),"   not ELP, by"))))))))))))))</f>
        <v/>
      </c>
      <c r="AD2302" s="712"/>
      <c r="AE2302" s="513" t="str">
        <f t="shared" si="1674"/>
        <v/>
      </c>
      <c r="AF2302" s="713" t="str">
        <f t="shared" si="1675"/>
        <v/>
      </c>
      <c r="AG2302" s="713"/>
      <c r="AH2302" s="713"/>
      <c r="AI2302" s="112">
        <f>IF(H2302="credit",0,IF(AE2302="free",0,IF(AE2302="me",0,IF(G2302&gt;0,(VLOOKUP(A2302,'Discount Lookup'!J:K,2)*G2302),0))))</f>
        <v>0</v>
      </c>
      <c r="AJ2302" s="107" t="str">
        <f t="shared" ca="1" si="1676"/>
        <v/>
      </c>
      <c r="AK2302" s="714" t="str">
        <f t="shared" si="1677"/>
        <v/>
      </c>
      <c r="AL2302" s="714"/>
      <c r="AM2302" s="114" t="str">
        <f t="shared" si="1678"/>
        <v/>
      </c>
      <c r="AN2302" s="115"/>
      <c r="AO2302" s="116"/>
      <c r="AP2302" s="116"/>
      <c r="AQ2302" s="116"/>
      <c r="AR2302" s="116"/>
      <c r="AS2302" s="116"/>
      <c r="AT2302" s="116"/>
      <c r="AU2302" s="116"/>
      <c r="AV2302" s="78"/>
      <c r="AW2302" s="102"/>
      <c r="AX2302" s="78"/>
      <c r="AY2302" s="78"/>
      <c r="AZ2302" s="78"/>
      <c r="BA2302" s="78"/>
      <c r="BB2302" s="78"/>
      <c r="BC2302" s="78"/>
      <c r="BD2302" s="78"/>
      <c r="BE2302" s="465"/>
      <c r="BF2302" s="165" t="str">
        <f t="shared" si="1679"/>
        <v>https://www.google.com/search?tbm=isch&amp;q=Ilex%20vomitoria%20%27Nana%27%20Dwarf%20Yaupon%20Holly</v>
      </c>
      <c r="BG2302" s="165" t="str">
        <f t="shared" si="1680"/>
        <v>I</v>
      </c>
      <c r="BH2302" s="65"/>
      <c r="BI2302" s="65"/>
      <c r="BJ2302" s="65"/>
      <c r="BK2302" s="65"/>
      <c r="BL2302" s="99"/>
      <c r="BM2302" s="99"/>
      <c r="BN2302" s="99"/>
    </row>
    <row r="2303" spans="1:66" s="51" customFormat="1" ht="15.75" x14ac:dyDescent="0.25">
      <c r="A2303" s="478">
        <v>3</v>
      </c>
      <c r="B2303" s="479" t="s">
        <v>291</v>
      </c>
      <c r="C2303" s="480"/>
      <c r="D2303" s="481" t="s">
        <v>310</v>
      </c>
      <c r="E2303" s="482">
        <v>25.95</v>
      </c>
      <c r="F2303" s="483" t="s">
        <v>292</v>
      </c>
      <c r="G2303" s="484">
        <v>0</v>
      </c>
      <c r="H2303" s="688" t="str">
        <f>IF(G2303=0,"",IF(F2303="Buy",IF(G2303=1,"plant","plants"),IF(F2303&gt;0.01,"warranty","Error")))</f>
        <v/>
      </c>
      <c r="I2303" s="485">
        <f>IF(H2303="free",0,IF(H2303="credit",((E2303*(F2303))*G2303*-1),IF(F2303="Buy",(E2303*G2303),((E2303*(1-F2303))*G2303))))</f>
        <v>0</v>
      </c>
      <c r="J2303" s="485">
        <f>IF(H2303="warranty",0,(I2303*(_xlfn.SINGLE(SalesTaxPercentage))))</f>
        <v>0</v>
      </c>
      <c r="K2303" s="715">
        <f t="shared" ref="K2303" si="1715">I2303+J2303</f>
        <v>0</v>
      </c>
      <c r="L2303" s="715"/>
      <c r="M2303" s="689" t="str">
        <f ca="1">IF(AND(G2303&gt;0,E2303=0),"WARNING - no PRICE inserted",IF(H2303="free","FREE ~ no charge this plant",IF(H2303="credit",CONCATENATE("-$",ROUND(K2303*(1-_xlfn.SINGLE(T2GDiscount))*-1,2)," CREDIT after discount"),IF(_xlfn.SINGLE(T2GDiscount)=0,"",IF(G2303=0,"",IF(F2303="Buy",CONCATENATE("$",ROUND(K2303*(1-_xlfn.SINGLE(T2GDiscount)),2)," with ",(_xlfn.SINGLE(T2GDiscount)*100),"% discount"),CONCATENATE("$",ROUND(K2303*(1-_xlfn.SINGLE(T2GDiscount)),2)," with ",((_xlfn.SINGLE(T2GDiscount)*100+F2303*100)-(_xlfn.SINGLE(T2GDiscount)*100*F2303)),IF(F2303&gt;0,"% discounts",IF(_xlfn.SINGLE(NoWarrantyDiscount)&gt;0,"% discounts","% discount")))))))))</f>
        <v/>
      </c>
      <c r="N2303" s="690"/>
      <c r="O2303" s="486"/>
      <c r="P2303" s="486"/>
      <c r="Q2303" s="486"/>
      <c r="R2303" s="486"/>
      <c r="S2303" s="486"/>
      <c r="T2303" s="102">
        <f t="shared" si="1668"/>
        <v>0</v>
      </c>
      <c r="U2303" s="78">
        <f>IF(NOT(ISNUMBER(G2303)), "", VLOOKUP(A2303,'Discount Lookup'!D:E,2,FALSE)*G2303)</f>
        <v>0</v>
      </c>
      <c r="V2303" s="78">
        <f>IF(NOT(ISNUMBER(G2303)), "", VLOOKUP(A2303,'Discount Lookup'!G:H,2,FALSE)*G2303)</f>
        <v>0</v>
      </c>
      <c r="W2303" s="102">
        <f t="shared" si="1669"/>
        <v>0</v>
      </c>
      <c r="X2303" s="102">
        <f t="shared" si="1670"/>
        <v>0</v>
      </c>
      <c r="Y2303" s="120" t="b">
        <f t="shared" si="1671"/>
        <v>0</v>
      </c>
      <c r="Z2303" s="117">
        <f t="shared" si="1672"/>
        <v>0</v>
      </c>
      <c r="AA2303" s="118"/>
      <c r="AB2303" s="118" t="str">
        <f t="shared" si="1673"/>
        <v/>
      </c>
      <c r="AC2303" s="712" t="str">
        <f>IF(AE2303="T2G","no charge",IF(AND(OR(PlanterYesMe="No",PlanterYesMe="N",PlanterYesMe="me"),H2303=""),"",IF(H2303="credit","NO install",IF(AND(K2303="",AE2303="me"),"EACH row",IF(AND(K2303="images",AE2303="me"),"EACH row",IF(D2303="","",IF(H2303="credit","",IF(AE2303="free","re-planting",IF(AE2303="me","   not ELP, by",IF(AND(OR(PlanterYesMe="Yes",PlanterYesMe="Y"),G2303&gt;0),(VLOOKUP(A2303,'Discount Lookup'!J:K,2)*G2303*(1-PlanterDiscount)*(1+PlanterDifficultyPercentage)),IF(AE2303="ELP",(VLOOKUP(A2303,'Discount Lookup'!J:K,2)*G2303*(1-PlanterDiscount)*(1+PlanterDifficultyPercentage)),IF(AE2303="free","re-planting",IF(G2303=0,"",IF(PlanterYesMe="",IF(AE2303="me","   not ELP, by",IF(AE2303="",IF(G2303&gt;0,(VLOOKUP(A2303,'Discount Lookup'!J:K,2)*G2303*(1-PlanterDiscount)*(1+PlanterDifficultyPercentage)),""),"")),"   not ELP, by"))))))))))))))</f>
        <v/>
      </c>
      <c r="AD2303" s="712"/>
      <c r="AE2303" s="513" t="str">
        <f t="shared" si="1674"/>
        <v/>
      </c>
      <c r="AF2303" s="713" t="str">
        <f t="shared" si="1675"/>
        <v/>
      </c>
      <c r="AG2303" s="713"/>
      <c r="AH2303" s="713"/>
      <c r="AI2303" s="112">
        <f>IF(H2303="credit",0,IF(AE2303="free",0,IF(AE2303="me",0,IF(G2303&gt;0,(VLOOKUP(A2303,'Discount Lookup'!J:K,2)*G2303),0))))</f>
        <v>0</v>
      </c>
      <c r="AJ2303" s="107" t="str">
        <f t="shared" ca="1" si="1676"/>
        <v/>
      </c>
      <c r="AK2303" s="714" t="str">
        <f t="shared" si="1677"/>
        <v/>
      </c>
      <c r="AL2303" s="714"/>
      <c r="AM2303" s="114" t="str">
        <f t="shared" si="1678"/>
        <v/>
      </c>
      <c r="AN2303" s="115"/>
      <c r="AO2303" s="116"/>
      <c r="AP2303" s="116"/>
      <c r="AQ2303" s="116"/>
      <c r="AR2303" s="116"/>
      <c r="AS2303" s="116"/>
      <c r="AT2303" s="116"/>
      <c r="AU2303" s="116"/>
      <c r="AV2303" s="78"/>
      <c r="AW2303" s="102"/>
      <c r="AX2303" s="78"/>
      <c r="AY2303" s="78"/>
      <c r="AZ2303" s="78"/>
      <c r="BA2303" s="78"/>
      <c r="BB2303" s="78"/>
      <c r="BC2303" s="78"/>
      <c r="BD2303" s="78"/>
      <c r="BE2303" s="465"/>
      <c r="BF2303" s="165" t="str">
        <f t="shared" si="1679"/>
        <v>https://www.google.com/search?tbm=isch&amp;q=3%20G1</v>
      </c>
      <c r="BG2303" s="165" t="str">
        <f t="shared" si="1680"/>
        <v>I</v>
      </c>
      <c r="BH2303" s="65"/>
      <c r="BI2303" s="65"/>
      <c r="BJ2303" s="65"/>
      <c r="BK2303" s="65"/>
      <c r="BL2303" s="99"/>
      <c r="BM2303" s="99"/>
      <c r="BN2303" s="99"/>
    </row>
    <row r="2304" spans="1:66" s="51" customFormat="1" ht="15.75" x14ac:dyDescent="0.25">
      <c r="A2304" s="478">
        <v>3</v>
      </c>
      <c r="B2304" s="479" t="s">
        <v>291</v>
      </c>
      <c r="C2304" s="480" t="s">
        <v>1503</v>
      </c>
      <c r="D2304" s="481" t="s">
        <v>293</v>
      </c>
      <c r="E2304" s="482">
        <v>35.950000000000003</v>
      </c>
      <c r="F2304" s="483" t="s">
        <v>292</v>
      </c>
      <c r="G2304" s="484">
        <v>0</v>
      </c>
      <c r="H2304" s="688" t="str">
        <f>IF(G2304=0,"",IF(F2304="Buy",IF(G2304=1,"plant","plants"),IF(F2304&gt;0.01,"warranty","Error")))</f>
        <v/>
      </c>
      <c r="I2304" s="485">
        <f>IF(H2304="free",0,IF(H2304="credit",((E2304*(F2304))*G2304*-1),IF(F2304="Buy",(E2304*G2304),((E2304*(1-F2304))*G2304))))</f>
        <v>0</v>
      </c>
      <c r="J2304" s="485">
        <f>IF(H2304="warranty",0,(I2304*(_xlfn.SINGLE(SalesTaxPercentage))))</f>
        <v>0</v>
      </c>
      <c r="K2304" s="715">
        <f t="shared" ref="K2304" si="1716">I2304+J2304</f>
        <v>0</v>
      </c>
      <c r="L2304" s="715"/>
      <c r="M2304" s="689" t="str">
        <f ca="1">IF(AND(G2304&gt;0,E2304=0),"WARNING - no PRICE inserted",IF(H2304="free","FREE ~ no charge this plant",IF(H2304="credit",CONCATENATE("-$",ROUND(K2304*(1-_xlfn.SINGLE(T2GDiscount))*-1,2)," CREDIT after discount"),IF(_xlfn.SINGLE(T2GDiscount)=0,"",IF(G2304=0,"",IF(F2304="Buy",CONCATENATE("$",ROUND(K2304*(1-_xlfn.SINGLE(T2GDiscount)),2)," with ",(_xlfn.SINGLE(T2GDiscount)*100),"% discount"),CONCATENATE("$",ROUND(K2304*(1-_xlfn.SINGLE(T2GDiscount)),2)," with ",((_xlfn.SINGLE(T2GDiscount)*100+F2304*100)-(_xlfn.SINGLE(T2GDiscount)*100*F2304)),IF(F2304&gt;0,"% discounts",IF(_xlfn.SINGLE(NoWarrantyDiscount)&gt;0,"% discounts","% discount")))))))))</f>
        <v/>
      </c>
      <c r="N2304" s="690"/>
      <c r="O2304" s="486"/>
      <c r="P2304" s="486"/>
      <c r="Q2304" s="486"/>
      <c r="R2304" s="486"/>
      <c r="S2304" s="486"/>
      <c r="T2304" s="102">
        <f t="shared" si="1668"/>
        <v>0</v>
      </c>
      <c r="U2304" s="78">
        <f>IF(NOT(ISNUMBER(G2304)), "", VLOOKUP(A2304,'Discount Lookup'!D:E,2,FALSE)*G2304)</f>
        <v>0</v>
      </c>
      <c r="V2304" s="78">
        <f>IF(NOT(ISNUMBER(G2304)), "", VLOOKUP(A2304,'Discount Lookup'!G:H,2,FALSE)*G2304)</f>
        <v>0</v>
      </c>
      <c r="W2304" s="102">
        <f t="shared" si="1669"/>
        <v>0</v>
      </c>
      <c r="X2304" s="102">
        <f t="shared" si="1670"/>
        <v>0</v>
      </c>
      <c r="Y2304" s="120" t="b">
        <f t="shared" si="1671"/>
        <v>0</v>
      </c>
      <c r="Z2304" s="117">
        <f t="shared" si="1672"/>
        <v>0</v>
      </c>
      <c r="AA2304" s="118"/>
      <c r="AB2304" s="118" t="str">
        <f t="shared" si="1673"/>
        <v/>
      </c>
      <c r="AC2304" s="712" t="str">
        <f>IF(AE2304="T2G","no charge",IF(AND(OR(PlanterYesMe="No",PlanterYesMe="N",PlanterYesMe="me"),H2304=""),"",IF(H2304="credit","NO install",IF(AND(K2304="",AE2304="me"),"EACH row",IF(AND(K2304="images",AE2304="me"),"EACH row",IF(D2304="","",IF(H2304="credit","",IF(AE2304="free","re-planting",IF(AE2304="me","   not ELP, by",IF(AND(OR(PlanterYesMe="Yes",PlanterYesMe="Y"),G2304&gt;0),(VLOOKUP(A2304,'Discount Lookup'!J:K,2)*G2304*(1-PlanterDiscount)*(1+PlanterDifficultyPercentage)),IF(AE2304="ELP",(VLOOKUP(A2304,'Discount Lookup'!J:K,2)*G2304*(1-PlanterDiscount)*(1+PlanterDifficultyPercentage)),IF(AE2304="free","re-planting",IF(G2304=0,"",IF(PlanterYesMe="",IF(AE2304="me","   not ELP, by",IF(AE2304="",IF(G2304&gt;0,(VLOOKUP(A2304,'Discount Lookup'!J:K,2)*G2304*(1-PlanterDiscount)*(1+PlanterDifficultyPercentage)),""),"")),"   not ELP, by"))))))))))))))</f>
        <v/>
      </c>
      <c r="AD2304" s="712"/>
      <c r="AE2304" s="513" t="str">
        <f t="shared" si="1674"/>
        <v/>
      </c>
      <c r="AF2304" s="713" t="str">
        <f t="shared" si="1675"/>
        <v/>
      </c>
      <c r="AG2304" s="713"/>
      <c r="AH2304" s="713"/>
      <c r="AI2304" s="112">
        <f>IF(H2304="credit",0,IF(AE2304="free",0,IF(AE2304="me",0,IF(G2304&gt;0,(VLOOKUP(A2304,'Discount Lookup'!J:K,2)*G2304),0))))</f>
        <v>0</v>
      </c>
      <c r="AJ2304" s="107" t="str">
        <f t="shared" ca="1" si="1676"/>
        <v/>
      </c>
      <c r="AK2304" s="714" t="str">
        <f t="shared" si="1677"/>
        <v/>
      </c>
      <c r="AL2304" s="714"/>
      <c r="AM2304" s="114" t="str">
        <f t="shared" si="1678"/>
        <v/>
      </c>
      <c r="AN2304" s="115"/>
      <c r="AO2304" s="116"/>
      <c r="AP2304" s="116"/>
      <c r="AQ2304" s="116"/>
      <c r="AR2304" s="116"/>
      <c r="AS2304" s="116"/>
      <c r="AT2304" s="116"/>
      <c r="AU2304" s="116"/>
      <c r="AV2304" s="78"/>
      <c r="AW2304" s="102"/>
      <c r="AX2304" s="78"/>
      <c r="AY2304" s="78"/>
      <c r="AZ2304" s="78"/>
      <c r="BA2304" s="78"/>
      <c r="BB2304" s="78"/>
      <c r="BC2304" s="78"/>
      <c r="BD2304" s="78"/>
      <c r="BE2304" s="465"/>
      <c r="BF2304" s="165" t="str">
        <f t="shared" si="1679"/>
        <v>https://www.google.com/search?tbm=isch&amp;q=3%20G6</v>
      </c>
      <c r="BG2304" s="165" t="str">
        <f t="shared" si="1680"/>
        <v>I</v>
      </c>
      <c r="BH2304" s="65"/>
      <c r="BI2304" s="65"/>
      <c r="BJ2304" s="65"/>
      <c r="BK2304" s="65"/>
      <c r="BL2304" s="99"/>
      <c r="BM2304" s="99"/>
      <c r="BN2304" s="99"/>
    </row>
    <row r="2305" spans="1:66" s="51" customFormat="1" ht="16.5" thickBot="1" x14ac:dyDescent="0.3">
      <c r="A2305" s="705" t="s">
        <v>5457</v>
      </c>
      <c r="B2305" s="487"/>
      <c r="C2305" s="707"/>
      <c r="D2305" s="487"/>
      <c r="E2305" s="487"/>
      <c r="F2305" s="488"/>
      <c r="G2305" s="489"/>
      <c r="H2305" s="487"/>
      <c r="I2305" s="490"/>
      <c r="J2305" s="490"/>
      <c r="K2305" s="491"/>
      <c r="L2305" s="547"/>
      <c r="M2305" s="528"/>
      <c r="N2305" s="492"/>
      <c r="O2305" s="493"/>
      <c r="P2305" s="494"/>
      <c r="Q2305" s="492"/>
      <c r="R2305" s="492"/>
      <c r="S2305" s="699" t="s">
        <v>5259</v>
      </c>
      <c r="T2305" s="102">
        <f t="shared" si="1668"/>
        <v>0</v>
      </c>
      <c r="U2305" s="78" t="str">
        <f>IF(NOT(ISNUMBER(G2305)), "", VLOOKUP(A2305,'Discount Lookup'!D:E,2,FALSE)*G2305)</f>
        <v/>
      </c>
      <c r="V2305" s="78" t="str">
        <f>IF(NOT(ISNUMBER(G2305)), "", VLOOKUP(A2305,'Discount Lookup'!G:H,2,FALSE)*G2305)</f>
        <v/>
      </c>
      <c r="W2305" s="102">
        <f t="shared" si="1669"/>
        <v>0</v>
      </c>
      <c r="X2305" s="102">
        <f t="shared" si="1670"/>
        <v>0</v>
      </c>
      <c r="Y2305" s="120" t="b">
        <f t="shared" si="1671"/>
        <v>0</v>
      </c>
      <c r="Z2305" s="117">
        <f t="shared" si="1672"/>
        <v>0</v>
      </c>
      <c r="AA2305" s="118"/>
      <c r="AB2305" s="118" t="str">
        <f t="shared" si="1673"/>
        <v/>
      </c>
      <c r="AC2305" s="712" t="str">
        <f>IF(AE2305="T2G","no charge",IF(AND(OR(PlanterYesMe="No",PlanterYesMe="N",PlanterYesMe="me"),H2305=""),"",IF(H2305="credit","NO install",IF(AND(K2305="",AE2305="me"),"EACH row",IF(AND(K2305="images",AE2305="me"),"EACH row",IF(D2305="","",IF(H2305="credit","",IF(AE2305="free","re-planting",IF(AE2305="me","   not ELP, by",IF(AND(OR(PlanterYesMe="Yes",PlanterYesMe="Y"),G2305&gt;0),(VLOOKUP(A2305,'Discount Lookup'!J:K,2)*G2305*(1-PlanterDiscount)*(1+PlanterDifficultyPercentage)),IF(AE2305="ELP",(VLOOKUP(A2305,'Discount Lookup'!J:K,2)*G2305*(1-PlanterDiscount)*(1+PlanterDifficultyPercentage)),IF(AE2305="free","re-planting",IF(G2305=0,"",IF(PlanterYesMe="",IF(AE2305="me","   not ELP, by",IF(AE2305="",IF(G2305&gt;0,(VLOOKUP(A2305,'Discount Lookup'!J:K,2)*G2305*(1-PlanterDiscount)*(1+PlanterDifficultyPercentage)),""),"")),"   not ELP, by"))))))))))))))</f>
        <v/>
      </c>
      <c r="AD2305" s="712"/>
      <c r="AE2305" s="513" t="str">
        <f t="shared" si="1674"/>
        <v/>
      </c>
      <c r="AF2305" s="713" t="str">
        <f t="shared" si="1675"/>
        <v/>
      </c>
      <c r="AG2305" s="713"/>
      <c r="AH2305" s="713"/>
      <c r="AI2305" s="112">
        <f>IF(H2305="credit",0,IF(AE2305="free",0,IF(AE2305="me",0,IF(G2305&gt;0,(VLOOKUP(A2305,'Discount Lookup'!J:K,2)*G2305),0))))</f>
        <v>0</v>
      </c>
      <c r="AJ2305" s="107" t="str">
        <f t="shared" ca="1" si="1676"/>
        <v/>
      </c>
      <c r="AK2305" s="714" t="str">
        <f t="shared" si="1677"/>
        <v/>
      </c>
      <c r="AL2305" s="714"/>
      <c r="AM2305" s="114" t="str">
        <f t="shared" si="1678"/>
        <v/>
      </c>
      <c r="AN2305" s="115"/>
      <c r="AO2305" s="116"/>
      <c r="AP2305" s="116"/>
      <c r="AQ2305" s="116"/>
      <c r="AR2305" s="116"/>
      <c r="AS2305" s="116"/>
      <c r="AT2305" s="116"/>
      <c r="AU2305" s="116"/>
      <c r="AV2305" s="78"/>
      <c r="AW2305" s="102"/>
      <c r="AX2305" s="78"/>
      <c r="AY2305" s="78"/>
      <c r="AZ2305" s="78"/>
      <c r="BA2305" s="78"/>
      <c r="BB2305" s="78"/>
      <c r="BC2305" s="78"/>
      <c r="BD2305" s="78"/>
      <c r="BE2305" s="465"/>
      <c r="BF2305" s="165" t="str">
        <f t="shared" si="1679"/>
        <v>https://www.google.com/search?tbm=isch&amp;q=moist%20sites%F0%9F%92%A7OK%2C%20Dwarf%20Yaupon%20has%20brittle%2C%20close-knit%20branches.%20Good%20for%20hedges.%20Small%20flowers%20%26%20berries%20often%20hidden%20</v>
      </c>
      <c r="BG2305" s="165" t="str">
        <f t="shared" si="1680"/>
        <v>m</v>
      </c>
      <c r="BH2305" s="65"/>
      <c r="BI2305" s="65"/>
      <c r="BJ2305" s="65"/>
      <c r="BK2305" s="65"/>
      <c r="BL2305" s="99"/>
      <c r="BM2305" s="99"/>
      <c r="BN2305" s="99"/>
    </row>
    <row r="2306" spans="1:66" s="51" customFormat="1" ht="18" x14ac:dyDescent="0.25">
      <c r="A2306" s="507" t="s">
        <v>3022</v>
      </c>
      <c r="B2306" s="470"/>
      <c r="C2306" s="706"/>
      <c r="D2306" s="471" t="s">
        <v>3023</v>
      </c>
      <c r="E2306" s="472"/>
      <c r="F2306" s="472"/>
      <c r="G2306" s="472"/>
      <c r="H2306" s="622" t="s">
        <v>2996</v>
      </c>
      <c r="I2306" s="473" t="s">
        <v>3024</v>
      </c>
      <c r="J2306" s="472"/>
      <c r="K2306" s="472"/>
      <c r="L2306" s="561"/>
      <c r="M2306" s="698" t="s">
        <v>5246</v>
      </c>
      <c r="N2306" s="692" t="str">
        <f>IF(AND(ISTEXT($A2306), ISERROR($A2306+0)), HYPERLINK($BF2306, "Images"), "")</f>
        <v>Images</v>
      </c>
      <c r="O2306" s="694" t="s">
        <v>5244</v>
      </c>
      <c r="P2306" s="475"/>
      <c r="Q2306" s="476"/>
      <c r="R2306" s="476"/>
      <c r="S2306" s="477" t="s">
        <v>294</v>
      </c>
      <c r="T2306" s="102">
        <f t="shared" si="1668"/>
        <v>0</v>
      </c>
      <c r="U2306" s="78" t="str">
        <f>IF(NOT(ISNUMBER(G2306)), "", VLOOKUP(A2306,'Discount Lookup'!D:E,2,FALSE)*G2306)</f>
        <v/>
      </c>
      <c r="V2306" s="78" t="str">
        <f>IF(NOT(ISNUMBER(G2306)), "", VLOOKUP(A2306,'Discount Lookup'!G:H,2,FALSE)*G2306)</f>
        <v/>
      </c>
      <c r="W2306" s="102">
        <f t="shared" si="1669"/>
        <v>0</v>
      </c>
      <c r="X2306" s="102" t="str">
        <f t="shared" si="1670"/>
        <v>Bright Red berries</v>
      </c>
      <c r="Y2306" s="120" t="b">
        <f t="shared" si="1671"/>
        <v>0</v>
      </c>
      <c r="Z2306" s="117">
        <f t="shared" si="1672"/>
        <v>0</v>
      </c>
      <c r="AA2306" s="118"/>
      <c r="AB2306" s="118" t="str">
        <f t="shared" si="1673"/>
        <v/>
      </c>
      <c r="AC2306" s="712" t="str">
        <f>IF(AE2306="T2G","no charge",IF(AND(OR(PlanterYesMe="No",PlanterYesMe="N",PlanterYesMe="me"),H2306=""),"",IF(H2306="credit","NO install",IF(AND(K2306="",AE2306="me"),"EACH row",IF(AND(K2306="images",AE2306="me"),"EACH row",IF(D2306="","",IF(H2306="credit","",IF(AE2306="free","re-planting",IF(AE2306="me","   not ELP, by",IF(AND(OR(PlanterYesMe="Yes",PlanterYesMe="Y"),G2306&gt;0),(VLOOKUP(A2306,'Discount Lookup'!J:K,2)*G2306*(1-PlanterDiscount)*(1+PlanterDifficultyPercentage)),IF(AE2306="ELP",(VLOOKUP(A2306,'Discount Lookup'!J:K,2)*G2306*(1-PlanterDiscount)*(1+PlanterDifficultyPercentage)),IF(AE2306="free","re-planting",IF(G2306=0,"",IF(PlanterYesMe="",IF(AE2306="me","   not ELP, by",IF(AE2306="",IF(G2306&gt;0,(VLOOKUP(A2306,'Discount Lookup'!J:K,2)*G2306*(1-PlanterDiscount)*(1+PlanterDifficultyPercentage)),""),"")),"   not ELP, by"))))))))))))))</f>
        <v/>
      </c>
      <c r="AD2306" s="712"/>
      <c r="AE2306" s="513" t="str">
        <f t="shared" si="1674"/>
        <v/>
      </c>
      <c r="AF2306" s="713" t="str">
        <f t="shared" si="1675"/>
        <v/>
      </c>
      <c r="AG2306" s="713"/>
      <c r="AH2306" s="713"/>
      <c r="AI2306" s="112">
        <f>IF(H2306="credit",0,IF(AE2306="free",0,IF(AE2306="me",0,IF(G2306&gt;0,(VLOOKUP(A2306,'Discount Lookup'!J:K,2)*G2306),0))))</f>
        <v>0</v>
      </c>
      <c r="AJ2306" s="107" t="str">
        <f t="shared" ca="1" si="1676"/>
        <v/>
      </c>
      <c r="AK2306" s="714" t="str">
        <f t="shared" si="1677"/>
        <v/>
      </c>
      <c r="AL2306" s="714"/>
      <c r="AM2306" s="114" t="str">
        <f t="shared" si="1678"/>
        <v/>
      </c>
      <c r="AN2306" s="115"/>
      <c r="AO2306" s="116"/>
      <c r="AP2306" s="116"/>
      <c r="AQ2306" s="116"/>
      <c r="AR2306" s="116"/>
      <c r="AS2306" s="116"/>
      <c r="AT2306" s="116"/>
      <c r="AU2306" s="116"/>
      <c r="AV2306" s="78"/>
      <c r="AW2306" s="102"/>
      <c r="AX2306" s="78"/>
      <c r="AY2306" s="78"/>
      <c r="AZ2306" s="78"/>
      <c r="BA2306" s="78"/>
      <c r="BB2306" s="78"/>
      <c r="BC2306" s="78"/>
      <c r="BD2306" s="78"/>
      <c r="BE2306" s="465"/>
      <c r="BF2306" s="165" t="str">
        <f t="shared" si="1679"/>
        <v>https://www.google.com/search?tbm=isch&amp;q=Ilex%20vomitoria%20%27Pendula%27%20Weeping%20Yaupon%20Holly</v>
      </c>
      <c r="BG2306" s="165" t="str">
        <f t="shared" si="1680"/>
        <v>I</v>
      </c>
      <c r="BH2306" s="65"/>
      <c r="BI2306" s="65"/>
      <c r="BJ2306" s="65"/>
      <c r="BK2306" s="65"/>
      <c r="BL2306" s="99"/>
      <c r="BM2306" s="99"/>
      <c r="BN2306" s="99"/>
    </row>
    <row r="2307" spans="1:66" s="51" customFormat="1" ht="15.75" x14ac:dyDescent="0.25">
      <c r="A2307" s="478">
        <v>7</v>
      </c>
      <c r="B2307" s="479" t="s">
        <v>291</v>
      </c>
      <c r="C2307" s="480" t="s">
        <v>3025</v>
      </c>
      <c r="D2307" s="481" t="s">
        <v>299</v>
      </c>
      <c r="E2307" s="482">
        <v>104.95</v>
      </c>
      <c r="F2307" s="483" t="s">
        <v>292</v>
      </c>
      <c r="G2307" s="484">
        <v>0</v>
      </c>
      <c r="H2307" s="688" t="str">
        <f>IF(G2307=0,"",IF(F2307="Buy",IF(G2307=1,"plant","plants"),IF(F2307&gt;0.01,"warranty","Error")))</f>
        <v/>
      </c>
      <c r="I2307" s="485">
        <f>IF(H2307="free",0,IF(H2307="credit",((E2307*(F2307))*G2307*-1),IF(F2307="Buy",(E2307*G2307),((E2307*(1-F2307))*G2307))))</f>
        <v>0</v>
      </c>
      <c r="J2307" s="485">
        <f>IF(H2307="warranty",0,(I2307*(_xlfn.SINGLE(SalesTaxPercentage))))</f>
        <v>0</v>
      </c>
      <c r="K2307" s="715">
        <f t="shared" ref="K2307" si="1717">I2307+J2307</f>
        <v>0</v>
      </c>
      <c r="L2307" s="715"/>
      <c r="M2307" s="689" t="str">
        <f ca="1">IF(AND(G2307&gt;0,E2307=0),"WARNING - no PRICE inserted",IF(H2307="free","FREE ~ no charge this plant",IF(H2307="credit",CONCATENATE("-$",ROUND(K2307*(1-_xlfn.SINGLE(T2GDiscount))*-1,2)," CREDIT after discount"),IF(_xlfn.SINGLE(T2GDiscount)=0,"",IF(G2307=0,"",IF(F2307="Buy",CONCATENATE("$",ROUND(K2307*(1-_xlfn.SINGLE(T2GDiscount)),2)," with ",(_xlfn.SINGLE(T2GDiscount)*100),"% discount"),CONCATENATE("$",ROUND(K2307*(1-_xlfn.SINGLE(T2GDiscount)),2)," with ",((_xlfn.SINGLE(T2GDiscount)*100+F2307*100)-(_xlfn.SINGLE(T2GDiscount)*100*F2307)),IF(F2307&gt;0,"% discounts",IF(_xlfn.SINGLE(NoWarrantyDiscount)&gt;0,"% discounts","% discount")))))))))</f>
        <v/>
      </c>
      <c r="N2307" s="690"/>
      <c r="O2307" s="486"/>
      <c r="P2307" s="486"/>
      <c r="Q2307" s="486"/>
      <c r="R2307" s="486"/>
      <c r="S2307" s="486"/>
      <c r="T2307" s="102">
        <f t="shared" si="1668"/>
        <v>0</v>
      </c>
      <c r="U2307" s="78">
        <f>IF(NOT(ISNUMBER(G2307)), "", VLOOKUP(A2307,'Discount Lookup'!D:E,2,FALSE)*G2307)</f>
        <v>0</v>
      </c>
      <c r="V2307" s="78">
        <f>IF(NOT(ISNUMBER(G2307)), "", VLOOKUP(A2307,'Discount Lookup'!G:H,2,FALSE)*G2307)</f>
        <v>0</v>
      </c>
      <c r="W2307" s="102">
        <f t="shared" si="1669"/>
        <v>0</v>
      </c>
      <c r="X2307" s="102">
        <f t="shared" si="1670"/>
        <v>0</v>
      </c>
      <c r="Y2307" s="120" t="b">
        <f t="shared" si="1671"/>
        <v>0</v>
      </c>
      <c r="Z2307" s="117">
        <f t="shared" si="1672"/>
        <v>0</v>
      </c>
      <c r="AA2307" s="118"/>
      <c r="AB2307" s="118" t="str">
        <f t="shared" si="1673"/>
        <v/>
      </c>
      <c r="AC2307" s="712" t="str">
        <f>IF(AE2307="T2G","no charge",IF(AND(OR(PlanterYesMe="No",PlanterYesMe="N",PlanterYesMe="me"),H2307=""),"",IF(H2307="credit","NO install",IF(AND(K2307="",AE2307="me"),"EACH row",IF(AND(K2307="images",AE2307="me"),"EACH row",IF(D2307="","",IF(H2307="credit","",IF(AE2307="free","re-planting",IF(AE2307="me","   not ELP, by",IF(AND(OR(PlanterYesMe="Yes",PlanterYesMe="Y"),G2307&gt;0),(VLOOKUP(A2307,'Discount Lookup'!J:K,2)*G2307*(1-PlanterDiscount)*(1+PlanterDifficultyPercentage)),IF(AE2307="ELP",(VLOOKUP(A2307,'Discount Lookup'!J:K,2)*G2307*(1-PlanterDiscount)*(1+PlanterDifficultyPercentage)),IF(AE2307="free","re-planting",IF(G2307=0,"",IF(PlanterYesMe="",IF(AE2307="me","   not ELP, by",IF(AE2307="",IF(G2307&gt;0,(VLOOKUP(A2307,'Discount Lookup'!J:K,2)*G2307*(1-PlanterDiscount)*(1+PlanterDifficultyPercentage)),""),"")),"   not ELP, by"))))))))))))))</f>
        <v/>
      </c>
      <c r="AD2307" s="712"/>
      <c r="AE2307" s="513" t="str">
        <f t="shared" si="1674"/>
        <v/>
      </c>
      <c r="AF2307" s="713" t="str">
        <f t="shared" si="1675"/>
        <v/>
      </c>
      <c r="AG2307" s="713"/>
      <c r="AH2307" s="713"/>
      <c r="AI2307" s="112">
        <f>IF(H2307="credit",0,IF(AE2307="free",0,IF(AE2307="me",0,IF(G2307&gt;0,(VLOOKUP(A2307,'Discount Lookup'!J:K,2)*G2307),0))))</f>
        <v>0</v>
      </c>
      <c r="AJ2307" s="107" t="str">
        <f t="shared" ca="1" si="1676"/>
        <v/>
      </c>
      <c r="AK2307" s="714" t="str">
        <f t="shared" si="1677"/>
        <v/>
      </c>
      <c r="AL2307" s="714"/>
      <c r="AM2307" s="114" t="str">
        <f t="shared" si="1678"/>
        <v/>
      </c>
      <c r="AN2307" s="115"/>
      <c r="AO2307" s="116"/>
      <c r="AP2307" s="116"/>
      <c r="AQ2307" s="116"/>
      <c r="AR2307" s="116"/>
      <c r="AS2307" s="116"/>
      <c r="AT2307" s="116"/>
      <c r="AU2307" s="116"/>
      <c r="AV2307" s="78"/>
      <c r="AW2307" s="102"/>
      <c r="AX2307" s="78"/>
      <c r="AY2307" s="78"/>
      <c r="AZ2307" s="78"/>
      <c r="BA2307" s="78"/>
      <c r="BB2307" s="78"/>
      <c r="BC2307" s="78"/>
      <c r="BD2307" s="78"/>
      <c r="BE2307" s="465"/>
      <c r="BF2307" s="165" t="str">
        <f t="shared" si="1679"/>
        <v>https://www.google.com/search?tbm=isch&amp;q=7%20G4</v>
      </c>
      <c r="BG2307" s="165" t="str">
        <f t="shared" si="1680"/>
        <v>I</v>
      </c>
      <c r="BH2307" s="65"/>
      <c r="BI2307" s="65"/>
      <c r="BJ2307" s="65"/>
      <c r="BK2307" s="65"/>
      <c r="BL2307" s="99"/>
      <c r="BM2307" s="99"/>
      <c r="BN2307" s="99"/>
    </row>
    <row r="2308" spans="1:66" s="51" customFormat="1" ht="15.75" x14ac:dyDescent="0.25">
      <c r="A2308" s="478">
        <v>15</v>
      </c>
      <c r="B2308" s="479" t="s">
        <v>291</v>
      </c>
      <c r="C2308" s="480" t="s">
        <v>3026</v>
      </c>
      <c r="D2308" s="481" t="s">
        <v>299</v>
      </c>
      <c r="E2308" s="482">
        <v>206.95</v>
      </c>
      <c r="F2308" s="483" t="s">
        <v>292</v>
      </c>
      <c r="G2308" s="484">
        <v>0</v>
      </c>
      <c r="H2308" s="688" t="str">
        <f>IF(G2308=0,"",IF(F2308="Buy",IF(G2308=1,"plant","plants"),IF(F2308&gt;0.01,"warranty","Error")))</f>
        <v/>
      </c>
      <c r="I2308" s="485">
        <f>IF(H2308="free",0,IF(H2308="credit",((E2308*(F2308))*G2308*-1),IF(F2308="Buy",(E2308*G2308),((E2308*(1-F2308))*G2308))))</f>
        <v>0</v>
      </c>
      <c r="J2308" s="485">
        <f>IF(H2308="warranty",0,(I2308*(_xlfn.SINGLE(SalesTaxPercentage))))</f>
        <v>0</v>
      </c>
      <c r="K2308" s="715">
        <f t="shared" ref="K2308" si="1718">I2308+J2308</f>
        <v>0</v>
      </c>
      <c r="L2308" s="715"/>
      <c r="M2308" s="689" t="str">
        <f ca="1">IF(AND(G2308&gt;0,E2308=0),"WARNING - no PRICE inserted",IF(H2308="free","FREE ~ no charge this plant",IF(H2308="credit",CONCATENATE("-$",ROUND(K2308*(1-_xlfn.SINGLE(T2GDiscount))*-1,2)," CREDIT after discount"),IF(_xlfn.SINGLE(T2GDiscount)=0,"",IF(G2308=0,"",IF(F2308="Buy",CONCATENATE("$",ROUND(K2308*(1-_xlfn.SINGLE(T2GDiscount)),2)," with ",(_xlfn.SINGLE(T2GDiscount)*100),"% discount"),CONCATENATE("$",ROUND(K2308*(1-_xlfn.SINGLE(T2GDiscount)),2)," with ",((_xlfn.SINGLE(T2GDiscount)*100+F2308*100)-(_xlfn.SINGLE(T2GDiscount)*100*F2308)),IF(F2308&gt;0,"% discounts",IF(_xlfn.SINGLE(NoWarrantyDiscount)&gt;0,"% discounts","% discount")))))))))</f>
        <v/>
      </c>
      <c r="N2308" s="690"/>
      <c r="O2308" s="486"/>
      <c r="P2308" s="486"/>
      <c r="Q2308" s="486"/>
      <c r="R2308" s="486"/>
      <c r="S2308" s="486"/>
      <c r="T2308" s="102">
        <f t="shared" si="1668"/>
        <v>0</v>
      </c>
      <c r="U2308" s="78">
        <f>IF(NOT(ISNUMBER(G2308)), "", VLOOKUP(A2308,'Discount Lookup'!D:E,2,FALSE)*G2308)</f>
        <v>0</v>
      </c>
      <c r="V2308" s="78">
        <f>IF(NOT(ISNUMBER(G2308)), "", VLOOKUP(A2308,'Discount Lookup'!G:H,2,FALSE)*G2308)</f>
        <v>0</v>
      </c>
      <c r="W2308" s="102">
        <f t="shared" si="1669"/>
        <v>0</v>
      </c>
      <c r="X2308" s="102">
        <f t="shared" si="1670"/>
        <v>0</v>
      </c>
      <c r="Y2308" s="120" t="b">
        <f t="shared" si="1671"/>
        <v>0</v>
      </c>
      <c r="Z2308" s="117">
        <f t="shared" si="1672"/>
        <v>0</v>
      </c>
      <c r="AA2308" s="118"/>
      <c r="AB2308" s="118" t="str">
        <f t="shared" si="1673"/>
        <v/>
      </c>
      <c r="AC2308" s="712" t="str">
        <f>IF(AE2308="T2G","no charge",IF(AND(OR(PlanterYesMe="No",PlanterYesMe="N",PlanterYesMe="me"),H2308=""),"",IF(H2308="credit","NO install",IF(AND(K2308="",AE2308="me"),"EACH row",IF(AND(K2308="images",AE2308="me"),"EACH row",IF(D2308="","",IF(H2308="credit","",IF(AE2308="free","re-planting",IF(AE2308="me","   not ELP, by",IF(AND(OR(PlanterYesMe="Yes",PlanterYesMe="Y"),G2308&gt;0),(VLOOKUP(A2308,'Discount Lookup'!J:K,2)*G2308*(1-PlanterDiscount)*(1+PlanterDifficultyPercentage)),IF(AE2308="ELP",(VLOOKUP(A2308,'Discount Lookup'!J:K,2)*G2308*(1-PlanterDiscount)*(1+PlanterDifficultyPercentage)),IF(AE2308="free","re-planting",IF(G2308=0,"",IF(PlanterYesMe="",IF(AE2308="me","   not ELP, by",IF(AE2308="",IF(G2308&gt;0,(VLOOKUP(A2308,'Discount Lookup'!J:K,2)*G2308*(1-PlanterDiscount)*(1+PlanterDifficultyPercentage)),""),"")),"   not ELP, by"))))))))))))))</f>
        <v/>
      </c>
      <c r="AD2308" s="712"/>
      <c r="AE2308" s="513" t="str">
        <f t="shared" si="1674"/>
        <v/>
      </c>
      <c r="AF2308" s="713" t="str">
        <f t="shared" si="1675"/>
        <v/>
      </c>
      <c r="AG2308" s="713"/>
      <c r="AH2308" s="713"/>
      <c r="AI2308" s="112">
        <f>IF(H2308="credit",0,IF(AE2308="free",0,IF(AE2308="me",0,IF(G2308&gt;0,(VLOOKUP(A2308,'Discount Lookup'!J:K,2)*G2308),0))))</f>
        <v>0</v>
      </c>
      <c r="AJ2308" s="107" t="str">
        <f t="shared" ca="1" si="1676"/>
        <v/>
      </c>
      <c r="AK2308" s="714" t="str">
        <f t="shared" si="1677"/>
        <v/>
      </c>
      <c r="AL2308" s="714"/>
      <c r="AM2308" s="114" t="str">
        <f t="shared" si="1678"/>
        <v/>
      </c>
      <c r="AN2308" s="115"/>
      <c r="AO2308" s="116"/>
      <c r="AP2308" s="116"/>
      <c r="AQ2308" s="116"/>
      <c r="AR2308" s="116"/>
      <c r="AS2308" s="116"/>
      <c r="AT2308" s="116"/>
      <c r="AU2308" s="116"/>
      <c r="AV2308" s="78"/>
      <c r="AW2308" s="102"/>
      <c r="AX2308" s="78"/>
      <c r="AY2308" s="78"/>
      <c r="AZ2308" s="78"/>
      <c r="BA2308" s="78"/>
      <c r="BB2308" s="78"/>
      <c r="BC2308" s="78"/>
      <c r="BD2308" s="78"/>
      <c r="BE2308" s="465"/>
      <c r="BF2308" s="165" t="str">
        <f t="shared" si="1679"/>
        <v>https://www.google.com/search?tbm=isch&amp;q=15%20G4</v>
      </c>
      <c r="BG2308" s="165" t="str">
        <f t="shared" si="1680"/>
        <v>I</v>
      </c>
      <c r="BH2308" s="65"/>
      <c r="BI2308" s="65"/>
      <c r="BJ2308" s="65"/>
      <c r="BK2308" s="65"/>
      <c r="BL2308" s="99"/>
      <c r="BM2308" s="99"/>
      <c r="BN2308" s="99"/>
    </row>
    <row r="2309" spans="1:66" s="51" customFormat="1" ht="17.25" thickBot="1" x14ac:dyDescent="0.3">
      <c r="A2309" s="705" t="s">
        <v>5458</v>
      </c>
      <c r="B2309" s="487"/>
      <c r="C2309" s="707"/>
      <c r="D2309" s="487"/>
      <c r="E2309" s="487"/>
      <c r="F2309" s="488"/>
      <c r="G2309" s="489"/>
      <c r="H2309" s="487"/>
      <c r="I2309" s="490"/>
      <c r="J2309" s="490"/>
      <c r="K2309" s="491"/>
      <c r="L2309" s="547"/>
      <c r="M2309" s="528"/>
      <c r="N2309" s="492"/>
      <c r="O2309" s="493"/>
      <c r="P2309" s="494"/>
      <c r="Q2309" s="492"/>
      <c r="R2309" s="492"/>
      <c r="S2309" s="699" t="s">
        <v>5268</v>
      </c>
      <c r="T2309" s="102">
        <f t="shared" si="1668"/>
        <v>0</v>
      </c>
      <c r="U2309" s="78" t="str">
        <f>IF(NOT(ISNUMBER(G2309)), "", VLOOKUP(A2309,'Discount Lookup'!D:E,2,FALSE)*G2309)</f>
        <v/>
      </c>
      <c r="V2309" s="78" t="str">
        <f>IF(NOT(ISNUMBER(G2309)), "", VLOOKUP(A2309,'Discount Lookup'!G:H,2,FALSE)*G2309)</f>
        <v/>
      </c>
      <c r="W2309" s="102">
        <f t="shared" si="1669"/>
        <v>0</v>
      </c>
      <c r="X2309" s="102">
        <f t="shared" si="1670"/>
        <v>0</v>
      </c>
      <c r="Y2309" s="120" t="b">
        <f t="shared" si="1671"/>
        <v>0</v>
      </c>
      <c r="Z2309" s="117">
        <f t="shared" si="1672"/>
        <v>0</v>
      </c>
      <c r="AA2309" s="118"/>
      <c r="AB2309" s="118" t="str">
        <f t="shared" si="1673"/>
        <v/>
      </c>
      <c r="AC2309" s="712" t="str">
        <f>IF(AE2309="T2G","no charge",IF(AND(OR(PlanterYesMe="No",PlanterYesMe="N",PlanterYesMe="me"),H2309=""),"",IF(H2309="credit","NO install",IF(AND(K2309="",AE2309="me"),"EACH row",IF(AND(K2309="images",AE2309="me"),"EACH row",IF(D2309="","",IF(H2309="credit","",IF(AE2309="free","re-planting",IF(AE2309="me","   not ELP, by",IF(AND(OR(PlanterYesMe="Yes",PlanterYesMe="Y"),G2309&gt;0),(VLOOKUP(A2309,'Discount Lookup'!J:K,2)*G2309*(1-PlanterDiscount)*(1+PlanterDifficultyPercentage)),IF(AE2309="ELP",(VLOOKUP(A2309,'Discount Lookup'!J:K,2)*G2309*(1-PlanterDiscount)*(1+PlanterDifficultyPercentage)),IF(AE2309="free","re-planting",IF(G2309=0,"",IF(PlanterYesMe="",IF(AE2309="me","   not ELP, by",IF(AE2309="",IF(G2309&gt;0,(VLOOKUP(A2309,'Discount Lookup'!J:K,2)*G2309*(1-PlanterDiscount)*(1+PlanterDifficultyPercentage)),""),"")),"   not ELP, by"))))))))))))))</f>
        <v/>
      </c>
      <c r="AD2309" s="712"/>
      <c r="AE2309" s="513" t="str">
        <f t="shared" si="1674"/>
        <v/>
      </c>
      <c r="AF2309" s="713" t="str">
        <f t="shared" si="1675"/>
        <v/>
      </c>
      <c r="AG2309" s="713"/>
      <c r="AH2309" s="713"/>
      <c r="AI2309" s="112">
        <f>IF(H2309="credit",0,IF(AE2309="free",0,IF(AE2309="me",0,IF(G2309&gt;0,(VLOOKUP(A2309,'Discount Lookup'!J:K,2)*G2309),0))))</f>
        <v>0</v>
      </c>
      <c r="AJ2309" s="107" t="str">
        <f t="shared" ca="1" si="1676"/>
        <v/>
      </c>
      <c r="AK2309" s="714" t="str">
        <f t="shared" si="1677"/>
        <v/>
      </c>
      <c r="AL2309" s="714"/>
      <c r="AM2309" s="114" t="str">
        <f t="shared" si="1678"/>
        <v/>
      </c>
      <c r="AN2309" s="115"/>
      <c r="AO2309" s="116"/>
      <c r="AP2309" s="116"/>
      <c r="AQ2309" s="116"/>
      <c r="AR2309" s="116"/>
      <c r="AS2309" s="116"/>
      <c r="AT2309" s="116"/>
      <c r="AU2309" s="116"/>
      <c r="AV2309" s="78"/>
      <c r="AW2309" s="102"/>
      <c r="AX2309" s="78"/>
      <c r="AY2309" s="78"/>
      <c r="AZ2309" s="78"/>
      <c r="BA2309" s="78"/>
      <c r="BB2309" s="78"/>
      <c r="BC2309" s="78"/>
      <c r="BD2309" s="78"/>
      <c r="BE2309" s="465"/>
      <c r="BF2309" s="165" t="str">
        <f t="shared" si="1679"/>
        <v>https://www.google.com/search?tbm=isch&amp;q=moist%20sites%F0%9F%92%A7OK%2C%20Weeping%20Yaupon%20is%20grown%20for%20elegant%20weeping%20form.%20Thornless.%20Foliage%20can%20be%20used%20to%20make%20Tea%20</v>
      </c>
      <c r="BG2309" s="165" t="str">
        <f t="shared" si="1680"/>
        <v>m</v>
      </c>
      <c r="BH2309" s="65"/>
      <c r="BI2309" s="65"/>
      <c r="BJ2309" s="65"/>
      <c r="BK2309" s="65"/>
      <c r="BL2309" s="99"/>
      <c r="BM2309" s="99"/>
      <c r="BN2309" s="99"/>
    </row>
    <row r="2310" spans="1:66" s="51" customFormat="1" ht="18" x14ac:dyDescent="0.25">
      <c r="A2310" s="507" t="s">
        <v>3027</v>
      </c>
      <c r="B2310" s="470"/>
      <c r="C2310" s="706"/>
      <c r="D2310" s="471" t="s">
        <v>3028</v>
      </c>
      <c r="E2310" s="472"/>
      <c r="F2310" s="472"/>
      <c r="G2310" s="472"/>
      <c r="H2310" s="622" t="s">
        <v>1207</v>
      </c>
      <c r="I2310" s="473" t="s">
        <v>431</v>
      </c>
      <c r="J2310" s="472"/>
      <c r="K2310" s="472"/>
      <c r="L2310" s="561"/>
      <c r="M2310" s="698" t="s">
        <v>5246</v>
      </c>
      <c r="N2310" s="692" t="str">
        <f>IF(AND(ISTEXT($A2310), ISERROR($A2310+0)), HYPERLINK($BF2310, "Images"), "")</f>
        <v>Images</v>
      </c>
      <c r="O2310" s="694" t="s">
        <v>5244</v>
      </c>
      <c r="P2310" s="475"/>
      <c r="Q2310" s="476"/>
      <c r="R2310" s="476"/>
      <c r="S2310" s="477" t="s">
        <v>294</v>
      </c>
      <c r="T2310" s="102">
        <f t="shared" si="1668"/>
        <v>0</v>
      </c>
      <c r="U2310" s="78" t="str">
        <f>IF(NOT(ISNUMBER(G2310)), "", VLOOKUP(A2310,'Discount Lookup'!D:E,2,FALSE)*G2310)</f>
        <v/>
      </c>
      <c r="V2310" s="78" t="str">
        <f>IF(NOT(ISNUMBER(G2310)), "", VLOOKUP(A2310,'Discount Lookup'!G:H,2,FALSE)*G2310)</f>
        <v/>
      </c>
      <c r="W2310" s="102">
        <f t="shared" si="1669"/>
        <v>0</v>
      </c>
      <c r="X2310" s="102" t="str">
        <f t="shared" si="1670"/>
        <v>Dark Green foliage</v>
      </c>
      <c r="Y2310" s="120" t="b">
        <f t="shared" si="1671"/>
        <v>0</v>
      </c>
      <c r="Z2310" s="117">
        <f t="shared" si="1672"/>
        <v>0</v>
      </c>
      <c r="AA2310" s="118"/>
      <c r="AB2310" s="118" t="str">
        <f t="shared" si="1673"/>
        <v/>
      </c>
      <c r="AC2310" s="712" t="str">
        <f>IF(AE2310="T2G","no charge",IF(AND(OR(PlanterYesMe="No",PlanterYesMe="N",PlanterYesMe="me"),H2310=""),"",IF(H2310="credit","NO install",IF(AND(K2310="",AE2310="me"),"EACH row",IF(AND(K2310="images",AE2310="me"),"EACH row",IF(D2310="","",IF(H2310="credit","",IF(AE2310="free","re-planting",IF(AE2310="me","   not ELP, by",IF(AND(OR(PlanterYesMe="Yes",PlanterYesMe="Y"),G2310&gt;0),(VLOOKUP(A2310,'Discount Lookup'!J:K,2)*G2310*(1-PlanterDiscount)*(1+PlanterDifficultyPercentage)),IF(AE2310="ELP",(VLOOKUP(A2310,'Discount Lookup'!J:K,2)*G2310*(1-PlanterDiscount)*(1+PlanterDifficultyPercentage)),IF(AE2310="free","re-planting",IF(G2310=0,"",IF(PlanterYesMe="",IF(AE2310="me","   not ELP, by",IF(AE2310="",IF(G2310&gt;0,(VLOOKUP(A2310,'Discount Lookup'!J:K,2)*G2310*(1-PlanterDiscount)*(1+PlanterDifficultyPercentage)),""),"")),"   not ELP, by"))))))))))))))</f>
        <v/>
      </c>
      <c r="AD2310" s="712"/>
      <c r="AE2310" s="513" t="str">
        <f t="shared" si="1674"/>
        <v/>
      </c>
      <c r="AF2310" s="713" t="str">
        <f t="shared" si="1675"/>
        <v/>
      </c>
      <c r="AG2310" s="713"/>
      <c r="AH2310" s="713"/>
      <c r="AI2310" s="112">
        <f>IF(H2310="credit",0,IF(AE2310="free",0,IF(AE2310="me",0,IF(G2310&gt;0,(VLOOKUP(A2310,'Discount Lookup'!J:K,2)*G2310),0))))</f>
        <v>0</v>
      </c>
      <c r="AJ2310" s="107" t="str">
        <f t="shared" ca="1" si="1676"/>
        <v/>
      </c>
      <c r="AK2310" s="714" t="str">
        <f t="shared" si="1677"/>
        <v/>
      </c>
      <c r="AL2310" s="714"/>
      <c r="AM2310" s="114" t="str">
        <f t="shared" si="1678"/>
        <v/>
      </c>
      <c r="AN2310" s="115"/>
      <c r="AO2310" s="116"/>
      <c r="AP2310" s="116"/>
      <c r="AQ2310" s="116"/>
      <c r="AR2310" s="116"/>
      <c r="AS2310" s="116"/>
      <c r="AT2310" s="116"/>
      <c r="AU2310" s="116"/>
      <c r="AV2310" s="78"/>
      <c r="AW2310" s="102"/>
      <c r="AX2310" s="78"/>
      <c r="AY2310" s="78"/>
      <c r="AZ2310" s="78"/>
      <c r="BA2310" s="78"/>
      <c r="BB2310" s="78"/>
      <c r="BC2310" s="78"/>
      <c r="BD2310" s="78"/>
      <c r="BE2310" s="465"/>
      <c r="BF2310" s="165" t="str">
        <f t="shared" si="1679"/>
        <v>https://www.google.com/search?tbm=isch&amp;q=Ilex%20vomitoria%20%27Schillings%20Dwarf%27%20Schillings%20Dwarf%20Yaupon%20Holly</v>
      </c>
      <c r="BG2310" s="165" t="str">
        <f t="shared" si="1680"/>
        <v>I</v>
      </c>
      <c r="BH2310" s="65"/>
      <c r="BI2310" s="65"/>
      <c r="BJ2310" s="65"/>
      <c r="BK2310" s="65"/>
      <c r="BL2310" s="99"/>
      <c r="BM2310" s="99"/>
      <c r="BN2310" s="99"/>
    </row>
    <row r="2311" spans="1:66" s="51" customFormat="1" ht="15.75" x14ac:dyDescent="0.25">
      <c r="A2311" s="478">
        <v>3</v>
      </c>
      <c r="B2311" s="479" t="s">
        <v>291</v>
      </c>
      <c r="C2311" s="480" t="s">
        <v>3029</v>
      </c>
      <c r="D2311" s="481" t="s">
        <v>329</v>
      </c>
      <c r="E2311" s="482">
        <v>24.95</v>
      </c>
      <c r="F2311" s="483" t="s">
        <v>292</v>
      </c>
      <c r="G2311" s="484">
        <v>0</v>
      </c>
      <c r="H2311" s="688" t="str">
        <f>IF(G2311=0,"",IF(F2311="Buy",IF(G2311=1,"plant","plants"),IF(F2311&gt;0.01,"warranty","Error")))</f>
        <v/>
      </c>
      <c r="I2311" s="485">
        <f>IF(H2311="free",0,IF(H2311="credit",((E2311*(F2311))*G2311*-1),IF(F2311="Buy",(E2311*G2311),((E2311*(1-F2311))*G2311))))</f>
        <v>0</v>
      </c>
      <c r="J2311" s="485">
        <f>IF(H2311="warranty",0,(I2311*(_xlfn.SINGLE(SalesTaxPercentage))))</f>
        <v>0</v>
      </c>
      <c r="K2311" s="715">
        <f t="shared" ref="K2311" si="1719">I2311+J2311</f>
        <v>0</v>
      </c>
      <c r="L2311" s="715"/>
      <c r="M2311" s="689" t="str">
        <f ca="1">IF(AND(G2311&gt;0,E2311=0),"WARNING - no PRICE inserted",IF(H2311="free","FREE ~ no charge this plant",IF(H2311="credit",CONCATENATE("-$",ROUND(K2311*(1-_xlfn.SINGLE(T2GDiscount))*-1,2)," CREDIT after discount"),IF(_xlfn.SINGLE(T2GDiscount)=0,"",IF(G2311=0,"",IF(F2311="Buy",CONCATENATE("$",ROUND(K2311*(1-_xlfn.SINGLE(T2GDiscount)),2)," with ",(_xlfn.SINGLE(T2GDiscount)*100),"% discount"),CONCATENATE("$",ROUND(K2311*(1-_xlfn.SINGLE(T2GDiscount)),2)," with ",((_xlfn.SINGLE(T2GDiscount)*100+F2311*100)-(_xlfn.SINGLE(T2GDiscount)*100*F2311)),IF(F2311&gt;0,"% discounts",IF(_xlfn.SINGLE(NoWarrantyDiscount)&gt;0,"% discounts","% discount")))))))))</f>
        <v/>
      </c>
      <c r="N2311" s="690"/>
      <c r="O2311" s="486"/>
      <c r="P2311" s="486"/>
      <c r="Q2311" s="486"/>
      <c r="R2311" s="486"/>
      <c r="S2311" s="486"/>
      <c r="T2311" s="102">
        <f t="shared" si="1668"/>
        <v>0</v>
      </c>
      <c r="U2311" s="78">
        <f>IF(NOT(ISNUMBER(G2311)), "", VLOOKUP(A2311,'Discount Lookup'!D:E,2,FALSE)*G2311)</f>
        <v>0</v>
      </c>
      <c r="V2311" s="78">
        <f>IF(NOT(ISNUMBER(G2311)), "", VLOOKUP(A2311,'Discount Lookup'!G:H,2,FALSE)*G2311)</f>
        <v>0</v>
      </c>
      <c r="W2311" s="102">
        <f t="shared" si="1669"/>
        <v>0</v>
      </c>
      <c r="X2311" s="102">
        <f t="shared" si="1670"/>
        <v>0</v>
      </c>
      <c r="Y2311" s="120" t="b">
        <f t="shared" si="1671"/>
        <v>0</v>
      </c>
      <c r="Z2311" s="117">
        <f t="shared" si="1672"/>
        <v>0</v>
      </c>
      <c r="AA2311" s="118"/>
      <c r="AB2311" s="118" t="str">
        <f t="shared" si="1673"/>
        <v/>
      </c>
      <c r="AC2311" s="712" t="str">
        <f>IF(AE2311="T2G","no charge",IF(AND(OR(PlanterYesMe="No",PlanterYesMe="N",PlanterYesMe="me"),H2311=""),"",IF(H2311="credit","NO install",IF(AND(K2311="",AE2311="me"),"EACH row",IF(AND(K2311="images",AE2311="me"),"EACH row",IF(D2311="","",IF(H2311="credit","",IF(AE2311="free","re-planting",IF(AE2311="me","   not ELP, by",IF(AND(OR(PlanterYesMe="Yes",PlanterYesMe="Y"),G2311&gt;0),(VLOOKUP(A2311,'Discount Lookup'!J:K,2)*G2311*(1-PlanterDiscount)*(1+PlanterDifficultyPercentage)),IF(AE2311="ELP",(VLOOKUP(A2311,'Discount Lookup'!J:K,2)*G2311*(1-PlanterDiscount)*(1+PlanterDifficultyPercentage)),IF(AE2311="free","re-planting",IF(G2311=0,"",IF(PlanterYesMe="",IF(AE2311="me","   not ELP, by",IF(AE2311="",IF(G2311&gt;0,(VLOOKUP(A2311,'Discount Lookup'!J:K,2)*G2311*(1-PlanterDiscount)*(1+PlanterDifficultyPercentage)),""),"")),"   not ELP, by"))))))))))))))</f>
        <v/>
      </c>
      <c r="AD2311" s="712"/>
      <c r="AE2311" s="513" t="str">
        <f t="shared" si="1674"/>
        <v/>
      </c>
      <c r="AF2311" s="713" t="str">
        <f t="shared" si="1675"/>
        <v/>
      </c>
      <c r="AG2311" s="713"/>
      <c r="AH2311" s="713"/>
      <c r="AI2311" s="112">
        <f>IF(H2311="credit",0,IF(AE2311="free",0,IF(AE2311="me",0,IF(G2311&gt;0,(VLOOKUP(A2311,'Discount Lookup'!J:K,2)*G2311),0))))</f>
        <v>0</v>
      </c>
      <c r="AJ2311" s="107" t="str">
        <f t="shared" ca="1" si="1676"/>
        <v/>
      </c>
      <c r="AK2311" s="714" t="str">
        <f t="shared" si="1677"/>
        <v/>
      </c>
      <c r="AL2311" s="714"/>
      <c r="AM2311" s="114" t="str">
        <f t="shared" si="1678"/>
        <v/>
      </c>
      <c r="AN2311" s="115"/>
      <c r="AO2311" s="116"/>
      <c r="AP2311" s="116"/>
      <c r="AQ2311" s="116"/>
      <c r="AR2311" s="116"/>
      <c r="AS2311" s="116"/>
      <c r="AT2311" s="116"/>
      <c r="AU2311" s="116"/>
      <c r="AV2311" s="78"/>
      <c r="AW2311" s="102"/>
      <c r="AX2311" s="78"/>
      <c r="AY2311" s="78"/>
      <c r="AZ2311" s="78"/>
      <c r="BA2311" s="78"/>
      <c r="BB2311" s="78"/>
      <c r="BC2311" s="78"/>
      <c r="BD2311" s="78"/>
      <c r="BE2311" s="465"/>
      <c r="BF2311" s="165" t="str">
        <f t="shared" si="1679"/>
        <v>https://www.google.com/search?tbm=isch&amp;q=3%20G2</v>
      </c>
      <c r="BG2311" s="165" t="str">
        <f t="shared" si="1680"/>
        <v>I</v>
      </c>
      <c r="BH2311" s="65"/>
      <c r="BI2311" s="65"/>
      <c r="BJ2311" s="65"/>
      <c r="BK2311" s="65"/>
      <c r="BL2311" s="99"/>
      <c r="BM2311" s="99"/>
      <c r="BN2311" s="99"/>
    </row>
    <row r="2312" spans="1:66" s="51" customFormat="1" ht="27" x14ac:dyDescent="0.25">
      <c r="A2312" s="478">
        <v>3</v>
      </c>
      <c r="B2312" s="479" t="s">
        <v>291</v>
      </c>
      <c r="C2312" s="480" t="s">
        <v>3030</v>
      </c>
      <c r="D2312" s="481" t="s">
        <v>311</v>
      </c>
      <c r="E2312" s="482">
        <v>30.95</v>
      </c>
      <c r="F2312" s="483" t="s">
        <v>292</v>
      </c>
      <c r="G2312" s="484">
        <v>0</v>
      </c>
      <c r="H2312" s="688" t="str">
        <f>IF(G2312=0,"",IF(F2312="Buy",IF(G2312=1,"plant","plants"),IF(F2312&gt;0.01,"warranty","Error")))</f>
        <v/>
      </c>
      <c r="I2312" s="485">
        <f>IF(H2312="free",0,IF(H2312="credit",((E2312*(F2312))*G2312*-1),IF(F2312="Buy",(E2312*G2312),((E2312*(1-F2312))*G2312))))</f>
        <v>0</v>
      </c>
      <c r="J2312" s="485">
        <f>IF(H2312="warranty",0,(I2312*(_xlfn.SINGLE(SalesTaxPercentage))))</f>
        <v>0</v>
      </c>
      <c r="K2312" s="715">
        <f t="shared" ref="K2312" si="1720">I2312+J2312</f>
        <v>0</v>
      </c>
      <c r="L2312" s="715"/>
      <c r="M2312" s="689" t="str">
        <f ca="1">IF(AND(G2312&gt;0,E2312=0),"WARNING - no PRICE inserted",IF(H2312="free","FREE ~ no charge this plant",IF(H2312="credit",CONCATENATE("-$",ROUND(K2312*(1-_xlfn.SINGLE(T2GDiscount))*-1,2)," CREDIT after discount"),IF(_xlfn.SINGLE(T2GDiscount)=0,"",IF(G2312=0,"",IF(F2312="Buy",CONCATENATE("$",ROUND(K2312*(1-_xlfn.SINGLE(T2GDiscount)),2)," with ",(_xlfn.SINGLE(T2GDiscount)*100),"% discount"),CONCATENATE("$",ROUND(K2312*(1-_xlfn.SINGLE(T2GDiscount)),2)," with ",((_xlfn.SINGLE(T2GDiscount)*100+F2312*100)-(_xlfn.SINGLE(T2GDiscount)*100*F2312)),IF(F2312&gt;0,"% discounts",IF(_xlfn.SINGLE(NoWarrantyDiscount)&gt;0,"% discounts","% discount")))))))))</f>
        <v/>
      </c>
      <c r="N2312" s="690"/>
      <c r="O2312" s="486"/>
      <c r="P2312" s="486"/>
      <c r="Q2312" s="486"/>
      <c r="R2312" s="486"/>
      <c r="S2312" s="486"/>
      <c r="T2312" s="102">
        <f t="shared" si="1668"/>
        <v>0</v>
      </c>
      <c r="U2312" s="78">
        <f>IF(NOT(ISNUMBER(G2312)), "", VLOOKUP(A2312,'Discount Lookup'!D:E,2,FALSE)*G2312)</f>
        <v>0</v>
      </c>
      <c r="V2312" s="78">
        <f>IF(NOT(ISNUMBER(G2312)), "", VLOOKUP(A2312,'Discount Lookup'!G:H,2,FALSE)*G2312)</f>
        <v>0</v>
      </c>
      <c r="W2312" s="102">
        <f t="shared" si="1669"/>
        <v>0</v>
      </c>
      <c r="X2312" s="102">
        <f t="shared" si="1670"/>
        <v>0</v>
      </c>
      <c r="Y2312" s="120" t="b">
        <f t="shared" si="1671"/>
        <v>0</v>
      </c>
      <c r="Z2312" s="117">
        <f t="shared" si="1672"/>
        <v>0</v>
      </c>
      <c r="AA2312" s="118"/>
      <c r="AB2312" s="118" t="str">
        <f t="shared" si="1673"/>
        <v/>
      </c>
      <c r="AC2312" s="712" t="str">
        <f>IF(AE2312="T2G","no charge",IF(AND(OR(PlanterYesMe="No",PlanterYesMe="N",PlanterYesMe="me"),H2312=""),"",IF(H2312="credit","NO install",IF(AND(K2312="",AE2312="me"),"EACH row",IF(AND(K2312="images",AE2312="me"),"EACH row",IF(D2312="","",IF(H2312="credit","",IF(AE2312="free","re-planting",IF(AE2312="me","   not ELP, by",IF(AND(OR(PlanterYesMe="Yes",PlanterYesMe="Y"),G2312&gt;0),(VLOOKUP(A2312,'Discount Lookup'!J:K,2)*G2312*(1-PlanterDiscount)*(1+PlanterDifficultyPercentage)),IF(AE2312="ELP",(VLOOKUP(A2312,'Discount Lookup'!J:K,2)*G2312*(1-PlanterDiscount)*(1+PlanterDifficultyPercentage)),IF(AE2312="free","re-planting",IF(G2312=0,"",IF(PlanterYesMe="",IF(AE2312="me","   not ELP, by",IF(AE2312="",IF(G2312&gt;0,(VLOOKUP(A2312,'Discount Lookup'!J:K,2)*G2312*(1-PlanterDiscount)*(1+PlanterDifficultyPercentage)),""),"")),"   not ELP, by"))))))))))))))</f>
        <v/>
      </c>
      <c r="AD2312" s="712"/>
      <c r="AE2312" s="513" t="str">
        <f t="shared" si="1674"/>
        <v/>
      </c>
      <c r="AF2312" s="713" t="str">
        <f t="shared" si="1675"/>
        <v/>
      </c>
      <c r="AG2312" s="713"/>
      <c r="AH2312" s="713"/>
      <c r="AI2312" s="112">
        <f>IF(H2312="credit",0,IF(AE2312="free",0,IF(AE2312="me",0,IF(G2312&gt;0,(VLOOKUP(A2312,'Discount Lookup'!J:K,2)*G2312),0))))</f>
        <v>0</v>
      </c>
      <c r="AJ2312" s="107" t="str">
        <f t="shared" ca="1" si="1676"/>
        <v/>
      </c>
      <c r="AK2312" s="714" t="str">
        <f t="shared" si="1677"/>
        <v/>
      </c>
      <c r="AL2312" s="714"/>
      <c r="AM2312" s="114" t="str">
        <f t="shared" si="1678"/>
        <v/>
      </c>
      <c r="AN2312" s="115"/>
      <c r="AO2312" s="116"/>
      <c r="AP2312" s="116"/>
      <c r="AQ2312" s="116"/>
      <c r="AR2312" s="116"/>
      <c r="AS2312" s="116"/>
      <c r="AT2312" s="116"/>
      <c r="AU2312" s="116"/>
      <c r="AV2312" s="78"/>
      <c r="AW2312" s="102"/>
      <c r="AX2312" s="78"/>
      <c r="AY2312" s="78"/>
      <c r="AZ2312" s="78"/>
      <c r="BA2312" s="78"/>
      <c r="BB2312" s="78"/>
      <c r="BC2312" s="78"/>
      <c r="BD2312" s="78"/>
      <c r="BE2312" s="465"/>
      <c r="BF2312" s="165" t="str">
        <f t="shared" si="1679"/>
        <v>https://www.google.com/search?tbm=isch&amp;q=3%20G5</v>
      </c>
      <c r="BG2312" s="165" t="str">
        <f t="shared" si="1680"/>
        <v>I</v>
      </c>
      <c r="BH2312" s="65"/>
      <c r="BI2312" s="65"/>
      <c r="BJ2312" s="65"/>
      <c r="BK2312" s="65"/>
      <c r="BL2312" s="99"/>
      <c r="BM2312" s="99"/>
      <c r="BN2312" s="99"/>
    </row>
    <row r="2313" spans="1:66" s="51" customFormat="1" ht="15.75" x14ac:dyDescent="0.25">
      <c r="A2313" s="478">
        <v>7</v>
      </c>
      <c r="B2313" s="479" t="s">
        <v>291</v>
      </c>
      <c r="C2313" s="480" t="s">
        <v>3031</v>
      </c>
      <c r="D2313" s="481" t="s">
        <v>311</v>
      </c>
      <c r="E2313" s="482">
        <v>62.95</v>
      </c>
      <c r="F2313" s="483" t="s">
        <v>292</v>
      </c>
      <c r="G2313" s="484">
        <v>0</v>
      </c>
      <c r="H2313" s="688" t="str">
        <f>IF(G2313=0,"",IF(F2313="Buy",IF(G2313=1,"plant","plants"),IF(F2313&gt;0.01,"warranty","Error")))</f>
        <v/>
      </c>
      <c r="I2313" s="485">
        <f>IF(H2313="free",0,IF(H2313="credit",((E2313*(F2313))*G2313*-1),IF(F2313="Buy",(E2313*G2313),((E2313*(1-F2313))*G2313))))</f>
        <v>0</v>
      </c>
      <c r="J2313" s="485">
        <f>IF(H2313="warranty",0,(I2313*(_xlfn.SINGLE(SalesTaxPercentage))))</f>
        <v>0</v>
      </c>
      <c r="K2313" s="715">
        <f t="shared" ref="K2313" si="1721">I2313+J2313</f>
        <v>0</v>
      </c>
      <c r="L2313" s="715"/>
      <c r="M2313" s="689" t="str">
        <f ca="1">IF(AND(G2313&gt;0,E2313=0),"WARNING - no PRICE inserted",IF(H2313="free","FREE ~ no charge this plant",IF(H2313="credit",CONCATENATE("-$",ROUND(K2313*(1-_xlfn.SINGLE(T2GDiscount))*-1,2)," CREDIT after discount"),IF(_xlfn.SINGLE(T2GDiscount)=0,"",IF(G2313=0,"",IF(F2313="Buy",CONCATENATE("$",ROUND(K2313*(1-_xlfn.SINGLE(T2GDiscount)),2)," with ",(_xlfn.SINGLE(T2GDiscount)*100),"% discount"),CONCATENATE("$",ROUND(K2313*(1-_xlfn.SINGLE(T2GDiscount)),2)," with ",((_xlfn.SINGLE(T2GDiscount)*100+F2313*100)-(_xlfn.SINGLE(T2GDiscount)*100*F2313)),IF(F2313&gt;0,"% discounts",IF(_xlfn.SINGLE(NoWarrantyDiscount)&gt;0,"% discounts","% discount")))))))))</f>
        <v/>
      </c>
      <c r="N2313" s="690"/>
      <c r="O2313" s="486"/>
      <c r="P2313" s="486"/>
      <c r="Q2313" s="486"/>
      <c r="R2313" s="486"/>
      <c r="S2313" s="486"/>
      <c r="T2313" s="102">
        <f t="shared" si="1668"/>
        <v>0</v>
      </c>
      <c r="U2313" s="78">
        <f>IF(NOT(ISNUMBER(G2313)), "", VLOOKUP(A2313,'Discount Lookup'!D:E,2,FALSE)*G2313)</f>
        <v>0</v>
      </c>
      <c r="V2313" s="78">
        <f>IF(NOT(ISNUMBER(G2313)), "", VLOOKUP(A2313,'Discount Lookup'!G:H,2,FALSE)*G2313)</f>
        <v>0</v>
      </c>
      <c r="W2313" s="102">
        <f t="shared" si="1669"/>
        <v>0</v>
      </c>
      <c r="X2313" s="102">
        <f t="shared" si="1670"/>
        <v>0</v>
      </c>
      <c r="Y2313" s="120" t="b">
        <f t="shared" si="1671"/>
        <v>0</v>
      </c>
      <c r="Z2313" s="117">
        <f t="shared" si="1672"/>
        <v>0</v>
      </c>
      <c r="AA2313" s="118"/>
      <c r="AB2313" s="118" t="str">
        <f t="shared" si="1673"/>
        <v/>
      </c>
      <c r="AC2313" s="712" t="str">
        <f>IF(AE2313="T2G","no charge",IF(AND(OR(PlanterYesMe="No",PlanterYesMe="N",PlanterYesMe="me"),H2313=""),"",IF(H2313="credit","NO install",IF(AND(K2313="",AE2313="me"),"EACH row",IF(AND(K2313="images",AE2313="me"),"EACH row",IF(D2313="","",IF(H2313="credit","",IF(AE2313="free","re-planting",IF(AE2313="me","   not ELP, by",IF(AND(OR(PlanterYesMe="Yes",PlanterYesMe="Y"),G2313&gt;0),(VLOOKUP(A2313,'Discount Lookup'!J:K,2)*G2313*(1-PlanterDiscount)*(1+PlanterDifficultyPercentage)),IF(AE2313="ELP",(VLOOKUP(A2313,'Discount Lookup'!J:K,2)*G2313*(1-PlanterDiscount)*(1+PlanterDifficultyPercentage)),IF(AE2313="free","re-planting",IF(G2313=0,"",IF(PlanterYesMe="",IF(AE2313="me","   not ELP, by",IF(AE2313="",IF(G2313&gt;0,(VLOOKUP(A2313,'Discount Lookup'!J:K,2)*G2313*(1-PlanterDiscount)*(1+PlanterDifficultyPercentage)),""),"")),"   not ELP, by"))))))))))))))</f>
        <v/>
      </c>
      <c r="AD2313" s="712"/>
      <c r="AE2313" s="513" t="str">
        <f t="shared" si="1674"/>
        <v/>
      </c>
      <c r="AF2313" s="713" t="str">
        <f t="shared" si="1675"/>
        <v/>
      </c>
      <c r="AG2313" s="713"/>
      <c r="AH2313" s="713"/>
      <c r="AI2313" s="112">
        <f>IF(H2313="credit",0,IF(AE2313="free",0,IF(AE2313="me",0,IF(G2313&gt;0,(VLOOKUP(A2313,'Discount Lookup'!J:K,2)*G2313),0))))</f>
        <v>0</v>
      </c>
      <c r="AJ2313" s="107" t="str">
        <f t="shared" ca="1" si="1676"/>
        <v/>
      </c>
      <c r="AK2313" s="714" t="str">
        <f t="shared" si="1677"/>
        <v/>
      </c>
      <c r="AL2313" s="714"/>
      <c r="AM2313" s="114" t="str">
        <f t="shared" si="1678"/>
        <v/>
      </c>
      <c r="AN2313" s="115"/>
      <c r="AO2313" s="116"/>
      <c r="AP2313" s="116"/>
      <c r="AQ2313" s="116"/>
      <c r="AR2313" s="116"/>
      <c r="AS2313" s="116"/>
      <c r="AT2313" s="116"/>
      <c r="AU2313" s="116"/>
      <c r="AV2313" s="78"/>
      <c r="AW2313" s="102"/>
      <c r="AX2313" s="78"/>
      <c r="AY2313" s="78"/>
      <c r="AZ2313" s="78"/>
      <c r="BA2313" s="78"/>
      <c r="BB2313" s="78"/>
      <c r="BC2313" s="78"/>
      <c r="BD2313" s="78"/>
      <c r="BE2313" s="465"/>
      <c r="BF2313" s="165" t="str">
        <f t="shared" si="1679"/>
        <v>https://www.google.com/search?tbm=isch&amp;q=7%20G5</v>
      </c>
      <c r="BG2313" s="165" t="str">
        <f t="shared" si="1680"/>
        <v>I</v>
      </c>
      <c r="BH2313" s="65"/>
      <c r="BI2313" s="65"/>
      <c r="BJ2313" s="65"/>
      <c r="BK2313" s="65"/>
      <c r="BL2313" s="99"/>
      <c r="BM2313" s="99"/>
      <c r="BN2313" s="99"/>
    </row>
    <row r="2314" spans="1:66" s="51" customFormat="1" ht="17.25" thickBot="1" x14ac:dyDescent="0.3">
      <c r="A2314" s="705" t="s">
        <v>5459</v>
      </c>
      <c r="B2314" s="487"/>
      <c r="C2314" s="707"/>
      <c r="D2314" s="487"/>
      <c r="E2314" s="487"/>
      <c r="F2314" s="488"/>
      <c r="G2314" s="489"/>
      <c r="H2314" s="487"/>
      <c r="I2314" s="490"/>
      <c r="J2314" s="490"/>
      <c r="K2314" s="491"/>
      <c r="L2314" s="547"/>
      <c r="M2314" s="528"/>
      <c r="N2314" s="492"/>
      <c r="O2314" s="493"/>
      <c r="P2314" s="494"/>
      <c r="Q2314" s="492"/>
      <c r="R2314" s="492"/>
      <c r="S2314" s="699" t="s">
        <v>5268</v>
      </c>
      <c r="T2314" s="102">
        <f t="shared" si="1668"/>
        <v>0</v>
      </c>
      <c r="U2314" s="78" t="str">
        <f>IF(NOT(ISNUMBER(G2314)), "", VLOOKUP(A2314,'Discount Lookup'!D:E,2,FALSE)*G2314)</f>
        <v/>
      </c>
      <c r="V2314" s="78" t="str">
        <f>IF(NOT(ISNUMBER(G2314)), "", VLOOKUP(A2314,'Discount Lookup'!G:H,2,FALSE)*G2314)</f>
        <v/>
      </c>
      <c r="W2314" s="102">
        <f t="shared" si="1669"/>
        <v>0</v>
      </c>
      <c r="X2314" s="102">
        <f t="shared" si="1670"/>
        <v>0</v>
      </c>
      <c r="Y2314" s="120" t="b">
        <f t="shared" si="1671"/>
        <v>0</v>
      </c>
      <c r="Z2314" s="117">
        <f t="shared" si="1672"/>
        <v>0</v>
      </c>
      <c r="AA2314" s="118"/>
      <c r="AB2314" s="118" t="str">
        <f t="shared" si="1673"/>
        <v/>
      </c>
      <c r="AC2314" s="712" t="str">
        <f>IF(AE2314="T2G","no charge",IF(AND(OR(PlanterYesMe="No",PlanterYesMe="N",PlanterYesMe="me"),H2314=""),"",IF(H2314="credit","NO install",IF(AND(K2314="",AE2314="me"),"EACH row",IF(AND(K2314="images",AE2314="me"),"EACH row",IF(D2314="","",IF(H2314="credit","",IF(AE2314="free","re-planting",IF(AE2314="me","   not ELP, by",IF(AND(OR(PlanterYesMe="Yes",PlanterYesMe="Y"),G2314&gt;0),(VLOOKUP(A2314,'Discount Lookup'!J:K,2)*G2314*(1-PlanterDiscount)*(1+PlanterDifficultyPercentage)),IF(AE2314="ELP",(VLOOKUP(A2314,'Discount Lookup'!J:K,2)*G2314*(1-PlanterDiscount)*(1+PlanterDifficultyPercentage)),IF(AE2314="free","re-planting",IF(G2314=0,"",IF(PlanterYesMe="",IF(AE2314="me","   not ELP, by",IF(AE2314="",IF(G2314&gt;0,(VLOOKUP(A2314,'Discount Lookup'!J:K,2)*G2314*(1-PlanterDiscount)*(1+PlanterDifficultyPercentage)),""),"")),"   not ELP, by"))))))))))))))</f>
        <v/>
      </c>
      <c r="AD2314" s="712"/>
      <c r="AE2314" s="513" t="str">
        <f t="shared" si="1674"/>
        <v/>
      </c>
      <c r="AF2314" s="713" t="str">
        <f t="shared" si="1675"/>
        <v/>
      </c>
      <c r="AG2314" s="713"/>
      <c r="AH2314" s="713"/>
      <c r="AI2314" s="112">
        <f>IF(H2314="credit",0,IF(AE2314="free",0,IF(AE2314="me",0,IF(G2314&gt;0,(VLOOKUP(A2314,'Discount Lookup'!J:K,2)*G2314),0))))</f>
        <v>0</v>
      </c>
      <c r="AJ2314" s="107" t="str">
        <f t="shared" ca="1" si="1676"/>
        <v/>
      </c>
      <c r="AK2314" s="714" t="str">
        <f t="shared" si="1677"/>
        <v/>
      </c>
      <c r="AL2314" s="714"/>
      <c r="AM2314" s="114" t="str">
        <f t="shared" si="1678"/>
        <v/>
      </c>
      <c r="AN2314" s="115"/>
      <c r="AO2314" s="116"/>
      <c r="AP2314" s="116"/>
      <c r="AQ2314" s="116"/>
      <c r="AR2314" s="116"/>
      <c r="AS2314" s="116"/>
      <c r="AT2314" s="116"/>
      <c r="AU2314" s="116"/>
      <c r="AV2314" s="78"/>
      <c r="AW2314" s="102"/>
      <c r="AX2314" s="78"/>
      <c r="AY2314" s="78"/>
      <c r="AZ2314" s="78"/>
      <c r="BA2314" s="78"/>
      <c r="BB2314" s="78"/>
      <c r="BC2314" s="78"/>
      <c r="BD2314" s="78"/>
      <c r="BE2314" s="465"/>
      <c r="BF2314" s="165" t="str">
        <f t="shared" si="1679"/>
        <v>https://www.google.com/search?tbm=isch&amp;q=moist%20sites%F0%9F%92%A7OK%2C%20Schillings%20Dwarf%20is%20male%2C%20but%20not%20a%20good%20pollinator.%20Considered%20a%20good%20alternative%20to%20Boxwwod%2C%20with%20no%20berries%20</v>
      </c>
      <c r="BG2314" s="165" t="str">
        <f t="shared" si="1680"/>
        <v>m</v>
      </c>
      <c r="BH2314" s="65"/>
      <c r="BI2314" s="65"/>
      <c r="BJ2314" s="65"/>
      <c r="BK2314" s="65"/>
      <c r="BL2314" s="99"/>
      <c r="BM2314" s="99"/>
      <c r="BN2314" s="99"/>
    </row>
    <row r="2315" spans="1:66" s="51" customFormat="1" ht="18" x14ac:dyDescent="0.25">
      <c r="A2315" s="507" t="s">
        <v>541</v>
      </c>
      <c r="B2315" s="470"/>
      <c r="C2315" s="706"/>
      <c r="D2315" s="471" t="s">
        <v>542</v>
      </c>
      <c r="E2315" s="472"/>
      <c r="F2315" s="472"/>
      <c r="G2315" s="472"/>
      <c r="H2315" s="622" t="s">
        <v>331</v>
      </c>
      <c r="I2315" s="473" t="s">
        <v>432</v>
      </c>
      <c r="J2315" s="472"/>
      <c r="K2315" s="472"/>
      <c r="L2315" s="561"/>
      <c r="M2315" s="698" t="s">
        <v>5246</v>
      </c>
      <c r="N2315" s="692" t="str">
        <f>IF(AND(ISTEXT($A2315), ISERROR($A2315+0)), HYPERLINK($BF2315, "Images"), "")</f>
        <v>Images</v>
      </c>
      <c r="O2315" s="694" t="s">
        <v>5247</v>
      </c>
      <c r="P2315" s="475"/>
      <c r="Q2315" s="476"/>
      <c r="R2315" s="476"/>
      <c r="S2315" s="477"/>
      <c r="T2315" s="102">
        <f t="shared" si="1668"/>
        <v>0</v>
      </c>
      <c r="U2315" s="78" t="str">
        <f>IF(NOT(ISNUMBER(G2315)), "", VLOOKUP(A2315,'Discount Lookup'!D:E,2,FALSE)*G2315)</f>
        <v/>
      </c>
      <c r="V2315" s="78" t="str">
        <f>IF(NOT(ISNUMBER(G2315)), "", VLOOKUP(A2315,'Discount Lookup'!G:H,2,FALSE)*G2315)</f>
        <v/>
      </c>
      <c r="W2315" s="102">
        <f t="shared" si="1669"/>
        <v>0</v>
      </c>
      <c r="X2315" s="102" t="str">
        <f t="shared" si="1670"/>
        <v>Green foliage</v>
      </c>
      <c r="Y2315" s="120" t="b">
        <f t="shared" si="1671"/>
        <v>0</v>
      </c>
      <c r="Z2315" s="117">
        <f t="shared" si="1672"/>
        <v>0</v>
      </c>
      <c r="AA2315" s="118"/>
      <c r="AB2315" s="118" t="str">
        <f t="shared" si="1673"/>
        <v/>
      </c>
      <c r="AC2315" s="712" t="str">
        <f>IF(AE2315="T2G","no charge",IF(AND(OR(PlanterYesMe="No",PlanterYesMe="N",PlanterYesMe="me"),H2315=""),"",IF(H2315="credit","NO install",IF(AND(K2315="",AE2315="me"),"EACH row",IF(AND(K2315="images",AE2315="me"),"EACH row",IF(D2315="","",IF(H2315="credit","",IF(AE2315="free","re-planting",IF(AE2315="me","   not ELP, by",IF(AND(OR(PlanterYesMe="Yes",PlanterYesMe="Y"),G2315&gt;0),(VLOOKUP(A2315,'Discount Lookup'!J:K,2)*G2315*(1-PlanterDiscount)*(1+PlanterDifficultyPercentage)),IF(AE2315="ELP",(VLOOKUP(A2315,'Discount Lookup'!J:K,2)*G2315*(1-PlanterDiscount)*(1+PlanterDifficultyPercentage)),IF(AE2315="free","re-planting",IF(G2315=0,"",IF(PlanterYesMe="",IF(AE2315="me","   not ELP, by",IF(AE2315="",IF(G2315&gt;0,(VLOOKUP(A2315,'Discount Lookup'!J:K,2)*G2315*(1-PlanterDiscount)*(1+PlanterDifficultyPercentage)),""),"")),"   not ELP, by"))))))))))))))</f>
        <v/>
      </c>
      <c r="AD2315" s="712"/>
      <c r="AE2315" s="513" t="str">
        <f t="shared" si="1674"/>
        <v/>
      </c>
      <c r="AF2315" s="713" t="str">
        <f t="shared" si="1675"/>
        <v/>
      </c>
      <c r="AG2315" s="713"/>
      <c r="AH2315" s="713"/>
      <c r="AI2315" s="112">
        <f>IF(H2315="credit",0,IF(AE2315="free",0,IF(AE2315="me",0,IF(G2315&gt;0,(VLOOKUP(A2315,'Discount Lookup'!J:K,2)*G2315),0))))</f>
        <v>0</v>
      </c>
      <c r="AJ2315" s="107" t="str">
        <f t="shared" ca="1" si="1676"/>
        <v/>
      </c>
      <c r="AK2315" s="714" t="str">
        <f t="shared" si="1677"/>
        <v/>
      </c>
      <c r="AL2315" s="714"/>
      <c r="AM2315" s="114" t="str">
        <f t="shared" si="1678"/>
        <v/>
      </c>
      <c r="AN2315" s="115"/>
      <c r="AO2315" s="116"/>
      <c r="AP2315" s="116"/>
      <c r="AQ2315" s="116"/>
      <c r="AR2315" s="116"/>
      <c r="AS2315" s="116"/>
      <c r="AT2315" s="116"/>
      <c r="AU2315" s="116"/>
      <c r="AV2315" s="78"/>
      <c r="AW2315" s="102"/>
      <c r="AX2315" s="78"/>
      <c r="AY2315" s="78"/>
      <c r="AZ2315" s="78"/>
      <c r="BA2315" s="78"/>
      <c r="BB2315" s="78"/>
      <c r="BC2315" s="78"/>
      <c r="BD2315" s="78"/>
      <c r="BE2315" s="465"/>
      <c r="BF2315" s="165" t="str">
        <f t="shared" si="1679"/>
        <v>https://www.google.com/search?tbm=isch&amp;q=Ilex%20%27Whoa%20Nellie%27%20Whoa%20Nellie%20Holly</v>
      </c>
      <c r="BG2315" s="165" t="str">
        <f t="shared" si="1680"/>
        <v>I</v>
      </c>
      <c r="BH2315" s="65"/>
      <c r="BI2315" s="65"/>
      <c r="BJ2315" s="65"/>
      <c r="BK2315" s="65"/>
      <c r="BL2315" s="99"/>
      <c r="BM2315" s="99"/>
      <c r="BN2315" s="99"/>
    </row>
    <row r="2316" spans="1:66" s="51" customFormat="1" ht="27" x14ac:dyDescent="0.25">
      <c r="A2316" s="478">
        <v>7</v>
      </c>
      <c r="B2316" s="479" t="s">
        <v>291</v>
      </c>
      <c r="C2316" s="480" t="s">
        <v>956</v>
      </c>
      <c r="D2316" s="481" t="s">
        <v>299</v>
      </c>
      <c r="E2316" s="482">
        <v>104.95</v>
      </c>
      <c r="F2316" s="483" t="s">
        <v>292</v>
      </c>
      <c r="G2316" s="484">
        <v>0</v>
      </c>
      <c r="H2316" s="688" t="str">
        <f>IF(G2316=0,"",IF(F2316="Buy",IF(G2316=1,"plant","plants"),IF(F2316&gt;0.01,"warranty","Error")))</f>
        <v/>
      </c>
      <c r="I2316" s="485">
        <f>IF(H2316="free",0,IF(H2316="credit",((E2316*(F2316))*G2316*-1),IF(F2316="Buy",(E2316*G2316),((E2316*(1-F2316))*G2316))))</f>
        <v>0</v>
      </c>
      <c r="J2316" s="485">
        <f>IF(H2316="warranty",0,(I2316*(_xlfn.SINGLE(SalesTaxPercentage))))</f>
        <v>0</v>
      </c>
      <c r="K2316" s="715">
        <f t="shared" ref="K2316" si="1722">I2316+J2316</f>
        <v>0</v>
      </c>
      <c r="L2316" s="715"/>
      <c r="M2316" s="689" t="str">
        <f ca="1">IF(AND(G2316&gt;0,E2316=0),"WARNING - no PRICE inserted",IF(H2316="free","FREE ~ no charge this plant",IF(H2316="credit",CONCATENATE("-$",ROUND(K2316*(1-_xlfn.SINGLE(T2GDiscount))*-1,2)," CREDIT after discount"),IF(_xlfn.SINGLE(T2GDiscount)=0,"",IF(G2316=0,"",IF(F2316="Buy",CONCATENATE("$",ROUND(K2316*(1-_xlfn.SINGLE(T2GDiscount)),2)," with ",(_xlfn.SINGLE(T2GDiscount)*100),"% discount"),CONCATENATE("$",ROUND(K2316*(1-_xlfn.SINGLE(T2GDiscount)),2)," with ",((_xlfn.SINGLE(T2GDiscount)*100+F2316*100)-(_xlfn.SINGLE(T2GDiscount)*100*F2316)),IF(F2316&gt;0,"% discounts",IF(_xlfn.SINGLE(NoWarrantyDiscount)&gt;0,"% discounts","% discount")))))))))</f>
        <v/>
      </c>
      <c r="N2316" s="690"/>
      <c r="O2316" s="486"/>
      <c r="P2316" s="486"/>
      <c r="Q2316" s="486"/>
      <c r="R2316" s="486"/>
      <c r="S2316" s="486"/>
      <c r="T2316" s="102">
        <f t="shared" si="1668"/>
        <v>0</v>
      </c>
      <c r="U2316" s="78">
        <f>IF(NOT(ISNUMBER(G2316)), "", VLOOKUP(A2316,'Discount Lookup'!D:E,2,FALSE)*G2316)</f>
        <v>0</v>
      </c>
      <c r="V2316" s="78">
        <f>IF(NOT(ISNUMBER(G2316)), "", VLOOKUP(A2316,'Discount Lookup'!G:H,2,FALSE)*G2316)</f>
        <v>0</v>
      </c>
      <c r="W2316" s="102">
        <f t="shared" si="1669"/>
        <v>0</v>
      </c>
      <c r="X2316" s="102">
        <f t="shared" si="1670"/>
        <v>0</v>
      </c>
      <c r="Y2316" s="120" t="b">
        <f t="shared" si="1671"/>
        <v>0</v>
      </c>
      <c r="Z2316" s="117">
        <f t="shared" si="1672"/>
        <v>0</v>
      </c>
      <c r="AA2316" s="118"/>
      <c r="AB2316" s="118" t="str">
        <f t="shared" si="1673"/>
        <v/>
      </c>
      <c r="AC2316" s="712" t="str">
        <f>IF(AE2316="T2G","no charge",IF(AND(OR(PlanterYesMe="No",PlanterYesMe="N",PlanterYesMe="me"),H2316=""),"",IF(H2316="credit","NO install",IF(AND(K2316="",AE2316="me"),"EACH row",IF(AND(K2316="images",AE2316="me"),"EACH row",IF(D2316="","",IF(H2316="credit","",IF(AE2316="free","re-planting",IF(AE2316="me","   not ELP, by",IF(AND(OR(PlanterYesMe="Yes",PlanterYesMe="Y"),G2316&gt;0),(VLOOKUP(A2316,'Discount Lookup'!J:K,2)*G2316*(1-PlanterDiscount)*(1+PlanterDifficultyPercentage)),IF(AE2316="ELP",(VLOOKUP(A2316,'Discount Lookup'!J:K,2)*G2316*(1-PlanterDiscount)*(1+PlanterDifficultyPercentage)),IF(AE2316="free","re-planting",IF(G2316=0,"",IF(PlanterYesMe="",IF(AE2316="me","   not ELP, by",IF(AE2316="",IF(G2316&gt;0,(VLOOKUP(A2316,'Discount Lookup'!J:K,2)*G2316*(1-PlanterDiscount)*(1+PlanterDifficultyPercentage)),""),"")),"   not ELP, by"))))))))))))))</f>
        <v/>
      </c>
      <c r="AD2316" s="712"/>
      <c r="AE2316" s="513" t="str">
        <f t="shared" si="1674"/>
        <v/>
      </c>
      <c r="AF2316" s="713" t="str">
        <f t="shared" si="1675"/>
        <v/>
      </c>
      <c r="AG2316" s="713"/>
      <c r="AH2316" s="713"/>
      <c r="AI2316" s="112">
        <f>IF(H2316="credit",0,IF(AE2316="free",0,IF(AE2316="me",0,IF(G2316&gt;0,(VLOOKUP(A2316,'Discount Lookup'!J:K,2)*G2316),0))))</f>
        <v>0</v>
      </c>
      <c r="AJ2316" s="107" t="str">
        <f t="shared" ca="1" si="1676"/>
        <v/>
      </c>
      <c r="AK2316" s="714" t="str">
        <f t="shared" si="1677"/>
        <v/>
      </c>
      <c r="AL2316" s="714"/>
      <c r="AM2316" s="114" t="str">
        <f t="shared" si="1678"/>
        <v/>
      </c>
      <c r="AN2316" s="115"/>
      <c r="AO2316" s="116"/>
      <c r="AP2316" s="116"/>
      <c r="AQ2316" s="116"/>
      <c r="AR2316" s="116"/>
      <c r="AS2316" s="116"/>
      <c r="AT2316" s="116"/>
      <c r="AU2316" s="116"/>
      <c r="AV2316" s="78"/>
      <c r="AW2316" s="102"/>
      <c r="AX2316" s="78"/>
      <c r="AY2316" s="78"/>
      <c r="AZ2316" s="78"/>
      <c r="BA2316" s="78"/>
      <c r="BB2316" s="78"/>
      <c r="BC2316" s="78"/>
      <c r="BD2316" s="78"/>
      <c r="BE2316" s="465"/>
      <c r="BF2316" s="165" t="str">
        <f t="shared" si="1679"/>
        <v>https://www.google.com/search?tbm=isch&amp;q=7%20G4</v>
      </c>
      <c r="BG2316" s="165" t="str">
        <f t="shared" si="1680"/>
        <v>I</v>
      </c>
      <c r="BH2316" s="65"/>
      <c r="BI2316" s="65"/>
      <c r="BJ2316" s="65"/>
      <c r="BK2316" s="65"/>
      <c r="BL2316" s="99"/>
      <c r="BM2316" s="99"/>
      <c r="BN2316" s="99"/>
    </row>
    <row r="2317" spans="1:66" s="51" customFormat="1" ht="15.75" x14ac:dyDescent="0.25">
      <c r="A2317" s="478">
        <v>15</v>
      </c>
      <c r="B2317" s="479" t="s">
        <v>291</v>
      </c>
      <c r="C2317" s="480" t="s">
        <v>845</v>
      </c>
      <c r="D2317" s="481" t="s">
        <v>311</v>
      </c>
      <c r="E2317" s="482">
        <v>183.95</v>
      </c>
      <c r="F2317" s="483" t="s">
        <v>292</v>
      </c>
      <c r="G2317" s="484">
        <v>0</v>
      </c>
      <c r="H2317" s="688" t="str">
        <f>IF(G2317=0,"",IF(F2317="Buy",IF(G2317=1,"plant","plants"),IF(F2317&gt;0.01,"warranty","Error")))</f>
        <v/>
      </c>
      <c r="I2317" s="485">
        <f>IF(H2317="free",0,IF(H2317="credit",((E2317*(F2317))*G2317*-1),IF(F2317="Buy",(E2317*G2317),((E2317*(1-F2317))*G2317))))</f>
        <v>0</v>
      </c>
      <c r="J2317" s="485">
        <f>IF(H2317="warranty",0,(I2317*(_xlfn.SINGLE(SalesTaxPercentage))))</f>
        <v>0</v>
      </c>
      <c r="K2317" s="715">
        <f t="shared" ref="K2317" si="1723">I2317+J2317</f>
        <v>0</v>
      </c>
      <c r="L2317" s="715"/>
      <c r="M2317" s="689" t="str">
        <f ca="1">IF(AND(G2317&gt;0,E2317=0),"WARNING - no PRICE inserted",IF(H2317="free","FREE ~ no charge this plant",IF(H2317="credit",CONCATENATE("-$",ROUND(K2317*(1-_xlfn.SINGLE(T2GDiscount))*-1,2)," CREDIT after discount"),IF(_xlfn.SINGLE(T2GDiscount)=0,"",IF(G2317=0,"",IF(F2317="Buy",CONCATENATE("$",ROUND(K2317*(1-_xlfn.SINGLE(T2GDiscount)),2)," with ",(_xlfn.SINGLE(T2GDiscount)*100),"% discount"),CONCATENATE("$",ROUND(K2317*(1-_xlfn.SINGLE(T2GDiscount)),2)," with ",((_xlfn.SINGLE(T2GDiscount)*100+F2317*100)-(_xlfn.SINGLE(T2GDiscount)*100*F2317)),IF(F2317&gt;0,"% discounts",IF(_xlfn.SINGLE(NoWarrantyDiscount)&gt;0,"% discounts","% discount")))))))))</f>
        <v/>
      </c>
      <c r="N2317" s="690"/>
      <c r="O2317" s="486"/>
      <c r="P2317" s="486"/>
      <c r="Q2317" s="486"/>
      <c r="R2317" s="486"/>
      <c r="S2317" s="486"/>
      <c r="T2317" s="102">
        <f t="shared" si="1668"/>
        <v>0</v>
      </c>
      <c r="U2317" s="78">
        <f>IF(NOT(ISNUMBER(G2317)), "", VLOOKUP(A2317,'Discount Lookup'!D:E,2,FALSE)*G2317)</f>
        <v>0</v>
      </c>
      <c r="V2317" s="78">
        <f>IF(NOT(ISNUMBER(G2317)), "", VLOOKUP(A2317,'Discount Lookup'!G:H,2,FALSE)*G2317)</f>
        <v>0</v>
      </c>
      <c r="W2317" s="102">
        <f t="shared" si="1669"/>
        <v>0</v>
      </c>
      <c r="X2317" s="102">
        <f t="shared" si="1670"/>
        <v>0</v>
      </c>
      <c r="Y2317" s="120" t="b">
        <f t="shared" si="1671"/>
        <v>0</v>
      </c>
      <c r="Z2317" s="117">
        <f t="shared" si="1672"/>
        <v>0</v>
      </c>
      <c r="AA2317" s="118"/>
      <c r="AB2317" s="118" t="str">
        <f t="shared" si="1673"/>
        <v/>
      </c>
      <c r="AC2317" s="712" t="str">
        <f>IF(AE2317="T2G","no charge",IF(AND(OR(PlanterYesMe="No",PlanterYesMe="N",PlanterYesMe="me"),H2317=""),"",IF(H2317="credit","NO install",IF(AND(K2317="",AE2317="me"),"EACH row",IF(AND(K2317="images",AE2317="me"),"EACH row",IF(D2317="","",IF(H2317="credit","",IF(AE2317="free","re-planting",IF(AE2317="me","   not ELP, by",IF(AND(OR(PlanterYesMe="Yes",PlanterYesMe="Y"),G2317&gt;0),(VLOOKUP(A2317,'Discount Lookup'!J:K,2)*G2317*(1-PlanterDiscount)*(1+PlanterDifficultyPercentage)),IF(AE2317="ELP",(VLOOKUP(A2317,'Discount Lookup'!J:K,2)*G2317*(1-PlanterDiscount)*(1+PlanterDifficultyPercentage)),IF(AE2317="free","re-planting",IF(G2317=0,"",IF(PlanterYesMe="",IF(AE2317="me","   not ELP, by",IF(AE2317="",IF(G2317&gt;0,(VLOOKUP(A2317,'Discount Lookup'!J:K,2)*G2317*(1-PlanterDiscount)*(1+PlanterDifficultyPercentage)),""),"")),"   not ELP, by"))))))))))))))</f>
        <v/>
      </c>
      <c r="AD2317" s="712"/>
      <c r="AE2317" s="513" t="str">
        <f t="shared" si="1674"/>
        <v/>
      </c>
      <c r="AF2317" s="713" t="str">
        <f t="shared" si="1675"/>
        <v/>
      </c>
      <c r="AG2317" s="713"/>
      <c r="AH2317" s="713"/>
      <c r="AI2317" s="112">
        <f>IF(H2317="credit",0,IF(AE2317="free",0,IF(AE2317="me",0,IF(G2317&gt;0,(VLOOKUP(A2317,'Discount Lookup'!J:K,2)*G2317),0))))</f>
        <v>0</v>
      </c>
      <c r="AJ2317" s="107" t="str">
        <f t="shared" ca="1" si="1676"/>
        <v/>
      </c>
      <c r="AK2317" s="714" t="str">
        <f t="shared" si="1677"/>
        <v/>
      </c>
      <c r="AL2317" s="714"/>
      <c r="AM2317" s="114" t="str">
        <f t="shared" si="1678"/>
        <v/>
      </c>
      <c r="AN2317" s="115"/>
      <c r="AO2317" s="116"/>
      <c r="AP2317" s="116"/>
      <c r="AQ2317" s="116"/>
      <c r="AR2317" s="116"/>
      <c r="AS2317" s="116"/>
      <c r="AT2317" s="116"/>
      <c r="AU2317" s="116"/>
      <c r="AV2317" s="78"/>
      <c r="AW2317" s="102"/>
      <c r="AX2317" s="78"/>
      <c r="AY2317" s="78"/>
      <c r="AZ2317" s="78"/>
      <c r="BA2317" s="78"/>
      <c r="BB2317" s="78"/>
      <c r="BC2317" s="78"/>
      <c r="BD2317" s="78"/>
      <c r="BE2317" s="465"/>
      <c r="BF2317" s="165" t="str">
        <f t="shared" si="1679"/>
        <v>https://www.google.com/search?tbm=isch&amp;q=15%20G5</v>
      </c>
      <c r="BG2317" s="165" t="str">
        <f t="shared" si="1680"/>
        <v>I</v>
      </c>
      <c r="BH2317" s="65"/>
      <c r="BI2317" s="65"/>
      <c r="BJ2317" s="65"/>
      <c r="BK2317" s="65"/>
      <c r="BL2317" s="99"/>
      <c r="BM2317" s="99"/>
      <c r="BN2317" s="99"/>
    </row>
    <row r="2318" spans="1:66" s="51" customFormat="1" ht="15.75" x14ac:dyDescent="0.25">
      <c r="A2318" s="478">
        <v>15</v>
      </c>
      <c r="B2318" s="479" t="s">
        <v>291</v>
      </c>
      <c r="C2318" s="480" t="s">
        <v>5185</v>
      </c>
      <c r="D2318" s="481" t="s">
        <v>299</v>
      </c>
      <c r="E2318" s="482">
        <v>192.95</v>
      </c>
      <c r="F2318" s="483" t="s">
        <v>292</v>
      </c>
      <c r="G2318" s="484">
        <v>0</v>
      </c>
      <c r="H2318" s="688" t="str">
        <f>IF(G2318=0,"",IF(F2318="Buy",IF(G2318=1,"plant","plants"),IF(F2318&gt;0.01,"warranty","Error")))</f>
        <v/>
      </c>
      <c r="I2318" s="485">
        <f>IF(H2318="free",0,IF(H2318="credit",((E2318*(F2318))*G2318*-1),IF(F2318="Buy",(E2318*G2318),((E2318*(1-F2318))*G2318))))</f>
        <v>0</v>
      </c>
      <c r="J2318" s="485">
        <f>IF(H2318="warranty",0,(I2318*(_xlfn.SINGLE(SalesTaxPercentage))))</f>
        <v>0</v>
      </c>
      <c r="K2318" s="715">
        <f t="shared" ref="K2318" si="1724">I2318+J2318</f>
        <v>0</v>
      </c>
      <c r="L2318" s="715"/>
      <c r="M2318" s="689" t="str">
        <f ca="1">IF(AND(G2318&gt;0,E2318=0),"WARNING - no PRICE inserted",IF(H2318="free","FREE ~ no charge this plant",IF(H2318="credit",CONCATENATE("-$",ROUND(K2318*(1-_xlfn.SINGLE(T2GDiscount))*-1,2)," CREDIT after discount"),IF(_xlfn.SINGLE(T2GDiscount)=0,"",IF(G2318=0,"",IF(F2318="Buy",CONCATENATE("$",ROUND(K2318*(1-_xlfn.SINGLE(T2GDiscount)),2)," with ",(_xlfn.SINGLE(T2GDiscount)*100),"% discount"),CONCATENATE("$",ROUND(K2318*(1-_xlfn.SINGLE(T2GDiscount)),2)," with ",((_xlfn.SINGLE(T2GDiscount)*100+F2318*100)-(_xlfn.SINGLE(T2GDiscount)*100*F2318)),IF(F2318&gt;0,"% discounts",IF(_xlfn.SINGLE(NoWarrantyDiscount)&gt;0,"% discounts","% discount")))))))))</f>
        <v/>
      </c>
      <c r="N2318" s="690"/>
      <c r="O2318" s="486"/>
      <c r="P2318" s="486"/>
      <c r="Q2318" s="486"/>
      <c r="R2318" s="486"/>
      <c r="S2318" s="486"/>
      <c r="T2318" s="102">
        <f t="shared" si="1668"/>
        <v>0</v>
      </c>
      <c r="U2318" s="78">
        <f>IF(NOT(ISNUMBER(G2318)), "", VLOOKUP(A2318,'Discount Lookup'!D:E,2,FALSE)*G2318)</f>
        <v>0</v>
      </c>
      <c r="V2318" s="78">
        <f>IF(NOT(ISNUMBER(G2318)), "", VLOOKUP(A2318,'Discount Lookup'!G:H,2,FALSE)*G2318)</f>
        <v>0</v>
      </c>
      <c r="W2318" s="102">
        <f t="shared" si="1669"/>
        <v>0</v>
      </c>
      <c r="X2318" s="102">
        <f t="shared" si="1670"/>
        <v>0</v>
      </c>
      <c r="Y2318" s="120" t="b">
        <f t="shared" si="1671"/>
        <v>0</v>
      </c>
      <c r="Z2318" s="117">
        <f t="shared" si="1672"/>
        <v>0</v>
      </c>
      <c r="AA2318" s="118"/>
      <c r="AB2318" s="118" t="str">
        <f t="shared" si="1673"/>
        <v/>
      </c>
      <c r="AC2318" s="712" t="str">
        <f>IF(AE2318="T2G","no charge",IF(AND(OR(PlanterYesMe="No",PlanterYesMe="N",PlanterYesMe="me"),H2318=""),"",IF(H2318="credit","NO install",IF(AND(K2318="",AE2318="me"),"EACH row",IF(AND(K2318="images",AE2318="me"),"EACH row",IF(D2318="","",IF(H2318="credit","",IF(AE2318="free","re-planting",IF(AE2318="me","   not ELP, by",IF(AND(OR(PlanterYesMe="Yes",PlanterYesMe="Y"),G2318&gt;0),(VLOOKUP(A2318,'Discount Lookup'!J:K,2)*G2318*(1-PlanterDiscount)*(1+PlanterDifficultyPercentage)),IF(AE2318="ELP",(VLOOKUP(A2318,'Discount Lookup'!J:K,2)*G2318*(1-PlanterDiscount)*(1+PlanterDifficultyPercentage)),IF(AE2318="free","re-planting",IF(G2318=0,"",IF(PlanterYesMe="",IF(AE2318="me","   not ELP, by",IF(AE2318="",IF(G2318&gt;0,(VLOOKUP(A2318,'Discount Lookup'!J:K,2)*G2318*(1-PlanterDiscount)*(1+PlanterDifficultyPercentage)),""),"")),"   not ELP, by"))))))))))))))</f>
        <v/>
      </c>
      <c r="AD2318" s="712"/>
      <c r="AE2318" s="513" t="str">
        <f t="shared" si="1674"/>
        <v/>
      </c>
      <c r="AF2318" s="713" t="str">
        <f t="shared" si="1675"/>
        <v/>
      </c>
      <c r="AG2318" s="713"/>
      <c r="AH2318" s="713"/>
      <c r="AI2318" s="112">
        <f>IF(H2318="credit",0,IF(AE2318="free",0,IF(AE2318="me",0,IF(G2318&gt;0,(VLOOKUP(A2318,'Discount Lookup'!J:K,2)*G2318),0))))</f>
        <v>0</v>
      </c>
      <c r="AJ2318" s="107" t="str">
        <f t="shared" ca="1" si="1676"/>
        <v/>
      </c>
      <c r="AK2318" s="714" t="str">
        <f t="shared" si="1677"/>
        <v/>
      </c>
      <c r="AL2318" s="714"/>
      <c r="AM2318" s="114" t="str">
        <f t="shared" si="1678"/>
        <v/>
      </c>
      <c r="AN2318" s="115"/>
      <c r="AO2318" s="116"/>
      <c r="AP2318" s="116"/>
      <c r="AQ2318" s="116"/>
      <c r="AR2318" s="116"/>
      <c r="AS2318" s="116"/>
      <c r="AT2318" s="116"/>
      <c r="AU2318" s="116"/>
      <c r="AV2318" s="78"/>
      <c r="AW2318" s="102"/>
      <c r="AX2318" s="78"/>
      <c r="AY2318" s="78"/>
      <c r="AZ2318" s="78"/>
      <c r="BA2318" s="78"/>
      <c r="BB2318" s="78"/>
      <c r="BC2318" s="78"/>
      <c r="BD2318" s="78"/>
      <c r="BE2318" s="465"/>
      <c r="BF2318" s="165" t="str">
        <f t="shared" si="1679"/>
        <v>https://www.google.com/search?tbm=isch&amp;q=15%20G4</v>
      </c>
      <c r="BG2318" s="165" t="str">
        <f t="shared" si="1680"/>
        <v>I</v>
      </c>
      <c r="BH2318" s="65"/>
      <c r="BI2318" s="65"/>
      <c r="BJ2318" s="65"/>
      <c r="BK2318" s="65"/>
      <c r="BL2318" s="99"/>
      <c r="BM2318" s="99"/>
      <c r="BN2318" s="99"/>
    </row>
    <row r="2319" spans="1:66" s="51" customFormat="1" ht="16.5" thickBot="1" x14ac:dyDescent="0.3">
      <c r="A2319" s="705" t="s">
        <v>5460</v>
      </c>
      <c r="B2319" s="487"/>
      <c r="C2319" s="707"/>
      <c r="D2319" s="487"/>
      <c r="E2319" s="487"/>
      <c r="F2319" s="488"/>
      <c r="G2319" s="489"/>
      <c r="H2319" s="487"/>
      <c r="I2319" s="490"/>
      <c r="J2319" s="490"/>
      <c r="K2319" s="491"/>
      <c r="L2319" s="547"/>
      <c r="M2319" s="528"/>
      <c r="N2319" s="492"/>
      <c r="O2319" s="493"/>
      <c r="P2319" s="494"/>
      <c r="Q2319" s="492"/>
      <c r="R2319" s="492"/>
      <c r="S2319" s="699" t="s">
        <v>5259</v>
      </c>
      <c r="T2319" s="102">
        <f t="shared" si="1668"/>
        <v>0</v>
      </c>
      <c r="U2319" s="78" t="str">
        <f>IF(NOT(ISNUMBER(G2319)), "", VLOOKUP(A2319,'Discount Lookup'!D:E,2,FALSE)*G2319)</f>
        <v/>
      </c>
      <c r="V2319" s="78" t="str">
        <f>IF(NOT(ISNUMBER(G2319)), "", VLOOKUP(A2319,'Discount Lookup'!G:H,2,FALSE)*G2319)</f>
        <v/>
      </c>
      <c r="W2319" s="102">
        <f t="shared" si="1669"/>
        <v>0</v>
      </c>
      <c r="X2319" s="102">
        <f t="shared" si="1670"/>
        <v>0</v>
      </c>
      <c r="Y2319" s="120" t="b">
        <f t="shared" si="1671"/>
        <v>0</v>
      </c>
      <c r="Z2319" s="117">
        <f t="shared" si="1672"/>
        <v>0</v>
      </c>
      <c r="AA2319" s="118"/>
      <c r="AB2319" s="118" t="str">
        <f t="shared" si="1673"/>
        <v/>
      </c>
      <c r="AC2319" s="712" t="str">
        <f>IF(AE2319="T2G","no charge",IF(AND(OR(PlanterYesMe="No",PlanterYesMe="N",PlanterYesMe="me"),H2319=""),"",IF(H2319="credit","NO install",IF(AND(K2319="",AE2319="me"),"EACH row",IF(AND(K2319="images",AE2319="me"),"EACH row",IF(D2319="","",IF(H2319="credit","",IF(AE2319="free","re-planting",IF(AE2319="me","   not ELP, by",IF(AND(OR(PlanterYesMe="Yes",PlanterYesMe="Y"),G2319&gt;0),(VLOOKUP(A2319,'Discount Lookup'!J:K,2)*G2319*(1-PlanterDiscount)*(1+PlanterDifficultyPercentage)),IF(AE2319="ELP",(VLOOKUP(A2319,'Discount Lookup'!J:K,2)*G2319*(1-PlanterDiscount)*(1+PlanterDifficultyPercentage)),IF(AE2319="free","re-planting",IF(G2319=0,"",IF(PlanterYesMe="",IF(AE2319="me","   not ELP, by",IF(AE2319="",IF(G2319&gt;0,(VLOOKUP(A2319,'Discount Lookup'!J:K,2)*G2319*(1-PlanterDiscount)*(1+PlanterDifficultyPercentage)),""),"")),"   not ELP, by"))))))))))))))</f>
        <v/>
      </c>
      <c r="AD2319" s="712"/>
      <c r="AE2319" s="513" t="str">
        <f t="shared" si="1674"/>
        <v/>
      </c>
      <c r="AF2319" s="713" t="str">
        <f t="shared" si="1675"/>
        <v/>
      </c>
      <c r="AG2319" s="713"/>
      <c r="AH2319" s="713"/>
      <c r="AI2319" s="112">
        <f>IF(H2319="credit",0,IF(AE2319="free",0,IF(AE2319="me",0,IF(G2319&gt;0,(VLOOKUP(A2319,'Discount Lookup'!J:K,2)*G2319),0))))</f>
        <v>0</v>
      </c>
      <c r="AJ2319" s="107" t="str">
        <f t="shared" ca="1" si="1676"/>
        <v/>
      </c>
      <c r="AK2319" s="714" t="str">
        <f t="shared" si="1677"/>
        <v/>
      </c>
      <c r="AL2319" s="714"/>
      <c r="AM2319" s="114" t="str">
        <f t="shared" si="1678"/>
        <v/>
      </c>
      <c r="AN2319" s="115"/>
      <c r="AO2319" s="116"/>
      <c r="AP2319" s="116"/>
      <c r="AQ2319" s="116"/>
      <c r="AR2319" s="116"/>
      <c r="AS2319" s="116"/>
      <c r="AT2319" s="116"/>
      <c r="AU2319" s="116"/>
      <c r="AV2319" s="78"/>
      <c r="AW2319" s="102"/>
      <c r="AX2319" s="78"/>
      <c r="AY2319" s="78"/>
      <c r="AZ2319" s="78"/>
      <c r="BA2319" s="78"/>
      <c r="BB2319" s="78"/>
      <c r="BC2319" s="78"/>
      <c r="BD2319" s="78"/>
      <c r="BE2319" s="465"/>
      <c r="BF2319" s="165" t="str">
        <f t="shared" si="1679"/>
        <v>https://www.google.com/search?tbm=isch&amp;q=moist%20sites%F0%9F%92%A7OK%2C%20Whoa%20Nellie%20known%20for%20it%27s%20bright%20golden%20new%20foliage%2C%20contrasting%20with%20mature%20green%20foliage%20behind%20it%20</v>
      </c>
      <c r="BG2319" s="165" t="str">
        <f t="shared" si="1680"/>
        <v>m</v>
      </c>
      <c r="BH2319" s="65"/>
      <c r="BI2319" s="65"/>
      <c r="BJ2319" s="65"/>
      <c r="BK2319" s="65"/>
      <c r="BL2319" s="99"/>
      <c r="BM2319" s="99"/>
      <c r="BN2319" s="99"/>
    </row>
    <row r="2320" spans="1:66" s="51" customFormat="1" ht="18" x14ac:dyDescent="0.25">
      <c r="A2320" s="507" t="s">
        <v>543</v>
      </c>
      <c r="B2320" s="470"/>
      <c r="C2320" s="706"/>
      <c r="D2320" s="471" t="s">
        <v>544</v>
      </c>
      <c r="E2320" s="472"/>
      <c r="F2320" s="472"/>
      <c r="G2320" s="472"/>
      <c r="H2320" s="622" t="s">
        <v>326</v>
      </c>
      <c r="I2320" s="473" t="s">
        <v>431</v>
      </c>
      <c r="J2320" s="472"/>
      <c r="K2320" s="472"/>
      <c r="L2320" s="561"/>
      <c r="M2320" s="698" t="s">
        <v>5246</v>
      </c>
      <c r="N2320" s="692" t="str">
        <f>IF(AND(ISTEXT($A2320), ISERROR($A2320+0)), HYPERLINK($BF2320, "Images"), "")</f>
        <v>Images</v>
      </c>
      <c r="O2320" s="694" t="s">
        <v>5244</v>
      </c>
      <c r="P2320" s="475"/>
      <c r="Q2320" s="476"/>
      <c r="R2320" s="476"/>
      <c r="S2320" s="477"/>
      <c r="T2320" s="102">
        <f t="shared" si="1668"/>
        <v>0</v>
      </c>
      <c r="U2320" s="78" t="str">
        <f>IF(NOT(ISNUMBER(G2320)), "", VLOOKUP(A2320,'Discount Lookup'!D:E,2,FALSE)*G2320)</f>
        <v/>
      </c>
      <c r="V2320" s="78" t="str">
        <f>IF(NOT(ISNUMBER(G2320)), "", VLOOKUP(A2320,'Discount Lookup'!G:H,2,FALSE)*G2320)</f>
        <v/>
      </c>
      <c r="W2320" s="102">
        <f t="shared" si="1669"/>
        <v>0</v>
      </c>
      <c r="X2320" s="102" t="str">
        <f t="shared" si="1670"/>
        <v>Dark Green foliage</v>
      </c>
      <c r="Y2320" s="120" t="b">
        <f t="shared" si="1671"/>
        <v>0</v>
      </c>
      <c r="Z2320" s="117">
        <f t="shared" si="1672"/>
        <v>0</v>
      </c>
      <c r="AA2320" s="118"/>
      <c r="AB2320" s="118" t="str">
        <f t="shared" si="1673"/>
        <v/>
      </c>
      <c r="AC2320" s="712" t="str">
        <f>IF(AE2320="T2G","no charge",IF(AND(OR(PlanterYesMe="No",PlanterYesMe="N",PlanterYesMe="me"),H2320=""),"",IF(H2320="credit","NO install",IF(AND(K2320="",AE2320="me"),"EACH row",IF(AND(K2320="images",AE2320="me"),"EACH row",IF(D2320="","",IF(H2320="credit","",IF(AE2320="free","re-planting",IF(AE2320="me","   not ELP, by",IF(AND(OR(PlanterYesMe="Yes",PlanterYesMe="Y"),G2320&gt;0),(VLOOKUP(A2320,'Discount Lookup'!J:K,2)*G2320*(1-PlanterDiscount)*(1+PlanterDifficultyPercentage)),IF(AE2320="ELP",(VLOOKUP(A2320,'Discount Lookup'!J:K,2)*G2320*(1-PlanterDiscount)*(1+PlanterDifficultyPercentage)),IF(AE2320="free","re-planting",IF(G2320=0,"",IF(PlanterYesMe="",IF(AE2320="me","   not ELP, by",IF(AE2320="",IF(G2320&gt;0,(VLOOKUP(A2320,'Discount Lookup'!J:K,2)*G2320*(1-PlanterDiscount)*(1+PlanterDifficultyPercentage)),""),"")),"   not ELP, by"))))))))))))))</f>
        <v/>
      </c>
      <c r="AD2320" s="712"/>
      <c r="AE2320" s="513" t="str">
        <f t="shared" si="1674"/>
        <v/>
      </c>
      <c r="AF2320" s="713" t="str">
        <f t="shared" si="1675"/>
        <v/>
      </c>
      <c r="AG2320" s="713"/>
      <c r="AH2320" s="713"/>
      <c r="AI2320" s="112">
        <f>IF(H2320="credit",0,IF(AE2320="free",0,IF(AE2320="me",0,IF(G2320&gt;0,(VLOOKUP(A2320,'Discount Lookup'!J:K,2)*G2320),0))))</f>
        <v>0</v>
      </c>
      <c r="AJ2320" s="107" t="str">
        <f t="shared" ca="1" si="1676"/>
        <v/>
      </c>
      <c r="AK2320" s="714" t="str">
        <f t="shared" si="1677"/>
        <v/>
      </c>
      <c r="AL2320" s="714"/>
      <c r="AM2320" s="114" t="str">
        <f t="shared" si="1678"/>
        <v/>
      </c>
      <c r="AN2320" s="115"/>
      <c r="AO2320" s="116"/>
      <c r="AP2320" s="116"/>
      <c r="AQ2320" s="116"/>
      <c r="AR2320" s="116"/>
      <c r="AS2320" s="116"/>
      <c r="AT2320" s="116"/>
      <c r="AU2320" s="116"/>
      <c r="AV2320" s="78"/>
      <c r="AW2320" s="102"/>
      <c r="AX2320" s="78"/>
      <c r="AY2320" s="78"/>
      <c r="AZ2320" s="78"/>
      <c r="BA2320" s="78"/>
      <c r="BB2320" s="78"/>
      <c r="BC2320" s="78"/>
      <c r="BD2320" s="78"/>
      <c r="BE2320" s="465"/>
      <c r="BF2320" s="165" t="str">
        <f t="shared" si="1679"/>
        <v>https://www.google.com/search?tbm=isch&amp;q=Ilex%20x%20aquipernyi%20%27Dragon%20Slayer%27%20Dragon%20Slayer%20Holly</v>
      </c>
      <c r="BG2320" s="165" t="str">
        <f t="shared" si="1680"/>
        <v>I</v>
      </c>
      <c r="BH2320" s="65"/>
      <c r="BI2320" s="65"/>
      <c r="BJ2320" s="65"/>
      <c r="BK2320" s="65"/>
      <c r="BL2320" s="99"/>
      <c r="BM2320" s="99"/>
      <c r="BN2320" s="99"/>
    </row>
    <row r="2321" spans="1:66" s="51" customFormat="1" ht="27" x14ac:dyDescent="0.25">
      <c r="A2321" s="478">
        <v>7</v>
      </c>
      <c r="B2321" s="479" t="s">
        <v>291</v>
      </c>
      <c r="C2321" s="480" t="s">
        <v>957</v>
      </c>
      <c r="D2321" s="481" t="s">
        <v>299</v>
      </c>
      <c r="E2321" s="482">
        <v>91.95</v>
      </c>
      <c r="F2321" s="483" t="s">
        <v>292</v>
      </c>
      <c r="G2321" s="484">
        <v>0</v>
      </c>
      <c r="H2321" s="688" t="str">
        <f>IF(G2321=0,"",IF(F2321="Buy",IF(G2321=1,"plant","plants"),IF(F2321&gt;0.01,"warranty","Error")))</f>
        <v/>
      </c>
      <c r="I2321" s="485">
        <f>IF(H2321="free",0,IF(H2321="credit",((E2321*(F2321))*G2321*-1),IF(F2321="Buy",(E2321*G2321),((E2321*(1-F2321))*G2321))))</f>
        <v>0</v>
      </c>
      <c r="J2321" s="485">
        <f>IF(H2321="warranty",0,(I2321*(_xlfn.SINGLE(SalesTaxPercentage))))</f>
        <v>0</v>
      </c>
      <c r="K2321" s="715">
        <f t="shared" ref="K2321" si="1725">I2321+J2321</f>
        <v>0</v>
      </c>
      <c r="L2321" s="715"/>
      <c r="M2321" s="689" t="str">
        <f ca="1">IF(AND(G2321&gt;0,E2321=0),"WARNING - no PRICE inserted",IF(H2321="free","FREE ~ no charge this plant",IF(H2321="credit",CONCATENATE("-$",ROUND(K2321*(1-_xlfn.SINGLE(T2GDiscount))*-1,2)," CREDIT after discount"),IF(_xlfn.SINGLE(T2GDiscount)=0,"",IF(G2321=0,"",IF(F2321="Buy",CONCATENATE("$",ROUND(K2321*(1-_xlfn.SINGLE(T2GDiscount)),2)," with ",(_xlfn.SINGLE(T2GDiscount)*100),"% discount"),CONCATENATE("$",ROUND(K2321*(1-_xlfn.SINGLE(T2GDiscount)),2)," with ",((_xlfn.SINGLE(T2GDiscount)*100+F2321*100)-(_xlfn.SINGLE(T2GDiscount)*100*F2321)),IF(F2321&gt;0,"% discounts",IF(_xlfn.SINGLE(NoWarrantyDiscount)&gt;0,"% discounts","% discount")))))))))</f>
        <v/>
      </c>
      <c r="N2321" s="690"/>
      <c r="O2321" s="486"/>
      <c r="P2321" s="486"/>
      <c r="Q2321" s="486"/>
      <c r="R2321" s="486"/>
      <c r="S2321" s="486"/>
      <c r="T2321" s="102">
        <f t="shared" si="1668"/>
        <v>0</v>
      </c>
      <c r="U2321" s="78">
        <f>IF(NOT(ISNUMBER(G2321)), "", VLOOKUP(A2321,'Discount Lookup'!D:E,2,FALSE)*G2321)</f>
        <v>0</v>
      </c>
      <c r="V2321" s="78">
        <f>IF(NOT(ISNUMBER(G2321)), "", VLOOKUP(A2321,'Discount Lookup'!G:H,2,FALSE)*G2321)</f>
        <v>0</v>
      </c>
      <c r="W2321" s="102">
        <f t="shared" si="1669"/>
        <v>0</v>
      </c>
      <c r="X2321" s="102">
        <f t="shared" si="1670"/>
        <v>0</v>
      </c>
      <c r="Y2321" s="120" t="b">
        <f t="shared" si="1671"/>
        <v>0</v>
      </c>
      <c r="Z2321" s="117">
        <f t="shared" si="1672"/>
        <v>0</v>
      </c>
      <c r="AA2321" s="118"/>
      <c r="AB2321" s="118" t="str">
        <f t="shared" si="1673"/>
        <v/>
      </c>
      <c r="AC2321" s="712" t="str">
        <f>IF(AE2321="T2G","no charge",IF(AND(OR(PlanterYesMe="No",PlanterYesMe="N",PlanterYesMe="me"),H2321=""),"",IF(H2321="credit","NO install",IF(AND(K2321="",AE2321="me"),"EACH row",IF(AND(K2321="images",AE2321="me"),"EACH row",IF(D2321="","",IF(H2321="credit","",IF(AE2321="free","re-planting",IF(AE2321="me","   not ELP, by",IF(AND(OR(PlanterYesMe="Yes",PlanterYesMe="Y"),G2321&gt;0),(VLOOKUP(A2321,'Discount Lookup'!J:K,2)*G2321*(1-PlanterDiscount)*(1+PlanterDifficultyPercentage)),IF(AE2321="ELP",(VLOOKUP(A2321,'Discount Lookup'!J:K,2)*G2321*(1-PlanterDiscount)*(1+PlanterDifficultyPercentage)),IF(AE2321="free","re-planting",IF(G2321=0,"",IF(PlanterYesMe="",IF(AE2321="me","   not ELP, by",IF(AE2321="",IF(G2321&gt;0,(VLOOKUP(A2321,'Discount Lookup'!J:K,2)*G2321*(1-PlanterDiscount)*(1+PlanterDifficultyPercentage)),""),"")),"   not ELP, by"))))))))))))))</f>
        <v/>
      </c>
      <c r="AD2321" s="712"/>
      <c r="AE2321" s="513" t="str">
        <f t="shared" si="1674"/>
        <v/>
      </c>
      <c r="AF2321" s="713" t="str">
        <f t="shared" si="1675"/>
        <v/>
      </c>
      <c r="AG2321" s="713"/>
      <c r="AH2321" s="713"/>
      <c r="AI2321" s="112">
        <f>IF(H2321="credit",0,IF(AE2321="free",0,IF(AE2321="me",0,IF(G2321&gt;0,(VLOOKUP(A2321,'Discount Lookup'!J:K,2)*G2321),0))))</f>
        <v>0</v>
      </c>
      <c r="AJ2321" s="107" t="str">
        <f t="shared" ca="1" si="1676"/>
        <v/>
      </c>
      <c r="AK2321" s="714" t="str">
        <f t="shared" si="1677"/>
        <v/>
      </c>
      <c r="AL2321" s="714"/>
      <c r="AM2321" s="114" t="str">
        <f t="shared" si="1678"/>
        <v/>
      </c>
      <c r="AN2321" s="115"/>
      <c r="AO2321" s="116"/>
      <c r="AP2321" s="116"/>
      <c r="AQ2321" s="116"/>
      <c r="AR2321" s="116"/>
      <c r="AS2321" s="116"/>
      <c r="AT2321" s="116"/>
      <c r="AU2321" s="116"/>
      <c r="AV2321" s="78"/>
      <c r="AW2321" s="102"/>
      <c r="AX2321" s="78"/>
      <c r="AY2321" s="78"/>
      <c r="AZ2321" s="78"/>
      <c r="BA2321" s="78"/>
      <c r="BB2321" s="78"/>
      <c r="BC2321" s="78"/>
      <c r="BD2321" s="78"/>
      <c r="BE2321" s="465"/>
      <c r="BF2321" s="165" t="str">
        <f t="shared" si="1679"/>
        <v>https://www.google.com/search?tbm=isch&amp;q=7%20G4</v>
      </c>
      <c r="BG2321" s="165" t="str">
        <f t="shared" si="1680"/>
        <v>I</v>
      </c>
      <c r="BH2321" s="65"/>
      <c r="BI2321" s="65"/>
      <c r="BJ2321" s="65"/>
      <c r="BK2321" s="65"/>
      <c r="BL2321" s="99"/>
      <c r="BM2321" s="99"/>
      <c r="BN2321" s="99"/>
    </row>
    <row r="2322" spans="1:66" s="51" customFormat="1" ht="17.25" thickBot="1" x14ac:dyDescent="0.3">
      <c r="A2322" s="508" t="s">
        <v>545</v>
      </c>
      <c r="B2322" s="487"/>
      <c r="C2322" s="707"/>
      <c r="D2322" s="487"/>
      <c r="E2322" s="487"/>
      <c r="F2322" s="488"/>
      <c r="G2322" s="489"/>
      <c r="H2322" s="487"/>
      <c r="I2322" s="490"/>
      <c r="J2322" s="490"/>
      <c r="K2322" s="491"/>
      <c r="L2322" s="547"/>
      <c r="M2322" s="528"/>
      <c r="N2322" s="492"/>
      <c r="O2322" s="493"/>
      <c r="P2322" s="494"/>
      <c r="Q2322" s="492"/>
      <c r="R2322" s="492"/>
      <c r="S2322" s="699" t="s">
        <v>5268</v>
      </c>
      <c r="T2322" s="102">
        <f t="shared" si="1668"/>
        <v>0</v>
      </c>
      <c r="U2322" s="78" t="str">
        <f>IF(NOT(ISNUMBER(G2322)), "", VLOOKUP(A2322,'Discount Lookup'!D:E,2,FALSE)*G2322)</f>
        <v/>
      </c>
      <c r="V2322" s="78" t="str">
        <f>IF(NOT(ISNUMBER(G2322)), "", VLOOKUP(A2322,'Discount Lookup'!G:H,2,FALSE)*G2322)</f>
        <v/>
      </c>
      <c r="W2322" s="102">
        <f t="shared" si="1669"/>
        <v>0</v>
      </c>
      <c r="X2322" s="102">
        <f t="shared" si="1670"/>
        <v>0</v>
      </c>
      <c r="Y2322" s="120" t="b">
        <f t="shared" si="1671"/>
        <v>0</v>
      </c>
      <c r="Z2322" s="117">
        <f t="shared" si="1672"/>
        <v>0</v>
      </c>
      <c r="AA2322" s="118"/>
      <c r="AB2322" s="118" t="str">
        <f t="shared" si="1673"/>
        <v/>
      </c>
      <c r="AC2322" s="712" t="str">
        <f>IF(AE2322="T2G","no charge",IF(AND(OR(PlanterYesMe="No",PlanterYesMe="N",PlanterYesMe="me"),H2322=""),"",IF(H2322="credit","NO install",IF(AND(K2322="",AE2322="me"),"EACH row",IF(AND(K2322="images",AE2322="me"),"EACH row",IF(D2322="","",IF(H2322="credit","",IF(AE2322="free","re-planting",IF(AE2322="me","   not ELP, by",IF(AND(OR(PlanterYesMe="Yes",PlanterYesMe="Y"),G2322&gt;0),(VLOOKUP(A2322,'Discount Lookup'!J:K,2)*G2322*(1-PlanterDiscount)*(1+PlanterDifficultyPercentage)),IF(AE2322="ELP",(VLOOKUP(A2322,'Discount Lookup'!J:K,2)*G2322*(1-PlanterDiscount)*(1+PlanterDifficultyPercentage)),IF(AE2322="free","re-planting",IF(G2322=0,"",IF(PlanterYesMe="",IF(AE2322="me","   not ELP, by",IF(AE2322="",IF(G2322&gt;0,(VLOOKUP(A2322,'Discount Lookup'!J:K,2)*G2322*(1-PlanterDiscount)*(1+PlanterDifficultyPercentage)),""),"")),"   not ELP, by"))))))))))))))</f>
        <v/>
      </c>
      <c r="AD2322" s="712"/>
      <c r="AE2322" s="513" t="str">
        <f t="shared" si="1674"/>
        <v/>
      </c>
      <c r="AF2322" s="713" t="str">
        <f t="shared" si="1675"/>
        <v/>
      </c>
      <c r="AG2322" s="713"/>
      <c r="AH2322" s="713"/>
      <c r="AI2322" s="112">
        <f>IF(H2322="credit",0,IF(AE2322="free",0,IF(AE2322="me",0,IF(G2322&gt;0,(VLOOKUP(A2322,'Discount Lookup'!J:K,2)*G2322),0))))</f>
        <v>0</v>
      </c>
      <c r="AJ2322" s="107" t="str">
        <f t="shared" ca="1" si="1676"/>
        <v/>
      </c>
      <c r="AK2322" s="714" t="str">
        <f t="shared" si="1677"/>
        <v/>
      </c>
      <c r="AL2322" s="714"/>
      <c r="AM2322" s="114" t="str">
        <f t="shared" si="1678"/>
        <v/>
      </c>
      <c r="AN2322" s="115"/>
      <c r="AO2322" s="116"/>
      <c r="AP2322" s="116"/>
      <c r="AQ2322" s="116"/>
      <c r="AR2322" s="116"/>
      <c r="AS2322" s="116"/>
      <c r="AT2322" s="116"/>
      <c r="AU2322" s="116"/>
      <c r="AV2322" s="78"/>
      <c r="AW2322" s="102"/>
      <c r="AX2322" s="78"/>
      <c r="AY2322" s="78"/>
      <c r="AZ2322" s="78"/>
      <c r="BA2322" s="78"/>
      <c r="BB2322" s="78"/>
      <c r="BC2322" s="78"/>
      <c r="BD2322" s="78"/>
      <c r="BE2322" s="465"/>
      <c r="BF2322" s="165" t="str">
        <f t="shared" si="1679"/>
        <v>https://www.google.com/search?tbm=isch&amp;q=Dragon%20Slayer%27s%20Scarlet%20heavy%20set%20of%20berries%20persist%20into%20winter%2C%20providing%20there%20is%20a%20male%20pollicator%20</v>
      </c>
      <c r="BG2322" s="165" t="str">
        <f t="shared" si="1680"/>
        <v>D</v>
      </c>
      <c r="BH2322" s="65"/>
      <c r="BI2322" s="65"/>
      <c r="BJ2322" s="65"/>
      <c r="BK2322" s="65"/>
      <c r="BL2322" s="99"/>
      <c r="BM2322" s="99"/>
      <c r="BN2322" s="99"/>
    </row>
    <row r="2323" spans="1:66" s="51" customFormat="1" ht="18" x14ac:dyDescent="0.25">
      <c r="A2323" s="507" t="s">
        <v>546</v>
      </c>
      <c r="B2323" s="470"/>
      <c r="C2323" s="706"/>
      <c r="D2323" s="471" t="s">
        <v>547</v>
      </c>
      <c r="E2323" s="472"/>
      <c r="F2323" s="472"/>
      <c r="G2323" s="472"/>
      <c r="H2323" s="622" t="s">
        <v>510</v>
      </c>
      <c r="I2323" s="473" t="s">
        <v>431</v>
      </c>
      <c r="J2323" s="472"/>
      <c r="K2323" s="472"/>
      <c r="L2323" s="561"/>
      <c r="M2323" s="698" t="s">
        <v>5246</v>
      </c>
      <c r="N2323" s="692" t="str">
        <f>IF(AND(ISTEXT($A2323), ISERROR($A2323+0)), HYPERLINK($BF2323, "Images"), "")</f>
        <v>Images</v>
      </c>
      <c r="O2323" s="694" t="s">
        <v>5247</v>
      </c>
      <c r="P2323" s="475"/>
      <c r="Q2323" s="476"/>
      <c r="R2323" s="476"/>
      <c r="S2323" s="477" t="s">
        <v>294</v>
      </c>
      <c r="T2323" s="102">
        <f t="shared" si="1668"/>
        <v>0</v>
      </c>
      <c r="U2323" s="78" t="str">
        <f>IF(NOT(ISNUMBER(G2323)), "", VLOOKUP(A2323,'Discount Lookup'!D:E,2,FALSE)*G2323)</f>
        <v/>
      </c>
      <c r="V2323" s="78" t="str">
        <f>IF(NOT(ISNUMBER(G2323)), "", VLOOKUP(A2323,'Discount Lookup'!G:H,2,FALSE)*G2323)</f>
        <v/>
      </c>
      <c r="W2323" s="102">
        <f t="shared" si="1669"/>
        <v>0</v>
      </c>
      <c r="X2323" s="102" t="str">
        <f t="shared" si="1670"/>
        <v>Dark Green foliage</v>
      </c>
      <c r="Y2323" s="120" t="b">
        <f t="shared" si="1671"/>
        <v>0</v>
      </c>
      <c r="Z2323" s="117">
        <f t="shared" si="1672"/>
        <v>0</v>
      </c>
      <c r="AA2323" s="118"/>
      <c r="AB2323" s="118" t="str">
        <f t="shared" si="1673"/>
        <v/>
      </c>
      <c r="AC2323" s="712" t="str">
        <f>IF(AE2323="T2G","no charge",IF(AND(OR(PlanterYesMe="No",PlanterYesMe="N",PlanterYesMe="me"),H2323=""),"",IF(H2323="credit","NO install",IF(AND(K2323="",AE2323="me"),"EACH row",IF(AND(K2323="images",AE2323="me"),"EACH row",IF(D2323="","",IF(H2323="credit","",IF(AE2323="free","re-planting",IF(AE2323="me","   not ELP, by",IF(AND(OR(PlanterYesMe="Yes",PlanterYesMe="Y"),G2323&gt;0),(VLOOKUP(A2323,'Discount Lookup'!J:K,2)*G2323*(1-PlanterDiscount)*(1+PlanterDifficultyPercentage)),IF(AE2323="ELP",(VLOOKUP(A2323,'Discount Lookup'!J:K,2)*G2323*(1-PlanterDiscount)*(1+PlanterDifficultyPercentage)),IF(AE2323="free","re-planting",IF(G2323=0,"",IF(PlanterYesMe="",IF(AE2323="me","   not ELP, by",IF(AE2323="",IF(G2323&gt;0,(VLOOKUP(A2323,'Discount Lookup'!J:K,2)*G2323*(1-PlanterDiscount)*(1+PlanterDifficultyPercentage)),""),"")),"   not ELP, by"))))))))))))))</f>
        <v/>
      </c>
      <c r="AD2323" s="712"/>
      <c r="AE2323" s="513" t="str">
        <f t="shared" si="1674"/>
        <v/>
      </c>
      <c r="AF2323" s="713" t="str">
        <f t="shared" si="1675"/>
        <v/>
      </c>
      <c r="AG2323" s="713"/>
      <c r="AH2323" s="713"/>
      <c r="AI2323" s="112">
        <f>IF(H2323="credit",0,IF(AE2323="free",0,IF(AE2323="me",0,IF(G2323&gt;0,(VLOOKUP(A2323,'Discount Lookup'!J:K,2)*G2323),0))))</f>
        <v>0</v>
      </c>
      <c r="AJ2323" s="107" t="str">
        <f t="shared" ca="1" si="1676"/>
        <v/>
      </c>
      <c r="AK2323" s="714" t="str">
        <f t="shared" si="1677"/>
        <v/>
      </c>
      <c r="AL2323" s="714"/>
      <c r="AM2323" s="114" t="str">
        <f t="shared" si="1678"/>
        <v/>
      </c>
      <c r="AN2323" s="115"/>
      <c r="AO2323" s="116"/>
      <c r="AP2323" s="116"/>
      <c r="AQ2323" s="116"/>
      <c r="AR2323" s="116"/>
      <c r="AS2323" s="116"/>
      <c r="AT2323" s="116"/>
      <c r="AU2323" s="116"/>
      <c r="AV2323" s="78"/>
      <c r="AW2323" s="102"/>
      <c r="AX2323" s="78"/>
      <c r="AY2323" s="78"/>
      <c r="AZ2323" s="78"/>
      <c r="BA2323" s="78"/>
      <c r="BB2323" s="78"/>
      <c r="BC2323" s="78"/>
      <c r="BD2323" s="78"/>
      <c r="BE2323" s="465"/>
      <c r="BF2323" s="165" t="str">
        <f t="shared" si="1679"/>
        <v>https://www.google.com/search?tbm=isch&amp;q=Ilex%20x%20attenuata%20%27Nasa%27%20Nasa%20Holly</v>
      </c>
      <c r="BG2323" s="165" t="str">
        <f t="shared" si="1680"/>
        <v>I</v>
      </c>
      <c r="BH2323" s="65"/>
      <c r="BI2323" s="65"/>
      <c r="BJ2323" s="65"/>
      <c r="BK2323" s="65"/>
      <c r="BL2323" s="99"/>
      <c r="BM2323" s="99"/>
      <c r="BN2323" s="99"/>
    </row>
    <row r="2324" spans="1:66" s="51" customFormat="1" ht="15.75" x14ac:dyDescent="0.25">
      <c r="A2324" s="478">
        <v>7</v>
      </c>
      <c r="B2324" s="479" t="s">
        <v>291</v>
      </c>
      <c r="C2324" s="480" t="s">
        <v>548</v>
      </c>
      <c r="D2324" s="481" t="s">
        <v>311</v>
      </c>
      <c r="E2324" s="482">
        <v>79.95</v>
      </c>
      <c r="F2324" s="483" t="s">
        <v>292</v>
      </c>
      <c r="G2324" s="484">
        <v>0</v>
      </c>
      <c r="H2324" s="688" t="str">
        <f>IF(G2324=0,"",IF(F2324="Buy",IF(G2324=1,"plant","plants"),IF(F2324&gt;0.01,"warranty","Error")))</f>
        <v/>
      </c>
      <c r="I2324" s="485">
        <f>IF(H2324="free",0,IF(H2324="credit",((E2324*(F2324))*G2324*-1),IF(F2324="Buy",(E2324*G2324),((E2324*(1-F2324))*G2324))))</f>
        <v>0</v>
      </c>
      <c r="J2324" s="485">
        <f>IF(H2324="warranty",0,(I2324*(_xlfn.SINGLE(SalesTaxPercentage))))</f>
        <v>0</v>
      </c>
      <c r="K2324" s="715">
        <f t="shared" ref="K2324" si="1726">I2324+J2324</f>
        <v>0</v>
      </c>
      <c r="L2324" s="715"/>
      <c r="M2324" s="689" t="str">
        <f ca="1">IF(AND(G2324&gt;0,E2324=0),"WARNING - no PRICE inserted",IF(H2324="free","FREE ~ no charge this plant",IF(H2324="credit",CONCATENATE("-$",ROUND(K2324*(1-_xlfn.SINGLE(T2GDiscount))*-1,2)," CREDIT after discount"),IF(_xlfn.SINGLE(T2GDiscount)=0,"",IF(G2324=0,"",IF(F2324="Buy",CONCATENATE("$",ROUND(K2324*(1-_xlfn.SINGLE(T2GDiscount)),2)," with ",(_xlfn.SINGLE(T2GDiscount)*100),"% discount"),CONCATENATE("$",ROUND(K2324*(1-_xlfn.SINGLE(T2GDiscount)),2)," with ",((_xlfn.SINGLE(T2GDiscount)*100+F2324*100)-(_xlfn.SINGLE(T2GDiscount)*100*F2324)),IF(F2324&gt;0,"% discounts",IF(_xlfn.SINGLE(NoWarrantyDiscount)&gt;0,"% discounts","% discount")))))))))</f>
        <v/>
      </c>
      <c r="N2324" s="690"/>
      <c r="O2324" s="486"/>
      <c r="P2324" s="486"/>
      <c r="Q2324" s="486"/>
      <c r="R2324" s="486"/>
      <c r="S2324" s="486"/>
      <c r="T2324" s="102">
        <f t="shared" ref="T2324:T2387" si="1727">E2324*G2324</f>
        <v>0</v>
      </c>
      <c r="U2324" s="78">
        <f>IF(NOT(ISNUMBER(G2324)), "", VLOOKUP(A2324,'Discount Lookup'!D:E,2,FALSE)*G2324)</f>
        <v>0</v>
      </c>
      <c r="V2324" s="78">
        <f>IF(NOT(ISNUMBER(G2324)), "", VLOOKUP(A2324,'Discount Lookup'!G:H,2,FALSE)*G2324)</f>
        <v>0</v>
      </c>
      <c r="W2324" s="102">
        <f t="shared" ref="W2324:W2387" si="1728">IF(H2324="credit",0,E2324*(SalesTaxPercentage)*G2324)</f>
        <v>0</v>
      </c>
      <c r="X2324" s="102">
        <f t="shared" ref="X2324:X2387" si="1729">I2324</f>
        <v>0</v>
      </c>
      <c r="Y2324" s="120" t="b">
        <f t="shared" ref="Y2324:Y2387" si="1730">IF(AE2324="T2G",0,IF(H2324="credit",0,IF(G2324&gt;0,IF(AE2324="me","",G2324))))</f>
        <v>0</v>
      </c>
      <c r="Z2324" s="117">
        <f t="shared" ref="Z2324:Z2387" si="1731">IF(H2324="credit",G2324,0)</f>
        <v>0</v>
      </c>
      <c r="AA2324" s="118"/>
      <c r="AB2324" s="118" t="str">
        <f t="shared" ref="AB2324:AB2387" si="1732">IF(AE2324="T2G","by Trees2Go",IF(H2324="credit","CREDIT only ~",IF(AND(K2324="",AE2324=OR(PlanterYesMe="No",PlanterYesMe="N",PlanterYesMe="me")),"not THIS line⇨",IF(AND(K2324="images",AE2324="me"),"not THIS line⇨",IF(H2324="credit","",IF(G2324=0,"",IF(AE2324="me","",IF(OR(PlanterYesMe="No",PlanterYesMe="N",PlanterYesMe="me"),"",IF(AE2324="free","warranty",IF(OR(PlanterYesMe="yes",PlanterYesMe="y"),"Edison install:","to install:"))))))))))</f>
        <v/>
      </c>
      <c r="AC2324" s="712" t="str">
        <f>IF(AE2324="T2G","no charge",IF(AND(OR(PlanterYesMe="No",PlanterYesMe="N",PlanterYesMe="me"),H2324=""),"",IF(H2324="credit","NO install",IF(AND(K2324="",AE2324="me"),"EACH row",IF(AND(K2324="images",AE2324="me"),"EACH row",IF(D2324="","",IF(H2324="credit","",IF(AE2324="free","re-planting",IF(AE2324="me","   not ELP, by",IF(AND(OR(PlanterYesMe="Yes",PlanterYesMe="Y"),G2324&gt;0),(VLOOKUP(A2324,'Discount Lookup'!J:K,2)*G2324*(1-PlanterDiscount)*(1+PlanterDifficultyPercentage)),IF(AE2324="ELP",(VLOOKUP(A2324,'Discount Lookup'!J:K,2)*G2324*(1-PlanterDiscount)*(1+PlanterDifficultyPercentage)),IF(AE2324="free","re-planting",IF(G2324=0,"",IF(PlanterYesMe="",IF(AE2324="me","   not ELP, by",IF(AE2324="",IF(G2324&gt;0,(VLOOKUP(A2324,'Discount Lookup'!J:K,2)*G2324*(1-PlanterDiscount)*(1+PlanterDifficultyPercentage)),""),"")),"   not ELP, by"))))))))))))))</f>
        <v/>
      </c>
      <c r="AD2324" s="712"/>
      <c r="AE2324" s="513" t="str">
        <f t="shared" ref="AE2324:AE2387" si="1733">IF(H2324="credit","",IF(G2324=0,"",IF(OR(PlanterYesMe="No",PlanterYesMe="N",PlanterYesMe="me"),"me",IF(H2324="warranty","free",IF(OR(PlanterYesMe="yes",PlanterYesMe="y"),"ELP","")))))</f>
        <v/>
      </c>
      <c r="AF2324" s="713" t="str">
        <f t="shared" ref="AF2324:AF2387" si="1734">IF(OR(PlanterYesMe="No",PlanterYesMe="N",PlanterYesMe="me"),"",IF(H2324="credit","",IF(G2324&gt;0,(CONCATENATE((G2324)," quantity, ",(A2324)," ",B2324)),"")))</f>
        <v/>
      </c>
      <c r="AG2324" s="713"/>
      <c r="AH2324" s="713"/>
      <c r="AI2324" s="112">
        <f>IF(H2324="credit",0,IF(AE2324="free",0,IF(AE2324="me",0,IF(G2324&gt;0,(VLOOKUP(A2324,'Discount Lookup'!J:K,2)*G2324),0))))</f>
        <v>0</v>
      </c>
      <c r="AJ2324" s="107" t="str">
        <f t="shared" ref="AJ2324:AJ2387" ca="1" si="1735">IF(AND(ISREF(H2324),H2324="credit"),"",IF(AND(AND(OFFSET(G2324,0,0)=0,OFFSET(G2324,1,0)&gt;0,ISNUMBER(OFFSET(AC2324,1,0)),OFFSET(AC2324,1,0)&gt;0),OR(PlanterYesMe="yes",PlanterYesMe="y")),"T2G+ELP=",IF(AND(OFFSET(G2324,0,0)=0,OFFSET(G2324,1,0)&gt;0,ISNUMBER(OFFSET(AC2324,1,0)),OFFSET(AC2324,1,0)&gt;0),"if T2G+ELP=",IF(AND(OFFSET(G2324,0,0)=0,OFFSET(G2324,1,0)&gt;0),"T2G Subtotal",IF(H2324="credit","",IF(G2324=0,"",IF(AE2324="free",(K2324*(1-T2GDiscount)),IF(OR(PlanterYesMe="No",PlanterYesMe="N",PlanterYesMe="me"),(K2324*(1-T2GDiscount)),IF(OR(AE2324="me",AE2324="T2G"),(K2324*(1-T2GDiscount)),(K2324*(1-T2GDiscount))+AC2324)))))))))</f>
        <v/>
      </c>
      <c r="AK2324" s="714" t="str">
        <f t="shared" ref="AK2324:AK2387" si="1736">IF(H2324="credit","",IF(G2324=0,"",IF(OR(AE2324="me",AE2324="T2G"),"  delivery-only",IF(OR(PlanterYesMe="No",PlanterYesMe="N",PlanterYesMe="me"),"  delivery-only",CONCATENATE(" $",ROUND(AJ2324/G2324,2)," each")))))</f>
        <v/>
      </c>
      <c r="AL2324" s="714"/>
      <c r="AM2324" s="114" t="str">
        <f t="shared" ref="AM2324:AM2387" si="1737">IF(H2324="credit","",IF(AE2324="free","      ~ discounts included, no tax or planting fee applies ~",IF(G2324=0,"",IF(OR(PlanterYesMe="No",PlanterYesMe="N",PlanterYesMe="me"),CONCATENATE(" $",ROUND(AJ2324/G2324,2)," per plant, with tax &amp; discount"),IF(OR(AE2324="me",AE2324="T2G"),CONCATENATE(" $",ROUND(AJ2324/G2324,2)," per plant, with tax &amp; discount"),CONCATENATE("= $",ROUND((K2324*(1-T2GDiscount))/G2324,2)," per plant + $",AC2324/G2324,(" per planting      ~ includes tax &amp; discounts ~")))))))</f>
        <v/>
      </c>
      <c r="AN2324" s="115"/>
      <c r="AO2324" s="116"/>
      <c r="AP2324" s="116"/>
      <c r="AQ2324" s="116"/>
      <c r="AR2324" s="116"/>
      <c r="AS2324" s="116"/>
      <c r="AT2324" s="116"/>
      <c r="AU2324" s="116"/>
      <c r="AV2324" s="78"/>
      <c r="AW2324" s="102"/>
      <c r="AX2324" s="78"/>
      <c r="AY2324" s="78"/>
      <c r="AZ2324" s="78"/>
      <c r="BA2324" s="78"/>
      <c r="BB2324" s="78"/>
      <c r="BC2324" s="78"/>
      <c r="BD2324" s="78"/>
      <c r="BE2324" s="465"/>
      <c r="BF2324" s="165" t="str">
        <f t="shared" ref="BF2324:BF2387" si="1738">"https://www.google.com/search?tbm=isch&amp;q=" &amp; _xlfn.ENCODEURL($A2324 &amp; " " &amp; $D2324)</f>
        <v>https://www.google.com/search?tbm=isch&amp;q=7%20G5</v>
      </c>
      <c r="BG2324" s="165" t="str">
        <f t="shared" ref="BG2324:BG2387" si="1739">IF(ISTEXT(A2324),LEFT(A2324,1),BG2323)</f>
        <v>I</v>
      </c>
      <c r="BH2324" s="65"/>
      <c r="BI2324" s="65"/>
      <c r="BJ2324" s="65"/>
      <c r="BK2324" s="65"/>
      <c r="BL2324" s="99"/>
      <c r="BM2324" s="99"/>
      <c r="BN2324" s="99"/>
    </row>
    <row r="2325" spans="1:66" s="51" customFormat="1" ht="15.75" x14ac:dyDescent="0.25">
      <c r="A2325" s="478">
        <v>15</v>
      </c>
      <c r="B2325" s="479" t="s">
        <v>291</v>
      </c>
      <c r="C2325" s="480" t="s">
        <v>549</v>
      </c>
      <c r="D2325" s="481" t="s">
        <v>311</v>
      </c>
      <c r="E2325" s="482">
        <v>171.95</v>
      </c>
      <c r="F2325" s="483" t="s">
        <v>292</v>
      </c>
      <c r="G2325" s="484">
        <v>0</v>
      </c>
      <c r="H2325" s="688" t="str">
        <f>IF(G2325=0,"",IF(F2325="Buy",IF(G2325=1,"plant","plants"),IF(F2325&gt;0.01,"warranty","Error")))</f>
        <v/>
      </c>
      <c r="I2325" s="485">
        <f>IF(H2325="free",0,IF(H2325="credit",((E2325*(F2325))*G2325*-1),IF(F2325="Buy",(E2325*G2325),((E2325*(1-F2325))*G2325))))</f>
        <v>0</v>
      </c>
      <c r="J2325" s="485">
        <f>IF(H2325="warranty",0,(I2325*(_xlfn.SINGLE(SalesTaxPercentage))))</f>
        <v>0</v>
      </c>
      <c r="K2325" s="715">
        <f t="shared" ref="K2325" si="1740">I2325+J2325</f>
        <v>0</v>
      </c>
      <c r="L2325" s="715"/>
      <c r="M2325" s="689" t="str">
        <f ca="1">IF(AND(G2325&gt;0,E2325=0),"WARNING - no PRICE inserted",IF(H2325="free","FREE ~ no charge this plant",IF(H2325="credit",CONCATENATE("-$",ROUND(K2325*(1-_xlfn.SINGLE(T2GDiscount))*-1,2)," CREDIT after discount"),IF(_xlfn.SINGLE(T2GDiscount)=0,"",IF(G2325=0,"",IF(F2325="Buy",CONCATENATE("$",ROUND(K2325*(1-_xlfn.SINGLE(T2GDiscount)),2)," with ",(_xlfn.SINGLE(T2GDiscount)*100),"% discount"),CONCATENATE("$",ROUND(K2325*(1-_xlfn.SINGLE(T2GDiscount)),2)," with ",((_xlfn.SINGLE(T2GDiscount)*100+F2325*100)-(_xlfn.SINGLE(T2GDiscount)*100*F2325)),IF(F2325&gt;0,"% discounts",IF(_xlfn.SINGLE(NoWarrantyDiscount)&gt;0,"% discounts","% discount")))))))))</f>
        <v/>
      </c>
      <c r="N2325" s="690"/>
      <c r="O2325" s="486"/>
      <c r="P2325" s="486"/>
      <c r="Q2325" s="486"/>
      <c r="R2325" s="486"/>
      <c r="S2325" s="486"/>
      <c r="T2325" s="102">
        <f t="shared" si="1727"/>
        <v>0</v>
      </c>
      <c r="U2325" s="78">
        <f>IF(NOT(ISNUMBER(G2325)), "", VLOOKUP(A2325,'Discount Lookup'!D:E,2,FALSE)*G2325)</f>
        <v>0</v>
      </c>
      <c r="V2325" s="78">
        <f>IF(NOT(ISNUMBER(G2325)), "", VLOOKUP(A2325,'Discount Lookup'!G:H,2,FALSE)*G2325)</f>
        <v>0</v>
      </c>
      <c r="W2325" s="102">
        <f t="shared" si="1728"/>
        <v>0</v>
      </c>
      <c r="X2325" s="102">
        <f t="shared" si="1729"/>
        <v>0</v>
      </c>
      <c r="Y2325" s="120" t="b">
        <f t="shared" si="1730"/>
        <v>0</v>
      </c>
      <c r="Z2325" s="117">
        <f t="shared" si="1731"/>
        <v>0</v>
      </c>
      <c r="AA2325" s="118"/>
      <c r="AB2325" s="118" t="str">
        <f t="shared" si="1732"/>
        <v/>
      </c>
      <c r="AC2325" s="712" t="str">
        <f>IF(AE2325="T2G","no charge",IF(AND(OR(PlanterYesMe="No",PlanterYesMe="N",PlanterYesMe="me"),H2325=""),"",IF(H2325="credit","NO install",IF(AND(K2325="",AE2325="me"),"EACH row",IF(AND(K2325="images",AE2325="me"),"EACH row",IF(D2325="","",IF(H2325="credit","",IF(AE2325="free","re-planting",IF(AE2325="me","   not ELP, by",IF(AND(OR(PlanterYesMe="Yes",PlanterYesMe="Y"),G2325&gt;0),(VLOOKUP(A2325,'Discount Lookup'!J:K,2)*G2325*(1-PlanterDiscount)*(1+PlanterDifficultyPercentage)),IF(AE2325="ELP",(VLOOKUP(A2325,'Discount Lookup'!J:K,2)*G2325*(1-PlanterDiscount)*(1+PlanterDifficultyPercentage)),IF(AE2325="free","re-planting",IF(G2325=0,"",IF(PlanterYesMe="",IF(AE2325="me","   not ELP, by",IF(AE2325="",IF(G2325&gt;0,(VLOOKUP(A2325,'Discount Lookup'!J:K,2)*G2325*(1-PlanterDiscount)*(1+PlanterDifficultyPercentage)),""),"")),"   not ELP, by"))))))))))))))</f>
        <v/>
      </c>
      <c r="AD2325" s="712"/>
      <c r="AE2325" s="513" t="str">
        <f t="shared" si="1733"/>
        <v/>
      </c>
      <c r="AF2325" s="713" t="str">
        <f t="shared" si="1734"/>
        <v/>
      </c>
      <c r="AG2325" s="713"/>
      <c r="AH2325" s="713"/>
      <c r="AI2325" s="112">
        <f>IF(H2325="credit",0,IF(AE2325="free",0,IF(AE2325="me",0,IF(G2325&gt;0,(VLOOKUP(A2325,'Discount Lookup'!J:K,2)*G2325),0))))</f>
        <v>0</v>
      </c>
      <c r="AJ2325" s="107" t="str">
        <f t="shared" ca="1" si="1735"/>
        <v/>
      </c>
      <c r="AK2325" s="714" t="str">
        <f t="shared" si="1736"/>
        <v/>
      </c>
      <c r="AL2325" s="714"/>
      <c r="AM2325" s="114" t="str">
        <f t="shared" si="1737"/>
        <v/>
      </c>
      <c r="AN2325" s="115"/>
      <c r="AO2325" s="116"/>
      <c r="AP2325" s="116"/>
      <c r="AQ2325" s="116"/>
      <c r="AR2325" s="116"/>
      <c r="AS2325" s="116"/>
      <c r="AT2325" s="116"/>
      <c r="AU2325" s="116"/>
      <c r="AV2325" s="78"/>
      <c r="AW2325" s="102"/>
      <c r="AX2325" s="78"/>
      <c r="AY2325" s="78"/>
      <c r="AZ2325" s="78"/>
      <c r="BA2325" s="78"/>
      <c r="BB2325" s="78"/>
      <c r="BC2325" s="78"/>
      <c r="BD2325" s="78"/>
      <c r="BE2325" s="465"/>
      <c r="BF2325" s="165" t="str">
        <f t="shared" si="1738"/>
        <v>https://www.google.com/search?tbm=isch&amp;q=15%20G5</v>
      </c>
      <c r="BG2325" s="165" t="str">
        <f t="shared" si="1739"/>
        <v>I</v>
      </c>
      <c r="BH2325" s="65"/>
      <c r="BI2325" s="65"/>
      <c r="BJ2325" s="65"/>
      <c r="BK2325" s="65"/>
      <c r="BL2325" s="99"/>
      <c r="BM2325" s="99"/>
      <c r="BN2325" s="99"/>
    </row>
    <row r="2326" spans="1:66" s="51" customFormat="1" ht="17.25" thickBot="1" x14ac:dyDescent="0.3">
      <c r="A2326" s="508" t="s">
        <v>550</v>
      </c>
      <c r="B2326" s="487"/>
      <c r="C2326" s="707"/>
      <c r="D2326" s="487"/>
      <c r="E2326" s="487"/>
      <c r="F2326" s="488"/>
      <c r="G2326" s="489"/>
      <c r="H2326" s="487"/>
      <c r="I2326" s="490"/>
      <c r="J2326" s="490"/>
      <c r="K2326" s="491"/>
      <c r="L2326" s="547"/>
      <c r="M2326" s="528"/>
      <c r="N2326" s="492"/>
      <c r="O2326" s="493"/>
      <c r="P2326" s="494"/>
      <c r="Q2326" s="492"/>
      <c r="R2326" s="492"/>
      <c r="S2326" s="699" t="s">
        <v>5280</v>
      </c>
      <c r="T2326" s="102">
        <f t="shared" si="1727"/>
        <v>0</v>
      </c>
      <c r="U2326" s="78" t="str">
        <f>IF(NOT(ISNUMBER(G2326)), "", VLOOKUP(A2326,'Discount Lookup'!D:E,2,FALSE)*G2326)</f>
        <v/>
      </c>
      <c r="V2326" s="78" t="str">
        <f>IF(NOT(ISNUMBER(G2326)), "", VLOOKUP(A2326,'Discount Lookup'!G:H,2,FALSE)*G2326)</f>
        <v/>
      </c>
      <c r="W2326" s="102">
        <f t="shared" si="1728"/>
        <v>0</v>
      </c>
      <c r="X2326" s="102">
        <f t="shared" si="1729"/>
        <v>0</v>
      </c>
      <c r="Y2326" s="120" t="b">
        <f t="shared" si="1730"/>
        <v>0</v>
      </c>
      <c r="Z2326" s="117">
        <f t="shared" si="1731"/>
        <v>0</v>
      </c>
      <c r="AA2326" s="118"/>
      <c r="AB2326" s="118" t="str">
        <f t="shared" si="1732"/>
        <v/>
      </c>
      <c r="AC2326" s="712" t="str">
        <f>IF(AE2326="T2G","no charge",IF(AND(OR(PlanterYesMe="No",PlanterYesMe="N",PlanterYesMe="me"),H2326=""),"",IF(H2326="credit","NO install",IF(AND(K2326="",AE2326="me"),"EACH row",IF(AND(K2326="images",AE2326="me"),"EACH row",IF(D2326="","",IF(H2326="credit","",IF(AE2326="free","re-planting",IF(AE2326="me","   not ELP, by",IF(AND(OR(PlanterYesMe="Yes",PlanterYesMe="Y"),G2326&gt;0),(VLOOKUP(A2326,'Discount Lookup'!J:K,2)*G2326*(1-PlanterDiscount)*(1+PlanterDifficultyPercentage)),IF(AE2326="ELP",(VLOOKUP(A2326,'Discount Lookup'!J:K,2)*G2326*(1-PlanterDiscount)*(1+PlanterDifficultyPercentage)),IF(AE2326="free","re-planting",IF(G2326=0,"",IF(PlanterYesMe="",IF(AE2326="me","   not ELP, by",IF(AE2326="",IF(G2326&gt;0,(VLOOKUP(A2326,'Discount Lookup'!J:K,2)*G2326*(1-PlanterDiscount)*(1+PlanterDifficultyPercentage)),""),"")),"   not ELP, by"))))))))))))))</f>
        <v/>
      </c>
      <c r="AD2326" s="712"/>
      <c r="AE2326" s="513" t="str">
        <f t="shared" si="1733"/>
        <v/>
      </c>
      <c r="AF2326" s="713" t="str">
        <f t="shared" si="1734"/>
        <v/>
      </c>
      <c r="AG2326" s="713"/>
      <c r="AH2326" s="713"/>
      <c r="AI2326" s="112">
        <f>IF(H2326="credit",0,IF(AE2326="free",0,IF(AE2326="me",0,IF(G2326&gt;0,(VLOOKUP(A2326,'Discount Lookup'!J:K,2)*G2326),0))))</f>
        <v>0</v>
      </c>
      <c r="AJ2326" s="107" t="str">
        <f t="shared" ca="1" si="1735"/>
        <v/>
      </c>
      <c r="AK2326" s="714" t="str">
        <f t="shared" si="1736"/>
        <v/>
      </c>
      <c r="AL2326" s="714"/>
      <c r="AM2326" s="114" t="str">
        <f t="shared" si="1737"/>
        <v/>
      </c>
      <c r="AN2326" s="115"/>
      <c r="AO2326" s="116"/>
      <c r="AP2326" s="116"/>
      <c r="AQ2326" s="116"/>
      <c r="AR2326" s="116"/>
      <c r="AS2326" s="116"/>
      <c r="AT2326" s="116"/>
      <c r="AU2326" s="116"/>
      <c r="AV2326" s="78"/>
      <c r="AW2326" s="102"/>
      <c r="AX2326" s="78"/>
      <c r="AY2326" s="78"/>
      <c r="AZ2326" s="78"/>
      <c r="BA2326" s="78"/>
      <c r="BB2326" s="78"/>
      <c r="BC2326" s="78"/>
      <c r="BD2326" s="78"/>
      <c r="BE2326" s="465"/>
      <c r="BF2326" s="165" t="str">
        <f t="shared" si="1738"/>
        <v>https://www.google.com/search?tbm=isch&amp;q=Nasa%20Holly%20has%20good%20berry%20set%20with%20male%20pollinator%20%28like%20%27James%20Swan%27%20or%20other%20attenuate%29%20</v>
      </c>
      <c r="BG2326" s="165" t="str">
        <f t="shared" si="1739"/>
        <v>N</v>
      </c>
      <c r="BH2326" s="65"/>
      <c r="BI2326" s="65"/>
      <c r="BJ2326" s="65"/>
      <c r="BK2326" s="65"/>
      <c r="BL2326" s="99"/>
      <c r="BM2326" s="99"/>
      <c r="BN2326" s="99"/>
    </row>
    <row r="2327" spans="1:66" s="51" customFormat="1" ht="18" x14ac:dyDescent="0.25">
      <c r="A2327" s="507" t="s">
        <v>551</v>
      </c>
      <c r="B2327" s="470"/>
      <c r="C2327" s="706"/>
      <c r="D2327" s="471" t="s">
        <v>552</v>
      </c>
      <c r="E2327" s="472"/>
      <c r="F2327" s="472"/>
      <c r="G2327" s="472"/>
      <c r="H2327" s="622" t="s">
        <v>534</v>
      </c>
      <c r="I2327" s="473" t="s">
        <v>431</v>
      </c>
      <c r="J2327" s="472"/>
      <c r="K2327" s="472"/>
      <c r="L2327" s="561"/>
      <c r="M2327" s="698" t="s">
        <v>5246</v>
      </c>
      <c r="N2327" s="692" t="str">
        <f>IF(AND(ISTEXT($A2327), ISERROR($A2327+0)), HYPERLINK($BF2327, "Images"), "")</f>
        <v>Images</v>
      </c>
      <c r="O2327" s="694" t="s">
        <v>5247</v>
      </c>
      <c r="P2327" s="475"/>
      <c r="Q2327" s="476"/>
      <c r="R2327" s="476"/>
      <c r="S2327" s="477"/>
      <c r="T2327" s="102">
        <f t="shared" si="1727"/>
        <v>0</v>
      </c>
      <c r="U2327" s="78" t="str">
        <f>IF(NOT(ISNUMBER(G2327)), "", VLOOKUP(A2327,'Discount Lookup'!D:E,2,FALSE)*G2327)</f>
        <v/>
      </c>
      <c r="V2327" s="78" t="str">
        <f>IF(NOT(ISNUMBER(G2327)), "", VLOOKUP(A2327,'Discount Lookup'!G:H,2,FALSE)*G2327)</f>
        <v/>
      </c>
      <c r="W2327" s="102">
        <f t="shared" si="1728"/>
        <v>0</v>
      </c>
      <c r="X2327" s="102" t="str">
        <f t="shared" si="1729"/>
        <v>Dark Green foliage</v>
      </c>
      <c r="Y2327" s="120" t="b">
        <f t="shared" si="1730"/>
        <v>0</v>
      </c>
      <c r="Z2327" s="117">
        <f t="shared" si="1731"/>
        <v>0</v>
      </c>
      <c r="AA2327" s="118"/>
      <c r="AB2327" s="118" t="str">
        <f t="shared" si="1732"/>
        <v/>
      </c>
      <c r="AC2327" s="712" t="str">
        <f>IF(AE2327="T2G","no charge",IF(AND(OR(PlanterYesMe="No",PlanterYesMe="N",PlanterYesMe="me"),H2327=""),"",IF(H2327="credit","NO install",IF(AND(K2327="",AE2327="me"),"EACH row",IF(AND(K2327="images",AE2327="me"),"EACH row",IF(D2327="","",IF(H2327="credit","",IF(AE2327="free","re-planting",IF(AE2327="me","   not ELP, by",IF(AND(OR(PlanterYesMe="Yes",PlanterYesMe="Y"),G2327&gt;0),(VLOOKUP(A2327,'Discount Lookup'!J:K,2)*G2327*(1-PlanterDiscount)*(1+PlanterDifficultyPercentage)),IF(AE2327="ELP",(VLOOKUP(A2327,'Discount Lookup'!J:K,2)*G2327*(1-PlanterDiscount)*(1+PlanterDifficultyPercentage)),IF(AE2327="free","re-planting",IF(G2327=0,"",IF(PlanterYesMe="",IF(AE2327="me","   not ELP, by",IF(AE2327="",IF(G2327&gt;0,(VLOOKUP(A2327,'Discount Lookup'!J:K,2)*G2327*(1-PlanterDiscount)*(1+PlanterDifficultyPercentage)),""),"")),"   not ELP, by"))))))))))))))</f>
        <v/>
      </c>
      <c r="AD2327" s="712"/>
      <c r="AE2327" s="513" t="str">
        <f t="shared" si="1733"/>
        <v/>
      </c>
      <c r="AF2327" s="713" t="str">
        <f t="shared" si="1734"/>
        <v/>
      </c>
      <c r="AG2327" s="713"/>
      <c r="AH2327" s="713"/>
      <c r="AI2327" s="112">
        <f>IF(H2327="credit",0,IF(AE2327="free",0,IF(AE2327="me",0,IF(G2327&gt;0,(VLOOKUP(A2327,'Discount Lookup'!J:K,2)*G2327),0))))</f>
        <v>0</v>
      </c>
      <c r="AJ2327" s="107" t="str">
        <f t="shared" ca="1" si="1735"/>
        <v/>
      </c>
      <c r="AK2327" s="714" t="str">
        <f t="shared" si="1736"/>
        <v/>
      </c>
      <c r="AL2327" s="714"/>
      <c r="AM2327" s="114" t="str">
        <f t="shared" si="1737"/>
        <v/>
      </c>
      <c r="AN2327" s="115"/>
      <c r="AO2327" s="116"/>
      <c r="AP2327" s="116"/>
      <c r="AQ2327" s="116"/>
      <c r="AR2327" s="116"/>
      <c r="AS2327" s="116"/>
      <c r="AT2327" s="116"/>
      <c r="AU2327" s="116"/>
      <c r="AV2327" s="78"/>
      <c r="AW2327" s="102"/>
      <c r="AX2327" s="78"/>
      <c r="AY2327" s="78"/>
      <c r="AZ2327" s="78"/>
      <c r="BA2327" s="78"/>
      <c r="BB2327" s="78"/>
      <c r="BC2327" s="78"/>
      <c r="BD2327" s="78"/>
      <c r="BE2327" s="465"/>
      <c r="BF2327" s="165" t="str">
        <f t="shared" si="1738"/>
        <v>https://www.google.com/search?tbm=isch&amp;q=Ilex%20x%20latifolia%20%27Miss%20Patricia%27%20Miss%20Patricia%20Holly</v>
      </c>
      <c r="BG2327" s="165" t="str">
        <f t="shared" si="1739"/>
        <v>I</v>
      </c>
      <c r="BH2327" s="65"/>
      <c r="BI2327" s="65"/>
      <c r="BJ2327" s="65"/>
      <c r="BK2327" s="65"/>
      <c r="BL2327" s="99"/>
      <c r="BM2327" s="99"/>
      <c r="BN2327" s="99"/>
    </row>
    <row r="2328" spans="1:66" s="51" customFormat="1" ht="15.75" x14ac:dyDescent="0.25">
      <c r="A2328" s="478">
        <v>3</v>
      </c>
      <c r="B2328" s="479" t="s">
        <v>291</v>
      </c>
      <c r="C2328" s="480" t="s">
        <v>846</v>
      </c>
      <c r="D2328" s="481" t="s">
        <v>311</v>
      </c>
      <c r="E2328" s="482">
        <v>33.950000000000003</v>
      </c>
      <c r="F2328" s="483" t="s">
        <v>292</v>
      </c>
      <c r="G2328" s="484">
        <v>0</v>
      </c>
      <c r="H2328" s="688" t="str">
        <f t="shared" ref="H2328:H2335" si="1741">IF(G2328=0,"",IF(F2328="Buy",IF(G2328=1,"plant","plants"),IF(F2328&gt;0.01,"warranty","Error")))</f>
        <v/>
      </c>
      <c r="I2328" s="485">
        <f t="shared" ref="I2328:I2335" si="1742">IF(H2328="free",0,IF(H2328="credit",((E2328*(F2328))*G2328*-1),IF(F2328="Buy",(E2328*G2328),((E2328*(1-F2328))*G2328))))</f>
        <v>0</v>
      </c>
      <c r="J2328" s="485">
        <f t="shared" ref="J2328:J2335" si="1743">IF(H2328="warranty",0,(I2328*(_xlfn.SINGLE(SalesTaxPercentage))))</f>
        <v>0</v>
      </c>
      <c r="K2328" s="715">
        <f t="shared" ref="K2328" si="1744">I2328+J2328</f>
        <v>0</v>
      </c>
      <c r="L2328" s="715"/>
      <c r="M2328" s="689" t="str">
        <f t="shared" ref="M2328:M2335" ca="1" si="1745">IF(AND(G2328&gt;0,E2328=0),"WARNING - no PRICE inserted",IF(H2328="free","FREE ~ no charge this plant",IF(H2328="credit",CONCATENATE("-$",ROUND(K2328*(1-_xlfn.SINGLE(T2GDiscount))*-1,2)," CREDIT after discount"),IF(_xlfn.SINGLE(T2GDiscount)=0,"",IF(G2328=0,"",IF(F2328="Buy",CONCATENATE("$",ROUND(K2328*(1-_xlfn.SINGLE(T2GDiscount)),2)," with ",(_xlfn.SINGLE(T2GDiscount)*100),"% discount"),CONCATENATE("$",ROUND(K2328*(1-_xlfn.SINGLE(T2GDiscount)),2)," with ",((_xlfn.SINGLE(T2GDiscount)*100+F2328*100)-(_xlfn.SINGLE(T2GDiscount)*100*F2328)),IF(F2328&gt;0,"% discounts",IF(_xlfn.SINGLE(NoWarrantyDiscount)&gt;0,"% discounts","% discount")))))))))</f>
        <v/>
      </c>
      <c r="N2328" s="690"/>
      <c r="O2328" s="486"/>
      <c r="P2328" s="486"/>
      <c r="Q2328" s="486"/>
      <c r="R2328" s="486"/>
      <c r="S2328" s="486"/>
      <c r="T2328" s="102">
        <f t="shared" si="1727"/>
        <v>0</v>
      </c>
      <c r="U2328" s="78">
        <f>IF(NOT(ISNUMBER(G2328)), "", VLOOKUP(A2328,'Discount Lookup'!D:E,2,FALSE)*G2328)</f>
        <v>0</v>
      </c>
      <c r="V2328" s="78">
        <f>IF(NOT(ISNUMBER(G2328)), "", VLOOKUP(A2328,'Discount Lookup'!G:H,2,FALSE)*G2328)</f>
        <v>0</v>
      </c>
      <c r="W2328" s="102">
        <f t="shared" si="1728"/>
        <v>0</v>
      </c>
      <c r="X2328" s="102">
        <f t="shared" si="1729"/>
        <v>0</v>
      </c>
      <c r="Y2328" s="120" t="b">
        <f t="shared" si="1730"/>
        <v>0</v>
      </c>
      <c r="Z2328" s="117">
        <f t="shared" si="1731"/>
        <v>0</v>
      </c>
      <c r="AA2328" s="118"/>
      <c r="AB2328" s="118" t="str">
        <f t="shared" si="1732"/>
        <v/>
      </c>
      <c r="AC2328" s="712" t="str">
        <f>IF(AE2328="T2G","no charge",IF(AND(OR(PlanterYesMe="No",PlanterYesMe="N",PlanterYesMe="me"),H2328=""),"",IF(H2328="credit","NO install",IF(AND(K2328="",AE2328="me"),"EACH row",IF(AND(K2328="images",AE2328="me"),"EACH row",IF(D2328="","",IF(H2328="credit","",IF(AE2328="free","re-planting",IF(AE2328="me","   not ELP, by",IF(AND(OR(PlanterYesMe="Yes",PlanterYesMe="Y"),G2328&gt;0),(VLOOKUP(A2328,'Discount Lookup'!J:K,2)*G2328*(1-PlanterDiscount)*(1+PlanterDifficultyPercentage)),IF(AE2328="ELP",(VLOOKUP(A2328,'Discount Lookup'!J:K,2)*G2328*(1-PlanterDiscount)*(1+PlanterDifficultyPercentage)),IF(AE2328="free","re-planting",IF(G2328=0,"",IF(PlanterYesMe="",IF(AE2328="me","   not ELP, by",IF(AE2328="",IF(G2328&gt;0,(VLOOKUP(A2328,'Discount Lookup'!J:K,2)*G2328*(1-PlanterDiscount)*(1+PlanterDifficultyPercentage)),""),"")),"   not ELP, by"))))))))))))))</f>
        <v/>
      </c>
      <c r="AD2328" s="712"/>
      <c r="AE2328" s="513" t="str">
        <f t="shared" si="1733"/>
        <v/>
      </c>
      <c r="AF2328" s="713" t="str">
        <f t="shared" si="1734"/>
        <v/>
      </c>
      <c r="AG2328" s="713"/>
      <c r="AH2328" s="713"/>
      <c r="AI2328" s="112">
        <f>IF(H2328="credit",0,IF(AE2328="free",0,IF(AE2328="me",0,IF(G2328&gt;0,(VLOOKUP(A2328,'Discount Lookup'!J:K,2)*G2328),0))))</f>
        <v>0</v>
      </c>
      <c r="AJ2328" s="107" t="str">
        <f t="shared" ca="1" si="1735"/>
        <v/>
      </c>
      <c r="AK2328" s="714" t="str">
        <f t="shared" si="1736"/>
        <v/>
      </c>
      <c r="AL2328" s="714"/>
      <c r="AM2328" s="114" t="str">
        <f t="shared" si="1737"/>
        <v/>
      </c>
      <c r="AN2328" s="115"/>
      <c r="AO2328" s="116"/>
      <c r="AP2328" s="116"/>
      <c r="AQ2328" s="116"/>
      <c r="AR2328" s="116"/>
      <c r="AS2328" s="116"/>
      <c r="AT2328" s="116"/>
      <c r="AU2328" s="116"/>
      <c r="AV2328" s="78"/>
      <c r="AW2328" s="102"/>
      <c r="AX2328" s="78"/>
      <c r="AY2328" s="78"/>
      <c r="AZ2328" s="78"/>
      <c r="BA2328" s="78"/>
      <c r="BB2328" s="78"/>
      <c r="BC2328" s="78"/>
      <c r="BD2328" s="78"/>
      <c r="BE2328" s="465"/>
      <c r="BF2328" s="165" t="str">
        <f t="shared" si="1738"/>
        <v>https://www.google.com/search?tbm=isch&amp;q=3%20G5</v>
      </c>
      <c r="BG2328" s="165" t="str">
        <f t="shared" si="1739"/>
        <v>I</v>
      </c>
      <c r="BH2328" s="65"/>
      <c r="BI2328" s="65"/>
      <c r="BJ2328" s="65"/>
      <c r="BK2328" s="65"/>
      <c r="BL2328" s="99"/>
      <c r="BM2328" s="99"/>
      <c r="BN2328" s="99"/>
    </row>
    <row r="2329" spans="1:66" s="51" customFormat="1" ht="15.75" x14ac:dyDescent="0.25">
      <c r="A2329" s="478">
        <v>7</v>
      </c>
      <c r="B2329" s="479" t="s">
        <v>291</v>
      </c>
      <c r="C2329" s="480" t="s">
        <v>555</v>
      </c>
      <c r="D2329" s="481" t="s">
        <v>311</v>
      </c>
      <c r="E2329" s="482">
        <v>79.95</v>
      </c>
      <c r="F2329" s="483" t="s">
        <v>292</v>
      </c>
      <c r="G2329" s="484">
        <v>0</v>
      </c>
      <c r="H2329" s="688" t="str">
        <f t="shared" si="1741"/>
        <v/>
      </c>
      <c r="I2329" s="485">
        <f t="shared" si="1742"/>
        <v>0</v>
      </c>
      <c r="J2329" s="485">
        <f t="shared" si="1743"/>
        <v>0</v>
      </c>
      <c r="K2329" s="715">
        <f t="shared" ref="K2329" si="1746">I2329+J2329</f>
        <v>0</v>
      </c>
      <c r="L2329" s="715"/>
      <c r="M2329" s="689" t="str">
        <f t="shared" ca="1" si="1745"/>
        <v/>
      </c>
      <c r="N2329" s="690"/>
      <c r="O2329" s="486"/>
      <c r="P2329" s="486"/>
      <c r="Q2329" s="486"/>
      <c r="R2329" s="486"/>
      <c r="S2329" s="486"/>
      <c r="T2329" s="102">
        <f t="shared" si="1727"/>
        <v>0</v>
      </c>
      <c r="U2329" s="78">
        <f>IF(NOT(ISNUMBER(G2329)), "", VLOOKUP(A2329,'Discount Lookup'!D:E,2,FALSE)*G2329)</f>
        <v>0</v>
      </c>
      <c r="V2329" s="78">
        <f>IF(NOT(ISNUMBER(G2329)), "", VLOOKUP(A2329,'Discount Lookup'!G:H,2,FALSE)*G2329)</f>
        <v>0</v>
      </c>
      <c r="W2329" s="102">
        <f t="shared" si="1728"/>
        <v>0</v>
      </c>
      <c r="X2329" s="102">
        <f t="shared" si="1729"/>
        <v>0</v>
      </c>
      <c r="Y2329" s="120" t="b">
        <f t="shared" si="1730"/>
        <v>0</v>
      </c>
      <c r="Z2329" s="117">
        <f t="shared" si="1731"/>
        <v>0</v>
      </c>
      <c r="AA2329" s="118"/>
      <c r="AB2329" s="118" t="str">
        <f t="shared" si="1732"/>
        <v/>
      </c>
      <c r="AC2329" s="712" t="str">
        <f>IF(AE2329="T2G","no charge",IF(AND(OR(PlanterYesMe="No",PlanterYesMe="N",PlanterYesMe="me"),H2329=""),"",IF(H2329="credit","NO install",IF(AND(K2329="",AE2329="me"),"EACH row",IF(AND(K2329="images",AE2329="me"),"EACH row",IF(D2329="","",IF(H2329="credit","",IF(AE2329="free","re-planting",IF(AE2329="me","   not ELP, by",IF(AND(OR(PlanterYesMe="Yes",PlanterYesMe="Y"),G2329&gt;0),(VLOOKUP(A2329,'Discount Lookup'!J:K,2)*G2329*(1-PlanterDiscount)*(1+PlanterDifficultyPercentage)),IF(AE2329="ELP",(VLOOKUP(A2329,'Discount Lookup'!J:K,2)*G2329*(1-PlanterDiscount)*(1+PlanterDifficultyPercentage)),IF(AE2329="free","re-planting",IF(G2329=0,"",IF(PlanterYesMe="",IF(AE2329="me","   not ELP, by",IF(AE2329="",IF(G2329&gt;0,(VLOOKUP(A2329,'Discount Lookup'!J:K,2)*G2329*(1-PlanterDiscount)*(1+PlanterDifficultyPercentage)),""),"")),"   not ELP, by"))))))))))))))</f>
        <v/>
      </c>
      <c r="AD2329" s="712"/>
      <c r="AE2329" s="513" t="str">
        <f t="shared" si="1733"/>
        <v/>
      </c>
      <c r="AF2329" s="713" t="str">
        <f t="shared" si="1734"/>
        <v/>
      </c>
      <c r="AG2329" s="713"/>
      <c r="AH2329" s="713"/>
      <c r="AI2329" s="112">
        <f>IF(H2329="credit",0,IF(AE2329="free",0,IF(AE2329="me",0,IF(G2329&gt;0,(VLOOKUP(A2329,'Discount Lookup'!J:K,2)*G2329),0))))</f>
        <v>0</v>
      </c>
      <c r="AJ2329" s="107" t="str">
        <f t="shared" ca="1" si="1735"/>
        <v/>
      </c>
      <c r="AK2329" s="714" t="str">
        <f t="shared" si="1736"/>
        <v/>
      </c>
      <c r="AL2329" s="714"/>
      <c r="AM2329" s="114" t="str">
        <f t="shared" si="1737"/>
        <v/>
      </c>
      <c r="AN2329" s="115"/>
      <c r="AO2329" s="116"/>
      <c r="AP2329" s="116"/>
      <c r="AQ2329" s="116"/>
      <c r="AR2329" s="116"/>
      <c r="AS2329" s="116"/>
      <c r="AT2329" s="116"/>
      <c r="AU2329" s="116"/>
      <c r="AV2329" s="78"/>
      <c r="AW2329" s="102"/>
      <c r="AX2329" s="78"/>
      <c r="AY2329" s="78"/>
      <c r="AZ2329" s="78"/>
      <c r="BA2329" s="78"/>
      <c r="BB2329" s="78"/>
      <c r="BC2329" s="78"/>
      <c r="BD2329" s="78"/>
      <c r="BE2329" s="465"/>
      <c r="BF2329" s="165" t="str">
        <f t="shared" si="1738"/>
        <v>https://www.google.com/search?tbm=isch&amp;q=7%20G5</v>
      </c>
      <c r="BG2329" s="165" t="str">
        <f t="shared" si="1739"/>
        <v>I</v>
      </c>
      <c r="BH2329" s="65"/>
      <c r="BI2329" s="65"/>
      <c r="BJ2329" s="65"/>
      <c r="BK2329" s="65"/>
      <c r="BL2329" s="99"/>
      <c r="BM2329" s="99"/>
      <c r="BN2329" s="99"/>
    </row>
    <row r="2330" spans="1:66" s="51" customFormat="1" ht="15.75" x14ac:dyDescent="0.25">
      <c r="A2330" s="478">
        <v>7</v>
      </c>
      <c r="B2330" s="479" t="s">
        <v>291</v>
      </c>
      <c r="C2330" s="480" t="s">
        <v>958</v>
      </c>
      <c r="D2330" s="481" t="s">
        <v>299</v>
      </c>
      <c r="E2330" s="482">
        <v>95.95</v>
      </c>
      <c r="F2330" s="483" t="s">
        <v>292</v>
      </c>
      <c r="G2330" s="484">
        <v>0</v>
      </c>
      <c r="H2330" s="688" t="str">
        <f t="shared" si="1741"/>
        <v/>
      </c>
      <c r="I2330" s="485">
        <f t="shared" si="1742"/>
        <v>0</v>
      </c>
      <c r="J2330" s="485">
        <f t="shared" si="1743"/>
        <v>0</v>
      </c>
      <c r="K2330" s="715">
        <f t="shared" ref="K2330" si="1747">I2330+J2330</f>
        <v>0</v>
      </c>
      <c r="L2330" s="715"/>
      <c r="M2330" s="689" t="str">
        <f t="shared" ca="1" si="1745"/>
        <v/>
      </c>
      <c r="N2330" s="690"/>
      <c r="O2330" s="486"/>
      <c r="P2330" s="486"/>
      <c r="Q2330" s="486"/>
      <c r="R2330" s="486"/>
      <c r="S2330" s="486"/>
      <c r="T2330" s="102">
        <f t="shared" si="1727"/>
        <v>0</v>
      </c>
      <c r="U2330" s="78">
        <f>IF(NOT(ISNUMBER(G2330)), "", VLOOKUP(A2330,'Discount Lookup'!D:E,2,FALSE)*G2330)</f>
        <v>0</v>
      </c>
      <c r="V2330" s="78">
        <f>IF(NOT(ISNUMBER(G2330)), "", VLOOKUP(A2330,'Discount Lookup'!G:H,2,FALSE)*G2330)</f>
        <v>0</v>
      </c>
      <c r="W2330" s="102">
        <f t="shared" si="1728"/>
        <v>0</v>
      </c>
      <c r="X2330" s="102">
        <f t="shared" si="1729"/>
        <v>0</v>
      </c>
      <c r="Y2330" s="120" t="b">
        <f t="shared" si="1730"/>
        <v>0</v>
      </c>
      <c r="Z2330" s="117">
        <f t="shared" si="1731"/>
        <v>0</v>
      </c>
      <c r="AA2330" s="118"/>
      <c r="AB2330" s="118" t="str">
        <f t="shared" si="1732"/>
        <v/>
      </c>
      <c r="AC2330" s="712" t="str">
        <f>IF(AE2330="T2G","no charge",IF(AND(OR(PlanterYesMe="No",PlanterYesMe="N",PlanterYesMe="me"),H2330=""),"",IF(H2330="credit","NO install",IF(AND(K2330="",AE2330="me"),"EACH row",IF(AND(K2330="images",AE2330="me"),"EACH row",IF(D2330="","",IF(H2330="credit","",IF(AE2330="free","re-planting",IF(AE2330="me","   not ELP, by",IF(AND(OR(PlanterYesMe="Yes",PlanterYesMe="Y"),G2330&gt;0),(VLOOKUP(A2330,'Discount Lookup'!J:K,2)*G2330*(1-PlanterDiscount)*(1+PlanterDifficultyPercentage)),IF(AE2330="ELP",(VLOOKUP(A2330,'Discount Lookup'!J:K,2)*G2330*(1-PlanterDiscount)*(1+PlanterDifficultyPercentage)),IF(AE2330="free","re-planting",IF(G2330=0,"",IF(PlanterYesMe="",IF(AE2330="me","   not ELP, by",IF(AE2330="",IF(G2330&gt;0,(VLOOKUP(A2330,'Discount Lookup'!J:K,2)*G2330*(1-PlanterDiscount)*(1+PlanterDifficultyPercentage)),""),"")),"   not ELP, by"))))))))))))))</f>
        <v/>
      </c>
      <c r="AD2330" s="712"/>
      <c r="AE2330" s="513" t="str">
        <f t="shared" si="1733"/>
        <v/>
      </c>
      <c r="AF2330" s="713" t="str">
        <f t="shared" si="1734"/>
        <v/>
      </c>
      <c r="AG2330" s="713"/>
      <c r="AH2330" s="713"/>
      <c r="AI2330" s="112">
        <f>IF(H2330="credit",0,IF(AE2330="free",0,IF(AE2330="me",0,IF(G2330&gt;0,(VLOOKUP(A2330,'Discount Lookup'!J:K,2)*G2330),0))))</f>
        <v>0</v>
      </c>
      <c r="AJ2330" s="107" t="str">
        <f t="shared" ca="1" si="1735"/>
        <v/>
      </c>
      <c r="AK2330" s="714" t="str">
        <f t="shared" si="1736"/>
        <v/>
      </c>
      <c r="AL2330" s="714"/>
      <c r="AM2330" s="114" t="str">
        <f t="shared" si="1737"/>
        <v/>
      </c>
      <c r="AN2330" s="115"/>
      <c r="AO2330" s="116"/>
      <c r="AP2330" s="116"/>
      <c r="AQ2330" s="116"/>
      <c r="AR2330" s="116"/>
      <c r="AS2330" s="116"/>
      <c r="AT2330" s="116"/>
      <c r="AU2330" s="116"/>
      <c r="AV2330" s="78"/>
      <c r="AW2330" s="102"/>
      <c r="AX2330" s="78"/>
      <c r="AY2330" s="78"/>
      <c r="AZ2330" s="78"/>
      <c r="BA2330" s="78"/>
      <c r="BB2330" s="78"/>
      <c r="BC2330" s="78"/>
      <c r="BD2330" s="78"/>
      <c r="BE2330" s="465"/>
      <c r="BF2330" s="165" t="str">
        <f t="shared" si="1738"/>
        <v>https://www.google.com/search?tbm=isch&amp;q=7%20G4</v>
      </c>
      <c r="BG2330" s="165" t="str">
        <f t="shared" si="1739"/>
        <v>I</v>
      </c>
      <c r="BH2330" s="65"/>
      <c r="BI2330" s="65"/>
      <c r="BJ2330" s="65"/>
      <c r="BK2330" s="65"/>
      <c r="BL2330" s="99"/>
      <c r="BM2330" s="99"/>
      <c r="BN2330" s="99"/>
    </row>
    <row r="2331" spans="1:66" s="51" customFormat="1" ht="15.75" x14ac:dyDescent="0.25">
      <c r="A2331" s="478">
        <v>15</v>
      </c>
      <c r="B2331" s="479" t="s">
        <v>291</v>
      </c>
      <c r="C2331" s="480" t="s">
        <v>553</v>
      </c>
      <c r="D2331" s="481" t="s">
        <v>293</v>
      </c>
      <c r="E2331" s="482">
        <v>126.95</v>
      </c>
      <c r="F2331" s="483" t="s">
        <v>292</v>
      </c>
      <c r="G2331" s="484">
        <v>0</v>
      </c>
      <c r="H2331" s="688" t="str">
        <f t="shared" si="1741"/>
        <v/>
      </c>
      <c r="I2331" s="485">
        <f t="shared" si="1742"/>
        <v>0</v>
      </c>
      <c r="J2331" s="485">
        <f t="shared" si="1743"/>
        <v>0</v>
      </c>
      <c r="K2331" s="715">
        <f t="shared" ref="K2331" si="1748">I2331+J2331</f>
        <v>0</v>
      </c>
      <c r="L2331" s="715"/>
      <c r="M2331" s="689" t="str">
        <f t="shared" ca="1" si="1745"/>
        <v/>
      </c>
      <c r="N2331" s="690"/>
      <c r="O2331" s="486"/>
      <c r="P2331" s="486"/>
      <c r="Q2331" s="486"/>
      <c r="R2331" s="486"/>
      <c r="S2331" s="486"/>
      <c r="T2331" s="102">
        <f t="shared" si="1727"/>
        <v>0</v>
      </c>
      <c r="U2331" s="78">
        <f>IF(NOT(ISNUMBER(G2331)), "", VLOOKUP(A2331,'Discount Lookup'!D:E,2,FALSE)*G2331)</f>
        <v>0</v>
      </c>
      <c r="V2331" s="78">
        <f>IF(NOT(ISNUMBER(G2331)), "", VLOOKUP(A2331,'Discount Lookup'!G:H,2,FALSE)*G2331)</f>
        <v>0</v>
      </c>
      <c r="W2331" s="102">
        <f t="shared" si="1728"/>
        <v>0</v>
      </c>
      <c r="X2331" s="102">
        <f t="shared" si="1729"/>
        <v>0</v>
      </c>
      <c r="Y2331" s="120" t="b">
        <f t="shared" si="1730"/>
        <v>0</v>
      </c>
      <c r="Z2331" s="117">
        <f t="shared" si="1731"/>
        <v>0</v>
      </c>
      <c r="AA2331" s="118"/>
      <c r="AB2331" s="118" t="str">
        <f t="shared" si="1732"/>
        <v/>
      </c>
      <c r="AC2331" s="712" t="str">
        <f>IF(AE2331="T2G","no charge",IF(AND(OR(PlanterYesMe="No",PlanterYesMe="N",PlanterYesMe="me"),H2331=""),"",IF(H2331="credit","NO install",IF(AND(K2331="",AE2331="me"),"EACH row",IF(AND(K2331="images",AE2331="me"),"EACH row",IF(D2331="","",IF(H2331="credit","",IF(AE2331="free","re-planting",IF(AE2331="me","   not ELP, by",IF(AND(OR(PlanterYesMe="Yes",PlanterYesMe="Y"),G2331&gt;0),(VLOOKUP(A2331,'Discount Lookup'!J:K,2)*G2331*(1-PlanterDiscount)*(1+PlanterDifficultyPercentage)),IF(AE2331="ELP",(VLOOKUP(A2331,'Discount Lookup'!J:K,2)*G2331*(1-PlanterDiscount)*(1+PlanterDifficultyPercentage)),IF(AE2331="free","re-planting",IF(G2331=0,"",IF(PlanterYesMe="",IF(AE2331="me","   not ELP, by",IF(AE2331="",IF(G2331&gt;0,(VLOOKUP(A2331,'Discount Lookup'!J:K,2)*G2331*(1-PlanterDiscount)*(1+PlanterDifficultyPercentage)),""),"")),"   not ELP, by"))))))))))))))</f>
        <v/>
      </c>
      <c r="AD2331" s="712"/>
      <c r="AE2331" s="513" t="str">
        <f t="shared" si="1733"/>
        <v/>
      </c>
      <c r="AF2331" s="713" t="str">
        <f t="shared" si="1734"/>
        <v/>
      </c>
      <c r="AG2331" s="713"/>
      <c r="AH2331" s="713"/>
      <c r="AI2331" s="112">
        <f>IF(H2331="credit",0,IF(AE2331="free",0,IF(AE2331="me",0,IF(G2331&gt;0,(VLOOKUP(A2331,'Discount Lookup'!J:K,2)*G2331),0))))</f>
        <v>0</v>
      </c>
      <c r="AJ2331" s="107" t="str">
        <f t="shared" ca="1" si="1735"/>
        <v/>
      </c>
      <c r="AK2331" s="714" t="str">
        <f t="shared" si="1736"/>
        <v/>
      </c>
      <c r="AL2331" s="714"/>
      <c r="AM2331" s="114" t="str">
        <f t="shared" si="1737"/>
        <v/>
      </c>
      <c r="AN2331" s="115"/>
      <c r="AO2331" s="116"/>
      <c r="AP2331" s="116"/>
      <c r="AQ2331" s="116"/>
      <c r="AR2331" s="116"/>
      <c r="AS2331" s="116"/>
      <c r="AT2331" s="116"/>
      <c r="AU2331" s="116"/>
      <c r="AV2331" s="78"/>
      <c r="AW2331" s="102"/>
      <c r="AX2331" s="78"/>
      <c r="AY2331" s="78"/>
      <c r="AZ2331" s="78"/>
      <c r="BA2331" s="78"/>
      <c r="BB2331" s="78"/>
      <c r="BC2331" s="78"/>
      <c r="BD2331" s="78"/>
      <c r="BE2331" s="465"/>
      <c r="BF2331" s="165" t="str">
        <f t="shared" si="1738"/>
        <v>https://www.google.com/search?tbm=isch&amp;q=15%20G6</v>
      </c>
      <c r="BG2331" s="165" t="str">
        <f t="shared" si="1739"/>
        <v>I</v>
      </c>
      <c r="BH2331" s="65"/>
      <c r="BI2331" s="65"/>
      <c r="BJ2331" s="65"/>
      <c r="BK2331" s="65"/>
      <c r="BL2331" s="99"/>
      <c r="BM2331" s="99"/>
      <c r="BN2331" s="99"/>
    </row>
    <row r="2332" spans="1:66" s="51" customFormat="1" ht="15.75" x14ac:dyDescent="0.25">
      <c r="A2332" s="478">
        <v>15</v>
      </c>
      <c r="B2332" s="479" t="s">
        <v>291</v>
      </c>
      <c r="C2332" s="480" t="s">
        <v>554</v>
      </c>
      <c r="D2332" s="481" t="s">
        <v>309</v>
      </c>
      <c r="E2332" s="482">
        <v>155.94999999999999</v>
      </c>
      <c r="F2332" s="483" t="s">
        <v>292</v>
      </c>
      <c r="G2332" s="484">
        <v>0</v>
      </c>
      <c r="H2332" s="688" t="str">
        <f t="shared" si="1741"/>
        <v/>
      </c>
      <c r="I2332" s="485">
        <f t="shared" si="1742"/>
        <v>0</v>
      </c>
      <c r="J2332" s="485">
        <f t="shared" si="1743"/>
        <v>0</v>
      </c>
      <c r="K2332" s="715">
        <f t="shared" ref="K2332" si="1749">I2332+J2332</f>
        <v>0</v>
      </c>
      <c r="L2332" s="715"/>
      <c r="M2332" s="689" t="str">
        <f t="shared" ca="1" si="1745"/>
        <v/>
      </c>
      <c r="N2332" s="690"/>
      <c r="O2332" s="486"/>
      <c r="P2332" s="486"/>
      <c r="Q2332" s="486"/>
      <c r="R2332" s="486"/>
      <c r="S2332" s="486"/>
      <c r="T2332" s="102">
        <f t="shared" si="1727"/>
        <v>0</v>
      </c>
      <c r="U2332" s="78">
        <f>IF(NOT(ISNUMBER(G2332)), "", VLOOKUP(A2332,'Discount Lookup'!D:E,2,FALSE)*G2332)</f>
        <v>0</v>
      </c>
      <c r="V2332" s="78">
        <f>IF(NOT(ISNUMBER(G2332)), "", VLOOKUP(A2332,'Discount Lookup'!G:H,2,FALSE)*G2332)</f>
        <v>0</v>
      </c>
      <c r="W2332" s="102">
        <f t="shared" si="1728"/>
        <v>0</v>
      </c>
      <c r="X2332" s="102">
        <f t="shared" si="1729"/>
        <v>0</v>
      </c>
      <c r="Y2332" s="120" t="b">
        <f t="shared" si="1730"/>
        <v>0</v>
      </c>
      <c r="Z2332" s="117">
        <f t="shared" si="1731"/>
        <v>0</v>
      </c>
      <c r="AA2332" s="118"/>
      <c r="AB2332" s="118" t="str">
        <f t="shared" si="1732"/>
        <v/>
      </c>
      <c r="AC2332" s="712" t="str">
        <f>IF(AE2332="T2G","no charge",IF(AND(OR(PlanterYesMe="No",PlanterYesMe="N",PlanterYesMe="me"),H2332=""),"",IF(H2332="credit","NO install",IF(AND(K2332="",AE2332="me"),"EACH row",IF(AND(K2332="images",AE2332="me"),"EACH row",IF(D2332="","",IF(H2332="credit","",IF(AE2332="free","re-planting",IF(AE2332="me","   not ELP, by",IF(AND(OR(PlanterYesMe="Yes",PlanterYesMe="Y"),G2332&gt;0),(VLOOKUP(A2332,'Discount Lookup'!J:K,2)*G2332*(1-PlanterDiscount)*(1+PlanterDifficultyPercentage)),IF(AE2332="ELP",(VLOOKUP(A2332,'Discount Lookup'!J:K,2)*G2332*(1-PlanterDiscount)*(1+PlanterDifficultyPercentage)),IF(AE2332="free","re-planting",IF(G2332=0,"",IF(PlanterYesMe="",IF(AE2332="me","   not ELP, by",IF(AE2332="",IF(G2332&gt;0,(VLOOKUP(A2332,'Discount Lookup'!J:K,2)*G2332*(1-PlanterDiscount)*(1+PlanterDifficultyPercentage)),""),"")),"   not ELP, by"))))))))))))))</f>
        <v/>
      </c>
      <c r="AD2332" s="712"/>
      <c r="AE2332" s="513" t="str">
        <f t="shared" si="1733"/>
        <v/>
      </c>
      <c r="AF2332" s="713" t="str">
        <f t="shared" si="1734"/>
        <v/>
      </c>
      <c r="AG2332" s="713"/>
      <c r="AH2332" s="713"/>
      <c r="AI2332" s="112">
        <f>IF(H2332="credit",0,IF(AE2332="free",0,IF(AE2332="me",0,IF(G2332&gt;0,(VLOOKUP(A2332,'Discount Lookup'!J:K,2)*G2332),0))))</f>
        <v>0</v>
      </c>
      <c r="AJ2332" s="107" t="str">
        <f t="shared" ca="1" si="1735"/>
        <v/>
      </c>
      <c r="AK2332" s="714" t="str">
        <f t="shared" si="1736"/>
        <v/>
      </c>
      <c r="AL2332" s="714"/>
      <c r="AM2332" s="114" t="str">
        <f t="shared" si="1737"/>
        <v/>
      </c>
      <c r="AN2332" s="115"/>
      <c r="AO2332" s="116"/>
      <c r="AP2332" s="116"/>
      <c r="AQ2332" s="116"/>
      <c r="AR2332" s="116"/>
      <c r="AS2332" s="116"/>
      <c r="AT2332" s="116"/>
      <c r="AU2332" s="116"/>
      <c r="AV2332" s="78"/>
      <c r="AW2332" s="102"/>
      <c r="AX2332" s="78"/>
      <c r="AY2332" s="78"/>
      <c r="AZ2332" s="78"/>
      <c r="BA2332" s="78"/>
      <c r="BB2332" s="78"/>
      <c r="BC2332" s="78"/>
      <c r="BD2332" s="78"/>
      <c r="BE2332" s="465"/>
      <c r="BF2332" s="165" t="str">
        <f t="shared" si="1738"/>
        <v>https://www.google.com/search?tbm=isch&amp;q=15%20G3</v>
      </c>
      <c r="BG2332" s="165" t="str">
        <f t="shared" si="1739"/>
        <v>I</v>
      </c>
      <c r="BH2332" s="65"/>
      <c r="BI2332" s="65"/>
      <c r="BJ2332" s="65"/>
      <c r="BK2332" s="65"/>
      <c r="BL2332" s="99"/>
      <c r="BM2332" s="99"/>
      <c r="BN2332" s="99"/>
    </row>
    <row r="2333" spans="1:66" s="51" customFormat="1" ht="15.75" x14ac:dyDescent="0.25">
      <c r="A2333" s="478">
        <v>15</v>
      </c>
      <c r="B2333" s="479" t="s">
        <v>291</v>
      </c>
      <c r="C2333" s="480" t="s">
        <v>555</v>
      </c>
      <c r="D2333" s="481" t="s">
        <v>311</v>
      </c>
      <c r="E2333" s="482">
        <v>171.95</v>
      </c>
      <c r="F2333" s="483" t="s">
        <v>292</v>
      </c>
      <c r="G2333" s="484">
        <v>0</v>
      </c>
      <c r="H2333" s="688" t="str">
        <f t="shared" si="1741"/>
        <v/>
      </c>
      <c r="I2333" s="485">
        <f t="shared" si="1742"/>
        <v>0</v>
      </c>
      <c r="J2333" s="485">
        <f t="shared" si="1743"/>
        <v>0</v>
      </c>
      <c r="K2333" s="715">
        <f t="shared" ref="K2333" si="1750">I2333+J2333</f>
        <v>0</v>
      </c>
      <c r="L2333" s="715"/>
      <c r="M2333" s="689" t="str">
        <f t="shared" ca="1" si="1745"/>
        <v/>
      </c>
      <c r="N2333" s="690"/>
      <c r="O2333" s="486"/>
      <c r="P2333" s="486"/>
      <c r="Q2333" s="486"/>
      <c r="R2333" s="486"/>
      <c r="S2333" s="486"/>
      <c r="T2333" s="102">
        <f t="shared" si="1727"/>
        <v>0</v>
      </c>
      <c r="U2333" s="78">
        <f>IF(NOT(ISNUMBER(G2333)), "", VLOOKUP(A2333,'Discount Lookup'!D:E,2,FALSE)*G2333)</f>
        <v>0</v>
      </c>
      <c r="V2333" s="78">
        <f>IF(NOT(ISNUMBER(G2333)), "", VLOOKUP(A2333,'Discount Lookup'!G:H,2,FALSE)*G2333)</f>
        <v>0</v>
      </c>
      <c r="W2333" s="102">
        <f t="shared" si="1728"/>
        <v>0</v>
      </c>
      <c r="X2333" s="102">
        <f t="shared" si="1729"/>
        <v>0</v>
      </c>
      <c r="Y2333" s="120" t="b">
        <f t="shared" si="1730"/>
        <v>0</v>
      </c>
      <c r="Z2333" s="117">
        <f t="shared" si="1731"/>
        <v>0</v>
      </c>
      <c r="AA2333" s="118"/>
      <c r="AB2333" s="118" t="str">
        <f t="shared" si="1732"/>
        <v/>
      </c>
      <c r="AC2333" s="712" t="str">
        <f>IF(AE2333="T2G","no charge",IF(AND(OR(PlanterYesMe="No",PlanterYesMe="N",PlanterYesMe="me"),H2333=""),"",IF(H2333="credit","NO install",IF(AND(K2333="",AE2333="me"),"EACH row",IF(AND(K2333="images",AE2333="me"),"EACH row",IF(D2333="","",IF(H2333="credit","",IF(AE2333="free","re-planting",IF(AE2333="me","   not ELP, by",IF(AND(OR(PlanterYesMe="Yes",PlanterYesMe="Y"),G2333&gt;0),(VLOOKUP(A2333,'Discount Lookup'!J:K,2)*G2333*(1-PlanterDiscount)*(1+PlanterDifficultyPercentage)),IF(AE2333="ELP",(VLOOKUP(A2333,'Discount Lookup'!J:K,2)*G2333*(1-PlanterDiscount)*(1+PlanterDifficultyPercentage)),IF(AE2333="free","re-planting",IF(G2333=0,"",IF(PlanterYesMe="",IF(AE2333="me","   not ELP, by",IF(AE2333="",IF(G2333&gt;0,(VLOOKUP(A2333,'Discount Lookup'!J:K,2)*G2333*(1-PlanterDiscount)*(1+PlanterDifficultyPercentage)),""),"")),"   not ELP, by"))))))))))))))</f>
        <v/>
      </c>
      <c r="AD2333" s="712"/>
      <c r="AE2333" s="513" t="str">
        <f t="shared" si="1733"/>
        <v/>
      </c>
      <c r="AF2333" s="713" t="str">
        <f t="shared" si="1734"/>
        <v/>
      </c>
      <c r="AG2333" s="713"/>
      <c r="AH2333" s="713"/>
      <c r="AI2333" s="112">
        <f>IF(H2333="credit",0,IF(AE2333="free",0,IF(AE2333="me",0,IF(G2333&gt;0,(VLOOKUP(A2333,'Discount Lookup'!J:K,2)*G2333),0))))</f>
        <v>0</v>
      </c>
      <c r="AJ2333" s="107" t="str">
        <f t="shared" ca="1" si="1735"/>
        <v/>
      </c>
      <c r="AK2333" s="714" t="str">
        <f t="shared" si="1736"/>
        <v/>
      </c>
      <c r="AL2333" s="714"/>
      <c r="AM2333" s="114" t="str">
        <f t="shared" si="1737"/>
        <v/>
      </c>
      <c r="AN2333" s="115"/>
      <c r="AO2333" s="116"/>
      <c r="AP2333" s="116"/>
      <c r="AQ2333" s="116"/>
      <c r="AR2333" s="116"/>
      <c r="AS2333" s="116"/>
      <c r="AT2333" s="116"/>
      <c r="AU2333" s="116"/>
      <c r="AV2333" s="78"/>
      <c r="AW2333" s="102"/>
      <c r="AX2333" s="78"/>
      <c r="AY2333" s="78"/>
      <c r="AZ2333" s="78"/>
      <c r="BA2333" s="78"/>
      <c r="BB2333" s="78"/>
      <c r="BC2333" s="78"/>
      <c r="BD2333" s="78"/>
      <c r="BE2333" s="465"/>
      <c r="BF2333" s="165" t="str">
        <f t="shared" si="1738"/>
        <v>https://www.google.com/search?tbm=isch&amp;q=15%20G5</v>
      </c>
      <c r="BG2333" s="165" t="str">
        <f t="shared" si="1739"/>
        <v>I</v>
      </c>
      <c r="BH2333" s="65"/>
      <c r="BI2333" s="65"/>
      <c r="BJ2333" s="65"/>
      <c r="BK2333" s="65"/>
      <c r="BL2333" s="99"/>
      <c r="BM2333" s="99"/>
      <c r="BN2333" s="99"/>
    </row>
    <row r="2334" spans="1:66" s="51" customFormat="1" ht="27" x14ac:dyDescent="0.25">
      <c r="A2334" s="478">
        <v>15</v>
      </c>
      <c r="B2334" s="479" t="s">
        <v>291</v>
      </c>
      <c r="C2334" s="480" t="s">
        <v>959</v>
      </c>
      <c r="D2334" s="481" t="s">
        <v>299</v>
      </c>
      <c r="E2334" s="482">
        <v>178.95</v>
      </c>
      <c r="F2334" s="483" t="s">
        <v>292</v>
      </c>
      <c r="G2334" s="484">
        <v>0</v>
      </c>
      <c r="H2334" s="688" t="str">
        <f t="shared" si="1741"/>
        <v/>
      </c>
      <c r="I2334" s="485">
        <f t="shared" si="1742"/>
        <v>0</v>
      </c>
      <c r="J2334" s="485">
        <f t="shared" si="1743"/>
        <v>0</v>
      </c>
      <c r="K2334" s="715">
        <f t="shared" ref="K2334" si="1751">I2334+J2334</f>
        <v>0</v>
      </c>
      <c r="L2334" s="715"/>
      <c r="M2334" s="689" t="str">
        <f t="shared" ca="1" si="1745"/>
        <v/>
      </c>
      <c r="N2334" s="690"/>
      <c r="O2334" s="486"/>
      <c r="P2334" s="486"/>
      <c r="Q2334" s="486"/>
      <c r="R2334" s="486"/>
      <c r="S2334" s="486"/>
      <c r="T2334" s="102">
        <f t="shared" si="1727"/>
        <v>0</v>
      </c>
      <c r="U2334" s="78">
        <f>IF(NOT(ISNUMBER(G2334)), "", VLOOKUP(A2334,'Discount Lookup'!D:E,2,FALSE)*G2334)</f>
        <v>0</v>
      </c>
      <c r="V2334" s="78">
        <f>IF(NOT(ISNUMBER(G2334)), "", VLOOKUP(A2334,'Discount Lookup'!G:H,2,FALSE)*G2334)</f>
        <v>0</v>
      </c>
      <c r="W2334" s="102">
        <f t="shared" si="1728"/>
        <v>0</v>
      </c>
      <c r="X2334" s="102">
        <f t="shared" si="1729"/>
        <v>0</v>
      </c>
      <c r="Y2334" s="120" t="b">
        <f t="shared" si="1730"/>
        <v>0</v>
      </c>
      <c r="Z2334" s="117">
        <f t="shared" si="1731"/>
        <v>0</v>
      </c>
      <c r="AA2334" s="118"/>
      <c r="AB2334" s="118" t="str">
        <f t="shared" si="1732"/>
        <v/>
      </c>
      <c r="AC2334" s="712" t="str">
        <f>IF(AE2334="T2G","no charge",IF(AND(OR(PlanterYesMe="No",PlanterYesMe="N",PlanterYesMe="me"),H2334=""),"",IF(H2334="credit","NO install",IF(AND(K2334="",AE2334="me"),"EACH row",IF(AND(K2334="images",AE2334="me"),"EACH row",IF(D2334="","",IF(H2334="credit","",IF(AE2334="free","re-planting",IF(AE2334="me","   not ELP, by",IF(AND(OR(PlanterYesMe="Yes",PlanterYesMe="Y"),G2334&gt;0),(VLOOKUP(A2334,'Discount Lookup'!J:K,2)*G2334*(1-PlanterDiscount)*(1+PlanterDifficultyPercentage)),IF(AE2334="ELP",(VLOOKUP(A2334,'Discount Lookup'!J:K,2)*G2334*(1-PlanterDiscount)*(1+PlanterDifficultyPercentage)),IF(AE2334="free","re-planting",IF(G2334=0,"",IF(PlanterYesMe="",IF(AE2334="me","   not ELP, by",IF(AE2334="",IF(G2334&gt;0,(VLOOKUP(A2334,'Discount Lookup'!J:K,2)*G2334*(1-PlanterDiscount)*(1+PlanterDifficultyPercentage)),""),"")),"   not ELP, by"))))))))))))))</f>
        <v/>
      </c>
      <c r="AD2334" s="712"/>
      <c r="AE2334" s="513" t="str">
        <f t="shared" si="1733"/>
        <v/>
      </c>
      <c r="AF2334" s="713" t="str">
        <f t="shared" si="1734"/>
        <v/>
      </c>
      <c r="AG2334" s="713"/>
      <c r="AH2334" s="713"/>
      <c r="AI2334" s="112">
        <f>IF(H2334="credit",0,IF(AE2334="free",0,IF(AE2334="me",0,IF(G2334&gt;0,(VLOOKUP(A2334,'Discount Lookup'!J:K,2)*G2334),0))))</f>
        <v>0</v>
      </c>
      <c r="AJ2334" s="107" t="str">
        <f t="shared" ca="1" si="1735"/>
        <v/>
      </c>
      <c r="AK2334" s="714" t="str">
        <f t="shared" si="1736"/>
        <v/>
      </c>
      <c r="AL2334" s="714"/>
      <c r="AM2334" s="114" t="str">
        <f t="shared" si="1737"/>
        <v/>
      </c>
      <c r="AN2334" s="115"/>
      <c r="AO2334" s="116"/>
      <c r="AP2334" s="116"/>
      <c r="AQ2334" s="116"/>
      <c r="AR2334" s="116"/>
      <c r="AS2334" s="116"/>
      <c r="AT2334" s="116"/>
      <c r="AU2334" s="116"/>
      <c r="AV2334" s="78"/>
      <c r="AW2334" s="102"/>
      <c r="AX2334" s="78"/>
      <c r="AY2334" s="78"/>
      <c r="AZ2334" s="78"/>
      <c r="BA2334" s="78"/>
      <c r="BB2334" s="78"/>
      <c r="BC2334" s="78"/>
      <c r="BD2334" s="78"/>
      <c r="BE2334" s="465"/>
      <c r="BF2334" s="165" t="str">
        <f t="shared" si="1738"/>
        <v>https://www.google.com/search?tbm=isch&amp;q=15%20G4</v>
      </c>
      <c r="BG2334" s="165" t="str">
        <f t="shared" si="1739"/>
        <v>I</v>
      </c>
      <c r="BH2334" s="65"/>
      <c r="BI2334" s="65"/>
      <c r="BJ2334" s="65"/>
      <c r="BK2334" s="65"/>
      <c r="BL2334" s="99"/>
      <c r="BM2334" s="99"/>
      <c r="BN2334" s="99"/>
    </row>
    <row r="2335" spans="1:66" s="51" customFormat="1" ht="15.75" x14ac:dyDescent="0.25">
      <c r="A2335" s="478">
        <v>30</v>
      </c>
      <c r="B2335" s="479" t="s">
        <v>291</v>
      </c>
      <c r="C2335" s="480" t="s">
        <v>556</v>
      </c>
      <c r="D2335" s="481" t="s">
        <v>311</v>
      </c>
      <c r="E2335" s="482">
        <v>329.95</v>
      </c>
      <c r="F2335" s="483" t="s">
        <v>292</v>
      </c>
      <c r="G2335" s="484">
        <v>0</v>
      </c>
      <c r="H2335" s="688" t="str">
        <f t="shared" si="1741"/>
        <v/>
      </c>
      <c r="I2335" s="485">
        <f t="shared" si="1742"/>
        <v>0</v>
      </c>
      <c r="J2335" s="485">
        <f t="shared" si="1743"/>
        <v>0</v>
      </c>
      <c r="K2335" s="715">
        <f t="shared" ref="K2335" si="1752">I2335+J2335</f>
        <v>0</v>
      </c>
      <c r="L2335" s="715"/>
      <c r="M2335" s="689" t="str">
        <f t="shared" ca="1" si="1745"/>
        <v/>
      </c>
      <c r="N2335" s="690"/>
      <c r="O2335" s="486"/>
      <c r="P2335" s="486"/>
      <c r="Q2335" s="486"/>
      <c r="R2335" s="486"/>
      <c r="S2335" s="486"/>
      <c r="T2335" s="102">
        <f t="shared" si="1727"/>
        <v>0</v>
      </c>
      <c r="U2335" s="78">
        <f>IF(NOT(ISNUMBER(G2335)), "", VLOOKUP(A2335,'Discount Lookup'!D:E,2,FALSE)*G2335)</f>
        <v>0</v>
      </c>
      <c r="V2335" s="78">
        <f>IF(NOT(ISNUMBER(G2335)), "", VLOOKUP(A2335,'Discount Lookup'!G:H,2,FALSE)*G2335)</f>
        <v>0</v>
      </c>
      <c r="W2335" s="102">
        <f t="shared" si="1728"/>
        <v>0</v>
      </c>
      <c r="X2335" s="102">
        <f t="shared" si="1729"/>
        <v>0</v>
      </c>
      <c r="Y2335" s="120" t="b">
        <f t="shared" si="1730"/>
        <v>0</v>
      </c>
      <c r="Z2335" s="117">
        <f t="shared" si="1731"/>
        <v>0</v>
      </c>
      <c r="AA2335" s="118"/>
      <c r="AB2335" s="118" t="str">
        <f t="shared" si="1732"/>
        <v/>
      </c>
      <c r="AC2335" s="712" t="str">
        <f>IF(AE2335="T2G","no charge",IF(AND(OR(PlanterYesMe="No",PlanterYesMe="N",PlanterYesMe="me"),H2335=""),"",IF(H2335="credit","NO install",IF(AND(K2335="",AE2335="me"),"EACH row",IF(AND(K2335="images",AE2335="me"),"EACH row",IF(D2335="","",IF(H2335="credit","",IF(AE2335="free","re-planting",IF(AE2335="me","   not ELP, by",IF(AND(OR(PlanterYesMe="Yes",PlanterYesMe="Y"),G2335&gt;0),(VLOOKUP(A2335,'Discount Lookup'!J:K,2)*G2335*(1-PlanterDiscount)*(1+PlanterDifficultyPercentage)),IF(AE2335="ELP",(VLOOKUP(A2335,'Discount Lookup'!J:K,2)*G2335*(1-PlanterDiscount)*(1+PlanterDifficultyPercentage)),IF(AE2335="free","re-planting",IF(G2335=0,"",IF(PlanterYesMe="",IF(AE2335="me","   not ELP, by",IF(AE2335="",IF(G2335&gt;0,(VLOOKUP(A2335,'Discount Lookup'!J:K,2)*G2335*(1-PlanterDiscount)*(1+PlanterDifficultyPercentage)),""),"")),"   not ELP, by"))))))))))))))</f>
        <v/>
      </c>
      <c r="AD2335" s="712"/>
      <c r="AE2335" s="513" t="str">
        <f t="shared" si="1733"/>
        <v/>
      </c>
      <c r="AF2335" s="713" t="str">
        <f t="shared" si="1734"/>
        <v/>
      </c>
      <c r="AG2335" s="713"/>
      <c r="AH2335" s="713"/>
      <c r="AI2335" s="112">
        <f>IF(H2335="credit",0,IF(AE2335="free",0,IF(AE2335="me",0,IF(G2335&gt;0,(VLOOKUP(A2335,'Discount Lookup'!J:K,2)*G2335),0))))</f>
        <v>0</v>
      </c>
      <c r="AJ2335" s="107" t="str">
        <f t="shared" ca="1" si="1735"/>
        <v/>
      </c>
      <c r="AK2335" s="714" t="str">
        <f t="shared" si="1736"/>
        <v/>
      </c>
      <c r="AL2335" s="714"/>
      <c r="AM2335" s="114" t="str">
        <f t="shared" si="1737"/>
        <v/>
      </c>
      <c r="AN2335" s="115"/>
      <c r="AO2335" s="116"/>
      <c r="AP2335" s="116"/>
      <c r="AQ2335" s="116"/>
      <c r="AR2335" s="116"/>
      <c r="AS2335" s="116"/>
      <c r="AT2335" s="116"/>
      <c r="AU2335" s="116"/>
      <c r="AV2335" s="78"/>
      <c r="AW2335" s="102"/>
      <c r="AX2335" s="78"/>
      <c r="AY2335" s="78"/>
      <c r="AZ2335" s="78"/>
      <c r="BA2335" s="78"/>
      <c r="BB2335" s="78"/>
      <c r="BC2335" s="78"/>
      <c r="BD2335" s="78"/>
      <c r="BE2335" s="465"/>
      <c r="BF2335" s="165" t="str">
        <f t="shared" si="1738"/>
        <v>https://www.google.com/search?tbm=isch&amp;q=30%20G5</v>
      </c>
      <c r="BG2335" s="165" t="str">
        <f t="shared" si="1739"/>
        <v>I</v>
      </c>
      <c r="BH2335" s="65"/>
      <c r="BI2335" s="65"/>
      <c r="BJ2335" s="65"/>
      <c r="BK2335" s="65"/>
      <c r="BL2335" s="99"/>
      <c r="BM2335" s="99"/>
      <c r="BN2335" s="99"/>
    </row>
    <row r="2336" spans="1:66" s="51" customFormat="1" ht="16.5" x14ac:dyDescent="0.25">
      <c r="A2336" s="508" t="s">
        <v>875</v>
      </c>
      <c r="B2336" s="487"/>
      <c r="C2336" s="707"/>
      <c r="D2336" s="487"/>
      <c r="E2336" s="487"/>
      <c r="F2336" s="488"/>
      <c r="G2336" s="489"/>
      <c r="H2336" s="487"/>
      <c r="I2336" s="490"/>
      <c r="J2336" s="490"/>
      <c r="K2336" s="491"/>
      <c r="L2336" s="547"/>
      <c r="M2336" s="528"/>
      <c r="N2336" s="492"/>
      <c r="O2336" s="493"/>
      <c r="P2336" s="494"/>
      <c r="Q2336" s="492"/>
      <c r="R2336" s="492"/>
      <c r="S2336" s="699" t="s">
        <v>5288</v>
      </c>
      <c r="T2336" s="102">
        <f t="shared" si="1727"/>
        <v>0</v>
      </c>
      <c r="U2336" s="78" t="str">
        <f>IF(NOT(ISNUMBER(G2336)), "", VLOOKUP(A2336,'Discount Lookup'!D:E,2,FALSE)*G2336)</f>
        <v/>
      </c>
      <c r="V2336" s="78" t="str">
        <f>IF(NOT(ISNUMBER(G2336)), "", VLOOKUP(A2336,'Discount Lookup'!G:H,2,FALSE)*G2336)</f>
        <v/>
      </c>
      <c r="W2336" s="102">
        <f t="shared" si="1728"/>
        <v>0</v>
      </c>
      <c r="X2336" s="102">
        <f t="shared" si="1729"/>
        <v>0</v>
      </c>
      <c r="Y2336" s="120" t="b">
        <f t="shared" si="1730"/>
        <v>0</v>
      </c>
      <c r="Z2336" s="117">
        <f t="shared" si="1731"/>
        <v>0</v>
      </c>
      <c r="AA2336" s="118"/>
      <c r="AB2336" s="118" t="str">
        <f t="shared" si="1732"/>
        <v/>
      </c>
      <c r="AC2336" s="712" t="str">
        <f>IF(AE2336="T2G","no charge",IF(AND(OR(PlanterYesMe="No",PlanterYesMe="N",PlanterYesMe="me"),H2336=""),"",IF(H2336="credit","NO install",IF(AND(K2336="",AE2336="me"),"EACH row",IF(AND(K2336="images",AE2336="me"),"EACH row",IF(D2336="","",IF(H2336="credit","",IF(AE2336="free","re-planting",IF(AE2336="me","   not ELP, by",IF(AND(OR(PlanterYesMe="Yes",PlanterYesMe="Y"),G2336&gt;0),(VLOOKUP(A2336,'Discount Lookup'!J:K,2)*G2336*(1-PlanterDiscount)*(1+PlanterDifficultyPercentage)),IF(AE2336="ELP",(VLOOKUP(A2336,'Discount Lookup'!J:K,2)*G2336*(1-PlanterDiscount)*(1+PlanterDifficultyPercentage)),IF(AE2336="free","re-planting",IF(G2336=0,"",IF(PlanterYesMe="",IF(AE2336="me","   not ELP, by",IF(AE2336="",IF(G2336&gt;0,(VLOOKUP(A2336,'Discount Lookup'!J:K,2)*G2336*(1-PlanterDiscount)*(1+PlanterDifficultyPercentage)),""),"")),"   not ELP, by"))))))))))))))</f>
        <v/>
      </c>
      <c r="AD2336" s="712"/>
      <c r="AE2336" s="513" t="str">
        <f t="shared" si="1733"/>
        <v/>
      </c>
      <c r="AF2336" s="713" t="str">
        <f t="shared" si="1734"/>
        <v/>
      </c>
      <c r="AG2336" s="713"/>
      <c r="AH2336" s="713"/>
      <c r="AI2336" s="112">
        <f>IF(H2336="credit",0,IF(AE2336="free",0,IF(AE2336="me",0,IF(G2336&gt;0,(VLOOKUP(A2336,'Discount Lookup'!J:K,2)*G2336),0))))</f>
        <v>0</v>
      </c>
      <c r="AJ2336" s="107" t="str">
        <f t="shared" ca="1" si="1735"/>
        <v/>
      </c>
      <c r="AK2336" s="714" t="str">
        <f t="shared" si="1736"/>
        <v/>
      </c>
      <c r="AL2336" s="714"/>
      <c r="AM2336" s="114" t="str">
        <f t="shared" si="1737"/>
        <v/>
      </c>
      <c r="AN2336" s="115"/>
      <c r="AO2336" s="116"/>
      <c r="AP2336" s="116"/>
      <c r="AQ2336" s="116"/>
      <c r="AR2336" s="116"/>
      <c r="AS2336" s="116"/>
      <c r="AT2336" s="116"/>
      <c r="AU2336" s="116"/>
      <c r="AV2336" s="78"/>
      <c r="AW2336" s="102"/>
      <c r="AX2336" s="78"/>
      <c r="AY2336" s="78"/>
      <c r="AZ2336" s="78"/>
      <c r="BA2336" s="78"/>
      <c r="BB2336" s="78"/>
      <c r="BC2336" s="78"/>
      <c r="BD2336" s="78"/>
      <c r="BE2336" s="465"/>
      <c r="BF2336" s="165" t="str">
        <f t="shared" si="1738"/>
        <v>https://www.google.com/search?tbm=isch&amp;q=Miss%20Patricia%20foliage%20is%20large%2C%20glossy%2C%20and%20dense.%20Heavy%20Red%20berry%20set.%20Fast%20grower.%20Smooth%20gray%20bark%20roughens%20with%20age%2C%20does%20not%20exfoliate%20</v>
      </c>
      <c r="BG2336" s="165" t="str">
        <f t="shared" si="1739"/>
        <v>M</v>
      </c>
      <c r="BH2336" s="65"/>
      <c r="BI2336" s="65"/>
      <c r="BJ2336" s="65"/>
      <c r="BK2336" s="65"/>
      <c r="BL2336" s="99"/>
      <c r="BM2336" s="99"/>
      <c r="BN2336" s="99"/>
    </row>
    <row r="2337" spans="1:66" s="51" customFormat="1" ht="19.5" thickBot="1" x14ac:dyDescent="0.3">
      <c r="A2337" s="686" t="s">
        <v>557</v>
      </c>
      <c r="B2337" s="73"/>
      <c r="C2337" s="708"/>
      <c r="D2337" s="73"/>
      <c r="E2337" s="73"/>
      <c r="F2337" s="496"/>
      <c r="G2337" s="73"/>
      <c r="H2337" s="73"/>
      <c r="I2337" s="73"/>
      <c r="J2337" s="497" t="s">
        <v>357</v>
      </c>
      <c r="K2337" s="498"/>
      <c r="L2337" s="562"/>
      <c r="M2337" s="73"/>
      <c r="N2337"/>
      <c r="O2337"/>
      <c r="P2337"/>
      <c r="Q2337"/>
      <c r="R2337"/>
      <c r="S2337"/>
      <c r="T2337" s="102">
        <f t="shared" si="1727"/>
        <v>0</v>
      </c>
      <c r="U2337" s="78" t="str">
        <f>IF(NOT(ISNUMBER(G2337)), "", VLOOKUP(A2337,'Discount Lookup'!D:E,2,FALSE)*G2337)</f>
        <v/>
      </c>
      <c r="V2337" s="78" t="str">
        <f>IF(NOT(ISNUMBER(G2337)), "", VLOOKUP(A2337,'Discount Lookup'!G:H,2,FALSE)*G2337)</f>
        <v/>
      </c>
      <c r="W2337" s="102">
        <f t="shared" si="1728"/>
        <v>0</v>
      </c>
      <c r="X2337" s="102">
        <f t="shared" si="1729"/>
        <v>0</v>
      </c>
      <c r="Y2337" s="120" t="b">
        <f t="shared" si="1730"/>
        <v>0</v>
      </c>
      <c r="Z2337" s="117">
        <f t="shared" si="1731"/>
        <v>0</v>
      </c>
      <c r="AA2337" s="118"/>
      <c r="AB2337" s="118" t="str">
        <f t="shared" si="1732"/>
        <v/>
      </c>
      <c r="AC2337" s="712" t="str">
        <f>IF(AE2337="T2G","no charge",IF(AND(OR(PlanterYesMe="No",PlanterYesMe="N",PlanterYesMe="me"),H2337=""),"",IF(H2337="credit","NO install",IF(AND(K2337="",AE2337="me"),"EACH row",IF(AND(K2337="images",AE2337="me"),"EACH row",IF(D2337="","",IF(H2337="credit","",IF(AE2337="free","re-planting",IF(AE2337="me","   not ELP, by",IF(AND(OR(PlanterYesMe="Yes",PlanterYesMe="Y"),G2337&gt;0),(VLOOKUP(A2337,'Discount Lookup'!J:K,2)*G2337*(1-PlanterDiscount)*(1+PlanterDifficultyPercentage)),IF(AE2337="ELP",(VLOOKUP(A2337,'Discount Lookup'!J:K,2)*G2337*(1-PlanterDiscount)*(1+PlanterDifficultyPercentage)),IF(AE2337="free","re-planting",IF(G2337=0,"",IF(PlanterYesMe="",IF(AE2337="me","   not ELP, by",IF(AE2337="",IF(G2337&gt;0,(VLOOKUP(A2337,'Discount Lookup'!J:K,2)*G2337*(1-PlanterDiscount)*(1+PlanterDifficultyPercentage)),""),"")),"   not ELP, by"))))))))))))))</f>
        <v/>
      </c>
      <c r="AD2337" s="712"/>
      <c r="AE2337" s="513" t="str">
        <f t="shared" si="1733"/>
        <v/>
      </c>
      <c r="AF2337" s="713" t="str">
        <f t="shared" si="1734"/>
        <v/>
      </c>
      <c r="AG2337" s="713"/>
      <c r="AH2337" s="713"/>
      <c r="AI2337" s="112">
        <f>IF(H2337="credit",0,IF(AE2337="free",0,IF(AE2337="me",0,IF(G2337&gt;0,(VLOOKUP(A2337,'Discount Lookup'!J:K,2)*G2337),0))))</f>
        <v>0</v>
      </c>
      <c r="AJ2337" s="107" t="str">
        <f t="shared" ca="1" si="1735"/>
        <v/>
      </c>
      <c r="AK2337" s="714" t="str">
        <f t="shared" si="1736"/>
        <v/>
      </c>
      <c r="AL2337" s="714"/>
      <c r="AM2337" s="114" t="str">
        <f t="shared" si="1737"/>
        <v/>
      </c>
      <c r="AN2337" s="115"/>
      <c r="AO2337" s="116"/>
      <c r="AP2337" s="116"/>
      <c r="AQ2337" s="116"/>
      <c r="AR2337" s="116"/>
      <c r="AS2337" s="116"/>
      <c r="AT2337" s="116"/>
      <c r="AU2337" s="116"/>
      <c r="AV2337" s="78"/>
      <c r="AW2337" s="102"/>
      <c r="AX2337" s="78"/>
      <c r="AY2337" s="78"/>
      <c r="AZ2337" s="78"/>
      <c r="BA2337" s="78"/>
      <c r="BB2337" s="78"/>
      <c r="BC2337" s="78"/>
      <c r="BD2337" s="78"/>
      <c r="BE2337" s="465"/>
      <c r="BF2337" s="165" t="str">
        <f t="shared" si="1738"/>
        <v>https://www.google.com/search?tbm=isch&amp;q=Illicium%20%3D%20Anise%20Tree%20</v>
      </c>
      <c r="BG2337" s="165" t="str">
        <f t="shared" si="1739"/>
        <v>I</v>
      </c>
      <c r="BH2337" s="65"/>
      <c r="BI2337" s="65"/>
      <c r="BJ2337" s="65"/>
      <c r="BK2337" s="65"/>
      <c r="BL2337" s="99"/>
      <c r="BM2337" s="99"/>
      <c r="BN2337" s="99"/>
    </row>
    <row r="2338" spans="1:66" s="51" customFormat="1" ht="18" x14ac:dyDescent="0.25">
      <c r="A2338" s="507" t="s">
        <v>3032</v>
      </c>
      <c r="B2338" s="470"/>
      <c r="C2338" s="706"/>
      <c r="D2338" s="471" t="s">
        <v>5717</v>
      </c>
      <c r="E2338" s="472"/>
      <c r="F2338" s="472"/>
      <c r="G2338" s="472"/>
      <c r="H2338" s="622" t="s">
        <v>3033</v>
      </c>
      <c r="I2338" s="473" t="s">
        <v>3034</v>
      </c>
      <c r="J2338" s="472"/>
      <c r="K2338" s="472"/>
      <c r="L2338" s="561"/>
      <c r="M2338" s="703" t="s">
        <v>5260</v>
      </c>
      <c r="N2338" s="692" t="str">
        <f>IF(AND(ISTEXT($A2338), ISERROR($A2338+0)), HYPERLINK($BF2338, "Images"), "")</f>
        <v>Images</v>
      </c>
      <c r="O2338" s="694" t="s">
        <v>5244</v>
      </c>
      <c r="P2338" s="475"/>
      <c r="Q2338" s="476"/>
      <c r="R2338" s="476"/>
      <c r="S2338" s="477"/>
      <c r="T2338" s="102">
        <f t="shared" si="1727"/>
        <v>0</v>
      </c>
      <c r="U2338" s="78" t="str">
        <f>IF(NOT(ISNUMBER(G2338)), "", VLOOKUP(A2338,'Discount Lookup'!D:E,2,FALSE)*G2338)</f>
        <v/>
      </c>
      <c r="V2338" s="78" t="str">
        <f>IF(NOT(ISNUMBER(G2338)), "", VLOOKUP(A2338,'Discount Lookup'!G:H,2,FALSE)*G2338)</f>
        <v/>
      </c>
      <c r="W2338" s="102">
        <f t="shared" si="1728"/>
        <v>0</v>
      </c>
      <c r="X2338" s="102" t="str">
        <f t="shared" si="1729"/>
        <v>Forest Green &amp; Purple foliage</v>
      </c>
      <c r="Y2338" s="120" t="b">
        <f t="shared" si="1730"/>
        <v>0</v>
      </c>
      <c r="Z2338" s="117">
        <f t="shared" si="1731"/>
        <v>0</v>
      </c>
      <c r="AA2338" s="118"/>
      <c r="AB2338" s="118" t="str">
        <f t="shared" si="1732"/>
        <v/>
      </c>
      <c r="AC2338" s="712" t="str">
        <f>IF(AE2338="T2G","no charge",IF(AND(OR(PlanterYesMe="No",PlanterYesMe="N",PlanterYesMe="me"),H2338=""),"",IF(H2338="credit","NO install",IF(AND(K2338="",AE2338="me"),"EACH row",IF(AND(K2338="images",AE2338="me"),"EACH row",IF(D2338="","",IF(H2338="credit","",IF(AE2338="free","re-planting",IF(AE2338="me","   not ELP, by",IF(AND(OR(PlanterYesMe="Yes",PlanterYesMe="Y"),G2338&gt;0),(VLOOKUP(A2338,'Discount Lookup'!J:K,2)*G2338*(1-PlanterDiscount)*(1+PlanterDifficultyPercentage)),IF(AE2338="ELP",(VLOOKUP(A2338,'Discount Lookup'!J:K,2)*G2338*(1-PlanterDiscount)*(1+PlanterDifficultyPercentage)),IF(AE2338="free","re-planting",IF(G2338=0,"",IF(PlanterYesMe="",IF(AE2338="me","   not ELP, by",IF(AE2338="",IF(G2338&gt;0,(VLOOKUP(A2338,'Discount Lookup'!J:K,2)*G2338*(1-PlanterDiscount)*(1+PlanterDifficultyPercentage)),""),"")),"   not ELP, by"))))))))))))))</f>
        <v/>
      </c>
      <c r="AD2338" s="712"/>
      <c r="AE2338" s="513" t="str">
        <f t="shared" si="1733"/>
        <v/>
      </c>
      <c r="AF2338" s="713" t="str">
        <f t="shared" si="1734"/>
        <v/>
      </c>
      <c r="AG2338" s="713"/>
      <c r="AH2338" s="713"/>
      <c r="AI2338" s="112">
        <f>IF(H2338="credit",0,IF(AE2338="free",0,IF(AE2338="me",0,IF(G2338&gt;0,(VLOOKUP(A2338,'Discount Lookup'!J:K,2)*G2338),0))))</f>
        <v>0</v>
      </c>
      <c r="AJ2338" s="107" t="str">
        <f t="shared" ca="1" si="1735"/>
        <v/>
      </c>
      <c r="AK2338" s="714" t="str">
        <f t="shared" si="1736"/>
        <v/>
      </c>
      <c r="AL2338" s="714"/>
      <c r="AM2338" s="114" t="str">
        <f t="shared" si="1737"/>
        <v/>
      </c>
      <c r="AN2338" s="115"/>
      <c r="AO2338" s="116"/>
      <c r="AP2338" s="116"/>
      <c r="AQ2338" s="116"/>
      <c r="AR2338" s="116"/>
      <c r="AS2338" s="116"/>
      <c r="AT2338" s="116"/>
      <c r="AU2338" s="116"/>
      <c r="AV2338" s="78"/>
      <c r="AW2338" s="102"/>
      <c r="AX2338" s="78"/>
      <c r="AY2338" s="78"/>
      <c r="AZ2338" s="78"/>
      <c r="BA2338" s="78"/>
      <c r="BB2338" s="78"/>
      <c r="BC2338" s="78"/>
      <c r="BD2338" s="78"/>
      <c r="BE2338" s="465"/>
      <c r="BF2338" s="165" t="str">
        <f t="shared" si="1738"/>
        <v>https://www.google.com/search?tbm=isch&amp;q=Illicium%20anisatum%20%27Murasaki-no-Sato%27%20PP%2326864%20Purple%20Glaze%E2%84%A2%20Anise%20Tree</v>
      </c>
      <c r="BG2338" s="165" t="str">
        <f t="shared" si="1739"/>
        <v>I</v>
      </c>
      <c r="BH2338" s="65"/>
      <c r="BI2338" s="65"/>
      <c r="BJ2338" s="65"/>
      <c r="BK2338" s="65"/>
      <c r="BL2338" s="99"/>
      <c r="BM2338" s="99"/>
      <c r="BN2338" s="99"/>
    </row>
    <row r="2339" spans="1:66" s="51" customFormat="1" ht="27" x14ac:dyDescent="0.25">
      <c r="A2339" s="478">
        <v>3</v>
      </c>
      <c r="B2339" s="479" t="s">
        <v>291</v>
      </c>
      <c r="C2339" s="480" t="s">
        <v>3035</v>
      </c>
      <c r="D2339" s="481" t="s">
        <v>299</v>
      </c>
      <c r="E2339" s="482">
        <v>40.950000000000003</v>
      </c>
      <c r="F2339" s="483" t="s">
        <v>292</v>
      </c>
      <c r="G2339" s="484">
        <v>0</v>
      </c>
      <c r="H2339" s="688" t="str">
        <f>IF(G2339=0,"",IF(F2339="Buy",IF(G2339=1,"plant","plants"),IF(F2339&gt;0.01,"warranty","Error")))</f>
        <v/>
      </c>
      <c r="I2339" s="485">
        <f>IF(H2339="free",0,IF(H2339="credit",((E2339*(F2339))*G2339*-1),IF(F2339="Buy",(E2339*G2339),((E2339*(1-F2339))*G2339))))</f>
        <v>0</v>
      </c>
      <c r="J2339" s="485">
        <f>IF(H2339="warranty",0,(I2339*(_xlfn.SINGLE(SalesTaxPercentage))))</f>
        <v>0</v>
      </c>
      <c r="K2339" s="715">
        <f t="shared" ref="K2339" si="1753">I2339+J2339</f>
        <v>0</v>
      </c>
      <c r="L2339" s="715"/>
      <c r="M2339" s="689" t="str">
        <f ca="1">IF(AND(G2339&gt;0,E2339=0),"WARNING - no PRICE inserted",IF(H2339="free","FREE ~ no charge this plant",IF(H2339="credit",CONCATENATE("-$",ROUND(K2339*(1-_xlfn.SINGLE(T2GDiscount))*-1,2)," CREDIT after discount"),IF(_xlfn.SINGLE(T2GDiscount)=0,"",IF(G2339=0,"",IF(F2339="Buy",CONCATENATE("$",ROUND(K2339*(1-_xlfn.SINGLE(T2GDiscount)),2)," with ",(_xlfn.SINGLE(T2GDiscount)*100),"% discount"),CONCATENATE("$",ROUND(K2339*(1-_xlfn.SINGLE(T2GDiscount)),2)," with ",((_xlfn.SINGLE(T2GDiscount)*100+F2339*100)-(_xlfn.SINGLE(T2GDiscount)*100*F2339)),IF(F2339&gt;0,"% discounts",IF(_xlfn.SINGLE(NoWarrantyDiscount)&gt;0,"% discounts","% discount")))))))))</f>
        <v/>
      </c>
      <c r="N2339" s="690"/>
      <c r="O2339" s="486"/>
      <c r="P2339" s="486"/>
      <c r="Q2339" s="486"/>
      <c r="R2339" s="486"/>
      <c r="S2339" s="486"/>
      <c r="T2339" s="102">
        <f t="shared" si="1727"/>
        <v>0</v>
      </c>
      <c r="U2339" s="78">
        <f>IF(NOT(ISNUMBER(G2339)), "", VLOOKUP(A2339,'Discount Lookup'!D:E,2,FALSE)*G2339)</f>
        <v>0</v>
      </c>
      <c r="V2339" s="78">
        <f>IF(NOT(ISNUMBER(G2339)), "", VLOOKUP(A2339,'Discount Lookup'!G:H,2,FALSE)*G2339)</f>
        <v>0</v>
      </c>
      <c r="W2339" s="102">
        <f t="shared" si="1728"/>
        <v>0</v>
      </c>
      <c r="X2339" s="102">
        <f t="shared" si="1729"/>
        <v>0</v>
      </c>
      <c r="Y2339" s="120" t="b">
        <f t="shared" si="1730"/>
        <v>0</v>
      </c>
      <c r="Z2339" s="117">
        <f t="shared" si="1731"/>
        <v>0</v>
      </c>
      <c r="AA2339" s="118"/>
      <c r="AB2339" s="118" t="str">
        <f t="shared" si="1732"/>
        <v/>
      </c>
      <c r="AC2339" s="712" t="str">
        <f>IF(AE2339="T2G","no charge",IF(AND(OR(PlanterYesMe="No",PlanterYesMe="N",PlanterYesMe="me"),H2339=""),"",IF(H2339="credit","NO install",IF(AND(K2339="",AE2339="me"),"EACH row",IF(AND(K2339="images",AE2339="me"),"EACH row",IF(D2339="","",IF(H2339="credit","",IF(AE2339="free","re-planting",IF(AE2339="me","   not ELP, by",IF(AND(OR(PlanterYesMe="Yes",PlanterYesMe="Y"),G2339&gt;0),(VLOOKUP(A2339,'Discount Lookup'!J:K,2)*G2339*(1-PlanterDiscount)*(1+PlanterDifficultyPercentage)),IF(AE2339="ELP",(VLOOKUP(A2339,'Discount Lookup'!J:K,2)*G2339*(1-PlanterDiscount)*(1+PlanterDifficultyPercentage)),IF(AE2339="free","re-planting",IF(G2339=0,"",IF(PlanterYesMe="",IF(AE2339="me","   not ELP, by",IF(AE2339="",IF(G2339&gt;0,(VLOOKUP(A2339,'Discount Lookup'!J:K,2)*G2339*(1-PlanterDiscount)*(1+PlanterDifficultyPercentage)),""),"")),"   not ELP, by"))))))))))))))</f>
        <v/>
      </c>
      <c r="AD2339" s="712"/>
      <c r="AE2339" s="513" t="str">
        <f t="shared" si="1733"/>
        <v/>
      </c>
      <c r="AF2339" s="713" t="str">
        <f t="shared" si="1734"/>
        <v/>
      </c>
      <c r="AG2339" s="713"/>
      <c r="AH2339" s="713"/>
      <c r="AI2339" s="112">
        <f>IF(H2339="credit",0,IF(AE2339="free",0,IF(AE2339="me",0,IF(G2339&gt;0,(VLOOKUP(A2339,'Discount Lookup'!J:K,2)*G2339),0))))</f>
        <v>0</v>
      </c>
      <c r="AJ2339" s="107" t="str">
        <f t="shared" ca="1" si="1735"/>
        <v/>
      </c>
      <c r="AK2339" s="714" t="str">
        <f t="shared" si="1736"/>
        <v/>
      </c>
      <c r="AL2339" s="714"/>
      <c r="AM2339" s="114" t="str">
        <f t="shared" si="1737"/>
        <v/>
      </c>
      <c r="AN2339" s="115"/>
      <c r="AO2339" s="116"/>
      <c r="AP2339" s="116"/>
      <c r="AQ2339" s="116"/>
      <c r="AR2339" s="116"/>
      <c r="AS2339" s="116"/>
      <c r="AT2339" s="116"/>
      <c r="AU2339" s="116"/>
      <c r="AV2339" s="78"/>
      <c r="AW2339" s="102"/>
      <c r="AX2339" s="78"/>
      <c r="AY2339" s="78"/>
      <c r="AZ2339" s="78"/>
      <c r="BA2339" s="78"/>
      <c r="BB2339" s="78"/>
      <c r="BC2339" s="78"/>
      <c r="BD2339" s="78"/>
      <c r="BE2339" s="465"/>
      <c r="BF2339" s="165" t="str">
        <f t="shared" si="1738"/>
        <v>https://www.google.com/search?tbm=isch&amp;q=3%20G4</v>
      </c>
      <c r="BG2339" s="165" t="str">
        <f t="shared" si="1739"/>
        <v>I</v>
      </c>
      <c r="BH2339" s="65"/>
      <c r="BI2339" s="65"/>
      <c r="BJ2339" s="65"/>
      <c r="BK2339" s="65"/>
      <c r="BL2339" s="99"/>
      <c r="BM2339" s="99"/>
      <c r="BN2339" s="99"/>
    </row>
    <row r="2340" spans="1:66" s="51" customFormat="1" ht="16.5" thickBot="1" x14ac:dyDescent="0.3">
      <c r="A2340" s="508" t="s">
        <v>4767</v>
      </c>
      <c r="B2340" s="487"/>
      <c r="C2340" s="707"/>
      <c r="D2340" s="487"/>
      <c r="E2340" s="487"/>
      <c r="F2340" s="488"/>
      <c r="G2340" s="489"/>
      <c r="H2340" s="487"/>
      <c r="I2340" s="490"/>
      <c r="J2340" s="490"/>
      <c r="K2340" s="491"/>
      <c r="L2340" s="547"/>
      <c r="M2340" s="528"/>
      <c r="N2340" s="492"/>
      <c r="O2340" s="493"/>
      <c r="P2340" s="494"/>
      <c r="Q2340" s="492"/>
      <c r="R2340" s="492"/>
      <c r="S2340" s="699" t="s">
        <v>5259</v>
      </c>
      <c r="T2340" s="102">
        <f t="shared" si="1727"/>
        <v>0</v>
      </c>
      <c r="U2340" s="78" t="str">
        <f>IF(NOT(ISNUMBER(G2340)), "", VLOOKUP(A2340,'Discount Lookup'!D:E,2,FALSE)*G2340)</f>
        <v/>
      </c>
      <c r="V2340" s="78" t="str">
        <f>IF(NOT(ISNUMBER(G2340)), "", VLOOKUP(A2340,'Discount Lookup'!G:H,2,FALSE)*G2340)</f>
        <v/>
      </c>
      <c r="W2340" s="102">
        <f t="shared" si="1728"/>
        <v>0</v>
      </c>
      <c r="X2340" s="102">
        <f t="shared" si="1729"/>
        <v>0</v>
      </c>
      <c r="Y2340" s="120" t="b">
        <f t="shared" si="1730"/>
        <v>0</v>
      </c>
      <c r="Z2340" s="117">
        <f t="shared" si="1731"/>
        <v>0</v>
      </c>
      <c r="AA2340" s="118"/>
      <c r="AB2340" s="118" t="str">
        <f t="shared" si="1732"/>
        <v/>
      </c>
      <c r="AC2340" s="712" t="str">
        <f>IF(AE2340="T2G","no charge",IF(AND(OR(PlanterYesMe="No",PlanterYesMe="N",PlanterYesMe="me"),H2340=""),"",IF(H2340="credit","NO install",IF(AND(K2340="",AE2340="me"),"EACH row",IF(AND(K2340="images",AE2340="me"),"EACH row",IF(D2340="","",IF(H2340="credit","",IF(AE2340="free","re-planting",IF(AE2340="me","   not ELP, by",IF(AND(OR(PlanterYesMe="Yes",PlanterYesMe="Y"),G2340&gt;0),(VLOOKUP(A2340,'Discount Lookup'!J:K,2)*G2340*(1-PlanterDiscount)*(1+PlanterDifficultyPercentage)),IF(AE2340="ELP",(VLOOKUP(A2340,'Discount Lookup'!J:K,2)*G2340*(1-PlanterDiscount)*(1+PlanterDifficultyPercentage)),IF(AE2340="free","re-planting",IF(G2340=0,"",IF(PlanterYesMe="",IF(AE2340="me","   not ELP, by",IF(AE2340="",IF(G2340&gt;0,(VLOOKUP(A2340,'Discount Lookup'!J:K,2)*G2340*(1-PlanterDiscount)*(1+PlanterDifficultyPercentage)),""),"")),"   not ELP, by"))))))))))))))</f>
        <v/>
      </c>
      <c r="AD2340" s="712"/>
      <c r="AE2340" s="513" t="str">
        <f t="shared" si="1733"/>
        <v/>
      </c>
      <c r="AF2340" s="713" t="str">
        <f t="shared" si="1734"/>
        <v/>
      </c>
      <c r="AG2340" s="713"/>
      <c r="AH2340" s="713"/>
      <c r="AI2340" s="112">
        <f>IF(H2340="credit",0,IF(AE2340="free",0,IF(AE2340="me",0,IF(G2340&gt;0,(VLOOKUP(A2340,'Discount Lookup'!J:K,2)*G2340),0))))</f>
        <v>0</v>
      </c>
      <c r="AJ2340" s="107" t="str">
        <f t="shared" ca="1" si="1735"/>
        <v/>
      </c>
      <c r="AK2340" s="714" t="str">
        <f t="shared" si="1736"/>
        <v/>
      </c>
      <c r="AL2340" s="714"/>
      <c r="AM2340" s="114" t="str">
        <f t="shared" si="1737"/>
        <v/>
      </c>
      <c r="AN2340" s="115"/>
      <c r="AO2340" s="116"/>
      <c r="AP2340" s="116"/>
      <c r="AQ2340" s="116"/>
      <c r="AR2340" s="116"/>
      <c r="AS2340" s="116"/>
      <c r="AT2340" s="116"/>
      <c r="AU2340" s="116"/>
      <c r="AV2340" s="78"/>
      <c r="AW2340" s="102"/>
      <c r="AX2340" s="78"/>
      <c r="AY2340" s="78"/>
      <c r="AZ2340" s="78"/>
      <c r="BA2340" s="78"/>
      <c r="BB2340" s="78"/>
      <c r="BC2340" s="78"/>
      <c r="BD2340" s="78"/>
      <c r="BE2340" s="465"/>
      <c r="BF2340" s="165" t="str">
        <f t="shared" si="1738"/>
        <v>https://www.google.com/search?tbm=isch&amp;q=Purple%20Glaze%20new%20growth%20emerges%20Deep%20Burgundy%2C%20gradually%20turning%20Dark%20Green.%20Small%20Creamy-White%20blooms%2C%20often%20with%20Pink%20streaks%20</v>
      </c>
      <c r="BG2340" s="165" t="str">
        <f t="shared" si="1739"/>
        <v>P</v>
      </c>
      <c r="BH2340" s="65"/>
      <c r="BI2340" s="65"/>
      <c r="BJ2340" s="65"/>
      <c r="BK2340" s="65"/>
      <c r="BL2340" s="99"/>
      <c r="BM2340" s="99"/>
      <c r="BN2340" s="99"/>
    </row>
    <row r="2341" spans="1:66" s="51" customFormat="1" ht="18" x14ac:dyDescent="0.25">
      <c r="A2341" s="507" t="s">
        <v>3036</v>
      </c>
      <c r="B2341" s="470"/>
      <c r="C2341" s="706"/>
      <c r="D2341" s="471" t="s">
        <v>3037</v>
      </c>
      <c r="E2341" s="472"/>
      <c r="F2341" s="472"/>
      <c r="G2341" s="472"/>
      <c r="H2341" s="622" t="s">
        <v>1270</v>
      </c>
      <c r="I2341" s="473" t="s">
        <v>440</v>
      </c>
      <c r="J2341" s="472"/>
      <c r="K2341" s="472"/>
      <c r="L2341" s="561"/>
      <c r="M2341" s="703" t="s">
        <v>5260</v>
      </c>
      <c r="N2341" s="692" t="str">
        <f>IF(AND(ISTEXT($A2341), ISERROR($A2341+0)), HYPERLINK($BF2341, "Images"), "")</f>
        <v>Images</v>
      </c>
      <c r="O2341" s="694" t="s">
        <v>5244</v>
      </c>
      <c r="P2341" s="475"/>
      <c r="Q2341" s="476"/>
      <c r="R2341" s="476"/>
      <c r="S2341" s="477"/>
      <c r="T2341" s="102">
        <f t="shared" si="1727"/>
        <v>0</v>
      </c>
      <c r="U2341" s="78" t="str">
        <f>IF(NOT(ISNUMBER(G2341)), "", VLOOKUP(A2341,'Discount Lookup'!D:E,2,FALSE)*G2341)</f>
        <v/>
      </c>
      <c r="V2341" s="78" t="str">
        <f>IF(NOT(ISNUMBER(G2341)), "", VLOOKUP(A2341,'Discount Lookup'!G:H,2,FALSE)*G2341)</f>
        <v/>
      </c>
      <c r="W2341" s="102">
        <f t="shared" si="1728"/>
        <v>0</v>
      </c>
      <c r="X2341" s="102" t="str">
        <f t="shared" si="1729"/>
        <v>Rich Green foliage</v>
      </c>
      <c r="Y2341" s="120" t="b">
        <f t="shared" si="1730"/>
        <v>0</v>
      </c>
      <c r="Z2341" s="117">
        <f t="shared" si="1731"/>
        <v>0</v>
      </c>
      <c r="AA2341" s="118"/>
      <c r="AB2341" s="118" t="str">
        <f t="shared" si="1732"/>
        <v/>
      </c>
      <c r="AC2341" s="712" t="str">
        <f>IF(AE2341="T2G","no charge",IF(AND(OR(PlanterYesMe="No",PlanterYesMe="N",PlanterYesMe="me"),H2341=""),"",IF(H2341="credit","NO install",IF(AND(K2341="",AE2341="me"),"EACH row",IF(AND(K2341="images",AE2341="me"),"EACH row",IF(D2341="","",IF(H2341="credit","",IF(AE2341="free","re-planting",IF(AE2341="me","   not ELP, by",IF(AND(OR(PlanterYesMe="Yes",PlanterYesMe="Y"),G2341&gt;0),(VLOOKUP(A2341,'Discount Lookup'!J:K,2)*G2341*(1-PlanterDiscount)*(1+PlanterDifficultyPercentage)),IF(AE2341="ELP",(VLOOKUP(A2341,'Discount Lookup'!J:K,2)*G2341*(1-PlanterDiscount)*(1+PlanterDifficultyPercentage)),IF(AE2341="free","re-planting",IF(G2341=0,"",IF(PlanterYesMe="",IF(AE2341="me","   not ELP, by",IF(AE2341="",IF(G2341&gt;0,(VLOOKUP(A2341,'Discount Lookup'!J:K,2)*G2341*(1-PlanterDiscount)*(1+PlanterDifficultyPercentage)),""),"")),"   not ELP, by"))))))))))))))</f>
        <v/>
      </c>
      <c r="AD2341" s="712"/>
      <c r="AE2341" s="513" t="str">
        <f t="shared" si="1733"/>
        <v/>
      </c>
      <c r="AF2341" s="713" t="str">
        <f t="shared" si="1734"/>
        <v/>
      </c>
      <c r="AG2341" s="713"/>
      <c r="AH2341" s="713"/>
      <c r="AI2341" s="112">
        <f>IF(H2341="credit",0,IF(AE2341="free",0,IF(AE2341="me",0,IF(G2341&gt;0,(VLOOKUP(A2341,'Discount Lookup'!J:K,2)*G2341),0))))</f>
        <v>0</v>
      </c>
      <c r="AJ2341" s="107" t="str">
        <f t="shared" ca="1" si="1735"/>
        <v/>
      </c>
      <c r="AK2341" s="714" t="str">
        <f t="shared" si="1736"/>
        <v/>
      </c>
      <c r="AL2341" s="714"/>
      <c r="AM2341" s="114" t="str">
        <f t="shared" si="1737"/>
        <v/>
      </c>
      <c r="AN2341" s="115"/>
      <c r="AO2341" s="116"/>
      <c r="AP2341" s="116"/>
      <c r="AQ2341" s="116"/>
      <c r="AR2341" s="116"/>
      <c r="AS2341" s="116"/>
      <c r="AT2341" s="116"/>
      <c r="AU2341" s="116"/>
      <c r="AV2341" s="78"/>
      <c r="AW2341" s="102"/>
      <c r="AX2341" s="78"/>
      <c r="AY2341" s="78"/>
      <c r="AZ2341" s="78"/>
      <c r="BA2341" s="78"/>
      <c r="BB2341" s="78"/>
      <c r="BC2341" s="78"/>
      <c r="BD2341" s="78"/>
      <c r="BE2341" s="465"/>
      <c r="BF2341" s="165" t="str">
        <f t="shared" si="1738"/>
        <v>https://www.google.com/search?tbm=isch&amp;q=Illicium%20%27Moonbeam%27%20Moonbeam%20Anise%20Tree</v>
      </c>
      <c r="BG2341" s="165" t="str">
        <f t="shared" si="1739"/>
        <v>I</v>
      </c>
      <c r="BH2341" s="65"/>
      <c r="BI2341" s="65"/>
      <c r="BJ2341" s="65"/>
      <c r="BK2341" s="65"/>
      <c r="BL2341" s="99"/>
      <c r="BM2341" s="99"/>
      <c r="BN2341" s="99"/>
    </row>
    <row r="2342" spans="1:66" s="51" customFormat="1" ht="15.75" x14ac:dyDescent="0.25">
      <c r="A2342" s="478">
        <v>3</v>
      </c>
      <c r="B2342" s="479" t="s">
        <v>291</v>
      </c>
      <c r="C2342" s="480" t="s">
        <v>3038</v>
      </c>
      <c r="D2342" s="481" t="s">
        <v>299</v>
      </c>
      <c r="E2342" s="482">
        <v>38.950000000000003</v>
      </c>
      <c r="F2342" s="483" t="s">
        <v>292</v>
      </c>
      <c r="G2342" s="484">
        <v>0</v>
      </c>
      <c r="H2342" s="688" t="str">
        <f>IF(G2342=0,"",IF(F2342="Buy",IF(G2342=1,"plant","plants"),IF(F2342&gt;0.01,"warranty","Error")))</f>
        <v/>
      </c>
      <c r="I2342" s="485">
        <f>IF(H2342="free",0,IF(H2342="credit",((E2342*(F2342))*G2342*-1),IF(F2342="Buy",(E2342*G2342),((E2342*(1-F2342))*G2342))))</f>
        <v>0</v>
      </c>
      <c r="J2342" s="485">
        <f>IF(H2342="warranty",0,(I2342*(_xlfn.SINGLE(SalesTaxPercentage))))</f>
        <v>0</v>
      </c>
      <c r="K2342" s="715">
        <f t="shared" ref="K2342" si="1754">I2342+J2342</f>
        <v>0</v>
      </c>
      <c r="L2342" s="715"/>
      <c r="M2342" s="689" t="str">
        <f ca="1">IF(AND(G2342&gt;0,E2342=0),"WARNING - no PRICE inserted",IF(H2342="free","FREE ~ no charge this plant",IF(H2342="credit",CONCATENATE("-$",ROUND(K2342*(1-_xlfn.SINGLE(T2GDiscount))*-1,2)," CREDIT after discount"),IF(_xlfn.SINGLE(T2GDiscount)=0,"",IF(G2342=0,"",IF(F2342="Buy",CONCATENATE("$",ROUND(K2342*(1-_xlfn.SINGLE(T2GDiscount)),2)," with ",(_xlfn.SINGLE(T2GDiscount)*100),"% discount"),CONCATENATE("$",ROUND(K2342*(1-_xlfn.SINGLE(T2GDiscount)),2)," with ",((_xlfn.SINGLE(T2GDiscount)*100+F2342*100)-(_xlfn.SINGLE(T2GDiscount)*100*F2342)),IF(F2342&gt;0,"% discounts",IF(_xlfn.SINGLE(NoWarrantyDiscount)&gt;0,"% discounts","% discount")))))))))</f>
        <v/>
      </c>
      <c r="N2342" s="690"/>
      <c r="O2342" s="486"/>
      <c r="P2342" s="486"/>
      <c r="Q2342" s="486"/>
      <c r="R2342" s="486"/>
      <c r="S2342" s="486"/>
      <c r="T2342" s="102">
        <f t="shared" si="1727"/>
        <v>0</v>
      </c>
      <c r="U2342" s="78">
        <f>IF(NOT(ISNUMBER(G2342)), "", VLOOKUP(A2342,'Discount Lookup'!D:E,2,FALSE)*G2342)</f>
        <v>0</v>
      </c>
      <c r="V2342" s="78">
        <f>IF(NOT(ISNUMBER(G2342)), "", VLOOKUP(A2342,'Discount Lookup'!G:H,2,FALSE)*G2342)</f>
        <v>0</v>
      </c>
      <c r="W2342" s="102">
        <f t="shared" si="1728"/>
        <v>0</v>
      </c>
      <c r="X2342" s="102">
        <f t="shared" si="1729"/>
        <v>0</v>
      </c>
      <c r="Y2342" s="120" t="b">
        <f t="shared" si="1730"/>
        <v>0</v>
      </c>
      <c r="Z2342" s="117">
        <f t="shared" si="1731"/>
        <v>0</v>
      </c>
      <c r="AA2342" s="118"/>
      <c r="AB2342" s="118" t="str">
        <f t="shared" si="1732"/>
        <v/>
      </c>
      <c r="AC2342" s="712" t="str">
        <f>IF(AE2342="T2G","no charge",IF(AND(OR(PlanterYesMe="No",PlanterYesMe="N",PlanterYesMe="me"),H2342=""),"",IF(H2342="credit","NO install",IF(AND(K2342="",AE2342="me"),"EACH row",IF(AND(K2342="images",AE2342="me"),"EACH row",IF(D2342="","",IF(H2342="credit","",IF(AE2342="free","re-planting",IF(AE2342="me","   not ELP, by",IF(AND(OR(PlanterYesMe="Yes",PlanterYesMe="Y"),G2342&gt;0),(VLOOKUP(A2342,'Discount Lookup'!J:K,2)*G2342*(1-PlanterDiscount)*(1+PlanterDifficultyPercentage)),IF(AE2342="ELP",(VLOOKUP(A2342,'Discount Lookup'!J:K,2)*G2342*(1-PlanterDiscount)*(1+PlanterDifficultyPercentage)),IF(AE2342="free","re-planting",IF(G2342=0,"",IF(PlanterYesMe="",IF(AE2342="me","   not ELP, by",IF(AE2342="",IF(G2342&gt;0,(VLOOKUP(A2342,'Discount Lookup'!J:K,2)*G2342*(1-PlanterDiscount)*(1+PlanterDifficultyPercentage)),""),"")),"   not ELP, by"))))))))))))))</f>
        <v/>
      </c>
      <c r="AD2342" s="712"/>
      <c r="AE2342" s="513" t="str">
        <f t="shared" si="1733"/>
        <v/>
      </c>
      <c r="AF2342" s="713" t="str">
        <f t="shared" si="1734"/>
        <v/>
      </c>
      <c r="AG2342" s="713"/>
      <c r="AH2342" s="713"/>
      <c r="AI2342" s="112">
        <f>IF(H2342="credit",0,IF(AE2342="free",0,IF(AE2342="me",0,IF(G2342&gt;0,(VLOOKUP(A2342,'Discount Lookup'!J:K,2)*G2342),0))))</f>
        <v>0</v>
      </c>
      <c r="AJ2342" s="107" t="str">
        <f t="shared" ca="1" si="1735"/>
        <v/>
      </c>
      <c r="AK2342" s="714" t="str">
        <f t="shared" si="1736"/>
        <v/>
      </c>
      <c r="AL2342" s="714"/>
      <c r="AM2342" s="114" t="str">
        <f t="shared" si="1737"/>
        <v/>
      </c>
      <c r="AN2342" s="115"/>
      <c r="AO2342" s="116"/>
      <c r="AP2342" s="116"/>
      <c r="AQ2342" s="116"/>
      <c r="AR2342" s="116"/>
      <c r="AS2342" s="116"/>
      <c r="AT2342" s="116"/>
      <c r="AU2342" s="116"/>
      <c r="AV2342" s="78"/>
      <c r="AW2342" s="102"/>
      <c r="AX2342" s="78"/>
      <c r="AY2342" s="78"/>
      <c r="AZ2342" s="78"/>
      <c r="BA2342" s="78"/>
      <c r="BB2342" s="78"/>
      <c r="BC2342" s="78"/>
      <c r="BD2342" s="78"/>
      <c r="BE2342" s="465"/>
      <c r="BF2342" s="165" t="str">
        <f t="shared" si="1738"/>
        <v>https://www.google.com/search?tbm=isch&amp;q=3%20G4</v>
      </c>
      <c r="BG2342" s="165" t="str">
        <f t="shared" si="1739"/>
        <v>I</v>
      </c>
      <c r="BH2342" s="65"/>
      <c r="BI2342" s="65"/>
      <c r="BJ2342" s="65"/>
      <c r="BK2342" s="65"/>
      <c r="BL2342" s="99"/>
      <c r="BM2342" s="99"/>
      <c r="BN2342" s="99"/>
    </row>
    <row r="2343" spans="1:66" s="51" customFormat="1" ht="16.5" thickBot="1" x14ac:dyDescent="0.3">
      <c r="A2343" s="705" t="s">
        <v>5461</v>
      </c>
      <c r="B2343" s="487"/>
      <c r="C2343" s="707"/>
      <c r="D2343" s="487"/>
      <c r="E2343" s="487"/>
      <c r="F2343" s="488"/>
      <c r="G2343" s="489"/>
      <c r="H2343" s="487"/>
      <c r="I2343" s="490"/>
      <c r="J2343" s="490"/>
      <c r="K2343" s="491"/>
      <c r="L2343" s="547"/>
      <c r="M2343" s="528"/>
      <c r="N2343" s="492"/>
      <c r="O2343" s="493"/>
      <c r="P2343" s="494"/>
      <c r="Q2343" s="492"/>
      <c r="R2343" s="492"/>
      <c r="S2343" s="699" t="s">
        <v>5259</v>
      </c>
      <c r="T2343" s="102">
        <f t="shared" si="1727"/>
        <v>0</v>
      </c>
      <c r="U2343" s="78" t="str">
        <f>IF(NOT(ISNUMBER(G2343)), "", VLOOKUP(A2343,'Discount Lookup'!D:E,2,FALSE)*G2343)</f>
        <v/>
      </c>
      <c r="V2343" s="78" t="str">
        <f>IF(NOT(ISNUMBER(G2343)), "", VLOOKUP(A2343,'Discount Lookup'!G:H,2,FALSE)*G2343)</f>
        <v/>
      </c>
      <c r="W2343" s="102">
        <f t="shared" si="1728"/>
        <v>0</v>
      </c>
      <c r="X2343" s="102">
        <f t="shared" si="1729"/>
        <v>0</v>
      </c>
      <c r="Y2343" s="120" t="b">
        <f t="shared" si="1730"/>
        <v>0</v>
      </c>
      <c r="Z2343" s="117">
        <f t="shared" si="1731"/>
        <v>0</v>
      </c>
      <c r="AA2343" s="118"/>
      <c r="AB2343" s="118" t="str">
        <f t="shared" si="1732"/>
        <v/>
      </c>
      <c r="AC2343" s="712" t="str">
        <f>IF(AE2343="T2G","no charge",IF(AND(OR(PlanterYesMe="No",PlanterYesMe="N",PlanterYesMe="me"),H2343=""),"",IF(H2343="credit","NO install",IF(AND(K2343="",AE2343="me"),"EACH row",IF(AND(K2343="images",AE2343="me"),"EACH row",IF(D2343="","",IF(H2343="credit","",IF(AE2343="free","re-planting",IF(AE2343="me","   not ELP, by",IF(AND(OR(PlanterYesMe="Yes",PlanterYesMe="Y"),G2343&gt;0),(VLOOKUP(A2343,'Discount Lookup'!J:K,2)*G2343*(1-PlanterDiscount)*(1+PlanterDifficultyPercentage)),IF(AE2343="ELP",(VLOOKUP(A2343,'Discount Lookup'!J:K,2)*G2343*(1-PlanterDiscount)*(1+PlanterDifficultyPercentage)),IF(AE2343="free","re-planting",IF(G2343=0,"",IF(PlanterYesMe="",IF(AE2343="me","   not ELP, by",IF(AE2343="",IF(G2343&gt;0,(VLOOKUP(A2343,'Discount Lookup'!J:K,2)*G2343*(1-PlanterDiscount)*(1+PlanterDifficultyPercentage)),""),"")),"   not ELP, by"))))))))))))))</f>
        <v/>
      </c>
      <c r="AD2343" s="712"/>
      <c r="AE2343" s="513" t="str">
        <f t="shared" si="1733"/>
        <v/>
      </c>
      <c r="AF2343" s="713" t="str">
        <f t="shared" si="1734"/>
        <v/>
      </c>
      <c r="AG2343" s="713"/>
      <c r="AH2343" s="713"/>
      <c r="AI2343" s="112">
        <f>IF(H2343="credit",0,IF(AE2343="free",0,IF(AE2343="me",0,IF(G2343&gt;0,(VLOOKUP(A2343,'Discount Lookup'!J:K,2)*G2343),0))))</f>
        <v>0</v>
      </c>
      <c r="AJ2343" s="107" t="str">
        <f t="shared" ca="1" si="1735"/>
        <v/>
      </c>
      <c r="AK2343" s="714" t="str">
        <f t="shared" si="1736"/>
        <v/>
      </c>
      <c r="AL2343" s="714"/>
      <c r="AM2343" s="114" t="str">
        <f t="shared" si="1737"/>
        <v/>
      </c>
      <c r="AN2343" s="115"/>
      <c r="AO2343" s="116"/>
      <c r="AP2343" s="116"/>
      <c r="AQ2343" s="116"/>
      <c r="AR2343" s="116"/>
      <c r="AS2343" s="116"/>
      <c r="AT2343" s="116"/>
      <c r="AU2343" s="116"/>
      <c r="AV2343" s="78"/>
      <c r="AW2343" s="102"/>
      <c r="AX2343" s="78"/>
      <c r="AY2343" s="78"/>
      <c r="AZ2343" s="78"/>
      <c r="BA2343" s="78"/>
      <c r="BB2343" s="78"/>
      <c r="BC2343" s="78"/>
      <c r="BD2343" s="78"/>
      <c r="BE2343" s="465"/>
      <c r="BF2343" s="165" t="str">
        <f t="shared" si="1738"/>
        <v>https://www.google.com/search?tbm=isch&amp;q=moist%20sites%F0%9F%92%A7OK%2C%20Moonbeam%20has%20luminous%20Yellow%20star-shaped%20blooms%20that%20look%20great%20against%20the%20Dark%20Green%20aromatic%20foliage%20</v>
      </c>
      <c r="BG2343" s="165" t="str">
        <f t="shared" si="1739"/>
        <v>m</v>
      </c>
      <c r="BH2343" s="65"/>
      <c r="BI2343" s="65"/>
      <c r="BJ2343" s="65"/>
      <c r="BK2343" s="65"/>
      <c r="BL2343" s="99"/>
      <c r="BM2343" s="99"/>
      <c r="BN2343" s="99"/>
    </row>
    <row r="2344" spans="1:66" s="51" customFormat="1" ht="18" x14ac:dyDescent="0.25">
      <c r="A2344" s="507" t="s">
        <v>3039</v>
      </c>
      <c r="B2344" s="470"/>
      <c r="C2344" s="706"/>
      <c r="D2344" s="471" t="s">
        <v>3040</v>
      </c>
      <c r="E2344" s="472"/>
      <c r="F2344" s="472"/>
      <c r="G2344" s="472"/>
      <c r="H2344" s="622" t="s">
        <v>1270</v>
      </c>
      <c r="I2344" s="473" t="s">
        <v>431</v>
      </c>
      <c r="J2344" s="472"/>
      <c r="K2344" s="472"/>
      <c r="L2344" s="561"/>
      <c r="M2344" s="703" t="s">
        <v>5260</v>
      </c>
      <c r="N2344" s="692" t="str">
        <f>IF(AND(ISTEXT($A2344), ISERROR($A2344+0)), HYPERLINK($BF2344, "Images"), "")</f>
        <v>Images</v>
      </c>
      <c r="O2344" s="694" t="s">
        <v>5244</v>
      </c>
      <c r="P2344" s="475"/>
      <c r="Q2344" s="476"/>
      <c r="R2344" s="476"/>
      <c r="S2344" s="477" t="s">
        <v>294</v>
      </c>
      <c r="T2344" s="102">
        <f t="shared" si="1727"/>
        <v>0</v>
      </c>
      <c r="U2344" s="78" t="str">
        <f>IF(NOT(ISNUMBER(G2344)), "", VLOOKUP(A2344,'Discount Lookup'!D:E,2,FALSE)*G2344)</f>
        <v/>
      </c>
      <c r="V2344" s="78" t="str">
        <f>IF(NOT(ISNUMBER(G2344)), "", VLOOKUP(A2344,'Discount Lookup'!G:H,2,FALSE)*G2344)</f>
        <v/>
      </c>
      <c r="W2344" s="102">
        <f t="shared" si="1728"/>
        <v>0</v>
      </c>
      <c r="X2344" s="102" t="str">
        <f t="shared" si="1729"/>
        <v>Dark Green foliage</v>
      </c>
      <c r="Y2344" s="120" t="b">
        <f t="shared" si="1730"/>
        <v>0</v>
      </c>
      <c r="Z2344" s="117">
        <f t="shared" si="1731"/>
        <v>0</v>
      </c>
      <c r="AA2344" s="118"/>
      <c r="AB2344" s="118" t="str">
        <f t="shared" si="1732"/>
        <v/>
      </c>
      <c r="AC2344" s="712" t="str">
        <f>IF(AE2344="T2G","no charge",IF(AND(OR(PlanterYesMe="No",PlanterYesMe="N",PlanterYesMe="me"),H2344=""),"",IF(H2344="credit","NO install",IF(AND(K2344="",AE2344="me"),"EACH row",IF(AND(K2344="images",AE2344="me"),"EACH row",IF(D2344="","",IF(H2344="credit","",IF(AE2344="free","re-planting",IF(AE2344="me","   not ELP, by",IF(AND(OR(PlanterYesMe="Yes",PlanterYesMe="Y"),G2344&gt;0),(VLOOKUP(A2344,'Discount Lookup'!J:K,2)*G2344*(1-PlanterDiscount)*(1+PlanterDifficultyPercentage)),IF(AE2344="ELP",(VLOOKUP(A2344,'Discount Lookup'!J:K,2)*G2344*(1-PlanterDiscount)*(1+PlanterDifficultyPercentage)),IF(AE2344="free","re-planting",IF(G2344=0,"",IF(PlanterYesMe="",IF(AE2344="me","   not ELP, by",IF(AE2344="",IF(G2344&gt;0,(VLOOKUP(A2344,'Discount Lookup'!J:K,2)*G2344*(1-PlanterDiscount)*(1+PlanterDifficultyPercentage)),""),"")),"   not ELP, by"))))))))))))))</f>
        <v/>
      </c>
      <c r="AD2344" s="712"/>
      <c r="AE2344" s="513" t="str">
        <f t="shared" si="1733"/>
        <v/>
      </c>
      <c r="AF2344" s="713" t="str">
        <f t="shared" si="1734"/>
        <v/>
      </c>
      <c r="AG2344" s="713"/>
      <c r="AH2344" s="713"/>
      <c r="AI2344" s="112">
        <f>IF(H2344="credit",0,IF(AE2344="free",0,IF(AE2344="me",0,IF(G2344&gt;0,(VLOOKUP(A2344,'Discount Lookup'!J:K,2)*G2344),0))))</f>
        <v>0</v>
      </c>
      <c r="AJ2344" s="107" t="str">
        <f t="shared" ca="1" si="1735"/>
        <v/>
      </c>
      <c r="AK2344" s="714" t="str">
        <f t="shared" si="1736"/>
        <v/>
      </c>
      <c r="AL2344" s="714"/>
      <c r="AM2344" s="114" t="str">
        <f t="shared" si="1737"/>
        <v/>
      </c>
      <c r="AN2344" s="115"/>
      <c r="AO2344" s="116"/>
      <c r="AP2344" s="116"/>
      <c r="AQ2344" s="116"/>
      <c r="AR2344" s="116"/>
      <c r="AS2344" s="116"/>
      <c r="AT2344" s="116"/>
      <c r="AU2344" s="116"/>
      <c r="AV2344" s="78"/>
      <c r="AW2344" s="102"/>
      <c r="AX2344" s="78"/>
      <c r="AY2344" s="78"/>
      <c r="AZ2344" s="78"/>
      <c r="BA2344" s="78"/>
      <c r="BB2344" s="78"/>
      <c r="BC2344" s="78"/>
      <c r="BD2344" s="78"/>
      <c r="BE2344" s="465"/>
      <c r="BF2344" s="165" t="str">
        <f t="shared" si="1738"/>
        <v>https://www.google.com/search?tbm=isch&amp;q=Illicium%20%27NCIH1%27%20PP%2329939%20Scorpio%20Anise%20Tree</v>
      </c>
      <c r="BG2344" s="165" t="str">
        <f t="shared" si="1739"/>
        <v>I</v>
      </c>
      <c r="BH2344" s="65"/>
      <c r="BI2344" s="65"/>
      <c r="BJ2344" s="65"/>
      <c r="BK2344" s="65"/>
      <c r="BL2344" s="99"/>
      <c r="BM2344" s="99"/>
      <c r="BN2344" s="99"/>
    </row>
    <row r="2345" spans="1:66" s="51" customFormat="1" ht="15.75" x14ac:dyDescent="0.25">
      <c r="A2345" s="478">
        <v>3</v>
      </c>
      <c r="B2345" s="479" t="s">
        <v>291</v>
      </c>
      <c r="C2345" s="480" t="s">
        <v>3041</v>
      </c>
      <c r="D2345" s="481" t="s">
        <v>309</v>
      </c>
      <c r="E2345" s="482">
        <v>33.950000000000003</v>
      </c>
      <c r="F2345" s="483" t="s">
        <v>292</v>
      </c>
      <c r="G2345" s="484">
        <v>0</v>
      </c>
      <c r="H2345" s="688" t="str">
        <f>IF(G2345=0,"",IF(F2345="Buy",IF(G2345=1,"plant","plants"),IF(F2345&gt;0.01,"warranty","Error")))</f>
        <v/>
      </c>
      <c r="I2345" s="485">
        <f>IF(H2345="free",0,IF(H2345="credit",((E2345*(F2345))*G2345*-1),IF(F2345="Buy",(E2345*G2345),((E2345*(1-F2345))*G2345))))</f>
        <v>0</v>
      </c>
      <c r="J2345" s="485">
        <f>IF(H2345="warranty",0,(I2345*(_xlfn.SINGLE(SalesTaxPercentage))))</f>
        <v>0</v>
      </c>
      <c r="K2345" s="715">
        <f t="shared" ref="K2345" si="1755">I2345+J2345</f>
        <v>0</v>
      </c>
      <c r="L2345" s="715"/>
      <c r="M2345" s="689" t="str">
        <f ca="1">IF(AND(G2345&gt;0,E2345=0),"WARNING - no PRICE inserted",IF(H2345="free","FREE ~ no charge this plant",IF(H2345="credit",CONCATENATE("-$",ROUND(K2345*(1-_xlfn.SINGLE(T2GDiscount))*-1,2)," CREDIT after discount"),IF(_xlfn.SINGLE(T2GDiscount)=0,"",IF(G2345=0,"",IF(F2345="Buy",CONCATENATE("$",ROUND(K2345*(1-_xlfn.SINGLE(T2GDiscount)),2)," with ",(_xlfn.SINGLE(T2GDiscount)*100),"% discount"),CONCATENATE("$",ROUND(K2345*(1-_xlfn.SINGLE(T2GDiscount)),2)," with ",((_xlfn.SINGLE(T2GDiscount)*100+F2345*100)-(_xlfn.SINGLE(T2GDiscount)*100*F2345)),IF(F2345&gt;0,"% discounts",IF(_xlfn.SINGLE(NoWarrantyDiscount)&gt;0,"% discounts","% discount")))))))))</f>
        <v/>
      </c>
      <c r="N2345" s="690"/>
      <c r="O2345" s="486"/>
      <c r="P2345" s="486"/>
      <c r="Q2345" s="486"/>
      <c r="R2345" s="486"/>
      <c r="S2345" s="486"/>
      <c r="T2345" s="102">
        <f t="shared" si="1727"/>
        <v>0</v>
      </c>
      <c r="U2345" s="78">
        <f>IF(NOT(ISNUMBER(G2345)), "", VLOOKUP(A2345,'Discount Lookup'!D:E,2,FALSE)*G2345)</f>
        <v>0</v>
      </c>
      <c r="V2345" s="78">
        <f>IF(NOT(ISNUMBER(G2345)), "", VLOOKUP(A2345,'Discount Lookup'!G:H,2,FALSE)*G2345)</f>
        <v>0</v>
      </c>
      <c r="W2345" s="102">
        <f t="shared" si="1728"/>
        <v>0</v>
      </c>
      <c r="X2345" s="102">
        <f t="shared" si="1729"/>
        <v>0</v>
      </c>
      <c r="Y2345" s="120" t="b">
        <f t="shared" si="1730"/>
        <v>0</v>
      </c>
      <c r="Z2345" s="117">
        <f t="shared" si="1731"/>
        <v>0</v>
      </c>
      <c r="AA2345" s="118"/>
      <c r="AB2345" s="118" t="str">
        <f t="shared" si="1732"/>
        <v/>
      </c>
      <c r="AC2345" s="712" t="str">
        <f>IF(AE2345="T2G","no charge",IF(AND(OR(PlanterYesMe="No",PlanterYesMe="N",PlanterYesMe="me"),H2345=""),"",IF(H2345="credit","NO install",IF(AND(K2345="",AE2345="me"),"EACH row",IF(AND(K2345="images",AE2345="me"),"EACH row",IF(D2345="","",IF(H2345="credit","",IF(AE2345="free","re-planting",IF(AE2345="me","   not ELP, by",IF(AND(OR(PlanterYesMe="Yes",PlanterYesMe="Y"),G2345&gt;0),(VLOOKUP(A2345,'Discount Lookup'!J:K,2)*G2345*(1-PlanterDiscount)*(1+PlanterDifficultyPercentage)),IF(AE2345="ELP",(VLOOKUP(A2345,'Discount Lookup'!J:K,2)*G2345*(1-PlanterDiscount)*(1+PlanterDifficultyPercentage)),IF(AE2345="free","re-planting",IF(G2345=0,"",IF(PlanterYesMe="",IF(AE2345="me","   not ELP, by",IF(AE2345="",IF(G2345&gt;0,(VLOOKUP(A2345,'Discount Lookup'!J:K,2)*G2345*(1-PlanterDiscount)*(1+PlanterDifficultyPercentage)),""),"")),"   not ELP, by"))))))))))))))</f>
        <v/>
      </c>
      <c r="AD2345" s="712"/>
      <c r="AE2345" s="513" t="str">
        <f t="shared" si="1733"/>
        <v/>
      </c>
      <c r="AF2345" s="713" t="str">
        <f t="shared" si="1734"/>
        <v/>
      </c>
      <c r="AG2345" s="713"/>
      <c r="AH2345" s="713"/>
      <c r="AI2345" s="112">
        <f>IF(H2345="credit",0,IF(AE2345="free",0,IF(AE2345="me",0,IF(G2345&gt;0,(VLOOKUP(A2345,'Discount Lookup'!J:K,2)*G2345),0))))</f>
        <v>0</v>
      </c>
      <c r="AJ2345" s="107" t="str">
        <f t="shared" ca="1" si="1735"/>
        <v/>
      </c>
      <c r="AK2345" s="714" t="str">
        <f t="shared" si="1736"/>
        <v/>
      </c>
      <c r="AL2345" s="714"/>
      <c r="AM2345" s="114" t="str">
        <f t="shared" si="1737"/>
        <v/>
      </c>
      <c r="AN2345" s="115"/>
      <c r="AO2345" s="116"/>
      <c r="AP2345" s="116"/>
      <c r="AQ2345" s="116"/>
      <c r="AR2345" s="116"/>
      <c r="AS2345" s="116"/>
      <c r="AT2345" s="116"/>
      <c r="AU2345" s="116"/>
      <c r="AV2345" s="78"/>
      <c r="AW2345" s="102"/>
      <c r="AX2345" s="78"/>
      <c r="AY2345" s="78"/>
      <c r="AZ2345" s="78"/>
      <c r="BA2345" s="78"/>
      <c r="BB2345" s="78"/>
      <c r="BC2345" s="78"/>
      <c r="BD2345" s="78"/>
      <c r="BE2345" s="465"/>
      <c r="BF2345" s="165" t="str">
        <f t="shared" si="1738"/>
        <v>https://www.google.com/search?tbm=isch&amp;q=3%20G3</v>
      </c>
      <c r="BG2345" s="165" t="str">
        <f t="shared" si="1739"/>
        <v>I</v>
      </c>
      <c r="BH2345" s="65"/>
      <c r="BI2345" s="65"/>
      <c r="BJ2345" s="65"/>
      <c r="BK2345" s="65"/>
      <c r="BL2345" s="99"/>
      <c r="BM2345" s="99"/>
      <c r="BN2345" s="99"/>
    </row>
    <row r="2346" spans="1:66" s="51" customFormat="1" ht="15.75" x14ac:dyDescent="0.25">
      <c r="A2346" s="478">
        <v>7</v>
      </c>
      <c r="B2346" s="479" t="s">
        <v>291</v>
      </c>
      <c r="C2346" s="480" t="s">
        <v>1561</v>
      </c>
      <c r="D2346" s="481" t="s">
        <v>309</v>
      </c>
      <c r="E2346" s="482">
        <v>68.95</v>
      </c>
      <c r="F2346" s="483" t="s">
        <v>292</v>
      </c>
      <c r="G2346" s="484">
        <v>0</v>
      </c>
      <c r="H2346" s="688" t="str">
        <f>IF(G2346=0,"",IF(F2346="Buy",IF(G2346=1,"plant","plants"),IF(F2346&gt;0.01,"warranty","Error")))</f>
        <v/>
      </c>
      <c r="I2346" s="485">
        <f>IF(H2346="free",0,IF(H2346="credit",((E2346*(F2346))*G2346*-1),IF(F2346="Buy",(E2346*G2346),((E2346*(1-F2346))*G2346))))</f>
        <v>0</v>
      </c>
      <c r="J2346" s="485">
        <f>IF(H2346="warranty",0,(I2346*(_xlfn.SINGLE(SalesTaxPercentage))))</f>
        <v>0</v>
      </c>
      <c r="K2346" s="715">
        <f t="shared" ref="K2346" si="1756">I2346+J2346</f>
        <v>0</v>
      </c>
      <c r="L2346" s="715"/>
      <c r="M2346" s="689" t="str">
        <f ca="1">IF(AND(G2346&gt;0,E2346=0),"WARNING - no PRICE inserted",IF(H2346="free","FREE ~ no charge this plant",IF(H2346="credit",CONCATENATE("-$",ROUND(K2346*(1-_xlfn.SINGLE(T2GDiscount))*-1,2)," CREDIT after discount"),IF(_xlfn.SINGLE(T2GDiscount)=0,"",IF(G2346=0,"",IF(F2346="Buy",CONCATENATE("$",ROUND(K2346*(1-_xlfn.SINGLE(T2GDiscount)),2)," with ",(_xlfn.SINGLE(T2GDiscount)*100),"% discount"),CONCATENATE("$",ROUND(K2346*(1-_xlfn.SINGLE(T2GDiscount)),2)," with ",((_xlfn.SINGLE(T2GDiscount)*100+F2346*100)-(_xlfn.SINGLE(T2GDiscount)*100*F2346)),IF(F2346&gt;0,"% discounts",IF(_xlfn.SINGLE(NoWarrantyDiscount)&gt;0,"% discounts","% discount")))))))))</f>
        <v/>
      </c>
      <c r="N2346" s="690"/>
      <c r="O2346" s="486"/>
      <c r="P2346" s="486"/>
      <c r="Q2346" s="486"/>
      <c r="R2346" s="486"/>
      <c r="S2346" s="486"/>
      <c r="T2346" s="102">
        <f t="shared" si="1727"/>
        <v>0</v>
      </c>
      <c r="U2346" s="78">
        <f>IF(NOT(ISNUMBER(G2346)), "", VLOOKUP(A2346,'Discount Lookup'!D:E,2,FALSE)*G2346)</f>
        <v>0</v>
      </c>
      <c r="V2346" s="78">
        <f>IF(NOT(ISNUMBER(G2346)), "", VLOOKUP(A2346,'Discount Lookup'!G:H,2,FALSE)*G2346)</f>
        <v>0</v>
      </c>
      <c r="W2346" s="102">
        <f t="shared" si="1728"/>
        <v>0</v>
      </c>
      <c r="X2346" s="102">
        <f t="shared" si="1729"/>
        <v>0</v>
      </c>
      <c r="Y2346" s="120" t="b">
        <f t="shared" si="1730"/>
        <v>0</v>
      </c>
      <c r="Z2346" s="117">
        <f t="shared" si="1731"/>
        <v>0</v>
      </c>
      <c r="AA2346" s="118"/>
      <c r="AB2346" s="118" t="str">
        <f t="shared" si="1732"/>
        <v/>
      </c>
      <c r="AC2346" s="712" t="str">
        <f>IF(AE2346="T2G","no charge",IF(AND(OR(PlanterYesMe="No",PlanterYesMe="N",PlanterYesMe="me"),H2346=""),"",IF(H2346="credit","NO install",IF(AND(K2346="",AE2346="me"),"EACH row",IF(AND(K2346="images",AE2346="me"),"EACH row",IF(D2346="","",IF(H2346="credit","",IF(AE2346="free","re-planting",IF(AE2346="me","   not ELP, by",IF(AND(OR(PlanterYesMe="Yes",PlanterYesMe="Y"),G2346&gt;0),(VLOOKUP(A2346,'Discount Lookup'!J:K,2)*G2346*(1-PlanterDiscount)*(1+PlanterDifficultyPercentage)),IF(AE2346="ELP",(VLOOKUP(A2346,'Discount Lookup'!J:K,2)*G2346*(1-PlanterDiscount)*(1+PlanterDifficultyPercentage)),IF(AE2346="free","re-planting",IF(G2346=0,"",IF(PlanterYesMe="",IF(AE2346="me","   not ELP, by",IF(AE2346="",IF(G2346&gt;0,(VLOOKUP(A2346,'Discount Lookup'!J:K,2)*G2346*(1-PlanterDiscount)*(1+PlanterDifficultyPercentage)),""),"")),"   not ELP, by"))))))))))))))</f>
        <v/>
      </c>
      <c r="AD2346" s="712"/>
      <c r="AE2346" s="513" t="str">
        <f t="shared" si="1733"/>
        <v/>
      </c>
      <c r="AF2346" s="713" t="str">
        <f t="shared" si="1734"/>
        <v/>
      </c>
      <c r="AG2346" s="713"/>
      <c r="AH2346" s="713"/>
      <c r="AI2346" s="112">
        <f>IF(H2346="credit",0,IF(AE2346="free",0,IF(AE2346="me",0,IF(G2346&gt;0,(VLOOKUP(A2346,'Discount Lookup'!J:K,2)*G2346),0))))</f>
        <v>0</v>
      </c>
      <c r="AJ2346" s="107" t="str">
        <f t="shared" ca="1" si="1735"/>
        <v/>
      </c>
      <c r="AK2346" s="714" t="str">
        <f t="shared" si="1736"/>
        <v/>
      </c>
      <c r="AL2346" s="714"/>
      <c r="AM2346" s="114" t="str">
        <f t="shared" si="1737"/>
        <v/>
      </c>
      <c r="AN2346" s="115"/>
      <c r="AO2346" s="116"/>
      <c r="AP2346" s="116"/>
      <c r="AQ2346" s="116"/>
      <c r="AR2346" s="116"/>
      <c r="AS2346" s="116"/>
      <c r="AT2346" s="116"/>
      <c r="AU2346" s="116"/>
      <c r="AV2346" s="78"/>
      <c r="AW2346" s="102"/>
      <c r="AX2346" s="78"/>
      <c r="AY2346" s="78"/>
      <c r="AZ2346" s="78"/>
      <c r="BA2346" s="78"/>
      <c r="BB2346" s="78"/>
      <c r="BC2346" s="78"/>
      <c r="BD2346" s="78"/>
      <c r="BE2346" s="465"/>
      <c r="BF2346" s="165" t="str">
        <f t="shared" si="1738"/>
        <v>https://www.google.com/search?tbm=isch&amp;q=7%20G3</v>
      </c>
      <c r="BG2346" s="165" t="str">
        <f t="shared" si="1739"/>
        <v>I</v>
      </c>
      <c r="BH2346" s="65"/>
      <c r="BI2346" s="65"/>
      <c r="BJ2346" s="65"/>
      <c r="BK2346" s="65"/>
      <c r="BL2346" s="99"/>
      <c r="BM2346" s="99"/>
      <c r="BN2346" s="99"/>
    </row>
    <row r="2347" spans="1:66" s="51" customFormat="1" ht="16.5" thickBot="1" x14ac:dyDescent="0.3">
      <c r="A2347" s="705" t="s">
        <v>5462</v>
      </c>
      <c r="B2347" s="487"/>
      <c r="C2347" s="707"/>
      <c r="D2347" s="487"/>
      <c r="E2347" s="487"/>
      <c r="F2347" s="488"/>
      <c r="G2347" s="489"/>
      <c r="H2347" s="487"/>
      <c r="I2347" s="490"/>
      <c r="J2347" s="490"/>
      <c r="K2347" s="491"/>
      <c r="L2347" s="547"/>
      <c r="M2347" s="528"/>
      <c r="N2347" s="492"/>
      <c r="O2347" s="493"/>
      <c r="P2347" s="494"/>
      <c r="Q2347" s="492"/>
      <c r="R2347" s="492"/>
      <c r="S2347" s="699" t="s">
        <v>5259</v>
      </c>
      <c r="T2347" s="102">
        <f t="shared" si="1727"/>
        <v>0</v>
      </c>
      <c r="U2347" s="78" t="str">
        <f>IF(NOT(ISNUMBER(G2347)), "", VLOOKUP(A2347,'Discount Lookup'!D:E,2,FALSE)*G2347)</f>
        <v/>
      </c>
      <c r="V2347" s="78" t="str">
        <f>IF(NOT(ISNUMBER(G2347)), "", VLOOKUP(A2347,'Discount Lookup'!G:H,2,FALSE)*G2347)</f>
        <v/>
      </c>
      <c r="W2347" s="102">
        <f t="shared" si="1728"/>
        <v>0</v>
      </c>
      <c r="X2347" s="102">
        <f t="shared" si="1729"/>
        <v>0</v>
      </c>
      <c r="Y2347" s="120" t="b">
        <f t="shared" si="1730"/>
        <v>0</v>
      </c>
      <c r="Z2347" s="117">
        <f t="shared" si="1731"/>
        <v>0</v>
      </c>
      <c r="AA2347" s="118"/>
      <c r="AB2347" s="118" t="str">
        <f t="shared" si="1732"/>
        <v/>
      </c>
      <c r="AC2347" s="712" t="str">
        <f>IF(AE2347="T2G","no charge",IF(AND(OR(PlanterYesMe="No",PlanterYesMe="N",PlanterYesMe="me"),H2347=""),"",IF(H2347="credit","NO install",IF(AND(K2347="",AE2347="me"),"EACH row",IF(AND(K2347="images",AE2347="me"),"EACH row",IF(D2347="","",IF(H2347="credit","",IF(AE2347="free","re-planting",IF(AE2347="me","   not ELP, by",IF(AND(OR(PlanterYesMe="Yes",PlanterYesMe="Y"),G2347&gt;0),(VLOOKUP(A2347,'Discount Lookup'!J:K,2)*G2347*(1-PlanterDiscount)*(1+PlanterDifficultyPercentage)),IF(AE2347="ELP",(VLOOKUP(A2347,'Discount Lookup'!J:K,2)*G2347*(1-PlanterDiscount)*(1+PlanterDifficultyPercentage)),IF(AE2347="free","re-planting",IF(G2347=0,"",IF(PlanterYesMe="",IF(AE2347="me","   not ELP, by",IF(AE2347="",IF(G2347&gt;0,(VLOOKUP(A2347,'Discount Lookup'!J:K,2)*G2347*(1-PlanterDiscount)*(1+PlanterDifficultyPercentage)),""),"")),"   not ELP, by"))))))))))))))</f>
        <v/>
      </c>
      <c r="AD2347" s="712"/>
      <c r="AE2347" s="513" t="str">
        <f t="shared" si="1733"/>
        <v/>
      </c>
      <c r="AF2347" s="713" t="str">
        <f t="shared" si="1734"/>
        <v/>
      </c>
      <c r="AG2347" s="713"/>
      <c r="AH2347" s="713"/>
      <c r="AI2347" s="112">
        <f>IF(H2347="credit",0,IF(AE2347="free",0,IF(AE2347="me",0,IF(G2347&gt;0,(VLOOKUP(A2347,'Discount Lookup'!J:K,2)*G2347),0))))</f>
        <v>0</v>
      </c>
      <c r="AJ2347" s="107" t="str">
        <f t="shared" ca="1" si="1735"/>
        <v/>
      </c>
      <c r="AK2347" s="714" t="str">
        <f t="shared" si="1736"/>
        <v/>
      </c>
      <c r="AL2347" s="714"/>
      <c r="AM2347" s="114" t="str">
        <f t="shared" si="1737"/>
        <v/>
      </c>
      <c r="AN2347" s="115"/>
      <c r="AO2347" s="116"/>
      <c r="AP2347" s="116"/>
      <c r="AQ2347" s="116"/>
      <c r="AR2347" s="116"/>
      <c r="AS2347" s="116"/>
      <c r="AT2347" s="116"/>
      <c r="AU2347" s="116"/>
      <c r="AV2347" s="78"/>
      <c r="AW2347" s="102"/>
      <c r="AX2347" s="78"/>
      <c r="AY2347" s="78"/>
      <c r="AZ2347" s="78"/>
      <c r="BA2347" s="78"/>
      <c r="BB2347" s="78"/>
      <c r="BC2347" s="78"/>
      <c r="BD2347" s="78"/>
      <c r="BE2347" s="465"/>
      <c r="BF2347" s="165" t="str">
        <f t="shared" si="1738"/>
        <v>https://www.google.com/search?tbm=isch&amp;q=moist%20sites%F0%9F%92%A7OK%2C%20Scorpio%27s%20Deep%20Reddish-Pink%20new%20growth%20contrasts%20nicely%20with%20its%20mature%20Dark%20Green%20foliage.%20Red%2C%20star-shaped%20blooms%20</v>
      </c>
      <c r="BG2347" s="165" t="str">
        <f t="shared" si="1739"/>
        <v>m</v>
      </c>
      <c r="BH2347" s="65"/>
      <c r="BI2347" s="65"/>
      <c r="BJ2347" s="65"/>
      <c r="BK2347" s="65"/>
      <c r="BL2347" s="99"/>
      <c r="BM2347" s="99"/>
      <c r="BN2347" s="99"/>
    </row>
    <row r="2348" spans="1:66" s="51" customFormat="1" ht="18" x14ac:dyDescent="0.25">
      <c r="A2348" s="507" t="s">
        <v>3042</v>
      </c>
      <c r="B2348" s="470"/>
      <c r="C2348" s="706"/>
      <c r="D2348" s="471" t="s">
        <v>5718</v>
      </c>
      <c r="E2348" s="472"/>
      <c r="F2348" s="472"/>
      <c r="G2348" s="472"/>
      <c r="H2348" s="622" t="s">
        <v>1471</v>
      </c>
      <c r="I2348" s="473" t="s">
        <v>431</v>
      </c>
      <c r="J2348" s="472"/>
      <c r="K2348" s="472"/>
      <c r="L2348" s="561"/>
      <c r="M2348" s="703" t="s">
        <v>5260</v>
      </c>
      <c r="N2348" s="692" t="str">
        <f>IF(AND(ISTEXT($A2348), ISERROR($A2348+0)), HYPERLINK($BF2348, "Images"), "")</f>
        <v>Images</v>
      </c>
      <c r="O2348" s="694" t="s">
        <v>5244</v>
      </c>
      <c r="P2348" s="475"/>
      <c r="Q2348" s="476"/>
      <c r="R2348" s="476"/>
      <c r="S2348" s="477" t="s">
        <v>294</v>
      </c>
      <c r="T2348" s="102">
        <f t="shared" si="1727"/>
        <v>0</v>
      </c>
      <c r="U2348" s="78" t="str">
        <f>IF(NOT(ISNUMBER(G2348)), "", VLOOKUP(A2348,'Discount Lookup'!D:E,2,FALSE)*G2348)</f>
        <v/>
      </c>
      <c r="V2348" s="78" t="str">
        <f>IF(NOT(ISNUMBER(G2348)), "", VLOOKUP(A2348,'Discount Lookup'!G:H,2,FALSE)*G2348)</f>
        <v/>
      </c>
      <c r="W2348" s="102">
        <f t="shared" si="1728"/>
        <v>0</v>
      </c>
      <c r="X2348" s="102" t="str">
        <f t="shared" si="1729"/>
        <v>Dark Green foliage</v>
      </c>
      <c r="Y2348" s="120" t="b">
        <f t="shared" si="1730"/>
        <v>0</v>
      </c>
      <c r="Z2348" s="117">
        <f t="shared" si="1731"/>
        <v>0</v>
      </c>
      <c r="AA2348" s="118"/>
      <c r="AB2348" s="118" t="str">
        <f t="shared" si="1732"/>
        <v/>
      </c>
      <c r="AC2348" s="712" t="str">
        <f>IF(AE2348="T2G","no charge",IF(AND(OR(PlanterYesMe="No",PlanterYesMe="N",PlanterYesMe="me"),H2348=""),"",IF(H2348="credit","NO install",IF(AND(K2348="",AE2348="me"),"EACH row",IF(AND(K2348="images",AE2348="me"),"EACH row",IF(D2348="","",IF(H2348="credit","",IF(AE2348="free","re-planting",IF(AE2348="me","   not ELP, by",IF(AND(OR(PlanterYesMe="Yes",PlanterYesMe="Y"),G2348&gt;0),(VLOOKUP(A2348,'Discount Lookup'!J:K,2)*G2348*(1-PlanterDiscount)*(1+PlanterDifficultyPercentage)),IF(AE2348="ELP",(VLOOKUP(A2348,'Discount Lookup'!J:K,2)*G2348*(1-PlanterDiscount)*(1+PlanterDifficultyPercentage)),IF(AE2348="free","re-planting",IF(G2348=0,"",IF(PlanterYesMe="",IF(AE2348="me","   not ELP, by",IF(AE2348="",IF(G2348&gt;0,(VLOOKUP(A2348,'Discount Lookup'!J:K,2)*G2348*(1-PlanterDiscount)*(1+PlanterDifficultyPercentage)),""),"")),"   not ELP, by"))))))))))))))</f>
        <v/>
      </c>
      <c r="AD2348" s="712"/>
      <c r="AE2348" s="513" t="str">
        <f t="shared" si="1733"/>
        <v/>
      </c>
      <c r="AF2348" s="713" t="str">
        <f t="shared" si="1734"/>
        <v/>
      </c>
      <c r="AG2348" s="713"/>
      <c r="AH2348" s="713"/>
      <c r="AI2348" s="112">
        <f>IF(H2348="credit",0,IF(AE2348="free",0,IF(AE2348="me",0,IF(G2348&gt;0,(VLOOKUP(A2348,'Discount Lookup'!J:K,2)*G2348),0))))</f>
        <v>0</v>
      </c>
      <c r="AJ2348" s="107" t="str">
        <f t="shared" ca="1" si="1735"/>
        <v/>
      </c>
      <c r="AK2348" s="714" t="str">
        <f t="shared" si="1736"/>
        <v/>
      </c>
      <c r="AL2348" s="714"/>
      <c r="AM2348" s="114" t="str">
        <f t="shared" si="1737"/>
        <v/>
      </c>
      <c r="AN2348" s="115"/>
      <c r="AO2348" s="116"/>
      <c r="AP2348" s="116"/>
      <c r="AQ2348" s="116"/>
      <c r="AR2348" s="116"/>
      <c r="AS2348" s="116"/>
      <c r="AT2348" s="116"/>
      <c r="AU2348" s="116"/>
      <c r="AV2348" s="78"/>
      <c r="AW2348" s="102"/>
      <c r="AX2348" s="78"/>
      <c r="AY2348" s="78"/>
      <c r="AZ2348" s="78"/>
      <c r="BA2348" s="78"/>
      <c r="BB2348" s="78"/>
      <c r="BC2348" s="78"/>
      <c r="BD2348" s="78"/>
      <c r="BE2348" s="465"/>
      <c r="BF2348" s="165" t="str">
        <f t="shared" si="1738"/>
        <v>https://www.google.com/search?tbm=isch&amp;q=Illicium%20%27NCIH2%27%20PP%2329938%20Orion%E2%84%A2%20Anise%20Tree</v>
      </c>
      <c r="BG2348" s="165" t="str">
        <f t="shared" si="1739"/>
        <v>I</v>
      </c>
      <c r="BH2348" s="65"/>
      <c r="BI2348" s="65"/>
      <c r="BJ2348" s="65"/>
      <c r="BK2348" s="65"/>
      <c r="BL2348" s="99"/>
      <c r="BM2348" s="99"/>
      <c r="BN2348" s="99"/>
    </row>
    <row r="2349" spans="1:66" s="51" customFormat="1" ht="15.75" x14ac:dyDescent="0.25">
      <c r="A2349" s="478">
        <v>3</v>
      </c>
      <c r="B2349" s="479" t="s">
        <v>291</v>
      </c>
      <c r="C2349" s="480" t="s">
        <v>3043</v>
      </c>
      <c r="D2349" s="481" t="s">
        <v>299</v>
      </c>
      <c r="E2349" s="482">
        <v>35.950000000000003</v>
      </c>
      <c r="F2349" s="483" t="s">
        <v>292</v>
      </c>
      <c r="G2349" s="484">
        <v>0</v>
      </c>
      <c r="H2349" s="688" t="str">
        <f>IF(G2349=0,"",IF(F2349="Buy",IF(G2349=1,"plant","plants"),IF(F2349&gt;0.01,"warranty","Error")))</f>
        <v/>
      </c>
      <c r="I2349" s="485">
        <f>IF(H2349="free",0,IF(H2349="credit",((E2349*(F2349))*G2349*-1),IF(F2349="Buy",(E2349*G2349),((E2349*(1-F2349))*G2349))))</f>
        <v>0</v>
      </c>
      <c r="J2349" s="485">
        <f>IF(H2349="warranty",0,(I2349*(_xlfn.SINGLE(SalesTaxPercentage))))</f>
        <v>0</v>
      </c>
      <c r="K2349" s="715">
        <f t="shared" ref="K2349" si="1757">I2349+J2349</f>
        <v>0</v>
      </c>
      <c r="L2349" s="715"/>
      <c r="M2349" s="689" t="str">
        <f ca="1">IF(AND(G2349&gt;0,E2349=0),"WARNING - no PRICE inserted",IF(H2349="free","FREE ~ no charge this plant",IF(H2349="credit",CONCATENATE("-$",ROUND(K2349*(1-_xlfn.SINGLE(T2GDiscount))*-1,2)," CREDIT after discount"),IF(_xlfn.SINGLE(T2GDiscount)=0,"",IF(G2349=0,"",IF(F2349="Buy",CONCATENATE("$",ROUND(K2349*(1-_xlfn.SINGLE(T2GDiscount)),2)," with ",(_xlfn.SINGLE(T2GDiscount)*100),"% discount"),CONCATENATE("$",ROUND(K2349*(1-_xlfn.SINGLE(T2GDiscount)),2)," with ",((_xlfn.SINGLE(T2GDiscount)*100+F2349*100)-(_xlfn.SINGLE(T2GDiscount)*100*F2349)),IF(F2349&gt;0,"% discounts",IF(_xlfn.SINGLE(NoWarrantyDiscount)&gt;0,"% discounts","% discount")))))))))</f>
        <v/>
      </c>
      <c r="N2349" s="690"/>
      <c r="O2349" s="486"/>
      <c r="P2349" s="486"/>
      <c r="Q2349" s="486"/>
      <c r="R2349" s="486"/>
      <c r="S2349" s="486"/>
      <c r="T2349" s="102">
        <f t="shared" si="1727"/>
        <v>0</v>
      </c>
      <c r="U2349" s="78">
        <f>IF(NOT(ISNUMBER(G2349)), "", VLOOKUP(A2349,'Discount Lookup'!D:E,2,FALSE)*G2349)</f>
        <v>0</v>
      </c>
      <c r="V2349" s="78">
        <f>IF(NOT(ISNUMBER(G2349)), "", VLOOKUP(A2349,'Discount Lookup'!G:H,2,FALSE)*G2349)</f>
        <v>0</v>
      </c>
      <c r="W2349" s="102">
        <f t="shared" si="1728"/>
        <v>0</v>
      </c>
      <c r="X2349" s="102">
        <f t="shared" si="1729"/>
        <v>0</v>
      </c>
      <c r="Y2349" s="120" t="b">
        <f t="shared" si="1730"/>
        <v>0</v>
      </c>
      <c r="Z2349" s="117">
        <f t="shared" si="1731"/>
        <v>0</v>
      </c>
      <c r="AA2349" s="118"/>
      <c r="AB2349" s="118" t="str">
        <f t="shared" si="1732"/>
        <v/>
      </c>
      <c r="AC2349" s="712" t="str">
        <f>IF(AE2349="T2G","no charge",IF(AND(OR(PlanterYesMe="No",PlanterYesMe="N",PlanterYesMe="me"),H2349=""),"",IF(H2349="credit","NO install",IF(AND(K2349="",AE2349="me"),"EACH row",IF(AND(K2349="images",AE2349="me"),"EACH row",IF(D2349="","",IF(H2349="credit","",IF(AE2349="free","re-planting",IF(AE2349="me","   not ELP, by",IF(AND(OR(PlanterYesMe="Yes",PlanterYesMe="Y"),G2349&gt;0),(VLOOKUP(A2349,'Discount Lookup'!J:K,2)*G2349*(1-PlanterDiscount)*(1+PlanterDifficultyPercentage)),IF(AE2349="ELP",(VLOOKUP(A2349,'Discount Lookup'!J:K,2)*G2349*(1-PlanterDiscount)*(1+PlanterDifficultyPercentage)),IF(AE2349="free","re-planting",IF(G2349=0,"",IF(PlanterYesMe="",IF(AE2349="me","   not ELP, by",IF(AE2349="",IF(G2349&gt;0,(VLOOKUP(A2349,'Discount Lookup'!J:K,2)*G2349*(1-PlanterDiscount)*(1+PlanterDifficultyPercentage)),""),"")),"   not ELP, by"))))))))))))))</f>
        <v/>
      </c>
      <c r="AD2349" s="712"/>
      <c r="AE2349" s="513" t="str">
        <f t="shared" si="1733"/>
        <v/>
      </c>
      <c r="AF2349" s="713" t="str">
        <f t="shared" si="1734"/>
        <v/>
      </c>
      <c r="AG2349" s="713"/>
      <c r="AH2349" s="713"/>
      <c r="AI2349" s="112">
        <f>IF(H2349="credit",0,IF(AE2349="free",0,IF(AE2349="me",0,IF(G2349&gt;0,(VLOOKUP(A2349,'Discount Lookup'!J:K,2)*G2349),0))))</f>
        <v>0</v>
      </c>
      <c r="AJ2349" s="107" t="str">
        <f t="shared" ca="1" si="1735"/>
        <v/>
      </c>
      <c r="AK2349" s="714" t="str">
        <f t="shared" si="1736"/>
        <v/>
      </c>
      <c r="AL2349" s="714"/>
      <c r="AM2349" s="114" t="str">
        <f t="shared" si="1737"/>
        <v/>
      </c>
      <c r="AN2349" s="115"/>
      <c r="AO2349" s="116"/>
      <c r="AP2349" s="116"/>
      <c r="AQ2349" s="116"/>
      <c r="AR2349" s="116"/>
      <c r="AS2349" s="116"/>
      <c r="AT2349" s="116"/>
      <c r="AU2349" s="116"/>
      <c r="AV2349" s="78"/>
      <c r="AW2349" s="102"/>
      <c r="AX2349" s="78"/>
      <c r="AY2349" s="78"/>
      <c r="AZ2349" s="78"/>
      <c r="BA2349" s="78"/>
      <c r="BB2349" s="78"/>
      <c r="BC2349" s="78"/>
      <c r="BD2349" s="78"/>
      <c r="BE2349" s="465"/>
      <c r="BF2349" s="165" t="str">
        <f t="shared" si="1738"/>
        <v>https://www.google.com/search?tbm=isch&amp;q=3%20G4</v>
      </c>
      <c r="BG2349" s="165" t="str">
        <f t="shared" si="1739"/>
        <v>I</v>
      </c>
      <c r="BH2349" s="65"/>
      <c r="BI2349" s="65"/>
      <c r="BJ2349" s="65"/>
      <c r="BK2349" s="65"/>
      <c r="BL2349" s="99"/>
      <c r="BM2349" s="99"/>
      <c r="BN2349" s="99"/>
    </row>
    <row r="2350" spans="1:66" s="51" customFormat="1" ht="15.75" x14ac:dyDescent="0.25">
      <c r="A2350" s="478">
        <v>3</v>
      </c>
      <c r="B2350" s="479" t="s">
        <v>291</v>
      </c>
      <c r="C2350" s="480" t="s">
        <v>4623</v>
      </c>
      <c r="D2350" s="481" t="s">
        <v>311</v>
      </c>
      <c r="E2350" s="482">
        <v>36.950000000000003</v>
      </c>
      <c r="F2350" s="483" t="s">
        <v>292</v>
      </c>
      <c r="G2350" s="484">
        <v>0</v>
      </c>
      <c r="H2350" s="688" t="str">
        <f>IF(G2350=0,"",IF(F2350="Buy",IF(G2350=1,"plant","plants"),IF(F2350&gt;0.01,"warranty","Error")))</f>
        <v/>
      </c>
      <c r="I2350" s="485">
        <f>IF(H2350="free",0,IF(H2350="credit",((E2350*(F2350))*G2350*-1),IF(F2350="Buy",(E2350*G2350),((E2350*(1-F2350))*G2350))))</f>
        <v>0</v>
      </c>
      <c r="J2350" s="485">
        <f>IF(H2350="warranty",0,(I2350*(_xlfn.SINGLE(SalesTaxPercentage))))</f>
        <v>0</v>
      </c>
      <c r="K2350" s="715">
        <f t="shared" ref="K2350" si="1758">I2350+J2350</f>
        <v>0</v>
      </c>
      <c r="L2350" s="715"/>
      <c r="M2350" s="689" t="str">
        <f ca="1">IF(AND(G2350&gt;0,E2350=0),"WARNING - no PRICE inserted",IF(H2350="free","FREE ~ no charge this plant",IF(H2350="credit",CONCATENATE("-$",ROUND(K2350*(1-_xlfn.SINGLE(T2GDiscount))*-1,2)," CREDIT after discount"),IF(_xlfn.SINGLE(T2GDiscount)=0,"",IF(G2350=0,"",IF(F2350="Buy",CONCATENATE("$",ROUND(K2350*(1-_xlfn.SINGLE(T2GDiscount)),2)," with ",(_xlfn.SINGLE(T2GDiscount)*100),"% discount"),CONCATENATE("$",ROUND(K2350*(1-_xlfn.SINGLE(T2GDiscount)),2)," with ",((_xlfn.SINGLE(T2GDiscount)*100+F2350*100)-(_xlfn.SINGLE(T2GDiscount)*100*F2350)),IF(F2350&gt;0,"% discounts",IF(_xlfn.SINGLE(NoWarrantyDiscount)&gt;0,"% discounts","% discount")))))))))</f>
        <v/>
      </c>
      <c r="N2350" s="690"/>
      <c r="O2350" s="486"/>
      <c r="P2350" s="486"/>
      <c r="Q2350" s="486"/>
      <c r="R2350" s="486"/>
      <c r="S2350" s="486"/>
      <c r="T2350" s="102">
        <f t="shared" si="1727"/>
        <v>0</v>
      </c>
      <c r="U2350" s="78">
        <f>IF(NOT(ISNUMBER(G2350)), "", VLOOKUP(A2350,'Discount Lookup'!D:E,2,FALSE)*G2350)</f>
        <v>0</v>
      </c>
      <c r="V2350" s="78">
        <f>IF(NOT(ISNUMBER(G2350)), "", VLOOKUP(A2350,'Discount Lookup'!G:H,2,FALSE)*G2350)</f>
        <v>0</v>
      </c>
      <c r="W2350" s="102">
        <f t="shared" si="1728"/>
        <v>0</v>
      </c>
      <c r="X2350" s="102">
        <f t="shared" si="1729"/>
        <v>0</v>
      </c>
      <c r="Y2350" s="120" t="b">
        <f t="shared" si="1730"/>
        <v>0</v>
      </c>
      <c r="Z2350" s="117">
        <f t="shared" si="1731"/>
        <v>0</v>
      </c>
      <c r="AA2350" s="118"/>
      <c r="AB2350" s="118" t="str">
        <f t="shared" si="1732"/>
        <v/>
      </c>
      <c r="AC2350" s="712" t="str">
        <f>IF(AE2350="T2G","no charge",IF(AND(OR(PlanterYesMe="No",PlanterYesMe="N",PlanterYesMe="me"),H2350=""),"",IF(H2350="credit","NO install",IF(AND(K2350="",AE2350="me"),"EACH row",IF(AND(K2350="images",AE2350="me"),"EACH row",IF(D2350="","",IF(H2350="credit","",IF(AE2350="free","re-planting",IF(AE2350="me","   not ELP, by",IF(AND(OR(PlanterYesMe="Yes",PlanterYesMe="Y"),G2350&gt;0),(VLOOKUP(A2350,'Discount Lookup'!J:K,2)*G2350*(1-PlanterDiscount)*(1+PlanterDifficultyPercentage)),IF(AE2350="ELP",(VLOOKUP(A2350,'Discount Lookup'!J:K,2)*G2350*(1-PlanterDiscount)*(1+PlanterDifficultyPercentage)),IF(AE2350="free","re-planting",IF(G2350=0,"",IF(PlanterYesMe="",IF(AE2350="me","   not ELP, by",IF(AE2350="",IF(G2350&gt;0,(VLOOKUP(A2350,'Discount Lookup'!J:K,2)*G2350*(1-PlanterDiscount)*(1+PlanterDifficultyPercentage)),""),"")),"   not ELP, by"))))))))))))))</f>
        <v/>
      </c>
      <c r="AD2350" s="712"/>
      <c r="AE2350" s="513" t="str">
        <f t="shared" si="1733"/>
        <v/>
      </c>
      <c r="AF2350" s="713" t="str">
        <f t="shared" si="1734"/>
        <v/>
      </c>
      <c r="AG2350" s="713"/>
      <c r="AH2350" s="713"/>
      <c r="AI2350" s="112">
        <f>IF(H2350="credit",0,IF(AE2350="free",0,IF(AE2350="me",0,IF(G2350&gt;0,(VLOOKUP(A2350,'Discount Lookup'!J:K,2)*G2350),0))))</f>
        <v>0</v>
      </c>
      <c r="AJ2350" s="107" t="str">
        <f t="shared" ca="1" si="1735"/>
        <v/>
      </c>
      <c r="AK2350" s="714" t="str">
        <f t="shared" si="1736"/>
        <v/>
      </c>
      <c r="AL2350" s="714"/>
      <c r="AM2350" s="114" t="str">
        <f t="shared" si="1737"/>
        <v/>
      </c>
      <c r="AN2350" s="115"/>
      <c r="AO2350" s="116"/>
      <c r="AP2350" s="116"/>
      <c r="AQ2350" s="116"/>
      <c r="AR2350" s="116"/>
      <c r="AS2350" s="116"/>
      <c r="AT2350" s="116"/>
      <c r="AU2350" s="116"/>
      <c r="AV2350" s="78"/>
      <c r="AW2350" s="102"/>
      <c r="AX2350" s="78"/>
      <c r="AY2350" s="78"/>
      <c r="AZ2350" s="78"/>
      <c r="BA2350" s="78"/>
      <c r="BB2350" s="78"/>
      <c r="BC2350" s="78"/>
      <c r="BD2350" s="78"/>
      <c r="BE2350" s="465"/>
      <c r="BF2350" s="165" t="str">
        <f t="shared" si="1738"/>
        <v>https://www.google.com/search?tbm=isch&amp;q=3%20G5</v>
      </c>
      <c r="BG2350" s="165" t="str">
        <f t="shared" si="1739"/>
        <v>I</v>
      </c>
      <c r="BH2350" s="65"/>
      <c r="BI2350" s="65"/>
      <c r="BJ2350" s="65"/>
      <c r="BK2350" s="65"/>
      <c r="BL2350" s="99"/>
      <c r="BM2350" s="99"/>
      <c r="BN2350" s="99"/>
    </row>
    <row r="2351" spans="1:66" s="51" customFormat="1" ht="16.5" thickBot="1" x14ac:dyDescent="0.3">
      <c r="A2351" s="705" t="s">
        <v>5463</v>
      </c>
      <c r="B2351" s="487"/>
      <c r="C2351" s="707"/>
      <c r="D2351" s="487"/>
      <c r="E2351" s="487"/>
      <c r="F2351" s="488"/>
      <c r="G2351" s="489"/>
      <c r="H2351" s="487"/>
      <c r="I2351" s="490"/>
      <c r="J2351" s="490"/>
      <c r="K2351" s="491"/>
      <c r="L2351" s="547"/>
      <c r="M2351" s="528"/>
      <c r="N2351" s="492"/>
      <c r="O2351" s="493"/>
      <c r="P2351" s="494"/>
      <c r="Q2351" s="492"/>
      <c r="R2351" s="492"/>
      <c r="S2351" s="699" t="s">
        <v>5259</v>
      </c>
      <c r="T2351" s="102">
        <f t="shared" si="1727"/>
        <v>0</v>
      </c>
      <c r="U2351" s="78" t="str">
        <f>IF(NOT(ISNUMBER(G2351)), "", VLOOKUP(A2351,'Discount Lookup'!D:E,2,FALSE)*G2351)</f>
        <v/>
      </c>
      <c r="V2351" s="78" t="str">
        <f>IF(NOT(ISNUMBER(G2351)), "", VLOOKUP(A2351,'Discount Lookup'!G:H,2,FALSE)*G2351)</f>
        <v/>
      </c>
      <c r="W2351" s="102">
        <f t="shared" si="1728"/>
        <v>0</v>
      </c>
      <c r="X2351" s="102">
        <f t="shared" si="1729"/>
        <v>0</v>
      </c>
      <c r="Y2351" s="120" t="b">
        <f t="shared" si="1730"/>
        <v>0</v>
      </c>
      <c r="Z2351" s="117">
        <f t="shared" si="1731"/>
        <v>0</v>
      </c>
      <c r="AA2351" s="118"/>
      <c r="AB2351" s="118" t="str">
        <f t="shared" si="1732"/>
        <v/>
      </c>
      <c r="AC2351" s="712" t="str">
        <f>IF(AE2351="T2G","no charge",IF(AND(OR(PlanterYesMe="No",PlanterYesMe="N",PlanterYesMe="me"),H2351=""),"",IF(H2351="credit","NO install",IF(AND(K2351="",AE2351="me"),"EACH row",IF(AND(K2351="images",AE2351="me"),"EACH row",IF(D2351="","",IF(H2351="credit","",IF(AE2351="free","re-planting",IF(AE2351="me","   not ELP, by",IF(AND(OR(PlanterYesMe="Yes",PlanterYesMe="Y"),G2351&gt;0),(VLOOKUP(A2351,'Discount Lookup'!J:K,2)*G2351*(1-PlanterDiscount)*(1+PlanterDifficultyPercentage)),IF(AE2351="ELP",(VLOOKUP(A2351,'Discount Lookup'!J:K,2)*G2351*(1-PlanterDiscount)*(1+PlanterDifficultyPercentage)),IF(AE2351="free","re-planting",IF(G2351=0,"",IF(PlanterYesMe="",IF(AE2351="me","   not ELP, by",IF(AE2351="",IF(G2351&gt;0,(VLOOKUP(A2351,'Discount Lookup'!J:K,2)*G2351*(1-PlanterDiscount)*(1+PlanterDifficultyPercentage)),""),"")),"   not ELP, by"))))))))))))))</f>
        <v/>
      </c>
      <c r="AD2351" s="712"/>
      <c r="AE2351" s="513" t="str">
        <f t="shared" si="1733"/>
        <v/>
      </c>
      <c r="AF2351" s="713" t="str">
        <f t="shared" si="1734"/>
        <v/>
      </c>
      <c r="AG2351" s="713"/>
      <c r="AH2351" s="713"/>
      <c r="AI2351" s="112">
        <f>IF(H2351="credit",0,IF(AE2351="free",0,IF(AE2351="me",0,IF(G2351&gt;0,(VLOOKUP(A2351,'Discount Lookup'!J:K,2)*G2351),0))))</f>
        <v>0</v>
      </c>
      <c r="AJ2351" s="107" t="str">
        <f t="shared" ca="1" si="1735"/>
        <v/>
      </c>
      <c r="AK2351" s="714" t="str">
        <f t="shared" si="1736"/>
        <v/>
      </c>
      <c r="AL2351" s="714"/>
      <c r="AM2351" s="114" t="str">
        <f t="shared" si="1737"/>
        <v/>
      </c>
      <c r="AN2351" s="115"/>
      <c r="AO2351" s="116"/>
      <c r="AP2351" s="116"/>
      <c r="AQ2351" s="116"/>
      <c r="AR2351" s="116"/>
      <c r="AS2351" s="116"/>
      <c r="AT2351" s="116"/>
      <c r="AU2351" s="116"/>
      <c r="AV2351" s="78"/>
      <c r="AW2351" s="102"/>
      <c r="AX2351" s="78"/>
      <c r="AY2351" s="78"/>
      <c r="AZ2351" s="78"/>
      <c r="BA2351" s="78"/>
      <c r="BB2351" s="78"/>
      <c r="BC2351" s="78"/>
      <c r="BD2351" s="78"/>
      <c r="BE2351" s="465"/>
      <c r="BF2351" s="165" t="str">
        <f t="shared" si="1738"/>
        <v>https://www.google.com/search?tbm=isch&amp;q=moist%20sites%F0%9F%92%A7OK%2C%20Orion%20features%20fragrant%20White%20starry%20blooms%2C%20aromatic%20evergreen%20foliage%2C%20and%20was%20bred%20at%20NC%20State%20</v>
      </c>
      <c r="BG2351" s="165" t="str">
        <f t="shared" si="1739"/>
        <v>m</v>
      </c>
      <c r="BH2351" s="65"/>
      <c r="BI2351" s="65"/>
      <c r="BJ2351" s="65"/>
      <c r="BK2351" s="65"/>
      <c r="BL2351" s="99"/>
      <c r="BM2351" s="99"/>
      <c r="BN2351" s="99"/>
    </row>
    <row r="2352" spans="1:66" s="51" customFormat="1" ht="18" x14ac:dyDescent="0.25">
      <c r="A2352" s="507" t="s">
        <v>3044</v>
      </c>
      <c r="B2352" s="470"/>
      <c r="C2352" s="706"/>
      <c r="D2352" s="471" t="s">
        <v>3045</v>
      </c>
      <c r="E2352" s="472"/>
      <c r="F2352" s="472"/>
      <c r="G2352" s="472"/>
      <c r="H2352" s="622" t="s">
        <v>331</v>
      </c>
      <c r="I2352" s="473" t="s">
        <v>447</v>
      </c>
      <c r="J2352" s="472"/>
      <c r="K2352" s="472"/>
      <c r="L2352" s="561"/>
      <c r="M2352" s="698" t="s">
        <v>5246</v>
      </c>
      <c r="N2352" s="692" t="str">
        <f>IF(AND(ISTEXT($A2352), ISERROR($A2352+0)), HYPERLINK($BF2352, "Images"), "")</f>
        <v>Images</v>
      </c>
      <c r="O2352" s="694" t="s">
        <v>5244</v>
      </c>
      <c r="P2352" s="475"/>
      <c r="Q2352" s="476"/>
      <c r="R2352" s="476"/>
      <c r="S2352" s="477" t="s">
        <v>294</v>
      </c>
      <c r="T2352" s="102">
        <f t="shared" si="1727"/>
        <v>0</v>
      </c>
      <c r="U2352" s="78" t="str">
        <f>IF(NOT(ISNUMBER(G2352)), "", VLOOKUP(A2352,'Discount Lookup'!D:E,2,FALSE)*G2352)</f>
        <v/>
      </c>
      <c r="V2352" s="78" t="str">
        <f>IF(NOT(ISNUMBER(G2352)), "", VLOOKUP(A2352,'Discount Lookup'!G:H,2,FALSE)*G2352)</f>
        <v/>
      </c>
      <c r="W2352" s="102">
        <f t="shared" si="1728"/>
        <v>0</v>
      </c>
      <c r="X2352" s="102" t="str">
        <f t="shared" si="1729"/>
        <v>Olive-Green foliage</v>
      </c>
      <c r="Y2352" s="120" t="b">
        <f t="shared" si="1730"/>
        <v>0</v>
      </c>
      <c r="Z2352" s="117">
        <f t="shared" si="1731"/>
        <v>0</v>
      </c>
      <c r="AA2352" s="118"/>
      <c r="AB2352" s="118" t="str">
        <f t="shared" si="1732"/>
        <v/>
      </c>
      <c r="AC2352" s="712" t="str">
        <f>IF(AE2352="T2G","no charge",IF(AND(OR(PlanterYesMe="No",PlanterYesMe="N",PlanterYesMe="me"),H2352=""),"",IF(H2352="credit","NO install",IF(AND(K2352="",AE2352="me"),"EACH row",IF(AND(K2352="images",AE2352="me"),"EACH row",IF(D2352="","",IF(H2352="credit","",IF(AE2352="free","re-planting",IF(AE2352="me","   not ELP, by",IF(AND(OR(PlanterYesMe="Yes",PlanterYesMe="Y"),G2352&gt;0),(VLOOKUP(A2352,'Discount Lookup'!J:K,2)*G2352*(1-PlanterDiscount)*(1+PlanterDifficultyPercentage)),IF(AE2352="ELP",(VLOOKUP(A2352,'Discount Lookup'!J:K,2)*G2352*(1-PlanterDiscount)*(1+PlanterDifficultyPercentage)),IF(AE2352="free","re-planting",IF(G2352=0,"",IF(PlanterYesMe="",IF(AE2352="me","   not ELP, by",IF(AE2352="",IF(G2352&gt;0,(VLOOKUP(A2352,'Discount Lookup'!J:K,2)*G2352*(1-PlanterDiscount)*(1+PlanterDifficultyPercentage)),""),"")),"   not ELP, by"))))))))))))))</f>
        <v/>
      </c>
      <c r="AD2352" s="712"/>
      <c r="AE2352" s="513" t="str">
        <f t="shared" si="1733"/>
        <v/>
      </c>
      <c r="AF2352" s="713" t="str">
        <f t="shared" si="1734"/>
        <v/>
      </c>
      <c r="AG2352" s="713"/>
      <c r="AH2352" s="713"/>
      <c r="AI2352" s="112">
        <f>IF(H2352="credit",0,IF(AE2352="free",0,IF(AE2352="me",0,IF(G2352&gt;0,(VLOOKUP(A2352,'Discount Lookup'!J:K,2)*G2352),0))))</f>
        <v>0</v>
      </c>
      <c r="AJ2352" s="107" t="str">
        <f t="shared" ca="1" si="1735"/>
        <v/>
      </c>
      <c r="AK2352" s="714" t="str">
        <f t="shared" si="1736"/>
        <v/>
      </c>
      <c r="AL2352" s="714"/>
      <c r="AM2352" s="114" t="str">
        <f t="shared" si="1737"/>
        <v/>
      </c>
      <c r="AN2352" s="115"/>
      <c r="AO2352" s="116"/>
      <c r="AP2352" s="116"/>
      <c r="AQ2352" s="116"/>
      <c r="AR2352" s="116"/>
      <c r="AS2352" s="116"/>
      <c r="AT2352" s="116"/>
      <c r="AU2352" s="116"/>
      <c r="AV2352" s="78"/>
      <c r="AW2352" s="102"/>
      <c r="AX2352" s="78"/>
      <c r="AY2352" s="78"/>
      <c r="AZ2352" s="78"/>
      <c r="BA2352" s="78"/>
      <c r="BB2352" s="78"/>
      <c r="BC2352" s="78"/>
      <c r="BD2352" s="78"/>
      <c r="BE2352" s="465"/>
      <c r="BF2352" s="165" t="str">
        <f t="shared" si="1738"/>
        <v>https://www.google.com/search?tbm=isch&amp;q=Illicium%20parviflorum%20Hardy%20Anise%20Tree</v>
      </c>
      <c r="BG2352" s="165" t="str">
        <f t="shared" si="1739"/>
        <v>I</v>
      </c>
      <c r="BH2352" s="65"/>
      <c r="BI2352" s="65"/>
      <c r="BJ2352" s="65"/>
      <c r="BK2352" s="65"/>
      <c r="BL2352" s="99"/>
      <c r="BM2352" s="99"/>
      <c r="BN2352" s="99"/>
    </row>
    <row r="2353" spans="1:66" s="51" customFormat="1" ht="15.75" x14ac:dyDescent="0.25">
      <c r="A2353" s="478">
        <v>3</v>
      </c>
      <c r="B2353" s="479" t="s">
        <v>291</v>
      </c>
      <c r="C2353" s="480" t="s">
        <v>3046</v>
      </c>
      <c r="D2353" s="481" t="s">
        <v>310</v>
      </c>
      <c r="E2353" s="482">
        <v>25.95</v>
      </c>
      <c r="F2353" s="483" t="s">
        <v>292</v>
      </c>
      <c r="G2353" s="484">
        <v>0</v>
      </c>
      <c r="H2353" s="688" t="str">
        <f>IF(G2353=0,"",IF(F2353="Buy",IF(G2353=1,"plant","plants"),IF(F2353&gt;0.01,"warranty","Error")))</f>
        <v/>
      </c>
      <c r="I2353" s="485">
        <f>IF(H2353="free",0,IF(H2353="credit",((E2353*(F2353))*G2353*-1),IF(F2353="Buy",(E2353*G2353),((E2353*(1-F2353))*G2353))))</f>
        <v>0</v>
      </c>
      <c r="J2353" s="485">
        <f>IF(H2353="warranty",0,(I2353*(_xlfn.SINGLE(SalesTaxPercentage))))</f>
        <v>0</v>
      </c>
      <c r="K2353" s="715">
        <f t="shared" ref="K2353" si="1759">I2353+J2353</f>
        <v>0</v>
      </c>
      <c r="L2353" s="715"/>
      <c r="M2353" s="689" t="str">
        <f ca="1">IF(AND(G2353&gt;0,E2353=0),"WARNING - no PRICE inserted",IF(H2353="free","FREE ~ no charge this plant",IF(H2353="credit",CONCATENATE("-$",ROUND(K2353*(1-_xlfn.SINGLE(T2GDiscount))*-1,2)," CREDIT after discount"),IF(_xlfn.SINGLE(T2GDiscount)=0,"",IF(G2353=0,"",IF(F2353="Buy",CONCATENATE("$",ROUND(K2353*(1-_xlfn.SINGLE(T2GDiscount)),2)," with ",(_xlfn.SINGLE(T2GDiscount)*100),"% discount"),CONCATENATE("$",ROUND(K2353*(1-_xlfn.SINGLE(T2GDiscount)),2)," with ",((_xlfn.SINGLE(T2GDiscount)*100+F2353*100)-(_xlfn.SINGLE(T2GDiscount)*100*F2353)),IF(F2353&gt;0,"% discounts",IF(_xlfn.SINGLE(NoWarrantyDiscount)&gt;0,"% discounts","% discount")))))))))</f>
        <v/>
      </c>
      <c r="N2353" s="690"/>
      <c r="O2353" s="486"/>
      <c r="P2353" s="486"/>
      <c r="Q2353" s="486"/>
      <c r="R2353" s="486"/>
      <c r="S2353" s="486"/>
      <c r="T2353" s="102">
        <f t="shared" si="1727"/>
        <v>0</v>
      </c>
      <c r="U2353" s="78">
        <f>IF(NOT(ISNUMBER(G2353)), "", VLOOKUP(A2353,'Discount Lookup'!D:E,2,FALSE)*G2353)</f>
        <v>0</v>
      </c>
      <c r="V2353" s="78">
        <f>IF(NOT(ISNUMBER(G2353)), "", VLOOKUP(A2353,'Discount Lookup'!G:H,2,FALSE)*G2353)</f>
        <v>0</v>
      </c>
      <c r="W2353" s="102">
        <f t="shared" si="1728"/>
        <v>0</v>
      </c>
      <c r="X2353" s="102">
        <f t="shared" si="1729"/>
        <v>0</v>
      </c>
      <c r="Y2353" s="120" t="b">
        <f t="shared" si="1730"/>
        <v>0</v>
      </c>
      <c r="Z2353" s="117">
        <f t="shared" si="1731"/>
        <v>0</v>
      </c>
      <c r="AA2353" s="118"/>
      <c r="AB2353" s="118" t="str">
        <f t="shared" si="1732"/>
        <v/>
      </c>
      <c r="AC2353" s="712" t="str">
        <f>IF(AE2353="T2G","no charge",IF(AND(OR(PlanterYesMe="No",PlanterYesMe="N",PlanterYesMe="me"),H2353=""),"",IF(H2353="credit","NO install",IF(AND(K2353="",AE2353="me"),"EACH row",IF(AND(K2353="images",AE2353="me"),"EACH row",IF(D2353="","",IF(H2353="credit","",IF(AE2353="free","re-planting",IF(AE2353="me","   not ELP, by",IF(AND(OR(PlanterYesMe="Yes",PlanterYesMe="Y"),G2353&gt;0),(VLOOKUP(A2353,'Discount Lookup'!J:K,2)*G2353*(1-PlanterDiscount)*(1+PlanterDifficultyPercentage)),IF(AE2353="ELP",(VLOOKUP(A2353,'Discount Lookup'!J:K,2)*G2353*(1-PlanterDiscount)*(1+PlanterDifficultyPercentage)),IF(AE2353="free","re-planting",IF(G2353=0,"",IF(PlanterYesMe="",IF(AE2353="me","   not ELP, by",IF(AE2353="",IF(G2353&gt;0,(VLOOKUP(A2353,'Discount Lookup'!J:K,2)*G2353*(1-PlanterDiscount)*(1+PlanterDifficultyPercentage)),""),"")),"   not ELP, by"))))))))))))))</f>
        <v/>
      </c>
      <c r="AD2353" s="712"/>
      <c r="AE2353" s="513" t="str">
        <f t="shared" si="1733"/>
        <v/>
      </c>
      <c r="AF2353" s="713" t="str">
        <f t="shared" si="1734"/>
        <v/>
      </c>
      <c r="AG2353" s="713"/>
      <c r="AH2353" s="713"/>
      <c r="AI2353" s="112">
        <f>IF(H2353="credit",0,IF(AE2353="free",0,IF(AE2353="me",0,IF(G2353&gt;0,(VLOOKUP(A2353,'Discount Lookup'!J:K,2)*G2353),0))))</f>
        <v>0</v>
      </c>
      <c r="AJ2353" s="107" t="str">
        <f t="shared" ca="1" si="1735"/>
        <v/>
      </c>
      <c r="AK2353" s="714" t="str">
        <f t="shared" si="1736"/>
        <v/>
      </c>
      <c r="AL2353" s="714"/>
      <c r="AM2353" s="114" t="str">
        <f t="shared" si="1737"/>
        <v/>
      </c>
      <c r="AN2353" s="115"/>
      <c r="AO2353" s="116"/>
      <c r="AP2353" s="116"/>
      <c r="AQ2353" s="116"/>
      <c r="AR2353" s="116"/>
      <c r="AS2353" s="116"/>
      <c r="AT2353" s="116"/>
      <c r="AU2353" s="116"/>
      <c r="AV2353" s="78"/>
      <c r="AW2353" s="102"/>
      <c r="AX2353" s="78"/>
      <c r="AY2353" s="78"/>
      <c r="AZ2353" s="78"/>
      <c r="BA2353" s="78"/>
      <c r="BB2353" s="78"/>
      <c r="BC2353" s="78"/>
      <c r="BD2353" s="78"/>
      <c r="BE2353" s="465"/>
      <c r="BF2353" s="165" t="str">
        <f t="shared" si="1738"/>
        <v>https://www.google.com/search?tbm=isch&amp;q=3%20G1</v>
      </c>
      <c r="BG2353" s="165" t="str">
        <f t="shared" si="1739"/>
        <v>I</v>
      </c>
      <c r="BH2353" s="65"/>
      <c r="BI2353" s="65"/>
      <c r="BJ2353" s="65"/>
      <c r="BK2353" s="65"/>
      <c r="BL2353" s="99"/>
      <c r="BM2353" s="99"/>
      <c r="BN2353" s="99"/>
    </row>
    <row r="2354" spans="1:66" s="51" customFormat="1" ht="15.75" x14ac:dyDescent="0.25">
      <c r="A2354" s="478">
        <v>7</v>
      </c>
      <c r="B2354" s="479" t="s">
        <v>291</v>
      </c>
      <c r="C2354" s="480" t="s">
        <v>3047</v>
      </c>
      <c r="D2354" s="481" t="s">
        <v>309</v>
      </c>
      <c r="E2354" s="482">
        <v>56.95</v>
      </c>
      <c r="F2354" s="483" t="s">
        <v>292</v>
      </c>
      <c r="G2354" s="484">
        <v>0</v>
      </c>
      <c r="H2354" s="688" t="str">
        <f>IF(G2354=0,"",IF(F2354="Buy",IF(G2354=1,"plant","plants"),IF(F2354&gt;0.01,"warranty","Error")))</f>
        <v/>
      </c>
      <c r="I2354" s="485">
        <f>IF(H2354="free",0,IF(H2354="credit",((E2354*(F2354))*G2354*-1),IF(F2354="Buy",(E2354*G2354),((E2354*(1-F2354))*G2354))))</f>
        <v>0</v>
      </c>
      <c r="J2354" s="485">
        <f>IF(H2354="warranty",0,(I2354*(_xlfn.SINGLE(SalesTaxPercentage))))</f>
        <v>0</v>
      </c>
      <c r="K2354" s="715">
        <f t="shared" ref="K2354" si="1760">I2354+J2354</f>
        <v>0</v>
      </c>
      <c r="L2354" s="715"/>
      <c r="M2354" s="689" t="str">
        <f ca="1">IF(AND(G2354&gt;0,E2354=0),"WARNING - no PRICE inserted",IF(H2354="free","FREE ~ no charge this plant",IF(H2354="credit",CONCATENATE("-$",ROUND(K2354*(1-_xlfn.SINGLE(T2GDiscount))*-1,2)," CREDIT after discount"),IF(_xlfn.SINGLE(T2GDiscount)=0,"",IF(G2354=0,"",IF(F2354="Buy",CONCATENATE("$",ROUND(K2354*(1-_xlfn.SINGLE(T2GDiscount)),2)," with ",(_xlfn.SINGLE(T2GDiscount)*100),"% discount"),CONCATENATE("$",ROUND(K2354*(1-_xlfn.SINGLE(T2GDiscount)),2)," with ",((_xlfn.SINGLE(T2GDiscount)*100+F2354*100)-(_xlfn.SINGLE(T2GDiscount)*100*F2354)),IF(F2354&gt;0,"% discounts",IF(_xlfn.SINGLE(NoWarrantyDiscount)&gt;0,"% discounts","% discount")))))))))</f>
        <v/>
      </c>
      <c r="N2354" s="690"/>
      <c r="O2354" s="486"/>
      <c r="P2354" s="486"/>
      <c r="Q2354" s="486"/>
      <c r="R2354" s="486"/>
      <c r="S2354" s="486"/>
      <c r="T2354" s="102">
        <f t="shared" si="1727"/>
        <v>0</v>
      </c>
      <c r="U2354" s="78">
        <f>IF(NOT(ISNUMBER(G2354)), "", VLOOKUP(A2354,'Discount Lookup'!D:E,2,FALSE)*G2354)</f>
        <v>0</v>
      </c>
      <c r="V2354" s="78">
        <f>IF(NOT(ISNUMBER(G2354)), "", VLOOKUP(A2354,'Discount Lookup'!G:H,2,FALSE)*G2354)</f>
        <v>0</v>
      </c>
      <c r="W2354" s="102">
        <f t="shared" si="1728"/>
        <v>0</v>
      </c>
      <c r="X2354" s="102">
        <f t="shared" si="1729"/>
        <v>0</v>
      </c>
      <c r="Y2354" s="120" t="b">
        <f t="shared" si="1730"/>
        <v>0</v>
      </c>
      <c r="Z2354" s="117">
        <f t="shared" si="1731"/>
        <v>0</v>
      </c>
      <c r="AA2354" s="118"/>
      <c r="AB2354" s="118" t="str">
        <f t="shared" si="1732"/>
        <v/>
      </c>
      <c r="AC2354" s="712" t="str">
        <f>IF(AE2354="T2G","no charge",IF(AND(OR(PlanterYesMe="No",PlanterYesMe="N",PlanterYesMe="me"),H2354=""),"",IF(H2354="credit","NO install",IF(AND(K2354="",AE2354="me"),"EACH row",IF(AND(K2354="images",AE2354="me"),"EACH row",IF(D2354="","",IF(H2354="credit","",IF(AE2354="free","re-planting",IF(AE2354="me","   not ELP, by",IF(AND(OR(PlanterYesMe="Yes",PlanterYesMe="Y"),G2354&gt;0),(VLOOKUP(A2354,'Discount Lookup'!J:K,2)*G2354*(1-PlanterDiscount)*(1+PlanterDifficultyPercentage)),IF(AE2354="ELP",(VLOOKUP(A2354,'Discount Lookup'!J:K,2)*G2354*(1-PlanterDiscount)*(1+PlanterDifficultyPercentage)),IF(AE2354="free","re-planting",IF(G2354=0,"",IF(PlanterYesMe="",IF(AE2354="me","   not ELP, by",IF(AE2354="",IF(G2354&gt;0,(VLOOKUP(A2354,'Discount Lookup'!J:K,2)*G2354*(1-PlanterDiscount)*(1+PlanterDifficultyPercentage)),""),"")),"   not ELP, by"))))))))))))))</f>
        <v/>
      </c>
      <c r="AD2354" s="712"/>
      <c r="AE2354" s="513" t="str">
        <f t="shared" si="1733"/>
        <v/>
      </c>
      <c r="AF2354" s="713" t="str">
        <f t="shared" si="1734"/>
        <v/>
      </c>
      <c r="AG2354" s="713"/>
      <c r="AH2354" s="713"/>
      <c r="AI2354" s="112">
        <f>IF(H2354="credit",0,IF(AE2354="free",0,IF(AE2354="me",0,IF(G2354&gt;0,(VLOOKUP(A2354,'Discount Lookup'!J:K,2)*G2354),0))))</f>
        <v>0</v>
      </c>
      <c r="AJ2354" s="107" t="str">
        <f t="shared" ca="1" si="1735"/>
        <v/>
      </c>
      <c r="AK2354" s="714" t="str">
        <f t="shared" si="1736"/>
        <v/>
      </c>
      <c r="AL2354" s="714"/>
      <c r="AM2354" s="114" t="str">
        <f t="shared" si="1737"/>
        <v/>
      </c>
      <c r="AN2354" s="115"/>
      <c r="AO2354" s="116"/>
      <c r="AP2354" s="116"/>
      <c r="AQ2354" s="116"/>
      <c r="AR2354" s="116"/>
      <c r="AS2354" s="116"/>
      <c r="AT2354" s="116"/>
      <c r="AU2354" s="116"/>
      <c r="AV2354" s="78"/>
      <c r="AW2354" s="102"/>
      <c r="AX2354" s="78"/>
      <c r="AY2354" s="78"/>
      <c r="AZ2354" s="78"/>
      <c r="BA2354" s="78"/>
      <c r="BB2354" s="78"/>
      <c r="BC2354" s="78"/>
      <c r="BD2354" s="78"/>
      <c r="BE2354" s="465"/>
      <c r="BF2354" s="165" t="str">
        <f t="shared" si="1738"/>
        <v>https://www.google.com/search?tbm=isch&amp;q=7%20G3</v>
      </c>
      <c r="BG2354" s="165" t="str">
        <f t="shared" si="1739"/>
        <v>I</v>
      </c>
      <c r="BH2354" s="65"/>
      <c r="BI2354" s="65"/>
      <c r="BJ2354" s="65"/>
      <c r="BK2354" s="65"/>
      <c r="BL2354" s="99"/>
      <c r="BM2354" s="99"/>
      <c r="BN2354" s="99"/>
    </row>
    <row r="2355" spans="1:66" s="51" customFormat="1" ht="15.75" x14ac:dyDescent="0.25">
      <c r="A2355" s="478">
        <v>10</v>
      </c>
      <c r="B2355" s="479" t="s">
        <v>291</v>
      </c>
      <c r="C2355" s="480" t="s">
        <v>3048</v>
      </c>
      <c r="D2355" s="481" t="s">
        <v>293</v>
      </c>
      <c r="E2355" s="482">
        <v>104.95</v>
      </c>
      <c r="F2355" s="483" t="s">
        <v>292</v>
      </c>
      <c r="G2355" s="484">
        <v>0</v>
      </c>
      <c r="H2355" s="688" t="str">
        <f>IF(G2355=0,"",IF(F2355="Buy",IF(G2355=1,"plant","plants"),IF(F2355&gt;0.01,"warranty","Error")))</f>
        <v/>
      </c>
      <c r="I2355" s="485">
        <f>IF(H2355="free",0,IF(H2355="credit",((E2355*(F2355))*G2355*-1),IF(F2355="Buy",(E2355*G2355),((E2355*(1-F2355))*G2355))))</f>
        <v>0</v>
      </c>
      <c r="J2355" s="485">
        <f>IF(H2355="warranty",0,(I2355*(_xlfn.SINGLE(SalesTaxPercentage))))</f>
        <v>0</v>
      </c>
      <c r="K2355" s="715">
        <f t="shared" ref="K2355" si="1761">I2355+J2355</f>
        <v>0</v>
      </c>
      <c r="L2355" s="715"/>
      <c r="M2355" s="689" t="str">
        <f ca="1">IF(AND(G2355&gt;0,E2355=0),"WARNING - no PRICE inserted",IF(H2355="free","FREE ~ no charge this plant",IF(H2355="credit",CONCATENATE("-$",ROUND(K2355*(1-_xlfn.SINGLE(T2GDiscount))*-1,2)," CREDIT after discount"),IF(_xlfn.SINGLE(T2GDiscount)=0,"",IF(G2355=0,"",IF(F2355="Buy",CONCATENATE("$",ROUND(K2355*(1-_xlfn.SINGLE(T2GDiscount)),2)," with ",(_xlfn.SINGLE(T2GDiscount)*100),"% discount"),CONCATENATE("$",ROUND(K2355*(1-_xlfn.SINGLE(T2GDiscount)),2)," with ",((_xlfn.SINGLE(T2GDiscount)*100+F2355*100)-(_xlfn.SINGLE(T2GDiscount)*100*F2355)),IF(F2355&gt;0,"% discounts",IF(_xlfn.SINGLE(NoWarrantyDiscount)&gt;0,"% discounts","% discount")))))))))</f>
        <v/>
      </c>
      <c r="N2355" s="690"/>
      <c r="O2355" s="486"/>
      <c r="P2355" s="486"/>
      <c r="Q2355" s="486"/>
      <c r="R2355" s="486"/>
      <c r="S2355" s="486"/>
      <c r="T2355" s="102">
        <f t="shared" si="1727"/>
        <v>0</v>
      </c>
      <c r="U2355" s="78">
        <f>IF(NOT(ISNUMBER(G2355)), "", VLOOKUP(A2355,'Discount Lookup'!D:E,2,FALSE)*G2355)</f>
        <v>0</v>
      </c>
      <c r="V2355" s="78">
        <f>IF(NOT(ISNUMBER(G2355)), "", VLOOKUP(A2355,'Discount Lookup'!G:H,2,FALSE)*G2355)</f>
        <v>0</v>
      </c>
      <c r="W2355" s="102">
        <f t="shared" si="1728"/>
        <v>0</v>
      </c>
      <c r="X2355" s="102">
        <f t="shared" si="1729"/>
        <v>0</v>
      </c>
      <c r="Y2355" s="120" t="b">
        <f t="shared" si="1730"/>
        <v>0</v>
      </c>
      <c r="Z2355" s="117">
        <f t="shared" si="1731"/>
        <v>0</v>
      </c>
      <c r="AA2355" s="118"/>
      <c r="AB2355" s="118" t="str">
        <f t="shared" si="1732"/>
        <v/>
      </c>
      <c r="AC2355" s="712" t="str">
        <f>IF(AE2355="T2G","no charge",IF(AND(OR(PlanterYesMe="No",PlanterYesMe="N",PlanterYesMe="me"),H2355=""),"",IF(H2355="credit","NO install",IF(AND(K2355="",AE2355="me"),"EACH row",IF(AND(K2355="images",AE2355="me"),"EACH row",IF(D2355="","",IF(H2355="credit","",IF(AE2355="free","re-planting",IF(AE2355="me","   not ELP, by",IF(AND(OR(PlanterYesMe="Yes",PlanterYesMe="Y"),G2355&gt;0),(VLOOKUP(A2355,'Discount Lookup'!J:K,2)*G2355*(1-PlanterDiscount)*(1+PlanterDifficultyPercentage)),IF(AE2355="ELP",(VLOOKUP(A2355,'Discount Lookup'!J:K,2)*G2355*(1-PlanterDiscount)*(1+PlanterDifficultyPercentage)),IF(AE2355="free","re-planting",IF(G2355=0,"",IF(PlanterYesMe="",IF(AE2355="me","   not ELP, by",IF(AE2355="",IF(G2355&gt;0,(VLOOKUP(A2355,'Discount Lookup'!J:K,2)*G2355*(1-PlanterDiscount)*(1+PlanterDifficultyPercentage)),""),"")),"   not ELP, by"))))))))))))))</f>
        <v/>
      </c>
      <c r="AD2355" s="712"/>
      <c r="AE2355" s="513" t="str">
        <f t="shared" si="1733"/>
        <v/>
      </c>
      <c r="AF2355" s="713" t="str">
        <f t="shared" si="1734"/>
        <v/>
      </c>
      <c r="AG2355" s="713"/>
      <c r="AH2355" s="713"/>
      <c r="AI2355" s="112">
        <f>IF(H2355="credit",0,IF(AE2355="free",0,IF(AE2355="me",0,IF(G2355&gt;0,(VLOOKUP(A2355,'Discount Lookup'!J:K,2)*G2355),0))))</f>
        <v>0</v>
      </c>
      <c r="AJ2355" s="107" t="str">
        <f t="shared" ca="1" si="1735"/>
        <v/>
      </c>
      <c r="AK2355" s="714" t="str">
        <f t="shared" si="1736"/>
        <v/>
      </c>
      <c r="AL2355" s="714"/>
      <c r="AM2355" s="114" t="str">
        <f t="shared" si="1737"/>
        <v/>
      </c>
      <c r="AN2355" s="115"/>
      <c r="AO2355" s="116"/>
      <c r="AP2355" s="116"/>
      <c r="AQ2355" s="116"/>
      <c r="AR2355" s="116"/>
      <c r="AS2355" s="116"/>
      <c r="AT2355" s="116"/>
      <c r="AU2355" s="116"/>
      <c r="AV2355" s="78"/>
      <c r="AW2355" s="102"/>
      <c r="AX2355" s="78"/>
      <c r="AY2355" s="78"/>
      <c r="AZ2355" s="78"/>
      <c r="BA2355" s="78"/>
      <c r="BB2355" s="78"/>
      <c r="BC2355" s="78"/>
      <c r="BD2355" s="78"/>
      <c r="BE2355" s="465"/>
      <c r="BF2355" s="165" t="str">
        <f t="shared" si="1738"/>
        <v>https://www.google.com/search?tbm=isch&amp;q=10%20G6</v>
      </c>
      <c r="BG2355" s="165" t="str">
        <f t="shared" si="1739"/>
        <v>I</v>
      </c>
      <c r="BH2355" s="65"/>
      <c r="BI2355" s="65"/>
      <c r="BJ2355" s="65"/>
      <c r="BK2355" s="65"/>
      <c r="BL2355" s="99"/>
      <c r="BM2355" s="99"/>
      <c r="BN2355" s="99"/>
    </row>
    <row r="2356" spans="1:66" s="51" customFormat="1" ht="16.5" thickBot="1" x14ac:dyDescent="0.3">
      <c r="A2356" s="705" t="s">
        <v>5464</v>
      </c>
      <c r="B2356" s="487"/>
      <c r="C2356" s="707"/>
      <c r="D2356" s="487"/>
      <c r="E2356" s="487"/>
      <c r="F2356" s="488"/>
      <c r="G2356" s="489"/>
      <c r="H2356" s="487"/>
      <c r="I2356" s="490"/>
      <c r="J2356" s="490"/>
      <c r="K2356" s="491"/>
      <c r="L2356" s="547"/>
      <c r="M2356" s="528"/>
      <c r="N2356" s="492"/>
      <c r="O2356" s="493"/>
      <c r="P2356" s="494"/>
      <c r="Q2356" s="492"/>
      <c r="R2356" s="492"/>
      <c r="S2356" s="699" t="s">
        <v>5259</v>
      </c>
      <c r="T2356" s="102">
        <f t="shared" si="1727"/>
        <v>0</v>
      </c>
      <c r="U2356" s="78" t="str">
        <f>IF(NOT(ISNUMBER(G2356)), "", VLOOKUP(A2356,'Discount Lookup'!D:E,2,FALSE)*G2356)</f>
        <v/>
      </c>
      <c r="V2356" s="78" t="str">
        <f>IF(NOT(ISNUMBER(G2356)), "", VLOOKUP(A2356,'Discount Lookup'!G:H,2,FALSE)*G2356)</f>
        <v/>
      </c>
      <c r="W2356" s="102">
        <f t="shared" si="1728"/>
        <v>0</v>
      </c>
      <c r="X2356" s="102">
        <f t="shared" si="1729"/>
        <v>0</v>
      </c>
      <c r="Y2356" s="120" t="b">
        <f t="shared" si="1730"/>
        <v>0</v>
      </c>
      <c r="Z2356" s="117">
        <f t="shared" si="1731"/>
        <v>0</v>
      </c>
      <c r="AA2356" s="118"/>
      <c r="AB2356" s="118" t="str">
        <f t="shared" si="1732"/>
        <v/>
      </c>
      <c r="AC2356" s="712" t="str">
        <f>IF(AE2356="T2G","no charge",IF(AND(OR(PlanterYesMe="No",PlanterYesMe="N",PlanterYesMe="me"),H2356=""),"",IF(H2356="credit","NO install",IF(AND(K2356="",AE2356="me"),"EACH row",IF(AND(K2356="images",AE2356="me"),"EACH row",IF(D2356="","",IF(H2356="credit","",IF(AE2356="free","re-planting",IF(AE2356="me","   not ELP, by",IF(AND(OR(PlanterYesMe="Yes",PlanterYesMe="Y"),G2356&gt;0),(VLOOKUP(A2356,'Discount Lookup'!J:K,2)*G2356*(1-PlanterDiscount)*(1+PlanterDifficultyPercentage)),IF(AE2356="ELP",(VLOOKUP(A2356,'Discount Lookup'!J:K,2)*G2356*(1-PlanterDiscount)*(1+PlanterDifficultyPercentage)),IF(AE2356="free","re-planting",IF(G2356=0,"",IF(PlanterYesMe="",IF(AE2356="me","   not ELP, by",IF(AE2356="",IF(G2356&gt;0,(VLOOKUP(A2356,'Discount Lookup'!J:K,2)*G2356*(1-PlanterDiscount)*(1+PlanterDifficultyPercentage)),""),"")),"   not ELP, by"))))))))))))))</f>
        <v/>
      </c>
      <c r="AD2356" s="712"/>
      <c r="AE2356" s="513" t="str">
        <f t="shared" si="1733"/>
        <v/>
      </c>
      <c r="AF2356" s="713" t="str">
        <f t="shared" si="1734"/>
        <v/>
      </c>
      <c r="AG2356" s="713"/>
      <c r="AH2356" s="713"/>
      <c r="AI2356" s="112">
        <f>IF(H2356="credit",0,IF(AE2356="free",0,IF(AE2356="me",0,IF(G2356&gt;0,(VLOOKUP(A2356,'Discount Lookup'!J:K,2)*G2356),0))))</f>
        <v>0</v>
      </c>
      <c r="AJ2356" s="107" t="str">
        <f t="shared" ca="1" si="1735"/>
        <v/>
      </c>
      <c r="AK2356" s="714" t="str">
        <f t="shared" si="1736"/>
        <v/>
      </c>
      <c r="AL2356" s="714"/>
      <c r="AM2356" s="114" t="str">
        <f t="shared" si="1737"/>
        <v/>
      </c>
      <c r="AN2356" s="115"/>
      <c r="AO2356" s="116"/>
      <c r="AP2356" s="116"/>
      <c r="AQ2356" s="116"/>
      <c r="AR2356" s="116"/>
      <c r="AS2356" s="116"/>
      <c r="AT2356" s="116"/>
      <c r="AU2356" s="116"/>
      <c r="AV2356" s="78"/>
      <c r="AW2356" s="102"/>
      <c r="AX2356" s="78"/>
      <c r="AY2356" s="78"/>
      <c r="AZ2356" s="78"/>
      <c r="BA2356" s="78"/>
      <c r="BB2356" s="78"/>
      <c r="BC2356" s="78"/>
      <c r="BD2356" s="78"/>
      <c r="BE2356" s="465"/>
      <c r="BF2356" s="165" t="str">
        <f t="shared" si="1738"/>
        <v>https://www.google.com/search?tbm=isch&amp;q=wet%20sites%F0%9F%92%A7GOOD%2C%20Hardy%20Anise%20provides%20a%20consistent%20backdrop%20of%20rich%20Green%20color%20year-round.%20Licorice%20scent%20is%20offensive%20to%20deer%20</v>
      </c>
      <c r="BG2356" s="165" t="str">
        <f t="shared" si="1739"/>
        <v>w</v>
      </c>
      <c r="BH2356" s="65"/>
      <c r="BI2356" s="65"/>
      <c r="BJ2356" s="65"/>
      <c r="BK2356" s="65"/>
      <c r="BL2356" s="99"/>
      <c r="BM2356" s="99"/>
      <c r="BN2356" s="99"/>
    </row>
    <row r="2357" spans="1:66" s="51" customFormat="1" ht="18" x14ac:dyDescent="0.25">
      <c r="A2357" s="507" t="s">
        <v>3049</v>
      </c>
      <c r="B2357" s="470"/>
      <c r="C2357" s="706"/>
      <c r="D2357" s="471" t="s">
        <v>3050</v>
      </c>
      <c r="E2357" s="472"/>
      <c r="F2357" s="472"/>
      <c r="G2357" s="472"/>
      <c r="H2357" s="622" t="s">
        <v>1126</v>
      </c>
      <c r="I2357" s="473" t="s">
        <v>3051</v>
      </c>
      <c r="J2357" s="472"/>
      <c r="K2357" s="472"/>
      <c r="L2357" s="561"/>
      <c r="M2357" s="703" t="s">
        <v>5274</v>
      </c>
      <c r="N2357" s="692" t="str">
        <f>IF(AND(ISTEXT($A2357), ISERROR($A2357+0)), HYPERLINK($BF2357, "Images"), "")</f>
        <v>Images</v>
      </c>
      <c r="O2357" s="694" t="s">
        <v>5244</v>
      </c>
      <c r="P2357" s="475"/>
      <c r="Q2357" s="476"/>
      <c r="R2357" s="476"/>
      <c r="S2357" s="477" t="s">
        <v>294</v>
      </c>
      <c r="T2357" s="102">
        <f t="shared" si="1727"/>
        <v>0</v>
      </c>
      <c r="U2357" s="78" t="str">
        <f>IF(NOT(ISNUMBER(G2357)), "", VLOOKUP(A2357,'Discount Lookup'!D:E,2,FALSE)*G2357)</f>
        <v/>
      </c>
      <c r="V2357" s="78" t="str">
        <f>IF(NOT(ISNUMBER(G2357)), "", VLOOKUP(A2357,'Discount Lookup'!G:H,2,FALSE)*G2357)</f>
        <v/>
      </c>
      <c r="W2357" s="102">
        <f t="shared" si="1728"/>
        <v>0</v>
      </c>
      <c r="X2357" s="102" t="str">
        <f t="shared" si="1729"/>
        <v>Chartreuse foliage</v>
      </c>
      <c r="Y2357" s="120" t="b">
        <f t="shared" si="1730"/>
        <v>0</v>
      </c>
      <c r="Z2357" s="117">
        <f t="shared" si="1731"/>
        <v>0</v>
      </c>
      <c r="AA2357" s="118"/>
      <c r="AB2357" s="118" t="str">
        <f t="shared" si="1732"/>
        <v/>
      </c>
      <c r="AC2357" s="712" t="str">
        <f>IF(AE2357="T2G","no charge",IF(AND(OR(PlanterYesMe="No",PlanterYesMe="N",PlanterYesMe="me"),H2357=""),"",IF(H2357="credit","NO install",IF(AND(K2357="",AE2357="me"),"EACH row",IF(AND(K2357="images",AE2357="me"),"EACH row",IF(D2357="","",IF(H2357="credit","",IF(AE2357="free","re-planting",IF(AE2357="me","   not ELP, by",IF(AND(OR(PlanterYesMe="Yes",PlanterYesMe="Y"),G2357&gt;0),(VLOOKUP(A2357,'Discount Lookup'!J:K,2)*G2357*(1-PlanterDiscount)*(1+PlanterDifficultyPercentage)),IF(AE2357="ELP",(VLOOKUP(A2357,'Discount Lookup'!J:K,2)*G2357*(1-PlanterDiscount)*(1+PlanterDifficultyPercentage)),IF(AE2357="free","re-planting",IF(G2357=0,"",IF(PlanterYesMe="",IF(AE2357="me","   not ELP, by",IF(AE2357="",IF(G2357&gt;0,(VLOOKUP(A2357,'Discount Lookup'!J:K,2)*G2357*(1-PlanterDiscount)*(1+PlanterDifficultyPercentage)),""),"")),"   not ELP, by"))))))))))))))</f>
        <v/>
      </c>
      <c r="AD2357" s="712"/>
      <c r="AE2357" s="513" t="str">
        <f t="shared" si="1733"/>
        <v/>
      </c>
      <c r="AF2357" s="713" t="str">
        <f t="shared" si="1734"/>
        <v/>
      </c>
      <c r="AG2357" s="713"/>
      <c r="AH2357" s="713"/>
      <c r="AI2357" s="112">
        <f>IF(H2357="credit",0,IF(AE2357="free",0,IF(AE2357="me",0,IF(G2357&gt;0,(VLOOKUP(A2357,'Discount Lookup'!J:K,2)*G2357),0))))</f>
        <v>0</v>
      </c>
      <c r="AJ2357" s="107" t="str">
        <f t="shared" ca="1" si="1735"/>
        <v/>
      </c>
      <c r="AK2357" s="714" t="str">
        <f t="shared" si="1736"/>
        <v/>
      </c>
      <c r="AL2357" s="714"/>
      <c r="AM2357" s="114" t="str">
        <f t="shared" si="1737"/>
        <v/>
      </c>
      <c r="AN2357" s="115"/>
      <c r="AO2357" s="116"/>
      <c r="AP2357" s="116"/>
      <c r="AQ2357" s="116"/>
      <c r="AR2357" s="116"/>
      <c r="AS2357" s="116"/>
      <c r="AT2357" s="116"/>
      <c r="AU2357" s="116"/>
      <c r="AV2357" s="78"/>
      <c r="AW2357" s="102"/>
      <c r="AX2357" s="78"/>
      <c r="AY2357" s="78"/>
      <c r="AZ2357" s="78"/>
      <c r="BA2357" s="78"/>
      <c r="BB2357" s="78"/>
      <c r="BC2357" s="78"/>
      <c r="BD2357" s="78"/>
      <c r="BE2357" s="465"/>
      <c r="BF2357" s="165" t="str">
        <f t="shared" si="1738"/>
        <v>https://www.google.com/search?tbm=isch&amp;q=Illicium%20parviflorum%20%27Florida%20Sunshine%27%20PP%2328887%20Florida%20Sunshine%20Anise%20Tree</v>
      </c>
      <c r="BG2357" s="165" t="str">
        <f t="shared" si="1739"/>
        <v>I</v>
      </c>
      <c r="BH2357" s="65"/>
      <c r="BI2357" s="65"/>
      <c r="BJ2357" s="65"/>
      <c r="BK2357" s="65"/>
      <c r="BL2357" s="99"/>
      <c r="BM2357" s="99"/>
      <c r="BN2357" s="99"/>
    </row>
    <row r="2358" spans="1:66" s="51" customFormat="1" ht="15.75" x14ac:dyDescent="0.25">
      <c r="A2358" s="478">
        <v>3</v>
      </c>
      <c r="B2358" s="479" t="s">
        <v>291</v>
      </c>
      <c r="C2358" s="480" t="s">
        <v>3052</v>
      </c>
      <c r="D2358" s="481" t="s">
        <v>309</v>
      </c>
      <c r="E2358" s="482">
        <v>26.95</v>
      </c>
      <c r="F2358" s="483" t="s">
        <v>292</v>
      </c>
      <c r="G2358" s="484">
        <v>0</v>
      </c>
      <c r="H2358" s="688" t="str">
        <f t="shared" ref="H2358:H2364" si="1762">IF(G2358=0,"",IF(F2358="Buy",IF(G2358=1,"plant","plants"),IF(F2358&gt;0.01,"warranty","Error")))</f>
        <v/>
      </c>
      <c r="I2358" s="485">
        <f t="shared" ref="I2358:I2364" si="1763">IF(H2358="free",0,IF(H2358="credit",((E2358*(F2358))*G2358*-1),IF(F2358="Buy",(E2358*G2358),((E2358*(1-F2358))*G2358))))</f>
        <v>0</v>
      </c>
      <c r="J2358" s="485">
        <f t="shared" ref="J2358:J2364" si="1764">IF(H2358="warranty",0,(I2358*(_xlfn.SINGLE(SalesTaxPercentage))))</f>
        <v>0</v>
      </c>
      <c r="K2358" s="715">
        <f t="shared" ref="K2358" si="1765">I2358+J2358</f>
        <v>0</v>
      </c>
      <c r="L2358" s="715"/>
      <c r="M2358" s="689" t="str">
        <f t="shared" ref="M2358:M2364" ca="1" si="1766">IF(AND(G2358&gt;0,E2358=0),"WARNING - no PRICE inserted",IF(H2358="free","FREE ~ no charge this plant",IF(H2358="credit",CONCATENATE("-$",ROUND(K2358*(1-_xlfn.SINGLE(T2GDiscount))*-1,2)," CREDIT after discount"),IF(_xlfn.SINGLE(T2GDiscount)=0,"",IF(G2358=0,"",IF(F2358="Buy",CONCATENATE("$",ROUND(K2358*(1-_xlfn.SINGLE(T2GDiscount)),2)," with ",(_xlfn.SINGLE(T2GDiscount)*100),"% discount"),CONCATENATE("$",ROUND(K2358*(1-_xlfn.SINGLE(T2GDiscount)),2)," with ",((_xlfn.SINGLE(T2GDiscount)*100+F2358*100)-(_xlfn.SINGLE(T2GDiscount)*100*F2358)),IF(F2358&gt;0,"% discounts",IF(_xlfn.SINGLE(NoWarrantyDiscount)&gt;0,"% discounts","% discount")))))))))</f>
        <v/>
      </c>
      <c r="N2358" s="690"/>
      <c r="O2358" s="486"/>
      <c r="P2358" s="486"/>
      <c r="Q2358" s="486"/>
      <c r="R2358" s="486"/>
      <c r="S2358" s="486"/>
      <c r="T2358" s="102">
        <f t="shared" si="1727"/>
        <v>0</v>
      </c>
      <c r="U2358" s="78">
        <f>IF(NOT(ISNUMBER(G2358)), "", VLOOKUP(A2358,'Discount Lookup'!D:E,2,FALSE)*G2358)</f>
        <v>0</v>
      </c>
      <c r="V2358" s="78">
        <f>IF(NOT(ISNUMBER(G2358)), "", VLOOKUP(A2358,'Discount Lookup'!G:H,2,FALSE)*G2358)</f>
        <v>0</v>
      </c>
      <c r="W2358" s="102">
        <f t="shared" si="1728"/>
        <v>0</v>
      </c>
      <c r="X2358" s="102">
        <f t="shared" si="1729"/>
        <v>0</v>
      </c>
      <c r="Y2358" s="120" t="b">
        <f t="shared" si="1730"/>
        <v>0</v>
      </c>
      <c r="Z2358" s="117">
        <f t="shared" si="1731"/>
        <v>0</v>
      </c>
      <c r="AA2358" s="118"/>
      <c r="AB2358" s="118" t="str">
        <f t="shared" si="1732"/>
        <v/>
      </c>
      <c r="AC2358" s="712" t="str">
        <f>IF(AE2358="T2G","no charge",IF(AND(OR(PlanterYesMe="No",PlanterYesMe="N",PlanterYesMe="me"),H2358=""),"",IF(H2358="credit","NO install",IF(AND(K2358="",AE2358="me"),"EACH row",IF(AND(K2358="images",AE2358="me"),"EACH row",IF(D2358="","",IF(H2358="credit","",IF(AE2358="free","re-planting",IF(AE2358="me","   not ELP, by",IF(AND(OR(PlanterYesMe="Yes",PlanterYesMe="Y"),G2358&gt;0),(VLOOKUP(A2358,'Discount Lookup'!J:K,2)*G2358*(1-PlanterDiscount)*(1+PlanterDifficultyPercentage)),IF(AE2358="ELP",(VLOOKUP(A2358,'Discount Lookup'!J:K,2)*G2358*(1-PlanterDiscount)*(1+PlanterDifficultyPercentage)),IF(AE2358="free","re-planting",IF(G2358=0,"",IF(PlanterYesMe="",IF(AE2358="me","   not ELP, by",IF(AE2358="",IF(G2358&gt;0,(VLOOKUP(A2358,'Discount Lookup'!J:K,2)*G2358*(1-PlanterDiscount)*(1+PlanterDifficultyPercentage)),""),"")),"   not ELP, by"))))))))))))))</f>
        <v/>
      </c>
      <c r="AD2358" s="712"/>
      <c r="AE2358" s="513" t="str">
        <f t="shared" si="1733"/>
        <v/>
      </c>
      <c r="AF2358" s="713" t="str">
        <f t="shared" si="1734"/>
        <v/>
      </c>
      <c r="AG2358" s="713"/>
      <c r="AH2358" s="713"/>
      <c r="AI2358" s="112">
        <f>IF(H2358="credit",0,IF(AE2358="free",0,IF(AE2358="me",0,IF(G2358&gt;0,(VLOOKUP(A2358,'Discount Lookup'!J:K,2)*G2358),0))))</f>
        <v>0</v>
      </c>
      <c r="AJ2358" s="107" t="str">
        <f t="shared" ca="1" si="1735"/>
        <v/>
      </c>
      <c r="AK2358" s="714" t="str">
        <f t="shared" si="1736"/>
        <v/>
      </c>
      <c r="AL2358" s="714"/>
      <c r="AM2358" s="114" t="str">
        <f t="shared" si="1737"/>
        <v/>
      </c>
      <c r="AN2358" s="115"/>
      <c r="AO2358" s="116"/>
      <c r="AP2358" s="116"/>
      <c r="AQ2358" s="116"/>
      <c r="AR2358" s="116"/>
      <c r="AS2358" s="116"/>
      <c r="AT2358" s="116"/>
      <c r="AU2358" s="116"/>
      <c r="AV2358" s="78"/>
      <c r="AW2358" s="102"/>
      <c r="AX2358" s="78"/>
      <c r="AY2358" s="78"/>
      <c r="AZ2358" s="78"/>
      <c r="BA2358" s="78"/>
      <c r="BB2358" s="78"/>
      <c r="BC2358" s="78"/>
      <c r="BD2358" s="78"/>
      <c r="BE2358" s="465"/>
      <c r="BF2358" s="165" t="str">
        <f t="shared" si="1738"/>
        <v>https://www.google.com/search?tbm=isch&amp;q=3%20G3</v>
      </c>
      <c r="BG2358" s="165" t="str">
        <f t="shared" si="1739"/>
        <v>I</v>
      </c>
      <c r="BH2358" s="65"/>
      <c r="BI2358" s="65"/>
      <c r="BJ2358" s="65"/>
      <c r="BK2358" s="65"/>
      <c r="BL2358" s="99"/>
      <c r="BM2358" s="99"/>
      <c r="BN2358" s="99"/>
    </row>
    <row r="2359" spans="1:66" s="51" customFormat="1" ht="15.75" x14ac:dyDescent="0.25">
      <c r="A2359" s="478">
        <v>3</v>
      </c>
      <c r="B2359" s="479" t="s">
        <v>291</v>
      </c>
      <c r="C2359" s="480" t="s">
        <v>346</v>
      </c>
      <c r="D2359" s="481" t="s">
        <v>310</v>
      </c>
      <c r="E2359" s="482">
        <v>28.95</v>
      </c>
      <c r="F2359" s="483" t="s">
        <v>292</v>
      </c>
      <c r="G2359" s="484">
        <v>0</v>
      </c>
      <c r="H2359" s="688" t="str">
        <f t="shared" si="1762"/>
        <v/>
      </c>
      <c r="I2359" s="485">
        <f t="shared" si="1763"/>
        <v>0</v>
      </c>
      <c r="J2359" s="485">
        <f t="shared" si="1764"/>
        <v>0</v>
      </c>
      <c r="K2359" s="715">
        <f t="shared" ref="K2359" si="1767">I2359+J2359</f>
        <v>0</v>
      </c>
      <c r="L2359" s="715"/>
      <c r="M2359" s="689" t="str">
        <f t="shared" ca="1" si="1766"/>
        <v/>
      </c>
      <c r="N2359" s="690"/>
      <c r="O2359" s="486"/>
      <c r="P2359" s="486"/>
      <c r="Q2359" s="486"/>
      <c r="R2359" s="486"/>
      <c r="S2359" s="486"/>
      <c r="T2359" s="102">
        <f t="shared" si="1727"/>
        <v>0</v>
      </c>
      <c r="U2359" s="78">
        <f>IF(NOT(ISNUMBER(G2359)), "", VLOOKUP(A2359,'Discount Lookup'!D:E,2,FALSE)*G2359)</f>
        <v>0</v>
      </c>
      <c r="V2359" s="78">
        <f>IF(NOT(ISNUMBER(G2359)), "", VLOOKUP(A2359,'Discount Lookup'!G:H,2,FALSE)*G2359)</f>
        <v>0</v>
      </c>
      <c r="W2359" s="102">
        <f t="shared" si="1728"/>
        <v>0</v>
      </c>
      <c r="X2359" s="102">
        <f t="shared" si="1729"/>
        <v>0</v>
      </c>
      <c r="Y2359" s="120" t="b">
        <f t="shared" si="1730"/>
        <v>0</v>
      </c>
      <c r="Z2359" s="117">
        <f t="shared" si="1731"/>
        <v>0</v>
      </c>
      <c r="AA2359" s="118"/>
      <c r="AB2359" s="118" t="str">
        <f t="shared" si="1732"/>
        <v/>
      </c>
      <c r="AC2359" s="712" t="str">
        <f>IF(AE2359="T2G","no charge",IF(AND(OR(PlanterYesMe="No",PlanterYesMe="N",PlanterYesMe="me"),H2359=""),"",IF(H2359="credit","NO install",IF(AND(K2359="",AE2359="me"),"EACH row",IF(AND(K2359="images",AE2359="me"),"EACH row",IF(D2359="","",IF(H2359="credit","",IF(AE2359="free","re-planting",IF(AE2359="me","   not ELP, by",IF(AND(OR(PlanterYesMe="Yes",PlanterYesMe="Y"),G2359&gt;0),(VLOOKUP(A2359,'Discount Lookup'!J:K,2)*G2359*(1-PlanterDiscount)*(1+PlanterDifficultyPercentage)),IF(AE2359="ELP",(VLOOKUP(A2359,'Discount Lookup'!J:K,2)*G2359*(1-PlanterDiscount)*(1+PlanterDifficultyPercentage)),IF(AE2359="free","re-planting",IF(G2359=0,"",IF(PlanterYesMe="",IF(AE2359="me","   not ELP, by",IF(AE2359="",IF(G2359&gt;0,(VLOOKUP(A2359,'Discount Lookup'!J:K,2)*G2359*(1-PlanterDiscount)*(1+PlanterDifficultyPercentage)),""),"")),"   not ELP, by"))))))))))))))</f>
        <v/>
      </c>
      <c r="AD2359" s="712"/>
      <c r="AE2359" s="513" t="str">
        <f t="shared" si="1733"/>
        <v/>
      </c>
      <c r="AF2359" s="713" t="str">
        <f t="shared" si="1734"/>
        <v/>
      </c>
      <c r="AG2359" s="713"/>
      <c r="AH2359" s="713"/>
      <c r="AI2359" s="112">
        <f>IF(H2359="credit",0,IF(AE2359="free",0,IF(AE2359="me",0,IF(G2359&gt;0,(VLOOKUP(A2359,'Discount Lookup'!J:K,2)*G2359),0))))</f>
        <v>0</v>
      </c>
      <c r="AJ2359" s="107" t="str">
        <f t="shared" ca="1" si="1735"/>
        <v/>
      </c>
      <c r="AK2359" s="714" t="str">
        <f t="shared" si="1736"/>
        <v/>
      </c>
      <c r="AL2359" s="714"/>
      <c r="AM2359" s="114" t="str">
        <f t="shared" si="1737"/>
        <v/>
      </c>
      <c r="AN2359" s="115"/>
      <c r="AO2359" s="116"/>
      <c r="AP2359" s="116"/>
      <c r="AQ2359" s="116"/>
      <c r="AR2359" s="116"/>
      <c r="AS2359" s="116"/>
      <c r="AT2359" s="116"/>
      <c r="AU2359" s="116"/>
      <c r="AV2359" s="78"/>
      <c r="AW2359" s="102"/>
      <c r="AX2359" s="78"/>
      <c r="AY2359" s="78"/>
      <c r="AZ2359" s="78"/>
      <c r="BA2359" s="78"/>
      <c r="BB2359" s="78"/>
      <c r="BC2359" s="78"/>
      <c r="BD2359" s="78"/>
      <c r="BE2359" s="465"/>
      <c r="BF2359" s="165" t="str">
        <f t="shared" si="1738"/>
        <v>https://www.google.com/search?tbm=isch&amp;q=3%20G1</v>
      </c>
      <c r="BG2359" s="165" t="str">
        <f t="shared" si="1739"/>
        <v>I</v>
      </c>
      <c r="BH2359" s="65"/>
      <c r="BI2359" s="65"/>
      <c r="BJ2359" s="65"/>
      <c r="BK2359" s="65"/>
      <c r="BL2359" s="99"/>
      <c r="BM2359" s="99"/>
      <c r="BN2359" s="99"/>
    </row>
    <row r="2360" spans="1:66" s="51" customFormat="1" ht="15.75" x14ac:dyDescent="0.25">
      <c r="A2360" s="478">
        <v>3</v>
      </c>
      <c r="B2360" s="479" t="s">
        <v>291</v>
      </c>
      <c r="C2360" s="480" t="s">
        <v>3053</v>
      </c>
      <c r="D2360" s="481" t="s">
        <v>311</v>
      </c>
      <c r="E2360" s="482">
        <v>36.950000000000003</v>
      </c>
      <c r="F2360" s="483" t="s">
        <v>292</v>
      </c>
      <c r="G2360" s="484">
        <v>0</v>
      </c>
      <c r="H2360" s="688" t="str">
        <f t="shared" si="1762"/>
        <v/>
      </c>
      <c r="I2360" s="485">
        <f t="shared" si="1763"/>
        <v>0</v>
      </c>
      <c r="J2360" s="485">
        <f t="shared" si="1764"/>
        <v>0</v>
      </c>
      <c r="K2360" s="715">
        <f t="shared" ref="K2360" si="1768">I2360+J2360</f>
        <v>0</v>
      </c>
      <c r="L2360" s="715"/>
      <c r="M2360" s="689" t="str">
        <f t="shared" ca="1" si="1766"/>
        <v/>
      </c>
      <c r="N2360" s="690"/>
      <c r="O2360" s="486"/>
      <c r="P2360" s="486"/>
      <c r="Q2360" s="486"/>
      <c r="R2360" s="486"/>
      <c r="S2360" s="486"/>
      <c r="T2360" s="102">
        <f t="shared" si="1727"/>
        <v>0</v>
      </c>
      <c r="U2360" s="78">
        <f>IF(NOT(ISNUMBER(G2360)), "", VLOOKUP(A2360,'Discount Lookup'!D:E,2,FALSE)*G2360)</f>
        <v>0</v>
      </c>
      <c r="V2360" s="78">
        <f>IF(NOT(ISNUMBER(G2360)), "", VLOOKUP(A2360,'Discount Lookup'!G:H,2,FALSE)*G2360)</f>
        <v>0</v>
      </c>
      <c r="W2360" s="102">
        <f t="shared" si="1728"/>
        <v>0</v>
      </c>
      <c r="X2360" s="102">
        <f t="shared" si="1729"/>
        <v>0</v>
      </c>
      <c r="Y2360" s="120" t="b">
        <f t="shared" si="1730"/>
        <v>0</v>
      </c>
      <c r="Z2360" s="117">
        <f t="shared" si="1731"/>
        <v>0</v>
      </c>
      <c r="AA2360" s="118"/>
      <c r="AB2360" s="118" t="str">
        <f t="shared" si="1732"/>
        <v/>
      </c>
      <c r="AC2360" s="712" t="str">
        <f>IF(AE2360="T2G","no charge",IF(AND(OR(PlanterYesMe="No",PlanterYesMe="N",PlanterYesMe="me"),H2360=""),"",IF(H2360="credit","NO install",IF(AND(K2360="",AE2360="me"),"EACH row",IF(AND(K2360="images",AE2360="me"),"EACH row",IF(D2360="","",IF(H2360="credit","",IF(AE2360="free","re-planting",IF(AE2360="me","   not ELP, by",IF(AND(OR(PlanterYesMe="Yes",PlanterYesMe="Y"),G2360&gt;0),(VLOOKUP(A2360,'Discount Lookup'!J:K,2)*G2360*(1-PlanterDiscount)*(1+PlanterDifficultyPercentage)),IF(AE2360="ELP",(VLOOKUP(A2360,'Discount Lookup'!J:K,2)*G2360*(1-PlanterDiscount)*(1+PlanterDifficultyPercentage)),IF(AE2360="free","re-planting",IF(G2360=0,"",IF(PlanterYesMe="",IF(AE2360="me","   not ELP, by",IF(AE2360="",IF(G2360&gt;0,(VLOOKUP(A2360,'Discount Lookup'!J:K,2)*G2360*(1-PlanterDiscount)*(1+PlanterDifficultyPercentage)),""),"")),"   not ELP, by"))))))))))))))</f>
        <v/>
      </c>
      <c r="AD2360" s="712"/>
      <c r="AE2360" s="513" t="str">
        <f t="shared" si="1733"/>
        <v/>
      </c>
      <c r="AF2360" s="713" t="str">
        <f t="shared" si="1734"/>
        <v/>
      </c>
      <c r="AG2360" s="713"/>
      <c r="AH2360" s="713"/>
      <c r="AI2360" s="112">
        <f>IF(H2360="credit",0,IF(AE2360="free",0,IF(AE2360="me",0,IF(G2360&gt;0,(VLOOKUP(A2360,'Discount Lookup'!J:K,2)*G2360),0))))</f>
        <v>0</v>
      </c>
      <c r="AJ2360" s="107" t="str">
        <f t="shared" ca="1" si="1735"/>
        <v/>
      </c>
      <c r="AK2360" s="714" t="str">
        <f t="shared" si="1736"/>
        <v/>
      </c>
      <c r="AL2360" s="714"/>
      <c r="AM2360" s="114" t="str">
        <f t="shared" si="1737"/>
        <v/>
      </c>
      <c r="AN2360" s="115"/>
      <c r="AO2360" s="116"/>
      <c r="AP2360" s="116"/>
      <c r="AQ2360" s="116"/>
      <c r="AR2360" s="116"/>
      <c r="AS2360" s="116"/>
      <c r="AT2360" s="116"/>
      <c r="AU2360" s="116"/>
      <c r="AV2360" s="78"/>
      <c r="AW2360" s="102"/>
      <c r="AX2360" s="78"/>
      <c r="AY2360" s="78"/>
      <c r="AZ2360" s="78"/>
      <c r="BA2360" s="78"/>
      <c r="BB2360" s="78"/>
      <c r="BC2360" s="78"/>
      <c r="BD2360" s="78"/>
      <c r="BE2360" s="465"/>
      <c r="BF2360" s="165" t="str">
        <f t="shared" si="1738"/>
        <v>https://www.google.com/search?tbm=isch&amp;q=3%20G5</v>
      </c>
      <c r="BG2360" s="165" t="str">
        <f t="shared" si="1739"/>
        <v>I</v>
      </c>
      <c r="BH2360" s="65"/>
      <c r="BI2360" s="65"/>
      <c r="BJ2360" s="65"/>
      <c r="BK2360" s="65"/>
      <c r="BL2360" s="99"/>
      <c r="BM2360" s="99"/>
      <c r="BN2360" s="99"/>
    </row>
    <row r="2361" spans="1:66" s="51" customFormat="1" ht="15.75" x14ac:dyDescent="0.25">
      <c r="A2361" s="478">
        <v>7</v>
      </c>
      <c r="B2361" s="479" t="s">
        <v>291</v>
      </c>
      <c r="C2361" s="480" t="s">
        <v>336</v>
      </c>
      <c r="D2361" s="481" t="s">
        <v>310</v>
      </c>
      <c r="E2361" s="482">
        <v>68.95</v>
      </c>
      <c r="F2361" s="483" t="s">
        <v>292</v>
      </c>
      <c r="G2361" s="484">
        <v>0</v>
      </c>
      <c r="H2361" s="688" t="str">
        <f t="shared" si="1762"/>
        <v/>
      </c>
      <c r="I2361" s="485">
        <f t="shared" si="1763"/>
        <v>0</v>
      </c>
      <c r="J2361" s="485">
        <f t="shared" si="1764"/>
        <v>0</v>
      </c>
      <c r="K2361" s="715">
        <f t="shared" ref="K2361" si="1769">I2361+J2361</f>
        <v>0</v>
      </c>
      <c r="L2361" s="715"/>
      <c r="M2361" s="689" t="str">
        <f t="shared" ca="1" si="1766"/>
        <v/>
      </c>
      <c r="N2361" s="690"/>
      <c r="O2361" s="486"/>
      <c r="P2361" s="486"/>
      <c r="Q2361" s="486"/>
      <c r="R2361" s="486"/>
      <c r="S2361" s="486"/>
      <c r="T2361" s="102">
        <f t="shared" si="1727"/>
        <v>0</v>
      </c>
      <c r="U2361" s="78">
        <f>IF(NOT(ISNUMBER(G2361)), "", VLOOKUP(A2361,'Discount Lookup'!D:E,2,FALSE)*G2361)</f>
        <v>0</v>
      </c>
      <c r="V2361" s="78">
        <f>IF(NOT(ISNUMBER(G2361)), "", VLOOKUP(A2361,'Discount Lookup'!G:H,2,FALSE)*G2361)</f>
        <v>0</v>
      </c>
      <c r="W2361" s="102">
        <f t="shared" si="1728"/>
        <v>0</v>
      </c>
      <c r="X2361" s="102">
        <f t="shared" si="1729"/>
        <v>0</v>
      </c>
      <c r="Y2361" s="120" t="b">
        <f t="shared" si="1730"/>
        <v>0</v>
      </c>
      <c r="Z2361" s="117">
        <f t="shared" si="1731"/>
        <v>0</v>
      </c>
      <c r="AA2361" s="118"/>
      <c r="AB2361" s="118" t="str">
        <f t="shared" si="1732"/>
        <v/>
      </c>
      <c r="AC2361" s="712" t="str">
        <f>IF(AE2361="T2G","no charge",IF(AND(OR(PlanterYesMe="No",PlanterYesMe="N",PlanterYesMe="me"),H2361=""),"",IF(H2361="credit","NO install",IF(AND(K2361="",AE2361="me"),"EACH row",IF(AND(K2361="images",AE2361="me"),"EACH row",IF(D2361="","",IF(H2361="credit","",IF(AE2361="free","re-planting",IF(AE2361="me","   not ELP, by",IF(AND(OR(PlanterYesMe="Yes",PlanterYesMe="Y"),G2361&gt;0),(VLOOKUP(A2361,'Discount Lookup'!J:K,2)*G2361*(1-PlanterDiscount)*(1+PlanterDifficultyPercentage)),IF(AE2361="ELP",(VLOOKUP(A2361,'Discount Lookup'!J:K,2)*G2361*(1-PlanterDiscount)*(1+PlanterDifficultyPercentage)),IF(AE2361="free","re-planting",IF(G2361=0,"",IF(PlanterYesMe="",IF(AE2361="me","   not ELP, by",IF(AE2361="",IF(G2361&gt;0,(VLOOKUP(A2361,'Discount Lookup'!J:K,2)*G2361*(1-PlanterDiscount)*(1+PlanterDifficultyPercentage)),""),"")),"   not ELP, by"))))))))))))))</f>
        <v/>
      </c>
      <c r="AD2361" s="712"/>
      <c r="AE2361" s="513" t="str">
        <f t="shared" si="1733"/>
        <v/>
      </c>
      <c r="AF2361" s="713" t="str">
        <f t="shared" si="1734"/>
        <v/>
      </c>
      <c r="AG2361" s="713"/>
      <c r="AH2361" s="713"/>
      <c r="AI2361" s="112">
        <f>IF(H2361="credit",0,IF(AE2361="free",0,IF(AE2361="me",0,IF(G2361&gt;0,(VLOOKUP(A2361,'Discount Lookup'!J:K,2)*G2361),0))))</f>
        <v>0</v>
      </c>
      <c r="AJ2361" s="107" t="str">
        <f t="shared" ca="1" si="1735"/>
        <v/>
      </c>
      <c r="AK2361" s="714" t="str">
        <f t="shared" si="1736"/>
        <v/>
      </c>
      <c r="AL2361" s="714"/>
      <c r="AM2361" s="114" t="str">
        <f t="shared" si="1737"/>
        <v/>
      </c>
      <c r="AN2361" s="115"/>
      <c r="AO2361" s="116"/>
      <c r="AP2361" s="116"/>
      <c r="AQ2361" s="116"/>
      <c r="AR2361" s="116"/>
      <c r="AS2361" s="116"/>
      <c r="AT2361" s="116"/>
      <c r="AU2361" s="116"/>
      <c r="AV2361" s="78"/>
      <c r="AW2361" s="102"/>
      <c r="AX2361" s="78"/>
      <c r="AY2361" s="78"/>
      <c r="AZ2361" s="78"/>
      <c r="BA2361" s="78"/>
      <c r="BB2361" s="78"/>
      <c r="BC2361" s="78"/>
      <c r="BD2361" s="78"/>
      <c r="BE2361" s="465"/>
      <c r="BF2361" s="165" t="str">
        <f t="shared" si="1738"/>
        <v>https://www.google.com/search?tbm=isch&amp;q=7%20G1</v>
      </c>
      <c r="BG2361" s="165" t="str">
        <f t="shared" si="1739"/>
        <v>I</v>
      </c>
      <c r="BH2361" s="65"/>
      <c r="BI2361" s="65"/>
      <c r="BJ2361" s="65"/>
      <c r="BK2361" s="65"/>
      <c r="BL2361" s="99"/>
      <c r="BM2361" s="99"/>
      <c r="BN2361" s="99"/>
    </row>
    <row r="2362" spans="1:66" s="51" customFormat="1" ht="15.75" x14ac:dyDescent="0.25">
      <c r="A2362" s="478">
        <v>7</v>
      </c>
      <c r="B2362" s="479" t="s">
        <v>291</v>
      </c>
      <c r="C2362" s="480" t="s">
        <v>3052</v>
      </c>
      <c r="D2362" s="481" t="s">
        <v>309</v>
      </c>
      <c r="E2362" s="482">
        <v>68.95</v>
      </c>
      <c r="F2362" s="483" t="s">
        <v>292</v>
      </c>
      <c r="G2362" s="484">
        <v>0</v>
      </c>
      <c r="H2362" s="688" t="str">
        <f t="shared" si="1762"/>
        <v/>
      </c>
      <c r="I2362" s="485">
        <f t="shared" si="1763"/>
        <v>0</v>
      </c>
      <c r="J2362" s="485">
        <f t="shared" si="1764"/>
        <v>0</v>
      </c>
      <c r="K2362" s="715">
        <f t="shared" ref="K2362" si="1770">I2362+J2362</f>
        <v>0</v>
      </c>
      <c r="L2362" s="715"/>
      <c r="M2362" s="689" t="str">
        <f t="shared" ca="1" si="1766"/>
        <v/>
      </c>
      <c r="N2362" s="690"/>
      <c r="O2362" s="486"/>
      <c r="P2362" s="486"/>
      <c r="Q2362" s="486"/>
      <c r="R2362" s="486"/>
      <c r="S2362" s="486"/>
      <c r="T2362" s="102">
        <f t="shared" si="1727"/>
        <v>0</v>
      </c>
      <c r="U2362" s="78">
        <f>IF(NOT(ISNUMBER(G2362)), "", VLOOKUP(A2362,'Discount Lookup'!D:E,2,FALSE)*G2362)</f>
        <v>0</v>
      </c>
      <c r="V2362" s="78">
        <f>IF(NOT(ISNUMBER(G2362)), "", VLOOKUP(A2362,'Discount Lookup'!G:H,2,FALSE)*G2362)</f>
        <v>0</v>
      </c>
      <c r="W2362" s="102">
        <f t="shared" si="1728"/>
        <v>0</v>
      </c>
      <c r="X2362" s="102">
        <f t="shared" si="1729"/>
        <v>0</v>
      </c>
      <c r="Y2362" s="120" t="b">
        <f t="shared" si="1730"/>
        <v>0</v>
      </c>
      <c r="Z2362" s="117">
        <f t="shared" si="1731"/>
        <v>0</v>
      </c>
      <c r="AA2362" s="118"/>
      <c r="AB2362" s="118" t="str">
        <f t="shared" si="1732"/>
        <v/>
      </c>
      <c r="AC2362" s="712" t="str">
        <f>IF(AE2362="T2G","no charge",IF(AND(OR(PlanterYesMe="No",PlanterYesMe="N",PlanterYesMe="me"),H2362=""),"",IF(H2362="credit","NO install",IF(AND(K2362="",AE2362="me"),"EACH row",IF(AND(K2362="images",AE2362="me"),"EACH row",IF(D2362="","",IF(H2362="credit","",IF(AE2362="free","re-planting",IF(AE2362="me","   not ELP, by",IF(AND(OR(PlanterYesMe="Yes",PlanterYesMe="Y"),G2362&gt;0),(VLOOKUP(A2362,'Discount Lookup'!J:K,2)*G2362*(1-PlanterDiscount)*(1+PlanterDifficultyPercentage)),IF(AE2362="ELP",(VLOOKUP(A2362,'Discount Lookup'!J:K,2)*G2362*(1-PlanterDiscount)*(1+PlanterDifficultyPercentage)),IF(AE2362="free","re-planting",IF(G2362=0,"",IF(PlanterYesMe="",IF(AE2362="me","   not ELP, by",IF(AE2362="",IF(G2362&gt;0,(VLOOKUP(A2362,'Discount Lookup'!J:K,2)*G2362*(1-PlanterDiscount)*(1+PlanterDifficultyPercentage)),""),"")),"   not ELP, by"))))))))))))))</f>
        <v/>
      </c>
      <c r="AD2362" s="712"/>
      <c r="AE2362" s="513" t="str">
        <f t="shared" si="1733"/>
        <v/>
      </c>
      <c r="AF2362" s="713" t="str">
        <f t="shared" si="1734"/>
        <v/>
      </c>
      <c r="AG2362" s="713"/>
      <c r="AH2362" s="713"/>
      <c r="AI2362" s="112">
        <f>IF(H2362="credit",0,IF(AE2362="free",0,IF(AE2362="me",0,IF(G2362&gt;0,(VLOOKUP(A2362,'Discount Lookup'!J:K,2)*G2362),0))))</f>
        <v>0</v>
      </c>
      <c r="AJ2362" s="107" t="str">
        <f t="shared" ca="1" si="1735"/>
        <v/>
      </c>
      <c r="AK2362" s="714" t="str">
        <f t="shared" si="1736"/>
        <v/>
      </c>
      <c r="AL2362" s="714"/>
      <c r="AM2362" s="114" t="str">
        <f t="shared" si="1737"/>
        <v/>
      </c>
      <c r="AN2362" s="115"/>
      <c r="AO2362" s="116"/>
      <c r="AP2362" s="116"/>
      <c r="AQ2362" s="116"/>
      <c r="AR2362" s="116"/>
      <c r="AS2362" s="116"/>
      <c r="AT2362" s="116"/>
      <c r="AU2362" s="116"/>
      <c r="AV2362" s="78"/>
      <c r="AW2362" s="102"/>
      <c r="AX2362" s="78"/>
      <c r="AY2362" s="78"/>
      <c r="AZ2362" s="78"/>
      <c r="BA2362" s="78"/>
      <c r="BB2362" s="78"/>
      <c r="BC2362" s="78"/>
      <c r="BD2362" s="78"/>
      <c r="BE2362" s="465"/>
      <c r="BF2362" s="165" t="str">
        <f t="shared" si="1738"/>
        <v>https://www.google.com/search?tbm=isch&amp;q=7%20G3</v>
      </c>
      <c r="BG2362" s="165" t="str">
        <f t="shared" si="1739"/>
        <v>I</v>
      </c>
      <c r="BH2362" s="65"/>
      <c r="BI2362" s="65"/>
      <c r="BJ2362" s="65"/>
      <c r="BK2362" s="65"/>
      <c r="BL2362" s="99"/>
      <c r="BM2362" s="99"/>
      <c r="BN2362" s="99"/>
    </row>
    <row r="2363" spans="1:66" s="51" customFormat="1" ht="15.75" x14ac:dyDescent="0.25">
      <c r="A2363" s="478">
        <v>7</v>
      </c>
      <c r="B2363" s="479" t="s">
        <v>291</v>
      </c>
      <c r="C2363" s="480" t="s">
        <v>4624</v>
      </c>
      <c r="D2363" s="481" t="s">
        <v>311</v>
      </c>
      <c r="E2363" s="482">
        <v>68.95</v>
      </c>
      <c r="F2363" s="483" t="s">
        <v>292</v>
      </c>
      <c r="G2363" s="484">
        <v>0</v>
      </c>
      <c r="H2363" s="688" t="str">
        <f t="shared" si="1762"/>
        <v/>
      </c>
      <c r="I2363" s="485">
        <f t="shared" si="1763"/>
        <v>0</v>
      </c>
      <c r="J2363" s="485">
        <f t="shared" si="1764"/>
        <v>0</v>
      </c>
      <c r="K2363" s="715">
        <f t="shared" ref="K2363" si="1771">I2363+J2363</f>
        <v>0</v>
      </c>
      <c r="L2363" s="715"/>
      <c r="M2363" s="689" t="str">
        <f t="shared" ca="1" si="1766"/>
        <v/>
      </c>
      <c r="N2363" s="690"/>
      <c r="O2363" s="486"/>
      <c r="P2363" s="486"/>
      <c r="Q2363" s="486"/>
      <c r="R2363" s="486"/>
      <c r="S2363" s="486"/>
      <c r="T2363" s="102">
        <f t="shared" si="1727"/>
        <v>0</v>
      </c>
      <c r="U2363" s="78">
        <f>IF(NOT(ISNUMBER(G2363)), "", VLOOKUP(A2363,'Discount Lookup'!D:E,2,FALSE)*G2363)</f>
        <v>0</v>
      </c>
      <c r="V2363" s="78">
        <f>IF(NOT(ISNUMBER(G2363)), "", VLOOKUP(A2363,'Discount Lookup'!G:H,2,FALSE)*G2363)</f>
        <v>0</v>
      </c>
      <c r="W2363" s="102">
        <f t="shared" si="1728"/>
        <v>0</v>
      </c>
      <c r="X2363" s="102">
        <f t="shared" si="1729"/>
        <v>0</v>
      </c>
      <c r="Y2363" s="120" t="b">
        <f t="shared" si="1730"/>
        <v>0</v>
      </c>
      <c r="Z2363" s="117">
        <f t="shared" si="1731"/>
        <v>0</v>
      </c>
      <c r="AA2363" s="118"/>
      <c r="AB2363" s="118" t="str">
        <f t="shared" si="1732"/>
        <v/>
      </c>
      <c r="AC2363" s="712" t="str">
        <f>IF(AE2363="T2G","no charge",IF(AND(OR(PlanterYesMe="No",PlanterYesMe="N",PlanterYesMe="me"),H2363=""),"",IF(H2363="credit","NO install",IF(AND(K2363="",AE2363="me"),"EACH row",IF(AND(K2363="images",AE2363="me"),"EACH row",IF(D2363="","",IF(H2363="credit","",IF(AE2363="free","re-planting",IF(AE2363="me","   not ELP, by",IF(AND(OR(PlanterYesMe="Yes",PlanterYesMe="Y"),G2363&gt;0),(VLOOKUP(A2363,'Discount Lookup'!J:K,2)*G2363*(1-PlanterDiscount)*(1+PlanterDifficultyPercentage)),IF(AE2363="ELP",(VLOOKUP(A2363,'Discount Lookup'!J:K,2)*G2363*(1-PlanterDiscount)*(1+PlanterDifficultyPercentage)),IF(AE2363="free","re-planting",IF(G2363=0,"",IF(PlanterYesMe="",IF(AE2363="me","   not ELP, by",IF(AE2363="",IF(G2363&gt;0,(VLOOKUP(A2363,'Discount Lookup'!J:K,2)*G2363*(1-PlanterDiscount)*(1+PlanterDifficultyPercentage)),""),"")),"   not ELP, by"))))))))))))))</f>
        <v/>
      </c>
      <c r="AD2363" s="712"/>
      <c r="AE2363" s="513" t="str">
        <f t="shared" si="1733"/>
        <v/>
      </c>
      <c r="AF2363" s="713" t="str">
        <f t="shared" si="1734"/>
        <v/>
      </c>
      <c r="AG2363" s="713"/>
      <c r="AH2363" s="713"/>
      <c r="AI2363" s="112">
        <f>IF(H2363="credit",0,IF(AE2363="free",0,IF(AE2363="me",0,IF(G2363&gt;0,(VLOOKUP(A2363,'Discount Lookup'!J:K,2)*G2363),0))))</f>
        <v>0</v>
      </c>
      <c r="AJ2363" s="107" t="str">
        <f t="shared" ca="1" si="1735"/>
        <v/>
      </c>
      <c r="AK2363" s="714" t="str">
        <f t="shared" si="1736"/>
        <v/>
      </c>
      <c r="AL2363" s="714"/>
      <c r="AM2363" s="114" t="str">
        <f t="shared" si="1737"/>
        <v/>
      </c>
      <c r="AN2363" s="115"/>
      <c r="AO2363" s="116"/>
      <c r="AP2363" s="116"/>
      <c r="AQ2363" s="116"/>
      <c r="AR2363" s="116"/>
      <c r="AS2363" s="116"/>
      <c r="AT2363" s="116"/>
      <c r="AU2363" s="116"/>
      <c r="AV2363" s="78"/>
      <c r="AW2363" s="102"/>
      <c r="AX2363" s="78"/>
      <c r="AY2363" s="78"/>
      <c r="AZ2363" s="78"/>
      <c r="BA2363" s="78"/>
      <c r="BB2363" s="78"/>
      <c r="BC2363" s="78"/>
      <c r="BD2363" s="78"/>
      <c r="BE2363" s="465"/>
      <c r="BF2363" s="165" t="str">
        <f t="shared" si="1738"/>
        <v>https://www.google.com/search?tbm=isch&amp;q=7%20G5</v>
      </c>
      <c r="BG2363" s="165" t="str">
        <f t="shared" si="1739"/>
        <v>I</v>
      </c>
      <c r="BH2363" s="65"/>
      <c r="BI2363" s="65"/>
      <c r="BJ2363" s="65"/>
      <c r="BK2363" s="65"/>
      <c r="BL2363" s="99"/>
      <c r="BM2363" s="99"/>
      <c r="BN2363" s="99"/>
    </row>
    <row r="2364" spans="1:66" s="51" customFormat="1" ht="15.75" x14ac:dyDescent="0.25">
      <c r="A2364" s="478">
        <v>10</v>
      </c>
      <c r="B2364" s="479" t="s">
        <v>291</v>
      </c>
      <c r="C2364" s="480" t="s">
        <v>3054</v>
      </c>
      <c r="D2364" s="481" t="s">
        <v>293</v>
      </c>
      <c r="E2364" s="482">
        <v>131.94999999999999</v>
      </c>
      <c r="F2364" s="483" t="s">
        <v>292</v>
      </c>
      <c r="G2364" s="484">
        <v>0</v>
      </c>
      <c r="H2364" s="688" t="str">
        <f t="shared" si="1762"/>
        <v/>
      </c>
      <c r="I2364" s="485">
        <f t="shared" si="1763"/>
        <v>0</v>
      </c>
      <c r="J2364" s="485">
        <f t="shared" si="1764"/>
        <v>0</v>
      </c>
      <c r="K2364" s="715">
        <f t="shared" ref="K2364" si="1772">I2364+J2364</f>
        <v>0</v>
      </c>
      <c r="L2364" s="715"/>
      <c r="M2364" s="689" t="str">
        <f t="shared" ca="1" si="1766"/>
        <v/>
      </c>
      <c r="N2364" s="690"/>
      <c r="O2364" s="486"/>
      <c r="P2364" s="486"/>
      <c r="Q2364" s="486"/>
      <c r="R2364" s="486"/>
      <c r="S2364" s="486"/>
      <c r="T2364" s="102">
        <f t="shared" si="1727"/>
        <v>0</v>
      </c>
      <c r="U2364" s="78">
        <f>IF(NOT(ISNUMBER(G2364)), "", VLOOKUP(A2364,'Discount Lookup'!D:E,2,FALSE)*G2364)</f>
        <v>0</v>
      </c>
      <c r="V2364" s="78">
        <f>IF(NOT(ISNUMBER(G2364)), "", VLOOKUP(A2364,'Discount Lookup'!G:H,2,FALSE)*G2364)</f>
        <v>0</v>
      </c>
      <c r="W2364" s="102">
        <f t="shared" si="1728"/>
        <v>0</v>
      </c>
      <c r="X2364" s="102">
        <f t="shared" si="1729"/>
        <v>0</v>
      </c>
      <c r="Y2364" s="120" t="b">
        <f t="shared" si="1730"/>
        <v>0</v>
      </c>
      <c r="Z2364" s="117">
        <f t="shared" si="1731"/>
        <v>0</v>
      </c>
      <c r="AA2364" s="118"/>
      <c r="AB2364" s="118" t="str">
        <f t="shared" si="1732"/>
        <v/>
      </c>
      <c r="AC2364" s="712" t="str">
        <f>IF(AE2364="T2G","no charge",IF(AND(OR(PlanterYesMe="No",PlanterYesMe="N",PlanterYesMe="me"),H2364=""),"",IF(H2364="credit","NO install",IF(AND(K2364="",AE2364="me"),"EACH row",IF(AND(K2364="images",AE2364="me"),"EACH row",IF(D2364="","",IF(H2364="credit","",IF(AE2364="free","re-planting",IF(AE2364="me","   not ELP, by",IF(AND(OR(PlanterYesMe="Yes",PlanterYesMe="Y"),G2364&gt;0),(VLOOKUP(A2364,'Discount Lookup'!J:K,2)*G2364*(1-PlanterDiscount)*(1+PlanterDifficultyPercentage)),IF(AE2364="ELP",(VLOOKUP(A2364,'Discount Lookup'!J:K,2)*G2364*(1-PlanterDiscount)*(1+PlanterDifficultyPercentage)),IF(AE2364="free","re-planting",IF(G2364=0,"",IF(PlanterYesMe="",IF(AE2364="me","   not ELP, by",IF(AE2364="",IF(G2364&gt;0,(VLOOKUP(A2364,'Discount Lookup'!J:K,2)*G2364*(1-PlanterDiscount)*(1+PlanterDifficultyPercentage)),""),"")),"   not ELP, by"))))))))))))))</f>
        <v/>
      </c>
      <c r="AD2364" s="712"/>
      <c r="AE2364" s="513" t="str">
        <f t="shared" si="1733"/>
        <v/>
      </c>
      <c r="AF2364" s="713" t="str">
        <f t="shared" si="1734"/>
        <v/>
      </c>
      <c r="AG2364" s="713"/>
      <c r="AH2364" s="713"/>
      <c r="AI2364" s="112">
        <f>IF(H2364="credit",0,IF(AE2364="free",0,IF(AE2364="me",0,IF(G2364&gt;0,(VLOOKUP(A2364,'Discount Lookup'!J:K,2)*G2364),0))))</f>
        <v>0</v>
      </c>
      <c r="AJ2364" s="107" t="str">
        <f t="shared" ca="1" si="1735"/>
        <v/>
      </c>
      <c r="AK2364" s="714" t="str">
        <f t="shared" si="1736"/>
        <v/>
      </c>
      <c r="AL2364" s="714"/>
      <c r="AM2364" s="114" t="str">
        <f t="shared" si="1737"/>
        <v/>
      </c>
      <c r="AN2364" s="115"/>
      <c r="AO2364" s="116"/>
      <c r="AP2364" s="116"/>
      <c r="AQ2364" s="116"/>
      <c r="AR2364" s="116"/>
      <c r="AS2364" s="116"/>
      <c r="AT2364" s="116"/>
      <c r="AU2364" s="116"/>
      <c r="AV2364" s="78"/>
      <c r="AW2364" s="102"/>
      <c r="AX2364" s="78"/>
      <c r="AY2364" s="78"/>
      <c r="AZ2364" s="78"/>
      <c r="BA2364" s="78"/>
      <c r="BB2364" s="78"/>
      <c r="BC2364" s="78"/>
      <c r="BD2364" s="78"/>
      <c r="BE2364" s="465"/>
      <c r="BF2364" s="165" t="str">
        <f t="shared" si="1738"/>
        <v>https://www.google.com/search?tbm=isch&amp;q=10%20G6</v>
      </c>
      <c r="BG2364" s="165" t="str">
        <f t="shared" si="1739"/>
        <v>I</v>
      </c>
      <c r="BH2364" s="65"/>
      <c r="BI2364" s="65"/>
      <c r="BJ2364" s="65"/>
      <c r="BK2364" s="65"/>
      <c r="BL2364" s="99"/>
      <c r="BM2364" s="99"/>
      <c r="BN2364" s="99"/>
    </row>
    <row r="2365" spans="1:66" s="51" customFormat="1" ht="16.5" thickBot="1" x14ac:dyDescent="0.3">
      <c r="A2365" s="705" t="s">
        <v>5465</v>
      </c>
      <c r="B2365" s="487"/>
      <c r="C2365" s="707"/>
      <c r="D2365" s="487"/>
      <c r="E2365" s="487"/>
      <c r="F2365" s="488"/>
      <c r="G2365" s="489"/>
      <c r="H2365" s="487"/>
      <c r="I2365" s="490"/>
      <c r="J2365" s="490"/>
      <c r="K2365" s="491"/>
      <c r="L2365" s="547"/>
      <c r="M2365" s="528"/>
      <c r="N2365" s="492"/>
      <c r="O2365" s="493"/>
      <c r="P2365" s="494"/>
      <c r="Q2365" s="492"/>
      <c r="R2365" s="492"/>
      <c r="S2365" s="699" t="s">
        <v>5259</v>
      </c>
      <c r="T2365" s="102">
        <f t="shared" si="1727"/>
        <v>0</v>
      </c>
      <c r="U2365" s="78" t="str">
        <f>IF(NOT(ISNUMBER(G2365)), "", VLOOKUP(A2365,'Discount Lookup'!D:E,2,FALSE)*G2365)</f>
        <v/>
      </c>
      <c r="V2365" s="78" t="str">
        <f>IF(NOT(ISNUMBER(G2365)), "", VLOOKUP(A2365,'Discount Lookup'!G:H,2,FALSE)*G2365)</f>
        <v/>
      </c>
      <c r="W2365" s="102">
        <f t="shared" si="1728"/>
        <v>0</v>
      </c>
      <c r="X2365" s="102">
        <f t="shared" si="1729"/>
        <v>0</v>
      </c>
      <c r="Y2365" s="120" t="b">
        <f t="shared" si="1730"/>
        <v>0</v>
      </c>
      <c r="Z2365" s="117">
        <f t="shared" si="1731"/>
        <v>0</v>
      </c>
      <c r="AA2365" s="118"/>
      <c r="AB2365" s="118" t="str">
        <f t="shared" si="1732"/>
        <v/>
      </c>
      <c r="AC2365" s="712" t="str">
        <f>IF(AE2365="T2G","no charge",IF(AND(OR(PlanterYesMe="No",PlanterYesMe="N",PlanterYesMe="me"),H2365=""),"",IF(H2365="credit","NO install",IF(AND(K2365="",AE2365="me"),"EACH row",IF(AND(K2365="images",AE2365="me"),"EACH row",IF(D2365="","",IF(H2365="credit","",IF(AE2365="free","re-planting",IF(AE2365="me","   not ELP, by",IF(AND(OR(PlanterYesMe="Yes",PlanterYesMe="Y"),G2365&gt;0),(VLOOKUP(A2365,'Discount Lookup'!J:K,2)*G2365*(1-PlanterDiscount)*(1+PlanterDifficultyPercentage)),IF(AE2365="ELP",(VLOOKUP(A2365,'Discount Lookup'!J:K,2)*G2365*(1-PlanterDiscount)*(1+PlanterDifficultyPercentage)),IF(AE2365="free","re-planting",IF(G2365=0,"",IF(PlanterYesMe="",IF(AE2365="me","   not ELP, by",IF(AE2365="",IF(G2365&gt;0,(VLOOKUP(A2365,'Discount Lookup'!J:K,2)*G2365*(1-PlanterDiscount)*(1+PlanterDifficultyPercentage)),""),"")),"   not ELP, by"))))))))))))))</f>
        <v/>
      </c>
      <c r="AD2365" s="712"/>
      <c r="AE2365" s="513" t="str">
        <f t="shared" si="1733"/>
        <v/>
      </c>
      <c r="AF2365" s="713" t="str">
        <f t="shared" si="1734"/>
        <v/>
      </c>
      <c r="AG2365" s="713"/>
      <c r="AH2365" s="713"/>
      <c r="AI2365" s="112">
        <f>IF(H2365="credit",0,IF(AE2365="free",0,IF(AE2365="me",0,IF(G2365&gt;0,(VLOOKUP(A2365,'Discount Lookup'!J:K,2)*G2365),0))))</f>
        <v>0</v>
      </c>
      <c r="AJ2365" s="107" t="str">
        <f t="shared" ca="1" si="1735"/>
        <v/>
      </c>
      <c r="AK2365" s="714" t="str">
        <f t="shared" si="1736"/>
        <v/>
      </c>
      <c r="AL2365" s="714"/>
      <c r="AM2365" s="114" t="str">
        <f t="shared" si="1737"/>
        <v/>
      </c>
      <c r="AN2365" s="115"/>
      <c r="AO2365" s="116"/>
      <c r="AP2365" s="116"/>
      <c r="AQ2365" s="116"/>
      <c r="AR2365" s="116"/>
      <c r="AS2365" s="116"/>
      <c r="AT2365" s="116"/>
      <c r="AU2365" s="116"/>
      <c r="AV2365" s="78"/>
      <c r="AW2365" s="102"/>
      <c r="AX2365" s="78"/>
      <c r="AY2365" s="78"/>
      <c r="AZ2365" s="78"/>
      <c r="BA2365" s="78"/>
      <c r="BB2365" s="78"/>
      <c r="BC2365" s="78"/>
      <c r="BD2365" s="78"/>
      <c r="BE2365" s="465"/>
      <c r="BF2365" s="165" t="str">
        <f t="shared" si="1738"/>
        <v>https://www.google.com/search?tbm=isch&amp;q=wet%20sites%F0%9F%92%A7GOOD%2C%20Florida%20Sunshine%27s%20luminous%20Chartreuse%20foliage%20intensifies%20to%20Brilliant%20Yellow%20in%20fall.%20Small%2C%20Yellowish-Green%20flowers%20</v>
      </c>
      <c r="BG2365" s="165" t="str">
        <f t="shared" si="1739"/>
        <v>w</v>
      </c>
      <c r="BH2365" s="65"/>
      <c r="BI2365" s="65"/>
      <c r="BJ2365" s="65"/>
      <c r="BK2365" s="65"/>
      <c r="BL2365" s="99"/>
      <c r="BM2365" s="99"/>
      <c r="BN2365" s="99"/>
    </row>
    <row r="2366" spans="1:66" s="51" customFormat="1" ht="18" x14ac:dyDescent="0.25">
      <c r="A2366" s="507" t="s">
        <v>3055</v>
      </c>
      <c r="B2366" s="470"/>
      <c r="C2366" s="706"/>
      <c r="D2366" s="471" t="s">
        <v>3056</v>
      </c>
      <c r="E2366" s="472"/>
      <c r="F2366" s="472"/>
      <c r="G2366" s="472"/>
      <c r="H2366" s="622" t="s">
        <v>1264</v>
      </c>
      <c r="I2366" s="473" t="s">
        <v>3057</v>
      </c>
      <c r="J2366" s="472"/>
      <c r="K2366" s="472"/>
      <c r="L2366" s="561"/>
      <c r="M2366" s="703" t="s">
        <v>5260</v>
      </c>
      <c r="N2366" s="692" t="str">
        <f>IF(AND(ISTEXT($A2366), ISERROR($A2366+0)), HYPERLINK($BF2366, "Images"), "")</f>
        <v>Images</v>
      </c>
      <c r="O2366" s="694" t="s">
        <v>5244</v>
      </c>
      <c r="P2366" s="475"/>
      <c r="Q2366" s="476"/>
      <c r="R2366" s="476"/>
      <c r="S2366" s="477" t="s">
        <v>294</v>
      </c>
      <c r="T2366" s="102">
        <f t="shared" si="1727"/>
        <v>0</v>
      </c>
      <c r="U2366" s="78" t="str">
        <f>IF(NOT(ISNUMBER(G2366)), "", VLOOKUP(A2366,'Discount Lookup'!D:E,2,FALSE)*G2366)</f>
        <v/>
      </c>
      <c r="V2366" s="78" t="str">
        <f>IF(NOT(ISNUMBER(G2366)), "", VLOOKUP(A2366,'Discount Lookup'!G:H,2,FALSE)*G2366)</f>
        <v/>
      </c>
      <c r="W2366" s="102">
        <f t="shared" si="1728"/>
        <v>0</v>
      </c>
      <c r="X2366" s="102" t="str">
        <f t="shared" si="1729"/>
        <v>Purple-Red bloom</v>
      </c>
      <c r="Y2366" s="120" t="b">
        <f t="shared" si="1730"/>
        <v>0</v>
      </c>
      <c r="Z2366" s="117">
        <f t="shared" si="1731"/>
        <v>0</v>
      </c>
      <c r="AA2366" s="118"/>
      <c r="AB2366" s="118" t="str">
        <f t="shared" si="1732"/>
        <v/>
      </c>
      <c r="AC2366" s="712" t="str">
        <f>IF(AE2366="T2G","no charge",IF(AND(OR(PlanterYesMe="No",PlanterYesMe="N",PlanterYesMe="me"),H2366=""),"",IF(H2366="credit","NO install",IF(AND(K2366="",AE2366="me"),"EACH row",IF(AND(K2366="images",AE2366="me"),"EACH row",IF(D2366="","",IF(H2366="credit","",IF(AE2366="free","re-planting",IF(AE2366="me","   not ELP, by",IF(AND(OR(PlanterYesMe="Yes",PlanterYesMe="Y"),G2366&gt;0),(VLOOKUP(A2366,'Discount Lookup'!J:K,2)*G2366*(1-PlanterDiscount)*(1+PlanterDifficultyPercentage)),IF(AE2366="ELP",(VLOOKUP(A2366,'Discount Lookup'!J:K,2)*G2366*(1-PlanterDiscount)*(1+PlanterDifficultyPercentage)),IF(AE2366="free","re-planting",IF(G2366=0,"",IF(PlanterYesMe="",IF(AE2366="me","   not ELP, by",IF(AE2366="",IF(G2366&gt;0,(VLOOKUP(A2366,'Discount Lookup'!J:K,2)*G2366*(1-PlanterDiscount)*(1+PlanterDifficultyPercentage)),""),"")),"   not ELP, by"))))))))))))))</f>
        <v/>
      </c>
      <c r="AD2366" s="712"/>
      <c r="AE2366" s="513" t="str">
        <f t="shared" si="1733"/>
        <v/>
      </c>
      <c r="AF2366" s="713" t="str">
        <f t="shared" si="1734"/>
        <v/>
      </c>
      <c r="AG2366" s="713"/>
      <c r="AH2366" s="713"/>
      <c r="AI2366" s="112">
        <f>IF(H2366="credit",0,IF(AE2366="free",0,IF(AE2366="me",0,IF(G2366&gt;0,(VLOOKUP(A2366,'Discount Lookup'!J:K,2)*G2366),0))))</f>
        <v>0</v>
      </c>
      <c r="AJ2366" s="107" t="str">
        <f t="shared" ca="1" si="1735"/>
        <v/>
      </c>
      <c r="AK2366" s="714" t="str">
        <f t="shared" si="1736"/>
        <v/>
      </c>
      <c r="AL2366" s="714"/>
      <c r="AM2366" s="114" t="str">
        <f t="shared" si="1737"/>
        <v/>
      </c>
      <c r="AN2366" s="115"/>
      <c r="AO2366" s="116"/>
      <c r="AP2366" s="116"/>
      <c r="AQ2366" s="116"/>
      <c r="AR2366" s="116"/>
      <c r="AS2366" s="116"/>
      <c r="AT2366" s="116"/>
      <c r="AU2366" s="116"/>
      <c r="AV2366" s="78"/>
      <c r="AW2366" s="102"/>
      <c r="AX2366" s="78"/>
      <c r="AY2366" s="78"/>
      <c r="AZ2366" s="78"/>
      <c r="BA2366" s="78"/>
      <c r="BB2366" s="78"/>
      <c r="BC2366" s="78"/>
      <c r="BD2366" s="78"/>
      <c r="BE2366" s="465"/>
      <c r="BF2366" s="165" t="str">
        <f t="shared" si="1738"/>
        <v>https://www.google.com/search?tbm=isch&amp;q=Illicium%20%27Woodland%20Ruby%27%20Woodland%20Ruby%20Anise%20Tree</v>
      </c>
      <c r="BG2366" s="165" t="str">
        <f t="shared" si="1739"/>
        <v>I</v>
      </c>
      <c r="BH2366" s="65"/>
      <c r="BI2366" s="65"/>
      <c r="BJ2366" s="65"/>
      <c r="BK2366" s="65"/>
      <c r="BL2366" s="99"/>
      <c r="BM2366" s="99"/>
      <c r="BN2366" s="99"/>
    </row>
    <row r="2367" spans="1:66" s="51" customFormat="1" ht="27" x14ac:dyDescent="0.25">
      <c r="A2367" s="478">
        <v>3</v>
      </c>
      <c r="B2367" s="479" t="s">
        <v>291</v>
      </c>
      <c r="C2367" s="480" t="s">
        <v>3058</v>
      </c>
      <c r="D2367" s="481" t="s">
        <v>299</v>
      </c>
      <c r="E2367" s="482">
        <v>35.950000000000003</v>
      </c>
      <c r="F2367" s="483" t="s">
        <v>292</v>
      </c>
      <c r="G2367" s="484">
        <v>0</v>
      </c>
      <c r="H2367" s="688" t="str">
        <f>IF(G2367=0,"",IF(F2367="Buy",IF(G2367=1,"plant","plants"),IF(F2367&gt;0.01,"warranty","Error")))</f>
        <v/>
      </c>
      <c r="I2367" s="485">
        <f>IF(H2367="free",0,IF(H2367="credit",((E2367*(F2367))*G2367*-1),IF(F2367="Buy",(E2367*G2367),((E2367*(1-F2367))*G2367))))</f>
        <v>0</v>
      </c>
      <c r="J2367" s="485">
        <f>IF(H2367="warranty",0,(I2367*(_xlfn.SINGLE(SalesTaxPercentage))))</f>
        <v>0</v>
      </c>
      <c r="K2367" s="715">
        <f t="shared" ref="K2367" si="1773">I2367+J2367</f>
        <v>0</v>
      </c>
      <c r="L2367" s="715"/>
      <c r="M2367" s="689" t="str">
        <f ca="1">IF(AND(G2367&gt;0,E2367=0),"WARNING - no PRICE inserted",IF(H2367="free","FREE ~ no charge this plant",IF(H2367="credit",CONCATENATE("-$",ROUND(K2367*(1-_xlfn.SINGLE(T2GDiscount))*-1,2)," CREDIT after discount"),IF(_xlfn.SINGLE(T2GDiscount)=0,"",IF(G2367=0,"",IF(F2367="Buy",CONCATENATE("$",ROUND(K2367*(1-_xlfn.SINGLE(T2GDiscount)),2)," with ",(_xlfn.SINGLE(T2GDiscount)*100),"% discount"),CONCATENATE("$",ROUND(K2367*(1-_xlfn.SINGLE(T2GDiscount)),2)," with ",((_xlfn.SINGLE(T2GDiscount)*100+F2367*100)-(_xlfn.SINGLE(T2GDiscount)*100*F2367)),IF(F2367&gt;0,"% discounts",IF(_xlfn.SINGLE(NoWarrantyDiscount)&gt;0,"% discounts","% discount")))))))))</f>
        <v/>
      </c>
      <c r="N2367" s="690"/>
      <c r="O2367" s="486"/>
      <c r="P2367" s="486"/>
      <c r="Q2367" s="486"/>
      <c r="R2367" s="486"/>
      <c r="S2367" s="486"/>
      <c r="T2367" s="102">
        <f t="shared" si="1727"/>
        <v>0</v>
      </c>
      <c r="U2367" s="78">
        <f>IF(NOT(ISNUMBER(G2367)), "", VLOOKUP(A2367,'Discount Lookup'!D:E,2,FALSE)*G2367)</f>
        <v>0</v>
      </c>
      <c r="V2367" s="78">
        <f>IF(NOT(ISNUMBER(G2367)), "", VLOOKUP(A2367,'Discount Lookup'!G:H,2,FALSE)*G2367)</f>
        <v>0</v>
      </c>
      <c r="W2367" s="102">
        <f t="shared" si="1728"/>
        <v>0</v>
      </c>
      <c r="X2367" s="102">
        <f t="shared" si="1729"/>
        <v>0</v>
      </c>
      <c r="Y2367" s="120" t="b">
        <f t="shared" si="1730"/>
        <v>0</v>
      </c>
      <c r="Z2367" s="117">
        <f t="shared" si="1731"/>
        <v>0</v>
      </c>
      <c r="AA2367" s="118"/>
      <c r="AB2367" s="118" t="str">
        <f t="shared" si="1732"/>
        <v/>
      </c>
      <c r="AC2367" s="712" t="str">
        <f>IF(AE2367="T2G","no charge",IF(AND(OR(PlanterYesMe="No",PlanterYesMe="N",PlanterYesMe="me"),H2367=""),"",IF(H2367="credit","NO install",IF(AND(K2367="",AE2367="me"),"EACH row",IF(AND(K2367="images",AE2367="me"),"EACH row",IF(D2367="","",IF(H2367="credit","",IF(AE2367="free","re-planting",IF(AE2367="me","   not ELP, by",IF(AND(OR(PlanterYesMe="Yes",PlanterYesMe="Y"),G2367&gt;0),(VLOOKUP(A2367,'Discount Lookup'!J:K,2)*G2367*(1-PlanterDiscount)*(1+PlanterDifficultyPercentage)),IF(AE2367="ELP",(VLOOKUP(A2367,'Discount Lookup'!J:K,2)*G2367*(1-PlanterDiscount)*(1+PlanterDifficultyPercentage)),IF(AE2367="free","re-planting",IF(G2367=0,"",IF(PlanterYesMe="",IF(AE2367="me","   not ELP, by",IF(AE2367="",IF(G2367&gt;0,(VLOOKUP(A2367,'Discount Lookup'!J:K,2)*G2367*(1-PlanterDiscount)*(1+PlanterDifficultyPercentage)),""),"")),"   not ELP, by"))))))))))))))</f>
        <v/>
      </c>
      <c r="AD2367" s="712"/>
      <c r="AE2367" s="513" t="str">
        <f t="shared" si="1733"/>
        <v/>
      </c>
      <c r="AF2367" s="713" t="str">
        <f t="shared" si="1734"/>
        <v/>
      </c>
      <c r="AG2367" s="713"/>
      <c r="AH2367" s="713"/>
      <c r="AI2367" s="112">
        <f>IF(H2367="credit",0,IF(AE2367="free",0,IF(AE2367="me",0,IF(G2367&gt;0,(VLOOKUP(A2367,'Discount Lookup'!J:K,2)*G2367),0))))</f>
        <v>0</v>
      </c>
      <c r="AJ2367" s="107" t="str">
        <f t="shared" ca="1" si="1735"/>
        <v/>
      </c>
      <c r="AK2367" s="714" t="str">
        <f t="shared" si="1736"/>
        <v/>
      </c>
      <c r="AL2367" s="714"/>
      <c r="AM2367" s="114" t="str">
        <f t="shared" si="1737"/>
        <v/>
      </c>
      <c r="AN2367" s="115"/>
      <c r="AO2367" s="116"/>
      <c r="AP2367" s="116"/>
      <c r="AQ2367" s="116"/>
      <c r="AR2367" s="116"/>
      <c r="AS2367" s="116"/>
      <c r="AT2367" s="116"/>
      <c r="AU2367" s="116"/>
      <c r="AV2367" s="78"/>
      <c r="AW2367" s="102"/>
      <c r="AX2367" s="78"/>
      <c r="AY2367" s="78"/>
      <c r="AZ2367" s="78"/>
      <c r="BA2367" s="78"/>
      <c r="BB2367" s="78"/>
      <c r="BC2367" s="78"/>
      <c r="BD2367" s="78"/>
      <c r="BE2367" s="465"/>
      <c r="BF2367" s="165" t="str">
        <f t="shared" si="1738"/>
        <v>https://www.google.com/search?tbm=isch&amp;q=3%20G4</v>
      </c>
      <c r="BG2367" s="165" t="str">
        <f t="shared" si="1739"/>
        <v>I</v>
      </c>
      <c r="BH2367" s="65"/>
      <c r="BI2367" s="65"/>
      <c r="BJ2367" s="65"/>
      <c r="BK2367" s="65"/>
      <c r="BL2367" s="99"/>
      <c r="BM2367" s="99"/>
      <c r="BN2367" s="99"/>
    </row>
    <row r="2368" spans="1:66" s="51" customFormat="1" ht="15.75" x14ac:dyDescent="0.25">
      <c r="A2368" s="478">
        <v>3</v>
      </c>
      <c r="B2368" s="479" t="s">
        <v>291</v>
      </c>
      <c r="C2368" s="480" t="s">
        <v>3059</v>
      </c>
      <c r="D2368" s="481" t="s">
        <v>311</v>
      </c>
      <c r="E2368" s="482">
        <v>36.950000000000003</v>
      </c>
      <c r="F2368" s="483" t="s">
        <v>292</v>
      </c>
      <c r="G2368" s="484">
        <v>0</v>
      </c>
      <c r="H2368" s="688" t="str">
        <f>IF(G2368=0,"",IF(F2368="Buy",IF(G2368=1,"plant","plants"),IF(F2368&gt;0.01,"warranty","Error")))</f>
        <v/>
      </c>
      <c r="I2368" s="485">
        <f>IF(H2368="free",0,IF(H2368="credit",((E2368*(F2368))*G2368*-1),IF(F2368="Buy",(E2368*G2368),((E2368*(1-F2368))*G2368))))</f>
        <v>0</v>
      </c>
      <c r="J2368" s="485">
        <f>IF(H2368="warranty",0,(I2368*(_xlfn.SINGLE(SalesTaxPercentage))))</f>
        <v>0</v>
      </c>
      <c r="K2368" s="715">
        <f t="shared" ref="K2368" si="1774">I2368+J2368</f>
        <v>0</v>
      </c>
      <c r="L2368" s="715"/>
      <c r="M2368" s="689" t="str">
        <f ca="1">IF(AND(G2368&gt;0,E2368=0),"WARNING - no PRICE inserted",IF(H2368="free","FREE ~ no charge this plant",IF(H2368="credit",CONCATENATE("-$",ROUND(K2368*(1-_xlfn.SINGLE(T2GDiscount))*-1,2)," CREDIT after discount"),IF(_xlfn.SINGLE(T2GDiscount)=0,"",IF(G2368=0,"",IF(F2368="Buy",CONCATENATE("$",ROUND(K2368*(1-_xlfn.SINGLE(T2GDiscount)),2)," with ",(_xlfn.SINGLE(T2GDiscount)*100),"% discount"),CONCATENATE("$",ROUND(K2368*(1-_xlfn.SINGLE(T2GDiscount)),2)," with ",((_xlfn.SINGLE(T2GDiscount)*100+F2368*100)-(_xlfn.SINGLE(T2GDiscount)*100*F2368)),IF(F2368&gt;0,"% discounts",IF(_xlfn.SINGLE(NoWarrantyDiscount)&gt;0,"% discounts","% discount")))))))))</f>
        <v/>
      </c>
      <c r="N2368" s="690"/>
      <c r="O2368" s="486"/>
      <c r="P2368" s="486"/>
      <c r="Q2368" s="486"/>
      <c r="R2368" s="486"/>
      <c r="S2368" s="486"/>
      <c r="T2368" s="102">
        <f t="shared" si="1727"/>
        <v>0</v>
      </c>
      <c r="U2368" s="78">
        <f>IF(NOT(ISNUMBER(G2368)), "", VLOOKUP(A2368,'Discount Lookup'!D:E,2,FALSE)*G2368)</f>
        <v>0</v>
      </c>
      <c r="V2368" s="78">
        <f>IF(NOT(ISNUMBER(G2368)), "", VLOOKUP(A2368,'Discount Lookup'!G:H,2,FALSE)*G2368)</f>
        <v>0</v>
      </c>
      <c r="W2368" s="102">
        <f t="shared" si="1728"/>
        <v>0</v>
      </c>
      <c r="X2368" s="102">
        <f t="shared" si="1729"/>
        <v>0</v>
      </c>
      <c r="Y2368" s="120" t="b">
        <f t="shared" si="1730"/>
        <v>0</v>
      </c>
      <c r="Z2368" s="117">
        <f t="shared" si="1731"/>
        <v>0</v>
      </c>
      <c r="AA2368" s="118"/>
      <c r="AB2368" s="118" t="str">
        <f t="shared" si="1732"/>
        <v/>
      </c>
      <c r="AC2368" s="712" t="str">
        <f>IF(AE2368="T2G","no charge",IF(AND(OR(PlanterYesMe="No",PlanterYesMe="N",PlanterYesMe="me"),H2368=""),"",IF(H2368="credit","NO install",IF(AND(K2368="",AE2368="me"),"EACH row",IF(AND(K2368="images",AE2368="me"),"EACH row",IF(D2368="","",IF(H2368="credit","",IF(AE2368="free","re-planting",IF(AE2368="me","   not ELP, by",IF(AND(OR(PlanterYesMe="Yes",PlanterYesMe="Y"),G2368&gt;0),(VLOOKUP(A2368,'Discount Lookup'!J:K,2)*G2368*(1-PlanterDiscount)*(1+PlanterDifficultyPercentage)),IF(AE2368="ELP",(VLOOKUP(A2368,'Discount Lookup'!J:K,2)*G2368*(1-PlanterDiscount)*(1+PlanterDifficultyPercentage)),IF(AE2368="free","re-planting",IF(G2368=0,"",IF(PlanterYesMe="",IF(AE2368="me","   not ELP, by",IF(AE2368="",IF(G2368&gt;0,(VLOOKUP(A2368,'Discount Lookup'!J:K,2)*G2368*(1-PlanterDiscount)*(1+PlanterDifficultyPercentage)),""),"")),"   not ELP, by"))))))))))))))</f>
        <v/>
      </c>
      <c r="AD2368" s="712"/>
      <c r="AE2368" s="513" t="str">
        <f t="shared" si="1733"/>
        <v/>
      </c>
      <c r="AF2368" s="713" t="str">
        <f t="shared" si="1734"/>
        <v/>
      </c>
      <c r="AG2368" s="713"/>
      <c r="AH2368" s="713"/>
      <c r="AI2368" s="112">
        <f>IF(H2368="credit",0,IF(AE2368="free",0,IF(AE2368="me",0,IF(G2368&gt;0,(VLOOKUP(A2368,'Discount Lookup'!J:K,2)*G2368),0))))</f>
        <v>0</v>
      </c>
      <c r="AJ2368" s="107" t="str">
        <f t="shared" ca="1" si="1735"/>
        <v/>
      </c>
      <c r="AK2368" s="714" t="str">
        <f t="shared" si="1736"/>
        <v/>
      </c>
      <c r="AL2368" s="714"/>
      <c r="AM2368" s="114" t="str">
        <f t="shared" si="1737"/>
        <v/>
      </c>
      <c r="AN2368" s="115"/>
      <c r="AO2368" s="116"/>
      <c r="AP2368" s="116"/>
      <c r="AQ2368" s="116"/>
      <c r="AR2368" s="116"/>
      <c r="AS2368" s="116"/>
      <c r="AT2368" s="116"/>
      <c r="AU2368" s="116"/>
      <c r="AV2368" s="78"/>
      <c r="AW2368" s="102"/>
      <c r="AX2368" s="78"/>
      <c r="AY2368" s="78"/>
      <c r="AZ2368" s="78"/>
      <c r="BA2368" s="78"/>
      <c r="BB2368" s="78"/>
      <c r="BC2368" s="78"/>
      <c r="BD2368" s="78"/>
      <c r="BE2368" s="465"/>
      <c r="BF2368" s="165" t="str">
        <f t="shared" si="1738"/>
        <v>https://www.google.com/search?tbm=isch&amp;q=3%20G5</v>
      </c>
      <c r="BG2368" s="165" t="str">
        <f t="shared" si="1739"/>
        <v>I</v>
      </c>
      <c r="BH2368" s="65"/>
      <c r="BI2368" s="65"/>
      <c r="BJ2368" s="65"/>
      <c r="BK2368" s="65"/>
      <c r="BL2368" s="99"/>
      <c r="BM2368" s="99"/>
      <c r="BN2368" s="99"/>
    </row>
    <row r="2369" spans="1:66" s="51" customFormat="1" ht="15.75" x14ac:dyDescent="0.25">
      <c r="A2369" s="478">
        <v>7</v>
      </c>
      <c r="B2369" s="479" t="s">
        <v>291</v>
      </c>
      <c r="C2369" s="480" t="s">
        <v>3060</v>
      </c>
      <c r="D2369" s="481" t="s">
        <v>311</v>
      </c>
      <c r="E2369" s="482">
        <v>79.95</v>
      </c>
      <c r="F2369" s="483" t="s">
        <v>292</v>
      </c>
      <c r="G2369" s="484">
        <v>0</v>
      </c>
      <c r="H2369" s="688" t="str">
        <f>IF(G2369=0,"",IF(F2369="Buy",IF(G2369=1,"plant","plants"),IF(F2369&gt;0.01,"warranty","Error")))</f>
        <v/>
      </c>
      <c r="I2369" s="485">
        <f>IF(H2369="free",0,IF(H2369="credit",((E2369*(F2369))*G2369*-1),IF(F2369="Buy",(E2369*G2369),((E2369*(1-F2369))*G2369))))</f>
        <v>0</v>
      </c>
      <c r="J2369" s="485">
        <f>IF(H2369="warranty",0,(I2369*(_xlfn.SINGLE(SalesTaxPercentage))))</f>
        <v>0</v>
      </c>
      <c r="K2369" s="715">
        <f t="shared" ref="K2369" si="1775">I2369+J2369</f>
        <v>0</v>
      </c>
      <c r="L2369" s="715"/>
      <c r="M2369" s="689" t="str">
        <f ca="1">IF(AND(G2369&gt;0,E2369=0),"WARNING - no PRICE inserted",IF(H2369="free","FREE ~ no charge this plant",IF(H2369="credit",CONCATENATE("-$",ROUND(K2369*(1-_xlfn.SINGLE(T2GDiscount))*-1,2)," CREDIT after discount"),IF(_xlfn.SINGLE(T2GDiscount)=0,"",IF(G2369=0,"",IF(F2369="Buy",CONCATENATE("$",ROUND(K2369*(1-_xlfn.SINGLE(T2GDiscount)),2)," with ",(_xlfn.SINGLE(T2GDiscount)*100),"% discount"),CONCATENATE("$",ROUND(K2369*(1-_xlfn.SINGLE(T2GDiscount)),2)," with ",((_xlfn.SINGLE(T2GDiscount)*100+F2369*100)-(_xlfn.SINGLE(T2GDiscount)*100*F2369)),IF(F2369&gt;0,"% discounts",IF(_xlfn.SINGLE(NoWarrantyDiscount)&gt;0,"% discounts","% discount")))))))))</f>
        <v/>
      </c>
      <c r="N2369" s="690"/>
      <c r="O2369" s="486"/>
      <c r="P2369" s="486"/>
      <c r="Q2369" s="486"/>
      <c r="R2369" s="486"/>
      <c r="S2369" s="486"/>
      <c r="T2369" s="102">
        <f t="shared" si="1727"/>
        <v>0</v>
      </c>
      <c r="U2369" s="78">
        <f>IF(NOT(ISNUMBER(G2369)), "", VLOOKUP(A2369,'Discount Lookup'!D:E,2,FALSE)*G2369)</f>
        <v>0</v>
      </c>
      <c r="V2369" s="78">
        <f>IF(NOT(ISNUMBER(G2369)), "", VLOOKUP(A2369,'Discount Lookup'!G:H,2,FALSE)*G2369)</f>
        <v>0</v>
      </c>
      <c r="W2369" s="102">
        <f t="shared" si="1728"/>
        <v>0</v>
      </c>
      <c r="X2369" s="102">
        <f t="shared" si="1729"/>
        <v>0</v>
      </c>
      <c r="Y2369" s="120" t="b">
        <f t="shared" si="1730"/>
        <v>0</v>
      </c>
      <c r="Z2369" s="117">
        <f t="shared" si="1731"/>
        <v>0</v>
      </c>
      <c r="AA2369" s="118"/>
      <c r="AB2369" s="118" t="str">
        <f t="shared" si="1732"/>
        <v/>
      </c>
      <c r="AC2369" s="712" t="str">
        <f>IF(AE2369="T2G","no charge",IF(AND(OR(PlanterYesMe="No",PlanterYesMe="N",PlanterYesMe="me"),H2369=""),"",IF(H2369="credit","NO install",IF(AND(K2369="",AE2369="me"),"EACH row",IF(AND(K2369="images",AE2369="me"),"EACH row",IF(D2369="","",IF(H2369="credit","",IF(AE2369="free","re-planting",IF(AE2369="me","   not ELP, by",IF(AND(OR(PlanterYesMe="Yes",PlanterYesMe="Y"),G2369&gt;0),(VLOOKUP(A2369,'Discount Lookup'!J:K,2)*G2369*(1-PlanterDiscount)*(1+PlanterDifficultyPercentage)),IF(AE2369="ELP",(VLOOKUP(A2369,'Discount Lookup'!J:K,2)*G2369*(1-PlanterDiscount)*(1+PlanterDifficultyPercentage)),IF(AE2369="free","re-planting",IF(G2369=0,"",IF(PlanterYesMe="",IF(AE2369="me","   not ELP, by",IF(AE2369="",IF(G2369&gt;0,(VLOOKUP(A2369,'Discount Lookup'!J:K,2)*G2369*(1-PlanterDiscount)*(1+PlanterDifficultyPercentage)),""),"")),"   not ELP, by"))))))))))))))</f>
        <v/>
      </c>
      <c r="AD2369" s="712"/>
      <c r="AE2369" s="513" t="str">
        <f t="shared" si="1733"/>
        <v/>
      </c>
      <c r="AF2369" s="713" t="str">
        <f t="shared" si="1734"/>
        <v/>
      </c>
      <c r="AG2369" s="713"/>
      <c r="AH2369" s="713"/>
      <c r="AI2369" s="112">
        <f>IF(H2369="credit",0,IF(AE2369="free",0,IF(AE2369="me",0,IF(G2369&gt;0,(VLOOKUP(A2369,'Discount Lookup'!J:K,2)*G2369),0))))</f>
        <v>0</v>
      </c>
      <c r="AJ2369" s="107" t="str">
        <f t="shared" ca="1" si="1735"/>
        <v/>
      </c>
      <c r="AK2369" s="714" t="str">
        <f t="shared" si="1736"/>
        <v/>
      </c>
      <c r="AL2369" s="714"/>
      <c r="AM2369" s="114" t="str">
        <f t="shared" si="1737"/>
        <v/>
      </c>
      <c r="AN2369" s="115"/>
      <c r="AO2369" s="116"/>
      <c r="AP2369" s="116"/>
      <c r="AQ2369" s="116"/>
      <c r="AR2369" s="116"/>
      <c r="AS2369" s="116"/>
      <c r="AT2369" s="116"/>
      <c r="AU2369" s="116"/>
      <c r="AV2369" s="78"/>
      <c r="AW2369" s="102"/>
      <c r="AX2369" s="78"/>
      <c r="AY2369" s="78"/>
      <c r="AZ2369" s="78"/>
      <c r="BA2369" s="78"/>
      <c r="BB2369" s="78"/>
      <c r="BC2369" s="78"/>
      <c r="BD2369" s="78"/>
      <c r="BE2369" s="465"/>
      <c r="BF2369" s="165" t="str">
        <f t="shared" si="1738"/>
        <v>https://www.google.com/search?tbm=isch&amp;q=7%20G5</v>
      </c>
      <c r="BG2369" s="165" t="str">
        <f t="shared" si="1739"/>
        <v>I</v>
      </c>
      <c r="BH2369" s="65"/>
      <c r="BI2369" s="65"/>
      <c r="BJ2369" s="65"/>
      <c r="BK2369" s="65"/>
      <c r="BL2369" s="99"/>
      <c r="BM2369" s="99"/>
      <c r="BN2369" s="99"/>
    </row>
    <row r="2370" spans="1:66" s="51" customFormat="1" ht="15.75" x14ac:dyDescent="0.25">
      <c r="A2370" s="705" t="s">
        <v>5466</v>
      </c>
      <c r="B2370" s="487"/>
      <c r="C2370" s="707"/>
      <c r="D2370" s="487"/>
      <c r="E2370" s="487"/>
      <c r="F2370" s="488"/>
      <c r="G2370" s="489"/>
      <c r="H2370" s="487"/>
      <c r="I2370" s="490"/>
      <c r="J2370" s="490"/>
      <c r="K2370" s="491"/>
      <c r="L2370" s="547"/>
      <c r="M2370" s="528"/>
      <c r="N2370" s="492"/>
      <c r="O2370" s="493"/>
      <c r="P2370" s="494"/>
      <c r="Q2370" s="492"/>
      <c r="R2370" s="492"/>
      <c r="S2370" s="495"/>
      <c r="T2370" s="102">
        <f t="shared" si="1727"/>
        <v>0</v>
      </c>
      <c r="U2370" s="78" t="str">
        <f>IF(NOT(ISNUMBER(G2370)), "", VLOOKUP(A2370,'Discount Lookup'!D:E,2,FALSE)*G2370)</f>
        <v/>
      </c>
      <c r="V2370" s="78" t="str">
        <f>IF(NOT(ISNUMBER(G2370)), "", VLOOKUP(A2370,'Discount Lookup'!G:H,2,FALSE)*G2370)</f>
        <v/>
      </c>
      <c r="W2370" s="102">
        <f t="shared" si="1728"/>
        <v>0</v>
      </c>
      <c r="X2370" s="102">
        <f t="shared" si="1729"/>
        <v>0</v>
      </c>
      <c r="Y2370" s="120" t="b">
        <f t="shared" si="1730"/>
        <v>0</v>
      </c>
      <c r="Z2370" s="117">
        <f t="shared" si="1731"/>
        <v>0</v>
      </c>
      <c r="AA2370" s="118"/>
      <c r="AB2370" s="118" t="str">
        <f t="shared" si="1732"/>
        <v/>
      </c>
      <c r="AC2370" s="712" t="str">
        <f>IF(AE2370="T2G","no charge",IF(AND(OR(PlanterYesMe="No",PlanterYesMe="N",PlanterYesMe="me"),H2370=""),"",IF(H2370="credit","NO install",IF(AND(K2370="",AE2370="me"),"EACH row",IF(AND(K2370="images",AE2370="me"),"EACH row",IF(D2370="","",IF(H2370="credit","",IF(AE2370="free","re-planting",IF(AE2370="me","   not ELP, by",IF(AND(OR(PlanterYesMe="Yes",PlanterYesMe="Y"),G2370&gt;0),(VLOOKUP(A2370,'Discount Lookup'!J:K,2)*G2370*(1-PlanterDiscount)*(1+PlanterDifficultyPercentage)),IF(AE2370="ELP",(VLOOKUP(A2370,'Discount Lookup'!J:K,2)*G2370*(1-PlanterDiscount)*(1+PlanterDifficultyPercentage)),IF(AE2370="free","re-planting",IF(G2370=0,"",IF(PlanterYesMe="",IF(AE2370="me","   not ELP, by",IF(AE2370="",IF(G2370&gt;0,(VLOOKUP(A2370,'Discount Lookup'!J:K,2)*G2370*(1-PlanterDiscount)*(1+PlanterDifficultyPercentage)),""),"")),"   not ELP, by"))))))))))))))</f>
        <v/>
      </c>
      <c r="AD2370" s="712"/>
      <c r="AE2370" s="513" t="str">
        <f t="shared" si="1733"/>
        <v/>
      </c>
      <c r="AF2370" s="713" t="str">
        <f t="shared" si="1734"/>
        <v/>
      </c>
      <c r="AG2370" s="713"/>
      <c r="AH2370" s="713"/>
      <c r="AI2370" s="112">
        <f>IF(H2370="credit",0,IF(AE2370="free",0,IF(AE2370="me",0,IF(G2370&gt;0,(VLOOKUP(A2370,'Discount Lookup'!J:K,2)*G2370),0))))</f>
        <v>0</v>
      </c>
      <c r="AJ2370" s="107" t="str">
        <f t="shared" ca="1" si="1735"/>
        <v/>
      </c>
      <c r="AK2370" s="714" t="str">
        <f t="shared" si="1736"/>
        <v/>
      </c>
      <c r="AL2370" s="714"/>
      <c r="AM2370" s="114" t="str">
        <f t="shared" si="1737"/>
        <v/>
      </c>
      <c r="AN2370" s="115"/>
      <c r="AO2370" s="116"/>
      <c r="AP2370" s="116"/>
      <c r="AQ2370" s="116"/>
      <c r="AR2370" s="116"/>
      <c r="AS2370" s="116"/>
      <c r="AT2370" s="116"/>
      <c r="AU2370" s="116"/>
      <c r="AV2370" s="78"/>
      <c r="AW2370" s="102"/>
      <c r="AX2370" s="78"/>
      <c r="AY2370" s="78"/>
      <c r="AZ2370" s="78"/>
      <c r="BA2370" s="78"/>
      <c r="BB2370" s="78"/>
      <c r="BC2370" s="78"/>
      <c r="BD2370" s="78"/>
      <c r="BE2370" s="465"/>
      <c r="BF2370" s="165" t="str">
        <f t="shared" si="1738"/>
        <v>https://www.google.com/search?tbm=isch&amp;q=moist%20sites%F0%9F%92%A7OK%2C%20Woodland%20Ruby%20fragrant%20spring%20to%20mid-summer.%20Parts%20of%20plant%20toxic%20%7E%20Anise%20spice%20made%20from%20%27Illicium%20verum%27%20only%20</v>
      </c>
      <c r="BG2370" s="165" t="str">
        <f t="shared" si="1739"/>
        <v>m</v>
      </c>
      <c r="BH2370" s="65"/>
      <c r="BI2370" s="65"/>
      <c r="BJ2370" s="65"/>
      <c r="BK2370" s="65"/>
      <c r="BL2370" s="99"/>
      <c r="BM2370" s="99"/>
      <c r="BN2370" s="99"/>
    </row>
    <row r="2371" spans="1:66" s="51" customFormat="1" ht="19.5" thickBot="1" x14ac:dyDescent="0.3">
      <c r="A2371" s="686" t="s">
        <v>558</v>
      </c>
      <c r="B2371" s="73"/>
      <c r="C2371" s="708"/>
      <c r="D2371" s="73"/>
      <c r="E2371" s="73"/>
      <c r="F2371" s="496"/>
      <c r="G2371" s="73"/>
      <c r="H2371" s="73"/>
      <c r="I2371" s="73"/>
      <c r="J2371" s="497" t="s">
        <v>357</v>
      </c>
      <c r="K2371" s="498"/>
      <c r="L2371" s="562"/>
      <c r="M2371" s="73"/>
      <c r="N2371"/>
      <c r="O2371"/>
      <c r="P2371"/>
      <c r="Q2371"/>
      <c r="R2371"/>
      <c r="S2371"/>
      <c r="T2371" s="102">
        <f t="shared" si="1727"/>
        <v>0</v>
      </c>
      <c r="U2371" s="78" t="str">
        <f>IF(NOT(ISNUMBER(G2371)), "", VLOOKUP(A2371,'Discount Lookup'!D:E,2,FALSE)*G2371)</f>
        <v/>
      </c>
      <c r="V2371" s="78" t="str">
        <f>IF(NOT(ISNUMBER(G2371)), "", VLOOKUP(A2371,'Discount Lookup'!G:H,2,FALSE)*G2371)</f>
        <v/>
      </c>
      <c r="W2371" s="102">
        <f t="shared" si="1728"/>
        <v>0</v>
      </c>
      <c r="X2371" s="102">
        <f t="shared" si="1729"/>
        <v>0</v>
      </c>
      <c r="Y2371" s="120" t="b">
        <f t="shared" si="1730"/>
        <v>0</v>
      </c>
      <c r="Z2371" s="117">
        <f t="shared" si="1731"/>
        <v>0</v>
      </c>
      <c r="AA2371" s="118"/>
      <c r="AB2371" s="118" t="str">
        <f t="shared" si="1732"/>
        <v/>
      </c>
      <c r="AC2371" s="712" t="str">
        <f>IF(AE2371="T2G","no charge",IF(AND(OR(PlanterYesMe="No",PlanterYesMe="N",PlanterYesMe="me"),H2371=""),"",IF(H2371="credit","NO install",IF(AND(K2371="",AE2371="me"),"EACH row",IF(AND(K2371="images",AE2371="me"),"EACH row",IF(D2371="","",IF(H2371="credit","",IF(AE2371="free","re-planting",IF(AE2371="me","   not ELP, by",IF(AND(OR(PlanterYesMe="Yes",PlanterYesMe="Y"),G2371&gt;0),(VLOOKUP(A2371,'Discount Lookup'!J:K,2)*G2371*(1-PlanterDiscount)*(1+PlanterDifficultyPercentage)),IF(AE2371="ELP",(VLOOKUP(A2371,'Discount Lookup'!J:K,2)*G2371*(1-PlanterDiscount)*(1+PlanterDifficultyPercentage)),IF(AE2371="free","re-planting",IF(G2371=0,"",IF(PlanterYesMe="",IF(AE2371="me","   not ELP, by",IF(AE2371="",IF(G2371&gt;0,(VLOOKUP(A2371,'Discount Lookup'!J:K,2)*G2371*(1-PlanterDiscount)*(1+PlanterDifficultyPercentage)),""),"")),"   not ELP, by"))))))))))))))</f>
        <v/>
      </c>
      <c r="AD2371" s="712"/>
      <c r="AE2371" s="513" t="str">
        <f t="shared" si="1733"/>
        <v/>
      </c>
      <c r="AF2371" s="713" t="str">
        <f t="shared" si="1734"/>
        <v/>
      </c>
      <c r="AG2371" s="713"/>
      <c r="AH2371" s="713"/>
      <c r="AI2371" s="112">
        <f>IF(H2371="credit",0,IF(AE2371="free",0,IF(AE2371="me",0,IF(G2371&gt;0,(VLOOKUP(A2371,'Discount Lookup'!J:K,2)*G2371),0))))</f>
        <v>0</v>
      </c>
      <c r="AJ2371" s="107" t="str">
        <f t="shared" ca="1" si="1735"/>
        <v/>
      </c>
      <c r="AK2371" s="714" t="str">
        <f t="shared" si="1736"/>
        <v/>
      </c>
      <c r="AL2371" s="714"/>
      <c r="AM2371" s="114" t="str">
        <f t="shared" si="1737"/>
        <v/>
      </c>
      <c r="AN2371" s="115"/>
      <c r="AO2371" s="116"/>
      <c r="AP2371" s="116"/>
      <c r="AQ2371" s="116"/>
      <c r="AR2371" s="116"/>
      <c r="AS2371" s="116"/>
      <c r="AT2371" s="116"/>
      <c r="AU2371" s="116"/>
      <c r="AV2371" s="78"/>
      <c r="AW2371" s="102"/>
      <c r="AX2371" s="78"/>
      <c r="AY2371" s="78"/>
      <c r="AZ2371" s="78"/>
      <c r="BA2371" s="78"/>
      <c r="BB2371" s="78"/>
      <c r="BC2371" s="78"/>
      <c r="BD2371" s="78"/>
      <c r="BE2371" s="465"/>
      <c r="BF2371" s="165" t="str">
        <f t="shared" si="1738"/>
        <v>https://www.google.com/search?tbm=isch&amp;q=Iris%20%3D%20Iris%20</v>
      </c>
      <c r="BG2371" s="165" t="str">
        <f t="shared" si="1739"/>
        <v>I</v>
      </c>
      <c r="BH2371" s="65"/>
      <c r="BI2371" s="65"/>
      <c r="BJ2371" s="65"/>
      <c r="BK2371" s="65"/>
      <c r="BL2371" s="99"/>
      <c r="BM2371" s="99"/>
      <c r="BN2371" s="99"/>
    </row>
    <row r="2372" spans="1:66" s="51" customFormat="1" ht="18" x14ac:dyDescent="0.25">
      <c r="A2372" s="623" t="s">
        <v>3061</v>
      </c>
      <c r="B2372" s="624"/>
      <c r="C2372" s="709"/>
      <c r="D2372" s="625" t="s">
        <v>3062</v>
      </c>
      <c r="E2372" s="626"/>
      <c r="F2372" s="626"/>
      <c r="G2372" s="626"/>
      <c r="H2372" s="622" t="s">
        <v>4892</v>
      </c>
      <c r="I2372" s="627" t="s">
        <v>1450</v>
      </c>
      <c r="J2372" s="628"/>
      <c r="K2372" s="628"/>
      <c r="L2372" s="629"/>
      <c r="M2372" s="700" t="s">
        <v>5249</v>
      </c>
      <c r="N2372" s="693" t="str">
        <f>IF(AND(ISTEXT($A2372), ISERROR($A2372+0)), HYPERLINK($BF2372, "Images"), "")</f>
        <v>Images</v>
      </c>
      <c r="O2372" s="695" t="s">
        <v>5244</v>
      </c>
      <c r="P2372" s="630"/>
      <c r="Q2372" s="631"/>
      <c r="R2372" s="632"/>
      <c r="S2372" s="633"/>
      <c r="T2372" s="102">
        <f t="shared" si="1727"/>
        <v>0</v>
      </c>
      <c r="U2372" s="78" t="str">
        <f>IF(NOT(ISNUMBER(G2372)), "", VLOOKUP(A2372,'Discount Lookup'!D:E,2,FALSE)*G2372)</f>
        <v/>
      </c>
      <c r="V2372" s="78" t="str">
        <f>IF(NOT(ISNUMBER(G2372)), "", VLOOKUP(A2372,'Discount Lookup'!G:H,2,FALSE)*G2372)</f>
        <v/>
      </c>
      <c r="W2372" s="102">
        <f t="shared" si="1728"/>
        <v>0</v>
      </c>
      <c r="X2372" s="102" t="str">
        <f t="shared" si="1729"/>
        <v>Purple bloom</v>
      </c>
      <c r="Y2372" s="120" t="b">
        <f t="shared" si="1730"/>
        <v>0</v>
      </c>
      <c r="Z2372" s="117">
        <f t="shared" si="1731"/>
        <v>0</v>
      </c>
      <c r="AA2372" s="118"/>
      <c r="AB2372" s="118" t="str">
        <f t="shared" si="1732"/>
        <v/>
      </c>
      <c r="AC2372" s="712" t="str">
        <f>IF(AE2372="T2G","no charge",IF(AND(OR(PlanterYesMe="No",PlanterYesMe="N",PlanterYesMe="me"),H2372=""),"",IF(H2372="credit","NO install",IF(AND(K2372="",AE2372="me"),"EACH row",IF(AND(K2372="images",AE2372="me"),"EACH row",IF(D2372="","",IF(H2372="credit","",IF(AE2372="free","re-planting",IF(AE2372="me","   not ELP, by",IF(AND(OR(PlanterYesMe="Yes",PlanterYesMe="Y"),G2372&gt;0),(VLOOKUP(A2372,'Discount Lookup'!J:K,2)*G2372*(1-PlanterDiscount)*(1+PlanterDifficultyPercentage)),IF(AE2372="ELP",(VLOOKUP(A2372,'Discount Lookup'!J:K,2)*G2372*(1-PlanterDiscount)*(1+PlanterDifficultyPercentage)),IF(AE2372="free","re-planting",IF(G2372=0,"",IF(PlanterYesMe="",IF(AE2372="me","   not ELP, by",IF(AE2372="",IF(G2372&gt;0,(VLOOKUP(A2372,'Discount Lookup'!J:K,2)*G2372*(1-PlanterDiscount)*(1+PlanterDifficultyPercentage)),""),"")),"   not ELP, by"))))))))))))))</f>
        <v/>
      </c>
      <c r="AD2372" s="712"/>
      <c r="AE2372" s="513" t="str">
        <f t="shared" si="1733"/>
        <v/>
      </c>
      <c r="AF2372" s="713" t="str">
        <f t="shared" si="1734"/>
        <v/>
      </c>
      <c r="AG2372" s="713"/>
      <c r="AH2372" s="713"/>
      <c r="AI2372" s="112">
        <f>IF(H2372="credit",0,IF(AE2372="free",0,IF(AE2372="me",0,IF(G2372&gt;0,(VLOOKUP(A2372,'Discount Lookup'!J:K,2)*G2372),0))))</f>
        <v>0</v>
      </c>
      <c r="AJ2372" s="107" t="str">
        <f t="shared" ca="1" si="1735"/>
        <v/>
      </c>
      <c r="AK2372" s="714" t="str">
        <f t="shared" si="1736"/>
        <v/>
      </c>
      <c r="AL2372" s="714"/>
      <c r="AM2372" s="114" t="str">
        <f t="shared" si="1737"/>
        <v/>
      </c>
      <c r="AN2372" s="115"/>
      <c r="AO2372" s="116"/>
      <c r="AP2372" s="116"/>
      <c r="AQ2372" s="116"/>
      <c r="AR2372" s="116"/>
      <c r="AS2372" s="116"/>
      <c r="AT2372" s="116"/>
      <c r="AU2372" s="116"/>
      <c r="AV2372" s="78"/>
      <c r="AW2372" s="102"/>
      <c r="AX2372" s="78"/>
      <c r="AY2372" s="78"/>
      <c r="AZ2372" s="78"/>
      <c r="BA2372" s="78"/>
      <c r="BB2372" s="78"/>
      <c r="BC2372" s="78"/>
      <c r="BD2372" s="78"/>
      <c r="BE2372" s="465"/>
      <c r="BF2372" s="165" t="str">
        <f t="shared" si="1738"/>
        <v>https://www.google.com/search?tbm=isch&amp;q=Iris%20ensata%20%27Variegata%27%20Variegated%20Japanese%20Iris</v>
      </c>
      <c r="BG2372" s="165" t="str">
        <f t="shared" si="1739"/>
        <v>I</v>
      </c>
      <c r="BH2372" s="65"/>
      <c r="BI2372" s="65"/>
      <c r="BJ2372" s="65"/>
      <c r="BK2372" s="65"/>
      <c r="BL2372" s="99"/>
      <c r="BM2372" s="99"/>
      <c r="BN2372" s="99"/>
    </row>
    <row r="2373" spans="1:66" s="51" customFormat="1" ht="15.75" x14ac:dyDescent="0.25">
      <c r="A2373" s="634">
        <v>3</v>
      </c>
      <c r="B2373" s="635" t="s">
        <v>291</v>
      </c>
      <c r="C2373" s="636" t="s">
        <v>3063</v>
      </c>
      <c r="D2373" s="637" t="s">
        <v>299</v>
      </c>
      <c r="E2373" s="638">
        <v>30.95</v>
      </c>
      <c r="F2373" s="639" t="s">
        <v>292</v>
      </c>
      <c r="G2373" s="484">
        <v>0</v>
      </c>
      <c r="H2373" s="691" t="str">
        <f>IF(G2373=0,"",IF(F2373="Buy",IF(G2373=1,"plant","plants"),IF(F2373&gt;0.01,"warranty","Error")))</f>
        <v/>
      </c>
      <c r="I2373" s="640">
        <f>IF(H2373="free",0,IF(H2373="credit",((E2373*(F2373))*G2373*-1),IF(F2373="Buy",(E2373*G2373),((E2373*(1-F2373))*G2373))))</f>
        <v>0</v>
      </c>
      <c r="J2373" s="640">
        <f>IF(H2373="warranty",0,(I2373*(_xlfn.SINGLE(SalesTaxPercentage))))</f>
        <v>0</v>
      </c>
      <c r="K2373" s="716">
        <f t="shared" ref="K2373" si="1776">I2373+J2373</f>
        <v>0</v>
      </c>
      <c r="L2373" s="716"/>
      <c r="M2373" s="689" t="str">
        <f ca="1">IF(AND(G2373&gt;0,E2373=0),"WARNING - no PRICE inserted",IF(H2373="free","FREE ~ no charge this plant",IF(H2373="credit",CONCATENATE("-$",ROUND(K2373*(1-_xlfn.SINGLE(T2GDiscount))*-1,2)," CREDIT after discount"),IF(_xlfn.SINGLE(T2GDiscount)=0,"",IF(G2373=0,"",IF(F2373="Buy",CONCATENATE("$",ROUND(K2373*(1-_xlfn.SINGLE(T2GDiscount)),2)," with ",(_xlfn.SINGLE(T2GDiscount)*100),"% discount"),CONCATENATE("$",ROUND(K2373*(1-_xlfn.SINGLE(T2GDiscount)),2)," with ",((_xlfn.SINGLE(T2GDiscount)*100+F2373*100)-(_xlfn.SINGLE(T2GDiscount)*100*F2373)),IF(F2373&gt;0,"% discounts",IF(_xlfn.SINGLE(NoWarrantyDiscount)&gt;0,"% discounts","% discount")))))))))</f>
        <v/>
      </c>
      <c r="N2373" s="690"/>
      <c r="O2373" s="486"/>
      <c r="P2373" s="486"/>
      <c r="Q2373" s="486"/>
      <c r="R2373" s="486"/>
      <c r="S2373" s="486"/>
      <c r="T2373" s="102">
        <f t="shared" si="1727"/>
        <v>0</v>
      </c>
      <c r="U2373" s="78">
        <f>IF(NOT(ISNUMBER(G2373)), "", VLOOKUP(A2373,'Discount Lookup'!D:E,2,FALSE)*G2373)</f>
        <v>0</v>
      </c>
      <c r="V2373" s="78">
        <f>IF(NOT(ISNUMBER(G2373)), "", VLOOKUP(A2373,'Discount Lookup'!G:H,2,FALSE)*G2373)</f>
        <v>0</v>
      </c>
      <c r="W2373" s="102">
        <f t="shared" si="1728"/>
        <v>0</v>
      </c>
      <c r="X2373" s="102">
        <f t="shared" si="1729"/>
        <v>0</v>
      </c>
      <c r="Y2373" s="120" t="b">
        <f t="shared" si="1730"/>
        <v>0</v>
      </c>
      <c r="Z2373" s="117">
        <f t="shared" si="1731"/>
        <v>0</v>
      </c>
      <c r="AA2373" s="118"/>
      <c r="AB2373" s="118" t="str">
        <f t="shared" si="1732"/>
        <v/>
      </c>
      <c r="AC2373" s="712" t="str">
        <f>IF(AE2373="T2G","no charge",IF(AND(OR(PlanterYesMe="No",PlanterYesMe="N",PlanterYesMe="me"),H2373=""),"",IF(H2373="credit","NO install",IF(AND(K2373="",AE2373="me"),"EACH row",IF(AND(K2373="images",AE2373="me"),"EACH row",IF(D2373="","",IF(H2373="credit","",IF(AE2373="free","re-planting",IF(AE2373="me","   not ELP, by",IF(AND(OR(PlanterYesMe="Yes",PlanterYesMe="Y"),G2373&gt;0),(VLOOKUP(A2373,'Discount Lookup'!J:K,2)*G2373*(1-PlanterDiscount)*(1+PlanterDifficultyPercentage)),IF(AE2373="ELP",(VLOOKUP(A2373,'Discount Lookup'!J:K,2)*G2373*(1-PlanterDiscount)*(1+PlanterDifficultyPercentage)),IF(AE2373="free","re-planting",IF(G2373=0,"",IF(PlanterYesMe="",IF(AE2373="me","   not ELP, by",IF(AE2373="",IF(G2373&gt;0,(VLOOKUP(A2373,'Discount Lookup'!J:K,2)*G2373*(1-PlanterDiscount)*(1+PlanterDifficultyPercentage)),""),"")),"   not ELP, by"))))))))))))))</f>
        <v/>
      </c>
      <c r="AD2373" s="712"/>
      <c r="AE2373" s="513" t="str">
        <f t="shared" si="1733"/>
        <v/>
      </c>
      <c r="AF2373" s="713" t="str">
        <f t="shared" si="1734"/>
        <v/>
      </c>
      <c r="AG2373" s="713"/>
      <c r="AH2373" s="713"/>
      <c r="AI2373" s="112">
        <f>IF(H2373="credit",0,IF(AE2373="free",0,IF(AE2373="me",0,IF(G2373&gt;0,(VLOOKUP(A2373,'Discount Lookup'!J:K,2)*G2373),0))))</f>
        <v>0</v>
      </c>
      <c r="AJ2373" s="107" t="str">
        <f t="shared" ca="1" si="1735"/>
        <v/>
      </c>
      <c r="AK2373" s="714" t="str">
        <f t="shared" si="1736"/>
        <v/>
      </c>
      <c r="AL2373" s="714"/>
      <c r="AM2373" s="114" t="str">
        <f t="shared" si="1737"/>
        <v/>
      </c>
      <c r="AN2373" s="115"/>
      <c r="AO2373" s="116"/>
      <c r="AP2373" s="116"/>
      <c r="AQ2373" s="116"/>
      <c r="AR2373" s="116"/>
      <c r="AS2373" s="116"/>
      <c r="AT2373" s="116"/>
      <c r="AU2373" s="116"/>
      <c r="AV2373" s="78"/>
      <c r="AW2373" s="102"/>
      <c r="AX2373" s="78"/>
      <c r="AY2373" s="78"/>
      <c r="AZ2373" s="78"/>
      <c r="BA2373" s="78"/>
      <c r="BB2373" s="78"/>
      <c r="BC2373" s="78"/>
      <c r="BD2373" s="78"/>
      <c r="BE2373" s="465"/>
      <c r="BF2373" s="165" t="str">
        <f t="shared" si="1738"/>
        <v>https://www.google.com/search?tbm=isch&amp;q=3%20G4</v>
      </c>
      <c r="BG2373" s="165" t="str">
        <f t="shared" si="1739"/>
        <v>I</v>
      </c>
      <c r="BH2373" s="65"/>
      <c r="BI2373" s="65"/>
      <c r="BJ2373" s="65"/>
      <c r="BK2373" s="65"/>
      <c r="BL2373" s="99"/>
      <c r="BM2373" s="99"/>
      <c r="BN2373" s="99"/>
    </row>
    <row r="2374" spans="1:66" s="51" customFormat="1" ht="17.25" thickBot="1" x14ac:dyDescent="0.3">
      <c r="A2374" s="704" t="s">
        <v>5467</v>
      </c>
      <c r="B2374" s="642"/>
      <c r="C2374" s="710"/>
      <c r="D2374" s="643"/>
      <c r="E2374" s="643"/>
      <c r="F2374" s="644"/>
      <c r="G2374" s="645"/>
      <c r="H2374" s="646"/>
      <c r="I2374" s="647"/>
      <c r="J2374" s="648"/>
      <c r="K2374" s="649"/>
      <c r="L2374" s="650"/>
      <c r="M2374" s="650"/>
      <c r="N2374" s="644"/>
      <c r="O2374" s="644"/>
      <c r="P2374" s="644"/>
      <c r="Q2374" s="644"/>
      <c r="R2374" s="644"/>
      <c r="S2374" s="697" t="s">
        <v>5292</v>
      </c>
      <c r="T2374" s="102">
        <f t="shared" si="1727"/>
        <v>0</v>
      </c>
      <c r="U2374" s="78" t="str">
        <f>IF(NOT(ISNUMBER(G2374)), "", VLOOKUP(A2374,'Discount Lookup'!D:E,2,FALSE)*G2374)</f>
        <v/>
      </c>
      <c r="V2374" s="78" t="str">
        <f>IF(NOT(ISNUMBER(G2374)), "", VLOOKUP(A2374,'Discount Lookup'!G:H,2,FALSE)*G2374)</f>
        <v/>
      </c>
      <c r="W2374" s="102">
        <f t="shared" si="1728"/>
        <v>0</v>
      </c>
      <c r="X2374" s="102">
        <f t="shared" si="1729"/>
        <v>0</v>
      </c>
      <c r="Y2374" s="120" t="b">
        <f t="shared" si="1730"/>
        <v>0</v>
      </c>
      <c r="Z2374" s="117">
        <f t="shared" si="1731"/>
        <v>0</v>
      </c>
      <c r="AA2374" s="118"/>
      <c r="AB2374" s="118" t="str">
        <f t="shared" si="1732"/>
        <v/>
      </c>
      <c r="AC2374" s="712" t="str">
        <f>IF(AE2374="T2G","no charge",IF(AND(OR(PlanterYesMe="No",PlanterYesMe="N",PlanterYesMe="me"),H2374=""),"",IF(H2374="credit","NO install",IF(AND(K2374="",AE2374="me"),"EACH row",IF(AND(K2374="images",AE2374="me"),"EACH row",IF(D2374="","",IF(H2374="credit","",IF(AE2374="free","re-planting",IF(AE2374="me","   not ELP, by",IF(AND(OR(PlanterYesMe="Yes",PlanterYesMe="Y"),G2374&gt;0),(VLOOKUP(A2374,'Discount Lookup'!J:K,2)*G2374*(1-PlanterDiscount)*(1+PlanterDifficultyPercentage)),IF(AE2374="ELP",(VLOOKUP(A2374,'Discount Lookup'!J:K,2)*G2374*(1-PlanterDiscount)*(1+PlanterDifficultyPercentage)),IF(AE2374="free","re-planting",IF(G2374=0,"",IF(PlanterYesMe="",IF(AE2374="me","   not ELP, by",IF(AE2374="",IF(G2374&gt;0,(VLOOKUP(A2374,'Discount Lookup'!J:K,2)*G2374*(1-PlanterDiscount)*(1+PlanterDifficultyPercentage)),""),"")),"   not ELP, by"))))))))))))))</f>
        <v/>
      </c>
      <c r="AD2374" s="712"/>
      <c r="AE2374" s="513" t="str">
        <f t="shared" si="1733"/>
        <v/>
      </c>
      <c r="AF2374" s="713" t="str">
        <f t="shared" si="1734"/>
        <v/>
      </c>
      <c r="AG2374" s="713"/>
      <c r="AH2374" s="713"/>
      <c r="AI2374" s="112">
        <f>IF(H2374="credit",0,IF(AE2374="free",0,IF(AE2374="me",0,IF(G2374&gt;0,(VLOOKUP(A2374,'Discount Lookup'!J:K,2)*G2374),0))))</f>
        <v>0</v>
      </c>
      <c r="AJ2374" s="107" t="str">
        <f t="shared" ca="1" si="1735"/>
        <v/>
      </c>
      <c r="AK2374" s="714" t="str">
        <f t="shared" si="1736"/>
        <v/>
      </c>
      <c r="AL2374" s="714"/>
      <c r="AM2374" s="114" t="str">
        <f t="shared" si="1737"/>
        <v/>
      </c>
      <c r="AN2374" s="115"/>
      <c r="AO2374" s="116"/>
      <c r="AP2374" s="116"/>
      <c r="AQ2374" s="116"/>
      <c r="AR2374" s="116"/>
      <c r="AS2374" s="116"/>
      <c r="AT2374" s="116"/>
      <c r="AU2374" s="116"/>
      <c r="AV2374" s="78"/>
      <c r="AW2374" s="102"/>
      <c r="AX2374" s="78"/>
      <c r="AY2374" s="78"/>
      <c r="AZ2374" s="78"/>
      <c r="BA2374" s="78"/>
      <c r="BB2374" s="78"/>
      <c r="BC2374" s="78"/>
      <c r="BD2374" s="78"/>
      <c r="BE2374" s="465"/>
      <c r="BF2374" s="165" t="str">
        <f t="shared" si="1738"/>
        <v>https://www.google.com/search?tbm=isch&amp;q=moist%20sites%F0%9F%92%A7GOOD%2C%20Varigated%20J.%20Iris%20grown%20for%20it%27s%20stalks%3A%20a%20stunning%2C%20vertical%2C%20Green%20%26%20White%20variegation.%20Summer%20blooms%20are%20a%20bonus%20</v>
      </c>
      <c r="BG2374" s="165" t="str">
        <f t="shared" si="1739"/>
        <v>m</v>
      </c>
      <c r="BH2374" s="65"/>
      <c r="BI2374" s="65"/>
      <c r="BJ2374" s="65"/>
      <c r="BK2374" s="65"/>
      <c r="BL2374" s="99"/>
      <c r="BM2374" s="99"/>
      <c r="BN2374" s="99"/>
    </row>
    <row r="2375" spans="1:66" s="51" customFormat="1" ht="18" x14ac:dyDescent="0.25">
      <c r="A2375" s="623" t="s">
        <v>3064</v>
      </c>
      <c r="B2375" s="624"/>
      <c r="C2375" s="709"/>
      <c r="D2375" s="625" t="s">
        <v>3065</v>
      </c>
      <c r="E2375" s="626"/>
      <c r="F2375" s="626"/>
      <c r="G2375" s="626"/>
      <c r="H2375" s="622" t="s">
        <v>4876</v>
      </c>
      <c r="I2375" s="627" t="s">
        <v>4877</v>
      </c>
      <c r="J2375" s="628"/>
      <c r="K2375" s="628"/>
      <c r="L2375" s="629"/>
      <c r="M2375" s="700" t="s">
        <v>5249</v>
      </c>
      <c r="N2375" s="693" t="str">
        <f>IF(AND(ISTEXT($A2375), ISERROR($A2375+0)), HYPERLINK($BF2375, "Images"), "")</f>
        <v>Images</v>
      </c>
      <c r="O2375" s="695" t="s">
        <v>5244</v>
      </c>
      <c r="P2375" s="630"/>
      <c r="Q2375" s="631"/>
      <c r="R2375" s="632"/>
      <c r="S2375" s="633"/>
      <c r="T2375" s="102">
        <f t="shared" si="1727"/>
        <v>0</v>
      </c>
      <c r="U2375" s="78" t="str">
        <f>IF(NOT(ISNUMBER(G2375)), "", VLOOKUP(A2375,'Discount Lookup'!D:E,2,FALSE)*G2375)</f>
        <v/>
      </c>
      <c r="V2375" s="78" t="str">
        <f>IF(NOT(ISNUMBER(G2375)), "", VLOOKUP(A2375,'Discount Lookup'!G:H,2,FALSE)*G2375)</f>
        <v/>
      </c>
      <c r="W2375" s="102">
        <f t="shared" si="1728"/>
        <v>0</v>
      </c>
      <c r="X2375" s="102" t="str">
        <f t="shared" si="1729"/>
        <v>Violet-Blue bloom</v>
      </c>
      <c r="Y2375" s="120" t="b">
        <f t="shared" si="1730"/>
        <v>0</v>
      </c>
      <c r="Z2375" s="117">
        <f t="shared" si="1731"/>
        <v>0</v>
      </c>
      <c r="AA2375" s="118"/>
      <c r="AB2375" s="118" t="str">
        <f t="shared" si="1732"/>
        <v/>
      </c>
      <c r="AC2375" s="712" t="str">
        <f>IF(AE2375="T2G","no charge",IF(AND(OR(PlanterYesMe="No",PlanterYesMe="N",PlanterYesMe="me"),H2375=""),"",IF(H2375="credit","NO install",IF(AND(K2375="",AE2375="me"),"EACH row",IF(AND(K2375="images",AE2375="me"),"EACH row",IF(D2375="","",IF(H2375="credit","",IF(AE2375="free","re-planting",IF(AE2375="me","   not ELP, by",IF(AND(OR(PlanterYesMe="Yes",PlanterYesMe="Y"),G2375&gt;0),(VLOOKUP(A2375,'Discount Lookup'!J:K,2)*G2375*(1-PlanterDiscount)*(1+PlanterDifficultyPercentage)),IF(AE2375="ELP",(VLOOKUP(A2375,'Discount Lookup'!J:K,2)*G2375*(1-PlanterDiscount)*(1+PlanterDifficultyPercentage)),IF(AE2375="free","re-planting",IF(G2375=0,"",IF(PlanterYesMe="",IF(AE2375="me","   not ELP, by",IF(AE2375="",IF(G2375&gt;0,(VLOOKUP(A2375,'Discount Lookup'!J:K,2)*G2375*(1-PlanterDiscount)*(1+PlanterDifficultyPercentage)),""),"")),"   not ELP, by"))))))))))))))</f>
        <v/>
      </c>
      <c r="AD2375" s="712"/>
      <c r="AE2375" s="513" t="str">
        <f t="shared" si="1733"/>
        <v/>
      </c>
      <c r="AF2375" s="713" t="str">
        <f t="shared" si="1734"/>
        <v/>
      </c>
      <c r="AG2375" s="713"/>
      <c r="AH2375" s="713"/>
      <c r="AI2375" s="112">
        <f>IF(H2375="credit",0,IF(AE2375="free",0,IF(AE2375="me",0,IF(G2375&gt;0,(VLOOKUP(A2375,'Discount Lookup'!J:K,2)*G2375),0))))</f>
        <v>0</v>
      </c>
      <c r="AJ2375" s="107" t="str">
        <f t="shared" ca="1" si="1735"/>
        <v/>
      </c>
      <c r="AK2375" s="714" t="str">
        <f t="shared" si="1736"/>
        <v/>
      </c>
      <c r="AL2375" s="714"/>
      <c r="AM2375" s="114" t="str">
        <f t="shared" si="1737"/>
        <v/>
      </c>
      <c r="AN2375" s="115"/>
      <c r="AO2375" s="116"/>
      <c r="AP2375" s="116"/>
      <c r="AQ2375" s="116"/>
      <c r="AR2375" s="116"/>
      <c r="AS2375" s="116"/>
      <c r="AT2375" s="116"/>
      <c r="AU2375" s="116"/>
      <c r="AV2375" s="78"/>
      <c r="AW2375" s="102"/>
      <c r="AX2375" s="78"/>
      <c r="AY2375" s="78"/>
      <c r="AZ2375" s="78"/>
      <c r="BA2375" s="78"/>
      <c r="BB2375" s="78"/>
      <c r="BC2375" s="78"/>
      <c r="BD2375" s="78"/>
      <c r="BE2375" s="465"/>
      <c r="BF2375" s="165" t="str">
        <f t="shared" si="1738"/>
        <v>https://www.google.com/search?tbm=isch&amp;q=Iris%20x%20robusta%27Gerald%20Darby%27%20Blue%20Flag%20Iris</v>
      </c>
      <c r="BG2375" s="165" t="str">
        <f t="shared" si="1739"/>
        <v>I</v>
      </c>
      <c r="BH2375" s="65"/>
      <c r="BI2375" s="65"/>
      <c r="BJ2375" s="65"/>
      <c r="BK2375" s="65"/>
      <c r="BL2375" s="99"/>
      <c r="BM2375" s="99"/>
      <c r="BN2375" s="99"/>
    </row>
    <row r="2376" spans="1:66" s="51" customFormat="1" ht="15.75" x14ac:dyDescent="0.25">
      <c r="A2376" s="634">
        <v>4</v>
      </c>
      <c r="B2376" s="635" t="s">
        <v>338</v>
      </c>
      <c r="C2376" s="636"/>
      <c r="D2376" s="637" t="s">
        <v>329</v>
      </c>
      <c r="E2376" s="638">
        <v>14.95</v>
      </c>
      <c r="F2376" s="639" t="s">
        <v>292</v>
      </c>
      <c r="G2376" s="484">
        <v>0</v>
      </c>
      <c r="H2376" s="691" t="str">
        <f>IF(G2376=0,"",IF(F2376="Buy",IF(G2376=1,"plant","plants"),IF(F2376&gt;0.01,"warranty","Error")))</f>
        <v/>
      </c>
      <c r="I2376" s="640">
        <f>IF(H2376="free",0,IF(H2376="credit",((E2376*(F2376))*G2376*-1),IF(F2376="Buy",(E2376*G2376),((E2376*(1-F2376))*G2376))))</f>
        <v>0</v>
      </c>
      <c r="J2376" s="640">
        <f>IF(H2376="warranty",0,(I2376*(_xlfn.SINGLE(SalesTaxPercentage))))</f>
        <v>0</v>
      </c>
      <c r="K2376" s="716">
        <f t="shared" ref="K2376" si="1777">I2376+J2376</f>
        <v>0</v>
      </c>
      <c r="L2376" s="716"/>
      <c r="M2376" s="689" t="str">
        <f ca="1">IF(AND(G2376&gt;0,E2376=0),"WARNING - no PRICE inserted",IF(H2376="free","FREE ~ no charge this plant",IF(H2376="credit",CONCATENATE("-$",ROUND(K2376*(1-_xlfn.SINGLE(T2GDiscount))*-1,2)," CREDIT after discount"),IF(_xlfn.SINGLE(T2GDiscount)=0,"",IF(G2376=0,"",IF(F2376="Buy",CONCATENATE("$",ROUND(K2376*(1-_xlfn.SINGLE(T2GDiscount)),2)," with ",(_xlfn.SINGLE(T2GDiscount)*100),"% discount"),CONCATENATE("$",ROUND(K2376*(1-_xlfn.SINGLE(T2GDiscount)),2)," with ",((_xlfn.SINGLE(T2GDiscount)*100+F2376*100)-(_xlfn.SINGLE(T2GDiscount)*100*F2376)),IF(F2376&gt;0,"% discounts",IF(_xlfn.SINGLE(NoWarrantyDiscount)&gt;0,"% discounts","% discount")))))))))</f>
        <v/>
      </c>
      <c r="N2376" s="690"/>
      <c r="O2376" s="486"/>
      <c r="P2376" s="486"/>
      <c r="Q2376" s="486"/>
      <c r="R2376" s="486"/>
      <c r="S2376" s="486"/>
      <c r="T2376" s="102">
        <f t="shared" si="1727"/>
        <v>0</v>
      </c>
      <c r="U2376" s="78">
        <f>IF(NOT(ISNUMBER(G2376)), "", VLOOKUP(A2376,'Discount Lookup'!D:E,2,FALSE)*G2376)</f>
        <v>0</v>
      </c>
      <c r="V2376" s="78">
        <f>IF(NOT(ISNUMBER(G2376)), "", VLOOKUP(A2376,'Discount Lookup'!G:H,2,FALSE)*G2376)</f>
        <v>0</v>
      </c>
      <c r="W2376" s="102">
        <f t="shared" si="1728"/>
        <v>0</v>
      </c>
      <c r="X2376" s="102">
        <f t="shared" si="1729"/>
        <v>0</v>
      </c>
      <c r="Y2376" s="120" t="b">
        <f t="shared" si="1730"/>
        <v>0</v>
      </c>
      <c r="Z2376" s="117">
        <f t="shared" si="1731"/>
        <v>0</v>
      </c>
      <c r="AA2376" s="118"/>
      <c r="AB2376" s="118" t="str">
        <f t="shared" si="1732"/>
        <v/>
      </c>
      <c r="AC2376" s="712" t="str">
        <f>IF(AE2376="T2G","no charge",IF(AND(OR(PlanterYesMe="No",PlanterYesMe="N",PlanterYesMe="me"),H2376=""),"",IF(H2376="credit","NO install",IF(AND(K2376="",AE2376="me"),"EACH row",IF(AND(K2376="images",AE2376="me"),"EACH row",IF(D2376="","",IF(H2376="credit","",IF(AE2376="free","re-planting",IF(AE2376="me","   not ELP, by",IF(AND(OR(PlanterYesMe="Yes",PlanterYesMe="Y"),G2376&gt;0),(VLOOKUP(A2376,'Discount Lookup'!J:K,2)*G2376*(1-PlanterDiscount)*(1+PlanterDifficultyPercentage)),IF(AE2376="ELP",(VLOOKUP(A2376,'Discount Lookup'!J:K,2)*G2376*(1-PlanterDiscount)*(1+PlanterDifficultyPercentage)),IF(AE2376="free","re-planting",IF(G2376=0,"",IF(PlanterYesMe="",IF(AE2376="me","   not ELP, by",IF(AE2376="",IF(G2376&gt;0,(VLOOKUP(A2376,'Discount Lookup'!J:K,2)*G2376*(1-PlanterDiscount)*(1+PlanterDifficultyPercentage)),""),"")),"   not ELP, by"))))))))))))))</f>
        <v/>
      </c>
      <c r="AD2376" s="712"/>
      <c r="AE2376" s="513" t="str">
        <f t="shared" si="1733"/>
        <v/>
      </c>
      <c r="AF2376" s="713" t="str">
        <f t="shared" si="1734"/>
        <v/>
      </c>
      <c r="AG2376" s="713"/>
      <c r="AH2376" s="713"/>
      <c r="AI2376" s="112">
        <f>IF(H2376="credit",0,IF(AE2376="free",0,IF(AE2376="me",0,IF(G2376&gt;0,(VLOOKUP(A2376,'Discount Lookup'!J:K,2)*G2376),0))))</f>
        <v>0</v>
      </c>
      <c r="AJ2376" s="107" t="str">
        <f t="shared" ca="1" si="1735"/>
        <v/>
      </c>
      <c r="AK2376" s="714" t="str">
        <f t="shared" si="1736"/>
        <v/>
      </c>
      <c r="AL2376" s="714"/>
      <c r="AM2376" s="114" t="str">
        <f t="shared" si="1737"/>
        <v/>
      </c>
      <c r="AN2376" s="115"/>
      <c r="AO2376" s="116"/>
      <c r="AP2376" s="116"/>
      <c r="AQ2376" s="116"/>
      <c r="AR2376" s="116"/>
      <c r="AS2376" s="116"/>
      <c r="AT2376" s="116"/>
      <c r="AU2376" s="116"/>
      <c r="AV2376" s="78"/>
      <c r="AW2376" s="102"/>
      <c r="AX2376" s="78"/>
      <c r="AY2376" s="78"/>
      <c r="AZ2376" s="78"/>
      <c r="BA2376" s="78"/>
      <c r="BB2376" s="78"/>
      <c r="BC2376" s="78"/>
      <c r="BD2376" s="78"/>
      <c r="BE2376" s="465"/>
      <c r="BF2376" s="165" t="str">
        <f t="shared" si="1738"/>
        <v>https://www.google.com/search?tbm=isch&amp;q=4%20G2</v>
      </c>
      <c r="BG2376" s="165" t="str">
        <f t="shared" si="1739"/>
        <v>I</v>
      </c>
      <c r="BH2376" s="65"/>
      <c r="BI2376" s="65"/>
      <c r="BJ2376" s="65"/>
      <c r="BK2376" s="65"/>
      <c r="BL2376" s="99"/>
      <c r="BM2376" s="99"/>
      <c r="BN2376" s="99"/>
    </row>
    <row r="2377" spans="1:66" s="51" customFormat="1" ht="16.5" x14ac:dyDescent="0.25">
      <c r="A2377" s="704" t="s">
        <v>5468</v>
      </c>
      <c r="B2377" s="642"/>
      <c r="C2377" s="710"/>
      <c r="D2377" s="643"/>
      <c r="E2377" s="643"/>
      <c r="F2377" s="644"/>
      <c r="G2377" s="645"/>
      <c r="H2377" s="646"/>
      <c r="I2377" s="647"/>
      <c r="J2377" s="648"/>
      <c r="K2377" s="649"/>
      <c r="L2377" s="650"/>
      <c r="M2377" s="650"/>
      <c r="N2377" s="644"/>
      <c r="O2377" s="644"/>
      <c r="P2377" s="644"/>
      <c r="Q2377" s="644"/>
      <c r="R2377" s="644"/>
      <c r="S2377" s="651"/>
      <c r="T2377" s="102">
        <f t="shared" si="1727"/>
        <v>0</v>
      </c>
      <c r="U2377" s="78" t="str">
        <f>IF(NOT(ISNUMBER(G2377)), "", VLOOKUP(A2377,'Discount Lookup'!D:E,2,FALSE)*G2377)</f>
        <v/>
      </c>
      <c r="V2377" s="78" t="str">
        <f>IF(NOT(ISNUMBER(G2377)), "", VLOOKUP(A2377,'Discount Lookup'!G:H,2,FALSE)*G2377)</f>
        <v/>
      </c>
      <c r="W2377" s="102">
        <f t="shared" si="1728"/>
        <v>0</v>
      </c>
      <c r="X2377" s="102">
        <f t="shared" si="1729"/>
        <v>0</v>
      </c>
      <c r="Y2377" s="120" t="b">
        <f t="shared" si="1730"/>
        <v>0</v>
      </c>
      <c r="Z2377" s="117">
        <f t="shared" si="1731"/>
        <v>0</v>
      </c>
      <c r="AA2377" s="118"/>
      <c r="AB2377" s="118" t="str">
        <f t="shared" si="1732"/>
        <v/>
      </c>
      <c r="AC2377" s="712" t="str">
        <f>IF(AE2377="T2G","no charge",IF(AND(OR(PlanterYesMe="No",PlanterYesMe="N",PlanterYesMe="me"),H2377=""),"",IF(H2377="credit","NO install",IF(AND(K2377="",AE2377="me"),"EACH row",IF(AND(K2377="images",AE2377="me"),"EACH row",IF(D2377="","",IF(H2377="credit","",IF(AE2377="free","re-planting",IF(AE2377="me","   not ELP, by",IF(AND(OR(PlanterYesMe="Yes",PlanterYesMe="Y"),G2377&gt;0),(VLOOKUP(A2377,'Discount Lookup'!J:K,2)*G2377*(1-PlanterDiscount)*(1+PlanterDifficultyPercentage)),IF(AE2377="ELP",(VLOOKUP(A2377,'Discount Lookup'!J:K,2)*G2377*(1-PlanterDiscount)*(1+PlanterDifficultyPercentage)),IF(AE2377="free","re-planting",IF(G2377=0,"",IF(PlanterYesMe="",IF(AE2377="me","   not ELP, by",IF(AE2377="",IF(G2377&gt;0,(VLOOKUP(A2377,'Discount Lookup'!J:K,2)*G2377*(1-PlanterDiscount)*(1+PlanterDifficultyPercentage)),""),"")),"   not ELP, by"))))))))))))))</f>
        <v/>
      </c>
      <c r="AD2377" s="712"/>
      <c r="AE2377" s="513" t="str">
        <f t="shared" si="1733"/>
        <v/>
      </c>
      <c r="AF2377" s="713" t="str">
        <f t="shared" si="1734"/>
        <v/>
      </c>
      <c r="AG2377" s="713"/>
      <c r="AH2377" s="713"/>
      <c r="AI2377" s="112">
        <f>IF(H2377="credit",0,IF(AE2377="free",0,IF(AE2377="me",0,IF(G2377&gt;0,(VLOOKUP(A2377,'Discount Lookup'!J:K,2)*G2377),0))))</f>
        <v>0</v>
      </c>
      <c r="AJ2377" s="107" t="str">
        <f t="shared" ca="1" si="1735"/>
        <v/>
      </c>
      <c r="AK2377" s="714" t="str">
        <f t="shared" si="1736"/>
        <v/>
      </c>
      <c r="AL2377" s="714"/>
      <c r="AM2377" s="114" t="str">
        <f t="shared" si="1737"/>
        <v/>
      </c>
      <c r="AN2377" s="115"/>
      <c r="AO2377" s="116"/>
      <c r="AP2377" s="116"/>
      <c r="AQ2377" s="116"/>
      <c r="AR2377" s="116"/>
      <c r="AS2377" s="116"/>
      <c r="AT2377" s="116"/>
      <c r="AU2377" s="116"/>
      <c r="AV2377" s="78"/>
      <c r="AW2377" s="102"/>
      <c r="AX2377" s="78"/>
      <c r="AY2377" s="78"/>
      <c r="AZ2377" s="78"/>
      <c r="BA2377" s="78"/>
      <c r="BB2377" s="78"/>
      <c r="BC2377" s="78"/>
      <c r="BD2377" s="78"/>
      <c r="BE2377" s="465"/>
      <c r="BF2377" s="165" t="str">
        <f t="shared" si="1738"/>
        <v>https://www.google.com/search?tbm=isch&amp;q=moist%20sites%F0%9F%92%A7GOOD%2C%20Blue%20Flag%20Iris%20is%20notable%20for%20its%20striking%20dark%20Purple%20new%20foliage%20in%20spring.%20Tall%20and%20upright%20habit%20</v>
      </c>
      <c r="BG2377" s="165" t="str">
        <f t="shared" si="1739"/>
        <v>m</v>
      </c>
      <c r="BH2377" s="65"/>
      <c r="BI2377" s="65"/>
      <c r="BJ2377" s="65"/>
      <c r="BK2377" s="65"/>
      <c r="BL2377" s="99"/>
      <c r="BM2377" s="99"/>
      <c r="BN2377" s="99"/>
    </row>
    <row r="2378" spans="1:66" s="51" customFormat="1" ht="19.5" thickBot="1" x14ac:dyDescent="0.3">
      <c r="A2378" s="686" t="s">
        <v>559</v>
      </c>
      <c r="B2378" s="73"/>
      <c r="C2378" s="708"/>
      <c r="D2378" s="73"/>
      <c r="E2378" s="73"/>
      <c r="F2378" s="496"/>
      <c r="G2378" s="73"/>
      <c r="H2378" s="73"/>
      <c r="I2378" s="73"/>
      <c r="J2378" s="497" t="s">
        <v>357</v>
      </c>
      <c r="K2378" s="498"/>
      <c r="L2378" s="562"/>
      <c r="M2378" s="73"/>
      <c r="N2378"/>
      <c r="O2378"/>
      <c r="P2378"/>
      <c r="Q2378"/>
      <c r="R2378"/>
      <c r="S2378"/>
      <c r="T2378" s="102">
        <f t="shared" si="1727"/>
        <v>0</v>
      </c>
      <c r="U2378" s="78" t="str">
        <f>IF(NOT(ISNUMBER(G2378)), "", VLOOKUP(A2378,'Discount Lookup'!D:E,2,FALSE)*G2378)</f>
        <v/>
      </c>
      <c r="V2378" s="78" t="str">
        <f>IF(NOT(ISNUMBER(G2378)), "", VLOOKUP(A2378,'Discount Lookup'!G:H,2,FALSE)*G2378)</f>
        <v/>
      </c>
      <c r="W2378" s="102">
        <f t="shared" si="1728"/>
        <v>0</v>
      </c>
      <c r="X2378" s="102">
        <f t="shared" si="1729"/>
        <v>0</v>
      </c>
      <c r="Y2378" s="120" t="b">
        <f t="shared" si="1730"/>
        <v>0</v>
      </c>
      <c r="Z2378" s="117">
        <f t="shared" si="1731"/>
        <v>0</v>
      </c>
      <c r="AA2378" s="118"/>
      <c r="AB2378" s="118" t="str">
        <f t="shared" si="1732"/>
        <v/>
      </c>
      <c r="AC2378" s="712" t="str">
        <f>IF(AE2378="T2G","no charge",IF(AND(OR(PlanterYesMe="No",PlanterYesMe="N",PlanterYesMe="me"),H2378=""),"",IF(H2378="credit","NO install",IF(AND(K2378="",AE2378="me"),"EACH row",IF(AND(K2378="images",AE2378="me"),"EACH row",IF(D2378="","",IF(H2378="credit","",IF(AE2378="free","re-planting",IF(AE2378="me","   not ELP, by",IF(AND(OR(PlanterYesMe="Yes",PlanterYesMe="Y"),G2378&gt;0),(VLOOKUP(A2378,'Discount Lookup'!J:K,2)*G2378*(1-PlanterDiscount)*(1+PlanterDifficultyPercentage)),IF(AE2378="ELP",(VLOOKUP(A2378,'Discount Lookup'!J:K,2)*G2378*(1-PlanterDiscount)*(1+PlanterDifficultyPercentage)),IF(AE2378="free","re-planting",IF(G2378=0,"",IF(PlanterYesMe="",IF(AE2378="me","   not ELP, by",IF(AE2378="",IF(G2378&gt;0,(VLOOKUP(A2378,'Discount Lookup'!J:K,2)*G2378*(1-PlanterDiscount)*(1+PlanterDifficultyPercentage)),""),"")),"   not ELP, by"))))))))))))))</f>
        <v/>
      </c>
      <c r="AD2378" s="712"/>
      <c r="AE2378" s="513" t="str">
        <f t="shared" si="1733"/>
        <v/>
      </c>
      <c r="AF2378" s="713" t="str">
        <f t="shared" si="1734"/>
        <v/>
      </c>
      <c r="AG2378" s="713"/>
      <c r="AH2378" s="713"/>
      <c r="AI2378" s="112">
        <f>IF(H2378="credit",0,IF(AE2378="free",0,IF(AE2378="me",0,IF(G2378&gt;0,(VLOOKUP(A2378,'Discount Lookup'!J:K,2)*G2378),0))))</f>
        <v>0</v>
      </c>
      <c r="AJ2378" s="107" t="str">
        <f t="shared" ca="1" si="1735"/>
        <v/>
      </c>
      <c r="AK2378" s="714" t="str">
        <f t="shared" si="1736"/>
        <v/>
      </c>
      <c r="AL2378" s="714"/>
      <c r="AM2378" s="114" t="str">
        <f t="shared" si="1737"/>
        <v/>
      </c>
      <c r="AN2378" s="115"/>
      <c r="AO2378" s="116"/>
      <c r="AP2378" s="116"/>
      <c r="AQ2378" s="116"/>
      <c r="AR2378" s="116"/>
      <c r="AS2378" s="116"/>
      <c r="AT2378" s="116"/>
      <c r="AU2378" s="116"/>
      <c r="AV2378" s="78"/>
      <c r="AW2378" s="102"/>
      <c r="AX2378" s="78"/>
      <c r="AY2378" s="78"/>
      <c r="AZ2378" s="78"/>
      <c r="BA2378" s="78"/>
      <c r="BB2378" s="78"/>
      <c r="BC2378" s="78"/>
      <c r="BD2378" s="78"/>
      <c r="BE2378" s="465"/>
      <c r="BF2378" s="165" t="str">
        <f t="shared" si="1738"/>
        <v>https://www.google.com/search?tbm=isch&amp;q=Itea%20%3D%20Virginia%20Sweetspire%20</v>
      </c>
      <c r="BG2378" s="165" t="str">
        <f t="shared" si="1739"/>
        <v>I</v>
      </c>
      <c r="BH2378" s="65"/>
      <c r="BI2378" s="65"/>
      <c r="BJ2378" s="65"/>
      <c r="BK2378" s="65"/>
      <c r="BL2378" s="99"/>
      <c r="BM2378" s="99"/>
      <c r="BN2378" s="99"/>
    </row>
    <row r="2379" spans="1:66" s="51" customFormat="1" ht="18" x14ac:dyDescent="0.25">
      <c r="A2379" s="623" t="s">
        <v>3066</v>
      </c>
      <c r="B2379" s="624"/>
      <c r="C2379" s="709"/>
      <c r="D2379" s="625" t="s">
        <v>3067</v>
      </c>
      <c r="E2379" s="626"/>
      <c r="F2379" s="626"/>
      <c r="G2379" s="626"/>
      <c r="H2379" s="622" t="s">
        <v>3068</v>
      </c>
      <c r="I2379" s="627" t="s">
        <v>349</v>
      </c>
      <c r="J2379" s="628"/>
      <c r="K2379" s="628"/>
      <c r="L2379" s="629"/>
      <c r="M2379" s="700" t="s">
        <v>5242</v>
      </c>
      <c r="N2379" s="693" t="str">
        <f>IF(AND(ISTEXT($A2379), ISERROR($A2379+0)), HYPERLINK($BF2379, "Images"), "")</f>
        <v>Images</v>
      </c>
      <c r="O2379" s="695" t="s">
        <v>5247</v>
      </c>
      <c r="P2379" s="630"/>
      <c r="Q2379" s="631"/>
      <c r="R2379" s="632"/>
      <c r="S2379" s="633" t="s">
        <v>294</v>
      </c>
      <c r="T2379" s="102">
        <f t="shared" si="1727"/>
        <v>0</v>
      </c>
      <c r="U2379" s="78" t="str">
        <f>IF(NOT(ISNUMBER(G2379)), "", VLOOKUP(A2379,'Discount Lookup'!D:E,2,FALSE)*G2379)</f>
        <v/>
      </c>
      <c r="V2379" s="78" t="str">
        <f>IF(NOT(ISNUMBER(G2379)), "", VLOOKUP(A2379,'Discount Lookup'!G:H,2,FALSE)*G2379)</f>
        <v/>
      </c>
      <c r="W2379" s="102">
        <f t="shared" si="1728"/>
        <v>0</v>
      </c>
      <c r="X2379" s="102" t="str">
        <f t="shared" si="1729"/>
        <v>White bloom</v>
      </c>
      <c r="Y2379" s="120" t="b">
        <f t="shared" si="1730"/>
        <v>0</v>
      </c>
      <c r="Z2379" s="117">
        <f t="shared" si="1731"/>
        <v>0</v>
      </c>
      <c r="AA2379" s="118"/>
      <c r="AB2379" s="118" t="str">
        <f t="shared" si="1732"/>
        <v/>
      </c>
      <c r="AC2379" s="712" t="str">
        <f>IF(AE2379="T2G","no charge",IF(AND(OR(PlanterYesMe="No",PlanterYesMe="N",PlanterYesMe="me"),H2379=""),"",IF(H2379="credit","NO install",IF(AND(K2379="",AE2379="me"),"EACH row",IF(AND(K2379="images",AE2379="me"),"EACH row",IF(D2379="","",IF(H2379="credit","",IF(AE2379="free","re-planting",IF(AE2379="me","   not ELP, by",IF(AND(OR(PlanterYesMe="Yes",PlanterYesMe="Y"),G2379&gt;0),(VLOOKUP(A2379,'Discount Lookup'!J:K,2)*G2379*(1-PlanterDiscount)*(1+PlanterDifficultyPercentage)),IF(AE2379="ELP",(VLOOKUP(A2379,'Discount Lookup'!J:K,2)*G2379*(1-PlanterDiscount)*(1+PlanterDifficultyPercentage)),IF(AE2379="free","re-planting",IF(G2379=0,"",IF(PlanterYesMe="",IF(AE2379="me","   not ELP, by",IF(AE2379="",IF(G2379&gt;0,(VLOOKUP(A2379,'Discount Lookup'!J:K,2)*G2379*(1-PlanterDiscount)*(1+PlanterDifficultyPercentage)),""),"")),"   not ELP, by"))))))))))))))</f>
        <v/>
      </c>
      <c r="AD2379" s="712"/>
      <c r="AE2379" s="513" t="str">
        <f t="shared" si="1733"/>
        <v/>
      </c>
      <c r="AF2379" s="713" t="str">
        <f t="shared" si="1734"/>
        <v/>
      </c>
      <c r="AG2379" s="713"/>
      <c r="AH2379" s="713"/>
      <c r="AI2379" s="112">
        <f>IF(H2379="credit",0,IF(AE2379="free",0,IF(AE2379="me",0,IF(G2379&gt;0,(VLOOKUP(A2379,'Discount Lookup'!J:K,2)*G2379),0))))</f>
        <v>0</v>
      </c>
      <c r="AJ2379" s="107" t="str">
        <f t="shared" ca="1" si="1735"/>
        <v/>
      </c>
      <c r="AK2379" s="714" t="str">
        <f t="shared" si="1736"/>
        <v/>
      </c>
      <c r="AL2379" s="714"/>
      <c r="AM2379" s="114" t="str">
        <f t="shared" si="1737"/>
        <v/>
      </c>
      <c r="AN2379" s="115"/>
      <c r="AO2379" s="116"/>
      <c r="AP2379" s="116"/>
      <c r="AQ2379" s="116"/>
      <c r="AR2379" s="116"/>
      <c r="AS2379" s="116"/>
      <c r="AT2379" s="116"/>
      <c r="AU2379" s="116"/>
      <c r="AV2379" s="78"/>
      <c r="AW2379" s="102"/>
      <c r="AX2379" s="78"/>
      <c r="AY2379" s="78"/>
      <c r="AZ2379" s="78"/>
      <c r="BA2379" s="78"/>
      <c r="BB2379" s="78"/>
      <c r="BC2379" s="78"/>
      <c r="BD2379" s="78"/>
      <c r="BE2379" s="465"/>
      <c r="BF2379" s="165" t="str">
        <f t="shared" si="1738"/>
        <v>https://www.google.com/search?tbm=isch&amp;q=Itea%20virginica%20%27Henry%27s%20Garnet%27%20Henry%27s%20Garnet%20Virginia%20Sweetspire</v>
      </c>
      <c r="BG2379" s="165" t="str">
        <f t="shared" si="1739"/>
        <v>I</v>
      </c>
      <c r="BH2379" s="65"/>
      <c r="BI2379" s="65"/>
      <c r="BJ2379" s="65"/>
      <c r="BK2379" s="65"/>
      <c r="BL2379" s="99"/>
      <c r="BM2379" s="99"/>
      <c r="BN2379" s="99"/>
    </row>
    <row r="2380" spans="1:66" s="51" customFormat="1" ht="15.75" x14ac:dyDescent="0.25">
      <c r="A2380" s="634">
        <v>1</v>
      </c>
      <c r="B2380" s="635" t="s">
        <v>291</v>
      </c>
      <c r="C2380" s="636"/>
      <c r="D2380" s="637" t="s">
        <v>310</v>
      </c>
      <c r="E2380" s="638">
        <v>7.95</v>
      </c>
      <c r="F2380" s="639" t="s">
        <v>292</v>
      </c>
      <c r="G2380" s="484">
        <v>0</v>
      </c>
      <c r="H2380" s="691" t="str">
        <f>IF(G2380=0,"",IF(F2380="Buy",IF(G2380=1,"plant","plants"),IF(F2380&gt;0.01,"warranty","Error")))</f>
        <v/>
      </c>
      <c r="I2380" s="640">
        <f>IF(H2380="free",0,IF(H2380="credit",((E2380*(F2380))*G2380*-1),IF(F2380="Buy",(E2380*G2380),((E2380*(1-F2380))*G2380))))</f>
        <v>0</v>
      </c>
      <c r="J2380" s="640">
        <f>IF(H2380="warranty",0,(I2380*(_xlfn.SINGLE(SalesTaxPercentage))))</f>
        <v>0</v>
      </c>
      <c r="K2380" s="716">
        <f t="shared" ref="K2380" si="1778">I2380+J2380</f>
        <v>0</v>
      </c>
      <c r="L2380" s="716"/>
      <c r="M2380" s="689" t="str">
        <f ca="1">IF(AND(G2380&gt;0,E2380=0),"WARNING - no PRICE inserted",IF(H2380="free","FREE ~ no charge this plant",IF(H2380="credit",CONCATENATE("-$",ROUND(K2380*(1-_xlfn.SINGLE(T2GDiscount))*-1,2)," CREDIT after discount"),IF(_xlfn.SINGLE(T2GDiscount)=0,"",IF(G2380=0,"",IF(F2380="Buy",CONCATENATE("$",ROUND(K2380*(1-_xlfn.SINGLE(T2GDiscount)),2)," with ",(_xlfn.SINGLE(T2GDiscount)*100),"% discount"),CONCATENATE("$",ROUND(K2380*(1-_xlfn.SINGLE(T2GDiscount)),2)," with ",((_xlfn.SINGLE(T2GDiscount)*100+F2380*100)-(_xlfn.SINGLE(T2GDiscount)*100*F2380)),IF(F2380&gt;0,"% discounts",IF(_xlfn.SINGLE(NoWarrantyDiscount)&gt;0,"% discounts","% discount")))))))))</f>
        <v/>
      </c>
      <c r="N2380" s="690"/>
      <c r="O2380" s="486"/>
      <c r="P2380" s="486"/>
      <c r="Q2380" s="486"/>
      <c r="R2380" s="486"/>
      <c r="S2380" s="486"/>
      <c r="T2380" s="102">
        <f t="shared" si="1727"/>
        <v>0</v>
      </c>
      <c r="U2380" s="78">
        <f>IF(NOT(ISNUMBER(G2380)), "", VLOOKUP(A2380,'Discount Lookup'!D:E,2,FALSE)*G2380)</f>
        <v>0</v>
      </c>
      <c r="V2380" s="78">
        <f>IF(NOT(ISNUMBER(G2380)), "", VLOOKUP(A2380,'Discount Lookup'!G:H,2,FALSE)*G2380)</f>
        <v>0</v>
      </c>
      <c r="W2380" s="102">
        <f t="shared" si="1728"/>
        <v>0</v>
      </c>
      <c r="X2380" s="102">
        <f t="shared" si="1729"/>
        <v>0</v>
      </c>
      <c r="Y2380" s="120" t="b">
        <f t="shared" si="1730"/>
        <v>0</v>
      </c>
      <c r="Z2380" s="117">
        <f t="shared" si="1731"/>
        <v>0</v>
      </c>
      <c r="AA2380" s="118"/>
      <c r="AB2380" s="118" t="str">
        <f t="shared" si="1732"/>
        <v/>
      </c>
      <c r="AC2380" s="712" t="str">
        <f>IF(AE2380="T2G","no charge",IF(AND(OR(PlanterYesMe="No",PlanterYesMe="N",PlanterYesMe="me"),H2380=""),"",IF(H2380="credit","NO install",IF(AND(K2380="",AE2380="me"),"EACH row",IF(AND(K2380="images",AE2380="me"),"EACH row",IF(D2380="","",IF(H2380="credit","",IF(AE2380="free","re-planting",IF(AE2380="me","   not ELP, by",IF(AND(OR(PlanterYesMe="Yes",PlanterYesMe="Y"),G2380&gt;0),(VLOOKUP(A2380,'Discount Lookup'!J:K,2)*G2380*(1-PlanterDiscount)*(1+PlanterDifficultyPercentage)),IF(AE2380="ELP",(VLOOKUP(A2380,'Discount Lookup'!J:K,2)*G2380*(1-PlanterDiscount)*(1+PlanterDifficultyPercentage)),IF(AE2380="free","re-planting",IF(G2380=0,"",IF(PlanterYesMe="",IF(AE2380="me","   not ELP, by",IF(AE2380="",IF(G2380&gt;0,(VLOOKUP(A2380,'Discount Lookup'!J:K,2)*G2380*(1-PlanterDiscount)*(1+PlanterDifficultyPercentage)),""),"")),"   not ELP, by"))))))))))))))</f>
        <v/>
      </c>
      <c r="AD2380" s="712"/>
      <c r="AE2380" s="513" t="str">
        <f t="shared" si="1733"/>
        <v/>
      </c>
      <c r="AF2380" s="713" t="str">
        <f t="shared" si="1734"/>
        <v/>
      </c>
      <c r="AG2380" s="713"/>
      <c r="AH2380" s="713"/>
      <c r="AI2380" s="112">
        <f>IF(H2380="credit",0,IF(AE2380="free",0,IF(AE2380="me",0,IF(G2380&gt;0,(VLOOKUP(A2380,'Discount Lookup'!J:K,2)*G2380),0))))</f>
        <v>0</v>
      </c>
      <c r="AJ2380" s="107" t="str">
        <f t="shared" ca="1" si="1735"/>
        <v/>
      </c>
      <c r="AK2380" s="714" t="str">
        <f t="shared" si="1736"/>
        <v/>
      </c>
      <c r="AL2380" s="714"/>
      <c r="AM2380" s="114" t="str">
        <f t="shared" si="1737"/>
        <v/>
      </c>
      <c r="AN2380" s="115"/>
      <c r="AO2380" s="116"/>
      <c r="AP2380" s="116"/>
      <c r="AQ2380" s="116"/>
      <c r="AR2380" s="116"/>
      <c r="AS2380" s="116"/>
      <c r="AT2380" s="116"/>
      <c r="AU2380" s="116"/>
      <c r="AV2380" s="78"/>
      <c r="AW2380" s="102"/>
      <c r="AX2380" s="78"/>
      <c r="AY2380" s="78"/>
      <c r="AZ2380" s="78"/>
      <c r="BA2380" s="78"/>
      <c r="BB2380" s="78"/>
      <c r="BC2380" s="78"/>
      <c r="BD2380" s="78"/>
      <c r="BE2380" s="465"/>
      <c r="BF2380" s="165" t="str">
        <f t="shared" si="1738"/>
        <v>https://www.google.com/search?tbm=isch&amp;q=1%20G1</v>
      </c>
      <c r="BG2380" s="165" t="str">
        <f t="shared" si="1739"/>
        <v>I</v>
      </c>
      <c r="BH2380" s="65"/>
      <c r="BI2380" s="65"/>
      <c r="BJ2380" s="65"/>
      <c r="BK2380" s="65"/>
      <c r="BL2380" s="99"/>
      <c r="BM2380" s="99"/>
      <c r="BN2380" s="99"/>
    </row>
    <row r="2381" spans="1:66" s="51" customFormat="1" ht="15.75" x14ac:dyDescent="0.25">
      <c r="A2381" s="634">
        <v>3</v>
      </c>
      <c r="B2381" s="635" t="s">
        <v>291</v>
      </c>
      <c r="C2381" s="636" t="s">
        <v>346</v>
      </c>
      <c r="D2381" s="637" t="s">
        <v>310</v>
      </c>
      <c r="E2381" s="638">
        <v>25.95</v>
      </c>
      <c r="F2381" s="639" t="s">
        <v>292</v>
      </c>
      <c r="G2381" s="484">
        <v>0</v>
      </c>
      <c r="H2381" s="691" t="str">
        <f>IF(G2381=0,"",IF(F2381="Buy",IF(G2381=1,"plant","plants"),IF(F2381&gt;0.01,"warranty","Error")))</f>
        <v/>
      </c>
      <c r="I2381" s="640">
        <f>IF(H2381="free",0,IF(H2381="credit",((E2381*(F2381))*G2381*-1),IF(F2381="Buy",(E2381*G2381),((E2381*(1-F2381))*G2381))))</f>
        <v>0</v>
      </c>
      <c r="J2381" s="640">
        <f>IF(H2381="warranty",0,(I2381*(_xlfn.SINGLE(SalesTaxPercentage))))</f>
        <v>0</v>
      </c>
      <c r="K2381" s="716">
        <f t="shared" ref="K2381" si="1779">I2381+J2381</f>
        <v>0</v>
      </c>
      <c r="L2381" s="716"/>
      <c r="M2381" s="689" t="str">
        <f ca="1">IF(AND(G2381&gt;0,E2381=0),"WARNING - no PRICE inserted",IF(H2381="free","FREE ~ no charge this plant",IF(H2381="credit",CONCATENATE("-$",ROUND(K2381*(1-_xlfn.SINGLE(T2GDiscount))*-1,2)," CREDIT after discount"),IF(_xlfn.SINGLE(T2GDiscount)=0,"",IF(G2381=0,"",IF(F2381="Buy",CONCATENATE("$",ROUND(K2381*(1-_xlfn.SINGLE(T2GDiscount)),2)," with ",(_xlfn.SINGLE(T2GDiscount)*100),"% discount"),CONCATENATE("$",ROUND(K2381*(1-_xlfn.SINGLE(T2GDiscount)),2)," with ",((_xlfn.SINGLE(T2GDiscount)*100+F2381*100)-(_xlfn.SINGLE(T2GDiscount)*100*F2381)),IF(F2381&gt;0,"% discounts",IF(_xlfn.SINGLE(NoWarrantyDiscount)&gt;0,"% discounts","% discount")))))))))</f>
        <v/>
      </c>
      <c r="N2381" s="690"/>
      <c r="O2381" s="486"/>
      <c r="P2381" s="486"/>
      <c r="Q2381" s="486"/>
      <c r="R2381" s="486"/>
      <c r="S2381" s="486"/>
      <c r="T2381" s="102">
        <f t="shared" si="1727"/>
        <v>0</v>
      </c>
      <c r="U2381" s="78">
        <f>IF(NOT(ISNUMBER(G2381)), "", VLOOKUP(A2381,'Discount Lookup'!D:E,2,FALSE)*G2381)</f>
        <v>0</v>
      </c>
      <c r="V2381" s="78">
        <f>IF(NOT(ISNUMBER(G2381)), "", VLOOKUP(A2381,'Discount Lookup'!G:H,2,FALSE)*G2381)</f>
        <v>0</v>
      </c>
      <c r="W2381" s="102">
        <f t="shared" si="1728"/>
        <v>0</v>
      </c>
      <c r="X2381" s="102">
        <f t="shared" si="1729"/>
        <v>0</v>
      </c>
      <c r="Y2381" s="120" t="b">
        <f t="shared" si="1730"/>
        <v>0</v>
      </c>
      <c r="Z2381" s="117">
        <f t="shared" si="1731"/>
        <v>0</v>
      </c>
      <c r="AA2381" s="118"/>
      <c r="AB2381" s="118" t="str">
        <f t="shared" si="1732"/>
        <v/>
      </c>
      <c r="AC2381" s="712" t="str">
        <f>IF(AE2381="T2G","no charge",IF(AND(OR(PlanterYesMe="No",PlanterYesMe="N",PlanterYesMe="me"),H2381=""),"",IF(H2381="credit","NO install",IF(AND(K2381="",AE2381="me"),"EACH row",IF(AND(K2381="images",AE2381="me"),"EACH row",IF(D2381="","",IF(H2381="credit","",IF(AE2381="free","re-planting",IF(AE2381="me","   not ELP, by",IF(AND(OR(PlanterYesMe="Yes",PlanterYesMe="Y"),G2381&gt;0),(VLOOKUP(A2381,'Discount Lookup'!J:K,2)*G2381*(1-PlanterDiscount)*(1+PlanterDifficultyPercentage)),IF(AE2381="ELP",(VLOOKUP(A2381,'Discount Lookup'!J:K,2)*G2381*(1-PlanterDiscount)*(1+PlanterDifficultyPercentage)),IF(AE2381="free","re-planting",IF(G2381=0,"",IF(PlanterYesMe="",IF(AE2381="me","   not ELP, by",IF(AE2381="",IF(G2381&gt;0,(VLOOKUP(A2381,'Discount Lookup'!J:K,2)*G2381*(1-PlanterDiscount)*(1+PlanterDifficultyPercentage)),""),"")),"   not ELP, by"))))))))))))))</f>
        <v/>
      </c>
      <c r="AD2381" s="712"/>
      <c r="AE2381" s="513" t="str">
        <f t="shared" si="1733"/>
        <v/>
      </c>
      <c r="AF2381" s="713" t="str">
        <f t="shared" si="1734"/>
        <v/>
      </c>
      <c r="AG2381" s="713"/>
      <c r="AH2381" s="713"/>
      <c r="AI2381" s="112">
        <f>IF(H2381="credit",0,IF(AE2381="free",0,IF(AE2381="me",0,IF(G2381&gt;0,(VLOOKUP(A2381,'Discount Lookup'!J:K,2)*G2381),0))))</f>
        <v>0</v>
      </c>
      <c r="AJ2381" s="107" t="str">
        <f t="shared" ca="1" si="1735"/>
        <v/>
      </c>
      <c r="AK2381" s="714" t="str">
        <f t="shared" si="1736"/>
        <v/>
      </c>
      <c r="AL2381" s="714"/>
      <c r="AM2381" s="114" t="str">
        <f t="shared" si="1737"/>
        <v/>
      </c>
      <c r="AN2381" s="115"/>
      <c r="AO2381" s="116"/>
      <c r="AP2381" s="116"/>
      <c r="AQ2381" s="116"/>
      <c r="AR2381" s="116"/>
      <c r="AS2381" s="116"/>
      <c r="AT2381" s="116"/>
      <c r="AU2381" s="116"/>
      <c r="AV2381" s="78"/>
      <c r="AW2381" s="102"/>
      <c r="AX2381" s="78"/>
      <c r="AY2381" s="78"/>
      <c r="AZ2381" s="78"/>
      <c r="BA2381" s="78"/>
      <c r="BB2381" s="78"/>
      <c r="BC2381" s="78"/>
      <c r="BD2381" s="78"/>
      <c r="BE2381" s="465"/>
      <c r="BF2381" s="165" t="str">
        <f t="shared" si="1738"/>
        <v>https://www.google.com/search?tbm=isch&amp;q=3%20G1</v>
      </c>
      <c r="BG2381" s="165" t="str">
        <f t="shared" si="1739"/>
        <v>I</v>
      </c>
      <c r="BH2381" s="65"/>
      <c r="BI2381" s="65"/>
      <c r="BJ2381" s="65"/>
      <c r="BK2381" s="65"/>
      <c r="BL2381" s="99"/>
      <c r="BM2381" s="99"/>
      <c r="BN2381" s="99"/>
    </row>
    <row r="2382" spans="1:66" s="51" customFormat="1" ht="15.75" x14ac:dyDescent="0.25">
      <c r="A2382" s="634">
        <v>3</v>
      </c>
      <c r="B2382" s="635" t="s">
        <v>291</v>
      </c>
      <c r="C2382" s="636" t="s">
        <v>3069</v>
      </c>
      <c r="D2382" s="637" t="s">
        <v>293</v>
      </c>
      <c r="E2382" s="638">
        <v>26.95</v>
      </c>
      <c r="F2382" s="639" t="s">
        <v>292</v>
      </c>
      <c r="G2382" s="484">
        <v>0</v>
      </c>
      <c r="H2382" s="691" t="str">
        <f>IF(G2382=0,"",IF(F2382="Buy",IF(G2382=1,"plant","plants"),IF(F2382&gt;0.01,"warranty","Error")))</f>
        <v/>
      </c>
      <c r="I2382" s="640">
        <f>IF(H2382="free",0,IF(H2382="credit",((E2382*(F2382))*G2382*-1),IF(F2382="Buy",(E2382*G2382),((E2382*(1-F2382))*G2382))))</f>
        <v>0</v>
      </c>
      <c r="J2382" s="640">
        <f>IF(H2382="warranty",0,(I2382*(_xlfn.SINGLE(SalesTaxPercentage))))</f>
        <v>0</v>
      </c>
      <c r="K2382" s="716">
        <f t="shared" ref="K2382" si="1780">I2382+J2382</f>
        <v>0</v>
      </c>
      <c r="L2382" s="716"/>
      <c r="M2382" s="689" t="str">
        <f ca="1">IF(AND(G2382&gt;0,E2382=0),"WARNING - no PRICE inserted",IF(H2382="free","FREE ~ no charge this plant",IF(H2382="credit",CONCATENATE("-$",ROUND(K2382*(1-_xlfn.SINGLE(T2GDiscount))*-1,2)," CREDIT after discount"),IF(_xlfn.SINGLE(T2GDiscount)=0,"",IF(G2382=0,"",IF(F2382="Buy",CONCATENATE("$",ROUND(K2382*(1-_xlfn.SINGLE(T2GDiscount)),2)," with ",(_xlfn.SINGLE(T2GDiscount)*100),"% discount"),CONCATENATE("$",ROUND(K2382*(1-_xlfn.SINGLE(T2GDiscount)),2)," with ",((_xlfn.SINGLE(T2GDiscount)*100+F2382*100)-(_xlfn.SINGLE(T2GDiscount)*100*F2382)),IF(F2382&gt;0,"% discounts",IF(_xlfn.SINGLE(NoWarrantyDiscount)&gt;0,"% discounts","% discount")))))))))</f>
        <v/>
      </c>
      <c r="N2382" s="690"/>
      <c r="O2382" s="486"/>
      <c r="P2382" s="486"/>
      <c r="Q2382" s="486"/>
      <c r="R2382" s="486"/>
      <c r="S2382" s="486"/>
      <c r="T2382" s="102">
        <f t="shared" si="1727"/>
        <v>0</v>
      </c>
      <c r="U2382" s="78">
        <f>IF(NOT(ISNUMBER(G2382)), "", VLOOKUP(A2382,'Discount Lookup'!D:E,2,FALSE)*G2382)</f>
        <v>0</v>
      </c>
      <c r="V2382" s="78">
        <f>IF(NOT(ISNUMBER(G2382)), "", VLOOKUP(A2382,'Discount Lookup'!G:H,2,FALSE)*G2382)</f>
        <v>0</v>
      </c>
      <c r="W2382" s="102">
        <f t="shared" si="1728"/>
        <v>0</v>
      </c>
      <c r="X2382" s="102">
        <f t="shared" si="1729"/>
        <v>0</v>
      </c>
      <c r="Y2382" s="120" t="b">
        <f t="shared" si="1730"/>
        <v>0</v>
      </c>
      <c r="Z2382" s="117">
        <f t="shared" si="1731"/>
        <v>0</v>
      </c>
      <c r="AA2382" s="118"/>
      <c r="AB2382" s="118" t="str">
        <f t="shared" si="1732"/>
        <v/>
      </c>
      <c r="AC2382" s="712" t="str">
        <f>IF(AE2382="T2G","no charge",IF(AND(OR(PlanterYesMe="No",PlanterYesMe="N",PlanterYesMe="me"),H2382=""),"",IF(H2382="credit","NO install",IF(AND(K2382="",AE2382="me"),"EACH row",IF(AND(K2382="images",AE2382="me"),"EACH row",IF(D2382="","",IF(H2382="credit","",IF(AE2382="free","re-planting",IF(AE2382="me","   not ELP, by",IF(AND(OR(PlanterYesMe="Yes",PlanterYesMe="Y"),G2382&gt;0),(VLOOKUP(A2382,'Discount Lookup'!J:K,2)*G2382*(1-PlanterDiscount)*(1+PlanterDifficultyPercentage)),IF(AE2382="ELP",(VLOOKUP(A2382,'Discount Lookup'!J:K,2)*G2382*(1-PlanterDiscount)*(1+PlanterDifficultyPercentage)),IF(AE2382="free","re-planting",IF(G2382=0,"",IF(PlanterYesMe="",IF(AE2382="me","   not ELP, by",IF(AE2382="",IF(G2382&gt;0,(VLOOKUP(A2382,'Discount Lookup'!J:K,2)*G2382*(1-PlanterDiscount)*(1+PlanterDifficultyPercentage)),""),"")),"   not ELP, by"))))))))))))))</f>
        <v/>
      </c>
      <c r="AD2382" s="712"/>
      <c r="AE2382" s="513" t="str">
        <f t="shared" si="1733"/>
        <v/>
      </c>
      <c r="AF2382" s="713" t="str">
        <f t="shared" si="1734"/>
        <v/>
      </c>
      <c r="AG2382" s="713"/>
      <c r="AH2382" s="713"/>
      <c r="AI2382" s="112">
        <f>IF(H2382="credit",0,IF(AE2382="free",0,IF(AE2382="me",0,IF(G2382&gt;0,(VLOOKUP(A2382,'Discount Lookup'!J:K,2)*G2382),0))))</f>
        <v>0</v>
      </c>
      <c r="AJ2382" s="107" t="str">
        <f t="shared" ca="1" si="1735"/>
        <v/>
      </c>
      <c r="AK2382" s="714" t="str">
        <f t="shared" si="1736"/>
        <v/>
      </c>
      <c r="AL2382" s="714"/>
      <c r="AM2382" s="114" t="str">
        <f t="shared" si="1737"/>
        <v/>
      </c>
      <c r="AN2382" s="115"/>
      <c r="AO2382" s="116"/>
      <c r="AP2382" s="116"/>
      <c r="AQ2382" s="116"/>
      <c r="AR2382" s="116"/>
      <c r="AS2382" s="116"/>
      <c r="AT2382" s="116"/>
      <c r="AU2382" s="116"/>
      <c r="AV2382" s="78"/>
      <c r="AW2382" s="102"/>
      <c r="AX2382" s="78"/>
      <c r="AY2382" s="78"/>
      <c r="AZ2382" s="78"/>
      <c r="BA2382" s="78"/>
      <c r="BB2382" s="78"/>
      <c r="BC2382" s="78"/>
      <c r="BD2382" s="78"/>
      <c r="BE2382" s="465"/>
      <c r="BF2382" s="165" t="str">
        <f t="shared" si="1738"/>
        <v>https://www.google.com/search?tbm=isch&amp;q=3%20G6</v>
      </c>
      <c r="BG2382" s="165" t="str">
        <f t="shared" si="1739"/>
        <v>I</v>
      </c>
      <c r="BH2382" s="65"/>
      <c r="BI2382" s="65"/>
      <c r="BJ2382" s="65"/>
      <c r="BK2382" s="65"/>
      <c r="BL2382" s="99"/>
      <c r="BM2382" s="99"/>
      <c r="BN2382" s="99"/>
    </row>
    <row r="2383" spans="1:66" s="51" customFormat="1" ht="15.75" x14ac:dyDescent="0.25">
      <c r="A2383" s="634">
        <v>3</v>
      </c>
      <c r="B2383" s="635" t="s">
        <v>291</v>
      </c>
      <c r="C2383" s="636" t="s">
        <v>337</v>
      </c>
      <c r="D2383" s="637" t="s">
        <v>329</v>
      </c>
      <c r="E2383" s="638">
        <v>29.95</v>
      </c>
      <c r="F2383" s="639" t="s">
        <v>292</v>
      </c>
      <c r="G2383" s="484">
        <v>0</v>
      </c>
      <c r="H2383" s="691" t="str">
        <f>IF(G2383=0,"",IF(F2383="Buy",IF(G2383=1,"plant","plants"),IF(F2383&gt;0.01,"warranty","Error")))</f>
        <v/>
      </c>
      <c r="I2383" s="640">
        <f>IF(H2383="free",0,IF(H2383="credit",((E2383*(F2383))*G2383*-1),IF(F2383="Buy",(E2383*G2383),((E2383*(1-F2383))*G2383))))</f>
        <v>0</v>
      </c>
      <c r="J2383" s="640">
        <f>IF(H2383="warranty",0,(I2383*(_xlfn.SINGLE(SalesTaxPercentage))))</f>
        <v>0</v>
      </c>
      <c r="K2383" s="716">
        <f t="shared" ref="K2383" si="1781">I2383+J2383</f>
        <v>0</v>
      </c>
      <c r="L2383" s="716"/>
      <c r="M2383" s="689" t="str">
        <f ca="1">IF(AND(G2383&gt;0,E2383=0),"WARNING - no PRICE inserted",IF(H2383="free","FREE ~ no charge this plant",IF(H2383="credit",CONCATENATE("-$",ROUND(K2383*(1-_xlfn.SINGLE(T2GDiscount))*-1,2)," CREDIT after discount"),IF(_xlfn.SINGLE(T2GDiscount)=0,"",IF(G2383=0,"",IF(F2383="Buy",CONCATENATE("$",ROUND(K2383*(1-_xlfn.SINGLE(T2GDiscount)),2)," with ",(_xlfn.SINGLE(T2GDiscount)*100),"% discount"),CONCATENATE("$",ROUND(K2383*(1-_xlfn.SINGLE(T2GDiscount)),2)," with ",((_xlfn.SINGLE(T2GDiscount)*100+F2383*100)-(_xlfn.SINGLE(T2GDiscount)*100*F2383)),IF(F2383&gt;0,"% discounts",IF(_xlfn.SINGLE(NoWarrantyDiscount)&gt;0,"% discounts","% discount")))))))))</f>
        <v/>
      </c>
      <c r="N2383" s="690"/>
      <c r="O2383" s="486"/>
      <c r="P2383" s="486"/>
      <c r="Q2383" s="486"/>
      <c r="R2383" s="486"/>
      <c r="S2383" s="486"/>
      <c r="T2383" s="102">
        <f t="shared" si="1727"/>
        <v>0</v>
      </c>
      <c r="U2383" s="78">
        <f>IF(NOT(ISNUMBER(G2383)), "", VLOOKUP(A2383,'Discount Lookup'!D:E,2,FALSE)*G2383)</f>
        <v>0</v>
      </c>
      <c r="V2383" s="78">
        <f>IF(NOT(ISNUMBER(G2383)), "", VLOOKUP(A2383,'Discount Lookup'!G:H,2,FALSE)*G2383)</f>
        <v>0</v>
      </c>
      <c r="W2383" s="102">
        <f t="shared" si="1728"/>
        <v>0</v>
      </c>
      <c r="X2383" s="102">
        <f t="shared" si="1729"/>
        <v>0</v>
      </c>
      <c r="Y2383" s="120" t="b">
        <f t="shared" si="1730"/>
        <v>0</v>
      </c>
      <c r="Z2383" s="117">
        <f t="shared" si="1731"/>
        <v>0</v>
      </c>
      <c r="AA2383" s="118"/>
      <c r="AB2383" s="118" t="str">
        <f t="shared" si="1732"/>
        <v/>
      </c>
      <c r="AC2383" s="712" t="str">
        <f>IF(AE2383="T2G","no charge",IF(AND(OR(PlanterYesMe="No",PlanterYesMe="N",PlanterYesMe="me"),H2383=""),"",IF(H2383="credit","NO install",IF(AND(K2383="",AE2383="me"),"EACH row",IF(AND(K2383="images",AE2383="me"),"EACH row",IF(D2383="","",IF(H2383="credit","",IF(AE2383="free","re-planting",IF(AE2383="me","   not ELP, by",IF(AND(OR(PlanterYesMe="Yes",PlanterYesMe="Y"),G2383&gt;0),(VLOOKUP(A2383,'Discount Lookup'!J:K,2)*G2383*(1-PlanterDiscount)*(1+PlanterDifficultyPercentage)),IF(AE2383="ELP",(VLOOKUP(A2383,'Discount Lookup'!J:K,2)*G2383*(1-PlanterDiscount)*(1+PlanterDifficultyPercentage)),IF(AE2383="free","re-planting",IF(G2383=0,"",IF(PlanterYesMe="",IF(AE2383="me","   not ELP, by",IF(AE2383="",IF(G2383&gt;0,(VLOOKUP(A2383,'Discount Lookup'!J:K,2)*G2383*(1-PlanterDiscount)*(1+PlanterDifficultyPercentage)),""),"")),"   not ELP, by"))))))))))))))</f>
        <v/>
      </c>
      <c r="AD2383" s="712"/>
      <c r="AE2383" s="513" t="str">
        <f t="shared" si="1733"/>
        <v/>
      </c>
      <c r="AF2383" s="713" t="str">
        <f t="shared" si="1734"/>
        <v/>
      </c>
      <c r="AG2383" s="713"/>
      <c r="AH2383" s="713"/>
      <c r="AI2383" s="112">
        <f>IF(H2383="credit",0,IF(AE2383="free",0,IF(AE2383="me",0,IF(G2383&gt;0,(VLOOKUP(A2383,'Discount Lookup'!J:K,2)*G2383),0))))</f>
        <v>0</v>
      </c>
      <c r="AJ2383" s="107" t="str">
        <f t="shared" ca="1" si="1735"/>
        <v/>
      </c>
      <c r="AK2383" s="714" t="str">
        <f t="shared" si="1736"/>
        <v/>
      </c>
      <c r="AL2383" s="714"/>
      <c r="AM2383" s="114" t="str">
        <f t="shared" si="1737"/>
        <v/>
      </c>
      <c r="AN2383" s="115"/>
      <c r="AO2383" s="116"/>
      <c r="AP2383" s="116"/>
      <c r="AQ2383" s="116"/>
      <c r="AR2383" s="116"/>
      <c r="AS2383" s="116"/>
      <c r="AT2383" s="116"/>
      <c r="AU2383" s="116"/>
      <c r="AV2383" s="78"/>
      <c r="AW2383" s="102"/>
      <c r="AX2383" s="78"/>
      <c r="AY2383" s="78"/>
      <c r="AZ2383" s="78"/>
      <c r="BA2383" s="78"/>
      <c r="BB2383" s="78"/>
      <c r="BC2383" s="78"/>
      <c r="BD2383" s="78"/>
      <c r="BE2383" s="465"/>
      <c r="BF2383" s="165" t="str">
        <f t="shared" si="1738"/>
        <v>https://www.google.com/search?tbm=isch&amp;q=3%20G2</v>
      </c>
      <c r="BG2383" s="165" t="str">
        <f t="shared" si="1739"/>
        <v>I</v>
      </c>
      <c r="BH2383" s="65"/>
      <c r="BI2383" s="65"/>
      <c r="BJ2383" s="65"/>
      <c r="BK2383" s="65"/>
      <c r="BL2383" s="99"/>
      <c r="BM2383" s="99"/>
      <c r="BN2383" s="99"/>
    </row>
    <row r="2384" spans="1:66" s="51" customFormat="1" ht="17.25" thickBot="1" x14ac:dyDescent="0.3">
      <c r="A2384" s="704" t="s">
        <v>5469</v>
      </c>
      <c r="B2384" s="642"/>
      <c r="C2384" s="710"/>
      <c r="D2384" s="643"/>
      <c r="E2384" s="643"/>
      <c r="F2384" s="644"/>
      <c r="G2384" s="645"/>
      <c r="H2384" s="646"/>
      <c r="I2384" s="647"/>
      <c r="J2384" s="648"/>
      <c r="K2384" s="649"/>
      <c r="L2384" s="650"/>
      <c r="M2384" s="650"/>
      <c r="N2384" s="644"/>
      <c r="O2384" s="644"/>
      <c r="P2384" s="644"/>
      <c r="Q2384" s="644"/>
      <c r="R2384" s="644"/>
      <c r="S2384" s="701" t="s">
        <v>5262</v>
      </c>
      <c r="T2384" s="102">
        <f t="shared" si="1727"/>
        <v>0</v>
      </c>
      <c r="U2384" s="78" t="str">
        <f>IF(NOT(ISNUMBER(G2384)), "", VLOOKUP(A2384,'Discount Lookup'!D:E,2,FALSE)*G2384)</f>
        <v/>
      </c>
      <c r="V2384" s="78" t="str">
        <f>IF(NOT(ISNUMBER(G2384)), "", VLOOKUP(A2384,'Discount Lookup'!G:H,2,FALSE)*G2384)</f>
        <v/>
      </c>
      <c r="W2384" s="102">
        <f t="shared" si="1728"/>
        <v>0</v>
      </c>
      <c r="X2384" s="102">
        <f t="shared" si="1729"/>
        <v>0</v>
      </c>
      <c r="Y2384" s="120" t="b">
        <f t="shared" si="1730"/>
        <v>0</v>
      </c>
      <c r="Z2384" s="117">
        <f t="shared" si="1731"/>
        <v>0</v>
      </c>
      <c r="AA2384" s="118"/>
      <c r="AB2384" s="118" t="str">
        <f t="shared" si="1732"/>
        <v/>
      </c>
      <c r="AC2384" s="712" t="str">
        <f>IF(AE2384="T2G","no charge",IF(AND(OR(PlanterYesMe="No",PlanterYesMe="N",PlanterYesMe="me"),H2384=""),"",IF(H2384="credit","NO install",IF(AND(K2384="",AE2384="me"),"EACH row",IF(AND(K2384="images",AE2384="me"),"EACH row",IF(D2384="","",IF(H2384="credit","",IF(AE2384="free","re-planting",IF(AE2384="me","   not ELP, by",IF(AND(OR(PlanterYesMe="Yes",PlanterYesMe="Y"),G2384&gt;0),(VLOOKUP(A2384,'Discount Lookup'!J:K,2)*G2384*(1-PlanterDiscount)*(1+PlanterDifficultyPercentage)),IF(AE2384="ELP",(VLOOKUP(A2384,'Discount Lookup'!J:K,2)*G2384*(1-PlanterDiscount)*(1+PlanterDifficultyPercentage)),IF(AE2384="free","re-planting",IF(G2384=0,"",IF(PlanterYesMe="",IF(AE2384="me","   not ELP, by",IF(AE2384="",IF(G2384&gt;0,(VLOOKUP(A2384,'Discount Lookup'!J:K,2)*G2384*(1-PlanterDiscount)*(1+PlanterDifficultyPercentage)),""),"")),"   not ELP, by"))))))))))))))</f>
        <v/>
      </c>
      <c r="AD2384" s="712"/>
      <c r="AE2384" s="513" t="str">
        <f t="shared" si="1733"/>
        <v/>
      </c>
      <c r="AF2384" s="713" t="str">
        <f t="shared" si="1734"/>
        <v/>
      </c>
      <c r="AG2384" s="713"/>
      <c r="AH2384" s="713"/>
      <c r="AI2384" s="112">
        <f>IF(H2384="credit",0,IF(AE2384="free",0,IF(AE2384="me",0,IF(G2384&gt;0,(VLOOKUP(A2384,'Discount Lookup'!J:K,2)*G2384),0))))</f>
        <v>0</v>
      </c>
      <c r="AJ2384" s="107" t="str">
        <f t="shared" ca="1" si="1735"/>
        <v/>
      </c>
      <c r="AK2384" s="714" t="str">
        <f t="shared" si="1736"/>
        <v/>
      </c>
      <c r="AL2384" s="714"/>
      <c r="AM2384" s="114" t="str">
        <f t="shared" si="1737"/>
        <v/>
      </c>
      <c r="AN2384" s="115"/>
      <c r="AO2384" s="116"/>
      <c r="AP2384" s="116"/>
      <c r="AQ2384" s="116"/>
      <c r="AR2384" s="116"/>
      <c r="AS2384" s="116"/>
      <c r="AT2384" s="116"/>
      <c r="AU2384" s="116"/>
      <c r="AV2384" s="78"/>
      <c r="AW2384" s="102"/>
      <c r="AX2384" s="78"/>
      <c r="AY2384" s="78"/>
      <c r="AZ2384" s="78"/>
      <c r="BA2384" s="78"/>
      <c r="BB2384" s="78"/>
      <c r="BC2384" s="78"/>
      <c r="BD2384" s="78"/>
      <c r="BE2384" s="465"/>
      <c r="BF2384" s="165" t="str">
        <f t="shared" si="1738"/>
        <v>https://www.google.com/search?tbm=isch&amp;q=moist%20sites%F0%9F%92%A7GOOD%2C%20Henry%27s%20has%20large%20bottlebrushr%20flowers%20and%20better%20fall%20color%20than%20other%20Sweetspire.%20Fragrant%20blooms%20spring%20to%20summer%20</v>
      </c>
      <c r="BG2384" s="165" t="str">
        <f t="shared" si="1739"/>
        <v>m</v>
      </c>
      <c r="BH2384" s="65"/>
      <c r="BI2384" s="65"/>
      <c r="BJ2384" s="65"/>
      <c r="BK2384" s="65"/>
      <c r="BL2384" s="99"/>
      <c r="BM2384" s="99"/>
      <c r="BN2384" s="99"/>
    </row>
    <row r="2385" spans="1:66" s="51" customFormat="1" ht="18" x14ac:dyDescent="0.25">
      <c r="A2385" s="623" t="s">
        <v>3070</v>
      </c>
      <c r="B2385" s="624"/>
      <c r="C2385" s="709"/>
      <c r="D2385" s="625" t="s">
        <v>5895</v>
      </c>
      <c r="E2385" s="626"/>
      <c r="F2385" s="626"/>
      <c r="G2385" s="626"/>
      <c r="H2385" s="622" t="s">
        <v>1088</v>
      </c>
      <c r="I2385" s="627" t="s">
        <v>349</v>
      </c>
      <c r="J2385" s="628"/>
      <c r="K2385" s="628"/>
      <c r="L2385" s="629"/>
      <c r="M2385" s="700" t="s">
        <v>5242</v>
      </c>
      <c r="N2385" s="693" t="str">
        <f>IF(AND(ISTEXT($A2385), ISERROR($A2385+0)), HYPERLINK($BF2385, "Images"), "")</f>
        <v>Images</v>
      </c>
      <c r="O2385" s="695" t="s">
        <v>5247</v>
      </c>
      <c r="P2385" s="630"/>
      <c r="Q2385" s="631"/>
      <c r="R2385" s="632"/>
      <c r="S2385" s="633" t="s">
        <v>294</v>
      </c>
      <c r="T2385" s="102">
        <f t="shared" si="1727"/>
        <v>0</v>
      </c>
      <c r="U2385" s="78" t="str">
        <f>IF(NOT(ISNUMBER(G2385)), "", VLOOKUP(A2385,'Discount Lookup'!D:E,2,FALSE)*G2385)</f>
        <v/>
      </c>
      <c r="V2385" s="78" t="str">
        <f>IF(NOT(ISNUMBER(G2385)), "", VLOOKUP(A2385,'Discount Lookup'!G:H,2,FALSE)*G2385)</f>
        <v/>
      </c>
      <c r="W2385" s="102">
        <f t="shared" si="1728"/>
        <v>0</v>
      </c>
      <c r="X2385" s="102" t="str">
        <f t="shared" si="1729"/>
        <v>White bloom</v>
      </c>
      <c r="Y2385" s="120" t="b">
        <f t="shared" si="1730"/>
        <v>0</v>
      </c>
      <c r="Z2385" s="117">
        <f t="shared" si="1731"/>
        <v>0</v>
      </c>
      <c r="AA2385" s="118"/>
      <c r="AB2385" s="118" t="str">
        <f t="shared" si="1732"/>
        <v/>
      </c>
      <c r="AC2385" s="712" t="str">
        <f>IF(AE2385="T2G","no charge",IF(AND(OR(PlanterYesMe="No",PlanterYesMe="N",PlanterYesMe="me"),H2385=""),"",IF(H2385="credit","NO install",IF(AND(K2385="",AE2385="me"),"EACH row",IF(AND(K2385="images",AE2385="me"),"EACH row",IF(D2385="","",IF(H2385="credit","",IF(AE2385="free","re-planting",IF(AE2385="me","   not ELP, by",IF(AND(OR(PlanterYesMe="Yes",PlanterYesMe="Y"),G2385&gt;0),(VLOOKUP(A2385,'Discount Lookup'!J:K,2)*G2385*(1-PlanterDiscount)*(1+PlanterDifficultyPercentage)),IF(AE2385="ELP",(VLOOKUP(A2385,'Discount Lookup'!J:K,2)*G2385*(1-PlanterDiscount)*(1+PlanterDifficultyPercentage)),IF(AE2385="free","re-planting",IF(G2385=0,"",IF(PlanterYesMe="",IF(AE2385="me","   not ELP, by",IF(AE2385="",IF(G2385&gt;0,(VLOOKUP(A2385,'Discount Lookup'!J:K,2)*G2385*(1-PlanterDiscount)*(1+PlanterDifficultyPercentage)),""),"")),"   not ELP, by"))))))))))))))</f>
        <v/>
      </c>
      <c r="AD2385" s="712"/>
      <c r="AE2385" s="513" t="str">
        <f t="shared" si="1733"/>
        <v/>
      </c>
      <c r="AF2385" s="713" t="str">
        <f t="shared" si="1734"/>
        <v/>
      </c>
      <c r="AG2385" s="713"/>
      <c r="AH2385" s="713"/>
      <c r="AI2385" s="112">
        <f>IF(H2385="credit",0,IF(AE2385="free",0,IF(AE2385="me",0,IF(G2385&gt;0,(VLOOKUP(A2385,'Discount Lookup'!J:K,2)*G2385),0))))</f>
        <v>0</v>
      </c>
      <c r="AJ2385" s="107" t="str">
        <f t="shared" ca="1" si="1735"/>
        <v/>
      </c>
      <c r="AK2385" s="714" t="str">
        <f t="shared" si="1736"/>
        <v/>
      </c>
      <c r="AL2385" s="714"/>
      <c r="AM2385" s="114" t="str">
        <f t="shared" si="1737"/>
        <v/>
      </c>
      <c r="AN2385" s="115"/>
      <c r="AO2385" s="116"/>
      <c r="AP2385" s="116"/>
      <c r="AQ2385" s="116"/>
      <c r="AR2385" s="116"/>
      <c r="AS2385" s="116"/>
      <c r="AT2385" s="116"/>
      <c r="AU2385" s="116"/>
      <c r="AV2385" s="78"/>
      <c r="AW2385" s="102"/>
      <c r="AX2385" s="78"/>
      <c r="AY2385" s="78"/>
      <c r="AZ2385" s="78"/>
      <c r="BA2385" s="78"/>
      <c r="BB2385" s="78"/>
      <c r="BC2385" s="78"/>
      <c r="BD2385" s="78"/>
      <c r="BE2385" s="465"/>
      <c r="BF2385" s="165" t="str">
        <f t="shared" si="1738"/>
        <v>https://www.google.com/search?tbm=isch&amp;q=Itea%20virginica%20%27Sprich%27%20PP%2310988%20Little%20Henry%C2%AE%20Virginia%20Sweetspire%20%28PW%C2%AE%29</v>
      </c>
      <c r="BG2385" s="165" t="str">
        <f t="shared" si="1739"/>
        <v>I</v>
      </c>
      <c r="BH2385" s="65"/>
      <c r="BI2385" s="65"/>
      <c r="BJ2385" s="65"/>
      <c r="BK2385" s="65"/>
      <c r="BL2385" s="99"/>
      <c r="BM2385" s="99"/>
      <c r="BN2385" s="99"/>
    </row>
    <row r="2386" spans="1:66" s="51" customFormat="1" ht="15.75" x14ac:dyDescent="0.25">
      <c r="A2386" s="634">
        <v>3</v>
      </c>
      <c r="B2386" s="635" t="s">
        <v>291</v>
      </c>
      <c r="C2386" s="636"/>
      <c r="D2386" s="637" t="s">
        <v>310</v>
      </c>
      <c r="E2386" s="638">
        <v>36.950000000000003</v>
      </c>
      <c r="F2386" s="639" t="s">
        <v>292</v>
      </c>
      <c r="G2386" s="484">
        <v>0</v>
      </c>
      <c r="H2386" s="691" t="str">
        <f>IF(G2386=0,"",IF(F2386="Buy",IF(G2386=1,"plant","plants"),IF(F2386&gt;0.01,"warranty","Error")))</f>
        <v/>
      </c>
      <c r="I2386" s="640">
        <f>IF(H2386="free",0,IF(H2386="credit",((E2386*(F2386))*G2386*-1),IF(F2386="Buy",(E2386*G2386),((E2386*(1-F2386))*G2386))))</f>
        <v>0</v>
      </c>
      <c r="J2386" s="640">
        <f>IF(H2386="warranty",0,(I2386*(_xlfn.SINGLE(SalesTaxPercentage))))</f>
        <v>0</v>
      </c>
      <c r="K2386" s="716">
        <f t="shared" ref="K2386" si="1782">I2386+J2386</f>
        <v>0</v>
      </c>
      <c r="L2386" s="716"/>
      <c r="M2386" s="689" t="str">
        <f ca="1">IF(AND(G2386&gt;0,E2386=0),"WARNING - no PRICE inserted",IF(H2386="free","FREE ~ no charge this plant",IF(H2386="credit",CONCATENATE("-$",ROUND(K2386*(1-_xlfn.SINGLE(T2GDiscount))*-1,2)," CREDIT after discount"),IF(_xlfn.SINGLE(T2GDiscount)=0,"",IF(G2386=0,"",IF(F2386="Buy",CONCATENATE("$",ROUND(K2386*(1-_xlfn.SINGLE(T2GDiscount)),2)," with ",(_xlfn.SINGLE(T2GDiscount)*100),"% discount"),CONCATENATE("$",ROUND(K2386*(1-_xlfn.SINGLE(T2GDiscount)),2)," with ",((_xlfn.SINGLE(T2GDiscount)*100+F2386*100)-(_xlfn.SINGLE(T2GDiscount)*100*F2386)),IF(F2386&gt;0,"% discounts",IF(_xlfn.SINGLE(NoWarrantyDiscount)&gt;0,"% discounts","% discount")))))))))</f>
        <v/>
      </c>
      <c r="N2386" s="690"/>
      <c r="O2386" s="486"/>
      <c r="P2386" s="486"/>
      <c r="Q2386" s="486"/>
      <c r="R2386" s="486"/>
      <c r="S2386" s="486"/>
      <c r="T2386" s="102">
        <f t="shared" si="1727"/>
        <v>0</v>
      </c>
      <c r="U2386" s="78">
        <f>IF(NOT(ISNUMBER(G2386)), "", VLOOKUP(A2386,'Discount Lookup'!D:E,2,FALSE)*G2386)</f>
        <v>0</v>
      </c>
      <c r="V2386" s="78">
        <f>IF(NOT(ISNUMBER(G2386)), "", VLOOKUP(A2386,'Discount Lookup'!G:H,2,FALSE)*G2386)</f>
        <v>0</v>
      </c>
      <c r="W2386" s="102">
        <f t="shared" si="1728"/>
        <v>0</v>
      </c>
      <c r="X2386" s="102">
        <f t="shared" si="1729"/>
        <v>0</v>
      </c>
      <c r="Y2386" s="120" t="b">
        <f t="shared" si="1730"/>
        <v>0</v>
      </c>
      <c r="Z2386" s="117">
        <f t="shared" si="1731"/>
        <v>0</v>
      </c>
      <c r="AA2386" s="118"/>
      <c r="AB2386" s="118" t="str">
        <f t="shared" si="1732"/>
        <v/>
      </c>
      <c r="AC2386" s="712" t="str">
        <f>IF(AE2386="T2G","no charge",IF(AND(OR(PlanterYesMe="No",PlanterYesMe="N",PlanterYesMe="me"),H2386=""),"",IF(H2386="credit","NO install",IF(AND(K2386="",AE2386="me"),"EACH row",IF(AND(K2386="images",AE2386="me"),"EACH row",IF(D2386="","",IF(H2386="credit","",IF(AE2386="free","re-planting",IF(AE2386="me","   not ELP, by",IF(AND(OR(PlanterYesMe="Yes",PlanterYesMe="Y"),G2386&gt;0),(VLOOKUP(A2386,'Discount Lookup'!J:K,2)*G2386*(1-PlanterDiscount)*(1+PlanterDifficultyPercentage)),IF(AE2386="ELP",(VLOOKUP(A2386,'Discount Lookup'!J:K,2)*G2386*(1-PlanterDiscount)*(1+PlanterDifficultyPercentage)),IF(AE2386="free","re-planting",IF(G2386=0,"",IF(PlanterYesMe="",IF(AE2386="me","   not ELP, by",IF(AE2386="",IF(G2386&gt;0,(VLOOKUP(A2386,'Discount Lookup'!J:K,2)*G2386*(1-PlanterDiscount)*(1+PlanterDifficultyPercentage)),""),"")),"   not ELP, by"))))))))))))))</f>
        <v/>
      </c>
      <c r="AD2386" s="712"/>
      <c r="AE2386" s="513" t="str">
        <f t="shared" si="1733"/>
        <v/>
      </c>
      <c r="AF2386" s="713" t="str">
        <f t="shared" si="1734"/>
        <v/>
      </c>
      <c r="AG2386" s="713"/>
      <c r="AH2386" s="713"/>
      <c r="AI2386" s="112">
        <f>IF(H2386="credit",0,IF(AE2386="free",0,IF(AE2386="me",0,IF(G2386&gt;0,(VLOOKUP(A2386,'Discount Lookup'!J:K,2)*G2386),0))))</f>
        <v>0</v>
      </c>
      <c r="AJ2386" s="107" t="str">
        <f t="shared" ca="1" si="1735"/>
        <v/>
      </c>
      <c r="AK2386" s="714" t="str">
        <f t="shared" si="1736"/>
        <v/>
      </c>
      <c r="AL2386" s="714"/>
      <c r="AM2386" s="114" t="str">
        <f t="shared" si="1737"/>
        <v/>
      </c>
      <c r="AN2386" s="115"/>
      <c r="AO2386" s="116"/>
      <c r="AP2386" s="116"/>
      <c r="AQ2386" s="116"/>
      <c r="AR2386" s="116"/>
      <c r="AS2386" s="116"/>
      <c r="AT2386" s="116"/>
      <c r="AU2386" s="116"/>
      <c r="AV2386" s="78"/>
      <c r="AW2386" s="102"/>
      <c r="AX2386" s="78"/>
      <c r="AY2386" s="78"/>
      <c r="AZ2386" s="78"/>
      <c r="BA2386" s="78"/>
      <c r="BB2386" s="78"/>
      <c r="BC2386" s="78"/>
      <c r="BD2386" s="78"/>
      <c r="BE2386" s="465"/>
      <c r="BF2386" s="165" t="str">
        <f t="shared" si="1738"/>
        <v>https://www.google.com/search?tbm=isch&amp;q=3%20G1</v>
      </c>
      <c r="BG2386" s="165" t="str">
        <f t="shared" si="1739"/>
        <v>I</v>
      </c>
      <c r="BH2386" s="65"/>
      <c r="BI2386" s="65"/>
      <c r="BJ2386" s="65"/>
      <c r="BK2386" s="65"/>
      <c r="BL2386" s="99"/>
      <c r="BM2386" s="99"/>
      <c r="BN2386" s="99"/>
    </row>
    <row r="2387" spans="1:66" s="51" customFormat="1" ht="15.75" x14ac:dyDescent="0.25">
      <c r="A2387" s="634">
        <v>3</v>
      </c>
      <c r="B2387" s="635" t="s">
        <v>291</v>
      </c>
      <c r="C2387" s="636" t="s">
        <v>3071</v>
      </c>
      <c r="D2387" s="637" t="s">
        <v>293</v>
      </c>
      <c r="E2387" s="638">
        <v>46.95</v>
      </c>
      <c r="F2387" s="639" t="s">
        <v>292</v>
      </c>
      <c r="G2387" s="484">
        <v>0</v>
      </c>
      <c r="H2387" s="691" t="str">
        <f>IF(G2387=0,"",IF(F2387="Buy",IF(G2387=1,"plant","plants"),IF(F2387&gt;0.01,"warranty","Error")))</f>
        <v/>
      </c>
      <c r="I2387" s="640">
        <f>IF(H2387="free",0,IF(H2387="credit",((E2387*(F2387))*G2387*-1),IF(F2387="Buy",(E2387*G2387),((E2387*(1-F2387))*G2387))))</f>
        <v>0</v>
      </c>
      <c r="J2387" s="640">
        <f>IF(H2387="warranty",0,(I2387*(_xlfn.SINGLE(SalesTaxPercentage))))</f>
        <v>0</v>
      </c>
      <c r="K2387" s="716">
        <f t="shared" ref="K2387" si="1783">I2387+J2387</f>
        <v>0</v>
      </c>
      <c r="L2387" s="716"/>
      <c r="M2387" s="689" t="str">
        <f ca="1">IF(AND(G2387&gt;0,E2387=0),"WARNING - no PRICE inserted",IF(H2387="free","FREE ~ no charge this plant",IF(H2387="credit",CONCATENATE("-$",ROUND(K2387*(1-_xlfn.SINGLE(T2GDiscount))*-1,2)," CREDIT after discount"),IF(_xlfn.SINGLE(T2GDiscount)=0,"",IF(G2387=0,"",IF(F2387="Buy",CONCATENATE("$",ROUND(K2387*(1-_xlfn.SINGLE(T2GDiscount)),2)," with ",(_xlfn.SINGLE(T2GDiscount)*100),"% discount"),CONCATENATE("$",ROUND(K2387*(1-_xlfn.SINGLE(T2GDiscount)),2)," with ",((_xlfn.SINGLE(T2GDiscount)*100+F2387*100)-(_xlfn.SINGLE(T2GDiscount)*100*F2387)),IF(F2387&gt;0,"% discounts",IF(_xlfn.SINGLE(NoWarrantyDiscount)&gt;0,"% discounts","% discount")))))))))</f>
        <v/>
      </c>
      <c r="N2387" s="690"/>
      <c r="O2387" s="486"/>
      <c r="P2387" s="486"/>
      <c r="Q2387" s="486"/>
      <c r="R2387" s="486"/>
      <c r="S2387" s="486"/>
      <c r="T2387" s="102">
        <f t="shared" si="1727"/>
        <v>0</v>
      </c>
      <c r="U2387" s="78">
        <f>IF(NOT(ISNUMBER(G2387)), "", VLOOKUP(A2387,'Discount Lookup'!D:E,2,FALSE)*G2387)</f>
        <v>0</v>
      </c>
      <c r="V2387" s="78">
        <f>IF(NOT(ISNUMBER(G2387)), "", VLOOKUP(A2387,'Discount Lookup'!G:H,2,FALSE)*G2387)</f>
        <v>0</v>
      </c>
      <c r="W2387" s="102">
        <f t="shared" si="1728"/>
        <v>0</v>
      </c>
      <c r="X2387" s="102">
        <f t="shared" si="1729"/>
        <v>0</v>
      </c>
      <c r="Y2387" s="120" t="b">
        <f t="shared" si="1730"/>
        <v>0</v>
      </c>
      <c r="Z2387" s="117">
        <f t="shared" si="1731"/>
        <v>0</v>
      </c>
      <c r="AA2387" s="118"/>
      <c r="AB2387" s="118" t="str">
        <f t="shared" si="1732"/>
        <v/>
      </c>
      <c r="AC2387" s="712" t="str">
        <f>IF(AE2387="T2G","no charge",IF(AND(OR(PlanterYesMe="No",PlanterYesMe="N",PlanterYesMe="me"),H2387=""),"",IF(H2387="credit","NO install",IF(AND(K2387="",AE2387="me"),"EACH row",IF(AND(K2387="images",AE2387="me"),"EACH row",IF(D2387="","",IF(H2387="credit","",IF(AE2387="free","re-planting",IF(AE2387="me","   not ELP, by",IF(AND(OR(PlanterYesMe="Yes",PlanterYesMe="Y"),G2387&gt;0),(VLOOKUP(A2387,'Discount Lookup'!J:K,2)*G2387*(1-PlanterDiscount)*(1+PlanterDifficultyPercentage)),IF(AE2387="ELP",(VLOOKUP(A2387,'Discount Lookup'!J:K,2)*G2387*(1-PlanterDiscount)*(1+PlanterDifficultyPercentage)),IF(AE2387="free","re-planting",IF(G2387=0,"",IF(PlanterYesMe="",IF(AE2387="me","   not ELP, by",IF(AE2387="",IF(G2387&gt;0,(VLOOKUP(A2387,'Discount Lookup'!J:K,2)*G2387*(1-PlanterDiscount)*(1+PlanterDifficultyPercentage)),""),"")),"   not ELP, by"))))))))))))))</f>
        <v/>
      </c>
      <c r="AD2387" s="712"/>
      <c r="AE2387" s="513" t="str">
        <f t="shared" si="1733"/>
        <v/>
      </c>
      <c r="AF2387" s="713" t="str">
        <f t="shared" si="1734"/>
        <v/>
      </c>
      <c r="AG2387" s="713"/>
      <c r="AH2387" s="713"/>
      <c r="AI2387" s="112">
        <f>IF(H2387="credit",0,IF(AE2387="free",0,IF(AE2387="me",0,IF(G2387&gt;0,(VLOOKUP(A2387,'Discount Lookup'!J:K,2)*G2387),0))))</f>
        <v>0</v>
      </c>
      <c r="AJ2387" s="107" t="str">
        <f t="shared" ca="1" si="1735"/>
        <v/>
      </c>
      <c r="AK2387" s="714" t="str">
        <f t="shared" si="1736"/>
        <v/>
      </c>
      <c r="AL2387" s="714"/>
      <c r="AM2387" s="114" t="str">
        <f t="shared" si="1737"/>
        <v/>
      </c>
      <c r="AN2387" s="115"/>
      <c r="AO2387" s="116"/>
      <c r="AP2387" s="116"/>
      <c r="AQ2387" s="116"/>
      <c r="AR2387" s="116"/>
      <c r="AS2387" s="116"/>
      <c r="AT2387" s="116"/>
      <c r="AU2387" s="116"/>
      <c r="AV2387" s="78"/>
      <c r="AW2387" s="102"/>
      <c r="AX2387" s="78"/>
      <c r="AY2387" s="78"/>
      <c r="AZ2387" s="78"/>
      <c r="BA2387" s="78"/>
      <c r="BB2387" s="78"/>
      <c r="BC2387" s="78"/>
      <c r="BD2387" s="78"/>
      <c r="BE2387" s="465"/>
      <c r="BF2387" s="165" t="str">
        <f t="shared" si="1738"/>
        <v>https://www.google.com/search?tbm=isch&amp;q=3%20G6</v>
      </c>
      <c r="BG2387" s="165" t="str">
        <f t="shared" si="1739"/>
        <v>I</v>
      </c>
      <c r="BH2387" s="65"/>
      <c r="BI2387" s="65"/>
      <c r="BJ2387" s="65"/>
      <c r="BK2387" s="65"/>
      <c r="BL2387" s="99"/>
      <c r="BM2387" s="99"/>
      <c r="BN2387" s="99"/>
    </row>
    <row r="2388" spans="1:66" s="51" customFormat="1" ht="16.5" x14ac:dyDescent="0.25">
      <c r="A2388" s="704" t="s">
        <v>5470</v>
      </c>
      <c r="B2388" s="642"/>
      <c r="C2388" s="710"/>
      <c r="D2388" s="643"/>
      <c r="E2388" s="643"/>
      <c r="F2388" s="644"/>
      <c r="G2388" s="645"/>
      <c r="H2388" s="646"/>
      <c r="I2388" s="647"/>
      <c r="J2388" s="648"/>
      <c r="K2388" s="649"/>
      <c r="L2388" s="650"/>
      <c r="M2388" s="650"/>
      <c r="N2388" s="644"/>
      <c r="O2388" s="644"/>
      <c r="P2388" s="644"/>
      <c r="Q2388" s="644"/>
      <c r="R2388" s="644"/>
      <c r="S2388" s="701" t="s">
        <v>5262</v>
      </c>
      <c r="T2388" s="102">
        <f t="shared" ref="T2388:T2451" si="1784">E2388*G2388</f>
        <v>0</v>
      </c>
      <c r="U2388" s="78" t="str">
        <f>IF(NOT(ISNUMBER(G2388)), "", VLOOKUP(A2388,'Discount Lookup'!D:E,2,FALSE)*G2388)</f>
        <v/>
      </c>
      <c r="V2388" s="78" t="str">
        <f>IF(NOT(ISNUMBER(G2388)), "", VLOOKUP(A2388,'Discount Lookup'!G:H,2,FALSE)*G2388)</f>
        <v/>
      </c>
      <c r="W2388" s="102">
        <f t="shared" ref="W2388:W2451" si="1785">IF(H2388="credit",0,E2388*(SalesTaxPercentage)*G2388)</f>
        <v>0</v>
      </c>
      <c r="X2388" s="102">
        <f t="shared" ref="X2388:X2451" si="1786">I2388</f>
        <v>0</v>
      </c>
      <c r="Y2388" s="120" t="b">
        <f t="shared" ref="Y2388:Y2451" si="1787">IF(AE2388="T2G",0,IF(H2388="credit",0,IF(G2388&gt;0,IF(AE2388="me","",G2388))))</f>
        <v>0</v>
      </c>
      <c r="Z2388" s="117">
        <f t="shared" ref="Z2388:Z2451" si="1788">IF(H2388="credit",G2388,0)</f>
        <v>0</v>
      </c>
      <c r="AA2388" s="118"/>
      <c r="AB2388" s="118" t="str">
        <f t="shared" ref="AB2388:AB2451" si="1789">IF(AE2388="T2G","by Trees2Go",IF(H2388="credit","CREDIT only ~",IF(AND(K2388="",AE2388=OR(PlanterYesMe="No",PlanterYesMe="N",PlanterYesMe="me")),"not THIS line⇨",IF(AND(K2388="images",AE2388="me"),"not THIS line⇨",IF(H2388="credit","",IF(G2388=0,"",IF(AE2388="me","",IF(OR(PlanterYesMe="No",PlanterYesMe="N",PlanterYesMe="me"),"",IF(AE2388="free","warranty",IF(OR(PlanterYesMe="yes",PlanterYesMe="y"),"Edison install:","to install:"))))))))))</f>
        <v/>
      </c>
      <c r="AC2388" s="712" t="str">
        <f>IF(AE2388="T2G","no charge",IF(AND(OR(PlanterYesMe="No",PlanterYesMe="N",PlanterYesMe="me"),H2388=""),"",IF(H2388="credit","NO install",IF(AND(K2388="",AE2388="me"),"EACH row",IF(AND(K2388="images",AE2388="me"),"EACH row",IF(D2388="","",IF(H2388="credit","",IF(AE2388="free","re-planting",IF(AE2388="me","   not ELP, by",IF(AND(OR(PlanterYesMe="Yes",PlanterYesMe="Y"),G2388&gt;0),(VLOOKUP(A2388,'Discount Lookup'!J:K,2)*G2388*(1-PlanterDiscount)*(1+PlanterDifficultyPercentage)),IF(AE2388="ELP",(VLOOKUP(A2388,'Discount Lookup'!J:K,2)*G2388*(1-PlanterDiscount)*(1+PlanterDifficultyPercentage)),IF(AE2388="free","re-planting",IF(G2388=0,"",IF(PlanterYesMe="",IF(AE2388="me","   not ELP, by",IF(AE2388="",IF(G2388&gt;0,(VLOOKUP(A2388,'Discount Lookup'!J:K,2)*G2388*(1-PlanterDiscount)*(1+PlanterDifficultyPercentage)),""),"")),"   not ELP, by"))))))))))))))</f>
        <v/>
      </c>
      <c r="AD2388" s="712"/>
      <c r="AE2388" s="513" t="str">
        <f t="shared" ref="AE2388:AE2451" si="1790">IF(H2388="credit","",IF(G2388=0,"",IF(OR(PlanterYesMe="No",PlanterYesMe="N",PlanterYesMe="me"),"me",IF(H2388="warranty","free",IF(OR(PlanterYesMe="yes",PlanterYesMe="y"),"ELP","")))))</f>
        <v/>
      </c>
      <c r="AF2388" s="713" t="str">
        <f t="shared" ref="AF2388:AF2451" si="1791">IF(OR(PlanterYesMe="No",PlanterYesMe="N",PlanterYesMe="me"),"",IF(H2388="credit","",IF(G2388&gt;0,(CONCATENATE((G2388)," quantity, ",(A2388)," ",B2388)),"")))</f>
        <v/>
      </c>
      <c r="AG2388" s="713"/>
      <c r="AH2388" s="713"/>
      <c r="AI2388" s="112">
        <f>IF(H2388="credit",0,IF(AE2388="free",0,IF(AE2388="me",0,IF(G2388&gt;0,(VLOOKUP(A2388,'Discount Lookup'!J:K,2)*G2388),0))))</f>
        <v>0</v>
      </c>
      <c r="AJ2388" s="107" t="str">
        <f t="shared" ref="AJ2388:AJ2451" ca="1" si="1792">IF(AND(ISREF(H2388),H2388="credit"),"",IF(AND(AND(OFFSET(G2388,0,0)=0,OFFSET(G2388,1,0)&gt;0,ISNUMBER(OFFSET(AC2388,1,0)),OFFSET(AC2388,1,0)&gt;0),OR(PlanterYesMe="yes",PlanterYesMe="y")),"T2G+ELP=",IF(AND(OFFSET(G2388,0,0)=0,OFFSET(G2388,1,0)&gt;0,ISNUMBER(OFFSET(AC2388,1,0)),OFFSET(AC2388,1,0)&gt;0),"if T2G+ELP=",IF(AND(OFFSET(G2388,0,0)=0,OFFSET(G2388,1,0)&gt;0),"T2G Subtotal",IF(H2388="credit","",IF(G2388=0,"",IF(AE2388="free",(K2388*(1-T2GDiscount)),IF(OR(PlanterYesMe="No",PlanterYesMe="N",PlanterYesMe="me"),(K2388*(1-T2GDiscount)),IF(OR(AE2388="me",AE2388="T2G"),(K2388*(1-T2GDiscount)),(K2388*(1-T2GDiscount))+AC2388)))))))))</f>
        <v/>
      </c>
      <c r="AK2388" s="714" t="str">
        <f t="shared" ref="AK2388:AK2451" si="1793">IF(H2388="credit","",IF(G2388=0,"",IF(OR(AE2388="me",AE2388="T2G"),"  delivery-only",IF(OR(PlanterYesMe="No",PlanterYesMe="N",PlanterYesMe="me"),"  delivery-only",CONCATENATE(" $",ROUND(AJ2388/G2388,2)," each")))))</f>
        <v/>
      </c>
      <c r="AL2388" s="714"/>
      <c r="AM2388" s="114" t="str">
        <f t="shared" ref="AM2388:AM2451" si="1794">IF(H2388="credit","",IF(AE2388="free","      ~ discounts included, no tax or planting fee applies ~",IF(G2388=0,"",IF(OR(PlanterYesMe="No",PlanterYesMe="N",PlanterYesMe="me"),CONCATENATE(" $",ROUND(AJ2388/G2388,2)," per plant, with tax &amp; discount"),IF(OR(AE2388="me",AE2388="T2G"),CONCATENATE(" $",ROUND(AJ2388/G2388,2)," per plant, with tax &amp; discount"),CONCATENATE("= $",ROUND((K2388*(1-T2GDiscount))/G2388,2)," per plant + $",AC2388/G2388,(" per planting      ~ includes tax &amp; discounts ~")))))))</f>
        <v/>
      </c>
      <c r="AN2388" s="115"/>
      <c r="AO2388" s="116"/>
      <c r="AP2388" s="116"/>
      <c r="AQ2388" s="116"/>
      <c r="AR2388" s="116"/>
      <c r="AS2388" s="116"/>
      <c r="AT2388" s="116"/>
      <c r="AU2388" s="116"/>
      <c r="AV2388" s="78"/>
      <c r="AW2388" s="102"/>
      <c r="AX2388" s="78"/>
      <c r="AY2388" s="78"/>
      <c r="AZ2388" s="78"/>
      <c r="BA2388" s="78"/>
      <c r="BB2388" s="78"/>
      <c r="BC2388" s="78"/>
      <c r="BD2388" s="78"/>
      <c r="BE2388" s="465"/>
      <c r="BF2388" s="165" t="str">
        <f t="shared" ref="BF2388:BF2451" si="1795">"https://www.google.com/search?tbm=isch&amp;q=" &amp; _xlfn.ENCODEURL($A2388 &amp; " " &amp; $D2388)</f>
        <v>https://www.google.com/search?tbm=isch&amp;q=moist%20sites%F0%9F%92%A7GOOD%2C%20Little%20Henry%20is%20a%20dwarf%20cultivar%2C%20with%20arching%20branches%20that%20adorn%20with%20blooms%20late%20spring%20into%20summer.%20Fragrant%20</v>
      </c>
      <c r="BG2388" s="165" t="str">
        <f t="shared" ref="BG2388:BG2451" si="1796">IF(ISTEXT(A2388),LEFT(A2388,1),BG2387)</f>
        <v>m</v>
      </c>
      <c r="BH2388" s="65"/>
      <c r="BI2388" s="65"/>
      <c r="BJ2388" s="65"/>
      <c r="BK2388" s="65"/>
      <c r="BL2388" s="99"/>
      <c r="BM2388" s="99"/>
      <c r="BN2388" s="99"/>
    </row>
    <row r="2389" spans="1:66" s="51" customFormat="1" ht="55.5" x14ac:dyDescent="0.25">
      <c r="A2389" s="520" t="s">
        <v>560</v>
      </c>
      <c r="B2389" s="501"/>
      <c r="C2389" s="502"/>
      <c r="D2389" s="502"/>
      <c r="E2389" s="502"/>
      <c r="F2389" s="502"/>
      <c r="G2389" s="502"/>
      <c r="H2389" s="502"/>
      <c r="I2389" s="502"/>
      <c r="J2389" s="502"/>
      <c r="K2389" s="509" t="s">
        <v>871</v>
      </c>
      <c r="L2389" s="503"/>
      <c r="M2389" s="563"/>
      <c r="N2389" s="504"/>
      <c r="O2389" s="504"/>
      <c r="P2389" s="504"/>
      <c r="Q2389" s="504"/>
      <c r="R2389" s="504"/>
      <c r="S2389" s="511" t="s">
        <v>1546</v>
      </c>
      <c r="T2389" s="102">
        <f t="shared" si="1784"/>
        <v>0</v>
      </c>
      <c r="U2389" s="78" t="str">
        <f>IF(NOT(ISNUMBER(G2389)), "", VLOOKUP(A2389,'Discount Lookup'!D:E,2,FALSE)*G2389)</f>
        <v/>
      </c>
      <c r="V2389" s="78" t="str">
        <f>IF(NOT(ISNUMBER(G2389)), "", VLOOKUP(A2389,'Discount Lookup'!G:H,2,FALSE)*G2389)</f>
        <v/>
      </c>
      <c r="W2389" s="102">
        <f t="shared" si="1785"/>
        <v>0</v>
      </c>
      <c r="X2389" s="102">
        <f t="shared" si="1786"/>
        <v>0</v>
      </c>
      <c r="Y2389" s="120" t="b">
        <f t="shared" si="1787"/>
        <v>0</v>
      </c>
      <c r="Z2389" s="117">
        <f t="shared" si="1788"/>
        <v>0</v>
      </c>
      <c r="AA2389" s="118"/>
      <c r="AB2389" s="118" t="str">
        <f t="shared" si="1789"/>
        <v/>
      </c>
      <c r="AC2389" s="712" t="str">
        <f>IF(AE2389="T2G","no charge",IF(AND(OR(PlanterYesMe="No",PlanterYesMe="N",PlanterYesMe="me"),H2389=""),"",IF(H2389="credit","NO install",IF(AND(K2389="",AE2389="me"),"EACH row",IF(AND(K2389="images",AE2389="me"),"EACH row",IF(D2389="","",IF(H2389="credit","",IF(AE2389="free","re-planting",IF(AE2389="me","   not ELP, by",IF(AND(OR(PlanterYesMe="Yes",PlanterYesMe="Y"),G2389&gt;0),(VLOOKUP(A2389,'Discount Lookup'!J:K,2)*G2389*(1-PlanterDiscount)*(1+PlanterDifficultyPercentage)),IF(AE2389="ELP",(VLOOKUP(A2389,'Discount Lookup'!J:K,2)*G2389*(1-PlanterDiscount)*(1+PlanterDifficultyPercentage)),IF(AE2389="free","re-planting",IF(G2389=0,"",IF(PlanterYesMe="",IF(AE2389="me","   not ELP, by",IF(AE2389="",IF(G2389&gt;0,(VLOOKUP(A2389,'Discount Lookup'!J:K,2)*G2389*(1-PlanterDiscount)*(1+PlanterDifficultyPercentage)),""),"")),"   not ELP, by"))))))))))))))</f>
        <v/>
      </c>
      <c r="AD2389" s="712"/>
      <c r="AE2389" s="513" t="str">
        <f t="shared" si="1790"/>
        <v/>
      </c>
      <c r="AF2389" s="713" t="str">
        <f t="shared" si="1791"/>
        <v/>
      </c>
      <c r="AG2389" s="713"/>
      <c r="AH2389" s="713"/>
      <c r="AI2389" s="112">
        <f>IF(H2389="credit",0,IF(AE2389="free",0,IF(AE2389="me",0,IF(G2389&gt;0,(VLOOKUP(A2389,'Discount Lookup'!J:K,2)*G2389),0))))</f>
        <v>0</v>
      </c>
      <c r="AJ2389" s="107" t="str">
        <f t="shared" ca="1" si="1792"/>
        <v/>
      </c>
      <c r="AK2389" s="714" t="str">
        <f t="shared" si="1793"/>
        <v/>
      </c>
      <c r="AL2389" s="714"/>
      <c r="AM2389" s="114" t="str">
        <f t="shared" si="1794"/>
        <v/>
      </c>
      <c r="AN2389" s="115"/>
      <c r="AO2389" s="116"/>
      <c r="AP2389" s="116"/>
      <c r="AQ2389" s="116"/>
      <c r="AR2389" s="116"/>
      <c r="AS2389" s="116"/>
      <c r="AT2389" s="116"/>
      <c r="AU2389" s="116"/>
      <c r="AV2389" s="78"/>
      <c r="AW2389" s="102"/>
      <c r="AX2389" s="78"/>
      <c r="AY2389" s="78"/>
      <c r="AZ2389" s="78"/>
      <c r="BA2389" s="78"/>
      <c r="BB2389" s="78"/>
      <c r="BC2389" s="78"/>
      <c r="BD2389" s="78"/>
      <c r="BE2389" s="465"/>
      <c r="BF2389" s="165" t="str">
        <f t="shared" si="1795"/>
        <v>https://www.google.com/search?tbm=isch&amp;q=J%20</v>
      </c>
      <c r="BG2389" s="165" t="str">
        <f t="shared" si="1796"/>
        <v>J</v>
      </c>
      <c r="BH2389" s="65"/>
      <c r="BI2389" s="65"/>
      <c r="BJ2389" s="65"/>
      <c r="BK2389" s="65"/>
      <c r="BL2389" s="99"/>
      <c r="BM2389" s="99"/>
      <c r="BN2389" s="99"/>
    </row>
    <row r="2390" spans="1:66" s="51" customFormat="1" ht="19.5" thickBot="1" x14ac:dyDescent="0.3">
      <c r="A2390" s="686" t="s">
        <v>561</v>
      </c>
      <c r="B2390" s="73"/>
      <c r="C2390" s="708"/>
      <c r="D2390" s="73"/>
      <c r="E2390" s="73"/>
      <c r="F2390" s="496"/>
      <c r="G2390" s="73"/>
      <c r="H2390" s="73"/>
      <c r="I2390" s="73"/>
      <c r="J2390" s="497" t="s">
        <v>357</v>
      </c>
      <c r="K2390" s="498"/>
      <c r="L2390" s="562"/>
      <c r="M2390" s="73"/>
      <c r="N2390"/>
      <c r="O2390"/>
      <c r="P2390"/>
      <c r="Q2390"/>
      <c r="R2390"/>
      <c r="S2390"/>
      <c r="T2390" s="102">
        <f t="shared" si="1784"/>
        <v>0</v>
      </c>
      <c r="U2390" s="78" t="str">
        <f>IF(NOT(ISNUMBER(G2390)), "", VLOOKUP(A2390,'Discount Lookup'!D:E,2,FALSE)*G2390)</f>
        <v/>
      </c>
      <c r="V2390" s="78" t="str">
        <f>IF(NOT(ISNUMBER(G2390)), "", VLOOKUP(A2390,'Discount Lookup'!G:H,2,FALSE)*G2390)</f>
        <v/>
      </c>
      <c r="W2390" s="102">
        <f t="shared" si="1785"/>
        <v>0</v>
      </c>
      <c r="X2390" s="102">
        <f t="shared" si="1786"/>
        <v>0</v>
      </c>
      <c r="Y2390" s="120" t="b">
        <f t="shared" si="1787"/>
        <v>0</v>
      </c>
      <c r="Z2390" s="117">
        <f t="shared" si="1788"/>
        <v>0</v>
      </c>
      <c r="AA2390" s="118"/>
      <c r="AB2390" s="118" t="str">
        <f t="shared" si="1789"/>
        <v/>
      </c>
      <c r="AC2390" s="712" t="str">
        <f>IF(AE2390="T2G","no charge",IF(AND(OR(PlanterYesMe="No",PlanterYesMe="N",PlanterYesMe="me"),H2390=""),"",IF(H2390="credit","NO install",IF(AND(K2390="",AE2390="me"),"EACH row",IF(AND(K2390="images",AE2390="me"),"EACH row",IF(D2390="","",IF(H2390="credit","",IF(AE2390="free","re-planting",IF(AE2390="me","   not ELP, by",IF(AND(OR(PlanterYesMe="Yes",PlanterYesMe="Y"),G2390&gt;0),(VLOOKUP(A2390,'Discount Lookup'!J:K,2)*G2390*(1-PlanterDiscount)*(1+PlanterDifficultyPercentage)),IF(AE2390="ELP",(VLOOKUP(A2390,'Discount Lookup'!J:K,2)*G2390*(1-PlanterDiscount)*(1+PlanterDifficultyPercentage)),IF(AE2390="free","re-planting",IF(G2390=0,"",IF(PlanterYesMe="",IF(AE2390="me","   not ELP, by",IF(AE2390="",IF(G2390&gt;0,(VLOOKUP(A2390,'Discount Lookup'!J:K,2)*G2390*(1-PlanterDiscount)*(1+PlanterDifficultyPercentage)),""),"")),"   not ELP, by"))))))))))))))</f>
        <v/>
      </c>
      <c r="AD2390" s="712"/>
      <c r="AE2390" s="513" t="str">
        <f t="shared" si="1790"/>
        <v/>
      </c>
      <c r="AF2390" s="713" t="str">
        <f t="shared" si="1791"/>
        <v/>
      </c>
      <c r="AG2390" s="713"/>
      <c r="AH2390" s="713"/>
      <c r="AI2390" s="112">
        <f>IF(H2390="credit",0,IF(AE2390="free",0,IF(AE2390="me",0,IF(G2390&gt;0,(VLOOKUP(A2390,'Discount Lookup'!J:K,2)*G2390),0))))</f>
        <v>0</v>
      </c>
      <c r="AJ2390" s="107" t="str">
        <f t="shared" ca="1" si="1792"/>
        <v/>
      </c>
      <c r="AK2390" s="714" t="str">
        <f t="shared" si="1793"/>
        <v/>
      </c>
      <c r="AL2390" s="714"/>
      <c r="AM2390" s="114" t="str">
        <f t="shared" si="1794"/>
        <v/>
      </c>
      <c r="AN2390" s="115"/>
      <c r="AO2390" s="116"/>
      <c r="AP2390" s="116"/>
      <c r="AQ2390" s="116"/>
      <c r="AR2390" s="116"/>
      <c r="AS2390" s="116"/>
      <c r="AT2390" s="116"/>
      <c r="AU2390" s="116"/>
      <c r="AV2390" s="78"/>
      <c r="AW2390" s="102"/>
      <c r="AX2390" s="78"/>
      <c r="AY2390" s="78"/>
      <c r="AZ2390" s="78"/>
      <c r="BA2390" s="78"/>
      <c r="BB2390" s="78"/>
      <c r="BC2390" s="78"/>
      <c r="BD2390" s="78"/>
      <c r="BE2390" s="465"/>
      <c r="BF2390" s="165" t="str">
        <f t="shared" si="1795"/>
        <v>https://www.google.com/search?tbm=isch&amp;q=Jasminium%20%3D%20Jasmine%20</v>
      </c>
      <c r="BG2390" s="165" t="str">
        <f t="shared" si="1796"/>
        <v>J</v>
      </c>
      <c r="BH2390" s="65"/>
      <c r="BI2390" s="65"/>
      <c r="BJ2390" s="65"/>
      <c r="BK2390" s="65"/>
      <c r="BL2390" s="99"/>
      <c r="BM2390" s="99"/>
      <c r="BN2390" s="99"/>
    </row>
    <row r="2391" spans="1:66" s="51" customFormat="1" ht="18" x14ac:dyDescent="0.25">
      <c r="A2391" s="623" t="s">
        <v>3072</v>
      </c>
      <c r="B2391" s="624"/>
      <c r="C2391" s="709"/>
      <c r="D2391" s="625" t="s">
        <v>3073</v>
      </c>
      <c r="E2391" s="626"/>
      <c r="F2391" s="626"/>
      <c r="G2391" s="626"/>
      <c r="H2391" s="622" t="s">
        <v>1683</v>
      </c>
      <c r="I2391" s="627" t="s">
        <v>2575</v>
      </c>
      <c r="J2391" s="628"/>
      <c r="K2391" s="628"/>
      <c r="L2391" s="629"/>
      <c r="M2391" s="700" t="s">
        <v>5249</v>
      </c>
      <c r="N2391" s="693" t="str">
        <f>IF(AND(ISTEXT($A2391), ISERROR($A2391+0)), HYPERLINK($BF2391, "Images"), "")</f>
        <v>Images</v>
      </c>
      <c r="O2391" s="695" t="s">
        <v>5247</v>
      </c>
      <c r="P2391" s="630"/>
      <c r="Q2391" s="631"/>
      <c r="R2391" s="632"/>
      <c r="S2391" s="633"/>
      <c r="T2391" s="102">
        <f t="shared" si="1784"/>
        <v>0</v>
      </c>
      <c r="U2391" s="78" t="str">
        <f>IF(NOT(ISNUMBER(G2391)), "", VLOOKUP(A2391,'Discount Lookup'!D:E,2,FALSE)*G2391)</f>
        <v/>
      </c>
      <c r="V2391" s="78" t="str">
        <f>IF(NOT(ISNUMBER(G2391)), "", VLOOKUP(A2391,'Discount Lookup'!G:H,2,FALSE)*G2391)</f>
        <v/>
      </c>
      <c r="W2391" s="102">
        <f t="shared" si="1785"/>
        <v>0</v>
      </c>
      <c r="X2391" s="102" t="str">
        <f t="shared" si="1786"/>
        <v>Bright Yellow bloom</v>
      </c>
      <c r="Y2391" s="120" t="b">
        <f t="shared" si="1787"/>
        <v>0</v>
      </c>
      <c r="Z2391" s="117">
        <f t="shared" si="1788"/>
        <v>0</v>
      </c>
      <c r="AA2391" s="118"/>
      <c r="AB2391" s="118" t="str">
        <f t="shared" si="1789"/>
        <v/>
      </c>
      <c r="AC2391" s="712" t="str">
        <f>IF(AE2391="T2G","no charge",IF(AND(OR(PlanterYesMe="No",PlanterYesMe="N",PlanterYesMe="me"),H2391=""),"",IF(H2391="credit","NO install",IF(AND(K2391="",AE2391="me"),"EACH row",IF(AND(K2391="images",AE2391="me"),"EACH row",IF(D2391="","",IF(H2391="credit","",IF(AE2391="free","re-planting",IF(AE2391="me","   not ELP, by",IF(AND(OR(PlanterYesMe="Yes",PlanterYesMe="Y"),G2391&gt;0),(VLOOKUP(A2391,'Discount Lookup'!J:K,2)*G2391*(1-PlanterDiscount)*(1+PlanterDifficultyPercentage)),IF(AE2391="ELP",(VLOOKUP(A2391,'Discount Lookup'!J:K,2)*G2391*(1-PlanterDiscount)*(1+PlanterDifficultyPercentage)),IF(AE2391="free","re-planting",IF(G2391=0,"",IF(PlanterYesMe="",IF(AE2391="me","   not ELP, by",IF(AE2391="",IF(G2391&gt;0,(VLOOKUP(A2391,'Discount Lookup'!J:K,2)*G2391*(1-PlanterDiscount)*(1+PlanterDifficultyPercentage)),""),"")),"   not ELP, by"))))))))))))))</f>
        <v/>
      </c>
      <c r="AD2391" s="712"/>
      <c r="AE2391" s="513" t="str">
        <f t="shared" si="1790"/>
        <v/>
      </c>
      <c r="AF2391" s="713" t="str">
        <f t="shared" si="1791"/>
        <v/>
      </c>
      <c r="AG2391" s="713"/>
      <c r="AH2391" s="713"/>
      <c r="AI2391" s="112">
        <f>IF(H2391="credit",0,IF(AE2391="free",0,IF(AE2391="me",0,IF(G2391&gt;0,(VLOOKUP(A2391,'Discount Lookup'!J:K,2)*G2391),0))))</f>
        <v>0</v>
      </c>
      <c r="AJ2391" s="107" t="str">
        <f t="shared" ca="1" si="1792"/>
        <v/>
      </c>
      <c r="AK2391" s="714" t="str">
        <f t="shared" si="1793"/>
        <v/>
      </c>
      <c r="AL2391" s="714"/>
      <c r="AM2391" s="114" t="str">
        <f t="shared" si="1794"/>
        <v/>
      </c>
      <c r="AN2391" s="115"/>
      <c r="AO2391" s="116"/>
      <c r="AP2391" s="116"/>
      <c r="AQ2391" s="116"/>
      <c r="AR2391" s="116"/>
      <c r="AS2391" s="116"/>
      <c r="AT2391" s="116"/>
      <c r="AU2391" s="116"/>
      <c r="AV2391" s="78"/>
      <c r="AW2391" s="102"/>
      <c r="AX2391" s="78"/>
      <c r="AY2391" s="78"/>
      <c r="AZ2391" s="78"/>
      <c r="BA2391" s="78"/>
      <c r="BB2391" s="78"/>
      <c r="BC2391" s="78"/>
      <c r="BD2391" s="78"/>
      <c r="BE2391" s="465"/>
      <c r="BF2391" s="165" t="str">
        <f t="shared" si="1795"/>
        <v>https://www.google.com/search?tbm=isch&amp;q=Jasminum%20nudiflorum%20Winter%20Jasmine</v>
      </c>
      <c r="BG2391" s="165" t="str">
        <f t="shared" si="1796"/>
        <v>J</v>
      </c>
      <c r="BH2391" s="65"/>
      <c r="BI2391" s="65"/>
      <c r="BJ2391" s="65"/>
      <c r="BK2391" s="65"/>
      <c r="BL2391" s="99"/>
      <c r="BM2391" s="99"/>
      <c r="BN2391" s="99"/>
    </row>
    <row r="2392" spans="1:66" s="51" customFormat="1" ht="15.75" x14ac:dyDescent="0.25">
      <c r="A2392" s="634">
        <v>3</v>
      </c>
      <c r="B2392" s="635" t="s">
        <v>291</v>
      </c>
      <c r="C2392" s="636" t="s">
        <v>3074</v>
      </c>
      <c r="D2392" s="637" t="s">
        <v>293</v>
      </c>
      <c r="E2392" s="638">
        <v>15.95</v>
      </c>
      <c r="F2392" s="639" t="s">
        <v>292</v>
      </c>
      <c r="G2392" s="484">
        <v>0</v>
      </c>
      <c r="H2392" s="691" t="str">
        <f>IF(G2392=0,"",IF(F2392="Buy",IF(G2392=1,"plant","plants"),IF(F2392&gt;0.01,"warranty","Error")))</f>
        <v/>
      </c>
      <c r="I2392" s="640">
        <f>IF(H2392="free",0,IF(H2392="credit",((E2392*(F2392))*G2392*-1),IF(F2392="Buy",(E2392*G2392),((E2392*(1-F2392))*G2392))))</f>
        <v>0</v>
      </c>
      <c r="J2392" s="640">
        <f>IF(H2392="warranty",0,(I2392*(_xlfn.SINGLE(SalesTaxPercentage))))</f>
        <v>0</v>
      </c>
      <c r="K2392" s="716">
        <f t="shared" ref="K2392" si="1797">I2392+J2392</f>
        <v>0</v>
      </c>
      <c r="L2392" s="716"/>
      <c r="M2392" s="689" t="str">
        <f ca="1">IF(AND(G2392&gt;0,E2392=0),"WARNING - no PRICE inserted",IF(H2392="free","FREE ~ no charge this plant",IF(H2392="credit",CONCATENATE("-$",ROUND(K2392*(1-_xlfn.SINGLE(T2GDiscount))*-1,2)," CREDIT after discount"),IF(_xlfn.SINGLE(T2GDiscount)=0,"",IF(G2392=0,"",IF(F2392="Buy",CONCATENATE("$",ROUND(K2392*(1-_xlfn.SINGLE(T2GDiscount)),2)," with ",(_xlfn.SINGLE(T2GDiscount)*100),"% discount"),CONCATENATE("$",ROUND(K2392*(1-_xlfn.SINGLE(T2GDiscount)),2)," with ",((_xlfn.SINGLE(T2GDiscount)*100+F2392*100)-(_xlfn.SINGLE(T2GDiscount)*100*F2392)),IF(F2392&gt;0,"% discounts",IF(_xlfn.SINGLE(NoWarrantyDiscount)&gt;0,"% discounts","% discount")))))))))</f>
        <v/>
      </c>
      <c r="N2392" s="690"/>
      <c r="O2392" s="486"/>
      <c r="P2392" s="486"/>
      <c r="Q2392" s="486"/>
      <c r="R2392" s="486"/>
      <c r="S2392" s="486"/>
      <c r="T2392" s="102">
        <f t="shared" si="1784"/>
        <v>0</v>
      </c>
      <c r="U2392" s="78">
        <f>IF(NOT(ISNUMBER(G2392)), "", VLOOKUP(A2392,'Discount Lookup'!D:E,2,FALSE)*G2392)</f>
        <v>0</v>
      </c>
      <c r="V2392" s="78">
        <f>IF(NOT(ISNUMBER(G2392)), "", VLOOKUP(A2392,'Discount Lookup'!G:H,2,FALSE)*G2392)</f>
        <v>0</v>
      </c>
      <c r="W2392" s="102">
        <f t="shared" si="1785"/>
        <v>0</v>
      </c>
      <c r="X2392" s="102">
        <f t="shared" si="1786"/>
        <v>0</v>
      </c>
      <c r="Y2392" s="120" t="b">
        <f t="shared" si="1787"/>
        <v>0</v>
      </c>
      <c r="Z2392" s="117">
        <f t="shared" si="1788"/>
        <v>0</v>
      </c>
      <c r="AA2392" s="118"/>
      <c r="AB2392" s="118" t="str">
        <f t="shared" si="1789"/>
        <v/>
      </c>
      <c r="AC2392" s="712" t="str">
        <f>IF(AE2392="T2G","no charge",IF(AND(OR(PlanterYesMe="No",PlanterYesMe="N",PlanterYesMe="me"),H2392=""),"",IF(H2392="credit","NO install",IF(AND(K2392="",AE2392="me"),"EACH row",IF(AND(K2392="images",AE2392="me"),"EACH row",IF(D2392="","",IF(H2392="credit","",IF(AE2392="free","re-planting",IF(AE2392="me","   not ELP, by",IF(AND(OR(PlanterYesMe="Yes",PlanterYesMe="Y"),G2392&gt;0),(VLOOKUP(A2392,'Discount Lookup'!J:K,2)*G2392*(1-PlanterDiscount)*(1+PlanterDifficultyPercentage)),IF(AE2392="ELP",(VLOOKUP(A2392,'Discount Lookup'!J:K,2)*G2392*(1-PlanterDiscount)*(1+PlanterDifficultyPercentage)),IF(AE2392="free","re-planting",IF(G2392=0,"",IF(PlanterYesMe="",IF(AE2392="me","   not ELP, by",IF(AE2392="",IF(G2392&gt;0,(VLOOKUP(A2392,'Discount Lookup'!J:K,2)*G2392*(1-PlanterDiscount)*(1+PlanterDifficultyPercentage)),""),"")),"   not ELP, by"))))))))))))))</f>
        <v/>
      </c>
      <c r="AD2392" s="712"/>
      <c r="AE2392" s="513" t="str">
        <f t="shared" si="1790"/>
        <v/>
      </c>
      <c r="AF2392" s="713" t="str">
        <f t="shared" si="1791"/>
        <v/>
      </c>
      <c r="AG2392" s="713"/>
      <c r="AH2392" s="713"/>
      <c r="AI2392" s="112">
        <f>IF(H2392="credit",0,IF(AE2392="free",0,IF(AE2392="me",0,IF(G2392&gt;0,(VLOOKUP(A2392,'Discount Lookup'!J:K,2)*G2392),0))))</f>
        <v>0</v>
      </c>
      <c r="AJ2392" s="107" t="str">
        <f t="shared" ca="1" si="1792"/>
        <v/>
      </c>
      <c r="AK2392" s="714" t="str">
        <f t="shared" si="1793"/>
        <v/>
      </c>
      <c r="AL2392" s="714"/>
      <c r="AM2392" s="114" t="str">
        <f t="shared" si="1794"/>
        <v/>
      </c>
      <c r="AN2392" s="115"/>
      <c r="AO2392" s="116"/>
      <c r="AP2392" s="116"/>
      <c r="AQ2392" s="116"/>
      <c r="AR2392" s="116"/>
      <c r="AS2392" s="116"/>
      <c r="AT2392" s="116"/>
      <c r="AU2392" s="116"/>
      <c r="AV2392" s="78"/>
      <c r="AW2392" s="102"/>
      <c r="AX2392" s="78"/>
      <c r="AY2392" s="78"/>
      <c r="AZ2392" s="78"/>
      <c r="BA2392" s="78"/>
      <c r="BB2392" s="78"/>
      <c r="BC2392" s="78"/>
      <c r="BD2392" s="78"/>
      <c r="BE2392" s="465"/>
      <c r="BF2392" s="165" t="str">
        <f t="shared" si="1795"/>
        <v>https://www.google.com/search?tbm=isch&amp;q=3%20G6</v>
      </c>
      <c r="BG2392" s="165" t="str">
        <f t="shared" si="1796"/>
        <v>J</v>
      </c>
      <c r="BH2392" s="65"/>
      <c r="BI2392" s="65"/>
      <c r="BJ2392" s="65"/>
      <c r="BK2392" s="65"/>
      <c r="BL2392" s="99"/>
      <c r="BM2392" s="99"/>
      <c r="BN2392" s="99"/>
    </row>
    <row r="2393" spans="1:66" s="51" customFormat="1" ht="16.5" x14ac:dyDescent="0.25">
      <c r="A2393" s="641" t="s">
        <v>3075</v>
      </c>
      <c r="B2393" s="642"/>
      <c r="C2393" s="710"/>
      <c r="D2393" s="643"/>
      <c r="E2393" s="643"/>
      <c r="F2393" s="644"/>
      <c r="G2393" s="645"/>
      <c r="H2393" s="646"/>
      <c r="I2393" s="647"/>
      <c r="J2393" s="648"/>
      <c r="K2393" s="649"/>
      <c r="L2393" s="650"/>
      <c r="M2393" s="650"/>
      <c r="N2393" s="644"/>
      <c r="O2393" s="644"/>
      <c r="P2393" s="644"/>
      <c r="Q2393" s="644"/>
      <c r="R2393" s="644"/>
      <c r="S2393" s="651"/>
      <c r="T2393" s="102">
        <f t="shared" si="1784"/>
        <v>0</v>
      </c>
      <c r="U2393" s="78" t="str">
        <f>IF(NOT(ISNUMBER(G2393)), "", VLOOKUP(A2393,'Discount Lookup'!D:E,2,FALSE)*G2393)</f>
        <v/>
      </c>
      <c r="V2393" s="78" t="str">
        <f>IF(NOT(ISNUMBER(G2393)), "", VLOOKUP(A2393,'Discount Lookup'!G:H,2,FALSE)*G2393)</f>
        <v/>
      </c>
      <c r="W2393" s="102">
        <f t="shared" si="1785"/>
        <v>0</v>
      </c>
      <c r="X2393" s="102">
        <f t="shared" si="1786"/>
        <v>0</v>
      </c>
      <c r="Y2393" s="120" t="b">
        <f t="shared" si="1787"/>
        <v>0</v>
      </c>
      <c r="Z2393" s="117">
        <f t="shared" si="1788"/>
        <v>0</v>
      </c>
      <c r="AA2393" s="118"/>
      <c r="AB2393" s="118" t="str">
        <f t="shared" si="1789"/>
        <v/>
      </c>
      <c r="AC2393" s="712" t="str">
        <f>IF(AE2393="T2G","no charge",IF(AND(OR(PlanterYesMe="No",PlanterYesMe="N",PlanterYesMe="me"),H2393=""),"",IF(H2393="credit","NO install",IF(AND(K2393="",AE2393="me"),"EACH row",IF(AND(K2393="images",AE2393="me"),"EACH row",IF(D2393="","",IF(H2393="credit","",IF(AE2393="free","re-planting",IF(AE2393="me","   not ELP, by",IF(AND(OR(PlanterYesMe="Yes",PlanterYesMe="Y"),G2393&gt;0),(VLOOKUP(A2393,'Discount Lookup'!J:K,2)*G2393*(1-PlanterDiscount)*(1+PlanterDifficultyPercentage)),IF(AE2393="ELP",(VLOOKUP(A2393,'Discount Lookup'!J:K,2)*G2393*(1-PlanterDiscount)*(1+PlanterDifficultyPercentage)),IF(AE2393="free","re-planting",IF(G2393=0,"",IF(PlanterYesMe="",IF(AE2393="me","   not ELP, by",IF(AE2393="",IF(G2393&gt;0,(VLOOKUP(A2393,'Discount Lookup'!J:K,2)*G2393*(1-PlanterDiscount)*(1+PlanterDifficultyPercentage)),""),"")),"   not ELP, by"))))))))))))))</f>
        <v/>
      </c>
      <c r="AD2393" s="712"/>
      <c r="AE2393" s="513" t="str">
        <f t="shared" si="1790"/>
        <v/>
      </c>
      <c r="AF2393" s="713" t="str">
        <f t="shared" si="1791"/>
        <v/>
      </c>
      <c r="AG2393" s="713"/>
      <c r="AH2393" s="713"/>
      <c r="AI2393" s="112">
        <f>IF(H2393="credit",0,IF(AE2393="free",0,IF(AE2393="me",0,IF(G2393&gt;0,(VLOOKUP(A2393,'Discount Lookup'!J:K,2)*G2393),0))))</f>
        <v>0</v>
      </c>
      <c r="AJ2393" s="107" t="str">
        <f t="shared" ca="1" si="1792"/>
        <v/>
      </c>
      <c r="AK2393" s="714" t="str">
        <f t="shared" si="1793"/>
        <v/>
      </c>
      <c r="AL2393" s="714"/>
      <c r="AM2393" s="114" t="str">
        <f t="shared" si="1794"/>
        <v/>
      </c>
      <c r="AN2393" s="115"/>
      <c r="AO2393" s="116"/>
      <c r="AP2393" s="116"/>
      <c r="AQ2393" s="116"/>
      <c r="AR2393" s="116"/>
      <c r="AS2393" s="116"/>
      <c r="AT2393" s="116"/>
      <c r="AU2393" s="116"/>
      <c r="AV2393" s="78"/>
      <c r="AW2393" s="102"/>
      <c r="AX2393" s="78"/>
      <c r="AY2393" s="78"/>
      <c r="AZ2393" s="78"/>
      <c r="BA2393" s="78"/>
      <c r="BB2393" s="78"/>
      <c r="BC2393" s="78"/>
      <c r="BD2393" s="78"/>
      <c r="BE2393" s="465"/>
      <c r="BF2393" s="165" t="str">
        <f t="shared" si="1795"/>
        <v>https://www.google.com/search?tbm=isch&amp;q=Winter%20Jasmine%20is%20notable%20for%20its%20profusion%20unscented%20flowers%20that%20appear%20on%20its%20bare%20Green%20stems%20in%20late%20winter.%20Can%20be%20trailing%20vine%20with%20tying%2Fsupport%20</v>
      </c>
      <c r="BG2393" s="165" t="str">
        <f t="shared" si="1796"/>
        <v>W</v>
      </c>
      <c r="BH2393" s="65"/>
      <c r="BI2393" s="65"/>
      <c r="BJ2393" s="65"/>
      <c r="BK2393" s="65"/>
      <c r="BL2393" s="99"/>
      <c r="BM2393" s="99"/>
      <c r="BN2393" s="99"/>
    </row>
    <row r="2394" spans="1:66" s="51" customFormat="1" ht="19.5" thickBot="1" x14ac:dyDescent="0.3">
      <c r="A2394" s="686" t="s">
        <v>562</v>
      </c>
      <c r="B2394" s="73"/>
      <c r="C2394" s="708"/>
      <c r="D2394" s="73"/>
      <c r="E2394" s="73"/>
      <c r="F2394" s="496"/>
      <c r="G2394" s="73"/>
      <c r="H2394" s="73"/>
      <c r="I2394" s="73"/>
      <c r="J2394" s="497" t="s">
        <v>357</v>
      </c>
      <c r="K2394" s="498"/>
      <c r="L2394" s="562"/>
      <c r="M2394" s="73"/>
      <c r="N2394"/>
      <c r="O2394"/>
      <c r="P2394"/>
      <c r="Q2394"/>
      <c r="R2394"/>
      <c r="S2394"/>
      <c r="T2394" s="102">
        <f t="shared" si="1784"/>
        <v>0</v>
      </c>
      <c r="U2394" s="78" t="str">
        <f>IF(NOT(ISNUMBER(G2394)), "", VLOOKUP(A2394,'Discount Lookup'!D:E,2,FALSE)*G2394)</f>
        <v/>
      </c>
      <c r="V2394" s="78" t="str">
        <f>IF(NOT(ISNUMBER(G2394)), "", VLOOKUP(A2394,'Discount Lookup'!G:H,2,FALSE)*G2394)</f>
        <v/>
      </c>
      <c r="W2394" s="102">
        <f t="shared" si="1785"/>
        <v>0</v>
      </c>
      <c r="X2394" s="102">
        <f t="shared" si="1786"/>
        <v>0</v>
      </c>
      <c r="Y2394" s="120" t="b">
        <f t="shared" si="1787"/>
        <v>0</v>
      </c>
      <c r="Z2394" s="117">
        <f t="shared" si="1788"/>
        <v>0</v>
      </c>
      <c r="AA2394" s="118"/>
      <c r="AB2394" s="118" t="str">
        <f t="shared" si="1789"/>
        <v/>
      </c>
      <c r="AC2394" s="712" t="str">
        <f>IF(AE2394="T2G","no charge",IF(AND(OR(PlanterYesMe="No",PlanterYesMe="N",PlanterYesMe="me"),H2394=""),"",IF(H2394="credit","NO install",IF(AND(K2394="",AE2394="me"),"EACH row",IF(AND(K2394="images",AE2394="me"),"EACH row",IF(D2394="","",IF(H2394="credit","",IF(AE2394="free","re-planting",IF(AE2394="me","   not ELP, by",IF(AND(OR(PlanterYesMe="Yes",PlanterYesMe="Y"),G2394&gt;0),(VLOOKUP(A2394,'Discount Lookup'!J:K,2)*G2394*(1-PlanterDiscount)*(1+PlanterDifficultyPercentage)),IF(AE2394="ELP",(VLOOKUP(A2394,'Discount Lookup'!J:K,2)*G2394*(1-PlanterDiscount)*(1+PlanterDifficultyPercentage)),IF(AE2394="free","re-planting",IF(G2394=0,"",IF(PlanterYesMe="",IF(AE2394="me","   not ELP, by",IF(AE2394="",IF(G2394&gt;0,(VLOOKUP(A2394,'Discount Lookup'!J:K,2)*G2394*(1-PlanterDiscount)*(1+PlanterDifficultyPercentage)),""),"")),"   not ELP, by"))))))))))))))</f>
        <v/>
      </c>
      <c r="AD2394" s="712"/>
      <c r="AE2394" s="513" t="str">
        <f t="shared" si="1790"/>
        <v/>
      </c>
      <c r="AF2394" s="713" t="str">
        <f t="shared" si="1791"/>
        <v/>
      </c>
      <c r="AG2394" s="713"/>
      <c r="AH2394" s="713"/>
      <c r="AI2394" s="112">
        <f>IF(H2394="credit",0,IF(AE2394="free",0,IF(AE2394="me",0,IF(G2394&gt;0,(VLOOKUP(A2394,'Discount Lookup'!J:K,2)*G2394),0))))</f>
        <v>0</v>
      </c>
      <c r="AJ2394" s="107" t="str">
        <f t="shared" ca="1" si="1792"/>
        <v/>
      </c>
      <c r="AK2394" s="714" t="str">
        <f t="shared" si="1793"/>
        <v/>
      </c>
      <c r="AL2394" s="714"/>
      <c r="AM2394" s="114" t="str">
        <f t="shared" si="1794"/>
        <v/>
      </c>
      <c r="AN2394" s="115"/>
      <c r="AO2394" s="116"/>
      <c r="AP2394" s="116"/>
      <c r="AQ2394" s="116"/>
      <c r="AR2394" s="116"/>
      <c r="AS2394" s="116"/>
      <c r="AT2394" s="116"/>
      <c r="AU2394" s="116"/>
      <c r="AV2394" s="78"/>
      <c r="AW2394" s="102"/>
      <c r="AX2394" s="78"/>
      <c r="AY2394" s="78"/>
      <c r="AZ2394" s="78"/>
      <c r="BA2394" s="78"/>
      <c r="BB2394" s="78"/>
      <c r="BC2394" s="78"/>
      <c r="BD2394" s="78"/>
      <c r="BE2394" s="465"/>
      <c r="BF2394" s="165" t="str">
        <f t="shared" si="1795"/>
        <v>https://www.google.com/search?tbm=isch&amp;q=Juniperus%20%3D%20Juniper%20</v>
      </c>
      <c r="BG2394" s="165" t="str">
        <f t="shared" si="1796"/>
        <v>J</v>
      </c>
      <c r="BH2394" s="65"/>
      <c r="BI2394" s="65"/>
      <c r="BJ2394" s="65"/>
      <c r="BK2394" s="65"/>
      <c r="BL2394" s="99"/>
      <c r="BM2394" s="99"/>
      <c r="BN2394" s="99"/>
    </row>
    <row r="2395" spans="1:66" s="51" customFormat="1" ht="18" x14ac:dyDescent="0.25">
      <c r="A2395" s="507" t="s">
        <v>3076</v>
      </c>
      <c r="B2395" s="470"/>
      <c r="C2395" s="706"/>
      <c r="D2395" s="471" t="s">
        <v>3077</v>
      </c>
      <c r="E2395" s="472"/>
      <c r="F2395" s="472"/>
      <c r="G2395" s="472"/>
      <c r="H2395" s="622" t="s">
        <v>1436</v>
      </c>
      <c r="I2395" s="473" t="s">
        <v>3078</v>
      </c>
      <c r="J2395" s="472"/>
      <c r="K2395" s="472"/>
      <c r="L2395" s="561"/>
      <c r="M2395" s="698" t="s">
        <v>5240</v>
      </c>
      <c r="N2395" s="692" t="str">
        <f>IF(AND(ISTEXT($A2395), ISERROR($A2395+0)), HYPERLINK($BF2395, "Images"), "")</f>
        <v>Images</v>
      </c>
      <c r="O2395" s="694" t="s">
        <v>5244</v>
      </c>
      <c r="P2395" s="475"/>
      <c r="Q2395" s="476"/>
      <c r="R2395" s="476"/>
      <c r="S2395" s="477"/>
      <c r="T2395" s="102">
        <f t="shared" si="1784"/>
        <v>0</v>
      </c>
      <c r="U2395" s="78" t="str">
        <f>IF(NOT(ISNUMBER(G2395)), "", VLOOKUP(A2395,'Discount Lookup'!D:E,2,FALSE)*G2395)</f>
        <v/>
      </c>
      <c r="V2395" s="78" t="str">
        <f>IF(NOT(ISNUMBER(G2395)), "", VLOOKUP(A2395,'Discount Lookup'!G:H,2,FALSE)*G2395)</f>
        <v/>
      </c>
      <c r="W2395" s="102">
        <f t="shared" si="1785"/>
        <v>0</v>
      </c>
      <c r="X2395" s="102" t="str">
        <f t="shared" si="1786"/>
        <v>Blue-Gray foliage</v>
      </c>
      <c r="Y2395" s="120" t="b">
        <f t="shared" si="1787"/>
        <v>0</v>
      </c>
      <c r="Z2395" s="117">
        <f t="shared" si="1788"/>
        <v>0</v>
      </c>
      <c r="AA2395" s="118"/>
      <c r="AB2395" s="118" t="str">
        <f t="shared" si="1789"/>
        <v/>
      </c>
      <c r="AC2395" s="712" t="str">
        <f>IF(AE2395="T2G","no charge",IF(AND(OR(PlanterYesMe="No",PlanterYesMe="N",PlanterYesMe="me"),H2395=""),"",IF(H2395="credit","NO install",IF(AND(K2395="",AE2395="me"),"EACH row",IF(AND(K2395="images",AE2395="me"),"EACH row",IF(D2395="","",IF(H2395="credit","",IF(AE2395="free","re-planting",IF(AE2395="me","   not ELP, by",IF(AND(OR(PlanterYesMe="Yes",PlanterYesMe="Y"),G2395&gt;0),(VLOOKUP(A2395,'Discount Lookup'!J:K,2)*G2395*(1-PlanterDiscount)*(1+PlanterDifficultyPercentage)),IF(AE2395="ELP",(VLOOKUP(A2395,'Discount Lookup'!J:K,2)*G2395*(1-PlanterDiscount)*(1+PlanterDifficultyPercentage)),IF(AE2395="free","re-planting",IF(G2395=0,"",IF(PlanterYesMe="",IF(AE2395="me","   not ELP, by",IF(AE2395="",IF(G2395&gt;0,(VLOOKUP(A2395,'Discount Lookup'!J:K,2)*G2395*(1-PlanterDiscount)*(1+PlanterDifficultyPercentage)),""),"")),"   not ELP, by"))))))))))))))</f>
        <v/>
      </c>
      <c r="AD2395" s="712"/>
      <c r="AE2395" s="513" t="str">
        <f t="shared" si="1790"/>
        <v/>
      </c>
      <c r="AF2395" s="713" t="str">
        <f t="shared" si="1791"/>
        <v/>
      </c>
      <c r="AG2395" s="713"/>
      <c r="AH2395" s="713"/>
      <c r="AI2395" s="112">
        <f>IF(H2395="credit",0,IF(AE2395="free",0,IF(AE2395="me",0,IF(G2395&gt;0,(VLOOKUP(A2395,'Discount Lookup'!J:K,2)*G2395),0))))</f>
        <v>0</v>
      </c>
      <c r="AJ2395" s="107" t="str">
        <f t="shared" ca="1" si="1792"/>
        <v/>
      </c>
      <c r="AK2395" s="714" t="str">
        <f t="shared" si="1793"/>
        <v/>
      </c>
      <c r="AL2395" s="714"/>
      <c r="AM2395" s="114" t="str">
        <f t="shared" si="1794"/>
        <v/>
      </c>
      <c r="AN2395" s="115"/>
      <c r="AO2395" s="116"/>
      <c r="AP2395" s="116"/>
      <c r="AQ2395" s="116"/>
      <c r="AR2395" s="116"/>
      <c r="AS2395" s="116"/>
      <c r="AT2395" s="116"/>
      <c r="AU2395" s="116"/>
      <c r="AV2395" s="78"/>
      <c r="AW2395" s="102"/>
      <c r="AX2395" s="78"/>
      <c r="AY2395" s="78"/>
      <c r="AZ2395" s="78"/>
      <c r="BA2395" s="78"/>
      <c r="BB2395" s="78"/>
      <c r="BC2395" s="78"/>
      <c r="BD2395" s="78"/>
      <c r="BE2395" s="465"/>
      <c r="BF2395" s="165" t="str">
        <f t="shared" si="1795"/>
        <v>https://www.google.com/search?tbm=isch&amp;q=Juniperus%20%C3%97%20pfitzeriana%20%27Glauca%27%20Blue%20Pfitzer%20Juniper</v>
      </c>
      <c r="BG2395" s="165" t="str">
        <f t="shared" si="1796"/>
        <v>J</v>
      </c>
      <c r="BH2395" s="65"/>
      <c r="BI2395" s="65"/>
      <c r="BJ2395" s="65"/>
      <c r="BK2395" s="65"/>
      <c r="BL2395" s="99"/>
      <c r="BM2395" s="99"/>
      <c r="BN2395" s="99"/>
    </row>
    <row r="2396" spans="1:66" s="51" customFormat="1" ht="40.5" x14ac:dyDescent="0.25">
      <c r="A2396" s="478">
        <v>15</v>
      </c>
      <c r="B2396" s="479" t="s">
        <v>291</v>
      </c>
      <c r="C2396" s="480" t="s">
        <v>3079</v>
      </c>
      <c r="D2396" s="481" t="s">
        <v>299</v>
      </c>
      <c r="E2396" s="482">
        <v>424.95</v>
      </c>
      <c r="F2396" s="483" t="s">
        <v>292</v>
      </c>
      <c r="G2396" s="484">
        <v>0</v>
      </c>
      <c r="H2396" s="688" t="str">
        <f>IF(G2396=0,"",IF(F2396="Buy",IF(G2396=1,"plant","plants"),IF(F2396&gt;0.01,"warranty","Error")))</f>
        <v/>
      </c>
      <c r="I2396" s="485">
        <f>IF(H2396="free",0,IF(H2396="credit",((E2396*(F2396))*G2396*-1),IF(F2396="Buy",(E2396*G2396),((E2396*(1-F2396))*G2396))))</f>
        <v>0</v>
      </c>
      <c r="J2396" s="485">
        <f>IF(H2396="warranty",0,(I2396*(_xlfn.SINGLE(SalesTaxPercentage))))</f>
        <v>0</v>
      </c>
      <c r="K2396" s="715">
        <f t="shared" ref="K2396" si="1798">I2396+J2396</f>
        <v>0</v>
      </c>
      <c r="L2396" s="715"/>
      <c r="M2396" s="689" t="str">
        <f ca="1">IF(AND(G2396&gt;0,E2396=0),"WARNING - no PRICE inserted",IF(H2396="free","FREE ~ no charge this plant",IF(H2396="credit",CONCATENATE("-$",ROUND(K2396*(1-_xlfn.SINGLE(T2GDiscount))*-1,2)," CREDIT after discount"),IF(_xlfn.SINGLE(T2GDiscount)=0,"",IF(G2396=0,"",IF(F2396="Buy",CONCATENATE("$",ROUND(K2396*(1-_xlfn.SINGLE(T2GDiscount)),2)," with ",(_xlfn.SINGLE(T2GDiscount)*100),"% discount"),CONCATENATE("$",ROUND(K2396*(1-_xlfn.SINGLE(T2GDiscount)),2)," with ",((_xlfn.SINGLE(T2GDiscount)*100+F2396*100)-(_xlfn.SINGLE(T2GDiscount)*100*F2396)),IF(F2396&gt;0,"% discounts",IF(_xlfn.SINGLE(NoWarrantyDiscount)&gt;0,"% discounts","% discount")))))))))</f>
        <v/>
      </c>
      <c r="N2396" s="690"/>
      <c r="O2396" s="486"/>
      <c r="P2396" s="486"/>
      <c r="Q2396" s="486"/>
      <c r="R2396" s="486"/>
      <c r="S2396" s="486"/>
      <c r="T2396" s="102">
        <f t="shared" si="1784"/>
        <v>0</v>
      </c>
      <c r="U2396" s="78">
        <f>IF(NOT(ISNUMBER(G2396)), "", VLOOKUP(A2396,'Discount Lookup'!D:E,2,FALSE)*G2396)</f>
        <v>0</v>
      </c>
      <c r="V2396" s="78">
        <f>IF(NOT(ISNUMBER(G2396)), "", VLOOKUP(A2396,'Discount Lookup'!G:H,2,FALSE)*G2396)</f>
        <v>0</v>
      </c>
      <c r="W2396" s="102">
        <f t="shared" si="1785"/>
        <v>0</v>
      </c>
      <c r="X2396" s="102">
        <f t="shared" si="1786"/>
        <v>0</v>
      </c>
      <c r="Y2396" s="120" t="b">
        <f t="shared" si="1787"/>
        <v>0</v>
      </c>
      <c r="Z2396" s="117">
        <f t="shared" si="1788"/>
        <v>0</v>
      </c>
      <c r="AA2396" s="118"/>
      <c r="AB2396" s="118" t="str">
        <f t="shared" si="1789"/>
        <v/>
      </c>
      <c r="AC2396" s="712" t="str">
        <f>IF(AE2396="T2G","no charge",IF(AND(OR(PlanterYesMe="No",PlanterYesMe="N",PlanterYesMe="me"),H2396=""),"",IF(H2396="credit","NO install",IF(AND(K2396="",AE2396="me"),"EACH row",IF(AND(K2396="images",AE2396="me"),"EACH row",IF(D2396="","",IF(H2396="credit","",IF(AE2396="free","re-planting",IF(AE2396="me","   not ELP, by",IF(AND(OR(PlanterYesMe="Yes",PlanterYesMe="Y"),G2396&gt;0),(VLOOKUP(A2396,'Discount Lookup'!J:K,2)*G2396*(1-PlanterDiscount)*(1+PlanterDifficultyPercentage)),IF(AE2396="ELP",(VLOOKUP(A2396,'Discount Lookup'!J:K,2)*G2396*(1-PlanterDiscount)*(1+PlanterDifficultyPercentage)),IF(AE2396="free","re-planting",IF(G2396=0,"",IF(PlanterYesMe="",IF(AE2396="me","   not ELP, by",IF(AE2396="",IF(G2396&gt;0,(VLOOKUP(A2396,'Discount Lookup'!J:K,2)*G2396*(1-PlanterDiscount)*(1+PlanterDifficultyPercentage)),""),"")),"   not ELP, by"))))))))))))))</f>
        <v/>
      </c>
      <c r="AD2396" s="712"/>
      <c r="AE2396" s="513" t="str">
        <f t="shared" si="1790"/>
        <v/>
      </c>
      <c r="AF2396" s="713" t="str">
        <f t="shared" si="1791"/>
        <v/>
      </c>
      <c r="AG2396" s="713"/>
      <c r="AH2396" s="713"/>
      <c r="AI2396" s="112">
        <f>IF(H2396="credit",0,IF(AE2396="free",0,IF(AE2396="me",0,IF(G2396&gt;0,(VLOOKUP(A2396,'Discount Lookup'!J:K,2)*G2396),0))))</f>
        <v>0</v>
      </c>
      <c r="AJ2396" s="107" t="str">
        <f t="shared" ca="1" si="1792"/>
        <v/>
      </c>
      <c r="AK2396" s="714" t="str">
        <f t="shared" si="1793"/>
        <v/>
      </c>
      <c r="AL2396" s="714"/>
      <c r="AM2396" s="114" t="str">
        <f t="shared" si="1794"/>
        <v/>
      </c>
      <c r="AN2396" s="115"/>
      <c r="AO2396" s="116"/>
      <c r="AP2396" s="116"/>
      <c r="AQ2396" s="116"/>
      <c r="AR2396" s="116"/>
      <c r="AS2396" s="116"/>
      <c r="AT2396" s="116"/>
      <c r="AU2396" s="116"/>
      <c r="AV2396" s="78"/>
      <c r="AW2396" s="102"/>
      <c r="AX2396" s="78"/>
      <c r="AY2396" s="78"/>
      <c r="AZ2396" s="78"/>
      <c r="BA2396" s="78"/>
      <c r="BB2396" s="78"/>
      <c r="BC2396" s="78"/>
      <c r="BD2396" s="78"/>
      <c r="BE2396" s="465"/>
      <c r="BF2396" s="165" t="str">
        <f t="shared" si="1795"/>
        <v>https://www.google.com/search?tbm=isch&amp;q=15%20G4</v>
      </c>
      <c r="BG2396" s="165" t="str">
        <f t="shared" si="1796"/>
        <v>J</v>
      </c>
      <c r="BH2396" s="65"/>
      <c r="BI2396" s="65"/>
      <c r="BJ2396" s="65"/>
      <c r="BK2396" s="65"/>
      <c r="BL2396" s="99"/>
      <c r="BM2396" s="99"/>
      <c r="BN2396" s="99"/>
    </row>
    <row r="2397" spans="1:66" s="51" customFormat="1" ht="27" x14ac:dyDescent="0.25">
      <c r="A2397" s="478">
        <v>25</v>
      </c>
      <c r="B2397" s="479" t="s">
        <v>291</v>
      </c>
      <c r="C2397" s="480" t="s">
        <v>3080</v>
      </c>
      <c r="D2397" s="481" t="s">
        <v>299</v>
      </c>
      <c r="E2397" s="482">
        <v>484.95</v>
      </c>
      <c r="F2397" s="483" t="s">
        <v>292</v>
      </c>
      <c r="G2397" s="484">
        <v>0</v>
      </c>
      <c r="H2397" s="688" t="str">
        <f>IF(G2397=0,"",IF(F2397="Buy",IF(G2397=1,"plant","plants"),IF(F2397&gt;0.01,"warranty","Error")))</f>
        <v/>
      </c>
      <c r="I2397" s="485">
        <f>IF(H2397="free",0,IF(H2397="credit",((E2397*(F2397))*G2397*-1),IF(F2397="Buy",(E2397*G2397),((E2397*(1-F2397))*G2397))))</f>
        <v>0</v>
      </c>
      <c r="J2397" s="485">
        <f>IF(H2397="warranty",0,(I2397*(_xlfn.SINGLE(SalesTaxPercentage))))</f>
        <v>0</v>
      </c>
      <c r="K2397" s="715">
        <f t="shared" ref="K2397" si="1799">I2397+J2397</f>
        <v>0</v>
      </c>
      <c r="L2397" s="715"/>
      <c r="M2397" s="689" t="str">
        <f ca="1">IF(AND(G2397&gt;0,E2397=0),"WARNING - no PRICE inserted",IF(H2397="free","FREE ~ no charge this plant",IF(H2397="credit",CONCATENATE("-$",ROUND(K2397*(1-_xlfn.SINGLE(T2GDiscount))*-1,2)," CREDIT after discount"),IF(_xlfn.SINGLE(T2GDiscount)=0,"",IF(G2397=0,"",IF(F2397="Buy",CONCATENATE("$",ROUND(K2397*(1-_xlfn.SINGLE(T2GDiscount)),2)," with ",(_xlfn.SINGLE(T2GDiscount)*100),"% discount"),CONCATENATE("$",ROUND(K2397*(1-_xlfn.SINGLE(T2GDiscount)),2)," with ",((_xlfn.SINGLE(T2GDiscount)*100+F2397*100)-(_xlfn.SINGLE(T2GDiscount)*100*F2397)),IF(F2397&gt;0,"% discounts",IF(_xlfn.SINGLE(NoWarrantyDiscount)&gt;0,"% discounts","% discount")))))))))</f>
        <v/>
      </c>
      <c r="N2397" s="690"/>
      <c r="O2397" s="486"/>
      <c r="P2397" s="486"/>
      <c r="Q2397" s="486"/>
      <c r="R2397" s="486"/>
      <c r="S2397" s="486"/>
      <c r="T2397" s="102">
        <f t="shared" si="1784"/>
        <v>0</v>
      </c>
      <c r="U2397" s="78">
        <f>IF(NOT(ISNUMBER(G2397)), "", VLOOKUP(A2397,'Discount Lookup'!D:E,2,FALSE)*G2397)</f>
        <v>0</v>
      </c>
      <c r="V2397" s="78">
        <f>IF(NOT(ISNUMBER(G2397)), "", VLOOKUP(A2397,'Discount Lookup'!G:H,2,FALSE)*G2397)</f>
        <v>0</v>
      </c>
      <c r="W2397" s="102">
        <f t="shared" si="1785"/>
        <v>0</v>
      </c>
      <c r="X2397" s="102">
        <f t="shared" si="1786"/>
        <v>0</v>
      </c>
      <c r="Y2397" s="120" t="b">
        <f t="shared" si="1787"/>
        <v>0</v>
      </c>
      <c r="Z2397" s="117">
        <f t="shared" si="1788"/>
        <v>0</v>
      </c>
      <c r="AA2397" s="118"/>
      <c r="AB2397" s="118" t="str">
        <f t="shared" si="1789"/>
        <v/>
      </c>
      <c r="AC2397" s="712" t="str">
        <f>IF(AE2397="T2G","no charge",IF(AND(OR(PlanterYesMe="No",PlanterYesMe="N",PlanterYesMe="me"),H2397=""),"",IF(H2397="credit","NO install",IF(AND(K2397="",AE2397="me"),"EACH row",IF(AND(K2397="images",AE2397="me"),"EACH row",IF(D2397="","",IF(H2397="credit","",IF(AE2397="free","re-planting",IF(AE2397="me","   not ELP, by",IF(AND(OR(PlanterYesMe="Yes",PlanterYesMe="Y"),G2397&gt;0),(VLOOKUP(A2397,'Discount Lookup'!J:K,2)*G2397*(1-PlanterDiscount)*(1+PlanterDifficultyPercentage)),IF(AE2397="ELP",(VLOOKUP(A2397,'Discount Lookup'!J:K,2)*G2397*(1-PlanterDiscount)*(1+PlanterDifficultyPercentage)),IF(AE2397="free","re-planting",IF(G2397=0,"",IF(PlanterYesMe="",IF(AE2397="me","   not ELP, by",IF(AE2397="",IF(G2397&gt;0,(VLOOKUP(A2397,'Discount Lookup'!J:K,2)*G2397*(1-PlanterDiscount)*(1+PlanterDifficultyPercentage)),""),"")),"   not ELP, by"))))))))))))))</f>
        <v/>
      </c>
      <c r="AD2397" s="712"/>
      <c r="AE2397" s="513" t="str">
        <f t="shared" si="1790"/>
        <v/>
      </c>
      <c r="AF2397" s="713" t="str">
        <f t="shared" si="1791"/>
        <v/>
      </c>
      <c r="AG2397" s="713"/>
      <c r="AH2397" s="713"/>
      <c r="AI2397" s="112">
        <f>IF(H2397="credit",0,IF(AE2397="free",0,IF(AE2397="me",0,IF(G2397&gt;0,(VLOOKUP(A2397,'Discount Lookup'!J:K,2)*G2397),0))))</f>
        <v>0</v>
      </c>
      <c r="AJ2397" s="107" t="str">
        <f t="shared" ca="1" si="1792"/>
        <v/>
      </c>
      <c r="AK2397" s="714" t="str">
        <f t="shared" si="1793"/>
        <v/>
      </c>
      <c r="AL2397" s="714"/>
      <c r="AM2397" s="114" t="str">
        <f t="shared" si="1794"/>
        <v/>
      </c>
      <c r="AN2397" s="115"/>
      <c r="AO2397" s="116"/>
      <c r="AP2397" s="116"/>
      <c r="AQ2397" s="116"/>
      <c r="AR2397" s="116"/>
      <c r="AS2397" s="116"/>
      <c r="AT2397" s="116"/>
      <c r="AU2397" s="116"/>
      <c r="AV2397" s="78"/>
      <c r="AW2397" s="102"/>
      <c r="AX2397" s="78"/>
      <c r="AY2397" s="78"/>
      <c r="AZ2397" s="78"/>
      <c r="BA2397" s="78"/>
      <c r="BB2397" s="78"/>
      <c r="BC2397" s="78"/>
      <c r="BD2397" s="78"/>
      <c r="BE2397" s="465"/>
      <c r="BF2397" s="165" t="str">
        <f t="shared" si="1795"/>
        <v>https://www.google.com/search?tbm=isch&amp;q=25%20G4</v>
      </c>
      <c r="BG2397" s="165" t="str">
        <f t="shared" si="1796"/>
        <v>J</v>
      </c>
      <c r="BH2397" s="65"/>
      <c r="BI2397" s="65"/>
      <c r="BJ2397" s="65"/>
      <c r="BK2397" s="65"/>
      <c r="BL2397" s="99"/>
      <c r="BM2397" s="99"/>
      <c r="BN2397" s="99"/>
    </row>
    <row r="2398" spans="1:66" s="51" customFormat="1" ht="16.5" thickBot="1" x14ac:dyDescent="0.3">
      <c r="A2398" s="508" t="s">
        <v>3081</v>
      </c>
      <c r="B2398" s="487"/>
      <c r="C2398" s="707"/>
      <c r="D2398" s="487"/>
      <c r="E2398" s="487"/>
      <c r="F2398" s="488"/>
      <c r="G2398" s="489"/>
      <c r="H2398" s="487"/>
      <c r="I2398" s="490"/>
      <c r="J2398" s="490"/>
      <c r="K2398" s="491"/>
      <c r="L2398" s="547"/>
      <c r="M2398" s="528"/>
      <c r="N2398" s="492"/>
      <c r="O2398" s="493"/>
      <c r="P2398" s="494"/>
      <c r="Q2398" s="492"/>
      <c r="R2398" s="492"/>
      <c r="S2398" s="699" t="s">
        <v>5259</v>
      </c>
      <c r="T2398" s="102">
        <f t="shared" si="1784"/>
        <v>0</v>
      </c>
      <c r="U2398" s="78" t="str">
        <f>IF(NOT(ISNUMBER(G2398)), "", VLOOKUP(A2398,'Discount Lookup'!D:E,2,FALSE)*G2398)</f>
        <v/>
      </c>
      <c r="V2398" s="78" t="str">
        <f>IF(NOT(ISNUMBER(G2398)), "", VLOOKUP(A2398,'Discount Lookup'!G:H,2,FALSE)*G2398)</f>
        <v/>
      </c>
      <c r="W2398" s="102">
        <f t="shared" si="1785"/>
        <v>0</v>
      </c>
      <c r="X2398" s="102">
        <f t="shared" si="1786"/>
        <v>0</v>
      </c>
      <c r="Y2398" s="120" t="b">
        <f t="shared" si="1787"/>
        <v>0</v>
      </c>
      <c r="Z2398" s="117">
        <f t="shared" si="1788"/>
        <v>0</v>
      </c>
      <c r="AA2398" s="118"/>
      <c r="AB2398" s="118" t="str">
        <f t="shared" si="1789"/>
        <v/>
      </c>
      <c r="AC2398" s="712" t="str">
        <f>IF(AE2398="T2G","no charge",IF(AND(OR(PlanterYesMe="No",PlanterYesMe="N",PlanterYesMe="me"),H2398=""),"",IF(H2398="credit","NO install",IF(AND(K2398="",AE2398="me"),"EACH row",IF(AND(K2398="images",AE2398="me"),"EACH row",IF(D2398="","",IF(H2398="credit","",IF(AE2398="free","re-planting",IF(AE2398="me","   not ELP, by",IF(AND(OR(PlanterYesMe="Yes",PlanterYesMe="Y"),G2398&gt;0),(VLOOKUP(A2398,'Discount Lookup'!J:K,2)*G2398*(1-PlanterDiscount)*(1+PlanterDifficultyPercentage)),IF(AE2398="ELP",(VLOOKUP(A2398,'Discount Lookup'!J:K,2)*G2398*(1-PlanterDiscount)*(1+PlanterDifficultyPercentage)),IF(AE2398="free","re-planting",IF(G2398=0,"",IF(PlanterYesMe="",IF(AE2398="me","   not ELP, by",IF(AE2398="",IF(G2398&gt;0,(VLOOKUP(A2398,'Discount Lookup'!J:K,2)*G2398*(1-PlanterDiscount)*(1+PlanterDifficultyPercentage)),""),"")),"   not ELP, by"))))))))))))))</f>
        <v/>
      </c>
      <c r="AD2398" s="712"/>
      <c r="AE2398" s="513" t="str">
        <f t="shared" si="1790"/>
        <v/>
      </c>
      <c r="AF2398" s="713" t="str">
        <f t="shared" si="1791"/>
        <v/>
      </c>
      <c r="AG2398" s="713"/>
      <c r="AH2398" s="713"/>
      <c r="AI2398" s="112">
        <f>IF(H2398="credit",0,IF(AE2398="free",0,IF(AE2398="me",0,IF(G2398&gt;0,(VLOOKUP(A2398,'Discount Lookup'!J:K,2)*G2398),0))))</f>
        <v>0</v>
      </c>
      <c r="AJ2398" s="107" t="str">
        <f t="shared" ca="1" si="1792"/>
        <v/>
      </c>
      <c r="AK2398" s="714" t="str">
        <f t="shared" si="1793"/>
        <v/>
      </c>
      <c r="AL2398" s="714"/>
      <c r="AM2398" s="114" t="str">
        <f t="shared" si="1794"/>
        <v/>
      </c>
      <c r="AN2398" s="115"/>
      <c r="AO2398" s="116"/>
      <c r="AP2398" s="116"/>
      <c r="AQ2398" s="116"/>
      <c r="AR2398" s="116"/>
      <c r="AS2398" s="116"/>
      <c r="AT2398" s="116"/>
      <c r="AU2398" s="116"/>
      <c r="AV2398" s="78"/>
      <c r="AW2398" s="102"/>
      <c r="AX2398" s="78"/>
      <c r="AY2398" s="78"/>
      <c r="AZ2398" s="78"/>
      <c r="BA2398" s="78"/>
      <c r="BB2398" s="78"/>
      <c r="BC2398" s="78"/>
      <c r="BD2398" s="78"/>
      <c r="BE2398" s="465"/>
      <c r="BF2398" s="165" t="str">
        <f t="shared" si="1795"/>
        <v>https://www.google.com/search?tbm=isch&amp;q=Blue%20Pfitzer%20has%20scale%20foliage%20that%20turns%20Plum-Purple%20in%20winter.%20Arching%2C%20layered%20habit.%20Sun%2Fheat%2Fdrought%20tolerant%20</v>
      </c>
      <c r="BG2398" s="165" t="str">
        <f t="shared" si="1796"/>
        <v>B</v>
      </c>
      <c r="BH2398" s="65"/>
      <c r="BI2398" s="65"/>
      <c r="BJ2398" s="65"/>
      <c r="BK2398" s="65"/>
      <c r="BL2398" s="99"/>
      <c r="BM2398" s="99"/>
      <c r="BN2398" s="99"/>
    </row>
    <row r="2399" spans="1:66" s="51" customFormat="1" ht="18" x14ac:dyDescent="0.25">
      <c r="A2399" s="507" t="s">
        <v>3082</v>
      </c>
      <c r="B2399" s="470"/>
      <c r="C2399" s="706"/>
      <c r="D2399" s="471" t="s">
        <v>5719</v>
      </c>
      <c r="E2399" s="472"/>
      <c r="F2399" s="472"/>
      <c r="G2399" s="472"/>
      <c r="H2399" s="622" t="s">
        <v>1848</v>
      </c>
      <c r="I2399" s="473" t="s">
        <v>3083</v>
      </c>
      <c r="J2399" s="472"/>
      <c r="K2399" s="472"/>
      <c r="L2399" s="561"/>
      <c r="M2399" s="698" t="s">
        <v>5240</v>
      </c>
      <c r="N2399" s="692" t="str">
        <f>IF(AND(ISTEXT($A2399), ISERROR($A2399+0)), HYPERLINK($BF2399, "Images"), "")</f>
        <v>Images</v>
      </c>
      <c r="O2399" s="694" t="s">
        <v>5244</v>
      </c>
      <c r="P2399" s="475"/>
      <c r="Q2399" s="476"/>
      <c r="R2399" s="476"/>
      <c r="S2399" s="477"/>
      <c r="T2399" s="102">
        <f t="shared" si="1784"/>
        <v>0</v>
      </c>
      <c r="U2399" s="78" t="str">
        <f>IF(NOT(ISNUMBER(G2399)), "", VLOOKUP(A2399,'Discount Lookup'!D:E,2,FALSE)*G2399)</f>
        <v/>
      </c>
      <c r="V2399" s="78" t="str">
        <f>IF(NOT(ISNUMBER(G2399)), "", VLOOKUP(A2399,'Discount Lookup'!G:H,2,FALSE)*G2399)</f>
        <v/>
      </c>
      <c r="W2399" s="102">
        <f t="shared" si="1785"/>
        <v>0</v>
      </c>
      <c r="X2399" s="102" t="str">
        <f t="shared" si="1786"/>
        <v>Mint-Green foliage</v>
      </c>
      <c r="Y2399" s="120" t="b">
        <f t="shared" si="1787"/>
        <v>0</v>
      </c>
      <c r="Z2399" s="117">
        <f t="shared" si="1788"/>
        <v>0</v>
      </c>
      <c r="AA2399" s="118"/>
      <c r="AB2399" s="118" t="str">
        <f t="shared" si="1789"/>
        <v/>
      </c>
      <c r="AC2399" s="712" t="str">
        <f>IF(AE2399="T2G","no charge",IF(AND(OR(PlanterYesMe="No",PlanterYesMe="N",PlanterYesMe="me"),H2399=""),"",IF(H2399="credit","NO install",IF(AND(K2399="",AE2399="me"),"EACH row",IF(AND(K2399="images",AE2399="me"),"EACH row",IF(D2399="","",IF(H2399="credit","",IF(AE2399="free","re-planting",IF(AE2399="me","   not ELP, by",IF(AND(OR(PlanterYesMe="Yes",PlanterYesMe="Y"),G2399&gt;0),(VLOOKUP(A2399,'Discount Lookup'!J:K,2)*G2399*(1-PlanterDiscount)*(1+PlanterDifficultyPercentage)),IF(AE2399="ELP",(VLOOKUP(A2399,'Discount Lookup'!J:K,2)*G2399*(1-PlanterDiscount)*(1+PlanterDifficultyPercentage)),IF(AE2399="free","re-planting",IF(G2399=0,"",IF(PlanterYesMe="",IF(AE2399="me","   not ELP, by",IF(AE2399="",IF(G2399&gt;0,(VLOOKUP(A2399,'Discount Lookup'!J:K,2)*G2399*(1-PlanterDiscount)*(1+PlanterDifficultyPercentage)),""),"")),"   not ELP, by"))))))))))))))</f>
        <v/>
      </c>
      <c r="AD2399" s="712"/>
      <c r="AE2399" s="513" t="str">
        <f t="shared" si="1790"/>
        <v/>
      </c>
      <c r="AF2399" s="713" t="str">
        <f t="shared" si="1791"/>
        <v/>
      </c>
      <c r="AG2399" s="713"/>
      <c r="AH2399" s="713"/>
      <c r="AI2399" s="112">
        <f>IF(H2399="credit",0,IF(AE2399="free",0,IF(AE2399="me",0,IF(G2399&gt;0,(VLOOKUP(A2399,'Discount Lookup'!J:K,2)*G2399),0))))</f>
        <v>0</v>
      </c>
      <c r="AJ2399" s="107" t="str">
        <f t="shared" ca="1" si="1792"/>
        <v/>
      </c>
      <c r="AK2399" s="714" t="str">
        <f t="shared" si="1793"/>
        <v/>
      </c>
      <c r="AL2399" s="714"/>
      <c r="AM2399" s="114" t="str">
        <f t="shared" si="1794"/>
        <v/>
      </c>
      <c r="AN2399" s="115"/>
      <c r="AO2399" s="116"/>
      <c r="AP2399" s="116"/>
      <c r="AQ2399" s="116"/>
      <c r="AR2399" s="116"/>
      <c r="AS2399" s="116"/>
      <c r="AT2399" s="116"/>
      <c r="AU2399" s="116"/>
      <c r="AV2399" s="78"/>
      <c r="AW2399" s="102"/>
      <c r="AX2399" s="78"/>
      <c r="AY2399" s="78"/>
      <c r="AZ2399" s="78"/>
      <c r="BA2399" s="78"/>
      <c r="BB2399" s="78"/>
      <c r="BC2399" s="78"/>
      <c r="BD2399" s="78"/>
      <c r="BE2399" s="465"/>
      <c r="BF2399" s="165" t="str">
        <f t="shared" si="1795"/>
        <v>https://www.google.com/search?tbm=isch&amp;q=Juniperus%20%C3%97%20pfitzeriana%20%27Mint%20Julep%27%20Mint%20Julep%C2%AE%20Juniper</v>
      </c>
      <c r="BG2399" s="165" t="str">
        <f t="shared" si="1796"/>
        <v>J</v>
      </c>
      <c r="BH2399" s="65"/>
      <c r="BI2399" s="65"/>
      <c r="BJ2399" s="65"/>
      <c r="BK2399" s="65"/>
      <c r="BL2399" s="99"/>
      <c r="BM2399" s="99"/>
      <c r="BN2399" s="99"/>
    </row>
    <row r="2400" spans="1:66" s="51" customFormat="1" ht="27" x14ac:dyDescent="0.25">
      <c r="A2400" s="478">
        <v>65</v>
      </c>
      <c r="B2400" s="479" t="s">
        <v>291</v>
      </c>
      <c r="C2400" s="480" t="s">
        <v>3084</v>
      </c>
      <c r="D2400" s="481" t="s">
        <v>299</v>
      </c>
      <c r="E2400" s="482">
        <v>1389.95</v>
      </c>
      <c r="F2400" s="483" t="s">
        <v>292</v>
      </c>
      <c r="G2400" s="484">
        <v>0</v>
      </c>
      <c r="H2400" s="688" t="str">
        <f>IF(G2400=0,"",IF(F2400="Buy",IF(G2400=1,"plant","plants"),IF(F2400&gt;0.01,"warranty","Error")))</f>
        <v/>
      </c>
      <c r="I2400" s="485">
        <f>IF(H2400="free",0,IF(H2400="credit",((E2400*(F2400))*G2400*-1),IF(F2400="Buy",(E2400*G2400),((E2400*(1-F2400))*G2400))))</f>
        <v>0</v>
      </c>
      <c r="J2400" s="485">
        <f>IF(H2400="warranty",0,(I2400*(_xlfn.SINGLE(SalesTaxPercentage))))</f>
        <v>0</v>
      </c>
      <c r="K2400" s="715">
        <f t="shared" ref="K2400" si="1800">I2400+J2400</f>
        <v>0</v>
      </c>
      <c r="L2400" s="715"/>
      <c r="M2400" s="689" t="str">
        <f ca="1">IF(AND(G2400&gt;0,E2400=0),"WARNING - no PRICE inserted",IF(H2400="free","FREE ~ no charge this plant",IF(H2400="credit",CONCATENATE("-$",ROUND(K2400*(1-_xlfn.SINGLE(T2GDiscount))*-1,2)," CREDIT after discount"),IF(_xlfn.SINGLE(T2GDiscount)=0,"",IF(G2400=0,"",IF(F2400="Buy",CONCATENATE("$",ROUND(K2400*(1-_xlfn.SINGLE(T2GDiscount)),2)," with ",(_xlfn.SINGLE(T2GDiscount)*100),"% discount"),CONCATENATE("$",ROUND(K2400*(1-_xlfn.SINGLE(T2GDiscount)),2)," with ",((_xlfn.SINGLE(T2GDiscount)*100+F2400*100)-(_xlfn.SINGLE(T2GDiscount)*100*F2400)),IF(F2400&gt;0,"% discounts",IF(_xlfn.SINGLE(NoWarrantyDiscount)&gt;0,"% discounts","% discount")))))))))</f>
        <v/>
      </c>
      <c r="N2400" s="690"/>
      <c r="O2400" s="486"/>
      <c r="P2400" s="486"/>
      <c r="Q2400" s="486"/>
      <c r="R2400" s="486"/>
      <c r="S2400" s="486"/>
      <c r="T2400" s="102">
        <f t="shared" si="1784"/>
        <v>0</v>
      </c>
      <c r="U2400" s="78">
        <f>IF(NOT(ISNUMBER(G2400)), "", VLOOKUP(A2400,'Discount Lookup'!D:E,2,FALSE)*G2400)</f>
        <v>0</v>
      </c>
      <c r="V2400" s="78">
        <f>IF(NOT(ISNUMBER(G2400)), "", VLOOKUP(A2400,'Discount Lookup'!G:H,2,FALSE)*G2400)</f>
        <v>0</v>
      </c>
      <c r="W2400" s="102">
        <f t="shared" si="1785"/>
        <v>0</v>
      </c>
      <c r="X2400" s="102">
        <f t="shared" si="1786"/>
        <v>0</v>
      </c>
      <c r="Y2400" s="120" t="b">
        <f t="shared" si="1787"/>
        <v>0</v>
      </c>
      <c r="Z2400" s="117">
        <f t="shared" si="1788"/>
        <v>0</v>
      </c>
      <c r="AA2400" s="118"/>
      <c r="AB2400" s="118" t="str">
        <f t="shared" si="1789"/>
        <v/>
      </c>
      <c r="AC2400" s="712" t="str">
        <f>IF(AE2400="T2G","no charge",IF(AND(OR(PlanterYesMe="No",PlanterYesMe="N",PlanterYesMe="me"),H2400=""),"",IF(H2400="credit","NO install",IF(AND(K2400="",AE2400="me"),"EACH row",IF(AND(K2400="images",AE2400="me"),"EACH row",IF(D2400="","",IF(H2400="credit","",IF(AE2400="free","re-planting",IF(AE2400="me","   not ELP, by",IF(AND(OR(PlanterYesMe="Yes",PlanterYesMe="Y"),G2400&gt;0),(VLOOKUP(A2400,'Discount Lookup'!J:K,2)*G2400*(1-PlanterDiscount)*(1+PlanterDifficultyPercentage)),IF(AE2400="ELP",(VLOOKUP(A2400,'Discount Lookup'!J:K,2)*G2400*(1-PlanterDiscount)*(1+PlanterDifficultyPercentage)),IF(AE2400="free","re-planting",IF(G2400=0,"",IF(PlanterYesMe="",IF(AE2400="me","   not ELP, by",IF(AE2400="",IF(G2400&gt;0,(VLOOKUP(A2400,'Discount Lookup'!J:K,2)*G2400*(1-PlanterDiscount)*(1+PlanterDifficultyPercentage)),""),"")),"   not ELP, by"))))))))))))))</f>
        <v/>
      </c>
      <c r="AD2400" s="712"/>
      <c r="AE2400" s="513" t="str">
        <f t="shared" si="1790"/>
        <v/>
      </c>
      <c r="AF2400" s="713" t="str">
        <f t="shared" si="1791"/>
        <v/>
      </c>
      <c r="AG2400" s="713"/>
      <c r="AH2400" s="713"/>
      <c r="AI2400" s="112">
        <f>IF(H2400="credit",0,IF(AE2400="free",0,IF(AE2400="me",0,IF(G2400&gt;0,(VLOOKUP(A2400,'Discount Lookup'!J:K,2)*G2400),0))))</f>
        <v>0</v>
      </c>
      <c r="AJ2400" s="107" t="str">
        <f t="shared" ca="1" si="1792"/>
        <v/>
      </c>
      <c r="AK2400" s="714" t="str">
        <f t="shared" si="1793"/>
        <v/>
      </c>
      <c r="AL2400" s="714"/>
      <c r="AM2400" s="114" t="str">
        <f t="shared" si="1794"/>
        <v/>
      </c>
      <c r="AN2400" s="115"/>
      <c r="AO2400" s="116"/>
      <c r="AP2400" s="116"/>
      <c r="AQ2400" s="116"/>
      <c r="AR2400" s="116"/>
      <c r="AS2400" s="116"/>
      <c r="AT2400" s="116"/>
      <c r="AU2400" s="116"/>
      <c r="AV2400" s="78"/>
      <c r="AW2400" s="102"/>
      <c r="AX2400" s="78"/>
      <c r="AY2400" s="78"/>
      <c r="AZ2400" s="78"/>
      <c r="BA2400" s="78"/>
      <c r="BB2400" s="78"/>
      <c r="BC2400" s="78"/>
      <c r="BD2400" s="78"/>
      <c r="BE2400" s="465"/>
      <c r="BF2400" s="165" t="str">
        <f t="shared" si="1795"/>
        <v>https://www.google.com/search?tbm=isch&amp;q=65%20G4</v>
      </c>
      <c r="BG2400" s="165" t="str">
        <f t="shared" si="1796"/>
        <v>J</v>
      </c>
      <c r="BH2400" s="65"/>
      <c r="BI2400" s="65"/>
      <c r="BJ2400" s="65"/>
      <c r="BK2400" s="65"/>
      <c r="BL2400" s="99"/>
      <c r="BM2400" s="99"/>
      <c r="BN2400" s="99"/>
    </row>
    <row r="2401" spans="1:66" s="51" customFormat="1" ht="17.25" thickBot="1" x14ac:dyDescent="0.3">
      <c r="A2401" s="508" t="s">
        <v>4768</v>
      </c>
      <c r="B2401" s="487"/>
      <c r="C2401" s="707"/>
      <c r="D2401" s="487"/>
      <c r="E2401" s="487"/>
      <c r="F2401" s="488"/>
      <c r="G2401" s="489"/>
      <c r="H2401" s="487"/>
      <c r="I2401" s="490"/>
      <c r="J2401" s="490"/>
      <c r="K2401" s="491"/>
      <c r="L2401" s="547"/>
      <c r="M2401" s="528"/>
      <c r="N2401" s="492"/>
      <c r="O2401" s="493"/>
      <c r="P2401" s="494"/>
      <c r="Q2401" s="492"/>
      <c r="R2401" s="492"/>
      <c r="S2401" s="699" t="s">
        <v>5280</v>
      </c>
      <c r="T2401" s="102">
        <f t="shared" si="1784"/>
        <v>0</v>
      </c>
      <c r="U2401" s="78" t="str">
        <f>IF(NOT(ISNUMBER(G2401)), "", VLOOKUP(A2401,'Discount Lookup'!D:E,2,FALSE)*G2401)</f>
        <v/>
      </c>
      <c r="V2401" s="78" t="str">
        <f>IF(NOT(ISNUMBER(G2401)), "", VLOOKUP(A2401,'Discount Lookup'!G:H,2,FALSE)*G2401)</f>
        <v/>
      </c>
      <c r="W2401" s="102">
        <f t="shared" si="1785"/>
        <v>0</v>
      </c>
      <c r="X2401" s="102">
        <f t="shared" si="1786"/>
        <v>0</v>
      </c>
      <c r="Y2401" s="120" t="b">
        <f t="shared" si="1787"/>
        <v>0</v>
      </c>
      <c r="Z2401" s="117">
        <f t="shared" si="1788"/>
        <v>0</v>
      </c>
      <c r="AA2401" s="118"/>
      <c r="AB2401" s="118" t="str">
        <f t="shared" si="1789"/>
        <v/>
      </c>
      <c r="AC2401" s="712" t="str">
        <f>IF(AE2401="T2G","no charge",IF(AND(OR(PlanterYesMe="No",PlanterYesMe="N",PlanterYesMe="me"),H2401=""),"",IF(H2401="credit","NO install",IF(AND(K2401="",AE2401="me"),"EACH row",IF(AND(K2401="images",AE2401="me"),"EACH row",IF(D2401="","",IF(H2401="credit","",IF(AE2401="free","re-planting",IF(AE2401="me","   not ELP, by",IF(AND(OR(PlanterYesMe="Yes",PlanterYesMe="Y"),G2401&gt;0),(VLOOKUP(A2401,'Discount Lookup'!J:K,2)*G2401*(1-PlanterDiscount)*(1+PlanterDifficultyPercentage)),IF(AE2401="ELP",(VLOOKUP(A2401,'Discount Lookup'!J:K,2)*G2401*(1-PlanterDiscount)*(1+PlanterDifficultyPercentage)),IF(AE2401="free","re-planting",IF(G2401=0,"",IF(PlanterYesMe="",IF(AE2401="me","   not ELP, by",IF(AE2401="",IF(G2401&gt;0,(VLOOKUP(A2401,'Discount Lookup'!J:K,2)*G2401*(1-PlanterDiscount)*(1+PlanterDifficultyPercentage)),""),"")),"   not ELP, by"))))))))))))))</f>
        <v/>
      </c>
      <c r="AD2401" s="712"/>
      <c r="AE2401" s="513" t="str">
        <f t="shared" si="1790"/>
        <v/>
      </c>
      <c r="AF2401" s="713" t="str">
        <f t="shared" si="1791"/>
        <v/>
      </c>
      <c r="AG2401" s="713"/>
      <c r="AH2401" s="713"/>
      <c r="AI2401" s="112">
        <f>IF(H2401="credit",0,IF(AE2401="free",0,IF(AE2401="me",0,IF(G2401&gt;0,(VLOOKUP(A2401,'Discount Lookup'!J:K,2)*G2401),0))))</f>
        <v>0</v>
      </c>
      <c r="AJ2401" s="107" t="str">
        <f t="shared" ca="1" si="1792"/>
        <v/>
      </c>
      <c r="AK2401" s="714" t="str">
        <f t="shared" si="1793"/>
        <v/>
      </c>
      <c r="AL2401" s="714"/>
      <c r="AM2401" s="114" t="str">
        <f t="shared" si="1794"/>
        <v/>
      </c>
      <c r="AN2401" s="115"/>
      <c r="AO2401" s="116"/>
      <c r="AP2401" s="116"/>
      <c r="AQ2401" s="116"/>
      <c r="AR2401" s="116"/>
      <c r="AS2401" s="116"/>
      <c r="AT2401" s="116"/>
      <c r="AU2401" s="116"/>
      <c r="AV2401" s="78"/>
      <c r="AW2401" s="102"/>
      <c r="AX2401" s="78"/>
      <c r="AY2401" s="78"/>
      <c r="AZ2401" s="78"/>
      <c r="BA2401" s="78"/>
      <c r="BB2401" s="78"/>
      <c r="BC2401" s="78"/>
      <c r="BD2401" s="78"/>
      <c r="BE2401" s="465"/>
      <c r="BF2401" s="165" t="str">
        <f t="shared" si="1795"/>
        <v>https://www.google.com/search?tbm=isch&amp;q=Mint%20Julep%20Juniper%20has%20finely%20textured%20foliage%20on%20arching%20branches%20forming%20a%20fountain-like%20mound.%20Sun%2Fheat%2Fdrought%20tolerant%20</v>
      </c>
      <c r="BG2401" s="165" t="str">
        <f t="shared" si="1796"/>
        <v>M</v>
      </c>
      <c r="BH2401" s="65"/>
      <c r="BI2401" s="65"/>
      <c r="BJ2401" s="65"/>
      <c r="BK2401" s="65"/>
      <c r="BL2401" s="99"/>
      <c r="BM2401" s="99"/>
      <c r="BN2401" s="99"/>
    </row>
    <row r="2402" spans="1:66" s="51" customFormat="1" ht="18" x14ac:dyDescent="0.25">
      <c r="A2402" s="507" t="s">
        <v>3085</v>
      </c>
      <c r="B2402" s="470"/>
      <c r="C2402" s="706"/>
      <c r="D2402" s="471" t="s">
        <v>3086</v>
      </c>
      <c r="E2402" s="472"/>
      <c r="F2402" s="472"/>
      <c r="G2402" s="472"/>
      <c r="H2402" s="622" t="s">
        <v>1436</v>
      </c>
      <c r="I2402" s="473" t="s">
        <v>446</v>
      </c>
      <c r="J2402" s="472"/>
      <c r="K2402" s="472"/>
      <c r="L2402" s="561"/>
      <c r="M2402" s="698" t="s">
        <v>5240</v>
      </c>
      <c r="N2402" s="692" t="str">
        <f>IF(AND(ISTEXT($A2402), ISERROR($A2402+0)), HYPERLINK($BF2402, "Images"), "")</f>
        <v>Images</v>
      </c>
      <c r="O2402" s="694" t="s">
        <v>5244</v>
      </c>
      <c r="P2402" s="475"/>
      <c r="Q2402" s="476"/>
      <c r="R2402" s="476"/>
      <c r="S2402" s="477"/>
      <c r="T2402" s="102">
        <f t="shared" si="1784"/>
        <v>0</v>
      </c>
      <c r="U2402" s="78" t="str">
        <f>IF(NOT(ISNUMBER(G2402)), "", VLOOKUP(A2402,'Discount Lookup'!D:E,2,FALSE)*G2402)</f>
        <v/>
      </c>
      <c r="V2402" s="78" t="str">
        <f>IF(NOT(ISNUMBER(G2402)), "", VLOOKUP(A2402,'Discount Lookup'!G:H,2,FALSE)*G2402)</f>
        <v/>
      </c>
      <c r="W2402" s="102">
        <f t="shared" si="1785"/>
        <v>0</v>
      </c>
      <c r="X2402" s="102" t="str">
        <f t="shared" si="1786"/>
        <v>Silvery-Blue foliage</v>
      </c>
      <c r="Y2402" s="120" t="b">
        <f t="shared" si="1787"/>
        <v>0</v>
      </c>
      <c r="Z2402" s="117">
        <f t="shared" si="1788"/>
        <v>0</v>
      </c>
      <c r="AA2402" s="118"/>
      <c r="AB2402" s="118" t="str">
        <f t="shared" si="1789"/>
        <v/>
      </c>
      <c r="AC2402" s="712" t="str">
        <f>IF(AE2402="T2G","no charge",IF(AND(OR(PlanterYesMe="No",PlanterYesMe="N",PlanterYesMe="me"),H2402=""),"",IF(H2402="credit","NO install",IF(AND(K2402="",AE2402="me"),"EACH row",IF(AND(K2402="images",AE2402="me"),"EACH row",IF(D2402="","",IF(H2402="credit","",IF(AE2402="free","re-planting",IF(AE2402="me","   not ELP, by",IF(AND(OR(PlanterYesMe="Yes",PlanterYesMe="Y"),G2402&gt;0),(VLOOKUP(A2402,'Discount Lookup'!J:K,2)*G2402*(1-PlanterDiscount)*(1+PlanterDifficultyPercentage)),IF(AE2402="ELP",(VLOOKUP(A2402,'Discount Lookup'!J:K,2)*G2402*(1-PlanterDiscount)*(1+PlanterDifficultyPercentage)),IF(AE2402="free","re-planting",IF(G2402=0,"",IF(PlanterYesMe="",IF(AE2402="me","   not ELP, by",IF(AE2402="",IF(G2402&gt;0,(VLOOKUP(A2402,'Discount Lookup'!J:K,2)*G2402*(1-PlanterDiscount)*(1+PlanterDifficultyPercentage)),""),"")),"   not ELP, by"))))))))))))))</f>
        <v/>
      </c>
      <c r="AD2402" s="712"/>
      <c r="AE2402" s="513" t="str">
        <f t="shared" si="1790"/>
        <v/>
      </c>
      <c r="AF2402" s="713" t="str">
        <f t="shared" si="1791"/>
        <v/>
      </c>
      <c r="AG2402" s="713"/>
      <c r="AH2402" s="713"/>
      <c r="AI2402" s="112">
        <f>IF(H2402="credit",0,IF(AE2402="free",0,IF(AE2402="me",0,IF(G2402&gt;0,(VLOOKUP(A2402,'Discount Lookup'!J:K,2)*G2402),0))))</f>
        <v>0</v>
      </c>
      <c r="AJ2402" s="107" t="str">
        <f t="shared" ca="1" si="1792"/>
        <v/>
      </c>
      <c r="AK2402" s="714" t="str">
        <f t="shared" si="1793"/>
        <v/>
      </c>
      <c r="AL2402" s="714"/>
      <c r="AM2402" s="114" t="str">
        <f t="shared" si="1794"/>
        <v/>
      </c>
      <c r="AN2402" s="115"/>
      <c r="AO2402" s="116"/>
      <c r="AP2402" s="116"/>
      <c r="AQ2402" s="116"/>
      <c r="AR2402" s="116"/>
      <c r="AS2402" s="116"/>
      <c r="AT2402" s="116"/>
      <c r="AU2402" s="116"/>
      <c r="AV2402" s="78"/>
      <c r="AW2402" s="102"/>
      <c r="AX2402" s="78"/>
      <c r="AY2402" s="78"/>
      <c r="AZ2402" s="78"/>
      <c r="BA2402" s="78"/>
      <c r="BB2402" s="78"/>
      <c r="BC2402" s="78"/>
      <c r="BD2402" s="78"/>
      <c r="BE2402" s="465"/>
      <c r="BF2402" s="165" t="str">
        <f t="shared" si="1795"/>
        <v>https://www.google.com/search?tbm=isch&amp;q=Juniperus%20chinensis%20%27Angelica%20Blue%27%20Angelica%20Blue%20Juniper</v>
      </c>
      <c r="BG2402" s="165" t="str">
        <f t="shared" si="1796"/>
        <v>J</v>
      </c>
      <c r="BH2402" s="65"/>
      <c r="BI2402" s="65"/>
      <c r="BJ2402" s="65"/>
      <c r="BK2402" s="65"/>
      <c r="BL2402" s="99"/>
      <c r="BM2402" s="99"/>
      <c r="BN2402" s="99"/>
    </row>
    <row r="2403" spans="1:66" s="51" customFormat="1" ht="15.75" x14ac:dyDescent="0.25">
      <c r="A2403" s="478">
        <v>3</v>
      </c>
      <c r="B2403" s="479" t="s">
        <v>291</v>
      </c>
      <c r="C2403" s="480" t="s">
        <v>3087</v>
      </c>
      <c r="D2403" s="481" t="s">
        <v>311</v>
      </c>
      <c r="E2403" s="482">
        <v>30.95</v>
      </c>
      <c r="F2403" s="483" t="s">
        <v>292</v>
      </c>
      <c r="G2403" s="484">
        <v>0</v>
      </c>
      <c r="H2403" s="688" t="str">
        <f>IF(G2403=0,"",IF(F2403="Buy",IF(G2403=1,"plant","plants"),IF(F2403&gt;0.01,"warranty","Error")))</f>
        <v/>
      </c>
      <c r="I2403" s="485">
        <f>IF(H2403="free",0,IF(H2403="credit",((E2403*(F2403))*G2403*-1),IF(F2403="Buy",(E2403*G2403),((E2403*(1-F2403))*G2403))))</f>
        <v>0</v>
      </c>
      <c r="J2403" s="485">
        <f>IF(H2403="warranty",0,(I2403*(_xlfn.SINGLE(SalesTaxPercentage))))</f>
        <v>0</v>
      </c>
      <c r="K2403" s="715">
        <f t="shared" ref="K2403" si="1801">I2403+J2403</f>
        <v>0</v>
      </c>
      <c r="L2403" s="715"/>
      <c r="M2403" s="689" t="str">
        <f ca="1">IF(AND(G2403&gt;0,E2403=0),"WARNING - no PRICE inserted",IF(H2403="free","FREE ~ no charge this plant",IF(H2403="credit",CONCATENATE("-$",ROUND(K2403*(1-_xlfn.SINGLE(T2GDiscount))*-1,2)," CREDIT after discount"),IF(_xlfn.SINGLE(T2GDiscount)=0,"",IF(G2403=0,"",IF(F2403="Buy",CONCATENATE("$",ROUND(K2403*(1-_xlfn.SINGLE(T2GDiscount)),2)," with ",(_xlfn.SINGLE(T2GDiscount)*100),"% discount"),CONCATENATE("$",ROUND(K2403*(1-_xlfn.SINGLE(T2GDiscount)),2)," with ",((_xlfn.SINGLE(T2GDiscount)*100+F2403*100)-(_xlfn.SINGLE(T2GDiscount)*100*F2403)),IF(F2403&gt;0,"% discounts",IF(_xlfn.SINGLE(NoWarrantyDiscount)&gt;0,"% discounts","% discount")))))))))</f>
        <v/>
      </c>
      <c r="N2403" s="690"/>
      <c r="O2403" s="486"/>
      <c r="P2403" s="486"/>
      <c r="Q2403" s="486"/>
      <c r="R2403" s="486"/>
      <c r="S2403" s="486"/>
      <c r="T2403" s="102">
        <f t="shared" si="1784"/>
        <v>0</v>
      </c>
      <c r="U2403" s="78">
        <f>IF(NOT(ISNUMBER(G2403)), "", VLOOKUP(A2403,'Discount Lookup'!D:E,2,FALSE)*G2403)</f>
        <v>0</v>
      </c>
      <c r="V2403" s="78">
        <f>IF(NOT(ISNUMBER(G2403)), "", VLOOKUP(A2403,'Discount Lookup'!G:H,2,FALSE)*G2403)</f>
        <v>0</v>
      </c>
      <c r="W2403" s="102">
        <f t="shared" si="1785"/>
        <v>0</v>
      </c>
      <c r="X2403" s="102">
        <f t="shared" si="1786"/>
        <v>0</v>
      </c>
      <c r="Y2403" s="120" t="b">
        <f t="shared" si="1787"/>
        <v>0</v>
      </c>
      <c r="Z2403" s="117">
        <f t="shared" si="1788"/>
        <v>0</v>
      </c>
      <c r="AA2403" s="118"/>
      <c r="AB2403" s="118" t="str">
        <f t="shared" si="1789"/>
        <v/>
      </c>
      <c r="AC2403" s="712" t="str">
        <f>IF(AE2403="T2G","no charge",IF(AND(OR(PlanterYesMe="No",PlanterYesMe="N",PlanterYesMe="me"),H2403=""),"",IF(H2403="credit","NO install",IF(AND(K2403="",AE2403="me"),"EACH row",IF(AND(K2403="images",AE2403="me"),"EACH row",IF(D2403="","",IF(H2403="credit","",IF(AE2403="free","re-planting",IF(AE2403="me","   not ELP, by",IF(AND(OR(PlanterYesMe="Yes",PlanterYesMe="Y"),G2403&gt;0),(VLOOKUP(A2403,'Discount Lookup'!J:K,2)*G2403*(1-PlanterDiscount)*(1+PlanterDifficultyPercentage)),IF(AE2403="ELP",(VLOOKUP(A2403,'Discount Lookup'!J:K,2)*G2403*(1-PlanterDiscount)*(1+PlanterDifficultyPercentage)),IF(AE2403="free","re-planting",IF(G2403=0,"",IF(PlanterYesMe="",IF(AE2403="me","   not ELP, by",IF(AE2403="",IF(G2403&gt;0,(VLOOKUP(A2403,'Discount Lookup'!J:K,2)*G2403*(1-PlanterDiscount)*(1+PlanterDifficultyPercentage)),""),"")),"   not ELP, by"))))))))))))))</f>
        <v/>
      </c>
      <c r="AD2403" s="712"/>
      <c r="AE2403" s="513" t="str">
        <f t="shared" si="1790"/>
        <v/>
      </c>
      <c r="AF2403" s="713" t="str">
        <f t="shared" si="1791"/>
        <v/>
      </c>
      <c r="AG2403" s="713"/>
      <c r="AH2403" s="713"/>
      <c r="AI2403" s="112">
        <f>IF(H2403="credit",0,IF(AE2403="free",0,IF(AE2403="me",0,IF(G2403&gt;0,(VLOOKUP(A2403,'Discount Lookup'!J:K,2)*G2403),0))))</f>
        <v>0</v>
      </c>
      <c r="AJ2403" s="107" t="str">
        <f t="shared" ca="1" si="1792"/>
        <v/>
      </c>
      <c r="AK2403" s="714" t="str">
        <f t="shared" si="1793"/>
        <v/>
      </c>
      <c r="AL2403" s="714"/>
      <c r="AM2403" s="114" t="str">
        <f t="shared" si="1794"/>
        <v/>
      </c>
      <c r="AN2403" s="115"/>
      <c r="AO2403" s="116"/>
      <c r="AP2403" s="116"/>
      <c r="AQ2403" s="116"/>
      <c r="AR2403" s="116"/>
      <c r="AS2403" s="116"/>
      <c r="AT2403" s="116"/>
      <c r="AU2403" s="116"/>
      <c r="AV2403" s="78"/>
      <c r="AW2403" s="102"/>
      <c r="AX2403" s="78"/>
      <c r="AY2403" s="78"/>
      <c r="AZ2403" s="78"/>
      <c r="BA2403" s="78"/>
      <c r="BB2403" s="78"/>
      <c r="BC2403" s="78"/>
      <c r="BD2403" s="78"/>
      <c r="BE2403" s="465"/>
      <c r="BF2403" s="165" t="str">
        <f t="shared" si="1795"/>
        <v>https://www.google.com/search?tbm=isch&amp;q=3%20G5</v>
      </c>
      <c r="BG2403" s="165" t="str">
        <f t="shared" si="1796"/>
        <v>J</v>
      </c>
      <c r="BH2403" s="65"/>
      <c r="BI2403" s="65"/>
      <c r="BJ2403" s="65"/>
      <c r="BK2403" s="65"/>
      <c r="BL2403" s="99"/>
      <c r="BM2403" s="99"/>
      <c r="BN2403" s="99"/>
    </row>
    <row r="2404" spans="1:66" s="51" customFormat="1" ht="17.25" thickBot="1" x14ac:dyDescent="0.3">
      <c r="A2404" s="508" t="s">
        <v>3088</v>
      </c>
      <c r="B2404" s="487"/>
      <c r="C2404" s="707"/>
      <c r="D2404" s="487"/>
      <c r="E2404" s="487"/>
      <c r="F2404" s="488"/>
      <c r="G2404" s="489"/>
      <c r="H2404" s="487"/>
      <c r="I2404" s="490"/>
      <c r="J2404" s="490"/>
      <c r="K2404" s="491"/>
      <c r="L2404" s="547"/>
      <c r="M2404" s="528"/>
      <c r="N2404" s="492"/>
      <c r="O2404" s="493"/>
      <c r="P2404" s="494"/>
      <c r="Q2404" s="492"/>
      <c r="R2404" s="492"/>
      <c r="S2404" s="699" t="s">
        <v>5280</v>
      </c>
      <c r="T2404" s="102">
        <f t="shared" si="1784"/>
        <v>0</v>
      </c>
      <c r="U2404" s="78" t="str">
        <f>IF(NOT(ISNUMBER(G2404)), "", VLOOKUP(A2404,'Discount Lookup'!D:E,2,FALSE)*G2404)</f>
        <v/>
      </c>
      <c r="V2404" s="78" t="str">
        <f>IF(NOT(ISNUMBER(G2404)), "", VLOOKUP(A2404,'Discount Lookup'!G:H,2,FALSE)*G2404)</f>
        <v/>
      </c>
      <c r="W2404" s="102">
        <f t="shared" si="1785"/>
        <v>0</v>
      </c>
      <c r="X2404" s="102">
        <f t="shared" si="1786"/>
        <v>0</v>
      </c>
      <c r="Y2404" s="120" t="b">
        <f t="shared" si="1787"/>
        <v>0</v>
      </c>
      <c r="Z2404" s="117">
        <f t="shared" si="1788"/>
        <v>0</v>
      </c>
      <c r="AA2404" s="118"/>
      <c r="AB2404" s="118" t="str">
        <f t="shared" si="1789"/>
        <v/>
      </c>
      <c r="AC2404" s="712" t="str">
        <f>IF(AE2404="T2G","no charge",IF(AND(OR(PlanterYesMe="No",PlanterYesMe="N",PlanterYesMe="me"),H2404=""),"",IF(H2404="credit","NO install",IF(AND(K2404="",AE2404="me"),"EACH row",IF(AND(K2404="images",AE2404="me"),"EACH row",IF(D2404="","",IF(H2404="credit","",IF(AE2404="free","re-planting",IF(AE2404="me","   not ELP, by",IF(AND(OR(PlanterYesMe="Yes",PlanterYesMe="Y"),G2404&gt;0),(VLOOKUP(A2404,'Discount Lookup'!J:K,2)*G2404*(1-PlanterDiscount)*(1+PlanterDifficultyPercentage)),IF(AE2404="ELP",(VLOOKUP(A2404,'Discount Lookup'!J:K,2)*G2404*(1-PlanterDiscount)*(1+PlanterDifficultyPercentage)),IF(AE2404="free","re-planting",IF(G2404=0,"",IF(PlanterYesMe="",IF(AE2404="me","   not ELP, by",IF(AE2404="",IF(G2404&gt;0,(VLOOKUP(A2404,'Discount Lookup'!J:K,2)*G2404*(1-PlanterDiscount)*(1+PlanterDifficultyPercentage)),""),"")),"   not ELP, by"))))))))))))))</f>
        <v/>
      </c>
      <c r="AD2404" s="712"/>
      <c r="AE2404" s="513" t="str">
        <f t="shared" si="1790"/>
        <v/>
      </c>
      <c r="AF2404" s="713" t="str">
        <f t="shared" si="1791"/>
        <v/>
      </c>
      <c r="AG2404" s="713"/>
      <c r="AH2404" s="713"/>
      <c r="AI2404" s="112">
        <f>IF(H2404="credit",0,IF(AE2404="free",0,IF(AE2404="me",0,IF(G2404&gt;0,(VLOOKUP(A2404,'Discount Lookup'!J:K,2)*G2404),0))))</f>
        <v>0</v>
      </c>
      <c r="AJ2404" s="107" t="str">
        <f t="shared" ca="1" si="1792"/>
        <v/>
      </c>
      <c r="AK2404" s="714" t="str">
        <f t="shared" si="1793"/>
        <v/>
      </c>
      <c r="AL2404" s="714"/>
      <c r="AM2404" s="114" t="str">
        <f t="shared" si="1794"/>
        <v/>
      </c>
      <c r="AN2404" s="115"/>
      <c r="AO2404" s="116"/>
      <c r="AP2404" s="116"/>
      <c r="AQ2404" s="116"/>
      <c r="AR2404" s="116"/>
      <c r="AS2404" s="116"/>
      <c r="AT2404" s="116"/>
      <c r="AU2404" s="116"/>
      <c r="AV2404" s="78"/>
      <c r="AW2404" s="102"/>
      <c r="AX2404" s="78"/>
      <c r="AY2404" s="78"/>
      <c r="AZ2404" s="78"/>
      <c r="BA2404" s="78"/>
      <c r="BB2404" s="78"/>
      <c r="BC2404" s="78"/>
      <c r="BD2404" s="78"/>
      <c r="BE2404" s="465"/>
      <c r="BF2404" s="165" t="str">
        <f t="shared" si="1795"/>
        <v>https://www.google.com/search?tbm=isch&amp;q=Angelica%20Blue%27s%20vivid%20Steel-Blue%20foliage%20intensifies%20in%20fall.%20Arching%20branches.%20Exfoliating%20bark.%20Sun%2Fheat%2Fdrought%20tolerant%20</v>
      </c>
      <c r="BG2404" s="165" t="str">
        <f t="shared" si="1796"/>
        <v>A</v>
      </c>
      <c r="BH2404" s="65"/>
      <c r="BI2404" s="65"/>
      <c r="BJ2404" s="65"/>
      <c r="BK2404" s="65"/>
      <c r="BL2404" s="99"/>
      <c r="BM2404" s="99"/>
      <c r="BN2404" s="99"/>
    </row>
    <row r="2405" spans="1:66" s="51" customFormat="1" ht="18" x14ac:dyDescent="0.25">
      <c r="A2405" s="507" t="s">
        <v>563</v>
      </c>
      <c r="B2405" s="470"/>
      <c r="C2405" s="706"/>
      <c r="D2405" s="471" t="s">
        <v>564</v>
      </c>
      <c r="E2405" s="472"/>
      <c r="F2405" s="472"/>
      <c r="G2405" s="472"/>
      <c r="H2405" s="622" t="s">
        <v>330</v>
      </c>
      <c r="I2405" s="473" t="s">
        <v>565</v>
      </c>
      <c r="J2405" s="472"/>
      <c r="K2405" s="472"/>
      <c r="L2405" s="561"/>
      <c r="M2405" s="698" t="s">
        <v>5240</v>
      </c>
      <c r="N2405" s="692" t="str">
        <f>IF(AND(ISTEXT($A2405), ISERROR($A2405+0)), HYPERLINK($BF2405, "Images"), "")</f>
        <v>Images</v>
      </c>
      <c r="O2405" s="694" t="s">
        <v>5244</v>
      </c>
      <c r="P2405" s="475"/>
      <c r="Q2405" s="476"/>
      <c r="R2405" s="476"/>
      <c r="S2405" s="477"/>
      <c r="T2405" s="102">
        <f t="shared" si="1784"/>
        <v>0</v>
      </c>
      <c r="U2405" s="78" t="str">
        <f>IF(NOT(ISNUMBER(G2405)), "", VLOOKUP(A2405,'Discount Lookup'!D:E,2,FALSE)*G2405)</f>
        <v/>
      </c>
      <c r="V2405" s="78" t="str">
        <f>IF(NOT(ISNUMBER(G2405)), "", VLOOKUP(A2405,'Discount Lookup'!G:H,2,FALSE)*G2405)</f>
        <v/>
      </c>
      <c r="W2405" s="102">
        <f t="shared" si="1785"/>
        <v>0</v>
      </c>
      <c r="X2405" s="102" t="str">
        <f t="shared" si="1786"/>
        <v>Blue-Green foliage</v>
      </c>
      <c r="Y2405" s="120" t="b">
        <f t="shared" si="1787"/>
        <v>0</v>
      </c>
      <c r="Z2405" s="117">
        <f t="shared" si="1788"/>
        <v>0</v>
      </c>
      <c r="AA2405" s="118"/>
      <c r="AB2405" s="118" t="str">
        <f t="shared" si="1789"/>
        <v/>
      </c>
      <c r="AC2405" s="712" t="str">
        <f>IF(AE2405="T2G","no charge",IF(AND(OR(PlanterYesMe="No",PlanterYesMe="N",PlanterYesMe="me"),H2405=""),"",IF(H2405="credit","NO install",IF(AND(K2405="",AE2405="me"),"EACH row",IF(AND(K2405="images",AE2405="me"),"EACH row",IF(D2405="","",IF(H2405="credit","",IF(AE2405="free","re-planting",IF(AE2405="me","   not ELP, by",IF(AND(OR(PlanterYesMe="Yes",PlanterYesMe="Y"),G2405&gt;0),(VLOOKUP(A2405,'Discount Lookup'!J:K,2)*G2405*(1-PlanterDiscount)*(1+PlanterDifficultyPercentage)),IF(AE2405="ELP",(VLOOKUP(A2405,'Discount Lookup'!J:K,2)*G2405*(1-PlanterDiscount)*(1+PlanterDifficultyPercentage)),IF(AE2405="free","re-planting",IF(G2405=0,"",IF(PlanterYesMe="",IF(AE2405="me","   not ELP, by",IF(AE2405="",IF(G2405&gt;0,(VLOOKUP(A2405,'Discount Lookup'!J:K,2)*G2405*(1-PlanterDiscount)*(1+PlanterDifficultyPercentage)),""),"")),"   not ELP, by"))))))))))))))</f>
        <v/>
      </c>
      <c r="AD2405" s="712"/>
      <c r="AE2405" s="513" t="str">
        <f t="shared" si="1790"/>
        <v/>
      </c>
      <c r="AF2405" s="713" t="str">
        <f t="shared" si="1791"/>
        <v/>
      </c>
      <c r="AG2405" s="713"/>
      <c r="AH2405" s="713"/>
      <c r="AI2405" s="112">
        <f>IF(H2405="credit",0,IF(AE2405="free",0,IF(AE2405="me",0,IF(G2405&gt;0,(VLOOKUP(A2405,'Discount Lookup'!J:K,2)*G2405),0))))</f>
        <v>0</v>
      </c>
      <c r="AJ2405" s="107" t="str">
        <f t="shared" ca="1" si="1792"/>
        <v/>
      </c>
      <c r="AK2405" s="714" t="str">
        <f t="shared" si="1793"/>
        <v/>
      </c>
      <c r="AL2405" s="714"/>
      <c r="AM2405" s="114" t="str">
        <f t="shared" si="1794"/>
        <v/>
      </c>
      <c r="AN2405" s="115"/>
      <c r="AO2405" s="116"/>
      <c r="AP2405" s="116"/>
      <c r="AQ2405" s="116"/>
      <c r="AR2405" s="116"/>
      <c r="AS2405" s="116"/>
      <c r="AT2405" s="116"/>
      <c r="AU2405" s="116"/>
      <c r="AV2405" s="78"/>
      <c r="AW2405" s="102"/>
      <c r="AX2405" s="78"/>
      <c r="AY2405" s="78"/>
      <c r="AZ2405" s="78"/>
      <c r="BA2405" s="78"/>
      <c r="BB2405" s="78"/>
      <c r="BC2405" s="78"/>
      <c r="BD2405" s="78"/>
      <c r="BE2405" s="465"/>
      <c r="BF2405" s="165" t="str">
        <f t="shared" si="1795"/>
        <v>https://www.google.com/search?tbm=isch&amp;q=Juniperus%20chinensis%20%27Blue%20Point%27%20Blue%20Point%20Juniper</v>
      </c>
      <c r="BG2405" s="165" t="str">
        <f t="shared" si="1796"/>
        <v>J</v>
      </c>
      <c r="BH2405" s="65"/>
      <c r="BI2405" s="65"/>
      <c r="BJ2405" s="65"/>
      <c r="BK2405" s="65"/>
      <c r="BL2405" s="99"/>
      <c r="BM2405" s="99"/>
      <c r="BN2405" s="99"/>
    </row>
    <row r="2406" spans="1:66" s="51" customFormat="1" ht="15.75" x14ac:dyDescent="0.25">
      <c r="A2406" s="478">
        <v>3</v>
      </c>
      <c r="B2406" s="479" t="s">
        <v>291</v>
      </c>
      <c r="C2406" s="480"/>
      <c r="D2406" s="481" t="s">
        <v>310</v>
      </c>
      <c r="E2406" s="482">
        <v>27.95</v>
      </c>
      <c r="F2406" s="483" t="s">
        <v>292</v>
      </c>
      <c r="G2406" s="484">
        <v>0</v>
      </c>
      <c r="H2406" s="688" t="str">
        <f>IF(G2406=0,"",IF(F2406="Buy",IF(G2406=1,"plant","plants"),IF(F2406&gt;0.01,"warranty","Error")))</f>
        <v/>
      </c>
      <c r="I2406" s="485">
        <f>IF(H2406="free",0,IF(H2406="credit",((E2406*(F2406))*G2406*-1),IF(F2406="Buy",(E2406*G2406),((E2406*(1-F2406))*G2406))))</f>
        <v>0</v>
      </c>
      <c r="J2406" s="485">
        <f>IF(H2406="warranty",0,(I2406*(_xlfn.SINGLE(SalesTaxPercentage))))</f>
        <v>0</v>
      </c>
      <c r="K2406" s="715">
        <f t="shared" ref="K2406" si="1802">I2406+J2406</f>
        <v>0</v>
      </c>
      <c r="L2406" s="715"/>
      <c r="M2406" s="689" t="str">
        <f ca="1">IF(AND(G2406&gt;0,E2406=0),"WARNING - no PRICE inserted",IF(H2406="free","FREE ~ no charge this plant",IF(H2406="credit",CONCATENATE("-$",ROUND(K2406*(1-_xlfn.SINGLE(T2GDiscount))*-1,2)," CREDIT after discount"),IF(_xlfn.SINGLE(T2GDiscount)=0,"",IF(G2406=0,"",IF(F2406="Buy",CONCATENATE("$",ROUND(K2406*(1-_xlfn.SINGLE(T2GDiscount)),2)," with ",(_xlfn.SINGLE(T2GDiscount)*100),"% discount"),CONCATENATE("$",ROUND(K2406*(1-_xlfn.SINGLE(T2GDiscount)),2)," with ",((_xlfn.SINGLE(T2GDiscount)*100+F2406*100)-(_xlfn.SINGLE(T2GDiscount)*100*F2406)),IF(F2406&gt;0,"% discounts",IF(_xlfn.SINGLE(NoWarrantyDiscount)&gt;0,"% discounts","% discount")))))))))</f>
        <v/>
      </c>
      <c r="N2406" s="690"/>
      <c r="O2406" s="486"/>
      <c r="P2406" s="486"/>
      <c r="Q2406" s="486"/>
      <c r="R2406" s="486"/>
      <c r="S2406" s="486"/>
      <c r="T2406" s="102">
        <f t="shared" si="1784"/>
        <v>0</v>
      </c>
      <c r="U2406" s="78">
        <f>IF(NOT(ISNUMBER(G2406)), "", VLOOKUP(A2406,'Discount Lookup'!D:E,2,FALSE)*G2406)</f>
        <v>0</v>
      </c>
      <c r="V2406" s="78">
        <f>IF(NOT(ISNUMBER(G2406)), "", VLOOKUP(A2406,'Discount Lookup'!G:H,2,FALSE)*G2406)</f>
        <v>0</v>
      </c>
      <c r="W2406" s="102">
        <f t="shared" si="1785"/>
        <v>0</v>
      </c>
      <c r="X2406" s="102">
        <f t="shared" si="1786"/>
        <v>0</v>
      </c>
      <c r="Y2406" s="120" t="b">
        <f t="shared" si="1787"/>
        <v>0</v>
      </c>
      <c r="Z2406" s="117">
        <f t="shared" si="1788"/>
        <v>0</v>
      </c>
      <c r="AA2406" s="118"/>
      <c r="AB2406" s="118" t="str">
        <f t="shared" si="1789"/>
        <v/>
      </c>
      <c r="AC2406" s="712" t="str">
        <f>IF(AE2406="T2G","no charge",IF(AND(OR(PlanterYesMe="No",PlanterYesMe="N",PlanterYesMe="me"),H2406=""),"",IF(H2406="credit","NO install",IF(AND(K2406="",AE2406="me"),"EACH row",IF(AND(K2406="images",AE2406="me"),"EACH row",IF(D2406="","",IF(H2406="credit","",IF(AE2406="free","re-planting",IF(AE2406="me","   not ELP, by",IF(AND(OR(PlanterYesMe="Yes",PlanterYesMe="Y"),G2406&gt;0),(VLOOKUP(A2406,'Discount Lookup'!J:K,2)*G2406*(1-PlanterDiscount)*(1+PlanterDifficultyPercentage)),IF(AE2406="ELP",(VLOOKUP(A2406,'Discount Lookup'!J:K,2)*G2406*(1-PlanterDiscount)*(1+PlanterDifficultyPercentage)),IF(AE2406="free","re-planting",IF(G2406=0,"",IF(PlanterYesMe="",IF(AE2406="me","   not ELP, by",IF(AE2406="",IF(G2406&gt;0,(VLOOKUP(A2406,'Discount Lookup'!J:K,2)*G2406*(1-PlanterDiscount)*(1+PlanterDifficultyPercentage)),""),"")),"   not ELP, by"))))))))))))))</f>
        <v/>
      </c>
      <c r="AD2406" s="712"/>
      <c r="AE2406" s="513" t="str">
        <f t="shared" si="1790"/>
        <v/>
      </c>
      <c r="AF2406" s="713" t="str">
        <f t="shared" si="1791"/>
        <v/>
      </c>
      <c r="AG2406" s="713"/>
      <c r="AH2406" s="713"/>
      <c r="AI2406" s="112">
        <f>IF(H2406="credit",0,IF(AE2406="free",0,IF(AE2406="me",0,IF(G2406&gt;0,(VLOOKUP(A2406,'Discount Lookup'!J:K,2)*G2406),0))))</f>
        <v>0</v>
      </c>
      <c r="AJ2406" s="107" t="str">
        <f t="shared" ca="1" si="1792"/>
        <v/>
      </c>
      <c r="AK2406" s="714" t="str">
        <f t="shared" si="1793"/>
        <v/>
      </c>
      <c r="AL2406" s="714"/>
      <c r="AM2406" s="114" t="str">
        <f t="shared" si="1794"/>
        <v/>
      </c>
      <c r="AN2406" s="115"/>
      <c r="AO2406" s="116"/>
      <c r="AP2406" s="116"/>
      <c r="AQ2406" s="116"/>
      <c r="AR2406" s="116"/>
      <c r="AS2406" s="116"/>
      <c r="AT2406" s="116"/>
      <c r="AU2406" s="116"/>
      <c r="AV2406" s="78"/>
      <c r="AW2406" s="102"/>
      <c r="AX2406" s="78"/>
      <c r="AY2406" s="78"/>
      <c r="AZ2406" s="78"/>
      <c r="BA2406" s="78"/>
      <c r="BB2406" s="78"/>
      <c r="BC2406" s="78"/>
      <c r="BD2406" s="78"/>
      <c r="BE2406" s="465"/>
      <c r="BF2406" s="165" t="str">
        <f t="shared" si="1795"/>
        <v>https://www.google.com/search?tbm=isch&amp;q=3%20G1</v>
      </c>
      <c r="BG2406" s="165" t="str">
        <f t="shared" si="1796"/>
        <v>J</v>
      </c>
      <c r="BH2406" s="65"/>
      <c r="BI2406" s="65"/>
      <c r="BJ2406" s="65"/>
      <c r="BK2406" s="65"/>
      <c r="BL2406" s="99"/>
      <c r="BM2406" s="99"/>
      <c r="BN2406" s="99"/>
    </row>
    <row r="2407" spans="1:66" s="51" customFormat="1" ht="15.75" x14ac:dyDescent="0.25">
      <c r="A2407" s="478">
        <v>3</v>
      </c>
      <c r="B2407" s="479" t="s">
        <v>291</v>
      </c>
      <c r="C2407" s="480" t="s">
        <v>454</v>
      </c>
      <c r="D2407" s="481" t="s">
        <v>329</v>
      </c>
      <c r="E2407" s="482">
        <v>29.95</v>
      </c>
      <c r="F2407" s="483" t="s">
        <v>292</v>
      </c>
      <c r="G2407" s="484">
        <v>0</v>
      </c>
      <c r="H2407" s="688" t="str">
        <f>IF(G2407=0,"",IF(F2407="Buy",IF(G2407=1,"plant","plants"),IF(F2407&gt;0.01,"warranty","Error")))</f>
        <v/>
      </c>
      <c r="I2407" s="485">
        <f>IF(H2407="free",0,IF(H2407="credit",((E2407*(F2407))*G2407*-1),IF(F2407="Buy",(E2407*G2407),((E2407*(1-F2407))*G2407))))</f>
        <v>0</v>
      </c>
      <c r="J2407" s="485">
        <f>IF(H2407="warranty",0,(I2407*(_xlfn.SINGLE(SalesTaxPercentage))))</f>
        <v>0</v>
      </c>
      <c r="K2407" s="715">
        <f t="shared" ref="K2407" si="1803">I2407+J2407</f>
        <v>0</v>
      </c>
      <c r="L2407" s="715"/>
      <c r="M2407" s="689" t="str">
        <f ca="1">IF(AND(G2407&gt;0,E2407=0),"WARNING - no PRICE inserted",IF(H2407="free","FREE ~ no charge this plant",IF(H2407="credit",CONCATENATE("-$",ROUND(K2407*(1-_xlfn.SINGLE(T2GDiscount))*-1,2)," CREDIT after discount"),IF(_xlfn.SINGLE(T2GDiscount)=0,"",IF(G2407=0,"",IF(F2407="Buy",CONCATENATE("$",ROUND(K2407*(1-_xlfn.SINGLE(T2GDiscount)),2)," with ",(_xlfn.SINGLE(T2GDiscount)*100),"% discount"),CONCATENATE("$",ROUND(K2407*(1-_xlfn.SINGLE(T2GDiscount)),2)," with ",((_xlfn.SINGLE(T2GDiscount)*100+F2407*100)-(_xlfn.SINGLE(T2GDiscount)*100*F2407)),IF(F2407&gt;0,"% discounts",IF(_xlfn.SINGLE(NoWarrantyDiscount)&gt;0,"% discounts","% discount")))))))))</f>
        <v/>
      </c>
      <c r="N2407" s="690"/>
      <c r="O2407" s="486"/>
      <c r="P2407" s="486"/>
      <c r="Q2407" s="486"/>
      <c r="R2407" s="486"/>
      <c r="S2407" s="486"/>
      <c r="T2407" s="102">
        <f t="shared" si="1784"/>
        <v>0</v>
      </c>
      <c r="U2407" s="78">
        <f>IF(NOT(ISNUMBER(G2407)), "", VLOOKUP(A2407,'Discount Lookup'!D:E,2,FALSE)*G2407)</f>
        <v>0</v>
      </c>
      <c r="V2407" s="78">
        <f>IF(NOT(ISNUMBER(G2407)), "", VLOOKUP(A2407,'Discount Lookup'!G:H,2,FALSE)*G2407)</f>
        <v>0</v>
      </c>
      <c r="W2407" s="102">
        <f t="shared" si="1785"/>
        <v>0</v>
      </c>
      <c r="X2407" s="102">
        <f t="shared" si="1786"/>
        <v>0</v>
      </c>
      <c r="Y2407" s="120" t="b">
        <f t="shared" si="1787"/>
        <v>0</v>
      </c>
      <c r="Z2407" s="117">
        <f t="shared" si="1788"/>
        <v>0</v>
      </c>
      <c r="AA2407" s="118"/>
      <c r="AB2407" s="118" t="str">
        <f t="shared" si="1789"/>
        <v/>
      </c>
      <c r="AC2407" s="712" t="str">
        <f>IF(AE2407="T2G","no charge",IF(AND(OR(PlanterYesMe="No",PlanterYesMe="N",PlanterYesMe="me"),H2407=""),"",IF(H2407="credit","NO install",IF(AND(K2407="",AE2407="me"),"EACH row",IF(AND(K2407="images",AE2407="me"),"EACH row",IF(D2407="","",IF(H2407="credit","",IF(AE2407="free","re-planting",IF(AE2407="me","   not ELP, by",IF(AND(OR(PlanterYesMe="Yes",PlanterYesMe="Y"),G2407&gt;0),(VLOOKUP(A2407,'Discount Lookup'!J:K,2)*G2407*(1-PlanterDiscount)*(1+PlanterDifficultyPercentage)),IF(AE2407="ELP",(VLOOKUP(A2407,'Discount Lookup'!J:K,2)*G2407*(1-PlanterDiscount)*(1+PlanterDifficultyPercentage)),IF(AE2407="free","re-planting",IF(G2407=0,"",IF(PlanterYesMe="",IF(AE2407="me","   not ELP, by",IF(AE2407="",IF(G2407&gt;0,(VLOOKUP(A2407,'Discount Lookup'!J:K,2)*G2407*(1-PlanterDiscount)*(1+PlanterDifficultyPercentage)),""),"")),"   not ELP, by"))))))))))))))</f>
        <v/>
      </c>
      <c r="AD2407" s="712"/>
      <c r="AE2407" s="513" t="str">
        <f t="shared" si="1790"/>
        <v/>
      </c>
      <c r="AF2407" s="713" t="str">
        <f t="shared" si="1791"/>
        <v/>
      </c>
      <c r="AG2407" s="713"/>
      <c r="AH2407" s="713"/>
      <c r="AI2407" s="112">
        <f>IF(H2407="credit",0,IF(AE2407="free",0,IF(AE2407="me",0,IF(G2407&gt;0,(VLOOKUP(A2407,'Discount Lookup'!J:K,2)*G2407),0))))</f>
        <v>0</v>
      </c>
      <c r="AJ2407" s="107" t="str">
        <f t="shared" ca="1" si="1792"/>
        <v/>
      </c>
      <c r="AK2407" s="714" t="str">
        <f t="shared" si="1793"/>
        <v/>
      </c>
      <c r="AL2407" s="714"/>
      <c r="AM2407" s="114" t="str">
        <f t="shared" si="1794"/>
        <v/>
      </c>
      <c r="AN2407" s="115"/>
      <c r="AO2407" s="116"/>
      <c r="AP2407" s="116"/>
      <c r="AQ2407" s="116"/>
      <c r="AR2407" s="116"/>
      <c r="AS2407" s="116"/>
      <c r="AT2407" s="116"/>
      <c r="AU2407" s="116"/>
      <c r="AV2407" s="78"/>
      <c r="AW2407" s="102"/>
      <c r="AX2407" s="78"/>
      <c r="AY2407" s="78"/>
      <c r="AZ2407" s="78"/>
      <c r="BA2407" s="78"/>
      <c r="BB2407" s="78"/>
      <c r="BC2407" s="78"/>
      <c r="BD2407" s="78"/>
      <c r="BE2407" s="465"/>
      <c r="BF2407" s="165" t="str">
        <f t="shared" si="1795"/>
        <v>https://www.google.com/search?tbm=isch&amp;q=3%20G2</v>
      </c>
      <c r="BG2407" s="165" t="str">
        <f t="shared" si="1796"/>
        <v>J</v>
      </c>
      <c r="BH2407" s="65"/>
      <c r="BI2407" s="65"/>
      <c r="BJ2407" s="65"/>
      <c r="BK2407" s="65"/>
      <c r="BL2407" s="99"/>
      <c r="BM2407" s="99"/>
      <c r="BN2407" s="99"/>
    </row>
    <row r="2408" spans="1:66" s="51" customFormat="1" ht="15.75" x14ac:dyDescent="0.25">
      <c r="A2408" s="478">
        <v>7</v>
      </c>
      <c r="B2408" s="479" t="s">
        <v>291</v>
      </c>
      <c r="C2408" s="480" t="s">
        <v>762</v>
      </c>
      <c r="D2408" s="481" t="s">
        <v>311</v>
      </c>
      <c r="E2408" s="482">
        <v>68.95</v>
      </c>
      <c r="F2408" s="483" t="s">
        <v>292</v>
      </c>
      <c r="G2408" s="484">
        <v>0</v>
      </c>
      <c r="H2408" s="688" t="str">
        <f>IF(G2408=0,"",IF(F2408="Buy",IF(G2408=1,"plant","plants"),IF(F2408&gt;0.01,"warranty","Error")))</f>
        <v/>
      </c>
      <c r="I2408" s="485">
        <f>IF(H2408="free",0,IF(H2408="credit",((E2408*(F2408))*G2408*-1),IF(F2408="Buy",(E2408*G2408),((E2408*(1-F2408))*G2408))))</f>
        <v>0</v>
      </c>
      <c r="J2408" s="485">
        <f>IF(H2408="warranty",0,(I2408*(_xlfn.SINGLE(SalesTaxPercentage))))</f>
        <v>0</v>
      </c>
      <c r="K2408" s="715">
        <f t="shared" ref="K2408" si="1804">I2408+J2408</f>
        <v>0</v>
      </c>
      <c r="L2408" s="715"/>
      <c r="M2408" s="689" t="str">
        <f ca="1">IF(AND(G2408&gt;0,E2408=0),"WARNING - no PRICE inserted",IF(H2408="free","FREE ~ no charge this plant",IF(H2408="credit",CONCATENATE("-$",ROUND(K2408*(1-_xlfn.SINGLE(T2GDiscount))*-1,2)," CREDIT after discount"),IF(_xlfn.SINGLE(T2GDiscount)=0,"",IF(G2408=0,"",IF(F2408="Buy",CONCATENATE("$",ROUND(K2408*(1-_xlfn.SINGLE(T2GDiscount)),2)," with ",(_xlfn.SINGLE(T2GDiscount)*100),"% discount"),CONCATENATE("$",ROUND(K2408*(1-_xlfn.SINGLE(T2GDiscount)),2)," with ",((_xlfn.SINGLE(T2GDiscount)*100+F2408*100)-(_xlfn.SINGLE(T2GDiscount)*100*F2408)),IF(F2408&gt;0,"% discounts",IF(_xlfn.SINGLE(NoWarrantyDiscount)&gt;0,"% discounts","% discount")))))))))</f>
        <v/>
      </c>
      <c r="N2408" s="690"/>
      <c r="O2408" s="486"/>
      <c r="P2408" s="486"/>
      <c r="Q2408" s="486"/>
      <c r="R2408" s="486"/>
      <c r="S2408" s="486"/>
      <c r="T2408" s="102">
        <f t="shared" si="1784"/>
        <v>0</v>
      </c>
      <c r="U2408" s="78">
        <f>IF(NOT(ISNUMBER(G2408)), "", VLOOKUP(A2408,'Discount Lookup'!D:E,2,FALSE)*G2408)</f>
        <v>0</v>
      </c>
      <c r="V2408" s="78">
        <f>IF(NOT(ISNUMBER(G2408)), "", VLOOKUP(A2408,'Discount Lookup'!G:H,2,FALSE)*G2408)</f>
        <v>0</v>
      </c>
      <c r="W2408" s="102">
        <f t="shared" si="1785"/>
        <v>0</v>
      </c>
      <c r="X2408" s="102">
        <f t="shared" si="1786"/>
        <v>0</v>
      </c>
      <c r="Y2408" s="120" t="b">
        <f t="shared" si="1787"/>
        <v>0</v>
      </c>
      <c r="Z2408" s="117">
        <f t="shared" si="1788"/>
        <v>0</v>
      </c>
      <c r="AA2408" s="118"/>
      <c r="AB2408" s="118" t="str">
        <f t="shared" si="1789"/>
        <v/>
      </c>
      <c r="AC2408" s="712" t="str">
        <f>IF(AE2408="T2G","no charge",IF(AND(OR(PlanterYesMe="No",PlanterYesMe="N",PlanterYesMe="me"),H2408=""),"",IF(H2408="credit","NO install",IF(AND(K2408="",AE2408="me"),"EACH row",IF(AND(K2408="images",AE2408="me"),"EACH row",IF(D2408="","",IF(H2408="credit","",IF(AE2408="free","re-planting",IF(AE2408="me","   not ELP, by",IF(AND(OR(PlanterYesMe="Yes",PlanterYesMe="Y"),G2408&gt;0),(VLOOKUP(A2408,'Discount Lookup'!J:K,2)*G2408*(1-PlanterDiscount)*(1+PlanterDifficultyPercentage)),IF(AE2408="ELP",(VLOOKUP(A2408,'Discount Lookup'!J:K,2)*G2408*(1-PlanterDiscount)*(1+PlanterDifficultyPercentage)),IF(AE2408="free","re-planting",IF(G2408=0,"",IF(PlanterYesMe="",IF(AE2408="me","   not ELP, by",IF(AE2408="",IF(G2408&gt;0,(VLOOKUP(A2408,'Discount Lookup'!J:K,2)*G2408*(1-PlanterDiscount)*(1+PlanterDifficultyPercentage)),""),"")),"   not ELP, by"))))))))))))))</f>
        <v/>
      </c>
      <c r="AD2408" s="712"/>
      <c r="AE2408" s="513" t="str">
        <f t="shared" si="1790"/>
        <v/>
      </c>
      <c r="AF2408" s="713" t="str">
        <f t="shared" si="1791"/>
        <v/>
      </c>
      <c r="AG2408" s="713"/>
      <c r="AH2408" s="713"/>
      <c r="AI2408" s="112">
        <f>IF(H2408="credit",0,IF(AE2408="free",0,IF(AE2408="me",0,IF(G2408&gt;0,(VLOOKUP(A2408,'Discount Lookup'!J:K,2)*G2408),0))))</f>
        <v>0</v>
      </c>
      <c r="AJ2408" s="107" t="str">
        <f t="shared" ca="1" si="1792"/>
        <v/>
      </c>
      <c r="AK2408" s="714" t="str">
        <f t="shared" si="1793"/>
        <v/>
      </c>
      <c r="AL2408" s="714"/>
      <c r="AM2408" s="114" t="str">
        <f t="shared" si="1794"/>
        <v/>
      </c>
      <c r="AN2408" s="115"/>
      <c r="AO2408" s="116"/>
      <c r="AP2408" s="116"/>
      <c r="AQ2408" s="116"/>
      <c r="AR2408" s="116"/>
      <c r="AS2408" s="116"/>
      <c r="AT2408" s="116"/>
      <c r="AU2408" s="116"/>
      <c r="AV2408" s="78"/>
      <c r="AW2408" s="102"/>
      <c r="AX2408" s="78"/>
      <c r="AY2408" s="78"/>
      <c r="AZ2408" s="78"/>
      <c r="BA2408" s="78"/>
      <c r="BB2408" s="78"/>
      <c r="BC2408" s="78"/>
      <c r="BD2408" s="78"/>
      <c r="BE2408" s="465"/>
      <c r="BF2408" s="165" t="str">
        <f t="shared" si="1795"/>
        <v>https://www.google.com/search?tbm=isch&amp;q=7%20G5</v>
      </c>
      <c r="BG2408" s="165" t="str">
        <f t="shared" si="1796"/>
        <v>J</v>
      </c>
      <c r="BH2408" s="65"/>
      <c r="BI2408" s="65"/>
      <c r="BJ2408" s="65"/>
      <c r="BK2408" s="65"/>
      <c r="BL2408" s="99"/>
      <c r="BM2408" s="99"/>
      <c r="BN2408" s="99"/>
    </row>
    <row r="2409" spans="1:66" s="51" customFormat="1" ht="27" x14ac:dyDescent="0.25">
      <c r="A2409" s="478">
        <v>7</v>
      </c>
      <c r="B2409" s="479" t="s">
        <v>291</v>
      </c>
      <c r="C2409" s="480" t="s">
        <v>960</v>
      </c>
      <c r="D2409" s="481" t="s">
        <v>299</v>
      </c>
      <c r="E2409" s="482">
        <v>86.95</v>
      </c>
      <c r="F2409" s="483" t="s">
        <v>292</v>
      </c>
      <c r="G2409" s="484">
        <v>0</v>
      </c>
      <c r="H2409" s="688" t="str">
        <f>IF(G2409=0,"",IF(F2409="Buy",IF(G2409=1,"plant","plants"),IF(F2409&gt;0.01,"warranty","Error")))</f>
        <v/>
      </c>
      <c r="I2409" s="485">
        <f>IF(H2409="free",0,IF(H2409="credit",((E2409*(F2409))*G2409*-1),IF(F2409="Buy",(E2409*G2409),((E2409*(1-F2409))*G2409))))</f>
        <v>0</v>
      </c>
      <c r="J2409" s="485">
        <f>IF(H2409="warranty",0,(I2409*(_xlfn.SINGLE(SalesTaxPercentage))))</f>
        <v>0</v>
      </c>
      <c r="K2409" s="715">
        <f t="shared" ref="K2409" si="1805">I2409+J2409</f>
        <v>0</v>
      </c>
      <c r="L2409" s="715"/>
      <c r="M2409" s="689" t="str">
        <f ca="1">IF(AND(G2409&gt;0,E2409=0),"WARNING - no PRICE inserted",IF(H2409="free","FREE ~ no charge this plant",IF(H2409="credit",CONCATENATE("-$",ROUND(K2409*(1-_xlfn.SINGLE(T2GDiscount))*-1,2)," CREDIT after discount"),IF(_xlfn.SINGLE(T2GDiscount)=0,"",IF(G2409=0,"",IF(F2409="Buy",CONCATENATE("$",ROUND(K2409*(1-_xlfn.SINGLE(T2GDiscount)),2)," with ",(_xlfn.SINGLE(T2GDiscount)*100),"% discount"),CONCATENATE("$",ROUND(K2409*(1-_xlfn.SINGLE(T2GDiscount)),2)," with ",((_xlfn.SINGLE(T2GDiscount)*100+F2409*100)-(_xlfn.SINGLE(T2GDiscount)*100*F2409)),IF(F2409&gt;0,"% discounts",IF(_xlfn.SINGLE(NoWarrantyDiscount)&gt;0,"% discounts","% discount")))))))))</f>
        <v/>
      </c>
      <c r="N2409" s="690"/>
      <c r="O2409" s="486"/>
      <c r="P2409" s="486"/>
      <c r="Q2409" s="486"/>
      <c r="R2409" s="486"/>
      <c r="S2409" s="486"/>
      <c r="T2409" s="102">
        <f t="shared" si="1784"/>
        <v>0</v>
      </c>
      <c r="U2409" s="78">
        <f>IF(NOT(ISNUMBER(G2409)), "", VLOOKUP(A2409,'Discount Lookup'!D:E,2,FALSE)*G2409)</f>
        <v>0</v>
      </c>
      <c r="V2409" s="78">
        <f>IF(NOT(ISNUMBER(G2409)), "", VLOOKUP(A2409,'Discount Lookup'!G:H,2,FALSE)*G2409)</f>
        <v>0</v>
      </c>
      <c r="W2409" s="102">
        <f t="shared" si="1785"/>
        <v>0</v>
      </c>
      <c r="X2409" s="102">
        <f t="shared" si="1786"/>
        <v>0</v>
      </c>
      <c r="Y2409" s="120" t="b">
        <f t="shared" si="1787"/>
        <v>0</v>
      </c>
      <c r="Z2409" s="117">
        <f t="shared" si="1788"/>
        <v>0</v>
      </c>
      <c r="AA2409" s="118"/>
      <c r="AB2409" s="118" t="str">
        <f t="shared" si="1789"/>
        <v/>
      </c>
      <c r="AC2409" s="712" t="str">
        <f>IF(AE2409="T2G","no charge",IF(AND(OR(PlanterYesMe="No",PlanterYesMe="N",PlanterYesMe="me"),H2409=""),"",IF(H2409="credit","NO install",IF(AND(K2409="",AE2409="me"),"EACH row",IF(AND(K2409="images",AE2409="me"),"EACH row",IF(D2409="","",IF(H2409="credit","",IF(AE2409="free","re-planting",IF(AE2409="me","   not ELP, by",IF(AND(OR(PlanterYesMe="Yes",PlanterYesMe="Y"),G2409&gt;0),(VLOOKUP(A2409,'Discount Lookup'!J:K,2)*G2409*(1-PlanterDiscount)*(1+PlanterDifficultyPercentage)),IF(AE2409="ELP",(VLOOKUP(A2409,'Discount Lookup'!J:K,2)*G2409*(1-PlanterDiscount)*(1+PlanterDifficultyPercentage)),IF(AE2409="free","re-planting",IF(G2409=0,"",IF(PlanterYesMe="",IF(AE2409="me","   not ELP, by",IF(AE2409="",IF(G2409&gt;0,(VLOOKUP(A2409,'Discount Lookup'!J:K,2)*G2409*(1-PlanterDiscount)*(1+PlanterDifficultyPercentage)),""),"")),"   not ELP, by"))))))))))))))</f>
        <v/>
      </c>
      <c r="AD2409" s="712"/>
      <c r="AE2409" s="513" t="str">
        <f t="shared" si="1790"/>
        <v/>
      </c>
      <c r="AF2409" s="713" t="str">
        <f t="shared" si="1791"/>
        <v/>
      </c>
      <c r="AG2409" s="713"/>
      <c r="AH2409" s="713"/>
      <c r="AI2409" s="112">
        <f>IF(H2409="credit",0,IF(AE2409="free",0,IF(AE2409="me",0,IF(G2409&gt;0,(VLOOKUP(A2409,'Discount Lookup'!J:K,2)*G2409),0))))</f>
        <v>0</v>
      </c>
      <c r="AJ2409" s="107" t="str">
        <f t="shared" ca="1" si="1792"/>
        <v/>
      </c>
      <c r="AK2409" s="714" t="str">
        <f t="shared" si="1793"/>
        <v/>
      </c>
      <c r="AL2409" s="714"/>
      <c r="AM2409" s="114" t="str">
        <f t="shared" si="1794"/>
        <v/>
      </c>
      <c r="AN2409" s="115"/>
      <c r="AO2409" s="116"/>
      <c r="AP2409" s="116"/>
      <c r="AQ2409" s="116"/>
      <c r="AR2409" s="116"/>
      <c r="AS2409" s="116"/>
      <c r="AT2409" s="116"/>
      <c r="AU2409" s="116"/>
      <c r="AV2409" s="78"/>
      <c r="AW2409" s="102"/>
      <c r="AX2409" s="78"/>
      <c r="AY2409" s="78"/>
      <c r="AZ2409" s="78"/>
      <c r="BA2409" s="78"/>
      <c r="BB2409" s="78"/>
      <c r="BC2409" s="78"/>
      <c r="BD2409" s="78"/>
      <c r="BE2409" s="465"/>
      <c r="BF2409" s="165" t="str">
        <f t="shared" si="1795"/>
        <v>https://www.google.com/search?tbm=isch&amp;q=7%20G4</v>
      </c>
      <c r="BG2409" s="165" t="str">
        <f t="shared" si="1796"/>
        <v>J</v>
      </c>
      <c r="BH2409" s="65"/>
      <c r="BI2409" s="65"/>
      <c r="BJ2409" s="65"/>
      <c r="BK2409" s="65"/>
      <c r="BL2409" s="99"/>
      <c r="BM2409" s="99"/>
      <c r="BN2409" s="99"/>
    </row>
    <row r="2410" spans="1:66" s="51" customFormat="1" ht="15.75" x14ac:dyDescent="0.25">
      <c r="A2410" s="478">
        <v>15</v>
      </c>
      <c r="B2410" s="479" t="s">
        <v>291</v>
      </c>
      <c r="C2410" s="480" t="s">
        <v>4625</v>
      </c>
      <c r="D2410" s="481" t="s">
        <v>293</v>
      </c>
      <c r="E2410" s="482">
        <v>126.95</v>
      </c>
      <c r="F2410" s="483" t="s">
        <v>292</v>
      </c>
      <c r="G2410" s="484">
        <v>0</v>
      </c>
      <c r="H2410" s="688" t="str">
        <f>IF(G2410=0,"",IF(F2410="Buy",IF(G2410=1,"plant","plants"),IF(F2410&gt;0.01,"warranty","Error")))</f>
        <v/>
      </c>
      <c r="I2410" s="485">
        <f>IF(H2410="free",0,IF(H2410="credit",((E2410*(F2410))*G2410*-1),IF(F2410="Buy",(E2410*G2410),((E2410*(1-F2410))*G2410))))</f>
        <v>0</v>
      </c>
      <c r="J2410" s="485">
        <f>IF(H2410="warranty",0,(I2410*(_xlfn.SINGLE(SalesTaxPercentage))))</f>
        <v>0</v>
      </c>
      <c r="K2410" s="715">
        <f t="shared" ref="K2410" si="1806">I2410+J2410</f>
        <v>0</v>
      </c>
      <c r="L2410" s="715"/>
      <c r="M2410" s="689" t="str">
        <f ca="1">IF(AND(G2410&gt;0,E2410=0),"WARNING - no PRICE inserted",IF(H2410="free","FREE ~ no charge this plant",IF(H2410="credit",CONCATENATE("-$",ROUND(K2410*(1-_xlfn.SINGLE(T2GDiscount))*-1,2)," CREDIT after discount"),IF(_xlfn.SINGLE(T2GDiscount)=0,"",IF(G2410=0,"",IF(F2410="Buy",CONCATENATE("$",ROUND(K2410*(1-_xlfn.SINGLE(T2GDiscount)),2)," with ",(_xlfn.SINGLE(T2GDiscount)*100),"% discount"),CONCATENATE("$",ROUND(K2410*(1-_xlfn.SINGLE(T2GDiscount)),2)," with ",((_xlfn.SINGLE(T2GDiscount)*100+F2410*100)-(_xlfn.SINGLE(T2GDiscount)*100*F2410)),IF(F2410&gt;0,"% discounts",IF(_xlfn.SINGLE(NoWarrantyDiscount)&gt;0,"% discounts","% discount")))))))))</f>
        <v/>
      </c>
      <c r="N2410" s="690"/>
      <c r="O2410" s="486"/>
      <c r="P2410" s="486"/>
      <c r="Q2410" s="486"/>
      <c r="R2410" s="486"/>
      <c r="S2410" s="486"/>
      <c r="T2410" s="102">
        <f t="shared" si="1784"/>
        <v>0</v>
      </c>
      <c r="U2410" s="78">
        <f>IF(NOT(ISNUMBER(G2410)), "", VLOOKUP(A2410,'Discount Lookup'!D:E,2,FALSE)*G2410)</f>
        <v>0</v>
      </c>
      <c r="V2410" s="78">
        <f>IF(NOT(ISNUMBER(G2410)), "", VLOOKUP(A2410,'Discount Lookup'!G:H,2,FALSE)*G2410)</f>
        <v>0</v>
      </c>
      <c r="W2410" s="102">
        <f t="shared" si="1785"/>
        <v>0</v>
      </c>
      <c r="X2410" s="102">
        <f t="shared" si="1786"/>
        <v>0</v>
      </c>
      <c r="Y2410" s="120" t="b">
        <f t="shared" si="1787"/>
        <v>0</v>
      </c>
      <c r="Z2410" s="117">
        <f t="shared" si="1788"/>
        <v>0</v>
      </c>
      <c r="AA2410" s="118"/>
      <c r="AB2410" s="118" t="str">
        <f t="shared" si="1789"/>
        <v/>
      </c>
      <c r="AC2410" s="712" t="str">
        <f>IF(AE2410="T2G","no charge",IF(AND(OR(PlanterYesMe="No",PlanterYesMe="N",PlanterYesMe="me"),H2410=""),"",IF(H2410="credit","NO install",IF(AND(K2410="",AE2410="me"),"EACH row",IF(AND(K2410="images",AE2410="me"),"EACH row",IF(D2410="","",IF(H2410="credit","",IF(AE2410="free","re-planting",IF(AE2410="me","   not ELP, by",IF(AND(OR(PlanterYesMe="Yes",PlanterYesMe="Y"),G2410&gt;0),(VLOOKUP(A2410,'Discount Lookup'!J:K,2)*G2410*(1-PlanterDiscount)*(1+PlanterDifficultyPercentage)),IF(AE2410="ELP",(VLOOKUP(A2410,'Discount Lookup'!J:K,2)*G2410*(1-PlanterDiscount)*(1+PlanterDifficultyPercentage)),IF(AE2410="free","re-planting",IF(G2410=0,"",IF(PlanterYesMe="",IF(AE2410="me","   not ELP, by",IF(AE2410="",IF(G2410&gt;0,(VLOOKUP(A2410,'Discount Lookup'!J:K,2)*G2410*(1-PlanterDiscount)*(1+PlanterDifficultyPercentage)),""),"")),"   not ELP, by"))))))))))))))</f>
        <v/>
      </c>
      <c r="AD2410" s="712"/>
      <c r="AE2410" s="513" t="str">
        <f t="shared" si="1790"/>
        <v/>
      </c>
      <c r="AF2410" s="713" t="str">
        <f t="shared" si="1791"/>
        <v/>
      </c>
      <c r="AG2410" s="713"/>
      <c r="AH2410" s="713"/>
      <c r="AI2410" s="112">
        <f>IF(H2410="credit",0,IF(AE2410="free",0,IF(AE2410="me",0,IF(G2410&gt;0,(VLOOKUP(A2410,'Discount Lookup'!J:K,2)*G2410),0))))</f>
        <v>0</v>
      </c>
      <c r="AJ2410" s="107" t="str">
        <f t="shared" ca="1" si="1792"/>
        <v/>
      </c>
      <c r="AK2410" s="714" t="str">
        <f t="shared" si="1793"/>
        <v/>
      </c>
      <c r="AL2410" s="714"/>
      <c r="AM2410" s="114" t="str">
        <f t="shared" si="1794"/>
        <v/>
      </c>
      <c r="AN2410" s="115"/>
      <c r="AO2410" s="116"/>
      <c r="AP2410" s="116"/>
      <c r="AQ2410" s="116"/>
      <c r="AR2410" s="116"/>
      <c r="AS2410" s="116"/>
      <c r="AT2410" s="116"/>
      <c r="AU2410" s="116"/>
      <c r="AV2410" s="78"/>
      <c r="AW2410" s="102"/>
      <c r="AX2410" s="78"/>
      <c r="AY2410" s="78"/>
      <c r="AZ2410" s="78"/>
      <c r="BA2410" s="78"/>
      <c r="BB2410" s="78"/>
      <c r="BC2410" s="78"/>
      <c r="BD2410" s="78"/>
      <c r="BE2410" s="465"/>
      <c r="BF2410" s="165" t="str">
        <f t="shared" si="1795"/>
        <v>https://www.google.com/search?tbm=isch&amp;q=15%20G6</v>
      </c>
      <c r="BG2410" s="165" t="str">
        <f t="shared" si="1796"/>
        <v>J</v>
      </c>
      <c r="BH2410" s="65"/>
      <c r="BI2410" s="65"/>
      <c r="BJ2410" s="65"/>
      <c r="BK2410" s="65"/>
      <c r="BL2410" s="99"/>
      <c r="BM2410" s="99"/>
      <c r="BN2410" s="99"/>
    </row>
    <row r="2411" spans="1:66" s="51" customFormat="1" ht="16.5" thickBot="1" x14ac:dyDescent="0.3">
      <c r="A2411" s="508" t="s">
        <v>830</v>
      </c>
      <c r="B2411" s="487"/>
      <c r="C2411" s="707"/>
      <c r="D2411" s="487"/>
      <c r="E2411" s="487"/>
      <c r="F2411" s="488"/>
      <c r="G2411" s="489"/>
      <c r="H2411" s="487"/>
      <c r="I2411" s="490"/>
      <c r="J2411" s="490"/>
      <c r="K2411" s="491"/>
      <c r="L2411" s="547"/>
      <c r="M2411" s="528"/>
      <c r="N2411" s="492"/>
      <c r="O2411" s="493"/>
      <c r="P2411" s="494"/>
      <c r="Q2411" s="492"/>
      <c r="R2411" s="492"/>
      <c r="S2411" s="699" t="s">
        <v>5259</v>
      </c>
      <c r="T2411" s="102">
        <f t="shared" si="1784"/>
        <v>0</v>
      </c>
      <c r="U2411" s="78" t="str">
        <f>IF(NOT(ISNUMBER(G2411)), "", VLOOKUP(A2411,'Discount Lookup'!D:E,2,FALSE)*G2411)</f>
        <v/>
      </c>
      <c r="V2411" s="78" t="str">
        <f>IF(NOT(ISNUMBER(G2411)), "", VLOOKUP(A2411,'Discount Lookup'!G:H,2,FALSE)*G2411)</f>
        <v/>
      </c>
      <c r="W2411" s="102">
        <f t="shared" si="1785"/>
        <v>0</v>
      </c>
      <c r="X2411" s="102">
        <f t="shared" si="1786"/>
        <v>0</v>
      </c>
      <c r="Y2411" s="120" t="b">
        <f t="shared" si="1787"/>
        <v>0</v>
      </c>
      <c r="Z2411" s="117">
        <f t="shared" si="1788"/>
        <v>0</v>
      </c>
      <c r="AA2411" s="118"/>
      <c r="AB2411" s="118" t="str">
        <f t="shared" si="1789"/>
        <v/>
      </c>
      <c r="AC2411" s="712" t="str">
        <f>IF(AE2411="T2G","no charge",IF(AND(OR(PlanterYesMe="No",PlanterYesMe="N",PlanterYesMe="me"),H2411=""),"",IF(H2411="credit","NO install",IF(AND(K2411="",AE2411="me"),"EACH row",IF(AND(K2411="images",AE2411="me"),"EACH row",IF(D2411="","",IF(H2411="credit","",IF(AE2411="free","re-planting",IF(AE2411="me","   not ELP, by",IF(AND(OR(PlanterYesMe="Yes",PlanterYesMe="Y"),G2411&gt;0),(VLOOKUP(A2411,'Discount Lookup'!J:K,2)*G2411*(1-PlanterDiscount)*(1+PlanterDifficultyPercentage)),IF(AE2411="ELP",(VLOOKUP(A2411,'Discount Lookup'!J:K,2)*G2411*(1-PlanterDiscount)*(1+PlanterDifficultyPercentage)),IF(AE2411="free","re-planting",IF(G2411=0,"",IF(PlanterYesMe="",IF(AE2411="me","   not ELP, by",IF(AE2411="",IF(G2411&gt;0,(VLOOKUP(A2411,'Discount Lookup'!J:K,2)*G2411*(1-PlanterDiscount)*(1+PlanterDifficultyPercentage)),""),"")),"   not ELP, by"))))))))))))))</f>
        <v/>
      </c>
      <c r="AD2411" s="712"/>
      <c r="AE2411" s="513" t="str">
        <f t="shared" si="1790"/>
        <v/>
      </c>
      <c r="AF2411" s="713" t="str">
        <f t="shared" si="1791"/>
        <v/>
      </c>
      <c r="AG2411" s="713"/>
      <c r="AH2411" s="713"/>
      <c r="AI2411" s="112">
        <f>IF(H2411="credit",0,IF(AE2411="free",0,IF(AE2411="me",0,IF(G2411&gt;0,(VLOOKUP(A2411,'Discount Lookup'!J:K,2)*G2411),0))))</f>
        <v>0</v>
      </c>
      <c r="AJ2411" s="107" t="str">
        <f t="shared" ca="1" si="1792"/>
        <v/>
      </c>
      <c r="AK2411" s="714" t="str">
        <f t="shared" si="1793"/>
        <v/>
      </c>
      <c r="AL2411" s="714"/>
      <c r="AM2411" s="114" t="str">
        <f t="shared" si="1794"/>
        <v/>
      </c>
      <c r="AN2411" s="115"/>
      <c r="AO2411" s="116"/>
      <c r="AP2411" s="116"/>
      <c r="AQ2411" s="116"/>
      <c r="AR2411" s="116"/>
      <c r="AS2411" s="116"/>
      <c r="AT2411" s="116"/>
      <c r="AU2411" s="116"/>
      <c r="AV2411" s="78"/>
      <c r="AW2411" s="102"/>
      <c r="AX2411" s="78"/>
      <c r="AY2411" s="78"/>
      <c r="AZ2411" s="78"/>
      <c r="BA2411" s="78"/>
      <c r="BB2411" s="78"/>
      <c r="BC2411" s="78"/>
      <c r="BD2411" s="78"/>
      <c r="BE2411" s="465"/>
      <c r="BF2411" s="165" t="str">
        <f t="shared" si="1795"/>
        <v>https://www.google.com/search?tbm=isch&amp;q=Blue%20Point%20maintains%20a%20dense%2C%20pyramidal%20form%2C%20with%20very%20little%20pruning.%20Reddish-Brown%20bark%20slightly%20peels%20with%20age.%20Sun%2Fheat%2Fdrought%20tolerant%20</v>
      </c>
      <c r="BG2411" s="165" t="str">
        <f t="shared" si="1796"/>
        <v>B</v>
      </c>
      <c r="BH2411" s="65"/>
      <c r="BI2411" s="65"/>
      <c r="BJ2411" s="65"/>
      <c r="BK2411" s="65"/>
      <c r="BL2411" s="99"/>
      <c r="BM2411" s="99"/>
      <c r="BN2411" s="99"/>
    </row>
    <row r="2412" spans="1:66" s="51" customFormat="1" ht="18" x14ac:dyDescent="0.25">
      <c r="A2412" s="507" t="s">
        <v>3089</v>
      </c>
      <c r="B2412" s="470"/>
      <c r="C2412" s="706"/>
      <c r="D2412" s="471" t="s">
        <v>3090</v>
      </c>
      <c r="E2412" s="472"/>
      <c r="F2412" s="472"/>
      <c r="G2412" s="472"/>
      <c r="H2412" s="622" t="s">
        <v>2396</v>
      </c>
      <c r="I2412" s="473" t="s">
        <v>443</v>
      </c>
      <c r="J2412" s="472"/>
      <c r="K2412" s="472"/>
      <c r="L2412" s="561"/>
      <c r="M2412" s="698" t="s">
        <v>5240</v>
      </c>
      <c r="N2412" s="692" t="str">
        <f>IF(AND(ISTEXT($A2412), ISERROR($A2412+0)), HYPERLINK($BF2412, "Images"), "")</f>
        <v>Images</v>
      </c>
      <c r="O2412" s="694" t="s">
        <v>5244</v>
      </c>
      <c r="P2412" s="475"/>
      <c r="Q2412" s="476"/>
      <c r="R2412" s="476"/>
      <c r="S2412" s="477"/>
      <c r="T2412" s="102">
        <f t="shared" si="1784"/>
        <v>0</v>
      </c>
      <c r="U2412" s="78" t="str">
        <f>IF(NOT(ISNUMBER(G2412)), "", VLOOKUP(A2412,'Discount Lookup'!D:E,2,FALSE)*G2412)</f>
        <v/>
      </c>
      <c r="V2412" s="78" t="str">
        <f>IF(NOT(ISNUMBER(G2412)), "", VLOOKUP(A2412,'Discount Lookup'!G:H,2,FALSE)*G2412)</f>
        <v/>
      </c>
      <c r="W2412" s="102">
        <f t="shared" si="1785"/>
        <v>0</v>
      </c>
      <c r="X2412" s="102" t="str">
        <f t="shared" si="1786"/>
        <v>Golden-Yellow foliage</v>
      </c>
      <c r="Y2412" s="120" t="b">
        <f t="shared" si="1787"/>
        <v>0</v>
      </c>
      <c r="Z2412" s="117">
        <f t="shared" si="1788"/>
        <v>0</v>
      </c>
      <c r="AA2412" s="118"/>
      <c r="AB2412" s="118" t="str">
        <f t="shared" si="1789"/>
        <v/>
      </c>
      <c r="AC2412" s="712" t="str">
        <f>IF(AE2412="T2G","no charge",IF(AND(OR(PlanterYesMe="No",PlanterYesMe="N",PlanterYesMe="me"),H2412=""),"",IF(H2412="credit","NO install",IF(AND(K2412="",AE2412="me"),"EACH row",IF(AND(K2412="images",AE2412="me"),"EACH row",IF(D2412="","",IF(H2412="credit","",IF(AE2412="free","re-planting",IF(AE2412="me","   not ELP, by",IF(AND(OR(PlanterYesMe="Yes",PlanterYesMe="Y"),G2412&gt;0),(VLOOKUP(A2412,'Discount Lookup'!J:K,2)*G2412*(1-PlanterDiscount)*(1+PlanterDifficultyPercentage)),IF(AE2412="ELP",(VLOOKUP(A2412,'Discount Lookup'!J:K,2)*G2412*(1-PlanterDiscount)*(1+PlanterDifficultyPercentage)),IF(AE2412="free","re-planting",IF(G2412=0,"",IF(PlanterYesMe="",IF(AE2412="me","   not ELP, by",IF(AE2412="",IF(G2412&gt;0,(VLOOKUP(A2412,'Discount Lookup'!J:K,2)*G2412*(1-PlanterDiscount)*(1+PlanterDifficultyPercentage)),""),"")),"   not ELP, by"))))))))))))))</f>
        <v/>
      </c>
      <c r="AD2412" s="712"/>
      <c r="AE2412" s="513" t="str">
        <f t="shared" si="1790"/>
        <v/>
      </c>
      <c r="AF2412" s="713" t="str">
        <f t="shared" si="1791"/>
        <v/>
      </c>
      <c r="AG2412" s="713"/>
      <c r="AH2412" s="713"/>
      <c r="AI2412" s="112">
        <f>IF(H2412="credit",0,IF(AE2412="free",0,IF(AE2412="me",0,IF(G2412&gt;0,(VLOOKUP(A2412,'Discount Lookup'!J:K,2)*G2412),0))))</f>
        <v>0</v>
      </c>
      <c r="AJ2412" s="107" t="str">
        <f t="shared" ca="1" si="1792"/>
        <v/>
      </c>
      <c r="AK2412" s="714" t="str">
        <f t="shared" si="1793"/>
        <v/>
      </c>
      <c r="AL2412" s="714"/>
      <c r="AM2412" s="114" t="str">
        <f t="shared" si="1794"/>
        <v/>
      </c>
      <c r="AN2412" s="115"/>
      <c r="AO2412" s="116"/>
      <c r="AP2412" s="116"/>
      <c r="AQ2412" s="116"/>
      <c r="AR2412" s="116"/>
      <c r="AS2412" s="116"/>
      <c r="AT2412" s="116"/>
      <c r="AU2412" s="116"/>
      <c r="AV2412" s="78"/>
      <c r="AW2412" s="102"/>
      <c r="AX2412" s="78"/>
      <c r="AY2412" s="78"/>
      <c r="AZ2412" s="78"/>
      <c r="BA2412" s="78"/>
      <c r="BB2412" s="78"/>
      <c r="BC2412" s="78"/>
      <c r="BD2412" s="78"/>
      <c r="BE2412" s="465"/>
      <c r="BF2412" s="165" t="str">
        <f t="shared" si="1795"/>
        <v>https://www.google.com/search?tbm=isch&amp;q=Juniperus%20chinensis%20%27Gold%20Lace%27%20PP%238202Exp.%20Gold%20Lace%20Juniper</v>
      </c>
      <c r="BG2412" s="165" t="str">
        <f t="shared" si="1796"/>
        <v>J</v>
      </c>
      <c r="BH2412" s="65"/>
      <c r="BI2412" s="65"/>
      <c r="BJ2412" s="65"/>
      <c r="BK2412" s="65"/>
      <c r="BL2412" s="99"/>
      <c r="BM2412" s="99"/>
      <c r="BN2412" s="99"/>
    </row>
    <row r="2413" spans="1:66" s="51" customFormat="1" ht="15.75" x14ac:dyDescent="0.25">
      <c r="A2413" s="478">
        <v>3</v>
      </c>
      <c r="B2413" s="479" t="s">
        <v>291</v>
      </c>
      <c r="C2413" s="480"/>
      <c r="D2413" s="481" t="s">
        <v>310</v>
      </c>
      <c r="E2413" s="482">
        <v>25.95</v>
      </c>
      <c r="F2413" s="483" t="s">
        <v>292</v>
      </c>
      <c r="G2413" s="484">
        <v>0</v>
      </c>
      <c r="H2413" s="688" t="str">
        <f>IF(G2413=0,"",IF(F2413="Buy",IF(G2413=1,"plant","plants"),IF(F2413&gt;0.01,"warranty","Error")))</f>
        <v/>
      </c>
      <c r="I2413" s="485">
        <f>IF(H2413="free",0,IF(H2413="credit",((E2413*(F2413))*G2413*-1),IF(F2413="Buy",(E2413*G2413),((E2413*(1-F2413))*G2413))))</f>
        <v>0</v>
      </c>
      <c r="J2413" s="485">
        <f>IF(H2413="warranty",0,(I2413*(_xlfn.SINGLE(SalesTaxPercentage))))</f>
        <v>0</v>
      </c>
      <c r="K2413" s="715">
        <f t="shared" ref="K2413" si="1807">I2413+J2413</f>
        <v>0</v>
      </c>
      <c r="L2413" s="715"/>
      <c r="M2413" s="689" t="str">
        <f ca="1">IF(AND(G2413&gt;0,E2413=0),"WARNING - no PRICE inserted",IF(H2413="free","FREE ~ no charge this plant",IF(H2413="credit",CONCATENATE("-$",ROUND(K2413*(1-_xlfn.SINGLE(T2GDiscount))*-1,2)," CREDIT after discount"),IF(_xlfn.SINGLE(T2GDiscount)=0,"",IF(G2413=0,"",IF(F2413="Buy",CONCATENATE("$",ROUND(K2413*(1-_xlfn.SINGLE(T2GDiscount)),2)," with ",(_xlfn.SINGLE(T2GDiscount)*100),"% discount"),CONCATENATE("$",ROUND(K2413*(1-_xlfn.SINGLE(T2GDiscount)),2)," with ",((_xlfn.SINGLE(T2GDiscount)*100+F2413*100)-(_xlfn.SINGLE(T2GDiscount)*100*F2413)),IF(F2413&gt;0,"% discounts",IF(_xlfn.SINGLE(NoWarrantyDiscount)&gt;0,"% discounts","% discount")))))))))</f>
        <v/>
      </c>
      <c r="N2413" s="690"/>
      <c r="O2413" s="486"/>
      <c r="P2413" s="486"/>
      <c r="Q2413" s="486"/>
      <c r="R2413" s="486"/>
      <c r="S2413" s="486"/>
      <c r="T2413" s="102">
        <f t="shared" si="1784"/>
        <v>0</v>
      </c>
      <c r="U2413" s="78">
        <f>IF(NOT(ISNUMBER(G2413)), "", VLOOKUP(A2413,'Discount Lookup'!D:E,2,FALSE)*G2413)</f>
        <v>0</v>
      </c>
      <c r="V2413" s="78">
        <f>IF(NOT(ISNUMBER(G2413)), "", VLOOKUP(A2413,'Discount Lookup'!G:H,2,FALSE)*G2413)</f>
        <v>0</v>
      </c>
      <c r="W2413" s="102">
        <f t="shared" si="1785"/>
        <v>0</v>
      </c>
      <c r="X2413" s="102">
        <f t="shared" si="1786"/>
        <v>0</v>
      </c>
      <c r="Y2413" s="120" t="b">
        <f t="shared" si="1787"/>
        <v>0</v>
      </c>
      <c r="Z2413" s="117">
        <f t="shared" si="1788"/>
        <v>0</v>
      </c>
      <c r="AA2413" s="118"/>
      <c r="AB2413" s="118" t="str">
        <f t="shared" si="1789"/>
        <v/>
      </c>
      <c r="AC2413" s="712" t="str">
        <f>IF(AE2413="T2G","no charge",IF(AND(OR(PlanterYesMe="No",PlanterYesMe="N",PlanterYesMe="me"),H2413=""),"",IF(H2413="credit","NO install",IF(AND(K2413="",AE2413="me"),"EACH row",IF(AND(K2413="images",AE2413="me"),"EACH row",IF(D2413="","",IF(H2413="credit","",IF(AE2413="free","re-planting",IF(AE2413="me","   not ELP, by",IF(AND(OR(PlanterYesMe="Yes",PlanterYesMe="Y"),G2413&gt;0),(VLOOKUP(A2413,'Discount Lookup'!J:K,2)*G2413*(1-PlanterDiscount)*(1+PlanterDifficultyPercentage)),IF(AE2413="ELP",(VLOOKUP(A2413,'Discount Lookup'!J:K,2)*G2413*(1-PlanterDiscount)*(1+PlanterDifficultyPercentage)),IF(AE2413="free","re-planting",IF(G2413=0,"",IF(PlanterYesMe="",IF(AE2413="me","   not ELP, by",IF(AE2413="",IF(G2413&gt;0,(VLOOKUP(A2413,'Discount Lookup'!J:K,2)*G2413*(1-PlanterDiscount)*(1+PlanterDifficultyPercentage)),""),"")),"   not ELP, by"))))))))))))))</f>
        <v/>
      </c>
      <c r="AD2413" s="712"/>
      <c r="AE2413" s="513" t="str">
        <f t="shared" si="1790"/>
        <v/>
      </c>
      <c r="AF2413" s="713" t="str">
        <f t="shared" si="1791"/>
        <v/>
      </c>
      <c r="AG2413" s="713"/>
      <c r="AH2413" s="713"/>
      <c r="AI2413" s="112">
        <f>IF(H2413="credit",0,IF(AE2413="free",0,IF(AE2413="me",0,IF(G2413&gt;0,(VLOOKUP(A2413,'Discount Lookup'!J:K,2)*G2413),0))))</f>
        <v>0</v>
      </c>
      <c r="AJ2413" s="107" t="str">
        <f t="shared" ca="1" si="1792"/>
        <v/>
      </c>
      <c r="AK2413" s="714" t="str">
        <f t="shared" si="1793"/>
        <v/>
      </c>
      <c r="AL2413" s="714"/>
      <c r="AM2413" s="114" t="str">
        <f t="shared" si="1794"/>
        <v/>
      </c>
      <c r="AN2413" s="115"/>
      <c r="AO2413" s="116"/>
      <c r="AP2413" s="116"/>
      <c r="AQ2413" s="116"/>
      <c r="AR2413" s="116"/>
      <c r="AS2413" s="116"/>
      <c r="AT2413" s="116"/>
      <c r="AU2413" s="116"/>
      <c r="AV2413" s="78"/>
      <c r="AW2413" s="102"/>
      <c r="AX2413" s="78"/>
      <c r="AY2413" s="78"/>
      <c r="AZ2413" s="78"/>
      <c r="BA2413" s="78"/>
      <c r="BB2413" s="78"/>
      <c r="BC2413" s="78"/>
      <c r="BD2413" s="78"/>
      <c r="BE2413" s="465"/>
      <c r="BF2413" s="165" t="str">
        <f t="shared" si="1795"/>
        <v>https://www.google.com/search?tbm=isch&amp;q=3%20G1</v>
      </c>
      <c r="BG2413" s="165" t="str">
        <f t="shared" si="1796"/>
        <v>J</v>
      </c>
      <c r="BH2413" s="65"/>
      <c r="BI2413" s="65"/>
      <c r="BJ2413" s="65"/>
      <c r="BK2413" s="65"/>
      <c r="BL2413" s="99"/>
      <c r="BM2413" s="99"/>
      <c r="BN2413" s="99"/>
    </row>
    <row r="2414" spans="1:66" s="51" customFormat="1" ht="17.25" thickBot="1" x14ac:dyDescent="0.3">
      <c r="A2414" s="508" t="s">
        <v>3091</v>
      </c>
      <c r="B2414" s="487"/>
      <c r="C2414" s="707"/>
      <c r="D2414" s="487"/>
      <c r="E2414" s="487"/>
      <c r="F2414" s="488"/>
      <c r="G2414" s="489"/>
      <c r="H2414" s="487"/>
      <c r="I2414" s="490"/>
      <c r="J2414" s="490"/>
      <c r="K2414" s="491"/>
      <c r="L2414" s="547"/>
      <c r="M2414" s="528"/>
      <c r="N2414" s="492"/>
      <c r="O2414" s="493"/>
      <c r="P2414" s="494"/>
      <c r="Q2414" s="492"/>
      <c r="R2414" s="492"/>
      <c r="S2414" s="699" t="s">
        <v>5280</v>
      </c>
      <c r="T2414" s="102">
        <f t="shared" si="1784"/>
        <v>0</v>
      </c>
      <c r="U2414" s="78" t="str">
        <f>IF(NOT(ISNUMBER(G2414)), "", VLOOKUP(A2414,'Discount Lookup'!D:E,2,FALSE)*G2414)</f>
        <v/>
      </c>
      <c r="V2414" s="78" t="str">
        <f>IF(NOT(ISNUMBER(G2414)), "", VLOOKUP(A2414,'Discount Lookup'!G:H,2,FALSE)*G2414)</f>
        <v/>
      </c>
      <c r="W2414" s="102">
        <f t="shared" si="1785"/>
        <v>0</v>
      </c>
      <c r="X2414" s="102">
        <f t="shared" si="1786"/>
        <v>0</v>
      </c>
      <c r="Y2414" s="120" t="b">
        <f t="shared" si="1787"/>
        <v>0</v>
      </c>
      <c r="Z2414" s="117">
        <f t="shared" si="1788"/>
        <v>0</v>
      </c>
      <c r="AA2414" s="118"/>
      <c r="AB2414" s="118" t="str">
        <f t="shared" si="1789"/>
        <v/>
      </c>
      <c r="AC2414" s="712" t="str">
        <f>IF(AE2414="T2G","no charge",IF(AND(OR(PlanterYesMe="No",PlanterYesMe="N",PlanterYesMe="me"),H2414=""),"",IF(H2414="credit","NO install",IF(AND(K2414="",AE2414="me"),"EACH row",IF(AND(K2414="images",AE2414="me"),"EACH row",IF(D2414="","",IF(H2414="credit","",IF(AE2414="free","re-planting",IF(AE2414="me","   not ELP, by",IF(AND(OR(PlanterYesMe="Yes",PlanterYesMe="Y"),G2414&gt;0),(VLOOKUP(A2414,'Discount Lookup'!J:K,2)*G2414*(1-PlanterDiscount)*(1+PlanterDifficultyPercentage)),IF(AE2414="ELP",(VLOOKUP(A2414,'Discount Lookup'!J:K,2)*G2414*(1-PlanterDiscount)*(1+PlanterDifficultyPercentage)),IF(AE2414="free","re-planting",IF(G2414=0,"",IF(PlanterYesMe="",IF(AE2414="me","   not ELP, by",IF(AE2414="",IF(G2414&gt;0,(VLOOKUP(A2414,'Discount Lookup'!J:K,2)*G2414*(1-PlanterDiscount)*(1+PlanterDifficultyPercentage)),""),"")),"   not ELP, by"))))))))))))))</f>
        <v/>
      </c>
      <c r="AD2414" s="712"/>
      <c r="AE2414" s="513" t="str">
        <f t="shared" si="1790"/>
        <v/>
      </c>
      <c r="AF2414" s="713" t="str">
        <f t="shared" si="1791"/>
        <v/>
      </c>
      <c r="AG2414" s="713"/>
      <c r="AH2414" s="713"/>
      <c r="AI2414" s="112">
        <f>IF(H2414="credit",0,IF(AE2414="free",0,IF(AE2414="me",0,IF(G2414&gt;0,(VLOOKUP(A2414,'Discount Lookup'!J:K,2)*G2414),0))))</f>
        <v>0</v>
      </c>
      <c r="AJ2414" s="107" t="str">
        <f t="shared" ca="1" si="1792"/>
        <v/>
      </c>
      <c r="AK2414" s="714" t="str">
        <f t="shared" si="1793"/>
        <v/>
      </c>
      <c r="AL2414" s="714"/>
      <c r="AM2414" s="114" t="str">
        <f t="shared" si="1794"/>
        <v/>
      </c>
      <c r="AN2414" s="115"/>
      <c r="AO2414" s="116"/>
      <c r="AP2414" s="116"/>
      <c r="AQ2414" s="116"/>
      <c r="AR2414" s="116"/>
      <c r="AS2414" s="116"/>
      <c r="AT2414" s="116"/>
      <c r="AU2414" s="116"/>
      <c r="AV2414" s="78"/>
      <c r="AW2414" s="102"/>
      <c r="AX2414" s="78"/>
      <c r="AY2414" s="78"/>
      <c r="AZ2414" s="78"/>
      <c r="BA2414" s="78"/>
      <c r="BB2414" s="78"/>
      <c r="BC2414" s="78"/>
      <c r="BD2414" s="78"/>
      <c r="BE2414" s="465"/>
      <c r="BF2414" s="165" t="str">
        <f t="shared" si="1795"/>
        <v>https://www.google.com/search?tbm=isch&amp;q=Gold%20Lace%20fills%20a%20space%20with%20it%27s%20soft%2C%20lacy%20texture.%20Gets%20brighter%20Yellow%20in%20summer%2C%20then%20Golder%20in%20fall.%20Sun%2Fheat%2Fdrought%20tolerant%20</v>
      </c>
      <c r="BG2414" s="165" t="str">
        <f t="shared" si="1796"/>
        <v>G</v>
      </c>
      <c r="BH2414" s="65"/>
      <c r="BI2414" s="65"/>
      <c r="BJ2414" s="65"/>
      <c r="BK2414" s="65"/>
      <c r="BL2414" s="99"/>
      <c r="BM2414" s="99"/>
      <c r="BN2414" s="99"/>
    </row>
    <row r="2415" spans="1:66" s="51" customFormat="1" ht="18" x14ac:dyDescent="0.25">
      <c r="A2415" s="507" t="s">
        <v>3092</v>
      </c>
      <c r="B2415" s="470"/>
      <c r="C2415" s="706"/>
      <c r="D2415" s="471" t="s">
        <v>3093</v>
      </c>
      <c r="E2415" s="472"/>
      <c r="F2415" s="472"/>
      <c r="G2415" s="472"/>
      <c r="H2415" s="622" t="s">
        <v>3094</v>
      </c>
      <c r="I2415" s="473" t="s">
        <v>3095</v>
      </c>
      <c r="J2415" s="472"/>
      <c r="K2415" s="472"/>
      <c r="L2415" s="561"/>
      <c r="M2415" s="698" t="s">
        <v>5240</v>
      </c>
      <c r="N2415" s="692" t="str">
        <f>IF(AND(ISTEXT($A2415), ISERROR($A2415+0)), HYPERLINK($BF2415, "Images"), "")</f>
        <v>Images</v>
      </c>
      <c r="O2415" s="694" t="s">
        <v>5244</v>
      </c>
      <c r="P2415" s="475"/>
      <c r="Q2415" s="476"/>
      <c r="R2415" s="476"/>
      <c r="S2415" s="477"/>
      <c r="T2415" s="102">
        <f t="shared" si="1784"/>
        <v>0</v>
      </c>
      <c r="U2415" s="78" t="str">
        <f>IF(NOT(ISNUMBER(G2415)), "", VLOOKUP(A2415,'Discount Lookup'!D:E,2,FALSE)*G2415)</f>
        <v/>
      </c>
      <c r="V2415" s="78" t="str">
        <f>IF(NOT(ISNUMBER(G2415)), "", VLOOKUP(A2415,'Discount Lookup'!G:H,2,FALSE)*G2415)</f>
        <v/>
      </c>
      <c r="W2415" s="102">
        <f t="shared" si="1785"/>
        <v>0</v>
      </c>
      <c r="X2415" s="102" t="str">
        <f t="shared" si="1786"/>
        <v>Sage- to Blue-Green</v>
      </c>
      <c r="Y2415" s="120" t="b">
        <f t="shared" si="1787"/>
        <v>0</v>
      </c>
      <c r="Z2415" s="117">
        <f t="shared" si="1788"/>
        <v>0</v>
      </c>
      <c r="AA2415" s="118"/>
      <c r="AB2415" s="118" t="str">
        <f t="shared" si="1789"/>
        <v/>
      </c>
      <c r="AC2415" s="712" t="str">
        <f>IF(AE2415="T2G","no charge",IF(AND(OR(PlanterYesMe="No",PlanterYesMe="N",PlanterYesMe="me"),H2415=""),"",IF(H2415="credit","NO install",IF(AND(K2415="",AE2415="me"),"EACH row",IF(AND(K2415="images",AE2415="me"),"EACH row",IF(D2415="","",IF(H2415="credit","",IF(AE2415="free","re-planting",IF(AE2415="me","   not ELP, by",IF(AND(OR(PlanterYesMe="Yes",PlanterYesMe="Y"),G2415&gt;0),(VLOOKUP(A2415,'Discount Lookup'!J:K,2)*G2415*(1-PlanterDiscount)*(1+PlanterDifficultyPercentage)),IF(AE2415="ELP",(VLOOKUP(A2415,'Discount Lookup'!J:K,2)*G2415*(1-PlanterDiscount)*(1+PlanterDifficultyPercentage)),IF(AE2415="free","re-planting",IF(G2415=0,"",IF(PlanterYesMe="",IF(AE2415="me","   not ELP, by",IF(AE2415="",IF(G2415&gt;0,(VLOOKUP(A2415,'Discount Lookup'!J:K,2)*G2415*(1-PlanterDiscount)*(1+PlanterDifficultyPercentage)),""),"")),"   not ELP, by"))))))))))))))</f>
        <v/>
      </c>
      <c r="AD2415" s="712"/>
      <c r="AE2415" s="513" t="str">
        <f t="shared" si="1790"/>
        <v/>
      </c>
      <c r="AF2415" s="713" t="str">
        <f t="shared" si="1791"/>
        <v/>
      </c>
      <c r="AG2415" s="713"/>
      <c r="AH2415" s="713"/>
      <c r="AI2415" s="112">
        <f>IF(H2415="credit",0,IF(AE2415="free",0,IF(AE2415="me",0,IF(G2415&gt;0,(VLOOKUP(A2415,'Discount Lookup'!J:K,2)*G2415),0))))</f>
        <v>0</v>
      </c>
      <c r="AJ2415" s="107" t="str">
        <f t="shared" ca="1" si="1792"/>
        <v/>
      </c>
      <c r="AK2415" s="714" t="str">
        <f t="shared" si="1793"/>
        <v/>
      </c>
      <c r="AL2415" s="714"/>
      <c r="AM2415" s="114" t="str">
        <f t="shared" si="1794"/>
        <v/>
      </c>
      <c r="AN2415" s="115"/>
      <c r="AO2415" s="116"/>
      <c r="AP2415" s="116"/>
      <c r="AQ2415" s="116"/>
      <c r="AR2415" s="116"/>
      <c r="AS2415" s="116"/>
      <c r="AT2415" s="116"/>
      <c r="AU2415" s="116"/>
      <c r="AV2415" s="78"/>
      <c r="AW2415" s="102"/>
      <c r="AX2415" s="78"/>
      <c r="AY2415" s="78"/>
      <c r="AZ2415" s="78"/>
      <c r="BA2415" s="78"/>
      <c r="BB2415" s="78"/>
      <c r="BC2415" s="78"/>
      <c r="BD2415" s="78"/>
      <c r="BE2415" s="465"/>
      <c r="BF2415" s="165" t="str">
        <f t="shared" si="1795"/>
        <v>https://www.google.com/search?tbm=isch&amp;q=Juniperus%20chinensis%20%27San%20Jose%27%20San%20Jose%20Juniper</v>
      </c>
      <c r="BG2415" s="165" t="str">
        <f t="shared" si="1796"/>
        <v>J</v>
      </c>
      <c r="BH2415" s="65"/>
      <c r="BI2415" s="65"/>
      <c r="BJ2415" s="65"/>
      <c r="BK2415" s="65"/>
      <c r="BL2415" s="99"/>
      <c r="BM2415" s="99"/>
      <c r="BN2415" s="99"/>
    </row>
    <row r="2416" spans="1:66" s="51" customFormat="1" ht="15.75" x14ac:dyDescent="0.25">
      <c r="A2416" s="478">
        <v>15</v>
      </c>
      <c r="B2416" s="479" t="s">
        <v>291</v>
      </c>
      <c r="C2416" s="480" t="s">
        <v>3096</v>
      </c>
      <c r="D2416" s="481" t="s">
        <v>299</v>
      </c>
      <c r="E2416" s="482">
        <v>385.95</v>
      </c>
      <c r="F2416" s="483" t="s">
        <v>292</v>
      </c>
      <c r="G2416" s="484">
        <v>0</v>
      </c>
      <c r="H2416" s="688" t="str">
        <f>IF(G2416=0,"",IF(F2416="Buy",IF(G2416=1,"plant","plants"),IF(F2416&gt;0.01,"warranty","Error")))</f>
        <v/>
      </c>
      <c r="I2416" s="485">
        <f>IF(H2416="free",0,IF(H2416="credit",((E2416*(F2416))*G2416*-1),IF(F2416="Buy",(E2416*G2416),((E2416*(1-F2416))*G2416))))</f>
        <v>0</v>
      </c>
      <c r="J2416" s="485">
        <f>IF(H2416="warranty",0,(I2416*(_xlfn.SINGLE(SalesTaxPercentage))))</f>
        <v>0</v>
      </c>
      <c r="K2416" s="715">
        <f t="shared" ref="K2416" si="1808">I2416+J2416</f>
        <v>0</v>
      </c>
      <c r="L2416" s="715"/>
      <c r="M2416" s="689" t="str">
        <f ca="1">IF(AND(G2416&gt;0,E2416=0),"WARNING - no PRICE inserted",IF(H2416="free","FREE ~ no charge this plant",IF(H2416="credit",CONCATENATE("-$",ROUND(K2416*(1-_xlfn.SINGLE(T2GDiscount))*-1,2)," CREDIT after discount"),IF(_xlfn.SINGLE(T2GDiscount)=0,"",IF(G2416=0,"",IF(F2416="Buy",CONCATENATE("$",ROUND(K2416*(1-_xlfn.SINGLE(T2GDiscount)),2)," with ",(_xlfn.SINGLE(T2GDiscount)*100),"% discount"),CONCATENATE("$",ROUND(K2416*(1-_xlfn.SINGLE(T2GDiscount)),2)," with ",((_xlfn.SINGLE(T2GDiscount)*100+F2416*100)-(_xlfn.SINGLE(T2GDiscount)*100*F2416)),IF(F2416&gt;0,"% discounts",IF(_xlfn.SINGLE(NoWarrantyDiscount)&gt;0,"% discounts","% discount")))))))))</f>
        <v/>
      </c>
      <c r="N2416" s="690"/>
      <c r="O2416" s="486"/>
      <c r="P2416" s="486"/>
      <c r="Q2416" s="486"/>
      <c r="R2416" s="486"/>
      <c r="S2416" s="486"/>
      <c r="T2416" s="102">
        <f t="shared" si="1784"/>
        <v>0</v>
      </c>
      <c r="U2416" s="78">
        <f>IF(NOT(ISNUMBER(G2416)), "", VLOOKUP(A2416,'Discount Lookup'!D:E,2,FALSE)*G2416)</f>
        <v>0</v>
      </c>
      <c r="V2416" s="78">
        <f>IF(NOT(ISNUMBER(G2416)), "", VLOOKUP(A2416,'Discount Lookup'!G:H,2,FALSE)*G2416)</f>
        <v>0</v>
      </c>
      <c r="W2416" s="102">
        <f t="shared" si="1785"/>
        <v>0</v>
      </c>
      <c r="X2416" s="102">
        <f t="shared" si="1786"/>
        <v>0</v>
      </c>
      <c r="Y2416" s="120" t="b">
        <f t="shared" si="1787"/>
        <v>0</v>
      </c>
      <c r="Z2416" s="117">
        <f t="shared" si="1788"/>
        <v>0</v>
      </c>
      <c r="AA2416" s="118"/>
      <c r="AB2416" s="118" t="str">
        <f t="shared" si="1789"/>
        <v/>
      </c>
      <c r="AC2416" s="712" t="str">
        <f>IF(AE2416="T2G","no charge",IF(AND(OR(PlanterYesMe="No",PlanterYesMe="N",PlanterYesMe="me"),H2416=""),"",IF(H2416="credit","NO install",IF(AND(K2416="",AE2416="me"),"EACH row",IF(AND(K2416="images",AE2416="me"),"EACH row",IF(D2416="","",IF(H2416="credit","",IF(AE2416="free","re-planting",IF(AE2416="me","   not ELP, by",IF(AND(OR(PlanterYesMe="Yes",PlanterYesMe="Y"),G2416&gt;0),(VLOOKUP(A2416,'Discount Lookup'!J:K,2)*G2416*(1-PlanterDiscount)*(1+PlanterDifficultyPercentage)),IF(AE2416="ELP",(VLOOKUP(A2416,'Discount Lookup'!J:K,2)*G2416*(1-PlanterDiscount)*(1+PlanterDifficultyPercentage)),IF(AE2416="free","re-planting",IF(G2416=0,"",IF(PlanterYesMe="",IF(AE2416="me","   not ELP, by",IF(AE2416="",IF(G2416&gt;0,(VLOOKUP(A2416,'Discount Lookup'!J:K,2)*G2416*(1-PlanterDiscount)*(1+PlanterDifficultyPercentage)),""),"")),"   not ELP, by"))))))))))))))</f>
        <v/>
      </c>
      <c r="AD2416" s="712"/>
      <c r="AE2416" s="513" t="str">
        <f t="shared" si="1790"/>
        <v/>
      </c>
      <c r="AF2416" s="713" t="str">
        <f t="shared" si="1791"/>
        <v/>
      </c>
      <c r="AG2416" s="713"/>
      <c r="AH2416" s="713"/>
      <c r="AI2416" s="112">
        <f>IF(H2416="credit",0,IF(AE2416="free",0,IF(AE2416="me",0,IF(G2416&gt;0,(VLOOKUP(A2416,'Discount Lookup'!J:K,2)*G2416),0))))</f>
        <v>0</v>
      </c>
      <c r="AJ2416" s="107" t="str">
        <f t="shared" ca="1" si="1792"/>
        <v/>
      </c>
      <c r="AK2416" s="714" t="str">
        <f t="shared" si="1793"/>
        <v/>
      </c>
      <c r="AL2416" s="714"/>
      <c r="AM2416" s="114" t="str">
        <f t="shared" si="1794"/>
        <v/>
      </c>
      <c r="AN2416" s="115"/>
      <c r="AO2416" s="116"/>
      <c r="AP2416" s="116"/>
      <c r="AQ2416" s="116"/>
      <c r="AR2416" s="116"/>
      <c r="AS2416" s="116"/>
      <c r="AT2416" s="116"/>
      <c r="AU2416" s="116"/>
      <c r="AV2416" s="78"/>
      <c r="AW2416" s="102"/>
      <c r="AX2416" s="78"/>
      <c r="AY2416" s="78"/>
      <c r="AZ2416" s="78"/>
      <c r="BA2416" s="78"/>
      <c r="BB2416" s="78"/>
      <c r="BC2416" s="78"/>
      <c r="BD2416" s="78"/>
      <c r="BE2416" s="465"/>
      <c r="BF2416" s="165" t="str">
        <f t="shared" si="1795"/>
        <v>https://www.google.com/search?tbm=isch&amp;q=15%20G4</v>
      </c>
      <c r="BG2416" s="165" t="str">
        <f t="shared" si="1796"/>
        <v>J</v>
      </c>
      <c r="BH2416" s="65"/>
      <c r="BI2416" s="65"/>
      <c r="BJ2416" s="65"/>
      <c r="BK2416" s="65"/>
      <c r="BL2416" s="99"/>
      <c r="BM2416" s="99"/>
      <c r="BN2416" s="99"/>
    </row>
    <row r="2417" spans="1:66" s="51" customFormat="1" ht="17.25" thickBot="1" x14ac:dyDescent="0.3">
      <c r="A2417" s="508" t="s">
        <v>3097</v>
      </c>
      <c r="B2417" s="487"/>
      <c r="C2417" s="707"/>
      <c r="D2417" s="487"/>
      <c r="E2417" s="487"/>
      <c r="F2417" s="488"/>
      <c r="G2417" s="489"/>
      <c r="H2417" s="487"/>
      <c r="I2417" s="490"/>
      <c r="J2417" s="490"/>
      <c r="K2417" s="491"/>
      <c r="L2417" s="547"/>
      <c r="M2417" s="528"/>
      <c r="N2417" s="492"/>
      <c r="O2417" s="493"/>
      <c r="P2417" s="494"/>
      <c r="Q2417" s="492"/>
      <c r="R2417" s="492"/>
      <c r="S2417" s="699" t="s">
        <v>5280</v>
      </c>
      <c r="T2417" s="102">
        <f t="shared" si="1784"/>
        <v>0</v>
      </c>
      <c r="U2417" s="78" t="str">
        <f>IF(NOT(ISNUMBER(G2417)), "", VLOOKUP(A2417,'Discount Lookup'!D:E,2,FALSE)*G2417)</f>
        <v/>
      </c>
      <c r="V2417" s="78" t="str">
        <f>IF(NOT(ISNUMBER(G2417)), "", VLOOKUP(A2417,'Discount Lookup'!G:H,2,FALSE)*G2417)</f>
        <v/>
      </c>
      <c r="W2417" s="102">
        <f t="shared" si="1785"/>
        <v>0</v>
      </c>
      <c r="X2417" s="102">
        <f t="shared" si="1786"/>
        <v>0</v>
      </c>
      <c r="Y2417" s="120" t="b">
        <f t="shared" si="1787"/>
        <v>0</v>
      </c>
      <c r="Z2417" s="117">
        <f t="shared" si="1788"/>
        <v>0</v>
      </c>
      <c r="AA2417" s="118"/>
      <c r="AB2417" s="118" t="str">
        <f t="shared" si="1789"/>
        <v/>
      </c>
      <c r="AC2417" s="712" t="str">
        <f>IF(AE2417="T2G","no charge",IF(AND(OR(PlanterYesMe="No",PlanterYesMe="N",PlanterYesMe="me"),H2417=""),"",IF(H2417="credit","NO install",IF(AND(K2417="",AE2417="me"),"EACH row",IF(AND(K2417="images",AE2417="me"),"EACH row",IF(D2417="","",IF(H2417="credit","",IF(AE2417="free","re-planting",IF(AE2417="me","   not ELP, by",IF(AND(OR(PlanterYesMe="Yes",PlanterYesMe="Y"),G2417&gt;0),(VLOOKUP(A2417,'Discount Lookup'!J:K,2)*G2417*(1-PlanterDiscount)*(1+PlanterDifficultyPercentage)),IF(AE2417="ELP",(VLOOKUP(A2417,'Discount Lookup'!J:K,2)*G2417*(1-PlanterDiscount)*(1+PlanterDifficultyPercentage)),IF(AE2417="free","re-planting",IF(G2417=0,"",IF(PlanterYesMe="",IF(AE2417="me","   not ELP, by",IF(AE2417="",IF(G2417&gt;0,(VLOOKUP(A2417,'Discount Lookup'!J:K,2)*G2417*(1-PlanterDiscount)*(1+PlanterDifficultyPercentage)),""),"")),"   not ELP, by"))))))))))))))</f>
        <v/>
      </c>
      <c r="AD2417" s="712"/>
      <c r="AE2417" s="513" t="str">
        <f t="shared" si="1790"/>
        <v/>
      </c>
      <c r="AF2417" s="713" t="str">
        <f t="shared" si="1791"/>
        <v/>
      </c>
      <c r="AG2417" s="713"/>
      <c r="AH2417" s="713"/>
      <c r="AI2417" s="112">
        <f>IF(H2417="credit",0,IF(AE2417="free",0,IF(AE2417="me",0,IF(G2417&gt;0,(VLOOKUP(A2417,'Discount Lookup'!J:K,2)*G2417),0))))</f>
        <v>0</v>
      </c>
      <c r="AJ2417" s="107" t="str">
        <f t="shared" ca="1" si="1792"/>
        <v/>
      </c>
      <c r="AK2417" s="714" t="str">
        <f t="shared" si="1793"/>
        <v/>
      </c>
      <c r="AL2417" s="714"/>
      <c r="AM2417" s="114" t="str">
        <f t="shared" si="1794"/>
        <v/>
      </c>
      <c r="AN2417" s="115"/>
      <c r="AO2417" s="116"/>
      <c r="AP2417" s="116"/>
      <c r="AQ2417" s="116"/>
      <c r="AR2417" s="116"/>
      <c r="AS2417" s="116"/>
      <c r="AT2417" s="116"/>
      <c r="AU2417" s="116"/>
      <c r="AV2417" s="78"/>
      <c r="AW2417" s="102"/>
      <c r="AX2417" s="78"/>
      <c r="AY2417" s="78"/>
      <c r="AZ2417" s="78"/>
      <c r="BA2417" s="78"/>
      <c r="BB2417" s="78"/>
      <c r="BC2417" s="78"/>
      <c r="BD2417" s="78"/>
      <c r="BE2417" s="465"/>
      <c r="BF2417" s="165" t="str">
        <f t="shared" si="1795"/>
        <v>https://www.google.com/search?tbm=isch&amp;q=San%20Jose%20foliage%20holds%20color%20and%20toughness%20in%20the%20hot%20%26%20dry.%20Attractive%20winter%20bronzing.%20Sun%2Fheat%2Fdrought%20tolerant%20</v>
      </c>
      <c r="BG2417" s="165" t="str">
        <f t="shared" si="1796"/>
        <v>S</v>
      </c>
      <c r="BH2417" s="65"/>
      <c r="BI2417" s="65"/>
      <c r="BJ2417" s="65"/>
      <c r="BK2417" s="65"/>
      <c r="BL2417" s="99"/>
      <c r="BM2417" s="99"/>
      <c r="BN2417" s="99"/>
    </row>
    <row r="2418" spans="1:66" s="51" customFormat="1" ht="18" x14ac:dyDescent="0.25">
      <c r="A2418" s="507" t="s">
        <v>3098</v>
      </c>
      <c r="B2418" s="470"/>
      <c r="C2418" s="706"/>
      <c r="D2418" s="471" t="s">
        <v>3099</v>
      </c>
      <c r="E2418" s="472"/>
      <c r="F2418" s="472"/>
      <c r="G2418" s="472"/>
      <c r="H2418" s="622" t="s">
        <v>1848</v>
      </c>
      <c r="I2418" s="473" t="s">
        <v>443</v>
      </c>
      <c r="J2418" s="472"/>
      <c r="K2418" s="472"/>
      <c r="L2418" s="561"/>
      <c r="M2418" s="698" t="s">
        <v>5246</v>
      </c>
      <c r="N2418" s="692" t="str">
        <f>IF(AND(ISTEXT($A2418), ISERROR($A2418+0)), HYPERLINK($BF2418, "Images"), "")</f>
        <v>Images</v>
      </c>
      <c r="O2418" s="694" t="s">
        <v>5244</v>
      </c>
      <c r="P2418" s="475"/>
      <c r="Q2418" s="476"/>
      <c r="R2418" s="476"/>
      <c r="S2418" s="477"/>
      <c r="T2418" s="102">
        <f t="shared" si="1784"/>
        <v>0</v>
      </c>
      <c r="U2418" s="78" t="str">
        <f>IF(NOT(ISNUMBER(G2418)), "", VLOOKUP(A2418,'Discount Lookup'!D:E,2,FALSE)*G2418)</f>
        <v/>
      </c>
      <c r="V2418" s="78" t="str">
        <f>IF(NOT(ISNUMBER(G2418)), "", VLOOKUP(A2418,'Discount Lookup'!G:H,2,FALSE)*G2418)</f>
        <v/>
      </c>
      <c r="W2418" s="102">
        <f t="shared" si="1785"/>
        <v>0</v>
      </c>
      <c r="X2418" s="102" t="str">
        <f t="shared" si="1786"/>
        <v>Golden-Yellow foliage</v>
      </c>
      <c r="Y2418" s="120" t="b">
        <f t="shared" si="1787"/>
        <v>0</v>
      </c>
      <c r="Z2418" s="117">
        <f t="shared" si="1788"/>
        <v>0</v>
      </c>
      <c r="AA2418" s="118"/>
      <c r="AB2418" s="118" t="str">
        <f t="shared" si="1789"/>
        <v/>
      </c>
      <c r="AC2418" s="712" t="str">
        <f>IF(AE2418="T2G","no charge",IF(AND(OR(PlanterYesMe="No",PlanterYesMe="N",PlanterYesMe="me"),H2418=""),"",IF(H2418="credit","NO install",IF(AND(K2418="",AE2418="me"),"EACH row",IF(AND(K2418="images",AE2418="me"),"EACH row",IF(D2418="","",IF(H2418="credit","",IF(AE2418="free","re-planting",IF(AE2418="me","   not ELP, by",IF(AND(OR(PlanterYesMe="Yes",PlanterYesMe="Y"),G2418&gt;0),(VLOOKUP(A2418,'Discount Lookup'!J:K,2)*G2418*(1-PlanterDiscount)*(1+PlanterDifficultyPercentage)),IF(AE2418="ELP",(VLOOKUP(A2418,'Discount Lookup'!J:K,2)*G2418*(1-PlanterDiscount)*(1+PlanterDifficultyPercentage)),IF(AE2418="free","re-planting",IF(G2418=0,"",IF(PlanterYesMe="",IF(AE2418="me","   not ELP, by",IF(AE2418="",IF(G2418&gt;0,(VLOOKUP(A2418,'Discount Lookup'!J:K,2)*G2418*(1-PlanterDiscount)*(1+PlanterDifficultyPercentage)),""),"")),"   not ELP, by"))))))))))))))</f>
        <v/>
      </c>
      <c r="AD2418" s="712"/>
      <c r="AE2418" s="513" t="str">
        <f t="shared" si="1790"/>
        <v/>
      </c>
      <c r="AF2418" s="713" t="str">
        <f t="shared" si="1791"/>
        <v/>
      </c>
      <c r="AG2418" s="713"/>
      <c r="AH2418" s="713"/>
      <c r="AI2418" s="112">
        <f>IF(H2418="credit",0,IF(AE2418="free",0,IF(AE2418="me",0,IF(G2418&gt;0,(VLOOKUP(A2418,'Discount Lookup'!J:K,2)*G2418),0))))</f>
        <v>0</v>
      </c>
      <c r="AJ2418" s="107" t="str">
        <f t="shared" ca="1" si="1792"/>
        <v/>
      </c>
      <c r="AK2418" s="714" t="str">
        <f t="shared" si="1793"/>
        <v/>
      </c>
      <c r="AL2418" s="714"/>
      <c r="AM2418" s="114" t="str">
        <f t="shared" si="1794"/>
        <v/>
      </c>
      <c r="AN2418" s="115"/>
      <c r="AO2418" s="116"/>
      <c r="AP2418" s="116"/>
      <c r="AQ2418" s="116"/>
      <c r="AR2418" s="116"/>
      <c r="AS2418" s="116"/>
      <c r="AT2418" s="116"/>
      <c r="AU2418" s="116"/>
      <c r="AV2418" s="78"/>
      <c r="AW2418" s="102"/>
      <c r="AX2418" s="78"/>
      <c r="AY2418" s="78"/>
      <c r="AZ2418" s="78"/>
      <c r="BA2418" s="78"/>
      <c r="BB2418" s="78"/>
      <c r="BC2418" s="78"/>
      <c r="BD2418" s="78"/>
      <c r="BE2418" s="465"/>
      <c r="BF2418" s="165" t="str">
        <f t="shared" si="1795"/>
        <v>https://www.google.com/search?tbm=isch&amp;q=Juniperus%20chinensis%20%27Saybrook%20Gold%27%20PP%235014Exp.%20Saybrook%20Gold%20Juniper</v>
      </c>
      <c r="BG2418" s="165" t="str">
        <f t="shared" si="1796"/>
        <v>J</v>
      </c>
      <c r="BH2418" s="65"/>
      <c r="BI2418" s="65"/>
      <c r="BJ2418" s="65"/>
      <c r="BK2418" s="65"/>
      <c r="BL2418" s="99"/>
      <c r="BM2418" s="99"/>
      <c r="BN2418" s="99"/>
    </row>
    <row r="2419" spans="1:66" s="51" customFormat="1" ht="15.75" x14ac:dyDescent="0.25">
      <c r="A2419" s="478">
        <v>3</v>
      </c>
      <c r="B2419" s="479" t="s">
        <v>291</v>
      </c>
      <c r="C2419" s="480" t="s">
        <v>3100</v>
      </c>
      <c r="D2419" s="481" t="s">
        <v>329</v>
      </c>
      <c r="E2419" s="482">
        <v>26.95</v>
      </c>
      <c r="F2419" s="483" t="s">
        <v>292</v>
      </c>
      <c r="G2419" s="484">
        <v>0</v>
      </c>
      <c r="H2419" s="688" t="str">
        <f>IF(G2419=0,"",IF(F2419="Buy",IF(G2419=1,"plant","plants"),IF(F2419&gt;0.01,"warranty","Error")))</f>
        <v/>
      </c>
      <c r="I2419" s="485">
        <f>IF(H2419="free",0,IF(H2419="credit",((E2419*(F2419))*G2419*-1),IF(F2419="Buy",(E2419*G2419),((E2419*(1-F2419))*G2419))))</f>
        <v>0</v>
      </c>
      <c r="J2419" s="485">
        <f>IF(H2419="warranty",0,(I2419*(_xlfn.SINGLE(SalesTaxPercentage))))</f>
        <v>0</v>
      </c>
      <c r="K2419" s="715">
        <f t="shared" ref="K2419" si="1809">I2419+J2419</f>
        <v>0</v>
      </c>
      <c r="L2419" s="715"/>
      <c r="M2419" s="689" t="str">
        <f ca="1">IF(AND(G2419&gt;0,E2419=0),"WARNING - no PRICE inserted",IF(H2419="free","FREE ~ no charge this plant",IF(H2419="credit",CONCATENATE("-$",ROUND(K2419*(1-_xlfn.SINGLE(T2GDiscount))*-1,2)," CREDIT after discount"),IF(_xlfn.SINGLE(T2GDiscount)=0,"",IF(G2419=0,"",IF(F2419="Buy",CONCATENATE("$",ROUND(K2419*(1-_xlfn.SINGLE(T2GDiscount)),2)," with ",(_xlfn.SINGLE(T2GDiscount)*100),"% discount"),CONCATENATE("$",ROUND(K2419*(1-_xlfn.SINGLE(T2GDiscount)),2)," with ",((_xlfn.SINGLE(T2GDiscount)*100+F2419*100)-(_xlfn.SINGLE(T2GDiscount)*100*F2419)),IF(F2419&gt;0,"% discounts",IF(_xlfn.SINGLE(NoWarrantyDiscount)&gt;0,"% discounts","% discount")))))))))</f>
        <v/>
      </c>
      <c r="N2419" s="690"/>
      <c r="O2419" s="486"/>
      <c r="P2419" s="486"/>
      <c r="Q2419" s="486"/>
      <c r="R2419" s="486"/>
      <c r="S2419" s="486"/>
      <c r="T2419" s="102">
        <f t="shared" si="1784"/>
        <v>0</v>
      </c>
      <c r="U2419" s="78">
        <f>IF(NOT(ISNUMBER(G2419)), "", VLOOKUP(A2419,'Discount Lookup'!D:E,2,FALSE)*G2419)</f>
        <v>0</v>
      </c>
      <c r="V2419" s="78">
        <f>IF(NOT(ISNUMBER(G2419)), "", VLOOKUP(A2419,'Discount Lookup'!G:H,2,FALSE)*G2419)</f>
        <v>0</v>
      </c>
      <c r="W2419" s="102">
        <f t="shared" si="1785"/>
        <v>0</v>
      </c>
      <c r="X2419" s="102">
        <f t="shared" si="1786"/>
        <v>0</v>
      </c>
      <c r="Y2419" s="120" t="b">
        <f t="shared" si="1787"/>
        <v>0</v>
      </c>
      <c r="Z2419" s="117">
        <f t="shared" si="1788"/>
        <v>0</v>
      </c>
      <c r="AA2419" s="118"/>
      <c r="AB2419" s="118" t="str">
        <f t="shared" si="1789"/>
        <v/>
      </c>
      <c r="AC2419" s="712" t="str">
        <f>IF(AE2419="T2G","no charge",IF(AND(OR(PlanterYesMe="No",PlanterYesMe="N",PlanterYesMe="me"),H2419=""),"",IF(H2419="credit","NO install",IF(AND(K2419="",AE2419="me"),"EACH row",IF(AND(K2419="images",AE2419="me"),"EACH row",IF(D2419="","",IF(H2419="credit","",IF(AE2419="free","re-planting",IF(AE2419="me","   not ELP, by",IF(AND(OR(PlanterYesMe="Yes",PlanterYesMe="Y"),G2419&gt;0),(VLOOKUP(A2419,'Discount Lookup'!J:K,2)*G2419*(1-PlanterDiscount)*(1+PlanterDifficultyPercentage)),IF(AE2419="ELP",(VLOOKUP(A2419,'Discount Lookup'!J:K,2)*G2419*(1-PlanterDiscount)*(1+PlanterDifficultyPercentage)),IF(AE2419="free","re-planting",IF(G2419=0,"",IF(PlanterYesMe="",IF(AE2419="me","   not ELP, by",IF(AE2419="",IF(G2419&gt;0,(VLOOKUP(A2419,'Discount Lookup'!J:K,2)*G2419*(1-PlanterDiscount)*(1+PlanterDifficultyPercentage)),""),"")),"   not ELP, by"))))))))))))))</f>
        <v/>
      </c>
      <c r="AD2419" s="712"/>
      <c r="AE2419" s="513" t="str">
        <f t="shared" si="1790"/>
        <v/>
      </c>
      <c r="AF2419" s="713" t="str">
        <f t="shared" si="1791"/>
        <v/>
      </c>
      <c r="AG2419" s="713"/>
      <c r="AH2419" s="713"/>
      <c r="AI2419" s="112">
        <f>IF(H2419="credit",0,IF(AE2419="free",0,IF(AE2419="me",0,IF(G2419&gt;0,(VLOOKUP(A2419,'Discount Lookup'!J:K,2)*G2419),0))))</f>
        <v>0</v>
      </c>
      <c r="AJ2419" s="107" t="str">
        <f t="shared" ca="1" si="1792"/>
        <v/>
      </c>
      <c r="AK2419" s="714" t="str">
        <f t="shared" si="1793"/>
        <v/>
      </c>
      <c r="AL2419" s="714"/>
      <c r="AM2419" s="114" t="str">
        <f t="shared" si="1794"/>
        <v/>
      </c>
      <c r="AN2419" s="115"/>
      <c r="AO2419" s="116"/>
      <c r="AP2419" s="116"/>
      <c r="AQ2419" s="116"/>
      <c r="AR2419" s="116"/>
      <c r="AS2419" s="116"/>
      <c r="AT2419" s="116"/>
      <c r="AU2419" s="116"/>
      <c r="AV2419" s="78"/>
      <c r="AW2419" s="102"/>
      <c r="AX2419" s="78"/>
      <c r="AY2419" s="78"/>
      <c r="AZ2419" s="78"/>
      <c r="BA2419" s="78"/>
      <c r="BB2419" s="78"/>
      <c r="BC2419" s="78"/>
      <c r="BD2419" s="78"/>
      <c r="BE2419" s="465"/>
      <c r="BF2419" s="165" t="str">
        <f t="shared" si="1795"/>
        <v>https://www.google.com/search?tbm=isch&amp;q=3%20G2</v>
      </c>
      <c r="BG2419" s="165" t="str">
        <f t="shared" si="1796"/>
        <v>J</v>
      </c>
      <c r="BH2419" s="65"/>
      <c r="BI2419" s="65"/>
      <c r="BJ2419" s="65"/>
      <c r="BK2419" s="65"/>
      <c r="BL2419" s="99"/>
      <c r="BM2419" s="99"/>
      <c r="BN2419" s="99"/>
    </row>
    <row r="2420" spans="1:66" s="51" customFormat="1" ht="17.25" thickBot="1" x14ac:dyDescent="0.3">
      <c r="A2420" s="508" t="s">
        <v>3101</v>
      </c>
      <c r="B2420" s="487"/>
      <c r="C2420" s="707"/>
      <c r="D2420" s="487"/>
      <c r="E2420" s="487"/>
      <c r="F2420" s="488"/>
      <c r="G2420" s="489"/>
      <c r="H2420" s="487"/>
      <c r="I2420" s="490"/>
      <c r="J2420" s="490"/>
      <c r="K2420" s="491"/>
      <c r="L2420" s="547"/>
      <c r="M2420" s="528"/>
      <c r="N2420" s="492"/>
      <c r="O2420" s="493"/>
      <c r="P2420" s="494"/>
      <c r="Q2420" s="492"/>
      <c r="R2420" s="492"/>
      <c r="S2420" s="699" t="s">
        <v>5280</v>
      </c>
      <c r="T2420" s="102">
        <f t="shared" si="1784"/>
        <v>0</v>
      </c>
      <c r="U2420" s="78" t="str">
        <f>IF(NOT(ISNUMBER(G2420)), "", VLOOKUP(A2420,'Discount Lookup'!D:E,2,FALSE)*G2420)</f>
        <v/>
      </c>
      <c r="V2420" s="78" t="str">
        <f>IF(NOT(ISNUMBER(G2420)), "", VLOOKUP(A2420,'Discount Lookup'!G:H,2,FALSE)*G2420)</f>
        <v/>
      </c>
      <c r="W2420" s="102">
        <f t="shared" si="1785"/>
        <v>0</v>
      </c>
      <c r="X2420" s="102">
        <f t="shared" si="1786"/>
        <v>0</v>
      </c>
      <c r="Y2420" s="120" t="b">
        <f t="shared" si="1787"/>
        <v>0</v>
      </c>
      <c r="Z2420" s="117">
        <f t="shared" si="1788"/>
        <v>0</v>
      </c>
      <c r="AA2420" s="118"/>
      <c r="AB2420" s="118" t="str">
        <f t="shared" si="1789"/>
        <v/>
      </c>
      <c r="AC2420" s="712" t="str">
        <f>IF(AE2420="T2G","no charge",IF(AND(OR(PlanterYesMe="No",PlanterYesMe="N",PlanterYesMe="me"),H2420=""),"",IF(H2420="credit","NO install",IF(AND(K2420="",AE2420="me"),"EACH row",IF(AND(K2420="images",AE2420="me"),"EACH row",IF(D2420="","",IF(H2420="credit","",IF(AE2420="free","re-planting",IF(AE2420="me","   not ELP, by",IF(AND(OR(PlanterYesMe="Yes",PlanterYesMe="Y"),G2420&gt;0),(VLOOKUP(A2420,'Discount Lookup'!J:K,2)*G2420*(1-PlanterDiscount)*(1+PlanterDifficultyPercentage)),IF(AE2420="ELP",(VLOOKUP(A2420,'Discount Lookup'!J:K,2)*G2420*(1-PlanterDiscount)*(1+PlanterDifficultyPercentage)),IF(AE2420="free","re-planting",IF(G2420=0,"",IF(PlanterYesMe="",IF(AE2420="me","   not ELP, by",IF(AE2420="",IF(G2420&gt;0,(VLOOKUP(A2420,'Discount Lookup'!J:K,2)*G2420*(1-PlanterDiscount)*(1+PlanterDifficultyPercentage)),""),"")),"   not ELP, by"))))))))))))))</f>
        <v/>
      </c>
      <c r="AD2420" s="712"/>
      <c r="AE2420" s="513" t="str">
        <f t="shared" si="1790"/>
        <v/>
      </c>
      <c r="AF2420" s="713" t="str">
        <f t="shared" si="1791"/>
        <v/>
      </c>
      <c r="AG2420" s="713"/>
      <c r="AH2420" s="713"/>
      <c r="AI2420" s="112">
        <f>IF(H2420="credit",0,IF(AE2420="free",0,IF(AE2420="me",0,IF(G2420&gt;0,(VLOOKUP(A2420,'Discount Lookup'!J:K,2)*G2420),0))))</f>
        <v>0</v>
      </c>
      <c r="AJ2420" s="107" t="str">
        <f t="shared" ca="1" si="1792"/>
        <v/>
      </c>
      <c r="AK2420" s="714" t="str">
        <f t="shared" si="1793"/>
        <v/>
      </c>
      <c r="AL2420" s="714"/>
      <c r="AM2420" s="114" t="str">
        <f t="shared" si="1794"/>
        <v/>
      </c>
      <c r="AN2420" s="115"/>
      <c r="AO2420" s="116"/>
      <c r="AP2420" s="116"/>
      <c r="AQ2420" s="116"/>
      <c r="AR2420" s="116"/>
      <c r="AS2420" s="116"/>
      <c r="AT2420" s="116"/>
      <c r="AU2420" s="116"/>
      <c r="AV2420" s="78"/>
      <c r="AW2420" s="102"/>
      <c r="AX2420" s="78"/>
      <c r="AY2420" s="78"/>
      <c r="AZ2420" s="78"/>
      <c r="BA2420" s="78"/>
      <c r="BB2420" s="78"/>
      <c r="BC2420" s="78"/>
      <c r="BD2420" s="78"/>
      <c r="BE2420" s="465"/>
      <c r="BF2420" s="165" t="str">
        <f t="shared" si="1795"/>
        <v>https://www.google.com/search?tbm=isch&amp;q=Saybrook%20Gold%20has%20a%20soft%2C%20lacy%20texture.%20Bright%20Yellow%20in%20summer%2C%20Bronzy%20fall%2Fwinter.%20Sun%2Fheat%2Fdrought%20tolerant%20</v>
      </c>
      <c r="BG2420" s="165" t="str">
        <f t="shared" si="1796"/>
        <v>S</v>
      </c>
      <c r="BH2420" s="65"/>
      <c r="BI2420" s="65"/>
      <c r="BJ2420" s="65"/>
      <c r="BK2420" s="65"/>
      <c r="BL2420" s="99"/>
      <c r="BM2420" s="99"/>
      <c r="BN2420" s="99"/>
    </row>
    <row r="2421" spans="1:66" s="51" customFormat="1" ht="18" x14ac:dyDescent="0.25">
      <c r="A2421" s="507" t="s">
        <v>566</v>
      </c>
      <c r="B2421" s="470"/>
      <c r="C2421" s="706"/>
      <c r="D2421" s="471" t="s">
        <v>567</v>
      </c>
      <c r="E2421" s="472"/>
      <c r="F2421" s="472"/>
      <c r="G2421" s="472"/>
      <c r="H2421" s="622" t="s">
        <v>568</v>
      </c>
      <c r="I2421" s="473" t="s">
        <v>431</v>
      </c>
      <c r="J2421" s="472"/>
      <c r="K2421" s="472"/>
      <c r="L2421" s="561"/>
      <c r="M2421" s="698" t="s">
        <v>5240</v>
      </c>
      <c r="N2421" s="692" t="str">
        <f>IF(AND(ISTEXT($A2421), ISERROR($A2421+0)), HYPERLINK($BF2421, "Images"), "")</f>
        <v>Images</v>
      </c>
      <c r="O2421" s="694" t="s">
        <v>5244</v>
      </c>
      <c r="P2421" s="475"/>
      <c r="Q2421" s="476"/>
      <c r="R2421" s="476"/>
      <c r="S2421" s="477"/>
      <c r="T2421" s="102">
        <f t="shared" si="1784"/>
        <v>0</v>
      </c>
      <c r="U2421" s="78" t="str">
        <f>IF(NOT(ISNUMBER(G2421)), "", VLOOKUP(A2421,'Discount Lookup'!D:E,2,FALSE)*G2421)</f>
        <v/>
      </c>
      <c r="V2421" s="78" t="str">
        <f>IF(NOT(ISNUMBER(G2421)), "", VLOOKUP(A2421,'Discount Lookup'!G:H,2,FALSE)*G2421)</f>
        <v/>
      </c>
      <c r="W2421" s="102">
        <f t="shared" si="1785"/>
        <v>0</v>
      </c>
      <c r="X2421" s="102" t="str">
        <f t="shared" si="1786"/>
        <v>Dark Green foliage</v>
      </c>
      <c r="Y2421" s="120" t="b">
        <f t="shared" si="1787"/>
        <v>0</v>
      </c>
      <c r="Z2421" s="117">
        <f t="shared" si="1788"/>
        <v>0</v>
      </c>
      <c r="AA2421" s="118"/>
      <c r="AB2421" s="118" t="str">
        <f t="shared" si="1789"/>
        <v/>
      </c>
      <c r="AC2421" s="712" t="str">
        <f>IF(AE2421="T2G","no charge",IF(AND(OR(PlanterYesMe="No",PlanterYesMe="N",PlanterYesMe="me"),H2421=""),"",IF(H2421="credit","NO install",IF(AND(K2421="",AE2421="me"),"EACH row",IF(AND(K2421="images",AE2421="me"),"EACH row",IF(D2421="","",IF(H2421="credit","",IF(AE2421="free","re-planting",IF(AE2421="me","   not ELP, by",IF(AND(OR(PlanterYesMe="Yes",PlanterYesMe="Y"),G2421&gt;0),(VLOOKUP(A2421,'Discount Lookup'!J:K,2)*G2421*(1-PlanterDiscount)*(1+PlanterDifficultyPercentage)),IF(AE2421="ELP",(VLOOKUP(A2421,'Discount Lookup'!J:K,2)*G2421*(1-PlanterDiscount)*(1+PlanterDifficultyPercentage)),IF(AE2421="free","re-planting",IF(G2421=0,"",IF(PlanterYesMe="",IF(AE2421="me","   not ELP, by",IF(AE2421="",IF(G2421&gt;0,(VLOOKUP(A2421,'Discount Lookup'!J:K,2)*G2421*(1-PlanterDiscount)*(1+PlanterDifficultyPercentage)),""),"")),"   not ELP, by"))))))))))))))</f>
        <v/>
      </c>
      <c r="AD2421" s="712"/>
      <c r="AE2421" s="513" t="str">
        <f t="shared" si="1790"/>
        <v/>
      </c>
      <c r="AF2421" s="713" t="str">
        <f t="shared" si="1791"/>
        <v/>
      </c>
      <c r="AG2421" s="713"/>
      <c r="AH2421" s="713"/>
      <c r="AI2421" s="112">
        <f>IF(H2421="credit",0,IF(AE2421="free",0,IF(AE2421="me",0,IF(G2421&gt;0,(VLOOKUP(A2421,'Discount Lookup'!J:K,2)*G2421),0))))</f>
        <v>0</v>
      </c>
      <c r="AJ2421" s="107" t="str">
        <f t="shared" ca="1" si="1792"/>
        <v/>
      </c>
      <c r="AK2421" s="714" t="str">
        <f t="shared" si="1793"/>
        <v/>
      </c>
      <c r="AL2421" s="714"/>
      <c r="AM2421" s="114" t="str">
        <f t="shared" si="1794"/>
        <v/>
      </c>
      <c r="AN2421" s="115"/>
      <c r="AO2421" s="116"/>
      <c r="AP2421" s="116"/>
      <c r="AQ2421" s="116"/>
      <c r="AR2421" s="116"/>
      <c r="AS2421" s="116"/>
      <c r="AT2421" s="116"/>
      <c r="AU2421" s="116"/>
      <c r="AV2421" s="78"/>
      <c r="AW2421" s="102"/>
      <c r="AX2421" s="78"/>
      <c r="AY2421" s="78"/>
      <c r="AZ2421" s="78"/>
      <c r="BA2421" s="78"/>
      <c r="BB2421" s="78"/>
      <c r="BC2421" s="78"/>
      <c r="BD2421" s="78"/>
      <c r="BE2421" s="465"/>
      <c r="BF2421" s="165" t="str">
        <f t="shared" si="1795"/>
        <v>https://www.google.com/search?tbm=isch&amp;q=Juniperus%20chinensis%20%27Spartan%27%20Spartan%20Juniper</v>
      </c>
      <c r="BG2421" s="165" t="str">
        <f t="shared" si="1796"/>
        <v>J</v>
      </c>
      <c r="BH2421" s="65"/>
      <c r="BI2421" s="65"/>
      <c r="BJ2421" s="65"/>
      <c r="BK2421" s="65"/>
      <c r="BL2421" s="99"/>
      <c r="BM2421" s="99"/>
      <c r="BN2421" s="99"/>
    </row>
    <row r="2422" spans="1:66" s="51" customFormat="1" ht="27" x14ac:dyDescent="0.25">
      <c r="A2422" s="478">
        <v>3</v>
      </c>
      <c r="B2422" s="479" t="s">
        <v>291</v>
      </c>
      <c r="C2422" s="480" t="s">
        <v>4626</v>
      </c>
      <c r="D2422" s="481" t="s">
        <v>311</v>
      </c>
      <c r="E2422" s="482">
        <v>27.95</v>
      </c>
      <c r="F2422" s="483" t="s">
        <v>292</v>
      </c>
      <c r="G2422" s="484">
        <v>0</v>
      </c>
      <c r="H2422" s="688" t="str">
        <f>IF(G2422=0,"",IF(F2422="Buy",IF(G2422=1,"plant","plants"),IF(F2422&gt;0.01,"warranty","Error")))</f>
        <v/>
      </c>
      <c r="I2422" s="485">
        <f>IF(H2422="free",0,IF(H2422="credit",((E2422*(F2422))*G2422*-1),IF(F2422="Buy",(E2422*G2422),((E2422*(1-F2422))*G2422))))</f>
        <v>0</v>
      </c>
      <c r="J2422" s="485">
        <f>IF(H2422="warranty",0,(I2422*(_xlfn.SINGLE(SalesTaxPercentage))))</f>
        <v>0</v>
      </c>
      <c r="K2422" s="715">
        <f t="shared" ref="K2422" si="1810">I2422+J2422</f>
        <v>0</v>
      </c>
      <c r="L2422" s="715"/>
      <c r="M2422" s="689" t="str">
        <f ca="1">IF(AND(G2422&gt;0,E2422=0),"WARNING - no PRICE inserted",IF(H2422="free","FREE ~ no charge this plant",IF(H2422="credit",CONCATENATE("-$",ROUND(K2422*(1-_xlfn.SINGLE(T2GDiscount))*-1,2)," CREDIT after discount"),IF(_xlfn.SINGLE(T2GDiscount)=0,"",IF(G2422=0,"",IF(F2422="Buy",CONCATENATE("$",ROUND(K2422*(1-_xlfn.SINGLE(T2GDiscount)),2)," with ",(_xlfn.SINGLE(T2GDiscount)*100),"% discount"),CONCATENATE("$",ROUND(K2422*(1-_xlfn.SINGLE(T2GDiscount)),2)," with ",((_xlfn.SINGLE(T2GDiscount)*100+F2422*100)-(_xlfn.SINGLE(T2GDiscount)*100*F2422)),IF(F2422&gt;0,"% discounts",IF(_xlfn.SINGLE(NoWarrantyDiscount)&gt;0,"% discounts","% discount")))))))))</f>
        <v/>
      </c>
      <c r="N2422" s="690"/>
      <c r="O2422" s="486"/>
      <c r="P2422" s="486"/>
      <c r="Q2422" s="486"/>
      <c r="R2422" s="486"/>
      <c r="S2422" s="486"/>
      <c r="T2422" s="102">
        <f t="shared" si="1784"/>
        <v>0</v>
      </c>
      <c r="U2422" s="78">
        <f>IF(NOT(ISNUMBER(G2422)), "", VLOOKUP(A2422,'Discount Lookup'!D:E,2,FALSE)*G2422)</f>
        <v>0</v>
      </c>
      <c r="V2422" s="78">
        <f>IF(NOT(ISNUMBER(G2422)), "", VLOOKUP(A2422,'Discount Lookup'!G:H,2,FALSE)*G2422)</f>
        <v>0</v>
      </c>
      <c r="W2422" s="102">
        <f t="shared" si="1785"/>
        <v>0</v>
      </c>
      <c r="X2422" s="102">
        <f t="shared" si="1786"/>
        <v>0</v>
      </c>
      <c r="Y2422" s="120" t="b">
        <f t="shared" si="1787"/>
        <v>0</v>
      </c>
      <c r="Z2422" s="117">
        <f t="shared" si="1788"/>
        <v>0</v>
      </c>
      <c r="AA2422" s="118"/>
      <c r="AB2422" s="118" t="str">
        <f t="shared" si="1789"/>
        <v/>
      </c>
      <c r="AC2422" s="712" t="str">
        <f>IF(AE2422="T2G","no charge",IF(AND(OR(PlanterYesMe="No",PlanterYesMe="N",PlanterYesMe="me"),H2422=""),"",IF(H2422="credit","NO install",IF(AND(K2422="",AE2422="me"),"EACH row",IF(AND(K2422="images",AE2422="me"),"EACH row",IF(D2422="","",IF(H2422="credit","",IF(AE2422="free","re-planting",IF(AE2422="me","   not ELP, by",IF(AND(OR(PlanterYesMe="Yes",PlanterYesMe="Y"),G2422&gt;0),(VLOOKUP(A2422,'Discount Lookup'!J:K,2)*G2422*(1-PlanterDiscount)*(1+PlanterDifficultyPercentage)),IF(AE2422="ELP",(VLOOKUP(A2422,'Discount Lookup'!J:K,2)*G2422*(1-PlanterDiscount)*(1+PlanterDifficultyPercentage)),IF(AE2422="free","re-planting",IF(G2422=0,"",IF(PlanterYesMe="",IF(AE2422="me","   not ELP, by",IF(AE2422="",IF(G2422&gt;0,(VLOOKUP(A2422,'Discount Lookup'!J:K,2)*G2422*(1-PlanterDiscount)*(1+PlanterDifficultyPercentage)),""),"")),"   not ELP, by"))))))))))))))</f>
        <v/>
      </c>
      <c r="AD2422" s="712"/>
      <c r="AE2422" s="513" t="str">
        <f t="shared" si="1790"/>
        <v/>
      </c>
      <c r="AF2422" s="713" t="str">
        <f t="shared" si="1791"/>
        <v/>
      </c>
      <c r="AG2422" s="713"/>
      <c r="AH2422" s="713"/>
      <c r="AI2422" s="112">
        <f>IF(H2422="credit",0,IF(AE2422="free",0,IF(AE2422="me",0,IF(G2422&gt;0,(VLOOKUP(A2422,'Discount Lookup'!J:K,2)*G2422),0))))</f>
        <v>0</v>
      </c>
      <c r="AJ2422" s="107" t="str">
        <f t="shared" ca="1" si="1792"/>
        <v/>
      </c>
      <c r="AK2422" s="714" t="str">
        <f t="shared" si="1793"/>
        <v/>
      </c>
      <c r="AL2422" s="714"/>
      <c r="AM2422" s="114" t="str">
        <f t="shared" si="1794"/>
        <v/>
      </c>
      <c r="AN2422" s="115"/>
      <c r="AO2422" s="116"/>
      <c r="AP2422" s="116"/>
      <c r="AQ2422" s="116"/>
      <c r="AR2422" s="116"/>
      <c r="AS2422" s="116"/>
      <c r="AT2422" s="116"/>
      <c r="AU2422" s="116"/>
      <c r="AV2422" s="78"/>
      <c r="AW2422" s="102"/>
      <c r="AX2422" s="78"/>
      <c r="AY2422" s="78"/>
      <c r="AZ2422" s="78"/>
      <c r="BA2422" s="78"/>
      <c r="BB2422" s="78"/>
      <c r="BC2422" s="78"/>
      <c r="BD2422" s="78"/>
      <c r="BE2422" s="465"/>
      <c r="BF2422" s="165" t="str">
        <f t="shared" si="1795"/>
        <v>https://www.google.com/search?tbm=isch&amp;q=3%20G5</v>
      </c>
      <c r="BG2422" s="165" t="str">
        <f t="shared" si="1796"/>
        <v>J</v>
      </c>
      <c r="BH2422" s="65"/>
      <c r="BI2422" s="65"/>
      <c r="BJ2422" s="65"/>
      <c r="BK2422" s="65"/>
      <c r="BL2422" s="99"/>
      <c r="BM2422" s="99"/>
      <c r="BN2422" s="99"/>
    </row>
    <row r="2423" spans="1:66" s="51" customFormat="1" ht="15.75" x14ac:dyDescent="0.25">
      <c r="A2423" s="478">
        <v>7</v>
      </c>
      <c r="B2423" s="479" t="s">
        <v>291</v>
      </c>
      <c r="C2423" s="480" t="s">
        <v>569</v>
      </c>
      <c r="D2423" s="481" t="s">
        <v>311</v>
      </c>
      <c r="E2423" s="482">
        <v>79.95</v>
      </c>
      <c r="F2423" s="483" t="s">
        <v>292</v>
      </c>
      <c r="G2423" s="484">
        <v>0</v>
      </c>
      <c r="H2423" s="688" t="str">
        <f>IF(G2423=0,"",IF(F2423="Buy",IF(G2423=1,"plant","plants"),IF(F2423&gt;0.01,"warranty","Error")))</f>
        <v/>
      </c>
      <c r="I2423" s="485">
        <f>IF(H2423="free",0,IF(H2423="credit",((E2423*(F2423))*G2423*-1),IF(F2423="Buy",(E2423*G2423),((E2423*(1-F2423))*G2423))))</f>
        <v>0</v>
      </c>
      <c r="J2423" s="485">
        <f>IF(H2423="warranty",0,(I2423*(_xlfn.SINGLE(SalesTaxPercentage))))</f>
        <v>0</v>
      </c>
      <c r="K2423" s="715">
        <f t="shared" ref="K2423" si="1811">I2423+J2423</f>
        <v>0</v>
      </c>
      <c r="L2423" s="715"/>
      <c r="M2423" s="689" t="str">
        <f ca="1">IF(AND(G2423&gt;0,E2423=0),"WARNING - no PRICE inserted",IF(H2423="free","FREE ~ no charge this plant",IF(H2423="credit",CONCATENATE("-$",ROUND(K2423*(1-_xlfn.SINGLE(T2GDiscount))*-1,2)," CREDIT after discount"),IF(_xlfn.SINGLE(T2GDiscount)=0,"",IF(G2423=0,"",IF(F2423="Buy",CONCATENATE("$",ROUND(K2423*(1-_xlfn.SINGLE(T2GDiscount)),2)," with ",(_xlfn.SINGLE(T2GDiscount)*100),"% discount"),CONCATENATE("$",ROUND(K2423*(1-_xlfn.SINGLE(T2GDiscount)),2)," with ",((_xlfn.SINGLE(T2GDiscount)*100+F2423*100)-(_xlfn.SINGLE(T2GDiscount)*100*F2423)),IF(F2423&gt;0,"% discounts",IF(_xlfn.SINGLE(NoWarrantyDiscount)&gt;0,"% discounts","% discount")))))))))</f>
        <v/>
      </c>
      <c r="N2423" s="690"/>
      <c r="O2423" s="486"/>
      <c r="P2423" s="486"/>
      <c r="Q2423" s="486"/>
      <c r="R2423" s="486"/>
      <c r="S2423" s="486"/>
      <c r="T2423" s="102">
        <f t="shared" si="1784"/>
        <v>0</v>
      </c>
      <c r="U2423" s="78">
        <f>IF(NOT(ISNUMBER(G2423)), "", VLOOKUP(A2423,'Discount Lookup'!D:E,2,FALSE)*G2423)</f>
        <v>0</v>
      </c>
      <c r="V2423" s="78">
        <f>IF(NOT(ISNUMBER(G2423)), "", VLOOKUP(A2423,'Discount Lookup'!G:H,2,FALSE)*G2423)</f>
        <v>0</v>
      </c>
      <c r="W2423" s="102">
        <f t="shared" si="1785"/>
        <v>0</v>
      </c>
      <c r="X2423" s="102">
        <f t="shared" si="1786"/>
        <v>0</v>
      </c>
      <c r="Y2423" s="120" t="b">
        <f t="shared" si="1787"/>
        <v>0</v>
      </c>
      <c r="Z2423" s="117">
        <f t="shared" si="1788"/>
        <v>0</v>
      </c>
      <c r="AA2423" s="118"/>
      <c r="AB2423" s="118" t="str">
        <f t="shared" si="1789"/>
        <v/>
      </c>
      <c r="AC2423" s="712" t="str">
        <f>IF(AE2423="T2G","no charge",IF(AND(OR(PlanterYesMe="No",PlanterYesMe="N",PlanterYesMe="me"),H2423=""),"",IF(H2423="credit","NO install",IF(AND(K2423="",AE2423="me"),"EACH row",IF(AND(K2423="images",AE2423="me"),"EACH row",IF(D2423="","",IF(H2423="credit","",IF(AE2423="free","re-planting",IF(AE2423="me","   not ELP, by",IF(AND(OR(PlanterYesMe="Yes",PlanterYesMe="Y"),G2423&gt;0),(VLOOKUP(A2423,'Discount Lookup'!J:K,2)*G2423*(1-PlanterDiscount)*(1+PlanterDifficultyPercentage)),IF(AE2423="ELP",(VLOOKUP(A2423,'Discount Lookup'!J:K,2)*G2423*(1-PlanterDiscount)*(1+PlanterDifficultyPercentage)),IF(AE2423="free","re-planting",IF(G2423=0,"",IF(PlanterYesMe="",IF(AE2423="me","   not ELP, by",IF(AE2423="",IF(G2423&gt;0,(VLOOKUP(A2423,'Discount Lookup'!J:K,2)*G2423*(1-PlanterDiscount)*(1+PlanterDifficultyPercentage)),""),"")),"   not ELP, by"))))))))))))))</f>
        <v/>
      </c>
      <c r="AD2423" s="712"/>
      <c r="AE2423" s="513" t="str">
        <f t="shared" si="1790"/>
        <v/>
      </c>
      <c r="AF2423" s="713" t="str">
        <f t="shared" si="1791"/>
        <v/>
      </c>
      <c r="AG2423" s="713"/>
      <c r="AH2423" s="713"/>
      <c r="AI2423" s="112">
        <f>IF(H2423="credit",0,IF(AE2423="free",0,IF(AE2423="me",0,IF(G2423&gt;0,(VLOOKUP(A2423,'Discount Lookup'!J:K,2)*G2423),0))))</f>
        <v>0</v>
      </c>
      <c r="AJ2423" s="107" t="str">
        <f t="shared" ca="1" si="1792"/>
        <v/>
      </c>
      <c r="AK2423" s="714" t="str">
        <f t="shared" si="1793"/>
        <v/>
      </c>
      <c r="AL2423" s="714"/>
      <c r="AM2423" s="114" t="str">
        <f t="shared" si="1794"/>
        <v/>
      </c>
      <c r="AN2423" s="115"/>
      <c r="AO2423" s="116"/>
      <c r="AP2423" s="116"/>
      <c r="AQ2423" s="116"/>
      <c r="AR2423" s="116"/>
      <c r="AS2423" s="116"/>
      <c r="AT2423" s="116"/>
      <c r="AU2423" s="116"/>
      <c r="AV2423" s="78"/>
      <c r="AW2423" s="102"/>
      <c r="AX2423" s="78"/>
      <c r="AY2423" s="78"/>
      <c r="AZ2423" s="78"/>
      <c r="BA2423" s="78"/>
      <c r="BB2423" s="78"/>
      <c r="BC2423" s="78"/>
      <c r="BD2423" s="78"/>
      <c r="BE2423" s="465"/>
      <c r="BF2423" s="165" t="str">
        <f t="shared" si="1795"/>
        <v>https://www.google.com/search?tbm=isch&amp;q=7%20G5</v>
      </c>
      <c r="BG2423" s="165" t="str">
        <f t="shared" si="1796"/>
        <v>J</v>
      </c>
      <c r="BH2423" s="65"/>
      <c r="BI2423" s="65"/>
      <c r="BJ2423" s="65"/>
      <c r="BK2423" s="65"/>
      <c r="BL2423" s="99"/>
      <c r="BM2423" s="99"/>
      <c r="BN2423" s="99"/>
    </row>
    <row r="2424" spans="1:66" s="51" customFormat="1" ht="15.75" x14ac:dyDescent="0.25">
      <c r="A2424" s="478">
        <v>7</v>
      </c>
      <c r="B2424" s="479" t="s">
        <v>291</v>
      </c>
      <c r="C2424" s="480" t="s">
        <v>955</v>
      </c>
      <c r="D2424" s="481" t="s">
        <v>299</v>
      </c>
      <c r="E2424" s="482">
        <v>95.95</v>
      </c>
      <c r="F2424" s="483" t="s">
        <v>292</v>
      </c>
      <c r="G2424" s="484">
        <v>0</v>
      </c>
      <c r="H2424" s="688" t="str">
        <f>IF(G2424=0,"",IF(F2424="Buy",IF(G2424=1,"plant","plants"),IF(F2424&gt;0.01,"warranty","Error")))</f>
        <v/>
      </c>
      <c r="I2424" s="485">
        <f>IF(H2424="free",0,IF(H2424="credit",((E2424*(F2424))*G2424*-1),IF(F2424="Buy",(E2424*G2424),((E2424*(1-F2424))*G2424))))</f>
        <v>0</v>
      </c>
      <c r="J2424" s="485">
        <f>IF(H2424="warranty",0,(I2424*(_xlfn.SINGLE(SalesTaxPercentage))))</f>
        <v>0</v>
      </c>
      <c r="K2424" s="715">
        <f t="shared" ref="K2424" si="1812">I2424+J2424</f>
        <v>0</v>
      </c>
      <c r="L2424" s="715"/>
      <c r="M2424" s="689" t="str">
        <f ca="1">IF(AND(G2424&gt;0,E2424=0),"WARNING - no PRICE inserted",IF(H2424="free","FREE ~ no charge this plant",IF(H2424="credit",CONCATENATE("-$",ROUND(K2424*(1-_xlfn.SINGLE(T2GDiscount))*-1,2)," CREDIT after discount"),IF(_xlfn.SINGLE(T2GDiscount)=0,"",IF(G2424=0,"",IF(F2424="Buy",CONCATENATE("$",ROUND(K2424*(1-_xlfn.SINGLE(T2GDiscount)),2)," with ",(_xlfn.SINGLE(T2GDiscount)*100),"% discount"),CONCATENATE("$",ROUND(K2424*(1-_xlfn.SINGLE(T2GDiscount)),2)," with ",((_xlfn.SINGLE(T2GDiscount)*100+F2424*100)-(_xlfn.SINGLE(T2GDiscount)*100*F2424)),IF(F2424&gt;0,"% discounts",IF(_xlfn.SINGLE(NoWarrantyDiscount)&gt;0,"% discounts","% discount")))))))))</f>
        <v/>
      </c>
      <c r="N2424" s="690"/>
      <c r="O2424" s="486"/>
      <c r="P2424" s="486"/>
      <c r="Q2424" s="486"/>
      <c r="R2424" s="486"/>
      <c r="S2424" s="486"/>
      <c r="T2424" s="102">
        <f t="shared" si="1784"/>
        <v>0</v>
      </c>
      <c r="U2424" s="78">
        <f>IF(NOT(ISNUMBER(G2424)), "", VLOOKUP(A2424,'Discount Lookup'!D:E,2,FALSE)*G2424)</f>
        <v>0</v>
      </c>
      <c r="V2424" s="78">
        <f>IF(NOT(ISNUMBER(G2424)), "", VLOOKUP(A2424,'Discount Lookup'!G:H,2,FALSE)*G2424)</f>
        <v>0</v>
      </c>
      <c r="W2424" s="102">
        <f t="shared" si="1785"/>
        <v>0</v>
      </c>
      <c r="X2424" s="102">
        <f t="shared" si="1786"/>
        <v>0</v>
      </c>
      <c r="Y2424" s="120" t="b">
        <f t="shared" si="1787"/>
        <v>0</v>
      </c>
      <c r="Z2424" s="117">
        <f t="shared" si="1788"/>
        <v>0</v>
      </c>
      <c r="AA2424" s="118"/>
      <c r="AB2424" s="118" t="str">
        <f t="shared" si="1789"/>
        <v/>
      </c>
      <c r="AC2424" s="712" t="str">
        <f>IF(AE2424="T2G","no charge",IF(AND(OR(PlanterYesMe="No",PlanterYesMe="N",PlanterYesMe="me"),H2424=""),"",IF(H2424="credit","NO install",IF(AND(K2424="",AE2424="me"),"EACH row",IF(AND(K2424="images",AE2424="me"),"EACH row",IF(D2424="","",IF(H2424="credit","",IF(AE2424="free","re-planting",IF(AE2424="me","   not ELP, by",IF(AND(OR(PlanterYesMe="Yes",PlanterYesMe="Y"),G2424&gt;0),(VLOOKUP(A2424,'Discount Lookup'!J:K,2)*G2424*(1-PlanterDiscount)*(1+PlanterDifficultyPercentage)),IF(AE2424="ELP",(VLOOKUP(A2424,'Discount Lookup'!J:K,2)*G2424*(1-PlanterDiscount)*(1+PlanterDifficultyPercentage)),IF(AE2424="free","re-planting",IF(G2424=0,"",IF(PlanterYesMe="",IF(AE2424="me","   not ELP, by",IF(AE2424="",IF(G2424&gt;0,(VLOOKUP(A2424,'Discount Lookup'!J:K,2)*G2424*(1-PlanterDiscount)*(1+PlanterDifficultyPercentage)),""),"")),"   not ELP, by"))))))))))))))</f>
        <v/>
      </c>
      <c r="AD2424" s="712"/>
      <c r="AE2424" s="513" t="str">
        <f t="shared" si="1790"/>
        <v/>
      </c>
      <c r="AF2424" s="713" t="str">
        <f t="shared" si="1791"/>
        <v/>
      </c>
      <c r="AG2424" s="713"/>
      <c r="AH2424" s="713"/>
      <c r="AI2424" s="112">
        <f>IF(H2424="credit",0,IF(AE2424="free",0,IF(AE2424="me",0,IF(G2424&gt;0,(VLOOKUP(A2424,'Discount Lookup'!J:K,2)*G2424),0))))</f>
        <v>0</v>
      </c>
      <c r="AJ2424" s="107" t="str">
        <f t="shared" ca="1" si="1792"/>
        <v/>
      </c>
      <c r="AK2424" s="714" t="str">
        <f t="shared" si="1793"/>
        <v/>
      </c>
      <c r="AL2424" s="714"/>
      <c r="AM2424" s="114" t="str">
        <f t="shared" si="1794"/>
        <v/>
      </c>
      <c r="AN2424" s="115"/>
      <c r="AO2424" s="116"/>
      <c r="AP2424" s="116"/>
      <c r="AQ2424" s="116"/>
      <c r="AR2424" s="116"/>
      <c r="AS2424" s="116"/>
      <c r="AT2424" s="116"/>
      <c r="AU2424" s="116"/>
      <c r="AV2424" s="78"/>
      <c r="AW2424" s="102"/>
      <c r="AX2424" s="78"/>
      <c r="AY2424" s="78"/>
      <c r="AZ2424" s="78"/>
      <c r="BA2424" s="78"/>
      <c r="BB2424" s="78"/>
      <c r="BC2424" s="78"/>
      <c r="BD2424" s="78"/>
      <c r="BE2424" s="465"/>
      <c r="BF2424" s="165" t="str">
        <f t="shared" si="1795"/>
        <v>https://www.google.com/search?tbm=isch&amp;q=7%20G4</v>
      </c>
      <c r="BG2424" s="165" t="str">
        <f t="shared" si="1796"/>
        <v>J</v>
      </c>
      <c r="BH2424" s="65"/>
      <c r="BI2424" s="65"/>
      <c r="BJ2424" s="65"/>
      <c r="BK2424" s="65"/>
      <c r="BL2424" s="99"/>
      <c r="BM2424" s="99"/>
      <c r="BN2424" s="99"/>
    </row>
    <row r="2425" spans="1:66" s="51" customFormat="1" ht="15.75" x14ac:dyDescent="0.25">
      <c r="A2425" s="478">
        <v>15</v>
      </c>
      <c r="B2425" s="479" t="s">
        <v>291</v>
      </c>
      <c r="C2425" s="480" t="s">
        <v>4627</v>
      </c>
      <c r="D2425" s="481" t="s">
        <v>293</v>
      </c>
      <c r="E2425" s="482">
        <v>126.95</v>
      </c>
      <c r="F2425" s="483" t="s">
        <v>292</v>
      </c>
      <c r="G2425" s="484">
        <v>0</v>
      </c>
      <c r="H2425" s="688" t="str">
        <f>IF(G2425=0,"",IF(F2425="Buy",IF(G2425=1,"plant","plants"),IF(F2425&gt;0.01,"warranty","Error")))</f>
        <v/>
      </c>
      <c r="I2425" s="485">
        <f>IF(H2425="free",0,IF(H2425="credit",((E2425*(F2425))*G2425*-1),IF(F2425="Buy",(E2425*G2425),((E2425*(1-F2425))*G2425))))</f>
        <v>0</v>
      </c>
      <c r="J2425" s="485">
        <f>IF(H2425="warranty",0,(I2425*(_xlfn.SINGLE(SalesTaxPercentage))))</f>
        <v>0</v>
      </c>
      <c r="K2425" s="715">
        <f t="shared" ref="K2425" si="1813">I2425+J2425</f>
        <v>0</v>
      </c>
      <c r="L2425" s="715"/>
      <c r="M2425" s="689" t="str">
        <f ca="1">IF(AND(G2425&gt;0,E2425=0),"WARNING - no PRICE inserted",IF(H2425="free","FREE ~ no charge this plant",IF(H2425="credit",CONCATENATE("-$",ROUND(K2425*(1-_xlfn.SINGLE(T2GDiscount))*-1,2)," CREDIT after discount"),IF(_xlfn.SINGLE(T2GDiscount)=0,"",IF(G2425=0,"",IF(F2425="Buy",CONCATENATE("$",ROUND(K2425*(1-_xlfn.SINGLE(T2GDiscount)),2)," with ",(_xlfn.SINGLE(T2GDiscount)*100),"% discount"),CONCATENATE("$",ROUND(K2425*(1-_xlfn.SINGLE(T2GDiscount)),2)," with ",((_xlfn.SINGLE(T2GDiscount)*100+F2425*100)-(_xlfn.SINGLE(T2GDiscount)*100*F2425)),IF(F2425&gt;0,"% discounts",IF(_xlfn.SINGLE(NoWarrantyDiscount)&gt;0,"% discounts","% discount")))))))))</f>
        <v/>
      </c>
      <c r="N2425" s="690"/>
      <c r="O2425" s="486"/>
      <c r="P2425" s="486"/>
      <c r="Q2425" s="486"/>
      <c r="R2425" s="486"/>
      <c r="S2425" s="486"/>
      <c r="T2425" s="102">
        <f t="shared" si="1784"/>
        <v>0</v>
      </c>
      <c r="U2425" s="78">
        <f>IF(NOT(ISNUMBER(G2425)), "", VLOOKUP(A2425,'Discount Lookup'!D:E,2,FALSE)*G2425)</f>
        <v>0</v>
      </c>
      <c r="V2425" s="78">
        <f>IF(NOT(ISNUMBER(G2425)), "", VLOOKUP(A2425,'Discount Lookup'!G:H,2,FALSE)*G2425)</f>
        <v>0</v>
      </c>
      <c r="W2425" s="102">
        <f t="shared" si="1785"/>
        <v>0</v>
      </c>
      <c r="X2425" s="102">
        <f t="shared" si="1786"/>
        <v>0</v>
      </c>
      <c r="Y2425" s="120" t="b">
        <f t="shared" si="1787"/>
        <v>0</v>
      </c>
      <c r="Z2425" s="117">
        <f t="shared" si="1788"/>
        <v>0</v>
      </c>
      <c r="AA2425" s="118"/>
      <c r="AB2425" s="118" t="str">
        <f t="shared" si="1789"/>
        <v/>
      </c>
      <c r="AC2425" s="712" t="str">
        <f>IF(AE2425="T2G","no charge",IF(AND(OR(PlanterYesMe="No",PlanterYesMe="N",PlanterYesMe="me"),H2425=""),"",IF(H2425="credit","NO install",IF(AND(K2425="",AE2425="me"),"EACH row",IF(AND(K2425="images",AE2425="me"),"EACH row",IF(D2425="","",IF(H2425="credit","",IF(AE2425="free","re-planting",IF(AE2425="me","   not ELP, by",IF(AND(OR(PlanterYesMe="Yes",PlanterYesMe="Y"),G2425&gt;0),(VLOOKUP(A2425,'Discount Lookup'!J:K,2)*G2425*(1-PlanterDiscount)*(1+PlanterDifficultyPercentage)),IF(AE2425="ELP",(VLOOKUP(A2425,'Discount Lookup'!J:K,2)*G2425*(1-PlanterDiscount)*(1+PlanterDifficultyPercentage)),IF(AE2425="free","re-planting",IF(G2425=0,"",IF(PlanterYesMe="",IF(AE2425="me","   not ELP, by",IF(AE2425="",IF(G2425&gt;0,(VLOOKUP(A2425,'Discount Lookup'!J:K,2)*G2425*(1-PlanterDiscount)*(1+PlanterDifficultyPercentage)),""),"")),"   not ELP, by"))))))))))))))</f>
        <v/>
      </c>
      <c r="AD2425" s="712"/>
      <c r="AE2425" s="513" t="str">
        <f t="shared" si="1790"/>
        <v/>
      </c>
      <c r="AF2425" s="713" t="str">
        <f t="shared" si="1791"/>
        <v/>
      </c>
      <c r="AG2425" s="713"/>
      <c r="AH2425" s="713"/>
      <c r="AI2425" s="112">
        <f>IF(H2425="credit",0,IF(AE2425="free",0,IF(AE2425="me",0,IF(G2425&gt;0,(VLOOKUP(A2425,'Discount Lookup'!J:K,2)*G2425),0))))</f>
        <v>0</v>
      </c>
      <c r="AJ2425" s="107" t="str">
        <f t="shared" ca="1" si="1792"/>
        <v/>
      </c>
      <c r="AK2425" s="714" t="str">
        <f t="shared" si="1793"/>
        <v/>
      </c>
      <c r="AL2425" s="714"/>
      <c r="AM2425" s="114" t="str">
        <f t="shared" si="1794"/>
        <v/>
      </c>
      <c r="AN2425" s="115"/>
      <c r="AO2425" s="116"/>
      <c r="AP2425" s="116"/>
      <c r="AQ2425" s="116"/>
      <c r="AR2425" s="116"/>
      <c r="AS2425" s="116"/>
      <c r="AT2425" s="116"/>
      <c r="AU2425" s="116"/>
      <c r="AV2425" s="78"/>
      <c r="AW2425" s="102"/>
      <c r="AX2425" s="78"/>
      <c r="AY2425" s="78"/>
      <c r="AZ2425" s="78"/>
      <c r="BA2425" s="78"/>
      <c r="BB2425" s="78"/>
      <c r="BC2425" s="78"/>
      <c r="BD2425" s="78"/>
      <c r="BE2425" s="465"/>
      <c r="BF2425" s="165" t="str">
        <f t="shared" si="1795"/>
        <v>https://www.google.com/search?tbm=isch&amp;q=15%20G6</v>
      </c>
      <c r="BG2425" s="165" t="str">
        <f t="shared" si="1796"/>
        <v>J</v>
      </c>
      <c r="BH2425" s="65"/>
      <c r="BI2425" s="65"/>
      <c r="BJ2425" s="65"/>
      <c r="BK2425" s="65"/>
      <c r="BL2425" s="99"/>
      <c r="BM2425" s="99"/>
      <c r="BN2425" s="99"/>
    </row>
    <row r="2426" spans="1:66" s="51" customFormat="1" ht="15.75" x14ac:dyDescent="0.25">
      <c r="A2426" s="478">
        <v>15</v>
      </c>
      <c r="B2426" s="479" t="s">
        <v>291</v>
      </c>
      <c r="C2426" s="480" t="s">
        <v>847</v>
      </c>
      <c r="D2426" s="481" t="s">
        <v>311</v>
      </c>
      <c r="E2426" s="482">
        <v>160.94999999999999</v>
      </c>
      <c r="F2426" s="483" t="s">
        <v>292</v>
      </c>
      <c r="G2426" s="484">
        <v>0</v>
      </c>
      <c r="H2426" s="688" t="str">
        <f>IF(G2426=0,"",IF(F2426="Buy",IF(G2426=1,"plant","plants"),IF(F2426&gt;0.01,"warranty","Error")))</f>
        <v/>
      </c>
      <c r="I2426" s="485">
        <f>IF(H2426="free",0,IF(H2426="credit",((E2426*(F2426))*G2426*-1),IF(F2426="Buy",(E2426*G2426),((E2426*(1-F2426))*G2426))))</f>
        <v>0</v>
      </c>
      <c r="J2426" s="485">
        <f>IF(H2426="warranty",0,(I2426*(_xlfn.SINGLE(SalesTaxPercentage))))</f>
        <v>0</v>
      </c>
      <c r="K2426" s="715">
        <f t="shared" ref="K2426" si="1814">I2426+J2426</f>
        <v>0</v>
      </c>
      <c r="L2426" s="715"/>
      <c r="M2426" s="689" t="str">
        <f ca="1">IF(AND(G2426&gt;0,E2426=0),"WARNING - no PRICE inserted",IF(H2426="free","FREE ~ no charge this plant",IF(H2426="credit",CONCATENATE("-$",ROUND(K2426*(1-_xlfn.SINGLE(T2GDiscount))*-1,2)," CREDIT after discount"),IF(_xlfn.SINGLE(T2GDiscount)=0,"",IF(G2426=0,"",IF(F2426="Buy",CONCATENATE("$",ROUND(K2426*(1-_xlfn.SINGLE(T2GDiscount)),2)," with ",(_xlfn.SINGLE(T2GDiscount)*100),"% discount"),CONCATENATE("$",ROUND(K2426*(1-_xlfn.SINGLE(T2GDiscount)),2)," with ",((_xlfn.SINGLE(T2GDiscount)*100+F2426*100)-(_xlfn.SINGLE(T2GDiscount)*100*F2426)),IF(F2426&gt;0,"% discounts",IF(_xlfn.SINGLE(NoWarrantyDiscount)&gt;0,"% discounts","% discount")))))))))</f>
        <v/>
      </c>
      <c r="N2426" s="690"/>
      <c r="O2426" s="486"/>
      <c r="P2426" s="486"/>
      <c r="Q2426" s="486"/>
      <c r="R2426" s="486"/>
      <c r="S2426" s="486"/>
      <c r="T2426" s="102">
        <f t="shared" si="1784"/>
        <v>0</v>
      </c>
      <c r="U2426" s="78">
        <f>IF(NOT(ISNUMBER(G2426)), "", VLOOKUP(A2426,'Discount Lookup'!D:E,2,FALSE)*G2426)</f>
        <v>0</v>
      </c>
      <c r="V2426" s="78">
        <f>IF(NOT(ISNUMBER(G2426)), "", VLOOKUP(A2426,'Discount Lookup'!G:H,2,FALSE)*G2426)</f>
        <v>0</v>
      </c>
      <c r="W2426" s="102">
        <f t="shared" si="1785"/>
        <v>0</v>
      </c>
      <c r="X2426" s="102">
        <f t="shared" si="1786"/>
        <v>0</v>
      </c>
      <c r="Y2426" s="120" t="b">
        <f t="shared" si="1787"/>
        <v>0</v>
      </c>
      <c r="Z2426" s="117">
        <f t="shared" si="1788"/>
        <v>0</v>
      </c>
      <c r="AA2426" s="118"/>
      <c r="AB2426" s="118" t="str">
        <f t="shared" si="1789"/>
        <v/>
      </c>
      <c r="AC2426" s="712" t="str">
        <f>IF(AE2426="T2G","no charge",IF(AND(OR(PlanterYesMe="No",PlanterYesMe="N",PlanterYesMe="me"),H2426=""),"",IF(H2426="credit","NO install",IF(AND(K2426="",AE2426="me"),"EACH row",IF(AND(K2426="images",AE2426="me"),"EACH row",IF(D2426="","",IF(H2426="credit","",IF(AE2426="free","re-planting",IF(AE2426="me","   not ELP, by",IF(AND(OR(PlanterYesMe="Yes",PlanterYesMe="Y"),G2426&gt;0),(VLOOKUP(A2426,'Discount Lookup'!J:K,2)*G2426*(1-PlanterDiscount)*(1+PlanterDifficultyPercentage)),IF(AE2426="ELP",(VLOOKUP(A2426,'Discount Lookup'!J:K,2)*G2426*(1-PlanterDiscount)*(1+PlanterDifficultyPercentage)),IF(AE2426="free","re-planting",IF(G2426=0,"",IF(PlanterYesMe="",IF(AE2426="me","   not ELP, by",IF(AE2426="",IF(G2426&gt;0,(VLOOKUP(A2426,'Discount Lookup'!J:K,2)*G2426*(1-PlanterDiscount)*(1+PlanterDifficultyPercentage)),""),"")),"   not ELP, by"))))))))))))))</f>
        <v/>
      </c>
      <c r="AD2426" s="712"/>
      <c r="AE2426" s="513" t="str">
        <f t="shared" si="1790"/>
        <v/>
      </c>
      <c r="AF2426" s="713" t="str">
        <f t="shared" si="1791"/>
        <v/>
      </c>
      <c r="AG2426" s="713"/>
      <c r="AH2426" s="713"/>
      <c r="AI2426" s="112">
        <f>IF(H2426="credit",0,IF(AE2426="free",0,IF(AE2426="me",0,IF(G2426&gt;0,(VLOOKUP(A2426,'Discount Lookup'!J:K,2)*G2426),0))))</f>
        <v>0</v>
      </c>
      <c r="AJ2426" s="107" t="str">
        <f t="shared" ca="1" si="1792"/>
        <v/>
      </c>
      <c r="AK2426" s="714" t="str">
        <f t="shared" si="1793"/>
        <v/>
      </c>
      <c r="AL2426" s="714"/>
      <c r="AM2426" s="114" t="str">
        <f t="shared" si="1794"/>
        <v/>
      </c>
      <c r="AN2426" s="115"/>
      <c r="AO2426" s="116"/>
      <c r="AP2426" s="116"/>
      <c r="AQ2426" s="116"/>
      <c r="AR2426" s="116"/>
      <c r="AS2426" s="116"/>
      <c r="AT2426" s="116"/>
      <c r="AU2426" s="116"/>
      <c r="AV2426" s="78"/>
      <c r="AW2426" s="102"/>
      <c r="AX2426" s="78"/>
      <c r="AY2426" s="78"/>
      <c r="AZ2426" s="78"/>
      <c r="BA2426" s="78"/>
      <c r="BB2426" s="78"/>
      <c r="BC2426" s="78"/>
      <c r="BD2426" s="78"/>
      <c r="BE2426" s="465"/>
      <c r="BF2426" s="165" t="str">
        <f t="shared" si="1795"/>
        <v>https://www.google.com/search?tbm=isch&amp;q=15%20G5</v>
      </c>
      <c r="BG2426" s="165" t="str">
        <f t="shared" si="1796"/>
        <v>J</v>
      </c>
      <c r="BH2426" s="65"/>
      <c r="BI2426" s="65"/>
      <c r="BJ2426" s="65"/>
      <c r="BK2426" s="65"/>
      <c r="BL2426" s="99"/>
      <c r="BM2426" s="99"/>
      <c r="BN2426" s="99"/>
    </row>
    <row r="2427" spans="1:66" s="51" customFormat="1" ht="16.5" thickBot="1" x14ac:dyDescent="0.3">
      <c r="A2427" s="508" t="s">
        <v>831</v>
      </c>
      <c r="B2427" s="487"/>
      <c r="C2427" s="707"/>
      <c r="D2427" s="487"/>
      <c r="E2427" s="487"/>
      <c r="F2427" s="488"/>
      <c r="G2427" s="489"/>
      <c r="H2427" s="487"/>
      <c r="I2427" s="490"/>
      <c r="J2427" s="490"/>
      <c r="K2427" s="491"/>
      <c r="L2427" s="547"/>
      <c r="M2427" s="528"/>
      <c r="N2427" s="492"/>
      <c r="O2427" s="493"/>
      <c r="P2427" s="494"/>
      <c r="Q2427" s="492"/>
      <c r="R2427" s="492"/>
      <c r="S2427" s="699" t="s">
        <v>5259</v>
      </c>
      <c r="T2427" s="102">
        <f t="shared" si="1784"/>
        <v>0</v>
      </c>
      <c r="U2427" s="78" t="str">
        <f>IF(NOT(ISNUMBER(G2427)), "", VLOOKUP(A2427,'Discount Lookup'!D:E,2,FALSE)*G2427)</f>
        <v/>
      </c>
      <c r="V2427" s="78" t="str">
        <f>IF(NOT(ISNUMBER(G2427)), "", VLOOKUP(A2427,'Discount Lookup'!G:H,2,FALSE)*G2427)</f>
        <v/>
      </c>
      <c r="W2427" s="102">
        <f t="shared" si="1785"/>
        <v>0</v>
      </c>
      <c r="X2427" s="102">
        <f t="shared" si="1786"/>
        <v>0</v>
      </c>
      <c r="Y2427" s="120" t="b">
        <f t="shared" si="1787"/>
        <v>0</v>
      </c>
      <c r="Z2427" s="117">
        <f t="shared" si="1788"/>
        <v>0</v>
      </c>
      <c r="AA2427" s="118"/>
      <c r="AB2427" s="118" t="str">
        <f t="shared" si="1789"/>
        <v/>
      </c>
      <c r="AC2427" s="712" t="str">
        <f>IF(AE2427="T2G","no charge",IF(AND(OR(PlanterYesMe="No",PlanterYesMe="N",PlanterYesMe="me"),H2427=""),"",IF(H2427="credit","NO install",IF(AND(K2427="",AE2427="me"),"EACH row",IF(AND(K2427="images",AE2427="me"),"EACH row",IF(D2427="","",IF(H2427="credit","",IF(AE2427="free","re-planting",IF(AE2427="me","   not ELP, by",IF(AND(OR(PlanterYesMe="Yes",PlanterYesMe="Y"),G2427&gt;0),(VLOOKUP(A2427,'Discount Lookup'!J:K,2)*G2427*(1-PlanterDiscount)*(1+PlanterDifficultyPercentage)),IF(AE2427="ELP",(VLOOKUP(A2427,'Discount Lookup'!J:K,2)*G2427*(1-PlanterDiscount)*(1+PlanterDifficultyPercentage)),IF(AE2427="free","re-planting",IF(G2427=0,"",IF(PlanterYesMe="",IF(AE2427="me","   not ELP, by",IF(AE2427="",IF(G2427&gt;0,(VLOOKUP(A2427,'Discount Lookup'!J:K,2)*G2427*(1-PlanterDiscount)*(1+PlanterDifficultyPercentage)),""),"")),"   not ELP, by"))))))))))))))</f>
        <v/>
      </c>
      <c r="AD2427" s="712"/>
      <c r="AE2427" s="513" t="str">
        <f t="shared" si="1790"/>
        <v/>
      </c>
      <c r="AF2427" s="713" t="str">
        <f t="shared" si="1791"/>
        <v/>
      </c>
      <c r="AG2427" s="713"/>
      <c r="AH2427" s="713"/>
      <c r="AI2427" s="112">
        <f>IF(H2427="credit",0,IF(AE2427="free",0,IF(AE2427="me",0,IF(G2427&gt;0,(VLOOKUP(A2427,'Discount Lookup'!J:K,2)*G2427),0))))</f>
        <v>0</v>
      </c>
      <c r="AJ2427" s="107" t="str">
        <f t="shared" ca="1" si="1792"/>
        <v/>
      </c>
      <c r="AK2427" s="714" t="str">
        <f t="shared" si="1793"/>
        <v/>
      </c>
      <c r="AL2427" s="714"/>
      <c r="AM2427" s="114" t="str">
        <f t="shared" si="1794"/>
        <v/>
      </c>
      <c r="AN2427" s="115"/>
      <c r="AO2427" s="116"/>
      <c r="AP2427" s="116"/>
      <c r="AQ2427" s="116"/>
      <c r="AR2427" s="116"/>
      <c r="AS2427" s="116"/>
      <c r="AT2427" s="116"/>
      <c r="AU2427" s="116"/>
      <c r="AV2427" s="78"/>
      <c r="AW2427" s="102"/>
      <c r="AX2427" s="78"/>
      <c r="AY2427" s="78"/>
      <c r="AZ2427" s="78"/>
      <c r="BA2427" s="78"/>
      <c r="BB2427" s="78"/>
      <c r="BC2427" s="78"/>
      <c r="BD2427" s="78"/>
      <c r="BE2427" s="465"/>
      <c r="BF2427" s="165" t="str">
        <f t="shared" si="1795"/>
        <v>https://www.google.com/search?tbm=isch&amp;q=Spartan%20maintains%20a%20dense%2C%20narrow%20shape%20without%20shearing.%20Sun%2Fheat%2Fdrought%20tolerant%20</v>
      </c>
      <c r="BG2427" s="165" t="str">
        <f t="shared" si="1796"/>
        <v>S</v>
      </c>
      <c r="BH2427" s="65"/>
      <c r="BI2427" s="65"/>
      <c r="BJ2427" s="65"/>
      <c r="BK2427" s="65"/>
      <c r="BL2427" s="99"/>
      <c r="BM2427" s="99"/>
      <c r="BN2427" s="99"/>
    </row>
    <row r="2428" spans="1:66" s="51" customFormat="1" ht="18" x14ac:dyDescent="0.25">
      <c r="A2428" s="507" t="s">
        <v>570</v>
      </c>
      <c r="B2428" s="470"/>
      <c r="C2428" s="706"/>
      <c r="D2428" s="471" t="s">
        <v>571</v>
      </c>
      <c r="E2428" s="472"/>
      <c r="F2428" s="472"/>
      <c r="G2428" s="472"/>
      <c r="H2428" s="622" t="s">
        <v>327</v>
      </c>
      <c r="I2428" s="473" t="s">
        <v>431</v>
      </c>
      <c r="J2428" s="472"/>
      <c r="K2428" s="472"/>
      <c r="L2428" s="561"/>
      <c r="M2428" s="698" t="s">
        <v>5240</v>
      </c>
      <c r="N2428" s="692" t="str">
        <f>IF(AND(ISTEXT($A2428), ISERROR($A2428+0)), HYPERLINK($BF2428, "Images"), "")</f>
        <v>Images</v>
      </c>
      <c r="O2428" s="694" t="s">
        <v>5244</v>
      </c>
      <c r="P2428" s="475"/>
      <c r="Q2428" s="476"/>
      <c r="R2428" s="476"/>
      <c r="S2428" s="477"/>
      <c r="T2428" s="102">
        <f t="shared" si="1784"/>
        <v>0</v>
      </c>
      <c r="U2428" s="78" t="str">
        <f>IF(NOT(ISNUMBER(G2428)), "", VLOOKUP(A2428,'Discount Lookup'!D:E,2,FALSE)*G2428)</f>
        <v/>
      </c>
      <c r="V2428" s="78" t="str">
        <f>IF(NOT(ISNUMBER(G2428)), "", VLOOKUP(A2428,'Discount Lookup'!G:H,2,FALSE)*G2428)</f>
        <v/>
      </c>
      <c r="W2428" s="102">
        <f t="shared" si="1785"/>
        <v>0</v>
      </c>
      <c r="X2428" s="102" t="str">
        <f t="shared" si="1786"/>
        <v>Dark Green foliage</v>
      </c>
      <c r="Y2428" s="120" t="b">
        <f t="shared" si="1787"/>
        <v>0</v>
      </c>
      <c r="Z2428" s="117">
        <f t="shared" si="1788"/>
        <v>0</v>
      </c>
      <c r="AA2428" s="118"/>
      <c r="AB2428" s="118" t="str">
        <f t="shared" si="1789"/>
        <v/>
      </c>
      <c r="AC2428" s="712" t="str">
        <f>IF(AE2428="T2G","no charge",IF(AND(OR(PlanterYesMe="No",PlanterYesMe="N",PlanterYesMe="me"),H2428=""),"",IF(H2428="credit","NO install",IF(AND(K2428="",AE2428="me"),"EACH row",IF(AND(K2428="images",AE2428="me"),"EACH row",IF(D2428="","",IF(H2428="credit","",IF(AE2428="free","re-planting",IF(AE2428="me","   not ELP, by",IF(AND(OR(PlanterYesMe="Yes",PlanterYesMe="Y"),G2428&gt;0),(VLOOKUP(A2428,'Discount Lookup'!J:K,2)*G2428*(1-PlanterDiscount)*(1+PlanterDifficultyPercentage)),IF(AE2428="ELP",(VLOOKUP(A2428,'Discount Lookup'!J:K,2)*G2428*(1-PlanterDiscount)*(1+PlanterDifficultyPercentage)),IF(AE2428="free","re-planting",IF(G2428=0,"",IF(PlanterYesMe="",IF(AE2428="me","   not ELP, by",IF(AE2428="",IF(G2428&gt;0,(VLOOKUP(A2428,'Discount Lookup'!J:K,2)*G2428*(1-PlanterDiscount)*(1+PlanterDifficultyPercentage)),""),"")),"   not ELP, by"))))))))))))))</f>
        <v/>
      </c>
      <c r="AD2428" s="712"/>
      <c r="AE2428" s="513" t="str">
        <f t="shared" si="1790"/>
        <v/>
      </c>
      <c r="AF2428" s="713" t="str">
        <f t="shared" si="1791"/>
        <v/>
      </c>
      <c r="AG2428" s="713"/>
      <c r="AH2428" s="713"/>
      <c r="AI2428" s="112">
        <f>IF(H2428="credit",0,IF(AE2428="free",0,IF(AE2428="me",0,IF(G2428&gt;0,(VLOOKUP(A2428,'Discount Lookup'!J:K,2)*G2428),0))))</f>
        <v>0</v>
      </c>
      <c r="AJ2428" s="107" t="str">
        <f t="shared" ca="1" si="1792"/>
        <v/>
      </c>
      <c r="AK2428" s="714" t="str">
        <f t="shared" si="1793"/>
        <v/>
      </c>
      <c r="AL2428" s="714"/>
      <c r="AM2428" s="114" t="str">
        <f t="shared" si="1794"/>
        <v/>
      </c>
      <c r="AN2428" s="115"/>
      <c r="AO2428" s="116"/>
      <c r="AP2428" s="116"/>
      <c r="AQ2428" s="116"/>
      <c r="AR2428" s="116"/>
      <c r="AS2428" s="116"/>
      <c r="AT2428" s="116"/>
      <c r="AU2428" s="116"/>
      <c r="AV2428" s="78"/>
      <c r="AW2428" s="102"/>
      <c r="AX2428" s="78"/>
      <c r="AY2428" s="78"/>
      <c r="AZ2428" s="78"/>
      <c r="BA2428" s="78"/>
      <c r="BB2428" s="78"/>
      <c r="BC2428" s="78"/>
      <c r="BD2428" s="78"/>
      <c r="BE2428" s="465"/>
      <c r="BF2428" s="165" t="str">
        <f t="shared" si="1795"/>
        <v>https://www.google.com/search?tbm=isch&amp;q=Juniperus%20chinensis%20%27Torulosa%27%20Hollywood%20Juniper</v>
      </c>
      <c r="BG2428" s="165" t="str">
        <f t="shared" si="1796"/>
        <v>J</v>
      </c>
      <c r="BH2428" s="65"/>
      <c r="BI2428" s="65"/>
      <c r="BJ2428" s="65"/>
      <c r="BK2428" s="65"/>
      <c r="BL2428" s="99"/>
      <c r="BM2428" s="99"/>
      <c r="BN2428" s="99"/>
    </row>
    <row r="2429" spans="1:66" s="51" customFormat="1" ht="15.75" x14ac:dyDescent="0.25">
      <c r="A2429" s="478">
        <v>7</v>
      </c>
      <c r="B2429" s="479" t="s">
        <v>291</v>
      </c>
      <c r="C2429" s="480" t="s">
        <v>961</v>
      </c>
      <c r="D2429" s="481" t="s">
        <v>299</v>
      </c>
      <c r="E2429" s="482">
        <v>95.95</v>
      </c>
      <c r="F2429" s="483" t="s">
        <v>292</v>
      </c>
      <c r="G2429" s="484">
        <v>0</v>
      </c>
      <c r="H2429" s="688" t="str">
        <f>IF(G2429=0,"",IF(F2429="Buy",IF(G2429=1,"plant","plants"),IF(F2429&gt;0.01,"warranty","Error")))</f>
        <v/>
      </c>
      <c r="I2429" s="485">
        <f>IF(H2429="free",0,IF(H2429="credit",((E2429*(F2429))*G2429*-1),IF(F2429="Buy",(E2429*G2429),((E2429*(1-F2429))*G2429))))</f>
        <v>0</v>
      </c>
      <c r="J2429" s="485">
        <f>IF(H2429="warranty",0,(I2429*(_xlfn.SINGLE(SalesTaxPercentage))))</f>
        <v>0</v>
      </c>
      <c r="K2429" s="715">
        <f t="shared" ref="K2429" si="1815">I2429+J2429</f>
        <v>0</v>
      </c>
      <c r="L2429" s="715"/>
      <c r="M2429" s="689" t="str">
        <f ca="1">IF(AND(G2429&gt;0,E2429=0),"WARNING - no PRICE inserted",IF(H2429="free","FREE ~ no charge this plant",IF(H2429="credit",CONCATENATE("-$",ROUND(K2429*(1-_xlfn.SINGLE(T2GDiscount))*-1,2)," CREDIT after discount"),IF(_xlfn.SINGLE(T2GDiscount)=0,"",IF(G2429=0,"",IF(F2429="Buy",CONCATENATE("$",ROUND(K2429*(1-_xlfn.SINGLE(T2GDiscount)),2)," with ",(_xlfn.SINGLE(T2GDiscount)*100),"% discount"),CONCATENATE("$",ROUND(K2429*(1-_xlfn.SINGLE(T2GDiscount)),2)," with ",((_xlfn.SINGLE(T2GDiscount)*100+F2429*100)-(_xlfn.SINGLE(T2GDiscount)*100*F2429)),IF(F2429&gt;0,"% discounts",IF(_xlfn.SINGLE(NoWarrantyDiscount)&gt;0,"% discounts","% discount")))))))))</f>
        <v/>
      </c>
      <c r="N2429" s="690"/>
      <c r="O2429" s="486"/>
      <c r="P2429" s="486"/>
      <c r="Q2429" s="486"/>
      <c r="R2429" s="486"/>
      <c r="S2429" s="486"/>
      <c r="T2429" s="102">
        <f t="shared" si="1784"/>
        <v>0</v>
      </c>
      <c r="U2429" s="78">
        <f>IF(NOT(ISNUMBER(G2429)), "", VLOOKUP(A2429,'Discount Lookup'!D:E,2,FALSE)*G2429)</f>
        <v>0</v>
      </c>
      <c r="V2429" s="78">
        <f>IF(NOT(ISNUMBER(G2429)), "", VLOOKUP(A2429,'Discount Lookup'!G:H,2,FALSE)*G2429)</f>
        <v>0</v>
      </c>
      <c r="W2429" s="102">
        <f t="shared" si="1785"/>
        <v>0</v>
      </c>
      <c r="X2429" s="102">
        <f t="shared" si="1786"/>
        <v>0</v>
      </c>
      <c r="Y2429" s="120" t="b">
        <f t="shared" si="1787"/>
        <v>0</v>
      </c>
      <c r="Z2429" s="117">
        <f t="shared" si="1788"/>
        <v>0</v>
      </c>
      <c r="AA2429" s="118"/>
      <c r="AB2429" s="118" t="str">
        <f t="shared" si="1789"/>
        <v/>
      </c>
      <c r="AC2429" s="712" t="str">
        <f>IF(AE2429="T2G","no charge",IF(AND(OR(PlanterYesMe="No",PlanterYesMe="N",PlanterYesMe="me"),H2429=""),"",IF(H2429="credit","NO install",IF(AND(K2429="",AE2429="me"),"EACH row",IF(AND(K2429="images",AE2429="me"),"EACH row",IF(D2429="","",IF(H2429="credit","",IF(AE2429="free","re-planting",IF(AE2429="me","   not ELP, by",IF(AND(OR(PlanterYesMe="Yes",PlanterYesMe="Y"),G2429&gt;0),(VLOOKUP(A2429,'Discount Lookup'!J:K,2)*G2429*(1-PlanterDiscount)*(1+PlanterDifficultyPercentage)),IF(AE2429="ELP",(VLOOKUP(A2429,'Discount Lookup'!J:K,2)*G2429*(1-PlanterDiscount)*(1+PlanterDifficultyPercentage)),IF(AE2429="free","re-planting",IF(G2429=0,"",IF(PlanterYesMe="",IF(AE2429="me","   not ELP, by",IF(AE2429="",IF(G2429&gt;0,(VLOOKUP(A2429,'Discount Lookup'!J:K,2)*G2429*(1-PlanterDiscount)*(1+PlanterDifficultyPercentage)),""),"")),"   not ELP, by"))))))))))))))</f>
        <v/>
      </c>
      <c r="AD2429" s="712"/>
      <c r="AE2429" s="513" t="str">
        <f t="shared" si="1790"/>
        <v/>
      </c>
      <c r="AF2429" s="713" t="str">
        <f t="shared" si="1791"/>
        <v/>
      </c>
      <c r="AG2429" s="713"/>
      <c r="AH2429" s="713"/>
      <c r="AI2429" s="112">
        <f>IF(H2429="credit",0,IF(AE2429="free",0,IF(AE2429="me",0,IF(G2429&gt;0,(VLOOKUP(A2429,'Discount Lookup'!J:K,2)*G2429),0))))</f>
        <v>0</v>
      </c>
      <c r="AJ2429" s="107" t="str">
        <f t="shared" ca="1" si="1792"/>
        <v/>
      </c>
      <c r="AK2429" s="714" t="str">
        <f t="shared" si="1793"/>
        <v/>
      </c>
      <c r="AL2429" s="714"/>
      <c r="AM2429" s="114" t="str">
        <f t="shared" si="1794"/>
        <v/>
      </c>
      <c r="AN2429" s="115"/>
      <c r="AO2429" s="116"/>
      <c r="AP2429" s="116"/>
      <c r="AQ2429" s="116"/>
      <c r="AR2429" s="116"/>
      <c r="AS2429" s="116"/>
      <c r="AT2429" s="116"/>
      <c r="AU2429" s="116"/>
      <c r="AV2429" s="78"/>
      <c r="AW2429" s="102"/>
      <c r="AX2429" s="78"/>
      <c r="AY2429" s="78"/>
      <c r="AZ2429" s="78"/>
      <c r="BA2429" s="78"/>
      <c r="BB2429" s="78"/>
      <c r="BC2429" s="78"/>
      <c r="BD2429" s="78"/>
      <c r="BE2429" s="465"/>
      <c r="BF2429" s="165" t="str">
        <f t="shared" si="1795"/>
        <v>https://www.google.com/search?tbm=isch&amp;q=7%20G4</v>
      </c>
      <c r="BG2429" s="165" t="str">
        <f t="shared" si="1796"/>
        <v>J</v>
      </c>
      <c r="BH2429" s="65"/>
      <c r="BI2429" s="65"/>
      <c r="BJ2429" s="65"/>
      <c r="BK2429" s="65"/>
      <c r="BL2429" s="99"/>
      <c r="BM2429" s="99"/>
      <c r="BN2429" s="99"/>
    </row>
    <row r="2430" spans="1:66" s="51" customFormat="1" ht="15.75" x14ac:dyDescent="0.25">
      <c r="A2430" s="478">
        <v>15</v>
      </c>
      <c r="B2430" s="479" t="s">
        <v>291</v>
      </c>
      <c r="C2430" s="480" t="s">
        <v>919</v>
      </c>
      <c r="D2430" s="481" t="s">
        <v>299</v>
      </c>
      <c r="E2430" s="482">
        <v>183.95</v>
      </c>
      <c r="F2430" s="483" t="s">
        <v>292</v>
      </c>
      <c r="G2430" s="484">
        <v>0</v>
      </c>
      <c r="H2430" s="688" t="str">
        <f>IF(G2430=0,"",IF(F2430="Buy",IF(G2430=1,"plant","plants"),IF(F2430&gt;0.01,"warranty","Error")))</f>
        <v/>
      </c>
      <c r="I2430" s="485">
        <f>IF(H2430="free",0,IF(H2430="credit",((E2430*(F2430))*G2430*-1),IF(F2430="Buy",(E2430*G2430),((E2430*(1-F2430))*G2430))))</f>
        <v>0</v>
      </c>
      <c r="J2430" s="485">
        <f>IF(H2430="warranty",0,(I2430*(_xlfn.SINGLE(SalesTaxPercentage))))</f>
        <v>0</v>
      </c>
      <c r="K2430" s="715">
        <f t="shared" ref="K2430" si="1816">I2430+J2430</f>
        <v>0</v>
      </c>
      <c r="L2430" s="715"/>
      <c r="M2430" s="689" t="str">
        <f ca="1">IF(AND(G2430&gt;0,E2430=0),"WARNING - no PRICE inserted",IF(H2430="free","FREE ~ no charge this plant",IF(H2430="credit",CONCATENATE("-$",ROUND(K2430*(1-_xlfn.SINGLE(T2GDiscount))*-1,2)," CREDIT after discount"),IF(_xlfn.SINGLE(T2GDiscount)=0,"",IF(G2430=0,"",IF(F2430="Buy",CONCATENATE("$",ROUND(K2430*(1-_xlfn.SINGLE(T2GDiscount)),2)," with ",(_xlfn.SINGLE(T2GDiscount)*100),"% discount"),CONCATENATE("$",ROUND(K2430*(1-_xlfn.SINGLE(T2GDiscount)),2)," with ",((_xlfn.SINGLE(T2GDiscount)*100+F2430*100)-(_xlfn.SINGLE(T2GDiscount)*100*F2430)),IF(F2430&gt;0,"% discounts",IF(_xlfn.SINGLE(NoWarrantyDiscount)&gt;0,"% discounts","% discount")))))))))</f>
        <v/>
      </c>
      <c r="N2430" s="690"/>
      <c r="O2430" s="486"/>
      <c r="P2430" s="486"/>
      <c r="Q2430" s="486"/>
      <c r="R2430" s="486"/>
      <c r="S2430" s="486"/>
      <c r="T2430" s="102">
        <f t="shared" si="1784"/>
        <v>0</v>
      </c>
      <c r="U2430" s="78">
        <f>IF(NOT(ISNUMBER(G2430)), "", VLOOKUP(A2430,'Discount Lookup'!D:E,2,FALSE)*G2430)</f>
        <v>0</v>
      </c>
      <c r="V2430" s="78">
        <f>IF(NOT(ISNUMBER(G2430)), "", VLOOKUP(A2430,'Discount Lookup'!G:H,2,FALSE)*G2430)</f>
        <v>0</v>
      </c>
      <c r="W2430" s="102">
        <f t="shared" si="1785"/>
        <v>0</v>
      </c>
      <c r="X2430" s="102">
        <f t="shared" si="1786"/>
        <v>0</v>
      </c>
      <c r="Y2430" s="120" t="b">
        <f t="shared" si="1787"/>
        <v>0</v>
      </c>
      <c r="Z2430" s="117">
        <f t="shared" si="1788"/>
        <v>0</v>
      </c>
      <c r="AA2430" s="118"/>
      <c r="AB2430" s="118" t="str">
        <f t="shared" si="1789"/>
        <v/>
      </c>
      <c r="AC2430" s="712" t="str">
        <f>IF(AE2430="T2G","no charge",IF(AND(OR(PlanterYesMe="No",PlanterYesMe="N",PlanterYesMe="me"),H2430=""),"",IF(H2430="credit","NO install",IF(AND(K2430="",AE2430="me"),"EACH row",IF(AND(K2430="images",AE2430="me"),"EACH row",IF(D2430="","",IF(H2430="credit","",IF(AE2430="free","re-planting",IF(AE2430="me","   not ELP, by",IF(AND(OR(PlanterYesMe="Yes",PlanterYesMe="Y"),G2430&gt;0),(VLOOKUP(A2430,'Discount Lookup'!J:K,2)*G2430*(1-PlanterDiscount)*(1+PlanterDifficultyPercentage)),IF(AE2430="ELP",(VLOOKUP(A2430,'Discount Lookup'!J:K,2)*G2430*(1-PlanterDiscount)*(1+PlanterDifficultyPercentage)),IF(AE2430="free","re-planting",IF(G2430=0,"",IF(PlanterYesMe="",IF(AE2430="me","   not ELP, by",IF(AE2430="",IF(G2430&gt;0,(VLOOKUP(A2430,'Discount Lookup'!J:K,2)*G2430*(1-PlanterDiscount)*(1+PlanterDifficultyPercentage)),""),"")),"   not ELP, by"))))))))))))))</f>
        <v/>
      </c>
      <c r="AD2430" s="712"/>
      <c r="AE2430" s="513" t="str">
        <f t="shared" si="1790"/>
        <v/>
      </c>
      <c r="AF2430" s="713" t="str">
        <f t="shared" si="1791"/>
        <v/>
      </c>
      <c r="AG2430" s="713"/>
      <c r="AH2430" s="713"/>
      <c r="AI2430" s="112">
        <f>IF(H2430="credit",0,IF(AE2430="free",0,IF(AE2430="me",0,IF(G2430&gt;0,(VLOOKUP(A2430,'Discount Lookup'!J:K,2)*G2430),0))))</f>
        <v>0</v>
      </c>
      <c r="AJ2430" s="107" t="str">
        <f t="shared" ca="1" si="1792"/>
        <v/>
      </c>
      <c r="AK2430" s="714" t="str">
        <f t="shared" si="1793"/>
        <v/>
      </c>
      <c r="AL2430" s="714"/>
      <c r="AM2430" s="114" t="str">
        <f t="shared" si="1794"/>
        <v/>
      </c>
      <c r="AN2430" s="115"/>
      <c r="AO2430" s="116"/>
      <c r="AP2430" s="116"/>
      <c r="AQ2430" s="116"/>
      <c r="AR2430" s="116"/>
      <c r="AS2430" s="116"/>
      <c r="AT2430" s="116"/>
      <c r="AU2430" s="116"/>
      <c r="AV2430" s="78"/>
      <c r="AW2430" s="102"/>
      <c r="AX2430" s="78"/>
      <c r="AY2430" s="78"/>
      <c r="AZ2430" s="78"/>
      <c r="BA2430" s="78"/>
      <c r="BB2430" s="78"/>
      <c r="BC2430" s="78"/>
      <c r="BD2430" s="78"/>
      <c r="BE2430" s="465"/>
      <c r="BF2430" s="165" t="str">
        <f t="shared" si="1795"/>
        <v>https://www.google.com/search?tbm=isch&amp;q=15%20G4</v>
      </c>
      <c r="BG2430" s="165" t="str">
        <f t="shared" si="1796"/>
        <v>J</v>
      </c>
      <c r="BH2430" s="65"/>
      <c r="BI2430" s="65"/>
      <c r="BJ2430" s="65"/>
      <c r="BK2430" s="65"/>
      <c r="BL2430" s="99"/>
      <c r="BM2430" s="99"/>
      <c r="BN2430" s="99"/>
    </row>
    <row r="2431" spans="1:66" s="51" customFormat="1" ht="15.75" x14ac:dyDescent="0.25">
      <c r="A2431" s="478">
        <v>25</v>
      </c>
      <c r="B2431" s="479" t="s">
        <v>291</v>
      </c>
      <c r="C2431" s="480" t="s">
        <v>962</v>
      </c>
      <c r="D2431" s="481" t="s">
        <v>299</v>
      </c>
      <c r="E2431" s="482">
        <v>401.95</v>
      </c>
      <c r="F2431" s="483" t="s">
        <v>292</v>
      </c>
      <c r="G2431" s="484">
        <v>0</v>
      </c>
      <c r="H2431" s="688" t="str">
        <f>IF(G2431=0,"",IF(F2431="Buy",IF(G2431=1,"plant","plants"),IF(F2431&gt;0.01,"warranty","Error")))</f>
        <v/>
      </c>
      <c r="I2431" s="485">
        <f>IF(H2431="free",0,IF(H2431="credit",((E2431*(F2431))*G2431*-1),IF(F2431="Buy",(E2431*G2431),((E2431*(1-F2431))*G2431))))</f>
        <v>0</v>
      </c>
      <c r="J2431" s="485">
        <f>IF(H2431="warranty",0,(I2431*(_xlfn.SINGLE(SalesTaxPercentage))))</f>
        <v>0</v>
      </c>
      <c r="K2431" s="715">
        <f t="shared" ref="K2431" si="1817">I2431+J2431</f>
        <v>0</v>
      </c>
      <c r="L2431" s="715"/>
      <c r="M2431" s="689" t="str">
        <f ca="1">IF(AND(G2431&gt;0,E2431=0),"WARNING - no PRICE inserted",IF(H2431="free","FREE ~ no charge this plant",IF(H2431="credit",CONCATENATE("-$",ROUND(K2431*(1-_xlfn.SINGLE(T2GDiscount))*-1,2)," CREDIT after discount"),IF(_xlfn.SINGLE(T2GDiscount)=0,"",IF(G2431=0,"",IF(F2431="Buy",CONCATENATE("$",ROUND(K2431*(1-_xlfn.SINGLE(T2GDiscount)),2)," with ",(_xlfn.SINGLE(T2GDiscount)*100),"% discount"),CONCATENATE("$",ROUND(K2431*(1-_xlfn.SINGLE(T2GDiscount)),2)," with ",((_xlfn.SINGLE(T2GDiscount)*100+F2431*100)-(_xlfn.SINGLE(T2GDiscount)*100*F2431)),IF(F2431&gt;0,"% discounts",IF(_xlfn.SINGLE(NoWarrantyDiscount)&gt;0,"% discounts","% discount")))))))))</f>
        <v/>
      </c>
      <c r="N2431" s="690"/>
      <c r="O2431" s="486"/>
      <c r="P2431" s="486"/>
      <c r="Q2431" s="486"/>
      <c r="R2431" s="486"/>
      <c r="S2431" s="486"/>
      <c r="T2431" s="102">
        <f t="shared" si="1784"/>
        <v>0</v>
      </c>
      <c r="U2431" s="78">
        <f>IF(NOT(ISNUMBER(G2431)), "", VLOOKUP(A2431,'Discount Lookup'!D:E,2,FALSE)*G2431)</f>
        <v>0</v>
      </c>
      <c r="V2431" s="78">
        <f>IF(NOT(ISNUMBER(G2431)), "", VLOOKUP(A2431,'Discount Lookup'!G:H,2,FALSE)*G2431)</f>
        <v>0</v>
      </c>
      <c r="W2431" s="102">
        <f t="shared" si="1785"/>
        <v>0</v>
      </c>
      <c r="X2431" s="102">
        <f t="shared" si="1786"/>
        <v>0</v>
      </c>
      <c r="Y2431" s="120" t="b">
        <f t="shared" si="1787"/>
        <v>0</v>
      </c>
      <c r="Z2431" s="117">
        <f t="shared" si="1788"/>
        <v>0</v>
      </c>
      <c r="AA2431" s="118"/>
      <c r="AB2431" s="118" t="str">
        <f t="shared" si="1789"/>
        <v/>
      </c>
      <c r="AC2431" s="712" t="str">
        <f>IF(AE2431="T2G","no charge",IF(AND(OR(PlanterYesMe="No",PlanterYesMe="N",PlanterYesMe="me"),H2431=""),"",IF(H2431="credit","NO install",IF(AND(K2431="",AE2431="me"),"EACH row",IF(AND(K2431="images",AE2431="me"),"EACH row",IF(D2431="","",IF(H2431="credit","",IF(AE2431="free","re-planting",IF(AE2431="me","   not ELP, by",IF(AND(OR(PlanterYesMe="Yes",PlanterYesMe="Y"),G2431&gt;0),(VLOOKUP(A2431,'Discount Lookup'!J:K,2)*G2431*(1-PlanterDiscount)*(1+PlanterDifficultyPercentage)),IF(AE2431="ELP",(VLOOKUP(A2431,'Discount Lookup'!J:K,2)*G2431*(1-PlanterDiscount)*(1+PlanterDifficultyPercentage)),IF(AE2431="free","re-planting",IF(G2431=0,"",IF(PlanterYesMe="",IF(AE2431="me","   not ELP, by",IF(AE2431="",IF(G2431&gt;0,(VLOOKUP(A2431,'Discount Lookup'!J:K,2)*G2431*(1-PlanterDiscount)*(1+PlanterDifficultyPercentage)),""),"")),"   not ELP, by"))))))))))))))</f>
        <v/>
      </c>
      <c r="AD2431" s="712"/>
      <c r="AE2431" s="513" t="str">
        <f t="shared" si="1790"/>
        <v/>
      </c>
      <c r="AF2431" s="713" t="str">
        <f t="shared" si="1791"/>
        <v/>
      </c>
      <c r="AG2431" s="713"/>
      <c r="AH2431" s="713"/>
      <c r="AI2431" s="112">
        <f>IF(H2431="credit",0,IF(AE2431="free",0,IF(AE2431="me",0,IF(G2431&gt;0,(VLOOKUP(A2431,'Discount Lookup'!J:K,2)*G2431),0))))</f>
        <v>0</v>
      </c>
      <c r="AJ2431" s="107" t="str">
        <f t="shared" ca="1" si="1792"/>
        <v/>
      </c>
      <c r="AK2431" s="714" t="str">
        <f t="shared" si="1793"/>
        <v/>
      </c>
      <c r="AL2431" s="714"/>
      <c r="AM2431" s="114" t="str">
        <f t="shared" si="1794"/>
        <v/>
      </c>
      <c r="AN2431" s="115"/>
      <c r="AO2431" s="116"/>
      <c r="AP2431" s="116"/>
      <c r="AQ2431" s="116"/>
      <c r="AR2431" s="116"/>
      <c r="AS2431" s="116"/>
      <c r="AT2431" s="116"/>
      <c r="AU2431" s="116"/>
      <c r="AV2431" s="78"/>
      <c r="AW2431" s="102"/>
      <c r="AX2431" s="78"/>
      <c r="AY2431" s="78"/>
      <c r="AZ2431" s="78"/>
      <c r="BA2431" s="78"/>
      <c r="BB2431" s="78"/>
      <c r="BC2431" s="78"/>
      <c r="BD2431" s="78"/>
      <c r="BE2431" s="465"/>
      <c r="BF2431" s="165" t="str">
        <f t="shared" si="1795"/>
        <v>https://www.google.com/search?tbm=isch&amp;q=25%20G4</v>
      </c>
      <c r="BG2431" s="165" t="str">
        <f t="shared" si="1796"/>
        <v>J</v>
      </c>
      <c r="BH2431" s="65"/>
      <c r="BI2431" s="65"/>
      <c r="BJ2431" s="65"/>
      <c r="BK2431" s="65"/>
      <c r="BL2431" s="99"/>
      <c r="BM2431" s="99"/>
      <c r="BN2431" s="99"/>
    </row>
    <row r="2432" spans="1:66" s="51" customFormat="1" ht="27" x14ac:dyDescent="0.25">
      <c r="A2432" s="478">
        <v>25</v>
      </c>
      <c r="B2432" s="479" t="s">
        <v>291</v>
      </c>
      <c r="C2432" s="480" t="s">
        <v>963</v>
      </c>
      <c r="D2432" s="481" t="s">
        <v>299</v>
      </c>
      <c r="E2432" s="482">
        <v>891.95</v>
      </c>
      <c r="F2432" s="483" t="s">
        <v>292</v>
      </c>
      <c r="G2432" s="484">
        <v>0</v>
      </c>
      <c r="H2432" s="688" t="str">
        <f>IF(G2432=0,"",IF(F2432="Buy",IF(G2432=1,"plant","plants"),IF(F2432&gt;0.01,"warranty","Error")))</f>
        <v/>
      </c>
      <c r="I2432" s="485">
        <f>IF(H2432="free",0,IF(H2432="credit",((E2432*(F2432))*G2432*-1),IF(F2432="Buy",(E2432*G2432),((E2432*(1-F2432))*G2432))))</f>
        <v>0</v>
      </c>
      <c r="J2432" s="485">
        <f>IF(H2432="warranty",0,(I2432*(_xlfn.SINGLE(SalesTaxPercentage))))</f>
        <v>0</v>
      </c>
      <c r="K2432" s="715">
        <f t="shared" ref="K2432" si="1818">I2432+J2432</f>
        <v>0</v>
      </c>
      <c r="L2432" s="715"/>
      <c r="M2432" s="689" t="str">
        <f ca="1">IF(AND(G2432&gt;0,E2432=0),"WARNING - no PRICE inserted",IF(H2432="free","FREE ~ no charge this plant",IF(H2432="credit",CONCATENATE("-$",ROUND(K2432*(1-_xlfn.SINGLE(T2GDiscount))*-1,2)," CREDIT after discount"),IF(_xlfn.SINGLE(T2GDiscount)=0,"",IF(G2432=0,"",IF(F2432="Buy",CONCATENATE("$",ROUND(K2432*(1-_xlfn.SINGLE(T2GDiscount)),2)," with ",(_xlfn.SINGLE(T2GDiscount)*100),"% discount"),CONCATENATE("$",ROUND(K2432*(1-_xlfn.SINGLE(T2GDiscount)),2)," with ",((_xlfn.SINGLE(T2GDiscount)*100+F2432*100)-(_xlfn.SINGLE(T2GDiscount)*100*F2432)),IF(F2432&gt;0,"% discounts",IF(_xlfn.SINGLE(NoWarrantyDiscount)&gt;0,"% discounts","% discount")))))))))</f>
        <v/>
      </c>
      <c r="N2432" s="690"/>
      <c r="O2432" s="486"/>
      <c r="P2432" s="486"/>
      <c r="Q2432" s="486"/>
      <c r="R2432" s="486"/>
      <c r="S2432" s="486"/>
      <c r="T2432" s="102">
        <f t="shared" si="1784"/>
        <v>0</v>
      </c>
      <c r="U2432" s="78">
        <f>IF(NOT(ISNUMBER(G2432)), "", VLOOKUP(A2432,'Discount Lookup'!D:E,2,FALSE)*G2432)</f>
        <v>0</v>
      </c>
      <c r="V2432" s="78">
        <f>IF(NOT(ISNUMBER(G2432)), "", VLOOKUP(A2432,'Discount Lookup'!G:H,2,FALSE)*G2432)</f>
        <v>0</v>
      </c>
      <c r="W2432" s="102">
        <f t="shared" si="1785"/>
        <v>0</v>
      </c>
      <c r="X2432" s="102">
        <f t="shared" si="1786"/>
        <v>0</v>
      </c>
      <c r="Y2432" s="120" t="b">
        <f t="shared" si="1787"/>
        <v>0</v>
      </c>
      <c r="Z2432" s="117">
        <f t="shared" si="1788"/>
        <v>0</v>
      </c>
      <c r="AA2432" s="118"/>
      <c r="AB2432" s="118" t="str">
        <f t="shared" si="1789"/>
        <v/>
      </c>
      <c r="AC2432" s="712" t="str">
        <f>IF(AE2432="T2G","no charge",IF(AND(OR(PlanterYesMe="No",PlanterYesMe="N",PlanterYesMe="me"),H2432=""),"",IF(H2432="credit","NO install",IF(AND(K2432="",AE2432="me"),"EACH row",IF(AND(K2432="images",AE2432="me"),"EACH row",IF(D2432="","",IF(H2432="credit","",IF(AE2432="free","re-planting",IF(AE2432="me","   not ELP, by",IF(AND(OR(PlanterYesMe="Yes",PlanterYesMe="Y"),G2432&gt;0),(VLOOKUP(A2432,'Discount Lookup'!J:K,2)*G2432*(1-PlanterDiscount)*(1+PlanterDifficultyPercentage)),IF(AE2432="ELP",(VLOOKUP(A2432,'Discount Lookup'!J:K,2)*G2432*(1-PlanterDiscount)*(1+PlanterDifficultyPercentage)),IF(AE2432="free","re-planting",IF(G2432=0,"",IF(PlanterYesMe="",IF(AE2432="me","   not ELP, by",IF(AE2432="",IF(G2432&gt;0,(VLOOKUP(A2432,'Discount Lookup'!J:K,2)*G2432*(1-PlanterDiscount)*(1+PlanterDifficultyPercentage)),""),"")),"   not ELP, by"))))))))))))))</f>
        <v/>
      </c>
      <c r="AD2432" s="712"/>
      <c r="AE2432" s="513" t="str">
        <f t="shared" si="1790"/>
        <v/>
      </c>
      <c r="AF2432" s="713" t="str">
        <f t="shared" si="1791"/>
        <v/>
      </c>
      <c r="AG2432" s="713"/>
      <c r="AH2432" s="713"/>
      <c r="AI2432" s="112">
        <f>IF(H2432="credit",0,IF(AE2432="free",0,IF(AE2432="me",0,IF(G2432&gt;0,(VLOOKUP(A2432,'Discount Lookup'!J:K,2)*G2432),0))))</f>
        <v>0</v>
      </c>
      <c r="AJ2432" s="107" t="str">
        <f t="shared" ca="1" si="1792"/>
        <v/>
      </c>
      <c r="AK2432" s="714" t="str">
        <f t="shared" si="1793"/>
        <v/>
      </c>
      <c r="AL2432" s="714"/>
      <c r="AM2432" s="114" t="str">
        <f t="shared" si="1794"/>
        <v/>
      </c>
      <c r="AN2432" s="115"/>
      <c r="AO2432" s="116"/>
      <c r="AP2432" s="116"/>
      <c r="AQ2432" s="116"/>
      <c r="AR2432" s="116"/>
      <c r="AS2432" s="116"/>
      <c r="AT2432" s="116"/>
      <c r="AU2432" s="116"/>
      <c r="AV2432" s="78"/>
      <c r="AW2432" s="102"/>
      <c r="AX2432" s="78"/>
      <c r="AY2432" s="78"/>
      <c r="AZ2432" s="78"/>
      <c r="BA2432" s="78"/>
      <c r="BB2432" s="78"/>
      <c r="BC2432" s="78"/>
      <c r="BD2432" s="78"/>
      <c r="BE2432" s="465"/>
      <c r="BF2432" s="165" t="str">
        <f t="shared" si="1795"/>
        <v>https://www.google.com/search?tbm=isch&amp;q=25%20G4</v>
      </c>
      <c r="BG2432" s="165" t="str">
        <f t="shared" si="1796"/>
        <v>J</v>
      </c>
      <c r="BH2432" s="65"/>
      <c r="BI2432" s="65"/>
      <c r="BJ2432" s="65"/>
      <c r="BK2432" s="65"/>
      <c r="BL2432" s="99"/>
      <c r="BM2432" s="99"/>
      <c r="BN2432" s="99"/>
    </row>
    <row r="2433" spans="1:66" s="51" customFormat="1" ht="16.5" thickBot="1" x14ac:dyDescent="0.3">
      <c r="A2433" s="508" t="s">
        <v>837</v>
      </c>
      <c r="B2433" s="487"/>
      <c r="C2433" s="707"/>
      <c r="D2433" s="487"/>
      <c r="E2433" s="487"/>
      <c r="F2433" s="488"/>
      <c r="G2433" s="489"/>
      <c r="H2433" s="487"/>
      <c r="I2433" s="490"/>
      <c r="J2433" s="490"/>
      <c r="K2433" s="491"/>
      <c r="L2433" s="547"/>
      <c r="M2433" s="528"/>
      <c r="N2433" s="492"/>
      <c r="O2433" s="493"/>
      <c r="P2433" s="494"/>
      <c r="Q2433" s="492"/>
      <c r="R2433" s="492"/>
      <c r="S2433" s="699" t="s">
        <v>5259</v>
      </c>
      <c r="T2433" s="102">
        <f t="shared" si="1784"/>
        <v>0</v>
      </c>
      <c r="U2433" s="78" t="str">
        <f>IF(NOT(ISNUMBER(G2433)), "", VLOOKUP(A2433,'Discount Lookup'!D:E,2,FALSE)*G2433)</f>
        <v/>
      </c>
      <c r="V2433" s="78" t="str">
        <f>IF(NOT(ISNUMBER(G2433)), "", VLOOKUP(A2433,'Discount Lookup'!G:H,2,FALSE)*G2433)</f>
        <v/>
      </c>
      <c r="W2433" s="102">
        <f t="shared" si="1785"/>
        <v>0</v>
      </c>
      <c r="X2433" s="102">
        <f t="shared" si="1786"/>
        <v>0</v>
      </c>
      <c r="Y2433" s="120" t="b">
        <f t="shared" si="1787"/>
        <v>0</v>
      </c>
      <c r="Z2433" s="117">
        <f t="shared" si="1788"/>
        <v>0</v>
      </c>
      <c r="AA2433" s="118"/>
      <c r="AB2433" s="118" t="str">
        <f t="shared" si="1789"/>
        <v/>
      </c>
      <c r="AC2433" s="712" t="str">
        <f>IF(AE2433="T2G","no charge",IF(AND(OR(PlanterYesMe="No",PlanterYesMe="N",PlanterYesMe="me"),H2433=""),"",IF(H2433="credit","NO install",IF(AND(K2433="",AE2433="me"),"EACH row",IF(AND(K2433="images",AE2433="me"),"EACH row",IF(D2433="","",IF(H2433="credit","",IF(AE2433="free","re-planting",IF(AE2433="me","   not ELP, by",IF(AND(OR(PlanterYesMe="Yes",PlanterYesMe="Y"),G2433&gt;0),(VLOOKUP(A2433,'Discount Lookup'!J:K,2)*G2433*(1-PlanterDiscount)*(1+PlanterDifficultyPercentage)),IF(AE2433="ELP",(VLOOKUP(A2433,'Discount Lookup'!J:K,2)*G2433*(1-PlanterDiscount)*(1+PlanterDifficultyPercentage)),IF(AE2433="free","re-planting",IF(G2433=0,"",IF(PlanterYesMe="",IF(AE2433="me","   not ELP, by",IF(AE2433="",IF(G2433&gt;0,(VLOOKUP(A2433,'Discount Lookup'!J:K,2)*G2433*(1-PlanterDiscount)*(1+PlanterDifficultyPercentage)),""),"")),"   not ELP, by"))))))))))))))</f>
        <v/>
      </c>
      <c r="AD2433" s="712"/>
      <c r="AE2433" s="513" t="str">
        <f t="shared" si="1790"/>
        <v/>
      </c>
      <c r="AF2433" s="713" t="str">
        <f t="shared" si="1791"/>
        <v/>
      </c>
      <c r="AG2433" s="713"/>
      <c r="AH2433" s="713"/>
      <c r="AI2433" s="112">
        <f>IF(H2433="credit",0,IF(AE2433="free",0,IF(AE2433="me",0,IF(G2433&gt;0,(VLOOKUP(A2433,'Discount Lookup'!J:K,2)*G2433),0))))</f>
        <v>0</v>
      </c>
      <c r="AJ2433" s="107" t="str">
        <f t="shared" ca="1" si="1792"/>
        <v/>
      </c>
      <c r="AK2433" s="714" t="str">
        <f t="shared" si="1793"/>
        <v/>
      </c>
      <c r="AL2433" s="714"/>
      <c r="AM2433" s="114" t="str">
        <f t="shared" si="1794"/>
        <v/>
      </c>
      <c r="AN2433" s="115"/>
      <c r="AO2433" s="116"/>
      <c r="AP2433" s="116"/>
      <c r="AQ2433" s="116"/>
      <c r="AR2433" s="116"/>
      <c r="AS2433" s="116"/>
      <c r="AT2433" s="116"/>
      <c r="AU2433" s="116"/>
      <c r="AV2433" s="78"/>
      <c r="AW2433" s="102"/>
      <c r="AX2433" s="78"/>
      <c r="AY2433" s="78"/>
      <c r="AZ2433" s="78"/>
      <c r="BA2433" s="78"/>
      <c r="BB2433" s="78"/>
      <c r="BC2433" s="78"/>
      <c r="BD2433" s="78"/>
      <c r="BE2433" s="465"/>
      <c r="BF2433" s="165" t="str">
        <f t="shared" si="1795"/>
        <v>https://www.google.com/search?tbm=isch&amp;q=Hollywood%20offers%20windswept%20look%20with%20twisted%2C%20sculptural%20branches.%20Native%20to%20Japan%2C%20but%20named%20due%20to%20heavy%20planting%20in%20Los%20Angeles%20area%20</v>
      </c>
      <c r="BG2433" s="165" t="str">
        <f t="shared" si="1796"/>
        <v>H</v>
      </c>
      <c r="BH2433" s="65"/>
      <c r="BI2433" s="65"/>
      <c r="BJ2433" s="65"/>
      <c r="BK2433" s="65"/>
      <c r="BL2433" s="99"/>
      <c r="BM2433" s="99"/>
      <c r="BN2433" s="99"/>
    </row>
    <row r="2434" spans="1:66" s="51" customFormat="1" ht="18" x14ac:dyDescent="0.25">
      <c r="A2434" s="507" t="s">
        <v>572</v>
      </c>
      <c r="B2434" s="470"/>
      <c r="C2434" s="706"/>
      <c r="D2434" s="471" t="s">
        <v>573</v>
      </c>
      <c r="E2434" s="472"/>
      <c r="F2434" s="472"/>
      <c r="G2434" s="472"/>
      <c r="H2434" s="622" t="s">
        <v>574</v>
      </c>
      <c r="I2434" s="473" t="s">
        <v>565</v>
      </c>
      <c r="J2434" s="472"/>
      <c r="K2434" s="472"/>
      <c r="L2434" s="561"/>
      <c r="M2434" s="698" t="s">
        <v>5240</v>
      </c>
      <c r="N2434" s="692" t="str">
        <f>IF(AND(ISTEXT($A2434), ISERROR($A2434+0)), HYPERLINK($BF2434, "Images"), "")</f>
        <v>Images</v>
      </c>
      <c r="O2434" s="694" t="s">
        <v>5244</v>
      </c>
      <c r="P2434" s="475"/>
      <c r="Q2434" s="476"/>
      <c r="R2434" s="476"/>
      <c r="S2434" s="477"/>
      <c r="T2434" s="102">
        <f t="shared" si="1784"/>
        <v>0</v>
      </c>
      <c r="U2434" s="78" t="str">
        <f>IF(NOT(ISNUMBER(G2434)), "", VLOOKUP(A2434,'Discount Lookup'!D:E,2,FALSE)*G2434)</f>
        <v/>
      </c>
      <c r="V2434" s="78" t="str">
        <f>IF(NOT(ISNUMBER(G2434)), "", VLOOKUP(A2434,'Discount Lookup'!G:H,2,FALSE)*G2434)</f>
        <v/>
      </c>
      <c r="W2434" s="102">
        <f t="shared" si="1785"/>
        <v>0</v>
      </c>
      <c r="X2434" s="102" t="str">
        <f t="shared" si="1786"/>
        <v>Blue-Green foliage</v>
      </c>
      <c r="Y2434" s="120" t="b">
        <f t="shared" si="1787"/>
        <v>0</v>
      </c>
      <c r="Z2434" s="117">
        <f t="shared" si="1788"/>
        <v>0</v>
      </c>
      <c r="AA2434" s="118"/>
      <c r="AB2434" s="118" t="str">
        <f t="shared" si="1789"/>
        <v/>
      </c>
      <c r="AC2434" s="712" t="str">
        <f>IF(AE2434="T2G","no charge",IF(AND(OR(PlanterYesMe="No",PlanterYesMe="N",PlanterYesMe="me"),H2434=""),"",IF(H2434="credit","NO install",IF(AND(K2434="",AE2434="me"),"EACH row",IF(AND(K2434="images",AE2434="me"),"EACH row",IF(D2434="","",IF(H2434="credit","",IF(AE2434="free","re-planting",IF(AE2434="me","   not ELP, by",IF(AND(OR(PlanterYesMe="Yes",PlanterYesMe="Y"),G2434&gt;0),(VLOOKUP(A2434,'Discount Lookup'!J:K,2)*G2434*(1-PlanterDiscount)*(1+PlanterDifficultyPercentage)),IF(AE2434="ELP",(VLOOKUP(A2434,'Discount Lookup'!J:K,2)*G2434*(1-PlanterDiscount)*(1+PlanterDifficultyPercentage)),IF(AE2434="free","re-planting",IF(G2434=0,"",IF(PlanterYesMe="",IF(AE2434="me","   not ELP, by",IF(AE2434="",IF(G2434&gt;0,(VLOOKUP(A2434,'Discount Lookup'!J:K,2)*G2434*(1-PlanterDiscount)*(1+PlanterDifficultyPercentage)),""),"")),"   not ELP, by"))))))))))))))</f>
        <v/>
      </c>
      <c r="AD2434" s="712"/>
      <c r="AE2434" s="513" t="str">
        <f t="shared" si="1790"/>
        <v/>
      </c>
      <c r="AF2434" s="713" t="str">
        <f t="shared" si="1791"/>
        <v/>
      </c>
      <c r="AG2434" s="713"/>
      <c r="AH2434" s="713"/>
      <c r="AI2434" s="112">
        <f>IF(H2434="credit",0,IF(AE2434="free",0,IF(AE2434="me",0,IF(G2434&gt;0,(VLOOKUP(A2434,'Discount Lookup'!J:K,2)*G2434),0))))</f>
        <v>0</v>
      </c>
      <c r="AJ2434" s="107" t="str">
        <f t="shared" ca="1" si="1792"/>
        <v/>
      </c>
      <c r="AK2434" s="714" t="str">
        <f t="shared" si="1793"/>
        <v/>
      </c>
      <c r="AL2434" s="714"/>
      <c r="AM2434" s="114" t="str">
        <f t="shared" si="1794"/>
        <v/>
      </c>
      <c r="AN2434" s="115"/>
      <c r="AO2434" s="116"/>
      <c r="AP2434" s="116"/>
      <c r="AQ2434" s="116"/>
      <c r="AR2434" s="116"/>
      <c r="AS2434" s="116"/>
      <c r="AT2434" s="116"/>
      <c r="AU2434" s="116"/>
      <c r="AV2434" s="78"/>
      <c r="AW2434" s="102"/>
      <c r="AX2434" s="78"/>
      <c r="AY2434" s="78"/>
      <c r="AZ2434" s="78"/>
      <c r="BA2434" s="78"/>
      <c r="BB2434" s="78"/>
      <c r="BC2434" s="78"/>
      <c r="BD2434" s="78"/>
      <c r="BE2434" s="465"/>
      <c r="BF2434" s="165" t="str">
        <f t="shared" si="1795"/>
        <v>https://www.google.com/search?tbm=isch&amp;q=Juniperus%20chinensis%20%27Trautman%27%20Trautman%20Juniper</v>
      </c>
      <c r="BG2434" s="165" t="str">
        <f t="shared" si="1796"/>
        <v>J</v>
      </c>
      <c r="BH2434" s="65"/>
      <c r="BI2434" s="65"/>
      <c r="BJ2434" s="65"/>
      <c r="BK2434" s="65"/>
      <c r="BL2434" s="99"/>
      <c r="BM2434" s="99"/>
      <c r="BN2434" s="99"/>
    </row>
    <row r="2435" spans="1:66" s="51" customFormat="1" ht="27" x14ac:dyDescent="0.25">
      <c r="A2435" s="478">
        <v>15</v>
      </c>
      <c r="B2435" s="479" t="s">
        <v>291</v>
      </c>
      <c r="C2435" s="480" t="s">
        <v>964</v>
      </c>
      <c r="D2435" s="481" t="s">
        <v>299</v>
      </c>
      <c r="E2435" s="482">
        <v>252.95</v>
      </c>
      <c r="F2435" s="483" t="s">
        <v>292</v>
      </c>
      <c r="G2435" s="484">
        <v>0</v>
      </c>
      <c r="H2435" s="688" t="str">
        <f>IF(G2435=0,"",IF(F2435="Buy",IF(G2435=1,"plant","plants"),IF(F2435&gt;0.01,"warranty","Error")))</f>
        <v/>
      </c>
      <c r="I2435" s="485">
        <f>IF(H2435="free",0,IF(H2435="credit",((E2435*(F2435))*G2435*-1),IF(F2435="Buy",(E2435*G2435),((E2435*(1-F2435))*G2435))))</f>
        <v>0</v>
      </c>
      <c r="J2435" s="485">
        <f>IF(H2435="warranty",0,(I2435*(_xlfn.SINGLE(SalesTaxPercentage))))</f>
        <v>0</v>
      </c>
      <c r="K2435" s="715">
        <f t="shared" ref="K2435" si="1819">I2435+J2435</f>
        <v>0</v>
      </c>
      <c r="L2435" s="715"/>
      <c r="M2435" s="689" t="str">
        <f ca="1">IF(AND(G2435&gt;0,E2435=0),"WARNING - no PRICE inserted",IF(H2435="free","FREE ~ no charge this plant",IF(H2435="credit",CONCATENATE("-$",ROUND(K2435*(1-_xlfn.SINGLE(T2GDiscount))*-1,2)," CREDIT after discount"),IF(_xlfn.SINGLE(T2GDiscount)=0,"",IF(G2435=0,"",IF(F2435="Buy",CONCATENATE("$",ROUND(K2435*(1-_xlfn.SINGLE(T2GDiscount)),2)," with ",(_xlfn.SINGLE(T2GDiscount)*100),"% discount"),CONCATENATE("$",ROUND(K2435*(1-_xlfn.SINGLE(T2GDiscount)),2)," with ",((_xlfn.SINGLE(T2GDiscount)*100+F2435*100)-(_xlfn.SINGLE(T2GDiscount)*100*F2435)),IF(F2435&gt;0,"% discounts",IF(_xlfn.SINGLE(NoWarrantyDiscount)&gt;0,"% discounts","% discount")))))))))</f>
        <v/>
      </c>
      <c r="N2435" s="690"/>
      <c r="O2435" s="486"/>
      <c r="P2435" s="486"/>
      <c r="Q2435" s="486"/>
      <c r="R2435" s="486"/>
      <c r="S2435" s="486"/>
      <c r="T2435" s="102">
        <f t="shared" si="1784"/>
        <v>0</v>
      </c>
      <c r="U2435" s="78">
        <f>IF(NOT(ISNUMBER(G2435)), "", VLOOKUP(A2435,'Discount Lookup'!D:E,2,FALSE)*G2435)</f>
        <v>0</v>
      </c>
      <c r="V2435" s="78">
        <f>IF(NOT(ISNUMBER(G2435)), "", VLOOKUP(A2435,'Discount Lookup'!G:H,2,FALSE)*G2435)</f>
        <v>0</v>
      </c>
      <c r="W2435" s="102">
        <f t="shared" si="1785"/>
        <v>0</v>
      </c>
      <c r="X2435" s="102">
        <f t="shared" si="1786"/>
        <v>0</v>
      </c>
      <c r="Y2435" s="120" t="b">
        <f t="shared" si="1787"/>
        <v>0</v>
      </c>
      <c r="Z2435" s="117">
        <f t="shared" si="1788"/>
        <v>0</v>
      </c>
      <c r="AA2435" s="118"/>
      <c r="AB2435" s="118" t="str">
        <f t="shared" si="1789"/>
        <v/>
      </c>
      <c r="AC2435" s="712" t="str">
        <f>IF(AE2435="T2G","no charge",IF(AND(OR(PlanterYesMe="No",PlanterYesMe="N",PlanterYesMe="me"),H2435=""),"",IF(H2435="credit","NO install",IF(AND(K2435="",AE2435="me"),"EACH row",IF(AND(K2435="images",AE2435="me"),"EACH row",IF(D2435="","",IF(H2435="credit","",IF(AE2435="free","re-planting",IF(AE2435="me","   not ELP, by",IF(AND(OR(PlanterYesMe="Yes",PlanterYesMe="Y"),G2435&gt;0),(VLOOKUP(A2435,'Discount Lookup'!J:K,2)*G2435*(1-PlanterDiscount)*(1+PlanterDifficultyPercentage)),IF(AE2435="ELP",(VLOOKUP(A2435,'Discount Lookup'!J:K,2)*G2435*(1-PlanterDiscount)*(1+PlanterDifficultyPercentage)),IF(AE2435="free","re-planting",IF(G2435=0,"",IF(PlanterYesMe="",IF(AE2435="me","   not ELP, by",IF(AE2435="",IF(G2435&gt;0,(VLOOKUP(A2435,'Discount Lookup'!J:K,2)*G2435*(1-PlanterDiscount)*(1+PlanterDifficultyPercentage)),""),"")),"   not ELP, by"))))))))))))))</f>
        <v/>
      </c>
      <c r="AD2435" s="712"/>
      <c r="AE2435" s="513" t="str">
        <f t="shared" si="1790"/>
        <v/>
      </c>
      <c r="AF2435" s="713" t="str">
        <f t="shared" si="1791"/>
        <v/>
      </c>
      <c r="AG2435" s="713"/>
      <c r="AH2435" s="713"/>
      <c r="AI2435" s="112">
        <f>IF(H2435="credit",0,IF(AE2435="free",0,IF(AE2435="me",0,IF(G2435&gt;0,(VLOOKUP(A2435,'Discount Lookup'!J:K,2)*G2435),0))))</f>
        <v>0</v>
      </c>
      <c r="AJ2435" s="107" t="str">
        <f t="shared" ca="1" si="1792"/>
        <v/>
      </c>
      <c r="AK2435" s="714" t="str">
        <f t="shared" si="1793"/>
        <v/>
      </c>
      <c r="AL2435" s="714"/>
      <c r="AM2435" s="114" t="str">
        <f t="shared" si="1794"/>
        <v/>
      </c>
      <c r="AN2435" s="115"/>
      <c r="AO2435" s="116"/>
      <c r="AP2435" s="116"/>
      <c r="AQ2435" s="116"/>
      <c r="AR2435" s="116"/>
      <c r="AS2435" s="116"/>
      <c r="AT2435" s="116"/>
      <c r="AU2435" s="116"/>
      <c r="AV2435" s="78"/>
      <c r="AW2435" s="102"/>
      <c r="AX2435" s="78"/>
      <c r="AY2435" s="78"/>
      <c r="AZ2435" s="78"/>
      <c r="BA2435" s="78"/>
      <c r="BB2435" s="78"/>
      <c r="BC2435" s="78"/>
      <c r="BD2435" s="78"/>
      <c r="BE2435" s="465"/>
      <c r="BF2435" s="165" t="str">
        <f t="shared" si="1795"/>
        <v>https://www.google.com/search?tbm=isch&amp;q=15%20G4</v>
      </c>
      <c r="BG2435" s="165" t="str">
        <f t="shared" si="1796"/>
        <v>J</v>
      </c>
      <c r="BH2435" s="65"/>
      <c r="BI2435" s="65"/>
      <c r="BJ2435" s="65"/>
      <c r="BK2435" s="65"/>
      <c r="BL2435" s="99"/>
      <c r="BM2435" s="99"/>
      <c r="BN2435" s="99"/>
    </row>
    <row r="2436" spans="1:66" s="51" customFormat="1" ht="16.5" thickBot="1" x14ac:dyDescent="0.3">
      <c r="A2436" s="508" t="s">
        <v>832</v>
      </c>
      <c r="B2436" s="487"/>
      <c r="C2436" s="707"/>
      <c r="D2436" s="487"/>
      <c r="E2436" s="487"/>
      <c r="F2436" s="488"/>
      <c r="G2436" s="489"/>
      <c r="H2436" s="487"/>
      <c r="I2436" s="490"/>
      <c r="J2436" s="490"/>
      <c r="K2436" s="491"/>
      <c r="L2436" s="547"/>
      <c r="M2436" s="528"/>
      <c r="N2436" s="492"/>
      <c r="O2436" s="493"/>
      <c r="P2436" s="494"/>
      <c r="Q2436" s="492"/>
      <c r="R2436" s="492"/>
      <c r="S2436" s="699" t="s">
        <v>5259</v>
      </c>
      <c r="T2436" s="102">
        <f t="shared" si="1784"/>
        <v>0</v>
      </c>
      <c r="U2436" s="78" t="str">
        <f>IF(NOT(ISNUMBER(G2436)), "", VLOOKUP(A2436,'Discount Lookup'!D:E,2,FALSE)*G2436)</f>
        <v/>
      </c>
      <c r="V2436" s="78" t="str">
        <f>IF(NOT(ISNUMBER(G2436)), "", VLOOKUP(A2436,'Discount Lookup'!G:H,2,FALSE)*G2436)</f>
        <v/>
      </c>
      <c r="W2436" s="102">
        <f t="shared" si="1785"/>
        <v>0</v>
      </c>
      <c r="X2436" s="102">
        <f t="shared" si="1786"/>
        <v>0</v>
      </c>
      <c r="Y2436" s="120" t="b">
        <f t="shared" si="1787"/>
        <v>0</v>
      </c>
      <c r="Z2436" s="117">
        <f t="shared" si="1788"/>
        <v>0</v>
      </c>
      <c r="AA2436" s="118"/>
      <c r="AB2436" s="118" t="str">
        <f t="shared" si="1789"/>
        <v/>
      </c>
      <c r="AC2436" s="712" t="str">
        <f>IF(AE2436="T2G","no charge",IF(AND(OR(PlanterYesMe="No",PlanterYesMe="N",PlanterYesMe="me"),H2436=""),"",IF(H2436="credit","NO install",IF(AND(K2436="",AE2436="me"),"EACH row",IF(AND(K2436="images",AE2436="me"),"EACH row",IF(D2436="","",IF(H2436="credit","",IF(AE2436="free","re-planting",IF(AE2436="me","   not ELP, by",IF(AND(OR(PlanterYesMe="Yes",PlanterYesMe="Y"),G2436&gt;0),(VLOOKUP(A2436,'Discount Lookup'!J:K,2)*G2436*(1-PlanterDiscount)*(1+PlanterDifficultyPercentage)),IF(AE2436="ELP",(VLOOKUP(A2436,'Discount Lookup'!J:K,2)*G2436*(1-PlanterDiscount)*(1+PlanterDifficultyPercentage)),IF(AE2436="free","re-planting",IF(G2436=0,"",IF(PlanterYesMe="",IF(AE2436="me","   not ELP, by",IF(AE2436="",IF(G2436&gt;0,(VLOOKUP(A2436,'Discount Lookup'!J:K,2)*G2436*(1-PlanterDiscount)*(1+PlanterDifficultyPercentage)),""),"")),"   not ELP, by"))))))))))))))</f>
        <v/>
      </c>
      <c r="AD2436" s="712"/>
      <c r="AE2436" s="513" t="str">
        <f t="shared" si="1790"/>
        <v/>
      </c>
      <c r="AF2436" s="713" t="str">
        <f t="shared" si="1791"/>
        <v/>
      </c>
      <c r="AG2436" s="713"/>
      <c r="AH2436" s="713"/>
      <c r="AI2436" s="112">
        <f>IF(H2436="credit",0,IF(AE2436="free",0,IF(AE2436="me",0,IF(G2436&gt;0,(VLOOKUP(A2436,'Discount Lookup'!J:K,2)*G2436),0))))</f>
        <v>0</v>
      </c>
      <c r="AJ2436" s="107" t="str">
        <f t="shared" ca="1" si="1792"/>
        <v/>
      </c>
      <c r="AK2436" s="714" t="str">
        <f t="shared" si="1793"/>
        <v/>
      </c>
      <c r="AL2436" s="714"/>
      <c r="AM2436" s="114" t="str">
        <f t="shared" si="1794"/>
        <v/>
      </c>
      <c r="AN2436" s="115"/>
      <c r="AO2436" s="116"/>
      <c r="AP2436" s="116"/>
      <c r="AQ2436" s="116"/>
      <c r="AR2436" s="116"/>
      <c r="AS2436" s="116"/>
      <c r="AT2436" s="116"/>
      <c r="AU2436" s="116"/>
      <c r="AV2436" s="78"/>
      <c r="AW2436" s="102"/>
      <c r="AX2436" s="78"/>
      <c r="AY2436" s="78"/>
      <c r="AZ2436" s="78"/>
      <c r="BA2436" s="78"/>
      <c r="BB2436" s="78"/>
      <c r="BC2436" s="78"/>
      <c r="BD2436" s="78"/>
      <c r="BE2436" s="465"/>
      <c r="BF2436" s="165" t="str">
        <f t="shared" si="1795"/>
        <v>https://www.google.com/search?tbm=isch&amp;q=Trautman%20coloration%20holds%20fast%20though%20extreme%20heat%20or%20cold.%20Excellent%20substitute%20for%20Italian%20Cypress.%20Sun%2Fheat%2Fdrought%20tolerant%20</v>
      </c>
      <c r="BG2436" s="165" t="str">
        <f t="shared" si="1796"/>
        <v>T</v>
      </c>
      <c r="BH2436" s="65"/>
      <c r="BI2436" s="65"/>
      <c r="BJ2436" s="65"/>
      <c r="BK2436" s="65"/>
      <c r="BL2436" s="99"/>
      <c r="BM2436" s="99"/>
      <c r="BN2436" s="99"/>
    </row>
    <row r="2437" spans="1:66" s="51" customFormat="1" ht="18" x14ac:dyDescent="0.25">
      <c r="A2437" s="507" t="s">
        <v>3102</v>
      </c>
      <c r="B2437" s="470"/>
      <c r="C2437" s="706"/>
      <c r="D2437" s="471" t="s">
        <v>3103</v>
      </c>
      <c r="E2437" s="472"/>
      <c r="F2437" s="472"/>
      <c r="G2437" s="472"/>
      <c r="H2437" s="622" t="s">
        <v>3104</v>
      </c>
      <c r="I2437" s="473" t="s">
        <v>565</v>
      </c>
      <c r="J2437" s="472"/>
      <c r="K2437" s="472"/>
      <c r="L2437" s="561"/>
      <c r="M2437" s="698" t="s">
        <v>5240</v>
      </c>
      <c r="N2437" s="692" t="str">
        <f>IF(AND(ISTEXT($A2437), ISERROR($A2437+0)), HYPERLINK($BF2437, "Images"), "")</f>
        <v>Images</v>
      </c>
      <c r="O2437" s="694" t="s">
        <v>5244</v>
      </c>
      <c r="P2437" s="475"/>
      <c r="Q2437" s="476"/>
      <c r="R2437" s="476"/>
      <c r="S2437" s="477"/>
      <c r="T2437" s="102">
        <f t="shared" si="1784"/>
        <v>0</v>
      </c>
      <c r="U2437" s="78" t="str">
        <f>IF(NOT(ISNUMBER(G2437)), "", VLOOKUP(A2437,'Discount Lookup'!D:E,2,FALSE)*G2437)</f>
        <v/>
      </c>
      <c r="V2437" s="78" t="str">
        <f>IF(NOT(ISNUMBER(G2437)), "", VLOOKUP(A2437,'Discount Lookup'!G:H,2,FALSE)*G2437)</f>
        <v/>
      </c>
      <c r="W2437" s="102">
        <f t="shared" si="1785"/>
        <v>0</v>
      </c>
      <c r="X2437" s="102" t="str">
        <f t="shared" si="1786"/>
        <v>Blue-Green foliage</v>
      </c>
      <c r="Y2437" s="120" t="b">
        <f t="shared" si="1787"/>
        <v>0</v>
      </c>
      <c r="Z2437" s="117">
        <f t="shared" si="1788"/>
        <v>0</v>
      </c>
      <c r="AA2437" s="118"/>
      <c r="AB2437" s="118" t="str">
        <f t="shared" si="1789"/>
        <v/>
      </c>
      <c r="AC2437" s="712" t="str">
        <f>IF(AE2437="T2G","no charge",IF(AND(OR(PlanterYesMe="No",PlanterYesMe="N",PlanterYesMe="me"),H2437=""),"",IF(H2437="credit","NO install",IF(AND(K2437="",AE2437="me"),"EACH row",IF(AND(K2437="images",AE2437="me"),"EACH row",IF(D2437="","",IF(H2437="credit","",IF(AE2437="free","re-planting",IF(AE2437="me","   not ELP, by",IF(AND(OR(PlanterYesMe="Yes",PlanterYesMe="Y"),G2437&gt;0),(VLOOKUP(A2437,'Discount Lookup'!J:K,2)*G2437*(1-PlanterDiscount)*(1+PlanterDifficultyPercentage)),IF(AE2437="ELP",(VLOOKUP(A2437,'Discount Lookup'!J:K,2)*G2437*(1-PlanterDiscount)*(1+PlanterDifficultyPercentage)),IF(AE2437="free","re-planting",IF(G2437=0,"",IF(PlanterYesMe="",IF(AE2437="me","   not ELP, by",IF(AE2437="",IF(G2437&gt;0,(VLOOKUP(A2437,'Discount Lookup'!J:K,2)*G2437*(1-PlanterDiscount)*(1+PlanterDifficultyPercentage)),""),"")),"   not ELP, by"))))))))))))))</f>
        <v/>
      </c>
      <c r="AD2437" s="712"/>
      <c r="AE2437" s="513" t="str">
        <f t="shared" si="1790"/>
        <v/>
      </c>
      <c r="AF2437" s="713" t="str">
        <f t="shared" si="1791"/>
        <v/>
      </c>
      <c r="AG2437" s="713"/>
      <c r="AH2437" s="713"/>
      <c r="AI2437" s="112">
        <f>IF(H2437="credit",0,IF(AE2437="free",0,IF(AE2437="me",0,IF(G2437&gt;0,(VLOOKUP(A2437,'Discount Lookup'!J:K,2)*G2437),0))))</f>
        <v>0</v>
      </c>
      <c r="AJ2437" s="107" t="str">
        <f t="shared" ca="1" si="1792"/>
        <v/>
      </c>
      <c r="AK2437" s="714" t="str">
        <f t="shared" si="1793"/>
        <v/>
      </c>
      <c r="AL2437" s="714"/>
      <c r="AM2437" s="114" t="str">
        <f t="shared" si="1794"/>
        <v/>
      </c>
      <c r="AN2437" s="115"/>
      <c r="AO2437" s="116"/>
      <c r="AP2437" s="116"/>
      <c r="AQ2437" s="116"/>
      <c r="AR2437" s="116"/>
      <c r="AS2437" s="116"/>
      <c r="AT2437" s="116"/>
      <c r="AU2437" s="116"/>
      <c r="AV2437" s="78"/>
      <c r="AW2437" s="102"/>
      <c r="AX2437" s="78"/>
      <c r="AY2437" s="78"/>
      <c r="AZ2437" s="78"/>
      <c r="BA2437" s="78"/>
      <c r="BB2437" s="78"/>
      <c r="BC2437" s="78"/>
      <c r="BD2437" s="78"/>
      <c r="BE2437" s="465"/>
      <c r="BF2437" s="165" t="str">
        <f t="shared" si="1795"/>
        <v>https://www.google.com/search?tbm=isch&amp;q=Juniperus%20chinensis%20var.%20sargentii%20Sargent%27s%20Juniper</v>
      </c>
      <c r="BG2437" s="165" t="str">
        <f t="shared" si="1796"/>
        <v>J</v>
      </c>
      <c r="BH2437" s="65"/>
      <c r="BI2437" s="65"/>
      <c r="BJ2437" s="65"/>
      <c r="BK2437" s="65"/>
      <c r="BL2437" s="99"/>
      <c r="BM2437" s="99"/>
      <c r="BN2437" s="99"/>
    </row>
    <row r="2438" spans="1:66" s="51" customFormat="1" ht="15.75" x14ac:dyDescent="0.25">
      <c r="A2438" s="478">
        <v>3</v>
      </c>
      <c r="B2438" s="479" t="s">
        <v>291</v>
      </c>
      <c r="C2438" s="480"/>
      <c r="D2438" s="481" t="s">
        <v>310</v>
      </c>
      <c r="E2438" s="482">
        <v>25.95</v>
      </c>
      <c r="F2438" s="483" t="s">
        <v>292</v>
      </c>
      <c r="G2438" s="484">
        <v>0</v>
      </c>
      <c r="H2438" s="688" t="str">
        <f>IF(G2438=0,"",IF(F2438="Buy",IF(G2438=1,"plant","plants"),IF(F2438&gt;0.01,"warranty","Error")))</f>
        <v/>
      </c>
      <c r="I2438" s="485">
        <f>IF(H2438="free",0,IF(H2438="credit",((E2438*(F2438))*G2438*-1),IF(F2438="Buy",(E2438*G2438),((E2438*(1-F2438))*G2438))))</f>
        <v>0</v>
      </c>
      <c r="J2438" s="485">
        <f>IF(H2438="warranty",0,(I2438*(_xlfn.SINGLE(SalesTaxPercentage))))</f>
        <v>0</v>
      </c>
      <c r="K2438" s="715">
        <f t="shared" ref="K2438" si="1820">I2438+J2438</f>
        <v>0</v>
      </c>
      <c r="L2438" s="715"/>
      <c r="M2438" s="689" t="str">
        <f ca="1">IF(AND(G2438&gt;0,E2438=0),"WARNING - no PRICE inserted",IF(H2438="free","FREE ~ no charge this plant",IF(H2438="credit",CONCATENATE("-$",ROUND(K2438*(1-_xlfn.SINGLE(T2GDiscount))*-1,2)," CREDIT after discount"),IF(_xlfn.SINGLE(T2GDiscount)=0,"",IF(G2438=0,"",IF(F2438="Buy",CONCATENATE("$",ROUND(K2438*(1-_xlfn.SINGLE(T2GDiscount)),2)," with ",(_xlfn.SINGLE(T2GDiscount)*100),"% discount"),CONCATENATE("$",ROUND(K2438*(1-_xlfn.SINGLE(T2GDiscount)),2)," with ",((_xlfn.SINGLE(T2GDiscount)*100+F2438*100)-(_xlfn.SINGLE(T2GDiscount)*100*F2438)),IF(F2438&gt;0,"% discounts",IF(_xlfn.SINGLE(NoWarrantyDiscount)&gt;0,"% discounts","% discount")))))))))</f>
        <v/>
      </c>
      <c r="N2438" s="690"/>
      <c r="O2438" s="486"/>
      <c r="P2438" s="486"/>
      <c r="Q2438" s="486"/>
      <c r="R2438" s="486"/>
      <c r="S2438" s="486"/>
      <c r="T2438" s="102">
        <f t="shared" si="1784"/>
        <v>0</v>
      </c>
      <c r="U2438" s="78">
        <f>IF(NOT(ISNUMBER(G2438)), "", VLOOKUP(A2438,'Discount Lookup'!D:E,2,FALSE)*G2438)</f>
        <v>0</v>
      </c>
      <c r="V2438" s="78">
        <f>IF(NOT(ISNUMBER(G2438)), "", VLOOKUP(A2438,'Discount Lookup'!G:H,2,FALSE)*G2438)</f>
        <v>0</v>
      </c>
      <c r="W2438" s="102">
        <f t="shared" si="1785"/>
        <v>0</v>
      </c>
      <c r="X2438" s="102">
        <f t="shared" si="1786"/>
        <v>0</v>
      </c>
      <c r="Y2438" s="120" t="b">
        <f t="shared" si="1787"/>
        <v>0</v>
      </c>
      <c r="Z2438" s="117">
        <f t="shared" si="1788"/>
        <v>0</v>
      </c>
      <c r="AA2438" s="118"/>
      <c r="AB2438" s="118" t="str">
        <f t="shared" si="1789"/>
        <v/>
      </c>
      <c r="AC2438" s="712" t="str">
        <f>IF(AE2438="T2G","no charge",IF(AND(OR(PlanterYesMe="No",PlanterYesMe="N",PlanterYesMe="me"),H2438=""),"",IF(H2438="credit","NO install",IF(AND(K2438="",AE2438="me"),"EACH row",IF(AND(K2438="images",AE2438="me"),"EACH row",IF(D2438="","",IF(H2438="credit","",IF(AE2438="free","re-planting",IF(AE2438="me","   not ELP, by",IF(AND(OR(PlanterYesMe="Yes",PlanterYesMe="Y"),G2438&gt;0),(VLOOKUP(A2438,'Discount Lookup'!J:K,2)*G2438*(1-PlanterDiscount)*(1+PlanterDifficultyPercentage)),IF(AE2438="ELP",(VLOOKUP(A2438,'Discount Lookup'!J:K,2)*G2438*(1-PlanterDiscount)*(1+PlanterDifficultyPercentage)),IF(AE2438="free","re-planting",IF(G2438=0,"",IF(PlanterYesMe="",IF(AE2438="me","   not ELP, by",IF(AE2438="",IF(G2438&gt;0,(VLOOKUP(A2438,'Discount Lookup'!J:K,2)*G2438*(1-PlanterDiscount)*(1+PlanterDifficultyPercentage)),""),"")),"   not ELP, by"))))))))))))))</f>
        <v/>
      </c>
      <c r="AD2438" s="712"/>
      <c r="AE2438" s="513" t="str">
        <f t="shared" si="1790"/>
        <v/>
      </c>
      <c r="AF2438" s="713" t="str">
        <f t="shared" si="1791"/>
        <v/>
      </c>
      <c r="AG2438" s="713"/>
      <c r="AH2438" s="713"/>
      <c r="AI2438" s="112">
        <f>IF(H2438="credit",0,IF(AE2438="free",0,IF(AE2438="me",0,IF(G2438&gt;0,(VLOOKUP(A2438,'Discount Lookup'!J:K,2)*G2438),0))))</f>
        <v>0</v>
      </c>
      <c r="AJ2438" s="107" t="str">
        <f t="shared" ca="1" si="1792"/>
        <v/>
      </c>
      <c r="AK2438" s="714" t="str">
        <f t="shared" si="1793"/>
        <v/>
      </c>
      <c r="AL2438" s="714"/>
      <c r="AM2438" s="114" t="str">
        <f t="shared" si="1794"/>
        <v/>
      </c>
      <c r="AN2438" s="115"/>
      <c r="AO2438" s="116"/>
      <c r="AP2438" s="116"/>
      <c r="AQ2438" s="116"/>
      <c r="AR2438" s="116"/>
      <c r="AS2438" s="116"/>
      <c r="AT2438" s="116"/>
      <c r="AU2438" s="116"/>
      <c r="AV2438" s="78"/>
      <c r="AW2438" s="102"/>
      <c r="AX2438" s="78"/>
      <c r="AY2438" s="78"/>
      <c r="AZ2438" s="78"/>
      <c r="BA2438" s="78"/>
      <c r="BB2438" s="78"/>
      <c r="BC2438" s="78"/>
      <c r="BD2438" s="78"/>
      <c r="BE2438" s="465"/>
      <c r="BF2438" s="165" t="str">
        <f t="shared" si="1795"/>
        <v>https://www.google.com/search?tbm=isch&amp;q=3%20G1</v>
      </c>
      <c r="BG2438" s="165" t="str">
        <f t="shared" si="1796"/>
        <v>J</v>
      </c>
      <c r="BH2438" s="65"/>
      <c r="BI2438" s="65"/>
      <c r="BJ2438" s="65"/>
      <c r="BK2438" s="65"/>
      <c r="BL2438" s="99"/>
      <c r="BM2438" s="99"/>
      <c r="BN2438" s="99"/>
    </row>
    <row r="2439" spans="1:66" s="51" customFormat="1" ht="17.25" thickBot="1" x14ac:dyDescent="0.3">
      <c r="A2439" s="508" t="s">
        <v>3105</v>
      </c>
      <c r="B2439" s="487"/>
      <c r="C2439" s="707"/>
      <c r="D2439" s="487"/>
      <c r="E2439" s="487"/>
      <c r="F2439" s="488"/>
      <c r="G2439" s="489"/>
      <c r="H2439" s="487"/>
      <c r="I2439" s="490"/>
      <c r="J2439" s="490"/>
      <c r="K2439" s="491"/>
      <c r="L2439" s="547"/>
      <c r="M2439" s="528"/>
      <c r="N2439" s="492"/>
      <c r="O2439" s="493"/>
      <c r="P2439" s="494"/>
      <c r="Q2439" s="492"/>
      <c r="R2439" s="492"/>
      <c r="S2439" s="699" t="s">
        <v>5280</v>
      </c>
      <c r="T2439" s="102">
        <f t="shared" si="1784"/>
        <v>0</v>
      </c>
      <c r="U2439" s="78" t="str">
        <f>IF(NOT(ISNUMBER(G2439)), "", VLOOKUP(A2439,'Discount Lookup'!D:E,2,FALSE)*G2439)</f>
        <v/>
      </c>
      <c r="V2439" s="78" t="str">
        <f>IF(NOT(ISNUMBER(G2439)), "", VLOOKUP(A2439,'Discount Lookup'!G:H,2,FALSE)*G2439)</f>
        <v/>
      </c>
      <c r="W2439" s="102">
        <f t="shared" si="1785"/>
        <v>0</v>
      </c>
      <c r="X2439" s="102">
        <f t="shared" si="1786"/>
        <v>0</v>
      </c>
      <c r="Y2439" s="120" t="b">
        <f t="shared" si="1787"/>
        <v>0</v>
      </c>
      <c r="Z2439" s="117">
        <f t="shared" si="1788"/>
        <v>0</v>
      </c>
      <c r="AA2439" s="118"/>
      <c r="AB2439" s="118" t="str">
        <f t="shared" si="1789"/>
        <v/>
      </c>
      <c r="AC2439" s="712" t="str">
        <f>IF(AE2439="T2G","no charge",IF(AND(OR(PlanterYesMe="No",PlanterYesMe="N",PlanterYesMe="me"),H2439=""),"",IF(H2439="credit","NO install",IF(AND(K2439="",AE2439="me"),"EACH row",IF(AND(K2439="images",AE2439="me"),"EACH row",IF(D2439="","",IF(H2439="credit","",IF(AE2439="free","re-planting",IF(AE2439="me","   not ELP, by",IF(AND(OR(PlanterYesMe="Yes",PlanterYesMe="Y"),G2439&gt;0),(VLOOKUP(A2439,'Discount Lookup'!J:K,2)*G2439*(1-PlanterDiscount)*(1+PlanterDifficultyPercentage)),IF(AE2439="ELP",(VLOOKUP(A2439,'Discount Lookup'!J:K,2)*G2439*(1-PlanterDiscount)*(1+PlanterDifficultyPercentage)),IF(AE2439="free","re-planting",IF(G2439=0,"",IF(PlanterYesMe="",IF(AE2439="me","   not ELP, by",IF(AE2439="",IF(G2439&gt;0,(VLOOKUP(A2439,'Discount Lookup'!J:K,2)*G2439*(1-PlanterDiscount)*(1+PlanterDifficultyPercentage)),""),"")),"   not ELP, by"))))))))))))))</f>
        <v/>
      </c>
      <c r="AD2439" s="712"/>
      <c r="AE2439" s="513" t="str">
        <f t="shared" si="1790"/>
        <v/>
      </c>
      <c r="AF2439" s="713" t="str">
        <f t="shared" si="1791"/>
        <v/>
      </c>
      <c r="AG2439" s="713"/>
      <c r="AH2439" s="713"/>
      <c r="AI2439" s="112">
        <f>IF(H2439="credit",0,IF(AE2439="free",0,IF(AE2439="me",0,IF(G2439&gt;0,(VLOOKUP(A2439,'Discount Lookup'!J:K,2)*G2439),0))))</f>
        <v>0</v>
      </c>
      <c r="AJ2439" s="107" t="str">
        <f t="shared" ca="1" si="1792"/>
        <v/>
      </c>
      <c r="AK2439" s="714" t="str">
        <f t="shared" si="1793"/>
        <v/>
      </c>
      <c r="AL2439" s="714"/>
      <c r="AM2439" s="114" t="str">
        <f t="shared" si="1794"/>
        <v/>
      </c>
      <c r="AN2439" s="115"/>
      <c r="AO2439" s="116"/>
      <c r="AP2439" s="116"/>
      <c r="AQ2439" s="116"/>
      <c r="AR2439" s="116"/>
      <c r="AS2439" s="116"/>
      <c r="AT2439" s="116"/>
      <c r="AU2439" s="116"/>
      <c r="AV2439" s="78"/>
      <c r="AW2439" s="102"/>
      <c r="AX2439" s="78"/>
      <c r="AY2439" s="78"/>
      <c r="AZ2439" s="78"/>
      <c r="BA2439" s="78"/>
      <c r="BB2439" s="78"/>
      <c r="BC2439" s="78"/>
      <c r="BD2439" s="78"/>
      <c r="BE2439" s="465"/>
      <c r="BF2439" s="165" t="str">
        <f t="shared" si="1795"/>
        <v>https://www.google.com/search?tbm=isch&amp;q=Sargent%E2%80%99s%20sprawls%20into%20tough%2C%20erosion-controlling%20carpet.%20Aromatic%2C%20exfoliating%20bark.%20Winter%20bronzing.%20Sun%2Fheat%2Fdrought%20tolerant%20</v>
      </c>
      <c r="BG2439" s="165" t="str">
        <f t="shared" si="1796"/>
        <v>S</v>
      </c>
      <c r="BH2439" s="65"/>
      <c r="BI2439" s="65"/>
      <c r="BJ2439" s="65"/>
      <c r="BK2439" s="65"/>
      <c r="BL2439" s="99"/>
      <c r="BM2439" s="99"/>
      <c r="BN2439" s="99"/>
    </row>
    <row r="2440" spans="1:66" s="51" customFormat="1" ht="18" x14ac:dyDescent="0.25">
      <c r="A2440" s="507" t="s">
        <v>3106</v>
      </c>
      <c r="B2440" s="470"/>
      <c r="C2440" s="706"/>
      <c r="D2440" s="471" t="s">
        <v>3107</v>
      </c>
      <c r="E2440" s="472"/>
      <c r="F2440" s="472"/>
      <c r="G2440" s="472"/>
      <c r="H2440" s="622" t="s">
        <v>3108</v>
      </c>
      <c r="I2440" s="473" t="s">
        <v>443</v>
      </c>
      <c r="J2440" s="472"/>
      <c r="K2440" s="472"/>
      <c r="L2440" s="561"/>
      <c r="M2440" s="698" t="s">
        <v>5240</v>
      </c>
      <c r="N2440" s="692" t="str">
        <f>IF(AND(ISTEXT($A2440), ISERROR($A2440+0)), HYPERLINK($BF2440, "Images"), "")</f>
        <v>Images</v>
      </c>
      <c r="O2440" s="694" t="s">
        <v>5244</v>
      </c>
      <c r="P2440" s="475"/>
      <c r="Q2440" s="476"/>
      <c r="R2440" s="476"/>
      <c r="S2440" s="477"/>
      <c r="T2440" s="102">
        <f t="shared" si="1784"/>
        <v>0</v>
      </c>
      <c r="U2440" s="78" t="str">
        <f>IF(NOT(ISNUMBER(G2440)), "", VLOOKUP(A2440,'Discount Lookup'!D:E,2,FALSE)*G2440)</f>
        <v/>
      </c>
      <c r="V2440" s="78" t="str">
        <f>IF(NOT(ISNUMBER(G2440)), "", VLOOKUP(A2440,'Discount Lookup'!G:H,2,FALSE)*G2440)</f>
        <v/>
      </c>
      <c r="W2440" s="102">
        <f t="shared" si="1785"/>
        <v>0</v>
      </c>
      <c r="X2440" s="102" t="str">
        <f t="shared" si="1786"/>
        <v>Golden-Yellow foliage</v>
      </c>
      <c r="Y2440" s="120" t="b">
        <f t="shared" si="1787"/>
        <v>0</v>
      </c>
      <c r="Z2440" s="117">
        <f t="shared" si="1788"/>
        <v>0</v>
      </c>
      <c r="AA2440" s="118"/>
      <c r="AB2440" s="118" t="str">
        <f t="shared" si="1789"/>
        <v/>
      </c>
      <c r="AC2440" s="712" t="str">
        <f>IF(AE2440="T2G","no charge",IF(AND(OR(PlanterYesMe="No",PlanterYesMe="N",PlanterYesMe="me"),H2440=""),"",IF(H2440="credit","NO install",IF(AND(K2440="",AE2440="me"),"EACH row",IF(AND(K2440="images",AE2440="me"),"EACH row",IF(D2440="","",IF(H2440="credit","",IF(AE2440="free","re-planting",IF(AE2440="me","   not ELP, by",IF(AND(OR(PlanterYesMe="Yes",PlanterYesMe="Y"),G2440&gt;0),(VLOOKUP(A2440,'Discount Lookup'!J:K,2)*G2440*(1-PlanterDiscount)*(1+PlanterDifficultyPercentage)),IF(AE2440="ELP",(VLOOKUP(A2440,'Discount Lookup'!J:K,2)*G2440*(1-PlanterDiscount)*(1+PlanterDifficultyPercentage)),IF(AE2440="free","re-planting",IF(G2440=0,"",IF(PlanterYesMe="",IF(AE2440="me","   not ELP, by",IF(AE2440="",IF(G2440&gt;0,(VLOOKUP(A2440,'Discount Lookup'!J:K,2)*G2440*(1-PlanterDiscount)*(1+PlanterDifficultyPercentage)),""),"")),"   not ELP, by"))))))))))))))</f>
        <v/>
      </c>
      <c r="AD2440" s="712"/>
      <c r="AE2440" s="513" t="str">
        <f t="shared" si="1790"/>
        <v/>
      </c>
      <c r="AF2440" s="713" t="str">
        <f t="shared" si="1791"/>
        <v/>
      </c>
      <c r="AG2440" s="713"/>
      <c r="AH2440" s="713"/>
      <c r="AI2440" s="112">
        <f>IF(H2440="credit",0,IF(AE2440="free",0,IF(AE2440="me",0,IF(G2440&gt;0,(VLOOKUP(A2440,'Discount Lookup'!J:K,2)*G2440),0))))</f>
        <v>0</v>
      </c>
      <c r="AJ2440" s="107" t="str">
        <f t="shared" ca="1" si="1792"/>
        <v/>
      </c>
      <c r="AK2440" s="714" t="str">
        <f t="shared" si="1793"/>
        <v/>
      </c>
      <c r="AL2440" s="714"/>
      <c r="AM2440" s="114" t="str">
        <f t="shared" si="1794"/>
        <v/>
      </c>
      <c r="AN2440" s="115"/>
      <c r="AO2440" s="116"/>
      <c r="AP2440" s="116"/>
      <c r="AQ2440" s="116"/>
      <c r="AR2440" s="116"/>
      <c r="AS2440" s="116"/>
      <c r="AT2440" s="116"/>
      <c r="AU2440" s="116"/>
      <c r="AV2440" s="78"/>
      <c r="AW2440" s="102"/>
      <c r="AX2440" s="78"/>
      <c r="AY2440" s="78"/>
      <c r="AZ2440" s="78"/>
      <c r="BA2440" s="78"/>
      <c r="BB2440" s="78"/>
      <c r="BC2440" s="78"/>
      <c r="BD2440" s="78"/>
      <c r="BE2440" s="465"/>
      <c r="BF2440" s="165" t="str">
        <f t="shared" si="1795"/>
        <v>https://www.google.com/search?tbm=isch&amp;q=Juniperus%20conferta%20%27All%20Gold%27%20All%20Gold%20Juniper</v>
      </c>
      <c r="BG2440" s="165" t="str">
        <f t="shared" si="1796"/>
        <v>J</v>
      </c>
      <c r="BH2440" s="65"/>
      <c r="BI2440" s="65"/>
      <c r="BJ2440" s="65"/>
      <c r="BK2440" s="65"/>
      <c r="BL2440" s="99"/>
      <c r="BM2440" s="99"/>
      <c r="BN2440" s="99"/>
    </row>
    <row r="2441" spans="1:66" s="51" customFormat="1" ht="15.75" x14ac:dyDescent="0.25">
      <c r="A2441" s="478">
        <v>3</v>
      </c>
      <c r="B2441" s="479" t="s">
        <v>291</v>
      </c>
      <c r="C2441" s="480" t="s">
        <v>3109</v>
      </c>
      <c r="D2441" s="481" t="s">
        <v>309</v>
      </c>
      <c r="E2441" s="482">
        <v>24.95</v>
      </c>
      <c r="F2441" s="483" t="s">
        <v>292</v>
      </c>
      <c r="G2441" s="484">
        <v>0</v>
      </c>
      <c r="H2441" s="688" t="str">
        <f>IF(G2441=0,"",IF(F2441="Buy",IF(G2441=1,"plant","plants"),IF(F2441&gt;0.01,"warranty","Error")))</f>
        <v/>
      </c>
      <c r="I2441" s="485">
        <f>IF(H2441="free",0,IF(H2441="credit",((E2441*(F2441))*G2441*-1),IF(F2441="Buy",(E2441*G2441),((E2441*(1-F2441))*G2441))))</f>
        <v>0</v>
      </c>
      <c r="J2441" s="485">
        <f>IF(H2441="warranty",0,(I2441*(_xlfn.SINGLE(SalesTaxPercentage))))</f>
        <v>0</v>
      </c>
      <c r="K2441" s="715">
        <f t="shared" ref="K2441" si="1821">I2441+J2441</f>
        <v>0</v>
      </c>
      <c r="L2441" s="715"/>
      <c r="M2441" s="689" t="str">
        <f ca="1">IF(AND(G2441&gt;0,E2441=0),"WARNING - no PRICE inserted",IF(H2441="free","FREE ~ no charge this plant",IF(H2441="credit",CONCATENATE("-$",ROUND(K2441*(1-_xlfn.SINGLE(T2GDiscount))*-1,2)," CREDIT after discount"),IF(_xlfn.SINGLE(T2GDiscount)=0,"",IF(G2441=0,"",IF(F2441="Buy",CONCATENATE("$",ROUND(K2441*(1-_xlfn.SINGLE(T2GDiscount)),2)," with ",(_xlfn.SINGLE(T2GDiscount)*100),"% discount"),CONCATENATE("$",ROUND(K2441*(1-_xlfn.SINGLE(T2GDiscount)),2)," with ",((_xlfn.SINGLE(T2GDiscount)*100+F2441*100)-(_xlfn.SINGLE(T2GDiscount)*100*F2441)),IF(F2441&gt;0,"% discounts",IF(_xlfn.SINGLE(NoWarrantyDiscount)&gt;0,"% discounts","% discount")))))))))</f>
        <v/>
      </c>
      <c r="N2441" s="690"/>
      <c r="O2441" s="486"/>
      <c r="P2441" s="486"/>
      <c r="Q2441" s="486"/>
      <c r="R2441" s="486"/>
      <c r="S2441" s="486"/>
      <c r="T2441" s="102">
        <f t="shared" si="1784"/>
        <v>0</v>
      </c>
      <c r="U2441" s="78">
        <f>IF(NOT(ISNUMBER(G2441)), "", VLOOKUP(A2441,'Discount Lookup'!D:E,2,FALSE)*G2441)</f>
        <v>0</v>
      </c>
      <c r="V2441" s="78">
        <f>IF(NOT(ISNUMBER(G2441)), "", VLOOKUP(A2441,'Discount Lookup'!G:H,2,FALSE)*G2441)</f>
        <v>0</v>
      </c>
      <c r="W2441" s="102">
        <f t="shared" si="1785"/>
        <v>0</v>
      </c>
      <c r="X2441" s="102">
        <f t="shared" si="1786"/>
        <v>0</v>
      </c>
      <c r="Y2441" s="120" t="b">
        <f t="shared" si="1787"/>
        <v>0</v>
      </c>
      <c r="Z2441" s="117">
        <f t="shared" si="1788"/>
        <v>0</v>
      </c>
      <c r="AA2441" s="118"/>
      <c r="AB2441" s="118" t="str">
        <f t="shared" si="1789"/>
        <v/>
      </c>
      <c r="AC2441" s="712" t="str">
        <f>IF(AE2441="T2G","no charge",IF(AND(OR(PlanterYesMe="No",PlanterYesMe="N",PlanterYesMe="me"),H2441=""),"",IF(H2441="credit","NO install",IF(AND(K2441="",AE2441="me"),"EACH row",IF(AND(K2441="images",AE2441="me"),"EACH row",IF(D2441="","",IF(H2441="credit","",IF(AE2441="free","re-planting",IF(AE2441="me","   not ELP, by",IF(AND(OR(PlanterYesMe="Yes",PlanterYesMe="Y"),G2441&gt;0),(VLOOKUP(A2441,'Discount Lookup'!J:K,2)*G2441*(1-PlanterDiscount)*(1+PlanterDifficultyPercentage)),IF(AE2441="ELP",(VLOOKUP(A2441,'Discount Lookup'!J:K,2)*G2441*(1-PlanterDiscount)*(1+PlanterDifficultyPercentage)),IF(AE2441="free","re-planting",IF(G2441=0,"",IF(PlanterYesMe="",IF(AE2441="me","   not ELP, by",IF(AE2441="",IF(G2441&gt;0,(VLOOKUP(A2441,'Discount Lookup'!J:K,2)*G2441*(1-PlanterDiscount)*(1+PlanterDifficultyPercentage)),""),"")),"   not ELP, by"))))))))))))))</f>
        <v/>
      </c>
      <c r="AD2441" s="712"/>
      <c r="AE2441" s="513" t="str">
        <f t="shared" si="1790"/>
        <v/>
      </c>
      <c r="AF2441" s="713" t="str">
        <f t="shared" si="1791"/>
        <v/>
      </c>
      <c r="AG2441" s="713"/>
      <c r="AH2441" s="713"/>
      <c r="AI2441" s="112">
        <f>IF(H2441="credit",0,IF(AE2441="free",0,IF(AE2441="me",0,IF(G2441&gt;0,(VLOOKUP(A2441,'Discount Lookup'!J:K,2)*G2441),0))))</f>
        <v>0</v>
      </c>
      <c r="AJ2441" s="107" t="str">
        <f t="shared" ca="1" si="1792"/>
        <v/>
      </c>
      <c r="AK2441" s="714" t="str">
        <f t="shared" si="1793"/>
        <v/>
      </c>
      <c r="AL2441" s="714"/>
      <c r="AM2441" s="114" t="str">
        <f t="shared" si="1794"/>
        <v/>
      </c>
      <c r="AN2441" s="115"/>
      <c r="AO2441" s="116"/>
      <c r="AP2441" s="116"/>
      <c r="AQ2441" s="116"/>
      <c r="AR2441" s="116"/>
      <c r="AS2441" s="116"/>
      <c r="AT2441" s="116"/>
      <c r="AU2441" s="116"/>
      <c r="AV2441" s="78"/>
      <c r="AW2441" s="102"/>
      <c r="AX2441" s="78"/>
      <c r="AY2441" s="78"/>
      <c r="AZ2441" s="78"/>
      <c r="BA2441" s="78"/>
      <c r="BB2441" s="78"/>
      <c r="BC2441" s="78"/>
      <c r="BD2441" s="78"/>
      <c r="BE2441" s="465"/>
      <c r="BF2441" s="165" t="str">
        <f t="shared" si="1795"/>
        <v>https://www.google.com/search?tbm=isch&amp;q=3%20G3</v>
      </c>
      <c r="BG2441" s="165" t="str">
        <f t="shared" si="1796"/>
        <v>J</v>
      </c>
      <c r="BH2441" s="65"/>
      <c r="BI2441" s="65"/>
      <c r="BJ2441" s="65"/>
      <c r="BK2441" s="65"/>
      <c r="BL2441" s="99"/>
      <c r="BM2441" s="99"/>
      <c r="BN2441" s="99"/>
    </row>
    <row r="2442" spans="1:66" s="51" customFormat="1" ht="27" x14ac:dyDescent="0.25">
      <c r="A2442" s="478">
        <v>7</v>
      </c>
      <c r="B2442" s="479" t="s">
        <v>291</v>
      </c>
      <c r="C2442" s="480" t="s">
        <v>3110</v>
      </c>
      <c r="D2442" s="481" t="s">
        <v>299</v>
      </c>
      <c r="E2442" s="482">
        <v>194.95</v>
      </c>
      <c r="F2442" s="483" t="s">
        <v>292</v>
      </c>
      <c r="G2442" s="484">
        <v>0</v>
      </c>
      <c r="H2442" s="688" t="str">
        <f>IF(G2442=0,"",IF(F2442="Buy",IF(G2442=1,"plant","plants"),IF(F2442&gt;0.01,"warranty","Error")))</f>
        <v/>
      </c>
      <c r="I2442" s="485">
        <f>IF(H2442="free",0,IF(H2442="credit",((E2442*(F2442))*G2442*-1),IF(F2442="Buy",(E2442*G2442),((E2442*(1-F2442))*G2442))))</f>
        <v>0</v>
      </c>
      <c r="J2442" s="485">
        <f>IF(H2442="warranty",0,(I2442*(_xlfn.SINGLE(SalesTaxPercentage))))</f>
        <v>0</v>
      </c>
      <c r="K2442" s="715">
        <f t="shared" ref="K2442" si="1822">I2442+J2442</f>
        <v>0</v>
      </c>
      <c r="L2442" s="715"/>
      <c r="M2442" s="689" t="str">
        <f ca="1">IF(AND(G2442&gt;0,E2442=0),"WARNING - no PRICE inserted",IF(H2442="free","FREE ~ no charge this plant",IF(H2442="credit",CONCATENATE("-$",ROUND(K2442*(1-_xlfn.SINGLE(T2GDiscount))*-1,2)," CREDIT after discount"),IF(_xlfn.SINGLE(T2GDiscount)=0,"",IF(G2442=0,"",IF(F2442="Buy",CONCATENATE("$",ROUND(K2442*(1-_xlfn.SINGLE(T2GDiscount)),2)," with ",(_xlfn.SINGLE(T2GDiscount)*100),"% discount"),CONCATENATE("$",ROUND(K2442*(1-_xlfn.SINGLE(T2GDiscount)),2)," with ",((_xlfn.SINGLE(T2GDiscount)*100+F2442*100)-(_xlfn.SINGLE(T2GDiscount)*100*F2442)),IF(F2442&gt;0,"% discounts",IF(_xlfn.SINGLE(NoWarrantyDiscount)&gt;0,"% discounts","% discount")))))))))</f>
        <v/>
      </c>
      <c r="N2442" s="690"/>
      <c r="O2442" s="486"/>
      <c r="P2442" s="486"/>
      <c r="Q2442" s="486"/>
      <c r="R2442" s="486"/>
      <c r="S2442" s="486"/>
      <c r="T2442" s="102">
        <f t="shared" si="1784"/>
        <v>0</v>
      </c>
      <c r="U2442" s="78">
        <f>IF(NOT(ISNUMBER(G2442)), "", VLOOKUP(A2442,'Discount Lookup'!D:E,2,FALSE)*G2442)</f>
        <v>0</v>
      </c>
      <c r="V2442" s="78">
        <f>IF(NOT(ISNUMBER(G2442)), "", VLOOKUP(A2442,'Discount Lookup'!G:H,2,FALSE)*G2442)</f>
        <v>0</v>
      </c>
      <c r="W2442" s="102">
        <f t="shared" si="1785"/>
        <v>0</v>
      </c>
      <c r="X2442" s="102">
        <f t="shared" si="1786"/>
        <v>0</v>
      </c>
      <c r="Y2442" s="120" t="b">
        <f t="shared" si="1787"/>
        <v>0</v>
      </c>
      <c r="Z2442" s="117">
        <f t="shared" si="1788"/>
        <v>0</v>
      </c>
      <c r="AA2442" s="118"/>
      <c r="AB2442" s="118" t="str">
        <f t="shared" si="1789"/>
        <v/>
      </c>
      <c r="AC2442" s="712" t="str">
        <f>IF(AE2442="T2G","no charge",IF(AND(OR(PlanterYesMe="No",PlanterYesMe="N",PlanterYesMe="me"),H2442=""),"",IF(H2442="credit","NO install",IF(AND(K2442="",AE2442="me"),"EACH row",IF(AND(K2442="images",AE2442="me"),"EACH row",IF(D2442="","",IF(H2442="credit","",IF(AE2442="free","re-planting",IF(AE2442="me","   not ELP, by",IF(AND(OR(PlanterYesMe="Yes",PlanterYesMe="Y"),G2442&gt;0),(VLOOKUP(A2442,'Discount Lookup'!J:K,2)*G2442*(1-PlanterDiscount)*(1+PlanterDifficultyPercentage)),IF(AE2442="ELP",(VLOOKUP(A2442,'Discount Lookup'!J:K,2)*G2442*(1-PlanterDiscount)*(1+PlanterDifficultyPercentage)),IF(AE2442="free","re-planting",IF(G2442=0,"",IF(PlanterYesMe="",IF(AE2442="me","   not ELP, by",IF(AE2442="",IF(G2442&gt;0,(VLOOKUP(A2442,'Discount Lookup'!J:K,2)*G2442*(1-PlanterDiscount)*(1+PlanterDifficultyPercentage)),""),"")),"   not ELP, by"))))))))))))))</f>
        <v/>
      </c>
      <c r="AD2442" s="712"/>
      <c r="AE2442" s="513" t="str">
        <f t="shared" si="1790"/>
        <v/>
      </c>
      <c r="AF2442" s="713" t="str">
        <f t="shared" si="1791"/>
        <v/>
      </c>
      <c r="AG2442" s="713"/>
      <c r="AH2442" s="713"/>
      <c r="AI2442" s="112">
        <f>IF(H2442="credit",0,IF(AE2442="free",0,IF(AE2442="me",0,IF(G2442&gt;0,(VLOOKUP(A2442,'Discount Lookup'!J:K,2)*G2442),0))))</f>
        <v>0</v>
      </c>
      <c r="AJ2442" s="107" t="str">
        <f t="shared" ca="1" si="1792"/>
        <v/>
      </c>
      <c r="AK2442" s="714" t="str">
        <f t="shared" si="1793"/>
        <v/>
      </c>
      <c r="AL2442" s="714"/>
      <c r="AM2442" s="114" t="str">
        <f t="shared" si="1794"/>
        <v/>
      </c>
      <c r="AN2442" s="115"/>
      <c r="AO2442" s="116"/>
      <c r="AP2442" s="116"/>
      <c r="AQ2442" s="116"/>
      <c r="AR2442" s="116"/>
      <c r="AS2442" s="116"/>
      <c r="AT2442" s="116"/>
      <c r="AU2442" s="116"/>
      <c r="AV2442" s="78"/>
      <c r="AW2442" s="102"/>
      <c r="AX2442" s="78"/>
      <c r="AY2442" s="78"/>
      <c r="AZ2442" s="78"/>
      <c r="BA2442" s="78"/>
      <c r="BB2442" s="78"/>
      <c r="BC2442" s="78"/>
      <c r="BD2442" s="78"/>
      <c r="BE2442" s="465"/>
      <c r="BF2442" s="165" t="str">
        <f t="shared" si="1795"/>
        <v>https://www.google.com/search?tbm=isch&amp;q=7%20G4</v>
      </c>
      <c r="BG2442" s="165" t="str">
        <f t="shared" si="1796"/>
        <v>J</v>
      </c>
      <c r="BH2442" s="65"/>
      <c r="BI2442" s="65"/>
      <c r="BJ2442" s="65"/>
      <c r="BK2442" s="65"/>
      <c r="BL2442" s="99"/>
      <c r="BM2442" s="99"/>
      <c r="BN2442" s="99"/>
    </row>
    <row r="2443" spans="1:66" s="51" customFormat="1" ht="16.5" thickBot="1" x14ac:dyDescent="0.3">
      <c r="A2443" s="508" t="s">
        <v>3111</v>
      </c>
      <c r="B2443" s="487"/>
      <c r="C2443" s="707"/>
      <c r="D2443" s="487"/>
      <c r="E2443" s="487"/>
      <c r="F2443" s="488"/>
      <c r="G2443" s="489"/>
      <c r="H2443" s="487"/>
      <c r="I2443" s="490"/>
      <c r="J2443" s="490"/>
      <c r="K2443" s="491"/>
      <c r="L2443" s="547"/>
      <c r="M2443" s="528"/>
      <c r="N2443" s="492"/>
      <c r="O2443" s="493"/>
      <c r="P2443" s="494"/>
      <c r="Q2443" s="492"/>
      <c r="R2443" s="492"/>
      <c r="S2443" s="699" t="s">
        <v>5259</v>
      </c>
      <c r="T2443" s="102">
        <f t="shared" si="1784"/>
        <v>0</v>
      </c>
      <c r="U2443" s="78" t="str">
        <f>IF(NOT(ISNUMBER(G2443)), "", VLOOKUP(A2443,'Discount Lookup'!D:E,2,FALSE)*G2443)</f>
        <v/>
      </c>
      <c r="V2443" s="78" t="str">
        <f>IF(NOT(ISNUMBER(G2443)), "", VLOOKUP(A2443,'Discount Lookup'!G:H,2,FALSE)*G2443)</f>
        <v/>
      </c>
      <c r="W2443" s="102">
        <f t="shared" si="1785"/>
        <v>0</v>
      </c>
      <c r="X2443" s="102">
        <f t="shared" si="1786"/>
        <v>0</v>
      </c>
      <c r="Y2443" s="120" t="b">
        <f t="shared" si="1787"/>
        <v>0</v>
      </c>
      <c r="Z2443" s="117">
        <f t="shared" si="1788"/>
        <v>0</v>
      </c>
      <c r="AA2443" s="118"/>
      <c r="AB2443" s="118" t="str">
        <f t="shared" si="1789"/>
        <v/>
      </c>
      <c r="AC2443" s="712" t="str">
        <f>IF(AE2443="T2G","no charge",IF(AND(OR(PlanterYesMe="No",PlanterYesMe="N",PlanterYesMe="me"),H2443=""),"",IF(H2443="credit","NO install",IF(AND(K2443="",AE2443="me"),"EACH row",IF(AND(K2443="images",AE2443="me"),"EACH row",IF(D2443="","",IF(H2443="credit","",IF(AE2443="free","re-planting",IF(AE2443="me","   not ELP, by",IF(AND(OR(PlanterYesMe="Yes",PlanterYesMe="Y"),G2443&gt;0),(VLOOKUP(A2443,'Discount Lookup'!J:K,2)*G2443*(1-PlanterDiscount)*(1+PlanterDifficultyPercentage)),IF(AE2443="ELP",(VLOOKUP(A2443,'Discount Lookup'!J:K,2)*G2443*(1-PlanterDiscount)*(1+PlanterDifficultyPercentage)),IF(AE2443="free","re-planting",IF(G2443=0,"",IF(PlanterYesMe="",IF(AE2443="me","   not ELP, by",IF(AE2443="",IF(G2443&gt;0,(VLOOKUP(A2443,'Discount Lookup'!J:K,2)*G2443*(1-PlanterDiscount)*(1+PlanterDifficultyPercentage)),""),"")),"   not ELP, by"))))))))))))))</f>
        <v/>
      </c>
      <c r="AD2443" s="712"/>
      <c r="AE2443" s="513" t="str">
        <f t="shared" si="1790"/>
        <v/>
      </c>
      <c r="AF2443" s="713" t="str">
        <f t="shared" si="1791"/>
        <v/>
      </c>
      <c r="AG2443" s="713"/>
      <c r="AH2443" s="713"/>
      <c r="AI2443" s="112">
        <f>IF(H2443="credit",0,IF(AE2443="free",0,IF(AE2443="me",0,IF(G2443&gt;0,(VLOOKUP(A2443,'Discount Lookup'!J:K,2)*G2443),0))))</f>
        <v>0</v>
      </c>
      <c r="AJ2443" s="107" t="str">
        <f t="shared" ca="1" si="1792"/>
        <v/>
      </c>
      <c r="AK2443" s="714" t="str">
        <f t="shared" si="1793"/>
        <v/>
      </c>
      <c r="AL2443" s="714"/>
      <c r="AM2443" s="114" t="str">
        <f t="shared" si="1794"/>
        <v/>
      </c>
      <c r="AN2443" s="115"/>
      <c r="AO2443" s="116"/>
      <c r="AP2443" s="116"/>
      <c r="AQ2443" s="116"/>
      <c r="AR2443" s="116"/>
      <c r="AS2443" s="116"/>
      <c r="AT2443" s="116"/>
      <c r="AU2443" s="116"/>
      <c r="AV2443" s="78"/>
      <c r="AW2443" s="102"/>
      <c r="AX2443" s="78"/>
      <c r="AY2443" s="78"/>
      <c r="AZ2443" s="78"/>
      <c r="BA2443" s="78"/>
      <c r="BB2443" s="78"/>
      <c r="BC2443" s="78"/>
      <c r="BD2443" s="78"/>
      <c r="BE2443" s="465"/>
      <c r="BF2443" s="165" t="str">
        <f t="shared" si="1795"/>
        <v>https://www.google.com/search?tbm=isch&amp;q=All%20Gold%27s%20vibrant%20foliage%20that%20turns%20light%20Bronze%20in%20winter%2C%20with%20soft%2C%20flexible%20stems%20and%20exfoliating%20bark.%20Sun%2Fheat%2Fdrought%20tolerant%20</v>
      </c>
      <c r="BG2443" s="165" t="str">
        <f t="shared" si="1796"/>
        <v>A</v>
      </c>
      <c r="BH2443" s="65"/>
      <c r="BI2443" s="65"/>
      <c r="BJ2443" s="65"/>
      <c r="BK2443" s="65"/>
      <c r="BL2443" s="99"/>
      <c r="BM2443" s="99"/>
      <c r="BN2443" s="99"/>
    </row>
    <row r="2444" spans="1:66" s="51" customFormat="1" ht="18" x14ac:dyDescent="0.25">
      <c r="A2444" s="507" t="s">
        <v>3112</v>
      </c>
      <c r="B2444" s="470"/>
      <c r="C2444" s="706"/>
      <c r="D2444" s="471" t="s">
        <v>3113</v>
      </c>
      <c r="E2444" s="472"/>
      <c r="F2444" s="472"/>
      <c r="G2444" s="472"/>
      <c r="H2444" s="622" t="s">
        <v>3108</v>
      </c>
      <c r="I2444" s="473" t="s">
        <v>565</v>
      </c>
      <c r="J2444" s="472"/>
      <c r="K2444" s="472"/>
      <c r="L2444" s="561"/>
      <c r="M2444" s="698" t="s">
        <v>5240</v>
      </c>
      <c r="N2444" s="692" t="str">
        <f>IF(AND(ISTEXT($A2444), ISERROR($A2444+0)), HYPERLINK($BF2444, "Images"), "")</f>
        <v>Images</v>
      </c>
      <c r="O2444" s="694" t="s">
        <v>5244</v>
      </c>
      <c r="P2444" s="475"/>
      <c r="Q2444" s="476"/>
      <c r="R2444" s="476"/>
      <c r="S2444" s="477"/>
      <c r="T2444" s="102">
        <f t="shared" si="1784"/>
        <v>0</v>
      </c>
      <c r="U2444" s="78" t="str">
        <f>IF(NOT(ISNUMBER(G2444)), "", VLOOKUP(A2444,'Discount Lookup'!D:E,2,FALSE)*G2444)</f>
        <v/>
      </c>
      <c r="V2444" s="78" t="str">
        <f>IF(NOT(ISNUMBER(G2444)), "", VLOOKUP(A2444,'Discount Lookup'!G:H,2,FALSE)*G2444)</f>
        <v/>
      </c>
      <c r="W2444" s="102">
        <f t="shared" si="1785"/>
        <v>0</v>
      </c>
      <c r="X2444" s="102" t="str">
        <f t="shared" si="1786"/>
        <v>Blue-Green foliage</v>
      </c>
      <c r="Y2444" s="120" t="b">
        <f t="shared" si="1787"/>
        <v>0</v>
      </c>
      <c r="Z2444" s="117">
        <f t="shared" si="1788"/>
        <v>0</v>
      </c>
      <c r="AA2444" s="118"/>
      <c r="AB2444" s="118" t="str">
        <f t="shared" si="1789"/>
        <v/>
      </c>
      <c r="AC2444" s="712" t="str">
        <f>IF(AE2444="T2G","no charge",IF(AND(OR(PlanterYesMe="No",PlanterYesMe="N",PlanterYesMe="me"),H2444=""),"",IF(H2444="credit","NO install",IF(AND(K2444="",AE2444="me"),"EACH row",IF(AND(K2444="images",AE2444="me"),"EACH row",IF(D2444="","",IF(H2444="credit","",IF(AE2444="free","re-planting",IF(AE2444="me","   not ELP, by",IF(AND(OR(PlanterYesMe="Yes",PlanterYesMe="Y"),G2444&gt;0),(VLOOKUP(A2444,'Discount Lookup'!J:K,2)*G2444*(1-PlanterDiscount)*(1+PlanterDifficultyPercentage)),IF(AE2444="ELP",(VLOOKUP(A2444,'Discount Lookup'!J:K,2)*G2444*(1-PlanterDiscount)*(1+PlanterDifficultyPercentage)),IF(AE2444="free","re-planting",IF(G2444=0,"",IF(PlanterYesMe="",IF(AE2444="me","   not ELP, by",IF(AE2444="",IF(G2444&gt;0,(VLOOKUP(A2444,'Discount Lookup'!J:K,2)*G2444*(1-PlanterDiscount)*(1+PlanterDifficultyPercentage)),""),"")),"   not ELP, by"))))))))))))))</f>
        <v/>
      </c>
      <c r="AD2444" s="712"/>
      <c r="AE2444" s="513" t="str">
        <f t="shared" si="1790"/>
        <v/>
      </c>
      <c r="AF2444" s="713" t="str">
        <f t="shared" si="1791"/>
        <v/>
      </c>
      <c r="AG2444" s="713"/>
      <c r="AH2444" s="713"/>
      <c r="AI2444" s="112">
        <f>IF(H2444="credit",0,IF(AE2444="free",0,IF(AE2444="me",0,IF(G2444&gt;0,(VLOOKUP(A2444,'Discount Lookup'!J:K,2)*G2444),0))))</f>
        <v>0</v>
      </c>
      <c r="AJ2444" s="107" t="str">
        <f t="shared" ca="1" si="1792"/>
        <v/>
      </c>
      <c r="AK2444" s="714" t="str">
        <f t="shared" si="1793"/>
        <v/>
      </c>
      <c r="AL2444" s="714"/>
      <c r="AM2444" s="114" t="str">
        <f t="shared" si="1794"/>
        <v/>
      </c>
      <c r="AN2444" s="115"/>
      <c r="AO2444" s="116"/>
      <c r="AP2444" s="116"/>
      <c r="AQ2444" s="116"/>
      <c r="AR2444" s="116"/>
      <c r="AS2444" s="116"/>
      <c r="AT2444" s="116"/>
      <c r="AU2444" s="116"/>
      <c r="AV2444" s="78"/>
      <c r="AW2444" s="102"/>
      <c r="AX2444" s="78"/>
      <c r="AY2444" s="78"/>
      <c r="AZ2444" s="78"/>
      <c r="BA2444" s="78"/>
      <c r="BB2444" s="78"/>
      <c r="BC2444" s="78"/>
      <c r="BD2444" s="78"/>
      <c r="BE2444" s="465"/>
      <c r="BF2444" s="165" t="str">
        <f t="shared" si="1795"/>
        <v>https://www.google.com/search?tbm=isch&amp;q=Juniperus%20conferta%20%27Blue%20Pacific%27%20Blue%20Pacific%20Juniper</v>
      </c>
      <c r="BG2444" s="165" t="str">
        <f t="shared" si="1796"/>
        <v>J</v>
      </c>
      <c r="BH2444" s="65"/>
      <c r="BI2444" s="65"/>
      <c r="BJ2444" s="65"/>
      <c r="BK2444" s="65"/>
      <c r="BL2444" s="99"/>
      <c r="BM2444" s="99"/>
      <c r="BN2444" s="99"/>
    </row>
    <row r="2445" spans="1:66" s="51" customFormat="1" ht="15.75" x14ac:dyDescent="0.25">
      <c r="A2445" s="478">
        <v>1</v>
      </c>
      <c r="B2445" s="479" t="s">
        <v>291</v>
      </c>
      <c r="C2445" s="480"/>
      <c r="D2445" s="481" t="s">
        <v>310</v>
      </c>
      <c r="E2445" s="482">
        <v>7.95</v>
      </c>
      <c r="F2445" s="483" t="s">
        <v>292</v>
      </c>
      <c r="G2445" s="484">
        <v>0</v>
      </c>
      <c r="H2445" s="688" t="str">
        <f t="shared" ref="H2445:H2450" si="1823">IF(G2445=0,"",IF(F2445="Buy",IF(G2445=1,"plant","plants"),IF(F2445&gt;0.01,"warranty","Error")))</f>
        <v/>
      </c>
      <c r="I2445" s="485">
        <f t="shared" ref="I2445:I2450" si="1824">IF(H2445="free",0,IF(H2445="credit",((E2445*(F2445))*G2445*-1),IF(F2445="Buy",(E2445*G2445),((E2445*(1-F2445))*G2445))))</f>
        <v>0</v>
      </c>
      <c r="J2445" s="485">
        <f t="shared" ref="J2445:J2450" si="1825">IF(H2445="warranty",0,(I2445*(_xlfn.SINGLE(SalesTaxPercentage))))</f>
        <v>0</v>
      </c>
      <c r="K2445" s="715">
        <f t="shared" ref="K2445" si="1826">I2445+J2445</f>
        <v>0</v>
      </c>
      <c r="L2445" s="715"/>
      <c r="M2445" s="689" t="str">
        <f t="shared" ref="M2445:M2450" ca="1" si="1827">IF(AND(G2445&gt;0,E2445=0),"WARNING - no PRICE inserted",IF(H2445="free","FREE ~ no charge this plant",IF(H2445="credit",CONCATENATE("-$",ROUND(K2445*(1-_xlfn.SINGLE(T2GDiscount))*-1,2)," CREDIT after discount"),IF(_xlfn.SINGLE(T2GDiscount)=0,"",IF(G2445=0,"",IF(F2445="Buy",CONCATENATE("$",ROUND(K2445*(1-_xlfn.SINGLE(T2GDiscount)),2)," with ",(_xlfn.SINGLE(T2GDiscount)*100),"% discount"),CONCATENATE("$",ROUND(K2445*(1-_xlfn.SINGLE(T2GDiscount)),2)," with ",((_xlfn.SINGLE(T2GDiscount)*100+F2445*100)-(_xlfn.SINGLE(T2GDiscount)*100*F2445)),IF(F2445&gt;0,"% discounts",IF(_xlfn.SINGLE(NoWarrantyDiscount)&gt;0,"% discounts","% discount")))))))))</f>
        <v/>
      </c>
      <c r="N2445" s="690"/>
      <c r="O2445" s="486"/>
      <c r="P2445" s="486"/>
      <c r="Q2445" s="486"/>
      <c r="R2445" s="486"/>
      <c r="S2445" s="486"/>
      <c r="T2445" s="102">
        <f t="shared" si="1784"/>
        <v>0</v>
      </c>
      <c r="U2445" s="78">
        <f>IF(NOT(ISNUMBER(G2445)), "", VLOOKUP(A2445,'Discount Lookup'!D:E,2,FALSE)*G2445)</f>
        <v>0</v>
      </c>
      <c r="V2445" s="78">
        <f>IF(NOT(ISNUMBER(G2445)), "", VLOOKUP(A2445,'Discount Lookup'!G:H,2,FALSE)*G2445)</f>
        <v>0</v>
      </c>
      <c r="W2445" s="102">
        <f t="shared" si="1785"/>
        <v>0</v>
      </c>
      <c r="X2445" s="102">
        <f t="shared" si="1786"/>
        <v>0</v>
      </c>
      <c r="Y2445" s="120" t="b">
        <f t="shared" si="1787"/>
        <v>0</v>
      </c>
      <c r="Z2445" s="117">
        <f t="shared" si="1788"/>
        <v>0</v>
      </c>
      <c r="AA2445" s="118"/>
      <c r="AB2445" s="118" t="str">
        <f t="shared" si="1789"/>
        <v/>
      </c>
      <c r="AC2445" s="712" t="str">
        <f>IF(AE2445="T2G","no charge",IF(AND(OR(PlanterYesMe="No",PlanterYesMe="N",PlanterYesMe="me"),H2445=""),"",IF(H2445="credit","NO install",IF(AND(K2445="",AE2445="me"),"EACH row",IF(AND(K2445="images",AE2445="me"),"EACH row",IF(D2445="","",IF(H2445="credit","",IF(AE2445="free","re-planting",IF(AE2445="me","   not ELP, by",IF(AND(OR(PlanterYesMe="Yes",PlanterYesMe="Y"),G2445&gt;0),(VLOOKUP(A2445,'Discount Lookup'!J:K,2)*G2445*(1-PlanterDiscount)*(1+PlanterDifficultyPercentage)),IF(AE2445="ELP",(VLOOKUP(A2445,'Discount Lookup'!J:K,2)*G2445*(1-PlanterDiscount)*(1+PlanterDifficultyPercentage)),IF(AE2445="free","re-planting",IF(G2445=0,"",IF(PlanterYesMe="",IF(AE2445="me","   not ELP, by",IF(AE2445="",IF(G2445&gt;0,(VLOOKUP(A2445,'Discount Lookup'!J:K,2)*G2445*(1-PlanterDiscount)*(1+PlanterDifficultyPercentage)),""),"")),"   not ELP, by"))))))))))))))</f>
        <v/>
      </c>
      <c r="AD2445" s="712"/>
      <c r="AE2445" s="513" t="str">
        <f t="shared" si="1790"/>
        <v/>
      </c>
      <c r="AF2445" s="713" t="str">
        <f t="shared" si="1791"/>
        <v/>
      </c>
      <c r="AG2445" s="713"/>
      <c r="AH2445" s="713"/>
      <c r="AI2445" s="112">
        <f>IF(H2445="credit",0,IF(AE2445="free",0,IF(AE2445="me",0,IF(G2445&gt;0,(VLOOKUP(A2445,'Discount Lookup'!J:K,2)*G2445),0))))</f>
        <v>0</v>
      </c>
      <c r="AJ2445" s="107" t="str">
        <f t="shared" ca="1" si="1792"/>
        <v/>
      </c>
      <c r="AK2445" s="714" t="str">
        <f t="shared" si="1793"/>
        <v/>
      </c>
      <c r="AL2445" s="714"/>
      <c r="AM2445" s="114" t="str">
        <f t="shared" si="1794"/>
        <v/>
      </c>
      <c r="AN2445" s="115"/>
      <c r="AO2445" s="116"/>
      <c r="AP2445" s="116"/>
      <c r="AQ2445" s="116"/>
      <c r="AR2445" s="116"/>
      <c r="AS2445" s="116"/>
      <c r="AT2445" s="116"/>
      <c r="AU2445" s="116"/>
      <c r="AV2445" s="78"/>
      <c r="AW2445" s="102"/>
      <c r="AX2445" s="78"/>
      <c r="AY2445" s="78"/>
      <c r="AZ2445" s="78"/>
      <c r="BA2445" s="78"/>
      <c r="BB2445" s="78"/>
      <c r="BC2445" s="78"/>
      <c r="BD2445" s="78"/>
      <c r="BE2445" s="465"/>
      <c r="BF2445" s="165" t="str">
        <f t="shared" si="1795"/>
        <v>https://www.google.com/search?tbm=isch&amp;q=1%20G1</v>
      </c>
      <c r="BG2445" s="165" t="str">
        <f t="shared" si="1796"/>
        <v>J</v>
      </c>
      <c r="BH2445" s="65"/>
      <c r="BI2445" s="65"/>
      <c r="BJ2445" s="65"/>
      <c r="BK2445" s="65"/>
      <c r="BL2445" s="99"/>
      <c r="BM2445" s="99"/>
      <c r="BN2445" s="99"/>
    </row>
    <row r="2446" spans="1:66" s="51" customFormat="1" ht="15.75" x14ac:dyDescent="0.25">
      <c r="A2446" s="478">
        <v>3</v>
      </c>
      <c r="B2446" s="479" t="s">
        <v>291</v>
      </c>
      <c r="C2446" s="480" t="s">
        <v>3114</v>
      </c>
      <c r="D2446" s="481" t="s">
        <v>293</v>
      </c>
      <c r="E2446" s="482">
        <v>20.95</v>
      </c>
      <c r="F2446" s="483" t="s">
        <v>292</v>
      </c>
      <c r="G2446" s="484">
        <v>0</v>
      </c>
      <c r="H2446" s="688" t="str">
        <f t="shared" si="1823"/>
        <v/>
      </c>
      <c r="I2446" s="485">
        <f t="shared" si="1824"/>
        <v>0</v>
      </c>
      <c r="J2446" s="485">
        <f t="shared" si="1825"/>
        <v>0</v>
      </c>
      <c r="K2446" s="715">
        <f t="shared" ref="K2446" si="1828">I2446+J2446</f>
        <v>0</v>
      </c>
      <c r="L2446" s="715"/>
      <c r="M2446" s="689" t="str">
        <f t="shared" ca="1" si="1827"/>
        <v/>
      </c>
      <c r="N2446" s="690"/>
      <c r="O2446" s="486"/>
      <c r="P2446" s="486"/>
      <c r="Q2446" s="486"/>
      <c r="R2446" s="486"/>
      <c r="S2446" s="486"/>
      <c r="T2446" s="102">
        <f t="shared" si="1784"/>
        <v>0</v>
      </c>
      <c r="U2446" s="78">
        <f>IF(NOT(ISNUMBER(G2446)), "", VLOOKUP(A2446,'Discount Lookup'!D:E,2,FALSE)*G2446)</f>
        <v>0</v>
      </c>
      <c r="V2446" s="78">
        <f>IF(NOT(ISNUMBER(G2446)), "", VLOOKUP(A2446,'Discount Lookup'!G:H,2,FALSE)*G2446)</f>
        <v>0</v>
      </c>
      <c r="W2446" s="102">
        <f t="shared" si="1785"/>
        <v>0</v>
      </c>
      <c r="X2446" s="102">
        <f t="shared" si="1786"/>
        <v>0</v>
      </c>
      <c r="Y2446" s="120" t="b">
        <f t="shared" si="1787"/>
        <v>0</v>
      </c>
      <c r="Z2446" s="117">
        <f t="shared" si="1788"/>
        <v>0</v>
      </c>
      <c r="AA2446" s="118"/>
      <c r="AB2446" s="118" t="str">
        <f t="shared" si="1789"/>
        <v/>
      </c>
      <c r="AC2446" s="712" t="str">
        <f>IF(AE2446="T2G","no charge",IF(AND(OR(PlanterYesMe="No",PlanterYesMe="N",PlanterYesMe="me"),H2446=""),"",IF(H2446="credit","NO install",IF(AND(K2446="",AE2446="me"),"EACH row",IF(AND(K2446="images",AE2446="me"),"EACH row",IF(D2446="","",IF(H2446="credit","",IF(AE2446="free","re-planting",IF(AE2446="me","   not ELP, by",IF(AND(OR(PlanterYesMe="Yes",PlanterYesMe="Y"),G2446&gt;0),(VLOOKUP(A2446,'Discount Lookup'!J:K,2)*G2446*(1-PlanterDiscount)*(1+PlanterDifficultyPercentage)),IF(AE2446="ELP",(VLOOKUP(A2446,'Discount Lookup'!J:K,2)*G2446*(1-PlanterDiscount)*(1+PlanterDifficultyPercentage)),IF(AE2446="free","re-planting",IF(G2446=0,"",IF(PlanterYesMe="",IF(AE2446="me","   not ELP, by",IF(AE2446="",IF(G2446&gt;0,(VLOOKUP(A2446,'Discount Lookup'!J:K,2)*G2446*(1-PlanterDiscount)*(1+PlanterDifficultyPercentage)),""),"")),"   not ELP, by"))))))))))))))</f>
        <v/>
      </c>
      <c r="AD2446" s="712"/>
      <c r="AE2446" s="513" t="str">
        <f t="shared" si="1790"/>
        <v/>
      </c>
      <c r="AF2446" s="713" t="str">
        <f t="shared" si="1791"/>
        <v/>
      </c>
      <c r="AG2446" s="713"/>
      <c r="AH2446" s="713"/>
      <c r="AI2446" s="112">
        <f>IF(H2446="credit",0,IF(AE2446="free",0,IF(AE2446="me",0,IF(G2446&gt;0,(VLOOKUP(A2446,'Discount Lookup'!J:K,2)*G2446),0))))</f>
        <v>0</v>
      </c>
      <c r="AJ2446" s="107" t="str">
        <f t="shared" ca="1" si="1792"/>
        <v/>
      </c>
      <c r="AK2446" s="714" t="str">
        <f t="shared" si="1793"/>
        <v/>
      </c>
      <c r="AL2446" s="714"/>
      <c r="AM2446" s="114" t="str">
        <f t="shared" si="1794"/>
        <v/>
      </c>
      <c r="AN2446" s="115"/>
      <c r="AO2446" s="116"/>
      <c r="AP2446" s="116"/>
      <c r="AQ2446" s="116"/>
      <c r="AR2446" s="116"/>
      <c r="AS2446" s="116"/>
      <c r="AT2446" s="116"/>
      <c r="AU2446" s="116"/>
      <c r="AV2446" s="78"/>
      <c r="AW2446" s="102"/>
      <c r="AX2446" s="78"/>
      <c r="AY2446" s="78"/>
      <c r="AZ2446" s="78"/>
      <c r="BA2446" s="78"/>
      <c r="BB2446" s="78"/>
      <c r="BC2446" s="78"/>
      <c r="BD2446" s="78"/>
      <c r="BE2446" s="465"/>
      <c r="BF2446" s="165" t="str">
        <f t="shared" si="1795"/>
        <v>https://www.google.com/search?tbm=isch&amp;q=3%20G6</v>
      </c>
      <c r="BG2446" s="165" t="str">
        <f t="shared" si="1796"/>
        <v>J</v>
      </c>
      <c r="BH2446" s="65"/>
      <c r="BI2446" s="65"/>
      <c r="BJ2446" s="65"/>
      <c r="BK2446" s="65"/>
      <c r="BL2446" s="99"/>
      <c r="BM2446" s="99"/>
      <c r="BN2446" s="99"/>
    </row>
    <row r="2447" spans="1:66" s="51" customFormat="1" ht="15.75" x14ac:dyDescent="0.25">
      <c r="A2447" s="478">
        <v>3</v>
      </c>
      <c r="B2447" s="479" t="s">
        <v>291</v>
      </c>
      <c r="C2447" s="480" t="s">
        <v>3115</v>
      </c>
      <c r="D2447" s="481" t="s">
        <v>309</v>
      </c>
      <c r="E2447" s="482">
        <v>24.95</v>
      </c>
      <c r="F2447" s="483" t="s">
        <v>292</v>
      </c>
      <c r="G2447" s="484">
        <v>0</v>
      </c>
      <c r="H2447" s="688" t="str">
        <f t="shared" si="1823"/>
        <v/>
      </c>
      <c r="I2447" s="485">
        <f t="shared" si="1824"/>
        <v>0</v>
      </c>
      <c r="J2447" s="485">
        <f t="shared" si="1825"/>
        <v>0</v>
      </c>
      <c r="K2447" s="715">
        <f t="shared" ref="K2447" si="1829">I2447+J2447</f>
        <v>0</v>
      </c>
      <c r="L2447" s="715"/>
      <c r="M2447" s="689" t="str">
        <f t="shared" ca="1" si="1827"/>
        <v/>
      </c>
      <c r="N2447" s="690"/>
      <c r="O2447" s="486"/>
      <c r="P2447" s="486"/>
      <c r="Q2447" s="486"/>
      <c r="R2447" s="486"/>
      <c r="S2447" s="486"/>
      <c r="T2447" s="102">
        <f t="shared" si="1784"/>
        <v>0</v>
      </c>
      <c r="U2447" s="78">
        <f>IF(NOT(ISNUMBER(G2447)), "", VLOOKUP(A2447,'Discount Lookup'!D:E,2,FALSE)*G2447)</f>
        <v>0</v>
      </c>
      <c r="V2447" s="78">
        <f>IF(NOT(ISNUMBER(G2447)), "", VLOOKUP(A2447,'Discount Lookup'!G:H,2,FALSE)*G2447)</f>
        <v>0</v>
      </c>
      <c r="W2447" s="102">
        <f t="shared" si="1785"/>
        <v>0</v>
      </c>
      <c r="X2447" s="102">
        <f t="shared" si="1786"/>
        <v>0</v>
      </c>
      <c r="Y2447" s="120" t="b">
        <f t="shared" si="1787"/>
        <v>0</v>
      </c>
      <c r="Z2447" s="117">
        <f t="shared" si="1788"/>
        <v>0</v>
      </c>
      <c r="AA2447" s="118"/>
      <c r="AB2447" s="118" t="str">
        <f t="shared" si="1789"/>
        <v/>
      </c>
      <c r="AC2447" s="712" t="str">
        <f>IF(AE2447="T2G","no charge",IF(AND(OR(PlanterYesMe="No",PlanterYesMe="N",PlanterYesMe="me"),H2447=""),"",IF(H2447="credit","NO install",IF(AND(K2447="",AE2447="me"),"EACH row",IF(AND(K2447="images",AE2447="me"),"EACH row",IF(D2447="","",IF(H2447="credit","",IF(AE2447="free","re-planting",IF(AE2447="me","   not ELP, by",IF(AND(OR(PlanterYesMe="Yes",PlanterYesMe="Y"),G2447&gt;0),(VLOOKUP(A2447,'Discount Lookup'!J:K,2)*G2447*(1-PlanterDiscount)*(1+PlanterDifficultyPercentage)),IF(AE2447="ELP",(VLOOKUP(A2447,'Discount Lookup'!J:K,2)*G2447*(1-PlanterDiscount)*(1+PlanterDifficultyPercentage)),IF(AE2447="free","re-planting",IF(G2447=0,"",IF(PlanterYesMe="",IF(AE2447="me","   not ELP, by",IF(AE2447="",IF(G2447&gt;0,(VLOOKUP(A2447,'Discount Lookup'!J:K,2)*G2447*(1-PlanterDiscount)*(1+PlanterDifficultyPercentage)),""),"")),"   not ELP, by"))))))))))))))</f>
        <v/>
      </c>
      <c r="AD2447" s="712"/>
      <c r="AE2447" s="513" t="str">
        <f t="shared" si="1790"/>
        <v/>
      </c>
      <c r="AF2447" s="713" t="str">
        <f t="shared" si="1791"/>
        <v/>
      </c>
      <c r="AG2447" s="713"/>
      <c r="AH2447" s="713"/>
      <c r="AI2447" s="112">
        <f>IF(H2447="credit",0,IF(AE2447="free",0,IF(AE2447="me",0,IF(G2447&gt;0,(VLOOKUP(A2447,'Discount Lookup'!J:K,2)*G2447),0))))</f>
        <v>0</v>
      </c>
      <c r="AJ2447" s="107" t="str">
        <f t="shared" ca="1" si="1792"/>
        <v/>
      </c>
      <c r="AK2447" s="714" t="str">
        <f t="shared" si="1793"/>
        <v/>
      </c>
      <c r="AL2447" s="714"/>
      <c r="AM2447" s="114" t="str">
        <f t="shared" si="1794"/>
        <v/>
      </c>
      <c r="AN2447" s="115"/>
      <c r="AO2447" s="116"/>
      <c r="AP2447" s="116"/>
      <c r="AQ2447" s="116"/>
      <c r="AR2447" s="116"/>
      <c r="AS2447" s="116"/>
      <c r="AT2447" s="116"/>
      <c r="AU2447" s="116"/>
      <c r="AV2447" s="78"/>
      <c r="AW2447" s="102"/>
      <c r="AX2447" s="78"/>
      <c r="AY2447" s="78"/>
      <c r="AZ2447" s="78"/>
      <c r="BA2447" s="78"/>
      <c r="BB2447" s="78"/>
      <c r="BC2447" s="78"/>
      <c r="BD2447" s="78"/>
      <c r="BE2447" s="465"/>
      <c r="BF2447" s="165" t="str">
        <f t="shared" si="1795"/>
        <v>https://www.google.com/search?tbm=isch&amp;q=3%20G3</v>
      </c>
      <c r="BG2447" s="165" t="str">
        <f t="shared" si="1796"/>
        <v>J</v>
      </c>
      <c r="BH2447" s="65"/>
      <c r="BI2447" s="65"/>
      <c r="BJ2447" s="65"/>
      <c r="BK2447" s="65"/>
      <c r="BL2447" s="99"/>
      <c r="BM2447" s="99"/>
      <c r="BN2447" s="99"/>
    </row>
    <row r="2448" spans="1:66" s="51" customFormat="1" ht="15.75" x14ac:dyDescent="0.25">
      <c r="A2448" s="478">
        <v>3</v>
      </c>
      <c r="B2448" s="479" t="s">
        <v>291</v>
      </c>
      <c r="C2448" s="480"/>
      <c r="D2448" s="481" t="s">
        <v>310</v>
      </c>
      <c r="E2448" s="482">
        <v>25.95</v>
      </c>
      <c r="F2448" s="483" t="s">
        <v>292</v>
      </c>
      <c r="G2448" s="484">
        <v>0</v>
      </c>
      <c r="H2448" s="688" t="str">
        <f t="shared" si="1823"/>
        <v/>
      </c>
      <c r="I2448" s="485">
        <f t="shared" si="1824"/>
        <v>0</v>
      </c>
      <c r="J2448" s="485">
        <f t="shared" si="1825"/>
        <v>0</v>
      </c>
      <c r="K2448" s="715">
        <f t="shared" ref="K2448" si="1830">I2448+J2448</f>
        <v>0</v>
      </c>
      <c r="L2448" s="715"/>
      <c r="M2448" s="689" t="str">
        <f t="shared" ca="1" si="1827"/>
        <v/>
      </c>
      <c r="N2448" s="690"/>
      <c r="O2448" s="486"/>
      <c r="P2448" s="486"/>
      <c r="Q2448" s="486"/>
      <c r="R2448" s="486"/>
      <c r="S2448" s="486"/>
      <c r="T2448" s="102">
        <f t="shared" si="1784"/>
        <v>0</v>
      </c>
      <c r="U2448" s="78">
        <f>IF(NOT(ISNUMBER(G2448)), "", VLOOKUP(A2448,'Discount Lookup'!D:E,2,FALSE)*G2448)</f>
        <v>0</v>
      </c>
      <c r="V2448" s="78">
        <f>IF(NOT(ISNUMBER(G2448)), "", VLOOKUP(A2448,'Discount Lookup'!G:H,2,FALSE)*G2448)</f>
        <v>0</v>
      </c>
      <c r="W2448" s="102">
        <f t="shared" si="1785"/>
        <v>0</v>
      </c>
      <c r="X2448" s="102">
        <f t="shared" si="1786"/>
        <v>0</v>
      </c>
      <c r="Y2448" s="120" t="b">
        <f t="shared" si="1787"/>
        <v>0</v>
      </c>
      <c r="Z2448" s="117">
        <f t="shared" si="1788"/>
        <v>0</v>
      </c>
      <c r="AA2448" s="118"/>
      <c r="AB2448" s="118" t="str">
        <f t="shared" si="1789"/>
        <v/>
      </c>
      <c r="AC2448" s="712" t="str">
        <f>IF(AE2448="T2G","no charge",IF(AND(OR(PlanterYesMe="No",PlanterYesMe="N",PlanterYesMe="me"),H2448=""),"",IF(H2448="credit","NO install",IF(AND(K2448="",AE2448="me"),"EACH row",IF(AND(K2448="images",AE2448="me"),"EACH row",IF(D2448="","",IF(H2448="credit","",IF(AE2448="free","re-planting",IF(AE2448="me","   not ELP, by",IF(AND(OR(PlanterYesMe="Yes",PlanterYesMe="Y"),G2448&gt;0),(VLOOKUP(A2448,'Discount Lookup'!J:K,2)*G2448*(1-PlanterDiscount)*(1+PlanterDifficultyPercentage)),IF(AE2448="ELP",(VLOOKUP(A2448,'Discount Lookup'!J:K,2)*G2448*(1-PlanterDiscount)*(1+PlanterDifficultyPercentage)),IF(AE2448="free","re-planting",IF(G2448=0,"",IF(PlanterYesMe="",IF(AE2448="me","   not ELP, by",IF(AE2448="",IF(G2448&gt;0,(VLOOKUP(A2448,'Discount Lookup'!J:K,2)*G2448*(1-PlanterDiscount)*(1+PlanterDifficultyPercentage)),""),"")),"   not ELP, by"))))))))))))))</f>
        <v/>
      </c>
      <c r="AD2448" s="712"/>
      <c r="AE2448" s="513" t="str">
        <f t="shared" si="1790"/>
        <v/>
      </c>
      <c r="AF2448" s="713" t="str">
        <f t="shared" si="1791"/>
        <v/>
      </c>
      <c r="AG2448" s="713"/>
      <c r="AH2448" s="713"/>
      <c r="AI2448" s="112">
        <f>IF(H2448="credit",0,IF(AE2448="free",0,IF(AE2448="me",0,IF(G2448&gt;0,(VLOOKUP(A2448,'Discount Lookup'!J:K,2)*G2448),0))))</f>
        <v>0</v>
      </c>
      <c r="AJ2448" s="107" t="str">
        <f t="shared" ca="1" si="1792"/>
        <v/>
      </c>
      <c r="AK2448" s="714" t="str">
        <f t="shared" si="1793"/>
        <v/>
      </c>
      <c r="AL2448" s="714"/>
      <c r="AM2448" s="114" t="str">
        <f t="shared" si="1794"/>
        <v/>
      </c>
      <c r="AN2448" s="115"/>
      <c r="AO2448" s="116"/>
      <c r="AP2448" s="116"/>
      <c r="AQ2448" s="116"/>
      <c r="AR2448" s="116"/>
      <c r="AS2448" s="116"/>
      <c r="AT2448" s="116"/>
      <c r="AU2448" s="116"/>
      <c r="AV2448" s="78"/>
      <c r="AW2448" s="102"/>
      <c r="AX2448" s="78"/>
      <c r="AY2448" s="78"/>
      <c r="AZ2448" s="78"/>
      <c r="BA2448" s="78"/>
      <c r="BB2448" s="78"/>
      <c r="BC2448" s="78"/>
      <c r="BD2448" s="78"/>
      <c r="BE2448" s="465"/>
      <c r="BF2448" s="165" t="str">
        <f t="shared" si="1795"/>
        <v>https://www.google.com/search?tbm=isch&amp;q=3%20G1</v>
      </c>
      <c r="BG2448" s="165" t="str">
        <f t="shared" si="1796"/>
        <v>J</v>
      </c>
      <c r="BH2448" s="65"/>
      <c r="BI2448" s="65"/>
      <c r="BJ2448" s="65"/>
      <c r="BK2448" s="65"/>
      <c r="BL2448" s="99"/>
      <c r="BM2448" s="99"/>
      <c r="BN2448" s="99"/>
    </row>
    <row r="2449" spans="1:66" s="51" customFormat="1" ht="15.75" x14ac:dyDescent="0.25">
      <c r="A2449" s="478">
        <v>3</v>
      </c>
      <c r="B2449" s="479" t="s">
        <v>291</v>
      </c>
      <c r="C2449" s="480"/>
      <c r="D2449" s="481" t="s">
        <v>329</v>
      </c>
      <c r="E2449" s="482">
        <v>25.95</v>
      </c>
      <c r="F2449" s="483" t="s">
        <v>292</v>
      </c>
      <c r="G2449" s="484">
        <v>0</v>
      </c>
      <c r="H2449" s="688" t="str">
        <f t="shared" si="1823"/>
        <v/>
      </c>
      <c r="I2449" s="485">
        <f t="shared" si="1824"/>
        <v>0</v>
      </c>
      <c r="J2449" s="485">
        <f t="shared" si="1825"/>
        <v>0</v>
      </c>
      <c r="K2449" s="715">
        <f t="shared" ref="K2449" si="1831">I2449+J2449</f>
        <v>0</v>
      </c>
      <c r="L2449" s="715"/>
      <c r="M2449" s="689" t="str">
        <f t="shared" ca="1" si="1827"/>
        <v/>
      </c>
      <c r="N2449" s="690"/>
      <c r="O2449" s="486"/>
      <c r="P2449" s="486"/>
      <c r="Q2449" s="486"/>
      <c r="R2449" s="486"/>
      <c r="S2449" s="486"/>
      <c r="T2449" s="102">
        <f t="shared" si="1784"/>
        <v>0</v>
      </c>
      <c r="U2449" s="78">
        <f>IF(NOT(ISNUMBER(G2449)), "", VLOOKUP(A2449,'Discount Lookup'!D:E,2,FALSE)*G2449)</f>
        <v>0</v>
      </c>
      <c r="V2449" s="78">
        <f>IF(NOT(ISNUMBER(G2449)), "", VLOOKUP(A2449,'Discount Lookup'!G:H,2,FALSE)*G2449)</f>
        <v>0</v>
      </c>
      <c r="W2449" s="102">
        <f t="shared" si="1785"/>
        <v>0</v>
      </c>
      <c r="X2449" s="102">
        <f t="shared" si="1786"/>
        <v>0</v>
      </c>
      <c r="Y2449" s="120" t="b">
        <f t="shared" si="1787"/>
        <v>0</v>
      </c>
      <c r="Z2449" s="117">
        <f t="shared" si="1788"/>
        <v>0</v>
      </c>
      <c r="AA2449" s="118"/>
      <c r="AB2449" s="118" t="str">
        <f t="shared" si="1789"/>
        <v/>
      </c>
      <c r="AC2449" s="712" t="str">
        <f>IF(AE2449="T2G","no charge",IF(AND(OR(PlanterYesMe="No",PlanterYesMe="N",PlanterYesMe="me"),H2449=""),"",IF(H2449="credit","NO install",IF(AND(K2449="",AE2449="me"),"EACH row",IF(AND(K2449="images",AE2449="me"),"EACH row",IF(D2449="","",IF(H2449="credit","",IF(AE2449="free","re-planting",IF(AE2449="me","   not ELP, by",IF(AND(OR(PlanterYesMe="Yes",PlanterYesMe="Y"),G2449&gt;0),(VLOOKUP(A2449,'Discount Lookup'!J:K,2)*G2449*(1-PlanterDiscount)*(1+PlanterDifficultyPercentage)),IF(AE2449="ELP",(VLOOKUP(A2449,'Discount Lookup'!J:K,2)*G2449*(1-PlanterDiscount)*(1+PlanterDifficultyPercentage)),IF(AE2449="free","re-planting",IF(G2449=0,"",IF(PlanterYesMe="",IF(AE2449="me","   not ELP, by",IF(AE2449="",IF(G2449&gt;0,(VLOOKUP(A2449,'Discount Lookup'!J:K,2)*G2449*(1-PlanterDiscount)*(1+PlanterDifficultyPercentage)),""),"")),"   not ELP, by"))))))))))))))</f>
        <v/>
      </c>
      <c r="AD2449" s="712"/>
      <c r="AE2449" s="513" t="str">
        <f t="shared" si="1790"/>
        <v/>
      </c>
      <c r="AF2449" s="713" t="str">
        <f t="shared" si="1791"/>
        <v/>
      </c>
      <c r="AG2449" s="713"/>
      <c r="AH2449" s="713"/>
      <c r="AI2449" s="112">
        <f>IF(H2449="credit",0,IF(AE2449="free",0,IF(AE2449="me",0,IF(G2449&gt;0,(VLOOKUP(A2449,'Discount Lookup'!J:K,2)*G2449),0))))</f>
        <v>0</v>
      </c>
      <c r="AJ2449" s="107" t="str">
        <f t="shared" ca="1" si="1792"/>
        <v/>
      </c>
      <c r="AK2449" s="714" t="str">
        <f t="shared" si="1793"/>
        <v/>
      </c>
      <c r="AL2449" s="714"/>
      <c r="AM2449" s="114" t="str">
        <f t="shared" si="1794"/>
        <v/>
      </c>
      <c r="AN2449" s="115"/>
      <c r="AO2449" s="116"/>
      <c r="AP2449" s="116"/>
      <c r="AQ2449" s="116"/>
      <c r="AR2449" s="116"/>
      <c r="AS2449" s="116"/>
      <c r="AT2449" s="116"/>
      <c r="AU2449" s="116"/>
      <c r="AV2449" s="78"/>
      <c r="AW2449" s="102"/>
      <c r="AX2449" s="78"/>
      <c r="AY2449" s="78"/>
      <c r="AZ2449" s="78"/>
      <c r="BA2449" s="78"/>
      <c r="BB2449" s="78"/>
      <c r="BC2449" s="78"/>
      <c r="BD2449" s="78"/>
      <c r="BE2449" s="465"/>
      <c r="BF2449" s="165" t="str">
        <f t="shared" si="1795"/>
        <v>https://www.google.com/search?tbm=isch&amp;q=3%20G2</v>
      </c>
      <c r="BG2449" s="165" t="str">
        <f t="shared" si="1796"/>
        <v>J</v>
      </c>
      <c r="BH2449" s="65"/>
      <c r="BI2449" s="65"/>
      <c r="BJ2449" s="65"/>
      <c r="BK2449" s="65"/>
      <c r="BL2449" s="99"/>
      <c r="BM2449" s="99"/>
      <c r="BN2449" s="99"/>
    </row>
    <row r="2450" spans="1:66" s="51" customFormat="1" ht="27" x14ac:dyDescent="0.25">
      <c r="A2450" s="478">
        <v>3</v>
      </c>
      <c r="B2450" s="479" t="s">
        <v>291</v>
      </c>
      <c r="C2450" s="480" t="s">
        <v>3116</v>
      </c>
      <c r="D2450" s="481" t="s">
        <v>311</v>
      </c>
      <c r="E2450" s="482">
        <v>26.95</v>
      </c>
      <c r="F2450" s="483" t="s">
        <v>292</v>
      </c>
      <c r="G2450" s="484">
        <v>0</v>
      </c>
      <c r="H2450" s="688" t="str">
        <f t="shared" si="1823"/>
        <v/>
      </c>
      <c r="I2450" s="485">
        <f t="shared" si="1824"/>
        <v>0</v>
      </c>
      <c r="J2450" s="485">
        <f t="shared" si="1825"/>
        <v>0</v>
      </c>
      <c r="K2450" s="715">
        <f t="shared" ref="K2450" si="1832">I2450+J2450</f>
        <v>0</v>
      </c>
      <c r="L2450" s="715"/>
      <c r="M2450" s="689" t="str">
        <f t="shared" ca="1" si="1827"/>
        <v/>
      </c>
      <c r="N2450" s="690"/>
      <c r="O2450" s="486"/>
      <c r="P2450" s="486"/>
      <c r="Q2450" s="486"/>
      <c r="R2450" s="486"/>
      <c r="S2450" s="486"/>
      <c r="T2450" s="102">
        <f t="shared" si="1784"/>
        <v>0</v>
      </c>
      <c r="U2450" s="78">
        <f>IF(NOT(ISNUMBER(G2450)), "", VLOOKUP(A2450,'Discount Lookup'!D:E,2,FALSE)*G2450)</f>
        <v>0</v>
      </c>
      <c r="V2450" s="78">
        <f>IF(NOT(ISNUMBER(G2450)), "", VLOOKUP(A2450,'Discount Lookup'!G:H,2,FALSE)*G2450)</f>
        <v>0</v>
      </c>
      <c r="W2450" s="102">
        <f t="shared" si="1785"/>
        <v>0</v>
      </c>
      <c r="X2450" s="102">
        <f t="shared" si="1786"/>
        <v>0</v>
      </c>
      <c r="Y2450" s="120" t="b">
        <f t="shared" si="1787"/>
        <v>0</v>
      </c>
      <c r="Z2450" s="117">
        <f t="shared" si="1788"/>
        <v>0</v>
      </c>
      <c r="AA2450" s="118"/>
      <c r="AB2450" s="118" t="str">
        <f t="shared" si="1789"/>
        <v/>
      </c>
      <c r="AC2450" s="712" t="str">
        <f>IF(AE2450="T2G","no charge",IF(AND(OR(PlanterYesMe="No",PlanterYesMe="N",PlanterYesMe="me"),H2450=""),"",IF(H2450="credit","NO install",IF(AND(K2450="",AE2450="me"),"EACH row",IF(AND(K2450="images",AE2450="me"),"EACH row",IF(D2450="","",IF(H2450="credit","",IF(AE2450="free","re-planting",IF(AE2450="me","   not ELP, by",IF(AND(OR(PlanterYesMe="Yes",PlanterYesMe="Y"),G2450&gt;0),(VLOOKUP(A2450,'Discount Lookup'!J:K,2)*G2450*(1-PlanterDiscount)*(1+PlanterDifficultyPercentage)),IF(AE2450="ELP",(VLOOKUP(A2450,'Discount Lookup'!J:K,2)*G2450*(1-PlanterDiscount)*(1+PlanterDifficultyPercentage)),IF(AE2450="free","re-planting",IF(G2450=0,"",IF(PlanterYesMe="",IF(AE2450="me","   not ELP, by",IF(AE2450="",IF(G2450&gt;0,(VLOOKUP(A2450,'Discount Lookup'!J:K,2)*G2450*(1-PlanterDiscount)*(1+PlanterDifficultyPercentage)),""),"")),"   not ELP, by"))))))))))))))</f>
        <v/>
      </c>
      <c r="AD2450" s="712"/>
      <c r="AE2450" s="513" t="str">
        <f t="shared" si="1790"/>
        <v/>
      </c>
      <c r="AF2450" s="713" t="str">
        <f t="shared" si="1791"/>
        <v/>
      </c>
      <c r="AG2450" s="713"/>
      <c r="AH2450" s="713"/>
      <c r="AI2450" s="112">
        <f>IF(H2450="credit",0,IF(AE2450="free",0,IF(AE2450="me",0,IF(G2450&gt;0,(VLOOKUP(A2450,'Discount Lookup'!J:K,2)*G2450),0))))</f>
        <v>0</v>
      </c>
      <c r="AJ2450" s="107" t="str">
        <f t="shared" ca="1" si="1792"/>
        <v/>
      </c>
      <c r="AK2450" s="714" t="str">
        <f t="shared" si="1793"/>
        <v/>
      </c>
      <c r="AL2450" s="714"/>
      <c r="AM2450" s="114" t="str">
        <f t="shared" si="1794"/>
        <v/>
      </c>
      <c r="AN2450" s="115"/>
      <c r="AO2450" s="116"/>
      <c r="AP2450" s="116"/>
      <c r="AQ2450" s="116"/>
      <c r="AR2450" s="116"/>
      <c r="AS2450" s="116"/>
      <c r="AT2450" s="116"/>
      <c r="AU2450" s="116"/>
      <c r="AV2450" s="78"/>
      <c r="AW2450" s="102"/>
      <c r="AX2450" s="78"/>
      <c r="AY2450" s="78"/>
      <c r="AZ2450" s="78"/>
      <c r="BA2450" s="78"/>
      <c r="BB2450" s="78"/>
      <c r="BC2450" s="78"/>
      <c r="BD2450" s="78"/>
      <c r="BE2450" s="465"/>
      <c r="BF2450" s="165" t="str">
        <f t="shared" si="1795"/>
        <v>https://www.google.com/search?tbm=isch&amp;q=3%20G5</v>
      </c>
      <c r="BG2450" s="165" t="str">
        <f t="shared" si="1796"/>
        <v>J</v>
      </c>
      <c r="BH2450" s="65"/>
      <c r="BI2450" s="65"/>
      <c r="BJ2450" s="65"/>
      <c r="BK2450" s="65"/>
      <c r="BL2450" s="99"/>
      <c r="BM2450" s="99"/>
      <c r="BN2450" s="99"/>
    </row>
    <row r="2451" spans="1:66" s="51" customFormat="1" ht="17.25" thickBot="1" x14ac:dyDescent="0.3">
      <c r="A2451" s="508" t="s">
        <v>3117</v>
      </c>
      <c r="B2451" s="487"/>
      <c r="C2451" s="707"/>
      <c r="D2451" s="487"/>
      <c r="E2451" s="487"/>
      <c r="F2451" s="488"/>
      <c r="G2451" s="489"/>
      <c r="H2451" s="487"/>
      <c r="I2451" s="490"/>
      <c r="J2451" s="490"/>
      <c r="K2451" s="491"/>
      <c r="L2451" s="547"/>
      <c r="M2451" s="528"/>
      <c r="N2451" s="492"/>
      <c r="O2451" s="493"/>
      <c r="P2451" s="494"/>
      <c r="Q2451" s="492"/>
      <c r="R2451" s="492"/>
      <c r="S2451" s="699" t="s">
        <v>5280</v>
      </c>
      <c r="T2451" s="102">
        <f t="shared" si="1784"/>
        <v>0</v>
      </c>
      <c r="U2451" s="78" t="str">
        <f>IF(NOT(ISNUMBER(G2451)), "", VLOOKUP(A2451,'Discount Lookup'!D:E,2,FALSE)*G2451)</f>
        <v/>
      </c>
      <c r="V2451" s="78" t="str">
        <f>IF(NOT(ISNUMBER(G2451)), "", VLOOKUP(A2451,'Discount Lookup'!G:H,2,FALSE)*G2451)</f>
        <v/>
      </c>
      <c r="W2451" s="102">
        <f t="shared" si="1785"/>
        <v>0</v>
      </c>
      <c r="X2451" s="102">
        <f t="shared" si="1786"/>
        <v>0</v>
      </c>
      <c r="Y2451" s="120" t="b">
        <f t="shared" si="1787"/>
        <v>0</v>
      </c>
      <c r="Z2451" s="117">
        <f t="shared" si="1788"/>
        <v>0</v>
      </c>
      <c r="AA2451" s="118"/>
      <c r="AB2451" s="118" t="str">
        <f t="shared" si="1789"/>
        <v/>
      </c>
      <c r="AC2451" s="712" t="str">
        <f>IF(AE2451="T2G","no charge",IF(AND(OR(PlanterYesMe="No",PlanterYesMe="N",PlanterYesMe="me"),H2451=""),"",IF(H2451="credit","NO install",IF(AND(K2451="",AE2451="me"),"EACH row",IF(AND(K2451="images",AE2451="me"),"EACH row",IF(D2451="","",IF(H2451="credit","",IF(AE2451="free","re-planting",IF(AE2451="me","   not ELP, by",IF(AND(OR(PlanterYesMe="Yes",PlanterYesMe="Y"),G2451&gt;0),(VLOOKUP(A2451,'Discount Lookup'!J:K,2)*G2451*(1-PlanterDiscount)*(1+PlanterDifficultyPercentage)),IF(AE2451="ELP",(VLOOKUP(A2451,'Discount Lookup'!J:K,2)*G2451*(1-PlanterDiscount)*(1+PlanterDifficultyPercentage)),IF(AE2451="free","re-planting",IF(G2451=0,"",IF(PlanterYesMe="",IF(AE2451="me","   not ELP, by",IF(AE2451="",IF(G2451&gt;0,(VLOOKUP(A2451,'Discount Lookup'!J:K,2)*G2451*(1-PlanterDiscount)*(1+PlanterDifficultyPercentage)),""),"")),"   not ELP, by"))))))))))))))</f>
        <v/>
      </c>
      <c r="AD2451" s="712"/>
      <c r="AE2451" s="513" t="str">
        <f t="shared" si="1790"/>
        <v/>
      </c>
      <c r="AF2451" s="713" t="str">
        <f t="shared" si="1791"/>
        <v/>
      </c>
      <c r="AG2451" s="713"/>
      <c r="AH2451" s="713"/>
      <c r="AI2451" s="112">
        <f>IF(H2451="credit",0,IF(AE2451="free",0,IF(AE2451="me",0,IF(G2451&gt;0,(VLOOKUP(A2451,'Discount Lookup'!J:K,2)*G2451),0))))</f>
        <v>0</v>
      </c>
      <c r="AJ2451" s="107" t="str">
        <f t="shared" ca="1" si="1792"/>
        <v/>
      </c>
      <c r="AK2451" s="714" t="str">
        <f t="shared" si="1793"/>
        <v/>
      </c>
      <c r="AL2451" s="714"/>
      <c r="AM2451" s="114" t="str">
        <f t="shared" si="1794"/>
        <v/>
      </c>
      <c r="AN2451" s="115"/>
      <c r="AO2451" s="116"/>
      <c r="AP2451" s="116"/>
      <c r="AQ2451" s="116"/>
      <c r="AR2451" s="116"/>
      <c r="AS2451" s="116"/>
      <c r="AT2451" s="116"/>
      <c r="AU2451" s="116"/>
      <c r="AV2451" s="78"/>
      <c r="AW2451" s="102"/>
      <c r="AX2451" s="78"/>
      <c r="AY2451" s="78"/>
      <c r="AZ2451" s="78"/>
      <c r="BA2451" s="78"/>
      <c r="BB2451" s="78"/>
      <c r="BC2451" s="78"/>
      <c r="BD2451" s="78"/>
      <c r="BE2451" s="465"/>
      <c r="BF2451" s="165" t="str">
        <f t="shared" si="1795"/>
        <v>https://www.google.com/search?tbm=isch&amp;q=Blue%20Pacific%20%28AKA%20%27Shore%20Juniper%27%29%20will%20grow%20on%20almost%20anything.%20Dense%20foliage%20is%20aromatic.%20Sun%2Fheat%2Fdrought%20tolerant%20</v>
      </c>
      <c r="BG2451" s="165" t="str">
        <f t="shared" si="1796"/>
        <v>B</v>
      </c>
      <c r="BH2451" s="65"/>
      <c r="BI2451" s="65"/>
      <c r="BJ2451" s="65"/>
      <c r="BK2451" s="65"/>
      <c r="BL2451" s="99"/>
      <c r="BM2451" s="99"/>
      <c r="BN2451" s="99"/>
    </row>
    <row r="2452" spans="1:66" s="51" customFormat="1" ht="18" x14ac:dyDescent="0.25">
      <c r="A2452" s="507" t="s">
        <v>3118</v>
      </c>
      <c r="B2452" s="470"/>
      <c r="C2452" s="706"/>
      <c r="D2452" s="471" t="s">
        <v>3119</v>
      </c>
      <c r="E2452" s="472"/>
      <c r="F2452" s="472"/>
      <c r="G2452" s="472"/>
      <c r="H2452" s="622" t="s">
        <v>3120</v>
      </c>
      <c r="I2452" s="473" t="s">
        <v>443</v>
      </c>
      <c r="J2452" s="472"/>
      <c r="K2452" s="472"/>
      <c r="L2452" s="561"/>
      <c r="M2452" s="698" t="s">
        <v>5240</v>
      </c>
      <c r="N2452" s="692" t="str">
        <f>IF(AND(ISTEXT($A2452), ISERROR($A2452+0)), HYPERLINK($BF2452, "Images"), "")</f>
        <v>Images</v>
      </c>
      <c r="O2452" s="694" t="s">
        <v>5244</v>
      </c>
      <c r="P2452" s="475"/>
      <c r="Q2452" s="476"/>
      <c r="R2452" s="476"/>
      <c r="S2452" s="477"/>
      <c r="T2452" s="102">
        <f t="shared" ref="T2452:T2515" si="1833">E2452*G2452</f>
        <v>0</v>
      </c>
      <c r="U2452" s="78" t="str">
        <f>IF(NOT(ISNUMBER(G2452)), "", VLOOKUP(A2452,'Discount Lookup'!D:E,2,FALSE)*G2452)</f>
        <v/>
      </c>
      <c r="V2452" s="78" t="str">
        <f>IF(NOT(ISNUMBER(G2452)), "", VLOOKUP(A2452,'Discount Lookup'!G:H,2,FALSE)*G2452)</f>
        <v/>
      </c>
      <c r="W2452" s="102">
        <f t="shared" ref="W2452:W2515" si="1834">IF(H2452="credit",0,E2452*(SalesTaxPercentage)*G2452)</f>
        <v>0</v>
      </c>
      <c r="X2452" s="102" t="str">
        <f t="shared" ref="X2452:X2515" si="1835">I2452</f>
        <v>Golden-Yellow foliage</v>
      </c>
      <c r="Y2452" s="120" t="b">
        <f t="shared" ref="Y2452:Y2515" si="1836">IF(AE2452="T2G",0,IF(H2452="credit",0,IF(G2452&gt;0,IF(AE2452="me","",G2452))))</f>
        <v>0</v>
      </c>
      <c r="Z2452" s="117">
        <f t="shared" ref="Z2452:Z2515" si="1837">IF(H2452="credit",G2452,0)</f>
        <v>0</v>
      </c>
      <c r="AA2452" s="118"/>
      <c r="AB2452" s="118" t="str">
        <f t="shared" ref="AB2452:AB2515" si="1838">IF(AE2452="T2G","by Trees2Go",IF(H2452="credit","CREDIT only ~",IF(AND(K2452="",AE2452=OR(PlanterYesMe="No",PlanterYesMe="N",PlanterYesMe="me")),"not THIS line⇨",IF(AND(K2452="images",AE2452="me"),"not THIS line⇨",IF(H2452="credit","",IF(G2452=0,"",IF(AE2452="me","",IF(OR(PlanterYesMe="No",PlanterYesMe="N",PlanterYesMe="me"),"",IF(AE2452="free","warranty",IF(OR(PlanterYesMe="yes",PlanterYesMe="y"),"Edison install:","to install:"))))))))))</f>
        <v/>
      </c>
      <c r="AC2452" s="712" t="str">
        <f>IF(AE2452="T2G","no charge",IF(AND(OR(PlanterYesMe="No",PlanterYesMe="N",PlanterYesMe="me"),H2452=""),"",IF(H2452="credit","NO install",IF(AND(K2452="",AE2452="me"),"EACH row",IF(AND(K2452="images",AE2452="me"),"EACH row",IF(D2452="","",IF(H2452="credit","",IF(AE2452="free","re-planting",IF(AE2452="me","   not ELP, by",IF(AND(OR(PlanterYesMe="Yes",PlanterYesMe="Y"),G2452&gt;0),(VLOOKUP(A2452,'Discount Lookup'!J:K,2)*G2452*(1-PlanterDiscount)*(1+PlanterDifficultyPercentage)),IF(AE2452="ELP",(VLOOKUP(A2452,'Discount Lookup'!J:K,2)*G2452*(1-PlanterDiscount)*(1+PlanterDifficultyPercentage)),IF(AE2452="free","re-planting",IF(G2452=0,"",IF(PlanterYesMe="",IF(AE2452="me","   not ELP, by",IF(AE2452="",IF(G2452&gt;0,(VLOOKUP(A2452,'Discount Lookup'!J:K,2)*G2452*(1-PlanterDiscount)*(1+PlanterDifficultyPercentage)),""),"")),"   not ELP, by"))))))))))))))</f>
        <v/>
      </c>
      <c r="AD2452" s="712"/>
      <c r="AE2452" s="513" t="str">
        <f t="shared" ref="AE2452:AE2515" si="1839">IF(H2452="credit","",IF(G2452=0,"",IF(OR(PlanterYesMe="No",PlanterYesMe="N",PlanterYesMe="me"),"me",IF(H2452="warranty","free",IF(OR(PlanterYesMe="yes",PlanterYesMe="y"),"ELP","")))))</f>
        <v/>
      </c>
      <c r="AF2452" s="713" t="str">
        <f t="shared" ref="AF2452:AF2515" si="1840">IF(OR(PlanterYesMe="No",PlanterYesMe="N",PlanterYesMe="me"),"",IF(H2452="credit","",IF(G2452&gt;0,(CONCATENATE((G2452)," quantity, ",(A2452)," ",B2452)),"")))</f>
        <v/>
      </c>
      <c r="AG2452" s="713"/>
      <c r="AH2452" s="713"/>
      <c r="AI2452" s="112">
        <f>IF(H2452="credit",0,IF(AE2452="free",0,IF(AE2452="me",0,IF(G2452&gt;0,(VLOOKUP(A2452,'Discount Lookup'!J:K,2)*G2452),0))))</f>
        <v>0</v>
      </c>
      <c r="AJ2452" s="107" t="str">
        <f t="shared" ref="AJ2452:AJ2515" ca="1" si="1841">IF(AND(ISREF(H2452),H2452="credit"),"",IF(AND(AND(OFFSET(G2452,0,0)=0,OFFSET(G2452,1,0)&gt;0,ISNUMBER(OFFSET(AC2452,1,0)),OFFSET(AC2452,1,0)&gt;0),OR(PlanterYesMe="yes",PlanterYesMe="y")),"T2G+ELP=",IF(AND(OFFSET(G2452,0,0)=0,OFFSET(G2452,1,0)&gt;0,ISNUMBER(OFFSET(AC2452,1,0)),OFFSET(AC2452,1,0)&gt;0),"if T2G+ELP=",IF(AND(OFFSET(G2452,0,0)=0,OFFSET(G2452,1,0)&gt;0),"T2G Subtotal",IF(H2452="credit","",IF(G2452=0,"",IF(AE2452="free",(K2452*(1-T2GDiscount)),IF(OR(PlanterYesMe="No",PlanterYesMe="N",PlanterYesMe="me"),(K2452*(1-T2GDiscount)),IF(OR(AE2452="me",AE2452="T2G"),(K2452*(1-T2GDiscount)),(K2452*(1-T2GDiscount))+AC2452)))))))))</f>
        <v/>
      </c>
      <c r="AK2452" s="714" t="str">
        <f t="shared" ref="AK2452:AK2515" si="1842">IF(H2452="credit","",IF(G2452=0,"",IF(OR(AE2452="me",AE2452="T2G"),"  delivery-only",IF(OR(PlanterYesMe="No",PlanterYesMe="N",PlanterYesMe="me"),"  delivery-only",CONCATENATE(" $",ROUND(AJ2452/G2452,2)," each")))))</f>
        <v/>
      </c>
      <c r="AL2452" s="714"/>
      <c r="AM2452" s="114" t="str">
        <f t="shared" ref="AM2452:AM2515" si="1843">IF(H2452="credit","",IF(AE2452="free","      ~ discounts included, no tax or planting fee applies ~",IF(G2452=0,"",IF(OR(PlanterYesMe="No",PlanterYesMe="N",PlanterYesMe="me"),CONCATENATE(" $",ROUND(AJ2452/G2452,2)," per plant, with tax &amp; discount"),IF(OR(AE2452="me",AE2452="T2G"),CONCATENATE(" $",ROUND(AJ2452/G2452,2)," per plant, with tax &amp; discount"),CONCATENATE("= $",ROUND((K2452*(1-T2GDiscount))/G2452,2)," per plant + $",AC2452/G2452,(" per planting      ~ includes tax &amp; discounts ~")))))))</f>
        <v/>
      </c>
      <c r="AN2452" s="115"/>
      <c r="AO2452" s="116"/>
      <c r="AP2452" s="116"/>
      <c r="AQ2452" s="116"/>
      <c r="AR2452" s="116"/>
      <c r="AS2452" s="116"/>
      <c r="AT2452" s="116"/>
      <c r="AU2452" s="116"/>
      <c r="AV2452" s="78"/>
      <c r="AW2452" s="102"/>
      <c r="AX2452" s="78"/>
      <c r="AY2452" s="78"/>
      <c r="AZ2452" s="78"/>
      <c r="BA2452" s="78"/>
      <c r="BB2452" s="78"/>
      <c r="BC2452" s="78"/>
      <c r="BD2452" s="78"/>
      <c r="BE2452" s="465"/>
      <c r="BF2452" s="165" t="str">
        <f t="shared" ref="BF2452:BF2515" si="1844">"https://www.google.com/search?tbm=isch&amp;q=" &amp; _xlfn.ENCODEURL($A2452 &amp; " " &amp; $D2452)</f>
        <v>https://www.google.com/search?tbm=isch&amp;q=Juniperus%20conferta%20%27sPg-3-O16%27%20Golden%20Pacific%20Juniper</v>
      </c>
      <c r="BG2452" s="165" t="str">
        <f t="shared" ref="BG2452:BG2515" si="1845">IF(ISTEXT(A2452),LEFT(A2452,1),BG2451)</f>
        <v>J</v>
      </c>
      <c r="BH2452" s="65"/>
      <c r="BI2452" s="65"/>
      <c r="BJ2452" s="65"/>
      <c r="BK2452" s="65"/>
      <c r="BL2452" s="99"/>
      <c r="BM2452" s="99"/>
      <c r="BN2452" s="99"/>
    </row>
    <row r="2453" spans="1:66" s="51" customFormat="1" ht="15.75" x14ac:dyDescent="0.25">
      <c r="A2453" s="478">
        <v>3</v>
      </c>
      <c r="B2453" s="479" t="s">
        <v>291</v>
      </c>
      <c r="C2453" s="480" t="s">
        <v>3114</v>
      </c>
      <c r="D2453" s="481" t="s">
        <v>293</v>
      </c>
      <c r="E2453" s="482">
        <v>40.950000000000003</v>
      </c>
      <c r="F2453" s="483" t="s">
        <v>292</v>
      </c>
      <c r="G2453" s="484">
        <v>0</v>
      </c>
      <c r="H2453" s="688" t="str">
        <f>IF(G2453=0,"",IF(F2453="Buy",IF(G2453=1,"plant","plants"),IF(F2453&gt;0.01,"warranty","Error")))</f>
        <v/>
      </c>
      <c r="I2453" s="485">
        <f>IF(H2453="free",0,IF(H2453="credit",((E2453*(F2453))*G2453*-1),IF(F2453="Buy",(E2453*G2453),((E2453*(1-F2453))*G2453))))</f>
        <v>0</v>
      </c>
      <c r="J2453" s="485">
        <f>IF(H2453="warranty",0,(I2453*(_xlfn.SINGLE(SalesTaxPercentage))))</f>
        <v>0</v>
      </c>
      <c r="K2453" s="715">
        <f t="shared" ref="K2453" si="1846">I2453+J2453</f>
        <v>0</v>
      </c>
      <c r="L2453" s="715"/>
      <c r="M2453" s="689" t="str">
        <f ca="1">IF(AND(G2453&gt;0,E2453=0),"WARNING - no PRICE inserted",IF(H2453="free","FREE ~ no charge this plant",IF(H2453="credit",CONCATENATE("-$",ROUND(K2453*(1-_xlfn.SINGLE(T2GDiscount))*-1,2)," CREDIT after discount"),IF(_xlfn.SINGLE(T2GDiscount)=0,"",IF(G2453=0,"",IF(F2453="Buy",CONCATENATE("$",ROUND(K2453*(1-_xlfn.SINGLE(T2GDiscount)),2)," with ",(_xlfn.SINGLE(T2GDiscount)*100),"% discount"),CONCATENATE("$",ROUND(K2453*(1-_xlfn.SINGLE(T2GDiscount)),2)," with ",((_xlfn.SINGLE(T2GDiscount)*100+F2453*100)-(_xlfn.SINGLE(T2GDiscount)*100*F2453)),IF(F2453&gt;0,"% discounts",IF(_xlfn.SINGLE(NoWarrantyDiscount)&gt;0,"% discounts","% discount")))))))))</f>
        <v/>
      </c>
      <c r="N2453" s="690"/>
      <c r="O2453" s="486"/>
      <c r="P2453" s="486"/>
      <c r="Q2453" s="486"/>
      <c r="R2453" s="486"/>
      <c r="S2453" s="486"/>
      <c r="T2453" s="102">
        <f t="shared" si="1833"/>
        <v>0</v>
      </c>
      <c r="U2453" s="78">
        <f>IF(NOT(ISNUMBER(G2453)), "", VLOOKUP(A2453,'Discount Lookup'!D:E,2,FALSE)*G2453)</f>
        <v>0</v>
      </c>
      <c r="V2453" s="78">
        <f>IF(NOT(ISNUMBER(G2453)), "", VLOOKUP(A2453,'Discount Lookup'!G:H,2,FALSE)*G2453)</f>
        <v>0</v>
      </c>
      <c r="W2453" s="102">
        <f t="shared" si="1834"/>
        <v>0</v>
      </c>
      <c r="X2453" s="102">
        <f t="shared" si="1835"/>
        <v>0</v>
      </c>
      <c r="Y2453" s="120" t="b">
        <f t="shared" si="1836"/>
        <v>0</v>
      </c>
      <c r="Z2453" s="117">
        <f t="shared" si="1837"/>
        <v>0</v>
      </c>
      <c r="AA2453" s="118"/>
      <c r="AB2453" s="118" t="str">
        <f t="shared" si="1838"/>
        <v/>
      </c>
      <c r="AC2453" s="712" t="str">
        <f>IF(AE2453="T2G","no charge",IF(AND(OR(PlanterYesMe="No",PlanterYesMe="N",PlanterYesMe="me"),H2453=""),"",IF(H2453="credit","NO install",IF(AND(K2453="",AE2453="me"),"EACH row",IF(AND(K2453="images",AE2453="me"),"EACH row",IF(D2453="","",IF(H2453="credit","",IF(AE2453="free","re-planting",IF(AE2453="me","   not ELP, by",IF(AND(OR(PlanterYesMe="Yes",PlanterYesMe="Y"),G2453&gt;0),(VLOOKUP(A2453,'Discount Lookup'!J:K,2)*G2453*(1-PlanterDiscount)*(1+PlanterDifficultyPercentage)),IF(AE2453="ELP",(VLOOKUP(A2453,'Discount Lookup'!J:K,2)*G2453*(1-PlanterDiscount)*(1+PlanterDifficultyPercentage)),IF(AE2453="free","re-planting",IF(G2453=0,"",IF(PlanterYesMe="",IF(AE2453="me","   not ELP, by",IF(AE2453="",IF(G2453&gt;0,(VLOOKUP(A2453,'Discount Lookup'!J:K,2)*G2453*(1-PlanterDiscount)*(1+PlanterDifficultyPercentage)),""),"")),"   not ELP, by"))))))))))))))</f>
        <v/>
      </c>
      <c r="AD2453" s="712"/>
      <c r="AE2453" s="513" t="str">
        <f t="shared" si="1839"/>
        <v/>
      </c>
      <c r="AF2453" s="713" t="str">
        <f t="shared" si="1840"/>
        <v/>
      </c>
      <c r="AG2453" s="713"/>
      <c r="AH2453" s="713"/>
      <c r="AI2453" s="112">
        <f>IF(H2453="credit",0,IF(AE2453="free",0,IF(AE2453="me",0,IF(G2453&gt;0,(VLOOKUP(A2453,'Discount Lookup'!J:K,2)*G2453),0))))</f>
        <v>0</v>
      </c>
      <c r="AJ2453" s="107" t="str">
        <f t="shared" ca="1" si="1841"/>
        <v/>
      </c>
      <c r="AK2453" s="714" t="str">
        <f t="shared" si="1842"/>
        <v/>
      </c>
      <c r="AL2453" s="714"/>
      <c r="AM2453" s="114" t="str">
        <f t="shared" si="1843"/>
        <v/>
      </c>
      <c r="AN2453" s="115"/>
      <c r="AO2453" s="116"/>
      <c r="AP2453" s="116"/>
      <c r="AQ2453" s="116"/>
      <c r="AR2453" s="116"/>
      <c r="AS2453" s="116"/>
      <c r="AT2453" s="116"/>
      <c r="AU2453" s="116"/>
      <c r="AV2453" s="78"/>
      <c r="AW2453" s="102"/>
      <c r="AX2453" s="78"/>
      <c r="AY2453" s="78"/>
      <c r="AZ2453" s="78"/>
      <c r="BA2453" s="78"/>
      <c r="BB2453" s="78"/>
      <c r="BC2453" s="78"/>
      <c r="BD2453" s="78"/>
      <c r="BE2453" s="465"/>
      <c r="BF2453" s="165" t="str">
        <f t="shared" si="1844"/>
        <v>https://www.google.com/search?tbm=isch&amp;q=3%20G6</v>
      </c>
      <c r="BG2453" s="165" t="str">
        <f t="shared" si="1845"/>
        <v>J</v>
      </c>
      <c r="BH2453" s="65"/>
      <c r="BI2453" s="65"/>
      <c r="BJ2453" s="65"/>
      <c r="BK2453" s="65"/>
      <c r="BL2453" s="99"/>
      <c r="BM2453" s="99"/>
      <c r="BN2453" s="99"/>
    </row>
    <row r="2454" spans="1:66" s="51" customFormat="1" ht="17.25" thickBot="1" x14ac:dyDescent="0.3">
      <c r="A2454" s="508" t="s">
        <v>3121</v>
      </c>
      <c r="B2454" s="487"/>
      <c r="C2454" s="707"/>
      <c r="D2454" s="487"/>
      <c r="E2454" s="487"/>
      <c r="F2454" s="488"/>
      <c r="G2454" s="489"/>
      <c r="H2454" s="487"/>
      <c r="I2454" s="490"/>
      <c r="J2454" s="490"/>
      <c r="K2454" s="491"/>
      <c r="L2454" s="547"/>
      <c r="M2454" s="528"/>
      <c r="N2454" s="492"/>
      <c r="O2454" s="493"/>
      <c r="P2454" s="494"/>
      <c r="Q2454" s="492"/>
      <c r="R2454" s="492"/>
      <c r="S2454" s="699" t="s">
        <v>5280</v>
      </c>
      <c r="T2454" s="102">
        <f t="shared" si="1833"/>
        <v>0</v>
      </c>
      <c r="U2454" s="78" t="str">
        <f>IF(NOT(ISNUMBER(G2454)), "", VLOOKUP(A2454,'Discount Lookup'!D:E,2,FALSE)*G2454)</f>
        <v/>
      </c>
      <c r="V2454" s="78" t="str">
        <f>IF(NOT(ISNUMBER(G2454)), "", VLOOKUP(A2454,'Discount Lookup'!G:H,2,FALSE)*G2454)</f>
        <v/>
      </c>
      <c r="W2454" s="102">
        <f t="shared" si="1834"/>
        <v>0</v>
      </c>
      <c r="X2454" s="102">
        <f t="shared" si="1835"/>
        <v>0</v>
      </c>
      <c r="Y2454" s="120" t="b">
        <f t="shared" si="1836"/>
        <v>0</v>
      </c>
      <c r="Z2454" s="117">
        <f t="shared" si="1837"/>
        <v>0</v>
      </c>
      <c r="AA2454" s="118"/>
      <c r="AB2454" s="118" t="str">
        <f t="shared" si="1838"/>
        <v/>
      </c>
      <c r="AC2454" s="712" t="str">
        <f>IF(AE2454="T2G","no charge",IF(AND(OR(PlanterYesMe="No",PlanterYesMe="N",PlanterYesMe="me"),H2454=""),"",IF(H2454="credit","NO install",IF(AND(K2454="",AE2454="me"),"EACH row",IF(AND(K2454="images",AE2454="me"),"EACH row",IF(D2454="","",IF(H2454="credit","",IF(AE2454="free","re-planting",IF(AE2454="me","   not ELP, by",IF(AND(OR(PlanterYesMe="Yes",PlanterYesMe="Y"),G2454&gt;0),(VLOOKUP(A2454,'Discount Lookup'!J:K,2)*G2454*(1-PlanterDiscount)*(1+PlanterDifficultyPercentage)),IF(AE2454="ELP",(VLOOKUP(A2454,'Discount Lookup'!J:K,2)*G2454*(1-PlanterDiscount)*(1+PlanterDifficultyPercentage)),IF(AE2454="free","re-planting",IF(G2454=0,"",IF(PlanterYesMe="",IF(AE2454="me","   not ELP, by",IF(AE2454="",IF(G2454&gt;0,(VLOOKUP(A2454,'Discount Lookup'!J:K,2)*G2454*(1-PlanterDiscount)*(1+PlanterDifficultyPercentage)),""),"")),"   not ELP, by"))))))))))))))</f>
        <v/>
      </c>
      <c r="AD2454" s="712"/>
      <c r="AE2454" s="513" t="str">
        <f t="shared" si="1839"/>
        <v/>
      </c>
      <c r="AF2454" s="713" t="str">
        <f t="shared" si="1840"/>
        <v/>
      </c>
      <c r="AG2454" s="713"/>
      <c r="AH2454" s="713"/>
      <c r="AI2454" s="112">
        <f>IF(H2454="credit",0,IF(AE2454="free",0,IF(AE2454="me",0,IF(G2454&gt;0,(VLOOKUP(A2454,'Discount Lookup'!J:K,2)*G2454),0))))</f>
        <v>0</v>
      </c>
      <c r="AJ2454" s="107" t="str">
        <f t="shared" ca="1" si="1841"/>
        <v/>
      </c>
      <c r="AK2454" s="714" t="str">
        <f t="shared" si="1842"/>
        <v/>
      </c>
      <c r="AL2454" s="714"/>
      <c r="AM2454" s="114" t="str">
        <f t="shared" si="1843"/>
        <v/>
      </c>
      <c r="AN2454" s="115"/>
      <c r="AO2454" s="116"/>
      <c r="AP2454" s="116"/>
      <c r="AQ2454" s="116"/>
      <c r="AR2454" s="116"/>
      <c r="AS2454" s="116"/>
      <c r="AT2454" s="116"/>
      <c r="AU2454" s="116"/>
      <c r="AV2454" s="78"/>
      <c r="AW2454" s="102"/>
      <c r="AX2454" s="78"/>
      <c r="AY2454" s="78"/>
      <c r="AZ2454" s="78"/>
      <c r="BA2454" s="78"/>
      <c r="BB2454" s="78"/>
      <c r="BC2454" s="78"/>
      <c r="BD2454" s="78"/>
      <c r="BE2454" s="465"/>
      <c r="BF2454" s="165" t="str">
        <f t="shared" si="1844"/>
        <v>https://www.google.com/search?tbm=isch&amp;q=Golden%20Pacific%20Juniper%20is%20a%20vigorous%20%26%20low-spreading%20with%20a%20soft%2C%20vivid%20foliage%20that%20intensifies%20with%20sun.%20Sun%2Fheat%2Fdrought%20tolerant%20</v>
      </c>
      <c r="BG2454" s="165" t="str">
        <f t="shared" si="1845"/>
        <v>G</v>
      </c>
      <c r="BH2454" s="65"/>
      <c r="BI2454" s="65"/>
      <c r="BJ2454" s="65"/>
      <c r="BK2454" s="65"/>
      <c r="BL2454" s="99"/>
      <c r="BM2454" s="99"/>
      <c r="BN2454" s="99"/>
    </row>
    <row r="2455" spans="1:66" s="51" customFormat="1" ht="18" x14ac:dyDescent="0.25">
      <c r="A2455" s="507" t="s">
        <v>3122</v>
      </c>
      <c r="B2455" s="470"/>
      <c r="C2455" s="706"/>
      <c r="D2455" s="471" t="s">
        <v>3123</v>
      </c>
      <c r="E2455" s="472"/>
      <c r="F2455" s="472"/>
      <c r="G2455" s="472"/>
      <c r="H2455" s="622" t="s">
        <v>3108</v>
      </c>
      <c r="I2455" s="473" t="s">
        <v>3124</v>
      </c>
      <c r="J2455" s="472"/>
      <c r="K2455" s="472"/>
      <c r="L2455" s="561"/>
      <c r="M2455" s="698" t="s">
        <v>5240</v>
      </c>
      <c r="N2455" s="692" t="str">
        <f>IF(AND(ISTEXT($A2455), ISERROR($A2455+0)), HYPERLINK($BF2455, "Images"), "")</f>
        <v>Images</v>
      </c>
      <c r="O2455" s="694" t="s">
        <v>5244</v>
      </c>
      <c r="P2455" s="475"/>
      <c r="Q2455" s="476"/>
      <c r="R2455" s="476"/>
      <c r="S2455" s="477"/>
      <c r="T2455" s="102">
        <f t="shared" si="1833"/>
        <v>0</v>
      </c>
      <c r="U2455" s="78" t="str">
        <f>IF(NOT(ISNUMBER(G2455)), "", VLOOKUP(A2455,'Discount Lookup'!D:E,2,FALSE)*G2455)</f>
        <v/>
      </c>
      <c r="V2455" s="78" t="str">
        <f>IF(NOT(ISNUMBER(G2455)), "", VLOOKUP(A2455,'Discount Lookup'!G:H,2,FALSE)*G2455)</f>
        <v/>
      </c>
      <c r="W2455" s="102">
        <f t="shared" si="1834"/>
        <v>0</v>
      </c>
      <c r="X2455" s="102" t="str">
        <f t="shared" si="1835"/>
        <v>Blue-Gray-Green foliage</v>
      </c>
      <c r="Y2455" s="120" t="b">
        <f t="shared" si="1836"/>
        <v>0</v>
      </c>
      <c r="Z2455" s="117">
        <f t="shared" si="1837"/>
        <v>0</v>
      </c>
      <c r="AA2455" s="118"/>
      <c r="AB2455" s="118" t="str">
        <f t="shared" si="1838"/>
        <v/>
      </c>
      <c r="AC2455" s="712" t="str">
        <f>IF(AE2455="T2G","no charge",IF(AND(OR(PlanterYesMe="No",PlanterYesMe="N",PlanterYesMe="me"),H2455=""),"",IF(H2455="credit","NO install",IF(AND(K2455="",AE2455="me"),"EACH row",IF(AND(K2455="images",AE2455="me"),"EACH row",IF(D2455="","",IF(H2455="credit","",IF(AE2455="free","re-planting",IF(AE2455="me","   not ELP, by",IF(AND(OR(PlanterYesMe="Yes",PlanterYesMe="Y"),G2455&gt;0),(VLOOKUP(A2455,'Discount Lookup'!J:K,2)*G2455*(1-PlanterDiscount)*(1+PlanterDifficultyPercentage)),IF(AE2455="ELP",(VLOOKUP(A2455,'Discount Lookup'!J:K,2)*G2455*(1-PlanterDiscount)*(1+PlanterDifficultyPercentage)),IF(AE2455="free","re-planting",IF(G2455=0,"",IF(PlanterYesMe="",IF(AE2455="me","   not ELP, by",IF(AE2455="",IF(G2455&gt;0,(VLOOKUP(A2455,'Discount Lookup'!J:K,2)*G2455*(1-PlanterDiscount)*(1+PlanterDifficultyPercentage)),""),"")),"   not ELP, by"))))))))))))))</f>
        <v/>
      </c>
      <c r="AD2455" s="712"/>
      <c r="AE2455" s="513" t="str">
        <f t="shared" si="1839"/>
        <v/>
      </c>
      <c r="AF2455" s="713" t="str">
        <f t="shared" si="1840"/>
        <v/>
      </c>
      <c r="AG2455" s="713"/>
      <c r="AH2455" s="713"/>
      <c r="AI2455" s="112">
        <f>IF(H2455="credit",0,IF(AE2455="free",0,IF(AE2455="me",0,IF(G2455&gt;0,(VLOOKUP(A2455,'Discount Lookup'!J:K,2)*G2455),0))))</f>
        <v>0</v>
      </c>
      <c r="AJ2455" s="107" t="str">
        <f t="shared" ca="1" si="1841"/>
        <v/>
      </c>
      <c r="AK2455" s="714" t="str">
        <f t="shared" si="1842"/>
        <v/>
      </c>
      <c r="AL2455" s="714"/>
      <c r="AM2455" s="114" t="str">
        <f t="shared" si="1843"/>
        <v/>
      </c>
      <c r="AN2455" s="115"/>
      <c r="AO2455" s="116"/>
      <c r="AP2455" s="116"/>
      <c r="AQ2455" s="116"/>
      <c r="AR2455" s="116"/>
      <c r="AS2455" s="116"/>
      <c r="AT2455" s="116"/>
      <c r="AU2455" s="116"/>
      <c r="AV2455" s="78"/>
      <c r="AW2455" s="102"/>
      <c r="AX2455" s="78"/>
      <c r="AY2455" s="78"/>
      <c r="AZ2455" s="78"/>
      <c r="BA2455" s="78"/>
      <c r="BB2455" s="78"/>
      <c r="BC2455" s="78"/>
      <c r="BD2455" s="78"/>
      <c r="BE2455" s="465"/>
      <c r="BF2455" s="165" t="str">
        <f t="shared" si="1844"/>
        <v>https://www.google.com/search?tbm=isch&amp;q=Juniperus%20horizontalis%20%27Bar%20Harbor%27%20Bar%20Harbor%20Juniper</v>
      </c>
      <c r="BG2455" s="165" t="str">
        <f t="shared" si="1845"/>
        <v>J</v>
      </c>
      <c r="BH2455" s="65"/>
      <c r="BI2455" s="65"/>
      <c r="BJ2455" s="65"/>
      <c r="BK2455" s="65"/>
      <c r="BL2455" s="99"/>
      <c r="BM2455" s="99"/>
      <c r="BN2455" s="99"/>
    </row>
    <row r="2456" spans="1:66" s="51" customFormat="1" ht="15.75" x14ac:dyDescent="0.25">
      <c r="A2456" s="478">
        <v>3</v>
      </c>
      <c r="B2456" s="479" t="s">
        <v>291</v>
      </c>
      <c r="C2456" s="480" t="s">
        <v>3125</v>
      </c>
      <c r="D2456" s="481" t="s">
        <v>329</v>
      </c>
      <c r="E2456" s="482">
        <v>25.95</v>
      </c>
      <c r="F2456" s="483" t="s">
        <v>292</v>
      </c>
      <c r="G2456" s="484">
        <v>0</v>
      </c>
      <c r="H2456" s="688" t="str">
        <f>IF(G2456=0,"",IF(F2456="Buy",IF(G2456=1,"plant","plants"),IF(F2456&gt;0.01,"warranty","Error")))</f>
        <v/>
      </c>
      <c r="I2456" s="485">
        <f>IF(H2456="free",0,IF(H2456="credit",((E2456*(F2456))*G2456*-1),IF(F2456="Buy",(E2456*G2456),((E2456*(1-F2456))*G2456))))</f>
        <v>0</v>
      </c>
      <c r="J2456" s="485">
        <f>IF(H2456="warranty",0,(I2456*(_xlfn.SINGLE(SalesTaxPercentage))))</f>
        <v>0</v>
      </c>
      <c r="K2456" s="715">
        <f t="shared" ref="K2456" si="1847">I2456+J2456</f>
        <v>0</v>
      </c>
      <c r="L2456" s="715"/>
      <c r="M2456" s="689" t="str">
        <f ca="1">IF(AND(G2456&gt;0,E2456=0),"WARNING - no PRICE inserted",IF(H2456="free","FREE ~ no charge this plant",IF(H2456="credit",CONCATENATE("-$",ROUND(K2456*(1-_xlfn.SINGLE(T2GDiscount))*-1,2)," CREDIT after discount"),IF(_xlfn.SINGLE(T2GDiscount)=0,"",IF(G2456=0,"",IF(F2456="Buy",CONCATENATE("$",ROUND(K2456*(1-_xlfn.SINGLE(T2GDiscount)),2)," with ",(_xlfn.SINGLE(T2GDiscount)*100),"% discount"),CONCATENATE("$",ROUND(K2456*(1-_xlfn.SINGLE(T2GDiscount)),2)," with ",((_xlfn.SINGLE(T2GDiscount)*100+F2456*100)-(_xlfn.SINGLE(T2GDiscount)*100*F2456)),IF(F2456&gt;0,"% discounts",IF(_xlfn.SINGLE(NoWarrantyDiscount)&gt;0,"% discounts","% discount")))))))))</f>
        <v/>
      </c>
      <c r="N2456" s="690"/>
      <c r="O2456" s="486"/>
      <c r="P2456" s="486"/>
      <c r="Q2456" s="486"/>
      <c r="R2456" s="486"/>
      <c r="S2456" s="486"/>
      <c r="T2456" s="102">
        <f t="shared" si="1833"/>
        <v>0</v>
      </c>
      <c r="U2456" s="78">
        <f>IF(NOT(ISNUMBER(G2456)), "", VLOOKUP(A2456,'Discount Lookup'!D:E,2,FALSE)*G2456)</f>
        <v>0</v>
      </c>
      <c r="V2456" s="78">
        <f>IF(NOT(ISNUMBER(G2456)), "", VLOOKUP(A2456,'Discount Lookup'!G:H,2,FALSE)*G2456)</f>
        <v>0</v>
      </c>
      <c r="W2456" s="102">
        <f t="shared" si="1834"/>
        <v>0</v>
      </c>
      <c r="X2456" s="102">
        <f t="shared" si="1835"/>
        <v>0</v>
      </c>
      <c r="Y2456" s="120" t="b">
        <f t="shared" si="1836"/>
        <v>0</v>
      </c>
      <c r="Z2456" s="117">
        <f t="shared" si="1837"/>
        <v>0</v>
      </c>
      <c r="AA2456" s="118"/>
      <c r="AB2456" s="118" t="str">
        <f t="shared" si="1838"/>
        <v/>
      </c>
      <c r="AC2456" s="712" t="str">
        <f>IF(AE2456="T2G","no charge",IF(AND(OR(PlanterYesMe="No",PlanterYesMe="N",PlanterYesMe="me"),H2456=""),"",IF(H2456="credit","NO install",IF(AND(K2456="",AE2456="me"),"EACH row",IF(AND(K2456="images",AE2456="me"),"EACH row",IF(D2456="","",IF(H2456="credit","",IF(AE2456="free","re-planting",IF(AE2456="me","   not ELP, by",IF(AND(OR(PlanterYesMe="Yes",PlanterYesMe="Y"),G2456&gt;0),(VLOOKUP(A2456,'Discount Lookup'!J:K,2)*G2456*(1-PlanterDiscount)*(1+PlanterDifficultyPercentage)),IF(AE2456="ELP",(VLOOKUP(A2456,'Discount Lookup'!J:K,2)*G2456*(1-PlanterDiscount)*(1+PlanterDifficultyPercentage)),IF(AE2456="free","re-planting",IF(G2456=0,"",IF(PlanterYesMe="",IF(AE2456="me","   not ELP, by",IF(AE2456="",IF(G2456&gt;0,(VLOOKUP(A2456,'Discount Lookup'!J:K,2)*G2456*(1-PlanterDiscount)*(1+PlanterDifficultyPercentage)),""),"")),"   not ELP, by"))))))))))))))</f>
        <v/>
      </c>
      <c r="AD2456" s="712"/>
      <c r="AE2456" s="513" t="str">
        <f t="shared" si="1839"/>
        <v/>
      </c>
      <c r="AF2456" s="713" t="str">
        <f t="shared" si="1840"/>
        <v/>
      </c>
      <c r="AG2456" s="713"/>
      <c r="AH2456" s="713"/>
      <c r="AI2456" s="112">
        <f>IF(H2456="credit",0,IF(AE2456="free",0,IF(AE2456="me",0,IF(G2456&gt;0,(VLOOKUP(A2456,'Discount Lookup'!J:K,2)*G2456),0))))</f>
        <v>0</v>
      </c>
      <c r="AJ2456" s="107" t="str">
        <f t="shared" ca="1" si="1841"/>
        <v/>
      </c>
      <c r="AK2456" s="714" t="str">
        <f t="shared" si="1842"/>
        <v/>
      </c>
      <c r="AL2456" s="714"/>
      <c r="AM2456" s="114" t="str">
        <f t="shared" si="1843"/>
        <v/>
      </c>
      <c r="AN2456" s="115"/>
      <c r="AO2456" s="116"/>
      <c r="AP2456" s="116"/>
      <c r="AQ2456" s="116"/>
      <c r="AR2456" s="116"/>
      <c r="AS2456" s="116"/>
      <c r="AT2456" s="116"/>
      <c r="AU2456" s="116"/>
      <c r="AV2456" s="78"/>
      <c r="AW2456" s="102"/>
      <c r="AX2456" s="78"/>
      <c r="AY2456" s="78"/>
      <c r="AZ2456" s="78"/>
      <c r="BA2456" s="78"/>
      <c r="BB2456" s="78"/>
      <c r="BC2456" s="78"/>
      <c r="BD2456" s="78"/>
      <c r="BE2456" s="465"/>
      <c r="BF2456" s="165" t="str">
        <f t="shared" si="1844"/>
        <v>https://www.google.com/search?tbm=isch&amp;q=3%20G2</v>
      </c>
      <c r="BG2456" s="165" t="str">
        <f t="shared" si="1845"/>
        <v>J</v>
      </c>
      <c r="BH2456" s="65"/>
      <c r="BI2456" s="65"/>
      <c r="BJ2456" s="65"/>
      <c r="BK2456" s="65"/>
      <c r="BL2456" s="99"/>
      <c r="BM2456" s="99"/>
      <c r="BN2456" s="99"/>
    </row>
    <row r="2457" spans="1:66" s="51" customFormat="1" ht="15.75" x14ac:dyDescent="0.25">
      <c r="A2457" s="478">
        <v>3</v>
      </c>
      <c r="B2457" s="479" t="s">
        <v>291</v>
      </c>
      <c r="C2457" s="480" t="s">
        <v>2642</v>
      </c>
      <c r="D2457" s="481" t="s">
        <v>311</v>
      </c>
      <c r="E2457" s="482">
        <v>26.95</v>
      </c>
      <c r="F2457" s="483" t="s">
        <v>292</v>
      </c>
      <c r="G2457" s="484">
        <v>0</v>
      </c>
      <c r="H2457" s="688" t="str">
        <f>IF(G2457=0,"",IF(F2457="Buy",IF(G2457=1,"plant","plants"),IF(F2457&gt;0.01,"warranty","Error")))</f>
        <v/>
      </c>
      <c r="I2457" s="485">
        <f>IF(H2457="free",0,IF(H2457="credit",((E2457*(F2457))*G2457*-1),IF(F2457="Buy",(E2457*G2457),((E2457*(1-F2457))*G2457))))</f>
        <v>0</v>
      </c>
      <c r="J2457" s="485">
        <f>IF(H2457="warranty",0,(I2457*(_xlfn.SINGLE(SalesTaxPercentage))))</f>
        <v>0</v>
      </c>
      <c r="K2457" s="715">
        <f t="shared" ref="K2457" si="1848">I2457+J2457</f>
        <v>0</v>
      </c>
      <c r="L2457" s="715"/>
      <c r="M2457" s="689" t="str">
        <f ca="1">IF(AND(G2457&gt;0,E2457=0),"WARNING - no PRICE inserted",IF(H2457="free","FREE ~ no charge this plant",IF(H2457="credit",CONCATENATE("-$",ROUND(K2457*(1-_xlfn.SINGLE(T2GDiscount))*-1,2)," CREDIT after discount"),IF(_xlfn.SINGLE(T2GDiscount)=0,"",IF(G2457=0,"",IF(F2457="Buy",CONCATENATE("$",ROUND(K2457*(1-_xlfn.SINGLE(T2GDiscount)),2)," with ",(_xlfn.SINGLE(T2GDiscount)*100),"% discount"),CONCATENATE("$",ROUND(K2457*(1-_xlfn.SINGLE(T2GDiscount)),2)," with ",((_xlfn.SINGLE(T2GDiscount)*100+F2457*100)-(_xlfn.SINGLE(T2GDiscount)*100*F2457)),IF(F2457&gt;0,"% discounts",IF(_xlfn.SINGLE(NoWarrantyDiscount)&gt;0,"% discounts","% discount")))))))))</f>
        <v/>
      </c>
      <c r="N2457" s="690"/>
      <c r="O2457" s="486"/>
      <c r="P2457" s="486"/>
      <c r="Q2457" s="486"/>
      <c r="R2457" s="486"/>
      <c r="S2457" s="486"/>
      <c r="T2457" s="102">
        <f t="shared" si="1833"/>
        <v>0</v>
      </c>
      <c r="U2457" s="78">
        <f>IF(NOT(ISNUMBER(G2457)), "", VLOOKUP(A2457,'Discount Lookup'!D:E,2,FALSE)*G2457)</f>
        <v>0</v>
      </c>
      <c r="V2457" s="78">
        <f>IF(NOT(ISNUMBER(G2457)), "", VLOOKUP(A2457,'Discount Lookup'!G:H,2,FALSE)*G2457)</f>
        <v>0</v>
      </c>
      <c r="W2457" s="102">
        <f t="shared" si="1834"/>
        <v>0</v>
      </c>
      <c r="X2457" s="102">
        <f t="shared" si="1835"/>
        <v>0</v>
      </c>
      <c r="Y2457" s="120" t="b">
        <f t="shared" si="1836"/>
        <v>0</v>
      </c>
      <c r="Z2457" s="117">
        <f t="shared" si="1837"/>
        <v>0</v>
      </c>
      <c r="AA2457" s="118"/>
      <c r="AB2457" s="118" t="str">
        <f t="shared" si="1838"/>
        <v/>
      </c>
      <c r="AC2457" s="712" t="str">
        <f>IF(AE2457="T2G","no charge",IF(AND(OR(PlanterYesMe="No",PlanterYesMe="N",PlanterYesMe="me"),H2457=""),"",IF(H2457="credit","NO install",IF(AND(K2457="",AE2457="me"),"EACH row",IF(AND(K2457="images",AE2457="me"),"EACH row",IF(D2457="","",IF(H2457="credit","",IF(AE2457="free","re-planting",IF(AE2457="me","   not ELP, by",IF(AND(OR(PlanterYesMe="Yes",PlanterYesMe="Y"),G2457&gt;0),(VLOOKUP(A2457,'Discount Lookup'!J:K,2)*G2457*(1-PlanterDiscount)*(1+PlanterDifficultyPercentage)),IF(AE2457="ELP",(VLOOKUP(A2457,'Discount Lookup'!J:K,2)*G2457*(1-PlanterDiscount)*(1+PlanterDifficultyPercentage)),IF(AE2457="free","re-planting",IF(G2457=0,"",IF(PlanterYesMe="",IF(AE2457="me","   not ELP, by",IF(AE2457="",IF(G2457&gt;0,(VLOOKUP(A2457,'Discount Lookup'!J:K,2)*G2457*(1-PlanterDiscount)*(1+PlanterDifficultyPercentage)),""),"")),"   not ELP, by"))))))))))))))</f>
        <v/>
      </c>
      <c r="AD2457" s="712"/>
      <c r="AE2457" s="513" t="str">
        <f t="shared" si="1839"/>
        <v/>
      </c>
      <c r="AF2457" s="713" t="str">
        <f t="shared" si="1840"/>
        <v/>
      </c>
      <c r="AG2457" s="713"/>
      <c r="AH2457" s="713"/>
      <c r="AI2457" s="112">
        <f>IF(H2457="credit",0,IF(AE2457="free",0,IF(AE2457="me",0,IF(G2457&gt;0,(VLOOKUP(A2457,'Discount Lookup'!J:K,2)*G2457),0))))</f>
        <v>0</v>
      </c>
      <c r="AJ2457" s="107" t="str">
        <f t="shared" ca="1" si="1841"/>
        <v/>
      </c>
      <c r="AK2457" s="714" t="str">
        <f t="shared" si="1842"/>
        <v/>
      </c>
      <c r="AL2457" s="714"/>
      <c r="AM2457" s="114" t="str">
        <f t="shared" si="1843"/>
        <v/>
      </c>
      <c r="AN2457" s="115"/>
      <c r="AO2457" s="116"/>
      <c r="AP2457" s="116"/>
      <c r="AQ2457" s="116"/>
      <c r="AR2457" s="116"/>
      <c r="AS2457" s="116"/>
      <c r="AT2457" s="116"/>
      <c r="AU2457" s="116"/>
      <c r="AV2457" s="78"/>
      <c r="AW2457" s="102"/>
      <c r="AX2457" s="78"/>
      <c r="AY2457" s="78"/>
      <c r="AZ2457" s="78"/>
      <c r="BA2457" s="78"/>
      <c r="BB2457" s="78"/>
      <c r="BC2457" s="78"/>
      <c r="BD2457" s="78"/>
      <c r="BE2457" s="465"/>
      <c r="BF2457" s="165" t="str">
        <f t="shared" si="1844"/>
        <v>https://www.google.com/search?tbm=isch&amp;q=3%20G5</v>
      </c>
      <c r="BG2457" s="165" t="str">
        <f t="shared" si="1845"/>
        <v>J</v>
      </c>
      <c r="BH2457" s="65"/>
      <c r="BI2457" s="65"/>
      <c r="BJ2457" s="65"/>
      <c r="BK2457" s="65"/>
      <c r="BL2457" s="99"/>
      <c r="BM2457" s="99"/>
      <c r="BN2457" s="99"/>
    </row>
    <row r="2458" spans="1:66" s="51" customFormat="1" ht="17.25" thickBot="1" x14ac:dyDescent="0.3">
      <c r="A2458" s="508" t="s">
        <v>3126</v>
      </c>
      <c r="B2458" s="487"/>
      <c r="C2458" s="707"/>
      <c r="D2458" s="487"/>
      <c r="E2458" s="487"/>
      <c r="F2458" s="488"/>
      <c r="G2458" s="489"/>
      <c r="H2458" s="487"/>
      <c r="I2458" s="490"/>
      <c r="J2458" s="490"/>
      <c r="K2458" s="491"/>
      <c r="L2458" s="547"/>
      <c r="M2458" s="528"/>
      <c r="N2458" s="492"/>
      <c r="O2458" s="493"/>
      <c r="P2458" s="494"/>
      <c r="Q2458" s="492"/>
      <c r="R2458" s="492"/>
      <c r="S2458" s="699" t="s">
        <v>5280</v>
      </c>
      <c r="T2458" s="102">
        <f t="shared" si="1833"/>
        <v>0</v>
      </c>
      <c r="U2458" s="78" t="str">
        <f>IF(NOT(ISNUMBER(G2458)), "", VLOOKUP(A2458,'Discount Lookup'!D:E,2,FALSE)*G2458)</f>
        <v/>
      </c>
      <c r="V2458" s="78" t="str">
        <f>IF(NOT(ISNUMBER(G2458)), "", VLOOKUP(A2458,'Discount Lookup'!G:H,2,FALSE)*G2458)</f>
        <v/>
      </c>
      <c r="W2458" s="102">
        <f t="shared" si="1834"/>
        <v>0</v>
      </c>
      <c r="X2458" s="102">
        <f t="shared" si="1835"/>
        <v>0</v>
      </c>
      <c r="Y2458" s="120" t="b">
        <f t="shared" si="1836"/>
        <v>0</v>
      </c>
      <c r="Z2458" s="117">
        <f t="shared" si="1837"/>
        <v>0</v>
      </c>
      <c r="AA2458" s="118"/>
      <c r="AB2458" s="118" t="str">
        <f t="shared" si="1838"/>
        <v/>
      </c>
      <c r="AC2458" s="712" t="str">
        <f>IF(AE2458="T2G","no charge",IF(AND(OR(PlanterYesMe="No",PlanterYesMe="N",PlanterYesMe="me"),H2458=""),"",IF(H2458="credit","NO install",IF(AND(K2458="",AE2458="me"),"EACH row",IF(AND(K2458="images",AE2458="me"),"EACH row",IF(D2458="","",IF(H2458="credit","",IF(AE2458="free","re-planting",IF(AE2458="me","   not ELP, by",IF(AND(OR(PlanterYesMe="Yes",PlanterYesMe="Y"),G2458&gt;0),(VLOOKUP(A2458,'Discount Lookup'!J:K,2)*G2458*(1-PlanterDiscount)*(1+PlanterDifficultyPercentage)),IF(AE2458="ELP",(VLOOKUP(A2458,'Discount Lookup'!J:K,2)*G2458*(1-PlanterDiscount)*(1+PlanterDifficultyPercentage)),IF(AE2458="free","re-planting",IF(G2458=0,"",IF(PlanterYesMe="",IF(AE2458="me","   not ELP, by",IF(AE2458="",IF(G2458&gt;0,(VLOOKUP(A2458,'Discount Lookup'!J:K,2)*G2458*(1-PlanterDiscount)*(1+PlanterDifficultyPercentage)),""),"")),"   not ELP, by"))))))))))))))</f>
        <v/>
      </c>
      <c r="AD2458" s="712"/>
      <c r="AE2458" s="513" t="str">
        <f t="shared" si="1839"/>
        <v/>
      </c>
      <c r="AF2458" s="713" t="str">
        <f t="shared" si="1840"/>
        <v/>
      </c>
      <c r="AG2458" s="713"/>
      <c r="AH2458" s="713"/>
      <c r="AI2458" s="112">
        <f>IF(H2458="credit",0,IF(AE2458="free",0,IF(AE2458="me",0,IF(G2458&gt;0,(VLOOKUP(A2458,'Discount Lookup'!J:K,2)*G2458),0))))</f>
        <v>0</v>
      </c>
      <c r="AJ2458" s="107" t="str">
        <f t="shared" ca="1" si="1841"/>
        <v/>
      </c>
      <c r="AK2458" s="714" t="str">
        <f t="shared" si="1842"/>
        <v/>
      </c>
      <c r="AL2458" s="714"/>
      <c r="AM2458" s="114" t="str">
        <f t="shared" si="1843"/>
        <v/>
      </c>
      <c r="AN2458" s="115"/>
      <c r="AO2458" s="116"/>
      <c r="AP2458" s="116"/>
      <c r="AQ2458" s="116"/>
      <c r="AR2458" s="116"/>
      <c r="AS2458" s="116"/>
      <c r="AT2458" s="116"/>
      <c r="AU2458" s="116"/>
      <c r="AV2458" s="78"/>
      <c r="AW2458" s="102"/>
      <c r="AX2458" s="78"/>
      <c r="AY2458" s="78"/>
      <c r="AZ2458" s="78"/>
      <c r="BA2458" s="78"/>
      <c r="BB2458" s="78"/>
      <c r="BC2458" s="78"/>
      <c r="BD2458" s="78"/>
      <c r="BE2458" s="465"/>
      <c r="BF2458" s="165" t="str">
        <f t="shared" si="1844"/>
        <v>https://www.google.com/search?tbm=isch&amp;q=Bar%20Harbor%20is%20a%20cold-hardy%2C%20mat-forming%20male.%20Soft%20foliage%20turns%20Purplish%20in%20winter.%20Sun%2Fheat%2Fdrought%20tolerant%20</v>
      </c>
      <c r="BG2458" s="165" t="str">
        <f t="shared" si="1845"/>
        <v>B</v>
      </c>
      <c r="BH2458" s="65"/>
      <c r="BI2458" s="65"/>
      <c r="BJ2458" s="65"/>
      <c r="BK2458" s="65"/>
      <c r="BL2458" s="99"/>
      <c r="BM2458" s="99"/>
      <c r="BN2458" s="99"/>
    </row>
    <row r="2459" spans="1:66" s="51" customFormat="1" ht="18" x14ac:dyDescent="0.25">
      <c r="A2459" s="507" t="s">
        <v>3127</v>
      </c>
      <c r="B2459" s="470"/>
      <c r="C2459" s="706"/>
      <c r="D2459" s="471" t="s">
        <v>3128</v>
      </c>
      <c r="E2459" s="472"/>
      <c r="F2459" s="472"/>
      <c r="G2459" s="472"/>
      <c r="H2459" s="622" t="s">
        <v>3129</v>
      </c>
      <c r="I2459" s="473" t="s">
        <v>3124</v>
      </c>
      <c r="J2459" s="472"/>
      <c r="K2459" s="472"/>
      <c r="L2459" s="561"/>
      <c r="M2459" s="698" t="s">
        <v>5240</v>
      </c>
      <c r="N2459" s="692" t="str">
        <f>IF(AND(ISTEXT($A2459), ISERROR($A2459+0)), HYPERLINK($BF2459, "Images"), "")</f>
        <v>Images</v>
      </c>
      <c r="O2459" s="694" t="s">
        <v>5244</v>
      </c>
      <c r="P2459" s="475"/>
      <c r="Q2459" s="476"/>
      <c r="R2459" s="476"/>
      <c r="S2459" s="477"/>
      <c r="T2459" s="102">
        <f t="shared" si="1833"/>
        <v>0</v>
      </c>
      <c r="U2459" s="78" t="str">
        <f>IF(NOT(ISNUMBER(G2459)), "", VLOOKUP(A2459,'Discount Lookup'!D:E,2,FALSE)*G2459)</f>
        <v/>
      </c>
      <c r="V2459" s="78" t="str">
        <f>IF(NOT(ISNUMBER(G2459)), "", VLOOKUP(A2459,'Discount Lookup'!G:H,2,FALSE)*G2459)</f>
        <v/>
      </c>
      <c r="W2459" s="102">
        <f t="shared" si="1834"/>
        <v>0</v>
      </c>
      <c r="X2459" s="102" t="str">
        <f t="shared" si="1835"/>
        <v>Blue-Gray-Green foliage</v>
      </c>
      <c r="Y2459" s="120" t="b">
        <f t="shared" si="1836"/>
        <v>0</v>
      </c>
      <c r="Z2459" s="117">
        <f t="shared" si="1837"/>
        <v>0</v>
      </c>
      <c r="AA2459" s="118"/>
      <c r="AB2459" s="118" t="str">
        <f t="shared" si="1838"/>
        <v/>
      </c>
      <c r="AC2459" s="712" t="str">
        <f>IF(AE2459="T2G","no charge",IF(AND(OR(PlanterYesMe="No",PlanterYesMe="N",PlanterYesMe="me"),H2459=""),"",IF(H2459="credit","NO install",IF(AND(K2459="",AE2459="me"),"EACH row",IF(AND(K2459="images",AE2459="me"),"EACH row",IF(D2459="","",IF(H2459="credit","",IF(AE2459="free","re-planting",IF(AE2459="me","   not ELP, by",IF(AND(OR(PlanterYesMe="Yes",PlanterYesMe="Y"),G2459&gt;0),(VLOOKUP(A2459,'Discount Lookup'!J:K,2)*G2459*(1-PlanterDiscount)*(1+PlanterDifficultyPercentage)),IF(AE2459="ELP",(VLOOKUP(A2459,'Discount Lookup'!J:K,2)*G2459*(1-PlanterDiscount)*(1+PlanterDifficultyPercentage)),IF(AE2459="free","re-planting",IF(G2459=0,"",IF(PlanterYesMe="",IF(AE2459="me","   not ELP, by",IF(AE2459="",IF(G2459&gt;0,(VLOOKUP(A2459,'Discount Lookup'!J:K,2)*G2459*(1-PlanterDiscount)*(1+PlanterDifficultyPercentage)),""),"")),"   not ELP, by"))))))))))))))</f>
        <v/>
      </c>
      <c r="AD2459" s="712"/>
      <c r="AE2459" s="513" t="str">
        <f t="shared" si="1839"/>
        <v/>
      </c>
      <c r="AF2459" s="713" t="str">
        <f t="shared" si="1840"/>
        <v/>
      </c>
      <c r="AG2459" s="713"/>
      <c r="AH2459" s="713"/>
      <c r="AI2459" s="112">
        <f>IF(H2459="credit",0,IF(AE2459="free",0,IF(AE2459="me",0,IF(G2459&gt;0,(VLOOKUP(A2459,'Discount Lookup'!J:K,2)*G2459),0))))</f>
        <v>0</v>
      </c>
      <c r="AJ2459" s="107" t="str">
        <f t="shared" ca="1" si="1841"/>
        <v/>
      </c>
      <c r="AK2459" s="714" t="str">
        <f t="shared" si="1842"/>
        <v/>
      </c>
      <c r="AL2459" s="714"/>
      <c r="AM2459" s="114" t="str">
        <f t="shared" si="1843"/>
        <v/>
      </c>
      <c r="AN2459" s="115"/>
      <c r="AO2459" s="116"/>
      <c r="AP2459" s="116"/>
      <c r="AQ2459" s="116"/>
      <c r="AR2459" s="116"/>
      <c r="AS2459" s="116"/>
      <c r="AT2459" s="116"/>
      <c r="AU2459" s="116"/>
      <c r="AV2459" s="78"/>
      <c r="AW2459" s="102"/>
      <c r="AX2459" s="78"/>
      <c r="AY2459" s="78"/>
      <c r="AZ2459" s="78"/>
      <c r="BA2459" s="78"/>
      <c r="BB2459" s="78"/>
      <c r="BC2459" s="78"/>
      <c r="BD2459" s="78"/>
      <c r="BE2459" s="465"/>
      <c r="BF2459" s="165" t="str">
        <f t="shared" si="1844"/>
        <v>https://www.google.com/search?tbm=isch&amp;q=Juniperus%20horizontalis%20%27Plumosa%20Compacta%27%20Andorra%20Juniper</v>
      </c>
      <c r="BG2459" s="165" t="str">
        <f t="shared" si="1845"/>
        <v>J</v>
      </c>
      <c r="BH2459" s="65"/>
      <c r="BI2459" s="65"/>
      <c r="BJ2459" s="65"/>
      <c r="BK2459" s="65"/>
      <c r="BL2459" s="99"/>
      <c r="BM2459" s="99"/>
      <c r="BN2459" s="99"/>
    </row>
    <row r="2460" spans="1:66" s="51" customFormat="1" ht="15.75" x14ac:dyDescent="0.25">
      <c r="A2460" s="478">
        <v>3</v>
      </c>
      <c r="B2460" s="479" t="s">
        <v>291</v>
      </c>
      <c r="C2460" s="480"/>
      <c r="D2460" s="481" t="s">
        <v>310</v>
      </c>
      <c r="E2460" s="482">
        <v>25.95</v>
      </c>
      <c r="F2460" s="483" t="s">
        <v>292</v>
      </c>
      <c r="G2460" s="484">
        <v>0</v>
      </c>
      <c r="H2460" s="688" t="str">
        <f>IF(G2460=0,"",IF(F2460="Buy",IF(G2460=1,"plant","plants"),IF(F2460&gt;0.01,"warranty","Error")))</f>
        <v/>
      </c>
      <c r="I2460" s="485">
        <f>IF(H2460="free",0,IF(H2460="credit",((E2460*(F2460))*G2460*-1),IF(F2460="Buy",(E2460*G2460),((E2460*(1-F2460))*G2460))))</f>
        <v>0</v>
      </c>
      <c r="J2460" s="485">
        <f>IF(H2460="warranty",0,(I2460*(_xlfn.SINGLE(SalesTaxPercentage))))</f>
        <v>0</v>
      </c>
      <c r="K2460" s="715">
        <f t="shared" ref="K2460" si="1849">I2460+J2460</f>
        <v>0</v>
      </c>
      <c r="L2460" s="715"/>
      <c r="M2460" s="689" t="str">
        <f ca="1">IF(AND(G2460&gt;0,E2460=0),"WARNING - no PRICE inserted",IF(H2460="free","FREE ~ no charge this plant",IF(H2460="credit",CONCATENATE("-$",ROUND(K2460*(1-_xlfn.SINGLE(T2GDiscount))*-1,2)," CREDIT after discount"),IF(_xlfn.SINGLE(T2GDiscount)=0,"",IF(G2460=0,"",IF(F2460="Buy",CONCATENATE("$",ROUND(K2460*(1-_xlfn.SINGLE(T2GDiscount)),2)," with ",(_xlfn.SINGLE(T2GDiscount)*100),"% discount"),CONCATENATE("$",ROUND(K2460*(1-_xlfn.SINGLE(T2GDiscount)),2)," with ",((_xlfn.SINGLE(T2GDiscount)*100+F2460*100)-(_xlfn.SINGLE(T2GDiscount)*100*F2460)),IF(F2460&gt;0,"% discounts",IF(_xlfn.SINGLE(NoWarrantyDiscount)&gt;0,"% discounts","% discount")))))))))</f>
        <v/>
      </c>
      <c r="N2460" s="690"/>
      <c r="O2460" s="486"/>
      <c r="P2460" s="486"/>
      <c r="Q2460" s="486"/>
      <c r="R2460" s="486"/>
      <c r="S2460" s="486"/>
      <c r="T2460" s="102">
        <f t="shared" si="1833"/>
        <v>0</v>
      </c>
      <c r="U2460" s="78">
        <f>IF(NOT(ISNUMBER(G2460)), "", VLOOKUP(A2460,'Discount Lookup'!D:E,2,FALSE)*G2460)</f>
        <v>0</v>
      </c>
      <c r="V2460" s="78">
        <f>IF(NOT(ISNUMBER(G2460)), "", VLOOKUP(A2460,'Discount Lookup'!G:H,2,FALSE)*G2460)</f>
        <v>0</v>
      </c>
      <c r="W2460" s="102">
        <f t="shared" si="1834"/>
        <v>0</v>
      </c>
      <c r="X2460" s="102">
        <f t="shared" si="1835"/>
        <v>0</v>
      </c>
      <c r="Y2460" s="120" t="b">
        <f t="shared" si="1836"/>
        <v>0</v>
      </c>
      <c r="Z2460" s="117">
        <f t="shared" si="1837"/>
        <v>0</v>
      </c>
      <c r="AA2460" s="118"/>
      <c r="AB2460" s="118" t="str">
        <f t="shared" si="1838"/>
        <v/>
      </c>
      <c r="AC2460" s="712" t="str">
        <f>IF(AE2460="T2G","no charge",IF(AND(OR(PlanterYesMe="No",PlanterYesMe="N",PlanterYesMe="me"),H2460=""),"",IF(H2460="credit","NO install",IF(AND(K2460="",AE2460="me"),"EACH row",IF(AND(K2460="images",AE2460="me"),"EACH row",IF(D2460="","",IF(H2460="credit","",IF(AE2460="free","re-planting",IF(AE2460="me","   not ELP, by",IF(AND(OR(PlanterYesMe="Yes",PlanterYesMe="Y"),G2460&gt;0),(VLOOKUP(A2460,'Discount Lookup'!J:K,2)*G2460*(1-PlanterDiscount)*(1+PlanterDifficultyPercentage)),IF(AE2460="ELP",(VLOOKUP(A2460,'Discount Lookup'!J:K,2)*G2460*(1-PlanterDiscount)*(1+PlanterDifficultyPercentage)),IF(AE2460="free","re-planting",IF(G2460=0,"",IF(PlanterYesMe="",IF(AE2460="me","   not ELP, by",IF(AE2460="",IF(G2460&gt;0,(VLOOKUP(A2460,'Discount Lookup'!J:K,2)*G2460*(1-PlanterDiscount)*(1+PlanterDifficultyPercentage)),""),"")),"   not ELP, by"))))))))))))))</f>
        <v/>
      </c>
      <c r="AD2460" s="712"/>
      <c r="AE2460" s="513" t="str">
        <f t="shared" si="1839"/>
        <v/>
      </c>
      <c r="AF2460" s="713" t="str">
        <f t="shared" si="1840"/>
        <v/>
      </c>
      <c r="AG2460" s="713"/>
      <c r="AH2460" s="713"/>
      <c r="AI2460" s="112">
        <f>IF(H2460="credit",0,IF(AE2460="free",0,IF(AE2460="me",0,IF(G2460&gt;0,(VLOOKUP(A2460,'Discount Lookup'!J:K,2)*G2460),0))))</f>
        <v>0</v>
      </c>
      <c r="AJ2460" s="107" t="str">
        <f t="shared" ca="1" si="1841"/>
        <v/>
      </c>
      <c r="AK2460" s="714" t="str">
        <f t="shared" si="1842"/>
        <v/>
      </c>
      <c r="AL2460" s="714"/>
      <c r="AM2460" s="114" t="str">
        <f t="shared" si="1843"/>
        <v/>
      </c>
      <c r="AN2460" s="115"/>
      <c r="AO2460" s="116"/>
      <c r="AP2460" s="116"/>
      <c r="AQ2460" s="116"/>
      <c r="AR2460" s="116"/>
      <c r="AS2460" s="116"/>
      <c r="AT2460" s="116"/>
      <c r="AU2460" s="116"/>
      <c r="AV2460" s="78"/>
      <c r="AW2460" s="102"/>
      <c r="AX2460" s="78"/>
      <c r="AY2460" s="78"/>
      <c r="AZ2460" s="78"/>
      <c r="BA2460" s="78"/>
      <c r="BB2460" s="78"/>
      <c r="BC2460" s="78"/>
      <c r="BD2460" s="78"/>
      <c r="BE2460" s="465"/>
      <c r="BF2460" s="165" t="str">
        <f t="shared" si="1844"/>
        <v>https://www.google.com/search?tbm=isch&amp;q=3%20G1</v>
      </c>
      <c r="BG2460" s="165" t="str">
        <f t="shared" si="1845"/>
        <v>J</v>
      </c>
      <c r="BH2460" s="65"/>
      <c r="BI2460" s="65"/>
      <c r="BJ2460" s="65"/>
      <c r="BK2460" s="65"/>
      <c r="BL2460" s="99"/>
      <c r="BM2460" s="99"/>
      <c r="BN2460" s="99"/>
    </row>
    <row r="2461" spans="1:66" s="51" customFormat="1" ht="17.25" thickBot="1" x14ac:dyDescent="0.3">
      <c r="A2461" s="508" t="s">
        <v>3130</v>
      </c>
      <c r="B2461" s="487"/>
      <c r="C2461" s="707"/>
      <c r="D2461" s="487"/>
      <c r="E2461" s="487"/>
      <c r="F2461" s="488"/>
      <c r="G2461" s="489"/>
      <c r="H2461" s="487"/>
      <c r="I2461" s="490"/>
      <c r="J2461" s="490"/>
      <c r="K2461" s="491"/>
      <c r="L2461" s="547"/>
      <c r="M2461" s="528"/>
      <c r="N2461" s="492"/>
      <c r="O2461" s="493"/>
      <c r="P2461" s="494"/>
      <c r="Q2461" s="492"/>
      <c r="R2461" s="492"/>
      <c r="S2461" s="699" t="s">
        <v>5280</v>
      </c>
      <c r="T2461" s="102">
        <f t="shared" si="1833"/>
        <v>0</v>
      </c>
      <c r="U2461" s="78" t="str">
        <f>IF(NOT(ISNUMBER(G2461)), "", VLOOKUP(A2461,'Discount Lookup'!D:E,2,FALSE)*G2461)</f>
        <v/>
      </c>
      <c r="V2461" s="78" t="str">
        <f>IF(NOT(ISNUMBER(G2461)), "", VLOOKUP(A2461,'Discount Lookup'!G:H,2,FALSE)*G2461)</f>
        <v/>
      </c>
      <c r="W2461" s="102">
        <f t="shared" si="1834"/>
        <v>0</v>
      </c>
      <c r="X2461" s="102">
        <f t="shared" si="1835"/>
        <v>0</v>
      </c>
      <c r="Y2461" s="120" t="b">
        <f t="shared" si="1836"/>
        <v>0</v>
      </c>
      <c r="Z2461" s="117">
        <f t="shared" si="1837"/>
        <v>0</v>
      </c>
      <c r="AA2461" s="118"/>
      <c r="AB2461" s="118" t="str">
        <f t="shared" si="1838"/>
        <v/>
      </c>
      <c r="AC2461" s="712" t="str">
        <f>IF(AE2461="T2G","no charge",IF(AND(OR(PlanterYesMe="No",PlanterYesMe="N",PlanterYesMe="me"),H2461=""),"",IF(H2461="credit","NO install",IF(AND(K2461="",AE2461="me"),"EACH row",IF(AND(K2461="images",AE2461="me"),"EACH row",IF(D2461="","",IF(H2461="credit","",IF(AE2461="free","re-planting",IF(AE2461="me","   not ELP, by",IF(AND(OR(PlanterYesMe="Yes",PlanterYesMe="Y"),G2461&gt;0),(VLOOKUP(A2461,'Discount Lookup'!J:K,2)*G2461*(1-PlanterDiscount)*(1+PlanterDifficultyPercentage)),IF(AE2461="ELP",(VLOOKUP(A2461,'Discount Lookup'!J:K,2)*G2461*(1-PlanterDiscount)*(1+PlanterDifficultyPercentage)),IF(AE2461="free","re-planting",IF(G2461=0,"",IF(PlanterYesMe="",IF(AE2461="me","   not ELP, by",IF(AE2461="",IF(G2461&gt;0,(VLOOKUP(A2461,'Discount Lookup'!J:K,2)*G2461*(1-PlanterDiscount)*(1+PlanterDifficultyPercentage)),""),"")),"   not ELP, by"))))))))))))))</f>
        <v/>
      </c>
      <c r="AD2461" s="712"/>
      <c r="AE2461" s="513" t="str">
        <f t="shared" si="1839"/>
        <v/>
      </c>
      <c r="AF2461" s="713" t="str">
        <f t="shared" si="1840"/>
        <v/>
      </c>
      <c r="AG2461" s="713"/>
      <c r="AH2461" s="713"/>
      <c r="AI2461" s="112">
        <f>IF(H2461="credit",0,IF(AE2461="free",0,IF(AE2461="me",0,IF(G2461&gt;0,(VLOOKUP(A2461,'Discount Lookup'!J:K,2)*G2461),0))))</f>
        <v>0</v>
      </c>
      <c r="AJ2461" s="107" t="str">
        <f t="shared" ca="1" si="1841"/>
        <v/>
      </c>
      <c r="AK2461" s="714" t="str">
        <f t="shared" si="1842"/>
        <v/>
      </c>
      <c r="AL2461" s="714"/>
      <c r="AM2461" s="114" t="str">
        <f t="shared" si="1843"/>
        <v/>
      </c>
      <c r="AN2461" s="115"/>
      <c r="AO2461" s="116"/>
      <c r="AP2461" s="116"/>
      <c r="AQ2461" s="116"/>
      <c r="AR2461" s="116"/>
      <c r="AS2461" s="116"/>
      <c r="AT2461" s="116"/>
      <c r="AU2461" s="116"/>
      <c r="AV2461" s="78"/>
      <c r="AW2461" s="102"/>
      <c r="AX2461" s="78"/>
      <c r="AY2461" s="78"/>
      <c r="AZ2461" s="78"/>
      <c r="BA2461" s="78"/>
      <c r="BB2461" s="78"/>
      <c r="BC2461" s="78"/>
      <c r="BD2461" s="78"/>
      <c r="BE2461" s="465"/>
      <c r="BF2461" s="165" t="str">
        <f t="shared" si="1844"/>
        <v>https://www.google.com/search?tbm=isch&amp;q=Andorra%20is%20compact%20%26%20finely%20textured%20with%20soft%20foliage%20that%20turns%20Plum-Purple%20in%20winter.%20Sun%2Fheat%2Fdrought%20tolerant%20</v>
      </c>
      <c r="BG2461" s="165" t="str">
        <f t="shared" si="1845"/>
        <v>A</v>
      </c>
      <c r="BH2461" s="65"/>
      <c r="BI2461" s="65"/>
      <c r="BJ2461" s="65"/>
      <c r="BK2461" s="65"/>
      <c r="BL2461" s="99"/>
      <c r="BM2461" s="99"/>
      <c r="BN2461" s="99"/>
    </row>
    <row r="2462" spans="1:66" s="51" customFormat="1" ht="18" x14ac:dyDescent="0.25">
      <c r="A2462" s="507" t="s">
        <v>3131</v>
      </c>
      <c r="B2462" s="470"/>
      <c r="C2462" s="706"/>
      <c r="D2462" s="471" t="s">
        <v>3132</v>
      </c>
      <c r="E2462" s="472"/>
      <c r="F2462" s="472"/>
      <c r="G2462" s="472"/>
      <c r="H2462" s="622" t="s">
        <v>3133</v>
      </c>
      <c r="I2462" s="473" t="s">
        <v>3134</v>
      </c>
      <c r="J2462" s="472"/>
      <c r="K2462" s="472"/>
      <c r="L2462" s="561"/>
      <c r="M2462" s="698" t="s">
        <v>5240</v>
      </c>
      <c r="N2462" s="692" t="str">
        <f>IF(AND(ISTEXT($A2462), ISERROR($A2462+0)), HYPERLINK($BF2462, "Images"), "")</f>
        <v>Images</v>
      </c>
      <c r="O2462" s="694" t="s">
        <v>5244</v>
      </c>
      <c r="P2462" s="475"/>
      <c r="Q2462" s="476"/>
      <c r="R2462" s="476"/>
      <c r="S2462" s="477"/>
      <c r="T2462" s="102">
        <f t="shared" si="1833"/>
        <v>0</v>
      </c>
      <c r="U2462" s="78" t="str">
        <f>IF(NOT(ISNUMBER(G2462)), "", VLOOKUP(A2462,'Discount Lookup'!D:E,2,FALSE)*G2462)</f>
        <v/>
      </c>
      <c r="V2462" s="78" t="str">
        <f>IF(NOT(ISNUMBER(G2462)), "", VLOOKUP(A2462,'Discount Lookup'!G:H,2,FALSE)*G2462)</f>
        <v/>
      </c>
      <c r="W2462" s="102">
        <f t="shared" si="1834"/>
        <v>0</v>
      </c>
      <c r="X2462" s="102" t="str">
        <f t="shared" si="1835"/>
        <v>Silver-Blue foliage</v>
      </c>
      <c r="Y2462" s="120" t="b">
        <f t="shared" si="1836"/>
        <v>0</v>
      </c>
      <c r="Z2462" s="117">
        <f t="shared" si="1837"/>
        <v>0</v>
      </c>
      <c r="AA2462" s="118"/>
      <c r="AB2462" s="118" t="str">
        <f t="shared" si="1838"/>
        <v/>
      </c>
      <c r="AC2462" s="712" t="str">
        <f>IF(AE2462="T2G","no charge",IF(AND(OR(PlanterYesMe="No",PlanterYesMe="N",PlanterYesMe="me"),H2462=""),"",IF(H2462="credit","NO install",IF(AND(K2462="",AE2462="me"),"EACH row",IF(AND(K2462="images",AE2462="me"),"EACH row",IF(D2462="","",IF(H2462="credit","",IF(AE2462="free","re-planting",IF(AE2462="me","   not ELP, by",IF(AND(OR(PlanterYesMe="Yes",PlanterYesMe="Y"),G2462&gt;0),(VLOOKUP(A2462,'Discount Lookup'!J:K,2)*G2462*(1-PlanterDiscount)*(1+PlanterDifficultyPercentage)),IF(AE2462="ELP",(VLOOKUP(A2462,'Discount Lookup'!J:K,2)*G2462*(1-PlanterDiscount)*(1+PlanterDifficultyPercentage)),IF(AE2462="free","re-planting",IF(G2462=0,"",IF(PlanterYesMe="",IF(AE2462="me","   not ELP, by",IF(AE2462="",IF(G2462&gt;0,(VLOOKUP(A2462,'Discount Lookup'!J:K,2)*G2462*(1-PlanterDiscount)*(1+PlanterDifficultyPercentage)),""),"")),"   not ELP, by"))))))))))))))</f>
        <v/>
      </c>
      <c r="AD2462" s="712"/>
      <c r="AE2462" s="513" t="str">
        <f t="shared" si="1839"/>
        <v/>
      </c>
      <c r="AF2462" s="713" t="str">
        <f t="shared" si="1840"/>
        <v/>
      </c>
      <c r="AG2462" s="713"/>
      <c r="AH2462" s="713"/>
      <c r="AI2462" s="112">
        <f>IF(H2462="credit",0,IF(AE2462="free",0,IF(AE2462="me",0,IF(G2462&gt;0,(VLOOKUP(A2462,'Discount Lookup'!J:K,2)*G2462),0))))</f>
        <v>0</v>
      </c>
      <c r="AJ2462" s="107" t="str">
        <f t="shared" ca="1" si="1841"/>
        <v/>
      </c>
      <c r="AK2462" s="714" t="str">
        <f t="shared" si="1842"/>
        <v/>
      </c>
      <c r="AL2462" s="714"/>
      <c r="AM2462" s="114" t="str">
        <f t="shared" si="1843"/>
        <v/>
      </c>
      <c r="AN2462" s="115"/>
      <c r="AO2462" s="116"/>
      <c r="AP2462" s="116"/>
      <c r="AQ2462" s="116"/>
      <c r="AR2462" s="116"/>
      <c r="AS2462" s="116"/>
      <c r="AT2462" s="116"/>
      <c r="AU2462" s="116"/>
      <c r="AV2462" s="78"/>
      <c r="AW2462" s="102"/>
      <c r="AX2462" s="78"/>
      <c r="AY2462" s="78"/>
      <c r="AZ2462" s="78"/>
      <c r="BA2462" s="78"/>
      <c r="BB2462" s="78"/>
      <c r="BC2462" s="78"/>
      <c r="BD2462" s="78"/>
      <c r="BE2462" s="465"/>
      <c r="BF2462" s="165" t="str">
        <f t="shared" si="1844"/>
        <v>https://www.google.com/search?tbm=isch&amp;q=Juniperus%20horizontalis%20%27Wiltonii%27%20PP%2316607%20Blue%20Rug%20Juniper</v>
      </c>
      <c r="BG2462" s="165" t="str">
        <f t="shared" si="1845"/>
        <v>J</v>
      </c>
      <c r="BH2462" s="65"/>
      <c r="BI2462" s="65"/>
      <c r="BJ2462" s="65"/>
      <c r="BK2462" s="65"/>
      <c r="BL2462" s="99"/>
      <c r="BM2462" s="99"/>
      <c r="BN2462" s="99"/>
    </row>
    <row r="2463" spans="1:66" s="51" customFormat="1" ht="15.75" x14ac:dyDescent="0.25">
      <c r="A2463" s="478">
        <v>3</v>
      </c>
      <c r="B2463" s="479" t="s">
        <v>291</v>
      </c>
      <c r="C2463" s="480" t="s">
        <v>3114</v>
      </c>
      <c r="D2463" s="481" t="s">
        <v>293</v>
      </c>
      <c r="E2463" s="482">
        <v>20.95</v>
      </c>
      <c r="F2463" s="483" t="s">
        <v>292</v>
      </c>
      <c r="G2463" s="484">
        <v>0</v>
      </c>
      <c r="H2463" s="688" t="str">
        <f>IF(G2463=0,"",IF(F2463="Buy",IF(G2463=1,"plant","plants"),IF(F2463&gt;0.01,"warranty","Error")))</f>
        <v/>
      </c>
      <c r="I2463" s="485">
        <f>IF(H2463="free",0,IF(H2463="credit",((E2463*(F2463))*G2463*-1),IF(F2463="Buy",(E2463*G2463),((E2463*(1-F2463))*G2463))))</f>
        <v>0</v>
      </c>
      <c r="J2463" s="485">
        <f>IF(H2463="warranty",0,(I2463*(_xlfn.SINGLE(SalesTaxPercentage))))</f>
        <v>0</v>
      </c>
      <c r="K2463" s="715">
        <f t="shared" ref="K2463" si="1850">I2463+J2463</f>
        <v>0</v>
      </c>
      <c r="L2463" s="715"/>
      <c r="M2463" s="689" t="str">
        <f ca="1">IF(AND(G2463&gt;0,E2463=0),"WARNING - no PRICE inserted",IF(H2463="free","FREE ~ no charge this plant",IF(H2463="credit",CONCATENATE("-$",ROUND(K2463*(1-_xlfn.SINGLE(T2GDiscount))*-1,2)," CREDIT after discount"),IF(_xlfn.SINGLE(T2GDiscount)=0,"",IF(G2463=0,"",IF(F2463="Buy",CONCATENATE("$",ROUND(K2463*(1-_xlfn.SINGLE(T2GDiscount)),2)," with ",(_xlfn.SINGLE(T2GDiscount)*100),"% discount"),CONCATENATE("$",ROUND(K2463*(1-_xlfn.SINGLE(T2GDiscount)),2)," with ",((_xlfn.SINGLE(T2GDiscount)*100+F2463*100)-(_xlfn.SINGLE(T2GDiscount)*100*F2463)),IF(F2463&gt;0,"% discounts",IF(_xlfn.SINGLE(NoWarrantyDiscount)&gt;0,"% discounts","% discount")))))))))</f>
        <v/>
      </c>
      <c r="N2463" s="690"/>
      <c r="O2463" s="486"/>
      <c r="P2463" s="486"/>
      <c r="Q2463" s="486"/>
      <c r="R2463" s="486"/>
      <c r="S2463" s="486"/>
      <c r="T2463" s="102">
        <f t="shared" si="1833"/>
        <v>0</v>
      </c>
      <c r="U2463" s="78">
        <f>IF(NOT(ISNUMBER(G2463)), "", VLOOKUP(A2463,'Discount Lookup'!D:E,2,FALSE)*G2463)</f>
        <v>0</v>
      </c>
      <c r="V2463" s="78">
        <f>IF(NOT(ISNUMBER(G2463)), "", VLOOKUP(A2463,'Discount Lookup'!G:H,2,FALSE)*G2463)</f>
        <v>0</v>
      </c>
      <c r="W2463" s="102">
        <f t="shared" si="1834"/>
        <v>0</v>
      </c>
      <c r="X2463" s="102">
        <f t="shared" si="1835"/>
        <v>0</v>
      </c>
      <c r="Y2463" s="120" t="b">
        <f t="shared" si="1836"/>
        <v>0</v>
      </c>
      <c r="Z2463" s="117">
        <f t="shared" si="1837"/>
        <v>0</v>
      </c>
      <c r="AA2463" s="118"/>
      <c r="AB2463" s="118" t="str">
        <f t="shared" si="1838"/>
        <v/>
      </c>
      <c r="AC2463" s="712" t="str">
        <f>IF(AE2463="T2G","no charge",IF(AND(OR(PlanterYesMe="No",PlanterYesMe="N",PlanterYesMe="me"),H2463=""),"",IF(H2463="credit","NO install",IF(AND(K2463="",AE2463="me"),"EACH row",IF(AND(K2463="images",AE2463="me"),"EACH row",IF(D2463="","",IF(H2463="credit","",IF(AE2463="free","re-planting",IF(AE2463="me","   not ELP, by",IF(AND(OR(PlanterYesMe="Yes",PlanterYesMe="Y"),G2463&gt;0),(VLOOKUP(A2463,'Discount Lookup'!J:K,2)*G2463*(1-PlanterDiscount)*(1+PlanterDifficultyPercentage)),IF(AE2463="ELP",(VLOOKUP(A2463,'Discount Lookup'!J:K,2)*G2463*(1-PlanterDiscount)*(1+PlanterDifficultyPercentage)),IF(AE2463="free","re-planting",IF(G2463=0,"",IF(PlanterYesMe="",IF(AE2463="me","   not ELP, by",IF(AE2463="",IF(G2463&gt;0,(VLOOKUP(A2463,'Discount Lookup'!J:K,2)*G2463*(1-PlanterDiscount)*(1+PlanterDifficultyPercentage)),""),"")),"   not ELP, by"))))))))))))))</f>
        <v/>
      </c>
      <c r="AD2463" s="712"/>
      <c r="AE2463" s="513" t="str">
        <f t="shared" si="1839"/>
        <v/>
      </c>
      <c r="AF2463" s="713" t="str">
        <f t="shared" si="1840"/>
        <v/>
      </c>
      <c r="AG2463" s="713"/>
      <c r="AH2463" s="713"/>
      <c r="AI2463" s="112">
        <f>IF(H2463="credit",0,IF(AE2463="free",0,IF(AE2463="me",0,IF(G2463&gt;0,(VLOOKUP(A2463,'Discount Lookup'!J:K,2)*G2463),0))))</f>
        <v>0</v>
      </c>
      <c r="AJ2463" s="107" t="str">
        <f t="shared" ca="1" si="1841"/>
        <v/>
      </c>
      <c r="AK2463" s="714" t="str">
        <f t="shared" si="1842"/>
        <v/>
      </c>
      <c r="AL2463" s="714"/>
      <c r="AM2463" s="114" t="str">
        <f t="shared" si="1843"/>
        <v/>
      </c>
      <c r="AN2463" s="115"/>
      <c r="AO2463" s="116"/>
      <c r="AP2463" s="116"/>
      <c r="AQ2463" s="116"/>
      <c r="AR2463" s="116"/>
      <c r="AS2463" s="116"/>
      <c r="AT2463" s="116"/>
      <c r="AU2463" s="116"/>
      <c r="AV2463" s="78"/>
      <c r="AW2463" s="102"/>
      <c r="AX2463" s="78"/>
      <c r="AY2463" s="78"/>
      <c r="AZ2463" s="78"/>
      <c r="BA2463" s="78"/>
      <c r="BB2463" s="78"/>
      <c r="BC2463" s="78"/>
      <c r="BD2463" s="78"/>
      <c r="BE2463" s="465"/>
      <c r="BF2463" s="165" t="str">
        <f t="shared" si="1844"/>
        <v>https://www.google.com/search?tbm=isch&amp;q=3%20G6</v>
      </c>
      <c r="BG2463" s="165" t="str">
        <f t="shared" si="1845"/>
        <v>J</v>
      </c>
      <c r="BH2463" s="65"/>
      <c r="BI2463" s="65"/>
      <c r="BJ2463" s="65"/>
      <c r="BK2463" s="65"/>
      <c r="BL2463" s="99"/>
      <c r="BM2463" s="99"/>
      <c r="BN2463" s="99"/>
    </row>
    <row r="2464" spans="1:66" s="51" customFormat="1" ht="15.75" x14ac:dyDescent="0.25">
      <c r="A2464" s="478">
        <v>3</v>
      </c>
      <c r="B2464" s="479" t="s">
        <v>291</v>
      </c>
      <c r="C2464" s="480"/>
      <c r="D2464" s="481" t="s">
        <v>310</v>
      </c>
      <c r="E2464" s="482">
        <v>25.95</v>
      </c>
      <c r="F2464" s="483" t="s">
        <v>292</v>
      </c>
      <c r="G2464" s="484">
        <v>0</v>
      </c>
      <c r="H2464" s="688" t="str">
        <f>IF(G2464=0,"",IF(F2464="Buy",IF(G2464=1,"plant","plants"),IF(F2464&gt;0.01,"warranty","Error")))</f>
        <v/>
      </c>
      <c r="I2464" s="485">
        <f>IF(H2464="free",0,IF(H2464="credit",((E2464*(F2464))*G2464*-1),IF(F2464="Buy",(E2464*G2464),((E2464*(1-F2464))*G2464))))</f>
        <v>0</v>
      </c>
      <c r="J2464" s="485">
        <f>IF(H2464="warranty",0,(I2464*(_xlfn.SINGLE(SalesTaxPercentage))))</f>
        <v>0</v>
      </c>
      <c r="K2464" s="715">
        <f t="shared" ref="K2464" si="1851">I2464+J2464</f>
        <v>0</v>
      </c>
      <c r="L2464" s="715"/>
      <c r="M2464" s="689" t="str">
        <f ca="1">IF(AND(G2464&gt;0,E2464=0),"WARNING - no PRICE inserted",IF(H2464="free","FREE ~ no charge this plant",IF(H2464="credit",CONCATENATE("-$",ROUND(K2464*(1-_xlfn.SINGLE(T2GDiscount))*-1,2)," CREDIT after discount"),IF(_xlfn.SINGLE(T2GDiscount)=0,"",IF(G2464=0,"",IF(F2464="Buy",CONCATENATE("$",ROUND(K2464*(1-_xlfn.SINGLE(T2GDiscount)),2)," with ",(_xlfn.SINGLE(T2GDiscount)*100),"% discount"),CONCATENATE("$",ROUND(K2464*(1-_xlfn.SINGLE(T2GDiscount)),2)," with ",((_xlfn.SINGLE(T2GDiscount)*100+F2464*100)-(_xlfn.SINGLE(T2GDiscount)*100*F2464)),IF(F2464&gt;0,"% discounts",IF(_xlfn.SINGLE(NoWarrantyDiscount)&gt;0,"% discounts","% discount")))))))))</f>
        <v/>
      </c>
      <c r="N2464" s="690"/>
      <c r="O2464" s="486"/>
      <c r="P2464" s="486"/>
      <c r="Q2464" s="486"/>
      <c r="R2464" s="486"/>
      <c r="S2464" s="486"/>
      <c r="T2464" s="102">
        <f t="shared" si="1833"/>
        <v>0</v>
      </c>
      <c r="U2464" s="78">
        <f>IF(NOT(ISNUMBER(G2464)), "", VLOOKUP(A2464,'Discount Lookup'!D:E,2,FALSE)*G2464)</f>
        <v>0</v>
      </c>
      <c r="V2464" s="78">
        <f>IF(NOT(ISNUMBER(G2464)), "", VLOOKUP(A2464,'Discount Lookup'!G:H,2,FALSE)*G2464)</f>
        <v>0</v>
      </c>
      <c r="W2464" s="102">
        <f t="shared" si="1834"/>
        <v>0</v>
      </c>
      <c r="X2464" s="102">
        <f t="shared" si="1835"/>
        <v>0</v>
      </c>
      <c r="Y2464" s="120" t="b">
        <f t="shared" si="1836"/>
        <v>0</v>
      </c>
      <c r="Z2464" s="117">
        <f t="shared" si="1837"/>
        <v>0</v>
      </c>
      <c r="AA2464" s="118"/>
      <c r="AB2464" s="118" t="str">
        <f t="shared" si="1838"/>
        <v/>
      </c>
      <c r="AC2464" s="712" t="str">
        <f>IF(AE2464="T2G","no charge",IF(AND(OR(PlanterYesMe="No",PlanterYesMe="N",PlanterYesMe="me"),H2464=""),"",IF(H2464="credit","NO install",IF(AND(K2464="",AE2464="me"),"EACH row",IF(AND(K2464="images",AE2464="me"),"EACH row",IF(D2464="","",IF(H2464="credit","",IF(AE2464="free","re-planting",IF(AE2464="me","   not ELP, by",IF(AND(OR(PlanterYesMe="Yes",PlanterYesMe="Y"),G2464&gt;0),(VLOOKUP(A2464,'Discount Lookup'!J:K,2)*G2464*(1-PlanterDiscount)*(1+PlanterDifficultyPercentage)),IF(AE2464="ELP",(VLOOKUP(A2464,'Discount Lookup'!J:K,2)*G2464*(1-PlanterDiscount)*(1+PlanterDifficultyPercentage)),IF(AE2464="free","re-planting",IF(G2464=0,"",IF(PlanterYesMe="",IF(AE2464="me","   not ELP, by",IF(AE2464="",IF(G2464&gt;0,(VLOOKUP(A2464,'Discount Lookup'!J:K,2)*G2464*(1-PlanterDiscount)*(1+PlanterDifficultyPercentage)),""),"")),"   not ELP, by"))))))))))))))</f>
        <v/>
      </c>
      <c r="AD2464" s="712"/>
      <c r="AE2464" s="513" t="str">
        <f t="shared" si="1839"/>
        <v/>
      </c>
      <c r="AF2464" s="713" t="str">
        <f t="shared" si="1840"/>
        <v/>
      </c>
      <c r="AG2464" s="713"/>
      <c r="AH2464" s="713"/>
      <c r="AI2464" s="112">
        <f>IF(H2464="credit",0,IF(AE2464="free",0,IF(AE2464="me",0,IF(G2464&gt;0,(VLOOKUP(A2464,'Discount Lookup'!J:K,2)*G2464),0))))</f>
        <v>0</v>
      </c>
      <c r="AJ2464" s="107" t="str">
        <f t="shared" ca="1" si="1841"/>
        <v/>
      </c>
      <c r="AK2464" s="714" t="str">
        <f t="shared" si="1842"/>
        <v/>
      </c>
      <c r="AL2464" s="714"/>
      <c r="AM2464" s="114" t="str">
        <f t="shared" si="1843"/>
        <v/>
      </c>
      <c r="AN2464" s="115"/>
      <c r="AO2464" s="116"/>
      <c r="AP2464" s="116"/>
      <c r="AQ2464" s="116"/>
      <c r="AR2464" s="116"/>
      <c r="AS2464" s="116"/>
      <c r="AT2464" s="116"/>
      <c r="AU2464" s="116"/>
      <c r="AV2464" s="78"/>
      <c r="AW2464" s="102"/>
      <c r="AX2464" s="78"/>
      <c r="AY2464" s="78"/>
      <c r="AZ2464" s="78"/>
      <c r="BA2464" s="78"/>
      <c r="BB2464" s="78"/>
      <c r="BC2464" s="78"/>
      <c r="BD2464" s="78"/>
      <c r="BE2464" s="465"/>
      <c r="BF2464" s="165" t="str">
        <f t="shared" si="1844"/>
        <v>https://www.google.com/search?tbm=isch&amp;q=3%20G1</v>
      </c>
      <c r="BG2464" s="165" t="str">
        <f t="shared" si="1845"/>
        <v>J</v>
      </c>
      <c r="BH2464" s="65"/>
      <c r="BI2464" s="65"/>
      <c r="BJ2464" s="65"/>
      <c r="BK2464" s="65"/>
      <c r="BL2464" s="99"/>
      <c r="BM2464" s="99"/>
      <c r="BN2464" s="99"/>
    </row>
    <row r="2465" spans="1:66" s="51" customFormat="1" ht="15.75" x14ac:dyDescent="0.25">
      <c r="A2465" s="478">
        <v>3</v>
      </c>
      <c r="B2465" s="479" t="s">
        <v>291</v>
      </c>
      <c r="C2465" s="480" t="s">
        <v>3125</v>
      </c>
      <c r="D2465" s="481" t="s">
        <v>329</v>
      </c>
      <c r="E2465" s="482">
        <v>25.95</v>
      </c>
      <c r="F2465" s="483" t="s">
        <v>292</v>
      </c>
      <c r="G2465" s="484">
        <v>0</v>
      </c>
      <c r="H2465" s="688" t="str">
        <f>IF(G2465=0,"",IF(F2465="Buy",IF(G2465=1,"plant","plants"),IF(F2465&gt;0.01,"warranty","Error")))</f>
        <v/>
      </c>
      <c r="I2465" s="485">
        <f>IF(H2465="free",0,IF(H2465="credit",((E2465*(F2465))*G2465*-1),IF(F2465="Buy",(E2465*G2465),((E2465*(1-F2465))*G2465))))</f>
        <v>0</v>
      </c>
      <c r="J2465" s="485">
        <f>IF(H2465="warranty",0,(I2465*(_xlfn.SINGLE(SalesTaxPercentage))))</f>
        <v>0</v>
      </c>
      <c r="K2465" s="715">
        <f t="shared" ref="K2465" si="1852">I2465+J2465</f>
        <v>0</v>
      </c>
      <c r="L2465" s="715"/>
      <c r="M2465" s="689" t="str">
        <f ca="1">IF(AND(G2465&gt;0,E2465=0),"WARNING - no PRICE inserted",IF(H2465="free","FREE ~ no charge this plant",IF(H2465="credit",CONCATENATE("-$",ROUND(K2465*(1-_xlfn.SINGLE(T2GDiscount))*-1,2)," CREDIT after discount"),IF(_xlfn.SINGLE(T2GDiscount)=0,"",IF(G2465=0,"",IF(F2465="Buy",CONCATENATE("$",ROUND(K2465*(1-_xlfn.SINGLE(T2GDiscount)),2)," with ",(_xlfn.SINGLE(T2GDiscount)*100),"% discount"),CONCATENATE("$",ROUND(K2465*(1-_xlfn.SINGLE(T2GDiscount)),2)," with ",((_xlfn.SINGLE(T2GDiscount)*100+F2465*100)-(_xlfn.SINGLE(T2GDiscount)*100*F2465)),IF(F2465&gt;0,"% discounts",IF(_xlfn.SINGLE(NoWarrantyDiscount)&gt;0,"% discounts","% discount")))))))))</f>
        <v/>
      </c>
      <c r="N2465" s="690"/>
      <c r="O2465" s="486"/>
      <c r="P2465" s="486"/>
      <c r="Q2465" s="486"/>
      <c r="R2465" s="486"/>
      <c r="S2465" s="486"/>
      <c r="T2465" s="102">
        <f t="shared" si="1833"/>
        <v>0</v>
      </c>
      <c r="U2465" s="78">
        <f>IF(NOT(ISNUMBER(G2465)), "", VLOOKUP(A2465,'Discount Lookup'!D:E,2,FALSE)*G2465)</f>
        <v>0</v>
      </c>
      <c r="V2465" s="78">
        <f>IF(NOT(ISNUMBER(G2465)), "", VLOOKUP(A2465,'Discount Lookup'!G:H,2,FALSE)*G2465)</f>
        <v>0</v>
      </c>
      <c r="W2465" s="102">
        <f t="shared" si="1834"/>
        <v>0</v>
      </c>
      <c r="X2465" s="102">
        <f t="shared" si="1835"/>
        <v>0</v>
      </c>
      <c r="Y2465" s="120" t="b">
        <f t="shared" si="1836"/>
        <v>0</v>
      </c>
      <c r="Z2465" s="117">
        <f t="shared" si="1837"/>
        <v>0</v>
      </c>
      <c r="AA2465" s="118"/>
      <c r="AB2465" s="118" t="str">
        <f t="shared" si="1838"/>
        <v/>
      </c>
      <c r="AC2465" s="712" t="str">
        <f>IF(AE2465="T2G","no charge",IF(AND(OR(PlanterYesMe="No",PlanterYesMe="N",PlanterYesMe="me"),H2465=""),"",IF(H2465="credit","NO install",IF(AND(K2465="",AE2465="me"),"EACH row",IF(AND(K2465="images",AE2465="me"),"EACH row",IF(D2465="","",IF(H2465="credit","",IF(AE2465="free","re-planting",IF(AE2465="me","   not ELP, by",IF(AND(OR(PlanterYesMe="Yes",PlanterYesMe="Y"),G2465&gt;0),(VLOOKUP(A2465,'Discount Lookup'!J:K,2)*G2465*(1-PlanterDiscount)*(1+PlanterDifficultyPercentage)),IF(AE2465="ELP",(VLOOKUP(A2465,'Discount Lookup'!J:K,2)*G2465*(1-PlanterDiscount)*(1+PlanterDifficultyPercentage)),IF(AE2465="free","re-planting",IF(G2465=0,"",IF(PlanterYesMe="",IF(AE2465="me","   not ELP, by",IF(AE2465="",IF(G2465&gt;0,(VLOOKUP(A2465,'Discount Lookup'!J:K,2)*G2465*(1-PlanterDiscount)*(1+PlanterDifficultyPercentage)),""),"")),"   not ELP, by"))))))))))))))</f>
        <v/>
      </c>
      <c r="AD2465" s="712"/>
      <c r="AE2465" s="513" t="str">
        <f t="shared" si="1839"/>
        <v/>
      </c>
      <c r="AF2465" s="713" t="str">
        <f t="shared" si="1840"/>
        <v/>
      </c>
      <c r="AG2465" s="713"/>
      <c r="AH2465" s="713"/>
      <c r="AI2465" s="112">
        <f>IF(H2465="credit",0,IF(AE2465="free",0,IF(AE2465="me",0,IF(G2465&gt;0,(VLOOKUP(A2465,'Discount Lookup'!J:K,2)*G2465),0))))</f>
        <v>0</v>
      </c>
      <c r="AJ2465" s="107" t="str">
        <f t="shared" ca="1" si="1841"/>
        <v/>
      </c>
      <c r="AK2465" s="714" t="str">
        <f t="shared" si="1842"/>
        <v/>
      </c>
      <c r="AL2465" s="714"/>
      <c r="AM2465" s="114" t="str">
        <f t="shared" si="1843"/>
        <v/>
      </c>
      <c r="AN2465" s="115"/>
      <c r="AO2465" s="116"/>
      <c r="AP2465" s="116"/>
      <c r="AQ2465" s="116"/>
      <c r="AR2465" s="116"/>
      <c r="AS2465" s="116"/>
      <c r="AT2465" s="116"/>
      <c r="AU2465" s="116"/>
      <c r="AV2465" s="78"/>
      <c r="AW2465" s="102"/>
      <c r="AX2465" s="78"/>
      <c r="AY2465" s="78"/>
      <c r="AZ2465" s="78"/>
      <c r="BA2465" s="78"/>
      <c r="BB2465" s="78"/>
      <c r="BC2465" s="78"/>
      <c r="BD2465" s="78"/>
      <c r="BE2465" s="465"/>
      <c r="BF2465" s="165" t="str">
        <f t="shared" si="1844"/>
        <v>https://www.google.com/search?tbm=isch&amp;q=3%20G2</v>
      </c>
      <c r="BG2465" s="165" t="str">
        <f t="shared" si="1845"/>
        <v>J</v>
      </c>
      <c r="BH2465" s="65"/>
      <c r="BI2465" s="65"/>
      <c r="BJ2465" s="65"/>
      <c r="BK2465" s="65"/>
      <c r="BL2465" s="99"/>
      <c r="BM2465" s="99"/>
      <c r="BN2465" s="99"/>
    </row>
    <row r="2466" spans="1:66" s="51" customFormat="1" ht="17.25" thickBot="1" x14ac:dyDescent="0.3">
      <c r="A2466" s="508" t="s">
        <v>3135</v>
      </c>
      <c r="B2466" s="487"/>
      <c r="C2466" s="707"/>
      <c r="D2466" s="487"/>
      <c r="E2466" s="487"/>
      <c r="F2466" s="488"/>
      <c r="G2466" s="489"/>
      <c r="H2466" s="487"/>
      <c r="I2466" s="490"/>
      <c r="J2466" s="490"/>
      <c r="K2466" s="491"/>
      <c r="L2466" s="547"/>
      <c r="M2466" s="528"/>
      <c r="N2466" s="492"/>
      <c r="O2466" s="493"/>
      <c r="P2466" s="494"/>
      <c r="Q2466" s="492"/>
      <c r="R2466" s="492"/>
      <c r="S2466" s="699" t="s">
        <v>5280</v>
      </c>
      <c r="T2466" s="102">
        <f t="shared" si="1833"/>
        <v>0</v>
      </c>
      <c r="U2466" s="78" t="str">
        <f>IF(NOT(ISNUMBER(G2466)), "", VLOOKUP(A2466,'Discount Lookup'!D:E,2,FALSE)*G2466)</f>
        <v/>
      </c>
      <c r="V2466" s="78" t="str">
        <f>IF(NOT(ISNUMBER(G2466)), "", VLOOKUP(A2466,'Discount Lookup'!G:H,2,FALSE)*G2466)</f>
        <v/>
      </c>
      <c r="W2466" s="102">
        <f t="shared" si="1834"/>
        <v>0</v>
      </c>
      <c r="X2466" s="102">
        <f t="shared" si="1835"/>
        <v>0</v>
      </c>
      <c r="Y2466" s="120" t="b">
        <f t="shared" si="1836"/>
        <v>0</v>
      </c>
      <c r="Z2466" s="117">
        <f t="shared" si="1837"/>
        <v>0</v>
      </c>
      <c r="AA2466" s="118"/>
      <c r="AB2466" s="118" t="str">
        <f t="shared" si="1838"/>
        <v/>
      </c>
      <c r="AC2466" s="712" t="str">
        <f>IF(AE2466="T2G","no charge",IF(AND(OR(PlanterYesMe="No",PlanterYesMe="N",PlanterYesMe="me"),H2466=""),"",IF(H2466="credit","NO install",IF(AND(K2466="",AE2466="me"),"EACH row",IF(AND(K2466="images",AE2466="me"),"EACH row",IF(D2466="","",IF(H2466="credit","",IF(AE2466="free","re-planting",IF(AE2466="me","   not ELP, by",IF(AND(OR(PlanterYesMe="Yes",PlanterYesMe="Y"),G2466&gt;0),(VLOOKUP(A2466,'Discount Lookup'!J:K,2)*G2466*(1-PlanterDiscount)*(1+PlanterDifficultyPercentage)),IF(AE2466="ELP",(VLOOKUP(A2466,'Discount Lookup'!J:K,2)*G2466*(1-PlanterDiscount)*(1+PlanterDifficultyPercentage)),IF(AE2466="free","re-planting",IF(G2466=0,"",IF(PlanterYesMe="",IF(AE2466="me","   not ELP, by",IF(AE2466="",IF(G2466&gt;0,(VLOOKUP(A2466,'Discount Lookup'!J:K,2)*G2466*(1-PlanterDiscount)*(1+PlanterDifficultyPercentage)),""),"")),"   not ELP, by"))))))))))))))</f>
        <v/>
      </c>
      <c r="AD2466" s="712"/>
      <c r="AE2466" s="513" t="str">
        <f t="shared" si="1839"/>
        <v/>
      </c>
      <c r="AF2466" s="713" t="str">
        <f t="shared" si="1840"/>
        <v/>
      </c>
      <c r="AG2466" s="713"/>
      <c r="AH2466" s="713"/>
      <c r="AI2466" s="112">
        <f>IF(H2466="credit",0,IF(AE2466="free",0,IF(AE2466="me",0,IF(G2466&gt;0,(VLOOKUP(A2466,'Discount Lookup'!J:K,2)*G2466),0))))</f>
        <v>0</v>
      </c>
      <c r="AJ2466" s="107" t="str">
        <f t="shared" ca="1" si="1841"/>
        <v/>
      </c>
      <c r="AK2466" s="714" t="str">
        <f t="shared" si="1842"/>
        <v/>
      </c>
      <c r="AL2466" s="714"/>
      <c r="AM2466" s="114" t="str">
        <f t="shared" si="1843"/>
        <v/>
      </c>
      <c r="AN2466" s="115"/>
      <c r="AO2466" s="116"/>
      <c r="AP2466" s="116"/>
      <c r="AQ2466" s="116"/>
      <c r="AR2466" s="116"/>
      <c r="AS2466" s="116"/>
      <c r="AT2466" s="116"/>
      <c r="AU2466" s="116"/>
      <c r="AV2466" s="78"/>
      <c r="AW2466" s="102"/>
      <c r="AX2466" s="78"/>
      <c r="AY2466" s="78"/>
      <c r="AZ2466" s="78"/>
      <c r="BA2466" s="78"/>
      <c r="BB2466" s="78"/>
      <c r="BC2466" s="78"/>
      <c r="BD2466" s="78"/>
      <c r="BE2466" s="465"/>
      <c r="BF2466" s="165" t="str">
        <f t="shared" si="1844"/>
        <v>https://www.google.com/search?tbm=isch&amp;q=Blue%20Rug%20spreads%20into%20a%20tight%20carpet%20that%20bronzes%20in%20winter.%20Bluish-Green-Black%20cones.%20All%20femaie.%20Sun%2Fheat%2Fdrought%20tolerant%20</v>
      </c>
      <c r="BG2466" s="165" t="str">
        <f t="shared" si="1845"/>
        <v>B</v>
      </c>
      <c r="BH2466" s="65"/>
      <c r="BI2466" s="65"/>
      <c r="BJ2466" s="65"/>
      <c r="BK2466" s="65"/>
      <c r="BL2466" s="99"/>
      <c r="BM2466" s="99"/>
      <c r="BN2466" s="99"/>
    </row>
    <row r="2467" spans="1:66" s="51" customFormat="1" ht="18" x14ac:dyDescent="0.25">
      <c r="A2467" s="507" t="s">
        <v>3136</v>
      </c>
      <c r="B2467" s="470"/>
      <c r="C2467" s="706"/>
      <c r="D2467" s="471" t="s">
        <v>3137</v>
      </c>
      <c r="E2467" s="472"/>
      <c r="F2467" s="472"/>
      <c r="G2467" s="472"/>
      <c r="H2467" s="622" t="s">
        <v>4893</v>
      </c>
      <c r="I2467" s="473" t="s">
        <v>565</v>
      </c>
      <c r="J2467" s="472"/>
      <c r="K2467" s="472"/>
      <c r="L2467" s="561"/>
      <c r="M2467" s="698" t="s">
        <v>5240</v>
      </c>
      <c r="N2467" s="692" t="str">
        <f>IF(AND(ISTEXT($A2467), ISERROR($A2467+0)), HYPERLINK($BF2467, "Images"), "")</f>
        <v>Images</v>
      </c>
      <c r="O2467" s="694" t="s">
        <v>5244</v>
      </c>
      <c r="P2467" s="475"/>
      <c r="Q2467" s="476"/>
      <c r="R2467" s="476"/>
      <c r="S2467" s="477"/>
      <c r="T2467" s="102">
        <f t="shared" si="1833"/>
        <v>0</v>
      </c>
      <c r="U2467" s="78" t="str">
        <f>IF(NOT(ISNUMBER(G2467)), "", VLOOKUP(A2467,'Discount Lookup'!D:E,2,FALSE)*G2467)</f>
        <v/>
      </c>
      <c r="V2467" s="78" t="str">
        <f>IF(NOT(ISNUMBER(G2467)), "", VLOOKUP(A2467,'Discount Lookup'!G:H,2,FALSE)*G2467)</f>
        <v/>
      </c>
      <c r="W2467" s="102">
        <f t="shared" si="1834"/>
        <v>0</v>
      </c>
      <c r="X2467" s="102" t="str">
        <f t="shared" si="1835"/>
        <v>Blue-Green foliage</v>
      </c>
      <c r="Y2467" s="120" t="b">
        <f t="shared" si="1836"/>
        <v>0</v>
      </c>
      <c r="Z2467" s="117">
        <f t="shared" si="1837"/>
        <v>0</v>
      </c>
      <c r="AA2467" s="118"/>
      <c r="AB2467" s="118" t="str">
        <f t="shared" si="1838"/>
        <v/>
      </c>
      <c r="AC2467" s="712" t="str">
        <f>IF(AE2467="T2G","no charge",IF(AND(OR(PlanterYesMe="No",PlanterYesMe="N",PlanterYesMe="me"),H2467=""),"",IF(H2467="credit","NO install",IF(AND(K2467="",AE2467="me"),"EACH row",IF(AND(K2467="images",AE2467="me"),"EACH row",IF(D2467="","",IF(H2467="credit","",IF(AE2467="free","re-planting",IF(AE2467="me","   not ELP, by",IF(AND(OR(PlanterYesMe="Yes",PlanterYesMe="Y"),G2467&gt;0),(VLOOKUP(A2467,'Discount Lookup'!J:K,2)*G2467*(1-PlanterDiscount)*(1+PlanterDifficultyPercentage)),IF(AE2467="ELP",(VLOOKUP(A2467,'Discount Lookup'!J:K,2)*G2467*(1-PlanterDiscount)*(1+PlanterDifficultyPercentage)),IF(AE2467="free","re-planting",IF(G2467=0,"",IF(PlanterYesMe="",IF(AE2467="me","   not ELP, by",IF(AE2467="",IF(G2467&gt;0,(VLOOKUP(A2467,'Discount Lookup'!J:K,2)*G2467*(1-PlanterDiscount)*(1+PlanterDifficultyPercentage)),""),"")),"   not ELP, by"))))))))))))))</f>
        <v/>
      </c>
      <c r="AD2467" s="712"/>
      <c r="AE2467" s="513" t="str">
        <f t="shared" si="1839"/>
        <v/>
      </c>
      <c r="AF2467" s="713" t="str">
        <f t="shared" si="1840"/>
        <v/>
      </c>
      <c r="AG2467" s="713"/>
      <c r="AH2467" s="713"/>
      <c r="AI2467" s="112">
        <f>IF(H2467="credit",0,IF(AE2467="free",0,IF(AE2467="me",0,IF(G2467&gt;0,(VLOOKUP(A2467,'Discount Lookup'!J:K,2)*G2467),0))))</f>
        <v>0</v>
      </c>
      <c r="AJ2467" s="107" t="str">
        <f t="shared" ca="1" si="1841"/>
        <v/>
      </c>
      <c r="AK2467" s="714" t="str">
        <f t="shared" si="1842"/>
        <v/>
      </c>
      <c r="AL2467" s="714"/>
      <c r="AM2467" s="114" t="str">
        <f t="shared" si="1843"/>
        <v/>
      </c>
      <c r="AN2467" s="115"/>
      <c r="AO2467" s="116"/>
      <c r="AP2467" s="116"/>
      <c r="AQ2467" s="116"/>
      <c r="AR2467" s="116"/>
      <c r="AS2467" s="116"/>
      <c r="AT2467" s="116"/>
      <c r="AU2467" s="116"/>
      <c r="AV2467" s="78"/>
      <c r="AW2467" s="102"/>
      <c r="AX2467" s="78"/>
      <c r="AY2467" s="78"/>
      <c r="AZ2467" s="78"/>
      <c r="BA2467" s="78"/>
      <c r="BB2467" s="78"/>
      <c r="BC2467" s="78"/>
      <c r="BD2467" s="78"/>
      <c r="BE2467" s="465"/>
      <c r="BF2467" s="165" t="str">
        <f t="shared" si="1844"/>
        <v>https://www.google.com/search?tbm=isch&amp;q=Juniperus%20procumbens%20%27Nana%27%20Dwarf%20Japanese%20Garden%20Juniper</v>
      </c>
      <c r="BG2467" s="165" t="str">
        <f t="shared" si="1845"/>
        <v>J</v>
      </c>
      <c r="BH2467" s="65"/>
      <c r="BI2467" s="65"/>
      <c r="BJ2467" s="65"/>
      <c r="BK2467" s="65"/>
      <c r="BL2467" s="99"/>
      <c r="BM2467" s="99"/>
      <c r="BN2467" s="99"/>
    </row>
    <row r="2468" spans="1:66" s="51" customFormat="1" ht="15.75" x14ac:dyDescent="0.25">
      <c r="A2468" s="478">
        <v>3</v>
      </c>
      <c r="B2468" s="479" t="s">
        <v>291</v>
      </c>
      <c r="C2468" s="480" t="s">
        <v>3138</v>
      </c>
      <c r="D2468" s="481" t="s">
        <v>329</v>
      </c>
      <c r="E2468" s="482">
        <v>21.95</v>
      </c>
      <c r="F2468" s="483" t="s">
        <v>292</v>
      </c>
      <c r="G2468" s="484">
        <v>0</v>
      </c>
      <c r="H2468" s="688" t="str">
        <f>IF(G2468=0,"",IF(F2468="Buy",IF(G2468=1,"plant","plants"),IF(F2468&gt;0.01,"warranty","Error")))</f>
        <v/>
      </c>
      <c r="I2468" s="485">
        <f>IF(H2468="free",0,IF(H2468="credit",((E2468*(F2468))*G2468*-1),IF(F2468="Buy",(E2468*G2468),((E2468*(1-F2468))*G2468))))</f>
        <v>0</v>
      </c>
      <c r="J2468" s="485">
        <f>IF(H2468="warranty",0,(I2468*(_xlfn.SINGLE(SalesTaxPercentage))))</f>
        <v>0</v>
      </c>
      <c r="K2468" s="715">
        <f t="shared" ref="K2468" si="1853">I2468+J2468</f>
        <v>0</v>
      </c>
      <c r="L2468" s="715"/>
      <c r="M2468" s="689" t="str">
        <f ca="1">IF(AND(G2468&gt;0,E2468=0),"WARNING - no PRICE inserted",IF(H2468="free","FREE ~ no charge this plant",IF(H2468="credit",CONCATENATE("-$",ROUND(K2468*(1-_xlfn.SINGLE(T2GDiscount))*-1,2)," CREDIT after discount"),IF(_xlfn.SINGLE(T2GDiscount)=0,"",IF(G2468=0,"",IF(F2468="Buy",CONCATENATE("$",ROUND(K2468*(1-_xlfn.SINGLE(T2GDiscount)),2)," with ",(_xlfn.SINGLE(T2GDiscount)*100),"% discount"),CONCATENATE("$",ROUND(K2468*(1-_xlfn.SINGLE(T2GDiscount)),2)," with ",((_xlfn.SINGLE(T2GDiscount)*100+F2468*100)-(_xlfn.SINGLE(T2GDiscount)*100*F2468)),IF(F2468&gt;0,"% discounts",IF(_xlfn.SINGLE(NoWarrantyDiscount)&gt;0,"% discounts","% discount")))))))))</f>
        <v/>
      </c>
      <c r="N2468" s="690"/>
      <c r="O2468" s="486"/>
      <c r="P2468" s="486"/>
      <c r="Q2468" s="486"/>
      <c r="R2468" s="486"/>
      <c r="S2468" s="486"/>
      <c r="T2468" s="102">
        <f t="shared" si="1833"/>
        <v>0</v>
      </c>
      <c r="U2468" s="78">
        <f>IF(NOT(ISNUMBER(G2468)), "", VLOOKUP(A2468,'Discount Lookup'!D:E,2,FALSE)*G2468)</f>
        <v>0</v>
      </c>
      <c r="V2468" s="78">
        <f>IF(NOT(ISNUMBER(G2468)), "", VLOOKUP(A2468,'Discount Lookup'!G:H,2,FALSE)*G2468)</f>
        <v>0</v>
      </c>
      <c r="W2468" s="102">
        <f t="shared" si="1834"/>
        <v>0</v>
      </c>
      <c r="X2468" s="102">
        <f t="shared" si="1835"/>
        <v>0</v>
      </c>
      <c r="Y2468" s="120" t="b">
        <f t="shared" si="1836"/>
        <v>0</v>
      </c>
      <c r="Z2468" s="117">
        <f t="shared" si="1837"/>
        <v>0</v>
      </c>
      <c r="AA2468" s="118"/>
      <c r="AB2468" s="118" t="str">
        <f t="shared" si="1838"/>
        <v/>
      </c>
      <c r="AC2468" s="712" t="str">
        <f>IF(AE2468="T2G","no charge",IF(AND(OR(PlanterYesMe="No",PlanterYesMe="N",PlanterYesMe="me"),H2468=""),"",IF(H2468="credit","NO install",IF(AND(K2468="",AE2468="me"),"EACH row",IF(AND(K2468="images",AE2468="me"),"EACH row",IF(D2468="","",IF(H2468="credit","",IF(AE2468="free","re-planting",IF(AE2468="me","   not ELP, by",IF(AND(OR(PlanterYesMe="Yes",PlanterYesMe="Y"),G2468&gt;0),(VLOOKUP(A2468,'Discount Lookup'!J:K,2)*G2468*(1-PlanterDiscount)*(1+PlanterDifficultyPercentage)),IF(AE2468="ELP",(VLOOKUP(A2468,'Discount Lookup'!J:K,2)*G2468*(1-PlanterDiscount)*(1+PlanterDifficultyPercentage)),IF(AE2468="free","re-planting",IF(G2468=0,"",IF(PlanterYesMe="",IF(AE2468="me","   not ELP, by",IF(AE2468="",IF(G2468&gt;0,(VLOOKUP(A2468,'Discount Lookup'!J:K,2)*G2468*(1-PlanterDiscount)*(1+PlanterDifficultyPercentage)),""),"")),"   not ELP, by"))))))))))))))</f>
        <v/>
      </c>
      <c r="AD2468" s="712"/>
      <c r="AE2468" s="513" t="str">
        <f t="shared" si="1839"/>
        <v/>
      </c>
      <c r="AF2468" s="713" t="str">
        <f t="shared" si="1840"/>
        <v/>
      </c>
      <c r="AG2468" s="713"/>
      <c r="AH2468" s="713"/>
      <c r="AI2468" s="112">
        <f>IF(H2468="credit",0,IF(AE2468="free",0,IF(AE2468="me",0,IF(G2468&gt;0,(VLOOKUP(A2468,'Discount Lookup'!J:K,2)*G2468),0))))</f>
        <v>0</v>
      </c>
      <c r="AJ2468" s="107" t="str">
        <f t="shared" ca="1" si="1841"/>
        <v/>
      </c>
      <c r="AK2468" s="714" t="str">
        <f t="shared" si="1842"/>
        <v/>
      </c>
      <c r="AL2468" s="714"/>
      <c r="AM2468" s="114" t="str">
        <f t="shared" si="1843"/>
        <v/>
      </c>
      <c r="AN2468" s="115"/>
      <c r="AO2468" s="116"/>
      <c r="AP2468" s="116"/>
      <c r="AQ2468" s="116"/>
      <c r="AR2468" s="116"/>
      <c r="AS2468" s="116"/>
      <c r="AT2468" s="116"/>
      <c r="AU2468" s="116"/>
      <c r="AV2468" s="78"/>
      <c r="AW2468" s="102"/>
      <c r="AX2468" s="78"/>
      <c r="AY2468" s="78"/>
      <c r="AZ2468" s="78"/>
      <c r="BA2468" s="78"/>
      <c r="BB2468" s="78"/>
      <c r="BC2468" s="78"/>
      <c r="BD2468" s="78"/>
      <c r="BE2468" s="465"/>
      <c r="BF2468" s="165" t="str">
        <f t="shared" si="1844"/>
        <v>https://www.google.com/search?tbm=isch&amp;q=3%20G2</v>
      </c>
      <c r="BG2468" s="165" t="str">
        <f t="shared" si="1845"/>
        <v>J</v>
      </c>
      <c r="BH2468" s="65"/>
      <c r="BI2468" s="65"/>
      <c r="BJ2468" s="65"/>
      <c r="BK2468" s="65"/>
      <c r="BL2468" s="99"/>
      <c r="BM2468" s="99"/>
      <c r="BN2468" s="99"/>
    </row>
    <row r="2469" spans="1:66" s="51" customFormat="1" ht="15.75" x14ac:dyDescent="0.25">
      <c r="A2469" s="478">
        <v>3</v>
      </c>
      <c r="B2469" s="479" t="s">
        <v>291</v>
      </c>
      <c r="C2469" s="480" t="s">
        <v>3139</v>
      </c>
      <c r="D2469" s="481" t="s">
        <v>311</v>
      </c>
      <c r="E2469" s="482">
        <v>30.95</v>
      </c>
      <c r="F2469" s="483" t="s">
        <v>292</v>
      </c>
      <c r="G2469" s="484">
        <v>0</v>
      </c>
      <c r="H2469" s="688" t="str">
        <f>IF(G2469=0,"",IF(F2469="Buy",IF(G2469=1,"plant","plants"),IF(F2469&gt;0.01,"warranty","Error")))</f>
        <v/>
      </c>
      <c r="I2469" s="485">
        <f>IF(H2469="free",0,IF(H2469="credit",((E2469*(F2469))*G2469*-1),IF(F2469="Buy",(E2469*G2469),((E2469*(1-F2469))*G2469))))</f>
        <v>0</v>
      </c>
      <c r="J2469" s="485">
        <f>IF(H2469="warranty",0,(I2469*(_xlfn.SINGLE(SalesTaxPercentage))))</f>
        <v>0</v>
      </c>
      <c r="K2469" s="715">
        <f t="shared" ref="K2469" si="1854">I2469+J2469</f>
        <v>0</v>
      </c>
      <c r="L2469" s="715"/>
      <c r="M2469" s="689" t="str">
        <f ca="1">IF(AND(G2469&gt;0,E2469=0),"WARNING - no PRICE inserted",IF(H2469="free","FREE ~ no charge this plant",IF(H2469="credit",CONCATENATE("-$",ROUND(K2469*(1-_xlfn.SINGLE(T2GDiscount))*-1,2)," CREDIT after discount"),IF(_xlfn.SINGLE(T2GDiscount)=0,"",IF(G2469=0,"",IF(F2469="Buy",CONCATENATE("$",ROUND(K2469*(1-_xlfn.SINGLE(T2GDiscount)),2)," with ",(_xlfn.SINGLE(T2GDiscount)*100),"% discount"),CONCATENATE("$",ROUND(K2469*(1-_xlfn.SINGLE(T2GDiscount)),2)," with ",((_xlfn.SINGLE(T2GDiscount)*100+F2469*100)-(_xlfn.SINGLE(T2GDiscount)*100*F2469)),IF(F2469&gt;0,"% discounts",IF(_xlfn.SINGLE(NoWarrantyDiscount)&gt;0,"% discounts","% discount")))))))))</f>
        <v/>
      </c>
      <c r="N2469" s="690"/>
      <c r="O2469" s="486"/>
      <c r="P2469" s="486"/>
      <c r="Q2469" s="486"/>
      <c r="R2469" s="486"/>
      <c r="S2469" s="486"/>
      <c r="T2469" s="102">
        <f t="shared" si="1833"/>
        <v>0</v>
      </c>
      <c r="U2469" s="78">
        <f>IF(NOT(ISNUMBER(G2469)), "", VLOOKUP(A2469,'Discount Lookup'!D:E,2,FALSE)*G2469)</f>
        <v>0</v>
      </c>
      <c r="V2469" s="78">
        <f>IF(NOT(ISNUMBER(G2469)), "", VLOOKUP(A2469,'Discount Lookup'!G:H,2,FALSE)*G2469)</f>
        <v>0</v>
      </c>
      <c r="W2469" s="102">
        <f t="shared" si="1834"/>
        <v>0</v>
      </c>
      <c r="X2469" s="102">
        <f t="shared" si="1835"/>
        <v>0</v>
      </c>
      <c r="Y2469" s="120" t="b">
        <f t="shared" si="1836"/>
        <v>0</v>
      </c>
      <c r="Z2469" s="117">
        <f t="shared" si="1837"/>
        <v>0</v>
      </c>
      <c r="AA2469" s="118"/>
      <c r="AB2469" s="118" t="str">
        <f t="shared" si="1838"/>
        <v/>
      </c>
      <c r="AC2469" s="712" t="str">
        <f>IF(AE2469="T2G","no charge",IF(AND(OR(PlanterYesMe="No",PlanterYesMe="N",PlanterYesMe="me"),H2469=""),"",IF(H2469="credit","NO install",IF(AND(K2469="",AE2469="me"),"EACH row",IF(AND(K2469="images",AE2469="me"),"EACH row",IF(D2469="","",IF(H2469="credit","",IF(AE2469="free","re-planting",IF(AE2469="me","   not ELP, by",IF(AND(OR(PlanterYesMe="Yes",PlanterYesMe="Y"),G2469&gt;0),(VLOOKUP(A2469,'Discount Lookup'!J:K,2)*G2469*(1-PlanterDiscount)*(1+PlanterDifficultyPercentage)),IF(AE2469="ELP",(VLOOKUP(A2469,'Discount Lookup'!J:K,2)*G2469*(1-PlanterDiscount)*(1+PlanterDifficultyPercentage)),IF(AE2469="free","re-planting",IF(G2469=0,"",IF(PlanterYesMe="",IF(AE2469="me","   not ELP, by",IF(AE2469="",IF(G2469&gt;0,(VLOOKUP(A2469,'Discount Lookup'!J:K,2)*G2469*(1-PlanterDiscount)*(1+PlanterDifficultyPercentage)),""),"")),"   not ELP, by"))))))))))))))</f>
        <v/>
      </c>
      <c r="AD2469" s="712"/>
      <c r="AE2469" s="513" t="str">
        <f t="shared" si="1839"/>
        <v/>
      </c>
      <c r="AF2469" s="713" t="str">
        <f t="shared" si="1840"/>
        <v/>
      </c>
      <c r="AG2469" s="713"/>
      <c r="AH2469" s="713"/>
      <c r="AI2469" s="112">
        <f>IF(H2469="credit",0,IF(AE2469="free",0,IF(AE2469="me",0,IF(G2469&gt;0,(VLOOKUP(A2469,'Discount Lookup'!J:K,2)*G2469),0))))</f>
        <v>0</v>
      </c>
      <c r="AJ2469" s="107" t="str">
        <f t="shared" ca="1" si="1841"/>
        <v/>
      </c>
      <c r="AK2469" s="714" t="str">
        <f t="shared" si="1842"/>
        <v/>
      </c>
      <c r="AL2469" s="714"/>
      <c r="AM2469" s="114" t="str">
        <f t="shared" si="1843"/>
        <v/>
      </c>
      <c r="AN2469" s="115"/>
      <c r="AO2469" s="116"/>
      <c r="AP2469" s="116"/>
      <c r="AQ2469" s="116"/>
      <c r="AR2469" s="116"/>
      <c r="AS2469" s="116"/>
      <c r="AT2469" s="116"/>
      <c r="AU2469" s="116"/>
      <c r="AV2469" s="78"/>
      <c r="AW2469" s="102"/>
      <c r="AX2469" s="78"/>
      <c r="AY2469" s="78"/>
      <c r="AZ2469" s="78"/>
      <c r="BA2469" s="78"/>
      <c r="BB2469" s="78"/>
      <c r="BC2469" s="78"/>
      <c r="BD2469" s="78"/>
      <c r="BE2469" s="465"/>
      <c r="BF2469" s="165" t="str">
        <f t="shared" si="1844"/>
        <v>https://www.google.com/search?tbm=isch&amp;q=3%20G5</v>
      </c>
      <c r="BG2469" s="165" t="str">
        <f t="shared" si="1845"/>
        <v>J</v>
      </c>
      <c r="BH2469" s="65"/>
      <c r="BI2469" s="65"/>
      <c r="BJ2469" s="65"/>
      <c r="BK2469" s="65"/>
      <c r="BL2469" s="99"/>
      <c r="BM2469" s="99"/>
      <c r="BN2469" s="99"/>
    </row>
    <row r="2470" spans="1:66" s="51" customFormat="1" ht="40.5" x14ac:dyDescent="0.25">
      <c r="A2470" s="478">
        <v>15</v>
      </c>
      <c r="B2470" s="479" t="s">
        <v>291</v>
      </c>
      <c r="C2470" s="480" t="s">
        <v>3140</v>
      </c>
      <c r="D2470" s="481" t="s">
        <v>299</v>
      </c>
      <c r="E2470" s="482">
        <v>399.95</v>
      </c>
      <c r="F2470" s="483" t="s">
        <v>292</v>
      </c>
      <c r="G2470" s="484">
        <v>0</v>
      </c>
      <c r="H2470" s="688" t="str">
        <f>IF(G2470=0,"",IF(F2470="Buy",IF(G2470=1,"plant","plants"),IF(F2470&gt;0.01,"warranty","Error")))</f>
        <v/>
      </c>
      <c r="I2470" s="485">
        <f>IF(H2470="free",0,IF(H2470="credit",((E2470*(F2470))*G2470*-1),IF(F2470="Buy",(E2470*G2470),((E2470*(1-F2470))*G2470))))</f>
        <v>0</v>
      </c>
      <c r="J2470" s="485">
        <f>IF(H2470="warranty",0,(I2470*(_xlfn.SINGLE(SalesTaxPercentage))))</f>
        <v>0</v>
      </c>
      <c r="K2470" s="715">
        <f t="shared" ref="K2470" si="1855">I2470+J2470</f>
        <v>0</v>
      </c>
      <c r="L2470" s="715"/>
      <c r="M2470" s="689" t="str">
        <f ca="1">IF(AND(G2470&gt;0,E2470=0),"WARNING - no PRICE inserted",IF(H2470="free","FREE ~ no charge this plant",IF(H2470="credit",CONCATENATE("-$",ROUND(K2470*(1-_xlfn.SINGLE(T2GDiscount))*-1,2)," CREDIT after discount"),IF(_xlfn.SINGLE(T2GDiscount)=0,"",IF(G2470=0,"",IF(F2470="Buy",CONCATENATE("$",ROUND(K2470*(1-_xlfn.SINGLE(T2GDiscount)),2)," with ",(_xlfn.SINGLE(T2GDiscount)*100),"% discount"),CONCATENATE("$",ROUND(K2470*(1-_xlfn.SINGLE(T2GDiscount)),2)," with ",((_xlfn.SINGLE(T2GDiscount)*100+F2470*100)-(_xlfn.SINGLE(T2GDiscount)*100*F2470)),IF(F2470&gt;0,"% discounts",IF(_xlfn.SINGLE(NoWarrantyDiscount)&gt;0,"% discounts","% discount")))))))))</f>
        <v/>
      </c>
      <c r="N2470" s="690"/>
      <c r="O2470" s="486"/>
      <c r="P2470" s="486"/>
      <c r="Q2470" s="486"/>
      <c r="R2470" s="486"/>
      <c r="S2470" s="486"/>
      <c r="T2470" s="102">
        <f t="shared" si="1833"/>
        <v>0</v>
      </c>
      <c r="U2470" s="78">
        <f>IF(NOT(ISNUMBER(G2470)), "", VLOOKUP(A2470,'Discount Lookup'!D:E,2,FALSE)*G2470)</f>
        <v>0</v>
      </c>
      <c r="V2470" s="78">
        <f>IF(NOT(ISNUMBER(G2470)), "", VLOOKUP(A2470,'Discount Lookup'!G:H,2,FALSE)*G2470)</f>
        <v>0</v>
      </c>
      <c r="W2470" s="102">
        <f t="shared" si="1834"/>
        <v>0</v>
      </c>
      <c r="X2470" s="102">
        <f t="shared" si="1835"/>
        <v>0</v>
      </c>
      <c r="Y2470" s="120" t="b">
        <f t="shared" si="1836"/>
        <v>0</v>
      </c>
      <c r="Z2470" s="117">
        <f t="shared" si="1837"/>
        <v>0</v>
      </c>
      <c r="AA2470" s="118"/>
      <c r="AB2470" s="118" t="str">
        <f t="shared" si="1838"/>
        <v/>
      </c>
      <c r="AC2470" s="712" t="str">
        <f>IF(AE2470="T2G","no charge",IF(AND(OR(PlanterYesMe="No",PlanterYesMe="N",PlanterYesMe="me"),H2470=""),"",IF(H2470="credit","NO install",IF(AND(K2470="",AE2470="me"),"EACH row",IF(AND(K2470="images",AE2470="me"),"EACH row",IF(D2470="","",IF(H2470="credit","",IF(AE2470="free","re-planting",IF(AE2470="me","   not ELP, by",IF(AND(OR(PlanterYesMe="Yes",PlanterYesMe="Y"),G2470&gt;0),(VLOOKUP(A2470,'Discount Lookup'!J:K,2)*G2470*(1-PlanterDiscount)*(1+PlanterDifficultyPercentage)),IF(AE2470="ELP",(VLOOKUP(A2470,'Discount Lookup'!J:K,2)*G2470*(1-PlanterDiscount)*(1+PlanterDifficultyPercentage)),IF(AE2470="free","re-planting",IF(G2470=0,"",IF(PlanterYesMe="",IF(AE2470="me","   not ELP, by",IF(AE2470="",IF(G2470&gt;0,(VLOOKUP(A2470,'Discount Lookup'!J:K,2)*G2470*(1-PlanterDiscount)*(1+PlanterDifficultyPercentage)),""),"")),"   not ELP, by"))))))))))))))</f>
        <v/>
      </c>
      <c r="AD2470" s="712"/>
      <c r="AE2470" s="513" t="str">
        <f t="shared" si="1839"/>
        <v/>
      </c>
      <c r="AF2470" s="713" t="str">
        <f t="shared" si="1840"/>
        <v/>
      </c>
      <c r="AG2470" s="713"/>
      <c r="AH2470" s="713"/>
      <c r="AI2470" s="112">
        <f>IF(H2470="credit",0,IF(AE2470="free",0,IF(AE2470="me",0,IF(G2470&gt;0,(VLOOKUP(A2470,'Discount Lookup'!J:K,2)*G2470),0))))</f>
        <v>0</v>
      </c>
      <c r="AJ2470" s="107" t="str">
        <f t="shared" ca="1" si="1841"/>
        <v/>
      </c>
      <c r="AK2470" s="714" t="str">
        <f t="shared" si="1842"/>
        <v/>
      </c>
      <c r="AL2470" s="714"/>
      <c r="AM2470" s="114" t="str">
        <f t="shared" si="1843"/>
        <v/>
      </c>
      <c r="AN2470" s="115"/>
      <c r="AO2470" s="116"/>
      <c r="AP2470" s="116"/>
      <c r="AQ2470" s="116"/>
      <c r="AR2470" s="116"/>
      <c r="AS2470" s="116"/>
      <c r="AT2470" s="116"/>
      <c r="AU2470" s="116"/>
      <c r="AV2470" s="78"/>
      <c r="AW2470" s="102"/>
      <c r="AX2470" s="78"/>
      <c r="AY2470" s="78"/>
      <c r="AZ2470" s="78"/>
      <c r="BA2470" s="78"/>
      <c r="BB2470" s="78"/>
      <c r="BC2470" s="78"/>
      <c r="BD2470" s="78"/>
      <c r="BE2470" s="465"/>
      <c r="BF2470" s="165" t="str">
        <f t="shared" si="1844"/>
        <v>https://www.google.com/search?tbm=isch&amp;q=15%20G4</v>
      </c>
      <c r="BG2470" s="165" t="str">
        <f t="shared" si="1845"/>
        <v>J</v>
      </c>
      <c r="BH2470" s="65"/>
      <c r="BI2470" s="65"/>
      <c r="BJ2470" s="65"/>
      <c r="BK2470" s="65"/>
      <c r="BL2470" s="99"/>
      <c r="BM2470" s="99"/>
      <c r="BN2470" s="99"/>
    </row>
    <row r="2471" spans="1:66" s="51" customFormat="1" ht="40.5" x14ac:dyDescent="0.25">
      <c r="A2471" s="478">
        <v>15</v>
      </c>
      <c r="B2471" s="479" t="s">
        <v>291</v>
      </c>
      <c r="C2471" s="480" t="s">
        <v>3141</v>
      </c>
      <c r="D2471" s="481" t="s">
        <v>299</v>
      </c>
      <c r="E2471" s="482">
        <v>454.95</v>
      </c>
      <c r="F2471" s="483" t="s">
        <v>292</v>
      </c>
      <c r="G2471" s="484">
        <v>0</v>
      </c>
      <c r="H2471" s="688" t="str">
        <f>IF(G2471=0,"",IF(F2471="Buy",IF(G2471=1,"plant","plants"),IF(F2471&gt;0.01,"warranty","Error")))</f>
        <v/>
      </c>
      <c r="I2471" s="485">
        <f>IF(H2471="free",0,IF(H2471="credit",((E2471*(F2471))*G2471*-1),IF(F2471="Buy",(E2471*G2471),((E2471*(1-F2471))*G2471))))</f>
        <v>0</v>
      </c>
      <c r="J2471" s="485">
        <f>IF(H2471="warranty",0,(I2471*(_xlfn.SINGLE(SalesTaxPercentage))))</f>
        <v>0</v>
      </c>
      <c r="K2471" s="715">
        <f t="shared" ref="K2471" si="1856">I2471+J2471</f>
        <v>0</v>
      </c>
      <c r="L2471" s="715"/>
      <c r="M2471" s="689" t="str">
        <f ca="1">IF(AND(G2471&gt;0,E2471=0),"WARNING - no PRICE inserted",IF(H2471="free","FREE ~ no charge this plant",IF(H2471="credit",CONCATENATE("-$",ROUND(K2471*(1-_xlfn.SINGLE(T2GDiscount))*-1,2)," CREDIT after discount"),IF(_xlfn.SINGLE(T2GDiscount)=0,"",IF(G2471=0,"",IF(F2471="Buy",CONCATENATE("$",ROUND(K2471*(1-_xlfn.SINGLE(T2GDiscount)),2)," with ",(_xlfn.SINGLE(T2GDiscount)*100),"% discount"),CONCATENATE("$",ROUND(K2471*(1-_xlfn.SINGLE(T2GDiscount)),2)," with ",((_xlfn.SINGLE(T2GDiscount)*100+F2471*100)-(_xlfn.SINGLE(T2GDiscount)*100*F2471)),IF(F2471&gt;0,"% discounts",IF(_xlfn.SINGLE(NoWarrantyDiscount)&gt;0,"% discounts","% discount")))))))))</f>
        <v/>
      </c>
      <c r="N2471" s="690"/>
      <c r="O2471" s="486"/>
      <c r="P2471" s="486"/>
      <c r="Q2471" s="486"/>
      <c r="R2471" s="486"/>
      <c r="S2471" s="486"/>
      <c r="T2471" s="102">
        <f t="shared" si="1833"/>
        <v>0</v>
      </c>
      <c r="U2471" s="78">
        <f>IF(NOT(ISNUMBER(G2471)), "", VLOOKUP(A2471,'Discount Lookup'!D:E,2,FALSE)*G2471)</f>
        <v>0</v>
      </c>
      <c r="V2471" s="78">
        <f>IF(NOT(ISNUMBER(G2471)), "", VLOOKUP(A2471,'Discount Lookup'!G:H,2,FALSE)*G2471)</f>
        <v>0</v>
      </c>
      <c r="W2471" s="102">
        <f t="shared" si="1834"/>
        <v>0</v>
      </c>
      <c r="X2471" s="102">
        <f t="shared" si="1835"/>
        <v>0</v>
      </c>
      <c r="Y2471" s="120" t="b">
        <f t="shared" si="1836"/>
        <v>0</v>
      </c>
      <c r="Z2471" s="117">
        <f t="shared" si="1837"/>
        <v>0</v>
      </c>
      <c r="AA2471" s="118"/>
      <c r="AB2471" s="118" t="str">
        <f t="shared" si="1838"/>
        <v/>
      </c>
      <c r="AC2471" s="712" t="str">
        <f>IF(AE2471="T2G","no charge",IF(AND(OR(PlanterYesMe="No",PlanterYesMe="N",PlanterYesMe="me"),H2471=""),"",IF(H2471="credit","NO install",IF(AND(K2471="",AE2471="me"),"EACH row",IF(AND(K2471="images",AE2471="me"),"EACH row",IF(D2471="","",IF(H2471="credit","",IF(AE2471="free","re-planting",IF(AE2471="me","   not ELP, by",IF(AND(OR(PlanterYesMe="Yes",PlanterYesMe="Y"),G2471&gt;0),(VLOOKUP(A2471,'Discount Lookup'!J:K,2)*G2471*(1-PlanterDiscount)*(1+PlanterDifficultyPercentage)),IF(AE2471="ELP",(VLOOKUP(A2471,'Discount Lookup'!J:K,2)*G2471*(1-PlanterDiscount)*(1+PlanterDifficultyPercentage)),IF(AE2471="free","re-planting",IF(G2471=0,"",IF(PlanterYesMe="",IF(AE2471="me","   not ELP, by",IF(AE2471="",IF(G2471&gt;0,(VLOOKUP(A2471,'Discount Lookup'!J:K,2)*G2471*(1-PlanterDiscount)*(1+PlanterDifficultyPercentage)),""),"")),"   not ELP, by"))))))))))))))</f>
        <v/>
      </c>
      <c r="AD2471" s="712"/>
      <c r="AE2471" s="513" t="str">
        <f t="shared" si="1839"/>
        <v/>
      </c>
      <c r="AF2471" s="713" t="str">
        <f t="shared" si="1840"/>
        <v/>
      </c>
      <c r="AG2471" s="713"/>
      <c r="AH2471" s="713"/>
      <c r="AI2471" s="112">
        <f>IF(H2471="credit",0,IF(AE2471="free",0,IF(AE2471="me",0,IF(G2471&gt;0,(VLOOKUP(A2471,'Discount Lookup'!J:K,2)*G2471),0))))</f>
        <v>0</v>
      </c>
      <c r="AJ2471" s="107" t="str">
        <f t="shared" ca="1" si="1841"/>
        <v/>
      </c>
      <c r="AK2471" s="714" t="str">
        <f t="shared" si="1842"/>
        <v/>
      </c>
      <c r="AL2471" s="714"/>
      <c r="AM2471" s="114" t="str">
        <f t="shared" si="1843"/>
        <v/>
      </c>
      <c r="AN2471" s="115"/>
      <c r="AO2471" s="116"/>
      <c r="AP2471" s="116"/>
      <c r="AQ2471" s="116"/>
      <c r="AR2471" s="116"/>
      <c r="AS2471" s="116"/>
      <c r="AT2471" s="116"/>
      <c r="AU2471" s="116"/>
      <c r="AV2471" s="78"/>
      <c r="AW2471" s="102"/>
      <c r="AX2471" s="78"/>
      <c r="AY2471" s="78"/>
      <c r="AZ2471" s="78"/>
      <c r="BA2471" s="78"/>
      <c r="BB2471" s="78"/>
      <c r="BC2471" s="78"/>
      <c r="BD2471" s="78"/>
      <c r="BE2471" s="465"/>
      <c r="BF2471" s="165" t="str">
        <f t="shared" si="1844"/>
        <v>https://www.google.com/search?tbm=isch&amp;q=15%20G4</v>
      </c>
      <c r="BG2471" s="165" t="str">
        <f t="shared" si="1845"/>
        <v>J</v>
      </c>
      <c r="BH2471" s="65"/>
      <c r="BI2471" s="65"/>
      <c r="BJ2471" s="65"/>
      <c r="BK2471" s="65"/>
      <c r="BL2471" s="99"/>
      <c r="BM2471" s="99"/>
      <c r="BN2471" s="99"/>
    </row>
    <row r="2472" spans="1:66" s="51" customFormat="1" ht="17.25" thickBot="1" x14ac:dyDescent="0.3">
      <c r="A2472" s="508" t="s">
        <v>3142</v>
      </c>
      <c r="B2472" s="487"/>
      <c r="C2472" s="707"/>
      <c r="D2472" s="487"/>
      <c r="E2472" s="487"/>
      <c r="F2472" s="488"/>
      <c r="G2472" s="489"/>
      <c r="H2472" s="487"/>
      <c r="I2472" s="490"/>
      <c r="J2472" s="490"/>
      <c r="K2472" s="491"/>
      <c r="L2472" s="547"/>
      <c r="M2472" s="528"/>
      <c r="N2472" s="492"/>
      <c r="O2472" s="493"/>
      <c r="P2472" s="494"/>
      <c r="Q2472" s="492"/>
      <c r="R2472" s="492"/>
      <c r="S2472" s="699" t="s">
        <v>5280</v>
      </c>
      <c r="T2472" s="102">
        <f t="shared" si="1833"/>
        <v>0</v>
      </c>
      <c r="U2472" s="78" t="str">
        <f>IF(NOT(ISNUMBER(G2472)), "", VLOOKUP(A2472,'Discount Lookup'!D:E,2,FALSE)*G2472)</f>
        <v/>
      </c>
      <c r="V2472" s="78" t="str">
        <f>IF(NOT(ISNUMBER(G2472)), "", VLOOKUP(A2472,'Discount Lookup'!G:H,2,FALSE)*G2472)</f>
        <v/>
      </c>
      <c r="W2472" s="102">
        <f t="shared" si="1834"/>
        <v>0</v>
      </c>
      <c r="X2472" s="102">
        <f t="shared" si="1835"/>
        <v>0</v>
      </c>
      <c r="Y2472" s="120" t="b">
        <f t="shared" si="1836"/>
        <v>0</v>
      </c>
      <c r="Z2472" s="117">
        <f t="shared" si="1837"/>
        <v>0</v>
      </c>
      <c r="AA2472" s="118"/>
      <c r="AB2472" s="118" t="str">
        <f t="shared" si="1838"/>
        <v/>
      </c>
      <c r="AC2472" s="712" t="str">
        <f>IF(AE2472="T2G","no charge",IF(AND(OR(PlanterYesMe="No",PlanterYesMe="N",PlanterYesMe="me"),H2472=""),"",IF(H2472="credit","NO install",IF(AND(K2472="",AE2472="me"),"EACH row",IF(AND(K2472="images",AE2472="me"),"EACH row",IF(D2472="","",IF(H2472="credit","",IF(AE2472="free","re-planting",IF(AE2472="me","   not ELP, by",IF(AND(OR(PlanterYesMe="Yes",PlanterYesMe="Y"),G2472&gt;0),(VLOOKUP(A2472,'Discount Lookup'!J:K,2)*G2472*(1-PlanterDiscount)*(1+PlanterDifficultyPercentage)),IF(AE2472="ELP",(VLOOKUP(A2472,'Discount Lookup'!J:K,2)*G2472*(1-PlanterDiscount)*(1+PlanterDifficultyPercentage)),IF(AE2472="free","re-planting",IF(G2472=0,"",IF(PlanterYesMe="",IF(AE2472="me","   not ELP, by",IF(AE2472="",IF(G2472&gt;0,(VLOOKUP(A2472,'Discount Lookup'!J:K,2)*G2472*(1-PlanterDiscount)*(1+PlanterDifficultyPercentage)),""),"")),"   not ELP, by"))))))))))))))</f>
        <v/>
      </c>
      <c r="AD2472" s="712"/>
      <c r="AE2472" s="513" t="str">
        <f t="shared" si="1839"/>
        <v/>
      </c>
      <c r="AF2472" s="713" t="str">
        <f t="shared" si="1840"/>
        <v/>
      </c>
      <c r="AG2472" s="713"/>
      <c r="AH2472" s="713"/>
      <c r="AI2472" s="112">
        <f>IF(H2472="credit",0,IF(AE2472="free",0,IF(AE2472="me",0,IF(G2472&gt;0,(VLOOKUP(A2472,'Discount Lookup'!J:K,2)*G2472),0))))</f>
        <v>0</v>
      </c>
      <c r="AJ2472" s="107" t="str">
        <f t="shared" ca="1" si="1841"/>
        <v/>
      </c>
      <c r="AK2472" s="714" t="str">
        <f t="shared" si="1842"/>
        <v/>
      </c>
      <c r="AL2472" s="714"/>
      <c r="AM2472" s="114" t="str">
        <f t="shared" si="1843"/>
        <v/>
      </c>
      <c r="AN2472" s="115"/>
      <c r="AO2472" s="116"/>
      <c r="AP2472" s="116"/>
      <c r="AQ2472" s="116"/>
      <c r="AR2472" s="116"/>
      <c r="AS2472" s="116"/>
      <c r="AT2472" s="116"/>
      <c r="AU2472" s="116"/>
      <c r="AV2472" s="78"/>
      <c r="AW2472" s="102"/>
      <c r="AX2472" s="78"/>
      <c r="AY2472" s="78"/>
      <c r="AZ2472" s="78"/>
      <c r="BA2472" s="78"/>
      <c r="BB2472" s="78"/>
      <c r="BC2472" s="78"/>
      <c r="BD2472" s="78"/>
      <c r="BE2472" s="465"/>
      <c r="BF2472" s="165" t="str">
        <f t="shared" si="1844"/>
        <v>https://www.google.com/search?tbm=isch&amp;q=Dwarf%20Japanese%20Garden%20foliage%20emerges%20Green%2C%20then%20matures%20to%20Blue-Green.%20Purple%20winter%20tinge.%20Sun%2Fheat%2Fdrought%20tolerant%20</v>
      </c>
      <c r="BG2472" s="165" t="str">
        <f t="shared" si="1845"/>
        <v>D</v>
      </c>
      <c r="BH2472" s="65"/>
      <c r="BI2472" s="65"/>
      <c r="BJ2472" s="65"/>
      <c r="BK2472" s="65"/>
      <c r="BL2472" s="99"/>
      <c r="BM2472" s="99"/>
      <c r="BN2472" s="99"/>
    </row>
    <row r="2473" spans="1:66" s="51" customFormat="1" ht="18" x14ac:dyDescent="0.25">
      <c r="A2473" s="507" t="s">
        <v>3143</v>
      </c>
      <c r="B2473" s="470"/>
      <c r="C2473" s="706"/>
      <c r="D2473" s="471" t="s">
        <v>3144</v>
      </c>
      <c r="E2473" s="472"/>
      <c r="F2473" s="472"/>
      <c r="G2473" s="472"/>
      <c r="H2473" s="622" t="s">
        <v>1088</v>
      </c>
      <c r="I2473" s="473" t="s">
        <v>446</v>
      </c>
      <c r="J2473" s="472"/>
      <c r="K2473" s="472"/>
      <c r="L2473" s="561"/>
      <c r="M2473" s="698" t="s">
        <v>5240</v>
      </c>
      <c r="N2473" s="692" t="str">
        <f>IF(AND(ISTEXT($A2473), ISERROR($A2473+0)), HYPERLINK($BF2473, "Images"), "")</f>
        <v>Images</v>
      </c>
      <c r="O2473" s="694" t="s">
        <v>5244</v>
      </c>
      <c r="P2473" s="475"/>
      <c r="Q2473" s="476"/>
      <c r="R2473" s="476"/>
      <c r="S2473" s="477"/>
      <c r="T2473" s="102">
        <f t="shared" si="1833"/>
        <v>0</v>
      </c>
      <c r="U2473" s="78" t="str">
        <f>IF(NOT(ISNUMBER(G2473)), "", VLOOKUP(A2473,'Discount Lookup'!D:E,2,FALSE)*G2473)</f>
        <v/>
      </c>
      <c r="V2473" s="78" t="str">
        <f>IF(NOT(ISNUMBER(G2473)), "", VLOOKUP(A2473,'Discount Lookup'!G:H,2,FALSE)*G2473)</f>
        <v/>
      </c>
      <c r="W2473" s="102">
        <f t="shared" si="1834"/>
        <v>0</v>
      </c>
      <c r="X2473" s="102" t="str">
        <f t="shared" si="1835"/>
        <v>Silvery-Blue foliage</v>
      </c>
      <c r="Y2473" s="120" t="b">
        <f t="shared" si="1836"/>
        <v>0</v>
      </c>
      <c r="Z2473" s="117">
        <f t="shared" si="1837"/>
        <v>0</v>
      </c>
      <c r="AA2473" s="118"/>
      <c r="AB2473" s="118" t="str">
        <f t="shared" si="1838"/>
        <v/>
      </c>
      <c r="AC2473" s="712" t="str">
        <f>IF(AE2473="T2G","no charge",IF(AND(OR(PlanterYesMe="No",PlanterYesMe="N",PlanterYesMe="me"),H2473=""),"",IF(H2473="credit","NO install",IF(AND(K2473="",AE2473="me"),"EACH row",IF(AND(K2473="images",AE2473="me"),"EACH row",IF(D2473="","",IF(H2473="credit","",IF(AE2473="free","re-planting",IF(AE2473="me","   not ELP, by",IF(AND(OR(PlanterYesMe="Yes",PlanterYesMe="Y"),G2473&gt;0),(VLOOKUP(A2473,'Discount Lookup'!J:K,2)*G2473*(1-PlanterDiscount)*(1+PlanterDifficultyPercentage)),IF(AE2473="ELP",(VLOOKUP(A2473,'Discount Lookup'!J:K,2)*G2473*(1-PlanterDiscount)*(1+PlanterDifficultyPercentage)),IF(AE2473="free","re-planting",IF(G2473=0,"",IF(PlanterYesMe="",IF(AE2473="me","   not ELP, by",IF(AE2473="",IF(G2473&gt;0,(VLOOKUP(A2473,'Discount Lookup'!J:K,2)*G2473*(1-PlanterDiscount)*(1+PlanterDifficultyPercentage)),""),"")),"   not ELP, by"))))))))))))))</f>
        <v/>
      </c>
      <c r="AD2473" s="712"/>
      <c r="AE2473" s="513" t="str">
        <f t="shared" si="1839"/>
        <v/>
      </c>
      <c r="AF2473" s="713" t="str">
        <f t="shared" si="1840"/>
        <v/>
      </c>
      <c r="AG2473" s="713"/>
      <c r="AH2473" s="713"/>
      <c r="AI2473" s="112">
        <f>IF(H2473="credit",0,IF(AE2473="free",0,IF(AE2473="me",0,IF(G2473&gt;0,(VLOOKUP(A2473,'Discount Lookup'!J:K,2)*G2473),0))))</f>
        <v>0</v>
      </c>
      <c r="AJ2473" s="107" t="str">
        <f t="shared" ca="1" si="1841"/>
        <v/>
      </c>
      <c r="AK2473" s="714" t="str">
        <f t="shared" si="1842"/>
        <v/>
      </c>
      <c r="AL2473" s="714"/>
      <c r="AM2473" s="114" t="str">
        <f t="shared" si="1843"/>
        <v/>
      </c>
      <c r="AN2473" s="115"/>
      <c r="AO2473" s="116"/>
      <c r="AP2473" s="116"/>
      <c r="AQ2473" s="116"/>
      <c r="AR2473" s="116"/>
      <c r="AS2473" s="116"/>
      <c r="AT2473" s="116"/>
      <c r="AU2473" s="116"/>
      <c r="AV2473" s="78"/>
      <c r="AW2473" s="102"/>
      <c r="AX2473" s="78"/>
      <c r="AY2473" s="78"/>
      <c r="AZ2473" s="78"/>
      <c r="BA2473" s="78"/>
      <c r="BB2473" s="78"/>
      <c r="BC2473" s="78"/>
      <c r="BD2473" s="78"/>
      <c r="BE2473" s="465"/>
      <c r="BF2473" s="165" t="str">
        <f t="shared" si="1844"/>
        <v>https://www.google.com/search?tbm=isch&amp;q=Juniperus%20squamata%20%27Blue%20Star%27%20Blue%20Star%20Juniper</v>
      </c>
      <c r="BG2473" s="165" t="str">
        <f t="shared" si="1845"/>
        <v>J</v>
      </c>
      <c r="BH2473" s="65"/>
      <c r="BI2473" s="65"/>
      <c r="BJ2473" s="65"/>
      <c r="BK2473" s="65"/>
      <c r="BL2473" s="99"/>
      <c r="BM2473" s="99"/>
      <c r="BN2473" s="99"/>
    </row>
    <row r="2474" spans="1:66" s="51" customFormat="1" ht="40.5" x14ac:dyDescent="0.25">
      <c r="A2474" s="478">
        <v>7</v>
      </c>
      <c r="B2474" s="479" t="s">
        <v>291</v>
      </c>
      <c r="C2474" s="480" t="s">
        <v>3145</v>
      </c>
      <c r="D2474" s="481" t="s">
        <v>299</v>
      </c>
      <c r="E2474" s="482">
        <v>215.95</v>
      </c>
      <c r="F2474" s="483" t="s">
        <v>292</v>
      </c>
      <c r="G2474" s="484">
        <v>0</v>
      </c>
      <c r="H2474" s="688" t="str">
        <f>IF(G2474=0,"",IF(F2474="Buy",IF(G2474=1,"plant","plants"),IF(F2474&gt;0.01,"warranty","Error")))</f>
        <v/>
      </c>
      <c r="I2474" s="485">
        <f>IF(H2474="free",0,IF(H2474="credit",((E2474*(F2474))*G2474*-1),IF(F2474="Buy",(E2474*G2474),((E2474*(1-F2474))*G2474))))</f>
        <v>0</v>
      </c>
      <c r="J2474" s="485">
        <f>IF(H2474="warranty",0,(I2474*(_xlfn.SINGLE(SalesTaxPercentage))))</f>
        <v>0</v>
      </c>
      <c r="K2474" s="715">
        <f t="shared" ref="K2474" si="1857">I2474+J2474</f>
        <v>0</v>
      </c>
      <c r="L2474" s="715"/>
      <c r="M2474" s="689" t="str">
        <f ca="1">IF(AND(G2474&gt;0,E2474=0),"WARNING - no PRICE inserted",IF(H2474="free","FREE ~ no charge this plant",IF(H2474="credit",CONCATENATE("-$",ROUND(K2474*(1-_xlfn.SINGLE(T2GDiscount))*-1,2)," CREDIT after discount"),IF(_xlfn.SINGLE(T2GDiscount)=0,"",IF(G2474=0,"",IF(F2474="Buy",CONCATENATE("$",ROUND(K2474*(1-_xlfn.SINGLE(T2GDiscount)),2)," with ",(_xlfn.SINGLE(T2GDiscount)*100),"% discount"),CONCATENATE("$",ROUND(K2474*(1-_xlfn.SINGLE(T2GDiscount)),2)," with ",((_xlfn.SINGLE(T2GDiscount)*100+F2474*100)-(_xlfn.SINGLE(T2GDiscount)*100*F2474)),IF(F2474&gt;0,"% discounts",IF(_xlfn.SINGLE(NoWarrantyDiscount)&gt;0,"% discounts","% discount")))))))))</f>
        <v/>
      </c>
      <c r="N2474" s="690"/>
      <c r="O2474" s="486"/>
      <c r="P2474" s="486"/>
      <c r="Q2474" s="486"/>
      <c r="R2474" s="486"/>
      <c r="S2474" s="486"/>
      <c r="T2474" s="102">
        <f t="shared" si="1833"/>
        <v>0</v>
      </c>
      <c r="U2474" s="78">
        <f>IF(NOT(ISNUMBER(G2474)), "", VLOOKUP(A2474,'Discount Lookup'!D:E,2,FALSE)*G2474)</f>
        <v>0</v>
      </c>
      <c r="V2474" s="78">
        <f>IF(NOT(ISNUMBER(G2474)), "", VLOOKUP(A2474,'Discount Lookup'!G:H,2,FALSE)*G2474)</f>
        <v>0</v>
      </c>
      <c r="W2474" s="102">
        <f t="shared" si="1834"/>
        <v>0</v>
      </c>
      <c r="X2474" s="102">
        <f t="shared" si="1835"/>
        <v>0</v>
      </c>
      <c r="Y2474" s="120" t="b">
        <f t="shared" si="1836"/>
        <v>0</v>
      </c>
      <c r="Z2474" s="117">
        <f t="shared" si="1837"/>
        <v>0</v>
      </c>
      <c r="AA2474" s="118"/>
      <c r="AB2474" s="118" t="str">
        <f t="shared" si="1838"/>
        <v/>
      </c>
      <c r="AC2474" s="712" t="str">
        <f>IF(AE2474="T2G","no charge",IF(AND(OR(PlanterYesMe="No",PlanterYesMe="N",PlanterYesMe="me"),H2474=""),"",IF(H2474="credit","NO install",IF(AND(K2474="",AE2474="me"),"EACH row",IF(AND(K2474="images",AE2474="me"),"EACH row",IF(D2474="","",IF(H2474="credit","",IF(AE2474="free","re-planting",IF(AE2474="me","   not ELP, by",IF(AND(OR(PlanterYesMe="Yes",PlanterYesMe="Y"),G2474&gt;0),(VLOOKUP(A2474,'Discount Lookup'!J:K,2)*G2474*(1-PlanterDiscount)*(1+PlanterDifficultyPercentage)),IF(AE2474="ELP",(VLOOKUP(A2474,'Discount Lookup'!J:K,2)*G2474*(1-PlanterDiscount)*(1+PlanterDifficultyPercentage)),IF(AE2474="free","re-planting",IF(G2474=0,"",IF(PlanterYesMe="",IF(AE2474="me","   not ELP, by",IF(AE2474="",IF(G2474&gt;0,(VLOOKUP(A2474,'Discount Lookup'!J:K,2)*G2474*(1-PlanterDiscount)*(1+PlanterDifficultyPercentage)),""),"")),"   not ELP, by"))))))))))))))</f>
        <v/>
      </c>
      <c r="AD2474" s="712"/>
      <c r="AE2474" s="513" t="str">
        <f t="shared" si="1839"/>
        <v/>
      </c>
      <c r="AF2474" s="713" t="str">
        <f t="shared" si="1840"/>
        <v/>
      </c>
      <c r="AG2474" s="713"/>
      <c r="AH2474" s="713"/>
      <c r="AI2474" s="112">
        <f>IF(H2474="credit",0,IF(AE2474="free",0,IF(AE2474="me",0,IF(G2474&gt;0,(VLOOKUP(A2474,'Discount Lookup'!J:K,2)*G2474),0))))</f>
        <v>0</v>
      </c>
      <c r="AJ2474" s="107" t="str">
        <f t="shared" ca="1" si="1841"/>
        <v/>
      </c>
      <c r="AK2474" s="714" t="str">
        <f t="shared" si="1842"/>
        <v/>
      </c>
      <c r="AL2474" s="714"/>
      <c r="AM2474" s="114" t="str">
        <f t="shared" si="1843"/>
        <v/>
      </c>
      <c r="AN2474" s="115"/>
      <c r="AO2474" s="116"/>
      <c r="AP2474" s="116"/>
      <c r="AQ2474" s="116"/>
      <c r="AR2474" s="116"/>
      <c r="AS2474" s="116"/>
      <c r="AT2474" s="116"/>
      <c r="AU2474" s="116"/>
      <c r="AV2474" s="78"/>
      <c r="AW2474" s="102"/>
      <c r="AX2474" s="78"/>
      <c r="AY2474" s="78"/>
      <c r="AZ2474" s="78"/>
      <c r="BA2474" s="78"/>
      <c r="BB2474" s="78"/>
      <c r="BC2474" s="78"/>
      <c r="BD2474" s="78"/>
      <c r="BE2474" s="465"/>
      <c r="BF2474" s="165" t="str">
        <f t="shared" si="1844"/>
        <v>https://www.google.com/search?tbm=isch&amp;q=7%20G4</v>
      </c>
      <c r="BG2474" s="165" t="str">
        <f t="shared" si="1845"/>
        <v>J</v>
      </c>
      <c r="BH2474" s="65"/>
      <c r="BI2474" s="65"/>
      <c r="BJ2474" s="65"/>
      <c r="BK2474" s="65"/>
      <c r="BL2474" s="99"/>
      <c r="BM2474" s="99"/>
      <c r="BN2474" s="99"/>
    </row>
    <row r="2475" spans="1:66" s="51" customFormat="1" ht="54" x14ac:dyDescent="0.25">
      <c r="A2475" s="478">
        <v>10</v>
      </c>
      <c r="B2475" s="479" t="s">
        <v>291</v>
      </c>
      <c r="C2475" s="480" t="s">
        <v>3146</v>
      </c>
      <c r="D2475" s="481" t="s">
        <v>299</v>
      </c>
      <c r="E2475" s="482">
        <v>284.95</v>
      </c>
      <c r="F2475" s="483" t="s">
        <v>292</v>
      </c>
      <c r="G2475" s="484">
        <v>0</v>
      </c>
      <c r="H2475" s="688" t="str">
        <f>IF(G2475=0,"",IF(F2475="Buy",IF(G2475=1,"plant","plants"),IF(F2475&gt;0.01,"warranty","Error")))</f>
        <v/>
      </c>
      <c r="I2475" s="485">
        <f>IF(H2475="free",0,IF(H2475="credit",((E2475*(F2475))*G2475*-1),IF(F2475="Buy",(E2475*G2475),((E2475*(1-F2475))*G2475))))</f>
        <v>0</v>
      </c>
      <c r="J2475" s="485">
        <f>IF(H2475="warranty",0,(I2475*(_xlfn.SINGLE(SalesTaxPercentage))))</f>
        <v>0</v>
      </c>
      <c r="K2475" s="715">
        <f t="shared" ref="K2475" si="1858">I2475+J2475</f>
        <v>0</v>
      </c>
      <c r="L2475" s="715"/>
      <c r="M2475" s="689" t="str">
        <f ca="1">IF(AND(G2475&gt;0,E2475=0),"WARNING - no PRICE inserted",IF(H2475="free","FREE ~ no charge this plant",IF(H2475="credit",CONCATENATE("-$",ROUND(K2475*(1-_xlfn.SINGLE(T2GDiscount))*-1,2)," CREDIT after discount"),IF(_xlfn.SINGLE(T2GDiscount)=0,"",IF(G2475=0,"",IF(F2475="Buy",CONCATENATE("$",ROUND(K2475*(1-_xlfn.SINGLE(T2GDiscount)),2)," with ",(_xlfn.SINGLE(T2GDiscount)*100),"% discount"),CONCATENATE("$",ROUND(K2475*(1-_xlfn.SINGLE(T2GDiscount)),2)," with ",((_xlfn.SINGLE(T2GDiscount)*100+F2475*100)-(_xlfn.SINGLE(T2GDiscount)*100*F2475)),IF(F2475&gt;0,"% discounts",IF(_xlfn.SINGLE(NoWarrantyDiscount)&gt;0,"% discounts","% discount")))))))))</f>
        <v/>
      </c>
      <c r="N2475" s="690"/>
      <c r="O2475" s="486"/>
      <c r="P2475" s="486"/>
      <c r="Q2475" s="486"/>
      <c r="R2475" s="486"/>
      <c r="S2475" s="486"/>
      <c r="T2475" s="102">
        <f t="shared" si="1833"/>
        <v>0</v>
      </c>
      <c r="U2475" s="78">
        <f>IF(NOT(ISNUMBER(G2475)), "", VLOOKUP(A2475,'Discount Lookup'!D:E,2,FALSE)*G2475)</f>
        <v>0</v>
      </c>
      <c r="V2475" s="78">
        <f>IF(NOT(ISNUMBER(G2475)), "", VLOOKUP(A2475,'Discount Lookup'!G:H,2,FALSE)*G2475)</f>
        <v>0</v>
      </c>
      <c r="W2475" s="102">
        <f t="shared" si="1834"/>
        <v>0</v>
      </c>
      <c r="X2475" s="102">
        <f t="shared" si="1835"/>
        <v>0</v>
      </c>
      <c r="Y2475" s="120" t="b">
        <f t="shared" si="1836"/>
        <v>0</v>
      </c>
      <c r="Z2475" s="117">
        <f t="shared" si="1837"/>
        <v>0</v>
      </c>
      <c r="AA2475" s="118"/>
      <c r="AB2475" s="118" t="str">
        <f t="shared" si="1838"/>
        <v/>
      </c>
      <c r="AC2475" s="712" t="str">
        <f>IF(AE2475="T2G","no charge",IF(AND(OR(PlanterYesMe="No",PlanterYesMe="N",PlanterYesMe="me"),H2475=""),"",IF(H2475="credit","NO install",IF(AND(K2475="",AE2475="me"),"EACH row",IF(AND(K2475="images",AE2475="me"),"EACH row",IF(D2475="","",IF(H2475="credit","",IF(AE2475="free","re-planting",IF(AE2475="me","   not ELP, by",IF(AND(OR(PlanterYesMe="Yes",PlanterYesMe="Y"),G2475&gt;0),(VLOOKUP(A2475,'Discount Lookup'!J:K,2)*G2475*(1-PlanterDiscount)*(1+PlanterDifficultyPercentage)),IF(AE2475="ELP",(VLOOKUP(A2475,'Discount Lookup'!J:K,2)*G2475*(1-PlanterDiscount)*(1+PlanterDifficultyPercentage)),IF(AE2475="free","re-planting",IF(G2475=0,"",IF(PlanterYesMe="",IF(AE2475="me","   not ELP, by",IF(AE2475="",IF(G2475&gt;0,(VLOOKUP(A2475,'Discount Lookup'!J:K,2)*G2475*(1-PlanterDiscount)*(1+PlanterDifficultyPercentage)),""),"")),"   not ELP, by"))))))))))))))</f>
        <v/>
      </c>
      <c r="AD2475" s="712"/>
      <c r="AE2475" s="513" t="str">
        <f t="shared" si="1839"/>
        <v/>
      </c>
      <c r="AF2475" s="713" t="str">
        <f t="shared" si="1840"/>
        <v/>
      </c>
      <c r="AG2475" s="713"/>
      <c r="AH2475" s="713"/>
      <c r="AI2475" s="112">
        <f>IF(H2475="credit",0,IF(AE2475="free",0,IF(AE2475="me",0,IF(G2475&gt;0,(VLOOKUP(A2475,'Discount Lookup'!J:K,2)*G2475),0))))</f>
        <v>0</v>
      </c>
      <c r="AJ2475" s="107" t="str">
        <f t="shared" ca="1" si="1841"/>
        <v/>
      </c>
      <c r="AK2475" s="714" t="str">
        <f t="shared" si="1842"/>
        <v/>
      </c>
      <c r="AL2475" s="714"/>
      <c r="AM2475" s="114" t="str">
        <f t="shared" si="1843"/>
        <v/>
      </c>
      <c r="AN2475" s="115"/>
      <c r="AO2475" s="116"/>
      <c r="AP2475" s="116"/>
      <c r="AQ2475" s="116"/>
      <c r="AR2475" s="116"/>
      <c r="AS2475" s="116"/>
      <c r="AT2475" s="116"/>
      <c r="AU2475" s="116"/>
      <c r="AV2475" s="78"/>
      <c r="AW2475" s="102"/>
      <c r="AX2475" s="78"/>
      <c r="AY2475" s="78"/>
      <c r="AZ2475" s="78"/>
      <c r="BA2475" s="78"/>
      <c r="BB2475" s="78"/>
      <c r="BC2475" s="78"/>
      <c r="BD2475" s="78"/>
      <c r="BE2475" s="465"/>
      <c r="BF2475" s="165" t="str">
        <f t="shared" si="1844"/>
        <v>https://www.google.com/search?tbm=isch&amp;q=10%20G4</v>
      </c>
      <c r="BG2475" s="165" t="str">
        <f t="shared" si="1845"/>
        <v>J</v>
      </c>
      <c r="BH2475" s="65"/>
      <c r="BI2475" s="65"/>
      <c r="BJ2475" s="65"/>
      <c r="BK2475" s="65"/>
      <c r="BL2475" s="99"/>
      <c r="BM2475" s="99"/>
      <c r="BN2475" s="99"/>
    </row>
    <row r="2476" spans="1:66" s="51" customFormat="1" ht="17.25" thickBot="1" x14ac:dyDescent="0.3">
      <c r="A2476" s="508" t="s">
        <v>3147</v>
      </c>
      <c r="B2476" s="487"/>
      <c r="C2476" s="707"/>
      <c r="D2476" s="487"/>
      <c r="E2476" s="487"/>
      <c r="F2476" s="488"/>
      <c r="G2476" s="489"/>
      <c r="H2476" s="487"/>
      <c r="I2476" s="490"/>
      <c r="J2476" s="490"/>
      <c r="K2476" s="491"/>
      <c r="L2476" s="547"/>
      <c r="M2476" s="528"/>
      <c r="N2476" s="492"/>
      <c r="O2476" s="493"/>
      <c r="P2476" s="494"/>
      <c r="Q2476" s="492"/>
      <c r="R2476" s="492"/>
      <c r="S2476" s="699" t="s">
        <v>5280</v>
      </c>
      <c r="T2476" s="102">
        <f t="shared" si="1833"/>
        <v>0</v>
      </c>
      <c r="U2476" s="78" t="str">
        <f>IF(NOT(ISNUMBER(G2476)), "", VLOOKUP(A2476,'Discount Lookup'!D:E,2,FALSE)*G2476)</f>
        <v/>
      </c>
      <c r="V2476" s="78" t="str">
        <f>IF(NOT(ISNUMBER(G2476)), "", VLOOKUP(A2476,'Discount Lookup'!G:H,2,FALSE)*G2476)</f>
        <v/>
      </c>
      <c r="W2476" s="102">
        <f t="shared" si="1834"/>
        <v>0</v>
      </c>
      <c r="X2476" s="102">
        <f t="shared" si="1835"/>
        <v>0</v>
      </c>
      <c r="Y2476" s="120" t="b">
        <f t="shared" si="1836"/>
        <v>0</v>
      </c>
      <c r="Z2476" s="117">
        <f t="shared" si="1837"/>
        <v>0</v>
      </c>
      <c r="AA2476" s="118"/>
      <c r="AB2476" s="118" t="str">
        <f t="shared" si="1838"/>
        <v/>
      </c>
      <c r="AC2476" s="712" t="str">
        <f>IF(AE2476="T2G","no charge",IF(AND(OR(PlanterYesMe="No",PlanterYesMe="N",PlanterYesMe="me"),H2476=""),"",IF(H2476="credit","NO install",IF(AND(K2476="",AE2476="me"),"EACH row",IF(AND(K2476="images",AE2476="me"),"EACH row",IF(D2476="","",IF(H2476="credit","",IF(AE2476="free","re-planting",IF(AE2476="me","   not ELP, by",IF(AND(OR(PlanterYesMe="Yes",PlanterYesMe="Y"),G2476&gt;0),(VLOOKUP(A2476,'Discount Lookup'!J:K,2)*G2476*(1-PlanterDiscount)*(1+PlanterDifficultyPercentage)),IF(AE2476="ELP",(VLOOKUP(A2476,'Discount Lookup'!J:K,2)*G2476*(1-PlanterDiscount)*(1+PlanterDifficultyPercentage)),IF(AE2476="free","re-planting",IF(G2476=0,"",IF(PlanterYesMe="",IF(AE2476="me","   not ELP, by",IF(AE2476="",IF(G2476&gt;0,(VLOOKUP(A2476,'Discount Lookup'!J:K,2)*G2476*(1-PlanterDiscount)*(1+PlanterDifficultyPercentage)),""),"")),"   not ELP, by"))))))))))))))</f>
        <v/>
      </c>
      <c r="AD2476" s="712"/>
      <c r="AE2476" s="513" t="str">
        <f t="shared" si="1839"/>
        <v/>
      </c>
      <c r="AF2476" s="713" t="str">
        <f t="shared" si="1840"/>
        <v/>
      </c>
      <c r="AG2476" s="713"/>
      <c r="AH2476" s="713"/>
      <c r="AI2476" s="112">
        <f>IF(H2476="credit",0,IF(AE2476="free",0,IF(AE2476="me",0,IF(G2476&gt;0,(VLOOKUP(A2476,'Discount Lookup'!J:K,2)*G2476),0))))</f>
        <v>0</v>
      </c>
      <c r="AJ2476" s="107" t="str">
        <f t="shared" ca="1" si="1841"/>
        <v/>
      </c>
      <c r="AK2476" s="714" t="str">
        <f t="shared" si="1842"/>
        <v/>
      </c>
      <c r="AL2476" s="714"/>
      <c r="AM2476" s="114" t="str">
        <f t="shared" si="1843"/>
        <v/>
      </c>
      <c r="AN2476" s="115"/>
      <c r="AO2476" s="116"/>
      <c r="AP2476" s="116"/>
      <c r="AQ2476" s="116"/>
      <c r="AR2476" s="116"/>
      <c r="AS2476" s="116"/>
      <c r="AT2476" s="116"/>
      <c r="AU2476" s="116"/>
      <c r="AV2476" s="78"/>
      <c r="AW2476" s="102"/>
      <c r="AX2476" s="78"/>
      <c r="AY2476" s="78"/>
      <c r="AZ2476" s="78"/>
      <c r="BA2476" s="78"/>
      <c r="BB2476" s="78"/>
      <c r="BC2476" s="78"/>
      <c r="BD2476" s="78"/>
      <c r="BE2476" s="465"/>
      <c r="BF2476" s="165" t="str">
        <f t="shared" si="1844"/>
        <v>https://www.google.com/search?tbm=isch&amp;q=Blue%20Star%20Juniper%20features%20dense%2C%20star-shaped%20needles%20and%20striking%20foliage%20with%20scaly%20bark.%20Sun%2Fheat%2Fdrought%20tolerant%20</v>
      </c>
      <c r="BG2476" s="165" t="str">
        <f t="shared" si="1845"/>
        <v>B</v>
      </c>
      <c r="BH2476" s="65"/>
      <c r="BI2476" s="65"/>
      <c r="BJ2476" s="65"/>
      <c r="BK2476" s="65"/>
      <c r="BL2476" s="99"/>
      <c r="BM2476" s="99"/>
      <c r="BN2476" s="99"/>
    </row>
    <row r="2477" spans="1:66" s="51" customFormat="1" ht="18" x14ac:dyDescent="0.25">
      <c r="A2477" s="507" t="s">
        <v>575</v>
      </c>
      <c r="B2477" s="470"/>
      <c r="C2477" s="706"/>
      <c r="D2477" s="471" t="s">
        <v>576</v>
      </c>
      <c r="E2477" s="472"/>
      <c r="F2477" s="472"/>
      <c r="G2477" s="472"/>
      <c r="H2477" s="622" t="s">
        <v>577</v>
      </c>
      <c r="I2477" s="473" t="s">
        <v>431</v>
      </c>
      <c r="J2477" s="472"/>
      <c r="K2477" s="472"/>
      <c r="L2477" s="561"/>
      <c r="M2477" s="698" t="s">
        <v>5240</v>
      </c>
      <c r="N2477" s="692" t="str">
        <f>IF(AND(ISTEXT($A2477), ISERROR($A2477+0)), HYPERLINK($BF2477, "Images"), "")</f>
        <v>Images</v>
      </c>
      <c r="O2477" s="694" t="s">
        <v>5244</v>
      </c>
      <c r="P2477" s="475"/>
      <c r="Q2477" s="476"/>
      <c r="R2477" s="476"/>
      <c r="S2477" s="477" t="s">
        <v>294</v>
      </c>
      <c r="T2477" s="102">
        <f t="shared" si="1833"/>
        <v>0</v>
      </c>
      <c r="U2477" s="78" t="str">
        <f>IF(NOT(ISNUMBER(G2477)), "", VLOOKUP(A2477,'Discount Lookup'!D:E,2,FALSE)*G2477)</f>
        <v/>
      </c>
      <c r="V2477" s="78" t="str">
        <f>IF(NOT(ISNUMBER(G2477)), "", VLOOKUP(A2477,'Discount Lookup'!G:H,2,FALSE)*G2477)</f>
        <v/>
      </c>
      <c r="W2477" s="102">
        <f t="shared" si="1834"/>
        <v>0</v>
      </c>
      <c r="X2477" s="102" t="str">
        <f t="shared" si="1835"/>
        <v>Dark Green foliage</v>
      </c>
      <c r="Y2477" s="120" t="b">
        <f t="shared" si="1836"/>
        <v>0</v>
      </c>
      <c r="Z2477" s="117">
        <f t="shared" si="1837"/>
        <v>0</v>
      </c>
      <c r="AA2477" s="118"/>
      <c r="AB2477" s="118" t="str">
        <f t="shared" si="1838"/>
        <v/>
      </c>
      <c r="AC2477" s="712" t="str">
        <f>IF(AE2477="T2G","no charge",IF(AND(OR(PlanterYesMe="No",PlanterYesMe="N",PlanterYesMe="me"),H2477=""),"",IF(H2477="credit","NO install",IF(AND(K2477="",AE2477="me"),"EACH row",IF(AND(K2477="images",AE2477="me"),"EACH row",IF(D2477="","",IF(H2477="credit","",IF(AE2477="free","re-planting",IF(AE2477="me","   not ELP, by",IF(AND(OR(PlanterYesMe="Yes",PlanterYesMe="Y"),G2477&gt;0),(VLOOKUP(A2477,'Discount Lookup'!J:K,2)*G2477*(1-PlanterDiscount)*(1+PlanterDifficultyPercentage)),IF(AE2477="ELP",(VLOOKUP(A2477,'Discount Lookup'!J:K,2)*G2477*(1-PlanterDiscount)*(1+PlanterDifficultyPercentage)),IF(AE2477="free","re-planting",IF(G2477=0,"",IF(PlanterYesMe="",IF(AE2477="me","   not ELP, by",IF(AE2477="",IF(G2477&gt;0,(VLOOKUP(A2477,'Discount Lookup'!J:K,2)*G2477*(1-PlanterDiscount)*(1+PlanterDifficultyPercentage)),""),"")),"   not ELP, by"))))))))))))))</f>
        <v/>
      </c>
      <c r="AD2477" s="712"/>
      <c r="AE2477" s="513" t="str">
        <f t="shared" si="1839"/>
        <v/>
      </c>
      <c r="AF2477" s="713" t="str">
        <f t="shared" si="1840"/>
        <v/>
      </c>
      <c r="AG2477" s="713"/>
      <c r="AH2477" s="713"/>
      <c r="AI2477" s="112">
        <f>IF(H2477="credit",0,IF(AE2477="free",0,IF(AE2477="me",0,IF(G2477&gt;0,(VLOOKUP(A2477,'Discount Lookup'!J:K,2)*G2477),0))))</f>
        <v>0</v>
      </c>
      <c r="AJ2477" s="107" t="str">
        <f t="shared" ca="1" si="1841"/>
        <v/>
      </c>
      <c r="AK2477" s="714" t="str">
        <f t="shared" si="1842"/>
        <v/>
      </c>
      <c r="AL2477" s="714"/>
      <c r="AM2477" s="114" t="str">
        <f t="shared" si="1843"/>
        <v/>
      </c>
      <c r="AN2477" s="115"/>
      <c r="AO2477" s="116"/>
      <c r="AP2477" s="116"/>
      <c r="AQ2477" s="116"/>
      <c r="AR2477" s="116"/>
      <c r="AS2477" s="116"/>
      <c r="AT2477" s="116"/>
      <c r="AU2477" s="116"/>
      <c r="AV2477" s="78"/>
      <c r="AW2477" s="102"/>
      <c r="AX2477" s="78"/>
      <c r="AY2477" s="78"/>
      <c r="AZ2477" s="78"/>
      <c r="BA2477" s="78"/>
      <c r="BB2477" s="78"/>
      <c r="BC2477" s="78"/>
      <c r="BD2477" s="78"/>
      <c r="BE2477" s="465"/>
      <c r="BF2477" s="165" t="str">
        <f t="shared" si="1844"/>
        <v>https://www.google.com/search?tbm=isch&amp;q=Juniperus%20virginiana%20%27Brodie%27%20Brodie%20Juniper</v>
      </c>
      <c r="BG2477" s="165" t="str">
        <f t="shared" si="1845"/>
        <v>J</v>
      </c>
      <c r="BH2477" s="65"/>
      <c r="BI2477" s="65"/>
      <c r="BJ2477" s="65"/>
      <c r="BK2477" s="65"/>
      <c r="BL2477" s="99"/>
      <c r="BM2477" s="99"/>
      <c r="BN2477" s="99"/>
    </row>
    <row r="2478" spans="1:66" s="51" customFormat="1" ht="15.75" x14ac:dyDescent="0.25">
      <c r="A2478" s="478">
        <v>15</v>
      </c>
      <c r="B2478" s="479" t="s">
        <v>291</v>
      </c>
      <c r="C2478" s="480" t="s">
        <v>965</v>
      </c>
      <c r="D2478" s="481" t="s">
        <v>299</v>
      </c>
      <c r="E2478" s="482">
        <v>401.95</v>
      </c>
      <c r="F2478" s="483" t="s">
        <v>292</v>
      </c>
      <c r="G2478" s="484">
        <v>0</v>
      </c>
      <c r="H2478" s="688" t="str">
        <f>IF(G2478=0,"",IF(F2478="Buy",IF(G2478=1,"plant","plants"),IF(F2478&gt;0.01,"warranty","Error")))</f>
        <v/>
      </c>
      <c r="I2478" s="485">
        <f>IF(H2478="free",0,IF(H2478="credit",((E2478*(F2478))*G2478*-1),IF(F2478="Buy",(E2478*G2478),((E2478*(1-F2478))*G2478))))</f>
        <v>0</v>
      </c>
      <c r="J2478" s="485">
        <f>IF(H2478="warranty",0,(I2478*(_xlfn.SINGLE(SalesTaxPercentage))))</f>
        <v>0</v>
      </c>
      <c r="K2478" s="715">
        <f t="shared" ref="K2478" si="1859">I2478+J2478</f>
        <v>0</v>
      </c>
      <c r="L2478" s="715"/>
      <c r="M2478" s="689" t="str">
        <f ca="1">IF(AND(G2478&gt;0,E2478=0),"WARNING - no PRICE inserted",IF(H2478="free","FREE ~ no charge this plant",IF(H2478="credit",CONCATENATE("-$",ROUND(K2478*(1-_xlfn.SINGLE(T2GDiscount))*-1,2)," CREDIT after discount"),IF(_xlfn.SINGLE(T2GDiscount)=0,"",IF(G2478=0,"",IF(F2478="Buy",CONCATENATE("$",ROUND(K2478*(1-_xlfn.SINGLE(T2GDiscount)),2)," with ",(_xlfn.SINGLE(T2GDiscount)*100),"% discount"),CONCATENATE("$",ROUND(K2478*(1-_xlfn.SINGLE(T2GDiscount)),2)," with ",((_xlfn.SINGLE(T2GDiscount)*100+F2478*100)-(_xlfn.SINGLE(T2GDiscount)*100*F2478)),IF(F2478&gt;0,"% discounts",IF(_xlfn.SINGLE(NoWarrantyDiscount)&gt;0,"% discounts","% discount")))))))))</f>
        <v/>
      </c>
      <c r="N2478" s="690"/>
      <c r="O2478" s="486"/>
      <c r="P2478" s="486"/>
      <c r="Q2478" s="486"/>
      <c r="R2478" s="486"/>
      <c r="S2478" s="486"/>
      <c r="T2478" s="102">
        <f t="shared" si="1833"/>
        <v>0</v>
      </c>
      <c r="U2478" s="78">
        <f>IF(NOT(ISNUMBER(G2478)), "", VLOOKUP(A2478,'Discount Lookup'!D:E,2,FALSE)*G2478)</f>
        <v>0</v>
      </c>
      <c r="V2478" s="78">
        <f>IF(NOT(ISNUMBER(G2478)), "", VLOOKUP(A2478,'Discount Lookup'!G:H,2,FALSE)*G2478)</f>
        <v>0</v>
      </c>
      <c r="W2478" s="102">
        <f t="shared" si="1834"/>
        <v>0</v>
      </c>
      <c r="X2478" s="102">
        <f t="shared" si="1835"/>
        <v>0</v>
      </c>
      <c r="Y2478" s="120" t="b">
        <f t="shared" si="1836"/>
        <v>0</v>
      </c>
      <c r="Z2478" s="117">
        <f t="shared" si="1837"/>
        <v>0</v>
      </c>
      <c r="AA2478" s="118"/>
      <c r="AB2478" s="118" t="str">
        <f t="shared" si="1838"/>
        <v/>
      </c>
      <c r="AC2478" s="712" t="str">
        <f>IF(AE2478="T2G","no charge",IF(AND(OR(PlanterYesMe="No",PlanterYesMe="N",PlanterYesMe="me"),H2478=""),"",IF(H2478="credit","NO install",IF(AND(K2478="",AE2478="me"),"EACH row",IF(AND(K2478="images",AE2478="me"),"EACH row",IF(D2478="","",IF(H2478="credit","",IF(AE2478="free","re-planting",IF(AE2478="me","   not ELP, by",IF(AND(OR(PlanterYesMe="Yes",PlanterYesMe="Y"),G2478&gt;0),(VLOOKUP(A2478,'Discount Lookup'!J:K,2)*G2478*(1-PlanterDiscount)*(1+PlanterDifficultyPercentage)),IF(AE2478="ELP",(VLOOKUP(A2478,'Discount Lookup'!J:K,2)*G2478*(1-PlanterDiscount)*(1+PlanterDifficultyPercentage)),IF(AE2478="free","re-planting",IF(G2478=0,"",IF(PlanterYesMe="",IF(AE2478="me","   not ELP, by",IF(AE2478="",IF(G2478&gt;0,(VLOOKUP(A2478,'Discount Lookup'!J:K,2)*G2478*(1-PlanterDiscount)*(1+PlanterDifficultyPercentage)),""),"")),"   not ELP, by"))))))))))))))</f>
        <v/>
      </c>
      <c r="AD2478" s="712"/>
      <c r="AE2478" s="513" t="str">
        <f t="shared" si="1839"/>
        <v/>
      </c>
      <c r="AF2478" s="713" t="str">
        <f t="shared" si="1840"/>
        <v/>
      </c>
      <c r="AG2478" s="713"/>
      <c r="AH2478" s="713"/>
      <c r="AI2478" s="112">
        <f>IF(H2478="credit",0,IF(AE2478="free",0,IF(AE2478="me",0,IF(G2478&gt;0,(VLOOKUP(A2478,'Discount Lookup'!J:K,2)*G2478),0))))</f>
        <v>0</v>
      </c>
      <c r="AJ2478" s="107" t="str">
        <f t="shared" ca="1" si="1841"/>
        <v/>
      </c>
      <c r="AK2478" s="714" t="str">
        <f t="shared" si="1842"/>
        <v/>
      </c>
      <c r="AL2478" s="714"/>
      <c r="AM2478" s="114" t="str">
        <f t="shared" si="1843"/>
        <v/>
      </c>
      <c r="AN2478" s="115"/>
      <c r="AO2478" s="116"/>
      <c r="AP2478" s="116"/>
      <c r="AQ2478" s="116"/>
      <c r="AR2478" s="116"/>
      <c r="AS2478" s="116"/>
      <c r="AT2478" s="116"/>
      <c r="AU2478" s="116"/>
      <c r="AV2478" s="78"/>
      <c r="AW2478" s="102"/>
      <c r="AX2478" s="78"/>
      <c r="AY2478" s="78"/>
      <c r="AZ2478" s="78"/>
      <c r="BA2478" s="78"/>
      <c r="BB2478" s="78"/>
      <c r="BC2478" s="78"/>
      <c r="BD2478" s="78"/>
      <c r="BE2478" s="465"/>
      <c r="BF2478" s="165" t="str">
        <f t="shared" si="1844"/>
        <v>https://www.google.com/search?tbm=isch&amp;q=15%20G4</v>
      </c>
      <c r="BG2478" s="165" t="str">
        <f t="shared" si="1845"/>
        <v>J</v>
      </c>
      <c r="BH2478" s="65"/>
      <c r="BI2478" s="65"/>
      <c r="BJ2478" s="65"/>
      <c r="BK2478" s="65"/>
      <c r="BL2478" s="99"/>
      <c r="BM2478" s="99"/>
      <c r="BN2478" s="99"/>
    </row>
    <row r="2479" spans="1:66" s="51" customFormat="1" ht="15.75" x14ac:dyDescent="0.25">
      <c r="A2479" s="478">
        <v>25</v>
      </c>
      <c r="B2479" s="479" t="s">
        <v>291</v>
      </c>
      <c r="C2479" s="480" t="s">
        <v>5226</v>
      </c>
      <c r="D2479" s="481" t="s">
        <v>299</v>
      </c>
      <c r="E2479" s="482">
        <v>620.95000000000005</v>
      </c>
      <c r="F2479" s="483" t="s">
        <v>292</v>
      </c>
      <c r="G2479" s="484">
        <v>0</v>
      </c>
      <c r="H2479" s="688" t="str">
        <f>IF(G2479=0,"",IF(F2479="Buy",IF(G2479=1,"plant","plants"),IF(F2479&gt;0.01,"warranty","Error")))</f>
        <v/>
      </c>
      <c r="I2479" s="485">
        <f>IF(H2479="free",0,IF(H2479="credit",((E2479*(F2479))*G2479*-1),IF(F2479="Buy",(E2479*G2479),((E2479*(1-F2479))*G2479))))</f>
        <v>0</v>
      </c>
      <c r="J2479" s="485">
        <f>IF(H2479="warranty",0,(I2479*(_xlfn.SINGLE(SalesTaxPercentage))))</f>
        <v>0</v>
      </c>
      <c r="K2479" s="715">
        <f t="shared" ref="K2479" si="1860">I2479+J2479</f>
        <v>0</v>
      </c>
      <c r="L2479" s="715"/>
      <c r="M2479" s="689" t="str">
        <f ca="1">IF(AND(G2479&gt;0,E2479=0),"WARNING - no PRICE inserted",IF(H2479="free","FREE ~ no charge this plant",IF(H2479="credit",CONCATENATE("-$",ROUND(K2479*(1-_xlfn.SINGLE(T2GDiscount))*-1,2)," CREDIT after discount"),IF(_xlfn.SINGLE(T2GDiscount)=0,"",IF(G2479=0,"",IF(F2479="Buy",CONCATENATE("$",ROUND(K2479*(1-_xlfn.SINGLE(T2GDiscount)),2)," with ",(_xlfn.SINGLE(T2GDiscount)*100),"% discount"),CONCATENATE("$",ROUND(K2479*(1-_xlfn.SINGLE(T2GDiscount)),2)," with ",((_xlfn.SINGLE(T2GDiscount)*100+F2479*100)-(_xlfn.SINGLE(T2GDiscount)*100*F2479)),IF(F2479&gt;0,"% discounts",IF(_xlfn.SINGLE(NoWarrantyDiscount)&gt;0,"% discounts","% discount")))))))))</f>
        <v/>
      </c>
      <c r="N2479" s="690"/>
      <c r="O2479" s="486"/>
      <c r="P2479" s="486"/>
      <c r="Q2479" s="486"/>
      <c r="R2479" s="486"/>
      <c r="S2479" s="486"/>
      <c r="T2479" s="102">
        <f t="shared" si="1833"/>
        <v>0</v>
      </c>
      <c r="U2479" s="78">
        <f>IF(NOT(ISNUMBER(G2479)), "", VLOOKUP(A2479,'Discount Lookup'!D:E,2,FALSE)*G2479)</f>
        <v>0</v>
      </c>
      <c r="V2479" s="78">
        <f>IF(NOT(ISNUMBER(G2479)), "", VLOOKUP(A2479,'Discount Lookup'!G:H,2,FALSE)*G2479)</f>
        <v>0</v>
      </c>
      <c r="W2479" s="102">
        <f t="shared" si="1834"/>
        <v>0</v>
      </c>
      <c r="X2479" s="102">
        <f t="shared" si="1835"/>
        <v>0</v>
      </c>
      <c r="Y2479" s="120" t="b">
        <f t="shared" si="1836"/>
        <v>0</v>
      </c>
      <c r="Z2479" s="117">
        <f t="shared" si="1837"/>
        <v>0</v>
      </c>
      <c r="AA2479" s="118"/>
      <c r="AB2479" s="118" t="str">
        <f t="shared" si="1838"/>
        <v/>
      </c>
      <c r="AC2479" s="712" t="str">
        <f>IF(AE2479="T2G","no charge",IF(AND(OR(PlanterYesMe="No",PlanterYesMe="N",PlanterYesMe="me"),H2479=""),"",IF(H2479="credit","NO install",IF(AND(K2479="",AE2479="me"),"EACH row",IF(AND(K2479="images",AE2479="me"),"EACH row",IF(D2479="","",IF(H2479="credit","",IF(AE2479="free","re-planting",IF(AE2479="me","   not ELP, by",IF(AND(OR(PlanterYesMe="Yes",PlanterYesMe="Y"),G2479&gt;0),(VLOOKUP(A2479,'Discount Lookup'!J:K,2)*G2479*(1-PlanterDiscount)*(1+PlanterDifficultyPercentage)),IF(AE2479="ELP",(VLOOKUP(A2479,'Discount Lookup'!J:K,2)*G2479*(1-PlanterDiscount)*(1+PlanterDifficultyPercentage)),IF(AE2479="free","re-planting",IF(G2479=0,"",IF(PlanterYesMe="",IF(AE2479="me","   not ELP, by",IF(AE2479="",IF(G2479&gt;0,(VLOOKUP(A2479,'Discount Lookup'!J:K,2)*G2479*(1-PlanterDiscount)*(1+PlanterDifficultyPercentage)),""),"")),"   not ELP, by"))))))))))))))</f>
        <v/>
      </c>
      <c r="AD2479" s="712"/>
      <c r="AE2479" s="513" t="str">
        <f t="shared" si="1839"/>
        <v/>
      </c>
      <c r="AF2479" s="713" t="str">
        <f t="shared" si="1840"/>
        <v/>
      </c>
      <c r="AG2479" s="713"/>
      <c r="AH2479" s="713"/>
      <c r="AI2479" s="112">
        <f>IF(H2479="credit",0,IF(AE2479="free",0,IF(AE2479="me",0,IF(G2479&gt;0,(VLOOKUP(A2479,'Discount Lookup'!J:K,2)*G2479),0))))</f>
        <v>0</v>
      </c>
      <c r="AJ2479" s="107" t="str">
        <f t="shared" ca="1" si="1841"/>
        <v/>
      </c>
      <c r="AK2479" s="714" t="str">
        <f t="shared" si="1842"/>
        <v/>
      </c>
      <c r="AL2479" s="714"/>
      <c r="AM2479" s="114" t="str">
        <f t="shared" si="1843"/>
        <v/>
      </c>
      <c r="AN2479" s="115"/>
      <c r="AO2479" s="116"/>
      <c r="AP2479" s="116"/>
      <c r="AQ2479" s="116"/>
      <c r="AR2479" s="116"/>
      <c r="AS2479" s="116"/>
      <c r="AT2479" s="116"/>
      <c r="AU2479" s="116"/>
      <c r="AV2479" s="78"/>
      <c r="AW2479" s="102"/>
      <c r="AX2479" s="78"/>
      <c r="AY2479" s="78"/>
      <c r="AZ2479" s="78"/>
      <c r="BA2479" s="78"/>
      <c r="BB2479" s="78"/>
      <c r="BC2479" s="78"/>
      <c r="BD2479" s="78"/>
      <c r="BE2479" s="465"/>
      <c r="BF2479" s="165" t="str">
        <f t="shared" si="1844"/>
        <v>https://www.google.com/search?tbm=isch&amp;q=25%20G4</v>
      </c>
      <c r="BG2479" s="165" t="str">
        <f t="shared" si="1845"/>
        <v>J</v>
      </c>
      <c r="BH2479" s="65"/>
      <c r="BI2479" s="65"/>
      <c r="BJ2479" s="65"/>
      <c r="BK2479" s="65"/>
      <c r="BL2479" s="99"/>
      <c r="BM2479" s="99"/>
      <c r="BN2479" s="99"/>
    </row>
    <row r="2480" spans="1:66" s="51" customFormat="1" ht="17.25" thickBot="1" x14ac:dyDescent="0.3">
      <c r="A2480" s="508" t="s">
        <v>838</v>
      </c>
      <c r="B2480" s="487"/>
      <c r="C2480" s="707"/>
      <c r="D2480" s="487"/>
      <c r="E2480" s="487"/>
      <c r="F2480" s="488"/>
      <c r="G2480" s="489"/>
      <c r="H2480" s="487"/>
      <c r="I2480" s="490"/>
      <c r="J2480" s="490"/>
      <c r="K2480" s="491"/>
      <c r="L2480" s="547"/>
      <c r="M2480" s="528"/>
      <c r="N2480" s="492"/>
      <c r="O2480" s="493"/>
      <c r="P2480" s="494"/>
      <c r="Q2480" s="492"/>
      <c r="R2480" s="492"/>
      <c r="S2480" s="699" t="s">
        <v>5280</v>
      </c>
      <c r="T2480" s="102">
        <f t="shared" si="1833"/>
        <v>0</v>
      </c>
      <c r="U2480" s="78" t="str">
        <f>IF(NOT(ISNUMBER(G2480)), "", VLOOKUP(A2480,'Discount Lookup'!D:E,2,FALSE)*G2480)</f>
        <v/>
      </c>
      <c r="V2480" s="78" t="str">
        <f>IF(NOT(ISNUMBER(G2480)), "", VLOOKUP(A2480,'Discount Lookup'!G:H,2,FALSE)*G2480)</f>
        <v/>
      </c>
      <c r="W2480" s="102">
        <f t="shared" si="1834"/>
        <v>0</v>
      </c>
      <c r="X2480" s="102">
        <f t="shared" si="1835"/>
        <v>0</v>
      </c>
      <c r="Y2480" s="120" t="b">
        <f t="shared" si="1836"/>
        <v>0</v>
      </c>
      <c r="Z2480" s="117">
        <f t="shared" si="1837"/>
        <v>0</v>
      </c>
      <c r="AA2480" s="118"/>
      <c r="AB2480" s="118" t="str">
        <f t="shared" si="1838"/>
        <v/>
      </c>
      <c r="AC2480" s="712" t="str">
        <f>IF(AE2480="T2G","no charge",IF(AND(OR(PlanterYesMe="No",PlanterYesMe="N",PlanterYesMe="me"),H2480=""),"",IF(H2480="credit","NO install",IF(AND(K2480="",AE2480="me"),"EACH row",IF(AND(K2480="images",AE2480="me"),"EACH row",IF(D2480="","",IF(H2480="credit","",IF(AE2480="free","re-planting",IF(AE2480="me","   not ELP, by",IF(AND(OR(PlanterYesMe="Yes",PlanterYesMe="Y"),G2480&gt;0),(VLOOKUP(A2480,'Discount Lookup'!J:K,2)*G2480*(1-PlanterDiscount)*(1+PlanterDifficultyPercentage)),IF(AE2480="ELP",(VLOOKUP(A2480,'Discount Lookup'!J:K,2)*G2480*(1-PlanterDiscount)*(1+PlanterDifficultyPercentage)),IF(AE2480="free","re-planting",IF(G2480=0,"",IF(PlanterYesMe="",IF(AE2480="me","   not ELP, by",IF(AE2480="",IF(G2480&gt;0,(VLOOKUP(A2480,'Discount Lookup'!J:K,2)*G2480*(1-PlanterDiscount)*(1+PlanterDifficultyPercentage)),""),"")),"   not ELP, by"))))))))))))))</f>
        <v/>
      </c>
      <c r="AD2480" s="712"/>
      <c r="AE2480" s="513" t="str">
        <f t="shared" si="1839"/>
        <v/>
      </c>
      <c r="AF2480" s="713" t="str">
        <f t="shared" si="1840"/>
        <v/>
      </c>
      <c r="AG2480" s="713"/>
      <c r="AH2480" s="713"/>
      <c r="AI2480" s="112">
        <f>IF(H2480="credit",0,IF(AE2480="free",0,IF(AE2480="me",0,IF(G2480&gt;0,(VLOOKUP(A2480,'Discount Lookup'!J:K,2)*G2480),0))))</f>
        <v>0</v>
      </c>
      <c r="AJ2480" s="107" t="str">
        <f t="shared" ca="1" si="1841"/>
        <v/>
      </c>
      <c r="AK2480" s="714" t="str">
        <f t="shared" si="1842"/>
        <v/>
      </c>
      <c r="AL2480" s="714"/>
      <c r="AM2480" s="114" t="str">
        <f t="shared" si="1843"/>
        <v/>
      </c>
      <c r="AN2480" s="115"/>
      <c r="AO2480" s="116"/>
      <c r="AP2480" s="116"/>
      <c r="AQ2480" s="116"/>
      <c r="AR2480" s="116"/>
      <c r="AS2480" s="116"/>
      <c r="AT2480" s="116"/>
      <c r="AU2480" s="116"/>
      <c r="AV2480" s="78"/>
      <c r="AW2480" s="102"/>
      <c r="AX2480" s="78"/>
      <c r="AY2480" s="78"/>
      <c r="AZ2480" s="78"/>
      <c r="BA2480" s="78"/>
      <c r="BB2480" s="78"/>
      <c r="BC2480" s="78"/>
      <c r="BD2480" s="78"/>
      <c r="BE2480" s="465"/>
      <c r="BF2480" s="165" t="str">
        <f t="shared" si="1844"/>
        <v>https://www.google.com/search?tbm=isch&amp;q=Brodie%20is%20tough%20and%20drought%20tolerant.%20Reddish-brown%20bark%20peels%20in%20thin%20strips.%20Sun%2Fheat%2Fdrought%20tolerant%20</v>
      </c>
      <c r="BG2480" s="165" t="str">
        <f t="shared" si="1845"/>
        <v>B</v>
      </c>
      <c r="BH2480" s="65"/>
      <c r="BI2480" s="65"/>
      <c r="BJ2480" s="65"/>
      <c r="BK2480" s="65"/>
      <c r="BL2480" s="99"/>
      <c r="BM2480" s="99"/>
      <c r="BN2480" s="99"/>
    </row>
    <row r="2481" spans="1:66" s="51" customFormat="1" ht="18" x14ac:dyDescent="0.25">
      <c r="A2481" s="507" t="s">
        <v>3148</v>
      </c>
      <c r="B2481" s="470"/>
      <c r="C2481" s="706"/>
      <c r="D2481" s="471" t="s">
        <v>3149</v>
      </c>
      <c r="E2481" s="472"/>
      <c r="F2481" s="472"/>
      <c r="G2481" s="472"/>
      <c r="H2481" s="622" t="s">
        <v>2374</v>
      </c>
      <c r="I2481" s="473" t="s">
        <v>3150</v>
      </c>
      <c r="J2481" s="472"/>
      <c r="K2481" s="472"/>
      <c r="L2481" s="561"/>
      <c r="M2481" s="698" t="s">
        <v>5240</v>
      </c>
      <c r="N2481" s="692" t="str">
        <f>IF(AND(ISTEXT($A2481), ISERROR($A2481+0)), HYPERLINK($BF2481, "Images"), "")</f>
        <v>Images</v>
      </c>
      <c r="O2481" s="694" t="s">
        <v>5244</v>
      </c>
      <c r="P2481" s="475"/>
      <c r="Q2481" s="476"/>
      <c r="R2481" s="476"/>
      <c r="S2481" s="477"/>
      <c r="T2481" s="102">
        <f t="shared" si="1833"/>
        <v>0</v>
      </c>
      <c r="U2481" s="78" t="str">
        <f>IF(NOT(ISNUMBER(G2481)), "", VLOOKUP(A2481,'Discount Lookup'!D:E,2,FALSE)*G2481)</f>
        <v/>
      </c>
      <c r="V2481" s="78" t="str">
        <f>IF(NOT(ISNUMBER(G2481)), "", VLOOKUP(A2481,'Discount Lookup'!G:H,2,FALSE)*G2481)</f>
        <v/>
      </c>
      <c r="W2481" s="102">
        <f t="shared" si="1834"/>
        <v>0</v>
      </c>
      <c r="X2481" s="102" t="str">
        <f t="shared" si="1835"/>
        <v>Silvery-Gray foliage</v>
      </c>
      <c r="Y2481" s="120" t="b">
        <f t="shared" si="1836"/>
        <v>0</v>
      </c>
      <c r="Z2481" s="117">
        <f t="shared" si="1837"/>
        <v>0</v>
      </c>
      <c r="AA2481" s="118"/>
      <c r="AB2481" s="118" t="str">
        <f t="shared" si="1838"/>
        <v/>
      </c>
      <c r="AC2481" s="712" t="str">
        <f>IF(AE2481="T2G","no charge",IF(AND(OR(PlanterYesMe="No",PlanterYesMe="N",PlanterYesMe="me"),H2481=""),"",IF(H2481="credit","NO install",IF(AND(K2481="",AE2481="me"),"EACH row",IF(AND(K2481="images",AE2481="me"),"EACH row",IF(D2481="","",IF(H2481="credit","",IF(AE2481="free","re-planting",IF(AE2481="me","   not ELP, by",IF(AND(OR(PlanterYesMe="Yes",PlanterYesMe="Y"),G2481&gt;0),(VLOOKUP(A2481,'Discount Lookup'!J:K,2)*G2481*(1-PlanterDiscount)*(1+PlanterDifficultyPercentage)),IF(AE2481="ELP",(VLOOKUP(A2481,'Discount Lookup'!J:K,2)*G2481*(1-PlanterDiscount)*(1+PlanterDifficultyPercentage)),IF(AE2481="free","re-planting",IF(G2481=0,"",IF(PlanterYesMe="",IF(AE2481="me","   not ELP, by",IF(AE2481="",IF(G2481&gt;0,(VLOOKUP(A2481,'Discount Lookup'!J:K,2)*G2481*(1-PlanterDiscount)*(1+PlanterDifficultyPercentage)),""),"")),"   not ELP, by"))))))))))))))</f>
        <v/>
      </c>
      <c r="AD2481" s="712"/>
      <c r="AE2481" s="513" t="str">
        <f t="shared" si="1839"/>
        <v/>
      </c>
      <c r="AF2481" s="713" t="str">
        <f t="shared" si="1840"/>
        <v/>
      </c>
      <c r="AG2481" s="713"/>
      <c r="AH2481" s="713"/>
      <c r="AI2481" s="112">
        <f>IF(H2481="credit",0,IF(AE2481="free",0,IF(AE2481="me",0,IF(G2481&gt;0,(VLOOKUP(A2481,'Discount Lookup'!J:K,2)*G2481),0))))</f>
        <v>0</v>
      </c>
      <c r="AJ2481" s="107" t="str">
        <f t="shared" ca="1" si="1841"/>
        <v/>
      </c>
      <c r="AK2481" s="714" t="str">
        <f t="shared" si="1842"/>
        <v/>
      </c>
      <c r="AL2481" s="714"/>
      <c r="AM2481" s="114" t="str">
        <f t="shared" si="1843"/>
        <v/>
      </c>
      <c r="AN2481" s="115"/>
      <c r="AO2481" s="116"/>
      <c r="AP2481" s="116"/>
      <c r="AQ2481" s="116"/>
      <c r="AR2481" s="116"/>
      <c r="AS2481" s="116"/>
      <c r="AT2481" s="116"/>
      <c r="AU2481" s="116"/>
      <c r="AV2481" s="78"/>
      <c r="AW2481" s="102"/>
      <c r="AX2481" s="78"/>
      <c r="AY2481" s="78"/>
      <c r="AZ2481" s="78"/>
      <c r="BA2481" s="78"/>
      <c r="BB2481" s="78"/>
      <c r="BC2481" s="78"/>
      <c r="BD2481" s="78"/>
      <c r="BE2481" s="465"/>
      <c r="BF2481" s="165" t="str">
        <f t="shared" si="1844"/>
        <v>https://www.google.com/search?tbm=isch&amp;q=Juniperus%20virginiana%20%27Grey%20Owl%27%20Grey%20Owl%20Juniper</v>
      </c>
      <c r="BG2481" s="165" t="str">
        <f t="shared" si="1845"/>
        <v>J</v>
      </c>
      <c r="BH2481" s="65"/>
      <c r="BI2481" s="65"/>
      <c r="BJ2481" s="65"/>
      <c r="BK2481" s="65"/>
      <c r="BL2481" s="99"/>
      <c r="BM2481" s="99"/>
      <c r="BN2481" s="99"/>
    </row>
    <row r="2482" spans="1:66" s="51" customFormat="1" ht="15.75" x14ac:dyDescent="0.25">
      <c r="A2482" s="478">
        <v>3</v>
      </c>
      <c r="B2482" s="479" t="s">
        <v>291</v>
      </c>
      <c r="C2482" s="480" t="s">
        <v>10</v>
      </c>
      <c r="D2482" s="481" t="s">
        <v>310</v>
      </c>
      <c r="E2482" s="482">
        <v>25.95</v>
      </c>
      <c r="F2482" s="483" t="s">
        <v>292</v>
      </c>
      <c r="G2482" s="484">
        <v>0</v>
      </c>
      <c r="H2482" s="688" t="str">
        <f>IF(G2482=0,"",IF(F2482="Buy",IF(G2482=1,"plant","plants"),IF(F2482&gt;0.01,"warranty","Error")))</f>
        <v/>
      </c>
      <c r="I2482" s="485">
        <f>IF(H2482="free",0,IF(H2482="credit",((E2482*(F2482))*G2482*-1),IF(F2482="Buy",(E2482*G2482),((E2482*(1-F2482))*G2482))))</f>
        <v>0</v>
      </c>
      <c r="J2482" s="485">
        <f>IF(H2482="warranty",0,(I2482*(_xlfn.SINGLE(SalesTaxPercentage))))</f>
        <v>0</v>
      </c>
      <c r="K2482" s="715">
        <f t="shared" ref="K2482" si="1861">I2482+J2482</f>
        <v>0</v>
      </c>
      <c r="L2482" s="715"/>
      <c r="M2482" s="689" t="str">
        <f ca="1">IF(AND(G2482&gt;0,E2482=0),"WARNING - no PRICE inserted",IF(H2482="free","FREE ~ no charge this plant",IF(H2482="credit",CONCATENATE("-$",ROUND(K2482*(1-_xlfn.SINGLE(T2GDiscount))*-1,2)," CREDIT after discount"),IF(_xlfn.SINGLE(T2GDiscount)=0,"",IF(G2482=0,"",IF(F2482="Buy",CONCATENATE("$",ROUND(K2482*(1-_xlfn.SINGLE(T2GDiscount)),2)," with ",(_xlfn.SINGLE(T2GDiscount)*100),"% discount"),CONCATENATE("$",ROUND(K2482*(1-_xlfn.SINGLE(T2GDiscount)),2)," with ",((_xlfn.SINGLE(T2GDiscount)*100+F2482*100)-(_xlfn.SINGLE(T2GDiscount)*100*F2482)),IF(F2482&gt;0,"% discounts",IF(_xlfn.SINGLE(NoWarrantyDiscount)&gt;0,"% discounts","% discount")))))))))</f>
        <v/>
      </c>
      <c r="N2482" s="690"/>
      <c r="O2482" s="486"/>
      <c r="P2482" s="486"/>
      <c r="Q2482" s="486"/>
      <c r="R2482" s="486"/>
      <c r="S2482" s="486"/>
      <c r="T2482" s="102">
        <f t="shared" si="1833"/>
        <v>0</v>
      </c>
      <c r="U2482" s="78">
        <f>IF(NOT(ISNUMBER(G2482)), "", VLOOKUP(A2482,'Discount Lookup'!D:E,2,FALSE)*G2482)</f>
        <v>0</v>
      </c>
      <c r="V2482" s="78">
        <f>IF(NOT(ISNUMBER(G2482)), "", VLOOKUP(A2482,'Discount Lookup'!G:H,2,FALSE)*G2482)</f>
        <v>0</v>
      </c>
      <c r="W2482" s="102">
        <f t="shared" si="1834"/>
        <v>0</v>
      </c>
      <c r="X2482" s="102">
        <f t="shared" si="1835"/>
        <v>0</v>
      </c>
      <c r="Y2482" s="120" t="b">
        <f t="shared" si="1836"/>
        <v>0</v>
      </c>
      <c r="Z2482" s="117">
        <f t="shared" si="1837"/>
        <v>0</v>
      </c>
      <c r="AA2482" s="118"/>
      <c r="AB2482" s="118" t="str">
        <f t="shared" si="1838"/>
        <v/>
      </c>
      <c r="AC2482" s="712" t="str">
        <f>IF(AE2482="T2G","no charge",IF(AND(OR(PlanterYesMe="No",PlanterYesMe="N",PlanterYesMe="me"),H2482=""),"",IF(H2482="credit","NO install",IF(AND(K2482="",AE2482="me"),"EACH row",IF(AND(K2482="images",AE2482="me"),"EACH row",IF(D2482="","",IF(H2482="credit","",IF(AE2482="free","re-planting",IF(AE2482="me","   not ELP, by",IF(AND(OR(PlanterYesMe="Yes",PlanterYesMe="Y"),G2482&gt;0),(VLOOKUP(A2482,'Discount Lookup'!J:K,2)*G2482*(1-PlanterDiscount)*(1+PlanterDifficultyPercentage)),IF(AE2482="ELP",(VLOOKUP(A2482,'Discount Lookup'!J:K,2)*G2482*(1-PlanterDiscount)*(1+PlanterDifficultyPercentage)),IF(AE2482="free","re-planting",IF(G2482=0,"",IF(PlanterYesMe="",IF(AE2482="me","   not ELP, by",IF(AE2482="",IF(G2482&gt;0,(VLOOKUP(A2482,'Discount Lookup'!J:K,2)*G2482*(1-PlanterDiscount)*(1+PlanterDifficultyPercentage)),""),"")),"   not ELP, by"))))))))))))))</f>
        <v/>
      </c>
      <c r="AD2482" s="712"/>
      <c r="AE2482" s="513" t="str">
        <f t="shared" si="1839"/>
        <v/>
      </c>
      <c r="AF2482" s="713" t="str">
        <f t="shared" si="1840"/>
        <v/>
      </c>
      <c r="AG2482" s="713"/>
      <c r="AH2482" s="713"/>
      <c r="AI2482" s="112">
        <f>IF(H2482="credit",0,IF(AE2482="free",0,IF(AE2482="me",0,IF(G2482&gt;0,(VLOOKUP(A2482,'Discount Lookup'!J:K,2)*G2482),0))))</f>
        <v>0</v>
      </c>
      <c r="AJ2482" s="107" t="str">
        <f t="shared" ca="1" si="1841"/>
        <v/>
      </c>
      <c r="AK2482" s="714" t="str">
        <f t="shared" si="1842"/>
        <v/>
      </c>
      <c r="AL2482" s="714"/>
      <c r="AM2482" s="114" t="str">
        <f t="shared" si="1843"/>
        <v/>
      </c>
      <c r="AN2482" s="115"/>
      <c r="AO2482" s="116"/>
      <c r="AP2482" s="116"/>
      <c r="AQ2482" s="116"/>
      <c r="AR2482" s="116"/>
      <c r="AS2482" s="116"/>
      <c r="AT2482" s="116"/>
      <c r="AU2482" s="116"/>
      <c r="AV2482" s="78"/>
      <c r="AW2482" s="102"/>
      <c r="AX2482" s="78"/>
      <c r="AY2482" s="78"/>
      <c r="AZ2482" s="78"/>
      <c r="BA2482" s="78"/>
      <c r="BB2482" s="78"/>
      <c r="BC2482" s="78"/>
      <c r="BD2482" s="78"/>
      <c r="BE2482" s="465"/>
      <c r="BF2482" s="165" t="str">
        <f t="shared" si="1844"/>
        <v>https://www.google.com/search?tbm=isch&amp;q=3%20G1</v>
      </c>
      <c r="BG2482" s="165" t="str">
        <f t="shared" si="1845"/>
        <v>J</v>
      </c>
      <c r="BH2482" s="65"/>
      <c r="BI2482" s="65"/>
      <c r="BJ2482" s="65"/>
      <c r="BK2482" s="65"/>
      <c r="BL2482" s="99"/>
      <c r="BM2482" s="99"/>
      <c r="BN2482" s="99"/>
    </row>
    <row r="2483" spans="1:66" s="51" customFormat="1" ht="15.75" x14ac:dyDescent="0.25">
      <c r="A2483" s="478">
        <v>3</v>
      </c>
      <c r="B2483" s="479" t="s">
        <v>291</v>
      </c>
      <c r="C2483" s="480" t="s">
        <v>3151</v>
      </c>
      <c r="D2483" s="481" t="s">
        <v>329</v>
      </c>
      <c r="E2483" s="482">
        <v>27.95</v>
      </c>
      <c r="F2483" s="483" t="s">
        <v>292</v>
      </c>
      <c r="G2483" s="484">
        <v>0</v>
      </c>
      <c r="H2483" s="688" t="str">
        <f>IF(G2483=0,"",IF(F2483="Buy",IF(G2483=1,"plant","plants"),IF(F2483&gt;0.01,"warranty","Error")))</f>
        <v/>
      </c>
      <c r="I2483" s="485">
        <f>IF(H2483="free",0,IF(H2483="credit",((E2483*(F2483))*G2483*-1),IF(F2483="Buy",(E2483*G2483),((E2483*(1-F2483))*G2483))))</f>
        <v>0</v>
      </c>
      <c r="J2483" s="485">
        <f>IF(H2483="warranty",0,(I2483*(_xlfn.SINGLE(SalesTaxPercentage))))</f>
        <v>0</v>
      </c>
      <c r="K2483" s="715">
        <f t="shared" ref="K2483" si="1862">I2483+J2483</f>
        <v>0</v>
      </c>
      <c r="L2483" s="715"/>
      <c r="M2483" s="689" t="str">
        <f ca="1">IF(AND(G2483&gt;0,E2483=0),"WARNING - no PRICE inserted",IF(H2483="free","FREE ~ no charge this plant",IF(H2483="credit",CONCATENATE("-$",ROUND(K2483*(1-_xlfn.SINGLE(T2GDiscount))*-1,2)," CREDIT after discount"),IF(_xlfn.SINGLE(T2GDiscount)=0,"",IF(G2483=0,"",IF(F2483="Buy",CONCATENATE("$",ROUND(K2483*(1-_xlfn.SINGLE(T2GDiscount)),2)," with ",(_xlfn.SINGLE(T2GDiscount)*100),"% discount"),CONCATENATE("$",ROUND(K2483*(1-_xlfn.SINGLE(T2GDiscount)),2)," with ",((_xlfn.SINGLE(T2GDiscount)*100+F2483*100)-(_xlfn.SINGLE(T2GDiscount)*100*F2483)),IF(F2483&gt;0,"% discounts",IF(_xlfn.SINGLE(NoWarrantyDiscount)&gt;0,"% discounts","% discount")))))))))</f>
        <v/>
      </c>
      <c r="N2483" s="690"/>
      <c r="O2483" s="486"/>
      <c r="P2483" s="486"/>
      <c r="Q2483" s="486"/>
      <c r="R2483" s="486"/>
      <c r="S2483" s="486"/>
      <c r="T2483" s="102">
        <f t="shared" si="1833"/>
        <v>0</v>
      </c>
      <c r="U2483" s="78">
        <f>IF(NOT(ISNUMBER(G2483)), "", VLOOKUP(A2483,'Discount Lookup'!D:E,2,FALSE)*G2483)</f>
        <v>0</v>
      </c>
      <c r="V2483" s="78">
        <f>IF(NOT(ISNUMBER(G2483)), "", VLOOKUP(A2483,'Discount Lookup'!G:H,2,FALSE)*G2483)</f>
        <v>0</v>
      </c>
      <c r="W2483" s="102">
        <f t="shared" si="1834"/>
        <v>0</v>
      </c>
      <c r="X2483" s="102">
        <f t="shared" si="1835"/>
        <v>0</v>
      </c>
      <c r="Y2483" s="120" t="b">
        <f t="shared" si="1836"/>
        <v>0</v>
      </c>
      <c r="Z2483" s="117">
        <f t="shared" si="1837"/>
        <v>0</v>
      </c>
      <c r="AA2483" s="118"/>
      <c r="AB2483" s="118" t="str">
        <f t="shared" si="1838"/>
        <v/>
      </c>
      <c r="AC2483" s="712" t="str">
        <f>IF(AE2483="T2G","no charge",IF(AND(OR(PlanterYesMe="No",PlanterYesMe="N",PlanterYesMe="me"),H2483=""),"",IF(H2483="credit","NO install",IF(AND(K2483="",AE2483="me"),"EACH row",IF(AND(K2483="images",AE2483="me"),"EACH row",IF(D2483="","",IF(H2483="credit","",IF(AE2483="free","re-planting",IF(AE2483="me","   not ELP, by",IF(AND(OR(PlanterYesMe="Yes",PlanterYesMe="Y"),G2483&gt;0),(VLOOKUP(A2483,'Discount Lookup'!J:K,2)*G2483*(1-PlanterDiscount)*(1+PlanterDifficultyPercentage)),IF(AE2483="ELP",(VLOOKUP(A2483,'Discount Lookup'!J:K,2)*G2483*(1-PlanterDiscount)*(1+PlanterDifficultyPercentage)),IF(AE2483="free","re-planting",IF(G2483=0,"",IF(PlanterYesMe="",IF(AE2483="me","   not ELP, by",IF(AE2483="",IF(G2483&gt;0,(VLOOKUP(A2483,'Discount Lookup'!J:K,2)*G2483*(1-PlanterDiscount)*(1+PlanterDifficultyPercentage)),""),"")),"   not ELP, by"))))))))))))))</f>
        <v/>
      </c>
      <c r="AD2483" s="712"/>
      <c r="AE2483" s="513" t="str">
        <f t="shared" si="1839"/>
        <v/>
      </c>
      <c r="AF2483" s="713" t="str">
        <f t="shared" si="1840"/>
        <v/>
      </c>
      <c r="AG2483" s="713"/>
      <c r="AH2483" s="713"/>
      <c r="AI2483" s="112">
        <f>IF(H2483="credit",0,IF(AE2483="free",0,IF(AE2483="me",0,IF(G2483&gt;0,(VLOOKUP(A2483,'Discount Lookup'!J:K,2)*G2483),0))))</f>
        <v>0</v>
      </c>
      <c r="AJ2483" s="107" t="str">
        <f t="shared" ca="1" si="1841"/>
        <v/>
      </c>
      <c r="AK2483" s="714" t="str">
        <f t="shared" si="1842"/>
        <v/>
      </c>
      <c r="AL2483" s="714"/>
      <c r="AM2483" s="114" t="str">
        <f t="shared" si="1843"/>
        <v/>
      </c>
      <c r="AN2483" s="115"/>
      <c r="AO2483" s="116"/>
      <c r="AP2483" s="116"/>
      <c r="AQ2483" s="116"/>
      <c r="AR2483" s="116"/>
      <c r="AS2483" s="116"/>
      <c r="AT2483" s="116"/>
      <c r="AU2483" s="116"/>
      <c r="AV2483" s="78"/>
      <c r="AW2483" s="102"/>
      <c r="AX2483" s="78"/>
      <c r="AY2483" s="78"/>
      <c r="AZ2483" s="78"/>
      <c r="BA2483" s="78"/>
      <c r="BB2483" s="78"/>
      <c r="BC2483" s="78"/>
      <c r="BD2483" s="78"/>
      <c r="BE2483" s="465"/>
      <c r="BF2483" s="165" t="str">
        <f t="shared" si="1844"/>
        <v>https://www.google.com/search?tbm=isch&amp;q=3%20G2</v>
      </c>
      <c r="BG2483" s="165" t="str">
        <f t="shared" si="1845"/>
        <v>J</v>
      </c>
      <c r="BH2483" s="65"/>
      <c r="BI2483" s="65"/>
      <c r="BJ2483" s="65"/>
      <c r="BK2483" s="65"/>
      <c r="BL2483" s="99"/>
      <c r="BM2483" s="99"/>
      <c r="BN2483" s="99"/>
    </row>
    <row r="2484" spans="1:66" s="51" customFormat="1" ht="15.75" x14ac:dyDescent="0.25">
      <c r="A2484" s="478">
        <v>3</v>
      </c>
      <c r="B2484" s="479" t="s">
        <v>291</v>
      </c>
      <c r="C2484" s="480"/>
      <c r="D2484" s="481" t="s">
        <v>329</v>
      </c>
      <c r="E2484" s="482">
        <v>27.95</v>
      </c>
      <c r="F2484" s="483" t="s">
        <v>292</v>
      </c>
      <c r="G2484" s="484">
        <v>0</v>
      </c>
      <c r="H2484" s="688" t="str">
        <f>IF(G2484=0,"",IF(F2484="Buy",IF(G2484=1,"plant","plants"),IF(F2484&gt;0.01,"warranty","Error")))</f>
        <v/>
      </c>
      <c r="I2484" s="485">
        <f>IF(H2484="free",0,IF(H2484="credit",((E2484*(F2484))*G2484*-1),IF(F2484="Buy",(E2484*G2484),((E2484*(1-F2484))*G2484))))</f>
        <v>0</v>
      </c>
      <c r="J2484" s="485">
        <f>IF(H2484="warranty",0,(I2484*(_xlfn.SINGLE(SalesTaxPercentage))))</f>
        <v>0</v>
      </c>
      <c r="K2484" s="715">
        <f t="shared" ref="K2484" si="1863">I2484+J2484</f>
        <v>0</v>
      </c>
      <c r="L2484" s="715"/>
      <c r="M2484" s="689" t="str">
        <f ca="1">IF(AND(G2484&gt;0,E2484=0),"WARNING - no PRICE inserted",IF(H2484="free","FREE ~ no charge this plant",IF(H2484="credit",CONCATENATE("-$",ROUND(K2484*(1-_xlfn.SINGLE(T2GDiscount))*-1,2)," CREDIT after discount"),IF(_xlfn.SINGLE(T2GDiscount)=0,"",IF(G2484=0,"",IF(F2484="Buy",CONCATENATE("$",ROUND(K2484*(1-_xlfn.SINGLE(T2GDiscount)),2)," with ",(_xlfn.SINGLE(T2GDiscount)*100),"% discount"),CONCATENATE("$",ROUND(K2484*(1-_xlfn.SINGLE(T2GDiscount)),2)," with ",((_xlfn.SINGLE(T2GDiscount)*100+F2484*100)-(_xlfn.SINGLE(T2GDiscount)*100*F2484)),IF(F2484&gt;0,"% discounts",IF(_xlfn.SINGLE(NoWarrantyDiscount)&gt;0,"% discounts","% discount")))))))))</f>
        <v/>
      </c>
      <c r="N2484" s="690"/>
      <c r="O2484" s="486"/>
      <c r="P2484" s="486"/>
      <c r="Q2484" s="486"/>
      <c r="R2484" s="486"/>
      <c r="S2484" s="486"/>
      <c r="T2484" s="102">
        <f t="shared" si="1833"/>
        <v>0</v>
      </c>
      <c r="U2484" s="78">
        <f>IF(NOT(ISNUMBER(G2484)), "", VLOOKUP(A2484,'Discount Lookup'!D:E,2,FALSE)*G2484)</f>
        <v>0</v>
      </c>
      <c r="V2484" s="78">
        <f>IF(NOT(ISNUMBER(G2484)), "", VLOOKUP(A2484,'Discount Lookup'!G:H,2,FALSE)*G2484)</f>
        <v>0</v>
      </c>
      <c r="W2484" s="102">
        <f t="shared" si="1834"/>
        <v>0</v>
      </c>
      <c r="X2484" s="102">
        <f t="shared" si="1835"/>
        <v>0</v>
      </c>
      <c r="Y2484" s="120" t="b">
        <f t="shared" si="1836"/>
        <v>0</v>
      </c>
      <c r="Z2484" s="117">
        <f t="shared" si="1837"/>
        <v>0</v>
      </c>
      <c r="AA2484" s="118"/>
      <c r="AB2484" s="118" t="str">
        <f t="shared" si="1838"/>
        <v/>
      </c>
      <c r="AC2484" s="712" t="str">
        <f>IF(AE2484="T2G","no charge",IF(AND(OR(PlanterYesMe="No",PlanterYesMe="N",PlanterYesMe="me"),H2484=""),"",IF(H2484="credit","NO install",IF(AND(K2484="",AE2484="me"),"EACH row",IF(AND(K2484="images",AE2484="me"),"EACH row",IF(D2484="","",IF(H2484="credit","",IF(AE2484="free","re-planting",IF(AE2484="me","   not ELP, by",IF(AND(OR(PlanterYesMe="Yes",PlanterYesMe="Y"),G2484&gt;0),(VLOOKUP(A2484,'Discount Lookup'!J:K,2)*G2484*(1-PlanterDiscount)*(1+PlanterDifficultyPercentage)),IF(AE2484="ELP",(VLOOKUP(A2484,'Discount Lookup'!J:K,2)*G2484*(1-PlanterDiscount)*(1+PlanterDifficultyPercentage)),IF(AE2484="free","re-planting",IF(G2484=0,"",IF(PlanterYesMe="",IF(AE2484="me","   not ELP, by",IF(AE2484="",IF(G2484&gt;0,(VLOOKUP(A2484,'Discount Lookup'!J:K,2)*G2484*(1-PlanterDiscount)*(1+PlanterDifficultyPercentage)),""),"")),"   not ELP, by"))))))))))))))</f>
        <v/>
      </c>
      <c r="AD2484" s="712"/>
      <c r="AE2484" s="513" t="str">
        <f t="shared" si="1839"/>
        <v/>
      </c>
      <c r="AF2484" s="713" t="str">
        <f t="shared" si="1840"/>
        <v/>
      </c>
      <c r="AG2484" s="713"/>
      <c r="AH2484" s="713"/>
      <c r="AI2484" s="112">
        <f>IF(H2484="credit",0,IF(AE2484="free",0,IF(AE2484="me",0,IF(G2484&gt;0,(VLOOKUP(A2484,'Discount Lookup'!J:K,2)*G2484),0))))</f>
        <v>0</v>
      </c>
      <c r="AJ2484" s="107" t="str">
        <f t="shared" ca="1" si="1841"/>
        <v/>
      </c>
      <c r="AK2484" s="714" t="str">
        <f t="shared" si="1842"/>
        <v/>
      </c>
      <c r="AL2484" s="714"/>
      <c r="AM2484" s="114" t="str">
        <f t="shared" si="1843"/>
        <v/>
      </c>
      <c r="AN2484" s="115"/>
      <c r="AO2484" s="116"/>
      <c r="AP2484" s="116"/>
      <c r="AQ2484" s="116"/>
      <c r="AR2484" s="116"/>
      <c r="AS2484" s="116"/>
      <c r="AT2484" s="116"/>
      <c r="AU2484" s="116"/>
      <c r="AV2484" s="78"/>
      <c r="AW2484" s="102"/>
      <c r="AX2484" s="78"/>
      <c r="AY2484" s="78"/>
      <c r="AZ2484" s="78"/>
      <c r="BA2484" s="78"/>
      <c r="BB2484" s="78"/>
      <c r="BC2484" s="78"/>
      <c r="BD2484" s="78"/>
      <c r="BE2484" s="465"/>
      <c r="BF2484" s="165" t="str">
        <f t="shared" si="1844"/>
        <v>https://www.google.com/search?tbm=isch&amp;q=3%20G2</v>
      </c>
      <c r="BG2484" s="165" t="str">
        <f t="shared" si="1845"/>
        <v>J</v>
      </c>
      <c r="BH2484" s="65"/>
      <c r="BI2484" s="65"/>
      <c r="BJ2484" s="65"/>
      <c r="BK2484" s="65"/>
      <c r="BL2484" s="99"/>
      <c r="BM2484" s="99"/>
      <c r="BN2484" s="99"/>
    </row>
    <row r="2485" spans="1:66" s="51" customFormat="1" ht="17.25" thickBot="1" x14ac:dyDescent="0.3">
      <c r="A2485" s="508" t="s">
        <v>3152</v>
      </c>
      <c r="B2485" s="487"/>
      <c r="C2485" s="707"/>
      <c r="D2485" s="487"/>
      <c r="E2485" s="487"/>
      <c r="F2485" s="488"/>
      <c r="G2485" s="489"/>
      <c r="H2485" s="487"/>
      <c r="I2485" s="490"/>
      <c r="J2485" s="490"/>
      <c r="K2485" s="491"/>
      <c r="L2485" s="547"/>
      <c r="M2485" s="528"/>
      <c r="N2485" s="492"/>
      <c r="O2485" s="493"/>
      <c r="P2485" s="494"/>
      <c r="Q2485" s="492"/>
      <c r="R2485" s="492"/>
      <c r="S2485" s="699" t="s">
        <v>5280</v>
      </c>
      <c r="T2485" s="102">
        <f t="shared" si="1833"/>
        <v>0</v>
      </c>
      <c r="U2485" s="78" t="str">
        <f>IF(NOT(ISNUMBER(G2485)), "", VLOOKUP(A2485,'Discount Lookup'!D:E,2,FALSE)*G2485)</f>
        <v/>
      </c>
      <c r="V2485" s="78" t="str">
        <f>IF(NOT(ISNUMBER(G2485)), "", VLOOKUP(A2485,'Discount Lookup'!G:H,2,FALSE)*G2485)</f>
        <v/>
      </c>
      <c r="W2485" s="102">
        <f t="shared" si="1834"/>
        <v>0</v>
      </c>
      <c r="X2485" s="102">
        <f t="shared" si="1835"/>
        <v>0</v>
      </c>
      <c r="Y2485" s="120" t="b">
        <f t="shared" si="1836"/>
        <v>0</v>
      </c>
      <c r="Z2485" s="117">
        <f t="shared" si="1837"/>
        <v>0</v>
      </c>
      <c r="AA2485" s="118"/>
      <c r="AB2485" s="118" t="str">
        <f t="shared" si="1838"/>
        <v/>
      </c>
      <c r="AC2485" s="712" t="str">
        <f>IF(AE2485="T2G","no charge",IF(AND(OR(PlanterYesMe="No",PlanterYesMe="N",PlanterYesMe="me"),H2485=""),"",IF(H2485="credit","NO install",IF(AND(K2485="",AE2485="me"),"EACH row",IF(AND(K2485="images",AE2485="me"),"EACH row",IF(D2485="","",IF(H2485="credit","",IF(AE2485="free","re-planting",IF(AE2485="me","   not ELP, by",IF(AND(OR(PlanterYesMe="Yes",PlanterYesMe="Y"),G2485&gt;0),(VLOOKUP(A2485,'Discount Lookup'!J:K,2)*G2485*(1-PlanterDiscount)*(1+PlanterDifficultyPercentage)),IF(AE2485="ELP",(VLOOKUP(A2485,'Discount Lookup'!J:K,2)*G2485*(1-PlanterDiscount)*(1+PlanterDifficultyPercentage)),IF(AE2485="free","re-planting",IF(G2485=0,"",IF(PlanterYesMe="",IF(AE2485="me","   not ELP, by",IF(AE2485="",IF(G2485&gt;0,(VLOOKUP(A2485,'Discount Lookup'!J:K,2)*G2485*(1-PlanterDiscount)*(1+PlanterDifficultyPercentage)),""),"")),"   not ELP, by"))))))))))))))</f>
        <v/>
      </c>
      <c r="AD2485" s="712"/>
      <c r="AE2485" s="513" t="str">
        <f t="shared" si="1839"/>
        <v/>
      </c>
      <c r="AF2485" s="713" t="str">
        <f t="shared" si="1840"/>
        <v/>
      </c>
      <c r="AG2485" s="713"/>
      <c r="AH2485" s="713"/>
      <c r="AI2485" s="112">
        <f>IF(H2485="credit",0,IF(AE2485="free",0,IF(AE2485="me",0,IF(G2485&gt;0,(VLOOKUP(A2485,'Discount Lookup'!J:K,2)*G2485),0))))</f>
        <v>0</v>
      </c>
      <c r="AJ2485" s="107" t="str">
        <f t="shared" ca="1" si="1841"/>
        <v/>
      </c>
      <c r="AK2485" s="714" t="str">
        <f t="shared" si="1842"/>
        <v/>
      </c>
      <c r="AL2485" s="714"/>
      <c r="AM2485" s="114" t="str">
        <f t="shared" si="1843"/>
        <v/>
      </c>
      <c r="AN2485" s="115"/>
      <c r="AO2485" s="116"/>
      <c r="AP2485" s="116"/>
      <c r="AQ2485" s="116"/>
      <c r="AR2485" s="116"/>
      <c r="AS2485" s="116"/>
      <c r="AT2485" s="116"/>
      <c r="AU2485" s="116"/>
      <c r="AV2485" s="78"/>
      <c r="AW2485" s="102"/>
      <c r="AX2485" s="78"/>
      <c r="AY2485" s="78"/>
      <c r="AZ2485" s="78"/>
      <c r="BA2485" s="78"/>
      <c r="BB2485" s="78"/>
      <c r="BC2485" s="78"/>
      <c r="BD2485" s="78"/>
      <c r="BE2485" s="465"/>
      <c r="BF2485" s="165" t="str">
        <f t="shared" si="1844"/>
        <v>https://www.google.com/search?tbm=isch&amp;q=Grey%20Owl%20is%20a%20female%2C%20producing%20blue%20berry-like%20cones.%20Arching%20branches%20of%20Silver-Gray%20foliage.%20Sun%2Fheat%2Fdrought%20tolerant%20</v>
      </c>
      <c r="BG2485" s="165" t="str">
        <f t="shared" si="1845"/>
        <v>G</v>
      </c>
      <c r="BH2485" s="65"/>
      <c r="BI2485" s="65"/>
      <c r="BJ2485" s="65"/>
      <c r="BK2485" s="65"/>
      <c r="BL2485" s="99"/>
      <c r="BM2485" s="99"/>
      <c r="BN2485" s="99"/>
    </row>
    <row r="2486" spans="1:66" s="51" customFormat="1" ht="18" x14ac:dyDescent="0.25">
      <c r="A2486" s="507" t="s">
        <v>578</v>
      </c>
      <c r="B2486" s="470"/>
      <c r="C2486" s="706"/>
      <c r="D2486" s="471" t="s">
        <v>579</v>
      </c>
      <c r="E2486" s="472"/>
      <c r="F2486" s="472"/>
      <c r="G2486" s="472"/>
      <c r="H2486" s="622" t="s">
        <v>580</v>
      </c>
      <c r="I2486" s="473" t="s">
        <v>581</v>
      </c>
      <c r="J2486" s="472"/>
      <c r="K2486" s="472"/>
      <c r="L2486" s="561"/>
      <c r="M2486" s="698" t="s">
        <v>5240</v>
      </c>
      <c r="N2486" s="692" t="str">
        <f>IF(AND(ISTEXT($A2486), ISERROR($A2486+0)), HYPERLINK($BF2486, "Images"), "")</f>
        <v>Images</v>
      </c>
      <c r="O2486" s="694" t="s">
        <v>5244</v>
      </c>
      <c r="P2486" s="475"/>
      <c r="Q2486" s="476"/>
      <c r="R2486" s="476"/>
      <c r="S2486" s="477" t="s">
        <v>294</v>
      </c>
      <c r="T2486" s="102">
        <f t="shared" si="1833"/>
        <v>0</v>
      </c>
      <c r="U2486" s="78" t="str">
        <f>IF(NOT(ISNUMBER(G2486)), "", VLOOKUP(A2486,'Discount Lookup'!D:E,2,FALSE)*G2486)</f>
        <v/>
      </c>
      <c r="V2486" s="78" t="str">
        <f>IF(NOT(ISNUMBER(G2486)), "", VLOOKUP(A2486,'Discount Lookup'!G:H,2,FALSE)*G2486)</f>
        <v/>
      </c>
      <c r="W2486" s="102">
        <f t="shared" si="1834"/>
        <v>0</v>
      </c>
      <c r="X2486" s="102" t="str">
        <f t="shared" si="1835"/>
        <v>Silver-Blue-Green foliage</v>
      </c>
      <c r="Y2486" s="120" t="b">
        <f t="shared" si="1836"/>
        <v>0</v>
      </c>
      <c r="Z2486" s="117">
        <f t="shared" si="1837"/>
        <v>0</v>
      </c>
      <c r="AA2486" s="118"/>
      <c r="AB2486" s="118" t="str">
        <f t="shared" si="1838"/>
        <v/>
      </c>
      <c r="AC2486" s="712" t="str">
        <f>IF(AE2486="T2G","no charge",IF(AND(OR(PlanterYesMe="No",PlanterYesMe="N",PlanterYesMe="me"),H2486=""),"",IF(H2486="credit","NO install",IF(AND(K2486="",AE2486="me"),"EACH row",IF(AND(K2486="images",AE2486="me"),"EACH row",IF(D2486="","",IF(H2486="credit","",IF(AE2486="free","re-planting",IF(AE2486="me","   not ELP, by",IF(AND(OR(PlanterYesMe="Yes",PlanterYesMe="Y"),G2486&gt;0),(VLOOKUP(A2486,'Discount Lookup'!J:K,2)*G2486*(1-PlanterDiscount)*(1+PlanterDifficultyPercentage)),IF(AE2486="ELP",(VLOOKUP(A2486,'Discount Lookup'!J:K,2)*G2486*(1-PlanterDiscount)*(1+PlanterDifficultyPercentage)),IF(AE2486="free","re-planting",IF(G2486=0,"",IF(PlanterYesMe="",IF(AE2486="me","   not ELP, by",IF(AE2486="",IF(G2486&gt;0,(VLOOKUP(A2486,'Discount Lookup'!J:K,2)*G2486*(1-PlanterDiscount)*(1+PlanterDifficultyPercentage)),""),"")),"   not ELP, by"))))))))))))))</f>
        <v/>
      </c>
      <c r="AD2486" s="712"/>
      <c r="AE2486" s="513" t="str">
        <f t="shared" si="1839"/>
        <v/>
      </c>
      <c r="AF2486" s="713" t="str">
        <f t="shared" si="1840"/>
        <v/>
      </c>
      <c r="AG2486" s="713"/>
      <c r="AH2486" s="713"/>
      <c r="AI2486" s="112">
        <f>IF(H2486="credit",0,IF(AE2486="free",0,IF(AE2486="me",0,IF(G2486&gt;0,(VLOOKUP(A2486,'Discount Lookup'!J:K,2)*G2486),0))))</f>
        <v>0</v>
      </c>
      <c r="AJ2486" s="107" t="str">
        <f t="shared" ca="1" si="1841"/>
        <v/>
      </c>
      <c r="AK2486" s="714" t="str">
        <f t="shared" si="1842"/>
        <v/>
      </c>
      <c r="AL2486" s="714"/>
      <c r="AM2486" s="114" t="str">
        <f t="shared" si="1843"/>
        <v/>
      </c>
      <c r="AN2486" s="115"/>
      <c r="AO2486" s="116"/>
      <c r="AP2486" s="116"/>
      <c r="AQ2486" s="116"/>
      <c r="AR2486" s="116"/>
      <c r="AS2486" s="116"/>
      <c r="AT2486" s="116"/>
      <c r="AU2486" s="116"/>
      <c r="AV2486" s="78"/>
      <c r="AW2486" s="102"/>
      <c r="AX2486" s="78"/>
      <c r="AY2486" s="78"/>
      <c r="AZ2486" s="78"/>
      <c r="BA2486" s="78"/>
      <c r="BB2486" s="78"/>
      <c r="BC2486" s="78"/>
      <c r="BD2486" s="78"/>
      <c r="BE2486" s="465"/>
      <c r="BF2486" s="165" t="str">
        <f t="shared" si="1844"/>
        <v>https://www.google.com/search?tbm=isch&amp;q=Juniperus%20virginiana%20%27Taylor%27%20Taylor%20Juniper</v>
      </c>
      <c r="BG2486" s="165" t="str">
        <f t="shared" si="1845"/>
        <v>J</v>
      </c>
      <c r="BH2486" s="65"/>
      <c r="BI2486" s="65"/>
      <c r="BJ2486" s="65"/>
      <c r="BK2486" s="65"/>
      <c r="BL2486" s="99"/>
      <c r="BM2486" s="99"/>
      <c r="BN2486" s="99"/>
    </row>
    <row r="2487" spans="1:66" s="51" customFormat="1" ht="15.75" x14ac:dyDescent="0.25">
      <c r="A2487" s="478">
        <v>7</v>
      </c>
      <c r="B2487" s="479" t="s">
        <v>291</v>
      </c>
      <c r="C2487" s="480" t="s">
        <v>4988</v>
      </c>
      <c r="D2487" s="481" t="s">
        <v>299</v>
      </c>
      <c r="E2487" s="482">
        <v>141.94999999999999</v>
      </c>
      <c r="F2487" s="483" t="s">
        <v>292</v>
      </c>
      <c r="G2487" s="484">
        <v>0</v>
      </c>
      <c r="H2487" s="688" t="str">
        <f>IF(G2487=0,"",IF(F2487="Buy",IF(G2487=1,"plant","plants"),IF(F2487&gt;0.01,"warranty","Error")))</f>
        <v/>
      </c>
      <c r="I2487" s="485">
        <f>IF(H2487="free",0,IF(H2487="credit",((E2487*(F2487))*G2487*-1),IF(F2487="Buy",(E2487*G2487),((E2487*(1-F2487))*G2487))))</f>
        <v>0</v>
      </c>
      <c r="J2487" s="485">
        <f>IF(H2487="warranty",0,(I2487*(_xlfn.SINGLE(SalesTaxPercentage))))</f>
        <v>0</v>
      </c>
      <c r="K2487" s="715">
        <f t="shared" ref="K2487" si="1864">I2487+J2487</f>
        <v>0</v>
      </c>
      <c r="L2487" s="715"/>
      <c r="M2487" s="689" t="str">
        <f ca="1">IF(AND(G2487&gt;0,E2487=0),"WARNING - no PRICE inserted",IF(H2487="free","FREE ~ no charge this plant",IF(H2487="credit",CONCATENATE("-$",ROUND(K2487*(1-_xlfn.SINGLE(T2GDiscount))*-1,2)," CREDIT after discount"),IF(_xlfn.SINGLE(T2GDiscount)=0,"",IF(G2487=0,"",IF(F2487="Buy",CONCATENATE("$",ROUND(K2487*(1-_xlfn.SINGLE(T2GDiscount)),2)," with ",(_xlfn.SINGLE(T2GDiscount)*100),"% discount"),CONCATENATE("$",ROUND(K2487*(1-_xlfn.SINGLE(T2GDiscount)),2)," with ",((_xlfn.SINGLE(T2GDiscount)*100+F2487*100)-(_xlfn.SINGLE(T2GDiscount)*100*F2487)),IF(F2487&gt;0,"% discounts",IF(_xlfn.SINGLE(NoWarrantyDiscount)&gt;0,"% discounts","% discount")))))))))</f>
        <v/>
      </c>
      <c r="N2487" s="690"/>
      <c r="O2487" s="486"/>
      <c r="P2487" s="486"/>
      <c r="Q2487" s="486"/>
      <c r="R2487" s="486"/>
      <c r="S2487" s="486"/>
      <c r="T2487" s="102">
        <f t="shared" si="1833"/>
        <v>0</v>
      </c>
      <c r="U2487" s="78">
        <f>IF(NOT(ISNUMBER(G2487)), "", VLOOKUP(A2487,'Discount Lookup'!D:E,2,FALSE)*G2487)</f>
        <v>0</v>
      </c>
      <c r="V2487" s="78">
        <f>IF(NOT(ISNUMBER(G2487)), "", VLOOKUP(A2487,'Discount Lookup'!G:H,2,FALSE)*G2487)</f>
        <v>0</v>
      </c>
      <c r="W2487" s="102">
        <f t="shared" si="1834"/>
        <v>0</v>
      </c>
      <c r="X2487" s="102">
        <f t="shared" si="1835"/>
        <v>0</v>
      </c>
      <c r="Y2487" s="120" t="b">
        <f t="shared" si="1836"/>
        <v>0</v>
      </c>
      <c r="Z2487" s="117">
        <f t="shared" si="1837"/>
        <v>0</v>
      </c>
      <c r="AA2487" s="118"/>
      <c r="AB2487" s="118" t="str">
        <f t="shared" si="1838"/>
        <v/>
      </c>
      <c r="AC2487" s="712" t="str">
        <f>IF(AE2487="T2G","no charge",IF(AND(OR(PlanterYesMe="No",PlanterYesMe="N",PlanterYesMe="me"),H2487=""),"",IF(H2487="credit","NO install",IF(AND(K2487="",AE2487="me"),"EACH row",IF(AND(K2487="images",AE2487="me"),"EACH row",IF(D2487="","",IF(H2487="credit","",IF(AE2487="free","re-planting",IF(AE2487="me","   not ELP, by",IF(AND(OR(PlanterYesMe="Yes",PlanterYesMe="Y"),G2487&gt;0),(VLOOKUP(A2487,'Discount Lookup'!J:K,2)*G2487*(1-PlanterDiscount)*(1+PlanterDifficultyPercentage)),IF(AE2487="ELP",(VLOOKUP(A2487,'Discount Lookup'!J:K,2)*G2487*(1-PlanterDiscount)*(1+PlanterDifficultyPercentage)),IF(AE2487="free","re-planting",IF(G2487=0,"",IF(PlanterYesMe="",IF(AE2487="me","   not ELP, by",IF(AE2487="",IF(G2487&gt;0,(VLOOKUP(A2487,'Discount Lookup'!J:K,2)*G2487*(1-PlanterDiscount)*(1+PlanterDifficultyPercentage)),""),"")),"   not ELP, by"))))))))))))))</f>
        <v/>
      </c>
      <c r="AD2487" s="712"/>
      <c r="AE2487" s="513" t="str">
        <f t="shared" si="1839"/>
        <v/>
      </c>
      <c r="AF2487" s="713" t="str">
        <f t="shared" si="1840"/>
        <v/>
      </c>
      <c r="AG2487" s="713"/>
      <c r="AH2487" s="713"/>
      <c r="AI2487" s="112">
        <f>IF(H2487="credit",0,IF(AE2487="free",0,IF(AE2487="me",0,IF(G2487&gt;0,(VLOOKUP(A2487,'Discount Lookup'!J:K,2)*G2487),0))))</f>
        <v>0</v>
      </c>
      <c r="AJ2487" s="107" t="str">
        <f t="shared" ca="1" si="1841"/>
        <v/>
      </c>
      <c r="AK2487" s="714" t="str">
        <f t="shared" si="1842"/>
        <v/>
      </c>
      <c r="AL2487" s="714"/>
      <c r="AM2487" s="114" t="str">
        <f t="shared" si="1843"/>
        <v/>
      </c>
      <c r="AN2487" s="115"/>
      <c r="AO2487" s="116"/>
      <c r="AP2487" s="116"/>
      <c r="AQ2487" s="116"/>
      <c r="AR2487" s="116"/>
      <c r="AS2487" s="116"/>
      <c r="AT2487" s="116"/>
      <c r="AU2487" s="116"/>
      <c r="AV2487" s="78"/>
      <c r="AW2487" s="102"/>
      <c r="AX2487" s="78"/>
      <c r="AY2487" s="78"/>
      <c r="AZ2487" s="78"/>
      <c r="BA2487" s="78"/>
      <c r="BB2487" s="78"/>
      <c r="BC2487" s="78"/>
      <c r="BD2487" s="78"/>
      <c r="BE2487" s="465"/>
      <c r="BF2487" s="165" t="str">
        <f t="shared" si="1844"/>
        <v>https://www.google.com/search?tbm=isch&amp;q=7%20G4</v>
      </c>
      <c r="BG2487" s="165" t="str">
        <f t="shared" si="1845"/>
        <v>J</v>
      </c>
      <c r="BH2487" s="65"/>
      <c r="BI2487" s="65"/>
      <c r="BJ2487" s="65"/>
      <c r="BK2487" s="65"/>
      <c r="BL2487" s="99"/>
      <c r="BM2487" s="99"/>
      <c r="BN2487" s="99"/>
    </row>
    <row r="2488" spans="1:66" s="51" customFormat="1" ht="27" x14ac:dyDescent="0.25">
      <c r="A2488" s="478">
        <v>15</v>
      </c>
      <c r="B2488" s="479" t="s">
        <v>291</v>
      </c>
      <c r="C2488" s="480" t="s">
        <v>966</v>
      </c>
      <c r="D2488" s="481" t="s">
        <v>299</v>
      </c>
      <c r="E2488" s="482">
        <v>201.95</v>
      </c>
      <c r="F2488" s="483" t="s">
        <v>292</v>
      </c>
      <c r="G2488" s="484">
        <v>0</v>
      </c>
      <c r="H2488" s="688" t="str">
        <f>IF(G2488=0,"",IF(F2488="Buy",IF(G2488=1,"plant","plants"),IF(F2488&gt;0.01,"warranty","Error")))</f>
        <v/>
      </c>
      <c r="I2488" s="485">
        <f>IF(H2488="free",0,IF(H2488="credit",((E2488*(F2488))*G2488*-1),IF(F2488="Buy",(E2488*G2488),((E2488*(1-F2488))*G2488))))</f>
        <v>0</v>
      </c>
      <c r="J2488" s="485">
        <f>IF(H2488="warranty",0,(I2488*(_xlfn.SINGLE(SalesTaxPercentage))))</f>
        <v>0</v>
      </c>
      <c r="K2488" s="715">
        <f t="shared" ref="K2488" si="1865">I2488+J2488</f>
        <v>0</v>
      </c>
      <c r="L2488" s="715"/>
      <c r="M2488" s="689" t="str">
        <f ca="1">IF(AND(G2488&gt;0,E2488=0),"WARNING - no PRICE inserted",IF(H2488="free","FREE ~ no charge this plant",IF(H2488="credit",CONCATENATE("-$",ROUND(K2488*(1-_xlfn.SINGLE(T2GDiscount))*-1,2)," CREDIT after discount"),IF(_xlfn.SINGLE(T2GDiscount)=0,"",IF(G2488=0,"",IF(F2488="Buy",CONCATENATE("$",ROUND(K2488*(1-_xlfn.SINGLE(T2GDiscount)),2)," with ",(_xlfn.SINGLE(T2GDiscount)*100),"% discount"),CONCATENATE("$",ROUND(K2488*(1-_xlfn.SINGLE(T2GDiscount)),2)," with ",((_xlfn.SINGLE(T2GDiscount)*100+F2488*100)-(_xlfn.SINGLE(T2GDiscount)*100*F2488)),IF(F2488&gt;0,"% discounts",IF(_xlfn.SINGLE(NoWarrantyDiscount)&gt;0,"% discounts","% discount")))))))))</f>
        <v/>
      </c>
      <c r="N2488" s="690"/>
      <c r="O2488" s="486"/>
      <c r="P2488" s="486"/>
      <c r="Q2488" s="486"/>
      <c r="R2488" s="486"/>
      <c r="S2488" s="486"/>
      <c r="T2488" s="102">
        <f t="shared" si="1833"/>
        <v>0</v>
      </c>
      <c r="U2488" s="78">
        <f>IF(NOT(ISNUMBER(G2488)), "", VLOOKUP(A2488,'Discount Lookup'!D:E,2,FALSE)*G2488)</f>
        <v>0</v>
      </c>
      <c r="V2488" s="78">
        <f>IF(NOT(ISNUMBER(G2488)), "", VLOOKUP(A2488,'Discount Lookup'!G:H,2,FALSE)*G2488)</f>
        <v>0</v>
      </c>
      <c r="W2488" s="102">
        <f t="shared" si="1834"/>
        <v>0</v>
      </c>
      <c r="X2488" s="102">
        <f t="shared" si="1835"/>
        <v>0</v>
      </c>
      <c r="Y2488" s="120" t="b">
        <f t="shared" si="1836"/>
        <v>0</v>
      </c>
      <c r="Z2488" s="117">
        <f t="shared" si="1837"/>
        <v>0</v>
      </c>
      <c r="AA2488" s="118"/>
      <c r="AB2488" s="118" t="str">
        <f t="shared" si="1838"/>
        <v/>
      </c>
      <c r="AC2488" s="712" t="str">
        <f>IF(AE2488="T2G","no charge",IF(AND(OR(PlanterYesMe="No",PlanterYesMe="N",PlanterYesMe="me"),H2488=""),"",IF(H2488="credit","NO install",IF(AND(K2488="",AE2488="me"),"EACH row",IF(AND(K2488="images",AE2488="me"),"EACH row",IF(D2488="","",IF(H2488="credit","",IF(AE2488="free","re-planting",IF(AE2488="me","   not ELP, by",IF(AND(OR(PlanterYesMe="Yes",PlanterYesMe="Y"),G2488&gt;0),(VLOOKUP(A2488,'Discount Lookup'!J:K,2)*G2488*(1-PlanterDiscount)*(1+PlanterDifficultyPercentage)),IF(AE2488="ELP",(VLOOKUP(A2488,'Discount Lookup'!J:K,2)*G2488*(1-PlanterDiscount)*(1+PlanterDifficultyPercentage)),IF(AE2488="free","re-planting",IF(G2488=0,"",IF(PlanterYesMe="",IF(AE2488="me","   not ELP, by",IF(AE2488="",IF(G2488&gt;0,(VLOOKUP(A2488,'Discount Lookup'!J:K,2)*G2488*(1-PlanterDiscount)*(1+PlanterDifficultyPercentage)),""),"")),"   not ELP, by"))))))))))))))</f>
        <v/>
      </c>
      <c r="AD2488" s="712"/>
      <c r="AE2488" s="513" t="str">
        <f t="shared" si="1839"/>
        <v/>
      </c>
      <c r="AF2488" s="713" t="str">
        <f t="shared" si="1840"/>
        <v/>
      </c>
      <c r="AG2488" s="713"/>
      <c r="AH2488" s="713"/>
      <c r="AI2488" s="112">
        <f>IF(H2488="credit",0,IF(AE2488="free",0,IF(AE2488="me",0,IF(G2488&gt;0,(VLOOKUP(A2488,'Discount Lookup'!J:K,2)*G2488),0))))</f>
        <v>0</v>
      </c>
      <c r="AJ2488" s="107" t="str">
        <f t="shared" ca="1" si="1841"/>
        <v/>
      </c>
      <c r="AK2488" s="714" t="str">
        <f t="shared" si="1842"/>
        <v/>
      </c>
      <c r="AL2488" s="714"/>
      <c r="AM2488" s="114" t="str">
        <f t="shared" si="1843"/>
        <v/>
      </c>
      <c r="AN2488" s="115"/>
      <c r="AO2488" s="116"/>
      <c r="AP2488" s="116"/>
      <c r="AQ2488" s="116"/>
      <c r="AR2488" s="116"/>
      <c r="AS2488" s="116"/>
      <c r="AT2488" s="116"/>
      <c r="AU2488" s="116"/>
      <c r="AV2488" s="78"/>
      <c r="AW2488" s="102"/>
      <c r="AX2488" s="78"/>
      <c r="AY2488" s="78"/>
      <c r="AZ2488" s="78"/>
      <c r="BA2488" s="78"/>
      <c r="BB2488" s="78"/>
      <c r="BC2488" s="78"/>
      <c r="BD2488" s="78"/>
      <c r="BE2488" s="465"/>
      <c r="BF2488" s="165" t="str">
        <f t="shared" si="1844"/>
        <v>https://www.google.com/search?tbm=isch&amp;q=15%20G4</v>
      </c>
      <c r="BG2488" s="165" t="str">
        <f t="shared" si="1845"/>
        <v>J</v>
      </c>
      <c r="BH2488" s="65"/>
      <c r="BI2488" s="65"/>
      <c r="BJ2488" s="65"/>
      <c r="BK2488" s="65"/>
      <c r="BL2488" s="99"/>
      <c r="BM2488" s="99"/>
      <c r="BN2488" s="99"/>
    </row>
    <row r="2489" spans="1:66" s="51" customFormat="1" ht="15.75" x14ac:dyDescent="0.25">
      <c r="A2489" s="478">
        <v>15</v>
      </c>
      <c r="B2489" s="479" t="s">
        <v>291</v>
      </c>
      <c r="C2489" s="480" t="s">
        <v>4628</v>
      </c>
      <c r="D2489" s="481" t="s">
        <v>293</v>
      </c>
      <c r="E2489" s="482">
        <v>284.95</v>
      </c>
      <c r="F2489" s="483" t="s">
        <v>292</v>
      </c>
      <c r="G2489" s="484">
        <v>0</v>
      </c>
      <c r="H2489" s="688" t="str">
        <f>IF(G2489=0,"",IF(F2489="Buy",IF(G2489=1,"plant","plants"),IF(F2489&gt;0.01,"warranty","Error")))</f>
        <v/>
      </c>
      <c r="I2489" s="485">
        <f>IF(H2489="free",0,IF(H2489="credit",((E2489*(F2489))*G2489*-1),IF(F2489="Buy",(E2489*G2489),((E2489*(1-F2489))*G2489))))</f>
        <v>0</v>
      </c>
      <c r="J2489" s="485">
        <f>IF(H2489="warranty",0,(I2489*(_xlfn.SINGLE(SalesTaxPercentage))))</f>
        <v>0</v>
      </c>
      <c r="K2489" s="715">
        <f t="shared" ref="K2489" si="1866">I2489+J2489</f>
        <v>0</v>
      </c>
      <c r="L2489" s="715"/>
      <c r="M2489" s="689" t="str">
        <f ca="1">IF(AND(G2489&gt;0,E2489=0),"WARNING - no PRICE inserted",IF(H2489="free","FREE ~ no charge this plant",IF(H2489="credit",CONCATENATE("-$",ROUND(K2489*(1-_xlfn.SINGLE(T2GDiscount))*-1,2)," CREDIT after discount"),IF(_xlfn.SINGLE(T2GDiscount)=0,"",IF(G2489=0,"",IF(F2489="Buy",CONCATENATE("$",ROUND(K2489*(1-_xlfn.SINGLE(T2GDiscount)),2)," with ",(_xlfn.SINGLE(T2GDiscount)*100),"% discount"),CONCATENATE("$",ROUND(K2489*(1-_xlfn.SINGLE(T2GDiscount)),2)," with ",((_xlfn.SINGLE(T2GDiscount)*100+F2489*100)-(_xlfn.SINGLE(T2GDiscount)*100*F2489)),IF(F2489&gt;0,"% discounts",IF(_xlfn.SINGLE(NoWarrantyDiscount)&gt;0,"% discounts","% discount")))))))))</f>
        <v/>
      </c>
      <c r="N2489" s="690"/>
      <c r="O2489" s="486"/>
      <c r="P2489" s="486"/>
      <c r="Q2489" s="486"/>
      <c r="R2489" s="486"/>
      <c r="S2489" s="486"/>
      <c r="T2489" s="102">
        <f t="shared" si="1833"/>
        <v>0</v>
      </c>
      <c r="U2489" s="78">
        <f>IF(NOT(ISNUMBER(G2489)), "", VLOOKUP(A2489,'Discount Lookup'!D:E,2,FALSE)*G2489)</f>
        <v>0</v>
      </c>
      <c r="V2489" s="78">
        <f>IF(NOT(ISNUMBER(G2489)), "", VLOOKUP(A2489,'Discount Lookup'!G:H,2,FALSE)*G2489)</f>
        <v>0</v>
      </c>
      <c r="W2489" s="102">
        <f t="shared" si="1834"/>
        <v>0</v>
      </c>
      <c r="X2489" s="102">
        <f t="shared" si="1835"/>
        <v>0</v>
      </c>
      <c r="Y2489" s="120" t="b">
        <f t="shared" si="1836"/>
        <v>0</v>
      </c>
      <c r="Z2489" s="117">
        <f t="shared" si="1837"/>
        <v>0</v>
      </c>
      <c r="AA2489" s="118"/>
      <c r="AB2489" s="118" t="str">
        <f t="shared" si="1838"/>
        <v/>
      </c>
      <c r="AC2489" s="712" t="str">
        <f>IF(AE2489="T2G","no charge",IF(AND(OR(PlanterYesMe="No",PlanterYesMe="N",PlanterYesMe="me"),H2489=""),"",IF(H2489="credit","NO install",IF(AND(K2489="",AE2489="me"),"EACH row",IF(AND(K2489="images",AE2489="me"),"EACH row",IF(D2489="","",IF(H2489="credit","",IF(AE2489="free","re-planting",IF(AE2489="me","   not ELP, by",IF(AND(OR(PlanterYesMe="Yes",PlanterYesMe="Y"),G2489&gt;0),(VLOOKUP(A2489,'Discount Lookup'!J:K,2)*G2489*(1-PlanterDiscount)*(1+PlanterDifficultyPercentage)),IF(AE2489="ELP",(VLOOKUP(A2489,'Discount Lookup'!J:K,2)*G2489*(1-PlanterDiscount)*(1+PlanterDifficultyPercentage)),IF(AE2489="free","re-planting",IF(G2489=0,"",IF(PlanterYesMe="",IF(AE2489="me","   not ELP, by",IF(AE2489="",IF(G2489&gt;0,(VLOOKUP(A2489,'Discount Lookup'!J:K,2)*G2489*(1-PlanterDiscount)*(1+PlanterDifficultyPercentage)),""),"")),"   not ELP, by"))))))))))))))</f>
        <v/>
      </c>
      <c r="AD2489" s="712"/>
      <c r="AE2489" s="513" t="str">
        <f t="shared" si="1839"/>
        <v/>
      </c>
      <c r="AF2489" s="713" t="str">
        <f t="shared" si="1840"/>
        <v/>
      </c>
      <c r="AG2489" s="713"/>
      <c r="AH2489" s="713"/>
      <c r="AI2489" s="112">
        <f>IF(H2489="credit",0,IF(AE2489="free",0,IF(AE2489="me",0,IF(G2489&gt;0,(VLOOKUP(A2489,'Discount Lookup'!J:K,2)*G2489),0))))</f>
        <v>0</v>
      </c>
      <c r="AJ2489" s="107" t="str">
        <f t="shared" ca="1" si="1841"/>
        <v/>
      </c>
      <c r="AK2489" s="714" t="str">
        <f t="shared" si="1842"/>
        <v/>
      </c>
      <c r="AL2489" s="714"/>
      <c r="AM2489" s="114" t="str">
        <f t="shared" si="1843"/>
        <v/>
      </c>
      <c r="AN2489" s="115"/>
      <c r="AO2489" s="116"/>
      <c r="AP2489" s="116"/>
      <c r="AQ2489" s="116"/>
      <c r="AR2489" s="116"/>
      <c r="AS2489" s="116"/>
      <c r="AT2489" s="116"/>
      <c r="AU2489" s="116"/>
      <c r="AV2489" s="78"/>
      <c r="AW2489" s="102"/>
      <c r="AX2489" s="78"/>
      <c r="AY2489" s="78"/>
      <c r="AZ2489" s="78"/>
      <c r="BA2489" s="78"/>
      <c r="BB2489" s="78"/>
      <c r="BC2489" s="78"/>
      <c r="BD2489" s="78"/>
      <c r="BE2489" s="465"/>
      <c r="BF2489" s="165" t="str">
        <f t="shared" si="1844"/>
        <v>https://www.google.com/search?tbm=isch&amp;q=15%20G6</v>
      </c>
      <c r="BG2489" s="165" t="str">
        <f t="shared" si="1845"/>
        <v>J</v>
      </c>
      <c r="BH2489" s="65"/>
      <c r="BI2489" s="65"/>
      <c r="BJ2489" s="65"/>
      <c r="BK2489" s="65"/>
      <c r="BL2489" s="99"/>
      <c r="BM2489" s="99"/>
      <c r="BN2489" s="99"/>
    </row>
    <row r="2490" spans="1:66" s="51" customFormat="1" ht="15.75" x14ac:dyDescent="0.25">
      <c r="A2490" s="478">
        <v>25</v>
      </c>
      <c r="B2490" s="479" t="s">
        <v>291</v>
      </c>
      <c r="C2490" s="480" t="s">
        <v>332</v>
      </c>
      <c r="D2490" s="481" t="s">
        <v>293</v>
      </c>
      <c r="E2490" s="482">
        <v>513.95000000000005</v>
      </c>
      <c r="F2490" s="483" t="s">
        <v>292</v>
      </c>
      <c r="G2490" s="484">
        <v>0</v>
      </c>
      <c r="H2490" s="688" t="str">
        <f>IF(G2490=0,"",IF(F2490="Buy",IF(G2490=1,"plant","plants"),IF(F2490&gt;0.01,"warranty","Error")))</f>
        <v/>
      </c>
      <c r="I2490" s="485">
        <f>IF(H2490="free",0,IF(H2490="credit",((E2490*(F2490))*G2490*-1),IF(F2490="Buy",(E2490*G2490),((E2490*(1-F2490))*G2490))))</f>
        <v>0</v>
      </c>
      <c r="J2490" s="485">
        <f>IF(H2490="warranty",0,(I2490*(_xlfn.SINGLE(SalesTaxPercentage))))</f>
        <v>0</v>
      </c>
      <c r="K2490" s="715">
        <f t="shared" ref="K2490" si="1867">I2490+J2490</f>
        <v>0</v>
      </c>
      <c r="L2490" s="715"/>
      <c r="M2490" s="689" t="str">
        <f ca="1">IF(AND(G2490&gt;0,E2490=0),"WARNING - no PRICE inserted",IF(H2490="free","FREE ~ no charge this plant",IF(H2490="credit",CONCATENATE("-$",ROUND(K2490*(1-_xlfn.SINGLE(T2GDiscount))*-1,2)," CREDIT after discount"),IF(_xlfn.SINGLE(T2GDiscount)=0,"",IF(G2490=0,"",IF(F2490="Buy",CONCATENATE("$",ROUND(K2490*(1-_xlfn.SINGLE(T2GDiscount)),2)," with ",(_xlfn.SINGLE(T2GDiscount)*100),"% discount"),CONCATENATE("$",ROUND(K2490*(1-_xlfn.SINGLE(T2GDiscount)),2)," with ",((_xlfn.SINGLE(T2GDiscount)*100+F2490*100)-(_xlfn.SINGLE(T2GDiscount)*100*F2490)),IF(F2490&gt;0,"% discounts",IF(_xlfn.SINGLE(NoWarrantyDiscount)&gt;0,"% discounts","% discount")))))))))</f>
        <v/>
      </c>
      <c r="N2490" s="690"/>
      <c r="O2490" s="486"/>
      <c r="P2490" s="486"/>
      <c r="Q2490" s="486"/>
      <c r="R2490" s="486"/>
      <c r="S2490" s="486"/>
      <c r="T2490" s="102">
        <f t="shared" si="1833"/>
        <v>0</v>
      </c>
      <c r="U2490" s="78">
        <f>IF(NOT(ISNUMBER(G2490)), "", VLOOKUP(A2490,'Discount Lookup'!D:E,2,FALSE)*G2490)</f>
        <v>0</v>
      </c>
      <c r="V2490" s="78">
        <f>IF(NOT(ISNUMBER(G2490)), "", VLOOKUP(A2490,'Discount Lookup'!G:H,2,FALSE)*G2490)</f>
        <v>0</v>
      </c>
      <c r="W2490" s="102">
        <f t="shared" si="1834"/>
        <v>0</v>
      </c>
      <c r="X2490" s="102">
        <f t="shared" si="1835"/>
        <v>0</v>
      </c>
      <c r="Y2490" s="120" t="b">
        <f t="shared" si="1836"/>
        <v>0</v>
      </c>
      <c r="Z2490" s="117">
        <f t="shared" si="1837"/>
        <v>0</v>
      </c>
      <c r="AA2490" s="118"/>
      <c r="AB2490" s="118" t="str">
        <f t="shared" si="1838"/>
        <v/>
      </c>
      <c r="AC2490" s="712" t="str">
        <f>IF(AE2490="T2G","no charge",IF(AND(OR(PlanterYesMe="No",PlanterYesMe="N",PlanterYesMe="me"),H2490=""),"",IF(H2490="credit","NO install",IF(AND(K2490="",AE2490="me"),"EACH row",IF(AND(K2490="images",AE2490="me"),"EACH row",IF(D2490="","",IF(H2490="credit","",IF(AE2490="free","re-planting",IF(AE2490="me","   not ELP, by",IF(AND(OR(PlanterYesMe="Yes",PlanterYesMe="Y"),G2490&gt;0),(VLOOKUP(A2490,'Discount Lookup'!J:K,2)*G2490*(1-PlanterDiscount)*(1+PlanterDifficultyPercentage)),IF(AE2490="ELP",(VLOOKUP(A2490,'Discount Lookup'!J:K,2)*G2490*(1-PlanterDiscount)*(1+PlanterDifficultyPercentage)),IF(AE2490="free","re-planting",IF(G2490=0,"",IF(PlanterYesMe="",IF(AE2490="me","   not ELP, by",IF(AE2490="",IF(G2490&gt;0,(VLOOKUP(A2490,'Discount Lookup'!J:K,2)*G2490*(1-PlanterDiscount)*(1+PlanterDifficultyPercentage)),""),"")),"   not ELP, by"))))))))))))))</f>
        <v/>
      </c>
      <c r="AD2490" s="712"/>
      <c r="AE2490" s="513" t="str">
        <f t="shared" si="1839"/>
        <v/>
      </c>
      <c r="AF2490" s="713" t="str">
        <f t="shared" si="1840"/>
        <v/>
      </c>
      <c r="AG2490" s="713"/>
      <c r="AH2490" s="713"/>
      <c r="AI2490" s="112">
        <f>IF(H2490="credit",0,IF(AE2490="free",0,IF(AE2490="me",0,IF(G2490&gt;0,(VLOOKUP(A2490,'Discount Lookup'!J:K,2)*G2490),0))))</f>
        <v>0</v>
      </c>
      <c r="AJ2490" s="107" t="str">
        <f t="shared" ca="1" si="1841"/>
        <v/>
      </c>
      <c r="AK2490" s="714" t="str">
        <f t="shared" si="1842"/>
        <v/>
      </c>
      <c r="AL2490" s="714"/>
      <c r="AM2490" s="114" t="str">
        <f t="shared" si="1843"/>
        <v/>
      </c>
      <c r="AN2490" s="115"/>
      <c r="AO2490" s="116"/>
      <c r="AP2490" s="116"/>
      <c r="AQ2490" s="116"/>
      <c r="AR2490" s="116"/>
      <c r="AS2490" s="116"/>
      <c r="AT2490" s="116"/>
      <c r="AU2490" s="116"/>
      <c r="AV2490" s="78"/>
      <c r="AW2490" s="102"/>
      <c r="AX2490" s="78"/>
      <c r="AY2490" s="78"/>
      <c r="AZ2490" s="78"/>
      <c r="BA2490" s="78"/>
      <c r="BB2490" s="78"/>
      <c r="BC2490" s="78"/>
      <c r="BD2490" s="78"/>
      <c r="BE2490" s="465"/>
      <c r="BF2490" s="165" t="str">
        <f t="shared" si="1844"/>
        <v>https://www.google.com/search?tbm=isch&amp;q=25%20G6</v>
      </c>
      <c r="BG2490" s="165" t="str">
        <f t="shared" si="1845"/>
        <v>J</v>
      </c>
      <c r="BH2490" s="65"/>
      <c r="BI2490" s="65"/>
      <c r="BJ2490" s="65"/>
      <c r="BK2490" s="65"/>
      <c r="BL2490" s="99"/>
      <c r="BM2490" s="99"/>
      <c r="BN2490" s="99"/>
    </row>
    <row r="2491" spans="1:66" s="51" customFormat="1" ht="15.75" x14ac:dyDescent="0.25">
      <c r="A2491" s="478">
        <v>45</v>
      </c>
      <c r="B2491" s="479" t="s">
        <v>291</v>
      </c>
      <c r="C2491" s="480" t="s">
        <v>582</v>
      </c>
      <c r="D2491" s="481" t="s">
        <v>293</v>
      </c>
      <c r="E2491" s="482">
        <v>879.95</v>
      </c>
      <c r="F2491" s="483" t="s">
        <v>292</v>
      </c>
      <c r="G2491" s="484">
        <v>0</v>
      </c>
      <c r="H2491" s="688" t="str">
        <f>IF(G2491=0,"",IF(F2491="Buy",IF(G2491=1,"plant","plants"),IF(F2491&gt;0.01,"warranty","Error")))</f>
        <v/>
      </c>
      <c r="I2491" s="485">
        <f>IF(H2491="free",0,IF(H2491="credit",((E2491*(F2491))*G2491*-1),IF(F2491="Buy",(E2491*G2491),((E2491*(1-F2491))*G2491))))</f>
        <v>0</v>
      </c>
      <c r="J2491" s="485">
        <f>IF(H2491="warranty",0,(I2491*(_xlfn.SINGLE(SalesTaxPercentage))))</f>
        <v>0</v>
      </c>
      <c r="K2491" s="715">
        <f t="shared" ref="K2491" si="1868">I2491+J2491</f>
        <v>0</v>
      </c>
      <c r="L2491" s="715"/>
      <c r="M2491" s="689" t="str">
        <f ca="1">IF(AND(G2491&gt;0,E2491=0),"WARNING - no PRICE inserted",IF(H2491="free","FREE ~ no charge this plant",IF(H2491="credit",CONCATENATE("-$",ROUND(K2491*(1-_xlfn.SINGLE(T2GDiscount))*-1,2)," CREDIT after discount"),IF(_xlfn.SINGLE(T2GDiscount)=0,"",IF(G2491=0,"",IF(F2491="Buy",CONCATENATE("$",ROUND(K2491*(1-_xlfn.SINGLE(T2GDiscount)),2)," with ",(_xlfn.SINGLE(T2GDiscount)*100),"% discount"),CONCATENATE("$",ROUND(K2491*(1-_xlfn.SINGLE(T2GDiscount)),2)," with ",((_xlfn.SINGLE(T2GDiscount)*100+F2491*100)-(_xlfn.SINGLE(T2GDiscount)*100*F2491)),IF(F2491&gt;0,"% discounts",IF(_xlfn.SINGLE(NoWarrantyDiscount)&gt;0,"% discounts","% discount")))))))))</f>
        <v/>
      </c>
      <c r="N2491" s="690"/>
      <c r="O2491" s="486"/>
      <c r="P2491" s="486"/>
      <c r="Q2491" s="486"/>
      <c r="R2491" s="486"/>
      <c r="S2491" s="486"/>
      <c r="T2491" s="102">
        <f t="shared" si="1833"/>
        <v>0</v>
      </c>
      <c r="U2491" s="78">
        <f>IF(NOT(ISNUMBER(G2491)), "", VLOOKUP(A2491,'Discount Lookup'!D:E,2,FALSE)*G2491)</f>
        <v>0</v>
      </c>
      <c r="V2491" s="78">
        <f>IF(NOT(ISNUMBER(G2491)), "", VLOOKUP(A2491,'Discount Lookup'!G:H,2,FALSE)*G2491)</f>
        <v>0</v>
      </c>
      <c r="W2491" s="102">
        <f t="shared" si="1834"/>
        <v>0</v>
      </c>
      <c r="X2491" s="102">
        <f t="shared" si="1835"/>
        <v>0</v>
      </c>
      <c r="Y2491" s="120" t="b">
        <f t="shared" si="1836"/>
        <v>0</v>
      </c>
      <c r="Z2491" s="117">
        <f t="shared" si="1837"/>
        <v>0</v>
      </c>
      <c r="AA2491" s="118"/>
      <c r="AB2491" s="118" t="str">
        <f t="shared" si="1838"/>
        <v/>
      </c>
      <c r="AC2491" s="712" t="str">
        <f>IF(AE2491="T2G","no charge",IF(AND(OR(PlanterYesMe="No",PlanterYesMe="N",PlanterYesMe="me"),H2491=""),"",IF(H2491="credit","NO install",IF(AND(K2491="",AE2491="me"),"EACH row",IF(AND(K2491="images",AE2491="me"),"EACH row",IF(D2491="","",IF(H2491="credit","",IF(AE2491="free","re-planting",IF(AE2491="me","   not ELP, by",IF(AND(OR(PlanterYesMe="Yes",PlanterYesMe="Y"),G2491&gt;0),(VLOOKUP(A2491,'Discount Lookup'!J:K,2)*G2491*(1-PlanterDiscount)*(1+PlanterDifficultyPercentage)),IF(AE2491="ELP",(VLOOKUP(A2491,'Discount Lookup'!J:K,2)*G2491*(1-PlanterDiscount)*(1+PlanterDifficultyPercentage)),IF(AE2491="free","re-planting",IF(G2491=0,"",IF(PlanterYesMe="",IF(AE2491="me","   not ELP, by",IF(AE2491="",IF(G2491&gt;0,(VLOOKUP(A2491,'Discount Lookup'!J:K,2)*G2491*(1-PlanterDiscount)*(1+PlanterDifficultyPercentage)),""),"")),"   not ELP, by"))))))))))))))</f>
        <v/>
      </c>
      <c r="AD2491" s="712"/>
      <c r="AE2491" s="513" t="str">
        <f t="shared" si="1839"/>
        <v/>
      </c>
      <c r="AF2491" s="713" t="str">
        <f t="shared" si="1840"/>
        <v/>
      </c>
      <c r="AG2491" s="713"/>
      <c r="AH2491" s="713"/>
      <c r="AI2491" s="112">
        <f>IF(H2491="credit",0,IF(AE2491="free",0,IF(AE2491="me",0,IF(G2491&gt;0,(VLOOKUP(A2491,'Discount Lookup'!J:K,2)*G2491),0))))</f>
        <v>0</v>
      </c>
      <c r="AJ2491" s="107" t="str">
        <f t="shared" ca="1" si="1841"/>
        <v/>
      </c>
      <c r="AK2491" s="714" t="str">
        <f t="shared" si="1842"/>
        <v/>
      </c>
      <c r="AL2491" s="714"/>
      <c r="AM2491" s="114" t="str">
        <f t="shared" si="1843"/>
        <v/>
      </c>
      <c r="AN2491" s="115"/>
      <c r="AO2491" s="116"/>
      <c r="AP2491" s="116"/>
      <c r="AQ2491" s="116"/>
      <c r="AR2491" s="116"/>
      <c r="AS2491" s="116"/>
      <c r="AT2491" s="116"/>
      <c r="AU2491" s="116"/>
      <c r="AV2491" s="78"/>
      <c r="AW2491" s="102"/>
      <c r="AX2491" s="78"/>
      <c r="AY2491" s="78"/>
      <c r="AZ2491" s="78"/>
      <c r="BA2491" s="78"/>
      <c r="BB2491" s="78"/>
      <c r="BC2491" s="78"/>
      <c r="BD2491" s="78"/>
      <c r="BE2491" s="465"/>
      <c r="BF2491" s="165" t="str">
        <f t="shared" si="1844"/>
        <v>https://www.google.com/search?tbm=isch&amp;q=45%20G6</v>
      </c>
      <c r="BG2491" s="165" t="str">
        <f t="shared" si="1845"/>
        <v>J</v>
      </c>
      <c r="BH2491" s="65"/>
      <c r="BI2491" s="65"/>
      <c r="BJ2491" s="65"/>
      <c r="BK2491" s="65"/>
      <c r="BL2491" s="99"/>
      <c r="BM2491" s="99"/>
      <c r="BN2491" s="99"/>
    </row>
    <row r="2492" spans="1:66" s="51" customFormat="1" ht="17.25" thickBot="1" x14ac:dyDescent="0.3">
      <c r="A2492" s="508" t="s">
        <v>839</v>
      </c>
      <c r="B2492" s="487"/>
      <c r="C2492" s="707"/>
      <c r="D2492" s="487"/>
      <c r="E2492" s="487"/>
      <c r="F2492" s="488"/>
      <c r="G2492" s="489"/>
      <c r="H2492" s="487"/>
      <c r="I2492" s="490"/>
      <c r="J2492" s="490"/>
      <c r="K2492" s="491"/>
      <c r="L2492" s="547"/>
      <c r="M2492" s="528"/>
      <c r="N2492" s="492"/>
      <c r="O2492" s="493"/>
      <c r="P2492" s="494"/>
      <c r="Q2492" s="492"/>
      <c r="R2492" s="492"/>
      <c r="S2492" s="699" t="s">
        <v>5280</v>
      </c>
      <c r="T2492" s="102">
        <f t="shared" si="1833"/>
        <v>0</v>
      </c>
      <c r="U2492" s="78" t="str">
        <f>IF(NOT(ISNUMBER(G2492)), "", VLOOKUP(A2492,'Discount Lookup'!D:E,2,FALSE)*G2492)</f>
        <v/>
      </c>
      <c r="V2492" s="78" t="str">
        <f>IF(NOT(ISNUMBER(G2492)), "", VLOOKUP(A2492,'Discount Lookup'!G:H,2,FALSE)*G2492)</f>
        <v/>
      </c>
      <c r="W2492" s="102">
        <f t="shared" si="1834"/>
        <v>0</v>
      </c>
      <c r="X2492" s="102">
        <f t="shared" si="1835"/>
        <v>0</v>
      </c>
      <c r="Y2492" s="120" t="b">
        <f t="shared" si="1836"/>
        <v>0</v>
      </c>
      <c r="Z2492" s="117">
        <f t="shared" si="1837"/>
        <v>0</v>
      </c>
      <c r="AA2492" s="118"/>
      <c r="AB2492" s="118" t="str">
        <f t="shared" si="1838"/>
        <v/>
      </c>
      <c r="AC2492" s="712" t="str">
        <f>IF(AE2492="T2G","no charge",IF(AND(OR(PlanterYesMe="No",PlanterYesMe="N",PlanterYesMe="me"),H2492=""),"",IF(H2492="credit","NO install",IF(AND(K2492="",AE2492="me"),"EACH row",IF(AND(K2492="images",AE2492="me"),"EACH row",IF(D2492="","",IF(H2492="credit","",IF(AE2492="free","re-planting",IF(AE2492="me","   not ELP, by",IF(AND(OR(PlanterYesMe="Yes",PlanterYesMe="Y"),G2492&gt;0),(VLOOKUP(A2492,'Discount Lookup'!J:K,2)*G2492*(1-PlanterDiscount)*(1+PlanterDifficultyPercentage)),IF(AE2492="ELP",(VLOOKUP(A2492,'Discount Lookup'!J:K,2)*G2492*(1-PlanterDiscount)*(1+PlanterDifficultyPercentage)),IF(AE2492="free","re-planting",IF(G2492=0,"",IF(PlanterYesMe="",IF(AE2492="me","   not ELP, by",IF(AE2492="",IF(G2492&gt;0,(VLOOKUP(A2492,'Discount Lookup'!J:K,2)*G2492*(1-PlanterDiscount)*(1+PlanterDifficultyPercentage)),""),"")),"   not ELP, by"))))))))))))))</f>
        <v/>
      </c>
      <c r="AD2492" s="712"/>
      <c r="AE2492" s="513" t="str">
        <f t="shared" si="1839"/>
        <v/>
      </c>
      <c r="AF2492" s="713" t="str">
        <f t="shared" si="1840"/>
        <v/>
      </c>
      <c r="AG2492" s="713"/>
      <c r="AH2492" s="713"/>
      <c r="AI2492" s="112">
        <f>IF(H2492="credit",0,IF(AE2492="free",0,IF(AE2492="me",0,IF(G2492&gt;0,(VLOOKUP(A2492,'Discount Lookup'!J:K,2)*G2492),0))))</f>
        <v>0</v>
      </c>
      <c r="AJ2492" s="107" t="str">
        <f t="shared" ca="1" si="1841"/>
        <v/>
      </c>
      <c r="AK2492" s="714" t="str">
        <f t="shared" si="1842"/>
        <v/>
      </c>
      <c r="AL2492" s="714"/>
      <c r="AM2492" s="114" t="str">
        <f t="shared" si="1843"/>
        <v/>
      </c>
      <c r="AN2492" s="115"/>
      <c r="AO2492" s="116"/>
      <c r="AP2492" s="116"/>
      <c r="AQ2492" s="116"/>
      <c r="AR2492" s="116"/>
      <c r="AS2492" s="116"/>
      <c r="AT2492" s="116"/>
      <c r="AU2492" s="116"/>
      <c r="AV2492" s="78"/>
      <c r="AW2492" s="102"/>
      <c r="AX2492" s="78"/>
      <c r="AY2492" s="78"/>
      <c r="AZ2492" s="78"/>
      <c r="BA2492" s="78"/>
      <c r="BB2492" s="78"/>
      <c r="BC2492" s="78"/>
      <c r="BD2492" s="78"/>
      <c r="BE2492" s="465"/>
      <c r="BF2492" s="165" t="str">
        <f t="shared" si="1844"/>
        <v>https://www.google.com/search?tbm=isch&amp;q=Taylor%20is%20a%20great%20sub%20for%20Italian%20Cypress%2C%20with%20stronger%20roots.%20Aromatic%20foliage.%20Mild%20winter%20Bronzing.%20Sun%2Fheat%2Fdrought%20tolerant%20</v>
      </c>
      <c r="BG2492" s="165" t="str">
        <f t="shared" si="1845"/>
        <v>T</v>
      </c>
      <c r="BH2492" s="65"/>
      <c r="BI2492" s="65"/>
      <c r="BJ2492" s="65"/>
      <c r="BK2492" s="65"/>
      <c r="BL2492" s="99"/>
      <c r="BM2492" s="99"/>
      <c r="BN2492" s="99"/>
    </row>
    <row r="2493" spans="1:66" s="51" customFormat="1" ht="18" x14ac:dyDescent="0.25">
      <c r="A2493" s="507" t="s">
        <v>3153</v>
      </c>
      <c r="B2493" s="470"/>
      <c r="C2493" s="706"/>
      <c r="D2493" s="471" t="s">
        <v>3154</v>
      </c>
      <c r="E2493" s="472"/>
      <c r="F2493" s="472"/>
      <c r="G2493" s="472"/>
      <c r="H2493" s="622" t="s">
        <v>2370</v>
      </c>
      <c r="I2493" s="473" t="s">
        <v>3155</v>
      </c>
      <c r="J2493" s="472"/>
      <c r="K2493" s="472"/>
      <c r="L2493" s="561"/>
      <c r="M2493" s="698" t="s">
        <v>5240</v>
      </c>
      <c r="N2493" s="692" t="str">
        <f>IF(AND(ISTEXT($A2493), ISERROR($A2493+0)), HYPERLINK($BF2493, "Images"), "")</f>
        <v>Images</v>
      </c>
      <c r="O2493" s="694" t="s">
        <v>5244</v>
      </c>
      <c r="P2493" s="475"/>
      <c r="Q2493" s="476"/>
      <c r="R2493" s="476"/>
      <c r="S2493" s="477"/>
      <c r="T2493" s="102">
        <f t="shared" si="1833"/>
        <v>0</v>
      </c>
      <c r="U2493" s="78" t="str">
        <f>IF(NOT(ISNUMBER(G2493)), "", VLOOKUP(A2493,'Discount Lookup'!D:E,2,FALSE)*G2493)</f>
        <v/>
      </c>
      <c r="V2493" s="78" t="str">
        <f>IF(NOT(ISNUMBER(G2493)), "", VLOOKUP(A2493,'Discount Lookup'!G:H,2,FALSE)*G2493)</f>
        <v/>
      </c>
      <c r="W2493" s="102">
        <f t="shared" si="1834"/>
        <v>0</v>
      </c>
      <c r="X2493" s="102" t="str">
        <f t="shared" si="1835"/>
        <v>Blue-Green, Yellow tips</v>
      </c>
      <c r="Y2493" s="120" t="b">
        <f t="shared" si="1836"/>
        <v>0</v>
      </c>
      <c r="Z2493" s="117">
        <f t="shared" si="1837"/>
        <v>0</v>
      </c>
      <c r="AA2493" s="118"/>
      <c r="AB2493" s="118" t="str">
        <f t="shared" si="1838"/>
        <v/>
      </c>
      <c r="AC2493" s="712" t="str">
        <f>IF(AE2493="T2G","no charge",IF(AND(OR(PlanterYesMe="No",PlanterYesMe="N",PlanterYesMe="me"),H2493=""),"",IF(H2493="credit","NO install",IF(AND(K2493="",AE2493="me"),"EACH row",IF(AND(K2493="images",AE2493="me"),"EACH row",IF(D2493="","",IF(H2493="credit","",IF(AE2493="free","re-planting",IF(AE2493="me","   not ELP, by",IF(AND(OR(PlanterYesMe="Yes",PlanterYesMe="Y"),G2493&gt;0),(VLOOKUP(A2493,'Discount Lookup'!J:K,2)*G2493*(1-PlanterDiscount)*(1+PlanterDifficultyPercentage)),IF(AE2493="ELP",(VLOOKUP(A2493,'Discount Lookup'!J:K,2)*G2493*(1-PlanterDiscount)*(1+PlanterDifficultyPercentage)),IF(AE2493="free","re-planting",IF(G2493=0,"",IF(PlanterYesMe="",IF(AE2493="me","   not ELP, by",IF(AE2493="",IF(G2493&gt;0,(VLOOKUP(A2493,'Discount Lookup'!J:K,2)*G2493*(1-PlanterDiscount)*(1+PlanterDifficultyPercentage)),""),"")),"   not ELP, by"))))))))))))))</f>
        <v/>
      </c>
      <c r="AD2493" s="712"/>
      <c r="AE2493" s="513" t="str">
        <f t="shared" si="1839"/>
        <v/>
      </c>
      <c r="AF2493" s="713" t="str">
        <f t="shared" si="1840"/>
        <v/>
      </c>
      <c r="AG2493" s="713"/>
      <c r="AH2493" s="713"/>
      <c r="AI2493" s="112">
        <f>IF(H2493="credit",0,IF(AE2493="free",0,IF(AE2493="me",0,IF(G2493&gt;0,(VLOOKUP(A2493,'Discount Lookup'!J:K,2)*G2493),0))))</f>
        <v>0</v>
      </c>
      <c r="AJ2493" s="107" t="str">
        <f t="shared" ca="1" si="1841"/>
        <v/>
      </c>
      <c r="AK2493" s="714" t="str">
        <f t="shared" si="1842"/>
        <v/>
      </c>
      <c r="AL2493" s="714"/>
      <c r="AM2493" s="114" t="str">
        <f t="shared" si="1843"/>
        <v/>
      </c>
      <c r="AN2493" s="115"/>
      <c r="AO2493" s="116"/>
      <c r="AP2493" s="116"/>
      <c r="AQ2493" s="116"/>
      <c r="AR2493" s="116"/>
      <c r="AS2493" s="116"/>
      <c r="AT2493" s="116"/>
      <c r="AU2493" s="116"/>
      <c r="AV2493" s="78"/>
      <c r="AW2493" s="102"/>
      <c r="AX2493" s="78"/>
      <c r="AY2493" s="78"/>
      <c r="AZ2493" s="78"/>
      <c r="BA2493" s="78"/>
      <c r="BB2493" s="78"/>
      <c r="BC2493" s="78"/>
      <c r="BD2493" s="78"/>
      <c r="BE2493" s="465"/>
      <c r="BF2493" s="165" t="str">
        <f t="shared" si="1844"/>
        <v>https://www.google.com/search?tbm=isch&amp;q=Juniperus%20x%20pfitzeriana%20%27Daub%27s%20Frosted%27%20Daub%27s%20Frosted%20Juniper</v>
      </c>
      <c r="BG2493" s="165" t="str">
        <f t="shared" si="1845"/>
        <v>J</v>
      </c>
      <c r="BH2493" s="65"/>
      <c r="BI2493" s="65"/>
      <c r="BJ2493" s="65"/>
      <c r="BK2493" s="65"/>
      <c r="BL2493" s="99"/>
      <c r="BM2493" s="99"/>
      <c r="BN2493" s="99"/>
    </row>
    <row r="2494" spans="1:66" s="51" customFormat="1" ht="27" x14ac:dyDescent="0.25">
      <c r="A2494" s="478">
        <v>15</v>
      </c>
      <c r="B2494" s="479" t="s">
        <v>291</v>
      </c>
      <c r="C2494" s="480" t="s">
        <v>3156</v>
      </c>
      <c r="D2494" s="481" t="s">
        <v>299</v>
      </c>
      <c r="E2494" s="482">
        <v>385.95</v>
      </c>
      <c r="F2494" s="483" t="s">
        <v>292</v>
      </c>
      <c r="G2494" s="484">
        <v>0</v>
      </c>
      <c r="H2494" s="688" t="str">
        <f>IF(G2494=0,"",IF(F2494="Buy",IF(G2494=1,"plant","plants"),IF(F2494&gt;0.01,"warranty","Error")))</f>
        <v/>
      </c>
      <c r="I2494" s="485">
        <f>IF(H2494="free",0,IF(H2494="credit",((E2494*(F2494))*G2494*-1),IF(F2494="Buy",(E2494*G2494),((E2494*(1-F2494))*G2494))))</f>
        <v>0</v>
      </c>
      <c r="J2494" s="485">
        <f>IF(H2494="warranty",0,(I2494*(_xlfn.SINGLE(SalesTaxPercentage))))</f>
        <v>0</v>
      </c>
      <c r="K2494" s="715">
        <f t="shared" ref="K2494" si="1869">I2494+J2494</f>
        <v>0</v>
      </c>
      <c r="L2494" s="715"/>
      <c r="M2494" s="689" t="str">
        <f ca="1">IF(AND(G2494&gt;0,E2494=0),"WARNING - no PRICE inserted",IF(H2494="free","FREE ~ no charge this plant",IF(H2494="credit",CONCATENATE("-$",ROUND(K2494*(1-_xlfn.SINGLE(T2GDiscount))*-1,2)," CREDIT after discount"),IF(_xlfn.SINGLE(T2GDiscount)=0,"",IF(G2494=0,"",IF(F2494="Buy",CONCATENATE("$",ROUND(K2494*(1-_xlfn.SINGLE(T2GDiscount)),2)," with ",(_xlfn.SINGLE(T2GDiscount)*100),"% discount"),CONCATENATE("$",ROUND(K2494*(1-_xlfn.SINGLE(T2GDiscount)),2)," with ",((_xlfn.SINGLE(T2GDiscount)*100+F2494*100)-(_xlfn.SINGLE(T2GDiscount)*100*F2494)),IF(F2494&gt;0,"% discounts",IF(_xlfn.SINGLE(NoWarrantyDiscount)&gt;0,"% discounts","% discount")))))))))</f>
        <v/>
      </c>
      <c r="N2494" s="690"/>
      <c r="O2494" s="486"/>
      <c r="P2494" s="486"/>
      <c r="Q2494" s="486"/>
      <c r="R2494" s="486"/>
      <c r="S2494" s="486"/>
      <c r="T2494" s="102">
        <f t="shared" si="1833"/>
        <v>0</v>
      </c>
      <c r="U2494" s="78">
        <f>IF(NOT(ISNUMBER(G2494)), "", VLOOKUP(A2494,'Discount Lookup'!D:E,2,FALSE)*G2494)</f>
        <v>0</v>
      </c>
      <c r="V2494" s="78">
        <f>IF(NOT(ISNUMBER(G2494)), "", VLOOKUP(A2494,'Discount Lookup'!G:H,2,FALSE)*G2494)</f>
        <v>0</v>
      </c>
      <c r="W2494" s="102">
        <f t="shared" si="1834"/>
        <v>0</v>
      </c>
      <c r="X2494" s="102">
        <f t="shared" si="1835"/>
        <v>0</v>
      </c>
      <c r="Y2494" s="120" t="b">
        <f t="shared" si="1836"/>
        <v>0</v>
      </c>
      <c r="Z2494" s="117">
        <f t="shared" si="1837"/>
        <v>0</v>
      </c>
      <c r="AA2494" s="118"/>
      <c r="AB2494" s="118" t="str">
        <f t="shared" si="1838"/>
        <v/>
      </c>
      <c r="AC2494" s="712" t="str">
        <f>IF(AE2494="T2G","no charge",IF(AND(OR(PlanterYesMe="No",PlanterYesMe="N",PlanterYesMe="me"),H2494=""),"",IF(H2494="credit","NO install",IF(AND(K2494="",AE2494="me"),"EACH row",IF(AND(K2494="images",AE2494="me"),"EACH row",IF(D2494="","",IF(H2494="credit","",IF(AE2494="free","re-planting",IF(AE2494="me","   not ELP, by",IF(AND(OR(PlanterYesMe="Yes",PlanterYesMe="Y"),G2494&gt;0),(VLOOKUP(A2494,'Discount Lookup'!J:K,2)*G2494*(1-PlanterDiscount)*(1+PlanterDifficultyPercentage)),IF(AE2494="ELP",(VLOOKUP(A2494,'Discount Lookup'!J:K,2)*G2494*(1-PlanterDiscount)*(1+PlanterDifficultyPercentage)),IF(AE2494="free","re-planting",IF(G2494=0,"",IF(PlanterYesMe="",IF(AE2494="me","   not ELP, by",IF(AE2494="",IF(G2494&gt;0,(VLOOKUP(A2494,'Discount Lookup'!J:K,2)*G2494*(1-PlanterDiscount)*(1+PlanterDifficultyPercentage)),""),"")),"   not ELP, by"))))))))))))))</f>
        <v/>
      </c>
      <c r="AD2494" s="712"/>
      <c r="AE2494" s="513" t="str">
        <f t="shared" si="1839"/>
        <v/>
      </c>
      <c r="AF2494" s="713" t="str">
        <f t="shared" si="1840"/>
        <v/>
      </c>
      <c r="AG2494" s="713"/>
      <c r="AH2494" s="713"/>
      <c r="AI2494" s="112">
        <f>IF(H2494="credit",0,IF(AE2494="free",0,IF(AE2494="me",0,IF(G2494&gt;0,(VLOOKUP(A2494,'Discount Lookup'!J:K,2)*G2494),0))))</f>
        <v>0</v>
      </c>
      <c r="AJ2494" s="107" t="str">
        <f t="shared" ca="1" si="1841"/>
        <v/>
      </c>
      <c r="AK2494" s="714" t="str">
        <f t="shared" si="1842"/>
        <v/>
      </c>
      <c r="AL2494" s="714"/>
      <c r="AM2494" s="114" t="str">
        <f t="shared" si="1843"/>
        <v/>
      </c>
      <c r="AN2494" s="115"/>
      <c r="AO2494" s="116"/>
      <c r="AP2494" s="116"/>
      <c r="AQ2494" s="116"/>
      <c r="AR2494" s="116"/>
      <c r="AS2494" s="116"/>
      <c r="AT2494" s="116"/>
      <c r="AU2494" s="116"/>
      <c r="AV2494" s="78"/>
      <c r="AW2494" s="102"/>
      <c r="AX2494" s="78"/>
      <c r="AY2494" s="78"/>
      <c r="AZ2494" s="78"/>
      <c r="BA2494" s="78"/>
      <c r="BB2494" s="78"/>
      <c r="BC2494" s="78"/>
      <c r="BD2494" s="78"/>
      <c r="BE2494" s="465"/>
      <c r="BF2494" s="165" t="str">
        <f t="shared" si="1844"/>
        <v>https://www.google.com/search?tbm=isch&amp;q=15%20G4</v>
      </c>
      <c r="BG2494" s="165" t="str">
        <f t="shared" si="1845"/>
        <v>J</v>
      </c>
      <c r="BH2494" s="65"/>
      <c r="BI2494" s="65"/>
      <c r="BJ2494" s="65"/>
      <c r="BK2494" s="65"/>
      <c r="BL2494" s="99"/>
      <c r="BM2494" s="99"/>
      <c r="BN2494" s="99"/>
    </row>
    <row r="2495" spans="1:66" s="51" customFormat="1" ht="40.5" x14ac:dyDescent="0.25">
      <c r="A2495" s="478">
        <v>15</v>
      </c>
      <c r="B2495" s="479" t="s">
        <v>291</v>
      </c>
      <c r="C2495" s="480" t="s">
        <v>3157</v>
      </c>
      <c r="D2495" s="481" t="s">
        <v>299</v>
      </c>
      <c r="E2495" s="482">
        <v>445.95</v>
      </c>
      <c r="F2495" s="483" t="s">
        <v>292</v>
      </c>
      <c r="G2495" s="484">
        <v>0</v>
      </c>
      <c r="H2495" s="688" t="str">
        <f>IF(G2495=0,"",IF(F2495="Buy",IF(G2495=1,"plant","plants"),IF(F2495&gt;0.01,"warranty","Error")))</f>
        <v/>
      </c>
      <c r="I2495" s="485">
        <f>IF(H2495="free",0,IF(H2495="credit",((E2495*(F2495))*G2495*-1),IF(F2495="Buy",(E2495*G2495),((E2495*(1-F2495))*G2495))))</f>
        <v>0</v>
      </c>
      <c r="J2495" s="485">
        <f>IF(H2495="warranty",0,(I2495*(_xlfn.SINGLE(SalesTaxPercentage))))</f>
        <v>0</v>
      </c>
      <c r="K2495" s="715">
        <f t="shared" ref="K2495" si="1870">I2495+J2495</f>
        <v>0</v>
      </c>
      <c r="L2495" s="715"/>
      <c r="M2495" s="689" t="str">
        <f ca="1">IF(AND(G2495&gt;0,E2495=0),"WARNING - no PRICE inserted",IF(H2495="free","FREE ~ no charge this plant",IF(H2495="credit",CONCATENATE("-$",ROUND(K2495*(1-_xlfn.SINGLE(T2GDiscount))*-1,2)," CREDIT after discount"),IF(_xlfn.SINGLE(T2GDiscount)=0,"",IF(G2495=0,"",IF(F2495="Buy",CONCATENATE("$",ROUND(K2495*(1-_xlfn.SINGLE(T2GDiscount)),2)," with ",(_xlfn.SINGLE(T2GDiscount)*100),"% discount"),CONCATENATE("$",ROUND(K2495*(1-_xlfn.SINGLE(T2GDiscount)),2)," with ",((_xlfn.SINGLE(T2GDiscount)*100+F2495*100)-(_xlfn.SINGLE(T2GDiscount)*100*F2495)),IF(F2495&gt;0,"% discounts",IF(_xlfn.SINGLE(NoWarrantyDiscount)&gt;0,"% discounts","% discount")))))))))</f>
        <v/>
      </c>
      <c r="N2495" s="690"/>
      <c r="O2495" s="486"/>
      <c r="P2495" s="486"/>
      <c r="Q2495" s="486"/>
      <c r="R2495" s="486"/>
      <c r="S2495" s="486"/>
      <c r="T2495" s="102">
        <f t="shared" si="1833"/>
        <v>0</v>
      </c>
      <c r="U2495" s="78">
        <f>IF(NOT(ISNUMBER(G2495)), "", VLOOKUP(A2495,'Discount Lookup'!D:E,2,FALSE)*G2495)</f>
        <v>0</v>
      </c>
      <c r="V2495" s="78">
        <f>IF(NOT(ISNUMBER(G2495)), "", VLOOKUP(A2495,'Discount Lookup'!G:H,2,FALSE)*G2495)</f>
        <v>0</v>
      </c>
      <c r="W2495" s="102">
        <f t="shared" si="1834"/>
        <v>0</v>
      </c>
      <c r="X2495" s="102">
        <f t="shared" si="1835"/>
        <v>0</v>
      </c>
      <c r="Y2495" s="120" t="b">
        <f t="shared" si="1836"/>
        <v>0</v>
      </c>
      <c r="Z2495" s="117">
        <f t="shared" si="1837"/>
        <v>0</v>
      </c>
      <c r="AA2495" s="118"/>
      <c r="AB2495" s="118" t="str">
        <f t="shared" si="1838"/>
        <v/>
      </c>
      <c r="AC2495" s="712" t="str">
        <f>IF(AE2495="T2G","no charge",IF(AND(OR(PlanterYesMe="No",PlanterYesMe="N",PlanterYesMe="me"),H2495=""),"",IF(H2495="credit","NO install",IF(AND(K2495="",AE2495="me"),"EACH row",IF(AND(K2495="images",AE2495="me"),"EACH row",IF(D2495="","",IF(H2495="credit","",IF(AE2495="free","re-planting",IF(AE2495="me","   not ELP, by",IF(AND(OR(PlanterYesMe="Yes",PlanterYesMe="Y"),G2495&gt;0),(VLOOKUP(A2495,'Discount Lookup'!J:K,2)*G2495*(1-PlanterDiscount)*(1+PlanterDifficultyPercentage)),IF(AE2495="ELP",(VLOOKUP(A2495,'Discount Lookup'!J:K,2)*G2495*(1-PlanterDiscount)*(1+PlanterDifficultyPercentage)),IF(AE2495="free","re-planting",IF(G2495=0,"",IF(PlanterYesMe="",IF(AE2495="me","   not ELP, by",IF(AE2495="",IF(G2495&gt;0,(VLOOKUP(A2495,'Discount Lookup'!J:K,2)*G2495*(1-PlanterDiscount)*(1+PlanterDifficultyPercentage)),""),"")),"   not ELP, by"))))))))))))))</f>
        <v/>
      </c>
      <c r="AD2495" s="712"/>
      <c r="AE2495" s="513" t="str">
        <f t="shared" si="1839"/>
        <v/>
      </c>
      <c r="AF2495" s="713" t="str">
        <f t="shared" si="1840"/>
        <v/>
      </c>
      <c r="AG2495" s="713"/>
      <c r="AH2495" s="713"/>
      <c r="AI2495" s="112">
        <f>IF(H2495="credit",0,IF(AE2495="free",0,IF(AE2495="me",0,IF(G2495&gt;0,(VLOOKUP(A2495,'Discount Lookup'!J:K,2)*G2495),0))))</f>
        <v>0</v>
      </c>
      <c r="AJ2495" s="107" t="str">
        <f t="shared" ca="1" si="1841"/>
        <v/>
      </c>
      <c r="AK2495" s="714" t="str">
        <f t="shared" si="1842"/>
        <v/>
      </c>
      <c r="AL2495" s="714"/>
      <c r="AM2495" s="114" t="str">
        <f t="shared" si="1843"/>
        <v/>
      </c>
      <c r="AN2495" s="115"/>
      <c r="AO2495" s="116"/>
      <c r="AP2495" s="116"/>
      <c r="AQ2495" s="116"/>
      <c r="AR2495" s="116"/>
      <c r="AS2495" s="116"/>
      <c r="AT2495" s="116"/>
      <c r="AU2495" s="116"/>
      <c r="AV2495" s="78"/>
      <c r="AW2495" s="102"/>
      <c r="AX2495" s="78"/>
      <c r="AY2495" s="78"/>
      <c r="AZ2495" s="78"/>
      <c r="BA2495" s="78"/>
      <c r="BB2495" s="78"/>
      <c r="BC2495" s="78"/>
      <c r="BD2495" s="78"/>
      <c r="BE2495" s="465"/>
      <c r="BF2495" s="165" t="str">
        <f t="shared" si="1844"/>
        <v>https://www.google.com/search?tbm=isch&amp;q=15%20G4</v>
      </c>
      <c r="BG2495" s="165" t="str">
        <f t="shared" si="1845"/>
        <v>J</v>
      </c>
      <c r="BH2495" s="65"/>
      <c r="BI2495" s="65"/>
      <c r="BJ2495" s="65"/>
      <c r="BK2495" s="65"/>
      <c r="BL2495" s="99"/>
      <c r="BM2495" s="99"/>
      <c r="BN2495" s="99"/>
    </row>
    <row r="2496" spans="1:66" s="51" customFormat="1" ht="17.25" thickBot="1" x14ac:dyDescent="0.3">
      <c r="A2496" s="508" t="s">
        <v>3158</v>
      </c>
      <c r="B2496" s="487"/>
      <c r="C2496" s="707"/>
      <c r="D2496" s="487"/>
      <c r="E2496" s="487"/>
      <c r="F2496" s="488"/>
      <c r="G2496" s="489"/>
      <c r="H2496" s="487"/>
      <c r="I2496" s="490"/>
      <c r="J2496" s="490"/>
      <c r="K2496" s="491"/>
      <c r="L2496" s="547"/>
      <c r="M2496" s="528"/>
      <c r="N2496" s="492"/>
      <c r="O2496" s="493"/>
      <c r="P2496" s="494"/>
      <c r="Q2496" s="492"/>
      <c r="R2496" s="492"/>
      <c r="S2496" s="699" t="s">
        <v>5280</v>
      </c>
      <c r="T2496" s="102">
        <f t="shared" si="1833"/>
        <v>0</v>
      </c>
      <c r="U2496" s="78" t="str">
        <f>IF(NOT(ISNUMBER(G2496)), "", VLOOKUP(A2496,'Discount Lookup'!D:E,2,FALSE)*G2496)</f>
        <v/>
      </c>
      <c r="V2496" s="78" t="str">
        <f>IF(NOT(ISNUMBER(G2496)), "", VLOOKUP(A2496,'Discount Lookup'!G:H,2,FALSE)*G2496)</f>
        <v/>
      </c>
      <c r="W2496" s="102">
        <f t="shared" si="1834"/>
        <v>0</v>
      </c>
      <c r="X2496" s="102">
        <f t="shared" si="1835"/>
        <v>0</v>
      </c>
      <c r="Y2496" s="120" t="b">
        <f t="shared" si="1836"/>
        <v>0</v>
      </c>
      <c r="Z2496" s="117">
        <f t="shared" si="1837"/>
        <v>0</v>
      </c>
      <c r="AA2496" s="118"/>
      <c r="AB2496" s="118" t="str">
        <f t="shared" si="1838"/>
        <v/>
      </c>
      <c r="AC2496" s="712" t="str">
        <f>IF(AE2496="T2G","no charge",IF(AND(OR(PlanterYesMe="No",PlanterYesMe="N",PlanterYesMe="me"),H2496=""),"",IF(H2496="credit","NO install",IF(AND(K2496="",AE2496="me"),"EACH row",IF(AND(K2496="images",AE2496="me"),"EACH row",IF(D2496="","",IF(H2496="credit","",IF(AE2496="free","re-planting",IF(AE2496="me","   not ELP, by",IF(AND(OR(PlanterYesMe="Yes",PlanterYesMe="Y"),G2496&gt;0),(VLOOKUP(A2496,'Discount Lookup'!J:K,2)*G2496*(1-PlanterDiscount)*(1+PlanterDifficultyPercentage)),IF(AE2496="ELP",(VLOOKUP(A2496,'Discount Lookup'!J:K,2)*G2496*(1-PlanterDiscount)*(1+PlanterDifficultyPercentage)),IF(AE2496="free","re-planting",IF(G2496=0,"",IF(PlanterYesMe="",IF(AE2496="me","   not ELP, by",IF(AE2496="",IF(G2496&gt;0,(VLOOKUP(A2496,'Discount Lookup'!J:K,2)*G2496*(1-PlanterDiscount)*(1+PlanterDifficultyPercentage)),""),"")),"   not ELP, by"))))))))))))))</f>
        <v/>
      </c>
      <c r="AD2496" s="712"/>
      <c r="AE2496" s="513" t="str">
        <f t="shared" si="1839"/>
        <v/>
      </c>
      <c r="AF2496" s="713" t="str">
        <f t="shared" si="1840"/>
        <v/>
      </c>
      <c r="AG2496" s="713"/>
      <c r="AH2496" s="713"/>
      <c r="AI2496" s="112">
        <f>IF(H2496="credit",0,IF(AE2496="free",0,IF(AE2496="me",0,IF(G2496&gt;0,(VLOOKUP(A2496,'Discount Lookup'!J:K,2)*G2496),0))))</f>
        <v>0</v>
      </c>
      <c r="AJ2496" s="107" t="str">
        <f t="shared" ca="1" si="1841"/>
        <v/>
      </c>
      <c r="AK2496" s="714" t="str">
        <f t="shared" si="1842"/>
        <v/>
      </c>
      <c r="AL2496" s="714"/>
      <c r="AM2496" s="114" t="str">
        <f t="shared" si="1843"/>
        <v/>
      </c>
      <c r="AN2496" s="115"/>
      <c r="AO2496" s="116"/>
      <c r="AP2496" s="116"/>
      <c r="AQ2496" s="116"/>
      <c r="AR2496" s="116"/>
      <c r="AS2496" s="116"/>
      <c r="AT2496" s="116"/>
      <c r="AU2496" s="116"/>
      <c r="AV2496" s="78"/>
      <c r="AW2496" s="102"/>
      <c r="AX2496" s="78"/>
      <c r="AY2496" s="78"/>
      <c r="AZ2496" s="78"/>
      <c r="BA2496" s="78"/>
      <c r="BB2496" s="78"/>
      <c r="BC2496" s="78"/>
      <c r="BD2496" s="78"/>
      <c r="BE2496" s="465"/>
      <c r="BF2496" s="165" t="str">
        <f t="shared" si="1844"/>
        <v>https://www.google.com/search?tbm=isch&amp;q=Daub%E2%80%99s%20Frosted%20creates%20a%20bright%20two-toned%20carpet%E2%80%94Gold-tipped%20over%20Blue-Green.%20Exfoliating%20bark.%20Sun%2Fheat%2Fdrought%20tolerant%20</v>
      </c>
      <c r="BG2496" s="165" t="str">
        <f t="shared" si="1845"/>
        <v>D</v>
      </c>
      <c r="BH2496" s="65"/>
      <c r="BI2496" s="65"/>
      <c r="BJ2496" s="65"/>
      <c r="BK2496" s="65"/>
      <c r="BL2496" s="99"/>
      <c r="BM2496" s="99"/>
      <c r="BN2496" s="99"/>
    </row>
    <row r="2497" spans="1:66" s="51" customFormat="1" ht="18" x14ac:dyDescent="0.25">
      <c r="A2497" s="507" t="s">
        <v>3159</v>
      </c>
      <c r="B2497" s="470"/>
      <c r="C2497" s="706"/>
      <c r="D2497" s="471" t="s">
        <v>3160</v>
      </c>
      <c r="E2497" s="472"/>
      <c r="F2497" s="472"/>
      <c r="G2497" s="472"/>
      <c r="H2497" s="622" t="s">
        <v>1240</v>
      </c>
      <c r="I2497" s="473" t="s">
        <v>3161</v>
      </c>
      <c r="J2497" s="472"/>
      <c r="K2497" s="472"/>
      <c r="L2497" s="561"/>
      <c r="M2497" s="698" t="s">
        <v>5240</v>
      </c>
      <c r="N2497" s="692" t="str">
        <f>IF(AND(ISTEXT($A2497), ISERROR($A2497+0)), HYPERLINK($BF2497, "Images"), "")</f>
        <v>Images</v>
      </c>
      <c r="O2497" s="694" t="s">
        <v>5244</v>
      </c>
      <c r="P2497" s="475"/>
      <c r="Q2497" s="476"/>
      <c r="R2497" s="476"/>
      <c r="S2497" s="477"/>
      <c r="T2497" s="102">
        <f t="shared" si="1833"/>
        <v>0</v>
      </c>
      <c r="U2497" s="78" t="str">
        <f>IF(NOT(ISNUMBER(G2497)), "", VLOOKUP(A2497,'Discount Lookup'!D:E,2,FALSE)*G2497)</f>
        <v/>
      </c>
      <c r="V2497" s="78" t="str">
        <f>IF(NOT(ISNUMBER(G2497)), "", VLOOKUP(A2497,'Discount Lookup'!G:H,2,FALSE)*G2497)</f>
        <v/>
      </c>
      <c r="W2497" s="102">
        <f t="shared" si="1834"/>
        <v>0</v>
      </c>
      <c r="X2497" s="102" t="str">
        <f t="shared" si="1835"/>
        <v>Minty-Green foliage</v>
      </c>
      <c r="Y2497" s="120" t="b">
        <f t="shared" si="1836"/>
        <v>0</v>
      </c>
      <c r="Z2497" s="117">
        <f t="shared" si="1837"/>
        <v>0</v>
      </c>
      <c r="AA2497" s="118"/>
      <c r="AB2497" s="118" t="str">
        <f t="shared" si="1838"/>
        <v/>
      </c>
      <c r="AC2497" s="712" t="str">
        <f>IF(AE2497="T2G","no charge",IF(AND(OR(PlanterYesMe="No",PlanterYesMe="N",PlanterYesMe="me"),H2497=""),"",IF(H2497="credit","NO install",IF(AND(K2497="",AE2497="me"),"EACH row",IF(AND(K2497="images",AE2497="me"),"EACH row",IF(D2497="","",IF(H2497="credit","",IF(AE2497="free","re-planting",IF(AE2497="me","   not ELP, by",IF(AND(OR(PlanterYesMe="Yes",PlanterYesMe="Y"),G2497&gt;0),(VLOOKUP(A2497,'Discount Lookup'!J:K,2)*G2497*(1-PlanterDiscount)*(1+PlanterDifficultyPercentage)),IF(AE2497="ELP",(VLOOKUP(A2497,'Discount Lookup'!J:K,2)*G2497*(1-PlanterDiscount)*(1+PlanterDifficultyPercentage)),IF(AE2497="free","re-planting",IF(G2497=0,"",IF(PlanterYesMe="",IF(AE2497="me","   not ELP, by",IF(AE2497="",IF(G2497&gt;0,(VLOOKUP(A2497,'Discount Lookup'!J:K,2)*G2497*(1-PlanterDiscount)*(1+PlanterDifficultyPercentage)),""),"")),"   not ELP, by"))))))))))))))</f>
        <v/>
      </c>
      <c r="AD2497" s="712"/>
      <c r="AE2497" s="513" t="str">
        <f t="shared" si="1839"/>
        <v/>
      </c>
      <c r="AF2497" s="713" t="str">
        <f t="shared" si="1840"/>
        <v/>
      </c>
      <c r="AG2497" s="713"/>
      <c r="AH2497" s="713"/>
      <c r="AI2497" s="112">
        <f>IF(H2497="credit",0,IF(AE2497="free",0,IF(AE2497="me",0,IF(G2497&gt;0,(VLOOKUP(A2497,'Discount Lookup'!J:K,2)*G2497),0))))</f>
        <v>0</v>
      </c>
      <c r="AJ2497" s="107" t="str">
        <f t="shared" ca="1" si="1841"/>
        <v/>
      </c>
      <c r="AK2497" s="714" t="str">
        <f t="shared" si="1842"/>
        <v/>
      </c>
      <c r="AL2497" s="714"/>
      <c r="AM2497" s="114" t="str">
        <f t="shared" si="1843"/>
        <v/>
      </c>
      <c r="AN2497" s="115"/>
      <c r="AO2497" s="116"/>
      <c r="AP2497" s="116"/>
      <c r="AQ2497" s="116"/>
      <c r="AR2497" s="116"/>
      <c r="AS2497" s="116"/>
      <c r="AT2497" s="116"/>
      <c r="AU2497" s="116"/>
      <c r="AV2497" s="78"/>
      <c r="AW2497" s="102"/>
      <c r="AX2497" s="78"/>
      <c r="AY2497" s="78"/>
      <c r="AZ2497" s="78"/>
      <c r="BA2497" s="78"/>
      <c r="BB2497" s="78"/>
      <c r="BC2497" s="78"/>
      <c r="BD2497" s="78"/>
      <c r="BE2497" s="465"/>
      <c r="BF2497" s="165" t="str">
        <f t="shared" si="1844"/>
        <v>https://www.google.com/search?tbm=isch&amp;q=Juniperus%20x%20pfitzeriana%20%27Sea%20Green%27%20Sea%20Green%20Juniper</v>
      </c>
      <c r="BG2497" s="165" t="str">
        <f t="shared" si="1845"/>
        <v>J</v>
      </c>
      <c r="BH2497" s="65"/>
      <c r="BI2497" s="65"/>
      <c r="BJ2497" s="65"/>
      <c r="BK2497" s="65"/>
      <c r="BL2497" s="99"/>
      <c r="BM2497" s="99"/>
      <c r="BN2497" s="99"/>
    </row>
    <row r="2498" spans="1:66" s="51" customFormat="1" ht="15.75" x14ac:dyDescent="0.25">
      <c r="A2498" s="478">
        <v>1</v>
      </c>
      <c r="B2498" s="479" t="s">
        <v>291</v>
      </c>
      <c r="C2498" s="480"/>
      <c r="D2498" s="481" t="s">
        <v>310</v>
      </c>
      <c r="E2498" s="482">
        <v>7.95</v>
      </c>
      <c r="F2498" s="483" t="s">
        <v>292</v>
      </c>
      <c r="G2498" s="484">
        <v>0</v>
      </c>
      <c r="H2498" s="688" t="str">
        <f>IF(G2498=0,"",IF(F2498="Buy",IF(G2498=1,"plant","plants"),IF(F2498&gt;0.01,"warranty","Error")))</f>
        <v/>
      </c>
      <c r="I2498" s="485">
        <f>IF(H2498="free",0,IF(H2498="credit",((E2498*(F2498))*G2498*-1),IF(F2498="Buy",(E2498*G2498),((E2498*(1-F2498))*G2498))))</f>
        <v>0</v>
      </c>
      <c r="J2498" s="485">
        <f>IF(H2498="warranty",0,(I2498*(_xlfn.SINGLE(SalesTaxPercentage))))</f>
        <v>0</v>
      </c>
      <c r="K2498" s="715">
        <f t="shared" ref="K2498" si="1871">I2498+J2498</f>
        <v>0</v>
      </c>
      <c r="L2498" s="715"/>
      <c r="M2498" s="689" t="str">
        <f ca="1">IF(AND(G2498&gt;0,E2498=0),"WARNING - no PRICE inserted",IF(H2498="free","FREE ~ no charge this plant",IF(H2498="credit",CONCATENATE("-$",ROUND(K2498*(1-_xlfn.SINGLE(T2GDiscount))*-1,2)," CREDIT after discount"),IF(_xlfn.SINGLE(T2GDiscount)=0,"",IF(G2498=0,"",IF(F2498="Buy",CONCATENATE("$",ROUND(K2498*(1-_xlfn.SINGLE(T2GDiscount)),2)," with ",(_xlfn.SINGLE(T2GDiscount)*100),"% discount"),CONCATENATE("$",ROUND(K2498*(1-_xlfn.SINGLE(T2GDiscount)),2)," with ",((_xlfn.SINGLE(T2GDiscount)*100+F2498*100)-(_xlfn.SINGLE(T2GDiscount)*100*F2498)),IF(F2498&gt;0,"% discounts",IF(_xlfn.SINGLE(NoWarrantyDiscount)&gt;0,"% discounts","% discount")))))))))</f>
        <v/>
      </c>
      <c r="N2498" s="690"/>
      <c r="O2498" s="486"/>
      <c r="P2498" s="486"/>
      <c r="Q2498" s="486"/>
      <c r="R2498" s="486"/>
      <c r="S2498" s="486"/>
      <c r="T2498" s="102">
        <f t="shared" si="1833"/>
        <v>0</v>
      </c>
      <c r="U2498" s="78">
        <f>IF(NOT(ISNUMBER(G2498)), "", VLOOKUP(A2498,'Discount Lookup'!D:E,2,FALSE)*G2498)</f>
        <v>0</v>
      </c>
      <c r="V2498" s="78">
        <f>IF(NOT(ISNUMBER(G2498)), "", VLOOKUP(A2498,'Discount Lookup'!G:H,2,FALSE)*G2498)</f>
        <v>0</v>
      </c>
      <c r="W2498" s="102">
        <f t="shared" si="1834"/>
        <v>0</v>
      </c>
      <c r="X2498" s="102">
        <f t="shared" si="1835"/>
        <v>0</v>
      </c>
      <c r="Y2498" s="120" t="b">
        <f t="shared" si="1836"/>
        <v>0</v>
      </c>
      <c r="Z2498" s="117">
        <f t="shared" si="1837"/>
        <v>0</v>
      </c>
      <c r="AA2498" s="118"/>
      <c r="AB2498" s="118" t="str">
        <f t="shared" si="1838"/>
        <v/>
      </c>
      <c r="AC2498" s="712" t="str">
        <f>IF(AE2498="T2G","no charge",IF(AND(OR(PlanterYesMe="No",PlanterYesMe="N",PlanterYesMe="me"),H2498=""),"",IF(H2498="credit","NO install",IF(AND(K2498="",AE2498="me"),"EACH row",IF(AND(K2498="images",AE2498="me"),"EACH row",IF(D2498="","",IF(H2498="credit","",IF(AE2498="free","re-planting",IF(AE2498="me","   not ELP, by",IF(AND(OR(PlanterYesMe="Yes",PlanterYesMe="Y"),G2498&gt;0),(VLOOKUP(A2498,'Discount Lookup'!J:K,2)*G2498*(1-PlanterDiscount)*(1+PlanterDifficultyPercentage)),IF(AE2498="ELP",(VLOOKUP(A2498,'Discount Lookup'!J:K,2)*G2498*(1-PlanterDiscount)*(1+PlanterDifficultyPercentage)),IF(AE2498="free","re-planting",IF(G2498=0,"",IF(PlanterYesMe="",IF(AE2498="me","   not ELP, by",IF(AE2498="",IF(G2498&gt;0,(VLOOKUP(A2498,'Discount Lookup'!J:K,2)*G2498*(1-PlanterDiscount)*(1+PlanterDifficultyPercentage)),""),"")),"   not ELP, by"))))))))))))))</f>
        <v/>
      </c>
      <c r="AD2498" s="712"/>
      <c r="AE2498" s="513" t="str">
        <f t="shared" si="1839"/>
        <v/>
      </c>
      <c r="AF2498" s="713" t="str">
        <f t="shared" si="1840"/>
        <v/>
      </c>
      <c r="AG2498" s="713"/>
      <c r="AH2498" s="713"/>
      <c r="AI2498" s="112">
        <f>IF(H2498="credit",0,IF(AE2498="free",0,IF(AE2498="me",0,IF(G2498&gt;0,(VLOOKUP(A2498,'Discount Lookup'!J:K,2)*G2498),0))))</f>
        <v>0</v>
      </c>
      <c r="AJ2498" s="107" t="str">
        <f t="shared" ca="1" si="1841"/>
        <v/>
      </c>
      <c r="AK2498" s="714" t="str">
        <f t="shared" si="1842"/>
        <v/>
      </c>
      <c r="AL2498" s="714"/>
      <c r="AM2498" s="114" t="str">
        <f t="shared" si="1843"/>
        <v/>
      </c>
      <c r="AN2498" s="115"/>
      <c r="AO2498" s="116"/>
      <c r="AP2498" s="116"/>
      <c r="AQ2498" s="116"/>
      <c r="AR2498" s="116"/>
      <c r="AS2498" s="116"/>
      <c r="AT2498" s="116"/>
      <c r="AU2498" s="116"/>
      <c r="AV2498" s="78"/>
      <c r="AW2498" s="102"/>
      <c r="AX2498" s="78"/>
      <c r="AY2498" s="78"/>
      <c r="AZ2498" s="78"/>
      <c r="BA2498" s="78"/>
      <c r="BB2498" s="78"/>
      <c r="BC2498" s="78"/>
      <c r="BD2498" s="78"/>
      <c r="BE2498" s="465"/>
      <c r="BF2498" s="165" t="str">
        <f t="shared" si="1844"/>
        <v>https://www.google.com/search?tbm=isch&amp;q=1%20G1</v>
      </c>
      <c r="BG2498" s="165" t="str">
        <f t="shared" si="1845"/>
        <v>J</v>
      </c>
      <c r="BH2498" s="65"/>
      <c r="BI2498" s="65"/>
      <c r="BJ2498" s="65"/>
      <c r="BK2498" s="65"/>
      <c r="BL2498" s="99"/>
      <c r="BM2498" s="99"/>
      <c r="BN2498" s="99"/>
    </row>
    <row r="2499" spans="1:66" s="51" customFormat="1" ht="15.75" x14ac:dyDescent="0.25">
      <c r="A2499" s="478">
        <v>3</v>
      </c>
      <c r="B2499" s="479" t="s">
        <v>291</v>
      </c>
      <c r="C2499" s="480" t="s">
        <v>10</v>
      </c>
      <c r="D2499" s="481" t="s">
        <v>310</v>
      </c>
      <c r="E2499" s="482">
        <v>25.95</v>
      </c>
      <c r="F2499" s="483" t="s">
        <v>292</v>
      </c>
      <c r="G2499" s="484">
        <v>0</v>
      </c>
      <c r="H2499" s="688" t="str">
        <f>IF(G2499=0,"",IF(F2499="Buy",IF(G2499=1,"plant","plants"),IF(F2499&gt;0.01,"warranty","Error")))</f>
        <v/>
      </c>
      <c r="I2499" s="485">
        <f>IF(H2499="free",0,IF(H2499="credit",((E2499*(F2499))*G2499*-1),IF(F2499="Buy",(E2499*G2499),((E2499*(1-F2499))*G2499))))</f>
        <v>0</v>
      </c>
      <c r="J2499" s="485">
        <f>IF(H2499="warranty",0,(I2499*(_xlfn.SINGLE(SalesTaxPercentage))))</f>
        <v>0</v>
      </c>
      <c r="K2499" s="715">
        <f t="shared" ref="K2499" si="1872">I2499+J2499</f>
        <v>0</v>
      </c>
      <c r="L2499" s="715"/>
      <c r="M2499" s="689" t="str">
        <f ca="1">IF(AND(G2499&gt;0,E2499=0),"WARNING - no PRICE inserted",IF(H2499="free","FREE ~ no charge this plant",IF(H2499="credit",CONCATENATE("-$",ROUND(K2499*(1-_xlfn.SINGLE(T2GDiscount))*-1,2)," CREDIT after discount"),IF(_xlfn.SINGLE(T2GDiscount)=0,"",IF(G2499=0,"",IF(F2499="Buy",CONCATENATE("$",ROUND(K2499*(1-_xlfn.SINGLE(T2GDiscount)),2)," with ",(_xlfn.SINGLE(T2GDiscount)*100),"% discount"),CONCATENATE("$",ROUND(K2499*(1-_xlfn.SINGLE(T2GDiscount)),2)," with ",((_xlfn.SINGLE(T2GDiscount)*100+F2499*100)-(_xlfn.SINGLE(T2GDiscount)*100*F2499)),IF(F2499&gt;0,"% discounts",IF(_xlfn.SINGLE(NoWarrantyDiscount)&gt;0,"% discounts","% discount")))))))))</f>
        <v/>
      </c>
      <c r="N2499" s="690"/>
      <c r="O2499" s="486"/>
      <c r="P2499" s="486"/>
      <c r="Q2499" s="486"/>
      <c r="R2499" s="486"/>
      <c r="S2499" s="486"/>
      <c r="T2499" s="102">
        <f t="shared" si="1833"/>
        <v>0</v>
      </c>
      <c r="U2499" s="78">
        <f>IF(NOT(ISNUMBER(G2499)), "", VLOOKUP(A2499,'Discount Lookup'!D:E,2,FALSE)*G2499)</f>
        <v>0</v>
      </c>
      <c r="V2499" s="78">
        <f>IF(NOT(ISNUMBER(G2499)), "", VLOOKUP(A2499,'Discount Lookup'!G:H,2,FALSE)*G2499)</f>
        <v>0</v>
      </c>
      <c r="W2499" s="102">
        <f t="shared" si="1834"/>
        <v>0</v>
      </c>
      <c r="X2499" s="102">
        <f t="shared" si="1835"/>
        <v>0</v>
      </c>
      <c r="Y2499" s="120" t="b">
        <f t="shared" si="1836"/>
        <v>0</v>
      </c>
      <c r="Z2499" s="117">
        <f t="shared" si="1837"/>
        <v>0</v>
      </c>
      <c r="AA2499" s="118"/>
      <c r="AB2499" s="118" t="str">
        <f t="shared" si="1838"/>
        <v/>
      </c>
      <c r="AC2499" s="712" t="str">
        <f>IF(AE2499="T2G","no charge",IF(AND(OR(PlanterYesMe="No",PlanterYesMe="N",PlanterYesMe="me"),H2499=""),"",IF(H2499="credit","NO install",IF(AND(K2499="",AE2499="me"),"EACH row",IF(AND(K2499="images",AE2499="me"),"EACH row",IF(D2499="","",IF(H2499="credit","",IF(AE2499="free","re-planting",IF(AE2499="me","   not ELP, by",IF(AND(OR(PlanterYesMe="Yes",PlanterYesMe="Y"),G2499&gt;0),(VLOOKUP(A2499,'Discount Lookup'!J:K,2)*G2499*(1-PlanterDiscount)*(1+PlanterDifficultyPercentage)),IF(AE2499="ELP",(VLOOKUP(A2499,'Discount Lookup'!J:K,2)*G2499*(1-PlanterDiscount)*(1+PlanterDifficultyPercentage)),IF(AE2499="free","re-planting",IF(G2499=0,"",IF(PlanterYesMe="",IF(AE2499="me","   not ELP, by",IF(AE2499="",IF(G2499&gt;0,(VLOOKUP(A2499,'Discount Lookup'!J:K,2)*G2499*(1-PlanterDiscount)*(1+PlanterDifficultyPercentage)),""),"")),"   not ELP, by"))))))))))))))</f>
        <v/>
      </c>
      <c r="AD2499" s="712"/>
      <c r="AE2499" s="513" t="str">
        <f t="shared" si="1839"/>
        <v/>
      </c>
      <c r="AF2499" s="713" t="str">
        <f t="shared" si="1840"/>
        <v/>
      </c>
      <c r="AG2499" s="713"/>
      <c r="AH2499" s="713"/>
      <c r="AI2499" s="112">
        <f>IF(H2499="credit",0,IF(AE2499="free",0,IF(AE2499="me",0,IF(G2499&gt;0,(VLOOKUP(A2499,'Discount Lookup'!J:K,2)*G2499),0))))</f>
        <v>0</v>
      </c>
      <c r="AJ2499" s="107" t="str">
        <f t="shared" ca="1" si="1841"/>
        <v/>
      </c>
      <c r="AK2499" s="714" t="str">
        <f t="shared" si="1842"/>
        <v/>
      </c>
      <c r="AL2499" s="714"/>
      <c r="AM2499" s="114" t="str">
        <f t="shared" si="1843"/>
        <v/>
      </c>
      <c r="AN2499" s="115"/>
      <c r="AO2499" s="116"/>
      <c r="AP2499" s="116"/>
      <c r="AQ2499" s="116"/>
      <c r="AR2499" s="116"/>
      <c r="AS2499" s="116"/>
      <c r="AT2499" s="116"/>
      <c r="AU2499" s="116"/>
      <c r="AV2499" s="78"/>
      <c r="AW2499" s="102"/>
      <c r="AX2499" s="78"/>
      <c r="AY2499" s="78"/>
      <c r="AZ2499" s="78"/>
      <c r="BA2499" s="78"/>
      <c r="BB2499" s="78"/>
      <c r="BC2499" s="78"/>
      <c r="BD2499" s="78"/>
      <c r="BE2499" s="465"/>
      <c r="BF2499" s="165" t="str">
        <f t="shared" si="1844"/>
        <v>https://www.google.com/search?tbm=isch&amp;q=3%20G1</v>
      </c>
      <c r="BG2499" s="165" t="str">
        <f t="shared" si="1845"/>
        <v>J</v>
      </c>
      <c r="BH2499" s="65"/>
      <c r="BI2499" s="65"/>
      <c r="BJ2499" s="65"/>
      <c r="BK2499" s="65"/>
      <c r="BL2499" s="99"/>
      <c r="BM2499" s="99"/>
      <c r="BN2499" s="99"/>
    </row>
    <row r="2500" spans="1:66" s="51" customFormat="1" ht="15.75" x14ac:dyDescent="0.25">
      <c r="A2500" s="478">
        <v>10</v>
      </c>
      <c r="B2500" s="479" t="s">
        <v>291</v>
      </c>
      <c r="C2500" s="480" t="s">
        <v>3162</v>
      </c>
      <c r="D2500" s="481" t="s">
        <v>299</v>
      </c>
      <c r="E2500" s="482">
        <v>316.95</v>
      </c>
      <c r="F2500" s="483" t="s">
        <v>292</v>
      </c>
      <c r="G2500" s="484">
        <v>0</v>
      </c>
      <c r="H2500" s="688" t="str">
        <f>IF(G2500=0,"",IF(F2500="Buy",IF(G2500=1,"plant","plants"),IF(F2500&gt;0.01,"warranty","Error")))</f>
        <v/>
      </c>
      <c r="I2500" s="485">
        <f>IF(H2500="free",0,IF(H2500="credit",((E2500*(F2500))*G2500*-1),IF(F2500="Buy",(E2500*G2500),((E2500*(1-F2500))*G2500))))</f>
        <v>0</v>
      </c>
      <c r="J2500" s="485">
        <f>IF(H2500="warranty",0,(I2500*(_xlfn.SINGLE(SalesTaxPercentage))))</f>
        <v>0</v>
      </c>
      <c r="K2500" s="715">
        <f t="shared" ref="K2500" si="1873">I2500+J2500</f>
        <v>0</v>
      </c>
      <c r="L2500" s="715"/>
      <c r="M2500" s="689" t="str">
        <f ca="1">IF(AND(G2500&gt;0,E2500=0),"WARNING - no PRICE inserted",IF(H2500="free","FREE ~ no charge this plant",IF(H2500="credit",CONCATENATE("-$",ROUND(K2500*(1-_xlfn.SINGLE(T2GDiscount))*-1,2)," CREDIT after discount"),IF(_xlfn.SINGLE(T2GDiscount)=0,"",IF(G2500=0,"",IF(F2500="Buy",CONCATENATE("$",ROUND(K2500*(1-_xlfn.SINGLE(T2GDiscount)),2)," with ",(_xlfn.SINGLE(T2GDiscount)*100),"% discount"),CONCATENATE("$",ROUND(K2500*(1-_xlfn.SINGLE(T2GDiscount)),2)," with ",((_xlfn.SINGLE(T2GDiscount)*100+F2500*100)-(_xlfn.SINGLE(T2GDiscount)*100*F2500)),IF(F2500&gt;0,"% discounts",IF(_xlfn.SINGLE(NoWarrantyDiscount)&gt;0,"% discounts","% discount")))))))))</f>
        <v/>
      </c>
      <c r="N2500" s="690"/>
      <c r="O2500" s="486"/>
      <c r="P2500" s="486"/>
      <c r="Q2500" s="486"/>
      <c r="R2500" s="486"/>
      <c r="S2500" s="486"/>
      <c r="T2500" s="102">
        <f t="shared" si="1833"/>
        <v>0</v>
      </c>
      <c r="U2500" s="78">
        <f>IF(NOT(ISNUMBER(G2500)), "", VLOOKUP(A2500,'Discount Lookup'!D:E,2,FALSE)*G2500)</f>
        <v>0</v>
      </c>
      <c r="V2500" s="78">
        <f>IF(NOT(ISNUMBER(G2500)), "", VLOOKUP(A2500,'Discount Lookup'!G:H,2,FALSE)*G2500)</f>
        <v>0</v>
      </c>
      <c r="W2500" s="102">
        <f t="shared" si="1834"/>
        <v>0</v>
      </c>
      <c r="X2500" s="102">
        <f t="shared" si="1835"/>
        <v>0</v>
      </c>
      <c r="Y2500" s="120" t="b">
        <f t="shared" si="1836"/>
        <v>0</v>
      </c>
      <c r="Z2500" s="117">
        <f t="shared" si="1837"/>
        <v>0</v>
      </c>
      <c r="AA2500" s="118"/>
      <c r="AB2500" s="118" t="str">
        <f t="shared" si="1838"/>
        <v/>
      </c>
      <c r="AC2500" s="712" t="str">
        <f>IF(AE2500="T2G","no charge",IF(AND(OR(PlanterYesMe="No",PlanterYesMe="N",PlanterYesMe="me"),H2500=""),"",IF(H2500="credit","NO install",IF(AND(K2500="",AE2500="me"),"EACH row",IF(AND(K2500="images",AE2500="me"),"EACH row",IF(D2500="","",IF(H2500="credit","",IF(AE2500="free","re-planting",IF(AE2500="me","   not ELP, by",IF(AND(OR(PlanterYesMe="Yes",PlanterYesMe="Y"),G2500&gt;0),(VLOOKUP(A2500,'Discount Lookup'!J:K,2)*G2500*(1-PlanterDiscount)*(1+PlanterDifficultyPercentage)),IF(AE2500="ELP",(VLOOKUP(A2500,'Discount Lookup'!J:K,2)*G2500*(1-PlanterDiscount)*(1+PlanterDifficultyPercentage)),IF(AE2500="free","re-planting",IF(G2500=0,"",IF(PlanterYesMe="",IF(AE2500="me","   not ELP, by",IF(AE2500="",IF(G2500&gt;0,(VLOOKUP(A2500,'Discount Lookup'!J:K,2)*G2500*(1-PlanterDiscount)*(1+PlanterDifficultyPercentage)),""),"")),"   not ELP, by"))))))))))))))</f>
        <v/>
      </c>
      <c r="AD2500" s="712"/>
      <c r="AE2500" s="513" t="str">
        <f t="shared" si="1839"/>
        <v/>
      </c>
      <c r="AF2500" s="713" t="str">
        <f t="shared" si="1840"/>
        <v/>
      </c>
      <c r="AG2500" s="713"/>
      <c r="AH2500" s="713"/>
      <c r="AI2500" s="112">
        <f>IF(H2500="credit",0,IF(AE2500="free",0,IF(AE2500="me",0,IF(G2500&gt;0,(VLOOKUP(A2500,'Discount Lookup'!J:K,2)*G2500),0))))</f>
        <v>0</v>
      </c>
      <c r="AJ2500" s="107" t="str">
        <f t="shared" ca="1" si="1841"/>
        <v/>
      </c>
      <c r="AK2500" s="714" t="str">
        <f t="shared" si="1842"/>
        <v/>
      </c>
      <c r="AL2500" s="714"/>
      <c r="AM2500" s="114" t="str">
        <f t="shared" si="1843"/>
        <v/>
      </c>
      <c r="AN2500" s="115"/>
      <c r="AO2500" s="116"/>
      <c r="AP2500" s="116"/>
      <c r="AQ2500" s="116"/>
      <c r="AR2500" s="116"/>
      <c r="AS2500" s="116"/>
      <c r="AT2500" s="116"/>
      <c r="AU2500" s="116"/>
      <c r="AV2500" s="78"/>
      <c r="AW2500" s="102"/>
      <c r="AX2500" s="78"/>
      <c r="AY2500" s="78"/>
      <c r="AZ2500" s="78"/>
      <c r="BA2500" s="78"/>
      <c r="BB2500" s="78"/>
      <c r="BC2500" s="78"/>
      <c r="BD2500" s="78"/>
      <c r="BE2500" s="465"/>
      <c r="BF2500" s="165" t="str">
        <f t="shared" si="1844"/>
        <v>https://www.google.com/search?tbm=isch&amp;q=10%20G4</v>
      </c>
      <c r="BG2500" s="165" t="str">
        <f t="shared" si="1845"/>
        <v>J</v>
      </c>
      <c r="BH2500" s="65"/>
      <c r="BI2500" s="65"/>
      <c r="BJ2500" s="65"/>
      <c r="BK2500" s="65"/>
      <c r="BL2500" s="99"/>
      <c r="BM2500" s="99"/>
      <c r="BN2500" s="99"/>
    </row>
    <row r="2501" spans="1:66" s="51" customFormat="1" ht="27" x14ac:dyDescent="0.25">
      <c r="A2501" s="478">
        <v>15</v>
      </c>
      <c r="B2501" s="479" t="s">
        <v>291</v>
      </c>
      <c r="C2501" s="480" t="s">
        <v>3163</v>
      </c>
      <c r="D2501" s="481" t="s">
        <v>299</v>
      </c>
      <c r="E2501" s="482">
        <v>378.95</v>
      </c>
      <c r="F2501" s="483" t="s">
        <v>292</v>
      </c>
      <c r="G2501" s="484">
        <v>0</v>
      </c>
      <c r="H2501" s="688" t="str">
        <f>IF(G2501=0,"",IF(F2501="Buy",IF(G2501=1,"plant","plants"),IF(F2501&gt;0.01,"warranty","Error")))</f>
        <v/>
      </c>
      <c r="I2501" s="485">
        <f>IF(H2501="free",0,IF(H2501="credit",((E2501*(F2501))*G2501*-1),IF(F2501="Buy",(E2501*G2501),((E2501*(1-F2501))*G2501))))</f>
        <v>0</v>
      </c>
      <c r="J2501" s="485">
        <f>IF(H2501="warranty",0,(I2501*(_xlfn.SINGLE(SalesTaxPercentage))))</f>
        <v>0</v>
      </c>
      <c r="K2501" s="715">
        <f t="shared" ref="K2501" si="1874">I2501+J2501</f>
        <v>0</v>
      </c>
      <c r="L2501" s="715"/>
      <c r="M2501" s="689" t="str">
        <f ca="1">IF(AND(G2501&gt;0,E2501=0),"WARNING - no PRICE inserted",IF(H2501="free","FREE ~ no charge this plant",IF(H2501="credit",CONCATENATE("-$",ROUND(K2501*(1-_xlfn.SINGLE(T2GDiscount))*-1,2)," CREDIT after discount"),IF(_xlfn.SINGLE(T2GDiscount)=0,"",IF(G2501=0,"",IF(F2501="Buy",CONCATENATE("$",ROUND(K2501*(1-_xlfn.SINGLE(T2GDiscount)),2)," with ",(_xlfn.SINGLE(T2GDiscount)*100),"% discount"),CONCATENATE("$",ROUND(K2501*(1-_xlfn.SINGLE(T2GDiscount)),2)," with ",((_xlfn.SINGLE(T2GDiscount)*100+F2501*100)-(_xlfn.SINGLE(T2GDiscount)*100*F2501)),IF(F2501&gt;0,"% discounts",IF(_xlfn.SINGLE(NoWarrantyDiscount)&gt;0,"% discounts","% discount")))))))))</f>
        <v/>
      </c>
      <c r="N2501" s="690"/>
      <c r="O2501" s="486"/>
      <c r="P2501" s="486"/>
      <c r="Q2501" s="486"/>
      <c r="R2501" s="486"/>
      <c r="S2501" s="486"/>
      <c r="T2501" s="102">
        <f t="shared" si="1833"/>
        <v>0</v>
      </c>
      <c r="U2501" s="78">
        <f>IF(NOT(ISNUMBER(G2501)), "", VLOOKUP(A2501,'Discount Lookup'!D:E,2,FALSE)*G2501)</f>
        <v>0</v>
      </c>
      <c r="V2501" s="78">
        <f>IF(NOT(ISNUMBER(G2501)), "", VLOOKUP(A2501,'Discount Lookup'!G:H,2,FALSE)*G2501)</f>
        <v>0</v>
      </c>
      <c r="W2501" s="102">
        <f t="shared" si="1834"/>
        <v>0</v>
      </c>
      <c r="X2501" s="102">
        <f t="shared" si="1835"/>
        <v>0</v>
      </c>
      <c r="Y2501" s="120" t="b">
        <f t="shared" si="1836"/>
        <v>0</v>
      </c>
      <c r="Z2501" s="117">
        <f t="shared" si="1837"/>
        <v>0</v>
      </c>
      <c r="AA2501" s="118"/>
      <c r="AB2501" s="118" t="str">
        <f t="shared" si="1838"/>
        <v/>
      </c>
      <c r="AC2501" s="712" t="str">
        <f>IF(AE2501="T2G","no charge",IF(AND(OR(PlanterYesMe="No",PlanterYesMe="N",PlanterYesMe="me"),H2501=""),"",IF(H2501="credit","NO install",IF(AND(K2501="",AE2501="me"),"EACH row",IF(AND(K2501="images",AE2501="me"),"EACH row",IF(D2501="","",IF(H2501="credit","",IF(AE2501="free","re-planting",IF(AE2501="me","   not ELP, by",IF(AND(OR(PlanterYesMe="Yes",PlanterYesMe="Y"),G2501&gt;0),(VLOOKUP(A2501,'Discount Lookup'!J:K,2)*G2501*(1-PlanterDiscount)*(1+PlanterDifficultyPercentage)),IF(AE2501="ELP",(VLOOKUP(A2501,'Discount Lookup'!J:K,2)*G2501*(1-PlanterDiscount)*(1+PlanterDifficultyPercentage)),IF(AE2501="free","re-planting",IF(G2501=0,"",IF(PlanterYesMe="",IF(AE2501="me","   not ELP, by",IF(AE2501="",IF(G2501&gt;0,(VLOOKUP(A2501,'Discount Lookup'!J:K,2)*G2501*(1-PlanterDiscount)*(1+PlanterDifficultyPercentage)),""),"")),"   not ELP, by"))))))))))))))</f>
        <v/>
      </c>
      <c r="AD2501" s="712"/>
      <c r="AE2501" s="513" t="str">
        <f t="shared" si="1839"/>
        <v/>
      </c>
      <c r="AF2501" s="713" t="str">
        <f t="shared" si="1840"/>
        <v/>
      </c>
      <c r="AG2501" s="713"/>
      <c r="AH2501" s="713"/>
      <c r="AI2501" s="112">
        <f>IF(H2501="credit",0,IF(AE2501="free",0,IF(AE2501="me",0,IF(G2501&gt;0,(VLOOKUP(A2501,'Discount Lookup'!J:K,2)*G2501),0))))</f>
        <v>0</v>
      </c>
      <c r="AJ2501" s="107" t="str">
        <f t="shared" ca="1" si="1841"/>
        <v/>
      </c>
      <c r="AK2501" s="714" t="str">
        <f t="shared" si="1842"/>
        <v/>
      </c>
      <c r="AL2501" s="714"/>
      <c r="AM2501" s="114" t="str">
        <f t="shared" si="1843"/>
        <v/>
      </c>
      <c r="AN2501" s="115"/>
      <c r="AO2501" s="116"/>
      <c r="AP2501" s="116"/>
      <c r="AQ2501" s="116"/>
      <c r="AR2501" s="116"/>
      <c r="AS2501" s="116"/>
      <c r="AT2501" s="116"/>
      <c r="AU2501" s="116"/>
      <c r="AV2501" s="78"/>
      <c r="AW2501" s="102"/>
      <c r="AX2501" s="78"/>
      <c r="AY2501" s="78"/>
      <c r="AZ2501" s="78"/>
      <c r="BA2501" s="78"/>
      <c r="BB2501" s="78"/>
      <c r="BC2501" s="78"/>
      <c r="BD2501" s="78"/>
      <c r="BE2501" s="465"/>
      <c r="BF2501" s="165" t="str">
        <f t="shared" si="1844"/>
        <v>https://www.google.com/search?tbm=isch&amp;q=15%20G4</v>
      </c>
      <c r="BG2501" s="165" t="str">
        <f t="shared" si="1845"/>
        <v>J</v>
      </c>
      <c r="BH2501" s="65"/>
      <c r="BI2501" s="65"/>
      <c r="BJ2501" s="65"/>
      <c r="BK2501" s="65"/>
      <c r="BL2501" s="99"/>
      <c r="BM2501" s="99"/>
      <c r="BN2501" s="99"/>
    </row>
    <row r="2502" spans="1:66" s="51" customFormat="1" ht="40.5" x14ac:dyDescent="0.25">
      <c r="A2502" s="478">
        <v>25</v>
      </c>
      <c r="B2502" s="479" t="s">
        <v>291</v>
      </c>
      <c r="C2502" s="480" t="s">
        <v>3164</v>
      </c>
      <c r="D2502" s="481" t="s">
        <v>299</v>
      </c>
      <c r="E2502" s="482">
        <v>672.95</v>
      </c>
      <c r="F2502" s="483" t="s">
        <v>292</v>
      </c>
      <c r="G2502" s="484">
        <v>0</v>
      </c>
      <c r="H2502" s="688" t="str">
        <f>IF(G2502=0,"",IF(F2502="Buy",IF(G2502=1,"plant","plants"),IF(F2502&gt;0.01,"warranty","Error")))</f>
        <v/>
      </c>
      <c r="I2502" s="485">
        <f>IF(H2502="free",0,IF(H2502="credit",((E2502*(F2502))*G2502*-1),IF(F2502="Buy",(E2502*G2502),((E2502*(1-F2502))*G2502))))</f>
        <v>0</v>
      </c>
      <c r="J2502" s="485">
        <f>IF(H2502="warranty",0,(I2502*(_xlfn.SINGLE(SalesTaxPercentage))))</f>
        <v>0</v>
      </c>
      <c r="K2502" s="715">
        <f t="shared" ref="K2502" si="1875">I2502+J2502</f>
        <v>0</v>
      </c>
      <c r="L2502" s="715"/>
      <c r="M2502" s="689" t="str">
        <f ca="1">IF(AND(G2502&gt;0,E2502=0),"WARNING - no PRICE inserted",IF(H2502="free","FREE ~ no charge this plant",IF(H2502="credit",CONCATENATE("-$",ROUND(K2502*(1-_xlfn.SINGLE(T2GDiscount))*-1,2)," CREDIT after discount"),IF(_xlfn.SINGLE(T2GDiscount)=0,"",IF(G2502=0,"",IF(F2502="Buy",CONCATENATE("$",ROUND(K2502*(1-_xlfn.SINGLE(T2GDiscount)),2)," with ",(_xlfn.SINGLE(T2GDiscount)*100),"% discount"),CONCATENATE("$",ROUND(K2502*(1-_xlfn.SINGLE(T2GDiscount)),2)," with ",((_xlfn.SINGLE(T2GDiscount)*100+F2502*100)-(_xlfn.SINGLE(T2GDiscount)*100*F2502)),IF(F2502&gt;0,"% discounts",IF(_xlfn.SINGLE(NoWarrantyDiscount)&gt;0,"% discounts","% discount")))))))))</f>
        <v/>
      </c>
      <c r="N2502" s="690"/>
      <c r="O2502" s="486"/>
      <c r="P2502" s="486"/>
      <c r="Q2502" s="486"/>
      <c r="R2502" s="486"/>
      <c r="S2502" s="486"/>
      <c r="T2502" s="102">
        <f t="shared" si="1833"/>
        <v>0</v>
      </c>
      <c r="U2502" s="78">
        <f>IF(NOT(ISNUMBER(G2502)), "", VLOOKUP(A2502,'Discount Lookup'!D:E,2,FALSE)*G2502)</f>
        <v>0</v>
      </c>
      <c r="V2502" s="78">
        <f>IF(NOT(ISNUMBER(G2502)), "", VLOOKUP(A2502,'Discount Lookup'!G:H,2,FALSE)*G2502)</f>
        <v>0</v>
      </c>
      <c r="W2502" s="102">
        <f t="shared" si="1834"/>
        <v>0</v>
      </c>
      <c r="X2502" s="102">
        <f t="shared" si="1835"/>
        <v>0</v>
      </c>
      <c r="Y2502" s="120" t="b">
        <f t="shared" si="1836"/>
        <v>0</v>
      </c>
      <c r="Z2502" s="117">
        <f t="shared" si="1837"/>
        <v>0</v>
      </c>
      <c r="AA2502" s="118"/>
      <c r="AB2502" s="118" t="str">
        <f t="shared" si="1838"/>
        <v/>
      </c>
      <c r="AC2502" s="712" t="str">
        <f>IF(AE2502="T2G","no charge",IF(AND(OR(PlanterYesMe="No",PlanterYesMe="N",PlanterYesMe="me"),H2502=""),"",IF(H2502="credit","NO install",IF(AND(K2502="",AE2502="me"),"EACH row",IF(AND(K2502="images",AE2502="me"),"EACH row",IF(D2502="","",IF(H2502="credit","",IF(AE2502="free","re-planting",IF(AE2502="me","   not ELP, by",IF(AND(OR(PlanterYesMe="Yes",PlanterYesMe="Y"),G2502&gt;0),(VLOOKUP(A2502,'Discount Lookup'!J:K,2)*G2502*(1-PlanterDiscount)*(1+PlanterDifficultyPercentage)),IF(AE2502="ELP",(VLOOKUP(A2502,'Discount Lookup'!J:K,2)*G2502*(1-PlanterDiscount)*(1+PlanterDifficultyPercentage)),IF(AE2502="free","re-planting",IF(G2502=0,"",IF(PlanterYesMe="",IF(AE2502="me","   not ELP, by",IF(AE2502="",IF(G2502&gt;0,(VLOOKUP(A2502,'Discount Lookup'!J:K,2)*G2502*(1-PlanterDiscount)*(1+PlanterDifficultyPercentage)),""),"")),"   not ELP, by"))))))))))))))</f>
        <v/>
      </c>
      <c r="AD2502" s="712"/>
      <c r="AE2502" s="513" t="str">
        <f t="shared" si="1839"/>
        <v/>
      </c>
      <c r="AF2502" s="713" t="str">
        <f t="shared" si="1840"/>
        <v/>
      </c>
      <c r="AG2502" s="713"/>
      <c r="AH2502" s="713"/>
      <c r="AI2502" s="112">
        <f>IF(H2502="credit",0,IF(AE2502="free",0,IF(AE2502="me",0,IF(G2502&gt;0,(VLOOKUP(A2502,'Discount Lookup'!J:K,2)*G2502),0))))</f>
        <v>0</v>
      </c>
      <c r="AJ2502" s="107" t="str">
        <f t="shared" ca="1" si="1841"/>
        <v/>
      </c>
      <c r="AK2502" s="714" t="str">
        <f t="shared" si="1842"/>
        <v/>
      </c>
      <c r="AL2502" s="714"/>
      <c r="AM2502" s="114" t="str">
        <f t="shared" si="1843"/>
        <v/>
      </c>
      <c r="AN2502" s="115"/>
      <c r="AO2502" s="116"/>
      <c r="AP2502" s="116"/>
      <c r="AQ2502" s="116"/>
      <c r="AR2502" s="116"/>
      <c r="AS2502" s="116"/>
      <c r="AT2502" s="116"/>
      <c r="AU2502" s="116"/>
      <c r="AV2502" s="78"/>
      <c r="AW2502" s="102"/>
      <c r="AX2502" s="78"/>
      <c r="AY2502" s="78"/>
      <c r="AZ2502" s="78"/>
      <c r="BA2502" s="78"/>
      <c r="BB2502" s="78"/>
      <c r="BC2502" s="78"/>
      <c r="BD2502" s="78"/>
      <c r="BE2502" s="465"/>
      <c r="BF2502" s="165" t="str">
        <f t="shared" si="1844"/>
        <v>https://www.google.com/search?tbm=isch&amp;q=25%20G4</v>
      </c>
      <c r="BG2502" s="165" t="str">
        <f t="shared" si="1845"/>
        <v>J</v>
      </c>
      <c r="BH2502" s="65"/>
      <c r="BI2502" s="65"/>
      <c r="BJ2502" s="65"/>
      <c r="BK2502" s="65"/>
      <c r="BL2502" s="99"/>
      <c r="BM2502" s="99"/>
      <c r="BN2502" s="99"/>
    </row>
    <row r="2503" spans="1:66" s="51" customFormat="1" ht="16.5" x14ac:dyDescent="0.25">
      <c r="A2503" s="508" t="s">
        <v>3165</v>
      </c>
      <c r="B2503" s="487"/>
      <c r="C2503" s="707"/>
      <c r="D2503" s="487"/>
      <c r="E2503" s="487"/>
      <c r="F2503" s="488"/>
      <c r="G2503" s="489"/>
      <c r="H2503" s="487"/>
      <c r="I2503" s="490"/>
      <c r="J2503" s="490"/>
      <c r="K2503" s="491"/>
      <c r="L2503" s="547"/>
      <c r="M2503" s="528"/>
      <c r="N2503" s="492"/>
      <c r="O2503" s="493"/>
      <c r="P2503" s="494"/>
      <c r="Q2503" s="492"/>
      <c r="R2503" s="492"/>
      <c r="S2503" s="699" t="s">
        <v>5280</v>
      </c>
      <c r="T2503" s="102">
        <f t="shared" si="1833"/>
        <v>0</v>
      </c>
      <c r="U2503" s="78" t="str">
        <f>IF(NOT(ISNUMBER(G2503)), "", VLOOKUP(A2503,'Discount Lookup'!D:E,2,FALSE)*G2503)</f>
        <v/>
      </c>
      <c r="V2503" s="78" t="str">
        <f>IF(NOT(ISNUMBER(G2503)), "", VLOOKUP(A2503,'Discount Lookup'!G:H,2,FALSE)*G2503)</f>
        <v/>
      </c>
      <c r="W2503" s="102">
        <f t="shared" si="1834"/>
        <v>0</v>
      </c>
      <c r="X2503" s="102">
        <f t="shared" si="1835"/>
        <v>0</v>
      </c>
      <c r="Y2503" s="120" t="b">
        <f t="shared" si="1836"/>
        <v>0</v>
      </c>
      <c r="Z2503" s="117">
        <f t="shared" si="1837"/>
        <v>0</v>
      </c>
      <c r="AA2503" s="118"/>
      <c r="AB2503" s="118" t="str">
        <f t="shared" si="1838"/>
        <v/>
      </c>
      <c r="AC2503" s="712" t="str">
        <f>IF(AE2503="T2G","no charge",IF(AND(OR(PlanterYesMe="No",PlanterYesMe="N",PlanterYesMe="me"),H2503=""),"",IF(H2503="credit","NO install",IF(AND(K2503="",AE2503="me"),"EACH row",IF(AND(K2503="images",AE2503="me"),"EACH row",IF(D2503="","",IF(H2503="credit","",IF(AE2503="free","re-planting",IF(AE2503="me","   not ELP, by",IF(AND(OR(PlanterYesMe="Yes",PlanterYesMe="Y"),G2503&gt;0),(VLOOKUP(A2503,'Discount Lookup'!J:K,2)*G2503*(1-PlanterDiscount)*(1+PlanterDifficultyPercentage)),IF(AE2503="ELP",(VLOOKUP(A2503,'Discount Lookup'!J:K,2)*G2503*(1-PlanterDiscount)*(1+PlanterDifficultyPercentage)),IF(AE2503="free","re-planting",IF(G2503=0,"",IF(PlanterYesMe="",IF(AE2503="me","   not ELP, by",IF(AE2503="",IF(G2503&gt;0,(VLOOKUP(A2503,'Discount Lookup'!J:K,2)*G2503*(1-PlanterDiscount)*(1+PlanterDifficultyPercentage)),""),"")),"   not ELP, by"))))))))))))))</f>
        <v/>
      </c>
      <c r="AD2503" s="712"/>
      <c r="AE2503" s="513" t="str">
        <f t="shared" si="1839"/>
        <v/>
      </c>
      <c r="AF2503" s="713" t="str">
        <f t="shared" si="1840"/>
        <v/>
      </c>
      <c r="AG2503" s="713"/>
      <c r="AH2503" s="713"/>
      <c r="AI2503" s="112">
        <f>IF(H2503="credit",0,IF(AE2503="free",0,IF(AE2503="me",0,IF(G2503&gt;0,(VLOOKUP(A2503,'Discount Lookup'!J:K,2)*G2503),0))))</f>
        <v>0</v>
      </c>
      <c r="AJ2503" s="107" t="str">
        <f t="shared" ca="1" si="1841"/>
        <v/>
      </c>
      <c r="AK2503" s="714" t="str">
        <f t="shared" si="1842"/>
        <v/>
      </c>
      <c r="AL2503" s="714"/>
      <c r="AM2503" s="114" t="str">
        <f t="shared" si="1843"/>
        <v/>
      </c>
      <c r="AN2503" s="115"/>
      <c r="AO2503" s="116"/>
      <c r="AP2503" s="116"/>
      <c r="AQ2503" s="116"/>
      <c r="AR2503" s="116"/>
      <c r="AS2503" s="116"/>
      <c r="AT2503" s="116"/>
      <c r="AU2503" s="116"/>
      <c r="AV2503" s="78"/>
      <c r="AW2503" s="102"/>
      <c r="AX2503" s="78"/>
      <c r="AY2503" s="78"/>
      <c r="AZ2503" s="78"/>
      <c r="BA2503" s="78"/>
      <c r="BB2503" s="78"/>
      <c r="BC2503" s="78"/>
      <c r="BD2503" s="78"/>
      <c r="BE2503" s="465"/>
      <c r="BF2503" s="165" t="str">
        <f t="shared" si="1844"/>
        <v>https://www.google.com/search?tbm=isch&amp;q=Sea%20Green%20resembles%20waves%2C%20with%20fountain-like%20branches.%20Winter%20bronzing%20and%20Blue%20cones%20%28on%20females%29.%20Sun%2Fheat%2Fdrought%20tol.%20</v>
      </c>
      <c r="BG2503" s="165" t="str">
        <f t="shared" si="1845"/>
        <v>S</v>
      </c>
      <c r="BH2503" s="65"/>
      <c r="BI2503" s="65"/>
      <c r="BJ2503" s="65"/>
      <c r="BK2503" s="65"/>
      <c r="BL2503" s="99"/>
      <c r="BM2503" s="99"/>
      <c r="BN2503" s="99"/>
    </row>
    <row r="2504" spans="1:66" s="51" customFormat="1" ht="55.5" x14ac:dyDescent="0.25">
      <c r="A2504" s="520" t="s">
        <v>583</v>
      </c>
      <c r="B2504" s="501"/>
      <c r="C2504" s="502"/>
      <c r="D2504" s="502"/>
      <c r="E2504" s="502"/>
      <c r="F2504" s="502"/>
      <c r="G2504" s="502"/>
      <c r="H2504" s="502"/>
      <c r="I2504" s="502"/>
      <c r="J2504" s="502"/>
      <c r="K2504" s="509" t="s">
        <v>871</v>
      </c>
      <c r="L2504" s="503"/>
      <c r="M2504" s="563"/>
      <c r="N2504" s="504"/>
      <c r="O2504" s="504"/>
      <c r="P2504" s="504"/>
      <c r="Q2504" s="504"/>
      <c r="R2504" s="504"/>
      <c r="S2504" s="511" t="s">
        <v>1546</v>
      </c>
      <c r="T2504" s="102">
        <f t="shared" si="1833"/>
        <v>0</v>
      </c>
      <c r="U2504" s="78" t="str">
        <f>IF(NOT(ISNUMBER(G2504)), "", VLOOKUP(A2504,'Discount Lookup'!D:E,2,FALSE)*G2504)</f>
        <v/>
      </c>
      <c r="V2504" s="78" t="str">
        <f>IF(NOT(ISNUMBER(G2504)), "", VLOOKUP(A2504,'Discount Lookup'!G:H,2,FALSE)*G2504)</f>
        <v/>
      </c>
      <c r="W2504" s="102">
        <f t="shared" si="1834"/>
        <v>0</v>
      </c>
      <c r="X2504" s="102">
        <f t="shared" si="1835"/>
        <v>0</v>
      </c>
      <c r="Y2504" s="120" t="b">
        <f t="shared" si="1836"/>
        <v>0</v>
      </c>
      <c r="Z2504" s="117">
        <f t="shared" si="1837"/>
        <v>0</v>
      </c>
      <c r="AA2504" s="118"/>
      <c r="AB2504" s="118" t="str">
        <f t="shared" si="1838"/>
        <v/>
      </c>
      <c r="AC2504" s="712" t="str">
        <f>IF(AE2504="T2G","no charge",IF(AND(OR(PlanterYesMe="No",PlanterYesMe="N",PlanterYesMe="me"),H2504=""),"",IF(H2504="credit","NO install",IF(AND(K2504="",AE2504="me"),"EACH row",IF(AND(K2504="images",AE2504="me"),"EACH row",IF(D2504="","",IF(H2504="credit","",IF(AE2504="free","re-planting",IF(AE2504="me","   not ELP, by",IF(AND(OR(PlanterYesMe="Yes",PlanterYesMe="Y"),G2504&gt;0),(VLOOKUP(A2504,'Discount Lookup'!J:K,2)*G2504*(1-PlanterDiscount)*(1+PlanterDifficultyPercentage)),IF(AE2504="ELP",(VLOOKUP(A2504,'Discount Lookup'!J:K,2)*G2504*(1-PlanterDiscount)*(1+PlanterDifficultyPercentage)),IF(AE2504="free","re-planting",IF(G2504=0,"",IF(PlanterYesMe="",IF(AE2504="me","   not ELP, by",IF(AE2504="",IF(G2504&gt;0,(VLOOKUP(A2504,'Discount Lookup'!J:K,2)*G2504*(1-PlanterDiscount)*(1+PlanterDifficultyPercentage)),""),"")),"   not ELP, by"))))))))))))))</f>
        <v/>
      </c>
      <c r="AD2504" s="712"/>
      <c r="AE2504" s="513" t="str">
        <f t="shared" si="1839"/>
        <v/>
      </c>
      <c r="AF2504" s="713" t="str">
        <f t="shared" si="1840"/>
        <v/>
      </c>
      <c r="AG2504" s="713"/>
      <c r="AH2504" s="713"/>
      <c r="AI2504" s="112">
        <f>IF(H2504="credit",0,IF(AE2504="free",0,IF(AE2504="me",0,IF(G2504&gt;0,(VLOOKUP(A2504,'Discount Lookup'!J:K,2)*G2504),0))))</f>
        <v>0</v>
      </c>
      <c r="AJ2504" s="107" t="str">
        <f t="shared" ca="1" si="1841"/>
        <v/>
      </c>
      <c r="AK2504" s="714" t="str">
        <f t="shared" si="1842"/>
        <v/>
      </c>
      <c r="AL2504" s="714"/>
      <c r="AM2504" s="114" t="str">
        <f t="shared" si="1843"/>
        <v/>
      </c>
      <c r="AN2504" s="115"/>
      <c r="AO2504" s="116"/>
      <c r="AP2504" s="116"/>
      <c r="AQ2504" s="116"/>
      <c r="AR2504" s="116"/>
      <c r="AS2504" s="116"/>
      <c r="AT2504" s="116"/>
      <c r="AU2504" s="116"/>
      <c r="AV2504" s="78"/>
      <c r="AW2504" s="102"/>
      <c r="AX2504" s="78"/>
      <c r="AY2504" s="78"/>
      <c r="AZ2504" s="78"/>
      <c r="BA2504" s="78"/>
      <c r="BB2504" s="78"/>
      <c r="BC2504" s="78"/>
      <c r="BD2504" s="78"/>
      <c r="BE2504" s="465"/>
      <c r="BF2504" s="165" t="str">
        <f t="shared" si="1844"/>
        <v>https://www.google.com/search?tbm=isch&amp;q=L%20</v>
      </c>
      <c r="BG2504" s="165" t="str">
        <f t="shared" si="1845"/>
        <v>L</v>
      </c>
      <c r="BH2504" s="65"/>
      <c r="BI2504" s="65"/>
      <c r="BJ2504" s="65"/>
      <c r="BK2504" s="65"/>
      <c r="BL2504" s="99"/>
      <c r="BM2504" s="99"/>
      <c r="BN2504" s="99"/>
    </row>
    <row r="2505" spans="1:66" s="51" customFormat="1" ht="19.5" thickBot="1" x14ac:dyDescent="0.3">
      <c r="A2505" s="686" t="s">
        <v>584</v>
      </c>
      <c r="B2505" s="73"/>
      <c r="C2505" s="708"/>
      <c r="D2505" s="73"/>
      <c r="E2505" s="73"/>
      <c r="F2505" s="496"/>
      <c r="G2505" s="73"/>
      <c r="H2505" s="73"/>
      <c r="I2505" s="73"/>
      <c r="J2505" s="497" t="s">
        <v>357</v>
      </c>
      <c r="K2505" s="498"/>
      <c r="L2505" s="562"/>
      <c r="M2505" s="73"/>
      <c r="N2505"/>
      <c r="O2505"/>
      <c r="P2505"/>
      <c r="Q2505"/>
      <c r="R2505"/>
      <c r="S2505"/>
      <c r="T2505" s="102">
        <f t="shared" si="1833"/>
        <v>0</v>
      </c>
      <c r="U2505" s="78" t="str">
        <f>IF(NOT(ISNUMBER(G2505)), "", VLOOKUP(A2505,'Discount Lookup'!D:E,2,FALSE)*G2505)</f>
        <v/>
      </c>
      <c r="V2505" s="78" t="str">
        <f>IF(NOT(ISNUMBER(G2505)), "", VLOOKUP(A2505,'Discount Lookup'!G:H,2,FALSE)*G2505)</f>
        <v/>
      </c>
      <c r="W2505" s="102">
        <f t="shared" si="1834"/>
        <v>0</v>
      </c>
      <c r="X2505" s="102">
        <f t="shared" si="1835"/>
        <v>0</v>
      </c>
      <c r="Y2505" s="120" t="b">
        <f t="shared" si="1836"/>
        <v>0</v>
      </c>
      <c r="Z2505" s="117">
        <f t="shared" si="1837"/>
        <v>0</v>
      </c>
      <c r="AA2505" s="118"/>
      <c r="AB2505" s="118" t="str">
        <f t="shared" si="1838"/>
        <v/>
      </c>
      <c r="AC2505" s="712" t="str">
        <f>IF(AE2505="T2G","no charge",IF(AND(OR(PlanterYesMe="No",PlanterYesMe="N",PlanterYesMe="me"),H2505=""),"",IF(H2505="credit","NO install",IF(AND(K2505="",AE2505="me"),"EACH row",IF(AND(K2505="images",AE2505="me"),"EACH row",IF(D2505="","",IF(H2505="credit","",IF(AE2505="free","re-planting",IF(AE2505="me","   not ELP, by",IF(AND(OR(PlanterYesMe="Yes",PlanterYesMe="Y"),G2505&gt;0),(VLOOKUP(A2505,'Discount Lookup'!J:K,2)*G2505*(1-PlanterDiscount)*(1+PlanterDifficultyPercentage)),IF(AE2505="ELP",(VLOOKUP(A2505,'Discount Lookup'!J:K,2)*G2505*(1-PlanterDiscount)*(1+PlanterDifficultyPercentage)),IF(AE2505="free","re-planting",IF(G2505=0,"",IF(PlanterYesMe="",IF(AE2505="me","   not ELP, by",IF(AE2505="",IF(G2505&gt;0,(VLOOKUP(A2505,'Discount Lookup'!J:K,2)*G2505*(1-PlanterDiscount)*(1+PlanterDifficultyPercentage)),""),"")),"   not ELP, by"))))))))))))))</f>
        <v/>
      </c>
      <c r="AD2505" s="712"/>
      <c r="AE2505" s="513" t="str">
        <f t="shared" si="1839"/>
        <v/>
      </c>
      <c r="AF2505" s="713" t="str">
        <f t="shared" si="1840"/>
        <v/>
      </c>
      <c r="AG2505" s="713"/>
      <c r="AH2505" s="713"/>
      <c r="AI2505" s="112">
        <f>IF(H2505="credit",0,IF(AE2505="free",0,IF(AE2505="me",0,IF(G2505&gt;0,(VLOOKUP(A2505,'Discount Lookup'!J:K,2)*G2505),0))))</f>
        <v>0</v>
      </c>
      <c r="AJ2505" s="107" t="str">
        <f t="shared" ca="1" si="1841"/>
        <v/>
      </c>
      <c r="AK2505" s="714" t="str">
        <f t="shared" si="1842"/>
        <v/>
      </c>
      <c r="AL2505" s="714"/>
      <c r="AM2505" s="114" t="str">
        <f t="shared" si="1843"/>
        <v/>
      </c>
      <c r="AN2505" s="115"/>
      <c r="AO2505" s="116"/>
      <c r="AP2505" s="116"/>
      <c r="AQ2505" s="116"/>
      <c r="AR2505" s="116"/>
      <c r="AS2505" s="116"/>
      <c r="AT2505" s="116"/>
      <c r="AU2505" s="116"/>
      <c r="AV2505" s="78"/>
      <c r="AW2505" s="102"/>
      <c r="AX2505" s="78"/>
      <c r="AY2505" s="78"/>
      <c r="AZ2505" s="78"/>
      <c r="BA2505" s="78"/>
      <c r="BB2505" s="78"/>
      <c r="BC2505" s="78"/>
      <c r="BD2505" s="78"/>
      <c r="BE2505" s="465"/>
      <c r="BF2505" s="165" t="str">
        <f t="shared" si="1844"/>
        <v>https://www.google.com/search?tbm=isch&amp;q=Lagerstroemia%20%3D%20Crape%20Myrtle%20</v>
      </c>
      <c r="BG2505" s="165" t="str">
        <f t="shared" si="1845"/>
        <v>L</v>
      </c>
      <c r="BH2505" s="65"/>
      <c r="BI2505" s="65"/>
      <c r="BJ2505" s="65"/>
      <c r="BK2505" s="65"/>
      <c r="BL2505" s="99"/>
      <c r="BM2505" s="99"/>
      <c r="BN2505" s="99"/>
    </row>
    <row r="2506" spans="1:66" s="51" customFormat="1" ht="18" x14ac:dyDescent="0.25">
      <c r="A2506" s="623" t="s">
        <v>3166</v>
      </c>
      <c r="B2506" s="624"/>
      <c r="C2506" s="709"/>
      <c r="D2506" s="625" t="s">
        <v>3167</v>
      </c>
      <c r="E2506" s="626"/>
      <c r="F2506" s="626"/>
      <c r="G2506" s="626"/>
      <c r="H2506" s="622" t="s">
        <v>1147</v>
      </c>
      <c r="I2506" s="627" t="s">
        <v>1450</v>
      </c>
      <c r="J2506" s="628"/>
      <c r="K2506" s="628"/>
      <c r="L2506" s="629"/>
      <c r="M2506" s="700" t="s">
        <v>5241</v>
      </c>
      <c r="N2506" s="693" t="str">
        <f>IF(AND(ISTEXT($A2506), ISERROR($A2506+0)), HYPERLINK($BF2506, "Images"), "")</f>
        <v>Images</v>
      </c>
      <c r="O2506" s="695" t="s">
        <v>5247</v>
      </c>
      <c r="P2506" s="630"/>
      <c r="Q2506" s="631"/>
      <c r="R2506" s="632"/>
      <c r="S2506" s="633"/>
      <c r="T2506" s="102">
        <f t="shared" si="1833"/>
        <v>0</v>
      </c>
      <c r="U2506" s="78" t="str">
        <f>IF(NOT(ISNUMBER(G2506)), "", VLOOKUP(A2506,'Discount Lookup'!D:E,2,FALSE)*G2506)</f>
        <v/>
      </c>
      <c r="V2506" s="78" t="str">
        <f>IF(NOT(ISNUMBER(G2506)), "", VLOOKUP(A2506,'Discount Lookup'!G:H,2,FALSE)*G2506)</f>
        <v/>
      </c>
      <c r="W2506" s="102">
        <f t="shared" si="1834"/>
        <v>0</v>
      </c>
      <c r="X2506" s="102" t="str">
        <f t="shared" si="1835"/>
        <v>Purple bloom</v>
      </c>
      <c r="Y2506" s="120" t="b">
        <f t="shared" si="1836"/>
        <v>0</v>
      </c>
      <c r="Z2506" s="117">
        <f t="shared" si="1837"/>
        <v>0</v>
      </c>
      <c r="AA2506" s="118"/>
      <c r="AB2506" s="118" t="str">
        <f t="shared" si="1838"/>
        <v/>
      </c>
      <c r="AC2506" s="712" t="str">
        <f>IF(AE2506="T2G","no charge",IF(AND(OR(PlanterYesMe="No",PlanterYesMe="N",PlanterYesMe="me"),H2506=""),"",IF(H2506="credit","NO install",IF(AND(K2506="",AE2506="me"),"EACH row",IF(AND(K2506="images",AE2506="me"),"EACH row",IF(D2506="","",IF(H2506="credit","",IF(AE2506="free","re-planting",IF(AE2506="me","   not ELP, by",IF(AND(OR(PlanterYesMe="Yes",PlanterYesMe="Y"),G2506&gt;0),(VLOOKUP(A2506,'Discount Lookup'!J:K,2)*G2506*(1-PlanterDiscount)*(1+PlanterDifficultyPercentage)),IF(AE2506="ELP",(VLOOKUP(A2506,'Discount Lookup'!J:K,2)*G2506*(1-PlanterDiscount)*(1+PlanterDifficultyPercentage)),IF(AE2506="free","re-planting",IF(G2506=0,"",IF(PlanterYesMe="",IF(AE2506="me","   not ELP, by",IF(AE2506="",IF(G2506&gt;0,(VLOOKUP(A2506,'Discount Lookup'!J:K,2)*G2506*(1-PlanterDiscount)*(1+PlanterDifficultyPercentage)),""),"")),"   not ELP, by"))))))))))))))</f>
        <v/>
      </c>
      <c r="AD2506" s="712"/>
      <c r="AE2506" s="513" t="str">
        <f t="shared" si="1839"/>
        <v/>
      </c>
      <c r="AF2506" s="713" t="str">
        <f t="shared" si="1840"/>
        <v/>
      </c>
      <c r="AG2506" s="713"/>
      <c r="AH2506" s="713"/>
      <c r="AI2506" s="112">
        <f>IF(H2506="credit",0,IF(AE2506="free",0,IF(AE2506="me",0,IF(G2506&gt;0,(VLOOKUP(A2506,'Discount Lookup'!J:K,2)*G2506),0))))</f>
        <v>0</v>
      </c>
      <c r="AJ2506" s="107" t="str">
        <f t="shared" ca="1" si="1841"/>
        <v/>
      </c>
      <c r="AK2506" s="714" t="str">
        <f t="shared" si="1842"/>
        <v/>
      </c>
      <c r="AL2506" s="714"/>
      <c r="AM2506" s="114" t="str">
        <f t="shared" si="1843"/>
        <v/>
      </c>
      <c r="AN2506" s="115"/>
      <c r="AO2506" s="116"/>
      <c r="AP2506" s="116"/>
      <c r="AQ2506" s="116"/>
      <c r="AR2506" s="116"/>
      <c r="AS2506" s="116"/>
      <c r="AT2506" s="116"/>
      <c r="AU2506" s="116"/>
      <c r="AV2506" s="78"/>
      <c r="AW2506" s="102"/>
      <c r="AX2506" s="78"/>
      <c r="AY2506" s="78"/>
      <c r="AZ2506" s="78"/>
      <c r="BA2506" s="78"/>
      <c r="BB2506" s="78"/>
      <c r="BC2506" s="78"/>
      <c r="BD2506" s="78"/>
      <c r="BE2506" s="465"/>
      <c r="BF2506" s="165" t="str">
        <f t="shared" si="1844"/>
        <v>https://www.google.com/search?tbm=isch&amp;q=Lagerstroemia%20%27Autaugaville%20Purple%27%20Autaugaville%20Purple%20Crape%20Myrtle</v>
      </c>
      <c r="BG2506" s="165" t="str">
        <f t="shared" si="1845"/>
        <v>L</v>
      </c>
      <c r="BH2506" s="65"/>
      <c r="BI2506" s="65"/>
      <c r="BJ2506" s="65"/>
      <c r="BK2506" s="65"/>
      <c r="BL2506" s="99"/>
      <c r="BM2506" s="99"/>
      <c r="BN2506" s="99"/>
    </row>
    <row r="2507" spans="1:66" s="51" customFormat="1" ht="27" x14ac:dyDescent="0.25">
      <c r="A2507" s="634">
        <v>15</v>
      </c>
      <c r="B2507" s="635" t="s">
        <v>291</v>
      </c>
      <c r="C2507" s="636" t="s">
        <v>3168</v>
      </c>
      <c r="D2507" s="637" t="s">
        <v>299</v>
      </c>
      <c r="E2507" s="638">
        <v>164.95</v>
      </c>
      <c r="F2507" s="639" t="s">
        <v>292</v>
      </c>
      <c r="G2507" s="484">
        <v>0</v>
      </c>
      <c r="H2507" s="691" t="str">
        <f>IF(G2507=0,"",IF(F2507="Buy",IF(G2507=1,"plant","plants"),IF(F2507&gt;0.01,"warranty","Error")))</f>
        <v/>
      </c>
      <c r="I2507" s="640">
        <f>IF(H2507="free",0,IF(H2507="credit",((E2507*(F2507))*G2507*-1),IF(F2507="Buy",(E2507*G2507),((E2507*(1-F2507))*G2507))))</f>
        <v>0</v>
      </c>
      <c r="J2507" s="640">
        <f>IF(H2507="warranty",0,(I2507*(_xlfn.SINGLE(SalesTaxPercentage))))</f>
        <v>0</v>
      </c>
      <c r="K2507" s="716">
        <f t="shared" ref="K2507" si="1876">I2507+J2507</f>
        <v>0</v>
      </c>
      <c r="L2507" s="716"/>
      <c r="M2507" s="689" t="str">
        <f ca="1">IF(AND(G2507&gt;0,E2507=0),"WARNING - no PRICE inserted",IF(H2507="free","FREE ~ no charge this plant",IF(H2507="credit",CONCATENATE("-$",ROUND(K2507*(1-_xlfn.SINGLE(T2GDiscount))*-1,2)," CREDIT after discount"),IF(_xlfn.SINGLE(T2GDiscount)=0,"",IF(G2507=0,"",IF(F2507="Buy",CONCATENATE("$",ROUND(K2507*(1-_xlfn.SINGLE(T2GDiscount)),2)," with ",(_xlfn.SINGLE(T2GDiscount)*100),"% discount"),CONCATENATE("$",ROUND(K2507*(1-_xlfn.SINGLE(T2GDiscount)),2)," with ",((_xlfn.SINGLE(T2GDiscount)*100+F2507*100)-(_xlfn.SINGLE(T2GDiscount)*100*F2507)),IF(F2507&gt;0,"% discounts",IF(_xlfn.SINGLE(NoWarrantyDiscount)&gt;0,"% discounts","% discount")))))))))</f>
        <v/>
      </c>
      <c r="N2507" s="690"/>
      <c r="O2507" s="486"/>
      <c r="P2507" s="486"/>
      <c r="Q2507" s="486"/>
      <c r="R2507" s="486"/>
      <c r="S2507" s="486"/>
      <c r="T2507" s="102">
        <f t="shared" si="1833"/>
        <v>0</v>
      </c>
      <c r="U2507" s="78">
        <f>IF(NOT(ISNUMBER(G2507)), "", VLOOKUP(A2507,'Discount Lookup'!D:E,2,FALSE)*G2507)</f>
        <v>0</v>
      </c>
      <c r="V2507" s="78">
        <f>IF(NOT(ISNUMBER(G2507)), "", VLOOKUP(A2507,'Discount Lookup'!G:H,2,FALSE)*G2507)</f>
        <v>0</v>
      </c>
      <c r="W2507" s="102">
        <f t="shared" si="1834"/>
        <v>0</v>
      </c>
      <c r="X2507" s="102">
        <f t="shared" si="1835"/>
        <v>0</v>
      </c>
      <c r="Y2507" s="120" t="b">
        <f t="shared" si="1836"/>
        <v>0</v>
      </c>
      <c r="Z2507" s="117">
        <f t="shared" si="1837"/>
        <v>0</v>
      </c>
      <c r="AA2507" s="118"/>
      <c r="AB2507" s="118" t="str">
        <f t="shared" si="1838"/>
        <v/>
      </c>
      <c r="AC2507" s="712" t="str">
        <f>IF(AE2507="T2G","no charge",IF(AND(OR(PlanterYesMe="No",PlanterYesMe="N",PlanterYesMe="me"),H2507=""),"",IF(H2507="credit","NO install",IF(AND(K2507="",AE2507="me"),"EACH row",IF(AND(K2507="images",AE2507="me"),"EACH row",IF(D2507="","",IF(H2507="credit","",IF(AE2507="free","re-planting",IF(AE2507="me","   not ELP, by",IF(AND(OR(PlanterYesMe="Yes",PlanterYesMe="Y"),G2507&gt;0),(VLOOKUP(A2507,'Discount Lookup'!J:K,2)*G2507*(1-PlanterDiscount)*(1+PlanterDifficultyPercentage)),IF(AE2507="ELP",(VLOOKUP(A2507,'Discount Lookup'!J:K,2)*G2507*(1-PlanterDiscount)*(1+PlanterDifficultyPercentage)),IF(AE2507="free","re-planting",IF(G2507=0,"",IF(PlanterYesMe="",IF(AE2507="me","   not ELP, by",IF(AE2507="",IF(G2507&gt;0,(VLOOKUP(A2507,'Discount Lookup'!J:K,2)*G2507*(1-PlanterDiscount)*(1+PlanterDifficultyPercentage)),""),"")),"   not ELP, by"))))))))))))))</f>
        <v/>
      </c>
      <c r="AD2507" s="712"/>
      <c r="AE2507" s="513" t="str">
        <f t="shared" si="1839"/>
        <v/>
      </c>
      <c r="AF2507" s="713" t="str">
        <f t="shared" si="1840"/>
        <v/>
      </c>
      <c r="AG2507" s="713"/>
      <c r="AH2507" s="713"/>
      <c r="AI2507" s="112">
        <f>IF(H2507="credit",0,IF(AE2507="free",0,IF(AE2507="me",0,IF(G2507&gt;0,(VLOOKUP(A2507,'Discount Lookup'!J:K,2)*G2507),0))))</f>
        <v>0</v>
      </c>
      <c r="AJ2507" s="107" t="str">
        <f t="shared" ca="1" si="1841"/>
        <v/>
      </c>
      <c r="AK2507" s="714" t="str">
        <f t="shared" si="1842"/>
        <v/>
      </c>
      <c r="AL2507" s="714"/>
      <c r="AM2507" s="114" t="str">
        <f t="shared" si="1843"/>
        <v/>
      </c>
      <c r="AN2507" s="115"/>
      <c r="AO2507" s="116"/>
      <c r="AP2507" s="116"/>
      <c r="AQ2507" s="116"/>
      <c r="AR2507" s="116"/>
      <c r="AS2507" s="116"/>
      <c r="AT2507" s="116"/>
      <c r="AU2507" s="116"/>
      <c r="AV2507" s="78"/>
      <c r="AW2507" s="102"/>
      <c r="AX2507" s="78"/>
      <c r="AY2507" s="78"/>
      <c r="AZ2507" s="78"/>
      <c r="BA2507" s="78"/>
      <c r="BB2507" s="78"/>
      <c r="BC2507" s="78"/>
      <c r="BD2507" s="78"/>
      <c r="BE2507" s="465"/>
      <c r="BF2507" s="165" t="str">
        <f t="shared" si="1844"/>
        <v>https://www.google.com/search?tbm=isch&amp;q=15%20G4</v>
      </c>
      <c r="BG2507" s="165" t="str">
        <f t="shared" si="1845"/>
        <v>L</v>
      </c>
      <c r="BH2507" s="65"/>
      <c r="BI2507" s="65"/>
      <c r="BJ2507" s="65"/>
      <c r="BK2507" s="65"/>
      <c r="BL2507" s="99"/>
      <c r="BM2507" s="99"/>
      <c r="BN2507" s="99"/>
    </row>
    <row r="2508" spans="1:66" s="51" customFormat="1" ht="27" x14ac:dyDescent="0.25">
      <c r="A2508" s="634">
        <v>15</v>
      </c>
      <c r="B2508" s="635" t="s">
        <v>291</v>
      </c>
      <c r="C2508" s="636" t="s">
        <v>3169</v>
      </c>
      <c r="D2508" s="637" t="s">
        <v>299</v>
      </c>
      <c r="E2508" s="638">
        <v>178.95</v>
      </c>
      <c r="F2508" s="639" t="s">
        <v>292</v>
      </c>
      <c r="G2508" s="484">
        <v>0</v>
      </c>
      <c r="H2508" s="691" t="str">
        <f>IF(G2508=0,"",IF(F2508="Buy",IF(G2508=1,"plant","plants"),IF(F2508&gt;0.01,"warranty","Error")))</f>
        <v/>
      </c>
      <c r="I2508" s="640">
        <f>IF(H2508="free",0,IF(H2508="credit",((E2508*(F2508))*G2508*-1),IF(F2508="Buy",(E2508*G2508),((E2508*(1-F2508))*G2508))))</f>
        <v>0</v>
      </c>
      <c r="J2508" s="640">
        <f>IF(H2508="warranty",0,(I2508*(_xlfn.SINGLE(SalesTaxPercentage))))</f>
        <v>0</v>
      </c>
      <c r="K2508" s="716">
        <f t="shared" ref="K2508" si="1877">I2508+J2508</f>
        <v>0</v>
      </c>
      <c r="L2508" s="716"/>
      <c r="M2508" s="689" t="str">
        <f ca="1">IF(AND(G2508&gt;0,E2508=0),"WARNING - no PRICE inserted",IF(H2508="free","FREE ~ no charge this plant",IF(H2508="credit",CONCATENATE("-$",ROUND(K2508*(1-_xlfn.SINGLE(T2GDiscount))*-1,2)," CREDIT after discount"),IF(_xlfn.SINGLE(T2GDiscount)=0,"",IF(G2508=0,"",IF(F2508="Buy",CONCATENATE("$",ROUND(K2508*(1-_xlfn.SINGLE(T2GDiscount)),2)," with ",(_xlfn.SINGLE(T2GDiscount)*100),"% discount"),CONCATENATE("$",ROUND(K2508*(1-_xlfn.SINGLE(T2GDiscount)),2)," with ",((_xlfn.SINGLE(T2GDiscount)*100+F2508*100)-(_xlfn.SINGLE(T2GDiscount)*100*F2508)),IF(F2508&gt;0,"% discounts",IF(_xlfn.SINGLE(NoWarrantyDiscount)&gt;0,"% discounts","% discount")))))))))</f>
        <v/>
      </c>
      <c r="N2508" s="690"/>
      <c r="O2508" s="486"/>
      <c r="P2508" s="486"/>
      <c r="Q2508" s="486"/>
      <c r="R2508" s="486"/>
      <c r="S2508" s="486"/>
      <c r="T2508" s="102">
        <f t="shared" si="1833"/>
        <v>0</v>
      </c>
      <c r="U2508" s="78">
        <f>IF(NOT(ISNUMBER(G2508)), "", VLOOKUP(A2508,'Discount Lookup'!D:E,2,FALSE)*G2508)</f>
        <v>0</v>
      </c>
      <c r="V2508" s="78">
        <f>IF(NOT(ISNUMBER(G2508)), "", VLOOKUP(A2508,'Discount Lookup'!G:H,2,FALSE)*G2508)</f>
        <v>0</v>
      </c>
      <c r="W2508" s="102">
        <f t="shared" si="1834"/>
        <v>0</v>
      </c>
      <c r="X2508" s="102">
        <f t="shared" si="1835"/>
        <v>0</v>
      </c>
      <c r="Y2508" s="120" t="b">
        <f t="shared" si="1836"/>
        <v>0</v>
      </c>
      <c r="Z2508" s="117">
        <f t="shared" si="1837"/>
        <v>0</v>
      </c>
      <c r="AA2508" s="118"/>
      <c r="AB2508" s="118" t="str">
        <f t="shared" si="1838"/>
        <v/>
      </c>
      <c r="AC2508" s="712" t="str">
        <f>IF(AE2508="T2G","no charge",IF(AND(OR(PlanterYesMe="No",PlanterYesMe="N",PlanterYesMe="me"),H2508=""),"",IF(H2508="credit","NO install",IF(AND(K2508="",AE2508="me"),"EACH row",IF(AND(K2508="images",AE2508="me"),"EACH row",IF(D2508="","",IF(H2508="credit","",IF(AE2508="free","re-planting",IF(AE2508="me","   not ELP, by",IF(AND(OR(PlanterYesMe="Yes",PlanterYesMe="Y"),G2508&gt;0),(VLOOKUP(A2508,'Discount Lookup'!J:K,2)*G2508*(1-PlanterDiscount)*(1+PlanterDifficultyPercentage)),IF(AE2508="ELP",(VLOOKUP(A2508,'Discount Lookup'!J:K,2)*G2508*(1-PlanterDiscount)*(1+PlanterDifficultyPercentage)),IF(AE2508="free","re-planting",IF(G2508=0,"",IF(PlanterYesMe="",IF(AE2508="me","   not ELP, by",IF(AE2508="",IF(G2508&gt;0,(VLOOKUP(A2508,'Discount Lookup'!J:K,2)*G2508*(1-PlanterDiscount)*(1+PlanterDifficultyPercentage)),""),"")),"   not ELP, by"))))))))))))))</f>
        <v/>
      </c>
      <c r="AD2508" s="712"/>
      <c r="AE2508" s="513" t="str">
        <f t="shared" si="1839"/>
        <v/>
      </c>
      <c r="AF2508" s="713" t="str">
        <f t="shared" si="1840"/>
        <v/>
      </c>
      <c r="AG2508" s="713"/>
      <c r="AH2508" s="713"/>
      <c r="AI2508" s="112">
        <f>IF(H2508="credit",0,IF(AE2508="free",0,IF(AE2508="me",0,IF(G2508&gt;0,(VLOOKUP(A2508,'Discount Lookup'!J:K,2)*G2508),0))))</f>
        <v>0</v>
      </c>
      <c r="AJ2508" s="107" t="str">
        <f t="shared" ca="1" si="1841"/>
        <v/>
      </c>
      <c r="AK2508" s="714" t="str">
        <f t="shared" si="1842"/>
        <v/>
      </c>
      <c r="AL2508" s="714"/>
      <c r="AM2508" s="114" t="str">
        <f t="shared" si="1843"/>
        <v/>
      </c>
      <c r="AN2508" s="115"/>
      <c r="AO2508" s="116"/>
      <c r="AP2508" s="116"/>
      <c r="AQ2508" s="116"/>
      <c r="AR2508" s="116"/>
      <c r="AS2508" s="116"/>
      <c r="AT2508" s="116"/>
      <c r="AU2508" s="116"/>
      <c r="AV2508" s="78"/>
      <c r="AW2508" s="102"/>
      <c r="AX2508" s="78"/>
      <c r="AY2508" s="78"/>
      <c r="AZ2508" s="78"/>
      <c r="BA2508" s="78"/>
      <c r="BB2508" s="78"/>
      <c r="BC2508" s="78"/>
      <c r="BD2508" s="78"/>
      <c r="BE2508" s="465"/>
      <c r="BF2508" s="165" t="str">
        <f t="shared" si="1844"/>
        <v>https://www.google.com/search?tbm=isch&amp;q=15%20G4</v>
      </c>
      <c r="BG2508" s="165" t="str">
        <f t="shared" si="1845"/>
        <v>L</v>
      </c>
      <c r="BH2508" s="65"/>
      <c r="BI2508" s="65"/>
      <c r="BJ2508" s="65"/>
      <c r="BK2508" s="65"/>
      <c r="BL2508" s="99"/>
      <c r="BM2508" s="99"/>
      <c r="BN2508" s="99"/>
    </row>
    <row r="2509" spans="1:66" s="51" customFormat="1" ht="15.75" x14ac:dyDescent="0.25">
      <c r="A2509" s="634">
        <v>25</v>
      </c>
      <c r="B2509" s="635" t="s">
        <v>291</v>
      </c>
      <c r="C2509" s="636" t="s">
        <v>3170</v>
      </c>
      <c r="D2509" s="637" t="s">
        <v>293</v>
      </c>
      <c r="E2509" s="638">
        <v>359.95</v>
      </c>
      <c r="F2509" s="639" t="s">
        <v>292</v>
      </c>
      <c r="G2509" s="484">
        <v>0</v>
      </c>
      <c r="H2509" s="691" t="str">
        <f>IF(G2509=0,"",IF(F2509="Buy",IF(G2509=1,"plant","plants"),IF(F2509&gt;0.01,"warranty","Error")))</f>
        <v/>
      </c>
      <c r="I2509" s="640">
        <f>IF(H2509="free",0,IF(H2509="credit",((E2509*(F2509))*G2509*-1),IF(F2509="Buy",(E2509*G2509),((E2509*(1-F2509))*G2509))))</f>
        <v>0</v>
      </c>
      <c r="J2509" s="640">
        <f>IF(H2509="warranty",0,(I2509*(_xlfn.SINGLE(SalesTaxPercentage))))</f>
        <v>0</v>
      </c>
      <c r="K2509" s="716">
        <f t="shared" ref="K2509" si="1878">I2509+J2509</f>
        <v>0</v>
      </c>
      <c r="L2509" s="716"/>
      <c r="M2509" s="689" t="str">
        <f ca="1">IF(AND(G2509&gt;0,E2509=0),"WARNING - no PRICE inserted",IF(H2509="free","FREE ~ no charge this plant",IF(H2509="credit",CONCATENATE("-$",ROUND(K2509*(1-_xlfn.SINGLE(T2GDiscount))*-1,2)," CREDIT after discount"),IF(_xlfn.SINGLE(T2GDiscount)=0,"",IF(G2509=0,"",IF(F2509="Buy",CONCATENATE("$",ROUND(K2509*(1-_xlfn.SINGLE(T2GDiscount)),2)," with ",(_xlfn.SINGLE(T2GDiscount)*100),"% discount"),CONCATENATE("$",ROUND(K2509*(1-_xlfn.SINGLE(T2GDiscount)),2)," with ",((_xlfn.SINGLE(T2GDiscount)*100+F2509*100)-(_xlfn.SINGLE(T2GDiscount)*100*F2509)),IF(F2509&gt;0,"% discounts",IF(_xlfn.SINGLE(NoWarrantyDiscount)&gt;0,"% discounts","% discount")))))))))</f>
        <v/>
      </c>
      <c r="N2509" s="690"/>
      <c r="O2509" s="486"/>
      <c r="P2509" s="486"/>
      <c r="Q2509" s="486"/>
      <c r="R2509" s="486"/>
      <c r="S2509" s="486"/>
      <c r="T2509" s="102">
        <f t="shared" si="1833"/>
        <v>0</v>
      </c>
      <c r="U2509" s="78">
        <f>IF(NOT(ISNUMBER(G2509)), "", VLOOKUP(A2509,'Discount Lookup'!D:E,2,FALSE)*G2509)</f>
        <v>0</v>
      </c>
      <c r="V2509" s="78">
        <f>IF(NOT(ISNUMBER(G2509)), "", VLOOKUP(A2509,'Discount Lookup'!G:H,2,FALSE)*G2509)</f>
        <v>0</v>
      </c>
      <c r="W2509" s="102">
        <f t="shared" si="1834"/>
        <v>0</v>
      </c>
      <c r="X2509" s="102">
        <f t="shared" si="1835"/>
        <v>0</v>
      </c>
      <c r="Y2509" s="120" t="b">
        <f t="shared" si="1836"/>
        <v>0</v>
      </c>
      <c r="Z2509" s="117">
        <f t="shared" si="1837"/>
        <v>0</v>
      </c>
      <c r="AA2509" s="118"/>
      <c r="AB2509" s="118" t="str">
        <f t="shared" si="1838"/>
        <v/>
      </c>
      <c r="AC2509" s="712" t="str">
        <f>IF(AE2509="T2G","no charge",IF(AND(OR(PlanterYesMe="No",PlanterYesMe="N",PlanterYesMe="me"),H2509=""),"",IF(H2509="credit","NO install",IF(AND(K2509="",AE2509="me"),"EACH row",IF(AND(K2509="images",AE2509="me"),"EACH row",IF(D2509="","",IF(H2509="credit","",IF(AE2509="free","re-planting",IF(AE2509="me","   not ELP, by",IF(AND(OR(PlanterYesMe="Yes",PlanterYesMe="Y"),G2509&gt;0),(VLOOKUP(A2509,'Discount Lookup'!J:K,2)*G2509*(1-PlanterDiscount)*(1+PlanterDifficultyPercentage)),IF(AE2509="ELP",(VLOOKUP(A2509,'Discount Lookup'!J:K,2)*G2509*(1-PlanterDiscount)*(1+PlanterDifficultyPercentage)),IF(AE2509="free","re-planting",IF(G2509=0,"",IF(PlanterYesMe="",IF(AE2509="me","   not ELP, by",IF(AE2509="",IF(G2509&gt;0,(VLOOKUP(A2509,'Discount Lookup'!J:K,2)*G2509*(1-PlanterDiscount)*(1+PlanterDifficultyPercentage)),""),"")),"   not ELP, by"))))))))))))))</f>
        <v/>
      </c>
      <c r="AD2509" s="712"/>
      <c r="AE2509" s="513" t="str">
        <f t="shared" si="1839"/>
        <v/>
      </c>
      <c r="AF2509" s="713" t="str">
        <f t="shared" si="1840"/>
        <v/>
      </c>
      <c r="AG2509" s="713"/>
      <c r="AH2509" s="713"/>
      <c r="AI2509" s="112">
        <f>IF(H2509="credit",0,IF(AE2509="free",0,IF(AE2509="me",0,IF(G2509&gt;0,(VLOOKUP(A2509,'Discount Lookup'!J:K,2)*G2509),0))))</f>
        <v>0</v>
      </c>
      <c r="AJ2509" s="107" t="str">
        <f t="shared" ca="1" si="1841"/>
        <v/>
      </c>
      <c r="AK2509" s="714" t="str">
        <f t="shared" si="1842"/>
        <v/>
      </c>
      <c r="AL2509" s="714"/>
      <c r="AM2509" s="114" t="str">
        <f t="shared" si="1843"/>
        <v/>
      </c>
      <c r="AN2509" s="115"/>
      <c r="AO2509" s="116"/>
      <c r="AP2509" s="116"/>
      <c r="AQ2509" s="116"/>
      <c r="AR2509" s="116"/>
      <c r="AS2509" s="116"/>
      <c r="AT2509" s="116"/>
      <c r="AU2509" s="116"/>
      <c r="AV2509" s="78"/>
      <c r="AW2509" s="102"/>
      <c r="AX2509" s="78"/>
      <c r="AY2509" s="78"/>
      <c r="AZ2509" s="78"/>
      <c r="BA2509" s="78"/>
      <c r="BB2509" s="78"/>
      <c r="BC2509" s="78"/>
      <c r="BD2509" s="78"/>
      <c r="BE2509" s="465"/>
      <c r="BF2509" s="165" t="str">
        <f t="shared" si="1844"/>
        <v>https://www.google.com/search?tbm=isch&amp;q=25%20G6</v>
      </c>
      <c r="BG2509" s="165" t="str">
        <f t="shared" si="1845"/>
        <v>L</v>
      </c>
      <c r="BH2509" s="65"/>
      <c r="BI2509" s="65"/>
      <c r="BJ2509" s="65"/>
      <c r="BK2509" s="65"/>
      <c r="BL2509" s="99"/>
      <c r="BM2509" s="99"/>
      <c r="BN2509" s="99"/>
    </row>
    <row r="2510" spans="1:66" s="51" customFormat="1" ht="17.25" thickBot="1" x14ac:dyDescent="0.3">
      <c r="A2510" s="641" t="s">
        <v>3171</v>
      </c>
      <c r="B2510" s="642"/>
      <c r="C2510" s="710"/>
      <c r="D2510" s="643"/>
      <c r="E2510" s="643"/>
      <c r="F2510" s="644"/>
      <c r="G2510" s="645"/>
      <c r="H2510" s="646"/>
      <c r="I2510" s="647"/>
      <c r="J2510" s="648"/>
      <c r="K2510" s="649"/>
      <c r="L2510" s="650"/>
      <c r="M2510" s="650"/>
      <c r="N2510" s="644"/>
      <c r="O2510" s="644"/>
      <c r="P2510" s="644"/>
      <c r="Q2510" s="644"/>
      <c r="R2510" s="644"/>
      <c r="S2510" s="651"/>
      <c r="T2510" s="102">
        <f t="shared" si="1833"/>
        <v>0</v>
      </c>
      <c r="U2510" s="78" t="str">
        <f>IF(NOT(ISNUMBER(G2510)), "", VLOOKUP(A2510,'Discount Lookup'!D:E,2,FALSE)*G2510)</f>
        <v/>
      </c>
      <c r="V2510" s="78" t="str">
        <f>IF(NOT(ISNUMBER(G2510)), "", VLOOKUP(A2510,'Discount Lookup'!G:H,2,FALSE)*G2510)</f>
        <v/>
      </c>
      <c r="W2510" s="102">
        <f t="shared" si="1834"/>
        <v>0</v>
      </c>
      <c r="X2510" s="102">
        <f t="shared" si="1835"/>
        <v>0</v>
      </c>
      <c r="Y2510" s="120" t="b">
        <f t="shared" si="1836"/>
        <v>0</v>
      </c>
      <c r="Z2510" s="117">
        <f t="shared" si="1837"/>
        <v>0</v>
      </c>
      <c r="AA2510" s="118"/>
      <c r="AB2510" s="118" t="str">
        <f t="shared" si="1838"/>
        <v/>
      </c>
      <c r="AC2510" s="712" t="str">
        <f>IF(AE2510="T2G","no charge",IF(AND(OR(PlanterYesMe="No",PlanterYesMe="N",PlanterYesMe="me"),H2510=""),"",IF(H2510="credit","NO install",IF(AND(K2510="",AE2510="me"),"EACH row",IF(AND(K2510="images",AE2510="me"),"EACH row",IF(D2510="","",IF(H2510="credit","",IF(AE2510="free","re-planting",IF(AE2510="me","   not ELP, by",IF(AND(OR(PlanterYesMe="Yes",PlanterYesMe="Y"),G2510&gt;0),(VLOOKUP(A2510,'Discount Lookup'!J:K,2)*G2510*(1-PlanterDiscount)*(1+PlanterDifficultyPercentage)),IF(AE2510="ELP",(VLOOKUP(A2510,'Discount Lookup'!J:K,2)*G2510*(1-PlanterDiscount)*(1+PlanterDifficultyPercentage)),IF(AE2510="free","re-planting",IF(G2510=0,"",IF(PlanterYesMe="",IF(AE2510="me","   not ELP, by",IF(AE2510="",IF(G2510&gt;0,(VLOOKUP(A2510,'Discount Lookup'!J:K,2)*G2510*(1-PlanterDiscount)*(1+PlanterDifficultyPercentage)),""),"")),"   not ELP, by"))))))))))))))</f>
        <v/>
      </c>
      <c r="AD2510" s="712"/>
      <c r="AE2510" s="513" t="str">
        <f t="shared" si="1839"/>
        <v/>
      </c>
      <c r="AF2510" s="713" t="str">
        <f t="shared" si="1840"/>
        <v/>
      </c>
      <c r="AG2510" s="713"/>
      <c r="AH2510" s="713"/>
      <c r="AI2510" s="112">
        <f>IF(H2510="credit",0,IF(AE2510="free",0,IF(AE2510="me",0,IF(G2510&gt;0,(VLOOKUP(A2510,'Discount Lookup'!J:K,2)*G2510),0))))</f>
        <v>0</v>
      </c>
      <c r="AJ2510" s="107" t="str">
        <f t="shared" ca="1" si="1841"/>
        <v/>
      </c>
      <c r="AK2510" s="714" t="str">
        <f t="shared" si="1842"/>
        <v/>
      </c>
      <c r="AL2510" s="714"/>
      <c r="AM2510" s="114" t="str">
        <f t="shared" si="1843"/>
        <v/>
      </c>
      <c r="AN2510" s="115"/>
      <c r="AO2510" s="116"/>
      <c r="AP2510" s="116"/>
      <c r="AQ2510" s="116"/>
      <c r="AR2510" s="116"/>
      <c r="AS2510" s="116"/>
      <c r="AT2510" s="116"/>
      <c r="AU2510" s="116"/>
      <c r="AV2510" s="78"/>
      <c r="AW2510" s="102"/>
      <c r="AX2510" s="78"/>
      <c r="AY2510" s="78"/>
      <c r="AZ2510" s="78"/>
      <c r="BA2510" s="78"/>
      <c r="BB2510" s="78"/>
      <c r="BC2510" s="78"/>
      <c r="BD2510" s="78"/>
      <c r="BE2510" s="465"/>
      <c r="BF2510" s="165" t="str">
        <f t="shared" si="1844"/>
        <v>https://www.google.com/search?tbm=isch&amp;q=Autaugaville%20blooms%20all%20summer%2C%20turning%20to%20orange-red%20fall%20foliage%20</v>
      </c>
      <c r="BG2510" s="165" t="str">
        <f t="shared" si="1845"/>
        <v>A</v>
      </c>
      <c r="BH2510" s="65"/>
      <c r="BI2510" s="65"/>
      <c r="BJ2510" s="65"/>
      <c r="BK2510" s="65"/>
      <c r="BL2510" s="99"/>
      <c r="BM2510" s="99"/>
      <c r="BN2510" s="99"/>
    </row>
    <row r="2511" spans="1:66" s="51" customFormat="1" ht="18" x14ac:dyDescent="0.25">
      <c r="A2511" s="623" t="s">
        <v>3172</v>
      </c>
      <c r="B2511" s="624"/>
      <c r="C2511" s="709"/>
      <c r="D2511" s="625" t="s">
        <v>5896</v>
      </c>
      <c r="E2511" s="626"/>
      <c r="F2511" s="626"/>
      <c r="G2511" s="626"/>
      <c r="H2511" s="622" t="s">
        <v>1246</v>
      </c>
      <c r="I2511" s="627" t="s">
        <v>349</v>
      </c>
      <c r="J2511" s="628"/>
      <c r="K2511" s="628"/>
      <c r="L2511" s="629"/>
      <c r="M2511" s="700" t="s">
        <v>5241</v>
      </c>
      <c r="N2511" s="693" t="str">
        <f>IF(AND(ISTEXT($A2511), ISERROR($A2511+0)), HYPERLINK($BF2511, "Images"), "")</f>
        <v>Images</v>
      </c>
      <c r="O2511" s="695" t="s">
        <v>5247</v>
      </c>
      <c r="P2511" s="630"/>
      <c r="Q2511" s="631"/>
      <c r="R2511" s="632"/>
      <c r="S2511" s="633"/>
      <c r="T2511" s="102">
        <f t="shared" si="1833"/>
        <v>0</v>
      </c>
      <c r="U2511" s="78" t="str">
        <f>IF(NOT(ISNUMBER(G2511)), "", VLOOKUP(A2511,'Discount Lookup'!D:E,2,FALSE)*G2511)</f>
        <v/>
      </c>
      <c r="V2511" s="78" t="str">
        <f>IF(NOT(ISNUMBER(G2511)), "", VLOOKUP(A2511,'Discount Lookup'!G:H,2,FALSE)*G2511)</f>
        <v/>
      </c>
      <c r="W2511" s="102">
        <f t="shared" si="1834"/>
        <v>0</v>
      </c>
      <c r="X2511" s="102" t="str">
        <f t="shared" si="1835"/>
        <v>White bloom</v>
      </c>
      <c r="Y2511" s="120" t="b">
        <f t="shared" si="1836"/>
        <v>0</v>
      </c>
      <c r="Z2511" s="117">
        <f t="shared" si="1837"/>
        <v>0</v>
      </c>
      <c r="AA2511" s="118"/>
      <c r="AB2511" s="118" t="str">
        <f t="shared" si="1838"/>
        <v/>
      </c>
      <c r="AC2511" s="712" t="str">
        <f>IF(AE2511="T2G","no charge",IF(AND(OR(PlanterYesMe="No",PlanterYesMe="N",PlanterYesMe="me"),H2511=""),"",IF(H2511="credit","NO install",IF(AND(K2511="",AE2511="me"),"EACH row",IF(AND(K2511="images",AE2511="me"),"EACH row",IF(D2511="","",IF(H2511="credit","",IF(AE2511="free","re-planting",IF(AE2511="me","   not ELP, by",IF(AND(OR(PlanterYesMe="Yes",PlanterYesMe="Y"),G2511&gt;0),(VLOOKUP(A2511,'Discount Lookup'!J:K,2)*G2511*(1-PlanterDiscount)*(1+PlanterDifficultyPercentage)),IF(AE2511="ELP",(VLOOKUP(A2511,'Discount Lookup'!J:K,2)*G2511*(1-PlanterDiscount)*(1+PlanterDifficultyPercentage)),IF(AE2511="free","re-planting",IF(G2511=0,"",IF(PlanterYesMe="",IF(AE2511="me","   not ELP, by",IF(AE2511="",IF(G2511&gt;0,(VLOOKUP(A2511,'Discount Lookup'!J:K,2)*G2511*(1-PlanterDiscount)*(1+PlanterDifficultyPercentage)),""),"")),"   not ELP, by"))))))))))))))</f>
        <v/>
      </c>
      <c r="AD2511" s="712"/>
      <c r="AE2511" s="513" t="str">
        <f t="shared" si="1839"/>
        <v/>
      </c>
      <c r="AF2511" s="713" t="str">
        <f t="shared" si="1840"/>
        <v/>
      </c>
      <c r="AG2511" s="713"/>
      <c r="AH2511" s="713"/>
      <c r="AI2511" s="112">
        <f>IF(H2511="credit",0,IF(AE2511="free",0,IF(AE2511="me",0,IF(G2511&gt;0,(VLOOKUP(A2511,'Discount Lookup'!J:K,2)*G2511),0))))</f>
        <v>0</v>
      </c>
      <c r="AJ2511" s="107" t="str">
        <f t="shared" ca="1" si="1841"/>
        <v/>
      </c>
      <c r="AK2511" s="714" t="str">
        <f t="shared" si="1842"/>
        <v/>
      </c>
      <c r="AL2511" s="714"/>
      <c r="AM2511" s="114" t="str">
        <f t="shared" si="1843"/>
        <v/>
      </c>
      <c r="AN2511" s="115"/>
      <c r="AO2511" s="116"/>
      <c r="AP2511" s="116"/>
      <c r="AQ2511" s="116"/>
      <c r="AR2511" s="116"/>
      <c r="AS2511" s="116"/>
      <c r="AT2511" s="116"/>
      <c r="AU2511" s="116"/>
      <c r="AV2511" s="78"/>
      <c r="AW2511" s="102"/>
      <c r="AX2511" s="78"/>
      <c r="AY2511" s="78"/>
      <c r="AZ2511" s="78"/>
      <c r="BA2511" s="78"/>
      <c r="BB2511" s="78"/>
      <c r="BC2511" s="78"/>
      <c r="BD2511" s="78"/>
      <c r="BE2511" s="465"/>
      <c r="BF2511" s="165" t="str">
        <f t="shared" si="1844"/>
        <v>https://www.google.com/search?tbm=isch&amp;q=Lagerstroemia%20%27BAILLAGONE%27%20PP%2330360%20Lunar%20Magic%E2%84%A2%20Crape%20Myrtle%20%28FE%C2%AE%29</v>
      </c>
      <c r="BG2511" s="165" t="str">
        <f t="shared" si="1845"/>
        <v>L</v>
      </c>
      <c r="BH2511" s="65"/>
      <c r="BI2511" s="65"/>
      <c r="BJ2511" s="65"/>
      <c r="BK2511" s="65"/>
      <c r="BL2511" s="99"/>
      <c r="BM2511" s="99"/>
      <c r="BN2511" s="99"/>
    </row>
    <row r="2512" spans="1:66" s="51" customFormat="1" ht="15.75" x14ac:dyDescent="0.25">
      <c r="A2512" s="634">
        <v>3</v>
      </c>
      <c r="B2512" s="635" t="s">
        <v>291</v>
      </c>
      <c r="C2512" s="636" t="s">
        <v>3173</v>
      </c>
      <c r="D2512" s="637" t="s">
        <v>311</v>
      </c>
      <c r="E2512" s="638">
        <v>36.950000000000003</v>
      </c>
      <c r="F2512" s="639" t="s">
        <v>292</v>
      </c>
      <c r="G2512" s="484">
        <v>0</v>
      </c>
      <c r="H2512" s="691" t="str">
        <f>IF(G2512=0,"",IF(F2512="Buy",IF(G2512=1,"plant","plants"),IF(F2512&gt;0.01,"warranty","Error")))</f>
        <v/>
      </c>
      <c r="I2512" s="640">
        <f>IF(H2512="free",0,IF(H2512="credit",((E2512*(F2512))*G2512*-1),IF(F2512="Buy",(E2512*G2512),((E2512*(1-F2512))*G2512))))</f>
        <v>0</v>
      </c>
      <c r="J2512" s="640">
        <f>IF(H2512="warranty",0,(I2512*(_xlfn.SINGLE(SalesTaxPercentage))))</f>
        <v>0</v>
      </c>
      <c r="K2512" s="716">
        <f t="shared" ref="K2512" si="1879">I2512+J2512</f>
        <v>0</v>
      </c>
      <c r="L2512" s="716"/>
      <c r="M2512" s="689" t="str">
        <f ca="1">IF(AND(G2512&gt;0,E2512=0),"WARNING - no PRICE inserted",IF(H2512="free","FREE ~ no charge this plant",IF(H2512="credit",CONCATENATE("-$",ROUND(K2512*(1-_xlfn.SINGLE(T2GDiscount))*-1,2)," CREDIT after discount"),IF(_xlfn.SINGLE(T2GDiscount)=0,"",IF(G2512=0,"",IF(F2512="Buy",CONCATENATE("$",ROUND(K2512*(1-_xlfn.SINGLE(T2GDiscount)),2)," with ",(_xlfn.SINGLE(T2GDiscount)*100),"% discount"),CONCATENATE("$",ROUND(K2512*(1-_xlfn.SINGLE(T2GDiscount)),2)," with ",((_xlfn.SINGLE(T2GDiscount)*100+F2512*100)-(_xlfn.SINGLE(T2GDiscount)*100*F2512)),IF(F2512&gt;0,"% discounts",IF(_xlfn.SINGLE(NoWarrantyDiscount)&gt;0,"% discounts","% discount")))))))))</f>
        <v/>
      </c>
      <c r="N2512" s="690"/>
      <c r="O2512" s="486"/>
      <c r="P2512" s="486"/>
      <c r="Q2512" s="486"/>
      <c r="R2512" s="486"/>
      <c r="S2512" s="486"/>
      <c r="T2512" s="102">
        <f t="shared" si="1833"/>
        <v>0</v>
      </c>
      <c r="U2512" s="78">
        <f>IF(NOT(ISNUMBER(G2512)), "", VLOOKUP(A2512,'Discount Lookup'!D:E,2,FALSE)*G2512)</f>
        <v>0</v>
      </c>
      <c r="V2512" s="78">
        <f>IF(NOT(ISNUMBER(G2512)), "", VLOOKUP(A2512,'Discount Lookup'!G:H,2,FALSE)*G2512)</f>
        <v>0</v>
      </c>
      <c r="W2512" s="102">
        <f t="shared" si="1834"/>
        <v>0</v>
      </c>
      <c r="X2512" s="102">
        <f t="shared" si="1835"/>
        <v>0</v>
      </c>
      <c r="Y2512" s="120" t="b">
        <f t="shared" si="1836"/>
        <v>0</v>
      </c>
      <c r="Z2512" s="117">
        <f t="shared" si="1837"/>
        <v>0</v>
      </c>
      <c r="AA2512" s="118"/>
      <c r="AB2512" s="118" t="str">
        <f t="shared" si="1838"/>
        <v/>
      </c>
      <c r="AC2512" s="712" t="str">
        <f>IF(AE2512="T2G","no charge",IF(AND(OR(PlanterYesMe="No",PlanterYesMe="N",PlanterYesMe="me"),H2512=""),"",IF(H2512="credit","NO install",IF(AND(K2512="",AE2512="me"),"EACH row",IF(AND(K2512="images",AE2512="me"),"EACH row",IF(D2512="","",IF(H2512="credit","",IF(AE2512="free","re-planting",IF(AE2512="me","   not ELP, by",IF(AND(OR(PlanterYesMe="Yes",PlanterYesMe="Y"),G2512&gt;0),(VLOOKUP(A2512,'Discount Lookup'!J:K,2)*G2512*(1-PlanterDiscount)*(1+PlanterDifficultyPercentage)),IF(AE2512="ELP",(VLOOKUP(A2512,'Discount Lookup'!J:K,2)*G2512*(1-PlanterDiscount)*(1+PlanterDifficultyPercentage)),IF(AE2512="free","re-planting",IF(G2512=0,"",IF(PlanterYesMe="",IF(AE2512="me","   not ELP, by",IF(AE2512="",IF(G2512&gt;0,(VLOOKUP(A2512,'Discount Lookup'!J:K,2)*G2512*(1-PlanterDiscount)*(1+PlanterDifficultyPercentage)),""),"")),"   not ELP, by"))))))))))))))</f>
        <v/>
      </c>
      <c r="AD2512" s="712"/>
      <c r="AE2512" s="513" t="str">
        <f t="shared" si="1839"/>
        <v/>
      </c>
      <c r="AF2512" s="713" t="str">
        <f t="shared" si="1840"/>
        <v/>
      </c>
      <c r="AG2512" s="713"/>
      <c r="AH2512" s="713"/>
      <c r="AI2512" s="112">
        <f>IF(H2512="credit",0,IF(AE2512="free",0,IF(AE2512="me",0,IF(G2512&gt;0,(VLOOKUP(A2512,'Discount Lookup'!J:K,2)*G2512),0))))</f>
        <v>0</v>
      </c>
      <c r="AJ2512" s="107" t="str">
        <f t="shared" ca="1" si="1841"/>
        <v/>
      </c>
      <c r="AK2512" s="714" t="str">
        <f t="shared" si="1842"/>
        <v/>
      </c>
      <c r="AL2512" s="714"/>
      <c r="AM2512" s="114" t="str">
        <f t="shared" si="1843"/>
        <v/>
      </c>
      <c r="AN2512" s="115"/>
      <c r="AO2512" s="116"/>
      <c r="AP2512" s="116"/>
      <c r="AQ2512" s="116"/>
      <c r="AR2512" s="116"/>
      <c r="AS2512" s="116"/>
      <c r="AT2512" s="116"/>
      <c r="AU2512" s="116"/>
      <c r="AV2512" s="78"/>
      <c r="AW2512" s="102"/>
      <c r="AX2512" s="78"/>
      <c r="AY2512" s="78"/>
      <c r="AZ2512" s="78"/>
      <c r="BA2512" s="78"/>
      <c r="BB2512" s="78"/>
      <c r="BC2512" s="78"/>
      <c r="BD2512" s="78"/>
      <c r="BE2512" s="465"/>
      <c r="BF2512" s="165" t="str">
        <f t="shared" si="1844"/>
        <v>https://www.google.com/search?tbm=isch&amp;q=3%20G5</v>
      </c>
      <c r="BG2512" s="165" t="str">
        <f t="shared" si="1845"/>
        <v>L</v>
      </c>
      <c r="BH2512" s="65"/>
      <c r="BI2512" s="65"/>
      <c r="BJ2512" s="65"/>
      <c r="BK2512" s="65"/>
      <c r="BL2512" s="99"/>
      <c r="BM2512" s="99"/>
      <c r="BN2512" s="99"/>
    </row>
    <row r="2513" spans="1:66" s="51" customFormat="1" ht="15.75" x14ac:dyDescent="0.25">
      <c r="A2513" s="634">
        <v>7</v>
      </c>
      <c r="B2513" s="635" t="s">
        <v>291</v>
      </c>
      <c r="C2513" s="636" t="s">
        <v>3174</v>
      </c>
      <c r="D2513" s="637" t="s">
        <v>311</v>
      </c>
      <c r="E2513" s="638">
        <v>68.95</v>
      </c>
      <c r="F2513" s="639" t="s">
        <v>292</v>
      </c>
      <c r="G2513" s="484">
        <v>0</v>
      </c>
      <c r="H2513" s="691" t="str">
        <f>IF(G2513=0,"",IF(F2513="Buy",IF(G2513=1,"plant","plants"),IF(F2513&gt;0.01,"warranty","Error")))</f>
        <v/>
      </c>
      <c r="I2513" s="640">
        <f>IF(H2513="free",0,IF(H2513="credit",((E2513*(F2513))*G2513*-1),IF(F2513="Buy",(E2513*G2513),((E2513*(1-F2513))*G2513))))</f>
        <v>0</v>
      </c>
      <c r="J2513" s="640">
        <f>IF(H2513="warranty",0,(I2513*(_xlfn.SINGLE(SalesTaxPercentage))))</f>
        <v>0</v>
      </c>
      <c r="K2513" s="716">
        <f t="shared" ref="K2513" si="1880">I2513+J2513</f>
        <v>0</v>
      </c>
      <c r="L2513" s="716"/>
      <c r="M2513" s="689" t="str">
        <f ca="1">IF(AND(G2513&gt;0,E2513=0),"WARNING - no PRICE inserted",IF(H2513="free","FREE ~ no charge this plant",IF(H2513="credit",CONCATENATE("-$",ROUND(K2513*(1-_xlfn.SINGLE(T2GDiscount))*-1,2)," CREDIT after discount"),IF(_xlfn.SINGLE(T2GDiscount)=0,"",IF(G2513=0,"",IF(F2513="Buy",CONCATENATE("$",ROUND(K2513*(1-_xlfn.SINGLE(T2GDiscount)),2)," with ",(_xlfn.SINGLE(T2GDiscount)*100),"% discount"),CONCATENATE("$",ROUND(K2513*(1-_xlfn.SINGLE(T2GDiscount)),2)," with ",((_xlfn.SINGLE(T2GDiscount)*100+F2513*100)-(_xlfn.SINGLE(T2GDiscount)*100*F2513)),IF(F2513&gt;0,"% discounts",IF(_xlfn.SINGLE(NoWarrantyDiscount)&gt;0,"% discounts","% discount")))))))))</f>
        <v/>
      </c>
      <c r="N2513" s="690"/>
      <c r="O2513" s="486"/>
      <c r="P2513" s="486"/>
      <c r="Q2513" s="486"/>
      <c r="R2513" s="486"/>
      <c r="S2513" s="486"/>
      <c r="T2513" s="102">
        <f t="shared" si="1833"/>
        <v>0</v>
      </c>
      <c r="U2513" s="78">
        <f>IF(NOT(ISNUMBER(G2513)), "", VLOOKUP(A2513,'Discount Lookup'!D:E,2,FALSE)*G2513)</f>
        <v>0</v>
      </c>
      <c r="V2513" s="78">
        <f>IF(NOT(ISNUMBER(G2513)), "", VLOOKUP(A2513,'Discount Lookup'!G:H,2,FALSE)*G2513)</f>
        <v>0</v>
      </c>
      <c r="W2513" s="102">
        <f t="shared" si="1834"/>
        <v>0</v>
      </c>
      <c r="X2513" s="102">
        <f t="shared" si="1835"/>
        <v>0</v>
      </c>
      <c r="Y2513" s="120" t="b">
        <f t="shared" si="1836"/>
        <v>0</v>
      </c>
      <c r="Z2513" s="117">
        <f t="shared" si="1837"/>
        <v>0</v>
      </c>
      <c r="AA2513" s="118"/>
      <c r="AB2513" s="118" t="str">
        <f t="shared" si="1838"/>
        <v/>
      </c>
      <c r="AC2513" s="712" t="str">
        <f>IF(AE2513="T2G","no charge",IF(AND(OR(PlanterYesMe="No",PlanterYesMe="N",PlanterYesMe="me"),H2513=""),"",IF(H2513="credit","NO install",IF(AND(K2513="",AE2513="me"),"EACH row",IF(AND(K2513="images",AE2513="me"),"EACH row",IF(D2513="","",IF(H2513="credit","",IF(AE2513="free","re-planting",IF(AE2513="me","   not ELP, by",IF(AND(OR(PlanterYesMe="Yes",PlanterYesMe="Y"),G2513&gt;0),(VLOOKUP(A2513,'Discount Lookup'!J:K,2)*G2513*(1-PlanterDiscount)*(1+PlanterDifficultyPercentage)),IF(AE2513="ELP",(VLOOKUP(A2513,'Discount Lookup'!J:K,2)*G2513*(1-PlanterDiscount)*(1+PlanterDifficultyPercentage)),IF(AE2513="free","re-planting",IF(G2513=0,"",IF(PlanterYesMe="",IF(AE2513="me","   not ELP, by",IF(AE2513="",IF(G2513&gt;0,(VLOOKUP(A2513,'Discount Lookup'!J:K,2)*G2513*(1-PlanterDiscount)*(1+PlanterDifficultyPercentage)),""),"")),"   not ELP, by"))))))))))))))</f>
        <v/>
      </c>
      <c r="AD2513" s="712"/>
      <c r="AE2513" s="513" t="str">
        <f t="shared" si="1839"/>
        <v/>
      </c>
      <c r="AF2513" s="713" t="str">
        <f t="shared" si="1840"/>
        <v/>
      </c>
      <c r="AG2513" s="713"/>
      <c r="AH2513" s="713"/>
      <c r="AI2513" s="112">
        <f>IF(H2513="credit",0,IF(AE2513="free",0,IF(AE2513="me",0,IF(G2513&gt;0,(VLOOKUP(A2513,'Discount Lookup'!J:K,2)*G2513),0))))</f>
        <v>0</v>
      </c>
      <c r="AJ2513" s="107" t="str">
        <f t="shared" ca="1" si="1841"/>
        <v/>
      </c>
      <c r="AK2513" s="714" t="str">
        <f t="shared" si="1842"/>
        <v/>
      </c>
      <c r="AL2513" s="714"/>
      <c r="AM2513" s="114" t="str">
        <f t="shared" si="1843"/>
        <v/>
      </c>
      <c r="AN2513" s="115"/>
      <c r="AO2513" s="116"/>
      <c r="AP2513" s="116"/>
      <c r="AQ2513" s="116"/>
      <c r="AR2513" s="116"/>
      <c r="AS2513" s="116"/>
      <c r="AT2513" s="116"/>
      <c r="AU2513" s="116"/>
      <c r="AV2513" s="78"/>
      <c r="AW2513" s="102"/>
      <c r="AX2513" s="78"/>
      <c r="AY2513" s="78"/>
      <c r="AZ2513" s="78"/>
      <c r="BA2513" s="78"/>
      <c r="BB2513" s="78"/>
      <c r="BC2513" s="78"/>
      <c r="BD2513" s="78"/>
      <c r="BE2513" s="465"/>
      <c r="BF2513" s="165" t="str">
        <f t="shared" si="1844"/>
        <v>https://www.google.com/search?tbm=isch&amp;q=7%20G5</v>
      </c>
      <c r="BG2513" s="165" t="str">
        <f t="shared" si="1845"/>
        <v>L</v>
      </c>
      <c r="BH2513" s="65"/>
      <c r="BI2513" s="65"/>
      <c r="BJ2513" s="65"/>
      <c r="BK2513" s="65"/>
      <c r="BL2513" s="99"/>
      <c r="BM2513" s="99"/>
      <c r="BN2513" s="99"/>
    </row>
    <row r="2514" spans="1:66" s="51" customFormat="1" ht="17.25" thickBot="1" x14ac:dyDescent="0.3">
      <c r="A2514" s="641" t="s">
        <v>4769</v>
      </c>
      <c r="B2514" s="642"/>
      <c r="C2514" s="710"/>
      <c r="D2514" s="643"/>
      <c r="E2514" s="643"/>
      <c r="F2514" s="644"/>
      <c r="G2514" s="645"/>
      <c r="H2514" s="646"/>
      <c r="I2514" s="647"/>
      <c r="J2514" s="648"/>
      <c r="K2514" s="649"/>
      <c r="L2514" s="650"/>
      <c r="M2514" s="650"/>
      <c r="N2514" s="644"/>
      <c r="O2514" s="644"/>
      <c r="P2514" s="644"/>
      <c r="Q2514" s="644"/>
      <c r="R2514" s="644"/>
      <c r="S2514" s="651"/>
      <c r="T2514" s="102">
        <f t="shared" si="1833"/>
        <v>0</v>
      </c>
      <c r="U2514" s="78" t="str">
        <f>IF(NOT(ISNUMBER(G2514)), "", VLOOKUP(A2514,'Discount Lookup'!D:E,2,FALSE)*G2514)</f>
        <v/>
      </c>
      <c r="V2514" s="78" t="str">
        <f>IF(NOT(ISNUMBER(G2514)), "", VLOOKUP(A2514,'Discount Lookup'!G:H,2,FALSE)*G2514)</f>
        <v/>
      </c>
      <c r="W2514" s="102">
        <f t="shared" si="1834"/>
        <v>0</v>
      </c>
      <c r="X2514" s="102">
        <f t="shared" si="1835"/>
        <v>0</v>
      </c>
      <c r="Y2514" s="120" t="b">
        <f t="shared" si="1836"/>
        <v>0</v>
      </c>
      <c r="Z2514" s="117">
        <f t="shared" si="1837"/>
        <v>0</v>
      </c>
      <c r="AA2514" s="118"/>
      <c r="AB2514" s="118" t="str">
        <f t="shared" si="1838"/>
        <v/>
      </c>
      <c r="AC2514" s="712" t="str">
        <f>IF(AE2514="T2G","no charge",IF(AND(OR(PlanterYesMe="No",PlanterYesMe="N",PlanterYesMe="me"),H2514=""),"",IF(H2514="credit","NO install",IF(AND(K2514="",AE2514="me"),"EACH row",IF(AND(K2514="images",AE2514="me"),"EACH row",IF(D2514="","",IF(H2514="credit","",IF(AE2514="free","re-planting",IF(AE2514="me","   not ELP, by",IF(AND(OR(PlanterYesMe="Yes",PlanterYesMe="Y"),G2514&gt;0),(VLOOKUP(A2514,'Discount Lookup'!J:K,2)*G2514*(1-PlanterDiscount)*(1+PlanterDifficultyPercentage)),IF(AE2514="ELP",(VLOOKUP(A2514,'Discount Lookup'!J:K,2)*G2514*(1-PlanterDiscount)*(1+PlanterDifficultyPercentage)),IF(AE2514="free","re-planting",IF(G2514=0,"",IF(PlanterYesMe="",IF(AE2514="me","   not ELP, by",IF(AE2514="",IF(G2514&gt;0,(VLOOKUP(A2514,'Discount Lookup'!J:K,2)*G2514*(1-PlanterDiscount)*(1+PlanterDifficultyPercentage)),""),"")),"   not ELP, by"))))))))))))))</f>
        <v/>
      </c>
      <c r="AD2514" s="712"/>
      <c r="AE2514" s="513" t="str">
        <f t="shared" si="1839"/>
        <v/>
      </c>
      <c r="AF2514" s="713" t="str">
        <f t="shared" si="1840"/>
        <v/>
      </c>
      <c r="AG2514" s="713"/>
      <c r="AH2514" s="713"/>
      <c r="AI2514" s="112">
        <f>IF(H2514="credit",0,IF(AE2514="free",0,IF(AE2514="me",0,IF(G2514&gt;0,(VLOOKUP(A2514,'Discount Lookup'!J:K,2)*G2514),0))))</f>
        <v>0</v>
      </c>
      <c r="AJ2514" s="107" t="str">
        <f t="shared" ca="1" si="1841"/>
        <v/>
      </c>
      <c r="AK2514" s="714" t="str">
        <f t="shared" si="1842"/>
        <v/>
      </c>
      <c r="AL2514" s="714"/>
      <c r="AM2514" s="114" t="str">
        <f t="shared" si="1843"/>
        <v/>
      </c>
      <c r="AN2514" s="115"/>
      <c r="AO2514" s="116"/>
      <c r="AP2514" s="116"/>
      <c r="AQ2514" s="116"/>
      <c r="AR2514" s="116"/>
      <c r="AS2514" s="116"/>
      <c r="AT2514" s="116"/>
      <c r="AU2514" s="116"/>
      <c r="AV2514" s="78"/>
      <c r="AW2514" s="102"/>
      <c r="AX2514" s="78"/>
      <c r="AY2514" s="78"/>
      <c r="AZ2514" s="78"/>
      <c r="BA2514" s="78"/>
      <c r="BB2514" s="78"/>
      <c r="BC2514" s="78"/>
      <c r="BD2514" s="78"/>
      <c r="BE2514" s="465"/>
      <c r="BF2514" s="165" t="str">
        <f t="shared" si="1844"/>
        <v>https://www.google.com/search?tbm=isch&amp;q=Lunar%20Magic%20is%20named%20for%20the%20contrast%20of%20the%20pure%20White%20bloom%20against%20the%20dark%20Maroon%20foliage%20%28deep%20Green%20late%20season%29%20</v>
      </c>
      <c r="BG2514" s="165" t="str">
        <f t="shared" si="1845"/>
        <v>L</v>
      </c>
      <c r="BH2514" s="65"/>
      <c r="BI2514" s="65"/>
      <c r="BJ2514" s="65"/>
      <c r="BK2514" s="65"/>
      <c r="BL2514" s="99"/>
      <c r="BM2514" s="99"/>
      <c r="BN2514" s="99"/>
    </row>
    <row r="2515" spans="1:66" s="51" customFormat="1" ht="18" x14ac:dyDescent="0.25">
      <c r="A2515" s="623" t="s">
        <v>3175</v>
      </c>
      <c r="B2515" s="624"/>
      <c r="C2515" s="709"/>
      <c r="D2515" s="625" t="s">
        <v>5720</v>
      </c>
      <c r="E2515" s="626"/>
      <c r="F2515" s="626"/>
      <c r="G2515" s="626"/>
      <c r="H2515" s="622" t="s">
        <v>330</v>
      </c>
      <c r="I2515" s="627" t="s">
        <v>1458</v>
      </c>
      <c r="J2515" s="628"/>
      <c r="K2515" s="628"/>
      <c r="L2515" s="629"/>
      <c r="M2515" s="700" t="s">
        <v>5241</v>
      </c>
      <c r="N2515" s="693" t="str">
        <f>IF(AND(ISTEXT($A2515), ISERROR($A2515+0)), HYPERLINK($BF2515, "Images"), "")</f>
        <v>Images</v>
      </c>
      <c r="O2515" s="695" t="s">
        <v>5247</v>
      </c>
      <c r="P2515" s="630"/>
      <c r="Q2515" s="631"/>
      <c r="R2515" s="632"/>
      <c r="S2515" s="633"/>
      <c r="T2515" s="102">
        <f t="shared" si="1833"/>
        <v>0</v>
      </c>
      <c r="U2515" s="78" t="str">
        <f>IF(NOT(ISNUMBER(G2515)), "", VLOOKUP(A2515,'Discount Lookup'!D:E,2,FALSE)*G2515)</f>
        <v/>
      </c>
      <c r="V2515" s="78" t="str">
        <f>IF(NOT(ISNUMBER(G2515)), "", VLOOKUP(A2515,'Discount Lookup'!G:H,2,FALSE)*G2515)</f>
        <v/>
      </c>
      <c r="W2515" s="102">
        <f t="shared" si="1834"/>
        <v>0</v>
      </c>
      <c r="X2515" s="102" t="str">
        <f t="shared" si="1835"/>
        <v>Pink bloom</v>
      </c>
      <c r="Y2515" s="120" t="b">
        <f t="shared" si="1836"/>
        <v>0</v>
      </c>
      <c r="Z2515" s="117">
        <f t="shared" si="1837"/>
        <v>0</v>
      </c>
      <c r="AA2515" s="118"/>
      <c r="AB2515" s="118" t="str">
        <f t="shared" si="1838"/>
        <v/>
      </c>
      <c r="AC2515" s="712" t="str">
        <f>IF(AE2515="T2G","no charge",IF(AND(OR(PlanterYesMe="No",PlanterYesMe="N",PlanterYesMe="me"),H2515=""),"",IF(H2515="credit","NO install",IF(AND(K2515="",AE2515="me"),"EACH row",IF(AND(K2515="images",AE2515="me"),"EACH row",IF(D2515="","",IF(H2515="credit","",IF(AE2515="free","re-planting",IF(AE2515="me","   not ELP, by",IF(AND(OR(PlanterYesMe="Yes",PlanterYesMe="Y"),G2515&gt;0),(VLOOKUP(A2515,'Discount Lookup'!J:K,2)*G2515*(1-PlanterDiscount)*(1+PlanterDifficultyPercentage)),IF(AE2515="ELP",(VLOOKUP(A2515,'Discount Lookup'!J:K,2)*G2515*(1-PlanterDiscount)*(1+PlanterDifficultyPercentage)),IF(AE2515="free","re-planting",IF(G2515=0,"",IF(PlanterYesMe="",IF(AE2515="me","   not ELP, by",IF(AE2515="",IF(G2515&gt;0,(VLOOKUP(A2515,'Discount Lookup'!J:K,2)*G2515*(1-PlanterDiscount)*(1+PlanterDifficultyPercentage)),""),"")),"   not ELP, by"))))))))))))))</f>
        <v/>
      </c>
      <c r="AD2515" s="712"/>
      <c r="AE2515" s="513" t="str">
        <f t="shared" si="1839"/>
        <v/>
      </c>
      <c r="AF2515" s="713" t="str">
        <f t="shared" si="1840"/>
        <v/>
      </c>
      <c r="AG2515" s="713"/>
      <c r="AH2515" s="713"/>
      <c r="AI2515" s="112">
        <f>IF(H2515="credit",0,IF(AE2515="free",0,IF(AE2515="me",0,IF(G2515&gt;0,(VLOOKUP(A2515,'Discount Lookup'!J:K,2)*G2515),0))))</f>
        <v>0</v>
      </c>
      <c r="AJ2515" s="107" t="str">
        <f t="shared" ca="1" si="1841"/>
        <v/>
      </c>
      <c r="AK2515" s="714" t="str">
        <f t="shared" si="1842"/>
        <v/>
      </c>
      <c r="AL2515" s="714"/>
      <c r="AM2515" s="114" t="str">
        <f t="shared" si="1843"/>
        <v/>
      </c>
      <c r="AN2515" s="115"/>
      <c r="AO2515" s="116"/>
      <c r="AP2515" s="116"/>
      <c r="AQ2515" s="116"/>
      <c r="AR2515" s="116"/>
      <c r="AS2515" s="116"/>
      <c r="AT2515" s="116"/>
      <c r="AU2515" s="116"/>
      <c r="AV2515" s="78"/>
      <c r="AW2515" s="102"/>
      <c r="AX2515" s="78"/>
      <c r="AY2515" s="78"/>
      <c r="AZ2515" s="78"/>
      <c r="BA2515" s="78"/>
      <c r="BB2515" s="78"/>
      <c r="BC2515" s="78"/>
      <c r="BD2515" s="78"/>
      <c r="BE2515" s="465"/>
      <c r="BF2515" s="165" t="str">
        <f t="shared" si="1844"/>
        <v>https://www.google.com/search?tbm=isch&amp;q=Lagerstroemia%20hybrid%20%271Li%27%20PP%2328065%20Black%20Diamond%C2%AE%20Shell%20Pink%E2%84%A2%20Crape%20Myrtle</v>
      </c>
      <c r="BG2515" s="165" t="str">
        <f t="shared" si="1845"/>
        <v>L</v>
      </c>
      <c r="BH2515" s="65"/>
      <c r="BI2515" s="65"/>
      <c r="BJ2515" s="65"/>
      <c r="BK2515" s="65"/>
      <c r="BL2515" s="99"/>
      <c r="BM2515" s="99"/>
      <c r="BN2515" s="99"/>
    </row>
    <row r="2516" spans="1:66" s="51" customFormat="1" ht="15.75" x14ac:dyDescent="0.25">
      <c r="A2516" s="634">
        <v>7</v>
      </c>
      <c r="B2516" s="635" t="s">
        <v>291</v>
      </c>
      <c r="C2516" s="636" t="s">
        <v>3176</v>
      </c>
      <c r="D2516" s="637" t="s">
        <v>299</v>
      </c>
      <c r="E2516" s="638">
        <v>127.95</v>
      </c>
      <c r="F2516" s="639" t="s">
        <v>292</v>
      </c>
      <c r="G2516" s="484">
        <v>0</v>
      </c>
      <c r="H2516" s="691" t="str">
        <f>IF(G2516=0,"",IF(F2516="Buy",IF(G2516=1,"plant","plants"),IF(F2516&gt;0.01,"warranty","Error")))</f>
        <v/>
      </c>
      <c r="I2516" s="640">
        <f>IF(H2516="free",0,IF(H2516="credit",((E2516*(F2516))*G2516*-1),IF(F2516="Buy",(E2516*G2516),((E2516*(1-F2516))*G2516))))</f>
        <v>0</v>
      </c>
      <c r="J2516" s="640">
        <f>IF(H2516="warranty",0,(I2516*(_xlfn.SINGLE(SalesTaxPercentage))))</f>
        <v>0</v>
      </c>
      <c r="K2516" s="716">
        <f t="shared" ref="K2516" si="1881">I2516+J2516</f>
        <v>0</v>
      </c>
      <c r="L2516" s="716"/>
      <c r="M2516" s="689" t="str">
        <f ca="1">IF(AND(G2516&gt;0,E2516=0),"WARNING - no PRICE inserted",IF(H2516="free","FREE ~ no charge this plant",IF(H2516="credit",CONCATENATE("-$",ROUND(K2516*(1-_xlfn.SINGLE(T2GDiscount))*-1,2)," CREDIT after discount"),IF(_xlfn.SINGLE(T2GDiscount)=0,"",IF(G2516=0,"",IF(F2516="Buy",CONCATENATE("$",ROUND(K2516*(1-_xlfn.SINGLE(T2GDiscount)),2)," with ",(_xlfn.SINGLE(T2GDiscount)*100),"% discount"),CONCATENATE("$",ROUND(K2516*(1-_xlfn.SINGLE(T2GDiscount)),2)," with ",((_xlfn.SINGLE(T2GDiscount)*100+F2516*100)-(_xlfn.SINGLE(T2GDiscount)*100*F2516)),IF(F2516&gt;0,"% discounts",IF(_xlfn.SINGLE(NoWarrantyDiscount)&gt;0,"% discounts","% discount")))))))))</f>
        <v/>
      </c>
      <c r="N2516" s="690"/>
      <c r="O2516" s="486"/>
      <c r="P2516" s="486"/>
      <c r="Q2516" s="486"/>
      <c r="R2516" s="486"/>
      <c r="S2516" s="486"/>
      <c r="T2516" s="102">
        <f t="shared" ref="T2516:T2579" si="1882">E2516*G2516</f>
        <v>0</v>
      </c>
      <c r="U2516" s="78">
        <f>IF(NOT(ISNUMBER(G2516)), "", VLOOKUP(A2516,'Discount Lookup'!D:E,2,FALSE)*G2516)</f>
        <v>0</v>
      </c>
      <c r="V2516" s="78">
        <f>IF(NOT(ISNUMBER(G2516)), "", VLOOKUP(A2516,'Discount Lookup'!G:H,2,FALSE)*G2516)</f>
        <v>0</v>
      </c>
      <c r="W2516" s="102">
        <f t="shared" ref="W2516:W2579" si="1883">IF(H2516="credit",0,E2516*(SalesTaxPercentage)*G2516)</f>
        <v>0</v>
      </c>
      <c r="X2516" s="102">
        <f t="shared" ref="X2516:X2579" si="1884">I2516</f>
        <v>0</v>
      </c>
      <c r="Y2516" s="120" t="b">
        <f t="shared" ref="Y2516:Y2579" si="1885">IF(AE2516="T2G",0,IF(H2516="credit",0,IF(G2516&gt;0,IF(AE2516="me","",G2516))))</f>
        <v>0</v>
      </c>
      <c r="Z2516" s="117">
        <f t="shared" ref="Z2516:Z2579" si="1886">IF(H2516="credit",G2516,0)</f>
        <v>0</v>
      </c>
      <c r="AA2516" s="118"/>
      <c r="AB2516" s="118" t="str">
        <f t="shared" ref="AB2516:AB2579" si="1887">IF(AE2516="T2G","by Trees2Go",IF(H2516="credit","CREDIT only ~",IF(AND(K2516="",AE2516=OR(PlanterYesMe="No",PlanterYesMe="N",PlanterYesMe="me")),"not THIS line⇨",IF(AND(K2516="images",AE2516="me"),"not THIS line⇨",IF(H2516="credit","",IF(G2516=0,"",IF(AE2516="me","",IF(OR(PlanterYesMe="No",PlanterYesMe="N",PlanterYesMe="me"),"",IF(AE2516="free","warranty",IF(OR(PlanterYesMe="yes",PlanterYesMe="y"),"Edison install:","to install:"))))))))))</f>
        <v/>
      </c>
      <c r="AC2516" s="712" t="str">
        <f>IF(AE2516="T2G","no charge",IF(AND(OR(PlanterYesMe="No",PlanterYesMe="N",PlanterYesMe="me"),H2516=""),"",IF(H2516="credit","NO install",IF(AND(K2516="",AE2516="me"),"EACH row",IF(AND(K2516="images",AE2516="me"),"EACH row",IF(D2516="","",IF(H2516="credit","",IF(AE2516="free","re-planting",IF(AE2516="me","   not ELP, by",IF(AND(OR(PlanterYesMe="Yes",PlanterYesMe="Y"),G2516&gt;0),(VLOOKUP(A2516,'Discount Lookup'!J:K,2)*G2516*(1-PlanterDiscount)*(1+PlanterDifficultyPercentage)),IF(AE2516="ELP",(VLOOKUP(A2516,'Discount Lookup'!J:K,2)*G2516*(1-PlanterDiscount)*(1+PlanterDifficultyPercentage)),IF(AE2516="free","re-planting",IF(G2516=0,"",IF(PlanterYesMe="",IF(AE2516="me","   not ELP, by",IF(AE2516="",IF(G2516&gt;0,(VLOOKUP(A2516,'Discount Lookup'!J:K,2)*G2516*(1-PlanterDiscount)*(1+PlanterDifficultyPercentage)),""),"")),"   not ELP, by"))))))))))))))</f>
        <v/>
      </c>
      <c r="AD2516" s="712"/>
      <c r="AE2516" s="513" t="str">
        <f t="shared" ref="AE2516:AE2579" si="1888">IF(H2516="credit","",IF(G2516=0,"",IF(OR(PlanterYesMe="No",PlanterYesMe="N",PlanterYesMe="me"),"me",IF(H2516="warranty","free",IF(OR(PlanterYesMe="yes",PlanterYesMe="y"),"ELP","")))))</f>
        <v/>
      </c>
      <c r="AF2516" s="713" t="str">
        <f t="shared" ref="AF2516:AF2579" si="1889">IF(OR(PlanterYesMe="No",PlanterYesMe="N",PlanterYesMe="me"),"",IF(H2516="credit","",IF(G2516&gt;0,(CONCATENATE((G2516)," quantity, ",(A2516)," ",B2516)),"")))</f>
        <v/>
      </c>
      <c r="AG2516" s="713"/>
      <c r="AH2516" s="713"/>
      <c r="AI2516" s="112">
        <f>IF(H2516="credit",0,IF(AE2516="free",0,IF(AE2516="me",0,IF(G2516&gt;0,(VLOOKUP(A2516,'Discount Lookup'!J:K,2)*G2516),0))))</f>
        <v>0</v>
      </c>
      <c r="AJ2516" s="107" t="str">
        <f t="shared" ref="AJ2516:AJ2579" ca="1" si="1890">IF(AND(ISREF(H2516),H2516="credit"),"",IF(AND(AND(OFFSET(G2516,0,0)=0,OFFSET(G2516,1,0)&gt;0,ISNUMBER(OFFSET(AC2516,1,0)),OFFSET(AC2516,1,0)&gt;0),OR(PlanterYesMe="yes",PlanterYesMe="y")),"T2G+ELP=",IF(AND(OFFSET(G2516,0,0)=0,OFFSET(G2516,1,0)&gt;0,ISNUMBER(OFFSET(AC2516,1,0)),OFFSET(AC2516,1,0)&gt;0),"if T2G+ELP=",IF(AND(OFFSET(G2516,0,0)=0,OFFSET(G2516,1,0)&gt;0),"T2G Subtotal",IF(H2516="credit","",IF(G2516=0,"",IF(AE2516="free",(K2516*(1-T2GDiscount)),IF(OR(PlanterYesMe="No",PlanterYesMe="N",PlanterYesMe="me"),(K2516*(1-T2GDiscount)),IF(OR(AE2516="me",AE2516="T2G"),(K2516*(1-T2GDiscount)),(K2516*(1-T2GDiscount))+AC2516)))))))))</f>
        <v/>
      </c>
      <c r="AK2516" s="714" t="str">
        <f t="shared" ref="AK2516:AK2579" si="1891">IF(H2516="credit","",IF(G2516=0,"",IF(OR(AE2516="me",AE2516="T2G"),"  delivery-only",IF(OR(PlanterYesMe="No",PlanterYesMe="N",PlanterYesMe="me"),"  delivery-only",CONCATENATE(" $",ROUND(AJ2516/G2516,2)," each")))))</f>
        <v/>
      </c>
      <c r="AL2516" s="714"/>
      <c r="AM2516" s="114" t="str">
        <f t="shared" ref="AM2516:AM2579" si="1892">IF(H2516="credit","",IF(AE2516="free","      ~ discounts included, no tax or planting fee applies ~",IF(G2516=0,"",IF(OR(PlanterYesMe="No",PlanterYesMe="N",PlanterYesMe="me"),CONCATENATE(" $",ROUND(AJ2516/G2516,2)," per plant, with tax &amp; discount"),IF(OR(AE2516="me",AE2516="T2G"),CONCATENATE(" $",ROUND(AJ2516/G2516,2)," per plant, with tax &amp; discount"),CONCATENATE("= $",ROUND((K2516*(1-T2GDiscount))/G2516,2)," per plant + $",AC2516/G2516,(" per planting      ~ includes tax &amp; discounts ~")))))))</f>
        <v/>
      </c>
      <c r="AN2516" s="115"/>
      <c r="AO2516" s="116"/>
      <c r="AP2516" s="116"/>
      <c r="AQ2516" s="116"/>
      <c r="AR2516" s="116"/>
      <c r="AS2516" s="116"/>
      <c r="AT2516" s="116"/>
      <c r="AU2516" s="116"/>
      <c r="AV2516" s="78"/>
      <c r="AW2516" s="102"/>
      <c r="AX2516" s="78"/>
      <c r="AY2516" s="78"/>
      <c r="AZ2516" s="78"/>
      <c r="BA2516" s="78"/>
      <c r="BB2516" s="78"/>
      <c r="BC2516" s="78"/>
      <c r="BD2516" s="78"/>
      <c r="BE2516" s="465"/>
      <c r="BF2516" s="165" t="str">
        <f t="shared" ref="BF2516:BF2579" si="1893">"https://www.google.com/search?tbm=isch&amp;q=" &amp; _xlfn.ENCODEURL($A2516 &amp; " " &amp; $D2516)</f>
        <v>https://www.google.com/search?tbm=isch&amp;q=7%20G4</v>
      </c>
      <c r="BG2516" s="165" t="str">
        <f t="shared" ref="BG2516:BG2579" si="1894">IF(ISTEXT(A2516),LEFT(A2516,1),BG2515)</f>
        <v>L</v>
      </c>
      <c r="BH2516" s="65"/>
      <c r="BI2516" s="65"/>
      <c r="BJ2516" s="65"/>
      <c r="BK2516" s="65"/>
      <c r="BL2516" s="99"/>
      <c r="BM2516" s="99"/>
      <c r="BN2516" s="99"/>
    </row>
    <row r="2517" spans="1:66" s="51" customFormat="1" ht="17.25" thickBot="1" x14ac:dyDescent="0.3">
      <c r="A2517" s="641" t="s">
        <v>3177</v>
      </c>
      <c r="B2517" s="642"/>
      <c r="C2517" s="710"/>
      <c r="D2517" s="643"/>
      <c r="E2517" s="643"/>
      <c r="F2517" s="644"/>
      <c r="G2517" s="645"/>
      <c r="H2517" s="646"/>
      <c r="I2517" s="647"/>
      <c r="J2517" s="648"/>
      <c r="K2517" s="649"/>
      <c r="L2517" s="650"/>
      <c r="M2517" s="650"/>
      <c r="N2517" s="644"/>
      <c r="O2517" s="644"/>
      <c r="P2517" s="644"/>
      <c r="Q2517" s="644"/>
      <c r="R2517" s="644"/>
      <c r="S2517" s="651"/>
      <c r="T2517" s="102">
        <f t="shared" si="1882"/>
        <v>0</v>
      </c>
      <c r="U2517" s="78" t="str">
        <f>IF(NOT(ISNUMBER(G2517)), "", VLOOKUP(A2517,'Discount Lookup'!D:E,2,FALSE)*G2517)</f>
        <v/>
      </c>
      <c r="V2517" s="78" t="str">
        <f>IF(NOT(ISNUMBER(G2517)), "", VLOOKUP(A2517,'Discount Lookup'!G:H,2,FALSE)*G2517)</f>
        <v/>
      </c>
      <c r="W2517" s="102">
        <f t="shared" si="1883"/>
        <v>0</v>
      </c>
      <c r="X2517" s="102">
        <f t="shared" si="1884"/>
        <v>0</v>
      </c>
      <c r="Y2517" s="120" t="b">
        <f t="shared" si="1885"/>
        <v>0</v>
      </c>
      <c r="Z2517" s="117">
        <f t="shared" si="1886"/>
        <v>0</v>
      </c>
      <c r="AA2517" s="118"/>
      <c r="AB2517" s="118" t="str">
        <f t="shared" si="1887"/>
        <v/>
      </c>
      <c r="AC2517" s="712" t="str">
        <f>IF(AE2517="T2G","no charge",IF(AND(OR(PlanterYesMe="No",PlanterYesMe="N",PlanterYesMe="me"),H2517=""),"",IF(H2517="credit","NO install",IF(AND(K2517="",AE2517="me"),"EACH row",IF(AND(K2517="images",AE2517="me"),"EACH row",IF(D2517="","",IF(H2517="credit","",IF(AE2517="free","re-planting",IF(AE2517="me","   not ELP, by",IF(AND(OR(PlanterYesMe="Yes",PlanterYesMe="Y"),G2517&gt;0),(VLOOKUP(A2517,'Discount Lookup'!J:K,2)*G2517*(1-PlanterDiscount)*(1+PlanterDifficultyPercentage)),IF(AE2517="ELP",(VLOOKUP(A2517,'Discount Lookup'!J:K,2)*G2517*(1-PlanterDiscount)*(1+PlanterDifficultyPercentage)),IF(AE2517="free","re-planting",IF(G2517=0,"",IF(PlanterYesMe="",IF(AE2517="me","   not ELP, by",IF(AE2517="",IF(G2517&gt;0,(VLOOKUP(A2517,'Discount Lookup'!J:K,2)*G2517*(1-PlanterDiscount)*(1+PlanterDifficultyPercentage)),""),"")),"   not ELP, by"))))))))))))))</f>
        <v/>
      </c>
      <c r="AD2517" s="712"/>
      <c r="AE2517" s="513" t="str">
        <f t="shared" si="1888"/>
        <v/>
      </c>
      <c r="AF2517" s="713" t="str">
        <f t="shared" si="1889"/>
        <v/>
      </c>
      <c r="AG2517" s="713"/>
      <c r="AH2517" s="713"/>
      <c r="AI2517" s="112">
        <f>IF(H2517="credit",0,IF(AE2517="free",0,IF(AE2517="me",0,IF(G2517&gt;0,(VLOOKUP(A2517,'Discount Lookup'!J:K,2)*G2517),0))))</f>
        <v>0</v>
      </c>
      <c r="AJ2517" s="107" t="str">
        <f t="shared" ca="1" si="1890"/>
        <v/>
      </c>
      <c r="AK2517" s="714" t="str">
        <f t="shared" si="1891"/>
        <v/>
      </c>
      <c r="AL2517" s="714"/>
      <c r="AM2517" s="114" t="str">
        <f t="shared" si="1892"/>
        <v/>
      </c>
      <c r="AN2517" s="115"/>
      <c r="AO2517" s="116"/>
      <c r="AP2517" s="116"/>
      <c r="AQ2517" s="116"/>
      <c r="AR2517" s="116"/>
      <c r="AS2517" s="116"/>
      <c r="AT2517" s="116"/>
      <c r="AU2517" s="116"/>
      <c r="AV2517" s="78"/>
      <c r="AW2517" s="102"/>
      <c r="AX2517" s="78"/>
      <c r="AY2517" s="78"/>
      <c r="AZ2517" s="78"/>
      <c r="BA2517" s="78"/>
      <c r="BB2517" s="78"/>
      <c r="BC2517" s="78"/>
      <c r="BD2517" s="78"/>
      <c r="BE2517" s="465"/>
      <c r="BF2517" s="165" t="str">
        <f t="shared" si="1893"/>
        <v>https://www.google.com/search?tbm=isch&amp;q=Shell%20Pink%20is%20a%20Black%20Diamond%20brand%2C%20named%20for%20the%20Dark%20Purple%20bloom%2C%20almost%20black%20foliage%20</v>
      </c>
      <c r="BG2517" s="165" t="str">
        <f t="shared" si="1894"/>
        <v>S</v>
      </c>
      <c r="BH2517" s="65"/>
      <c r="BI2517" s="65"/>
      <c r="BJ2517" s="65"/>
      <c r="BK2517" s="65"/>
      <c r="BL2517" s="99"/>
      <c r="BM2517" s="99"/>
      <c r="BN2517" s="99"/>
    </row>
    <row r="2518" spans="1:66" s="51" customFormat="1" ht="18" x14ac:dyDescent="0.25">
      <c r="A2518" s="623" t="s">
        <v>3178</v>
      </c>
      <c r="B2518" s="624"/>
      <c r="C2518" s="709"/>
      <c r="D2518" s="625" t="s">
        <v>3179</v>
      </c>
      <c r="E2518" s="626"/>
      <c r="F2518" s="626"/>
      <c r="G2518" s="626"/>
      <c r="H2518" s="622" t="s">
        <v>333</v>
      </c>
      <c r="I2518" s="627" t="s">
        <v>3180</v>
      </c>
      <c r="J2518" s="628"/>
      <c r="K2518" s="628"/>
      <c r="L2518" s="629"/>
      <c r="M2518" s="700" t="s">
        <v>5241</v>
      </c>
      <c r="N2518" s="693" t="str">
        <f>IF(AND(ISTEXT($A2518), ISERROR($A2518+0)), HYPERLINK($BF2518, "Images"), "")</f>
        <v>Images</v>
      </c>
      <c r="O2518" s="695" t="s">
        <v>5247</v>
      </c>
      <c r="P2518" s="630"/>
      <c r="Q2518" s="631"/>
      <c r="R2518" s="632"/>
      <c r="S2518" s="633"/>
      <c r="T2518" s="102">
        <f t="shared" si="1882"/>
        <v>0</v>
      </c>
      <c r="U2518" s="78" t="str">
        <f>IF(NOT(ISNUMBER(G2518)), "", VLOOKUP(A2518,'Discount Lookup'!D:E,2,FALSE)*G2518)</f>
        <v/>
      </c>
      <c r="V2518" s="78" t="str">
        <f>IF(NOT(ISNUMBER(G2518)), "", VLOOKUP(A2518,'Discount Lookup'!G:H,2,FALSE)*G2518)</f>
        <v/>
      </c>
      <c r="W2518" s="102">
        <f t="shared" si="1883"/>
        <v>0</v>
      </c>
      <c r="X2518" s="102" t="str">
        <f t="shared" si="1884"/>
        <v>Dark Purple bloom</v>
      </c>
      <c r="Y2518" s="120" t="b">
        <f t="shared" si="1885"/>
        <v>0</v>
      </c>
      <c r="Z2518" s="117">
        <f t="shared" si="1886"/>
        <v>0</v>
      </c>
      <c r="AA2518" s="118"/>
      <c r="AB2518" s="118" t="str">
        <f t="shared" si="1887"/>
        <v/>
      </c>
      <c r="AC2518" s="712" t="str">
        <f>IF(AE2518="T2G","no charge",IF(AND(OR(PlanterYesMe="No",PlanterYesMe="N",PlanterYesMe="me"),H2518=""),"",IF(H2518="credit","NO install",IF(AND(K2518="",AE2518="me"),"EACH row",IF(AND(K2518="images",AE2518="me"),"EACH row",IF(D2518="","",IF(H2518="credit","",IF(AE2518="free","re-planting",IF(AE2518="me","   not ELP, by",IF(AND(OR(PlanterYesMe="Yes",PlanterYesMe="Y"),G2518&gt;0),(VLOOKUP(A2518,'Discount Lookup'!J:K,2)*G2518*(1-PlanterDiscount)*(1+PlanterDifficultyPercentage)),IF(AE2518="ELP",(VLOOKUP(A2518,'Discount Lookup'!J:K,2)*G2518*(1-PlanterDiscount)*(1+PlanterDifficultyPercentage)),IF(AE2518="free","re-planting",IF(G2518=0,"",IF(PlanterYesMe="",IF(AE2518="me","   not ELP, by",IF(AE2518="",IF(G2518&gt;0,(VLOOKUP(A2518,'Discount Lookup'!J:K,2)*G2518*(1-PlanterDiscount)*(1+PlanterDifficultyPercentage)),""),"")),"   not ELP, by"))))))))))))))</f>
        <v/>
      </c>
      <c r="AD2518" s="712"/>
      <c r="AE2518" s="513" t="str">
        <f t="shared" si="1888"/>
        <v/>
      </c>
      <c r="AF2518" s="713" t="str">
        <f t="shared" si="1889"/>
        <v/>
      </c>
      <c r="AG2518" s="713"/>
      <c r="AH2518" s="713"/>
      <c r="AI2518" s="112">
        <f>IF(H2518="credit",0,IF(AE2518="free",0,IF(AE2518="me",0,IF(G2518&gt;0,(VLOOKUP(A2518,'Discount Lookup'!J:K,2)*G2518),0))))</f>
        <v>0</v>
      </c>
      <c r="AJ2518" s="107" t="str">
        <f t="shared" ca="1" si="1890"/>
        <v/>
      </c>
      <c r="AK2518" s="714" t="str">
        <f t="shared" si="1891"/>
        <v/>
      </c>
      <c r="AL2518" s="714"/>
      <c r="AM2518" s="114" t="str">
        <f t="shared" si="1892"/>
        <v/>
      </c>
      <c r="AN2518" s="115"/>
      <c r="AO2518" s="116"/>
      <c r="AP2518" s="116"/>
      <c r="AQ2518" s="116"/>
      <c r="AR2518" s="116"/>
      <c r="AS2518" s="116"/>
      <c r="AT2518" s="116"/>
      <c r="AU2518" s="116"/>
      <c r="AV2518" s="78"/>
      <c r="AW2518" s="102"/>
      <c r="AX2518" s="78"/>
      <c r="AY2518" s="78"/>
      <c r="AZ2518" s="78"/>
      <c r="BA2518" s="78"/>
      <c r="BB2518" s="78"/>
      <c r="BC2518" s="78"/>
      <c r="BD2518" s="78"/>
      <c r="BE2518" s="465"/>
      <c r="BF2518" s="165" t="str">
        <f t="shared" si="1893"/>
        <v>https://www.google.com/search?tbm=isch&amp;q=Lagerstroemia%20indica%20%27Catawba%27%20Catawba%20Crape%20Myrtle</v>
      </c>
      <c r="BG2518" s="165" t="str">
        <f t="shared" si="1894"/>
        <v>L</v>
      </c>
      <c r="BH2518" s="65"/>
      <c r="BI2518" s="65"/>
      <c r="BJ2518" s="65"/>
      <c r="BK2518" s="65"/>
      <c r="BL2518" s="99"/>
      <c r="BM2518" s="99"/>
      <c r="BN2518" s="99"/>
    </row>
    <row r="2519" spans="1:66" s="51" customFormat="1" ht="15.75" x14ac:dyDescent="0.25">
      <c r="A2519" s="634">
        <v>7</v>
      </c>
      <c r="B2519" s="635" t="s">
        <v>291</v>
      </c>
      <c r="C2519" s="636" t="s">
        <v>3181</v>
      </c>
      <c r="D2519" s="637" t="s">
        <v>309</v>
      </c>
      <c r="E2519" s="638">
        <v>68.95</v>
      </c>
      <c r="F2519" s="639" t="s">
        <v>292</v>
      </c>
      <c r="G2519" s="484">
        <v>0</v>
      </c>
      <c r="H2519" s="691" t="str">
        <f>IF(G2519=0,"",IF(F2519="Buy",IF(G2519=1,"plant","plants"),IF(F2519&gt;0.01,"warranty","Error")))</f>
        <v/>
      </c>
      <c r="I2519" s="640">
        <f>IF(H2519="free",0,IF(H2519="credit",((E2519*(F2519))*G2519*-1),IF(F2519="Buy",(E2519*G2519),((E2519*(1-F2519))*G2519))))</f>
        <v>0</v>
      </c>
      <c r="J2519" s="640">
        <f>IF(H2519="warranty",0,(I2519*(_xlfn.SINGLE(SalesTaxPercentage))))</f>
        <v>0</v>
      </c>
      <c r="K2519" s="716">
        <f t="shared" ref="K2519" si="1895">I2519+J2519</f>
        <v>0</v>
      </c>
      <c r="L2519" s="716"/>
      <c r="M2519" s="689" t="str">
        <f ca="1">IF(AND(G2519&gt;0,E2519=0),"WARNING - no PRICE inserted",IF(H2519="free","FREE ~ no charge this plant",IF(H2519="credit",CONCATENATE("-$",ROUND(K2519*(1-_xlfn.SINGLE(T2GDiscount))*-1,2)," CREDIT after discount"),IF(_xlfn.SINGLE(T2GDiscount)=0,"",IF(G2519=0,"",IF(F2519="Buy",CONCATENATE("$",ROUND(K2519*(1-_xlfn.SINGLE(T2GDiscount)),2)," with ",(_xlfn.SINGLE(T2GDiscount)*100),"% discount"),CONCATENATE("$",ROUND(K2519*(1-_xlfn.SINGLE(T2GDiscount)),2)," with ",((_xlfn.SINGLE(T2GDiscount)*100+F2519*100)-(_xlfn.SINGLE(T2GDiscount)*100*F2519)),IF(F2519&gt;0,"% discounts",IF(_xlfn.SINGLE(NoWarrantyDiscount)&gt;0,"% discounts","% discount")))))))))</f>
        <v/>
      </c>
      <c r="N2519" s="690"/>
      <c r="O2519" s="486"/>
      <c r="P2519" s="486"/>
      <c r="Q2519" s="486"/>
      <c r="R2519" s="486"/>
      <c r="S2519" s="486"/>
      <c r="T2519" s="102">
        <f t="shared" si="1882"/>
        <v>0</v>
      </c>
      <c r="U2519" s="78">
        <f>IF(NOT(ISNUMBER(G2519)), "", VLOOKUP(A2519,'Discount Lookup'!D:E,2,FALSE)*G2519)</f>
        <v>0</v>
      </c>
      <c r="V2519" s="78">
        <f>IF(NOT(ISNUMBER(G2519)), "", VLOOKUP(A2519,'Discount Lookup'!G:H,2,FALSE)*G2519)</f>
        <v>0</v>
      </c>
      <c r="W2519" s="102">
        <f t="shared" si="1883"/>
        <v>0</v>
      </c>
      <c r="X2519" s="102">
        <f t="shared" si="1884"/>
        <v>0</v>
      </c>
      <c r="Y2519" s="120" t="b">
        <f t="shared" si="1885"/>
        <v>0</v>
      </c>
      <c r="Z2519" s="117">
        <f t="shared" si="1886"/>
        <v>0</v>
      </c>
      <c r="AA2519" s="118"/>
      <c r="AB2519" s="118" t="str">
        <f t="shared" si="1887"/>
        <v/>
      </c>
      <c r="AC2519" s="712" t="str">
        <f>IF(AE2519="T2G","no charge",IF(AND(OR(PlanterYesMe="No",PlanterYesMe="N",PlanterYesMe="me"),H2519=""),"",IF(H2519="credit","NO install",IF(AND(K2519="",AE2519="me"),"EACH row",IF(AND(K2519="images",AE2519="me"),"EACH row",IF(D2519="","",IF(H2519="credit","",IF(AE2519="free","re-planting",IF(AE2519="me","   not ELP, by",IF(AND(OR(PlanterYesMe="Yes",PlanterYesMe="Y"),G2519&gt;0),(VLOOKUP(A2519,'Discount Lookup'!J:K,2)*G2519*(1-PlanterDiscount)*(1+PlanterDifficultyPercentage)),IF(AE2519="ELP",(VLOOKUP(A2519,'Discount Lookup'!J:K,2)*G2519*(1-PlanterDiscount)*(1+PlanterDifficultyPercentage)),IF(AE2519="free","re-planting",IF(G2519=0,"",IF(PlanterYesMe="",IF(AE2519="me","   not ELP, by",IF(AE2519="",IF(G2519&gt;0,(VLOOKUP(A2519,'Discount Lookup'!J:K,2)*G2519*(1-PlanterDiscount)*(1+PlanterDifficultyPercentage)),""),"")),"   not ELP, by"))))))))))))))</f>
        <v/>
      </c>
      <c r="AD2519" s="712"/>
      <c r="AE2519" s="513" t="str">
        <f t="shared" si="1888"/>
        <v/>
      </c>
      <c r="AF2519" s="713" t="str">
        <f t="shared" si="1889"/>
        <v/>
      </c>
      <c r="AG2519" s="713"/>
      <c r="AH2519" s="713"/>
      <c r="AI2519" s="112">
        <f>IF(H2519="credit",0,IF(AE2519="free",0,IF(AE2519="me",0,IF(G2519&gt;0,(VLOOKUP(A2519,'Discount Lookup'!J:K,2)*G2519),0))))</f>
        <v>0</v>
      </c>
      <c r="AJ2519" s="107" t="str">
        <f t="shared" ca="1" si="1890"/>
        <v/>
      </c>
      <c r="AK2519" s="714" t="str">
        <f t="shared" si="1891"/>
        <v/>
      </c>
      <c r="AL2519" s="714"/>
      <c r="AM2519" s="114" t="str">
        <f t="shared" si="1892"/>
        <v/>
      </c>
      <c r="AN2519" s="115"/>
      <c r="AO2519" s="116"/>
      <c r="AP2519" s="116"/>
      <c r="AQ2519" s="116"/>
      <c r="AR2519" s="116"/>
      <c r="AS2519" s="116"/>
      <c r="AT2519" s="116"/>
      <c r="AU2519" s="116"/>
      <c r="AV2519" s="78"/>
      <c r="AW2519" s="102"/>
      <c r="AX2519" s="78"/>
      <c r="AY2519" s="78"/>
      <c r="AZ2519" s="78"/>
      <c r="BA2519" s="78"/>
      <c r="BB2519" s="78"/>
      <c r="BC2519" s="78"/>
      <c r="BD2519" s="78"/>
      <c r="BE2519" s="465"/>
      <c r="BF2519" s="165" t="str">
        <f t="shared" si="1893"/>
        <v>https://www.google.com/search?tbm=isch&amp;q=7%20G3</v>
      </c>
      <c r="BG2519" s="165" t="str">
        <f t="shared" si="1894"/>
        <v>L</v>
      </c>
      <c r="BH2519" s="65"/>
      <c r="BI2519" s="65"/>
      <c r="BJ2519" s="65"/>
      <c r="BK2519" s="65"/>
      <c r="BL2519" s="99"/>
      <c r="BM2519" s="99"/>
      <c r="BN2519" s="99"/>
    </row>
    <row r="2520" spans="1:66" s="51" customFormat="1" ht="15.75" x14ac:dyDescent="0.25">
      <c r="A2520" s="634">
        <v>10</v>
      </c>
      <c r="B2520" s="635" t="s">
        <v>291</v>
      </c>
      <c r="C2520" s="636" t="s">
        <v>3182</v>
      </c>
      <c r="D2520" s="637" t="s">
        <v>309</v>
      </c>
      <c r="E2520" s="638">
        <v>83.95</v>
      </c>
      <c r="F2520" s="639" t="s">
        <v>292</v>
      </c>
      <c r="G2520" s="484">
        <v>0</v>
      </c>
      <c r="H2520" s="691" t="str">
        <f>IF(G2520=0,"",IF(F2520="Buy",IF(G2520=1,"plant","plants"),IF(F2520&gt;0.01,"warranty","Error")))</f>
        <v/>
      </c>
      <c r="I2520" s="640">
        <f>IF(H2520="free",0,IF(H2520="credit",((E2520*(F2520))*G2520*-1),IF(F2520="Buy",(E2520*G2520),((E2520*(1-F2520))*G2520))))</f>
        <v>0</v>
      </c>
      <c r="J2520" s="640">
        <f>IF(H2520="warranty",0,(I2520*(_xlfn.SINGLE(SalesTaxPercentage))))</f>
        <v>0</v>
      </c>
      <c r="K2520" s="716">
        <f t="shared" ref="K2520" si="1896">I2520+J2520</f>
        <v>0</v>
      </c>
      <c r="L2520" s="716"/>
      <c r="M2520" s="689" t="str">
        <f ca="1">IF(AND(G2520&gt;0,E2520=0),"WARNING - no PRICE inserted",IF(H2520="free","FREE ~ no charge this plant",IF(H2520="credit",CONCATENATE("-$",ROUND(K2520*(1-_xlfn.SINGLE(T2GDiscount))*-1,2)," CREDIT after discount"),IF(_xlfn.SINGLE(T2GDiscount)=0,"",IF(G2520=0,"",IF(F2520="Buy",CONCATENATE("$",ROUND(K2520*(1-_xlfn.SINGLE(T2GDiscount)),2)," with ",(_xlfn.SINGLE(T2GDiscount)*100),"% discount"),CONCATENATE("$",ROUND(K2520*(1-_xlfn.SINGLE(T2GDiscount)),2)," with ",((_xlfn.SINGLE(T2GDiscount)*100+F2520*100)-(_xlfn.SINGLE(T2GDiscount)*100*F2520)),IF(F2520&gt;0,"% discounts",IF(_xlfn.SINGLE(NoWarrantyDiscount)&gt;0,"% discounts","% discount")))))))))</f>
        <v/>
      </c>
      <c r="N2520" s="690"/>
      <c r="O2520" s="486"/>
      <c r="P2520" s="486"/>
      <c r="Q2520" s="486"/>
      <c r="R2520" s="486"/>
      <c r="S2520" s="486"/>
      <c r="T2520" s="102">
        <f t="shared" si="1882"/>
        <v>0</v>
      </c>
      <c r="U2520" s="78">
        <f>IF(NOT(ISNUMBER(G2520)), "", VLOOKUP(A2520,'Discount Lookup'!D:E,2,FALSE)*G2520)</f>
        <v>0</v>
      </c>
      <c r="V2520" s="78">
        <f>IF(NOT(ISNUMBER(G2520)), "", VLOOKUP(A2520,'Discount Lookup'!G:H,2,FALSE)*G2520)</f>
        <v>0</v>
      </c>
      <c r="W2520" s="102">
        <f t="shared" si="1883"/>
        <v>0</v>
      </c>
      <c r="X2520" s="102">
        <f t="shared" si="1884"/>
        <v>0</v>
      </c>
      <c r="Y2520" s="120" t="b">
        <f t="shared" si="1885"/>
        <v>0</v>
      </c>
      <c r="Z2520" s="117">
        <f t="shared" si="1886"/>
        <v>0</v>
      </c>
      <c r="AA2520" s="118"/>
      <c r="AB2520" s="118" t="str">
        <f t="shared" si="1887"/>
        <v/>
      </c>
      <c r="AC2520" s="712" t="str">
        <f>IF(AE2520="T2G","no charge",IF(AND(OR(PlanterYesMe="No",PlanterYesMe="N",PlanterYesMe="me"),H2520=""),"",IF(H2520="credit","NO install",IF(AND(K2520="",AE2520="me"),"EACH row",IF(AND(K2520="images",AE2520="me"),"EACH row",IF(D2520="","",IF(H2520="credit","",IF(AE2520="free","re-planting",IF(AE2520="me","   not ELP, by",IF(AND(OR(PlanterYesMe="Yes",PlanterYesMe="Y"),G2520&gt;0),(VLOOKUP(A2520,'Discount Lookup'!J:K,2)*G2520*(1-PlanterDiscount)*(1+PlanterDifficultyPercentage)),IF(AE2520="ELP",(VLOOKUP(A2520,'Discount Lookup'!J:K,2)*G2520*(1-PlanterDiscount)*(1+PlanterDifficultyPercentage)),IF(AE2520="free","re-planting",IF(G2520=0,"",IF(PlanterYesMe="",IF(AE2520="me","   not ELP, by",IF(AE2520="",IF(G2520&gt;0,(VLOOKUP(A2520,'Discount Lookup'!J:K,2)*G2520*(1-PlanterDiscount)*(1+PlanterDifficultyPercentage)),""),"")),"   not ELP, by"))))))))))))))</f>
        <v/>
      </c>
      <c r="AD2520" s="712"/>
      <c r="AE2520" s="513" t="str">
        <f t="shared" si="1888"/>
        <v/>
      </c>
      <c r="AF2520" s="713" t="str">
        <f t="shared" si="1889"/>
        <v/>
      </c>
      <c r="AG2520" s="713"/>
      <c r="AH2520" s="713"/>
      <c r="AI2520" s="112">
        <f>IF(H2520="credit",0,IF(AE2520="free",0,IF(AE2520="me",0,IF(G2520&gt;0,(VLOOKUP(A2520,'Discount Lookup'!J:K,2)*G2520),0))))</f>
        <v>0</v>
      </c>
      <c r="AJ2520" s="107" t="str">
        <f t="shared" ca="1" si="1890"/>
        <v/>
      </c>
      <c r="AK2520" s="714" t="str">
        <f t="shared" si="1891"/>
        <v/>
      </c>
      <c r="AL2520" s="714"/>
      <c r="AM2520" s="114" t="str">
        <f t="shared" si="1892"/>
        <v/>
      </c>
      <c r="AN2520" s="115"/>
      <c r="AO2520" s="116"/>
      <c r="AP2520" s="116"/>
      <c r="AQ2520" s="116"/>
      <c r="AR2520" s="116"/>
      <c r="AS2520" s="116"/>
      <c r="AT2520" s="116"/>
      <c r="AU2520" s="116"/>
      <c r="AV2520" s="78"/>
      <c r="AW2520" s="102"/>
      <c r="AX2520" s="78"/>
      <c r="AY2520" s="78"/>
      <c r="AZ2520" s="78"/>
      <c r="BA2520" s="78"/>
      <c r="BB2520" s="78"/>
      <c r="BC2520" s="78"/>
      <c r="BD2520" s="78"/>
      <c r="BE2520" s="465"/>
      <c r="BF2520" s="165" t="str">
        <f t="shared" si="1893"/>
        <v>https://www.google.com/search?tbm=isch&amp;q=10%20G3</v>
      </c>
      <c r="BG2520" s="165" t="str">
        <f t="shared" si="1894"/>
        <v>L</v>
      </c>
      <c r="BH2520" s="65"/>
      <c r="BI2520" s="65"/>
      <c r="BJ2520" s="65"/>
      <c r="BK2520" s="65"/>
      <c r="BL2520" s="99"/>
      <c r="BM2520" s="99"/>
      <c r="BN2520" s="99"/>
    </row>
    <row r="2521" spans="1:66" s="51" customFormat="1" ht="17.25" thickBot="1" x14ac:dyDescent="0.3">
      <c r="A2521" s="641" t="s">
        <v>3183</v>
      </c>
      <c r="B2521" s="642"/>
      <c r="C2521" s="710"/>
      <c r="D2521" s="643"/>
      <c r="E2521" s="643"/>
      <c r="F2521" s="644"/>
      <c r="G2521" s="645"/>
      <c r="H2521" s="646"/>
      <c r="I2521" s="647"/>
      <c r="J2521" s="648"/>
      <c r="K2521" s="649"/>
      <c r="L2521" s="650"/>
      <c r="M2521" s="650"/>
      <c r="N2521" s="644"/>
      <c r="O2521" s="644"/>
      <c r="P2521" s="644"/>
      <c r="Q2521" s="644"/>
      <c r="R2521" s="644"/>
      <c r="S2521" s="651"/>
      <c r="T2521" s="102">
        <f t="shared" si="1882"/>
        <v>0</v>
      </c>
      <c r="U2521" s="78" t="str">
        <f>IF(NOT(ISNUMBER(G2521)), "", VLOOKUP(A2521,'Discount Lookup'!D:E,2,FALSE)*G2521)</f>
        <v/>
      </c>
      <c r="V2521" s="78" t="str">
        <f>IF(NOT(ISNUMBER(G2521)), "", VLOOKUP(A2521,'Discount Lookup'!G:H,2,FALSE)*G2521)</f>
        <v/>
      </c>
      <c r="W2521" s="102">
        <f t="shared" si="1883"/>
        <v>0</v>
      </c>
      <c r="X2521" s="102">
        <f t="shared" si="1884"/>
        <v>0</v>
      </c>
      <c r="Y2521" s="120" t="b">
        <f t="shared" si="1885"/>
        <v>0</v>
      </c>
      <c r="Z2521" s="117">
        <f t="shared" si="1886"/>
        <v>0</v>
      </c>
      <c r="AA2521" s="118"/>
      <c r="AB2521" s="118" t="str">
        <f t="shared" si="1887"/>
        <v/>
      </c>
      <c r="AC2521" s="712" t="str">
        <f>IF(AE2521="T2G","no charge",IF(AND(OR(PlanterYesMe="No",PlanterYesMe="N",PlanterYesMe="me"),H2521=""),"",IF(H2521="credit","NO install",IF(AND(K2521="",AE2521="me"),"EACH row",IF(AND(K2521="images",AE2521="me"),"EACH row",IF(D2521="","",IF(H2521="credit","",IF(AE2521="free","re-planting",IF(AE2521="me","   not ELP, by",IF(AND(OR(PlanterYesMe="Yes",PlanterYesMe="Y"),G2521&gt;0),(VLOOKUP(A2521,'Discount Lookup'!J:K,2)*G2521*(1-PlanterDiscount)*(1+PlanterDifficultyPercentage)),IF(AE2521="ELP",(VLOOKUP(A2521,'Discount Lookup'!J:K,2)*G2521*(1-PlanterDiscount)*(1+PlanterDifficultyPercentage)),IF(AE2521="free","re-planting",IF(G2521=0,"",IF(PlanterYesMe="",IF(AE2521="me","   not ELP, by",IF(AE2521="",IF(G2521&gt;0,(VLOOKUP(A2521,'Discount Lookup'!J:K,2)*G2521*(1-PlanterDiscount)*(1+PlanterDifficultyPercentage)),""),"")),"   not ELP, by"))))))))))))))</f>
        <v/>
      </c>
      <c r="AD2521" s="712"/>
      <c r="AE2521" s="513" t="str">
        <f t="shared" si="1888"/>
        <v/>
      </c>
      <c r="AF2521" s="713" t="str">
        <f t="shared" si="1889"/>
        <v/>
      </c>
      <c r="AG2521" s="713"/>
      <c r="AH2521" s="713"/>
      <c r="AI2521" s="112">
        <f>IF(H2521="credit",0,IF(AE2521="free",0,IF(AE2521="me",0,IF(G2521&gt;0,(VLOOKUP(A2521,'Discount Lookup'!J:K,2)*G2521),0))))</f>
        <v>0</v>
      </c>
      <c r="AJ2521" s="107" t="str">
        <f t="shared" ca="1" si="1890"/>
        <v/>
      </c>
      <c r="AK2521" s="714" t="str">
        <f t="shared" si="1891"/>
        <v/>
      </c>
      <c r="AL2521" s="714"/>
      <c r="AM2521" s="114" t="str">
        <f t="shared" si="1892"/>
        <v/>
      </c>
      <c r="AN2521" s="115"/>
      <c r="AO2521" s="116"/>
      <c r="AP2521" s="116"/>
      <c r="AQ2521" s="116"/>
      <c r="AR2521" s="116"/>
      <c r="AS2521" s="116"/>
      <c r="AT2521" s="116"/>
      <c r="AU2521" s="116"/>
      <c r="AV2521" s="78"/>
      <c r="AW2521" s="102"/>
      <c r="AX2521" s="78"/>
      <c r="AY2521" s="78"/>
      <c r="AZ2521" s="78"/>
      <c r="BA2521" s="78"/>
      <c r="BB2521" s="78"/>
      <c r="BC2521" s="78"/>
      <c r="BD2521" s="78"/>
      <c r="BE2521" s="465"/>
      <c r="BF2521" s="165" t="str">
        <f t="shared" si="1893"/>
        <v>https://www.google.com/search?tbm=isch&amp;q=Catawba%20foliage%20is%20bright%20green%2C%20then%20turns%20to%20vibrant%20orange-red%20in%20fall.%20Multi-colored%20bark%20</v>
      </c>
      <c r="BG2521" s="165" t="str">
        <f t="shared" si="1894"/>
        <v>C</v>
      </c>
      <c r="BH2521" s="65"/>
      <c r="BI2521" s="65"/>
      <c r="BJ2521" s="65"/>
      <c r="BK2521" s="65"/>
      <c r="BL2521" s="99"/>
      <c r="BM2521" s="99"/>
      <c r="BN2521" s="99"/>
    </row>
    <row r="2522" spans="1:66" s="51" customFormat="1" ht="18" x14ac:dyDescent="0.25">
      <c r="A2522" s="623" t="s">
        <v>3184</v>
      </c>
      <c r="B2522" s="624"/>
      <c r="C2522" s="709"/>
      <c r="D2522" s="625" t="s">
        <v>3185</v>
      </c>
      <c r="E2522" s="626"/>
      <c r="F2522" s="626"/>
      <c r="G2522" s="626"/>
      <c r="H2522" s="622" t="s">
        <v>1174</v>
      </c>
      <c r="I2522" s="627" t="s">
        <v>3186</v>
      </c>
      <c r="J2522" s="628"/>
      <c r="K2522" s="628"/>
      <c r="L2522" s="629"/>
      <c r="M2522" s="700" t="s">
        <v>5241</v>
      </c>
      <c r="N2522" s="693" t="str">
        <f>IF(AND(ISTEXT($A2522), ISERROR($A2522+0)), HYPERLINK($BF2522, "Images"), "")</f>
        <v>Images</v>
      </c>
      <c r="O2522" s="695" t="s">
        <v>5247</v>
      </c>
      <c r="P2522" s="630"/>
      <c r="Q2522" s="631"/>
      <c r="R2522" s="632"/>
      <c r="S2522" s="633"/>
      <c r="T2522" s="102">
        <f t="shared" si="1882"/>
        <v>0</v>
      </c>
      <c r="U2522" s="78" t="str">
        <f>IF(NOT(ISNUMBER(G2522)), "", VLOOKUP(A2522,'Discount Lookup'!D:E,2,FALSE)*G2522)</f>
        <v/>
      </c>
      <c r="V2522" s="78" t="str">
        <f>IF(NOT(ISNUMBER(G2522)), "", VLOOKUP(A2522,'Discount Lookup'!G:H,2,FALSE)*G2522)</f>
        <v/>
      </c>
      <c r="W2522" s="102">
        <f t="shared" si="1883"/>
        <v>0</v>
      </c>
      <c r="X2522" s="102" t="str">
        <f t="shared" si="1884"/>
        <v>Red bloom, Yellow center</v>
      </c>
      <c r="Y2522" s="120" t="b">
        <f t="shared" si="1885"/>
        <v>0</v>
      </c>
      <c r="Z2522" s="117">
        <f t="shared" si="1886"/>
        <v>0</v>
      </c>
      <c r="AA2522" s="118"/>
      <c r="AB2522" s="118" t="str">
        <f t="shared" si="1887"/>
        <v/>
      </c>
      <c r="AC2522" s="712" t="str">
        <f>IF(AE2522="T2G","no charge",IF(AND(OR(PlanterYesMe="No",PlanterYesMe="N",PlanterYesMe="me"),H2522=""),"",IF(H2522="credit","NO install",IF(AND(K2522="",AE2522="me"),"EACH row",IF(AND(K2522="images",AE2522="me"),"EACH row",IF(D2522="","",IF(H2522="credit","",IF(AE2522="free","re-planting",IF(AE2522="me","   not ELP, by",IF(AND(OR(PlanterYesMe="Yes",PlanterYesMe="Y"),G2522&gt;0),(VLOOKUP(A2522,'Discount Lookup'!J:K,2)*G2522*(1-PlanterDiscount)*(1+PlanterDifficultyPercentage)),IF(AE2522="ELP",(VLOOKUP(A2522,'Discount Lookup'!J:K,2)*G2522*(1-PlanterDiscount)*(1+PlanterDifficultyPercentage)),IF(AE2522="free","re-planting",IF(G2522=0,"",IF(PlanterYesMe="",IF(AE2522="me","   not ELP, by",IF(AE2522="",IF(G2522&gt;0,(VLOOKUP(A2522,'Discount Lookup'!J:K,2)*G2522*(1-PlanterDiscount)*(1+PlanterDifficultyPercentage)),""),"")),"   not ELP, by"))))))))))))))</f>
        <v/>
      </c>
      <c r="AD2522" s="712"/>
      <c r="AE2522" s="513" t="str">
        <f t="shared" si="1888"/>
        <v/>
      </c>
      <c r="AF2522" s="713" t="str">
        <f t="shared" si="1889"/>
        <v/>
      </c>
      <c r="AG2522" s="713"/>
      <c r="AH2522" s="713"/>
      <c r="AI2522" s="112">
        <f>IF(H2522="credit",0,IF(AE2522="free",0,IF(AE2522="me",0,IF(G2522&gt;0,(VLOOKUP(A2522,'Discount Lookup'!J:K,2)*G2522),0))))</f>
        <v>0</v>
      </c>
      <c r="AJ2522" s="107" t="str">
        <f t="shared" ca="1" si="1890"/>
        <v/>
      </c>
      <c r="AK2522" s="714" t="str">
        <f t="shared" si="1891"/>
        <v/>
      </c>
      <c r="AL2522" s="714"/>
      <c r="AM2522" s="114" t="str">
        <f t="shared" si="1892"/>
        <v/>
      </c>
      <c r="AN2522" s="115"/>
      <c r="AO2522" s="116"/>
      <c r="AP2522" s="116"/>
      <c r="AQ2522" s="116"/>
      <c r="AR2522" s="116"/>
      <c r="AS2522" s="116"/>
      <c r="AT2522" s="116"/>
      <c r="AU2522" s="116"/>
      <c r="AV2522" s="78"/>
      <c r="AW2522" s="102"/>
      <c r="AX2522" s="78"/>
      <c r="AY2522" s="78"/>
      <c r="AZ2522" s="78"/>
      <c r="BA2522" s="78"/>
      <c r="BB2522" s="78"/>
      <c r="BC2522" s="78"/>
      <c r="BD2522" s="78"/>
      <c r="BE2522" s="465"/>
      <c r="BF2522" s="165" t="str">
        <f t="shared" si="1893"/>
        <v>https://www.google.com/search?tbm=isch&amp;q=Lagerstroemia%20indica%20%27Miss%20Frances%27%20Miss%20Frances%20Crape%20Myrtle</v>
      </c>
      <c r="BG2522" s="165" t="str">
        <f t="shared" si="1894"/>
        <v>L</v>
      </c>
      <c r="BH2522" s="65"/>
      <c r="BI2522" s="65"/>
      <c r="BJ2522" s="65"/>
      <c r="BK2522" s="65"/>
      <c r="BL2522" s="99"/>
      <c r="BM2522" s="99"/>
      <c r="BN2522" s="99"/>
    </row>
    <row r="2523" spans="1:66" s="51" customFormat="1" ht="15.75" x14ac:dyDescent="0.25">
      <c r="A2523" s="634">
        <v>7</v>
      </c>
      <c r="B2523" s="635" t="s">
        <v>291</v>
      </c>
      <c r="C2523" s="636" t="s">
        <v>3187</v>
      </c>
      <c r="D2523" s="637" t="s">
        <v>311</v>
      </c>
      <c r="E2523" s="638">
        <v>68.95</v>
      </c>
      <c r="F2523" s="639" t="s">
        <v>292</v>
      </c>
      <c r="G2523" s="484">
        <v>0</v>
      </c>
      <c r="H2523" s="691" t="str">
        <f>IF(G2523=0,"",IF(F2523="Buy",IF(G2523=1,"plant","plants"),IF(F2523&gt;0.01,"warranty","Error")))</f>
        <v/>
      </c>
      <c r="I2523" s="640">
        <f>IF(H2523="free",0,IF(H2523="credit",((E2523*(F2523))*G2523*-1),IF(F2523="Buy",(E2523*G2523),((E2523*(1-F2523))*G2523))))</f>
        <v>0</v>
      </c>
      <c r="J2523" s="640">
        <f>IF(H2523="warranty",0,(I2523*(_xlfn.SINGLE(SalesTaxPercentage))))</f>
        <v>0</v>
      </c>
      <c r="K2523" s="716">
        <f t="shared" ref="K2523" si="1897">I2523+J2523</f>
        <v>0</v>
      </c>
      <c r="L2523" s="716"/>
      <c r="M2523" s="689" t="str">
        <f ca="1">IF(AND(G2523&gt;0,E2523=0),"WARNING - no PRICE inserted",IF(H2523="free","FREE ~ no charge this plant",IF(H2523="credit",CONCATENATE("-$",ROUND(K2523*(1-_xlfn.SINGLE(T2GDiscount))*-1,2)," CREDIT after discount"),IF(_xlfn.SINGLE(T2GDiscount)=0,"",IF(G2523=0,"",IF(F2523="Buy",CONCATENATE("$",ROUND(K2523*(1-_xlfn.SINGLE(T2GDiscount)),2)," with ",(_xlfn.SINGLE(T2GDiscount)*100),"% discount"),CONCATENATE("$",ROUND(K2523*(1-_xlfn.SINGLE(T2GDiscount)),2)," with ",((_xlfn.SINGLE(T2GDiscount)*100+F2523*100)-(_xlfn.SINGLE(T2GDiscount)*100*F2523)),IF(F2523&gt;0,"% discounts",IF(_xlfn.SINGLE(NoWarrantyDiscount)&gt;0,"% discounts","% discount")))))))))</f>
        <v/>
      </c>
      <c r="N2523" s="690"/>
      <c r="O2523" s="486"/>
      <c r="P2523" s="486"/>
      <c r="Q2523" s="486"/>
      <c r="R2523" s="486"/>
      <c r="S2523" s="486"/>
      <c r="T2523" s="102">
        <f t="shared" si="1882"/>
        <v>0</v>
      </c>
      <c r="U2523" s="78">
        <f>IF(NOT(ISNUMBER(G2523)), "", VLOOKUP(A2523,'Discount Lookup'!D:E,2,FALSE)*G2523)</f>
        <v>0</v>
      </c>
      <c r="V2523" s="78">
        <f>IF(NOT(ISNUMBER(G2523)), "", VLOOKUP(A2523,'Discount Lookup'!G:H,2,FALSE)*G2523)</f>
        <v>0</v>
      </c>
      <c r="W2523" s="102">
        <f t="shared" si="1883"/>
        <v>0</v>
      </c>
      <c r="X2523" s="102">
        <f t="shared" si="1884"/>
        <v>0</v>
      </c>
      <c r="Y2523" s="120" t="b">
        <f t="shared" si="1885"/>
        <v>0</v>
      </c>
      <c r="Z2523" s="117">
        <f t="shared" si="1886"/>
        <v>0</v>
      </c>
      <c r="AA2523" s="118"/>
      <c r="AB2523" s="118" t="str">
        <f t="shared" si="1887"/>
        <v/>
      </c>
      <c r="AC2523" s="712" t="str">
        <f>IF(AE2523="T2G","no charge",IF(AND(OR(PlanterYesMe="No",PlanterYesMe="N",PlanterYesMe="me"),H2523=""),"",IF(H2523="credit","NO install",IF(AND(K2523="",AE2523="me"),"EACH row",IF(AND(K2523="images",AE2523="me"),"EACH row",IF(D2523="","",IF(H2523="credit","",IF(AE2523="free","re-planting",IF(AE2523="me","   not ELP, by",IF(AND(OR(PlanterYesMe="Yes",PlanterYesMe="Y"),G2523&gt;0),(VLOOKUP(A2523,'Discount Lookup'!J:K,2)*G2523*(1-PlanterDiscount)*(1+PlanterDifficultyPercentage)),IF(AE2523="ELP",(VLOOKUP(A2523,'Discount Lookup'!J:K,2)*G2523*(1-PlanterDiscount)*(1+PlanterDifficultyPercentage)),IF(AE2523="free","re-planting",IF(G2523=0,"",IF(PlanterYesMe="",IF(AE2523="me","   not ELP, by",IF(AE2523="",IF(G2523&gt;0,(VLOOKUP(A2523,'Discount Lookup'!J:K,2)*G2523*(1-PlanterDiscount)*(1+PlanterDifficultyPercentage)),""),"")),"   not ELP, by"))))))))))))))</f>
        <v/>
      </c>
      <c r="AD2523" s="712"/>
      <c r="AE2523" s="513" t="str">
        <f t="shared" si="1888"/>
        <v/>
      </c>
      <c r="AF2523" s="713" t="str">
        <f t="shared" si="1889"/>
        <v/>
      </c>
      <c r="AG2523" s="713"/>
      <c r="AH2523" s="713"/>
      <c r="AI2523" s="112">
        <f>IF(H2523="credit",0,IF(AE2523="free",0,IF(AE2523="me",0,IF(G2523&gt;0,(VLOOKUP(A2523,'Discount Lookup'!J:K,2)*G2523),0))))</f>
        <v>0</v>
      </c>
      <c r="AJ2523" s="107" t="str">
        <f t="shared" ca="1" si="1890"/>
        <v/>
      </c>
      <c r="AK2523" s="714" t="str">
        <f t="shared" si="1891"/>
        <v/>
      </c>
      <c r="AL2523" s="714"/>
      <c r="AM2523" s="114" t="str">
        <f t="shared" si="1892"/>
        <v/>
      </c>
      <c r="AN2523" s="115"/>
      <c r="AO2523" s="116"/>
      <c r="AP2523" s="116"/>
      <c r="AQ2523" s="116"/>
      <c r="AR2523" s="116"/>
      <c r="AS2523" s="116"/>
      <c r="AT2523" s="116"/>
      <c r="AU2523" s="116"/>
      <c r="AV2523" s="78"/>
      <c r="AW2523" s="102"/>
      <c r="AX2523" s="78"/>
      <c r="AY2523" s="78"/>
      <c r="AZ2523" s="78"/>
      <c r="BA2523" s="78"/>
      <c r="BB2523" s="78"/>
      <c r="BC2523" s="78"/>
      <c r="BD2523" s="78"/>
      <c r="BE2523" s="465"/>
      <c r="BF2523" s="165" t="str">
        <f t="shared" si="1893"/>
        <v>https://www.google.com/search?tbm=isch&amp;q=7%20G5</v>
      </c>
      <c r="BG2523" s="165" t="str">
        <f t="shared" si="1894"/>
        <v>L</v>
      </c>
      <c r="BH2523" s="65"/>
      <c r="BI2523" s="65"/>
      <c r="BJ2523" s="65"/>
      <c r="BK2523" s="65"/>
      <c r="BL2523" s="99"/>
      <c r="BM2523" s="99"/>
      <c r="BN2523" s="99"/>
    </row>
    <row r="2524" spans="1:66" s="51" customFormat="1" ht="27" x14ac:dyDescent="0.25">
      <c r="A2524" s="634">
        <v>7</v>
      </c>
      <c r="B2524" s="635" t="s">
        <v>291</v>
      </c>
      <c r="C2524" s="636" t="s">
        <v>3188</v>
      </c>
      <c r="D2524" s="637" t="s">
        <v>299</v>
      </c>
      <c r="E2524" s="638">
        <v>91.95</v>
      </c>
      <c r="F2524" s="639" t="s">
        <v>292</v>
      </c>
      <c r="G2524" s="484">
        <v>0</v>
      </c>
      <c r="H2524" s="691" t="str">
        <f>IF(G2524=0,"",IF(F2524="Buy",IF(G2524=1,"plant","plants"),IF(F2524&gt;0.01,"warranty","Error")))</f>
        <v/>
      </c>
      <c r="I2524" s="640">
        <f>IF(H2524="free",0,IF(H2524="credit",((E2524*(F2524))*G2524*-1),IF(F2524="Buy",(E2524*G2524),((E2524*(1-F2524))*G2524))))</f>
        <v>0</v>
      </c>
      <c r="J2524" s="640">
        <f>IF(H2524="warranty",0,(I2524*(_xlfn.SINGLE(SalesTaxPercentage))))</f>
        <v>0</v>
      </c>
      <c r="K2524" s="716">
        <f t="shared" ref="K2524" si="1898">I2524+J2524</f>
        <v>0</v>
      </c>
      <c r="L2524" s="716"/>
      <c r="M2524" s="689" t="str">
        <f ca="1">IF(AND(G2524&gt;0,E2524=0),"WARNING - no PRICE inserted",IF(H2524="free","FREE ~ no charge this plant",IF(H2524="credit",CONCATENATE("-$",ROUND(K2524*(1-_xlfn.SINGLE(T2GDiscount))*-1,2)," CREDIT after discount"),IF(_xlfn.SINGLE(T2GDiscount)=0,"",IF(G2524=0,"",IF(F2524="Buy",CONCATENATE("$",ROUND(K2524*(1-_xlfn.SINGLE(T2GDiscount)),2)," with ",(_xlfn.SINGLE(T2GDiscount)*100),"% discount"),CONCATENATE("$",ROUND(K2524*(1-_xlfn.SINGLE(T2GDiscount)),2)," with ",((_xlfn.SINGLE(T2GDiscount)*100+F2524*100)-(_xlfn.SINGLE(T2GDiscount)*100*F2524)),IF(F2524&gt;0,"% discounts",IF(_xlfn.SINGLE(NoWarrantyDiscount)&gt;0,"% discounts","% discount")))))))))</f>
        <v/>
      </c>
      <c r="N2524" s="690"/>
      <c r="O2524" s="486"/>
      <c r="P2524" s="486"/>
      <c r="Q2524" s="486"/>
      <c r="R2524" s="486"/>
      <c r="S2524" s="486"/>
      <c r="T2524" s="102">
        <f t="shared" si="1882"/>
        <v>0</v>
      </c>
      <c r="U2524" s="78">
        <f>IF(NOT(ISNUMBER(G2524)), "", VLOOKUP(A2524,'Discount Lookup'!D:E,2,FALSE)*G2524)</f>
        <v>0</v>
      </c>
      <c r="V2524" s="78">
        <f>IF(NOT(ISNUMBER(G2524)), "", VLOOKUP(A2524,'Discount Lookup'!G:H,2,FALSE)*G2524)</f>
        <v>0</v>
      </c>
      <c r="W2524" s="102">
        <f t="shared" si="1883"/>
        <v>0</v>
      </c>
      <c r="X2524" s="102">
        <f t="shared" si="1884"/>
        <v>0</v>
      </c>
      <c r="Y2524" s="120" t="b">
        <f t="shared" si="1885"/>
        <v>0</v>
      </c>
      <c r="Z2524" s="117">
        <f t="shared" si="1886"/>
        <v>0</v>
      </c>
      <c r="AA2524" s="118"/>
      <c r="AB2524" s="118" t="str">
        <f t="shared" si="1887"/>
        <v/>
      </c>
      <c r="AC2524" s="712" t="str">
        <f>IF(AE2524="T2G","no charge",IF(AND(OR(PlanterYesMe="No",PlanterYesMe="N",PlanterYesMe="me"),H2524=""),"",IF(H2524="credit","NO install",IF(AND(K2524="",AE2524="me"),"EACH row",IF(AND(K2524="images",AE2524="me"),"EACH row",IF(D2524="","",IF(H2524="credit","",IF(AE2524="free","re-planting",IF(AE2524="me","   not ELP, by",IF(AND(OR(PlanterYesMe="Yes",PlanterYesMe="Y"),G2524&gt;0),(VLOOKUP(A2524,'Discount Lookup'!J:K,2)*G2524*(1-PlanterDiscount)*(1+PlanterDifficultyPercentage)),IF(AE2524="ELP",(VLOOKUP(A2524,'Discount Lookup'!J:K,2)*G2524*(1-PlanterDiscount)*(1+PlanterDifficultyPercentage)),IF(AE2524="free","re-planting",IF(G2524=0,"",IF(PlanterYesMe="",IF(AE2524="me","   not ELP, by",IF(AE2524="",IF(G2524&gt;0,(VLOOKUP(A2524,'Discount Lookup'!J:K,2)*G2524*(1-PlanterDiscount)*(1+PlanterDifficultyPercentage)),""),"")),"   not ELP, by"))))))))))))))</f>
        <v/>
      </c>
      <c r="AD2524" s="712"/>
      <c r="AE2524" s="513" t="str">
        <f t="shared" si="1888"/>
        <v/>
      </c>
      <c r="AF2524" s="713" t="str">
        <f t="shared" si="1889"/>
        <v/>
      </c>
      <c r="AG2524" s="713"/>
      <c r="AH2524" s="713"/>
      <c r="AI2524" s="112">
        <f>IF(H2524="credit",0,IF(AE2524="free",0,IF(AE2524="me",0,IF(G2524&gt;0,(VLOOKUP(A2524,'Discount Lookup'!J:K,2)*G2524),0))))</f>
        <v>0</v>
      </c>
      <c r="AJ2524" s="107" t="str">
        <f t="shared" ca="1" si="1890"/>
        <v/>
      </c>
      <c r="AK2524" s="714" t="str">
        <f t="shared" si="1891"/>
        <v/>
      </c>
      <c r="AL2524" s="714"/>
      <c r="AM2524" s="114" t="str">
        <f t="shared" si="1892"/>
        <v/>
      </c>
      <c r="AN2524" s="115"/>
      <c r="AO2524" s="116"/>
      <c r="AP2524" s="116"/>
      <c r="AQ2524" s="116"/>
      <c r="AR2524" s="116"/>
      <c r="AS2524" s="116"/>
      <c r="AT2524" s="116"/>
      <c r="AU2524" s="116"/>
      <c r="AV2524" s="78"/>
      <c r="AW2524" s="102"/>
      <c r="AX2524" s="78"/>
      <c r="AY2524" s="78"/>
      <c r="AZ2524" s="78"/>
      <c r="BA2524" s="78"/>
      <c r="BB2524" s="78"/>
      <c r="BC2524" s="78"/>
      <c r="BD2524" s="78"/>
      <c r="BE2524" s="465"/>
      <c r="BF2524" s="165" t="str">
        <f t="shared" si="1893"/>
        <v>https://www.google.com/search?tbm=isch&amp;q=7%20G4</v>
      </c>
      <c r="BG2524" s="165" t="str">
        <f t="shared" si="1894"/>
        <v>L</v>
      </c>
      <c r="BH2524" s="65"/>
      <c r="BI2524" s="65"/>
      <c r="BJ2524" s="65"/>
      <c r="BK2524" s="65"/>
      <c r="BL2524" s="99"/>
      <c r="BM2524" s="99"/>
      <c r="BN2524" s="99"/>
    </row>
    <row r="2525" spans="1:66" s="51" customFormat="1" ht="27" x14ac:dyDescent="0.25">
      <c r="A2525" s="634">
        <v>15</v>
      </c>
      <c r="B2525" s="635" t="s">
        <v>291</v>
      </c>
      <c r="C2525" s="636" t="s">
        <v>3189</v>
      </c>
      <c r="D2525" s="637" t="s">
        <v>299</v>
      </c>
      <c r="E2525" s="638">
        <v>164.95</v>
      </c>
      <c r="F2525" s="639" t="s">
        <v>292</v>
      </c>
      <c r="G2525" s="484">
        <v>0</v>
      </c>
      <c r="H2525" s="691" t="str">
        <f>IF(G2525=0,"",IF(F2525="Buy",IF(G2525=1,"plant","plants"),IF(F2525&gt;0.01,"warranty","Error")))</f>
        <v/>
      </c>
      <c r="I2525" s="640">
        <f>IF(H2525="free",0,IF(H2525="credit",((E2525*(F2525))*G2525*-1),IF(F2525="Buy",(E2525*G2525),((E2525*(1-F2525))*G2525))))</f>
        <v>0</v>
      </c>
      <c r="J2525" s="640">
        <f>IF(H2525="warranty",0,(I2525*(_xlfn.SINGLE(SalesTaxPercentage))))</f>
        <v>0</v>
      </c>
      <c r="K2525" s="716">
        <f t="shared" ref="K2525" si="1899">I2525+J2525</f>
        <v>0</v>
      </c>
      <c r="L2525" s="716"/>
      <c r="M2525" s="689" t="str">
        <f ca="1">IF(AND(G2525&gt;0,E2525=0),"WARNING - no PRICE inserted",IF(H2525="free","FREE ~ no charge this plant",IF(H2525="credit",CONCATENATE("-$",ROUND(K2525*(1-_xlfn.SINGLE(T2GDiscount))*-1,2)," CREDIT after discount"),IF(_xlfn.SINGLE(T2GDiscount)=0,"",IF(G2525=0,"",IF(F2525="Buy",CONCATENATE("$",ROUND(K2525*(1-_xlfn.SINGLE(T2GDiscount)),2)," with ",(_xlfn.SINGLE(T2GDiscount)*100),"% discount"),CONCATENATE("$",ROUND(K2525*(1-_xlfn.SINGLE(T2GDiscount)),2)," with ",((_xlfn.SINGLE(T2GDiscount)*100+F2525*100)-(_xlfn.SINGLE(T2GDiscount)*100*F2525)),IF(F2525&gt;0,"% discounts",IF(_xlfn.SINGLE(NoWarrantyDiscount)&gt;0,"% discounts","% discount")))))))))</f>
        <v/>
      </c>
      <c r="N2525" s="690"/>
      <c r="O2525" s="486"/>
      <c r="P2525" s="486"/>
      <c r="Q2525" s="486"/>
      <c r="R2525" s="486"/>
      <c r="S2525" s="486"/>
      <c r="T2525" s="102">
        <f t="shared" si="1882"/>
        <v>0</v>
      </c>
      <c r="U2525" s="78">
        <f>IF(NOT(ISNUMBER(G2525)), "", VLOOKUP(A2525,'Discount Lookup'!D:E,2,FALSE)*G2525)</f>
        <v>0</v>
      </c>
      <c r="V2525" s="78">
        <f>IF(NOT(ISNUMBER(G2525)), "", VLOOKUP(A2525,'Discount Lookup'!G:H,2,FALSE)*G2525)</f>
        <v>0</v>
      </c>
      <c r="W2525" s="102">
        <f t="shared" si="1883"/>
        <v>0</v>
      </c>
      <c r="X2525" s="102">
        <f t="shared" si="1884"/>
        <v>0</v>
      </c>
      <c r="Y2525" s="120" t="b">
        <f t="shared" si="1885"/>
        <v>0</v>
      </c>
      <c r="Z2525" s="117">
        <f t="shared" si="1886"/>
        <v>0</v>
      </c>
      <c r="AA2525" s="118"/>
      <c r="AB2525" s="118" t="str">
        <f t="shared" si="1887"/>
        <v/>
      </c>
      <c r="AC2525" s="712" t="str">
        <f>IF(AE2525="T2G","no charge",IF(AND(OR(PlanterYesMe="No",PlanterYesMe="N",PlanterYesMe="me"),H2525=""),"",IF(H2525="credit","NO install",IF(AND(K2525="",AE2525="me"),"EACH row",IF(AND(K2525="images",AE2525="me"),"EACH row",IF(D2525="","",IF(H2525="credit","",IF(AE2525="free","re-planting",IF(AE2525="me","   not ELP, by",IF(AND(OR(PlanterYesMe="Yes",PlanterYesMe="Y"),G2525&gt;0),(VLOOKUP(A2525,'Discount Lookup'!J:K,2)*G2525*(1-PlanterDiscount)*(1+PlanterDifficultyPercentage)),IF(AE2525="ELP",(VLOOKUP(A2525,'Discount Lookup'!J:K,2)*G2525*(1-PlanterDiscount)*(1+PlanterDifficultyPercentage)),IF(AE2525="free","re-planting",IF(G2525=0,"",IF(PlanterYesMe="",IF(AE2525="me","   not ELP, by",IF(AE2525="",IF(G2525&gt;0,(VLOOKUP(A2525,'Discount Lookup'!J:K,2)*G2525*(1-PlanterDiscount)*(1+PlanterDifficultyPercentage)),""),"")),"   not ELP, by"))))))))))))))</f>
        <v/>
      </c>
      <c r="AD2525" s="712"/>
      <c r="AE2525" s="513" t="str">
        <f t="shared" si="1888"/>
        <v/>
      </c>
      <c r="AF2525" s="713" t="str">
        <f t="shared" si="1889"/>
        <v/>
      </c>
      <c r="AG2525" s="713"/>
      <c r="AH2525" s="713"/>
      <c r="AI2525" s="112">
        <f>IF(H2525="credit",0,IF(AE2525="free",0,IF(AE2525="me",0,IF(G2525&gt;0,(VLOOKUP(A2525,'Discount Lookup'!J:K,2)*G2525),0))))</f>
        <v>0</v>
      </c>
      <c r="AJ2525" s="107" t="str">
        <f t="shared" ca="1" si="1890"/>
        <v/>
      </c>
      <c r="AK2525" s="714" t="str">
        <f t="shared" si="1891"/>
        <v/>
      </c>
      <c r="AL2525" s="714"/>
      <c r="AM2525" s="114" t="str">
        <f t="shared" si="1892"/>
        <v/>
      </c>
      <c r="AN2525" s="115"/>
      <c r="AO2525" s="116"/>
      <c r="AP2525" s="116"/>
      <c r="AQ2525" s="116"/>
      <c r="AR2525" s="116"/>
      <c r="AS2525" s="116"/>
      <c r="AT2525" s="116"/>
      <c r="AU2525" s="116"/>
      <c r="AV2525" s="78"/>
      <c r="AW2525" s="102"/>
      <c r="AX2525" s="78"/>
      <c r="AY2525" s="78"/>
      <c r="AZ2525" s="78"/>
      <c r="BA2525" s="78"/>
      <c r="BB2525" s="78"/>
      <c r="BC2525" s="78"/>
      <c r="BD2525" s="78"/>
      <c r="BE2525" s="465"/>
      <c r="BF2525" s="165" t="str">
        <f t="shared" si="1893"/>
        <v>https://www.google.com/search?tbm=isch&amp;q=15%20G4</v>
      </c>
      <c r="BG2525" s="165" t="str">
        <f t="shared" si="1894"/>
        <v>L</v>
      </c>
      <c r="BH2525" s="65"/>
      <c r="BI2525" s="65"/>
      <c r="BJ2525" s="65"/>
      <c r="BK2525" s="65"/>
      <c r="BL2525" s="99"/>
      <c r="BM2525" s="99"/>
      <c r="BN2525" s="99"/>
    </row>
    <row r="2526" spans="1:66" s="51" customFormat="1" ht="15.75" x14ac:dyDescent="0.25">
      <c r="A2526" s="634">
        <v>25</v>
      </c>
      <c r="B2526" s="635" t="s">
        <v>291</v>
      </c>
      <c r="C2526" s="636" t="s">
        <v>3190</v>
      </c>
      <c r="D2526" s="637" t="s">
        <v>293</v>
      </c>
      <c r="E2526" s="638">
        <v>314.95</v>
      </c>
      <c r="F2526" s="639" t="s">
        <v>292</v>
      </c>
      <c r="G2526" s="484">
        <v>0</v>
      </c>
      <c r="H2526" s="691" t="str">
        <f>IF(G2526=0,"",IF(F2526="Buy",IF(G2526=1,"plant","plants"),IF(F2526&gt;0.01,"warranty","Error")))</f>
        <v/>
      </c>
      <c r="I2526" s="640">
        <f>IF(H2526="free",0,IF(H2526="credit",((E2526*(F2526))*G2526*-1),IF(F2526="Buy",(E2526*G2526),((E2526*(1-F2526))*G2526))))</f>
        <v>0</v>
      </c>
      <c r="J2526" s="640">
        <f>IF(H2526="warranty",0,(I2526*(_xlfn.SINGLE(SalesTaxPercentage))))</f>
        <v>0</v>
      </c>
      <c r="K2526" s="716">
        <f t="shared" ref="K2526" si="1900">I2526+J2526</f>
        <v>0</v>
      </c>
      <c r="L2526" s="716"/>
      <c r="M2526" s="689" t="str">
        <f ca="1">IF(AND(G2526&gt;0,E2526=0),"WARNING - no PRICE inserted",IF(H2526="free","FREE ~ no charge this plant",IF(H2526="credit",CONCATENATE("-$",ROUND(K2526*(1-_xlfn.SINGLE(T2GDiscount))*-1,2)," CREDIT after discount"),IF(_xlfn.SINGLE(T2GDiscount)=0,"",IF(G2526=0,"",IF(F2526="Buy",CONCATENATE("$",ROUND(K2526*(1-_xlfn.SINGLE(T2GDiscount)),2)," with ",(_xlfn.SINGLE(T2GDiscount)*100),"% discount"),CONCATENATE("$",ROUND(K2526*(1-_xlfn.SINGLE(T2GDiscount)),2)," with ",((_xlfn.SINGLE(T2GDiscount)*100+F2526*100)-(_xlfn.SINGLE(T2GDiscount)*100*F2526)),IF(F2526&gt;0,"% discounts",IF(_xlfn.SINGLE(NoWarrantyDiscount)&gt;0,"% discounts","% discount")))))))))</f>
        <v/>
      </c>
      <c r="N2526" s="690"/>
      <c r="O2526" s="486"/>
      <c r="P2526" s="486"/>
      <c r="Q2526" s="486"/>
      <c r="R2526" s="486"/>
      <c r="S2526" s="486"/>
      <c r="T2526" s="102">
        <f t="shared" si="1882"/>
        <v>0</v>
      </c>
      <c r="U2526" s="78">
        <f>IF(NOT(ISNUMBER(G2526)), "", VLOOKUP(A2526,'Discount Lookup'!D:E,2,FALSE)*G2526)</f>
        <v>0</v>
      </c>
      <c r="V2526" s="78">
        <f>IF(NOT(ISNUMBER(G2526)), "", VLOOKUP(A2526,'Discount Lookup'!G:H,2,FALSE)*G2526)</f>
        <v>0</v>
      </c>
      <c r="W2526" s="102">
        <f t="shared" si="1883"/>
        <v>0</v>
      </c>
      <c r="X2526" s="102">
        <f t="shared" si="1884"/>
        <v>0</v>
      </c>
      <c r="Y2526" s="120" t="b">
        <f t="shared" si="1885"/>
        <v>0</v>
      </c>
      <c r="Z2526" s="117">
        <f t="shared" si="1886"/>
        <v>0</v>
      </c>
      <c r="AA2526" s="118"/>
      <c r="AB2526" s="118" t="str">
        <f t="shared" si="1887"/>
        <v/>
      </c>
      <c r="AC2526" s="712" t="str">
        <f>IF(AE2526="T2G","no charge",IF(AND(OR(PlanterYesMe="No",PlanterYesMe="N",PlanterYesMe="me"),H2526=""),"",IF(H2526="credit","NO install",IF(AND(K2526="",AE2526="me"),"EACH row",IF(AND(K2526="images",AE2526="me"),"EACH row",IF(D2526="","",IF(H2526="credit","",IF(AE2526="free","re-planting",IF(AE2526="me","   not ELP, by",IF(AND(OR(PlanterYesMe="Yes",PlanterYesMe="Y"),G2526&gt;0),(VLOOKUP(A2526,'Discount Lookup'!J:K,2)*G2526*(1-PlanterDiscount)*(1+PlanterDifficultyPercentage)),IF(AE2526="ELP",(VLOOKUP(A2526,'Discount Lookup'!J:K,2)*G2526*(1-PlanterDiscount)*(1+PlanterDifficultyPercentage)),IF(AE2526="free","re-planting",IF(G2526=0,"",IF(PlanterYesMe="",IF(AE2526="me","   not ELP, by",IF(AE2526="",IF(G2526&gt;0,(VLOOKUP(A2526,'Discount Lookup'!J:K,2)*G2526*(1-PlanterDiscount)*(1+PlanterDifficultyPercentage)),""),"")),"   not ELP, by"))))))))))))))</f>
        <v/>
      </c>
      <c r="AD2526" s="712"/>
      <c r="AE2526" s="513" t="str">
        <f t="shared" si="1888"/>
        <v/>
      </c>
      <c r="AF2526" s="713" t="str">
        <f t="shared" si="1889"/>
        <v/>
      </c>
      <c r="AG2526" s="713"/>
      <c r="AH2526" s="713"/>
      <c r="AI2526" s="112">
        <f>IF(H2526="credit",0,IF(AE2526="free",0,IF(AE2526="me",0,IF(G2526&gt;0,(VLOOKUP(A2526,'Discount Lookup'!J:K,2)*G2526),0))))</f>
        <v>0</v>
      </c>
      <c r="AJ2526" s="107" t="str">
        <f t="shared" ca="1" si="1890"/>
        <v/>
      </c>
      <c r="AK2526" s="714" t="str">
        <f t="shared" si="1891"/>
        <v/>
      </c>
      <c r="AL2526" s="714"/>
      <c r="AM2526" s="114" t="str">
        <f t="shared" si="1892"/>
        <v/>
      </c>
      <c r="AN2526" s="115"/>
      <c r="AO2526" s="116"/>
      <c r="AP2526" s="116"/>
      <c r="AQ2526" s="116"/>
      <c r="AR2526" s="116"/>
      <c r="AS2526" s="116"/>
      <c r="AT2526" s="116"/>
      <c r="AU2526" s="116"/>
      <c r="AV2526" s="78"/>
      <c r="AW2526" s="102"/>
      <c r="AX2526" s="78"/>
      <c r="AY2526" s="78"/>
      <c r="AZ2526" s="78"/>
      <c r="BA2526" s="78"/>
      <c r="BB2526" s="78"/>
      <c r="BC2526" s="78"/>
      <c r="BD2526" s="78"/>
      <c r="BE2526" s="465"/>
      <c r="BF2526" s="165" t="str">
        <f t="shared" si="1893"/>
        <v>https://www.google.com/search?tbm=isch&amp;q=25%20G6</v>
      </c>
      <c r="BG2526" s="165" t="str">
        <f t="shared" si="1894"/>
        <v>L</v>
      </c>
      <c r="BH2526" s="65"/>
      <c r="BI2526" s="65"/>
      <c r="BJ2526" s="65"/>
      <c r="BK2526" s="65"/>
      <c r="BL2526" s="99"/>
      <c r="BM2526" s="99"/>
      <c r="BN2526" s="99"/>
    </row>
    <row r="2527" spans="1:66" s="51" customFormat="1" ht="17.25" thickBot="1" x14ac:dyDescent="0.3">
      <c r="A2527" s="641" t="s">
        <v>3191</v>
      </c>
      <c r="B2527" s="642"/>
      <c r="C2527" s="710"/>
      <c r="D2527" s="643"/>
      <c r="E2527" s="643"/>
      <c r="F2527" s="644"/>
      <c r="G2527" s="645"/>
      <c r="H2527" s="646"/>
      <c r="I2527" s="647"/>
      <c r="J2527" s="648"/>
      <c r="K2527" s="649"/>
      <c r="L2527" s="650"/>
      <c r="M2527" s="650"/>
      <c r="N2527" s="644"/>
      <c r="O2527" s="644"/>
      <c r="P2527" s="644"/>
      <c r="Q2527" s="644"/>
      <c r="R2527" s="644"/>
      <c r="S2527" s="651"/>
      <c r="T2527" s="102">
        <f t="shared" si="1882"/>
        <v>0</v>
      </c>
      <c r="U2527" s="78" t="str">
        <f>IF(NOT(ISNUMBER(G2527)), "", VLOOKUP(A2527,'Discount Lookup'!D:E,2,FALSE)*G2527)</f>
        <v/>
      </c>
      <c r="V2527" s="78" t="str">
        <f>IF(NOT(ISNUMBER(G2527)), "", VLOOKUP(A2527,'Discount Lookup'!G:H,2,FALSE)*G2527)</f>
        <v/>
      </c>
      <c r="W2527" s="102">
        <f t="shared" si="1883"/>
        <v>0</v>
      </c>
      <c r="X2527" s="102">
        <f t="shared" si="1884"/>
        <v>0</v>
      </c>
      <c r="Y2527" s="120" t="b">
        <f t="shared" si="1885"/>
        <v>0</v>
      </c>
      <c r="Z2527" s="117">
        <f t="shared" si="1886"/>
        <v>0</v>
      </c>
      <c r="AA2527" s="118"/>
      <c r="AB2527" s="118" t="str">
        <f t="shared" si="1887"/>
        <v/>
      </c>
      <c r="AC2527" s="712" t="str">
        <f>IF(AE2527="T2G","no charge",IF(AND(OR(PlanterYesMe="No",PlanterYesMe="N",PlanterYesMe="me"),H2527=""),"",IF(H2527="credit","NO install",IF(AND(K2527="",AE2527="me"),"EACH row",IF(AND(K2527="images",AE2527="me"),"EACH row",IF(D2527="","",IF(H2527="credit","",IF(AE2527="free","re-planting",IF(AE2527="me","   not ELP, by",IF(AND(OR(PlanterYesMe="Yes",PlanterYesMe="Y"),G2527&gt;0),(VLOOKUP(A2527,'Discount Lookup'!J:K,2)*G2527*(1-PlanterDiscount)*(1+PlanterDifficultyPercentage)),IF(AE2527="ELP",(VLOOKUP(A2527,'Discount Lookup'!J:K,2)*G2527*(1-PlanterDiscount)*(1+PlanterDifficultyPercentage)),IF(AE2527="free","re-planting",IF(G2527=0,"",IF(PlanterYesMe="",IF(AE2527="me","   not ELP, by",IF(AE2527="",IF(G2527&gt;0,(VLOOKUP(A2527,'Discount Lookup'!J:K,2)*G2527*(1-PlanterDiscount)*(1+PlanterDifficultyPercentage)),""),"")),"   not ELP, by"))))))))))))))</f>
        <v/>
      </c>
      <c r="AD2527" s="712"/>
      <c r="AE2527" s="513" t="str">
        <f t="shared" si="1888"/>
        <v/>
      </c>
      <c r="AF2527" s="713" t="str">
        <f t="shared" si="1889"/>
        <v/>
      </c>
      <c r="AG2527" s="713"/>
      <c r="AH2527" s="713"/>
      <c r="AI2527" s="112">
        <f>IF(H2527="credit",0,IF(AE2527="free",0,IF(AE2527="me",0,IF(G2527&gt;0,(VLOOKUP(A2527,'Discount Lookup'!J:K,2)*G2527),0))))</f>
        <v>0</v>
      </c>
      <c r="AJ2527" s="107" t="str">
        <f t="shared" ca="1" si="1890"/>
        <v/>
      </c>
      <c r="AK2527" s="714" t="str">
        <f t="shared" si="1891"/>
        <v/>
      </c>
      <c r="AL2527" s="714"/>
      <c r="AM2527" s="114" t="str">
        <f t="shared" si="1892"/>
        <v/>
      </c>
      <c r="AN2527" s="115"/>
      <c r="AO2527" s="116"/>
      <c r="AP2527" s="116"/>
      <c r="AQ2527" s="116"/>
      <c r="AR2527" s="116"/>
      <c r="AS2527" s="116"/>
      <c r="AT2527" s="116"/>
      <c r="AU2527" s="116"/>
      <c r="AV2527" s="78"/>
      <c r="AW2527" s="102"/>
      <c r="AX2527" s="78"/>
      <c r="AY2527" s="78"/>
      <c r="AZ2527" s="78"/>
      <c r="BA2527" s="78"/>
      <c r="BB2527" s="78"/>
      <c r="BC2527" s="78"/>
      <c r="BD2527" s="78"/>
      <c r="BE2527" s="465"/>
      <c r="BF2527" s="165" t="str">
        <f t="shared" si="1893"/>
        <v>https://www.google.com/search?tbm=isch&amp;q=Miss%20Frances%20blooms%20from%20June%20to%20August%2C%20then%20displays%20a%20nice%20maroon%20fall%20foliage%20</v>
      </c>
      <c r="BG2527" s="165" t="str">
        <f t="shared" si="1894"/>
        <v>M</v>
      </c>
      <c r="BH2527" s="65"/>
      <c r="BI2527" s="65"/>
      <c r="BJ2527" s="65"/>
      <c r="BK2527" s="65"/>
      <c r="BL2527" s="99"/>
      <c r="BM2527" s="99"/>
      <c r="BN2527" s="99"/>
    </row>
    <row r="2528" spans="1:66" s="51" customFormat="1" ht="18" x14ac:dyDescent="0.25">
      <c r="A2528" s="623" t="s">
        <v>3192</v>
      </c>
      <c r="B2528" s="624"/>
      <c r="C2528" s="709"/>
      <c r="D2528" s="625" t="s">
        <v>3193</v>
      </c>
      <c r="E2528" s="626"/>
      <c r="F2528" s="626"/>
      <c r="G2528" s="626"/>
      <c r="H2528" s="622" t="s">
        <v>327</v>
      </c>
      <c r="I2528" s="627" t="s">
        <v>1597</v>
      </c>
      <c r="J2528" s="628"/>
      <c r="K2528" s="628"/>
      <c r="L2528" s="629"/>
      <c r="M2528" s="700" t="s">
        <v>5241</v>
      </c>
      <c r="N2528" s="693" t="str">
        <f>IF(AND(ISTEXT($A2528), ISERROR($A2528+0)), HYPERLINK($BF2528, "Images"), "")</f>
        <v>Images</v>
      </c>
      <c r="O2528" s="695" t="s">
        <v>5244</v>
      </c>
      <c r="P2528" s="630"/>
      <c r="Q2528" s="631"/>
      <c r="R2528" s="632"/>
      <c r="S2528" s="633"/>
      <c r="T2528" s="102">
        <f t="shared" si="1882"/>
        <v>0</v>
      </c>
      <c r="U2528" s="78" t="str">
        <f>IF(NOT(ISNUMBER(G2528)), "", VLOOKUP(A2528,'Discount Lookup'!D:E,2,FALSE)*G2528)</f>
        <v/>
      </c>
      <c r="V2528" s="78" t="str">
        <f>IF(NOT(ISNUMBER(G2528)), "", VLOOKUP(A2528,'Discount Lookup'!G:H,2,FALSE)*G2528)</f>
        <v/>
      </c>
      <c r="W2528" s="102">
        <f t="shared" si="1883"/>
        <v>0</v>
      </c>
      <c r="X2528" s="102" t="str">
        <f t="shared" si="1884"/>
        <v>Deep Purple bloom</v>
      </c>
      <c r="Y2528" s="120" t="b">
        <f t="shared" si="1885"/>
        <v>0</v>
      </c>
      <c r="Z2528" s="117">
        <f t="shared" si="1886"/>
        <v>0</v>
      </c>
      <c r="AA2528" s="118"/>
      <c r="AB2528" s="118" t="str">
        <f t="shared" si="1887"/>
        <v/>
      </c>
      <c r="AC2528" s="712" t="str">
        <f>IF(AE2528="T2G","no charge",IF(AND(OR(PlanterYesMe="No",PlanterYesMe="N",PlanterYesMe="me"),H2528=""),"",IF(H2528="credit","NO install",IF(AND(K2528="",AE2528="me"),"EACH row",IF(AND(K2528="images",AE2528="me"),"EACH row",IF(D2528="","",IF(H2528="credit","",IF(AE2528="free","re-planting",IF(AE2528="me","   not ELP, by",IF(AND(OR(PlanterYesMe="Yes",PlanterYesMe="Y"),G2528&gt;0),(VLOOKUP(A2528,'Discount Lookup'!J:K,2)*G2528*(1-PlanterDiscount)*(1+PlanterDifficultyPercentage)),IF(AE2528="ELP",(VLOOKUP(A2528,'Discount Lookup'!J:K,2)*G2528*(1-PlanterDiscount)*(1+PlanterDifficultyPercentage)),IF(AE2528="free","re-planting",IF(G2528=0,"",IF(PlanterYesMe="",IF(AE2528="me","   not ELP, by",IF(AE2528="",IF(G2528&gt;0,(VLOOKUP(A2528,'Discount Lookup'!J:K,2)*G2528*(1-PlanterDiscount)*(1+PlanterDifficultyPercentage)),""),"")),"   not ELP, by"))))))))))))))</f>
        <v/>
      </c>
      <c r="AD2528" s="712"/>
      <c r="AE2528" s="513" t="str">
        <f t="shared" si="1888"/>
        <v/>
      </c>
      <c r="AF2528" s="713" t="str">
        <f t="shared" si="1889"/>
        <v/>
      </c>
      <c r="AG2528" s="713"/>
      <c r="AH2528" s="713"/>
      <c r="AI2528" s="112">
        <f>IF(H2528="credit",0,IF(AE2528="free",0,IF(AE2528="me",0,IF(G2528&gt;0,(VLOOKUP(A2528,'Discount Lookup'!J:K,2)*G2528),0))))</f>
        <v>0</v>
      </c>
      <c r="AJ2528" s="107" t="str">
        <f t="shared" ca="1" si="1890"/>
        <v/>
      </c>
      <c r="AK2528" s="714" t="str">
        <f t="shared" si="1891"/>
        <v/>
      </c>
      <c r="AL2528" s="714"/>
      <c r="AM2528" s="114" t="str">
        <f t="shared" si="1892"/>
        <v/>
      </c>
      <c r="AN2528" s="115"/>
      <c r="AO2528" s="116"/>
      <c r="AP2528" s="116"/>
      <c r="AQ2528" s="116"/>
      <c r="AR2528" s="116"/>
      <c r="AS2528" s="116"/>
      <c r="AT2528" s="116"/>
      <c r="AU2528" s="116"/>
      <c r="AV2528" s="78"/>
      <c r="AW2528" s="102"/>
      <c r="AX2528" s="78"/>
      <c r="AY2528" s="78"/>
      <c r="AZ2528" s="78"/>
      <c r="BA2528" s="78"/>
      <c r="BB2528" s="78"/>
      <c r="BC2528" s="78"/>
      <c r="BD2528" s="78"/>
      <c r="BE2528" s="465"/>
      <c r="BF2528" s="165" t="str">
        <f t="shared" si="1893"/>
        <v>https://www.google.com/search?tbm=isch&amp;q=Lagerstroemia%20indica%20%27Twilight%27%20Twilight%20Crape%20Myrtle</v>
      </c>
      <c r="BG2528" s="165" t="str">
        <f t="shared" si="1894"/>
        <v>L</v>
      </c>
      <c r="BH2528" s="65"/>
      <c r="BI2528" s="65"/>
      <c r="BJ2528" s="65"/>
      <c r="BK2528" s="65"/>
      <c r="BL2528" s="99"/>
      <c r="BM2528" s="99"/>
      <c r="BN2528" s="99"/>
    </row>
    <row r="2529" spans="1:66" s="51" customFormat="1" ht="15.75" x14ac:dyDescent="0.25">
      <c r="A2529" s="634">
        <v>10</v>
      </c>
      <c r="B2529" s="635" t="s">
        <v>291</v>
      </c>
      <c r="C2529" s="636" t="s">
        <v>3194</v>
      </c>
      <c r="D2529" s="637" t="s">
        <v>309</v>
      </c>
      <c r="E2529" s="638">
        <v>83.95</v>
      </c>
      <c r="F2529" s="639" t="s">
        <v>292</v>
      </c>
      <c r="G2529" s="484">
        <v>0</v>
      </c>
      <c r="H2529" s="691" t="str">
        <f>IF(G2529=0,"",IF(F2529="Buy",IF(G2529=1,"plant","plants"),IF(F2529&gt;0.01,"warranty","Error")))</f>
        <v/>
      </c>
      <c r="I2529" s="640">
        <f>IF(H2529="free",0,IF(H2529="credit",((E2529*(F2529))*G2529*-1),IF(F2529="Buy",(E2529*G2529),((E2529*(1-F2529))*G2529))))</f>
        <v>0</v>
      </c>
      <c r="J2529" s="640">
        <f>IF(H2529="warranty",0,(I2529*(_xlfn.SINGLE(SalesTaxPercentage))))</f>
        <v>0</v>
      </c>
      <c r="K2529" s="716">
        <f t="shared" ref="K2529" si="1901">I2529+J2529</f>
        <v>0</v>
      </c>
      <c r="L2529" s="716"/>
      <c r="M2529" s="689" t="str">
        <f ca="1">IF(AND(G2529&gt;0,E2529=0),"WARNING - no PRICE inserted",IF(H2529="free","FREE ~ no charge this plant",IF(H2529="credit",CONCATENATE("-$",ROUND(K2529*(1-_xlfn.SINGLE(T2GDiscount))*-1,2)," CREDIT after discount"),IF(_xlfn.SINGLE(T2GDiscount)=0,"",IF(G2529=0,"",IF(F2529="Buy",CONCATENATE("$",ROUND(K2529*(1-_xlfn.SINGLE(T2GDiscount)),2)," with ",(_xlfn.SINGLE(T2GDiscount)*100),"% discount"),CONCATENATE("$",ROUND(K2529*(1-_xlfn.SINGLE(T2GDiscount)),2)," with ",((_xlfn.SINGLE(T2GDiscount)*100+F2529*100)-(_xlfn.SINGLE(T2GDiscount)*100*F2529)),IF(F2529&gt;0,"% discounts",IF(_xlfn.SINGLE(NoWarrantyDiscount)&gt;0,"% discounts","% discount")))))))))</f>
        <v/>
      </c>
      <c r="N2529" s="690"/>
      <c r="O2529" s="486"/>
      <c r="P2529" s="486"/>
      <c r="Q2529" s="486"/>
      <c r="R2529" s="486"/>
      <c r="S2529" s="486"/>
      <c r="T2529" s="102">
        <f t="shared" si="1882"/>
        <v>0</v>
      </c>
      <c r="U2529" s="78">
        <f>IF(NOT(ISNUMBER(G2529)), "", VLOOKUP(A2529,'Discount Lookup'!D:E,2,FALSE)*G2529)</f>
        <v>0</v>
      </c>
      <c r="V2529" s="78">
        <f>IF(NOT(ISNUMBER(G2529)), "", VLOOKUP(A2529,'Discount Lookup'!G:H,2,FALSE)*G2529)</f>
        <v>0</v>
      </c>
      <c r="W2529" s="102">
        <f t="shared" si="1883"/>
        <v>0</v>
      </c>
      <c r="X2529" s="102">
        <f t="shared" si="1884"/>
        <v>0</v>
      </c>
      <c r="Y2529" s="120" t="b">
        <f t="shared" si="1885"/>
        <v>0</v>
      </c>
      <c r="Z2529" s="117">
        <f t="shared" si="1886"/>
        <v>0</v>
      </c>
      <c r="AA2529" s="118"/>
      <c r="AB2529" s="118" t="str">
        <f t="shared" si="1887"/>
        <v/>
      </c>
      <c r="AC2529" s="712" t="str">
        <f>IF(AE2529="T2G","no charge",IF(AND(OR(PlanterYesMe="No",PlanterYesMe="N",PlanterYesMe="me"),H2529=""),"",IF(H2529="credit","NO install",IF(AND(K2529="",AE2529="me"),"EACH row",IF(AND(K2529="images",AE2529="me"),"EACH row",IF(D2529="","",IF(H2529="credit","",IF(AE2529="free","re-planting",IF(AE2529="me","   not ELP, by",IF(AND(OR(PlanterYesMe="Yes",PlanterYesMe="Y"),G2529&gt;0),(VLOOKUP(A2529,'Discount Lookup'!J:K,2)*G2529*(1-PlanterDiscount)*(1+PlanterDifficultyPercentage)),IF(AE2529="ELP",(VLOOKUP(A2529,'Discount Lookup'!J:K,2)*G2529*(1-PlanterDiscount)*(1+PlanterDifficultyPercentage)),IF(AE2529="free","re-planting",IF(G2529=0,"",IF(PlanterYesMe="",IF(AE2529="me","   not ELP, by",IF(AE2529="",IF(G2529&gt;0,(VLOOKUP(A2529,'Discount Lookup'!J:K,2)*G2529*(1-PlanterDiscount)*(1+PlanterDifficultyPercentage)),""),"")),"   not ELP, by"))))))))))))))</f>
        <v/>
      </c>
      <c r="AD2529" s="712"/>
      <c r="AE2529" s="513" t="str">
        <f t="shared" si="1888"/>
        <v/>
      </c>
      <c r="AF2529" s="713" t="str">
        <f t="shared" si="1889"/>
        <v/>
      </c>
      <c r="AG2529" s="713"/>
      <c r="AH2529" s="713"/>
      <c r="AI2529" s="112">
        <f>IF(H2529="credit",0,IF(AE2529="free",0,IF(AE2529="me",0,IF(G2529&gt;0,(VLOOKUP(A2529,'Discount Lookup'!J:K,2)*G2529),0))))</f>
        <v>0</v>
      </c>
      <c r="AJ2529" s="107" t="str">
        <f t="shared" ca="1" si="1890"/>
        <v/>
      </c>
      <c r="AK2529" s="714" t="str">
        <f t="shared" si="1891"/>
        <v/>
      </c>
      <c r="AL2529" s="714"/>
      <c r="AM2529" s="114" t="str">
        <f t="shared" si="1892"/>
        <v/>
      </c>
      <c r="AN2529" s="115"/>
      <c r="AO2529" s="116"/>
      <c r="AP2529" s="116"/>
      <c r="AQ2529" s="116"/>
      <c r="AR2529" s="116"/>
      <c r="AS2529" s="116"/>
      <c r="AT2529" s="116"/>
      <c r="AU2529" s="116"/>
      <c r="AV2529" s="78"/>
      <c r="AW2529" s="102"/>
      <c r="AX2529" s="78"/>
      <c r="AY2529" s="78"/>
      <c r="AZ2529" s="78"/>
      <c r="BA2529" s="78"/>
      <c r="BB2529" s="78"/>
      <c r="BC2529" s="78"/>
      <c r="BD2529" s="78"/>
      <c r="BE2529" s="465"/>
      <c r="BF2529" s="165" t="str">
        <f t="shared" si="1893"/>
        <v>https://www.google.com/search?tbm=isch&amp;q=10%20G3</v>
      </c>
      <c r="BG2529" s="165" t="str">
        <f t="shared" si="1894"/>
        <v>L</v>
      </c>
      <c r="BH2529" s="65"/>
      <c r="BI2529" s="65"/>
      <c r="BJ2529" s="65"/>
      <c r="BK2529" s="65"/>
      <c r="BL2529" s="99"/>
      <c r="BM2529" s="99"/>
      <c r="BN2529" s="99"/>
    </row>
    <row r="2530" spans="1:66" s="51" customFormat="1" ht="15.75" x14ac:dyDescent="0.25">
      <c r="A2530" s="634">
        <v>15</v>
      </c>
      <c r="B2530" s="635" t="s">
        <v>291</v>
      </c>
      <c r="C2530" s="636" t="s">
        <v>3195</v>
      </c>
      <c r="D2530" s="637" t="s">
        <v>309</v>
      </c>
      <c r="E2530" s="638">
        <v>155.94999999999999</v>
      </c>
      <c r="F2530" s="639" t="s">
        <v>292</v>
      </c>
      <c r="G2530" s="484">
        <v>0</v>
      </c>
      <c r="H2530" s="691" t="str">
        <f>IF(G2530=0,"",IF(F2530="Buy",IF(G2530=1,"plant","plants"),IF(F2530&gt;0.01,"warranty","Error")))</f>
        <v/>
      </c>
      <c r="I2530" s="640">
        <f>IF(H2530="free",0,IF(H2530="credit",((E2530*(F2530))*G2530*-1),IF(F2530="Buy",(E2530*G2530),((E2530*(1-F2530))*G2530))))</f>
        <v>0</v>
      </c>
      <c r="J2530" s="640">
        <f>IF(H2530="warranty",0,(I2530*(_xlfn.SINGLE(SalesTaxPercentage))))</f>
        <v>0</v>
      </c>
      <c r="K2530" s="716">
        <f t="shared" ref="K2530" si="1902">I2530+J2530</f>
        <v>0</v>
      </c>
      <c r="L2530" s="716"/>
      <c r="M2530" s="689" t="str">
        <f ca="1">IF(AND(G2530&gt;0,E2530=0),"WARNING - no PRICE inserted",IF(H2530="free","FREE ~ no charge this plant",IF(H2530="credit",CONCATENATE("-$",ROUND(K2530*(1-_xlfn.SINGLE(T2GDiscount))*-1,2)," CREDIT after discount"),IF(_xlfn.SINGLE(T2GDiscount)=0,"",IF(G2530=0,"",IF(F2530="Buy",CONCATENATE("$",ROUND(K2530*(1-_xlfn.SINGLE(T2GDiscount)),2)," with ",(_xlfn.SINGLE(T2GDiscount)*100),"% discount"),CONCATENATE("$",ROUND(K2530*(1-_xlfn.SINGLE(T2GDiscount)),2)," with ",((_xlfn.SINGLE(T2GDiscount)*100+F2530*100)-(_xlfn.SINGLE(T2GDiscount)*100*F2530)),IF(F2530&gt;0,"% discounts",IF(_xlfn.SINGLE(NoWarrantyDiscount)&gt;0,"% discounts","% discount")))))))))</f>
        <v/>
      </c>
      <c r="N2530" s="690"/>
      <c r="O2530" s="486"/>
      <c r="P2530" s="486"/>
      <c r="Q2530" s="486"/>
      <c r="R2530" s="486"/>
      <c r="S2530" s="486"/>
      <c r="T2530" s="102">
        <f t="shared" si="1882"/>
        <v>0</v>
      </c>
      <c r="U2530" s="78">
        <f>IF(NOT(ISNUMBER(G2530)), "", VLOOKUP(A2530,'Discount Lookup'!D:E,2,FALSE)*G2530)</f>
        <v>0</v>
      </c>
      <c r="V2530" s="78">
        <f>IF(NOT(ISNUMBER(G2530)), "", VLOOKUP(A2530,'Discount Lookup'!G:H,2,FALSE)*G2530)</f>
        <v>0</v>
      </c>
      <c r="W2530" s="102">
        <f t="shared" si="1883"/>
        <v>0</v>
      </c>
      <c r="X2530" s="102">
        <f t="shared" si="1884"/>
        <v>0</v>
      </c>
      <c r="Y2530" s="120" t="b">
        <f t="shared" si="1885"/>
        <v>0</v>
      </c>
      <c r="Z2530" s="117">
        <f t="shared" si="1886"/>
        <v>0</v>
      </c>
      <c r="AA2530" s="118"/>
      <c r="AB2530" s="118" t="str">
        <f t="shared" si="1887"/>
        <v/>
      </c>
      <c r="AC2530" s="712" t="str">
        <f>IF(AE2530="T2G","no charge",IF(AND(OR(PlanterYesMe="No",PlanterYesMe="N",PlanterYesMe="me"),H2530=""),"",IF(H2530="credit","NO install",IF(AND(K2530="",AE2530="me"),"EACH row",IF(AND(K2530="images",AE2530="me"),"EACH row",IF(D2530="","",IF(H2530="credit","",IF(AE2530="free","re-planting",IF(AE2530="me","   not ELP, by",IF(AND(OR(PlanterYesMe="Yes",PlanterYesMe="Y"),G2530&gt;0),(VLOOKUP(A2530,'Discount Lookup'!J:K,2)*G2530*(1-PlanterDiscount)*(1+PlanterDifficultyPercentage)),IF(AE2530="ELP",(VLOOKUP(A2530,'Discount Lookup'!J:K,2)*G2530*(1-PlanterDiscount)*(1+PlanterDifficultyPercentage)),IF(AE2530="free","re-planting",IF(G2530=0,"",IF(PlanterYesMe="",IF(AE2530="me","   not ELP, by",IF(AE2530="",IF(G2530&gt;0,(VLOOKUP(A2530,'Discount Lookup'!J:K,2)*G2530*(1-PlanterDiscount)*(1+PlanterDifficultyPercentage)),""),"")),"   not ELP, by"))))))))))))))</f>
        <v/>
      </c>
      <c r="AD2530" s="712"/>
      <c r="AE2530" s="513" t="str">
        <f t="shared" si="1888"/>
        <v/>
      </c>
      <c r="AF2530" s="713" t="str">
        <f t="shared" si="1889"/>
        <v/>
      </c>
      <c r="AG2530" s="713"/>
      <c r="AH2530" s="713"/>
      <c r="AI2530" s="112">
        <f>IF(H2530="credit",0,IF(AE2530="free",0,IF(AE2530="me",0,IF(G2530&gt;0,(VLOOKUP(A2530,'Discount Lookup'!J:K,2)*G2530),0))))</f>
        <v>0</v>
      </c>
      <c r="AJ2530" s="107" t="str">
        <f t="shared" ca="1" si="1890"/>
        <v/>
      </c>
      <c r="AK2530" s="714" t="str">
        <f t="shared" si="1891"/>
        <v/>
      </c>
      <c r="AL2530" s="714"/>
      <c r="AM2530" s="114" t="str">
        <f t="shared" si="1892"/>
        <v/>
      </c>
      <c r="AN2530" s="115"/>
      <c r="AO2530" s="116"/>
      <c r="AP2530" s="116"/>
      <c r="AQ2530" s="116"/>
      <c r="AR2530" s="116"/>
      <c r="AS2530" s="116"/>
      <c r="AT2530" s="116"/>
      <c r="AU2530" s="116"/>
      <c r="AV2530" s="78"/>
      <c r="AW2530" s="102"/>
      <c r="AX2530" s="78"/>
      <c r="AY2530" s="78"/>
      <c r="AZ2530" s="78"/>
      <c r="BA2530" s="78"/>
      <c r="BB2530" s="78"/>
      <c r="BC2530" s="78"/>
      <c r="BD2530" s="78"/>
      <c r="BE2530" s="465"/>
      <c r="BF2530" s="165" t="str">
        <f t="shared" si="1893"/>
        <v>https://www.google.com/search?tbm=isch&amp;q=15%20G3</v>
      </c>
      <c r="BG2530" s="165" t="str">
        <f t="shared" si="1894"/>
        <v>L</v>
      </c>
      <c r="BH2530" s="65"/>
      <c r="BI2530" s="65"/>
      <c r="BJ2530" s="65"/>
      <c r="BK2530" s="65"/>
      <c r="BL2530" s="99"/>
      <c r="BM2530" s="99"/>
      <c r="BN2530" s="99"/>
    </row>
    <row r="2531" spans="1:66" s="51" customFormat="1" ht="15.75" x14ac:dyDescent="0.25">
      <c r="A2531" s="634">
        <v>20</v>
      </c>
      <c r="B2531" s="635" t="s">
        <v>291</v>
      </c>
      <c r="C2531" s="636" t="s">
        <v>3196</v>
      </c>
      <c r="D2531" s="637" t="s">
        <v>309</v>
      </c>
      <c r="E2531" s="638">
        <v>224.95</v>
      </c>
      <c r="F2531" s="639" t="s">
        <v>292</v>
      </c>
      <c r="G2531" s="484">
        <v>0</v>
      </c>
      <c r="H2531" s="691" t="str">
        <f>IF(G2531=0,"",IF(F2531="Buy",IF(G2531=1,"plant","plants"),IF(F2531&gt;0.01,"warranty","Error")))</f>
        <v/>
      </c>
      <c r="I2531" s="640">
        <f>IF(H2531="free",0,IF(H2531="credit",((E2531*(F2531))*G2531*-1),IF(F2531="Buy",(E2531*G2531),((E2531*(1-F2531))*G2531))))</f>
        <v>0</v>
      </c>
      <c r="J2531" s="640">
        <f>IF(H2531="warranty",0,(I2531*(_xlfn.SINGLE(SalesTaxPercentage))))</f>
        <v>0</v>
      </c>
      <c r="K2531" s="716">
        <f t="shared" ref="K2531" si="1903">I2531+J2531</f>
        <v>0</v>
      </c>
      <c r="L2531" s="716"/>
      <c r="M2531" s="689" t="str">
        <f ca="1">IF(AND(G2531&gt;0,E2531=0),"WARNING - no PRICE inserted",IF(H2531="free","FREE ~ no charge this plant",IF(H2531="credit",CONCATENATE("-$",ROUND(K2531*(1-_xlfn.SINGLE(T2GDiscount))*-1,2)," CREDIT after discount"),IF(_xlfn.SINGLE(T2GDiscount)=0,"",IF(G2531=0,"",IF(F2531="Buy",CONCATENATE("$",ROUND(K2531*(1-_xlfn.SINGLE(T2GDiscount)),2)," with ",(_xlfn.SINGLE(T2GDiscount)*100),"% discount"),CONCATENATE("$",ROUND(K2531*(1-_xlfn.SINGLE(T2GDiscount)),2)," with ",((_xlfn.SINGLE(T2GDiscount)*100+F2531*100)-(_xlfn.SINGLE(T2GDiscount)*100*F2531)),IF(F2531&gt;0,"% discounts",IF(_xlfn.SINGLE(NoWarrantyDiscount)&gt;0,"% discounts","% discount")))))))))</f>
        <v/>
      </c>
      <c r="N2531" s="690"/>
      <c r="O2531" s="486"/>
      <c r="P2531" s="486"/>
      <c r="Q2531" s="486"/>
      <c r="R2531" s="486"/>
      <c r="S2531" s="486"/>
      <c r="T2531" s="102">
        <f t="shared" si="1882"/>
        <v>0</v>
      </c>
      <c r="U2531" s="78">
        <f>IF(NOT(ISNUMBER(G2531)), "", VLOOKUP(A2531,'Discount Lookup'!D:E,2,FALSE)*G2531)</f>
        <v>0</v>
      </c>
      <c r="V2531" s="78">
        <f>IF(NOT(ISNUMBER(G2531)), "", VLOOKUP(A2531,'Discount Lookup'!G:H,2,FALSE)*G2531)</f>
        <v>0</v>
      </c>
      <c r="W2531" s="102">
        <f t="shared" si="1883"/>
        <v>0</v>
      </c>
      <c r="X2531" s="102">
        <f t="shared" si="1884"/>
        <v>0</v>
      </c>
      <c r="Y2531" s="120" t="b">
        <f t="shared" si="1885"/>
        <v>0</v>
      </c>
      <c r="Z2531" s="117">
        <f t="shared" si="1886"/>
        <v>0</v>
      </c>
      <c r="AA2531" s="118"/>
      <c r="AB2531" s="118" t="str">
        <f t="shared" si="1887"/>
        <v/>
      </c>
      <c r="AC2531" s="712" t="str">
        <f>IF(AE2531="T2G","no charge",IF(AND(OR(PlanterYesMe="No",PlanterYesMe="N",PlanterYesMe="me"),H2531=""),"",IF(H2531="credit","NO install",IF(AND(K2531="",AE2531="me"),"EACH row",IF(AND(K2531="images",AE2531="me"),"EACH row",IF(D2531="","",IF(H2531="credit","",IF(AE2531="free","re-planting",IF(AE2531="me","   not ELP, by",IF(AND(OR(PlanterYesMe="Yes",PlanterYesMe="Y"),G2531&gt;0),(VLOOKUP(A2531,'Discount Lookup'!J:K,2)*G2531*(1-PlanterDiscount)*(1+PlanterDifficultyPercentage)),IF(AE2531="ELP",(VLOOKUP(A2531,'Discount Lookup'!J:K,2)*G2531*(1-PlanterDiscount)*(1+PlanterDifficultyPercentage)),IF(AE2531="free","re-planting",IF(G2531=0,"",IF(PlanterYesMe="",IF(AE2531="me","   not ELP, by",IF(AE2531="",IF(G2531&gt;0,(VLOOKUP(A2531,'Discount Lookup'!J:K,2)*G2531*(1-PlanterDiscount)*(1+PlanterDifficultyPercentage)),""),"")),"   not ELP, by"))))))))))))))</f>
        <v/>
      </c>
      <c r="AD2531" s="712"/>
      <c r="AE2531" s="513" t="str">
        <f t="shared" si="1888"/>
        <v/>
      </c>
      <c r="AF2531" s="713" t="str">
        <f t="shared" si="1889"/>
        <v/>
      </c>
      <c r="AG2531" s="713"/>
      <c r="AH2531" s="713"/>
      <c r="AI2531" s="112">
        <f>IF(H2531="credit",0,IF(AE2531="free",0,IF(AE2531="me",0,IF(G2531&gt;0,(VLOOKUP(A2531,'Discount Lookup'!J:K,2)*G2531),0))))</f>
        <v>0</v>
      </c>
      <c r="AJ2531" s="107" t="str">
        <f t="shared" ca="1" si="1890"/>
        <v/>
      </c>
      <c r="AK2531" s="714" t="str">
        <f t="shared" si="1891"/>
        <v/>
      </c>
      <c r="AL2531" s="714"/>
      <c r="AM2531" s="114" t="str">
        <f t="shared" si="1892"/>
        <v/>
      </c>
      <c r="AN2531" s="115"/>
      <c r="AO2531" s="116"/>
      <c r="AP2531" s="116"/>
      <c r="AQ2531" s="116"/>
      <c r="AR2531" s="116"/>
      <c r="AS2531" s="116"/>
      <c r="AT2531" s="116"/>
      <c r="AU2531" s="116"/>
      <c r="AV2531" s="78"/>
      <c r="AW2531" s="102"/>
      <c r="AX2531" s="78"/>
      <c r="AY2531" s="78"/>
      <c r="AZ2531" s="78"/>
      <c r="BA2531" s="78"/>
      <c r="BB2531" s="78"/>
      <c r="BC2531" s="78"/>
      <c r="BD2531" s="78"/>
      <c r="BE2531" s="465"/>
      <c r="BF2531" s="165" t="str">
        <f t="shared" si="1893"/>
        <v>https://www.google.com/search?tbm=isch&amp;q=20%20G3</v>
      </c>
      <c r="BG2531" s="165" t="str">
        <f t="shared" si="1894"/>
        <v>L</v>
      </c>
      <c r="BH2531" s="65"/>
      <c r="BI2531" s="65"/>
      <c r="BJ2531" s="65"/>
      <c r="BK2531" s="65"/>
      <c r="BL2531" s="99"/>
      <c r="BM2531" s="99"/>
      <c r="BN2531" s="99"/>
    </row>
    <row r="2532" spans="1:66" s="51" customFormat="1" ht="17.25" thickBot="1" x14ac:dyDescent="0.3">
      <c r="A2532" s="641" t="s">
        <v>3197</v>
      </c>
      <c r="B2532" s="642"/>
      <c r="C2532" s="710"/>
      <c r="D2532" s="643"/>
      <c r="E2532" s="643"/>
      <c r="F2532" s="644"/>
      <c r="G2532" s="645"/>
      <c r="H2532" s="646"/>
      <c r="I2532" s="647"/>
      <c r="J2532" s="648"/>
      <c r="K2532" s="649"/>
      <c r="L2532" s="650"/>
      <c r="M2532" s="650"/>
      <c r="N2532" s="644"/>
      <c r="O2532" s="644"/>
      <c r="P2532" s="644"/>
      <c r="Q2532" s="644"/>
      <c r="R2532" s="644"/>
      <c r="S2532" s="651"/>
      <c r="T2532" s="102">
        <f t="shared" si="1882"/>
        <v>0</v>
      </c>
      <c r="U2532" s="78" t="str">
        <f>IF(NOT(ISNUMBER(G2532)), "", VLOOKUP(A2532,'Discount Lookup'!D:E,2,FALSE)*G2532)</f>
        <v/>
      </c>
      <c r="V2532" s="78" t="str">
        <f>IF(NOT(ISNUMBER(G2532)), "", VLOOKUP(A2532,'Discount Lookup'!G:H,2,FALSE)*G2532)</f>
        <v/>
      </c>
      <c r="W2532" s="102">
        <f t="shared" si="1883"/>
        <v>0</v>
      </c>
      <c r="X2532" s="102">
        <f t="shared" si="1884"/>
        <v>0</v>
      </c>
      <c r="Y2532" s="120" t="b">
        <f t="shared" si="1885"/>
        <v>0</v>
      </c>
      <c r="Z2532" s="117">
        <f t="shared" si="1886"/>
        <v>0</v>
      </c>
      <c r="AA2532" s="118"/>
      <c r="AB2532" s="118" t="str">
        <f t="shared" si="1887"/>
        <v/>
      </c>
      <c r="AC2532" s="712" t="str">
        <f>IF(AE2532="T2G","no charge",IF(AND(OR(PlanterYesMe="No",PlanterYesMe="N",PlanterYesMe="me"),H2532=""),"",IF(H2532="credit","NO install",IF(AND(K2532="",AE2532="me"),"EACH row",IF(AND(K2532="images",AE2532="me"),"EACH row",IF(D2532="","",IF(H2532="credit","",IF(AE2532="free","re-planting",IF(AE2532="me","   not ELP, by",IF(AND(OR(PlanterYesMe="Yes",PlanterYesMe="Y"),G2532&gt;0),(VLOOKUP(A2532,'Discount Lookup'!J:K,2)*G2532*(1-PlanterDiscount)*(1+PlanterDifficultyPercentage)),IF(AE2532="ELP",(VLOOKUP(A2532,'Discount Lookup'!J:K,2)*G2532*(1-PlanterDiscount)*(1+PlanterDifficultyPercentage)),IF(AE2532="free","re-planting",IF(G2532=0,"",IF(PlanterYesMe="",IF(AE2532="me","   not ELP, by",IF(AE2532="",IF(G2532&gt;0,(VLOOKUP(A2532,'Discount Lookup'!J:K,2)*G2532*(1-PlanterDiscount)*(1+PlanterDifficultyPercentage)),""),"")),"   not ELP, by"))))))))))))))</f>
        <v/>
      </c>
      <c r="AD2532" s="712"/>
      <c r="AE2532" s="513" t="str">
        <f t="shared" si="1888"/>
        <v/>
      </c>
      <c r="AF2532" s="713" t="str">
        <f t="shared" si="1889"/>
        <v/>
      </c>
      <c r="AG2532" s="713"/>
      <c r="AH2532" s="713"/>
      <c r="AI2532" s="112">
        <f>IF(H2532="credit",0,IF(AE2532="free",0,IF(AE2532="me",0,IF(G2532&gt;0,(VLOOKUP(A2532,'Discount Lookup'!J:K,2)*G2532),0))))</f>
        <v>0</v>
      </c>
      <c r="AJ2532" s="107" t="str">
        <f t="shared" ca="1" si="1890"/>
        <v/>
      </c>
      <c r="AK2532" s="714" t="str">
        <f t="shared" si="1891"/>
        <v/>
      </c>
      <c r="AL2532" s="714"/>
      <c r="AM2532" s="114" t="str">
        <f t="shared" si="1892"/>
        <v/>
      </c>
      <c r="AN2532" s="115"/>
      <c r="AO2532" s="116"/>
      <c r="AP2532" s="116"/>
      <c r="AQ2532" s="116"/>
      <c r="AR2532" s="116"/>
      <c r="AS2532" s="116"/>
      <c r="AT2532" s="116"/>
      <c r="AU2532" s="116"/>
      <c r="AV2532" s="78"/>
      <c r="AW2532" s="102"/>
      <c r="AX2532" s="78"/>
      <c r="AY2532" s="78"/>
      <c r="AZ2532" s="78"/>
      <c r="BA2532" s="78"/>
      <c r="BB2532" s="78"/>
      <c r="BC2532" s="78"/>
      <c r="BD2532" s="78"/>
      <c r="BE2532" s="465"/>
      <c r="BF2532" s="165" t="str">
        <f t="shared" si="1893"/>
        <v>https://www.google.com/search?tbm=isch&amp;q=Twilight%20has%20the%20deepest%20purple%20bloom%20displays%20among%20crape%20myrtles.%20Exfoliating%20bark%20has%20patches%20of%20Cinnamon-Pink%20tones%20</v>
      </c>
      <c r="BG2532" s="165" t="str">
        <f t="shared" si="1894"/>
        <v>T</v>
      </c>
      <c r="BH2532" s="65"/>
      <c r="BI2532" s="65"/>
      <c r="BJ2532" s="65"/>
      <c r="BK2532" s="65"/>
      <c r="BL2532" s="99"/>
      <c r="BM2532" s="99"/>
      <c r="BN2532" s="99"/>
    </row>
    <row r="2533" spans="1:66" s="51" customFormat="1" ht="18" x14ac:dyDescent="0.25">
      <c r="A2533" s="623" t="s">
        <v>3198</v>
      </c>
      <c r="B2533" s="624"/>
      <c r="C2533" s="709"/>
      <c r="D2533" s="625" t="s">
        <v>5721</v>
      </c>
      <c r="E2533" s="626"/>
      <c r="F2533" s="626"/>
      <c r="G2533" s="626"/>
      <c r="H2533" s="622" t="s">
        <v>327</v>
      </c>
      <c r="I2533" s="627" t="s">
        <v>1738</v>
      </c>
      <c r="J2533" s="628"/>
      <c r="K2533" s="628"/>
      <c r="L2533" s="629"/>
      <c r="M2533" s="700" t="s">
        <v>5241</v>
      </c>
      <c r="N2533" s="693" t="str">
        <f>IF(AND(ISTEXT($A2533), ISERROR($A2533+0)), HYPERLINK($BF2533, "Images"), "")</f>
        <v>Images</v>
      </c>
      <c r="O2533" s="695" t="s">
        <v>5247</v>
      </c>
      <c r="P2533" s="630"/>
      <c r="Q2533" s="631"/>
      <c r="R2533" s="632"/>
      <c r="S2533" s="633"/>
      <c r="T2533" s="102">
        <f t="shared" si="1882"/>
        <v>0</v>
      </c>
      <c r="U2533" s="78" t="str">
        <f>IF(NOT(ISNUMBER(G2533)), "", VLOOKUP(A2533,'Discount Lookup'!D:E,2,FALSE)*G2533)</f>
        <v/>
      </c>
      <c r="V2533" s="78" t="str">
        <f>IF(NOT(ISNUMBER(G2533)), "", VLOOKUP(A2533,'Discount Lookup'!G:H,2,FALSE)*G2533)</f>
        <v/>
      </c>
      <c r="W2533" s="102">
        <f t="shared" si="1883"/>
        <v>0</v>
      </c>
      <c r="X2533" s="102" t="str">
        <f t="shared" si="1884"/>
        <v>Red bloom</v>
      </c>
      <c r="Y2533" s="120" t="b">
        <f t="shared" si="1885"/>
        <v>0</v>
      </c>
      <c r="Z2533" s="117">
        <f t="shared" si="1886"/>
        <v>0</v>
      </c>
      <c r="AA2533" s="118"/>
      <c r="AB2533" s="118" t="str">
        <f t="shared" si="1887"/>
        <v/>
      </c>
      <c r="AC2533" s="712" t="str">
        <f>IF(AE2533="T2G","no charge",IF(AND(OR(PlanterYesMe="No",PlanterYesMe="N",PlanterYesMe="me"),H2533=""),"",IF(H2533="credit","NO install",IF(AND(K2533="",AE2533="me"),"EACH row",IF(AND(K2533="images",AE2533="me"),"EACH row",IF(D2533="","",IF(H2533="credit","",IF(AE2533="free","re-planting",IF(AE2533="me","   not ELP, by",IF(AND(OR(PlanterYesMe="Yes",PlanterYesMe="Y"),G2533&gt;0),(VLOOKUP(A2533,'Discount Lookup'!J:K,2)*G2533*(1-PlanterDiscount)*(1+PlanterDifficultyPercentage)),IF(AE2533="ELP",(VLOOKUP(A2533,'Discount Lookup'!J:K,2)*G2533*(1-PlanterDiscount)*(1+PlanterDifficultyPercentage)),IF(AE2533="free","re-planting",IF(G2533=0,"",IF(PlanterYesMe="",IF(AE2533="me","   not ELP, by",IF(AE2533="",IF(G2533&gt;0,(VLOOKUP(A2533,'Discount Lookup'!J:K,2)*G2533*(1-PlanterDiscount)*(1+PlanterDifficultyPercentage)),""),"")),"   not ELP, by"))))))))))))))</f>
        <v/>
      </c>
      <c r="AD2533" s="712"/>
      <c r="AE2533" s="513" t="str">
        <f t="shared" si="1888"/>
        <v/>
      </c>
      <c r="AF2533" s="713" t="str">
        <f t="shared" si="1889"/>
        <v/>
      </c>
      <c r="AG2533" s="713"/>
      <c r="AH2533" s="713"/>
      <c r="AI2533" s="112">
        <f>IF(H2533="credit",0,IF(AE2533="free",0,IF(AE2533="me",0,IF(G2533&gt;0,(VLOOKUP(A2533,'Discount Lookup'!J:K,2)*G2533),0))))</f>
        <v>0</v>
      </c>
      <c r="AJ2533" s="107" t="str">
        <f t="shared" ca="1" si="1890"/>
        <v/>
      </c>
      <c r="AK2533" s="714" t="str">
        <f t="shared" si="1891"/>
        <v/>
      </c>
      <c r="AL2533" s="714"/>
      <c r="AM2533" s="114" t="str">
        <f t="shared" si="1892"/>
        <v/>
      </c>
      <c r="AN2533" s="115"/>
      <c r="AO2533" s="116"/>
      <c r="AP2533" s="116"/>
      <c r="AQ2533" s="116"/>
      <c r="AR2533" s="116"/>
      <c r="AS2533" s="116"/>
      <c r="AT2533" s="116"/>
      <c r="AU2533" s="116"/>
      <c r="AV2533" s="78"/>
      <c r="AW2533" s="102"/>
      <c r="AX2533" s="78"/>
      <c r="AY2533" s="78"/>
      <c r="AZ2533" s="78"/>
      <c r="BA2533" s="78"/>
      <c r="BB2533" s="78"/>
      <c r="BC2533" s="78"/>
      <c r="BD2533" s="78"/>
      <c r="BE2533" s="465"/>
      <c r="BF2533" s="165" t="str">
        <f t="shared" si="1893"/>
        <v>https://www.google.com/search?tbm=isch&amp;q=Lagerstroemia%20indica%20%27Whit%20II%27%20PP%2310296%20Dynamite%C2%AE%20Crape%20Myrtle</v>
      </c>
      <c r="BG2533" s="165" t="str">
        <f t="shared" si="1894"/>
        <v>L</v>
      </c>
      <c r="BH2533" s="65"/>
      <c r="BI2533" s="65"/>
      <c r="BJ2533" s="65"/>
      <c r="BK2533" s="65"/>
      <c r="BL2533" s="99"/>
      <c r="BM2533" s="99"/>
      <c r="BN2533" s="99"/>
    </row>
    <row r="2534" spans="1:66" s="51" customFormat="1" ht="27" x14ac:dyDescent="0.25">
      <c r="A2534" s="634">
        <v>7</v>
      </c>
      <c r="B2534" s="635" t="s">
        <v>291</v>
      </c>
      <c r="C2534" s="636" t="s">
        <v>3199</v>
      </c>
      <c r="D2534" s="637" t="s">
        <v>299</v>
      </c>
      <c r="E2534" s="638">
        <v>123.95</v>
      </c>
      <c r="F2534" s="639" t="s">
        <v>292</v>
      </c>
      <c r="G2534" s="484">
        <v>0</v>
      </c>
      <c r="H2534" s="691" t="str">
        <f>IF(G2534=0,"",IF(F2534="Buy",IF(G2534=1,"plant","plants"),IF(F2534&gt;0.01,"warranty","Error")))</f>
        <v/>
      </c>
      <c r="I2534" s="640">
        <f>IF(H2534="free",0,IF(H2534="credit",((E2534*(F2534))*G2534*-1),IF(F2534="Buy",(E2534*G2534),((E2534*(1-F2534))*G2534))))</f>
        <v>0</v>
      </c>
      <c r="J2534" s="640">
        <f>IF(H2534="warranty",0,(I2534*(_xlfn.SINGLE(SalesTaxPercentage))))</f>
        <v>0</v>
      </c>
      <c r="K2534" s="716">
        <f t="shared" ref="K2534" si="1904">I2534+J2534</f>
        <v>0</v>
      </c>
      <c r="L2534" s="716"/>
      <c r="M2534" s="689" t="str">
        <f ca="1">IF(AND(G2534&gt;0,E2534=0),"WARNING - no PRICE inserted",IF(H2534="free","FREE ~ no charge this plant",IF(H2534="credit",CONCATENATE("-$",ROUND(K2534*(1-_xlfn.SINGLE(T2GDiscount))*-1,2)," CREDIT after discount"),IF(_xlfn.SINGLE(T2GDiscount)=0,"",IF(G2534=0,"",IF(F2534="Buy",CONCATENATE("$",ROUND(K2534*(1-_xlfn.SINGLE(T2GDiscount)),2)," with ",(_xlfn.SINGLE(T2GDiscount)*100),"% discount"),CONCATENATE("$",ROUND(K2534*(1-_xlfn.SINGLE(T2GDiscount)),2)," with ",((_xlfn.SINGLE(T2GDiscount)*100+F2534*100)-(_xlfn.SINGLE(T2GDiscount)*100*F2534)),IF(F2534&gt;0,"% discounts",IF(_xlfn.SINGLE(NoWarrantyDiscount)&gt;0,"% discounts","% discount")))))))))</f>
        <v/>
      </c>
      <c r="N2534" s="690"/>
      <c r="O2534" s="486"/>
      <c r="P2534" s="486"/>
      <c r="Q2534" s="486"/>
      <c r="R2534" s="486"/>
      <c r="S2534" s="486"/>
      <c r="T2534" s="102">
        <f t="shared" si="1882"/>
        <v>0</v>
      </c>
      <c r="U2534" s="78">
        <f>IF(NOT(ISNUMBER(G2534)), "", VLOOKUP(A2534,'Discount Lookup'!D:E,2,FALSE)*G2534)</f>
        <v>0</v>
      </c>
      <c r="V2534" s="78">
        <f>IF(NOT(ISNUMBER(G2534)), "", VLOOKUP(A2534,'Discount Lookup'!G:H,2,FALSE)*G2534)</f>
        <v>0</v>
      </c>
      <c r="W2534" s="102">
        <f t="shared" si="1883"/>
        <v>0</v>
      </c>
      <c r="X2534" s="102">
        <f t="shared" si="1884"/>
        <v>0</v>
      </c>
      <c r="Y2534" s="120" t="b">
        <f t="shared" si="1885"/>
        <v>0</v>
      </c>
      <c r="Z2534" s="117">
        <f t="shared" si="1886"/>
        <v>0</v>
      </c>
      <c r="AA2534" s="118"/>
      <c r="AB2534" s="118" t="str">
        <f t="shared" si="1887"/>
        <v/>
      </c>
      <c r="AC2534" s="712" t="str">
        <f>IF(AE2534="T2G","no charge",IF(AND(OR(PlanterYesMe="No",PlanterYesMe="N",PlanterYesMe="me"),H2534=""),"",IF(H2534="credit","NO install",IF(AND(K2534="",AE2534="me"),"EACH row",IF(AND(K2534="images",AE2534="me"),"EACH row",IF(D2534="","",IF(H2534="credit","",IF(AE2534="free","re-planting",IF(AE2534="me","   not ELP, by",IF(AND(OR(PlanterYesMe="Yes",PlanterYesMe="Y"),G2534&gt;0),(VLOOKUP(A2534,'Discount Lookup'!J:K,2)*G2534*(1-PlanterDiscount)*(1+PlanterDifficultyPercentage)),IF(AE2534="ELP",(VLOOKUP(A2534,'Discount Lookup'!J:K,2)*G2534*(1-PlanterDiscount)*(1+PlanterDifficultyPercentage)),IF(AE2534="free","re-planting",IF(G2534=0,"",IF(PlanterYesMe="",IF(AE2534="me","   not ELP, by",IF(AE2534="",IF(G2534&gt;0,(VLOOKUP(A2534,'Discount Lookup'!J:K,2)*G2534*(1-PlanterDiscount)*(1+PlanterDifficultyPercentage)),""),"")),"   not ELP, by"))))))))))))))</f>
        <v/>
      </c>
      <c r="AD2534" s="712"/>
      <c r="AE2534" s="513" t="str">
        <f t="shared" si="1888"/>
        <v/>
      </c>
      <c r="AF2534" s="713" t="str">
        <f t="shared" si="1889"/>
        <v/>
      </c>
      <c r="AG2534" s="713"/>
      <c r="AH2534" s="713"/>
      <c r="AI2534" s="112">
        <f>IF(H2534="credit",0,IF(AE2534="free",0,IF(AE2534="me",0,IF(G2534&gt;0,(VLOOKUP(A2534,'Discount Lookup'!J:K,2)*G2534),0))))</f>
        <v>0</v>
      </c>
      <c r="AJ2534" s="107" t="str">
        <f t="shared" ca="1" si="1890"/>
        <v/>
      </c>
      <c r="AK2534" s="714" t="str">
        <f t="shared" si="1891"/>
        <v/>
      </c>
      <c r="AL2534" s="714"/>
      <c r="AM2534" s="114" t="str">
        <f t="shared" si="1892"/>
        <v/>
      </c>
      <c r="AN2534" s="115"/>
      <c r="AO2534" s="116"/>
      <c r="AP2534" s="116"/>
      <c r="AQ2534" s="116"/>
      <c r="AR2534" s="116"/>
      <c r="AS2534" s="116"/>
      <c r="AT2534" s="116"/>
      <c r="AU2534" s="116"/>
      <c r="AV2534" s="78"/>
      <c r="AW2534" s="102"/>
      <c r="AX2534" s="78"/>
      <c r="AY2534" s="78"/>
      <c r="AZ2534" s="78"/>
      <c r="BA2534" s="78"/>
      <c r="BB2534" s="78"/>
      <c r="BC2534" s="78"/>
      <c r="BD2534" s="78"/>
      <c r="BE2534" s="465"/>
      <c r="BF2534" s="165" t="str">
        <f t="shared" si="1893"/>
        <v>https://www.google.com/search?tbm=isch&amp;q=7%20G4</v>
      </c>
      <c r="BG2534" s="165" t="str">
        <f t="shared" si="1894"/>
        <v>L</v>
      </c>
      <c r="BH2534" s="65"/>
      <c r="BI2534" s="65"/>
      <c r="BJ2534" s="65"/>
      <c r="BK2534" s="65"/>
      <c r="BL2534" s="99"/>
      <c r="BM2534" s="99"/>
      <c r="BN2534" s="99"/>
    </row>
    <row r="2535" spans="1:66" s="51" customFormat="1" ht="17.25" thickBot="1" x14ac:dyDescent="0.3">
      <c r="A2535" s="641" t="s">
        <v>3200</v>
      </c>
      <c r="B2535" s="642"/>
      <c r="C2535" s="710"/>
      <c r="D2535" s="643"/>
      <c r="E2535" s="643"/>
      <c r="F2535" s="644"/>
      <c r="G2535" s="645"/>
      <c r="H2535" s="646"/>
      <c r="I2535" s="647"/>
      <c r="J2535" s="648"/>
      <c r="K2535" s="649"/>
      <c r="L2535" s="650"/>
      <c r="M2535" s="650"/>
      <c r="N2535" s="644"/>
      <c r="O2535" s="644"/>
      <c r="P2535" s="644"/>
      <c r="Q2535" s="644"/>
      <c r="R2535" s="644"/>
      <c r="S2535" s="651"/>
      <c r="T2535" s="102">
        <f t="shared" si="1882"/>
        <v>0</v>
      </c>
      <c r="U2535" s="78" t="str">
        <f>IF(NOT(ISNUMBER(G2535)), "", VLOOKUP(A2535,'Discount Lookup'!D:E,2,FALSE)*G2535)</f>
        <v/>
      </c>
      <c r="V2535" s="78" t="str">
        <f>IF(NOT(ISNUMBER(G2535)), "", VLOOKUP(A2535,'Discount Lookup'!G:H,2,FALSE)*G2535)</f>
        <v/>
      </c>
      <c r="W2535" s="102">
        <f t="shared" si="1883"/>
        <v>0</v>
      </c>
      <c r="X2535" s="102">
        <f t="shared" si="1884"/>
        <v>0</v>
      </c>
      <c r="Y2535" s="120" t="b">
        <f t="shared" si="1885"/>
        <v>0</v>
      </c>
      <c r="Z2535" s="117">
        <f t="shared" si="1886"/>
        <v>0</v>
      </c>
      <c r="AA2535" s="118"/>
      <c r="AB2535" s="118" t="str">
        <f t="shared" si="1887"/>
        <v/>
      </c>
      <c r="AC2535" s="712" t="str">
        <f>IF(AE2535="T2G","no charge",IF(AND(OR(PlanterYesMe="No",PlanterYesMe="N",PlanterYesMe="me"),H2535=""),"",IF(H2535="credit","NO install",IF(AND(K2535="",AE2535="me"),"EACH row",IF(AND(K2535="images",AE2535="me"),"EACH row",IF(D2535="","",IF(H2535="credit","",IF(AE2535="free","re-planting",IF(AE2535="me","   not ELP, by",IF(AND(OR(PlanterYesMe="Yes",PlanterYesMe="Y"),G2535&gt;0),(VLOOKUP(A2535,'Discount Lookup'!J:K,2)*G2535*(1-PlanterDiscount)*(1+PlanterDifficultyPercentage)),IF(AE2535="ELP",(VLOOKUP(A2535,'Discount Lookup'!J:K,2)*G2535*(1-PlanterDiscount)*(1+PlanterDifficultyPercentage)),IF(AE2535="free","re-planting",IF(G2535=0,"",IF(PlanterYesMe="",IF(AE2535="me","   not ELP, by",IF(AE2535="",IF(G2535&gt;0,(VLOOKUP(A2535,'Discount Lookup'!J:K,2)*G2535*(1-PlanterDiscount)*(1+PlanterDifficultyPercentage)),""),"")),"   not ELP, by"))))))))))))))</f>
        <v/>
      </c>
      <c r="AD2535" s="712"/>
      <c r="AE2535" s="513" t="str">
        <f t="shared" si="1888"/>
        <v/>
      </c>
      <c r="AF2535" s="713" t="str">
        <f t="shared" si="1889"/>
        <v/>
      </c>
      <c r="AG2535" s="713"/>
      <c r="AH2535" s="713"/>
      <c r="AI2535" s="112">
        <f>IF(H2535="credit",0,IF(AE2535="free",0,IF(AE2535="me",0,IF(G2535&gt;0,(VLOOKUP(A2535,'Discount Lookup'!J:K,2)*G2535),0))))</f>
        <v>0</v>
      </c>
      <c r="AJ2535" s="107" t="str">
        <f t="shared" ca="1" si="1890"/>
        <v/>
      </c>
      <c r="AK2535" s="714" t="str">
        <f t="shared" si="1891"/>
        <v/>
      </c>
      <c r="AL2535" s="714"/>
      <c r="AM2535" s="114" t="str">
        <f t="shared" si="1892"/>
        <v/>
      </c>
      <c r="AN2535" s="115"/>
      <c r="AO2535" s="116"/>
      <c r="AP2535" s="116"/>
      <c r="AQ2535" s="116"/>
      <c r="AR2535" s="116"/>
      <c r="AS2535" s="116"/>
      <c r="AT2535" s="116"/>
      <c r="AU2535" s="116"/>
      <c r="AV2535" s="78"/>
      <c r="AW2535" s="102"/>
      <c r="AX2535" s="78"/>
      <c r="AY2535" s="78"/>
      <c r="AZ2535" s="78"/>
      <c r="BA2535" s="78"/>
      <c r="BB2535" s="78"/>
      <c r="BC2535" s="78"/>
      <c r="BD2535" s="78"/>
      <c r="BE2535" s="465"/>
      <c r="BF2535" s="165" t="str">
        <f t="shared" si="1893"/>
        <v>https://www.google.com/search?tbm=isch&amp;q=Dynamite%20looks%20like%20an%20explosion%2C%20with%20a%20little%20white%20mixed%20into%20the%20mainly%20red%20blooms%20</v>
      </c>
      <c r="BG2535" s="165" t="str">
        <f t="shared" si="1894"/>
        <v>D</v>
      </c>
      <c r="BH2535" s="65"/>
      <c r="BI2535" s="65"/>
      <c r="BJ2535" s="65"/>
      <c r="BK2535" s="65"/>
      <c r="BL2535" s="99"/>
      <c r="BM2535" s="99"/>
      <c r="BN2535" s="99"/>
    </row>
    <row r="2536" spans="1:66" s="51" customFormat="1" ht="18" x14ac:dyDescent="0.25">
      <c r="A2536" s="623" t="s">
        <v>3201</v>
      </c>
      <c r="B2536" s="624"/>
      <c r="C2536" s="709"/>
      <c r="D2536" s="625" t="s">
        <v>5722</v>
      </c>
      <c r="E2536" s="626"/>
      <c r="F2536" s="626"/>
      <c r="G2536" s="626"/>
      <c r="H2536" s="622" t="s">
        <v>1572</v>
      </c>
      <c r="I2536" s="627" t="s">
        <v>3202</v>
      </c>
      <c r="J2536" s="628"/>
      <c r="K2536" s="628"/>
      <c r="L2536" s="629"/>
      <c r="M2536" s="700" t="s">
        <v>5241</v>
      </c>
      <c r="N2536" s="693" t="str">
        <f>IF(AND(ISTEXT($A2536), ISERROR($A2536+0)), HYPERLINK($BF2536, "Images"), "")</f>
        <v>Images</v>
      </c>
      <c r="O2536" s="695" t="s">
        <v>5247</v>
      </c>
      <c r="P2536" s="630"/>
      <c r="Q2536" s="631"/>
      <c r="R2536" s="632"/>
      <c r="S2536" s="633"/>
      <c r="T2536" s="102">
        <f t="shared" si="1882"/>
        <v>0</v>
      </c>
      <c r="U2536" s="78" t="str">
        <f>IF(NOT(ISNUMBER(G2536)), "", VLOOKUP(A2536,'Discount Lookup'!D:E,2,FALSE)*G2536)</f>
        <v/>
      </c>
      <c r="V2536" s="78" t="str">
        <f>IF(NOT(ISNUMBER(G2536)), "", VLOOKUP(A2536,'Discount Lookup'!G:H,2,FALSE)*G2536)</f>
        <v/>
      </c>
      <c r="W2536" s="102">
        <f t="shared" si="1883"/>
        <v>0</v>
      </c>
      <c r="X2536" s="102" t="str">
        <f t="shared" si="1884"/>
        <v>Magenta Pink bloom</v>
      </c>
      <c r="Y2536" s="120" t="b">
        <f t="shared" si="1885"/>
        <v>0</v>
      </c>
      <c r="Z2536" s="117">
        <f t="shared" si="1886"/>
        <v>0</v>
      </c>
      <c r="AA2536" s="118"/>
      <c r="AB2536" s="118" t="str">
        <f t="shared" si="1887"/>
        <v/>
      </c>
      <c r="AC2536" s="712" t="str">
        <f>IF(AE2536="T2G","no charge",IF(AND(OR(PlanterYesMe="No",PlanterYesMe="N",PlanterYesMe="me"),H2536=""),"",IF(H2536="credit","NO install",IF(AND(K2536="",AE2536="me"),"EACH row",IF(AND(K2536="images",AE2536="me"),"EACH row",IF(D2536="","",IF(H2536="credit","",IF(AE2536="free","re-planting",IF(AE2536="me","   not ELP, by",IF(AND(OR(PlanterYesMe="Yes",PlanterYesMe="Y"),G2536&gt;0),(VLOOKUP(A2536,'Discount Lookup'!J:K,2)*G2536*(1-PlanterDiscount)*(1+PlanterDifficultyPercentage)),IF(AE2536="ELP",(VLOOKUP(A2536,'Discount Lookup'!J:K,2)*G2536*(1-PlanterDiscount)*(1+PlanterDifficultyPercentage)),IF(AE2536="free","re-planting",IF(G2536=0,"",IF(PlanterYesMe="",IF(AE2536="me","   not ELP, by",IF(AE2536="",IF(G2536&gt;0,(VLOOKUP(A2536,'Discount Lookup'!J:K,2)*G2536*(1-PlanterDiscount)*(1+PlanterDifficultyPercentage)),""),"")),"   not ELP, by"))))))))))))))</f>
        <v/>
      </c>
      <c r="AD2536" s="712"/>
      <c r="AE2536" s="513" t="str">
        <f t="shared" si="1888"/>
        <v/>
      </c>
      <c r="AF2536" s="713" t="str">
        <f t="shared" si="1889"/>
        <v/>
      </c>
      <c r="AG2536" s="713"/>
      <c r="AH2536" s="713"/>
      <c r="AI2536" s="112">
        <f>IF(H2536="credit",0,IF(AE2536="free",0,IF(AE2536="me",0,IF(G2536&gt;0,(VLOOKUP(A2536,'Discount Lookup'!J:K,2)*G2536),0))))</f>
        <v>0</v>
      </c>
      <c r="AJ2536" s="107" t="str">
        <f t="shared" ca="1" si="1890"/>
        <v/>
      </c>
      <c r="AK2536" s="714" t="str">
        <f t="shared" si="1891"/>
        <v/>
      </c>
      <c r="AL2536" s="714"/>
      <c r="AM2536" s="114" t="str">
        <f t="shared" si="1892"/>
        <v/>
      </c>
      <c r="AN2536" s="115"/>
      <c r="AO2536" s="116"/>
      <c r="AP2536" s="116"/>
      <c r="AQ2536" s="116"/>
      <c r="AR2536" s="116"/>
      <c r="AS2536" s="116"/>
      <c r="AT2536" s="116"/>
      <c r="AU2536" s="116"/>
      <c r="AV2536" s="78"/>
      <c r="AW2536" s="102"/>
      <c r="AX2536" s="78"/>
      <c r="AY2536" s="78"/>
      <c r="AZ2536" s="78"/>
      <c r="BA2536" s="78"/>
      <c r="BB2536" s="78"/>
      <c r="BC2536" s="78"/>
      <c r="BD2536" s="78"/>
      <c r="BE2536" s="465"/>
      <c r="BF2536" s="165" t="str">
        <f t="shared" si="1893"/>
        <v>https://www.google.com/search?tbm=isch&amp;q=Lagerstroemia%20indica%20%27Whit%20III%27%20PP%2310319%20Pink%20Velour%C2%AE%20Crape%20Myrtle</v>
      </c>
      <c r="BG2536" s="165" t="str">
        <f t="shared" si="1894"/>
        <v>L</v>
      </c>
      <c r="BH2536" s="65"/>
      <c r="BI2536" s="65"/>
      <c r="BJ2536" s="65"/>
      <c r="BK2536" s="65"/>
      <c r="BL2536" s="99"/>
      <c r="BM2536" s="99"/>
      <c r="BN2536" s="99"/>
    </row>
    <row r="2537" spans="1:66" s="51" customFormat="1" ht="40.5" x14ac:dyDescent="0.25">
      <c r="A2537" s="634">
        <v>7</v>
      </c>
      <c r="B2537" s="635" t="s">
        <v>291</v>
      </c>
      <c r="C2537" s="636" t="s">
        <v>3203</v>
      </c>
      <c r="D2537" s="637" t="s">
        <v>299</v>
      </c>
      <c r="E2537" s="638">
        <v>123.95</v>
      </c>
      <c r="F2537" s="639" t="s">
        <v>292</v>
      </c>
      <c r="G2537" s="484">
        <v>0</v>
      </c>
      <c r="H2537" s="691" t="str">
        <f>IF(G2537=0,"",IF(F2537="Buy",IF(G2537=1,"plant","plants"),IF(F2537&gt;0.01,"warranty","Error")))</f>
        <v/>
      </c>
      <c r="I2537" s="640">
        <f>IF(H2537="free",0,IF(H2537="credit",((E2537*(F2537))*G2537*-1),IF(F2537="Buy",(E2537*G2537),((E2537*(1-F2537))*G2537))))</f>
        <v>0</v>
      </c>
      <c r="J2537" s="640">
        <f>IF(H2537="warranty",0,(I2537*(_xlfn.SINGLE(SalesTaxPercentage))))</f>
        <v>0</v>
      </c>
      <c r="K2537" s="716">
        <f t="shared" ref="K2537" si="1905">I2537+J2537</f>
        <v>0</v>
      </c>
      <c r="L2537" s="716"/>
      <c r="M2537" s="689" t="str">
        <f ca="1">IF(AND(G2537&gt;0,E2537=0),"WARNING - no PRICE inserted",IF(H2537="free","FREE ~ no charge this plant",IF(H2537="credit",CONCATENATE("-$",ROUND(K2537*(1-_xlfn.SINGLE(T2GDiscount))*-1,2)," CREDIT after discount"),IF(_xlfn.SINGLE(T2GDiscount)=0,"",IF(G2537=0,"",IF(F2537="Buy",CONCATENATE("$",ROUND(K2537*(1-_xlfn.SINGLE(T2GDiscount)),2)," with ",(_xlfn.SINGLE(T2GDiscount)*100),"% discount"),CONCATENATE("$",ROUND(K2537*(1-_xlfn.SINGLE(T2GDiscount)),2)," with ",((_xlfn.SINGLE(T2GDiscount)*100+F2537*100)-(_xlfn.SINGLE(T2GDiscount)*100*F2537)),IF(F2537&gt;0,"% discounts",IF(_xlfn.SINGLE(NoWarrantyDiscount)&gt;0,"% discounts","% discount")))))))))</f>
        <v/>
      </c>
      <c r="N2537" s="690"/>
      <c r="O2537" s="486"/>
      <c r="P2537" s="486"/>
      <c r="Q2537" s="486"/>
      <c r="R2537" s="486"/>
      <c r="S2537" s="486"/>
      <c r="T2537" s="102">
        <f t="shared" si="1882"/>
        <v>0</v>
      </c>
      <c r="U2537" s="78">
        <f>IF(NOT(ISNUMBER(G2537)), "", VLOOKUP(A2537,'Discount Lookup'!D:E,2,FALSE)*G2537)</f>
        <v>0</v>
      </c>
      <c r="V2537" s="78">
        <f>IF(NOT(ISNUMBER(G2537)), "", VLOOKUP(A2537,'Discount Lookup'!G:H,2,FALSE)*G2537)</f>
        <v>0</v>
      </c>
      <c r="W2537" s="102">
        <f t="shared" si="1883"/>
        <v>0</v>
      </c>
      <c r="X2537" s="102">
        <f t="shared" si="1884"/>
        <v>0</v>
      </c>
      <c r="Y2537" s="120" t="b">
        <f t="shared" si="1885"/>
        <v>0</v>
      </c>
      <c r="Z2537" s="117">
        <f t="shared" si="1886"/>
        <v>0</v>
      </c>
      <c r="AA2537" s="118"/>
      <c r="AB2537" s="118" t="str">
        <f t="shared" si="1887"/>
        <v/>
      </c>
      <c r="AC2537" s="712" t="str">
        <f>IF(AE2537="T2G","no charge",IF(AND(OR(PlanterYesMe="No",PlanterYesMe="N",PlanterYesMe="me"),H2537=""),"",IF(H2537="credit","NO install",IF(AND(K2537="",AE2537="me"),"EACH row",IF(AND(K2537="images",AE2537="me"),"EACH row",IF(D2537="","",IF(H2537="credit","",IF(AE2537="free","re-planting",IF(AE2537="me","   not ELP, by",IF(AND(OR(PlanterYesMe="Yes",PlanterYesMe="Y"),G2537&gt;0),(VLOOKUP(A2537,'Discount Lookup'!J:K,2)*G2537*(1-PlanterDiscount)*(1+PlanterDifficultyPercentage)),IF(AE2537="ELP",(VLOOKUP(A2537,'Discount Lookup'!J:K,2)*G2537*(1-PlanterDiscount)*(1+PlanterDifficultyPercentage)),IF(AE2537="free","re-planting",IF(G2537=0,"",IF(PlanterYesMe="",IF(AE2537="me","   not ELP, by",IF(AE2537="",IF(G2537&gt;0,(VLOOKUP(A2537,'Discount Lookup'!J:K,2)*G2537*(1-PlanterDiscount)*(1+PlanterDifficultyPercentage)),""),"")),"   not ELP, by"))))))))))))))</f>
        <v/>
      </c>
      <c r="AD2537" s="712"/>
      <c r="AE2537" s="513" t="str">
        <f t="shared" si="1888"/>
        <v/>
      </c>
      <c r="AF2537" s="713" t="str">
        <f t="shared" si="1889"/>
        <v/>
      </c>
      <c r="AG2537" s="713"/>
      <c r="AH2537" s="713"/>
      <c r="AI2537" s="112">
        <f>IF(H2537="credit",0,IF(AE2537="free",0,IF(AE2537="me",0,IF(G2537&gt;0,(VLOOKUP(A2537,'Discount Lookup'!J:K,2)*G2537),0))))</f>
        <v>0</v>
      </c>
      <c r="AJ2537" s="107" t="str">
        <f t="shared" ca="1" si="1890"/>
        <v/>
      </c>
      <c r="AK2537" s="714" t="str">
        <f t="shared" si="1891"/>
        <v/>
      </c>
      <c r="AL2537" s="714"/>
      <c r="AM2537" s="114" t="str">
        <f t="shared" si="1892"/>
        <v/>
      </c>
      <c r="AN2537" s="115"/>
      <c r="AO2537" s="116"/>
      <c r="AP2537" s="116"/>
      <c r="AQ2537" s="116"/>
      <c r="AR2537" s="116"/>
      <c r="AS2537" s="116"/>
      <c r="AT2537" s="116"/>
      <c r="AU2537" s="116"/>
      <c r="AV2537" s="78"/>
      <c r="AW2537" s="102"/>
      <c r="AX2537" s="78"/>
      <c r="AY2537" s="78"/>
      <c r="AZ2537" s="78"/>
      <c r="BA2537" s="78"/>
      <c r="BB2537" s="78"/>
      <c r="BC2537" s="78"/>
      <c r="BD2537" s="78"/>
      <c r="BE2537" s="465"/>
      <c r="BF2537" s="165" t="str">
        <f t="shared" si="1893"/>
        <v>https://www.google.com/search?tbm=isch&amp;q=7%20G4</v>
      </c>
      <c r="BG2537" s="165" t="str">
        <f t="shared" si="1894"/>
        <v>L</v>
      </c>
      <c r="BH2537" s="65"/>
      <c r="BI2537" s="65"/>
      <c r="BJ2537" s="65"/>
      <c r="BK2537" s="65"/>
      <c r="BL2537" s="99"/>
      <c r="BM2537" s="99"/>
      <c r="BN2537" s="99"/>
    </row>
    <row r="2538" spans="1:66" s="51" customFormat="1" ht="40.5" x14ac:dyDescent="0.25">
      <c r="A2538" s="634">
        <v>15</v>
      </c>
      <c r="B2538" s="635" t="s">
        <v>291</v>
      </c>
      <c r="C2538" s="636" t="s">
        <v>3204</v>
      </c>
      <c r="D2538" s="637" t="s">
        <v>299</v>
      </c>
      <c r="E2538" s="638">
        <v>224.95</v>
      </c>
      <c r="F2538" s="639" t="s">
        <v>292</v>
      </c>
      <c r="G2538" s="484">
        <v>0</v>
      </c>
      <c r="H2538" s="691" t="str">
        <f>IF(G2538=0,"",IF(F2538="Buy",IF(G2538=1,"plant","plants"),IF(F2538&gt;0.01,"warranty","Error")))</f>
        <v/>
      </c>
      <c r="I2538" s="640">
        <f>IF(H2538="free",0,IF(H2538="credit",((E2538*(F2538))*G2538*-1),IF(F2538="Buy",(E2538*G2538),((E2538*(1-F2538))*G2538))))</f>
        <v>0</v>
      </c>
      <c r="J2538" s="640">
        <f>IF(H2538="warranty",0,(I2538*(_xlfn.SINGLE(SalesTaxPercentage))))</f>
        <v>0</v>
      </c>
      <c r="K2538" s="716">
        <f t="shared" ref="K2538" si="1906">I2538+J2538</f>
        <v>0</v>
      </c>
      <c r="L2538" s="716"/>
      <c r="M2538" s="689" t="str">
        <f ca="1">IF(AND(G2538&gt;0,E2538=0),"WARNING - no PRICE inserted",IF(H2538="free","FREE ~ no charge this plant",IF(H2538="credit",CONCATENATE("-$",ROUND(K2538*(1-_xlfn.SINGLE(T2GDiscount))*-1,2)," CREDIT after discount"),IF(_xlfn.SINGLE(T2GDiscount)=0,"",IF(G2538=0,"",IF(F2538="Buy",CONCATENATE("$",ROUND(K2538*(1-_xlfn.SINGLE(T2GDiscount)),2)," with ",(_xlfn.SINGLE(T2GDiscount)*100),"% discount"),CONCATENATE("$",ROUND(K2538*(1-_xlfn.SINGLE(T2GDiscount)),2)," with ",((_xlfn.SINGLE(T2GDiscount)*100+F2538*100)-(_xlfn.SINGLE(T2GDiscount)*100*F2538)),IF(F2538&gt;0,"% discounts",IF(_xlfn.SINGLE(NoWarrantyDiscount)&gt;0,"% discounts","% discount")))))))))</f>
        <v/>
      </c>
      <c r="N2538" s="690"/>
      <c r="O2538" s="486"/>
      <c r="P2538" s="486"/>
      <c r="Q2538" s="486"/>
      <c r="R2538" s="486"/>
      <c r="S2538" s="486"/>
      <c r="T2538" s="102">
        <f t="shared" si="1882"/>
        <v>0</v>
      </c>
      <c r="U2538" s="78">
        <f>IF(NOT(ISNUMBER(G2538)), "", VLOOKUP(A2538,'Discount Lookup'!D:E,2,FALSE)*G2538)</f>
        <v>0</v>
      </c>
      <c r="V2538" s="78">
        <f>IF(NOT(ISNUMBER(G2538)), "", VLOOKUP(A2538,'Discount Lookup'!G:H,2,FALSE)*G2538)</f>
        <v>0</v>
      </c>
      <c r="W2538" s="102">
        <f t="shared" si="1883"/>
        <v>0</v>
      </c>
      <c r="X2538" s="102">
        <f t="shared" si="1884"/>
        <v>0</v>
      </c>
      <c r="Y2538" s="120" t="b">
        <f t="shared" si="1885"/>
        <v>0</v>
      </c>
      <c r="Z2538" s="117">
        <f t="shared" si="1886"/>
        <v>0</v>
      </c>
      <c r="AA2538" s="118"/>
      <c r="AB2538" s="118" t="str">
        <f t="shared" si="1887"/>
        <v/>
      </c>
      <c r="AC2538" s="712" t="str">
        <f>IF(AE2538="T2G","no charge",IF(AND(OR(PlanterYesMe="No",PlanterYesMe="N",PlanterYesMe="me"),H2538=""),"",IF(H2538="credit","NO install",IF(AND(K2538="",AE2538="me"),"EACH row",IF(AND(K2538="images",AE2538="me"),"EACH row",IF(D2538="","",IF(H2538="credit","",IF(AE2538="free","re-planting",IF(AE2538="me","   not ELP, by",IF(AND(OR(PlanterYesMe="Yes",PlanterYesMe="Y"),G2538&gt;0),(VLOOKUP(A2538,'Discount Lookup'!J:K,2)*G2538*(1-PlanterDiscount)*(1+PlanterDifficultyPercentage)),IF(AE2538="ELP",(VLOOKUP(A2538,'Discount Lookup'!J:K,2)*G2538*(1-PlanterDiscount)*(1+PlanterDifficultyPercentage)),IF(AE2538="free","re-planting",IF(G2538=0,"",IF(PlanterYesMe="",IF(AE2538="me","   not ELP, by",IF(AE2538="",IF(G2538&gt;0,(VLOOKUP(A2538,'Discount Lookup'!J:K,2)*G2538*(1-PlanterDiscount)*(1+PlanterDifficultyPercentage)),""),"")),"   not ELP, by"))))))))))))))</f>
        <v/>
      </c>
      <c r="AD2538" s="712"/>
      <c r="AE2538" s="513" t="str">
        <f t="shared" si="1888"/>
        <v/>
      </c>
      <c r="AF2538" s="713" t="str">
        <f t="shared" si="1889"/>
        <v/>
      </c>
      <c r="AG2538" s="713"/>
      <c r="AH2538" s="713"/>
      <c r="AI2538" s="112">
        <f>IF(H2538="credit",0,IF(AE2538="free",0,IF(AE2538="me",0,IF(G2538&gt;0,(VLOOKUP(A2538,'Discount Lookup'!J:K,2)*G2538),0))))</f>
        <v>0</v>
      </c>
      <c r="AJ2538" s="107" t="str">
        <f t="shared" ca="1" si="1890"/>
        <v/>
      </c>
      <c r="AK2538" s="714" t="str">
        <f t="shared" si="1891"/>
        <v/>
      </c>
      <c r="AL2538" s="714"/>
      <c r="AM2538" s="114" t="str">
        <f t="shared" si="1892"/>
        <v/>
      </c>
      <c r="AN2538" s="115"/>
      <c r="AO2538" s="116"/>
      <c r="AP2538" s="116"/>
      <c r="AQ2538" s="116"/>
      <c r="AR2538" s="116"/>
      <c r="AS2538" s="116"/>
      <c r="AT2538" s="116"/>
      <c r="AU2538" s="116"/>
      <c r="AV2538" s="78"/>
      <c r="AW2538" s="102"/>
      <c r="AX2538" s="78"/>
      <c r="AY2538" s="78"/>
      <c r="AZ2538" s="78"/>
      <c r="BA2538" s="78"/>
      <c r="BB2538" s="78"/>
      <c r="BC2538" s="78"/>
      <c r="BD2538" s="78"/>
      <c r="BE2538" s="465"/>
      <c r="BF2538" s="165" t="str">
        <f t="shared" si="1893"/>
        <v>https://www.google.com/search?tbm=isch&amp;q=15%20G4</v>
      </c>
      <c r="BG2538" s="165" t="str">
        <f t="shared" si="1894"/>
        <v>L</v>
      </c>
      <c r="BH2538" s="65"/>
      <c r="BI2538" s="65"/>
      <c r="BJ2538" s="65"/>
      <c r="BK2538" s="65"/>
      <c r="BL2538" s="99"/>
      <c r="BM2538" s="99"/>
      <c r="BN2538" s="99"/>
    </row>
    <row r="2539" spans="1:66" s="51" customFormat="1" ht="17.25" thickBot="1" x14ac:dyDescent="0.3">
      <c r="A2539" s="641" t="s">
        <v>3205</v>
      </c>
      <c r="B2539" s="642"/>
      <c r="C2539" s="710"/>
      <c r="D2539" s="643"/>
      <c r="E2539" s="643"/>
      <c r="F2539" s="644"/>
      <c r="G2539" s="645"/>
      <c r="H2539" s="646"/>
      <c r="I2539" s="647"/>
      <c r="J2539" s="648"/>
      <c r="K2539" s="649"/>
      <c r="L2539" s="650"/>
      <c r="M2539" s="650"/>
      <c r="N2539" s="644"/>
      <c r="O2539" s="644"/>
      <c r="P2539" s="644"/>
      <c r="Q2539" s="644"/>
      <c r="R2539" s="644"/>
      <c r="S2539" s="651"/>
      <c r="T2539" s="102">
        <f t="shared" si="1882"/>
        <v>0</v>
      </c>
      <c r="U2539" s="78" t="str">
        <f>IF(NOT(ISNUMBER(G2539)), "", VLOOKUP(A2539,'Discount Lookup'!D:E,2,FALSE)*G2539)</f>
        <v/>
      </c>
      <c r="V2539" s="78" t="str">
        <f>IF(NOT(ISNUMBER(G2539)), "", VLOOKUP(A2539,'Discount Lookup'!G:H,2,FALSE)*G2539)</f>
        <v/>
      </c>
      <c r="W2539" s="102">
        <f t="shared" si="1883"/>
        <v>0</v>
      </c>
      <c r="X2539" s="102">
        <f t="shared" si="1884"/>
        <v>0</v>
      </c>
      <c r="Y2539" s="120" t="b">
        <f t="shared" si="1885"/>
        <v>0</v>
      </c>
      <c r="Z2539" s="117">
        <f t="shared" si="1886"/>
        <v>0</v>
      </c>
      <c r="AA2539" s="118"/>
      <c r="AB2539" s="118" t="str">
        <f t="shared" si="1887"/>
        <v/>
      </c>
      <c r="AC2539" s="712" t="str">
        <f>IF(AE2539="T2G","no charge",IF(AND(OR(PlanterYesMe="No",PlanterYesMe="N",PlanterYesMe="me"),H2539=""),"",IF(H2539="credit","NO install",IF(AND(K2539="",AE2539="me"),"EACH row",IF(AND(K2539="images",AE2539="me"),"EACH row",IF(D2539="","",IF(H2539="credit","",IF(AE2539="free","re-planting",IF(AE2539="me","   not ELP, by",IF(AND(OR(PlanterYesMe="Yes",PlanterYesMe="Y"),G2539&gt;0),(VLOOKUP(A2539,'Discount Lookup'!J:K,2)*G2539*(1-PlanterDiscount)*(1+PlanterDifficultyPercentage)),IF(AE2539="ELP",(VLOOKUP(A2539,'Discount Lookup'!J:K,2)*G2539*(1-PlanterDiscount)*(1+PlanterDifficultyPercentage)),IF(AE2539="free","re-planting",IF(G2539=0,"",IF(PlanterYesMe="",IF(AE2539="me","   not ELP, by",IF(AE2539="",IF(G2539&gt;0,(VLOOKUP(A2539,'Discount Lookup'!J:K,2)*G2539*(1-PlanterDiscount)*(1+PlanterDifficultyPercentage)),""),"")),"   not ELP, by"))))))))))))))</f>
        <v/>
      </c>
      <c r="AD2539" s="712"/>
      <c r="AE2539" s="513" t="str">
        <f t="shared" si="1888"/>
        <v/>
      </c>
      <c r="AF2539" s="713" t="str">
        <f t="shared" si="1889"/>
        <v/>
      </c>
      <c r="AG2539" s="713"/>
      <c r="AH2539" s="713"/>
      <c r="AI2539" s="112">
        <f>IF(H2539="credit",0,IF(AE2539="free",0,IF(AE2539="me",0,IF(G2539&gt;0,(VLOOKUP(A2539,'Discount Lookup'!J:K,2)*G2539),0))))</f>
        <v>0</v>
      </c>
      <c r="AJ2539" s="107" t="str">
        <f t="shared" ca="1" si="1890"/>
        <v/>
      </c>
      <c r="AK2539" s="714" t="str">
        <f t="shared" si="1891"/>
        <v/>
      </c>
      <c r="AL2539" s="714"/>
      <c r="AM2539" s="114" t="str">
        <f t="shared" si="1892"/>
        <v/>
      </c>
      <c r="AN2539" s="115"/>
      <c r="AO2539" s="116"/>
      <c r="AP2539" s="116"/>
      <c r="AQ2539" s="116"/>
      <c r="AR2539" s="116"/>
      <c r="AS2539" s="116"/>
      <c r="AT2539" s="116"/>
      <c r="AU2539" s="116"/>
      <c r="AV2539" s="78"/>
      <c r="AW2539" s="102"/>
      <c r="AX2539" s="78"/>
      <c r="AY2539" s="78"/>
      <c r="AZ2539" s="78"/>
      <c r="BA2539" s="78"/>
      <c r="BB2539" s="78"/>
      <c r="BC2539" s="78"/>
      <c r="BD2539" s="78"/>
      <c r="BE2539" s="465"/>
      <c r="BF2539" s="165" t="str">
        <f t="shared" si="1893"/>
        <v>https://www.google.com/search?tbm=isch&amp;q=Pink%20Velour%20foliage%20starts%20deep%20wine%20red%2C%20turns%20purplish-green%2C%20then%20orange-brown%20in%20fall.%20Grey-brown%20bark%20exfoliates%20</v>
      </c>
      <c r="BG2539" s="165" t="str">
        <f t="shared" si="1894"/>
        <v>P</v>
      </c>
      <c r="BH2539" s="65"/>
      <c r="BI2539" s="65"/>
      <c r="BJ2539" s="65"/>
      <c r="BK2539" s="65"/>
      <c r="BL2539" s="99"/>
      <c r="BM2539" s="99"/>
      <c r="BN2539" s="99"/>
    </row>
    <row r="2540" spans="1:66" s="51" customFormat="1" ht="18" x14ac:dyDescent="0.25">
      <c r="A2540" s="623" t="s">
        <v>3206</v>
      </c>
      <c r="B2540" s="624"/>
      <c r="C2540" s="709"/>
      <c r="D2540" s="625" t="s">
        <v>5723</v>
      </c>
      <c r="E2540" s="626"/>
      <c r="F2540" s="626"/>
      <c r="G2540" s="626"/>
      <c r="H2540" s="622" t="s">
        <v>1231</v>
      </c>
      <c r="I2540" s="627" t="s">
        <v>3207</v>
      </c>
      <c r="J2540" s="628"/>
      <c r="K2540" s="628"/>
      <c r="L2540" s="629"/>
      <c r="M2540" s="700" t="s">
        <v>5241</v>
      </c>
      <c r="N2540" s="693" t="str">
        <f>IF(AND(ISTEXT($A2540), ISERROR($A2540+0)), HYPERLINK($BF2540, "Images"), "")</f>
        <v>Images</v>
      </c>
      <c r="O2540" s="695" t="s">
        <v>5244</v>
      </c>
      <c r="P2540" s="630"/>
      <c r="Q2540" s="631"/>
      <c r="R2540" s="632"/>
      <c r="S2540" s="633"/>
      <c r="T2540" s="102">
        <f t="shared" si="1882"/>
        <v>0</v>
      </c>
      <c r="U2540" s="78" t="str">
        <f>IF(NOT(ISNUMBER(G2540)), "", VLOOKUP(A2540,'Discount Lookup'!D:E,2,FALSE)*G2540)</f>
        <v/>
      </c>
      <c r="V2540" s="78" t="str">
        <f>IF(NOT(ISNUMBER(G2540)), "", VLOOKUP(A2540,'Discount Lookup'!G:H,2,FALSE)*G2540)</f>
        <v/>
      </c>
      <c r="W2540" s="102">
        <f t="shared" si="1883"/>
        <v>0</v>
      </c>
      <c r="X2540" s="102" t="str">
        <f t="shared" si="1884"/>
        <v>Cherry-Red bloom</v>
      </c>
      <c r="Y2540" s="120" t="b">
        <f t="shared" si="1885"/>
        <v>0</v>
      </c>
      <c r="Z2540" s="117">
        <f t="shared" si="1886"/>
        <v>0</v>
      </c>
      <c r="AA2540" s="118"/>
      <c r="AB2540" s="118" t="str">
        <f t="shared" si="1887"/>
        <v/>
      </c>
      <c r="AC2540" s="712" t="str">
        <f>IF(AE2540="T2G","no charge",IF(AND(OR(PlanterYesMe="No",PlanterYesMe="N",PlanterYesMe="me"),H2540=""),"",IF(H2540="credit","NO install",IF(AND(K2540="",AE2540="me"),"EACH row",IF(AND(K2540="images",AE2540="me"),"EACH row",IF(D2540="","",IF(H2540="credit","",IF(AE2540="free","re-planting",IF(AE2540="me","   not ELP, by",IF(AND(OR(PlanterYesMe="Yes",PlanterYesMe="Y"),G2540&gt;0),(VLOOKUP(A2540,'Discount Lookup'!J:K,2)*G2540*(1-PlanterDiscount)*(1+PlanterDifficultyPercentage)),IF(AE2540="ELP",(VLOOKUP(A2540,'Discount Lookup'!J:K,2)*G2540*(1-PlanterDiscount)*(1+PlanterDifficultyPercentage)),IF(AE2540="free","re-planting",IF(G2540=0,"",IF(PlanterYesMe="",IF(AE2540="me","   not ELP, by",IF(AE2540="",IF(G2540&gt;0,(VLOOKUP(A2540,'Discount Lookup'!J:K,2)*G2540*(1-PlanterDiscount)*(1+PlanterDifficultyPercentage)),""),"")),"   not ELP, by"))))))))))))))</f>
        <v/>
      </c>
      <c r="AD2540" s="712"/>
      <c r="AE2540" s="513" t="str">
        <f t="shared" si="1888"/>
        <v/>
      </c>
      <c r="AF2540" s="713" t="str">
        <f t="shared" si="1889"/>
        <v/>
      </c>
      <c r="AG2540" s="713"/>
      <c r="AH2540" s="713"/>
      <c r="AI2540" s="112">
        <f>IF(H2540="credit",0,IF(AE2540="free",0,IF(AE2540="me",0,IF(G2540&gt;0,(VLOOKUP(A2540,'Discount Lookup'!J:K,2)*G2540),0))))</f>
        <v>0</v>
      </c>
      <c r="AJ2540" s="107" t="str">
        <f t="shared" ca="1" si="1890"/>
        <v/>
      </c>
      <c r="AK2540" s="714" t="str">
        <f t="shared" si="1891"/>
        <v/>
      </c>
      <c r="AL2540" s="714"/>
      <c r="AM2540" s="114" t="str">
        <f t="shared" si="1892"/>
        <v/>
      </c>
      <c r="AN2540" s="115"/>
      <c r="AO2540" s="116"/>
      <c r="AP2540" s="116"/>
      <c r="AQ2540" s="116"/>
      <c r="AR2540" s="116"/>
      <c r="AS2540" s="116"/>
      <c r="AT2540" s="116"/>
      <c r="AU2540" s="116"/>
      <c r="AV2540" s="78"/>
      <c r="AW2540" s="102"/>
      <c r="AX2540" s="78"/>
      <c r="AY2540" s="78"/>
      <c r="AZ2540" s="78"/>
      <c r="BA2540" s="78"/>
      <c r="BB2540" s="78"/>
      <c r="BC2540" s="78"/>
      <c r="BD2540" s="78"/>
      <c r="BE2540" s="465"/>
      <c r="BF2540" s="165" t="str">
        <f t="shared" si="1893"/>
        <v>https://www.google.com/search?tbm=isch&amp;q=Lagerstroemia%20indica%20%27Whit%20X%27%20PP%2322085%20Double%20Dynamite%C2%AE%20Crape%20Myrtle</v>
      </c>
      <c r="BG2540" s="165" t="str">
        <f t="shared" si="1894"/>
        <v>L</v>
      </c>
      <c r="BH2540" s="65"/>
      <c r="BI2540" s="65"/>
      <c r="BJ2540" s="65"/>
      <c r="BK2540" s="65"/>
      <c r="BL2540" s="99"/>
      <c r="BM2540" s="99"/>
      <c r="BN2540" s="99"/>
    </row>
    <row r="2541" spans="1:66" s="51" customFormat="1" ht="27" x14ac:dyDescent="0.25">
      <c r="A2541" s="634">
        <v>7</v>
      </c>
      <c r="B2541" s="635" t="s">
        <v>291</v>
      </c>
      <c r="C2541" s="636" t="s">
        <v>3208</v>
      </c>
      <c r="D2541" s="637" t="s">
        <v>299</v>
      </c>
      <c r="E2541" s="638">
        <v>123.95</v>
      </c>
      <c r="F2541" s="639" t="s">
        <v>292</v>
      </c>
      <c r="G2541" s="484">
        <v>0</v>
      </c>
      <c r="H2541" s="691" t="str">
        <f>IF(G2541=0,"",IF(F2541="Buy",IF(G2541=1,"plant","plants"),IF(F2541&gt;0.01,"warranty","Error")))</f>
        <v/>
      </c>
      <c r="I2541" s="640">
        <f>IF(H2541="free",0,IF(H2541="credit",((E2541*(F2541))*G2541*-1),IF(F2541="Buy",(E2541*G2541),((E2541*(1-F2541))*G2541))))</f>
        <v>0</v>
      </c>
      <c r="J2541" s="640">
        <f>IF(H2541="warranty",0,(I2541*(_xlfn.SINGLE(SalesTaxPercentage))))</f>
        <v>0</v>
      </c>
      <c r="K2541" s="716">
        <f t="shared" ref="K2541" si="1907">I2541+J2541</f>
        <v>0</v>
      </c>
      <c r="L2541" s="716"/>
      <c r="M2541" s="689" t="str">
        <f ca="1">IF(AND(G2541&gt;0,E2541=0),"WARNING - no PRICE inserted",IF(H2541="free","FREE ~ no charge this plant",IF(H2541="credit",CONCATENATE("-$",ROUND(K2541*(1-_xlfn.SINGLE(T2GDiscount))*-1,2)," CREDIT after discount"),IF(_xlfn.SINGLE(T2GDiscount)=0,"",IF(G2541=0,"",IF(F2541="Buy",CONCATENATE("$",ROUND(K2541*(1-_xlfn.SINGLE(T2GDiscount)),2)," with ",(_xlfn.SINGLE(T2GDiscount)*100),"% discount"),CONCATENATE("$",ROUND(K2541*(1-_xlfn.SINGLE(T2GDiscount)),2)," with ",((_xlfn.SINGLE(T2GDiscount)*100+F2541*100)-(_xlfn.SINGLE(T2GDiscount)*100*F2541)),IF(F2541&gt;0,"% discounts",IF(_xlfn.SINGLE(NoWarrantyDiscount)&gt;0,"% discounts","% discount")))))))))</f>
        <v/>
      </c>
      <c r="N2541" s="690"/>
      <c r="O2541" s="486"/>
      <c r="P2541" s="486"/>
      <c r="Q2541" s="486"/>
      <c r="R2541" s="486"/>
      <c r="S2541" s="486"/>
      <c r="T2541" s="102">
        <f t="shared" si="1882"/>
        <v>0</v>
      </c>
      <c r="U2541" s="78">
        <f>IF(NOT(ISNUMBER(G2541)), "", VLOOKUP(A2541,'Discount Lookup'!D:E,2,FALSE)*G2541)</f>
        <v>0</v>
      </c>
      <c r="V2541" s="78">
        <f>IF(NOT(ISNUMBER(G2541)), "", VLOOKUP(A2541,'Discount Lookup'!G:H,2,FALSE)*G2541)</f>
        <v>0</v>
      </c>
      <c r="W2541" s="102">
        <f t="shared" si="1883"/>
        <v>0</v>
      </c>
      <c r="X2541" s="102">
        <f t="shared" si="1884"/>
        <v>0</v>
      </c>
      <c r="Y2541" s="120" t="b">
        <f t="shared" si="1885"/>
        <v>0</v>
      </c>
      <c r="Z2541" s="117">
        <f t="shared" si="1886"/>
        <v>0</v>
      </c>
      <c r="AA2541" s="118"/>
      <c r="AB2541" s="118" t="str">
        <f t="shared" si="1887"/>
        <v/>
      </c>
      <c r="AC2541" s="712" t="str">
        <f>IF(AE2541="T2G","no charge",IF(AND(OR(PlanterYesMe="No",PlanterYesMe="N",PlanterYesMe="me"),H2541=""),"",IF(H2541="credit","NO install",IF(AND(K2541="",AE2541="me"),"EACH row",IF(AND(K2541="images",AE2541="me"),"EACH row",IF(D2541="","",IF(H2541="credit","",IF(AE2541="free","re-planting",IF(AE2541="me","   not ELP, by",IF(AND(OR(PlanterYesMe="Yes",PlanterYesMe="Y"),G2541&gt;0),(VLOOKUP(A2541,'Discount Lookup'!J:K,2)*G2541*(1-PlanterDiscount)*(1+PlanterDifficultyPercentage)),IF(AE2541="ELP",(VLOOKUP(A2541,'Discount Lookup'!J:K,2)*G2541*(1-PlanterDiscount)*(1+PlanterDifficultyPercentage)),IF(AE2541="free","re-planting",IF(G2541=0,"",IF(PlanterYesMe="",IF(AE2541="me","   not ELP, by",IF(AE2541="",IF(G2541&gt;0,(VLOOKUP(A2541,'Discount Lookup'!J:K,2)*G2541*(1-PlanterDiscount)*(1+PlanterDifficultyPercentage)),""),"")),"   not ELP, by"))))))))))))))</f>
        <v/>
      </c>
      <c r="AD2541" s="712"/>
      <c r="AE2541" s="513" t="str">
        <f t="shared" si="1888"/>
        <v/>
      </c>
      <c r="AF2541" s="713" t="str">
        <f t="shared" si="1889"/>
        <v/>
      </c>
      <c r="AG2541" s="713"/>
      <c r="AH2541" s="713"/>
      <c r="AI2541" s="112">
        <f>IF(H2541="credit",0,IF(AE2541="free",0,IF(AE2541="me",0,IF(G2541&gt;0,(VLOOKUP(A2541,'Discount Lookup'!J:K,2)*G2541),0))))</f>
        <v>0</v>
      </c>
      <c r="AJ2541" s="107" t="str">
        <f t="shared" ca="1" si="1890"/>
        <v/>
      </c>
      <c r="AK2541" s="714" t="str">
        <f t="shared" si="1891"/>
        <v/>
      </c>
      <c r="AL2541" s="714"/>
      <c r="AM2541" s="114" t="str">
        <f t="shared" si="1892"/>
        <v/>
      </c>
      <c r="AN2541" s="115"/>
      <c r="AO2541" s="116"/>
      <c r="AP2541" s="116"/>
      <c r="AQ2541" s="116"/>
      <c r="AR2541" s="116"/>
      <c r="AS2541" s="116"/>
      <c r="AT2541" s="116"/>
      <c r="AU2541" s="116"/>
      <c r="AV2541" s="78"/>
      <c r="AW2541" s="102"/>
      <c r="AX2541" s="78"/>
      <c r="AY2541" s="78"/>
      <c r="AZ2541" s="78"/>
      <c r="BA2541" s="78"/>
      <c r="BB2541" s="78"/>
      <c r="BC2541" s="78"/>
      <c r="BD2541" s="78"/>
      <c r="BE2541" s="465"/>
      <c r="BF2541" s="165" t="str">
        <f t="shared" si="1893"/>
        <v>https://www.google.com/search?tbm=isch&amp;q=7%20G4</v>
      </c>
      <c r="BG2541" s="165" t="str">
        <f t="shared" si="1894"/>
        <v>L</v>
      </c>
      <c r="BH2541" s="65"/>
      <c r="BI2541" s="65"/>
      <c r="BJ2541" s="65"/>
      <c r="BK2541" s="65"/>
      <c r="BL2541" s="99"/>
      <c r="BM2541" s="99"/>
      <c r="BN2541" s="99"/>
    </row>
    <row r="2542" spans="1:66" s="51" customFormat="1" ht="17.25" thickBot="1" x14ac:dyDescent="0.3">
      <c r="A2542" s="641" t="s">
        <v>4770</v>
      </c>
      <c r="B2542" s="642"/>
      <c r="C2542" s="710"/>
      <c r="D2542" s="643"/>
      <c r="E2542" s="643"/>
      <c r="F2542" s="644"/>
      <c r="G2542" s="645"/>
      <c r="H2542" s="646"/>
      <c r="I2542" s="647"/>
      <c r="J2542" s="648"/>
      <c r="K2542" s="649"/>
      <c r="L2542" s="650"/>
      <c r="M2542" s="650"/>
      <c r="N2542" s="644"/>
      <c r="O2542" s="644"/>
      <c r="P2542" s="644"/>
      <c r="Q2542" s="644"/>
      <c r="R2542" s="644"/>
      <c r="S2542" s="651"/>
      <c r="T2542" s="102">
        <f t="shared" si="1882"/>
        <v>0</v>
      </c>
      <c r="U2542" s="78" t="str">
        <f>IF(NOT(ISNUMBER(G2542)), "", VLOOKUP(A2542,'Discount Lookup'!D:E,2,FALSE)*G2542)</f>
        <v/>
      </c>
      <c r="V2542" s="78" t="str">
        <f>IF(NOT(ISNUMBER(G2542)), "", VLOOKUP(A2542,'Discount Lookup'!G:H,2,FALSE)*G2542)</f>
        <v/>
      </c>
      <c r="W2542" s="102">
        <f t="shared" si="1883"/>
        <v>0</v>
      </c>
      <c r="X2542" s="102">
        <f t="shared" si="1884"/>
        <v>0</v>
      </c>
      <c r="Y2542" s="120" t="b">
        <f t="shared" si="1885"/>
        <v>0</v>
      </c>
      <c r="Z2542" s="117">
        <f t="shared" si="1886"/>
        <v>0</v>
      </c>
      <c r="AA2542" s="118"/>
      <c r="AB2542" s="118" t="str">
        <f t="shared" si="1887"/>
        <v/>
      </c>
      <c r="AC2542" s="712" t="str">
        <f>IF(AE2542="T2G","no charge",IF(AND(OR(PlanterYesMe="No",PlanterYesMe="N",PlanterYesMe="me"),H2542=""),"",IF(H2542="credit","NO install",IF(AND(K2542="",AE2542="me"),"EACH row",IF(AND(K2542="images",AE2542="me"),"EACH row",IF(D2542="","",IF(H2542="credit","",IF(AE2542="free","re-planting",IF(AE2542="me","   not ELP, by",IF(AND(OR(PlanterYesMe="Yes",PlanterYesMe="Y"),G2542&gt;0),(VLOOKUP(A2542,'Discount Lookup'!J:K,2)*G2542*(1-PlanterDiscount)*(1+PlanterDifficultyPercentage)),IF(AE2542="ELP",(VLOOKUP(A2542,'Discount Lookup'!J:K,2)*G2542*(1-PlanterDiscount)*(1+PlanterDifficultyPercentage)),IF(AE2542="free","re-planting",IF(G2542=0,"",IF(PlanterYesMe="",IF(AE2542="me","   not ELP, by",IF(AE2542="",IF(G2542&gt;0,(VLOOKUP(A2542,'Discount Lookup'!J:K,2)*G2542*(1-PlanterDiscount)*(1+PlanterDifficultyPercentage)),""),"")),"   not ELP, by"))))))))))))))</f>
        <v/>
      </c>
      <c r="AD2542" s="712"/>
      <c r="AE2542" s="513" t="str">
        <f t="shared" si="1888"/>
        <v/>
      </c>
      <c r="AF2542" s="713" t="str">
        <f t="shared" si="1889"/>
        <v/>
      </c>
      <c r="AG2542" s="713"/>
      <c r="AH2542" s="713"/>
      <c r="AI2542" s="112">
        <f>IF(H2542="credit",0,IF(AE2542="free",0,IF(AE2542="me",0,IF(G2542&gt;0,(VLOOKUP(A2542,'Discount Lookup'!J:K,2)*G2542),0))))</f>
        <v>0</v>
      </c>
      <c r="AJ2542" s="107" t="str">
        <f t="shared" ca="1" si="1890"/>
        <v/>
      </c>
      <c r="AK2542" s="714" t="str">
        <f t="shared" si="1891"/>
        <v/>
      </c>
      <c r="AL2542" s="714"/>
      <c r="AM2542" s="114" t="str">
        <f t="shared" si="1892"/>
        <v/>
      </c>
      <c r="AN2542" s="115"/>
      <c r="AO2542" s="116"/>
      <c r="AP2542" s="116"/>
      <c r="AQ2542" s="116"/>
      <c r="AR2542" s="116"/>
      <c r="AS2542" s="116"/>
      <c r="AT2542" s="116"/>
      <c r="AU2542" s="116"/>
      <c r="AV2542" s="78"/>
      <c r="AW2542" s="102"/>
      <c r="AX2542" s="78"/>
      <c r="AY2542" s="78"/>
      <c r="AZ2542" s="78"/>
      <c r="BA2542" s="78"/>
      <c r="BB2542" s="78"/>
      <c r="BC2542" s="78"/>
      <c r="BD2542" s="78"/>
      <c r="BE2542" s="465"/>
      <c r="BF2542" s="165" t="str">
        <f t="shared" si="1893"/>
        <v>https://www.google.com/search?tbm=isch&amp;q=Double%20Dynamite%20bred%20for%20sterility%2C%20instead%20producing%20intense%20double%20blooms%20for%20a%20very%20long%20time%20</v>
      </c>
      <c r="BG2542" s="165" t="str">
        <f t="shared" si="1894"/>
        <v>D</v>
      </c>
      <c r="BH2542" s="65"/>
      <c r="BI2542" s="65"/>
      <c r="BJ2542" s="65"/>
      <c r="BK2542" s="65"/>
      <c r="BL2542" s="99"/>
      <c r="BM2542" s="99"/>
      <c r="BN2542" s="99"/>
    </row>
    <row r="2543" spans="1:66" s="51" customFormat="1" ht="18" x14ac:dyDescent="0.25">
      <c r="A2543" s="623" t="s">
        <v>3209</v>
      </c>
      <c r="B2543" s="624"/>
      <c r="C2543" s="709"/>
      <c r="D2543" s="625" t="s">
        <v>3210</v>
      </c>
      <c r="E2543" s="626"/>
      <c r="F2543" s="626"/>
      <c r="G2543" s="626"/>
      <c r="H2543" s="622" t="s">
        <v>2010</v>
      </c>
      <c r="I2543" s="627" t="s">
        <v>349</v>
      </c>
      <c r="J2543" s="628"/>
      <c r="K2543" s="628"/>
      <c r="L2543" s="629"/>
      <c r="M2543" s="700" t="s">
        <v>5241</v>
      </c>
      <c r="N2543" s="693" t="str">
        <f>IF(AND(ISTEXT($A2543), ISERROR($A2543+0)), HYPERLINK($BF2543, "Images"), "")</f>
        <v>Images</v>
      </c>
      <c r="O2543" s="695" t="s">
        <v>5247</v>
      </c>
      <c r="P2543" s="630"/>
      <c r="Q2543" s="631"/>
      <c r="R2543" s="632"/>
      <c r="S2543" s="633"/>
      <c r="T2543" s="102">
        <f t="shared" si="1882"/>
        <v>0</v>
      </c>
      <c r="U2543" s="78" t="str">
        <f>IF(NOT(ISNUMBER(G2543)), "", VLOOKUP(A2543,'Discount Lookup'!D:E,2,FALSE)*G2543)</f>
        <v/>
      </c>
      <c r="V2543" s="78" t="str">
        <f>IF(NOT(ISNUMBER(G2543)), "", VLOOKUP(A2543,'Discount Lookup'!G:H,2,FALSE)*G2543)</f>
        <v/>
      </c>
      <c r="W2543" s="102">
        <f t="shared" si="1883"/>
        <v>0</v>
      </c>
      <c r="X2543" s="102" t="str">
        <f t="shared" si="1884"/>
        <v>White bloom</v>
      </c>
      <c r="Y2543" s="120" t="b">
        <f t="shared" si="1885"/>
        <v>0</v>
      </c>
      <c r="Z2543" s="117">
        <f t="shared" si="1886"/>
        <v>0</v>
      </c>
      <c r="AA2543" s="118"/>
      <c r="AB2543" s="118" t="str">
        <f t="shared" si="1887"/>
        <v/>
      </c>
      <c r="AC2543" s="712" t="str">
        <f>IF(AE2543="T2G","no charge",IF(AND(OR(PlanterYesMe="No",PlanterYesMe="N",PlanterYesMe="me"),H2543=""),"",IF(H2543="credit","NO install",IF(AND(K2543="",AE2543="me"),"EACH row",IF(AND(K2543="images",AE2543="me"),"EACH row",IF(D2543="","",IF(H2543="credit","",IF(AE2543="free","re-planting",IF(AE2543="me","   not ELP, by",IF(AND(OR(PlanterYesMe="Yes",PlanterYesMe="Y"),G2543&gt;0),(VLOOKUP(A2543,'Discount Lookup'!J:K,2)*G2543*(1-PlanterDiscount)*(1+PlanterDifficultyPercentage)),IF(AE2543="ELP",(VLOOKUP(A2543,'Discount Lookup'!J:K,2)*G2543*(1-PlanterDiscount)*(1+PlanterDifficultyPercentage)),IF(AE2543="free","re-planting",IF(G2543=0,"",IF(PlanterYesMe="",IF(AE2543="me","   not ELP, by",IF(AE2543="",IF(G2543&gt;0,(VLOOKUP(A2543,'Discount Lookup'!J:K,2)*G2543*(1-PlanterDiscount)*(1+PlanterDifficultyPercentage)),""),"")),"   not ELP, by"))))))))))))))</f>
        <v/>
      </c>
      <c r="AD2543" s="712"/>
      <c r="AE2543" s="513" t="str">
        <f t="shared" si="1888"/>
        <v/>
      </c>
      <c r="AF2543" s="713" t="str">
        <f t="shared" si="1889"/>
        <v/>
      </c>
      <c r="AG2543" s="713"/>
      <c r="AH2543" s="713"/>
      <c r="AI2543" s="112">
        <f>IF(H2543="credit",0,IF(AE2543="free",0,IF(AE2543="me",0,IF(G2543&gt;0,(VLOOKUP(A2543,'Discount Lookup'!J:K,2)*G2543),0))))</f>
        <v>0</v>
      </c>
      <c r="AJ2543" s="107" t="str">
        <f t="shared" ca="1" si="1890"/>
        <v/>
      </c>
      <c r="AK2543" s="714" t="str">
        <f t="shared" si="1891"/>
        <v/>
      </c>
      <c r="AL2543" s="714"/>
      <c r="AM2543" s="114" t="str">
        <f t="shared" si="1892"/>
        <v/>
      </c>
      <c r="AN2543" s="115"/>
      <c r="AO2543" s="116"/>
      <c r="AP2543" s="116"/>
      <c r="AQ2543" s="116"/>
      <c r="AR2543" s="116"/>
      <c r="AS2543" s="116"/>
      <c r="AT2543" s="116"/>
      <c r="AU2543" s="116"/>
      <c r="AV2543" s="78"/>
      <c r="AW2543" s="102"/>
      <c r="AX2543" s="78"/>
      <c r="AY2543" s="78"/>
      <c r="AZ2543" s="78"/>
      <c r="BA2543" s="78"/>
      <c r="BB2543" s="78"/>
      <c r="BC2543" s="78"/>
      <c r="BD2543" s="78"/>
      <c r="BE2543" s="465"/>
      <c r="BF2543" s="165" t="str">
        <f t="shared" si="1893"/>
        <v>https://www.google.com/search?tbm=isch&amp;q=Lagerstroemia%20indica%20x%20fauriei%20%27Acoma%27%20Acoma%20Crape%20Myrtle</v>
      </c>
      <c r="BG2543" s="165" t="str">
        <f t="shared" si="1894"/>
        <v>L</v>
      </c>
      <c r="BH2543" s="65"/>
      <c r="BI2543" s="65"/>
      <c r="BJ2543" s="65"/>
      <c r="BK2543" s="65"/>
      <c r="BL2543" s="99"/>
      <c r="BM2543" s="99"/>
      <c r="BN2543" s="99"/>
    </row>
    <row r="2544" spans="1:66" s="51" customFormat="1" ht="27" x14ac:dyDescent="0.25">
      <c r="A2544" s="634">
        <v>15</v>
      </c>
      <c r="B2544" s="635" t="s">
        <v>291</v>
      </c>
      <c r="C2544" s="636" t="s">
        <v>3211</v>
      </c>
      <c r="D2544" s="637" t="s">
        <v>299</v>
      </c>
      <c r="E2544" s="638">
        <v>164.95</v>
      </c>
      <c r="F2544" s="639" t="s">
        <v>292</v>
      </c>
      <c r="G2544" s="484">
        <v>0</v>
      </c>
      <c r="H2544" s="691" t="str">
        <f>IF(G2544=0,"",IF(F2544="Buy",IF(G2544=1,"plant","plants"),IF(F2544&gt;0.01,"warranty","Error")))</f>
        <v/>
      </c>
      <c r="I2544" s="640">
        <f>IF(H2544="free",0,IF(H2544="credit",((E2544*(F2544))*G2544*-1),IF(F2544="Buy",(E2544*G2544),((E2544*(1-F2544))*G2544))))</f>
        <v>0</v>
      </c>
      <c r="J2544" s="640">
        <f>IF(H2544="warranty",0,(I2544*(_xlfn.SINGLE(SalesTaxPercentage))))</f>
        <v>0</v>
      </c>
      <c r="K2544" s="716">
        <f t="shared" ref="K2544" si="1908">I2544+J2544</f>
        <v>0</v>
      </c>
      <c r="L2544" s="716"/>
      <c r="M2544" s="689" t="str">
        <f ca="1">IF(AND(G2544&gt;0,E2544=0),"WARNING - no PRICE inserted",IF(H2544="free","FREE ~ no charge this plant",IF(H2544="credit",CONCATENATE("-$",ROUND(K2544*(1-_xlfn.SINGLE(T2GDiscount))*-1,2)," CREDIT after discount"),IF(_xlfn.SINGLE(T2GDiscount)=0,"",IF(G2544=0,"",IF(F2544="Buy",CONCATENATE("$",ROUND(K2544*(1-_xlfn.SINGLE(T2GDiscount)),2)," with ",(_xlfn.SINGLE(T2GDiscount)*100),"% discount"),CONCATENATE("$",ROUND(K2544*(1-_xlfn.SINGLE(T2GDiscount)),2)," with ",((_xlfn.SINGLE(T2GDiscount)*100+F2544*100)-(_xlfn.SINGLE(T2GDiscount)*100*F2544)),IF(F2544&gt;0,"% discounts",IF(_xlfn.SINGLE(NoWarrantyDiscount)&gt;0,"% discounts","% discount")))))))))</f>
        <v/>
      </c>
      <c r="N2544" s="690"/>
      <c r="O2544" s="486"/>
      <c r="P2544" s="486"/>
      <c r="Q2544" s="486"/>
      <c r="R2544" s="486"/>
      <c r="S2544" s="486"/>
      <c r="T2544" s="102">
        <f t="shared" si="1882"/>
        <v>0</v>
      </c>
      <c r="U2544" s="78">
        <f>IF(NOT(ISNUMBER(G2544)), "", VLOOKUP(A2544,'Discount Lookup'!D:E,2,FALSE)*G2544)</f>
        <v>0</v>
      </c>
      <c r="V2544" s="78">
        <f>IF(NOT(ISNUMBER(G2544)), "", VLOOKUP(A2544,'Discount Lookup'!G:H,2,FALSE)*G2544)</f>
        <v>0</v>
      </c>
      <c r="W2544" s="102">
        <f t="shared" si="1883"/>
        <v>0</v>
      </c>
      <c r="X2544" s="102">
        <f t="shared" si="1884"/>
        <v>0</v>
      </c>
      <c r="Y2544" s="120" t="b">
        <f t="shared" si="1885"/>
        <v>0</v>
      </c>
      <c r="Z2544" s="117">
        <f t="shared" si="1886"/>
        <v>0</v>
      </c>
      <c r="AA2544" s="118"/>
      <c r="AB2544" s="118" t="str">
        <f t="shared" si="1887"/>
        <v/>
      </c>
      <c r="AC2544" s="712" t="str">
        <f>IF(AE2544="T2G","no charge",IF(AND(OR(PlanterYesMe="No",PlanterYesMe="N",PlanterYesMe="me"),H2544=""),"",IF(H2544="credit","NO install",IF(AND(K2544="",AE2544="me"),"EACH row",IF(AND(K2544="images",AE2544="me"),"EACH row",IF(D2544="","",IF(H2544="credit","",IF(AE2544="free","re-planting",IF(AE2544="me","   not ELP, by",IF(AND(OR(PlanterYesMe="Yes",PlanterYesMe="Y"),G2544&gt;0),(VLOOKUP(A2544,'Discount Lookup'!J:K,2)*G2544*(1-PlanterDiscount)*(1+PlanterDifficultyPercentage)),IF(AE2544="ELP",(VLOOKUP(A2544,'Discount Lookup'!J:K,2)*G2544*(1-PlanterDiscount)*(1+PlanterDifficultyPercentage)),IF(AE2544="free","re-planting",IF(G2544=0,"",IF(PlanterYesMe="",IF(AE2544="me","   not ELP, by",IF(AE2544="",IF(G2544&gt;0,(VLOOKUP(A2544,'Discount Lookup'!J:K,2)*G2544*(1-PlanterDiscount)*(1+PlanterDifficultyPercentage)),""),"")),"   not ELP, by"))))))))))))))</f>
        <v/>
      </c>
      <c r="AD2544" s="712"/>
      <c r="AE2544" s="513" t="str">
        <f t="shared" si="1888"/>
        <v/>
      </c>
      <c r="AF2544" s="713" t="str">
        <f t="shared" si="1889"/>
        <v/>
      </c>
      <c r="AG2544" s="713"/>
      <c r="AH2544" s="713"/>
      <c r="AI2544" s="112">
        <f>IF(H2544="credit",0,IF(AE2544="free",0,IF(AE2544="me",0,IF(G2544&gt;0,(VLOOKUP(A2544,'Discount Lookup'!J:K,2)*G2544),0))))</f>
        <v>0</v>
      </c>
      <c r="AJ2544" s="107" t="str">
        <f t="shared" ca="1" si="1890"/>
        <v/>
      </c>
      <c r="AK2544" s="714" t="str">
        <f t="shared" si="1891"/>
        <v/>
      </c>
      <c r="AL2544" s="714"/>
      <c r="AM2544" s="114" t="str">
        <f t="shared" si="1892"/>
        <v/>
      </c>
      <c r="AN2544" s="115"/>
      <c r="AO2544" s="116"/>
      <c r="AP2544" s="116"/>
      <c r="AQ2544" s="116"/>
      <c r="AR2544" s="116"/>
      <c r="AS2544" s="116"/>
      <c r="AT2544" s="116"/>
      <c r="AU2544" s="116"/>
      <c r="AV2544" s="78"/>
      <c r="AW2544" s="102"/>
      <c r="AX2544" s="78"/>
      <c r="AY2544" s="78"/>
      <c r="AZ2544" s="78"/>
      <c r="BA2544" s="78"/>
      <c r="BB2544" s="78"/>
      <c r="BC2544" s="78"/>
      <c r="BD2544" s="78"/>
      <c r="BE2544" s="465"/>
      <c r="BF2544" s="165" t="str">
        <f t="shared" si="1893"/>
        <v>https://www.google.com/search?tbm=isch&amp;q=15%20G4</v>
      </c>
      <c r="BG2544" s="165" t="str">
        <f t="shared" si="1894"/>
        <v>L</v>
      </c>
      <c r="BH2544" s="65"/>
      <c r="BI2544" s="65"/>
      <c r="BJ2544" s="65"/>
      <c r="BK2544" s="65"/>
      <c r="BL2544" s="99"/>
      <c r="BM2544" s="99"/>
      <c r="BN2544" s="99"/>
    </row>
    <row r="2545" spans="1:66" s="51" customFormat="1" ht="15.75" x14ac:dyDescent="0.25">
      <c r="A2545" s="634">
        <v>15</v>
      </c>
      <c r="B2545" s="635" t="s">
        <v>291</v>
      </c>
      <c r="C2545" s="636" t="s">
        <v>3212</v>
      </c>
      <c r="D2545" s="637" t="s">
        <v>309</v>
      </c>
      <c r="E2545" s="638">
        <v>174.95</v>
      </c>
      <c r="F2545" s="639" t="s">
        <v>292</v>
      </c>
      <c r="G2545" s="484">
        <v>0</v>
      </c>
      <c r="H2545" s="691" t="str">
        <f>IF(G2545=0,"",IF(F2545="Buy",IF(G2545=1,"plant","plants"),IF(F2545&gt;0.01,"warranty","Error")))</f>
        <v/>
      </c>
      <c r="I2545" s="640">
        <f>IF(H2545="free",0,IF(H2545="credit",((E2545*(F2545))*G2545*-1),IF(F2545="Buy",(E2545*G2545),((E2545*(1-F2545))*G2545))))</f>
        <v>0</v>
      </c>
      <c r="J2545" s="640">
        <f>IF(H2545="warranty",0,(I2545*(_xlfn.SINGLE(SalesTaxPercentage))))</f>
        <v>0</v>
      </c>
      <c r="K2545" s="716">
        <f t="shared" ref="K2545" si="1909">I2545+J2545</f>
        <v>0</v>
      </c>
      <c r="L2545" s="716"/>
      <c r="M2545" s="689" t="str">
        <f ca="1">IF(AND(G2545&gt;0,E2545=0),"WARNING - no PRICE inserted",IF(H2545="free","FREE ~ no charge this plant",IF(H2545="credit",CONCATENATE("-$",ROUND(K2545*(1-_xlfn.SINGLE(T2GDiscount))*-1,2)," CREDIT after discount"),IF(_xlfn.SINGLE(T2GDiscount)=0,"",IF(G2545=0,"",IF(F2545="Buy",CONCATENATE("$",ROUND(K2545*(1-_xlfn.SINGLE(T2GDiscount)),2)," with ",(_xlfn.SINGLE(T2GDiscount)*100),"% discount"),CONCATENATE("$",ROUND(K2545*(1-_xlfn.SINGLE(T2GDiscount)),2)," with ",((_xlfn.SINGLE(T2GDiscount)*100+F2545*100)-(_xlfn.SINGLE(T2GDiscount)*100*F2545)),IF(F2545&gt;0,"% discounts",IF(_xlfn.SINGLE(NoWarrantyDiscount)&gt;0,"% discounts","% discount")))))))))</f>
        <v/>
      </c>
      <c r="N2545" s="690"/>
      <c r="O2545" s="486"/>
      <c r="P2545" s="486"/>
      <c r="Q2545" s="486"/>
      <c r="R2545" s="486"/>
      <c r="S2545" s="486"/>
      <c r="T2545" s="102">
        <f t="shared" si="1882"/>
        <v>0</v>
      </c>
      <c r="U2545" s="78">
        <f>IF(NOT(ISNUMBER(G2545)), "", VLOOKUP(A2545,'Discount Lookup'!D:E,2,FALSE)*G2545)</f>
        <v>0</v>
      </c>
      <c r="V2545" s="78">
        <f>IF(NOT(ISNUMBER(G2545)), "", VLOOKUP(A2545,'Discount Lookup'!G:H,2,FALSE)*G2545)</f>
        <v>0</v>
      </c>
      <c r="W2545" s="102">
        <f t="shared" si="1883"/>
        <v>0</v>
      </c>
      <c r="X2545" s="102">
        <f t="shared" si="1884"/>
        <v>0</v>
      </c>
      <c r="Y2545" s="120" t="b">
        <f t="shared" si="1885"/>
        <v>0</v>
      </c>
      <c r="Z2545" s="117">
        <f t="shared" si="1886"/>
        <v>0</v>
      </c>
      <c r="AA2545" s="118"/>
      <c r="AB2545" s="118" t="str">
        <f t="shared" si="1887"/>
        <v/>
      </c>
      <c r="AC2545" s="712" t="str">
        <f>IF(AE2545="T2G","no charge",IF(AND(OR(PlanterYesMe="No",PlanterYesMe="N",PlanterYesMe="me"),H2545=""),"",IF(H2545="credit","NO install",IF(AND(K2545="",AE2545="me"),"EACH row",IF(AND(K2545="images",AE2545="me"),"EACH row",IF(D2545="","",IF(H2545="credit","",IF(AE2545="free","re-planting",IF(AE2545="me","   not ELP, by",IF(AND(OR(PlanterYesMe="Yes",PlanterYesMe="Y"),G2545&gt;0),(VLOOKUP(A2545,'Discount Lookup'!J:K,2)*G2545*(1-PlanterDiscount)*(1+PlanterDifficultyPercentage)),IF(AE2545="ELP",(VLOOKUP(A2545,'Discount Lookup'!J:K,2)*G2545*(1-PlanterDiscount)*(1+PlanterDifficultyPercentage)),IF(AE2545="free","re-planting",IF(G2545=0,"",IF(PlanterYesMe="",IF(AE2545="me","   not ELP, by",IF(AE2545="",IF(G2545&gt;0,(VLOOKUP(A2545,'Discount Lookup'!J:K,2)*G2545*(1-PlanterDiscount)*(1+PlanterDifficultyPercentage)),""),"")),"   not ELP, by"))))))))))))))</f>
        <v/>
      </c>
      <c r="AD2545" s="712"/>
      <c r="AE2545" s="513" t="str">
        <f t="shared" si="1888"/>
        <v/>
      </c>
      <c r="AF2545" s="713" t="str">
        <f t="shared" si="1889"/>
        <v/>
      </c>
      <c r="AG2545" s="713"/>
      <c r="AH2545" s="713"/>
      <c r="AI2545" s="112">
        <f>IF(H2545="credit",0,IF(AE2545="free",0,IF(AE2545="me",0,IF(G2545&gt;0,(VLOOKUP(A2545,'Discount Lookup'!J:K,2)*G2545),0))))</f>
        <v>0</v>
      </c>
      <c r="AJ2545" s="107" t="str">
        <f t="shared" ca="1" si="1890"/>
        <v/>
      </c>
      <c r="AK2545" s="714" t="str">
        <f t="shared" si="1891"/>
        <v/>
      </c>
      <c r="AL2545" s="714"/>
      <c r="AM2545" s="114" t="str">
        <f t="shared" si="1892"/>
        <v/>
      </c>
      <c r="AN2545" s="115"/>
      <c r="AO2545" s="116"/>
      <c r="AP2545" s="116"/>
      <c r="AQ2545" s="116"/>
      <c r="AR2545" s="116"/>
      <c r="AS2545" s="116"/>
      <c r="AT2545" s="116"/>
      <c r="AU2545" s="116"/>
      <c r="AV2545" s="78"/>
      <c r="AW2545" s="102"/>
      <c r="AX2545" s="78"/>
      <c r="AY2545" s="78"/>
      <c r="AZ2545" s="78"/>
      <c r="BA2545" s="78"/>
      <c r="BB2545" s="78"/>
      <c r="BC2545" s="78"/>
      <c r="BD2545" s="78"/>
      <c r="BE2545" s="465"/>
      <c r="BF2545" s="165" t="str">
        <f t="shared" si="1893"/>
        <v>https://www.google.com/search?tbm=isch&amp;q=15%20G3</v>
      </c>
      <c r="BG2545" s="165" t="str">
        <f t="shared" si="1894"/>
        <v>L</v>
      </c>
      <c r="BH2545" s="65"/>
      <c r="BI2545" s="65"/>
      <c r="BJ2545" s="65"/>
      <c r="BK2545" s="65"/>
      <c r="BL2545" s="99"/>
      <c r="BM2545" s="99"/>
      <c r="BN2545" s="99"/>
    </row>
    <row r="2546" spans="1:66" s="51" customFormat="1" ht="15.75" x14ac:dyDescent="0.25">
      <c r="A2546" s="634">
        <v>25</v>
      </c>
      <c r="B2546" s="635" t="s">
        <v>291</v>
      </c>
      <c r="C2546" s="636" t="s">
        <v>4989</v>
      </c>
      <c r="D2546" s="637" t="s">
        <v>299</v>
      </c>
      <c r="E2546" s="638">
        <v>293.95</v>
      </c>
      <c r="F2546" s="639" t="s">
        <v>292</v>
      </c>
      <c r="G2546" s="484">
        <v>0</v>
      </c>
      <c r="H2546" s="691" t="str">
        <f>IF(G2546=0,"",IF(F2546="Buy",IF(G2546=1,"plant","plants"),IF(F2546&gt;0.01,"warranty","Error")))</f>
        <v/>
      </c>
      <c r="I2546" s="640">
        <f>IF(H2546="free",0,IF(H2546="credit",((E2546*(F2546))*G2546*-1),IF(F2546="Buy",(E2546*G2546),((E2546*(1-F2546))*G2546))))</f>
        <v>0</v>
      </c>
      <c r="J2546" s="640">
        <f>IF(H2546="warranty",0,(I2546*(_xlfn.SINGLE(SalesTaxPercentage))))</f>
        <v>0</v>
      </c>
      <c r="K2546" s="716">
        <f t="shared" ref="K2546" si="1910">I2546+J2546</f>
        <v>0</v>
      </c>
      <c r="L2546" s="716"/>
      <c r="M2546" s="689" t="str">
        <f ca="1">IF(AND(G2546&gt;0,E2546=0),"WARNING - no PRICE inserted",IF(H2546="free","FREE ~ no charge this plant",IF(H2546="credit",CONCATENATE("-$",ROUND(K2546*(1-_xlfn.SINGLE(T2GDiscount))*-1,2)," CREDIT after discount"),IF(_xlfn.SINGLE(T2GDiscount)=0,"",IF(G2546=0,"",IF(F2546="Buy",CONCATENATE("$",ROUND(K2546*(1-_xlfn.SINGLE(T2GDiscount)),2)," with ",(_xlfn.SINGLE(T2GDiscount)*100),"% discount"),CONCATENATE("$",ROUND(K2546*(1-_xlfn.SINGLE(T2GDiscount)),2)," with ",((_xlfn.SINGLE(T2GDiscount)*100+F2546*100)-(_xlfn.SINGLE(T2GDiscount)*100*F2546)),IF(F2546&gt;0,"% discounts",IF(_xlfn.SINGLE(NoWarrantyDiscount)&gt;0,"% discounts","% discount")))))))))</f>
        <v/>
      </c>
      <c r="N2546" s="690"/>
      <c r="O2546" s="486"/>
      <c r="P2546" s="486"/>
      <c r="Q2546" s="486"/>
      <c r="R2546" s="486"/>
      <c r="S2546" s="486"/>
      <c r="T2546" s="102">
        <f t="shared" si="1882"/>
        <v>0</v>
      </c>
      <c r="U2546" s="78">
        <f>IF(NOT(ISNUMBER(G2546)), "", VLOOKUP(A2546,'Discount Lookup'!D:E,2,FALSE)*G2546)</f>
        <v>0</v>
      </c>
      <c r="V2546" s="78">
        <f>IF(NOT(ISNUMBER(G2546)), "", VLOOKUP(A2546,'Discount Lookup'!G:H,2,FALSE)*G2546)</f>
        <v>0</v>
      </c>
      <c r="W2546" s="102">
        <f t="shared" si="1883"/>
        <v>0</v>
      </c>
      <c r="X2546" s="102">
        <f t="shared" si="1884"/>
        <v>0</v>
      </c>
      <c r="Y2546" s="120" t="b">
        <f t="shared" si="1885"/>
        <v>0</v>
      </c>
      <c r="Z2546" s="117">
        <f t="shared" si="1886"/>
        <v>0</v>
      </c>
      <c r="AA2546" s="118"/>
      <c r="AB2546" s="118" t="str">
        <f t="shared" si="1887"/>
        <v/>
      </c>
      <c r="AC2546" s="712" t="str">
        <f>IF(AE2546="T2G","no charge",IF(AND(OR(PlanterYesMe="No",PlanterYesMe="N",PlanterYesMe="me"),H2546=""),"",IF(H2546="credit","NO install",IF(AND(K2546="",AE2546="me"),"EACH row",IF(AND(K2546="images",AE2546="me"),"EACH row",IF(D2546="","",IF(H2546="credit","",IF(AE2546="free","re-planting",IF(AE2546="me","   not ELP, by",IF(AND(OR(PlanterYesMe="Yes",PlanterYesMe="Y"),G2546&gt;0),(VLOOKUP(A2546,'Discount Lookup'!J:K,2)*G2546*(1-PlanterDiscount)*(1+PlanterDifficultyPercentage)),IF(AE2546="ELP",(VLOOKUP(A2546,'Discount Lookup'!J:K,2)*G2546*(1-PlanterDiscount)*(1+PlanterDifficultyPercentage)),IF(AE2546="free","re-planting",IF(G2546=0,"",IF(PlanterYesMe="",IF(AE2546="me","   not ELP, by",IF(AE2546="",IF(G2546&gt;0,(VLOOKUP(A2546,'Discount Lookup'!J:K,2)*G2546*(1-PlanterDiscount)*(1+PlanterDifficultyPercentage)),""),"")),"   not ELP, by"))))))))))))))</f>
        <v/>
      </c>
      <c r="AD2546" s="712"/>
      <c r="AE2546" s="513" t="str">
        <f t="shared" si="1888"/>
        <v/>
      </c>
      <c r="AF2546" s="713" t="str">
        <f t="shared" si="1889"/>
        <v/>
      </c>
      <c r="AG2546" s="713"/>
      <c r="AH2546" s="713"/>
      <c r="AI2546" s="112">
        <f>IF(H2546="credit",0,IF(AE2546="free",0,IF(AE2546="me",0,IF(G2546&gt;0,(VLOOKUP(A2546,'Discount Lookup'!J:K,2)*G2546),0))))</f>
        <v>0</v>
      </c>
      <c r="AJ2546" s="107" t="str">
        <f t="shared" ca="1" si="1890"/>
        <v/>
      </c>
      <c r="AK2546" s="714" t="str">
        <f t="shared" si="1891"/>
        <v/>
      </c>
      <c r="AL2546" s="714"/>
      <c r="AM2546" s="114" t="str">
        <f t="shared" si="1892"/>
        <v/>
      </c>
      <c r="AN2546" s="115"/>
      <c r="AO2546" s="116"/>
      <c r="AP2546" s="116"/>
      <c r="AQ2546" s="116"/>
      <c r="AR2546" s="116"/>
      <c r="AS2546" s="116"/>
      <c r="AT2546" s="116"/>
      <c r="AU2546" s="116"/>
      <c r="AV2546" s="78"/>
      <c r="AW2546" s="102"/>
      <c r="AX2546" s="78"/>
      <c r="AY2546" s="78"/>
      <c r="AZ2546" s="78"/>
      <c r="BA2546" s="78"/>
      <c r="BB2546" s="78"/>
      <c r="BC2546" s="78"/>
      <c r="BD2546" s="78"/>
      <c r="BE2546" s="465"/>
      <c r="BF2546" s="165" t="str">
        <f t="shared" si="1893"/>
        <v>https://www.google.com/search?tbm=isch&amp;q=25%20G4</v>
      </c>
      <c r="BG2546" s="165" t="str">
        <f t="shared" si="1894"/>
        <v>L</v>
      </c>
      <c r="BH2546" s="65"/>
      <c r="BI2546" s="65"/>
      <c r="BJ2546" s="65"/>
      <c r="BK2546" s="65"/>
      <c r="BL2546" s="99"/>
      <c r="BM2546" s="99"/>
      <c r="BN2546" s="99"/>
    </row>
    <row r="2547" spans="1:66" s="51" customFormat="1" ht="17.25" thickBot="1" x14ac:dyDescent="0.3">
      <c r="A2547" s="641" t="s">
        <v>3213</v>
      </c>
      <c r="B2547" s="642"/>
      <c r="C2547" s="710"/>
      <c r="D2547" s="643"/>
      <c r="E2547" s="643"/>
      <c r="F2547" s="644"/>
      <c r="G2547" s="645"/>
      <c r="H2547" s="646"/>
      <c r="I2547" s="647"/>
      <c r="J2547" s="648"/>
      <c r="K2547" s="649"/>
      <c r="L2547" s="650"/>
      <c r="M2547" s="650"/>
      <c r="N2547" s="644"/>
      <c r="O2547" s="644"/>
      <c r="P2547" s="644"/>
      <c r="Q2547" s="644"/>
      <c r="R2547" s="644"/>
      <c r="S2547" s="651"/>
      <c r="T2547" s="102">
        <f t="shared" si="1882"/>
        <v>0</v>
      </c>
      <c r="U2547" s="78" t="str">
        <f>IF(NOT(ISNUMBER(G2547)), "", VLOOKUP(A2547,'Discount Lookup'!D:E,2,FALSE)*G2547)</f>
        <v/>
      </c>
      <c r="V2547" s="78" t="str">
        <f>IF(NOT(ISNUMBER(G2547)), "", VLOOKUP(A2547,'Discount Lookup'!G:H,2,FALSE)*G2547)</f>
        <v/>
      </c>
      <c r="W2547" s="102">
        <f t="shared" si="1883"/>
        <v>0</v>
      </c>
      <c r="X2547" s="102">
        <f t="shared" si="1884"/>
        <v>0</v>
      </c>
      <c r="Y2547" s="120" t="b">
        <f t="shared" si="1885"/>
        <v>0</v>
      </c>
      <c r="Z2547" s="117">
        <f t="shared" si="1886"/>
        <v>0</v>
      </c>
      <c r="AA2547" s="118"/>
      <c r="AB2547" s="118" t="str">
        <f t="shared" si="1887"/>
        <v/>
      </c>
      <c r="AC2547" s="712" t="str">
        <f>IF(AE2547="T2G","no charge",IF(AND(OR(PlanterYesMe="No",PlanterYesMe="N",PlanterYesMe="me"),H2547=""),"",IF(H2547="credit","NO install",IF(AND(K2547="",AE2547="me"),"EACH row",IF(AND(K2547="images",AE2547="me"),"EACH row",IF(D2547="","",IF(H2547="credit","",IF(AE2547="free","re-planting",IF(AE2547="me","   not ELP, by",IF(AND(OR(PlanterYesMe="Yes",PlanterYesMe="Y"),G2547&gt;0),(VLOOKUP(A2547,'Discount Lookup'!J:K,2)*G2547*(1-PlanterDiscount)*(1+PlanterDifficultyPercentage)),IF(AE2547="ELP",(VLOOKUP(A2547,'Discount Lookup'!J:K,2)*G2547*(1-PlanterDiscount)*(1+PlanterDifficultyPercentage)),IF(AE2547="free","re-planting",IF(G2547=0,"",IF(PlanterYesMe="",IF(AE2547="me","   not ELP, by",IF(AE2547="",IF(G2547&gt;0,(VLOOKUP(A2547,'Discount Lookup'!J:K,2)*G2547*(1-PlanterDiscount)*(1+PlanterDifficultyPercentage)),""),"")),"   not ELP, by"))))))))))))))</f>
        <v/>
      </c>
      <c r="AD2547" s="712"/>
      <c r="AE2547" s="513" t="str">
        <f t="shared" si="1888"/>
        <v/>
      </c>
      <c r="AF2547" s="713" t="str">
        <f t="shared" si="1889"/>
        <v/>
      </c>
      <c r="AG2547" s="713"/>
      <c r="AH2547" s="713"/>
      <c r="AI2547" s="112">
        <f>IF(H2547="credit",0,IF(AE2547="free",0,IF(AE2547="me",0,IF(G2547&gt;0,(VLOOKUP(A2547,'Discount Lookup'!J:K,2)*G2547),0))))</f>
        <v>0</v>
      </c>
      <c r="AJ2547" s="107" t="str">
        <f t="shared" ca="1" si="1890"/>
        <v/>
      </c>
      <c r="AK2547" s="714" t="str">
        <f t="shared" si="1891"/>
        <v/>
      </c>
      <c r="AL2547" s="714"/>
      <c r="AM2547" s="114" t="str">
        <f t="shared" si="1892"/>
        <v/>
      </c>
      <c r="AN2547" s="115"/>
      <c r="AO2547" s="116"/>
      <c r="AP2547" s="116"/>
      <c r="AQ2547" s="116"/>
      <c r="AR2547" s="116"/>
      <c r="AS2547" s="116"/>
      <c r="AT2547" s="116"/>
      <c r="AU2547" s="116"/>
      <c r="AV2547" s="78"/>
      <c r="AW2547" s="102"/>
      <c r="AX2547" s="78"/>
      <c r="AY2547" s="78"/>
      <c r="AZ2547" s="78"/>
      <c r="BA2547" s="78"/>
      <c r="BB2547" s="78"/>
      <c r="BC2547" s="78"/>
      <c r="BD2547" s="78"/>
      <c r="BE2547" s="465"/>
      <c r="BF2547" s="165" t="str">
        <f t="shared" si="1893"/>
        <v>https://www.google.com/search?tbm=isch&amp;q=Acoma%20foliage%20is%20green%2C%20with%20red%2Forange%20highlights.%20Red%2Fpurple%20foliage%20in%20fall.%20Grey%20bark%20exfoliates%20</v>
      </c>
      <c r="BG2547" s="165" t="str">
        <f t="shared" si="1894"/>
        <v>A</v>
      </c>
      <c r="BH2547" s="65"/>
      <c r="BI2547" s="65"/>
      <c r="BJ2547" s="65"/>
      <c r="BK2547" s="65"/>
      <c r="BL2547" s="99"/>
      <c r="BM2547" s="99"/>
      <c r="BN2547" s="99"/>
    </row>
    <row r="2548" spans="1:66" s="51" customFormat="1" ht="18" x14ac:dyDescent="0.25">
      <c r="A2548" s="623" t="s">
        <v>3214</v>
      </c>
      <c r="B2548" s="624"/>
      <c r="C2548" s="709"/>
      <c r="D2548" s="625" t="s">
        <v>3215</v>
      </c>
      <c r="E2548" s="626"/>
      <c r="F2548" s="626"/>
      <c r="G2548" s="626"/>
      <c r="H2548" s="622" t="s">
        <v>327</v>
      </c>
      <c r="I2548" s="627" t="s">
        <v>1766</v>
      </c>
      <c r="J2548" s="628"/>
      <c r="K2548" s="628"/>
      <c r="L2548" s="629"/>
      <c r="M2548" s="700" t="s">
        <v>5241</v>
      </c>
      <c r="N2548" s="693" t="str">
        <f>IF(AND(ISTEXT($A2548), ISERROR($A2548+0)), HYPERLINK($BF2548, "Images"), "")</f>
        <v>Images</v>
      </c>
      <c r="O2548" s="695" t="s">
        <v>5247</v>
      </c>
      <c r="P2548" s="630"/>
      <c r="Q2548" s="631"/>
      <c r="R2548" s="632"/>
      <c r="S2548" s="633"/>
      <c r="T2548" s="102">
        <f t="shared" si="1882"/>
        <v>0</v>
      </c>
      <c r="U2548" s="78" t="str">
        <f>IF(NOT(ISNUMBER(G2548)), "", VLOOKUP(A2548,'Discount Lookup'!D:E,2,FALSE)*G2548)</f>
        <v/>
      </c>
      <c r="V2548" s="78" t="str">
        <f>IF(NOT(ISNUMBER(G2548)), "", VLOOKUP(A2548,'Discount Lookup'!G:H,2,FALSE)*G2548)</f>
        <v/>
      </c>
      <c r="W2548" s="102">
        <f t="shared" si="1883"/>
        <v>0</v>
      </c>
      <c r="X2548" s="102" t="str">
        <f t="shared" si="1884"/>
        <v>Light Pink bloom</v>
      </c>
      <c r="Y2548" s="120" t="b">
        <f t="shared" si="1885"/>
        <v>0</v>
      </c>
      <c r="Z2548" s="117">
        <f t="shared" si="1886"/>
        <v>0</v>
      </c>
      <c r="AA2548" s="118"/>
      <c r="AB2548" s="118" t="str">
        <f t="shared" si="1887"/>
        <v/>
      </c>
      <c r="AC2548" s="712" t="str">
        <f>IF(AE2548="T2G","no charge",IF(AND(OR(PlanterYesMe="No",PlanterYesMe="N",PlanterYesMe="me"),H2548=""),"",IF(H2548="credit","NO install",IF(AND(K2548="",AE2548="me"),"EACH row",IF(AND(K2548="images",AE2548="me"),"EACH row",IF(D2548="","",IF(H2548="credit","",IF(AE2548="free","re-planting",IF(AE2548="me","   not ELP, by",IF(AND(OR(PlanterYesMe="Yes",PlanterYesMe="Y"),G2548&gt;0),(VLOOKUP(A2548,'Discount Lookup'!J:K,2)*G2548*(1-PlanterDiscount)*(1+PlanterDifficultyPercentage)),IF(AE2548="ELP",(VLOOKUP(A2548,'Discount Lookup'!J:K,2)*G2548*(1-PlanterDiscount)*(1+PlanterDifficultyPercentage)),IF(AE2548="free","re-planting",IF(G2548=0,"",IF(PlanterYesMe="",IF(AE2548="me","   not ELP, by",IF(AE2548="",IF(G2548&gt;0,(VLOOKUP(A2548,'Discount Lookup'!J:K,2)*G2548*(1-PlanterDiscount)*(1+PlanterDifficultyPercentage)),""),"")),"   not ELP, by"))))))))))))))</f>
        <v/>
      </c>
      <c r="AD2548" s="712"/>
      <c r="AE2548" s="513" t="str">
        <f t="shared" si="1888"/>
        <v/>
      </c>
      <c r="AF2548" s="713" t="str">
        <f t="shared" si="1889"/>
        <v/>
      </c>
      <c r="AG2548" s="713"/>
      <c r="AH2548" s="713"/>
      <c r="AI2548" s="112">
        <f>IF(H2548="credit",0,IF(AE2548="free",0,IF(AE2548="me",0,IF(G2548&gt;0,(VLOOKUP(A2548,'Discount Lookup'!J:K,2)*G2548),0))))</f>
        <v>0</v>
      </c>
      <c r="AJ2548" s="107" t="str">
        <f t="shared" ca="1" si="1890"/>
        <v/>
      </c>
      <c r="AK2548" s="714" t="str">
        <f t="shared" si="1891"/>
        <v/>
      </c>
      <c r="AL2548" s="714"/>
      <c r="AM2548" s="114" t="str">
        <f t="shared" si="1892"/>
        <v/>
      </c>
      <c r="AN2548" s="115"/>
      <c r="AO2548" s="116"/>
      <c r="AP2548" s="116"/>
      <c r="AQ2548" s="116"/>
      <c r="AR2548" s="116"/>
      <c r="AS2548" s="116"/>
      <c r="AT2548" s="116"/>
      <c r="AU2548" s="116"/>
      <c r="AV2548" s="78"/>
      <c r="AW2548" s="102"/>
      <c r="AX2548" s="78"/>
      <c r="AY2548" s="78"/>
      <c r="AZ2548" s="78"/>
      <c r="BA2548" s="78"/>
      <c r="BB2548" s="78"/>
      <c r="BC2548" s="78"/>
      <c r="BD2548" s="78"/>
      <c r="BE2548" s="465"/>
      <c r="BF2548" s="165" t="str">
        <f t="shared" si="1893"/>
        <v>https://www.google.com/search?tbm=isch&amp;q=Lagerstroemia%20indica%20x%20fauriei%20%27Biloxi%27%20Biloxi%20Crape%20Myrtle</v>
      </c>
      <c r="BG2548" s="165" t="str">
        <f t="shared" si="1894"/>
        <v>L</v>
      </c>
      <c r="BH2548" s="65"/>
      <c r="BI2548" s="65"/>
      <c r="BJ2548" s="65"/>
      <c r="BK2548" s="65"/>
      <c r="BL2548" s="99"/>
      <c r="BM2548" s="99"/>
      <c r="BN2548" s="99"/>
    </row>
    <row r="2549" spans="1:66" s="51" customFormat="1" ht="27" x14ac:dyDescent="0.25">
      <c r="A2549" s="634">
        <v>15</v>
      </c>
      <c r="B2549" s="635" t="s">
        <v>291</v>
      </c>
      <c r="C2549" s="636" t="s">
        <v>3216</v>
      </c>
      <c r="D2549" s="637" t="s">
        <v>299</v>
      </c>
      <c r="E2549" s="638">
        <v>164.95</v>
      </c>
      <c r="F2549" s="639" t="s">
        <v>292</v>
      </c>
      <c r="G2549" s="484">
        <v>0</v>
      </c>
      <c r="H2549" s="691" t="str">
        <f>IF(G2549=0,"",IF(F2549="Buy",IF(G2549=1,"plant","plants"),IF(F2549&gt;0.01,"warranty","Error")))</f>
        <v/>
      </c>
      <c r="I2549" s="640">
        <f>IF(H2549="free",0,IF(H2549="credit",((E2549*(F2549))*G2549*-1),IF(F2549="Buy",(E2549*G2549),((E2549*(1-F2549))*G2549))))</f>
        <v>0</v>
      </c>
      <c r="J2549" s="640">
        <f>IF(H2549="warranty",0,(I2549*(_xlfn.SINGLE(SalesTaxPercentage))))</f>
        <v>0</v>
      </c>
      <c r="K2549" s="716">
        <f t="shared" ref="K2549" si="1911">I2549+J2549</f>
        <v>0</v>
      </c>
      <c r="L2549" s="716"/>
      <c r="M2549" s="689" t="str">
        <f ca="1">IF(AND(G2549&gt;0,E2549=0),"WARNING - no PRICE inserted",IF(H2549="free","FREE ~ no charge this plant",IF(H2549="credit",CONCATENATE("-$",ROUND(K2549*(1-_xlfn.SINGLE(T2GDiscount))*-1,2)," CREDIT after discount"),IF(_xlfn.SINGLE(T2GDiscount)=0,"",IF(G2549=0,"",IF(F2549="Buy",CONCATENATE("$",ROUND(K2549*(1-_xlfn.SINGLE(T2GDiscount)),2)," with ",(_xlfn.SINGLE(T2GDiscount)*100),"% discount"),CONCATENATE("$",ROUND(K2549*(1-_xlfn.SINGLE(T2GDiscount)),2)," with ",((_xlfn.SINGLE(T2GDiscount)*100+F2549*100)-(_xlfn.SINGLE(T2GDiscount)*100*F2549)),IF(F2549&gt;0,"% discounts",IF(_xlfn.SINGLE(NoWarrantyDiscount)&gt;0,"% discounts","% discount")))))))))</f>
        <v/>
      </c>
      <c r="N2549" s="690"/>
      <c r="O2549" s="486"/>
      <c r="P2549" s="486"/>
      <c r="Q2549" s="486"/>
      <c r="R2549" s="486"/>
      <c r="S2549" s="486"/>
      <c r="T2549" s="102">
        <f t="shared" si="1882"/>
        <v>0</v>
      </c>
      <c r="U2549" s="78">
        <f>IF(NOT(ISNUMBER(G2549)), "", VLOOKUP(A2549,'Discount Lookup'!D:E,2,FALSE)*G2549)</f>
        <v>0</v>
      </c>
      <c r="V2549" s="78">
        <f>IF(NOT(ISNUMBER(G2549)), "", VLOOKUP(A2549,'Discount Lookup'!G:H,2,FALSE)*G2549)</f>
        <v>0</v>
      </c>
      <c r="W2549" s="102">
        <f t="shared" si="1883"/>
        <v>0</v>
      </c>
      <c r="X2549" s="102">
        <f t="shared" si="1884"/>
        <v>0</v>
      </c>
      <c r="Y2549" s="120" t="b">
        <f t="shared" si="1885"/>
        <v>0</v>
      </c>
      <c r="Z2549" s="117">
        <f t="shared" si="1886"/>
        <v>0</v>
      </c>
      <c r="AA2549" s="118"/>
      <c r="AB2549" s="118" t="str">
        <f t="shared" si="1887"/>
        <v/>
      </c>
      <c r="AC2549" s="712" t="str">
        <f>IF(AE2549="T2G","no charge",IF(AND(OR(PlanterYesMe="No",PlanterYesMe="N",PlanterYesMe="me"),H2549=""),"",IF(H2549="credit","NO install",IF(AND(K2549="",AE2549="me"),"EACH row",IF(AND(K2549="images",AE2549="me"),"EACH row",IF(D2549="","",IF(H2549="credit","",IF(AE2549="free","re-planting",IF(AE2549="me","   not ELP, by",IF(AND(OR(PlanterYesMe="Yes",PlanterYesMe="Y"),G2549&gt;0),(VLOOKUP(A2549,'Discount Lookup'!J:K,2)*G2549*(1-PlanterDiscount)*(1+PlanterDifficultyPercentage)),IF(AE2549="ELP",(VLOOKUP(A2549,'Discount Lookup'!J:K,2)*G2549*(1-PlanterDiscount)*(1+PlanterDifficultyPercentage)),IF(AE2549="free","re-planting",IF(G2549=0,"",IF(PlanterYesMe="",IF(AE2549="me","   not ELP, by",IF(AE2549="",IF(G2549&gt;0,(VLOOKUP(A2549,'Discount Lookup'!J:K,2)*G2549*(1-PlanterDiscount)*(1+PlanterDifficultyPercentage)),""),"")),"   not ELP, by"))))))))))))))</f>
        <v/>
      </c>
      <c r="AD2549" s="712"/>
      <c r="AE2549" s="513" t="str">
        <f t="shared" si="1888"/>
        <v/>
      </c>
      <c r="AF2549" s="713" t="str">
        <f t="shared" si="1889"/>
        <v/>
      </c>
      <c r="AG2549" s="713"/>
      <c r="AH2549" s="713"/>
      <c r="AI2549" s="112">
        <f>IF(H2549="credit",0,IF(AE2549="free",0,IF(AE2549="me",0,IF(G2549&gt;0,(VLOOKUP(A2549,'Discount Lookup'!J:K,2)*G2549),0))))</f>
        <v>0</v>
      </c>
      <c r="AJ2549" s="107" t="str">
        <f t="shared" ca="1" si="1890"/>
        <v/>
      </c>
      <c r="AK2549" s="714" t="str">
        <f t="shared" si="1891"/>
        <v/>
      </c>
      <c r="AL2549" s="714"/>
      <c r="AM2549" s="114" t="str">
        <f t="shared" si="1892"/>
        <v/>
      </c>
      <c r="AN2549" s="115"/>
      <c r="AO2549" s="116"/>
      <c r="AP2549" s="116"/>
      <c r="AQ2549" s="116"/>
      <c r="AR2549" s="116"/>
      <c r="AS2549" s="116"/>
      <c r="AT2549" s="116"/>
      <c r="AU2549" s="116"/>
      <c r="AV2549" s="78"/>
      <c r="AW2549" s="102"/>
      <c r="AX2549" s="78"/>
      <c r="AY2549" s="78"/>
      <c r="AZ2549" s="78"/>
      <c r="BA2549" s="78"/>
      <c r="BB2549" s="78"/>
      <c r="BC2549" s="78"/>
      <c r="BD2549" s="78"/>
      <c r="BE2549" s="465"/>
      <c r="BF2549" s="165" t="str">
        <f t="shared" si="1893"/>
        <v>https://www.google.com/search?tbm=isch&amp;q=15%20G4</v>
      </c>
      <c r="BG2549" s="165" t="str">
        <f t="shared" si="1894"/>
        <v>L</v>
      </c>
      <c r="BH2549" s="65"/>
      <c r="BI2549" s="65"/>
      <c r="BJ2549" s="65"/>
      <c r="BK2549" s="65"/>
      <c r="BL2549" s="99"/>
      <c r="BM2549" s="99"/>
      <c r="BN2549" s="99"/>
    </row>
    <row r="2550" spans="1:66" s="51" customFormat="1" ht="15.75" x14ac:dyDescent="0.25">
      <c r="A2550" s="634">
        <v>15</v>
      </c>
      <c r="B2550" s="635" t="s">
        <v>291</v>
      </c>
      <c r="C2550" s="636" t="s">
        <v>3217</v>
      </c>
      <c r="D2550" s="637" t="s">
        <v>299</v>
      </c>
      <c r="E2550" s="638">
        <v>171.95</v>
      </c>
      <c r="F2550" s="639" t="s">
        <v>292</v>
      </c>
      <c r="G2550" s="484">
        <v>0</v>
      </c>
      <c r="H2550" s="691" t="str">
        <f>IF(G2550=0,"",IF(F2550="Buy",IF(G2550=1,"plant","plants"),IF(F2550&gt;0.01,"warranty","Error")))</f>
        <v/>
      </c>
      <c r="I2550" s="640">
        <f>IF(H2550="free",0,IF(H2550="credit",((E2550*(F2550))*G2550*-1),IF(F2550="Buy",(E2550*G2550),((E2550*(1-F2550))*G2550))))</f>
        <v>0</v>
      </c>
      <c r="J2550" s="640">
        <f>IF(H2550="warranty",0,(I2550*(_xlfn.SINGLE(SalesTaxPercentage))))</f>
        <v>0</v>
      </c>
      <c r="K2550" s="716">
        <f t="shared" ref="K2550" si="1912">I2550+J2550</f>
        <v>0</v>
      </c>
      <c r="L2550" s="716"/>
      <c r="M2550" s="689" t="str">
        <f ca="1">IF(AND(G2550&gt;0,E2550=0),"WARNING - no PRICE inserted",IF(H2550="free","FREE ~ no charge this plant",IF(H2550="credit",CONCATENATE("-$",ROUND(K2550*(1-_xlfn.SINGLE(T2GDiscount))*-1,2)," CREDIT after discount"),IF(_xlfn.SINGLE(T2GDiscount)=0,"",IF(G2550=0,"",IF(F2550="Buy",CONCATENATE("$",ROUND(K2550*(1-_xlfn.SINGLE(T2GDiscount)),2)," with ",(_xlfn.SINGLE(T2GDiscount)*100),"% discount"),CONCATENATE("$",ROUND(K2550*(1-_xlfn.SINGLE(T2GDiscount)),2)," with ",((_xlfn.SINGLE(T2GDiscount)*100+F2550*100)-(_xlfn.SINGLE(T2GDiscount)*100*F2550)),IF(F2550&gt;0,"% discounts",IF(_xlfn.SINGLE(NoWarrantyDiscount)&gt;0,"% discounts","% discount")))))))))</f>
        <v/>
      </c>
      <c r="N2550" s="690"/>
      <c r="O2550" s="486"/>
      <c r="P2550" s="486"/>
      <c r="Q2550" s="486"/>
      <c r="R2550" s="486"/>
      <c r="S2550" s="486"/>
      <c r="T2550" s="102">
        <f t="shared" si="1882"/>
        <v>0</v>
      </c>
      <c r="U2550" s="78">
        <f>IF(NOT(ISNUMBER(G2550)), "", VLOOKUP(A2550,'Discount Lookup'!D:E,2,FALSE)*G2550)</f>
        <v>0</v>
      </c>
      <c r="V2550" s="78">
        <f>IF(NOT(ISNUMBER(G2550)), "", VLOOKUP(A2550,'Discount Lookup'!G:H,2,FALSE)*G2550)</f>
        <v>0</v>
      </c>
      <c r="W2550" s="102">
        <f t="shared" si="1883"/>
        <v>0</v>
      </c>
      <c r="X2550" s="102">
        <f t="shared" si="1884"/>
        <v>0</v>
      </c>
      <c r="Y2550" s="120" t="b">
        <f t="shared" si="1885"/>
        <v>0</v>
      </c>
      <c r="Z2550" s="117">
        <f t="shared" si="1886"/>
        <v>0</v>
      </c>
      <c r="AA2550" s="118"/>
      <c r="AB2550" s="118" t="str">
        <f t="shared" si="1887"/>
        <v/>
      </c>
      <c r="AC2550" s="712" t="str">
        <f>IF(AE2550="T2G","no charge",IF(AND(OR(PlanterYesMe="No",PlanterYesMe="N",PlanterYesMe="me"),H2550=""),"",IF(H2550="credit","NO install",IF(AND(K2550="",AE2550="me"),"EACH row",IF(AND(K2550="images",AE2550="me"),"EACH row",IF(D2550="","",IF(H2550="credit","",IF(AE2550="free","re-planting",IF(AE2550="me","   not ELP, by",IF(AND(OR(PlanterYesMe="Yes",PlanterYesMe="Y"),G2550&gt;0),(VLOOKUP(A2550,'Discount Lookup'!J:K,2)*G2550*(1-PlanterDiscount)*(1+PlanterDifficultyPercentage)),IF(AE2550="ELP",(VLOOKUP(A2550,'Discount Lookup'!J:K,2)*G2550*(1-PlanterDiscount)*(1+PlanterDifficultyPercentage)),IF(AE2550="free","re-planting",IF(G2550=0,"",IF(PlanterYesMe="",IF(AE2550="me","   not ELP, by",IF(AE2550="",IF(G2550&gt;0,(VLOOKUP(A2550,'Discount Lookup'!J:K,2)*G2550*(1-PlanterDiscount)*(1+PlanterDifficultyPercentage)),""),"")),"   not ELP, by"))))))))))))))</f>
        <v/>
      </c>
      <c r="AD2550" s="712"/>
      <c r="AE2550" s="513" t="str">
        <f t="shared" si="1888"/>
        <v/>
      </c>
      <c r="AF2550" s="713" t="str">
        <f t="shared" si="1889"/>
        <v/>
      </c>
      <c r="AG2550" s="713"/>
      <c r="AH2550" s="713"/>
      <c r="AI2550" s="112">
        <f>IF(H2550="credit",0,IF(AE2550="free",0,IF(AE2550="me",0,IF(G2550&gt;0,(VLOOKUP(A2550,'Discount Lookup'!J:K,2)*G2550),0))))</f>
        <v>0</v>
      </c>
      <c r="AJ2550" s="107" t="str">
        <f t="shared" ca="1" si="1890"/>
        <v/>
      </c>
      <c r="AK2550" s="714" t="str">
        <f t="shared" si="1891"/>
        <v/>
      </c>
      <c r="AL2550" s="714"/>
      <c r="AM2550" s="114" t="str">
        <f t="shared" si="1892"/>
        <v/>
      </c>
      <c r="AN2550" s="115"/>
      <c r="AO2550" s="116"/>
      <c r="AP2550" s="116"/>
      <c r="AQ2550" s="116"/>
      <c r="AR2550" s="116"/>
      <c r="AS2550" s="116"/>
      <c r="AT2550" s="116"/>
      <c r="AU2550" s="116"/>
      <c r="AV2550" s="78"/>
      <c r="AW2550" s="102"/>
      <c r="AX2550" s="78"/>
      <c r="AY2550" s="78"/>
      <c r="AZ2550" s="78"/>
      <c r="BA2550" s="78"/>
      <c r="BB2550" s="78"/>
      <c r="BC2550" s="78"/>
      <c r="BD2550" s="78"/>
      <c r="BE2550" s="465"/>
      <c r="BF2550" s="165" t="str">
        <f t="shared" si="1893"/>
        <v>https://www.google.com/search?tbm=isch&amp;q=15%20G4</v>
      </c>
      <c r="BG2550" s="165" t="str">
        <f t="shared" si="1894"/>
        <v>L</v>
      </c>
      <c r="BH2550" s="65"/>
      <c r="BI2550" s="65"/>
      <c r="BJ2550" s="65"/>
      <c r="BK2550" s="65"/>
      <c r="BL2550" s="99"/>
      <c r="BM2550" s="99"/>
      <c r="BN2550" s="99"/>
    </row>
    <row r="2551" spans="1:66" s="51" customFormat="1" ht="27" x14ac:dyDescent="0.25">
      <c r="A2551" s="634">
        <v>25</v>
      </c>
      <c r="B2551" s="635" t="s">
        <v>291</v>
      </c>
      <c r="C2551" s="636" t="s">
        <v>3218</v>
      </c>
      <c r="D2551" s="637" t="s">
        <v>299</v>
      </c>
      <c r="E2551" s="638">
        <v>307.95</v>
      </c>
      <c r="F2551" s="639" t="s">
        <v>292</v>
      </c>
      <c r="G2551" s="484">
        <v>0</v>
      </c>
      <c r="H2551" s="691" t="str">
        <f>IF(G2551=0,"",IF(F2551="Buy",IF(G2551=1,"plant","plants"),IF(F2551&gt;0.01,"warranty","Error")))</f>
        <v/>
      </c>
      <c r="I2551" s="640">
        <f>IF(H2551="free",0,IF(H2551="credit",((E2551*(F2551))*G2551*-1),IF(F2551="Buy",(E2551*G2551),((E2551*(1-F2551))*G2551))))</f>
        <v>0</v>
      </c>
      <c r="J2551" s="640">
        <f>IF(H2551="warranty",0,(I2551*(_xlfn.SINGLE(SalesTaxPercentage))))</f>
        <v>0</v>
      </c>
      <c r="K2551" s="716">
        <f t="shared" ref="K2551" si="1913">I2551+J2551</f>
        <v>0</v>
      </c>
      <c r="L2551" s="716"/>
      <c r="M2551" s="689" t="str">
        <f ca="1">IF(AND(G2551&gt;0,E2551=0),"WARNING - no PRICE inserted",IF(H2551="free","FREE ~ no charge this plant",IF(H2551="credit",CONCATENATE("-$",ROUND(K2551*(1-_xlfn.SINGLE(T2GDiscount))*-1,2)," CREDIT after discount"),IF(_xlfn.SINGLE(T2GDiscount)=0,"",IF(G2551=0,"",IF(F2551="Buy",CONCATENATE("$",ROUND(K2551*(1-_xlfn.SINGLE(T2GDiscount)),2)," with ",(_xlfn.SINGLE(T2GDiscount)*100),"% discount"),CONCATENATE("$",ROUND(K2551*(1-_xlfn.SINGLE(T2GDiscount)),2)," with ",((_xlfn.SINGLE(T2GDiscount)*100+F2551*100)-(_xlfn.SINGLE(T2GDiscount)*100*F2551)),IF(F2551&gt;0,"% discounts",IF(_xlfn.SINGLE(NoWarrantyDiscount)&gt;0,"% discounts","% discount")))))))))</f>
        <v/>
      </c>
      <c r="N2551" s="690"/>
      <c r="O2551" s="486"/>
      <c r="P2551" s="486"/>
      <c r="Q2551" s="486"/>
      <c r="R2551" s="486"/>
      <c r="S2551" s="486"/>
      <c r="T2551" s="102">
        <f t="shared" si="1882"/>
        <v>0</v>
      </c>
      <c r="U2551" s="78">
        <f>IF(NOT(ISNUMBER(G2551)), "", VLOOKUP(A2551,'Discount Lookup'!D:E,2,FALSE)*G2551)</f>
        <v>0</v>
      </c>
      <c r="V2551" s="78">
        <f>IF(NOT(ISNUMBER(G2551)), "", VLOOKUP(A2551,'Discount Lookup'!G:H,2,FALSE)*G2551)</f>
        <v>0</v>
      </c>
      <c r="W2551" s="102">
        <f t="shared" si="1883"/>
        <v>0</v>
      </c>
      <c r="X2551" s="102">
        <f t="shared" si="1884"/>
        <v>0</v>
      </c>
      <c r="Y2551" s="120" t="b">
        <f t="shared" si="1885"/>
        <v>0</v>
      </c>
      <c r="Z2551" s="117">
        <f t="shared" si="1886"/>
        <v>0</v>
      </c>
      <c r="AA2551" s="118"/>
      <c r="AB2551" s="118" t="str">
        <f t="shared" si="1887"/>
        <v/>
      </c>
      <c r="AC2551" s="712" t="str">
        <f>IF(AE2551="T2G","no charge",IF(AND(OR(PlanterYesMe="No",PlanterYesMe="N",PlanterYesMe="me"),H2551=""),"",IF(H2551="credit","NO install",IF(AND(K2551="",AE2551="me"),"EACH row",IF(AND(K2551="images",AE2551="me"),"EACH row",IF(D2551="","",IF(H2551="credit","",IF(AE2551="free","re-planting",IF(AE2551="me","   not ELP, by",IF(AND(OR(PlanterYesMe="Yes",PlanterYesMe="Y"),G2551&gt;0),(VLOOKUP(A2551,'Discount Lookup'!J:K,2)*G2551*(1-PlanterDiscount)*(1+PlanterDifficultyPercentage)),IF(AE2551="ELP",(VLOOKUP(A2551,'Discount Lookup'!J:K,2)*G2551*(1-PlanterDiscount)*(1+PlanterDifficultyPercentage)),IF(AE2551="free","re-planting",IF(G2551=0,"",IF(PlanterYesMe="",IF(AE2551="me","   not ELP, by",IF(AE2551="",IF(G2551&gt;0,(VLOOKUP(A2551,'Discount Lookup'!J:K,2)*G2551*(1-PlanterDiscount)*(1+PlanterDifficultyPercentage)),""),"")),"   not ELP, by"))))))))))))))</f>
        <v/>
      </c>
      <c r="AD2551" s="712"/>
      <c r="AE2551" s="513" t="str">
        <f t="shared" si="1888"/>
        <v/>
      </c>
      <c r="AF2551" s="713" t="str">
        <f t="shared" si="1889"/>
        <v/>
      </c>
      <c r="AG2551" s="713"/>
      <c r="AH2551" s="713"/>
      <c r="AI2551" s="112">
        <f>IF(H2551="credit",0,IF(AE2551="free",0,IF(AE2551="me",0,IF(G2551&gt;0,(VLOOKUP(A2551,'Discount Lookup'!J:K,2)*G2551),0))))</f>
        <v>0</v>
      </c>
      <c r="AJ2551" s="107" t="str">
        <f t="shared" ca="1" si="1890"/>
        <v/>
      </c>
      <c r="AK2551" s="714" t="str">
        <f t="shared" si="1891"/>
        <v/>
      </c>
      <c r="AL2551" s="714"/>
      <c r="AM2551" s="114" t="str">
        <f t="shared" si="1892"/>
        <v/>
      </c>
      <c r="AN2551" s="115"/>
      <c r="AO2551" s="116"/>
      <c r="AP2551" s="116"/>
      <c r="AQ2551" s="116"/>
      <c r="AR2551" s="116"/>
      <c r="AS2551" s="116"/>
      <c r="AT2551" s="116"/>
      <c r="AU2551" s="116"/>
      <c r="AV2551" s="78"/>
      <c r="AW2551" s="102"/>
      <c r="AX2551" s="78"/>
      <c r="AY2551" s="78"/>
      <c r="AZ2551" s="78"/>
      <c r="BA2551" s="78"/>
      <c r="BB2551" s="78"/>
      <c r="BC2551" s="78"/>
      <c r="BD2551" s="78"/>
      <c r="BE2551" s="465"/>
      <c r="BF2551" s="165" t="str">
        <f t="shared" si="1893"/>
        <v>https://www.google.com/search?tbm=isch&amp;q=25%20G4</v>
      </c>
      <c r="BG2551" s="165" t="str">
        <f t="shared" si="1894"/>
        <v>L</v>
      </c>
      <c r="BH2551" s="65"/>
      <c r="BI2551" s="65"/>
      <c r="BJ2551" s="65"/>
      <c r="BK2551" s="65"/>
      <c r="BL2551" s="99"/>
      <c r="BM2551" s="99"/>
      <c r="BN2551" s="99"/>
    </row>
    <row r="2552" spans="1:66" s="51" customFormat="1" ht="17.25" thickBot="1" x14ac:dyDescent="0.3">
      <c r="A2552" s="641" t="s">
        <v>3219</v>
      </c>
      <c r="B2552" s="642"/>
      <c r="C2552" s="710"/>
      <c r="D2552" s="643"/>
      <c r="E2552" s="643"/>
      <c r="F2552" s="644"/>
      <c r="G2552" s="645"/>
      <c r="H2552" s="646"/>
      <c r="I2552" s="647"/>
      <c r="J2552" s="648"/>
      <c r="K2552" s="649"/>
      <c r="L2552" s="650"/>
      <c r="M2552" s="650"/>
      <c r="N2552" s="644"/>
      <c r="O2552" s="644"/>
      <c r="P2552" s="644"/>
      <c r="Q2552" s="644"/>
      <c r="R2552" s="644"/>
      <c r="S2552" s="651"/>
      <c r="T2552" s="102">
        <f t="shared" si="1882"/>
        <v>0</v>
      </c>
      <c r="U2552" s="78" t="str">
        <f>IF(NOT(ISNUMBER(G2552)), "", VLOOKUP(A2552,'Discount Lookup'!D:E,2,FALSE)*G2552)</f>
        <v/>
      </c>
      <c r="V2552" s="78" t="str">
        <f>IF(NOT(ISNUMBER(G2552)), "", VLOOKUP(A2552,'Discount Lookup'!G:H,2,FALSE)*G2552)</f>
        <v/>
      </c>
      <c r="W2552" s="102">
        <f t="shared" si="1883"/>
        <v>0</v>
      </c>
      <c r="X2552" s="102">
        <f t="shared" si="1884"/>
        <v>0</v>
      </c>
      <c r="Y2552" s="120" t="b">
        <f t="shared" si="1885"/>
        <v>0</v>
      </c>
      <c r="Z2552" s="117">
        <f t="shared" si="1886"/>
        <v>0</v>
      </c>
      <c r="AA2552" s="118"/>
      <c r="AB2552" s="118" t="str">
        <f t="shared" si="1887"/>
        <v/>
      </c>
      <c r="AC2552" s="712" t="str">
        <f>IF(AE2552="T2G","no charge",IF(AND(OR(PlanterYesMe="No",PlanterYesMe="N",PlanterYesMe="me"),H2552=""),"",IF(H2552="credit","NO install",IF(AND(K2552="",AE2552="me"),"EACH row",IF(AND(K2552="images",AE2552="me"),"EACH row",IF(D2552="","",IF(H2552="credit","",IF(AE2552="free","re-planting",IF(AE2552="me","   not ELP, by",IF(AND(OR(PlanterYesMe="Yes",PlanterYesMe="Y"),G2552&gt;0),(VLOOKUP(A2552,'Discount Lookup'!J:K,2)*G2552*(1-PlanterDiscount)*(1+PlanterDifficultyPercentage)),IF(AE2552="ELP",(VLOOKUP(A2552,'Discount Lookup'!J:K,2)*G2552*(1-PlanterDiscount)*(1+PlanterDifficultyPercentage)),IF(AE2552="free","re-planting",IF(G2552=0,"",IF(PlanterYesMe="",IF(AE2552="me","   not ELP, by",IF(AE2552="",IF(G2552&gt;0,(VLOOKUP(A2552,'Discount Lookup'!J:K,2)*G2552*(1-PlanterDiscount)*(1+PlanterDifficultyPercentage)),""),"")),"   not ELP, by"))))))))))))))</f>
        <v/>
      </c>
      <c r="AD2552" s="712"/>
      <c r="AE2552" s="513" t="str">
        <f t="shared" si="1888"/>
        <v/>
      </c>
      <c r="AF2552" s="713" t="str">
        <f t="shared" si="1889"/>
        <v/>
      </c>
      <c r="AG2552" s="713"/>
      <c r="AH2552" s="713"/>
      <c r="AI2552" s="112">
        <f>IF(H2552="credit",0,IF(AE2552="free",0,IF(AE2552="me",0,IF(G2552&gt;0,(VLOOKUP(A2552,'Discount Lookup'!J:K,2)*G2552),0))))</f>
        <v>0</v>
      </c>
      <c r="AJ2552" s="107" t="str">
        <f t="shared" ca="1" si="1890"/>
        <v/>
      </c>
      <c r="AK2552" s="714" t="str">
        <f t="shared" si="1891"/>
        <v/>
      </c>
      <c r="AL2552" s="714"/>
      <c r="AM2552" s="114" t="str">
        <f t="shared" si="1892"/>
        <v/>
      </c>
      <c r="AN2552" s="115"/>
      <c r="AO2552" s="116"/>
      <c r="AP2552" s="116"/>
      <c r="AQ2552" s="116"/>
      <c r="AR2552" s="116"/>
      <c r="AS2552" s="116"/>
      <c r="AT2552" s="116"/>
      <c r="AU2552" s="116"/>
      <c r="AV2552" s="78"/>
      <c r="AW2552" s="102"/>
      <c r="AX2552" s="78"/>
      <c r="AY2552" s="78"/>
      <c r="AZ2552" s="78"/>
      <c r="BA2552" s="78"/>
      <c r="BB2552" s="78"/>
      <c r="BC2552" s="78"/>
      <c r="BD2552" s="78"/>
      <c r="BE2552" s="465"/>
      <c r="BF2552" s="165" t="str">
        <f t="shared" si="1893"/>
        <v>https://www.google.com/search?tbm=isch&amp;q=Biloxi%20has%20dark%20green%20foliage%2C%20emerging%20coppery-bronze%20in%20spring.%20Oval%20leaves%20turn%20orange%20in%20fall%20</v>
      </c>
      <c r="BG2552" s="165" t="str">
        <f t="shared" si="1894"/>
        <v>B</v>
      </c>
      <c r="BH2552" s="65"/>
      <c r="BI2552" s="65"/>
      <c r="BJ2552" s="65"/>
      <c r="BK2552" s="65"/>
      <c r="BL2552" s="99"/>
      <c r="BM2552" s="99"/>
      <c r="BN2552" s="99"/>
    </row>
    <row r="2553" spans="1:66" s="51" customFormat="1" ht="18" x14ac:dyDescent="0.25">
      <c r="A2553" s="623" t="s">
        <v>3220</v>
      </c>
      <c r="B2553" s="624"/>
      <c r="C2553" s="709"/>
      <c r="D2553" s="625" t="s">
        <v>3221</v>
      </c>
      <c r="E2553" s="626"/>
      <c r="F2553" s="626"/>
      <c r="G2553" s="626"/>
      <c r="H2553" s="622" t="s">
        <v>1139</v>
      </c>
      <c r="I2553" s="627" t="s">
        <v>349</v>
      </c>
      <c r="J2553" s="628"/>
      <c r="K2553" s="628"/>
      <c r="L2553" s="629"/>
      <c r="M2553" s="700" t="s">
        <v>5241</v>
      </c>
      <c r="N2553" s="693" t="str">
        <f>IF(AND(ISTEXT($A2553), ISERROR($A2553+0)), HYPERLINK($BF2553, "Images"), "")</f>
        <v>Images</v>
      </c>
      <c r="O2553" s="695" t="s">
        <v>5247</v>
      </c>
      <c r="P2553" s="630"/>
      <c r="Q2553" s="631"/>
      <c r="R2553" s="632"/>
      <c r="S2553" s="633"/>
      <c r="T2553" s="102">
        <f t="shared" si="1882"/>
        <v>0</v>
      </c>
      <c r="U2553" s="78" t="str">
        <f>IF(NOT(ISNUMBER(G2553)), "", VLOOKUP(A2553,'Discount Lookup'!D:E,2,FALSE)*G2553)</f>
        <v/>
      </c>
      <c r="V2553" s="78" t="str">
        <f>IF(NOT(ISNUMBER(G2553)), "", VLOOKUP(A2553,'Discount Lookup'!G:H,2,FALSE)*G2553)</f>
        <v/>
      </c>
      <c r="W2553" s="102">
        <f t="shared" si="1883"/>
        <v>0</v>
      </c>
      <c r="X2553" s="102" t="str">
        <f t="shared" si="1884"/>
        <v>White bloom</v>
      </c>
      <c r="Y2553" s="120" t="b">
        <f t="shared" si="1885"/>
        <v>0</v>
      </c>
      <c r="Z2553" s="117">
        <f t="shared" si="1886"/>
        <v>0</v>
      </c>
      <c r="AA2553" s="118"/>
      <c r="AB2553" s="118" t="str">
        <f t="shared" si="1887"/>
        <v/>
      </c>
      <c r="AC2553" s="712" t="str">
        <f>IF(AE2553="T2G","no charge",IF(AND(OR(PlanterYesMe="No",PlanterYesMe="N",PlanterYesMe="me"),H2553=""),"",IF(H2553="credit","NO install",IF(AND(K2553="",AE2553="me"),"EACH row",IF(AND(K2553="images",AE2553="me"),"EACH row",IF(D2553="","",IF(H2553="credit","",IF(AE2553="free","re-planting",IF(AE2553="me","   not ELP, by",IF(AND(OR(PlanterYesMe="Yes",PlanterYesMe="Y"),G2553&gt;0),(VLOOKUP(A2553,'Discount Lookup'!J:K,2)*G2553*(1-PlanterDiscount)*(1+PlanterDifficultyPercentage)),IF(AE2553="ELP",(VLOOKUP(A2553,'Discount Lookup'!J:K,2)*G2553*(1-PlanterDiscount)*(1+PlanterDifficultyPercentage)),IF(AE2553="free","re-planting",IF(G2553=0,"",IF(PlanterYesMe="",IF(AE2553="me","   not ELP, by",IF(AE2553="",IF(G2553&gt;0,(VLOOKUP(A2553,'Discount Lookup'!J:K,2)*G2553*(1-PlanterDiscount)*(1+PlanterDifficultyPercentage)),""),"")),"   not ELP, by"))))))))))))))</f>
        <v/>
      </c>
      <c r="AD2553" s="712"/>
      <c r="AE2553" s="513" t="str">
        <f t="shared" si="1888"/>
        <v/>
      </c>
      <c r="AF2553" s="713" t="str">
        <f t="shared" si="1889"/>
        <v/>
      </c>
      <c r="AG2553" s="713"/>
      <c r="AH2553" s="713"/>
      <c r="AI2553" s="112">
        <f>IF(H2553="credit",0,IF(AE2553="free",0,IF(AE2553="me",0,IF(G2553&gt;0,(VLOOKUP(A2553,'Discount Lookup'!J:K,2)*G2553),0))))</f>
        <v>0</v>
      </c>
      <c r="AJ2553" s="107" t="str">
        <f t="shared" ca="1" si="1890"/>
        <v/>
      </c>
      <c r="AK2553" s="714" t="str">
        <f t="shared" si="1891"/>
        <v/>
      </c>
      <c r="AL2553" s="714"/>
      <c r="AM2553" s="114" t="str">
        <f t="shared" si="1892"/>
        <v/>
      </c>
      <c r="AN2553" s="115"/>
      <c r="AO2553" s="116"/>
      <c r="AP2553" s="116"/>
      <c r="AQ2553" s="116"/>
      <c r="AR2553" s="116"/>
      <c r="AS2553" s="116"/>
      <c r="AT2553" s="116"/>
      <c r="AU2553" s="116"/>
      <c r="AV2553" s="78"/>
      <c r="AW2553" s="102"/>
      <c r="AX2553" s="78"/>
      <c r="AY2553" s="78"/>
      <c r="AZ2553" s="78"/>
      <c r="BA2553" s="78"/>
      <c r="BB2553" s="78"/>
      <c r="BC2553" s="78"/>
      <c r="BD2553" s="78"/>
      <c r="BE2553" s="465"/>
      <c r="BF2553" s="165" t="str">
        <f t="shared" si="1893"/>
        <v>https://www.google.com/search?tbm=isch&amp;q=Lagerstroemia%20indica%20x%20fauriei%20%27Natchez%27%20Natchez%20Crape%20Myrtle</v>
      </c>
      <c r="BG2553" s="165" t="str">
        <f t="shared" si="1894"/>
        <v>L</v>
      </c>
      <c r="BH2553" s="65"/>
      <c r="BI2553" s="65"/>
      <c r="BJ2553" s="65"/>
      <c r="BK2553" s="65"/>
      <c r="BL2553" s="99"/>
      <c r="BM2553" s="99"/>
      <c r="BN2553" s="99"/>
    </row>
    <row r="2554" spans="1:66" s="51" customFormat="1" ht="15.75" x14ac:dyDescent="0.25">
      <c r="A2554" s="634">
        <v>3</v>
      </c>
      <c r="B2554" s="635" t="s">
        <v>291</v>
      </c>
      <c r="C2554" s="636" t="s">
        <v>3222</v>
      </c>
      <c r="D2554" s="637" t="s">
        <v>309</v>
      </c>
      <c r="E2554" s="638">
        <v>33.950000000000003</v>
      </c>
      <c r="F2554" s="639" t="s">
        <v>292</v>
      </c>
      <c r="G2554" s="484">
        <v>0</v>
      </c>
      <c r="H2554" s="691" t="str">
        <f t="shared" ref="H2554:H2561" si="1914">IF(G2554=0,"",IF(F2554="Buy",IF(G2554=1,"plant","plants"),IF(F2554&gt;0.01,"warranty","Error")))</f>
        <v/>
      </c>
      <c r="I2554" s="640">
        <f t="shared" ref="I2554:I2561" si="1915">IF(H2554="free",0,IF(H2554="credit",((E2554*(F2554))*G2554*-1),IF(F2554="Buy",(E2554*G2554),((E2554*(1-F2554))*G2554))))</f>
        <v>0</v>
      </c>
      <c r="J2554" s="640">
        <f t="shared" ref="J2554:J2561" si="1916">IF(H2554="warranty",0,(I2554*(_xlfn.SINGLE(SalesTaxPercentage))))</f>
        <v>0</v>
      </c>
      <c r="K2554" s="716">
        <f t="shared" ref="K2554" si="1917">I2554+J2554</f>
        <v>0</v>
      </c>
      <c r="L2554" s="716"/>
      <c r="M2554" s="689" t="str">
        <f t="shared" ref="M2554:M2561" ca="1" si="1918">IF(AND(G2554&gt;0,E2554=0),"WARNING - no PRICE inserted",IF(H2554="free","FREE ~ no charge this plant",IF(H2554="credit",CONCATENATE("-$",ROUND(K2554*(1-_xlfn.SINGLE(T2GDiscount))*-1,2)," CREDIT after discount"),IF(_xlfn.SINGLE(T2GDiscount)=0,"",IF(G2554=0,"",IF(F2554="Buy",CONCATENATE("$",ROUND(K2554*(1-_xlfn.SINGLE(T2GDiscount)),2)," with ",(_xlfn.SINGLE(T2GDiscount)*100),"% discount"),CONCATENATE("$",ROUND(K2554*(1-_xlfn.SINGLE(T2GDiscount)),2)," with ",((_xlfn.SINGLE(T2GDiscount)*100+F2554*100)-(_xlfn.SINGLE(T2GDiscount)*100*F2554)),IF(F2554&gt;0,"% discounts",IF(_xlfn.SINGLE(NoWarrantyDiscount)&gt;0,"% discounts","% discount")))))))))</f>
        <v/>
      </c>
      <c r="N2554" s="690"/>
      <c r="O2554" s="486"/>
      <c r="P2554" s="486"/>
      <c r="Q2554" s="486"/>
      <c r="R2554" s="486"/>
      <c r="S2554" s="486"/>
      <c r="T2554" s="102">
        <f t="shared" si="1882"/>
        <v>0</v>
      </c>
      <c r="U2554" s="78">
        <f>IF(NOT(ISNUMBER(G2554)), "", VLOOKUP(A2554,'Discount Lookup'!D:E,2,FALSE)*G2554)</f>
        <v>0</v>
      </c>
      <c r="V2554" s="78">
        <f>IF(NOT(ISNUMBER(G2554)), "", VLOOKUP(A2554,'Discount Lookup'!G:H,2,FALSE)*G2554)</f>
        <v>0</v>
      </c>
      <c r="W2554" s="102">
        <f t="shared" si="1883"/>
        <v>0</v>
      </c>
      <c r="X2554" s="102">
        <f t="shared" si="1884"/>
        <v>0</v>
      </c>
      <c r="Y2554" s="120" t="b">
        <f t="shared" si="1885"/>
        <v>0</v>
      </c>
      <c r="Z2554" s="117">
        <f t="shared" si="1886"/>
        <v>0</v>
      </c>
      <c r="AA2554" s="118"/>
      <c r="AB2554" s="118" t="str">
        <f t="shared" si="1887"/>
        <v/>
      </c>
      <c r="AC2554" s="712" t="str">
        <f>IF(AE2554="T2G","no charge",IF(AND(OR(PlanterYesMe="No",PlanterYesMe="N",PlanterYesMe="me"),H2554=""),"",IF(H2554="credit","NO install",IF(AND(K2554="",AE2554="me"),"EACH row",IF(AND(K2554="images",AE2554="me"),"EACH row",IF(D2554="","",IF(H2554="credit","",IF(AE2554="free","re-planting",IF(AE2554="me","   not ELP, by",IF(AND(OR(PlanterYesMe="Yes",PlanterYesMe="Y"),G2554&gt;0),(VLOOKUP(A2554,'Discount Lookup'!J:K,2)*G2554*(1-PlanterDiscount)*(1+PlanterDifficultyPercentage)),IF(AE2554="ELP",(VLOOKUP(A2554,'Discount Lookup'!J:K,2)*G2554*(1-PlanterDiscount)*(1+PlanterDifficultyPercentage)),IF(AE2554="free","re-planting",IF(G2554=0,"",IF(PlanterYesMe="",IF(AE2554="me","   not ELP, by",IF(AE2554="",IF(G2554&gt;0,(VLOOKUP(A2554,'Discount Lookup'!J:K,2)*G2554*(1-PlanterDiscount)*(1+PlanterDifficultyPercentage)),""),"")),"   not ELP, by"))))))))))))))</f>
        <v/>
      </c>
      <c r="AD2554" s="712"/>
      <c r="AE2554" s="513" t="str">
        <f t="shared" si="1888"/>
        <v/>
      </c>
      <c r="AF2554" s="713" t="str">
        <f t="shared" si="1889"/>
        <v/>
      </c>
      <c r="AG2554" s="713"/>
      <c r="AH2554" s="713"/>
      <c r="AI2554" s="112">
        <f>IF(H2554="credit",0,IF(AE2554="free",0,IF(AE2554="me",0,IF(G2554&gt;0,(VLOOKUP(A2554,'Discount Lookup'!J:K,2)*G2554),0))))</f>
        <v>0</v>
      </c>
      <c r="AJ2554" s="107" t="str">
        <f t="shared" ca="1" si="1890"/>
        <v/>
      </c>
      <c r="AK2554" s="714" t="str">
        <f t="shared" si="1891"/>
        <v/>
      </c>
      <c r="AL2554" s="714"/>
      <c r="AM2554" s="114" t="str">
        <f t="shared" si="1892"/>
        <v/>
      </c>
      <c r="AN2554" s="115"/>
      <c r="AO2554" s="116"/>
      <c r="AP2554" s="116"/>
      <c r="AQ2554" s="116"/>
      <c r="AR2554" s="116"/>
      <c r="AS2554" s="116"/>
      <c r="AT2554" s="116"/>
      <c r="AU2554" s="116"/>
      <c r="AV2554" s="78"/>
      <c r="AW2554" s="102"/>
      <c r="AX2554" s="78"/>
      <c r="AY2554" s="78"/>
      <c r="AZ2554" s="78"/>
      <c r="BA2554" s="78"/>
      <c r="BB2554" s="78"/>
      <c r="BC2554" s="78"/>
      <c r="BD2554" s="78"/>
      <c r="BE2554" s="465"/>
      <c r="BF2554" s="165" t="str">
        <f t="shared" si="1893"/>
        <v>https://www.google.com/search?tbm=isch&amp;q=3%20G3</v>
      </c>
      <c r="BG2554" s="165" t="str">
        <f t="shared" si="1894"/>
        <v>L</v>
      </c>
      <c r="BH2554" s="65"/>
      <c r="BI2554" s="65"/>
      <c r="BJ2554" s="65"/>
      <c r="BK2554" s="65"/>
      <c r="BL2554" s="99"/>
      <c r="BM2554" s="99"/>
      <c r="BN2554" s="99"/>
    </row>
    <row r="2555" spans="1:66" s="51" customFormat="1" ht="15.75" x14ac:dyDescent="0.25">
      <c r="A2555" s="634">
        <v>15</v>
      </c>
      <c r="B2555" s="635" t="s">
        <v>291</v>
      </c>
      <c r="C2555" s="636" t="s">
        <v>3223</v>
      </c>
      <c r="D2555" s="637" t="s">
        <v>309</v>
      </c>
      <c r="E2555" s="638">
        <v>155.94999999999999</v>
      </c>
      <c r="F2555" s="639" t="s">
        <v>292</v>
      </c>
      <c r="G2555" s="484">
        <v>0</v>
      </c>
      <c r="H2555" s="691" t="str">
        <f t="shared" si="1914"/>
        <v/>
      </c>
      <c r="I2555" s="640">
        <f t="shared" si="1915"/>
        <v>0</v>
      </c>
      <c r="J2555" s="640">
        <f t="shared" si="1916"/>
        <v>0</v>
      </c>
      <c r="K2555" s="716">
        <f t="shared" ref="K2555" si="1919">I2555+J2555</f>
        <v>0</v>
      </c>
      <c r="L2555" s="716"/>
      <c r="M2555" s="689" t="str">
        <f t="shared" ca="1" si="1918"/>
        <v/>
      </c>
      <c r="N2555" s="690"/>
      <c r="O2555" s="486"/>
      <c r="P2555" s="486"/>
      <c r="Q2555" s="486"/>
      <c r="R2555" s="486"/>
      <c r="S2555" s="486"/>
      <c r="T2555" s="102">
        <f t="shared" si="1882"/>
        <v>0</v>
      </c>
      <c r="U2555" s="78">
        <f>IF(NOT(ISNUMBER(G2555)), "", VLOOKUP(A2555,'Discount Lookup'!D:E,2,FALSE)*G2555)</f>
        <v>0</v>
      </c>
      <c r="V2555" s="78">
        <f>IF(NOT(ISNUMBER(G2555)), "", VLOOKUP(A2555,'Discount Lookup'!G:H,2,FALSE)*G2555)</f>
        <v>0</v>
      </c>
      <c r="W2555" s="102">
        <f t="shared" si="1883"/>
        <v>0</v>
      </c>
      <c r="X2555" s="102">
        <f t="shared" si="1884"/>
        <v>0</v>
      </c>
      <c r="Y2555" s="120" t="b">
        <f t="shared" si="1885"/>
        <v>0</v>
      </c>
      <c r="Z2555" s="117">
        <f t="shared" si="1886"/>
        <v>0</v>
      </c>
      <c r="AA2555" s="118"/>
      <c r="AB2555" s="118" t="str">
        <f t="shared" si="1887"/>
        <v/>
      </c>
      <c r="AC2555" s="712" t="str">
        <f>IF(AE2555="T2G","no charge",IF(AND(OR(PlanterYesMe="No",PlanterYesMe="N",PlanterYesMe="me"),H2555=""),"",IF(H2555="credit","NO install",IF(AND(K2555="",AE2555="me"),"EACH row",IF(AND(K2555="images",AE2555="me"),"EACH row",IF(D2555="","",IF(H2555="credit","",IF(AE2555="free","re-planting",IF(AE2555="me","   not ELP, by",IF(AND(OR(PlanterYesMe="Yes",PlanterYesMe="Y"),G2555&gt;0),(VLOOKUP(A2555,'Discount Lookup'!J:K,2)*G2555*(1-PlanterDiscount)*(1+PlanterDifficultyPercentage)),IF(AE2555="ELP",(VLOOKUP(A2555,'Discount Lookup'!J:K,2)*G2555*(1-PlanterDiscount)*(1+PlanterDifficultyPercentage)),IF(AE2555="free","re-planting",IF(G2555=0,"",IF(PlanterYesMe="",IF(AE2555="me","   not ELP, by",IF(AE2555="",IF(G2555&gt;0,(VLOOKUP(A2555,'Discount Lookup'!J:K,2)*G2555*(1-PlanterDiscount)*(1+PlanterDifficultyPercentage)),""),"")),"   not ELP, by"))))))))))))))</f>
        <v/>
      </c>
      <c r="AD2555" s="712"/>
      <c r="AE2555" s="513" t="str">
        <f t="shared" si="1888"/>
        <v/>
      </c>
      <c r="AF2555" s="713" t="str">
        <f t="shared" si="1889"/>
        <v/>
      </c>
      <c r="AG2555" s="713"/>
      <c r="AH2555" s="713"/>
      <c r="AI2555" s="112">
        <f>IF(H2555="credit",0,IF(AE2555="free",0,IF(AE2555="me",0,IF(G2555&gt;0,(VLOOKUP(A2555,'Discount Lookup'!J:K,2)*G2555),0))))</f>
        <v>0</v>
      </c>
      <c r="AJ2555" s="107" t="str">
        <f t="shared" ca="1" si="1890"/>
        <v/>
      </c>
      <c r="AK2555" s="714" t="str">
        <f t="shared" si="1891"/>
        <v/>
      </c>
      <c r="AL2555" s="714"/>
      <c r="AM2555" s="114" t="str">
        <f t="shared" si="1892"/>
        <v/>
      </c>
      <c r="AN2555" s="115"/>
      <c r="AO2555" s="116"/>
      <c r="AP2555" s="116"/>
      <c r="AQ2555" s="116"/>
      <c r="AR2555" s="116"/>
      <c r="AS2555" s="116"/>
      <c r="AT2555" s="116"/>
      <c r="AU2555" s="116"/>
      <c r="AV2555" s="78"/>
      <c r="AW2555" s="102"/>
      <c r="AX2555" s="78"/>
      <c r="AY2555" s="78"/>
      <c r="AZ2555" s="78"/>
      <c r="BA2555" s="78"/>
      <c r="BB2555" s="78"/>
      <c r="BC2555" s="78"/>
      <c r="BD2555" s="78"/>
      <c r="BE2555" s="465"/>
      <c r="BF2555" s="165" t="str">
        <f t="shared" si="1893"/>
        <v>https://www.google.com/search?tbm=isch&amp;q=15%20G3</v>
      </c>
      <c r="BG2555" s="165" t="str">
        <f t="shared" si="1894"/>
        <v>L</v>
      </c>
      <c r="BH2555" s="65"/>
      <c r="BI2555" s="65"/>
      <c r="BJ2555" s="65"/>
      <c r="BK2555" s="65"/>
      <c r="BL2555" s="99"/>
      <c r="BM2555" s="99"/>
      <c r="BN2555" s="99"/>
    </row>
    <row r="2556" spans="1:66" s="51" customFormat="1" ht="15.75" x14ac:dyDescent="0.25">
      <c r="A2556" s="634">
        <v>15</v>
      </c>
      <c r="B2556" s="635" t="s">
        <v>291</v>
      </c>
      <c r="C2556" s="636" t="s">
        <v>3224</v>
      </c>
      <c r="D2556" s="637" t="s">
        <v>299</v>
      </c>
      <c r="E2556" s="638">
        <v>164.95</v>
      </c>
      <c r="F2556" s="639" t="s">
        <v>292</v>
      </c>
      <c r="G2556" s="484">
        <v>0</v>
      </c>
      <c r="H2556" s="691" t="str">
        <f t="shared" si="1914"/>
        <v/>
      </c>
      <c r="I2556" s="640">
        <f t="shared" si="1915"/>
        <v>0</v>
      </c>
      <c r="J2556" s="640">
        <f t="shared" si="1916"/>
        <v>0</v>
      </c>
      <c r="K2556" s="716">
        <f t="shared" ref="K2556" si="1920">I2556+J2556</f>
        <v>0</v>
      </c>
      <c r="L2556" s="716"/>
      <c r="M2556" s="689" t="str">
        <f t="shared" ca="1" si="1918"/>
        <v/>
      </c>
      <c r="N2556" s="690"/>
      <c r="O2556" s="486"/>
      <c r="P2556" s="486"/>
      <c r="Q2556" s="486"/>
      <c r="R2556" s="486"/>
      <c r="S2556" s="486"/>
      <c r="T2556" s="102">
        <f t="shared" si="1882"/>
        <v>0</v>
      </c>
      <c r="U2556" s="78">
        <f>IF(NOT(ISNUMBER(G2556)), "", VLOOKUP(A2556,'Discount Lookup'!D:E,2,FALSE)*G2556)</f>
        <v>0</v>
      </c>
      <c r="V2556" s="78">
        <f>IF(NOT(ISNUMBER(G2556)), "", VLOOKUP(A2556,'Discount Lookup'!G:H,2,FALSE)*G2556)</f>
        <v>0</v>
      </c>
      <c r="W2556" s="102">
        <f t="shared" si="1883"/>
        <v>0</v>
      </c>
      <c r="X2556" s="102">
        <f t="shared" si="1884"/>
        <v>0</v>
      </c>
      <c r="Y2556" s="120" t="b">
        <f t="shared" si="1885"/>
        <v>0</v>
      </c>
      <c r="Z2556" s="117">
        <f t="shared" si="1886"/>
        <v>0</v>
      </c>
      <c r="AA2556" s="118"/>
      <c r="AB2556" s="118" t="str">
        <f t="shared" si="1887"/>
        <v/>
      </c>
      <c r="AC2556" s="712" t="str">
        <f>IF(AE2556="T2G","no charge",IF(AND(OR(PlanterYesMe="No",PlanterYesMe="N",PlanterYesMe="me"),H2556=""),"",IF(H2556="credit","NO install",IF(AND(K2556="",AE2556="me"),"EACH row",IF(AND(K2556="images",AE2556="me"),"EACH row",IF(D2556="","",IF(H2556="credit","",IF(AE2556="free","re-planting",IF(AE2556="me","   not ELP, by",IF(AND(OR(PlanterYesMe="Yes",PlanterYesMe="Y"),G2556&gt;0),(VLOOKUP(A2556,'Discount Lookup'!J:K,2)*G2556*(1-PlanterDiscount)*(1+PlanterDifficultyPercentage)),IF(AE2556="ELP",(VLOOKUP(A2556,'Discount Lookup'!J:K,2)*G2556*(1-PlanterDiscount)*(1+PlanterDifficultyPercentage)),IF(AE2556="free","re-planting",IF(G2556=0,"",IF(PlanterYesMe="",IF(AE2556="me","   not ELP, by",IF(AE2556="",IF(G2556&gt;0,(VLOOKUP(A2556,'Discount Lookup'!J:K,2)*G2556*(1-PlanterDiscount)*(1+PlanterDifficultyPercentage)),""),"")),"   not ELP, by"))))))))))))))</f>
        <v/>
      </c>
      <c r="AD2556" s="712"/>
      <c r="AE2556" s="513" t="str">
        <f t="shared" si="1888"/>
        <v/>
      </c>
      <c r="AF2556" s="713" t="str">
        <f t="shared" si="1889"/>
        <v/>
      </c>
      <c r="AG2556" s="713"/>
      <c r="AH2556" s="713"/>
      <c r="AI2556" s="112">
        <f>IF(H2556="credit",0,IF(AE2556="free",0,IF(AE2556="me",0,IF(G2556&gt;0,(VLOOKUP(A2556,'Discount Lookup'!J:K,2)*G2556),0))))</f>
        <v>0</v>
      </c>
      <c r="AJ2556" s="107" t="str">
        <f t="shared" ca="1" si="1890"/>
        <v/>
      </c>
      <c r="AK2556" s="714" t="str">
        <f t="shared" si="1891"/>
        <v/>
      </c>
      <c r="AL2556" s="714"/>
      <c r="AM2556" s="114" t="str">
        <f t="shared" si="1892"/>
        <v/>
      </c>
      <c r="AN2556" s="115"/>
      <c r="AO2556" s="116"/>
      <c r="AP2556" s="116"/>
      <c r="AQ2556" s="116"/>
      <c r="AR2556" s="116"/>
      <c r="AS2556" s="116"/>
      <c r="AT2556" s="116"/>
      <c r="AU2556" s="116"/>
      <c r="AV2556" s="78"/>
      <c r="AW2556" s="102"/>
      <c r="AX2556" s="78"/>
      <c r="AY2556" s="78"/>
      <c r="AZ2556" s="78"/>
      <c r="BA2556" s="78"/>
      <c r="BB2556" s="78"/>
      <c r="BC2556" s="78"/>
      <c r="BD2556" s="78"/>
      <c r="BE2556" s="465"/>
      <c r="BF2556" s="165" t="str">
        <f t="shared" si="1893"/>
        <v>https://www.google.com/search?tbm=isch&amp;q=15%20G4</v>
      </c>
      <c r="BG2556" s="165" t="str">
        <f t="shared" si="1894"/>
        <v>L</v>
      </c>
      <c r="BH2556" s="65"/>
      <c r="BI2556" s="65"/>
      <c r="BJ2556" s="65"/>
      <c r="BK2556" s="65"/>
      <c r="BL2556" s="99"/>
      <c r="BM2556" s="99"/>
      <c r="BN2556" s="99"/>
    </row>
    <row r="2557" spans="1:66" s="51" customFormat="1" ht="40.5" x14ac:dyDescent="0.25">
      <c r="A2557" s="634">
        <v>15</v>
      </c>
      <c r="B2557" s="635" t="s">
        <v>291</v>
      </c>
      <c r="C2557" s="636" t="s">
        <v>3225</v>
      </c>
      <c r="D2557" s="637" t="s">
        <v>299</v>
      </c>
      <c r="E2557" s="638">
        <v>171.95</v>
      </c>
      <c r="F2557" s="639" t="s">
        <v>292</v>
      </c>
      <c r="G2557" s="484">
        <v>0</v>
      </c>
      <c r="H2557" s="691" t="str">
        <f t="shared" si="1914"/>
        <v/>
      </c>
      <c r="I2557" s="640">
        <f t="shared" si="1915"/>
        <v>0</v>
      </c>
      <c r="J2557" s="640">
        <f t="shared" si="1916"/>
        <v>0</v>
      </c>
      <c r="K2557" s="716">
        <f t="shared" ref="K2557" si="1921">I2557+J2557</f>
        <v>0</v>
      </c>
      <c r="L2557" s="716"/>
      <c r="M2557" s="689" t="str">
        <f t="shared" ca="1" si="1918"/>
        <v/>
      </c>
      <c r="N2557" s="690"/>
      <c r="O2557" s="486"/>
      <c r="P2557" s="486"/>
      <c r="Q2557" s="486"/>
      <c r="R2557" s="486"/>
      <c r="S2557" s="486"/>
      <c r="T2557" s="102">
        <f t="shared" si="1882"/>
        <v>0</v>
      </c>
      <c r="U2557" s="78">
        <f>IF(NOT(ISNUMBER(G2557)), "", VLOOKUP(A2557,'Discount Lookup'!D:E,2,FALSE)*G2557)</f>
        <v>0</v>
      </c>
      <c r="V2557" s="78">
        <f>IF(NOT(ISNUMBER(G2557)), "", VLOOKUP(A2557,'Discount Lookup'!G:H,2,FALSE)*G2557)</f>
        <v>0</v>
      </c>
      <c r="W2557" s="102">
        <f t="shared" si="1883"/>
        <v>0</v>
      </c>
      <c r="X2557" s="102">
        <f t="shared" si="1884"/>
        <v>0</v>
      </c>
      <c r="Y2557" s="120" t="b">
        <f t="shared" si="1885"/>
        <v>0</v>
      </c>
      <c r="Z2557" s="117">
        <f t="shared" si="1886"/>
        <v>0</v>
      </c>
      <c r="AA2557" s="118"/>
      <c r="AB2557" s="118" t="str">
        <f t="shared" si="1887"/>
        <v/>
      </c>
      <c r="AC2557" s="712" t="str">
        <f>IF(AE2557="T2G","no charge",IF(AND(OR(PlanterYesMe="No",PlanterYesMe="N",PlanterYesMe="me"),H2557=""),"",IF(H2557="credit","NO install",IF(AND(K2557="",AE2557="me"),"EACH row",IF(AND(K2557="images",AE2557="me"),"EACH row",IF(D2557="","",IF(H2557="credit","",IF(AE2557="free","re-planting",IF(AE2557="me","   not ELP, by",IF(AND(OR(PlanterYesMe="Yes",PlanterYesMe="Y"),G2557&gt;0),(VLOOKUP(A2557,'Discount Lookup'!J:K,2)*G2557*(1-PlanterDiscount)*(1+PlanterDifficultyPercentage)),IF(AE2557="ELP",(VLOOKUP(A2557,'Discount Lookup'!J:K,2)*G2557*(1-PlanterDiscount)*(1+PlanterDifficultyPercentage)),IF(AE2557="free","re-planting",IF(G2557=0,"",IF(PlanterYesMe="",IF(AE2557="me","   not ELP, by",IF(AE2557="",IF(G2557&gt;0,(VLOOKUP(A2557,'Discount Lookup'!J:K,2)*G2557*(1-PlanterDiscount)*(1+PlanterDifficultyPercentage)),""),"")),"   not ELP, by"))))))))))))))</f>
        <v/>
      </c>
      <c r="AD2557" s="712"/>
      <c r="AE2557" s="513" t="str">
        <f t="shared" si="1888"/>
        <v/>
      </c>
      <c r="AF2557" s="713" t="str">
        <f t="shared" si="1889"/>
        <v/>
      </c>
      <c r="AG2557" s="713"/>
      <c r="AH2557" s="713"/>
      <c r="AI2557" s="112">
        <f>IF(H2557="credit",0,IF(AE2557="free",0,IF(AE2557="me",0,IF(G2557&gt;0,(VLOOKUP(A2557,'Discount Lookup'!J:K,2)*G2557),0))))</f>
        <v>0</v>
      </c>
      <c r="AJ2557" s="107" t="str">
        <f t="shared" ca="1" si="1890"/>
        <v/>
      </c>
      <c r="AK2557" s="714" t="str">
        <f t="shared" si="1891"/>
        <v/>
      </c>
      <c r="AL2557" s="714"/>
      <c r="AM2557" s="114" t="str">
        <f t="shared" si="1892"/>
        <v/>
      </c>
      <c r="AN2557" s="115"/>
      <c r="AO2557" s="116"/>
      <c r="AP2557" s="116"/>
      <c r="AQ2557" s="116"/>
      <c r="AR2557" s="116"/>
      <c r="AS2557" s="116"/>
      <c r="AT2557" s="116"/>
      <c r="AU2557" s="116"/>
      <c r="AV2557" s="78"/>
      <c r="AW2557" s="102"/>
      <c r="AX2557" s="78"/>
      <c r="AY2557" s="78"/>
      <c r="AZ2557" s="78"/>
      <c r="BA2557" s="78"/>
      <c r="BB2557" s="78"/>
      <c r="BC2557" s="78"/>
      <c r="BD2557" s="78"/>
      <c r="BE2557" s="465"/>
      <c r="BF2557" s="165" t="str">
        <f t="shared" si="1893"/>
        <v>https://www.google.com/search?tbm=isch&amp;q=15%20G4</v>
      </c>
      <c r="BG2557" s="165" t="str">
        <f t="shared" si="1894"/>
        <v>L</v>
      </c>
      <c r="BH2557" s="65"/>
      <c r="BI2557" s="65"/>
      <c r="BJ2557" s="65"/>
      <c r="BK2557" s="65"/>
      <c r="BL2557" s="99"/>
      <c r="BM2557" s="99"/>
      <c r="BN2557" s="99"/>
    </row>
    <row r="2558" spans="1:66" s="51" customFormat="1" ht="15.75" x14ac:dyDescent="0.25">
      <c r="A2558" s="634">
        <v>20</v>
      </c>
      <c r="B2558" s="635" t="s">
        <v>291</v>
      </c>
      <c r="C2558" s="636" t="s">
        <v>3226</v>
      </c>
      <c r="D2558" s="637" t="s">
        <v>309</v>
      </c>
      <c r="E2558" s="638">
        <v>224.95</v>
      </c>
      <c r="F2558" s="639" t="s">
        <v>292</v>
      </c>
      <c r="G2558" s="484">
        <v>0</v>
      </c>
      <c r="H2558" s="691" t="str">
        <f t="shared" si="1914"/>
        <v/>
      </c>
      <c r="I2558" s="640">
        <f t="shared" si="1915"/>
        <v>0</v>
      </c>
      <c r="J2558" s="640">
        <f t="shared" si="1916"/>
        <v>0</v>
      </c>
      <c r="K2558" s="716">
        <f t="shared" ref="K2558" si="1922">I2558+J2558</f>
        <v>0</v>
      </c>
      <c r="L2558" s="716"/>
      <c r="M2558" s="689" t="str">
        <f t="shared" ca="1" si="1918"/>
        <v/>
      </c>
      <c r="N2558" s="690"/>
      <c r="O2558" s="486"/>
      <c r="P2558" s="486"/>
      <c r="Q2558" s="486"/>
      <c r="R2558" s="486"/>
      <c r="S2558" s="486"/>
      <c r="T2558" s="102">
        <f t="shared" si="1882"/>
        <v>0</v>
      </c>
      <c r="U2558" s="78">
        <f>IF(NOT(ISNUMBER(G2558)), "", VLOOKUP(A2558,'Discount Lookup'!D:E,2,FALSE)*G2558)</f>
        <v>0</v>
      </c>
      <c r="V2558" s="78">
        <f>IF(NOT(ISNUMBER(G2558)), "", VLOOKUP(A2558,'Discount Lookup'!G:H,2,FALSE)*G2558)</f>
        <v>0</v>
      </c>
      <c r="W2558" s="102">
        <f t="shared" si="1883"/>
        <v>0</v>
      </c>
      <c r="X2558" s="102">
        <f t="shared" si="1884"/>
        <v>0</v>
      </c>
      <c r="Y2558" s="120" t="b">
        <f t="shared" si="1885"/>
        <v>0</v>
      </c>
      <c r="Z2558" s="117">
        <f t="shared" si="1886"/>
        <v>0</v>
      </c>
      <c r="AA2558" s="118"/>
      <c r="AB2558" s="118" t="str">
        <f t="shared" si="1887"/>
        <v/>
      </c>
      <c r="AC2558" s="712" t="str">
        <f>IF(AE2558="T2G","no charge",IF(AND(OR(PlanterYesMe="No",PlanterYesMe="N",PlanterYesMe="me"),H2558=""),"",IF(H2558="credit","NO install",IF(AND(K2558="",AE2558="me"),"EACH row",IF(AND(K2558="images",AE2558="me"),"EACH row",IF(D2558="","",IF(H2558="credit","",IF(AE2558="free","re-planting",IF(AE2558="me","   not ELP, by",IF(AND(OR(PlanterYesMe="Yes",PlanterYesMe="Y"),G2558&gt;0),(VLOOKUP(A2558,'Discount Lookup'!J:K,2)*G2558*(1-PlanterDiscount)*(1+PlanterDifficultyPercentage)),IF(AE2558="ELP",(VLOOKUP(A2558,'Discount Lookup'!J:K,2)*G2558*(1-PlanterDiscount)*(1+PlanterDifficultyPercentage)),IF(AE2558="free","re-planting",IF(G2558=0,"",IF(PlanterYesMe="",IF(AE2558="me","   not ELP, by",IF(AE2558="",IF(G2558&gt;0,(VLOOKUP(A2558,'Discount Lookup'!J:K,2)*G2558*(1-PlanterDiscount)*(1+PlanterDifficultyPercentage)),""),"")),"   not ELP, by"))))))))))))))</f>
        <v/>
      </c>
      <c r="AD2558" s="712"/>
      <c r="AE2558" s="513" t="str">
        <f t="shared" si="1888"/>
        <v/>
      </c>
      <c r="AF2558" s="713" t="str">
        <f t="shared" si="1889"/>
        <v/>
      </c>
      <c r="AG2558" s="713"/>
      <c r="AH2558" s="713"/>
      <c r="AI2558" s="112">
        <f>IF(H2558="credit",0,IF(AE2558="free",0,IF(AE2558="me",0,IF(G2558&gt;0,(VLOOKUP(A2558,'Discount Lookup'!J:K,2)*G2558),0))))</f>
        <v>0</v>
      </c>
      <c r="AJ2558" s="107" t="str">
        <f t="shared" ca="1" si="1890"/>
        <v/>
      </c>
      <c r="AK2558" s="714" t="str">
        <f t="shared" si="1891"/>
        <v/>
      </c>
      <c r="AL2558" s="714"/>
      <c r="AM2558" s="114" t="str">
        <f t="shared" si="1892"/>
        <v/>
      </c>
      <c r="AN2558" s="115"/>
      <c r="AO2558" s="116"/>
      <c r="AP2558" s="116"/>
      <c r="AQ2558" s="116"/>
      <c r="AR2558" s="116"/>
      <c r="AS2558" s="116"/>
      <c r="AT2558" s="116"/>
      <c r="AU2558" s="116"/>
      <c r="AV2558" s="78"/>
      <c r="AW2558" s="102"/>
      <c r="AX2558" s="78"/>
      <c r="AY2558" s="78"/>
      <c r="AZ2558" s="78"/>
      <c r="BA2558" s="78"/>
      <c r="BB2558" s="78"/>
      <c r="BC2558" s="78"/>
      <c r="BD2558" s="78"/>
      <c r="BE2558" s="465"/>
      <c r="BF2558" s="165" t="str">
        <f t="shared" si="1893"/>
        <v>https://www.google.com/search?tbm=isch&amp;q=20%20G3</v>
      </c>
      <c r="BG2558" s="165" t="str">
        <f t="shared" si="1894"/>
        <v>L</v>
      </c>
      <c r="BH2558" s="65"/>
      <c r="BI2558" s="65"/>
      <c r="BJ2558" s="65"/>
      <c r="BK2558" s="65"/>
      <c r="BL2558" s="99"/>
      <c r="BM2558" s="99"/>
      <c r="BN2558" s="99"/>
    </row>
    <row r="2559" spans="1:66" s="51" customFormat="1" ht="15.75" x14ac:dyDescent="0.25">
      <c r="A2559" s="634">
        <v>15</v>
      </c>
      <c r="B2559" s="635" t="s">
        <v>291</v>
      </c>
      <c r="C2559" s="636" t="s">
        <v>3190</v>
      </c>
      <c r="D2559" s="637" t="s">
        <v>293</v>
      </c>
      <c r="E2559" s="638">
        <v>269.95</v>
      </c>
      <c r="F2559" s="639" t="s">
        <v>292</v>
      </c>
      <c r="G2559" s="484">
        <v>0</v>
      </c>
      <c r="H2559" s="691" t="str">
        <f t="shared" si="1914"/>
        <v/>
      </c>
      <c r="I2559" s="640">
        <f t="shared" si="1915"/>
        <v>0</v>
      </c>
      <c r="J2559" s="640">
        <f t="shared" si="1916"/>
        <v>0</v>
      </c>
      <c r="K2559" s="716">
        <f t="shared" ref="K2559" si="1923">I2559+J2559</f>
        <v>0</v>
      </c>
      <c r="L2559" s="716"/>
      <c r="M2559" s="689" t="str">
        <f t="shared" ca="1" si="1918"/>
        <v/>
      </c>
      <c r="N2559" s="690"/>
      <c r="O2559" s="486"/>
      <c r="P2559" s="486"/>
      <c r="Q2559" s="486"/>
      <c r="R2559" s="486"/>
      <c r="S2559" s="486"/>
      <c r="T2559" s="102">
        <f t="shared" si="1882"/>
        <v>0</v>
      </c>
      <c r="U2559" s="78">
        <f>IF(NOT(ISNUMBER(G2559)), "", VLOOKUP(A2559,'Discount Lookup'!D:E,2,FALSE)*G2559)</f>
        <v>0</v>
      </c>
      <c r="V2559" s="78">
        <f>IF(NOT(ISNUMBER(G2559)), "", VLOOKUP(A2559,'Discount Lookup'!G:H,2,FALSE)*G2559)</f>
        <v>0</v>
      </c>
      <c r="W2559" s="102">
        <f t="shared" si="1883"/>
        <v>0</v>
      </c>
      <c r="X2559" s="102">
        <f t="shared" si="1884"/>
        <v>0</v>
      </c>
      <c r="Y2559" s="120" t="b">
        <f t="shared" si="1885"/>
        <v>0</v>
      </c>
      <c r="Z2559" s="117">
        <f t="shared" si="1886"/>
        <v>0</v>
      </c>
      <c r="AA2559" s="118"/>
      <c r="AB2559" s="118" t="str">
        <f t="shared" si="1887"/>
        <v/>
      </c>
      <c r="AC2559" s="712" t="str">
        <f>IF(AE2559="T2G","no charge",IF(AND(OR(PlanterYesMe="No",PlanterYesMe="N",PlanterYesMe="me"),H2559=""),"",IF(H2559="credit","NO install",IF(AND(K2559="",AE2559="me"),"EACH row",IF(AND(K2559="images",AE2559="me"),"EACH row",IF(D2559="","",IF(H2559="credit","",IF(AE2559="free","re-planting",IF(AE2559="me","   not ELP, by",IF(AND(OR(PlanterYesMe="Yes",PlanterYesMe="Y"),G2559&gt;0),(VLOOKUP(A2559,'Discount Lookup'!J:K,2)*G2559*(1-PlanterDiscount)*(1+PlanterDifficultyPercentage)),IF(AE2559="ELP",(VLOOKUP(A2559,'Discount Lookup'!J:K,2)*G2559*(1-PlanterDiscount)*(1+PlanterDifficultyPercentage)),IF(AE2559="free","re-planting",IF(G2559=0,"",IF(PlanterYesMe="",IF(AE2559="me","   not ELP, by",IF(AE2559="",IF(G2559&gt;0,(VLOOKUP(A2559,'Discount Lookup'!J:K,2)*G2559*(1-PlanterDiscount)*(1+PlanterDifficultyPercentage)),""),"")),"   not ELP, by"))))))))))))))</f>
        <v/>
      </c>
      <c r="AD2559" s="712"/>
      <c r="AE2559" s="513" t="str">
        <f t="shared" si="1888"/>
        <v/>
      </c>
      <c r="AF2559" s="713" t="str">
        <f t="shared" si="1889"/>
        <v/>
      </c>
      <c r="AG2559" s="713"/>
      <c r="AH2559" s="713"/>
      <c r="AI2559" s="112">
        <f>IF(H2559="credit",0,IF(AE2559="free",0,IF(AE2559="me",0,IF(G2559&gt;0,(VLOOKUP(A2559,'Discount Lookup'!J:K,2)*G2559),0))))</f>
        <v>0</v>
      </c>
      <c r="AJ2559" s="107" t="str">
        <f t="shared" ca="1" si="1890"/>
        <v/>
      </c>
      <c r="AK2559" s="714" t="str">
        <f t="shared" si="1891"/>
        <v/>
      </c>
      <c r="AL2559" s="714"/>
      <c r="AM2559" s="114" t="str">
        <f t="shared" si="1892"/>
        <v/>
      </c>
      <c r="AN2559" s="115"/>
      <c r="AO2559" s="116"/>
      <c r="AP2559" s="116"/>
      <c r="AQ2559" s="116"/>
      <c r="AR2559" s="116"/>
      <c r="AS2559" s="116"/>
      <c r="AT2559" s="116"/>
      <c r="AU2559" s="116"/>
      <c r="AV2559" s="78"/>
      <c r="AW2559" s="102"/>
      <c r="AX2559" s="78"/>
      <c r="AY2559" s="78"/>
      <c r="AZ2559" s="78"/>
      <c r="BA2559" s="78"/>
      <c r="BB2559" s="78"/>
      <c r="BC2559" s="78"/>
      <c r="BD2559" s="78"/>
      <c r="BE2559" s="465"/>
      <c r="BF2559" s="165" t="str">
        <f t="shared" si="1893"/>
        <v>https://www.google.com/search?tbm=isch&amp;q=15%20G6</v>
      </c>
      <c r="BG2559" s="165" t="str">
        <f t="shared" si="1894"/>
        <v>L</v>
      </c>
      <c r="BH2559" s="65"/>
      <c r="BI2559" s="65"/>
      <c r="BJ2559" s="65"/>
      <c r="BK2559" s="65"/>
      <c r="BL2559" s="99"/>
      <c r="BM2559" s="99"/>
      <c r="BN2559" s="99"/>
    </row>
    <row r="2560" spans="1:66" s="51" customFormat="1" ht="27" x14ac:dyDescent="0.25">
      <c r="A2560" s="634">
        <v>25</v>
      </c>
      <c r="B2560" s="635" t="s">
        <v>291</v>
      </c>
      <c r="C2560" s="636" t="s">
        <v>3227</v>
      </c>
      <c r="D2560" s="637" t="s">
        <v>299</v>
      </c>
      <c r="E2560" s="638">
        <v>293.95</v>
      </c>
      <c r="F2560" s="639" t="s">
        <v>292</v>
      </c>
      <c r="G2560" s="484">
        <v>0</v>
      </c>
      <c r="H2560" s="691" t="str">
        <f t="shared" si="1914"/>
        <v/>
      </c>
      <c r="I2560" s="640">
        <f t="shared" si="1915"/>
        <v>0</v>
      </c>
      <c r="J2560" s="640">
        <f t="shared" si="1916"/>
        <v>0</v>
      </c>
      <c r="K2560" s="716">
        <f t="shared" ref="K2560" si="1924">I2560+J2560</f>
        <v>0</v>
      </c>
      <c r="L2560" s="716"/>
      <c r="M2560" s="689" t="str">
        <f t="shared" ca="1" si="1918"/>
        <v/>
      </c>
      <c r="N2560" s="690"/>
      <c r="O2560" s="486"/>
      <c r="P2560" s="486"/>
      <c r="Q2560" s="486"/>
      <c r="R2560" s="486"/>
      <c r="S2560" s="486"/>
      <c r="T2560" s="102">
        <f t="shared" si="1882"/>
        <v>0</v>
      </c>
      <c r="U2560" s="78">
        <f>IF(NOT(ISNUMBER(G2560)), "", VLOOKUP(A2560,'Discount Lookup'!D:E,2,FALSE)*G2560)</f>
        <v>0</v>
      </c>
      <c r="V2560" s="78">
        <f>IF(NOT(ISNUMBER(G2560)), "", VLOOKUP(A2560,'Discount Lookup'!G:H,2,FALSE)*G2560)</f>
        <v>0</v>
      </c>
      <c r="W2560" s="102">
        <f t="shared" si="1883"/>
        <v>0</v>
      </c>
      <c r="X2560" s="102">
        <f t="shared" si="1884"/>
        <v>0</v>
      </c>
      <c r="Y2560" s="120" t="b">
        <f t="shared" si="1885"/>
        <v>0</v>
      </c>
      <c r="Z2560" s="117">
        <f t="shared" si="1886"/>
        <v>0</v>
      </c>
      <c r="AA2560" s="118"/>
      <c r="AB2560" s="118" t="str">
        <f t="shared" si="1887"/>
        <v/>
      </c>
      <c r="AC2560" s="712" t="str">
        <f>IF(AE2560="T2G","no charge",IF(AND(OR(PlanterYesMe="No",PlanterYesMe="N",PlanterYesMe="me"),H2560=""),"",IF(H2560="credit","NO install",IF(AND(K2560="",AE2560="me"),"EACH row",IF(AND(K2560="images",AE2560="me"),"EACH row",IF(D2560="","",IF(H2560="credit","",IF(AE2560="free","re-planting",IF(AE2560="me","   not ELP, by",IF(AND(OR(PlanterYesMe="Yes",PlanterYesMe="Y"),G2560&gt;0),(VLOOKUP(A2560,'Discount Lookup'!J:K,2)*G2560*(1-PlanterDiscount)*(1+PlanterDifficultyPercentage)),IF(AE2560="ELP",(VLOOKUP(A2560,'Discount Lookup'!J:K,2)*G2560*(1-PlanterDiscount)*(1+PlanterDifficultyPercentage)),IF(AE2560="free","re-planting",IF(G2560=0,"",IF(PlanterYesMe="",IF(AE2560="me","   not ELP, by",IF(AE2560="",IF(G2560&gt;0,(VLOOKUP(A2560,'Discount Lookup'!J:K,2)*G2560*(1-PlanterDiscount)*(1+PlanterDifficultyPercentage)),""),"")),"   not ELP, by"))))))))))))))</f>
        <v/>
      </c>
      <c r="AD2560" s="712"/>
      <c r="AE2560" s="513" t="str">
        <f t="shared" si="1888"/>
        <v/>
      </c>
      <c r="AF2560" s="713" t="str">
        <f t="shared" si="1889"/>
        <v/>
      </c>
      <c r="AG2560" s="713"/>
      <c r="AH2560" s="713"/>
      <c r="AI2560" s="112">
        <f>IF(H2560="credit",0,IF(AE2560="free",0,IF(AE2560="me",0,IF(G2560&gt;0,(VLOOKUP(A2560,'Discount Lookup'!J:K,2)*G2560),0))))</f>
        <v>0</v>
      </c>
      <c r="AJ2560" s="107" t="str">
        <f t="shared" ca="1" si="1890"/>
        <v/>
      </c>
      <c r="AK2560" s="714" t="str">
        <f t="shared" si="1891"/>
        <v/>
      </c>
      <c r="AL2560" s="714"/>
      <c r="AM2560" s="114" t="str">
        <f t="shared" si="1892"/>
        <v/>
      </c>
      <c r="AN2560" s="115"/>
      <c r="AO2560" s="116"/>
      <c r="AP2560" s="116"/>
      <c r="AQ2560" s="116"/>
      <c r="AR2560" s="116"/>
      <c r="AS2560" s="116"/>
      <c r="AT2560" s="116"/>
      <c r="AU2560" s="116"/>
      <c r="AV2560" s="78"/>
      <c r="AW2560" s="102"/>
      <c r="AX2560" s="78"/>
      <c r="AY2560" s="78"/>
      <c r="AZ2560" s="78"/>
      <c r="BA2560" s="78"/>
      <c r="BB2560" s="78"/>
      <c r="BC2560" s="78"/>
      <c r="BD2560" s="78"/>
      <c r="BE2560" s="465"/>
      <c r="BF2560" s="165" t="str">
        <f t="shared" si="1893"/>
        <v>https://www.google.com/search?tbm=isch&amp;q=25%20G4</v>
      </c>
      <c r="BG2560" s="165" t="str">
        <f t="shared" si="1894"/>
        <v>L</v>
      </c>
      <c r="BH2560" s="65"/>
      <c r="BI2560" s="65"/>
      <c r="BJ2560" s="65"/>
      <c r="BK2560" s="65"/>
      <c r="BL2560" s="99"/>
      <c r="BM2560" s="99"/>
      <c r="BN2560" s="99"/>
    </row>
    <row r="2561" spans="1:66" s="51" customFormat="1" ht="27" x14ac:dyDescent="0.25">
      <c r="A2561" s="634">
        <v>25</v>
      </c>
      <c r="B2561" s="635" t="s">
        <v>291</v>
      </c>
      <c r="C2561" s="636" t="s">
        <v>3228</v>
      </c>
      <c r="D2561" s="637" t="s">
        <v>299</v>
      </c>
      <c r="E2561" s="638">
        <v>307.95</v>
      </c>
      <c r="F2561" s="639" t="s">
        <v>292</v>
      </c>
      <c r="G2561" s="484">
        <v>0</v>
      </c>
      <c r="H2561" s="691" t="str">
        <f t="shared" si="1914"/>
        <v/>
      </c>
      <c r="I2561" s="640">
        <f t="shared" si="1915"/>
        <v>0</v>
      </c>
      <c r="J2561" s="640">
        <f t="shared" si="1916"/>
        <v>0</v>
      </c>
      <c r="K2561" s="716">
        <f t="shared" ref="K2561" si="1925">I2561+J2561</f>
        <v>0</v>
      </c>
      <c r="L2561" s="716"/>
      <c r="M2561" s="689" t="str">
        <f t="shared" ca="1" si="1918"/>
        <v/>
      </c>
      <c r="N2561" s="690"/>
      <c r="O2561" s="486"/>
      <c r="P2561" s="486"/>
      <c r="Q2561" s="486"/>
      <c r="R2561" s="486"/>
      <c r="S2561" s="486"/>
      <c r="T2561" s="102">
        <f t="shared" si="1882"/>
        <v>0</v>
      </c>
      <c r="U2561" s="78">
        <f>IF(NOT(ISNUMBER(G2561)), "", VLOOKUP(A2561,'Discount Lookup'!D:E,2,FALSE)*G2561)</f>
        <v>0</v>
      </c>
      <c r="V2561" s="78">
        <f>IF(NOT(ISNUMBER(G2561)), "", VLOOKUP(A2561,'Discount Lookup'!G:H,2,FALSE)*G2561)</f>
        <v>0</v>
      </c>
      <c r="W2561" s="102">
        <f t="shared" si="1883"/>
        <v>0</v>
      </c>
      <c r="X2561" s="102">
        <f t="shared" si="1884"/>
        <v>0</v>
      </c>
      <c r="Y2561" s="120" t="b">
        <f t="shared" si="1885"/>
        <v>0</v>
      </c>
      <c r="Z2561" s="117">
        <f t="shared" si="1886"/>
        <v>0</v>
      </c>
      <c r="AA2561" s="118"/>
      <c r="AB2561" s="118" t="str">
        <f t="shared" si="1887"/>
        <v/>
      </c>
      <c r="AC2561" s="712" t="str">
        <f>IF(AE2561="T2G","no charge",IF(AND(OR(PlanterYesMe="No",PlanterYesMe="N",PlanterYesMe="me"),H2561=""),"",IF(H2561="credit","NO install",IF(AND(K2561="",AE2561="me"),"EACH row",IF(AND(K2561="images",AE2561="me"),"EACH row",IF(D2561="","",IF(H2561="credit","",IF(AE2561="free","re-planting",IF(AE2561="me","   not ELP, by",IF(AND(OR(PlanterYesMe="Yes",PlanterYesMe="Y"),G2561&gt;0),(VLOOKUP(A2561,'Discount Lookup'!J:K,2)*G2561*(1-PlanterDiscount)*(1+PlanterDifficultyPercentage)),IF(AE2561="ELP",(VLOOKUP(A2561,'Discount Lookup'!J:K,2)*G2561*(1-PlanterDiscount)*(1+PlanterDifficultyPercentage)),IF(AE2561="free","re-planting",IF(G2561=0,"",IF(PlanterYesMe="",IF(AE2561="me","   not ELP, by",IF(AE2561="",IF(G2561&gt;0,(VLOOKUP(A2561,'Discount Lookup'!J:K,2)*G2561*(1-PlanterDiscount)*(1+PlanterDifficultyPercentage)),""),"")),"   not ELP, by"))))))))))))))</f>
        <v/>
      </c>
      <c r="AD2561" s="712"/>
      <c r="AE2561" s="513" t="str">
        <f t="shared" si="1888"/>
        <v/>
      </c>
      <c r="AF2561" s="713" t="str">
        <f t="shared" si="1889"/>
        <v/>
      </c>
      <c r="AG2561" s="713"/>
      <c r="AH2561" s="713"/>
      <c r="AI2561" s="112">
        <f>IF(H2561="credit",0,IF(AE2561="free",0,IF(AE2561="me",0,IF(G2561&gt;0,(VLOOKUP(A2561,'Discount Lookup'!J:K,2)*G2561),0))))</f>
        <v>0</v>
      </c>
      <c r="AJ2561" s="107" t="str">
        <f t="shared" ca="1" si="1890"/>
        <v/>
      </c>
      <c r="AK2561" s="714" t="str">
        <f t="shared" si="1891"/>
        <v/>
      </c>
      <c r="AL2561" s="714"/>
      <c r="AM2561" s="114" t="str">
        <f t="shared" si="1892"/>
        <v/>
      </c>
      <c r="AN2561" s="115"/>
      <c r="AO2561" s="116"/>
      <c r="AP2561" s="116"/>
      <c r="AQ2561" s="116"/>
      <c r="AR2561" s="116"/>
      <c r="AS2561" s="116"/>
      <c r="AT2561" s="116"/>
      <c r="AU2561" s="116"/>
      <c r="AV2561" s="78"/>
      <c r="AW2561" s="102"/>
      <c r="AX2561" s="78"/>
      <c r="AY2561" s="78"/>
      <c r="AZ2561" s="78"/>
      <c r="BA2561" s="78"/>
      <c r="BB2561" s="78"/>
      <c r="BC2561" s="78"/>
      <c r="BD2561" s="78"/>
      <c r="BE2561" s="465"/>
      <c r="BF2561" s="165" t="str">
        <f t="shared" si="1893"/>
        <v>https://www.google.com/search?tbm=isch&amp;q=25%20G4</v>
      </c>
      <c r="BG2561" s="165" t="str">
        <f t="shared" si="1894"/>
        <v>L</v>
      </c>
      <c r="BH2561" s="65"/>
      <c r="BI2561" s="65"/>
      <c r="BJ2561" s="65"/>
      <c r="BK2561" s="65"/>
      <c r="BL2561" s="99"/>
      <c r="BM2561" s="99"/>
      <c r="BN2561" s="99"/>
    </row>
    <row r="2562" spans="1:66" s="51" customFormat="1" ht="17.25" thickBot="1" x14ac:dyDescent="0.3">
      <c r="A2562" s="641" t="s">
        <v>3229</v>
      </c>
      <c r="B2562" s="642"/>
      <c r="C2562" s="710"/>
      <c r="D2562" s="643"/>
      <c r="E2562" s="643"/>
      <c r="F2562" s="644"/>
      <c r="G2562" s="645"/>
      <c r="H2562" s="646"/>
      <c r="I2562" s="647"/>
      <c r="J2562" s="648"/>
      <c r="K2562" s="649"/>
      <c r="L2562" s="650"/>
      <c r="M2562" s="650"/>
      <c r="N2562" s="644"/>
      <c r="O2562" s="644"/>
      <c r="P2562" s="644"/>
      <c r="Q2562" s="644"/>
      <c r="R2562" s="644"/>
      <c r="S2562" s="651"/>
      <c r="T2562" s="102">
        <f t="shared" si="1882"/>
        <v>0</v>
      </c>
      <c r="U2562" s="78" t="str">
        <f>IF(NOT(ISNUMBER(G2562)), "", VLOOKUP(A2562,'Discount Lookup'!D:E,2,FALSE)*G2562)</f>
        <v/>
      </c>
      <c r="V2562" s="78" t="str">
        <f>IF(NOT(ISNUMBER(G2562)), "", VLOOKUP(A2562,'Discount Lookup'!G:H,2,FALSE)*G2562)</f>
        <v/>
      </c>
      <c r="W2562" s="102">
        <f t="shared" si="1883"/>
        <v>0</v>
      </c>
      <c r="X2562" s="102">
        <f t="shared" si="1884"/>
        <v>0</v>
      </c>
      <c r="Y2562" s="120" t="b">
        <f t="shared" si="1885"/>
        <v>0</v>
      </c>
      <c r="Z2562" s="117">
        <f t="shared" si="1886"/>
        <v>0</v>
      </c>
      <c r="AA2562" s="118"/>
      <c r="AB2562" s="118" t="str">
        <f t="shared" si="1887"/>
        <v/>
      </c>
      <c r="AC2562" s="712" t="str">
        <f>IF(AE2562="T2G","no charge",IF(AND(OR(PlanterYesMe="No",PlanterYesMe="N",PlanterYesMe="me"),H2562=""),"",IF(H2562="credit","NO install",IF(AND(K2562="",AE2562="me"),"EACH row",IF(AND(K2562="images",AE2562="me"),"EACH row",IF(D2562="","",IF(H2562="credit","",IF(AE2562="free","re-planting",IF(AE2562="me","   not ELP, by",IF(AND(OR(PlanterYesMe="Yes",PlanterYesMe="Y"),G2562&gt;0),(VLOOKUP(A2562,'Discount Lookup'!J:K,2)*G2562*(1-PlanterDiscount)*(1+PlanterDifficultyPercentage)),IF(AE2562="ELP",(VLOOKUP(A2562,'Discount Lookup'!J:K,2)*G2562*(1-PlanterDiscount)*(1+PlanterDifficultyPercentage)),IF(AE2562="free","re-planting",IF(G2562=0,"",IF(PlanterYesMe="",IF(AE2562="me","   not ELP, by",IF(AE2562="",IF(G2562&gt;0,(VLOOKUP(A2562,'Discount Lookup'!J:K,2)*G2562*(1-PlanterDiscount)*(1+PlanterDifficultyPercentage)),""),"")),"   not ELP, by"))))))))))))))</f>
        <v/>
      </c>
      <c r="AD2562" s="712"/>
      <c r="AE2562" s="513" t="str">
        <f t="shared" si="1888"/>
        <v/>
      </c>
      <c r="AF2562" s="713" t="str">
        <f t="shared" si="1889"/>
        <v/>
      </c>
      <c r="AG2562" s="713"/>
      <c r="AH2562" s="713"/>
      <c r="AI2562" s="112">
        <f>IF(H2562="credit",0,IF(AE2562="free",0,IF(AE2562="me",0,IF(G2562&gt;0,(VLOOKUP(A2562,'Discount Lookup'!J:K,2)*G2562),0))))</f>
        <v>0</v>
      </c>
      <c r="AJ2562" s="107" t="str">
        <f t="shared" ca="1" si="1890"/>
        <v/>
      </c>
      <c r="AK2562" s="714" t="str">
        <f t="shared" si="1891"/>
        <v/>
      </c>
      <c r="AL2562" s="714"/>
      <c r="AM2562" s="114" t="str">
        <f t="shared" si="1892"/>
        <v/>
      </c>
      <c r="AN2562" s="115"/>
      <c r="AO2562" s="116"/>
      <c r="AP2562" s="116"/>
      <c r="AQ2562" s="116"/>
      <c r="AR2562" s="116"/>
      <c r="AS2562" s="116"/>
      <c r="AT2562" s="116"/>
      <c r="AU2562" s="116"/>
      <c r="AV2562" s="78"/>
      <c r="AW2562" s="102"/>
      <c r="AX2562" s="78"/>
      <c r="AY2562" s="78"/>
      <c r="AZ2562" s="78"/>
      <c r="BA2562" s="78"/>
      <c r="BB2562" s="78"/>
      <c r="BC2562" s="78"/>
      <c r="BD2562" s="78"/>
      <c r="BE2562" s="465"/>
      <c r="BF2562" s="165" t="str">
        <f t="shared" si="1893"/>
        <v>https://www.google.com/search?tbm=isch&amp;q=Natchez%27%20cinnamon%20bark%20is%20considered%20the%20finest%20of%20the%20Crape%20Myrtles%20</v>
      </c>
      <c r="BG2562" s="165" t="str">
        <f t="shared" si="1894"/>
        <v>N</v>
      </c>
      <c r="BH2562" s="65"/>
      <c r="BI2562" s="65"/>
      <c r="BJ2562" s="65"/>
      <c r="BK2562" s="65"/>
      <c r="BL2562" s="99"/>
      <c r="BM2562" s="99"/>
      <c r="BN2562" s="99"/>
    </row>
    <row r="2563" spans="1:66" s="51" customFormat="1" ht="18" x14ac:dyDescent="0.25">
      <c r="A2563" s="623" t="s">
        <v>3230</v>
      </c>
      <c r="B2563" s="624"/>
      <c r="C2563" s="709"/>
      <c r="D2563" s="625" t="s">
        <v>3231</v>
      </c>
      <c r="E2563" s="626"/>
      <c r="F2563" s="626"/>
      <c r="G2563" s="626"/>
      <c r="H2563" s="622" t="s">
        <v>327</v>
      </c>
      <c r="I2563" s="627" t="s">
        <v>3232</v>
      </c>
      <c r="J2563" s="628"/>
      <c r="K2563" s="628"/>
      <c r="L2563" s="629"/>
      <c r="M2563" s="700" t="s">
        <v>5241</v>
      </c>
      <c r="N2563" s="693" t="str">
        <f>IF(AND(ISTEXT($A2563), ISERROR($A2563+0)), HYPERLINK($BF2563, "Images"), "")</f>
        <v>Images</v>
      </c>
      <c r="O2563" s="695" t="s">
        <v>5247</v>
      </c>
      <c r="P2563" s="630"/>
      <c r="Q2563" s="631"/>
      <c r="R2563" s="632"/>
      <c r="S2563" s="633"/>
      <c r="T2563" s="102">
        <f t="shared" si="1882"/>
        <v>0</v>
      </c>
      <c r="U2563" s="78" t="str">
        <f>IF(NOT(ISNUMBER(G2563)), "", VLOOKUP(A2563,'Discount Lookup'!D:E,2,FALSE)*G2563)</f>
        <v/>
      </c>
      <c r="V2563" s="78" t="str">
        <f>IF(NOT(ISNUMBER(G2563)), "", VLOOKUP(A2563,'Discount Lookup'!G:H,2,FALSE)*G2563)</f>
        <v/>
      </c>
      <c r="W2563" s="102">
        <f t="shared" si="1883"/>
        <v>0</v>
      </c>
      <c r="X2563" s="102" t="str">
        <f t="shared" si="1884"/>
        <v>Dark Pink bloom</v>
      </c>
      <c r="Y2563" s="120" t="b">
        <f t="shared" si="1885"/>
        <v>0</v>
      </c>
      <c r="Z2563" s="117">
        <f t="shared" si="1886"/>
        <v>0</v>
      </c>
      <c r="AA2563" s="118"/>
      <c r="AB2563" s="118" t="str">
        <f t="shared" si="1887"/>
        <v/>
      </c>
      <c r="AC2563" s="712" t="str">
        <f>IF(AE2563="T2G","no charge",IF(AND(OR(PlanterYesMe="No",PlanterYesMe="N",PlanterYesMe="me"),H2563=""),"",IF(H2563="credit","NO install",IF(AND(K2563="",AE2563="me"),"EACH row",IF(AND(K2563="images",AE2563="me"),"EACH row",IF(D2563="","",IF(H2563="credit","",IF(AE2563="free","re-planting",IF(AE2563="me","   not ELP, by",IF(AND(OR(PlanterYesMe="Yes",PlanterYesMe="Y"),G2563&gt;0),(VLOOKUP(A2563,'Discount Lookup'!J:K,2)*G2563*(1-PlanterDiscount)*(1+PlanterDifficultyPercentage)),IF(AE2563="ELP",(VLOOKUP(A2563,'Discount Lookup'!J:K,2)*G2563*(1-PlanterDiscount)*(1+PlanterDifficultyPercentage)),IF(AE2563="free","re-planting",IF(G2563=0,"",IF(PlanterYesMe="",IF(AE2563="me","   not ELP, by",IF(AE2563="",IF(G2563&gt;0,(VLOOKUP(A2563,'Discount Lookup'!J:K,2)*G2563*(1-PlanterDiscount)*(1+PlanterDifficultyPercentage)),""),"")),"   not ELP, by"))))))))))))))</f>
        <v/>
      </c>
      <c r="AD2563" s="712"/>
      <c r="AE2563" s="513" t="str">
        <f t="shared" si="1888"/>
        <v/>
      </c>
      <c r="AF2563" s="713" t="str">
        <f t="shared" si="1889"/>
        <v/>
      </c>
      <c r="AG2563" s="713"/>
      <c r="AH2563" s="713"/>
      <c r="AI2563" s="112">
        <f>IF(H2563="credit",0,IF(AE2563="free",0,IF(AE2563="me",0,IF(G2563&gt;0,(VLOOKUP(A2563,'Discount Lookup'!J:K,2)*G2563),0))))</f>
        <v>0</v>
      </c>
      <c r="AJ2563" s="107" t="str">
        <f t="shared" ca="1" si="1890"/>
        <v/>
      </c>
      <c r="AK2563" s="714" t="str">
        <f t="shared" si="1891"/>
        <v/>
      </c>
      <c r="AL2563" s="714"/>
      <c r="AM2563" s="114" t="str">
        <f t="shared" si="1892"/>
        <v/>
      </c>
      <c r="AN2563" s="115"/>
      <c r="AO2563" s="116"/>
      <c r="AP2563" s="116"/>
      <c r="AQ2563" s="116"/>
      <c r="AR2563" s="116"/>
      <c r="AS2563" s="116"/>
      <c r="AT2563" s="116"/>
      <c r="AU2563" s="116"/>
      <c r="AV2563" s="78"/>
      <c r="AW2563" s="102"/>
      <c r="AX2563" s="78"/>
      <c r="AY2563" s="78"/>
      <c r="AZ2563" s="78"/>
      <c r="BA2563" s="78"/>
      <c r="BB2563" s="78"/>
      <c r="BC2563" s="78"/>
      <c r="BD2563" s="78"/>
      <c r="BE2563" s="465"/>
      <c r="BF2563" s="165" t="str">
        <f t="shared" si="1893"/>
        <v>https://www.google.com/search?tbm=isch&amp;q=Lagerstroemia%20indica%20x%20fauriei%20%27Sioux%27%20Sioux%20Crape%20Myrtle</v>
      </c>
      <c r="BG2563" s="165" t="str">
        <f t="shared" si="1894"/>
        <v>L</v>
      </c>
      <c r="BH2563" s="65"/>
      <c r="BI2563" s="65"/>
      <c r="BJ2563" s="65"/>
      <c r="BK2563" s="65"/>
      <c r="BL2563" s="99"/>
      <c r="BM2563" s="99"/>
      <c r="BN2563" s="99"/>
    </row>
    <row r="2564" spans="1:66" s="51" customFormat="1" ht="15.75" x14ac:dyDescent="0.25">
      <c r="A2564" s="634">
        <v>15</v>
      </c>
      <c r="B2564" s="635" t="s">
        <v>291</v>
      </c>
      <c r="C2564" s="636" t="s">
        <v>3233</v>
      </c>
      <c r="D2564" s="637" t="s">
        <v>309</v>
      </c>
      <c r="E2564" s="638">
        <v>155.94999999999999</v>
      </c>
      <c r="F2564" s="639" t="s">
        <v>292</v>
      </c>
      <c r="G2564" s="484">
        <v>0</v>
      </c>
      <c r="H2564" s="691" t="str">
        <f>IF(G2564=0,"",IF(F2564="Buy",IF(G2564=1,"plant","plants"),IF(F2564&gt;0.01,"warranty","Error")))</f>
        <v/>
      </c>
      <c r="I2564" s="640">
        <f>IF(H2564="free",0,IF(H2564="credit",((E2564*(F2564))*G2564*-1),IF(F2564="Buy",(E2564*G2564),((E2564*(1-F2564))*G2564))))</f>
        <v>0</v>
      </c>
      <c r="J2564" s="640">
        <f>IF(H2564="warranty",0,(I2564*(_xlfn.SINGLE(SalesTaxPercentage))))</f>
        <v>0</v>
      </c>
      <c r="K2564" s="716">
        <f t="shared" ref="K2564" si="1926">I2564+J2564</f>
        <v>0</v>
      </c>
      <c r="L2564" s="716"/>
      <c r="M2564" s="689" t="str">
        <f ca="1">IF(AND(G2564&gt;0,E2564=0),"WARNING - no PRICE inserted",IF(H2564="free","FREE ~ no charge this plant",IF(H2564="credit",CONCATENATE("-$",ROUND(K2564*(1-_xlfn.SINGLE(T2GDiscount))*-1,2)," CREDIT after discount"),IF(_xlfn.SINGLE(T2GDiscount)=0,"",IF(G2564=0,"",IF(F2564="Buy",CONCATENATE("$",ROUND(K2564*(1-_xlfn.SINGLE(T2GDiscount)),2)," with ",(_xlfn.SINGLE(T2GDiscount)*100),"% discount"),CONCATENATE("$",ROUND(K2564*(1-_xlfn.SINGLE(T2GDiscount)),2)," with ",((_xlfn.SINGLE(T2GDiscount)*100+F2564*100)-(_xlfn.SINGLE(T2GDiscount)*100*F2564)),IF(F2564&gt;0,"% discounts",IF(_xlfn.SINGLE(NoWarrantyDiscount)&gt;0,"% discounts","% discount")))))))))</f>
        <v/>
      </c>
      <c r="N2564" s="690"/>
      <c r="O2564" s="486"/>
      <c r="P2564" s="486"/>
      <c r="Q2564" s="486"/>
      <c r="R2564" s="486"/>
      <c r="S2564" s="486"/>
      <c r="T2564" s="102">
        <f t="shared" si="1882"/>
        <v>0</v>
      </c>
      <c r="U2564" s="78">
        <f>IF(NOT(ISNUMBER(G2564)), "", VLOOKUP(A2564,'Discount Lookup'!D:E,2,FALSE)*G2564)</f>
        <v>0</v>
      </c>
      <c r="V2564" s="78">
        <f>IF(NOT(ISNUMBER(G2564)), "", VLOOKUP(A2564,'Discount Lookup'!G:H,2,FALSE)*G2564)</f>
        <v>0</v>
      </c>
      <c r="W2564" s="102">
        <f t="shared" si="1883"/>
        <v>0</v>
      </c>
      <c r="X2564" s="102">
        <f t="shared" si="1884"/>
        <v>0</v>
      </c>
      <c r="Y2564" s="120" t="b">
        <f t="shared" si="1885"/>
        <v>0</v>
      </c>
      <c r="Z2564" s="117">
        <f t="shared" si="1886"/>
        <v>0</v>
      </c>
      <c r="AA2564" s="118"/>
      <c r="AB2564" s="118" t="str">
        <f t="shared" si="1887"/>
        <v/>
      </c>
      <c r="AC2564" s="712" t="str">
        <f>IF(AE2564="T2G","no charge",IF(AND(OR(PlanterYesMe="No",PlanterYesMe="N",PlanterYesMe="me"),H2564=""),"",IF(H2564="credit","NO install",IF(AND(K2564="",AE2564="me"),"EACH row",IF(AND(K2564="images",AE2564="me"),"EACH row",IF(D2564="","",IF(H2564="credit","",IF(AE2564="free","re-planting",IF(AE2564="me","   not ELP, by",IF(AND(OR(PlanterYesMe="Yes",PlanterYesMe="Y"),G2564&gt;0),(VLOOKUP(A2564,'Discount Lookup'!J:K,2)*G2564*(1-PlanterDiscount)*(1+PlanterDifficultyPercentage)),IF(AE2564="ELP",(VLOOKUP(A2564,'Discount Lookup'!J:K,2)*G2564*(1-PlanterDiscount)*(1+PlanterDifficultyPercentage)),IF(AE2564="free","re-planting",IF(G2564=0,"",IF(PlanterYesMe="",IF(AE2564="me","   not ELP, by",IF(AE2564="",IF(G2564&gt;0,(VLOOKUP(A2564,'Discount Lookup'!J:K,2)*G2564*(1-PlanterDiscount)*(1+PlanterDifficultyPercentage)),""),"")),"   not ELP, by"))))))))))))))</f>
        <v/>
      </c>
      <c r="AD2564" s="712"/>
      <c r="AE2564" s="513" t="str">
        <f t="shared" si="1888"/>
        <v/>
      </c>
      <c r="AF2564" s="713" t="str">
        <f t="shared" si="1889"/>
        <v/>
      </c>
      <c r="AG2564" s="713"/>
      <c r="AH2564" s="713"/>
      <c r="AI2564" s="112">
        <f>IF(H2564="credit",0,IF(AE2564="free",0,IF(AE2564="me",0,IF(G2564&gt;0,(VLOOKUP(A2564,'Discount Lookup'!J:K,2)*G2564),0))))</f>
        <v>0</v>
      </c>
      <c r="AJ2564" s="107" t="str">
        <f t="shared" ca="1" si="1890"/>
        <v/>
      </c>
      <c r="AK2564" s="714" t="str">
        <f t="shared" si="1891"/>
        <v/>
      </c>
      <c r="AL2564" s="714"/>
      <c r="AM2564" s="114" t="str">
        <f t="shared" si="1892"/>
        <v/>
      </c>
      <c r="AN2564" s="115"/>
      <c r="AO2564" s="116"/>
      <c r="AP2564" s="116"/>
      <c r="AQ2564" s="116"/>
      <c r="AR2564" s="116"/>
      <c r="AS2564" s="116"/>
      <c r="AT2564" s="116"/>
      <c r="AU2564" s="116"/>
      <c r="AV2564" s="78"/>
      <c r="AW2564" s="102"/>
      <c r="AX2564" s="78"/>
      <c r="AY2564" s="78"/>
      <c r="AZ2564" s="78"/>
      <c r="BA2564" s="78"/>
      <c r="BB2564" s="78"/>
      <c r="BC2564" s="78"/>
      <c r="BD2564" s="78"/>
      <c r="BE2564" s="465"/>
      <c r="BF2564" s="165" t="str">
        <f t="shared" si="1893"/>
        <v>https://www.google.com/search?tbm=isch&amp;q=15%20G3</v>
      </c>
      <c r="BG2564" s="165" t="str">
        <f t="shared" si="1894"/>
        <v>L</v>
      </c>
      <c r="BH2564" s="65"/>
      <c r="BI2564" s="65"/>
      <c r="BJ2564" s="65"/>
      <c r="BK2564" s="65"/>
      <c r="BL2564" s="99"/>
      <c r="BM2564" s="99"/>
      <c r="BN2564" s="99"/>
    </row>
    <row r="2565" spans="1:66" s="51" customFormat="1" ht="15.75" x14ac:dyDescent="0.25">
      <c r="A2565" s="634">
        <v>15</v>
      </c>
      <c r="B2565" s="635" t="s">
        <v>291</v>
      </c>
      <c r="C2565" s="636" t="s">
        <v>3234</v>
      </c>
      <c r="D2565" s="637" t="s">
        <v>311</v>
      </c>
      <c r="E2565" s="638">
        <v>164.95</v>
      </c>
      <c r="F2565" s="639" t="s">
        <v>292</v>
      </c>
      <c r="G2565" s="484">
        <v>0</v>
      </c>
      <c r="H2565" s="691" t="str">
        <f>IF(G2565=0,"",IF(F2565="Buy",IF(G2565=1,"plant","plants"),IF(F2565&gt;0.01,"warranty","Error")))</f>
        <v/>
      </c>
      <c r="I2565" s="640">
        <f>IF(H2565="free",0,IF(H2565="credit",((E2565*(F2565))*G2565*-1),IF(F2565="Buy",(E2565*G2565),((E2565*(1-F2565))*G2565))))</f>
        <v>0</v>
      </c>
      <c r="J2565" s="640">
        <f>IF(H2565="warranty",0,(I2565*(_xlfn.SINGLE(SalesTaxPercentage))))</f>
        <v>0</v>
      </c>
      <c r="K2565" s="716">
        <f t="shared" ref="K2565" si="1927">I2565+J2565</f>
        <v>0</v>
      </c>
      <c r="L2565" s="716"/>
      <c r="M2565" s="689" t="str">
        <f ca="1">IF(AND(G2565&gt;0,E2565=0),"WARNING - no PRICE inserted",IF(H2565="free","FREE ~ no charge this plant",IF(H2565="credit",CONCATENATE("-$",ROUND(K2565*(1-_xlfn.SINGLE(T2GDiscount))*-1,2)," CREDIT after discount"),IF(_xlfn.SINGLE(T2GDiscount)=0,"",IF(G2565=0,"",IF(F2565="Buy",CONCATENATE("$",ROUND(K2565*(1-_xlfn.SINGLE(T2GDiscount)),2)," with ",(_xlfn.SINGLE(T2GDiscount)*100),"% discount"),CONCATENATE("$",ROUND(K2565*(1-_xlfn.SINGLE(T2GDiscount)),2)," with ",((_xlfn.SINGLE(T2GDiscount)*100+F2565*100)-(_xlfn.SINGLE(T2GDiscount)*100*F2565)),IF(F2565&gt;0,"% discounts",IF(_xlfn.SINGLE(NoWarrantyDiscount)&gt;0,"% discounts","% discount")))))))))</f>
        <v/>
      </c>
      <c r="N2565" s="690"/>
      <c r="O2565" s="486"/>
      <c r="P2565" s="486"/>
      <c r="Q2565" s="486"/>
      <c r="R2565" s="486"/>
      <c r="S2565" s="486"/>
      <c r="T2565" s="102">
        <f t="shared" si="1882"/>
        <v>0</v>
      </c>
      <c r="U2565" s="78">
        <f>IF(NOT(ISNUMBER(G2565)), "", VLOOKUP(A2565,'Discount Lookup'!D:E,2,FALSE)*G2565)</f>
        <v>0</v>
      </c>
      <c r="V2565" s="78">
        <f>IF(NOT(ISNUMBER(G2565)), "", VLOOKUP(A2565,'Discount Lookup'!G:H,2,FALSE)*G2565)</f>
        <v>0</v>
      </c>
      <c r="W2565" s="102">
        <f t="shared" si="1883"/>
        <v>0</v>
      </c>
      <c r="X2565" s="102">
        <f t="shared" si="1884"/>
        <v>0</v>
      </c>
      <c r="Y2565" s="120" t="b">
        <f t="shared" si="1885"/>
        <v>0</v>
      </c>
      <c r="Z2565" s="117">
        <f t="shared" si="1886"/>
        <v>0</v>
      </c>
      <c r="AA2565" s="118"/>
      <c r="AB2565" s="118" t="str">
        <f t="shared" si="1887"/>
        <v/>
      </c>
      <c r="AC2565" s="712" t="str">
        <f>IF(AE2565="T2G","no charge",IF(AND(OR(PlanterYesMe="No",PlanterYesMe="N",PlanterYesMe="me"),H2565=""),"",IF(H2565="credit","NO install",IF(AND(K2565="",AE2565="me"),"EACH row",IF(AND(K2565="images",AE2565="me"),"EACH row",IF(D2565="","",IF(H2565="credit","",IF(AE2565="free","re-planting",IF(AE2565="me","   not ELP, by",IF(AND(OR(PlanterYesMe="Yes",PlanterYesMe="Y"),G2565&gt;0),(VLOOKUP(A2565,'Discount Lookup'!J:K,2)*G2565*(1-PlanterDiscount)*(1+PlanterDifficultyPercentage)),IF(AE2565="ELP",(VLOOKUP(A2565,'Discount Lookup'!J:K,2)*G2565*(1-PlanterDiscount)*(1+PlanterDifficultyPercentage)),IF(AE2565="free","re-planting",IF(G2565=0,"",IF(PlanterYesMe="",IF(AE2565="me","   not ELP, by",IF(AE2565="",IF(G2565&gt;0,(VLOOKUP(A2565,'Discount Lookup'!J:K,2)*G2565*(1-PlanterDiscount)*(1+PlanterDifficultyPercentage)),""),"")),"   not ELP, by"))))))))))))))</f>
        <v/>
      </c>
      <c r="AD2565" s="712"/>
      <c r="AE2565" s="513" t="str">
        <f t="shared" si="1888"/>
        <v/>
      </c>
      <c r="AF2565" s="713" t="str">
        <f t="shared" si="1889"/>
        <v/>
      </c>
      <c r="AG2565" s="713"/>
      <c r="AH2565" s="713"/>
      <c r="AI2565" s="112">
        <f>IF(H2565="credit",0,IF(AE2565="free",0,IF(AE2565="me",0,IF(G2565&gt;0,(VLOOKUP(A2565,'Discount Lookup'!J:K,2)*G2565),0))))</f>
        <v>0</v>
      </c>
      <c r="AJ2565" s="107" t="str">
        <f t="shared" ca="1" si="1890"/>
        <v/>
      </c>
      <c r="AK2565" s="714" t="str">
        <f t="shared" si="1891"/>
        <v/>
      </c>
      <c r="AL2565" s="714"/>
      <c r="AM2565" s="114" t="str">
        <f t="shared" si="1892"/>
        <v/>
      </c>
      <c r="AN2565" s="115"/>
      <c r="AO2565" s="116"/>
      <c r="AP2565" s="116"/>
      <c r="AQ2565" s="116"/>
      <c r="AR2565" s="116"/>
      <c r="AS2565" s="116"/>
      <c r="AT2565" s="116"/>
      <c r="AU2565" s="116"/>
      <c r="AV2565" s="78"/>
      <c r="AW2565" s="102"/>
      <c r="AX2565" s="78"/>
      <c r="AY2565" s="78"/>
      <c r="AZ2565" s="78"/>
      <c r="BA2565" s="78"/>
      <c r="BB2565" s="78"/>
      <c r="BC2565" s="78"/>
      <c r="BD2565" s="78"/>
      <c r="BE2565" s="465"/>
      <c r="BF2565" s="165" t="str">
        <f t="shared" si="1893"/>
        <v>https://www.google.com/search?tbm=isch&amp;q=15%20G5</v>
      </c>
      <c r="BG2565" s="165" t="str">
        <f t="shared" si="1894"/>
        <v>L</v>
      </c>
      <c r="BH2565" s="65"/>
      <c r="BI2565" s="65"/>
      <c r="BJ2565" s="65"/>
      <c r="BK2565" s="65"/>
      <c r="BL2565" s="99"/>
      <c r="BM2565" s="99"/>
      <c r="BN2565" s="99"/>
    </row>
    <row r="2566" spans="1:66" s="51" customFormat="1" ht="15.75" x14ac:dyDescent="0.25">
      <c r="A2566" s="634">
        <v>20</v>
      </c>
      <c r="B2566" s="635" t="s">
        <v>291</v>
      </c>
      <c r="C2566" s="636" t="s">
        <v>3235</v>
      </c>
      <c r="D2566" s="637" t="s">
        <v>309</v>
      </c>
      <c r="E2566" s="638">
        <v>224.95</v>
      </c>
      <c r="F2566" s="639" t="s">
        <v>292</v>
      </c>
      <c r="G2566" s="484">
        <v>0</v>
      </c>
      <c r="H2566" s="691" t="str">
        <f>IF(G2566=0,"",IF(F2566="Buy",IF(G2566=1,"plant","plants"),IF(F2566&gt;0.01,"warranty","Error")))</f>
        <v/>
      </c>
      <c r="I2566" s="640">
        <f>IF(H2566="free",0,IF(H2566="credit",((E2566*(F2566))*G2566*-1),IF(F2566="Buy",(E2566*G2566),((E2566*(1-F2566))*G2566))))</f>
        <v>0</v>
      </c>
      <c r="J2566" s="640">
        <f>IF(H2566="warranty",0,(I2566*(_xlfn.SINGLE(SalesTaxPercentage))))</f>
        <v>0</v>
      </c>
      <c r="K2566" s="716">
        <f t="shared" ref="K2566" si="1928">I2566+J2566</f>
        <v>0</v>
      </c>
      <c r="L2566" s="716"/>
      <c r="M2566" s="689" t="str">
        <f ca="1">IF(AND(G2566&gt;0,E2566=0),"WARNING - no PRICE inserted",IF(H2566="free","FREE ~ no charge this plant",IF(H2566="credit",CONCATENATE("-$",ROUND(K2566*(1-_xlfn.SINGLE(T2GDiscount))*-1,2)," CREDIT after discount"),IF(_xlfn.SINGLE(T2GDiscount)=0,"",IF(G2566=0,"",IF(F2566="Buy",CONCATENATE("$",ROUND(K2566*(1-_xlfn.SINGLE(T2GDiscount)),2)," with ",(_xlfn.SINGLE(T2GDiscount)*100),"% discount"),CONCATENATE("$",ROUND(K2566*(1-_xlfn.SINGLE(T2GDiscount)),2)," with ",((_xlfn.SINGLE(T2GDiscount)*100+F2566*100)-(_xlfn.SINGLE(T2GDiscount)*100*F2566)),IF(F2566&gt;0,"% discounts",IF(_xlfn.SINGLE(NoWarrantyDiscount)&gt;0,"% discounts","% discount")))))))))</f>
        <v/>
      </c>
      <c r="N2566" s="690"/>
      <c r="O2566" s="486"/>
      <c r="P2566" s="486"/>
      <c r="Q2566" s="486"/>
      <c r="R2566" s="486"/>
      <c r="S2566" s="486"/>
      <c r="T2566" s="102">
        <f t="shared" si="1882"/>
        <v>0</v>
      </c>
      <c r="U2566" s="78">
        <f>IF(NOT(ISNUMBER(G2566)), "", VLOOKUP(A2566,'Discount Lookup'!D:E,2,FALSE)*G2566)</f>
        <v>0</v>
      </c>
      <c r="V2566" s="78">
        <f>IF(NOT(ISNUMBER(G2566)), "", VLOOKUP(A2566,'Discount Lookup'!G:H,2,FALSE)*G2566)</f>
        <v>0</v>
      </c>
      <c r="W2566" s="102">
        <f t="shared" si="1883"/>
        <v>0</v>
      </c>
      <c r="X2566" s="102">
        <f t="shared" si="1884"/>
        <v>0</v>
      </c>
      <c r="Y2566" s="120" t="b">
        <f t="shared" si="1885"/>
        <v>0</v>
      </c>
      <c r="Z2566" s="117">
        <f t="shared" si="1886"/>
        <v>0</v>
      </c>
      <c r="AA2566" s="118"/>
      <c r="AB2566" s="118" t="str">
        <f t="shared" si="1887"/>
        <v/>
      </c>
      <c r="AC2566" s="712" t="str">
        <f>IF(AE2566="T2G","no charge",IF(AND(OR(PlanterYesMe="No",PlanterYesMe="N",PlanterYesMe="me"),H2566=""),"",IF(H2566="credit","NO install",IF(AND(K2566="",AE2566="me"),"EACH row",IF(AND(K2566="images",AE2566="me"),"EACH row",IF(D2566="","",IF(H2566="credit","",IF(AE2566="free","re-planting",IF(AE2566="me","   not ELP, by",IF(AND(OR(PlanterYesMe="Yes",PlanterYesMe="Y"),G2566&gt;0),(VLOOKUP(A2566,'Discount Lookup'!J:K,2)*G2566*(1-PlanterDiscount)*(1+PlanterDifficultyPercentage)),IF(AE2566="ELP",(VLOOKUP(A2566,'Discount Lookup'!J:K,2)*G2566*(1-PlanterDiscount)*(1+PlanterDifficultyPercentage)),IF(AE2566="free","re-planting",IF(G2566=0,"",IF(PlanterYesMe="",IF(AE2566="me","   not ELP, by",IF(AE2566="",IF(G2566&gt;0,(VLOOKUP(A2566,'Discount Lookup'!J:K,2)*G2566*(1-PlanterDiscount)*(1+PlanterDifficultyPercentage)),""),"")),"   not ELP, by"))))))))))))))</f>
        <v/>
      </c>
      <c r="AD2566" s="712"/>
      <c r="AE2566" s="513" t="str">
        <f t="shared" si="1888"/>
        <v/>
      </c>
      <c r="AF2566" s="713" t="str">
        <f t="shared" si="1889"/>
        <v/>
      </c>
      <c r="AG2566" s="713"/>
      <c r="AH2566" s="713"/>
      <c r="AI2566" s="112">
        <f>IF(H2566="credit",0,IF(AE2566="free",0,IF(AE2566="me",0,IF(G2566&gt;0,(VLOOKUP(A2566,'Discount Lookup'!J:K,2)*G2566),0))))</f>
        <v>0</v>
      </c>
      <c r="AJ2566" s="107" t="str">
        <f t="shared" ca="1" si="1890"/>
        <v/>
      </c>
      <c r="AK2566" s="714" t="str">
        <f t="shared" si="1891"/>
        <v/>
      </c>
      <c r="AL2566" s="714"/>
      <c r="AM2566" s="114" t="str">
        <f t="shared" si="1892"/>
        <v/>
      </c>
      <c r="AN2566" s="115"/>
      <c r="AO2566" s="116"/>
      <c r="AP2566" s="116"/>
      <c r="AQ2566" s="116"/>
      <c r="AR2566" s="116"/>
      <c r="AS2566" s="116"/>
      <c r="AT2566" s="116"/>
      <c r="AU2566" s="116"/>
      <c r="AV2566" s="78"/>
      <c r="AW2566" s="102"/>
      <c r="AX2566" s="78"/>
      <c r="AY2566" s="78"/>
      <c r="AZ2566" s="78"/>
      <c r="BA2566" s="78"/>
      <c r="BB2566" s="78"/>
      <c r="BC2566" s="78"/>
      <c r="BD2566" s="78"/>
      <c r="BE2566" s="465"/>
      <c r="BF2566" s="165" t="str">
        <f t="shared" si="1893"/>
        <v>https://www.google.com/search?tbm=isch&amp;q=20%20G3</v>
      </c>
      <c r="BG2566" s="165" t="str">
        <f t="shared" si="1894"/>
        <v>L</v>
      </c>
      <c r="BH2566" s="65"/>
      <c r="BI2566" s="65"/>
      <c r="BJ2566" s="65"/>
      <c r="BK2566" s="65"/>
      <c r="BL2566" s="99"/>
      <c r="BM2566" s="99"/>
      <c r="BN2566" s="99"/>
    </row>
    <row r="2567" spans="1:66" s="51" customFormat="1" ht="17.25" thickBot="1" x14ac:dyDescent="0.3">
      <c r="A2567" s="641" t="s">
        <v>3236</v>
      </c>
      <c r="B2567" s="642"/>
      <c r="C2567" s="710"/>
      <c r="D2567" s="643"/>
      <c r="E2567" s="643"/>
      <c r="F2567" s="644"/>
      <c r="G2567" s="645"/>
      <c r="H2567" s="646"/>
      <c r="I2567" s="647"/>
      <c r="J2567" s="648"/>
      <c r="K2567" s="649"/>
      <c r="L2567" s="650"/>
      <c r="M2567" s="650"/>
      <c r="N2567" s="644"/>
      <c r="O2567" s="644"/>
      <c r="P2567" s="644"/>
      <c r="Q2567" s="644"/>
      <c r="R2567" s="644"/>
      <c r="S2567" s="651"/>
      <c r="T2567" s="102">
        <f t="shared" si="1882"/>
        <v>0</v>
      </c>
      <c r="U2567" s="78" t="str">
        <f>IF(NOT(ISNUMBER(G2567)), "", VLOOKUP(A2567,'Discount Lookup'!D:E,2,FALSE)*G2567)</f>
        <v/>
      </c>
      <c r="V2567" s="78" t="str">
        <f>IF(NOT(ISNUMBER(G2567)), "", VLOOKUP(A2567,'Discount Lookup'!G:H,2,FALSE)*G2567)</f>
        <v/>
      </c>
      <c r="W2567" s="102">
        <f t="shared" si="1883"/>
        <v>0</v>
      </c>
      <c r="X2567" s="102">
        <f t="shared" si="1884"/>
        <v>0</v>
      </c>
      <c r="Y2567" s="120" t="b">
        <f t="shared" si="1885"/>
        <v>0</v>
      </c>
      <c r="Z2567" s="117">
        <f t="shared" si="1886"/>
        <v>0</v>
      </c>
      <c r="AA2567" s="118"/>
      <c r="AB2567" s="118" t="str">
        <f t="shared" si="1887"/>
        <v/>
      </c>
      <c r="AC2567" s="712" t="str">
        <f>IF(AE2567="T2G","no charge",IF(AND(OR(PlanterYesMe="No",PlanterYesMe="N",PlanterYesMe="me"),H2567=""),"",IF(H2567="credit","NO install",IF(AND(K2567="",AE2567="me"),"EACH row",IF(AND(K2567="images",AE2567="me"),"EACH row",IF(D2567="","",IF(H2567="credit","",IF(AE2567="free","re-planting",IF(AE2567="me","   not ELP, by",IF(AND(OR(PlanterYesMe="Yes",PlanterYesMe="Y"),G2567&gt;0),(VLOOKUP(A2567,'Discount Lookup'!J:K,2)*G2567*(1-PlanterDiscount)*(1+PlanterDifficultyPercentage)),IF(AE2567="ELP",(VLOOKUP(A2567,'Discount Lookup'!J:K,2)*G2567*(1-PlanterDiscount)*(1+PlanterDifficultyPercentage)),IF(AE2567="free","re-planting",IF(G2567=0,"",IF(PlanterYesMe="",IF(AE2567="me","   not ELP, by",IF(AE2567="",IF(G2567&gt;0,(VLOOKUP(A2567,'Discount Lookup'!J:K,2)*G2567*(1-PlanterDiscount)*(1+PlanterDifficultyPercentage)),""),"")),"   not ELP, by"))))))))))))))</f>
        <v/>
      </c>
      <c r="AD2567" s="712"/>
      <c r="AE2567" s="513" t="str">
        <f t="shared" si="1888"/>
        <v/>
      </c>
      <c r="AF2567" s="713" t="str">
        <f t="shared" si="1889"/>
        <v/>
      </c>
      <c r="AG2567" s="713"/>
      <c r="AH2567" s="713"/>
      <c r="AI2567" s="112">
        <f>IF(H2567="credit",0,IF(AE2567="free",0,IF(AE2567="me",0,IF(G2567&gt;0,(VLOOKUP(A2567,'Discount Lookup'!J:K,2)*G2567),0))))</f>
        <v>0</v>
      </c>
      <c r="AJ2567" s="107" t="str">
        <f t="shared" ca="1" si="1890"/>
        <v/>
      </c>
      <c r="AK2567" s="714" t="str">
        <f t="shared" si="1891"/>
        <v/>
      </c>
      <c r="AL2567" s="714"/>
      <c r="AM2567" s="114" t="str">
        <f t="shared" si="1892"/>
        <v/>
      </c>
      <c r="AN2567" s="115"/>
      <c r="AO2567" s="116"/>
      <c r="AP2567" s="116"/>
      <c r="AQ2567" s="116"/>
      <c r="AR2567" s="116"/>
      <c r="AS2567" s="116"/>
      <c r="AT2567" s="116"/>
      <c r="AU2567" s="116"/>
      <c r="AV2567" s="78"/>
      <c r="AW2567" s="102"/>
      <c r="AX2567" s="78"/>
      <c r="AY2567" s="78"/>
      <c r="AZ2567" s="78"/>
      <c r="BA2567" s="78"/>
      <c r="BB2567" s="78"/>
      <c r="BC2567" s="78"/>
      <c r="BD2567" s="78"/>
      <c r="BE2567" s="465"/>
      <c r="BF2567" s="165" t="str">
        <f t="shared" si="1893"/>
        <v>https://www.google.com/search?tbm=isch&amp;q=Sioux%20foliage%20emerges%20dark%20green%2C%20then%20turns%20to%20shades%20of%20red%20%26%20purple%20in%20fall.%20Bark%20exfoliates%20to%20dark%20brown%20</v>
      </c>
      <c r="BG2567" s="165" t="str">
        <f t="shared" si="1894"/>
        <v>S</v>
      </c>
      <c r="BH2567" s="65"/>
      <c r="BI2567" s="65"/>
      <c r="BJ2567" s="65"/>
      <c r="BK2567" s="65"/>
      <c r="BL2567" s="99"/>
      <c r="BM2567" s="99"/>
      <c r="BN2567" s="99"/>
    </row>
    <row r="2568" spans="1:66" s="51" customFormat="1" ht="18" x14ac:dyDescent="0.25">
      <c r="A2568" s="623" t="s">
        <v>3237</v>
      </c>
      <c r="B2568" s="624"/>
      <c r="C2568" s="709"/>
      <c r="D2568" s="625" t="s">
        <v>3238</v>
      </c>
      <c r="E2568" s="626"/>
      <c r="F2568" s="626"/>
      <c r="G2568" s="626"/>
      <c r="H2568" s="622" t="s">
        <v>331</v>
      </c>
      <c r="I2568" s="627" t="s">
        <v>5070</v>
      </c>
      <c r="J2568" s="628"/>
      <c r="K2568" s="628"/>
      <c r="L2568" s="629"/>
      <c r="M2568" s="700" t="s">
        <v>5241</v>
      </c>
      <c r="N2568" s="693" t="str">
        <f>IF(AND(ISTEXT($A2568), ISERROR($A2568+0)), HYPERLINK($BF2568, "Images"), "")</f>
        <v>Images</v>
      </c>
      <c r="O2568" s="695" t="s">
        <v>5247</v>
      </c>
      <c r="P2568" s="630"/>
      <c r="Q2568" s="631"/>
      <c r="R2568" s="632"/>
      <c r="S2568" s="633"/>
      <c r="T2568" s="102">
        <f t="shared" si="1882"/>
        <v>0</v>
      </c>
      <c r="U2568" s="78" t="str">
        <f>IF(NOT(ISNUMBER(G2568)), "", VLOOKUP(A2568,'Discount Lookup'!D:E,2,FALSE)*G2568)</f>
        <v/>
      </c>
      <c r="V2568" s="78" t="str">
        <f>IF(NOT(ISNUMBER(G2568)), "", VLOOKUP(A2568,'Discount Lookup'!G:H,2,FALSE)*G2568)</f>
        <v/>
      </c>
      <c r="W2568" s="102">
        <f t="shared" si="1883"/>
        <v>0</v>
      </c>
      <c r="X2568" s="102" t="str">
        <f t="shared" si="1884"/>
        <v>Fuchsia-Red to Magenta bloom</v>
      </c>
      <c r="Y2568" s="120" t="b">
        <f t="shared" si="1885"/>
        <v>0</v>
      </c>
      <c r="Z2568" s="117">
        <f t="shared" si="1886"/>
        <v>0</v>
      </c>
      <c r="AA2568" s="118"/>
      <c r="AB2568" s="118" t="str">
        <f t="shared" si="1887"/>
        <v/>
      </c>
      <c r="AC2568" s="712" t="str">
        <f>IF(AE2568="T2G","no charge",IF(AND(OR(PlanterYesMe="No",PlanterYesMe="N",PlanterYesMe="me"),H2568=""),"",IF(H2568="credit","NO install",IF(AND(K2568="",AE2568="me"),"EACH row",IF(AND(K2568="images",AE2568="me"),"EACH row",IF(D2568="","",IF(H2568="credit","",IF(AE2568="free","re-planting",IF(AE2568="me","   not ELP, by",IF(AND(OR(PlanterYesMe="Yes",PlanterYesMe="Y"),G2568&gt;0),(VLOOKUP(A2568,'Discount Lookup'!J:K,2)*G2568*(1-PlanterDiscount)*(1+PlanterDifficultyPercentage)),IF(AE2568="ELP",(VLOOKUP(A2568,'Discount Lookup'!J:K,2)*G2568*(1-PlanterDiscount)*(1+PlanterDifficultyPercentage)),IF(AE2568="free","re-planting",IF(G2568=0,"",IF(PlanterYesMe="",IF(AE2568="me","   not ELP, by",IF(AE2568="",IF(G2568&gt;0,(VLOOKUP(A2568,'Discount Lookup'!J:K,2)*G2568*(1-PlanterDiscount)*(1+PlanterDifficultyPercentage)),""),"")),"   not ELP, by"))))))))))))))</f>
        <v/>
      </c>
      <c r="AD2568" s="712"/>
      <c r="AE2568" s="513" t="str">
        <f t="shared" si="1888"/>
        <v/>
      </c>
      <c r="AF2568" s="713" t="str">
        <f t="shared" si="1889"/>
        <v/>
      </c>
      <c r="AG2568" s="713"/>
      <c r="AH2568" s="713"/>
      <c r="AI2568" s="112">
        <f>IF(H2568="credit",0,IF(AE2568="free",0,IF(AE2568="me",0,IF(G2568&gt;0,(VLOOKUP(A2568,'Discount Lookup'!J:K,2)*G2568),0))))</f>
        <v>0</v>
      </c>
      <c r="AJ2568" s="107" t="str">
        <f t="shared" ca="1" si="1890"/>
        <v/>
      </c>
      <c r="AK2568" s="714" t="str">
        <f t="shared" si="1891"/>
        <v/>
      </c>
      <c r="AL2568" s="714"/>
      <c r="AM2568" s="114" t="str">
        <f t="shared" si="1892"/>
        <v/>
      </c>
      <c r="AN2568" s="115"/>
      <c r="AO2568" s="116"/>
      <c r="AP2568" s="116"/>
      <c r="AQ2568" s="116"/>
      <c r="AR2568" s="116"/>
      <c r="AS2568" s="116"/>
      <c r="AT2568" s="116"/>
      <c r="AU2568" s="116"/>
      <c r="AV2568" s="78"/>
      <c r="AW2568" s="102"/>
      <c r="AX2568" s="78"/>
      <c r="AY2568" s="78"/>
      <c r="AZ2568" s="78"/>
      <c r="BA2568" s="78"/>
      <c r="BB2568" s="78"/>
      <c r="BC2568" s="78"/>
      <c r="BD2568" s="78"/>
      <c r="BE2568" s="465"/>
      <c r="BF2568" s="165" t="str">
        <f t="shared" si="1893"/>
        <v>https://www.google.com/search?tbm=isch&amp;q=Lagerstroemia%20indica%20x%20fauriei%20%27Tonto%27%20Tonto%20Crape%20Myrtle</v>
      </c>
      <c r="BG2568" s="165" t="str">
        <f t="shared" si="1894"/>
        <v>L</v>
      </c>
      <c r="BH2568" s="65"/>
      <c r="BI2568" s="65"/>
      <c r="BJ2568" s="65"/>
      <c r="BK2568" s="65"/>
      <c r="BL2568" s="99"/>
      <c r="BM2568" s="99"/>
      <c r="BN2568" s="99"/>
    </row>
    <row r="2569" spans="1:66" s="51" customFormat="1" ht="15.75" x14ac:dyDescent="0.25">
      <c r="A2569" s="634">
        <v>10</v>
      </c>
      <c r="B2569" s="635" t="s">
        <v>291</v>
      </c>
      <c r="C2569" s="636" t="s">
        <v>3239</v>
      </c>
      <c r="D2569" s="637" t="s">
        <v>309</v>
      </c>
      <c r="E2569" s="638">
        <v>83.95</v>
      </c>
      <c r="F2569" s="639" t="s">
        <v>292</v>
      </c>
      <c r="G2569" s="484">
        <v>0</v>
      </c>
      <c r="H2569" s="691" t="str">
        <f>IF(G2569=0,"",IF(F2569="Buy",IF(G2569=1,"plant","plants"),IF(F2569&gt;0.01,"warranty","Error")))</f>
        <v/>
      </c>
      <c r="I2569" s="640">
        <f>IF(H2569="free",0,IF(H2569="credit",((E2569*(F2569))*G2569*-1),IF(F2569="Buy",(E2569*G2569),((E2569*(1-F2569))*G2569))))</f>
        <v>0</v>
      </c>
      <c r="J2569" s="640">
        <f>IF(H2569="warranty",0,(I2569*(_xlfn.SINGLE(SalesTaxPercentage))))</f>
        <v>0</v>
      </c>
      <c r="K2569" s="716">
        <f t="shared" ref="K2569" si="1929">I2569+J2569</f>
        <v>0</v>
      </c>
      <c r="L2569" s="716"/>
      <c r="M2569" s="689" t="str">
        <f ca="1">IF(AND(G2569&gt;0,E2569=0),"WARNING - no PRICE inserted",IF(H2569="free","FREE ~ no charge this plant",IF(H2569="credit",CONCATENATE("-$",ROUND(K2569*(1-_xlfn.SINGLE(T2GDiscount))*-1,2)," CREDIT after discount"),IF(_xlfn.SINGLE(T2GDiscount)=0,"",IF(G2569=0,"",IF(F2569="Buy",CONCATENATE("$",ROUND(K2569*(1-_xlfn.SINGLE(T2GDiscount)),2)," with ",(_xlfn.SINGLE(T2GDiscount)*100),"% discount"),CONCATENATE("$",ROUND(K2569*(1-_xlfn.SINGLE(T2GDiscount)),2)," with ",((_xlfn.SINGLE(T2GDiscount)*100+F2569*100)-(_xlfn.SINGLE(T2GDiscount)*100*F2569)),IF(F2569&gt;0,"% discounts",IF(_xlfn.SINGLE(NoWarrantyDiscount)&gt;0,"% discounts","% discount")))))))))</f>
        <v/>
      </c>
      <c r="N2569" s="690"/>
      <c r="O2569" s="486"/>
      <c r="P2569" s="486"/>
      <c r="Q2569" s="486"/>
      <c r="R2569" s="486"/>
      <c r="S2569" s="486"/>
      <c r="T2569" s="102">
        <f t="shared" si="1882"/>
        <v>0</v>
      </c>
      <c r="U2569" s="78">
        <f>IF(NOT(ISNUMBER(G2569)), "", VLOOKUP(A2569,'Discount Lookup'!D:E,2,FALSE)*G2569)</f>
        <v>0</v>
      </c>
      <c r="V2569" s="78">
        <f>IF(NOT(ISNUMBER(G2569)), "", VLOOKUP(A2569,'Discount Lookup'!G:H,2,FALSE)*G2569)</f>
        <v>0</v>
      </c>
      <c r="W2569" s="102">
        <f t="shared" si="1883"/>
        <v>0</v>
      </c>
      <c r="X2569" s="102">
        <f t="shared" si="1884"/>
        <v>0</v>
      </c>
      <c r="Y2569" s="120" t="b">
        <f t="shared" si="1885"/>
        <v>0</v>
      </c>
      <c r="Z2569" s="117">
        <f t="shared" si="1886"/>
        <v>0</v>
      </c>
      <c r="AA2569" s="118"/>
      <c r="AB2569" s="118" t="str">
        <f t="shared" si="1887"/>
        <v/>
      </c>
      <c r="AC2569" s="712" t="str">
        <f>IF(AE2569="T2G","no charge",IF(AND(OR(PlanterYesMe="No",PlanterYesMe="N",PlanterYesMe="me"),H2569=""),"",IF(H2569="credit","NO install",IF(AND(K2569="",AE2569="me"),"EACH row",IF(AND(K2569="images",AE2569="me"),"EACH row",IF(D2569="","",IF(H2569="credit","",IF(AE2569="free","re-planting",IF(AE2569="me","   not ELP, by",IF(AND(OR(PlanterYesMe="Yes",PlanterYesMe="Y"),G2569&gt;0),(VLOOKUP(A2569,'Discount Lookup'!J:K,2)*G2569*(1-PlanterDiscount)*(1+PlanterDifficultyPercentage)),IF(AE2569="ELP",(VLOOKUP(A2569,'Discount Lookup'!J:K,2)*G2569*(1-PlanterDiscount)*(1+PlanterDifficultyPercentage)),IF(AE2569="free","re-planting",IF(G2569=0,"",IF(PlanterYesMe="",IF(AE2569="me","   not ELP, by",IF(AE2569="",IF(G2569&gt;0,(VLOOKUP(A2569,'Discount Lookup'!J:K,2)*G2569*(1-PlanterDiscount)*(1+PlanterDifficultyPercentage)),""),"")),"   not ELP, by"))))))))))))))</f>
        <v/>
      </c>
      <c r="AD2569" s="712"/>
      <c r="AE2569" s="513" t="str">
        <f t="shared" si="1888"/>
        <v/>
      </c>
      <c r="AF2569" s="713" t="str">
        <f t="shared" si="1889"/>
        <v/>
      </c>
      <c r="AG2569" s="713"/>
      <c r="AH2569" s="713"/>
      <c r="AI2569" s="112">
        <f>IF(H2569="credit",0,IF(AE2569="free",0,IF(AE2569="me",0,IF(G2569&gt;0,(VLOOKUP(A2569,'Discount Lookup'!J:K,2)*G2569),0))))</f>
        <v>0</v>
      </c>
      <c r="AJ2569" s="107" t="str">
        <f t="shared" ca="1" si="1890"/>
        <v/>
      </c>
      <c r="AK2569" s="714" t="str">
        <f t="shared" si="1891"/>
        <v/>
      </c>
      <c r="AL2569" s="714"/>
      <c r="AM2569" s="114" t="str">
        <f t="shared" si="1892"/>
        <v/>
      </c>
      <c r="AN2569" s="115"/>
      <c r="AO2569" s="116"/>
      <c r="AP2569" s="116"/>
      <c r="AQ2569" s="116"/>
      <c r="AR2569" s="116"/>
      <c r="AS2569" s="116"/>
      <c r="AT2569" s="116"/>
      <c r="AU2569" s="116"/>
      <c r="AV2569" s="78"/>
      <c r="AW2569" s="102"/>
      <c r="AX2569" s="78"/>
      <c r="AY2569" s="78"/>
      <c r="AZ2569" s="78"/>
      <c r="BA2569" s="78"/>
      <c r="BB2569" s="78"/>
      <c r="BC2569" s="78"/>
      <c r="BD2569" s="78"/>
      <c r="BE2569" s="465"/>
      <c r="BF2569" s="165" t="str">
        <f t="shared" si="1893"/>
        <v>https://www.google.com/search?tbm=isch&amp;q=10%20G3</v>
      </c>
      <c r="BG2569" s="165" t="str">
        <f t="shared" si="1894"/>
        <v>L</v>
      </c>
      <c r="BH2569" s="65"/>
      <c r="BI2569" s="65"/>
      <c r="BJ2569" s="65"/>
      <c r="BK2569" s="65"/>
      <c r="BL2569" s="99"/>
      <c r="BM2569" s="99"/>
      <c r="BN2569" s="99"/>
    </row>
    <row r="2570" spans="1:66" s="51" customFormat="1" ht="15.75" x14ac:dyDescent="0.25">
      <c r="A2570" s="634">
        <v>15</v>
      </c>
      <c r="B2570" s="635" t="s">
        <v>291</v>
      </c>
      <c r="C2570" s="636" t="s">
        <v>3240</v>
      </c>
      <c r="D2570" s="637" t="s">
        <v>311</v>
      </c>
      <c r="E2570" s="638">
        <v>164.95</v>
      </c>
      <c r="F2570" s="639" t="s">
        <v>292</v>
      </c>
      <c r="G2570" s="484">
        <v>0</v>
      </c>
      <c r="H2570" s="691" t="str">
        <f>IF(G2570=0,"",IF(F2570="Buy",IF(G2570=1,"plant","plants"),IF(F2570&gt;0.01,"warranty","Error")))</f>
        <v/>
      </c>
      <c r="I2570" s="640">
        <f>IF(H2570="free",0,IF(H2570="credit",((E2570*(F2570))*G2570*-1),IF(F2570="Buy",(E2570*G2570),((E2570*(1-F2570))*G2570))))</f>
        <v>0</v>
      </c>
      <c r="J2570" s="640">
        <f>IF(H2570="warranty",0,(I2570*(_xlfn.SINGLE(SalesTaxPercentage))))</f>
        <v>0</v>
      </c>
      <c r="K2570" s="716">
        <f t="shared" ref="K2570" si="1930">I2570+J2570</f>
        <v>0</v>
      </c>
      <c r="L2570" s="716"/>
      <c r="M2570" s="689" t="str">
        <f ca="1">IF(AND(G2570&gt;0,E2570=0),"WARNING - no PRICE inserted",IF(H2570="free","FREE ~ no charge this plant",IF(H2570="credit",CONCATENATE("-$",ROUND(K2570*(1-_xlfn.SINGLE(T2GDiscount))*-1,2)," CREDIT after discount"),IF(_xlfn.SINGLE(T2GDiscount)=0,"",IF(G2570=0,"",IF(F2570="Buy",CONCATENATE("$",ROUND(K2570*(1-_xlfn.SINGLE(T2GDiscount)),2)," with ",(_xlfn.SINGLE(T2GDiscount)*100),"% discount"),CONCATENATE("$",ROUND(K2570*(1-_xlfn.SINGLE(T2GDiscount)),2)," with ",((_xlfn.SINGLE(T2GDiscount)*100+F2570*100)-(_xlfn.SINGLE(T2GDiscount)*100*F2570)),IF(F2570&gt;0,"% discounts",IF(_xlfn.SINGLE(NoWarrantyDiscount)&gt;0,"% discounts","% discount")))))))))</f>
        <v/>
      </c>
      <c r="N2570" s="690"/>
      <c r="O2570" s="486"/>
      <c r="P2570" s="486"/>
      <c r="Q2570" s="486"/>
      <c r="R2570" s="486"/>
      <c r="S2570" s="486"/>
      <c r="T2570" s="102">
        <f t="shared" si="1882"/>
        <v>0</v>
      </c>
      <c r="U2570" s="78">
        <f>IF(NOT(ISNUMBER(G2570)), "", VLOOKUP(A2570,'Discount Lookup'!D:E,2,FALSE)*G2570)</f>
        <v>0</v>
      </c>
      <c r="V2570" s="78">
        <f>IF(NOT(ISNUMBER(G2570)), "", VLOOKUP(A2570,'Discount Lookup'!G:H,2,FALSE)*G2570)</f>
        <v>0</v>
      </c>
      <c r="W2570" s="102">
        <f t="shared" si="1883"/>
        <v>0</v>
      </c>
      <c r="X2570" s="102">
        <f t="shared" si="1884"/>
        <v>0</v>
      </c>
      <c r="Y2570" s="120" t="b">
        <f t="shared" si="1885"/>
        <v>0</v>
      </c>
      <c r="Z2570" s="117">
        <f t="shared" si="1886"/>
        <v>0</v>
      </c>
      <c r="AA2570" s="118"/>
      <c r="AB2570" s="118" t="str">
        <f t="shared" si="1887"/>
        <v/>
      </c>
      <c r="AC2570" s="712" t="str">
        <f>IF(AE2570="T2G","no charge",IF(AND(OR(PlanterYesMe="No",PlanterYesMe="N",PlanterYesMe="me"),H2570=""),"",IF(H2570="credit","NO install",IF(AND(K2570="",AE2570="me"),"EACH row",IF(AND(K2570="images",AE2570="me"),"EACH row",IF(D2570="","",IF(H2570="credit","",IF(AE2570="free","re-planting",IF(AE2570="me","   not ELP, by",IF(AND(OR(PlanterYesMe="Yes",PlanterYesMe="Y"),G2570&gt;0),(VLOOKUP(A2570,'Discount Lookup'!J:K,2)*G2570*(1-PlanterDiscount)*(1+PlanterDifficultyPercentage)),IF(AE2570="ELP",(VLOOKUP(A2570,'Discount Lookup'!J:K,2)*G2570*(1-PlanterDiscount)*(1+PlanterDifficultyPercentage)),IF(AE2570="free","re-planting",IF(G2570=0,"",IF(PlanterYesMe="",IF(AE2570="me","   not ELP, by",IF(AE2570="",IF(G2570&gt;0,(VLOOKUP(A2570,'Discount Lookup'!J:K,2)*G2570*(1-PlanterDiscount)*(1+PlanterDifficultyPercentage)),""),"")),"   not ELP, by"))))))))))))))</f>
        <v/>
      </c>
      <c r="AD2570" s="712"/>
      <c r="AE2570" s="513" t="str">
        <f t="shared" si="1888"/>
        <v/>
      </c>
      <c r="AF2570" s="713" t="str">
        <f t="shared" si="1889"/>
        <v/>
      </c>
      <c r="AG2570" s="713"/>
      <c r="AH2570" s="713"/>
      <c r="AI2570" s="112">
        <f>IF(H2570="credit",0,IF(AE2570="free",0,IF(AE2570="me",0,IF(G2570&gt;0,(VLOOKUP(A2570,'Discount Lookup'!J:K,2)*G2570),0))))</f>
        <v>0</v>
      </c>
      <c r="AJ2570" s="107" t="str">
        <f t="shared" ca="1" si="1890"/>
        <v/>
      </c>
      <c r="AK2570" s="714" t="str">
        <f t="shared" si="1891"/>
        <v/>
      </c>
      <c r="AL2570" s="714"/>
      <c r="AM2570" s="114" t="str">
        <f t="shared" si="1892"/>
        <v/>
      </c>
      <c r="AN2570" s="115"/>
      <c r="AO2570" s="116"/>
      <c r="AP2570" s="116"/>
      <c r="AQ2570" s="116"/>
      <c r="AR2570" s="116"/>
      <c r="AS2570" s="116"/>
      <c r="AT2570" s="116"/>
      <c r="AU2570" s="116"/>
      <c r="AV2570" s="78"/>
      <c r="AW2570" s="102"/>
      <c r="AX2570" s="78"/>
      <c r="AY2570" s="78"/>
      <c r="AZ2570" s="78"/>
      <c r="BA2570" s="78"/>
      <c r="BB2570" s="78"/>
      <c r="BC2570" s="78"/>
      <c r="BD2570" s="78"/>
      <c r="BE2570" s="465"/>
      <c r="BF2570" s="165" t="str">
        <f t="shared" si="1893"/>
        <v>https://www.google.com/search?tbm=isch&amp;q=15%20G5</v>
      </c>
      <c r="BG2570" s="165" t="str">
        <f t="shared" si="1894"/>
        <v>L</v>
      </c>
      <c r="BH2570" s="65"/>
      <c r="BI2570" s="65"/>
      <c r="BJ2570" s="65"/>
      <c r="BK2570" s="65"/>
      <c r="BL2570" s="99"/>
      <c r="BM2570" s="99"/>
      <c r="BN2570" s="99"/>
    </row>
    <row r="2571" spans="1:66" s="51" customFormat="1" ht="15.75" x14ac:dyDescent="0.25">
      <c r="A2571" s="634">
        <v>15</v>
      </c>
      <c r="B2571" s="635" t="s">
        <v>291</v>
      </c>
      <c r="C2571" s="636" t="s">
        <v>3241</v>
      </c>
      <c r="D2571" s="637" t="s">
        <v>299</v>
      </c>
      <c r="E2571" s="638">
        <v>169.95</v>
      </c>
      <c r="F2571" s="639" t="s">
        <v>292</v>
      </c>
      <c r="G2571" s="484">
        <v>0</v>
      </c>
      <c r="H2571" s="691" t="str">
        <f>IF(G2571=0,"",IF(F2571="Buy",IF(G2571=1,"plant","plants"),IF(F2571&gt;0.01,"warranty","Error")))</f>
        <v/>
      </c>
      <c r="I2571" s="640">
        <f>IF(H2571="free",0,IF(H2571="credit",((E2571*(F2571))*G2571*-1),IF(F2571="Buy",(E2571*G2571),((E2571*(1-F2571))*G2571))))</f>
        <v>0</v>
      </c>
      <c r="J2571" s="640">
        <f>IF(H2571="warranty",0,(I2571*(_xlfn.SINGLE(SalesTaxPercentage))))</f>
        <v>0</v>
      </c>
      <c r="K2571" s="716">
        <f t="shared" ref="K2571" si="1931">I2571+J2571</f>
        <v>0</v>
      </c>
      <c r="L2571" s="716"/>
      <c r="M2571" s="689" t="str">
        <f ca="1">IF(AND(G2571&gt;0,E2571=0),"WARNING - no PRICE inserted",IF(H2571="free","FREE ~ no charge this plant",IF(H2571="credit",CONCATENATE("-$",ROUND(K2571*(1-_xlfn.SINGLE(T2GDiscount))*-1,2)," CREDIT after discount"),IF(_xlfn.SINGLE(T2GDiscount)=0,"",IF(G2571=0,"",IF(F2571="Buy",CONCATENATE("$",ROUND(K2571*(1-_xlfn.SINGLE(T2GDiscount)),2)," with ",(_xlfn.SINGLE(T2GDiscount)*100),"% discount"),CONCATENATE("$",ROUND(K2571*(1-_xlfn.SINGLE(T2GDiscount)),2)," with ",((_xlfn.SINGLE(T2GDiscount)*100+F2571*100)-(_xlfn.SINGLE(T2GDiscount)*100*F2571)),IF(F2571&gt;0,"% discounts",IF(_xlfn.SINGLE(NoWarrantyDiscount)&gt;0,"% discounts","% discount")))))))))</f>
        <v/>
      </c>
      <c r="N2571" s="690"/>
      <c r="O2571" s="486"/>
      <c r="P2571" s="486"/>
      <c r="Q2571" s="486"/>
      <c r="R2571" s="486"/>
      <c r="S2571" s="486"/>
      <c r="T2571" s="102">
        <f t="shared" si="1882"/>
        <v>0</v>
      </c>
      <c r="U2571" s="78">
        <f>IF(NOT(ISNUMBER(G2571)), "", VLOOKUP(A2571,'Discount Lookup'!D:E,2,FALSE)*G2571)</f>
        <v>0</v>
      </c>
      <c r="V2571" s="78">
        <f>IF(NOT(ISNUMBER(G2571)), "", VLOOKUP(A2571,'Discount Lookup'!G:H,2,FALSE)*G2571)</f>
        <v>0</v>
      </c>
      <c r="W2571" s="102">
        <f t="shared" si="1883"/>
        <v>0</v>
      </c>
      <c r="X2571" s="102">
        <f t="shared" si="1884"/>
        <v>0</v>
      </c>
      <c r="Y2571" s="120" t="b">
        <f t="shared" si="1885"/>
        <v>0</v>
      </c>
      <c r="Z2571" s="117">
        <f t="shared" si="1886"/>
        <v>0</v>
      </c>
      <c r="AA2571" s="118"/>
      <c r="AB2571" s="118" t="str">
        <f t="shared" si="1887"/>
        <v/>
      </c>
      <c r="AC2571" s="712" t="str">
        <f>IF(AE2571="T2G","no charge",IF(AND(OR(PlanterYesMe="No",PlanterYesMe="N",PlanterYesMe="me"),H2571=""),"",IF(H2571="credit","NO install",IF(AND(K2571="",AE2571="me"),"EACH row",IF(AND(K2571="images",AE2571="me"),"EACH row",IF(D2571="","",IF(H2571="credit","",IF(AE2571="free","re-planting",IF(AE2571="me","   not ELP, by",IF(AND(OR(PlanterYesMe="Yes",PlanterYesMe="Y"),G2571&gt;0),(VLOOKUP(A2571,'Discount Lookup'!J:K,2)*G2571*(1-PlanterDiscount)*(1+PlanterDifficultyPercentage)),IF(AE2571="ELP",(VLOOKUP(A2571,'Discount Lookup'!J:K,2)*G2571*(1-PlanterDiscount)*(1+PlanterDifficultyPercentage)),IF(AE2571="free","re-planting",IF(G2571=0,"",IF(PlanterYesMe="",IF(AE2571="me","   not ELP, by",IF(AE2571="",IF(G2571&gt;0,(VLOOKUP(A2571,'Discount Lookup'!J:K,2)*G2571*(1-PlanterDiscount)*(1+PlanterDifficultyPercentage)),""),"")),"   not ELP, by"))))))))))))))</f>
        <v/>
      </c>
      <c r="AD2571" s="712"/>
      <c r="AE2571" s="513" t="str">
        <f t="shared" si="1888"/>
        <v/>
      </c>
      <c r="AF2571" s="713" t="str">
        <f t="shared" si="1889"/>
        <v/>
      </c>
      <c r="AG2571" s="713"/>
      <c r="AH2571" s="713"/>
      <c r="AI2571" s="112">
        <f>IF(H2571="credit",0,IF(AE2571="free",0,IF(AE2571="me",0,IF(G2571&gt;0,(VLOOKUP(A2571,'Discount Lookup'!J:K,2)*G2571),0))))</f>
        <v>0</v>
      </c>
      <c r="AJ2571" s="107" t="str">
        <f t="shared" ca="1" si="1890"/>
        <v/>
      </c>
      <c r="AK2571" s="714" t="str">
        <f t="shared" si="1891"/>
        <v/>
      </c>
      <c r="AL2571" s="714"/>
      <c r="AM2571" s="114" t="str">
        <f t="shared" si="1892"/>
        <v/>
      </c>
      <c r="AN2571" s="115"/>
      <c r="AO2571" s="116"/>
      <c r="AP2571" s="116"/>
      <c r="AQ2571" s="116"/>
      <c r="AR2571" s="116"/>
      <c r="AS2571" s="116"/>
      <c r="AT2571" s="116"/>
      <c r="AU2571" s="116"/>
      <c r="AV2571" s="78"/>
      <c r="AW2571" s="102"/>
      <c r="AX2571" s="78"/>
      <c r="AY2571" s="78"/>
      <c r="AZ2571" s="78"/>
      <c r="BA2571" s="78"/>
      <c r="BB2571" s="78"/>
      <c r="BC2571" s="78"/>
      <c r="BD2571" s="78"/>
      <c r="BE2571" s="465"/>
      <c r="BF2571" s="165" t="str">
        <f t="shared" si="1893"/>
        <v>https://www.google.com/search?tbm=isch&amp;q=15%20G4</v>
      </c>
      <c r="BG2571" s="165" t="str">
        <f t="shared" si="1894"/>
        <v>L</v>
      </c>
      <c r="BH2571" s="65"/>
      <c r="BI2571" s="65"/>
      <c r="BJ2571" s="65"/>
      <c r="BK2571" s="65"/>
      <c r="BL2571" s="99"/>
      <c r="BM2571" s="99"/>
      <c r="BN2571" s="99"/>
    </row>
    <row r="2572" spans="1:66" s="51" customFormat="1" ht="27" x14ac:dyDescent="0.25">
      <c r="A2572" s="634">
        <v>15</v>
      </c>
      <c r="B2572" s="635" t="s">
        <v>291</v>
      </c>
      <c r="C2572" s="636" t="s">
        <v>3242</v>
      </c>
      <c r="D2572" s="637" t="s">
        <v>299</v>
      </c>
      <c r="E2572" s="638">
        <v>178.95</v>
      </c>
      <c r="F2572" s="639" t="s">
        <v>292</v>
      </c>
      <c r="G2572" s="484">
        <v>0</v>
      </c>
      <c r="H2572" s="691" t="str">
        <f>IF(G2572=0,"",IF(F2572="Buy",IF(G2572=1,"plant","plants"),IF(F2572&gt;0.01,"warranty","Error")))</f>
        <v/>
      </c>
      <c r="I2572" s="640">
        <f>IF(H2572="free",0,IF(H2572="credit",((E2572*(F2572))*G2572*-1),IF(F2572="Buy",(E2572*G2572),((E2572*(1-F2572))*G2572))))</f>
        <v>0</v>
      </c>
      <c r="J2572" s="640">
        <f>IF(H2572="warranty",0,(I2572*(_xlfn.SINGLE(SalesTaxPercentage))))</f>
        <v>0</v>
      </c>
      <c r="K2572" s="716">
        <f t="shared" ref="K2572" si="1932">I2572+J2572</f>
        <v>0</v>
      </c>
      <c r="L2572" s="716"/>
      <c r="M2572" s="689" t="str">
        <f ca="1">IF(AND(G2572&gt;0,E2572=0),"WARNING - no PRICE inserted",IF(H2572="free","FREE ~ no charge this plant",IF(H2572="credit",CONCATENATE("-$",ROUND(K2572*(1-_xlfn.SINGLE(T2GDiscount))*-1,2)," CREDIT after discount"),IF(_xlfn.SINGLE(T2GDiscount)=0,"",IF(G2572=0,"",IF(F2572="Buy",CONCATENATE("$",ROUND(K2572*(1-_xlfn.SINGLE(T2GDiscount)),2)," with ",(_xlfn.SINGLE(T2GDiscount)*100),"% discount"),CONCATENATE("$",ROUND(K2572*(1-_xlfn.SINGLE(T2GDiscount)),2)," with ",((_xlfn.SINGLE(T2GDiscount)*100+F2572*100)-(_xlfn.SINGLE(T2GDiscount)*100*F2572)),IF(F2572&gt;0,"% discounts",IF(_xlfn.SINGLE(NoWarrantyDiscount)&gt;0,"% discounts","% discount")))))))))</f>
        <v/>
      </c>
      <c r="N2572" s="690"/>
      <c r="O2572" s="486"/>
      <c r="P2572" s="486"/>
      <c r="Q2572" s="486"/>
      <c r="R2572" s="486"/>
      <c r="S2572" s="486"/>
      <c r="T2572" s="102">
        <f t="shared" si="1882"/>
        <v>0</v>
      </c>
      <c r="U2572" s="78">
        <f>IF(NOT(ISNUMBER(G2572)), "", VLOOKUP(A2572,'Discount Lookup'!D:E,2,FALSE)*G2572)</f>
        <v>0</v>
      </c>
      <c r="V2572" s="78">
        <f>IF(NOT(ISNUMBER(G2572)), "", VLOOKUP(A2572,'Discount Lookup'!G:H,2,FALSE)*G2572)</f>
        <v>0</v>
      </c>
      <c r="W2572" s="102">
        <f t="shared" si="1883"/>
        <v>0</v>
      </c>
      <c r="X2572" s="102">
        <f t="shared" si="1884"/>
        <v>0</v>
      </c>
      <c r="Y2572" s="120" t="b">
        <f t="shared" si="1885"/>
        <v>0</v>
      </c>
      <c r="Z2572" s="117">
        <f t="shared" si="1886"/>
        <v>0</v>
      </c>
      <c r="AA2572" s="118"/>
      <c r="AB2572" s="118" t="str">
        <f t="shared" si="1887"/>
        <v/>
      </c>
      <c r="AC2572" s="712" t="str">
        <f>IF(AE2572="T2G","no charge",IF(AND(OR(PlanterYesMe="No",PlanterYesMe="N",PlanterYesMe="me"),H2572=""),"",IF(H2572="credit","NO install",IF(AND(K2572="",AE2572="me"),"EACH row",IF(AND(K2572="images",AE2572="me"),"EACH row",IF(D2572="","",IF(H2572="credit","",IF(AE2572="free","re-planting",IF(AE2572="me","   not ELP, by",IF(AND(OR(PlanterYesMe="Yes",PlanterYesMe="Y"),G2572&gt;0),(VLOOKUP(A2572,'Discount Lookup'!J:K,2)*G2572*(1-PlanterDiscount)*(1+PlanterDifficultyPercentage)),IF(AE2572="ELP",(VLOOKUP(A2572,'Discount Lookup'!J:K,2)*G2572*(1-PlanterDiscount)*(1+PlanterDifficultyPercentage)),IF(AE2572="free","re-planting",IF(G2572=0,"",IF(PlanterYesMe="",IF(AE2572="me","   not ELP, by",IF(AE2572="",IF(G2572&gt;0,(VLOOKUP(A2572,'Discount Lookup'!J:K,2)*G2572*(1-PlanterDiscount)*(1+PlanterDifficultyPercentage)),""),"")),"   not ELP, by"))))))))))))))</f>
        <v/>
      </c>
      <c r="AD2572" s="712"/>
      <c r="AE2572" s="513" t="str">
        <f t="shared" si="1888"/>
        <v/>
      </c>
      <c r="AF2572" s="713" t="str">
        <f t="shared" si="1889"/>
        <v/>
      </c>
      <c r="AG2572" s="713"/>
      <c r="AH2572" s="713"/>
      <c r="AI2572" s="112">
        <f>IF(H2572="credit",0,IF(AE2572="free",0,IF(AE2572="me",0,IF(G2572&gt;0,(VLOOKUP(A2572,'Discount Lookup'!J:K,2)*G2572),0))))</f>
        <v>0</v>
      </c>
      <c r="AJ2572" s="107" t="str">
        <f t="shared" ca="1" si="1890"/>
        <v/>
      </c>
      <c r="AK2572" s="714" t="str">
        <f t="shared" si="1891"/>
        <v/>
      </c>
      <c r="AL2572" s="714"/>
      <c r="AM2572" s="114" t="str">
        <f t="shared" si="1892"/>
        <v/>
      </c>
      <c r="AN2572" s="115"/>
      <c r="AO2572" s="116"/>
      <c r="AP2572" s="116"/>
      <c r="AQ2572" s="116"/>
      <c r="AR2572" s="116"/>
      <c r="AS2572" s="116"/>
      <c r="AT2572" s="116"/>
      <c r="AU2572" s="116"/>
      <c r="AV2572" s="78"/>
      <c r="AW2572" s="102"/>
      <c r="AX2572" s="78"/>
      <c r="AY2572" s="78"/>
      <c r="AZ2572" s="78"/>
      <c r="BA2572" s="78"/>
      <c r="BB2572" s="78"/>
      <c r="BC2572" s="78"/>
      <c r="BD2572" s="78"/>
      <c r="BE2572" s="465"/>
      <c r="BF2572" s="165" t="str">
        <f t="shared" si="1893"/>
        <v>https://www.google.com/search?tbm=isch&amp;q=15%20G4</v>
      </c>
      <c r="BG2572" s="165" t="str">
        <f t="shared" si="1894"/>
        <v>L</v>
      </c>
      <c r="BH2572" s="65"/>
      <c r="BI2572" s="65"/>
      <c r="BJ2572" s="65"/>
      <c r="BK2572" s="65"/>
      <c r="BL2572" s="99"/>
      <c r="BM2572" s="99"/>
      <c r="BN2572" s="99"/>
    </row>
    <row r="2573" spans="1:66" s="51" customFormat="1" ht="15.75" x14ac:dyDescent="0.25">
      <c r="A2573" s="634">
        <v>20</v>
      </c>
      <c r="B2573" s="635" t="s">
        <v>291</v>
      </c>
      <c r="C2573" s="636" t="s">
        <v>3243</v>
      </c>
      <c r="D2573" s="637" t="s">
        <v>309</v>
      </c>
      <c r="E2573" s="638">
        <v>224.95</v>
      </c>
      <c r="F2573" s="639" t="s">
        <v>292</v>
      </c>
      <c r="G2573" s="484">
        <v>0</v>
      </c>
      <c r="H2573" s="691" t="str">
        <f>IF(G2573=0,"",IF(F2573="Buy",IF(G2573=1,"plant","plants"),IF(F2573&gt;0.01,"warranty","Error")))</f>
        <v/>
      </c>
      <c r="I2573" s="640">
        <f>IF(H2573="free",0,IF(H2573="credit",((E2573*(F2573))*G2573*-1),IF(F2573="Buy",(E2573*G2573),((E2573*(1-F2573))*G2573))))</f>
        <v>0</v>
      </c>
      <c r="J2573" s="640">
        <f>IF(H2573="warranty",0,(I2573*(_xlfn.SINGLE(SalesTaxPercentage))))</f>
        <v>0</v>
      </c>
      <c r="K2573" s="716">
        <f t="shared" ref="K2573" si="1933">I2573+J2573</f>
        <v>0</v>
      </c>
      <c r="L2573" s="716"/>
      <c r="M2573" s="689" t="str">
        <f ca="1">IF(AND(G2573&gt;0,E2573=0),"WARNING - no PRICE inserted",IF(H2573="free","FREE ~ no charge this plant",IF(H2573="credit",CONCATENATE("-$",ROUND(K2573*(1-_xlfn.SINGLE(T2GDiscount))*-1,2)," CREDIT after discount"),IF(_xlfn.SINGLE(T2GDiscount)=0,"",IF(G2573=0,"",IF(F2573="Buy",CONCATENATE("$",ROUND(K2573*(1-_xlfn.SINGLE(T2GDiscount)),2)," with ",(_xlfn.SINGLE(T2GDiscount)*100),"% discount"),CONCATENATE("$",ROUND(K2573*(1-_xlfn.SINGLE(T2GDiscount)),2)," with ",((_xlfn.SINGLE(T2GDiscount)*100+F2573*100)-(_xlfn.SINGLE(T2GDiscount)*100*F2573)),IF(F2573&gt;0,"% discounts",IF(_xlfn.SINGLE(NoWarrantyDiscount)&gt;0,"% discounts","% discount")))))))))</f>
        <v/>
      </c>
      <c r="N2573" s="690"/>
      <c r="O2573" s="486"/>
      <c r="P2573" s="486"/>
      <c r="Q2573" s="486"/>
      <c r="R2573" s="486"/>
      <c r="S2573" s="486"/>
      <c r="T2573" s="102">
        <f t="shared" si="1882"/>
        <v>0</v>
      </c>
      <c r="U2573" s="78">
        <f>IF(NOT(ISNUMBER(G2573)), "", VLOOKUP(A2573,'Discount Lookup'!D:E,2,FALSE)*G2573)</f>
        <v>0</v>
      </c>
      <c r="V2573" s="78">
        <f>IF(NOT(ISNUMBER(G2573)), "", VLOOKUP(A2573,'Discount Lookup'!G:H,2,FALSE)*G2573)</f>
        <v>0</v>
      </c>
      <c r="W2573" s="102">
        <f t="shared" si="1883"/>
        <v>0</v>
      </c>
      <c r="X2573" s="102">
        <f t="shared" si="1884"/>
        <v>0</v>
      </c>
      <c r="Y2573" s="120" t="b">
        <f t="shared" si="1885"/>
        <v>0</v>
      </c>
      <c r="Z2573" s="117">
        <f t="shared" si="1886"/>
        <v>0</v>
      </c>
      <c r="AA2573" s="118"/>
      <c r="AB2573" s="118" t="str">
        <f t="shared" si="1887"/>
        <v/>
      </c>
      <c r="AC2573" s="712" t="str">
        <f>IF(AE2573="T2G","no charge",IF(AND(OR(PlanterYesMe="No",PlanterYesMe="N",PlanterYesMe="me"),H2573=""),"",IF(H2573="credit","NO install",IF(AND(K2573="",AE2573="me"),"EACH row",IF(AND(K2573="images",AE2573="me"),"EACH row",IF(D2573="","",IF(H2573="credit","",IF(AE2573="free","re-planting",IF(AE2573="me","   not ELP, by",IF(AND(OR(PlanterYesMe="Yes",PlanterYesMe="Y"),G2573&gt;0),(VLOOKUP(A2573,'Discount Lookup'!J:K,2)*G2573*(1-PlanterDiscount)*(1+PlanterDifficultyPercentage)),IF(AE2573="ELP",(VLOOKUP(A2573,'Discount Lookup'!J:K,2)*G2573*(1-PlanterDiscount)*(1+PlanterDifficultyPercentage)),IF(AE2573="free","re-planting",IF(G2573=0,"",IF(PlanterYesMe="",IF(AE2573="me","   not ELP, by",IF(AE2573="",IF(G2573&gt;0,(VLOOKUP(A2573,'Discount Lookup'!J:K,2)*G2573*(1-PlanterDiscount)*(1+PlanterDifficultyPercentage)),""),"")),"   not ELP, by"))))))))))))))</f>
        <v/>
      </c>
      <c r="AD2573" s="712"/>
      <c r="AE2573" s="513" t="str">
        <f t="shared" si="1888"/>
        <v/>
      </c>
      <c r="AF2573" s="713" t="str">
        <f t="shared" si="1889"/>
        <v/>
      </c>
      <c r="AG2573" s="713"/>
      <c r="AH2573" s="713"/>
      <c r="AI2573" s="112">
        <f>IF(H2573="credit",0,IF(AE2573="free",0,IF(AE2573="me",0,IF(G2573&gt;0,(VLOOKUP(A2573,'Discount Lookup'!J:K,2)*G2573),0))))</f>
        <v>0</v>
      </c>
      <c r="AJ2573" s="107" t="str">
        <f t="shared" ca="1" si="1890"/>
        <v/>
      </c>
      <c r="AK2573" s="714" t="str">
        <f t="shared" si="1891"/>
        <v/>
      </c>
      <c r="AL2573" s="714"/>
      <c r="AM2573" s="114" t="str">
        <f t="shared" si="1892"/>
        <v/>
      </c>
      <c r="AN2573" s="115"/>
      <c r="AO2573" s="116"/>
      <c r="AP2573" s="116"/>
      <c r="AQ2573" s="116"/>
      <c r="AR2573" s="116"/>
      <c r="AS2573" s="116"/>
      <c r="AT2573" s="116"/>
      <c r="AU2573" s="116"/>
      <c r="AV2573" s="78"/>
      <c r="AW2573" s="102"/>
      <c r="AX2573" s="78"/>
      <c r="AY2573" s="78"/>
      <c r="AZ2573" s="78"/>
      <c r="BA2573" s="78"/>
      <c r="BB2573" s="78"/>
      <c r="BC2573" s="78"/>
      <c r="BD2573" s="78"/>
      <c r="BE2573" s="465"/>
      <c r="BF2573" s="165" t="str">
        <f t="shared" si="1893"/>
        <v>https://www.google.com/search?tbm=isch&amp;q=20%20G3</v>
      </c>
      <c r="BG2573" s="165" t="str">
        <f t="shared" si="1894"/>
        <v>L</v>
      </c>
      <c r="BH2573" s="65"/>
      <c r="BI2573" s="65"/>
      <c r="BJ2573" s="65"/>
      <c r="BK2573" s="65"/>
      <c r="BL2573" s="99"/>
      <c r="BM2573" s="99"/>
      <c r="BN2573" s="99"/>
    </row>
    <row r="2574" spans="1:66" s="51" customFormat="1" ht="17.25" thickBot="1" x14ac:dyDescent="0.3">
      <c r="A2574" s="641" t="s">
        <v>3244</v>
      </c>
      <c r="B2574" s="642"/>
      <c r="C2574" s="710"/>
      <c r="D2574" s="643"/>
      <c r="E2574" s="643"/>
      <c r="F2574" s="644"/>
      <c r="G2574" s="645"/>
      <c r="H2574" s="646"/>
      <c r="I2574" s="647"/>
      <c r="J2574" s="648"/>
      <c r="K2574" s="649"/>
      <c r="L2574" s="650"/>
      <c r="M2574" s="650"/>
      <c r="N2574" s="644"/>
      <c r="O2574" s="644"/>
      <c r="P2574" s="644"/>
      <c r="Q2574" s="644"/>
      <c r="R2574" s="644"/>
      <c r="S2574" s="651"/>
      <c r="T2574" s="102">
        <f t="shared" si="1882"/>
        <v>0</v>
      </c>
      <c r="U2574" s="78" t="str">
        <f>IF(NOT(ISNUMBER(G2574)), "", VLOOKUP(A2574,'Discount Lookup'!D:E,2,FALSE)*G2574)</f>
        <v/>
      </c>
      <c r="V2574" s="78" t="str">
        <f>IF(NOT(ISNUMBER(G2574)), "", VLOOKUP(A2574,'Discount Lookup'!G:H,2,FALSE)*G2574)</f>
        <v/>
      </c>
      <c r="W2574" s="102">
        <f t="shared" si="1883"/>
        <v>0</v>
      </c>
      <c r="X2574" s="102">
        <f t="shared" si="1884"/>
        <v>0</v>
      </c>
      <c r="Y2574" s="120" t="b">
        <f t="shared" si="1885"/>
        <v>0</v>
      </c>
      <c r="Z2574" s="117">
        <f t="shared" si="1886"/>
        <v>0</v>
      </c>
      <c r="AA2574" s="118"/>
      <c r="AB2574" s="118" t="str">
        <f t="shared" si="1887"/>
        <v/>
      </c>
      <c r="AC2574" s="712" t="str">
        <f>IF(AE2574="T2G","no charge",IF(AND(OR(PlanterYesMe="No",PlanterYesMe="N",PlanterYesMe="me"),H2574=""),"",IF(H2574="credit","NO install",IF(AND(K2574="",AE2574="me"),"EACH row",IF(AND(K2574="images",AE2574="me"),"EACH row",IF(D2574="","",IF(H2574="credit","",IF(AE2574="free","re-planting",IF(AE2574="me","   not ELP, by",IF(AND(OR(PlanterYesMe="Yes",PlanterYesMe="Y"),G2574&gt;0),(VLOOKUP(A2574,'Discount Lookup'!J:K,2)*G2574*(1-PlanterDiscount)*(1+PlanterDifficultyPercentage)),IF(AE2574="ELP",(VLOOKUP(A2574,'Discount Lookup'!J:K,2)*G2574*(1-PlanterDiscount)*(1+PlanterDifficultyPercentage)),IF(AE2574="free","re-planting",IF(G2574=0,"",IF(PlanterYesMe="",IF(AE2574="me","   not ELP, by",IF(AE2574="",IF(G2574&gt;0,(VLOOKUP(A2574,'Discount Lookup'!J:K,2)*G2574*(1-PlanterDiscount)*(1+PlanterDifficultyPercentage)),""),"")),"   not ELP, by"))))))))))))))</f>
        <v/>
      </c>
      <c r="AD2574" s="712"/>
      <c r="AE2574" s="513" t="str">
        <f t="shared" si="1888"/>
        <v/>
      </c>
      <c r="AF2574" s="713" t="str">
        <f t="shared" si="1889"/>
        <v/>
      </c>
      <c r="AG2574" s="713"/>
      <c r="AH2574" s="713"/>
      <c r="AI2574" s="112">
        <f>IF(H2574="credit",0,IF(AE2574="free",0,IF(AE2574="me",0,IF(G2574&gt;0,(VLOOKUP(A2574,'Discount Lookup'!J:K,2)*G2574),0))))</f>
        <v>0</v>
      </c>
      <c r="AJ2574" s="107" t="str">
        <f t="shared" ca="1" si="1890"/>
        <v/>
      </c>
      <c r="AK2574" s="714" t="str">
        <f t="shared" si="1891"/>
        <v/>
      </c>
      <c r="AL2574" s="714"/>
      <c r="AM2574" s="114" t="str">
        <f t="shared" si="1892"/>
        <v/>
      </c>
      <c r="AN2574" s="115"/>
      <c r="AO2574" s="116"/>
      <c r="AP2574" s="116"/>
      <c r="AQ2574" s="116"/>
      <c r="AR2574" s="116"/>
      <c r="AS2574" s="116"/>
      <c r="AT2574" s="116"/>
      <c r="AU2574" s="116"/>
      <c r="AV2574" s="78"/>
      <c r="AW2574" s="102"/>
      <c r="AX2574" s="78"/>
      <c r="AY2574" s="78"/>
      <c r="AZ2574" s="78"/>
      <c r="BA2574" s="78"/>
      <c r="BB2574" s="78"/>
      <c r="BC2574" s="78"/>
      <c r="BD2574" s="78"/>
      <c r="BE2574" s="465"/>
      <c r="BF2574" s="165" t="str">
        <f t="shared" si="1893"/>
        <v>https://www.google.com/search?tbm=isch&amp;q=Tonto%20foliage%20is%20dark%20green%2C%20dull%20red%20to%20purple%20in%20fall.%20Beige%20bark%20exfoliates%20</v>
      </c>
      <c r="BG2574" s="165" t="str">
        <f t="shared" si="1894"/>
        <v>T</v>
      </c>
      <c r="BH2574" s="65"/>
      <c r="BI2574" s="65"/>
      <c r="BJ2574" s="65"/>
      <c r="BK2574" s="65"/>
      <c r="BL2574" s="99"/>
      <c r="BM2574" s="99"/>
      <c r="BN2574" s="99"/>
    </row>
    <row r="2575" spans="1:66" s="51" customFormat="1" ht="18" x14ac:dyDescent="0.25">
      <c r="A2575" s="623" t="s">
        <v>3245</v>
      </c>
      <c r="B2575" s="624"/>
      <c r="C2575" s="709"/>
      <c r="D2575" s="625" t="s">
        <v>3246</v>
      </c>
      <c r="E2575" s="626"/>
      <c r="F2575" s="626"/>
      <c r="G2575" s="626"/>
      <c r="H2575" s="622" t="s">
        <v>585</v>
      </c>
      <c r="I2575" s="627" t="s">
        <v>3247</v>
      </c>
      <c r="J2575" s="628"/>
      <c r="K2575" s="628"/>
      <c r="L2575" s="629"/>
      <c r="M2575" s="700" t="s">
        <v>5241</v>
      </c>
      <c r="N2575" s="693" t="str">
        <f>IF(AND(ISTEXT($A2575), ISERROR($A2575+0)), HYPERLINK($BF2575, "Images"), "")</f>
        <v>Images</v>
      </c>
      <c r="O2575" s="695" t="s">
        <v>5247</v>
      </c>
      <c r="P2575" s="630"/>
      <c r="Q2575" s="631"/>
      <c r="R2575" s="632"/>
      <c r="S2575" s="633"/>
      <c r="T2575" s="102">
        <f t="shared" si="1882"/>
        <v>0</v>
      </c>
      <c r="U2575" s="78" t="str">
        <f>IF(NOT(ISNUMBER(G2575)), "", VLOOKUP(A2575,'Discount Lookup'!D:E,2,FALSE)*G2575)</f>
        <v/>
      </c>
      <c r="V2575" s="78" t="str">
        <f>IF(NOT(ISNUMBER(G2575)), "", VLOOKUP(A2575,'Discount Lookup'!G:H,2,FALSE)*G2575)</f>
        <v/>
      </c>
      <c r="W2575" s="102">
        <f t="shared" si="1883"/>
        <v>0</v>
      </c>
      <c r="X2575" s="102" t="str">
        <f t="shared" si="1884"/>
        <v>Watermelon Red bloom</v>
      </c>
      <c r="Y2575" s="120" t="b">
        <f t="shared" si="1885"/>
        <v>0</v>
      </c>
      <c r="Z2575" s="117">
        <f t="shared" si="1886"/>
        <v>0</v>
      </c>
      <c r="AA2575" s="118"/>
      <c r="AB2575" s="118" t="str">
        <f t="shared" si="1887"/>
        <v/>
      </c>
      <c r="AC2575" s="712" t="str">
        <f>IF(AE2575="T2G","no charge",IF(AND(OR(PlanterYesMe="No",PlanterYesMe="N",PlanterYesMe="me"),H2575=""),"",IF(H2575="credit","NO install",IF(AND(K2575="",AE2575="me"),"EACH row",IF(AND(K2575="images",AE2575="me"),"EACH row",IF(D2575="","",IF(H2575="credit","",IF(AE2575="free","re-planting",IF(AE2575="me","   not ELP, by",IF(AND(OR(PlanterYesMe="Yes",PlanterYesMe="Y"),G2575&gt;0),(VLOOKUP(A2575,'Discount Lookup'!J:K,2)*G2575*(1-PlanterDiscount)*(1+PlanterDifficultyPercentage)),IF(AE2575="ELP",(VLOOKUP(A2575,'Discount Lookup'!J:K,2)*G2575*(1-PlanterDiscount)*(1+PlanterDifficultyPercentage)),IF(AE2575="free","re-planting",IF(G2575=0,"",IF(PlanterYesMe="",IF(AE2575="me","   not ELP, by",IF(AE2575="",IF(G2575&gt;0,(VLOOKUP(A2575,'Discount Lookup'!J:K,2)*G2575*(1-PlanterDiscount)*(1+PlanterDifficultyPercentage)),""),"")),"   not ELP, by"))))))))))))))</f>
        <v/>
      </c>
      <c r="AD2575" s="712"/>
      <c r="AE2575" s="513" t="str">
        <f t="shared" si="1888"/>
        <v/>
      </c>
      <c r="AF2575" s="713" t="str">
        <f t="shared" si="1889"/>
        <v/>
      </c>
      <c r="AG2575" s="713"/>
      <c r="AH2575" s="713"/>
      <c r="AI2575" s="112">
        <f>IF(H2575="credit",0,IF(AE2575="free",0,IF(AE2575="me",0,IF(G2575&gt;0,(VLOOKUP(A2575,'Discount Lookup'!J:K,2)*G2575),0))))</f>
        <v>0</v>
      </c>
      <c r="AJ2575" s="107" t="str">
        <f t="shared" ca="1" si="1890"/>
        <v/>
      </c>
      <c r="AK2575" s="714" t="str">
        <f t="shared" si="1891"/>
        <v/>
      </c>
      <c r="AL2575" s="714"/>
      <c r="AM2575" s="114" t="str">
        <f t="shared" si="1892"/>
        <v/>
      </c>
      <c r="AN2575" s="115"/>
      <c r="AO2575" s="116"/>
      <c r="AP2575" s="116"/>
      <c r="AQ2575" s="116"/>
      <c r="AR2575" s="116"/>
      <c r="AS2575" s="116"/>
      <c r="AT2575" s="116"/>
      <c r="AU2575" s="116"/>
      <c r="AV2575" s="78"/>
      <c r="AW2575" s="102"/>
      <c r="AX2575" s="78"/>
      <c r="AY2575" s="78"/>
      <c r="AZ2575" s="78"/>
      <c r="BA2575" s="78"/>
      <c r="BB2575" s="78"/>
      <c r="BC2575" s="78"/>
      <c r="BD2575" s="78"/>
      <c r="BE2575" s="465"/>
      <c r="BF2575" s="165" t="str">
        <f t="shared" si="1893"/>
        <v>https://www.google.com/search?tbm=isch&amp;q=Lagerstroemia%20indica%20x%20fauriei%20%27Tuscarora%27%20Tuscarora%20Crape%20Myrtle</v>
      </c>
      <c r="BG2575" s="165" t="str">
        <f t="shared" si="1894"/>
        <v>L</v>
      </c>
      <c r="BH2575" s="65"/>
      <c r="BI2575" s="65"/>
      <c r="BJ2575" s="65"/>
      <c r="BK2575" s="65"/>
      <c r="BL2575" s="99"/>
      <c r="BM2575" s="99"/>
      <c r="BN2575" s="99"/>
    </row>
    <row r="2576" spans="1:66" s="51" customFormat="1" ht="15.75" x14ac:dyDescent="0.25">
      <c r="A2576" s="634">
        <v>3</v>
      </c>
      <c r="B2576" s="635" t="s">
        <v>291</v>
      </c>
      <c r="C2576" s="636" t="s">
        <v>3222</v>
      </c>
      <c r="D2576" s="637" t="s">
        <v>309</v>
      </c>
      <c r="E2576" s="638">
        <v>33.950000000000003</v>
      </c>
      <c r="F2576" s="639" t="s">
        <v>292</v>
      </c>
      <c r="G2576" s="484">
        <v>0</v>
      </c>
      <c r="H2576" s="691" t="str">
        <f>IF(G2576=0,"",IF(F2576="Buy",IF(G2576=1,"plant","plants"),IF(F2576&gt;0.01,"warranty","Error")))</f>
        <v/>
      </c>
      <c r="I2576" s="640">
        <f>IF(H2576="free",0,IF(H2576="credit",((E2576*(F2576))*G2576*-1),IF(F2576="Buy",(E2576*G2576),((E2576*(1-F2576))*G2576))))</f>
        <v>0</v>
      </c>
      <c r="J2576" s="640">
        <f>IF(H2576="warranty",0,(I2576*(_xlfn.SINGLE(SalesTaxPercentage))))</f>
        <v>0</v>
      </c>
      <c r="K2576" s="716">
        <f t="shared" ref="K2576" si="1934">I2576+J2576</f>
        <v>0</v>
      </c>
      <c r="L2576" s="716"/>
      <c r="M2576" s="689" t="str">
        <f ca="1">IF(AND(G2576&gt;0,E2576=0),"WARNING - no PRICE inserted",IF(H2576="free","FREE ~ no charge this plant",IF(H2576="credit",CONCATENATE("-$",ROUND(K2576*(1-_xlfn.SINGLE(T2GDiscount))*-1,2)," CREDIT after discount"),IF(_xlfn.SINGLE(T2GDiscount)=0,"",IF(G2576=0,"",IF(F2576="Buy",CONCATENATE("$",ROUND(K2576*(1-_xlfn.SINGLE(T2GDiscount)),2)," with ",(_xlfn.SINGLE(T2GDiscount)*100),"% discount"),CONCATENATE("$",ROUND(K2576*(1-_xlfn.SINGLE(T2GDiscount)),2)," with ",((_xlfn.SINGLE(T2GDiscount)*100+F2576*100)-(_xlfn.SINGLE(T2GDiscount)*100*F2576)),IF(F2576&gt;0,"% discounts",IF(_xlfn.SINGLE(NoWarrantyDiscount)&gt;0,"% discounts","% discount")))))))))</f>
        <v/>
      </c>
      <c r="N2576" s="690"/>
      <c r="O2576" s="486"/>
      <c r="P2576" s="486"/>
      <c r="Q2576" s="486"/>
      <c r="R2576" s="486"/>
      <c r="S2576" s="486"/>
      <c r="T2576" s="102">
        <f t="shared" si="1882"/>
        <v>0</v>
      </c>
      <c r="U2576" s="78">
        <f>IF(NOT(ISNUMBER(G2576)), "", VLOOKUP(A2576,'Discount Lookup'!D:E,2,FALSE)*G2576)</f>
        <v>0</v>
      </c>
      <c r="V2576" s="78">
        <f>IF(NOT(ISNUMBER(G2576)), "", VLOOKUP(A2576,'Discount Lookup'!G:H,2,FALSE)*G2576)</f>
        <v>0</v>
      </c>
      <c r="W2576" s="102">
        <f t="shared" si="1883"/>
        <v>0</v>
      </c>
      <c r="X2576" s="102">
        <f t="shared" si="1884"/>
        <v>0</v>
      </c>
      <c r="Y2576" s="120" t="b">
        <f t="shared" si="1885"/>
        <v>0</v>
      </c>
      <c r="Z2576" s="117">
        <f t="shared" si="1886"/>
        <v>0</v>
      </c>
      <c r="AA2576" s="118"/>
      <c r="AB2576" s="118" t="str">
        <f t="shared" si="1887"/>
        <v/>
      </c>
      <c r="AC2576" s="712" t="str">
        <f>IF(AE2576="T2G","no charge",IF(AND(OR(PlanterYesMe="No",PlanterYesMe="N",PlanterYesMe="me"),H2576=""),"",IF(H2576="credit","NO install",IF(AND(K2576="",AE2576="me"),"EACH row",IF(AND(K2576="images",AE2576="me"),"EACH row",IF(D2576="","",IF(H2576="credit","",IF(AE2576="free","re-planting",IF(AE2576="me","   not ELP, by",IF(AND(OR(PlanterYesMe="Yes",PlanterYesMe="Y"),G2576&gt;0),(VLOOKUP(A2576,'Discount Lookup'!J:K,2)*G2576*(1-PlanterDiscount)*(1+PlanterDifficultyPercentage)),IF(AE2576="ELP",(VLOOKUP(A2576,'Discount Lookup'!J:K,2)*G2576*(1-PlanterDiscount)*(1+PlanterDifficultyPercentage)),IF(AE2576="free","re-planting",IF(G2576=0,"",IF(PlanterYesMe="",IF(AE2576="me","   not ELP, by",IF(AE2576="",IF(G2576&gt;0,(VLOOKUP(A2576,'Discount Lookup'!J:K,2)*G2576*(1-PlanterDiscount)*(1+PlanterDifficultyPercentage)),""),"")),"   not ELP, by"))))))))))))))</f>
        <v/>
      </c>
      <c r="AD2576" s="712"/>
      <c r="AE2576" s="513" t="str">
        <f t="shared" si="1888"/>
        <v/>
      </c>
      <c r="AF2576" s="713" t="str">
        <f t="shared" si="1889"/>
        <v/>
      </c>
      <c r="AG2576" s="713"/>
      <c r="AH2576" s="713"/>
      <c r="AI2576" s="112">
        <f>IF(H2576="credit",0,IF(AE2576="free",0,IF(AE2576="me",0,IF(G2576&gt;0,(VLOOKUP(A2576,'Discount Lookup'!J:K,2)*G2576),0))))</f>
        <v>0</v>
      </c>
      <c r="AJ2576" s="107" t="str">
        <f t="shared" ca="1" si="1890"/>
        <v/>
      </c>
      <c r="AK2576" s="714" t="str">
        <f t="shared" si="1891"/>
        <v/>
      </c>
      <c r="AL2576" s="714"/>
      <c r="AM2576" s="114" t="str">
        <f t="shared" si="1892"/>
        <v/>
      </c>
      <c r="AN2576" s="115"/>
      <c r="AO2576" s="116"/>
      <c r="AP2576" s="116"/>
      <c r="AQ2576" s="116"/>
      <c r="AR2576" s="116"/>
      <c r="AS2576" s="116"/>
      <c r="AT2576" s="116"/>
      <c r="AU2576" s="116"/>
      <c r="AV2576" s="78"/>
      <c r="AW2576" s="102"/>
      <c r="AX2576" s="78"/>
      <c r="AY2576" s="78"/>
      <c r="AZ2576" s="78"/>
      <c r="BA2576" s="78"/>
      <c r="BB2576" s="78"/>
      <c r="BC2576" s="78"/>
      <c r="BD2576" s="78"/>
      <c r="BE2576" s="465"/>
      <c r="BF2576" s="165" t="str">
        <f t="shared" si="1893"/>
        <v>https://www.google.com/search?tbm=isch&amp;q=3%20G3</v>
      </c>
      <c r="BG2576" s="165" t="str">
        <f t="shared" si="1894"/>
        <v>L</v>
      </c>
      <c r="BH2576" s="65"/>
      <c r="BI2576" s="65"/>
      <c r="BJ2576" s="65"/>
      <c r="BK2576" s="65"/>
      <c r="BL2576" s="99"/>
      <c r="BM2576" s="99"/>
      <c r="BN2576" s="99"/>
    </row>
    <row r="2577" spans="1:66" s="51" customFormat="1" ht="15.75" x14ac:dyDescent="0.25">
      <c r="A2577" s="634">
        <v>15</v>
      </c>
      <c r="B2577" s="635" t="s">
        <v>291</v>
      </c>
      <c r="C2577" s="636" t="s">
        <v>3248</v>
      </c>
      <c r="D2577" s="637" t="s">
        <v>309</v>
      </c>
      <c r="E2577" s="638">
        <v>155.94999999999999</v>
      </c>
      <c r="F2577" s="639" t="s">
        <v>292</v>
      </c>
      <c r="G2577" s="484">
        <v>0</v>
      </c>
      <c r="H2577" s="691" t="str">
        <f>IF(G2577=0,"",IF(F2577="Buy",IF(G2577=1,"plant","plants"),IF(F2577&gt;0.01,"warranty","Error")))</f>
        <v/>
      </c>
      <c r="I2577" s="640">
        <f>IF(H2577="free",0,IF(H2577="credit",((E2577*(F2577))*G2577*-1),IF(F2577="Buy",(E2577*G2577),((E2577*(1-F2577))*G2577))))</f>
        <v>0</v>
      </c>
      <c r="J2577" s="640">
        <f>IF(H2577="warranty",0,(I2577*(_xlfn.SINGLE(SalesTaxPercentage))))</f>
        <v>0</v>
      </c>
      <c r="K2577" s="716">
        <f t="shared" ref="K2577" si="1935">I2577+J2577</f>
        <v>0</v>
      </c>
      <c r="L2577" s="716"/>
      <c r="M2577" s="689" t="str">
        <f ca="1">IF(AND(G2577&gt;0,E2577=0),"WARNING - no PRICE inserted",IF(H2577="free","FREE ~ no charge this plant",IF(H2577="credit",CONCATENATE("-$",ROUND(K2577*(1-_xlfn.SINGLE(T2GDiscount))*-1,2)," CREDIT after discount"),IF(_xlfn.SINGLE(T2GDiscount)=0,"",IF(G2577=0,"",IF(F2577="Buy",CONCATENATE("$",ROUND(K2577*(1-_xlfn.SINGLE(T2GDiscount)),2)," with ",(_xlfn.SINGLE(T2GDiscount)*100),"% discount"),CONCATENATE("$",ROUND(K2577*(1-_xlfn.SINGLE(T2GDiscount)),2)," with ",((_xlfn.SINGLE(T2GDiscount)*100+F2577*100)-(_xlfn.SINGLE(T2GDiscount)*100*F2577)),IF(F2577&gt;0,"% discounts",IF(_xlfn.SINGLE(NoWarrantyDiscount)&gt;0,"% discounts","% discount")))))))))</f>
        <v/>
      </c>
      <c r="N2577" s="690"/>
      <c r="O2577" s="486"/>
      <c r="P2577" s="486"/>
      <c r="Q2577" s="486"/>
      <c r="R2577" s="486"/>
      <c r="S2577" s="486"/>
      <c r="T2577" s="102">
        <f t="shared" si="1882"/>
        <v>0</v>
      </c>
      <c r="U2577" s="78">
        <f>IF(NOT(ISNUMBER(G2577)), "", VLOOKUP(A2577,'Discount Lookup'!D:E,2,FALSE)*G2577)</f>
        <v>0</v>
      </c>
      <c r="V2577" s="78">
        <f>IF(NOT(ISNUMBER(G2577)), "", VLOOKUP(A2577,'Discount Lookup'!G:H,2,FALSE)*G2577)</f>
        <v>0</v>
      </c>
      <c r="W2577" s="102">
        <f t="shared" si="1883"/>
        <v>0</v>
      </c>
      <c r="X2577" s="102">
        <f t="shared" si="1884"/>
        <v>0</v>
      </c>
      <c r="Y2577" s="120" t="b">
        <f t="shared" si="1885"/>
        <v>0</v>
      </c>
      <c r="Z2577" s="117">
        <f t="shared" si="1886"/>
        <v>0</v>
      </c>
      <c r="AA2577" s="118"/>
      <c r="AB2577" s="118" t="str">
        <f t="shared" si="1887"/>
        <v/>
      </c>
      <c r="AC2577" s="712" t="str">
        <f>IF(AE2577="T2G","no charge",IF(AND(OR(PlanterYesMe="No",PlanterYesMe="N",PlanterYesMe="me"),H2577=""),"",IF(H2577="credit","NO install",IF(AND(K2577="",AE2577="me"),"EACH row",IF(AND(K2577="images",AE2577="me"),"EACH row",IF(D2577="","",IF(H2577="credit","",IF(AE2577="free","re-planting",IF(AE2577="me","   not ELP, by",IF(AND(OR(PlanterYesMe="Yes",PlanterYesMe="Y"),G2577&gt;0),(VLOOKUP(A2577,'Discount Lookup'!J:K,2)*G2577*(1-PlanterDiscount)*(1+PlanterDifficultyPercentage)),IF(AE2577="ELP",(VLOOKUP(A2577,'Discount Lookup'!J:K,2)*G2577*(1-PlanterDiscount)*(1+PlanterDifficultyPercentage)),IF(AE2577="free","re-planting",IF(G2577=0,"",IF(PlanterYesMe="",IF(AE2577="me","   not ELP, by",IF(AE2577="",IF(G2577&gt;0,(VLOOKUP(A2577,'Discount Lookup'!J:K,2)*G2577*(1-PlanterDiscount)*(1+PlanterDifficultyPercentage)),""),"")),"   not ELP, by"))))))))))))))</f>
        <v/>
      </c>
      <c r="AD2577" s="712"/>
      <c r="AE2577" s="513" t="str">
        <f t="shared" si="1888"/>
        <v/>
      </c>
      <c r="AF2577" s="713" t="str">
        <f t="shared" si="1889"/>
        <v/>
      </c>
      <c r="AG2577" s="713"/>
      <c r="AH2577" s="713"/>
      <c r="AI2577" s="112">
        <f>IF(H2577="credit",0,IF(AE2577="free",0,IF(AE2577="me",0,IF(G2577&gt;0,(VLOOKUP(A2577,'Discount Lookup'!J:K,2)*G2577),0))))</f>
        <v>0</v>
      </c>
      <c r="AJ2577" s="107" t="str">
        <f t="shared" ca="1" si="1890"/>
        <v/>
      </c>
      <c r="AK2577" s="714" t="str">
        <f t="shared" si="1891"/>
        <v/>
      </c>
      <c r="AL2577" s="714"/>
      <c r="AM2577" s="114" t="str">
        <f t="shared" si="1892"/>
        <v/>
      </c>
      <c r="AN2577" s="115"/>
      <c r="AO2577" s="116"/>
      <c r="AP2577" s="116"/>
      <c r="AQ2577" s="116"/>
      <c r="AR2577" s="116"/>
      <c r="AS2577" s="116"/>
      <c r="AT2577" s="116"/>
      <c r="AU2577" s="116"/>
      <c r="AV2577" s="78"/>
      <c r="AW2577" s="102"/>
      <c r="AX2577" s="78"/>
      <c r="AY2577" s="78"/>
      <c r="AZ2577" s="78"/>
      <c r="BA2577" s="78"/>
      <c r="BB2577" s="78"/>
      <c r="BC2577" s="78"/>
      <c r="BD2577" s="78"/>
      <c r="BE2577" s="465"/>
      <c r="BF2577" s="165" t="str">
        <f t="shared" si="1893"/>
        <v>https://www.google.com/search?tbm=isch&amp;q=15%20G3</v>
      </c>
      <c r="BG2577" s="165" t="str">
        <f t="shared" si="1894"/>
        <v>L</v>
      </c>
      <c r="BH2577" s="65"/>
      <c r="BI2577" s="65"/>
      <c r="BJ2577" s="65"/>
      <c r="BK2577" s="65"/>
      <c r="BL2577" s="99"/>
      <c r="BM2577" s="99"/>
      <c r="BN2577" s="99"/>
    </row>
    <row r="2578" spans="1:66" s="51" customFormat="1" ht="15.75" x14ac:dyDescent="0.25">
      <c r="A2578" s="634">
        <v>20</v>
      </c>
      <c r="B2578" s="635" t="s">
        <v>291</v>
      </c>
      <c r="C2578" s="636" t="s">
        <v>3249</v>
      </c>
      <c r="D2578" s="637" t="s">
        <v>309</v>
      </c>
      <c r="E2578" s="638">
        <v>224.95</v>
      </c>
      <c r="F2578" s="639" t="s">
        <v>292</v>
      </c>
      <c r="G2578" s="484">
        <v>0</v>
      </c>
      <c r="H2578" s="691" t="str">
        <f>IF(G2578=0,"",IF(F2578="Buy",IF(G2578=1,"plant","plants"),IF(F2578&gt;0.01,"warranty","Error")))</f>
        <v/>
      </c>
      <c r="I2578" s="640">
        <f>IF(H2578="free",0,IF(H2578="credit",((E2578*(F2578))*G2578*-1),IF(F2578="Buy",(E2578*G2578),((E2578*(1-F2578))*G2578))))</f>
        <v>0</v>
      </c>
      <c r="J2578" s="640">
        <f>IF(H2578="warranty",0,(I2578*(_xlfn.SINGLE(SalesTaxPercentage))))</f>
        <v>0</v>
      </c>
      <c r="K2578" s="716">
        <f t="shared" ref="K2578" si="1936">I2578+J2578</f>
        <v>0</v>
      </c>
      <c r="L2578" s="716"/>
      <c r="M2578" s="689" t="str">
        <f ca="1">IF(AND(G2578&gt;0,E2578=0),"WARNING - no PRICE inserted",IF(H2578="free","FREE ~ no charge this plant",IF(H2578="credit",CONCATENATE("-$",ROUND(K2578*(1-_xlfn.SINGLE(T2GDiscount))*-1,2)," CREDIT after discount"),IF(_xlfn.SINGLE(T2GDiscount)=0,"",IF(G2578=0,"",IF(F2578="Buy",CONCATENATE("$",ROUND(K2578*(1-_xlfn.SINGLE(T2GDiscount)),2)," with ",(_xlfn.SINGLE(T2GDiscount)*100),"% discount"),CONCATENATE("$",ROUND(K2578*(1-_xlfn.SINGLE(T2GDiscount)),2)," with ",((_xlfn.SINGLE(T2GDiscount)*100+F2578*100)-(_xlfn.SINGLE(T2GDiscount)*100*F2578)),IF(F2578&gt;0,"% discounts",IF(_xlfn.SINGLE(NoWarrantyDiscount)&gt;0,"% discounts","% discount")))))))))</f>
        <v/>
      </c>
      <c r="N2578" s="690"/>
      <c r="O2578" s="486"/>
      <c r="P2578" s="486"/>
      <c r="Q2578" s="486"/>
      <c r="R2578" s="486"/>
      <c r="S2578" s="486"/>
      <c r="T2578" s="102">
        <f t="shared" si="1882"/>
        <v>0</v>
      </c>
      <c r="U2578" s="78">
        <f>IF(NOT(ISNUMBER(G2578)), "", VLOOKUP(A2578,'Discount Lookup'!D:E,2,FALSE)*G2578)</f>
        <v>0</v>
      </c>
      <c r="V2578" s="78">
        <f>IF(NOT(ISNUMBER(G2578)), "", VLOOKUP(A2578,'Discount Lookup'!G:H,2,FALSE)*G2578)</f>
        <v>0</v>
      </c>
      <c r="W2578" s="102">
        <f t="shared" si="1883"/>
        <v>0</v>
      </c>
      <c r="X2578" s="102">
        <f t="shared" si="1884"/>
        <v>0</v>
      </c>
      <c r="Y2578" s="120" t="b">
        <f t="shared" si="1885"/>
        <v>0</v>
      </c>
      <c r="Z2578" s="117">
        <f t="shared" si="1886"/>
        <v>0</v>
      </c>
      <c r="AA2578" s="118"/>
      <c r="AB2578" s="118" t="str">
        <f t="shared" si="1887"/>
        <v/>
      </c>
      <c r="AC2578" s="712" t="str">
        <f>IF(AE2578="T2G","no charge",IF(AND(OR(PlanterYesMe="No",PlanterYesMe="N",PlanterYesMe="me"),H2578=""),"",IF(H2578="credit","NO install",IF(AND(K2578="",AE2578="me"),"EACH row",IF(AND(K2578="images",AE2578="me"),"EACH row",IF(D2578="","",IF(H2578="credit","",IF(AE2578="free","re-planting",IF(AE2578="me","   not ELP, by",IF(AND(OR(PlanterYesMe="Yes",PlanterYesMe="Y"),G2578&gt;0),(VLOOKUP(A2578,'Discount Lookup'!J:K,2)*G2578*(1-PlanterDiscount)*(1+PlanterDifficultyPercentage)),IF(AE2578="ELP",(VLOOKUP(A2578,'Discount Lookup'!J:K,2)*G2578*(1-PlanterDiscount)*(1+PlanterDifficultyPercentage)),IF(AE2578="free","re-planting",IF(G2578=0,"",IF(PlanterYesMe="",IF(AE2578="me","   not ELP, by",IF(AE2578="",IF(G2578&gt;0,(VLOOKUP(A2578,'Discount Lookup'!J:K,2)*G2578*(1-PlanterDiscount)*(1+PlanterDifficultyPercentage)),""),"")),"   not ELP, by"))))))))))))))</f>
        <v/>
      </c>
      <c r="AD2578" s="712"/>
      <c r="AE2578" s="513" t="str">
        <f t="shared" si="1888"/>
        <v/>
      </c>
      <c r="AF2578" s="713" t="str">
        <f t="shared" si="1889"/>
        <v/>
      </c>
      <c r="AG2578" s="713"/>
      <c r="AH2578" s="713"/>
      <c r="AI2578" s="112">
        <f>IF(H2578="credit",0,IF(AE2578="free",0,IF(AE2578="me",0,IF(G2578&gt;0,(VLOOKUP(A2578,'Discount Lookup'!J:K,2)*G2578),0))))</f>
        <v>0</v>
      </c>
      <c r="AJ2578" s="107" t="str">
        <f t="shared" ca="1" si="1890"/>
        <v/>
      </c>
      <c r="AK2578" s="714" t="str">
        <f t="shared" si="1891"/>
        <v/>
      </c>
      <c r="AL2578" s="714"/>
      <c r="AM2578" s="114" t="str">
        <f t="shared" si="1892"/>
        <v/>
      </c>
      <c r="AN2578" s="115"/>
      <c r="AO2578" s="116"/>
      <c r="AP2578" s="116"/>
      <c r="AQ2578" s="116"/>
      <c r="AR2578" s="116"/>
      <c r="AS2578" s="116"/>
      <c r="AT2578" s="116"/>
      <c r="AU2578" s="116"/>
      <c r="AV2578" s="78"/>
      <c r="AW2578" s="102"/>
      <c r="AX2578" s="78"/>
      <c r="AY2578" s="78"/>
      <c r="AZ2578" s="78"/>
      <c r="BA2578" s="78"/>
      <c r="BB2578" s="78"/>
      <c r="BC2578" s="78"/>
      <c r="BD2578" s="78"/>
      <c r="BE2578" s="465"/>
      <c r="BF2578" s="165" t="str">
        <f t="shared" si="1893"/>
        <v>https://www.google.com/search?tbm=isch&amp;q=20%20G3</v>
      </c>
      <c r="BG2578" s="165" t="str">
        <f t="shared" si="1894"/>
        <v>L</v>
      </c>
      <c r="BH2578" s="65"/>
      <c r="BI2578" s="65"/>
      <c r="BJ2578" s="65"/>
      <c r="BK2578" s="65"/>
      <c r="BL2578" s="99"/>
      <c r="BM2578" s="99"/>
      <c r="BN2578" s="99"/>
    </row>
    <row r="2579" spans="1:66" s="51" customFormat="1" ht="15.75" x14ac:dyDescent="0.25">
      <c r="A2579" s="634">
        <v>25</v>
      </c>
      <c r="B2579" s="635" t="s">
        <v>291</v>
      </c>
      <c r="C2579" s="636" t="s">
        <v>3250</v>
      </c>
      <c r="D2579" s="637" t="s">
        <v>293</v>
      </c>
      <c r="E2579" s="638">
        <v>314.95</v>
      </c>
      <c r="F2579" s="639" t="s">
        <v>292</v>
      </c>
      <c r="G2579" s="484">
        <v>0</v>
      </c>
      <c r="H2579" s="691" t="str">
        <f>IF(G2579=0,"",IF(F2579="Buy",IF(G2579=1,"plant","plants"),IF(F2579&gt;0.01,"warranty","Error")))</f>
        <v/>
      </c>
      <c r="I2579" s="640">
        <f>IF(H2579="free",0,IF(H2579="credit",((E2579*(F2579))*G2579*-1),IF(F2579="Buy",(E2579*G2579),((E2579*(1-F2579))*G2579))))</f>
        <v>0</v>
      </c>
      <c r="J2579" s="640">
        <f>IF(H2579="warranty",0,(I2579*(_xlfn.SINGLE(SalesTaxPercentage))))</f>
        <v>0</v>
      </c>
      <c r="K2579" s="716">
        <f t="shared" ref="K2579" si="1937">I2579+J2579</f>
        <v>0</v>
      </c>
      <c r="L2579" s="716"/>
      <c r="M2579" s="689" t="str">
        <f ca="1">IF(AND(G2579&gt;0,E2579=0),"WARNING - no PRICE inserted",IF(H2579="free","FREE ~ no charge this plant",IF(H2579="credit",CONCATENATE("-$",ROUND(K2579*(1-_xlfn.SINGLE(T2GDiscount))*-1,2)," CREDIT after discount"),IF(_xlfn.SINGLE(T2GDiscount)=0,"",IF(G2579=0,"",IF(F2579="Buy",CONCATENATE("$",ROUND(K2579*(1-_xlfn.SINGLE(T2GDiscount)),2)," with ",(_xlfn.SINGLE(T2GDiscount)*100),"% discount"),CONCATENATE("$",ROUND(K2579*(1-_xlfn.SINGLE(T2GDiscount)),2)," with ",((_xlfn.SINGLE(T2GDiscount)*100+F2579*100)-(_xlfn.SINGLE(T2GDiscount)*100*F2579)),IF(F2579&gt;0,"% discounts",IF(_xlfn.SINGLE(NoWarrantyDiscount)&gt;0,"% discounts","% discount")))))))))</f>
        <v/>
      </c>
      <c r="N2579" s="690"/>
      <c r="O2579" s="486"/>
      <c r="P2579" s="486"/>
      <c r="Q2579" s="486"/>
      <c r="R2579" s="486"/>
      <c r="S2579" s="486"/>
      <c r="T2579" s="102">
        <f t="shared" si="1882"/>
        <v>0</v>
      </c>
      <c r="U2579" s="78">
        <f>IF(NOT(ISNUMBER(G2579)), "", VLOOKUP(A2579,'Discount Lookup'!D:E,2,FALSE)*G2579)</f>
        <v>0</v>
      </c>
      <c r="V2579" s="78">
        <f>IF(NOT(ISNUMBER(G2579)), "", VLOOKUP(A2579,'Discount Lookup'!G:H,2,FALSE)*G2579)</f>
        <v>0</v>
      </c>
      <c r="W2579" s="102">
        <f t="shared" si="1883"/>
        <v>0</v>
      </c>
      <c r="X2579" s="102">
        <f t="shared" si="1884"/>
        <v>0</v>
      </c>
      <c r="Y2579" s="120" t="b">
        <f t="shared" si="1885"/>
        <v>0</v>
      </c>
      <c r="Z2579" s="117">
        <f t="shared" si="1886"/>
        <v>0</v>
      </c>
      <c r="AA2579" s="118"/>
      <c r="AB2579" s="118" t="str">
        <f t="shared" si="1887"/>
        <v/>
      </c>
      <c r="AC2579" s="712" t="str">
        <f>IF(AE2579="T2G","no charge",IF(AND(OR(PlanterYesMe="No",PlanterYesMe="N",PlanterYesMe="me"),H2579=""),"",IF(H2579="credit","NO install",IF(AND(K2579="",AE2579="me"),"EACH row",IF(AND(K2579="images",AE2579="me"),"EACH row",IF(D2579="","",IF(H2579="credit","",IF(AE2579="free","re-planting",IF(AE2579="me","   not ELP, by",IF(AND(OR(PlanterYesMe="Yes",PlanterYesMe="Y"),G2579&gt;0),(VLOOKUP(A2579,'Discount Lookup'!J:K,2)*G2579*(1-PlanterDiscount)*(1+PlanterDifficultyPercentage)),IF(AE2579="ELP",(VLOOKUP(A2579,'Discount Lookup'!J:K,2)*G2579*(1-PlanterDiscount)*(1+PlanterDifficultyPercentage)),IF(AE2579="free","re-planting",IF(G2579=0,"",IF(PlanterYesMe="",IF(AE2579="me","   not ELP, by",IF(AE2579="",IF(G2579&gt;0,(VLOOKUP(A2579,'Discount Lookup'!J:K,2)*G2579*(1-PlanterDiscount)*(1+PlanterDifficultyPercentage)),""),"")),"   not ELP, by"))))))))))))))</f>
        <v/>
      </c>
      <c r="AD2579" s="712"/>
      <c r="AE2579" s="513" t="str">
        <f t="shared" si="1888"/>
        <v/>
      </c>
      <c r="AF2579" s="713" t="str">
        <f t="shared" si="1889"/>
        <v/>
      </c>
      <c r="AG2579" s="713"/>
      <c r="AH2579" s="713"/>
      <c r="AI2579" s="112">
        <f>IF(H2579="credit",0,IF(AE2579="free",0,IF(AE2579="me",0,IF(G2579&gt;0,(VLOOKUP(A2579,'Discount Lookup'!J:K,2)*G2579),0))))</f>
        <v>0</v>
      </c>
      <c r="AJ2579" s="107" t="str">
        <f t="shared" ca="1" si="1890"/>
        <v/>
      </c>
      <c r="AK2579" s="714" t="str">
        <f t="shared" si="1891"/>
        <v/>
      </c>
      <c r="AL2579" s="714"/>
      <c r="AM2579" s="114" t="str">
        <f t="shared" si="1892"/>
        <v/>
      </c>
      <c r="AN2579" s="115"/>
      <c r="AO2579" s="116"/>
      <c r="AP2579" s="116"/>
      <c r="AQ2579" s="116"/>
      <c r="AR2579" s="116"/>
      <c r="AS2579" s="116"/>
      <c r="AT2579" s="116"/>
      <c r="AU2579" s="116"/>
      <c r="AV2579" s="78"/>
      <c r="AW2579" s="102"/>
      <c r="AX2579" s="78"/>
      <c r="AY2579" s="78"/>
      <c r="AZ2579" s="78"/>
      <c r="BA2579" s="78"/>
      <c r="BB2579" s="78"/>
      <c r="BC2579" s="78"/>
      <c r="BD2579" s="78"/>
      <c r="BE2579" s="465"/>
      <c r="BF2579" s="165" t="str">
        <f t="shared" si="1893"/>
        <v>https://www.google.com/search?tbm=isch&amp;q=25%20G6</v>
      </c>
      <c r="BG2579" s="165" t="str">
        <f t="shared" si="1894"/>
        <v>L</v>
      </c>
      <c r="BH2579" s="65"/>
      <c r="BI2579" s="65"/>
      <c r="BJ2579" s="65"/>
      <c r="BK2579" s="65"/>
      <c r="BL2579" s="99"/>
      <c r="BM2579" s="99"/>
      <c r="BN2579" s="99"/>
    </row>
    <row r="2580" spans="1:66" s="51" customFormat="1" ht="17.25" thickBot="1" x14ac:dyDescent="0.3">
      <c r="A2580" s="641" t="s">
        <v>3251</v>
      </c>
      <c r="B2580" s="642"/>
      <c r="C2580" s="710"/>
      <c r="D2580" s="643"/>
      <c r="E2580" s="643"/>
      <c r="F2580" s="644"/>
      <c r="G2580" s="645"/>
      <c r="H2580" s="646"/>
      <c r="I2580" s="647"/>
      <c r="J2580" s="648"/>
      <c r="K2580" s="649"/>
      <c r="L2580" s="650"/>
      <c r="M2580" s="650"/>
      <c r="N2580" s="644"/>
      <c r="O2580" s="644"/>
      <c r="P2580" s="644"/>
      <c r="Q2580" s="644"/>
      <c r="R2580" s="644"/>
      <c r="S2580" s="651"/>
      <c r="T2580" s="102">
        <f t="shared" ref="T2580:T2643" si="1938">E2580*G2580</f>
        <v>0</v>
      </c>
      <c r="U2580" s="78" t="str">
        <f>IF(NOT(ISNUMBER(G2580)), "", VLOOKUP(A2580,'Discount Lookup'!D:E,2,FALSE)*G2580)</f>
        <v/>
      </c>
      <c r="V2580" s="78" t="str">
        <f>IF(NOT(ISNUMBER(G2580)), "", VLOOKUP(A2580,'Discount Lookup'!G:H,2,FALSE)*G2580)</f>
        <v/>
      </c>
      <c r="W2580" s="102">
        <f t="shared" ref="W2580:W2643" si="1939">IF(H2580="credit",0,E2580*(SalesTaxPercentage)*G2580)</f>
        <v>0</v>
      </c>
      <c r="X2580" s="102">
        <f t="shared" ref="X2580:X2643" si="1940">I2580</f>
        <v>0</v>
      </c>
      <c r="Y2580" s="120" t="b">
        <f t="shared" ref="Y2580:Y2643" si="1941">IF(AE2580="T2G",0,IF(H2580="credit",0,IF(G2580&gt;0,IF(AE2580="me","",G2580))))</f>
        <v>0</v>
      </c>
      <c r="Z2580" s="117">
        <f t="shared" ref="Z2580:Z2643" si="1942">IF(H2580="credit",G2580,0)</f>
        <v>0</v>
      </c>
      <c r="AA2580" s="118"/>
      <c r="AB2580" s="118" t="str">
        <f t="shared" ref="AB2580:AB2643" si="1943">IF(AE2580="T2G","by Trees2Go",IF(H2580="credit","CREDIT only ~",IF(AND(K2580="",AE2580=OR(PlanterYesMe="No",PlanterYesMe="N",PlanterYesMe="me")),"not THIS line⇨",IF(AND(K2580="images",AE2580="me"),"not THIS line⇨",IF(H2580="credit","",IF(G2580=0,"",IF(AE2580="me","",IF(OR(PlanterYesMe="No",PlanterYesMe="N",PlanterYesMe="me"),"",IF(AE2580="free","warranty",IF(OR(PlanterYesMe="yes",PlanterYesMe="y"),"Edison install:","to install:"))))))))))</f>
        <v/>
      </c>
      <c r="AC2580" s="712" t="str">
        <f>IF(AE2580="T2G","no charge",IF(AND(OR(PlanterYesMe="No",PlanterYesMe="N",PlanterYesMe="me"),H2580=""),"",IF(H2580="credit","NO install",IF(AND(K2580="",AE2580="me"),"EACH row",IF(AND(K2580="images",AE2580="me"),"EACH row",IF(D2580="","",IF(H2580="credit","",IF(AE2580="free","re-planting",IF(AE2580="me","   not ELP, by",IF(AND(OR(PlanterYesMe="Yes",PlanterYesMe="Y"),G2580&gt;0),(VLOOKUP(A2580,'Discount Lookup'!J:K,2)*G2580*(1-PlanterDiscount)*(1+PlanterDifficultyPercentage)),IF(AE2580="ELP",(VLOOKUP(A2580,'Discount Lookup'!J:K,2)*G2580*(1-PlanterDiscount)*(1+PlanterDifficultyPercentage)),IF(AE2580="free","re-planting",IF(G2580=0,"",IF(PlanterYesMe="",IF(AE2580="me","   not ELP, by",IF(AE2580="",IF(G2580&gt;0,(VLOOKUP(A2580,'Discount Lookup'!J:K,2)*G2580*(1-PlanterDiscount)*(1+PlanterDifficultyPercentage)),""),"")),"   not ELP, by"))))))))))))))</f>
        <v/>
      </c>
      <c r="AD2580" s="712"/>
      <c r="AE2580" s="513" t="str">
        <f t="shared" ref="AE2580:AE2643" si="1944">IF(H2580="credit","",IF(G2580=0,"",IF(OR(PlanterYesMe="No",PlanterYesMe="N",PlanterYesMe="me"),"me",IF(H2580="warranty","free",IF(OR(PlanterYesMe="yes",PlanterYesMe="y"),"ELP","")))))</f>
        <v/>
      </c>
      <c r="AF2580" s="713" t="str">
        <f t="shared" ref="AF2580:AF2643" si="1945">IF(OR(PlanterYesMe="No",PlanterYesMe="N",PlanterYesMe="me"),"",IF(H2580="credit","",IF(G2580&gt;0,(CONCATENATE((G2580)," quantity, ",(A2580)," ",B2580)),"")))</f>
        <v/>
      </c>
      <c r="AG2580" s="713"/>
      <c r="AH2580" s="713"/>
      <c r="AI2580" s="112">
        <f>IF(H2580="credit",0,IF(AE2580="free",0,IF(AE2580="me",0,IF(G2580&gt;0,(VLOOKUP(A2580,'Discount Lookup'!J:K,2)*G2580),0))))</f>
        <v>0</v>
      </c>
      <c r="AJ2580" s="107" t="str">
        <f t="shared" ref="AJ2580:AJ2643" ca="1" si="1946">IF(AND(ISREF(H2580),H2580="credit"),"",IF(AND(AND(OFFSET(G2580,0,0)=0,OFFSET(G2580,1,0)&gt;0,ISNUMBER(OFFSET(AC2580,1,0)),OFFSET(AC2580,1,0)&gt;0),OR(PlanterYesMe="yes",PlanterYesMe="y")),"T2G+ELP=",IF(AND(OFFSET(G2580,0,0)=0,OFFSET(G2580,1,0)&gt;0,ISNUMBER(OFFSET(AC2580,1,0)),OFFSET(AC2580,1,0)&gt;0),"if T2G+ELP=",IF(AND(OFFSET(G2580,0,0)=0,OFFSET(G2580,1,0)&gt;0),"T2G Subtotal",IF(H2580="credit","",IF(G2580=0,"",IF(AE2580="free",(K2580*(1-T2GDiscount)),IF(OR(PlanterYesMe="No",PlanterYesMe="N",PlanterYesMe="me"),(K2580*(1-T2GDiscount)),IF(OR(AE2580="me",AE2580="T2G"),(K2580*(1-T2GDiscount)),(K2580*(1-T2GDiscount))+AC2580)))))))))</f>
        <v/>
      </c>
      <c r="AK2580" s="714" t="str">
        <f t="shared" ref="AK2580:AK2643" si="1947">IF(H2580="credit","",IF(G2580=0,"",IF(OR(AE2580="me",AE2580="T2G"),"  delivery-only",IF(OR(PlanterYesMe="No",PlanterYesMe="N",PlanterYesMe="me"),"  delivery-only",CONCATENATE(" $",ROUND(AJ2580/G2580,2)," each")))))</f>
        <v/>
      </c>
      <c r="AL2580" s="714"/>
      <c r="AM2580" s="114" t="str">
        <f t="shared" ref="AM2580:AM2643" si="1948">IF(H2580="credit","",IF(AE2580="free","      ~ discounts included, no tax or planting fee applies ~",IF(G2580=0,"",IF(OR(PlanterYesMe="No",PlanterYesMe="N",PlanterYesMe="me"),CONCATENATE(" $",ROUND(AJ2580/G2580,2)," per plant, with tax &amp; discount"),IF(OR(AE2580="me",AE2580="T2G"),CONCATENATE(" $",ROUND(AJ2580/G2580,2)," per plant, with tax &amp; discount"),CONCATENATE("= $",ROUND((K2580*(1-T2GDiscount))/G2580,2)," per plant + $",AC2580/G2580,(" per planting      ~ includes tax &amp; discounts ~")))))))</f>
        <v/>
      </c>
      <c r="AN2580" s="115"/>
      <c r="AO2580" s="116"/>
      <c r="AP2580" s="116"/>
      <c r="AQ2580" s="116"/>
      <c r="AR2580" s="116"/>
      <c r="AS2580" s="116"/>
      <c r="AT2580" s="116"/>
      <c r="AU2580" s="116"/>
      <c r="AV2580" s="78"/>
      <c r="AW2580" s="102"/>
      <c r="AX2580" s="78"/>
      <c r="AY2580" s="78"/>
      <c r="AZ2580" s="78"/>
      <c r="BA2580" s="78"/>
      <c r="BB2580" s="78"/>
      <c r="BC2580" s="78"/>
      <c r="BD2580" s="78"/>
      <c r="BE2580" s="465"/>
      <c r="BF2580" s="165" t="str">
        <f t="shared" ref="BF2580:BF2643" si="1949">"https://www.google.com/search?tbm=isch&amp;q=" &amp; _xlfn.ENCODEURL($A2580 &amp; " " &amp; $D2580)</f>
        <v>https://www.google.com/search?tbm=isch&amp;q=Tuscarora%20has%20one%20of%20the%20longest%20blooming%20seasons%20of%20any%20crape%20myrtle.%20Grey%20bark%20</v>
      </c>
      <c r="BG2580" s="165" t="str">
        <f t="shared" ref="BG2580:BG2643" si="1950">IF(ISTEXT(A2580),LEFT(A2580,1),BG2579)</f>
        <v>T</v>
      </c>
      <c r="BH2580" s="65"/>
      <c r="BI2580" s="65"/>
      <c r="BJ2580" s="65"/>
      <c r="BK2580" s="65"/>
      <c r="BL2580" s="99"/>
      <c r="BM2580" s="99"/>
      <c r="BN2580" s="99"/>
    </row>
    <row r="2581" spans="1:66" s="51" customFormat="1" ht="18" x14ac:dyDescent="0.25">
      <c r="A2581" s="623" t="s">
        <v>3252</v>
      </c>
      <c r="B2581" s="624"/>
      <c r="C2581" s="709"/>
      <c r="D2581" s="625" t="s">
        <v>3253</v>
      </c>
      <c r="E2581" s="626"/>
      <c r="F2581" s="626"/>
      <c r="G2581" s="626"/>
      <c r="H2581" s="622" t="s">
        <v>1139</v>
      </c>
      <c r="I2581" s="627" t="s">
        <v>2721</v>
      </c>
      <c r="J2581" s="628"/>
      <c r="K2581" s="628"/>
      <c r="L2581" s="629"/>
      <c r="M2581" s="700" t="s">
        <v>5241</v>
      </c>
      <c r="N2581" s="693" t="str">
        <f>IF(AND(ISTEXT($A2581), ISERROR($A2581+0)), HYPERLINK($BF2581, "Images"), "")</f>
        <v>Images</v>
      </c>
      <c r="O2581" s="695" t="s">
        <v>5247</v>
      </c>
      <c r="P2581" s="630"/>
      <c r="Q2581" s="631"/>
      <c r="R2581" s="632"/>
      <c r="S2581" s="633"/>
      <c r="T2581" s="102">
        <f t="shared" si="1938"/>
        <v>0</v>
      </c>
      <c r="U2581" s="78" t="str">
        <f>IF(NOT(ISNUMBER(G2581)), "", VLOOKUP(A2581,'Discount Lookup'!D:E,2,FALSE)*G2581)</f>
        <v/>
      </c>
      <c r="V2581" s="78" t="str">
        <f>IF(NOT(ISNUMBER(G2581)), "", VLOOKUP(A2581,'Discount Lookup'!G:H,2,FALSE)*G2581)</f>
        <v/>
      </c>
      <c r="W2581" s="102">
        <f t="shared" si="1939"/>
        <v>0</v>
      </c>
      <c r="X2581" s="102" t="str">
        <f t="shared" si="1940"/>
        <v>Lavender bloom</v>
      </c>
      <c r="Y2581" s="120" t="b">
        <f t="shared" si="1941"/>
        <v>0</v>
      </c>
      <c r="Z2581" s="117">
        <f t="shared" si="1942"/>
        <v>0</v>
      </c>
      <c r="AA2581" s="118"/>
      <c r="AB2581" s="118" t="str">
        <f t="shared" si="1943"/>
        <v/>
      </c>
      <c r="AC2581" s="712" t="str">
        <f>IF(AE2581="T2G","no charge",IF(AND(OR(PlanterYesMe="No",PlanterYesMe="N",PlanterYesMe="me"),H2581=""),"",IF(H2581="credit","NO install",IF(AND(K2581="",AE2581="me"),"EACH row",IF(AND(K2581="images",AE2581="me"),"EACH row",IF(D2581="","",IF(H2581="credit","",IF(AE2581="free","re-planting",IF(AE2581="me","   not ELP, by",IF(AND(OR(PlanterYesMe="Yes",PlanterYesMe="Y"),G2581&gt;0),(VLOOKUP(A2581,'Discount Lookup'!J:K,2)*G2581*(1-PlanterDiscount)*(1+PlanterDifficultyPercentage)),IF(AE2581="ELP",(VLOOKUP(A2581,'Discount Lookup'!J:K,2)*G2581*(1-PlanterDiscount)*(1+PlanterDifficultyPercentage)),IF(AE2581="free","re-planting",IF(G2581=0,"",IF(PlanterYesMe="",IF(AE2581="me","   not ELP, by",IF(AE2581="",IF(G2581&gt;0,(VLOOKUP(A2581,'Discount Lookup'!J:K,2)*G2581*(1-PlanterDiscount)*(1+PlanterDifficultyPercentage)),""),"")),"   not ELP, by"))))))))))))))</f>
        <v/>
      </c>
      <c r="AD2581" s="712"/>
      <c r="AE2581" s="513" t="str">
        <f t="shared" si="1944"/>
        <v/>
      </c>
      <c r="AF2581" s="713" t="str">
        <f t="shared" si="1945"/>
        <v/>
      </c>
      <c r="AG2581" s="713"/>
      <c r="AH2581" s="713"/>
      <c r="AI2581" s="112">
        <f>IF(H2581="credit",0,IF(AE2581="free",0,IF(AE2581="me",0,IF(G2581&gt;0,(VLOOKUP(A2581,'Discount Lookup'!J:K,2)*G2581),0))))</f>
        <v>0</v>
      </c>
      <c r="AJ2581" s="107" t="str">
        <f t="shared" ca="1" si="1946"/>
        <v/>
      </c>
      <c r="AK2581" s="714" t="str">
        <f t="shared" si="1947"/>
        <v/>
      </c>
      <c r="AL2581" s="714"/>
      <c r="AM2581" s="114" t="str">
        <f t="shared" si="1948"/>
        <v/>
      </c>
      <c r="AN2581" s="115"/>
      <c r="AO2581" s="116"/>
      <c r="AP2581" s="116"/>
      <c r="AQ2581" s="116"/>
      <c r="AR2581" s="116"/>
      <c r="AS2581" s="116"/>
      <c r="AT2581" s="116"/>
      <c r="AU2581" s="116"/>
      <c r="AV2581" s="78"/>
      <c r="AW2581" s="102"/>
      <c r="AX2581" s="78"/>
      <c r="AY2581" s="78"/>
      <c r="AZ2581" s="78"/>
      <c r="BA2581" s="78"/>
      <c r="BB2581" s="78"/>
      <c r="BC2581" s="78"/>
      <c r="BD2581" s="78"/>
      <c r="BE2581" s="465"/>
      <c r="BF2581" s="165" t="str">
        <f t="shared" si="1949"/>
        <v>https://www.google.com/search?tbm=isch&amp;q=Lagerstroemia%20indica%20x%20fauriel%20%27Muskogee%27%20Muskogee%20Crape%20Myrtle</v>
      </c>
      <c r="BG2581" s="165" t="str">
        <f t="shared" si="1950"/>
        <v>L</v>
      </c>
      <c r="BH2581" s="65"/>
      <c r="BI2581" s="65"/>
      <c r="BJ2581" s="65"/>
      <c r="BK2581" s="65"/>
      <c r="BL2581" s="99"/>
      <c r="BM2581" s="99"/>
      <c r="BN2581" s="99"/>
    </row>
    <row r="2582" spans="1:66" s="51" customFormat="1" ht="15.75" x14ac:dyDescent="0.25">
      <c r="A2582" s="634">
        <v>3</v>
      </c>
      <c r="B2582" s="635" t="s">
        <v>291</v>
      </c>
      <c r="C2582" s="636" t="s">
        <v>3254</v>
      </c>
      <c r="D2582" s="637" t="s">
        <v>309</v>
      </c>
      <c r="E2582" s="638">
        <v>33.950000000000003</v>
      </c>
      <c r="F2582" s="639" t="s">
        <v>292</v>
      </c>
      <c r="G2582" s="484">
        <v>0</v>
      </c>
      <c r="H2582" s="691" t="str">
        <f t="shared" ref="H2582:H2590" si="1951">IF(G2582=0,"",IF(F2582="Buy",IF(G2582=1,"plant","plants"),IF(F2582&gt;0.01,"warranty","Error")))</f>
        <v/>
      </c>
      <c r="I2582" s="640">
        <f t="shared" ref="I2582:I2590" si="1952">IF(H2582="free",0,IF(H2582="credit",((E2582*(F2582))*G2582*-1),IF(F2582="Buy",(E2582*G2582),((E2582*(1-F2582))*G2582))))</f>
        <v>0</v>
      </c>
      <c r="J2582" s="640">
        <f t="shared" ref="J2582:J2590" si="1953">IF(H2582="warranty",0,(I2582*(_xlfn.SINGLE(SalesTaxPercentage))))</f>
        <v>0</v>
      </c>
      <c r="K2582" s="716">
        <f t="shared" ref="K2582" si="1954">I2582+J2582</f>
        <v>0</v>
      </c>
      <c r="L2582" s="716"/>
      <c r="M2582" s="689" t="str">
        <f t="shared" ref="M2582:M2590" ca="1" si="1955">IF(AND(G2582&gt;0,E2582=0),"WARNING - no PRICE inserted",IF(H2582="free","FREE ~ no charge this plant",IF(H2582="credit",CONCATENATE("-$",ROUND(K2582*(1-_xlfn.SINGLE(T2GDiscount))*-1,2)," CREDIT after discount"),IF(_xlfn.SINGLE(T2GDiscount)=0,"",IF(G2582=0,"",IF(F2582="Buy",CONCATENATE("$",ROUND(K2582*(1-_xlfn.SINGLE(T2GDiscount)),2)," with ",(_xlfn.SINGLE(T2GDiscount)*100),"% discount"),CONCATENATE("$",ROUND(K2582*(1-_xlfn.SINGLE(T2GDiscount)),2)," with ",((_xlfn.SINGLE(T2GDiscount)*100+F2582*100)-(_xlfn.SINGLE(T2GDiscount)*100*F2582)),IF(F2582&gt;0,"% discounts",IF(_xlfn.SINGLE(NoWarrantyDiscount)&gt;0,"% discounts","% discount")))))))))</f>
        <v/>
      </c>
      <c r="N2582" s="690"/>
      <c r="O2582" s="486"/>
      <c r="P2582" s="486"/>
      <c r="Q2582" s="486"/>
      <c r="R2582" s="486"/>
      <c r="S2582" s="486"/>
      <c r="T2582" s="102">
        <f t="shared" si="1938"/>
        <v>0</v>
      </c>
      <c r="U2582" s="78">
        <f>IF(NOT(ISNUMBER(G2582)), "", VLOOKUP(A2582,'Discount Lookup'!D:E,2,FALSE)*G2582)</f>
        <v>0</v>
      </c>
      <c r="V2582" s="78">
        <f>IF(NOT(ISNUMBER(G2582)), "", VLOOKUP(A2582,'Discount Lookup'!G:H,2,FALSE)*G2582)</f>
        <v>0</v>
      </c>
      <c r="W2582" s="102">
        <f t="shared" si="1939"/>
        <v>0</v>
      </c>
      <c r="X2582" s="102">
        <f t="shared" si="1940"/>
        <v>0</v>
      </c>
      <c r="Y2582" s="120" t="b">
        <f t="shared" si="1941"/>
        <v>0</v>
      </c>
      <c r="Z2582" s="117">
        <f t="shared" si="1942"/>
        <v>0</v>
      </c>
      <c r="AA2582" s="118"/>
      <c r="AB2582" s="118" t="str">
        <f t="shared" si="1943"/>
        <v/>
      </c>
      <c r="AC2582" s="712" t="str">
        <f>IF(AE2582="T2G","no charge",IF(AND(OR(PlanterYesMe="No",PlanterYesMe="N",PlanterYesMe="me"),H2582=""),"",IF(H2582="credit","NO install",IF(AND(K2582="",AE2582="me"),"EACH row",IF(AND(K2582="images",AE2582="me"),"EACH row",IF(D2582="","",IF(H2582="credit","",IF(AE2582="free","re-planting",IF(AE2582="me","   not ELP, by",IF(AND(OR(PlanterYesMe="Yes",PlanterYesMe="Y"),G2582&gt;0),(VLOOKUP(A2582,'Discount Lookup'!J:K,2)*G2582*(1-PlanterDiscount)*(1+PlanterDifficultyPercentage)),IF(AE2582="ELP",(VLOOKUP(A2582,'Discount Lookup'!J:K,2)*G2582*(1-PlanterDiscount)*(1+PlanterDifficultyPercentage)),IF(AE2582="free","re-planting",IF(G2582=0,"",IF(PlanterYesMe="",IF(AE2582="me","   not ELP, by",IF(AE2582="",IF(G2582&gt;0,(VLOOKUP(A2582,'Discount Lookup'!J:K,2)*G2582*(1-PlanterDiscount)*(1+PlanterDifficultyPercentage)),""),"")),"   not ELP, by"))))))))))))))</f>
        <v/>
      </c>
      <c r="AD2582" s="712"/>
      <c r="AE2582" s="513" t="str">
        <f t="shared" si="1944"/>
        <v/>
      </c>
      <c r="AF2582" s="713" t="str">
        <f t="shared" si="1945"/>
        <v/>
      </c>
      <c r="AG2582" s="713"/>
      <c r="AH2582" s="713"/>
      <c r="AI2582" s="112">
        <f>IF(H2582="credit",0,IF(AE2582="free",0,IF(AE2582="me",0,IF(G2582&gt;0,(VLOOKUP(A2582,'Discount Lookup'!J:K,2)*G2582),0))))</f>
        <v>0</v>
      </c>
      <c r="AJ2582" s="107" t="str">
        <f t="shared" ca="1" si="1946"/>
        <v/>
      </c>
      <c r="AK2582" s="714" t="str">
        <f t="shared" si="1947"/>
        <v/>
      </c>
      <c r="AL2582" s="714"/>
      <c r="AM2582" s="114" t="str">
        <f t="shared" si="1948"/>
        <v/>
      </c>
      <c r="AN2582" s="115"/>
      <c r="AO2582" s="116"/>
      <c r="AP2582" s="116"/>
      <c r="AQ2582" s="116"/>
      <c r="AR2582" s="116"/>
      <c r="AS2582" s="116"/>
      <c r="AT2582" s="116"/>
      <c r="AU2582" s="116"/>
      <c r="AV2582" s="78"/>
      <c r="AW2582" s="102"/>
      <c r="AX2582" s="78"/>
      <c r="AY2582" s="78"/>
      <c r="AZ2582" s="78"/>
      <c r="BA2582" s="78"/>
      <c r="BB2582" s="78"/>
      <c r="BC2582" s="78"/>
      <c r="BD2582" s="78"/>
      <c r="BE2582" s="465"/>
      <c r="BF2582" s="165" t="str">
        <f t="shared" si="1949"/>
        <v>https://www.google.com/search?tbm=isch&amp;q=3%20G3</v>
      </c>
      <c r="BG2582" s="165" t="str">
        <f t="shared" si="1950"/>
        <v>L</v>
      </c>
      <c r="BH2582" s="65"/>
      <c r="BI2582" s="65"/>
      <c r="BJ2582" s="65"/>
      <c r="BK2582" s="65"/>
      <c r="BL2582" s="99"/>
      <c r="BM2582" s="99"/>
      <c r="BN2582" s="99"/>
    </row>
    <row r="2583" spans="1:66" s="51" customFormat="1" ht="15.75" x14ac:dyDescent="0.25">
      <c r="A2583" s="634">
        <v>15</v>
      </c>
      <c r="B2583" s="635" t="s">
        <v>291</v>
      </c>
      <c r="C2583" s="636" t="s">
        <v>3223</v>
      </c>
      <c r="D2583" s="637" t="s">
        <v>309</v>
      </c>
      <c r="E2583" s="638">
        <v>155.94999999999999</v>
      </c>
      <c r="F2583" s="639" t="s">
        <v>292</v>
      </c>
      <c r="G2583" s="484">
        <v>0</v>
      </c>
      <c r="H2583" s="691" t="str">
        <f t="shared" si="1951"/>
        <v/>
      </c>
      <c r="I2583" s="640">
        <f t="shared" si="1952"/>
        <v>0</v>
      </c>
      <c r="J2583" s="640">
        <f t="shared" si="1953"/>
        <v>0</v>
      </c>
      <c r="K2583" s="716">
        <f t="shared" ref="K2583" si="1956">I2583+J2583</f>
        <v>0</v>
      </c>
      <c r="L2583" s="716"/>
      <c r="M2583" s="689" t="str">
        <f t="shared" ca="1" si="1955"/>
        <v/>
      </c>
      <c r="N2583" s="690"/>
      <c r="O2583" s="486"/>
      <c r="P2583" s="486"/>
      <c r="Q2583" s="486"/>
      <c r="R2583" s="486"/>
      <c r="S2583" s="486"/>
      <c r="T2583" s="102">
        <f t="shared" si="1938"/>
        <v>0</v>
      </c>
      <c r="U2583" s="78">
        <f>IF(NOT(ISNUMBER(G2583)), "", VLOOKUP(A2583,'Discount Lookup'!D:E,2,FALSE)*G2583)</f>
        <v>0</v>
      </c>
      <c r="V2583" s="78">
        <f>IF(NOT(ISNUMBER(G2583)), "", VLOOKUP(A2583,'Discount Lookup'!G:H,2,FALSE)*G2583)</f>
        <v>0</v>
      </c>
      <c r="W2583" s="102">
        <f t="shared" si="1939"/>
        <v>0</v>
      </c>
      <c r="X2583" s="102">
        <f t="shared" si="1940"/>
        <v>0</v>
      </c>
      <c r="Y2583" s="120" t="b">
        <f t="shared" si="1941"/>
        <v>0</v>
      </c>
      <c r="Z2583" s="117">
        <f t="shared" si="1942"/>
        <v>0</v>
      </c>
      <c r="AA2583" s="118"/>
      <c r="AB2583" s="118" t="str">
        <f t="shared" si="1943"/>
        <v/>
      </c>
      <c r="AC2583" s="712" t="str">
        <f>IF(AE2583="T2G","no charge",IF(AND(OR(PlanterYesMe="No",PlanterYesMe="N",PlanterYesMe="me"),H2583=""),"",IF(H2583="credit","NO install",IF(AND(K2583="",AE2583="me"),"EACH row",IF(AND(K2583="images",AE2583="me"),"EACH row",IF(D2583="","",IF(H2583="credit","",IF(AE2583="free","re-planting",IF(AE2583="me","   not ELP, by",IF(AND(OR(PlanterYesMe="Yes",PlanterYesMe="Y"),G2583&gt;0),(VLOOKUP(A2583,'Discount Lookup'!J:K,2)*G2583*(1-PlanterDiscount)*(1+PlanterDifficultyPercentage)),IF(AE2583="ELP",(VLOOKUP(A2583,'Discount Lookup'!J:K,2)*G2583*(1-PlanterDiscount)*(1+PlanterDifficultyPercentage)),IF(AE2583="free","re-planting",IF(G2583=0,"",IF(PlanterYesMe="",IF(AE2583="me","   not ELP, by",IF(AE2583="",IF(G2583&gt;0,(VLOOKUP(A2583,'Discount Lookup'!J:K,2)*G2583*(1-PlanterDiscount)*(1+PlanterDifficultyPercentage)),""),"")),"   not ELP, by"))))))))))))))</f>
        <v/>
      </c>
      <c r="AD2583" s="712"/>
      <c r="AE2583" s="513" t="str">
        <f t="shared" si="1944"/>
        <v/>
      </c>
      <c r="AF2583" s="713" t="str">
        <f t="shared" si="1945"/>
        <v/>
      </c>
      <c r="AG2583" s="713"/>
      <c r="AH2583" s="713"/>
      <c r="AI2583" s="112">
        <f>IF(H2583="credit",0,IF(AE2583="free",0,IF(AE2583="me",0,IF(G2583&gt;0,(VLOOKUP(A2583,'Discount Lookup'!J:K,2)*G2583),0))))</f>
        <v>0</v>
      </c>
      <c r="AJ2583" s="107" t="str">
        <f t="shared" ca="1" si="1946"/>
        <v/>
      </c>
      <c r="AK2583" s="714" t="str">
        <f t="shared" si="1947"/>
        <v/>
      </c>
      <c r="AL2583" s="714"/>
      <c r="AM2583" s="114" t="str">
        <f t="shared" si="1948"/>
        <v/>
      </c>
      <c r="AN2583" s="115"/>
      <c r="AO2583" s="116"/>
      <c r="AP2583" s="116"/>
      <c r="AQ2583" s="116"/>
      <c r="AR2583" s="116"/>
      <c r="AS2583" s="116"/>
      <c r="AT2583" s="116"/>
      <c r="AU2583" s="116"/>
      <c r="AV2583" s="78"/>
      <c r="AW2583" s="102"/>
      <c r="AX2583" s="78"/>
      <c r="AY2583" s="78"/>
      <c r="AZ2583" s="78"/>
      <c r="BA2583" s="78"/>
      <c r="BB2583" s="78"/>
      <c r="BC2583" s="78"/>
      <c r="BD2583" s="78"/>
      <c r="BE2583" s="465"/>
      <c r="BF2583" s="165" t="str">
        <f t="shared" si="1949"/>
        <v>https://www.google.com/search?tbm=isch&amp;q=15%20G3</v>
      </c>
      <c r="BG2583" s="165" t="str">
        <f t="shared" si="1950"/>
        <v>L</v>
      </c>
      <c r="BH2583" s="65"/>
      <c r="BI2583" s="65"/>
      <c r="BJ2583" s="65"/>
      <c r="BK2583" s="65"/>
      <c r="BL2583" s="99"/>
      <c r="BM2583" s="99"/>
      <c r="BN2583" s="99"/>
    </row>
    <row r="2584" spans="1:66" s="51" customFormat="1" ht="15.75" x14ac:dyDescent="0.25">
      <c r="A2584" s="634">
        <v>15</v>
      </c>
      <c r="B2584" s="635" t="s">
        <v>291</v>
      </c>
      <c r="C2584" s="636" t="s">
        <v>3255</v>
      </c>
      <c r="D2584" s="637" t="s">
        <v>299</v>
      </c>
      <c r="E2584" s="638">
        <v>164.95</v>
      </c>
      <c r="F2584" s="639" t="s">
        <v>292</v>
      </c>
      <c r="G2584" s="484">
        <v>0</v>
      </c>
      <c r="H2584" s="691" t="str">
        <f t="shared" si="1951"/>
        <v/>
      </c>
      <c r="I2584" s="640">
        <f t="shared" si="1952"/>
        <v>0</v>
      </c>
      <c r="J2584" s="640">
        <f t="shared" si="1953"/>
        <v>0</v>
      </c>
      <c r="K2584" s="716">
        <f t="shared" ref="K2584" si="1957">I2584+J2584</f>
        <v>0</v>
      </c>
      <c r="L2584" s="716"/>
      <c r="M2584" s="689" t="str">
        <f t="shared" ca="1" si="1955"/>
        <v/>
      </c>
      <c r="N2584" s="690"/>
      <c r="O2584" s="486"/>
      <c r="P2584" s="486"/>
      <c r="Q2584" s="486"/>
      <c r="R2584" s="486"/>
      <c r="S2584" s="486"/>
      <c r="T2584" s="102">
        <f t="shared" si="1938"/>
        <v>0</v>
      </c>
      <c r="U2584" s="78">
        <f>IF(NOT(ISNUMBER(G2584)), "", VLOOKUP(A2584,'Discount Lookup'!D:E,2,FALSE)*G2584)</f>
        <v>0</v>
      </c>
      <c r="V2584" s="78">
        <f>IF(NOT(ISNUMBER(G2584)), "", VLOOKUP(A2584,'Discount Lookup'!G:H,2,FALSE)*G2584)</f>
        <v>0</v>
      </c>
      <c r="W2584" s="102">
        <f t="shared" si="1939"/>
        <v>0</v>
      </c>
      <c r="X2584" s="102">
        <f t="shared" si="1940"/>
        <v>0</v>
      </c>
      <c r="Y2584" s="120" t="b">
        <f t="shared" si="1941"/>
        <v>0</v>
      </c>
      <c r="Z2584" s="117">
        <f t="shared" si="1942"/>
        <v>0</v>
      </c>
      <c r="AA2584" s="118"/>
      <c r="AB2584" s="118" t="str">
        <f t="shared" si="1943"/>
        <v/>
      </c>
      <c r="AC2584" s="712" t="str">
        <f>IF(AE2584="T2G","no charge",IF(AND(OR(PlanterYesMe="No",PlanterYesMe="N",PlanterYesMe="me"),H2584=""),"",IF(H2584="credit","NO install",IF(AND(K2584="",AE2584="me"),"EACH row",IF(AND(K2584="images",AE2584="me"),"EACH row",IF(D2584="","",IF(H2584="credit","",IF(AE2584="free","re-planting",IF(AE2584="me","   not ELP, by",IF(AND(OR(PlanterYesMe="Yes",PlanterYesMe="Y"),G2584&gt;0),(VLOOKUP(A2584,'Discount Lookup'!J:K,2)*G2584*(1-PlanterDiscount)*(1+PlanterDifficultyPercentage)),IF(AE2584="ELP",(VLOOKUP(A2584,'Discount Lookup'!J:K,2)*G2584*(1-PlanterDiscount)*(1+PlanterDifficultyPercentage)),IF(AE2584="free","re-planting",IF(G2584=0,"",IF(PlanterYesMe="",IF(AE2584="me","   not ELP, by",IF(AE2584="",IF(G2584&gt;0,(VLOOKUP(A2584,'Discount Lookup'!J:K,2)*G2584*(1-PlanterDiscount)*(1+PlanterDifficultyPercentage)),""),"")),"   not ELP, by"))))))))))))))</f>
        <v/>
      </c>
      <c r="AD2584" s="712"/>
      <c r="AE2584" s="513" t="str">
        <f t="shared" si="1944"/>
        <v/>
      </c>
      <c r="AF2584" s="713" t="str">
        <f t="shared" si="1945"/>
        <v/>
      </c>
      <c r="AG2584" s="713"/>
      <c r="AH2584" s="713"/>
      <c r="AI2584" s="112">
        <f>IF(H2584="credit",0,IF(AE2584="free",0,IF(AE2584="me",0,IF(G2584&gt;0,(VLOOKUP(A2584,'Discount Lookup'!J:K,2)*G2584),0))))</f>
        <v>0</v>
      </c>
      <c r="AJ2584" s="107" t="str">
        <f t="shared" ca="1" si="1946"/>
        <v/>
      </c>
      <c r="AK2584" s="714" t="str">
        <f t="shared" si="1947"/>
        <v/>
      </c>
      <c r="AL2584" s="714"/>
      <c r="AM2584" s="114" t="str">
        <f t="shared" si="1948"/>
        <v/>
      </c>
      <c r="AN2584" s="115"/>
      <c r="AO2584" s="116"/>
      <c r="AP2584" s="116"/>
      <c r="AQ2584" s="116"/>
      <c r="AR2584" s="116"/>
      <c r="AS2584" s="116"/>
      <c r="AT2584" s="116"/>
      <c r="AU2584" s="116"/>
      <c r="AV2584" s="78"/>
      <c r="AW2584" s="102"/>
      <c r="AX2584" s="78"/>
      <c r="AY2584" s="78"/>
      <c r="AZ2584" s="78"/>
      <c r="BA2584" s="78"/>
      <c r="BB2584" s="78"/>
      <c r="BC2584" s="78"/>
      <c r="BD2584" s="78"/>
      <c r="BE2584" s="465"/>
      <c r="BF2584" s="165" t="str">
        <f t="shared" si="1949"/>
        <v>https://www.google.com/search?tbm=isch&amp;q=15%20G4</v>
      </c>
      <c r="BG2584" s="165" t="str">
        <f t="shared" si="1950"/>
        <v>L</v>
      </c>
      <c r="BH2584" s="65"/>
      <c r="BI2584" s="65"/>
      <c r="BJ2584" s="65"/>
      <c r="BK2584" s="65"/>
      <c r="BL2584" s="99"/>
      <c r="BM2584" s="99"/>
      <c r="BN2584" s="99"/>
    </row>
    <row r="2585" spans="1:66" s="51" customFormat="1" ht="15.75" x14ac:dyDescent="0.25">
      <c r="A2585" s="634">
        <v>15</v>
      </c>
      <c r="B2585" s="635" t="s">
        <v>291</v>
      </c>
      <c r="C2585" s="636" t="s">
        <v>3256</v>
      </c>
      <c r="D2585" s="637" t="s">
        <v>311</v>
      </c>
      <c r="E2585" s="638">
        <v>164.95</v>
      </c>
      <c r="F2585" s="639" t="s">
        <v>292</v>
      </c>
      <c r="G2585" s="484">
        <v>0</v>
      </c>
      <c r="H2585" s="691" t="str">
        <f t="shared" si="1951"/>
        <v/>
      </c>
      <c r="I2585" s="640">
        <f t="shared" si="1952"/>
        <v>0</v>
      </c>
      <c r="J2585" s="640">
        <f t="shared" si="1953"/>
        <v>0</v>
      </c>
      <c r="K2585" s="716">
        <f t="shared" ref="K2585" si="1958">I2585+J2585</f>
        <v>0</v>
      </c>
      <c r="L2585" s="716"/>
      <c r="M2585" s="689" t="str">
        <f t="shared" ca="1" si="1955"/>
        <v/>
      </c>
      <c r="N2585" s="690"/>
      <c r="O2585" s="486"/>
      <c r="P2585" s="486"/>
      <c r="Q2585" s="486"/>
      <c r="R2585" s="486"/>
      <c r="S2585" s="486"/>
      <c r="T2585" s="102">
        <f t="shared" si="1938"/>
        <v>0</v>
      </c>
      <c r="U2585" s="78">
        <f>IF(NOT(ISNUMBER(G2585)), "", VLOOKUP(A2585,'Discount Lookup'!D:E,2,FALSE)*G2585)</f>
        <v>0</v>
      </c>
      <c r="V2585" s="78">
        <f>IF(NOT(ISNUMBER(G2585)), "", VLOOKUP(A2585,'Discount Lookup'!G:H,2,FALSE)*G2585)</f>
        <v>0</v>
      </c>
      <c r="W2585" s="102">
        <f t="shared" si="1939"/>
        <v>0</v>
      </c>
      <c r="X2585" s="102">
        <f t="shared" si="1940"/>
        <v>0</v>
      </c>
      <c r="Y2585" s="120" t="b">
        <f t="shared" si="1941"/>
        <v>0</v>
      </c>
      <c r="Z2585" s="117">
        <f t="shared" si="1942"/>
        <v>0</v>
      </c>
      <c r="AA2585" s="118"/>
      <c r="AB2585" s="118" t="str">
        <f t="shared" si="1943"/>
        <v/>
      </c>
      <c r="AC2585" s="712" t="str">
        <f>IF(AE2585="T2G","no charge",IF(AND(OR(PlanterYesMe="No",PlanterYesMe="N",PlanterYesMe="me"),H2585=""),"",IF(H2585="credit","NO install",IF(AND(K2585="",AE2585="me"),"EACH row",IF(AND(K2585="images",AE2585="me"),"EACH row",IF(D2585="","",IF(H2585="credit","",IF(AE2585="free","re-planting",IF(AE2585="me","   not ELP, by",IF(AND(OR(PlanterYesMe="Yes",PlanterYesMe="Y"),G2585&gt;0),(VLOOKUP(A2585,'Discount Lookup'!J:K,2)*G2585*(1-PlanterDiscount)*(1+PlanterDifficultyPercentage)),IF(AE2585="ELP",(VLOOKUP(A2585,'Discount Lookup'!J:K,2)*G2585*(1-PlanterDiscount)*(1+PlanterDifficultyPercentage)),IF(AE2585="free","re-planting",IF(G2585=0,"",IF(PlanterYesMe="",IF(AE2585="me","   not ELP, by",IF(AE2585="",IF(G2585&gt;0,(VLOOKUP(A2585,'Discount Lookup'!J:K,2)*G2585*(1-PlanterDiscount)*(1+PlanterDifficultyPercentage)),""),"")),"   not ELP, by"))))))))))))))</f>
        <v/>
      </c>
      <c r="AD2585" s="712"/>
      <c r="AE2585" s="513" t="str">
        <f t="shared" si="1944"/>
        <v/>
      </c>
      <c r="AF2585" s="713" t="str">
        <f t="shared" si="1945"/>
        <v/>
      </c>
      <c r="AG2585" s="713"/>
      <c r="AH2585" s="713"/>
      <c r="AI2585" s="112">
        <f>IF(H2585="credit",0,IF(AE2585="free",0,IF(AE2585="me",0,IF(G2585&gt;0,(VLOOKUP(A2585,'Discount Lookup'!J:K,2)*G2585),0))))</f>
        <v>0</v>
      </c>
      <c r="AJ2585" s="107" t="str">
        <f t="shared" ca="1" si="1946"/>
        <v/>
      </c>
      <c r="AK2585" s="714" t="str">
        <f t="shared" si="1947"/>
        <v/>
      </c>
      <c r="AL2585" s="714"/>
      <c r="AM2585" s="114" t="str">
        <f t="shared" si="1948"/>
        <v/>
      </c>
      <c r="AN2585" s="115"/>
      <c r="AO2585" s="116"/>
      <c r="AP2585" s="116"/>
      <c r="AQ2585" s="116"/>
      <c r="AR2585" s="116"/>
      <c r="AS2585" s="116"/>
      <c r="AT2585" s="116"/>
      <c r="AU2585" s="116"/>
      <c r="AV2585" s="78"/>
      <c r="AW2585" s="102"/>
      <c r="AX2585" s="78"/>
      <c r="AY2585" s="78"/>
      <c r="AZ2585" s="78"/>
      <c r="BA2585" s="78"/>
      <c r="BB2585" s="78"/>
      <c r="BC2585" s="78"/>
      <c r="BD2585" s="78"/>
      <c r="BE2585" s="465"/>
      <c r="BF2585" s="165" t="str">
        <f t="shared" si="1949"/>
        <v>https://www.google.com/search?tbm=isch&amp;q=15%20G5</v>
      </c>
      <c r="BG2585" s="165" t="str">
        <f t="shared" si="1950"/>
        <v>L</v>
      </c>
      <c r="BH2585" s="65"/>
      <c r="BI2585" s="65"/>
      <c r="BJ2585" s="65"/>
      <c r="BK2585" s="65"/>
      <c r="BL2585" s="99"/>
      <c r="BM2585" s="99"/>
      <c r="BN2585" s="99"/>
    </row>
    <row r="2586" spans="1:66" s="51" customFormat="1" ht="27" x14ac:dyDescent="0.25">
      <c r="A2586" s="634">
        <v>15</v>
      </c>
      <c r="B2586" s="635" t="s">
        <v>291</v>
      </c>
      <c r="C2586" s="636" t="s">
        <v>3257</v>
      </c>
      <c r="D2586" s="637" t="s">
        <v>299</v>
      </c>
      <c r="E2586" s="638">
        <v>171.95</v>
      </c>
      <c r="F2586" s="639" t="s">
        <v>292</v>
      </c>
      <c r="G2586" s="484">
        <v>0</v>
      </c>
      <c r="H2586" s="691" t="str">
        <f t="shared" si="1951"/>
        <v/>
      </c>
      <c r="I2586" s="640">
        <f t="shared" si="1952"/>
        <v>0</v>
      </c>
      <c r="J2586" s="640">
        <f t="shared" si="1953"/>
        <v>0</v>
      </c>
      <c r="K2586" s="716">
        <f t="shared" ref="K2586" si="1959">I2586+J2586</f>
        <v>0</v>
      </c>
      <c r="L2586" s="716"/>
      <c r="M2586" s="689" t="str">
        <f t="shared" ca="1" si="1955"/>
        <v/>
      </c>
      <c r="N2586" s="690"/>
      <c r="O2586" s="486"/>
      <c r="P2586" s="486"/>
      <c r="Q2586" s="486"/>
      <c r="R2586" s="486"/>
      <c r="S2586" s="486"/>
      <c r="T2586" s="102">
        <f t="shared" si="1938"/>
        <v>0</v>
      </c>
      <c r="U2586" s="78">
        <f>IF(NOT(ISNUMBER(G2586)), "", VLOOKUP(A2586,'Discount Lookup'!D:E,2,FALSE)*G2586)</f>
        <v>0</v>
      </c>
      <c r="V2586" s="78">
        <f>IF(NOT(ISNUMBER(G2586)), "", VLOOKUP(A2586,'Discount Lookup'!G:H,2,FALSE)*G2586)</f>
        <v>0</v>
      </c>
      <c r="W2586" s="102">
        <f t="shared" si="1939"/>
        <v>0</v>
      </c>
      <c r="X2586" s="102">
        <f t="shared" si="1940"/>
        <v>0</v>
      </c>
      <c r="Y2586" s="120" t="b">
        <f t="shared" si="1941"/>
        <v>0</v>
      </c>
      <c r="Z2586" s="117">
        <f t="shared" si="1942"/>
        <v>0</v>
      </c>
      <c r="AA2586" s="118"/>
      <c r="AB2586" s="118" t="str">
        <f t="shared" si="1943"/>
        <v/>
      </c>
      <c r="AC2586" s="712" t="str">
        <f>IF(AE2586="T2G","no charge",IF(AND(OR(PlanterYesMe="No",PlanterYesMe="N",PlanterYesMe="me"),H2586=""),"",IF(H2586="credit","NO install",IF(AND(K2586="",AE2586="me"),"EACH row",IF(AND(K2586="images",AE2586="me"),"EACH row",IF(D2586="","",IF(H2586="credit","",IF(AE2586="free","re-planting",IF(AE2586="me","   not ELP, by",IF(AND(OR(PlanterYesMe="Yes",PlanterYesMe="Y"),G2586&gt;0),(VLOOKUP(A2586,'Discount Lookup'!J:K,2)*G2586*(1-PlanterDiscount)*(1+PlanterDifficultyPercentage)),IF(AE2586="ELP",(VLOOKUP(A2586,'Discount Lookup'!J:K,2)*G2586*(1-PlanterDiscount)*(1+PlanterDifficultyPercentage)),IF(AE2586="free","re-planting",IF(G2586=0,"",IF(PlanterYesMe="",IF(AE2586="me","   not ELP, by",IF(AE2586="",IF(G2586&gt;0,(VLOOKUP(A2586,'Discount Lookup'!J:K,2)*G2586*(1-PlanterDiscount)*(1+PlanterDifficultyPercentage)),""),"")),"   not ELP, by"))))))))))))))</f>
        <v/>
      </c>
      <c r="AD2586" s="712"/>
      <c r="AE2586" s="513" t="str">
        <f t="shared" si="1944"/>
        <v/>
      </c>
      <c r="AF2586" s="713" t="str">
        <f t="shared" si="1945"/>
        <v/>
      </c>
      <c r="AG2586" s="713"/>
      <c r="AH2586" s="713"/>
      <c r="AI2586" s="112">
        <f>IF(H2586="credit",0,IF(AE2586="free",0,IF(AE2586="me",0,IF(G2586&gt;0,(VLOOKUP(A2586,'Discount Lookup'!J:K,2)*G2586),0))))</f>
        <v>0</v>
      </c>
      <c r="AJ2586" s="107" t="str">
        <f t="shared" ca="1" si="1946"/>
        <v/>
      </c>
      <c r="AK2586" s="714" t="str">
        <f t="shared" si="1947"/>
        <v/>
      </c>
      <c r="AL2586" s="714"/>
      <c r="AM2586" s="114" t="str">
        <f t="shared" si="1948"/>
        <v/>
      </c>
      <c r="AN2586" s="115"/>
      <c r="AO2586" s="116"/>
      <c r="AP2586" s="116"/>
      <c r="AQ2586" s="116"/>
      <c r="AR2586" s="116"/>
      <c r="AS2586" s="116"/>
      <c r="AT2586" s="116"/>
      <c r="AU2586" s="116"/>
      <c r="AV2586" s="78"/>
      <c r="AW2586" s="102"/>
      <c r="AX2586" s="78"/>
      <c r="AY2586" s="78"/>
      <c r="AZ2586" s="78"/>
      <c r="BA2586" s="78"/>
      <c r="BB2586" s="78"/>
      <c r="BC2586" s="78"/>
      <c r="BD2586" s="78"/>
      <c r="BE2586" s="465"/>
      <c r="BF2586" s="165" t="str">
        <f t="shared" si="1949"/>
        <v>https://www.google.com/search?tbm=isch&amp;q=15%20G4</v>
      </c>
      <c r="BG2586" s="165" t="str">
        <f t="shared" si="1950"/>
        <v>L</v>
      </c>
      <c r="BH2586" s="65"/>
      <c r="BI2586" s="65"/>
      <c r="BJ2586" s="65"/>
      <c r="BK2586" s="65"/>
      <c r="BL2586" s="99"/>
      <c r="BM2586" s="99"/>
      <c r="BN2586" s="99"/>
    </row>
    <row r="2587" spans="1:66" s="51" customFormat="1" ht="15.75" x14ac:dyDescent="0.25">
      <c r="A2587" s="634">
        <v>20</v>
      </c>
      <c r="B2587" s="635" t="s">
        <v>291</v>
      </c>
      <c r="C2587" s="636" t="s">
        <v>3258</v>
      </c>
      <c r="D2587" s="637" t="s">
        <v>309</v>
      </c>
      <c r="E2587" s="638">
        <v>224.95</v>
      </c>
      <c r="F2587" s="639" t="s">
        <v>292</v>
      </c>
      <c r="G2587" s="484">
        <v>0</v>
      </c>
      <c r="H2587" s="691" t="str">
        <f t="shared" si="1951"/>
        <v/>
      </c>
      <c r="I2587" s="640">
        <f t="shared" si="1952"/>
        <v>0</v>
      </c>
      <c r="J2587" s="640">
        <f t="shared" si="1953"/>
        <v>0</v>
      </c>
      <c r="K2587" s="716">
        <f t="shared" ref="K2587" si="1960">I2587+J2587</f>
        <v>0</v>
      </c>
      <c r="L2587" s="716"/>
      <c r="M2587" s="689" t="str">
        <f t="shared" ca="1" si="1955"/>
        <v/>
      </c>
      <c r="N2587" s="690"/>
      <c r="O2587" s="486"/>
      <c r="P2587" s="486"/>
      <c r="Q2587" s="486"/>
      <c r="R2587" s="486"/>
      <c r="S2587" s="486"/>
      <c r="T2587" s="102">
        <f t="shared" si="1938"/>
        <v>0</v>
      </c>
      <c r="U2587" s="78">
        <f>IF(NOT(ISNUMBER(G2587)), "", VLOOKUP(A2587,'Discount Lookup'!D:E,2,FALSE)*G2587)</f>
        <v>0</v>
      </c>
      <c r="V2587" s="78">
        <f>IF(NOT(ISNUMBER(G2587)), "", VLOOKUP(A2587,'Discount Lookup'!G:H,2,FALSE)*G2587)</f>
        <v>0</v>
      </c>
      <c r="W2587" s="102">
        <f t="shared" si="1939"/>
        <v>0</v>
      </c>
      <c r="X2587" s="102">
        <f t="shared" si="1940"/>
        <v>0</v>
      </c>
      <c r="Y2587" s="120" t="b">
        <f t="shared" si="1941"/>
        <v>0</v>
      </c>
      <c r="Z2587" s="117">
        <f t="shared" si="1942"/>
        <v>0</v>
      </c>
      <c r="AA2587" s="118"/>
      <c r="AB2587" s="118" t="str">
        <f t="shared" si="1943"/>
        <v/>
      </c>
      <c r="AC2587" s="712" t="str">
        <f>IF(AE2587="T2G","no charge",IF(AND(OR(PlanterYesMe="No",PlanterYesMe="N",PlanterYesMe="me"),H2587=""),"",IF(H2587="credit","NO install",IF(AND(K2587="",AE2587="me"),"EACH row",IF(AND(K2587="images",AE2587="me"),"EACH row",IF(D2587="","",IF(H2587="credit","",IF(AE2587="free","re-planting",IF(AE2587="me","   not ELP, by",IF(AND(OR(PlanterYesMe="Yes",PlanterYesMe="Y"),G2587&gt;0),(VLOOKUP(A2587,'Discount Lookup'!J:K,2)*G2587*(1-PlanterDiscount)*(1+PlanterDifficultyPercentage)),IF(AE2587="ELP",(VLOOKUP(A2587,'Discount Lookup'!J:K,2)*G2587*(1-PlanterDiscount)*(1+PlanterDifficultyPercentage)),IF(AE2587="free","re-planting",IF(G2587=0,"",IF(PlanterYesMe="",IF(AE2587="me","   not ELP, by",IF(AE2587="",IF(G2587&gt;0,(VLOOKUP(A2587,'Discount Lookup'!J:K,2)*G2587*(1-PlanterDiscount)*(1+PlanterDifficultyPercentage)),""),"")),"   not ELP, by"))))))))))))))</f>
        <v/>
      </c>
      <c r="AD2587" s="712"/>
      <c r="AE2587" s="513" t="str">
        <f t="shared" si="1944"/>
        <v/>
      </c>
      <c r="AF2587" s="713" t="str">
        <f t="shared" si="1945"/>
        <v/>
      </c>
      <c r="AG2587" s="713"/>
      <c r="AH2587" s="713"/>
      <c r="AI2587" s="112">
        <f>IF(H2587="credit",0,IF(AE2587="free",0,IF(AE2587="me",0,IF(G2587&gt;0,(VLOOKUP(A2587,'Discount Lookup'!J:K,2)*G2587),0))))</f>
        <v>0</v>
      </c>
      <c r="AJ2587" s="107" t="str">
        <f t="shared" ca="1" si="1946"/>
        <v/>
      </c>
      <c r="AK2587" s="714" t="str">
        <f t="shared" si="1947"/>
        <v/>
      </c>
      <c r="AL2587" s="714"/>
      <c r="AM2587" s="114" t="str">
        <f t="shared" si="1948"/>
        <v/>
      </c>
      <c r="AN2587" s="115"/>
      <c r="AO2587" s="116"/>
      <c r="AP2587" s="116"/>
      <c r="AQ2587" s="116"/>
      <c r="AR2587" s="116"/>
      <c r="AS2587" s="116"/>
      <c r="AT2587" s="116"/>
      <c r="AU2587" s="116"/>
      <c r="AV2587" s="78"/>
      <c r="AW2587" s="102"/>
      <c r="AX2587" s="78"/>
      <c r="AY2587" s="78"/>
      <c r="AZ2587" s="78"/>
      <c r="BA2587" s="78"/>
      <c r="BB2587" s="78"/>
      <c r="BC2587" s="78"/>
      <c r="BD2587" s="78"/>
      <c r="BE2587" s="465"/>
      <c r="BF2587" s="165" t="str">
        <f t="shared" si="1949"/>
        <v>https://www.google.com/search?tbm=isch&amp;q=20%20G3</v>
      </c>
      <c r="BG2587" s="165" t="str">
        <f t="shared" si="1950"/>
        <v>L</v>
      </c>
      <c r="BH2587" s="65"/>
      <c r="BI2587" s="65"/>
      <c r="BJ2587" s="65"/>
      <c r="BK2587" s="65"/>
      <c r="BL2587" s="99"/>
      <c r="BM2587" s="99"/>
      <c r="BN2587" s="99"/>
    </row>
    <row r="2588" spans="1:66" s="51" customFormat="1" ht="27" x14ac:dyDescent="0.25">
      <c r="A2588" s="634">
        <v>25</v>
      </c>
      <c r="B2588" s="635" t="s">
        <v>291</v>
      </c>
      <c r="C2588" s="636" t="s">
        <v>3259</v>
      </c>
      <c r="D2588" s="637" t="s">
        <v>299</v>
      </c>
      <c r="E2588" s="638">
        <v>293.95</v>
      </c>
      <c r="F2588" s="639" t="s">
        <v>292</v>
      </c>
      <c r="G2588" s="484">
        <v>0</v>
      </c>
      <c r="H2588" s="691" t="str">
        <f t="shared" si="1951"/>
        <v/>
      </c>
      <c r="I2588" s="640">
        <f t="shared" si="1952"/>
        <v>0</v>
      </c>
      <c r="J2588" s="640">
        <f t="shared" si="1953"/>
        <v>0</v>
      </c>
      <c r="K2588" s="716">
        <f t="shared" ref="K2588" si="1961">I2588+J2588</f>
        <v>0</v>
      </c>
      <c r="L2588" s="716"/>
      <c r="M2588" s="689" t="str">
        <f t="shared" ca="1" si="1955"/>
        <v/>
      </c>
      <c r="N2588" s="690"/>
      <c r="O2588" s="486"/>
      <c r="P2588" s="486"/>
      <c r="Q2588" s="486"/>
      <c r="R2588" s="486"/>
      <c r="S2588" s="486"/>
      <c r="T2588" s="102">
        <f t="shared" si="1938"/>
        <v>0</v>
      </c>
      <c r="U2588" s="78">
        <f>IF(NOT(ISNUMBER(G2588)), "", VLOOKUP(A2588,'Discount Lookup'!D:E,2,FALSE)*G2588)</f>
        <v>0</v>
      </c>
      <c r="V2588" s="78">
        <f>IF(NOT(ISNUMBER(G2588)), "", VLOOKUP(A2588,'Discount Lookup'!G:H,2,FALSE)*G2588)</f>
        <v>0</v>
      </c>
      <c r="W2588" s="102">
        <f t="shared" si="1939"/>
        <v>0</v>
      </c>
      <c r="X2588" s="102">
        <f t="shared" si="1940"/>
        <v>0</v>
      </c>
      <c r="Y2588" s="120" t="b">
        <f t="shared" si="1941"/>
        <v>0</v>
      </c>
      <c r="Z2588" s="117">
        <f t="shared" si="1942"/>
        <v>0</v>
      </c>
      <c r="AA2588" s="118"/>
      <c r="AB2588" s="118" t="str">
        <f t="shared" si="1943"/>
        <v/>
      </c>
      <c r="AC2588" s="712" t="str">
        <f>IF(AE2588="T2G","no charge",IF(AND(OR(PlanterYesMe="No",PlanterYesMe="N",PlanterYesMe="me"),H2588=""),"",IF(H2588="credit","NO install",IF(AND(K2588="",AE2588="me"),"EACH row",IF(AND(K2588="images",AE2588="me"),"EACH row",IF(D2588="","",IF(H2588="credit","",IF(AE2588="free","re-planting",IF(AE2588="me","   not ELP, by",IF(AND(OR(PlanterYesMe="Yes",PlanterYesMe="Y"),G2588&gt;0),(VLOOKUP(A2588,'Discount Lookup'!J:K,2)*G2588*(1-PlanterDiscount)*(1+PlanterDifficultyPercentage)),IF(AE2588="ELP",(VLOOKUP(A2588,'Discount Lookup'!J:K,2)*G2588*(1-PlanterDiscount)*(1+PlanterDifficultyPercentage)),IF(AE2588="free","re-planting",IF(G2588=0,"",IF(PlanterYesMe="",IF(AE2588="me","   not ELP, by",IF(AE2588="",IF(G2588&gt;0,(VLOOKUP(A2588,'Discount Lookup'!J:K,2)*G2588*(1-PlanterDiscount)*(1+PlanterDifficultyPercentage)),""),"")),"   not ELP, by"))))))))))))))</f>
        <v/>
      </c>
      <c r="AD2588" s="712"/>
      <c r="AE2588" s="513" t="str">
        <f t="shared" si="1944"/>
        <v/>
      </c>
      <c r="AF2588" s="713" t="str">
        <f t="shared" si="1945"/>
        <v/>
      </c>
      <c r="AG2588" s="713"/>
      <c r="AH2588" s="713"/>
      <c r="AI2588" s="112">
        <f>IF(H2588="credit",0,IF(AE2588="free",0,IF(AE2588="me",0,IF(G2588&gt;0,(VLOOKUP(A2588,'Discount Lookup'!J:K,2)*G2588),0))))</f>
        <v>0</v>
      </c>
      <c r="AJ2588" s="107" t="str">
        <f t="shared" ca="1" si="1946"/>
        <v/>
      </c>
      <c r="AK2588" s="714" t="str">
        <f t="shared" si="1947"/>
        <v/>
      </c>
      <c r="AL2588" s="714"/>
      <c r="AM2588" s="114" t="str">
        <f t="shared" si="1948"/>
        <v/>
      </c>
      <c r="AN2588" s="115"/>
      <c r="AO2588" s="116"/>
      <c r="AP2588" s="116"/>
      <c r="AQ2588" s="116"/>
      <c r="AR2588" s="116"/>
      <c r="AS2588" s="116"/>
      <c r="AT2588" s="116"/>
      <c r="AU2588" s="116"/>
      <c r="AV2588" s="78"/>
      <c r="AW2588" s="102"/>
      <c r="AX2588" s="78"/>
      <c r="AY2588" s="78"/>
      <c r="AZ2588" s="78"/>
      <c r="BA2588" s="78"/>
      <c r="BB2588" s="78"/>
      <c r="BC2588" s="78"/>
      <c r="BD2588" s="78"/>
      <c r="BE2588" s="465"/>
      <c r="BF2588" s="165" t="str">
        <f t="shared" si="1949"/>
        <v>https://www.google.com/search?tbm=isch&amp;q=25%20G4</v>
      </c>
      <c r="BG2588" s="165" t="str">
        <f t="shared" si="1950"/>
        <v>L</v>
      </c>
      <c r="BH2588" s="65"/>
      <c r="BI2588" s="65"/>
      <c r="BJ2588" s="65"/>
      <c r="BK2588" s="65"/>
      <c r="BL2588" s="99"/>
      <c r="BM2588" s="99"/>
      <c r="BN2588" s="99"/>
    </row>
    <row r="2589" spans="1:66" s="51" customFormat="1" ht="15.75" x14ac:dyDescent="0.25">
      <c r="A2589" s="634">
        <v>30</v>
      </c>
      <c r="B2589" s="635" t="s">
        <v>291</v>
      </c>
      <c r="C2589" s="636" t="s">
        <v>3260</v>
      </c>
      <c r="D2589" s="637" t="s">
        <v>311</v>
      </c>
      <c r="E2589" s="638">
        <v>299.95</v>
      </c>
      <c r="F2589" s="639" t="s">
        <v>292</v>
      </c>
      <c r="G2589" s="484">
        <v>0</v>
      </c>
      <c r="H2589" s="691" t="str">
        <f t="shared" si="1951"/>
        <v/>
      </c>
      <c r="I2589" s="640">
        <f t="shared" si="1952"/>
        <v>0</v>
      </c>
      <c r="J2589" s="640">
        <f t="shared" si="1953"/>
        <v>0</v>
      </c>
      <c r="K2589" s="716">
        <f t="shared" ref="K2589" si="1962">I2589+J2589</f>
        <v>0</v>
      </c>
      <c r="L2589" s="716"/>
      <c r="M2589" s="689" t="str">
        <f t="shared" ca="1" si="1955"/>
        <v/>
      </c>
      <c r="N2589" s="690"/>
      <c r="O2589" s="486"/>
      <c r="P2589" s="486"/>
      <c r="Q2589" s="486"/>
      <c r="R2589" s="486"/>
      <c r="S2589" s="486"/>
      <c r="T2589" s="102">
        <f t="shared" si="1938"/>
        <v>0</v>
      </c>
      <c r="U2589" s="78">
        <f>IF(NOT(ISNUMBER(G2589)), "", VLOOKUP(A2589,'Discount Lookup'!D:E,2,FALSE)*G2589)</f>
        <v>0</v>
      </c>
      <c r="V2589" s="78">
        <f>IF(NOT(ISNUMBER(G2589)), "", VLOOKUP(A2589,'Discount Lookup'!G:H,2,FALSE)*G2589)</f>
        <v>0</v>
      </c>
      <c r="W2589" s="102">
        <f t="shared" si="1939"/>
        <v>0</v>
      </c>
      <c r="X2589" s="102">
        <f t="shared" si="1940"/>
        <v>0</v>
      </c>
      <c r="Y2589" s="120" t="b">
        <f t="shared" si="1941"/>
        <v>0</v>
      </c>
      <c r="Z2589" s="117">
        <f t="shared" si="1942"/>
        <v>0</v>
      </c>
      <c r="AA2589" s="118"/>
      <c r="AB2589" s="118" t="str">
        <f t="shared" si="1943"/>
        <v/>
      </c>
      <c r="AC2589" s="712" t="str">
        <f>IF(AE2589="T2G","no charge",IF(AND(OR(PlanterYesMe="No",PlanterYesMe="N",PlanterYesMe="me"),H2589=""),"",IF(H2589="credit","NO install",IF(AND(K2589="",AE2589="me"),"EACH row",IF(AND(K2589="images",AE2589="me"),"EACH row",IF(D2589="","",IF(H2589="credit","",IF(AE2589="free","re-planting",IF(AE2589="me","   not ELP, by",IF(AND(OR(PlanterYesMe="Yes",PlanterYesMe="Y"),G2589&gt;0),(VLOOKUP(A2589,'Discount Lookup'!J:K,2)*G2589*(1-PlanterDiscount)*(1+PlanterDifficultyPercentage)),IF(AE2589="ELP",(VLOOKUP(A2589,'Discount Lookup'!J:K,2)*G2589*(1-PlanterDiscount)*(1+PlanterDifficultyPercentage)),IF(AE2589="free","re-planting",IF(G2589=0,"",IF(PlanterYesMe="",IF(AE2589="me","   not ELP, by",IF(AE2589="",IF(G2589&gt;0,(VLOOKUP(A2589,'Discount Lookup'!J:K,2)*G2589*(1-PlanterDiscount)*(1+PlanterDifficultyPercentage)),""),"")),"   not ELP, by"))))))))))))))</f>
        <v/>
      </c>
      <c r="AD2589" s="712"/>
      <c r="AE2589" s="513" t="str">
        <f t="shared" si="1944"/>
        <v/>
      </c>
      <c r="AF2589" s="713" t="str">
        <f t="shared" si="1945"/>
        <v/>
      </c>
      <c r="AG2589" s="713"/>
      <c r="AH2589" s="713"/>
      <c r="AI2589" s="112">
        <f>IF(H2589="credit",0,IF(AE2589="free",0,IF(AE2589="me",0,IF(G2589&gt;0,(VLOOKUP(A2589,'Discount Lookup'!J:K,2)*G2589),0))))</f>
        <v>0</v>
      </c>
      <c r="AJ2589" s="107" t="str">
        <f t="shared" ca="1" si="1946"/>
        <v/>
      </c>
      <c r="AK2589" s="714" t="str">
        <f t="shared" si="1947"/>
        <v/>
      </c>
      <c r="AL2589" s="714"/>
      <c r="AM2589" s="114" t="str">
        <f t="shared" si="1948"/>
        <v/>
      </c>
      <c r="AN2589" s="115"/>
      <c r="AO2589" s="116"/>
      <c r="AP2589" s="116"/>
      <c r="AQ2589" s="116"/>
      <c r="AR2589" s="116"/>
      <c r="AS2589" s="116"/>
      <c r="AT2589" s="116"/>
      <c r="AU2589" s="116"/>
      <c r="AV2589" s="78"/>
      <c r="AW2589" s="102"/>
      <c r="AX2589" s="78"/>
      <c r="AY2589" s="78"/>
      <c r="AZ2589" s="78"/>
      <c r="BA2589" s="78"/>
      <c r="BB2589" s="78"/>
      <c r="BC2589" s="78"/>
      <c r="BD2589" s="78"/>
      <c r="BE2589" s="465"/>
      <c r="BF2589" s="165" t="str">
        <f t="shared" si="1949"/>
        <v>https://www.google.com/search?tbm=isch&amp;q=30%20G5</v>
      </c>
      <c r="BG2589" s="165" t="str">
        <f t="shared" si="1950"/>
        <v>L</v>
      </c>
      <c r="BH2589" s="65"/>
      <c r="BI2589" s="65"/>
      <c r="BJ2589" s="65"/>
      <c r="BK2589" s="65"/>
      <c r="BL2589" s="99"/>
      <c r="BM2589" s="99"/>
      <c r="BN2589" s="99"/>
    </row>
    <row r="2590" spans="1:66" s="51" customFormat="1" ht="15.75" x14ac:dyDescent="0.25">
      <c r="A2590" s="634">
        <v>30</v>
      </c>
      <c r="B2590" s="635" t="s">
        <v>291</v>
      </c>
      <c r="C2590" s="636" t="s">
        <v>3261</v>
      </c>
      <c r="D2590" s="637" t="s">
        <v>311</v>
      </c>
      <c r="E2590" s="638">
        <v>323.95</v>
      </c>
      <c r="F2590" s="639" t="s">
        <v>292</v>
      </c>
      <c r="G2590" s="484">
        <v>0</v>
      </c>
      <c r="H2590" s="691" t="str">
        <f t="shared" si="1951"/>
        <v/>
      </c>
      <c r="I2590" s="640">
        <f t="shared" si="1952"/>
        <v>0</v>
      </c>
      <c r="J2590" s="640">
        <f t="shared" si="1953"/>
        <v>0</v>
      </c>
      <c r="K2590" s="716">
        <f t="shared" ref="K2590" si="1963">I2590+J2590</f>
        <v>0</v>
      </c>
      <c r="L2590" s="716"/>
      <c r="M2590" s="689" t="str">
        <f t="shared" ca="1" si="1955"/>
        <v/>
      </c>
      <c r="N2590" s="690"/>
      <c r="O2590" s="486"/>
      <c r="P2590" s="486"/>
      <c r="Q2590" s="486"/>
      <c r="R2590" s="486"/>
      <c r="S2590" s="486"/>
      <c r="T2590" s="102">
        <f t="shared" si="1938"/>
        <v>0</v>
      </c>
      <c r="U2590" s="78">
        <f>IF(NOT(ISNUMBER(G2590)), "", VLOOKUP(A2590,'Discount Lookup'!D:E,2,FALSE)*G2590)</f>
        <v>0</v>
      </c>
      <c r="V2590" s="78">
        <f>IF(NOT(ISNUMBER(G2590)), "", VLOOKUP(A2590,'Discount Lookup'!G:H,2,FALSE)*G2590)</f>
        <v>0</v>
      </c>
      <c r="W2590" s="102">
        <f t="shared" si="1939"/>
        <v>0</v>
      </c>
      <c r="X2590" s="102">
        <f t="shared" si="1940"/>
        <v>0</v>
      </c>
      <c r="Y2590" s="120" t="b">
        <f t="shared" si="1941"/>
        <v>0</v>
      </c>
      <c r="Z2590" s="117">
        <f t="shared" si="1942"/>
        <v>0</v>
      </c>
      <c r="AA2590" s="118"/>
      <c r="AB2590" s="118" t="str">
        <f t="shared" si="1943"/>
        <v/>
      </c>
      <c r="AC2590" s="712" t="str">
        <f>IF(AE2590="T2G","no charge",IF(AND(OR(PlanterYesMe="No",PlanterYesMe="N",PlanterYesMe="me"),H2590=""),"",IF(H2590="credit","NO install",IF(AND(K2590="",AE2590="me"),"EACH row",IF(AND(K2590="images",AE2590="me"),"EACH row",IF(D2590="","",IF(H2590="credit","",IF(AE2590="free","re-planting",IF(AE2590="me","   not ELP, by",IF(AND(OR(PlanterYesMe="Yes",PlanterYesMe="Y"),G2590&gt;0),(VLOOKUP(A2590,'Discount Lookup'!J:K,2)*G2590*(1-PlanterDiscount)*(1+PlanterDifficultyPercentage)),IF(AE2590="ELP",(VLOOKUP(A2590,'Discount Lookup'!J:K,2)*G2590*(1-PlanterDiscount)*(1+PlanterDifficultyPercentage)),IF(AE2590="free","re-planting",IF(G2590=0,"",IF(PlanterYesMe="",IF(AE2590="me","   not ELP, by",IF(AE2590="",IF(G2590&gt;0,(VLOOKUP(A2590,'Discount Lookup'!J:K,2)*G2590*(1-PlanterDiscount)*(1+PlanterDifficultyPercentage)),""),"")),"   not ELP, by"))))))))))))))</f>
        <v/>
      </c>
      <c r="AD2590" s="712"/>
      <c r="AE2590" s="513" t="str">
        <f t="shared" si="1944"/>
        <v/>
      </c>
      <c r="AF2590" s="713" t="str">
        <f t="shared" si="1945"/>
        <v/>
      </c>
      <c r="AG2590" s="713"/>
      <c r="AH2590" s="713"/>
      <c r="AI2590" s="112">
        <f>IF(H2590="credit",0,IF(AE2590="free",0,IF(AE2590="me",0,IF(G2590&gt;0,(VLOOKUP(A2590,'Discount Lookup'!J:K,2)*G2590),0))))</f>
        <v>0</v>
      </c>
      <c r="AJ2590" s="107" t="str">
        <f t="shared" ca="1" si="1946"/>
        <v/>
      </c>
      <c r="AK2590" s="714" t="str">
        <f t="shared" si="1947"/>
        <v/>
      </c>
      <c r="AL2590" s="714"/>
      <c r="AM2590" s="114" t="str">
        <f t="shared" si="1948"/>
        <v/>
      </c>
      <c r="AN2590" s="115"/>
      <c r="AO2590" s="116"/>
      <c r="AP2590" s="116"/>
      <c r="AQ2590" s="116"/>
      <c r="AR2590" s="116"/>
      <c r="AS2590" s="116"/>
      <c r="AT2590" s="116"/>
      <c r="AU2590" s="116"/>
      <c r="AV2590" s="78"/>
      <c r="AW2590" s="102"/>
      <c r="AX2590" s="78"/>
      <c r="AY2590" s="78"/>
      <c r="AZ2590" s="78"/>
      <c r="BA2590" s="78"/>
      <c r="BB2590" s="78"/>
      <c r="BC2590" s="78"/>
      <c r="BD2590" s="78"/>
      <c r="BE2590" s="465"/>
      <c r="BF2590" s="165" t="str">
        <f t="shared" si="1949"/>
        <v>https://www.google.com/search?tbm=isch&amp;q=30%20G5</v>
      </c>
      <c r="BG2590" s="165" t="str">
        <f t="shared" si="1950"/>
        <v>L</v>
      </c>
      <c r="BH2590" s="65"/>
      <c r="BI2590" s="65"/>
      <c r="BJ2590" s="65"/>
      <c r="BK2590" s="65"/>
      <c r="BL2590" s="99"/>
      <c r="BM2590" s="99"/>
      <c r="BN2590" s="99"/>
    </row>
    <row r="2591" spans="1:66" s="51" customFormat="1" ht="17.25" thickBot="1" x14ac:dyDescent="0.3">
      <c r="A2591" s="641" t="s">
        <v>3262</v>
      </c>
      <c r="B2591" s="642"/>
      <c r="C2591" s="710"/>
      <c r="D2591" s="643"/>
      <c r="E2591" s="643"/>
      <c r="F2591" s="644"/>
      <c r="G2591" s="645"/>
      <c r="H2591" s="646"/>
      <c r="I2591" s="647"/>
      <c r="J2591" s="648"/>
      <c r="K2591" s="649"/>
      <c r="L2591" s="650"/>
      <c r="M2591" s="650"/>
      <c r="N2591" s="644"/>
      <c r="O2591" s="644"/>
      <c r="P2591" s="644"/>
      <c r="Q2591" s="644"/>
      <c r="R2591" s="644"/>
      <c r="S2591" s="651"/>
      <c r="T2591" s="102">
        <f t="shared" si="1938"/>
        <v>0</v>
      </c>
      <c r="U2591" s="78" t="str">
        <f>IF(NOT(ISNUMBER(G2591)), "", VLOOKUP(A2591,'Discount Lookup'!D:E,2,FALSE)*G2591)</f>
        <v/>
      </c>
      <c r="V2591" s="78" t="str">
        <f>IF(NOT(ISNUMBER(G2591)), "", VLOOKUP(A2591,'Discount Lookup'!G:H,2,FALSE)*G2591)</f>
        <v/>
      </c>
      <c r="W2591" s="102">
        <f t="shared" si="1939"/>
        <v>0</v>
      </c>
      <c r="X2591" s="102">
        <f t="shared" si="1940"/>
        <v>0</v>
      </c>
      <c r="Y2591" s="120" t="b">
        <f t="shared" si="1941"/>
        <v>0</v>
      </c>
      <c r="Z2591" s="117">
        <f t="shared" si="1942"/>
        <v>0</v>
      </c>
      <c r="AA2591" s="118"/>
      <c r="AB2591" s="118" t="str">
        <f t="shared" si="1943"/>
        <v/>
      </c>
      <c r="AC2591" s="712" t="str">
        <f>IF(AE2591="T2G","no charge",IF(AND(OR(PlanterYesMe="No",PlanterYesMe="N",PlanterYesMe="me"),H2591=""),"",IF(H2591="credit","NO install",IF(AND(K2591="",AE2591="me"),"EACH row",IF(AND(K2591="images",AE2591="me"),"EACH row",IF(D2591="","",IF(H2591="credit","",IF(AE2591="free","re-planting",IF(AE2591="me","   not ELP, by",IF(AND(OR(PlanterYesMe="Yes",PlanterYesMe="Y"),G2591&gt;0),(VLOOKUP(A2591,'Discount Lookup'!J:K,2)*G2591*(1-PlanterDiscount)*(1+PlanterDifficultyPercentage)),IF(AE2591="ELP",(VLOOKUP(A2591,'Discount Lookup'!J:K,2)*G2591*(1-PlanterDiscount)*(1+PlanterDifficultyPercentage)),IF(AE2591="free","re-planting",IF(G2591=0,"",IF(PlanterYesMe="",IF(AE2591="me","   not ELP, by",IF(AE2591="",IF(G2591&gt;0,(VLOOKUP(A2591,'Discount Lookup'!J:K,2)*G2591*(1-PlanterDiscount)*(1+PlanterDifficultyPercentage)),""),"")),"   not ELP, by"))))))))))))))</f>
        <v/>
      </c>
      <c r="AD2591" s="712"/>
      <c r="AE2591" s="513" t="str">
        <f t="shared" si="1944"/>
        <v/>
      </c>
      <c r="AF2591" s="713" t="str">
        <f t="shared" si="1945"/>
        <v/>
      </c>
      <c r="AG2591" s="713"/>
      <c r="AH2591" s="713"/>
      <c r="AI2591" s="112">
        <f>IF(H2591="credit",0,IF(AE2591="free",0,IF(AE2591="me",0,IF(G2591&gt;0,(VLOOKUP(A2591,'Discount Lookup'!J:K,2)*G2591),0))))</f>
        <v>0</v>
      </c>
      <c r="AJ2591" s="107" t="str">
        <f t="shared" ca="1" si="1946"/>
        <v/>
      </c>
      <c r="AK2591" s="714" t="str">
        <f t="shared" si="1947"/>
        <v/>
      </c>
      <c r="AL2591" s="714"/>
      <c r="AM2591" s="114" t="str">
        <f t="shared" si="1948"/>
        <v/>
      </c>
      <c r="AN2591" s="115"/>
      <c r="AO2591" s="116"/>
      <c r="AP2591" s="116"/>
      <c r="AQ2591" s="116"/>
      <c r="AR2591" s="116"/>
      <c r="AS2591" s="116"/>
      <c r="AT2591" s="116"/>
      <c r="AU2591" s="116"/>
      <c r="AV2591" s="78"/>
      <c r="AW2591" s="102"/>
      <c r="AX2591" s="78"/>
      <c r="AY2591" s="78"/>
      <c r="AZ2591" s="78"/>
      <c r="BA2591" s="78"/>
      <c r="BB2591" s="78"/>
      <c r="BC2591" s="78"/>
      <c r="BD2591" s="78"/>
      <c r="BE2591" s="465"/>
      <c r="BF2591" s="165" t="str">
        <f t="shared" si="1949"/>
        <v>https://www.google.com/search?tbm=isch&amp;q=Muskogee%20%26%20Natchez%20are%20twins%2C%20with%20identical%20size%2C%20shape%20and%20bloom%20periods.%20Plant%20them%20together%20for%20a%20show%20</v>
      </c>
      <c r="BG2591" s="165" t="str">
        <f t="shared" si="1950"/>
        <v>M</v>
      </c>
      <c r="BH2591" s="65"/>
      <c r="BI2591" s="65"/>
      <c r="BJ2591" s="65"/>
      <c r="BK2591" s="65"/>
      <c r="BL2591" s="99"/>
      <c r="BM2591" s="99"/>
      <c r="BN2591" s="99"/>
    </row>
    <row r="2592" spans="1:66" s="51" customFormat="1" ht="18" x14ac:dyDescent="0.25">
      <c r="A2592" s="623" t="s">
        <v>3263</v>
      </c>
      <c r="B2592" s="624"/>
      <c r="C2592" s="709"/>
      <c r="D2592" s="625" t="s">
        <v>3264</v>
      </c>
      <c r="E2592" s="626"/>
      <c r="F2592" s="626"/>
      <c r="G2592" s="626"/>
      <c r="H2592" s="622" t="s">
        <v>510</v>
      </c>
      <c r="I2592" s="627" t="s">
        <v>1738</v>
      </c>
      <c r="J2592" s="628"/>
      <c r="K2592" s="628"/>
      <c r="L2592" s="629"/>
      <c r="M2592" s="700" t="s">
        <v>5241</v>
      </c>
      <c r="N2592" s="693" t="str">
        <f>IF(AND(ISTEXT($A2592), ISERROR($A2592+0)), HYPERLINK($BF2592, "Images"), "")</f>
        <v>Images</v>
      </c>
      <c r="O2592" s="695" t="s">
        <v>5247</v>
      </c>
      <c r="P2592" s="630"/>
      <c r="Q2592" s="631"/>
      <c r="R2592" s="632"/>
      <c r="S2592" s="633"/>
      <c r="T2592" s="102">
        <f t="shared" si="1938"/>
        <v>0</v>
      </c>
      <c r="U2592" s="78" t="str">
        <f>IF(NOT(ISNUMBER(G2592)), "", VLOOKUP(A2592,'Discount Lookup'!D:E,2,FALSE)*G2592)</f>
        <v/>
      </c>
      <c r="V2592" s="78" t="str">
        <f>IF(NOT(ISNUMBER(G2592)), "", VLOOKUP(A2592,'Discount Lookup'!G:H,2,FALSE)*G2592)</f>
        <v/>
      </c>
      <c r="W2592" s="102">
        <f t="shared" si="1939"/>
        <v>0</v>
      </c>
      <c r="X2592" s="102" t="str">
        <f t="shared" si="1940"/>
        <v>Red bloom</v>
      </c>
      <c r="Y2592" s="120" t="b">
        <f t="shared" si="1941"/>
        <v>0</v>
      </c>
      <c r="Z2592" s="117">
        <f t="shared" si="1942"/>
        <v>0</v>
      </c>
      <c r="AA2592" s="118"/>
      <c r="AB2592" s="118" t="str">
        <f t="shared" si="1943"/>
        <v/>
      </c>
      <c r="AC2592" s="712" t="str">
        <f>IF(AE2592="T2G","no charge",IF(AND(OR(PlanterYesMe="No",PlanterYesMe="N",PlanterYesMe="me"),H2592=""),"",IF(H2592="credit","NO install",IF(AND(K2592="",AE2592="me"),"EACH row",IF(AND(K2592="images",AE2592="me"),"EACH row",IF(D2592="","",IF(H2592="credit","",IF(AE2592="free","re-planting",IF(AE2592="me","   not ELP, by",IF(AND(OR(PlanterYesMe="Yes",PlanterYesMe="Y"),G2592&gt;0),(VLOOKUP(A2592,'Discount Lookup'!J:K,2)*G2592*(1-PlanterDiscount)*(1+PlanterDifficultyPercentage)),IF(AE2592="ELP",(VLOOKUP(A2592,'Discount Lookup'!J:K,2)*G2592*(1-PlanterDiscount)*(1+PlanterDifficultyPercentage)),IF(AE2592="free","re-planting",IF(G2592=0,"",IF(PlanterYesMe="",IF(AE2592="me","   not ELP, by",IF(AE2592="",IF(G2592&gt;0,(VLOOKUP(A2592,'Discount Lookup'!J:K,2)*G2592*(1-PlanterDiscount)*(1+PlanterDifficultyPercentage)),""),"")),"   not ELP, by"))))))))))))))</f>
        <v/>
      </c>
      <c r="AD2592" s="712"/>
      <c r="AE2592" s="513" t="str">
        <f t="shared" si="1944"/>
        <v/>
      </c>
      <c r="AF2592" s="713" t="str">
        <f t="shared" si="1945"/>
        <v/>
      </c>
      <c r="AG2592" s="713"/>
      <c r="AH2592" s="713"/>
      <c r="AI2592" s="112">
        <f>IF(H2592="credit",0,IF(AE2592="free",0,IF(AE2592="me",0,IF(G2592&gt;0,(VLOOKUP(A2592,'Discount Lookup'!J:K,2)*G2592),0))))</f>
        <v>0</v>
      </c>
      <c r="AJ2592" s="107" t="str">
        <f t="shared" ca="1" si="1946"/>
        <v/>
      </c>
      <c r="AK2592" s="714" t="str">
        <f t="shared" si="1947"/>
        <v/>
      </c>
      <c r="AL2592" s="714"/>
      <c r="AM2592" s="114" t="str">
        <f t="shared" si="1948"/>
        <v/>
      </c>
      <c r="AN2592" s="115"/>
      <c r="AO2592" s="116"/>
      <c r="AP2592" s="116"/>
      <c r="AQ2592" s="116"/>
      <c r="AR2592" s="116"/>
      <c r="AS2592" s="116"/>
      <c r="AT2592" s="116"/>
      <c r="AU2592" s="116"/>
      <c r="AV2592" s="78"/>
      <c r="AW2592" s="102"/>
      <c r="AX2592" s="78"/>
      <c r="AY2592" s="78"/>
      <c r="AZ2592" s="78"/>
      <c r="BA2592" s="78"/>
      <c r="BB2592" s="78"/>
      <c r="BC2592" s="78"/>
      <c r="BD2592" s="78"/>
      <c r="BE2592" s="465"/>
      <c r="BF2592" s="165" t="str">
        <f t="shared" si="1949"/>
        <v>https://www.google.com/search?tbm=isch&amp;q=Lagerstroemia%20%27JM1%27%20PP%2331585%20Colorama%20Scarlet%20Crape%20Myrtle</v>
      </c>
      <c r="BG2592" s="165" t="str">
        <f t="shared" si="1950"/>
        <v>L</v>
      </c>
      <c r="BH2592" s="65"/>
      <c r="BI2592" s="65"/>
      <c r="BJ2592" s="65"/>
      <c r="BK2592" s="65"/>
      <c r="BL2592" s="99"/>
      <c r="BM2592" s="99"/>
      <c r="BN2592" s="99"/>
    </row>
    <row r="2593" spans="1:66" s="51" customFormat="1" ht="15.75" x14ac:dyDescent="0.25">
      <c r="A2593" s="634">
        <v>3</v>
      </c>
      <c r="B2593" s="635" t="s">
        <v>291</v>
      </c>
      <c r="C2593" s="636" t="s">
        <v>3222</v>
      </c>
      <c r="D2593" s="637" t="s">
        <v>309</v>
      </c>
      <c r="E2593" s="638">
        <v>33.950000000000003</v>
      </c>
      <c r="F2593" s="639" t="s">
        <v>292</v>
      </c>
      <c r="G2593" s="484">
        <v>0</v>
      </c>
      <c r="H2593" s="691" t="str">
        <f t="shared" ref="H2593:H2600" si="1964">IF(G2593=0,"",IF(F2593="Buy",IF(G2593=1,"plant","plants"),IF(F2593&gt;0.01,"warranty","Error")))</f>
        <v/>
      </c>
      <c r="I2593" s="640">
        <f t="shared" ref="I2593:I2600" si="1965">IF(H2593="free",0,IF(H2593="credit",((E2593*(F2593))*G2593*-1),IF(F2593="Buy",(E2593*G2593),((E2593*(1-F2593))*G2593))))</f>
        <v>0</v>
      </c>
      <c r="J2593" s="640">
        <f t="shared" ref="J2593:J2600" si="1966">IF(H2593="warranty",0,(I2593*(_xlfn.SINGLE(SalesTaxPercentage))))</f>
        <v>0</v>
      </c>
      <c r="K2593" s="716">
        <f t="shared" ref="K2593" si="1967">I2593+J2593</f>
        <v>0</v>
      </c>
      <c r="L2593" s="716"/>
      <c r="M2593" s="689" t="str">
        <f t="shared" ref="M2593:M2600" ca="1" si="1968">IF(AND(G2593&gt;0,E2593=0),"WARNING - no PRICE inserted",IF(H2593="free","FREE ~ no charge this plant",IF(H2593="credit",CONCATENATE("-$",ROUND(K2593*(1-_xlfn.SINGLE(T2GDiscount))*-1,2)," CREDIT after discount"),IF(_xlfn.SINGLE(T2GDiscount)=0,"",IF(G2593=0,"",IF(F2593="Buy",CONCATENATE("$",ROUND(K2593*(1-_xlfn.SINGLE(T2GDiscount)),2)," with ",(_xlfn.SINGLE(T2GDiscount)*100),"% discount"),CONCATENATE("$",ROUND(K2593*(1-_xlfn.SINGLE(T2GDiscount)),2)," with ",((_xlfn.SINGLE(T2GDiscount)*100+F2593*100)-(_xlfn.SINGLE(T2GDiscount)*100*F2593)),IF(F2593&gt;0,"% discounts",IF(_xlfn.SINGLE(NoWarrantyDiscount)&gt;0,"% discounts","% discount")))))))))</f>
        <v/>
      </c>
      <c r="N2593" s="690"/>
      <c r="O2593" s="486"/>
      <c r="P2593" s="486"/>
      <c r="Q2593" s="486"/>
      <c r="R2593" s="486"/>
      <c r="S2593" s="486"/>
      <c r="T2593" s="102">
        <f t="shared" si="1938"/>
        <v>0</v>
      </c>
      <c r="U2593" s="78">
        <f>IF(NOT(ISNUMBER(G2593)), "", VLOOKUP(A2593,'Discount Lookup'!D:E,2,FALSE)*G2593)</f>
        <v>0</v>
      </c>
      <c r="V2593" s="78">
        <f>IF(NOT(ISNUMBER(G2593)), "", VLOOKUP(A2593,'Discount Lookup'!G:H,2,FALSE)*G2593)</f>
        <v>0</v>
      </c>
      <c r="W2593" s="102">
        <f t="shared" si="1939"/>
        <v>0</v>
      </c>
      <c r="X2593" s="102">
        <f t="shared" si="1940"/>
        <v>0</v>
      </c>
      <c r="Y2593" s="120" t="b">
        <f t="shared" si="1941"/>
        <v>0</v>
      </c>
      <c r="Z2593" s="117">
        <f t="shared" si="1942"/>
        <v>0</v>
      </c>
      <c r="AA2593" s="118"/>
      <c r="AB2593" s="118" t="str">
        <f t="shared" si="1943"/>
        <v/>
      </c>
      <c r="AC2593" s="712" t="str">
        <f>IF(AE2593="T2G","no charge",IF(AND(OR(PlanterYesMe="No",PlanterYesMe="N",PlanterYesMe="me"),H2593=""),"",IF(H2593="credit","NO install",IF(AND(K2593="",AE2593="me"),"EACH row",IF(AND(K2593="images",AE2593="me"),"EACH row",IF(D2593="","",IF(H2593="credit","",IF(AE2593="free","re-planting",IF(AE2593="me","   not ELP, by",IF(AND(OR(PlanterYesMe="Yes",PlanterYesMe="Y"),G2593&gt;0),(VLOOKUP(A2593,'Discount Lookup'!J:K,2)*G2593*(1-PlanterDiscount)*(1+PlanterDifficultyPercentage)),IF(AE2593="ELP",(VLOOKUP(A2593,'Discount Lookup'!J:K,2)*G2593*(1-PlanterDiscount)*(1+PlanterDifficultyPercentage)),IF(AE2593="free","re-planting",IF(G2593=0,"",IF(PlanterYesMe="",IF(AE2593="me","   not ELP, by",IF(AE2593="",IF(G2593&gt;0,(VLOOKUP(A2593,'Discount Lookup'!J:K,2)*G2593*(1-PlanterDiscount)*(1+PlanterDifficultyPercentage)),""),"")),"   not ELP, by"))))))))))))))</f>
        <v/>
      </c>
      <c r="AD2593" s="712"/>
      <c r="AE2593" s="513" t="str">
        <f t="shared" si="1944"/>
        <v/>
      </c>
      <c r="AF2593" s="713" t="str">
        <f t="shared" si="1945"/>
        <v/>
      </c>
      <c r="AG2593" s="713"/>
      <c r="AH2593" s="713"/>
      <c r="AI2593" s="112">
        <f>IF(H2593="credit",0,IF(AE2593="free",0,IF(AE2593="me",0,IF(G2593&gt;0,(VLOOKUP(A2593,'Discount Lookup'!J:K,2)*G2593),0))))</f>
        <v>0</v>
      </c>
      <c r="AJ2593" s="107" t="str">
        <f t="shared" ca="1" si="1946"/>
        <v/>
      </c>
      <c r="AK2593" s="714" t="str">
        <f t="shared" si="1947"/>
        <v/>
      </c>
      <c r="AL2593" s="714"/>
      <c r="AM2593" s="114" t="str">
        <f t="shared" si="1948"/>
        <v/>
      </c>
      <c r="AN2593" s="115"/>
      <c r="AO2593" s="116"/>
      <c r="AP2593" s="116"/>
      <c r="AQ2593" s="116"/>
      <c r="AR2593" s="116"/>
      <c r="AS2593" s="116"/>
      <c r="AT2593" s="116"/>
      <c r="AU2593" s="116"/>
      <c r="AV2593" s="78"/>
      <c r="AW2593" s="102"/>
      <c r="AX2593" s="78"/>
      <c r="AY2593" s="78"/>
      <c r="AZ2593" s="78"/>
      <c r="BA2593" s="78"/>
      <c r="BB2593" s="78"/>
      <c r="BC2593" s="78"/>
      <c r="BD2593" s="78"/>
      <c r="BE2593" s="465"/>
      <c r="BF2593" s="165" t="str">
        <f t="shared" si="1949"/>
        <v>https://www.google.com/search?tbm=isch&amp;q=3%20G3</v>
      </c>
      <c r="BG2593" s="165" t="str">
        <f t="shared" si="1950"/>
        <v>L</v>
      </c>
      <c r="BH2593" s="65"/>
      <c r="BI2593" s="65"/>
      <c r="BJ2593" s="65"/>
      <c r="BK2593" s="65"/>
      <c r="BL2593" s="99"/>
      <c r="BM2593" s="99"/>
      <c r="BN2593" s="99"/>
    </row>
    <row r="2594" spans="1:66" s="51" customFormat="1" ht="27" x14ac:dyDescent="0.25">
      <c r="A2594" s="634">
        <v>7</v>
      </c>
      <c r="B2594" s="635" t="s">
        <v>291</v>
      </c>
      <c r="C2594" s="636" t="s">
        <v>3265</v>
      </c>
      <c r="D2594" s="637" t="s">
        <v>299</v>
      </c>
      <c r="E2594" s="638">
        <v>97.95</v>
      </c>
      <c r="F2594" s="639" t="s">
        <v>292</v>
      </c>
      <c r="G2594" s="484">
        <v>0</v>
      </c>
      <c r="H2594" s="691" t="str">
        <f t="shared" si="1964"/>
        <v/>
      </c>
      <c r="I2594" s="640">
        <f t="shared" si="1965"/>
        <v>0</v>
      </c>
      <c r="J2594" s="640">
        <f t="shared" si="1966"/>
        <v>0</v>
      </c>
      <c r="K2594" s="716">
        <f t="shared" ref="K2594" si="1969">I2594+J2594</f>
        <v>0</v>
      </c>
      <c r="L2594" s="716"/>
      <c r="M2594" s="689" t="str">
        <f t="shared" ca="1" si="1968"/>
        <v/>
      </c>
      <c r="N2594" s="690"/>
      <c r="O2594" s="486"/>
      <c r="P2594" s="486"/>
      <c r="Q2594" s="486"/>
      <c r="R2594" s="486"/>
      <c r="S2594" s="486"/>
      <c r="T2594" s="102">
        <f t="shared" si="1938"/>
        <v>0</v>
      </c>
      <c r="U2594" s="78">
        <f>IF(NOT(ISNUMBER(G2594)), "", VLOOKUP(A2594,'Discount Lookup'!D:E,2,FALSE)*G2594)</f>
        <v>0</v>
      </c>
      <c r="V2594" s="78">
        <f>IF(NOT(ISNUMBER(G2594)), "", VLOOKUP(A2594,'Discount Lookup'!G:H,2,FALSE)*G2594)</f>
        <v>0</v>
      </c>
      <c r="W2594" s="102">
        <f t="shared" si="1939"/>
        <v>0</v>
      </c>
      <c r="X2594" s="102">
        <f t="shared" si="1940"/>
        <v>0</v>
      </c>
      <c r="Y2594" s="120" t="b">
        <f t="shared" si="1941"/>
        <v>0</v>
      </c>
      <c r="Z2594" s="117">
        <f t="shared" si="1942"/>
        <v>0</v>
      </c>
      <c r="AA2594" s="118"/>
      <c r="AB2594" s="118" t="str">
        <f t="shared" si="1943"/>
        <v/>
      </c>
      <c r="AC2594" s="712" t="str">
        <f>IF(AE2594="T2G","no charge",IF(AND(OR(PlanterYesMe="No",PlanterYesMe="N",PlanterYesMe="me"),H2594=""),"",IF(H2594="credit","NO install",IF(AND(K2594="",AE2594="me"),"EACH row",IF(AND(K2594="images",AE2594="me"),"EACH row",IF(D2594="","",IF(H2594="credit","",IF(AE2594="free","re-planting",IF(AE2594="me","   not ELP, by",IF(AND(OR(PlanterYesMe="Yes",PlanterYesMe="Y"),G2594&gt;0),(VLOOKUP(A2594,'Discount Lookup'!J:K,2)*G2594*(1-PlanterDiscount)*(1+PlanterDifficultyPercentage)),IF(AE2594="ELP",(VLOOKUP(A2594,'Discount Lookup'!J:K,2)*G2594*(1-PlanterDiscount)*(1+PlanterDifficultyPercentage)),IF(AE2594="free","re-planting",IF(G2594=0,"",IF(PlanterYesMe="",IF(AE2594="me","   not ELP, by",IF(AE2594="",IF(G2594&gt;0,(VLOOKUP(A2594,'Discount Lookup'!J:K,2)*G2594*(1-PlanterDiscount)*(1+PlanterDifficultyPercentage)),""),"")),"   not ELP, by"))))))))))))))</f>
        <v/>
      </c>
      <c r="AD2594" s="712"/>
      <c r="AE2594" s="513" t="str">
        <f t="shared" si="1944"/>
        <v/>
      </c>
      <c r="AF2594" s="713" t="str">
        <f t="shared" si="1945"/>
        <v/>
      </c>
      <c r="AG2594" s="713"/>
      <c r="AH2594" s="713"/>
      <c r="AI2594" s="112">
        <f>IF(H2594="credit",0,IF(AE2594="free",0,IF(AE2594="me",0,IF(G2594&gt;0,(VLOOKUP(A2594,'Discount Lookup'!J:K,2)*G2594),0))))</f>
        <v>0</v>
      </c>
      <c r="AJ2594" s="107" t="str">
        <f t="shared" ca="1" si="1946"/>
        <v/>
      </c>
      <c r="AK2594" s="714" t="str">
        <f t="shared" si="1947"/>
        <v/>
      </c>
      <c r="AL2594" s="714"/>
      <c r="AM2594" s="114" t="str">
        <f t="shared" si="1948"/>
        <v/>
      </c>
      <c r="AN2594" s="115"/>
      <c r="AO2594" s="116"/>
      <c r="AP2594" s="116"/>
      <c r="AQ2594" s="116"/>
      <c r="AR2594" s="116"/>
      <c r="AS2594" s="116"/>
      <c r="AT2594" s="116"/>
      <c r="AU2594" s="116"/>
      <c r="AV2594" s="78"/>
      <c r="AW2594" s="102"/>
      <c r="AX2594" s="78"/>
      <c r="AY2594" s="78"/>
      <c r="AZ2594" s="78"/>
      <c r="BA2594" s="78"/>
      <c r="BB2594" s="78"/>
      <c r="BC2594" s="78"/>
      <c r="BD2594" s="78"/>
      <c r="BE2594" s="465"/>
      <c r="BF2594" s="165" t="str">
        <f t="shared" si="1949"/>
        <v>https://www.google.com/search?tbm=isch&amp;q=7%20G4</v>
      </c>
      <c r="BG2594" s="165" t="str">
        <f t="shared" si="1950"/>
        <v>L</v>
      </c>
      <c r="BH2594" s="65"/>
      <c r="BI2594" s="65"/>
      <c r="BJ2594" s="65"/>
      <c r="BK2594" s="65"/>
      <c r="BL2594" s="99"/>
      <c r="BM2594" s="99"/>
      <c r="BN2594" s="99"/>
    </row>
    <row r="2595" spans="1:66" s="51" customFormat="1" ht="27" x14ac:dyDescent="0.25">
      <c r="A2595" s="634">
        <v>15</v>
      </c>
      <c r="B2595" s="635" t="s">
        <v>291</v>
      </c>
      <c r="C2595" s="636" t="s">
        <v>3266</v>
      </c>
      <c r="D2595" s="637" t="s">
        <v>299</v>
      </c>
      <c r="E2595" s="638">
        <v>171.95</v>
      </c>
      <c r="F2595" s="639" t="s">
        <v>292</v>
      </c>
      <c r="G2595" s="484">
        <v>0</v>
      </c>
      <c r="H2595" s="691" t="str">
        <f t="shared" si="1964"/>
        <v/>
      </c>
      <c r="I2595" s="640">
        <f t="shared" si="1965"/>
        <v>0</v>
      </c>
      <c r="J2595" s="640">
        <f t="shared" si="1966"/>
        <v>0</v>
      </c>
      <c r="K2595" s="716">
        <f t="shared" ref="K2595" si="1970">I2595+J2595</f>
        <v>0</v>
      </c>
      <c r="L2595" s="716"/>
      <c r="M2595" s="689" t="str">
        <f t="shared" ca="1" si="1968"/>
        <v/>
      </c>
      <c r="N2595" s="690"/>
      <c r="O2595" s="486"/>
      <c r="P2595" s="486"/>
      <c r="Q2595" s="486"/>
      <c r="R2595" s="486"/>
      <c r="S2595" s="486"/>
      <c r="T2595" s="102">
        <f t="shared" si="1938"/>
        <v>0</v>
      </c>
      <c r="U2595" s="78">
        <f>IF(NOT(ISNUMBER(G2595)), "", VLOOKUP(A2595,'Discount Lookup'!D:E,2,FALSE)*G2595)</f>
        <v>0</v>
      </c>
      <c r="V2595" s="78">
        <f>IF(NOT(ISNUMBER(G2595)), "", VLOOKUP(A2595,'Discount Lookup'!G:H,2,FALSE)*G2595)</f>
        <v>0</v>
      </c>
      <c r="W2595" s="102">
        <f t="shared" si="1939"/>
        <v>0</v>
      </c>
      <c r="X2595" s="102">
        <f t="shared" si="1940"/>
        <v>0</v>
      </c>
      <c r="Y2595" s="120" t="b">
        <f t="shared" si="1941"/>
        <v>0</v>
      </c>
      <c r="Z2595" s="117">
        <f t="shared" si="1942"/>
        <v>0</v>
      </c>
      <c r="AA2595" s="118"/>
      <c r="AB2595" s="118" t="str">
        <f t="shared" si="1943"/>
        <v/>
      </c>
      <c r="AC2595" s="712" t="str">
        <f>IF(AE2595="T2G","no charge",IF(AND(OR(PlanterYesMe="No",PlanterYesMe="N",PlanterYesMe="me"),H2595=""),"",IF(H2595="credit","NO install",IF(AND(K2595="",AE2595="me"),"EACH row",IF(AND(K2595="images",AE2595="me"),"EACH row",IF(D2595="","",IF(H2595="credit","",IF(AE2595="free","re-planting",IF(AE2595="me","   not ELP, by",IF(AND(OR(PlanterYesMe="Yes",PlanterYesMe="Y"),G2595&gt;0),(VLOOKUP(A2595,'Discount Lookup'!J:K,2)*G2595*(1-PlanterDiscount)*(1+PlanterDifficultyPercentage)),IF(AE2595="ELP",(VLOOKUP(A2595,'Discount Lookup'!J:K,2)*G2595*(1-PlanterDiscount)*(1+PlanterDifficultyPercentage)),IF(AE2595="free","re-planting",IF(G2595=0,"",IF(PlanterYesMe="",IF(AE2595="me","   not ELP, by",IF(AE2595="",IF(G2595&gt;0,(VLOOKUP(A2595,'Discount Lookup'!J:K,2)*G2595*(1-PlanterDiscount)*(1+PlanterDifficultyPercentage)),""),"")),"   not ELP, by"))))))))))))))</f>
        <v/>
      </c>
      <c r="AD2595" s="712"/>
      <c r="AE2595" s="513" t="str">
        <f t="shared" si="1944"/>
        <v/>
      </c>
      <c r="AF2595" s="713" t="str">
        <f t="shared" si="1945"/>
        <v/>
      </c>
      <c r="AG2595" s="713"/>
      <c r="AH2595" s="713"/>
      <c r="AI2595" s="112">
        <f>IF(H2595="credit",0,IF(AE2595="free",0,IF(AE2595="me",0,IF(G2595&gt;0,(VLOOKUP(A2595,'Discount Lookup'!J:K,2)*G2595),0))))</f>
        <v>0</v>
      </c>
      <c r="AJ2595" s="107" t="str">
        <f t="shared" ca="1" si="1946"/>
        <v/>
      </c>
      <c r="AK2595" s="714" t="str">
        <f t="shared" si="1947"/>
        <v/>
      </c>
      <c r="AL2595" s="714"/>
      <c r="AM2595" s="114" t="str">
        <f t="shared" si="1948"/>
        <v/>
      </c>
      <c r="AN2595" s="115"/>
      <c r="AO2595" s="116"/>
      <c r="AP2595" s="116"/>
      <c r="AQ2595" s="116"/>
      <c r="AR2595" s="116"/>
      <c r="AS2595" s="116"/>
      <c r="AT2595" s="116"/>
      <c r="AU2595" s="116"/>
      <c r="AV2595" s="78"/>
      <c r="AW2595" s="102"/>
      <c r="AX2595" s="78"/>
      <c r="AY2595" s="78"/>
      <c r="AZ2595" s="78"/>
      <c r="BA2595" s="78"/>
      <c r="BB2595" s="78"/>
      <c r="BC2595" s="78"/>
      <c r="BD2595" s="78"/>
      <c r="BE2595" s="465"/>
      <c r="BF2595" s="165" t="str">
        <f t="shared" si="1949"/>
        <v>https://www.google.com/search?tbm=isch&amp;q=15%20G4</v>
      </c>
      <c r="BG2595" s="165" t="str">
        <f t="shared" si="1950"/>
        <v>L</v>
      </c>
      <c r="BH2595" s="65"/>
      <c r="BI2595" s="65"/>
      <c r="BJ2595" s="65"/>
      <c r="BK2595" s="65"/>
      <c r="BL2595" s="99"/>
      <c r="BM2595" s="99"/>
      <c r="BN2595" s="99"/>
    </row>
    <row r="2596" spans="1:66" s="51" customFormat="1" ht="15.75" x14ac:dyDescent="0.25">
      <c r="A2596" s="634">
        <v>15</v>
      </c>
      <c r="B2596" s="635" t="s">
        <v>291</v>
      </c>
      <c r="C2596" s="636" t="s">
        <v>3267</v>
      </c>
      <c r="D2596" s="637" t="s">
        <v>311</v>
      </c>
      <c r="E2596" s="638">
        <v>171.95</v>
      </c>
      <c r="F2596" s="639" t="s">
        <v>292</v>
      </c>
      <c r="G2596" s="484">
        <v>0</v>
      </c>
      <c r="H2596" s="691" t="str">
        <f t="shared" si="1964"/>
        <v/>
      </c>
      <c r="I2596" s="640">
        <f t="shared" si="1965"/>
        <v>0</v>
      </c>
      <c r="J2596" s="640">
        <f t="shared" si="1966"/>
        <v>0</v>
      </c>
      <c r="K2596" s="716">
        <f t="shared" ref="K2596" si="1971">I2596+J2596</f>
        <v>0</v>
      </c>
      <c r="L2596" s="716"/>
      <c r="M2596" s="689" t="str">
        <f t="shared" ca="1" si="1968"/>
        <v/>
      </c>
      <c r="N2596" s="690"/>
      <c r="O2596" s="486"/>
      <c r="P2596" s="486"/>
      <c r="Q2596" s="486"/>
      <c r="R2596" s="486"/>
      <c r="S2596" s="486"/>
      <c r="T2596" s="102">
        <f t="shared" si="1938"/>
        <v>0</v>
      </c>
      <c r="U2596" s="78">
        <f>IF(NOT(ISNUMBER(G2596)), "", VLOOKUP(A2596,'Discount Lookup'!D:E,2,FALSE)*G2596)</f>
        <v>0</v>
      </c>
      <c r="V2596" s="78">
        <f>IF(NOT(ISNUMBER(G2596)), "", VLOOKUP(A2596,'Discount Lookup'!G:H,2,FALSE)*G2596)</f>
        <v>0</v>
      </c>
      <c r="W2596" s="102">
        <f t="shared" si="1939"/>
        <v>0</v>
      </c>
      <c r="X2596" s="102">
        <f t="shared" si="1940"/>
        <v>0</v>
      </c>
      <c r="Y2596" s="120" t="b">
        <f t="shared" si="1941"/>
        <v>0</v>
      </c>
      <c r="Z2596" s="117">
        <f t="shared" si="1942"/>
        <v>0</v>
      </c>
      <c r="AA2596" s="118"/>
      <c r="AB2596" s="118" t="str">
        <f t="shared" si="1943"/>
        <v/>
      </c>
      <c r="AC2596" s="712" t="str">
        <f>IF(AE2596="T2G","no charge",IF(AND(OR(PlanterYesMe="No",PlanterYesMe="N",PlanterYesMe="me"),H2596=""),"",IF(H2596="credit","NO install",IF(AND(K2596="",AE2596="me"),"EACH row",IF(AND(K2596="images",AE2596="me"),"EACH row",IF(D2596="","",IF(H2596="credit","",IF(AE2596="free","re-planting",IF(AE2596="me","   not ELP, by",IF(AND(OR(PlanterYesMe="Yes",PlanterYesMe="Y"),G2596&gt;0),(VLOOKUP(A2596,'Discount Lookup'!J:K,2)*G2596*(1-PlanterDiscount)*(1+PlanterDifficultyPercentage)),IF(AE2596="ELP",(VLOOKUP(A2596,'Discount Lookup'!J:K,2)*G2596*(1-PlanterDiscount)*(1+PlanterDifficultyPercentage)),IF(AE2596="free","re-planting",IF(G2596=0,"",IF(PlanterYesMe="",IF(AE2596="me","   not ELP, by",IF(AE2596="",IF(G2596&gt;0,(VLOOKUP(A2596,'Discount Lookup'!J:K,2)*G2596*(1-PlanterDiscount)*(1+PlanterDifficultyPercentage)),""),"")),"   not ELP, by"))))))))))))))</f>
        <v/>
      </c>
      <c r="AD2596" s="712"/>
      <c r="AE2596" s="513" t="str">
        <f t="shared" si="1944"/>
        <v/>
      </c>
      <c r="AF2596" s="713" t="str">
        <f t="shared" si="1945"/>
        <v/>
      </c>
      <c r="AG2596" s="713"/>
      <c r="AH2596" s="713"/>
      <c r="AI2596" s="112">
        <f>IF(H2596="credit",0,IF(AE2596="free",0,IF(AE2596="me",0,IF(G2596&gt;0,(VLOOKUP(A2596,'Discount Lookup'!J:K,2)*G2596),0))))</f>
        <v>0</v>
      </c>
      <c r="AJ2596" s="107" t="str">
        <f t="shared" ca="1" si="1946"/>
        <v/>
      </c>
      <c r="AK2596" s="714" t="str">
        <f t="shared" si="1947"/>
        <v/>
      </c>
      <c r="AL2596" s="714"/>
      <c r="AM2596" s="114" t="str">
        <f t="shared" si="1948"/>
        <v/>
      </c>
      <c r="AN2596" s="115"/>
      <c r="AO2596" s="116"/>
      <c r="AP2596" s="116"/>
      <c r="AQ2596" s="116"/>
      <c r="AR2596" s="116"/>
      <c r="AS2596" s="116"/>
      <c r="AT2596" s="116"/>
      <c r="AU2596" s="116"/>
      <c r="AV2596" s="78"/>
      <c r="AW2596" s="102"/>
      <c r="AX2596" s="78"/>
      <c r="AY2596" s="78"/>
      <c r="AZ2596" s="78"/>
      <c r="BA2596" s="78"/>
      <c r="BB2596" s="78"/>
      <c r="BC2596" s="78"/>
      <c r="BD2596" s="78"/>
      <c r="BE2596" s="465"/>
      <c r="BF2596" s="165" t="str">
        <f t="shared" si="1949"/>
        <v>https://www.google.com/search?tbm=isch&amp;q=15%20G5</v>
      </c>
      <c r="BG2596" s="165" t="str">
        <f t="shared" si="1950"/>
        <v>L</v>
      </c>
      <c r="BH2596" s="65"/>
      <c r="BI2596" s="65"/>
      <c r="BJ2596" s="65"/>
      <c r="BK2596" s="65"/>
      <c r="BL2596" s="99"/>
      <c r="BM2596" s="99"/>
      <c r="BN2596" s="99"/>
    </row>
    <row r="2597" spans="1:66" s="51" customFormat="1" ht="27" x14ac:dyDescent="0.25">
      <c r="A2597" s="634">
        <v>15</v>
      </c>
      <c r="B2597" s="635" t="s">
        <v>291</v>
      </c>
      <c r="C2597" s="636" t="s">
        <v>3268</v>
      </c>
      <c r="D2597" s="637" t="s">
        <v>299</v>
      </c>
      <c r="E2597" s="638">
        <v>178.95</v>
      </c>
      <c r="F2597" s="639" t="s">
        <v>292</v>
      </c>
      <c r="G2597" s="484">
        <v>0</v>
      </c>
      <c r="H2597" s="691" t="str">
        <f t="shared" si="1964"/>
        <v/>
      </c>
      <c r="I2597" s="640">
        <f t="shared" si="1965"/>
        <v>0</v>
      </c>
      <c r="J2597" s="640">
        <f t="shared" si="1966"/>
        <v>0</v>
      </c>
      <c r="K2597" s="716">
        <f t="shared" ref="K2597" si="1972">I2597+J2597</f>
        <v>0</v>
      </c>
      <c r="L2597" s="716"/>
      <c r="M2597" s="689" t="str">
        <f t="shared" ca="1" si="1968"/>
        <v/>
      </c>
      <c r="N2597" s="690"/>
      <c r="O2597" s="486"/>
      <c r="P2597" s="486"/>
      <c r="Q2597" s="486"/>
      <c r="R2597" s="486"/>
      <c r="S2597" s="486"/>
      <c r="T2597" s="102">
        <f t="shared" si="1938"/>
        <v>0</v>
      </c>
      <c r="U2597" s="78">
        <f>IF(NOT(ISNUMBER(G2597)), "", VLOOKUP(A2597,'Discount Lookup'!D:E,2,FALSE)*G2597)</f>
        <v>0</v>
      </c>
      <c r="V2597" s="78">
        <f>IF(NOT(ISNUMBER(G2597)), "", VLOOKUP(A2597,'Discount Lookup'!G:H,2,FALSE)*G2597)</f>
        <v>0</v>
      </c>
      <c r="W2597" s="102">
        <f t="shared" si="1939"/>
        <v>0</v>
      </c>
      <c r="X2597" s="102">
        <f t="shared" si="1940"/>
        <v>0</v>
      </c>
      <c r="Y2597" s="120" t="b">
        <f t="shared" si="1941"/>
        <v>0</v>
      </c>
      <c r="Z2597" s="117">
        <f t="shared" si="1942"/>
        <v>0</v>
      </c>
      <c r="AA2597" s="118"/>
      <c r="AB2597" s="118" t="str">
        <f t="shared" si="1943"/>
        <v/>
      </c>
      <c r="AC2597" s="712" t="str">
        <f>IF(AE2597="T2G","no charge",IF(AND(OR(PlanterYesMe="No",PlanterYesMe="N",PlanterYesMe="me"),H2597=""),"",IF(H2597="credit","NO install",IF(AND(K2597="",AE2597="me"),"EACH row",IF(AND(K2597="images",AE2597="me"),"EACH row",IF(D2597="","",IF(H2597="credit","",IF(AE2597="free","re-planting",IF(AE2597="me","   not ELP, by",IF(AND(OR(PlanterYesMe="Yes",PlanterYesMe="Y"),G2597&gt;0),(VLOOKUP(A2597,'Discount Lookup'!J:K,2)*G2597*(1-PlanterDiscount)*(1+PlanterDifficultyPercentage)),IF(AE2597="ELP",(VLOOKUP(A2597,'Discount Lookup'!J:K,2)*G2597*(1-PlanterDiscount)*(1+PlanterDifficultyPercentage)),IF(AE2597="free","re-planting",IF(G2597=0,"",IF(PlanterYesMe="",IF(AE2597="me","   not ELP, by",IF(AE2597="",IF(G2597&gt;0,(VLOOKUP(A2597,'Discount Lookup'!J:K,2)*G2597*(1-PlanterDiscount)*(1+PlanterDifficultyPercentage)),""),"")),"   not ELP, by"))))))))))))))</f>
        <v/>
      </c>
      <c r="AD2597" s="712"/>
      <c r="AE2597" s="513" t="str">
        <f t="shared" si="1944"/>
        <v/>
      </c>
      <c r="AF2597" s="713" t="str">
        <f t="shared" si="1945"/>
        <v/>
      </c>
      <c r="AG2597" s="713"/>
      <c r="AH2597" s="713"/>
      <c r="AI2597" s="112">
        <f>IF(H2597="credit",0,IF(AE2597="free",0,IF(AE2597="me",0,IF(G2597&gt;0,(VLOOKUP(A2597,'Discount Lookup'!J:K,2)*G2597),0))))</f>
        <v>0</v>
      </c>
      <c r="AJ2597" s="107" t="str">
        <f t="shared" ca="1" si="1946"/>
        <v/>
      </c>
      <c r="AK2597" s="714" t="str">
        <f t="shared" si="1947"/>
        <v/>
      </c>
      <c r="AL2597" s="714"/>
      <c r="AM2597" s="114" t="str">
        <f t="shared" si="1948"/>
        <v/>
      </c>
      <c r="AN2597" s="115"/>
      <c r="AO2597" s="116"/>
      <c r="AP2597" s="116"/>
      <c r="AQ2597" s="116"/>
      <c r="AR2597" s="116"/>
      <c r="AS2597" s="116"/>
      <c r="AT2597" s="116"/>
      <c r="AU2597" s="116"/>
      <c r="AV2597" s="78"/>
      <c r="AW2597" s="102"/>
      <c r="AX2597" s="78"/>
      <c r="AY2597" s="78"/>
      <c r="AZ2597" s="78"/>
      <c r="BA2597" s="78"/>
      <c r="BB2597" s="78"/>
      <c r="BC2597" s="78"/>
      <c r="BD2597" s="78"/>
      <c r="BE2597" s="465"/>
      <c r="BF2597" s="165" t="str">
        <f t="shared" si="1949"/>
        <v>https://www.google.com/search?tbm=isch&amp;q=15%20G4</v>
      </c>
      <c r="BG2597" s="165" t="str">
        <f t="shared" si="1950"/>
        <v>L</v>
      </c>
      <c r="BH2597" s="65"/>
      <c r="BI2597" s="65"/>
      <c r="BJ2597" s="65"/>
      <c r="BK2597" s="65"/>
      <c r="BL2597" s="99"/>
      <c r="BM2597" s="99"/>
      <c r="BN2597" s="99"/>
    </row>
    <row r="2598" spans="1:66" s="51" customFormat="1" ht="15.75" x14ac:dyDescent="0.25">
      <c r="A2598" s="634">
        <v>15</v>
      </c>
      <c r="B2598" s="635" t="s">
        <v>291</v>
      </c>
      <c r="C2598" s="636" t="s">
        <v>3269</v>
      </c>
      <c r="D2598" s="637" t="s">
        <v>309</v>
      </c>
      <c r="E2598" s="638">
        <v>186.95</v>
      </c>
      <c r="F2598" s="639" t="s">
        <v>292</v>
      </c>
      <c r="G2598" s="484">
        <v>0</v>
      </c>
      <c r="H2598" s="691" t="str">
        <f t="shared" si="1964"/>
        <v/>
      </c>
      <c r="I2598" s="640">
        <f t="shared" si="1965"/>
        <v>0</v>
      </c>
      <c r="J2598" s="640">
        <f t="shared" si="1966"/>
        <v>0</v>
      </c>
      <c r="K2598" s="716">
        <f t="shared" ref="K2598" si="1973">I2598+J2598</f>
        <v>0</v>
      </c>
      <c r="L2598" s="716"/>
      <c r="M2598" s="689" t="str">
        <f t="shared" ca="1" si="1968"/>
        <v/>
      </c>
      <c r="N2598" s="690"/>
      <c r="O2598" s="486"/>
      <c r="P2598" s="486"/>
      <c r="Q2598" s="486"/>
      <c r="R2598" s="486"/>
      <c r="S2598" s="486"/>
      <c r="T2598" s="102">
        <f t="shared" si="1938"/>
        <v>0</v>
      </c>
      <c r="U2598" s="78">
        <f>IF(NOT(ISNUMBER(G2598)), "", VLOOKUP(A2598,'Discount Lookup'!D:E,2,FALSE)*G2598)</f>
        <v>0</v>
      </c>
      <c r="V2598" s="78">
        <f>IF(NOT(ISNUMBER(G2598)), "", VLOOKUP(A2598,'Discount Lookup'!G:H,2,FALSE)*G2598)</f>
        <v>0</v>
      </c>
      <c r="W2598" s="102">
        <f t="shared" si="1939"/>
        <v>0</v>
      </c>
      <c r="X2598" s="102">
        <f t="shared" si="1940"/>
        <v>0</v>
      </c>
      <c r="Y2598" s="120" t="b">
        <f t="shared" si="1941"/>
        <v>0</v>
      </c>
      <c r="Z2598" s="117">
        <f t="shared" si="1942"/>
        <v>0</v>
      </c>
      <c r="AA2598" s="118"/>
      <c r="AB2598" s="118" t="str">
        <f t="shared" si="1943"/>
        <v/>
      </c>
      <c r="AC2598" s="712" t="str">
        <f>IF(AE2598="T2G","no charge",IF(AND(OR(PlanterYesMe="No",PlanterYesMe="N",PlanterYesMe="me"),H2598=""),"",IF(H2598="credit","NO install",IF(AND(K2598="",AE2598="me"),"EACH row",IF(AND(K2598="images",AE2598="me"),"EACH row",IF(D2598="","",IF(H2598="credit","",IF(AE2598="free","re-planting",IF(AE2598="me","   not ELP, by",IF(AND(OR(PlanterYesMe="Yes",PlanterYesMe="Y"),G2598&gt;0),(VLOOKUP(A2598,'Discount Lookup'!J:K,2)*G2598*(1-PlanterDiscount)*(1+PlanterDifficultyPercentage)),IF(AE2598="ELP",(VLOOKUP(A2598,'Discount Lookup'!J:K,2)*G2598*(1-PlanterDiscount)*(1+PlanterDifficultyPercentage)),IF(AE2598="free","re-planting",IF(G2598=0,"",IF(PlanterYesMe="",IF(AE2598="me","   not ELP, by",IF(AE2598="",IF(G2598&gt;0,(VLOOKUP(A2598,'Discount Lookup'!J:K,2)*G2598*(1-PlanterDiscount)*(1+PlanterDifficultyPercentage)),""),"")),"   not ELP, by"))))))))))))))</f>
        <v/>
      </c>
      <c r="AD2598" s="712"/>
      <c r="AE2598" s="513" t="str">
        <f t="shared" si="1944"/>
        <v/>
      </c>
      <c r="AF2598" s="713" t="str">
        <f t="shared" si="1945"/>
        <v/>
      </c>
      <c r="AG2598" s="713"/>
      <c r="AH2598" s="713"/>
      <c r="AI2598" s="112">
        <f>IF(H2598="credit",0,IF(AE2598="free",0,IF(AE2598="me",0,IF(G2598&gt;0,(VLOOKUP(A2598,'Discount Lookup'!J:K,2)*G2598),0))))</f>
        <v>0</v>
      </c>
      <c r="AJ2598" s="107" t="str">
        <f t="shared" ca="1" si="1946"/>
        <v/>
      </c>
      <c r="AK2598" s="714" t="str">
        <f t="shared" si="1947"/>
        <v/>
      </c>
      <c r="AL2598" s="714"/>
      <c r="AM2598" s="114" t="str">
        <f t="shared" si="1948"/>
        <v/>
      </c>
      <c r="AN2598" s="115"/>
      <c r="AO2598" s="116"/>
      <c r="AP2598" s="116"/>
      <c r="AQ2598" s="116"/>
      <c r="AR2598" s="116"/>
      <c r="AS2598" s="116"/>
      <c r="AT2598" s="116"/>
      <c r="AU2598" s="116"/>
      <c r="AV2598" s="78"/>
      <c r="AW2598" s="102"/>
      <c r="AX2598" s="78"/>
      <c r="AY2598" s="78"/>
      <c r="AZ2598" s="78"/>
      <c r="BA2598" s="78"/>
      <c r="BB2598" s="78"/>
      <c r="BC2598" s="78"/>
      <c r="BD2598" s="78"/>
      <c r="BE2598" s="465"/>
      <c r="BF2598" s="165" t="str">
        <f t="shared" si="1949"/>
        <v>https://www.google.com/search?tbm=isch&amp;q=15%20G3</v>
      </c>
      <c r="BG2598" s="165" t="str">
        <f t="shared" si="1950"/>
        <v>L</v>
      </c>
      <c r="BH2598" s="65"/>
      <c r="BI2598" s="65"/>
      <c r="BJ2598" s="65"/>
      <c r="BK2598" s="65"/>
      <c r="BL2598" s="99"/>
      <c r="BM2598" s="99"/>
      <c r="BN2598" s="99"/>
    </row>
    <row r="2599" spans="1:66" s="51" customFormat="1" ht="27" x14ac:dyDescent="0.25">
      <c r="A2599" s="634">
        <v>25</v>
      </c>
      <c r="B2599" s="635" t="s">
        <v>291</v>
      </c>
      <c r="C2599" s="636" t="s">
        <v>5186</v>
      </c>
      <c r="D2599" s="637" t="s">
        <v>299</v>
      </c>
      <c r="E2599" s="638">
        <v>293.95</v>
      </c>
      <c r="F2599" s="639" t="s">
        <v>292</v>
      </c>
      <c r="G2599" s="484">
        <v>0</v>
      </c>
      <c r="H2599" s="691" t="str">
        <f t="shared" si="1964"/>
        <v/>
      </c>
      <c r="I2599" s="640">
        <f t="shared" si="1965"/>
        <v>0</v>
      </c>
      <c r="J2599" s="640">
        <f t="shared" si="1966"/>
        <v>0</v>
      </c>
      <c r="K2599" s="716">
        <f t="shared" ref="K2599" si="1974">I2599+J2599</f>
        <v>0</v>
      </c>
      <c r="L2599" s="716"/>
      <c r="M2599" s="689" t="str">
        <f t="shared" ca="1" si="1968"/>
        <v/>
      </c>
      <c r="N2599" s="690"/>
      <c r="O2599" s="486"/>
      <c r="P2599" s="486"/>
      <c r="Q2599" s="486"/>
      <c r="R2599" s="486"/>
      <c r="S2599" s="486"/>
      <c r="T2599" s="102">
        <f t="shared" si="1938"/>
        <v>0</v>
      </c>
      <c r="U2599" s="78">
        <f>IF(NOT(ISNUMBER(G2599)), "", VLOOKUP(A2599,'Discount Lookup'!D:E,2,FALSE)*G2599)</f>
        <v>0</v>
      </c>
      <c r="V2599" s="78">
        <f>IF(NOT(ISNUMBER(G2599)), "", VLOOKUP(A2599,'Discount Lookup'!G:H,2,FALSE)*G2599)</f>
        <v>0</v>
      </c>
      <c r="W2599" s="102">
        <f t="shared" si="1939"/>
        <v>0</v>
      </c>
      <c r="X2599" s="102">
        <f t="shared" si="1940"/>
        <v>0</v>
      </c>
      <c r="Y2599" s="120" t="b">
        <f t="shared" si="1941"/>
        <v>0</v>
      </c>
      <c r="Z2599" s="117">
        <f t="shared" si="1942"/>
        <v>0</v>
      </c>
      <c r="AA2599" s="118"/>
      <c r="AB2599" s="118" t="str">
        <f t="shared" si="1943"/>
        <v/>
      </c>
      <c r="AC2599" s="712" t="str">
        <f>IF(AE2599="T2G","no charge",IF(AND(OR(PlanterYesMe="No",PlanterYesMe="N",PlanterYesMe="me"),H2599=""),"",IF(H2599="credit","NO install",IF(AND(K2599="",AE2599="me"),"EACH row",IF(AND(K2599="images",AE2599="me"),"EACH row",IF(D2599="","",IF(H2599="credit","",IF(AE2599="free","re-planting",IF(AE2599="me","   not ELP, by",IF(AND(OR(PlanterYesMe="Yes",PlanterYesMe="Y"),G2599&gt;0),(VLOOKUP(A2599,'Discount Lookup'!J:K,2)*G2599*(1-PlanterDiscount)*(1+PlanterDifficultyPercentage)),IF(AE2599="ELP",(VLOOKUP(A2599,'Discount Lookup'!J:K,2)*G2599*(1-PlanterDiscount)*(1+PlanterDifficultyPercentage)),IF(AE2599="free","re-planting",IF(G2599=0,"",IF(PlanterYesMe="",IF(AE2599="me","   not ELP, by",IF(AE2599="",IF(G2599&gt;0,(VLOOKUP(A2599,'Discount Lookup'!J:K,2)*G2599*(1-PlanterDiscount)*(1+PlanterDifficultyPercentage)),""),"")),"   not ELP, by"))))))))))))))</f>
        <v/>
      </c>
      <c r="AD2599" s="712"/>
      <c r="AE2599" s="513" t="str">
        <f t="shared" si="1944"/>
        <v/>
      </c>
      <c r="AF2599" s="713" t="str">
        <f t="shared" si="1945"/>
        <v/>
      </c>
      <c r="AG2599" s="713"/>
      <c r="AH2599" s="713"/>
      <c r="AI2599" s="112">
        <f>IF(H2599="credit",0,IF(AE2599="free",0,IF(AE2599="me",0,IF(G2599&gt;0,(VLOOKUP(A2599,'Discount Lookup'!J:K,2)*G2599),0))))</f>
        <v>0</v>
      </c>
      <c r="AJ2599" s="107" t="str">
        <f t="shared" ca="1" si="1946"/>
        <v/>
      </c>
      <c r="AK2599" s="714" t="str">
        <f t="shared" si="1947"/>
        <v/>
      </c>
      <c r="AL2599" s="714"/>
      <c r="AM2599" s="114" t="str">
        <f t="shared" si="1948"/>
        <v/>
      </c>
      <c r="AN2599" s="115"/>
      <c r="AO2599" s="116"/>
      <c r="AP2599" s="116"/>
      <c r="AQ2599" s="116"/>
      <c r="AR2599" s="116"/>
      <c r="AS2599" s="116"/>
      <c r="AT2599" s="116"/>
      <c r="AU2599" s="116"/>
      <c r="AV2599" s="78"/>
      <c r="AW2599" s="102"/>
      <c r="AX2599" s="78"/>
      <c r="AY2599" s="78"/>
      <c r="AZ2599" s="78"/>
      <c r="BA2599" s="78"/>
      <c r="BB2599" s="78"/>
      <c r="BC2599" s="78"/>
      <c r="BD2599" s="78"/>
      <c r="BE2599" s="465"/>
      <c r="BF2599" s="165" t="str">
        <f t="shared" si="1949"/>
        <v>https://www.google.com/search?tbm=isch&amp;q=25%20G4</v>
      </c>
      <c r="BG2599" s="165" t="str">
        <f t="shared" si="1950"/>
        <v>L</v>
      </c>
      <c r="BH2599" s="65"/>
      <c r="BI2599" s="65"/>
      <c r="BJ2599" s="65"/>
      <c r="BK2599" s="65"/>
      <c r="BL2599" s="99"/>
      <c r="BM2599" s="99"/>
      <c r="BN2599" s="99"/>
    </row>
    <row r="2600" spans="1:66" s="51" customFormat="1" ht="27" x14ac:dyDescent="0.25">
      <c r="A2600" s="634">
        <v>65</v>
      </c>
      <c r="B2600" s="635" t="s">
        <v>291</v>
      </c>
      <c r="C2600" s="636" t="s">
        <v>3270</v>
      </c>
      <c r="D2600" s="637" t="s">
        <v>299</v>
      </c>
      <c r="E2600" s="638">
        <v>745.95</v>
      </c>
      <c r="F2600" s="639" t="s">
        <v>292</v>
      </c>
      <c r="G2600" s="484">
        <v>0</v>
      </c>
      <c r="H2600" s="691" t="str">
        <f t="shared" si="1964"/>
        <v/>
      </c>
      <c r="I2600" s="640">
        <f t="shared" si="1965"/>
        <v>0</v>
      </c>
      <c r="J2600" s="640">
        <f t="shared" si="1966"/>
        <v>0</v>
      </c>
      <c r="K2600" s="716">
        <f t="shared" ref="K2600" si="1975">I2600+J2600</f>
        <v>0</v>
      </c>
      <c r="L2600" s="716"/>
      <c r="M2600" s="689" t="str">
        <f t="shared" ca="1" si="1968"/>
        <v/>
      </c>
      <c r="N2600" s="690"/>
      <c r="O2600" s="486"/>
      <c r="P2600" s="486"/>
      <c r="Q2600" s="486"/>
      <c r="R2600" s="486"/>
      <c r="S2600" s="486"/>
      <c r="T2600" s="102">
        <f t="shared" si="1938"/>
        <v>0</v>
      </c>
      <c r="U2600" s="78">
        <f>IF(NOT(ISNUMBER(G2600)), "", VLOOKUP(A2600,'Discount Lookup'!D:E,2,FALSE)*G2600)</f>
        <v>0</v>
      </c>
      <c r="V2600" s="78">
        <f>IF(NOT(ISNUMBER(G2600)), "", VLOOKUP(A2600,'Discount Lookup'!G:H,2,FALSE)*G2600)</f>
        <v>0</v>
      </c>
      <c r="W2600" s="102">
        <f t="shared" si="1939"/>
        <v>0</v>
      </c>
      <c r="X2600" s="102">
        <f t="shared" si="1940"/>
        <v>0</v>
      </c>
      <c r="Y2600" s="120" t="b">
        <f t="shared" si="1941"/>
        <v>0</v>
      </c>
      <c r="Z2600" s="117">
        <f t="shared" si="1942"/>
        <v>0</v>
      </c>
      <c r="AA2600" s="118"/>
      <c r="AB2600" s="118" t="str">
        <f t="shared" si="1943"/>
        <v/>
      </c>
      <c r="AC2600" s="712" t="str">
        <f>IF(AE2600="T2G","no charge",IF(AND(OR(PlanterYesMe="No",PlanterYesMe="N",PlanterYesMe="me"),H2600=""),"",IF(H2600="credit","NO install",IF(AND(K2600="",AE2600="me"),"EACH row",IF(AND(K2600="images",AE2600="me"),"EACH row",IF(D2600="","",IF(H2600="credit","",IF(AE2600="free","re-planting",IF(AE2600="me","   not ELP, by",IF(AND(OR(PlanterYesMe="Yes",PlanterYesMe="Y"),G2600&gt;0),(VLOOKUP(A2600,'Discount Lookup'!J:K,2)*G2600*(1-PlanterDiscount)*(1+PlanterDifficultyPercentage)),IF(AE2600="ELP",(VLOOKUP(A2600,'Discount Lookup'!J:K,2)*G2600*(1-PlanterDiscount)*(1+PlanterDifficultyPercentage)),IF(AE2600="free","re-planting",IF(G2600=0,"",IF(PlanterYesMe="",IF(AE2600="me","   not ELP, by",IF(AE2600="",IF(G2600&gt;0,(VLOOKUP(A2600,'Discount Lookup'!J:K,2)*G2600*(1-PlanterDiscount)*(1+PlanterDifficultyPercentage)),""),"")),"   not ELP, by"))))))))))))))</f>
        <v/>
      </c>
      <c r="AD2600" s="712"/>
      <c r="AE2600" s="513" t="str">
        <f t="shared" si="1944"/>
        <v/>
      </c>
      <c r="AF2600" s="713" t="str">
        <f t="shared" si="1945"/>
        <v/>
      </c>
      <c r="AG2600" s="713"/>
      <c r="AH2600" s="713"/>
      <c r="AI2600" s="112">
        <f>IF(H2600="credit",0,IF(AE2600="free",0,IF(AE2600="me",0,IF(G2600&gt;0,(VLOOKUP(A2600,'Discount Lookup'!J:K,2)*G2600),0))))</f>
        <v>0</v>
      </c>
      <c r="AJ2600" s="107" t="str">
        <f t="shared" ca="1" si="1946"/>
        <v/>
      </c>
      <c r="AK2600" s="714" t="str">
        <f t="shared" si="1947"/>
        <v/>
      </c>
      <c r="AL2600" s="714"/>
      <c r="AM2600" s="114" t="str">
        <f t="shared" si="1948"/>
        <v/>
      </c>
      <c r="AN2600" s="115"/>
      <c r="AO2600" s="116"/>
      <c r="AP2600" s="116"/>
      <c r="AQ2600" s="116"/>
      <c r="AR2600" s="116"/>
      <c r="AS2600" s="116"/>
      <c r="AT2600" s="116"/>
      <c r="AU2600" s="116"/>
      <c r="AV2600" s="78"/>
      <c r="AW2600" s="102"/>
      <c r="AX2600" s="78"/>
      <c r="AY2600" s="78"/>
      <c r="AZ2600" s="78"/>
      <c r="BA2600" s="78"/>
      <c r="BB2600" s="78"/>
      <c r="BC2600" s="78"/>
      <c r="BD2600" s="78"/>
      <c r="BE2600" s="465"/>
      <c r="BF2600" s="165" t="str">
        <f t="shared" si="1949"/>
        <v>https://www.google.com/search?tbm=isch&amp;q=65%20G4</v>
      </c>
      <c r="BG2600" s="165" t="str">
        <f t="shared" si="1950"/>
        <v>L</v>
      </c>
      <c r="BH2600" s="65"/>
      <c r="BI2600" s="65"/>
      <c r="BJ2600" s="65"/>
      <c r="BK2600" s="65"/>
      <c r="BL2600" s="99"/>
      <c r="BM2600" s="99"/>
      <c r="BN2600" s="99"/>
    </row>
    <row r="2601" spans="1:66" s="51" customFormat="1" ht="17.25" thickBot="1" x14ac:dyDescent="0.3">
      <c r="A2601" s="641" t="s">
        <v>3271</v>
      </c>
      <c r="B2601" s="642"/>
      <c r="C2601" s="710"/>
      <c r="D2601" s="643"/>
      <c r="E2601" s="643"/>
      <c r="F2601" s="644"/>
      <c r="G2601" s="645"/>
      <c r="H2601" s="646"/>
      <c r="I2601" s="647"/>
      <c r="J2601" s="648"/>
      <c r="K2601" s="649"/>
      <c r="L2601" s="650"/>
      <c r="M2601" s="650"/>
      <c r="N2601" s="644"/>
      <c r="O2601" s="644"/>
      <c r="P2601" s="644"/>
      <c r="Q2601" s="644"/>
      <c r="R2601" s="644"/>
      <c r="S2601" s="651"/>
      <c r="T2601" s="102">
        <f t="shared" si="1938"/>
        <v>0</v>
      </c>
      <c r="U2601" s="78" t="str">
        <f>IF(NOT(ISNUMBER(G2601)), "", VLOOKUP(A2601,'Discount Lookup'!D:E,2,FALSE)*G2601)</f>
        <v/>
      </c>
      <c r="V2601" s="78" t="str">
        <f>IF(NOT(ISNUMBER(G2601)), "", VLOOKUP(A2601,'Discount Lookup'!G:H,2,FALSE)*G2601)</f>
        <v/>
      </c>
      <c r="W2601" s="102">
        <f t="shared" si="1939"/>
        <v>0</v>
      </c>
      <c r="X2601" s="102">
        <f t="shared" si="1940"/>
        <v>0</v>
      </c>
      <c r="Y2601" s="120" t="b">
        <f t="shared" si="1941"/>
        <v>0</v>
      </c>
      <c r="Z2601" s="117">
        <f t="shared" si="1942"/>
        <v>0</v>
      </c>
      <c r="AA2601" s="118"/>
      <c r="AB2601" s="118" t="str">
        <f t="shared" si="1943"/>
        <v/>
      </c>
      <c r="AC2601" s="712" t="str">
        <f>IF(AE2601="T2G","no charge",IF(AND(OR(PlanterYesMe="No",PlanterYesMe="N",PlanterYesMe="me"),H2601=""),"",IF(H2601="credit","NO install",IF(AND(K2601="",AE2601="me"),"EACH row",IF(AND(K2601="images",AE2601="me"),"EACH row",IF(D2601="","",IF(H2601="credit","",IF(AE2601="free","re-planting",IF(AE2601="me","   not ELP, by",IF(AND(OR(PlanterYesMe="Yes",PlanterYesMe="Y"),G2601&gt;0),(VLOOKUP(A2601,'Discount Lookup'!J:K,2)*G2601*(1-PlanterDiscount)*(1+PlanterDifficultyPercentage)),IF(AE2601="ELP",(VLOOKUP(A2601,'Discount Lookup'!J:K,2)*G2601*(1-PlanterDiscount)*(1+PlanterDifficultyPercentage)),IF(AE2601="free","re-planting",IF(G2601=0,"",IF(PlanterYesMe="",IF(AE2601="me","   not ELP, by",IF(AE2601="",IF(G2601&gt;0,(VLOOKUP(A2601,'Discount Lookup'!J:K,2)*G2601*(1-PlanterDiscount)*(1+PlanterDifficultyPercentage)),""),"")),"   not ELP, by"))))))))))))))</f>
        <v/>
      </c>
      <c r="AD2601" s="712"/>
      <c r="AE2601" s="513" t="str">
        <f t="shared" si="1944"/>
        <v/>
      </c>
      <c r="AF2601" s="713" t="str">
        <f t="shared" si="1945"/>
        <v/>
      </c>
      <c r="AG2601" s="713"/>
      <c r="AH2601" s="713"/>
      <c r="AI2601" s="112">
        <f>IF(H2601="credit",0,IF(AE2601="free",0,IF(AE2601="me",0,IF(G2601&gt;0,(VLOOKUP(A2601,'Discount Lookup'!J:K,2)*G2601),0))))</f>
        <v>0</v>
      </c>
      <c r="AJ2601" s="107" t="str">
        <f t="shared" ca="1" si="1946"/>
        <v/>
      </c>
      <c r="AK2601" s="714" t="str">
        <f t="shared" si="1947"/>
        <v/>
      </c>
      <c r="AL2601" s="714"/>
      <c r="AM2601" s="114" t="str">
        <f t="shared" si="1948"/>
        <v/>
      </c>
      <c r="AN2601" s="115"/>
      <c r="AO2601" s="116"/>
      <c r="AP2601" s="116"/>
      <c r="AQ2601" s="116"/>
      <c r="AR2601" s="116"/>
      <c r="AS2601" s="116"/>
      <c r="AT2601" s="116"/>
      <c r="AU2601" s="116"/>
      <c r="AV2601" s="78"/>
      <c r="AW2601" s="102"/>
      <c r="AX2601" s="78"/>
      <c r="AY2601" s="78"/>
      <c r="AZ2601" s="78"/>
      <c r="BA2601" s="78"/>
      <c r="BB2601" s="78"/>
      <c r="BC2601" s="78"/>
      <c r="BD2601" s="78"/>
      <c r="BE2601" s="465"/>
      <c r="BF2601" s="165" t="str">
        <f t="shared" si="1949"/>
        <v>https://www.google.com/search?tbm=isch&amp;q=Colorama%20foliage%20emerges%20deep%20green%2C%20then%20turns%20to%20shades%20of%20orange%20%26%20red%20in%20fall.%20Bark%20exfoliates%20to%20grey-brown%20</v>
      </c>
      <c r="BG2601" s="165" t="str">
        <f t="shared" si="1950"/>
        <v>C</v>
      </c>
      <c r="BH2601" s="65"/>
      <c r="BI2601" s="65"/>
      <c r="BJ2601" s="65"/>
      <c r="BK2601" s="65"/>
      <c r="BL2601" s="99"/>
      <c r="BM2601" s="99"/>
      <c r="BN2601" s="99"/>
    </row>
    <row r="2602" spans="1:66" s="51" customFormat="1" ht="18" x14ac:dyDescent="0.25">
      <c r="A2602" s="623" t="s">
        <v>3272</v>
      </c>
      <c r="B2602" s="624"/>
      <c r="C2602" s="709"/>
      <c r="D2602" s="625" t="s">
        <v>5724</v>
      </c>
      <c r="E2602" s="626"/>
      <c r="F2602" s="626"/>
      <c r="G2602" s="626"/>
      <c r="H2602" s="622" t="s">
        <v>480</v>
      </c>
      <c r="I2602" s="627" t="s">
        <v>349</v>
      </c>
      <c r="J2602" s="628"/>
      <c r="K2602" s="628"/>
      <c r="L2602" s="629"/>
      <c r="M2602" s="700" t="s">
        <v>5241</v>
      </c>
      <c r="N2602" s="693" t="str">
        <f>IF(AND(ISTEXT($A2602), ISERROR($A2602+0)), HYPERLINK($BF2602, "Images"), "")</f>
        <v>Images</v>
      </c>
      <c r="O2602" s="695" t="s">
        <v>5244</v>
      </c>
      <c r="P2602" s="630"/>
      <c r="Q2602" s="631"/>
      <c r="R2602" s="632"/>
      <c r="S2602" s="633"/>
      <c r="T2602" s="102">
        <f t="shared" si="1938"/>
        <v>0</v>
      </c>
      <c r="U2602" s="78" t="str">
        <f>IF(NOT(ISNUMBER(G2602)), "", VLOOKUP(A2602,'Discount Lookup'!D:E,2,FALSE)*G2602)</f>
        <v/>
      </c>
      <c r="V2602" s="78" t="str">
        <f>IF(NOT(ISNUMBER(G2602)), "", VLOOKUP(A2602,'Discount Lookup'!G:H,2,FALSE)*G2602)</f>
        <v/>
      </c>
      <c r="W2602" s="102">
        <f t="shared" si="1939"/>
        <v>0</v>
      </c>
      <c r="X2602" s="102" t="str">
        <f t="shared" si="1940"/>
        <v>White bloom</v>
      </c>
      <c r="Y2602" s="120" t="b">
        <f t="shared" si="1941"/>
        <v>0</v>
      </c>
      <c r="Z2602" s="117">
        <f t="shared" si="1942"/>
        <v>0</v>
      </c>
      <c r="AA2602" s="118"/>
      <c r="AB2602" s="118" t="str">
        <f t="shared" si="1943"/>
        <v/>
      </c>
      <c r="AC2602" s="712" t="str">
        <f>IF(AE2602="T2G","no charge",IF(AND(OR(PlanterYesMe="No",PlanterYesMe="N",PlanterYesMe="me"),H2602=""),"",IF(H2602="credit","NO install",IF(AND(K2602="",AE2602="me"),"EACH row",IF(AND(K2602="images",AE2602="me"),"EACH row",IF(D2602="","",IF(H2602="credit","",IF(AE2602="free","re-planting",IF(AE2602="me","   not ELP, by",IF(AND(OR(PlanterYesMe="Yes",PlanterYesMe="Y"),G2602&gt;0),(VLOOKUP(A2602,'Discount Lookup'!J:K,2)*G2602*(1-PlanterDiscount)*(1+PlanterDifficultyPercentage)),IF(AE2602="ELP",(VLOOKUP(A2602,'Discount Lookup'!J:K,2)*G2602*(1-PlanterDiscount)*(1+PlanterDifficultyPercentage)),IF(AE2602="free","re-planting",IF(G2602=0,"",IF(PlanterYesMe="",IF(AE2602="me","   not ELP, by",IF(AE2602="",IF(G2602&gt;0,(VLOOKUP(A2602,'Discount Lookup'!J:K,2)*G2602*(1-PlanterDiscount)*(1+PlanterDifficultyPercentage)),""),"")),"   not ELP, by"))))))))))))))</f>
        <v/>
      </c>
      <c r="AD2602" s="712"/>
      <c r="AE2602" s="513" t="str">
        <f t="shared" si="1944"/>
        <v/>
      </c>
      <c r="AF2602" s="713" t="str">
        <f t="shared" si="1945"/>
        <v/>
      </c>
      <c r="AG2602" s="713"/>
      <c r="AH2602" s="713"/>
      <c r="AI2602" s="112">
        <f>IF(H2602="credit",0,IF(AE2602="free",0,IF(AE2602="me",0,IF(G2602&gt;0,(VLOOKUP(A2602,'Discount Lookup'!J:K,2)*G2602),0))))</f>
        <v>0</v>
      </c>
      <c r="AJ2602" s="107" t="str">
        <f t="shared" ca="1" si="1946"/>
        <v/>
      </c>
      <c r="AK2602" s="714" t="str">
        <f t="shared" si="1947"/>
        <v/>
      </c>
      <c r="AL2602" s="714"/>
      <c r="AM2602" s="114" t="str">
        <f t="shared" si="1948"/>
        <v/>
      </c>
      <c r="AN2602" s="115"/>
      <c r="AO2602" s="116"/>
      <c r="AP2602" s="116"/>
      <c r="AQ2602" s="116"/>
      <c r="AR2602" s="116"/>
      <c r="AS2602" s="116"/>
      <c r="AT2602" s="116"/>
      <c r="AU2602" s="116"/>
      <c r="AV2602" s="78"/>
      <c r="AW2602" s="102"/>
      <c r="AX2602" s="78"/>
      <c r="AY2602" s="78"/>
      <c r="AZ2602" s="78"/>
      <c r="BA2602" s="78"/>
      <c r="BB2602" s="78"/>
      <c r="BC2602" s="78"/>
      <c r="BD2602" s="78"/>
      <c r="BE2602" s="465"/>
      <c r="BF2602" s="165" t="str">
        <f t="shared" si="1949"/>
        <v>https://www.google.com/search?tbm=isch&amp;q=Lagerstroemia%20%27JM4%27%20PP%2331534%20Thunderstruck%E2%84%A2%20%27White%20Lightning%E2%84%A2%27%20Crape%20Myrtle</v>
      </c>
      <c r="BG2602" s="165" t="str">
        <f t="shared" si="1950"/>
        <v>L</v>
      </c>
      <c r="BH2602" s="65"/>
      <c r="BI2602" s="65"/>
      <c r="BJ2602" s="65"/>
      <c r="BK2602" s="65"/>
      <c r="BL2602" s="99"/>
      <c r="BM2602" s="99"/>
      <c r="BN2602" s="99"/>
    </row>
    <row r="2603" spans="1:66" s="51" customFormat="1" ht="15.75" x14ac:dyDescent="0.25">
      <c r="A2603" s="634">
        <v>7</v>
      </c>
      <c r="B2603" s="635" t="s">
        <v>291</v>
      </c>
      <c r="C2603" s="636" t="s">
        <v>4990</v>
      </c>
      <c r="D2603" s="637" t="s">
        <v>299</v>
      </c>
      <c r="E2603" s="638">
        <v>100.95</v>
      </c>
      <c r="F2603" s="639" t="s">
        <v>292</v>
      </c>
      <c r="G2603" s="484">
        <v>0</v>
      </c>
      <c r="H2603" s="691" t="str">
        <f>IF(G2603=0,"",IF(F2603="Buy",IF(G2603=1,"plant","plants"),IF(F2603&gt;0.01,"warranty","Error")))</f>
        <v/>
      </c>
      <c r="I2603" s="640">
        <f>IF(H2603="free",0,IF(H2603="credit",((E2603*(F2603))*G2603*-1),IF(F2603="Buy",(E2603*G2603),((E2603*(1-F2603))*G2603))))</f>
        <v>0</v>
      </c>
      <c r="J2603" s="640">
        <f>IF(H2603="warranty",0,(I2603*(_xlfn.SINGLE(SalesTaxPercentage))))</f>
        <v>0</v>
      </c>
      <c r="K2603" s="716">
        <f t="shared" ref="K2603" si="1976">I2603+J2603</f>
        <v>0</v>
      </c>
      <c r="L2603" s="716"/>
      <c r="M2603" s="689" t="str">
        <f ca="1">IF(AND(G2603&gt;0,E2603=0),"WARNING - no PRICE inserted",IF(H2603="free","FREE ~ no charge this plant",IF(H2603="credit",CONCATENATE("-$",ROUND(K2603*(1-_xlfn.SINGLE(T2GDiscount))*-1,2)," CREDIT after discount"),IF(_xlfn.SINGLE(T2GDiscount)=0,"",IF(G2603=0,"",IF(F2603="Buy",CONCATENATE("$",ROUND(K2603*(1-_xlfn.SINGLE(T2GDiscount)),2)," with ",(_xlfn.SINGLE(T2GDiscount)*100),"% discount"),CONCATENATE("$",ROUND(K2603*(1-_xlfn.SINGLE(T2GDiscount)),2)," with ",((_xlfn.SINGLE(T2GDiscount)*100+F2603*100)-(_xlfn.SINGLE(T2GDiscount)*100*F2603)),IF(F2603&gt;0,"% discounts",IF(_xlfn.SINGLE(NoWarrantyDiscount)&gt;0,"% discounts","% discount")))))))))</f>
        <v/>
      </c>
      <c r="N2603" s="690"/>
      <c r="O2603" s="486"/>
      <c r="P2603" s="486"/>
      <c r="Q2603" s="486"/>
      <c r="R2603" s="486"/>
      <c r="S2603" s="486"/>
      <c r="T2603" s="102">
        <f t="shared" si="1938"/>
        <v>0</v>
      </c>
      <c r="U2603" s="78">
        <f>IF(NOT(ISNUMBER(G2603)), "", VLOOKUP(A2603,'Discount Lookup'!D:E,2,FALSE)*G2603)</f>
        <v>0</v>
      </c>
      <c r="V2603" s="78">
        <f>IF(NOT(ISNUMBER(G2603)), "", VLOOKUP(A2603,'Discount Lookup'!G:H,2,FALSE)*G2603)</f>
        <v>0</v>
      </c>
      <c r="W2603" s="102">
        <f t="shared" si="1939"/>
        <v>0</v>
      </c>
      <c r="X2603" s="102">
        <f t="shared" si="1940"/>
        <v>0</v>
      </c>
      <c r="Y2603" s="120" t="b">
        <f t="shared" si="1941"/>
        <v>0</v>
      </c>
      <c r="Z2603" s="117">
        <f t="shared" si="1942"/>
        <v>0</v>
      </c>
      <c r="AA2603" s="118"/>
      <c r="AB2603" s="118" t="str">
        <f t="shared" si="1943"/>
        <v/>
      </c>
      <c r="AC2603" s="712" t="str">
        <f>IF(AE2603="T2G","no charge",IF(AND(OR(PlanterYesMe="No",PlanterYesMe="N",PlanterYesMe="me"),H2603=""),"",IF(H2603="credit","NO install",IF(AND(K2603="",AE2603="me"),"EACH row",IF(AND(K2603="images",AE2603="me"),"EACH row",IF(D2603="","",IF(H2603="credit","",IF(AE2603="free","re-planting",IF(AE2603="me","   not ELP, by",IF(AND(OR(PlanterYesMe="Yes",PlanterYesMe="Y"),G2603&gt;0),(VLOOKUP(A2603,'Discount Lookup'!J:K,2)*G2603*(1-PlanterDiscount)*(1+PlanterDifficultyPercentage)),IF(AE2603="ELP",(VLOOKUP(A2603,'Discount Lookup'!J:K,2)*G2603*(1-PlanterDiscount)*(1+PlanterDifficultyPercentage)),IF(AE2603="free","re-planting",IF(G2603=0,"",IF(PlanterYesMe="",IF(AE2603="me","   not ELP, by",IF(AE2603="",IF(G2603&gt;0,(VLOOKUP(A2603,'Discount Lookup'!J:K,2)*G2603*(1-PlanterDiscount)*(1+PlanterDifficultyPercentage)),""),"")),"   not ELP, by"))))))))))))))</f>
        <v/>
      </c>
      <c r="AD2603" s="712"/>
      <c r="AE2603" s="513" t="str">
        <f t="shared" si="1944"/>
        <v/>
      </c>
      <c r="AF2603" s="713" t="str">
        <f t="shared" si="1945"/>
        <v/>
      </c>
      <c r="AG2603" s="713"/>
      <c r="AH2603" s="713"/>
      <c r="AI2603" s="112">
        <f>IF(H2603="credit",0,IF(AE2603="free",0,IF(AE2603="me",0,IF(G2603&gt;0,(VLOOKUP(A2603,'Discount Lookup'!J:K,2)*G2603),0))))</f>
        <v>0</v>
      </c>
      <c r="AJ2603" s="107" t="str">
        <f t="shared" ca="1" si="1946"/>
        <v/>
      </c>
      <c r="AK2603" s="714" t="str">
        <f t="shared" si="1947"/>
        <v/>
      </c>
      <c r="AL2603" s="714"/>
      <c r="AM2603" s="114" t="str">
        <f t="shared" si="1948"/>
        <v/>
      </c>
      <c r="AN2603" s="115"/>
      <c r="AO2603" s="116"/>
      <c r="AP2603" s="116"/>
      <c r="AQ2603" s="116"/>
      <c r="AR2603" s="116"/>
      <c r="AS2603" s="116"/>
      <c r="AT2603" s="116"/>
      <c r="AU2603" s="116"/>
      <c r="AV2603" s="78"/>
      <c r="AW2603" s="102"/>
      <c r="AX2603" s="78"/>
      <c r="AY2603" s="78"/>
      <c r="AZ2603" s="78"/>
      <c r="BA2603" s="78"/>
      <c r="BB2603" s="78"/>
      <c r="BC2603" s="78"/>
      <c r="BD2603" s="78"/>
      <c r="BE2603" s="465"/>
      <c r="BF2603" s="165" t="str">
        <f t="shared" si="1949"/>
        <v>https://www.google.com/search?tbm=isch&amp;q=7%20G4</v>
      </c>
      <c r="BG2603" s="165" t="str">
        <f t="shared" si="1950"/>
        <v>L</v>
      </c>
      <c r="BH2603" s="65"/>
      <c r="BI2603" s="65"/>
      <c r="BJ2603" s="65"/>
      <c r="BK2603" s="65"/>
      <c r="BL2603" s="99"/>
      <c r="BM2603" s="99"/>
      <c r="BN2603" s="99"/>
    </row>
    <row r="2604" spans="1:66" s="51" customFormat="1" ht="15.75" x14ac:dyDescent="0.25">
      <c r="A2604" s="634">
        <v>7</v>
      </c>
      <c r="B2604" s="635" t="s">
        <v>291</v>
      </c>
      <c r="C2604" s="636" t="s">
        <v>3273</v>
      </c>
      <c r="D2604" s="637" t="s">
        <v>299</v>
      </c>
      <c r="E2604" s="638">
        <v>107.95</v>
      </c>
      <c r="F2604" s="639" t="s">
        <v>292</v>
      </c>
      <c r="G2604" s="484">
        <v>0</v>
      </c>
      <c r="H2604" s="691" t="str">
        <f>IF(G2604=0,"",IF(F2604="Buy",IF(G2604=1,"plant","plants"),IF(F2604&gt;0.01,"warranty","Error")))</f>
        <v/>
      </c>
      <c r="I2604" s="640">
        <f>IF(H2604="free",0,IF(H2604="credit",((E2604*(F2604))*G2604*-1),IF(F2604="Buy",(E2604*G2604),((E2604*(1-F2604))*G2604))))</f>
        <v>0</v>
      </c>
      <c r="J2604" s="640">
        <f>IF(H2604="warranty",0,(I2604*(_xlfn.SINGLE(SalesTaxPercentage))))</f>
        <v>0</v>
      </c>
      <c r="K2604" s="716">
        <f t="shared" ref="K2604" si="1977">I2604+J2604</f>
        <v>0</v>
      </c>
      <c r="L2604" s="716"/>
      <c r="M2604" s="689" t="str">
        <f ca="1">IF(AND(G2604&gt;0,E2604=0),"WARNING - no PRICE inserted",IF(H2604="free","FREE ~ no charge this plant",IF(H2604="credit",CONCATENATE("-$",ROUND(K2604*(1-_xlfn.SINGLE(T2GDiscount))*-1,2)," CREDIT after discount"),IF(_xlfn.SINGLE(T2GDiscount)=0,"",IF(G2604=0,"",IF(F2604="Buy",CONCATENATE("$",ROUND(K2604*(1-_xlfn.SINGLE(T2GDiscount)),2)," with ",(_xlfn.SINGLE(T2GDiscount)*100),"% discount"),CONCATENATE("$",ROUND(K2604*(1-_xlfn.SINGLE(T2GDiscount)),2)," with ",((_xlfn.SINGLE(T2GDiscount)*100+F2604*100)-(_xlfn.SINGLE(T2GDiscount)*100*F2604)),IF(F2604&gt;0,"% discounts",IF(_xlfn.SINGLE(NoWarrantyDiscount)&gt;0,"% discounts","% discount")))))))))</f>
        <v/>
      </c>
      <c r="N2604" s="690"/>
      <c r="O2604" s="486"/>
      <c r="P2604" s="486"/>
      <c r="Q2604" s="486"/>
      <c r="R2604" s="486"/>
      <c r="S2604" s="486"/>
      <c r="T2604" s="102">
        <f t="shared" si="1938"/>
        <v>0</v>
      </c>
      <c r="U2604" s="78">
        <f>IF(NOT(ISNUMBER(G2604)), "", VLOOKUP(A2604,'Discount Lookup'!D:E,2,FALSE)*G2604)</f>
        <v>0</v>
      </c>
      <c r="V2604" s="78">
        <f>IF(NOT(ISNUMBER(G2604)), "", VLOOKUP(A2604,'Discount Lookup'!G:H,2,FALSE)*G2604)</f>
        <v>0</v>
      </c>
      <c r="W2604" s="102">
        <f t="shared" si="1939"/>
        <v>0</v>
      </c>
      <c r="X2604" s="102">
        <f t="shared" si="1940"/>
        <v>0</v>
      </c>
      <c r="Y2604" s="120" t="b">
        <f t="shared" si="1941"/>
        <v>0</v>
      </c>
      <c r="Z2604" s="117">
        <f t="shared" si="1942"/>
        <v>0</v>
      </c>
      <c r="AA2604" s="118"/>
      <c r="AB2604" s="118" t="str">
        <f t="shared" si="1943"/>
        <v/>
      </c>
      <c r="AC2604" s="712" t="str">
        <f>IF(AE2604="T2G","no charge",IF(AND(OR(PlanterYesMe="No",PlanterYesMe="N",PlanterYesMe="me"),H2604=""),"",IF(H2604="credit","NO install",IF(AND(K2604="",AE2604="me"),"EACH row",IF(AND(K2604="images",AE2604="me"),"EACH row",IF(D2604="","",IF(H2604="credit","",IF(AE2604="free","re-planting",IF(AE2604="me","   not ELP, by",IF(AND(OR(PlanterYesMe="Yes",PlanterYesMe="Y"),G2604&gt;0),(VLOOKUP(A2604,'Discount Lookup'!J:K,2)*G2604*(1-PlanterDiscount)*(1+PlanterDifficultyPercentage)),IF(AE2604="ELP",(VLOOKUP(A2604,'Discount Lookup'!J:K,2)*G2604*(1-PlanterDiscount)*(1+PlanterDifficultyPercentage)),IF(AE2604="free","re-planting",IF(G2604=0,"",IF(PlanterYesMe="",IF(AE2604="me","   not ELP, by",IF(AE2604="",IF(G2604&gt;0,(VLOOKUP(A2604,'Discount Lookup'!J:K,2)*G2604*(1-PlanterDiscount)*(1+PlanterDifficultyPercentage)),""),"")),"   not ELP, by"))))))))))))))</f>
        <v/>
      </c>
      <c r="AD2604" s="712"/>
      <c r="AE2604" s="513" t="str">
        <f t="shared" si="1944"/>
        <v/>
      </c>
      <c r="AF2604" s="713" t="str">
        <f t="shared" si="1945"/>
        <v/>
      </c>
      <c r="AG2604" s="713"/>
      <c r="AH2604" s="713"/>
      <c r="AI2604" s="112">
        <f>IF(H2604="credit",0,IF(AE2604="free",0,IF(AE2604="me",0,IF(G2604&gt;0,(VLOOKUP(A2604,'Discount Lookup'!J:K,2)*G2604),0))))</f>
        <v>0</v>
      </c>
      <c r="AJ2604" s="107" t="str">
        <f t="shared" ca="1" si="1946"/>
        <v/>
      </c>
      <c r="AK2604" s="714" t="str">
        <f t="shared" si="1947"/>
        <v/>
      </c>
      <c r="AL2604" s="714"/>
      <c r="AM2604" s="114" t="str">
        <f t="shared" si="1948"/>
        <v/>
      </c>
      <c r="AN2604" s="115"/>
      <c r="AO2604" s="116"/>
      <c r="AP2604" s="116"/>
      <c r="AQ2604" s="116"/>
      <c r="AR2604" s="116"/>
      <c r="AS2604" s="116"/>
      <c r="AT2604" s="116"/>
      <c r="AU2604" s="116"/>
      <c r="AV2604" s="78"/>
      <c r="AW2604" s="102"/>
      <c r="AX2604" s="78"/>
      <c r="AY2604" s="78"/>
      <c r="AZ2604" s="78"/>
      <c r="BA2604" s="78"/>
      <c r="BB2604" s="78"/>
      <c r="BC2604" s="78"/>
      <c r="BD2604" s="78"/>
      <c r="BE2604" s="465"/>
      <c r="BF2604" s="165" t="str">
        <f t="shared" si="1949"/>
        <v>https://www.google.com/search?tbm=isch&amp;q=7%20G4</v>
      </c>
      <c r="BG2604" s="165" t="str">
        <f t="shared" si="1950"/>
        <v>L</v>
      </c>
      <c r="BH2604" s="65"/>
      <c r="BI2604" s="65"/>
      <c r="BJ2604" s="65"/>
      <c r="BK2604" s="65"/>
      <c r="BL2604" s="99"/>
      <c r="BM2604" s="99"/>
      <c r="BN2604" s="99"/>
    </row>
    <row r="2605" spans="1:66" s="51" customFormat="1" ht="17.25" thickBot="1" x14ac:dyDescent="0.3">
      <c r="A2605" s="641" t="s">
        <v>4771</v>
      </c>
      <c r="B2605" s="642"/>
      <c r="C2605" s="710"/>
      <c r="D2605" s="643"/>
      <c r="E2605" s="643"/>
      <c r="F2605" s="644"/>
      <c r="G2605" s="645"/>
      <c r="H2605" s="646"/>
      <c r="I2605" s="647"/>
      <c r="J2605" s="648"/>
      <c r="K2605" s="649"/>
      <c r="L2605" s="650"/>
      <c r="M2605" s="650"/>
      <c r="N2605" s="644"/>
      <c r="O2605" s="644"/>
      <c r="P2605" s="644"/>
      <c r="Q2605" s="644"/>
      <c r="R2605" s="644"/>
      <c r="S2605" s="651"/>
      <c r="T2605" s="102">
        <f t="shared" si="1938"/>
        <v>0</v>
      </c>
      <c r="U2605" s="78" t="str">
        <f>IF(NOT(ISNUMBER(G2605)), "", VLOOKUP(A2605,'Discount Lookup'!D:E,2,FALSE)*G2605)</f>
        <v/>
      </c>
      <c r="V2605" s="78" t="str">
        <f>IF(NOT(ISNUMBER(G2605)), "", VLOOKUP(A2605,'Discount Lookup'!G:H,2,FALSE)*G2605)</f>
        <v/>
      </c>
      <c r="W2605" s="102">
        <f t="shared" si="1939"/>
        <v>0</v>
      </c>
      <c r="X2605" s="102">
        <f t="shared" si="1940"/>
        <v>0</v>
      </c>
      <c r="Y2605" s="120" t="b">
        <f t="shared" si="1941"/>
        <v>0</v>
      </c>
      <c r="Z2605" s="117">
        <f t="shared" si="1942"/>
        <v>0</v>
      </c>
      <c r="AA2605" s="118"/>
      <c r="AB2605" s="118" t="str">
        <f t="shared" si="1943"/>
        <v/>
      </c>
      <c r="AC2605" s="712" t="str">
        <f>IF(AE2605="T2G","no charge",IF(AND(OR(PlanterYesMe="No",PlanterYesMe="N",PlanterYesMe="me"),H2605=""),"",IF(H2605="credit","NO install",IF(AND(K2605="",AE2605="me"),"EACH row",IF(AND(K2605="images",AE2605="me"),"EACH row",IF(D2605="","",IF(H2605="credit","",IF(AE2605="free","re-planting",IF(AE2605="me","   not ELP, by",IF(AND(OR(PlanterYesMe="Yes",PlanterYesMe="Y"),G2605&gt;0),(VLOOKUP(A2605,'Discount Lookup'!J:K,2)*G2605*(1-PlanterDiscount)*(1+PlanterDifficultyPercentage)),IF(AE2605="ELP",(VLOOKUP(A2605,'Discount Lookup'!J:K,2)*G2605*(1-PlanterDiscount)*(1+PlanterDifficultyPercentage)),IF(AE2605="free","re-planting",IF(G2605=0,"",IF(PlanterYesMe="",IF(AE2605="me","   not ELP, by",IF(AE2605="",IF(G2605&gt;0,(VLOOKUP(A2605,'Discount Lookup'!J:K,2)*G2605*(1-PlanterDiscount)*(1+PlanterDifficultyPercentage)),""),"")),"   not ELP, by"))))))))))))))</f>
        <v/>
      </c>
      <c r="AD2605" s="712"/>
      <c r="AE2605" s="513" t="str">
        <f t="shared" si="1944"/>
        <v/>
      </c>
      <c r="AF2605" s="713" t="str">
        <f t="shared" si="1945"/>
        <v/>
      </c>
      <c r="AG2605" s="713"/>
      <c r="AH2605" s="713"/>
      <c r="AI2605" s="112">
        <f>IF(H2605="credit",0,IF(AE2605="free",0,IF(AE2605="me",0,IF(G2605&gt;0,(VLOOKUP(A2605,'Discount Lookup'!J:K,2)*G2605),0))))</f>
        <v>0</v>
      </c>
      <c r="AJ2605" s="107" t="str">
        <f t="shared" ca="1" si="1946"/>
        <v/>
      </c>
      <c r="AK2605" s="714" t="str">
        <f t="shared" si="1947"/>
        <v/>
      </c>
      <c r="AL2605" s="714"/>
      <c r="AM2605" s="114" t="str">
        <f t="shared" si="1948"/>
        <v/>
      </c>
      <c r="AN2605" s="115"/>
      <c r="AO2605" s="116"/>
      <c r="AP2605" s="116"/>
      <c r="AQ2605" s="116"/>
      <c r="AR2605" s="116"/>
      <c r="AS2605" s="116"/>
      <c r="AT2605" s="116"/>
      <c r="AU2605" s="116"/>
      <c r="AV2605" s="78"/>
      <c r="AW2605" s="102"/>
      <c r="AX2605" s="78"/>
      <c r="AY2605" s="78"/>
      <c r="AZ2605" s="78"/>
      <c r="BA2605" s="78"/>
      <c r="BB2605" s="78"/>
      <c r="BC2605" s="78"/>
      <c r="BD2605" s="78"/>
      <c r="BE2605" s="465"/>
      <c r="BF2605" s="165" t="str">
        <f t="shared" si="1949"/>
        <v>https://www.google.com/search?tbm=isch&amp;q=Thunderstruck%20%27White%20Lightning%27%20named%20for%20foliage%20that%20turns%20from%20Green%20to%20dark%20Burgundy-Black%20by%20fall.%20</v>
      </c>
      <c r="BG2605" s="165" t="str">
        <f t="shared" si="1950"/>
        <v>T</v>
      </c>
      <c r="BH2605" s="65"/>
      <c r="BI2605" s="65"/>
      <c r="BJ2605" s="65"/>
      <c r="BK2605" s="65"/>
      <c r="BL2605" s="99"/>
      <c r="BM2605" s="99"/>
      <c r="BN2605" s="99"/>
    </row>
    <row r="2606" spans="1:66" s="51" customFormat="1" ht="18" x14ac:dyDescent="0.25">
      <c r="A2606" s="623" t="s">
        <v>3274</v>
      </c>
      <c r="B2606" s="624"/>
      <c r="C2606" s="709"/>
      <c r="D2606" s="625" t="s">
        <v>5725</v>
      </c>
      <c r="E2606" s="626"/>
      <c r="F2606" s="626"/>
      <c r="G2606" s="626"/>
      <c r="H2606" s="622" t="s">
        <v>1082</v>
      </c>
      <c r="I2606" s="627" t="s">
        <v>3275</v>
      </c>
      <c r="J2606" s="628"/>
      <c r="K2606" s="628"/>
      <c r="L2606" s="629"/>
      <c r="M2606" s="700" t="s">
        <v>5241</v>
      </c>
      <c r="N2606" s="693" t="str">
        <f>IF(AND(ISTEXT($A2606), ISERROR($A2606+0)), HYPERLINK($BF2606, "Images"), "")</f>
        <v>Images</v>
      </c>
      <c r="O2606" s="695" t="s">
        <v>5244</v>
      </c>
      <c r="P2606" s="630"/>
      <c r="Q2606" s="631"/>
      <c r="R2606" s="632"/>
      <c r="S2606" s="633"/>
      <c r="T2606" s="102">
        <f t="shared" si="1938"/>
        <v>0</v>
      </c>
      <c r="U2606" s="78" t="str">
        <f>IF(NOT(ISNUMBER(G2606)), "", VLOOKUP(A2606,'Discount Lookup'!D:E,2,FALSE)*G2606)</f>
        <v/>
      </c>
      <c r="V2606" s="78" t="str">
        <f>IF(NOT(ISNUMBER(G2606)), "", VLOOKUP(A2606,'Discount Lookup'!G:H,2,FALSE)*G2606)</f>
        <v/>
      </c>
      <c r="W2606" s="102">
        <f t="shared" si="1939"/>
        <v>0</v>
      </c>
      <c r="X2606" s="102" t="str">
        <f t="shared" si="1940"/>
        <v>Scarlet Red bloom</v>
      </c>
      <c r="Y2606" s="120" t="b">
        <f t="shared" si="1941"/>
        <v>0</v>
      </c>
      <c r="Z2606" s="117">
        <f t="shared" si="1942"/>
        <v>0</v>
      </c>
      <c r="AA2606" s="118"/>
      <c r="AB2606" s="118" t="str">
        <f t="shared" si="1943"/>
        <v/>
      </c>
      <c r="AC2606" s="712" t="str">
        <f>IF(AE2606="T2G","no charge",IF(AND(OR(PlanterYesMe="No",PlanterYesMe="N",PlanterYesMe="me"),H2606=""),"",IF(H2606="credit","NO install",IF(AND(K2606="",AE2606="me"),"EACH row",IF(AND(K2606="images",AE2606="me"),"EACH row",IF(D2606="","",IF(H2606="credit","",IF(AE2606="free","re-planting",IF(AE2606="me","   not ELP, by",IF(AND(OR(PlanterYesMe="Yes",PlanterYesMe="Y"),G2606&gt;0),(VLOOKUP(A2606,'Discount Lookup'!J:K,2)*G2606*(1-PlanterDiscount)*(1+PlanterDifficultyPercentage)),IF(AE2606="ELP",(VLOOKUP(A2606,'Discount Lookup'!J:K,2)*G2606*(1-PlanterDiscount)*(1+PlanterDifficultyPercentage)),IF(AE2606="free","re-planting",IF(G2606=0,"",IF(PlanterYesMe="",IF(AE2606="me","   not ELP, by",IF(AE2606="",IF(G2606&gt;0,(VLOOKUP(A2606,'Discount Lookup'!J:K,2)*G2606*(1-PlanterDiscount)*(1+PlanterDifficultyPercentage)),""),"")),"   not ELP, by"))))))))))))))</f>
        <v/>
      </c>
      <c r="AD2606" s="712"/>
      <c r="AE2606" s="513" t="str">
        <f t="shared" si="1944"/>
        <v/>
      </c>
      <c r="AF2606" s="713" t="str">
        <f t="shared" si="1945"/>
        <v/>
      </c>
      <c r="AG2606" s="713"/>
      <c r="AH2606" s="713"/>
      <c r="AI2606" s="112">
        <f>IF(H2606="credit",0,IF(AE2606="free",0,IF(AE2606="me",0,IF(G2606&gt;0,(VLOOKUP(A2606,'Discount Lookup'!J:K,2)*G2606),0))))</f>
        <v>0</v>
      </c>
      <c r="AJ2606" s="107" t="str">
        <f t="shared" ca="1" si="1946"/>
        <v/>
      </c>
      <c r="AK2606" s="714" t="str">
        <f t="shared" si="1947"/>
        <v/>
      </c>
      <c r="AL2606" s="714"/>
      <c r="AM2606" s="114" t="str">
        <f t="shared" si="1948"/>
        <v/>
      </c>
      <c r="AN2606" s="115"/>
      <c r="AO2606" s="116"/>
      <c r="AP2606" s="116"/>
      <c r="AQ2606" s="116"/>
      <c r="AR2606" s="116"/>
      <c r="AS2606" s="116"/>
      <c r="AT2606" s="116"/>
      <c r="AU2606" s="116"/>
      <c r="AV2606" s="78"/>
      <c r="AW2606" s="102"/>
      <c r="AX2606" s="78"/>
      <c r="AY2606" s="78"/>
      <c r="AZ2606" s="78"/>
      <c r="BA2606" s="78"/>
      <c r="BB2606" s="78"/>
      <c r="BC2606" s="78"/>
      <c r="BD2606" s="78"/>
      <c r="BE2606" s="465"/>
      <c r="BF2606" s="165" t="str">
        <f t="shared" si="1949"/>
        <v>https://www.google.com/search?tbm=isch&amp;q=Lagerstroemia%20%27PIILAG%20B5%27%20PP%2325476%20Enduring%20Summer%E2%84%A2%20Red%20Crape%20Myrtle</v>
      </c>
      <c r="BG2606" s="165" t="str">
        <f t="shared" si="1950"/>
        <v>L</v>
      </c>
      <c r="BH2606" s="65"/>
      <c r="BI2606" s="65"/>
      <c r="BJ2606" s="65"/>
      <c r="BK2606" s="65"/>
      <c r="BL2606" s="99"/>
      <c r="BM2606" s="99"/>
      <c r="BN2606" s="99"/>
    </row>
    <row r="2607" spans="1:66" s="51" customFormat="1" ht="40.5" x14ac:dyDescent="0.25">
      <c r="A2607" s="634">
        <v>7</v>
      </c>
      <c r="B2607" s="635" t="s">
        <v>291</v>
      </c>
      <c r="C2607" s="636" t="s">
        <v>3276</v>
      </c>
      <c r="D2607" s="637" t="s">
        <v>299</v>
      </c>
      <c r="E2607" s="638">
        <v>123.95</v>
      </c>
      <c r="F2607" s="639" t="s">
        <v>292</v>
      </c>
      <c r="G2607" s="484">
        <v>0</v>
      </c>
      <c r="H2607" s="691" t="str">
        <f>IF(G2607=0,"",IF(F2607="Buy",IF(G2607=1,"plant","plants"),IF(F2607&gt;0.01,"warranty","Error")))</f>
        <v/>
      </c>
      <c r="I2607" s="640">
        <f>IF(H2607="free",0,IF(H2607="credit",((E2607*(F2607))*G2607*-1),IF(F2607="Buy",(E2607*G2607),((E2607*(1-F2607))*G2607))))</f>
        <v>0</v>
      </c>
      <c r="J2607" s="640">
        <f>IF(H2607="warranty",0,(I2607*(_xlfn.SINGLE(SalesTaxPercentage))))</f>
        <v>0</v>
      </c>
      <c r="K2607" s="716">
        <f t="shared" ref="K2607" si="1978">I2607+J2607</f>
        <v>0</v>
      </c>
      <c r="L2607" s="716"/>
      <c r="M2607" s="689" t="str">
        <f ca="1">IF(AND(G2607&gt;0,E2607=0),"WARNING - no PRICE inserted",IF(H2607="free","FREE ~ no charge this plant",IF(H2607="credit",CONCATENATE("-$",ROUND(K2607*(1-_xlfn.SINGLE(T2GDiscount))*-1,2)," CREDIT after discount"),IF(_xlfn.SINGLE(T2GDiscount)=0,"",IF(G2607=0,"",IF(F2607="Buy",CONCATENATE("$",ROUND(K2607*(1-_xlfn.SINGLE(T2GDiscount)),2)," with ",(_xlfn.SINGLE(T2GDiscount)*100),"% discount"),CONCATENATE("$",ROUND(K2607*(1-_xlfn.SINGLE(T2GDiscount)),2)," with ",((_xlfn.SINGLE(T2GDiscount)*100+F2607*100)-(_xlfn.SINGLE(T2GDiscount)*100*F2607)),IF(F2607&gt;0,"% discounts",IF(_xlfn.SINGLE(NoWarrantyDiscount)&gt;0,"% discounts","% discount")))))))))</f>
        <v/>
      </c>
      <c r="N2607" s="690"/>
      <c r="O2607" s="486"/>
      <c r="P2607" s="486"/>
      <c r="Q2607" s="486"/>
      <c r="R2607" s="486"/>
      <c r="S2607" s="486"/>
      <c r="T2607" s="102">
        <f t="shared" si="1938"/>
        <v>0</v>
      </c>
      <c r="U2607" s="78">
        <f>IF(NOT(ISNUMBER(G2607)), "", VLOOKUP(A2607,'Discount Lookup'!D:E,2,FALSE)*G2607)</f>
        <v>0</v>
      </c>
      <c r="V2607" s="78">
        <f>IF(NOT(ISNUMBER(G2607)), "", VLOOKUP(A2607,'Discount Lookup'!G:H,2,FALSE)*G2607)</f>
        <v>0</v>
      </c>
      <c r="W2607" s="102">
        <f t="shared" si="1939"/>
        <v>0</v>
      </c>
      <c r="X2607" s="102">
        <f t="shared" si="1940"/>
        <v>0</v>
      </c>
      <c r="Y2607" s="120" t="b">
        <f t="shared" si="1941"/>
        <v>0</v>
      </c>
      <c r="Z2607" s="117">
        <f t="shared" si="1942"/>
        <v>0</v>
      </c>
      <c r="AA2607" s="118"/>
      <c r="AB2607" s="118" t="str">
        <f t="shared" si="1943"/>
        <v/>
      </c>
      <c r="AC2607" s="712" t="str">
        <f>IF(AE2607="T2G","no charge",IF(AND(OR(PlanterYesMe="No",PlanterYesMe="N",PlanterYesMe="me"),H2607=""),"",IF(H2607="credit","NO install",IF(AND(K2607="",AE2607="me"),"EACH row",IF(AND(K2607="images",AE2607="me"),"EACH row",IF(D2607="","",IF(H2607="credit","",IF(AE2607="free","re-planting",IF(AE2607="me","   not ELP, by",IF(AND(OR(PlanterYesMe="Yes",PlanterYesMe="Y"),G2607&gt;0),(VLOOKUP(A2607,'Discount Lookup'!J:K,2)*G2607*(1-PlanterDiscount)*(1+PlanterDifficultyPercentage)),IF(AE2607="ELP",(VLOOKUP(A2607,'Discount Lookup'!J:K,2)*G2607*(1-PlanterDiscount)*(1+PlanterDifficultyPercentage)),IF(AE2607="free","re-planting",IF(G2607=0,"",IF(PlanterYesMe="",IF(AE2607="me","   not ELP, by",IF(AE2607="",IF(G2607&gt;0,(VLOOKUP(A2607,'Discount Lookup'!J:K,2)*G2607*(1-PlanterDiscount)*(1+PlanterDifficultyPercentage)),""),"")),"   not ELP, by"))))))))))))))</f>
        <v/>
      </c>
      <c r="AD2607" s="712"/>
      <c r="AE2607" s="513" t="str">
        <f t="shared" si="1944"/>
        <v/>
      </c>
      <c r="AF2607" s="713" t="str">
        <f t="shared" si="1945"/>
        <v/>
      </c>
      <c r="AG2607" s="713"/>
      <c r="AH2607" s="713"/>
      <c r="AI2607" s="112">
        <f>IF(H2607="credit",0,IF(AE2607="free",0,IF(AE2607="me",0,IF(G2607&gt;0,(VLOOKUP(A2607,'Discount Lookup'!J:K,2)*G2607),0))))</f>
        <v>0</v>
      </c>
      <c r="AJ2607" s="107" t="str">
        <f t="shared" ca="1" si="1946"/>
        <v/>
      </c>
      <c r="AK2607" s="714" t="str">
        <f t="shared" si="1947"/>
        <v/>
      </c>
      <c r="AL2607" s="714"/>
      <c r="AM2607" s="114" t="str">
        <f t="shared" si="1948"/>
        <v/>
      </c>
      <c r="AN2607" s="115"/>
      <c r="AO2607" s="116"/>
      <c r="AP2607" s="116"/>
      <c r="AQ2607" s="116"/>
      <c r="AR2607" s="116"/>
      <c r="AS2607" s="116"/>
      <c r="AT2607" s="116"/>
      <c r="AU2607" s="116"/>
      <c r="AV2607" s="78"/>
      <c r="AW2607" s="102"/>
      <c r="AX2607" s="78"/>
      <c r="AY2607" s="78"/>
      <c r="AZ2607" s="78"/>
      <c r="BA2607" s="78"/>
      <c r="BB2607" s="78"/>
      <c r="BC2607" s="78"/>
      <c r="BD2607" s="78"/>
      <c r="BE2607" s="465"/>
      <c r="BF2607" s="165" t="str">
        <f t="shared" si="1949"/>
        <v>https://www.google.com/search?tbm=isch&amp;q=7%20G4</v>
      </c>
      <c r="BG2607" s="165" t="str">
        <f t="shared" si="1950"/>
        <v>L</v>
      </c>
      <c r="BH2607" s="65"/>
      <c r="BI2607" s="65"/>
      <c r="BJ2607" s="65"/>
      <c r="BK2607" s="65"/>
      <c r="BL2607" s="99"/>
      <c r="BM2607" s="99"/>
      <c r="BN2607" s="99"/>
    </row>
    <row r="2608" spans="1:66" s="51" customFormat="1" ht="40.5" x14ac:dyDescent="0.25">
      <c r="A2608" s="634">
        <v>15</v>
      </c>
      <c r="B2608" s="635" t="s">
        <v>291</v>
      </c>
      <c r="C2608" s="636" t="s">
        <v>3277</v>
      </c>
      <c r="D2608" s="637" t="s">
        <v>299</v>
      </c>
      <c r="E2608" s="638">
        <v>224.95</v>
      </c>
      <c r="F2608" s="639" t="s">
        <v>292</v>
      </c>
      <c r="G2608" s="484">
        <v>0</v>
      </c>
      <c r="H2608" s="691" t="str">
        <f>IF(G2608=0,"",IF(F2608="Buy",IF(G2608=1,"plant","plants"),IF(F2608&gt;0.01,"warranty","Error")))</f>
        <v/>
      </c>
      <c r="I2608" s="640">
        <f>IF(H2608="free",0,IF(H2608="credit",((E2608*(F2608))*G2608*-1),IF(F2608="Buy",(E2608*G2608),((E2608*(1-F2608))*G2608))))</f>
        <v>0</v>
      </c>
      <c r="J2608" s="640">
        <f>IF(H2608="warranty",0,(I2608*(_xlfn.SINGLE(SalesTaxPercentage))))</f>
        <v>0</v>
      </c>
      <c r="K2608" s="716">
        <f t="shared" ref="K2608" si="1979">I2608+J2608</f>
        <v>0</v>
      </c>
      <c r="L2608" s="716"/>
      <c r="M2608" s="689" t="str">
        <f ca="1">IF(AND(G2608&gt;0,E2608=0),"WARNING - no PRICE inserted",IF(H2608="free","FREE ~ no charge this plant",IF(H2608="credit",CONCATENATE("-$",ROUND(K2608*(1-_xlfn.SINGLE(T2GDiscount))*-1,2)," CREDIT after discount"),IF(_xlfn.SINGLE(T2GDiscount)=0,"",IF(G2608=0,"",IF(F2608="Buy",CONCATENATE("$",ROUND(K2608*(1-_xlfn.SINGLE(T2GDiscount)),2)," with ",(_xlfn.SINGLE(T2GDiscount)*100),"% discount"),CONCATENATE("$",ROUND(K2608*(1-_xlfn.SINGLE(T2GDiscount)),2)," with ",((_xlfn.SINGLE(T2GDiscount)*100+F2608*100)-(_xlfn.SINGLE(T2GDiscount)*100*F2608)),IF(F2608&gt;0,"% discounts",IF(_xlfn.SINGLE(NoWarrantyDiscount)&gt;0,"% discounts","% discount")))))))))</f>
        <v/>
      </c>
      <c r="N2608" s="690"/>
      <c r="O2608" s="486"/>
      <c r="P2608" s="486"/>
      <c r="Q2608" s="486"/>
      <c r="R2608" s="486"/>
      <c r="S2608" s="486"/>
      <c r="T2608" s="102">
        <f t="shared" si="1938"/>
        <v>0</v>
      </c>
      <c r="U2608" s="78">
        <f>IF(NOT(ISNUMBER(G2608)), "", VLOOKUP(A2608,'Discount Lookup'!D:E,2,FALSE)*G2608)</f>
        <v>0</v>
      </c>
      <c r="V2608" s="78">
        <f>IF(NOT(ISNUMBER(G2608)), "", VLOOKUP(A2608,'Discount Lookup'!G:H,2,FALSE)*G2608)</f>
        <v>0</v>
      </c>
      <c r="W2608" s="102">
        <f t="shared" si="1939"/>
        <v>0</v>
      </c>
      <c r="X2608" s="102">
        <f t="shared" si="1940"/>
        <v>0</v>
      </c>
      <c r="Y2608" s="120" t="b">
        <f t="shared" si="1941"/>
        <v>0</v>
      </c>
      <c r="Z2608" s="117">
        <f t="shared" si="1942"/>
        <v>0</v>
      </c>
      <c r="AA2608" s="118"/>
      <c r="AB2608" s="118" t="str">
        <f t="shared" si="1943"/>
        <v/>
      </c>
      <c r="AC2608" s="712" t="str">
        <f>IF(AE2608="T2G","no charge",IF(AND(OR(PlanterYesMe="No",PlanterYesMe="N",PlanterYesMe="me"),H2608=""),"",IF(H2608="credit","NO install",IF(AND(K2608="",AE2608="me"),"EACH row",IF(AND(K2608="images",AE2608="me"),"EACH row",IF(D2608="","",IF(H2608="credit","",IF(AE2608="free","re-planting",IF(AE2608="me","   not ELP, by",IF(AND(OR(PlanterYesMe="Yes",PlanterYesMe="Y"),G2608&gt;0),(VLOOKUP(A2608,'Discount Lookup'!J:K,2)*G2608*(1-PlanterDiscount)*(1+PlanterDifficultyPercentage)),IF(AE2608="ELP",(VLOOKUP(A2608,'Discount Lookup'!J:K,2)*G2608*(1-PlanterDiscount)*(1+PlanterDifficultyPercentage)),IF(AE2608="free","re-planting",IF(G2608=0,"",IF(PlanterYesMe="",IF(AE2608="me","   not ELP, by",IF(AE2608="",IF(G2608&gt;0,(VLOOKUP(A2608,'Discount Lookup'!J:K,2)*G2608*(1-PlanterDiscount)*(1+PlanterDifficultyPercentage)),""),"")),"   not ELP, by"))))))))))))))</f>
        <v/>
      </c>
      <c r="AD2608" s="712"/>
      <c r="AE2608" s="513" t="str">
        <f t="shared" si="1944"/>
        <v/>
      </c>
      <c r="AF2608" s="713" t="str">
        <f t="shared" si="1945"/>
        <v/>
      </c>
      <c r="AG2608" s="713"/>
      <c r="AH2608" s="713"/>
      <c r="AI2608" s="112">
        <f>IF(H2608="credit",0,IF(AE2608="free",0,IF(AE2608="me",0,IF(G2608&gt;0,(VLOOKUP(A2608,'Discount Lookup'!J:K,2)*G2608),0))))</f>
        <v>0</v>
      </c>
      <c r="AJ2608" s="107" t="str">
        <f t="shared" ca="1" si="1946"/>
        <v/>
      </c>
      <c r="AK2608" s="714" t="str">
        <f t="shared" si="1947"/>
        <v/>
      </c>
      <c r="AL2608" s="714"/>
      <c r="AM2608" s="114" t="str">
        <f t="shared" si="1948"/>
        <v/>
      </c>
      <c r="AN2608" s="115"/>
      <c r="AO2608" s="116"/>
      <c r="AP2608" s="116"/>
      <c r="AQ2608" s="116"/>
      <c r="AR2608" s="116"/>
      <c r="AS2608" s="116"/>
      <c r="AT2608" s="116"/>
      <c r="AU2608" s="116"/>
      <c r="AV2608" s="78"/>
      <c r="AW2608" s="102"/>
      <c r="AX2608" s="78"/>
      <c r="AY2608" s="78"/>
      <c r="AZ2608" s="78"/>
      <c r="BA2608" s="78"/>
      <c r="BB2608" s="78"/>
      <c r="BC2608" s="78"/>
      <c r="BD2608" s="78"/>
      <c r="BE2608" s="465"/>
      <c r="BF2608" s="165" t="str">
        <f t="shared" si="1949"/>
        <v>https://www.google.com/search?tbm=isch&amp;q=15%20G4</v>
      </c>
      <c r="BG2608" s="165" t="str">
        <f t="shared" si="1950"/>
        <v>L</v>
      </c>
      <c r="BH2608" s="65"/>
      <c r="BI2608" s="65"/>
      <c r="BJ2608" s="65"/>
      <c r="BK2608" s="65"/>
      <c r="BL2608" s="99"/>
      <c r="BM2608" s="99"/>
      <c r="BN2608" s="99"/>
    </row>
    <row r="2609" spans="1:66" s="51" customFormat="1" ht="17.25" thickBot="1" x14ac:dyDescent="0.3">
      <c r="A2609" s="641" t="s">
        <v>4772</v>
      </c>
      <c r="B2609" s="642"/>
      <c r="C2609" s="710"/>
      <c r="D2609" s="643"/>
      <c r="E2609" s="643"/>
      <c r="F2609" s="644"/>
      <c r="G2609" s="645"/>
      <c r="H2609" s="646"/>
      <c r="I2609" s="647"/>
      <c r="J2609" s="648"/>
      <c r="K2609" s="649"/>
      <c r="L2609" s="650"/>
      <c r="M2609" s="650"/>
      <c r="N2609" s="644"/>
      <c r="O2609" s="644"/>
      <c r="P2609" s="644"/>
      <c r="Q2609" s="644"/>
      <c r="R2609" s="644"/>
      <c r="S2609" s="651"/>
      <c r="T2609" s="102">
        <f t="shared" si="1938"/>
        <v>0</v>
      </c>
      <c r="U2609" s="78" t="str">
        <f>IF(NOT(ISNUMBER(G2609)), "", VLOOKUP(A2609,'Discount Lookup'!D:E,2,FALSE)*G2609)</f>
        <v/>
      </c>
      <c r="V2609" s="78" t="str">
        <f>IF(NOT(ISNUMBER(G2609)), "", VLOOKUP(A2609,'Discount Lookup'!G:H,2,FALSE)*G2609)</f>
        <v/>
      </c>
      <c r="W2609" s="102">
        <f t="shared" si="1939"/>
        <v>0</v>
      </c>
      <c r="X2609" s="102">
        <f t="shared" si="1940"/>
        <v>0</v>
      </c>
      <c r="Y2609" s="120" t="b">
        <f t="shared" si="1941"/>
        <v>0</v>
      </c>
      <c r="Z2609" s="117">
        <f t="shared" si="1942"/>
        <v>0</v>
      </c>
      <c r="AA2609" s="118"/>
      <c r="AB2609" s="118" t="str">
        <f t="shared" si="1943"/>
        <v/>
      </c>
      <c r="AC2609" s="712" t="str">
        <f>IF(AE2609="T2G","no charge",IF(AND(OR(PlanterYesMe="No",PlanterYesMe="N",PlanterYesMe="me"),H2609=""),"",IF(H2609="credit","NO install",IF(AND(K2609="",AE2609="me"),"EACH row",IF(AND(K2609="images",AE2609="me"),"EACH row",IF(D2609="","",IF(H2609="credit","",IF(AE2609="free","re-planting",IF(AE2609="me","   not ELP, by",IF(AND(OR(PlanterYesMe="Yes",PlanterYesMe="Y"),G2609&gt;0),(VLOOKUP(A2609,'Discount Lookup'!J:K,2)*G2609*(1-PlanterDiscount)*(1+PlanterDifficultyPercentage)),IF(AE2609="ELP",(VLOOKUP(A2609,'Discount Lookup'!J:K,2)*G2609*(1-PlanterDiscount)*(1+PlanterDifficultyPercentage)),IF(AE2609="free","re-planting",IF(G2609=0,"",IF(PlanterYesMe="",IF(AE2609="me","   not ELP, by",IF(AE2609="",IF(G2609&gt;0,(VLOOKUP(A2609,'Discount Lookup'!J:K,2)*G2609*(1-PlanterDiscount)*(1+PlanterDifficultyPercentage)),""),"")),"   not ELP, by"))))))))))))))</f>
        <v/>
      </c>
      <c r="AD2609" s="712"/>
      <c r="AE2609" s="513" t="str">
        <f t="shared" si="1944"/>
        <v/>
      </c>
      <c r="AF2609" s="713" t="str">
        <f t="shared" si="1945"/>
        <v/>
      </c>
      <c r="AG2609" s="713"/>
      <c r="AH2609" s="713"/>
      <c r="AI2609" s="112">
        <f>IF(H2609="credit",0,IF(AE2609="free",0,IF(AE2609="me",0,IF(G2609&gt;0,(VLOOKUP(A2609,'Discount Lookup'!J:K,2)*G2609),0))))</f>
        <v>0</v>
      </c>
      <c r="AJ2609" s="107" t="str">
        <f t="shared" ca="1" si="1946"/>
        <v/>
      </c>
      <c r="AK2609" s="714" t="str">
        <f t="shared" si="1947"/>
        <v/>
      </c>
      <c r="AL2609" s="714"/>
      <c r="AM2609" s="114" t="str">
        <f t="shared" si="1948"/>
        <v/>
      </c>
      <c r="AN2609" s="115"/>
      <c r="AO2609" s="116"/>
      <c r="AP2609" s="116"/>
      <c r="AQ2609" s="116"/>
      <c r="AR2609" s="116"/>
      <c r="AS2609" s="116"/>
      <c r="AT2609" s="116"/>
      <c r="AU2609" s="116"/>
      <c r="AV2609" s="78"/>
      <c r="AW2609" s="102"/>
      <c r="AX2609" s="78"/>
      <c r="AY2609" s="78"/>
      <c r="AZ2609" s="78"/>
      <c r="BA2609" s="78"/>
      <c r="BB2609" s="78"/>
      <c r="BC2609" s="78"/>
      <c r="BD2609" s="78"/>
      <c r="BE2609" s="465"/>
      <c r="BF2609" s="165" t="str">
        <f t="shared" si="1949"/>
        <v>https://www.google.com/search?tbm=isch&amp;q=Enduring%20Summer%20Red%20named%20for%20exceptionally%20long%20blooming%20period%2C%20with%20excellent%20mildew%20resistance%20</v>
      </c>
      <c r="BG2609" s="165" t="str">
        <f t="shared" si="1950"/>
        <v>E</v>
      </c>
      <c r="BH2609" s="65"/>
      <c r="BI2609" s="65"/>
      <c r="BJ2609" s="65"/>
      <c r="BK2609" s="65"/>
      <c r="BL2609" s="99"/>
      <c r="BM2609" s="99"/>
      <c r="BN2609" s="99"/>
    </row>
    <row r="2610" spans="1:66" s="51" customFormat="1" ht="18" x14ac:dyDescent="0.25">
      <c r="A2610" s="623" t="s">
        <v>3278</v>
      </c>
      <c r="B2610" s="624"/>
      <c r="C2610" s="709"/>
      <c r="D2610" s="625" t="s">
        <v>5726</v>
      </c>
      <c r="E2610" s="626"/>
      <c r="F2610" s="626"/>
      <c r="G2610" s="626"/>
      <c r="H2610" s="622" t="s">
        <v>1217</v>
      </c>
      <c r="I2610" s="627" t="s">
        <v>3232</v>
      </c>
      <c r="J2610" s="628"/>
      <c r="K2610" s="628"/>
      <c r="L2610" s="629"/>
      <c r="M2610" s="700" t="s">
        <v>5241</v>
      </c>
      <c r="N2610" s="693" t="str">
        <f>IF(AND(ISTEXT($A2610), ISERROR($A2610+0)), HYPERLINK($BF2610, "Images"), "")</f>
        <v>Images</v>
      </c>
      <c r="O2610" s="695" t="s">
        <v>5247</v>
      </c>
      <c r="P2610" s="630"/>
      <c r="Q2610" s="631"/>
      <c r="R2610" s="632"/>
      <c r="S2610" s="633"/>
      <c r="T2610" s="102">
        <f t="shared" si="1938"/>
        <v>0</v>
      </c>
      <c r="U2610" s="78" t="str">
        <f>IF(NOT(ISNUMBER(G2610)), "", VLOOKUP(A2610,'Discount Lookup'!D:E,2,FALSE)*G2610)</f>
        <v/>
      </c>
      <c r="V2610" s="78" t="str">
        <f>IF(NOT(ISNUMBER(G2610)), "", VLOOKUP(A2610,'Discount Lookup'!G:H,2,FALSE)*G2610)</f>
        <v/>
      </c>
      <c r="W2610" s="102">
        <f t="shared" si="1939"/>
        <v>0</v>
      </c>
      <c r="X2610" s="102" t="str">
        <f t="shared" si="1940"/>
        <v>Dark Pink bloom</v>
      </c>
      <c r="Y2610" s="120" t="b">
        <f t="shared" si="1941"/>
        <v>0</v>
      </c>
      <c r="Z2610" s="117">
        <f t="shared" si="1942"/>
        <v>0</v>
      </c>
      <c r="AA2610" s="118"/>
      <c r="AB2610" s="118" t="str">
        <f t="shared" si="1943"/>
        <v/>
      </c>
      <c r="AC2610" s="712" t="str">
        <f>IF(AE2610="T2G","no charge",IF(AND(OR(PlanterYesMe="No",PlanterYesMe="N",PlanterYesMe="me"),H2610=""),"",IF(H2610="credit","NO install",IF(AND(K2610="",AE2610="me"),"EACH row",IF(AND(K2610="images",AE2610="me"),"EACH row",IF(D2610="","",IF(H2610="credit","",IF(AE2610="free","re-planting",IF(AE2610="me","   not ELP, by",IF(AND(OR(PlanterYesMe="Yes",PlanterYesMe="Y"),G2610&gt;0),(VLOOKUP(A2610,'Discount Lookup'!J:K,2)*G2610*(1-PlanterDiscount)*(1+PlanterDifficultyPercentage)),IF(AE2610="ELP",(VLOOKUP(A2610,'Discount Lookup'!J:K,2)*G2610*(1-PlanterDiscount)*(1+PlanterDifficultyPercentage)),IF(AE2610="free","re-planting",IF(G2610=0,"",IF(PlanterYesMe="",IF(AE2610="me","   not ELP, by",IF(AE2610="",IF(G2610&gt;0,(VLOOKUP(A2610,'Discount Lookup'!J:K,2)*G2610*(1-PlanterDiscount)*(1+PlanterDifficultyPercentage)),""),"")),"   not ELP, by"))))))))))))))</f>
        <v/>
      </c>
      <c r="AD2610" s="712"/>
      <c r="AE2610" s="513" t="str">
        <f t="shared" si="1944"/>
        <v/>
      </c>
      <c r="AF2610" s="713" t="str">
        <f t="shared" si="1945"/>
        <v/>
      </c>
      <c r="AG2610" s="713"/>
      <c r="AH2610" s="713"/>
      <c r="AI2610" s="112">
        <f>IF(H2610="credit",0,IF(AE2610="free",0,IF(AE2610="me",0,IF(G2610&gt;0,(VLOOKUP(A2610,'Discount Lookup'!J:K,2)*G2610),0))))</f>
        <v>0</v>
      </c>
      <c r="AJ2610" s="107" t="str">
        <f t="shared" ca="1" si="1946"/>
        <v/>
      </c>
      <c r="AK2610" s="714" t="str">
        <f t="shared" si="1947"/>
        <v/>
      </c>
      <c r="AL2610" s="714"/>
      <c r="AM2610" s="114" t="str">
        <f t="shared" si="1948"/>
        <v/>
      </c>
      <c r="AN2610" s="115"/>
      <c r="AO2610" s="116"/>
      <c r="AP2610" s="116"/>
      <c r="AQ2610" s="116"/>
      <c r="AR2610" s="116"/>
      <c r="AS2610" s="116"/>
      <c r="AT2610" s="116"/>
      <c r="AU2610" s="116"/>
      <c r="AV2610" s="78"/>
      <c r="AW2610" s="102"/>
      <c r="AX2610" s="78"/>
      <c r="AY2610" s="78"/>
      <c r="AZ2610" s="78"/>
      <c r="BA2610" s="78"/>
      <c r="BB2610" s="78"/>
      <c r="BC2610" s="78"/>
      <c r="BD2610" s="78"/>
      <c r="BE2610" s="465"/>
      <c r="BF2610" s="165" t="str">
        <f t="shared" si="1949"/>
        <v>https://www.google.com/search?tbm=isch&amp;q=Lagerstroemia%20%27PIILAG-V%27%20PP%2325925%20Midnight%20Magic%E2%84%A2%20Crape%20Myrtle</v>
      </c>
      <c r="BG2610" s="165" t="str">
        <f t="shared" si="1950"/>
        <v>L</v>
      </c>
      <c r="BH2610" s="65"/>
      <c r="BI2610" s="65"/>
      <c r="BJ2610" s="65"/>
      <c r="BK2610" s="65"/>
      <c r="BL2610" s="99"/>
      <c r="BM2610" s="99"/>
      <c r="BN2610" s="99"/>
    </row>
    <row r="2611" spans="1:66" s="51" customFormat="1" ht="15.75" x14ac:dyDescent="0.25">
      <c r="A2611" s="634">
        <v>7</v>
      </c>
      <c r="B2611" s="635" t="s">
        <v>291</v>
      </c>
      <c r="C2611" s="636" t="s">
        <v>3279</v>
      </c>
      <c r="D2611" s="637" t="s">
        <v>311</v>
      </c>
      <c r="E2611" s="638">
        <v>73.95</v>
      </c>
      <c r="F2611" s="639" t="s">
        <v>292</v>
      </c>
      <c r="G2611" s="484">
        <v>0</v>
      </c>
      <c r="H2611" s="691" t="str">
        <f>IF(G2611=0,"",IF(F2611="Buy",IF(G2611=1,"plant","plants"),IF(F2611&gt;0.01,"warranty","Error")))</f>
        <v/>
      </c>
      <c r="I2611" s="640">
        <f>IF(H2611="free",0,IF(H2611="credit",((E2611*(F2611))*G2611*-1),IF(F2611="Buy",(E2611*G2611),((E2611*(1-F2611))*G2611))))</f>
        <v>0</v>
      </c>
      <c r="J2611" s="640">
        <f>IF(H2611="warranty",0,(I2611*(_xlfn.SINGLE(SalesTaxPercentage))))</f>
        <v>0</v>
      </c>
      <c r="K2611" s="716">
        <f t="shared" ref="K2611" si="1980">I2611+J2611</f>
        <v>0</v>
      </c>
      <c r="L2611" s="716"/>
      <c r="M2611" s="689" t="str">
        <f ca="1">IF(AND(G2611&gt;0,E2611=0),"WARNING - no PRICE inserted",IF(H2611="free","FREE ~ no charge this plant",IF(H2611="credit",CONCATENATE("-$",ROUND(K2611*(1-_xlfn.SINGLE(T2GDiscount))*-1,2)," CREDIT after discount"),IF(_xlfn.SINGLE(T2GDiscount)=0,"",IF(G2611=0,"",IF(F2611="Buy",CONCATENATE("$",ROUND(K2611*(1-_xlfn.SINGLE(T2GDiscount)),2)," with ",(_xlfn.SINGLE(T2GDiscount)*100),"% discount"),CONCATENATE("$",ROUND(K2611*(1-_xlfn.SINGLE(T2GDiscount)),2)," with ",((_xlfn.SINGLE(T2GDiscount)*100+F2611*100)-(_xlfn.SINGLE(T2GDiscount)*100*F2611)),IF(F2611&gt;0,"% discounts",IF(_xlfn.SINGLE(NoWarrantyDiscount)&gt;0,"% discounts","% discount")))))))))</f>
        <v/>
      </c>
      <c r="N2611" s="690"/>
      <c r="O2611" s="486"/>
      <c r="P2611" s="486"/>
      <c r="Q2611" s="486"/>
      <c r="R2611" s="486"/>
      <c r="S2611" s="486"/>
      <c r="T2611" s="102">
        <f t="shared" si="1938"/>
        <v>0</v>
      </c>
      <c r="U2611" s="78">
        <f>IF(NOT(ISNUMBER(G2611)), "", VLOOKUP(A2611,'Discount Lookup'!D:E,2,FALSE)*G2611)</f>
        <v>0</v>
      </c>
      <c r="V2611" s="78">
        <f>IF(NOT(ISNUMBER(G2611)), "", VLOOKUP(A2611,'Discount Lookup'!G:H,2,FALSE)*G2611)</f>
        <v>0</v>
      </c>
      <c r="W2611" s="102">
        <f t="shared" si="1939"/>
        <v>0</v>
      </c>
      <c r="X2611" s="102">
        <f t="shared" si="1940"/>
        <v>0</v>
      </c>
      <c r="Y2611" s="120" t="b">
        <f t="shared" si="1941"/>
        <v>0</v>
      </c>
      <c r="Z2611" s="117">
        <f t="shared" si="1942"/>
        <v>0</v>
      </c>
      <c r="AA2611" s="118"/>
      <c r="AB2611" s="118" t="str">
        <f t="shared" si="1943"/>
        <v/>
      </c>
      <c r="AC2611" s="712" t="str">
        <f>IF(AE2611="T2G","no charge",IF(AND(OR(PlanterYesMe="No",PlanterYesMe="N",PlanterYesMe="me"),H2611=""),"",IF(H2611="credit","NO install",IF(AND(K2611="",AE2611="me"),"EACH row",IF(AND(K2611="images",AE2611="me"),"EACH row",IF(D2611="","",IF(H2611="credit","",IF(AE2611="free","re-planting",IF(AE2611="me","   not ELP, by",IF(AND(OR(PlanterYesMe="Yes",PlanterYesMe="Y"),G2611&gt;0),(VLOOKUP(A2611,'Discount Lookup'!J:K,2)*G2611*(1-PlanterDiscount)*(1+PlanterDifficultyPercentage)),IF(AE2611="ELP",(VLOOKUP(A2611,'Discount Lookup'!J:K,2)*G2611*(1-PlanterDiscount)*(1+PlanterDifficultyPercentage)),IF(AE2611="free","re-planting",IF(G2611=0,"",IF(PlanterYesMe="",IF(AE2611="me","   not ELP, by",IF(AE2611="",IF(G2611&gt;0,(VLOOKUP(A2611,'Discount Lookup'!J:K,2)*G2611*(1-PlanterDiscount)*(1+PlanterDifficultyPercentage)),""),"")),"   not ELP, by"))))))))))))))</f>
        <v/>
      </c>
      <c r="AD2611" s="712"/>
      <c r="AE2611" s="513" t="str">
        <f t="shared" si="1944"/>
        <v/>
      </c>
      <c r="AF2611" s="713" t="str">
        <f t="shared" si="1945"/>
        <v/>
      </c>
      <c r="AG2611" s="713"/>
      <c r="AH2611" s="713"/>
      <c r="AI2611" s="112">
        <f>IF(H2611="credit",0,IF(AE2611="free",0,IF(AE2611="me",0,IF(G2611&gt;0,(VLOOKUP(A2611,'Discount Lookup'!J:K,2)*G2611),0))))</f>
        <v>0</v>
      </c>
      <c r="AJ2611" s="107" t="str">
        <f t="shared" ca="1" si="1946"/>
        <v/>
      </c>
      <c r="AK2611" s="714" t="str">
        <f t="shared" si="1947"/>
        <v/>
      </c>
      <c r="AL2611" s="714"/>
      <c r="AM2611" s="114" t="str">
        <f t="shared" si="1948"/>
        <v/>
      </c>
      <c r="AN2611" s="115"/>
      <c r="AO2611" s="116"/>
      <c r="AP2611" s="116"/>
      <c r="AQ2611" s="116"/>
      <c r="AR2611" s="116"/>
      <c r="AS2611" s="116"/>
      <c r="AT2611" s="116"/>
      <c r="AU2611" s="116"/>
      <c r="AV2611" s="78"/>
      <c r="AW2611" s="102"/>
      <c r="AX2611" s="78"/>
      <c r="AY2611" s="78"/>
      <c r="AZ2611" s="78"/>
      <c r="BA2611" s="78"/>
      <c r="BB2611" s="78"/>
      <c r="BC2611" s="78"/>
      <c r="BD2611" s="78"/>
      <c r="BE2611" s="465"/>
      <c r="BF2611" s="165" t="str">
        <f t="shared" si="1949"/>
        <v>https://www.google.com/search?tbm=isch&amp;q=7%20G5</v>
      </c>
      <c r="BG2611" s="165" t="str">
        <f t="shared" si="1950"/>
        <v>L</v>
      </c>
      <c r="BH2611" s="65"/>
      <c r="BI2611" s="65"/>
      <c r="BJ2611" s="65"/>
      <c r="BK2611" s="65"/>
      <c r="BL2611" s="99"/>
      <c r="BM2611" s="99"/>
      <c r="BN2611" s="99"/>
    </row>
    <row r="2612" spans="1:66" s="51" customFormat="1" ht="17.25" thickBot="1" x14ac:dyDescent="0.3">
      <c r="A2612" s="641" t="s">
        <v>3280</v>
      </c>
      <c r="B2612" s="642"/>
      <c r="C2612" s="710"/>
      <c r="D2612" s="643"/>
      <c r="E2612" s="643"/>
      <c r="F2612" s="644"/>
      <c r="G2612" s="645"/>
      <c r="H2612" s="646"/>
      <c r="I2612" s="647"/>
      <c r="J2612" s="648"/>
      <c r="K2612" s="649"/>
      <c r="L2612" s="650"/>
      <c r="M2612" s="650"/>
      <c r="N2612" s="644"/>
      <c r="O2612" s="644"/>
      <c r="P2612" s="644"/>
      <c r="Q2612" s="644"/>
      <c r="R2612" s="644"/>
      <c r="S2612" s="651"/>
      <c r="T2612" s="102">
        <f t="shared" si="1938"/>
        <v>0</v>
      </c>
      <c r="U2612" s="78" t="str">
        <f>IF(NOT(ISNUMBER(G2612)), "", VLOOKUP(A2612,'Discount Lookup'!D:E,2,FALSE)*G2612)</f>
        <v/>
      </c>
      <c r="V2612" s="78" t="str">
        <f>IF(NOT(ISNUMBER(G2612)), "", VLOOKUP(A2612,'Discount Lookup'!G:H,2,FALSE)*G2612)</f>
        <v/>
      </c>
      <c r="W2612" s="102">
        <f t="shared" si="1939"/>
        <v>0</v>
      </c>
      <c r="X2612" s="102">
        <f t="shared" si="1940"/>
        <v>0</v>
      </c>
      <c r="Y2612" s="120" t="b">
        <f t="shared" si="1941"/>
        <v>0</v>
      </c>
      <c r="Z2612" s="117">
        <f t="shared" si="1942"/>
        <v>0</v>
      </c>
      <c r="AA2612" s="118"/>
      <c r="AB2612" s="118" t="str">
        <f t="shared" si="1943"/>
        <v/>
      </c>
      <c r="AC2612" s="712" t="str">
        <f>IF(AE2612="T2G","no charge",IF(AND(OR(PlanterYesMe="No",PlanterYesMe="N",PlanterYesMe="me"),H2612=""),"",IF(H2612="credit","NO install",IF(AND(K2612="",AE2612="me"),"EACH row",IF(AND(K2612="images",AE2612="me"),"EACH row",IF(D2612="","",IF(H2612="credit","",IF(AE2612="free","re-planting",IF(AE2612="me","   not ELP, by",IF(AND(OR(PlanterYesMe="Yes",PlanterYesMe="Y"),G2612&gt;0),(VLOOKUP(A2612,'Discount Lookup'!J:K,2)*G2612*(1-PlanterDiscount)*(1+PlanterDifficultyPercentage)),IF(AE2612="ELP",(VLOOKUP(A2612,'Discount Lookup'!J:K,2)*G2612*(1-PlanterDiscount)*(1+PlanterDifficultyPercentage)),IF(AE2612="free","re-planting",IF(G2612=0,"",IF(PlanterYesMe="",IF(AE2612="me","   not ELP, by",IF(AE2612="",IF(G2612&gt;0,(VLOOKUP(A2612,'Discount Lookup'!J:K,2)*G2612*(1-PlanterDiscount)*(1+PlanterDifficultyPercentage)),""),"")),"   not ELP, by"))))))))))))))</f>
        <v/>
      </c>
      <c r="AD2612" s="712"/>
      <c r="AE2612" s="513" t="str">
        <f t="shared" si="1944"/>
        <v/>
      </c>
      <c r="AF2612" s="713" t="str">
        <f t="shared" si="1945"/>
        <v/>
      </c>
      <c r="AG2612" s="713"/>
      <c r="AH2612" s="713"/>
      <c r="AI2612" s="112">
        <f>IF(H2612="credit",0,IF(AE2612="free",0,IF(AE2612="me",0,IF(G2612&gt;0,(VLOOKUP(A2612,'Discount Lookup'!J:K,2)*G2612),0))))</f>
        <v>0</v>
      </c>
      <c r="AJ2612" s="107" t="str">
        <f t="shared" ca="1" si="1946"/>
        <v/>
      </c>
      <c r="AK2612" s="714" t="str">
        <f t="shared" si="1947"/>
        <v/>
      </c>
      <c r="AL2612" s="714"/>
      <c r="AM2612" s="114" t="str">
        <f t="shared" si="1948"/>
        <v/>
      </c>
      <c r="AN2612" s="115"/>
      <c r="AO2612" s="116"/>
      <c r="AP2612" s="116"/>
      <c r="AQ2612" s="116"/>
      <c r="AR2612" s="116"/>
      <c r="AS2612" s="116"/>
      <c r="AT2612" s="116"/>
      <c r="AU2612" s="116"/>
      <c r="AV2612" s="78"/>
      <c r="AW2612" s="102"/>
      <c r="AX2612" s="78"/>
      <c r="AY2612" s="78"/>
      <c r="AZ2612" s="78"/>
      <c r="BA2612" s="78"/>
      <c r="BB2612" s="78"/>
      <c r="BC2612" s="78"/>
      <c r="BD2612" s="78"/>
      <c r="BE2612" s="465"/>
      <c r="BF2612" s="165" t="str">
        <f t="shared" si="1949"/>
        <v>https://www.google.com/search?tbm=isch&amp;q=Midnight%20Magic%20has%20a%20purple-maroon%20foliage%20that%20really%20shows%20off%20the%20blooms%20</v>
      </c>
      <c r="BG2612" s="165" t="str">
        <f t="shared" si="1950"/>
        <v>M</v>
      </c>
      <c r="BH2612" s="65"/>
      <c r="BI2612" s="65"/>
      <c r="BJ2612" s="65"/>
      <c r="BK2612" s="65"/>
      <c r="BL2612" s="99"/>
      <c r="BM2612" s="99"/>
      <c r="BN2612" s="99"/>
    </row>
    <row r="2613" spans="1:66" s="51" customFormat="1" ht="18" x14ac:dyDescent="0.25">
      <c r="A2613" s="623" t="s">
        <v>3281</v>
      </c>
      <c r="B2613" s="624"/>
      <c r="C2613" s="709"/>
      <c r="D2613" s="625" t="s">
        <v>3282</v>
      </c>
      <c r="E2613" s="626"/>
      <c r="F2613" s="626"/>
      <c r="G2613" s="626"/>
      <c r="H2613" s="622" t="s">
        <v>318</v>
      </c>
      <c r="I2613" s="627" t="s">
        <v>1450</v>
      </c>
      <c r="J2613" s="628"/>
      <c r="K2613" s="628"/>
      <c r="L2613" s="629"/>
      <c r="M2613" s="700" t="s">
        <v>5241</v>
      </c>
      <c r="N2613" s="693" t="str">
        <f>IF(AND(ISTEXT($A2613), ISERROR($A2613+0)), HYPERLINK($BF2613, "Images"), "")</f>
        <v>Images</v>
      </c>
      <c r="O2613" s="695" t="s">
        <v>5247</v>
      </c>
      <c r="P2613" s="630"/>
      <c r="Q2613" s="631"/>
      <c r="R2613" s="632"/>
      <c r="S2613" s="633"/>
      <c r="T2613" s="102">
        <f t="shared" si="1938"/>
        <v>0</v>
      </c>
      <c r="U2613" s="78" t="str">
        <f>IF(NOT(ISNUMBER(G2613)), "", VLOOKUP(A2613,'Discount Lookup'!D:E,2,FALSE)*G2613)</f>
        <v/>
      </c>
      <c r="V2613" s="78" t="str">
        <f>IF(NOT(ISNUMBER(G2613)), "", VLOOKUP(A2613,'Discount Lookup'!G:H,2,FALSE)*G2613)</f>
        <v/>
      </c>
      <c r="W2613" s="102">
        <f t="shared" si="1939"/>
        <v>0</v>
      </c>
      <c r="X2613" s="102" t="str">
        <f t="shared" si="1940"/>
        <v>Purple bloom</v>
      </c>
      <c r="Y2613" s="120" t="b">
        <f t="shared" si="1941"/>
        <v>0</v>
      </c>
      <c r="Z2613" s="117">
        <f t="shared" si="1942"/>
        <v>0</v>
      </c>
      <c r="AA2613" s="118"/>
      <c r="AB2613" s="118" t="str">
        <f t="shared" si="1943"/>
        <v/>
      </c>
      <c r="AC2613" s="712" t="str">
        <f>IF(AE2613="T2G","no charge",IF(AND(OR(PlanterYesMe="No",PlanterYesMe="N",PlanterYesMe="me"),H2613=""),"",IF(H2613="credit","NO install",IF(AND(K2613="",AE2613="me"),"EACH row",IF(AND(K2613="images",AE2613="me"),"EACH row",IF(D2613="","",IF(H2613="credit","",IF(AE2613="free","re-planting",IF(AE2613="me","   not ELP, by",IF(AND(OR(PlanterYesMe="Yes",PlanterYesMe="Y"),G2613&gt;0),(VLOOKUP(A2613,'Discount Lookup'!J:K,2)*G2613*(1-PlanterDiscount)*(1+PlanterDifficultyPercentage)),IF(AE2613="ELP",(VLOOKUP(A2613,'Discount Lookup'!J:K,2)*G2613*(1-PlanterDiscount)*(1+PlanterDifficultyPercentage)),IF(AE2613="free","re-planting",IF(G2613=0,"",IF(PlanterYesMe="",IF(AE2613="me","   not ELP, by",IF(AE2613="",IF(G2613&gt;0,(VLOOKUP(A2613,'Discount Lookup'!J:K,2)*G2613*(1-PlanterDiscount)*(1+PlanterDifficultyPercentage)),""),"")),"   not ELP, by"))))))))))))))</f>
        <v/>
      </c>
      <c r="AD2613" s="712"/>
      <c r="AE2613" s="513" t="str">
        <f t="shared" si="1944"/>
        <v/>
      </c>
      <c r="AF2613" s="713" t="str">
        <f t="shared" si="1945"/>
        <v/>
      </c>
      <c r="AG2613" s="713"/>
      <c r="AH2613" s="713"/>
      <c r="AI2613" s="112">
        <f>IF(H2613="credit",0,IF(AE2613="free",0,IF(AE2613="me",0,IF(G2613&gt;0,(VLOOKUP(A2613,'Discount Lookup'!J:K,2)*G2613),0))))</f>
        <v>0</v>
      </c>
      <c r="AJ2613" s="107" t="str">
        <f t="shared" ca="1" si="1946"/>
        <v/>
      </c>
      <c r="AK2613" s="714" t="str">
        <f t="shared" si="1947"/>
        <v/>
      </c>
      <c r="AL2613" s="714"/>
      <c r="AM2613" s="114" t="str">
        <f t="shared" si="1948"/>
        <v/>
      </c>
      <c r="AN2613" s="115"/>
      <c r="AO2613" s="116"/>
      <c r="AP2613" s="116"/>
      <c r="AQ2613" s="116"/>
      <c r="AR2613" s="116"/>
      <c r="AS2613" s="116"/>
      <c r="AT2613" s="116"/>
      <c r="AU2613" s="116"/>
      <c r="AV2613" s="78"/>
      <c r="AW2613" s="102"/>
      <c r="AX2613" s="78"/>
      <c r="AY2613" s="78"/>
      <c r="AZ2613" s="78"/>
      <c r="BA2613" s="78"/>
      <c r="BB2613" s="78"/>
      <c r="BC2613" s="78"/>
      <c r="BD2613" s="78"/>
      <c r="BE2613" s="465"/>
      <c r="BF2613" s="165" t="str">
        <f t="shared" si="1949"/>
        <v>https://www.google.com/search?tbm=isch&amp;q=Lagerstroemia%20%27Purple%20Magic%27%20PP%2328906%20Purple%20Magic%20Crape%20Myrtle</v>
      </c>
      <c r="BG2613" s="165" t="str">
        <f t="shared" si="1950"/>
        <v>L</v>
      </c>
      <c r="BH2613" s="65"/>
      <c r="BI2613" s="65"/>
      <c r="BJ2613" s="65"/>
      <c r="BK2613" s="65"/>
      <c r="BL2613" s="99"/>
      <c r="BM2613" s="99"/>
      <c r="BN2613" s="99"/>
    </row>
    <row r="2614" spans="1:66" s="51" customFormat="1" ht="15.75" x14ac:dyDescent="0.25">
      <c r="A2614" s="634">
        <v>3</v>
      </c>
      <c r="B2614" s="635" t="s">
        <v>291</v>
      </c>
      <c r="C2614" s="636" t="s">
        <v>3283</v>
      </c>
      <c r="D2614" s="637" t="s">
        <v>311</v>
      </c>
      <c r="E2614" s="638">
        <v>36.950000000000003</v>
      </c>
      <c r="F2614" s="639" t="s">
        <v>292</v>
      </c>
      <c r="G2614" s="484">
        <v>0</v>
      </c>
      <c r="H2614" s="691" t="str">
        <f>IF(G2614=0,"",IF(F2614="Buy",IF(G2614=1,"plant","plants"),IF(F2614&gt;0.01,"warranty","Error")))</f>
        <v/>
      </c>
      <c r="I2614" s="640">
        <f>IF(H2614="free",0,IF(H2614="credit",((E2614*(F2614))*G2614*-1),IF(F2614="Buy",(E2614*G2614),((E2614*(1-F2614))*G2614))))</f>
        <v>0</v>
      </c>
      <c r="J2614" s="640">
        <f>IF(H2614="warranty",0,(I2614*(_xlfn.SINGLE(SalesTaxPercentage))))</f>
        <v>0</v>
      </c>
      <c r="K2614" s="716">
        <f t="shared" ref="K2614" si="1981">I2614+J2614</f>
        <v>0</v>
      </c>
      <c r="L2614" s="716"/>
      <c r="M2614" s="689" t="str">
        <f ca="1">IF(AND(G2614&gt;0,E2614=0),"WARNING - no PRICE inserted",IF(H2614="free","FREE ~ no charge this plant",IF(H2614="credit",CONCATENATE("-$",ROUND(K2614*(1-_xlfn.SINGLE(T2GDiscount))*-1,2)," CREDIT after discount"),IF(_xlfn.SINGLE(T2GDiscount)=0,"",IF(G2614=0,"",IF(F2614="Buy",CONCATENATE("$",ROUND(K2614*(1-_xlfn.SINGLE(T2GDiscount)),2)," with ",(_xlfn.SINGLE(T2GDiscount)*100),"% discount"),CONCATENATE("$",ROUND(K2614*(1-_xlfn.SINGLE(T2GDiscount)),2)," with ",((_xlfn.SINGLE(T2GDiscount)*100+F2614*100)-(_xlfn.SINGLE(T2GDiscount)*100*F2614)),IF(F2614&gt;0,"% discounts",IF(_xlfn.SINGLE(NoWarrantyDiscount)&gt;0,"% discounts","% discount")))))))))</f>
        <v/>
      </c>
      <c r="N2614" s="690"/>
      <c r="O2614" s="486"/>
      <c r="P2614" s="486"/>
      <c r="Q2614" s="486"/>
      <c r="R2614" s="486"/>
      <c r="S2614" s="486"/>
      <c r="T2614" s="102">
        <f t="shared" si="1938"/>
        <v>0</v>
      </c>
      <c r="U2614" s="78">
        <f>IF(NOT(ISNUMBER(G2614)), "", VLOOKUP(A2614,'Discount Lookup'!D:E,2,FALSE)*G2614)</f>
        <v>0</v>
      </c>
      <c r="V2614" s="78">
        <f>IF(NOT(ISNUMBER(G2614)), "", VLOOKUP(A2614,'Discount Lookup'!G:H,2,FALSE)*G2614)</f>
        <v>0</v>
      </c>
      <c r="W2614" s="102">
        <f t="shared" si="1939"/>
        <v>0</v>
      </c>
      <c r="X2614" s="102">
        <f t="shared" si="1940"/>
        <v>0</v>
      </c>
      <c r="Y2614" s="120" t="b">
        <f t="shared" si="1941"/>
        <v>0</v>
      </c>
      <c r="Z2614" s="117">
        <f t="shared" si="1942"/>
        <v>0</v>
      </c>
      <c r="AA2614" s="118"/>
      <c r="AB2614" s="118" t="str">
        <f t="shared" si="1943"/>
        <v/>
      </c>
      <c r="AC2614" s="712" t="str">
        <f>IF(AE2614="T2G","no charge",IF(AND(OR(PlanterYesMe="No",PlanterYesMe="N",PlanterYesMe="me"),H2614=""),"",IF(H2614="credit","NO install",IF(AND(K2614="",AE2614="me"),"EACH row",IF(AND(K2614="images",AE2614="me"),"EACH row",IF(D2614="","",IF(H2614="credit","",IF(AE2614="free","re-planting",IF(AE2614="me","   not ELP, by",IF(AND(OR(PlanterYesMe="Yes",PlanterYesMe="Y"),G2614&gt;0),(VLOOKUP(A2614,'Discount Lookup'!J:K,2)*G2614*(1-PlanterDiscount)*(1+PlanterDifficultyPercentage)),IF(AE2614="ELP",(VLOOKUP(A2614,'Discount Lookup'!J:K,2)*G2614*(1-PlanterDiscount)*(1+PlanterDifficultyPercentage)),IF(AE2614="free","re-planting",IF(G2614=0,"",IF(PlanterYesMe="",IF(AE2614="me","   not ELP, by",IF(AE2614="",IF(G2614&gt;0,(VLOOKUP(A2614,'Discount Lookup'!J:K,2)*G2614*(1-PlanterDiscount)*(1+PlanterDifficultyPercentage)),""),"")),"   not ELP, by"))))))))))))))</f>
        <v/>
      </c>
      <c r="AD2614" s="712"/>
      <c r="AE2614" s="513" t="str">
        <f t="shared" si="1944"/>
        <v/>
      </c>
      <c r="AF2614" s="713" t="str">
        <f t="shared" si="1945"/>
        <v/>
      </c>
      <c r="AG2614" s="713"/>
      <c r="AH2614" s="713"/>
      <c r="AI2614" s="112">
        <f>IF(H2614="credit",0,IF(AE2614="free",0,IF(AE2614="me",0,IF(G2614&gt;0,(VLOOKUP(A2614,'Discount Lookup'!J:K,2)*G2614),0))))</f>
        <v>0</v>
      </c>
      <c r="AJ2614" s="107" t="str">
        <f t="shared" ca="1" si="1946"/>
        <v/>
      </c>
      <c r="AK2614" s="714" t="str">
        <f t="shared" si="1947"/>
        <v/>
      </c>
      <c r="AL2614" s="714"/>
      <c r="AM2614" s="114" t="str">
        <f t="shared" si="1948"/>
        <v/>
      </c>
      <c r="AN2614" s="115"/>
      <c r="AO2614" s="116"/>
      <c r="AP2614" s="116"/>
      <c r="AQ2614" s="116"/>
      <c r="AR2614" s="116"/>
      <c r="AS2614" s="116"/>
      <c r="AT2614" s="116"/>
      <c r="AU2614" s="116"/>
      <c r="AV2614" s="78"/>
      <c r="AW2614" s="102"/>
      <c r="AX2614" s="78"/>
      <c r="AY2614" s="78"/>
      <c r="AZ2614" s="78"/>
      <c r="BA2614" s="78"/>
      <c r="BB2614" s="78"/>
      <c r="BC2614" s="78"/>
      <c r="BD2614" s="78"/>
      <c r="BE2614" s="465"/>
      <c r="BF2614" s="165" t="str">
        <f t="shared" si="1949"/>
        <v>https://www.google.com/search?tbm=isch&amp;q=3%20G5</v>
      </c>
      <c r="BG2614" s="165" t="str">
        <f t="shared" si="1950"/>
        <v>L</v>
      </c>
      <c r="BH2614" s="65"/>
      <c r="BI2614" s="65"/>
      <c r="BJ2614" s="65"/>
      <c r="BK2614" s="65"/>
      <c r="BL2614" s="99"/>
      <c r="BM2614" s="99"/>
      <c r="BN2614" s="99"/>
    </row>
    <row r="2615" spans="1:66" s="51" customFormat="1" ht="15.75" x14ac:dyDescent="0.25">
      <c r="A2615" s="634">
        <v>7</v>
      </c>
      <c r="B2615" s="635" t="s">
        <v>291</v>
      </c>
      <c r="C2615" s="636" t="s">
        <v>3279</v>
      </c>
      <c r="D2615" s="637" t="s">
        <v>311</v>
      </c>
      <c r="E2615" s="638">
        <v>73.95</v>
      </c>
      <c r="F2615" s="639" t="s">
        <v>292</v>
      </c>
      <c r="G2615" s="484">
        <v>0</v>
      </c>
      <c r="H2615" s="691" t="str">
        <f>IF(G2615=0,"",IF(F2615="Buy",IF(G2615=1,"plant","plants"),IF(F2615&gt;0.01,"warranty","Error")))</f>
        <v/>
      </c>
      <c r="I2615" s="640">
        <f>IF(H2615="free",0,IF(H2615="credit",((E2615*(F2615))*G2615*-1),IF(F2615="Buy",(E2615*G2615),((E2615*(1-F2615))*G2615))))</f>
        <v>0</v>
      </c>
      <c r="J2615" s="640">
        <f>IF(H2615="warranty",0,(I2615*(_xlfn.SINGLE(SalesTaxPercentage))))</f>
        <v>0</v>
      </c>
      <c r="K2615" s="716">
        <f t="shared" ref="K2615" si="1982">I2615+J2615</f>
        <v>0</v>
      </c>
      <c r="L2615" s="716"/>
      <c r="M2615" s="689" t="str">
        <f ca="1">IF(AND(G2615&gt;0,E2615=0),"WARNING - no PRICE inserted",IF(H2615="free","FREE ~ no charge this plant",IF(H2615="credit",CONCATENATE("-$",ROUND(K2615*(1-_xlfn.SINGLE(T2GDiscount))*-1,2)," CREDIT after discount"),IF(_xlfn.SINGLE(T2GDiscount)=0,"",IF(G2615=0,"",IF(F2615="Buy",CONCATENATE("$",ROUND(K2615*(1-_xlfn.SINGLE(T2GDiscount)),2)," with ",(_xlfn.SINGLE(T2GDiscount)*100),"% discount"),CONCATENATE("$",ROUND(K2615*(1-_xlfn.SINGLE(T2GDiscount)),2)," with ",((_xlfn.SINGLE(T2GDiscount)*100+F2615*100)-(_xlfn.SINGLE(T2GDiscount)*100*F2615)),IF(F2615&gt;0,"% discounts",IF(_xlfn.SINGLE(NoWarrantyDiscount)&gt;0,"% discounts","% discount")))))))))</f>
        <v/>
      </c>
      <c r="N2615" s="690"/>
      <c r="O2615" s="486"/>
      <c r="P2615" s="486"/>
      <c r="Q2615" s="486"/>
      <c r="R2615" s="486"/>
      <c r="S2615" s="486"/>
      <c r="T2615" s="102">
        <f t="shared" si="1938"/>
        <v>0</v>
      </c>
      <c r="U2615" s="78">
        <f>IF(NOT(ISNUMBER(G2615)), "", VLOOKUP(A2615,'Discount Lookup'!D:E,2,FALSE)*G2615)</f>
        <v>0</v>
      </c>
      <c r="V2615" s="78">
        <f>IF(NOT(ISNUMBER(G2615)), "", VLOOKUP(A2615,'Discount Lookup'!G:H,2,FALSE)*G2615)</f>
        <v>0</v>
      </c>
      <c r="W2615" s="102">
        <f t="shared" si="1939"/>
        <v>0</v>
      </c>
      <c r="X2615" s="102">
        <f t="shared" si="1940"/>
        <v>0</v>
      </c>
      <c r="Y2615" s="120" t="b">
        <f t="shared" si="1941"/>
        <v>0</v>
      </c>
      <c r="Z2615" s="117">
        <f t="shared" si="1942"/>
        <v>0</v>
      </c>
      <c r="AA2615" s="118"/>
      <c r="AB2615" s="118" t="str">
        <f t="shared" si="1943"/>
        <v/>
      </c>
      <c r="AC2615" s="712" t="str">
        <f>IF(AE2615="T2G","no charge",IF(AND(OR(PlanterYesMe="No",PlanterYesMe="N",PlanterYesMe="me"),H2615=""),"",IF(H2615="credit","NO install",IF(AND(K2615="",AE2615="me"),"EACH row",IF(AND(K2615="images",AE2615="me"),"EACH row",IF(D2615="","",IF(H2615="credit","",IF(AE2615="free","re-planting",IF(AE2615="me","   not ELP, by",IF(AND(OR(PlanterYesMe="Yes",PlanterYesMe="Y"),G2615&gt;0),(VLOOKUP(A2615,'Discount Lookup'!J:K,2)*G2615*(1-PlanterDiscount)*(1+PlanterDifficultyPercentage)),IF(AE2615="ELP",(VLOOKUP(A2615,'Discount Lookup'!J:K,2)*G2615*(1-PlanterDiscount)*(1+PlanterDifficultyPercentage)),IF(AE2615="free","re-planting",IF(G2615=0,"",IF(PlanterYesMe="",IF(AE2615="me","   not ELP, by",IF(AE2615="",IF(G2615&gt;0,(VLOOKUP(A2615,'Discount Lookup'!J:K,2)*G2615*(1-PlanterDiscount)*(1+PlanterDifficultyPercentage)),""),"")),"   not ELP, by"))))))))))))))</f>
        <v/>
      </c>
      <c r="AD2615" s="712"/>
      <c r="AE2615" s="513" t="str">
        <f t="shared" si="1944"/>
        <v/>
      </c>
      <c r="AF2615" s="713" t="str">
        <f t="shared" si="1945"/>
        <v/>
      </c>
      <c r="AG2615" s="713"/>
      <c r="AH2615" s="713"/>
      <c r="AI2615" s="112">
        <f>IF(H2615="credit",0,IF(AE2615="free",0,IF(AE2615="me",0,IF(G2615&gt;0,(VLOOKUP(A2615,'Discount Lookup'!J:K,2)*G2615),0))))</f>
        <v>0</v>
      </c>
      <c r="AJ2615" s="107" t="str">
        <f t="shared" ca="1" si="1946"/>
        <v/>
      </c>
      <c r="AK2615" s="714" t="str">
        <f t="shared" si="1947"/>
        <v/>
      </c>
      <c r="AL2615" s="714"/>
      <c r="AM2615" s="114" t="str">
        <f t="shared" si="1948"/>
        <v/>
      </c>
      <c r="AN2615" s="115"/>
      <c r="AO2615" s="116"/>
      <c r="AP2615" s="116"/>
      <c r="AQ2615" s="116"/>
      <c r="AR2615" s="116"/>
      <c r="AS2615" s="116"/>
      <c r="AT2615" s="116"/>
      <c r="AU2615" s="116"/>
      <c r="AV2615" s="78"/>
      <c r="AW2615" s="102"/>
      <c r="AX2615" s="78"/>
      <c r="AY2615" s="78"/>
      <c r="AZ2615" s="78"/>
      <c r="BA2615" s="78"/>
      <c r="BB2615" s="78"/>
      <c r="BC2615" s="78"/>
      <c r="BD2615" s="78"/>
      <c r="BE2615" s="465"/>
      <c r="BF2615" s="165" t="str">
        <f t="shared" si="1949"/>
        <v>https://www.google.com/search?tbm=isch&amp;q=7%20G5</v>
      </c>
      <c r="BG2615" s="165" t="str">
        <f t="shared" si="1950"/>
        <v>L</v>
      </c>
      <c r="BH2615" s="65"/>
      <c r="BI2615" s="65"/>
      <c r="BJ2615" s="65"/>
      <c r="BK2615" s="65"/>
      <c r="BL2615" s="99"/>
      <c r="BM2615" s="99"/>
      <c r="BN2615" s="99"/>
    </row>
    <row r="2616" spans="1:66" s="51" customFormat="1" ht="17.25" thickBot="1" x14ac:dyDescent="0.3">
      <c r="A2616" s="641" t="s">
        <v>3284</v>
      </c>
      <c r="B2616" s="642"/>
      <c r="C2616" s="710"/>
      <c r="D2616" s="643"/>
      <c r="E2616" s="643"/>
      <c r="F2616" s="644"/>
      <c r="G2616" s="645"/>
      <c r="H2616" s="646"/>
      <c r="I2616" s="647"/>
      <c r="J2616" s="648"/>
      <c r="K2616" s="649"/>
      <c r="L2616" s="650"/>
      <c r="M2616" s="650"/>
      <c r="N2616" s="644"/>
      <c r="O2616" s="644"/>
      <c r="P2616" s="644"/>
      <c r="Q2616" s="644"/>
      <c r="R2616" s="644"/>
      <c r="S2616" s="651"/>
      <c r="T2616" s="102">
        <f t="shared" si="1938"/>
        <v>0</v>
      </c>
      <c r="U2616" s="78" t="str">
        <f>IF(NOT(ISNUMBER(G2616)), "", VLOOKUP(A2616,'Discount Lookup'!D:E,2,FALSE)*G2616)</f>
        <v/>
      </c>
      <c r="V2616" s="78" t="str">
        <f>IF(NOT(ISNUMBER(G2616)), "", VLOOKUP(A2616,'Discount Lookup'!G:H,2,FALSE)*G2616)</f>
        <v/>
      </c>
      <c r="W2616" s="102">
        <f t="shared" si="1939"/>
        <v>0</v>
      </c>
      <c r="X2616" s="102">
        <f t="shared" si="1940"/>
        <v>0</v>
      </c>
      <c r="Y2616" s="120" t="b">
        <f t="shared" si="1941"/>
        <v>0</v>
      </c>
      <c r="Z2616" s="117">
        <f t="shared" si="1942"/>
        <v>0</v>
      </c>
      <c r="AA2616" s="118"/>
      <c r="AB2616" s="118" t="str">
        <f t="shared" si="1943"/>
        <v/>
      </c>
      <c r="AC2616" s="712" t="str">
        <f>IF(AE2616="T2G","no charge",IF(AND(OR(PlanterYesMe="No",PlanterYesMe="N",PlanterYesMe="me"),H2616=""),"",IF(H2616="credit","NO install",IF(AND(K2616="",AE2616="me"),"EACH row",IF(AND(K2616="images",AE2616="me"),"EACH row",IF(D2616="","",IF(H2616="credit","",IF(AE2616="free","re-planting",IF(AE2616="me","   not ELP, by",IF(AND(OR(PlanterYesMe="Yes",PlanterYesMe="Y"),G2616&gt;0),(VLOOKUP(A2616,'Discount Lookup'!J:K,2)*G2616*(1-PlanterDiscount)*(1+PlanterDifficultyPercentage)),IF(AE2616="ELP",(VLOOKUP(A2616,'Discount Lookup'!J:K,2)*G2616*(1-PlanterDiscount)*(1+PlanterDifficultyPercentage)),IF(AE2616="free","re-planting",IF(G2616=0,"",IF(PlanterYesMe="",IF(AE2616="me","   not ELP, by",IF(AE2616="",IF(G2616&gt;0,(VLOOKUP(A2616,'Discount Lookup'!J:K,2)*G2616*(1-PlanterDiscount)*(1+PlanterDifficultyPercentage)),""),"")),"   not ELP, by"))))))))))))))</f>
        <v/>
      </c>
      <c r="AD2616" s="712"/>
      <c r="AE2616" s="513" t="str">
        <f t="shared" si="1944"/>
        <v/>
      </c>
      <c r="AF2616" s="713" t="str">
        <f t="shared" si="1945"/>
        <v/>
      </c>
      <c r="AG2616" s="713"/>
      <c r="AH2616" s="713"/>
      <c r="AI2616" s="112">
        <f>IF(H2616="credit",0,IF(AE2616="free",0,IF(AE2616="me",0,IF(G2616&gt;0,(VLOOKUP(A2616,'Discount Lookup'!J:K,2)*G2616),0))))</f>
        <v>0</v>
      </c>
      <c r="AJ2616" s="107" t="str">
        <f t="shared" ca="1" si="1946"/>
        <v/>
      </c>
      <c r="AK2616" s="714" t="str">
        <f t="shared" si="1947"/>
        <v/>
      </c>
      <c r="AL2616" s="714"/>
      <c r="AM2616" s="114" t="str">
        <f t="shared" si="1948"/>
        <v/>
      </c>
      <c r="AN2616" s="115"/>
      <c r="AO2616" s="116"/>
      <c r="AP2616" s="116"/>
      <c r="AQ2616" s="116"/>
      <c r="AR2616" s="116"/>
      <c r="AS2616" s="116"/>
      <c r="AT2616" s="116"/>
      <c r="AU2616" s="116"/>
      <c r="AV2616" s="78"/>
      <c r="AW2616" s="102"/>
      <c r="AX2616" s="78"/>
      <c r="AY2616" s="78"/>
      <c r="AZ2616" s="78"/>
      <c r="BA2616" s="78"/>
      <c r="BB2616" s="78"/>
      <c r="BC2616" s="78"/>
      <c r="BD2616" s="78"/>
      <c r="BE2616" s="465"/>
      <c r="BF2616" s="165" t="str">
        <f t="shared" si="1949"/>
        <v>https://www.google.com/search?tbm=isch&amp;q=Purple%20Magic%20foliage%20is%20a%20glossy%20red%2Fgreen%2C%20turning%20orange%2Fred%20in%20fall.%20Tan%20bark%20exfoliates%20</v>
      </c>
      <c r="BG2616" s="165" t="str">
        <f t="shared" si="1950"/>
        <v>P</v>
      </c>
      <c r="BH2616" s="65"/>
      <c r="BI2616" s="65"/>
      <c r="BJ2616" s="65"/>
      <c r="BK2616" s="65"/>
      <c r="BL2616" s="99"/>
      <c r="BM2616" s="99"/>
      <c r="BN2616" s="99"/>
    </row>
    <row r="2617" spans="1:66" s="51" customFormat="1" ht="18" x14ac:dyDescent="0.25">
      <c r="A2617" s="623" t="s">
        <v>3285</v>
      </c>
      <c r="B2617" s="624"/>
      <c r="C2617" s="709"/>
      <c r="D2617" s="625" t="s">
        <v>3286</v>
      </c>
      <c r="E2617" s="626"/>
      <c r="F2617" s="626"/>
      <c r="G2617" s="626"/>
      <c r="H2617" s="622" t="s">
        <v>1158</v>
      </c>
      <c r="I2617" s="627" t="s">
        <v>349</v>
      </c>
      <c r="J2617" s="628"/>
      <c r="K2617" s="628"/>
      <c r="L2617" s="629"/>
      <c r="M2617" s="700" t="s">
        <v>5241</v>
      </c>
      <c r="N2617" s="693" t="str">
        <f>IF(AND(ISTEXT($A2617), ISERROR($A2617+0)), HYPERLINK($BF2617, "Images"), "")</f>
        <v>Images</v>
      </c>
      <c r="O2617" s="695" t="s">
        <v>5247</v>
      </c>
      <c r="P2617" s="630"/>
      <c r="Q2617" s="631"/>
      <c r="R2617" s="632"/>
      <c r="S2617" s="633"/>
      <c r="T2617" s="102">
        <f t="shared" si="1938"/>
        <v>0</v>
      </c>
      <c r="U2617" s="78" t="str">
        <f>IF(NOT(ISNUMBER(G2617)), "", VLOOKUP(A2617,'Discount Lookup'!D:E,2,FALSE)*G2617)</f>
        <v/>
      </c>
      <c r="V2617" s="78" t="str">
        <f>IF(NOT(ISNUMBER(G2617)), "", VLOOKUP(A2617,'Discount Lookup'!G:H,2,FALSE)*G2617)</f>
        <v/>
      </c>
      <c r="W2617" s="102">
        <f t="shared" si="1939"/>
        <v>0</v>
      </c>
      <c r="X2617" s="102" t="str">
        <f t="shared" si="1940"/>
        <v>White bloom</v>
      </c>
      <c r="Y2617" s="120" t="b">
        <f t="shared" si="1941"/>
        <v>0</v>
      </c>
      <c r="Z2617" s="117">
        <f t="shared" si="1942"/>
        <v>0</v>
      </c>
      <c r="AA2617" s="118"/>
      <c r="AB2617" s="118" t="str">
        <f t="shared" si="1943"/>
        <v/>
      </c>
      <c r="AC2617" s="712" t="str">
        <f>IF(AE2617="T2G","no charge",IF(AND(OR(PlanterYesMe="No",PlanterYesMe="N",PlanterYesMe="me"),H2617=""),"",IF(H2617="credit","NO install",IF(AND(K2617="",AE2617="me"),"EACH row",IF(AND(K2617="images",AE2617="me"),"EACH row",IF(D2617="","",IF(H2617="credit","",IF(AE2617="free","re-planting",IF(AE2617="me","   not ELP, by",IF(AND(OR(PlanterYesMe="Yes",PlanterYesMe="Y"),G2617&gt;0),(VLOOKUP(A2617,'Discount Lookup'!J:K,2)*G2617*(1-PlanterDiscount)*(1+PlanterDifficultyPercentage)),IF(AE2617="ELP",(VLOOKUP(A2617,'Discount Lookup'!J:K,2)*G2617*(1-PlanterDiscount)*(1+PlanterDifficultyPercentage)),IF(AE2617="free","re-planting",IF(G2617=0,"",IF(PlanterYesMe="",IF(AE2617="me","   not ELP, by",IF(AE2617="",IF(G2617&gt;0,(VLOOKUP(A2617,'Discount Lookup'!J:K,2)*G2617*(1-PlanterDiscount)*(1+PlanterDifficultyPercentage)),""),"")),"   not ELP, by"))))))))))))))</f>
        <v/>
      </c>
      <c r="AD2617" s="712"/>
      <c r="AE2617" s="513" t="str">
        <f t="shared" si="1944"/>
        <v/>
      </c>
      <c r="AF2617" s="713" t="str">
        <f t="shared" si="1945"/>
        <v/>
      </c>
      <c r="AG2617" s="713"/>
      <c r="AH2617" s="713"/>
      <c r="AI2617" s="112">
        <f>IF(H2617="credit",0,IF(AE2617="free",0,IF(AE2617="me",0,IF(G2617&gt;0,(VLOOKUP(A2617,'Discount Lookup'!J:K,2)*G2617),0))))</f>
        <v>0</v>
      </c>
      <c r="AJ2617" s="107" t="str">
        <f t="shared" ca="1" si="1946"/>
        <v/>
      </c>
      <c r="AK2617" s="714" t="str">
        <f t="shared" si="1947"/>
        <v/>
      </c>
      <c r="AL2617" s="714"/>
      <c r="AM2617" s="114" t="str">
        <f t="shared" si="1948"/>
        <v/>
      </c>
      <c r="AN2617" s="115"/>
      <c r="AO2617" s="116"/>
      <c r="AP2617" s="116"/>
      <c r="AQ2617" s="116"/>
      <c r="AR2617" s="116"/>
      <c r="AS2617" s="116"/>
      <c r="AT2617" s="116"/>
      <c r="AU2617" s="116"/>
      <c r="AV2617" s="78"/>
      <c r="AW2617" s="102"/>
      <c r="AX2617" s="78"/>
      <c r="AY2617" s="78"/>
      <c r="AZ2617" s="78"/>
      <c r="BA2617" s="78"/>
      <c r="BB2617" s="78"/>
      <c r="BC2617" s="78"/>
      <c r="BD2617" s="78"/>
      <c r="BE2617" s="465"/>
      <c r="BF2617" s="165" t="str">
        <f t="shared" si="1949"/>
        <v>https://www.google.com/search?tbm=isch&amp;q=Lagerstroemia%20%27Sarah%27s%20Favorite%27%20Sarah%27s%20Favorite%27%20Crape%20Myrtle</v>
      </c>
      <c r="BG2617" s="165" t="str">
        <f t="shared" si="1950"/>
        <v>L</v>
      </c>
      <c r="BH2617" s="65"/>
      <c r="BI2617" s="65"/>
      <c r="BJ2617" s="65"/>
      <c r="BK2617" s="65"/>
      <c r="BL2617" s="99"/>
      <c r="BM2617" s="99"/>
      <c r="BN2617" s="99"/>
    </row>
    <row r="2618" spans="1:66" s="51" customFormat="1" ht="15.75" x14ac:dyDescent="0.25">
      <c r="A2618" s="634">
        <v>7</v>
      </c>
      <c r="B2618" s="635" t="s">
        <v>291</v>
      </c>
      <c r="C2618" s="636" t="s">
        <v>3287</v>
      </c>
      <c r="D2618" s="637" t="s">
        <v>299</v>
      </c>
      <c r="E2618" s="638">
        <v>91.95</v>
      </c>
      <c r="F2618" s="639" t="s">
        <v>292</v>
      </c>
      <c r="G2618" s="484">
        <v>0</v>
      </c>
      <c r="H2618" s="691" t="str">
        <f>IF(G2618=0,"",IF(F2618="Buy",IF(G2618=1,"plant","plants"),IF(F2618&gt;0.01,"warranty","Error")))</f>
        <v/>
      </c>
      <c r="I2618" s="640">
        <f>IF(H2618="free",0,IF(H2618="credit",((E2618*(F2618))*G2618*-1),IF(F2618="Buy",(E2618*G2618),((E2618*(1-F2618))*G2618))))</f>
        <v>0</v>
      </c>
      <c r="J2618" s="640">
        <f>IF(H2618="warranty",0,(I2618*(_xlfn.SINGLE(SalesTaxPercentage))))</f>
        <v>0</v>
      </c>
      <c r="K2618" s="716">
        <f t="shared" ref="K2618" si="1983">I2618+J2618</f>
        <v>0</v>
      </c>
      <c r="L2618" s="716"/>
      <c r="M2618" s="689" t="str">
        <f ca="1">IF(AND(G2618&gt;0,E2618=0),"WARNING - no PRICE inserted",IF(H2618="free","FREE ~ no charge this plant",IF(H2618="credit",CONCATENATE("-$",ROUND(K2618*(1-_xlfn.SINGLE(T2GDiscount))*-1,2)," CREDIT after discount"),IF(_xlfn.SINGLE(T2GDiscount)=0,"",IF(G2618=0,"",IF(F2618="Buy",CONCATENATE("$",ROUND(K2618*(1-_xlfn.SINGLE(T2GDiscount)),2)," with ",(_xlfn.SINGLE(T2GDiscount)*100),"% discount"),CONCATENATE("$",ROUND(K2618*(1-_xlfn.SINGLE(T2GDiscount)),2)," with ",((_xlfn.SINGLE(T2GDiscount)*100+F2618*100)-(_xlfn.SINGLE(T2GDiscount)*100*F2618)),IF(F2618&gt;0,"% discounts",IF(_xlfn.SINGLE(NoWarrantyDiscount)&gt;0,"% discounts","% discount")))))))))</f>
        <v/>
      </c>
      <c r="N2618" s="690"/>
      <c r="O2618" s="486"/>
      <c r="P2618" s="486"/>
      <c r="Q2618" s="486"/>
      <c r="R2618" s="486"/>
      <c r="S2618" s="486"/>
      <c r="T2618" s="102">
        <f t="shared" si="1938"/>
        <v>0</v>
      </c>
      <c r="U2618" s="78">
        <f>IF(NOT(ISNUMBER(G2618)), "", VLOOKUP(A2618,'Discount Lookup'!D:E,2,FALSE)*G2618)</f>
        <v>0</v>
      </c>
      <c r="V2618" s="78">
        <f>IF(NOT(ISNUMBER(G2618)), "", VLOOKUP(A2618,'Discount Lookup'!G:H,2,FALSE)*G2618)</f>
        <v>0</v>
      </c>
      <c r="W2618" s="102">
        <f t="shared" si="1939"/>
        <v>0</v>
      </c>
      <c r="X2618" s="102">
        <f t="shared" si="1940"/>
        <v>0</v>
      </c>
      <c r="Y2618" s="120" t="b">
        <f t="shared" si="1941"/>
        <v>0</v>
      </c>
      <c r="Z2618" s="117">
        <f t="shared" si="1942"/>
        <v>0</v>
      </c>
      <c r="AA2618" s="118"/>
      <c r="AB2618" s="118" t="str">
        <f t="shared" si="1943"/>
        <v/>
      </c>
      <c r="AC2618" s="712" t="str">
        <f>IF(AE2618="T2G","no charge",IF(AND(OR(PlanterYesMe="No",PlanterYesMe="N",PlanterYesMe="me"),H2618=""),"",IF(H2618="credit","NO install",IF(AND(K2618="",AE2618="me"),"EACH row",IF(AND(K2618="images",AE2618="me"),"EACH row",IF(D2618="","",IF(H2618="credit","",IF(AE2618="free","re-planting",IF(AE2618="me","   not ELP, by",IF(AND(OR(PlanterYesMe="Yes",PlanterYesMe="Y"),G2618&gt;0),(VLOOKUP(A2618,'Discount Lookup'!J:K,2)*G2618*(1-PlanterDiscount)*(1+PlanterDifficultyPercentage)),IF(AE2618="ELP",(VLOOKUP(A2618,'Discount Lookup'!J:K,2)*G2618*(1-PlanterDiscount)*(1+PlanterDifficultyPercentage)),IF(AE2618="free","re-planting",IF(G2618=0,"",IF(PlanterYesMe="",IF(AE2618="me","   not ELP, by",IF(AE2618="",IF(G2618&gt;0,(VLOOKUP(A2618,'Discount Lookup'!J:K,2)*G2618*(1-PlanterDiscount)*(1+PlanterDifficultyPercentage)),""),"")),"   not ELP, by"))))))))))))))</f>
        <v/>
      </c>
      <c r="AD2618" s="712"/>
      <c r="AE2618" s="513" t="str">
        <f t="shared" si="1944"/>
        <v/>
      </c>
      <c r="AF2618" s="713" t="str">
        <f t="shared" si="1945"/>
        <v/>
      </c>
      <c r="AG2618" s="713"/>
      <c r="AH2618" s="713"/>
      <c r="AI2618" s="112">
        <f>IF(H2618="credit",0,IF(AE2618="free",0,IF(AE2618="me",0,IF(G2618&gt;0,(VLOOKUP(A2618,'Discount Lookup'!J:K,2)*G2618),0))))</f>
        <v>0</v>
      </c>
      <c r="AJ2618" s="107" t="str">
        <f t="shared" ca="1" si="1946"/>
        <v/>
      </c>
      <c r="AK2618" s="714" t="str">
        <f t="shared" si="1947"/>
        <v/>
      </c>
      <c r="AL2618" s="714"/>
      <c r="AM2618" s="114" t="str">
        <f t="shared" si="1948"/>
        <v/>
      </c>
      <c r="AN2618" s="115"/>
      <c r="AO2618" s="116"/>
      <c r="AP2618" s="116"/>
      <c r="AQ2618" s="116"/>
      <c r="AR2618" s="116"/>
      <c r="AS2618" s="116"/>
      <c r="AT2618" s="116"/>
      <c r="AU2618" s="116"/>
      <c r="AV2618" s="78"/>
      <c r="AW2618" s="102"/>
      <c r="AX2618" s="78"/>
      <c r="AY2618" s="78"/>
      <c r="AZ2618" s="78"/>
      <c r="BA2618" s="78"/>
      <c r="BB2618" s="78"/>
      <c r="BC2618" s="78"/>
      <c r="BD2618" s="78"/>
      <c r="BE2618" s="465"/>
      <c r="BF2618" s="165" t="str">
        <f t="shared" si="1949"/>
        <v>https://www.google.com/search?tbm=isch&amp;q=7%20G4</v>
      </c>
      <c r="BG2618" s="165" t="str">
        <f t="shared" si="1950"/>
        <v>L</v>
      </c>
      <c r="BH2618" s="65"/>
      <c r="BI2618" s="65"/>
      <c r="BJ2618" s="65"/>
      <c r="BK2618" s="65"/>
      <c r="BL2618" s="99"/>
      <c r="BM2618" s="99"/>
      <c r="BN2618" s="99"/>
    </row>
    <row r="2619" spans="1:66" s="51" customFormat="1" ht="17.25" thickBot="1" x14ac:dyDescent="0.3">
      <c r="A2619" s="641" t="s">
        <v>3288</v>
      </c>
      <c r="B2619" s="642"/>
      <c r="C2619" s="710"/>
      <c r="D2619" s="643"/>
      <c r="E2619" s="643"/>
      <c r="F2619" s="644"/>
      <c r="G2619" s="645"/>
      <c r="H2619" s="646"/>
      <c r="I2619" s="647"/>
      <c r="J2619" s="648"/>
      <c r="K2619" s="649"/>
      <c r="L2619" s="650"/>
      <c r="M2619" s="650"/>
      <c r="N2619" s="644"/>
      <c r="O2619" s="644"/>
      <c r="P2619" s="644"/>
      <c r="Q2619" s="644"/>
      <c r="R2619" s="644"/>
      <c r="S2619" s="651"/>
      <c r="T2619" s="102">
        <f t="shared" si="1938"/>
        <v>0</v>
      </c>
      <c r="U2619" s="78" t="str">
        <f>IF(NOT(ISNUMBER(G2619)), "", VLOOKUP(A2619,'Discount Lookup'!D:E,2,FALSE)*G2619)</f>
        <v/>
      </c>
      <c r="V2619" s="78" t="str">
        <f>IF(NOT(ISNUMBER(G2619)), "", VLOOKUP(A2619,'Discount Lookup'!G:H,2,FALSE)*G2619)</f>
        <v/>
      </c>
      <c r="W2619" s="102">
        <f t="shared" si="1939"/>
        <v>0</v>
      </c>
      <c r="X2619" s="102">
        <f t="shared" si="1940"/>
        <v>0</v>
      </c>
      <c r="Y2619" s="120" t="b">
        <f t="shared" si="1941"/>
        <v>0</v>
      </c>
      <c r="Z2619" s="117">
        <f t="shared" si="1942"/>
        <v>0</v>
      </c>
      <c r="AA2619" s="118"/>
      <c r="AB2619" s="118" t="str">
        <f t="shared" si="1943"/>
        <v/>
      </c>
      <c r="AC2619" s="712" t="str">
        <f>IF(AE2619="T2G","no charge",IF(AND(OR(PlanterYesMe="No",PlanterYesMe="N",PlanterYesMe="me"),H2619=""),"",IF(H2619="credit","NO install",IF(AND(K2619="",AE2619="me"),"EACH row",IF(AND(K2619="images",AE2619="me"),"EACH row",IF(D2619="","",IF(H2619="credit","",IF(AE2619="free","re-planting",IF(AE2619="me","   not ELP, by",IF(AND(OR(PlanterYesMe="Yes",PlanterYesMe="Y"),G2619&gt;0),(VLOOKUP(A2619,'Discount Lookup'!J:K,2)*G2619*(1-PlanterDiscount)*(1+PlanterDifficultyPercentage)),IF(AE2619="ELP",(VLOOKUP(A2619,'Discount Lookup'!J:K,2)*G2619*(1-PlanterDiscount)*(1+PlanterDifficultyPercentage)),IF(AE2619="free","re-planting",IF(G2619=0,"",IF(PlanterYesMe="",IF(AE2619="me","   not ELP, by",IF(AE2619="",IF(G2619&gt;0,(VLOOKUP(A2619,'Discount Lookup'!J:K,2)*G2619*(1-PlanterDiscount)*(1+PlanterDifficultyPercentage)),""),"")),"   not ELP, by"))))))))))))))</f>
        <v/>
      </c>
      <c r="AD2619" s="712"/>
      <c r="AE2619" s="513" t="str">
        <f t="shared" si="1944"/>
        <v/>
      </c>
      <c r="AF2619" s="713" t="str">
        <f t="shared" si="1945"/>
        <v/>
      </c>
      <c r="AG2619" s="713"/>
      <c r="AH2619" s="713"/>
      <c r="AI2619" s="112">
        <f>IF(H2619="credit",0,IF(AE2619="free",0,IF(AE2619="me",0,IF(G2619&gt;0,(VLOOKUP(A2619,'Discount Lookup'!J:K,2)*G2619),0))))</f>
        <v>0</v>
      </c>
      <c r="AJ2619" s="107" t="str">
        <f t="shared" ca="1" si="1946"/>
        <v/>
      </c>
      <c r="AK2619" s="714" t="str">
        <f t="shared" si="1947"/>
        <v/>
      </c>
      <c r="AL2619" s="714"/>
      <c r="AM2619" s="114" t="str">
        <f t="shared" si="1948"/>
        <v/>
      </c>
      <c r="AN2619" s="115"/>
      <c r="AO2619" s="116"/>
      <c r="AP2619" s="116"/>
      <c r="AQ2619" s="116"/>
      <c r="AR2619" s="116"/>
      <c r="AS2619" s="116"/>
      <c r="AT2619" s="116"/>
      <c r="AU2619" s="116"/>
      <c r="AV2619" s="78"/>
      <c r="AW2619" s="102"/>
      <c r="AX2619" s="78"/>
      <c r="AY2619" s="78"/>
      <c r="AZ2619" s="78"/>
      <c r="BA2619" s="78"/>
      <c r="BB2619" s="78"/>
      <c r="BC2619" s="78"/>
      <c r="BD2619" s="78"/>
      <c r="BE2619" s="465"/>
      <c r="BF2619" s="165" t="str">
        <f t="shared" si="1949"/>
        <v>https://www.google.com/search?tbm=isch&amp;q=Sarah%27s%20Favorite%27%20Dark%20Green%20foliage%20turns%20Gold%20to%20Orange-Red%20in%20fall.%20Bark%20exfoliates%20to%20Tan-Cinnamon.%20Hardier%20than%20Natchez%20</v>
      </c>
      <c r="BG2619" s="165" t="str">
        <f t="shared" si="1950"/>
        <v>S</v>
      </c>
      <c r="BH2619" s="65"/>
      <c r="BI2619" s="65"/>
      <c r="BJ2619" s="65"/>
      <c r="BK2619" s="65"/>
      <c r="BL2619" s="99"/>
      <c r="BM2619" s="99"/>
      <c r="BN2619" s="99"/>
    </row>
    <row r="2620" spans="1:66" s="51" customFormat="1" ht="18" x14ac:dyDescent="0.25">
      <c r="A2620" s="623" t="s">
        <v>3289</v>
      </c>
      <c r="B2620" s="624"/>
      <c r="C2620" s="709"/>
      <c r="D2620" s="625" t="s">
        <v>5727</v>
      </c>
      <c r="E2620" s="626"/>
      <c r="F2620" s="626"/>
      <c r="G2620" s="626"/>
      <c r="H2620" s="622" t="s">
        <v>330</v>
      </c>
      <c r="I2620" s="627" t="s">
        <v>1795</v>
      </c>
      <c r="J2620" s="628"/>
      <c r="K2620" s="628"/>
      <c r="L2620" s="629"/>
      <c r="M2620" s="700" t="s">
        <v>5241</v>
      </c>
      <c r="N2620" s="693" t="str">
        <f>IF(AND(ISTEXT($A2620), ISERROR($A2620+0)), HYPERLINK($BF2620, "Images"), "")</f>
        <v>Images</v>
      </c>
      <c r="O2620" s="695" t="s">
        <v>5244</v>
      </c>
      <c r="P2620" s="630"/>
      <c r="Q2620" s="631"/>
      <c r="R2620" s="632"/>
      <c r="S2620" s="633"/>
      <c r="T2620" s="102">
        <f t="shared" si="1938"/>
        <v>0</v>
      </c>
      <c r="U2620" s="78" t="str">
        <f>IF(NOT(ISNUMBER(G2620)), "", VLOOKUP(A2620,'Discount Lookup'!D:E,2,FALSE)*G2620)</f>
        <v/>
      </c>
      <c r="V2620" s="78" t="str">
        <f>IF(NOT(ISNUMBER(G2620)), "", VLOOKUP(A2620,'Discount Lookup'!G:H,2,FALSE)*G2620)</f>
        <v/>
      </c>
      <c r="W2620" s="102">
        <f t="shared" si="1939"/>
        <v>0</v>
      </c>
      <c r="X2620" s="102" t="str">
        <f t="shared" si="1940"/>
        <v>Coral-Pink bloom</v>
      </c>
      <c r="Y2620" s="120" t="b">
        <f t="shared" si="1941"/>
        <v>0</v>
      </c>
      <c r="Z2620" s="117">
        <f t="shared" si="1942"/>
        <v>0</v>
      </c>
      <c r="AA2620" s="118"/>
      <c r="AB2620" s="118" t="str">
        <f t="shared" si="1943"/>
        <v/>
      </c>
      <c r="AC2620" s="712" t="str">
        <f>IF(AE2620="T2G","no charge",IF(AND(OR(PlanterYesMe="No",PlanterYesMe="N",PlanterYesMe="me"),H2620=""),"",IF(H2620="credit","NO install",IF(AND(K2620="",AE2620="me"),"EACH row",IF(AND(K2620="images",AE2620="me"),"EACH row",IF(D2620="","",IF(H2620="credit","",IF(AE2620="free","re-planting",IF(AE2620="me","   not ELP, by",IF(AND(OR(PlanterYesMe="Yes",PlanterYesMe="Y"),G2620&gt;0),(VLOOKUP(A2620,'Discount Lookup'!J:K,2)*G2620*(1-PlanterDiscount)*(1+PlanterDifficultyPercentage)),IF(AE2620="ELP",(VLOOKUP(A2620,'Discount Lookup'!J:K,2)*G2620*(1-PlanterDiscount)*(1+PlanterDifficultyPercentage)),IF(AE2620="free","re-planting",IF(G2620=0,"",IF(PlanterYesMe="",IF(AE2620="me","   not ELP, by",IF(AE2620="",IF(G2620&gt;0,(VLOOKUP(A2620,'Discount Lookup'!J:K,2)*G2620*(1-PlanterDiscount)*(1+PlanterDifficultyPercentage)),""),"")),"   not ELP, by"))))))))))))))</f>
        <v/>
      </c>
      <c r="AD2620" s="712"/>
      <c r="AE2620" s="513" t="str">
        <f t="shared" si="1944"/>
        <v/>
      </c>
      <c r="AF2620" s="713" t="str">
        <f t="shared" si="1945"/>
        <v/>
      </c>
      <c r="AG2620" s="713"/>
      <c r="AH2620" s="713"/>
      <c r="AI2620" s="112">
        <f>IF(H2620="credit",0,IF(AE2620="free",0,IF(AE2620="me",0,IF(G2620&gt;0,(VLOOKUP(A2620,'Discount Lookup'!J:K,2)*G2620),0))))</f>
        <v>0</v>
      </c>
      <c r="AJ2620" s="107" t="str">
        <f t="shared" ca="1" si="1946"/>
        <v/>
      </c>
      <c r="AK2620" s="714" t="str">
        <f t="shared" si="1947"/>
        <v/>
      </c>
      <c r="AL2620" s="714"/>
      <c r="AM2620" s="114" t="str">
        <f t="shared" si="1948"/>
        <v/>
      </c>
      <c r="AN2620" s="115"/>
      <c r="AO2620" s="116"/>
      <c r="AP2620" s="116"/>
      <c r="AQ2620" s="116"/>
      <c r="AR2620" s="116"/>
      <c r="AS2620" s="116"/>
      <c r="AT2620" s="116"/>
      <c r="AU2620" s="116"/>
      <c r="AV2620" s="78"/>
      <c r="AW2620" s="102"/>
      <c r="AX2620" s="78"/>
      <c r="AY2620" s="78"/>
      <c r="AZ2620" s="78"/>
      <c r="BA2620" s="78"/>
      <c r="BB2620" s="78"/>
      <c r="BC2620" s="78"/>
      <c r="BD2620" s="78"/>
      <c r="BE2620" s="465"/>
      <c r="BF2620" s="165" t="str">
        <f t="shared" si="1949"/>
        <v>https://www.google.com/search?tbm=isch&amp;q=Lagerstroemia%20%27SMNLIJ%27%20PP%2333292%20Center%20Stage%C2%AE%20Coral%20Crape%20Myrtle</v>
      </c>
      <c r="BG2620" s="165" t="str">
        <f t="shared" si="1950"/>
        <v>L</v>
      </c>
      <c r="BH2620" s="65"/>
      <c r="BI2620" s="65"/>
      <c r="BJ2620" s="65"/>
      <c r="BK2620" s="65"/>
      <c r="BL2620" s="99"/>
      <c r="BM2620" s="99"/>
      <c r="BN2620" s="99"/>
    </row>
    <row r="2621" spans="1:66" s="51" customFormat="1" ht="15.75" x14ac:dyDescent="0.25">
      <c r="A2621" s="634">
        <v>3</v>
      </c>
      <c r="B2621" s="635" t="s">
        <v>291</v>
      </c>
      <c r="C2621" s="636" t="s">
        <v>3290</v>
      </c>
      <c r="D2621" s="637" t="s">
        <v>311</v>
      </c>
      <c r="E2621" s="638">
        <v>40.950000000000003</v>
      </c>
      <c r="F2621" s="639" t="s">
        <v>292</v>
      </c>
      <c r="G2621" s="484">
        <v>0</v>
      </c>
      <c r="H2621" s="691" t="str">
        <f>IF(G2621=0,"",IF(F2621="Buy",IF(G2621=1,"plant","plants"),IF(F2621&gt;0.01,"warranty","Error")))</f>
        <v/>
      </c>
      <c r="I2621" s="640">
        <f>IF(H2621="free",0,IF(H2621="credit",((E2621*(F2621))*G2621*-1),IF(F2621="Buy",(E2621*G2621),((E2621*(1-F2621))*G2621))))</f>
        <v>0</v>
      </c>
      <c r="J2621" s="640">
        <f>IF(H2621="warranty",0,(I2621*(_xlfn.SINGLE(SalesTaxPercentage))))</f>
        <v>0</v>
      </c>
      <c r="K2621" s="716">
        <f t="shared" ref="K2621" si="1984">I2621+J2621</f>
        <v>0</v>
      </c>
      <c r="L2621" s="716"/>
      <c r="M2621" s="689" t="str">
        <f ca="1">IF(AND(G2621&gt;0,E2621=0),"WARNING - no PRICE inserted",IF(H2621="free","FREE ~ no charge this plant",IF(H2621="credit",CONCATENATE("-$",ROUND(K2621*(1-_xlfn.SINGLE(T2GDiscount))*-1,2)," CREDIT after discount"),IF(_xlfn.SINGLE(T2GDiscount)=0,"",IF(G2621=0,"",IF(F2621="Buy",CONCATENATE("$",ROUND(K2621*(1-_xlfn.SINGLE(T2GDiscount)),2)," with ",(_xlfn.SINGLE(T2GDiscount)*100),"% discount"),CONCATENATE("$",ROUND(K2621*(1-_xlfn.SINGLE(T2GDiscount)),2)," with ",((_xlfn.SINGLE(T2GDiscount)*100+F2621*100)-(_xlfn.SINGLE(T2GDiscount)*100*F2621)),IF(F2621&gt;0,"% discounts",IF(_xlfn.SINGLE(NoWarrantyDiscount)&gt;0,"% discounts","% discount")))))))))</f>
        <v/>
      </c>
      <c r="N2621" s="690"/>
      <c r="O2621" s="486"/>
      <c r="P2621" s="486"/>
      <c r="Q2621" s="486"/>
      <c r="R2621" s="486"/>
      <c r="S2621" s="486"/>
      <c r="T2621" s="102">
        <f t="shared" si="1938"/>
        <v>0</v>
      </c>
      <c r="U2621" s="78">
        <f>IF(NOT(ISNUMBER(G2621)), "", VLOOKUP(A2621,'Discount Lookup'!D:E,2,FALSE)*G2621)</f>
        <v>0</v>
      </c>
      <c r="V2621" s="78">
        <f>IF(NOT(ISNUMBER(G2621)), "", VLOOKUP(A2621,'Discount Lookup'!G:H,2,FALSE)*G2621)</f>
        <v>0</v>
      </c>
      <c r="W2621" s="102">
        <f t="shared" si="1939"/>
        <v>0</v>
      </c>
      <c r="X2621" s="102">
        <f t="shared" si="1940"/>
        <v>0</v>
      </c>
      <c r="Y2621" s="120" t="b">
        <f t="shared" si="1941"/>
        <v>0</v>
      </c>
      <c r="Z2621" s="117">
        <f t="shared" si="1942"/>
        <v>0</v>
      </c>
      <c r="AA2621" s="118"/>
      <c r="AB2621" s="118" t="str">
        <f t="shared" si="1943"/>
        <v/>
      </c>
      <c r="AC2621" s="712" t="str">
        <f>IF(AE2621="T2G","no charge",IF(AND(OR(PlanterYesMe="No",PlanterYesMe="N",PlanterYesMe="me"),H2621=""),"",IF(H2621="credit","NO install",IF(AND(K2621="",AE2621="me"),"EACH row",IF(AND(K2621="images",AE2621="me"),"EACH row",IF(D2621="","",IF(H2621="credit","",IF(AE2621="free","re-planting",IF(AE2621="me","   not ELP, by",IF(AND(OR(PlanterYesMe="Yes",PlanterYesMe="Y"),G2621&gt;0),(VLOOKUP(A2621,'Discount Lookup'!J:K,2)*G2621*(1-PlanterDiscount)*(1+PlanterDifficultyPercentage)),IF(AE2621="ELP",(VLOOKUP(A2621,'Discount Lookup'!J:K,2)*G2621*(1-PlanterDiscount)*(1+PlanterDifficultyPercentage)),IF(AE2621="free","re-planting",IF(G2621=0,"",IF(PlanterYesMe="",IF(AE2621="me","   not ELP, by",IF(AE2621="",IF(G2621&gt;0,(VLOOKUP(A2621,'Discount Lookup'!J:K,2)*G2621*(1-PlanterDiscount)*(1+PlanterDifficultyPercentage)),""),"")),"   not ELP, by"))))))))))))))</f>
        <v/>
      </c>
      <c r="AD2621" s="712"/>
      <c r="AE2621" s="513" t="str">
        <f t="shared" si="1944"/>
        <v/>
      </c>
      <c r="AF2621" s="713" t="str">
        <f t="shared" si="1945"/>
        <v/>
      </c>
      <c r="AG2621" s="713"/>
      <c r="AH2621" s="713"/>
      <c r="AI2621" s="112">
        <f>IF(H2621="credit",0,IF(AE2621="free",0,IF(AE2621="me",0,IF(G2621&gt;0,(VLOOKUP(A2621,'Discount Lookup'!J:K,2)*G2621),0))))</f>
        <v>0</v>
      </c>
      <c r="AJ2621" s="107" t="str">
        <f t="shared" ca="1" si="1946"/>
        <v/>
      </c>
      <c r="AK2621" s="714" t="str">
        <f t="shared" si="1947"/>
        <v/>
      </c>
      <c r="AL2621" s="714"/>
      <c r="AM2621" s="114" t="str">
        <f t="shared" si="1948"/>
        <v/>
      </c>
      <c r="AN2621" s="115"/>
      <c r="AO2621" s="116"/>
      <c r="AP2621" s="116"/>
      <c r="AQ2621" s="116"/>
      <c r="AR2621" s="116"/>
      <c r="AS2621" s="116"/>
      <c r="AT2621" s="116"/>
      <c r="AU2621" s="116"/>
      <c r="AV2621" s="78"/>
      <c r="AW2621" s="102"/>
      <c r="AX2621" s="78"/>
      <c r="AY2621" s="78"/>
      <c r="AZ2621" s="78"/>
      <c r="BA2621" s="78"/>
      <c r="BB2621" s="78"/>
      <c r="BC2621" s="78"/>
      <c r="BD2621" s="78"/>
      <c r="BE2621" s="465"/>
      <c r="BF2621" s="165" t="str">
        <f t="shared" si="1949"/>
        <v>https://www.google.com/search?tbm=isch&amp;q=3%20G5</v>
      </c>
      <c r="BG2621" s="165" t="str">
        <f t="shared" si="1950"/>
        <v>L</v>
      </c>
      <c r="BH2621" s="65"/>
      <c r="BI2621" s="65"/>
      <c r="BJ2621" s="65"/>
      <c r="BK2621" s="65"/>
      <c r="BL2621" s="99"/>
      <c r="BM2621" s="99"/>
      <c r="BN2621" s="99"/>
    </row>
    <row r="2622" spans="1:66" s="51" customFormat="1" ht="15.75" x14ac:dyDescent="0.25">
      <c r="A2622" s="634">
        <v>7</v>
      </c>
      <c r="B2622" s="635" t="s">
        <v>291</v>
      </c>
      <c r="C2622" s="636" t="s">
        <v>2708</v>
      </c>
      <c r="D2622" s="637" t="s">
        <v>311</v>
      </c>
      <c r="E2622" s="638">
        <v>79.95</v>
      </c>
      <c r="F2622" s="639" t="s">
        <v>292</v>
      </c>
      <c r="G2622" s="484">
        <v>0</v>
      </c>
      <c r="H2622" s="691" t="str">
        <f>IF(G2622=0,"",IF(F2622="Buy",IF(G2622=1,"plant","plants"),IF(F2622&gt;0.01,"warranty","Error")))</f>
        <v/>
      </c>
      <c r="I2622" s="640">
        <f>IF(H2622="free",0,IF(H2622="credit",((E2622*(F2622))*G2622*-1),IF(F2622="Buy",(E2622*G2622),((E2622*(1-F2622))*G2622))))</f>
        <v>0</v>
      </c>
      <c r="J2622" s="640">
        <f>IF(H2622="warranty",0,(I2622*(_xlfn.SINGLE(SalesTaxPercentage))))</f>
        <v>0</v>
      </c>
      <c r="K2622" s="716">
        <f t="shared" ref="K2622" si="1985">I2622+J2622</f>
        <v>0</v>
      </c>
      <c r="L2622" s="716"/>
      <c r="M2622" s="689" t="str">
        <f ca="1">IF(AND(G2622&gt;0,E2622=0),"WARNING - no PRICE inserted",IF(H2622="free","FREE ~ no charge this plant",IF(H2622="credit",CONCATENATE("-$",ROUND(K2622*(1-_xlfn.SINGLE(T2GDiscount))*-1,2)," CREDIT after discount"),IF(_xlfn.SINGLE(T2GDiscount)=0,"",IF(G2622=0,"",IF(F2622="Buy",CONCATENATE("$",ROUND(K2622*(1-_xlfn.SINGLE(T2GDiscount)),2)," with ",(_xlfn.SINGLE(T2GDiscount)*100),"% discount"),CONCATENATE("$",ROUND(K2622*(1-_xlfn.SINGLE(T2GDiscount)),2)," with ",((_xlfn.SINGLE(T2GDiscount)*100+F2622*100)-(_xlfn.SINGLE(T2GDiscount)*100*F2622)),IF(F2622&gt;0,"% discounts",IF(_xlfn.SINGLE(NoWarrantyDiscount)&gt;0,"% discounts","% discount")))))))))</f>
        <v/>
      </c>
      <c r="N2622" s="690"/>
      <c r="O2622" s="486"/>
      <c r="P2622" s="486"/>
      <c r="Q2622" s="486"/>
      <c r="R2622" s="486"/>
      <c r="S2622" s="486"/>
      <c r="T2622" s="102">
        <f t="shared" si="1938"/>
        <v>0</v>
      </c>
      <c r="U2622" s="78">
        <f>IF(NOT(ISNUMBER(G2622)), "", VLOOKUP(A2622,'Discount Lookup'!D:E,2,FALSE)*G2622)</f>
        <v>0</v>
      </c>
      <c r="V2622" s="78">
        <f>IF(NOT(ISNUMBER(G2622)), "", VLOOKUP(A2622,'Discount Lookup'!G:H,2,FALSE)*G2622)</f>
        <v>0</v>
      </c>
      <c r="W2622" s="102">
        <f t="shared" si="1939"/>
        <v>0</v>
      </c>
      <c r="X2622" s="102">
        <f t="shared" si="1940"/>
        <v>0</v>
      </c>
      <c r="Y2622" s="120" t="b">
        <f t="shared" si="1941"/>
        <v>0</v>
      </c>
      <c r="Z2622" s="117">
        <f t="shared" si="1942"/>
        <v>0</v>
      </c>
      <c r="AA2622" s="118"/>
      <c r="AB2622" s="118" t="str">
        <f t="shared" si="1943"/>
        <v/>
      </c>
      <c r="AC2622" s="712" t="str">
        <f>IF(AE2622="T2G","no charge",IF(AND(OR(PlanterYesMe="No",PlanterYesMe="N",PlanterYesMe="me"),H2622=""),"",IF(H2622="credit","NO install",IF(AND(K2622="",AE2622="me"),"EACH row",IF(AND(K2622="images",AE2622="me"),"EACH row",IF(D2622="","",IF(H2622="credit","",IF(AE2622="free","re-planting",IF(AE2622="me","   not ELP, by",IF(AND(OR(PlanterYesMe="Yes",PlanterYesMe="Y"),G2622&gt;0),(VLOOKUP(A2622,'Discount Lookup'!J:K,2)*G2622*(1-PlanterDiscount)*(1+PlanterDifficultyPercentage)),IF(AE2622="ELP",(VLOOKUP(A2622,'Discount Lookup'!J:K,2)*G2622*(1-PlanterDiscount)*(1+PlanterDifficultyPercentage)),IF(AE2622="free","re-planting",IF(G2622=0,"",IF(PlanterYesMe="",IF(AE2622="me","   not ELP, by",IF(AE2622="",IF(G2622&gt;0,(VLOOKUP(A2622,'Discount Lookup'!J:K,2)*G2622*(1-PlanterDiscount)*(1+PlanterDifficultyPercentage)),""),"")),"   not ELP, by"))))))))))))))</f>
        <v/>
      </c>
      <c r="AD2622" s="712"/>
      <c r="AE2622" s="513" t="str">
        <f t="shared" si="1944"/>
        <v/>
      </c>
      <c r="AF2622" s="713" t="str">
        <f t="shared" si="1945"/>
        <v/>
      </c>
      <c r="AG2622" s="713"/>
      <c r="AH2622" s="713"/>
      <c r="AI2622" s="112">
        <f>IF(H2622="credit",0,IF(AE2622="free",0,IF(AE2622="me",0,IF(G2622&gt;0,(VLOOKUP(A2622,'Discount Lookup'!J:K,2)*G2622),0))))</f>
        <v>0</v>
      </c>
      <c r="AJ2622" s="107" t="str">
        <f t="shared" ca="1" si="1946"/>
        <v/>
      </c>
      <c r="AK2622" s="714" t="str">
        <f t="shared" si="1947"/>
        <v/>
      </c>
      <c r="AL2622" s="714"/>
      <c r="AM2622" s="114" t="str">
        <f t="shared" si="1948"/>
        <v/>
      </c>
      <c r="AN2622" s="115"/>
      <c r="AO2622" s="116"/>
      <c r="AP2622" s="116"/>
      <c r="AQ2622" s="116"/>
      <c r="AR2622" s="116"/>
      <c r="AS2622" s="116"/>
      <c r="AT2622" s="116"/>
      <c r="AU2622" s="116"/>
      <c r="AV2622" s="78"/>
      <c r="AW2622" s="102"/>
      <c r="AX2622" s="78"/>
      <c r="AY2622" s="78"/>
      <c r="AZ2622" s="78"/>
      <c r="BA2622" s="78"/>
      <c r="BB2622" s="78"/>
      <c r="BC2622" s="78"/>
      <c r="BD2622" s="78"/>
      <c r="BE2622" s="465"/>
      <c r="BF2622" s="165" t="str">
        <f t="shared" si="1949"/>
        <v>https://www.google.com/search?tbm=isch&amp;q=7%20G5</v>
      </c>
      <c r="BG2622" s="165" t="str">
        <f t="shared" si="1950"/>
        <v>L</v>
      </c>
      <c r="BH2622" s="65"/>
      <c r="BI2622" s="65"/>
      <c r="BJ2622" s="65"/>
      <c r="BK2622" s="65"/>
      <c r="BL2622" s="99"/>
      <c r="BM2622" s="99"/>
      <c r="BN2622" s="99"/>
    </row>
    <row r="2623" spans="1:66" s="51" customFormat="1" ht="16.5" x14ac:dyDescent="0.25">
      <c r="A2623" s="641" t="s">
        <v>4773</v>
      </c>
      <c r="B2623" s="642"/>
      <c r="C2623" s="710"/>
      <c r="D2623" s="643"/>
      <c r="E2623" s="643"/>
      <c r="F2623" s="644"/>
      <c r="G2623" s="645"/>
      <c r="H2623" s="646"/>
      <c r="I2623" s="647"/>
      <c r="J2623" s="648"/>
      <c r="K2623" s="649"/>
      <c r="L2623" s="650"/>
      <c r="M2623" s="650"/>
      <c r="N2623" s="644"/>
      <c r="O2623" s="644"/>
      <c r="P2623" s="644"/>
      <c r="Q2623" s="644"/>
      <c r="R2623" s="644"/>
      <c r="S2623" s="651"/>
      <c r="T2623" s="102">
        <f t="shared" si="1938"/>
        <v>0</v>
      </c>
      <c r="U2623" s="78" t="str">
        <f>IF(NOT(ISNUMBER(G2623)), "", VLOOKUP(A2623,'Discount Lookup'!D:E,2,FALSE)*G2623)</f>
        <v/>
      </c>
      <c r="V2623" s="78" t="str">
        <f>IF(NOT(ISNUMBER(G2623)), "", VLOOKUP(A2623,'Discount Lookup'!G:H,2,FALSE)*G2623)</f>
        <v/>
      </c>
      <c r="W2623" s="102">
        <f t="shared" si="1939"/>
        <v>0</v>
      </c>
      <c r="X2623" s="102">
        <f t="shared" si="1940"/>
        <v>0</v>
      </c>
      <c r="Y2623" s="120" t="b">
        <f t="shared" si="1941"/>
        <v>0</v>
      </c>
      <c r="Z2623" s="117">
        <f t="shared" si="1942"/>
        <v>0</v>
      </c>
      <c r="AA2623" s="118"/>
      <c r="AB2623" s="118" t="str">
        <f t="shared" si="1943"/>
        <v/>
      </c>
      <c r="AC2623" s="712" t="str">
        <f>IF(AE2623="T2G","no charge",IF(AND(OR(PlanterYesMe="No",PlanterYesMe="N",PlanterYesMe="me"),H2623=""),"",IF(H2623="credit","NO install",IF(AND(K2623="",AE2623="me"),"EACH row",IF(AND(K2623="images",AE2623="me"),"EACH row",IF(D2623="","",IF(H2623="credit","",IF(AE2623="free","re-planting",IF(AE2623="me","   not ELP, by",IF(AND(OR(PlanterYesMe="Yes",PlanterYesMe="Y"),G2623&gt;0),(VLOOKUP(A2623,'Discount Lookup'!J:K,2)*G2623*(1-PlanterDiscount)*(1+PlanterDifficultyPercentage)),IF(AE2623="ELP",(VLOOKUP(A2623,'Discount Lookup'!J:K,2)*G2623*(1-PlanterDiscount)*(1+PlanterDifficultyPercentage)),IF(AE2623="free","re-planting",IF(G2623=0,"",IF(PlanterYesMe="",IF(AE2623="me","   not ELP, by",IF(AE2623="",IF(G2623&gt;0,(VLOOKUP(A2623,'Discount Lookup'!J:K,2)*G2623*(1-PlanterDiscount)*(1+PlanterDifficultyPercentage)),""),"")),"   not ELP, by"))))))))))))))</f>
        <v/>
      </c>
      <c r="AD2623" s="712"/>
      <c r="AE2623" s="513" t="str">
        <f t="shared" si="1944"/>
        <v/>
      </c>
      <c r="AF2623" s="713" t="str">
        <f t="shared" si="1945"/>
        <v/>
      </c>
      <c r="AG2623" s="713"/>
      <c r="AH2623" s="713"/>
      <c r="AI2623" s="112">
        <f>IF(H2623="credit",0,IF(AE2623="free",0,IF(AE2623="me",0,IF(G2623&gt;0,(VLOOKUP(A2623,'Discount Lookup'!J:K,2)*G2623),0))))</f>
        <v>0</v>
      </c>
      <c r="AJ2623" s="107" t="str">
        <f t="shared" ca="1" si="1946"/>
        <v/>
      </c>
      <c r="AK2623" s="714" t="str">
        <f t="shared" si="1947"/>
        <v/>
      </c>
      <c r="AL2623" s="714"/>
      <c r="AM2623" s="114" t="str">
        <f t="shared" si="1948"/>
        <v/>
      </c>
      <c r="AN2623" s="115"/>
      <c r="AO2623" s="116"/>
      <c r="AP2623" s="116"/>
      <c r="AQ2623" s="116"/>
      <c r="AR2623" s="116"/>
      <c r="AS2623" s="116"/>
      <c r="AT2623" s="116"/>
      <c r="AU2623" s="116"/>
      <c r="AV2623" s="78"/>
      <c r="AW2623" s="102"/>
      <c r="AX2623" s="78"/>
      <c r="AY2623" s="78"/>
      <c r="AZ2623" s="78"/>
      <c r="BA2623" s="78"/>
      <c r="BB2623" s="78"/>
      <c r="BC2623" s="78"/>
      <c r="BD2623" s="78"/>
      <c r="BE2623" s="465"/>
      <c r="BF2623" s="165" t="str">
        <f t="shared" si="1949"/>
        <v>https://www.google.com/search?tbm=isch&amp;q=Center%20Stage%20Coral%20is%20quite%20showy%20with%20striking%20dark%2C%20near%20black%20foliage%20contrating%20with%20bright%20flowers%20</v>
      </c>
      <c r="BG2623" s="165" t="str">
        <f t="shared" si="1950"/>
        <v>C</v>
      </c>
      <c r="BH2623" s="65"/>
      <c r="BI2623" s="65"/>
      <c r="BJ2623" s="65"/>
      <c r="BK2623" s="65"/>
      <c r="BL2623" s="99"/>
      <c r="BM2623" s="99"/>
      <c r="BN2623" s="99"/>
    </row>
    <row r="2624" spans="1:66" s="51" customFormat="1" ht="19.5" thickBot="1" x14ac:dyDescent="0.3">
      <c r="A2624" s="686" t="s">
        <v>586</v>
      </c>
      <c r="B2624" s="73"/>
      <c r="C2624" s="708"/>
      <c r="D2624" s="73"/>
      <c r="E2624" s="73"/>
      <c r="F2624" s="496"/>
      <c r="G2624" s="73"/>
      <c r="H2624" s="73"/>
      <c r="I2624" s="73"/>
      <c r="J2624" s="497" t="s">
        <v>357</v>
      </c>
      <c r="K2624" s="498"/>
      <c r="L2624" s="562"/>
      <c r="M2624" s="73"/>
      <c r="N2624"/>
      <c r="O2624"/>
      <c r="P2624"/>
      <c r="Q2624"/>
      <c r="R2624"/>
      <c r="S2624"/>
      <c r="T2624" s="102">
        <f t="shared" si="1938"/>
        <v>0</v>
      </c>
      <c r="U2624" s="78" t="str">
        <f>IF(NOT(ISNUMBER(G2624)), "", VLOOKUP(A2624,'Discount Lookup'!D:E,2,FALSE)*G2624)</f>
        <v/>
      </c>
      <c r="V2624" s="78" t="str">
        <f>IF(NOT(ISNUMBER(G2624)), "", VLOOKUP(A2624,'Discount Lookup'!G:H,2,FALSE)*G2624)</f>
        <v/>
      </c>
      <c r="W2624" s="102">
        <f t="shared" si="1939"/>
        <v>0</v>
      </c>
      <c r="X2624" s="102">
        <f t="shared" si="1940"/>
        <v>0</v>
      </c>
      <c r="Y2624" s="120" t="b">
        <f t="shared" si="1941"/>
        <v>0</v>
      </c>
      <c r="Z2624" s="117">
        <f t="shared" si="1942"/>
        <v>0</v>
      </c>
      <c r="AA2624" s="118"/>
      <c r="AB2624" s="118" t="str">
        <f t="shared" si="1943"/>
        <v/>
      </c>
      <c r="AC2624" s="712" t="str">
        <f>IF(AE2624="T2G","no charge",IF(AND(OR(PlanterYesMe="No",PlanterYesMe="N",PlanterYesMe="me"),H2624=""),"",IF(H2624="credit","NO install",IF(AND(K2624="",AE2624="me"),"EACH row",IF(AND(K2624="images",AE2624="me"),"EACH row",IF(D2624="","",IF(H2624="credit","",IF(AE2624="free","re-planting",IF(AE2624="me","   not ELP, by",IF(AND(OR(PlanterYesMe="Yes",PlanterYesMe="Y"),G2624&gt;0),(VLOOKUP(A2624,'Discount Lookup'!J:K,2)*G2624*(1-PlanterDiscount)*(1+PlanterDifficultyPercentage)),IF(AE2624="ELP",(VLOOKUP(A2624,'Discount Lookup'!J:K,2)*G2624*(1-PlanterDiscount)*(1+PlanterDifficultyPercentage)),IF(AE2624="free","re-planting",IF(G2624=0,"",IF(PlanterYesMe="",IF(AE2624="me","   not ELP, by",IF(AE2624="",IF(G2624&gt;0,(VLOOKUP(A2624,'Discount Lookup'!J:K,2)*G2624*(1-PlanterDiscount)*(1+PlanterDifficultyPercentage)),""),"")),"   not ELP, by"))))))))))))))</f>
        <v/>
      </c>
      <c r="AD2624" s="712"/>
      <c r="AE2624" s="513" t="str">
        <f t="shared" si="1944"/>
        <v/>
      </c>
      <c r="AF2624" s="713" t="str">
        <f t="shared" si="1945"/>
        <v/>
      </c>
      <c r="AG2624" s="713"/>
      <c r="AH2624" s="713"/>
      <c r="AI2624" s="112">
        <f>IF(H2624="credit",0,IF(AE2624="free",0,IF(AE2624="me",0,IF(G2624&gt;0,(VLOOKUP(A2624,'Discount Lookup'!J:K,2)*G2624),0))))</f>
        <v>0</v>
      </c>
      <c r="AJ2624" s="107" t="str">
        <f t="shared" ca="1" si="1946"/>
        <v/>
      </c>
      <c r="AK2624" s="714" t="str">
        <f t="shared" si="1947"/>
        <v/>
      </c>
      <c r="AL2624" s="714"/>
      <c r="AM2624" s="114" t="str">
        <f t="shared" si="1948"/>
        <v/>
      </c>
      <c r="AN2624" s="115"/>
      <c r="AO2624" s="116"/>
      <c r="AP2624" s="116"/>
      <c r="AQ2624" s="116"/>
      <c r="AR2624" s="116"/>
      <c r="AS2624" s="116"/>
      <c r="AT2624" s="116"/>
      <c r="AU2624" s="116"/>
      <c r="AV2624" s="78"/>
      <c r="AW2624" s="102"/>
      <c r="AX2624" s="78"/>
      <c r="AY2624" s="78"/>
      <c r="AZ2624" s="78"/>
      <c r="BA2624" s="78"/>
      <c r="BB2624" s="78"/>
      <c r="BC2624" s="78"/>
      <c r="BD2624" s="78"/>
      <c r="BE2624" s="465"/>
      <c r="BF2624" s="165" t="str">
        <f t="shared" si="1949"/>
        <v>https://www.google.com/search?tbm=isch&amp;q=Lantana%20%3D%20Common%20Lantana%20</v>
      </c>
      <c r="BG2624" s="165" t="str">
        <f t="shared" si="1950"/>
        <v>L</v>
      </c>
      <c r="BH2624" s="65"/>
      <c r="BI2624" s="65"/>
      <c r="BJ2624" s="65"/>
      <c r="BK2624" s="65"/>
      <c r="BL2624" s="99"/>
      <c r="BM2624" s="99"/>
      <c r="BN2624" s="99"/>
    </row>
    <row r="2625" spans="1:66" s="51" customFormat="1" ht="18" x14ac:dyDescent="0.25">
      <c r="A2625" s="623" t="s">
        <v>3291</v>
      </c>
      <c r="B2625" s="624"/>
      <c r="C2625" s="709"/>
      <c r="D2625" s="625" t="s">
        <v>3292</v>
      </c>
      <c r="E2625" s="626"/>
      <c r="F2625" s="626"/>
      <c r="G2625" s="626"/>
      <c r="H2625" s="622" t="s">
        <v>1217</v>
      </c>
      <c r="I2625" s="627" t="s">
        <v>3293</v>
      </c>
      <c r="J2625" s="628"/>
      <c r="K2625" s="628"/>
      <c r="L2625" s="629"/>
      <c r="M2625" s="700" t="s">
        <v>5241</v>
      </c>
      <c r="N2625" s="693" t="str">
        <f>IF(AND(ISTEXT($A2625), ISERROR($A2625+0)), HYPERLINK($BF2625, "Images"), "")</f>
        <v>Images</v>
      </c>
      <c r="O2625" s="695" t="s">
        <v>5247</v>
      </c>
      <c r="P2625" s="630"/>
      <c r="Q2625" s="631"/>
      <c r="R2625" s="632"/>
      <c r="S2625" s="633"/>
      <c r="T2625" s="102">
        <f t="shared" si="1938"/>
        <v>0</v>
      </c>
      <c r="U2625" s="78" t="str">
        <f>IF(NOT(ISNUMBER(G2625)), "", VLOOKUP(A2625,'Discount Lookup'!D:E,2,FALSE)*G2625)</f>
        <v/>
      </c>
      <c r="V2625" s="78" t="str">
        <f>IF(NOT(ISNUMBER(G2625)), "", VLOOKUP(A2625,'Discount Lookup'!G:H,2,FALSE)*G2625)</f>
        <v/>
      </c>
      <c r="W2625" s="102">
        <f t="shared" si="1939"/>
        <v>0</v>
      </c>
      <c r="X2625" s="102" t="str">
        <f t="shared" si="1940"/>
        <v>Orange-Pink-Yellow bloom</v>
      </c>
      <c r="Y2625" s="120" t="b">
        <f t="shared" si="1941"/>
        <v>0</v>
      </c>
      <c r="Z2625" s="117">
        <f t="shared" si="1942"/>
        <v>0</v>
      </c>
      <c r="AA2625" s="118"/>
      <c r="AB2625" s="118" t="str">
        <f t="shared" si="1943"/>
        <v/>
      </c>
      <c r="AC2625" s="712" t="str">
        <f>IF(AE2625="T2G","no charge",IF(AND(OR(PlanterYesMe="No",PlanterYesMe="N",PlanterYesMe="me"),H2625=""),"",IF(H2625="credit","NO install",IF(AND(K2625="",AE2625="me"),"EACH row",IF(AND(K2625="images",AE2625="me"),"EACH row",IF(D2625="","",IF(H2625="credit","",IF(AE2625="free","re-planting",IF(AE2625="me","   not ELP, by",IF(AND(OR(PlanterYesMe="Yes",PlanterYesMe="Y"),G2625&gt;0),(VLOOKUP(A2625,'Discount Lookup'!J:K,2)*G2625*(1-PlanterDiscount)*(1+PlanterDifficultyPercentage)),IF(AE2625="ELP",(VLOOKUP(A2625,'Discount Lookup'!J:K,2)*G2625*(1-PlanterDiscount)*(1+PlanterDifficultyPercentage)),IF(AE2625="free","re-planting",IF(G2625=0,"",IF(PlanterYesMe="",IF(AE2625="me","   not ELP, by",IF(AE2625="",IF(G2625&gt;0,(VLOOKUP(A2625,'Discount Lookup'!J:K,2)*G2625*(1-PlanterDiscount)*(1+PlanterDifficultyPercentage)),""),"")),"   not ELP, by"))))))))))))))</f>
        <v/>
      </c>
      <c r="AD2625" s="712"/>
      <c r="AE2625" s="513" t="str">
        <f t="shared" si="1944"/>
        <v/>
      </c>
      <c r="AF2625" s="713" t="str">
        <f t="shared" si="1945"/>
        <v/>
      </c>
      <c r="AG2625" s="713"/>
      <c r="AH2625" s="713"/>
      <c r="AI2625" s="112">
        <f>IF(H2625="credit",0,IF(AE2625="free",0,IF(AE2625="me",0,IF(G2625&gt;0,(VLOOKUP(A2625,'Discount Lookup'!J:K,2)*G2625),0))))</f>
        <v>0</v>
      </c>
      <c r="AJ2625" s="107" t="str">
        <f t="shared" ca="1" si="1946"/>
        <v/>
      </c>
      <c r="AK2625" s="714" t="str">
        <f t="shared" si="1947"/>
        <v/>
      </c>
      <c r="AL2625" s="714"/>
      <c r="AM2625" s="114" t="str">
        <f t="shared" si="1948"/>
        <v/>
      </c>
      <c r="AN2625" s="115"/>
      <c r="AO2625" s="116"/>
      <c r="AP2625" s="116"/>
      <c r="AQ2625" s="116"/>
      <c r="AR2625" s="116"/>
      <c r="AS2625" s="116"/>
      <c r="AT2625" s="116"/>
      <c r="AU2625" s="116"/>
      <c r="AV2625" s="78"/>
      <c r="AW2625" s="102"/>
      <c r="AX2625" s="78"/>
      <c r="AY2625" s="78"/>
      <c r="AZ2625" s="78"/>
      <c r="BA2625" s="78"/>
      <c r="BB2625" s="78"/>
      <c r="BC2625" s="78"/>
      <c r="BD2625" s="78"/>
      <c r="BE2625" s="465"/>
      <c r="BF2625" s="165" t="str">
        <f t="shared" si="1949"/>
        <v>https://www.google.com/search?tbm=isch&amp;q=Lantana%20camara%20%27Miss%20Huff%27%20Miss%20Huff%20Lantana</v>
      </c>
      <c r="BG2625" s="165" t="str">
        <f t="shared" si="1950"/>
        <v>L</v>
      </c>
      <c r="BH2625" s="65"/>
      <c r="BI2625" s="65"/>
      <c r="BJ2625" s="65"/>
      <c r="BK2625" s="65"/>
      <c r="BL2625" s="99"/>
      <c r="BM2625" s="99"/>
      <c r="BN2625" s="99"/>
    </row>
    <row r="2626" spans="1:66" s="51" customFormat="1" ht="15.75" x14ac:dyDescent="0.25">
      <c r="A2626" s="634">
        <v>3</v>
      </c>
      <c r="B2626" s="635" t="s">
        <v>291</v>
      </c>
      <c r="C2626" s="636" t="s">
        <v>3294</v>
      </c>
      <c r="D2626" s="637" t="s">
        <v>293</v>
      </c>
      <c r="E2626" s="638">
        <v>31.95</v>
      </c>
      <c r="F2626" s="639" t="s">
        <v>292</v>
      </c>
      <c r="G2626" s="484">
        <v>0</v>
      </c>
      <c r="H2626" s="691" t="str">
        <f>IF(G2626=0,"",IF(F2626="Buy",IF(G2626=1,"plant","plants"),IF(F2626&gt;0.01,"warranty","Error")))</f>
        <v/>
      </c>
      <c r="I2626" s="640">
        <f>IF(H2626="free",0,IF(H2626="credit",((E2626*(F2626))*G2626*-1),IF(F2626="Buy",(E2626*G2626),((E2626*(1-F2626))*G2626))))</f>
        <v>0</v>
      </c>
      <c r="J2626" s="640">
        <f>IF(H2626="warranty",0,(I2626*(_xlfn.SINGLE(SalesTaxPercentage))))</f>
        <v>0</v>
      </c>
      <c r="K2626" s="716">
        <f t="shared" ref="K2626" si="1986">I2626+J2626</f>
        <v>0</v>
      </c>
      <c r="L2626" s="716"/>
      <c r="M2626" s="689" t="str">
        <f ca="1">IF(AND(G2626&gt;0,E2626=0),"WARNING - no PRICE inserted",IF(H2626="free","FREE ~ no charge this plant",IF(H2626="credit",CONCATENATE("-$",ROUND(K2626*(1-_xlfn.SINGLE(T2GDiscount))*-1,2)," CREDIT after discount"),IF(_xlfn.SINGLE(T2GDiscount)=0,"",IF(G2626=0,"",IF(F2626="Buy",CONCATENATE("$",ROUND(K2626*(1-_xlfn.SINGLE(T2GDiscount)),2)," with ",(_xlfn.SINGLE(T2GDiscount)*100),"% discount"),CONCATENATE("$",ROUND(K2626*(1-_xlfn.SINGLE(T2GDiscount)),2)," with ",((_xlfn.SINGLE(T2GDiscount)*100+F2626*100)-(_xlfn.SINGLE(T2GDiscount)*100*F2626)),IF(F2626&gt;0,"% discounts",IF(_xlfn.SINGLE(NoWarrantyDiscount)&gt;0,"% discounts","% discount")))))))))</f>
        <v/>
      </c>
      <c r="N2626" s="690"/>
      <c r="O2626" s="486"/>
      <c r="P2626" s="486"/>
      <c r="Q2626" s="486"/>
      <c r="R2626" s="486"/>
      <c r="S2626" s="486"/>
      <c r="T2626" s="102">
        <f t="shared" si="1938"/>
        <v>0</v>
      </c>
      <c r="U2626" s="78">
        <f>IF(NOT(ISNUMBER(G2626)), "", VLOOKUP(A2626,'Discount Lookup'!D:E,2,FALSE)*G2626)</f>
        <v>0</v>
      </c>
      <c r="V2626" s="78">
        <f>IF(NOT(ISNUMBER(G2626)), "", VLOOKUP(A2626,'Discount Lookup'!G:H,2,FALSE)*G2626)</f>
        <v>0</v>
      </c>
      <c r="W2626" s="102">
        <f t="shared" si="1939"/>
        <v>0</v>
      </c>
      <c r="X2626" s="102">
        <f t="shared" si="1940"/>
        <v>0</v>
      </c>
      <c r="Y2626" s="120" t="b">
        <f t="shared" si="1941"/>
        <v>0</v>
      </c>
      <c r="Z2626" s="117">
        <f t="shared" si="1942"/>
        <v>0</v>
      </c>
      <c r="AA2626" s="118"/>
      <c r="AB2626" s="118" t="str">
        <f t="shared" si="1943"/>
        <v/>
      </c>
      <c r="AC2626" s="712" t="str">
        <f>IF(AE2626="T2G","no charge",IF(AND(OR(PlanterYesMe="No",PlanterYesMe="N",PlanterYesMe="me"),H2626=""),"",IF(H2626="credit","NO install",IF(AND(K2626="",AE2626="me"),"EACH row",IF(AND(K2626="images",AE2626="me"),"EACH row",IF(D2626="","",IF(H2626="credit","",IF(AE2626="free","re-planting",IF(AE2626="me","   not ELP, by",IF(AND(OR(PlanterYesMe="Yes",PlanterYesMe="Y"),G2626&gt;0),(VLOOKUP(A2626,'Discount Lookup'!J:K,2)*G2626*(1-PlanterDiscount)*(1+PlanterDifficultyPercentage)),IF(AE2626="ELP",(VLOOKUP(A2626,'Discount Lookup'!J:K,2)*G2626*(1-PlanterDiscount)*(1+PlanterDifficultyPercentage)),IF(AE2626="free","re-planting",IF(G2626=0,"",IF(PlanterYesMe="",IF(AE2626="me","   not ELP, by",IF(AE2626="",IF(G2626&gt;0,(VLOOKUP(A2626,'Discount Lookup'!J:K,2)*G2626*(1-PlanterDiscount)*(1+PlanterDifficultyPercentage)),""),"")),"   not ELP, by"))))))))))))))</f>
        <v/>
      </c>
      <c r="AD2626" s="712"/>
      <c r="AE2626" s="513" t="str">
        <f t="shared" si="1944"/>
        <v/>
      </c>
      <c r="AF2626" s="713" t="str">
        <f t="shared" si="1945"/>
        <v/>
      </c>
      <c r="AG2626" s="713"/>
      <c r="AH2626" s="713"/>
      <c r="AI2626" s="112">
        <f>IF(H2626="credit",0,IF(AE2626="free",0,IF(AE2626="me",0,IF(G2626&gt;0,(VLOOKUP(A2626,'Discount Lookup'!J:K,2)*G2626),0))))</f>
        <v>0</v>
      </c>
      <c r="AJ2626" s="107" t="str">
        <f t="shared" ca="1" si="1946"/>
        <v/>
      </c>
      <c r="AK2626" s="714" t="str">
        <f t="shared" si="1947"/>
        <v/>
      </c>
      <c r="AL2626" s="714"/>
      <c r="AM2626" s="114" t="str">
        <f t="shared" si="1948"/>
        <v/>
      </c>
      <c r="AN2626" s="115"/>
      <c r="AO2626" s="116"/>
      <c r="AP2626" s="116"/>
      <c r="AQ2626" s="116"/>
      <c r="AR2626" s="116"/>
      <c r="AS2626" s="116"/>
      <c r="AT2626" s="116"/>
      <c r="AU2626" s="116"/>
      <c r="AV2626" s="78"/>
      <c r="AW2626" s="102"/>
      <c r="AX2626" s="78"/>
      <c r="AY2626" s="78"/>
      <c r="AZ2626" s="78"/>
      <c r="BA2626" s="78"/>
      <c r="BB2626" s="78"/>
      <c r="BC2626" s="78"/>
      <c r="BD2626" s="78"/>
      <c r="BE2626" s="465"/>
      <c r="BF2626" s="165" t="str">
        <f t="shared" si="1949"/>
        <v>https://www.google.com/search?tbm=isch&amp;q=3%20G6</v>
      </c>
      <c r="BG2626" s="165" t="str">
        <f t="shared" si="1950"/>
        <v>L</v>
      </c>
      <c r="BH2626" s="65"/>
      <c r="BI2626" s="65"/>
      <c r="BJ2626" s="65"/>
      <c r="BK2626" s="65"/>
      <c r="BL2626" s="99"/>
      <c r="BM2626" s="99"/>
      <c r="BN2626" s="99"/>
    </row>
    <row r="2627" spans="1:66" s="51" customFormat="1" ht="16.5" x14ac:dyDescent="0.25">
      <c r="A2627" s="641" t="s">
        <v>3295</v>
      </c>
      <c r="B2627" s="642"/>
      <c r="C2627" s="710"/>
      <c r="D2627" s="643"/>
      <c r="E2627" s="643"/>
      <c r="F2627" s="644"/>
      <c r="G2627" s="645"/>
      <c r="H2627" s="646"/>
      <c r="I2627" s="647"/>
      <c r="J2627" s="648"/>
      <c r="K2627" s="649"/>
      <c r="L2627" s="650"/>
      <c r="M2627" s="650"/>
      <c r="N2627" s="644"/>
      <c r="O2627" s="644"/>
      <c r="P2627" s="644"/>
      <c r="Q2627" s="644"/>
      <c r="R2627" s="644"/>
      <c r="S2627" s="697" t="s">
        <v>5293</v>
      </c>
      <c r="T2627" s="102">
        <f t="shared" si="1938"/>
        <v>0</v>
      </c>
      <c r="U2627" s="78" t="str">
        <f>IF(NOT(ISNUMBER(G2627)), "", VLOOKUP(A2627,'Discount Lookup'!D:E,2,FALSE)*G2627)</f>
        <v/>
      </c>
      <c r="V2627" s="78" t="str">
        <f>IF(NOT(ISNUMBER(G2627)), "", VLOOKUP(A2627,'Discount Lookup'!G:H,2,FALSE)*G2627)</f>
        <v/>
      </c>
      <c r="W2627" s="102">
        <f t="shared" si="1939"/>
        <v>0</v>
      </c>
      <c r="X2627" s="102">
        <f t="shared" si="1940"/>
        <v>0</v>
      </c>
      <c r="Y2627" s="120" t="b">
        <f t="shared" si="1941"/>
        <v>0</v>
      </c>
      <c r="Z2627" s="117">
        <f t="shared" si="1942"/>
        <v>0</v>
      </c>
      <c r="AA2627" s="118"/>
      <c r="AB2627" s="118" t="str">
        <f t="shared" si="1943"/>
        <v/>
      </c>
      <c r="AC2627" s="712" t="str">
        <f>IF(AE2627="T2G","no charge",IF(AND(OR(PlanterYesMe="No",PlanterYesMe="N",PlanterYesMe="me"),H2627=""),"",IF(H2627="credit","NO install",IF(AND(K2627="",AE2627="me"),"EACH row",IF(AND(K2627="images",AE2627="me"),"EACH row",IF(D2627="","",IF(H2627="credit","",IF(AE2627="free","re-planting",IF(AE2627="me","   not ELP, by",IF(AND(OR(PlanterYesMe="Yes",PlanterYesMe="Y"),G2627&gt;0),(VLOOKUP(A2627,'Discount Lookup'!J:K,2)*G2627*(1-PlanterDiscount)*(1+PlanterDifficultyPercentage)),IF(AE2627="ELP",(VLOOKUP(A2627,'Discount Lookup'!J:K,2)*G2627*(1-PlanterDiscount)*(1+PlanterDifficultyPercentage)),IF(AE2627="free","re-planting",IF(G2627=0,"",IF(PlanterYesMe="",IF(AE2627="me","   not ELP, by",IF(AE2627="",IF(G2627&gt;0,(VLOOKUP(A2627,'Discount Lookup'!J:K,2)*G2627*(1-PlanterDiscount)*(1+PlanterDifficultyPercentage)),""),"")),"   not ELP, by"))))))))))))))</f>
        <v/>
      </c>
      <c r="AD2627" s="712"/>
      <c r="AE2627" s="513" t="str">
        <f t="shared" si="1944"/>
        <v/>
      </c>
      <c r="AF2627" s="713" t="str">
        <f t="shared" si="1945"/>
        <v/>
      </c>
      <c r="AG2627" s="713"/>
      <c r="AH2627" s="713"/>
      <c r="AI2627" s="112">
        <f>IF(H2627="credit",0,IF(AE2627="free",0,IF(AE2627="me",0,IF(G2627&gt;0,(VLOOKUP(A2627,'Discount Lookup'!J:K,2)*G2627),0))))</f>
        <v>0</v>
      </c>
      <c r="AJ2627" s="107" t="str">
        <f t="shared" ca="1" si="1946"/>
        <v/>
      </c>
      <c r="AK2627" s="714" t="str">
        <f t="shared" si="1947"/>
        <v/>
      </c>
      <c r="AL2627" s="714"/>
      <c r="AM2627" s="114" t="str">
        <f t="shared" si="1948"/>
        <v/>
      </c>
      <c r="AN2627" s="115"/>
      <c r="AO2627" s="116"/>
      <c r="AP2627" s="116"/>
      <c r="AQ2627" s="116"/>
      <c r="AR2627" s="116"/>
      <c r="AS2627" s="116"/>
      <c r="AT2627" s="116"/>
      <c r="AU2627" s="116"/>
      <c r="AV2627" s="78"/>
      <c r="AW2627" s="102"/>
      <c r="AX2627" s="78"/>
      <c r="AY2627" s="78"/>
      <c r="AZ2627" s="78"/>
      <c r="BA2627" s="78"/>
      <c r="BB2627" s="78"/>
      <c r="BC2627" s="78"/>
      <c r="BD2627" s="78"/>
      <c r="BE2627" s="465"/>
      <c r="BF2627" s="165" t="str">
        <f t="shared" si="1949"/>
        <v>https://www.google.com/search?tbm=isch&amp;q=Miss%20Huff%20is%20the%20most%20cold%20hardy%20Lantana.%20May%20be%20evergreen%20in%20warm%20climates%3B%20an%20annual%20in%20cold%20climes%20</v>
      </c>
      <c r="BG2627" s="165" t="str">
        <f t="shared" si="1950"/>
        <v>M</v>
      </c>
      <c r="BH2627" s="65"/>
      <c r="BI2627" s="65"/>
      <c r="BJ2627" s="65"/>
      <c r="BK2627" s="65"/>
      <c r="BL2627" s="99"/>
      <c r="BM2627" s="99"/>
      <c r="BN2627" s="99"/>
    </row>
    <row r="2628" spans="1:66" s="51" customFormat="1" ht="19.5" thickBot="1" x14ac:dyDescent="0.3">
      <c r="A2628" s="686" t="s">
        <v>587</v>
      </c>
      <c r="B2628" s="73"/>
      <c r="C2628" s="708"/>
      <c r="D2628" s="73"/>
      <c r="E2628" s="73"/>
      <c r="F2628" s="496"/>
      <c r="G2628" s="73"/>
      <c r="H2628" s="73"/>
      <c r="I2628" s="73"/>
      <c r="J2628" s="497" t="s">
        <v>357</v>
      </c>
      <c r="K2628" s="498"/>
      <c r="L2628" s="562"/>
      <c r="M2628" s="73"/>
      <c r="N2628"/>
      <c r="O2628"/>
      <c r="P2628"/>
      <c r="Q2628"/>
      <c r="R2628"/>
      <c r="S2628"/>
      <c r="T2628" s="102">
        <f t="shared" si="1938"/>
        <v>0</v>
      </c>
      <c r="U2628" s="78" t="str">
        <f>IF(NOT(ISNUMBER(G2628)), "", VLOOKUP(A2628,'Discount Lookup'!D:E,2,FALSE)*G2628)</f>
        <v/>
      </c>
      <c r="V2628" s="78" t="str">
        <f>IF(NOT(ISNUMBER(G2628)), "", VLOOKUP(A2628,'Discount Lookup'!G:H,2,FALSE)*G2628)</f>
        <v/>
      </c>
      <c r="W2628" s="102">
        <f t="shared" si="1939"/>
        <v>0</v>
      </c>
      <c r="X2628" s="102">
        <f t="shared" si="1940"/>
        <v>0</v>
      </c>
      <c r="Y2628" s="120" t="b">
        <f t="shared" si="1941"/>
        <v>0</v>
      </c>
      <c r="Z2628" s="117">
        <f t="shared" si="1942"/>
        <v>0</v>
      </c>
      <c r="AA2628" s="118"/>
      <c r="AB2628" s="118" t="str">
        <f t="shared" si="1943"/>
        <v/>
      </c>
      <c r="AC2628" s="712" t="str">
        <f>IF(AE2628="T2G","no charge",IF(AND(OR(PlanterYesMe="No",PlanterYesMe="N",PlanterYesMe="me"),H2628=""),"",IF(H2628="credit","NO install",IF(AND(K2628="",AE2628="me"),"EACH row",IF(AND(K2628="images",AE2628="me"),"EACH row",IF(D2628="","",IF(H2628="credit","",IF(AE2628="free","re-planting",IF(AE2628="me","   not ELP, by",IF(AND(OR(PlanterYesMe="Yes",PlanterYesMe="Y"),G2628&gt;0),(VLOOKUP(A2628,'Discount Lookup'!J:K,2)*G2628*(1-PlanterDiscount)*(1+PlanterDifficultyPercentage)),IF(AE2628="ELP",(VLOOKUP(A2628,'Discount Lookup'!J:K,2)*G2628*(1-PlanterDiscount)*(1+PlanterDifficultyPercentage)),IF(AE2628="free","re-planting",IF(G2628=0,"",IF(PlanterYesMe="",IF(AE2628="me","   not ELP, by",IF(AE2628="",IF(G2628&gt;0,(VLOOKUP(A2628,'Discount Lookup'!J:K,2)*G2628*(1-PlanterDiscount)*(1+PlanterDifficultyPercentage)),""),"")),"   not ELP, by"))))))))))))))</f>
        <v/>
      </c>
      <c r="AD2628" s="712"/>
      <c r="AE2628" s="513" t="str">
        <f t="shared" si="1944"/>
        <v/>
      </c>
      <c r="AF2628" s="713" t="str">
        <f t="shared" si="1945"/>
        <v/>
      </c>
      <c r="AG2628" s="713"/>
      <c r="AH2628" s="713"/>
      <c r="AI2628" s="112">
        <f>IF(H2628="credit",0,IF(AE2628="free",0,IF(AE2628="me",0,IF(G2628&gt;0,(VLOOKUP(A2628,'Discount Lookup'!J:K,2)*G2628),0))))</f>
        <v>0</v>
      </c>
      <c r="AJ2628" s="107" t="str">
        <f t="shared" ca="1" si="1946"/>
        <v/>
      </c>
      <c r="AK2628" s="714" t="str">
        <f t="shared" si="1947"/>
        <v/>
      </c>
      <c r="AL2628" s="714"/>
      <c r="AM2628" s="114" t="str">
        <f t="shared" si="1948"/>
        <v/>
      </c>
      <c r="AN2628" s="115"/>
      <c r="AO2628" s="116"/>
      <c r="AP2628" s="116"/>
      <c r="AQ2628" s="116"/>
      <c r="AR2628" s="116"/>
      <c r="AS2628" s="116"/>
      <c r="AT2628" s="116"/>
      <c r="AU2628" s="116"/>
      <c r="AV2628" s="78"/>
      <c r="AW2628" s="102"/>
      <c r="AX2628" s="78"/>
      <c r="AY2628" s="78"/>
      <c r="AZ2628" s="78"/>
      <c r="BA2628" s="78"/>
      <c r="BB2628" s="78"/>
      <c r="BC2628" s="78"/>
      <c r="BD2628" s="78"/>
      <c r="BE2628" s="465"/>
      <c r="BF2628" s="165" t="str">
        <f t="shared" si="1949"/>
        <v>https://www.google.com/search?tbm=isch&amp;q=Lespedeza%20%3D%20Bush%20Clover%20</v>
      </c>
      <c r="BG2628" s="165" t="str">
        <f t="shared" si="1950"/>
        <v>L</v>
      </c>
      <c r="BH2628" s="65"/>
      <c r="BI2628" s="65"/>
      <c r="BJ2628" s="65"/>
      <c r="BK2628" s="65"/>
      <c r="BL2628" s="99"/>
      <c r="BM2628" s="99"/>
      <c r="BN2628" s="99"/>
    </row>
    <row r="2629" spans="1:66" s="51" customFormat="1" ht="18" x14ac:dyDescent="0.25">
      <c r="A2629" s="623" t="s">
        <v>3296</v>
      </c>
      <c r="B2629" s="624"/>
      <c r="C2629" s="709"/>
      <c r="D2629" s="625" t="s">
        <v>3297</v>
      </c>
      <c r="E2629" s="626"/>
      <c r="F2629" s="626"/>
      <c r="G2629" s="626"/>
      <c r="H2629" s="622" t="s">
        <v>1436</v>
      </c>
      <c r="I2629" s="627" t="s">
        <v>3298</v>
      </c>
      <c r="J2629" s="628"/>
      <c r="K2629" s="628"/>
      <c r="L2629" s="629"/>
      <c r="M2629" s="700" t="s">
        <v>5241</v>
      </c>
      <c r="N2629" s="693" t="str">
        <f>IF(AND(ISTEXT($A2629), ISERROR($A2629+0)), HYPERLINK($BF2629, "Images"), "")</f>
        <v>Images</v>
      </c>
      <c r="O2629" s="695" t="s">
        <v>5247</v>
      </c>
      <c r="P2629" s="630"/>
      <c r="Q2629" s="631"/>
      <c r="R2629" s="632"/>
      <c r="S2629" s="633"/>
      <c r="T2629" s="102">
        <f t="shared" si="1938"/>
        <v>0</v>
      </c>
      <c r="U2629" s="78" t="str">
        <f>IF(NOT(ISNUMBER(G2629)), "", VLOOKUP(A2629,'Discount Lookup'!D:E,2,FALSE)*G2629)</f>
        <v/>
      </c>
      <c r="V2629" s="78" t="str">
        <f>IF(NOT(ISNUMBER(G2629)), "", VLOOKUP(A2629,'Discount Lookup'!G:H,2,FALSE)*G2629)</f>
        <v/>
      </c>
      <c r="W2629" s="102">
        <f t="shared" si="1939"/>
        <v>0</v>
      </c>
      <c r="X2629" s="102" t="str">
        <f t="shared" si="1940"/>
        <v>Magenta-Purple bloom</v>
      </c>
      <c r="Y2629" s="120" t="b">
        <f t="shared" si="1941"/>
        <v>0</v>
      </c>
      <c r="Z2629" s="117">
        <f t="shared" si="1942"/>
        <v>0</v>
      </c>
      <c r="AA2629" s="118"/>
      <c r="AB2629" s="118" t="str">
        <f t="shared" si="1943"/>
        <v/>
      </c>
      <c r="AC2629" s="712" t="str">
        <f>IF(AE2629="T2G","no charge",IF(AND(OR(PlanterYesMe="No",PlanterYesMe="N",PlanterYesMe="me"),H2629=""),"",IF(H2629="credit","NO install",IF(AND(K2629="",AE2629="me"),"EACH row",IF(AND(K2629="images",AE2629="me"),"EACH row",IF(D2629="","",IF(H2629="credit","",IF(AE2629="free","re-planting",IF(AE2629="me","   not ELP, by",IF(AND(OR(PlanterYesMe="Yes",PlanterYesMe="Y"),G2629&gt;0),(VLOOKUP(A2629,'Discount Lookup'!J:K,2)*G2629*(1-PlanterDiscount)*(1+PlanterDifficultyPercentage)),IF(AE2629="ELP",(VLOOKUP(A2629,'Discount Lookup'!J:K,2)*G2629*(1-PlanterDiscount)*(1+PlanterDifficultyPercentage)),IF(AE2629="free","re-planting",IF(G2629=0,"",IF(PlanterYesMe="",IF(AE2629="me","   not ELP, by",IF(AE2629="",IF(G2629&gt;0,(VLOOKUP(A2629,'Discount Lookup'!J:K,2)*G2629*(1-PlanterDiscount)*(1+PlanterDifficultyPercentage)),""),"")),"   not ELP, by"))))))))))))))</f>
        <v/>
      </c>
      <c r="AD2629" s="712"/>
      <c r="AE2629" s="513" t="str">
        <f t="shared" si="1944"/>
        <v/>
      </c>
      <c r="AF2629" s="713" t="str">
        <f t="shared" si="1945"/>
        <v/>
      </c>
      <c r="AG2629" s="713"/>
      <c r="AH2629" s="713"/>
      <c r="AI2629" s="112">
        <f>IF(H2629="credit",0,IF(AE2629="free",0,IF(AE2629="me",0,IF(G2629&gt;0,(VLOOKUP(A2629,'Discount Lookup'!J:K,2)*G2629),0))))</f>
        <v>0</v>
      </c>
      <c r="AJ2629" s="107" t="str">
        <f t="shared" ca="1" si="1946"/>
        <v/>
      </c>
      <c r="AK2629" s="714" t="str">
        <f t="shared" si="1947"/>
        <v/>
      </c>
      <c r="AL2629" s="714"/>
      <c r="AM2629" s="114" t="str">
        <f t="shared" si="1948"/>
        <v/>
      </c>
      <c r="AN2629" s="115"/>
      <c r="AO2629" s="116"/>
      <c r="AP2629" s="116"/>
      <c r="AQ2629" s="116"/>
      <c r="AR2629" s="116"/>
      <c r="AS2629" s="116"/>
      <c r="AT2629" s="116"/>
      <c r="AU2629" s="116"/>
      <c r="AV2629" s="78"/>
      <c r="AW2629" s="102"/>
      <c r="AX2629" s="78"/>
      <c r="AY2629" s="78"/>
      <c r="AZ2629" s="78"/>
      <c r="BA2629" s="78"/>
      <c r="BB2629" s="78"/>
      <c r="BC2629" s="78"/>
      <c r="BD2629" s="78"/>
      <c r="BE2629" s="465"/>
      <c r="BF2629" s="165" t="str">
        <f t="shared" si="1949"/>
        <v>https://www.google.com/search?tbm=isch&amp;q=Lespedeza%20thunbergii%20%27Little%20Volcano%27%20Little%20Volcano%20Bush%20Clover</v>
      </c>
      <c r="BG2629" s="165" t="str">
        <f t="shared" si="1950"/>
        <v>L</v>
      </c>
      <c r="BH2629" s="65"/>
      <c r="BI2629" s="65"/>
      <c r="BJ2629" s="65"/>
      <c r="BK2629" s="65"/>
      <c r="BL2629" s="99"/>
      <c r="BM2629" s="99"/>
      <c r="BN2629" s="99"/>
    </row>
    <row r="2630" spans="1:66" s="51" customFormat="1" ht="15.75" x14ac:dyDescent="0.25">
      <c r="A2630" s="634">
        <v>3</v>
      </c>
      <c r="B2630" s="635" t="s">
        <v>291</v>
      </c>
      <c r="C2630" s="636"/>
      <c r="D2630" s="637" t="s">
        <v>310</v>
      </c>
      <c r="E2630" s="638">
        <v>25.95</v>
      </c>
      <c r="F2630" s="639" t="s">
        <v>292</v>
      </c>
      <c r="G2630" s="484">
        <v>0</v>
      </c>
      <c r="H2630" s="691" t="str">
        <f>IF(G2630=0,"",IF(F2630="Buy",IF(G2630=1,"plant","plants"),IF(F2630&gt;0.01,"warranty","Error")))</f>
        <v/>
      </c>
      <c r="I2630" s="640">
        <f>IF(H2630="free",0,IF(H2630="credit",((E2630*(F2630))*G2630*-1),IF(F2630="Buy",(E2630*G2630),((E2630*(1-F2630))*G2630))))</f>
        <v>0</v>
      </c>
      <c r="J2630" s="640">
        <f>IF(H2630="warranty",0,(I2630*(_xlfn.SINGLE(SalesTaxPercentage))))</f>
        <v>0</v>
      </c>
      <c r="K2630" s="716">
        <f t="shared" ref="K2630" si="1987">I2630+J2630</f>
        <v>0</v>
      </c>
      <c r="L2630" s="716"/>
      <c r="M2630" s="689" t="str">
        <f ca="1">IF(AND(G2630&gt;0,E2630=0),"WARNING - no PRICE inserted",IF(H2630="free","FREE ~ no charge this plant",IF(H2630="credit",CONCATENATE("-$",ROUND(K2630*(1-_xlfn.SINGLE(T2GDiscount))*-1,2)," CREDIT after discount"),IF(_xlfn.SINGLE(T2GDiscount)=0,"",IF(G2630=0,"",IF(F2630="Buy",CONCATENATE("$",ROUND(K2630*(1-_xlfn.SINGLE(T2GDiscount)),2)," with ",(_xlfn.SINGLE(T2GDiscount)*100),"% discount"),CONCATENATE("$",ROUND(K2630*(1-_xlfn.SINGLE(T2GDiscount)),2)," with ",((_xlfn.SINGLE(T2GDiscount)*100+F2630*100)-(_xlfn.SINGLE(T2GDiscount)*100*F2630)),IF(F2630&gt;0,"% discounts",IF(_xlfn.SINGLE(NoWarrantyDiscount)&gt;0,"% discounts","% discount")))))))))</f>
        <v/>
      </c>
      <c r="N2630" s="690"/>
      <c r="O2630" s="486"/>
      <c r="P2630" s="486"/>
      <c r="Q2630" s="486"/>
      <c r="R2630" s="486"/>
      <c r="S2630" s="486"/>
      <c r="T2630" s="102">
        <f t="shared" si="1938"/>
        <v>0</v>
      </c>
      <c r="U2630" s="78">
        <f>IF(NOT(ISNUMBER(G2630)), "", VLOOKUP(A2630,'Discount Lookup'!D:E,2,FALSE)*G2630)</f>
        <v>0</v>
      </c>
      <c r="V2630" s="78">
        <f>IF(NOT(ISNUMBER(G2630)), "", VLOOKUP(A2630,'Discount Lookup'!G:H,2,FALSE)*G2630)</f>
        <v>0</v>
      </c>
      <c r="W2630" s="102">
        <f t="shared" si="1939"/>
        <v>0</v>
      </c>
      <c r="X2630" s="102">
        <f t="shared" si="1940"/>
        <v>0</v>
      </c>
      <c r="Y2630" s="120" t="b">
        <f t="shared" si="1941"/>
        <v>0</v>
      </c>
      <c r="Z2630" s="117">
        <f t="shared" si="1942"/>
        <v>0</v>
      </c>
      <c r="AA2630" s="118"/>
      <c r="AB2630" s="118" t="str">
        <f t="shared" si="1943"/>
        <v/>
      </c>
      <c r="AC2630" s="712" t="str">
        <f>IF(AE2630="T2G","no charge",IF(AND(OR(PlanterYesMe="No",PlanterYesMe="N",PlanterYesMe="me"),H2630=""),"",IF(H2630="credit","NO install",IF(AND(K2630="",AE2630="me"),"EACH row",IF(AND(K2630="images",AE2630="me"),"EACH row",IF(D2630="","",IF(H2630="credit","",IF(AE2630="free","re-planting",IF(AE2630="me","   not ELP, by",IF(AND(OR(PlanterYesMe="Yes",PlanterYesMe="Y"),G2630&gt;0),(VLOOKUP(A2630,'Discount Lookup'!J:K,2)*G2630*(1-PlanterDiscount)*(1+PlanterDifficultyPercentage)),IF(AE2630="ELP",(VLOOKUP(A2630,'Discount Lookup'!J:K,2)*G2630*(1-PlanterDiscount)*(1+PlanterDifficultyPercentage)),IF(AE2630="free","re-planting",IF(G2630=0,"",IF(PlanterYesMe="",IF(AE2630="me","   not ELP, by",IF(AE2630="",IF(G2630&gt;0,(VLOOKUP(A2630,'Discount Lookup'!J:K,2)*G2630*(1-PlanterDiscount)*(1+PlanterDifficultyPercentage)),""),"")),"   not ELP, by"))))))))))))))</f>
        <v/>
      </c>
      <c r="AD2630" s="712"/>
      <c r="AE2630" s="513" t="str">
        <f t="shared" si="1944"/>
        <v/>
      </c>
      <c r="AF2630" s="713" t="str">
        <f t="shared" si="1945"/>
        <v/>
      </c>
      <c r="AG2630" s="713"/>
      <c r="AH2630" s="713"/>
      <c r="AI2630" s="112">
        <f>IF(H2630="credit",0,IF(AE2630="free",0,IF(AE2630="me",0,IF(G2630&gt;0,(VLOOKUP(A2630,'Discount Lookup'!J:K,2)*G2630),0))))</f>
        <v>0</v>
      </c>
      <c r="AJ2630" s="107" t="str">
        <f t="shared" ca="1" si="1946"/>
        <v/>
      </c>
      <c r="AK2630" s="714" t="str">
        <f t="shared" si="1947"/>
        <v/>
      </c>
      <c r="AL2630" s="714"/>
      <c r="AM2630" s="114" t="str">
        <f t="shared" si="1948"/>
        <v/>
      </c>
      <c r="AN2630" s="115"/>
      <c r="AO2630" s="116"/>
      <c r="AP2630" s="116"/>
      <c r="AQ2630" s="116"/>
      <c r="AR2630" s="116"/>
      <c r="AS2630" s="116"/>
      <c r="AT2630" s="116"/>
      <c r="AU2630" s="116"/>
      <c r="AV2630" s="78"/>
      <c r="AW2630" s="102"/>
      <c r="AX2630" s="78"/>
      <c r="AY2630" s="78"/>
      <c r="AZ2630" s="78"/>
      <c r="BA2630" s="78"/>
      <c r="BB2630" s="78"/>
      <c r="BC2630" s="78"/>
      <c r="BD2630" s="78"/>
      <c r="BE2630" s="465"/>
      <c r="BF2630" s="165" t="str">
        <f t="shared" si="1949"/>
        <v>https://www.google.com/search?tbm=isch&amp;q=3%20G1</v>
      </c>
      <c r="BG2630" s="165" t="str">
        <f t="shared" si="1950"/>
        <v>L</v>
      </c>
      <c r="BH2630" s="65"/>
      <c r="BI2630" s="65"/>
      <c r="BJ2630" s="65"/>
      <c r="BK2630" s="65"/>
      <c r="BL2630" s="99"/>
      <c r="BM2630" s="99"/>
      <c r="BN2630" s="99"/>
    </row>
    <row r="2631" spans="1:66" s="51" customFormat="1" ht="15.75" x14ac:dyDescent="0.25">
      <c r="A2631" s="634">
        <v>7</v>
      </c>
      <c r="B2631" s="635" t="s">
        <v>291</v>
      </c>
      <c r="C2631" s="636" t="s">
        <v>18</v>
      </c>
      <c r="D2631" s="637" t="s">
        <v>310</v>
      </c>
      <c r="E2631" s="638">
        <v>56.95</v>
      </c>
      <c r="F2631" s="639" t="s">
        <v>292</v>
      </c>
      <c r="G2631" s="484">
        <v>0</v>
      </c>
      <c r="H2631" s="691" t="str">
        <f>IF(G2631=0,"",IF(F2631="Buy",IF(G2631=1,"plant","plants"),IF(F2631&gt;0.01,"warranty","Error")))</f>
        <v/>
      </c>
      <c r="I2631" s="640">
        <f>IF(H2631="free",0,IF(H2631="credit",((E2631*(F2631))*G2631*-1),IF(F2631="Buy",(E2631*G2631),((E2631*(1-F2631))*G2631))))</f>
        <v>0</v>
      </c>
      <c r="J2631" s="640">
        <f>IF(H2631="warranty",0,(I2631*(_xlfn.SINGLE(SalesTaxPercentage))))</f>
        <v>0</v>
      </c>
      <c r="K2631" s="716">
        <f t="shared" ref="K2631" si="1988">I2631+J2631</f>
        <v>0</v>
      </c>
      <c r="L2631" s="716"/>
      <c r="M2631" s="689" t="str">
        <f ca="1">IF(AND(G2631&gt;0,E2631=0),"WARNING - no PRICE inserted",IF(H2631="free","FREE ~ no charge this plant",IF(H2631="credit",CONCATENATE("-$",ROUND(K2631*(1-_xlfn.SINGLE(T2GDiscount))*-1,2)," CREDIT after discount"),IF(_xlfn.SINGLE(T2GDiscount)=0,"",IF(G2631=0,"",IF(F2631="Buy",CONCATENATE("$",ROUND(K2631*(1-_xlfn.SINGLE(T2GDiscount)),2)," with ",(_xlfn.SINGLE(T2GDiscount)*100),"% discount"),CONCATENATE("$",ROUND(K2631*(1-_xlfn.SINGLE(T2GDiscount)),2)," with ",((_xlfn.SINGLE(T2GDiscount)*100+F2631*100)-(_xlfn.SINGLE(T2GDiscount)*100*F2631)),IF(F2631&gt;0,"% discounts",IF(_xlfn.SINGLE(NoWarrantyDiscount)&gt;0,"% discounts","% discount")))))))))</f>
        <v/>
      </c>
      <c r="N2631" s="690"/>
      <c r="O2631" s="486"/>
      <c r="P2631" s="486"/>
      <c r="Q2631" s="486"/>
      <c r="R2631" s="486"/>
      <c r="S2631" s="486"/>
      <c r="T2631" s="102">
        <f t="shared" si="1938"/>
        <v>0</v>
      </c>
      <c r="U2631" s="78">
        <f>IF(NOT(ISNUMBER(G2631)), "", VLOOKUP(A2631,'Discount Lookup'!D:E,2,FALSE)*G2631)</f>
        <v>0</v>
      </c>
      <c r="V2631" s="78">
        <f>IF(NOT(ISNUMBER(G2631)), "", VLOOKUP(A2631,'Discount Lookup'!G:H,2,FALSE)*G2631)</f>
        <v>0</v>
      </c>
      <c r="W2631" s="102">
        <f t="shared" si="1939"/>
        <v>0</v>
      </c>
      <c r="X2631" s="102">
        <f t="shared" si="1940"/>
        <v>0</v>
      </c>
      <c r="Y2631" s="120" t="b">
        <f t="shared" si="1941"/>
        <v>0</v>
      </c>
      <c r="Z2631" s="117">
        <f t="shared" si="1942"/>
        <v>0</v>
      </c>
      <c r="AA2631" s="118"/>
      <c r="AB2631" s="118" t="str">
        <f t="shared" si="1943"/>
        <v/>
      </c>
      <c r="AC2631" s="712" t="str">
        <f>IF(AE2631="T2G","no charge",IF(AND(OR(PlanterYesMe="No",PlanterYesMe="N",PlanterYesMe="me"),H2631=""),"",IF(H2631="credit","NO install",IF(AND(K2631="",AE2631="me"),"EACH row",IF(AND(K2631="images",AE2631="me"),"EACH row",IF(D2631="","",IF(H2631="credit","",IF(AE2631="free","re-planting",IF(AE2631="me","   not ELP, by",IF(AND(OR(PlanterYesMe="Yes",PlanterYesMe="Y"),G2631&gt;0),(VLOOKUP(A2631,'Discount Lookup'!J:K,2)*G2631*(1-PlanterDiscount)*(1+PlanterDifficultyPercentage)),IF(AE2631="ELP",(VLOOKUP(A2631,'Discount Lookup'!J:K,2)*G2631*(1-PlanterDiscount)*(1+PlanterDifficultyPercentage)),IF(AE2631="free","re-planting",IF(G2631=0,"",IF(PlanterYesMe="",IF(AE2631="me","   not ELP, by",IF(AE2631="",IF(G2631&gt;0,(VLOOKUP(A2631,'Discount Lookup'!J:K,2)*G2631*(1-PlanterDiscount)*(1+PlanterDifficultyPercentage)),""),"")),"   not ELP, by"))))))))))))))</f>
        <v/>
      </c>
      <c r="AD2631" s="712"/>
      <c r="AE2631" s="513" t="str">
        <f t="shared" si="1944"/>
        <v/>
      </c>
      <c r="AF2631" s="713" t="str">
        <f t="shared" si="1945"/>
        <v/>
      </c>
      <c r="AG2631" s="713"/>
      <c r="AH2631" s="713"/>
      <c r="AI2631" s="112">
        <f>IF(H2631="credit",0,IF(AE2631="free",0,IF(AE2631="me",0,IF(G2631&gt;0,(VLOOKUP(A2631,'Discount Lookup'!J:K,2)*G2631),0))))</f>
        <v>0</v>
      </c>
      <c r="AJ2631" s="107" t="str">
        <f t="shared" ca="1" si="1946"/>
        <v/>
      </c>
      <c r="AK2631" s="714" t="str">
        <f t="shared" si="1947"/>
        <v/>
      </c>
      <c r="AL2631" s="714"/>
      <c r="AM2631" s="114" t="str">
        <f t="shared" si="1948"/>
        <v/>
      </c>
      <c r="AN2631" s="115"/>
      <c r="AO2631" s="116"/>
      <c r="AP2631" s="116"/>
      <c r="AQ2631" s="116"/>
      <c r="AR2631" s="116"/>
      <c r="AS2631" s="116"/>
      <c r="AT2631" s="116"/>
      <c r="AU2631" s="116"/>
      <c r="AV2631" s="78"/>
      <c r="AW2631" s="102"/>
      <c r="AX2631" s="78"/>
      <c r="AY2631" s="78"/>
      <c r="AZ2631" s="78"/>
      <c r="BA2631" s="78"/>
      <c r="BB2631" s="78"/>
      <c r="BC2631" s="78"/>
      <c r="BD2631" s="78"/>
      <c r="BE2631" s="465"/>
      <c r="BF2631" s="165" t="str">
        <f t="shared" si="1949"/>
        <v>https://www.google.com/search?tbm=isch&amp;q=7%20G1</v>
      </c>
      <c r="BG2631" s="165" t="str">
        <f t="shared" si="1950"/>
        <v>L</v>
      </c>
      <c r="BH2631" s="65"/>
      <c r="BI2631" s="65"/>
      <c r="BJ2631" s="65"/>
      <c r="BK2631" s="65"/>
      <c r="BL2631" s="99"/>
      <c r="BM2631" s="99"/>
      <c r="BN2631" s="99"/>
    </row>
    <row r="2632" spans="1:66" s="51" customFormat="1" ht="17.25" thickBot="1" x14ac:dyDescent="0.3">
      <c r="A2632" s="641" t="s">
        <v>3299</v>
      </c>
      <c r="B2632" s="642"/>
      <c r="C2632" s="710"/>
      <c r="D2632" s="643"/>
      <c r="E2632" s="643"/>
      <c r="F2632" s="644"/>
      <c r="G2632" s="645"/>
      <c r="H2632" s="646"/>
      <c r="I2632" s="647"/>
      <c r="J2632" s="648"/>
      <c r="K2632" s="649"/>
      <c r="L2632" s="650"/>
      <c r="M2632" s="650"/>
      <c r="N2632" s="644"/>
      <c r="O2632" s="644"/>
      <c r="P2632" s="644"/>
      <c r="Q2632" s="644"/>
      <c r="R2632" s="644"/>
      <c r="S2632" s="701" t="s">
        <v>5271</v>
      </c>
      <c r="T2632" s="102">
        <f t="shared" si="1938"/>
        <v>0</v>
      </c>
      <c r="U2632" s="78" t="str">
        <f>IF(NOT(ISNUMBER(G2632)), "", VLOOKUP(A2632,'Discount Lookup'!D:E,2,FALSE)*G2632)</f>
        <v/>
      </c>
      <c r="V2632" s="78" t="str">
        <f>IF(NOT(ISNUMBER(G2632)), "", VLOOKUP(A2632,'Discount Lookup'!G:H,2,FALSE)*G2632)</f>
        <v/>
      </c>
      <c r="W2632" s="102">
        <f t="shared" si="1939"/>
        <v>0</v>
      </c>
      <c r="X2632" s="102">
        <f t="shared" si="1940"/>
        <v>0</v>
      </c>
      <c r="Y2632" s="120" t="b">
        <f t="shared" si="1941"/>
        <v>0</v>
      </c>
      <c r="Z2632" s="117">
        <f t="shared" si="1942"/>
        <v>0</v>
      </c>
      <c r="AA2632" s="118"/>
      <c r="AB2632" s="118" t="str">
        <f t="shared" si="1943"/>
        <v/>
      </c>
      <c r="AC2632" s="712" t="str">
        <f>IF(AE2632="T2G","no charge",IF(AND(OR(PlanterYesMe="No",PlanterYesMe="N",PlanterYesMe="me"),H2632=""),"",IF(H2632="credit","NO install",IF(AND(K2632="",AE2632="me"),"EACH row",IF(AND(K2632="images",AE2632="me"),"EACH row",IF(D2632="","",IF(H2632="credit","",IF(AE2632="free","re-planting",IF(AE2632="me","   not ELP, by",IF(AND(OR(PlanterYesMe="Yes",PlanterYesMe="Y"),G2632&gt;0),(VLOOKUP(A2632,'Discount Lookup'!J:K,2)*G2632*(1-PlanterDiscount)*(1+PlanterDifficultyPercentage)),IF(AE2632="ELP",(VLOOKUP(A2632,'Discount Lookup'!J:K,2)*G2632*(1-PlanterDiscount)*(1+PlanterDifficultyPercentage)),IF(AE2632="free","re-planting",IF(G2632=0,"",IF(PlanterYesMe="",IF(AE2632="me","   not ELP, by",IF(AE2632="",IF(G2632&gt;0,(VLOOKUP(A2632,'Discount Lookup'!J:K,2)*G2632*(1-PlanterDiscount)*(1+PlanterDifficultyPercentage)),""),"")),"   not ELP, by"))))))))))))))</f>
        <v/>
      </c>
      <c r="AD2632" s="712"/>
      <c r="AE2632" s="513" t="str">
        <f t="shared" si="1944"/>
        <v/>
      </c>
      <c r="AF2632" s="713" t="str">
        <f t="shared" si="1945"/>
        <v/>
      </c>
      <c r="AG2632" s="713"/>
      <c r="AH2632" s="713"/>
      <c r="AI2632" s="112">
        <f>IF(H2632="credit",0,IF(AE2632="free",0,IF(AE2632="me",0,IF(G2632&gt;0,(VLOOKUP(A2632,'Discount Lookup'!J:K,2)*G2632),0))))</f>
        <v>0</v>
      </c>
      <c r="AJ2632" s="107" t="str">
        <f t="shared" ca="1" si="1946"/>
        <v/>
      </c>
      <c r="AK2632" s="714" t="str">
        <f t="shared" si="1947"/>
        <v/>
      </c>
      <c r="AL2632" s="714"/>
      <c r="AM2632" s="114" t="str">
        <f t="shared" si="1948"/>
        <v/>
      </c>
      <c r="AN2632" s="115"/>
      <c r="AO2632" s="116"/>
      <c r="AP2632" s="116"/>
      <c r="AQ2632" s="116"/>
      <c r="AR2632" s="116"/>
      <c r="AS2632" s="116"/>
      <c r="AT2632" s="116"/>
      <c r="AU2632" s="116"/>
      <c r="AV2632" s="78"/>
      <c r="AW2632" s="102"/>
      <c r="AX2632" s="78"/>
      <c r="AY2632" s="78"/>
      <c r="AZ2632" s="78"/>
      <c r="BA2632" s="78"/>
      <c r="BB2632" s="78"/>
      <c r="BC2632" s="78"/>
      <c r="BD2632" s="78"/>
      <c r="BE2632" s="465"/>
      <c r="BF2632" s="165" t="str">
        <f t="shared" si="1949"/>
        <v>https://www.google.com/search?tbm=isch&amp;q=Little%20Volcano%20is%20a%20non-invasive%2C%20late-blooming%20shrub%20with%20cascading%20stems%20and%20vibrant%20pea-like%20flowers.%20Green%20foliage%20turns%20Yellow-Gold%20in%20fall%20</v>
      </c>
      <c r="BG2632" s="165" t="str">
        <f t="shared" si="1950"/>
        <v>L</v>
      </c>
      <c r="BH2632" s="65"/>
      <c r="BI2632" s="65"/>
      <c r="BJ2632" s="65"/>
      <c r="BK2632" s="65"/>
      <c r="BL2632" s="99"/>
      <c r="BM2632" s="99"/>
      <c r="BN2632" s="99"/>
    </row>
    <row r="2633" spans="1:66" s="51" customFormat="1" ht="18" x14ac:dyDescent="0.25">
      <c r="A2633" s="623" t="s">
        <v>3300</v>
      </c>
      <c r="B2633" s="624"/>
      <c r="C2633" s="709"/>
      <c r="D2633" s="625" t="s">
        <v>3301</v>
      </c>
      <c r="E2633" s="626"/>
      <c r="F2633" s="626"/>
      <c r="G2633" s="626"/>
      <c r="H2633" s="622" t="s">
        <v>4923</v>
      </c>
      <c r="I2633" s="627" t="s">
        <v>4924</v>
      </c>
      <c r="J2633" s="628"/>
      <c r="K2633" s="628"/>
      <c r="L2633" s="629"/>
      <c r="M2633" s="700" t="s">
        <v>5241</v>
      </c>
      <c r="N2633" s="693" t="str">
        <f>IF(AND(ISTEXT($A2633), ISERROR($A2633+0)), HYPERLINK($BF2633, "Images"), "")</f>
        <v>Images</v>
      </c>
      <c r="O2633" s="695" t="s">
        <v>5247</v>
      </c>
      <c r="P2633" s="630"/>
      <c r="Q2633" s="631"/>
      <c r="R2633" s="632"/>
      <c r="S2633" s="633"/>
      <c r="T2633" s="102">
        <f t="shared" si="1938"/>
        <v>0</v>
      </c>
      <c r="U2633" s="78" t="str">
        <f>IF(NOT(ISNUMBER(G2633)), "", VLOOKUP(A2633,'Discount Lookup'!D:E,2,FALSE)*G2633)</f>
        <v/>
      </c>
      <c r="V2633" s="78" t="str">
        <f>IF(NOT(ISNUMBER(G2633)), "", VLOOKUP(A2633,'Discount Lookup'!G:H,2,FALSE)*G2633)</f>
        <v/>
      </c>
      <c r="W2633" s="102">
        <f t="shared" si="1939"/>
        <v>0</v>
      </c>
      <c r="X2633" s="102" t="str">
        <f t="shared" si="1940"/>
        <v>Bright White bloom, Yellow eye</v>
      </c>
      <c r="Y2633" s="120" t="b">
        <f t="shared" si="1941"/>
        <v>0</v>
      </c>
      <c r="Z2633" s="117">
        <f t="shared" si="1942"/>
        <v>0</v>
      </c>
      <c r="AA2633" s="118"/>
      <c r="AB2633" s="118" t="str">
        <f t="shared" si="1943"/>
        <v/>
      </c>
      <c r="AC2633" s="712" t="str">
        <f>IF(AE2633="T2G","no charge",IF(AND(OR(PlanterYesMe="No",PlanterYesMe="N",PlanterYesMe="me"),H2633=""),"",IF(H2633="credit","NO install",IF(AND(K2633="",AE2633="me"),"EACH row",IF(AND(K2633="images",AE2633="me"),"EACH row",IF(D2633="","",IF(H2633="credit","",IF(AE2633="free","re-planting",IF(AE2633="me","   not ELP, by",IF(AND(OR(PlanterYesMe="Yes",PlanterYesMe="Y"),G2633&gt;0),(VLOOKUP(A2633,'Discount Lookup'!J:K,2)*G2633*(1-PlanterDiscount)*(1+PlanterDifficultyPercentage)),IF(AE2633="ELP",(VLOOKUP(A2633,'Discount Lookup'!J:K,2)*G2633*(1-PlanterDiscount)*(1+PlanterDifficultyPercentage)),IF(AE2633="free","re-planting",IF(G2633=0,"",IF(PlanterYesMe="",IF(AE2633="me","   not ELP, by",IF(AE2633="",IF(G2633&gt;0,(VLOOKUP(A2633,'Discount Lookup'!J:K,2)*G2633*(1-PlanterDiscount)*(1+PlanterDifficultyPercentage)),""),"")),"   not ELP, by"))))))))))))))</f>
        <v/>
      </c>
      <c r="AD2633" s="712"/>
      <c r="AE2633" s="513" t="str">
        <f t="shared" si="1944"/>
        <v/>
      </c>
      <c r="AF2633" s="713" t="str">
        <f t="shared" si="1945"/>
        <v/>
      </c>
      <c r="AG2633" s="713"/>
      <c r="AH2633" s="713"/>
      <c r="AI2633" s="112">
        <f>IF(H2633="credit",0,IF(AE2633="free",0,IF(AE2633="me",0,IF(G2633&gt;0,(VLOOKUP(A2633,'Discount Lookup'!J:K,2)*G2633),0))))</f>
        <v>0</v>
      </c>
      <c r="AJ2633" s="107" t="str">
        <f t="shared" ca="1" si="1946"/>
        <v/>
      </c>
      <c r="AK2633" s="714" t="str">
        <f t="shared" si="1947"/>
        <v/>
      </c>
      <c r="AL2633" s="714"/>
      <c r="AM2633" s="114" t="str">
        <f t="shared" si="1948"/>
        <v/>
      </c>
      <c r="AN2633" s="115"/>
      <c r="AO2633" s="116"/>
      <c r="AP2633" s="116"/>
      <c r="AQ2633" s="116"/>
      <c r="AR2633" s="116"/>
      <c r="AS2633" s="116"/>
      <c r="AT2633" s="116"/>
      <c r="AU2633" s="116"/>
      <c r="AV2633" s="78"/>
      <c r="AW2633" s="102"/>
      <c r="AX2633" s="78"/>
      <c r="AY2633" s="78"/>
      <c r="AZ2633" s="78"/>
      <c r="BA2633" s="78"/>
      <c r="BB2633" s="78"/>
      <c r="BC2633" s="78"/>
      <c r="BD2633" s="78"/>
      <c r="BE2633" s="465"/>
      <c r="BF2633" s="165" t="str">
        <f t="shared" si="1949"/>
        <v>https://www.google.com/search?tbm=isch&amp;q=Leucanthemum%20x%20superbum%20%27Whoops-a-Daisy%27%20PP%2327259%20Whoops-a-Daisy%20Shasta%20Daisy</v>
      </c>
      <c r="BG2633" s="165" t="str">
        <f t="shared" si="1950"/>
        <v>L</v>
      </c>
      <c r="BH2633" s="65"/>
      <c r="BI2633" s="65"/>
      <c r="BJ2633" s="65"/>
      <c r="BK2633" s="65"/>
      <c r="BL2633" s="99"/>
      <c r="BM2633" s="99"/>
      <c r="BN2633" s="99"/>
    </row>
    <row r="2634" spans="1:66" s="51" customFormat="1" ht="15.75" x14ac:dyDescent="0.25">
      <c r="A2634" s="634">
        <v>1</v>
      </c>
      <c r="B2634" s="635" t="s">
        <v>291</v>
      </c>
      <c r="C2634" s="636"/>
      <c r="D2634" s="637" t="s">
        <v>329</v>
      </c>
      <c r="E2634" s="638">
        <v>11.95</v>
      </c>
      <c r="F2634" s="639" t="s">
        <v>292</v>
      </c>
      <c r="G2634" s="484">
        <v>0</v>
      </c>
      <c r="H2634" s="691" t="str">
        <f>IF(G2634=0,"",IF(F2634="Buy",IF(G2634=1,"plant","plants"),IF(F2634&gt;0.01,"warranty","Error")))</f>
        <v/>
      </c>
      <c r="I2634" s="640">
        <f>IF(H2634="free",0,IF(H2634="credit",((E2634*(F2634))*G2634*-1),IF(F2634="Buy",(E2634*G2634),((E2634*(1-F2634))*G2634))))</f>
        <v>0</v>
      </c>
      <c r="J2634" s="640">
        <f>IF(H2634="warranty",0,(I2634*(_xlfn.SINGLE(SalesTaxPercentage))))</f>
        <v>0</v>
      </c>
      <c r="K2634" s="716">
        <f t="shared" ref="K2634" si="1989">I2634+J2634</f>
        <v>0</v>
      </c>
      <c r="L2634" s="716"/>
      <c r="M2634" s="689" t="str">
        <f ca="1">IF(AND(G2634&gt;0,E2634=0),"WARNING - no PRICE inserted",IF(H2634="free","FREE ~ no charge this plant",IF(H2634="credit",CONCATENATE("-$",ROUND(K2634*(1-_xlfn.SINGLE(T2GDiscount))*-1,2)," CREDIT after discount"),IF(_xlfn.SINGLE(T2GDiscount)=0,"",IF(G2634=0,"",IF(F2634="Buy",CONCATENATE("$",ROUND(K2634*(1-_xlfn.SINGLE(T2GDiscount)),2)," with ",(_xlfn.SINGLE(T2GDiscount)*100),"% discount"),CONCATENATE("$",ROUND(K2634*(1-_xlfn.SINGLE(T2GDiscount)),2)," with ",((_xlfn.SINGLE(T2GDiscount)*100+F2634*100)-(_xlfn.SINGLE(T2GDiscount)*100*F2634)),IF(F2634&gt;0,"% discounts",IF(_xlfn.SINGLE(NoWarrantyDiscount)&gt;0,"% discounts","% discount")))))))))</f>
        <v/>
      </c>
      <c r="N2634" s="690"/>
      <c r="O2634" s="486"/>
      <c r="P2634" s="486"/>
      <c r="Q2634" s="486"/>
      <c r="R2634" s="486"/>
      <c r="S2634" s="486"/>
      <c r="T2634" s="102">
        <f t="shared" si="1938"/>
        <v>0</v>
      </c>
      <c r="U2634" s="78">
        <f>IF(NOT(ISNUMBER(G2634)), "", VLOOKUP(A2634,'Discount Lookup'!D:E,2,FALSE)*G2634)</f>
        <v>0</v>
      </c>
      <c r="V2634" s="78">
        <f>IF(NOT(ISNUMBER(G2634)), "", VLOOKUP(A2634,'Discount Lookup'!G:H,2,FALSE)*G2634)</f>
        <v>0</v>
      </c>
      <c r="W2634" s="102">
        <f t="shared" si="1939"/>
        <v>0</v>
      </c>
      <c r="X2634" s="102">
        <f t="shared" si="1940"/>
        <v>0</v>
      </c>
      <c r="Y2634" s="120" t="b">
        <f t="shared" si="1941"/>
        <v>0</v>
      </c>
      <c r="Z2634" s="117">
        <f t="shared" si="1942"/>
        <v>0</v>
      </c>
      <c r="AA2634" s="118"/>
      <c r="AB2634" s="118" t="str">
        <f t="shared" si="1943"/>
        <v/>
      </c>
      <c r="AC2634" s="712" t="str">
        <f>IF(AE2634="T2G","no charge",IF(AND(OR(PlanterYesMe="No",PlanterYesMe="N",PlanterYesMe="me"),H2634=""),"",IF(H2634="credit","NO install",IF(AND(K2634="",AE2634="me"),"EACH row",IF(AND(K2634="images",AE2634="me"),"EACH row",IF(D2634="","",IF(H2634="credit","",IF(AE2634="free","re-planting",IF(AE2634="me","   not ELP, by",IF(AND(OR(PlanterYesMe="Yes",PlanterYesMe="Y"),G2634&gt;0),(VLOOKUP(A2634,'Discount Lookup'!J:K,2)*G2634*(1-PlanterDiscount)*(1+PlanterDifficultyPercentage)),IF(AE2634="ELP",(VLOOKUP(A2634,'Discount Lookup'!J:K,2)*G2634*(1-PlanterDiscount)*(1+PlanterDifficultyPercentage)),IF(AE2634="free","re-planting",IF(G2634=0,"",IF(PlanterYesMe="",IF(AE2634="me","   not ELP, by",IF(AE2634="",IF(G2634&gt;0,(VLOOKUP(A2634,'Discount Lookup'!J:K,2)*G2634*(1-PlanterDiscount)*(1+PlanterDifficultyPercentage)),""),"")),"   not ELP, by"))))))))))))))</f>
        <v/>
      </c>
      <c r="AD2634" s="712"/>
      <c r="AE2634" s="513" t="str">
        <f t="shared" si="1944"/>
        <v/>
      </c>
      <c r="AF2634" s="713" t="str">
        <f t="shared" si="1945"/>
        <v/>
      </c>
      <c r="AG2634" s="713"/>
      <c r="AH2634" s="713"/>
      <c r="AI2634" s="112">
        <f>IF(H2634="credit",0,IF(AE2634="free",0,IF(AE2634="me",0,IF(G2634&gt;0,(VLOOKUP(A2634,'Discount Lookup'!J:K,2)*G2634),0))))</f>
        <v>0</v>
      </c>
      <c r="AJ2634" s="107" t="str">
        <f t="shared" ca="1" si="1946"/>
        <v/>
      </c>
      <c r="AK2634" s="714" t="str">
        <f t="shared" si="1947"/>
        <v/>
      </c>
      <c r="AL2634" s="714"/>
      <c r="AM2634" s="114" t="str">
        <f t="shared" si="1948"/>
        <v/>
      </c>
      <c r="AN2634" s="115"/>
      <c r="AO2634" s="116"/>
      <c r="AP2634" s="116"/>
      <c r="AQ2634" s="116"/>
      <c r="AR2634" s="116"/>
      <c r="AS2634" s="116"/>
      <c r="AT2634" s="116"/>
      <c r="AU2634" s="116"/>
      <c r="AV2634" s="78"/>
      <c r="AW2634" s="102"/>
      <c r="AX2634" s="78"/>
      <c r="AY2634" s="78"/>
      <c r="AZ2634" s="78"/>
      <c r="BA2634" s="78"/>
      <c r="BB2634" s="78"/>
      <c r="BC2634" s="78"/>
      <c r="BD2634" s="78"/>
      <c r="BE2634" s="465"/>
      <c r="BF2634" s="165" t="str">
        <f t="shared" si="1949"/>
        <v>https://www.google.com/search?tbm=isch&amp;q=1%20G2</v>
      </c>
      <c r="BG2634" s="165" t="str">
        <f t="shared" si="1950"/>
        <v>L</v>
      </c>
      <c r="BH2634" s="65"/>
      <c r="BI2634" s="65"/>
      <c r="BJ2634" s="65"/>
      <c r="BK2634" s="65"/>
      <c r="BL2634" s="99"/>
      <c r="BM2634" s="99"/>
      <c r="BN2634" s="99"/>
    </row>
    <row r="2635" spans="1:66" s="51" customFormat="1" ht="16.5" x14ac:dyDescent="0.25">
      <c r="A2635" s="641" t="s">
        <v>4925</v>
      </c>
      <c r="B2635" s="642"/>
      <c r="C2635" s="710"/>
      <c r="D2635" s="643"/>
      <c r="E2635" s="643"/>
      <c r="F2635" s="644"/>
      <c r="G2635" s="645"/>
      <c r="H2635" s="646"/>
      <c r="I2635" s="647"/>
      <c r="J2635" s="648"/>
      <c r="K2635" s="649"/>
      <c r="L2635" s="650"/>
      <c r="M2635" s="650"/>
      <c r="N2635" s="644"/>
      <c r="O2635" s="644"/>
      <c r="P2635" s="644"/>
      <c r="Q2635" s="644"/>
      <c r="R2635" s="644"/>
      <c r="S2635" s="701" t="s">
        <v>5271</v>
      </c>
      <c r="T2635" s="102">
        <f t="shared" si="1938"/>
        <v>0</v>
      </c>
      <c r="U2635" s="78" t="str">
        <f>IF(NOT(ISNUMBER(G2635)), "", VLOOKUP(A2635,'Discount Lookup'!D:E,2,FALSE)*G2635)</f>
        <v/>
      </c>
      <c r="V2635" s="78" t="str">
        <f>IF(NOT(ISNUMBER(G2635)), "", VLOOKUP(A2635,'Discount Lookup'!G:H,2,FALSE)*G2635)</f>
        <v/>
      </c>
      <c r="W2635" s="102">
        <f t="shared" si="1939"/>
        <v>0</v>
      </c>
      <c r="X2635" s="102">
        <f t="shared" si="1940"/>
        <v>0</v>
      </c>
      <c r="Y2635" s="120" t="b">
        <f t="shared" si="1941"/>
        <v>0</v>
      </c>
      <c r="Z2635" s="117">
        <f t="shared" si="1942"/>
        <v>0</v>
      </c>
      <c r="AA2635" s="118"/>
      <c r="AB2635" s="118" t="str">
        <f t="shared" si="1943"/>
        <v/>
      </c>
      <c r="AC2635" s="712" t="str">
        <f>IF(AE2635="T2G","no charge",IF(AND(OR(PlanterYesMe="No",PlanterYesMe="N",PlanterYesMe="me"),H2635=""),"",IF(H2635="credit","NO install",IF(AND(K2635="",AE2635="me"),"EACH row",IF(AND(K2635="images",AE2635="me"),"EACH row",IF(D2635="","",IF(H2635="credit","",IF(AE2635="free","re-planting",IF(AE2635="me","   not ELP, by",IF(AND(OR(PlanterYesMe="Yes",PlanterYesMe="Y"),G2635&gt;0),(VLOOKUP(A2635,'Discount Lookup'!J:K,2)*G2635*(1-PlanterDiscount)*(1+PlanterDifficultyPercentage)),IF(AE2635="ELP",(VLOOKUP(A2635,'Discount Lookup'!J:K,2)*G2635*(1-PlanterDiscount)*(1+PlanterDifficultyPercentage)),IF(AE2635="free","re-planting",IF(G2635=0,"",IF(PlanterYesMe="",IF(AE2635="me","   not ELP, by",IF(AE2635="",IF(G2635&gt;0,(VLOOKUP(A2635,'Discount Lookup'!J:K,2)*G2635*(1-PlanterDiscount)*(1+PlanterDifficultyPercentage)),""),"")),"   not ELP, by"))))))))))))))</f>
        <v/>
      </c>
      <c r="AD2635" s="712"/>
      <c r="AE2635" s="513" t="str">
        <f t="shared" si="1944"/>
        <v/>
      </c>
      <c r="AF2635" s="713" t="str">
        <f t="shared" si="1945"/>
        <v/>
      </c>
      <c r="AG2635" s="713"/>
      <c r="AH2635" s="713"/>
      <c r="AI2635" s="112">
        <f>IF(H2635="credit",0,IF(AE2635="free",0,IF(AE2635="me",0,IF(G2635&gt;0,(VLOOKUP(A2635,'Discount Lookup'!J:K,2)*G2635),0))))</f>
        <v>0</v>
      </c>
      <c r="AJ2635" s="107" t="str">
        <f t="shared" ca="1" si="1946"/>
        <v/>
      </c>
      <c r="AK2635" s="714" t="str">
        <f t="shared" si="1947"/>
        <v/>
      </c>
      <c r="AL2635" s="714"/>
      <c r="AM2635" s="114" t="str">
        <f t="shared" si="1948"/>
        <v/>
      </c>
      <c r="AN2635" s="115"/>
      <c r="AO2635" s="116"/>
      <c r="AP2635" s="116"/>
      <c r="AQ2635" s="116"/>
      <c r="AR2635" s="116"/>
      <c r="AS2635" s="116"/>
      <c r="AT2635" s="116"/>
      <c r="AU2635" s="116"/>
      <c r="AV2635" s="78"/>
      <c r="AW2635" s="102"/>
      <c r="AX2635" s="78"/>
      <c r="AY2635" s="78"/>
      <c r="AZ2635" s="78"/>
      <c r="BA2635" s="78"/>
      <c r="BB2635" s="78"/>
      <c r="BC2635" s="78"/>
      <c r="BD2635" s="78"/>
      <c r="BE2635" s="465"/>
      <c r="BF2635" s="165" t="str">
        <f t="shared" si="1949"/>
        <v>https://www.google.com/search?tbm=isch&amp;q=Whoops-a-Daisy%20forms%20a%20tidy%20mound%20of%20Dark%20Green%20foliage%20topped%20with%20abundant%2C%20fluffy%20blooms%20from%20early%20to%20midsummer%20</v>
      </c>
      <c r="BG2635" s="165" t="str">
        <f t="shared" si="1950"/>
        <v>W</v>
      </c>
      <c r="BH2635" s="65"/>
      <c r="BI2635" s="65"/>
      <c r="BJ2635" s="65"/>
      <c r="BK2635" s="65"/>
      <c r="BL2635" s="99"/>
      <c r="BM2635" s="99"/>
      <c r="BN2635" s="99"/>
    </row>
    <row r="2636" spans="1:66" s="51" customFormat="1" ht="19.5" thickBot="1" x14ac:dyDescent="0.3">
      <c r="A2636" s="686" t="s">
        <v>588</v>
      </c>
      <c r="B2636" s="73"/>
      <c r="C2636" s="708"/>
      <c r="D2636" s="73"/>
      <c r="E2636" s="73"/>
      <c r="F2636" s="496"/>
      <c r="G2636" s="73"/>
      <c r="H2636" s="73"/>
      <c r="I2636" s="73"/>
      <c r="J2636" s="497" t="s">
        <v>357</v>
      </c>
      <c r="K2636" s="498"/>
      <c r="L2636" s="562"/>
      <c r="M2636" s="73"/>
      <c r="N2636"/>
      <c r="O2636"/>
      <c r="P2636"/>
      <c r="Q2636"/>
      <c r="R2636"/>
      <c r="S2636"/>
      <c r="T2636" s="102">
        <f t="shared" si="1938"/>
        <v>0</v>
      </c>
      <c r="U2636" s="78" t="str">
        <f>IF(NOT(ISNUMBER(G2636)), "", VLOOKUP(A2636,'Discount Lookup'!D:E,2,FALSE)*G2636)</f>
        <v/>
      </c>
      <c r="V2636" s="78" t="str">
        <f>IF(NOT(ISNUMBER(G2636)), "", VLOOKUP(A2636,'Discount Lookup'!G:H,2,FALSE)*G2636)</f>
        <v/>
      </c>
      <c r="W2636" s="102">
        <f t="shared" si="1939"/>
        <v>0</v>
      </c>
      <c r="X2636" s="102">
        <f t="shared" si="1940"/>
        <v>0</v>
      </c>
      <c r="Y2636" s="120" t="b">
        <f t="shared" si="1941"/>
        <v>0</v>
      </c>
      <c r="Z2636" s="117">
        <f t="shared" si="1942"/>
        <v>0</v>
      </c>
      <c r="AA2636" s="118"/>
      <c r="AB2636" s="118" t="str">
        <f t="shared" si="1943"/>
        <v/>
      </c>
      <c r="AC2636" s="712" t="str">
        <f>IF(AE2636="T2G","no charge",IF(AND(OR(PlanterYesMe="No",PlanterYesMe="N",PlanterYesMe="me"),H2636=""),"",IF(H2636="credit","NO install",IF(AND(K2636="",AE2636="me"),"EACH row",IF(AND(K2636="images",AE2636="me"),"EACH row",IF(D2636="","",IF(H2636="credit","",IF(AE2636="free","re-planting",IF(AE2636="me","   not ELP, by",IF(AND(OR(PlanterYesMe="Yes",PlanterYesMe="Y"),G2636&gt;0),(VLOOKUP(A2636,'Discount Lookup'!J:K,2)*G2636*(1-PlanterDiscount)*(1+PlanterDifficultyPercentage)),IF(AE2636="ELP",(VLOOKUP(A2636,'Discount Lookup'!J:K,2)*G2636*(1-PlanterDiscount)*(1+PlanterDifficultyPercentage)),IF(AE2636="free","re-planting",IF(G2636=0,"",IF(PlanterYesMe="",IF(AE2636="me","   not ELP, by",IF(AE2636="",IF(G2636&gt;0,(VLOOKUP(A2636,'Discount Lookup'!J:K,2)*G2636*(1-PlanterDiscount)*(1+PlanterDifficultyPercentage)),""),"")),"   not ELP, by"))))))))))))))</f>
        <v/>
      </c>
      <c r="AD2636" s="712"/>
      <c r="AE2636" s="513" t="str">
        <f t="shared" si="1944"/>
        <v/>
      </c>
      <c r="AF2636" s="713" t="str">
        <f t="shared" si="1945"/>
        <v/>
      </c>
      <c r="AG2636" s="713"/>
      <c r="AH2636" s="713"/>
      <c r="AI2636" s="112">
        <f>IF(H2636="credit",0,IF(AE2636="free",0,IF(AE2636="me",0,IF(G2636&gt;0,(VLOOKUP(A2636,'Discount Lookup'!J:K,2)*G2636),0))))</f>
        <v>0</v>
      </c>
      <c r="AJ2636" s="107" t="str">
        <f t="shared" ca="1" si="1946"/>
        <v/>
      </c>
      <c r="AK2636" s="714" t="str">
        <f t="shared" si="1947"/>
        <v/>
      </c>
      <c r="AL2636" s="714"/>
      <c r="AM2636" s="114" t="str">
        <f t="shared" si="1948"/>
        <v/>
      </c>
      <c r="AN2636" s="115"/>
      <c r="AO2636" s="116"/>
      <c r="AP2636" s="116"/>
      <c r="AQ2636" s="116"/>
      <c r="AR2636" s="116"/>
      <c r="AS2636" s="116"/>
      <c r="AT2636" s="116"/>
      <c r="AU2636" s="116"/>
      <c r="AV2636" s="78"/>
      <c r="AW2636" s="102"/>
      <c r="AX2636" s="78"/>
      <c r="AY2636" s="78"/>
      <c r="AZ2636" s="78"/>
      <c r="BA2636" s="78"/>
      <c r="BB2636" s="78"/>
      <c r="BC2636" s="78"/>
      <c r="BD2636" s="78"/>
      <c r="BE2636" s="465"/>
      <c r="BF2636" s="165" t="str">
        <f t="shared" si="1949"/>
        <v>https://www.google.com/search?tbm=isch&amp;q=Ligustrum%20%3D%20Ligustrum%20</v>
      </c>
      <c r="BG2636" s="165" t="str">
        <f t="shared" si="1950"/>
        <v>L</v>
      </c>
      <c r="BH2636" s="65"/>
      <c r="BI2636" s="65"/>
      <c r="BJ2636" s="65"/>
      <c r="BK2636" s="65"/>
      <c r="BL2636" s="99"/>
      <c r="BM2636" s="99"/>
      <c r="BN2636" s="99"/>
    </row>
    <row r="2637" spans="1:66" s="51" customFormat="1" ht="18" x14ac:dyDescent="0.25">
      <c r="A2637" s="507" t="s">
        <v>3302</v>
      </c>
      <c r="B2637" s="470"/>
      <c r="C2637" s="706"/>
      <c r="D2637" s="471" t="s">
        <v>3303</v>
      </c>
      <c r="E2637" s="472"/>
      <c r="F2637" s="472"/>
      <c r="G2637" s="472"/>
      <c r="H2637" s="622" t="s">
        <v>333</v>
      </c>
      <c r="I2637" s="473" t="s">
        <v>349</v>
      </c>
      <c r="J2637" s="472"/>
      <c r="K2637" s="472"/>
      <c r="L2637" s="561"/>
      <c r="M2637" s="698" t="s">
        <v>5246</v>
      </c>
      <c r="N2637" s="692" t="str">
        <f>IF(AND(ISTEXT($A2637), ISERROR($A2637+0)), HYPERLINK($BF2637, "Images"), "")</f>
        <v>Images</v>
      </c>
      <c r="O2637" s="694" t="s">
        <v>5264</v>
      </c>
      <c r="P2637" s="475"/>
      <c r="Q2637" s="476"/>
      <c r="R2637" s="476"/>
      <c r="S2637" s="477"/>
      <c r="T2637" s="102">
        <f t="shared" si="1938"/>
        <v>0</v>
      </c>
      <c r="U2637" s="78" t="str">
        <f>IF(NOT(ISNUMBER(G2637)), "", VLOOKUP(A2637,'Discount Lookup'!D:E,2,FALSE)*G2637)</f>
        <v/>
      </c>
      <c r="V2637" s="78" t="str">
        <f>IF(NOT(ISNUMBER(G2637)), "", VLOOKUP(A2637,'Discount Lookup'!G:H,2,FALSE)*G2637)</f>
        <v/>
      </c>
      <c r="W2637" s="102">
        <f t="shared" si="1939"/>
        <v>0</v>
      </c>
      <c r="X2637" s="102" t="str">
        <f t="shared" si="1940"/>
        <v>White bloom</v>
      </c>
      <c r="Y2637" s="120" t="b">
        <f t="shared" si="1941"/>
        <v>0</v>
      </c>
      <c r="Z2637" s="117">
        <f t="shared" si="1942"/>
        <v>0</v>
      </c>
      <c r="AA2637" s="118"/>
      <c r="AB2637" s="118" t="str">
        <f t="shared" si="1943"/>
        <v/>
      </c>
      <c r="AC2637" s="712" t="str">
        <f>IF(AE2637="T2G","no charge",IF(AND(OR(PlanterYesMe="No",PlanterYesMe="N",PlanterYesMe="me"),H2637=""),"",IF(H2637="credit","NO install",IF(AND(K2637="",AE2637="me"),"EACH row",IF(AND(K2637="images",AE2637="me"),"EACH row",IF(D2637="","",IF(H2637="credit","",IF(AE2637="free","re-planting",IF(AE2637="me","   not ELP, by",IF(AND(OR(PlanterYesMe="Yes",PlanterYesMe="Y"),G2637&gt;0),(VLOOKUP(A2637,'Discount Lookup'!J:K,2)*G2637*(1-PlanterDiscount)*(1+PlanterDifficultyPercentage)),IF(AE2637="ELP",(VLOOKUP(A2637,'Discount Lookup'!J:K,2)*G2637*(1-PlanterDiscount)*(1+PlanterDifficultyPercentage)),IF(AE2637="free","re-planting",IF(G2637=0,"",IF(PlanterYesMe="",IF(AE2637="me","   not ELP, by",IF(AE2637="",IF(G2637&gt;0,(VLOOKUP(A2637,'Discount Lookup'!J:K,2)*G2637*(1-PlanterDiscount)*(1+PlanterDifficultyPercentage)),""),"")),"   not ELP, by"))))))))))))))</f>
        <v/>
      </c>
      <c r="AD2637" s="712"/>
      <c r="AE2637" s="513" t="str">
        <f t="shared" si="1944"/>
        <v/>
      </c>
      <c r="AF2637" s="713" t="str">
        <f t="shared" si="1945"/>
        <v/>
      </c>
      <c r="AG2637" s="713"/>
      <c r="AH2637" s="713"/>
      <c r="AI2637" s="112">
        <f>IF(H2637="credit",0,IF(AE2637="free",0,IF(AE2637="me",0,IF(G2637&gt;0,(VLOOKUP(A2637,'Discount Lookup'!J:K,2)*G2637),0))))</f>
        <v>0</v>
      </c>
      <c r="AJ2637" s="107" t="str">
        <f t="shared" ca="1" si="1946"/>
        <v/>
      </c>
      <c r="AK2637" s="714" t="str">
        <f t="shared" si="1947"/>
        <v/>
      </c>
      <c r="AL2637" s="714"/>
      <c r="AM2637" s="114" t="str">
        <f t="shared" si="1948"/>
        <v/>
      </c>
      <c r="AN2637" s="115"/>
      <c r="AO2637" s="116"/>
      <c r="AP2637" s="116"/>
      <c r="AQ2637" s="116"/>
      <c r="AR2637" s="116"/>
      <c r="AS2637" s="116"/>
      <c r="AT2637" s="116"/>
      <c r="AU2637" s="116"/>
      <c r="AV2637" s="78"/>
      <c r="AW2637" s="102"/>
      <c r="AX2637" s="78"/>
      <c r="AY2637" s="78"/>
      <c r="AZ2637" s="78"/>
      <c r="BA2637" s="78"/>
      <c r="BB2637" s="78"/>
      <c r="BC2637" s="78"/>
      <c r="BD2637" s="78"/>
      <c r="BE2637" s="465"/>
      <c r="BF2637" s="165" t="str">
        <f t="shared" si="1949"/>
        <v>https://www.google.com/search?tbm=isch&amp;q=Ligustrum%20japonicum%20Wax%20Leaf%20Privet</v>
      </c>
      <c r="BG2637" s="165" t="str">
        <f t="shared" si="1950"/>
        <v>L</v>
      </c>
      <c r="BH2637" s="65"/>
      <c r="BI2637" s="65"/>
      <c r="BJ2637" s="65"/>
      <c r="BK2637" s="65"/>
      <c r="BL2637" s="99"/>
      <c r="BM2637" s="99"/>
      <c r="BN2637" s="99"/>
    </row>
    <row r="2638" spans="1:66" s="51" customFormat="1" ht="15.75" x14ac:dyDescent="0.25">
      <c r="A2638" s="478">
        <v>3</v>
      </c>
      <c r="B2638" s="479" t="s">
        <v>291</v>
      </c>
      <c r="C2638" s="480" t="s">
        <v>3304</v>
      </c>
      <c r="D2638" s="481" t="s">
        <v>309</v>
      </c>
      <c r="E2638" s="482">
        <v>22.95</v>
      </c>
      <c r="F2638" s="483" t="s">
        <v>292</v>
      </c>
      <c r="G2638" s="484">
        <v>0</v>
      </c>
      <c r="H2638" s="688" t="str">
        <f>IF(G2638=0,"",IF(F2638="Buy",IF(G2638=1,"plant","plants"),IF(F2638&gt;0.01,"warranty","Error")))</f>
        <v/>
      </c>
      <c r="I2638" s="485">
        <f>IF(H2638="free",0,IF(H2638="credit",((E2638*(F2638))*G2638*-1),IF(F2638="Buy",(E2638*G2638),((E2638*(1-F2638))*G2638))))</f>
        <v>0</v>
      </c>
      <c r="J2638" s="485">
        <f>IF(H2638="warranty",0,(I2638*(_xlfn.SINGLE(SalesTaxPercentage))))</f>
        <v>0</v>
      </c>
      <c r="K2638" s="715">
        <f t="shared" ref="K2638" si="1990">I2638+J2638</f>
        <v>0</v>
      </c>
      <c r="L2638" s="715"/>
      <c r="M2638" s="689" t="str">
        <f ca="1">IF(AND(G2638&gt;0,E2638=0),"WARNING - no PRICE inserted",IF(H2638="free","FREE ~ no charge this plant",IF(H2638="credit",CONCATENATE("-$",ROUND(K2638*(1-_xlfn.SINGLE(T2GDiscount))*-1,2)," CREDIT after discount"),IF(_xlfn.SINGLE(T2GDiscount)=0,"",IF(G2638=0,"",IF(F2638="Buy",CONCATENATE("$",ROUND(K2638*(1-_xlfn.SINGLE(T2GDiscount)),2)," with ",(_xlfn.SINGLE(T2GDiscount)*100),"% discount"),CONCATENATE("$",ROUND(K2638*(1-_xlfn.SINGLE(T2GDiscount)),2)," with ",((_xlfn.SINGLE(T2GDiscount)*100+F2638*100)-(_xlfn.SINGLE(T2GDiscount)*100*F2638)),IF(F2638&gt;0,"% discounts",IF(_xlfn.SINGLE(NoWarrantyDiscount)&gt;0,"% discounts","% discount")))))))))</f>
        <v/>
      </c>
      <c r="N2638" s="690"/>
      <c r="O2638" s="486"/>
      <c r="P2638" s="486"/>
      <c r="Q2638" s="486"/>
      <c r="R2638" s="486"/>
      <c r="S2638" s="486"/>
      <c r="T2638" s="102">
        <f t="shared" si="1938"/>
        <v>0</v>
      </c>
      <c r="U2638" s="78">
        <f>IF(NOT(ISNUMBER(G2638)), "", VLOOKUP(A2638,'Discount Lookup'!D:E,2,FALSE)*G2638)</f>
        <v>0</v>
      </c>
      <c r="V2638" s="78">
        <f>IF(NOT(ISNUMBER(G2638)), "", VLOOKUP(A2638,'Discount Lookup'!G:H,2,FALSE)*G2638)</f>
        <v>0</v>
      </c>
      <c r="W2638" s="102">
        <f t="shared" si="1939"/>
        <v>0</v>
      </c>
      <c r="X2638" s="102">
        <f t="shared" si="1940"/>
        <v>0</v>
      </c>
      <c r="Y2638" s="120" t="b">
        <f t="shared" si="1941"/>
        <v>0</v>
      </c>
      <c r="Z2638" s="117">
        <f t="shared" si="1942"/>
        <v>0</v>
      </c>
      <c r="AA2638" s="118"/>
      <c r="AB2638" s="118" t="str">
        <f t="shared" si="1943"/>
        <v/>
      </c>
      <c r="AC2638" s="712" t="str">
        <f>IF(AE2638="T2G","no charge",IF(AND(OR(PlanterYesMe="No",PlanterYesMe="N",PlanterYesMe="me"),H2638=""),"",IF(H2638="credit","NO install",IF(AND(K2638="",AE2638="me"),"EACH row",IF(AND(K2638="images",AE2638="me"),"EACH row",IF(D2638="","",IF(H2638="credit","",IF(AE2638="free","re-planting",IF(AE2638="me","   not ELP, by",IF(AND(OR(PlanterYesMe="Yes",PlanterYesMe="Y"),G2638&gt;0),(VLOOKUP(A2638,'Discount Lookup'!J:K,2)*G2638*(1-PlanterDiscount)*(1+PlanterDifficultyPercentage)),IF(AE2638="ELP",(VLOOKUP(A2638,'Discount Lookup'!J:K,2)*G2638*(1-PlanterDiscount)*(1+PlanterDifficultyPercentage)),IF(AE2638="free","re-planting",IF(G2638=0,"",IF(PlanterYesMe="",IF(AE2638="me","   not ELP, by",IF(AE2638="",IF(G2638&gt;0,(VLOOKUP(A2638,'Discount Lookup'!J:K,2)*G2638*(1-PlanterDiscount)*(1+PlanterDifficultyPercentage)),""),"")),"   not ELP, by"))))))))))))))</f>
        <v/>
      </c>
      <c r="AD2638" s="712"/>
      <c r="AE2638" s="513" t="str">
        <f t="shared" si="1944"/>
        <v/>
      </c>
      <c r="AF2638" s="713" t="str">
        <f t="shared" si="1945"/>
        <v/>
      </c>
      <c r="AG2638" s="713"/>
      <c r="AH2638" s="713"/>
      <c r="AI2638" s="112">
        <f>IF(H2638="credit",0,IF(AE2638="free",0,IF(AE2638="me",0,IF(G2638&gt;0,(VLOOKUP(A2638,'Discount Lookup'!J:K,2)*G2638),0))))</f>
        <v>0</v>
      </c>
      <c r="AJ2638" s="107" t="str">
        <f t="shared" ca="1" si="1946"/>
        <v/>
      </c>
      <c r="AK2638" s="714" t="str">
        <f t="shared" si="1947"/>
        <v/>
      </c>
      <c r="AL2638" s="714"/>
      <c r="AM2638" s="114" t="str">
        <f t="shared" si="1948"/>
        <v/>
      </c>
      <c r="AN2638" s="115"/>
      <c r="AO2638" s="116"/>
      <c r="AP2638" s="116"/>
      <c r="AQ2638" s="116"/>
      <c r="AR2638" s="116"/>
      <c r="AS2638" s="116"/>
      <c r="AT2638" s="116"/>
      <c r="AU2638" s="116"/>
      <c r="AV2638" s="78"/>
      <c r="AW2638" s="102"/>
      <c r="AX2638" s="78"/>
      <c r="AY2638" s="78"/>
      <c r="AZ2638" s="78"/>
      <c r="BA2638" s="78"/>
      <c r="BB2638" s="78"/>
      <c r="BC2638" s="78"/>
      <c r="BD2638" s="78"/>
      <c r="BE2638" s="465"/>
      <c r="BF2638" s="165" t="str">
        <f t="shared" si="1949"/>
        <v>https://www.google.com/search?tbm=isch&amp;q=3%20G3</v>
      </c>
      <c r="BG2638" s="165" t="str">
        <f t="shared" si="1950"/>
        <v>L</v>
      </c>
      <c r="BH2638" s="65"/>
      <c r="BI2638" s="65"/>
      <c r="BJ2638" s="65"/>
      <c r="BK2638" s="65"/>
      <c r="BL2638" s="99"/>
      <c r="BM2638" s="99"/>
      <c r="BN2638" s="99"/>
    </row>
    <row r="2639" spans="1:66" s="51" customFormat="1" ht="15.75" x14ac:dyDescent="0.25">
      <c r="A2639" s="478">
        <v>5</v>
      </c>
      <c r="B2639" s="479" t="s">
        <v>291</v>
      </c>
      <c r="C2639" s="480" t="s">
        <v>3305</v>
      </c>
      <c r="D2639" s="481" t="s">
        <v>309</v>
      </c>
      <c r="E2639" s="482">
        <v>40.950000000000003</v>
      </c>
      <c r="F2639" s="483" t="s">
        <v>292</v>
      </c>
      <c r="G2639" s="484">
        <v>0</v>
      </c>
      <c r="H2639" s="688" t="str">
        <f>IF(G2639=0,"",IF(F2639="Buy",IF(G2639=1,"plant","plants"),IF(F2639&gt;0.01,"warranty","Error")))</f>
        <v/>
      </c>
      <c r="I2639" s="485">
        <f>IF(H2639="free",0,IF(H2639="credit",((E2639*(F2639))*G2639*-1),IF(F2639="Buy",(E2639*G2639),((E2639*(1-F2639))*G2639))))</f>
        <v>0</v>
      </c>
      <c r="J2639" s="485">
        <f>IF(H2639="warranty",0,(I2639*(_xlfn.SINGLE(SalesTaxPercentage))))</f>
        <v>0</v>
      </c>
      <c r="K2639" s="715">
        <f t="shared" ref="K2639" si="1991">I2639+J2639</f>
        <v>0</v>
      </c>
      <c r="L2639" s="715"/>
      <c r="M2639" s="689" t="str">
        <f ca="1">IF(AND(G2639&gt;0,E2639=0),"WARNING - no PRICE inserted",IF(H2639="free","FREE ~ no charge this plant",IF(H2639="credit",CONCATENATE("-$",ROUND(K2639*(1-_xlfn.SINGLE(T2GDiscount))*-1,2)," CREDIT after discount"),IF(_xlfn.SINGLE(T2GDiscount)=0,"",IF(G2639=0,"",IF(F2639="Buy",CONCATENATE("$",ROUND(K2639*(1-_xlfn.SINGLE(T2GDiscount)),2)," with ",(_xlfn.SINGLE(T2GDiscount)*100),"% discount"),CONCATENATE("$",ROUND(K2639*(1-_xlfn.SINGLE(T2GDiscount)),2)," with ",((_xlfn.SINGLE(T2GDiscount)*100+F2639*100)-(_xlfn.SINGLE(T2GDiscount)*100*F2639)),IF(F2639&gt;0,"% discounts",IF(_xlfn.SINGLE(NoWarrantyDiscount)&gt;0,"% discounts","% discount")))))))))</f>
        <v/>
      </c>
      <c r="N2639" s="690"/>
      <c r="O2639" s="486"/>
      <c r="P2639" s="486"/>
      <c r="Q2639" s="486"/>
      <c r="R2639" s="486"/>
      <c r="S2639" s="486"/>
      <c r="T2639" s="102">
        <f t="shared" si="1938"/>
        <v>0</v>
      </c>
      <c r="U2639" s="78">
        <f>IF(NOT(ISNUMBER(G2639)), "", VLOOKUP(A2639,'Discount Lookup'!D:E,2,FALSE)*G2639)</f>
        <v>0</v>
      </c>
      <c r="V2639" s="78">
        <f>IF(NOT(ISNUMBER(G2639)), "", VLOOKUP(A2639,'Discount Lookup'!G:H,2,FALSE)*G2639)</f>
        <v>0</v>
      </c>
      <c r="W2639" s="102">
        <f t="shared" si="1939"/>
        <v>0</v>
      </c>
      <c r="X2639" s="102">
        <f t="shared" si="1940"/>
        <v>0</v>
      </c>
      <c r="Y2639" s="120" t="b">
        <f t="shared" si="1941"/>
        <v>0</v>
      </c>
      <c r="Z2639" s="117">
        <f t="shared" si="1942"/>
        <v>0</v>
      </c>
      <c r="AA2639" s="118"/>
      <c r="AB2639" s="118" t="str">
        <f t="shared" si="1943"/>
        <v/>
      </c>
      <c r="AC2639" s="712" t="str">
        <f>IF(AE2639="T2G","no charge",IF(AND(OR(PlanterYesMe="No",PlanterYesMe="N",PlanterYesMe="me"),H2639=""),"",IF(H2639="credit","NO install",IF(AND(K2639="",AE2639="me"),"EACH row",IF(AND(K2639="images",AE2639="me"),"EACH row",IF(D2639="","",IF(H2639="credit","",IF(AE2639="free","re-planting",IF(AE2639="me","   not ELP, by",IF(AND(OR(PlanterYesMe="Yes",PlanterYesMe="Y"),G2639&gt;0),(VLOOKUP(A2639,'Discount Lookup'!J:K,2)*G2639*(1-PlanterDiscount)*(1+PlanterDifficultyPercentage)),IF(AE2639="ELP",(VLOOKUP(A2639,'Discount Lookup'!J:K,2)*G2639*(1-PlanterDiscount)*(1+PlanterDifficultyPercentage)),IF(AE2639="free","re-planting",IF(G2639=0,"",IF(PlanterYesMe="",IF(AE2639="me","   not ELP, by",IF(AE2639="",IF(G2639&gt;0,(VLOOKUP(A2639,'Discount Lookup'!J:K,2)*G2639*(1-PlanterDiscount)*(1+PlanterDifficultyPercentage)),""),"")),"   not ELP, by"))))))))))))))</f>
        <v/>
      </c>
      <c r="AD2639" s="712"/>
      <c r="AE2639" s="513" t="str">
        <f t="shared" si="1944"/>
        <v/>
      </c>
      <c r="AF2639" s="713" t="str">
        <f t="shared" si="1945"/>
        <v/>
      </c>
      <c r="AG2639" s="713"/>
      <c r="AH2639" s="713"/>
      <c r="AI2639" s="112">
        <f>IF(H2639="credit",0,IF(AE2639="free",0,IF(AE2639="me",0,IF(G2639&gt;0,(VLOOKUP(A2639,'Discount Lookup'!J:K,2)*G2639),0))))</f>
        <v>0</v>
      </c>
      <c r="AJ2639" s="107" t="str">
        <f t="shared" ca="1" si="1946"/>
        <v/>
      </c>
      <c r="AK2639" s="714" t="str">
        <f t="shared" si="1947"/>
        <v/>
      </c>
      <c r="AL2639" s="714"/>
      <c r="AM2639" s="114" t="str">
        <f t="shared" si="1948"/>
        <v/>
      </c>
      <c r="AN2639" s="115"/>
      <c r="AO2639" s="116"/>
      <c r="AP2639" s="116"/>
      <c r="AQ2639" s="116"/>
      <c r="AR2639" s="116"/>
      <c r="AS2639" s="116"/>
      <c r="AT2639" s="116"/>
      <c r="AU2639" s="116"/>
      <c r="AV2639" s="78"/>
      <c r="AW2639" s="102"/>
      <c r="AX2639" s="78"/>
      <c r="AY2639" s="78"/>
      <c r="AZ2639" s="78"/>
      <c r="BA2639" s="78"/>
      <c r="BB2639" s="78"/>
      <c r="BC2639" s="78"/>
      <c r="BD2639" s="78"/>
      <c r="BE2639" s="465"/>
      <c r="BF2639" s="165" t="str">
        <f t="shared" si="1949"/>
        <v>https://www.google.com/search?tbm=isch&amp;q=5%20G3</v>
      </c>
      <c r="BG2639" s="165" t="str">
        <f t="shared" si="1950"/>
        <v>L</v>
      </c>
      <c r="BH2639" s="65"/>
      <c r="BI2639" s="65"/>
      <c r="BJ2639" s="65"/>
      <c r="BK2639" s="65"/>
      <c r="BL2639" s="99"/>
      <c r="BM2639" s="99"/>
      <c r="BN2639" s="99"/>
    </row>
    <row r="2640" spans="1:66" s="51" customFormat="1" ht="17.25" thickBot="1" x14ac:dyDescent="0.3">
      <c r="A2640" s="508" t="s">
        <v>3306</v>
      </c>
      <c r="B2640" s="487"/>
      <c r="C2640" s="707"/>
      <c r="D2640" s="487"/>
      <c r="E2640" s="487"/>
      <c r="F2640" s="488"/>
      <c r="G2640" s="489"/>
      <c r="H2640" s="487"/>
      <c r="I2640" s="490"/>
      <c r="J2640" s="490"/>
      <c r="K2640" s="491"/>
      <c r="L2640" s="547"/>
      <c r="M2640" s="528"/>
      <c r="N2640" s="492"/>
      <c r="O2640" s="493"/>
      <c r="P2640" s="494"/>
      <c r="Q2640" s="492"/>
      <c r="R2640" s="492"/>
      <c r="S2640" s="699" t="s">
        <v>5275</v>
      </c>
      <c r="T2640" s="102">
        <f t="shared" si="1938"/>
        <v>0</v>
      </c>
      <c r="U2640" s="78" t="str">
        <f>IF(NOT(ISNUMBER(G2640)), "", VLOOKUP(A2640,'Discount Lookup'!D:E,2,FALSE)*G2640)</f>
        <v/>
      </c>
      <c r="V2640" s="78" t="str">
        <f>IF(NOT(ISNUMBER(G2640)), "", VLOOKUP(A2640,'Discount Lookup'!G:H,2,FALSE)*G2640)</f>
        <v/>
      </c>
      <c r="W2640" s="102">
        <f t="shared" si="1939"/>
        <v>0</v>
      </c>
      <c r="X2640" s="102">
        <f t="shared" si="1940"/>
        <v>0</v>
      </c>
      <c r="Y2640" s="120" t="b">
        <f t="shared" si="1941"/>
        <v>0</v>
      </c>
      <c r="Z2640" s="117">
        <f t="shared" si="1942"/>
        <v>0</v>
      </c>
      <c r="AA2640" s="118"/>
      <c r="AB2640" s="118" t="str">
        <f t="shared" si="1943"/>
        <v/>
      </c>
      <c r="AC2640" s="712" t="str">
        <f>IF(AE2640="T2G","no charge",IF(AND(OR(PlanterYesMe="No",PlanterYesMe="N",PlanterYesMe="me"),H2640=""),"",IF(H2640="credit","NO install",IF(AND(K2640="",AE2640="me"),"EACH row",IF(AND(K2640="images",AE2640="me"),"EACH row",IF(D2640="","",IF(H2640="credit","",IF(AE2640="free","re-planting",IF(AE2640="me","   not ELP, by",IF(AND(OR(PlanterYesMe="Yes",PlanterYesMe="Y"),G2640&gt;0),(VLOOKUP(A2640,'Discount Lookup'!J:K,2)*G2640*(1-PlanterDiscount)*(1+PlanterDifficultyPercentage)),IF(AE2640="ELP",(VLOOKUP(A2640,'Discount Lookup'!J:K,2)*G2640*(1-PlanterDiscount)*(1+PlanterDifficultyPercentage)),IF(AE2640="free","re-planting",IF(G2640=0,"",IF(PlanterYesMe="",IF(AE2640="me","   not ELP, by",IF(AE2640="",IF(G2640&gt;0,(VLOOKUP(A2640,'Discount Lookup'!J:K,2)*G2640*(1-PlanterDiscount)*(1+PlanterDifficultyPercentage)),""),"")),"   not ELP, by"))))))))))))))</f>
        <v/>
      </c>
      <c r="AD2640" s="712"/>
      <c r="AE2640" s="513" t="str">
        <f t="shared" si="1944"/>
        <v/>
      </c>
      <c r="AF2640" s="713" t="str">
        <f t="shared" si="1945"/>
        <v/>
      </c>
      <c r="AG2640" s="713"/>
      <c r="AH2640" s="713"/>
      <c r="AI2640" s="112">
        <f>IF(H2640="credit",0,IF(AE2640="free",0,IF(AE2640="me",0,IF(G2640&gt;0,(VLOOKUP(A2640,'Discount Lookup'!J:K,2)*G2640),0))))</f>
        <v>0</v>
      </c>
      <c r="AJ2640" s="107" t="str">
        <f t="shared" ca="1" si="1946"/>
        <v/>
      </c>
      <c r="AK2640" s="714" t="str">
        <f t="shared" si="1947"/>
        <v/>
      </c>
      <c r="AL2640" s="714"/>
      <c r="AM2640" s="114" t="str">
        <f t="shared" si="1948"/>
        <v/>
      </c>
      <c r="AN2640" s="115"/>
      <c r="AO2640" s="116"/>
      <c r="AP2640" s="116"/>
      <c r="AQ2640" s="116"/>
      <c r="AR2640" s="116"/>
      <c r="AS2640" s="116"/>
      <c r="AT2640" s="116"/>
      <c r="AU2640" s="116"/>
      <c r="AV2640" s="78"/>
      <c r="AW2640" s="102"/>
      <c r="AX2640" s="78"/>
      <c r="AY2640" s="78"/>
      <c r="AZ2640" s="78"/>
      <c r="BA2640" s="78"/>
      <c r="BB2640" s="78"/>
      <c r="BC2640" s="78"/>
      <c r="BD2640" s="78"/>
      <c r="BE2640" s="465"/>
      <c r="BF2640" s="165" t="str">
        <f t="shared" si="1949"/>
        <v>https://www.google.com/search?tbm=isch&amp;q=Wax%20Leaf%20grows%20fast%2C%20and%20a%20little%20wild-looking%2C%20but%20take%20a%20hedge%20well%2C%20like%20all%20Privet%2C%20Fragran%20flower%20over%20Dark%20Green%20foliage%20</v>
      </c>
      <c r="BG2640" s="165" t="str">
        <f t="shared" si="1950"/>
        <v>W</v>
      </c>
      <c r="BH2640" s="65"/>
      <c r="BI2640" s="65"/>
      <c r="BJ2640" s="65"/>
      <c r="BK2640" s="65"/>
      <c r="BL2640" s="99"/>
      <c r="BM2640" s="99"/>
      <c r="BN2640" s="99"/>
    </row>
    <row r="2641" spans="1:66" s="51" customFormat="1" ht="18" x14ac:dyDescent="0.25">
      <c r="A2641" s="507" t="s">
        <v>3307</v>
      </c>
      <c r="B2641" s="470"/>
      <c r="C2641" s="706"/>
      <c r="D2641" s="471" t="s">
        <v>3308</v>
      </c>
      <c r="E2641" s="472"/>
      <c r="F2641" s="472"/>
      <c r="G2641" s="472"/>
      <c r="H2641" s="622" t="s">
        <v>1498</v>
      </c>
      <c r="I2641" s="473" t="s">
        <v>349</v>
      </c>
      <c r="J2641" s="472"/>
      <c r="K2641" s="472"/>
      <c r="L2641" s="561"/>
      <c r="M2641" s="698" t="s">
        <v>5246</v>
      </c>
      <c r="N2641" s="692" t="str">
        <f>IF(AND(ISTEXT($A2641), ISERROR($A2641+0)), HYPERLINK($BF2641, "Images"), "")</f>
        <v>Images</v>
      </c>
      <c r="O2641" s="694" t="s">
        <v>5264</v>
      </c>
      <c r="P2641" s="475"/>
      <c r="Q2641" s="476"/>
      <c r="R2641" s="476"/>
      <c r="S2641" s="477"/>
      <c r="T2641" s="102">
        <f t="shared" si="1938"/>
        <v>0</v>
      </c>
      <c r="U2641" s="78" t="str">
        <f>IF(NOT(ISNUMBER(G2641)), "", VLOOKUP(A2641,'Discount Lookup'!D:E,2,FALSE)*G2641)</f>
        <v/>
      </c>
      <c r="V2641" s="78" t="str">
        <f>IF(NOT(ISNUMBER(G2641)), "", VLOOKUP(A2641,'Discount Lookup'!G:H,2,FALSE)*G2641)</f>
        <v/>
      </c>
      <c r="W2641" s="102">
        <f t="shared" si="1939"/>
        <v>0</v>
      </c>
      <c r="X2641" s="102" t="str">
        <f t="shared" si="1940"/>
        <v>White bloom</v>
      </c>
      <c r="Y2641" s="120" t="b">
        <f t="shared" si="1941"/>
        <v>0</v>
      </c>
      <c r="Z2641" s="117">
        <f t="shared" si="1942"/>
        <v>0</v>
      </c>
      <c r="AA2641" s="118"/>
      <c r="AB2641" s="118" t="str">
        <f t="shared" si="1943"/>
        <v/>
      </c>
      <c r="AC2641" s="712" t="str">
        <f>IF(AE2641="T2G","no charge",IF(AND(OR(PlanterYesMe="No",PlanterYesMe="N",PlanterYesMe="me"),H2641=""),"",IF(H2641="credit","NO install",IF(AND(K2641="",AE2641="me"),"EACH row",IF(AND(K2641="images",AE2641="me"),"EACH row",IF(D2641="","",IF(H2641="credit","",IF(AE2641="free","re-planting",IF(AE2641="me","   not ELP, by",IF(AND(OR(PlanterYesMe="Yes",PlanterYesMe="Y"),G2641&gt;0),(VLOOKUP(A2641,'Discount Lookup'!J:K,2)*G2641*(1-PlanterDiscount)*(1+PlanterDifficultyPercentage)),IF(AE2641="ELP",(VLOOKUP(A2641,'Discount Lookup'!J:K,2)*G2641*(1-PlanterDiscount)*(1+PlanterDifficultyPercentage)),IF(AE2641="free","re-planting",IF(G2641=0,"",IF(PlanterYesMe="",IF(AE2641="me","   not ELP, by",IF(AE2641="",IF(G2641&gt;0,(VLOOKUP(A2641,'Discount Lookup'!J:K,2)*G2641*(1-PlanterDiscount)*(1+PlanterDifficultyPercentage)),""),"")),"   not ELP, by"))))))))))))))</f>
        <v/>
      </c>
      <c r="AD2641" s="712"/>
      <c r="AE2641" s="513" t="str">
        <f t="shared" si="1944"/>
        <v/>
      </c>
      <c r="AF2641" s="713" t="str">
        <f t="shared" si="1945"/>
        <v/>
      </c>
      <c r="AG2641" s="713"/>
      <c r="AH2641" s="713"/>
      <c r="AI2641" s="112">
        <f>IF(H2641="credit",0,IF(AE2641="free",0,IF(AE2641="me",0,IF(G2641&gt;0,(VLOOKUP(A2641,'Discount Lookup'!J:K,2)*G2641),0))))</f>
        <v>0</v>
      </c>
      <c r="AJ2641" s="107" t="str">
        <f t="shared" ca="1" si="1946"/>
        <v/>
      </c>
      <c r="AK2641" s="714" t="str">
        <f t="shared" si="1947"/>
        <v/>
      </c>
      <c r="AL2641" s="714"/>
      <c r="AM2641" s="114" t="str">
        <f t="shared" si="1948"/>
        <v/>
      </c>
      <c r="AN2641" s="115"/>
      <c r="AO2641" s="116"/>
      <c r="AP2641" s="116"/>
      <c r="AQ2641" s="116"/>
      <c r="AR2641" s="116"/>
      <c r="AS2641" s="116"/>
      <c r="AT2641" s="116"/>
      <c r="AU2641" s="116"/>
      <c r="AV2641" s="78"/>
      <c r="AW2641" s="102"/>
      <c r="AX2641" s="78"/>
      <c r="AY2641" s="78"/>
      <c r="AZ2641" s="78"/>
      <c r="BA2641" s="78"/>
      <c r="BB2641" s="78"/>
      <c r="BC2641" s="78"/>
      <c r="BD2641" s="78"/>
      <c r="BE2641" s="465"/>
      <c r="BF2641" s="165" t="str">
        <f t="shared" si="1949"/>
        <v>https://www.google.com/search?tbm=isch&amp;q=Ligustrum%20japonicum%20%27Coriaceum%27%20Leatherleaf%20Privet</v>
      </c>
      <c r="BG2641" s="165" t="str">
        <f t="shared" si="1950"/>
        <v>L</v>
      </c>
      <c r="BH2641" s="65"/>
      <c r="BI2641" s="65"/>
      <c r="BJ2641" s="65"/>
      <c r="BK2641" s="65"/>
      <c r="BL2641" s="99"/>
      <c r="BM2641" s="99"/>
      <c r="BN2641" s="99"/>
    </row>
    <row r="2642" spans="1:66" s="51" customFormat="1" ht="27" x14ac:dyDescent="0.25">
      <c r="A2642" s="478">
        <v>3</v>
      </c>
      <c r="B2642" s="479" t="s">
        <v>291</v>
      </c>
      <c r="C2642" s="480" t="s">
        <v>5187</v>
      </c>
      <c r="D2642" s="481" t="s">
        <v>299</v>
      </c>
      <c r="E2642" s="482">
        <v>31.95</v>
      </c>
      <c r="F2642" s="483" t="s">
        <v>292</v>
      </c>
      <c r="G2642" s="484">
        <v>0</v>
      </c>
      <c r="H2642" s="688" t="str">
        <f>IF(G2642=0,"",IF(F2642="Buy",IF(G2642=1,"plant","plants"),IF(F2642&gt;0.01,"warranty","Error")))</f>
        <v/>
      </c>
      <c r="I2642" s="485">
        <f>IF(H2642="free",0,IF(H2642="credit",((E2642*(F2642))*G2642*-1),IF(F2642="Buy",(E2642*G2642),((E2642*(1-F2642))*G2642))))</f>
        <v>0</v>
      </c>
      <c r="J2642" s="485">
        <f>IF(H2642="warranty",0,(I2642*(_xlfn.SINGLE(SalesTaxPercentage))))</f>
        <v>0</v>
      </c>
      <c r="K2642" s="715">
        <f t="shared" ref="K2642" si="1992">I2642+J2642</f>
        <v>0</v>
      </c>
      <c r="L2642" s="715"/>
      <c r="M2642" s="689" t="str">
        <f ca="1">IF(AND(G2642&gt;0,E2642=0),"WARNING - no PRICE inserted",IF(H2642="free","FREE ~ no charge this plant",IF(H2642="credit",CONCATENATE("-$",ROUND(K2642*(1-_xlfn.SINGLE(T2GDiscount))*-1,2)," CREDIT after discount"),IF(_xlfn.SINGLE(T2GDiscount)=0,"",IF(G2642=0,"",IF(F2642="Buy",CONCATENATE("$",ROUND(K2642*(1-_xlfn.SINGLE(T2GDiscount)),2)," with ",(_xlfn.SINGLE(T2GDiscount)*100),"% discount"),CONCATENATE("$",ROUND(K2642*(1-_xlfn.SINGLE(T2GDiscount)),2)," with ",((_xlfn.SINGLE(T2GDiscount)*100+F2642*100)-(_xlfn.SINGLE(T2GDiscount)*100*F2642)),IF(F2642&gt;0,"% discounts",IF(_xlfn.SINGLE(NoWarrantyDiscount)&gt;0,"% discounts","% discount")))))))))</f>
        <v/>
      </c>
      <c r="N2642" s="690"/>
      <c r="O2642" s="486"/>
      <c r="P2642" s="486"/>
      <c r="Q2642" s="486"/>
      <c r="R2642" s="486"/>
      <c r="S2642" s="486"/>
      <c r="T2642" s="102">
        <f t="shared" si="1938"/>
        <v>0</v>
      </c>
      <c r="U2642" s="78">
        <f>IF(NOT(ISNUMBER(G2642)), "", VLOOKUP(A2642,'Discount Lookup'!D:E,2,FALSE)*G2642)</f>
        <v>0</v>
      </c>
      <c r="V2642" s="78">
        <f>IF(NOT(ISNUMBER(G2642)), "", VLOOKUP(A2642,'Discount Lookup'!G:H,2,FALSE)*G2642)</f>
        <v>0</v>
      </c>
      <c r="W2642" s="102">
        <f t="shared" si="1939"/>
        <v>0</v>
      </c>
      <c r="X2642" s="102">
        <f t="shared" si="1940"/>
        <v>0</v>
      </c>
      <c r="Y2642" s="120" t="b">
        <f t="shared" si="1941"/>
        <v>0</v>
      </c>
      <c r="Z2642" s="117">
        <f t="shared" si="1942"/>
        <v>0</v>
      </c>
      <c r="AA2642" s="118"/>
      <c r="AB2642" s="118" t="str">
        <f t="shared" si="1943"/>
        <v/>
      </c>
      <c r="AC2642" s="712" t="str">
        <f>IF(AE2642="T2G","no charge",IF(AND(OR(PlanterYesMe="No",PlanterYesMe="N",PlanterYesMe="me"),H2642=""),"",IF(H2642="credit","NO install",IF(AND(K2642="",AE2642="me"),"EACH row",IF(AND(K2642="images",AE2642="me"),"EACH row",IF(D2642="","",IF(H2642="credit","",IF(AE2642="free","re-planting",IF(AE2642="me","   not ELP, by",IF(AND(OR(PlanterYesMe="Yes",PlanterYesMe="Y"),G2642&gt;0),(VLOOKUP(A2642,'Discount Lookup'!J:K,2)*G2642*(1-PlanterDiscount)*(1+PlanterDifficultyPercentage)),IF(AE2642="ELP",(VLOOKUP(A2642,'Discount Lookup'!J:K,2)*G2642*(1-PlanterDiscount)*(1+PlanterDifficultyPercentage)),IF(AE2642="free","re-planting",IF(G2642=0,"",IF(PlanterYesMe="",IF(AE2642="me","   not ELP, by",IF(AE2642="",IF(G2642&gt;0,(VLOOKUP(A2642,'Discount Lookup'!J:K,2)*G2642*(1-PlanterDiscount)*(1+PlanterDifficultyPercentage)),""),"")),"   not ELP, by"))))))))))))))</f>
        <v/>
      </c>
      <c r="AD2642" s="712"/>
      <c r="AE2642" s="513" t="str">
        <f t="shared" si="1944"/>
        <v/>
      </c>
      <c r="AF2642" s="713" t="str">
        <f t="shared" si="1945"/>
        <v/>
      </c>
      <c r="AG2642" s="713"/>
      <c r="AH2642" s="713"/>
      <c r="AI2642" s="112">
        <f>IF(H2642="credit",0,IF(AE2642="free",0,IF(AE2642="me",0,IF(G2642&gt;0,(VLOOKUP(A2642,'Discount Lookup'!J:K,2)*G2642),0))))</f>
        <v>0</v>
      </c>
      <c r="AJ2642" s="107" t="str">
        <f t="shared" ca="1" si="1946"/>
        <v/>
      </c>
      <c r="AK2642" s="714" t="str">
        <f t="shared" si="1947"/>
        <v/>
      </c>
      <c r="AL2642" s="714"/>
      <c r="AM2642" s="114" t="str">
        <f t="shared" si="1948"/>
        <v/>
      </c>
      <c r="AN2642" s="115"/>
      <c r="AO2642" s="116"/>
      <c r="AP2642" s="116"/>
      <c r="AQ2642" s="116"/>
      <c r="AR2642" s="116"/>
      <c r="AS2642" s="116"/>
      <c r="AT2642" s="116"/>
      <c r="AU2642" s="116"/>
      <c r="AV2642" s="78"/>
      <c r="AW2642" s="102"/>
      <c r="AX2642" s="78"/>
      <c r="AY2642" s="78"/>
      <c r="AZ2642" s="78"/>
      <c r="BA2642" s="78"/>
      <c r="BB2642" s="78"/>
      <c r="BC2642" s="78"/>
      <c r="BD2642" s="78"/>
      <c r="BE2642" s="465"/>
      <c r="BF2642" s="165" t="str">
        <f t="shared" si="1949"/>
        <v>https://www.google.com/search?tbm=isch&amp;q=3%20G4</v>
      </c>
      <c r="BG2642" s="165" t="str">
        <f t="shared" si="1950"/>
        <v>L</v>
      </c>
      <c r="BH2642" s="65"/>
      <c r="BI2642" s="65"/>
      <c r="BJ2642" s="65"/>
      <c r="BK2642" s="65"/>
      <c r="BL2642" s="99"/>
      <c r="BM2642" s="99"/>
      <c r="BN2642" s="99"/>
    </row>
    <row r="2643" spans="1:66" s="51" customFormat="1" ht="15.75" x14ac:dyDescent="0.25">
      <c r="A2643" s="478">
        <v>7</v>
      </c>
      <c r="B2643" s="479" t="s">
        <v>291</v>
      </c>
      <c r="C2643" s="480" t="s">
        <v>3309</v>
      </c>
      <c r="D2643" s="481" t="s">
        <v>299</v>
      </c>
      <c r="E2643" s="482">
        <v>100.95</v>
      </c>
      <c r="F2643" s="483" t="s">
        <v>292</v>
      </c>
      <c r="G2643" s="484">
        <v>0</v>
      </c>
      <c r="H2643" s="688" t="str">
        <f>IF(G2643=0,"",IF(F2643="Buy",IF(G2643=1,"plant","plants"),IF(F2643&gt;0.01,"warranty","Error")))</f>
        <v/>
      </c>
      <c r="I2643" s="485">
        <f>IF(H2643="free",0,IF(H2643="credit",((E2643*(F2643))*G2643*-1),IF(F2643="Buy",(E2643*G2643),((E2643*(1-F2643))*G2643))))</f>
        <v>0</v>
      </c>
      <c r="J2643" s="485">
        <f>IF(H2643="warranty",0,(I2643*(_xlfn.SINGLE(SalesTaxPercentage))))</f>
        <v>0</v>
      </c>
      <c r="K2643" s="715">
        <f t="shared" ref="K2643" si="1993">I2643+J2643</f>
        <v>0</v>
      </c>
      <c r="L2643" s="715"/>
      <c r="M2643" s="689" t="str">
        <f ca="1">IF(AND(G2643&gt;0,E2643=0),"WARNING - no PRICE inserted",IF(H2643="free","FREE ~ no charge this plant",IF(H2643="credit",CONCATENATE("-$",ROUND(K2643*(1-_xlfn.SINGLE(T2GDiscount))*-1,2)," CREDIT after discount"),IF(_xlfn.SINGLE(T2GDiscount)=0,"",IF(G2643=0,"",IF(F2643="Buy",CONCATENATE("$",ROUND(K2643*(1-_xlfn.SINGLE(T2GDiscount)),2)," with ",(_xlfn.SINGLE(T2GDiscount)*100),"% discount"),CONCATENATE("$",ROUND(K2643*(1-_xlfn.SINGLE(T2GDiscount)),2)," with ",((_xlfn.SINGLE(T2GDiscount)*100+F2643*100)-(_xlfn.SINGLE(T2GDiscount)*100*F2643)),IF(F2643&gt;0,"% discounts",IF(_xlfn.SINGLE(NoWarrantyDiscount)&gt;0,"% discounts","% discount")))))))))</f>
        <v/>
      </c>
      <c r="N2643" s="690"/>
      <c r="O2643" s="486"/>
      <c r="P2643" s="486"/>
      <c r="Q2643" s="486"/>
      <c r="R2643" s="486"/>
      <c r="S2643" s="486"/>
      <c r="T2643" s="102">
        <f t="shared" si="1938"/>
        <v>0</v>
      </c>
      <c r="U2643" s="78">
        <f>IF(NOT(ISNUMBER(G2643)), "", VLOOKUP(A2643,'Discount Lookup'!D:E,2,FALSE)*G2643)</f>
        <v>0</v>
      </c>
      <c r="V2643" s="78">
        <f>IF(NOT(ISNUMBER(G2643)), "", VLOOKUP(A2643,'Discount Lookup'!G:H,2,FALSE)*G2643)</f>
        <v>0</v>
      </c>
      <c r="W2643" s="102">
        <f t="shared" si="1939"/>
        <v>0</v>
      </c>
      <c r="X2643" s="102">
        <f t="shared" si="1940"/>
        <v>0</v>
      </c>
      <c r="Y2643" s="120" t="b">
        <f t="shared" si="1941"/>
        <v>0</v>
      </c>
      <c r="Z2643" s="117">
        <f t="shared" si="1942"/>
        <v>0</v>
      </c>
      <c r="AA2643" s="118"/>
      <c r="AB2643" s="118" t="str">
        <f t="shared" si="1943"/>
        <v/>
      </c>
      <c r="AC2643" s="712" t="str">
        <f>IF(AE2643="T2G","no charge",IF(AND(OR(PlanterYesMe="No",PlanterYesMe="N",PlanterYesMe="me"),H2643=""),"",IF(H2643="credit","NO install",IF(AND(K2643="",AE2643="me"),"EACH row",IF(AND(K2643="images",AE2643="me"),"EACH row",IF(D2643="","",IF(H2643="credit","",IF(AE2643="free","re-planting",IF(AE2643="me","   not ELP, by",IF(AND(OR(PlanterYesMe="Yes",PlanterYesMe="Y"),G2643&gt;0),(VLOOKUP(A2643,'Discount Lookup'!J:K,2)*G2643*(1-PlanterDiscount)*(1+PlanterDifficultyPercentage)),IF(AE2643="ELP",(VLOOKUP(A2643,'Discount Lookup'!J:K,2)*G2643*(1-PlanterDiscount)*(1+PlanterDifficultyPercentage)),IF(AE2643="free","re-planting",IF(G2643=0,"",IF(PlanterYesMe="",IF(AE2643="me","   not ELP, by",IF(AE2643="",IF(G2643&gt;0,(VLOOKUP(A2643,'Discount Lookup'!J:K,2)*G2643*(1-PlanterDiscount)*(1+PlanterDifficultyPercentage)),""),"")),"   not ELP, by"))))))))))))))</f>
        <v/>
      </c>
      <c r="AD2643" s="712"/>
      <c r="AE2643" s="513" t="str">
        <f t="shared" si="1944"/>
        <v/>
      </c>
      <c r="AF2643" s="713" t="str">
        <f t="shared" si="1945"/>
        <v/>
      </c>
      <c r="AG2643" s="713"/>
      <c r="AH2643" s="713"/>
      <c r="AI2643" s="112">
        <f>IF(H2643="credit",0,IF(AE2643="free",0,IF(AE2643="me",0,IF(G2643&gt;0,(VLOOKUP(A2643,'Discount Lookup'!J:K,2)*G2643),0))))</f>
        <v>0</v>
      </c>
      <c r="AJ2643" s="107" t="str">
        <f t="shared" ca="1" si="1946"/>
        <v/>
      </c>
      <c r="AK2643" s="714" t="str">
        <f t="shared" si="1947"/>
        <v/>
      </c>
      <c r="AL2643" s="714"/>
      <c r="AM2643" s="114" t="str">
        <f t="shared" si="1948"/>
        <v/>
      </c>
      <c r="AN2643" s="115"/>
      <c r="AO2643" s="116"/>
      <c r="AP2643" s="116"/>
      <c r="AQ2643" s="116"/>
      <c r="AR2643" s="116"/>
      <c r="AS2643" s="116"/>
      <c r="AT2643" s="116"/>
      <c r="AU2643" s="116"/>
      <c r="AV2643" s="78"/>
      <c r="AW2643" s="102"/>
      <c r="AX2643" s="78"/>
      <c r="AY2643" s="78"/>
      <c r="AZ2643" s="78"/>
      <c r="BA2643" s="78"/>
      <c r="BB2643" s="78"/>
      <c r="BC2643" s="78"/>
      <c r="BD2643" s="78"/>
      <c r="BE2643" s="465"/>
      <c r="BF2643" s="165" t="str">
        <f t="shared" si="1949"/>
        <v>https://www.google.com/search?tbm=isch&amp;q=7%20G4</v>
      </c>
      <c r="BG2643" s="165" t="str">
        <f t="shared" si="1950"/>
        <v>L</v>
      </c>
      <c r="BH2643" s="65"/>
      <c r="BI2643" s="65"/>
      <c r="BJ2643" s="65"/>
      <c r="BK2643" s="65"/>
      <c r="BL2643" s="99"/>
      <c r="BM2643" s="99"/>
      <c r="BN2643" s="99"/>
    </row>
    <row r="2644" spans="1:66" s="51" customFormat="1" ht="15.75" x14ac:dyDescent="0.25">
      <c r="A2644" s="478">
        <v>15</v>
      </c>
      <c r="B2644" s="479" t="s">
        <v>291</v>
      </c>
      <c r="C2644" s="480" t="s">
        <v>2305</v>
      </c>
      <c r="D2644" s="481" t="s">
        <v>299</v>
      </c>
      <c r="E2644" s="482">
        <v>194.95</v>
      </c>
      <c r="F2644" s="483" t="s">
        <v>292</v>
      </c>
      <c r="G2644" s="484">
        <v>0</v>
      </c>
      <c r="H2644" s="688" t="str">
        <f>IF(G2644=0,"",IF(F2644="Buy",IF(G2644=1,"plant","plants"),IF(F2644&gt;0.01,"warranty","Error")))</f>
        <v/>
      </c>
      <c r="I2644" s="485">
        <f>IF(H2644="free",0,IF(H2644="credit",((E2644*(F2644))*G2644*-1),IF(F2644="Buy",(E2644*G2644),((E2644*(1-F2644))*G2644))))</f>
        <v>0</v>
      </c>
      <c r="J2644" s="485">
        <f>IF(H2644="warranty",0,(I2644*(_xlfn.SINGLE(SalesTaxPercentage))))</f>
        <v>0</v>
      </c>
      <c r="K2644" s="715">
        <f t="shared" ref="K2644" si="1994">I2644+J2644</f>
        <v>0</v>
      </c>
      <c r="L2644" s="715"/>
      <c r="M2644" s="689" t="str">
        <f ca="1">IF(AND(G2644&gt;0,E2644=0),"WARNING - no PRICE inserted",IF(H2644="free","FREE ~ no charge this plant",IF(H2644="credit",CONCATENATE("-$",ROUND(K2644*(1-_xlfn.SINGLE(T2GDiscount))*-1,2)," CREDIT after discount"),IF(_xlfn.SINGLE(T2GDiscount)=0,"",IF(G2644=0,"",IF(F2644="Buy",CONCATENATE("$",ROUND(K2644*(1-_xlfn.SINGLE(T2GDiscount)),2)," with ",(_xlfn.SINGLE(T2GDiscount)*100),"% discount"),CONCATENATE("$",ROUND(K2644*(1-_xlfn.SINGLE(T2GDiscount)),2)," with ",((_xlfn.SINGLE(T2GDiscount)*100+F2644*100)-(_xlfn.SINGLE(T2GDiscount)*100*F2644)),IF(F2644&gt;0,"% discounts",IF(_xlfn.SINGLE(NoWarrantyDiscount)&gt;0,"% discounts","% discount")))))))))</f>
        <v/>
      </c>
      <c r="N2644" s="690"/>
      <c r="O2644" s="486"/>
      <c r="P2644" s="486"/>
      <c r="Q2644" s="486"/>
      <c r="R2644" s="486"/>
      <c r="S2644" s="486"/>
      <c r="T2644" s="102">
        <f t="shared" ref="T2644:T2707" si="1995">E2644*G2644</f>
        <v>0</v>
      </c>
      <c r="U2644" s="78">
        <f>IF(NOT(ISNUMBER(G2644)), "", VLOOKUP(A2644,'Discount Lookup'!D:E,2,FALSE)*G2644)</f>
        <v>0</v>
      </c>
      <c r="V2644" s="78">
        <f>IF(NOT(ISNUMBER(G2644)), "", VLOOKUP(A2644,'Discount Lookup'!G:H,2,FALSE)*G2644)</f>
        <v>0</v>
      </c>
      <c r="W2644" s="102">
        <f t="shared" ref="W2644:W2707" si="1996">IF(H2644="credit",0,E2644*(SalesTaxPercentage)*G2644)</f>
        <v>0</v>
      </c>
      <c r="X2644" s="102">
        <f t="shared" ref="X2644:X2707" si="1997">I2644</f>
        <v>0</v>
      </c>
      <c r="Y2644" s="120" t="b">
        <f t="shared" ref="Y2644:Y2707" si="1998">IF(AE2644="T2G",0,IF(H2644="credit",0,IF(G2644&gt;0,IF(AE2644="me","",G2644))))</f>
        <v>0</v>
      </c>
      <c r="Z2644" s="117">
        <f t="shared" ref="Z2644:Z2707" si="1999">IF(H2644="credit",G2644,0)</f>
        <v>0</v>
      </c>
      <c r="AA2644" s="118"/>
      <c r="AB2644" s="118" t="str">
        <f t="shared" ref="AB2644:AB2707" si="2000">IF(AE2644="T2G","by Trees2Go",IF(H2644="credit","CREDIT only ~",IF(AND(K2644="",AE2644=OR(PlanterYesMe="No",PlanterYesMe="N",PlanterYesMe="me")),"not THIS line⇨",IF(AND(K2644="images",AE2644="me"),"not THIS line⇨",IF(H2644="credit","",IF(G2644=0,"",IF(AE2644="me","",IF(OR(PlanterYesMe="No",PlanterYesMe="N",PlanterYesMe="me"),"",IF(AE2644="free","warranty",IF(OR(PlanterYesMe="yes",PlanterYesMe="y"),"Edison install:","to install:"))))))))))</f>
        <v/>
      </c>
      <c r="AC2644" s="712" t="str">
        <f>IF(AE2644="T2G","no charge",IF(AND(OR(PlanterYesMe="No",PlanterYesMe="N",PlanterYesMe="me"),H2644=""),"",IF(H2644="credit","NO install",IF(AND(K2644="",AE2644="me"),"EACH row",IF(AND(K2644="images",AE2644="me"),"EACH row",IF(D2644="","",IF(H2644="credit","",IF(AE2644="free","re-planting",IF(AE2644="me","   not ELP, by",IF(AND(OR(PlanterYesMe="Yes",PlanterYesMe="Y"),G2644&gt;0),(VLOOKUP(A2644,'Discount Lookup'!J:K,2)*G2644*(1-PlanterDiscount)*(1+PlanterDifficultyPercentage)),IF(AE2644="ELP",(VLOOKUP(A2644,'Discount Lookup'!J:K,2)*G2644*(1-PlanterDiscount)*(1+PlanterDifficultyPercentage)),IF(AE2644="free","re-planting",IF(G2644=0,"",IF(PlanterYesMe="",IF(AE2644="me","   not ELP, by",IF(AE2644="",IF(G2644&gt;0,(VLOOKUP(A2644,'Discount Lookup'!J:K,2)*G2644*(1-PlanterDiscount)*(1+PlanterDifficultyPercentage)),""),"")),"   not ELP, by"))))))))))))))</f>
        <v/>
      </c>
      <c r="AD2644" s="712"/>
      <c r="AE2644" s="513" t="str">
        <f t="shared" ref="AE2644:AE2707" si="2001">IF(H2644="credit","",IF(G2644=0,"",IF(OR(PlanterYesMe="No",PlanterYesMe="N",PlanterYesMe="me"),"me",IF(H2644="warranty","free",IF(OR(PlanterYesMe="yes",PlanterYesMe="y"),"ELP","")))))</f>
        <v/>
      </c>
      <c r="AF2644" s="713" t="str">
        <f t="shared" ref="AF2644:AF2707" si="2002">IF(OR(PlanterYesMe="No",PlanterYesMe="N",PlanterYesMe="me"),"",IF(H2644="credit","",IF(G2644&gt;0,(CONCATENATE((G2644)," quantity, ",(A2644)," ",B2644)),"")))</f>
        <v/>
      </c>
      <c r="AG2644" s="713"/>
      <c r="AH2644" s="713"/>
      <c r="AI2644" s="112">
        <f>IF(H2644="credit",0,IF(AE2644="free",0,IF(AE2644="me",0,IF(G2644&gt;0,(VLOOKUP(A2644,'Discount Lookup'!J:K,2)*G2644),0))))</f>
        <v>0</v>
      </c>
      <c r="AJ2644" s="107" t="str">
        <f t="shared" ref="AJ2644:AJ2707" ca="1" si="2003">IF(AND(ISREF(H2644),H2644="credit"),"",IF(AND(AND(OFFSET(G2644,0,0)=0,OFFSET(G2644,1,0)&gt;0,ISNUMBER(OFFSET(AC2644,1,0)),OFFSET(AC2644,1,0)&gt;0),OR(PlanterYesMe="yes",PlanterYesMe="y")),"T2G+ELP=",IF(AND(OFFSET(G2644,0,0)=0,OFFSET(G2644,1,0)&gt;0,ISNUMBER(OFFSET(AC2644,1,0)),OFFSET(AC2644,1,0)&gt;0),"if T2G+ELP=",IF(AND(OFFSET(G2644,0,0)=0,OFFSET(G2644,1,0)&gt;0),"T2G Subtotal",IF(H2644="credit","",IF(G2644=0,"",IF(AE2644="free",(K2644*(1-T2GDiscount)),IF(OR(PlanterYesMe="No",PlanterYesMe="N",PlanterYesMe="me"),(K2644*(1-T2GDiscount)),IF(OR(AE2644="me",AE2644="T2G"),(K2644*(1-T2GDiscount)),(K2644*(1-T2GDiscount))+AC2644)))))))))</f>
        <v/>
      </c>
      <c r="AK2644" s="714" t="str">
        <f t="shared" ref="AK2644:AK2707" si="2004">IF(H2644="credit","",IF(G2644=0,"",IF(OR(AE2644="me",AE2644="T2G"),"  delivery-only",IF(OR(PlanterYesMe="No",PlanterYesMe="N",PlanterYesMe="me"),"  delivery-only",CONCATENATE(" $",ROUND(AJ2644/G2644,2)," each")))))</f>
        <v/>
      </c>
      <c r="AL2644" s="714"/>
      <c r="AM2644" s="114" t="str">
        <f t="shared" ref="AM2644:AM2707" si="2005">IF(H2644="credit","",IF(AE2644="free","      ~ discounts included, no tax or planting fee applies ~",IF(G2644=0,"",IF(OR(PlanterYesMe="No",PlanterYesMe="N",PlanterYesMe="me"),CONCATENATE(" $",ROUND(AJ2644/G2644,2)," per plant, with tax &amp; discount"),IF(OR(AE2644="me",AE2644="T2G"),CONCATENATE(" $",ROUND(AJ2644/G2644,2)," per plant, with tax &amp; discount"),CONCATENATE("= $",ROUND((K2644*(1-T2GDiscount))/G2644,2)," per plant + $",AC2644/G2644,(" per planting      ~ includes tax &amp; discounts ~")))))))</f>
        <v/>
      </c>
      <c r="AN2644" s="115"/>
      <c r="AO2644" s="116"/>
      <c r="AP2644" s="116"/>
      <c r="AQ2644" s="116"/>
      <c r="AR2644" s="116"/>
      <c r="AS2644" s="116"/>
      <c r="AT2644" s="116"/>
      <c r="AU2644" s="116"/>
      <c r="AV2644" s="78"/>
      <c r="AW2644" s="102"/>
      <c r="AX2644" s="78"/>
      <c r="AY2644" s="78"/>
      <c r="AZ2644" s="78"/>
      <c r="BA2644" s="78"/>
      <c r="BB2644" s="78"/>
      <c r="BC2644" s="78"/>
      <c r="BD2644" s="78"/>
      <c r="BE2644" s="465"/>
      <c r="BF2644" s="165" t="str">
        <f t="shared" ref="BF2644:BF2707" si="2006">"https://www.google.com/search?tbm=isch&amp;q=" &amp; _xlfn.ENCODEURL($A2644 &amp; " " &amp; $D2644)</f>
        <v>https://www.google.com/search?tbm=isch&amp;q=15%20G4</v>
      </c>
      <c r="BG2644" s="165" t="str">
        <f t="shared" ref="BG2644:BG2707" si="2007">IF(ISTEXT(A2644),LEFT(A2644,1),BG2643)</f>
        <v>L</v>
      </c>
      <c r="BH2644" s="65"/>
      <c r="BI2644" s="65"/>
      <c r="BJ2644" s="65"/>
      <c r="BK2644" s="65"/>
      <c r="BL2644" s="99"/>
      <c r="BM2644" s="99"/>
      <c r="BN2644" s="99"/>
    </row>
    <row r="2645" spans="1:66" s="51" customFormat="1" ht="17.25" thickBot="1" x14ac:dyDescent="0.3">
      <c r="A2645" s="508" t="s">
        <v>3310</v>
      </c>
      <c r="B2645" s="487"/>
      <c r="C2645" s="707"/>
      <c r="D2645" s="487"/>
      <c r="E2645" s="487"/>
      <c r="F2645" s="488"/>
      <c r="G2645" s="489"/>
      <c r="H2645" s="487"/>
      <c r="I2645" s="490"/>
      <c r="J2645" s="490"/>
      <c r="K2645" s="491"/>
      <c r="L2645" s="547"/>
      <c r="M2645" s="528"/>
      <c r="N2645" s="492"/>
      <c r="O2645" s="493"/>
      <c r="P2645" s="494"/>
      <c r="Q2645" s="492"/>
      <c r="R2645" s="492"/>
      <c r="S2645" s="699" t="s">
        <v>5268</v>
      </c>
      <c r="T2645" s="102">
        <f t="shared" si="1995"/>
        <v>0</v>
      </c>
      <c r="U2645" s="78" t="str">
        <f>IF(NOT(ISNUMBER(G2645)), "", VLOOKUP(A2645,'Discount Lookup'!D:E,2,FALSE)*G2645)</f>
        <v/>
      </c>
      <c r="V2645" s="78" t="str">
        <f>IF(NOT(ISNUMBER(G2645)), "", VLOOKUP(A2645,'Discount Lookup'!G:H,2,FALSE)*G2645)</f>
        <v/>
      </c>
      <c r="W2645" s="102">
        <f t="shared" si="1996"/>
        <v>0</v>
      </c>
      <c r="X2645" s="102">
        <f t="shared" si="1997"/>
        <v>0</v>
      </c>
      <c r="Y2645" s="120" t="b">
        <f t="shared" si="1998"/>
        <v>0</v>
      </c>
      <c r="Z2645" s="117">
        <f t="shared" si="1999"/>
        <v>0</v>
      </c>
      <c r="AA2645" s="118"/>
      <c r="AB2645" s="118" t="str">
        <f t="shared" si="2000"/>
        <v/>
      </c>
      <c r="AC2645" s="712" t="str">
        <f>IF(AE2645="T2G","no charge",IF(AND(OR(PlanterYesMe="No",PlanterYesMe="N",PlanterYesMe="me"),H2645=""),"",IF(H2645="credit","NO install",IF(AND(K2645="",AE2645="me"),"EACH row",IF(AND(K2645="images",AE2645="me"),"EACH row",IF(D2645="","",IF(H2645="credit","",IF(AE2645="free","re-planting",IF(AE2645="me","   not ELP, by",IF(AND(OR(PlanterYesMe="Yes",PlanterYesMe="Y"),G2645&gt;0),(VLOOKUP(A2645,'Discount Lookup'!J:K,2)*G2645*(1-PlanterDiscount)*(1+PlanterDifficultyPercentage)),IF(AE2645="ELP",(VLOOKUP(A2645,'Discount Lookup'!J:K,2)*G2645*(1-PlanterDiscount)*(1+PlanterDifficultyPercentage)),IF(AE2645="free","re-planting",IF(G2645=0,"",IF(PlanterYesMe="",IF(AE2645="me","   not ELP, by",IF(AE2645="",IF(G2645&gt;0,(VLOOKUP(A2645,'Discount Lookup'!J:K,2)*G2645*(1-PlanterDiscount)*(1+PlanterDifficultyPercentage)),""),"")),"   not ELP, by"))))))))))))))</f>
        <v/>
      </c>
      <c r="AD2645" s="712"/>
      <c r="AE2645" s="513" t="str">
        <f t="shared" si="2001"/>
        <v/>
      </c>
      <c r="AF2645" s="713" t="str">
        <f t="shared" si="2002"/>
        <v/>
      </c>
      <c r="AG2645" s="713"/>
      <c r="AH2645" s="713"/>
      <c r="AI2645" s="112">
        <f>IF(H2645="credit",0,IF(AE2645="free",0,IF(AE2645="me",0,IF(G2645&gt;0,(VLOOKUP(A2645,'Discount Lookup'!J:K,2)*G2645),0))))</f>
        <v>0</v>
      </c>
      <c r="AJ2645" s="107" t="str">
        <f t="shared" ca="1" si="2003"/>
        <v/>
      </c>
      <c r="AK2645" s="714" t="str">
        <f t="shared" si="2004"/>
        <v/>
      </c>
      <c r="AL2645" s="714"/>
      <c r="AM2645" s="114" t="str">
        <f t="shared" si="2005"/>
        <v/>
      </c>
      <c r="AN2645" s="115"/>
      <c r="AO2645" s="116"/>
      <c r="AP2645" s="116"/>
      <c r="AQ2645" s="116"/>
      <c r="AR2645" s="116"/>
      <c r="AS2645" s="116"/>
      <c r="AT2645" s="116"/>
      <c r="AU2645" s="116"/>
      <c r="AV2645" s="78"/>
      <c r="AW2645" s="102"/>
      <c r="AX2645" s="78"/>
      <c r="AY2645" s="78"/>
      <c r="AZ2645" s="78"/>
      <c r="BA2645" s="78"/>
      <c r="BB2645" s="78"/>
      <c r="BC2645" s="78"/>
      <c r="BD2645" s="78"/>
      <c r="BE2645" s="465"/>
      <c r="BF2645" s="165" t="str">
        <f t="shared" si="2006"/>
        <v>https://www.google.com/search?tbm=isch&amp;q=Leatherleaf%20has%20exceptionally%20thick%2C%20leathery%2C%20and%20concave%20Dark%20Green%20leaves.%20Dark%20berries.%20Slow%20grower%20</v>
      </c>
      <c r="BG2645" s="165" t="str">
        <f t="shared" si="2007"/>
        <v>L</v>
      </c>
      <c r="BH2645" s="65"/>
      <c r="BI2645" s="65"/>
      <c r="BJ2645" s="65"/>
      <c r="BK2645" s="65"/>
      <c r="BL2645" s="99"/>
      <c r="BM2645" s="99"/>
      <c r="BN2645" s="99"/>
    </row>
    <row r="2646" spans="1:66" s="51" customFormat="1" ht="18" x14ac:dyDescent="0.25">
      <c r="A2646" s="507" t="s">
        <v>3311</v>
      </c>
      <c r="B2646" s="470"/>
      <c r="C2646" s="706"/>
      <c r="D2646" s="471" t="s">
        <v>3312</v>
      </c>
      <c r="E2646" s="472"/>
      <c r="F2646" s="472"/>
      <c r="G2646" s="472"/>
      <c r="H2646" s="622" t="s">
        <v>1246</v>
      </c>
      <c r="I2646" s="473" t="s">
        <v>349</v>
      </c>
      <c r="J2646" s="472"/>
      <c r="K2646" s="472"/>
      <c r="L2646" s="561"/>
      <c r="M2646" s="698" t="s">
        <v>5246</v>
      </c>
      <c r="N2646" s="692" t="str">
        <f>IF(AND(ISTEXT($A2646), ISERROR($A2646+0)), HYPERLINK($BF2646, "Images"), "")</f>
        <v>Images</v>
      </c>
      <c r="O2646" s="694" t="s">
        <v>5264</v>
      </c>
      <c r="P2646" s="475"/>
      <c r="Q2646" s="476"/>
      <c r="R2646" s="476"/>
      <c r="S2646" s="477"/>
      <c r="T2646" s="102">
        <f t="shared" si="1995"/>
        <v>0</v>
      </c>
      <c r="U2646" s="78" t="str">
        <f>IF(NOT(ISNUMBER(G2646)), "", VLOOKUP(A2646,'Discount Lookup'!D:E,2,FALSE)*G2646)</f>
        <v/>
      </c>
      <c r="V2646" s="78" t="str">
        <f>IF(NOT(ISNUMBER(G2646)), "", VLOOKUP(A2646,'Discount Lookup'!G:H,2,FALSE)*G2646)</f>
        <v/>
      </c>
      <c r="W2646" s="102">
        <f t="shared" si="1996"/>
        <v>0</v>
      </c>
      <c r="X2646" s="102" t="str">
        <f t="shared" si="1997"/>
        <v>White bloom</v>
      </c>
      <c r="Y2646" s="120" t="b">
        <f t="shared" si="1998"/>
        <v>0</v>
      </c>
      <c r="Z2646" s="117">
        <f t="shared" si="1999"/>
        <v>0</v>
      </c>
      <c r="AA2646" s="118"/>
      <c r="AB2646" s="118" t="str">
        <f t="shared" si="2000"/>
        <v/>
      </c>
      <c r="AC2646" s="712" t="str">
        <f>IF(AE2646="T2G","no charge",IF(AND(OR(PlanterYesMe="No",PlanterYesMe="N",PlanterYesMe="me"),H2646=""),"",IF(H2646="credit","NO install",IF(AND(K2646="",AE2646="me"),"EACH row",IF(AND(K2646="images",AE2646="me"),"EACH row",IF(D2646="","",IF(H2646="credit","",IF(AE2646="free","re-planting",IF(AE2646="me","   not ELP, by",IF(AND(OR(PlanterYesMe="Yes",PlanterYesMe="Y"),G2646&gt;0),(VLOOKUP(A2646,'Discount Lookup'!J:K,2)*G2646*(1-PlanterDiscount)*(1+PlanterDifficultyPercentage)),IF(AE2646="ELP",(VLOOKUP(A2646,'Discount Lookup'!J:K,2)*G2646*(1-PlanterDiscount)*(1+PlanterDifficultyPercentage)),IF(AE2646="free","re-planting",IF(G2646=0,"",IF(PlanterYesMe="",IF(AE2646="me","   not ELP, by",IF(AE2646="",IF(G2646&gt;0,(VLOOKUP(A2646,'Discount Lookup'!J:K,2)*G2646*(1-PlanterDiscount)*(1+PlanterDifficultyPercentage)),""),"")),"   not ELP, by"))))))))))))))</f>
        <v/>
      </c>
      <c r="AD2646" s="712"/>
      <c r="AE2646" s="513" t="str">
        <f t="shared" si="2001"/>
        <v/>
      </c>
      <c r="AF2646" s="713" t="str">
        <f t="shared" si="2002"/>
        <v/>
      </c>
      <c r="AG2646" s="713"/>
      <c r="AH2646" s="713"/>
      <c r="AI2646" s="112">
        <f>IF(H2646="credit",0,IF(AE2646="free",0,IF(AE2646="me",0,IF(G2646&gt;0,(VLOOKUP(A2646,'Discount Lookup'!J:K,2)*G2646),0))))</f>
        <v>0</v>
      </c>
      <c r="AJ2646" s="107" t="str">
        <f t="shared" ca="1" si="2003"/>
        <v/>
      </c>
      <c r="AK2646" s="714" t="str">
        <f t="shared" si="2004"/>
        <v/>
      </c>
      <c r="AL2646" s="714"/>
      <c r="AM2646" s="114" t="str">
        <f t="shared" si="2005"/>
        <v/>
      </c>
      <c r="AN2646" s="115"/>
      <c r="AO2646" s="116"/>
      <c r="AP2646" s="116"/>
      <c r="AQ2646" s="116"/>
      <c r="AR2646" s="116"/>
      <c r="AS2646" s="116"/>
      <c r="AT2646" s="116"/>
      <c r="AU2646" s="116"/>
      <c r="AV2646" s="78"/>
      <c r="AW2646" s="102"/>
      <c r="AX2646" s="78"/>
      <c r="AY2646" s="78"/>
      <c r="AZ2646" s="78"/>
      <c r="BA2646" s="78"/>
      <c r="BB2646" s="78"/>
      <c r="BC2646" s="78"/>
      <c r="BD2646" s="78"/>
      <c r="BE2646" s="465"/>
      <c r="BF2646" s="165" t="str">
        <f t="shared" si="2006"/>
        <v>https://www.google.com/search?tbm=isch&amp;q=Ligustrum%20japonicum%20%27Davidson%20Hardy%27%20Davidson%20Hardy%20Privet</v>
      </c>
      <c r="BG2646" s="165" t="str">
        <f t="shared" si="2007"/>
        <v>L</v>
      </c>
      <c r="BH2646" s="65"/>
      <c r="BI2646" s="65"/>
      <c r="BJ2646" s="65"/>
      <c r="BK2646" s="65"/>
      <c r="BL2646" s="99"/>
      <c r="BM2646" s="99"/>
      <c r="BN2646" s="99"/>
    </row>
    <row r="2647" spans="1:66" s="51" customFormat="1" ht="15.75" x14ac:dyDescent="0.25">
      <c r="A2647" s="478">
        <v>10</v>
      </c>
      <c r="B2647" s="479" t="s">
        <v>291</v>
      </c>
      <c r="C2647" s="480" t="s">
        <v>3313</v>
      </c>
      <c r="D2647" s="481" t="s">
        <v>299</v>
      </c>
      <c r="E2647" s="482">
        <v>95.95</v>
      </c>
      <c r="F2647" s="483" t="s">
        <v>292</v>
      </c>
      <c r="G2647" s="484">
        <v>0</v>
      </c>
      <c r="H2647" s="688" t="str">
        <f>IF(G2647=0,"",IF(F2647="Buy",IF(G2647=1,"plant","plants"),IF(F2647&gt;0.01,"warranty","Error")))</f>
        <v/>
      </c>
      <c r="I2647" s="485">
        <f>IF(H2647="free",0,IF(H2647="credit",((E2647*(F2647))*G2647*-1),IF(F2647="Buy",(E2647*G2647),((E2647*(1-F2647))*G2647))))</f>
        <v>0</v>
      </c>
      <c r="J2647" s="485">
        <f>IF(H2647="warranty",0,(I2647*(_xlfn.SINGLE(SalesTaxPercentage))))</f>
        <v>0</v>
      </c>
      <c r="K2647" s="715">
        <f t="shared" ref="K2647" si="2008">I2647+J2647</f>
        <v>0</v>
      </c>
      <c r="L2647" s="715"/>
      <c r="M2647" s="689" t="str">
        <f ca="1">IF(AND(G2647&gt;0,E2647=0),"WARNING - no PRICE inserted",IF(H2647="free","FREE ~ no charge this plant",IF(H2647="credit",CONCATENATE("-$",ROUND(K2647*(1-_xlfn.SINGLE(T2GDiscount))*-1,2)," CREDIT after discount"),IF(_xlfn.SINGLE(T2GDiscount)=0,"",IF(G2647=0,"",IF(F2647="Buy",CONCATENATE("$",ROUND(K2647*(1-_xlfn.SINGLE(T2GDiscount)),2)," with ",(_xlfn.SINGLE(T2GDiscount)*100),"% discount"),CONCATENATE("$",ROUND(K2647*(1-_xlfn.SINGLE(T2GDiscount)),2)," with ",((_xlfn.SINGLE(T2GDiscount)*100+F2647*100)-(_xlfn.SINGLE(T2GDiscount)*100*F2647)),IF(F2647&gt;0,"% discounts",IF(_xlfn.SINGLE(NoWarrantyDiscount)&gt;0,"% discounts","% discount")))))))))</f>
        <v/>
      </c>
      <c r="N2647" s="690"/>
      <c r="O2647" s="486"/>
      <c r="P2647" s="486"/>
      <c r="Q2647" s="486"/>
      <c r="R2647" s="486"/>
      <c r="S2647" s="486"/>
      <c r="T2647" s="102">
        <f t="shared" si="1995"/>
        <v>0</v>
      </c>
      <c r="U2647" s="78">
        <f>IF(NOT(ISNUMBER(G2647)), "", VLOOKUP(A2647,'Discount Lookup'!D:E,2,FALSE)*G2647)</f>
        <v>0</v>
      </c>
      <c r="V2647" s="78">
        <f>IF(NOT(ISNUMBER(G2647)), "", VLOOKUP(A2647,'Discount Lookup'!G:H,2,FALSE)*G2647)</f>
        <v>0</v>
      </c>
      <c r="W2647" s="102">
        <f t="shared" si="1996"/>
        <v>0</v>
      </c>
      <c r="X2647" s="102">
        <f t="shared" si="1997"/>
        <v>0</v>
      </c>
      <c r="Y2647" s="120" t="b">
        <f t="shared" si="1998"/>
        <v>0</v>
      </c>
      <c r="Z2647" s="117">
        <f t="shared" si="1999"/>
        <v>0</v>
      </c>
      <c r="AA2647" s="118"/>
      <c r="AB2647" s="118" t="str">
        <f t="shared" si="2000"/>
        <v/>
      </c>
      <c r="AC2647" s="712" t="str">
        <f>IF(AE2647="T2G","no charge",IF(AND(OR(PlanterYesMe="No",PlanterYesMe="N",PlanterYesMe="me"),H2647=""),"",IF(H2647="credit","NO install",IF(AND(K2647="",AE2647="me"),"EACH row",IF(AND(K2647="images",AE2647="me"),"EACH row",IF(D2647="","",IF(H2647="credit","",IF(AE2647="free","re-planting",IF(AE2647="me","   not ELP, by",IF(AND(OR(PlanterYesMe="Yes",PlanterYesMe="Y"),G2647&gt;0),(VLOOKUP(A2647,'Discount Lookup'!J:K,2)*G2647*(1-PlanterDiscount)*(1+PlanterDifficultyPercentage)),IF(AE2647="ELP",(VLOOKUP(A2647,'Discount Lookup'!J:K,2)*G2647*(1-PlanterDiscount)*(1+PlanterDifficultyPercentage)),IF(AE2647="free","re-planting",IF(G2647=0,"",IF(PlanterYesMe="",IF(AE2647="me","   not ELP, by",IF(AE2647="",IF(G2647&gt;0,(VLOOKUP(A2647,'Discount Lookup'!J:K,2)*G2647*(1-PlanterDiscount)*(1+PlanterDifficultyPercentage)),""),"")),"   not ELP, by"))))))))))))))</f>
        <v/>
      </c>
      <c r="AD2647" s="712"/>
      <c r="AE2647" s="513" t="str">
        <f t="shared" si="2001"/>
        <v/>
      </c>
      <c r="AF2647" s="713" t="str">
        <f t="shared" si="2002"/>
        <v/>
      </c>
      <c r="AG2647" s="713"/>
      <c r="AH2647" s="713"/>
      <c r="AI2647" s="112">
        <f>IF(H2647="credit",0,IF(AE2647="free",0,IF(AE2647="me",0,IF(G2647&gt;0,(VLOOKUP(A2647,'Discount Lookup'!J:K,2)*G2647),0))))</f>
        <v>0</v>
      </c>
      <c r="AJ2647" s="107" t="str">
        <f t="shared" ca="1" si="2003"/>
        <v/>
      </c>
      <c r="AK2647" s="714" t="str">
        <f t="shared" si="2004"/>
        <v/>
      </c>
      <c r="AL2647" s="714"/>
      <c r="AM2647" s="114" t="str">
        <f t="shared" si="2005"/>
        <v/>
      </c>
      <c r="AN2647" s="115"/>
      <c r="AO2647" s="116"/>
      <c r="AP2647" s="116"/>
      <c r="AQ2647" s="116"/>
      <c r="AR2647" s="116"/>
      <c r="AS2647" s="116"/>
      <c r="AT2647" s="116"/>
      <c r="AU2647" s="116"/>
      <c r="AV2647" s="78"/>
      <c r="AW2647" s="102"/>
      <c r="AX2647" s="78"/>
      <c r="AY2647" s="78"/>
      <c r="AZ2647" s="78"/>
      <c r="BA2647" s="78"/>
      <c r="BB2647" s="78"/>
      <c r="BC2647" s="78"/>
      <c r="BD2647" s="78"/>
      <c r="BE2647" s="465"/>
      <c r="BF2647" s="165" t="str">
        <f t="shared" si="2006"/>
        <v>https://www.google.com/search?tbm=isch&amp;q=10%20G4</v>
      </c>
      <c r="BG2647" s="165" t="str">
        <f t="shared" si="2007"/>
        <v>L</v>
      </c>
      <c r="BH2647" s="65"/>
      <c r="BI2647" s="65"/>
      <c r="BJ2647" s="65"/>
      <c r="BK2647" s="65"/>
      <c r="BL2647" s="99"/>
      <c r="BM2647" s="99"/>
      <c r="BN2647" s="99"/>
    </row>
    <row r="2648" spans="1:66" s="51" customFormat="1" ht="27" x14ac:dyDescent="0.25">
      <c r="A2648" s="478">
        <v>15</v>
      </c>
      <c r="B2648" s="479" t="s">
        <v>291</v>
      </c>
      <c r="C2648" s="480" t="s">
        <v>3314</v>
      </c>
      <c r="D2648" s="481" t="s">
        <v>299</v>
      </c>
      <c r="E2648" s="482">
        <v>178.95</v>
      </c>
      <c r="F2648" s="483" t="s">
        <v>292</v>
      </c>
      <c r="G2648" s="484">
        <v>0</v>
      </c>
      <c r="H2648" s="688" t="str">
        <f>IF(G2648=0,"",IF(F2648="Buy",IF(G2648=1,"plant","plants"),IF(F2648&gt;0.01,"warranty","Error")))</f>
        <v/>
      </c>
      <c r="I2648" s="485">
        <f>IF(H2648="free",0,IF(H2648="credit",((E2648*(F2648))*G2648*-1),IF(F2648="Buy",(E2648*G2648),((E2648*(1-F2648))*G2648))))</f>
        <v>0</v>
      </c>
      <c r="J2648" s="485">
        <f>IF(H2648="warranty",0,(I2648*(_xlfn.SINGLE(SalesTaxPercentage))))</f>
        <v>0</v>
      </c>
      <c r="K2648" s="715">
        <f t="shared" ref="K2648" si="2009">I2648+J2648</f>
        <v>0</v>
      </c>
      <c r="L2648" s="715"/>
      <c r="M2648" s="689" t="str">
        <f ca="1">IF(AND(G2648&gt;0,E2648=0),"WARNING - no PRICE inserted",IF(H2648="free","FREE ~ no charge this plant",IF(H2648="credit",CONCATENATE("-$",ROUND(K2648*(1-_xlfn.SINGLE(T2GDiscount))*-1,2)," CREDIT after discount"),IF(_xlfn.SINGLE(T2GDiscount)=0,"",IF(G2648=0,"",IF(F2648="Buy",CONCATENATE("$",ROUND(K2648*(1-_xlfn.SINGLE(T2GDiscount)),2)," with ",(_xlfn.SINGLE(T2GDiscount)*100),"% discount"),CONCATENATE("$",ROUND(K2648*(1-_xlfn.SINGLE(T2GDiscount)),2)," with ",((_xlfn.SINGLE(T2GDiscount)*100+F2648*100)-(_xlfn.SINGLE(T2GDiscount)*100*F2648)),IF(F2648&gt;0,"% discounts",IF(_xlfn.SINGLE(NoWarrantyDiscount)&gt;0,"% discounts","% discount")))))))))</f>
        <v/>
      </c>
      <c r="N2648" s="690"/>
      <c r="O2648" s="486"/>
      <c r="P2648" s="486"/>
      <c r="Q2648" s="486"/>
      <c r="R2648" s="486"/>
      <c r="S2648" s="486"/>
      <c r="T2648" s="102">
        <f t="shared" si="1995"/>
        <v>0</v>
      </c>
      <c r="U2648" s="78">
        <f>IF(NOT(ISNUMBER(G2648)), "", VLOOKUP(A2648,'Discount Lookup'!D:E,2,FALSE)*G2648)</f>
        <v>0</v>
      </c>
      <c r="V2648" s="78">
        <f>IF(NOT(ISNUMBER(G2648)), "", VLOOKUP(A2648,'Discount Lookup'!G:H,2,FALSE)*G2648)</f>
        <v>0</v>
      </c>
      <c r="W2648" s="102">
        <f t="shared" si="1996"/>
        <v>0</v>
      </c>
      <c r="X2648" s="102">
        <f t="shared" si="1997"/>
        <v>0</v>
      </c>
      <c r="Y2648" s="120" t="b">
        <f t="shared" si="1998"/>
        <v>0</v>
      </c>
      <c r="Z2648" s="117">
        <f t="shared" si="1999"/>
        <v>0</v>
      </c>
      <c r="AA2648" s="118"/>
      <c r="AB2648" s="118" t="str">
        <f t="shared" si="2000"/>
        <v/>
      </c>
      <c r="AC2648" s="712" t="str">
        <f>IF(AE2648="T2G","no charge",IF(AND(OR(PlanterYesMe="No",PlanterYesMe="N",PlanterYesMe="me"),H2648=""),"",IF(H2648="credit","NO install",IF(AND(K2648="",AE2648="me"),"EACH row",IF(AND(K2648="images",AE2648="me"),"EACH row",IF(D2648="","",IF(H2648="credit","",IF(AE2648="free","re-planting",IF(AE2648="me","   not ELP, by",IF(AND(OR(PlanterYesMe="Yes",PlanterYesMe="Y"),G2648&gt;0),(VLOOKUP(A2648,'Discount Lookup'!J:K,2)*G2648*(1-PlanterDiscount)*(1+PlanterDifficultyPercentage)),IF(AE2648="ELP",(VLOOKUP(A2648,'Discount Lookup'!J:K,2)*G2648*(1-PlanterDiscount)*(1+PlanterDifficultyPercentage)),IF(AE2648="free","re-planting",IF(G2648=0,"",IF(PlanterYesMe="",IF(AE2648="me","   not ELP, by",IF(AE2648="",IF(G2648&gt;0,(VLOOKUP(A2648,'Discount Lookup'!J:K,2)*G2648*(1-PlanterDiscount)*(1+PlanterDifficultyPercentage)),""),"")),"   not ELP, by"))))))))))))))</f>
        <v/>
      </c>
      <c r="AD2648" s="712"/>
      <c r="AE2648" s="513" t="str">
        <f t="shared" si="2001"/>
        <v/>
      </c>
      <c r="AF2648" s="713" t="str">
        <f t="shared" si="2002"/>
        <v/>
      </c>
      <c r="AG2648" s="713"/>
      <c r="AH2648" s="713"/>
      <c r="AI2648" s="112">
        <f>IF(H2648="credit",0,IF(AE2648="free",0,IF(AE2648="me",0,IF(G2648&gt;0,(VLOOKUP(A2648,'Discount Lookup'!J:K,2)*G2648),0))))</f>
        <v>0</v>
      </c>
      <c r="AJ2648" s="107" t="str">
        <f t="shared" ca="1" si="2003"/>
        <v/>
      </c>
      <c r="AK2648" s="714" t="str">
        <f t="shared" si="2004"/>
        <v/>
      </c>
      <c r="AL2648" s="714"/>
      <c r="AM2648" s="114" t="str">
        <f t="shared" si="2005"/>
        <v/>
      </c>
      <c r="AN2648" s="115"/>
      <c r="AO2648" s="116"/>
      <c r="AP2648" s="116"/>
      <c r="AQ2648" s="116"/>
      <c r="AR2648" s="116"/>
      <c r="AS2648" s="116"/>
      <c r="AT2648" s="116"/>
      <c r="AU2648" s="116"/>
      <c r="AV2648" s="78"/>
      <c r="AW2648" s="102"/>
      <c r="AX2648" s="78"/>
      <c r="AY2648" s="78"/>
      <c r="AZ2648" s="78"/>
      <c r="BA2648" s="78"/>
      <c r="BB2648" s="78"/>
      <c r="BC2648" s="78"/>
      <c r="BD2648" s="78"/>
      <c r="BE2648" s="465"/>
      <c r="BF2648" s="165" t="str">
        <f t="shared" si="2006"/>
        <v>https://www.google.com/search?tbm=isch&amp;q=15%20G4</v>
      </c>
      <c r="BG2648" s="165" t="str">
        <f t="shared" si="2007"/>
        <v>L</v>
      </c>
      <c r="BH2648" s="65"/>
      <c r="BI2648" s="65"/>
      <c r="BJ2648" s="65"/>
      <c r="BK2648" s="65"/>
      <c r="BL2648" s="99"/>
      <c r="BM2648" s="99"/>
      <c r="BN2648" s="99"/>
    </row>
    <row r="2649" spans="1:66" s="51" customFormat="1" ht="27" x14ac:dyDescent="0.25">
      <c r="A2649" s="478">
        <v>15</v>
      </c>
      <c r="B2649" s="479" t="s">
        <v>291</v>
      </c>
      <c r="C2649" s="480" t="s">
        <v>3315</v>
      </c>
      <c r="D2649" s="481" t="s">
        <v>299</v>
      </c>
      <c r="E2649" s="482">
        <v>224.95</v>
      </c>
      <c r="F2649" s="483" t="s">
        <v>292</v>
      </c>
      <c r="G2649" s="484">
        <v>0</v>
      </c>
      <c r="H2649" s="688" t="str">
        <f>IF(G2649=0,"",IF(F2649="Buy",IF(G2649=1,"plant","plants"),IF(F2649&gt;0.01,"warranty","Error")))</f>
        <v/>
      </c>
      <c r="I2649" s="485">
        <f>IF(H2649="free",0,IF(H2649="credit",((E2649*(F2649))*G2649*-1),IF(F2649="Buy",(E2649*G2649),((E2649*(1-F2649))*G2649))))</f>
        <v>0</v>
      </c>
      <c r="J2649" s="485">
        <f>IF(H2649="warranty",0,(I2649*(_xlfn.SINGLE(SalesTaxPercentage))))</f>
        <v>0</v>
      </c>
      <c r="K2649" s="715">
        <f t="shared" ref="K2649" si="2010">I2649+J2649</f>
        <v>0</v>
      </c>
      <c r="L2649" s="715"/>
      <c r="M2649" s="689" t="str">
        <f ca="1">IF(AND(G2649&gt;0,E2649=0),"WARNING - no PRICE inserted",IF(H2649="free","FREE ~ no charge this plant",IF(H2649="credit",CONCATENATE("-$",ROUND(K2649*(1-_xlfn.SINGLE(T2GDiscount))*-1,2)," CREDIT after discount"),IF(_xlfn.SINGLE(T2GDiscount)=0,"",IF(G2649=0,"",IF(F2649="Buy",CONCATENATE("$",ROUND(K2649*(1-_xlfn.SINGLE(T2GDiscount)),2)," with ",(_xlfn.SINGLE(T2GDiscount)*100),"% discount"),CONCATENATE("$",ROUND(K2649*(1-_xlfn.SINGLE(T2GDiscount)),2)," with ",((_xlfn.SINGLE(T2GDiscount)*100+F2649*100)-(_xlfn.SINGLE(T2GDiscount)*100*F2649)),IF(F2649&gt;0,"% discounts",IF(_xlfn.SINGLE(NoWarrantyDiscount)&gt;0,"% discounts","% discount")))))))))</f>
        <v/>
      </c>
      <c r="N2649" s="690"/>
      <c r="O2649" s="486"/>
      <c r="P2649" s="486"/>
      <c r="Q2649" s="486"/>
      <c r="R2649" s="486"/>
      <c r="S2649" s="486"/>
      <c r="T2649" s="102">
        <f t="shared" si="1995"/>
        <v>0</v>
      </c>
      <c r="U2649" s="78">
        <f>IF(NOT(ISNUMBER(G2649)), "", VLOOKUP(A2649,'Discount Lookup'!D:E,2,FALSE)*G2649)</f>
        <v>0</v>
      </c>
      <c r="V2649" s="78">
        <f>IF(NOT(ISNUMBER(G2649)), "", VLOOKUP(A2649,'Discount Lookup'!G:H,2,FALSE)*G2649)</f>
        <v>0</v>
      </c>
      <c r="W2649" s="102">
        <f t="shared" si="1996"/>
        <v>0</v>
      </c>
      <c r="X2649" s="102">
        <f t="shared" si="1997"/>
        <v>0</v>
      </c>
      <c r="Y2649" s="120" t="b">
        <f t="shared" si="1998"/>
        <v>0</v>
      </c>
      <c r="Z2649" s="117">
        <f t="shared" si="1999"/>
        <v>0</v>
      </c>
      <c r="AA2649" s="118"/>
      <c r="AB2649" s="118" t="str">
        <f t="shared" si="2000"/>
        <v/>
      </c>
      <c r="AC2649" s="712" t="str">
        <f>IF(AE2649="T2G","no charge",IF(AND(OR(PlanterYesMe="No",PlanterYesMe="N",PlanterYesMe="me"),H2649=""),"",IF(H2649="credit","NO install",IF(AND(K2649="",AE2649="me"),"EACH row",IF(AND(K2649="images",AE2649="me"),"EACH row",IF(D2649="","",IF(H2649="credit","",IF(AE2649="free","re-planting",IF(AE2649="me","   not ELP, by",IF(AND(OR(PlanterYesMe="Yes",PlanterYesMe="Y"),G2649&gt;0),(VLOOKUP(A2649,'Discount Lookup'!J:K,2)*G2649*(1-PlanterDiscount)*(1+PlanterDifficultyPercentage)),IF(AE2649="ELP",(VLOOKUP(A2649,'Discount Lookup'!J:K,2)*G2649*(1-PlanterDiscount)*(1+PlanterDifficultyPercentage)),IF(AE2649="free","re-planting",IF(G2649=0,"",IF(PlanterYesMe="",IF(AE2649="me","   not ELP, by",IF(AE2649="",IF(G2649&gt;0,(VLOOKUP(A2649,'Discount Lookup'!J:K,2)*G2649*(1-PlanterDiscount)*(1+PlanterDifficultyPercentage)),""),"")),"   not ELP, by"))))))))))))))</f>
        <v/>
      </c>
      <c r="AD2649" s="712"/>
      <c r="AE2649" s="513" t="str">
        <f t="shared" si="2001"/>
        <v/>
      </c>
      <c r="AF2649" s="713" t="str">
        <f t="shared" si="2002"/>
        <v/>
      </c>
      <c r="AG2649" s="713"/>
      <c r="AH2649" s="713"/>
      <c r="AI2649" s="112">
        <f>IF(H2649="credit",0,IF(AE2649="free",0,IF(AE2649="me",0,IF(G2649&gt;0,(VLOOKUP(A2649,'Discount Lookup'!J:K,2)*G2649),0))))</f>
        <v>0</v>
      </c>
      <c r="AJ2649" s="107" t="str">
        <f t="shared" ca="1" si="2003"/>
        <v/>
      </c>
      <c r="AK2649" s="714" t="str">
        <f t="shared" si="2004"/>
        <v/>
      </c>
      <c r="AL2649" s="714"/>
      <c r="AM2649" s="114" t="str">
        <f t="shared" si="2005"/>
        <v/>
      </c>
      <c r="AN2649" s="115"/>
      <c r="AO2649" s="116"/>
      <c r="AP2649" s="116"/>
      <c r="AQ2649" s="116"/>
      <c r="AR2649" s="116"/>
      <c r="AS2649" s="116"/>
      <c r="AT2649" s="116"/>
      <c r="AU2649" s="116"/>
      <c r="AV2649" s="78"/>
      <c r="AW2649" s="102"/>
      <c r="AX2649" s="78"/>
      <c r="AY2649" s="78"/>
      <c r="AZ2649" s="78"/>
      <c r="BA2649" s="78"/>
      <c r="BB2649" s="78"/>
      <c r="BC2649" s="78"/>
      <c r="BD2649" s="78"/>
      <c r="BE2649" s="465"/>
      <c r="BF2649" s="165" t="str">
        <f t="shared" si="2006"/>
        <v>https://www.google.com/search?tbm=isch&amp;q=15%20G4</v>
      </c>
      <c r="BG2649" s="165" t="str">
        <f t="shared" si="2007"/>
        <v>L</v>
      </c>
      <c r="BH2649" s="65"/>
      <c r="BI2649" s="65"/>
      <c r="BJ2649" s="65"/>
      <c r="BK2649" s="65"/>
      <c r="BL2649" s="99"/>
      <c r="BM2649" s="99"/>
      <c r="BN2649" s="99"/>
    </row>
    <row r="2650" spans="1:66" s="51" customFormat="1" ht="17.25" thickBot="1" x14ac:dyDescent="0.3">
      <c r="A2650" s="508" t="s">
        <v>3316</v>
      </c>
      <c r="B2650" s="487"/>
      <c r="C2650" s="707"/>
      <c r="D2650" s="487"/>
      <c r="E2650" s="487"/>
      <c r="F2650" s="488"/>
      <c r="G2650" s="489"/>
      <c r="H2650" s="487"/>
      <c r="I2650" s="490"/>
      <c r="J2650" s="490"/>
      <c r="K2650" s="491"/>
      <c r="L2650" s="547"/>
      <c r="M2650" s="528"/>
      <c r="N2650" s="492"/>
      <c r="O2650" s="493"/>
      <c r="P2650" s="494"/>
      <c r="Q2650" s="492"/>
      <c r="R2650" s="492"/>
      <c r="S2650" s="699" t="s">
        <v>5268</v>
      </c>
      <c r="T2650" s="102">
        <f t="shared" si="1995"/>
        <v>0</v>
      </c>
      <c r="U2650" s="78" t="str">
        <f>IF(NOT(ISNUMBER(G2650)), "", VLOOKUP(A2650,'Discount Lookup'!D:E,2,FALSE)*G2650)</f>
        <v/>
      </c>
      <c r="V2650" s="78" t="str">
        <f>IF(NOT(ISNUMBER(G2650)), "", VLOOKUP(A2650,'Discount Lookup'!G:H,2,FALSE)*G2650)</f>
        <v/>
      </c>
      <c r="W2650" s="102">
        <f t="shared" si="1996"/>
        <v>0</v>
      </c>
      <c r="X2650" s="102">
        <f t="shared" si="1997"/>
        <v>0</v>
      </c>
      <c r="Y2650" s="120" t="b">
        <f t="shared" si="1998"/>
        <v>0</v>
      </c>
      <c r="Z2650" s="117">
        <f t="shared" si="1999"/>
        <v>0</v>
      </c>
      <c r="AA2650" s="118"/>
      <c r="AB2650" s="118" t="str">
        <f t="shared" si="2000"/>
        <v/>
      </c>
      <c r="AC2650" s="712" t="str">
        <f>IF(AE2650="T2G","no charge",IF(AND(OR(PlanterYesMe="No",PlanterYesMe="N",PlanterYesMe="me"),H2650=""),"",IF(H2650="credit","NO install",IF(AND(K2650="",AE2650="me"),"EACH row",IF(AND(K2650="images",AE2650="me"),"EACH row",IF(D2650="","",IF(H2650="credit","",IF(AE2650="free","re-planting",IF(AE2650="me","   not ELP, by",IF(AND(OR(PlanterYesMe="Yes",PlanterYesMe="Y"),G2650&gt;0),(VLOOKUP(A2650,'Discount Lookup'!J:K,2)*G2650*(1-PlanterDiscount)*(1+PlanterDifficultyPercentage)),IF(AE2650="ELP",(VLOOKUP(A2650,'Discount Lookup'!J:K,2)*G2650*(1-PlanterDiscount)*(1+PlanterDifficultyPercentage)),IF(AE2650="free","re-planting",IF(G2650=0,"",IF(PlanterYesMe="",IF(AE2650="me","   not ELP, by",IF(AE2650="",IF(G2650&gt;0,(VLOOKUP(A2650,'Discount Lookup'!J:K,2)*G2650*(1-PlanterDiscount)*(1+PlanterDifficultyPercentage)),""),"")),"   not ELP, by"))))))))))))))</f>
        <v/>
      </c>
      <c r="AD2650" s="712"/>
      <c r="AE2650" s="513" t="str">
        <f t="shared" si="2001"/>
        <v/>
      </c>
      <c r="AF2650" s="713" t="str">
        <f t="shared" si="2002"/>
        <v/>
      </c>
      <c r="AG2650" s="713"/>
      <c r="AH2650" s="713"/>
      <c r="AI2650" s="112">
        <f>IF(H2650="credit",0,IF(AE2650="free",0,IF(AE2650="me",0,IF(G2650&gt;0,(VLOOKUP(A2650,'Discount Lookup'!J:K,2)*G2650),0))))</f>
        <v>0</v>
      </c>
      <c r="AJ2650" s="107" t="str">
        <f t="shared" ca="1" si="2003"/>
        <v/>
      </c>
      <c r="AK2650" s="714" t="str">
        <f t="shared" si="2004"/>
        <v/>
      </c>
      <c r="AL2650" s="714"/>
      <c r="AM2650" s="114" t="str">
        <f t="shared" si="2005"/>
        <v/>
      </c>
      <c r="AN2650" s="115"/>
      <c r="AO2650" s="116"/>
      <c r="AP2650" s="116"/>
      <c r="AQ2650" s="116"/>
      <c r="AR2650" s="116"/>
      <c r="AS2650" s="116"/>
      <c r="AT2650" s="116"/>
      <c r="AU2650" s="116"/>
      <c r="AV2650" s="78"/>
      <c r="AW2650" s="102"/>
      <c r="AX2650" s="78"/>
      <c r="AY2650" s="78"/>
      <c r="AZ2650" s="78"/>
      <c r="BA2650" s="78"/>
      <c r="BB2650" s="78"/>
      <c r="BC2650" s="78"/>
      <c r="BD2650" s="78"/>
      <c r="BE2650" s="465"/>
      <c r="BF2650" s="165" t="str">
        <f t="shared" si="2006"/>
        <v>https://www.google.com/search?tbm=isch&amp;q=Davidson%20Hardy%20is%20a%20cold-hardy%20Privet%20selection%20known%20for%20its%20glossy%20Dark%20Green%20foliage%2C%20fragrant%20blooms%2C%20and%20tolerance%20to%20heat%20and%20drought%20</v>
      </c>
      <c r="BG2650" s="165" t="str">
        <f t="shared" si="2007"/>
        <v>D</v>
      </c>
      <c r="BH2650" s="65"/>
      <c r="BI2650" s="65"/>
      <c r="BJ2650" s="65"/>
      <c r="BK2650" s="65"/>
      <c r="BL2650" s="99"/>
      <c r="BM2650" s="99"/>
      <c r="BN2650" s="99"/>
    </row>
    <row r="2651" spans="1:66" s="51" customFormat="1" ht="18" x14ac:dyDescent="0.25">
      <c r="A2651" s="507" t="s">
        <v>3317</v>
      </c>
      <c r="B2651" s="470"/>
      <c r="C2651" s="706"/>
      <c r="D2651" s="471" t="s">
        <v>3318</v>
      </c>
      <c r="E2651" s="472"/>
      <c r="F2651" s="472"/>
      <c r="G2651" s="472"/>
      <c r="H2651" s="622" t="s">
        <v>1207</v>
      </c>
      <c r="I2651" s="473" t="s">
        <v>349</v>
      </c>
      <c r="J2651" s="472"/>
      <c r="K2651" s="472"/>
      <c r="L2651" s="561"/>
      <c r="M2651" s="698" t="s">
        <v>5246</v>
      </c>
      <c r="N2651" s="692" t="str">
        <f>IF(AND(ISTEXT($A2651), ISERROR($A2651+0)), HYPERLINK($BF2651, "Images"), "")</f>
        <v>Images</v>
      </c>
      <c r="O2651" s="694" t="s">
        <v>5264</v>
      </c>
      <c r="P2651" s="475"/>
      <c r="Q2651" s="476"/>
      <c r="R2651" s="476"/>
      <c r="S2651" s="477"/>
      <c r="T2651" s="102">
        <f t="shared" si="1995"/>
        <v>0</v>
      </c>
      <c r="U2651" s="78" t="str">
        <f>IF(NOT(ISNUMBER(G2651)), "", VLOOKUP(A2651,'Discount Lookup'!D:E,2,FALSE)*G2651)</f>
        <v/>
      </c>
      <c r="V2651" s="78" t="str">
        <f>IF(NOT(ISNUMBER(G2651)), "", VLOOKUP(A2651,'Discount Lookup'!G:H,2,FALSE)*G2651)</f>
        <v/>
      </c>
      <c r="W2651" s="102">
        <f t="shared" si="1996"/>
        <v>0</v>
      </c>
      <c r="X2651" s="102" t="str">
        <f t="shared" si="1997"/>
        <v>White bloom</v>
      </c>
      <c r="Y2651" s="120" t="b">
        <f t="shared" si="1998"/>
        <v>0</v>
      </c>
      <c r="Z2651" s="117">
        <f t="shared" si="1999"/>
        <v>0</v>
      </c>
      <c r="AA2651" s="118"/>
      <c r="AB2651" s="118" t="str">
        <f t="shared" si="2000"/>
        <v/>
      </c>
      <c r="AC2651" s="712" t="str">
        <f>IF(AE2651="T2G","no charge",IF(AND(OR(PlanterYesMe="No",PlanterYesMe="N",PlanterYesMe="me"),H2651=""),"",IF(H2651="credit","NO install",IF(AND(K2651="",AE2651="me"),"EACH row",IF(AND(K2651="images",AE2651="me"),"EACH row",IF(D2651="","",IF(H2651="credit","",IF(AE2651="free","re-planting",IF(AE2651="me","   not ELP, by",IF(AND(OR(PlanterYesMe="Yes",PlanterYesMe="Y"),G2651&gt;0),(VLOOKUP(A2651,'Discount Lookup'!J:K,2)*G2651*(1-PlanterDiscount)*(1+PlanterDifficultyPercentage)),IF(AE2651="ELP",(VLOOKUP(A2651,'Discount Lookup'!J:K,2)*G2651*(1-PlanterDiscount)*(1+PlanterDifficultyPercentage)),IF(AE2651="free","re-planting",IF(G2651=0,"",IF(PlanterYesMe="",IF(AE2651="me","   not ELP, by",IF(AE2651="",IF(G2651&gt;0,(VLOOKUP(A2651,'Discount Lookup'!J:K,2)*G2651*(1-PlanterDiscount)*(1+PlanterDifficultyPercentage)),""),"")),"   not ELP, by"))))))))))))))</f>
        <v/>
      </c>
      <c r="AD2651" s="712"/>
      <c r="AE2651" s="513" t="str">
        <f t="shared" si="2001"/>
        <v/>
      </c>
      <c r="AF2651" s="713" t="str">
        <f t="shared" si="2002"/>
        <v/>
      </c>
      <c r="AG2651" s="713"/>
      <c r="AH2651" s="713"/>
      <c r="AI2651" s="112">
        <f>IF(H2651="credit",0,IF(AE2651="free",0,IF(AE2651="me",0,IF(G2651&gt;0,(VLOOKUP(A2651,'Discount Lookup'!J:K,2)*G2651),0))))</f>
        <v>0</v>
      </c>
      <c r="AJ2651" s="107" t="str">
        <f t="shared" ca="1" si="2003"/>
        <v/>
      </c>
      <c r="AK2651" s="714" t="str">
        <f t="shared" si="2004"/>
        <v/>
      </c>
      <c r="AL2651" s="714"/>
      <c r="AM2651" s="114" t="str">
        <f t="shared" si="2005"/>
        <v/>
      </c>
      <c r="AN2651" s="115"/>
      <c r="AO2651" s="116"/>
      <c r="AP2651" s="116"/>
      <c r="AQ2651" s="116"/>
      <c r="AR2651" s="116"/>
      <c r="AS2651" s="116"/>
      <c r="AT2651" s="116"/>
      <c r="AU2651" s="116"/>
      <c r="AV2651" s="78"/>
      <c r="AW2651" s="102"/>
      <c r="AX2651" s="78"/>
      <c r="AY2651" s="78"/>
      <c r="AZ2651" s="78"/>
      <c r="BA2651" s="78"/>
      <c r="BB2651" s="78"/>
      <c r="BC2651" s="78"/>
      <c r="BD2651" s="78"/>
      <c r="BE2651" s="465"/>
      <c r="BF2651" s="165" t="str">
        <f t="shared" si="2006"/>
        <v>https://www.google.com/search?tbm=isch&amp;q=Ligustrum%20japonicum%20%27East%20Bay%27%20Eastbay%20Privet</v>
      </c>
      <c r="BG2651" s="165" t="str">
        <f t="shared" si="2007"/>
        <v>L</v>
      </c>
      <c r="BH2651" s="65"/>
      <c r="BI2651" s="65"/>
      <c r="BJ2651" s="65"/>
      <c r="BK2651" s="65"/>
      <c r="BL2651" s="99"/>
      <c r="BM2651" s="99"/>
      <c r="BN2651" s="99"/>
    </row>
    <row r="2652" spans="1:66" s="51" customFormat="1" ht="15.75" x14ac:dyDescent="0.25">
      <c r="A2652" s="478">
        <v>3</v>
      </c>
      <c r="B2652" s="479" t="s">
        <v>291</v>
      </c>
      <c r="C2652" s="480"/>
      <c r="D2652" s="481" t="s">
        <v>310</v>
      </c>
      <c r="E2652" s="482">
        <v>25.95</v>
      </c>
      <c r="F2652" s="483" t="s">
        <v>292</v>
      </c>
      <c r="G2652" s="484">
        <v>0</v>
      </c>
      <c r="H2652" s="688" t="str">
        <f>IF(G2652=0,"",IF(F2652="Buy",IF(G2652=1,"plant","plants"),IF(F2652&gt;0.01,"warranty","Error")))</f>
        <v/>
      </c>
      <c r="I2652" s="485">
        <f>IF(H2652="free",0,IF(H2652="credit",((E2652*(F2652))*G2652*-1),IF(F2652="Buy",(E2652*G2652),((E2652*(1-F2652))*G2652))))</f>
        <v>0</v>
      </c>
      <c r="J2652" s="485">
        <f>IF(H2652="warranty",0,(I2652*(_xlfn.SINGLE(SalesTaxPercentage))))</f>
        <v>0</v>
      </c>
      <c r="K2652" s="715">
        <f t="shared" ref="K2652" si="2011">I2652+J2652</f>
        <v>0</v>
      </c>
      <c r="L2652" s="715"/>
      <c r="M2652" s="689" t="str">
        <f ca="1">IF(AND(G2652&gt;0,E2652=0),"WARNING - no PRICE inserted",IF(H2652="free","FREE ~ no charge this plant",IF(H2652="credit",CONCATENATE("-$",ROUND(K2652*(1-_xlfn.SINGLE(T2GDiscount))*-1,2)," CREDIT after discount"),IF(_xlfn.SINGLE(T2GDiscount)=0,"",IF(G2652=0,"",IF(F2652="Buy",CONCATENATE("$",ROUND(K2652*(1-_xlfn.SINGLE(T2GDiscount)),2)," with ",(_xlfn.SINGLE(T2GDiscount)*100),"% discount"),CONCATENATE("$",ROUND(K2652*(1-_xlfn.SINGLE(T2GDiscount)),2)," with ",((_xlfn.SINGLE(T2GDiscount)*100+F2652*100)-(_xlfn.SINGLE(T2GDiscount)*100*F2652)),IF(F2652&gt;0,"% discounts",IF(_xlfn.SINGLE(NoWarrantyDiscount)&gt;0,"% discounts","% discount")))))))))</f>
        <v/>
      </c>
      <c r="N2652" s="690"/>
      <c r="O2652" s="486"/>
      <c r="P2652" s="486"/>
      <c r="Q2652" s="486"/>
      <c r="R2652" s="486"/>
      <c r="S2652" s="486"/>
      <c r="T2652" s="102">
        <f t="shared" si="1995"/>
        <v>0</v>
      </c>
      <c r="U2652" s="78">
        <f>IF(NOT(ISNUMBER(G2652)), "", VLOOKUP(A2652,'Discount Lookup'!D:E,2,FALSE)*G2652)</f>
        <v>0</v>
      </c>
      <c r="V2652" s="78">
        <f>IF(NOT(ISNUMBER(G2652)), "", VLOOKUP(A2652,'Discount Lookup'!G:H,2,FALSE)*G2652)</f>
        <v>0</v>
      </c>
      <c r="W2652" s="102">
        <f t="shared" si="1996"/>
        <v>0</v>
      </c>
      <c r="X2652" s="102">
        <f t="shared" si="1997"/>
        <v>0</v>
      </c>
      <c r="Y2652" s="120" t="b">
        <f t="shared" si="1998"/>
        <v>0</v>
      </c>
      <c r="Z2652" s="117">
        <f t="shared" si="1999"/>
        <v>0</v>
      </c>
      <c r="AA2652" s="118"/>
      <c r="AB2652" s="118" t="str">
        <f t="shared" si="2000"/>
        <v/>
      </c>
      <c r="AC2652" s="712" t="str">
        <f>IF(AE2652="T2G","no charge",IF(AND(OR(PlanterYesMe="No",PlanterYesMe="N",PlanterYesMe="me"),H2652=""),"",IF(H2652="credit","NO install",IF(AND(K2652="",AE2652="me"),"EACH row",IF(AND(K2652="images",AE2652="me"),"EACH row",IF(D2652="","",IF(H2652="credit","",IF(AE2652="free","re-planting",IF(AE2652="me","   not ELP, by",IF(AND(OR(PlanterYesMe="Yes",PlanterYesMe="Y"),G2652&gt;0),(VLOOKUP(A2652,'Discount Lookup'!J:K,2)*G2652*(1-PlanterDiscount)*(1+PlanterDifficultyPercentage)),IF(AE2652="ELP",(VLOOKUP(A2652,'Discount Lookup'!J:K,2)*G2652*(1-PlanterDiscount)*(1+PlanterDifficultyPercentage)),IF(AE2652="free","re-planting",IF(G2652=0,"",IF(PlanterYesMe="",IF(AE2652="me","   not ELP, by",IF(AE2652="",IF(G2652&gt;0,(VLOOKUP(A2652,'Discount Lookup'!J:K,2)*G2652*(1-PlanterDiscount)*(1+PlanterDifficultyPercentage)),""),"")),"   not ELP, by"))))))))))))))</f>
        <v/>
      </c>
      <c r="AD2652" s="712"/>
      <c r="AE2652" s="513" t="str">
        <f t="shared" si="2001"/>
        <v/>
      </c>
      <c r="AF2652" s="713" t="str">
        <f t="shared" si="2002"/>
        <v/>
      </c>
      <c r="AG2652" s="713"/>
      <c r="AH2652" s="713"/>
      <c r="AI2652" s="112">
        <f>IF(H2652="credit",0,IF(AE2652="free",0,IF(AE2652="me",0,IF(G2652&gt;0,(VLOOKUP(A2652,'Discount Lookup'!J:K,2)*G2652),0))))</f>
        <v>0</v>
      </c>
      <c r="AJ2652" s="107" t="str">
        <f t="shared" ca="1" si="2003"/>
        <v/>
      </c>
      <c r="AK2652" s="714" t="str">
        <f t="shared" si="2004"/>
        <v/>
      </c>
      <c r="AL2652" s="714"/>
      <c r="AM2652" s="114" t="str">
        <f t="shared" si="2005"/>
        <v/>
      </c>
      <c r="AN2652" s="115"/>
      <c r="AO2652" s="116"/>
      <c r="AP2652" s="116"/>
      <c r="AQ2652" s="116"/>
      <c r="AR2652" s="116"/>
      <c r="AS2652" s="116"/>
      <c r="AT2652" s="116"/>
      <c r="AU2652" s="116"/>
      <c r="AV2652" s="78"/>
      <c r="AW2652" s="102"/>
      <c r="AX2652" s="78"/>
      <c r="AY2652" s="78"/>
      <c r="AZ2652" s="78"/>
      <c r="BA2652" s="78"/>
      <c r="BB2652" s="78"/>
      <c r="BC2652" s="78"/>
      <c r="BD2652" s="78"/>
      <c r="BE2652" s="465"/>
      <c r="BF2652" s="165" t="str">
        <f t="shared" si="2006"/>
        <v>https://www.google.com/search?tbm=isch&amp;q=3%20G1</v>
      </c>
      <c r="BG2652" s="165" t="str">
        <f t="shared" si="2007"/>
        <v>L</v>
      </c>
      <c r="BH2652" s="65"/>
      <c r="BI2652" s="65"/>
      <c r="BJ2652" s="65"/>
      <c r="BK2652" s="65"/>
      <c r="BL2652" s="99"/>
      <c r="BM2652" s="99"/>
      <c r="BN2652" s="99"/>
    </row>
    <row r="2653" spans="1:66" s="51" customFormat="1" ht="16.5" thickBot="1" x14ac:dyDescent="0.3">
      <c r="A2653" s="508" t="s">
        <v>3320</v>
      </c>
      <c r="B2653" s="487"/>
      <c r="C2653" s="707"/>
      <c r="D2653" s="487"/>
      <c r="E2653" s="487"/>
      <c r="F2653" s="488"/>
      <c r="G2653" s="489"/>
      <c r="H2653" s="487"/>
      <c r="I2653" s="490"/>
      <c r="J2653" s="490"/>
      <c r="K2653" s="491"/>
      <c r="L2653" s="547"/>
      <c r="M2653" s="528"/>
      <c r="N2653" s="492"/>
      <c r="O2653" s="493"/>
      <c r="P2653" s="494"/>
      <c r="Q2653" s="492"/>
      <c r="R2653" s="492"/>
      <c r="S2653" s="495"/>
      <c r="T2653" s="102">
        <f t="shared" si="1995"/>
        <v>0</v>
      </c>
      <c r="U2653" s="78" t="str">
        <f>IF(NOT(ISNUMBER(G2653)), "", VLOOKUP(A2653,'Discount Lookup'!D:E,2,FALSE)*G2653)</f>
        <v/>
      </c>
      <c r="V2653" s="78" t="str">
        <f>IF(NOT(ISNUMBER(G2653)), "", VLOOKUP(A2653,'Discount Lookup'!G:H,2,FALSE)*G2653)</f>
        <v/>
      </c>
      <c r="W2653" s="102">
        <f t="shared" si="1996"/>
        <v>0</v>
      </c>
      <c r="X2653" s="102">
        <f t="shared" si="1997"/>
        <v>0</v>
      </c>
      <c r="Y2653" s="120" t="b">
        <f t="shared" si="1998"/>
        <v>0</v>
      </c>
      <c r="Z2653" s="117">
        <f t="shared" si="1999"/>
        <v>0</v>
      </c>
      <c r="AA2653" s="118"/>
      <c r="AB2653" s="118" t="str">
        <f t="shared" si="2000"/>
        <v/>
      </c>
      <c r="AC2653" s="712" t="str">
        <f>IF(AE2653="T2G","no charge",IF(AND(OR(PlanterYesMe="No",PlanterYesMe="N",PlanterYesMe="me"),H2653=""),"",IF(H2653="credit","NO install",IF(AND(K2653="",AE2653="me"),"EACH row",IF(AND(K2653="images",AE2653="me"),"EACH row",IF(D2653="","",IF(H2653="credit","",IF(AE2653="free","re-planting",IF(AE2653="me","   not ELP, by",IF(AND(OR(PlanterYesMe="Yes",PlanterYesMe="Y"),G2653&gt;0),(VLOOKUP(A2653,'Discount Lookup'!J:K,2)*G2653*(1-PlanterDiscount)*(1+PlanterDifficultyPercentage)),IF(AE2653="ELP",(VLOOKUP(A2653,'Discount Lookup'!J:K,2)*G2653*(1-PlanterDiscount)*(1+PlanterDifficultyPercentage)),IF(AE2653="free","re-planting",IF(G2653=0,"",IF(PlanterYesMe="",IF(AE2653="me","   not ELP, by",IF(AE2653="",IF(G2653&gt;0,(VLOOKUP(A2653,'Discount Lookup'!J:K,2)*G2653*(1-PlanterDiscount)*(1+PlanterDifficultyPercentage)),""),"")),"   not ELP, by"))))))))))))))</f>
        <v/>
      </c>
      <c r="AD2653" s="712"/>
      <c r="AE2653" s="513" t="str">
        <f t="shared" si="2001"/>
        <v/>
      </c>
      <c r="AF2653" s="713" t="str">
        <f t="shared" si="2002"/>
        <v/>
      </c>
      <c r="AG2653" s="713"/>
      <c r="AH2653" s="713"/>
      <c r="AI2653" s="112">
        <f>IF(H2653="credit",0,IF(AE2653="free",0,IF(AE2653="me",0,IF(G2653&gt;0,(VLOOKUP(A2653,'Discount Lookup'!J:K,2)*G2653),0))))</f>
        <v>0</v>
      </c>
      <c r="AJ2653" s="107" t="str">
        <f t="shared" ca="1" si="2003"/>
        <v/>
      </c>
      <c r="AK2653" s="714" t="str">
        <f t="shared" si="2004"/>
        <v/>
      </c>
      <c r="AL2653" s="714"/>
      <c r="AM2653" s="114" t="str">
        <f t="shared" si="2005"/>
        <v/>
      </c>
      <c r="AN2653" s="115"/>
      <c r="AO2653" s="116"/>
      <c r="AP2653" s="116"/>
      <c r="AQ2653" s="116"/>
      <c r="AR2653" s="116"/>
      <c r="AS2653" s="116"/>
      <c r="AT2653" s="116"/>
      <c r="AU2653" s="116"/>
      <c r="AV2653" s="78"/>
      <c r="AW2653" s="102"/>
      <c r="AX2653" s="78"/>
      <c r="AY2653" s="78"/>
      <c r="AZ2653" s="78"/>
      <c r="BA2653" s="78"/>
      <c r="BB2653" s="78"/>
      <c r="BC2653" s="78"/>
      <c r="BD2653" s="78"/>
      <c r="BE2653" s="465"/>
      <c r="BF2653" s="165" t="str">
        <f t="shared" si="2006"/>
        <v>https://www.google.com/search?tbm=isch&amp;q=Eastbay%20fragrant%20blooms%20appear%20in%20May.%20Salt%2C%20sun%2C%20shade%20and%20hedging%20tolerant%20</v>
      </c>
      <c r="BG2653" s="165" t="str">
        <f t="shared" si="2007"/>
        <v>E</v>
      </c>
      <c r="BH2653" s="65"/>
      <c r="BI2653" s="65"/>
      <c r="BJ2653" s="65"/>
      <c r="BK2653" s="65"/>
      <c r="BL2653" s="99"/>
      <c r="BM2653" s="99"/>
      <c r="BN2653" s="99"/>
    </row>
    <row r="2654" spans="1:66" s="51" customFormat="1" ht="18" x14ac:dyDescent="0.25">
      <c r="A2654" s="507" t="s">
        <v>3321</v>
      </c>
      <c r="B2654" s="470"/>
      <c r="C2654" s="706"/>
      <c r="D2654" s="471" t="s">
        <v>3322</v>
      </c>
      <c r="E2654" s="472"/>
      <c r="F2654" s="472"/>
      <c r="G2654" s="472"/>
      <c r="H2654" s="622" t="s">
        <v>1471</v>
      </c>
      <c r="I2654" s="473" t="s">
        <v>350</v>
      </c>
      <c r="J2654" s="472"/>
      <c r="K2654" s="472"/>
      <c r="L2654" s="561"/>
      <c r="M2654" s="698" t="s">
        <v>5246</v>
      </c>
      <c r="N2654" s="692" t="str">
        <f>IF(AND(ISTEXT($A2654), ISERROR($A2654+0)), HYPERLINK($BF2654, "Images"), "")</f>
        <v>Images</v>
      </c>
      <c r="O2654" s="694" t="s">
        <v>5264</v>
      </c>
      <c r="P2654" s="475"/>
      <c r="Q2654" s="476"/>
      <c r="R2654" s="476"/>
      <c r="S2654" s="477"/>
      <c r="T2654" s="102">
        <f t="shared" si="1995"/>
        <v>0</v>
      </c>
      <c r="U2654" s="78" t="str">
        <f>IF(NOT(ISNUMBER(G2654)), "", VLOOKUP(A2654,'Discount Lookup'!D:E,2,FALSE)*G2654)</f>
        <v/>
      </c>
      <c r="V2654" s="78" t="str">
        <f>IF(NOT(ISNUMBER(G2654)), "", VLOOKUP(A2654,'Discount Lookup'!G:H,2,FALSE)*G2654)</f>
        <v/>
      </c>
      <c r="W2654" s="102">
        <f t="shared" si="1996"/>
        <v>0</v>
      </c>
      <c r="X2654" s="102" t="str">
        <f t="shared" si="1997"/>
        <v>Creamy White bloom</v>
      </c>
      <c r="Y2654" s="120" t="b">
        <f t="shared" si="1998"/>
        <v>0</v>
      </c>
      <c r="Z2654" s="117">
        <f t="shared" si="1999"/>
        <v>0</v>
      </c>
      <c r="AA2654" s="118"/>
      <c r="AB2654" s="118" t="str">
        <f t="shared" si="2000"/>
        <v/>
      </c>
      <c r="AC2654" s="712" t="str">
        <f>IF(AE2654="T2G","no charge",IF(AND(OR(PlanterYesMe="No",PlanterYesMe="N",PlanterYesMe="me"),H2654=""),"",IF(H2654="credit","NO install",IF(AND(K2654="",AE2654="me"),"EACH row",IF(AND(K2654="images",AE2654="me"),"EACH row",IF(D2654="","",IF(H2654="credit","",IF(AE2654="free","re-planting",IF(AE2654="me","   not ELP, by",IF(AND(OR(PlanterYesMe="Yes",PlanterYesMe="Y"),G2654&gt;0),(VLOOKUP(A2654,'Discount Lookup'!J:K,2)*G2654*(1-PlanterDiscount)*(1+PlanterDifficultyPercentage)),IF(AE2654="ELP",(VLOOKUP(A2654,'Discount Lookup'!J:K,2)*G2654*(1-PlanterDiscount)*(1+PlanterDifficultyPercentage)),IF(AE2654="free","re-planting",IF(G2654=0,"",IF(PlanterYesMe="",IF(AE2654="me","   not ELP, by",IF(AE2654="",IF(G2654&gt;0,(VLOOKUP(A2654,'Discount Lookup'!J:K,2)*G2654*(1-PlanterDiscount)*(1+PlanterDifficultyPercentage)),""),"")),"   not ELP, by"))))))))))))))</f>
        <v/>
      </c>
      <c r="AD2654" s="712"/>
      <c r="AE2654" s="513" t="str">
        <f t="shared" si="2001"/>
        <v/>
      </c>
      <c r="AF2654" s="713" t="str">
        <f t="shared" si="2002"/>
        <v/>
      </c>
      <c r="AG2654" s="713"/>
      <c r="AH2654" s="713"/>
      <c r="AI2654" s="112">
        <f>IF(H2654="credit",0,IF(AE2654="free",0,IF(AE2654="me",0,IF(G2654&gt;0,(VLOOKUP(A2654,'Discount Lookup'!J:K,2)*G2654),0))))</f>
        <v>0</v>
      </c>
      <c r="AJ2654" s="107" t="str">
        <f t="shared" ca="1" si="2003"/>
        <v/>
      </c>
      <c r="AK2654" s="714" t="str">
        <f t="shared" si="2004"/>
        <v/>
      </c>
      <c r="AL2654" s="714"/>
      <c r="AM2654" s="114" t="str">
        <f t="shared" si="2005"/>
        <v/>
      </c>
      <c r="AN2654" s="115"/>
      <c r="AO2654" s="116"/>
      <c r="AP2654" s="116"/>
      <c r="AQ2654" s="116"/>
      <c r="AR2654" s="116"/>
      <c r="AS2654" s="116"/>
      <c r="AT2654" s="116"/>
      <c r="AU2654" s="116"/>
      <c r="AV2654" s="78"/>
      <c r="AW2654" s="102"/>
      <c r="AX2654" s="78"/>
      <c r="AY2654" s="78"/>
      <c r="AZ2654" s="78"/>
      <c r="BA2654" s="78"/>
      <c r="BB2654" s="78"/>
      <c r="BC2654" s="78"/>
      <c r="BD2654" s="78"/>
      <c r="BE2654" s="465"/>
      <c r="BF2654" s="165" t="str">
        <f t="shared" si="2006"/>
        <v>https://www.google.com/search?tbm=isch&amp;q=Ligustrum%20japonicum%20%27Howardi%27%20Howard%20Privet</v>
      </c>
      <c r="BG2654" s="165" t="str">
        <f t="shared" si="2007"/>
        <v>L</v>
      </c>
      <c r="BH2654" s="65"/>
      <c r="BI2654" s="65"/>
      <c r="BJ2654" s="65"/>
      <c r="BK2654" s="65"/>
      <c r="BL2654" s="99"/>
      <c r="BM2654" s="99"/>
      <c r="BN2654" s="99"/>
    </row>
    <row r="2655" spans="1:66" s="51" customFormat="1" ht="15.75" x14ac:dyDescent="0.25">
      <c r="A2655" s="478">
        <v>3</v>
      </c>
      <c r="B2655" s="479" t="s">
        <v>291</v>
      </c>
      <c r="C2655" s="480" t="s">
        <v>3323</v>
      </c>
      <c r="D2655" s="481" t="s">
        <v>309</v>
      </c>
      <c r="E2655" s="482">
        <v>22.95</v>
      </c>
      <c r="F2655" s="483" t="s">
        <v>292</v>
      </c>
      <c r="G2655" s="484">
        <v>0</v>
      </c>
      <c r="H2655" s="688" t="str">
        <f>IF(G2655=0,"",IF(F2655="Buy",IF(G2655=1,"plant","plants"),IF(F2655&gt;0.01,"warranty","Error")))</f>
        <v/>
      </c>
      <c r="I2655" s="485">
        <f>IF(H2655="free",0,IF(H2655="credit",((E2655*(F2655))*G2655*-1),IF(F2655="Buy",(E2655*G2655),((E2655*(1-F2655))*G2655))))</f>
        <v>0</v>
      </c>
      <c r="J2655" s="485">
        <f>IF(H2655="warranty",0,(I2655*(_xlfn.SINGLE(SalesTaxPercentage))))</f>
        <v>0</v>
      </c>
      <c r="K2655" s="715">
        <f t="shared" ref="K2655" si="2012">I2655+J2655</f>
        <v>0</v>
      </c>
      <c r="L2655" s="715"/>
      <c r="M2655" s="689" t="str">
        <f ca="1">IF(AND(G2655&gt;0,E2655=0),"WARNING - no PRICE inserted",IF(H2655="free","FREE ~ no charge this plant",IF(H2655="credit",CONCATENATE("-$",ROUND(K2655*(1-_xlfn.SINGLE(T2GDiscount))*-1,2)," CREDIT after discount"),IF(_xlfn.SINGLE(T2GDiscount)=0,"",IF(G2655=0,"",IF(F2655="Buy",CONCATENATE("$",ROUND(K2655*(1-_xlfn.SINGLE(T2GDiscount)),2)," with ",(_xlfn.SINGLE(T2GDiscount)*100),"% discount"),CONCATENATE("$",ROUND(K2655*(1-_xlfn.SINGLE(T2GDiscount)),2)," with ",((_xlfn.SINGLE(T2GDiscount)*100+F2655*100)-(_xlfn.SINGLE(T2GDiscount)*100*F2655)),IF(F2655&gt;0,"% discounts",IF(_xlfn.SINGLE(NoWarrantyDiscount)&gt;0,"% discounts","% discount")))))))))</f>
        <v/>
      </c>
      <c r="N2655" s="690"/>
      <c r="O2655" s="486"/>
      <c r="P2655" s="486"/>
      <c r="Q2655" s="486"/>
      <c r="R2655" s="486"/>
      <c r="S2655" s="486"/>
      <c r="T2655" s="102">
        <f t="shared" si="1995"/>
        <v>0</v>
      </c>
      <c r="U2655" s="78">
        <f>IF(NOT(ISNUMBER(G2655)), "", VLOOKUP(A2655,'Discount Lookup'!D:E,2,FALSE)*G2655)</f>
        <v>0</v>
      </c>
      <c r="V2655" s="78">
        <f>IF(NOT(ISNUMBER(G2655)), "", VLOOKUP(A2655,'Discount Lookup'!G:H,2,FALSE)*G2655)</f>
        <v>0</v>
      </c>
      <c r="W2655" s="102">
        <f t="shared" si="1996"/>
        <v>0</v>
      </c>
      <c r="X2655" s="102">
        <f t="shared" si="1997"/>
        <v>0</v>
      </c>
      <c r="Y2655" s="120" t="b">
        <f t="shared" si="1998"/>
        <v>0</v>
      </c>
      <c r="Z2655" s="117">
        <f t="shared" si="1999"/>
        <v>0</v>
      </c>
      <c r="AA2655" s="118"/>
      <c r="AB2655" s="118" t="str">
        <f t="shared" si="2000"/>
        <v/>
      </c>
      <c r="AC2655" s="712" t="str">
        <f>IF(AE2655="T2G","no charge",IF(AND(OR(PlanterYesMe="No",PlanterYesMe="N",PlanterYesMe="me"),H2655=""),"",IF(H2655="credit","NO install",IF(AND(K2655="",AE2655="me"),"EACH row",IF(AND(K2655="images",AE2655="me"),"EACH row",IF(D2655="","",IF(H2655="credit","",IF(AE2655="free","re-planting",IF(AE2655="me","   not ELP, by",IF(AND(OR(PlanterYesMe="Yes",PlanterYesMe="Y"),G2655&gt;0),(VLOOKUP(A2655,'Discount Lookup'!J:K,2)*G2655*(1-PlanterDiscount)*(1+PlanterDifficultyPercentage)),IF(AE2655="ELP",(VLOOKUP(A2655,'Discount Lookup'!J:K,2)*G2655*(1-PlanterDiscount)*(1+PlanterDifficultyPercentage)),IF(AE2655="free","re-planting",IF(G2655=0,"",IF(PlanterYesMe="",IF(AE2655="me","   not ELP, by",IF(AE2655="",IF(G2655&gt;0,(VLOOKUP(A2655,'Discount Lookup'!J:K,2)*G2655*(1-PlanterDiscount)*(1+PlanterDifficultyPercentage)),""),"")),"   not ELP, by"))))))))))))))</f>
        <v/>
      </c>
      <c r="AD2655" s="712"/>
      <c r="AE2655" s="513" t="str">
        <f t="shared" si="2001"/>
        <v/>
      </c>
      <c r="AF2655" s="713" t="str">
        <f t="shared" si="2002"/>
        <v/>
      </c>
      <c r="AG2655" s="713"/>
      <c r="AH2655" s="713"/>
      <c r="AI2655" s="112">
        <f>IF(H2655="credit",0,IF(AE2655="free",0,IF(AE2655="me",0,IF(G2655&gt;0,(VLOOKUP(A2655,'Discount Lookup'!J:K,2)*G2655),0))))</f>
        <v>0</v>
      </c>
      <c r="AJ2655" s="107" t="str">
        <f t="shared" ca="1" si="2003"/>
        <v/>
      </c>
      <c r="AK2655" s="714" t="str">
        <f t="shared" si="2004"/>
        <v/>
      </c>
      <c r="AL2655" s="714"/>
      <c r="AM2655" s="114" t="str">
        <f t="shared" si="2005"/>
        <v/>
      </c>
      <c r="AN2655" s="115"/>
      <c r="AO2655" s="116"/>
      <c r="AP2655" s="116"/>
      <c r="AQ2655" s="116"/>
      <c r="AR2655" s="116"/>
      <c r="AS2655" s="116"/>
      <c r="AT2655" s="116"/>
      <c r="AU2655" s="116"/>
      <c r="AV2655" s="78"/>
      <c r="AW2655" s="102"/>
      <c r="AX2655" s="78"/>
      <c r="AY2655" s="78"/>
      <c r="AZ2655" s="78"/>
      <c r="BA2655" s="78"/>
      <c r="BB2655" s="78"/>
      <c r="BC2655" s="78"/>
      <c r="BD2655" s="78"/>
      <c r="BE2655" s="465"/>
      <c r="BF2655" s="165" t="str">
        <f t="shared" si="2006"/>
        <v>https://www.google.com/search?tbm=isch&amp;q=3%20G3</v>
      </c>
      <c r="BG2655" s="165" t="str">
        <f t="shared" si="2007"/>
        <v>L</v>
      </c>
      <c r="BH2655" s="65"/>
      <c r="BI2655" s="65"/>
      <c r="BJ2655" s="65"/>
      <c r="BK2655" s="65"/>
      <c r="BL2655" s="99"/>
      <c r="BM2655" s="99"/>
      <c r="BN2655" s="99"/>
    </row>
    <row r="2656" spans="1:66" s="51" customFormat="1" ht="15.75" x14ac:dyDescent="0.25">
      <c r="A2656" s="478">
        <v>7</v>
      </c>
      <c r="B2656" s="479" t="s">
        <v>291</v>
      </c>
      <c r="C2656" s="480" t="s">
        <v>3324</v>
      </c>
      <c r="D2656" s="481" t="s">
        <v>309</v>
      </c>
      <c r="E2656" s="482">
        <v>56.95</v>
      </c>
      <c r="F2656" s="483" t="s">
        <v>292</v>
      </c>
      <c r="G2656" s="484">
        <v>0</v>
      </c>
      <c r="H2656" s="688" t="str">
        <f>IF(G2656=0,"",IF(F2656="Buy",IF(G2656=1,"plant","plants"),IF(F2656&gt;0.01,"warranty","Error")))</f>
        <v/>
      </c>
      <c r="I2656" s="485">
        <f>IF(H2656="free",0,IF(H2656="credit",((E2656*(F2656))*G2656*-1),IF(F2656="Buy",(E2656*G2656),((E2656*(1-F2656))*G2656))))</f>
        <v>0</v>
      </c>
      <c r="J2656" s="485">
        <f>IF(H2656="warranty",0,(I2656*(_xlfn.SINGLE(SalesTaxPercentage))))</f>
        <v>0</v>
      </c>
      <c r="K2656" s="715">
        <f t="shared" ref="K2656" si="2013">I2656+J2656</f>
        <v>0</v>
      </c>
      <c r="L2656" s="715"/>
      <c r="M2656" s="689" t="str">
        <f ca="1">IF(AND(G2656&gt;0,E2656=0),"WARNING - no PRICE inserted",IF(H2656="free","FREE ~ no charge this plant",IF(H2656="credit",CONCATENATE("-$",ROUND(K2656*(1-_xlfn.SINGLE(T2GDiscount))*-1,2)," CREDIT after discount"),IF(_xlfn.SINGLE(T2GDiscount)=0,"",IF(G2656=0,"",IF(F2656="Buy",CONCATENATE("$",ROUND(K2656*(1-_xlfn.SINGLE(T2GDiscount)),2)," with ",(_xlfn.SINGLE(T2GDiscount)*100),"% discount"),CONCATENATE("$",ROUND(K2656*(1-_xlfn.SINGLE(T2GDiscount)),2)," with ",((_xlfn.SINGLE(T2GDiscount)*100+F2656*100)-(_xlfn.SINGLE(T2GDiscount)*100*F2656)),IF(F2656&gt;0,"% discounts",IF(_xlfn.SINGLE(NoWarrantyDiscount)&gt;0,"% discounts","% discount")))))))))</f>
        <v/>
      </c>
      <c r="N2656" s="690"/>
      <c r="O2656" s="486"/>
      <c r="P2656" s="486"/>
      <c r="Q2656" s="486"/>
      <c r="R2656" s="486"/>
      <c r="S2656" s="486"/>
      <c r="T2656" s="102">
        <f t="shared" si="1995"/>
        <v>0</v>
      </c>
      <c r="U2656" s="78">
        <f>IF(NOT(ISNUMBER(G2656)), "", VLOOKUP(A2656,'Discount Lookup'!D:E,2,FALSE)*G2656)</f>
        <v>0</v>
      </c>
      <c r="V2656" s="78">
        <f>IF(NOT(ISNUMBER(G2656)), "", VLOOKUP(A2656,'Discount Lookup'!G:H,2,FALSE)*G2656)</f>
        <v>0</v>
      </c>
      <c r="W2656" s="102">
        <f t="shared" si="1996"/>
        <v>0</v>
      </c>
      <c r="X2656" s="102">
        <f t="shared" si="1997"/>
        <v>0</v>
      </c>
      <c r="Y2656" s="120" t="b">
        <f t="shared" si="1998"/>
        <v>0</v>
      </c>
      <c r="Z2656" s="117">
        <f t="shared" si="1999"/>
        <v>0</v>
      </c>
      <c r="AA2656" s="118"/>
      <c r="AB2656" s="118" t="str">
        <f t="shared" si="2000"/>
        <v/>
      </c>
      <c r="AC2656" s="712" t="str">
        <f>IF(AE2656="T2G","no charge",IF(AND(OR(PlanterYesMe="No",PlanterYesMe="N",PlanterYesMe="me"),H2656=""),"",IF(H2656="credit","NO install",IF(AND(K2656="",AE2656="me"),"EACH row",IF(AND(K2656="images",AE2656="me"),"EACH row",IF(D2656="","",IF(H2656="credit","",IF(AE2656="free","re-planting",IF(AE2656="me","   not ELP, by",IF(AND(OR(PlanterYesMe="Yes",PlanterYesMe="Y"),G2656&gt;0),(VLOOKUP(A2656,'Discount Lookup'!J:K,2)*G2656*(1-PlanterDiscount)*(1+PlanterDifficultyPercentage)),IF(AE2656="ELP",(VLOOKUP(A2656,'Discount Lookup'!J:K,2)*G2656*(1-PlanterDiscount)*(1+PlanterDifficultyPercentage)),IF(AE2656="free","re-planting",IF(G2656=0,"",IF(PlanterYesMe="",IF(AE2656="me","   not ELP, by",IF(AE2656="",IF(G2656&gt;0,(VLOOKUP(A2656,'Discount Lookup'!J:K,2)*G2656*(1-PlanterDiscount)*(1+PlanterDifficultyPercentage)),""),"")),"   not ELP, by"))))))))))))))</f>
        <v/>
      </c>
      <c r="AD2656" s="712"/>
      <c r="AE2656" s="513" t="str">
        <f t="shared" si="2001"/>
        <v/>
      </c>
      <c r="AF2656" s="713" t="str">
        <f t="shared" si="2002"/>
        <v/>
      </c>
      <c r="AG2656" s="713"/>
      <c r="AH2656" s="713"/>
      <c r="AI2656" s="112">
        <f>IF(H2656="credit",0,IF(AE2656="free",0,IF(AE2656="me",0,IF(G2656&gt;0,(VLOOKUP(A2656,'Discount Lookup'!J:K,2)*G2656),0))))</f>
        <v>0</v>
      </c>
      <c r="AJ2656" s="107" t="str">
        <f t="shared" ca="1" si="2003"/>
        <v/>
      </c>
      <c r="AK2656" s="714" t="str">
        <f t="shared" si="2004"/>
        <v/>
      </c>
      <c r="AL2656" s="714"/>
      <c r="AM2656" s="114" t="str">
        <f t="shared" si="2005"/>
        <v/>
      </c>
      <c r="AN2656" s="115"/>
      <c r="AO2656" s="116"/>
      <c r="AP2656" s="116"/>
      <c r="AQ2656" s="116"/>
      <c r="AR2656" s="116"/>
      <c r="AS2656" s="116"/>
      <c r="AT2656" s="116"/>
      <c r="AU2656" s="116"/>
      <c r="AV2656" s="78"/>
      <c r="AW2656" s="102"/>
      <c r="AX2656" s="78"/>
      <c r="AY2656" s="78"/>
      <c r="AZ2656" s="78"/>
      <c r="BA2656" s="78"/>
      <c r="BB2656" s="78"/>
      <c r="BC2656" s="78"/>
      <c r="BD2656" s="78"/>
      <c r="BE2656" s="465"/>
      <c r="BF2656" s="165" t="str">
        <f t="shared" si="2006"/>
        <v>https://www.google.com/search?tbm=isch&amp;q=7%20G3</v>
      </c>
      <c r="BG2656" s="165" t="str">
        <f t="shared" si="2007"/>
        <v>L</v>
      </c>
      <c r="BH2656" s="65"/>
      <c r="BI2656" s="65"/>
      <c r="BJ2656" s="65"/>
      <c r="BK2656" s="65"/>
      <c r="BL2656" s="99"/>
      <c r="BM2656" s="99"/>
      <c r="BN2656" s="99"/>
    </row>
    <row r="2657" spans="1:66" s="51" customFormat="1" ht="17.25" thickBot="1" x14ac:dyDescent="0.3">
      <c r="A2657" s="508" t="s">
        <v>3325</v>
      </c>
      <c r="B2657" s="487"/>
      <c r="C2657" s="707"/>
      <c r="D2657" s="487"/>
      <c r="E2657" s="487"/>
      <c r="F2657" s="488"/>
      <c r="G2657" s="489"/>
      <c r="H2657" s="487"/>
      <c r="I2657" s="490"/>
      <c r="J2657" s="490"/>
      <c r="K2657" s="491"/>
      <c r="L2657" s="547"/>
      <c r="M2657" s="528"/>
      <c r="N2657" s="492"/>
      <c r="O2657" s="493"/>
      <c r="P2657" s="494"/>
      <c r="Q2657" s="492"/>
      <c r="R2657" s="492"/>
      <c r="S2657" s="699" t="s">
        <v>5275</v>
      </c>
      <c r="T2657" s="102">
        <f t="shared" si="1995"/>
        <v>0</v>
      </c>
      <c r="U2657" s="78" t="str">
        <f>IF(NOT(ISNUMBER(G2657)), "", VLOOKUP(A2657,'Discount Lookup'!D:E,2,FALSE)*G2657)</f>
        <v/>
      </c>
      <c r="V2657" s="78" t="str">
        <f>IF(NOT(ISNUMBER(G2657)), "", VLOOKUP(A2657,'Discount Lookup'!G:H,2,FALSE)*G2657)</f>
        <v/>
      </c>
      <c r="W2657" s="102">
        <f t="shared" si="1996"/>
        <v>0</v>
      </c>
      <c r="X2657" s="102">
        <f t="shared" si="1997"/>
        <v>0</v>
      </c>
      <c r="Y2657" s="120" t="b">
        <f t="shared" si="1998"/>
        <v>0</v>
      </c>
      <c r="Z2657" s="117">
        <f t="shared" si="1999"/>
        <v>0</v>
      </c>
      <c r="AA2657" s="118"/>
      <c r="AB2657" s="118" t="str">
        <f t="shared" si="2000"/>
        <v/>
      </c>
      <c r="AC2657" s="712" t="str">
        <f>IF(AE2657="T2G","no charge",IF(AND(OR(PlanterYesMe="No",PlanterYesMe="N",PlanterYesMe="me"),H2657=""),"",IF(H2657="credit","NO install",IF(AND(K2657="",AE2657="me"),"EACH row",IF(AND(K2657="images",AE2657="me"),"EACH row",IF(D2657="","",IF(H2657="credit","",IF(AE2657="free","re-planting",IF(AE2657="me","   not ELP, by",IF(AND(OR(PlanterYesMe="Yes",PlanterYesMe="Y"),G2657&gt;0),(VLOOKUP(A2657,'Discount Lookup'!J:K,2)*G2657*(1-PlanterDiscount)*(1+PlanterDifficultyPercentage)),IF(AE2657="ELP",(VLOOKUP(A2657,'Discount Lookup'!J:K,2)*G2657*(1-PlanterDiscount)*(1+PlanterDifficultyPercentage)),IF(AE2657="free","re-planting",IF(G2657=0,"",IF(PlanterYesMe="",IF(AE2657="me","   not ELP, by",IF(AE2657="",IF(G2657&gt;0,(VLOOKUP(A2657,'Discount Lookup'!J:K,2)*G2657*(1-PlanterDiscount)*(1+PlanterDifficultyPercentage)),""),"")),"   not ELP, by"))))))))))))))</f>
        <v/>
      </c>
      <c r="AD2657" s="712"/>
      <c r="AE2657" s="513" t="str">
        <f t="shared" si="2001"/>
        <v/>
      </c>
      <c r="AF2657" s="713" t="str">
        <f t="shared" si="2002"/>
        <v/>
      </c>
      <c r="AG2657" s="713"/>
      <c r="AH2657" s="713"/>
      <c r="AI2657" s="112">
        <f>IF(H2657="credit",0,IF(AE2657="free",0,IF(AE2657="me",0,IF(G2657&gt;0,(VLOOKUP(A2657,'Discount Lookup'!J:K,2)*G2657),0))))</f>
        <v>0</v>
      </c>
      <c r="AJ2657" s="107" t="str">
        <f t="shared" ca="1" si="2003"/>
        <v/>
      </c>
      <c r="AK2657" s="714" t="str">
        <f t="shared" si="2004"/>
        <v/>
      </c>
      <c r="AL2657" s="714"/>
      <c r="AM2657" s="114" t="str">
        <f t="shared" si="2005"/>
        <v/>
      </c>
      <c r="AN2657" s="115"/>
      <c r="AO2657" s="116"/>
      <c r="AP2657" s="116"/>
      <c r="AQ2657" s="116"/>
      <c r="AR2657" s="116"/>
      <c r="AS2657" s="116"/>
      <c r="AT2657" s="116"/>
      <c r="AU2657" s="116"/>
      <c r="AV2657" s="78"/>
      <c r="AW2657" s="102"/>
      <c r="AX2657" s="78"/>
      <c r="AY2657" s="78"/>
      <c r="AZ2657" s="78"/>
      <c r="BA2657" s="78"/>
      <c r="BB2657" s="78"/>
      <c r="BC2657" s="78"/>
      <c r="BD2657" s="78"/>
      <c r="BE2657" s="465"/>
      <c r="BF2657" s="165" t="str">
        <f t="shared" si="2006"/>
        <v>https://www.google.com/search?tbm=isch&amp;q=Howard%20foliage%20emerges%20Golden-Yellow%2C%20turning%20Dark%20Green%20with%20Yellow%20variegation.%20Bluish-Black%20berries%20</v>
      </c>
      <c r="BG2657" s="165" t="str">
        <f t="shared" si="2007"/>
        <v>H</v>
      </c>
      <c r="BH2657" s="65"/>
      <c r="BI2657" s="65"/>
      <c r="BJ2657" s="65"/>
      <c r="BK2657" s="65"/>
      <c r="BL2657" s="99"/>
      <c r="BM2657" s="99"/>
      <c r="BN2657" s="99"/>
    </row>
    <row r="2658" spans="1:66" s="51" customFormat="1" ht="18" x14ac:dyDescent="0.25">
      <c r="A2658" s="507" t="s">
        <v>3326</v>
      </c>
      <c r="B2658" s="470"/>
      <c r="C2658" s="706"/>
      <c r="D2658" s="471" t="s">
        <v>3327</v>
      </c>
      <c r="E2658" s="472"/>
      <c r="F2658" s="472"/>
      <c r="G2658" s="472"/>
      <c r="H2658" s="622" t="s">
        <v>1246</v>
      </c>
      <c r="I2658" s="473" t="s">
        <v>349</v>
      </c>
      <c r="J2658" s="472"/>
      <c r="K2658" s="472"/>
      <c r="L2658" s="561"/>
      <c r="M2658" s="698" t="s">
        <v>5246</v>
      </c>
      <c r="N2658" s="692" t="str">
        <f>IF(AND(ISTEXT($A2658), ISERROR($A2658+0)), HYPERLINK($BF2658, "Images"), "")</f>
        <v>Images</v>
      </c>
      <c r="O2658" s="694" t="s">
        <v>5264</v>
      </c>
      <c r="P2658" s="475"/>
      <c r="Q2658" s="476"/>
      <c r="R2658" s="476"/>
      <c r="S2658" s="477"/>
      <c r="T2658" s="102">
        <f t="shared" si="1995"/>
        <v>0</v>
      </c>
      <c r="U2658" s="78" t="str">
        <f>IF(NOT(ISNUMBER(G2658)), "", VLOOKUP(A2658,'Discount Lookup'!D:E,2,FALSE)*G2658)</f>
        <v/>
      </c>
      <c r="V2658" s="78" t="str">
        <f>IF(NOT(ISNUMBER(G2658)), "", VLOOKUP(A2658,'Discount Lookup'!G:H,2,FALSE)*G2658)</f>
        <v/>
      </c>
      <c r="W2658" s="102">
        <f t="shared" si="1996"/>
        <v>0</v>
      </c>
      <c r="X2658" s="102" t="str">
        <f t="shared" si="1997"/>
        <v>White bloom</v>
      </c>
      <c r="Y2658" s="120" t="b">
        <f t="shared" si="1998"/>
        <v>0</v>
      </c>
      <c r="Z2658" s="117">
        <f t="shared" si="1999"/>
        <v>0</v>
      </c>
      <c r="AA2658" s="118"/>
      <c r="AB2658" s="118" t="str">
        <f t="shared" si="2000"/>
        <v/>
      </c>
      <c r="AC2658" s="712" t="str">
        <f>IF(AE2658="T2G","no charge",IF(AND(OR(PlanterYesMe="No",PlanterYesMe="N",PlanterYesMe="me"),H2658=""),"",IF(H2658="credit","NO install",IF(AND(K2658="",AE2658="me"),"EACH row",IF(AND(K2658="images",AE2658="me"),"EACH row",IF(D2658="","",IF(H2658="credit","",IF(AE2658="free","re-planting",IF(AE2658="me","   not ELP, by",IF(AND(OR(PlanterYesMe="Yes",PlanterYesMe="Y"),G2658&gt;0),(VLOOKUP(A2658,'Discount Lookup'!J:K,2)*G2658*(1-PlanterDiscount)*(1+PlanterDifficultyPercentage)),IF(AE2658="ELP",(VLOOKUP(A2658,'Discount Lookup'!J:K,2)*G2658*(1-PlanterDiscount)*(1+PlanterDifficultyPercentage)),IF(AE2658="free","re-planting",IF(G2658=0,"",IF(PlanterYesMe="",IF(AE2658="me","   not ELP, by",IF(AE2658="",IF(G2658&gt;0,(VLOOKUP(A2658,'Discount Lookup'!J:K,2)*G2658*(1-PlanterDiscount)*(1+PlanterDifficultyPercentage)),""),"")),"   not ELP, by"))))))))))))))</f>
        <v/>
      </c>
      <c r="AD2658" s="712"/>
      <c r="AE2658" s="513" t="str">
        <f t="shared" si="2001"/>
        <v/>
      </c>
      <c r="AF2658" s="713" t="str">
        <f t="shared" si="2002"/>
        <v/>
      </c>
      <c r="AG2658" s="713"/>
      <c r="AH2658" s="713"/>
      <c r="AI2658" s="112">
        <f>IF(H2658="credit",0,IF(AE2658="free",0,IF(AE2658="me",0,IF(G2658&gt;0,(VLOOKUP(A2658,'Discount Lookup'!J:K,2)*G2658),0))))</f>
        <v>0</v>
      </c>
      <c r="AJ2658" s="107" t="str">
        <f t="shared" ca="1" si="2003"/>
        <v/>
      </c>
      <c r="AK2658" s="714" t="str">
        <f t="shared" si="2004"/>
        <v/>
      </c>
      <c r="AL2658" s="714"/>
      <c r="AM2658" s="114" t="str">
        <f t="shared" si="2005"/>
        <v/>
      </c>
      <c r="AN2658" s="115"/>
      <c r="AO2658" s="116"/>
      <c r="AP2658" s="116"/>
      <c r="AQ2658" s="116"/>
      <c r="AR2658" s="116"/>
      <c r="AS2658" s="116"/>
      <c r="AT2658" s="116"/>
      <c r="AU2658" s="116"/>
      <c r="AV2658" s="78"/>
      <c r="AW2658" s="102"/>
      <c r="AX2658" s="78"/>
      <c r="AY2658" s="78"/>
      <c r="AZ2658" s="78"/>
      <c r="BA2658" s="78"/>
      <c r="BB2658" s="78"/>
      <c r="BC2658" s="78"/>
      <c r="BD2658" s="78"/>
      <c r="BE2658" s="465"/>
      <c r="BF2658" s="165" t="str">
        <f t="shared" si="2006"/>
        <v>https://www.google.com/search?tbm=isch&amp;q=Ligustrum%20japonicum%20%27Jack%20Frost%27%20Jack%20Frost%20Privet</v>
      </c>
      <c r="BG2658" s="165" t="str">
        <f t="shared" si="2007"/>
        <v>L</v>
      </c>
      <c r="BH2658" s="65"/>
      <c r="BI2658" s="65"/>
      <c r="BJ2658" s="65"/>
      <c r="BK2658" s="65"/>
      <c r="BL2658" s="99"/>
      <c r="BM2658" s="99"/>
      <c r="BN2658" s="99"/>
    </row>
    <row r="2659" spans="1:66" s="51" customFormat="1" ht="15.75" x14ac:dyDescent="0.25">
      <c r="A2659" s="478">
        <v>3</v>
      </c>
      <c r="B2659" s="479" t="s">
        <v>291</v>
      </c>
      <c r="C2659" s="480" t="s">
        <v>3052</v>
      </c>
      <c r="D2659" s="481" t="s">
        <v>309</v>
      </c>
      <c r="E2659" s="482">
        <v>22.95</v>
      </c>
      <c r="F2659" s="483" t="s">
        <v>292</v>
      </c>
      <c r="G2659" s="484">
        <v>0</v>
      </c>
      <c r="H2659" s="688" t="str">
        <f>IF(G2659=0,"",IF(F2659="Buy",IF(G2659=1,"plant","plants"),IF(F2659&gt;0.01,"warranty","Error")))</f>
        <v/>
      </c>
      <c r="I2659" s="485">
        <f>IF(H2659="free",0,IF(H2659="credit",((E2659*(F2659))*G2659*-1),IF(F2659="Buy",(E2659*G2659),((E2659*(1-F2659))*G2659))))</f>
        <v>0</v>
      </c>
      <c r="J2659" s="485">
        <f>IF(H2659="warranty",0,(I2659*(_xlfn.SINGLE(SalesTaxPercentage))))</f>
        <v>0</v>
      </c>
      <c r="K2659" s="715">
        <f t="shared" ref="K2659" si="2014">I2659+J2659</f>
        <v>0</v>
      </c>
      <c r="L2659" s="715"/>
      <c r="M2659" s="689" t="str">
        <f ca="1">IF(AND(G2659&gt;0,E2659=0),"WARNING - no PRICE inserted",IF(H2659="free","FREE ~ no charge this plant",IF(H2659="credit",CONCATENATE("-$",ROUND(K2659*(1-_xlfn.SINGLE(T2GDiscount))*-1,2)," CREDIT after discount"),IF(_xlfn.SINGLE(T2GDiscount)=0,"",IF(G2659=0,"",IF(F2659="Buy",CONCATENATE("$",ROUND(K2659*(1-_xlfn.SINGLE(T2GDiscount)),2)," with ",(_xlfn.SINGLE(T2GDiscount)*100),"% discount"),CONCATENATE("$",ROUND(K2659*(1-_xlfn.SINGLE(T2GDiscount)),2)," with ",((_xlfn.SINGLE(T2GDiscount)*100+F2659*100)-(_xlfn.SINGLE(T2GDiscount)*100*F2659)),IF(F2659&gt;0,"% discounts",IF(_xlfn.SINGLE(NoWarrantyDiscount)&gt;0,"% discounts","% discount")))))))))</f>
        <v/>
      </c>
      <c r="N2659" s="690"/>
      <c r="O2659" s="486"/>
      <c r="P2659" s="486"/>
      <c r="Q2659" s="486"/>
      <c r="R2659" s="486"/>
      <c r="S2659" s="486"/>
      <c r="T2659" s="102">
        <f t="shared" si="1995"/>
        <v>0</v>
      </c>
      <c r="U2659" s="78">
        <f>IF(NOT(ISNUMBER(G2659)), "", VLOOKUP(A2659,'Discount Lookup'!D:E,2,FALSE)*G2659)</f>
        <v>0</v>
      </c>
      <c r="V2659" s="78">
        <f>IF(NOT(ISNUMBER(G2659)), "", VLOOKUP(A2659,'Discount Lookup'!G:H,2,FALSE)*G2659)</f>
        <v>0</v>
      </c>
      <c r="W2659" s="102">
        <f t="shared" si="1996"/>
        <v>0</v>
      </c>
      <c r="X2659" s="102">
        <f t="shared" si="1997"/>
        <v>0</v>
      </c>
      <c r="Y2659" s="120" t="b">
        <f t="shared" si="1998"/>
        <v>0</v>
      </c>
      <c r="Z2659" s="117">
        <f t="shared" si="1999"/>
        <v>0</v>
      </c>
      <c r="AA2659" s="118"/>
      <c r="AB2659" s="118" t="str">
        <f t="shared" si="2000"/>
        <v/>
      </c>
      <c r="AC2659" s="712" t="str">
        <f>IF(AE2659="T2G","no charge",IF(AND(OR(PlanterYesMe="No",PlanterYesMe="N",PlanterYesMe="me"),H2659=""),"",IF(H2659="credit","NO install",IF(AND(K2659="",AE2659="me"),"EACH row",IF(AND(K2659="images",AE2659="me"),"EACH row",IF(D2659="","",IF(H2659="credit","",IF(AE2659="free","re-planting",IF(AE2659="me","   not ELP, by",IF(AND(OR(PlanterYesMe="Yes",PlanterYesMe="Y"),G2659&gt;0),(VLOOKUP(A2659,'Discount Lookup'!J:K,2)*G2659*(1-PlanterDiscount)*(1+PlanterDifficultyPercentage)),IF(AE2659="ELP",(VLOOKUP(A2659,'Discount Lookup'!J:K,2)*G2659*(1-PlanterDiscount)*(1+PlanterDifficultyPercentage)),IF(AE2659="free","re-planting",IF(G2659=0,"",IF(PlanterYesMe="",IF(AE2659="me","   not ELP, by",IF(AE2659="",IF(G2659&gt;0,(VLOOKUP(A2659,'Discount Lookup'!J:K,2)*G2659*(1-PlanterDiscount)*(1+PlanterDifficultyPercentage)),""),"")),"   not ELP, by"))))))))))))))</f>
        <v/>
      </c>
      <c r="AD2659" s="712"/>
      <c r="AE2659" s="513" t="str">
        <f t="shared" si="2001"/>
        <v/>
      </c>
      <c r="AF2659" s="713" t="str">
        <f t="shared" si="2002"/>
        <v/>
      </c>
      <c r="AG2659" s="713"/>
      <c r="AH2659" s="713"/>
      <c r="AI2659" s="112">
        <f>IF(H2659="credit",0,IF(AE2659="free",0,IF(AE2659="me",0,IF(G2659&gt;0,(VLOOKUP(A2659,'Discount Lookup'!J:K,2)*G2659),0))))</f>
        <v>0</v>
      </c>
      <c r="AJ2659" s="107" t="str">
        <f t="shared" ca="1" si="2003"/>
        <v/>
      </c>
      <c r="AK2659" s="714" t="str">
        <f t="shared" si="2004"/>
        <v/>
      </c>
      <c r="AL2659" s="714"/>
      <c r="AM2659" s="114" t="str">
        <f t="shared" si="2005"/>
        <v/>
      </c>
      <c r="AN2659" s="115"/>
      <c r="AO2659" s="116"/>
      <c r="AP2659" s="116"/>
      <c r="AQ2659" s="116"/>
      <c r="AR2659" s="116"/>
      <c r="AS2659" s="116"/>
      <c r="AT2659" s="116"/>
      <c r="AU2659" s="116"/>
      <c r="AV2659" s="78"/>
      <c r="AW2659" s="102"/>
      <c r="AX2659" s="78"/>
      <c r="AY2659" s="78"/>
      <c r="AZ2659" s="78"/>
      <c r="BA2659" s="78"/>
      <c r="BB2659" s="78"/>
      <c r="BC2659" s="78"/>
      <c r="BD2659" s="78"/>
      <c r="BE2659" s="465"/>
      <c r="BF2659" s="165" t="str">
        <f t="shared" si="2006"/>
        <v>https://www.google.com/search?tbm=isch&amp;q=3%20G3</v>
      </c>
      <c r="BG2659" s="165" t="str">
        <f t="shared" si="2007"/>
        <v>L</v>
      </c>
      <c r="BH2659" s="65"/>
      <c r="BI2659" s="65"/>
      <c r="BJ2659" s="65"/>
      <c r="BK2659" s="65"/>
      <c r="BL2659" s="99"/>
      <c r="BM2659" s="99"/>
      <c r="BN2659" s="99"/>
    </row>
    <row r="2660" spans="1:66" s="51" customFormat="1" ht="17.25" thickBot="1" x14ac:dyDescent="0.3">
      <c r="A2660" s="508" t="s">
        <v>3328</v>
      </c>
      <c r="B2660" s="487"/>
      <c r="C2660" s="707"/>
      <c r="D2660" s="487"/>
      <c r="E2660" s="487"/>
      <c r="F2660" s="488"/>
      <c r="G2660" s="489"/>
      <c r="H2660" s="487"/>
      <c r="I2660" s="490"/>
      <c r="J2660" s="490"/>
      <c r="K2660" s="491"/>
      <c r="L2660" s="547"/>
      <c r="M2660" s="528"/>
      <c r="N2660" s="492"/>
      <c r="O2660" s="493"/>
      <c r="P2660" s="494"/>
      <c r="Q2660" s="492"/>
      <c r="R2660" s="492"/>
      <c r="S2660" s="699" t="s">
        <v>5268</v>
      </c>
      <c r="T2660" s="102">
        <f t="shared" si="1995"/>
        <v>0</v>
      </c>
      <c r="U2660" s="78" t="str">
        <f>IF(NOT(ISNUMBER(G2660)), "", VLOOKUP(A2660,'Discount Lookup'!D:E,2,FALSE)*G2660)</f>
        <v/>
      </c>
      <c r="V2660" s="78" t="str">
        <f>IF(NOT(ISNUMBER(G2660)), "", VLOOKUP(A2660,'Discount Lookup'!G:H,2,FALSE)*G2660)</f>
        <v/>
      </c>
      <c r="W2660" s="102">
        <f t="shared" si="1996"/>
        <v>0</v>
      </c>
      <c r="X2660" s="102">
        <f t="shared" si="1997"/>
        <v>0</v>
      </c>
      <c r="Y2660" s="120" t="b">
        <f t="shared" si="1998"/>
        <v>0</v>
      </c>
      <c r="Z2660" s="117">
        <f t="shared" si="1999"/>
        <v>0</v>
      </c>
      <c r="AA2660" s="118"/>
      <c r="AB2660" s="118" t="str">
        <f t="shared" si="2000"/>
        <v/>
      </c>
      <c r="AC2660" s="712" t="str">
        <f>IF(AE2660="T2G","no charge",IF(AND(OR(PlanterYesMe="No",PlanterYesMe="N",PlanterYesMe="me"),H2660=""),"",IF(H2660="credit","NO install",IF(AND(K2660="",AE2660="me"),"EACH row",IF(AND(K2660="images",AE2660="me"),"EACH row",IF(D2660="","",IF(H2660="credit","",IF(AE2660="free","re-planting",IF(AE2660="me","   not ELP, by",IF(AND(OR(PlanterYesMe="Yes",PlanterYesMe="Y"),G2660&gt;0),(VLOOKUP(A2660,'Discount Lookup'!J:K,2)*G2660*(1-PlanterDiscount)*(1+PlanterDifficultyPercentage)),IF(AE2660="ELP",(VLOOKUP(A2660,'Discount Lookup'!J:K,2)*G2660*(1-PlanterDiscount)*(1+PlanterDifficultyPercentage)),IF(AE2660="free","re-planting",IF(G2660=0,"",IF(PlanterYesMe="",IF(AE2660="me","   not ELP, by",IF(AE2660="",IF(G2660&gt;0,(VLOOKUP(A2660,'Discount Lookup'!J:K,2)*G2660*(1-PlanterDiscount)*(1+PlanterDifficultyPercentage)),""),"")),"   not ELP, by"))))))))))))))</f>
        <v/>
      </c>
      <c r="AD2660" s="712"/>
      <c r="AE2660" s="513" t="str">
        <f t="shared" si="2001"/>
        <v/>
      </c>
      <c r="AF2660" s="713" t="str">
        <f t="shared" si="2002"/>
        <v/>
      </c>
      <c r="AG2660" s="713"/>
      <c r="AH2660" s="713"/>
      <c r="AI2660" s="112">
        <f>IF(H2660="credit",0,IF(AE2660="free",0,IF(AE2660="me",0,IF(G2660&gt;0,(VLOOKUP(A2660,'Discount Lookup'!J:K,2)*G2660),0))))</f>
        <v>0</v>
      </c>
      <c r="AJ2660" s="107" t="str">
        <f t="shared" ca="1" si="2003"/>
        <v/>
      </c>
      <c r="AK2660" s="714" t="str">
        <f t="shared" si="2004"/>
        <v/>
      </c>
      <c r="AL2660" s="714"/>
      <c r="AM2660" s="114" t="str">
        <f t="shared" si="2005"/>
        <v/>
      </c>
      <c r="AN2660" s="115"/>
      <c r="AO2660" s="116"/>
      <c r="AP2660" s="116"/>
      <c r="AQ2660" s="116"/>
      <c r="AR2660" s="116"/>
      <c r="AS2660" s="116"/>
      <c r="AT2660" s="116"/>
      <c r="AU2660" s="116"/>
      <c r="AV2660" s="78"/>
      <c r="AW2660" s="102"/>
      <c r="AX2660" s="78"/>
      <c r="AY2660" s="78"/>
      <c r="AZ2660" s="78"/>
      <c r="BA2660" s="78"/>
      <c r="BB2660" s="78"/>
      <c r="BC2660" s="78"/>
      <c r="BD2660" s="78"/>
      <c r="BE2660" s="465"/>
      <c r="BF2660" s="165" t="str">
        <f t="shared" si="2006"/>
        <v>https://www.google.com/search?tbm=isch&amp;q=Jack%20Frost%20Privet%20stands%20out%20with%20its%20variegated%20foliage%E2%80%94waxy%20Green%20leaves%20edged%20in%20Creamy%20White.%20Fragrant%20flowers%20</v>
      </c>
      <c r="BG2660" s="165" t="str">
        <f t="shared" si="2007"/>
        <v>J</v>
      </c>
      <c r="BH2660" s="65"/>
      <c r="BI2660" s="65"/>
      <c r="BJ2660" s="65"/>
      <c r="BK2660" s="65"/>
      <c r="BL2660" s="99"/>
      <c r="BM2660" s="99"/>
      <c r="BN2660" s="99"/>
    </row>
    <row r="2661" spans="1:66" s="51" customFormat="1" ht="18" x14ac:dyDescent="0.25">
      <c r="A2661" s="507" t="s">
        <v>3329</v>
      </c>
      <c r="B2661" s="470"/>
      <c r="C2661" s="706"/>
      <c r="D2661" s="471" t="s">
        <v>3330</v>
      </c>
      <c r="E2661" s="472"/>
      <c r="F2661" s="472"/>
      <c r="G2661" s="472"/>
      <c r="H2661" s="622" t="s">
        <v>1231</v>
      </c>
      <c r="I2661" s="473" t="s">
        <v>349</v>
      </c>
      <c r="J2661" s="472"/>
      <c r="K2661" s="472"/>
      <c r="L2661" s="561"/>
      <c r="M2661" s="698" t="s">
        <v>5246</v>
      </c>
      <c r="N2661" s="692" t="str">
        <f>IF(AND(ISTEXT($A2661), ISERROR($A2661+0)), HYPERLINK($BF2661, "Images"), "")</f>
        <v>Images</v>
      </c>
      <c r="O2661" s="694" t="s">
        <v>5264</v>
      </c>
      <c r="P2661" s="475"/>
      <c r="Q2661" s="476"/>
      <c r="R2661" s="476"/>
      <c r="S2661" s="477"/>
      <c r="T2661" s="102">
        <f t="shared" si="1995"/>
        <v>0</v>
      </c>
      <c r="U2661" s="78" t="str">
        <f>IF(NOT(ISNUMBER(G2661)), "", VLOOKUP(A2661,'Discount Lookup'!D:E,2,FALSE)*G2661)</f>
        <v/>
      </c>
      <c r="V2661" s="78" t="str">
        <f>IF(NOT(ISNUMBER(G2661)), "", VLOOKUP(A2661,'Discount Lookup'!G:H,2,FALSE)*G2661)</f>
        <v/>
      </c>
      <c r="W2661" s="102">
        <f t="shared" si="1996"/>
        <v>0</v>
      </c>
      <c r="X2661" s="102" t="str">
        <f t="shared" si="1997"/>
        <v>White bloom</v>
      </c>
      <c r="Y2661" s="120" t="b">
        <f t="shared" si="1998"/>
        <v>0</v>
      </c>
      <c r="Z2661" s="117">
        <f t="shared" si="1999"/>
        <v>0</v>
      </c>
      <c r="AA2661" s="118"/>
      <c r="AB2661" s="118" t="str">
        <f t="shared" si="2000"/>
        <v/>
      </c>
      <c r="AC2661" s="712" t="str">
        <f>IF(AE2661="T2G","no charge",IF(AND(OR(PlanterYesMe="No",PlanterYesMe="N",PlanterYesMe="me"),H2661=""),"",IF(H2661="credit","NO install",IF(AND(K2661="",AE2661="me"),"EACH row",IF(AND(K2661="images",AE2661="me"),"EACH row",IF(D2661="","",IF(H2661="credit","",IF(AE2661="free","re-planting",IF(AE2661="me","   not ELP, by",IF(AND(OR(PlanterYesMe="Yes",PlanterYesMe="Y"),G2661&gt;0),(VLOOKUP(A2661,'Discount Lookup'!J:K,2)*G2661*(1-PlanterDiscount)*(1+PlanterDifficultyPercentage)),IF(AE2661="ELP",(VLOOKUP(A2661,'Discount Lookup'!J:K,2)*G2661*(1-PlanterDiscount)*(1+PlanterDifficultyPercentage)),IF(AE2661="free","re-planting",IF(G2661=0,"",IF(PlanterYesMe="",IF(AE2661="me","   not ELP, by",IF(AE2661="",IF(G2661&gt;0,(VLOOKUP(A2661,'Discount Lookup'!J:K,2)*G2661*(1-PlanterDiscount)*(1+PlanterDifficultyPercentage)),""),"")),"   not ELP, by"))))))))))))))</f>
        <v/>
      </c>
      <c r="AD2661" s="712"/>
      <c r="AE2661" s="513" t="str">
        <f t="shared" si="2001"/>
        <v/>
      </c>
      <c r="AF2661" s="713" t="str">
        <f t="shared" si="2002"/>
        <v/>
      </c>
      <c r="AG2661" s="713"/>
      <c r="AH2661" s="713"/>
      <c r="AI2661" s="112">
        <f>IF(H2661="credit",0,IF(AE2661="free",0,IF(AE2661="me",0,IF(G2661&gt;0,(VLOOKUP(A2661,'Discount Lookup'!J:K,2)*G2661),0))))</f>
        <v>0</v>
      </c>
      <c r="AJ2661" s="107" t="str">
        <f t="shared" ca="1" si="2003"/>
        <v/>
      </c>
      <c r="AK2661" s="714" t="str">
        <f t="shared" si="2004"/>
        <v/>
      </c>
      <c r="AL2661" s="714"/>
      <c r="AM2661" s="114" t="str">
        <f t="shared" si="2005"/>
        <v/>
      </c>
      <c r="AN2661" s="115"/>
      <c r="AO2661" s="116"/>
      <c r="AP2661" s="116"/>
      <c r="AQ2661" s="116"/>
      <c r="AR2661" s="116"/>
      <c r="AS2661" s="116"/>
      <c r="AT2661" s="116"/>
      <c r="AU2661" s="116"/>
      <c r="AV2661" s="78"/>
      <c r="AW2661" s="102"/>
      <c r="AX2661" s="78"/>
      <c r="AY2661" s="78"/>
      <c r="AZ2661" s="78"/>
      <c r="BA2661" s="78"/>
      <c r="BB2661" s="78"/>
      <c r="BC2661" s="78"/>
      <c r="BD2661" s="78"/>
      <c r="BE2661" s="465"/>
      <c r="BF2661" s="165" t="str">
        <f t="shared" si="2006"/>
        <v>https://www.google.com/search?tbm=isch&amp;q=Ligustrum%20japonicum%20%27Recurvifolium%27%20Wavy%20Leaf%20Privet</v>
      </c>
      <c r="BG2661" s="165" t="str">
        <f t="shared" si="2007"/>
        <v>L</v>
      </c>
      <c r="BH2661" s="65"/>
      <c r="BI2661" s="65"/>
      <c r="BJ2661" s="65"/>
      <c r="BK2661" s="65"/>
      <c r="BL2661" s="99"/>
      <c r="BM2661" s="99"/>
      <c r="BN2661" s="99"/>
    </row>
    <row r="2662" spans="1:66" s="51" customFormat="1" ht="15.75" x14ac:dyDescent="0.25">
      <c r="A2662" s="478">
        <v>3</v>
      </c>
      <c r="B2662" s="479" t="s">
        <v>291</v>
      </c>
      <c r="C2662" s="480" t="s">
        <v>3331</v>
      </c>
      <c r="D2662" s="481" t="s">
        <v>329</v>
      </c>
      <c r="E2662" s="482">
        <v>24.95</v>
      </c>
      <c r="F2662" s="483" t="s">
        <v>292</v>
      </c>
      <c r="G2662" s="484">
        <v>0</v>
      </c>
      <c r="H2662" s="688" t="str">
        <f t="shared" ref="H2662:H2675" si="2015">IF(G2662=0,"",IF(F2662="Buy",IF(G2662=1,"plant","plants"),IF(F2662&gt;0.01,"warranty","Error")))</f>
        <v/>
      </c>
      <c r="I2662" s="485">
        <f t="shared" ref="I2662:I2675" si="2016">IF(H2662="free",0,IF(H2662="credit",((E2662*(F2662))*G2662*-1),IF(F2662="Buy",(E2662*G2662),((E2662*(1-F2662))*G2662))))</f>
        <v>0</v>
      </c>
      <c r="J2662" s="485">
        <f t="shared" ref="J2662:J2675" si="2017">IF(H2662="warranty",0,(I2662*(_xlfn.SINGLE(SalesTaxPercentage))))</f>
        <v>0</v>
      </c>
      <c r="K2662" s="715">
        <f t="shared" ref="K2662" si="2018">I2662+J2662</f>
        <v>0</v>
      </c>
      <c r="L2662" s="715"/>
      <c r="M2662" s="689" t="str">
        <f t="shared" ref="M2662:M2675" ca="1" si="2019">IF(AND(G2662&gt;0,E2662=0),"WARNING - no PRICE inserted",IF(H2662="free","FREE ~ no charge this plant",IF(H2662="credit",CONCATENATE("-$",ROUND(K2662*(1-_xlfn.SINGLE(T2GDiscount))*-1,2)," CREDIT after discount"),IF(_xlfn.SINGLE(T2GDiscount)=0,"",IF(G2662=0,"",IF(F2662="Buy",CONCATENATE("$",ROUND(K2662*(1-_xlfn.SINGLE(T2GDiscount)),2)," with ",(_xlfn.SINGLE(T2GDiscount)*100),"% discount"),CONCATENATE("$",ROUND(K2662*(1-_xlfn.SINGLE(T2GDiscount)),2)," with ",((_xlfn.SINGLE(T2GDiscount)*100+F2662*100)-(_xlfn.SINGLE(T2GDiscount)*100*F2662)),IF(F2662&gt;0,"% discounts",IF(_xlfn.SINGLE(NoWarrantyDiscount)&gt;0,"% discounts","% discount")))))))))</f>
        <v/>
      </c>
      <c r="N2662" s="690"/>
      <c r="O2662" s="486"/>
      <c r="P2662" s="486"/>
      <c r="Q2662" s="486"/>
      <c r="R2662" s="486"/>
      <c r="S2662" s="486"/>
      <c r="T2662" s="102">
        <f t="shared" si="1995"/>
        <v>0</v>
      </c>
      <c r="U2662" s="78">
        <f>IF(NOT(ISNUMBER(G2662)), "", VLOOKUP(A2662,'Discount Lookup'!D:E,2,FALSE)*G2662)</f>
        <v>0</v>
      </c>
      <c r="V2662" s="78">
        <f>IF(NOT(ISNUMBER(G2662)), "", VLOOKUP(A2662,'Discount Lookup'!G:H,2,FALSE)*G2662)</f>
        <v>0</v>
      </c>
      <c r="W2662" s="102">
        <f t="shared" si="1996"/>
        <v>0</v>
      </c>
      <c r="X2662" s="102">
        <f t="shared" si="1997"/>
        <v>0</v>
      </c>
      <c r="Y2662" s="120" t="b">
        <f t="shared" si="1998"/>
        <v>0</v>
      </c>
      <c r="Z2662" s="117">
        <f t="shared" si="1999"/>
        <v>0</v>
      </c>
      <c r="AA2662" s="118"/>
      <c r="AB2662" s="118" t="str">
        <f t="shared" si="2000"/>
        <v/>
      </c>
      <c r="AC2662" s="712" t="str">
        <f>IF(AE2662="T2G","no charge",IF(AND(OR(PlanterYesMe="No",PlanterYesMe="N",PlanterYesMe="me"),H2662=""),"",IF(H2662="credit","NO install",IF(AND(K2662="",AE2662="me"),"EACH row",IF(AND(K2662="images",AE2662="me"),"EACH row",IF(D2662="","",IF(H2662="credit","",IF(AE2662="free","re-planting",IF(AE2662="me","   not ELP, by",IF(AND(OR(PlanterYesMe="Yes",PlanterYesMe="Y"),G2662&gt;0),(VLOOKUP(A2662,'Discount Lookup'!J:K,2)*G2662*(1-PlanterDiscount)*(1+PlanterDifficultyPercentage)),IF(AE2662="ELP",(VLOOKUP(A2662,'Discount Lookup'!J:K,2)*G2662*(1-PlanterDiscount)*(1+PlanterDifficultyPercentage)),IF(AE2662="free","re-planting",IF(G2662=0,"",IF(PlanterYesMe="",IF(AE2662="me","   not ELP, by",IF(AE2662="",IF(G2662&gt;0,(VLOOKUP(A2662,'Discount Lookup'!J:K,2)*G2662*(1-PlanterDiscount)*(1+PlanterDifficultyPercentage)),""),"")),"   not ELP, by"))))))))))))))</f>
        <v/>
      </c>
      <c r="AD2662" s="712"/>
      <c r="AE2662" s="513" t="str">
        <f t="shared" si="2001"/>
        <v/>
      </c>
      <c r="AF2662" s="713" t="str">
        <f t="shared" si="2002"/>
        <v/>
      </c>
      <c r="AG2662" s="713"/>
      <c r="AH2662" s="713"/>
      <c r="AI2662" s="112">
        <f>IF(H2662="credit",0,IF(AE2662="free",0,IF(AE2662="me",0,IF(G2662&gt;0,(VLOOKUP(A2662,'Discount Lookup'!J:K,2)*G2662),0))))</f>
        <v>0</v>
      </c>
      <c r="AJ2662" s="107" t="str">
        <f t="shared" ca="1" si="2003"/>
        <v/>
      </c>
      <c r="AK2662" s="714" t="str">
        <f t="shared" si="2004"/>
        <v/>
      </c>
      <c r="AL2662" s="714"/>
      <c r="AM2662" s="114" t="str">
        <f t="shared" si="2005"/>
        <v/>
      </c>
      <c r="AN2662" s="115"/>
      <c r="AO2662" s="116"/>
      <c r="AP2662" s="116"/>
      <c r="AQ2662" s="116"/>
      <c r="AR2662" s="116"/>
      <c r="AS2662" s="116"/>
      <c r="AT2662" s="116"/>
      <c r="AU2662" s="116"/>
      <c r="AV2662" s="78"/>
      <c r="AW2662" s="102"/>
      <c r="AX2662" s="78"/>
      <c r="AY2662" s="78"/>
      <c r="AZ2662" s="78"/>
      <c r="BA2662" s="78"/>
      <c r="BB2662" s="78"/>
      <c r="BC2662" s="78"/>
      <c r="BD2662" s="78"/>
      <c r="BE2662" s="465"/>
      <c r="BF2662" s="165" t="str">
        <f t="shared" si="2006"/>
        <v>https://www.google.com/search?tbm=isch&amp;q=3%20G2</v>
      </c>
      <c r="BG2662" s="165" t="str">
        <f t="shared" si="2007"/>
        <v>L</v>
      </c>
      <c r="BH2662" s="65"/>
      <c r="BI2662" s="65"/>
      <c r="BJ2662" s="65"/>
      <c r="BK2662" s="65"/>
      <c r="BL2662" s="99"/>
      <c r="BM2662" s="99"/>
      <c r="BN2662" s="99"/>
    </row>
    <row r="2663" spans="1:66" s="51" customFormat="1" ht="15.75" x14ac:dyDescent="0.25">
      <c r="A2663" s="478">
        <v>3</v>
      </c>
      <c r="B2663" s="479" t="s">
        <v>291</v>
      </c>
      <c r="C2663" s="480" t="s">
        <v>335</v>
      </c>
      <c r="D2663" s="481" t="s">
        <v>310</v>
      </c>
      <c r="E2663" s="482">
        <v>25.95</v>
      </c>
      <c r="F2663" s="483" t="s">
        <v>292</v>
      </c>
      <c r="G2663" s="484">
        <v>0</v>
      </c>
      <c r="H2663" s="688" t="str">
        <f t="shared" si="2015"/>
        <v/>
      </c>
      <c r="I2663" s="485">
        <f t="shared" si="2016"/>
        <v>0</v>
      </c>
      <c r="J2663" s="485">
        <f t="shared" si="2017"/>
        <v>0</v>
      </c>
      <c r="K2663" s="715">
        <f t="shared" ref="K2663" si="2020">I2663+J2663</f>
        <v>0</v>
      </c>
      <c r="L2663" s="715"/>
      <c r="M2663" s="689" t="str">
        <f t="shared" ca="1" si="2019"/>
        <v/>
      </c>
      <c r="N2663" s="690"/>
      <c r="O2663" s="486"/>
      <c r="P2663" s="486"/>
      <c r="Q2663" s="486"/>
      <c r="R2663" s="486"/>
      <c r="S2663" s="486"/>
      <c r="T2663" s="102">
        <f t="shared" si="1995"/>
        <v>0</v>
      </c>
      <c r="U2663" s="78">
        <f>IF(NOT(ISNUMBER(G2663)), "", VLOOKUP(A2663,'Discount Lookup'!D:E,2,FALSE)*G2663)</f>
        <v>0</v>
      </c>
      <c r="V2663" s="78">
        <f>IF(NOT(ISNUMBER(G2663)), "", VLOOKUP(A2663,'Discount Lookup'!G:H,2,FALSE)*G2663)</f>
        <v>0</v>
      </c>
      <c r="W2663" s="102">
        <f t="shared" si="1996"/>
        <v>0</v>
      </c>
      <c r="X2663" s="102">
        <f t="shared" si="1997"/>
        <v>0</v>
      </c>
      <c r="Y2663" s="120" t="b">
        <f t="shared" si="1998"/>
        <v>0</v>
      </c>
      <c r="Z2663" s="117">
        <f t="shared" si="1999"/>
        <v>0</v>
      </c>
      <c r="AA2663" s="118"/>
      <c r="AB2663" s="118" t="str">
        <f t="shared" si="2000"/>
        <v/>
      </c>
      <c r="AC2663" s="712" t="str">
        <f>IF(AE2663="T2G","no charge",IF(AND(OR(PlanterYesMe="No",PlanterYesMe="N",PlanterYesMe="me"),H2663=""),"",IF(H2663="credit","NO install",IF(AND(K2663="",AE2663="me"),"EACH row",IF(AND(K2663="images",AE2663="me"),"EACH row",IF(D2663="","",IF(H2663="credit","",IF(AE2663="free","re-planting",IF(AE2663="me","   not ELP, by",IF(AND(OR(PlanterYesMe="Yes",PlanterYesMe="Y"),G2663&gt;0),(VLOOKUP(A2663,'Discount Lookup'!J:K,2)*G2663*(1-PlanterDiscount)*(1+PlanterDifficultyPercentage)),IF(AE2663="ELP",(VLOOKUP(A2663,'Discount Lookup'!J:K,2)*G2663*(1-PlanterDiscount)*(1+PlanterDifficultyPercentage)),IF(AE2663="free","re-planting",IF(G2663=0,"",IF(PlanterYesMe="",IF(AE2663="me","   not ELP, by",IF(AE2663="",IF(G2663&gt;0,(VLOOKUP(A2663,'Discount Lookup'!J:K,2)*G2663*(1-PlanterDiscount)*(1+PlanterDifficultyPercentage)),""),"")),"   not ELP, by"))))))))))))))</f>
        <v/>
      </c>
      <c r="AD2663" s="712"/>
      <c r="AE2663" s="513" t="str">
        <f t="shared" si="2001"/>
        <v/>
      </c>
      <c r="AF2663" s="713" t="str">
        <f t="shared" si="2002"/>
        <v/>
      </c>
      <c r="AG2663" s="713"/>
      <c r="AH2663" s="713"/>
      <c r="AI2663" s="112">
        <f>IF(H2663="credit",0,IF(AE2663="free",0,IF(AE2663="me",0,IF(G2663&gt;0,(VLOOKUP(A2663,'Discount Lookup'!J:K,2)*G2663),0))))</f>
        <v>0</v>
      </c>
      <c r="AJ2663" s="107" t="str">
        <f t="shared" ca="1" si="2003"/>
        <v/>
      </c>
      <c r="AK2663" s="714" t="str">
        <f t="shared" si="2004"/>
        <v/>
      </c>
      <c r="AL2663" s="714"/>
      <c r="AM2663" s="114" t="str">
        <f t="shared" si="2005"/>
        <v/>
      </c>
      <c r="AN2663" s="115"/>
      <c r="AO2663" s="116"/>
      <c r="AP2663" s="116"/>
      <c r="AQ2663" s="116"/>
      <c r="AR2663" s="116"/>
      <c r="AS2663" s="116"/>
      <c r="AT2663" s="116"/>
      <c r="AU2663" s="116"/>
      <c r="AV2663" s="78"/>
      <c r="AW2663" s="102"/>
      <c r="AX2663" s="78"/>
      <c r="AY2663" s="78"/>
      <c r="AZ2663" s="78"/>
      <c r="BA2663" s="78"/>
      <c r="BB2663" s="78"/>
      <c r="BC2663" s="78"/>
      <c r="BD2663" s="78"/>
      <c r="BE2663" s="465"/>
      <c r="BF2663" s="165" t="str">
        <f t="shared" si="2006"/>
        <v>https://www.google.com/search?tbm=isch&amp;q=3%20G1</v>
      </c>
      <c r="BG2663" s="165" t="str">
        <f t="shared" si="2007"/>
        <v>L</v>
      </c>
      <c r="BH2663" s="65"/>
      <c r="BI2663" s="65"/>
      <c r="BJ2663" s="65"/>
      <c r="BK2663" s="65"/>
      <c r="BL2663" s="99"/>
      <c r="BM2663" s="99"/>
      <c r="BN2663" s="99"/>
    </row>
    <row r="2664" spans="1:66" s="51" customFormat="1" ht="15.75" x14ac:dyDescent="0.25">
      <c r="A2664" s="478">
        <v>3</v>
      </c>
      <c r="B2664" s="479" t="s">
        <v>291</v>
      </c>
      <c r="C2664" s="480" t="s">
        <v>3332</v>
      </c>
      <c r="D2664" s="481" t="s">
        <v>311</v>
      </c>
      <c r="E2664" s="482">
        <v>27.95</v>
      </c>
      <c r="F2664" s="483" t="s">
        <v>292</v>
      </c>
      <c r="G2664" s="484">
        <v>0</v>
      </c>
      <c r="H2664" s="688" t="str">
        <f t="shared" si="2015"/>
        <v/>
      </c>
      <c r="I2664" s="485">
        <f t="shared" si="2016"/>
        <v>0</v>
      </c>
      <c r="J2664" s="485">
        <f t="shared" si="2017"/>
        <v>0</v>
      </c>
      <c r="K2664" s="715">
        <f t="shared" ref="K2664" si="2021">I2664+J2664</f>
        <v>0</v>
      </c>
      <c r="L2664" s="715"/>
      <c r="M2664" s="689" t="str">
        <f t="shared" ca="1" si="2019"/>
        <v/>
      </c>
      <c r="N2664" s="690"/>
      <c r="O2664" s="486"/>
      <c r="P2664" s="486"/>
      <c r="Q2664" s="486"/>
      <c r="R2664" s="486"/>
      <c r="S2664" s="486"/>
      <c r="T2664" s="102">
        <f t="shared" si="1995"/>
        <v>0</v>
      </c>
      <c r="U2664" s="78">
        <f>IF(NOT(ISNUMBER(G2664)), "", VLOOKUP(A2664,'Discount Lookup'!D:E,2,FALSE)*G2664)</f>
        <v>0</v>
      </c>
      <c r="V2664" s="78">
        <f>IF(NOT(ISNUMBER(G2664)), "", VLOOKUP(A2664,'Discount Lookup'!G:H,2,FALSE)*G2664)</f>
        <v>0</v>
      </c>
      <c r="W2664" s="102">
        <f t="shared" si="1996"/>
        <v>0</v>
      </c>
      <c r="X2664" s="102">
        <f t="shared" si="1997"/>
        <v>0</v>
      </c>
      <c r="Y2664" s="120" t="b">
        <f t="shared" si="1998"/>
        <v>0</v>
      </c>
      <c r="Z2664" s="117">
        <f t="shared" si="1999"/>
        <v>0</v>
      </c>
      <c r="AA2664" s="118"/>
      <c r="AB2664" s="118" t="str">
        <f t="shared" si="2000"/>
        <v/>
      </c>
      <c r="AC2664" s="712" t="str">
        <f>IF(AE2664="T2G","no charge",IF(AND(OR(PlanterYesMe="No",PlanterYesMe="N",PlanterYesMe="me"),H2664=""),"",IF(H2664="credit","NO install",IF(AND(K2664="",AE2664="me"),"EACH row",IF(AND(K2664="images",AE2664="me"),"EACH row",IF(D2664="","",IF(H2664="credit","",IF(AE2664="free","re-planting",IF(AE2664="me","   not ELP, by",IF(AND(OR(PlanterYesMe="Yes",PlanterYesMe="Y"),G2664&gt;0),(VLOOKUP(A2664,'Discount Lookup'!J:K,2)*G2664*(1-PlanterDiscount)*(1+PlanterDifficultyPercentage)),IF(AE2664="ELP",(VLOOKUP(A2664,'Discount Lookup'!J:K,2)*G2664*(1-PlanterDiscount)*(1+PlanterDifficultyPercentage)),IF(AE2664="free","re-planting",IF(G2664=0,"",IF(PlanterYesMe="",IF(AE2664="me","   not ELP, by",IF(AE2664="",IF(G2664&gt;0,(VLOOKUP(A2664,'Discount Lookup'!J:K,2)*G2664*(1-PlanterDiscount)*(1+PlanterDifficultyPercentage)),""),"")),"   not ELP, by"))))))))))))))</f>
        <v/>
      </c>
      <c r="AD2664" s="712"/>
      <c r="AE2664" s="513" t="str">
        <f t="shared" si="2001"/>
        <v/>
      </c>
      <c r="AF2664" s="713" t="str">
        <f t="shared" si="2002"/>
        <v/>
      </c>
      <c r="AG2664" s="713"/>
      <c r="AH2664" s="713"/>
      <c r="AI2664" s="112">
        <f>IF(H2664="credit",0,IF(AE2664="free",0,IF(AE2664="me",0,IF(G2664&gt;0,(VLOOKUP(A2664,'Discount Lookup'!J:K,2)*G2664),0))))</f>
        <v>0</v>
      </c>
      <c r="AJ2664" s="107" t="str">
        <f t="shared" ca="1" si="2003"/>
        <v/>
      </c>
      <c r="AK2664" s="714" t="str">
        <f t="shared" si="2004"/>
        <v/>
      </c>
      <c r="AL2664" s="714"/>
      <c r="AM2664" s="114" t="str">
        <f t="shared" si="2005"/>
        <v/>
      </c>
      <c r="AN2664" s="115"/>
      <c r="AO2664" s="116"/>
      <c r="AP2664" s="116"/>
      <c r="AQ2664" s="116"/>
      <c r="AR2664" s="116"/>
      <c r="AS2664" s="116"/>
      <c r="AT2664" s="116"/>
      <c r="AU2664" s="116"/>
      <c r="AV2664" s="78"/>
      <c r="AW2664" s="102"/>
      <c r="AX2664" s="78"/>
      <c r="AY2664" s="78"/>
      <c r="AZ2664" s="78"/>
      <c r="BA2664" s="78"/>
      <c r="BB2664" s="78"/>
      <c r="BC2664" s="78"/>
      <c r="BD2664" s="78"/>
      <c r="BE2664" s="465"/>
      <c r="BF2664" s="165" t="str">
        <f t="shared" si="2006"/>
        <v>https://www.google.com/search?tbm=isch&amp;q=3%20G5</v>
      </c>
      <c r="BG2664" s="165" t="str">
        <f t="shared" si="2007"/>
        <v>L</v>
      </c>
      <c r="BH2664" s="65"/>
      <c r="BI2664" s="65"/>
      <c r="BJ2664" s="65"/>
      <c r="BK2664" s="65"/>
      <c r="BL2664" s="99"/>
      <c r="BM2664" s="99"/>
      <c r="BN2664" s="99"/>
    </row>
    <row r="2665" spans="1:66" s="51" customFormat="1" ht="15.75" x14ac:dyDescent="0.25">
      <c r="A2665" s="478">
        <v>3</v>
      </c>
      <c r="B2665" s="479" t="s">
        <v>291</v>
      </c>
      <c r="C2665" s="480" t="s">
        <v>3333</v>
      </c>
      <c r="D2665" s="481" t="s">
        <v>293</v>
      </c>
      <c r="E2665" s="482">
        <v>28.95</v>
      </c>
      <c r="F2665" s="483" t="s">
        <v>292</v>
      </c>
      <c r="G2665" s="484">
        <v>0</v>
      </c>
      <c r="H2665" s="688" t="str">
        <f t="shared" si="2015"/>
        <v/>
      </c>
      <c r="I2665" s="485">
        <f t="shared" si="2016"/>
        <v>0</v>
      </c>
      <c r="J2665" s="485">
        <f t="shared" si="2017"/>
        <v>0</v>
      </c>
      <c r="K2665" s="715">
        <f t="shared" ref="K2665" si="2022">I2665+J2665</f>
        <v>0</v>
      </c>
      <c r="L2665" s="715"/>
      <c r="M2665" s="689" t="str">
        <f t="shared" ca="1" si="2019"/>
        <v/>
      </c>
      <c r="N2665" s="690"/>
      <c r="O2665" s="486"/>
      <c r="P2665" s="486"/>
      <c r="Q2665" s="486"/>
      <c r="R2665" s="486"/>
      <c r="S2665" s="486"/>
      <c r="T2665" s="102">
        <f t="shared" si="1995"/>
        <v>0</v>
      </c>
      <c r="U2665" s="78">
        <f>IF(NOT(ISNUMBER(G2665)), "", VLOOKUP(A2665,'Discount Lookup'!D:E,2,FALSE)*G2665)</f>
        <v>0</v>
      </c>
      <c r="V2665" s="78">
        <f>IF(NOT(ISNUMBER(G2665)), "", VLOOKUP(A2665,'Discount Lookup'!G:H,2,FALSE)*G2665)</f>
        <v>0</v>
      </c>
      <c r="W2665" s="102">
        <f t="shared" si="1996"/>
        <v>0</v>
      </c>
      <c r="X2665" s="102">
        <f t="shared" si="1997"/>
        <v>0</v>
      </c>
      <c r="Y2665" s="120" t="b">
        <f t="shared" si="1998"/>
        <v>0</v>
      </c>
      <c r="Z2665" s="117">
        <f t="shared" si="1999"/>
        <v>0</v>
      </c>
      <c r="AA2665" s="118"/>
      <c r="AB2665" s="118" t="str">
        <f t="shared" si="2000"/>
        <v/>
      </c>
      <c r="AC2665" s="712" t="str">
        <f>IF(AE2665="T2G","no charge",IF(AND(OR(PlanterYesMe="No",PlanterYesMe="N",PlanterYesMe="me"),H2665=""),"",IF(H2665="credit","NO install",IF(AND(K2665="",AE2665="me"),"EACH row",IF(AND(K2665="images",AE2665="me"),"EACH row",IF(D2665="","",IF(H2665="credit","",IF(AE2665="free","re-planting",IF(AE2665="me","   not ELP, by",IF(AND(OR(PlanterYesMe="Yes",PlanterYesMe="Y"),G2665&gt;0),(VLOOKUP(A2665,'Discount Lookup'!J:K,2)*G2665*(1-PlanterDiscount)*(1+PlanterDifficultyPercentage)),IF(AE2665="ELP",(VLOOKUP(A2665,'Discount Lookup'!J:K,2)*G2665*(1-PlanterDiscount)*(1+PlanterDifficultyPercentage)),IF(AE2665="free","re-planting",IF(G2665=0,"",IF(PlanterYesMe="",IF(AE2665="me","   not ELP, by",IF(AE2665="",IF(G2665&gt;0,(VLOOKUP(A2665,'Discount Lookup'!J:K,2)*G2665*(1-PlanterDiscount)*(1+PlanterDifficultyPercentage)),""),"")),"   not ELP, by"))))))))))))))</f>
        <v/>
      </c>
      <c r="AD2665" s="712"/>
      <c r="AE2665" s="513" t="str">
        <f t="shared" si="2001"/>
        <v/>
      </c>
      <c r="AF2665" s="713" t="str">
        <f t="shared" si="2002"/>
        <v/>
      </c>
      <c r="AG2665" s="713"/>
      <c r="AH2665" s="713"/>
      <c r="AI2665" s="112">
        <f>IF(H2665="credit",0,IF(AE2665="free",0,IF(AE2665="me",0,IF(G2665&gt;0,(VLOOKUP(A2665,'Discount Lookup'!J:K,2)*G2665),0))))</f>
        <v>0</v>
      </c>
      <c r="AJ2665" s="107" t="str">
        <f t="shared" ca="1" si="2003"/>
        <v/>
      </c>
      <c r="AK2665" s="714" t="str">
        <f t="shared" si="2004"/>
        <v/>
      </c>
      <c r="AL2665" s="714"/>
      <c r="AM2665" s="114" t="str">
        <f t="shared" si="2005"/>
        <v/>
      </c>
      <c r="AN2665" s="115"/>
      <c r="AO2665" s="116"/>
      <c r="AP2665" s="116"/>
      <c r="AQ2665" s="116"/>
      <c r="AR2665" s="116"/>
      <c r="AS2665" s="116"/>
      <c r="AT2665" s="116"/>
      <c r="AU2665" s="116"/>
      <c r="AV2665" s="78"/>
      <c r="AW2665" s="102"/>
      <c r="AX2665" s="78"/>
      <c r="AY2665" s="78"/>
      <c r="AZ2665" s="78"/>
      <c r="BA2665" s="78"/>
      <c r="BB2665" s="78"/>
      <c r="BC2665" s="78"/>
      <c r="BD2665" s="78"/>
      <c r="BE2665" s="465"/>
      <c r="BF2665" s="165" t="str">
        <f t="shared" si="2006"/>
        <v>https://www.google.com/search?tbm=isch&amp;q=3%20G6</v>
      </c>
      <c r="BG2665" s="165" t="str">
        <f t="shared" si="2007"/>
        <v>L</v>
      </c>
      <c r="BH2665" s="65"/>
      <c r="BI2665" s="65"/>
      <c r="BJ2665" s="65"/>
      <c r="BK2665" s="65"/>
      <c r="BL2665" s="99"/>
      <c r="BM2665" s="99"/>
      <c r="BN2665" s="99"/>
    </row>
    <row r="2666" spans="1:66" s="51" customFormat="1" ht="15.75" x14ac:dyDescent="0.25">
      <c r="A2666" s="478">
        <v>7</v>
      </c>
      <c r="B2666" s="479" t="s">
        <v>291</v>
      </c>
      <c r="C2666" s="480" t="s">
        <v>3334</v>
      </c>
      <c r="D2666" s="481" t="s">
        <v>310</v>
      </c>
      <c r="E2666" s="482">
        <v>56.95</v>
      </c>
      <c r="F2666" s="483" t="s">
        <v>292</v>
      </c>
      <c r="G2666" s="484">
        <v>0</v>
      </c>
      <c r="H2666" s="688" t="str">
        <f t="shared" si="2015"/>
        <v/>
      </c>
      <c r="I2666" s="485">
        <f t="shared" si="2016"/>
        <v>0</v>
      </c>
      <c r="J2666" s="485">
        <f t="shared" si="2017"/>
        <v>0</v>
      </c>
      <c r="K2666" s="715">
        <f t="shared" ref="K2666" si="2023">I2666+J2666</f>
        <v>0</v>
      </c>
      <c r="L2666" s="715"/>
      <c r="M2666" s="689" t="str">
        <f t="shared" ca="1" si="2019"/>
        <v/>
      </c>
      <c r="N2666" s="690"/>
      <c r="O2666" s="486"/>
      <c r="P2666" s="486"/>
      <c r="Q2666" s="486"/>
      <c r="R2666" s="486"/>
      <c r="S2666" s="486"/>
      <c r="T2666" s="102">
        <f t="shared" si="1995"/>
        <v>0</v>
      </c>
      <c r="U2666" s="78">
        <f>IF(NOT(ISNUMBER(G2666)), "", VLOOKUP(A2666,'Discount Lookup'!D:E,2,FALSE)*G2666)</f>
        <v>0</v>
      </c>
      <c r="V2666" s="78">
        <f>IF(NOT(ISNUMBER(G2666)), "", VLOOKUP(A2666,'Discount Lookup'!G:H,2,FALSE)*G2666)</f>
        <v>0</v>
      </c>
      <c r="W2666" s="102">
        <f t="shared" si="1996"/>
        <v>0</v>
      </c>
      <c r="X2666" s="102">
        <f t="shared" si="1997"/>
        <v>0</v>
      </c>
      <c r="Y2666" s="120" t="b">
        <f t="shared" si="1998"/>
        <v>0</v>
      </c>
      <c r="Z2666" s="117">
        <f t="shared" si="1999"/>
        <v>0</v>
      </c>
      <c r="AA2666" s="118"/>
      <c r="AB2666" s="118" t="str">
        <f t="shared" si="2000"/>
        <v/>
      </c>
      <c r="AC2666" s="712" t="str">
        <f>IF(AE2666="T2G","no charge",IF(AND(OR(PlanterYesMe="No",PlanterYesMe="N",PlanterYesMe="me"),H2666=""),"",IF(H2666="credit","NO install",IF(AND(K2666="",AE2666="me"),"EACH row",IF(AND(K2666="images",AE2666="me"),"EACH row",IF(D2666="","",IF(H2666="credit","",IF(AE2666="free","re-planting",IF(AE2666="me","   not ELP, by",IF(AND(OR(PlanterYesMe="Yes",PlanterYesMe="Y"),G2666&gt;0),(VLOOKUP(A2666,'Discount Lookup'!J:K,2)*G2666*(1-PlanterDiscount)*(1+PlanterDifficultyPercentage)),IF(AE2666="ELP",(VLOOKUP(A2666,'Discount Lookup'!J:K,2)*G2666*(1-PlanterDiscount)*(1+PlanterDifficultyPercentage)),IF(AE2666="free","re-planting",IF(G2666=0,"",IF(PlanterYesMe="",IF(AE2666="me","   not ELP, by",IF(AE2666="",IF(G2666&gt;0,(VLOOKUP(A2666,'Discount Lookup'!J:K,2)*G2666*(1-PlanterDiscount)*(1+PlanterDifficultyPercentage)),""),"")),"   not ELP, by"))))))))))))))</f>
        <v/>
      </c>
      <c r="AD2666" s="712"/>
      <c r="AE2666" s="513" t="str">
        <f t="shared" si="2001"/>
        <v/>
      </c>
      <c r="AF2666" s="713" t="str">
        <f t="shared" si="2002"/>
        <v/>
      </c>
      <c r="AG2666" s="713"/>
      <c r="AH2666" s="713"/>
      <c r="AI2666" s="112">
        <f>IF(H2666="credit",0,IF(AE2666="free",0,IF(AE2666="me",0,IF(G2666&gt;0,(VLOOKUP(A2666,'Discount Lookup'!J:K,2)*G2666),0))))</f>
        <v>0</v>
      </c>
      <c r="AJ2666" s="107" t="str">
        <f t="shared" ca="1" si="2003"/>
        <v/>
      </c>
      <c r="AK2666" s="714" t="str">
        <f t="shared" si="2004"/>
        <v/>
      </c>
      <c r="AL2666" s="714"/>
      <c r="AM2666" s="114" t="str">
        <f t="shared" si="2005"/>
        <v/>
      </c>
      <c r="AN2666" s="115"/>
      <c r="AO2666" s="116"/>
      <c r="AP2666" s="116"/>
      <c r="AQ2666" s="116"/>
      <c r="AR2666" s="116"/>
      <c r="AS2666" s="116"/>
      <c r="AT2666" s="116"/>
      <c r="AU2666" s="116"/>
      <c r="AV2666" s="78"/>
      <c r="AW2666" s="102"/>
      <c r="AX2666" s="78"/>
      <c r="AY2666" s="78"/>
      <c r="AZ2666" s="78"/>
      <c r="BA2666" s="78"/>
      <c r="BB2666" s="78"/>
      <c r="BC2666" s="78"/>
      <c r="BD2666" s="78"/>
      <c r="BE2666" s="465"/>
      <c r="BF2666" s="165" t="str">
        <f t="shared" si="2006"/>
        <v>https://www.google.com/search?tbm=isch&amp;q=7%20G1</v>
      </c>
      <c r="BG2666" s="165" t="str">
        <f t="shared" si="2007"/>
        <v>L</v>
      </c>
      <c r="BH2666" s="65"/>
      <c r="BI2666" s="65"/>
      <c r="BJ2666" s="65"/>
      <c r="BK2666" s="65"/>
      <c r="BL2666" s="99"/>
      <c r="BM2666" s="99"/>
      <c r="BN2666" s="99"/>
    </row>
    <row r="2667" spans="1:66" s="51" customFormat="1" ht="15.75" x14ac:dyDescent="0.25">
      <c r="A2667" s="478">
        <v>7</v>
      </c>
      <c r="B2667" s="479" t="s">
        <v>291</v>
      </c>
      <c r="C2667" s="480" t="s">
        <v>3335</v>
      </c>
      <c r="D2667" s="481" t="s">
        <v>309</v>
      </c>
      <c r="E2667" s="482">
        <v>56.95</v>
      </c>
      <c r="F2667" s="483" t="s">
        <v>292</v>
      </c>
      <c r="G2667" s="484">
        <v>0</v>
      </c>
      <c r="H2667" s="688" t="str">
        <f t="shared" si="2015"/>
        <v/>
      </c>
      <c r="I2667" s="485">
        <f t="shared" si="2016"/>
        <v>0</v>
      </c>
      <c r="J2667" s="485">
        <f t="shared" si="2017"/>
        <v>0</v>
      </c>
      <c r="K2667" s="715">
        <f t="shared" ref="K2667" si="2024">I2667+J2667</f>
        <v>0</v>
      </c>
      <c r="L2667" s="715"/>
      <c r="M2667" s="689" t="str">
        <f t="shared" ca="1" si="2019"/>
        <v/>
      </c>
      <c r="N2667" s="690"/>
      <c r="O2667" s="486"/>
      <c r="P2667" s="486"/>
      <c r="Q2667" s="486"/>
      <c r="R2667" s="486"/>
      <c r="S2667" s="486"/>
      <c r="T2667" s="102">
        <f t="shared" si="1995"/>
        <v>0</v>
      </c>
      <c r="U2667" s="78">
        <f>IF(NOT(ISNUMBER(G2667)), "", VLOOKUP(A2667,'Discount Lookup'!D:E,2,FALSE)*G2667)</f>
        <v>0</v>
      </c>
      <c r="V2667" s="78">
        <f>IF(NOT(ISNUMBER(G2667)), "", VLOOKUP(A2667,'Discount Lookup'!G:H,2,FALSE)*G2667)</f>
        <v>0</v>
      </c>
      <c r="W2667" s="102">
        <f t="shared" si="1996"/>
        <v>0</v>
      </c>
      <c r="X2667" s="102">
        <f t="shared" si="1997"/>
        <v>0</v>
      </c>
      <c r="Y2667" s="120" t="b">
        <f t="shared" si="1998"/>
        <v>0</v>
      </c>
      <c r="Z2667" s="117">
        <f t="shared" si="1999"/>
        <v>0</v>
      </c>
      <c r="AA2667" s="118"/>
      <c r="AB2667" s="118" t="str">
        <f t="shared" si="2000"/>
        <v/>
      </c>
      <c r="AC2667" s="712" t="str">
        <f>IF(AE2667="T2G","no charge",IF(AND(OR(PlanterYesMe="No",PlanterYesMe="N",PlanterYesMe="me"),H2667=""),"",IF(H2667="credit","NO install",IF(AND(K2667="",AE2667="me"),"EACH row",IF(AND(K2667="images",AE2667="me"),"EACH row",IF(D2667="","",IF(H2667="credit","",IF(AE2667="free","re-planting",IF(AE2667="me","   not ELP, by",IF(AND(OR(PlanterYesMe="Yes",PlanterYesMe="Y"),G2667&gt;0),(VLOOKUP(A2667,'Discount Lookup'!J:K,2)*G2667*(1-PlanterDiscount)*(1+PlanterDifficultyPercentage)),IF(AE2667="ELP",(VLOOKUP(A2667,'Discount Lookup'!J:K,2)*G2667*(1-PlanterDiscount)*(1+PlanterDifficultyPercentage)),IF(AE2667="free","re-planting",IF(G2667=0,"",IF(PlanterYesMe="",IF(AE2667="me","   not ELP, by",IF(AE2667="",IF(G2667&gt;0,(VLOOKUP(A2667,'Discount Lookup'!J:K,2)*G2667*(1-PlanterDiscount)*(1+PlanterDifficultyPercentage)),""),"")),"   not ELP, by"))))))))))))))</f>
        <v/>
      </c>
      <c r="AD2667" s="712"/>
      <c r="AE2667" s="513" t="str">
        <f t="shared" si="2001"/>
        <v/>
      </c>
      <c r="AF2667" s="713" t="str">
        <f t="shared" si="2002"/>
        <v/>
      </c>
      <c r="AG2667" s="713"/>
      <c r="AH2667" s="713"/>
      <c r="AI2667" s="112">
        <f>IF(H2667="credit",0,IF(AE2667="free",0,IF(AE2667="me",0,IF(G2667&gt;0,(VLOOKUP(A2667,'Discount Lookup'!J:K,2)*G2667),0))))</f>
        <v>0</v>
      </c>
      <c r="AJ2667" s="107" t="str">
        <f t="shared" ca="1" si="2003"/>
        <v/>
      </c>
      <c r="AK2667" s="714" t="str">
        <f t="shared" si="2004"/>
        <v/>
      </c>
      <c r="AL2667" s="714"/>
      <c r="AM2667" s="114" t="str">
        <f t="shared" si="2005"/>
        <v/>
      </c>
      <c r="AN2667" s="115"/>
      <c r="AO2667" s="116"/>
      <c r="AP2667" s="116"/>
      <c r="AQ2667" s="116"/>
      <c r="AR2667" s="116"/>
      <c r="AS2667" s="116"/>
      <c r="AT2667" s="116"/>
      <c r="AU2667" s="116"/>
      <c r="AV2667" s="78"/>
      <c r="AW2667" s="102"/>
      <c r="AX2667" s="78"/>
      <c r="AY2667" s="78"/>
      <c r="AZ2667" s="78"/>
      <c r="BA2667" s="78"/>
      <c r="BB2667" s="78"/>
      <c r="BC2667" s="78"/>
      <c r="BD2667" s="78"/>
      <c r="BE2667" s="465"/>
      <c r="BF2667" s="165" t="str">
        <f t="shared" si="2006"/>
        <v>https://www.google.com/search?tbm=isch&amp;q=7%20G3</v>
      </c>
      <c r="BG2667" s="165" t="str">
        <f t="shared" si="2007"/>
        <v>L</v>
      </c>
      <c r="BH2667" s="65"/>
      <c r="BI2667" s="65"/>
      <c r="BJ2667" s="65"/>
      <c r="BK2667" s="65"/>
      <c r="BL2667" s="99"/>
      <c r="BM2667" s="99"/>
      <c r="BN2667" s="99"/>
    </row>
    <row r="2668" spans="1:66" s="51" customFormat="1" ht="15.75" x14ac:dyDescent="0.25">
      <c r="A2668" s="478">
        <v>10</v>
      </c>
      <c r="B2668" s="479" t="s">
        <v>291</v>
      </c>
      <c r="C2668" s="480" t="s">
        <v>3336</v>
      </c>
      <c r="D2668" s="481" t="s">
        <v>309</v>
      </c>
      <c r="E2668" s="482">
        <v>83.95</v>
      </c>
      <c r="F2668" s="483" t="s">
        <v>292</v>
      </c>
      <c r="G2668" s="484">
        <v>0</v>
      </c>
      <c r="H2668" s="688" t="str">
        <f t="shared" si="2015"/>
        <v/>
      </c>
      <c r="I2668" s="485">
        <f t="shared" si="2016"/>
        <v>0</v>
      </c>
      <c r="J2668" s="485">
        <f t="shared" si="2017"/>
        <v>0</v>
      </c>
      <c r="K2668" s="715">
        <f t="shared" ref="K2668" si="2025">I2668+J2668</f>
        <v>0</v>
      </c>
      <c r="L2668" s="715"/>
      <c r="M2668" s="689" t="str">
        <f t="shared" ca="1" si="2019"/>
        <v/>
      </c>
      <c r="N2668" s="690"/>
      <c r="O2668" s="486"/>
      <c r="P2668" s="486"/>
      <c r="Q2668" s="486"/>
      <c r="R2668" s="486"/>
      <c r="S2668" s="486"/>
      <c r="T2668" s="102">
        <f t="shared" si="1995"/>
        <v>0</v>
      </c>
      <c r="U2668" s="78">
        <f>IF(NOT(ISNUMBER(G2668)), "", VLOOKUP(A2668,'Discount Lookup'!D:E,2,FALSE)*G2668)</f>
        <v>0</v>
      </c>
      <c r="V2668" s="78">
        <f>IF(NOT(ISNUMBER(G2668)), "", VLOOKUP(A2668,'Discount Lookup'!G:H,2,FALSE)*G2668)</f>
        <v>0</v>
      </c>
      <c r="W2668" s="102">
        <f t="shared" si="1996"/>
        <v>0</v>
      </c>
      <c r="X2668" s="102">
        <f t="shared" si="1997"/>
        <v>0</v>
      </c>
      <c r="Y2668" s="120" t="b">
        <f t="shared" si="1998"/>
        <v>0</v>
      </c>
      <c r="Z2668" s="117">
        <f t="shared" si="1999"/>
        <v>0</v>
      </c>
      <c r="AA2668" s="118"/>
      <c r="AB2668" s="118" t="str">
        <f t="shared" si="2000"/>
        <v/>
      </c>
      <c r="AC2668" s="712" t="str">
        <f>IF(AE2668="T2G","no charge",IF(AND(OR(PlanterYesMe="No",PlanterYesMe="N",PlanterYesMe="me"),H2668=""),"",IF(H2668="credit","NO install",IF(AND(K2668="",AE2668="me"),"EACH row",IF(AND(K2668="images",AE2668="me"),"EACH row",IF(D2668="","",IF(H2668="credit","",IF(AE2668="free","re-planting",IF(AE2668="me","   not ELP, by",IF(AND(OR(PlanterYesMe="Yes",PlanterYesMe="Y"),G2668&gt;0),(VLOOKUP(A2668,'Discount Lookup'!J:K,2)*G2668*(1-PlanterDiscount)*(1+PlanterDifficultyPercentage)),IF(AE2668="ELP",(VLOOKUP(A2668,'Discount Lookup'!J:K,2)*G2668*(1-PlanterDiscount)*(1+PlanterDifficultyPercentage)),IF(AE2668="free","re-planting",IF(G2668=0,"",IF(PlanterYesMe="",IF(AE2668="me","   not ELP, by",IF(AE2668="",IF(G2668&gt;0,(VLOOKUP(A2668,'Discount Lookup'!J:K,2)*G2668*(1-PlanterDiscount)*(1+PlanterDifficultyPercentage)),""),"")),"   not ELP, by"))))))))))))))</f>
        <v/>
      </c>
      <c r="AD2668" s="712"/>
      <c r="AE2668" s="513" t="str">
        <f t="shared" si="2001"/>
        <v/>
      </c>
      <c r="AF2668" s="713" t="str">
        <f t="shared" si="2002"/>
        <v/>
      </c>
      <c r="AG2668" s="713"/>
      <c r="AH2668" s="713"/>
      <c r="AI2668" s="112">
        <f>IF(H2668="credit",0,IF(AE2668="free",0,IF(AE2668="me",0,IF(G2668&gt;0,(VLOOKUP(A2668,'Discount Lookup'!J:K,2)*G2668),0))))</f>
        <v>0</v>
      </c>
      <c r="AJ2668" s="107" t="str">
        <f t="shared" ca="1" si="2003"/>
        <v/>
      </c>
      <c r="AK2668" s="714" t="str">
        <f t="shared" si="2004"/>
        <v/>
      </c>
      <c r="AL2668" s="714"/>
      <c r="AM2668" s="114" t="str">
        <f t="shared" si="2005"/>
        <v/>
      </c>
      <c r="AN2668" s="115"/>
      <c r="AO2668" s="116"/>
      <c r="AP2668" s="116"/>
      <c r="AQ2668" s="116"/>
      <c r="AR2668" s="116"/>
      <c r="AS2668" s="116"/>
      <c r="AT2668" s="116"/>
      <c r="AU2668" s="116"/>
      <c r="AV2668" s="78"/>
      <c r="AW2668" s="102"/>
      <c r="AX2668" s="78"/>
      <c r="AY2668" s="78"/>
      <c r="AZ2668" s="78"/>
      <c r="BA2668" s="78"/>
      <c r="BB2668" s="78"/>
      <c r="BC2668" s="78"/>
      <c r="BD2668" s="78"/>
      <c r="BE2668" s="465"/>
      <c r="BF2668" s="165" t="str">
        <f t="shared" si="2006"/>
        <v>https://www.google.com/search?tbm=isch&amp;q=10%20G3</v>
      </c>
      <c r="BG2668" s="165" t="str">
        <f t="shared" si="2007"/>
        <v>L</v>
      </c>
      <c r="BH2668" s="65"/>
      <c r="BI2668" s="65"/>
      <c r="BJ2668" s="65"/>
      <c r="BK2668" s="65"/>
      <c r="BL2668" s="99"/>
      <c r="BM2668" s="99"/>
      <c r="BN2668" s="99"/>
    </row>
    <row r="2669" spans="1:66" s="51" customFormat="1" ht="15.75" x14ac:dyDescent="0.25">
      <c r="A2669" s="478">
        <v>10</v>
      </c>
      <c r="B2669" s="479" t="s">
        <v>291</v>
      </c>
      <c r="C2669" s="480" t="s">
        <v>4629</v>
      </c>
      <c r="D2669" s="481" t="s">
        <v>293</v>
      </c>
      <c r="E2669" s="482">
        <v>112.95</v>
      </c>
      <c r="F2669" s="483" t="s">
        <v>292</v>
      </c>
      <c r="G2669" s="484">
        <v>0</v>
      </c>
      <c r="H2669" s="688" t="str">
        <f t="shared" si="2015"/>
        <v/>
      </c>
      <c r="I2669" s="485">
        <f t="shared" si="2016"/>
        <v>0</v>
      </c>
      <c r="J2669" s="485">
        <f t="shared" si="2017"/>
        <v>0</v>
      </c>
      <c r="K2669" s="715">
        <f t="shared" ref="K2669" si="2026">I2669+J2669</f>
        <v>0</v>
      </c>
      <c r="L2669" s="715"/>
      <c r="M2669" s="689" t="str">
        <f t="shared" ca="1" si="2019"/>
        <v/>
      </c>
      <c r="N2669" s="690"/>
      <c r="O2669" s="486"/>
      <c r="P2669" s="486"/>
      <c r="Q2669" s="486"/>
      <c r="R2669" s="486"/>
      <c r="S2669" s="486"/>
      <c r="T2669" s="102">
        <f t="shared" si="1995"/>
        <v>0</v>
      </c>
      <c r="U2669" s="78">
        <f>IF(NOT(ISNUMBER(G2669)), "", VLOOKUP(A2669,'Discount Lookup'!D:E,2,FALSE)*G2669)</f>
        <v>0</v>
      </c>
      <c r="V2669" s="78">
        <f>IF(NOT(ISNUMBER(G2669)), "", VLOOKUP(A2669,'Discount Lookup'!G:H,2,FALSE)*G2669)</f>
        <v>0</v>
      </c>
      <c r="W2669" s="102">
        <f t="shared" si="1996"/>
        <v>0</v>
      </c>
      <c r="X2669" s="102">
        <f t="shared" si="1997"/>
        <v>0</v>
      </c>
      <c r="Y2669" s="120" t="b">
        <f t="shared" si="1998"/>
        <v>0</v>
      </c>
      <c r="Z2669" s="117">
        <f t="shared" si="1999"/>
        <v>0</v>
      </c>
      <c r="AA2669" s="118"/>
      <c r="AB2669" s="118" t="str">
        <f t="shared" si="2000"/>
        <v/>
      </c>
      <c r="AC2669" s="712" t="str">
        <f>IF(AE2669="T2G","no charge",IF(AND(OR(PlanterYesMe="No",PlanterYesMe="N",PlanterYesMe="me"),H2669=""),"",IF(H2669="credit","NO install",IF(AND(K2669="",AE2669="me"),"EACH row",IF(AND(K2669="images",AE2669="me"),"EACH row",IF(D2669="","",IF(H2669="credit","",IF(AE2669="free","re-planting",IF(AE2669="me","   not ELP, by",IF(AND(OR(PlanterYesMe="Yes",PlanterYesMe="Y"),G2669&gt;0),(VLOOKUP(A2669,'Discount Lookup'!J:K,2)*G2669*(1-PlanterDiscount)*(1+PlanterDifficultyPercentage)),IF(AE2669="ELP",(VLOOKUP(A2669,'Discount Lookup'!J:K,2)*G2669*(1-PlanterDiscount)*(1+PlanterDifficultyPercentage)),IF(AE2669="free","re-planting",IF(G2669=0,"",IF(PlanterYesMe="",IF(AE2669="me","   not ELP, by",IF(AE2669="",IF(G2669&gt;0,(VLOOKUP(A2669,'Discount Lookup'!J:K,2)*G2669*(1-PlanterDiscount)*(1+PlanterDifficultyPercentage)),""),"")),"   not ELP, by"))))))))))))))</f>
        <v/>
      </c>
      <c r="AD2669" s="712"/>
      <c r="AE2669" s="513" t="str">
        <f t="shared" si="2001"/>
        <v/>
      </c>
      <c r="AF2669" s="713" t="str">
        <f t="shared" si="2002"/>
        <v/>
      </c>
      <c r="AG2669" s="713"/>
      <c r="AH2669" s="713"/>
      <c r="AI2669" s="112">
        <f>IF(H2669="credit",0,IF(AE2669="free",0,IF(AE2669="me",0,IF(G2669&gt;0,(VLOOKUP(A2669,'Discount Lookup'!J:K,2)*G2669),0))))</f>
        <v>0</v>
      </c>
      <c r="AJ2669" s="107" t="str">
        <f t="shared" ca="1" si="2003"/>
        <v/>
      </c>
      <c r="AK2669" s="714" t="str">
        <f t="shared" si="2004"/>
        <v/>
      </c>
      <c r="AL2669" s="714"/>
      <c r="AM2669" s="114" t="str">
        <f t="shared" si="2005"/>
        <v/>
      </c>
      <c r="AN2669" s="115"/>
      <c r="AO2669" s="116"/>
      <c r="AP2669" s="116"/>
      <c r="AQ2669" s="116"/>
      <c r="AR2669" s="116"/>
      <c r="AS2669" s="116"/>
      <c r="AT2669" s="116"/>
      <c r="AU2669" s="116"/>
      <c r="AV2669" s="78"/>
      <c r="AW2669" s="102"/>
      <c r="AX2669" s="78"/>
      <c r="AY2669" s="78"/>
      <c r="AZ2669" s="78"/>
      <c r="BA2669" s="78"/>
      <c r="BB2669" s="78"/>
      <c r="BC2669" s="78"/>
      <c r="BD2669" s="78"/>
      <c r="BE2669" s="465"/>
      <c r="BF2669" s="165" t="str">
        <f t="shared" si="2006"/>
        <v>https://www.google.com/search?tbm=isch&amp;q=10%20G6</v>
      </c>
      <c r="BG2669" s="165" t="str">
        <f t="shared" si="2007"/>
        <v>L</v>
      </c>
      <c r="BH2669" s="65"/>
      <c r="BI2669" s="65"/>
      <c r="BJ2669" s="65"/>
      <c r="BK2669" s="65"/>
      <c r="BL2669" s="99"/>
      <c r="BM2669" s="99"/>
      <c r="BN2669" s="99"/>
    </row>
    <row r="2670" spans="1:66" s="51" customFormat="1" ht="15.75" x14ac:dyDescent="0.25">
      <c r="A2670" s="478">
        <v>15</v>
      </c>
      <c r="B2670" s="479" t="s">
        <v>291</v>
      </c>
      <c r="C2670" s="480" t="s">
        <v>2314</v>
      </c>
      <c r="D2670" s="481" t="s">
        <v>329</v>
      </c>
      <c r="E2670" s="482">
        <v>161.94999999999999</v>
      </c>
      <c r="F2670" s="483" t="s">
        <v>292</v>
      </c>
      <c r="G2670" s="484">
        <v>0</v>
      </c>
      <c r="H2670" s="688" t="str">
        <f t="shared" si="2015"/>
        <v/>
      </c>
      <c r="I2670" s="485">
        <f t="shared" si="2016"/>
        <v>0</v>
      </c>
      <c r="J2670" s="485">
        <f t="shared" si="2017"/>
        <v>0</v>
      </c>
      <c r="K2670" s="715">
        <f t="shared" ref="K2670" si="2027">I2670+J2670</f>
        <v>0</v>
      </c>
      <c r="L2670" s="715"/>
      <c r="M2670" s="689" t="str">
        <f t="shared" ca="1" si="2019"/>
        <v/>
      </c>
      <c r="N2670" s="690"/>
      <c r="O2670" s="486"/>
      <c r="P2670" s="486"/>
      <c r="Q2670" s="486"/>
      <c r="R2670" s="486"/>
      <c r="S2670" s="486"/>
      <c r="T2670" s="102">
        <f t="shared" si="1995"/>
        <v>0</v>
      </c>
      <c r="U2670" s="78">
        <f>IF(NOT(ISNUMBER(G2670)), "", VLOOKUP(A2670,'Discount Lookup'!D:E,2,FALSE)*G2670)</f>
        <v>0</v>
      </c>
      <c r="V2670" s="78">
        <f>IF(NOT(ISNUMBER(G2670)), "", VLOOKUP(A2670,'Discount Lookup'!G:H,2,FALSE)*G2670)</f>
        <v>0</v>
      </c>
      <c r="W2670" s="102">
        <f t="shared" si="1996"/>
        <v>0</v>
      </c>
      <c r="X2670" s="102">
        <f t="shared" si="1997"/>
        <v>0</v>
      </c>
      <c r="Y2670" s="120" t="b">
        <f t="shared" si="1998"/>
        <v>0</v>
      </c>
      <c r="Z2670" s="117">
        <f t="shared" si="1999"/>
        <v>0</v>
      </c>
      <c r="AA2670" s="118"/>
      <c r="AB2670" s="118" t="str">
        <f t="shared" si="2000"/>
        <v/>
      </c>
      <c r="AC2670" s="712" t="str">
        <f>IF(AE2670="T2G","no charge",IF(AND(OR(PlanterYesMe="No",PlanterYesMe="N",PlanterYesMe="me"),H2670=""),"",IF(H2670="credit","NO install",IF(AND(K2670="",AE2670="me"),"EACH row",IF(AND(K2670="images",AE2670="me"),"EACH row",IF(D2670="","",IF(H2670="credit","",IF(AE2670="free","re-planting",IF(AE2670="me","   not ELP, by",IF(AND(OR(PlanterYesMe="Yes",PlanterYesMe="Y"),G2670&gt;0),(VLOOKUP(A2670,'Discount Lookup'!J:K,2)*G2670*(1-PlanterDiscount)*(1+PlanterDifficultyPercentage)),IF(AE2670="ELP",(VLOOKUP(A2670,'Discount Lookup'!J:K,2)*G2670*(1-PlanterDiscount)*(1+PlanterDifficultyPercentage)),IF(AE2670="free","re-planting",IF(G2670=0,"",IF(PlanterYesMe="",IF(AE2670="me","   not ELP, by",IF(AE2670="",IF(G2670&gt;0,(VLOOKUP(A2670,'Discount Lookup'!J:K,2)*G2670*(1-PlanterDiscount)*(1+PlanterDifficultyPercentage)),""),"")),"   not ELP, by"))))))))))))))</f>
        <v/>
      </c>
      <c r="AD2670" s="712"/>
      <c r="AE2670" s="513" t="str">
        <f t="shared" si="2001"/>
        <v/>
      </c>
      <c r="AF2670" s="713" t="str">
        <f t="shared" si="2002"/>
        <v/>
      </c>
      <c r="AG2670" s="713"/>
      <c r="AH2670" s="713"/>
      <c r="AI2670" s="112">
        <f>IF(H2670="credit",0,IF(AE2670="free",0,IF(AE2670="me",0,IF(G2670&gt;0,(VLOOKUP(A2670,'Discount Lookup'!J:K,2)*G2670),0))))</f>
        <v>0</v>
      </c>
      <c r="AJ2670" s="107" t="str">
        <f t="shared" ca="1" si="2003"/>
        <v/>
      </c>
      <c r="AK2670" s="714" t="str">
        <f t="shared" si="2004"/>
        <v/>
      </c>
      <c r="AL2670" s="714"/>
      <c r="AM2670" s="114" t="str">
        <f t="shared" si="2005"/>
        <v/>
      </c>
      <c r="AN2670" s="115"/>
      <c r="AO2670" s="116"/>
      <c r="AP2670" s="116"/>
      <c r="AQ2670" s="116"/>
      <c r="AR2670" s="116"/>
      <c r="AS2670" s="116"/>
      <c r="AT2670" s="116"/>
      <c r="AU2670" s="116"/>
      <c r="AV2670" s="78"/>
      <c r="AW2670" s="102"/>
      <c r="AX2670" s="78"/>
      <c r="AY2670" s="78"/>
      <c r="AZ2670" s="78"/>
      <c r="BA2670" s="78"/>
      <c r="BB2670" s="78"/>
      <c r="BC2670" s="78"/>
      <c r="BD2670" s="78"/>
      <c r="BE2670" s="465"/>
      <c r="BF2670" s="165" t="str">
        <f t="shared" si="2006"/>
        <v>https://www.google.com/search?tbm=isch&amp;q=15%20G2</v>
      </c>
      <c r="BG2670" s="165" t="str">
        <f t="shared" si="2007"/>
        <v>L</v>
      </c>
      <c r="BH2670" s="65"/>
      <c r="BI2670" s="65"/>
      <c r="BJ2670" s="65"/>
      <c r="BK2670" s="65"/>
      <c r="BL2670" s="99"/>
      <c r="BM2670" s="99"/>
      <c r="BN2670" s="99"/>
    </row>
    <row r="2671" spans="1:66" s="51" customFormat="1" ht="27" x14ac:dyDescent="0.25">
      <c r="A2671" s="478">
        <v>15</v>
      </c>
      <c r="B2671" s="479" t="s">
        <v>291</v>
      </c>
      <c r="C2671" s="480" t="s">
        <v>3337</v>
      </c>
      <c r="D2671" s="481" t="s">
        <v>299</v>
      </c>
      <c r="E2671" s="482">
        <v>178.95</v>
      </c>
      <c r="F2671" s="483" t="s">
        <v>292</v>
      </c>
      <c r="G2671" s="484">
        <v>0</v>
      </c>
      <c r="H2671" s="688" t="str">
        <f t="shared" si="2015"/>
        <v/>
      </c>
      <c r="I2671" s="485">
        <f t="shared" si="2016"/>
        <v>0</v>
      </c>
      <c r="J2671" s="485">
        <f t="shared" si="2017"/>
        <v>0</v>
      </c>
      <c r="K2671" s="715">
        <f t="shared" ref="K2671" si="2028">I2671+J2671</f>
        <v>0</v>
      </c>
      <c r="L2671" s="715"/>
      <c r="M2671" s="689" t="str">
        <f t="shared" ca="1" si="2019"/>
        <v/>
      </c>
      <c r="N2671" s="690"/>
      <c r="O2671" s="486"/>
      <c r="P2671" s="486"/>
      <c r="Q2671" s="486"/>
      <c r="R2671" s="486"/>
      <c r="S2671" s="486"/>
      <c r="T2671" s="102">
        <f t="shared" si="1995"/>
        <v>0</v>
      </c>
      <c r="U2671" s="78">
        <f>IF(NOT(ISNUMBER(G2671)), "", VLOOKUP(A2671,'Discount Lookup'!D:E,2,FALSE)*G2671)</f>
        <v>0</v>
      </c>
      <c r="V2671" s="78">
        <f>IF(NOT(ISNUMBER(G2671)), "", VLOOKUP(A2671,'Discount Lookup'!G:H,2,FALSE)*G2671)</f>
        <v>0</v>
      </c>
      <c r="W2671" s="102">
        <f t="shared" si="1996"/>
        <v>0</v>
      </c>
      <c r="X2671" s="102">
        <f t="shared" si="1997"/>
        <v>0</v>
      </c>
      <c r="Y2671" s="120" t="b">
        <f t="shared" si="1998"/>
        <v>0</v>
      </c>
      <c r="Z2671" s="117">
        <f t="shared" si="1999"/>
        <v>0</v>
      </c>
      <c r="AA2671" s="118"/>
      <c r="AB2671" s="118" t="str">
        <f t="shared" si="2000"/>
        <v/>
      </c>
      <c r="AC2671" s="712" t="str">
        <f>IF(AE2671="T2G","no charge",IF(AND(OR(PlanterYesMe="No",PlanterYesMe="N",PlanterYesMe="me"),H2671=""),"",IF(H2671="credit","NO install",IF(AND(K2671="",AE2671="me"),"EACH row",IF(AND(K2671="images",AE2671="me"),"EACH row",IF(D2671="","",IF(H2671="credit","",IF(AE2671="free","re-planting",IF(AE2671="me","   not ELP, by",IF(AND(OR(PlanterYesMe="Yes",PlanterYesMe="Y"),G2671&gt;0),(VLOOKUP(A2671,'Discount Lookup'!J:K,2)*G2671*(1-PlanterDiscount)*(1+PlanterDifficultyPercentage)),IF(AE2671="ELP",(VLOOKUP(A2671,'Discount Lookup'!J:K,2)*G2671*(1-PlanterDiscount)*(1+PlanterDifficultyPercentage)),IF(AE2671="free","re-planting",IF(G2671=0,"",IF(PlanterYesMe="",IF(AE2671="me","   not ELP, by",IF(AE2671="",IF(G2671&gt;0,(VLOOKUP(A2671,'Discount Lookup'!J:K,2)*G2671*(1-PlanterDiscount)*(1+PlanterDifficultyPercentage)),""),"")),"   not ELP, by"))))))))))))))</f>
        <v/>
      </c>
      <c r="AD2671" s="712"/>
      <c r="AE2671" s="513" t="str">
        <f t="shared" si="2001"/>
        <v/>
      </c>
      <c r="AF2671" s="713" t="str">
        <f t="shared" si="2002"/>
        <v/>
      </c>
      <c r="AG2671" s="713"/>
      <c r="AH2671" s="713"/>
      <c r="AI2671" s="112">
        <f>IF(H2671="credit",0,IF(AE2671="free",0,IF(AE2671="me",0,IF(G2671&gt;0,(VLOOKUP(A2671,'Discount Lookup'!J:K,2)*G2671),0))))</f>
        <v>0</v>
      </c>
      <c r="AJ2671" s="107" t="str">
        <f t="shared" ca="1" si="2003"/>
        <v/>
      </c>
      <c r="AK2671" s="714" t="str">
        <f t="shared" si="2004"/>
        <v/>
      </c>
      <c r="AL2671" s="714"/>
      <c r="AM2671" s="114" t="str">
        <f t="shared" si="2005"/>
        <v/>
      </c>
      <c r="AN2671" s="115"/>
      <c r="AO2671" s="116"/>
      <c r="AP2671" s="116"/>
      <c r="AQ2671" s="116"/>
      <c r="AR2671" s="116"/>
      <c r="AS2671" s="116"/>
      <c r="AT2671" s="116"/>
      <c r="AU2671" s="116"/>
      <c r="AV2671" s="78"/>
      <c r="AW2671" s="102"/>
      <c r="AX2671" s="78"/>
      <c r="AY2671" s="78"/>
      <c r="AZ2671" s="78"/>
      <c r="BA2671" s="78"/>
      <c r="BB2671" s="78"/>
      <c r="BC2671" s="78"/>
      <c r="BD2671" s="78"/>
      <c r="BE2671" s="465"/>
      <c r="BF2671" s="165" t="str">
        <f t="shared" si="2006"/>
        <v>https://www.google.com/search?tbm=isch&amp;q=15%20G4</v>
      </c>
      <c r="BG2671" s="165" t="str">
        <f t="shared" si="2007"/>
        <v>L</v>
      </c>
      <c r="BH2671" s="65"/>
      <c r="BI2671" s="65"/>
      <c r="BJ2671" s="65"/>
      <c r="BK2671" s="65"/>
      <c r="BL2671" s="99"/>
      <c r="BM2671" s="99"/>
      <c r="BN2671" s="99"/>
    </row>
    <row r="2672" spans="1:66" s="51" customFormat="1" ht="27" x14ac:dyDescent="0.25">
      <c r="A2672" s="478">
        <v>7</v>
      </c>
      <c r="B2672" s="479" t="s">
        <v>291</v>
      </c>
      <c r="C2672" s="480" t="s">
        <v>3338</v>
      </c>
      <c r="D2672" s="481" t="s">
        <v>299</v>
      </c>
      <c r="E2672" s="482">
        <v>215.95</v>
      </c>
      <c r="F2672" s="483" t="s">
        <v>292</v>
      </c>
      <c r="G2672" s="484">
        <v>0</v>
      </c>
      <c r="H2672" s="688" t="str">
        <f t="shared" si="2015"/>
        <v/>
      </c>
      <c r="I2672" s="485">
        <f t="shared" si="2016"/>
        <v>0</v>
      </c>
      <c r="J2672" s="485">
        <f t="shared" si="2017"/>
        <v>0</v>
      </c>
      <c r="K2672" s="715">
        <f t="shared" ref="K2672" si="2029">I2672+J2672</f>
        <v>0</v>
      </c>
      <c r="L2672" s="715"/>
      <c r="M2672" s="689" t="str">
        <f t="shared" ca="1" si="2019"/>
        <v/>
      </c>
      <c r="N2672" s="690"/>
      <c r="O2672" s="486"/>
      <c r="P2672" s="486"/>
      <c r="Q2672" s="486"/>
      <c r="R2672" s="486"/>
      <c r="S2672" s="486"/>
      <c r="T2672" s="102">
        <f t="shared" si="1995"/>
        <v>0</v>
      </c>
      <c r="U2672" s="78">
        <f>IF(NOT(ISNUMBER(G2672)), "", VLOOKUP(A2672,'Discount Lookup'!D:E,2,FALSE)*G2672)</f>
        <v>0</v>
      </c>
      <c r="V2672" s="78">
        <f>IF(NOT(ISNUMBER(G2672)), "", VLOOKUP(A2672,'Discount Lookup'!G:H,2,FALSE)*G2672)</f>
        <v>0</v>
      </c>
      <c r="W2672" s="102">
        <f t="shared" si="1996"/>
        <v>0</v>
      </c>
      <c r="X2672" s="102">
        <f t="shared" si="1997"/>
        <v>0</v>
      </c>
      <c r="Y2672" s="120" t="b">
        <f t="shared" si="1998"/>
        <v>0</v>
      </c>
      <c r="Z2672" s="117">
        <f t="shared" si="1999"/>
        <v>0</v>
      </c>
      <c r="AA2672" s="118"/>
      <c r="AB2672" s="118" t="str">
        <f t="shared" si="2000"/>
        <v/>
      </c>
      <c r="AC2672" s="712" t="str">
        <f>IF(AE2672="T2G","no charge",IF(AND(OR(PlanterYesMe="No",PlanterYesMe="N",PlanterYesMe="me"),H2672=""),"",IF(H2672="credit","NO install",IF(AND(K2672="",AE2672="me"),"EACH row",IF(AND(K2672="images",AE2672="me"),"EACH row",IF(D2672="","",IF(H2672="credit","",IF(AE2672="free","re-planting",IF(AE2672="me","   not ELP, by",IF(AND(OR(PlanterYesMe="Yes",PlanterYesMe="Y"),G2672&gt;0),(VLOOKUP(A2672,'Discount Lookup'!J:K,2)*G2672*(1-PlanterDiscount)*(1+PlanterDifficultyPercentage)),IF(AE2672="ELP",(VLOOKUP(A2672,'Discount Lookup'!J:K,2)*G2672*(1-PlanterDiscount)*(1+PlanterDifficultyPercentage)),IF(AE2672="free","re-planting",IF(G2672=0,"",IF(PlanterYesMe="",IF(AE2672="me","   not ELP, by",IF(AE2672="",IF(G2672&gt;0,(VLOOKUP(A2672,'Discount Lookup'!J:K,2)*G2672*(1-PlanterDiscount)*(1+PlanterDifficultyPercentage)),""),"")),"   not ELP, by"))))))))))))))</f>
        <v/>
      </c>
      <c r="AD2672" s="712"/>
      <c r="AE2672" s="513" t="str">
        <f t="shared" si="2001"/>
        <v/>
      </c>
      <c r="AF2672" s="713" t="str">
        <f t="shared" si="2002"/>
        <v/>
      </c>
      <c r="AG2672" s="713"/>
      <c r="AH2672" s="713"/>
      <c r="AI2672" s="112">
        <f>IF(H2672="credit",0,IF(AE2672="free",0,IF(AE2672="me",0,IF(G2672&gt;0,(VLOOKUP(A2672,'Discount Lookup'!J:K,2)*G2672),0))))</f>
        <v>0</v>
      </c>
      <c r="AJ2672" s="107" t="str">
        <f t="shared" ca="1" si="2003"/>
        <v/>
      </c>
      <c r="AK2672" s="714" t="str">
        <f t="shared" si="2004"/>
        <v/>
      </c>
      <c r="AL2672" s="714"/>
      <c r="AM2672" s="114" t="str">
        <f t="shared" si="2005"/>
        <v/>
      </c>
      <c r="AN2672" s="115"/>
      <c r="AO2672" s="116"/>
      <c r="AP2672" s="116"/>
      <c r="AQ2672" s="116"/>
      <c r="AR2672" s="116"/>
      <c r="AS2672" s="116"/>
      <c r="AT2672" s="116"/>
      <c r="AU2672" s="116"/>
      <c r="AV2672" s="78"/>
      <c r="AW2672" s="102"/>
      <c r="AX2672" s="78"/>
      <c r="AY2672" s="78"/>
      <c r="AZ2672" s="78"/>
      <c r="BA2672" s="78"/>
      <c r="BB2672" s="78"/>
      <c r="BC2672" s="78"/>
      <c r="BD2672" s="78"/>
      <c r="BE2672" s="465"/>
      <c r="BF2672" s="165" t="str">
        <f t="shared" si="2006"/>
        <v>https://www.google.com/search?tbm=isch&amp;q=7%20G4</v>
      </c>
      <c r="BG2672" s="165" t="str">
        <f t="shared" si="2007"/>
        <v>L</v>
      </c>
      <c r="BH2672" s="65"/>
      <c r="BI2672" s="65"/>
      <c r="BJ2672" s="65"/>
      <c r="BK2672" s="65"/>
      <c r="BL2672" s="99"/>
      <c r="BM2672" s="99"/>
      <c r="BN2672" s="99"/>
    </row>
    <row r="2673" spans="1:66" s="51" customFormat="1" ht="40.5" x14ac:dyDescent="0.25">
      <c r="A2673" s="478">
        <v>15</v>
      </c>
      <c r="B2673" s="479" t="s">
        <v>291</v>
      </c>
      <c r="C2673" s="480" t="s">
        <v>3339</v>
      </c>
      <c r="D2673" s="481" t="s">
        <v>299</v>
      </c>
      <c r="E2673" s="482">
        <v>240.95</v>
      </c>
      <c r="F2673" s="483" t="s">
        <v>292</v>
      </c>
      <c r="G2673" s="484">
        <v>0</v>
      </c>
      <c r="H2673" s="688" t="str">
        <f t="shared" si="2015"/>
        <v/>
      </c>
      <c r="I2673" s="485">
        <f t="shared" si="2016"/>
        <v>0</v>
      </c>
      <c r="J2673" s="485">
        <f t="shared" si="2017"/>
        <v>0</v>
      </c>
      <c r="K2673" s="715">
        <f t="shared" ref="K2673" si="2030">I2673+J2673</f>
        <v>0</v>
      </c>
      <c r="L2673" s="715"/>
      <c r="M2673" s="689" t="str">
        <f t="shared" ca="1" si="2019"/>
        <v/>
      </c>
      <c r="N2673" s="690"/>
      <c r="O2673" s="486"/>
      <c r="P2673" s="486"/>
      <c r="Q2673" s="486"/>
      <c r="R2673" s="486"/>
      <c r="S2673" s="486"/>
      <c r="T2673" s="102">
        <f t="shared" si="1995"/>
        <v>0</v>
      </c>
      <c r="U2673" s="78">
        <f>IF(NOT(ISNUMBER(G2673)), "", VLOOKUP(A2673,'Discount Lookup'!D:E,2,FALSE)*G2673)</f>
        <v>0</v>
      </c>
      <c r="V2673" s="78">
        <f>IF(NOT(ISNUMBER(G2673)), "", VLOOKUP(A2673,'Discount Lookup'!G:H,2,FALSE)*G2673)</f>
        <v>0</v>
      </c>
      <c r="W2673" s="102">
        <f t="shared" si="1996"/>
        <v>0</v>
      </c>
      <c r="X2673" s="102">
        <f t="shared" si="1997"/>
        <v>0</v>
      </c>
      <c r="Y2673" s="120" t="b">
        <f t="shared" si="1998"/>
        <v>0</v>
      </c>
      <c r="Z2673" s="117">
        <f t="shared" si="1999"/>
        <v>0</v>
      </c>
      <c r="AA2673" s="118"/>
      <c r="AB2673" s="118" t="str">
        <f t="shared" si="2000"/>
        <v/>
      </c>
      <c r="AC2673" s="712" t="str">
        <f>IF(AE2673="T2G","no charge",IF(AND(OR(PlanterYesMe="No",PlanterYesMe="N",PlanterYesMe="me"),H2673=""),"",IF(H2673="credit","NO install",IF(AND(K2673="",AE2673="me"),"EACH row",IF(AND(K2673="images",AE2673="me"),"EACH row",IF(D2673="","",IF(H2673="credit","",IF(AE2673="free","re-planting",IF(AE2673="me","   not ELP, by",IF(AND(OR(PlanterYesMe="Yes",PlanterYesMe="Y"),G2673&gt;0),(VLOOKUP(A2673,'Discount Lookup'!J:K,2)*G2673*(1-PlanterDiscount)*(1+PlanterDifficultyPercentage)),IF(AE2673="ELP",(VLOOKUP(A2673,'Discount Lookup'!J:K,2)*G2673*(1-PlanterDiscount)*(1+PlanterDifficultyPercentage)),IF(AE2673="free","re-planting",IF(G2673=0,"",IF(PlanterYesMe="",IF(AE2673="me","   not ELP, by",IF(AE2673="",IF(G2673&gt;0,(VLOOKUP(A2673,'Discount Lookup'!J:K,2)*G2673*(1-PlanterDiscount)*(1+PlanterDifficultyPercentage)),""),"")),"   not ELP, by"))))))))))))))</f>
        <v/>
      </c>
      <c r="AD2673" s="712"/>
      <c r="AE2673" s="513" t="str">
        <f t="shared" si="2001"/>
        <v/>
      </c>
      <c r="AF2673" s="713" t="str">
        <f t="shared" si="2002"/>
        <v/>
      </c>
      <c r="AG2673" s="713"/>
      <c r="AH2673" s="713"/>
      <c r="AI2673" s="112">
        <f>IF(H2673="credit",0,IF(AE2673="free",0,IF(AE2673="me",0,IF(G2673&gt;0,(VLOOKUP(A2673,'Discount Lookup'!J:K,2)*G2673),0))))</f>
        <v>0</v>
      </c>
      <c r="AJ2673" s="107" t="str">
        <f t="shared" ca="1" si="2003"/>
        <v/>
      </c>
      <c r="AK2673" s="714" t="str">
        <f t="shared" si="2004"/>
        <v/>
      </c>
      <c r="AL2673" s="714"/>
      <c r="AM2673" s="114" t="str">
        <f t="shared" si="2005"/>
        <v/>
      </c>
      <c r="AN2673" s="115"/>
      <c r="AO2673" s="116"/>
      <c r="AP2673" s="116"/>
      <c r="AQ2673" s="116"/>
      <c r="AR2673" s="116"/>
      <c r="AS2673" s="116"/>
      <c r="AT2673" s="116"/>
      <c r="AU2673" s="116"/>
      <c r="AV2673" s="78"/>
      <c r="AW2673" s="102"/>
      <c r="AX2673" s="78"/>
      <c r="AY2673" s="78"/>
      <c r="AZ2673" s="78"/>
      <c r="BA2673" s="78"/>
      <c r="BB2673" s="78"/>
      <c r="BC2673" s="78"/>
      <c r="BD2673" s="78"/>
      <c r="BE2673" s="465"/>
      <c r="BF2673" s="165" t="str">
        <f t="shared" si="2006"/>
        <v>https://www.google.com/search?tbm=isch&amp;q=15%20G4</v>
      </c>
      <c r="BG2673" s="165" t="str">
        <f t="shared" si="2007"/>
        <v>L</v>
      </c>
      <c r="BH2673" s="65"/>
      <c r="BI2673" s="65"/>
      <c r="BJ2673" s="65"/>
      <c r="BK2673" s="65"/>
      <c r="BL2673" s="99"/>
      <c r="BM2673" s="99"/>
      <c r="BN2673" s="99"/>
    </row>
    <row r="2674" spans="1:66" s="51" customFormat="1" ht="27" x14ac:dyDescent="0.25">
      <c r="A2674" s="478">
        <v>25</v>
      </c>
      <c r="B2674" s="479" t="s">
        <v>291</v>
      </c>
      <c r="C2674" s="480" t="s">
        <v>3340</v>
      </c>
      <c r="D2674" s="481" t="s">
        <v>299</v>
      </c>
      <c r="E2674" s="482">
        <v>355.95</v>
      </c>
      <c r="F2674" s="483" t="s">
        <v>292</v>
      </c>
      <c r="G2674" s="484">
        <v>0</v>
      </c>
      <c r="H2674" s="688" t="str">
        <f t="shared" si="2015"/>
        <v/>
      </c>
      <c r="I2674" s="485">
        <f t="shared" si="2016"/>
        <v>0</v>
      </c>
      <c r="J2674" s="485">
        <f t="shared" si="2017"/>
        <v>0</v>
      </c>
      <c r="K2674" s="715">
        <f t="shared" ref="K2674" si="2031">I2674+J2674</f>
        <v>0</v>
      </c>
      <c r="L2674" s="715"/>
      <c r="M2674" s="689" t="str">
        <f t="shared" ca="1" si="2019"/>
        <v/>
      </c>
      <c r="N2674" s="690"/>
      <c r="O2674" s="486"/>
      <c r="P2674" s="486"/>
      <c r="Q2674" s="486"/>
      <c r="R2674" s="486"/>
      <c r="S2674" s="486"/>
      <c r="T2674" s="102">
        <f t="shared" si="1995"/>
        <v>0</v>
      </c>
      <c r="U2674" s="78">
        <f>IF(NOT(ISNUMBER(G2674)), "", VLOOKUP(A2674,'Discount Lookup'!D:E,2,FALSE)*G2674)</f>
        <v>0</v>
      </c>
      <c r="V2674" s="78">
        <f>IF(NOT(ISNUMBER(G2674)), "", VLOOKUP(A2674,'Discount Lookup'!G:H,2,FALSE)*G2674)</f>
        <v>0</v>
      </c>
      <c r="W2674" s="102">
        <f t="shared" si="1996"/>
        <v>0</v>
      </c>
      <c r="X2674" s="102">
        <f t="shared" si="1997"/>
        <v>0</v>
      </c>
      <c r="Y2674" s="120" t="b">
        <f t="shared" si="1998"/>
        <v>0</v>
      </c>
      <c r="Z2674" s="117">
        <f t="shared" si="1999"/>
        <v>0</v>
      </c>
      <c r="AA2674" s="118"/>
      <c r="AB2674" s="118" t="str">
        <f t="shared" si="2000"/>
        <v/>
      </c>
      <c r="AC2674" s="712" t="str">
        <f>IF(AE2674="T2G","no charge",IF(AND(OR(PlanterYesMe="No",PlanterYesMe="N",PlanterYesMe="me"),H2674=""),"",IF(H2674="credit","NO install",IF(AND(K2674="",AE2674="me"),"EACH row",IF(AND(K2674="images",AE2674="me"),"EACH row",IF(D2674="","",IF(H2674="credit","",IF(AE2674="free","re-planting",IF(AE2674="me","   not ELP, by",IF(AND(OR(PlanterYesMe="Yes",PlanterYesMe="Y"),G2674&gt;0),(VLOOKUP(A2674,'Discount Lookup'!J:K,2)*G2674*(1-PlanterDiscount)*(1+PlanterDifficultyPercentage)),IF(AE2674="ELP",(VLOOKUP(A2674,'Discount Lookup'!J:K,2)*G2674*(1-PlanterDiscount)*(1+PlanterDifficultyPercentage)),IF(AE2674="free","re-planting",IF(G2674=0,"",IF(PlanterYesMe="",IF(AE2674="me","   not ELP, by",IF(AE2674="",IF(G2674&gt;0,(VLOOKUP(A2674,'Discount Lookup'!J:K,2)*G2674*(1-PlanterDiscount)*(1+PlanterDifficultyPercentage)),""),"")),"   not ELP, by"))))))))))))))</f>
        <v/>
      </c>
      <c r="AD2674" s="712"/>
      <c r="AE2674" s="513" t="str">
        <f t="shared" si="2001"/>
        <v/>
      </c>
      <c r="AF2674" s="713" t="str">
        <f t="shared" si="2002"/>
        <v/>
      </c>
      <c r="AG2674" s="713"/>
      <c r="AH2674" s="713"/>
      <c r="AI2674" s="112">
        <f>IF(H2674="credit",0,IF(AE2674="free",0,IF(AE2674="me",0,IF(G2674&gt;0,(VLOOKUP(A2674,'Discount Lookup'!J:K,2)*G2674),0))))</f>
        <v>0</v>
      </c>
      <c r="AJ2674" s="107" t="str">
        <f t="shared" ca="1" si="2003"/>
        <v/>
      </c>
      <c r="AK2674" s="714" t="str">
        <f t="shared" si="2004"/>
        <v/>
      </c>
      <c r="AL2674" s="714"/>
      <c r="AM2674" s="114" t="str">
        <f t="shared" si="2005"/>
        <v/>
      </c>
      <c r="AN2674" s="115"/>
      <c r="AO2674" s="116"/>
      <c r="AP2674" s="116"/>
      <c r="AQ2674" s="116"/>
      <c r="AR2674" s="116"/>
      <c r="AS2674" s="116"/>
      <c r="AT2674" s="116"/>
      <c r="AU2674" s="116"/>
      <c r="AV2674" s="78"/>
      <c r="AW2674" s="102"/>
      <c r="AX2674" s="78"/>
      <c r="AY2674" s="78"/>
      <c r="AZ2674" s="78"/>
      <c r="BA2674" s="78"/>
      <c r="BB2674" s="78"/>
      <c r="BC2674" s="78"/>
      <c r="BD2674" s="78"/>
      <c r="BE2674" s="465"/>
      <c r="BF2674" s="165" t="str">
        <f t="shared" si="2006"/>
        <v>https://www.google.com/search?tbm=isch&amp;q=25%20G4</v>
      </c>
      <c r="BG2674" s="165" t="str">
        <f t="shared" si="2007"/>
        <v>L</v>
      </c>
      <c r="BH2674" s="65"/>
      <c r="BI2674" s="65"/>
      <c r="BJ2674" s="65"/>
      <c r="BK2674" s="65"/>
      <c r="BL2674" s="99"/>
      <c r="BM2674" s="99"/>
      <c r="BN2674" s="99"/>
    </row>
    <row r="2675" spans="1:66" s="51" customFormat="1" ht="27" x14ac:dyDescent="0.25">
      <c r="A2675" s="478">
        <v>65</v>
      </c>
      <c r="B2675" s="479" t="s">
        <v>291</v>
      </c>
      <c r="C2675" s="480" t="s">
        <v>3341</v>
      </c>
      <c r="D2675" s="481" t="s">
        <v>299</v>
      </c>
      <c r="E2675" s="482">
        <v>797.95</v>
      </c>
      <c r="F2675" s="483" t="s">
        <v>292</v>
      </c>
      <c r="G2675" s="484">
        <v>0</v>
      </c>
      <c r="H2675" s="688" t="str">
        <f t="shared" si="2015"/>
        <v/>
      </c>
      <c r="I2675" s="485">
        <f t="shared" si="2016"/>
        <v>0</v>
      </c>
      <c r="J2675" s="485">
        <f t="shared" si="2017"/>
        <v>0</v>
      </c>
      <c r="K2675" s="715">
        <f t="shared" ref="K2675" si="2032">I2675+J2675</f>
        <v>0</v>
      </c>
      <c r="L2675" s="715"/>
      <c r="M2675" s="689" t="str">
        <f t="shared" ca="1" si="2019"/>
        <v/>
      </c>
      <c r="N2675" s="690"/>
      <c r="O2675" s="486"/>
      <c r="P2675" s="486"/>
      <c r="Q2675" s="486"/>
      <c r="R2675" s="486"/>
      <c r="S2675" s="486"/>
      <c r="T2675" s="102">
        <f t="shared" si="1995"/>
        <v>0</v>
      </c>
      <c r="U2675" s="78">
        <f>IF(NOT(ISNUMBER(G2675)), "", VLOOKUP(A2675,'Discount Lookup'!D:E,2,FALSE)*G2675)</f>
        <v>0</v>
      </c>
      <c r="V2675" s="78">
        <f>IF(NOT(ISNUMBER(G2675)), "", VLOOKUP(A2675,'Discount Lookup'!G:H,2,FALSE)*G2675)</f>
        <v>0</v>
      </c>
      <c r="W2675" s="102">
        <f t="shared" si="1996"/>
        <v>0</v>
      </c>
      <c r="X2675" s="102">
        <f t="shared" si="1997"/>
        <v>0</v>
      </c>
      <c r="Y2675" s="120" t="b">
        <f t="shared" si="1998"/>
        <v>0</v>
      </c>
      <c r="Z2675" s="117">
        <f t="shared" si="1999"/>
        <v>0</v>
      </c>
      <c r="AA2675" s="118"/>
      <c r="AB2675" s="118" t="str">
        <f t="shared" si="2000"/>
        <v/>
      </c>
      <c r="AC2675" s="712" t="str">
        <f>IF(AE2675="T2G","no charge",IF(AND(OR(PlanterYesMe="No",PlanterYesMe="N",PlanterYesMe="me"),H2675=""),"",IF(H2675="credit","NO install",IF(AND(K2675="",AE2675="me"),"EACH row",IF(AND(K2675="images",AE2675="me"),"EACH row",IF(D2675="","",IF(H2675="credit","",IF(AE2675="free","re-planting",IF(AE2675="me","   not ELP, by",IF(AND(OR(PlanterYesMe="Yes",PlanterYesMe="Y"),G2675&gt;0),(VLOOKUP(A2675,'Discount Lookup'!J:K,2)*G2675*(1-PlanterDiscount)*(1+PlanterDifficultyPercentage)),IF(AE2675="ELP",(VLOOKUP(A2675,'Discount Lookup'!J:K,2)*G2675*(1-PlanterDiscount)*(1+PlanterDifficultyPercentage)),IF(AE2675="free","re-planting",IF(G2675=0,"",IF(PlanterYesMe="",IF(AE2675="me","   not ELP, by",IF(AE2675="",IF(G2675&gt;0,(VLOOKUP(A2675,'Discount Lookup'!J:K,2)*G2675*(1-PlanterDiscount)*(1+PlanterDifficultyPercentage)),""),"")),"   not ELP, by"))))))))))))))</f>
        <v/>
      </c>
      <c r="AD2675" s="712"/>
      <c r="AE2675" s="513" t="str">
        <f t="shared" si="2001"/>
        <v/>
      </c>
      <c r="AF2675" s="713" t="str">
        <f t="shared" si="2002"/>
        <v/>
      </c>
      <c r="AG2675" s="713"/>
      <c r="AH2675" s="713"/>
      <c r="AI2675" s="112">
        <f>IF(H2675="credit",0,IF(AE2675="free",0,IF(AE2675="me",0,IF(G2675&gt;0,(VLOOKUP(A2675,'Discount Lookup'!J:K,2)*G2675),0))))</f>
        <v>0</v>
      </c>
      <c r="AJ2675" s="107" t="str">
        <f t="shared" ca="1" si="2003"/>
        <v/>
      </c>
      <c r="AK2675" s="714" t="str">
        <f t="shared" si="2004"/>
        <v/>
      </c>
      <c r="AL2675" s="714"/>
      <c r="AM2675" s="114" t="str">
        <f t="shared" si="2005"/>
        <v/>
      </c>
      <c r="AN2675" s="115"/>
      <c r="AO2675" s="116"/>
      <c r="AP2675" s="116"/>
      <c r="AQ2675" s="116"/>
      <c r="AR2675" s="116"/>
      <c r="AS2675" s="116"/>
      <c r="AT2675" s="116"/>
      <c r="AU2675" s="116"/>
      <c r="AV2675" s="78"/>
      <c r="AW2675" s="102"/>
      <c r="AX2675" s="78"/>
      <c r="AY2675" s="78"/>
      <c r="AZ2675" s="78"/>
      <c r="BA2675" s="78"/>
      <c r="BB2675" s="78"/>
      <c r="BC2675" s="78"/>
      <c r="BD2675" s="78"/>
      <c r="BE2675" s="465"/>
      <c r="BF2675" s="165" t="str">
        <f t="shared" si="2006"/>
        <v>https://www.google.com/search?tbm=isch&amp;q=65%20G4</v>
      </c>
      <c r="BG2675" s="165" t="str">
        <f t="shared" si="2007"/>
        <v>L</v>
      </c>
      <c r="BH2675" s="65"/>
      <c r="BI2675" s="65"/>
      <c r="BJ2675" s="65"/>
      <c r="BK2675" s="65"/>
      <c r="BL2675" s="99"/>
      <c r="BM2675" s="99"/>
      <c r="BN2675" s="99"/>
    </row>
    <row r="2676" spans="1:66" s="51" customFormat="1" ht="17.25" thickBot="1" x14ac:dyDescent="0.3">
      <c r="A2676" s="508" t="s">
        <v>3342</v>
      </c>
      <c r="B2676" s="487"/>
      <c r="C2676" s="707"/>
      <c r="D2676" s="487"/>
      <c r="E2676" s="487"/>
      <c r="F2676" s="488"/>
      <c r="G2676" s="489"/>
      <c r="H2676" s="487"/>
      <c r="I2676" s="490"/>
      <c r="J2676" s="490"/>
      <c r="K2676" s="491"/>
      <c r="L2676" s="547"/>
      <c r="M2676" s="528"/>
      <c r="N2676" s="492"/>
      <c r="O2676" s="493"/>
      <c r="P2676" s="494"/>
      <c r="Q2676" s="492"/>
      <c r="R2676" s="492"/>
      <c r="S2676" s="699" t="s">
        <v>5275</v>
      </c>
      <c r="T2676" s="102">
        <f t="shared" si="1995"/>
        <v>0</v>
      </c>
      <c r="U2676" s="78" t="str">
        <f>IF(NOT(ISNUMBER(G2676)), "", VLOOKUP(A2676,'Discount Lookup'!D:E,2,FALSE)*G2676)</f>
        <v/>
      </c>
      <c r="V2676" s="78" t="str">
        <f>IF(NOT(ISNUMBER(G2676)), "", VLOOKUP(A2676,'Discount Lookup'!G:H,2,FALSE)*G2676)</f>
        <v/>
      </c>
      <c r="W2676" s="102">
        <f t="shared" si="1996"/>
        <v>0</v>
      </c>
      <c r="X2676" s="102">
        <f t="shared" si="1997"/>
        <v>0</v>
      </c>
      <c r="Y2676" s="120" t="b">
        <f t="shared" si="1998"/>
        <v>0</v>
      </c>
      <c r="Z2676" s="117">
        <f t="shared" si="1999"/>
        <v>0</v>
      </c>
      <c r="AA2676" s="118"/>
      <c r="AB2676" s="118" t="str">
        <f t="shared" si="2000"/>
        <v/>
      </c>
      <c r="AC2676" s="712" t="str">
        <f>IF(AE2676="T2G","no charge",IF(AND(OR(PlanterYesMe="No",PlanterYesMe="N",PlanterYesMe="me"),H2676=""),"",IF(H2676="credit","NO install",IF(AND(K2676="",AE2676="me"),"EACH row",IF(AND(K2676="images",AE2676="me"),"EACH row",IF(D2676="","",IF(H2676="credit","",IF(AE2676="free","re-planting",IF(AE2676="me","   not ELP, by",IF(AND(OR(PlanterYesMe="Yes",PlanterYesMe="Y"),G2676&gt;0),(VLOOKUP(A2676,'Discount Lookup'!J:K,2)*G2676*(1-PlanterDiscount)*(1+PlanterDifficultyPercentage)),IF(AE2676="ELP",(VLOOKUP(A2676,'Discount Lookup'!J:K,2)*G2676*(1-PlanterDiscount)*(1+PlanterDifficultyPercentage)),IF(AE2676="free","re-planting",IF(G2676=0,"",IF(PlanterYesMe="",IF(AE2676="me","   not ELP, by",IF(AE2676="",IF(G2676&gt;0,(VLOOKUP(A2676,'Discount Lookup'!J:K,2)*G2676*(1-PlanterDiscount)*(1+PlanterDifficultyPercentage)),""),"")),"   not ELP, by"))))))))))))))</f>
        <v/>
      </c>
      <c r="AD2676" s="712"/>
      <c r="AE2676" s="513" t="str">
        <f t="shared" si="2001"/>
        <v/>
      </c>
      <c r="AF2676" s="713" t="str">
        <f t="shared" si="2002"/>
        <v/>
      </c>
      <c r="AG2676" s="713"/>
      <c r="AH2676" s="713"/>
      <c r="AI2676" s="112">
        <f>IF(H2676="credit",0,IF(AE2676="free",0,IF(AE2676="me",0,IF(G2676&gt;0,(VLOOKUP(A2676,'Discount Lookup'!J:K,2)*G2676),0))))</f>
        <v>0</v>
      </c>
      <c r="AJ2676" s="107" t="str">
        <f t="shared" ca="1" si="2003"/>
        <v/>
      </c>
      <c r="AK2676" s="714" t="str">
        <f t="shared" si="2004"/>
        <v/>
      </c>
      <c r="AL2676" s="714"/>
      <c r="AM2676" s="114" t="str">
        <f t="shared" si="2005"/>
        <v/>
      </c>
      <c r="AN2676" s="115"/>
      <c r="AO2676" s="116"/>
      <c r="AP2676" s="116"/>
      <c r="AQ2676" s="116"/>
      <c r="AR2676" s="116"/>
      <c r="AS2676" s="116"/>
      <c r="AT2676" s="116"/>
      <c r="AU2676" s="116"/>
      <c r="AV2676" s="78"/>
      <c r="AW2676" s="102"/>
      <c r="AX2676" s="78"/>
      <c r="AY2676" s="78"/>
      <c r="AZ2676" s="78"/>
      <c r="BA2676" s="78"/>
      <c r="BB2676" s="78"/>
      <c r="BC2676" s="78"/>
      <c r="BD2676" s="78"/>
      <c r="BE2676" s="465"/>
      <c r="BF2676" s="165" t="str">
        <f t="shared" si="2006"/>
        <v>https://www.google.com/search?tbm=isch&amp;q=Wavy%20Leaf%20%20named%20for%20distinctive%20rippled%20Dark%20Green%20folaige.%20Will%20grow%20fairly%20dense%20even%20in%20part%20shade.%20Fragrant%20bloom%20</v>
      </c>
      <c r="BG2676" s="165" t="str">
        <f t="shared" si="2007"/>
        <v>W</v>
      </c>
      <c r="BH2676" s="65"/>
      <c r="BI2676" s="65"/>
      <c r="BJ2676" s="65"/>
      <c r="BK2676" s="65"/>
      <c r="BL2676" s="99"/>
      <c r="BM2676" s="99"/>
      <c r="BN2676" s="99"/>
    </row>
    <row r="2677" spans="1:66" s="51" customFormat="1" ht="18" x14ac:dyDescent="0.25">
      <c r="A2677" s="507" t="s">
        <v>3343</v>
      </c>
      <c r="B2677" s="470"/>
      <c r="C2677" s="706"/>
      <c r="D2677" s="471" t="s">
        <v>3344</v>
      </c>
      <c r="E2677" s="472"/>
      <c r="F2677" s="472"/>
      <c r="G2677" s="472"/>
      <c r="H2677" s="622" t="s">
        <v>1471</v>
      </c>
      <c r="I2677" s="473" t="s">
        <v>349</v>
      </c>
      <c r="J2677" s="472"/>
      <c r="K2677" s="472"/>
      <c r="L2677" s="561"/>
      <c r="M2677" s="698" t="s">
        <v>5246</v>
      </c>
      <c r="N2677" s="692" t="str">
        <f>IF(AND(ISTEXT($A2677), ISERROR($A2677+0)), HYPERLINK($BF2677, "Images"), "")</f>
        <v>Images</v>
      </c>
      <c r="O2677" s="694" t="s">
        <v>5264</v>
      </c>
      <c r="P2677" s="475"/>
      <c r="Q2677" s="476"/>
      <c r="R2677" s="476"/>
      <c r="S2677" s="477"/>
      <c r="T2677" s="102">
        <f t="shared" si="1995"/>
        <v>0</v>
      </c>
      <c r="U2677" s="78" t="str">
        <f>IF(NOT(ISNUMBER(G2677)), "", VLOOKUP(A2677,'Discount Lookup'!D:E,2,FALSE)*G2677)</f>
        <v/>
      </c>
      <c r="V2677" s="78" t="str">
        <f>IF(NOT(ISNUMBER(G2677)), "", VLOOKUP(A2677,'Discount Lookup'!G:H,2,FALSE)*G2677)</f>
        <v/>
      </c>
      <c r="W2677" s="102">
        <f t="shared" si="1996"/>
        <v>0</v>
      </c>
      <c r="X2677" s="102" t="str">
        <f t="shared" si="1997"/>
        <v>White bloom</v>
      </c>
      <c r="Y2677" s="120" t="b">
        <f t="shared" si="1998"/>
        <v>0</v>
      </c>
      <c r="Z2677" s="117">
        <f t="shared" si="1999"/>
        <v>0</v>
      </c>
      <c r="AA2677" s="118"/>
      <c r="AB2677" s="118" t="str">
        <f t="shared" si="2000"/>
        <v/>
      </c>
      <c r="AC2677" s="712" t="str">
        <f>IF(AE2677="T2G","no charge",IF(AND(OR(PlanterYesMe="No",PlanterYesMe="N",PlanterYesMe="me"),H2677=""),"",IF(H2677="credit","NO install",IF(AND(K2677="",AE2677="me"),"EACH row",IF(AND(K2677="images",AE2677="me"),"EACH row",IF(D2677="","",IF(H2677="credit","",IF(AE2677="free","re-planting",IF(AE2677="me","   not ELP, by",IF(AND(OR(PlanterYesMe="Yes",PlanterYesMe="Y"),G2677&gt;0),(VLOOKUP(A2677,'Discount Lookup'!J:K,2)*G2677*(1-PlanterDiscount)*(1+PlanterDifficultyPercentage)),IF(AE2677="ELP",(VLOOKUP(A2677,'Discount Lookup'!J:K,2)*G2677*(1-PlanterDiscount)*(1+PlanterDifficultyPercentage)),IF(AE2677="free","re-planting",IF(G2677=0,"",IF(PlanterYesMe="",IF(AE2677="me","   not ELP, by",IF(AE2677="",IF(G2677&gt;0,(VLOOKUP(A2677,'Discount Lookup'!J:K,2)*G2677*(1-PlanterDiscount)*(1+PlanterDifficultyPercentage)),""),"")),"   not ELP, by"))))))))))))))</f>
        <v/>
      </c>
      <c r="AD2677" s="712"/>
      <c r="AE2677" s="513" t="str">
        <f t="shared" si="2001"/>
        <v/>
      </c>
      <c r="AF2677" s="713" t="str">
        <f t="shared" si="2002"/>
        <v/>
      </c>
      <c r="AG2677" s="713"/>
      <c r="AH2677" s="713"/>
      <c r="AI2677" s="112">
        <f>IF(H2677="credit",0,IF(AE2677="free",0,IF(AE2677="me",0,IF(G2677&gt;0,(VLOOKUP(A2677,'Discount Lookup'!J:K,2)*G2677),0))))</f>
        <v>0</v>
      </c>
      <c r="AJ2677" s="107" t="str">
        <f t="shared" ca="1" si="2003"/>
        <v/>
      </c>
      <c r="AK2677" s="714" t="str">
        <f t="shared" si="2004"/>
        <v/>
      </c>
      <c r="AL2677" s="714"/>
      <c r="AM2677" s="114" t="str">
        <f t="shared" si="2005"/>
        <v/>
      </c>
      <c r="AN2677" s="115"/>
      <c r="AO2677" s="116"/>
      <c r="AP2677" s="116"/>
      <c r="AQ2677" s="116"/>
      <c r="AR2677" s="116"/>
      <c r="AS2677" s="116"/>
      <c r="AT2677" s="116"/>
      <c r="AU2677" s="116"/>
      <c r="AV2677" s="78"/>
      <c r="AW2677" s="102"/>
      <c r="AX2677" s="78"/>
      <c r="AY2677" s="78"/>
      <c r="AZ2677" s="78"/>
      <c r="BA2677" s="78"/>
      <c r="BB2677" s="78"/>
      <c r="BC2677" s="78"/>
      <c r="BD2677" s="78"/>
      <c r="BE2677" s="465"/>
      <c r="BF2677" s="165" t="str">
        <f t="shared" si="2006"/>
        <v>https://www.google.com/search?tbm=isch&amp;q=Ligustrum%20japonicum%20%27Rotundifolium%27%20Curly%20Leaf%20Privet</v>
      </c>
      <c r="BG2677" s="165" t="str">
        <f t="shared" si="2007"/>
        <v>L</v>
      </c>
      <c r="BH2677" s="65"/>
      <c r="BI2677" s="65"/>
      <c r="BJ2677" s="65"/>
      <c r="BK2677" s="65"/>
      <c r="BL2677" s="99"/>
      <c r="BM2677" s="99"/>
      <c r="BN2677" s="99"/>
    </row>
    <row r="2678" spans="1:66" s="51" customFormat="1" ht="15.75" x14ac:dyDescent="0.25">
      <c r="A2678" s="478">
        <v>3</v>
      </c>
      <c r="B2678" s="479" t="s">
        <v>291</v>
      </c>
      <c r="C2678" s="480" t="s">
        <v>3345</v>
      </c>
      <c r="D2678" s="481" t="s">
        <v>309</v>
      </c>
      <c r="E2678" s="482">
        <v>24.95</v>
      </c>
      <c r="F2678" s="483" t="s">
        <v>292</v>
      </c>
      <c r="G2678" s="484">
        <v>0</v>
      </c>
      <c r="H2678" s="688" t="str">
        <f>IF(G2678=0,"",IF(F2678="Buy",IF(G2678=1,"plant","plants"),IF(F2678&gt;0.01,"warranty","Error")))</f>
        <v/>
      </c>
      <c r="I2678" s="485">
        <f>IF(H2678="free",0,IF(H2678="credit",((E2678*(F2678))*G2678*-1),IF(F2678="Buy",(E2678*G2678),((E2678*(1-F2678))*G2678))))</f>
        <v>0</v>
      </c>
      <c r="J2678" s="485">
        <f>IF(H2678="warranty",0,(I2678*(_xlfn.SINGLE(SalesTaxPercentage))))</f>
        <v>0</v>
      </c>
      <c r="K2678" s="715">
        <f t="shared" ref="K2678" si="2033">I2678+J2678</f>
        <v>0</v>
      </c>
      <c r="L2678" s="715"/>
      <c r="M2678" s="689" t="str">
        <f ca="1">IF(AND(G2678&gt;0,E2678=0),"WARNING - no PRICE inserted",IF(H2678="free","FREE ~ no charge this plant",IF(H2678="credit",CONCATENATE("-$",ROUND(K2678*(1-_xlfn.SINGLE(T2GDiscount))*-1,2)," CREDIT after discount"),IF(_xlfn.SINGLE(T2GDiscount)=0,"",IF(G2678=0,"",IF(F2678="Buy",CONCATENATE("$",ROUND(K2678*(1-_xlfn.SINGLE(T2GDiscount)),2)," with ",(_xlfn.SINGLE(T2GDiscount)*100),"% discount"),CONCATENATE("$",ROUND(K2678*(1-_xlfn.SINGLE(T2GDiscount)),2)," with ",((_xlfn.SINGLE(T2GDiscount)*100+F2678*100)-(_xlfn.SINGLE(T2GDiscount)*100*F2678)),IF(F2678&gt;0,"% discounts",IF(_xlfn.SINGLE(NoWarrantyDiscount)&gt;0,"% discounts","% discount")))))))))</f>
        <v/>
      </c>
      <c r="N2678" s="690"/>
      <c r="O2678" s="486"/>
      <c r="P2678" s="486"/>
      <c r="Q2678" s="486"/>
      <c r="R2678" s="486"/>
      <c r="S2678" s="486"/>
      <c r="T2678" s="102">
        <f t="shared" si="1995"/>
        <v>0</v>
      </c>
      <c r="U2678" s="78">
        <f>IF(NOT(ISNUMBER(G2678)), "", VLOOKUP(A2678,'Discount Lookup'!D:E,2,FALSE)*G2678)</f>
        <v>0</v>
      </c>
      <c r="V2678" s="78">
        <f>IF(NOT(ISNUMBER(G2678)), "", VLOOKUP(A2678,'Discount Lookup'!G:H,2,FALSE)*G2678)</f>
        <v>0</v>
      </c>
      <c r="W2678" s="102">
        <f t="shared" si="1996"/>
        <v>0</v>
      </c>
      <c r="X2678" s="102">
        <f t="shared" si="1997"/>
        <v>0</v>
      </c>
      <c r="Y2678" s="120" t="b">
        <f t="shared" si="1998"/>
        <v>0</v>
      </c>
      <c r="Z2678" s="117">
        <f t="shared" si="1999"/>
        <v>0</v>
      </c>
      <c r="AA2678" s="118"/>
      <c r="AB2678" s="118" t="str">
        <f t="shared" si="2000"/>
        <v/>
      </c>
      <c r="AC2678" s="712" t="str">
        <f>IF(AE2678="T2G","no charge",IF(AND(OR(PlanterYesMe="No",PlanterYesMe="N",PlanterYesMe="me"),H2678=""),"",IF(H2678="credit","NO install",IF(AND(K2678="",AE2678="me"),"EACH row",IF(AND(K2678="images",AE2678="me"),"EACH row",IF(D2678="","",IF(H2678="credit","",IF(AE2678="free","re-planting",IF(AE2678="me","   not ELP, by",IF(AND(OR(PlanterYesMe="Yes",PlanterYesMe="Y"),G2678&gt;0),(VLOOKUP(A2678,'Discount Lookup'!J:K,2)*G2678*(1-PlanterDiscount)*(1+PlanterDifficultyPercentage)),IF(AE2678="ELP",(VLOOKUP(A2678,'Discount Lookup'!J:K,2)*G2678*(1-PlanterDiscount)*(1+PlanterDifficultyPercentage)),IF(AE2678="free","re-planting",IF(G2678=0,"",IF(PlanterYesMe="",IF(AE2678="me","   not ELP, by",IF(AE2678="",IF(G2678&gt;0,(VLOOKUP(A2678,'Discount Lookup'!J:K,2)*G2678*(1-PlanterDiscount)*(1+PlanterDifficultyPercentage)),""),"")),"   not ELP, by"))))))))))))))</f>
        <v/>
      </c>
      <c r="AD2678" s="712"/>
      <c r="AE2678" s="513" t="str">
        <f t="shared" si="2001"/>
        <v/>
      </c>
      <c r="AF2678" s="713" t="str">
        <f t="shared" si="2002"/>
        <v/>
      </c>
      <c r="AG2678" s="713"/>
      <c r="AH2678" s="713"/>
      <c r="AI2678" s="112">
        <f>IF(H2678="credit",0,IF(AE2678="free",0,IF(AE2678="me",0,IF(G2678&gt;0,(VLOOKUP(A2678,'Discount Lookup'!J:K,2)*G2678),0))))</f>
        <v>0</v>
      </c>
      <c r="AJ2678" s="107" t="str">
        <f t="shared" ca="1" si="2003"/>
        <v/>
      </c>
      <c r="AK2678" s="714" t="str">
        <f t="shared" si="2004"/>
        <v/>
      </c>
      <c r="AL2678" s="714"/>
      <c r="AM2678" s="114" t="str">
        <f t="shared" si="2005"/>
        <v/>
      </c>
      <c r="AN2678" s="115"/>
      <c r="AO2678" s="116"/>
      <c r="AP2678" s="116"/>
      <c r="AQ2678" s="116"/>
      <c r="AR2678" s="116"/>
      <c r="AS2678" s="116"/>
      <c r="AT2678" s="116"/>
      <c r="AU2678" s="116"/>
      <c r="AV2678" s="78"/>
      <c r="AW2678" s="102"/>
      <c r="AX2678" s="78"/>
      <c r="AY2678" s="78"/>
      <c r="AZ2678" s="78"/>
      <c r="BA2678" s="78"/>
      <c r="BB2678" s="78"/>
      <c r="BC2678" s="78"/>
      <c r="BD2678" s="78"/>
      <c r="BE2678" s="465"/>
      <c r="BF2678" s="165" t="str">
        <f t="shared" si="2006"/>
        <v>https://www.google.com/search?tbm=isch&amp;q=3%20G3</v>
      </c>
      <c r="BG2678" s="165" t="str">
        <f t="shared" si="2007"/>
        <v>L</v>
      </c>
      <c r="BH2678" s="65"/>
      <c r="BI2678" s="65"/>
      <c r="BJ2678" s="65"/>
      <c r="BK2678" s="65"/>
      <c r="BL2678" s="99"/>
      <c r="BM2678" s="99"/>
      <c r="BN2678" s="99"/>
    </row>
    <row r="2679" spans="1:66" s="51" customFormat="1" ht="15.75" x14ac:dyDescent="0.25">
      <c r="A2679" s="478">
        <v>3</v>
      </c>
      <c r="B2679" s="479" t="s">
        <v>291</v>
      </c>
      <c r="C2679" s="480"/>
      <c r="D2679" s="481" t="s">
        <v>310</v>
      </c>
      <c r="E2679" s="482">
        <v>25.95</v>
      </c>
      <c r="F2679" s="483" t="s">
        <v>292</v>
      </c>
      <c r="G2679" s="484">
        <v>0</v>
      </c>
      <c r="H2679" s="688" t="str">
        <f>IF(G2679=0,"",IF(F2679="Buy",IF(G2679=1,"plant","plants"),IF(F2679&gt;0.01,"warranty","Error")))</f>
        <v/>
      </c>
      <c r="I2679" s="485">
        <f>IF(H2679="free",0,IF(H2679="credit",((E2679*(F2679))*G2679*-1),IF(F2679="Buy",(E2679*G2679),((E2679*(1-F2679))*G2679))))</f>
        <v>0</v>
      </c>
      <c r="J2679" s="485">
        <f>IF(H2679="warranty",0,(I2679*(_xlfn.SINGLE(SalesTaxPercentage))))</f>
        <v>0</v>
      </c>
      <c r="K2679" s="715">
        <f t="shared" ref="K2679" si="2034">I2679+J2679</f>
        <v>0</v>
      </c>
      <c r="L2679" s="715"/>
      <c r="M2679" s="689" t="str">
        <f ca="1">IF(AND(G2679&gt;0,E2679=0),"WARNING - no PRICE inserted",IF(H2679="free","FREE ~ no charge this plant",IF(H2679="credit",CONCATENATE("-$",ROUND(K2679*(1-_xlfn.SINGLE(T2GDiscount))*-1,2)," CREDIT after discount"),IF(_xlfn.SINGLE(T2GDiscount)=0,"",IF(G2679=0,"",IF(F2679="Buy",CONCATENATE("$",ROUND(K2679*(1-_xlfn.SINGLE(T2GDiscount)),2)," with ",(_xlfn.SINGLE(T2GDiscount)*100),"% discount"),CONCATENATE("$",ROUND(K2679*(1-_xlfn.SINGLE(T2GDiscount)),2)," with ",((_xlfn.SINGLE(T2GDiscount)*100+F2679*100)-(_xlfn.SINGLE(T2GDiscount)*100*F2679)),IF(F2679&gt;0,"% discounts",IF(_xlfn.SINGLE(NoWarrantyDiscount)&gt;0,"% discounts","% discount")))))))))</f>
        <v/>
      </c>
      <c r="N2679" s="690"/>
      <c r="O2679" s="486"/>
      <c r="P2679" s="486"/>
      <c r="Q2679" s="486"/>
      <c r="R2679" s="486"/>
      <c r="S2679" s="486"/>
      <c r="T2679" s="102">
        <f t="shared" si="1995"/>
        <v>0</v>
      </c>
      <c r="U2679" s="78">
        <f>IF(NOT(ISNUMBER(G2679)), "", VLOOKUP(A2679,'Discount Lookup'!D:E,2,FALSE)*G2679)</f>
        <v>0</v>
      </c>
      <c r="V2679" s="78">
        <f>IF(NOT(ISNUMBER(G2679)), "", VLOOKUP(A2679,'Discount Lookup'!G:H,2,FALSE)*G2679)</f>
        <v>0</v>
      </c>
      <c r="W2679" s="102">
        <f t="shared" si="1996"/>
        <v>0</v>
      </c>
      <c r="X2679" s="102">
        <f t="shared" si="1997"/>
        <v>0</v>
      </c>
      <c r="Y2679" s="120" t="b">
        <f t="shared" si="1998"/>
        <v>0</v>
      </c>
      <c r="Z2679" s="117">
        <f t="shared" si="1999"/>
        <v>0</v>
      </c>
      <c r="AA2679" s="118"/>
      <c r="AB2679" s="118" t="str">
        <f t="shared" si="2000"/>
        <v/>
      </c>
      <c r="AC2679" s="712" t="str">
        <f>IF(AE2679="T2G","no charge",IF(AND(OR(PlanterYesMe="No",PlanterYesMe="N",PlanterYesMe="me"),H2679=""),"",IF(H2679="credit","NO install",IF(AND(K2679="",AE2679="me"),"EACH row",IF(AND(K2679="images",AE2679="me"),"EACH row",IF(D2679="","",IF(H2679="credit","",IF(AE2679="free","re-planting",IF(AE2679="me","   not ELP, by",IF(AND(OR(PlanterYesMe="Yes",PlanterYesMe="Y"),G2679&gt;0),(VLOOKUP(A2679,'Discount Lookup'!J:K,2)*G2679*(1-PlanterDiscount)*(1+PlanterDifficultyPercentage)),IF(AE2679="ELP",(VLOOKUP(A2679,'Discount Lookup'!J:K,2)*G2679*(1-PlanterDiscount)*(1+PlanterDifficultyPercentage)),IF(AE2679="free","re-planting",IF(G2679=0,"",IF(PlanterYesMe="",IF(AE2679="me","   not ELP, by",IF(AE2679="",IF(G2679&gt;0,(VLOOKUP(A2679,'Discount Lookup'!J:K,2)*G2679*(1-PlanterDiscount)*(1+PlanterDifficultyPercentage)),""),"")),"   not ELP, by"))))))))))))))</f>
        <v/>
      </c>
      <c r="AD2679" s="712"/>
      <c r="AE2679" s="513" t="str">
        <f t="shared" si="2001"/>
        <v/>
      </c>
      <c r="AF2679" s="713" t="str">
        <f t="shared" si="2002"/>
        <v/>
      </c>
      <c r="AG2679" s="713"/>
      <c r="AH2679" s="713"/>
      <c r="AI2679" s="112">
        <f>IF(H2679="credit",0,IF(AE2679="free",0,IF(AE2679="me",0,IF(G2679&gt;0,(VLOOKUP(A2679,'Discount Lookup'!J:K,2)*G2679),0))))</f>
        <v>0</v>
      </c>
      <c r="AJ2679" s="107" t="str">
        <f t="shared" ca="1" si="2003"/>
        <v/>
      </c>
      <c r="AK2679" s="714" t="str">
        <f t="shared" si="2004"/>
        <v/>
      </c>
      <c r="AL2679" s="714"/>
      <c r="AM2679" s="114" t="str">
        <f t="shared" si="2005"/>
        <v/>
      </c>
      <c r="AN2679" s="115"/>
      <c r="AO2679" s="116"/>
      <c r="AP2679" s="116"/>
      <c r="AQ2679" s="116"/>
      <c r="AR2679" s="116"/>
      <c r="AS2679" s="116"/>
      <c r="AT2679" s="116"/>
      <c r="AU2679" s="116"/>
      <c r="AV2679" s="78"/>
      <c r="AW2679" s="102"/>
      <c r="AX2679" s="78"/>
      <c r="AY2679" s="78"/>
      <c r="AZ2679" s="78"/>
      <c r="BA2679" s="78"/>
      <c r="BB2679" s="78"/>
      <c r="BC2679" s="78"/>
      <c r="BD2679" s="78"/>
      <c r="BE2679" s="465"/>
      <c r="BF2679" s="165" t="str">
        <f t="shared" si="2006"/>
        <v>https://www.google.com/search?tbm=isch&amp;q=3%20G1</v>
      </c>
      <c r="BG2679" s="165" t="str">
        <f t="shared" si="2007"/>
        <v>L</v>
      </c>
      <c r="BH2679" s="65"/>
      <c r="BI2679" s="65"/>
      <c r="BJ2679" s="65"/>
      <c r="BK2679" s="65"/>
      <c r="BL2679" s="99"/>
      <c r="BM2679" s="99"/>
      <c r="BN2679" s="99"/>
    </row>
    <row r="2680" spans="1:66" s="51" customFormat="1" ht="15.75" x14ac:dyDescent="0.25">
      <c r="A2680" s="478">
        <v>3</v>
      </c>
      <c r="B2680" s="479" t="s">
        <v>291</v>
      </c>
      <c r="C2680" s="480" t="s">
        <v>454</v>
      </c>
      <c r="D2680" s="481" t="s">
        <v>329</v>
      </c>
      <c r="E2680" s="482">
        <v>28.95</v>
      </c>
      <c r="F2680" s="483" t="s">
        <v>292</v>
      </c>
      <c r="G2680" s="484">
        <v>0</v>
      </c>
      <c r="H2680" s="688" t="str">
        <f>IF(G2680=0,"",IF(F2680="Buy",IF(G2680=1,"plant","plants"),IF(F2680&gt;0.01,"warranty","Error")))</f>
        <v/>
      </c>
      <c r="I2680" s="485">
        <f>IF(H2680="free",0,IF(H2680="credit",((E2680*(F2680))*G2680*-1),IF(F2680="Buy",(E2680*G2680),((E2680*(1-F2680))*G2680))))</f>
        <v>0</v>
      </c>
      <c r="J2680" s="485">
        <f>IF(H2680="warranty",0,(I2680*(_xlfn.SINGLE(SalesTaxPercentage))))</f>
        <v>0</v>
      </c>
      <c r="K2680" s="715">
        <f t="shared" ref="K2680" si="2035">I2680+J2680</f>
        <v>0</v>
      </c>
      <c r="L2680" s="715"/>
      <c r="M2680" s="689" t="str">
        <f ca="1">IF(AND(G2680&gt;0,E2680=0),"WARNING - no PRICE inserted",IF(H2680="free","FREE ~ no charge this plant",IF(H2680="credit",CONCATENATE("-$",ROUND(K2680*(1-_xlfn.SINGLE(T2GDiscount))*-1,2)," CREDIT after discount"),IF(_xlfn.SINGLE(T2GDiscount)=0,"",IF(G2680=0,"",IF(F2680="Buy",CONCATENATE("$",ROUND(K2680*(1-_xlfn.SINGLE(T2GDiscount)),2)," with ",(_xlfn.SINGLE(T2GDiscount)*100),"% discount"),CONCATENATE("$",ROUND(K2680*(1-_xlfn.SINGLE(T2GDiscount)),2)," with ",((_xlfn.SINGLE(T2GDiscount)*100+F2680*100)-(_xlfn.SINGLE(T2GDiscount)*100*F2680)),IF(F2680&gt;0,"% discounts",IF(_xlfn.SINGLE(NoWarrantyDiscount)&gt;0,"% discounts","% discount")))))))))</f>
        <v/>
      </c>
      <c r="N2680" s="690"/>
      <c r="O2680" s="486"/>
      <c r="P2680" s="486"/>
      <c r="Q2680" s="486"/>
      <c r="R2680" s="486"/>
      <c r="S2680" s="486"/>
      <c r="T2680" s="102">
        <f t="shared" si="1995"/>
        <v>0</v>
      </c>
      <c r="U2680" s="78">
        <f>IF(NOT(ISNUMBER(G2680)), "", VLOOKUP(A2680,'Discount Lookup'!D:E,2,FALSE)*G2680)</f>
        <v>0</v>
      </c>
      <c r="V2680" s="78">
        <f>IF(NOT(ISNUMBER(G2680)), "", VLOOKUP(A2680,'Discount Lookup'!G:H,2,FALSE)*G2680)</f>
        <v>0</v>
      </c>
      <c r="W2680" s="102">
        <f t="shared" si="1996"/>
        <v>0</v>
      </c>
      <c r="X2680" s="102">
        <f t="shared" si="1997"/>
        <v>0</v>
      </c>
      <c r="Y2680" s="120" t="b">
        <f t="shared" si="1998"/>
        <v>0</v>
      </c>
      <c r="Z2680" s="117">
        <f t="shared" si="1999"/>
        <v>0</v>
      </c>
      <c r="AA2680" s="118"/>
      <c r="AB2680" s="118" t="str">
        <f t="shared" si="2000"/>
        <v/>
      </c>
      <c r="AC2680" s="712" t="str">
        <f>IF(AE2680="T2G","no charge",IF(AND(OR(PlanterYesMe="No",PlanterYesMe="N",PlanterYesMe="me"),H2680=""),"",IF(H2680="credit","NO install",IF(AND(K2680="",AE2680="me"),"EACH row",IF(AND(K2680="images",AE2680="me"),"EACH row",IF(D2680="","",IF(H2680="credit","",IF(AE2680="free","re-planting",IF(AE2680="me","   not ELP, by",IF(AND(OR(PlanterYesMe="Yes",PlanterYesMe="Y"),G2680&gt;0),(VLOOKUP(A2680,'Discount Lookup'!J:K,2)*G2680*(1-PlanterDiscount)*(1+PlanterDifficultyPercentage)),IF(AE2680="ELP",(VLOOKUP(A2680,'Discount Lookup'!J:K,2)*G2680*(1-PlanterDiscount)*(1+PlanterDifficultyPercentage)),IF(AE2680="free","re-planting",IF(G2680=0,"",IF(PlanterYesMe="",IF(AE2680="me","   not ELP, by",IF(AE2680="",IF(G2680&gt;0,(VLOOKUP(A2680,'Discount Lookup'!J:K,2)*G2680*(1-PlanterDiscount)*(1+PlanterDifficultyPercentage)),""),"")),"   not ELP, by"))))))))))))))</f>
        <v/>
      </c>
      <c r="AD2680" s="712"/>
      <c r="AE2680" s="513" t="str">
        <f t="shared" si="2001"/>
        <v/>
      </c>
      <c r="AF2680" s="713" t="str">
        <f t="shared" si="2002"/>
        <v/>
      </c>
      <c r="AG2680" s="713"/>
      <c r="AH2680" s="713"/>
      <c r="AI2680" s="112">
        <f>IF(H2680="credit",0,IF(AE2680="free",0,IF(AE2680="me",0,IF(G2680&gt;0,(VLOOKUP(A2680,'Discount Lookup'!J:K,2)*G2680),0))))</f>
        <v>0</v>
      </c>
      <c r="AJ2680" s="107" t="str">
        <f t="shared" ca="1" si="2003"/>
        <v/>
      </c>
      <c r="AK2680" s="714" t="str">
        <f t="shared" si="2004"/>
        <v/>
      </c>
      <c r="AL2680" s="714"/>
      <c r="AM2680" s="114" t="str">
        <f t="shared" si="2005"/>
        <v/>
      </c>
      <c r="AN2680" s="115"/>
      <c r="AO2680" s="116"/>
      <c r="AP2680" s="116"/>
      <c r="AQ2680" s="116"/>
      <c r="AR2680" s="116"/>
      <c r="AS2680" s="116"/>
      <c r="AT2680" s="116"/>
      <c r="AU2680" s="116"/>
      <c r="AV2680" s="78"/>
      <c r="AW2680" s="102"/>
      <c r="AX2680" s="78"/>
      <c r="AY2680" s="78"/>
      <c r="AZ2680" s="78"/>
      <c r="BA2680" s="78"/>
      <c r="BB2680" s="78"/>
      <c r="BC2680" s="78"/>
      <c r="BD2680" s="78"/>
      <c r="BE2680" s="465"/>
      <c r="BF2680" s="165" t="str">
        <f t="shared" si="2006"/>
        <v>https://www.google.com/search?tbm=isch&amp;q=3%20G2</v>
      </c>
      <c r="BG2680" s="165" t="str">
        <f t="shared" si="2007"/>
        <v>L</v>
      </c>
      <c r="BH2680" s="65"/>
      <c r="BI2680" s="65"/>
      <c r="BJ2680" s="65"/>
      <c r="BK2680" s="65"/>
      <c r="BL2680" s="99"/>
      <c r="BM2680" s="99"/>
      <c r="BN2680" s="99"/>
    </row>
    <row r="2681" spans="1:66" s="51" customFormat="1" ht="15.75" x14ac:dyDescent="0.25">
      <c r="A2681" s="478">
        <v>7</v>
      </c>
      <c r="B2681" s="479" t="s">
        <v>291</v>
      </c>
      <c r="C2681" s="480" t="s">
        <v>3346</v>
      </c>
      <c r="D2681" s="481" t="s">
        <v>309</v>
      </c>
      <c r="E2681" s="482">
        <v>56.95</v>
      </c>
      <c r="F2681" s="483" t="s">
        <v>292</v>
      </c>
      <c r="G2681" s="484">
        <v>0</v>
      </c>
      <c r="H2681" s="688" t="str">
        <f>IF(G2681=0,"",IF(F2681="Buy",IF(G2681=1,"plant","plants"),IF(F2681&gt;0.01,"warranty","Error")))</f>
        <v/>
      </c>
      <c r="I2681" s="485">
        <f>IF(H2681="free",0,IF(H2681="credit",((E2681*(F2681))*G2681*-1),IF(F2681="Buy",(E2681*G2681),((E2681*(1-F2681))*G2681))))</f>
        <v>0</v>
      </c>
      <c r="J2681" s="485">
        <f>IF(H2681="warranty",0,(I2681*(_xlfn.SINGLE(SalesTaxPercentage))))</f>
        <v>0</v>
      </c>
      <c r="K2681" s="715">
        <f t="shared" ref="K2681" si="2036">I2681+J2681</f>
        <v>0</v>
      </c>
      <c r="L2681" s="715"/>
      <c r="M2681" s="689" t="str">
        <f ca="1">IF(AND(G2681&gt;0,E2681=0),"WARNING - no PRICE inserted",IF(H2681="free","FREE ~ no charge this plant",IF(H2681="credit",CONCATENATE("-$",ROUND(K2681*(1-_xlfn.SINGLE(T2GDiscount))*-1,2)," CREDIT after discount"),IF(_xlfn.SINGLE(T2GDiscount)=0,"",IF(G2681=0,"",IF(F2681="Buy",CONCATENATE("$",ROUND(K2681*(1-_xlfn.SINGLE(T2GDiscount)),2)," with ",(_xlfn.SINGLE(T2GDiscount)*100),"% discount"),CONCATENATE("$",ROUND(K2681*(1-_xlfn.SINGLE(T2GDiscount)),2)," with ",((_xlfn.SINGLE(T2GDiscount)*100+F2681*100)-(_xlfn.SINGLE(T2GDiscount)*100*F2681)),IF(F2681&gt;0,"% discounts",IF(_xlfn.SINGLE(NoWarrantyDiscount)&gt;0,"% discounts","% discount")))))))))</f>
        <v/>
      </c>
      <c r="N2681" s="690"/>
      <c r="O2681" s="486"/>
      <c r="P2681" s="486"/>
      <c r="Q2681" s="486"/>
      <c r="R2681" s="486"/>
      <c r="S2681" s="486"/>
      <c r="T2681" s="102">
        <f t="shared" si="1995"/>
        <v>0</v>
      </c>
      <c r="U2681" s="78">
        <f>IF(NOT(ISNUMBER(G2681)), "", VLOOKUP(A2681,'Discount Lookup'!D:E,2,FALSE)*G2681)</f>
        <v>0</v>
      </c>
      <c r="V2681" s="78">
        <f>IF(NOT(ISNUMBER(G2681)), "", VLOOKUP(A2681,'Discount Lookup'!G:H,2,FALSE)*G2681)</f>
        <v>0</v>
      </c>
      <c r="W2681" s="102">
        <f t="shared" si="1996"/>
        <v>0</v>
      </c>
      <c r="X2681" s="102">
        <f t="shared" si="1997"/>
        <v>0</v>
      </c>
      <c r="Y2681" s="120" t="b">
        <f t="shared" si="1998"/>
        <v>0</v>
      </c>
      <c r="Z2681" s="117">
        <f t="shared" si="1999"/>
        <v>0</v>
      </c>
      <c r="AA2681" s="118"/>
      <c r="AB2681" s="118" t="str">
        <f t="shared" si="2000"/>
        <v/>
      </c>
      <c r="AC2681" s="712" t="str">
        <f>IF(AE2681="T2G","no charge",IF(AND(OR(PlanterYesMe="No",PlanterYesMe="N",PlanterYesMe="me"),H2681=""),"",IF(H2681="credit","NO install",IF(AND(K2681="",AE2681="me"),"EACH row",IF(AND(K2681="images",AE2681="me"),"EACH row",IF(D2681="","",IF(H2681="credit","",IF(AE2681="free","re-planting",IF(AE2681="me","   not ELP, by",IF(AND(OR(PlanterYesMe="Yes",PlanterYesMe="Y"),G2681&gt;0),(VLOOKUP(A2681,'Discount Lookup'!J:K,2)*G2681*(1-PlanterDiscount)*(1+PlanterDifficultyPercentage)),IF(AE2681="ELP",(VLOOKUP(A2681,'Discount Lookup'!J:K,2)*G2681*(1-PlanterDiscount)*(1+PlanterDifficultyPercentage)),IF(AE2681="free","re-planting",IF(G2681=0,"",IF(PlanterYesMe="",IF(AE2681="me","   not ELP, by",IF(AE2681="",IF(G2681&gt;0,(VLOOKUP(A2681,'Discount Lookup'!J:K,2)*G2681*(1-PlanterDiscount)*(1+PlanterDifficultyPercentage)),""),"")),"   not ELP, by"))))))))))))))</f>
        <v/>
      </c>
      <c r="AD2681" s="712"/>
      <c r="AE2681" s="513" t="str">
        <f t="shared" si="2001"/>
        <v/>
      </c>
      <c r="AF2681" s="713" t="str">
        <f t="shared" si="2002"/>
        <v/>
      </c>
      <c r="AG2681" s="713"/>
      <c r="AH2681" s="713"/>
      <c r="AI2681" s="112">
        <f>IF(H2681="credit",0,IF(AE2681="free",0,IF(AE2681="me",0,IF(G2681&gt;0,(VLOOKUP(A2681,'Discount Lookup'!J:K,2)*G2681),0))))</f>
        <v>0</v>
      </c>
      <c r="AJ2681" s="107" t="str">
        <f t="shared" ca="1" si="2003"/>
        <v/>
      </c>
      <c r="AK2681" s="714" t="str">
        <f t="shared" si="2004"/>
        <v/>
      </c>
      <c r="AL2681" s="714"/>
      <c r="AM2681" s="114" t="str">
        <f t="shared" si="2005"/>
        <v/>
      </c>
      <c r="AN2681" s="115"/>
      <c r="AO2681" s="116"/>
      <c r="AP2681" s="116"/>
      <c r="AQ2681" s="116"/>
      <c r="AR2681" s="116"/>
      <c r="AS2681" s="116"/>
      <c r="AT2681" s="116"/>
      <c r="AU2681" s="116"/>
      <c r="AV2681" s="78"/>
      <c r="AW2681" s="102"/>
      <c r="AX2681" s="78"/>
      <c r="AY2681" s="78"/>
      <c r="AZ2681" s="78"/>
      <c r="BA2681" s="78"/>
      <c r="BB2681" s="78"/>
      <c r="BC2681" s="78"/>
      <c r="BD2681" s="78"/>
      <c r="BE2681" s="465"/>
      <c r="BF2681" s="165" t="str">
        <f t="shared" si="2006"/>
        <v>https://www.google.com/search?tbm=isch&amp;q=7%20G3</v>
      </c>
      <c r="BG2681" s="165" t="str">
        <f t="shared" si="2007"/>
        <v>L</v>
      </c>
      <c r="BH2681" s="65"/>
      <c r="BI2681" s="65"/>
      <c r="BJ2681" s="65"/>
      <c r="BK2681" s="65"/>
      <c r="BL2681" s="99"/>
      <c r="BM2681" s="99"/>
      <c r="BN2681" s="99"/>
    </row>
    <row r="2682" spans="1:66" s="51" customFormat="1" ht="17.25" thickBot="1" x14ac:dyDescent="0.3">
      <c r="A2682" s="508" t="s">
        <v>3347</v>
      </c>
      <c r="B2682" s="487"/>
      <c r="C2682" s="707"/>
      <c r="D2682" s="487"/>
      <c r="E2682" s="487"/>
      <c r="F2682" s="488"/>
      <c r="G2682" s="489"/>
      <c r="H2682" s="487"/>
      <c r="I2682" s="490"/>
      <c r="J2682" s="490"/>
      <c r="K2682" s="491"/>
      <c r="L2682" s="547"/>
      <c r="M2682" s="528"/>
      <c r="N2682" s="492"/>
      <c r="O2682" s="493"/>
      <c r="P2682" s="494"/>
      <c r="Q2682" s="492"/>
      <c r="R2682" s="492"/>
      <c r="S2682" s="699" t="s">
        <v>5268</v>
      </c>
      <c r="T2682" s="102">
        <f t="shared" si="1995"/>
        <v>0</v>
      </c>
      <c r="U2682" s="78" t="str">
        <f>IF(NOT(ISNUMBER(G2682)), "", VLOOKUP(A2682,'Discount Lookup'!D:E,2,FALSE)*G2682)</f>
        <v/>
      </c>
      <c r="V2682" s="78" t="str">
        <f>IF(NOT(ISNUMBER(G2682)), "", VLOOKUP(A2682,'Discount Lookup'!G:H,2,FALSE)*G2682)</f>
        <v/>
      </c>
      <c r="W2682" s="102">
        <f t="shared" si="1996"/>
        <v>0</v>
      </c>
      <c r="X2682" s="102">
        <f t="shared" si="1997"/>
        <v>0</v>
      </c>
      <c r="Y2682" s="120" t="b">
        <f t="shared" si="1998"/>
        <v>0</v>
      </c>
      <c r="Z2682" s="117">
        <f t="shared" si="1999"/>
        <v>0</v>
      </c>
      <c r="AA2682" s="118"/>
      <c r="AB2682" s="118" t="str">
        <f t="shared" si="2000"/>
        <v/>
      </c>
      <c r="AC2682" s="712" t="str">
        <f>IF(AE2682="T2G","no charge",IF(AND(OR(PlanterYesMe="No",PlanterYesMe="N",PlanterYesMe="me"),H2682=""),"",IF(H2682="credit","NO install",IF(AND(K2682="",AE2682="me"),"EACH row",IF(AND(K2682="images",AE2682="me"),"EACH row",IF(D2682="","",IF(H2682="credit","",IF(AE2682="free","re-planting",IF(AE2682="me","   not ELP, by",IF(AND(OR(PlanterYesMe="Yes",PlanterYesMe="Y"),G2682&gt;0),(VLOOKUP(A2682,'Discount Lookup'!J:K,2)*G2682*(1-PlanterDiscount)*(1+PlanterDifficultyPercentage)),IF(AE2682="ELP",(VLOOKUP(A2682,'Discount Lookup'!J:K,2)*G2682*(1-PlanterDiscount)*(1+PlanterDifficultyPercentage)),IF(AE2682="free","re-planting",IF(G2682=0,"",IF(PlanterYesMe="",IF(AE2682="me","   not ELP, by",IF(AE2682="",IF(G2682&gt;0,(VLOOKUP(A2682,'Discount Lookup'!J:K,2)*G2682*(1-PlanterDiscount)*(1+PlanterDifficultyPercentage)),""),"")),"   not ELP, by"))))))))))))))</f>
        <v/>
      </c>
      <c r="AD2682" s="712"/>
      <c r="AE2682" s="513" t="str">
        <f t="shared" si="2001"/>
        <v/>
      </c>
      <c r="AF2682" s="713" t="str">
        <f t="shared" si="2002"/>
        <v/>
      </c>
      <c r="AG2682" s="713"/>
      <c r="AH2682" s="713"/>
      <c r="AI2682" s="112">
        <f>IF(H2682="credit",0,IF(AE2682="free",0,IF(AE2682="me",0,IF(G2682&gt;0,(VLOOKUP(A2682,'Discount Lookup'!J:K,2)*G2682),0))))</f>
        <v>0</v>
      </c>
      <c r="AJ2682" s="107" t="str">
        <f t="shared" ca="1" si="2003"/>
        <v/>
      </c>
      <c r="AK2682" s="714" t="str">
        <f t="shared" si="2004"/>
        <v/>
      </c>
      <c r="AL2682" s="714"/>
      <c r="AM2682" s="114" t="str">
        <f t="shared" si="2005"/>
        <v/>
      </c>
      <c r="AN2682" s="115"/>
      <c r="AO2682" s="116"/>
      <c r="AP2682" s="116"/>
      <c r="AQ2682" s="116"/>
      <c r="AR2682" s="116"/>
      <c r="AS2682" s="116"/>
      <c r="AT2682" s="116"/>
      <c r="AU2682" s="116"/>
      <c r="AV2682" s="78"/>
      <c r="AW2682" s="102"/>
      <c r="AX2682" s="78"/>
      <c r="AY2682" s="78"/>
      <c r="AZ2682" s="78"/>
      <c r="BA2682" s="78"/>
      <c r="BB2682" s="78"/>
      <c r="BC2682" s="78"/>
      <c r="BD2682" s="78"/>
      <c r="BE2682" s="465"/>
      <c r="BF2682" s="165" t="str">
        <f t="shared" si="2006"/>
        <v>https://www.google.com/search?tbm=isch&amp;q=Curly%20Leaf%20blooms%20late%20spring%20to%20early%20summer.%20Curled%20foliage%20resembles%20a%20Jade%20plant.%20Dark%20Green%20foliage%20</v>
      </c>
      <c r="BG2682" s="165" t="str">
        <f t="shared" si="2007"/>
        <v>C</v>
      </c>
      <c r="BH2682" s="65"/>
      <c r="BI2682" s="65"/>
      <c r="BJ2682" s="65"/>
      <c r="BK2682" s="65"/>
      <c r="BL2682" s="99"/>
      <c r="BM2682" s="99"/>
      <c r="BN2682" s="99"/>
    </row>
    <row r="2683" spans="1:66" s="51" customFormat="1" ht="18" x14ac:dyDescent="0.25">
      <c r="A2683" s="507" t="s">
        <v>3348</v>
      </c>
      <c r="B2683" s="470"/>
      <c r="C2683" s="706"/>
      <c r="D2683" s="471" t="s">
        <v>3349</v>
      </c>
      <c r="E2683" s="472"/>
      <c r="F2683" s="472"/>
      <c r="G2683" s="472"/>
      <c r="H2683" s="622" t="s">
        <v>1528</v>
      </c>
      <c r="I2683" s="473" t="s">
        <v>349</v>
      </c>
      <c r="J2683" s="472"/>
      <c r="K2683" s="472"/>
      <c r="L2683" s="561"/>
      <c r="M2683" s="698" t="s">
        <v>5246</v>
      </c>
      <c r="N2683" s="692" t="str">
        <f>IF(AND(ISTEXT($A2683), ISERROR($A2683+0)), HYPERLINK($BF2683, "Images"), "")</f>
        <v>Images</v>
      </c>
      <c r="O2683" s="694" t="s">
        <v>5264</v>
      </c>
      <c r="P2683" s="475"/>
      <c r="Q2683" s="476"/>
      <c r="R2683" s="476"/>
      <c r="S2683" s="477"/>
      <c r="T2683" s="102">
        <f t="shared" si="1995"/>
        <v>0</v>
      </c>
      <c r="U2683" s="78" t="str">
        <f>IF(NOT(ISNUMBER(G2683)), "", VLOOKUP(A2683,'Discount Lookup'!D:E,2,FALSE)*G2683)</f>
        <v/>
      </c>
      <c r="V2683" s="78" t="str">
        <f>IF(NOT(ISNUMBER(G2683)), "", VLOOKUP(A2683,'Discount Lookup'!G:H,2,FALSE)*G2683)</f>
        <v/>
      </c>
      <c r="W2683" s="102">
        <f t="shared" si="1996"/>
        <v>0</v>
      </c>
      <c r="X2683" s="102" t="str">
        <f t="shared" si="1997"/>
        <v>White bloom</v>
      </c>
      <c r="Y2683" s="120" t="b">
        <f t="shared" si="1998"/>
        <v>0</v>
      </c>
      <c r="Z2683" s="117">
        <f t="shared" si="1999"/>
        <v>0</v>
      </c>
      <c r="AA2683" s="118"/>
      <c r="AB2683" s="118" t="str">
        <f t="shared" si="2000"/>
        <v/>
      </c>
      <c r="AC2683" s="712" t="str">
        <f>IF(AE2683="T2G","no charge",IF(AND(OR(PlanterYesMe="No",PlanterYesMe="N",PlanterYesMe="me"),H2683=""),"",IF(H2683="credit","NO install",IF(AND(K2683="",AE2683="me"),"EACH row",IF(AND(K2683="images",AE2683="me"),"EACH row",IF(D2683="","",IF(H2683="credit","",IF(AE2683="free","re-planting",IF(AE2683="me","   not ELP, by",IF(AND(OR(PlanterYesMe="Yes",PlanterYesMe="Y"),G2683&gt;0),(VLOOKUP(A2683,'Discount Lookup'!J:K,2)*G2683*(1-PlanterDiscount)*(1+PlanterDifficultyPercentage)),IF(AE2683="ELP",(VLOOKUP(A2683,'Discount Lookup'!J:K,2)*G2683*(1-PlanterDiscount)*(1+PlanterDifficultyPercentage)),IF(AE2683="free","re-planting",IF(G2683=0,"",IF(PlanterYesMe="",IF(AE2683="me","   not ELP, by",IF(AE2683="",IF(G2683&gt;0,(VLOOKUP(A2683,'Discount Lookup'!J:K,2)*G2683*(1-PlanterDiscount)*(1+PlanterDifficultyPercentage)),""),"")),"   not ELP, by"))))))))))))))</f>
        <v/>
      </c>
      <c r="AD2683" s="712"/>
      <c r="AE2683" s="513" t="str">
        <f t="shared" si="2001"/>
        <v/>
      </c>
      <c r="AF2683" s="713" t="str">
        <f t="shared" si="2002"/>
        <v/>
      </c>
      <c r="AG2683" s="713"/>
      <c r="AH2683" s="713"/>
      <c r="AI2683" s="112">
        <f>IF(H2683="credit",0,IF(AE2683="free",0,IF(AE2683="me",0,IF(G2683&gt;0,(VLOOKUP(A2683,'Discount Lookup'!J:K,2)*G2683),0))))</f>
        <v>0</v>
      </c>
      <c r="AJ2683" s="107" t="str">
        <f t="shared" ca="1" si="2003"/>
        <v/>
      </c>
      <c r="AK2683" s="714" t="str">
        <f t="shared" si="2004"/>
        <v/>
      </c>
      <c r="AL2683" s="714"/>
      <c r="AM2683" s="114" t="str">
        <f t="shared" si="2005"/>
        <v/>
      </c>
      <c r="AN2683" s="115"/>
      <c r="AO2683" s="116"/>
      <c r="AP2683" s="116"/>
      <c r="AQ2683" s="116"/>
      <c r="AR2683" s="116"/>
      <c r="AS2683" s="116"/>
      <c r="AT2683" s="116"/>
      <c r="AU2683" s="116"/>
      <c r="AV2683" s="78"/>
      <c r="AW2683" s="102"/>
      <c r="AX2683" s="78"/>
      <c r="AY2683" s="78"/>
      <c r="AZ2683" s="78"/>
      <c r="BA2683" s="78"/>
      <c r="BB2683" s="78"/>
      <c r="BC2683" s="78"/>
      <c r="BD2683" s="78"/>
      <c r="BE2683" s="465"/>
      <c r="BF2683" s="165" t="str">
        <f t="shared" si="2006"/>
        <v>https://www.google.com/search?tbm=isch&amp;q=Ligustrum%20sinense%20%27Sunshine%27%20PP%2320379%20Sunshine%20Privet</v>
      </c>
      <c r="BG2683" s="165" t="str">
        <f t="shared" si="2007"/>
        <v>L</v>
      </c>
      <c r="BH2683" s="65"/>
      <c r="BI2683" s="65"/>
      <c r="BJ2683" s="65"/>
      <c r="BK2683" s="65"/>
      <c r="BL2683" s="99"/>
      <c r="BM2683" s="99"/>
      <c r="BN2683" s="99"/>
    </row>
    <row r="2684" spans="1:66" s="51" customFormat="1" ht="15.75" x14ac:dyDescent="0.25">
      <c r="A2684" s="478">
        <v>1</v>
      </c>
      <c r="B2684" s="479" t="s">
        <v>291</v>
      </c>
      <c r="C2684" s="480" t="s">
        <v>3350</v>
      </c>
      <c r="D2684" s="481" t="s">
        <v>329</v>
      </c>
      <c r="E2684" s="482">
        <v>28.95</v>
      </c>
      <c r="F2684" s="483" t="s">
        <v>292</v>
      </c>
      <c r="G2684" s="484">
        <v>0</v>
      </c>
      <c r="H2684" s="688" t="str">
        <f t="shared" ref="H2684:H2689" si="2037">IF(G2684=0,"",IF(F2684="Buy",IF(G2684=1,"plant","plants"),IF(F2684&gt;0.01,"warranty","Error")))</f>
        <v/>
      </c>
      <c r="I2684" s="485">
        <f t="shared" ref="I2684:I2689" si="2038">IF(H2684="free",0,IF(H2684="credit",((E2684*(F2684))*G2684*-1),IF(F2684="Buy",(E2684*G2684),((E2684*(1-F2684))*G2684))))</f>
        <v>0</v>
      </c>
      <c r="J2684" s="485">
        <f t="shared" ref="J2684:J2689" si="2039">IF(H2684="warranty",0,(I2684*(_xlfn.SINGLE(SalesTaxPercentage))))</f>
        <v>0</v>
      </c>
      <c r="K2684" s="715">
        <f t="shared" ref="K2684" si="2040">I2684+J2684</f>
        <v>0</v>
      </c>
      <c r="L2684" s="715"/>
      <c r="M2684" s="689" t="str">
        <f t="shared" ref="M2684:M2689" ca="1" si="2041">IF(AND(G2684&gt;0,E2684=0),"WARNING - no PRICE inserted",IF(H2684="free","FREE ~ no charge this plant",IF(H2684="credit",CONCATENATE("-$",ROUND(K2684*(1-_xlfn.SINGLE(T2GDiscount))*-1,2)," CREDIT after discount"),IF(_xlfn.SINGLE(T2GDiscount)=0,"",IF(G2684=0,"",IF(F2684="Buy",CONCATENATE("$",ROUND(K2684*(1-_xlfn.SINGLE(T2GDiscount)),2)," with ",(_xlfn.SINGLE(T2GDiscount)*100),"% discount"),CONCATENATE("$",ROUND(K2684*(1-_xlfn.SINGLE(T2GDiscount)),2)," with ",((_xlfn.SINGLE(T2GDiscount)*100+F2684*100)-(_xlfn.SINGLE(T2GDiscount)*100*F2684)),IF(F2684&gt;0,"% discounts",IF(_xlfn.SINGLE(NoWarrantyDiscount)&gt;0,"% discounts","% discount")))))))))</f>
        <v/>
      </c>
      <c r="N2684" s="690"/>
      <c r="O2684" s="486"/>
      <c r="P2684" s="486"/>
      <c r="Q2684" s="486"/>
      <c r="R2684" s="486"/>
      <c r="S2684" s="486"/>
      <c r="T2684" s="102">
        <f t="shared" si="1995"/>
        <v>0</v>
      </c>
      <c r="U2684" s="78">
        <f>IF(NOT(ISNUMBER(G2684)), "", VLOOKUP(A2684,'Discount Lookup'!D:E,2,FALSE)*G2684)</f>
        <v>0</v>
      </c>
      <c r="V2684" s="78">
        <f>IF(NOT(ISNUMBER(G2684)), "", VLOOKUP(A2684,'Discount Lookup'!G:H,2,FALSE)*G2684)</f>
        <v>0</v>
      </c>
      <c r="W2684" s="102">
        <f t="shared" si="1996"/>
        <v>0</v>
      </c>
      <c r="X2684" s="102">
        <f t="shared" si="1997"/>
        <v>0</v>
      </c>
      <c r="Y2684" s="120" t="b">
        <f t="shared" si="1998"/>
        <v>0</v>
      </c>
      <c r="Z2684" s="117">
        <f t="shared" si="1999"/>
        <v>0</v>
      </c>
      <c r="AA2684" s="118"/>
      <c r="AB2684" s="118" t="str">
        <f t="shared" si="2000"/>
        <v/>
      </c>
      <c r="AC2684" s="712" t="str">
        <f>IF(AE2684="T2G","no charge",IF(AND(OR(PlanterYesMe="No",PlanterYesMe="N",PlanterYesMe="me"),H2684=""),"",IF(H2684="credit","NO install",IF(AND(K2684="",AE2684="me"),"EACH row",IF(AND(K2684="images",AE2684="me"),"EACH row",IF(D2684="","",IF(H2684="credit","",IF(AE2684="free","re-planting",IF(AE2684="me","   not ELP, by",IF(AND(OR(PlanterYesMe="Yes",PlanterYesMe="Y"),G2684&gt;0),(VLOOKUP(A2684,'Discount Lookup'!J:K,2)*G2684*(1-PlanterDiscount)*(1+PlanterDifficultyPercentage)),IF(AE2684="ELP",(VLOOKUP(A2684,'Discount Lookup'!J:K,2)*G2684*(1-PlanterDiscount)*(1+PlanterDifficultyPercentage)),IF(AE2684="free","re-planting",IF(G2684=0,"",IF(PlanterYesMe="",IF(AE2684="me","   not ELP, by",IF(AE2684="",IF(G2684&gt;0,(VLOOKUP(A2684,'Discount Lookup'!J:K,2)*G2684*(1-PlanterDiscount)*(1+PlanterDifficultyPercentage)),""),"")),"   not ELP, by"))))))))))))))</f>
        <v/>
      </c>
      <c r="AD2684" s="712"/>
      <c r="AE2684" s="513" t="str">
        <f t="shared" si="2001"/>
        <v/>
      </c>
      <c r="AF2684" s="713" t="str">
        <f t="shared" si="2002"/>
        <v/>
      </c>
      <c r="AG2684" s="713"/>
      <c r="AH2684" s="713"/>
      <c r="AI2684" s="112">
        <f>IF(H2684="credit",0,IF(AE2684="free",0,IF(AE2684="me",0,IF(G2684&gt;0,(VLOOKUP(A2684,'Discount Lookup'!J:K,2)*G2684),0))))</f>
        <v>0</v>
      </c>
      <c r="AJ2684" s="107" t="str">
        <f t="shared" ca="1" si="2003"/>
        <v/>
      </c>
      <c r="AK2684" s="714" t="str">
        <f t="shared" si="2004"/>
        <v/>
      </c>
      <c r="AL2684" s="714"/>
      <c r="AM2684" s="114" t="str">
        <f t="shared" si="2005"/>
        <v/>
      </c>
      <c r="AN2684" s="115"/>
      <c r="AO2684" s="116"/>
      <c r="AP2684" s="116"/>
      <c r="AQ2684" s="116"/>
      <c r="AR2684" s="116"/>
      <c r="AS2684" s="116"/>
      <c r="AT2684" s="116"/>
      <c r="AU2684" s="116"/>
      <c r="AV2684" s="78"/>
      <c r="AW2684" s="102"/>
      <c r="AX2684" s="78"/>
      <c r="AY2684" s="78"/>
      <c r="AZ2684" s="78"/>
      <c r="BA2684" s="78"/>
      <c r="BB2684" s="78"/>
      <c r="BC2684" s="78"/>
      <c r="BD2684" s="78"/>
      <c r="BE2684" s="465"/>
      <c r="BF2684" s="165" t="str">
        <f t="shared" si="2006"/>
        <v>https://www.google.com/search?tbm=isch&amp;q=1%20G2</v>
      </c>
      <c r="BG2684" s="165" t="str">
        <f t="shared" si="2007"/>
        <v>L</v>
      </c>
      <c r="BH2684" s="65"/>
      <c r="BI2684" s="65"/>
      <c r="BJ2684" s="65"/>
      <c r="BK2684" s="65"/>
      <c r="BL2684" s="99"/>
      <c r="BM2684" s="99"/>
      <c r="BN2684" s="99"/>
    </row>
    <row r="2685" spans="1:66" s="51" customFormat="1" ht="15.75" x14ac:dyDescent="0.25">
      <c r="A2685" s="478">
        <v>3</v>
      </c>
      <c r="B2685" s="479" t="s">
        <v>291</v>
      </c>
      <c r="C2685" s="480" t="s">
        <v>700</v>
      </c>
      <c r="D2685" s="481" t="s">
        <v>329</v>
      </c>
      <c r="E2685" s="482">
        <v>32.950000000000003</v>
      </c>
      <c r="F2685" s="483" t="s">
        <v>292</v>
      </c>
      <c r="G2685" s="484">
        <v>0</v>
      </c>
      <c r="H2685" s="688" t="str">
        <f t="shared" si="2037"/>
        <v/>
      </c>
      <c r="I2685" s="485">
        <f t="shared" si="2038"/>
        <v>0</v>
      </c>
      <c r="J2685" s="485">
        <f t="shared" si="2039"/>
        <v>0</v>
      </c>
      <c r="K2685" s="715">
        <f t="shared" ref="K2685" si="2042">I2685+J2685</f>
        <v>0</v>
      </c>
      <c r="L2685" s="715"/>
      <c r="M2685" s="689" t="str">
        <f t="shared" ca="1" si="2041"/>
        <v/>
      </c>
      <c r="N2685" s="690"/>
      <c r="O2685" s="486"/>
      <c r="P2685" s="486"/>
      <c r="Q2685" s="486"/>
      <c r="R2685" s="486"/>
      <c r="S2685" s="486"/>
      <c r="T2685" s="102">
        <f t="shared" si="1995"/>
        <v>0</v>
      </c>
      <c r="U2685" s="78">
        <f>IF(NOT(ISNUMBER(G2685)), "", VLOOKUP(A2685,'Discount Lookup'!D:E,2,FALSE)*G2685)</f>
        <v>0</v>
      </c>
      <c r="V2685" s="78">
        <f>IF(NOT(ISNUMBER(G2685)), "", VLOOKUP(A2685,'Discount Lookup'!G:H,2,FALSE)*G2685)</f>
        <v>0</v>
      </c>
      <c r="W2685" s="102">
        <f t="shared" si="1996"/>
        <v>0</v>
      </c>
      <c r="X2685" s="102">
        <f t="shared" si="1997"/>
        <v>0</v>
      </c>
      <c r="Y2685" s="120" t="b">
        <f t="shared" si="1998"/>
        <v>0</v>
      </c>
      <c r="Z2685" s="117">
        <f t="shared" si="1999"/>
        <v>0</v>
      </c>
      <c r="AA2685" s="118"/>
      <c r="AB2685" s="118" t="str">
        <f t="shared" si="2000"/>
        <v/>
      </c>
      <c r="AC2685" s="712" t="str">
        <f>IF(AE2685="T2G","no charge",IF(AND(OR(PlanterYesMe="No",PlanterYesMe="N",PlanterYesMe="me"),H2685=""),"",IF(H2685="credit","NO install",IF(AND(K2685="",AE2685="me"),"EACH row",IF(AND(K2685="images",AE2685="me"),"EACH row",IF(D2685="","",IF(H2685="credit","",IF(AE2685="free","re-planting",IF(AE2685="me","   not ELP, by",IF(AND(OR(PlanterYesMe="Yes",PlanterYesMe="Y"),G2685&gt;0),(VLOOKUP(A2685,'Discount Lookup'!J:K,2)*G2685*(1-PlanterDiscount)*(1+PlanterDifficultyPercentage)),IF(AE2685="ELP",(VLOOKUP(A2685,'Discount Lookup'!J:K,2)*G2685*(1-PlanterDiscount)*(1+PlanterDifficultyPercentage)),IF(AE2685="free","re-planting",IF(G2685=0,"",IF(PlanterYesMe="",IF(AE2685="me","   not ELP, by",IF(AE2685="",IF(G2685&gt;0,(VLOOKUP(A2685,'Discount Lookup'!J:K,2)*G2685*(1-PlanterDiscount)*(1+PlanterDifficultyPercentage)),""),"")),"   not ELP, by"))))))))))))))</f>
        <v/>
      </c>
      <c r="AD2685" s="712"/>
      <c r="AE2685" s="513" t="str">
        <f t="shared" si="2001"/>
        <v/>
      </c>
      <c r="AF2685" s="713" t="str">
        <f t="shared" si="2002"/>
        <v/>
      </c>
      <c r="AG2685" s="713"/>
      <c r="AH2685" s="713"/>
      <c r="AI2685" s="112">
        <f>IF(H2685="credit",0,IF(AE2685="free",0,IF(AE2685="me",0,IF(G2685&gt;0,(VLOOKUP(A2685,'Discount Lookup'!J:K,2)*G2685),0))))</f>
        <v>0</v>
      </c>
      <c r="AJ2685" s="107" t="str">
        <f t="shared" ca="1" si="2003"/>
        <v/>
      </c>
      <c r="AK2685" s="714" t="str">
        <f t="shared" si="2004"/>
        <v/>
      </c>
      <c r="AL2685" s="714"/>
      <c r="AM2685" s="114" t="str">
        <f t="shared" si="2005"/>
        <v/>
      </c>
      <c r="AN2685" s="115"/>
      <c r="AO2685" s="116"/>
      <c r="AP2685" s="116"/>
      <c r="AQ2685" s="116"/>
      <c r="AR2685" s="116"/>
      <c r="AS2685" s="116"/>
      <c r="AT2685" s="116"/>
      <c r="AU2685" s="116"/>
      <c r="AV2685" s="78"/>
      <c r="AW2685" s="102"/>
      <c r="AX2685" s="78"/>
      <c r="AY2685" s="78"/>
      <c r="AZ2685" s="78"/>
      <c r="BA2685" s="78"/>
      <c r="BB2685" s="78"/>
      <c r="BC2685" s="78"/>
      <c r="BD2685" s="78"/>
      <c r="BE2685" s="465"/>
      <c r="BF2685" s="165" t="str">
        <f t="shared" si="2006"/>
        <v>https://www.google.com/search?tbm=isch&amp;q=3%20G2</v>
      </c>
      <c r="BG2685" s="165" t="str">
        <f t="shared" si="2007"/>
        <v>L</v>
      </c>
      <c r="BH2685" s="65"/>
      <c r="BI2685" s="65"/>
      <c r="BJ2685" s="65"/>
      <c r="BK2685" s="65"/>
      <c r="BL2685" s="99"/>
      <c r="BM2685" s="99"/>
      <c r="BN2685" s="99"/>
    </row>
    <row r="2686" spans="1:66" s="51" customFormat="1" ht="15.75" x14ac:dyDescent="0.25">
      <c r="A2686" s="478">
        <v>3</v>
      </c>
      <c r="B2686" s="479" t="s">
        <v>291</v>
      </c>
      <c r="C2686" s="480" t="s">
        <v>345</v>
      </c>
      <c r="D2686" s="481" t="s">
        <v>310</v>
      </c>
      <c r="E2686" s="482">
        <v>33.950000000000003</v>
      </c>
      <c r="F2686" s="483" t="s">
        <v>292</v>
      </c>
      <c r="G2686" s="484">
        <v>0</v>
      </c>
      <c r="H2686" s="688" t="str">
        <f t="shared" si="2037"/>
        <v/>
      </c>
      <c r="I2686" s="485">
        <f t="shared" si="2038"/>
        <v>0</v>
      </c>
      <c r="J2686" s="485">
        <f t="shared" si="2039"/>
        <v>0</v>
      </c>
      <c r="K2686" s="715">
        <f t="shared" ref="K2686" si="2043">I2686+J2686</f>
        <v>0</v>
      </c>
      <c r="L2686" s="715"/>
      <c r="M2686" s="689" t="str">
        <f t="shared" ca="1" si="2041"/>
        <v/>
      </c>
      <c r="N2686" s="690"/>
      <c r="O2686" s="486"/>
      <c r="P2686" s="486"/>
      <c r="Q2686" s="486"/>
      <c r="R2686" s="486"/>
      <c r="S2686" s="486"/>
      <c r="T2686" s="102">
        <f t="shared" si="1995"/>
        <v>0</v>
      </c>
      <c r="U2686" s="78">
        <f>IF(NOT(ISNUMBER(G2686)), "", VLOOKUP(A2686,'Discount Lookup'!D:E,2,FALSE)*G2686)</f>
        <v>0</v>
      </c>
      <c r="V2686" s="78">
        <f>IF(NOT(ISNUMBER(G2686)), "", VLOOKUP(A2686,'Discount Lookup'!G:H,2,FALSE)*G2686)</f>
        <v>0</v>
      </c>
      <c r="W2686" s="102">
        <f t="shared" si="1996"/>
        <v>0</v>
      </c>
      <c r="X2686" s="102">
        <f t="shared" si="1997"/>
        <v>0</v>
      </c>
      <c r="Y2686" s="120" t="b">
        <f t="shared" si="1998"/>
        <v>0</v>
      </c>
      <c r="Z2686" s="117">
        <f t="shared" si="1999"/>
        <v>0</v>
      </c>
      <c r="AA2686" s="118"/>
      <c r="AB2686" s="118" t="str">
        <f t="shared" si="2000"/>
        <v/>
      </c>
      <c r="AC2686" s="712" t="str">
        <f>IF(AE2686="T2G","no charge",IF(AND(OR(PlanterYesMe="No",PlanterYesMe="N",PlanterYesMe="me"),H2686=""),"",IF(H2686="credit","NO install",IF(AND(K2686="",AE2686="me"),"EACH row",IF(AND(K2686="images",AE2686="me"),"EACH row",IF(D2686="","",IF(H2686="credit","",IF(AE2686="free","re-planting",IF(AE2686="me","   not ELP, by",IF(AND(OR(PlanterYesMe="Yes",PlanterYesMe="Y"),G2686&gt;0),(VLOOKUP(A2686,'Discount Lookup'!J:K,2)*G2686*(1-PlanterDiscount)*(1+PlanterDifficultyPercentage)),IF(AE2686="ELP",(VLOOKUP(A2686,'Discount Lookup'!J:K,2)*G2686*(1-PlanterDiscount)*(1+PlanterDifficultyPercentage)),IF(AE2686="free","re-planting",IF(G2686=0,"",IF(PlanterYesMe="",IF(AE2686="me","   not ELP, by",IF(AE2686="",IF(G2686&gt;0,(VLOOKUP(A2686,'Discount Lookup'!J:K,2)*G2686*(1-PlanterDiscount)*(1+PlanterDifficultyPercentage)),""),"")),"   not ELP, by"))))))))))))))</f>
        <v/>
      </c>
      <c r="AD2686" s="712"/>
      <c r="AE2686" s="513" t="str">
        <f t="shared" si="2001"/>
        <v/>
      </c>
      <c r="AF2686" s="713" t="str">
        <f t="shared" si="2002"/>
        <v/>
      </c>
      <c r="AG2686" s="713"/>
      <c r="AH2686" s="713"/>
      <c r="AI2686" s="112">
        <f>IF(H2686="credit",0,IF(AE2686="free",0,IF(AE2686="me",0,IF(G2686&gt;0,(VLOOKUP(A2686,'Discount Lookup'!J:K,2)*G2686),0))))</f>
        <v>0</v>
      </c>
      <c r="AJ2686" s="107" t="str">
        <f t="shared" ca="1" si="2003"/>
        <v/>
      </c>
      <c r="AK2686" s="714" t="str">
        <f t="shared" si="2004"/>
        <v/>
      </c>
      <c r="AL2686" s="714"/>
      <c r="AM2686" s="114" t="str">
        <f t="shared" si="2005"/>
        <v/>
      </c>
      <c r="AN2686" s="115"/>
      <c r="AO2686" s="116"/>
      <c r="AP2686" s="116"/>
      <c r="AQ2686" s="116"/>
      <c r="AR2686" s="116"/>
      <c r="AS2686" s="116"/>
      <c r="AT2686" s="116"/>
      <c r="AU2686" s="116"/>
      <c r="AV2686" s="78"/>
      <c r="AW2686" s="102"/>
      <c r="AX2686" s="78"/>
      <c r="AY2686" s="78"/>
      <c r="AZ2686" s="78"/>
      <c r="BA2686" s="78"/>
      <c r="BB2686" s="78"/>
      <c r="BC2686" s="78"/>
      <c r="BD2686" s="78"/>
      <c r="BE2686" s="465"/>
      <c r="BF2686" s="165" t="str">
        <f t="shared" si="2006"/>
        <v>https://www.google.com/search?tbm=isch&amp;q=3%20G1</v>
      </c>
      <c r="BG2686" s="165" t="str">
        <f t="shared" si="2007"/>
        <v>L</v>
      </c>
      <c r="BH2686" s="65"/>
      <c r="BI2686" s="65"/>
      <c r="BJ2686" s="65"/>
      <c r="BK2686" s="65"/>
      <c r="BL2686" s="99"/>
      <c r="BM2686" s="99"/>
      <c r="BN2686" s="99"/>
    </row>
    <row r="2687" spans="1:66" s="51" customFormat="1" ht="15.75" x14ac:dyDescent="0.25">
      <c r="A2687" s="478">
        <v>3</v>
      </c>
      <c r="B2687" s="479" t="s">
        <v>291</v>
      </c>
      <c r="C2687" s="480" t="s">
        <v>3351</v>
      </c>
      <c r="D2687" s="481" t="s">
        <v>311</v>
      </c>
      <c r="E2687" s="482">
        <v>35.950000000000003</v>
      </c>
      <c r="F2687" s="483" t="s">
        <v>292</v>
      </c>
      <c r="G2687" s="484">
        <v>0</v>
      </c>
      <c r="H2687" s="688" t="str">
        <f t="shared" si="2037"/>
        <v/>
      </c>
      <c r="I2687" s="485">
        <f t="shared" si="2038"/>
        <v>0</v>
      </c>
      <c r="J2687" s="485">
        <f t="shared" si="2039"/>
        <v>0</v>
      </c>
      <c r="K2687" s="715">
        <f t="shared" ref="K2687" si="2044">I2687+J2687</f>
        <v>0</v>
      </c>
      <c r="L2687" s="715"/>
      <c r="M2687" s="689" t="str">
        <f t="shared" ca="1" si="2041"/>
        <v/>
      </c>
      <c r="N2687" s="690"/>
      <c r="O2687" s="486"/>
      <c r="P2687" s="486"/>
      <c r="Q2687" s="486"/>
      <c r="R2687" s="486"/>
      <c r="S2687" s="486"/>
      <c r="T2687" s="102">
        <f t="shared" si="1995"/>
        <v>0</v>
      </c>
      <c r="U2687" s="78">
        <f>IF(NOT(ISNUMBER(G2687)), "", VLOOKUP(A2687,'Discount Lookup'!D:E,2,FALSE)*G2687)</f>
        <v>0</v>
      </c>
      <c r="V2687" s="78">
        <f>IF(NOT(ISNUMBER(G2687)), "", VLOOKUP(A2687,'Discount Lookup'!G:H,2,FALSE)*G2687)</f>
        <v>0</v>
      </c>
      <c r="W2687" s="102">
        <f t="shared" si="1996"/>
        <v>0</v>
      </c>
      <c r="X2687" s="102">
        <f t="shared" si="1997"/>
        <v>0</v>
      </c>
      <c r="Y2687" s="120" t="b">
        <f t="shared" si="1998"/>
        <v>0</v>
      </c>
      <c r="Z2687" s="117">
        <f t="shared" si="1999"/>
        <v>0</v>
      </c>
      <c r="AA2687" s="118"/>
      <c r="AB2687" s="118" t="str">
        <f t="shared" si="2000"/>
        <v/>
      </c>
      <c r="AC2687" s="712" t="str">
        <f>IF(AE2687="T2G","no charge",IF(AND(OR(PlanterYesMe="No",PlanterYesMe="N",PlanterYesMe="me"),H2687=""),"",IF(H2687="credit","NO install",IF(AND(K2687="",AE2687="me"),"EACH row",IF(AND(K2687="images",AE2687="me"),"EACH row",IF(D2687="","",IF(H2687="credit","",IF(AE2687="free","re-planting",IF(AE2687="me","   not ELP, by",IF(AND(OR(PlanterYesMe="Yes",PlanterYesMe="Y"),G2687&gt;0),(VLOOKUP(A2687,'Discount Lookup'!J:K,2)*G2687*(1-PlanterDiscount)*(1+PlanterDifficultyPercentage)),IF(AE2687="ELP",(VLOOKUP(A2687,'Discount Lookup'!J:K,2)*G2687*(1-PlanterDiscount)*(1+PlanterDifficultyPercentage)),IF(AE2687="free","re-planting",IF(G2687=0,"",IF(PlanterYesMe="",IF(AE2687="me","   not ELP, by",IF(AE2687="",IF(G2687&gt;0,(VLOOKUP(A2687,'Discount Lookup'!J:K,2)*G2687*(1-PlanterDiscount)*(1+PlanterDifficultyPercentage)),""),"")),"   not ELP, by"))))))))))))))</f>
        <v/>
      </c>
      <c r="AD2687" s="712"/>
      <c r="AE2687" s="513" t="str">
        <f t="shared" si="2001"/>
        <v/>
      </c>
      <c r="AF2687" s="713" t="str">
        <f t="shared" si="2002"/>
        <v/>
      </c>
      <c r="AG2687" s="713"/>
      <c r="AH2687" s="713"/>
      <c r="AI2687" s="112">
        <f>IF(H2687="credit",0,IF(AE2687="free",0,IF(AE2687="me",0,IF(G2687&gt;0,(VLOOKUP(A2687,'Discount Lookup'!J:K,2)*G2687),0))))</f>
        <v>0</v>
      </c>
      <c r="AJ2687" s="107" t="str">
        <f t="shared" ca="1" si="2003"/>
        <v/>
      </c>
      <c r="AK2687" s="714" t="str">
        <f t="shared" si="2004"/>
        <v/>
      </c>
      <c r="AL2687" s="714"/>
      <c r="AM2687" s="114" t="str">
        <f t="shared" si="2005"/>
        <v/>
      </c>
      <c r="AN2687" s="115"/>
      <c r="AO2687" s="116"/>
      <c r="AP2687" s="116"/>
      <c r="AQ2687" s="116"/>
      <c r="AR2687" s="116"/>
      <c r="AS2687" s="116"/>
      <c r="AT2687" s="116"/>
      <c r="AU2687" s="116"/>
      <c r="AV2687" s="78"/>
      <c r="AW2687" s="102"/>
      <c r="AX2687" s="78"/>
      <c r="AY2687" s="78"/>
      <c r="AZ2687" s="78"/>
      <c r="BA2687" s="78"/>
      <c r="BB2687" s="78"/>
      <c r="BC2687" s="78"/>
      <c r="BD2687" s="78"/>
      <c r="BE2687" s="465"/>
      <c r="BF2687" s="165" t="str">
        <f t="shared" si="2006"/>
        <v>https://www.google.com/search?tbm=isch&amp;q=3%20G5</v>
      </c>
      <c r="BG2687" s="165" t="str">
        <f t="shared" si="2007"/>
        <v>L</v>
      </c>
      <c r="BH2687" s="65"/>
      <c r="BI2687" s="65"/>
      <c r="BJ2687" s="65"/>
      <c r="BK2687" s="65"/>
      <c r="BL2687" s="99"/>
      <c r="BM2687" s="99"/>
      <c r="BN2687" s="99"/>
    </row>
    <row r="2688" spans="1:66" s="51" customFormat="1" ht="15.75" x14ac:dyDescent="0.25">
      <c r="A2688" s="478">
        <v>7</v>
      </c>
      <c r="B2688" s="479" t="s">
        <v>291</v>
      </c>
      <c r="C2688" s="480" t="s">
        <v>518</v>
      </c>
      <c r="D2688" s="481" t="s">
        <v>311</v>
      </c>
      <c r="E2688" s="482">
        <v>79.95</v>
      </c>
      <c r="F2688" s="483" t="s">
        <v>292</v>
      </c>
      <c r="G2688" s="484">
        <v>0</v>
      </c>
      <c r="H2688" s="688" t="str">
        <f t="shared" si="2037"/>
        <v/>
      </c>
      <c r="I2688" s="485">
        <f t="shared" si="2038"/>
        <v>0</v>
      </c>
      <c r="J2688" s="485">
        <f t="shared" si="2039"/>
        <v>0</v>
      </c>
      <c r="K2688" s="715">
        <f t="shared" ref="K2688" si="2045">I2688+J2688</f>
        <v>0</v>
      </c>
      <c r="L2688" s="715"/>
      <c r="M2688" s="689" t="str">
        <f t="shared" ca="1" si="2041"/>
        <v/>
      </c>
      <c r="N2688" s="690"/>
      <c r="O2688" s="486"/>
      <c r="P2688" s="486"/>
      <c r="Q2688" s="486"/>
      <c r="R2688" s="486"/>
      <c r="S2688" s="486"/>
      <c r="T2688" s="102">
        <f t="shared" si="1995"/>
        <v>0</v>
      </c>
      <c r="U2688" s="78">
        <f>IF(NOT(ISNUMBER(G2688)), "", VLOOKUP(A2688,'Discount Lookup'!D:E,2,FALSE)*G2688)</f>
        <v>0</v>
      </c>
      <c r="V2688" s="78">
        <f>IF(NOT(ISNUMBER(G2688)), "", VLOOKUP(A2688,'Discount Lookup'!G:H,2,FALSE)*G2688)</f>
        <v>0</v>
      </c>
      <c r="W2688" s="102">
        <f t="shared" si="1996"/>
        <v>0</v>
      </c>
      <c r="X2688" s="102">
        <f t="shared" si="1997"/>
        <v>0</v>
      </c>
      <c r="Y2688" s="120" t="b">
        <f t="shared" si="1998"/>
        <v>0</v>
      </c>
      <c r="Z2688" s="117">
        <f t="shared" si="1999"/>
        <v>0</v>
      </c>
      <c r="AA2688" s="118"/>
      <c r="AB2688" s="118" t="str">
        <f t="shared" si="2000"/>
        <v/>
      </c>
      <c r="AC2688" s="712" t="str">
        <f>IF(AE2688="T2G","no charge",IF(AND(OR(PlanterYesMe="No",PlanterYesMe="N",PlanterYesMe="me"),H2688=""),"",IF(H2688="credit","NO install",IF(AND(K2688="",AE2688="me"),"EACH row",IF(AND(K2688="images",AE2688="me"),"EACH row",IF(D2688="","",IF(H2688="credit","",IF(AE2688="free","re-planting",IF(AE2688="me","   not ELP, by",IF(AND(OR(PlanterYesMe="Yes",PlanterYesMe="Y"),G2688&gt;0),(VLOOKUP(A2688,'Discount Lookup'!J:K,2)*G2688*(1-PlanterDiscount)*(1+PlanterDifficultyPercentage)),IF(AE2688="ELP",(VLOOKUP(A2688,'Discount Lookup'!J:K,2)*G2688*(1-PlanterDiscount)*(1+PlanterDifficultyPercentage)),IF(AE2688="free","re-planting",IF(G2688=0,"",IF(PlanterYesMe="",IF(AE2688="me","   not ELP, by",IF(AE2688="",IF(G2688&gt;0,(VLOOKUP(A2688,'Discount Lookup'!J:K,2)*G2688*(1-PlanterDiscount)*(1+PlanterDifficultyPercentage)),""),"")),"   not ELP, by"))))))))))))))</f>
        <v/>
      </c>
      <c r="AD2688" s="712"/>
      <c r="AE2688" s="513" t="str">
        <f t="shared" si="2001"/>
        <v/>
      </c>
      <c r="AF2688" s="713" t="str">
        <f t="shared" si="2002"/>
        <v/>
      </c>
      <c r="AG2688" s="713"/>
      <c r="AH2688" s="713"/>
      <c r="AI2688" s="112">
        <f>IF(H2688="credit",0,IF(AE2688="free",0,IF(AE2688="me",0,IF(G2688&gt;0,(VLOOKUP(A2688,'Discount Lookup'!J:K,2)*G2688),0))))</f>
        <v>0</v>
      </c>
      <c r="AJ2688" s="107" t="str">
        <f t="shared" ca="1" si="2003"/>
        <v/>
      </c>
      <c r="AK2688" s="714" t="str">
        <f t="shared" si="2004"/>
        <v/>
      </c>
      <c r="AL2688" s="714"/>
      <c r="AM2688" s="114" t="str">
        <f t="shared" si="2005"/>
        <v/>
      </c>
      <c r="AN2688" s="115"/>
      <c r="AO2688" s="116"/>
      <c r="AP2688" s="116"/>
      <c r="AQ2688" s="116"/>
      <c r="AR2688" s="116"/>
      <c r="AS2688" s="116"/>
      <c r="AT2688" s="116"/>
      <c r="AU2688" s="116"/>
      <c r="AV2688" s="78"/>
      <c r="AW2688" s="102"/>
      <c r="AX2688" s="78"/>
      <c r="AY2688" s="78"/>
      <c r="AZ2688" s="78"/>
      <c r="BA2688" s="78"/>
      <c r="BB2688" s="78"/>
      <c r="BC2688" s="78"/>
      <c r="BD2688" s="78"/>
      <c r="BE2688" s="465"/>
      <c r="BF2688" s="165" t="str">
        <f t="shared" si="2006"/>
        <v>https://www.google.com/search?tbm=isch&amp;q=7%20G5</v>
      </c>
      <c r="BG2688" s="165" t="str">
        <f t="shared" si="2007"/>
        <v>L</v>
      </c>
      <c r="BH2688" s="65"/>
      <c r="BI2688" s="65"/>
      <c r="BJ2688" s="65"/>
      <c r="BK2688" s="65"/>
      <c r="BL2688" s="99"/>
      <c r="BM2688" s="99"/>
      <c r="BN2688" s="99"/>
    </row>
    <row r="2689" spans="1:66" s="51" customFormat="1" ht="15.75" x14ac:dyDescent="0.25">
      <c r="A2689" s="478">
        <v>7</v>
      </c>
      <c r="B2689" s="479" t="s">
        <v>291</v>
      </c>
      <c r="C2689" s="480" t="s">
        <v>3352</v>
      </c>
      <c r="D2689" s="481" t="s">
        <v>311</v>
      </c>
      <c r="E2689" s="482">
        <v>125.95</v>
      </c>
      <c r="F2689" s="483" t="s">
        <v>292</v>
      </c>
      <c r="G2689" s="484">
        <v>0</v>
      </c>
      <c r="H2689" s="688" t="str">
        <f t="shared" si="2037"/>
        <v/>
      </c>
      <c r="I2689" s="485">
        <f t="shared" si="2038"/>
        <v>0</v>
      </c>
      <c r="J2689" s="485">
        <f t="shared" si="2039"/>
        <v>0</v>
      </c>
      <c r="K2689" s="715">
        <f t="shared" ref="K2689" si="2046">I2689+J2689</f>
        <v>0</v>
      </c>
      <c r="L2689" s="715"/>
      <c r="M2689" s="689" t="str">
        <f t="shared" ca="1" si="2041"/>
        <v/>
      </c>
      <c r="N2689" s="690"/>
      <c r="O2689" s="486"/>
      <c r="P2689" s="486"/>
      <c r="Q2689" s="486"/>
      <c r="R2689" s="486"/>
      <c r="S2689" s="486"/>
      <c r="T2689" s="102">
        <f t="shared" si="1995"/>
        <v>0</v>
      </c>
      <c r="U2689" s="78">
        <f>IF(NOT(ISNUMBER(G2689)), "", VLOOKUP(A2689,'Discount Lookup'!D:E,2,FALSE)*G2689)</f>
        <v>0</v>
      </c>
      <c r="V2689" s="78">
        <f>IF(NOT(ISNUMBER(G2689)), "", VLOOKUP(A2689,'Discount Lookup'!G:H,2,FALSE)*G2689)</f>
        <v>0</v>
      </c>
      <c r="W2689" s="102">
        <f t="shared" si="1996"/>
        <v>0</v>
      </c>
      <c r="X2689" s="102">
        <f t="shared" si="1997"/>
        <v>0</v>
      </c>
      <c r="Y2689" s="120" t="b">
        <f t="shared" si="1998"/>
        <v>0</v>
      </c>
      <c r="Z2689" s="117">
        <f t="shared" si="1999"/>
        <v>0</v>
      </c>
      <c r="AA2689" s="118"/>
      <c r="AB2689" s="118" t="str">
        <f t="shared" si="2000"/>
        <v/>
      </c>
      <c r="AC2689" s="712" t="str">
        <f>IF(AE2689="T2G","no charge",IF(AND(OR(PlanterYesMe="No",PlanterYesMe="N",PlanterYesMe="me"),H2689=""),"",IF(H2689="credit","NO install",IF(AND(K2689="",AE2689="me"),"EACH row",IF(AND(K2689="images",AE2689="me"),"EACH row",IF(D2689="","",IF(H2689="credit","",IF(AE2689="free","re-planting",IF(AE2689="me","   not ELP, by",IF(AND(OR(PlanterYesMe="Yes",PlanterYesMe="Y"),G2689&gt;0),(VLOOKUP(A2689,'Discount Lookup'!J:K,2)*G2689*(1-PlanterDiscount)*(1+PlanterDifficultyPercentage)),IF(AE2689="ELP",(VLOOKUP(A2689,'Discount Lookup'!J:K,2)*G2689*(1-PlanterDiscount)*(1+PlanterDifficultyPercentage)),IF(AE2689="free","re-planting",IF(G2689=0,"",IF(PlanterYesMe="",IF(AE2689="me","   not ELP, by",IF(AE2689="",IF(G2689&gt;0,(VLOOKUP(A2689,'Discount Lookup'!J:K,2)*G2689*(1-PlanterDiscount)*(1+PlanterDifficultyPercentage)),""),"")),"   not ELP, by"))))))))))))))</f>
        <v/>
      </c>
      <c r="AD2689" s="712"/>
      <c r="AE2689" s="513" t="str">
        <f t="shared" si="2001"/>
        <v/>
      </c>
      <c r="AF2689" s="713" t="str">
        <f t="shared" si="2002"/>
        <v/>
      </c>
      <c r="AG2689" s="713"/>
      <c r="AH2689" s="713"/>
      <c r="AI2689" s="112">
        <f>IF(H2689="credit",0,IF(AE2689="free",0,IF(AE2689="me",0,IF(G2689&gt;0,(VLOOKUP(A2689,'Discount Lookup'!J:K,2)*G2689),0))))</f>
        <v>0</v>
      </c>
      <c r="AJ2689" s="107" t="str">
        <f t="shared" ca="1" si="2003"/>
        <v/>
      </c>
      <c r="AK2689" s="714" t="str">
        <f t="shared" si="2004"/>
        <v/>
      </c>
      <c r="AL2689" s="714"/>
      <c r="AM2689" s="114" t="str">
        <f t="shared" si="2005"/>
        <v/>
      </c>
      <c r="AN2689" s="115"/>
      <c r="AO2689" s="116"/>
      <c r="AP2689" s="116"/>
      <c r="AQ2689" s="116"/>
      <c r="AR2689" s="116"/>
      <c r="AS2689" s="116"/>
      <c r="AT2689" s="116"/>
      <c r="AU2689" s="116"/>
      <c r="AV2689" s="78"/>
      <c r="AW2689" s="102"/>
      <c r="AX2689" s="78"/>
      <c r="AY2689" s="78"/>
      <c r="AZ2689" s="78"/>
      <c r="BA2689" s="78"/>
      <c r="BB2689" s="78"/>
      <c r="BC2689" s="78"/>
      <c r="BD2689" s="78"/>
      <c r="BE2689" s="465"/>
      <c r="BF2689" s="165" t="str">
        <f t="shared" si="2006"/>
        <v>https://www.google.com/search?tbm=isch&amp;q=7%20G5</v>
      </c>
      <c r="BG2689" s="165" t="str">
        <f t="shared" si="2007"/>
        <v>L</v>
      </c>
      <c r="BH2689" s="65"/>
      <c r="BI2689" s="65"/>
      <c r="BJ2689" s="65"/>
      <c r="BK2689" s="65"/>
      <c r="BL2689" s="99"/>
      <c r="BM2689" s="99"/>
      <c r="BN2689" s="99"/>
    </row>
    <row r="2690" spans="1:66" s="51" customFormat="1" ht="15.75" x14ac:dyDescent="0.25">
      <c r="A2690" s="508" t="s">
        <v>3353</v>
      </c>
      <c r="B2690" s="487"/>
      <c r="C2690" s="707"/>
      <c r="D2690" s="487"/>
      <c r="E2690" s="487"/>
      <c r="F2690" s="488"/>
      <c r="G2690" s="489"/>
      <c r="H2690" s="487"/>
      <c r="I2690" s="490"/>
      <c r="J2690" s="490"/>
      <c r="K2690" s="491"/>
      <c r="L2690" s="547"/>
      <c r="M2690" s="528"/>
      <c r="N2690" s="492"/>
      <c r="O2690" s="493"/>
      <c r="P2690" s="494"/>
      <c r="Q2690" s="492"/>
      <c r="R2690" s="492"/>
      <c r="S2690" s="495"/>
      <c r="T2690" s="102">
        <f t="shared" si="1995"/>
        <v>0</v>
      </c>
      <c r="U2690" s="78" t="str">
        <f>IF(NOT(ISNUMBER(G2690)), "", VLOOKUP(A2690,'Discount Lookup'!D:E,2,FALSE)*G2690)</f>
        <v/>
      </c>
      <c r="V2690" s="78" t="str">
        <f>IF(NOT(ISNUMBER(G2690)), "", VLOOKUP(A2690,'Discount Lookup'!G:H,2,FALSE)*G2690)</f>
        <v/>
      </c>
      <c r="W2690" s="102">
        <f t="shared" si="1996"/>
        <v>0</v>
      </c>
      <c r="X2690" s="102">
        <f t="shared" si="1997"/>
        <v>0</v>
      </c>
      <c r="Y2690" s="120" t="b">
        <f t="shared" si="1998"/>
        <v>0</v>
      </c>
      <c r="Z2690" s="117">
        <f t="shared" si="1999"/>
        <v>0</v>
      </c>
      <c r="AA2690" s="118"/>
      <c r="AB2690" s="118" t="str">
        <f t="shared" si="2000"/>
        <v/>
      </c>
      <c r="AC2690" s="712" t="str">
        <f>IF(AE2690="T2G","no charge",IF(AND(OR(PlanterYesMe="No",PlanterYesMe="N",PlanterYesMe="me"),H2690=""),"",IF(H2690="credit","NO install",IF(AND(K2690="",AE2690="me"),"EACH row",IF(AND(K2690="images",AE2690="me"),"EACH row",IF(D2690="","",IF(H2690="credit","",IF(AE2690="free","re-planting",IF(AE2690="me","   not ELP, by",IF(AND(OR(PlanterYesMe="Yes",PlanterYesMe="Y"),G2690&gt;0),(VLOOKUP(A2690,'Discount Lookup'!J:K,2)*G2690*(1-PlanterDiscount)*(1+PlanterDifficultyPercentage)),IF(AE2690="ELP",(VLOOKUP(A2690,'Discount Lookup'!J:K,2)*G2690*(1-PlanterDiscount)*(1+PlanterDifficultyPercentage)),IF(AE2690="free","re-planting",IF(G2690=0,"",IF(PlanterYesMe="",IF(AE2690="me","   not ELP, by",IF(AE2690="",IF(G2690&gt;0,(VLOOKUP(A2690,'Discount Lookup'!J:K,2)*G2690*(1-PlanterDiscount)*(1+PlanterDifficultyPercentage)),""),"")),"   not ELP, by"))))))))))))))</f>
        <v/>
      </c>
      <c r="AD2690" s="712"/>
      <c r="AE2690" s="513" t="str">
        <f t="shared" si="2001"/>
        <v/>
      </c>
      <c r="AF2690" s="713" t="str">
        <f t="shared" si="2002"/>
        <v/>
      </c>
      <c r="AG2690" s="713"/>
      <c r="AH2690" s="713"/>
      <c r="AI2690" s="112">
        <f>IF(H2690="credit",0,IF(AE2690="free",0,IF(AE2690="me",0,IF(G2690&gt;0,(VLOOKUP(A2690,'Discount Lookup'!J:K,2)*G2690),0))))</f>
        <v>0</v>
      </c>
      <c r="AJ2690" s="107" t="str">
        <f t="shared" ca="1" si="2003"/>
        <v/>
      </c>
      <c r="AK2690" s="714" t="str">
        <f t="shared" si="2004"/>
        <v/>
      </c>
      <c r="AL2690" s="714"/>
      <c r="AM2690" s="114" t="str">
        <f t="shared" si="2005"/>
        <v/>
      </c>
      <c r="AN2690" s="115"/>
      <c r="AO2690" s="116"/>
      <c r="AP2690" s="116"/>
      <c r="AQ2690" s="116"/>
      <c r="AR2690" s="116"/>
      <c r="AS2690" s="116"/>
      <c r="AT2690" s="116"/>
      <c r="AU2690" s="116"/>
      <c r="AV2690" s="78"/>
      <c r="AW2690" s="102"/>
      <c r="AX2690" s="78"/>
      <c r="AY2690" s="78"/>
      <c r="AZ2690" s="78"/>
      <c r="BA2690" s="78"/>
      <c r="BB2690" s="78"/>
      <c r="BC2690" s="78"/>
      <c r="BD2690" s="78"/>
      <c r="BE2690" s="465"/>
      <c r="BF2690" s="165" t="str">
        <f t="shared" si="2006"/>
        <v>https://www.google.com/search?tbm=isch&amp;q=Sunshine%20looks%20great%20against%20black%20fences.%20Blue%2Fblack%20berries%20are%20relished%20by%20birds.%20May%20defoliate%20in%20cold%20winters%20</v>
      </c>
      <c r="BG2690" s="165" t="str">
        <f t="shared" si="2007"/>
        <v>S</v>
      </c>
      <c r="BH2690" s="65"/>
      <c r="BI2690" s="65"/>
      <c r="BJ2690" s="65"/>
      <c r="BK2690" s="65"/>
      <c r="BL2690" s="99"/>
      <c r="BM2690" s="99"/>
      <c r="BN2690" s="99"/>
    </row>
    <row r="2691" spans="1:66" s="51" customFormat="1" ht="19.5" thickBot="1" x14ac:dyDescent="0.3">
      <c r="A2691" s="686" t="s">
        <v>589</v>
      </c>
      <c r="B2691" s="73"/>
      <c r="C2691" s="708"/>
      <c r="D2691" s="73"/>
      <c r="E2691" s="73"/>
      <c r="F2691" s="496"/>
      <c r="G2691" s="73"/>
      <c r="H2691" s="73"/>
      <c r="I2691" s="73"/>
      <c r="J2691" s="497" t="s">
        <v>357</v>
      </c>
      <c r="K2691" s="498"/>
      <c r="L2691" s="562"/>
      <c r="M2691" s="73"/>
      <c r="N2691"/>
      <c r="O2691"/>
      <c r="P2691"/>
      <c r="Q2691"/>
      <c r="R2691"/>
      <c r="S2691"/>
      <c r="T2691" s="102">
        <f t="shared" si="1995"/>
        <v>0</v>
      </c>
      <c r="U2691" s="78" t="str">
        <f>IF(NOT(ISNUMBER(G2691)), "", VLOOKUP(A2691,'Discount Lookup'!D:E,2,FALSE)*G2691)</f>
        <v/>
      </c>
      <c r="V2691" s="78" t="str">
        <f>IF(NOT(ISNUMBER(G2691)), "", VLOOKUP(A2691,'Discount Lookup'!G:H,2,FALSE)*G2691)</f>
        <v/>
      </c>
      <c r="W2691" s="102">
        <f t="shared" si="1996"/>
        <v>0</v>
      </c>
      <c r="X2691" s="102">
        <f t="shared" si="1997"/>
        <v>0</v>
      </c>
      <c r="Y2691" s="120" t="b">
        <f t="shared" si="1998"/>
        <v>0</v>
      </c>
      <c r="Z2691" s="117">
        <f t="shared" si="1999"/>
        <v>0</v>
      </c>
      <c r="AA2691" s="118"/>
      <c r="AB2691" s="118" t="str">
        <f t="shared" si="2000"/>
        <v/>
      </c>
      <c r="AC2691" s="712" t="str">
        <f>IF(AE2691="T2G","no charge",IF(AND(OR(PlanterYesMe="No",PlanterYesMe="N",PlanterYesMe="me"),H2691=""),"",IF(H2691="credit","NO install",IF(AND(K2691="",AE2691="me"),"EACH row",IF(AND(K2691="images",AE2691="me"),"EACH row",IF(D2691="","",IF(H2691="credit","",IF(AE2691="free","re-planting",IF(AE2691="me","   not ELP, by",IF(AND(OR(PlanterYesMe="Yes",PlanterYesMe="Y"),G2691&gt;0),(VLOOKUP(A2691,'Discount Lookup'!J:K,2)*G2691*(1-PlanterDiscount)*(1+PlanterDifficultyPercentage)),IF(AE2691="ELP",(VLOOKUP(A2691,'Discount Lookup'!J:K,2)*G2691*(1-PlanterDiscount)*(1+PlanterDifficultyPercentage)),IF(AE2691="free","re-planting",IF(G2691=0,"",IF(PlanterYesMe="",IF(AE2691="me","   not ELP, by",IF(AE2691="",IF(G2691&gt;0,(VLOOKUP(A2691,'Discount Lookup'!J:K,2)*G2691*(1-PlanterDiscount)*(1+PlanterDifficultyPercentage)),""),"")),"   not ELP, by"))))))))))))))</f>
        <v/>
      </c>
      <c r="AD2691" s="712"/>
      <c r="AE2691" s="513" t="str">
        <f t="shared" si="2001"/>
        <v/>
      </c>
      <c r="AF2691" s="713" t="str">
        <f t="shared" si="2002"/>
        <v/>
      </c>
      <c r="AG2691" s="713"/>
      <c r="AH2691" s="713"/>
      <c r="AI2691" s="112">
        <f>IF(H2691="credit",0,IF(AE2691="free",0,IF(AE2691="me",0,IF(G2691&gt;0,(VLOOKUP(A2691,'Discount Lookup'!J:K,2)*G2691),0))))</f>
        <v>0</v>
      </c>
      <c r="AJ2691" s="107" t="str">
        <f t="shared" ca="1" si="2003"/>
        <v/>
      </c>
      <c r="AK2691" s="714" t="str">
        <f t="shared" si="2004"/>
        <v/>
      </c>
      <c r="AL2691" s="714"/>
      <c r="AM2691" s="114" t="str">
        <f t="shared" si="2005"/>
        <v/>
      </c>
      <c r="AN2691" s="115"/>
      <c r="AO2691" s="116"/>
      <c r="AP2691" s="116"/>
      <c r="AQ2691" s="116"/>
      <c r="AR2691" s="116"/>
      <c r="AS2691" s="116"/>
      <c r="AT2691" s="116"/>
      <c r="AU2691" s="116"/>
      <c r="AV2691" s="78"/>
      <c r="AW2691" s="102"/>
      <c r="AX2691" s="78"/>
      <c r="AY2691" s="78"/>
      <c r="AZ2691" s="78"/>
      <c r="BA2691" s="78"/>
      <c r="BB2691" s="78"/>
      <c r="BC2691" s="78"/>
      <c r="BD2691" s="78"/>
      <c r="BE2691" s="465"/>
      <c r="BF2691" s="165" t="str">
        <f t="shared" si="2006"/>
        <v>https://www.google.com/search?tbm=isch&amp;q=Liquidambar%20%3D%20Sweetgum%20</v>
      </c>
      <c r="BG2691" s="165" t="str">
        <f t="shared" si="2007"/>
        <v>L</v>
      </c>
      <c r="BH2691" s="65"/>
      <c r="BI2691" s="65"/>
      <c r="BJ2691" s="65"/>
      <c r="BK2691" s="65"/>
      <c r="BL2691" s="99"/>
      <c r="BM2691" s="99"/>
      <c r="BN2691" s="99"/>
    </row>
    <row r="2692" spans="1:66" s="51" customFormat="1" ht="18" x14ac:dyDescent="0.25">
      <c r="A2692" s="623" t="s">
        <v>3354</v>
      </c>
      <c r="B2692" s="624"/>
      <c r="C2692" s="709"/>
      <c r="D2692" s="625" t="s">
        <v>3355</v>
      </c>
      <c r="E2692" s="626"/>
      <c r="F2692" s="626"/>
      <c r="G2692" s="626"/>
      <c r="H2692" s="622" t="s">
        <v>3356</v>
      </c>
      <c r="I2692" s="627" t="s">
        <v>432</v>
      </c>
      <c r="J2692" s="628"/>
      <c r="K2692" s="628"/>
      <c r="L2692" s="629"/>
      <c r="M2692" s="700" t="s">
        <v>5241</v>
      </c>
      <c r="N2692" s="693" t="str">
        <f>IF(AND(ISTEXT($A2692), ISERROR($A2692+0)), HYPERLINK($BF2692, "Images"), "")</f>
        <v>Images</v>
      </c>
      <c r="O2692" s="695" t="s">
        <v>5247</v>
      </c>
      <c r="P2692" s="630"/>
      <c r="Q2692" s="631"/>
      <c r="R2692" s="632"/>
      <c r="S2692" s="633" t="s">
        <v>294</v>
      </c>
      <c r="T2692" s="102">
        <f t="shared" si="1995"/>
        <v>0</v>
      </c>
      <c r="U2692" s="78" t="str">
        <f>IF(NOT(ISNUMBER(G2692)), "", VLOOKUP(A2692,'Discount Lookup'!D:E,2,FALSE)*G2692)</f>
        <v/>
      </c>
      <c r="V2692" s="78" t="str">
        <f>IF(NOT(ISNUMBER(G2692)), "", VLOOKUP(A2692,'Discount Lookup'!G:H,2,FALSE)*G2692)</f>
        <v/>
      </c>
      <c r="W2692" s="102">
        <f t="shared" si="1996"/>
        <v>0</v>
      </c>
      <c r="X2692" s="102" t="str">
        <f t="shared" si="1997"/>
        <v>Green foliage</v>
      </c>
      <c r="Y2692" s="120" t="b">
        <f t="shared" si="1998"/>
        <v>0</v>
      </c>
      <c r="Z2692" s="117">
        <f t="shared" si="1999"/>
        <v>0</v>
      </c>
      <c r="AA2692" s="118"/>
      <c r="AB2692" s="118" t="str">
        <f t="shared" si="2000"/>
        <v/>
      </c>
      <c r="AC2692" s="712" t="str">
        <f>IF(AE2692="T2G","no charge",IF(AND(OR(PlanterYesMe="No",PlanterYesMe="N",PlanterYesMe="me"),H2692=""),"",IF(H2692="credit","NO install",IF(AND(K2692="",AE2692="me"),"EACH row",IF(AND(K2692="images",AE2692="me"),"EACH row",IF(D2692="","",IF(H2692="credit","",IF(AE2692="free","re-planting",IF(AE2692="me","   not ELP, by",IF(AND(OR(PlanterYesMe="Yes",PlanterYesMe="Y"),G2692&gt;0),(VLOOKUP(A2692,'Discount Lookup'!J:K,2)*G2692*(1-PlanterDiscount)*(1+PlanterDifficultyPercentage)),IF(AE2692="ELP",(VLOOKUP(A2692,'Discount Lookup'!J:K,2)*G2692*(1-PlanterDiscount)*(1+PlanterDifficultyPercentage)),IF(AE2692="free","re-planting",IF(G2692=0,"",IF(PlanterYesMe="",IF(AE2692="me","   not ELP, by",IF(AE2692="",IF(G2692&gt;0,(VLOOKUP(A2692,'Discount Lookup'!J:K,2)*G2692*(1-PlanterDiscount)*(1+PlanterDifficultyPercentage)),""),"")),"   not ELP, by"))))))))))))))</f>
        <v/>
      </c>
      <c r="AD2692" s="712"/>
      <c r="AE2692" s="513" t="str">
        <f t="shared" si="2001"/>
        <v/>
      </c>
      <c r="AF2692" s="713" t="str">
        <f t="shared" si="2002"/>
        <v/>
      </c>
      <c r="AG2692" s="713"/>
      <c r="AH2692" s="713"/>
      <c r="AI2692" s="112">
        <f>IF(H2692="credit",0,IF(AE2692="free",0,IF(AE2692="me",0,IF(G2692&gt;0,(VLOOKUP(A2692,'Discount Lookup'!J:K,2)*G2692),0))))</f>
        <v>0</v>
      </c>
      <c r="AJ2692" s="107" t="str">
        <f t="shared" ca="1" si="2003"/>
        <v/>
      </c>
      <c r="AK2692" s="714" t="str">
        <f t="shared" si="2004"/>
        <v/>
      </c>
      <c r="AL2692" s="714"/>
      <c r="AM2692" s="114" t="str">
        <f t="shared" si="2005"/>
        <v/>
      </c>
      <c r="AN2692" s="115"/>
      <c r="AO2692" s="116"/>
      <c r="AP2692" s="116"/>
      <c r="AQ2692" s="116"/>
      <c r="AR2692" s="116"/>
      <c r="AS2692" s="116"/>
      <c r="AT2692" s="116"/>
      <c r="AU2692" s="116"/>
      <c r="AV2692" s="78"/>
      <c r="AW2692" s="102"/>
      <c r="AX2692" s="78"/>
      <c r="AY2692" s="78"/>
      <c r="AZ2692" s="78"/>
      <c r="BA2692" s="78"/>
      <c r="BB2692" s="78"/>
      <c r="BC2692" s="78"/>
      <c r="BD2692" s="78"/>
      <c r="BE2692" s="465"/>
      <c r="BF2692" s="165" t="str">
        <f t="shared" si="2006"/>
        <v>https://www.google.com/search?tbm=isch&amp;q=Liquidambar%20styraciflua%20%27Slender%20Silhouette%27%20Slender%20Silhouette%20Sweetgum</v>
      </c>
      <c r="BG2692" s="165" t="str">
        <f t="shared" si="2007"/>
        <v>L</v>
      </c>
      <c r="BH2692" s="65"/>
      <c r="BI2692" s="65"/>
      <c r="BJ2692" s="65"/>
      <c r="BK2692" s="65"/>
      <c r="BL2692" s="99"/>
      <c r="BM2692" s="99"/>
      <c r="BN2692" s="99"/>
    </row>
    <row r="2693" spans="1:66" s="51" customFormat="1" ht="15.75" x14ac:dyDescent="0.25">
      <c r="A2693" s="634">
        <v>7</v>
      </c>
      <c r="B2693" s="635" t="s">
        <v>291</v>
      </c>
      <c r="C2693" s="636" t="s">
        <v>3357</v>
      </c>
      <c r="D2693" s="637" t="s">
        <v>299</v>
      </c>
      <c r="E2693" s="638">
        <v>132.94999999999999</v>
      </c>
      <c r="F2693" s="639" t="s">
        <v>292</v>
      </c>
      <c r="G2693" s="484">
        <v>0</v>
      </c>
      <c r="H2693" s="691" t="str">
        <f>IF(G2693=0,"",IF(F2693="Buy",IF(G2693=1,"plant","plants"),IF(F2693&gt;0.01,"warranty","Error")))</f>
        <v/>
      </c>
      <c r="I2693" s="640">
        <f>IF(H2693="free",0,IF(H2693="credit",((E2693*(F2693))*G2693*-1),IF(F2693="Buy",(E2693*G2693),((E2693*(1-F2693))*G2693))))</f>
        <v>0</v>
      </c>
      <c r="J2693" s="640">
        <f>IF(H2693="warranty",0,(I2693*(_xlfn.SINGLE(SalesTaxPercentage))))</f>
        <v>0</v>
      </c>
      <c r="K2693" s="716">
        <f t="shared" ref="K2693" si="2047">I2693+J2693</f>
        <v>0</v>
      </c>
      <c r="L2693" s="716"/>
      <c r="M2693" s="689" t="str">
        <f ca="1">IF(AND(G2693&gt;0,E2693=0),"WARNING - no PRICE inserted",IF(H2693="free","FREE ~ no charge this plant",IF(H2693="credit",CONCATENATE("-$",ROUND(K2693*(1-_xlfn.SINGLE(T2GDiscount))*-1,2)," CREDIT after discount"),IF(_xlfn.SINGLE(T2GDiscount)=0,"",IF(G2693=0,"",IF(F2693="Buy",CONCATENATE("$",ROUND(K2693*(1-_xlfn.SINGLE(T2GDiscount)),2)," with ",(_xlfn.SINGLE(T2GDiscount)*100),"% discount"),CONCATENATE("$",ROUND(K2693*(1-_xlfn.SINGLE(T2GDiscount)),2)," with ",((_xlfn.SINGLE(T2GDiscount)*100+F2693*100)-(_xlfn.SINGLE(T2GDiscount)*100*F2693)),IF(F2693&gt;0,"% discounts",IF(_xlfn.SINGLE(NoWarrantyDiscount)&gt;0,"% discounts","% discount")))))))))</f>
        <v/>
      </c>
      <c r="N2693" s="690"/>
      <c r="O2693" s="486"/>
      <c r="P2693" s="486"/>
      <c r="Q2693" s="486"/>
      <c r="R2693" s="486"/>
      <c r="S2693" s="486"/>
      <c r="T2693" s="102">
        <f t="shared" si="1995"/>
        <v>0</v>
      </c>
      <c r="U2693" s="78">
        <f>IF(NOT(ISNUMBER(G2693)), "", VLOOKUP(A2693,'Discount Lookup'!D:E,2,FALSE)*G2693)</f>
        <v>0</v>
      </c>
      <c r="V2693" s="78">
        <f>IF(NOT(ISNUMBER(G2693)), "", VLOOKUP(A2693,'Discount Lookup'!G:H,2,FALSE)*G2693)</f>
        <v>0</v>
      </c>
      <c r="W2693" s="102">
        <f t="shared" si="1996"/>
        <v>0</v>
      </c>
      <c r="X2693" s="102">
        <f t="shared" si="1997"/>
        <v>0</v>
      </c>
      <c r="Y2693" s="120" t="b">
        <f t="shared" si="1998"/>
        <v>0</v>
      </c>
      <c r="Z2693" s="117">
        <f t="shared" si="1999"/>
        <v>0</v>
      </c>
      <c r="AA2693" s="118"/>
      <c r="AB2693" s="118" t="str">
        <f t="shared" si="2000"/>
        <v/>
      </c>
      <c r="AC2693" s="712" t="str">
        <f>IF(AE2693="T2G","no charge",IF(AND(OR(PlanterYesMe="No",PlanterYesMe="N",PlanterYesMe="me"),H2693=""),"",IF(H2693="credit","NO install",IF(AND(K2693="",AE2693="me"),"EACH row",IF(AND(K2693="images",AE2693="me"),"EACH row",IF(D2693="","",IF(H2693="credit","",IF(AE2693="free","re-planting",IF(AE2693="me","   not ELP, by",IF(AND(OR(PlanterYesMe="Yes",PlanterYesMe="Y"),G2693&gt;0),(VLOOKUP(A2693,'Discount Lookup'!J:K,2)*G2693*(1-PlanterDiscount)*(1+PlanterDifficultyPercentage)),IF(AE2693="ELP",(VLOOKUP(A2693,'Discount Lookup'!J:K,2)*G2693*(1-PlanterDiscount)*(1+PlanterDifficultyPercentage)),IF(AE2693="free","re-planting",IF(G2693=0,"",IF(PlanterYesMe="",IF(AE2693="me","   not ELP, by",IF(AE2693="",IF(G2693&gt;0,(VLOOKUP(A2693,'Discount Lookup'!J:K,2)*G2693*(1-PlanterDiscount)*(1+PlanterDifficultyPercentage)),""),"")),"   not ELP, by"))))))))))))))</f>
        <v/>
      </c>
      <c r="AD2693" s="712"/>
      <c r="AE2693" s="513" t="str">
        <f t="shared" si="2001"/>
        <v/>
      </c>
      <c r="AF2693" s="713" t="str">
        <f t="shared" si="2002"/>
        <v/>
      </c>
      <c r="AG2693" s="713"/>
      <c r="AH2693" s="713"/>
      <c r="AI2693" s="112">
        <f>IF(H2693="credit",0,IF(AE2693="free",0,IF(AE2693="me",0,IF(G2693&gt;0,(VLOOKUP(A2693,'Discount Lookup'!J:K,2)*G2693),0))))</f>
        <v>0</v>
      </c>
      <c r="AJ2693" s="107" t="str">
        <f t="shared" ca="1" si="2003"/>
        <v/>
      </c>
      <c r="AK2693" s="714" t="str">
        <f t="shared" si="2004"/>
        <v/>
      </c>
      <c r="AL2693" s="714"/>
      <c r="AM2693" s="114" t="str">
        <f t="shared" si="2005"/>
        <v/>
      </c>
      <c r="AN2693" s="115"/>
      <c r="AO2693" s="116"/>
      <c r="AP2693" s="116"/>
      <c r="AQ2693" s="116"/>
      <c r="AR2693" s="116"/>
      <c r="AS2693" s="116"/>
      <c r="AT2693" s="116"/>
      <c r="AU2693" s="116"/>
      <c r="AV2693" s="78"/>
      <c r="AW2693" s="102"/>
      <c r="AX2693" s="78"/>
      <c r="AY2693" s="78"/>
      <c r="AZ2693" s="78"/>
      <c r="BA2693" s="78"/>
      <c r="BB2693" s="78"/>
      <c r="BC2693" s="78"/>
      <c r="BD2693" s="78"/>
      <c r="BE2693" s="465"/>
      <c r="BF2693" s="165" t="str">
        <f t="shared" si="2006"/>
        <v>https://www.google.com/search?tbm=isch&amp;q=7%20G4</v>
      </c>
      <c r="BG2693" s="165" t="str">
        <f t="shared" si="2007"/>
        <v>L</v>
      </c>
      <c r="BH2693" s="65"/>
      <c r="BI2693" s="65"/>
      <c r="BJ2693" s="65"/>
      <c r="BK2693" s="65"/>
      <c r="BL2693" s="99"/>
      <c r="BM2693" s="99"/>
      <c r="BN2693" s="99"/>
    </row>
    <row r="2694" spans="1:66" s="51" customFormat="1" ht="27" x14ac:dyDescent="0.25">
      <c r="A2694" s="634">
        <v>15</v>
      </c>
      <c r="B2694" s="635" t="s">
        <v>291</v>
      </c>
      <c r="C2694" s="636" t="s">
        <v>3358</v>
      </c>
      <c r="D2694" s="637" t="s">
        <v>299</v>
      </c>
      <c r="E2694" s="638">
        <v>169.95</v>
      </c>
      <c r="F2694" s="639" t="s">
        <v>292</v>
      </c>
      <c r="G2694" s="484">
        <v>0</v>
      </c>
      <c r="H2694" s="691" t="str">
        <f>IF(G2694=0,"",IF(F2694="Buy",IF(G2694=1,"plant","plants"),IF(F2694&gt;0.01,"warranty","Error")))</f>
        <v/>
      </c>
      <c r="I2694" s="640">
        <f>IF(H2694="free",0,IF(H2694="credit",((E2694*(F2694))*G2694*-1),IF(F2694="Buy",(E2694*G2694),((E2694*(1-F2694))*G2694))))</f>
        <v>0</v>
      </c>
      <c r="J2694" s="640">
        <f>IF(H2694="warranty",0,(I2694*(_xlfn.SINGLE(SalesTaxPercentage))))</f>
        <v>0</v>
      </c>
      <c r="K2694" s="716">
        <f t="shared" ref="K2694" si="2048">I2694+J2694</f>
        <v>0</v>
      </c>
      <c r="L2694" s="716"/>
      <c r="M2694" s="689" t="str">
        <f ca="1">IF(AND(G2694&gt;0,E2694=0),"WARNING - no PRICE inserted",IF(H2694="free","FREE ~ no charge this plant",IF(H2694="credit",CONCATENATE("-$",ROUND(K2694*(1-_xlfn.SINGLE(T2GDiscount))*-1,2)," CREDIT after discount"),IF(_xlfn.SINGLE(T2GDiscount)=0,"",IF(G2694=0,"",IF(F2694="Buy",CONCATENATE("$",ROUND(K2694*(1-_xlfn.SINGLE(T2GDiscount)),2)," with ",(_xlfn.SINGLE(T2GDiscount)*100),"% discount"),CONCATENATE("$",ROUND(K2694*(1-_xlfn.SINGLE(T2GDiscount)),2)," with ",((_xlfn.SINGLE(T2GDiscount)*100+F2694*100)-(_xlfn.SINGLE(T2GDiscount)*100*F2694)),IF(F2694&gt;0,"% discounts",IF(_xlfn.SINGLE(NoWarrantyDiscount)&gt;0,"% discounts","% discount")))))))))</f>
        <v/>
      </c>
      <c r="N2694" s="690"/>
      <c r="O2694" s="486"/>
      <c r="P2694" s="486"/>
      <c r="Q2694" s="486"/>
      <c r="R2694" s="486"/>
      <c r="S2694" s="486"/>
      <c r="T2694" s="102">
        <f t="shared" si="1995"/>
        <v>0</v>
      </c>
      <c r="U2694" s="78">
        <f>IF(NOT(ISNUMBER(G2694)), "", VLOOKUP(A2694,'Discount Lookup'!D:E,2,FALSE)*G2694)</f>
        <v>0</v>
      </c>
      <c r="V2694" s="78">
        <f>IF(NOT(ISNUMBER(G2694)), "", VLOOKUP(A2694,'Discount Lookup'!G:H,2,FALSE)*G2694)</f>
        <v>0</v>
      </c>
      <c r="W2694" s="102">
        <f t="shared" si="1996"/>
        <v>0</v>
      </c>
      <c r="X2694" s="102">
        <f t="shared" si="1997"/>
        <v>0</v>
      </c>
      <c r="Y2694" s="120" t="b">
        <f t="shared" si="1998"/>
        <v>0</v>
      </c>
      <c r="Z2694" s="117">
        <f t="shared" si="1999"/>
        <v>0</v>
      </c>
      <c r="AA2694" s="118"/>
      <c r="AB2694" s="118" t="str">
        <f t="shared" si="2000"/>
        <v/>
      </c>
      <c r="AC2694" s="712" t="str">
        <f>IF(AE2694="T2G","no charge",IF(AND(OR(PlanterYesMe="No",PlanterYesMe="N",PlanterYesMe="me"),H2694=""),"",IF(H2694="credit","NO install",IF(AND(K2694="",AE2694="me"),"EACH row",IF(AND(K2694="images",AE2694="me"),"EACH row",IF(D2694="","",IF(H2694="credit","",IF(AE2694="free","re-planting",IF(AE2694="me","   not ELP, by",IF(AND(OR(PlanterYesMe="Yes",PlanterYesMe="Y"),G2694&gt;0),(VLOOKUP(A2694,'Discount Lookup'!J:K,2)*G2694*(1-PlanterDiscount)*(1+PlanterDifficultyPercentage)),IF(AE2694="ELP",(VLOOKUP(A2694,'Discount Lookup'!J:K,2)*G2694*(1-PlanterDiscount)*(1+PlanterDifficultyPercentage)),IF(AE2694="free","re-planting",IF(G2694=0,"",IF(PlanterYesMe="",IF(AE2694="me","   not ELP, by",IF(AE2694="",IF(G2694&gt;0,(VLOOKUP(A2694,'Discount Lookup'!J:K,2)*G2694*(1-PlanterDiscount)*(1+PlanterDifficultyPercentage)),""),"")),"   not ELP, by"))))))))))))))</f>
        <v/>
      </c>
      <c r="AD2694" s="712"/>
      <c r="AE2694" s="513" t="str">
        <f t="shared" si="2001"/>
        <v/>
      </c>
      <c r="AF2694" s="713" t="str">
        <f t="shared" si="2002"/>
        <v/>
      </c>
      <c r="AG2694" s="713"/>
      <c r="AH2694" s="713"/>
      <c r="AI2694" s="112">
        <f>IF(H2694="credit",0,IF(AE2694="free",0,IF(AE2694="me",0,IF(G2694&gt;0,(VLOOKUP(A2694,'Discount Lookup'!J:K,2)*G2694),0))))</f>
        <v>0</v>
      </c>
      <c r="AJ2694" s="107" t="str">
        <f t="shared" ca="1" si="2003"/>
        <v/>
      </c>
      <c r="AK2694" s="714" t="str">
        <f t="shared" si="2004"/>
        <v/>
      </c>
      <c r="AL2694" s="714"/>
      <c r="AM2694" s="114" t="str">
        <f t="shared" si="2005"/>
        <v/>
      </c>
      <c r="AN2694" s="115"/>
      <c r="AO2694" s="116"/>
      <c r="AP2694" s="116"/>
      <c r="AQ2694" s="116"/>
      <c r="AR2694" s="116"/>
      <c r="AS2694" s="116"/>
      <c r="AT2694" s="116"/>
      <c r="AU2694" s="116"/>
      <c r="AV2694" s="78"/>
      <c r="AW2694" s="102"/>
      <c r="AX2694" s="78"/>
      <c r="AY2694" s="78"/>
      <c r="AZ2694" s="78"/>
      <c r="BA2694" s="78"/>
      <c r="BB2694" s="78"/>
      <c r="BC2694" s="78"/>
      <c r="BD2694" s="78"/>
      <c r="BE2694" s="465"/>
      <c r="BF2694" s="165" t="str">
        <f t="shared" si="2006"/>
        <v>https://www.google.com/search?tbm=isch&amp;q=15%20G4</v>
      </c>
      <c r="BG2694" s="165" t="str">
        <f t="shared" si="2007"/>
        <v>L</v>
      </c>
      <c r="BH2694" s="65"/>
      <c r="BI2694" s="65"/>
      <c r="BJ2694" s="65"/>
      <c r="BK2694" s="65"/>
      <c r="BL2694" s="99"/>
      <c r="BM2694" s="99"/>
      <c r="BN2694" s="99"/>
    </row>
    <row r="2695" spans="1:66" s="51" customFormat="1" ht="16.5" x14ac:dyDescent="0.25">
      <c r="A2695" s="704" t="s">
        <v>5471</v>
      </c>
      <c r="B2695" s="642"/>
      <c r="C2695" s="710"/>
      <c r="D2695" s="643"/>
      <c r="E2695" s="643"/>
      <c r="F2695" s="644"/>
      <c r="G2695" s="645"/>
      <c r="H2695" s="646"/>
      <c r="I2695" s="647"/>
      <c r="J2695" s="648"/>
      <c r="K2695" s="649"/>
      <c r="L2695" s="650"/>
      <c r="M2695" s="650"/>
      <c r="N2695" s="644"/>
      <c r="O2695" s="644"/>
      <c r="P2695" s="644"/>
      <c r="Q2695" s="644"/>
      <c r="R2695" s="644"/>
      <c r="S2695" s="701" t="s">
        <v>5253</v>
      </c>
      <c r="T2695" s="102">
        <f t="shared" si="1995"/>
        <v>0</v>
      </c>
      <c r="U2695" s="78" t="str">
        <f>IF(NOT(ISNUMBER(G2695)), "", VLOOKUP(A2695,'Discount Lookup'!D:E,2,FALSE)*G2695)</f>
        <v/>
      </c>
      <c r="V2695" s="78" t="str">
        <f>IF(NOT(ISNUMBER(G2695)), "", VLOOKUP(A2695,'Discount Lookup'!G:H,2,FALSE)*G2695)</f>
        <v/>
      </c>
      <c r="W2695" s="102">
        <f t="shared" si="1996"/>
        <v>0</v>
      </c>
      <c r="X2695" s="102">
        <f t="shared" si="1997"/>
        <v>0</v>
      </c>
      <c r="Y2695" s="120" t="b">
        <f t="shared" si="1998"/>
        <v>0</v>
      </c>
      <c r="Z2695" s="117">
        <f t="shared" si="1999"/>
        <v>0</v>
      </c>
      <c r="AA2695" s="118"/>
      <c r="AB2695" s="118" t="str">
        <f t="shared" si="2000"/>
        <v/>
      </c>
      <c r="AC2695" s="712" t="str">
        <f>IF(AE2695="T2G","no charge",IF(AND(OR(PlanterYesMe="No",PlanterYesMe="N",PlanterYesMe="me"),H2695=""),"",IF(H2695="credit","NO install",IF(AND(K2695="",AE2695="me"),"EACH row",IF(AND(K2695="images",AE2695="me"),"EACH row",IF(D2695="","",IF(H2695="credit","",IF(AE2695="free","re-planting",IF(AE2695="me","   not ELP, by",IF(AND(OR(PlanterYesMe="Yes",PlanterYesMe="Y"),G2695&gt;0),(VLOOKUP(A2695,'Discount Lookup'!J:K,2)*G2695*(1-PlanterDiscount)*(1+PlanterDifficultyPercentage)),IF(AE2695="ELP",(VLOOKUP(A2695,'Discount Lookup'!J:K,2)*G2695*(1-PlanterDiscount)*(1+PlanterDifficultyPercentage)),IF(AE2695="free","re-planting",IF(G2695=0,"",IF(PlanterYesMe="",IF(AE2695="me","   not ELP, by",IF(AE2695="",IF(G2695&gt;0,(VLOOKUP(A2695,'Discount Lookup'!J:K,2)*G2695*(1-PlanterDiscount)*(1+PlanterDifficultyPercentage)),""),"")),"   not ELP, by"))))))))))))))</f>
        <v/>
      </c>
      <c r="AD2695" s="712"/>
      <c r="AE2695" s="513" t="str">
        <f t="shared" si="2001"/>
        <v/>
      </c>
      <c r="AF2695" s="713" t="str">
        <f t="shared" si="2002"/>
        <v/>
      </c>
      <c r="AG2695" s="713"/>
      <c r="AH2695" s="713"/>
      <c r="AI2695" s="112">
        <f>IF(H2695="credit",0,IF(AE2695="free",0,IF(AE2695="me",0,IF(G2695&gt;0,(VLOOKUP(A2695,'Discount Lookup'!J:K,2)*G2695),0))))</f>
        <v>0</v>
      </c>
      <c r="AJ2695" s="107" t="str">
        <f t="shared" ca="1" si="2003"/>
        <v/>
      </c>
      <c r="AK2695" s="714" t="str">
        <f t="shared" si="2004"/>
        <v/>
      </c>
      <c r="AL2695" s="714"/>
      <c r="AM2695" s="114" t="str">
        <f t="shared" si="2005"/>
        <v/>
      </c>
      <c r="AN2695" s="115"/>
      <c r="AO2695" s="116"/>
      <c r="AP2695" s="116"/>
      <c r="AQ2695" s="116"/>
      <c r="AR2695" s="116"/>
      <c r="AS2695" s="116"/>
      <c r="AT2695" s="116"/>
      <c r="AU2695" s="116"/>
      <c r="AV2695" s="78"/>
      <c r="AW2695" s="102"/>
      <c r="AX2695" s="78"/>
      <c r="AY2695" s="78"/>
      <c r="AZ2695" s="78"/>
      <c r="BA2695" s="78"/>
      <c r="BB2695" s="78"/>
      <c r="BC2695" s="78"/>
      <c r="BD2695" s="78"/>
      <c r="BE2695" s="465"/>
      <c r="BF2695" s="165" t="str">
        <f t="shared" si="2006"/>
        <v>https://www.google.com/search?tbm=isch&amp;q=moist%20sites%F0%9F%92%A7GOOD%2C%20Slender%20Silhouette%27s%20Dark%20Green%20foliage%20turns%20Yellow-Red-Orange%20in%20fall.%20Gumballs%2C%20but%20not%20as%20many%20as%20Sweetgum%20</v>
      </c>
      <c r="BG2695" s="165" t="str">
        <f t="shared" si="2007"/>
        <v>m</v>
      </c>
      <c r="BH2695" s="65"/>
      <c r="BI2695" s="65"/>
      <c r="BJ2695" s="65"/>
      <c r="BK2695" s="65"/>
      <c r="BL2695" s="99"/>
      <c r="BM2695" s="99"/>
      <c r="BN2695" s="99"/>
    </row>
    <row r="2696" spans="1:66" s="51" customFormat="1" ht="19.5" thickBot="1" x14ac:dyDescent="0.3">
      <c r="A2696" s="686" t="s">
        <v>590</v>
      </c>
      <c r="B2696" s="73"/>
      <c r="C2696" s="708"/>
      <c r="D2696" s="73"/>
      <c r="E2696" s="73"/>
      <c r="F2696" s="496"/>
      <c r="G2696" s="73"/>
      <c r="H2696" s="73"/>
      <c r="I2696" s="73"/>
      <c r="J2696" s="497" t="s">
        <v>357</v>
      </c>
      <c r="K2696" s="498"/>
      <c r="L2696" s="562"/>
      <c r="M2696" s="73"/>
      <c r="N2696"/>
      <c r="O2696"/>
      <c r="P2696"/>
      <c r="Q2696"/>
      <c r="R2696"/>
      <c r="S2696"/>
      <c r="T2696" s="102">
        <f t="shared" si="1995"/>
        <v>0</v>
      </c>
      <c r="U2696" s="78" t="str">
        <f>IF(NOT(ISNUMBER(G2696)), "", VLOOKUP(A2696,'Discount Lookup'!D:E,2,FALSE)*G2696)</f>
        <v/>
      </c>
      <c r="V2696" s="78" t="str">
        <f>IF(NOT(ISNUMBER(G2696)), "", VLOOKUP(A2696,'Discount Lookup'!G:H,2,FALSE)*G2696)</f>
        <v/>
      </c>
      <c r="W2696" s="102">
        <f t="shared" si="1996"/>
        <v>0</v>
      </c>
      <c r="X2696" s="102">
        <f t="shared" si="1997"/>
        <v>0</v>
      </c>
      <c r="Y2696" s="120" t="b">
        <f t="shared" si="1998"/>
        <v>0</v>
      </c>
      <c r="Z2696" s="117">
        <f t="shared" si="1999"/>
        <v>0</v>
      </c>
      <c r="AA2696" s="118"/>
      <c r="AB2696" s="118" t="str">
        <f t="shared" si="2000"/>
        <v/>
      </c>
      <c r="AC2696" s="712" t="str">
        <f>IF(AE2696="T2G","no charge",IF(AND(OR(PlanterYesMe="No",PlanterYesMe="N",PlanterYesMe="me"),H2696=""),"",IF(H2696="credit","NO install",IF(AND(K2696="",AE2696="me"),"EACH row",IF(AND(K2696="images",AE2696="me"),"EACH row",IF(D2696="","",IF(H2696="credit","",IF(AE2696="free","re-planting",IF(AE2696="me","   not ELP, by",IF(AND(OR(PlanterYesMe="Yes",PlanterYesMe="Y"),G2696&gt;0),(VLOOKUP(A2696,'Discount Lookup'!J:K,2)*G2696*(1-PlanterDiscount)*(1+PlanterDifficultyPercentage)),IF(AE2696="ELP",(VLOOKUP(A2696,'Discount Lookup'!J:K,2)*G2696*(1-PlanterDiscount)*(1+PlanterDifficultyPercentage)),IF(AE2696="free","re-planting",IF(G2696=0,"",IF(PlanterYesMe="",IF(AE2696="me","   not ELP, by",IF(AE2696="",IF(G2696&gt;0,(VLOOKUP(A2696,'Discount Lookup'!J:K,2)*G2696*(1-PlanterDiscount)*(1+PlanterDifficultyPercentage)),""),"")),"   not ELP, by"))))))))))))))</f>
        <v/>
      </c>
      <c r="AD2696" s="712"/>
      <c r="AE2696" s="513" t="str">
        <f t="shared" si="2001"/>
        <v/>
      </c>
      <c r="AF2696" s="713" t="str">
        <f t="shared" si="2002"/>
        <v/>
      </c>
      <c r="AG2696" s="713"/>
      <c r="AH2696" s="713"/>
      <c r="AI2696" s="112">
        <f>IF(H2696="credit",0,IF(AE2696="free",0,IF(AE2696="me",0,IF(G2696&gt;0,(VLOOKUP(A2696,'Discount Lookup'!J:K,2)*G2696),0))))</f>
        <v>0</v>
      </c>
      <c r="AJ2696" s="107" t="str">
        <f t="shared" ca="1" si="2003"/>
        <v/>
      </c>
      <c r="AK2696" s="714" t="str">
        <f t="shared" si="2004"/>
        <v/>
      </c>
      <c r="AL2696" s="714"/>
      <c r="AM2696" s="114" t="str">
        <f t="shared" si="2005"/>
        <v/>
      </c>
      <c r="AN2696" s="115"/>
      <c r="AO2696" s="116"/>
      <c r="AP2696" s="116"/>
      <c r="AQ2696" s="116"/>
      <c r="AR2696" s="116"/>
      <c r="AS2696" s="116"/>
      <c r="AT2696" s="116"/>
      <c r="AU2696" s="116"/>
      <c r="AV2696" s="78"/>
      <c r="AW2696" s="102"/>
      <c r="AX2696" s="78"/>
      <c r="AY2696" s="78"/>
      <c r="AZ2696" s="78"/>
      <c r="BA2696" s="78"/>
      <c r="BB2696" s="78"/>
      <c r="BC2696" s="78"/>
      <c r="BD2696" s="78"/>
      <c r="BE2696" s="465"/>
      <c r="BF2696" s="165" t="str">
        <f t="shared" si="2006"/>
        <v>https://www.google.com/search?tbm=isch&amp;q=Liriodendron%20%3D%20Tulip%20Poplar%20</v>
      </c>
      <c r="BG2696" s="165" t="str">
        <f t="shared" si="2007"/>
        <v>L</v>
      </c>
      <c r="BH2696" s="65"/>
      <c r="BI2696" s="65"/>
      <c r="BJ2696" s="65"/>
      <c r="BK2696" s="65"/>
      <c r="BL2696" s="99"/>
      <c r="BM2696" s="99"/>
      <c r="BN2696" s="99"/>
    </row>
    <row r="2697" spans="1:66" s="51" customFormat="1" ht="18" x14ac:dyDescent="0.25">
      <c r="A2697" s="623" t="s">
        <v>3359</v>
      </c>
      <c r="B2697" s="624"/>
      <c r="C2697" s="709"/>
      <c r="D2697" s="625" t="s">
        <v>3360</v>
      </c>
      <c r="E2697" s="626"/>
      <c r="F2697" s="626"/>
      <c r="G2697" s="626"/>
      <c r="H2697" s="622" t="s">
        <v>493</v>
      </c>
      <c r="I2697" s="627" t="s">
        <v>3361</v>
      </c>
      <c r="J2697" s="628"/>
      <c r="K2697" s="628"/>
      <c r="L2697" s="629"/>
      <c r="M2697" s="700" t="s">
        <v>5241</v>
      </c>
      <c r="N2697" s="693" t="str">
        <f>IF(AND(ISTEXT($A2697), ISERROR($A2697+0)), HYPERLINK($BF2697, "Images"), "")</f>
        <v>Images</v>
      </c>
      <c r="O2697" s="695" t="s">
        <v>5247</v>
      </c>
      <c r="P2697" s="630"/>
      <c r="Q2697" s="631"/>
      <c r="R2697" s="632"/>
      <c r="S2697" s="633" t="s">
        <v>294</v>
      </c>
      <c r="T2697" s="102">
        <f t="shared" si="1995"/>
        <v>0</v>
      </c>
      <c r="U2697" s="78" t="str">
        <f>IF(NOT(ISNUMBER(G2697)), "", VLOOKUP(A2697,'Discount Lookup'!D:E,2,FALSE)*G2697)</f>
        <v/>
      </c>
      <c r="V2697" s="78" t="str">
        <f>IF(NOT(ISNUMBER(G2697)), "", VLOOKUP(A2697,'Discount Lookup'!G:H,2,FALSE)*G2697)</f>
        <v/>
      </c>
      <c r="W2697" s="102">
        <f t="shared" si="1996"/>
        <v>0</v>
      </c>
      <c r="X2697" s="102" t="str">
        <f t="shared" si="1997"/>
        <v>Yellow bloom with Orange band</v>
      </c>
      <c r="Y2697" s="120" t="b">
        <f t="shared" si="1998"/>
        <v>0</v>
      </c>
      <c r="Z2697" s="117">
        <f t="shared" si="1999"/>
        <v>0</v>
      </c>
      <c r="AA2697" s="118"/>
      <c r="AB2697" s="118" t="str">
        <f t="shared" si="2000"/>
        <v/>
      </c>
      <c r="AC2697" s="712" t="str">
        <f>IF(AE2697="T2G","no charge",IF(AND(OR(PlanterYesMe="No",PlanterYesMe="N",PlanterYesMe="me"),H2697=""),"",IF(H2697="credit","NO install",IF(AND(K2697="",AE2697="me"),"EACH row",IF(AND(K2697="images",AE2697="me"),"EACH row",IF(D2697="","",IF(H2697="credit","",IF(AE2697="free","re-planting",IF(AE2697="me","   not ELP, by",IF(AND(OR(PlanterYesMe="Yes",PlanterYesMe="Y"),G2697&gt;0),(VLOOKUP(A2697,'Discount Lookup'!J:K,2)*G2697*(1-PlanterDiscount)*(1+PlanterDifficultyPercentage)),IF(AE2697="ELP",(VLOOKUP(A2697,'Discount Lookup'!J:K,2)*G2697*(1-PlanterDiscount)*(1+PlanterDifficultyPercentage)),IF(AE2697="free","re-planting",IF(G2697=0,"",IF(PlanterYesMe="",IF(AE2697="me","   not ELP, by",IF(AE2697="",IF(G2697&gt;0,(VLOOKUP(A2697,'Discount Lookup'!J:K,2)*G2697*(1-PlanterDiscount)*(1+PlanterDifficultyPercentage)),""),"")),"   not ELP, by"))))))))))))))</f>
        <v/>
      </c>
      <c r="AD2697" s="712"/>
      <c r="AE2697" s="513" t="str">
        <f t="shared" si="2001"/>
        <v/>
      </c>
      <c r="AF2697" s="713" t="str">
        <f t="shared" si="2002"/>
        <v/>
      </c>
      <c r="AG2697" s="713"/>
      <c r="AH2697" s="713"/>
      <c r="AI2697" s="112">
        <f>IF(H2697="credit",0,IF(AE2697="free",0,IF(AE2697="me",0,IF(G2697&gt;0,(VLOOKUP(A2697,'Discount Lookup'!J:K,2)*G2697),0))))</f>
        <v>0</v>
      </c>
      <c r="AJ2697" s="107" t="str">
        <f t="shared" ca="1" si="2003"/>
        <v/>
      </c>
      <c r="AK2697" s="714" t="str">
        <f t="shared" si="2004"/>
        <v/>
      </c>
      <c r="AL2697" s="714"/>
      <c r="AM2697" s="114" t="str">
        <f t="shared" si="2005"/>
        <v/>
      </c>
      <c r="AN2697" s="115"/>
      <c r="AO2697" s="116"/>
      <c r="AP2697" s="116"/>
      <c r="AQ2697" s="116"/>
      <c r="AR2697" s="116"/>
      <c r="AS2697" s="116"/>
      <c r="AT2697" s="116"/>
      <c r="AU2697" s="116"/>
      <c r="AV2697" s="78"/>
      <c r="AW2697" s="102"/>
      <c r="AX2697" s="78"/>
      <c r="AY2697" s="78"/>
      <c r="AZ2697" s="78"/>
      <c r="BA2697" s="78"/>
      <c r="BB2697" s="78"/>
      <c r="BC2697" s="78"/>
      <c r="BD2697" s="78"/>
      <c r="BE2697" s="465"/>
      <c r="BF2697" s="165" t="str">
        <f t="shared" si="2006"/>
        <v>https://www.google.com/search?tbm=isch&amp;q=Liriodendron%20tulipfera%20%27Little%20Volunteer%27%20PP%2319581%20Little%20Volunteer%20Tulip%20Tree</v>
      </c>
      <c r="BG2697" s="165" t="str">
        <f t="shared" si="2007"/>
        <v>L</v>
      </c>
      <c r="BH2697" s="65"/>
      <c r="BI2697" s="65"/>
      <c r="BJ2697" s="65"/>
      <c r="BK2697" s="65"/>
      <c r="BL2697" s="99"/>
      <c r="BM2697" s="99"/>
      <c r="BN2697" s="99"/>
    </row>
    <row r="2698" spans="1:66" s="51" customFormat="1" ht="15.75" x14ac:dyDescent="0.25">
      <c r="A2698" s="634">
        <v>7</v>
      </c>
      <c r="B2698" s="635" t="s">
        <v>291</v>
      </c>
      <c r="C2698" s="636" t="s">
        <v>3362</v>
      </c>
      <c r="D2698" s="637" t="s">
        <v>299</v>
      </c>
      <c r="E2698" s="638">
        <v>132.94999999999999</v>
      </c>
      <c r="F2698" s="639" t="s">
        <v>292</v>
      </c>
      <c r="G2698" s="484">
        <v>0</v>
      </c>
      <c r="H2698" s="691" t="str">
        <f>IF(G2698=0,"",IF(F2698="Buy",IF(G2698=1,"plant","plants"),IF(F2698&gt;0.01,"warranty","Error")))</f>
        <v/>
      </c>
      <c r="I2698" s="640">
        <f>IF(H2698="free",0,IF(H2698="credit",((E2698*(F2698))*G2698*-1),IF(F2698="Buy",(E2698*G2698),((E2698*(1-F2698))*G2698))))</f>
        <v>0</v>
      </c>
      <c r="J2698" s="640">
        <f>IF(H2698="warranty",0,(I2698*(_xlfn.SINGLE(SalesTaxPercentage))))</f>
        <v>0</v>
      </c>
      <c r="K2698" s="716">
        <f t="shared" ref="K2698" si="2049">I2698+J2698</f>
        <v>0</v>
      </c>
      <c r="L2698" s="716"/>
      <c r="M2698" s="689" t="str">
        <f ca="1">IF(AND(G2698&gt;0,E2698=0),"WARNING - no PRICE inserted",IF(H2698="free","FREE ~ no charge this plant",IF(H2698="credit",CONCATENATE("-$",ROUND(K2698*(1-_xlfn.SINGLE(T2GDiscount))*-1,2)," CREDIT after discount"),IF(_xlfn.SINGLE(T2GDiscount)=0,"",IF(G2698=0,"",IF(F2698="Buy",CONCATENATE("$",ROUND(K2698*(1-_xlfn.SINGLE(T2GDiscount)),2)," with ",(_xlfn.SINGLE(T2GDiscount)*100),"% discount"),CONCATENATE("$",ROUND(K2698*(1-_xlfn.SINGLE(T2GDiscount)),2)," with ",((_xlfn.SINGLE(T2GDiscount)*100+F2698*100)-(_xlfn.SINGLE(T2GDiscount)*100*F2698)),IF(F2698&gt;0,"% discounts",IF(_xlfn.SINGLE(NoWarrantyDiscount)&gt;0,"% discounts","% discount")))))))))</f>
        <v/>
      </c>
      <c r="N2698" s="690"/>
      <c r="O2698" s="486"/>
      <c r="P2698" s="486"/>
      <c r="Q2698" s="486"/>
      <c r="R2698" s="486"/>
      <c r="S2698" s="486"/>
      <c r="T2698" s="102">
        <f t="shared" si="1995"/>
        <v>0</v>
      </c>
      <c r="U2698" s="78">
        <f>IF(NOT(ISNUMBER(G2698)), "", VLOOKUP(A2698,'Discount Lookup'!D:E,2,FALSE)*G2698)</f>
        <v>0</v>
      </c>
      <c r="V2698" s="78">
        <f>IF(NOT(ISNUMBER(G2698)), "", VLOOKUP(A2698,'Discount Lookup'!G:H,2,FALSE)*G2698)</f>
        <v>0</v>
      </c>
      <c r="W2698" s="102">
        <f t="shared" si="1996"/>
        <v>0</v>
      </c>
      <c r="X2698" s="102">
        <f t="shared" si="1997"/>
        <v>0</v>
      </c>
      <c r="Y2698" s="120" t="b">
        <f t="shared" si="1998"/>
        <v>0</v>
      </c>
      <c r="Z2698" s="117">
        <f t="shared" si="1999"/>
        <v>0</v>
      </c>
      <c r="AA2698" s="118"/>
      <c r="AB2698" s="118" t="str">
        <f t="shared" si="2000"/>
        <v/>
      </c>
      <c r="AC2698" s="712" t="str">
        <f>IF(AE2698="T2G","no charge",IF(AND(OR(PlanterYesMe="No",PlanterYesMe="N",PlanterYesMe="me"),H2698=""),"",IF(H2698="credit","NO install",IF(AND(K2698="",AE2698="me"),"EACH row",IF(AND(K2698="images",AE2698="me"),"EACH row",IF(D2698="","",IF(H2698="credit","",IF(AE2698="free","re-planting",IF(AE2698="me","   not ELP, by",IF(AND(OR(PlanterYesMe="Yes",PlanterYesMe="Y"),G2698&gt;0),(VLOOKUP(A2698,'Discount Lookup'!J:K,2)*G2698*(1-PlanterDiscount)*(1+PlanterDifficultyPercentage)),IF(AE2698="ELP",(VLOOKUP(A2698,'Discount Lookup'!J:K,2)*G2698*(1-PlanterDiscount)*(1+PlanterDifficultyPercentage)),IF(AE2698="free","re-planting",IF(G2698=0,"",IF(PlanterYesMe="",IF(AE2698="me","   not ELP, by",IF(AE2698="",IF(G2698&gt;0,(VLOOKUP(A2698,'Discount Lookup'!J:K,2)*G2698*(1-PlanterDiscount)*(1+PlanterDifficultyPercentage)),""),"")),"   not ELP, by"))))))))))))))</f>
        <v/>
      </c>
      <c r="AD2698" s="712"/>
      <c r="AE2698" s="513" t="str">
        <f t="shared" si="2001"/>
        <v/>
      </c>
      <c r="AF2698" s="713" t="str">
        <f t="shared" si="2002"/>
        <v/>
      </c>
      <c r="AG2698" s="713"/>
      <c r="AH2698" s="713"/>
      <c r="AI2698" s="112">
        <f>IF(H2698="credit",0,IF(AE2698="free",0,IF(AE2698="me",0,IF(G2698&gt;0,(VLOOKUP(A2698,'Discount Lookup'!J:K,2)*G2698),0))))</f>
        <v>0</v>
      </c>
      <c r="AJ2698" s="107" t="str">
        <f t="shared" ca="1" si="2003"/>
        <v/>
      </c>
      <c r="AK2698" s="714" t="str">
        <f t="shared" si="2004"/>
        <v/>
      </c>
      <c r="AL2698" s="714"/>
      <c r="AM2698" s="114" t="str">
        <f t="shared" si="2005"/>
        <v/>
      </c>
      <c r="AN2698" s="115"/>
      <c r="AO2698" s="116"/>
      <c r="AP2698" s="116"/>
      <c r="AQ2698" s="116"/>
      <c r="AR2698" s="116"/>
      <c r="AS2698" s="116"/>
      <c r="AT2698" s="116"/>
      <c r="AU2698" s="116"/>
      <c r="AV2698" s="78"/>
      <c r="AW2698" s="102"/>
      <c r="AX2698" s="78"/>
      <c r="AY2698" s="78"/>
      <c r="AZ2698" s="78"/>
      <c r="BA2698" s="78"/>
      <c r="BB2698" s="78"/>
      <c r="BC2698" s="78"/>
      <c r="BD2698" s="78"/>
      <c r="BE2698" s="465"/>
      <c r="BF2698" s="165" t="str">
        <f t="shared" si="2006"/>
        <v>https://www.google.com/search?tbm=isch&amp;q=7%20G4</v>
      </c>
      <c r="BG2698" s="165" t="str">
        <f t="shared" si="2007"/>
        <v>L</v>
      </c>
      <c r="BH2698" s="65"/>
      <c r="BI2698" s="65"/>
      <c r="BJ2698" s="65"/>
      <c r="BK2698" s="65"/>
      <c r="BL2698" s="99"/>
      <c r="BM2698" s="99"/>
      <c r="BN2698" s="99"/>
    </row>
    <row r="2699" spans="1:66" s="51" customFormat="1" ht="15.75" x14ac:dyDescent="0.25">
      <c r="A2699" s="634">
        <v>15</v>
      </c>
      <c r="B2699" s="635" t="s">
        <v>291</v>
      </c>
      <c r="C2699" s="636" t="s">
        <v>3363</v>
      </c>
      <c r="D2699" s="637" t="s">
        <v>299</v>
      </c>
      <c r="E2699" s="638">
        <v>215.95</v>
      </c>
      <c r="F2699" s="639" t="s">
        <v>292</v>
      </c>
      <c r="G2699" s="484">
        <v>0</v>
      </c>
      <c r="H2699" s="691" t="str">
        <f>IF(G2699=0,"",IF(F2699="Buy",IF(G2699=1,"plant","plants"),IF(F2699&gt;0.01,"warranty","Error")))</f>
        <v/>
      </c>
      <c r="I2699" s="640">
        <f>IF(H2699="free",0,IF(H2699="credit",((E2699*(F2699))*G2699*-1),IF(F2699="Buy",(E2699*G2699),((E2699*(1-F2699))*G2699))))</f>
        <v>0</v>
      </c>
      <c r="J2699" s="640">
        <f>IF(H2699="warranty",0,(I2699*(_xlfn.SINGLE(SalesTaxPercentage))))</f>
        <v>0</v>
      </c>
      <c r="K2699" s="716">
        <f t="shared" ref="K2699" si="2050">I2699+J2699</f>
        <v>0</v>
      </c>
      <c r="L2699" s="716"/>
      <c r="M2699" s="689" t="str">
        <f ca="1">IF(AND(G2699&gt;0,E2699=0),"WARNING - no PRICE inserted",IF(H2699="free","FREE ~ no charge this plant",IF(H2699="credit",CONCATENATE("-$",ROUND(K2699*(1-_xlfn.SINGLE(T2GDiscount))*-1,2)," CREDIT after discount"),IF(_xlfn.SINGLE(T2GDiscount)=0,"",IF(G2699=0,"",IF(F2699="Buy",CONCATENATE("$",ROUND(K2699*(1-_xlfn.SINGLE(T2GDiscount)),2)," with ",(_xlfn.SINGLE(T2GDiscount)*100),"% discount"),CONCATENATE("$",ROUND(K2699*(1-_xlfn.SINGLE(T2GDiscount)),2)," with ",((_xlfn.SINGLE(T2GDiscount)*100+F2699*100)-(_xlfn.SINGLE(T2GDiscount)*100*F2699)),IF(F2699&gt;0,"% discounts",IF(_xlfn.SINGLE(NoWarrantyDiscount)&gt;0,"% discounts","% discount")))))))))</f>
        <v/>
      </c>
      <c r="N2699" s="690"/>
      <c r="O2699" s="486"/>
      <c r="P2699" s="486"/>
      <c r="Q2699" s="486"/>
      <c r="R2699" s="486"/>
      <c r="S2699" s="486"/>
      <c r="T2699" s="102">
        <f t="shared" si="1995"/>
        <v>0</v>
      </c>
      <c r="U2699" s="78">
        <f>IF(NOT(ISNUMBER(G2699)), "", VLOOKUP(A2699,'Discount Lookup'!D:E,2,FALSE)*G2699)</f>
        <v>0</v>
      </c>
      <c r="V2699" s="78">
        <f>IF(NOT(ISNUMBER(G2699)), "", VLOOKUP(A2699,'Discount Lookup'!G:H,2,FALSE)*G2699)</f>
        <v>0</v>
      </c>
      <c r="W2699" s="102">
        <f t="shared" si="1996"/>
        <v>0</v>
      </c>
      <c r="X2699" s="102">
        <f t="shared" si="1997"/>
        <v>0</v>
      </c>
      <c r="Y2699" s="120" t="b">
        <f t="shared" si="1998"/>
        <v>0</v>
      </c>
      <c r="Z2699" s="117">
        <f t="shared" si="1999"/>
        <v>0</v>
      </c>
      <c r="AA2699" s="118"/>
      <c r="AB2699" s="118" t="str">
        <f t="shared" si="2000"/>
        <v/>
      </c>
      <c r="AC2699" s="712" t="str">
        <f>IF(AE2699="T2G","no charge",IF(AND(OR(PlanterYesMe="No",PlanterYesMe="N",PlanterYesMe="me"),H2699=""),"",IF(H2699="credit","NO install",IF(AND(K2699="",AE2699="me"),"EACH row",IF(AND(K2699="images",AE2699="me"),"EACH row",IF(D2699="","",IF(H2699="credit","",IF(AE2699="free","re-planting",IF(AE2699="me","   not ELP, by",IF(AND(OR(PlanterYesMe="Yes",PlanterYesMe="Y"),G2699&gt;0),(VLOOKUP(A2699,'Discount Lookup'!J:K,2)*G2699*(1-PlanterDiscount)*(1+PlanterDifficultyPercentage)),IF(AE2699="ELP",(VLOOKUP(A2699,'Discount Lookup'!J:K,2)*G2699*(1-PlanterDiscount)*(1+PlanterDifficultyPercentage)),IF(AE2699="free","re-planting",IF(G2699=0,"",IF(PlanterYesMe="",IF(AE2699="me","   not ELP, by",IF(AE2699="",IF(G2699&gt;0,(VLOOKUP(A2699,'Discount Lookup'!J:K,2)*G2699*(1-PlanterDiscount)*(1+PlanterDifficultyPercentage)),""),"")),"   not ELP, by"))))))))))))))</f>
        <v/>
      </c>
      <c r="AD2699" s="712"/>
      <c r="AE2699" s="513" t="str">
        <f t="shared" si="2001"/>
        <v/>
      </c>
      <c r="AF2699" s="713" t="str">
        <f t="shared" si="2002"/>
        <v/>
      </c>
      <c r="AG2699" s="713"/>
      <c r="AH2699" s="713"/>
      <c r="AI2699" s="112">
        <f>IF(H2699="credit",0,IF(AE2699="free",0,IF(AE2699="me",0,IF(G2699&gt;0,(VLOOKUP(A2699,'Discount Lookup'!J:K,2)*G2699),0))))</f>
        <v>0</v>
      </c>
      <c r="AJ2699" s="107" t="str">
        <f t="shared" ca="1" si="2003"/>
        <v/>
      </c>
      <c r="AK2699" s="714" t="str">
        <f t="shared" si="2004"/>
        <v/>
      </c>
      <c r="AL2699" s="714"/>
      <c r="AM2699" s="114" t="str">
        <f t="shared" si="2005"/>
        <v/>
      </c>
      <c r="AN2699" s="115"/>
      <c r="AO2699" s="116"/>
      <c r="AP2699" s="116"/>
      <c r="AQ2699" s="116"/>
      <c r="AR2699" s="116"/>
      <c r="AS2699" s="116"/>
      <c r="AT2699" s="116"/>
      <c r="AU2699" s="116"/>
      <c r="AV2699" s="78"/>
      <c r="AW2699" s="102"/>
      <c r="AX2699" s="78"/>
      <c r="AY2699" s="78"/>
      <c r="AZ2699" s="78"/>
      <c r="BA2699" s="78"/>
      <c r="BB2699" s="78"/>
      <c r="BC2699" s="78"/>
      <c r="BD2699" s="78"/>
      <c r="BE2699" s="465"/>
      <c r="BF2699" s="165" t="str">
        <f t="shared" si="2006"/>
        <v>https://www.google.com/search?tbm=isch&amp;q=15%20G4</v>
      </c>
      <c r="BG2699" s="165" t="str">
        <f t="shared" si="2007"/>
        <v>L</v>
      </c>
      <c r="BH2699" s="65"/>
      <c r="BI2699" s="65"/>
      <c r="BJ2699" s="65"/>
      <c r="BK2699" s="65"/>
      <c r="BL2699" s="99"/>
      <c r="BM2699" s="99"/>
      <c r="BN2699" s="99"/>
    </row>
    <row r="2700" spans="1:66" s="51" customFormat="1" ht="17.25" thickBot="1" x14ac:dyDescent="0.3">
      <c r="A2700" s="704" t="s">
        <v>5472</v>
      </c>
      <c r="B2700" s="642"/>
      <c r="C2700" s="710"/>
      <c r="D2700" s="643"/>
      <c r="E2700" s="643"/>
      <c r="F2700" s="644"/>
      <c r="G2700" s="645"/>
      <c r="H2700" s="646"/>
      <c r="I2700" s="647"/>
      <c r="J2700" s="648"/>
      <c r="K2700" s="649"/>
      <c r="L2700" s="650"/>
      <c r="M2700" s="650"/>
      <c r="N2700" s="644"/>
      <c r="O2700" s="644"/>
      <c r="P2700" s="644"/>
      <c r="Q2700" s="644"/>
      <c r="R2700" s="644"/>
      <c r="S2700" s="701" t="s">
        <v>5294</v>
      </c>
      <c r="T2700" s="102">
        <f t="shared" si="1995"/>
        <v>0</v>
      </c>
      <c r="U2700" s="78" t="str">
        <f>IF(NOT(ISNUMBER(G2700)), "", VLOOKUP(A2700,'Discount Lookup'!D:E,2,FALSE)*G2700)</f>
        <v/>
      </c>
      <c r="V2700" s="78" t="str">
        <f>IF(NOT(ISNUMBER(G2700)), "", VLOOKUP(A2700,'Discount Lookup'!G:H,2,FALSE)*G2700)</f>
        <v/>
      </c>
      <c r="W2700" s="102">
        <f t="shared" si="1996"/>
        <v>0</v>
      </c>
      <c r="X2700" s="102">
        <f t="shared" si="1997"/>
        <v>0</v>
      </c>
      <c r="Y2700" s="120" t="b">
        <f t="shared" si="1998"/>
        <v>0</v>
      </c>
      <c r="Z2700" s="117">
        <f t="shared" si="1999"/>
        <v>0</v>
      </c>
      <c r="AA2700" s="118"/>
      <c r="AB2700" s="118" t="str">
        <f t="shared" si="2000"/>
        <v/>
      </c>
      <c r="AC2700" s="712" t="str">
        <f>IF(AE2700="T2G","no charge",IF(AND(OR(PlanterYesMe="No",PlanterYesMe="N",PlanterYesMe="me"),H2700=""),"",IF(H2700="credit","NO install",IF(AND(K2700="",AE2700="me"),"EACH row",IF(AND(K2700="images",AE2700="me"),"EACH row",IF(D2700="","",IF(H2700="credit","",IF(AE2700="free","re-planting",IF(AE2700="me","   not ELP, by",IF(AND(OR(PlanterYesMe="Yes",PlanterYesMe="Y"),G2700&gt;0),(VLOOKUP(A2700,'Discount Lookup'!J:K,2)*G2700*(1-PlanterDiscount)*(1+PlanterDifficultyPercentage)),IF(AE2700="ELP",(VLOOKUP(A2700,'Discount Lookup'!J:K,2)*G2700*(1-PlanterDiscount)*(1+PlanterDifficultyPercentage)),IF(AE2700="free","re-planting",IF(G2700=0,"",IF(PlanterYesMe="",IF(AE2700="me","   not ELP, by",IF(AE2700="",IF(G2700&gt;0,(VLOOKUP(A2700,'Discount Lookup'!J:K,2)*G2700*(1-PlanterDiscount)*(1+PlanterDifficultyPercentage)),""),"")),"   not ELP, by"))))))))))))))</f>
        <v/>
      </c>
      <c r="AD2700" s="712"/>
      <c r="AE2700" s="513" t="str">
        <f t="shared" si="2001"/>
        <v/>
      </c>
      <c r="AF2700" s="713" t="str">
        <f t="shared" si="2002"/>
        <v/>
      </c>
      <c r="AG2700" s="713"/>
      <c r="AH2700" s="713"/>
      <c r="AI2700" s="112">
        <f>IF(H2700="credit",0,IF(AE2700="free",0,IF(AE2700="me",0,IF(G2700&gt;0,(VLOOKUP(A2700,'Discount Lookup'!J:K,2)*G2700),0))))</f>
        <v>0</v>
      </c>
      <c r="AJ2700" s="107" t="str">
        <f t="shared" ca="1" si="2003"/>
        <v/>
      </c>
      <c r="AK2700" s="714" t="str">
        <f t="shared" si="2004"/>
        <v/>
      </c>
      <c r="AL2700" s="714"/>
      <c r="AM2700" s="114" t="str">
        <f t="shared" si="2005"/>
        <v/>
      </c>
      <c r="AN2700" s="115"/>
      <c r="AO2700" s="116"/>
      <c r="AP2700" s="116"/>
      <c r="AQ2700" s="116"/>
      <c r="AR2700" s="116"/>
      <c r="AS2700" s="116"/>
      <c r="AT2700" s="116"/>
      <c r="AU2700" s="116"/>
      <c r="AV2700" s="78"/>
      <c r="AW2700" s="102"/>
      <c r="AX2700" s="78"/>
      <c r="AY2700" s="78"/>
      <c r="AZ2700" s="78"/>
      <c r="BA2700" s="78"/>
      <c r="BB2700" s="78"/>
      <c r="BC2700" s="78"/>
      <c r="BD2700" s="78"/>
      <c r="BE2700" s="465"/>
      <c r="BF2700" s="165" t="str">
        <f t="shared" si="2006"/>
        <v>https://www.google.com/search?tbm=isch&amp;q=moist%20sites%F0%9F%92%A7GOOD%2C%20Little%20Volunteer%20bring%20Tulip%20trees%20to%20anyone%27s%20backyard%20with%20it%27s%20smaller%20form.%20Now%20we%20can%20see%20the%20blooms%21%20</v>
      </c>
      <c r="BG2700" s="165" t="str">
        <f t="shared" si="2007"/>
        <v>m</v>
      </c>
      <c r="BH2700" s="65"/>
      <c r="BI2700" s="65"/>
      <c r="BJ2700" s="65"/>
      <c r="BK2700" s="65"/>
      <c r="BL2700" s="99"/>
      <c r="BM2700" s="99"/>
      <c r="BN2700" s="99"/>
    </row>
    <row r="2701" spans="1:66" s="51" customFormat="1" ht="18" x14ac:dyDescent="0.25">
      <c r="A2701" s="623" t="s">
        <v>3364</v>
      </c>
      <c r="B2701" s="624"/>
      <c r="C2701" s="709"/>
      <c r="D2701" s="625" t="s">
        <v>3365</v>
      </c>
      <c r="E2701" s="626"/>
      <c r="F2701" s="626"/>
      <c r="G2701" s="626"/>
      <c r="H2701" s="622" t="s">
        <v>3366</v>
      </c>
      <c r="I2701" s="627" t="s">
        <v>3361</v>
      </c>
      <c r="J2701" s="628"/>
      <c r="K2701" s="628"/>
      <c r="L2701" s="629"/>
      <c r="M2701" s="700" t="s">
        <v>5241</v>
      </c>
      <c r="N2701" s="693" t="str">
        <f>IF(AND(ISTEXT($A2701), ISERROR($A2701+0)), HYPERLINK($BF2701, "Images"), "")</f>
        <v>Images</v>
      </c>
      <c r="O2701" s="695" t="s">
        <v>5247</v>
      </c>
      <c r="P2701" s="630"/>
      <c r="Q2701" s="631"/>
      <c r="R2701" s="632"/>
      <c r="S2701" s="633" t="s">
        <v>294</v>
      </c>
      <c r="T2701" s="102">
        <f t="shared" si="1995"/>
        <v>0</v>
      </c>
      <c r="U2701" s="78" t="str">
        <f>IF(NOT(ISNUMBER(G2701)), "", VLOOKUP(A2701,'Discount Lookup'!D:E,2,FALSE)*G2701)</f>
        <v/>
      </c>
      <c r="V2701" s="78" t="str">
        <f>IF(NOT(ISNUMBER(G2701)), "", VLOOKUP(A2701,'Discount Lookup'!G:H,2,FALSE)*G2701)</f>
        <v/>
      </c>
      <c r="W2701" s="102">
        <f t="shared" si="1996"/>
        <v>0</v>
      </c>
      <c r="X2701" s="102" t="str">
        <f t="shared" si="1997"/>
        <v>Yellow bloom with Orange band</v>
      </c>
      <c r="Y2701" s="120" t="b">
        <f t="shared" si="1998"/>
        <v>0</v>
      </c>
      <c r="Z2701" s="117">
        <f t="shared" si="1999"/>
        <v>0</v>
      </c>
      <c r="AA2701" s="118"/>
      <c r="AB2701" s="118" t="str">
        <f t="shared" si="2000"/>
        <v/>
      </c>
      <c r="AC2701" s="712" t="str">
        <f>IF(AE2701="T2G","no charge",IF(AND(OR(PlanterYesMe="No",PlanterYesMe="N",PlanterYesMe="me"),H2701=""),"",IF(H2701="credit","NO install",IF(AND(K2701="",AE2701="me"),"EACH row",IF(AND(K2701="images",AE2701="me"),"EACH row",IF(D2701="","",IF(H2701="credit","",IF(AE2701="free","re-planting",IF(AE2701="me","   not ELP, by",IF(AND(OR(PlanterYesMe="Yes",PlanterYesMe="Y"),G2701&gt;0),(VLOOKUP(A2701,'Discount Lookup'!J:K,2)*G2701*(1-PlanterDiscount)*(1+PlanterDifficultyPercentage)),IF(AE2701="ELP",(VLOOKUP(A2701,'Discount Lookup'!J:K,2)*G2701*(1-PlanterDiscount)*(1+PlanterDifficultyPercentage)),IF(AE2701="free","re-planting",IF(G2701=0,"",IF(PlanterYesMe="",IF(AE2701="me","   not ELP, by",IF(AE2701="",IF(G2701&gt;0,(VLOOKUP(A2701,'Discount Lookup'!J:K,2)*G2701*(1-PlanterDiscount)*(1+PlanterDifficultyPercentage)),""),"")),"   not ELP, by"))))))))))))))</f>
        <v/>
      </c>
      <c r="AD2701" s="712"/>
      <c r="AE2701" s="513" t="str">
        <f t="shared" si="2001"/>
        <v/>
      </c>
      <c r="AF2701" s="713" t="str">
        <f t="shared" si="2002"/>
        <v/>
      </c>
      <c r="AG2701" s="713"/>
      <c r="AH2701" s="713"/>
      <c r="AI2701" s="112">
        <f>IF(H2701="credit",0,IF(AE2701="free",0,IF(AE2701="me",0,IF(G2701&gt;0,(VLOOKUP(A2701,'Discount Lookup'!J:K,2)*G2701),0))))</f>
        <v>0</v>
      </c>
      <c r="AJ2701" s="107" t="str">
        <f t="shared" ca="1" si="2003"/>
        <v/>
      </c>
      <c r="AK2701" s="714" t="str">
        <f t="shared" si="2004"/>
        <v/>
      </c>
      <c r="AL2701" s="714"/>
      <c r="AM2701" s="114" t="str">
        <f t="shared" si="2005"/>
        <v/>
      </c>
      <c r="AN2701" s="115"/>
      <c r="AO2701" s="116"/>
      <c r="AP2701" s="116"/>
      <c r="AQ2701" s="116"/>
      <c r="AR2701" s="116"/>
      <c r="AS2701" s="116"/>
      <c r="AT2701" s="116"/>
      <c r="AU2701" s="116"/>
      <c r="AV2701" s="78"/>
      <c r="AW2701" s="102"/>
      <c r="AX2701" s="78"/>
      <c r="AY2701" s="78"/>
      <c r="AZ2701" s="78"/>
      <c r="BA2701" s="78"/>
      <c r="BB2701" s="78"/>
      <c r="BC2701" s="78"/>
      <c r="BD2701" s="78"/>
      <c r="BE2701" s="465"/>
      <c r="BF2701" s="165" t="str">
        <f t="shared" si="2006"/>
        <v>https://www.google.com/search?tbm=isch&amp;q=Liriodendron%20tulipifera%20Tulip%20Poplar</v>
      </c>
      <c r="BG2701" s="165" t="str">
        <f t="shared" si="2007"/>
        <v>L</v>
      </c>
      <c r="BH2701" s="65"/>
      <c r="BI2701" s="65"/>
      <c r="BJ2701" s="65"/>
      <c r="BK2701" s="65"/>
      <c r="BL2701" s="99"/>
      <c r="BM2701" s="99"/>
      <c r="BN2701" s="99"/>
    </row>
    <row r="2702" spans="1:66" s="51" customFormat="1" ht="15.75" x14ac:dyDescent="0.25">
      <c r="A2702" s="634">
        <v>15</v>
      </c>
      <c r="B2702" s="635" t="s">
        <v>291</v>
      </c>
      <c r="C2702" s="636" t="s">
        <v>3367</v>
      </c>
      <c r="D2702" s="637" t="s">
        <v>299</v>
      </c>
      <c r="E2702" s="638">
        <v>160.94999999999999</v>
      </c>
      <c r="F2702" s="639" t="s">
        <v>292</v>
      </c>
      <c r="G2702" s="484">
        <v>0</v>
      </c>
      <c r="H2702" s="691" t="str">
        <f>IF(G2702=0,"",IF(F2702="Buy",IF(G2702=1,"plant","plants"),IF(F2702&gt;0.01,"warranty","Error")))</f>
        <v/>
      </c>
      <c r="I2702" s="640">
        <f>IF(H2702="free",0,IF(H2702="credit",((E2702*(F2702))*G2702*-1),IF(F2702="Buy",(E2702*G2702),((E2702*(1-F2702))*G2702))))</f>
        <v>0</v>
      </c>
      <c r="J2702" s="640">
        <f>IF(H2702="warranty",0,(I2702*(_xlfn.SINGLE(SalesTaxPercentage))))</f>
        <v>0</v>
      </c>
      <c r="K2702" s="716">
        <f t="shared" ref="K2702" si="2051">I2702+J2702</f>
        <v>0</v>
      </c>
      <c r="L2702" s="716"/>
      <c r="M2702" s="689" t="str">
        <f ca="1">IF(AND(G2702&gt;0,E2702=0),"WARNING - no PRICE inserted",IF(H2702="free","FREE ~ no charge this plant",IF(H2702="credit",CONCATENATE("-$",ROUND(K2702*(1-_xlfn.SINGLE(T2GDiscount))*-1,2)," CREDIT after discount"),IF(_xlfn.SINGLE(T2GDiscount)=0,"",IF(G2702=0,"",IF(F2702="Buy",CONCATENATE("$",ROUND(K2702*(1-_xlfn.SINGLE(T2GDiscount)),2)," with ",(_xlfn.SINGLE(T2GDiscount)*100),"% discount"),CONCATENATE("$",ROUND(K2702*(1-_xlfn.SINGLE(T2GDiscount)),2)," with ",((_xlfn.SINGLE(T2GDiscount)*100+F2702*100)-(_xlfn.SINGLE(T2GDiscount)*100*F2702)),IF(F2702&gt;0,"% discounts",IF(_xlfn.SINGLE(NoWarrantyDiscount)&gt;0,"% discounts","% discount")))))))))</f>
        <v/>
      </c>
      <c r="N2702" s="690"/>
      <c r="O2702" s="486"/>
      <c r="P2702" s="486"/>
      <c r="Q2702" s="486"/>
      <c r="R2702" s="486"/>
      <c r="S2702" s="486"/>
      <c r="T2702" s="102">
        <f t="shared" si="1995"/>
        <v>0</v>
      </c>
      <c r="U2702" s="78">
        <f>IF(NOT(ISNUMBER(G2702)), "", VLOOKUP(A2702,'Discount Lookup'!D:E,2,FALSE)*G2702)</f>
        <v>0</v>
      </c>
      <c r="V2702" s="78">
        <f>IF(NOT(ISNUMBER(G2702)), "", VLOOKUP(A2702,'Discount Lookup'!G:H,2,FALSE)*G2702)</f>
        <v>0</v>
      </c>
      <c r="W2702" s="102">
        <f t="shared" si="1996"/>
        <v>0</v>
      </c>
      <c r="X2702" s="102">
        <f t="shared" si="1997"/>
        <v>0</v>
      </c>
      <c r="Y2702" s="120" t="b">
        <f t="shared" si="1998"/>
        <v>0</v>
      </c>
      <c r="Z2702" s="117">
        <f t="shared" si="1999"/>
        <v>0</v>
      </c>
      <c r="AA2702" s="118"/>
      <c r="AB2702" s="118" t="str">
        <f t="shared" si="2000"/>
        <v/>
      </c>
      <c r="AC2702" s="712" t="str">
        <f>IF(AE2702="T2G","no charge",IF(AND(OR(PlanterYesMe="No",PlanterYesMe="N",PlanterYesMe="me"),H2702=""),"",IF(H2702="credit","NO install",IF(AND(K2702="",AE2702="me"),"EACH row",IF(AND(K2702="images",AE2702="me"),"EACH row",IF(D2702="","",IF(H2702="credit","",IF(AE2702="free","re-planting",IF(AE2702="me","   not ELP, by",IF(AND(OR(PlanterYesMe="Yes",PlanterYesMe="Y"),G2702&gt;0),(VLOOKUP(A2702,'Discount Lookup'!J:K,2)*G2702*(1-PlanterDiscount)*(1+PlanterDifficultyPercentage)),IF(AE2702="ELP",(VLOOKUP(A2702,'Discount Lookup'!J:K,2)*G2702*(1-PlanterDiscount)*(1+PlanterDifficultyPercentage)),IF(AE2702="free","re-planting",IF(G2702=0,"",IF(PlanterYesMe="",IF(AE2702="me","   not ELP, by",IF(AE2702="",IF(G2702&gt;0,(VLOOKUP(A2702,'Discount Lookup'!J:K,2)*G2702*(1-PlanterDiscount)*(1+PlanterDifficultyPercentage)),""),"")),"   not ELP, by"))))))))))))))</f>
        <v/>
      </c>
      <c r="AD2702" s="712"/>
      <c r="AE2702" s="513" t="str">
        <f t="shared" si="2001"/>
        <v/>
      </c>
      <c r="AF2702" s="713" t="str">
        <f t="shared" si="2002"/>
        <v/>
      </c>
      <c r="AG2702" s="713"/>
      <c r="AH2702" s="713"/>
      <c r="AI2702" s="112">
        <f>IF(H2702="credit",0,IF(AE2702="free",0,IF(AE2702="me",0,IF(G2702&gt;0,(VLOOKUP(A2702,'Discount Lookup'!J:K,2)*G2702),0))))</f>
        <v>0</v>
      </c>
      <c r="AJ2702" s="107" t="str">
        <f t="shared" ca="1" si="2003"/>
        <v/>
      </c>
      <c r="AK2702" s="714" t="str">
        <f t="shared" si="2004"/>
        <v/>
      </c>
      <c r="AL2702" s="714"/>
      <c r="AM2702" s="114" t="str">
        <f t="shared" si="2005"/>
        <v/>
      </c>
      <c r="AN2702" s="115"/>
      <c r="AO2702" s="116"/>
      <c r="AP2702" s="116"/>
      <c r="AQ2702" s="116"/>
      <c r="AR2702" s="116"/>
      <c r="AS2702" s="116"/>
      <c r="AT2702" s="116"/>
      <c r="AU2702" s="116"/>
      <c r="AV2702" s="78"/>
      <c r="AW2702" s="102"/>
      <c r="AX2702" s="78"/>
      <c r="AY2702" s="78"/>
      <c r="AZ2702" s="78"/>
      <c r="BA2702" s="78"/>
      <c r="BB2702" s="78"/>
      <c r="BC2702" s="78"/>
      <c r="BD2702" s="78"/>
      <c r="BE2702" s="465"/>
      <c r="BF2702" s="165" t="str">
        <f t="shared" si="2006"/>
        <v>https://www.google.com/search?tbm=isch&amp;q=15%20G4</v>
      </c>
      <c r="BG2702" s="165" t="str">
        <f t="shared" si="2007"/>
        <v>L</v>
      </c>
      <c r="BH2702" s="65"/>
      <c r="BI2702" s="65"/>
      <c r="BJ2702" s="65"/>
      <c r="BK2702" s="65"/>
      <c r="BL2702" s="99"/>
      <c r="BM2702" s="99"/>
      <c r="BN2702" s="99"/>
    </row>
    <row r="2703" spans="1:66" s="51" customFormat="1" ht="15.75" x14ac:dyDescent="0.25">
      <c r="A2703" s="634">
        <v>15</v>
      </c>
      <c r="B2703" s="635" t="s">
        <v>291</v>
      </c>
      <c r="C2703" s="636" t="s">
        <v>3368</v>
      </c>
      <c r="D2703" s="637" t="s">
        <v>311</v>
      </c>
      <c r="E2703" s="638">
        <v>171.95</v>
      </c>
      <c r="F2703" s="639" t="s">
        <v>292</v>
      </c>
      <c r="G2703" s="484">
        <v>0</v>
      </c>
      <c r="H2703" s="691" t="str">
        <f>IF(G2703=0,"",IF(F2703="Buy",IF(G2703=1,"plant","plants"),IF(F2703&gt;0.01,"warranty","Error")))</f>
        <v/>
      </c>
      <c r="I2703" s="640">
        <f>IF(H2703="free",0,IF(H2703="credit",((E2703*(F2703))*G2703*-1),IF(F2703="Buy",(E2703*G2703),((E2703*(1-F2703))*G2703))))</f>
        <v>0</v>
      </c>
      <c r="J2703" s="640">
        <f>IF(H2703="warranty",0,(I2703*(_xlfn.SINGLE(SalesTaxPercentage))))</f>
        <v>0</v>
      </c>
      <c r="K2703" s="716">
        <f t="shared" ref="K2703" si="2052">I2703+J2703</f>
        <v>0</v>
      </c>
      <c r="L2703" s="716"/>
      <c r="M2703" s="689" t="str">
        <f ca="1">IF(AND(G2703&gt;0,E2703=0),"WARNING - no PRICE inserted",IF(H2703="free","FREE ~ no charge this plant",IF(H2703="credit",CONCATENATE("-$",ROUND(K2703*(1-_xlfn.SINGLE(T2GDiscount))*-1,2)," CREDIT after discount"),IF(_xlfn.SINGLE(T2GDiscount)=0,"",IF(G2703=0,"",IF(F2703="Buy",CONCATENATE("$",ROUND(K2703*(1-_xlfn.SINGLE(T2GDiscount)),2)," with ",(_xlfn.SINGLE(T2GDiscount)*100),"% discount"),CONCATENATE("$",ROUND(K2703*(1-_xlfn.SINGLE(T2GDiscount)),2)," with ",((_xlfn.SINGLE(T2GDiscount)*100+F2703*100)-(_xlfn.SINGLE(T2GDiscount)*100*F2703)),IF(F2703&gt;0,"% discounts",IF(_xlfn.SINGLE(NoWarrantyDiscount)&gt;0,"% discounts","% discount")))))))))</f>
        <v/>
      </c>
      <c r="N2703" s="690"/>
      <c r="O2703" s="486"/>
      <c r="P2703" s="486"/>
      <c r="Q2703" s="486"/>
      <c r="R2703" s="486"/>
      <c r="S2703" s="486"/>
      <c r="T2703" s="102">
        <f t="shared" si="1995"/>
        <v>0</v>
      </c>
      <c r="U2703" s="78">
        <f>IF(NOT(ISNUMBER(G2703)), "", VLOOKUP(A2703,'Discount Lookup'!D:E,2,FALSE)*G2703)</f>
        <v>0</v>
      </c>
      <c r="V2703" s="78">
        <f>IF(NOT(ISNUMBER(G2703)), "", VLOOKUP(A2703,'Discount Lookup'!G:H,2,FALSE)*G2703)</f>
        <v>0</v>
      </c>
      <c r="W2703" s="102">
        <f t="shared" si="1996"/>
        <v>0</v>
      </c>
      <c r="X2703" s="102">
        <f t="shared" si="1997"/>
        <v>0</v>
      </c>
      <c r="Y2703" s="120" t="b">
        <f t="shared" si="1998"/>
        <v>0</v>
      </c>
      <c r="Z2703" s="117">
        <f t="shared" si="1999"/>
        <v>0</v>
      </c>
      <c r="AA2703" s="118"/>
      <c r="AB2703" s="118" t="str">
        <f t="shared" si="2000"/>
        <v/>
      </c>
      <c r="AC2703" s="712" t="str">
        <f>IF(AE2703="T2G","no charge",IF(AND(OR(PlanterYesMe="No",PlanterYesMe="N",PlanterYesMe="me"),H2703=""),"",IF(H2703="credit","NO install",IF(AND(K2703="",AE2703="me"),"EACH row",IF(AND(K2703="images",AE2703="me"),"EACH row",IF(D2703="","",IF(H2703="credit","",IF(AE2703="free","re-planting",IF(AE2703="me","   not ELP, by",IF(AND(OR(PlanterYesMe="Yes",PlanterYesMe="Y"),G2703&gt;0),(VLOOKUP(A2703,'Discount Lookup'!J:K,2)*G2703*(1-PlanterDiscount)*(1+PlanterDifficultyPercentage)),IF(AE2703="ELP",(VLOOKUP(A2703,'Discount Lookup'!J:K,2)*G2703*(1-PlanterDiscount)*(1+PlanterDifficultyPercentage)),IF(AE2703="free","re-planting",IF(G2703=0,"",IF(PlanterYesMe="",IF(AE2703="me","   not ELP, by",IF(AE2703="",IF(G2703&gt;0,(VLOOKUP(A2703,'Discount Lookup'!J:K,2)*G2703*(1-PlanterDiscount)*(1+PlanterDifficultyPercentage)),""),"")),"   not ELP, by"))))))))))))))</f>
        <v/>
      </c>
      <c r="AD2703" s="712"/>
      <c r="AE2703" s="513" t="str">
        <f t="shared" si="2001"/>
        <v/>
      </c>
      <c r="AF2703" s="713" t="str">
        <f t="shared" si="2002"/>
        <v/>
      </c>
      <c r="AG2703" s="713"/>
      <c r="AH2703" s="713"/>
      <c r="AI2703" s="112">
        <f>IF(H2703="credit",0,IF(AE2703="free",0,IF(AE2703="me",0,IF(G2703&gt;0,(VLOOKUP(A2703,'Discount Lookup'!J:K,2)*G2703),0))))</f>
        <v>0</v>
      </c>
      <c r="AJ2703" s="107" t="str">
        <f t="shared" ca="1" si="2003"/>
        <v/>
      </c>
      <c r="AK2703" s="714" t="str">
        <f t="shared" si="2004"/>
        <v/>
      </c>
      <c r="AL2703" s="714"/>
      <c r="AM2703" s="114" t="str">
        <f t="shared" si="2005"/>
        <v/>
      </c>
      <c r="AN2703" s="115"/>
      <c r="AO2703" s="116"/>
      <c r="AP2703" s="116"/>
      <c r="AQ2703" s="116"/>
      <c r="AR2703" s="116"/>
      <c r="AS2703" s="116"/>
      <c r="AT2703" s="116"/>
      <c r="AU2703" s="116"/>
      <c r="AV2703" s="78"/>
      <c r="AW2703" s="102"/>
      <c r="AX2703" s="78"/>
      <c r="AY2703" s="78"/>
      <c r="AZ2703" s="78"/>
      <c r="BA2703" s="78"/>
      <c r="BB2703" s="78"/>
      <c r="BC2703" s="78"/>
      <c r="BD2703" s="78"/>
      <c r="BE2703" s="465"/>
      <c r="BF2703" s="165" t="str">
        <f t="shared" si="2006"/>
        <v>https://www.google.com/search?tbm=isch&amp;q=15%20G5</v>
      </c>
      <c r="BG2703" s="165" t="str">
        <f t="shared" si="2007"/>
        <v>L</v>
      </c>
      <c r="BH2703" s="65"/>
      <c r="BI2703" s="65"/>
      <c r="BJ2703" s="65"/>
      <c r="BK2703" s="65"/>
      <c r="BL2703" s="99"/>
      <c r="BM2703" s="99"/>
      <c r="BN2703" s="99"/>
    </row>
    <row r="2704" spans="1:66" s="51" customFormat="1" ht="16.5" x14ac:dyDescent="0.25">
      <c r="A2704" s="704" t="s">
        <v>5473</v>
      </c>
      <c r="B2704" s="642"/>
      <c r="C2704" s="710"/>
      <c r="D2704" s="643"/>
      <c r="E2704" s="643"/>
      <c r="F2704" s="644"/>
      <c r="G2704" s="645"/>
      <c r="H2704" s="646"/>
      <c r="I2704" s="647"/>
      <c r="J2704" s="648"/>
      <c r="K2704" s="649"/>
      <c r="L2704" s="650"/>
      <c r="M2704" s="650"/>
      <c r="N2704" s="644"/>
      <c r="O2704" s="644"/>
      <c r="P2704" s="644"/>
      <c r="Q2704" s="644"/>
      <c r="R2704" s="644"/>
      <c r="S2704" s="701" t="s">
        <v>5294</v>
      </c>
      <c r="T2704" s="102">
        <f t="shared" si="1995"/>
        <v>0</v>
      </c>
      <c r="U2704" s="78" t="str">
        <f>IF(NOT(ISNUMBER(G2704)), "", VLOOKUP(A2704,'Discount Lookup'!D:E,2,FALSE)*G2704)</f>
        <v/>
      </c>
      <c r="V2704" s="78" t="str">
        <f>IF(NOT(ISNUMBER(G2704)), "", VLOOKUP(A2704,'Discount Lookup'!G:H,2,FALSE)*G2704)</f>
        <v/>
      </c>
      <c r="W2704" s="102">
        <f t="shared" si="1996"/>
        <v>0</v>
      </c>
      <c r="X2704" s="102">
        <f t="shared" si="1997"/>
        <v>0</v>
      </c>
      <c r="Y2704" s="120" t="b">
        <f t="shared" si="1998"/>
        <v>0</v>
      </c>
      <c r="Z2704" s="117">
        <f t="shared" si="1999"/>
        <v>0</v>
      </c>
      <c r="AA2704" s="118"/>
      <c r="AB2704" s="118" t="str">
        <f t="shared" si="2000"/>
        <v/>
      </c>
      <c r="AC2704" s="712" t="str">
        <f>IF(AE2704="T2G","no charge",IF(AND(OR(PlanterYesMe="No",PlanterYesMe="N",PlanterYesMe="me"),H2704=""),"",IF(H2704="credit","NO install",IF(AND(K2704="",AE2704="me"),"EACH row",IF(AND(K2704="images",AE2704="me"),"EACH row",IF(D2704="","",IF(H2704="credit","",IF(AE2704="free","re-planting",IF(AE2704="me","   not ELP, by",IF(AND(OR(PlanterYesMe="Yes",PlanterYesMe="Y"),G2704&gt;0),(VLOOKUP(A2704,'Discount Lookup'!J:K,2)*G2704*(1-PlanterDiscount)*(1+PlanterDifficultyPercentage)),IF(AE2704="ELP",(VLOOKUP(A2704,'Discount Lookup'!J:K,2)*G2704*(1-PlanterDiscount)*(1+PlanterDifficultyPercentage)),IF(AE2704="free","re-planting",IF(G2704=0,"",IF(PlanterYesMe="",IF(AE2704="me","   not ELP, by",IF(AE2704="",IF(G2704&gt;0,(VLOOKUP(A2704,'Discount Lookup'!J:K,2)*G2704*(1-PlanterDiscount)*(1+PlanterDifficultyPercentage)),""),"")),"   not ELP, by"))))))))))))))</f>
        <v/>
      </c>
      <c r="AD2704" s="712"/>
      <c r="AE2704" s="513" t="str">
        <f t="shared" si="2001"/>
        <v/>
      </c>
      <c r="AF2704" s="713" t="str">
        <f t="shared" si="2002"/>
        <v/>
      </c>
      <c r="AG2704" s="713"/>
      <c r="AH2704" s="713"/>
      <c r="AI2704" s="112">
        <f>IF(H2704="credit",0,IF(AE2704="free",0,IF(AE2704="me",0,IF(G2704&gt;0,(VLOOKUP(A2704,'Discount Lookup'!J:K,2)*G2704),0))))</f>
        <v>0</v>
      </c>
      <c r="AJ2704" s="107" t="str">
        <f t="shared" ca="1" si="2003"/>
        <v/>
      </c>
      <c r="AK2704" s="714" t="str">
        <f t="shared" si="2004"/>
        <v/>
      </c>
      <c r="AL2704" s="714"/>
      <c r="AM2704" s="114" t="str">
        <f t="shared" si="2005"/>
        <v/>
      </c>
      <c r="AN2704" s="115"/>
      <c r="AO2704" s="116"/>
      <c r="AP2704" s="116"/>
      <c r="AQ2704" s="116"/>
      <c r="AR2704" s="116"/>
      <c r="AS2704" s="116"/>
      <c r="AT2704" s="116"/>
      <c r="AU2704" s="116"/>
      <c r="AV2704" s="78"/>
      <c r="AW2704" s="102"/>
      <c r="AX2704" s="78"/>
      <c r="AY2704" s="78"/>
      <c r="AZ2704" s="78"/>
      <c r="BA2704" s="78"/>
      <c r="BB2704" s="78"/>
      <c r="BC2704" s="78"/>
      <c r="BD2704" s="78"/>
      <c r="BE2704" s="465"/>
      <c r="BF2704" s="165" t="str">
        <f t="shared" si="2006"/>
        <v>https://www.google.com/search?tbm=isch&amp;q=moist%20sites%F0%9F%92%A7GOOD%2C%20Tulip%20Poplar%20is%20named%20for%20both%20the%20tulip-like%20flower%20and%20the%20tulip-shaped%20leaf.%20Fast%20grower%20</v>
      </c>
      <c r="BG2704" s="165" t="str">
        <f t="shared" si="2007"/>
        <v>m</v>
      </c>
      <c r="BH2704" s="65"/>
      <c r="BI2704" s="65"/>
      <c r="BJ2704" s="65"/>
      <c r="BK2704" s="65"/>
      <c r="BL2704" s="99"/>
      <c r="BM2704" s="99"/>
      <c r="BN2704" s="99"/>
    </row>
    <row r="2705" spans="1:66" s="51" customFormat="1" ht="19.5" thickBot="1" x14ac:dyDescent="0.3">
      <c r="A2705" s="686" t="s">
        <v>591</v>
      </c>
      <c r="B2705" s="73"/>
      <c r="C2705" s="708"/>
      <c r="D2705" s="73"/>
      <c r="E2705" s="73"/>
      <c r="F2705" s="496"/>
      <c r="G2705" s="73"/>
      <c r="H2705" s="73"/>
      <c r="I2705" s="73"/>
      <c r="J2705" s="73"/>
      <c r="K2705" s="497" t="s">
        <v>357</v>
      </c>
      <c r="L2705" s="562"/>
      <c r="M2705" s="73"/>
      <c r="N2705"/>
      <c r="O2705"/>
      <c r="P2705"/>
      <c r="Q2705"/>
      <c r="R2705"/>
      <c r="S2705"/>
      <c r="T2705" s="102">
        <f t="shared" si="1995"/>
        <v>0</v>
      </c>
      <c r="U2705" s="78" t="str">
        <f>IF(NOT(ISNUMBER(G2705)), "", VLOOKUP(A2705,'Discount Lookup'!D:E,2,FALSE)*G2705)</f>
        <v/>
      </c>
      <c r="V2705" s="78" t="str">
        <f>IF(NOT(ISNUMBER(G2705)), "", VLOOKUP(A2705,'Discount Lookup'!G:H,2,FALSE)*G2705)</f>
        <v/>
      </c>
      <c r="W2705" s="102">
        <f t="shared" si="1996"/>
        <v>0</v>
      </c>
      <c r="X2705" s="102">
        <f t="shared" si="1997"/>
        <v>0</v>
      </c>
      <c r="Y2705" s="120" t="b">
        <f t="shared" si="1998"/>
        <v>0</v>
      </c>
      <c r="Z2705" s="117">
        <f t="shared" si="1999"/>
        <v>0</v>
      </c>
      <c r="AA2705" s="118"/>
      <c r="AB2705" s="118" t="str">
        <f t="shared" si="2000"/>
        <v/>
      </c>
      <c r="AC2705" s="712" t="str">
        <f>IF(AE2705="T2G","no charge",IF(AND(OR(PlanterYesMe="No",PlanterYesMe="N",PlanterYesMe="me"),H2705=""),"",IF(H2705="credit","NO install",IF(AND(K2705="",AE2705="me"),"EACH row",IF(AND(K2705="images",AE2705="me"),"EACH row",IF(D2705="","",IF(H2705="credit","",IF(AE2705="free","re-planting",IF(AE2705="me","   not ELP, by",IF(AND(OR(PlanterYesMe="Yes",PlanterYesMe="Y"),G2705&gt;0),(VLOOKUP(A2705,'Discount Lookup'!J:K,2)*G2705*(1-PlanterDiscount)*(1+PlanterDifficultyPercentage)),IF(AE2705="ELP",(VLOOKUP(A2705,'Discount Lookup'!J:K,2)*G2705*(1-PlanterDiscount)*(1+PlanterDifficultyPercentage)),IF(AE2705="free","re-planting",IF(G2705=0,"",IF(PlanterYesMe="",IF(AE2705="me","   not ELP, by",IF(AE2705="",IF(G2705&gt;0,(VLOOKUP(A2705,'Discount Lookup'!J:K,2)*G2705*(1-PlanterDiscount)*(1+PlanterDifficultyPercentage)),""),"")),"   not ELP, by"))))))))))))))</f>
        <v/>
      </c>
      <c r="AD2705" s="712"/>
      <c r="AE2705" s="513" t="str">
        <f t="shared" si="2001"/>
        <v/>
      </c>
      <c r="AF2705" s="713" t="str">
        <f t="shared" si="2002"/>
        <v/>
      </c>
      <c r="AG2705" s="713"/>
      <c r="AH2705" s="713"/>
      <c r="AI2705" s="112">
        <f>IF(H2705="credit",0,IF(AE2705="free",0,IF(AE2705="me",0,IF(G2705&gt;0,(VLOOKUP(A2705,'Discount Lookup'!J:K,2)*G2705),0))))</f>
        <v>0</v>
      </c>
      <c r="AJ2705" s="107" t="str">
        <f t="shared" ca="1" si="2003"/>
        <v/>
      </c>
      <c r="AK2705" s="714" t="str">
        <f t="shared" si="2004"/>
        <v/>
      </c>
      <c r="AL2705" s="714"/>
      <c r="AM2705" s="114" t="str">
        <f t="shared" si="2005"/>
        <v/>
      </c>
      <c r="AN2705" s="115"/>
      <c r="AO2705" s="116"/>
      <c r="AP2705" s="116"/>
      <c r="AQ2705" s="116"/>
      <c r="AR2705" s="116"/>
      <c r="AS2705" s="116"/>
      <c r="AT2705" s="116"/>
      <c r="AU2705" s="116"/>
      <c r="AV2705" s="78"/>
      <c r="AW2705" s="102"/>
      <c r="AX2705" s="78"/>
      <c r="AY2705" s="78"/>
      <c r="AZ2705" s="78"/>
      <c r="BA2705" s="78"/>
      <c r="BB2705" s="78"/>
      <c r="BC2705" s="78"/>
      <c r="BD2705" s="78"/>
      <c r="BE2705" s="465"/>
      <c r="BF2705" s="165" t="str">
        <f t="shared" si="2006"/>
        <v>https://www.google.com/search?tbm=isch&amp;q=Liriope%20%3D%20Border%20Grass%2C%20Lilyturf%2C%20Monkey%20Grass%2C%20and%20Spider%20Grass%20</v>
      </c>
      <c r="BG2705" s="165" t="str">
        <f t="shared" si="2007"/>
        <v>L</v>
      </c>
      <c r="BH2705" s="65"/>
      <c r="BI2705" s="65"/>
      <c r="BJ2705" s="65"/>
      <c r="BK2705" s="65"/>
      <c r="BL2705" s="99"/>
      <c r="BM2705" s="99"/>
      <c r="BN2705" s="99"/>
    </row>
    <row r="2706" spans="1:66" s="51" customFormat="1" ht="18" x14ac:dyDescent="0.25">
      <c r="A2706" s="507" t="s">
        <v>3369</v>
      </c>
      <c r="B2706" s="470"/>
      <c r="C2706" s="706"/>
      <c r="D2706" s="471" t="s">
        <v>3370</v>
      </c>
      <c r="E2706" s="472"/>
      <c r="F2706" s="472"/>
      <c r="G2706" s="472"/>
      <c r="H2706" s="622" t="s">
        <v>1525</v>
      </c>
      <c r="I2706" s="473" t="s">
        <v>3371</v>
      </c>
      <c r="J2706" s="472"/>
      <c r="K2706" s="472"/>
      <c r="L2706" s="561"/>
      <c r="M2706" s="698" t="s">
        <v>5246</v>
      </c>
      <c r="N2706" s="692" t="str">
        <f>IF(AND(ISTEXT($A2706), ISERROR($A2706+0)), HYPERLINK($BF2706, "Images"), "")</f>
        <v>Images</v>
      </c>
      <c r="O2706" s="694" t="s">
        <v>5247</v>
      </c>
      <c r="P2706" s="475"/>
      <c r="Q2706" s="476"/>
      <c r="R2706" s="476"/>
      <c r="S2706" s="477"/>
      <c r="T2706" s="102">
        <f t="shared" si="1995"/>
        <v>0</v>
      </c>
      <c r="U2706" s="78" t="str">
        <f>IF(NOT(ISNUMBER(G2706)), "", VLOOKUP(A2706,'Discount Lookup'!D:E,2,FALSE)*G2706)</f>
        <v/>
      </c>
      <c r="V2706" s="78" t="str">
        <f>IF(NOT(ISNUMBER(G2706)), "", VLOOKUP(A2706,'Discount Lookup'!G:H,2,FALSE)*G2706)</f>
        <v/>
      </c>
      <c r="W2706" s="102">
        <f t="shared" si="1996"/>
        <v>0</v>
      </c>
      <c r="X2706" s="102" t="str">
        <f t="shared" si="1997"/>
        <v>Lilac-Purple bloom</v>
      </c>
      <c r="Y2706" s="120" t="b">
        <f t="shared" si="1998"/>
        <v>0</v>
      </c>
      <c r="Z2706" s="117">
        <f t="shared" si="1999"/>
        <v>0</v>
      </c>
      <c r="AA2706" s="118"/>
      <c r="AB2706" s="118" t="str">
        <f t="shared" si="2000"/>
        <v/>
      </c>
      <c r="AC2706" s="712" t="str">
        <f>IF(AE2706="T2G","no charge",IF(AND(OR(PlanterYesMe="No",PlanterYesMe="N",PlanterYesMe="me"),H2706=""),"",IF(H2706="credit","NO install",IF(AND(K2706="",AE2706="me"),"EACH row",IF(AND(K2706="images",AE2706="me"),"EACH row",IF(D2706="","",IF(H2706="credit","",IF(AE2706="free","re-planting",IF(AE2706="me","   not ELP, by",IF(AND(OR(PlanterYesMe="Yes",PlanterYesMe="Y"),G2706&gt;0),(VLOOKUP(A2706,'Discount Lookup'!J:K,2)*G2706*(1-PlanterDiscount)*(1+PlanterDifficultyPercentage)),IF(AE2706="ELP",(VLOOKUP(A2706,'Discount Lookup'!J:K,2)*G2706*(1-PlanterDiscount)*(1+PlanterDifficultyPercentage)),IF(AE2706="free","re-planting",IF(G2706=0,"",IF(PlanterYesMe="",IF(AE2706="me","   not ELP, by",IF(AE2706="",IF(G2706&gt;0,(VLOOKUP(A2706,'Discount Lookup'!J:K,2)*G2706*(1-PlanterDiscount)*(1+PlanterDifficultyPercentage)),""),"")),"   not ELP, by"))))))))))))))</f>
        <v/>
      </c>
      <c r="AD2706" s="712"/>
      <c r="AE2706" s="513" t="str">
        <f t="shared" si="2001"/>
        <v/>
      </c>
      <c r="AF2706" s="713" t="str">
        <f t="shared" si="2002"/>
        <v/>
      </c>
      <c r="AG2706" s="713"/>
      <c r="AH2706" s="713"/>
      <c r="AI2706" s="112">
        <f>IF(H2706="credit",0,IF(AE2706="free",0,IF(AE2706="me",0,IF(G2706&gt;0,(VLOOKUP(A2706,'Discount Lookup'!J:K,2)*G2706),0))))</f>
        <v>0</v>
      </c>
      <c r="AJ2706" s="107" t="str">
        <f t="shared" ca="1" si="2003"/>
        <v/>
      </c>
      <c r="AK2706" s="714" t="str">
        <f t="shared" si="2004"/>
        <v/>
      </c>
      <c r="AL2706" s="714"/>
      <c r="AM2706" s="114" t="str">
        <f t="shared" si="2005"/>
        <v/>
      </c>
      <c r="AN2706" s="115"/>
      <c r="AO2706" s="116"/>
      <c r="AP2706" s="116"/>
      <c r="AQ2706" s="116"/>
      <c r="AR2706" s="116"/>
      <c r="AS2706" s="116"/>
      <c r="AT2706" s="116"/>
      <c r="AU2706" s="116"/>
      <c r="AV2706" s="78"/>
      <c r="AW2706" s="102"/>
      <c r="AX2706" s="78"/>
      <c r="AY2706" s="78"/>
      <c r="AZ2706" s="78"/>
      <c r="BA2706" s="78"/>
      <c r="BB2706" s="78"/>
      <c r="BC2706" s="78"/>
      <c r="BD2706" s="78"/>
      <c r="BE2706" s="465"/>
      <c r="BF2706" s="165" t="str">
        <f t="shared" si="2006"/>
        <v>https://www.google.com/search?tbm=isch&amp;q=Liriope%20muscari%20%27Big%20Blue%27%20Big%20Blue%20Liriope</v>
      </c>
      <c r="BG2706" s="165" t="str">
        <f t="shared" si="2007"/>
        <v>L</v>
      </c>
      <c r="BH2706" s="65"/>
      <c r="BI2706" s="65"/>
      <c r="BJ2706" s="65"/>
      <c r="BK2706" s="65"/>
      <c r="BL2706" s="99"/>
      <c r="BM2706" s="99"/>
      <c r="BN2706" s="99"/>
    </row>
    <row r="2707" spans="1:66" s="51" customFormat="1" ht="15.75" x14ac:dyDescent="0.25">
      <c r="A2707" s="478">
        <v>1</v>
      </c>
      <c r="B2707" s="479" t="s">
        <v>291</v>
      </c>
      <c r="C2707" s="480"/>
      <c r="D2707" s="481" t="s">
        <v>329</v>
      </c>
      <c r="E2707" s="482">
        <v>9.9499999999999993</v>
      </c>
      <c r="F2707" s="483" t="s">
        <v>292</v>
      </c>
      <c r="G2707" s="484">
        <v>0</v>
      </c>
      <c r="H2707" s="688" t="str">
        <f>IF(G2707=0,"",IF(F2707="Buy",IF(G2707=1,"plant","plants"),IF(F2707&gt;0.01,"warranty","Error")))</f>
        <v/>
      </c>
      <c r="I2707" s="485">
        <f>IF(H2707="free",0,IF(H2707="credit",((E2707*(F2707))*G2707*-1),IF(F2707="Buy",(E2707*G2707),((E2707*(1-F2707))*G2707))))</f>
        <v>0</v>
      </c>
      <c r="J2707" s="485">
        <f>IF(H2707="warranty",0,(I2707*(_xlfn.SINGLE(SalesTaxPercentage))))</f>
        <v>0</v>
      </c>
      <c r="K2707" s="715">
        <f t="shared" ref="K2707" si="2053">I2707+J2707</f>
        <v>0</v>
      </c>
      <c r="L2707" s="715"/>
      <c r="M2707" s="689" t="str">
        <f ca="1">IF(AND(G2707&gt;0,E2707=0),"WARNING - no PRICE inserted",IF(H2707="free","FREE ~ no charge this plant",IF(H2707="credit",CONCATENATE("-$",ROUND(K2707*(1-_xlfn.SINGLE(T2GDiscount))*-1,2)," CREDIT after discount"),IF(_xlfn.SINGLE(T2GDiscount)=0,"",IF(G2707=0,"",IF(F2707="Buy",CONCATENATE("$",ROUND(K2707*(1-_xlfn.SINGLE(T2GDiscount)),2)," with ",(_xlfn.SINGLE(T2GDiscount)*100),"% discount"),CONCATENATE("$",ROUND(K2707*(1-_xlfn.SINGLE(T2GDiscount)),2)," with ",((_xlfn.SINGLE(T2GDiscount)*100+F2707*100)-(_xlfn.SINGLE(T2GDiscount)*100*F2707)),IF(F2707&gt;0,"% discounts",IF(_xlfn.SINGLE(NoWarrantyDiscount)&gt;0,"% discounts","% discount")))))))))</f>
        <v/>
      </c>
      <c r="N2707" s="690"/>
      <c r="O2707" s="486"/>
      <c r="P2707" s="486"/>
      <c r="Q2707" s="486"/>
      <c r="R2707" s="486"/>
      <c r="S2707" s="486"/>
      <c r="T2707" s="102">
        <f t="shared" si="1995"/>
        <v>0</v>
      </c>
      <c r="U2707" s="78">
        <f>IF(NOT(ISNUMBER(G2707)), "", VLOOKUP(A2707,'Discount Lookup'!D:E,2,FALSE)*G2707)</f>
        <v>0</v>
      </c>
      <c r="V2707" s="78">
        <f>IF(NOT(ISNUMBER(G2707)), "", VLOOKUP(A2707,'Discount Lookup'!G:H,2,FALSE)*G2707)</f>
        <v>0</v>
      </c>
      <c r="W2707" s="102">
        <f t="shared" si="1996"/>
        <v>0</v>
      </c>
      <c r="X2707" s="102">
        <f t="shared" si="1997"/>
        <v>0</v>
      </c>
      <c r="Y2707" s="120" t="b">
        <f t="shared" si="1998"/>
        <v>0</v>
      </c>
      <c r="Z2707" s="117">
        <f t="shared" si="1999"/>
        <v>0</v>
      </c>
      <c r="AA2707" s="118"/>
      <c r="AB2707" s="118" t="str">
        <f t="shared" si="2000"/>
        <v/>
      </c>
      <c r="AC2707" s="712" t="str">
        <f>IF(AE2707="T2G","no charge",IF(AND(OR(PlanterYesMe="No",PlanterYesMe="N",PlanterYesMe="me"),H2707=""),"",IF(H2707="credit","NO install",IF(AND(K2707="",AE2707="me"),"EACH row",IF(AND(K2707="images",AE2707="me"),"EACH row",IF(D2707="","",IF(H2707="credit","",IF(AE2707="free","re-planting",IF(AE2707="me","   not ELP, by",IF(AND(OR(PlanterYesMe="Yes",PlanterYesMe="Y"),G2707&gt;0),(VLOOKUP(A2707,'Discount Lookup'!J:K,2)*G2707*(1-PlanterDiscount)*(1+PlanterDifficultyPercentage)),IF(AE2707="ELP",(VLOOKUP(A2707,'Discount Lookup'!J:K,2)*G2707*(1-PlanterDiscount)*(1+PlanterDifficultyPercentage)),IF(AE2707="free","re-planting",IF(G2707=0,"",IF(PlanterYesMe="",IF(AE2707="me","   not ELP, by",IF(AE2707="",IF(G2707&gt;0,(VLOOKUP(A2707,'Discount Lookup'!J:K,2)*G2707*(1-PlanterDiscount)*(1+PlanterDifficultyPercentage)),""),"")),"   not ELP, by"))))))))))))))</f>
        <v/>
      </c>
      <c r="AD2707" s="712"/>
      <c r="AE2707" s="513" t="str">
        <f t="shared" si="2001"/>
        <v/>
      </c>
      <c r="AF2707" s="713" t="str">
        <f t="shared" si="2002"/>
        <v/>
      </c>
      <c r="AG2707" s="713"/>
      <c r="AH2707" s="713"/>
      <c r="AI2707" s="112">
        <f>IF(H2707="credit",0,IF(AE2707="free",0,IF(AE2707="me",0,IF(G2707&gt;0,(VLOOKUP(A2707,'Discount Lookup'!J:K,2)*G2707),0))))</f>
        <v>0</v>
      </c>
      <c r="AJ2707" s="107" t="str">
        <f t="shared" ca="1" si="2003"/>
        <v/>
      </c>
      <c r="AK2707" s="714" t="str">
        <f t="shared" si="2004"/>
        <v/>
      </c>
      <c r="AL2707" s="714"/>
      <c r="AM2707" s="114" t="str">
        <f t="shared" si="2005"/>
        <v/>
      </c>
      <c r="AN2707" s="115"/>
      <c r="AO2707" s="116"/>
      <c r="AP2707" s="116"/>
      <c r="AQ2707" s="116"/>
      <c r="AR2707" s="116"/>
      <c r="AS2707" s="116"/>
      <c r="AT2707" s="116"/>
      <c r="AU2707" s="116"/>
      <c r="AV2707" s="78"/>
      <c r="AW2707" s="102"/>
      <c r="AX2707" s="78"/>
      <c r="AY2707" s="78"/>
      <c r="AZ2707" s="78"/>
      <c r="BA2707" s="78"/>
      <c r="BB2707" s="78"/>
      <c r="BC2707" s="78"/>
      <c r="BD2707" s="78"/>
      <c r="BE2707" s="465"/>
      <c r="BF2707" s="165" t="str">
        <f t="shared" si="2006"/>
        <v>https://www.google.com/search?tbm=isch&amp;q=1%20G2</v>
      </c>
      <c r="BG2707" s="165" t="str">
        <f t="shared" si="2007"/>
        <v>L</v>
      </c>
      <c r="BH2707" s="65"/>
      <c r="BI2707" s="65"/>
      <c r="BJ2707" s="65"/>
      <c r="BK2707" s="65"/>
      <c r="BL2707" s="99"/>
      <c r="BM2707" s="99"/>
      <c r="BN2707" s="99"/>
    </row>
    <row r="2708" spans="1:66" s="51" customFormat="1" ht="15.75" x14ac:dyDescent="0.25">
      <c r="A2708" s="478">
        <v>1</v>
      </c>
      <c r="B2708" s="479" t="s">
        <v>291</v>
      </c>
      <c r="C2708" s="480" t="s">
        <v>4991</v>
      </c>
      <c r="D2708" s="481" t="s">
        <v>293</v>
      </c>
      <c r="E2708" s="482">
        <v>10.95</v>
      </c>
      <c r="F2708" s="483" t="s">
        <v>292</v>
      </c>
      <c r="G2708" s="484">
        <v>0</v>
      </c>
      <c r="H2708" s="688" t="str">
        <f>IF(G2708=0,"",IF(F2708="Buy",IF(G2708=1,"plant","plants"),IF(F2708&gt;0.01,"warranty","Error")))</f>
        <v/>
      </c>
      <c r="I2708" s="485">
        <f>IF(H2708="free",0,IF(H2708="credit",((E2708*(F2708))*G2708*-1),IF(F2708="Buy",(E2708*G2708),((E2708*(1-F2708))*G2708))))</f>
        <v>0</v>
      </c>
      <c r="J2708" s="485">
        <f>IF(H2708="warranty",0,(I2708*(_xlfn.SINGLE(SalesTaxPercentage))))</f>
        <v>0</v>
      </c>
      <c r="K2708" s="715">
        <f t="shared" ref="K2708" si="2054">I2708+J2708</f>
        <v>0</v>
      </c>
      <c r="L2708" s="715"/>
      <c r="M2708" s="689" t="str">
        <f ca="1">IF(AND(G2708&gt;0,E2708=0),"WARNING - no PRICE inserted",IF(H2708="free","FREE ~ no charge this plant",IF(H2708="credit",CONCATENATE("-$",ROUND(K2708*(1-_xlfn.SINGLE(T2GDiscount))*-1,2)," CREDIT after discount"),IF(_xlfn.SINGLE(T2GDiscount)=0,"",IF(G2708=0,"",IF(F2708="Buy",CONCATENATE("$",ROUND(K2708*(1-_xlfn.SINGLE(T2GDiscount)),2)," with ",(_xlfn.SINGLE(T2GDiscount)*100),"% discount"),CONCATENATE("$",ROUND(K2708*(1-_xlfn.SINGLE(T2GDiscount)),2)," with ",((_xlfn.SINGLE(T2GDiscount)*100+F2708*100)-(_xlfn.SINGLE(T2GDiscount)*100*F2708)),IF(F2708&gt;0,"% discounts",IF(_xlfn.SINGLE(NoWarrantyDiscount)&gt;0,"% discounts","% discount")))))))))</f>
        <v/>
      </c>
      <c r="N2708" s="690"/>
      <c r="O2708" s="486"/>
      <c r="P2708" s="486"/>
      <c r="Q2708" s="486"/>
      <c r="R2708" s="486"/>
      <c r="S2708" s="486"/>
      <c r="T2708" s="102">
        <f t="shared" ref="T2708:T2771" si="2055">E2708*G2708</f>
        <v>0</v>
      </c>
      <c r="U2708" s="78">
        <f>IF(NOT(ISNUMBER(G2708)), "", VLOOKUP(A2708,'Discount Lookup'!D:E,2,FALSE)*G2708)</f>
        <v>0</v>
      </c>
      <c r="V2708" s="78">
        <f>IF(NOT(ISNUMBER(G2708)), "", VLOOKUP(A2708,'Discount Lookup'!G:H,2,FALSE)*G2708)</f>
        <v>0</v>
      </c>
      <c r="W2708" s="102">
        <f t="shared" ref="W2708:W2771" si="2056">IF(H2708="credit",0,E2708*(SalesTaxPercentage)*G2708)</f>
        <v>0</v>
      </c>
      <c r="X2708" s="102">
        <f t="shared" ref="X2708:X2771" si="2057">I2708</f>
        <v>0</v>
      </c>
      <c r="Y2708" s="120" t="b">
        <f t="shared" ref="Y2708:Y2771" si="2058">IF(AE2708="T2G",0,IF(H2708="credit",0,IF(G2708&gt;0,IF(AE2708="me","",G2708))))</f>
        <v>0</v>
      </c>
      <c r="Z2708" s="117">
        <f t="shared" ref="Z2708:Z2771" si="2059">IF(H2708="credit",G2708,0)</f>
        <v>0</v>
      </c>
      <c r="AA2708" s="118"/>
      <c r="AB2708" s="118" t="str">
        <f t="shared" ref="AB2708:AB2771" si="2060">IF(AE2708="T2G","by Trees2Go",IF(H2708="credit","CREDIT only ~",IF(AND(K2708="",AE2708=OR(PlanterYesMe="No",PlanterYesMe="N",PlanterYesMe="me")),"not THIS line⇨",IF(AND(K2708="images",AE2708="me"),"not THIS line⇨",IF(H2708="credit","",IF(G2708=0,"",IF(AE2708="me","",IF(OR(PlanterYesMe="No",PlanterYesMe="N",PlanterYesMe="me"),"",IF(AE2708="free","warranty",IF(OR(PlanterYesMe="yes",PlanterYesMe="y"),"Edison install:","to install:"))))))))))</f>
        <v/>
      </c>
      <c r="AC2708" s="712" t="str">
        <f>IF(AE2708="T2G","no charge",IF(AND(OR(PlanterYesMe="No",PlanterYesMe="N",PlanterYesMe="me"),H2708=""),"",IF(H2708="credit","NO install",IF(AND(K2708="",AE2708="me"),"EACH row",IF(AND(K2708="images",AE2708="me"),"EACH row",IF(D2708="","",IF(H2708="credit","",IF(AE2708="free","re-planting",IF(AE2708="me","   not ELP, by",IF(AND(OR(PlanterYesMe="Yes",PlanterYesMe="Y"),G2708&gt;0),(VLOOKUP(A2708,'Discount Lookup'!J:K,2)*G2708*(1-PlanterDiscount)*(1+PlanterDifficultyPercentage)),IF(AE2708="ELP",(VLOOKUP(A2708,'Discount Lookup'!J:K,2)*G2708*(1-PlanterDiscount)*(1+PlanterDifficultyPercentage)),IF(AE2708="free","re-planting",IF(G2708=0,"",IF(PlanterYesMe="",IF(AE2708="me","   not ELP, by",IF(AE2708="",IF(G2708&gt;0,(VLOOKUP(A2708,'Discount Lookup'!J:K,2)*G2708*(1-PlanterDiscount)*(1+PlanterDifficultyPercentage)),""),"")),"   not ELP, by"))))))))))))))</f>
        <v/>
      </c>
      <c r="AD2708" s="712"/>
      <c r="AE2708" s="513" t="str">
        <f t="shared" ref="AE2708:AE2771" si="2061">IF(H2708="credit","",IF(G2708=0,"",IF(OR(PlanterYesMe="No",PlanterYesMe="N",PlanterYesMe="me"),"me",IF(H2708="warranty","free",IF(OR(PlanterYesMe="yes",PlanterYesMe="y"),"ELP","")))))</f>
        <v/>
      </c>
      <c r="AF2708" s="713" t="str">
        <f t="shared" ref="AF2708:AF2771" si="2062">IF(OR(PlanterYesMe="No",PlanterYesMe="N",PlanterYesMe="me"),"",IF(H2708="credit","",IF(G2708&gt;0,(CONCATENATE((G2708)," quantity, ",(A2708)," ",B2708)),"")))</f>
        <v/>
      </c>
      <c r="AG2708" s="713"/>
      <c r="AH2708" s="713"/>
      <c r="AI2708" s="112">
        <f>IF(H2708="credit",0,IF(AE2708="free",0,IF(AE2708="me",0,IF(G2708&gt;0,(VLOOKUP(A2708,'Discount Lookup'!J:K,2)*G2708),0))))</f>
        <v>0</v>
      </c>
      <c r="AJ2708" s="107" t="str">
        <f t="shared" ref="AJ2708:AJ2771" ca="1" si="2063">IF(AND(ISREF(H2708),H2708="credit"),"",IF(AND(AND(OFFSET(G2708,0,0)=0,OFFSET(G2708,1,0)&gt;0,ISNUMBER(OFFSET(AC2708,1,0)),OFFSET(AC2708,1,0)&gt;0),OR(PlanterYesMe="yes",PlanterYesMe="y")),"T2G+ELP=",IF(AND(OFFSET(G2708,0,0)=0,OFFSET(G2708,1,0)&gt;0,ISNUMBER(OFFSET(AC2708,1,0)),OFFSET(AC2708,1,0)&gt;0),"if T2G+ELP=",IF(AND(OFFSET(G2708,0,0)=0,OFFSET(G2708,1,0)&gt;0),"T2G Subtotal",IF(H2708="credit","",IF(G2708=0,"",IF(AE2708="free",(K2708*(1-T2GDiscount)),IF(OR(PlanterYesMe="No",PlanterYesMe="N",PlanterYesMe="me"),(K2708*(1-T2GDiscount)),IF(OR(AE2708="me",AE2708="T2G"),(K2708*(1-T2GDiscount)),(K2708*(1-T2GDiscount))+AC2708)))))))))</f>
        <v/>
      </c>
      <c r="AK2708" s="714" t="str">
        <f t="shared" ref="AK2708:AK2771" si="2064">IF(H2708="credit","",IF(G2708=0,"",IF(OR(AE2708="me",AE2708="T2G"),"  delivery-only",IF(OR(PlanterYesMe="No",PlanterYesMe="N",PlanterYesMe="me"),"  delivery-only",CONCATENATE(" $",ROUND(AJ2708/G2708,2)," each")))))</f>
        <v/>
      </c>
      <c r="AL2708" s="714"/>
      <c r="AM2708" s="114" t="str">
        <f t="shared" ref="AM2708:AM2771" si="2065">IF(H2708="credit","",IF(AE2708="free","      ~ discounts included, no tax or planting fee applies ~",IF(G2708=0,"",IF(OR(PlanterYesMe="No",PlanterYesMe="N",PlanterYesMe="me"),CONCATENATE(" $",ROUND(AJ2708/G2708,2)," per plant, with tax &amp; discount"),IF(OR(AE2708="me",AE2708="T2G"),CONCATENATE(" $",ROUND(AJ2708/G2708,2)," per plant, with tax &amp; discount"),CONCATENATE("= $",ROUND((K2708*(1-T2GDiscount))/G2708,2)," per plant + $",AC2708/G2708,(" per planting      ~ includes tax &amp; discounts ~")))))))</f>
        <v/>
      </c>
      <c r="AN2708" s="115"/>
      <c r="AO2708" s="116"/>
      <c r="AP2708" s="116"/>
      <c r="AQ2708" s="116"/>
      <c r="AR2708" s="116"/>
      <c r="AS2708" s="116"/>
      <c r="AT2708" s="116"/>
      <c r="AU2708" s="116"/>
      <c r="AV2708" s="78"/>
      <c r="AW2708" s="102"/>
      <c r="AX2708" s="78"/>
      <c r="AY2708" s="78"/>
      <c r="AZ2708" s="78"/>
      <c r="BA2708" s="78"/>
      <c r="BB2708" s="78"/>
      <c r="BC2708" s="78"/>
      <c r="BD2708" s="78"/>
      <c r="BE2708" s="465"/>
      <c r="BF2708" s="165" t="str">
        <f t="shared" ref="BF2708:BF2771" si="2066">"https://www.google.com/search?tbm=isch&amp;q=" &amp; _xlfn.ENCODEURL($A2708 &amp; " " &amp; $D2708)</f>
        <v>https://www.google.com/search?tbm=isch&amp;q=1%20G6</v>
      </c>
      <c r="BG2708" s="165" t="str">
        <f t="shared" ref="BG2708:BG2771" si="2067">IF(ISTEXT(A2708),LEFT(A2708,1),BG2707)</f>
        <v>L</v>
      </c>
      <c r="BH2708" s="65"/>
      <c r="BI2708" s="65"/>
      <c r="BJ2708" s="65"/>
      <c r="BK2708" s="65"/>
      <c r="BL2708" s="99"/>
      <c r="BM2708" s="99"/>
      <c r="BN2708" s="99"/>
    </row>
    <row r="2709" spans="1:66" s="51" customFormat="1" ht="15.75" x14ac:dyDescent="0.25">
      <c r="A2709" s="478" t="s">
        <v>29</v>
      </c>
      <c r="B2709" s="479" t="s">
        <v>1446</v>
      </c>
      <c r="C2709" s="480"/>
      <c r="D2709" s="481" t="s">
        <v>329</v>
      </c>
      <c r="E2709" s="482">
        <v>61.95</v>
      </c>
      <c r="F2709" s="483" t="s">
        <v>292</v>
      </c>
      <c r="G2709" s="484">
        <v>0</v>
      </c>
      <c r="H2709" s="688" t="str">
        <f>IF(G2709=0,"",IF(F2709="Buy",IF(G2709=1,"plant","plants"),IF(F2709&gt;0.01,"warranty","Error")))</f>
        <v/>
      </c>
      <c r="I2709" s="485">
        <f>IF(H2709="free",0,IF(H2709="credit",((E2709*(F2709))*G2709*-1),IF(F2709="Buy",(E2709*G2709),((E2709*(1-F2709))*G2709))))</f>
        <v>0</v>
      </c>
      <c r="J2709" s="485">
        <f>IF(H2709="warranty",0,(I2709*(_xlfn.SINGLE(SalesTaxPercentage))))</f>
        <v>0</v>
      </c>
      <c r="K2709" s="715">
        <f t="shared" ref="K2709" si="2068">I2709+J2709</f>
        <v>0</v>
      </c>
      <c r="L2709" s="715"/>
      <c r="M2709" s="689" t="str">
        <f ca="1">IF(AND(G2709&gt;0,E2709=0),"WARNING - no PRICE inserted",IF(H2709="free","FREE ~ no charge this plant",IF(H2709="credit",CONCATENATE("-$",ROUND(K2709*(1-_xlfn.SINGLE(T2GDiscount))*-1,2)," CREDIT after discount"),IF(_xlfn.SINGLE(T2GDiscount)=0,"",IF(G2709=0,"",IF(F2709="Buy",CONCATENATE("$",ROUND(K2709*(1-_xlfn.SINGLE(T2GDiscount)),2)," with ",(_xlfn.SINGLE(T2GDiscount)*100),"% discount"),CONCATENATE("$",ROUND(K2709*(1-_xlfn.SINGLE(T2GDiscount)),2)," with ",((_xlfn.SINGLE(T2GDiscount)*100+F2709*100)-(_xlfn.SINGLE(T2GDiscount)*100*F2709)),IF(F2709&gt;0,"% discounts",IF(_xlfn.SINGLE(NoWarrantyDiscount)&gt;0,"% discounts","% discount")))))))))</f>
        <v/>
      </c>
      <c r="N2709" s="690"/>
      <c r="O2709" s="486"/>
      <c r="P2709" s="486"/>
      <c r="Q2709" s="486"/>
      <c r="R2709" s="486"/>
      <c r="S2709" s="486"/>
      <c r="T2709" s="102">
        <f t="shared" si="2055"/>
        <v>0</v>
      </c>
      <c r="U2709" s="78">
        <f>IF(NOT(ISNUMBER(G2709)), "", VLOOKUP(A2709,'Discount Lookup'!D:E,2,FALSE)*G2709)</f>
        <v>0</v>
      </c>
      <c r="V2709" s="78">
        <f>IF(NOT(ISNUMBER(G2709)), "", VLOOKUP(A2709,'Discount Lookup'!G:H,2,FALSE)*G2709)</f>
        <v>0</v>
      </c>
      <c r="W2709" s="102">
        <f t="shared" si="2056"/>
        <v>0</v>
      </c>
      <c r="X2709" s="102">
        <f t="shared" si="2057"/>
        <v>0</v>
      </c>
      <c r="Y2709" s="120" t="b">
        <f t="shared" si="2058"/>
        <v>0</v>
      </c>
      <c r="Z2709" s="117">
        <f t="shared" si="2059"/>
        <v>0</v>
      </c>
      <c r="AA2709" s="118"/>
      <c r="AB2709" s="118" t="str">
        <f t="shared" si="2060"/>
        <v/>
      </c>
      <c r="AC2709" s="712" t="str">
        <f>IF(AE2709="T2G","no charge",IF(AND(OR(PlanterYesMe="No",PlanterYesMe="N",PlanterYesMe="me"),H2709=""),"",IF(H2709="credit","NO install",IF(AND(K2709="",AE2709="me"),"EACH row",IF(AND(K2709="images",AE2709="me"),"EACH row",IF(D2709="","",IF(H2709="credit","",IF(AE2709="free","re-planting",IF(AE2709="me","   not ELP, by",IF(AND(OR(PlanterYesMe="Yes",PlanterYesMe="Y"),G2709&gt;0),(VLOOKUP(A2709,'Discount Lookup'!J:K,2)*G2709*(1-PlanterDiscount)*(1+PlanterDifficultyPercentage)),IF(AE2709="ELP",(VLOOKUP(A2709,'Discount Lookup'!J:K,2)*G2709*(1-PlanterDiscount)*(1+PlanterDifficultyPercentage)),IF(AE2709="free","re-planting",IF(G2709=0,"",IF(PlanterYesMe="",IF(AE2709="me","   not ELP, by",IF(AE2709="",IF(G2709&gt;0,(VLOOKUP(A2709,'Discount Lookup'!J:K,2)*G2709*(1-PlanterDiscount)*(1+PlanterDifficultyPercentage)),""),"")),"   not ELP, by"))))))))))))))</f>
        <v/>
      </c>
      <c r="AD2709" s="712"/>
      <c r="AE2709" s="513" t="str">
        <f t="shared" si="2061"/>
        <v/>
      </c>
      <c r="AF2709" s="713" t="str">
        <f t="shared" si="2062"/>
        <v/>
      </c>
      <c r="AG2709" s="713"/>
      <c r="AH2709" s="713"/>
      <c r="AI2709" s="112">
        <f>IF(H2709="credit",0,IF(AE2709="free",0,IF(AE2709="me",0,IF(G2709&gt;0,(VLOOKUP(A2709,'Discount Lookup'!J:K,2)*G2709),0))))</f>
        <v>0</v>
      </c>
      <c r="AJ2709" s="107" t="str">
        <f t="shared" ca="1" si="2063"/>
        <v/>
      </c>
      <c r="AK2709" s="714" t="str">
        <f t="shared" si="2064"/>
        <v/>
      </c>
      <c r="AL2709" s="714"/>
      <c r="AM2709" s="114" t="str">
        <f t="shared" si="2065"/>
        <v/>
      </c>
      <c r="AN2709" s="115"/>
      <c r="AO2709" s="116"/>
      <c r="AP2709" s="116"/>
      <c r="AQ2709" s="116"/>
      <c r="AR2709" s="116"/>
      <c r="AS2709" s="116"/>
      <c r="AT2709" s="116"/>
      <c r="AU2709" s="116"/>
      <c r="AV2709" s="78"/>
      <c r="AW2709" s="102"/>
      <c r="AX2709" s="78"/>
      <c r="AY2709" s="78"/>
      <c r="AZ2709" s="78"/>
      <c r="BA2709" s="78"/>
      <c r="BB2709" s="78"/>
      <c r="BC2709" s="78"/>
      <c r="BD2709" s="78"/>
      <c r="BE2709" s="465"/>
      <c r="BF2709" s="165" t="str">
        <f t="shared" si="2066"/>
        <v>https://www.google.com/search?tbm=isch&amp;q=18%20in%20G2</v>
      </c>
      <c r="BG2709" s="165" t="str">
        <f t="shared" si="2067"/>
        <v>1</v>
      </c>
      <c r="BH2709" s="65"/>
      <c r="BI2709" s="65"/>
      <c r="BJ2709" s="65"/>
      <c r="BK2709" s="65"/>
      <c r="BL2709" s="99"/>
      <c r="BM2709" s="99"/>
      <c r="BN2709" s="99"/>
    </row>
    <row r="2710" spans="1:66" s="51" customFormat="1" ht="17.25" thickBot="1" x14ac:dyDescent="0.3">
      <c r="A2710" s="508" t="s">
        <v>4926</v>
      </c>
      <c r="B2710" s="487"/>
      <c r="C2710" s="707"/>
      <c r="D2710" s="487"/>
      <c r="E2710" s="487"/>
      <c r="F2710" s="488"/>
      <c r="G2710" s="489"/>
      <c r="H2710" s="487"/>
      <c r="I2710" s="490"/>
      <c r="J2710" s="490"/>
      <c r="K2710" s="491"/>
      <c r="L2710" s="547"/>
      <c r="M2710" s="528"/>
      <c r="N2710" s="492"/>
      <c r="O2710" s="493"/>
      <c r="P2710" s="494"/>
      <c r="Q2710" s="492"/>
      <c r="R2710" s="492"/>
      <c r="S2710" s="699" t="s">
        <v>5268</v>
      </c>
      <c r="T2710" s="102">
        <f t="shared" si="2055"/>
        <v>0</v>
      </c>
      <c r="U2710" s="78" t="str">
        <f>IF(NOT(ISNUMBER(G2710)), "", VLOOKUP(A2710,'Discount Lookup'!D:E,2,FALSE)*G2710)</f>
        <v/>
      </c>
      <c r="V2710" s="78" t="str">
        <f>IF(NOT(ISNUMBER(G2710)), "", VLOOKUP(A2710,'Discount Lookup'!G:H,2,FALSE)*G2710)</f>
        <v/>
      </c>
      <c r="W2710" s="102">
        <f t="shared" si="2056"/>
        <v>0</v>
      </c>
      <c r="X2710" s="102">
        <f t="shared" si="2057"/>
        <v>0</v>
      </c>
      <c r="Y2710" s="120" t="b">
        <f t="shared" si="2058"/>
        <v>0</v>
      </c>
      <c r="Z2710" s="117">
        <f t="shared" si="2059"/>
        <v>0</v>
      </c>
      <c r="AA2710" s="118"/>
      <c r="AB2710" s="118" t="str">
        <f t="shared" si="2060"/>
        <v/>
      </c>
      <c r="AC2710" s="712" t="str">
        <f>IF(AE2710="T2G","no charge",IF(AND(OR(PlanterYesMe="No",PlanterYesMe="N",PlanterYesMe="me"),H2710=""),"",IF(H2710="credit","NO install",IF(AND(K2710="",AE2710="me"),"EACH row",IF(AND(K2710="images",AE2710="me"),"EACH row",IF(D2710="","",IF(H2710="credit","",IF(AE2710="free","re-planting",IF(AE2710="me","   not ELP, by",IF(AND(OR(PlanterYesMe="Yes",PlanterYesMe="Y"),G2710&gt;0),(VLOOKUP(A2710,'Discount Lookup'!J:K,2)*G2710*(1-PlanterDiscount)*(1+PlanterDifficultyPercentage)),IF(AE2710="ELP",(VLOOKUP(A2710,'Discount Lookup'!J:K,2)*G2710*(1-PlanterDiscount)*(1+PlanterDifficultyPercentage)),IF(AE2710="free","re-planting",IF(G2710=0,"",IF(PlanterYesMe="",IF(AE2710="me","   not ELP, by",IF(AE2710="",IF(G2710&gt;0,(VLOOKUP(A2710,'Discount Lookup'!J:K,2)*G2710*(1-PlanterDiscount)*(1+PlanterDifficultyPercentage)),""),"")),"   not ELP, by"))))))))))))))</f>
        <v/>
      </c>
      <c r="AD2710" s="712"/>
      <c r="AE2710" s="513" t="str">
        <f t="shared" si="2061"/>
        <v/>
      </c>
      <c r="AF2710" s="713" t="str">
        <f t="shared" si="2062"/>
        <v/>
      </c>
      <c r="AG2710" s="713"/>
      <c r="AH2710" s="713"/>
      <c r="AI2710" s="112">
        <f>IF(H2710="credit",0,IF(AE2710="free",0,IF(AE2710="me",0,IF(G2710&gt;0,(VLOOKUP(A2710,'Discount Lookup'!J:K,2)*G2710),0))))</f>
        <v>0</v>
      </c>
      <c r="AJ2710" s="107" t="str">
        <f t="shared" ca="1" si="2063"/>
        <v/>
      </c>
      <c r="AK2710" s="714" t="str">
        <f t="shared" si="2064"/>
        <v/>
      </c>
      <c r="AL2710" s="714"/>
      <c r="AM2710" s="114" t="str">
        <f t="shared" si="2065"/>
        <v/>
      </c>
      <c r="AN2710" s="115"/>
      <c r="AO2710" s="116"/>
      <c r="AP2710" s="116"/>
      <c r="AQ2710" s="116"/>
      <c r="AR2710" s="116"/>
      <c r="AS2710" s="116"/>
      <c r="AT2710" s="116"/>
      <c r="AU2710" s="116"/>
      <c r="AV2710" s="78"/>
      <c r="AW2710" s="102"/>
      <c r="AX2710" s="78"/>
      <c r="AY2710" s="78"/>
      <c r="AZ2710" s="78"/>
      <c r="BA2710" s="78"/>
      <c r="BB2710" s="78"/>
      <c r="BC2710" s="78"/>
      <c r="BD2710" s="78"/>
      <c r="BE2710" s="465"/>
      <c r="BF2710" s="165" t="str">
        <f t="shared" si="2066"/>
        <v>https://www.google.com/search?tbm=isch&amp;q=Big%20Blue%20forms%20lush%2C%20arching%20clumps%20of%20Dark%20Green%20foliage%20with%20late-summer%20flower%20spikes%20and%20shiny%20Black%20berries%20</v>
      </c>
      <c r="BG2710" s="165" t="str">
        <f t="shared" si="2067"/>
        <v>B</v>
      </c>
      <c r="BH2710" s="65"/>
      <c r="BI2710" s="65"/>
      <c r="BJ2710" s="65"/>
      <c r="BK2710" s="65"/>
      <c r="BL2710" s="99"/>
      <c r="BM2710" s="99"/>
      <c r="BN2710" s="99"/>
    </row>
    <row r="2711" spans="1:66" s="51" customFormat="1" ht="18" x14ac:dyDescent="0.25">
      <c r="A2711" s="507" t="s">
        <v>3372</v>
      </c>
      <c r="B2711" s="470"/>
      <c r="C2711" s="706"/>
      <c r="D2711" s="471" t="s">
        <v>3373</v>
      </c>
      <c r="E2711" s="472"/>
      <c r="F2711" s="472"/>
      <c r="G2711" s="472"/>
      <c r="H2711" s="622" t="s">
        <v>1525</v>
      </c>
      <c r="I2711" s="473" t="s">
        <v>3374</v>
      </c>
      <c r="J2711" s="472"/>
      <c r="K2711" s="472"/>
      <c r="L2711" s="561"/>
      <c r="M2711" s="698" t="s">
        <v>5246</v>
      </c>
      <c r="N2711" s="692" t="str">
        <f>IF(AND(ISTEXT($A2711), ISERROR($A2711+0)), HYPERLINK($BF2711, "Images"), "")</f>
        <v>Images</v>
      </c>
      <c r="O2711" s="694" t="s">
        <v>5247</v>
      </c>
      <c r="P2711" s="475"/>
      <c r="Q2711" s="476"/>
      <c r="R2711" s="476"/>
      <c r="S2711" s="477"/>
      <c r="T2711" s="102">
        <f t="shared" si="2055"/>
        <v>0</v>
      </c>
      <c r="U2711" s="78" t="str">
        <f>IF(NOT(ISNUMBER(G2711)), "", VLOOKUP(A2711,'Discount Lookup'!D:E,2,FALSE)*G2711)</f>
        <v/>
      </c>
      <c r="V2711" s="78" t="str">
        <f>IF(NOT(ISNUMBER(G2711)), "", VLOOKUP(A2711,'Discount Lookup'!G:H,2,FALSE)*G2711)</f>
        <v/>
      </c>
      <c r="W2711" s="102">
        <f t="shared" si="2056"/>
        <v>0</v>
      </c>
      <c r="X2711" s="102" t="str">
        <f t="shared" si="2057"/>
        <v>Violet-Purple bloom</v>
      </c>
      <c r="Y2711" s="120" t="b">
        <f t="shared" si="2058"/>
        <v>0</v>
      </c>
      <c r="Z2711" s="117">
        <f t="shared" si="2059"/>
        <v>0</v>
      </c>
      <c r="AA2711" s="118"/>
      <c r="AB2711" s="118" t="str">
        <f t="shared" si="2060"/>
        <v/>
      </c>
      <c r="AC2711" s="712" t="str">
        <f>IF(AE2711="T2G","no charge",IF(AND(OR(PlanterYesMe="No",PlanterYesMe="N",PlanterYesMe="me"),H2711=""),"",IF(H2711="credit","NO install",IF(AND(K2711="",AE2711="me"),"EACH row",IF(AND(K2711="images",AE2711="me"),"EACH row",IF(D2711="","",IF(H2711="credit","",IF(AE2711="free","re-planting",IF(AE2711="me","   not ELP, by",IF(AND(OR(PlanterYesMe="Yes",PlanterYesMe="Y"),G2711&gt;0),(VLOOKUP(A2711,'Discount Lookup'!J:K,2)*G2711*(1-PlanterDiscount)*(1+PlanterDifficultyPercentage)),IF(AE2711="ELP",(VLOOKUP(A2711,'Discount Lookup'!J:K,2)*G2711*(1-PlanterDiscount)*(1+PlanterDifficultyPercentage)),IF(AE2711="free","re-planting",IF(G2711=0,"",IF(PlanterYesMe="",IF(AE2711="me","   not ELP, by",IF(AE2711="",IF(G2711&gt;0,(VLOOKUP(A2711,'Discount Lookup'!J:K,2)*G2711*(1-PlanterDiscount)*(1+PlanterDifficultyPercentage)),""),"")),"   not ELP, by"))))))))))))))</f>
        <v/>
      </c>
      <c r="AD2711" s="712"/>
      <c r="AE2711" s="513" t="str">
        <f t="shared" si="2061"/>
        <v/>
      </c>
      <c r="AF2711" s="713" t="str">
        <f t="shared" si="2062"/>
        <v/>
      </c>
      <c r="AG2711" s="713"/>
      <c r="AH2711" s="713"/>
      <c r="AI2711" s="112">
        <f>IF(H2711="credit",0,IF(AE2711="free",0,IF(AE2711="me",0,IF(G2711&gt;0,(VLOOKUP(A2711,'Discount Lookup'!J:K,2)*G2711),0))))</f>
        <v>0</v>
      </c>
      <c r="AJ2711" s="107" t="str">
        <f t="shared" ca="1" si="2063"/>
        <v/>
      </c>
      <c r="AK2711" s="714" t="str">
        <f t="shared" si="2064"/>
        <v/>
      </c>
      <c r="AL2711" s="714"/>
      <c r="AM2711" s="114" t="str">
        <f t="shared" si="2065"/>
        <v/>
      </c>
      <c r="AN2711" s="115"/>
      <c r="AO2711" s="116"/>
      <c r="AP2711" s="116"/>
      <c r="AQ2711" s="116"/>
      <c r="AR2711" s="116"/>
      <c r="AS2711" s="116"/>
      <c r="AT2711" s="116"/>
      <c r="AU2711" s="116"/>
      <c r="AV2711" s="78"/>
      <c r="AW2711" s="102"/>
      <c r="AX2711" s="78"/>
      <c r="AY2711" s="78"/>
      <c r="AZ2711" s="78"/>
      <c r="BA2711" s="78"/>
      <c r="BB2711" s="78"/>
      <c r="BC2711" s="78"/>
      <c r="BD2711" s="78"/>
      <c r="BE2711" s="465"/>
      <c r="BF2711" s="165" t="str">
        <f t="shared" si="2066"/>
        <v>https://www.google.com/search?tbm=isch&amp;q=Liriope%20muscari%20%27Variegata%27%20Variegated%20Liriope</v>
      </c>
      <c r="BG2711" s="165" t="str">
        <f t="shared" si="2067"/>
        <v>L</v>
      </c>
      <c r="BH2711" s="65"/>
      <c r="BI2711" s="65"/>
      <c r="BJ2711" s="65"/>
      <c r="BK2711" s="65"/>
      <c r="BL2711" s="99"/>
      <c r="BM2711" s="99"/>
      <c r="BN2711" s="99"/>
    </row>
    <row r="2712" spans="1:66" s="51" customFormat="1" ht="15.75" x14ac:dyDescent="0.25">
      <c r="A2712" s="478">
        <v>1</v>
      </c>
      <c r="B2712" s="479" t="s">
        <v>291</v>
      </c>
      <c r="C2712" s="480" t="s">
        <v>3375</v>
      </c>
      <c r="D2712" s="481" t="s">
        <v>309</v>
      </c>
      <c r="E2712" s="482">
        <v>6.95</v>
      </c>
      <c r="F2712" s="483" t="s">
        <v>292</v>
      </c>
      <c r="G2712" s="484">
        <v>0</v>
      </c>
      <c r="H2712" s="688" t="str">
        <f t="shared" ref="H2712:H2717" si="2069">IF(G2712=0,"",IF(F2712="Buy",IF(G2712=1,"plant","plants"),IF(F2712&gt;0.01,"warranty","Error")))</f>
        <v/>
      </c>
      <c r="I2712" s="485">
        <f t="shared" ref="I2712:I2717" si="2070">IF(H2712="free",0,IF(H2712="credit",((E2712*(F2712))*G2712*-1),IF(F2712="Buy",(E2712*G2712),((E2712*(1-F2712))*G2712))))</f>
        <v>0</v>
      </c>
      <c r="J2712" s="485">
        <f t="shared" ref="J2712:J2717" si="2071">IF(H2712="warranty",0,(I2712*(_xlfn.SINGLE(SalesTaxPercentage))))</f>
        <v>0</v>
      </c>
      <c r="K2712" s="715">
        <f t="shared" ref="K2712" si="2072">I2712+J2712</f>
        <v>0</v>
      </c>
      <c r="L2712" s="715"/>
      <c r="M2712" s="689" t="str">
        <f t="shared" ref="M2712:M2717" ca="1" si="2073">IF(AND(G2712&gt;0,E2712=0),"WARNING - no PRICE inserted",IF(H2712="free","FREE ~ no charge this plant",IF(H2712="credit",CONCATENATE("-$",ROUND(K2712*(1-_xlfn.SINGLE(T2GDiscount))*-1,2)," CREDIT after discount"),IF(_xlfn.SINGLE(T2GDiscount)=0,"",IF(G2712=0,"",IF(F2712="Buy",CONCATENATE("$",ROUND(K2712*(1-_xlfn.SINGLE(T2GDiscount)),2)," with ",(_xlfn.SINGLE(T2GDiscount)*100),"% discount"),CONCATENATE("$",ROUND(K2712*(1-_xlfn.SINGLE(T2GDiscount)),2)," with ",((_xlfn.SINGLE(T2GDiscount)*100+F2712*100)-(_xlfn.SINGLE(T2GDiscount)*100*F2712)),IF(F2712&gt;0,"% discounts",IF(_xlfn.SINGLE(NoWarrantyDiscount)&gt;0,"% discounts","% discount")))))))))</f>
        <v/>
      </c>
      <c r="N2712" s="690"/>
      <c r="O2712" s="486"/>
      <c r="P2712" s="486"/>
      <c r="Q2712" s="486"/>
      <c r="R2712" s="486"/>
      <c r="S2712" s="486"/>
      <c r="T2712" s="102">
        <f t="shared" si="2055"/>
        <v>0</v>
      </c>
      <c r="U2712" s="78">
        <f>IF(NOT(ISNUMBER(G2712)), "", VLOOKUP(A2712,'Discount Lookup'!D:E,2,FALSE)*G2712)</f>
        <v>0</v>
      </c>
      <c r="V2712" s="78">
        <f>IF(NOT(ISNUMBER(G2712)), "", VLOOKUP(A2712,'Discount Lookup'!G:H,2,FALSE)*G2712)</f>
        <v>0</v>
      </c>
      <c r="W2712" s="102">
        <f t="shared" si="2056"/>
        <v>0</v>
      </c>
      <c r="X2712" s="102">
        <f t="shared" si="2057"/>
        <v>0</v>
      </c>
      <c r="Y2712" s="120" t="b">
        <f t="shared" si="2058"/>
        <v>0</v>
      </c>
      <c r="Z2712" s="117">
        <f t="shared" si="2059"/>
        <v>0</v>
      </c>
      <c r="AA2712" s="118"/>
      <c r="AB2712" s="118" t="str">
        <f t="shared" si="2060"/>
        <v/>
      </c>
      <c r="AC2712" s="712" t="str">
        <f>IF(AE2712="T2G","no charge",IF(AND(OR(PlanterYesMe="No",PlanterYesMe="N",PlanterYesMe="me"),H2712=""),"",IF(H2712="credit","NO install",IF(AND(K2712="",AE2712="me"),"EACH row",IF(AND(K2712="images",AE2712="me"),"EACH row",IF(D2712="","",IF(H2712="credit","",IF(AE2712="free","re-planting",IF(AE2712="me","   not ELP, by",IF(AND(OR(PlanterYesMe="Yes",PlanterYesMe="Y"),G2712&gt;0),(VLOOKUP(A2712,'Discount Lookup'!J:K,2)*G2712*(1-PlanterDiscount)*(1+PlanterDifficultyPercentage)),IF(AE2712="ELP",(VLOOKUP(A2712,'Discount Lookup'!J:K,2)*G2712*(1-PlanterDiscount)*(1+PlanterDifficultyPercentage)),IF(AE2712="free","re-planting",IF(G2712=0,"",IF(PlanterYesMe="",IF(AE2712="me","   not ELP, by",IF(AE2712="",IF(G2712&gt;0,(VLOOKUP(A2712,'Discount Lookup'!J:K,2)*G2712*(1-PlanterDiscount)*(1+PlanterDifficultyPercentage)),""),"")),"   not ELP, by"))))))))))))))</f>
        <v/>
      </c>
      <c r="AD2712" s="712"/>
      <c r="AE2712" s="513" t="str">
        <f t="shared" si="2061"/>
        <v/>
      </c>
      <c r="AF2712" s="713" t="str">
        <f t="shared" si="2062"/>
        <v/>
      </c>
      <c r="AG2712" s="713"/>
      <c r="AH2712" s="713"/>
      <c r="AI2712" s="112">
        <f>IF(H2712="credit",0,IF(AE2712="free",0,IF(AE2712="me",0,IF(G2712&gt;0,(VLOOKUP(A2712,'Discount Lookup'!J:K,2)*G2712),0))))</f>
        <v>0</v>
      </c>
      <c r="AJ2712" s="107" t="str">
        <f t="shared" ca="1" si="2063"/>
        <v/>
      </c>
      <c r="AK2712" s="714" t="str">
        <f t="shared" si="2064"/>
        <v/>
      </c>
      <c r="AL2712" s="714"/>
      <c r="AM2712" s="114" t="str">
        <f t="shared" si="2065"/>
        <v/>
      </c>
      <c r="AN2712" s="115"/>
      <c r="AO2712" s="116"/>
      <c r="AP2712" s="116"/>
      <c r="AQ2712" s="116"/>
      <c r="AR2712" s="116"/>
      <c r="AS2712" s="116"/>
      <c r="AT2712" s="116"/>
      <c r="AU2712" s="116"/>
      <c r="AV2712" s="78"/>
      <c r="AW2712" s="102"/>
      <c r="AX2712" s="78"/>
      <c r="AY2712" s="78"/>
      <c r="AZ2712" s="78"/>
      <c r="BA2712" s="78"/>
      <c r="BB2712" s="78"/>
      <c r="BC2712" s="78"/>
      <c r="BD2712" s="78"/>
      <c r="BE2712" s="465"/>
      <c r="BF2712" s="165" t="str">
        <f t="shared" si="2066"/>
        <v>https://www.google.com/search?tbm=isch&amp;q=1%20G3</v>
      </c>
      <c r="BG2712" s="165" t="str">
        <f t="shared" si="2067"/>
        <v>L</v>
      </c>
      <c r="BH2712" s="65"/>
      <c r="BI2712" s="65"/>
      <c r="BJ2712" s="65"/>
      <c r="BK2712" s="65"/>
      <c r="BL2712" s="99"/>
      <c r="BM2712" s="99"/>
      <c r="BN2712" s="99"/>
    </row>
    <row r="2713" spans="1:66" s="51" customFormat="1" ht="15.75" x14ac:dyDescent="0.25">
      <c r="A2713" s="478">
        <v>1</v>
      </c>
      <c r="B2713" s="479" t="s">
        <v>291</v>
      </c>
      <c r="C2713" s="480" t="s">
        <v>3376</v>
      </c>
      <c r="D2713" s="481" t="s">
        <v>311</v>
      </c>
      <c r="E2713" s="482">
        <v>6.95</v>
      </c>
      <c r="F2713" s="483" t="s">
        <v>292</v>
      </c>
      <c r="G2713" s="484">
        <v>0</v>
      </c>
      <c r="H2713" s="688" t="str">
        <f t="shared" si="2069"/>
        <v/>
      </c>
      <c r="I2713" s="485">
        <f t="shared" si="2070"/>
        <v>0</v>
      </c>
      <c r="J2713" s="485">
        <f t="shared" si="2071"/>
        <v>0</v>
      </c>
      <c r="K2713" s="715">
        <f t="shared" ref="K2713" si="2074">I2713+J2713</f>
        <v>0</v>
      </c>
      <c r="L2713" s="715"/>
      <c r="M2713" s="689" t="str">
        <f t="shared" ca="1" si="2073"/>
        <v/>
      </c>
      <c r="N2713" s="690"/>
      <c r="O2713" s="486"/>
      <c r="P2713" s="486"/>
      <c r="Q2713" s="486"/>
      <c r="R2713" s="486"/>
      <c r="S2713" s="486"/>
      <c r="T2713" s="102">
        <f t="shared" si="2055"/>
        <v>0</v>
      </c>
      <c r="U2713" s="78">
        <f>IF(NOT(ISNUMBER(G2713)), "", VLOOKUP(A2713,'Discount Lookup'!D:E,2,FALSE)*G2713)</f>
        <v>0</v>
      </c>
      <c r="V2713" s="78">
        <f>IF(NOT(ISNUMBER(G2713)), "", VLOOKUP(A2713,'Discount Lookup'!G:H,2,FALSE)*G2713)</f>
        <v>0</v>
      </c>
      <c r="W2713" s="102">
        <f t="shared" si="2056"/>
        <v>0</v>
      </c>
      <c r="X2713" s="102">
        <f t="shared" si="2057"/>
        <v>0</v>
      </c>
      <c r="Y2713" s="120" t="b">
        <f t="shared" si="2058"/>
        <v>0</v>
      </c>
      <c r="Z2713" s="117">
        <f t="shared" si="2059"/>
        <v>0</v>
      </c>
      <c r="AA2713" s="118"/>
      <c r="AB2713" s="118" t="str">
        <f t="shared" si="2060"/>
        <v/>
      </c>
      <c r="AC2713" s="712" t="str">
        <f>IF(AE2713="T2G","no charge",IF(AND(OR(PlanterYesMe="No",PlanterYesMe="N",PlanterYesMe="me"),H2713=""),"",IF(H2713="credit","NO install",IF(AND(K2713="",AE2713="me"),"EACH row",IF(AND(K2713="images",AE2713="me"),"EACH row",IF(D2713="","",IF(H2713="credit","",IF(AE2713="free","re-planting",IF(AE2713="me","   not ELP, by",IF(AND(OR(PlanterYesMe="Yes",PlanterYesMe="Y"),G2713&gt;0),(VLOOKUP(A2713,'Discount Lookup'!J:K,2)*G2713*(1-PlanterDiscount)*(1+PlanterDifficultyPercentage)),IF(AE2713="ELP",(VLOOKUP(A2713,'Discount Lookup'!J:K,2)*G2713*(1-PlanterDiscount)*(1+PlanterDifficultyPercentage)),IF(AE2713="free","re-planting",IF(G2713=0,"",IF(PlanterYesMe="",IF(AE2713="me","   not ELP, by",IF(AE2713="",IF(G2713&gt;0,(VLOOKUP(A2713,'Discount Lookup'!J:K,2)*G2713*(1-PlanterDiscount)*(1+PlanterDifficultyPercentage)),""),"")),"   not ELP, by"))))))))))))))</f>
        <v/>
      </c>
      <c r="AD2713" s="712"/>
      <c r="AE2713" s="513" t="str">
        <f t="shared" si="2061"/>
        <v/>
      </c>
      <c r="AF2713" s="713" t="str">
        <f t="shared" si="2062"/>
        <v/>
      </c>
      <c r="AG2713" s="713"/>
      <c r="AH2713" s="713"/>
      <c r="AI2713" s="112">
        <f>IF(H2713="credit",0,IF(AE2713="free",0,IF(AE2713="me",0,IF(G2713&gt;0,(VLOOKUP(A2713,'Discount Lookup'!J:K,2)*G2713),0))))</f>
        <v>0</v>
      </c>
      <c r="AJ2713" s="107" t="str">
        <f t="shared" ca="1" si="2063"/>
        <v/>
      </c>
      <c r="AK2713" s="714" t="str">
        <f t="shared" si="2064"/>
        <v/>
      </c>
      <c r="AL2713" s="714"/>
      <c r="AM2713" s="114" t="str">
        <f t="shared" si="2065"/>
        <v/>
      </c>
      <c r="AN2713" s="115"/>
      <c r="AO2713" s="116"/>
      <c r="AP2713" s="116"/>
      <c r="AQ2713" s="116"/>
      <c r="AR2713" s="116"/>
      <c r="AS2713" s="116"/>
      <c r="AT2713" s="116"/>
      <c r="AU2713" s="116"/>
      <c r="AV2713" s="78"/>
      <c r="AW2713" s="102"/>
      <c r="AX2713" s="78"/>
      <c r="AY2713" s="78"/>
      <c r="AZ2713" s="78"/>
      <c r="BA2713" s="78"/>
      <c r="BB2713" s="78"/>
      <c r="BC2713" s="78"/>
      <c r="BD2713" s="78"/>
      <c r="BE2713" s="465"/>
      <c r="BF2713" s="165" t="str">
        <f t="shared" si="2066"/>
        <v>https://www.google.com/search?tbm=isch&amp;q=1%20G5</v>
      </c>
      <c r="BG2713" s="165" t="str">
        <f t="shared" si="2067"/>
        <v>L</v>
      </c>
      <c r="BH2713" s="65"/>
      <c r="BI2713" s="65"/>
      <c r="BJ2713" s="65"/>
      <c r="BK2713" s="65"/>
      <c r="BL2713" s="99"/>
      <c r="BM2713" s="99"/>
      <c r="BN2713" s="99"/>
    </row>
    <row r="2714" spans="1:66" s="51" customFormat="1" ht="15.75" x14ac:dyDescent="0.25">
      <c r="A2714" s="478">
        <v>1</v>
      </c>
      <c r="B2714" s="479" t="s">
        <v>291</v>
      </c>
      <c r="C2714" s="480"/>
      <c r="D2714" s="481" t="s">
        <v>310</v>
      </c>
      <c r="E2714" s="482">
        <v>8.9499999999999993</v>
      </c>
      <c r="F2714" s="483" t="s">
        <v>292</v>
      </c>
      <c r="G2714" s="484">
        <v>0</v>
      </c>
      <c r="H2714" s="688" t="str">
        <f t="shared" si="2069"/>
        <v/>
      </c>
      <c r="I2714" s="485">
        <f t="shared" si="2070"/>
        <v>0</v>
      </c>
      <c r="J2714" s="485">
        <f t="shared" si="2071"/>
        <v>0</v>
      </c>
      <c r="K2714" s="715">
        <f t="shared" ref="K2714" si="2075">I2714+J2714</f>
        <v>0</v>
      </c>
      <c r="L2714" s="715"/>
      <c r="M2714" s="689" t="str">
        <f t="shared" ca="1" si="2073"/>
        <v/>
      </c>
      <c r="N2714" s="690"/>
      <c r="O2714" s="486"/>
      <c r="P2714" s="486"/>
      <c r="Q2714" s="486"/>
      <c r="R2714" s="486"/>
      <c r="S2714" s="486"/>
      <c r="T2714" s="102">
        <f t="shared" si="2055"/>
        <v>0</v>
      </c>
      <c r="U2714" s="78">
        <f>IF(NOT(ISNUMBER(G2714)), "", VLOOKUP(A2714,'Discount Lookup'!D:E,2,FALSE)*G2714)</f>
        <v>0</v>
      </c>
      <c r="V2714" s="78">
        <f>IF(NOT(ISNUMBER(G2714)), "", VLOOKUP(A2714,'Discount Lookup'!G:H,2,FALSE)*G2714)</f>
        <v>0</v>
      </c>
      <c r="W2714" s="102">
        <f t="shared" si="2056"/>
        <v>0</v>
      </c>
      <c r="X2714" s="102">
        <f t="shared" si="2057"/>
        <v>0</v>
      </c>
      <c r="Y2714" s="120" t="b">
        <f t="shared" si="2058"/>
        <v>0</v>
      </c>
      <c r="Z2714" s="117">
        <f t="shared" si="2059"/>
        <v>0</v>
      </c>
      <c r="AA2714" s="118"/>
      <c r="AB2714" s="118" t="str">
        <f t="shared" si="2060"/>
        <v/>
      </c>
      <c r="AC2714" s="712" t="str">
        <f>IF(AE2714="T2G","no charge",IF(AND(OR(PlanterYesMe="No",PlanterYesMe="N",PlanterYesMe="me"),H2714=""),"",IF(H2714="credit","NO install",IF(AND(K2714="",AE2714="me"),"EACH row",IF(AND(K2714="images",AE2714="me"),"EACH row",IF(D2714="","",IF(H2714="credit","",IF(AE2714="free","re-planting",IF(AE2714="me","   not ELP, by",IF(AND(OR(PlanterYesMe="Yes",PlanterYesMe="Y"),G2714&gt;0),(VLOOKUP(A2714,'Discount Lookup'!J:K,2)*G2714*(1-PlanterDiscount)*(1+PlanterDifficultyPercentage)),IF(AE2714="ELP",(VLOOKUP(A2714,'Discount Lookup'!J:K,2)*G2714*(1-PlanterDiscount)*(1+PlanterDifficultyPercentage)),IF(AE2714="free","re-planting",IF(G2714=0,"",IF(PlanterYesMe="",IF(AE2714="me","   not ELP, by",IF(AE2714="",IF(G2714&gt;0,(VLOOKUP(A2714,'Discount Lookup'!J:K,2)*G2714*(1-PlanterDiscount)*(1+PlanterDifficultyPercentage)),""),"")),"   not ELP, by"))))))))))))))</f>
        <v/>
      </c>
      <c r="AD2714" s="712"/>
      <c r="AE2714" s="513" t="str">
        <f t="shared" si="2061"/>
        <v/>
      </c>
      <c r="AF2714" s="713" t="str">
        <f t="shared" si="2062"/>
        <v/>
      </c>
      <c r="AG2714" s="713"/>
      <c r="AH2714" s="713"/>
      <c r="AI2714" s="112">
        <f>IF(H2714="credit",0,IF(AE2714="free",0,IF(AE2714="me",0,IF(G2714&gt;0,(VLOOKUP(A2714,'Discount Lookup'!J:K,2)*G2714),0))))</f>
        <v>0</v>
      </c>
      <c r="AJ2714" s="107" t="str">
        <f t="shared" ca="1" si="2063"/>
        <v/>
      </c>
      <c r="AK2714" s="714" t="str">
        <f t="shared" si="2064"/>
        <v/>
      </c>
      <c r="AL2714" s="714"/>
      <c r="AM2714" s="114" t="str">
        <f t="shared" si="2065"/>
        <v/>
      </c>
      <c r="AN2714" s="115"/>
      <c r="AO2714" s="116"/>
      <c r="AP2714" s="116"/>
      <c r="AQ2714" s="116"/>
      <c r="AR2714" s="116"/>
      <c r="AS2714" s="116"/>
      <c r="AT2714" s="116"/>
      <c r="AU2714" s="116"/>
      <c r="AV2714" s="78"/>
      <c r="AW2714" s="102"/>
      <c r="AX2714" s="78"/>
      <c r="AY2714" s="78"/>
      <c r="AZ2714" s="78"/>
      <c r="BA2714" s="78"/>
      <c r="BB2714" s="78"/>
      <c r="BC2714" s="78"/>
      <c r="BD2714" s="78"/>
      <c r="BE2714" s="465"/>
      <c r="BF2714" s="165" t="str">
        <f t="shared" si="2066"/>
        <v>https://www.google.com/search?tbm=isch&amp;q=1%20G1</v>
      </c>
      <c r="BG2714" s="165" t="str">
        <f t="shared" si="2067"/>
        <v>L</v>
      </c>
      <c r="BH2714" s="65"/>
      <c r="BI2714" s="65"/>
      <c r="BJ2714" s="65"/>
      <c r="BK2714" s="65"/>
      <c r="BL2714" s="99"/>
      <c r="BM2714" s="99"/>
      <c r="BN2714" s="99"/>
    </row>
    <row r="2715" spans="1:66" s="51" customFormat="1" ht="15.75" x14ac:dyDescent="0.25">
      <c r="A2715" s="478">
        <v>1</v>
      </c>
      <c r="B2715" s="479" t="s">
        <v>291</v>
      </c>
      <c r="C2715" s="480"/>
      <c r="D2715" s="481" t="s">
        <v>329</v>
      </c>
      <c r="E2715" s="482">
        <v>10.95</v>
      </c>
      <c r="F2715" s="483" t="s">
        <v>292</v>
      </c>
      <c r="G2715" s="484">
        <v>0</v>
      </c>
      <c r="H2715" s="688" t="str">
        <f t="shared" si="2069"/>
        <v/>
      </c>
      <c r="I2715" s="485">
        <f t="shared" si="2070"/>
        <v>0</v>
      </c>
      <c r="J2715" s="485">
        <f t="shared" si="2071"/>
        <v>0</v>
      </c>
      <c r="K2715" s="715">
        <f t="shared" ref="K2715" si="2076">I2715+J2715</f>
        <v>0</v>
      </c>
      <c r="L2715" s="715"/>
      <c r="M2715" s="689" t="str">
        <f t="shared" ca="1" si="2073"/>
        <v/>
      </c>
      <c r="N2715" s="690"/>
      <c r="O2715" s="486"/>
      <c r="P2715" s="486"/>
      <c r="Q2715" s="486"/>
      <c r="R2715" s="486"/>
      <c r="S2715" s="486"/>
      <c r="T2715" s="102">
        <f t="shared" si="2055"/>
        <v>0</v>
      </c>
      <c r="U2715" s="78">
        <f>IF(NOT(ISNUMBER(G2715)), "", VLOOKUP(A2715,'Discount Lookup'!D:E,2,FALSE)*G2715)</f>
        <v>0</v>
      </c>
      <c r="V2715" s="78">
        <f>IF(NOT(ISNUMBER(G2715)), "", VLOOKUP(A2715,'Discount Lookup'!G:H,2,FALSE)*G2715)</f>
        <v>0</v>
      </c>
      <c r="W2715" s="102">
        <f t="shared" si="2056"/>
        <v>0</v>
      </c>
      <c r="X2715" s="102">
        <f t="shared" si="2057"/>
        <v>0</v>
      </c>
      <c r="Y2715" s="120" t="b">
        <f t="shared" si="2058"/>
        <v>0</v>
      </c>
      <c r="Z2715" s="117">
        <f t="shared" si="2059"/>
        <v>0</v>
      </c>
      <c r="AA2715" s="118"/>
      <c r="AB2715" s="118" t="str">
        <f t="shared" si="2060"/>
        <v/>
      </c>
      <c r="AC2715" s="712" t="str">
        <f>IF(AE2715="T2G","no charge",IF(AND(OR(PlanterYesMe="No",PlanterYesMe="N",PlanterYesMe="me"),H2715=""),"",IF(H2715="credit","NO install",IF(AND(K2715="",AE2715="me"),"EACH row",IF(AND(K2715="images",AE2715="me"),"EACH row",IF(D2715="","",IF(H2715="credit","",IF(AE2715="free","re-planting",IF(AE2715="me","   not ELP, by",IF(AND(OR(PlanterYesMe="Yes",PlanterYesMe="Y"),G2715&gt;0),(VLOOKUP(A2715,'Discount Lookup'!J:K,2)*G2715*(1-PlanterDiscount)*(1+PlanterDifficultyPercentage)),IF(AE2715="ELP",(VLOOKUP(A2715,'Discount Lookup'!J:K,2)*G2715*(1-PlanterDiscount)*(1+PlanterDifficultyPercentage)),IF(AE2715="free","re-planting",IF(G2715=0,"",IF(PlanterYesMe="",IF(AE2715="me","   not ELP, by",IF(AE2715="",IF(G2715&gt;0,(VLOOKUP(A2715,'Discount Lookup'!J:K,2)*G2715*(1-PlanterDiscount)*(1+PlanterDifficultyPercentage)),""),"")),"   not ELP, by"))))))))))))))</f>
        <v/>
      </c>
      <c r="AD2715" s="712"/>
      <c r="AE2715" s="513" t="str">
        <f t="shared" si="2061"/>
        <v/>
      </c>
      <c r="AF2715" s="713" t="str">
        <f t="shared" si="2062"/>
        <v/>
      </c>
      <c r="AG2715" s="713"/>
      <c r="AH2715" s="713"/>
      <c r="AI2715" s="112">
        <f>IF(H2715="credit",0,IF(AE2715="free",0,IF(AE2715="me",0,IF(G2715&gt;0,(VLOOKUP(A2715,'Discount Lookup'!J:K,2)*G2715),0))))</f>
        <v>0</v>
      </c>
      <c r="AJ2715" s="107" t="str">
        <f t="shared" ca="1" si="2063"/>
        <v/>
      </c>
      <c r="AK2715" s="714" t="str">
        <f t="shared" si="2064"/>
        <v/>
      </c>
      <c r="AL2715" s="714"/>
      <c r="AM2715" s="114" t="str">
        <f t="shared" si="2065"/>
        <v/>
      </c>
      <c r="AN2715" s="115"/>
      <c r="AO2715" s="116"/>
      <c r="AP2715" s="116"/>
      <c r="AQ2715" s="116"/>
      <c r="AR2715" s="116"/>
      <c r="AS2715" s="116"/>
      <c r="AT2715" s="116"/>
      <c r="AU2715" s="116"/>
      <c r="AV2715" s="78"/>
      <c r="AW2715" s="102"/>
      <c r="AX2715" s="78"/>
      <c r="AY2715" s="78"/>
      <c r="AZ2715" s="78"/>
      <c r="BA2715" s="78"/>
      <c r="BB2715" s="78"/>
      <c r="BC2715" s="78"/>
      <c r="BD2715" s="78"/>
      <c r="BE2715" s="465"/>
      <c r="BF2715" s="165" t="str">
        <f t="shared" si="2066"/>
        <v>https://www.google.com/search?tbm=isch&amp;q=1%20G2</v>
      </c>
      <c r="BG2715" s="165" t="str">
        <f t="shared" si="2067"/>
        <v>L</v>
      </c>
      <c r="BH2715" s="65"/>
      <c r="BI2715" s="65"/>
      <c r="BJ2715" s="65"/>
      <c r="BK2715" s="65"/>
      <c r="BL2715" s="99"/>
      <c r="BM2715" s="99"/>
      <c r="BN2715" s="99"/>
    </row>
    <row r="2716" spans="1:66" s="51" customFormat="1" ht="15.75" x14ac:dyDescent="0.25">
      <c r="A2716" s="478">
        <v>1</v>
      </c>
      <c r="B2716" s="479" t="s">
        <v>291</v>
      </c>
      <c r="C2716" s="480"/>
      <c r="D2716" s="481" t="s">
        <v>293</v>
      </c>
      <c r="E2716" s="482">
        <v>10.95</v>
      </c>
      <c r="F2716" s="483" t="s">
        <v>292</v>
      </c>
      <c r="G2716" s="484">
        <v>0</v>
      </c>
      <c r="H2716" s="688" t="str">
        <f t="shared" si="2069"/>
        <v/>
      </c>
      <c r="I2716" s="485">
        <f t="shared" si="2070"/>
        <v>0</v>
      </c>
      <c r="J2716" s="485">
        <f t="shared" si="2071"/>
        <v>0</v>
      </c>
      <c r="K2716" s="715">
        <f t="shared" ref="K2716" si="2077">I2716+J2716</f>
        <v>0</v>
      </c>
      <c r="L2716" s="715"/>
      <c r="M2716" s="689" t="str">
        <f t="shared" ca="1" si="2073"/>
        <v/>
      </c>
      <c r="N2716" s="690"/>
      <c r="O2716" s="486"/>
      <c r="P2716" s="486"/>
      <c r="Q2716" s="486"/>
      <c r="R2716" s="486"/>
      <c r="S2716" s="486"/>
      <c r="T2716" s="102">
        <f t="shared" si="2055"/>
        <v>0</v>
      </c>
      <c r="U2716" s="78">
        <f>IF(NOT(ISNUMBER(G2716)), "", VLOOKUP(A2716,'Discount Lookup'!D:E,2,FALSE)*G2716)</f>
        <v>0</v>
      </c>
      <c r="V2716" s="78">
        <f>IF(NOT(ISNUMBER(G2716)), "", VLOOKUP(A2716,'Discount Lookup'!G:H,2,FALSE)*G2716)</f>
        <v>0</v>
      </c>
      <c r="W2716" s="102">
        <f t="shared" si="2056"/>
        <v>0</v>
      </c>
      <c r="X2716" s="102">
        <f t="shared" si="2057"/>
        <v>0</v>
      </c>
      <c r="Y2716" s="120" t="b">
        <f t="shared" si="2058"/>
        <v>0</v>
      </c>
      <c r="Z2716" s="117">
        <f t="shared" si="2059"/>
        <v>0</v>
      </c>
      <c r="AA2716" s="118"/>
      <c r="AB2716" s="118" t="str">
        <f t="shared" si="2060"/>
        <v/>
      </c>
      <c r="AC2716" s="712" t="str">
        <f>IF(AE2716="T2G","no charge",IF(AND(OR(PlanterYesMe="No",PlanterYesMe="N",PlanterYesMe="me"),H2716=""),"",IF(H2716="credit","NO install",IF(AND(K2716="",AE2716="me"),"EACH row",IF(AND(K2716="images",AE2716="me"),"EACH row",IF(D2716="","",IF(H2716="credit","",IF(AE2716="free","re-planting",IF(AE2716="me","   not ELP, by",IF(AND(OR(PlanterYesMe="Yes",PlanterYesMe="Y"),G2716&gt;0),(VLOOKUP(A2716,'Discount Lookup'!J:K,2)*G2716*(1-PlanterDiscount)*(1+PlanterDifficultyPercentage)),IF(AE2716="ELP",(VLOOKUP(A2716,'Discount Lookup'!J:K,2)*G2716*(1-PlanterDiscount)*(1+PlanterDifficultyPercentage)),IF(AE2716="free","re-planting",IF(G2716=0,"",IF(PlanterYesMe="",IF(AE2716="me","   not ELP, by",IF(AE2716="",IF(G2716&gt;0,(VLOOKUP(A2716,'Discount Lookup'!J:K,2)*G2716*(1-PlanterDiscount)*(1+PlanterDifficultyPercentage)),""),"")),"   not ELP, by"))))))))))))))</f>
        <v/>
      </c>
      <c r="AD2716" s="712"/>
      <c r="AE2716" s="513" t="str">
        <f t="shared" si="2061"/>
        <v/>
      </c>
      <c r="AF2716" s="713" t="str">
        <f t="shared" si="2062"/>
        <v/>
      </c>
      <c r="AG2716" s="713"/>
      <c r="AH2716" s="713"/>
      <c r="AI2716" s="112">
        <f>IF(H2716="credit",0,IF(AE2716="free",0,IF(AE2716="me",0,IF(G2716&gt;0,(VLOOKUP(A2716,'Discount Lookup'!J:K,2)*G2716),0))))</f>
        <v>0</v>
      </c>
      <c r="AJ2716" s="107" t="str">
        <f t="shared" ca="1" si="2063"/>
        <v/>
      </c>
      <c r="AK2716" s="714" t="str">
        <f t="shared" si="2064"/>
        <v/>
      </c>
      <c r="AL2716" s="714"/>
      <c r="AM2716" s="114" t="str">
        <f t="shared" si="2065"/>
        <v/>
      </c>
      <c r="AN2716" s="115"/>
      <c r="AO2716" s="116"/>
      <c r="AP2716" s="116"/>
      <c r="AQ2716" s="116"/>
      <c r="AR2716" s="116"/>
      <c r="AS2716" s="116"/>
      <c r="AT2716" s="116"/>
      <c r="AU2716" s="116"/>
      <c r="AV2716" s="78"/>
      <c r="AW2716" s="102"/>
      <c r="AX2716" s="78"/>
      <c r="AY2716" s="78"/>
      <c r="AZ2716" s="78"/>
      <c r="BA2716" s="78"/>
      <c r="BB2716" s="78"/>
      <c r="BC2716" s="78"/>
      <c r="BD2716" s="78"/>
      <c r="BE2716" s="465"/>
      <c r="BF2716" s="165" t="str">
        <f t="shared" si="2066"/>
        <v>https://www.google.com/search?tbm=isch&amp;q=1%20G6</v>
      </c>
      <c r="BG2716" s="165" t="str">
        <f t="shared" si="2067"/>
        <v>L</v>
      </c>
      <c r="BH2716" s="65"/>
      <c r="BI2716" s="65"/>
      <c r="BJ2716" s="65"/>
      <c r="BK2716" s="65"/>
      <c r="BL2716" s="99"/>
      <c r="BM2716" s="99"/>
      <c r="BN2716" s="99"/>
    </row>
    <row r="2717" spans="1:66" s="51" customFormat="1" ht="15.75" x14ac:dyDescent="0.25">
      <c r="A2717" s="478" t="s">
        <v>29</v>
      </c>
      <c r="B2717" s="479" t="s">
        <v>1446</v>
      </c>
      <c r="C2717" s="480"/>
      <c r="D2717" s="481" t="s">
        <v>329</v>
      </c>
      <c r="E2717" s="482">
        <v>61.95</v>
      </c>
      <c r="F2717" s="483" t="s">
        <v>292</v>
      </c>
      <c r="G2717" s="484">
        <v>0</v>
      </c>
      <c r="H2717" s="688" t="str">
        <f t="shared" si="2069"/>
        <v/>
      </c>
      <c r="I2717" s="485">
        <f t="shared" si="2070"/>
        <v>0</v>
      </c>
      <c r="J2717" s="485">
        <f t="shared" si="2071"/>
        <v>0</v>
      </c>
      <c r="K2717" s="715">
        <f t="shared" ref="K2717" si="2078">I2717+J2717</f>
        <v>0</v>
      </c>
      <c r="L2717" s="715"/>
      <c r="M2717" s="689" t="str">
        <f t="shared" ca="1" si="2073"/>
        <v/>
      </c>
      <c r="N2717" s="690"/>
      <c r="O2717" s="486"/>
      <c r="P2717" s="486"/>
      <c r="Q2717" s="486"/>
      <c r="R2717" s="486"/>
      <c r="S2717" s="486"/>
      <c r="T2717" s="102">
        <f t="shared" si="2055"/>
        <v>0</v>
      </c>
      <c r="U2717" s="78">
        <f>IF(NOT(ISNUMBER(G2717)), "", VLOOKUP(A2717,'Discount Lookup'!D:E,2,FALSE)*G2717)</f>
        <v>0</v>
      </c>
      <c r="V2717" s="78">
        <f>IF(NOT(ISNUMBER(G2717)), "", VLOOKUP(A2717,'Discount Lookup'!G:H,2,FALSE)*G2717)</f>
        <v>0</v>
      </c>
      <c r="W2717" s="102">
        <f t="shared" si="2056"/>
        <v>0</v>
      </c>
      <c r="X2717" s="102">
        <f t="shared" si="2057"/>
        <v>0</v>
      </c>
      <c r="Y2717" s="120" t="b">
        <f t="shared" si="2058"/>
        <v>0</v>
      </c>
      <c r="Z2717" s="117">
        <f t="shared" si="2059"/>
        <v>0</v>
      </c>
      <c r="AA2717" s="118"/>
      <c r="AB2717" s="118" t="str">
        <f t="shared" si="2060"/>
        <v/>
      </c>
      <c r="AC2717" s="712" t="str">
        <f>IF(AE2717="T2G","no charge",IF(AND(OR(PlanterYesMe="No",PlanterYesMe="N",PlanterYesMe="me"),H2717=""),"",IF(H2717="credit","NO install",IF(AND(K2717="",AE2717="me"),"EACH row",IF(AND(K2717="images",AE2717="me"),"EACH row",IF(D2717="","",IF(H2717="credit","",IF(AE2717="free","re-planting",IF(AE2717="me","   not ELP, by",IF(AND(OR(PlanterYesMe="Yes",PlanterYesMe="Y"),G2717&gt;0),(VLOOKUP(A2717,'Discount Lookup'!J:K,2)*G2717*(1-PlanterDiscount)*(1+PlanterDifficultyPercentage)),IF(AE2717="ELP",(VLOOKUP(A2717,'Discount Lookup'!J:K,2)*G2717*(1-PlanterDiscount)*(1+PlanterDifficultyPercentage)),IF(AE2717="free","re-planting",IF(G2717=0,"",IF(PlanterYesMe="",IF(AE2717="me","   not ELP, by",IF(AE2717="",IF(G2717&gt;0,(VLOOKUP(A2717,'Discount Lookup'!J:K,2)*G2717*(1-PlanterDiscount)*(1+PlanterDifficultyPercentage)),""),"")),"   not ELP, by"))))))))))))))</f>
        <v/>
      </c>
      <c r="AD2717" s="712"/>
      <c r="AE2717" s="513" t="str">
        <f t="shared" si="2061"/>
        <v/>
      </c>
      <c r="AF2717" s="713" t="str">
        <f t="shared" si="2062"/>
        <v/>
      </c>
      <c r="AG2717" s="713"/>
      <c r="AH2717" s="713"/>
      <c r="AI2717" s="112">
        <f>IF(H2717="credit",0,IF(AE2717="free",0,IF(AE2717="me",0,IF(G2717&gt;0,(VLOOKUP(A2717,'Discount Lookup'!J:K,2)*G2717),0))))</f>
        <v>0</v>
      </c>
      <c r="AJ2717" s="107" t="str">
        <f t="shared" ca="1" si="2063"/>
        <v/>
      </c>
      <c r="AK2717" s="714" t="str">
        <f t="shared" si="2064"/>
        <v/>
      </c>
      <c r="AL2717" s="714"/>
      <c r="AM2717" s="114" t="str">
        <f t="shared" si="2065"/>
        <v/>
      </c>
      <c r="AN2717" s="115"/>
      <c r="AO2717" s="116"/>
      <c r="AP2717" s="116"/>
      <c r="AQ2717" s="116"/>
      <c r="AR2717" s="116"/>
      <c r="AS2717" s="116"/>
      <c r="AT2717" s="116"/>
      <c r="AU2717" s="116"/>
      <c r="AV2717" s="78"/>
      <c r="AW2717" s="102"/>
      <c r="AX2717" s="78"/>
      <c r="AY2717" s="78"/>
      <c r="AZ2717" s="78"/>
      <c r="BA2717" s="78"/>
      <c r="BB2717" s="78"/>
      <c r="BC2717" s="78"/>
      <c r="BD2717" s="78"/>
      <c r="BE2717" s="465"/>
      <c r="BF2717" s="165" t="str">
        <f t="shared" si="2066"/>
        <v>https://www.google.com/search?tbm=isch&amp;q=18%20in%20G2</v>
      </c>
      <c r="BG2717" s="165" t="str">
        <f t="shared" si="2067"/>
        <v>1</v>
      </c>
      <c r="BH2717" s="65"/>
      <c r="BI2717" s="65"/>
      <c r="BJ2717" s="65"/>
      <c r="BK2717" s="65"/>
      <c r="BL2717" s="99"/>
      <c r="BM2717" s="99"/>
      <c r="BN2717" s="99"/>
    </row>
    <row r="2718" spans="1:66" s="51" customFormat="1" ht="16.5" x14ac:dyDescent="0.25">
      <c r="A2718" s="508" t="s">
        <v>4927</v>
      </c>
      <c r="B2718" s="487"/>
      <c r="C2718" s="707"/>
      <c r="D2718" s="487"/>
      <c r="E2718" s="487"/>
      <c r="F2718" s="488"/>
      <c r="G2718" s="489"/>
      <c r="H2718" s="487"/>
      <c r="I2718" s="490"/>
      <c r="J2718" s="490"/>
      <c r="K2718" s="491"/>
      <c r="L2718" s="547"/>
      <c r="M2718" s="528"/>
      <c r="N2718" s="492"/>
      <c r="O2718" s="493"/>
      <c r="P2718" s="494"/>
      <c r="Q2718" s="492"/>
      <c r="R2718" s="492"/>
      <c r="S2718" s="699" t="s">
        <v>5268</v>
      </c>
      <c r="T2718" s="102">
        <f t="shared" si="2055"/>
        <v>0</v>
      </c>
      <c r="U2718" s="78" t="str">
        <f>IF(NOT(ISNUMBER(G2718)), "", VLOOKUP(A2718,'Discount Lookup'!D:E,2,FALSE)*G2718)</f>
        <v/>
      </c>
      <c r="V2718" s="78" t="str">
        <f>IF(NOT(ISNUMBER(G2718)), "", VLOOKUP(A2718,'Discount Lookup'!G:H,2,FALSE)*G2718)</f>
        <v/>
      </c>
      <c r="W2718" s="102">
        <f t="shared" si="2056"/>
        <v>0</v>
      </c>
      <c r="X2718" s="102">
        <f t="shared" si="2057"/>
        <v>0</v>
      </c>
      <c r="Y2718" s="120" t="b">
        <f t="shared" si="2058"/>
        <v>0</v>
      </c>
      <c r="Z2718" s="117">
        <f t="shared" si="2059"/>
        <v>0</v>
      </c>
      <c r="AA2718" s="118"/>
      <c r="AB2718" s="118" t="str">
        <f t="shared" si="2060"/>
        <v/>
      </c>
      <c r="AC2718" s="712" t="str">
        <f>IF(AE2718="T2G","no charge",IF(AND(OR(PlanterYesMe="No",PlanterYesMe="N",PlanterYesMe="me"),H2718=""),"",IF(H2718="credit","NO install",IF(AND(K2718="",AE2718="me"),"EACH row",IF(AND(K2718="images",AE2718="me"),"EACH row",IF(D2718="","",IF(H2718="credit","",IF(AE2718="free","re-planting",IF(AE2718="me","   not ELP, by",IF(AND(OR(PlanterYesMe="Yes",PlanterYesMe="Y"),G2718&gt;0),(VLOOKUP(A2718,'Discount Lookup'!J:K,2)*G2718*(1-PlanterDiscount)*(1+PlanterDifficultyPercentage)),IF(AE2718="ELP",(VLOOKUP(A2718,'Discount Lookup'!J:K,2)*G2718*(1-PlanterDiscount)*(1+PlanterDifficultyPercentage)),IF(AE2718="free","re-planting",IF(G2718=0,"",IF(PlanterYesMe="",IF(AE2718="me","   not ELP, by",IF(AE2718="",IF(G2718&gt;0,(VLOOKUP(A2718,'Discount Lookup'!J:K,2)*G2718*(1-PlanterDiscount)*(1+PlanterDifficultyPercentage)),""),"")),"   not ELP, by"))))))))))))))</f>
        <v/>
      </c>
      <c r="AD2718" s="712"/>
      <c r="AE2718" s="513" t="str">
        <f t="shared" si="2061"/>
        <v/>
      </c>
      <c r="AF2718" s="713" t="str">
        <f t="shared" si="2062"/>
        <v/>
      </c>
      <c r="AG2718" s="713"/>
      <c r="AH2718" s="713"/>
      <c r="AI2718" s="112">
        <f>IF(H2718="credit",0,IF(AE2718="free",0,IF(AE2718="me",0,IF(G2718&gt;0,(VLOOKUP(A2718,'Discount Lookup'!J:K,2)*G2718),0))))</f>
        <v>0</v>
      </c>
      <c r="AJ2718" s="107" t="str">
        <f t="shared" ca="1" si="2063"/>
        <v/>
      </c>
      <c r="AK2718" s="714" t="str">
        <f t="shared" si="2064"/>
        <v/>
      </c>
      <c r="AL2718" s="714"/>
      <c r="AM2718" s="114" t="str">
        <f t="shared" si="2065"/>
        <v/>
      </c>
      <c r="AN2718" s="115"/>
      <c r="AO2718" s="116"/>
      <c r="AP2718" s="116"/>
      <c r="AQ2718" s="116"/>
      <c r="AR2718" s="116"/>
      <c r="AS2718" s="116"/>
      <c r="AT2718" s="116"/>
      <c r="AU2718" s="116"/>
      <c r="AV2718" s="78"/>
      <c r="AW2718" s="102"/>
      <c r="AX2718" s="78"/>
      <c r="AY2718" s="78"/>
      <c r="AZ2718" s="78"/>
      <c r="BA2718" s="78"/>
      <c r="BB2718" s="78"/>
      <c r="BC2718" s="78"/>
      <c r="BD2718" s="78"/>
      <c r="BE2718" s="465"/>
      <c r="BF2718" s="165" t="str">
        <f t="shared" si="2066"/>
        <v>https://www.google.com/search?tbm=isch&amp;q=Variegated%20Liriope%20has%20Green%20plus%20Creamy-edged%20foliage%2C%20and%20flower%20spikes%20in%20late%20summer%2C%20followed%20by%20Black%20berries%20</v>
      </c>
      <c r="BG2718" s="165" t="str">
        <f t="shared" si="2067"/>
        <v>V</v>
      </c>
      <c r="BH2718" s="65"/>
      <c r="BI2718" s="65"/>
      <c r="BJ2718" s="65"/>
      <c r="BK2718" s="65"/>
      <c r="BL2718" s="99"/>
      <c r="BM2718" s="99"/>
      <c r="BN2718" s="99"/>
    </row>
    <row r="2719" spans="1:66" s="51" customFormat="1" ht="19.5" thickBot="1" x14ac:dyDescent="0.3">
      <c r="A2719" s="686" t="s">
        <v>592</v>
      </c>
      <c r="B2719" s="73"/>
      <c r="C2719" s="708"/>
      <c r="D2719" s="73"/>
      <c r="E2719" s="73"/>
      <c r="F2719" s="496"/>
      <c r="G2719" s="73"/>
      <c r="H2719" s="73"/>
      <c r="I2719" s="73"/>
      <c r="J2719" s="497" t="s">
        <v>357</v>
      </c>
      <c r="K2719" s="498"/>
      <c r="L2719" s="562"/>
      <c r="M2719" s="73"/>
      <c r="N2719"/>
      <c r="O2719"/>
      <c r="P2719"/>
      <c r="Q2719"/>
      <c r="R2719"/>
      <c r="S2719"/>
      <c r="T2719" s="102">
        <f t="shared" si="2055"/>
        <v>0</v>
      </c>
      <c r="U2719" s="78" t="str">
        <f>IF(NOT(ISNUMBER(G2719)), "", VLOOKUP(A2719,'Discount Lookup'!D:E,2,FALSE)*G2719)</f>
        <v/>
      </c>
      <c r="V2719" s="78" t="str">
        <f>IF(NOT(ISNUMBER(G2719)), "", VLOOKUP(A2719,'Discount Lookup'!G:H,2,FALSE)*G2719)</f>
        <v/>
      </c>
      <c r="W2719" s="102">
        <f t="shared" si="2056"/>
        <v>0</v>
      </c>
      <c r="X2719" s="102">
        <f t="shared" si="2057"/>
        <v>0</v>
      </c>
      <c r="Y2719" s="120" t="b">
        <f t="shared" si="2058"/>
        <v>0</v>
      </c>
      <c r="Z2719" s="117">
        <f t="shared" si="2059"/>
        <v>0</v>
      </c>
      <c r="AA2719" s="118"/>
      <c r="AB2719" s="118" t="str">
        <f t="shared" si="2060"/>
        <v/>
      </c>
      <c r="AC2719" s="712" t="str">
        <f>IF(AE2719="T2G","no charge",IF(AND(OR(PlanterYesMe="No",PlanterYesMe="N",PlanterYesMe="me"),H2719=""),"",IF(H2719="credit","NO install",IF(AND(K2719="",AE2719="me"),"EACH row",IF(AND(K2719="images",AE2719="me"),"EACH row",IF(D2719="","",IF(H2719="credit","",IF(AE2719="free","re-planting",IF(AE2719="me","   not ELP, by",IF(AND(OR(PlanterYesMe="Yes",PlanterYesMe="Y"),G2719&gt;0),(VLOOKUP(A2719,'Discount Lookup'!J:K,2)*G2719*(1-PlanterDiscount)*(1+PlanterDifficultyPercentage)),IF(AE2719="ELP",(VLOOKUP(A2719,'Discount Lookup'!J:K,2)*G2719*(1-PlanterDiscount)*(1+PlanterDifficultyPercentage)),IF(AE2719="free","re-planting",IF(G2719=0,"",IF(PlanterYesMe="",IF(AE2719="me","   not ELP, by",IF(AE2719="",IF(G2719&gt;0,(VLOOKUP(A2719,'Discount Lookup'!J:K,2)*G2719*(1-PlanterDiscount)*(1+PlanterDifficultyPercentage)),""),"")),"   not ELP, by"))))))))))))))</f>
        <v/>
      </c>
      <c r="AD2719" s="712"/>
      <c r="AE2719" s="513" t="str">
        <f t="shared" si="2061"/>
        <v/>
      </c>
      <c r="AF2719" s="713" t="str">
        <f t="shared" si="2062"/>
        <v/>
      </c>
      <c r="AG2719" s="713"/>
      <c r="AH2719" s="713"/>
      <c r="AI2719" s="112">
        <f>IF(H2719="credit",0,IF(AE2719="free",0,IF(AE2719="me",0,IF(G2719&gt;0,(VLOOKUP(A2719,'Discount Lookup'!J:K,2)*G2719),0))))</f>
        <v>0</v>
      </c>
      <c r="AJ2719" s="107" t="str">
        <f t="shared" ca="1" si="2063"/>
        <v/>
      </c>
      <c r="AK2719" s="714" t="str">
        <f t="shared" si="2064"/>
        <v/>
      </c>
      <c r="AL2719" s="714"/>
      <c r="AM2719" s="114" t="str">
        <f t="shared" si="2065"/>
        <v/>
      </c>
      <c r="AN2719" s="115"/>
      <c r="AO2719" s="116"/>
      <c r="AP2719" s="116"/>
      <c r="AQ2719" s="116"/>
      <c r="AR2719" s="116"/>
      <c r="AS2719" s="116"/>
      <c r="AT2719" s="116"/>
      <c r="AU2719" s="116"/>
      <c r="AV2719" s="78"/>
      <c r="AW2719" s="102"/>
      <c r="AX2719" s="78"/>
      <c r="AY2719" s="78"/>
      <c r="AZ2719" s="78"/>
      <c r="BA2719" s="78"/>
      <c r="BB2719" s="78"/>
      <c r="BC2719" s="78"/>
      <c r="BD2719" s="78"/>
      <c r="BE2719" s="465"/>
      <c r="BF2719" s="165" t="str">
        <f t="shared" si="2066"/>
        <v>https://www.google.com/search?tbm=isch&amp;q=Lonicera%20%3D%20Honeysuckle%20</v>
      </c>
      <c r="BG2719" s="165" t="str">
        <f t="shared" si="2067"/>
        <v>L</v>
      </c>
      <c r="BH2719" s="65"/>
      <c r="BI2719" s="65"/>
      <c r="BJ2719" s="65"/>
      <c r="BK2719" s="65"/>
      <c r="BL2719" s="99"/>
      <c r="BM2719" s="99"/>
      <c r="BN2719" s="99"/>
    </row>
    <row r="2720" spans="1:66" s="51" customFormat="1" ht="18" x14ac:dyDescent="0.25">
      <c r="A2720" s="507" t="s">
        <v>3377</v>
      </c>
      <c r="B2720" s="470"/>
      <c r="C2720" s="706"/>
      <c r="D2720" s="471" t="s">
        <v>5728</v>
      </c>
      <c r="E2720" s="472"/>
      <c r="F2720" s="472"/>
      <c r="G2720" s="472"/>
      <c r="H2720" s="622" t="s">
        <v>1124</v>
      </c>
      <c r="I2720" s="473" t="s">
        <v>443</v>
      </c>
      <c r="J2720" s="472"/>
      <c r="K2720" s="472"/>
      <c r="L2720" s="561"/>
      <c r="M2720" s="698" t="s">
        <v>5246</v>
      </c>
      <c r="N2720" s="692" t="str">
        <f>IF(AND(ISTEXT($A2720), ISERROR($A2720+0)), HYPERLINK($BF2720, "Images"), "")</f>
        <v>Images</v>
      </c>
      <c r="O2720" s="694" t="s">
        <v>5247</v>
      </c>
      <c r="P2720" s="475"/>
      <c r="Q2720" s="476"/>
      <c r="R2720" s="476"/>
      <c r="S2720" s="477"/>
      <c r="T2720" s="102">
        <f t="shared" si="2055"/>
        <v>0</v>
      </c>
      <c r="U2720" s="78" t="str">
        <f>IF(NOT(ISNUMBER(G2720)), "", VLOOKUP(A2720,'Discount Lookup'!D:E,2,FALSE)*G2720)</f>
        <v/>
      </c>
      <c r="V2720" s="78" t="str">
        <f>IF(NOT(ISNUMBER(G2720)), "", VLOOKUP(A2720,'Discount Lookup'!G:H,2,FALSE)*G2720)</f>
        <v/>
      </c>
      <c r="W2720" s="102">
        <f t="shared" si="2056"/>
        <v>0</v>
      </c>
      <c r="X2720" s="102" t="str">
        <f t="shared" si="2057"/>
        <v>Golden-Yellow foliage</v>
      </c>
      <c r="Y2720" s="120" t="b">
        <f t="shared" si="2058"/>
        <v>0</v>
      </c>
      <c r="Z2720" s="117">
        <f t="shared" si="2059"/>
        <v>0</v>
      </c>
      <c r="AA2720" s="118"/>
      <c r="AB2720" s="118" t="str">
        <f t="shared" si="2060"/>
        <v/>
      </c>
      <c r="AC2720" s="712" t="str">
        <f>IF(AE2720="T2G","no charge",IF(AND(OR(PlanterYesMe="No",PlanterYesMe="N",PlanterYesMe="me"),H2720=""),"",IF(H2720="credit","NO install",IF(AND(K2720="",AE2720="me"),"EACH row",IF(AND(K2720="images",AE2720="me"),"EACH row",IF(D2720="","",IF(H2720="credit","",IF(AE2720="free","re-planting",IF(AE2720="me","   not ELP, by",IF(AND(OR(PlanterYesMe="Yes",PlanterYesMe="Y"),G2720&gt;0),(VLOOKUP(A2720,'Discount Lookup'!J:K,2)*G2720*(1-PlanterDiscount)*(1+PlanterDifficultyPercentage)),IF(AE2720="ELP",(VLOOKUP(A2720,'Discount Lookup'!J:K,2)*G2720*(1-PlanterDiscount)*(1+PlanterDifficultyPercentage)),IF(AE2720="free","re-planting",IF(G2720=0,"",IF(PlanterYesMe="",IF(AE2720="me","   not ELP, by",IF(AE2720="",IF(G2720&gt;0,(VLOOKUP(A2720,'Discount Lookup'!J:K,2)*G2720*(1-PlanterDiscount)*(1+PlanterDifficultyPercentage)),""),"")),"   not ELP, by"))))))))))))))</f>
        <v/>
      </c>
      <c r="AD2720" s="712"/>
      <c r="AE2720" s="513" t="str">
        <f t="shared" si="2061"/>
        <v/>
      </c>
      <c r="AF2720" s="713" t="str">
        <f t="shared" si="2062"/>
        <v/>
      </c>
      <c r="AG2720" s="713"/>
      <c r="AH2720" s="713"/>
      <c r="AI2720" s="112">
        <f>IF(H2720="credit",0,IF(AE2720="free",0,IF(AE2720="me",0,IF(G2720&gt;0,(VLOOKUP(A2720,'Discount Lookup'!J:K,2)*G2720),0))))</f>
        <v>0</v>
      </c>
      <c r="AJ2720" s="107" t="str">
        <f t="shared" ca="1" si="2063"/>
        <v/>
      </c>
      <c r="AK2720" s="714" t="str">
        <f t="shared" si="2064"/>
        <v/>
      </c>
      <c r="AL2720" s="714"/>
      <c r="AM2720" s="114" t="str">
        <f t="shared" si="2065"/>
        <v/>
      </c>
      <c r="AN2720" s="115"/>
      <c r="AO2720" s="116"/>
      <c r="AP2720" s="116"/>
      <c r="AQ2720" s="116"/>
      <c r="AR2720" s="116"/>
      <c r="AS2720" s="116"/>
      <c r="AT2720" s="116"/>
      <c r="AU2720" s="116"/>
      <c r="AV2720" s="78"/>
      <c r="AW2720" s="102"/>
      <c r="AX2720" s="78"/>
      <c r="AY2720" s="78"/>
      <c r="AZ2720" s="78"/>
      <c r="BA2720" s="78"/>
      <c r="BB2720" s="78"/>
      <c r="BC2720" s="78"/>
      <c r="BD2720" s="78"/>
      <c r="BE2720" s="465"/>
      <c r="BF2720" s="165" t="str">
        <f t="shared" si="2066"/>
        <v>https://www.google.com/search?tbm=isch&amp;q=Lonicera%20nitida%20%27Golden%20Glow%27%20PP%2326598%20Thunderbolt%C2%AE%20Box%20Honeysuckle</v>
      </c>
      <c r="BG2720" s="165" t="str">
        <f t="shared" si="2067"/>
        <v>L</v>
      </c>
      <c r="BH2720" s="65"/>
      <c r="BI2720" s="65"/>
      <c r="BJ2720" s="65"/>
      <c r="BK2720" s="65"/>
      <c r="BL2720" s="99"/>
      <c r="BM2720" s="99"/>
      <c r="BN2720" s="99"/>
    </row>
    <row r="2721" spans="1:66" s="51" customFormat="1" ht="15.75" x14ac:dyDescent="0.25">
      <c r="A2721" s="478">
        <v>1</v>
      </c>
      <c r="B2721" s="479" t="s">
        <v>291</v>
      </c>
      <c r="C2721" s="480"/>
      <c r="D2721" s="481" t="s">
        <v>329</v>
      </c>
      <c r="E2721" s="482">
        <v>29.95</v>
      </c>
      <c r="F2721" s="483" t="s">
        <v>292</v>
      </c>
      <c r="G2721" s="484">
        <v>0</v>
      </c>
      <c r="H2721" s="688" t="str">
        <f>IF(G2721=0,"",IF(F2721="Buy",IF(G2721=1,"plant","plants"),IF(F2721&gt;0.01,"warranty","Error")))</f>
        <v/>
      </c>
      <c r="I2721" s="485">
        <f>IF(H2721="free",0,IF(H2721="credit",((E2721*(F2721))*G2721*-1),IF(F2721="Buy",(E2721*G2721),((E2721*(1-F2721))*G2721))))</f>
        <v>0</v>
      </c>
      <c r="J2721" s="485">
        <f>IF(H2721="warranty",0,(I2721*(_xlfn.SINGLE(SalesTaxPercentage))))</f>
        <v>0</v>
      </c>
      <c r="K2721" s="715">
        <f t="shared" ref="K2721" si="2079">I2721+J2721</f>
        <v>0</v>
      </c>
      <c r="L2721" s="715"/>
      <c r="M2721" s="689" t="str">
        <f ca="1">IF(AND(G2721&gt;0,E2721=0),"WARNING - no PRICE inserted",IF(H2721="free","FREE ~ no charge this plant",IF(H2721="credit",CONCATENATE("-$",ROUND(K2721*(1-_xlfn.SINGLE(T2GDiscount))*-1,2)," CREDIT after discount"),IF(_xlfn.SINGLE(T2GDiscount)=0,"",IF(G2721=0,"",IF(F2721="Buy",CONCATENATE("$",ROUND(K2721*(1-_xlfn.SINGLE(T2GDiscount)),2)," with ",(_xlfn.SINGLE(T2GDiscount)*100),"% discount"),CONCATENATE("$",ROUND(K2721*(1-_xlfn.SINGLE(T2GDiscount)),2)," with ",((_xlfn.SINGLE(T2GDiscount)*100+F2721*100)-(_xlfn.SINGLE(T2GDiscount)*100*F2721)),IF(F2721&gt;0,"% discounts",IF(_xlfn.SINGLE(NoWarrantyDiscount)&gt;0,"% discounts","% discount")))))))))</f>
        <v/>
      </c>
      <c r="N2721" s="690"/>
      <c r="O2721" s="486"/>
      <c r="P2721" s="486"/>
      <c r="Q2721" s="486"/>
      <c r="R2721" s="486"/>
      <c r="S2721" s="486"/>
      <c r="T2721" s="102">
        <f t="shared" si="2055"/>
        <v>0</v>
      </c>
      <c r="U2721" s="78">
        <f>IF(NOT(ISNUMBER(G2721)), "", VLOOKUP(A2721,'Discount Lookup'!D:E,2,FALSE)*G2721)</f>
        <v>0</v>
      </c>
      <c r="V2721" s="78">
        <f>IF(NOT(ISNUMBER(G2721)), "", VLOOKUP(A2721,'Discount Lookup'!G:H,2,FALSE)*G2721)</f>
        <v>0</v>
      </c>
      <c r="W2721" s="102">
        <f t="shared" si="2056"/>
        <v>0</v>
      </c>
      <c r="X2721" s="102">
        <f t="shared" si="2057"/>
        <v>0</v>
      </c>
      <c r="Y2721" s="120" t="b">
        <f t="shared" si="2058"/>
        <v>0</v>
      </c>
      <c r="Z2721" s="117">
        <f t="shared" si="2059"/>
        <v>0</v>
      </c>
      <c r="AA2721" s="118"/>
      <c r="AB2721" s="118" t="str">
        <f t="shared" si="2060"/>
        <v/>
      </c>
      <c r="AC2721" s="712" t="str">
        <f>IF(AE2721="T2G","no charge",IF(AND(OR(PlanterYesMe="No",PlanterYesMe="N",PlanterYesMe="me"),H2721=""),"",IF(H2721="credit","NO install",IF(AND(K2721="",AE2721="me"),"EACH row",IF(AND(K2721="images",AE2721="me"),"EACH row",IF(D2721="","",IF(H2721="credit","",IF(AE2721="free","re-planting",IF(AE2721="me","   not ELP, by",IF(AND(OR(PlanterYesMe="Yes",PlanterYesMe="Y"),G2721&gt;0),(VLOOKUP(A2721,'Discount Lookup'!J:K,2)*G2721*(1-PlanterDiscount)*(1+PlanterDifficultyPercentage)),IF(AE2721="ELP",(VLOOKUP(A2721,'Discount Lookup'!J:K,2)*G2721*(1-PlanterDiscount)*(1+PlanterDifficultyPercentage)),IF(AE2721="free","re-planting",IF(G2721=0,"",IF(PlanterYesMe="",IF(AE2721="me","   not ELP, by",IF(AE2721="",IF(G2721&gt;0,(VLOOKUP(A2721,'Discount Lookup'!J:K,2)*G2721*(1-PlanterDiscount)*(1+PlanterDifficultyPercentage)),""),"")),"   not ELP, by"))))))))))))))</f>
        <v/>
      </c>
      <c r="AD2721" s="712"/>
      <c r="AE2721" s="513" t="str">
        <f t="shared" si="2061"/>
        <v/>
      </c>
      <c r="AF2721" s="713" t="str">
        <f t="shared" si="2062"/>
        <v/>
      </c>
      <c r="AG2721" s="713"/>
      <c r="AH2721" s="713"/>
      <c r="AI2721" s="112">
        <f>IF(H2721="credit",0,IF(AE2721="free",0,IF(AE2721="me",0,IF(G2721&gt;0,(VLOOKUP(A2721,'Discount Lookup'!J:K,2)*G2721),0))))</f>
        <v>0</v>
      </c>
      <c r="AJ2721" s="107" t="str">
        <f t="shared" ca="1" si="2063"/>
        <v/>
      </c>
      <c r="AK2721" s="714" t="str">
        <f t="shared" si="2064"/>
        <v/>
      </c>
      <c r="AL2721" s="714"/>
      <c r="AM2721" s="114" t="str">
        <f t="shared" si="2065"/>
        <v/>
      </c>
      <c r="AN2721" s="115"/>
      <c r="AO2721" s="116"/>
      <c r="AP2721" s="116"/>
      <c r="AQ2721" s="116"/>
      <c r="AR2721" s="116"/>
      <c r="AS2721" s="116"/>
      <c r="AT2721" s="116"/>
      <c r="AU2721" s="116"/>
      <c r="AV2721" s="78"/>
      <c r="AW2721" s="102"/>
      <c r="AX2721" s="78"/>
      <c r="AY2721" s="78"/>
      <c r="AZ2721" s="78"/>
      <c r="BA2721" s="78"/>
      <c r="BB2721" s="78"/>
      <c r="BC2721" s="78"/>
      <c r="BD2721" s="78"/>
      <c r="BE2721" s="465"/>
      <c r="BF2721" s="165" t="str">
        <f t="shared" si="2066"/>
        <v>https://www.google.com/search?tbm=isch&amp;q=1%20G2</v>
      </c>
      <c r="BG2721" s="165" t="str">
        <f t="shared" si="2067"/>
        <v>L</v>
      </c>
      <c r="BH2721" s="65"/>
      <c r="BI2721" s="65"/>
      <c r="BJ2721" s="65"/>
      <c r="BK2721" s="65"/>
      <c r="BL2721" s="99"/>
      <c r="BM2721" s="99"/>
      <c r="BN2721" s="99"/>
    </row>
    <row r="2722" spans="1:66" s="51" customFormat="1" ht="15.75" x14ac:dyDescent="0.25">
      <c r="A2722" s="478">
        <v>1</v>
      </c>
      <c r="B2722" s="479" t="s">
        <v>291</v>
      </c>
      <c r="C2722" s="480" t="s">
        <v>3378</v>
      </c>
      <c r="D2722" s="481" t="s">
        <v>329</v>
      </c>
      <c r="E2722" s="482">
        <v>29.95</v>
      </c>
      <c r="F2722" s="483" t="s">
        <v>292</v>
      </c>
      <c r="G2722" s="484">
        <v>0</v>
      </c>
      <c r="H2722" s="688" t="str">
        <f>IF(G2722=0,"",IF(F2722="Buy",IF(G2722=1,"plant","plants"),IF(F2722&gt;0.01,"warranty","Error")))</f>
        <v/>
      </c>
      <c r="I2722" s="485">
        <f>IF(H2722="free",0,IF(H2722="credit",((E2722*(F2722))*G2722*-1),IF(F2722="Buy",(E2722*G2722),((E2722*(1-F2722))*G2722))))</f>
        <v>0</v>
      </c>
      <c r="J2722" s="485">
        <f>IF(H2722="warranty",0,(I2722*(_xlfn.SINGLE(SalesTaxPercentage))))</f>
        <v>0</v>
      </c>
      <c r="K2722" s="715">
        <f t="shared" ref="K2722" si="2080">I2722+J2722</f>
        <v>0</v>
      </c>
      <c r="L2722" s="715"/>
      <c r="M2722" s="689" t="str">
        <f ca="1">IF(AND(G2722&gt;0,E2722=0),"WARNING - no PRICE inserted",IF(H2722="free","FREE ~ no charge this plant",IF(H2722="credit",CONCATENATE("-$",ROUND(K2722*(1-_xlfn.SINGLE(T2GDiscount))*-1,2)," CREDIT after discount"),IF(_xlfn.SINGLE(T2GDiscount)=0,"",IF(G2722=0,"",IF(F2722="Buy",CONCATENATE("$",ROUND(K2722*(1-_xlfn.SINGLE(T2GDiscount)),2)," with ",(_xlfn.SINGLE(T2GDiscount)*100),"% discount"),CONCATENATE("$",ROUND(K2722*(1-_xlfn.SINGLE(T2GDiscount)),2)," with ",((_xlfn.SINGLE(T2GDiscount)*100+F2722*100)-(_xlfn.SINGLE(T2GDiscount)*100*F2722)),IF(F2722&gt;0,"% discounts",IF(_xlfn.SINGLE(NoWarrantyDiscount)&gt;0,"% discounts","% discount")))))))))</f>
        <v/>
      </c>
      <c r="N2722" s="690"/>
      <c r="O2722" s="486"/>
      <c r="P2722" s="486"/>
      <c r="Q2722" s="486"/>
      <c r="R2722" s="486"/>
      <c r="S2722" s="486"/>
      <c r="T2722" s="102">
        <f t="shared" si="2055"/>
        <v>0</v>
      </c>
      <c r="U2722" s="78">
        <f>IF(NOT(ISNUMBER(G2722)), "", VLOOKUP(A2722,'Discount Lookup'!D:E,2,FALSE)*G2722)</f>
        <v>0</v>
      </c>
      <c r="V2722" s="78">
        <f>IF(NOT(ISNUMBER(G2722)), "", VLOOKUP(A2722,'Discount Lookup'!G:H,2,FALSE)*G2722)</f>
        <v>0</v>
      </c>
      <c r="W2722" s="102">
        <f t="shared" si="2056"/>
        <v>0</v>
      </c>
      <c r="X2722" s="102">
        <f t="shared" si="2057"/>
        <v>0</v>
      </c>
      <c r="Y2722" s="120" t="b">
        <f t="shared" si="2058"/>
        <v>0</v>
      </c>
      <c r="Z2722" s="117">
        <f t="shared" si="2059"/>
        <v>0</v>
      </c>
      <c r="AA2722" s="118"/>
      <c r="AB2722" s="118" t="str">
        <f t="shared" si="2060"/>
        <v/>
      </c>
      <c r="AC2722" s="712" t="str">
        <f>IF(AE2722="T2G","no charge",IF(AND(OR(PlanterYesMe="No",PlanterYesMe="N",PlanterYesMe="me"),H2722=""),"",IF(H2722="credit","NO install",IF(AND(K2722="",AE2722="me"),"EACH row",IF(AND(K2722="images",AE2722="me"),"EACH row",IF(D2722="","",IF(H2722="credit","",IF(AE2722="free","re-planting",IF(AE2722="me","   not ELP, by",IF(AND(OR(PlanterYesMe="Yes",PlanterYesMe="Y"),G2722&gt;0),(VLOOKUP(A2722,'Discount Lookup'!J:K,2)*G2722*(1-PlanterDiscount)*(1+PlanterDifficultyPercentage)),IF(AE2722="ELP",(VLOOKUP(A2722,'Discount Lookup'!J:K,2)*G2722*(1-PlanterDiscount)*(1+PlanterDifficultyPercentage)),IF(AE2722="free","re-planting",IF(G2722=0,"",IF(PlanterYesMe="",IF(AE2722="me","   not ELP, by",IF(AE2722="",IF(G2722&gt;0,(VLOOKUP(A2722,'Discount Lookup'!J:K,2)*G2722*(1-PlanterDiscount)*(1+PlanterDifficultyPercentage)),""),"")),"   not ELP, by"))))))))))))))</f>
        <v/>
      </c>
      <c r="AD2722" s="712"/>
      <c r="AE2722" s="513" t="str">
        <f t="shared" si="2061"/>
        <v/>
      </c>
      <c r="AF2722" s="713" t="str">
        <f t="shared" si="2062"/>
        <v/>
      </c>
      <c r="AG2722" s="713"/>
      <c r="AH2722" s="713"/>
      <c r="AI2722" s="112">
        <f>IF(H2722="credit",0,IF(AE2722="free",0,IF(AE2722="me",0,IF(G2722&gt;0,(VLOOKUP(A2722,'Discount Lookup'!J:K,2)*G2722),0))))</f>
        <v>0</v>
      </c>
      <c r="AJ2722" s="107" t="str">
        <f t="shared" ca="1" si="2063"/>
        <v/>
      </c>
      <c r="AK2722" s="714" t="str">
        <f t="shared" si="2064"/>
        <v/>
      </c>
      <c r="AL2722" s="714"/>
      <c r="AM2722" s="114" t="str">
        <f t="shared" si="2065"/>
        <v/>
      </c>
      <c r="AN2722" s="115"/>
      <c r="AO2722" s="116"/>
      <c r="AP2722" s="116"/>
      <c r="AQ2722" s="116"/>
      <c r="AR2722" s="116"/>
      <c r="AS2722" s="116"/>
      <c r="AT2722" s="116"/>
      <c r="AU2722" s="116"/>
      <c r="AV2722" s="78"/>
      <c r="AW2722" s="102"/>
      <c r="AX2722" s="78"/>
      <c r="AY2722" s="78"/>
      <c r="AZ2722" s="78"/>
      <c r="BA2722" s="78"/>
      <c r="BB2722" s="78"/>
      <c r="BC2722" s="78"/>
      <c r="BD2722" s="78"/>
      <c r="BE2722" s="465"/>
      <c r="BF2722" s="165" t="str">
        <f t="shared" si="2066"/>
        <v>https://www.google.com/search?tbm=isch&amp;q=1%20G2</v>
      </c>
      <c r="BG2722" s="165" t="str">
        <f t="shared" si="2067"/>
        <v>L</v>
      </c>
      <c r="BH2722" s="65"/>
      <c r="BI2722" s="65"/>
      <c r="BJ2722" s="65"/>
      <c r="BK2722" s="65"/>
      <c r="BL2722" s="99"/>
      <c r="BM2722" s="99"/>
      <c r="BN2722" s="99"/>
    </row>
    <row r="2723" spans="1:66" s="51" customFormat="1" ht="16.5" thickBot="1" x14ac:dyDescent="0.3">
      <c r="A2723" s="508" t="s">
        <v>4774</v>
      </c>
      <c r="B2723" s="487"/>
      <c r="C2723" s="707"/>
      <c r="D2723" s="487"/>
      <c r="E2723" s="487"/>
      <c r="F2723" s="488"/>
      <c r="G2723" s="489"/>
      <c r="H2723" s="487"/>
      <c r="I2723" s="490"/>
      <c r="J2723" s="490"/>
      <c r="K2723" s="491"/>
      <c r="L2723" s="547"/>
      <c r="M2723" s="528"/>
      <c r="N2723" s="492"/>
      <c r="O2723" s="493"/>
      <c r="P2723" s="494"/>
      <c r="Q2723" s="492"/>
      <c r="R2723" s="492"/>
      <c r="S2723" s="495"/>
      <c r="T2723" s="102">
        <f t="shared" si="2055"/>
        <v>0</v>
      </c>
      <c r="U2723" s="78" t="str">
        <f>IF(NOT(ISNUMBER(G2723)), "", VLOOKUP(A2723,'Discount Lookup'!D:E,2,FALSE)*G2723)</f>
        <v/>
      </c>
      <c r="V2723" s="78" t="str">
        <f>IF(NOT(ISNUMBER(G2723)), "", VLOOKUP(A2723,'Discount Lookup'!G:H,2,FALSE)*G2723)</f>
        <v/>
      </c>
      <c r="W2723" s="102">
        <f t="shared" si="2056"/>
        <v>0</v>
      </c>
      <c r="X2723" s="102">
        <f t="shared" si="2057"/>
        <v>0</v>
      </c>
      <c r="Y2723" s="120" t="b">
        <f t="shared" si="2058"/>
        <v>0</v>
      </c>
      <c r="Z2723" s="117">
        <f t="shared" si="2059"/>
        <v>0</v>
      </c>
      <c r="AA2723" s="118"/>
      <c r="AB2723" s="118" t="str">
        <f t="shared" si="2060"/>
        <v/>
      </c>
      <c r="AC2723" s="712" t="str">
        <f>IF(AE2723="T2G","no charge",IF(AND(OR(PlanterYesMe="No",PlanterYesMe="N",PlanterYesMe="me"),H2723=""),"",IF(H2723="credit","NO install",IF(AND(K2723="",AE2723="me"),"EACH row",IF(AND(K2723="images",AE2723="me"),"EACH row",IF(D2723="","",IF(H2723="credit","",IF(AE2723="free","re-planting",IF(AE2723="me","   not ELP, by",IF(AND(OR(PlanterYesMe="Yes",PlanterYesMe="Y"),G2723&gt;0),(VLOOKUP(A2723,'Discount Lookup'!J:K,2)*G2723*(1-PlanterDiscount)*(1+PlanterDifficultyPercentage)),IF(AE2723="ELP",(VLOOKUP(A2723,'Discount Lookup'!J:K,2)*G2723*(1-PlanterDiscount)*(1+PlanterDifficultyPercentage)),IF(AE2723="free","re-planting",IF(G2723=0,"",IF(PlanterYesMe="",IF(AE2723="me","   not ELP, by",IF(AE2723="",IF(G2723&gt;0,(VLOOKUP(A2723,'Discount Lookup'!J:K,2)*G2723*(1-PlanterDiscount)*(1+PlanterDifficultyPercentage)),""),"")),"   not ELP, by"))))))))))))))</f>
        <v/>
      </c>
      <c r="AD2723" s="712"/>
      <c r="AE2723" s="513" t="str">
        <f t="shared" si="2061"/>
        <v/>
      </c>
      <c r="AF2723" s="713" t="str">
        <f t="shared" si="2062"/>
        <v/>
      </c>
      <c r="AG2723" s="713"/>
      <c r="AH2723" s="713"/>
      <c r="AI2723" s="112">
        <f>IF(H2723="credit",0,IF(AE2723="free",0,IF(AE2723="me",0,IF(G2723&gt;0,(VLOOKUP(A2723,'Discount Lookup'!J:K,2)*G2723),0))))</f>
        <v>0</v>
      </c>
      <c r="AJ2723" s="107" t="str">
        <f t="shared" ca="1" si="2063"/>
        <v/>
      </c>
      <c r="AK2723" s="714" t="str">
        <f t="shared" si="2064"/>
        <v/>
      </c>
      <c r="AL2723" s="714"/>
      <c r="AM2723" s="114" t="str">
        <f t="shared" si="2065"/>
        <v/>
      </c>
      <c r="AN2723" s="115"/>
      <c r="AO2723" s="116"/>
      <c r="AP2723" s="116"/>
      <c r="AQ2723" s="116"/>
      <c r="AR2723" s="116"/>
      <c r="AS2723" s="116"/>
      <c r="AT2723" s="116"/>
      <c r="AU2723" s="116"/>
      <c r="AV2723" s="78"/>
      <c r="AW2723" s="102"/>
      <c r="AX2723" s="78"/>
      <c r="AY2723" s="78"/>
      <c r="AZ2723" s="78"/>
      <c r="BA2723" s="78"/>
      <c r="BB2723" s="78"/>
      <c r="BC2723" s="78"/>
      <c r="BD2723" s="78"/>
      <c r="BE2723" s="465"/>
      <c r="BF2723" s="165" t="str">
        <f t="shared" si="2066"/>
        <v>https://www.google.com/search?tbm=isch&amp;q=Thunderbolt%20Box%20has%20glowing%20Golden%20foliage%20and%20a%20dense%2C%20mounding%20habit.%20It%20tolerates%20pruning%2C%20serving%20as%20a%20vibrant%20alternative%20to%20boxwood%20</v>
      </c>
      <c r="BG2723" s="165" t="str">
        <f t="shared" si="2067"/>
        <v>T</v>
      </c>
      <c r="BH2723" s="65"/>
      <c r="BI2723" s="65"/>
      <c r="BJ2723" s="65"/>
      <c r="BK2723" s="65"/>
      <c r="BL2723" s="99"/>
      <c r="BM2723" s="99"/>
      <c r="BN2723" s="99"/>
    </row>
    <row r="2724" spans="1:66" s="51" customFormat="1" ht="18" x14ac:dyDescent="0.25">
      <c r="A2724" s="623" t="s">
        <v>3379</v>
      </c>
      <c r="B2724" s="624"/>
      <c r="C2724" s="709"/>
      <c r="D2724" s="625" t="s">
        <v>3380</v>
      </c>
      <c r="E2724" s="626"/>
      <c r="F2724" s="626"/>
      <c r="G2724" s="626"/>
      <c r="H2724" s="622" t="s">
        <v>339</v>
      </c>
      <c r="I2724" s="627" t="s">
        <v>3381</v>
      </c>
      <c r="J2724" s="628"/>
      <c r="K2724" s="628"/>
      <c r="L2724" s="629"/>
      <c r="M2724" s="700" t="s">
        <v>5241</v>
      </c>
      <c r="N2724" s="693" t="str">
        <f>IF(AND(ISTEXT($A2724), ISERROR($A2724+0)), HYPERLINK($BF2724, "Images"), "")</f>
        <v>Images</v>
      </c>
      <c r="O2724" s="695" t="s">
        <v>5247</v>
      </c>
      <c r="P2724" s="630"/>
      <c r="Q2724" s="631"/>
      <c r="R2724" s="632"/>
      <c r="S2724" s="633" t="s">
        <v>294</v>
      </c>
      <c r="T2724" s="102">
        <f t="shared" si="2055"/>
        <v>0</v>
      </c>
      <c r="U2724" s="78" t="str">
        <f>IF(NOT(ISNUMBER(G2724)), "", VLOOKUP(A2724,'Discount Lookup'!D:E,2,FALSE)*G2724)</f>
        <v/>
      </c>
      <c r="V2724" s="78" t="str">
        <f>IF(NOT(ISNUMBER(G2724)), "", VLOOKUP(A2724,'Discount Lookup'!G:H,2,FALSE)*G2724)</f>
        <v/>
      </c>
      <c r="W2724" s="102">
        <f t="shared" si="2056"/>
        <v>0</v>
      </c>
      <c r="X2724" s="102" t="str">
        <f t="shared" si="2057"/>
        <v>Coral-Red-Orange bloom</v>
      </c>
      <c r="Y2724" s="120" t="b">
        <f t="shared" si="2058"/>
        <v>0</v>
      </c>
      <c r="Z2724" s="117">
        <f t="shared" si="2059"/>
        <v>0</v>
      </c>
      <c r="AA2724" s="118"/>
      <c r="AB2724" s="118" t="str">
        <f t="shared" si="2060"/>
        <v/>
      </c>
      <c r="AC2724" s="712" t="str">
        <f>IF(AE2724="T2G","no charge",IF(AND(OR(PlanterYesMe="No",PlanterYesMe="N",PlanterYesMe="me"),H2724=""),"",IF(H2724="credit","NO install",IF(AND(K2724="",AE2724="me"),"EACH row",IF(AND(K2724="images",AE2724="me"),"EACH row",IF(D2724="","",IF(H2724="credit","",IF(AE2724="free","re-planting",IF(AE2724="me","   not ELP, by",IF(AND(OR(PlanterYesMe="Yes",PlanterYesMe="Y"),G2724&gt;0),(VLOOKUP(A2724,'Discount Lookup'!J:K,2)*G2724*(1-PlanterDiscount)*(1+PlanterDifficultyPercentage)),IF(AE2724="ELP",(VLOOKUP(A2724,'Discount Lookup'!J:K,2)*G2724*(1-PlanterDiscount)*(1+PlanterDifficultyPercentage)),IF(AE2724="free","re-planting",IF(G2724=0,"",IF(PlanterYesMe="",IF(AE2724="me","   not ELP, by",IF(AE2724="",IF(G2724&gt;0,(VLOOKUP(A2724,'Discount Lookup'!J:K,2)*G2724*(1-PlanterDiscount)*(1+PlanterDifficultyPercentage)),""),"")),"   not ELP, by"))))))))))))))</f>
        <v/>
      </c>
      <c r="AD2724" s="712"/>
      <c r="AE2724" s="513" t="str">
        <f t="shared" si="2061"/>
        <v/>
      </c>
      <c r="AF2724" s="713" t="str">
        <f t="shared" si="2062"/>
        <v/>
      </c>
      <c r="AG2724" s="713"/>
      <c r="AH2724" s="713"/>
      <c r="AI2724" s="112">
        <f>IF(H2724="credit",0,IF(AE2724="free",0,IF(AE2724="me",0,IF(G2724&gt;0,(VLOOKUP(A2724,'Discount Lookup'!J:K,2)*G2724),0))))</f>
        <v>0</v>
      </c>
      <c r="AJ2724" s="107" t="str">
        <f t="shared" ca="1" si="2063"/>
        <v/>
      </c>
      <c r="AK2724" s="714" t="str">
        <f t="shared" si="2064"/>
        <v/>
      </c>
      <c r="AL2724" s="714"/>
      <c r="AM2724" s="114" t="str">
        <f t="shared" si="2065"/>
        <v/>
      </c>
      <c r="AN2724" s="115"/>
      <c r="AO2724" s="116"/>
      <c r="AP2724" s="116"/>
      <c r="AQ2724" s="116"/>
      <c r="AR2724" s="116"/>
      <c r="AS2724" s="116"/>
      <c r="AT2724" s="116"/>
      <c r="AU2724" s="116"/>
      <c r="AV2724" s="78"/>
      <c r="AW2724" s="102"/>
      <c r="AX2724" s="78"/>
      <c r="AY2724" s="78"/>
      <c r="AZ2724" s="78"/>
      <c r="BA2724" s="78"/>
      <c r="BB2724" s="78"/>
      <c r="BC2724" s="78"/>
      <c r="BD2724" s="78"/>
      <c r="BE2724" s="465"/>
      <c r="BF2724" s="165" t="str">
        <f t="shared" si="2066"/>
        <v>https://www.google.com/search?tbm=isch&amp;q=Lonicera%20sempervirens%20%27Major%20Wheeler%27%20Major%20Wheeler%20Coral%20Honeysuckle</v>
      </c>
      <c r="BG2724" s="165" t="str">
        <f t="shared" si="2067"/>
        <v>L</v>
      </c>
      <c r="BH2724" s="65"/>
      <c r="BI2724" s="65"/>
      <c r="BJ2724" s="65"/>
      <c r="BK2724" s="65"/>
      <c r="BL2724" s="99"/>
      <c r="BM2724" s="99"/>
      <c r="BN2724" s="99"/>
    </row>
    <row r="2725" spans="1:66" s="51" customFormat="1" ht="15.75" x14ac:dyDescent="0.25">
      <c r="A2725" s="634">
        <v>3</v>
      </c>
      <c r="B2725" s="635" t="s">
        <v>291</v>
      </c>
      <c r="C2725" s="636"/>
      <c r="D2725" s="637" t="s">
        <v>310</v>
      </c>
      <c r="E2725" s="638">
        <v>30.95</v>
      </c>
      <c r="F2725" s="639" t="s">
        <v>292</v>
      </c>
      <c r="G2725" s="484">
        <v>0</v>
      </c>
      <c r="H2725" s="691" t="str">
        <f>IF(G2725=0,"",IF(F2725="Buy",IF(G2725=1,"plant","plants"),IF(F2725&gt;0.01,"warranty","Error")))</f>
        <v/>
      </c>
      <c r="I2725" s="640">
        <f>IF(H2725="free",0,IF(H2725="credit",((E2725*(F2725))*G2725*-1),IF(F2725="Buy",(E2725*G2725),((E2725*(1-F2725))*G2725))))</f>
        <v>0</v>
      </c>
      <c r="J2725" s="640">
        <f>IF(H2725="warranty",0,(I2725*(_xlfn.SINGLE(SalesTaxPercentage))))</f>
        <v>0</v>
      </c>
      <c r="K2725" s="716">
        <f t="shared" ref="K2725" si="2081">I2725+J2725</f>
        <v>0</v>
      </c>
      <c r="L2725" s="716"/>
      <c r="M2725" s="689" t="str">
        <f ca="1">IF(AND(G2725&gt;0,E2725=0),"WARNING - no PRICE inserted",IF(H2725="free","FREE ~ no charge this plant",IF(H2725="credit",CONCATENATE("-$",ROUND(K2725*(1-_xlfn.SINGLE(T2GDiscount))*-1,2)," CREDIT after discount"),IF(_xlfn.SINGLE(T2GDiscount)=0,"",IF(G2725=0,"",IF(F2725="Buy",CONCATENATE("$",ROUND(K2725*(1-_xlfn.SINGLE(T2GDiscount)),2)," with ",(_xlfn.SINGLE(T2GDiscount)*100),"% discount"),CONCATENATE("$",ROUND(K2725*(1-_xlfn.SINGLE(T2GDiscount)),2)," with ",((_xlfn.SINGLE(T2GDiscount)*100+F2725*100)-(_xlfn.SINGLE(T2GDiscount)*100*F2725)),IF(F2725&gt;0,"% discounts",IF(_xlfn.SINGLE(NoWarrantyDiscount)&gt;0,"% discounts","% discount")))))))))</f>
        <v/>
      </c>
      <c r="N2725" s="690"/>
      <c r="O2725" s="486"/>
      <c r="P2725" s="486"/>
      <c r="Q2725" s="486"/>
      <c r="R2725" s="486"/>
      <c r="S2725" s="486"/>
      <c r="T2725" s="102">
        <f t="shared" si="2055"/>
        <v>0</v>
      </c>
      <c r="U2725" s="78">
        <f>IF(NOT(ISNUMBER(G2725)), "", VLOOKUP(A2725,'Discount Lookup'!D:E,2,FALSE)*G2725)</f>
        <v>0</v>
      </c>
      <c r="V2725" s="78">
        <f>IF(NOT(ISNUMBER(G2725)), "", VLOOKUP(A2725,'Discount Lookup'!G:H,2,FALSE)*G2725)</f>
        <v>0</v>
      </c>
      <c r="W2725" s="102">
        <f t="shared" si="2056"/>
        <v>0</v>
      </c>
      <c r="X2725" s="102">
        <f t="shared" si="2057"/>
        <v>0</v>
      </c>
      <c r="Y2725" s="120" t="b">
        <f t="shared" si="2058"/>
        <v>0</v>
      </c>
      <c r="Z2725" s="117">
        <f t="shared" si="2059"/>
        <v>0</v>
      </c>
      <c r="AA2725" s="118"/>
      <c r="AB2725" s="118" t="str">
        <f t="shared" si="2060"/>
        <v/>
      </c>
      <c r="AC2725" s="712" t="str">
        <f>IF(AE2725="T2G","no charge",IF(AND(OR(PlanterYesMe="No",PlanterYesMe="N",PlanterYesMe="me"),H2725=""),"",IF(H2725="credit","NO install",IF(AND(K2725="",AE2725="me"),"EACH row",IF(AND(K2725="images",AE2725="me"),"EACH row",IF(D2725="","",IF(H2725="credit","",IF(AE2725="free","re-planting",IF(AE2725="me","   not ELP, by",IF(AND(OR(PlanterYesMe="Yes",PlanterYesMe="Y"),G2725&gt;0),(VLOOKUP(A2725,'Discount Lookup'!J:K,2)*G2725*(1-PlanterDiscount)*(1+PlanterDifficultyPercentage)),IF(AE2725="ELP",(VLOOKUP(A2725,'Discount Lookup'!J:K,2)*G2725*(1-PlanterDiscount)*(1+PlanterDifficultyPercentage)),IF(AE2725="free","re-planting",IF(G2725=0,"",IF(PlanterYesMe="",IF(AE2725="me","   not ELP, by",IF(AE2725="",IF(G2725&gt;0,(VLOOKUP(A2725,'Discount Lookup'!J:K,2)*G2725*(1-PlanterDiscount)*(1+PlanterDifficultyPercentage)),""),"")),"   not ELP, by"))))))))))))))</f>
        <v/>
      </c>
      <c r="AD2725" s="712"/>
      <c r="AE2725" s="513" t="str">
        <f t="shared" si="2061"/>
        <v/>
      </c>
      <c r="AF2725" s="713" t="str">
        <f t="shared" si="2062"/>
        <v/>
      </c>
      <c r="AG2725" s="713"/>
      <c r="AH2725" s="713"/>
      <c r="AI2725" s="112">
        <f>IF(H2725="credit",0,IF(AE2725="free",0,IF(AE2725="me",0,IF(G2725&gt;0,(VLOOKUP(A2725,'Discount Lookup'!J:K,2)*G2725),0))))</f>
        <v>0</v>
      </c>
      <c r="AJ2725" s="107" t="str">
        <f t="shared" ca="1" si="2063"/>
        <v/>
      </c>
      <c r="AK2725" s="714" t="str">
        <f t="shared" si="2064"/>
        <v/>
      </c>
      <c r="AL2725" s="714"/>
      <c r="AM2725" s="114" t="str">
        <f t="shared" si="2065"/>
        <v/>
      </c>
      <c r="AN2725" s="115"/>
      <c r="AO2725" s="116"/>
      <c r="AP2725" s="116"/>
      <c r="AQ2725" s="116"/>
      <c r="AR2725" s="116"/>
      <c r="AS2725" s="116"/>
      <c r="AT2725" s="116"/>
      <c r="AU2725" s="116"/>
      <c r="AV2725" s="78"/>
      <c r="AW2725" s="102"/>
      <c r="AX2725" s="78"/>
      <c r="AY2725" s="78"/>
      <c r="AZ2725" s="78"/>
      <c r="BA2725" s="78"/>
      <c r="BB2725" s="78"/>
      <c r="BC2725" s="78"/>
      <c r="BD2725" s="78"/>
      <c r="BE2725" s="465"/>
      <c r="BF2725" s="165" t="str">
        <f t="shared" si="2066"/>
        <v>https://www.google.com/search?tbm=isch&amp;q=3%20G1</v>
      </c>
      <c r="BG2725" s="165" t="str">
        <f t="shared" si="2067"/>
        <v>L</v>
      </c>
      <c r="BH2725" s="65"/>
      <c r="BI2725" s="65"/>
      <c r="BJ2725" s="65"/>
      <c r="BK2725" s="65"/>
      <c r="BL2725" s="99"/>
      <c r="BM2725" s="99"/>
      <c r="BN2725" s="99"/>
    </row>
    <row r="2726" spans="1:66" s="51" customFormat="1" ht="15.75" x14ac:dyDescent="0.25">
      <c r="A2726" s="634">
        <v>3</v>
      </c>
      <c r="B2726" s="635" t="s">
        <v>291</v>
      </c>
      <c r="C2726" s="636"/>
      <c r="D2726" s="637" t="s">
        <v>329</v>
      </c>
      <c r="E2726" s="638">
        <v>32.950000000000003</v>
      </c>
      <c r="F2726" s="639" t="s">
        <v>292</v>
      </c>
      <c r="G2726" s="484">
        <v>0</v>
      </c>
      <c r="H2726" s="691" t="str">
        <f>IF(G2726=0,"",IF(F2726="Buy",IF(G2726=1,"plant","plants"),IF(F2726&gt;0.01,"warranty","Error")))</f>
        <v/>
      </c>
      <c r="I2726" s="640">
        <f>IF(H2726="free",0,IF(H2726="credit",((E2726*(F2726))*G2726*-1),IF(F2726="Buy",(E2726*G2726),((E2726*(1-F2726))*G2726))))</f>
        <v>0</v>
      </c>
      <c r="J2726" s="640">
        <f>IF(H2726="warranty",0,(I2726*(_xlfn.SINGLE(SalesTaxPercentage))))</f>
        <v>0</v>
      </c>
      <c r="K2726" s="716">
        <f t="shared" ref="K2726" si="2082">I2726+J2726</f>
        <v>0</v>
      </c>
      <c r="L2726" s="716"/>
      <c r="M2726" s="689" t="str">
        <f ca="1">IF(AND(G2726&gt;0,E2726=0),"WARNING - no PRICE inserted",IF(H2726="free","FREE ~ no charge this plant",IF(H2726="credit",CONCATENATE("-$",ROUND(K2726*(1-_xlfn.SINGLE(T2GDiscount))*-1,2)," CREDIT after discount"),IF(_xlfn.SINGLE(T2GDiscount)=0,"",IF(G2726=0,"",IF(F2726="Buy",CONCATENATE("$",ROUND(K2726*(1-_xlfn.SINGLE(T2GDiscount)),2)," with ",(_xlfn.SINGLE(T2GDiscount)*100),"% discount"),CONCATENATE("$",ROUND(K2726*(1-_xlfn.SINGLE(T2GDiscount)),2)," with ",((_xlfn.SINGLE(T2GDiscount)*100+F2726*100)-(_xlfn.SINGLE(T2GDiscount)*100*F2726)),IF(F2726&gt;0,"% discounts",IF(_xlfn.SINGLE(NoWarrantyDiscount)&gt;0,"% discounts","% discount")))))))))</f>
        <v/>
      </c>
      <c r="N2726" s="690"/>
      <c r="O2726" s="486"/>
      <c r="P2726" s="486"/>
      <c r="Q2726" s="486"/>
      <c r="R2726" s="486"/>
      <c r="S2726" s="486"/>
      <c r="T2726" s="102">
        <f t="shared" si="2055"/>
        <v>0</v>
      </c>
      <c r="U2726" s="78">
        <f>IF(NOT(ISNUMBER(G2726)), "", VLOOKUP(A2726,'Discount Lookup'!D:E,2,FALSE)*G2726)</f>
        <v>0</v>
      </c>
      <c r="V2726" s="78">
        <f>IF(NOT(ISNUMBER(G2726)), "", VLOOKUP(A2726,'Discount Lookup'!G:H,2,FALSE)*G2726)</f>
        <v>0</v>
      </c>
      <c r="W2726" s="102">
        <f t="shared" si="2056"/>
        <v>0</v>
      </c>
      <c r="X2726" s="102">
        <f t="shared" si="2057"/>
        <v>0</v>
      </c>
      <c r="Y2726" s="120" t="b">
        <f t="shared" si="2058"/>
        <v>0</v>
      </c>
      <c r="Z2726" s="117">
        <f t="shared" si="2059"/>
        <v>0</v>
      </c>
      <c r="AA2726" s="118"/>
      <c r="AB2726" s="118" t="str">
        <f t="shared" si="2060"/>
        <v/>
      </c>
      <c r="AC2726" s="712" t="str">
        <f>IF(AE2726="T2G","no charge",IF(AND(OR(PlanterYesMe="No",PlanterYesMe="N",PlanterYesMe="me"),H2726=""),"",IF(H2726="credit","NO install",IF(AND(K2726="",AE2726="me"),"EACH row",IF(AND(K2726="images",AE2726="me"),"EACH row",IF(D2726="","",IF(H2726="credit","",IF(AE2726="free","re-planting",IF(AE2726="me","   not ELP, by",IF(AND(OR(PlanterYesMe="Yes",PlanterYesMe="Y"),G2726&gt;0),(VLOOKUP(A2726,'Discount Lookup'!J:K,2)*G2726*(1-PlanterDiscount)*(1+PlanterDifficultyPercentage)),IF(AE2726="ELP",(VLOOKUP(A2726,'Discount Lookup'!J:K,2)*G2726*(1-PlanterDiscount)*(1+PlanterDifficultyPercentage)),IF(AE2726="free","re-planting",IF(G2726=0,"",IF(PlanterYesMe="",IF(AE2726="me","   not ELP, by",IF(AE2726="",IF(G2726&gt;0,(VLOOKUP(A2726,'Discount Lookup'!J:K,2)*G2726*(1-PlanterDiscount)*(1+PlanterDifficultyPercentage)),""),"")),"   not ELP, by"))))))))))))))</f>
        <v/>
      </c>
      <c r="AD2726" s="712"/>
      <c r="AE2726" s="513" t="str">
        <f t="shared" si="2061"/>
        <v/>
      </c>
      <c r="AF2726" s="713" t="str">
        <f t="shared" si="2062"/>
        <v/>
      </c>
      <c r="AG2726" s="713"/>
      <c r="AH2726" s="713"/>
      <c r="AI2726" s="112">
        <f>IF(H2726="credit",0,IF(AE2726="free",0,IF(AE2726="me",0,IF(G2726&gt;0,(VLOOKUP(A2726,'Discount Lookup'!J:K,2)*G2726),0))))</f>
        <v>0</v>
      </c>
      <c r="AJ2726" s="107" t="str">
        <f t="shared" ca="1" si="2063"/>
        <v/>
      </c>
      <c r="AK2726" s="714" t="str">
        <f t="shared" si="2064"/>
        <v/>
      </c>
      <c r="AL2726" s="714"/>
      <c r="AM2726" s="114" t="str">
        <f t="shared" si="2065"/>
        <v/>
      </c>
      <c r="AN2726" s="115"/>
      <c r="AO2726" s="116"/>
      <c r="AP2726" s="116"/>
      <c r="AQ2726" s="116"/>
      <c r="AR2726" s="116"/>
      <c r="AS2726" s="116"/>
      <c r="AT2726" s="116"/>
      <c r="AU2726" s="116"/>
      <c r="AV2726" s="78"/>
      <c r="AW2726" s="102"/>
      <c r="AX2726" s="78"/>
      <c r="AY2726" s="78"/>
      <c r="AZ2726" s="78"/>
      <c r="BA2726" s="78"/>
      <c r="BB2726" s="78"/>
      <c r="BC2726" s="78"/>
      <c r="BD2726" s="78"/>
      <c r="BE2726" s="465"/>
      <c r="BF2726" s="165" t="str">
        <f t="shared" si="2066"/>
        <v>https://www.google.com/search?tbm=isch&amp;q=3%20G2</v>
      </c>
      <c r="BG2726" s="165" t="str">
        <f t="shared" si="2067"/>
        <v>L</v>
      </c>
      <c r="BH2726" s="65"/>
      <c r="BI2726" s="65"/>
      <c r="BJ2726" s="65"/>
      <c r="BK2726" s="65"/>
      <c r="BL2726" s="99"/>
      <c r="BM2726" s="99"/>
      <c r="BN2726" s="99"/>
    </row>
    <row r="2727" spans="1:66" s="51" customFormat="1" ht="16.5" x14ac:dyDescent="0.25">
      <c r="A2727" s="641" t="s">
        <v>3382</v>
      </c>
      <c r="B2727" s="642"/>
      <c r="C2727" s="710"/>
      <c r="D2727" s="643"/>
      <c r="E2727" s="643"/>
      <c r="F2727" s="644"/>
      <c r="G2727" s="645"/>
      <c r="H2727" s="646"/>
      <c r="I2727" s="647"/>
      <c r="J2727" s="648"/>
      <c r="K2727" s="649"/>
      <c r="L2727" s="650"/>
      <c r="M2727" s="650"/>
      <c r="N2727" s="644"/>
      <c r="O2727" s="644"/>
      <c r="P2727" s="644"/>
      <c r="Q2727" s="644"/>
      <c r="R2727" s="644"/>
      <c r="S2727" s="651"/>
      <c r="T2727" s="102">
        <f t="shared" si="2055"/>
        <v>0</v>
      </c>
      <c r="U2727" s="78" t="str">
        <f>IF(NOT(ISNUMBER(G2727)), "", VLOOKUP(A2727,'Discount Lookup'!D:E,2,FALSE)*G2727)</f>
        <v/>
      </c>
      <c r="V2727" s="78" t="str">
        <f>IF(NOT(ISNUMBER(G2727)), "", VLOOKUP(A2727,'Discount Lookup'!G:H,2,FALSE)*G2727)</f>
        <v/>
      </c>
      <c r="W2727" s="102">
        <f t="shared" si="2056"/>
        <v>0</v>
      </c>
      <c r="X2727" s="102">
        <f t="shared" si="2057"/>
        <v>0</v>
      </c>
      <c r="Y2727" s="120" t="b">
        <f t="shared" si="2058"/>
        <v>0</v>
      </c>
      <c r="Z2727" s="117">
        <f t="shared" si="2059"/>
        <v>0</v>
      </c>
      <c r="AA2727" s="118"/>
      <c r="AB2727" s="118" t="str">
        <f t="shared" si="2060"/>
        <v/>
      </c>
      <c r="AC2727" s="712" t="str">
        <f>IF(AE2727="T2G","no charge",IF(AND(OR(PlanterYesMe="No",PlanterYesMe="N",PlanterYesMe="me"),H2727=""),"",IF(H2727="credit","NO install",IF(AND(K2727="",AE2727="me"),"EACH row",IF(AND(K2727="images",AE2727="me"),"EACH row",IF(D2727="","",IF(H2727="credit","",IF(AE2727="free","re-planting",IF(AE2727="me","   not ELP, by",IF(AND(OR(PlanterYesMe="Yes",PlanterYesMe="Y"),G2727&gt;0),(VLOOKUP(A2727,'Discount Lookup'!J:K,2)*G2727*(1-PlanterDiscount)*(1+PlanterDifficultyPercentage)),IF(AE2727="ELP",(VLOOKUP(A2727,'Discount Lookup'!J:K,2)*G2727*(1-PlanterDiscount)*(1+PlanterDifficultyPercentage)),IF(AE2727="free","re-planting",IF(G2727=0,"",IF(PlanterYesMe="",IF(AE2727="me","   not ELP, by",IF(AE2727="",IF(G2727&gt;0,(VLOOKUP(A2727,'Discount Lookup'!J:K,2)*G2727*(1-PlanterDiscount)*(1+PlanterDifficultyPercentage)),""),"")),"   not ELP, by"))))))))))))))</f>
        <v/>
      </c>
      <c r="AD2727" s="712"/>
      <c r="AE2727" s="513" t="str">
        <f t="shared" si="2061"/>
        <v/>
      </c>
      <c r="AF2727" s="713" t="str">
        <f t="shared" si="2062"/>
        <v/>
      </c>
      <c r="AG2727" s="713"/>
      <c r="AH2727" s="713"/>
      <c r="AI2727" s="112">
        <f>IF(H2727="credit",0,IF(AE2727="free",0,IF(AE2727="me",0,IF(G2727&gt;0,(VLOOKUP(A2727,'Discount Lookup'!J:K,2)*G2727),0))))</f>
        <v>0</v>
      </c>
      <c r="AJ2727" s="107" t="str">
        <f t="shared" ca="1" si="2063"/>
        <v/>
      </c>
      <c r="AK2727" s="714" t="str">
        <f t="shared" si="2064"/>
        <v/>
      </c>
      <c r="AL2727" s="714"/>
      <c r="AM2727" s="114" t="str">
        <f t="shared" si="2065"/>
        <v/>
      </c>
      <c r="AN2727" s="115"/>
      <c r="AO2727" s="116"/>
      <c r="AP2727" s="116"/>
      <c r="AQ2727" s="116"/>
      <c r="AR2727" s="116"/>
      <c r="AS2727" s="116"/>
      <c r="AT2727" s="116"/>
      <c r="AU2727" s="116"/>
      <c r="AV2727" s="78"/>
      <c r="AW2727" s="102"/>
      <c r="AX2727" s="78"/>
      <c r="AY2727" s="78"/>
      <c r="AZ2727" s="78"/>
      <c r="BA2727" s="78"/>
      <c r="BB2727" s="78"/>
      <c r="BC2727" s="78"/>
      <c r="BD2727" s="78"/>
      <c r="BE2727" s="465"/>
      <c r="BF2727" s="165" t="str">
        <f t="shared" si="2066"/>
        <v>https://www.google.com/search?tbm=isch&amp;q=Major%20Wheeler%20is%20a%20vine%20know%20for%20its%20extended%20flowering%20period%20of%20bright%20blooms%2C%20and%20its%20low-maintenance%2C%20non-seeding%20nature.%20Blue-Green%20foliage%20yellows%20in%20fall%20</v>
      </c>
      <c r="BG2727" s="165" t="str">
        <f t="shared" si="2067"/>
        <v>M</v>
      </c>
      <c r="BH2727" s="65"/>
      <c r="BI2727" s="65"/>
      <c r="BJ2727" s="65"/>
      <c r="BK2727" s="65"/>
      <c r="BL2727" s="99"/>
      <c r="BM2727" s="99"/>
      <c r="BN2727" s="99"/>
    </row>
    <row r="2728" spans="1:66" s="51" customFormat="1" ht="19.5" thickBot="1" x14ac:dyDescent="0.3">
      <c r="A2728" s="686" t="s">
        <v>593</v>
      </c>
      <c r="B2728" s="73"/>
      <c r="C2728" s="708"/>
      <c r="D2728" s="73"/>
      <c r="E2728" s="73"/>
      <c r="F2728" s="496"/>
      <c r="G2728" s="73"/>
      <c r="H2728" s="73"/>
      <c r="I2728" s="73"/>
      <c r="J2728" s="497" t="s">
        <v>357</v>
      </c>
      <c r="K2728" s="498"/>
      <c r="L2728" s="562"/>
      <c r="M2728" s="73"/>
      <c r="N2728"/>
      <c r="O2728"/>
      <c r="P2728"/>
      <c r="Q2728"/>
      <c r="R2728"/>
      <c r="S2728"/>
      <c r="T2728" s="102">
        <f t="shared" si="2055"/>
        <v>0</v>
      </c>
      <c r="U2728" s="78" t="str">
        <f>IF(NOT(ISNUMBER(G2728)), "", VLOOKUP(A2728,'Discount Lookup'!D:E,2,FALSE)*G2728)</f>
        <v/>
      </c>
      <c r="V2728" s="78" t="str">
        <f>IF(NOT(ISNUMBER(G2728)), "", VLOOKUP(A2728,'Discount Lookup'!G:H,2,FALSE)*G2728)</f>
        <v/>
      </c>
      <c r="W2728" s="102">
        <f t="shared" si="2056"/>
        <v>0</v>
      </c>
      <c r="X2728" s="102">
        <f t="shared" si="2057"/>
        <v>0</v>
      </c>
      <c r="Y2728" s="120" t="b">
        <f t="shared" si="2058"/>
        <v>0</v>
      </c>
      <c r="Z2728" s="117">
        <f t="shared" si="2059"/>
        <v>0</v>
      </c>
      <c r="AA2728" s="118"/>
      <c r="AB2728" s="118" t="str">
        <f t="shared" si="2060"/>
        <v/>
      </c>
      <c r="AC2728" s="712" t="str">
        <f>IF(AE2728="T2G","no charge",IF(AND(OR(PlanterYesMe="No",PlanterYesMe="N",PlanterYesMe="me"),H2728=""),"",IF(H2728="credit","NO install",IF(AND(K2728="",AE2728="me"),"EACH row",IF(AND(K2728="images",AE2728="me"),"EACH row",IF(D2728="","",IF(H2728="credit","",IF(AE2728="free","re-planting",IF(AE2728="me","   not ELP, by",IF(AND(OR(PlanterYesMe="Yes",PlanterYesMe="Y"),G2728&gt;0),(VLOOKUP(A2728,'Discount Lookup'!J:K,2)*G2728*(1-PlanterDiscount)*(1+PlanterDifficultyPercentage)),IF(AE2728="ELP",(VLOOKUP(A2728,'Discount Lookup'!J:K,2)*G2728*(1-PlanterDiscount)*(1+PlanterDifficultyPercentage)),IF(AE2728="free","re-planting",IF(G2728=0,"",IF(PlanterYesMe="",IF(AE2728="me","   not ELP, by",IF(AE2728="",IF(G2728&gt;0,(VLOOKUP(A2728,'Discount Lookup'!J:K,2)*G2728*(1-PlanterDiscount)*(1+PlanterDifficultyPercentage)),""),"")),"   not ELP, by"))))))))))))))</f>
        <v/>
      </c>
      <c r="AD2728" s="712"/>
      <c r="AE2728" s="513" t="str">
        <f t="shared" si="2061"/>
        <v/>
      </c>
      <c r="AF2728" s="713" t="str">
        <f t="shared" si="2062"/>
        <v/>
      </c>
      <c r="AG2728" s="713"/>
      <c r="AH2728" s="713"/>
      <c r="AI2728" s="112">
        <f>IF(H2728="credit",0,IF(AE2728="free",0,IF(AE2728="me",0,IF(G2728&gt;0,(VLOOKUP(A2728,'Discount Lookup'!J:K,2)*G2728),0))))</f>
        <v>0</v>
      </c>
      <c r="AJ2728" s="107" t="str">
        <f t="shared" ca="1" si="2063"/>
        <v/>
      </c>
      <c r="AK2728" s="714" t="str">
        <f t="shared" si="2064"/>
        <v/>
      </c>
      <c r="AL2728" s="714"/>
      <c r="AM2728" s="114" t="str">
        <f t="shared" si="2065"/>
        <v/>
      </c>
      <c r="AN2728" s="115"/>
      <c r="AO2728" s="116"/>
      <c r="AP2728" s="116"/>
      <c r="AQ2728" s="116"/>
      <c r="AR2728" s="116"/>
      <c r="AS2728" s="116"/>
      <c r="AT2728" s="116"/>
      <c r="AU2728" s="116"/>
      <c r="AV2728" s="78"/>
      <c r="AW2728" s="102"/>
      <c r="AX2728" s="78"/>
      <c r="AY2728" s="78"/>
      <c r="AZ2728" s="78"/>
      <c r="BA2728" s="78"/>
      <c r="BB2728" s="78"/>
      <c r="BC2728" s="78"/>
      <c r="BD2728" s="78"/>
      <c r="BE2728" s="465"/>
      <c r="BF2728" s="165" t="str">
        <f t="shared" si="2066"/>
        <v>https://www.google.com/search?tbm=isch&amp;q=Loropetalum%20%3D%20Fringe%20Flower%20</v>
      </c>
      <c r="BG2728" s="165" t="str">
        <f t="shared" si="2067"/>
        <v>L</v>
      </c>
      <c r="BH2728" s="65"/>
      <c r="BI2728" s="65"/>
      <c r="BJ2728" s="65"/>
      <c r="BK2728" s="65"/>
      <c r="BL2728" s="99"/>
      <c r="BM2728" s="99"/>
      <c r="BN2728" s="99"/>
    </row>
    <row r="2729" spans="1:66" s="51" customFormat="1" ht="18" x14ac:dyDescent="0.25">
      <c r="A2729" s="507" t="s">
        <v>3383</v>
      </c>
      <c r="B2729" s="470"/>
      <c r="C2729" s="706"/>
      <c r="D2729" s="471" t="s">
        <v>5729</v>
      </c>
      <c r="E2729" s="472"/>
      <c r="F2729" s="472"/>
      <c r="G2729" s="472"/>
      <c r="H2729" s="622" t="s">
        <v>1217</v>
      </c>
      <c r="I2729" s="473" t="s">
        <v>3384</v>
      </c>
      <c r="J2729" s="472"/>
      <c r="K2729" s="472"/>
      <c r="L2729" s="561"/>
      <c r="M2729" s="698" t="s">
        <v>5246</v>
      </c>
      <c r="N2729" s="692" t="str">
        <f>IF(AND(ISTEXT($A2729), ISERROR($A2729+0)), HYPERLINK($BF2729, "Images"), "")</f>
        <v>Images</v>
      </c>
      <c r="O2729" s="694" t="s">
        <v>5247</v>
      </c>
      <c r="P2729" s="475"/>
      <c r="Q2729" s="476"/>
      <c r="R2729" s="476"/>
      <c r="S2729" s="477"/>
      <c r="T2729" s="102">
        <f t="shared" si="2055"/>
        <v>0</v>
      </c>
      <c r="U2729" s="78" t="str">
        <f>IF(NOT(ISNUMBER(G2729)), "", VLOOKUP(A2729,'Discount Lookup'!D:E,2,FALSE)*G2729)</f>
        <v/>
      </c>
      <c r="V2729" s="78" t="str">
        <f>IF(NOT(ISNUMBER(G2729)), "", VLOOKUP(A2729,'Discount Lookup'!G:H,2,FALSE)*G2729)</f>
        <v/>
      </c>
      <c r="W2729" s="102">
        <f t="shared" si="2056"/>
        <v>0</v>
      </c>
      <c r="X2729" s="102" t="str">
        <f t="shared" si="2057"/>
        <v>Cherry Red bloom</v>
      </c>
      <c r="Y2729" s="120" t="b">
        <f t="shared" si="2058"/>
        <v>0</v>
      </c>
      <c r="Z2729" s="117">
        <f t="shared" si="2059"/>
        <v>0</v>
      </c>
      <c r="AA2729" s="118"/>
      <c r="AB2729" s="118" t="str">
        <f t="shared" si="2060"/>
        <v/>
      </c>
      <c r="AC2729" s="712" t="str">
        <f>IF(AE2729="T2G","no charge",IF(AND(OR(PlanterYesMe="No",PlanterYesMe="N",PlanterYesMe="me"),H2729=""),"",IF(H2729="credit","NO install",IF(AND(K2729="",AE2729="me"),"EACH row",IF(AND(K2729="images",AE2729="me"),"EACH row",IF(D2729="","",IF(H2729="credit","",IF(AE2729="free","re-planting",IF(AE2729="me","   not ELP, by",IF(AND(OR(PlanterYesMe="Yes",PlanterYesMe="Y"),G2729&gt;0),(VLOOKUP(A2729,'Discount Lookup'!J:K,2)*G2729*(1-PlanterDiscount)*(1+PlanterDifficultyPercentage)),IF(AE2729="ELP",(VLOOKUP(A2729,'Discount Lookup'!J:K,2)*G2729*(1-PlanterDiscount)*(1+PlanterDifficultyPercentage)),IF(AE2729="free","re-planting",IF(G2729=0,"",IF(PlanterYesMe="",IF(AE2729="me","   not ELP, by",IF(AE2729="",IF(G2729&gt;0,(VLOOKUP(A2729,'Discount Lookup'!J:K,2)*G2729*(1-PlanterDiscount)*(1+PlanterDifficultyPercentage)),""),"")),"   not ELP, by"))))))))))))))</f>
        <v/>
      </c>
      <c r="AD2729" s="712"/>
      <c r="AE2729" s="513" t="str">
        <f t="shared" si="2061"/>
        <v/>
      </c>
      <c r="AF2729" s="713" t="str">
        <f t="shared" si="2062"/>
        <v/>
      </c>
      <c r="AG2729" s="713"/>
      <c r="AH2729" s="713"/>
      <c r="AI2729" s="112">
        <f>IF(H2729="credit",0,IF(AE2729="free",0,IF(AE2729="me",0,IF(G2729&gt;0,(VLOOKUP(A2729,'Discount Lookup'!J:K,2)*G2729),0))))</f>
        <v>0</v>
      </c>
      <c r="AJ2729" s="107" t="str">
        <f t="shared" ca="1" si="2063"/>
        <v/>
      </c>
      <c r="AK2729" s="714" t="str">
        <f t="shared" si="2064"/>
        <v/>
      </c>
      <c r="AL2729" s="714"/>
      <c r="AM2729" s="114" t="str">
        <f t="shared" si="2065"/>
        <v/>
      </c>
      <c r="AN2729" s="115"/>
      <c r="AO2729" s="116"/>
      <c r="AP2729" s="116"/>
      <c r="AQ2729" s="116"/>
      <c r="AR2729" s="116"/>
      <c r="AS2729" s="116"/>
      <c r="AT2729" s="116"/>
      <c r="AU2729" s="116"/>
      <c r="AV2729" s="78"/>
      <c r="AW2729" s="102"/>
      <c r="AX2729" s="78"/>
      <c r="AY2729" s="78"/>
      <c r="AZ2729" s="78"/>
      <c r="BA2729" s="78"/>
      <c r="BB2729" s="78"/>
      <c r="BC2729" s="78"/>
      <c r="BD2729" s="78"/>
      <c r="BE2729" s="465"/>
      <c r="BF2729" s="165" t="str">
        <f t="shared" si="2066"/>
        <v>https://www.google.com/search?tbm=isch&amp;q=Loropetalum%20chin.%20var.%20r.%20%27Chang%20Nian%20Hong%27%20Ever%20Red%C2%AE%20Loropetalum</v>
      </c>
      <c r="BG2729" s="165" t="str">
        <f t="shared" si="2067"/>
        <v>L</v>
      </c>
      <c r="BH2729" s="65"/>
      <c r="BI2729" s="65"/>
      <c r="BJ2729" s="65"/>
      <c r="BK2729" s="65"/>
      <c r="BL2729" s="99"/>
      <c r="BM2729" s="99"/>
      <c r="BN2729" s="99"/>
    </row>
    <row r="2730" spans="1:66" s="51" customFormat="1" ht="15.75" x14ac:dyDescent="0.25">
      <c r="A2730" s="478">
        <v>3</v>
      </c>
      <c r="B2730" s="479" t="s">
        <v>291</v>
      </c>
      <c r="C2730" s="480" t="s">
        <v>3385</v>
      </c>
      <c r="D2730" s="481" t="s">
        <v>299</v>
      </c>
      <c r="E2730" s="482">
        <v>31.95</v>
      </c>
      <c r="F2730" s="483" t="s">
        <v>292</v>
      </c>
      <c r="G2730" s="484">
        <v>0</v>
      </c>
      <c r="H2730" s="688" t="str">
        <f>IF(G2730=0,"",IF(F2730="Buy",IF(G2730=1,"plant","plants"),IF(F2730&gt;0.01,"warranty","Error")))</f>
        <v/>
      </c>
      <c r="I2730" s="485">
        <f>IF(H2730="free",0,IF(H2730="credit",((E2730*(F2730))*G2730*-1),IF(F2730="Buy",(E2730*G2730),((E2730*(1-F2730))*G2730))))</f>
        <v>0</v>
      </c>
      <c r="J2730" s="485">
        <f>IF(H2730="warranty",0,(I2730*(_xlfn.SINGLE(SalesTaxPercentage))))</f>
        <v>0</v>
      </c>
      <c r="K2730" s="715">
        <f t="shared" ref="K2730" si="2083">I2730+J2730</f>
        <v>0</v>
      </c>
      <c r="L2730" s="715"/>
      <c r="M2730" s="689" t="str">
        <f ca="1">IF(AND(G2730&gt;0,E2730=0),"WARNING - no PRICE inserted",IF(H2730="free","FREE ~ no charge this plant",IF(H2730="credit",CONCATENATE("-$",ROUND(K2730*(1-_xlfn.SINGLE(T2GDiscount))*-1,2)," CREDIT after discount"),IF(_xlfn.SINGLE(T2GDiscount)=0,"",IF(G2730=0,"",IF(F2730="Buy",CONCATENATE("$",ROUND(K2730*(1-_xlfn.SINGLE(T2GDiscount)),2)," with ",(_xlfn.SINGLE(T2GDiscount)*100),"% discount"),CONCATENATE("$",ROUND(K2730*(1-_xlfn.SINGLE(T2GDiscount)),2)," with ",((_xlfn.SINGLE(T2GDiscount)*100+F2730*100)-(_xlfn.SINGLE(T2GDiscount)*100*F2730)),IF(F2730&gt;0,"% discounts",IF(_xlfn.SINGLE(NoWarrantyDiscount)&gt;0,"% discounts","% discount")))))))))</f>
        <v/>
      </c>
      <c r="N2730" s="690"/>
      <c r="O2730" s="486"/>
      <c r="P2730" s="486"/>
      <c r="Q2730" s="486"/>
      <c r="R2730" s="486"/>
      <c r="S2730" s="486"/>
      <c r="T2730" s="102">
        <f t="shared" si="2055"/>
        <v>0</v>
      </c>
      <c r="U2730" s="78">
        <f>IF(NOT(ISNUMBER(G2730)), "", VLOOKUP(A2730,'Discount Lookup'!D:E,2,FALSE)*G2730)</f>
        <v>0</v>
      </c>
      <c r="V2730" s="78">
        <f>IF(NOT(ISNUMBER(G2730)), "", VLOOKUP(A2730,'Discount Lookup'!G:H,2,FALSE)*G2730)</f>
        <v>0</v>
      </c>
      <c r="W2730" s="102">
        <f t="shared" si="2056"/>
        <v>0</v>
      </c>
      <c r="X2730" s="102">
        <f t="shared" si="2057"/>
        <v>0</v>
      </c>
      <c r="Y2730" s="120" t="b">
        <f t="shared" si="2058"/>
        <v>0</v>
      </c>
      <c r="Z2730" s="117">
        <f t="shared" si="2059"/>
        <v>0</v>
      </c>
      <c r="AA2730" s="118"/>
      <c r="AB2730" s="118" t="str">
        <f t="shared" si="2060"/>
        <v/>
      </c>
      <c r="AC2730" s="712" t="str">
        <f>IF(AE2730="T2G","no charge",IF(AND(OR(PlanterYesMe="No",PlanterYesMe="N",PlanterYesMe="me"),H2730=""),"",IF(H2730="credit","NO install",IF(AND(K2730="",AE2730="me"),"EACH row",IF(AND(K2730="images",AE2730="me"),"EACH row",IF(D2730="","",IF(H2730="credit","",IF(AE2730="free","re-planting",IF(AE2730="me","   not ELP, by",IF(AND(OR(PlanterYesMe="Yes",PlanterYesMe="Y"),G2730&gt;0),(VLOOKUP(A2730,'Discount Lookup'!J:K,2)*G2730*(1-PlanterDiscount)*(1+PlanterDifficultyPercentage)),IF(AE2730="ELP",(VLOOKUP(A2730,'Discount Lookup'!J:K,2)*G2730*(1-PlanterDiscount)*(1+PlanterDifficultyPercentage)),IF(AE2730="free","re-planting",IF(G2730=0,"",IF(PlanterYesMe="",IF(AE2730="me","   not ELP, by",IF(AE2730="",IF(G2730&gt;0,(VLOOKUP(A2730,'Discount Lookup'!J:K,2)*G2730*(1-PlanterDiscount)*(1+PlanterDifficultyPercentage)),""),"")),"   not ELP, by"))))))))))))))</f>
        <v/>
      </c>
      <c r="AD2730" s="712"/>
      <c r="AE2730" s="513" t="str">
        <f t="shared" si="2061"/>
        <v/>
      </c>
      <c r="AF2730" s="713" t="str">
        <f t="shared" si="2062"/>
        <v/>
      </c>
      <c r="AG2730" s="713"/>
      <c r="AH2730" s="713"/>
      <c r="AI2730" s="112">
        <f>IF(H2730="credit",0,IF(AE2730="free",0,IF(AE2730="me",0,IF(G2730&gt;0,(VLOOKUP(A2730,'Discount Lookup'!J:K,2)*G2730),0))))</f>
        <v>0</v>
      </c>
      <c r="AJ2730" s="107" t="str">
        <f t="shared" ca="1" si="2063"/>
        <v/>
      </c>
      <c r="AK2730" s="714" t="str">
        <f t="shared" si="2064"/>
        <v/>
      </c>
      <c r="AL2730" s="714"/>
      <c r="AM2730" s="114" t="str">
        <f t="shared" si="2065"/>
        <v/>
      </c>
      <c r="AN2730" s="115"/>
      <c r="AO2730" s="116"/>
      <c r="AP2730" s="116"/>
      <c r="AQ2730" s="116"/>
      <c r="AR2730" s="116"/>
      <c r="AS2730" s="116"/>
      <c r="AT2730" s="116"/>
      <c r="AU2730" s="116"/>
      <c r="AV2730" s="78"/>
      <c r="AW2730" s="102"/>
      <c r="AX2730" s="78"/>
      <c r="AY2730" s="78"/>
      <c r="AZ2730" s="78"/>
      <c r="BA2730" s="78"/>
      <c r="BB2730" s="78"/>
      <c r="BC2730" s="78"/>
      <c r="BD2730" s="78"/>
      <c r="BE2730" s="465"/>
      <c r="BF2730" s="165" t="str">
        <f t="shared" si="2066"/>
        <v>https://www.google.com/search?tbm=isch&amp;q=3%20G4</v>
      </c>
      <c r="BG2730" s="165" t="str">
        <f t="shared" si="2067"/>
        <v>L</v>
      </c>
      <c r="BH2730" s="65"/>
      <c r="BI2730" s="65"/>
      <c r="BJ2730" s="65"/>
      <c r="BK2730" s="65"/>
      <c r="BL2730" s="99"/>
      <c r="BM2730" s="99"/>
      <c r="BN2730" s="99"/>
    </row>
    <row r="2731" spans="1:66" s="51" customFormat="1" ht="16.5" thickBot="1" x14ac:dyDescent="0.3">
      <c r="A2731" s="508" t="s">
        <v>3386</v>
      </c>
      <c r="B2731" s="487"/>
      <c r="C2731" s="707"/>
      <c r="D2731" s="487"/>
      <c r="E2731" s="487"/>
      <c r="F2731" s="488"/>
      <c r="G2731" s="489"/>
      <c r="H2731" s="487"/>
      <c r="I2731" s="490"/>
      <c r="J2731" s="490"/>
      <c r="K2731" s="491"/>
      <c r="L2731" s="547"/>
      <c r="M2731" s="528"/>
      <c r="N2731" s="492"/>
      <c r="O2731" s="493"/>
      <c r="P2731" s="494"/>
      <c r="Q2731" s="492"/>
      <c r="R2731" s="492"/>
      <c r="S2731" s="495"/>
      <c r="T2731" s="102">
        <f t="shared" si="2055"/>
        <v>0</v>
      </c>
      <c r="U2731" s="78" t="str">
        <f>IF(NOT(ISNUMBER(G2731)), "", VLOOKUP(A2731,'Discount Lookup'!D:E,2,FALSE)*G2731)</f>
        <v/>
      </c>
      <c r="V2731" s="78" t="str">
        <f>IF(NOT(ISNUMBER(G2731)), "", VLOOKUP(A2731,'Discount Lookup'!G:H,2,FALSE)*G2731)</f>
        <v/>
      </c>
      <c r="W2731" s="102">
        <f t="shared" si="2056"/>
        <v>0</v>
      </c>
      <c r="X2731" s="102">
        <f t="shared" si="2057"/>
        <v>0</v>
      </c>
      <c r="Y2731" s="120" t="b">
        <f t="shared" si="2058"/>
        <v>0</v>
      </c>
      <c r="Z2731" s="117">
        <f t="shared" si="2059"/>
        <v>0</v>
      </c>
      <c r="AA2731" s="118"/>
      <c r="AB2731" s="118" t="str">
        <f t="shared" si="2060"/>
        <v/>
      </c>
      <c r="AC2731" s="712" t="str">
        <f>IF(AE2731="T2G","no charge",IF(AND(OR(PlanterYesMe="No",PlanterYesMe="N",PlanterYesMe="me"),H2731=""),"",IF(H2731="credit","NO install",IF(AND(K2731="",AE2731="me"),"EACH row",IF(AND(K2731="images",AE2731="me"),"EACH row",IF(D2731="","",IF(H2731="credit","",IF(AE2731="free","re-planting",IF(AE2731="me","   not ELP, by",IF(AND(OR(PlanterYesMe="Yes",PlanterYesMe="Y"),G2731&gt;0),(VLOOKUP(A2731,'Discount Lookup'!J:K,2)*G2731*(1-PlanterDiscount)*(1+PlanterDifficultyPercentage)),IF(AE2731="ELP",(VLOOKUP(A2731,'Discount Lookup'!J:K,2)*G2731*(1-PlanterDiscount)*(1+PlanterDifficultyPercentage)),IF(AE2731="free","re-planting",IF(G2731=0,"",IF(PlanterYesMe="",IF(AE2731="me","   not ELP, by",IF(AE2731="",IF(G2731&gt;0,(VLOOKUP(A2731,'Discount Lookup'!J:K,2)*G2731*(1-PlanterDiscount)*(1+PlanterDifficultyPercentage)),""),"")),"   not ELP, by"))))))))))))))</f>
        <v/>
      </c>
      <c r="AD2731" s="712"/>
      <c r="AE2731" s="513" t="str">
        <f t="shared" si="2061"/>
        <v/>
      </c>
      <c r="AF2731" s="713" t="str">
        <f t="shared" si="2062"/>
        <v/>
      </c>
      <c r="AG2731" s="713"/>
      <c r="AH2731" s="713"/>
      <c r="AI2731" s="112">
        <f>IF(H2731="credit",0,IF(AE2731="free",0,IF(AE2731="me",0,IF(G2731&gt;0,(VLOOKUP(A2731,'Discount Lookup'!J:K,2)*G2731),0))))</f>
        <v>0</v>
      </c>
      <c r="AJ2731" s="107" t="str">
        <f t="shared" ca="1" si="2063"/>
        <v/>
      </c>
      <c r="AK2731" s="714" t="str">
        <f t="shared" si="2064"/>
        <v/>
      </c>
      <c r="AL2731" s="714"/>
      <c r="AM2731" s="114" t="str">
        <f t="shared" si="2065"/>
        <v/>
      </c>
      <c r="AN2731" s="115"/>
      <c r="AO2731" s="116"/>
      <c r="AP2731" s="116"/>
      <c r="AQ2731" s="116"/>
      <c r="AR2731" s="116"/>
      <c r="AS2731" s="116"/>
      <c r="AT2731" s="116"/>
      <c r="AU2731" s="116"/>
      <c r="AV2731" s="78"/>
      <c r="AW2731" s="102"/>
      <c r="AX2731" s="78"/>
      <c r="AY2731" s="78"/>
      <c r="AZ2731" s="78"/>
      <c r="BA2731" s="78"/>
      <c r="BB2731" s="78"/>
      <c r="BC2731" s="78"/>
      <c r="BD2731" s="78"/>
      <c r="BE2731" s="465"/>
      <c r="BF2731" s="165" t="str">
        <f t="shared" si="2066"/>
        <v>https://www.google.com/search?tbm=isch&amp;q=Ever%20Red%20named%20for%20it%27s%20deepest%20Red%20bloom%20of%20all%20Loropetalum.%20Fringe-like%20flowers%20bloom%20periodically%20against%20Deep%20Purple%20foliage%20</v>
      </c>
      <c r="BG2731" s="165" t="str">
        <f t="shared" si="2067"/>
        <v>E</v>
      </c>
      <c r="BH2731" s="65"/>
      <c r="BI2731" s="65"/>
      <c r="BJ2731" s="65"/>
      <c r="BK2731" s="65"/>
      <c r="BL2731" s="99"/>
      <c r="BM2731" s="99"/>
      <c r="BN2731" s="99"/>
    </row>
    <row r="2732" spans="1:66" s="51" customFormat="1" ht="18" x14ac:dyDescent="0.25">
      <c r="A2732" s="507" t="s">
        <v>3387</v>
      </c>
      <c r="B2732" s="470"/>
      <c r="C2732" s="706"/>
      <c r="D2732" s="471" t="s">
        <v>3388</v>
      </c>
      <c r="E2732" s="472"/>
      <c r="F2732" s="472"/>
      <c r="G2732" s="472"/>
      <c r="H2732" s="622" t="s">
        <v>1217</v>
      </c>
      <c r="I2732" s="473" t="s">
        <v>3389</v>
      </c>
      <c r="J2732" s="472"/>
      <c r="K2732" s="472"/>
      <c r="L2732" s="561"/>
      <c r="M2732" s="698" t="s">
        <v>5246</v>
      </c>
      <c r="N2732" s="692" t="str">
        <f>IF(AND(ISTEXT($A2732), ISERROR($A2732+0)), HYPERLINK($BF2732, "Images"), "")</f>
        <v>Images</v>
      </c>
      <c r="O2732" s="694" t="s">
        <v>5247</v>
      </c>
      <c r="P2732" s="475"/>
      <c r="Q2732" s="476"/>
      <c r="R2732" s="476"/>
      <c r="S2732" s="477"/>
      <c r="T2732" s="102">
        <f t="shared" si="2055"/>
        <v>0</v>
      </c>
      <c r="U2732" s="78" t="str">
        <f>IF(NOT(ISNUMBER(G2732)), "", VLOOKUP(A2732,'Discount Lookup'!D:E,2,FALSE)*G2732)</f>
        <v/>
      </c>
      <c r="V2732" s="78" t="str">
        <f>IF(NOT(ISNUMBER(G2732)), "", VLOOKUP(A2732,'Discount Lookup'!G:H,2,FALSE)*G2732)</f>
        <v/>
      </c>
      <c r="W2732" s="102">
        <f t="shared" si="2056"/>
        <v>0</v>
      </c>
      <c r="X2732" s="102" t="str">
        <f t="shared" si="2057"/>
        <v>Reddish Pink bloom</v>
      </c>
      <c r="Y2732" s="120" t="b">
        <f t="shared" si="2058"/>
        <v>0</v>
      </c>
      <c r="Z2732" s="117">
        <f t="shared" si="2059"/>
        <v>0</v>
      </c>
      <c r="AA2732" s="118"/>
      <c r="AB2732" s="118" t="str">
        <f t="shared" si="2060"/>
        <v/>
      </c>
      <c r="AC2732" s="712" t="str">
        <f>IF(AE2732="T2G","no charge",IF(AND(OR(PlanterYesMe="No",PlanterYesMe="N",PlanterYesMe="me"),H2732=""),"",IF(H2732="credit","NO install",IF(AND(K2732="",AE2732="me"),"EACH row",IF(AND(K2732="images",AE2732="me"),"EACH row",IF(D2732="","",IF(H2732="credit","",IF(AE2732="free","re-planting",IF(AE2732="me","   not ELP, by",IF(AND(OR(PlanterYesMe="Yes",PlanterYesMe="Y"),G2732&gt;0),(VLOOKUP(A2732,'Discount Lookup'!J:K,2)*G2732*(1-PlanterDiscount)*(1+PlanterDifficultyPercentage)),IF(AE2732="ELP",(VLOOKUP(A2732,'Discount Lookup'!J:K,2)*G2732*(1-PlanterDiscount)*(1+PlanterDifficultyPercentage)),IF(AE2732="free","re-planting",IF(G2732=0,"",IF(PlanterYesMe="",IF(AE2732="me","   not ELP, by",IF(AE2732="",IF(G2732&gt;0,(VLOOKUP(A2732,'Discount Lookup'!J:K,2)*G2732*(1-PlanterDiscount)*(1+PlanterDifficultyPercentage)),""),"")),"   not ELP, by"))))))))))))))</f>
        <v/>
      </c>
      <c r="AD2732" s="712"/>
      <c r="AE2732" s="513" t="str">
        <f t="shared" si="2061"/>
        <v/>
      </c>
      <c r="AF2732" s="713" t="str">
        <f t="shared" si="2062"/>
        <v/>
      </c>
      <c r="AG2732" s="713"/>
      <c r="AH2732" s="713"/>
      <c r="AI2732" s="112">
        <f>IF(H2732="credit",0,IF(AE2732="free",0,IF(AE2732="me",0,IF(G2732&gt;0,(VLOOKUP(A2732,'Discount Lookup'!J:K,2)*G2732),0))))</f>
        <v>0</v>
      </c>
      <c r="AJ2732" s="107" t="str">
        <f t="shared" ca="1" si="2063"/>
        <v/>
      </c>
      <c r="AK2732" s="714" t="str">
        <f t="shared" si="2064"/>
        <v/>
      </c>
      <c r="AL2732" s="714"/>
      <c r="AM2732" s="114" t="str">
        <f t="shared" si="2065"/>
        <v/>
      </c>
      <c r="AN2732" s="115"/>
      <c r="AO2732" s="116"/>
      <c r="AP2732" s="116"/>
      <c r="AQ2732" s="116"/>
      <c r="AR2732" s="116"/>
      <c r="AS2732" s="116"/>
      <c r="AT2732" s="116"/>
      <c r="AU2732" s="116"/>
      <c r="AV2732" s="78"/>
      <c r="AW2732" s="102"/>
      <c r="AX2732" s="78"/>
      <c r="AY2732" s="78"/>
      <c r="AZ2732" s="78"/>
      <c r="BA2732" s="78"/>
      <c r="BB2732" s="78"/>
      <c r="BC2732" s="78"/>
      <c r="BD2732" s="78"/>
      <c r="BE2732" s="465"/>
      <c r="BF2732" s="165" t="str">
        <f t="shared" si="2066"/>
        <v>https://www.google.com/search?tbm=isch&amp;q=Loropetalum%20chin.%20var.%20r.%20%27Dark%20Fire%27%20Dark%20Fire%20Loropetalum</v>
      </c>
      <c r="BG2732" s="165" t="str">
        <f t="shared" si="2067"/>
        <v>L</v>
      </c>
      <c r="BH2732" s="65"/>
      <c r="BI2732" s="65"/>
      <c r="BJ2732" s="65"/>
      <c r="BK2732" s="65"/>
      <c r="BL2732" s="99"/>
      <c r="BM2732" s="99"/>
      <c r="BN2732" s="99"/>
    </row>
    <row r="2733" spans="1:66" s="51" customFormat="1" ht="15.75" x14ac:dyDescent="0.25">
      <c r="A2733" s="478">
        <v>1</v>
      </c>
      <c r="B2733" s="479" t="s">
        <v>291</v>
      </c>
      <c r="C2733" s="480" t="s">
        <v>3390</v>
      </c>
      <c r="D2733" s="481" t="s">
        <v>311</v>
      </c>
      <c r="E2733" s="482">
        <v>9.9499999999999993</v>
      </c>
      <c r="F2733" s="483" t="s">
        <v>292</v>
      </c>
      <c r="G2733" s="484">
        <v>0</v>
      </c>
      <c r="H2733" s="688" t="str">
        <f t="shared" ref="H2733:H2740" si="2084">IF(G2733=0,"",IF(F2733="Buy",IF(G2733=1,"plant","plants"),IF(F2733&gt;0.01,"warranty","Error")))</f>
        <v/>
      </c>
      <c r="I2733" s="485">
        <f t="shared" ref="I2733:I2740" si="2085">IF(H2733="free",0,IF(H2733="credit",((E2733*(F2733))*G2733*-1),IF(F2733="Buy",(E2733*G2733),((E2733*(1-F2733))*G2733))))</f>
        <v>0</v>
      </c>
      <c r="J2733" s="485">
        <f t="shared" ref="J2733:J2740" si="2086">IF(H2733="warranty",0,(I2733*(_xlfn.SINGLE(SalesTaxPercentage))))</f>
        <v>0</v>
      </c>
      <c r="K2733" s="715">
        <f t="shared" ref="K2733" si="2087">I2733+J2733</f>
        <v>0</v>
      </c>
      <c r="L2733" s="715"/>
      <c r="M2733" s="689" t="str">
        <f t="shared" ref="M2733:M2740" ca="1" si="2088">IF(AND(G2733&gt;0,E2733=0),"WARNING - no PRICE inserted",IF(H2733="free","FREE ~ no charge this plant",IF(H2733="credit",CONCATENATE("-$",ROUND(K2733*(1-_xlfn.SINGLE(T2GDiscount))*-1,2)," CREDIT after discount"),IF(_xlfn.SINGLE(T2GDiscount)=0,"",IF(G2733=0,"",IF(F2733="Buy",CONCATENATE("$",ROUND(K2733*(1-_xlfn.SINGLE(T2GDiscount)),2)," with ",(_xlfn.SINGLE(T2GDiscount)*100),"% discount"),CONCATENATE("$",ROUND(K2733*(1-_xlfn.SINGLE(T2GDiscount)),2)," with ",((_xlfn.SINGLE(T2GDiscount)*100+F2733*100)-(_xlfn.SINGLE(T2GDiscount)*100*F2733)),IF(F2733&gt;0,"% discounts",IF(_xlfn.SINGLE(NoWarrantyDiscount)&gt;0,"% discounts","% discount")))))))))</f>
        <v/>
      </c>
      <c r="N2733" s="690"/>
      <c r="O2733" s="486"/>
      <c r="P2733" s="486"/>
      <c r="Q2733" s="486"/>
      <c r="R2733" s="486"/>
      <c r="S2733" s="486"/>
      <c r="T2733" s="102">
        <f t="shared" si="2055"/>
        <v>0</v>
      </c>
      <c r="U2733" s="78">
        <f>IF(NOT(ISNUMBER(G2733)), "", VLOOKUP(A2733,'Discount Lookup'!D:E,2,FALSE)*G2733)</f>
        <v>0</v>
      </c>
      <c r="V2733" s="78">
        <f>IF(NOT(ISNUMBER(G2733)), "", VLOOKUP(A2733,'Discount Lookup'!G:H,2,FALSE)*G2733)</f>
        <v>0</v>
      </c>
      <c r="W2733" s="102">
        <f t="shared" si="2056"/>
        <v>0</v>
      </c>
      <c r="X2733" s="102">
        <f t="shared" si="2057"/>
        <v>0</v>
      </c>
      <c r="Y2733" s="120" t="b">
        <f t="shared" si="2058"/>
        <v>0</v>
      </c>
      <c r="Z2733" s="117">
        <f t="shared" si="2059"/>
        <v>0</v>
      </c>
      <c r="AA2733" s="118"/>
      <c r="AB2733" s="118" t="str">
        <f t="shared" si="2060"/>
        <v/>
      </c>
      <c r="AC2733" s="712" t="str">
        <f>IF(AE2733="T2G","no charge",IF(AND(OR(PlanterYesMe="No",PlanterYesMe="N",PlanterYesMe="me"),H2733=""),"",IF(H2733="credit","NO install",IF(AND(K2733="",AE2733="me"),"EACH row",IF(AND(K2733="images",AE2733="me"),"EACH row",IF(D2733="","",IF(H2733="credit","",IF(AE2733="free","re-planting",IF(AE2733="me","   not ELP, by",IF(AND(OR(PlanterYesMe="Yes",PlanterYesMe="Y"),G2733&gt;0),(VLOOKUP(A2733,'Discount Lookup'!J:K,2)*G2733*(1-PlanterDiscount)*(1+PlanterDifficultyPercentage)),IF(AE2733="ELP",(VLOOKUP(A2733,'Discount Lookup'!J:K,2)*G2733*(1-PlanterDiscount)*(1+PlanterDifficultyPercentage)),IF(AE2733="free","re-planting",IF(G2733=0,"",IF(PlanterYesMe="",IF(AE2733="me","   not ELP, by",IF(AE2733="",IF(G2733&gt;0,(VLOOKUP(A2733,'Discount Lookup'!J:K,2)*G2733*(1-PlanterDiscount)*(1+PlanterDifficultyPercentage)),""),"")),"   not ELP, by"))))))))))))))</f>
        <v/>
      </c>
      <c r="AD2733" s="712"/>
      <c r="AE2733" s="513" t="str">
        <f t="shared" si="2061"/>
        <v/>
      </c>
      <c r="AF2733" s="713" t="str">
        <f t="shared" si="2062"/>
        <v/>
      </c>
      <c r="AG2733" s="713"/>
      <c r="AH2733" s="713"/>
      <c r="AI2733" s="112">
        <f>IF(H2733="credit",0,IF(AE2733="free",0,IF(AE2733="me",0,IF(G2733&gt;0,(VLOOKUP(A2733,'Discount Lookup'!J:K,2)*G2733),0))))</f>
        <v>0</v>
      </c>
      <c r="AJ2733" s="107" t="str">
        <f t="shared" ca="1" si="2063"/>
        <v/>
      </c>
      <c r="AK2733" s="714" t="str">
        <f t="shared" si="2064"/>
        <v/>
      </c>
      <c r="AL2733" s="714"/>
      <c r="AM2733" s="114" t="str">
        <f t="shared" si="2065"/>
        <v/>
      </c>
      <c r="AN2733" s="115"/>
      <c r="AO2733" s="116"/>
      <c r="AP2733" s="116"/>
      <c r="AQ2733" s="116"/>
      <c r="AR2733" s="116"/>
      <c r="AS2733" s="116"/>
      <c r="AT2733" s="116"/>
      <c r="AU2733" s="116"/>
      <c r="AV2733" s="78"/>
      <c r="AW2733" s="102"/>
      <c r="AX2733" s="78"/>
      <c r="AY2733" s="78"/>
      <c r="AZ2733" s="78"/>
      <c r="BA2733" s="78"/>
      <c r="BB2733" s="78"/>
      <c r="BC2733" s="78"/>
      <c r="BD2733" s="78"/>
      <c r="BE2733" s="465"/>
      <c r="BF2733" s="165" t="str">
        <f t="shared" si="2066"/>
        <v>https://www.google.com/search?tbm=isch&amp;q=1%20G5</v>
      </c>
      <c r="BG2733" s="165" t="str">
        <f t="shared" si="2067"/>
        <v>L</v>
      </c>
      <c r="BH2733" s="65"/>
      <c r="BI2733" s="65"/>
      <c r="BJ2733" s="65"/>
      <c r="BK2733" s="65"/>
      <c r="BL2733" s="99"/>
      <c r="BM2733" s="99"/>
      <c r="BN2733" s="99"/>
    </row>
    <row r="2734" spans="1:66" s="51" customFormat="1" ht="27" x14ac:dyDescent="0.25">
      <c r="A2734" s="478">
        <v>3</v>
      </c>
      <c r="B2734" s="479" t="s">
        <v>291</v>
      </c>
      <c r="C2734" s="480" t="s">
        <v>3391</v>
      </c>
      <c r="D2734" s="481" t="s">
        <v>299</v>
      </c>
      <c r="E2734" s="482">
        <v>31.95</v>
      </c>
      <c r="F2734" s="483" t="s">
        <v>292</v>
      </c>
      <c r="G2734" s="484">
        <v>0</v>
      </c>
      <c r="H2734" s="688" t="str">
        <f t="shared" si="2084"/>
        <v/>
      </c>
      <c r="I2734" s="485">
        <f t="shared" si="2085"/>
        <v>0</v>
      </c>
      <c r="J2734" s="485">
        <f t="shared" si="2086"/>
        <v>0</v>
      </c>
      <c r="K2734" s="715">
        <f t="shared" ref="K2734" si="2089">I2734+J2734</f>
        <v>0</v>
      </c>
      <c r="L2734" s="715"/>
      <c r="M2734" s="689" t="str">
        <f t="shared" ca="1" si="2088"/>
        <v/>
      </c>
      <c r="N2734" s="690"/>
      <c r="O2734" s="486"/>
      <c r="P2734" s="486"/>
      <c r="Q2734" s="486"/>
      <c r="R2734" s="486"/>
      <c r="S2734" s="486"/>
      <c r="T2734" s="102">
        <f t="shared" si="2055"/>
        <v>0</v>
      </c>
      <c r="U2734" s="78">
        <f>IF(NOT(ISNUMBER(G2734)), "", VLOOKUP(A2734,'Discount Lookup'!D:E,2,FALSE)*G2734)</f>
        <v>0</v>
      </c>
      <c r="V2734" s="78">
        <f>IF(NOT(ISNUMBER(G2734)), "", VLOOKUP(A2734,'Discount Lookup'!G:H,2,FALSE)*G2734)</f>
        <v>0</v>
      </c>
      <c r="W2734" s="102">
        <f t="shared" si="2056"/>
        <v>0</v>
      </c>
      <c r="X2734" s="102">
        <f t="shared" si="2057"/>
        <v>0</v>
      </c>
      <c r="Y2734" s="120" t="b">
        <f t="shared" si="2058"/>
        <v>0</v>
      </c>
      <c r="Z2734" s="117">
        <f t="shared" si="2059"/>
        <v>0</v>
      </c>
      <c r="AA2734" s="118"/>
      <c r="AB2734" s="118" t="str">
        <f t="shared" si="2060"/>
        <v/>
      </c>
      <c r="AC2734" s="712" t="str">
        <f>IF(AE2734="T2G","no charge",IF(AND(OR(PlanterYesMe="No",PlanterYesMe="N",PlanterYesMe="me"),H2734=""),"",IF(H2734="credit","NO install",IF(AND(K2734="",AE2734="me"),"EACH row",IF(AND(K2734="images",AE2734="me"),"EACH row",IF(D2734="","",IF(H2734="credit","",IF(AE2734="free","re-planting",IF(AE2734="me","   not ELP, by",IF(AND(OR(PlanterYesMe="Yes",PlanterYesMe="Y"),G2734&gt;0),(VLOOKUP(A2734,'Discount Lookup'!J:K,2)*G2734*(1-PlanterDiscount)*(1+PlanterDifficultyPercentage)),IF(AE2734="ELP",(VLOOKUP(A2734,'Discount Lookup'!J:K,2)*G2734*(1-PlanterDiscount)*(1+PlanterDifficultyPercentage)),IF(AE2734="free","re-planting",IF(G2734=0,"",IF(PlanterYesMe="",IF(AE2734="me","   not ELP, by",IF(AE2734="",IF(G2734&gt;0,(VLOOKUP(A2734,'Discount Lookup'!J:K,2)*G2734*(1-PlanterDiscount)*(1+PlanterDifficultyPercentage)),""),"")),"   not ELP, by"))))))))))))))</f>
        <v/>
      </c>
      <c r="AD2734" s="712"/>
      <c r="AE2734" s="513" t="str">
        <f t="shared" si="2061"/>
        <v/>
      </c>
      <c r="AF2734" s="713" t="str">
        <f t="shared" si="2062"/>
        <v/>
      </c>
      <c r="AG2734" s="713"/>
      <c r="AH2734" s="713"/>
      <c r="AI2734" s="112">
        <f>IF(H2734="credit",0,IF(AE2734="free",0,IF(AE2734="me",0,IF(G2734&gt;0,(VLOOKUP(A2734,'Discount Lookup'!J:K,2)*G2734),0))))</f>
        <v>0</v>
      </c>
      <c r="AJ2734" s="107" t="str">
        <f t="shared" ca="1" si="2063"/>
        <v/>
      </c>
      <c r="AK2734" s="714" t="str">
        <f t="shared" si="2064"/>
        <v/>
      </c>
      <c r="AL2734" s="714"/>
      <c r="AM2734" s="114" t="str">
        <f t="shared" si="2065"/>
        <v/>
      </c>
      <c r="AN2734" s="115"/>
      <c r="AO2734" s="116"/>
      <c r="AP2734" s="116"/>
      <c r="AQ2734" s="116"/>
      <c r="AR2734" s="116"/>
      <c r="AS2734" s="116"/>
      <c r="AT2734" s="116"/>
      <c r="AU2734" s="116"/>
      <c r="AV2734" s="78"/>
      <c r="AW2734" s="102"/>
      <c r="AX2734" s="78"/>
      <c r="AY2734" s="78"/>
      <c r="AZ2734" s="78"/>
      <c r="BA2734" s="78"/>
      <c r="BB2734" s="78"/>
      <c r="BC2734" s="78"/>
      <c r="BD2734" s="78"/>
      <c r="BE2734" s="465"/>
      <c r="BF2734" s="165" t="str">
        <f t="shared" si="2066"/>
        <v>https://www.google.com/search?tbm=isch&amp;q=3%20G4</v>
      </c>
      <c r="BG2734" s="165" t="str">
        <f t="shared" si="2067"/>
        <v>L</v>
      </c>
      <c r="BH2734" s="65"/>
      <c r="BI2734" s="65"/>
      <c r="BJ2734" s="65"/>
      <c r="BK2734" s="65"/>
      <c r="BL2734" s="99"/>
      <c r="BM2734" s="99"/>
      <c r="BN2734" s="99"/>
    </row>
    <row r="2735" spans="1:66" s="51" customFormat="1" ht="15.75" x14ac:dyDescent="0.25">
      <c r="A2735" s="478">
        <v>3</v>
      </c>
      <c r="B2735" s="479" t="s">
        <v>291</v>
      </c>
      <c r="C2735" s="480" t="s">
        <v>3392</v>
      </c>
      <c r="D2735" s="481" t="s">
        <v>311</v>
      </c>
      <c r="E2735" s="482">
        <v>33.950000000000003</v>
      </c>
      <c r="F2735" s="483" t="s">
        <v>292</v>
      </c>
      <c r="G2735" s="484">
        <v>0</v>
      </c>
      <c r="H2735" s="688" t="str">
        <f t="shared" si="2084"/>
        <v/>
      </c>
      <c r="I2735" s="485">
        <f t="shared" si="2085"/>
        <v>0</v>
      </c>
      <c r="J2735" s="485">
        <f t="shared" si="2086"/>
        <v>0</v>
      </c>
      <c r="K2735" s="715">
        <f t="shared" ref="K2735" si="2090">I2735+J2735</f>
        <v>0</v>
      </c>
      <c r="L2735" s="715"/>
      <c r="M2735" s="689" t="str">
        <f t="shared" ca="1" si="2088"/>
        <v/>
      </c>
      <c r="N2735" s="690"/>
      <c r="O2735" s="486"/>
      <c r="P2735" s="486"/>
      <c r="Q2735" s="486"/>
      <c r="R2735" s="486"/>
      <c r="S2735" s="486"/>
      <c r="T2735" s="102">
        <f t="shared" si="2055"/>
        <v>0</v>
      </c>
      <c r="U2735" s="78">
        <f>IF(NOT(ISNUMBER(G2735)), "", VLOOKUP(A2735,'Discount Lookup'!D:E,2,FALSE)*G2735)</f>
        <v>0</v>
      </c>
      <c r="V2735" s="78">
        <f>IF(NOT(ISNUMBER(G2735)), "", VLOOKUP(A2735,'Discount Lookup'!G:H,2,FALSE)*G2735)</f>
        <v>0</v>
      </c>
      <c r="W2735" s="102">
        <f t="shared" si="2056"/>
        <v>0</v>
      </c>
      <c r="X2735" s="102">
        <f t="shared" si="2057"/>
        <v>0</v>
      </c>
      <c r="Y2735" s="120" t="b">
        <f t="shared" si="2058"/>
        <v>0</v>
      </c>
      <c r="Z2735" s="117">
        <f t="shared" si="2059"/>
        <v>0</v>
      </c>
      <c r="AA2735" s="118"/>
      <c r="AB2735" s="118" t="str">
        <f t="shared" si="2060"/>
        <v/>
      </c>
      <c r="AC2735" s="712" t="str">
        <f>IF(AE2735="T2G","no charge",IF(AND(OR(PlanterYesMe="No",PlanterYesMe="N",PlanterYesMe="me"),H2735=""),"",IF(H2735="credit","NO install",IF(AND(K2735="",AE2735="me"),"EACH row",IF(AND(K2735="images",AE2735="me"),"EACH row",IF(D2735="","",IF(H2735="credit","",IF(AE2735="free","re-planting",IF(AE2735="me","   not ELP, by",IF(AND(OR(PlanterYesMe="Yes",PlanterYesMe="Y"),G2735&gt;0),(VLOOKUP(A2735,'Discount Lookup'!J:K,2)*G2735*(1-PlanterDiscount)*(1+PlanterDifficultyPercentage)),IF(AE2735="ELP",(VLOOKUP(A2735,'Discount Lookup'!J:K,2)*G2735*(1-PlanterDiscount)*(1+PlanterDifficultyPercentage)),IF(AE2735="free","re-planting",IF(G2735=0,"",IF(PlanterYesMe="",IF(AE2735="me","   not ELP, by",IF(AE2735="",IF(G2735&gt;0,(VLOOKUP(A2735,'Discount Lookup'!J:K,2)*G2735*(1-PlanterDiscount)*(1+PlanterDifficultyPercentage)),""),"")),"   not ELP, by"))))))))))))))</f>
        <v/>
      </c>
      <c r="AD2735" s="712"/>
      <c r="AE2735" s="513" t="str">
        <f t="shared" si="2061"/>
        <v/>
      </c>
      <c r="AF2735" s="713" t="str">
        <f t="shared" si="2062"/>
        <v/>
      </c>
      <c r="AG2735" s="713"/>
      <c r="AH2735" s="713"/>
      <c r="AI2735" s="112">
        <f>IF(H2735="credit",0,IF(AE2735="free",0,IF(AE2735="me",0,IF(G2735&gt;0,(VLOOKUP(A2735,'Discount Lookup'!J:K,2)*G2735),0))))</f>
        <v>0</v>
      </c>
      <c r="AJ2735" s="107" t="str">
        <f t="shared" ca="1" si="2063"/>
        <v/>
      </c>
      <c r="AK2735" s="714" t="str">
        <f t="shared" si="2064"/>
        <v/>
      </c>
      <c r="AL2735" s="714"/>
      <c r="AM2735" s="114" t="str">
        <f t="shared" si="2065"/>
        <v/>
      </c>
      <c r="AN2735" s="115"/>
      <c r="AO2735" s="116"/>
      <c r="AP2735" s="116"/>
      <c r="AQ2735" s="116"/>
      <c r="AR2735" s="116"/>
      <c r="AS2735" s="116"/>
      <c r="AT2735" s="116"/>
      <c r="AU2735" s="116"/>
      <c r="AV2735" s="78"/>
      <c r="AW2735" s="102"/>
      <c r="AX2735" s="78"/>
      <c r="AY2735" s="78"/>
      <c r="AZ2735" s="78"/>
      <c r="BA2735" s="78"/>
      <c r="BB2735" s="78"/>
      <c r="BC2735" s="78"/>
      <c r="BD2735" s="78"/>
      <c r="BE2735" s="465"/>
      <c r="BF2735" s="165" t="str">
        <f t="shared" si="2066"/>
        <v>https://www.google.com/search?tbm=isch&amp;q=3%20G5</v>
      </c>
      <c r="BG2735" s="165" t="str">
        <f t="shared" si="2067"/>
        <v>L</v>
      </c>
      <c r="BH2735" s="65"/>
      <c r="BI2735" s="65"/>
      <c r="BJ2735" s="65"/>
      <c r="BK2735" s="65"/>
      <c r="BL2735" s="99"/>
      <c r="BM2735" s="99"/>
      <c r="BN2735" s="99"/>
    </row>
    <row r="2736" spans="1:66" s="51" customFormat="1" ht="15.75" x14ac:dyDescent="0.25">
      <c r="A2736" s="478">
        <v>5</v>
      </c>
      <c r="B2736" s="479" t="s">
        <v>291</v>
      </c>
      <c r="C2736" s="480" t="s">
        <v>3393</v>
      </c>
      <c r="D2736" s="481" t="s">
        <v>309</v>
      </c>
      <c r="E2736" s="482">
        <v>41.95</v>
      </c>
      <c r="F2736" s="483" t="s">
        <v>292</v>
      </c>
      <c r="G2736" s="484">
        <v>0</v>
      </c>
      <c r="H2736" s="688" t="str">
        <f t="shared" si="2084"/>
        <v/>
      </c>
      <c r="I2736" s="485">
        <f t="shared" si="2085"/>
        <v>0</v>
      </c>
      <c r="J2736" s="485">
        <f t="shared" si="2086"/>
        <v>0</v>
      </c>
      <c r="K2736" s="715">
        <f t="shared" ref="K2736" si="2091">I2736+J2736</f>
        <v>0</v>
      </c>
      <c r="L2736" s="715"/>
      <c r="M2736" s="689" t="str">
        <f t="shared" ca="1" si="2088"/>
        <v/>
      </c>
      <c r="N2736" s="690"/>
      <c r="O2736" s="486"/>
      <c r="P2736" s="486"/>
      <c r="Q2736" s="486"/>
      <c r="R2736" s="486"/>
      <c r="S2736" s="486"/>
      <c r="T2736" s="102">
        <f t="shared" si="2055"/>
        <v>0</v>
      </c>
      <c r="U2736" s="78">
        <f>IF(NOT(ISNUMBER(G2736)), "", VLOOKUP(A2736,'Discount Lookup'!D:E,2,FALSE)*G2736)</f>
        <v>0</v>
      </c>
      <c r="V2736" s="78">
        <f>IF(NOT(ISNUMBER(G2736)), "", VLOOKUP(A2736,'Discount Lookup'!G:H,2,FALSE)*G2736)</f>
        <v>0</v>
      </c>
      <c r="W2736" s="102">
        <f t="shared" si="2056"/>
        <v>0</v>
      </c>
      <c r="X2736" s="102">
        <f t="shared" si="2057"/>
        <v>0</v>
      </c>
      <c r="Y2736" s="120" t="b">
        <f t="shared" si="2058"/>
        <v>0</v>
      </c>
      <c r="Z2736" s="117">
        <f t="shared" si="2059"/>
        <v>0</v>
      </c>
      <c r="AA2736" s="118"/>
      <c r="AB2736" s="118" t="str">
        <f t="shared" si="2060"/>
        <v/>
      </c>
      <c r="AC2736" s="712" t="str">
        <f>IF(AE2736="T2G","no charge",IF(AND(OR(PlanterYesMe="No",PlanterYesMe="N",PlanterYesMe="me"),H2736=""),"",IF(H2736="credit","NO install",IF(AND(K2736="",AE2736="me"),"EACH row",IF(AND(K2736="images",AE2736="me"),"EACH row",IF(D2736="","",IF(H2736="credit","",IF(AE2736="free","re-planting",IF(AE2736="me","   not ELP, by",IF(AND(OR(PlanterYesMe="Yes",PlanterYesMe="Y"),G2736&gt;0),(VLOOKUP(A2736,'Discount Lookup'!J:K,2)*G2736*(1-PlanterDiscount)*(1+PlanterDifficultyPercentage)),IF(AE2736="ELP",(VLOOKUP(A2736,'Discount Lookup'!J:K,2)*G2736*(1-PlanterDiscount)*(1+PlanterDifficultyPercentage)),IF(AE2736="free","re-planting",IF(G2736=0,"",IF(PlanterYesMe="",IF(AE2736="me","   not ELP, by",IF(AE2736="",IF(G2736&gt;0,(VLOOKUP(A2736,'Discount Lookup'!J:K,2)*G2736*(1-PlanterDiscount)*(1+PlanterDifficultyPercentage)),""),"")),"   not ELP, by"))))))))))))))</f>
        <v/>
      </c>
      <c r="AD2736" s="712"/>
      <c r="AE2736" s="513" t="str">
        <f t="shared" si="2061"/>
        <v/>
      </c>
      <c r="AF2736" s="713" t="str">
        <f t="shared" si="2062"/>
        <v/>
      </c>
      <c r="AG2736" s="713"/>
      <c r="AH2736" s="713"/>
      <c r="AI2736" s="112">
        <f>IF(H2736="credit",0,IF(AE2736="free",0,IF(AE2736="me",0,IF(G2736&gt;0,(VLOOKUP(A2736,'Discount Lookup'!J:K,2)*G2736),0))))</f>
        <v>0</v>
      </c>
      <c r="AJ2736" s="107" t="str">
        <f t="shared" ca="1" si="2063"/>
        <v/>
      </c>
      <c r="AK2736" s="714" t="str">
        <f t="shared" si="2064"/>
        <v/>
      </c>
      <c r="AL2736" s="714"/>
      <c r="AM2736" s="114" t="str">
        <f t="shared" si="2065"/>
        <v/>
      </c>
      <c r="AN2736" s="115"/>
      <c r="AO2736" s="116"/>
      <c r="AP2736" s="116"/>
      <c r="AQ2736" s="116"/>
      <c r="AR2736" s="116"/>
      <c r="AS2736" s="116"/>
      <c r="AT2736" s="116"/>
      <c r="AU2736" s="116"/>
      <c r="AV2736" s="78"/>
      <c r="AW2736" s="102"/>
      <c r="AX2736" s="78"/>
      <c r="AY2736" s="78"/>
      <c r="AZ2736" s="78"/>
      <c r="BA2736" s="78"/>
      <c r="BB2736" s="78"/>
      <c r="BC2736" s="78"/>
      <c r="BD2736" s="78"/>
      <c r="BE2736" s="465"/>
      <c r="BF2736" s="165" t="str">
        <f t="shared" si="2066"/>
        <v>https://www.google.com/search?tbm=isch&amp;q=5%20G3</v>
      </c>
      <c r="BG2736" s="165" t="str">
        <f t="shared" si="2067"/>
        <v>L</v>
      </c>
      <c r="BH2736" s="65"/>
      <c r="BI2736" s="65"/>
      <c r="BJ2736" s="65"/>
      <c r="BK2736" s="65"/>
      <c r="BL2736" s="99"/>
      <c r="BM2736" s="99"/>
      <c r="BN2736" s="99"/>
    </row>
    <row r="2737" spans="1:66" s="51" customFormat="1" ht="15.75" x14ac:dyDescent="0.25">
      <c r="A2737" s="478">
        <v>3</v>
      </c>
      <c r="B2737" s="479" t="s">
        <v>291</v>
      </c>
      <c r="C2737" s="480" t="s">
        <v>4630</v>
      </c>
      <c r="D2737" s="481" t="s">
        <v>293</v>
      </c>
      <c r="E2737" s="482">
        <v>49.95</v>
      </c>
      <c r="F2737" s="483" t="s">
        <v>292</v>
      </c>
      <c r="G2737" s="484">
        <v>0</v>
      </c>
      <c r="H2737" s="688" t="str">
        <f t="shared" si="2084"/>
        <v/>
      </c>
      <c r="I2737" s="485">
        <f t="shared" si="2085"/>
        <v>0</v>
      </c>
      <c r="J2737" s="485">
        <f t="shared" si="2086"/>
        <v>0</v>
      </c>
      <c r="K2737" s="715">
        <f t="shared" ref="K2737" si="2092">I2737+J2737</f>
        <v>0</v>
      </c>
      <c r="L2737" s="715"/>
      <c r="M2737" s="689" t="str">
        <f t="shared" ca="1" si="2088"/>
        <v/>
      </c>
      <c r="N2737" s="690"/>
      <c r="O2737" s="486"/>
      <c r="P2737" s="486"/>
      <c r="Q2737" s="486"/>
      <c r="R2737" s="486"/>
      <c r="S2737" s="486"/>
      <c r="T2737" s="102">
        <f t="shared" si="2055"/>
        <v>0</v>
      </c>
      <c r="U2737" s="78">
        <f>IF(NOT(ISNUMBER(G2737)), "", VLOOKUP(A2737,'Discount Lookup'!D:E,2,FALSE)*G2737)</f>
        <v>0</v>
      </c>
      <c r="V2737" s="78">
        <f>IF(NOT(ISNUMBER(G2737)), "", VLOOKUP(A2737,'Discount Lookup'!G:H,2,FALSE)*G2737)</f>
        <v>0</v>
      </c>
      <c r="W2737" s="102">
        <f t="shared" si="2056"/>
        <v>0</v>
      </c>
      <c r="X2737" s="102">
        <f t="shared" si="2057"/>
        <v>0</v>
      </c>
      <c r="Y2737" s="120" t="b">
        <f t="shared" si="2058"/>
        <v>0</v>
      </c>
      <c r="Z2737" s="117">
        <f t="shared" si="2059"/>
        <v>0</v>
      </c>
      <c r="AA2737" s="118"/>
      <c r="AB2737" s="118" t="str">
        <f t="shared" si="2060"/>
        <v/>
      </c>
      <c r="AC2737" s="712" t="str">
        <f>IF(AE2737="T2G","no charge",IF(AND(OR(PlanterYesMe="No",PlanterYesMe="N",PlanterYesMe="me"),H2737=""),"",IF(H2737="credit","NO install",IF(AND(K2737="",AE2737="me"),"EACH row",IF(AND(K2737="images",AE2737="me"),"EACH row",IF(D2737="","",IF(H2737="credit","",IF(AE2737="free","re-planting",IF(AE2737="me","   not ELP, by",IF(AND(OR(PlanterYesMe="Yes",PlanterYesMe="Y"),G2737&gt;0),(VLOOKUP(A2737,'Discount Lookup'!J:K,2)*G2737*(1-PlanterDiscount)*(1+PlanterDifficultyPercentage)),IF(AE2737="ELP",(VLOOKUP(A2737,'Discount Lookup'!J:K,2)*G2737*(1-PlanterDiscount)*(1+PlanterDifficultyPercentage)),IF(AE2737="free","re-planting",IF(G2737=0,"",IF(PlanterYesMe="",IF(AE2737="me","   not ELP, by",IF(AE2737="",IF(G2737&gt;0,(VLOOKUP(A2737,'Discount Lookup'!J:K,2)*G2737*(1-PlanterDiscount)*(1+PlanterDifficultyPercentage)),""),"")),"   not ELP, by"))))))))))))))</f>
        <v/>
      </c>
      <c r="AD2737" s="712"/>
      <c r="AE2737" s="513" t="str">
        <f t="shared" si="2061"/>
        <v/>
      </c>
      <c r="AF2737" s="713" t="str">
        <f t="shared" si="2062"/>
        <v/>
      </c>
      <c r="AG2737" s="713"/>
      <c r="AH2737" s="713"/>
      <c r="AI2737" s="112">
        <f>IF(H2737="credit",0,IF(AE2737="free",0,IF(AE2737="me",0,IF(G2737&gt;0,(VLOOKUP(A2737,'Discount Lookup'!J:K,2)*G2737),0))))</f>
        <v>0</v>
      </c>
      <c r="AJ2737" s="107" t="str">
        <f t="shared" ca="1" si="2063"/>
        <v/>
      </c>
      <c r="AK2737" s="714" t="str">
        <f t="shared" si="2064"/>
        <v/>
      </c>
      <c r="AL2737" s="714"/>
      <c r="AM2737" s="114" t="str">
        <f t="shared" si="2065"/>
        <v/>
      </c>
      <c r="AN2737" s="115"/>
      <c r="AO2737" s="116"/>
      <c r="AP2737" s="116"/>
      <c r="AQ2737" s="116"/>
      <c r="AR2737" s="116"/>
      <c r="AS2737" s="116"/>
      <c r="AT2737" s="116"/>
      <c r="AU2737" s="116"/>
      <c r="AV2737" s="78"/>
      <c r="AW2737" s="102"/>
      <c r="AX2737" s="78"/>
      <c r="AY2737" s="78"/>
      <c r="AZ2737" s="78"/>
      <c r="BA2737" s="78"/>
      <c r="BB2737" s="78"/>
      <c r="BC2737" s="78"/>
      <c r="BD2737" s="78"/>
      <c r="BE2737" s="465"/>
      <c r="BF2737" s="165" t="str">
        <f t="shared" si="2066"/>
        <v>https://www.google.com/search?tbm=isch&amp;q=3%20G6</v>
      </c>
      <c r="BG2737" s="165" t="str">
        <f t="shared" si="2067"/>
        <v>L</v>
      </c>
      <c r="BH2737" s="65"/>
      <c r="BI2737" s="65"/>
      <c r="BJ2737" s="65"/>
      <c r="BK2737" s="65"/>
      <c r="BL2737" s="99"/>
      <c r="BM2737" s="99"/>
      <c r="BN2737" s="99"/>
    </row>
    <row r="2738" spans="1:66" s="51" customFormat="1" ht="27" x14ac:dyDescent="0.25">
      <c r="A2738" s="478">
        <v>5</v>
      </c>
      <c r="B2738" s="479" t="s">
        <v>291</v>
      </c>
      <c r="C2738" s="480" t="s">
        <v>5188</v>
      </c>
      <c r="D2738" s="481" t="s">
        <v>299</v>
      </c>
      <c r="E2738" s="482">
        <v>63.95</v>
      </c>
      <c r="F2738" s="483" t="s">
        <v>292</v>
      </c>
      <c r="G2738" s="484">
        <v>0</v>
      </c>
      <c r="H2738" s="688" t="str">
        <f t="shared" si="2084"/>
        <v/>
      </c>
      <c r="I2738" s="485">
        <f t="shared" si="2085"/>
        <v>0</v>
      </c>
      <c r="J2738" s="485">
        <f t="shared" si="2086"/>
        <v>0</v>
      </c>
      <c r="K2738" s="715">
        <f t="shared" ref="K2738" si="2093">I2738+J2738</f>
        <v>0</v>
      </c>
      <c r="L2738" s="715"/>
      <c r="M2738" s="689" t="str">
        <f t="shared" ca="1" si="2088"/>
        <v/>
      </c>
      <c r="N2738" s="690"/>
      <c r="O2738" s="486"/>
      <c r="P2738" s="486"/>
      <c r="Q2738" s="486"/>
      <c r="R2738" s="486"/>
      <c r="S2738" s="486"/>
      <c r="T2738" s="102">
        <f t="shared" si="2055"/>
        <v>0</v>
      </c>
      <c r="U2738" s="78">
        <f>IF(NOT(ISNUMBER(G2738)), "", VLOOKUP(A2738,'Discount Lookup'!D:E,2,FALSE)*G2738)</f>
        <v>0</v>
      </c>
      <c r="V2738" s="78">
        <f>IF(NOT(ISNUMBER(G2738)), "", VLOOKUP(A2738,'Discount Lookup'!G:H,2,FALSE)*G2738)</f>
        <v>0</v>
      </c>
      <c r="W2738" s="102">
        <f t="shared" si="2056"/>
        <v>0</v>
      </c>
      <c r="X2738" s="102">
        <f t="shared" si="2057"/>
        <v>0</v>
      </c>
      <c r="Y2738" s="120" t="b">
        <f t="shared" si="2058"/>
        <v>0</v>
      </c>
      <c r="Z2738" s="117">
        <f t="shared" si="2059"/>
        <v>0</v>
      </c>
      <c r="AA2738" s="118"/>
      <c r="AB2738" s="118" t="str">
        <f t="shared" si="2060"/>
        <v/>
      </c>
      <c r="AC2738" s="712" t="str">
        <f>IF(AE2738="T2G","no charge",IF(AND(OR(PlanterYesMe="No",PlanterYesMe="N",PlanterYesMe="me"),H2738=""),"",IF(H2738="credit","NO install",IF(AND(K2738="",AE2738="me"),"EACH row",IF(AND(K2738="images",AE2738="me"),"EACH row",IF(D2738="","",IF(H2738="credit","",IF(AE2738="free","re-planting",IF(AE2738="me","   not ELP, by",IF(AND(OR(PlanterYesMe="Yes",PlanterYesMe="Y"),G2738&gt;0),(VLOOKUP(A2738,'Discount Lookup'!J:K,2)*G2738*(1-PlanterDiscount)*(1+PlanterDifficultyPercentage)),IF(AE2738="ELP",(VLOOKUP(A2738,'Discount Lookup'!J:K,2)*G2738*(1-PlanterDiscount)*(1+PlanterDifficultyPercentage)),IF(AE2738="free","re-planting",IF(G2738=0,"",IF(PlanterYesMe="",IF(AE2738="me","   not ELP, by",IF(AE2738="",IF(G2738&gt;0,(VLOOKUP(A2738,'Discount Lookup'!J:K,2)*G2738*(1-PlanterDiscount)*(1+PlanterDifficultyPercentage)),""),"")),"   not ELP, by"))))))))))))))</f>
        <v/>
      </c>
      <c r="AD2738" s="712"/>
      <c r="AE2738" s="513" t="str">
        <f t="shared" si="2061"/>
        <v/>
      </c>
      <c r="AF2738" s="713" t="str">
        <f t="shared" si="2062"/>
        <v/>
      </c>
      <c r="AG2738" s="713"/>
      <c r="AH2738" s="713"/>
      <c r="AI2738" s="112">
        <f>IF(H2738="credit",0,IF(AE2738="free",0,IF(AE2738="me",0,IF(G2738&gt;0,(VLOOKUP(A2738,'Discount Lookup'!J:K,2)*G2738),0))))</f>
        <v>0</v>
      </c>
      <c r="AJ2738" s="107" t="str">
        <f t="shared" ca="1" si="2063"/>
        <v/>
      </c>
      <c r="AK2738" s="714" t="str">
        <f t="shared" si="2064"/>
        <v/>
      </c>
      <c r="AL2738" s="714"/>
      <c r="AM2738" s="114" t="str">
        <f t="shared" si="2065"/>
        <v/>
      </c>
      <c r="AN2738" s="115"/>
      <c r="AO2738" s="116"/>
      <c r="AP2738" s="116"/>
      <c r="AQ2738" s="116"/>
      <c r="AR2738" s="116"/>
      <c r="AS2738" s="116"/>
      <c r="AT2738" s="116"/>
      <c r="AU2738" s="116"/>
      <c r="AV2738" s="78"/>
      <c r="AW2738" s="102"/>
      <c r="AX2738" s="78"/>
      <c r="AY2738" s="78"/>
      <c r="AZ2738" s="78"/>
      <c r="BA2738" s="78"/>
      <c r="BB2738" s="78"/>
      <c r="BC2738" s="78"/>
      <c r="BD2738" s="78"/>
      <c r="BE2738" s="465"/>
      <c r="BF2738" s="165" t="str">
        <f t="shared" si="2066"/>
        <v>https://www.google.com/search?tbm=isch&amp;q=5%20G4</v>
      </c>
      <c r="BG2738" s="165" t="str">
        <f t="shared" si="2067"/>
        <v>L</v>
      </c>
      <c r="BH2738" s="65"/>
      <c r="BI2738" s="65"/>
      <c r="BJ2738" s="65"/>
      <c r="BK2738" s="65"/>
      <c r="BL2738" s="99"/>
      <c r="BM2738" s="99"/>
      <c r="BN2738" s="99"/>
    </row>
    <row r="2739" spans="1:66" s="51" customFormat="1" ht="15.75" x14ac:dyDescent="0.25">
      <c r="A2739" s="478">
        <v>7</v>
      </c>
      <c r="B2739" s="479" t="s">
        <v>291</v>
      </c>
      <c r="C2739" s="480" t="s">
        <v>3394</v>
      </c>
      <c r="D2739" s="481" t="s">
        <v>311</v>
      </c>
      <c r="E2739" s="482">
        <v>68.95</v>
      </c>
      <c r="F2739" s="483" t="s">
        <v>292</v>
      </c>
      <c r="G2739" s="484">
        <v>0</v>
      </c>
      <c r="H2739" s="688" t="str">
        <f t="shared" si="2084"/>
        <v/>
      </c>
      <c r="I2739" s="485">
        <f t="shared" si="2085"/>
        <v>0</v>
      </c>
      <c r="J2739" s="485">
        <f t="shared" si="2086"/>
        <v>0</v>
      </c>
      <c r="K2739" s="715">
        <f t="shared" ref="K2739" si="2094">I2739+J2739</f>
        <v>0</v>
      </c>
      <c r="L2739" s="715"/>
      <c r="M2739" s="689" t="str">
        <f t="shared" ca="1" si="2088"/>
        <v/>
      </c>
      <c r="N2739" s="690"/>
      <c r="O2739" s="486"/>
      <c r="P2739" s="486"/>
      <c r="Q2739" s="486"/>
      <c r="R2739" s="486"/>
      <c r="S2739" s="486"/>
      <c r="T2739" s="102">
        <f t="shared" si="2055"/>
        <v>0</v>
      </c>
      <c r="U2739" s="78">
        <f>IF(NOT(ISNUMBER(G2739)), "", VLOOKUP(A2739,'Discount Lookup'!D:E,2,FALSE)*G2739)</f>
        <v>0</v>
      </c>
      <c r="V2739" s="78">
        <f>IF(NOT(ISNUMBER(G2739)), "", VLOOKUP(A2739,'Discount Lookup'!G:H,2,FALSE)*G2739)</f>
        <v>0</v>
      </c>
      <c r="W2739" s="102">
        <f t="shared" si="2056"/>
        <v>0</v>
      </c>
      <c r="X2739" s="102">
        <f t="shared" si="2057"/>
        <v>0</v>
      </c>
      <c r="Y2739" s="120" t="b">
        <f t="shared" si="2058"/>
        <v>0</v>
      </c>
      <c r="Z2739" s="117">
        <f t="shared" si="2059"/>
        <v>0</v>
      </c>
      <c r="AA2739" s="118"/>
      <c r="AB2739" s="118" t="str">
        <f t="shared" si="2060"/>
        <v/>
      </c>
      <c r="AC2739" s="712" t="str">
        <f>IF(AE2739="T2G","no charge",IF(AND(OR(PlanterYesMe="No",PlanterYesMe="N",PlanterYesMe="me"),H2739=""),"",IF(H2739="credit","NO install",IF(AND(K2739="",AE2739="me"),"EACH row",IF(AND(K2739="images",AE2739="me"),"EACH row",IF(D2739="","",IF(H2739="credit","",IF(AE2739="free","re-planting",IF(AE2739="me","   not ELP, by",IF(AND(OR(PlanterYesMe="Yes",PlanterYesMe="Y"),G2739&gt;0),(VLOOKUP(A2739,'Discount Lookup'!J:K,2)*G2739*(1-PlanterDiscount)*(1+PlanterDifficultyPercentage)),IF(AE2739="ELP",(VLOOKUP(A2739,'Discount Lookup'!J:K,2)*G2739*(1-PlanterDiscount)*(1+PlanterDifficultyPercentage)),IF(AE2739="free","re-planting",IF(G2739=0,"",IF(PlanterYesMe="",IF(AE2739="me","   not ELP, by",IF(AE2739="",IF(G2739&gt;0,(VLOOKUP(A2739,'Discount Lookup'!J:K,2)*G2739*(1-PlanterDiscount)*(1+PlanterDifficultyPercentage)),""),"")),"   not ELP, by"))))))))))))))</f>
        <v/>
      </c>
      <c r="AD2739" s="712"/>
      <c r="AE2739" s="513" t="str">
        <f t="shared" si="2061"/>
        <v/>
      </c>
      <c r="AF2739" s="713" t="str">
        <f t="shared" si="2062"/>
        <v/>
      </c>
      <c r="AG2739" s="713"/>
      <c r="AH2739" s="713"/>
      <c r="AI2739" s="112">
        <f>IF(H2739="credit",0,IF(AE2739="free",0,IF(AE2739="me",0,IF(G2739&gt;0,(VLOOKUP(A2739,'Discount Lookup'!J:K,2)*G2739),0))))</f>
        <v>0</v>
      </c>
      <c r="AJ2739" s="107" t="str">
        <f t="shared" ca="1" si="2063"/>
        <v/>
      </c>
      <c r="AK2739" s="714" t="str">
        <f t="shared" si="2064"/>
        <v/>
      </c>
      <c r="AL2739" s="714"/>
      <c r="AM2739" s="114" t="str">
        <f t="shared" si="2065"/>
        <v/>
      </c>
      <c r="AN2739" s="115"/>
      <c r="AO2739" s="116"/>
      <c r="AP2739" s="116"/>
      <c r="AQ2739" s="116"/>
      <c r="AR2739" s="116"/>
      <c r="AS2739" s="116"/>
      <c r="AT2739" s="116"/>
      <c r="AU2739" s="116"/>
      <c r="AV2739" s="78"/>
      <c r="AW2739" s="102"/>
      <c r="AX2739" s="78"/>
      <c r="AY2739" s="78"/>
      <c r="AZ2739" s="78"/>
      <c r="BA2739" s="78"/>
      <c r="BB2739" s="78"/>
      <c r="BC2739" s="78"/>
      <c r="BD2739" s="78"/>
      <c r="BE2739" s="465"/>
      <c r="BF2739" s="165" t="str">
        <f t="shared" si="2066"/>
        <v>https://www.google.com/search?tbm=isch&amp;q=7%20G5</v>
      </c>
      <c r="BG2739" s="165" t="str">
        <f t="shared" si="2067"/>
        <v>L</v>
      </c>
      <c r="BH2739" s="65"/>
      <c r="BI2739" s="65"/>
      <c r="BJ2739" s="65"/>
      <c r="BK2739" s="65"/>
      <c r="BL2739" s="99"/>
      <c r="BM2739" s="99"/>
      <c r="BN2739" s="99"/>
    </row>
    <row r="2740" spans="1:66" s="51" customFormat="1" ht="15.75" x14ac:dyDescent="0.25">
      <c r="A2740" s="478">
        <v>7</v>
      </c>
      <c r="B2740" s="479" t="s">
        <v>291</v>
      </c>
      <c r="C2740" s="480" t="s">
        <v>3395</v>
      </c>
      <c r="D2740" s="481" t="s">
        <v>299</v>
      </c>
      <c r="E2740" s="482">
        <v>137.94999999999999</v>
      </c>
      <c r="F2740" s="483" t="s">
        <v>292</v>
      </c>
      <c r="G2740" s="484">
        <v>0</v>
      </c>
      <c r="H2740" s="688" t="str">
        <f t="shared" si="2084"/>
        <v/>
      </c>
      <c r="I2740" s="485">
        <f t="shared" si="2085"/>
        <v>0</v>
      </c>
      <c r="J2740" s="485">
        <f t="shared" si="2086"/>
        <v>0</v>
      </c>
      <c r="K2740" s="715">
        <f t="shared" ref="K2740" si="2095">I2740+J2740</f>
        <v>0</v>
      </c>
      <c r="L2740" s="715"/>
      <c r="M2740" s="689" t="str">
        <f t="shared" ca="1" si="2088"/>
        <v/>
      </c>
      <c r="N2740" s="690"/>
      <c r="O2740" s="486"/>
      <c r="P2740" s="486"/>
      <c r="Q2740" s="486"/>
      <c r="R2740" s="486"/>
      <c r="S2740" s="486"/>
      <c r="T2740" s="102">
        <f t="shared" si="2055"/>
        <v>0</v>
      </c>
      <c r="U2740" s="78">
        <f>IF(NOT(ISNUMBER(G2740)), "", VLOOKUP(A2740,'Discount Lookup'!D:E,2,FALSE)*G2740)</f>
        <v>0</v>
      </c>
      <c r="V2740" s="78">
        <f>IF(NOT(ISNUMBER(G2740)), "", VLOOKUP(A2740,'Discount Lookup'!G:H,2,FALSE)*G2740)</f>
        <v>0</v>
      </c>
      <c r="W2740" s="102">
        <f t="shared" si="2056"/>
        <v>0</v>
      </c>
      <c r="X2740" s="102">
        <f t="shared" si="2057"/>
        <v>0</v>
      </c>
      <c r="Y2740" s="120" t="b">
        <f t="shared" si="2058"/>
        <v>0</v>
      </c>
      <c r="Z2740" s="117">
        <f t="shared" si="2059"/>
        <v>0</v>
      </c>
      <c r="AA2740" s="118"/>
      <c r="AB2740" s="118" t="str">
        <f t="shared" si="2060"/>
        <v/>
      </c>
      <c r="AC2740" s="712" t="str">
        <f>IF(AE2740="T2G","no charge",IF(AND(OR(PlanterYesMe="No",PlanterYesMe="N",PlanterYesMe="me"),H2740=""),"",IF(H2740="credit","NO install",IF(AND(K2740="",AE2740="me"),"EACH row",IF(AND(K2740="images",AE2740="me"),"EACH row",IF(D2740="","",IF(H2740="credit","",IF(AE2740="free","re-planting",IF(AE2740="me","   not ELP, by",IF(AND(OR(PlanterYesMe="Yes",PlanterYesMe="Y"),G2740&gt;0),(VLOOKUP(A2740,'Discount Lookup'!J:K,2)*G2740*(1-PlanterDiscount)*(1+PlanterDifficultyPercentage)),IF(AE2740="ELP",(VLOOKUP(A2740,'Discount Lookup'!J:K,2)*G2740*(1-PlanterDiscount)*(1+PlanterDifficultyPercentage)),IF(AE2740="free","re-planting",IF(G2740=0,"",IF(PlanterYesMe="",IF(AE2740="me","   not ELP, by",IF(AE2740="",IF(G2740&gt;0,(VLOOKUP(A2740,'Discount Lookup'!J:K,2)*G2740*(1-PlanterDiscount)*(1+PlanterDifficultyPercentage)),""),"")),"   not ELP, by"))))))))))))))</f>
        <v/>
      </c>
      <c r="AD2740" s="712"/>
      <c r="AE2740" s="513" t="str">
        <f t="shared" si="2061"/>
        <v/>
      </c>
      <c r="AF2740" s="713" t="str">
        <f t="shared" si="2062"/>
        <v/>
      </c>
      <c r="AG2740" s="713"/>
      <c r="AH2740" s="713"/>
      <c r="AI2740" s="112">
        <f>IF(H2740="credit",0,IF(AE2740="free",0,IF(AE2740="me",0,IF(G2740&gt;0,(VLOOKUP(A2740,'Discount Lookup'!J:K,2)*G2740),0))))</f>
        <v>0</v>
      </c>
      <c r="AJ2740" s="107" t="str">
        <f t="shared" ca="1" si="2063"/>
        <v/>
      </c>
      <c r="AK2740" s="714" t="str">
        <f t="shared" si="2064"/>
        <v/>
      </c>
      <c r="AL2740" s="714"/>
      <c r="AM2740" s="114" t="str">
        <f t="shared" si="2065"/>
        <v/>
      </c>
      <c r="AN2740" s="115"/>
      <c r="AO2740" s="116"/>
      <c r="AP2740" s="116"/>
      <c r="AQ2740" s="116"/>
      <c r="AR2740" s="116"/>
      <c r="AS2740" s="116"/>
      <c r="AT2740" s="116"/>
      <c r="AU2740" s="116"/>
      <c r="AV2740" s="78"/>
      <c r="AW2740" s="102"/>
      <c r="AX2740" s="78"/>
      <c r="AY2740" s="78"/>
      <c r="AZ2740" s="78"/>
      <c r="BA2740" s="78"/>
      <c r="BB2740" s="78"/>
      <c r="BC2740" s="78"/>
      <c r="BD2740" s="78"/>
      <c r="BE2740" s="465"/>
      <c r="BF2740" s="165" t="str">
        <f t="shared" si="2066"/>
        <v>https://www.google.com/search?tbm=isch&amp;q=7%20G4</v>
      </c>
      <c r="BG2740" s="165" t="str">
        <f t="shared" si="2067"/>
        <v>L</v>
      </c>
      <c r="BH2740" s="65"/>
      <c r="BI2740" s="65"/>
      <c r="BJ2740" s="65"/>
      <c r="BK2740" s="65"/>
      <c r="BL2740" s="99"/>
      <c r="BM2740" s="99"/>
      <c r="BN2740" s="99"/>
    </row>
    <row r="2741" spans="1:66" s="51" customFormat="1" ht="16.5" thickBot="1" x14ac:dyDescent="0.3">
      <c r="A2741" s="508" t="s">
        <v>3396</v>
      </c>
      <c r="B2741" s="487"/>
      <c r="C2741" s="707"/>
      <c r="D2741" s="487"/>
      <c r="E2741" s="487"/>
      <c r="F2741" s="488"/>
      <c r="G2741" s="489"/>
      <c r="H2741" s="487"/>
      <c r="I2741" s="490"/>
      <c r="J2741" s="490"/>
      <c r="K2741" s="491"/>
      <c r="L2741" s="547"/>
      <c r="M2741" s="528"/>
      <c r="N2741" s="492"/>
      <c r="O2741" s="493"/>
      <c r="P2741" s="494"/>
      <c r="Q2741" s="492"/>
      <c r="R2741" s="492"/>
      <c r="S2741" s="495"/>
      <c r="T2741" s="102">
        <f t="shared" si="2055"/>
        <v>0</v>
      </c>
      <c r="U2741" s="78" t="str">
        <f>IF(NOT(ISNUMBER(G2741)), "", VLOOKUP(A2741,'Discount Lookup'!D:E,2,FALSE)*G2741)</f>
        <v/>
      </c>
      <c r="V2741" s="78" t="str">
        <f>IF(NOT(ISNUMBER(G2741)), "", VLOOKUP(A2741,'Discount Lookup'!G:H,2,FALSE)*G2741)</f>
        <v/>
      </c>
      <c r="W2741" s="102">
        <f t="shared" si="2056"/>
        <v>0</v>
      </c>
      <c r="X2741" s="102">
        <f t="shared" si="2057"/>
        <v>0</v>
      </c>
      <c r="Y2741" s="120" t="b">
        <f t="shared" si="2058"/>
        <v>0</v>
      </c>
      <c r="Z2741" s="117">
        <f t="shared" si="2059"/>
        <v>0</v>
      </c>
      <c r="AA2741" s="118"/>
      <c r="AB2741" s="118" t="str">
        <f t="shared" si="2060"/>
        <v/>
      </c>
      <c r="AC2741" s="712" t="str">
        <f>IF(AE2741="T2G","no charge",IF(AND(OR(PlanterYesMe="No",PlanterYesMe="N",PlanterYesMe="me"),H2741=""),"",IF(H2741="credit","NO install",IF(AND(K2741="",AE2741="me"),"EACH row",IF(AND(K2741="images",AE2741="me"),"EACH row",IF(D2741="","",IF(H2741="credit","",IF(AE2741="free","re-planting",IF(AE2741="me","   not ELP, by",IF(AND(OR(PlanterYesMe="Yes",PlanterYesMe="Y"),G2741&gt;0),(VLOOKUP(A2741,'Discount Lookup'!J:K,2)*G2741*(1-PlanterDiscount)*(1+PlanterDifficultyPercentage)),IF(AE2741="ELP",(VLOOKUP(A2741,'Discount Lookup'!J:K,2)*G2741*(1-PlanterDiscount)*(1+PlanterDifficultyPercentage)),IF(AE2741="free","re-planting",IF(G2741=0,"",IF(PlanterYesMe="",IF(AE2741="me","   not ELP, by",IF(AE2741="",IF(G2741&gt;0,(VLOOKUP(A2741,'Discount Lookup'!J:K,2)*G2741*(1-PlanterDiscount)*(1+PlanterDifficultyPercentage)),""),"")),"   not ELP, by"))))))))))))))</f>
        <v/>
      </c>
      <c r="AD2741" s="712"/>
      <c r="AE2741" s="513" t="str">
        <f t="shared" si="2061"/>
        <v/>
      </c>
      <c r="AF2741" s="713" t="str">
        <f t="shared" si="2062"/>
        <v/>
      </c>
      <c r="AG2741" s="713"/>
      <c r="AH2741" s="713"/>
      <c r="AI2741" s="112">
        <f>IF(H2741="credit",0,IF(AE2741="free",0,IF(AE2741="me",0,IF(G2741&gt;0,(VLOOKUP(A2741,'Discount Lookup'!J:K,2)*G2741),0))))</f>
        <v>0</v>
      </c>
      <c r="AJ2741" s="107" t="str">
        <f t="shared" ca="1" si="2063"/>
        <v/>
      </c>
      <c r="AK2741" s="714" t="str">
        <f t="shared" si="2064"/>
        <v/>
      </c>
      <c r="AL2741" s="714"/>
      <c r="AM2741" s="114" t="str">
        <f t="shared" si="2065"/>
        <v/>
      </c>
      <c r="AN2741" s="115"/>
      <c r="AO2741" s="116"/>
      <c r="AP2741" s="116"/>
      <c r="AQ2741" s="116"/>
      <c r="AR2741" s="116"/>
      <c r="AS2741" s="116"/>
      <c r="AT2741" s="116"/>
      <c r="AU2741" s="116"/>
      <c r="AV2741" s="78"/>
      <c r="AW2741" s="102"/>
      <c r="AX2741" s="78"/>
      <c r="AY2741" s="78"/>
      <c r="AZ2741" s="78"/>
      <c r="BA2741" s="78"/>
      <c r="BB2741" s="78"/>
      <c r="BC2741" s="78"/>
      <c r="BD2741" s="78"/>
      <c r="BE2741" s="465"/>
      <c r="BF2741" s="165" t="str">
        <f t="shared" si="2066"/>
        <v>https://www.google.com/search?tbm=isch&amp;q=Dark%20Fire%20named%20for%20very%20Deep%20Plum-Dark%20Purple%20foliage.%20Fringe-like%20flowers%20bloom%20periodically%20after%20spring%20</v>
      </c>
      <c r="BG2741" s="165" t="str">
        <f t="shared" si="2067"/>
        <v>D</v>
      </c>
      <c r="BH2741" s="65"/>
      <c r="BI2741" s="65"/>
      <c r="BJ2741" s="65"/>
      <c r="BK2741" s="65"/>
      <c r="BL2741" s="99"/>
      <c r="BM2741" s="99"/>
      <c r="BN2741" s="99"/>
    </row>
    <row r="2742" spans="1:66" s="51" customFormat="1" ht="18" x14ac:dyDescent="0.25">
      <c r="A2742" s="507" t="s">
        <v>3397</v>
      </c>
      <c r="B2742" s="470"/>
      <c r="C2742" s="706"/>
      <c r="D2742" s="471" t="s">
        <v>3398</v>
      </c>
      <c r="E2742" s="472"/>
      <c r="F2742" s="472"/>
      <c r="G2742" s="472"/>
      <c r="H2742" s="622" t="s">
        <v>1088</v>
      </c>
      <c r="I2742" s="473" t="s">
        <v>3399</v>
      </c>
      <c r="J2742" s="472"/>
      <c r="K2742" s="472"/>
      <c r="L2742" s="561"/>
      <c r="M2742" s="698" t="s">
        <v>5246</v>
      </c>
      <c r="N2742" s="692" t="str">
        <f>IF(AND(ISTEXT($A2742), ISERROR($A2742+0)), HYPERLINK($BF2742, "Images"), "")</f>
        <v>Images</v>
      </c>
      <c r="O2742" s="694" t="s">
        <v>5247</v>
      </c>
      <c r="P2742" s="475"/>
      <c r="Q2742" s="476"/>
      <c r="R2742" s="476"/>
      <c r="S2742" s="477"/>
      <c r="T2742" s="102">
        <f t="shared" si="2055"/>
        <v>0</v>
      </c>
      <c r="U2742" s="78" t="str">
        <f>IF(NOT(ISNUMBER(G2742)), "", VLOOKUP(A2742,'Discount Lookup'!D:E,2,FALSE)*G2742)</f>
        <v/>
      </c>
      <c r="V2742" s="78" t="str">
        <f>IF(NOT(ISNUMBER(G2742)), "", VLOOKUP(A2742,'Discount Lookup'!G:H,2,FALSE)*G2742)</f>
        <v/>
      </c>
      <c r="W2742" s="102">
        <f t="shared" si="2056"/>
        <v>0</v>
      </c>
      <c r="X2742" s="102" t="str">
        <f t="shared" si="2057"/>
        <v>Neon-Pink bloom</v>
      </c>
      <c r="Y2742" s="120" t="b">
        <f t="shared" si="2058"/>
        <v>0</v>
      </c>
      <c r="Z2742" s="117">
        <f t="shared" si="2059"/>
        <v>0</v>
      </c>
      <c r="AA2742" s="118"/>
      <c r="AB2742" s="118" t="str">
        <f t="shared" si="2060"/>
        <v/>
      </c>
      <c r="AC2742" s="712" t="str">
        <f>IF(AE2742="T2G","no charge",IF(AND(OR(PlanterYesMe="No",PlanterYesMe="N",PlanterYesMe="me"),H2742=""),"",IF(H2742="credit","NO install",IF(AND(K2742="",AE2742="me"),"EACH row",IF(AND(K2742="images",AE2742="me"),"EACH row",IF(D2742="","",IF(H2742="credit","",IF(AE2742="free","re-planting",IF(AE2742="me","   not ELP, by",IF(AND(OR(PlanterYesMe="Yes",PlanterYesMe="Y"),G2742&gt;0),(VLOOKUP(A2742,'Discount Lookup'!J:K,2)*G2742*(1-PlanterDiscount)*(1+PlanterDifficultyPercentage)),IF(AE2742="ELP",(VLOOKUP(A2742,'Discount Lookup'!J:K,2)*G2742*(1-PlanterDiscount)*(1+PlanterDifficultyPercentage)),IF(AE2742="free","re-planting",IF(G2742=0,"",IF(PlanterYesMe="",IF(AE2742="me","   not ELP, by",IF(AE2742="",IF(G2742&gt;0,(VLOOKUP(A2742,'Discount Lookup'!J:K,2)*G2742*(1-PlanterDiscount)*(1+PlanterDifficultyPercentage)),""),"")),"   not ELP, by"))))))))))))))</f>
        <v/>
      </c>
      <c r="AD2742" s="712"/>
      <c r="AE2742" s="513" t="str">
        <f t="shared" si="2061"/>
        <v/>
      </c>
      <c r="AF2742" s="713" t="str">
        <f t="shared" si="2062"/>
        <v/>
      </c>
      <c r="AG2742" s="713"/>
      <c r="AH2742" s="713"/>
      <c r="AI2742" s="112">
        <f>IF(H2742="credit",0,IF(AE2742="free",0,IF(AE2742="me",0,IF(G2742&gt;0,(VLOOKUP(A2742,'Discount Lookup'!J:K,2)*G2742),0))))</f>
        <v>0</v>
      </c>
      <c r="AJ2742" s="107" t="str">
        <f t="shared" ca="1" si="2063"/>
        <v/>
      </c>
      <c r="AK2742" s="714" t="str">
        <f t="shared" si="2064"/>
        <v/>
      </c>
      <c r="AL2742" s="714"/>
      <c r="AM2742" s="114" t="str">
        <f t="shared" si="2065"/>
        <v/>
      </c>
      <c r="AN2742" s="115"/>
      <c r="AO2742" s="116"/>
      <c r="AP2742" s="116"/>
      <c r="AQ2742" s="116"/>
      <c r="AR2742" s="116"/>
      <c r="AS2742" s="116"/>
      <c r="AT2742" s="116"/>
      <c r="AU2742" s="116"/>
      <c r="AV2742" s="78"/>
      <c r="AW2742" s="102"/>
      <c r="AX2742" s="78"/>
      <c r="AY2742" s="78"/>
      <c r="AZ2742" s="78"/>
      <c r="BA2742" s="78"/>
      <c r="BB2742" s="78"/>
      <c r="BC2742" s="78"/>
      <c r="BD2742" s="78"/>
      <c r="BE2742" s="465"/>
      <c r="BF2742" s="165" t="str">
        <f t="shared" si="2066"/>
        <v>https://www.google.com/search?tbm=isch&amp;q=Loropetalum%20chin.%20var.%20r.%20%27Daruma%27%20Daruma%20Loropetalum</v>
      </c>
      <c r="BG2742" s="165" t="str">
        <f t="shared" si="2067"/>
        <v>L</v>
      </c>
      <c r="BH2742" s="65"/>
      <c r="BI2742" s="65"/>
      <c r="BJ2742" s="65"/>
      <c r="BK2742" s="65"/>
      <c r="BL2742" s="99"/>
      <c r="BM2742" s="99"/>
      <c r="BN2742" s="99"/>
    </row>
    <row r="2743" spans="1:66" s="51" customFormat="1" ht="15.75" x14ac:dyDescent="0.25">
      <c r="A2743" s="478">
        <v>3</v>
      </c>
      <c r="B2743" s="479" t="s">
        <v>291</v>
      </c>
      <c r="C2743" s="480" t="s">
        <v>345</v>
      </c>
      <c r="D2743" s="481" t="s">
        <v>310</v>
      </c>
      <c r="E2743" s="482">
        <v>26.95</v>
      </c>
      <c r="F2743" s="483" t="s">
        <v>292</v>
      </c>
      <c r="G2743" s="484">
        <v>0</v>
      </c>
      <c r="H2743" s="688" t="str">
        <f>IF(G2743=0,"",IF(F2743="Buy",IF(G2743=1,"plant","plants"),IF(F2743&gt;0.01,"warranty","Error")))</f>
        <v/>
      </c>
      <c r="I2743" s="485">
        <f>IF(H2743="free",0,IF(H2743="credit",((E2743*(F2743))*G2743*-1),IF(F2743="Buy",(E2743*G2743),((E2743*(1-F2743))*G2743))))</f>
        <v>0</v>
      </c>
      <c r="J2743" s="485">
        <f>IF(H2743="warranty",0,(I2743*(_xlfn.SINGLE(SalesTaxPercentage))))</f>
        <v>0</v>
      </c>
      <c r="K2743" s="715">
        <f t="shared" ref="K2743" si="2096">I2743+J2743</f>
        <v>0</v>
      </c>
      <c r="L2743" s="715"/>
      <c r="M2743" s="689" t="str">
        <f ca="1">IF(AND(G2743&gt;0,E2743=0),"WARNING - no PRICE inserted",IF(H2743="free","FREE ~ no charge this plant",IF(H2743="credit",CONCATENATE("-$",ROUND(K2743*(1-_xlfn.SINGLE(T2GDiscount))*-1,2)," CREDIT after discount"),IF(_xlfn.SINGLE(T2GDiscount)=0,"",IF(G2743=0,"",IF(F2743="Buy",CONCATENATE("$",ROUND(K2743*(1-_xlfn.SINGLE(T2GDiscount)),2)," with ",(_xlfn.SINGLE(T2GDiscount)*100),"% discount"),CONCATENATE("$",ROUND(K2743*(1-_xlfn.SINGLE(T2GDiscount)),2)," with ",((_xlfn.SINGLE(T2GDiscount)*100+F2743*100)-(_xlfn.SINGLE(T2GDiscount)*100*F2743)),IF(F2743&gt;0,"% discounts",IF(_xlfn.SINGLE(NoWarrantyDiscount)&gt;0,"% discounts","% discount")))))))))</f>
        <v/>
      </c>
      <c r="N2743" s="690"/>
      <c r="O2743" s="486"/>
      <c r="P2743" s="486"/>
      <c r="Q2743" s="486"/>
      <c r="R2743" s="486"/>
      <c r="S2743" s="486"/>
      <c r="T2743" s="102">
        <f t="shared" si="2055"/>
        <v>0</v>
      </c>
      <c r="U2743" s="78">
        <f>IF(NOT(ISNUMBER(G2743)), "", VLOOKUP(A2743,'Discount Lookup'!D:E,2,FALSE)*G2743)</f>
        <v>0</v>
      </c>
      <c r="V2743" s="78">
        <f>IF(NOT(ISNUMBER(G2743)), "", VLOOKUP(A2743,'Discount Lookup'!G:H,2,FALSE)*G2743)</f>
        <v>0</v>
      </c>
      <c r="W2743" s="102">
        <f t="shared" si="2056"/>
        <v>0</v>
      </c>
      <c r="X2743" s="102">
        <f t="shared" si="2057"/>
        <v>0</v>
      </c>
      <c r="Y2743" s="120" t="b">
        <f t="shared" si="2058"/>
        <v>0</v>
      </c>
      <c r="Z2743" s="117">
        <f t="shared" si="2059"/>
        <v>0</v>
      </c>
      <c r="AA2743" s="118"/>
      <c r="AB2743" s="118" t="str">
        <f t="shared" si="2060"/>
        <v/>
      </c>
      <c r="AC2743" s="712" t="str">
        <f>IF(AE2743="T2G","no charge",IF(AND(OR(PlanterYesMe="No",PlanterYesMe="N",PlanterYesMe="me"),H2743=""),"",IF(H2743="credit","NO install",IF(AND(K2743="",AE2743="me"),"EACH row",IF(AND(K2743="images",AE2743="me"),"EACH row",IF(D2743="","",IF(H2743="credit","",IF(AE2743="free","re-planting",IF(AE2743="me","   not ELP, by",IF(AND(OR(PlanterYesMe="Yes",PlanterYesMe="Y"),G2743&gt;0),(VLOOKUP(A2743,'Discount Lookup'!J:K,2)*G2743*(1-PlanterDiscount)*(1+PlanterDifficultyPercentage)),IF(AE2743="ELP",(VLOOKUP(A2743,'Discount Lookup'!J:K,2)*G2743*(1-PlanterDiscount)*(1+PlanterDifficultyPercentage)),IF(AE2743="free","re-planting",IF(G2743=0,"",IF(PlanterYesMe="",IF(AE2743="me","   not ELP, by",IF(AE2743="",IF(G2743&gt;0,(VLOOKUP(A2743,'Discount Lookup'!J:K,2)*G2743*(1-PlanterDiscount)*(1+PlanterDifficultyPercentage)),""),"")),"   not ELP, by"))))))))))))))</f>
        <v/>
      </c>
      <c r="AD2743" s="712"/>
      <c r="AE2743" s="513" t="str">
        <f t="shared" si="2061"/>
        <v/>
      </c>
      <c r="AF2743" s="713" t="str">
        <f t="shared" si="2062"/>
        <v/>
      </c>
      <c r="AG2743" s="713"/>
      <c r="AH2743" s="713"/>
      <c r="AI2743" s="112">
        <f>IF(H2743="credit",0,IF(AE2743="free",0,IF(AE2743="me",0,IF(G2743&gt;0,(VLOOKUP(A2743,'Discount Lookup'!J:K,2)*G2743),0))))</f>
        <v>0</v>
      </c>
      <c r="AJ2743" s="107" t="str">
        <f t="shared" ca="1" si="2063"/>
        <v/>
      </c>
      <c r="AK2743" s="714" t="str">
        <f t="shared" si="2064"/>
        <v/>
      </c>
      <c r="AL2743" s="714"/>
      <c r="AM2743" s="114" t="str">
        <f t="shared" si="2065"/>
        <v/>
      </c>
      <c r="AN2743" s="115"/>
      <c r="AO2743" s="116"/>
      <c r="AP2743" s="116"/>
      <c r="AQ2743" s="116"/>
      <c r="AR2743" s="116"/>
      <c r="AS2743" s="116"/>
      <c r="AT2743" s="116"/>
      <c r="AU2743" s="116"/>
      <c r="AV2743" s="78"/>
      <c r="AW2743" s="102"/>
      <c r="AX2743" s="78"/>
      <c r="AY2743" s="78"/>
      <c r="AZ2743" s="78"/>
      <c r="BA2743" s="78"/>
      <c r="BB2743" s="78"/>
      <c r="BC2743" s="78"/>
      <c r="BD2743" s="78"/>
      <c r="BE2743" s="465"/>
      <c r="BF2743" s="165" t="str">
        <f t="shared" si="2066"/>
        <v>https://www.google.com/search?tbm=isch&amp;q=3%20G1</v>
      </c>
      <c r="BG2743" s="165" t="str">
        <f t="shared" si="2067"/>
        <v>L</v>
      </c>
      <c r="BH2743" s="65"/>
      <c r="BI2743" s="65"/>
      <c r="BJ2743" s="65"/>
      <c r="BK2743" s="65"/>
      <c r="BL2743" s="99"/>
      <c r="BM2743" s="99"/>
      <c r="BN2743" s="99"/>
    </row>
    <row r="2744" spans="1:66" s="51" customFormat="1" ht="15.75" x14ac:dyDescent="0.25">
      <c r="A2744" s="478">
        <v>5</v>
      </c>
      <c r="B2744" s="479" t="s">
        <v>291</v>
      </c>
      <c r="C2744" s="480"/>
      <c r="D2744" s="481" t="s">
        <v>310</v>
      </c>
      <c r="E2744" s="482">
        <v>45.95</v>
      </c>
      <c r="F2744" s="483" t="s">
        <v>292</v>
      </c>
      <c r="G2744" s="484">
        <v>0</v>
      </c>
      <c r="H2744" s="688" t="str">
        <f>IF(G2744=0,"",IF(F2744="Buy",IF(G2744=1,"plant","plants"),IF(F2744&gt;0.01,"warranty","Error")))</f>
        <v/>
      </c>
      <c r="I2744" s="485">
        <f>IF(H2744="free",0,IF(H2744="credit",((E2744*(F2744))*G2744*-1),IF(F2744="Buy",(E2744*G2744),((E2744*(1-F2744))*G2744))))</f>
        <v>0</v>
      </c>
      <c r="J2744" s="485">
        <f>IF(H2744="warranty",0,(I2744*(_xlfn.SINGLE(SalesTaxPercentage))))</f>
        <v>0</v>
      </c>
      <c r="K2744" s="715">
        <f t="shared" ref="K2744" si="2097">I2744+J2744</f>
        <v>0</v>
      </c>
      <c r="L2744" s="715"/>
      <c r="M2744" s="689" t="str">
        <f ca="1">IF(AND(G2744&gt;0,E2744=0),"WARNING - no PRICE inserted",IF(H2744="free","FREE ~ no charge this plant",IF(H2744="credit",CONCATENATE("-$",ROUND(K2744*(1-_xlfn.SINGLE(T2GDiscount))*-1,2)," CREDIT after discount"),IF(_xlfn.SINGLE(T2GDiscount)=0,"",IF(G2744=0,"",IF(F2744="Buy",CONCATENATE("$",ROUND(K2744*(1-_xlfn.SINGLE(T2GDiscount)),2)," with ",(_xlfn.SINGLE(T2GDiscount)*100),"% discount"),CONCATENATE("$",ROUND(K2744*(1-_xlfn.SINGLE(T2GDiscount)),2)," with ",((_xlfn.SINGLE(T2GDiscount)*100+F2744*100)-(_xlfn.SINGLE(T2GDiscount)*100*F2744)),IF(F2744&gt;0,"% discounts",IF(_xlfn.SINGLE(NoWarrantyDiscount)&gt;0,"% discounts","% discount")))))))))</f>
        <v/>
      </c>
      <c r="N2744" s="690"/>
      <c r="O2744" s="486"/>
      <c r="P2744" s="486"/>
      <c r="Q2744" s="486"/>
      <c r="R2744" s="486"/>
      <c r="S2744" s="486"/>
      <c r="T2744" s="102">
        <f t="shared" si="2055"/>
        <v>0</v>
      </c>
      <c r="U2744" s="78">
        <f>IF(NOT(ISNUMBER(G2744)), "", VLOOKUP(A2744,'Discount Lookup'!D:E,2,FALSE)*G2744)</f>
        <v>0</v>
      </c>
      <c r="V2744" s="78">
        <f>IF(NOT(ISNUMBER(G2744)), "", VLOOKUP(A2744,'Discount Lookup'!G:H,2,FALSE)*G2744)</f>
        <v>0</v>
      </c>
      <c r="W2744" s="102">
        <f t="shared" si="2056"/>
        <v>0</v>
      </c>
      <c r="X2744" s="102">
        <f t="shared" si="2057"/>
        <v>0</v>
      </c>
      <c r="Y2744" s="120" t="b">
        <f t="shared" si="2058"/>
        <v>0</v>
      </c>
      <c r="Z2744" s="117">
        <f t="shared" si="2059"/>
        <v>0</v>
      </c>
      <c r="AA2744" s="118"/>
      <c r="AB2744" s="118" t="str">
        <f t="shared" si="2060"/>
        <v/>
      </c>
      <c r="AC2744" s="712" t="str">
        <f>IF(AE2744="T2G","no charge",IF(AND(OR(PlanterYesMe="No",PlanterYesMe="N",PlanterYesMe="me"),H2744=""),"",IF(H2744="credit","NO install",IF(AND(K2744="",AE2744="me"),"EACH row",IF(AND(K2744="images",AE2744="me"),"EACH row",IF(D2744="","",IF(H2744="credit","",IF(AE2744="free","re-planting",IF(AE2744="me","   not ELP, by",IF(AND(OR(PlanterYesMe="Yes",PlanterYesMe="Y"),G2744&gt;0),(VLOOKUP(A2744,'Discount Lookup'!J:K,2)*G2744*(1-PlanterDiscount)*(1+PlanterDifficultyPercentage)),IF(AE2744="ELP",(VLOOKUP(A2744,'Discount Lookup'!J:K,2)*G2744*(1-PlanterDiscount)*(1+PlanterDifficultyPercentage)),IF(AE2744="free","re-planting",IF(G2744=0,"",IF(PlanterYesMe="",IF(AE2744="me","   not ELP, by",IF(AE2744="",IF(G2744&gt;0,(VLOOKUP(A2744,'Discount Lookup'!J:K,2)*G2744*(1-PlanterDiscount)*(1+PlanterDifficultyPercentage)),""),"")),"   not ELP, by"))))))))))))))</f>
        <v/>
      </c>
      <c r="AD2744" s="712"/>
      <c r="AE2744" s="513" t="str">
        <f t="shared" si="2061"/>
        <v/>
      </c>
      <c r="AF2744" s="713" t="str">
        <f t="shared" si="2062"/>
        <v/>
      </c>
      <c r="AG2744" s="713"/>
      <c r="AH2744" s="713"/>
      <c r="AI2744" s="112">
        <f>IF(H2744="credit",0,IF(AE2744="free",0,IF(AE2744="me",0,IF(G2744&gt;0,(VLOOKUP(A2744,'Discount Lookup'!J:K,2)*G2744),0))))</f>
        <v>0</v>
      </c>
      <c r="AJ2744" s="107" t="str">
        <f t="shared" ca="1" si="2063"/>
        <v/>
      </c>
      <c r="AK2744" s="714" t="str">
        <f t="shared" si="2064"/>
        <v/>
      </c>
      <c r="AL2744" s="714"/>
      <c r="AM2744" s="114" t="str">
        <f t="shared" si="2065"/>
        <v/>
      </c>
      <c r="AN2744" s="115"/>
      <c r="AO2744" s="116"/>
      <c r="AP2744" s="116"/>
      <c r="AQ2744" s="116"/>
      <c r="AR2744" s="116"/>
      <c r="AS2744" s="116"/>
      <c r="AT2744" s="116"/>
      <c r="AU2744" s="116"/>
      <c r="AV2744" s="78"/>
      <c r="AW2744" s="102"/>
      <c r="AX2744" s="78"/>
      <c r="AY2744" s="78"/>
      <c r="AZ2744" s="78"/>
      <c r="BA2744" s="78"/>
      <c r="BB2744" s="78"/>
      <c r="BC2744" s="78"/>
      <c r="BD2744" s="78"/>
      <c r="BE2744" s="465"/>
      <c r="BF2744" s="165" t="str">
        <f t="shared" si="2066"/>
        <v>https://www.google.com/search?tbm=isch&amp;q=5%20G1</v>
      </c>
      <c r="BG2744" s="165" t="str">
        <f t="shared" si="2067"/>
        <v>L</v>
      </c>
      <c r="BH2744" s="65"/>
      <c r="BI2744" s="65"/>
      <c r="BJ2744" s="65"/>
      <c r="BK2744" s="65"/>
      <c r="BL2744" s="99"/>
      <c r="BM2744" s="99"/>
      <c r="BN2744" s="99"/>
    </row>
    <row r="2745" spans="1:66" s="51" customFormat="1" ht="27" x14ac:dyDescent="0.25">
      <c r="A2745" s="478">
        <v>5</v>
      </c>
      <c r="B2745" s="479" t="s">
        <v>291</v>
      </c>
      <c r="C2745" s="480" t="s">
        <v>3400</v>
      </c>
      <c r="D2745" s="481" t="s">
        <v>299</v>
      </c>
      <c r="E2745" s="482">
        <v>104.95</v>
      </c>
      <c r="F2745" s="483" t="s">
        <v>292</v>
      </c>
      <c r="G2745" s="484">
        <v>0</v>
      </c>
      <c r="H2745" s="688" t="str">
        <f>IF(G2745=0,"",IF(F2745="Buy",IF(G2745=1,"plant","plants"),IF(F2745&gt;0.01,"warranty","Error")))</f>
        <v/>
      </c>
      <c r="I2745" s="485">
        <f>IF(H2745="free",0,IF(H2745="credit",((E2745*(F2745))*G2745*-1),IF(F2745="Buy",(E2745*G2745),((E2745*(1-F2745))*G2745))))</f>
        <v>0</v>
      </c>
      <c r="J2745" s="485">
        <f>IF(H2745="warranty",0,(I2745*(_xlfn.SINGLE(SalesTaxPercentage))))</f>
        <v>0</v>
      </c>
      <c r="K2745" s="715">
        <f t="shared" ref="K2745" si="2098">I2745+J2745</f>
        <v>0</v>
      </c>
      <c r="L2745" s="715"/>
      <c r="M2745" s="689" t="str">
        <f ca="1">IF(AND(G2745&gt;0,E2745=0),"WARNING - no PRICE inserted",IF(H2745="free","FREE ~ no charge this plant",IF(H2745="credit",CONCATENATE("-$",ROUND(K2745*(1-_xlfn.SINGLE(T2GDiscount))*-1,2)," CREDIT after discount"),IF(_xlfn.SINGLE(T2GDiscount)=0,"",IF(G2745=0,"",IF(F2745="Buy",CONCATENATE("$",ROUND(K2745*(1-_xlfn.SINGLE(T2GDiscount)),2)," with ",(_xlfn.SINGLE(T2GDiscount)*100),"% discount"),CONCATENATE("$",ROUND(K2745*(1-_xlfn.SINGLE(T2GDiscount)),2)," with ",((_xlfn.SINGLE(T2GDiscount)*100+F2745*100)-(_xlfn.SINGLE(T2GDiscount)*100*F2745)),IF(F2745&gt;0,"% discounts",IF(_xlfn.SINGLE(NoWarrantyDiscount)&gt;0,"% discounts","% discount")))))))))</f>
        <v/>
      </c>
      <c r="N2745" s="690"/>
      <c r="O2745" s="486"/>
      <c r="P2745" s="486"/>
      <c r="Q2745" s="486"/>
      <c r="R2745" s="486"/>
      <c r="S2745" s="486"/>
      <c r="T2745" s="102">
        <f t="shared" si="2055"/>
        <v>0</v>
      </c>
      <c r="U2745" s="78">
        <f>IF(NOT(ISNUMBER(G2745)), "", VLOOKUP(A2745,'Discount Lookup'!D:E,2,FALSE)*G2745)</f>
        <v>0</v>
      </c>
      <c r="V2745" s="78">
        <f>IF(NOT(ISNUMBER(G2745)), "", VLOOKUP(A2745,'Discount Lookup'!G:H,2,FALSE)*G2745)</f>
        <v>0</v>
      </c>
      <c r="W2745" s="102">
        <f t="shared" si="2056"/>
        <v>0</v>
      </c>
      <c r="X2745" s="102">
        <f t="shared" si="2057"/>
        <v>0</v>
      </c>
      <c r="Y2745" s="120" t="b">
        <f t="shared" si="2058"/>
        <v>0</v>
      </c>
      <c r="Z2745" s="117">
        <f t="shared" si="2059"/>
        <v>0</v>
      </c>
      <c r="AA2745" s="118"/>
      <c r="AB2745" s="118" t="str">
        <f t="shared" si="2060"/>
        <v/>
      </c>
      <c r="AC2745" s="712" t="str">
        <f>IF(AE2745="T2G","no charge",IF(AND(OR(PlanterYesMe="No",PlanterYesMe="N",PlanterYesMe="me"),H2745=""),"",IF(H2745="credit","NO install",IF(AND(K2745="",AE2745="me"),"EACH row",IF(AND(K2745="images",AE2745="me"),"EACH row",IF(D2745="","",IF(H2745="credit","",IF(AE2745="free","re-planting",IF(AE2745="me","   not ELP, by",IF(AND(OR(PlanterYesMe="Yes",PlanterYesMe="Y"),G2745&gt;0),(VLOOKUP(A2745,'Discount Lookup'!J:K,2)*G2745*(1-PlanterDiscount)*(1+PlanterDifficultyPercentage)),IF(AE2745="ELP",(VLOOKUP(A2745,'Discount Lookup'!J:K,2)*G2745*(1-PlanterDiscount)*(1+PlanterDifficultyPercentage)),IF(AE2745="free","re-planting",IF(G2745=0,"",IF(PlanterYesMe="",IF(AE2745="me","   not ELP, by",IF(AE2745="",IF(G2745&gt;0,(VLOOKUP(A2745,'Discount Lookup'!J:K,2)*G2745*(1-PlanterDiscount)*(1+PlanterDifficultyPercentage)),""),"")),"   not ELP, by"))))))))))))))</f>
        <v/>
      </c>
      <c r="AD2745" s="712"/>
      <c r="AE2745" s="513" t="str">
        <f t="shared" si="2061"/>
        <v/>
      </c>
      <c r="AF2745" s="713" t="str">
        <f t="shared" si="2062"/>
        <v/>
      </c>
      <c r="AG2745" s="713"/>
      <c r="AH2745" s="713"/>
      <c r="AI2745" s="112">
        <f>IF(H2745="credit",0,IF(AE2745="free",0,IF(AE2745="me",0,IF(G2745&gt;0,(VLOOKUP(A2745,'Discount Lookup'!J:K,2)*G2745),0))))</f>
        <v>0</v>
      </c>
      <c r="AJ2745" s="107" t="str">
        <f t="shared" ca="1" si="2063"/>
        <v/>
      </c>
      <c r="AK2745" s="714" t="str">
        <f t="shared" si="2064"/>
        <v/>
      </c>
      <c r="AL2745" s="714"/>
      <c r="AM2745" s="114" t="str">
        <f t="shared" si="2065"/>
        <v/>
      </c>
      <c r="AN2745" s="115"/>
      <c r="AO2745" s="116"/>
      <c r="AP2745" s="116"/>
      <c r="AQ2745" s="116"/>
      <c r="AR2745" s="116"/>
      <c r="AS2745" s="116"/>
      <c r="AT2745" s="116"/>
      <c r="AU2745" s="116"/>
      <c r="AV2745" s="78"/>
      <c r="AW2745" s="102"/>
      <c r="AX2745" s="78"/>
      <c r="AY2745" s="78"/>
      <c r="AZ2745" s="78"/>
      <c r="BA2745" s="78"/>
      <c r="BB2745" s="78"/>
      <c r="BC2745" s="78"/>
      <c r="BD2745" s="78"/>
      <c r="BE2745" s="465"/>
      <c r="BF2745" s="165" t="str">
        <f t="shared" si="2066"/>
        <v>https://www.google.com/search?tbm=isch&amp;q=5%20G4</v>
      </c>
      <c r="BG2745" s="165" t="str">
        <f t="shared" si="2067"/>
        <v>L</v>
      </c>
      <c r="BH2745" s="65"/>
      <c r="BI2745" s="65"/>
      <c r="BJ2745" s="65"/>
      <c r="BK2745" s="65"/>
      <c r="BL2745" s="99"/>
      <c r="BM2745" s="99"/>
      <c r="BN2745" s="99"/>
    </row>
    <row r="2746" spans="1:66" s="51" customFormat="1" ht="16.5" thickBot="1" x14ac:dyDescent="0.3">
      <c r="A2746" s="508" t="s">
        <v>3401</v>
      </c>
      <c r="B2746" s="487"/>
      <c r="C2746" s="707"/>
      <c r="D2746" s="487"/>
      <c r="E2746" s="487"/>
      <c r="F2746" s="488"/>
      <c r="G2746" s="489"/>
      <c r="H2746" s="487"/>
      <c r="I2746" s="490"/>
      <c r="J2746" s="490"/>
      <c r="K2746" s="491"/>
      <c r="L2746" s="547"/>
      <c r="M2746" s="528"/>
      <c r="N2746" s="492"/>
      <c r="O2746" s="493"/>
      <c r="P2746" s="494"/>
      <c r="Q2746" s="492"/>
      <c r="R2746" s="492"/>
      <c r="S2746" s="495"/>
      <c r="T2746" s="102">
        <f t="shared" si="2055"/>
        <v>0</v>
      </c>
      <c r="U2746" s="78" t="str">
        <f>IF(NOT(ISNUMBER(G2746)), "", VLOOKUP(A2746,'Discount Lookup'!D:E,2,FALSE)*G2746)</f>
        <v/>
      </c>
      <c r="V2746" s="78" t="str">
        <f>IF(NOT(ISNUMBER(G2746)), "", VLOOKUP(A2746,'Discount Lookup'!G:H,2,FALSE)*G2746)</f>
        <v/>
      </c>
      <c r="W2746" s="102">
        <f t="shared" si="2056"/>
        <v>0</v>
      </c>
      <c r="X2746" s="102">
        <f t="shared" si="2057"/>
        <v>0</v>
      </c>
      <c r="Y2746" s="120" t="b">
        <f t="shared" si="2058"/>
        <v>0</v>
      </c>
      <c r="Z2746" s="117">
        <f t="shared" si="2059"/>
        <v>0</v>
      </c>
      <c r="AA2746" s="118"/>
      <c r="AB2746" s="118" t="str">
        <f t="shared" si="2060"/>
        <v/>
      </c>
      <c r="AC2746" s="712" t="str">
        <f>IF(AE2746="T2G","no charge",IF(AND(OR(PlanterYesMe="No",PlanterYesMe="N",PlanterYesMe="me"),H2746=""),"",IF(H2746="credit","NO install",IF(AND(K2746="",AE2746="me"),"EACH row",IF(AND(K2746="images",AE2746="me"),"EACH row",IF(D2746="","",IF(H2746="credit","",IF(AE2746="free","re-planting",IF(AE2746="me","   not ELP, by",IF(AND(OR(PlanterYesMe="Yes",PlanterYesMe="Y"),G2746&gt;0),(VLOOKUP(A2746,'Discount Lookup'!J:K,2)*G2746*(1-PlanterDiscount)*(1+PlanterDifficultyPercentage)),IF(AE2746="ELP",(VLOOKUP(A2746,'Discount Lookup'!J:K,2)*G2746*(1-PlanterDiscount)*(1+PlanterDifficultyPercentage)),IF(AE2746="free","re-planting",IF(G2746=0,"",IF(PlanterYesMe="",IF(AE2746="me","   not ELP, by",IF(AE2746="",IF(G2746&gt;0,(VLOOKUP(A2746,'Discount Lookup'!J:K,2)*G2746*(1-PlanterDiscount)*(1+PlanterDifficultyPercentage)),""),"")),"   not ELP, by"))))))))))))))</f>
        <v/>
      </c>
      <c r="AD2746" s="712"/>
      <c r="AE2746" s="513" t="str">
        <f t="shared" si="2061"/>
        <v/>
      </c>
      <c r="AF2746" s="713" t="str">
        <f t="shared" si="2062"/>
        <v/>
      </c>
      <c r="AG2746" s="713"/>
      <c r="AH2746" s="713"/>
      <c r="AI2746" s="112">
        <f>IF(H2746="credit",0,IF(AE2746="free",0,IF(AE2746="me",0,IF(G2746&gt;0,(VLOOKUP(A2746,'Discount Lookup'!J:K,2)*G2746),0))))</f>
        <v>0</v>
      </c>
      <c r="AJ2746" s="107" t="str">
        <f t="shared" ca="1" si="2063"/>
        <v/>
      </c>
      <c r="AK2746" s="714" t="str">
        <f t="shared" si="2064"/>
        <v/>
      </c>
      <c r="AL2746" s="714"/>
      <c r="AM2746" s="114" t="str">
        <f t="shared" si="2065"/>
        <v/>
      </c>
      <c r="AN2746" s="115"/>
      <c r="AO2746" s="116"/>
      <c r="AP2746" s="116"/>
      <c r="AQ2746" s="116"/>
      <c r="AR2746" s="116"/>
      <c r="AS2746" s="116"/>
      <c r="AT2746" s="116"/>
      <c r="AU2746" s="116"/>
      <c r="AV2746" s="78"/>
      <c r="AW2746" s="102"/>
      <c r="AX2746" s="78"/>
      <c r="AY2746" s="78"/>
      <c r="AZ2746" s="78"/>
      <c r="BA2746" s="78"/>
      <c r="BB2746" s="78"/>
      <c r="BC2746" s="78"/>
      <c r="BD2746" s="78"/>
      <c r="BE2746" s="465"/>
      <c r="BF2746" s="165" t="str">
        <f t="shared" si="2066"/>
        <v>https://www.google.com/search?tbm=isch&amp;q=Daruma%20is%20a%20compact%20sport%20of%20Ruby%20Loropetalum.%20%20Deep%20Ruby-Red%20foliage.%20Fringe-like%20flowers%20bloom%20periodically%20after%20spring%20</v>
      </c>
      <c r="BG2746" s="165" t="str">
        <f t="shared" si="2067"/>
        <v>D</v>
      </c>
      <c r="BH2746" s="65"/>
      <c r="BI2746" s="65"/>
      <c r="BJ2746" s="65"/>
      <c r="BK2746" s="65"/>
      <c r="BL2746" s="99"/>
      <c r="BM2746" s="99"/>
      <c r="BN2746" s="99"/>
    </row>
    <row r="2747" spans="1:66" s="51" customFormat="1" ht="18" x14ac:dyDescent="0.25">
      <c r="A2747" s="507" t="s">
        <v>3402</v>
      </c>
      <c r="B2747" s="470"/>
      <c r="C2747" s="706"/>
      <c r="D2747" s="471" t="s">
        <v>3403</v>
      </c>
      <c r="E2747" s="472"/>
      <c r="F2747" s="472"/>
      <c r="G2747" s="472"/>
      <c r="H2747" s="622" t="s">
        <v>1124</v>
      </c>
      <c r="I2747" s="473" t="s">
        <v>3404</v>
      </c>
      <c r="J2747" s="472"/>
      <c r="K2747" s="472"/>
      <c r="L2747" s="561"/>
      <c r="M2747" s="698" t="s">
        <v>5246</v>
      </c>
      <c r="N2747" s="692" t="str">
        <f>IF(AND(ISTEXT($A2747), ISERROR($A2747+0)), HYPERLINK($BF2747, "Images"), "")</f>
        <v>Images</v>
      </c>
      <c r="O2747" s="694" t="s">
        <v>5247</v>
      </c>
      <c r="P2747" s="475"/>
      <c r="Q2747" s="476"/>
      <c r="R2747" s="476"/>
      <c r="S2747" s="477"/>
      <c r="T2747" s="102">
        <f t="shared" si="2055"/>
        <v>0</v>
      </c>
      <c r="U2747" s="78" t="str">
        <f>IF(NOT(ISNUMBER(G2747)), "", VLOOKUP(A2747,'Discount Lookup'!D:E,2,FALSE)*G2747)</f>
        <v/>
      </c>
      <c r="V2747" s="78" t="str">
        <f>IF(NOT(ISNUMBER(G2747)), "", VLOOKUP(A2747,'Discount Lookup'!G:H,2,FALSE)*G2747)</f>
        <v/>
      </c>
      <c r="W2747" s="102">
        <f t="shared" si="2056"/>
        <v>0</v>
      </c>
      <c r="X2747" s="102" t="str">
        <f t="shared" si="2057"/>
        <v>Pinkish-Red bloom</v>
      </c>
      <c r="Y2747" s="120" t="b">
        <f t="shared" si="2058"/>
        <v>0</v>
      </c>
      <c r="Z2747" s="117">
        <f t="shared" si="2059"/>
        <v>0</v>
      </c>
      <c r="AA2747" s="118"/>
      <c r="AB2747" s="118" t="str">
        <f t="shared" si="2060"/>
        <v/>
      </c>
      <c r="AC2747" s="712" t="str">
        <f>IF(AE2747="T2G","no charge",IF(AND(OR(PlanterYesMe="No",PlanterYesMe="N",PlanterYesMe="me"),H2747=""),"",IF(H2747="credit","NO install",IF(AND(K2747="",AE2747="me"),"EACH row",IF(AND(K2747="images",AE2747="me"),"EACH row",IF(D2747="","",IF(H2747="credit","",IF(AE2747="free","re-planting",IF(AE2747="me","   not ELP, by",IF(AND(OR(PlanterYesMe="Yes",PlanterYesMe="Y"),G2747&gt;0),(VLOOKUP(A2747,'Discount Lookup'!J:K,2)*G2747*(1-PlanterDiscount)*(1+PlanterDifficultyPercentage)),IF(AE2747="ELP",(VLOOKUP(A2747,'Discount Lookup'!J:K,2)*G2747*(1-PlanterDiscount)*(1+PlanterDifficultyPercentage)),IF(AE2747="free","re-planting",IF(G2747=0,"",IF(PlanterYesMe="",IF(AE2747="me","   not ELP, by",IF(AE2747="",IF(G2747&gt;0,(VLOOKUP(A2747,'Discount Lookup'!J:K,2)*G2747*(1-PlanterDiscount)*(1+PlanterDifficultyPercentage)),""),"")),"   not ELP, by"))))))))))))))</f>
        <v/>
      </c>
      <c r="AD2747" s="712"/>
      <c r="AE2747" s="513" t="str">
        <f t="shared" si="2061"/>
        <v/>
      </c>
      <c r="AF2747" s="713" t="str">
        <f t="shared" si="2062"/>
        <v/>
      </c>
      <c r="AG2747" s="713"/>
      <c r="AH2747" s="713"/>
      <c r="AI2747" s="112">
        <f>IF(H2747="credit",0,IF(AE2747="free",0,IF(AE2747="me",0,IF(G2747&gt;0,(VLOOKUP(A2747,'Discount Lookup'!J:K,2)*G2747),0))))</f>
        <v>0</v>
      </c>
      <c r="AJ2747" s="107" t="str">
        <f t="shared" ca="1" si="2063"/>
        <v/>
      </c>
      <c r="AK2747" s="714" t="str">
        <f t="shared" si="2064"/>
        <v/>
      </c>
      <c r="AL2747" s="714"/>
      <c r="AM2747" s="114" t="str">
        <f t="shared" si="2065"/>
        <v/>
      </c>
      <c r="AN2747" s="115"/>
      <c r="AO2747" s="116"/>
      <c r="AP2747" s="116"/>
      <c r="AQ2747" s="116"/>
      <c r="AR2747" s="116"/>
      <c r="AS2747" s="116"/>
      <c r="AT2747" s="116"/>
      <c r="AU2747" s="116"/>
      <c r="AV2747" s="78"/>
      <c r="AW2747" s="102"/>
      <c r="AX2747" s="78"/>
      <c r="AY2747" s="78"/>
      <c r="AZ2747" s="78"/>
      <c r="BA2747" s="78"/>
      <c r="BB2747" s="78"/>
      <c r="BC2747" s="78"/>
      <c r="BD2747" s="78"/>
      <c r="BE2747" s="465"/>
      <c r="BF2747" s="165" t="str">
        <f t="shared" si="2066"/>
        <v>https://www.google.com/search?tbm=isch&amp;q=Loropetalum%20chin.%20var.%20r.%20%27Kurobijin%27%20PP%2323176%20Cerise%20Charm%20Loropetalum</v>
      </c>
      <c r="BG2747" s="165" t="str">
        <f t="shared" si="2067"/>
        <v>L</v>
      </c>
      <c r="BH2747" s="65"/>
      <c r="BI2747" s="65"/>
      <c r="BJ2747" s="65"/>
      <c r="BK2747" s="65"/>
      <c r="BL2747" s="99"/>
      <c r="BM2747" s="99"/>
      <c r="BN2747" s="99"/>
    </row>
    <row r="2748" spans="1:66" s="51" customFormat="1" ht="15.75" x14ac:dyDescent="0.25">
      <c r="A2748" s="478">
        <v>3</v>
      </c>
      <c r="B2748" s="479" t="s">
        <v>291</v>
      </c>
      <c r="C2748" s="480" t="s">
        <v>3029</v>
      </c>
      <c r="D2748" s="481" t="s">
        <v>329</v>
      </c>
      <c r="E2748" s="482">
        <v>38.950000000000003</v>
      </c>
      <c r="F2748" s="483" t="s">
        <v>292</v>
      </c>
      <c r="G2748" s="484">
        <v>0</v>
      </c>
      <c r="H2748" s="688" t="str">
        <f>IF(G2748=0,"",IF(F2748="Buy",IF(G2748=1,"plant","plants"),IF(F2748&gt;0.01,"warranty","Error")))</f>
        <v/>
      </c>
      <c r="I2748" s="485">
        <f>IF(H2748="free",0,IF(H2748="credit",((E2748*(F2748))*G2748*-1),IF(F2748="Buy",(E2748*G2748),((E2748*(1-F2748))*G2748))))</f>
        <v>0</v>
      </c>
      <c r="J2748" s="485">
        <f>IF(H2748="warranty",0,(I2748*(_xlfn.SINGLE(SalesTaxPercentage))))</f>
        <v>0</v>
      </c>
      <c r="K2748" s="715">
        <f t="shared" ref="K2748" si="2099">I2748+J2748</f>
        <v>0</v>
      </c>
      <c r="L2748" s="715"/>
      <c r="M2748" s="689" t="str">
        <f ca="1">IF(AND(G2748&gt;0,E2748=0),"WARNING - no PRICE inserted",IF(H2748="free","FREE ~ no charge this plant",IF(H2748="credit",CONCATENATE("-$",ROUND(K2748*(1-_xlfn.SINGLE(T2GDiscount))*-1,2)," CREDIT after discount"),IF(_xlfn.SINGLE(T2GDiscount)=0,"",IF(G2748=0,"",IF(F2748="Buy",CONCATENATE("$",ROUND(K2748*(1-_xlfn.SINGLE(T2GDiscount)),2)," with ",(_xlfn.SINGLE(T2GDiscount)*100),"% discount"),CONCATENATE("$",ROUND(K2748*(1-_xlfn.SINGLE(T2GDiscount)),2)," with ",((_xlfn.SINGLE(T2GDiscount)*100+F2748*100)-(_xlfn.SINGLE(T2GDiscount)*100*F2748)),IF(F2748&gt;0,"% discounts",IF(_xlfn.SINGLE(NoWarrantyDiscount)&gt;0,"% discounts","% discount")))))))))</f>
        <v/>
      </c>
      <c r="N2748" s="690"/>
      <c r="O2748" s="486"/>
      <c r="P2748" s="486"/>
      <c r="Q2748" s="486"/>
      <c r="R2748" s="486"/>
      <c r="S2748" s="486"/>
      <c r="T2748" s="102">
        <f t="shared" si="2055"/>
        <v>0</v>
      </c>
      <c r="U2748" s="78">
        <f>IF(NOT(ISNUMBER(G2748)), "", VLOOKUP(A2748,'Discount Lookup'!D:E,2,FALSE)*G2748)</f>
        <v>0</v>
      </c>
      <c r="V2748" s="78">
        <f>IF(NOT(ISNUMBER(G2748)), "", VLOOKUP(A2748,'Discount Lookup'!G:H,2,FALSE)*G2748)</f>
        <v>0</v>
      </c>
      <c r="W2748" s="102">
        <f t="shared" si="2056"/>
        <v>0</v>
      </c>
      <c r="X2748" s="102">
        <f t="shared" si="2057"/>
        <v>0</v>
      </c>
      <c r="Y2748" s="120" t="b">
        <f t="shared" si="2058"/>
        <v>0</v>
      </c>
      <c r="Z2748" s="117">
        <f t="shared" si="2059"/>
        <v>0</v>
      </c>
      <c r="AA2748" s="118"/>
      <c r="AB2748" s="118" t="str">
        <f t="shared" si="2060"/>
        <v/>
      </c>
      <c r="AC2748" s="712" t="str">
        <f>IF(AE2748="T2G","no charge",IF(AND(OR(PlanterYesMe="No",PlanterYesMe="N",PlanterYesMe="me"),H2748=""),"",IF(H2748="credit","NO install",IF(AND(K2748="",AE2748="me"),"EACH row",IF(AND(K2748="images",AE2748="me"),"EACH row",IF(D2748="","",IF(H2748="credit","",IF(AE2748="free","re-planting",IF(AE2748="me","   not ELP, by",IF(AND(OR(PlanterYesMe="Yes",PlanterYesMe="Y"),G2748&gt;0),(VLOOKUP(A2748,'Discount Lookup'!J:K,2)*G2748*(1-PlanterDiscount)*(1+PlanterDifficultyPercentage)),IF(AE2748="ELP",(VLOOKUP(A2748,'Discount Lookup'!J:K,2)*G2748*(1-PlanterDiscount)*(1+PlanterDifficultyPercentage)),IF(AE2748="free","re-planting",IF(G2748=0,"",IF(PlanterYesMe="",IF(AE2748="me","   not ELP, by",IF(AE2748="",IF(G2748&gt;0,(VLOOKUP(A2748,'Discount Lookup'!J:K,2)*G2748*(1-PlanterDiscount)*(1+PlanterDifficultyPercentage)),""),"")),"   not ELP, by"))))))))))))))</f>
        <v/>
      </c>
      <c r="AD2748" s="712"/>
      <c r="AE2748" s="513" t="str">
        <f t="shared" si="2061"/>
        <v/>
      </c>
      <c r="AF2748" s="713" t="str">
        <f t="shared" si="2062"/>
        <v/>
      </c>
      <c r="AG2748" s="713"/>
      <c r="AH2748" s="713"/>
      <c r="AI2748" s="112">
        <f>IF(H2748="credit",0,IF(AE2748="free",0,IF(AE2748="me",0,IF(G2748&gt;0,(VLOOKUP(A2748,'Discount Lookup'!J:K,2)*G2748),0))))</f>
        <v>0</v>
      </c>
      <c r="AJ2748" s="107" t="str">
        <f t="shared" ca="1" si="2063"/>
        <v/>
      </c>
      <c r="AK2748" s="714" t="str">
        <f t="shared" si="2064"/>
        <v/>
      </c>
      <c r="AL2748" s="714"/>
      <c r="AM2748" s="114" t="str">
        <f t="shared" si="2065"/>
        <v/>
      </c>
      <c r="AN2748" s="115"/>
      <c r="AO2748" s="116"/>
      <c r="AP2748" s="116"/>
      <c r="AQ2748" s="116"/>
      <c r="AR2748" s="116"/>
      <c r="AS2748" s="116"/>
      <c r="AT2748" s="116"/>
      <c r="AU2748" s="116"/>
      <c r="AV2748" s="78"/>
      <c r="AW2748" s="102"/>
      <c r="AX2748" s="78"/>
      <c r="AY2748" s="78"/>
      <c r="AZ2748" s="78"/>
      <c r="BA2748" s="78"/>
      <c r="BB2748" s="78"/>
      <c r="BC2748" s="78"/>
      <c r="BD2748" s="78"/>
      <c r="BE2748" s="465"/>
      <c r="BF2748" s="165" t="str">
        <f t="shared" si="2066"/>
        <v>https://www.google.com/search?tbm=isch&amp;q=3%20G2</v>
      </c>
      <c r="BG2748" s="165" t="str">
        <f t="shared" si="2067"/>
        <v>L</v>
      </c>
      <c r="BH2748" s="65"/>
      <c r="BI2748" s="65"/>
      <c r="BJ2748" s="65"/>
      <c r="BK2748" s="65"/>
      <c r="BL2748" s="99"/>
      <c r="BM2748" s="99"/>
      <c r="BN2748" s="99"/>
    </row>
    <row r="2749" spans="1:66" s="51" customFormat="1" ht="15.75" x14ac:dyDescent="0.25">
      <c r="A2749" s="478">
        <v>7</v>
      </c>
      <c r="B2749" s="479" t="s">
        <v>291</v>
      </c>
      <c r="C2749" s="480" t="s">
        <v>3405</v>
      </c>
      <c r="D2749" s="481" t="s">
        <v>299</v>
      </c>
      <c r="E2749" s="482">
        <v>86.95</v>
      </c>
      <c r="F2749" s="483" t="s">
        <v>292</v>
      </c>
      <c r="G2749" s="484">
        <v>0</v>
      </c>
      <c r="H2749" s="688" t="str">
        <f>IF(G2749=0,"",IF(F2749="Buy",IF(G2749=1,"plant","plants"),IF(F2749&gt;0.01,"warranty","Error")))</f>
        <v/>
      </c>
      <c r="I2749" s="485">
        <f>IF(H2749="free",0,IF(H2749="credit",((E2749*(F2749))*G2749*-1),IF(F2749="Buy",(E2749*G2749),((E2749*(1-F2749))*G2749))))</f>
        <v>0</v>
      </c>
      <c r="J2749" s="485">
        <f>IF(H2749="warranty",0,(I2749*(_xlfn.SINGLE(SalesTaxPercentage))))</f>
        <v>0</v>
      </c>
      <c r="K2749" s="715">
        <f t="shared" ref="K2749" si="2100">I2749+J2749</f>
        <v>0</v>
      </c>
      <c r="L2749" s="715"/>
      <c r="M2749" s="689" t="str">
        <f ca="1">IF(AND(G2749&gt;0,E2749=0),"WARNING - no PRICE inserted",IF(H2749="free","FREE ~ no charge this plant",IF(H2749="credit",CONCATENATE("-$",ROUND(K2749*(1-_xlfn.SINGLE(T2GDiscount))*-1,2)," CREDIT after discount"),IF(_xlfn.SINGLE(T2GDiscount)=0,"",IF(G2749=0,"",IF(F2749="Buy",CONCATENATE("$",ROUND(K2749*(1-_xlfn.SINGLE(T2GDiscount)),2)," with ",(_xlfn.SINGLE(T2GDiscount)*100),"% discount"),CONCATENATE("$",ROUND(K2749*(1-_xlfn.SINGLE(T2GDiscount)),2)," with ",((_xlfn.SINGLE(T2GDiscount)*100+F2749*100)-(_xlfn.SINGLE(T2GDiscount)*100*F2749)),IF(F2749&gt;0,"% discounts",IF(_xlfn.SINGLE(NoWarrantyDiscount)&gt;0,"% discounts","% discount")))))))))</f>
        <v/>
      </c>
      <c r="N2749" s="690"/>
      <c r="O2749" s="486"/>
      <c r="P2749" s="486"/>
      <c r="Q2749" s="486"/>
      <c r="R2749" s="486"/>
      <c r="S2749" s="486"/>
      <c r="T2749" s="102">
        <f t="shared" si="2055"/>
        <v>0</v>
      </c>
      <c r="U2749" s="78">
        <f>IF(NOT(ISNUMBER(G2749)), "", VLOOKUP(A2749,'Discount Lookup'!D:E,2,FALSE)*G2749)</f>
        <v>0</v>
      </c>
      <c r="V2749" s="78">
        <f>IF(NOT(ISNUMBER(G2749)), "", VLOOKUP(A2749,'Discount Lookup'!G:H,2,FALSE)*G2749)</f>
        <v>0</v>
      </c>
      <c r="W2749" s="102">
        <f t="shared" si="2056"/>
        <v>0</v>
      </c>
      <c r="X2749" s="102">
        <f t="shared" si="2057"/>
        <v>0</v>
      </c>
      <c r="Y2749" s="120" t="b">
        <f t="shared" si="2058"/>
        <v>0</v>
      </c>
      <c r="Z2749" s="117">
        <f t="shared" si="2059"/>
        <v>0</v>
      </c>
      <c r="AA2749" s="118"/>
      <c r="AB2749" s="118" t="str">
        <f t="shared" si="2060"/>
        <v/>
      </c>
      <c r="AC2749" s="712" t="str">
        <f>IF(AE2749="T2G","no charge",IF(AND(OR(PlanterYesMe="No",PlanterYesMe="N",PlanterYesMe="me"),H2749=""),"",IF(H2749="credit","NO install",IF(AND(K2749="",AE2749="me"),"EACH row",IF(AND(K2749="images",AE2749="me"),"EACH row",IF(D2749="","",IF(H2749="credit","",IF(AE2749="free","re-planting",IF(AE2749="me","   not ELP, by",IF(AND(OR(PlanterYesMe="Yes",PlanterYesMe="Y"),G2749&gt;0),(VLOOKUP(A2749,'Discount Lookup'!J:K,2)*G2749*(1-PlanterDiscount)*(1+PlanterDifficultyPercentage)),IF(AE2749="ELP",(VLOOKUP(A2749,'Discount Lookup'!J:K,2)*G2749*(1-PlanterDiscount)*(1+PlanterDifficultyPercentage)),IF(AE2749="free","re-planting",IF(G2749=0,"",IF(PlanterYesMe="",IF(AE2749="me","   not ELP, by",IF(AE2749="",IF(G2749&gt;0,(VLOOKUP(A2749,'Discount Lookup'!J:K,2)*G2749*(1-PlanterDiscount)*(1+PlanterDifficultyPercentage)),""),"")),"   not ELP, by"))))))))))))))</f>
        <v/>
      </c>
      <c r="AD2749" s="712"/>
      <c r="AE2749" s="513" t="str">
        <f t="shared" si="2061"/>
        <v/>
      </c>
      <c r="AF2749" s="713" t="str">
        <f t="shared" si="2062"/>
        <v/>
      </c>
      <c r="AG2749" s="713"/>
      <c r="AH2749" s="713"/>
      <c r="AI2749" s="112">
        <f>IF(H2749="credit",0,IF(AE2749="free",0,IF(AE2749="me",0,IF(G2749&gt;0,(VLOOKUP(A2749,'Discount Lookup'!J:K,2)*G2749),0))))</f>
        <v>0</v>
      </c>
      <c r="AJ2749" s="107" t="str">
        <f t="shared" ca="1" si="2063"/>
        <v/>
      </c>
      <c r="AK2749" s="714" t="str">
        <f t="shared" si="2064"/>
        <v/>
      </c>
      <c r="AL2749" s="714"/>
      <c r="AM2749" s="114" t="str">
        <f t="shared" si="2065"/>
        <v/>
      </c>
      <c r="AN2749" s="115"/>
      <c r="AO2749" s="116"/>
      <c r="AP2749" s="116"/>
      <c r="AQ2749" s="116"/>
      <c r="AR2749" s="116"/>
      <c r="AS2749" s="116"/>
      <c r="AT2749" s="116"/>
      <c r="AU2749" s="116"/>
      <c r="AV2749" s="78"/>
      <c r="AW2749" s="102"/>
      <c r="AX2749" s="78"/>
      <c r="AY2749" s="78"/>
      <c r="AZ2749" s="78"/>
      <c r="BA2749" s="78"/>
      <c r="BB2749" s="78"/>
      <c r="BC2749" s="78"/>
      <c r="BD2749" s="78"/>
      <c r="BE2749" s="465"/>
      <c r="BF2749" s="165" t="str">
        <f t="shared" si="2066"/>
        <v>https://www.google.com/search?tbm=isch&amp;q=7%20G4</v>
      </c>
      <c r="BG2749" s="165" t="str">
        <f t="shared" si="2067"/>
        <v>L</v>
      </c>
      <c r="BH2749" s="65"/>
      <c r="BI2749" s="65"/>
      <c r="BJ2749" s="65"/>
      <c r="BK2749" s="65"/>
      <c r="BL2749" s="99"/>
      <c r="BM2749" s="99"/>
      <c r="BN2749" s="99"/>
    </row>
    <row r="2750" spans="1:66" s="51" customFormat="1" ht="16.5" thickBot="1" x14ac:dyDescent="0.3">
      <c r="A2750" s="508" t="s">
        <v>3406</v>
      </c>
      <c r="B2750" s="487"/>
      <c r="C2750" s="707"/>
      <c r="D2750" s="487"/>
      <c r="E2750" s="487"/>
      <c r="F2750" s="488"/>
      <c r="G2750" s="489"/>
      <c r="H2750" s="487"/>
      <c r="I2750" s="490"/>
      <c r="J2750" s="490"/>
      <c r="K2750" s="491"/>
      <c r="L2750" s="547"/>
      <c r="M2750" s="528"/>
      <c r="N2750" s="492"/>
      <c r="O2750" s="493"/>
      <c r="P2750" s="494"/>
      <c r="Q2750" s="492"/>
      <c r="R2750" s="492"/>
      <c r="S2750" s="495"/>
      <c r="T2750" s="102">
        <f t="shared" si="2055"/>
        <v>0</v>
      </c>
      <c r="U2750" s="78" t="str">
        <f>IF(NOT(ISNUMBER(G2750)), "", VLOOKUP(A2750,'Discount Lookup'!D:E,2,FALSE)*G2750)</f>
        <v/>
      </c>
      <c r="V2750" s="78" t="str">
        <f>IF(NOT(ISNUMBER(G2750)), "", VLOOKUP(A2750,'Discount Lookup'!G:H,2,FALSE)*G2750)</f>
        <v/>
      </c>
      <c r="W2750" s="102">
        <f t="shared" si="2056"/>
        <v>0</v>
      </c>
      <c r="X2750" s="102">
        <f t="shared" si="2057"/>
        <v>0</v>
      </c>
      <c r="Y2750" s="120" t="b">
        <f t="shared" si="2058"/>
        <v>0</v>
      </c>
      <c r="Z2750" s="117">
        <f t="shared" si="2059"/>
        <v>0</v>
      </c>
      <c r="AA2750" s="118"/>
      <c r="AB2750" s="118" t="str">
        <f t="shared" si="2060"/>
        <v/>
      </c>
      <c r="AC2750" s="712" t="str">
        <f>IF(AE2750="T2G","no charge",IF(AND(OR(PlanterYesMe="No",PlanterYesMe="N",PlanterYesMe="me"),H2750=""),"",IF(H2750="credit","NO install",IF(AND(K2750="",AE2750="me"),"EACH row",IF(AND(K2750="images",AE2750="me"),"EACH row",IF(D2750="","",IF(H2750="credit","",IF(AE2750="free","re-planting",IF(AE2750="me","   not ELP, by",IF(AND(OR(PlanterYesMe="Yes",PlanterYesMe="Y"),G2750&gt;0),(VLOOKUP(A2750,'Discount Lookup'!J:K,2)*G2750*(1-PlanterDiscount)*(1+PlanterDifficultyPercentage)),IF(AE2750="ELP",(VLOOKUP(A2750,'Discount Lookup'!J:K,2)*G2750*(1-PlanterDiscount)*(1+PlanterDifficultyPercentage)),IF(AE2750="free","re-planting",IF(G2750=0,"",IF(PlanterYesMe="",IF(AE2750="me","   not ELP, by",IF(AE2750="",IF(G2750&gt;0,(VLOOKUP(A2750,'Discount Lookup'!J:K,2)*G2750*(1-PlanterDiscount)*(1+PlanterDifficultyPercentage)),""),"")),"   not ELP, by"))))))))))))))</f>
        <v/>
      </c>
      <c r="AD2750" s="712"/>
      <c r="AE2750" s="513" t="str">
        <f t="shared" si="2061"/>
        <v/>
      </c>
      <c r="AF2750" s="713" t="str">
        <f t="shared" si="2062"/>
        <v/>
      </c>
      <c r="AG2750" s="713"/>
      <c r="AH2750" s="713"/>
      <c r="AI2750" s="112">
        <f>IF(H2750="credit",0,IF(AE2750="free",0,IF(AE2750="me",0,IF(G2750&gt;0,(VLOOKUP(A2750,'Discount Lookup'!J:K,2)*G2750),0))))</f>
        <v>0</v>
      </c>
      <c r="AJ2750" s="107" t="str">
        <f t="shared" ca="1" si="2063"/>
        <v/>
      </c>
      <c r="AK2750" s="714" t="str">
        <f t="shared" si="2064"/>
        <v/>
      </c>
      <c r="AL2750" s="714"/>
      <c r="AM2750" s="114" t="str">
        <f t="shared" si="2065"/>
        <v/>
      </c>
      <c r="AN2750" s="115"/>
      <c r="AO2750" s="116"/>
      <c r="AP2750" s="116"/>
      <c r="AQ2750" s="116"/>
      <c r="AR2750" s="116"/>
      <c r="AS2750" s="116"/>
      <c r="AT2750" s="116"/>
      <c r="AU2750" s="116"/>
      <c r="AV2750" s="78"/>
      <c r="AW2750" s="102"/>
      <c r="AX2750" s="78"/>
      <c r="AY2750" s="78"/>
      <c r="AZ2750" s="78"/>
      <c r="BA2750" s="78"/>
      <c r="BB2750" s="78"/>
      <c r="BC2750" s="78"/>
      <c r="BD2750" s="78"/>
      <c r="BE2750" s="465"/>
      <c r="BF2750" s="165" t="str">
        <f t="shared" si="2066"/>
        <v>https://www.google.com/search?tbm=isch&amp;q=Cerise%20Charm%20has%20Deep%20Plum-colored%20foliage.%20Fringe-like%20flowers%20bloom%20periodically%20after%20spring%20</v>
      </c>
      <c r="BG2750" s="165" t="str">
        <f t="shared" si="2067"/>
        <v>C</v>
      </c>
      <c r="BH2750" s="65"/>
      <c r="BI2750" s="65"/>
      <c r="BJ2750" s="65"/>
      <c r="BK2750" s="65"/>
      <c r="BL2750" s="99"/>
      <c r="BM2750" s="99"/>
      <c r="BN2750" s="99"/>
    </row>
    <row r="2751" spans="1:66" s="51" customFormat="1" ht="18" x14ac:dyDescent="0.25">
      <c r="A2751" s="507" t="s">
        <v>4631</v>
      </c>
      <c r="B2751" s="470"/>
      <c r="C2751" s="706"/>
      <c r="D2751" s="471" t="s">
        <v>5730</v>
      </c>
      <c r="E2751" s="472"/>
      <c r="F2751" s="472"/>
      <c r="G2751" s="472"/>
      <c r="H2751" s="622" t="s">
        <v>4632</v>
      </c>
      <c r="I2751" s="473" t="s">
        <v>3399</v>
      </c>
      <c r="J2751" s="472"/>
      <c r="K2751" s="472"/>
      <c r="L2751" s="561"/>
      <c r="M2751" s="698" t="s">
        <v>5246</v>
      </c>
      <c r="N2751" s="692" t="str">
        <f>IF(AND(ISTEXT($A2751), ISERROR($A2751+0)), HYPERLINK($BF2751, "Images"), "")</f>
        <v>Images</v>
      </c>
      <c r="O2751" s="694" t="s">
        <v>5247</v>
      </c>
      <c r="P2751" s="475"/>
      <c r="Q2751" s="476"/>
      <c r="R2751" s="476"/>
      <c r="S2751" s="477"/>
      <c r="T2751" s="102">
        <f t="shared" si="2055"/>
        <v>0</v>
      </c>
      <c r="U2751" s="78" t="str">
        <f>IF(NOT(ISNUMBER(G2751)), "", VLOOKUP(A2751,'Discount Lookup'!D:E,2,FALSE)*G2751)</f>
        <v/>
      </c>
      <c r="V2751" s="78" t="str">
        <f>IF(NOT(ISNUMBER(G2751)), "", VLOOKUP(A2751,'Discount Lookup'!G:H,2,FALSE)*G2751)</f>
        <v/>
      </c>
      <c r="W2751" s="102">
        <f t="shared" si="2056"/>
        <v>0</v>
      </c>
      <c r="X2751" s="102" t="str">
        <f t="shared" si="2057"/>
        <v>Neon-Pink bloom</v>
      </c>
      <c r="Y2751" s="120" t="b">
        <f t="shared" si="2058"/>
        <v>0</v>
      </c>
      <c r="Z2751" s="117">
        <f t="shared" si="2059"/>
        <v>0</v>
      </c>
      <c r="AA2751" s="118"/>
      <c r="AB2751" s="118" t="str">
        <f t="shared" si="2060"/>
        <v/>
      </c>
      <c r="AC2751" s="712" t="str">
        <f>IF(AE2751="T2G","no charge",IF(AND(OR(PlanterYesMe="No",PlanterYesMe="N",PlanterYesMe="me"),H2751=""),"",IF(H2751="credit","NO install",IF(AND(K2751="",AE2751="me"),"EACH row",IF(AND(K2751="images",AE2751="me"),"EACH row",IF(D2751="","",IF(H2751="credit","",IF(AE2751="free","re-planting",IF(AE2751="me","   not ELP, by",IF(AND(OR(PlanterYesMe="Yes",PlanterYesMe="Y"),G2751&gt;0),(VLOOKUP(A2751,'Discount Lookup'!J:K,2)*G2751*(1-PlanterDiscount)*(1+PlanterDifficultyPercentage)),IF(AE2751="ELP",(VLOOKUP(A2751,'Discount Lookup'!J:K,2)*G2751*(1-PlanterDiscount)*(1+PlanterDifficultyPercentage)),IF(AE2751="free","re-planting",IF(G2751=0,"",IF(PlanterYesMe="",IF(AE2751="me","   not ELP, by",IF(AE2751="",IF(G2751&gt;0,(VLOOKUP(A2751,'Discount Lookup'!J:K,2)*G2751*(1-PlanterDiscount)*(1+PlanterDifficultyPercentage)),""),"")),"   not ELP, by"))))))))))))))</f>
        <v/>
      </c>
      <c r="AD2751" s="712"/>
      <c r="AE2751" s="513" t="str">
        <f t="shared" si="2061"/>
        <v/>
      </c>
      <c r="AF2751" s="713" t="str">
        <f t="shared" si="2062"/>
        <v/>
      </c>
      <c r="AG2751" s="713"/>
      <c r="AH2751" s="713"/>
      <c r="AI2751" s="112">
        <f>IF(H2751="credit",0,IF(AE2751="free",0,IF(AE2751="me",0,IF(G2751&gt;0,(VLOOKUP(A2751,'Discount Lookup'!J:K,2)*G2751),0))))</f>
        <v>0</v>
      </c>
      <c r="AJ2751" s="107" t="str">
        <f t="shared" ca="1" si="2063"/>
        <v/>
      </c>
      <c r="AK2751" s="714" t="str">
        <f t="shared" si="2064"/>
        <v/>
      </c>
      <c r="AL2751" s="714"/>
      <c r="AM2751" s="114" t="str">
        <f t="shared" si="2065"/>
        <v/>
      </c>
      <c r="AN2751" s="115"/>
      <c r="AO2751" s="116"/>
      <c r="AP2751" s="116"/>
      <c r="AQ2751" s="116"/>
      <c r="AR2751" s="116"/>
      <c r="AS2751" s="116"/>
      <c r="AT2751" s="116"/>
      <c r="AU2751" s="116"/>
      <c r="AV2751" s="78"/>
      <c r="AW2751" s="102"/>
      <c r="AX2751" s="78"/>
      <c r="AY2751" s="78"/>
      <c r="AZ2751" s="78"/>
      <c r="BA2751" s="78"/>
      <c r="BB2751" s="78"/>
      <c r="BC2751" s="78"/>
      <c r="BD2751" s="78"/>
      <c r="BE2751" s="465"/>
      <c r="BF2751" s="165" t="str">
        <f t="shared" si="2066"/>
        <v>https://www.google.com/search?tbm=isch&amp;q=Loropetalum%20chin.%20var.%20r.%20%27Peack%27%20PP%2318441%20Purple%20Pixie%C2%AE%20Loropetalum</v>
      </c>
      <c r="BG2751" s="165" t="str">
        <f t="shared" si="2067"/>
        <v>L</v>
      </c>
      <c r="BH2751" s="65"/>
      <c r="BI2751" s="65"/>
      <c r="BJ2751" s="65"/>
      <c r="BK2751" s="65"/>
      <c r="BL2751" s="99"/>
      <c r="BM2751" s="99"/>
      <c r="BN2751" s="99"/>
    </row>
    <row r="2752" spans="1:66" s="51" customFormat="1" ht="15.75" x14ac:dyDescent="0.25">
      <c r="A2752" s="478">
        <v>3</v>
      </c>
      <c r="B2752" s="479" t="s">
        <v>291</v>
      </c>
      <c r="C2752" s="480" t="s">
        <v>4633</v>
      </c>
      <c r="D2752" s="481" t="s">
        <v>329</v>
      </c>
      <c r="E2752" s="482">
        <v>43.95</v>
      </c>
      <c r="F2752" s="483" t="s">
        <v>292</v>
      </c>
      <c r="G2752" s="484">
        <v>0</v>
      </c>
      <c r="H2752" s="688" t="str">
        <f>IF(G2752=0,"",IF(F2752="Buy",IF(G2752=1,"plant","plants"),IF(F2752&gt;0.01,"warranty","Error")))</f>
        <v/>
      </c>
      <c r="I2752" s="485">
        <f>IF(H2752="free",0,IF(H2752="credit",((E2752*(F2752))*G2752*-1),IF(F2752="Buy",(E2752*G2752),((E2752*(1-F2752))*G2752))))</f>
        <v>0</v>
      </c>
      <c r="J2752" s="485">
        <f>IF(H2752="warranty",0,(I2752*(_xlfn.SINGLE(SalesTaxPercentage))))</f>
        <v>0</v>
      </c>
      <c r="K2752" s="715">
        <f t="shared" ref="K2752" si="2101">I2752+J2752</f>
        <v>0</v>
      </c>
      <c r="L2752" s="715"/>
      <c r="M2752" s="689" t="str">
        <f ca="1">IF(AND(G2752&gt;0,E2752=0),"WARNING - no PRICE inserted",IF(H2752="free","FREE ~ no charge this plant",IF(H2752="credit",CONCATENATE("-$",ROUND(K2752*(1-_xlfn.SINGLE(T2GDiscount))*-1,2)," CREDIT after discount"),IF(_xlfn.SINGLE(T2GDiscount)=0,"",IF(G2752=0,"",IF(F2752="Buy",CONCATENATE("$",ROUND(K2752*(1-_xlfn.SINGLE(T2GDiscount)),2)," with ",(_xlfn.SINGLE(T2GDiscount)*100),"% discount"),CONCATENATE("$",ROUND(K2752*(1-_xlfn.SINGLE(T2GDiscount)),2)," with ",((_xlfn.SINGLE(T2GDiscount)*100+F2752*100)-(_xlfn.SINGLE(T2GDiscount)*100*F2752)),IF(F2752&gt;0,"% discounts",IF(_xlfn.SINGLE(NoWarrantyDiscount)&gt;0,"% discounts","% discount")))))))))</f>
        <v/>
      </c>
      <c r="N2752" s="690"/>
      <c r="O2752" s="486"/>
      <c r="P2752" s="486"/>
      <c r="Q2752" s="486"/>
      <c r="R2752" s="486"/>
      <c r="S2752" s="486"/>
      <c r="T2752" s="102">
        <f t="shared" si="2055"/>
        <v>0</v>
      </c>
      <c r="U2752" s="78">
        <f>IF(NOT(ISNUMBER(G2752)), "", VLOOKUP(A2752,'Discount Lookup'!D:E,2,FALSE)*G2752)</f>
        <v>0</v>
      </c>
      <c r="V2752" s="78">
        <f>IF(NOT(ISNUMBER(G2752)), "", VLOOKUP(A2752,'Discount Lookup'!G:H,2,FALSE)*G2752)</f>
        <v>0</v>
      </c>
      <c r="W2752" s="102">
        <f t="shared" si="2056"/>
        <v>0</v>
      </c>
      <c r="X2752" s="102">
        <f t="shared" si="2057"/>
        <v>0</v>
      </c>
      <c r="Y2752" s="120" t="b">
        <f t="shared" si="2058"/>
        <v>0</v>
      </c>
      <c r="Z2752" s="117">
        <f t="shared" si="2059"/>
        <v>0</v>
      </c>
      <c r="AA2752" s="118"/>
      <c r="AB2752" s="118" t="str">
        <f t="shared" si="2060"/>
        <v/>
      </c>
      <c r="AC2752" s="712" t="str">
        <f>IF(AE2752="T2G","no charge",IF(AND(OR(PlanterYesMe="No",PlanterYesMe="N",PlanterYesMe="me"),H2752=""),"",IF(H2752="credit","NO install",IF(AND(K2752="",AE2752="me"),"EACH row",IF(AND(K2752="images",AE2752="me"),"EACH row",IF(D2752="","",IF(H2752="credit","",IF(AE2752="free","re-planting",IF(AE2752="me","   not ELP, by",IF(AND(OR(PlanterYesMe="Yes",PlanterYesMe="Y"),G2752&gt;0),(VLOOKUP(A2752,'Discount Lookup'!J:K,2)*G2752*(1-PlanterDiscount)*(1+PlanterDifficultyPercentage)),IF(AE2752="ELP",(VLOOKUP(A2752,'Discount Lookup'!J:K,2)*G2752*(1-PlanterDiscount)*(1+PlanterDifficultyPercentage)),IF(AE2752="free","re-planting",IF(G2752=0,"",IF(PlanterYesMe="",IF(AE2752="me","   not ELP, by",IF(AE2752="",IF(G2752&gt;0,(VLOOKUP(A2752,'Discount Lookup'!J:K,2)*G2752*(1-PlanterDiscount)*(1+PlanterDifficultyPercentage)),""),"")),"   not ELP, by"))))))))))))))</f>
        <v/>
      </c>
      <c r="AD2752" s="712"/>
      <c r="AE2752" s="513" t="str">
        <f t="shared" si="2061"/>
        <v/>
      </c>
      <c r="AF2752" s="713" t="str">
        <f t="shared" si="2062"/>
        <v/>
      </c>
      <c r="AG2752" s="713"/>
      <c r="AH2752" s="713"/>
      <c r="AI2752" s="112">
        <f>IF(H2752="credit",0,IF(AE2752="free",0,IF(AE2752="me",0,IF(G2752&gt;0,(VLOOKUP(A2752,'Discount Lookup'!J:K,2)*G2752),0))))</f>
        <v>0</v>
      </c>
      <c r="AJ2752" s="107" t="str">
        <f t="shared" ca="1" si="2063"/>
        <v/>
      </c>
      <c r="AK2752" s="714" t="str">
        <f t="shared" si="2064"/>
        <v/>
      </c>
      <c r="AL2752" s="714"/>
      <c r="AM2752" s="114" t="str">
        <f t="shared" si="2065"/>
        <v/>
      </c>
      <c r="AN2752" s="115"/>
      <c r="AO2752" s="116"/>
      <c r="AP2752" s="116"/>
      <c r="AQ2752" s="116"/>
      <c r="AR2752" s="116"/>
      <c r="AS2752" s="116"/>
      <c r="AT2752" s="116"/>
      <c r="AU2752" s="116"/>
      <c r="AV2752" s="78"/>
      <c r="AW2752" s="102"/>
      <c r="AX2752" s="78"/>
      <c r="AY2752" s="78"/>
      <c r="AZ2752" s="78"/>
      <c r="BA2752" s="78"/>
      <c r="BB2752" s="78"/>
      <c r="BC2752" s="78"/>
      <c r="BD2752" s="78"/>
      <c r="BE2752" s="465"/>
      <c r="BF2752" s="165" t="str">
        <f t="shared" si="2066"/>
        <v>https://www.google.com/search?tbm=isch&amp;q=3%20G2</v>
      </c>
      <c r="BG2752" s="165" t="str">
        <f t="shared" si="2067"/>
        <v>L</v>
      </c>
      <c r="BH2752" s="65"/>
      <c r="BI2752" s="65"/>
      <c r="BJ2752" s="65"/>
      <c r="BK2752" s="65"/>
      <c r="BL2752" s="99"/>
      <c r="BM2752" s="99"/>
      <c r="BN2752" s="99"/>
    </row>
    <row r="2753" spans="1:66" s="51" customFormat="1" ht="16.5" thickBot="1" x14ac:dyDescent="0.3">
      <c r="A2753" s="508" t="s">
        <v>4634</v>
      </c>
      <c r="B2753" s="487"/>
      <c r="C2753" s="707"/>
      <c r="D2753" s="487"/>
      <c r="E2753" s="487"/>
      <c r="F2753" s="488"/>
      <c r="G2753" s="489"/>
      <c r="H2753" s="487"/>
      <c r="I2753" s="490"/>
      <c r="J2753" s="490"/>
      <c r="K2753" s="491"/>
      <c r="L2753" s="547"/>
      <c r="M2753" s="528"/>
      <c r="N2753" s="492"/>
      <c r="O2753" s="493"/>
      <c r="P2753" s="494"/>
      <c r="Q2753" s="492"/>
      <c r="R2753" s="492"/>
      <c r="S2753" s="495"/>
      <c r="T2753" s="102">
        <f t="shared" si="2055"/>
        <v>0</v>
      </c>
      <c r="U2753" s="78" t="str">
        <f>IF(NOT(ISNUMBER(G2753)), "", VLOOKUP(A2753,'Discount Lookup'!D:E,2,FALSE)*G2753)</f>
        <v/>
      </c>
      <c r="V2753" s="78" t="str">
        <f>IF(NOT(ISNUMBER(G2753)), "", VLOOKUP(A2753,'Discount Lookup'!G:H,2,FALSE)*G2753)</f>
        <v/>
      </c>
      <c r="W2753" s="102">
        <f t="shared" si="2056"/>
        <v>0</v>
      </c>
      <c r="X2753" s="102">
        <f t="shared" si="2057"/>
        <v>0</v>
      </c>
      <c r="Y2753" s="120" t="b">
        <f t="shared" si="2058"/>
        <v>0</v>
      </c>
      <c r="Z2753" s="117">
        <f t="shared" si="2059"/>
        <v>0</v>
      </c>
      <c r="AA2753" s="118"/>
      <c r="AB2753" s="118" t="str">
        <f t="shared" si="2060"/>
        <v/>
      </c>
      <c r="AC2753" s="712" t="str">
        <f>IF(AE2753="T2G","no charge",IF(AND(OR(PlanterYesMe="No",PlanterYesMe="N",PlanterYesMe="me"),H2753=""),"",IF(H2753="credit","NO install",IF(AND(K2753="",AE2753="me"),"EACH row",IF(AND(K2753="images",AE2753="me"),"EACH row",IF(D2753="","",IF(H2753="credit","",IF(AE2753="free","re-planting",IF(AE2753="me","   not ELP, by",IF(AND(OR(PlanterYesMe="Yes",PlanterYesMe="Y"),G2753&gt;0),(VLOOKUP(A2753,'Discount Lookup'!J:K,2)*G2753*(1-PlanterDiscount)*(1+PlanterDifficultyPercentage)),IF(AE2753="ELP",(VLOOKUP(A2753,'Discount Lookup'!J:K,2)*G2753*(1-PlanterDiscount)*(1+PlanterDifficultyPercentage)),IF(AE2753="free","re-planting",IF(G2753=0,"",IF(PlanterYesMe="",IF(AE2753="me","   not ELP, by",IF(AE2753="",IF(G2753&gt;0,(VLOOKUP(A2753,'Discount Lookup'!J:K,2)*G2753*(1-PlanterDiscount)*(1+PlanterDifficultyPercentage)),""),"")),"   not ELP, by"))))))))))))))</f>
        <v/>
      </c>
      <c r="AD2753" s="712"/>
      <c r="AE2753" s="513" t="str">
        <f t="shared" si="2061"/>
        <v/>
      </c>
      <c r="AF2753" s="713" t="str">
        <f t="shared" si="2062"/>
        <v/>
      </c>
      <c r="AG2753" s="713"/>
      <c r="AH2753" s="713"/>
      <c r="AI2753" s="112">
        <f>IF(H2753="credit",0,IF(AE2753="free",0,IF(AE2753="me",0,IF(G2753&gt;0,(VLOOKUP(A2753,'Discount Lookup'!J:K,2)*G2753),0))))</f>
        <v>0</v>
      </c>
      <c r="AJ2753" s="107" t="str">
        <f t="shared" ca="1" si="2063"/>
        <v/>
      </c>
      <c r="AK2753" s="714" t="str">
        <f t="shared" si="2064"/>
        <v/>
      </c>
      <c r="AL2753" s="714"/>
      <c r="AM2753" s="114" t="str">
        <f t="shared" si="2065"/>
        <v/>
      </c>
      <c r="AN2753" s="115"/>
      <c r="AO2753" s="116"/>
      <c r="AP2753" s="116"/>
      <c r="AQ2753" s="116"/>
      <c r="AR2753" s="116"/>
      <c r="AS2753" s="116"/>
      <c r="AT2753" s="116"/>
      <c r="AU2753" s="116"/>
      <c r="AV2753" s="78"/>
      <c r="AW2753" s="102"/>
      <c r="AX2753" s="78"/>
      <c r="AY2753" s="78"/>
      <c r="AZ2753" s="78"/>
      <c r="BA2753" s="78"/>
      <c r="BB2753" s="78"/>
      <c r="BC2753" s="78"/>
      <c r="BD2753" s="78"/>
      <c r="BE2753" s="465"/>
      <c r="BF2753" s="165" t="str">
        <f t="shared" si="2066"/>
        <v>https://www.google.com/search?tbm=isch&amp;q=Purple%20Pixie%20will%20weep%20nicely.%20Let%20it%20fall%20out%20of%20a%20pot%20or%20over%20a%20wall.%20Fringe-like%20flowers%20bloom%20periodically%20against%20Deep%20Purple%20foliage%20</v>
      </c>
      <c r="BG2753" s="165" t="str">
        <f t="shared" si="2067"/>
        <v>P</v>
      </c>
      <c r="BH2753" s="65"/>
      <c r="BI2753" s="65"/>
      <c r="BJ2753" s="65"/>
      <c r="BK2753" s="65"/>
      <c r="BL2753" s="99"/>
      <c r="BM2753" s="99"/>
      <c r="BN2753" s="99"/>
    </row>
    <row r="2754" spans="1:66" s="51" customFormat="1" ht="18" x14ac:dyDescent="0.25">
      <c r="A2754" s="507" t="s">
        <v>3407</v>
      </c>
      <c r="B2754" s="470"/>
      <c r="C2754" s="706"/>
      <c r="D2754" s="471" t="s">
        <v>5731</v>
      </c>
      <c r="E2754" s="472"/>
      <c r="F2754" s="472"/>
      <c r="G2754" s="472"/>
      <c r="H2754" s="622" t="s">
        <v>1088</v>
      </c>
      <c r="I2754" s="473" t="s">
        <v>3399</v>
      </c>
      <c r="J2754" s="472"/>
      <c r="K2754" s="472"/>
      <c r="L2754" s="561"/>
      <c r="M2754" s="698" t="s">
        <v>5246</v>
      </c>
      <c r="N2754" s="692" t="str">
        <f>IF(AND(ISTEXT($A2754), ISERROR($A2754+0)), HYPERLINK($BF2754, "Images"), "")</f>
        <v>Images</v>
      </c>
      <c r="O2754" s="694" t="s">
        <v>5247</v>
      </c>
      <c r="P2754" s="475"/>
      <c r="Q2754" s="476"/>
      <c r="R2754" s="476"/>
      <c r="S2754" s="477"/>
      <c r="T2754" s="102">
        <f t="shared" si="2055"/>
        <v>0</v>
      </c>
      <c r="U2754" s="78" t="str">
        <f>IF(NOT(ISNUMBER(G2754)), "", VLOOKUP(A2754,'Discount Lookup'!D:E,2,FALSE)*G2754)</f>
        <v/>
      </c>
      <c r="V2754" s="78" t="str">
        <f>IF(NOT(ISNUMBER(G2754)), "", VLOOKUP(A2754,'Discount Lookup'!G:H,2,FALSE)*G2754)</f>
        <v/>
      </c>
      <c r="W2754" s="102">
        <f t="shared" si="2056"/>
        <v>0</v>
      </c>
      <c r="X2754" s="102" t="str">
        <f t="shared" si="2057"/>
        <v>Neon-Pink bloom</v>
      </c>
      <c r="Y2754" s="120" t="b">
        <f t="shared" si="2058"/>
        <v>0</v>
      </c>
      <c r="Z2754" s="117">
        <f t="shared" si="2059"/>
        <v>0</v>
      </c>
      <c r="AA2754" s="118"/>
      <c r="AB2754" s="118" t="str">
        <f t="shared" si="2060"/>
        <v/>
      </c>
      <c r="AC2754" s="712" t="str">
        <f>IF(AE2754="T2G","no charge",IF(AND(OR(PlanterYesMe="No",PlanterYesMe="N",PlanterYesMe="me"),H2754=""),"",IF(H2754="credit","NO install",IF(AND(K2754="",AE2754="me"),"EACH row",IF(AND(K2754="images",AE2754="me"),"EACH row",IF(D2754="","",IF(H2754="credit","",IF(AE2754="free","re-planting",IF(AE2754="me","   not ELP, by",IF(AND(OR(PlanterYesMe="Yes",PlanterYesMe="Y"),G2754&gt;0),(VLOOKUP(A2754,'Discount Lookup'!J:K,2)*G2754*(1-PlanterDiscount)*(1+PlanterDifficultyPercentage)),IF(AE2754="ELP",(VLOOKUP(A2754,'Discount Lookup'!J:K,2)*G2754*(1-PlanterDiscount)*(1+PlanterDifficultyPercentage)),IF(AE2754="free","re-planting",IF(G2754=0,"",IF(PlanterYesMe="",IF(AE2754="me","   not ELP, by",IF(AE2754="",IF(G2754&gt;0,(VLOOKUP(A2754,'Discount Lookup'!J:K,2)*G2754*(1-PlanterDiscount)*(1+PlanterDifficultyPercentage)),""),"")),"   not ELP, by"))))))))))))))</f>
        <v/>
      </c>
      <c r="AD2754" s="712"/>
      <c r="AE2754" s="513" t="str">
        <f t="shared" si="2061"/>
        <v/>
      </c>
      <c r="AF2754" s="713" t="str">
        <f t="shared" si="2062"/>
        <v/>
      </c>
      <c r="AG2754" s="713"/>
      <c r="AH2754" s="713"/>
      <c r="AI2754" s="112">
        <f>IF(H2754="credit",0,IF(AE2754="free",0,IF(AE2754="me",0,IF(G2754&gt;0,(VLOOKUP(A2754,'Discount Lookup'!J:K,2)*G2754),0))))</f>
        <v>0</v>
      </c>
      <c r="AJ2754" s="107" t="str">
        <f t="shared" ca="1" si="2063"/>
        <v/>
      </c>
      <c r="AK2754" s="714" t="str">
        <f t="shared" si="2064"/>
        <v/>
      </c>
      <c r="AL2754" s="714"/>
      <c r="AM2754" s="114" t="str">
        <f t="shared" si="2065"/>
        <v/>
      </c>
      <c r="AN2754" s="115"/>
      <c r="AO2754" s="116"/>
      <c r="AP2754" s="116"/>
      <c r="AQ2754" s="116"/>
      <c r="AR2754" s="116"/>
      <c r="AS2754" s="116"/>
      <c r="AT2754" s="116"/>
      <c r="AU2754" s="116"/>
      <c r="AV2754" s="78"/>
      <c r="AW2754" s="102"/>
      <c r="AX2754" s="78"/>
      <c r="AY2754" s="78"/>
      <c r="AZ2754" s="78"/>
      <c r="BA2754" s="78"/>
      <c r="BB2754" s="78"/>
      <c r="BC2754" s="78"/>
      <c r="BD2754" s="78"/>
      <c r="BE2754" s="465"/>
      <c r="BF2754" s="165" t="str">
        <f t="shared" si="2066"/>
        <v>https://www.google.com/search?tbm=isch&amp;q=Loropetalum%20chin.%20var.%20r.%20%27PIILC-I%27%20%20PP%2325534%20Crimson%20Fire%E2%84%A2%20Loropetalum</v>
      </c>
      <c r="BG2754" s="165" t="str">
        <f t="shared" si="2067"/>
        <v>L</v>
      </c>
      <c r="BH2754" s="65"/>
      <c r="BI2754" s="65"/>
      <c r="BJ2754" s="65"/>
      <c r="BK2754" s="65"/>
      <c r="BL2754" s="99"/>
      <c r="BM2754" s="99"/>
      <c r="BN2754" s="99"/>
    </row>
    <row r="2755" spans="1:66" s="51" customFormat="1" ht="15.75" x14ac:dyDescent="0.25">
      <c r="A2755" s="478">
        <v>3</v>
      </c>
      <c r="B2755" s="479" t="s">
        <v>291</v>
      </c>
      <c r="C2755" s="480" t="s">
        <v>3408</v>
      </c>
      <c r="D2755" s="481" t="s">
        <v>329</v>
      </c>
      <c r="E2755" s="482">
        <v>39.950000000000003</v>
      </c>
      <c r="F2755" s="483" t="s">
        <v>292</v>
      </c>
      <c r="G2755" s="484">
        <v>0</v>
      </c>
      <c r="H2755" s="688" t="str">
        <f>IF(G2755=0,"",IF(F2755="Buy",IF(G2755=1,"plant","plants"),IF(F2755&gt;0.01,"warranty","Error")))</f>
        <v/>
      </c>
      <c r="I2755" s="485">
        <f>IF(H2755="free",0,IF(H2755="credit",((E2755*(F2755))*G2755*-1),IF(F2755="Buy",(E2755*G2755),((E2755*(1-F2755))*G2755))))</f>
        <v>0</v>
      </c>
      <c r="J2755" s="485">
        <f>IF(H2755="warranty",0,(I2755*(_xlfn.SINGLE(SalesTaxPercentage))))</f>
        <v>0</v>
      </c>
      <c r="K2755" s="715">
        <f t="shared" ref="K2755" si="2102">I2755+J2755</f>
        <v>0</v>
      </c>
      <c r="L2755" s="715"/>
      <c r="M2755" s="689" t="str">
        <f ca="1">IF(AND(G2755&gt;0,E2755=0),"WARNING - no PRICE inserted",IF(H2755="free","FREE ~ no charge this plant",IF(H2755="credit",CONCATENATE("-$",ROUND(K2755*(1-_xlfn.SINGLE(T2GDiscount))*-1,2)," CREDIT after discount"),IF(_xlfn.SINGLE(T2GDiscount)=0,"",IF(G2755=0,"",IF(F2755="Buy",CONCATENATE("$",ROUND(K2755*(1-_xlfn.SINGLE(T2GDiscount)),2)," with ",(_xlfn.SINGLE(T2GDiscount)*100),"% discount"),CONCATENATE("$",ROUND(K2755*(1-_xlfn.SINGLE(T2GDiscount)),2)," with ",((_xlfn.SINGLE(T2GDiscount)*100+F2755*100)-(_xlfn.SINGLE(T2GDiscount)*100*F2755)),IF(F2755&gt;0,"% discounts",IF(_xlfn.SINGLE(NoWarrantyDiscount)&gt;0,"% discounts","% discount")))))))))</f>
        <v/>
      </c>
      <c r="N2755" s="690"/>
      <c r="O2755" s="486"/>
      <c r="P2755" s="486"/>
      <c r="Q2755" s="486"/>
      <c r="R2755" s="486"/>
      <c r="S2755" s="486"/>
      <c r="T2755" s="102">
        <f t="shared" si="2055"/>
        <v>0</v>
      </c>
      <c r="U2755" s="78">
        <f>IF(NOT(ISNUMBER(G2755)), "", VLOOKUP(A2755,'Discount Lookup'!D:E,2,FALSE)*G2755)</f>
        <v>0</v>
      </c>
      <c r="V2755" s="78">
        <f>IF(NOT(ISNUMBER(G2755)), "", VLOOKUP(A2755,'Discount Lookup'!G:H,2,FALSE)*G2755)</f>
        <v>0</v>
      </c>
      <c r="W2755" s="102">
        <f t="shared" si="2056"/>
        <v>0</v>
      </c>
      <c r="X2755" s="102">
        <f t="shared" si="2057"/>
        <v>0</v>
      </c>
      <c r="Y2755" s="120" t="b">
        <f t="shared" si="2058"/>
        <v>0</v>
      </c>
      <c r="Z2755" s="117">
        <f t="shared" si="2059"/>
        <v>0</v>
      </c>
      <c r="AA2755" s="118"/>
      <c r="AB2755" s="118" t="str">
        <f t="shared" si="2060"/>
        <v/>
      </c>
      <c r="AC2755" s="712" t="str">
        <f>IF(AE2755="T2G","no charge",IF(AND(OR(PlanterYesMe="No",PlanterYesMe="N",PlanterYesMe="me"),H2755=""),"",IF(H2755="credit","NO install",IF(AND(K2755="",AE2755="me"),"EACH row",IF(AND(K2755="images",AE2755="me"),"EACH row",IF(D2755="","",IF(H2755="credit","",IF(AE2755="free","re-planting",IF(AE2755="me","   not ELP, by",IF(AND(OR(PlanterYesMe="Yes",PlanterYesMe="Y"),G2755&gt;0),(VLOOKUP(A2755,'Discount Lookup'!J:K,2)*G2755*(1-PlanterDiscount)*(1+PlanterDifficultyPercentage)),IF(AE2755="ELP",(VLOOKUP(A2755,'Discount Lookup'!J:K,2)*G2755*(1-PlanterDiscount)*(1+PlanterDifficultyPercentage)),IF(AE2755="free","re-planting",IF(G2755=0,"",IF(PlanterYesMe="",IF(AE2755="me","   not ELP, by",IF(AE2755="",IF(G2755&gt;0,(VLOOKUP(A2755,'Discount Lookup'!J:K,2)*G2755*(1-PlanterDiscount)*(1+PlanterDifficultyPercentage)),""),"")),"   not ELP, by"))))))))))))))</f>
        <v/>
      </c>
      <c r="AD2755" s="712"/>
      <c r="AE2755" s="513" t="str">
        <f t="shared" si="2061"/>
        <v/>
      </c>
      <c r="AF2755" s="713" t="str">
        <f t="shared" si="2062"/>
        <v/>
      </c>
      <c r="AG2755" s="713"/>
      <c r="AH2755" s="713"/>
      <c r="AI2755" s="112">
        <f>IF(H2755="credit",0,IF(AE2755="free",0,IF(AE2755="me",0,IF(G2755&gt;0,(VLOOKUP(A2755,'Discount Lookup'!J:K,2)*G2755),0))))</f>
        <v>0</v>
      </c>
      <c r="AJ2755" s="107" t="str">
        <f t="shared" ca="1" si="2063"/>
        <v/>
      </c>
      <c r="AK2755" s="714" t="str">
        <f t="shared" si="2064"/>
        <v/>
      </c>
      <c r="AL2755" s="714"/>
      <c r="AM2755" s="114" t="str">
        <f t="shared" si="2065"/>
        <v/>
      </c>
      <c r="AN2755" s="115"/>
      <c r="AO2755" s="116"/>
      <c r="AP2755" s="116"/>
      <c r="AQ2755" s="116"/>
      <c r="AR2755" s="116"/>
      <c r="AS2755" s="116"/>
      <c r="AT2755" s="116"/>
      <c r="AU2755" s="116"/>
      <c r="AV2755" s="78"/>
      <c r="AW2755" s="102"/>
      <c r="AX2755" s="78"/>
      <c r="AY2755" s="78"/>
      <c r="AZ2755" s="78"/>
      <c r="BA2755" s="78"/>
      <c r="BB2755" s="78"/>
      <c r="BC2755" s="78"/>
      <c r="BD2755" s="78"/>
      <c r="BE2755" s="465"/>
      <c r="BF2755" s="165" t="str">
        <f t="shared" si="2066"/>
        <v>https://www.google.com/search?tbm=isch&amp;q=3%20G2</v>
      </c>
      <c r="BG2755" s="165" t="str">
        <f t="shared" si="2067"/>
        <v>L</v>
      </c>
      <c r="BH2755" s="65"/>
      <c r="BI2755" s="65"/>
      <c r="BJ2755" s="65"/>
      <c r="BK2755" s="65"/>
      <c r="BL2755" s="99"/>
      <c r="BM2755" s="99"/>
      <c r="BN2755" s="99"/>
    </row>
    <row r="2756" spans="1:66" s="51" customFormat="1" ht="15.75" x14ac:dyDescent="0.25">
      <c r="A2756" s="478">
        <v>3</v>
      </c>
      <c r="B2756" s="479" t="s">
        <v>291</v>
      </c>
      <c r="C2756" s="480" t="s">
        <v>3409</v>
      </c>
      <c r="D2756" s="481" t="s">
        <v>329</v>
      </c>
      <c r="E2756" s="482">
        <v>43.95</v>
      </c>
      <c r="F2756" s="483" t="s">
        <v>292</v>
      </c>
      <c r="G2756" s="484">
        <v>0</v>
      </c>
      <c r="H2756" s="688" t="str">
        <f>IF(G2756=0,"",IF(F2756="Buy",IF(G2756=1,"plant","plants"),IF(F2756&gt;0.01,"warranty","Error")))</f>
        <v/>
      </c>
      <c r="I2756" s="485">
        <f>IF(H2756="free",0,IF(H2756="credit",((E2756*(F2756))*G2756*-1),IF(F2756="Buy",(E2756*G2756),((E2756*(1-F2756))*G2756))))</f>
        <v>0</v>
      </c>
      <c r="J2756" s="485">
        <f>IF(H2756="warranty",0,(I2756*(_xlfn.SINGLE(SalesTaxPercentage))))</f>
        <v>0</v>
      </c>
      <c r="K2756" s="715">
        <f t="shared" ref="K2756" si="2103">I2756+J2756</f>
        <v>0</v>
      </c>
      <c r="L2756" s="715"/>
      <c r="M2756" s="689" t="str">
        <f ca="1">IF(AND(G2756&gt;0,E2756=0),"WARNING - no PRICE inserted",IF(H2756="free","FREE ~ no charge this plant",IF(H2756="credit",CONCATENATE("-$",ROUND(K2756*(1-_xlfn.SINGLE(T2GDiscount))*-1,2)," CREDIT after discount"),IF(_xlfn.SINGLE(T2GDiscount)=0,"",IF(G2756=0,"",IF(F2756="Buy",CONCATENATE("$",ROUND(K2756*(1-_xlfn.SINGLE(T2GDiscount)),2)," with ",(_xlfn.SINGLE(T2GDiscount)*100),"% discount"),CONCATENATE("$",ROUND(K2756*(1-_xlfn.SINGLE(T2GDiscount)),2)," with ",((_xlfn.SINGLE(T2GDiscount)*100+F2756*100)-(_xlfn.SINGLE(T2GDiscount)*100*F2756)),IF(F2756&gt;0,"% discounts",IF(_xlfn.SINGLE(NoWarrantyDiscount)&gt;0,"% discounts","% discount")))))))))</f>
        <v/>
      </c>
      <c r="N2756" s="690"/>
      <c r="O2756" s="486"/>
      <c r="P2756" s="486"/>
      <c r="Q2756" s="486"/>
      <c r="R2756" s="486"/>
      <c r="S2756" s="486"/>
      <c r="T2756" s="102">
        <f t="shared" si="2055"/>
        <v>0</v>
      </c>
      <c r="U2756" s="78">
        <f>IF(NOT(ISNUMBER(G2756)), "", VLOOKUP(A2756,'Discount Lookup'!D:E,2,FALSE)*G2756)</f>
        <v>0</v>
      </c>
      <c r="V2756" s="78">
        <f>IF(NOT(ISNUMBER(G2756)), "", VLOOKUP(A2756,'Discount Lookup'!G:H,2,FALSE)*G2756)</f>
        <v>0</v>
      </c>
      <c r="W2756" s="102">
        <f t="shared" si="2056"/>
        <v>0</v>
      </c>
      <c r="X2756" s="102">
        <f t="shared" si="2057"/>
        <v>0</v>
      </c>
      <c r="Y2756" s="120" t="b">
        <f t="shared" si="2058"/>
        <v>0</v>
      </c>
      <c r="Z2756" s="117">
        <f t="shared" si="2059"/>
        <v>0</v>
      </c>
      <c r="AA2756" s="118"/>
      <c r="AB2756" s="118" t="str">
        <f t="shared" si="2060"/>
        <v/>
      </c>
      <c r="AC2756" s="712" t="str">
        <f>IF(AE2756="T2G","no charge",IF(AND(OR(PlanterYesMe="No",PlanterYesMe="N",PlanterYesMe="me"),H2756=""),"",IF(H2756="credit","NO install",IF(AND(K2756="",AE2756="me"),"EACH row",IF(AND(K2756="images",AE2756="me"),"EACH row",IF(D2756="","",IF(H2756="credit","",IF(AE2756="free","re-planting",IF(AE2756="me","   not ELP, by",IF(AND(OR(PlanterYesMe="Yes",PlanterYesMe="Y"),G2756&gt;0),(VLOOKUP(A2756,'Discount Lookup'!J:K,2)*G2756*(1-PlanterDiscount)*(1+PlanterDifficultyPercentage)),IF(AE2756="ELP",(VLOOKUP(A2756,'Discount Lookup'!J:K,2)*G2756*(1-PlanterDiscount)*(1+PlanterDifficultyPercentage)),IF(AE2756="free","re-planting",IF(G2756=0,"",IF(PlanterYesMe="",IF(AE2756="me","   not ELP, by",IF(AE2756="",IF(G2756&gt;0,(VLOOKUP(A2756,'Discount Lookup'!J:K,2)*G2756*(1-PlanterDiscount)*(1+PlanterDifficultyPercentage)),""),"")),"   not ELP, by"))))))))))))))</f>
        <v/>
      </c>
      <c r="AD2756" s="712"/>
      <c r="AE2756" s="513" t="str">
        <f t="shared" si="2061"/>
        <v/>
      </c>
      <c r="AF2756" s="713" t="str">
        <f t="shared" si="2062"/>
        <v/>
      </c>
      <c r="AG2756" s="713"/>
      <c r="AH2756" s="713"/>
      <c r="AI2756" s="112">
        <f>IF(H2756="credit",0,IF(AE2756="free",0,IF(AE2756="me",0,IF(G2756&gt;0,(VLOOKUP(A2756,'Discount Lookup'!J:K,2)*G2756),0))))</f>
        <v>0</v>
      </c>
      <c r="AJ2756" s="107" t="str">
        <f t="shared" ca="1" si="2063"/>
        <v/>
      </c>
      <c r="AK2756" s="714" t="str">
        <f t="shared" si="2064"/>
        <v/>
      </c>
      <c r="AL2756" s="714"/>
      <c r="AM2756" s="114" t="str">
        <f t="shared" si="2065"/>
        <v/>
      </c>
      <c r="AN2756" s="115"/>
      <c r="AO2756" s="116"/>
      <c r="AP2756" s="116"/>
      <c r="AQ2756" s="116"/>
      <c r="AR2756" s="116"/>
      <c r="AS2756" s="116"/>
      <c r="AT2756" s="116"/>
      <c r="AU2756" s="116"/>
      <c r="AV2756" s="78"/>
      <c r="AW2756" s="102"/>
      <c r="AX2756" s="78"/>
      <c r="AY2756" s="78"/>
      <c r="AZ2756" s="78"/>
      <c r="BA2756" s="78"/>
      <c r="BB2756" s="78"/>
      <c r="BC2756" s="78"/>
      <c r="BD2756" s="78"/>
      <c r="BE2756" s="465"/>
      <c r="BF2756" s="165" t="str">
        <f t="shared" si="2066"/>
        <v>https://www.google.com/search?tbm=isch&amp;q=3%20G2</v>
      </c>
      <c r="BG2756" s="165" t="str">
        <f t="shared" si="2067"/>
        <v>L</v>
      </c>
      <c r="BH2756" s="65"/>
      <c r="BI2756" s="65"/>
      <c r="BJ2756" s="65"/>
      <c r="BK2756" s="65"/>
      <c r="BL2756" s="99"/>
      <c r="BM2756" s="99"/>
      <c r="BN2756" s="99"/>
    </row>
    <row r="2757" spans="1:66" s="51" customFormat="1" ht="16.5" thickBot="1" x14ac:dyDescent="0.3">
      <c r="A2757" s="508" t="s">
        <v>4775</v>
      </c>
      <c r="B2757" s="487"/>
      <c r="C2757" s="707"/>
      <c r="D2757" s="487"/>
      <c r="E2757" s="487"/>
      <c r="F2757" s="488"/>
      <c r="G2757" s="489"/>
      <c r="H2757" s="487"/>
      <c r="I2757" s="490"/>
      <c r="J2757" s="490"/>
      <c r="K2757" s="491"/>
      <c r="L2757" s="547"/>
      <c r="M2757" s="528"/>
      <c r="N2757" s="492"/>
      <c r="O2757" s="493"/>
      <c r="P2757" s="494"/>
      <c r="Q2757" s="492"/>
      <c r="R2757" s="492"/>
      <c r="S2757" s="495"/>
      <c r="T2757" s="102">
        <f t="shared" si="2055"/>
        <v>0</v>
      </c>
      <c r="U2757" s="78" t="str">
        <f>IF(NOT(ISNUMBER(G2757)), "", VLOOKUP(A2757,'Discount Lookup'!D:E,2,FALSE)*G2757)</f>
        <v/>
      </c>
      <c r="V2757" s="78" t="str">
        <f>IF(NOT(ISNUMBER(G2757)), "", VLOOKUP(A2757,'Discount Lookup'!G:H,2,FALSE)*G2757)</f>
        <v/>
      </c>
      <c r="W2757" s="102">
        <f t="shared" si="2056"/>
        <v>0</v>
      </c>
      <c r="X2757" s="102">
        <f t="shared" si="2057"/>
        <v>0</v>
      </c>
      <c r="Y2757" s="120" t="b">
        <f t="shared" si="2058"/>
        <v>0</v>
      </c>
      <c r="Z2757" s="117">
        <f t="shared" si="2059"/>
        <v>0</v>
      </c>
      <c r="AA2757" s="118"/>
      <c r="AB2757" s="118" t="str">
        <f t="shared" si="2060"/>
        <v/>
      </c>
      <c r="AC2757" s="712" t="str">
        <f>IF(AE2757="T2G","no charge",IF(AND(OR(PlanterYesMe="No",PlanterYesMe="N",PlanterYesMe="me"),H2757=""),"",IF(H2757="credit","NO install",IF(AND(K2757="",AE2757="me"),"EACH row",IF(AND(K2757="images",AE2757="me"),"EACH row",IF(D2757="","",IF(H2757="credit","",IF(AE2757="free","re-planting",IF(AE2757="me","   not ELP, by",IF(AND(OR(PlanterYesMe="Yes",PlanterYesMe="Y"),G2757&gt;0),(VLOOKUP(A2757,'Discount Lookup'!J:K,2)*G2757*(1-PlanterDiscount)*(1+PlanterDifficultyPercentage)),IF(AE2757="ELP",(VLOOKUP(A2757,'Discount Lookup'!J:K,2)*G2757*(1-PlanterDiscount)*(1+PlanterDifficultyPercentage)),IF(AE2757="free","re-planting",IF(G2757=0,"",IF(PlanterYesMe="",IF(AE2757="me","   not ELP, by",IF(AE2757="",IF(G2757&gt;0,(VLOOKUP(A2757,'Discount Lookup'!J:K,2)*G2757*(1-PlanterDiscount)*(1+PlanterDifficultyPercentage)),""),"")),"   not ELP, by"))))))))))))))</f>
        <v/>
      </c>
      <c r="AD2757" s="712"/>
      <c r="AE2757" s="513" t="str">
        <f t="shared" si="2061"/>
        <v/>
      </c>
      <c r="AF2757" s="713" t="str">
        <f t="shared" si="2062"/>
        <v/>
      </c>
      <c r="AG2757" s="713"/>
      <c r="AH2757" s="713"/>
      <c r="AI2757" s="112">
        <f>IF(H2757="credit",0,IF(AE2757="free",0,IF(AE2757="me",0,IF(G2757&gt;0,(VLOOKUP(A2757,'Discount Lookup'!J:K,2)*G2757),0))))</f>
        <v>0</v>
      </c>
      <c r="AJ2757" s="107" t="str">
        <f t="shared" ca="1" si="2063"/>
        <v/>
      </c>
      <c r="AK2757" s="714" t="str">
        <f t="shared" si="2064"/>
        <v/>
      </c>
      <c r="AL2757" s="714"/>
      <c r="AM2757" s="114" t="str">
        <f t="shared" si="2065"/>
        <v/>
      </c>
      <c r="AN2757" s="115"/>
      <c r="AO2757" s="116"/>
      <c r="AP2757" s="116"/>
      <c r="AQ2757" s="116"/>
      <c r="AR2757" s="116"/>
      <c r="AS2757" s="116"/>
      <c r="AT2757" s="116"/>
      <c r="AU2757" s="116"/>
      <c r="AV2757" s="78"/>
      <c r="AW2757" s="102"/>
      <c r="AX2757" s="78"/>
      <c r="AY2757" s="78"/>
      <c r="AZ2757" s="78"/>
      <c r="BA2757" s="78"/>
      <c r="BB2757" s="78"/>
      <c r="BC2757" s="78"/>
      <c r="BD2757" s="78"/>
      <c r="BE2757" s="465"/>
      <c r="BF2757" s="165" t="str">
        <f t="shared" si="2066"/>
        <v>https://www.google.com/search?tbm=isch&amp;q=Crimson%20Fire%20has%20Deep%20Burgundy-Red%20foliage.%20Fringe-like%20flowers%20bloom%20periodically%20after%20spring%20</v>
      </c>
      <c r="BG2757" s="165" t="str">
        <f t="shared" si="2067"/>
        <v>C</v>
      </c>
      <c r="BH2757" s="65"/>
      <c r="BI2757" s="65"/>
      <c r="BJ2757" s="65"/>
      <c r="BK2757" s="65"/>
      <c r="BL2757" s="99"/>
      <c r="BM2757" s="99"/>
      <c r="BN2757" s="99"/>
    </row>
    <row r="2758" spans="1:66" s="51" customFormat="1" ht="18" x14ac:dyDescent="0.25">
      <c r="A2758" s="507" t="s">
        <v>3410</v>
      </c>
      <c r="B2758" s="470"/>
      <c r="C2758" s="706"/>
      <c r="D2758" s="471" t="s">
        <v>5732</v>
      </c>
      <c r="E2758" s="472"/>
      <c r="F2758" s="472"/>
      <c r="G2758" s="472"/>
      <c r="H2758" s="622" t="s">
        <v>1088</v>
      </c>
      <c r="I2758" s="473" t="s">
        <v>3232</v>
      </c>
      <c r="J2758" s="472"/>
      <c r="K2758" s="472"/>
      <c r="L2758" s="561"/>
      <c r="M2758" s="698" t="s">
        <v>5246</v>
      </c>
      <c r="N2758" s="692" t="str">
        <f>IF(AND(ISTEXT($A2758), ISERROR($A2758+0)), HYPERLINK($BF2758, "Images"), "")</f>
        <v>Images</v>
      </c>
      <c r="O2758" s="694" t="s">
        <v>5247</v>
      </c>
      <c r="P2758" s="475"/>
      <c r="Q2758" s="476"/>
      <c r="R2758" s="476"/>
      <c r="S2758" s="477"/>
      <c r="T2758" s="102">
        <f t="shared" si="2055"/>
        <v>0</v>
      </c>
      <c r="U2758" s="78" t="str">
        <f>IF(NOT(ISNUMBER(G2758)), "", VLOOKUP(A2758,'Discount Lookup'!D:E,2,FALSE)*G2758)</f>
        <v/>
      </c>
      <c r="V2758" s="78" t="str">
        <f>IF(NOT(ISNUMBER(G2758)), "", VLOOKUP(A2758,'Discount Lookup'!G:H,2,FALSE)*G2758)</f>
        <v/>
      </c>
      <c r="W2758" s="102">
        <f t="shared" si="2056"/>
        <v>0</v>
      </c>
      <c r="X2758" s="102" t="str">
        <f t="shared" si="2057"/>
        <v>Dark Pink bloom</v>
      </c>
      <c r="Y2758" s="120" t="b">
        <f t="shared" si="2058"/>
        <v>0</v>
      </c>
      <c r="Z2758" s="117">
        <f t="shared" si="2059"/>
        <v>0</v>
      </c>
      <c r="AA2758" s="118"/>
      <c r="AB2758" s="118" t="str">
        <f t="shared" si="2060"/>
        <v/>
      </c>
      <c r="AC2758" s="712" t="str">
        <f>IF(AE2758="T2G","no charge",IF(AND(OR(PlanterYesMe="No",PlanterYesMe="N",PlanterYesMe="me"),H2758=""),"",IF(H2758="credit","NO install",IF(AND(K2758="",AE2758="me"),"EACH row",IF(AND(K2758="images",AE2758="me"),"EACH row",IF(D2758="","",IF(H2758="credit","",IF(AE2758="free","re-planting",IF(AE2758="me","   not ELP, by",IF(AND(OR(PlanterYesMe="Yes",PlanterYesMe="Y"),G2758&gt;0),(VLOOKUP(A2758,'Discount Lookup'!J:K,2)*G2758*(1-PlanterDiscount)*(1+PlanterDifficultyPercentage)),IF(AE2758="ELP",(VLOOKUP(A2758,'Discount Lookup'!J:K,2)*G2758*(1-PlanterDiscount)*(1+PlanterDifficultyPercentage)),IF(AE2758="free","re-planting",IF(G2758=0,"",IF(PlanterYesMe="",IF(AE2758="me","   not ELP, by",IF(AE2758="",IF(G2758&gt;0,(VLOOKUP(A2758,'Discount Lookup'!J:K,2)*G2758*(1-PlanterDiscount)*(1+PlanterDifficultyPercentage)),""),"")),"   not ELP, by"))))))))))))))</f>
        <v/>
      </c>
      <c r="AD2758" s="712"/>
      <c r="AE2758" s="513" t="str">
        <f t="shared" si="2061"/>
        <v/>
      </c>
      <c r="AF2758" s="713" t="str">
        <f t="shared" si="2062"/>
        <v/>
      </c>
      <c r="AG2758" s="713"/>
      <c r="AH2758" s="713"/>
      <c r="AI2758" s="112">
        <f>IF(H2758="credit",0,IF(AE2758="free",0,IF(AE2758="me",0,IF(G2758&gt;0,(VLOOKUP(A2758,'Discount Lookup'!J:K,2)*G2758),0))))</f>
        <v>0</v>
      </c>
      <c r="AJ2758" s="107" t="str">
        <f t="shared" ca="1" si="2063"/>
        <v/>
      </c>
      <c r="AK2758" s="714" t="str">
        <f t="shared" si="2064"/>
        <v/>
      </c>
      <c r="AL2758" s="714"/>
      <c r="AM2758" s="114" t="str">
        <f t="shared" si="2065"/>
        <v/>
      </c>
      <c r="AN2758" s="115"/>
      <c r="AO2758" s="116"/>
      <c r="AP2758" s="116"/>
      <c r="AQ2758" s="116"/>
      <c r="AR2758" s="116"/>
      <c r="AS2758" s="116"/>
      <c r="AT2758" s="116"/>
      <c r="AU2758" s="116"/>
      <c r="AV2758" s="78"/>
      <c r="AW2758" s="102"/>
      <c r="AX2758" s="78"/>
      <c r="AY2758" s="78"/>
      <c r="AZ2758" s="78"/>
      <c r="BA2758" s="78"/>
      <c r="BB2758" s="78"/>
      <c r="BC2758" s="78"/>
      <c r="BD2758" s="78"/>
      <c r="BE2758" s="465"/>
      <c r="BF2758" s="165" t="str">
        <f t="shared" si="2066"/>
        <v>https://www.google.com/search?tbm=isch&amp;q=Loropetalum%20chin.%20var.%20r.%20%27PIILC-III%27%20PP%2325471%20Purple%20Daydream%C2%AE%20Loropetalum</v>
      </c>
      <c r="BG2758" s="165" t="str">
        <f t="shared" si="2067"/>
        <v>L</v>
      </c>
      <c r="BH2758" s="65"/>
      <c r="BI2758" s="65"/>
      <c r="BJ2758" s="65"/>
      <c r="BK2758" s="65"/>
      <c r="BL2758" s="99"/>
      <c r="BM2758" s="99"/>
      <c r="BN2758" s="99"/>
    </row>
    <row r="2759" spans="1:66" s="51" customFormat="1" ht="15.75" x14ac:dyDescent="0.25">
      <c r="A2759" s="478">
        <v>3</v>
      </c>
      <c r="B2759" s="479" t="s">
        <v>291</v>
      </c>
      <c r="C2759" s="480" t="s">
        <v>3411</v>
      </c>
      <c r="D2759" s="481" t="s">
        <v>311</v>
      </c>
      <c r="E2759" s="482">
        <v>40.950000000000003</v>
      </c>
      <c r="F2759" s="483" t="s">
        <v>292</v>
      </c>
      <c r="G2759" s="484">
        <v>0</v>
      </c>
      <c r="H2759" s="688" t="str">
        <f>IF(G2759=0,"",IF(F2759="Buy",IF(G2759=1,"plant","plants"),IF(F2759&gt;0.01,"warranty","Error")))</f>
        <v/>
      </c>
      <c r="I2759" s="485">
        <f>IF(H2759="free",0,IF(H2759="credit",((E2759*(F2759))*G2759*-1),IF(F2759="Buy",(E2759*G2759),((E2759*(1-F2759))*G2759))))</f>
        <v>0</v>
      </c>
      <c r="J2759" s="485">
        <f>IF(H2759="warranty",0,(I2759*(_xlfn.SINGLE(SalesTaxPercentage))))</f>
        <v>0</v>
      </c>
      <c r="K2759" s="715">
        <f t="shared" ref="K2759" si="2104">I2759+J2759</f>
        <v>0</v>
      </c>
      <c r="L2759" s="715"/>
      <c r="M2759" s="689" t="str">
        <f ca="1">IF(AND(G2759&gt;0,E2759=0),"WARNING - no PRICE inserted",IF(H2759="free","FREE ~ no charge this plant",IF(H2759="credit",CONCATENATE("-$",ROUND(K2759*(1-_xlfn.SINGLE(T2GDiscount))*-1,2)," CREDIT after discount"),IF(_xlfn.SINGLE(T2GDiscount)=0,"",IF(G2759=0,"",IF(F2759="Buy",CONCATENATE("$",ROUND(K2759*(1-_xlfn.SINGLE(T2GDiscount)),2)," with ",(_xlfn.SINGLE(T2GDiscount)*100),"% discount"),CONCATENATE("$",ROUND(K2759*(1-_xlfn.SINGLE(T2GDiscount)),2)," with ",((_xlfn.SINGLE(T2GDiscount)*100+F2759*100)-(_xlfn.SINGLE(T2GDiscount)*100*F2759)),IF(F2759&gt;0,"% discounts",IF(_xlfn.SINGLE(NoWarrantyDiscount)&gt;0,"% discounts","% discount")))))))))</f>
        <v/>
      </c>
      <c r="N2759" s="690"/>
      <c r="O2759" s="486"/>
      <c r="P2759" s="486"/>
      <c r="Q2759" s="486"/>
      <c r="R2759" s="486"/>
      <c r="S2759" s="486"/>
      <c r="T2759" s="102">
        <f t="shared" si="2055"/>
        <v>0</v>
      </c>
      <c r="U2759" s="78">
        <f>IF(NOT(ISNUMBER(G2759)), "", VLOOKUP(A2759,'Discount Lookup'!D:E,2,FALSE)*G2759)</f>
        <v>0</v>
      </c>
      <c r="V2759" s="78">
        <f>IF(NOT(ISNUMBER(G2759)), "", VLOOKUP(A2759,'Discount Lookup'!G:H,2,FALSE)*G2759)</f>
        <v>0</v>
      </c>
      <c r="W2759" s="102">
        <f t="shared" si="2056"/>
        <v>0</v>
      </c>
      <c r="X2759" s="102">
        <f t="shared" si="2057"/>
        <v>0</v>
      </c>
      <c r="Y2759" s="120" t="b">
        <f t="shared" si="2058"/>
        <v>0</v>
      </c>
      <c r="Z2759" s="117">
        <f t="shared" si="2059"/>
        <v>0</v>
      </c>
      <c r="AA2759" s="118"/>
      <c r="AB2759" s="118" t="str">
        <f t="shared" si="2060"/>
        <v/>
      </c>
      <c r="AC2759" s="712" t="str">
        <f>IF(AE2759="T2G","no charge",IF(AND(OR(PlanterYesMe="No",PlanterYesMe="N",PlanterYesMe="me"),H2759=""),"",IF(H2759="credit","NO install",IF(AND(K2759="",AE2759="me"),"EACH row",IF(AND(K2759="images",AE2759="me"),"EACH row",IF(D2759="","",IF(H2759="credit","",IF(AE2759="free","re-planting",IF(AE2759="me","   not ELP, by",IF(AND(OR(PlanterYesMe="Yes",PlanterYesMe="Y"),G2759&gt;0),(VLOOKUP(A2759,'Discount Lookup'!J:K,2)*G2759*(1-PlanterDiscount)*(1+PlanterDifficultyPercentage)),IF(AE2759="ELP",(VLOOKUP(A2759,'Discount Lookup'!J:K,2)*G2759*(1-PlanterDiscount)*(1+PlanterDifficultyPercentage)),IF(AE2759="free","re-planting",IF(G2759=0,"",IF(PlanterYesMe="",IF(AE2759="me","   not ELP, by",IF(AE2759="",IF(G2759&gt;0,(VLOOKUP(A2759,'Discount Lookup'!J:K,2)*G2759*(1-PlanterDiscount)*(1+PlanterDifficultyPercentage)),""),"")),"   not ELP, by"))))))))))))))</f>
        <v/>
      </c>
      <c r="AD2759" s="712"/>
      <c r="AE2759" s="513" t="str">
        <f t="shared" si="2061"/>
        <v/>
      </c>
      <c r="AF2759" s="713" t="str">
        <f t="shared" si="2062"/>
        <v/>
      </c>
      <c r="AG2759" s="713"/>
      <c r="AH2759" s="713"/>
      <c r="AI2759" s="112">
        <f>IF(H2759="credit",0,IF(AE2759="free",0,IF(AE2759="me",0,IF(G2759&gt;0,(VLOOKUP(A2759,'Discount Lookup'!J:K,2)*G2759),0))))</f>
        <v>0</v>
      </c>
      <c r="AJ2759" s="107" t="str">
        <f t="shared" ca="1" si="2063"/>
        <v/>
      </c>
      <c r="AK2759" s="714" t="str">
        <f t="shared" si="2064"/>
        <v/>
      </c>
      <c r="AL2759" s="714"/>
      <c r="AM2759" s="114" t="str">
        <f t="shared" si="2065"/>
        <v/>
      </c>
      <c r="AN2759" s="115"/>
      <c r="AO2759" s="116"/>
      <c r="AP2759" s="116"/>
      <c r="AQ2759" s="116"/>
      <c r="AR2759" s="116"/>
      <c r="AS2759" s="116"/>
      <c r="AT2759" s="116"/>
      <c r="AU2759" s="116"/>
      <c r="AV2759" s="78"/>
      <c r="AW2759" s="102"/>
      <c r="AX2759" s="78"/>
      <c r="AY2759" s="78"/>
      <c r="AZ2759" s="78"/>
      <c r="BA2759" s="78"/>
      <c r="BB2759" s="78"/>
      <c r="BC2759" s="78"/>
      <c r="BD2759" s="78"/>
      <c r="BE2759" s="465"/>
      <c r="BF2759" s="165" t="str">
        <f t="shared" si="2066"/>
        <v>https://www.google.com/search?tbm=isch&amp;q=3%20G5</v>
      </c>
      <c r="BG2759" s="165" t="str">
        <f t="shared" si="2067"/>
        <v>L</v>
      </c>
      <c r="BH2759" s="65"/>
      <c r="BI2759" s="65"/>
      <c r="BJ2759" s="65"/>
      <c r="BK2759" s="65"/>
      <c r="BL2759" s="99"/>
      <c r="BM2759" s="99"/>
      <c r="BN2759" s="99"/>
    </row>
    <row r="2760" spans="1:66" s="51" customFormat="1" ht="15.75" x14ac:dyDescent="0.25">
      <c r="A2760" s="478">
        <v>5</v>
      </c>
      <c r="B2760" s="479" t="s">
        <v>291</v>
      </c>
      <c r="C2760" s="480" t="s">
        <v>4635</v>
      </c>
      <c r="D2760" s="481" t="s">
        <v>293</v>
      </c>
      <c r="E2760" s="482">
        <v>64.95</v>
      </c>
      <c r="F2760" s="483" t="s">
        <v>292</v>
      </c>
      <c r="G2760" s="484">
        <v>0</v>
      </c>
      <c r="H2760" s="688" t="str">
        <f>IF(G2760=0,"",IF(F2760="Buy",IF(G2760=1,"plant","plants"),IF(F2760&gt;0.01,"warranty","Error")))</f>
        <v/>
      </c>
      <c r="I2760" s="485">
        <f>IF(H2760="free",0,IF(H2760="credit",((E2760*(F2760))*G2760*-1),IF(F2760="Buy",(E2760*G2760),((E2760*(1-F2760))*G2760))))</f>
        <v>0</v>
      </c>
      <c r="J2760" s="485">
        <f>IF(H2760="warranty",0,(I2760*(_xlfn.SINGLE(SalesTaxPercentage))))</f>
        <v>0</v>
      </c>
      <c r="K2760" s="715">
        <f t="shared" ref="K2760" si="2105">I2760+J2760</f>
        <v>0</v>
      </c>
      <c r="L2760" s="715"/>
      <c r="M2760" s="689" t="str">
        <f ca="1">IF(AND(G2760&gt;0,E2760=0),"WARNING - no PRICE inserted",IF(H2760="free","FREE ~ no charge this plant",IF(H2760="credit",CONCATENATE("-$",ROUND(K2760*(1-_xlfn.SINGLE(T2GDiscount))*-1,2)," CREDIT after discount"),IF(_xlfn.SINGLE(T2GDiscount)=0,"",IF(G2760=0,"",IF(F2760="Buy",CONCATENATE("$",ROUND(K2760*(1-_xlfn.SINGLE(T2GDiscount)),2)," with ",(_xlfn.SINGLE(T2GDiscount)*100),"% discount"),CONCATENATE("$",ROUND(K2760*(1-_xlfn.SINGLE(T2GDiscount)),2)," with ",((_xlfn.SINGLE(T2GDiscount)*100+F2760*100)-(_xlfn.SINGLE(T2GDiscount)*100*F2760)),IF(F2760&gt;0,"% discounts",IF(_xlfn.SINGLE(NoWarrantyDiscount)&gt;0,"% discounts","% discount")))))))))</f>
        <v/>
      </c>
      <c r="N2760" s="690"/>
      <c r="O2760" s="486"/>
      <c r="P2760" s="486"/>
      <c r="Q2760" s="486"/>
      <c r="R2760" s="486"/>
      <c r="S2760" s="486"/>
      <c r="T2760" s="102">
        <f t="shared" si="2055"/>
        <v>0</v>
      </c>
      <c r="U2760" s="78">
        <f>IF(NOT(ISNUMBER(G2760)), "", VLOOKUP(A2760,'Discount Lookup'!D:E,2,FALSE)*G2760)</f>
        <v>0</v>
      </c>
      <c r="V2760" s="78">
        <f>IF(NOT(ISNUMBER(G2760)), "", VLOOKUP(A2760,'Discount Lookup'!G:H,2,FALSE)*G2760)</f>
        <v>0</v>
      </c>
      <c r="W2760" s="102">
        <f t="shared" si="2056"/>
        <v>0</v>
      </c>
      <c r="X2760" s="102">
        <f t="shared" si="2057"/>
        <v>0</v>
      </c>
      <c r="Y2760" s="120" t="b">
        <f t="shared" si="2058"/>
        <v>0</v>
      </c>
      <c r="Z2760" s="117">
        <f t="shared" si="2059"/>
        <v>0</v>
      </c>
      <c r="AA2760" s="118"/>
      <c r="AB2760" s="118" t="str">
        <f t="shared" si="2060"/>
        <v/>
      </c>
      <c r="AC2760" s="712" t="str">
        <f>IF(AE2760="T2G","no charge",IF(AND(OR(PlanterYesMe="No",PlanterYesMe="N",PlanterYesMe="me"),H2760=""),"",IF(H2760="credit","NO install",IF(AND(K2760="",AE2760="me"),"EACH row",IF(AND(K2760="images",AE2760="me"),"EACH row",IF(D2760="","",IF(H2760="credit","",IF(AE2760="free","re-planting",IF(AE2760="me","   not ELP, by",IF(AND(OR(PlanterYesMe="Yes",PlanterYesMe="Y"),G2760&gt;0),(VLOOKUP(A2760,'Discount Lookup'!J:K,2)*G2760*(1-PlanterDiscount)*(1+PlanterDifficultyPercentage)),IF(AE2760="ELP",(VLOOKUP(A2760,'Discount Lookup'!J:K,2)*G2760*(1-PlanterDiscount)*(1+PlanterDifficultyPercentage)),IF(AE2760="free","re-planting",IF(G2760=0,"",IF(PlanterYesMe="",IF(AE2760="me","   not ELP, by",IF(AE2760="",IF(G2760&gt;0,(VLOOKUP(A2760,'Discount Lookup'!J:K,2)*G2760*(1-PlanterDiscount)*(1+PlanterDifficultyPercentage)),""),"")),"   not ELP, by"))))))))))))))</f>
        <v/>
      </c>
      <c r="AD2760" s="712"/>
      <c r="AE2760" s="513" t="str">
        <f t="shared" si="2061"/>
        <v/>
      </c>
      <c r="AF2760" s="713" t="str">
        <f t="shared" si="2062"/>
        <v/>
      </c>
      <c r="AG2760" s="713"/>
      <c r="AH2760" s="713"/>
      <c r="AI2760" s="112">
        <f>IF(H2760="credit",0,IF(AE2760="free",0,IF(AE2760="me",0,IF(G2760&gt;0,(VLOOKUP(A2760,'Discount Lookup'!J:K,2)*G2760),0))))</f>
        <v>0</v>
      </c>
      <c r="AJ2760" s="107" t="str">
        <f t="shared" ca="1" si="2063"/>
        <v/>
      </c>
      <c r="AK2760" s="714" t="str">
        <f t="shared" si="2064"/>
        <v/>
      </c>
      <c r="AL2760" s="714"/>
      <c r="AM2760" s="114" t="str">
        <f t="shared" si="2065"/>
        <v/>
      </c>
      <c r="AN2760" s="115"/>
      <c r="AO2760" s="116"/>
      <c r="AP2760" s="116"/>
      <c r="AQ2760" s="116"/>
      <c r="AR2760" s="116"/>
      <c r="AS2760" s="116"/>
      <c r="AT2760" s="116"/>
      <c r="AU2760" s="116"/>
      <c r="AV2760" s="78"/>
      <c r="AW2760" s="102"/>
      <c r="AX2760" s="78"/>
      <c r="AY2760" s="78"/>
      <c r="AZ2760" s="78"/>
      <c r="BA2760" s="78"/>
      <c r="BB2760" s="78"/>
      <c r="BC2760" s="78"/>
      <c r="BD2760" s="78"/>
      <c r="BE2760" s="465"/>
      <c r="BF2760" s="165" t="str">
        <f t="shared" si="2066"/>
        <v>https://www.google.com/search?tbm=isch&amp;q=5%20G6</v>
      </c>
      <c r="BG2760" s="165" t="str">
        <f t="shared" si="2067"/>
        <v>L</v>
      </c>
      <c r="BH2760" s="65"/>
      <c r="BI2760" s="65"/>
      <c r="BJ2760" s="65"/>
      <c r="BK2760" s="65"/>
      <c r="BL2760" s="99"/>
      <c r="BM2760" s="99"/>
      <c r="BN2760" s="99"/>
    </row>
    <row r="2761" spans="1:66" s="51" customFormat="1" ht="15.75" x14ac:dyDescent="0.25">
      <c r="A2761" s="478">
        <v>7</v>
      </c>
      <c r="B2761" s="479" t="s">
        <v>291</v>
      </c>
      <c r="C2761" s="480" t="s">
        <v>3412</v>
      </c>
      <c r="D2761" s="481" t="s">
        <v>299</v>
      </c>
      <c r="E2761" s="482">
        <v>95.95</v>
      </c>
      <c r="F2761" s="483" t="s">
        <v>292</v>
      </c>
      <c r="G2761" s="484">
        <v>0</v>
      </c>
      <c r="H2761" s="688" t="str">
        <f>IF(G2761=0,"",IF(F2761="Buy",IF(G2761=1,"plant","plants"),IF(F2761&gt;0.01,"warranty","Error")))</f>
        <v/>
      </c>
      <c r="I2761" s="485">
        <f>IF(H2761="free",0,IF(H2761="credit",((E2761*(F2761))*G2761*-1),IF(F2761="Buy",(E2761*G2761),((E2761*(1-F2761))*G2761))))</f>
        <v>0</v>
      </c>
      <c r="J2761" s="485">
        <f>IF(H2761="warranty",0,(I2761*(_xlfn.SINGLE(SalesTaxPercentage))))</f>
        <v>0</v>
      </c>
      <c r="K2761" s="715">
        <f t="shared" ref="K2761" si="2106">I2761+J2761</f>
        <v>0</v>
      </c>
      <c r="L2761" s="715"/>
      <c r="M2761" s="689" t="str">
        <f ca="1">IF(AND(G2761&gt;0,E2761=0),"WARNING - no PRICE inserted",IF(H2761="free","FREE ~ no charge this plant",IF(H2761="credit",CONCATENATE("-$",ROUND(K2761*(1-_xlfn.SINGLE(T2GDiscount))*-1,2)," CREDIT after discount"),IF(_xlfn.SINGLE(T2GDiscount)=0,"",IF(G2761=0,"",IF(F2761="Buy",CONCATENATE("$",ROUND(K2761*(1-_xlfn.SINGLE(T2GDiscount)),2)," with ",(_xlfn.SINGLE(T2GDiscount)*100),"% discount"),CONCATENATE("$",ROUND(K2761*(1-_xlfn.SINGLE(T2GDiscount)),2)," with ",((_xlfn.SINGLE(T2GDiscount)*100+F2761*100)-(_xlfn.SINGLE(T2GDiscount)*100*F2761)),IF(F2761&gt;0,"% discounts",IF(_xlfn.SINGLE(NoWarrantyDiscount)&gt;0,"% discounts","% discount")))))))))</f>
        <v/>
      </c>
      <c r="N2761" s="690"/>
      <c r="O2761" s="486"/>
      <c r="P2761" s="486"/>
      <c r="Q2761" s="486"/>
      <c r="R2761" s="486"/>
      <c r="S2761" s="486"/>
      <c r="T2761" s="102">
        <f t="shared" si="2055"/>
        <v>0</v>
      </c>
      <c r="U2761" s="78">
        <f>IF(NOT(ISNUMBER(G2761)), "", VLOOKUP(A2761,'Discount Lookup'!D:E,2,FALSE)*G2761)</f>
        <v>0</v>
      </c>
      <c r="V2761" s="78">
        <f>IF(NOT(ISNUMBER(G2761)), "", VLOOKUP(A2761,'Discount Lookup'!G:H,2,FALSE)*G2761)</f>
        <v>0</v>
      </c>
      <c r="W2761" s="102">
        <f t="shared" si="2056"/>
        <v>0</v>
      </c>
      <c r="X2761" s="102">
        <f t="shared" si="2057"/>
        <v>0</v>
      </c>
      <c r="Y2761" s="120" t="b">
        <f t="shared" si="2058"/>
        <v>0</v>
      </c>
      <c r="Z2761" s="117">
        <f t="shared" si="2059"/>
        <v>0</v>
      </c>
      <c r="AA2761" s="118"/>
      <c r="AB2761" s="118" t="str">
        <f t="shared" si="2060"/>
        <v/>
      </c>
      <c r="AC2761" s="712" t="str">
        <f>IF(AE2761="T2G","no charge",IF(AND(OR(PlanterYesMe="No",PlanterYesMe="N",PlanterYesMe="me"),H2761=""),"",IF(H2761="credit","NO install",IF(AND(K2761="",AE2761="me"),"EACH row",IF(AND(K2761="images",AE2761="me"),"EACH row",IF(D2761="","",IF(H2761="credit","",IF(AE2761="free","re-planting",IF(AE2761="me","   not ELP, by",IF(AND(OR(PlanterYesMe="Yes",PlanterYesMe="Y"),G2761&gt;0),(VLOOKUP(A2761,'Discount Lookup'!J:K,2)*G2761*(1-PlanterDiscount)*(1+PlanterDifficultyPercentage)),IF(AE2761="ELP",(VLOOKUP(A2761,'Discount Lookup'!J:K,2)*G2761*(1-PlanterDiscount)*(1+PlanterDifficultyPercentage)),IF(AE2761="free","re-planting",IF(G2761=0,"",IF(PlanterYesMe="",IF(AE2761="me","   not ELP, by",IF(AE2761="",IF(G2761&gt;0,(VLOOKUP(A2761,'Discount Lookup'!J:K,2)*G2761*(1-PlanterDiscount)*(1+PlanterDifficultyPercentage)),""),"")),"   not ELP, by"))))))))))))))</f>
        <v/>
      </c>
      <c r="AD2761" s="712"/>
      <c r="AE2761" s="513" t="str">
        <f t="shared" si="2061"/>
        <v/>
      </c>
      <c r="AF2761" s="713" t="str">
        <f t="shared" si="2062"/>
        <v/>
      </c>
      <c r="AG2761" s="713"/>
      <c r="AH2761" s="713"/>
      <c r="AI2761" s="112">
        <f>IF(H2761="credit",0,IF(AE2761="free",0,IF(AE2761="me",0,IF(G2761&gt;0,(VLOOKUP(A2761,'Discount Lookup'!J:K,2)*G2761),0))))</f>
        <v>0</v>
      </c>
      <c r="AJ2761" s="107" t="str">
        <f t="shared" ca="1" si="2063"/>
        <v/>
      </c>
      <c r="AK2761" s="714" t="str">
        <f t="shared" si="2064"/>
        <v/>
      </c>
      <c r="AL2761" s="714"/>
      <c r="AM2761" s="114" t="str">
        <f t="shared" si="2065"/>
        <v/>
      </c>
      <c r="AN2761" s="115"/>
      <c r="AO2761" s="116"/>
      <c r="AP2761" s="116"/>
      <c r="AQ2761" s="116"/>
      <c r="AR2761" s="116"/>
      <c r="AS2761" s="116"/>
      <c r="AT2761" s="116"/>
      <c r="AU2761" s="116"/>
      <c r="AV2761" s="78"/>
      <c r="AW2761" s="102"/>
      <c r="AX2761" s="78"/>
      <c r="AY2761" s="78"/>
      <c r="AZ2761" s="78"/>
      <c r="BA2761" s="78"/>
      <c r="BB2761" s="78"/>
      <c r="BC2761" s="78"/>
      <c r="BD2761" s="78"/>
      <c r="BE2761" s="465"/>
      <c r="BF2761" s="165" t="str">
        <f t="shared" si="2066"/>
        <v>https://www.google.com/search?tbm=isch&amp;q=7%20G4</v>
      </c>
      <c r="BG2761" s="165" t="str">
        <f t="shared" si="2067"/>
        <v>L</v>
      </c>
      <c r="BH2761" s="65"/>
      <c r="BI2761" s="65"/>
      <c r="BJ2761" s="65"/>
      <c r="BK2761" s="65"/>
      <c r="BL2761" s="99"/>
      <c r="BM2761" s="99"/>
      <c r="BN2761" s="99"/>
    </row>
    <row r="2762" spans="1:66" s="51" customFormat="1" ht="16.5" thickBot="1" x14ac:dyDescent="0.3">
      <c r="A2762" s="508" t="s">
        <v>3413</v>
      </c>
      <c r="B2762" s="487"/>
      <c r="C2762" s="707"/>
      <c r="D2762" s="487"/>
      <c r="E2762" s="487"/>
      <c r="F2762" s="488"/>
      <c r="G2762" s="489"/>
      <c r="H2762" s="487"/>
      <c r="I2762" s="490"/>
      <c r="J2762" s="490"/>
      <c r="K2762" s="491"/>
      <c r="L2762" s="547"/>
      <c r="M2762" s="528"/>
      <c r="N2762" s="492"/>
      <c r="O2762" s="493"/>
      <c r="P2762" s="494"/>
      <c r="Q2762" s="492"/>
      <c r="R2762" s="492"/>
      <c r="S2762" s="495"/>
      <c r="T2762" s="102">
        <f t="shared" si="2055"/>
        <v>0</v>
      </c>
      <c r="U2762" s="78" t="str">
        <f>IF(NOT(ISNUMBER(G2762)), "", VLOOKUP(A2762,'Discount Lookup'!D:E,2,FALSE)*G2762)</f>
        <v/>
      </c>
      <c r="V2762" s="78" t="str">
        <f>IF(NOT(ISNUMBER(G2762)), "", VLOOKUP(A2762,'Discount Lookup'!G:H,2,FALSE)*G2762)</f>
        <v/>
      </c>
      <c r="W2762" s="102">
        <f t="shared" si="2056"/>
        <v>0</v>
      </c>
      <c r="X2762" s="102">
        <f t="shared" si="2057"/>
        <v>0</v>
      </c>
      <c r="Y2762" s="120" t="b">
        <f t="shared" si="2058"/>
        <v>0</v>
      </c>
      <c r="Z2762" s="117">
        <f t="shared" si="2059"/>
        <v>0</v>
      </c>
      <c r="AA2762" s="118"/>
      <c r="AB2762" s="118" t="str">
        <f t="shared" si="2060"/>
        <v/>
      </c>
      <c r="AC2762" s="712" t="str">
        <f>IF(AE2762="T2G","no charge",IF(AND(OR(PlanterYesMe="No",PlanterYesMe="N",PlanterYesMe="me"),H2762=""),"",IF(H2762="credit","NO install",IF(AND(K2762="",AE2762="me"),"EACH row",IF(AND(K2762="images",AE2762="me"),"EACH row",IF(D2762="","",IF(H2762="credit","",IF(AE2762="free","re-planting",IF(AE2762="me","   not ELP, by",IF(AND(OR(PlanterYesMe="Yes",PlanterYesMe="Y"),G2762&gt;0),(VLOOKUP(A2762,'Discount Lookup'!J:K,2)*G2762*(1-PlanterDiscount)*(1+PlanterDifficultyPercentage)),IF(AE2762="ELP",(VLOOKUP(A2762,'Discount Lookup'!J:K,2)*G2762*(1-PlanterDiscount)*(1+PlanterDifficultyPercentage)),IF(AE2762="free","re-planting",IF(G2762=0,"",IF(PlanterYesMe="",IF(AE2762="me","   not ELP, by",IF(AE2762="",IF(G2762&gt;0,(VLOOKUP(A2762,'Discount Lookup'!J:K,2)*G2762*(1-PlanterDiscount)*(1+PlanterDifficultyPercentage)),""),"")),"   not ELP, by"))))))))))))))</f>
        <v/>
      </c>
      <c r="AD2762" s="712"/>
      <c r="AE2762" s="513" t="str">
        <f t="shared" si="2061"/>
        <v/>
      </c>
      <c r="AF2762" s="713" t="str">
        <f t="shared" si="2062"/>
        <v/>
      </c>
      <c r="AG2762" s="713"/>
      <c r="AH2762" s="713"/>
      <c r="AI2762" s="112">
        <f>IF(H2762="credit",0,IF(AE2762="free",0,IF(AE2762="me",0,IF(G2762&gt;0,(VLOOKUP(A2762,'Discount Lookup'!J:K,2)*G2762),0))))</f>
        <v>0</v>
      </c>
      <c r="AJ2762" s="107" t="str">
        <f t="shared" ca="1" si="2063"/>
        <v/>
      </c>
      <c r="AK2762" s="714" t="str">
        <f t="shared" si="2064"/>
        <v/>
      </c>
      <c r="AL2762" s="714"/>
      <c r="AM2762" s="114" t="str">
        <f t="shared" si="2065"/>
        <v/>
      </c>
      <c r="AN2762" s="115"/>
      <c r="AO2762" s="116"/>
      <c r="AP2762" s="116"/>
      <c r="AQ2762" s="116"/>
      <c r="AR2762" s="116"/>
      <c r="AS2762" s="116"/>
      <c r="AT2762" s="116"/>
      <c r="AU2762" s="116"/>
      <c r="AV2762" s="78"/>
      <c r="AW2762" s="102"/>
      <c r="AX2762" s="78"/>
      <c r="AY2762" s="78"/>
      <c r="AZ2762" s="78"/>
      <c r="BA2762" s="78"/>
      <c r="BB2762" s="78"/>
      <c r="BC2762" s="78"/>
      <c r="BD2762" s="78"/>
      <c r="BE2762" s="465"/>
      <c r="BF2762" s="165" t="str">
        <f t="shared" si="2066"/>
        <v>https://www.google.com/search?tbm=isch&amp;q=Purple%20Daydream%20has%20Deep%20Burgundy-Purple%20foliage.%20Fringe-like%20flowers%20bloom%20periodically%20after%20spring%20</v>
      </c>
      <c r="BG2762" s="165" t="str">
        <f t="shared" si="2067"/>
        <v>P</v>
      </c>
      <c r="BH2762" s="65"/>
      <c r="BI2762" s="65"/>
      <c r="BJ2762" s="65"/>
      <c r="BK2762" s="65"/>
      <c r="BL2762" s="99"/>
      <c r="BM2762" s="99"/>
      <c r="BN2762" s="99"/>
    </row>
    <row r="2763" spans="1:66" s="51" customFormat="1" ht="18" x14ac:dyDescent="0.25">
      <c r="A2763" s="507" t="s">
        <v>3414</v>
      </c>
      <c r="B2763" s="470"/>
      <c r="C2763" s="706"/>
      <c r="D2763" s="471" t="s">
        <v>5733</v>
      </c>
      <c r="E2763" s="472"/>
      <c r="F2763" s="472"/>
      <c r="G2763" s="472"/>
      <c r="H2763" s="622" t="s">
        <v>1076</v>
      </c>
      <c r="I2763" s="473" t="s">
        <v>3415</v>
      </c>
      <c r="J2763" s="472"/>
      <c r="K2763" s="472"/>
      <c r="L2763" s="561"/>
      <c r="M2763" s="698" t="s">
        <v>5246</v>
      </c>
      <c r="N2763" s="692" t="str">
        <f>IF(AND(ISTEXT($A2763), ISERROR($A2763+0)), HYPERLINK($BF2763, "Images"), "")</f>
        <v>Images</v>
      </c>
      <c r="O2763" s="694" t="s">
        <v>5247</v>
      </c>
      <c r="P2763" s="475"/>
      <c r="Q2763" s="476"/>
      <c r="R2763" s="476"/>
      <c r="S2763" s="477"/>
      <c r="T2763" s="102">
        <f t="shared" si="2055"/>
        <v>0</v>
      </c>
      <c r="U2763" s="78" t="str">
        <f>IF(NOT(ISNUMBER(G2763)), "", VLOOKUP(A2763,'Discount Lookup'!D:E,2,FALSE)*G2763)</f>
        <v/>
      </c>
      <c r="V2763" s="78" t="str">
        <f>IF(NOT(ISNUMBER(G2763)), "", VLOOKUP(A2763,'Discount Lookup'!G:H,2,FALSE)*G2763)</f>
        <v/>
      </c>
      <c r="W2763" s="102">
        <f t="shared" si="2056"/>
        <v>0</v>
      </c>
      <c r="X2763" s="102" t="str">
        <f t="shared" si="2057"/>
        <v>Deep Plum-Purple bloom</v>
      </c>
      <c r="Y2763" s="120" t="b">
        <f t="shared" si="2058"/>
        <v>0</v>
      </c>
      <c r="Z2763" s="117">
        <f t="shared" si="2059"/>
        <v>0</v>
      </c>
      <c r="AA2763" s="118"/>
      <c r="AB2763" s="118" t="str">
        <f t="shared" si="2060"/>
        <v/>
      </c>
      <c r="AC2763" s="712" t="str">
        <f>IF(AE2763="T2G","no charge",IF(AND(OR(PlanterYesMe="No",PlanterYesMe="N",PlanterYesMe="me"),H2763=""),"",IF(H2763="credit","NO install",IF(AND(K2763="",AE2763="me"),"EACH row",IF(AND(K2763="images",AE2763="me"),"EACH row",IF(D2763="","",IF(H2763="credit","",IF(AE2763="free","re-planting",IF(AE2763="me","   not ELP, by",IF(AND(OR(PlanterYesMe="Yes",PlanterYesMe="Y"),G2763&gt;0),(VLOOKUP(A2763,'Discount Lookup'!J:K,2)*G2763*(1-PlanterDiscount)*(1+PlanterDifficultyPercentage)),IF(AE2763="ELP",(VLOOKUP(A2763,'Discount Lookup'!J:K,2)*G2763*(1-PlanterDiscount)*(1+PlanterDifficultyPercentage)),IF(AE2763="free","re-planting",IF(G2763=0,"",IF(PlanterYesMe="",IF(AE2763="me","   not ELP, by",IF(AE2763="",IF(G2763&gt;0,(VLOOKUP(A2763,'Discount Lookup'!J:K,2)*G2763*(1-PlanterDiscount)*(1+PlanterDifficultyPercentage)),""),"")),"   not ELP, by"))))))))))))))</f>
        <v/>
      </c>
      <c r="AD2763" s="712"/>
      <c r="AE2763" s="513" t="str">
        <f t="shared" si="2061"/>
        <v/>
      </c>
      <c r="AF2763" s="713" t="str">
        <f t="shared" si="2062"/>
        <v/>
      </c>
      <c r="AG2763" s="713"/>
      <c r="AH2763" s="713"/>
      <c r="AI2763" s="112">
        <f>IF(H2763="credit",0,IF(AE2763="free",0,IF(AE2763="me",0,IF(G2763&gt;0,(VLOOKUP(A2763,'Discount Lookup'!J:K,2)*G2763),0))))</f>
        <v>0</v>
      </c>
      <c r="AJ2763" s="107" t="str">
        <f t="shared" ca="1" si="2063"/>
        <v/>
      </c>
      <c r="AK2763" s="714" t="str">
        <f t="shared" si="2064"/>
        <v/>
      </c>
      <c r="AL2763" s="714"/>
      <c r="AM2763" s="114" t="str">
        <f t="shared" si="2065"/>
        <v/>
      </c>
      <c r="AN2763" s="115"/>
      <c r="AO2763" s="116"/>
      <c r="AP2763" s="116"/>
      <c r="AQ2763" s="116"/>
      <c r="AR2763" s="116"/>
      <c r="AS2763" s="116"/>
      <c r="AT2763" s="116"/>
      <c r="AU2763" s="116"/>
      <c r="AV2763" s="78"/>
      <c r="AW2763" s="102"/>
      <c r="AX2763" s="78"/>
      <c r="AY2763" s="78"/>
      <c r="AZ2763" s="78"/>
      <c r="BA2763" s="78"/>
      <c r="BB2763" s="78"/>
      <c r="BC2763" s="78"/>
      <c r="BD2763" s="78"/>
      <c r="BE2763" s="465"/>
      <c r="BF2763" s="165" t="str">
        <f t="shared" si="2066"/>
        <v>https://www.google.com/search?tbm=isch&amp;q=Loropetalum%20chin.%20var.%20r.%20%27Plum%20Gorgeous%27%20PPAF%20Plum%20Gorgeous%E2%84%A2%20Loropetalum</v>
      </c>
      <c r="BG2763" s="165" t="str">
        <f t="shared" si="2067"/>
        <v>L</v>
      </c>
      <c r="BH2763" s="65"/>
      <c r="BI2763" s="65"/>
      <c r="BJ2763" s="65"/>
      <c r="BK2763" s="65"/>
      <c r="BL2763" s="99"/>
      <c r="BM2763" s="99"/>
      <c r="BN2763" s="99"/>
    </row>
    <row r="2764" spans="1:66" s="51" customFormat="1" ht="15.75" x14ac:dyDescent="0.25">
      <c r="A2764" s="478">
        <v>1</v>
      </c>
      <c r="B2764" s="479" t="s">
        <v>291</v>
      </c>
      <c r="C2764" s="480" t="s">
        <v>3416</v>
      </c>
      <c r="D2764" s="481" t="s">
        <v>329</v>
      </c>
      <c r="E2764" s="482">
        <v>29.95</v>
      </c>
      <c r="F2764" s="483" t="s">
        <v>292</v>
      </c>
      <c r="G2764" s="484">
        <v>0</v>
      </c>
      <c r="H2764" s="688" t="str">
        <f>IF(G2764=0,"",IF(F2764="Buy",IF(G2764=1,"plant","plants"),IF(F2764&gt;0.01,"warranty","Error")))</f>
        <v/>
      </c>
      <c r="I2764" s="485">
        <f>IF(H2764="free",0,IF(H2764="credit",((E2764*(F2764))*G2764*-1),IF(F2764="Buy",(E2764*G2764),((E2764*(1-F2764))*G2764))))</f>
        <v>0</v>
      </c>
      <c r="J2764" s="485">
        <f>IF(H2764="warranty",0,(I2764*(_xlfn.SINGLE(SalesTaxPercentage))))</f>
        <v>0</v>
      </c>
      <c r="K2764" s="715">
        <f t="shared" ref="K2764" si="2107">I2764+J2764</f>
        <v>0</v>
      </c>
      <c r="L2764" s="715"/>
      <c r="M2764" s="689" t="str">
        <f ca="1">IF(AND(G2764&gt;0,E2764=0),"WARNING - no PRICE inserted",IF(H2764="free","FREE ~ no charge this plant",IF(H2764="credit",CONCATENATE("-$",ROUND(K2764*(1-_xlfn.SINGLE(T2GDiscount))*-1,2)," CREDIT after discount"),IF(_xlfn.SINGLE(T2GDiscount)=0,"",IF(G2764=0,"",IF(F2764="Buy",CONCATENATE("$",ROUND(K2764*(1-_xlfn.SINGLE(T2GDiscount)),2)," with ",(_xlfn.SINGLE(T2GDiscount)*100),"% discount"),CONCATENATE("$",ROUND(K2764*(1-_xlfn.SINGLE(T2GDiscount)),2)," with ",((_xlfn.SINGLE(T2GDiscount)*100+F2764*100)-(_xlfn.SINGLE(T2GDiscount)*100*F2764)),IF(F2764&gt;0,"% discounts",IF(_xlfn.SINGLE(NoWarrantyDiscount)&gt;0,"% discounts","% discount")))))))))</f>
        <v/>
      </c>
      <c r="N2764" s="690"/>
      <c r="O2764" s="486"/>
      <c r="P2764" s="486"/>
      <c r="Q2764" s="486"/>
      <c r="R2764" s="486"/>
      <c r="S2764" s="486"/>
      <c r="T2764" s="102">
        <f t="shared" si="2055"/>
        <v>0</v>
      </c>
      <c r="U2764" s="78">
        <f>IF(NOT(ISNUMBER(G2764)), "", VLOOKUP(A2764,'Discount Lookup'!D:E,2,FALSE)*G2764)</f>
        <v>0</v>
      </c>
      <c r="V2764" s="78">
        <f>IF(NOT(ISNUMBER(G2764)), "", VLOOKUP(A2764,'Discount Lookup'!G:H,2,FALSE)*G2764)</f>
        <v>0</v>
      </c>
      <c r="W2764" s="102">
        <f t="shared" si="2056"/>
        <v>0</v>
      </c>
      <c r="X2764" s="102">
        <f t="shared" si="2057"/>
        <v>0</v>
      </c>
      <c r="Y2764" s="120" t="b">
        <f t="shared" si="2058"/>
        <v>0</v>
      </c>
      <c r="Z2764" s="117">
        <f t="shared" si="2059"/>
        <v>0</v>
      </c>
      <c r="AA2764" s="118"/>
      <c r="AB2764" s="118" t="str">
        <f t="shared" si="2060"/>
        <v/>
      </c>
      <c r="AC2764" s="712" t="str">
        <f>IF(AE2764="T2G","no charge",IF(AND(OR(PlanterYesMe="No",PlanterYesMe="N",PlanterYesMe="me"),H2764=""),"",IF(H2764="credit","NO install",IF(AND(K2764="",AE2764="me"),"EACH row",IF(AND(K2764="images",AE2764="me"),"EACH row",IF(D2764="","",IF(H2764="credit","",IF(AE2764="free","re-planting",IF(AE2764="me","   not ELP, by",IF(AND(OR(PlanterYesMe="Yes",PlanterYesMe="Y"),G2764&gt;0),(VLOOKUP(A2764,'Discount Lookup'!J:K,2)*G2764*(1-PlanterDiscount)*(1+PlanterDifficultyPercentage)),IF(AE2764="ELP",(VLOOKUP(A2764,'Discount Lookup'!J:K,2)*G2764*(1-PlanterDiscount)*(1+PlanterDifficultyPercentage)),IF(AE2764="free","re-planting",IF(G2764=0,"",IF(PlanterYesMe="",IF(AE2764="me","   not ELP, by",IF(AE2764="",IF(G2764&gt;0,(VLOOKUP(A2764,'Discount Lookup'!J:K,2)*G2764*(1-PlanterDiscount)*(1+PlanterDifficultyPercentage)),""),"")),"   not ELP, by"))))))))))))))</f>
        <v/>
      </c>
      <c r="AD2764" s="712"/>
      <c r="AE2764" s="513" t="str">
        <f t="shared" si="2061"/>
        <v/>
      </c>
      <c r="AF2764" s="713" t="str">
        <f t="shared" si="2062"/>
        <v/>
      </c>
      <c r="AG2764" s="713"/>
      <c r="AH2764" s="713"/>
      <c r="AI2764" s="112">
        <f>IF(H2764="credit",0,IF(AE2764="free",0,IF(AE2764="me",0,IF(G2764&gt;0,(VLOOKUP(A2764,'Discount Lookup'!J:K,2)*G2764),0))))</f>
        <v>0</v>
      </c>
      <c r="AJ2764" s="107" t="str">
        <f t="shared" ca="1" si="2063"/>
        <v/>
      </c>
      <c r="AK2764" s="714" t="str">
        <f t="shared" si="2064"/>
        <v/>
      </c>
      <c r="AL2764" s="714"/>
      <c r="AM2764" s="114" t="str">
        <f t="shared" si="2065"/>
        <v/>
      </c>
      <c r="AN2764" s="115"/>
      <c r="AO2764" s="116"/>
      <c r="AP2764" s="116"/>
      <c r="AQ2764" s="116"/>
      <c r="AR2764" s="116"/>
      <c r="AS2764" s="116"/>
      <c r="AT2764" s="116"/>
      <c r="AU2764" s="116"/>
      <c r="AV2764" s="78"/>
      <c r="AW2764" s="102"/>
      <c r="AX2764" s="78"/>
      <c r="AY2764" s="78"/>
      <c r="AZ2764" s="78"/>
      <c r="BA2764" s="78"/>
      <c r="BB2764" s="78"/>
      <c r="BC2764" s="78"/>
      <c r="BD2764" s="78"/>
      <c r="BE2764" s="465"/>
      <c r="BF2764" s="165" t="str">
        <f t="shared" si="2066"/>
        <v>https://www.google.com/search?tbm=isch&amp;q=1%20G2</v>
      </c>
      <c r="BG2764" s="165" t="str">
        <f t="shared" si="2067"/>
        <v>L</v>
      </c>
      <c r="BH2764" s="65"/>
      <c r="BI2764" s="65"/>
      <c r="BJ2764" s="65"/>
      <c r="BK2764" s="65"/>
      <c r="BL2764" s="99"/>
      <c r="BM2764" s="99"/>
      <c r="BN2764" s="99"/>
    </row>
    <row r="2765" spans="1:66" s="51" customFormat="1" ht="16.5" thickBot="1" x14ac:dyDescent="0.3">
      <c r="A2765" s="508" t="s">
        <v>4776</v>
      </c>
      <c r="B2765" s="487"/>
      <c r="C2765" s="707"/>
      <c r="D2765" s="487"/>
      <c r="E2765" s="487"/>
      <c r="F2765" s="488"/>
      <c r="G2765" s="489"/>
      <c r="H2765" s="487"/>
      <c r="I2765" s="490"/>
      <c r="J2765" s="490"/>
      <c r="K2765" s="491"/>
      <c r="L2765" s="547"/>
      <c r="M2765" s="528"/>
      <c r="N2765" s="492"/>
      <c r="O2765" s="493"/>
      <c r="P2765" s="494"/>
      <c r="Q2765" s="492"/>
      <c r="R2765" s="492"/>
      <c r="S2765" s="495"/>
      <c r="T2765" s="102">
        <f t="shared" si="2055"/>
        <v>0</v>
      </c>
      <c r="U2765" s="78" t="str">
        <f>IF(NOT(ISNUMBER(G2765)), "", VLOOKUP(A2765,'Discount Lookup'!D:E,2,FALSE)*G2765)</f>
        <v/>
      </c>
      <c r="V2765" s="78" t="str">
        <f>IF(NOT(ISNUMBER(G2765)), "", VLOOKUP(A2765,'Discount Lookup'!G:H,2,FALSE)*G2765)</f>
        <v/>
      </c>
      <c r="W2765" s="102">
        <f t="shared" si="2056"/>
        <v>0</v>
      </c>
      <c r="X2765" s="102">
        <f t="shared" si="2057"/>
        <v>0</v>
      </c>
      <c r="Y2765" s="120" t="b">
        <f t="shared" si="2058"/>
        <v>0</v>
      </c>
      <c r="Z2765" s="117">
        <f t="shared" si="2059"/>
        <v>0</v>
      </c>
      <c r="AA2765" s="118"/>
      <c r="AB2765" s="118" t="str">
        <f t="shared" si="2060"/>
        <v/>
      </c>
      <c r="AC2765" s="712" t="str">
        <f>IF(AE2765="T2G","no charge",IF(AND(OR(PlanterYesMe="No",PlanterYesMe="N",PlanterYesMe="me"),H2765=""),"",IF(H2765="credit","NO install",IF(AND(K2765="",AE2765="me"),"EACH row",IF(AND(K2765="images",AE2765="me"),"EACH row",IF(D2765="","",IF(H2765="credit","",IF(AE2765="free","re-planting",IF(AE2765="me","   not ELP, by",IF(AND(OR(PlanterYesMe="Yes",PlanterYesMe="Y"),G2765&gt;0),(VLOOKUP(A2765,'Discount Lookup'!J:K,2)*G2765*(1-PlanterDiscount)*(1+PlanterDifficultyPercentage)),IF(AE2765="ELP",(VLOOKUP(A2765,'Discount Lookup'!J:K,2)*G2765*(1-PlanterDiscount)*(1+PlanterDifficultyPercentage)),IF(AE2765="free","re-planting",IF(G2765=0,"",IF(PlanterYesMe="",IF(AE2765="me","   not ELP, by",IF(AE2765="",IF(G2765&gt;0,(VLOOKUP(A2765,'Discount Lookup'!J:K,2)*G2765*(1-PlanterDiscount)*(1+PlanterDifficultyPercentage)),""),"")),"   not ELP, by"))))))))))))))</f>
        <v/>
      </c>
      <c r="AD2765" s="712"/>
      <c r="AE2765" s="513" t="str">
        <f t="shared" si="2061"/>
        <v/>
      </c>
      <c r="AF2765" s="713" t="str">
        <f t="shared" si="2062"/>
        <v/>
      </c>
      <c r="AG2765" s="713"/>
      <c r="AH2765" s="713"/>
      <c r="AI2765" s="112">
        <f>IF(H2765="credit",0,IF(AE2765="free",0,IF(AE2765="me",0,IF(G2765&gt;0,(VLOOKUP(A2765,'Discount Lookup'!J:K,2)*G2765),0))))</f>
        <v>0</v>
      </c>
      <c r="AJ2765" s="107" t="str">
        <f t="shared" ca="1" si="2063"/>
        <v/>
      </c>
      <c r="AK2765" s="714" t="str">
        <f t="shared" si="2064"/>
        <v/>
      </c>
      <c r="AL2765" s="714"/>
      <c r="AM2765" s="114" t="str">
        <f t="shared" si="2065"/>
        <v/>
      </c>
      <c r="AN2765" s="115"/>
      <c r="AO2765" s="116"/>
      <c r="AP2765" s="116"/>
      <c r="AQ2765" s="116"/>
      <c r="AR2765" s="116"/>
      <c r="AS2765" s="116"/>
      <c r="AT2765" s="116"/>
      <c r="AU2765" s="116"/>
      <c r="AV2765" s="78"/>
      <c r="AW2765" s="102"/>
      <c r="AX2765" s="78"/>
      <c r="AY2765" s="78"/>
      <c r="AZ2765" s="78"/>
      <c r="BA2765" s="78"/>
      <c r="BB2765" s="78"/>
      <c r="BC2765" s="78"/>
      <c r="BD2765" s="78"/>
      <c r="BE2765" s="465"/>
      <c r="BF2765" s="165" t="str">
        <f t="shared" si="2066"/>
        <v>https://www.google.com/search?tbm=isch&amp;q=Plum%20Gorgeous%20offers%20bold%20Purple%20foliage.%20Fringe-like%20flowers%20bloom%20periodically%20after%20spring%20</v>
      </c>
      <c r="BG2765" s="165" t="str">
        <f t="shared" si="2067"/>
        <v>P</v>
      </c>
      <c r="BH2765" s="65"/>
      <c r="BI2765" s="65"/>
      <c r="BJ2765" s="65"/>
      <c r="BK2765" s="65"/>
      <c r="BL2765" s="99"/>
      <c r="BM2765" s="99"/>
      <c r="BN2765" s="99"/>
    </row>
    <row r="2766" spans="1:66" s="51" customFormat="1" ht="18" x14ac:dyDescent="0.25">
      <c r="A2766" s="507" t="s">
        <v>3417</v>
      </c>
      <c r="B2766" s="470"/>
      <c r="C2766" s="706"/>
      <c r="D2766" s="471" t="s">
        <v>3418</v>
      </c>
      <c r="E2766" s="472"/>
      <c r="F2766" s="472"/>
      <c r="G2766" s="472"/>
      <c r="H2766" s="622" t="s">
        <v>1217</v>
      </c>
      <c r="I2766" s="473" t="s">
        <v>3399</v>
      </c>
      <c r="J2766" s="472"/>
      <c r="K2766" s="472"/>
      <c r="L2766" s="561"/>
      <c r="M2766" s="698" t="s">
        <v>5246</v>
      </c>
      <c r="N2766" s="692" t="str">
        <f>IF(AND(ISTEXT($A2766), ISERROR($A2766+0)), HYPERLINK($BF2766, "Images"), "")</f>
        <v>Images</v>
      </c>
      <c r="O2766" s="694" t="s">
        <v>5247</v>
      </c>
      <c r="P2766" s="475"/>
      <c r="Q2766" s="476"/>
      <c r="R2766" s="476"/>
      <c r="S2766" s="477"/>
      <c r="T2766" s="102">
        <f t="shared" si="2055"/>
        <v>0</v>
      </c>
      <c r="U2766" s="78" t="str">
        <f>IF(NOT(ISNUMBER(G2766)), "", VLOOKUP(A2766,'Discount Lookup'!D:E,2,FALSE)*G2766)</f>
        <v/>
      </c>
      <c r="V2766" s="78" t="str">
        <f>IF(NOT(ISNUMBER(G2766)), "", VLOOKUP(A2766,'Discount Lookup'!G:H,2,FALSE)*G2766)</f>
        <v/>
      </c>
      <c r="W2766" s="102">
        <f t="shared" si="2056"/>
        <v>0</v>
      </c>
      <c r="X2766" s="102" t="str">
        <f t="shared" si="2057"/>
        <v>Neon-Pink bloom</v>
      </c>
      <c r="Y2766" s="120" t="b">
        <f t="shared" si="2058"/>
        <v>0</v>
      </c>
      <c r="Z2766" s="117">
        <f t="shared" si="2059"/>
        <v>0</v>
      </c>
      <c r="AA2766" s="118"/>
      <c r="AB2766" s="118" t="str">
        <f t="shared" si="2060"/>
        <v/>
      </c>
      <c r="AC2766" s="712" t="str">
        <f>IF(AE2766="T2G","no charge",IF(AND(OR(PlanterYesMe="No",PlanterYesMe="N",PlanterYesMe="me"),H2766=""),"",IF(H2766="credit","NO install",IF(AND(K2766="",AE2766="me"),"EACH row",IF(AND(K2766="images",AE2766="me"),"EACH row",IF(D2766="","",IF(H2766="credit","",IF(AE2766="free","re-planting",IF(AE2766="me","   not ELP, by",IF(AND(OR(PlanterYesMe="Yes",PlanterYesMe="Y"),G2766&gt;0),(VLOOKUP(A2766,'Discount Lookup'!J:K,2)*G2766*(1-PlanterDiscount)*(1+PlanterDifficultyPercentage)),IF(AE2766="ELP",(VLOOKUP(A2766,'Discount Lookup'!J:K,2)*G2766*(1-PlanterDiscount)*(1+PlanterDifficultyPercentage)),IF(AE2766="free","re-planting",IF(G2766=0,"",IF(PlanterYesMe="",IF(AE2766="me","   not ELP, by",IF(AE2766="",IF(G2766&gt;0,(VLOOKUP(A2766,'Discount Lookup'!J:K,2)*G2766*(1-PlanterDiscount)*(1+PlanterDifficultyPercentage)),""),"")),"   not ELP, by"))))))))))))))</f>
        <v/>
      </c>
      <c r="AD2766" s="712"/>
      <c r="AE2766" s="513" t="str">
        <f t="shared" si="2061"/>
        <v/>
      </c>
      <c r="AF2766" s="713" t="str">
        <f t="shared" si="2062"/>
        <v/>
      </c>
      <c r="AG2766" s="713"/>
      <c r="AH2766" s="713"/>
      <c r="AI2766" s="112">
        <f>IF(H2766="credit",0,IF(AE2766="free",0,IF(AE2766="me",0,IF(G2766&gt;0,(VLOOKUP(A2766,'Discount Lookup'!J:K,2)*G2766),0))))</f>
        <v>0</v>
      </c>
      <c r="AJ2766" s="107" t="str">
        <f t="shared" ca="1" si="2063"/>
        <v/>
      </c>
      <c r="AK2766" s="714" t="str">
        <f t="shared" si="2064"/>
        <v/>
      </c>
      <c r="AL2766" s="714"/>
      <c r="AM2766" s="114" t="str">
        <f t="shared" si="2065"/>
        <v/>
      </c>
      <c r="AN2766" s="115"/>
      <c r="AO2766" s="116"/>
      <c r="AP2766" s="116"/>
      <c r="AQ2766" s="116"/>
      <c r="AR2766" s="116"/>
      <c r="AS2766" s="116"/>
      <c r="AT2766" s="116"/>
      <c r="AU2766" s="116"/>
      <c r="AV2766" s="78"/>
      <c r="AW2766" s="102"/>
      <c r="AX2766" s="78"/>
      <c r="AY2766" s="78"/>
      <c r="AZ2766" s="78"/>
      <c r="BA2766" s="78"/>
      <c r="BB2766" s="78"/>
      <c r="BC2766" s="78"/>
      <c r="BD2766" s="78"/>
      <c r="BE2766" s="465"/>
      <c r="BF2766" s="165" t="str">
        <f t="shared" si="2066"/>
        <v>https://www.google.com/search?tbm=isch&amp;q=Loropetalum%20chin.%20var.%20r.%20%27Ruby%27%20Ruby%20Loropetalum</v>
      </c>
      <c r="BG2766" s="165" t="str">
        <f t="shared" si="2067"/>
        <v>L</v>
      </c>
      <c r="BH2766" s="65"/>
      <c r="BI2766" s="65"/>
      <c r="BJ2766" s="65"/>
      <c r="BK2766" s="65"/>
      <c r="BL2766" s="99"/>
      <c r="BM2766" s="99"/>
      <c r="BN2766" s="99"/>
    </row>
    <row r="2767" spans="1:66" s="51" customFormat="1" ht="15.75" x14ac:dyDescent="0.25">
      <c r="A2767" s="478">
        <v>3</v>
      </c>
      <c r="B2767" s="479" t="s">
        <v>291</v>
      </c>
      <c r="C2767" s="480"/>
      <c r="D2767" s="481" t="s">
        <v>310</v>
      </c>
      <c r="E2767" s="482">
        <v>26.95</v>
      </c>
      <c r="F2767" s="483" t="s">
        <v>292</v>
      </c>
      <c r="G2767" s="484">
        <v>0</v>
      </c>
      <c r="H2767" s="688" t="str">
        <f>IF(G2767=0,"",IF(F2767="Buy",IF(G2767=1,"plant","plants"),IF(F2767&gt;0.01,"warranty","Error")))</f>
        <v/>
      </c>
      <c r="I2767" s="485">
        <f>IF(H2767="free",0,IF(H2767="credit",((E2767*(F2767))*G2767*-1),IF(F2767="Buy",(E2767*G2767),((E2767*(1-F2767))*G2767))))</f>
        <v>0</v>
      </c>
      <c r="J2767" s="485">
        <f>IF(H2767="warranty",0,(I2767*(_xlfn.SINGLE(SalesTaxPercentage))))</f>
        <v>0</v>
      </c>
      <c r="K2767" s="715">
        <f t="shared" ref="K2767" si="2108">I2767+J2767</f>
        <v>0</v>
      </c>
      <c r="L2767" s="715"/>
      <c r="M2767" s="689" t="str">
        <f ca="1">IF(AND(G2767&gt;0,E2767=0),"WARNING - no PRICE inserted",IF(H2767="free","FREE ~ no charge this plant",IF(H2767="credit",CONCATENATE("-$",ROUND(K2767*(1-_xlfn.SINGLE(T2GDiscount))*-1,2)," CREDIT after discount"),IF(_xlfn.SINGLE(T2GDiscount)=0,"",IF(G2767=0,"",IF(F2767="Buy",CONCATENATE("$",ROUND(K2767*(1-_xlfn.SINGLE(T2GDiscount)),2)," with ",(_xlfn.SINGLE(T2GDiscount)*100),"% discount"),CONCATENATE("$",ROUND(K2767*(1-_xlfn.SINGLE(T2GDiscount)),2)," with ",((_xlfn.SINGLE(T2GDiscount)*100+F2767*100)-(_xlfn.SINGLE(T2GDiscount)*100*F2767)),IF(F2767&gt;0,"% discounts",IF(_xlfn.SINGLE(NoWarrantyDiscount)&gt;0,"% discounts","% discount")))))))))</f>
        <v/>
      </c>
      <c r="N2767" s="690"/>
      <c r="O2767" s="486"/>
      <c r="P2767" s="486"/>
      <c r="Q2767" s="486"/>
      <c r="R2767" s="486"/>
      <c r="S2767" s="486"/>
      <c r="T2767" s="102">
        <f t="shared" si="2055"/>
        <v>0</v>
      </c>
      <c r="U2767" s="78">
        <f>IF(NOT(ISNUMBER(G2767)), "", VLOOKUP(A2767,'Discount Lookup'!D:E,2,FALSE)*G2767)</f>
        <v>0</v>
      </c>
      <c r="V2767" s="78">
        <f>IF(NOT(ISNUMBER(G2767)), "", VLOOKUP(A2767,'Discount Lookup'!G:H,2,FALSE)*G2767)</f>
        <v>0</v>
      </c>
      <c r="W2767" s="102">
        <f t="shared" si="2056"/>
        <v>0</v>
      </c>
      <c r="X2767" s="102">
        <f t="shared" si="2057"/>
        <v>0</v>
      </c>
      <c r="Y2767" s="120" t="b">
        <f t="shared" si="2058"/>
        <v>0</v>
      </c>
      <c r="Z2767" s="117">
        <f t="shared" si="2059"/>
        <v>0</v>
      </c>
      <c r="AA2767" s="118"/>
      <c r="AB2767" s="118" t="str">
        <f t="shared" si="2060"/>
        <v/>
      </c>
      <c r="AC2767" s="712" t="str">
        <f>IF(AE2767="T2G","no charge",IF(AND(OR(PlanterYesMe="No",PlanterYesMe="N",PlanterYesMe="me"),H2767=""),"",IF(H2767="credit","NO install",IF(AND(K2767="",AE2767="me"),"EACH row",IF(AND(K2767="images",AE2767="me"),"EACH row",IF(D2767="","",IF(H2767="credit","",IF(AE2767="free","re-planting",IF(AE2767="me","   not ELP, by",IF(AND(OR(PlanterYesMe="Yes",PlanterYesMe="Y"),G2767&gt;0),(VLOOKUP(A2767,'Discount Lookup'!J:K,2)*G2767*(1-PlanterDiscount)*(1+PlanterDifficultyPercentage)),IF(AE2767="ELP",(VLOOKUP(A2767,'Discount Lookup'!J:K,2)*G2767*(1-PlanterDiscount)*(1+PlanterDifficultyPercentage)),IF(AE2767="free","re-planting",IF(G2767=0,"",IF(PlanterYesMe="",IF(AE2767="me","   not ELP, by",IF(AE2767="",IF(G2767&gt;0,(VLOOKUP(A2767,'Discount Lookup'!J:K,2)*G2767*(1-PlanterDiscount)*(1+PlanterDifficultyPercentage)),""),"")),"   not ELP, by"))))))))))))))</f>
        <v/>
      </c>
      <c r="AD2767" s="712"/>
      <c r="AE2767" s="513" t="str">
        <f t="shared" si="2061"/>
        <v/>
      </c>
      <c r="AF2767" s="713" t="str">
        <f t="shared" si="2062"/>
        <v/>
      </c>
      <c r="AG2767" s="713"/>
      <c r="AH2767" s="713"/>
      <c r="AI2767" s="112">
        <f>IF(H2767="credit",0,IF(AE2767="free",0,IF(AE2767="me",0,IF(G2767&gt;0,(VLOOKUP(A2767,'Discount Lookup'!J:K,2)*G2767),0))))</f>
        <v>0</v>
      </c>
      <c r="AJ2767" s="107" t="str">
        <f t="shared" ca="1" si="2063"/>
        <v/>
      </c>
      <c r="AK2767" s="714" t="str">
        <f t="shared" si="2064"/>
        <v/>
      </c>
      <c r="AL2767" s="714"/>
      <c r="AM2767" s="114" t="str">
        <f t="shared" si="2065"/>
        <v/>
      </c>
      <c r="AN2767" s="115"/>
      <c r="AO2767" s="116"/>
      <c r="AP2767" s="116"/>
      <c r="AQ2767" s="116"/>
      <c r="AR2767" s="116"/>
      <c r="AS2767" s="116"/>
      <c r="AT2767" s="116"/>
      <c r="AU2767" s="116"/>
      <c r="AV2767" s="78"/>
      <c r="AW2767" s="102"/>
      <c r="AX2767" s="78"/>
      <c r="AY2767" s="78"/>
      <c r="AZ2767" s="78"/>
      <c r="BA2767" s="78"/>
      <c r="BB2767" s="78"/>
      <c r="BC2767" s="78"/>
      <c r="BD2767" s="78"/>
      <c r="BE2767" s="465"/>
      <c r="BF2767" s="165" t="str">
        <f t="shared" si="2066"/>
        <v>https://www.google.com/search?tbm=isch&amp;q=3%20G1</v>
      </c>
      <c r="BG2767" s="165" t="str">
        <f t="shared" si="2067"/>
        <v>L</v>
      </c>
      <c r="BH2767" s="65"/>
      <c r="BI2767" s="65"/>
      <c r="BJ2767" s="65"/>
      <c r="BK2767" s="65"/>
      <c r="BL2767" s="99"/>
      <c r="BM2767" s="99"/>
      <c r="BN2767" s="99"/>
    </row>
    <row r="2768" spans="1:66" s="51" customFormat="1" ht="15.75" x14ac:dyDescent="0.25">
      <c r="A2768" s="478">
        <v>5</v>
      </c>
      <c r="B2768" s="479" t="s">
        <v>291</v>
      </c>
      <c r="C2768" s="480" t="s">
        <v>3182</v>
      </c>
      <c r="D2768" s="481" t="s">
        <v>309</v>
      </c>
      <c r="E2768" s="482">
        <v>40.950000000000003</v>
      </c>
      <c r="F2768" s="483" t="s">
        <v>292</v>
      </c>
      <c r="G2768" s="484">
        <v>0</v>
      </c>
      <c r="H2768" s="688" t="str">
        <f>IF(G2768=0,"",IF(F2768="Buy",IF(G2768=1,"plant","plants"),IF(F2768&gt;0.01,"warranty","Error")))</f>
        <v/>
      </c>
      <c r="I2768" s="485">
        <f>IF(H2768="free",0,IF(H2768="credit",((E2768*(F2768))*G2768*-1),IF(F2768="Buy",(E2768*G2768),((E2768*(1-F2768))*G2768))))</f>
        <v>0</v>
      </c>
      <c r="J2768" s="485">
        <f>IF(H2768="warranty",0,(I2768*(_xlfn.SINGLE(SalesTaxPercentage))))</f>
        <v>0</v>
      </c>
      <c r="K2768" s="715">
        <f t="shared" ref="K2768" si="2109">I2768+J2768</f>
        <v>0</v>
      </c>
      <c r="L2768" s="715"/>
      <c r="M2768" s="689" t="str">
        <f ca="1">IF(AND(G2768&gt;0,E2768=0),"WARNING - no PRICE inserted",IF(H2768="free","FREE ~ no charge this plant",IF(H2768="credit",CONCATENATE("-$",ROUND(K2768*(1-_xlfn.SINGLE(T2GDiscount))*-1,2)," CREDIT after discount"),IF(_xlfn.SINGLE(T2GDiscount)=0,"",IF(G2768=0,"",IF(F2768="Buy",CONCATENATE("$",ROUND(K2768*(1-_xlfn.SINGLE(T2GDiscount)),2)," with ",(_xlfn.SINGLE(T2GDiscount)*100),"% discount"),CONCATENATE("$",ROUND(K2768*(1-_xlfn.SINGLE(T2GDiscount)),2)," with ",((_xlfn.SINGLE(T2GDiscount)*100+F2768*100)-(_xlfn.SINGLE(T2GDiscount)*100*F2768)),IF(F2768&gt;0,"% discounts",IF(_xlfn.SINGLE(NoWarrantyDiscount)&gt;0,"% discounts","% discount")))))))))</f>
        <v/>
      </c>
      <c r="N2768" s="690"/>
      <c r="O2768" s="486"/>
      <c r="P2768" s="486"/>
      <c r="Q2768" s="486"/>
      <c r="R2768" s="486"/>
      <c r="S2768" s="486"/>
      <c r="T2768" s="102">
        <f t="shared" si="2055"/>
        <v>0</v>
      </c>
      <c r="U2768" s="78">
        <f>IF(NOT(ISNUMBER(G2768)), "", VLOOKUP(A2768,'Discount Lookup'!D:E,2,FALSE)*G2768)</f>
        <v>0</v>
      </c>
      <c r="V2768" s="78">
        <f>IF(NOT(ISNUMBER(G2768)), "", VLOOKUP(A2768,'Discount Lookup'!G:H,2,FALSE)*G2768)</f>
        <v>0</v>
      </c>
      <c r="W2768" s="102">
        <f t="shared" si="2056"/>
        <v>0</v>
      </c>
      <c r="X2768" s="102">
        <f t="shared" si="2057"/>
        <v>0</v>
      </c>
      <c r="Y2768" s="120" t="b">
        <f t="shared" si="2058"/>
        <v>0</v>
      </c>
      <c r="Z2768" s="117">
        <f t="shared" si="2059"/>
        <v>0</v>
      </c>
      <c r="AA2768" s="118"/>
      <c r="AB2768" s="118" t="str">
        <f t="shared" si="2060"/>
        <v/>
      </c>
      <c r="AC2768" s="712" t="str">
        <f>IF(AE2768="T2G","no charge",IF(AND(OR(PlanterYesMe="No",PlanterYesMe="N",PlanterYesMe="me"),H2768=""),"",IF(H2768="credit","NO install",IF(AND(K2768="",AE2768="me"),"EACH row",IF(AND(K2768="images",AE2768="me"),"EACH row",IF(D2768="","",IF(H2768="credit","",IF(AE2768="free","re-planting",IF(AE2768="me","   not ELP, by",IF(AND(OR(PlanterYesMe="Yes",PlanterYesMe="Y"),G2768&gt;0),(VLOOKUP(A2768,'Discount Lookup'!J:K,2)*G2768*(1-PlanterDiscount)*(1+PlanterDifficultyPercentage)),IF(AE2768="ELP",(VLOOKUP(A2768,'Discount Lookup'!J:K,2)*G2768*(1-PlanterDiscount)*(1+PlanterDifficultyPercentage)),IF(AE2768="free","re-planting",IF(G2768=0,"",IF(PlanterYesMe="",IF(AE2768="me","   not ELP, by",IF(AE2768="",IF(G2768&gt;0,(VLOOKUP(A2768,'Discount Lookup'!J:K,2)*G2768*(1-PlanterDiscount)*(1+PlanterDifficultyPercentage)),""),"")),"   not ELP, by"))))))))))))))</f>
        <v/>
      </c>
      <c r="AD2768" s="712"/>
      <c r="AE2768" s="513" t="str">
        <f t="shared" si="2061"/>
        <v/>
      </c>
      <c r="AF2768" s="713" t="str">
        <f t="shared" si="2062"/>
        <v/>
      </c>
      <c r="AG2768" s="713"/>
      <c r="AH2768" s="713"/>
      <c r="AI2768" s="112">
        <f>IF(H2768="credit",0,IF(AE2768="free",0,IF(AE2768="me",0,IF(G2768&gt;0,(VLOOKUP(A2768,'Discount Lookup'!J:K,2)*G2768),0))))</f>
        <v>0</v>
      </c>
      <c r="AJ2768" s="107" t="str">
        <f t="shared" ca="1" si="2063"/>
        <v/>
      </c>
      <c r="AK2768" s="714" t="str">
        <f t="shared" si="2064"/>
        <v/>
      </c>
      <c r="AL2768" s="714"/>
      <c r="AM2768" s="114" t="str">
        <f t="shared" si="2065"/>
        <v/>
      </c>
      <c r="AN2768" s="115"/>
      <c r="AO2768" s="116"/>
      <c r="AP2768" s="116"/>
      <c r="AQ2768" s="116"/>
      <c r="AR2768" s="116"/>
      <c r="AS2768" s="116"/>
      <c r="AT2768" s="116"/>
      <c r="AU2768" s="116"/>
      <c r="AV2768" s="78"/>
      <c r="AW2768" s="102"/>
      <c r="AX2768" s="78"/>
      <c r="AY2768" s="78"/>
      <c r="AZ2768" s="78"/>
      <c r="BA2768" s="78"/>
      <c r="BB2768" s="78"/>
      <c r="BC2768" s="78"/>
      <c r="BD2768" s="78"/>
      <c r="BE2768" s="465"/>
      <c r="BF2768" s="165" t="str">
        <f t="shared" si="2066"/>
        <v>https://www.google.com/search?tbm=isch&amp;q=5%20G3</v>
      </c>
      <c r="BG2768" s="165" t="str">
        <f t="shared" si="2067"/>
        <v>L</v>
      </c>
      <c r="BH2768" s="65"/>
      <c r="BI2768" s="65"/>
      <c r="BJ2768" s="65"/>
      <c r="BK2768" s="65"/>
      <c r="BL2768" s="99"/>
      <c r="BM2768" s="99"/>
      <c r="BN2768" s="99"/>
    </row>
    <row r="2769" spans="1:66" s="51" customFormat="1" ht="16.5" thickBot="1" x14ac:dyDescent="0.3">
      <c r="A2769" s="508" t="s">
        <v>3419</v>
      </c>
      <c r="B2769" s="487"/>
      <c r="C2769" s="707"/>
      <c r="D2769" s="487"/>
      <c r="E2769" s="487"/>
      <c r="F2769" s="488"/>
      <c r="G2769" s="489"/>
      <c r="H2769" s="487"/>
      <c r="I2769" s="490"/>
      <c r="J2769" s="490"/>
      <c r="K2769" s="491"/>
      <c r="L2769" s="547"/>
      <c r="M2769" s="528"/>
      <c r="N2769" s="492"/>
      <c r="O2769" s="493"/>
      <c r="P2769" s="494"/>
      <c r="Q2769" s="492"/>
      <c r="R2769" s="492"/>
      <c r="S2769" s="495"/>
      <c r="T2769" s="102">
        <f t="shared" si="2055"/>
        <v>0</v>
      </c>
      <c r="U2769" s="78" t="str">
        <f>IF(NOT(ISNUMBER(G2769)), "", VLOOKUP(A2769,'Discount Lookup'!D:E,2,FALSE)*G2769)</f>
        <v/>
      </c>
      <c r="V2769" s="78" t="str">
        <f>IF(NOT(ISNUMBER(G2769)), "", VLOOKUP(A2769,'Discount Lookup'!G:H,2,FALSE)*G2769)</f>
        <v/>
      </c>
      <c r="W2769" s="102">
        <f t="shared" si="2056"/>
        <v>0</v>
      </c>
      <c r="X2769" s="102">
        <f t="shared" si="2057"/>
        <v>0</v>
      </c>
      <c r="Y2769" s="120" t="b">
        <f t="shared" si="2058"/>
        <v>0</v>
      </c>
      <c r="Z2769" s="117">
        <f t="shared" si="2059"/>
        <v>0</v>
      </c>
      <c r="AA2769" s="118"/>
      <c r="AB2769" s="118" t="str">
        <f t="shared" si="2060"/>
        <v/>
      </c>
      <c r="AC2769" s="712" t="str">
        <f>IF(AE2769="T2G","no charge",IF(AND(OR(PlanterYesMe="No",PlanterYesMe="N",PlanterYesMe="me"),H2769=""),"",IF(H2769="credit","NO install",IF(AND(K2769="",AE2769="me"),"EACH row",IF(AND(K2769="images",AE2769="me"),"EACH row",IF(D2769="","",IF(H2769="credit","",IF(AE2769="free","re-planting",IF(AE2769="me","   not ELP, by",IF(AND(OR(PlanterYesMe="Yes",PlanterYesMe="Y"),G2769&gt;0),(VLOOKUP(A2769,'Discount Lookup'!J:K,2)*G2769*(1-PlanterDiscount)*(1+PlanterDifficultyPercentage)),IF(AE2769="ELP",(VLOOKUP(A2769,'Discount Lookup'!J:K,2)*G2769*(1-PlanterDiscount)*(1+PlanterDifficultyPercentage)),IF(AE2769="free","re-planting",IF(G2769=0,"",IF(PlanterYesMe="",IF(AE2769="me","   not ELP, by",IF(AE2769="",IF(G2769&gt;0,(VLOOKUP(A2769,'Discount Lookup'!J:K,2)*G2769*(1-PlanterDiscount)*(1+PlanterDifficultyPercentage)),""),"")),"   not ELP, by"))))))))))))))</f>
        <v/>
      </c>
      <c r="AD2769" s="712"/>
      <c r="AE2769" s="513" t="str">
        <f t="shared" si="2061"/>
        <v/>
      </c>
      <c r="AF2769" s="713" t="str">
        <f t="shared" si="2062"/>
        <v/>
      </c>
      <c r="AG2769" s="713"/>
      <c r="AH2769" s="713"/>
      <c r="AI2769" s="112">
        <f>IF(H2769="credit",0,IF(AE2769="free",0,IF(AE2769="me",0,IF(G2769&gt;0,(VLOOKUP(A2769,'Discount Lookup'!J:K,2)*G2769),0))))</f>
        <v>0</v>
      </c>
      <c r="AJ2769" s="107" t="str">
        <f t="shared" ca="1" si="2063"/>
        <v/>
      </c>
      <c r="AK2769" s="714" t="str">
        <f t="shared" si="2064"/>
        <v/>
      </c>
      <c r="AL2769" s="714"/>
      <c r="AM2769" s="114" t="str">
        <f t="shared" si="2065"/>
        <v/>
      </c>
      <c r="AN2769" s="115"/>
      <c r="AO2769" s="116"/>
      <c r="AP2769" s="116"/>
      <c r="AQ2769" s="116"/>
      <c r="AR2769" s="116"/>
      <c r="AS2769" s="116"/>
      <c r="AT2769" s="116"/>
      <c r="AU2769" s="116"/>
      <c r="AV2769" s="78"/>
      <c r="AW2769" s="102"/>
      <c r="AX2769" s="78"/>
      <c r="AY2769" s="78"/>
      <c r="AZ2769" s="78"/>
      <c r="BA2769" s="78"/>
      <c r="BB2769" s="78"/>
      <c r="BC2769" s="78"/>
      <c r="BD2769" s="78"/>
      <c r="BE2769" s="465"/>
      <c r="BF2769" s="165" t="str">
        <f t="shared" si="2066"/>
        <v>https://www.google.com/search?tbm=isch&amp;q=Ruby%20has%20foliage%20that%20shifts%20from%20Ruby-Red%20to%20Bronze-Green.%20Fringe-like%20flowers%20bloom%20periodically%20after%20spring%20</v>
      </c>
      <c r="BG2769" s="165" t="str">
        <f t="shared" si="2067"/>
        <v>R</v>
      </c>
      <c r="BH2769" s="65"/>
      <c r="BI2769" s="65"/>
      <c r="BJ2769" s="65"/>
      <c r="BK2769" s="65"/>
      <c r="BL2769" s="99"/>
      <c r="BM2769" s="99"/>
      <c r="BN2769" s="99"/>
    </row>
    <row r="2770" spans="1:66" s="51" customFormat="1" ht="18" x14ac:dyDescent="0.25">
      <c r="A2770" s="507" t="s">
        <v>3420</v>
      </c>
      <c r="B2770" s="470"/>
      <c r="C2770" s="706"/>
      <c r="D2770" s="471" t="s">
        <v>5734</v>
      </c>
      <c r="E2770" s="472"/>
      <c r="F2770" s="472"/>
      <c r="G2770" s="472"/>
      <c r="H2770" s="622" t="s">
        <v>1082</v>
      </c>
      <c r="I2770" s="473" t="s">
        <v>3399</v>
      </c>
      <c r="J2770" s="472"/>
      <c r="K2770" s="472"/>
      <c r="L2770" s="561"/>
      <c r="M2770" s="698" t="s">
        <v>5246</v>
      </c>
      <c r="N2770" s="692" t="str">
        <f>IF(AND(ISTEXT($A2770), ISERROR($A2770+0)), HYPERLINK($BF2770, "Images"), "")</f>
        <v>Images</v>
      </c>
      <c r="O2770" s="694" t="s">
        <v>5247</v>
      </c>
      <c r="P2770" s="475"/>
      <c r="Q2770" s="476"/>
      <c r="R2770" s="476"/>
      <c r="S2770" s="477"/>
      <c r="T2770" s="102">
        <f t="shared" si="2055"/>
        <v>0</v>
      </c>
      <c r="U2770" s="78" t="str">
        <f>IF(NOT(ISNUMBER(G2770)), "", VLOOKUP(A2770,'Discount Lookup'!D:E,2,FALSE)*G2770)</f>
        <v/>
      </c>
      <c r="V2770" s="78" t="str">
        <f>IF(NOT(ISNUMBER(G2770)), "", VLOOKUP(A2770,'Discount Lookup'!G:H,2,FALSE)*G2770)</f>
        <v/>
      </c>
      <c r="W2770" s="102">
        <f t="shared" si="2056"/>
        <v>0</v>
      </c>
      <c r="X2770" s="102" t="str">
        <f t="shared" si="2057"/>
        <v>Neon-Pink bloom</v>
      </c>
      <c r="Y2770" s="120" t="b">
        <f t="shared" si="2058"/>
        <v>0</v>
      </c>
      <c r="Z2770" s="117">
        <f t="shared" si="2059"/>
        <v>0</v>
      </c>
      <c r="AA2770" s="118"/>
      <c r="AB2770" s="118" t="str">
        <f t="shared" si="2060"/>
        <v/>
      </c>
      <c r="AC2770" s="712" t="str">
        <f>IF(AE2770="T2G","no charge",IF(AND(OR(PlanterYesMe="No",PlanterYesMe="N",PlanterYesMe="me"),H2770=""),"",IF(H2770="credit","NO install",IF(AND(K2770="",AE2770="me"),"EACH row",IF(AND(K2770="images",AE2770="me"),"EACH row",IF(D2770="","",IF(H2770="credit","",IF(AE2770="free","re-planting",IF(AE2770="me","   not ELP, by",IF(AND(OR(PlanterYesMe="Yes",PlanterYesMe="Y"),G2770&gt;0),(VLOOKUP(A2770,'Discount Lookup'!J:K,2)*G2770*(1-PlanterDiscount)*(1+PlanterDifficultyPercentage)),IF(AE2770="ELP",(VLOOKUP(A2770,'Discount Lookup'!J:K,2)*G2770*(1-PlanterDiscount)*(1+PlanterDifficultyPercentage)),IF(AE2770="free","re-planting",IF(G2770=0,"",IF(PlanterYesMe="",IF(AE2770="me","   not ELP, by",IF(AE2770="",IF(G2770&gt;0,(VLOOKUP(A2770,'Discount Lookup'!J:K,2)*G2770*(1-PlanterDiscount)*(1+PlanterDifficultyPercentage)),""),"")),"   not ELP, by"))))))))))))))</f>
        <v/>
      </c>
      <c r="AD2770" s="712"/>
      <c r="AE2770" s="513" t="str">
        <f t="shared" si="2061"/>
        <v/>
      </c>
      <c r="AF2770" s="713" t="str">
        <f t="shared" si="2062"/>
        <v/>
      </c>
      <c r="AG2770" s="713"/>
      <c r="AH2770" s="713"/>
      <c r="AI2770" s="112">
        <f>IF(H2770="credit",0,IF(AE2770="free",0,IF(AE2770="me",0,IF(G2770&gt;0,(VLOOKUP(A2770,'Discount Lookup'!J:K,2)*G2770),0))))</f>
        <v>0</v>
      </c>
      <c r="AJ2770" s="107" t="str">
        <f t="shared" ca="1" si="2063"/>
        <v/>
      </c>
      <c r="AK2770" s="714" t="str">
        <f t="shared" si="2064"/>
        <v/>
      </c>
      <c r="AL2770" s="714"/>
      <c r="AM2770" s="114" t="str">
        <f t="shared" si="2065"/>
        <v/>
      </c>
      <c r="AN2770" s="115"/>
      <c r="AO2770" s="116"/>
      <c r="AP2770" s="116"/>
      <c r="AQ2770" s="116"/>
      <c r="AR2770" s="116"/>
      <c r="AS2770" s="116"/>
      <c r="AT2770" s="116"/>
      <c r="AU2770" s="116"/>
      <c r="AV2770" s="78"/>
      <c r="AW2770" s="102"/>
      <c r="AX2770" s="78"/>
      <c r="AY2770" s="78"/>
      <c r="AZ2770" s="78"/>
      <c r="BA2770" s="78"/>
      <c r="BB2770" s="78"/>
      <c r="BC2770" s="78"/>
      <c r="BD2770" s="78"/>
      <c r="BE2770" s="465"/>
      <c r="BF2770" s="165" t="str">
        <f t="shared" si="2066"/>
        <v>https://www.google.com/search?tbm=isch&amp;q=Loropetalum%20chin.%20var.%20r.%20%27Shang-hi%27%20PP%2318331%20Purple%20Diamond%C2%AE%20Loropetalum</v>
      </c>
      <c r="BG2770" s="165" t="str">
        <f t="shared" si="2067"/>
        <v>L</v>
      </c>
      <c r="BH2770" s="65"/>
      <c r="BI2770" s="65"/>
      <c r="BJ2770" s="65"/>
      <c r="BK2770" s="65"/>
      <c r="BL2770" s="99"/>
      <c r="BM2770" s="99"/>
      <c r="BN2770" s="99"/>
    </row>
    <row r="2771" spans="1:66" s="51" customFormat="1" ht="15.75" x14ac:dyDescent="0.25">
      <c r="A2771" s="478">
        <v>3</v>
      </c>
      <c r="B2771" s="479" t="s">
        <v>291</v>
      </c>
      <c r="C2771" s="480" t="s">
        <v>3422</v>
      </c>
      <c r="D2771" s="481" t="s">
        <v>329</v>
      </c>
      <c r="E2771" s="482">
        <v>37.950000000000003</v>
      </c>
      <c r="F2771" s="483" t="s">
        <v>292</v>
      </c>
      <c r="G2771" s="484">
        <v>0</v>
      </c>
      <c r="H2771" s="688" t="str">
        <f>IF(G2771=0,"",IF(F2771="Buy",IF(G2771=1,"plant","plants"),IF(F2771&gt;0.01,"warranty","Error")))</f>
        <v/>
      </c>
      <c r="I2771" s="485">
        <f>IF(H2771="free",0,IF(H2771="credit",((E2771*(F2771))*G2771*-1),IF(F2771="Buy",(E2771*G2771),((E2771*(1-F2771))*G2771))))</f>
        <v>0</v>
      </c>
      <c r="J2771" s="485">
        <f>IF(H2771="warranty",0,(I2771*(_xlfn.SINGLE(SalesTaxPercentage))))</f>
        <v>0</v>
      </c>
      <c r="K2771" s="715">
        <f t="shared" ref="K2771" si="2110">I2771+J2771</f>
        <v>0</v>
      </c>
      <c r="L2771" s="715"/>
      <c r="M2771" s="689" t="str">
        <f ca="1">IF(AND(G2771&gt;0,E2771=0),"WARNING - no PRICE inserted",IF(H2771="free","FREE ~ no charge this plant",IF(H2771="credit",CONCATENATE("-$",ROUND(K2771*(1-_xlfn.SINGLE(T2GDiscount))*-1,2)," CREDIT after discount"),IF(_xlfn.SINGLE(T2GDiscount)=0,"",IF(G2771=0,"",IF(F2771="Buy",CONCATENATE("$",ROUND(K2771*(1-_xlfn.SINGLE(T2GDiscount)),2)," with ",(_xlfn.SINGLE(T2GDiscount)*100),"% discount"),CONCATENATE("$",ROUND(K2771*(1-_xlfn.SINGLE(T2GDiscount)),2)," with ",((_xlfn.SINGLE(T2GDiscount)*100+F2771*100)-(_xlfn.SINGLE(T2GDiscount)*100*F2771)),IF(F2771&gt;0,"% discounts",IF(_xlfn.SINGLE(NoWarrantyDiscount)&gt;0,"% discounts","% discount")))))))))</f>
        <v/>
      </c>
      <c r="N2771" s="690"/>
      <c r="O2771" s="486"/>
      <c r="P2771" s="486"/>
      <c r="Q2771" s="486"/>
      <c r="R2771" s="486"/>
      <c r="S2771" s="486"/>
      <c r="T2771" s="102">
        <f t="shared" si="2055"/>
        <v>0</v>
      </c>
      <c r="U2771" s="78">
        <f>IF(NOT(ISNUMBER(G2771)), "", VLOOKUP(A2771,'Discount Lookup'!D:E,2,FALSE)*G2771)</f>
        <v>0</v>
      </c>
      <c r="V2771" s="78">
        <f>IF(NOT(ISNUMBER(G2771)), "", VLOOKUP(A2771,'Discount Lookup'!G:H,2,FALSE)*G2771)</f>
        <v>0</v>
      </c>
      <c r="W2771" s="102">
        <f t="shared" si="2056"/>
        <v>0</v>
      </c>
      <c r="X2771" s="102">
        <f t="shared" si="2057"/>
        <v>0</v>
      </c>
      <c r="Y2771" s="120" t="b">
        <f t="shared" si="2058"/>
        <v>0</v>
      </c>
      <c r="Z2771" s="117">
        <f t="shared" si="2059"/>
        <v>0</v>
      </c>
      <c r="AA2771" s="118"/>
      <c r="AB2771" s="118" t="str">
        <f t="shared" si="2060"/>
        <v/>
      </c>
      <c r="AC2771" s="712" t="str">
        <f>IF(AE2771="T2G","no charge",IF(AND(OR(PlanterYesMe="No",PlanterYesMe="N",PlanterYesMe="me"),H2771=""),"",IF(H2771="credit","NO install",IF(AND(K2771="",AE2771="me"),"EACH row",IF(AND(K2771="images",AE2771="me"),"EACH row",IF(D2771="","",IF(H2771="credit","",IF(AE2771="free","re-planting",IF(AE2771="me","   not ELP, by",IF(AND(OR(PlanterYesMe="Yes",PlanterYesMe="Y"),G2771&gt;0),(VLOOKUP(A2771,'Discount Lookup'!J:K,2)*G2771*(1-PlanterDiscount)*(1+PlanterDifficultyPercentage)),IF(AE2771="ELP",(VLOOKUP(A2771,'Discount Lookup'!J:K,2)*G2771*(1-PlanterDiscount)*(1+PlanterDifficultyPercentage)),IF(AE2771="free","re-planting",IF(G2771=0,"",IF(PlanterYesMe="",IF(AE2771="me","   not ELP, by",IF(AE2771="",IF(G2771&gt;0,(VLOOKUP(A2771,'Discount Lookup'!J:K,2)*G2771*(1-PlanterDiscount)*(1+PlanterDifficultyPercentage)),""),"")),"   not ELP, by"))))))))))))))</f>
        <v/>
      </c>
      <c r="AD2771" s="712"/>
      <c r="AE2771" s="513" t="str">
        <f t="shared" si="2061"/>
        <v/>
      </c>
      <c r="AF2771" s="713" t="str">
        <f t="shared" si="2062"/>
        <v/>
      </c>
      <c r="AG2771" s="713"/>
      <c r="AH2771" s="713"/>
      <c r="AI2771" s="112">
        <f>IF(H2771="credit",0,IF(AE2771="free",0,IF(AE2771="me",0,IF(G2771&gt;0,(VLOOKUP(A2771,'Discount Lookup'!J:K,2)*G2771),0))))</f>
        <v>0</v>
      </c>
      <c r="AJ2771" s="107" t="str">
        <f t="shared" ca="1" si="2063"/>
        <v/>
      </c>
      <c r="AK2771" s="714" t="str">
        <f t="shared" si="2064"/>
        <v/>
      </c>
      <c r="AL2771" s="714"/>
      <c r="AM2771" s="114" t="str">
        <f t="shared" si="2065"/>
        <v/>
      </c>
      <c r="AN2771" s="115"/>
      <c r="AO2771" s="116"/>
      <c r="AP2771" s="116"/>
      <c r="AQ2771" s="116"/>
      <c r="AR2771" s="116"/>
      <c r="AS2771" s="116"/>
      <c r="AT2771" s="116"/>
      <c r="AU2771" s="116"/>
      <c r="AV2771" s="78"/>
      <c r="AW2771" s="102"/>
      <c r="AX2771" s="78"/>
      <c r="AY2771" s="78"/>
      <c r="AZ2771" s="78"/>
      <c r="BA2771" s="78"/>
      <c r="BB2771" s="78"/>
      <c r="BC2771" s="78"/>
      <c r="BD2771" s="78"/>
      <c r="BE2771" s="465"/>
      <c r="BF2771" s="165" t="str">
        <f t="shared" si="2066"/>
        <v>https://www.google.com/search?tbm=isch&amp;q=3%20G2</v>
      </c>
      <c r="BG2771" s="165" t="str">
        <f t="shared" si="2067"/>
        <v>L</v>
      </c>
      <c r="BH2771" s="65"/>
      <c r="BI2771" s="65"/>
      <c r="BJ2771" s="65"/>
      <c r="BK2771" s="65"/>
      <c r="BL2771" s="99"/>
      <c r="BM2771" s="99"/>
      <c r="BN2771" s="99"/>
    </row>
    <row r="2772" spans="1:66" s="51" customFormat="1" ht="15.75" x14ac:dyDescent="0.25">
      <c r="A2772" s="478">
        <v>3</v>
      </c>
      <c r="B2772" s="479" t="s">
        <v>291</v>
      </c>
      <c r="C2772" s="480" t="s">
        <v>3421</v>
      </c>
      <c r="D2772" s="481" t="s">
        <v>329</v>
      </c>
      <c r="E2772" s="482">
        <v>37.950000000000003</v>
      </c>
      <c r="F2772" s="483" t="s">
        <v>292</v>
      </c>
      <c r="G2772" s="484">
        <v>0</v>
      </c>
      <c r="H2772" s="688" t="str">
        <f>IF(G2772=0,"",IF(F2772="Buy",IF(G2772=1,"plant","plants"),IF(F2772&gt;0.01,"warranty","Error")))</f>
        <v/>
      </c>
      <c r="I2772" s="485">
        <f>IF(H2772="free",0,IF(H2772="credit",((E2772*(F2772))*G2772*-1),IF(F2772="Buy",(E2772*G2772),((E2772*(1-F2772))*G2772))))</f>
        <v>0</v>
      </c>
      <c r="J2772" s="485">
        <f>IF(H2772="warranty",0,(I2772*(_xlfn.SINGLE(SalesTaxPercentage))))</f>
        <v>0</v>
      </c>
      <c r="K2772" s="715">
        <f t="shared" ref="K2772" si="2111">I2772+J2772</f>
        <v>0</v>
      </c>
      <c r="L2772" s="715"/>
      <c r="M2772" s="689" t="str">
        <f ca="1">IF(AND(G2772&gt;0,E2772=0),"WARNING - no PRICE inserted",IF(H2772="free","FREE ~ no charge this plant",IF(H2772="credit",CONCATENATE("-$",ROUND(K2772*(1-_xlfn.SINGLE(T2GDiscount))*-1,2)," CREDIT after discount"),IF(_xlfn.SINGLE(T2GDiscount)=0,"",IF(G2772=0,"",IF(F2772="Buy",CONCATENATE("$",ROUND(K2772*(1-_xlfn.SINGLE(T2GDiscount)),2)," with ",(_xlfn.SINGLE(T2GDiscount)*100),"% discount"),CONCATENATE("$",ROUND(K2772*(1-_xlfn.SINGLE(T2GDiscount)),2)," with ",((_xlfn.SINGLE(T2GDiscount)*100+F2772*100)-(_xlfn.SINGLE(T2GDiscount)*100*F2772)),IF(F2772&gt;0,"% discounts",IF(_xlfn.SINGLE(NoWarrantyDiscount)&gt;0,"% discounts","% discount")))))))))</f>
        <v/>
      </c>
      <c r="N2772" s="690"/>
      <c r="O2772" s="486"/>
      <c r="P2772" s="486"/>
      <c r="Q2772" s="486"/>
      <c r="R2772" s="486"/>
      <c r="S2772" s="486"/>
      <c r="T2772" s="102">
        <f t="shared" ref="T2772:T2835" si="2112">E2772*G2772</f>
        <v>0</v>
      </c>
      <c r="U2772" s="78">
        <f>IF(NOT(ISNUMBER(G2772)), "", VLOOKUP(A2772,'Discount Lookup'!D:E,2,FALSE)*G2772)</f>
        <v>0</v>
      </c>
      <c r="V2772" s="78">
        <f>IF(NOT(ISNUMBER(G2772)), "", VLOOKUP(A2772,'Discount Lookup'!G:H,2,FALSE)*G2772)</f>
        <v>0</v>
      </c>
      <c r="W2772" s="102">
        <f t="shared" ref="W2772:W2835" si="2113">IF(H2772="credit",0,E2772*(SalesTaxPercentage)*G2772)</f>
        <v>0</v>
      </c>
      <c r="X2772" s="102">
        <f t="shared" ref="X2772:X2835" si="2114">I2772</f>
        <v>0</v>
      </c>
      <c r="Y2772" s="120" t="b">
        <f t="shared" ref="Y2772:Y2835" si="2115">IF(AE2772="T2G",0,IF(H2772="credit",0,IF(G2772&gt;0,IF(AE2772="me","",G2772))))</f>
        <v>0</v>
      </c>
      <c r="Z2772" s="117">
        <f t="shared" ref="Z2772:Z2835" si="2116">IF(H2772="credit",G2772,0)</f>
        <v>0</v>
      </c>
      <c r="AA2772" s="118"/>
      <c r="AB2772" s="118" t="str">
        <f t="shared" ref="AB2772:AB2835" si="2117">IF(AE2772="T2G","by Trees2Go",IF(H2772="credit","CREDIT only ~",IF(AND(K2772="",AE2772=OR(PlanterYesMe="No",PlanterYesMe="N",PlanterYesMe="me")),"not THIS line⇨",IF(AND(K2772="images",AE2772="me"),"not THIS line⇨",IF(H2772="credit","",IF(G2772=0,"",IF(AE2772="me","",IF(OR(PlanterYesMe="No",PlanterYesMe="N",PlanterYesMe="me"),"",IF(AE2772="free","warranty",IF(OR(PlanterYesMe="yes",PlanterYesMe="y"),"Edison install:","to install:"))))))))))</f>
        <v/>
      </c>
      <c r="AC2772" s="712" t="str">
        <f>IF(AE2772="T2G","no charge",IF(AND(OR(PlanterYesMe="No",PlanterYesMe="N",PlanterYesMe="me"),H2772=""),"",IF(H2772="credit","NO install",IF(AND(K2772="",AE2772="me"),"EACH row",IF(AND(K2772="images",AE2772="me"),"EACH row",IF(D2772="","",IF(H2772="credit","",IF(AE2772="free","re-planting",IF(AE2772="me","   not ELP, by",IF(AND(OR(PlanterYesMe="Yes",PlanterYesMe="Y"),G2772&gt;0),(VLOOKUP(A2772,'Discount Lookup'!J:K,2)*G2772*(1-PlanterDiscount)*(1+PlanterDifficultyPercentage)),IF(AE2772="ELP",(VLOOKUP(A2772,'Discount Lookup'!J:K,2)*G2772*(1-PlanterDiscount)*(1+PlanterDifficultyPercentage)),IF(AE2772="free","re-planting",IF(G2772=0,"",IF(PlanterYesMe="",IF(AE2772="me","   not ELP, by",IF(AE2772="",IF(G2772&gt;0,(VLOOKUP(A2772,'Discount Lookup'!J:K,2)*G2772*(1-PlanterDiscount)*(1+PlanterDifficultyPercentage)),""),"")),"   not ELP, by"))))))))))))))</f>
        <v/>
      </c>
      <c r="AD2772" s="712"/>
      <c r="AE2772" s="513" t="str">
        <f t="shared" ref="AE2772:AE2835" si="2118">IF(H2772="credit","",IF(G2772=0,"",IF(OR(PlanterYesMe="No",PlanterYesMe="N",PlanterYesMe="me"),"me",IF(H2772="warranty","free",IF(OR(PlanterYesMe="yes",PlanterYesMe="y"),"ELP","")))))</f>
        <v/>
      </c>
      <c r="AF2772" s="713" t="str">
        <f t="shared" ref="AF2772:AF2835" si="2119">IF(OR(PlanterYesMe="No",PlanterYesMe="N",PlanterYesMe="me"),"",IF(H2772="credit","",IF(G2772&gt;0,(CONCATENATE((G2772)," quantity, ",(A2772)," ",B2772)),"")))</f>
        <v/>
      </c>
      <c r="AG2772" s="713"/>
      <c r="AH2772" s="713"/>
      <c r="AI2772" s="112">
        <f>IF(H2772="credit",0,IF(AE2772="free",0,IF(AE2772="me",0,IF(G2772&gt;0,(VLOOKUP(A2772,'Discount Lookup'!J:K,2)*G2772),0))))</f>
        <v>0</v>
      </c>
      <c r="AJ2772" s="107" t="str">
        <f t="shared" ref="AJ2772:AJ2835" ca="1" si="2120">IF(AND(ISREF(H2772),H2772="credit"),"",IF(AND(AND(OFFSET(G2772,0,0)=0,OFFSET(G2772,1,0)&gt;0,ISNUMBER(OFFSET(AC2772,1,0)),OFFSET(AC2772,1,0)&gt;0),OR(PlanterYesMe="yes",PlanterYesMe="y")),"T2G+ELP=",IF(AND(OFFSET(G2772,0,0)=0,OFFSET(G2772,1,0)&gt;0,ISNUMBER(OFFSET(AC2772,1,0)),OFFSET(AC2772,1,0)&gt;0),"if T2G+ELP=",IF(AND(OFFSET(G2772,0,0)=0,OFFSET(G2772,1,0)&gt;0),"T2G Subtotal",IF(H2772="credit","",IF(G2772=0,"",IF(AE2772="free",(K2772*(1-T2GDiscount)),IF(OR(PlanterYesMe="No",PlanterYesMe="N",PlanterYesMe="me"),(K2772*(1-T2GDiscount)),IF(OR(AE2772="me",AE2772="T2G"),(K2772*(1-T2GDiscount)),(K2772*(1-T2GDiscount))+AC2772)))))))))</f>
        <v/>
      </c>
      <c r="AK2772" s="714" t="str">
        <f t="shared" ref="AK2772:AK2835" si="2121">IF(H2772="credit","",IF(G2772=0,"",IF(OR(AE2772="me",AE2772="T2G"),"  delivery-only",IF(OR(PlanterYesMe="No",PlanterYesMe="N",PlanterYesMe="me"),"  delivery-only",CONCATENATE(" $",ROUND(AJ2772/G2772,2)," each")))))</f>
        <v/>
      </c>
      <c r="AL2772" s="714"/>
      <c r="AM2772" s="114" t="str">
        <f t="shared" ref="AM2772:AM2835" si="2122">IF(H2772="credit","",IF(AE2772="free","      ~ discounts included, no tax or planting fee applies ~",IF(G2772=0,"",IF(OR(PlanterYesMe="No",PlanterYesMe="N",PlanterYesMe="me"),CONCATENATE(" $",ROUND(AJ2772/G2772,2)," per plant, with tax &amp; discount"),IF(OR(AE2772="me",AE2772="T2G"),CONCATENATE(" $",ROUND(AJ2772/G2772,2)," per plant, with tax &amp; discount"),CONCATENATE("= $",ROUND((K2772*(1-T2GDiscount))/G2772,2)," per plant + $",AC2772/G2772,(" per planting      ~ includes tax &amp; discounts ~")))))))</f>
        <v/>
      </c>
      <c r="AN2772" s="115"/>
      <c r="AO2772" s="116"/>
      <c r="AP2772" s="116"/>
      <c r="AQ2772" s="116"/>
      <c r="AR2772" s="116"/>
      <c r="AS2772" s="116"/>
      <c r="AT2772" s="116"/>
      <c r="AU2772" s="116"/>
      <c r="AV2772" s="78"/>
      <c r="AW2772" s="102"/>
      <c r="AX2772" s="78"/>
      <c r="AY2772" s="78"/>
      <c r="AZ2772" s="78"/>
      <c r="BA2772" s="78"/>
      <c r="BB2772" s="78"/>
      <c r="BC2772" s="78"/>
      <c r="BD2772" s="78"/>
      <c r="BE2772" s="465"/>
      <c r="BF2772" s="165" t="str">
        <f t="shared" ref="BF2772:BF2835" si="2123">"https://www.google.com/search?tbm=isch&amp;q=" &amp; _xlfn.ENCODEURL($A2772 &amp; " " &amp; $D2772)</f>
        <v>https://www.google.com/search?tbm=isch&amp;q=3%20G2</v>
      </c>
      <c r="BG2772" s="165" t="str">
        <f t="shared" ref="BG2772:BG2835" si="2124">IF(ISTEXT(A2772),LEFT(A2772,1),BG2771)</f>
        <v>L</v>
      </c>
      <c r="BH2772" s="65"/>
      <c r="BI2772" s="65"/>
      <c r="BJ2772" s="65"/>
      <c r="BK2772" s="65"/>
      <c r="BL2772" s="99"/>
      <c r="BM2772" s="99"/>
      <c r="BN2772" s="99"/>
    </row>
    <row r="2773" spans="1:66" s="51" customFormat="1" ht="27" x14ac:dyDescent="0.25">
      <c r="A2773" s="478">
        <v>3</v>
      </c>
      <c r="B2773" s="479" t="s">
        <v>291</v>
      </c>
      <c r="C2773" s="480" t="s">
        <v>3423</v>
      </c>
      <c r="D2773" s="481" t="s">
        <v>299</v>
      </c>
      <c r="E2773" s="482">
        <v>40.950000000000003</v>
      </c>
      <c r="F2773" s="483" t="s">
        <v>292</v>
      </c>
      <c r="G2773" s="484">
        <v>0</v>
      </c>
      <c r="H2773" s="688" t="str">
        <f>IF(G2773=0,"",IF(F2773="Buy",IF(G2773=1,"plant","plants"),IF(F2773&gt;0.01,"warranty","Error")))</f>
        <v/>
      </c>
      <c r="I2773" s="485">
        <f>IF(H2773="free",0,IF(H2773="credit",((E2773*(F2773))*G2773*-1),IF(F2773="Buy",(E2773*G2773),((E2773*(1-F2773))*G2773))))</f>
        <v>0</v>
      </c>
      <c r="J2773" s="485">
        <f>IF(H2773="warranty",0,(I2773*(_xlfn.SINGLE(SalesTaxPercentage))))</f>
        <v>0</v>
      </c>
      <c r="K2773" s="715">
        <f t="shared" ref="K2773" si="2125">I2773+J2773</f>
        <v>0</v>
      </c>
      <c r="L2773" s="715"/>
      <c r="M2773" s="689" t="str">
        <f ca="1">IF(AND(G2773&gt;0,E2773=0),"WARNING - no PRICE inserted",IF(H2773="free","FREE ~ no charge this plant",IF(H2773="credit",CONCATENATE("-$",ROUND(K2773*(1-_xlfn.SINGLE(T2GDiscount))*-1,2)," CREDIT after discount"),IF(_xlfn.SINGLE(T2GDiscount)=0,"",IF(G2773=0,"",IF(F2773="Buy",CONCATENATE("$",ROUND(K2773*(1-_xlfn.SINGLE(T2GDiscount)),2)," with ",(_xlfn.SINGLE(T2GDiscount)*100),"% discount"),CONCATENATE("$",ROUND(K2773*(1-_xlfn.SINGLE(T2GDiscount)),2)," with ",((_xlfn.SINGLE(T2GDiscount)*100+F2773*100)-(_xlfn.SINGLE(T2GDiscount)*100*F2773)),IF(F2773&gt;0,"% discounts",IF(_xlfn.SINGLE(NoWarrantyDiscount)&gt;0,"% discounts","% discount")))))))))</f>
        <v/>
      </c>
      <c r="N2773" s="690"/>
      <c r="O2773" s="486"/>
      <c r="P2773" s="486"/>
      <c r="Q2773" s="486"/>
      <c r="R2773" s="486"/>
      <c r="S2773" s="486"/>
      <c r="T2773" s="102">
        <f t="shared" si="2112"/>
        <v>0</v>
      </c>
      <c r="U2773" s="78">
        <f>IF(NOT(ISNUMBER(G2773)), "", VLOOKUP(A2773,'Discount Lookup'!D:E,2,FALSE)*G2773)</f>
        <v>0</v>
      </c>
      <c r="V2773" s="78">
        <f>IF(NOT(ISNUMBER(G2773)), "", VLOOKUP(A2773,'Discount Lookup'!G:H,2,FALSE)*G2773)</f>
        <v>0</v>
      </c>
      <c r="W2773" s="102">
        <f t="shared" si="2113"/>
        <v>0</v>
      </c>
      <c r="X2773" s="102">
        <f t="shared" si="2114"/>
        <v>0</v>
      </c>
      <c r="Y2773" s="120" t="b">
        <f t="shared" si="2115"/>
        <v>0</v>
      </c>
      <c r="Z2773" s="117">
        <f t="shared" si="2116"/>
        <v>0</v>
      </c>
      <c r="AA2773" s="118"/>
      <c r="AB2773" s="118" t="str">
        <f t="shared" si="2117"/>
        <v/>
      </c>
      <c r="AC2773" s="712" t="str">
        <f>IF(AE2773="T2G","no charge",IF(AND(OR(PlanterYesMe="No",PlanterYesMe="N",PlanterYesMe="me"),H2773=""),"",IF(H2773="credit","NO install",IF(AND(K2773="",AE2773="me"),"EACH row",IF(AND(K2773="images",AE2773="me"),"EACH row",IF(D2773="","",IF(H2773="credit","",IF(AE2773="free","re-planting",IF(AE2773="me","   not ELP, by",IF(AND(OR(PlanterYesMe="Yes",PlanterYesMe="Y"),G2773&gt;0),(VLOOKUP(A2773,'Discount Lookup'!J:K,2)*G2773*(1-PlanterDiscount)*(1+PlanterDifficultyPercentage)),IF(AE2773="ELP",(VLOOKUP(A2773,'Discount Lookup'!J:K,2)*G2773*(1-PlanterDiscount)*(1+PlanterDifficultyPercentage)),IF(AE2773="free","re-planting",IF(G2773=0,"",IF(PlanterYesMe="",IF(AE2773="me","   not ELP, by",IF(AE2773="",IF(G2773&gt;0,(VLOOKUP(A2773,'Discount Lookup'!J:K,2)*G2773*(1-PlanterDiscount)*(1+PlanterDifficultyPercentage)),""),"")),"   not ELP, by"))))))))))))))</f>
        <v/>
      </c>
      <c r="AD2773" s="712"/>
      <c r="AE2773" s="513" t="str">
        <f t="shared" si="2118"/>
        <v/>
      </c>
      <c r="AF2773" s="713" t="str">
        <f t="shared" si="2119"/>
        <v/>
      </c>
      <c r="AG2773" s="713"/>
      <c r="AH2773" s="713"/>
      <c r="AI2773" s="112">
        <f>IF(H2773="credit",0,IF(AE2773="free",0,IF(AE2773="me",0,IF(G2773&gt;0,(VLOOKUP(A2773,'Discount Lookup'!J:K,2)*G2773),0))))</f>
        <v>0</v>
      </c>
      <c r="AJ2773" s="107" t="str">
        <f t="shared" ca="1" si="2120"/>
        <v/>
      </c>
      <c r="AK2773" s="714" t="str">
        <f t="shared" si="2121"/>
        <v/>
      </c>
      <c r="AL2773" s="714"/>
      <c r="AM2773" s="114" t="str">
        <f t="shared" si="2122"/>
        <v/>
      </c>
      <c r="AN2773" s="115"/>
      <c r="AO2773" s="116"/>
      <c r="AP2773" s="116"/>
      <c r="AQ2773" s="116"/>
      <c r="AR2773" s="116"/>
      <c r="AS2773" s="116"/>
      <c r="AT2773" s="116"/>
      <c r="AU2773" s="116"/>
      <c r="AV2773" s="78"/>
      <c r="AW2773" s="102"/>
      <c r="AX2773" s="78"/>
      <c r="AY2773" s="78"/>
      <c r="AZ2773" s="78"/>
      <c r="BA2773" s="78"/>
      <c r="BB2773" s="78"/>
      <c r="BC2773" s="78"/>
      <c r="BD2773" s="78"/>
      <c r="BE2773" s="465"/>
      <c r="BF2773" s="165" t="str">
        <f t="shared" si="2123"/>
        <v>https://www.google.com/search?tbm=isch&amp;q=3%20G4</v>
      </c>
      <c r="BG2773" s="165" t="str">
        <f t="shared" si="2124"/>
        <v>L</v>
      </c>
      <c r="BH2773" s="65"/>
      <c r="BI2773" s="65"/>
      <c r="BJ2773" s="65"/>
      <c r="BK2773" s="65"/>
      <c r="BL2773" s="99"/>
      <c r="BM2773" s="99"/>
      <c r="BN2773" s="99"/>
    </row>
    <row r="2774" spans="1:66" s="51" customFormat="1" ht="16.5" thickBot="1" x14ac:dyDescent="0.3">
      <c r="A2774" s="508" t="s">
        <v>4777</v>
      </c>
      <c r="B2774" s="487"/>
      <c r="C2774" s="707"/>
      <c r="D2774" s="487"/>
      <c r="E2774" s="487"/>
      <c r="F2774" s="488"/>
      <c r="G2774" s="489"/>
      <c r="H2774" s="487"/>
      <c r="I2774" s="490"/>
      <c r="J2774" s="490"/>
      <c r="K2774" s="491"/>
      <c r="L2774" s="547"/>
      <c r="M2774" s="528"/>
      <c r="N2774" s="492"/>
      <c r="O2774" s="493"/>
      <c r="P2774" s="494"/>
      <c r="Q2774" s="492"/>
      <c r="R2774" s="492"/>
      <c r="S2774" s="495"/>
      <c r="T2774" s="102">
        <f t="shared" si="2112"/>
        <v>0</v>
      </c>
      <c r="U2774" s="78" t="str">
        <f>IF(NOT(ISNUMBER(G2774)), "", VLOOKUP(A2774,'Discount Lookup'!D:E,2,FALSE)*G2774)</f>
        <v/>
      </c>
      <c r="V2774" s="78" t="str">
        <f>IF(NOT(ISNUMBER(G2774)), "", VLOOKUP(A2774,'Discount Lookup'!G:H,2,FALSE)*G2774)</f>
        <v/>
      </c>
      <c r="W2774" s="102">
        <f t="shared" si="2113"/>
        <v>0</v>
      </c>
      <c r="X2774" s="102">
        <f t="shared" si="2114"/>
        <v>0</v>
      </c>
      <c r="Y2774" s="120" t="b">
        <f t="shared" si="2115"/>
        <v>0</v>
      </c>
      <c r="Z2774" s="117">
        <f t="shared" si="2116"/>
        <v>0</v>
      </c>
      <c r="AA2774" s="118"/>
      <c r="AB2774" s="118" t="str">
        <f t="shared" si="2117"/>
        <v/>
      </c>
      <c r="AC2774" s="712" t="str">
        <f>IF(AE2774="T2G","no charge",IF(AND(OR(PlanterYesMe="No",PlanterYesMe="N",PlanterYesMe="me"),H2774=""),"",IF(H2774="credit","NO install",IF(AND(K2774="",AE2774="me"),"EACH row",IF(AND(K2774="images",AE2774="me"),"EACH row",IF(D2774="","",IF(H2774="credit","",IF(AE2774="free","re-planting",IF(AE2774="me","   not ELP, by",IF(AND(OR(PlanterYesMe="Yes",PlanterYesMe="Y"),G2774&gt;0),(VLOOKUP(A2774,'Discount Lookup'!J:K,2)*G2774*(1-PlanterDiscount)*(1+PlanterDifficultyPercentage)),IF(AE2774="ELP",(VLOOKUP(A2774,'Discount Lookup'!J:K,2)*G2774*(1-PlanterDiscount)*(1+PlanterDifficultyPercentage)),IF(AE2774="free","re-planting",IF(G2774=0,"",IF(PlanterYesMe="",IF(AE2774="me","   not ELP, by",IF(AE2774="",IF(G2774&gt;0,(VLOOKUP(A2774,'Discount Lookup'!J:K,2)*G2774*(1-PlanterDiscount)*(1+PlanterDifficultyPercentage)),""),"")),"   not ELP, by"))))))))))))))</f>
        <v/>
      </c>
      <c r="AD2774" s="712"/>
      <c r="AE2774" s="513" t="str">
        <f t="shared" si="2118"/>
        <v/>
      </c>
      <c r="AF2774" s="713" t="str">
        <f t="shared" si="2119"/>
        <v/>
      </c>
      <c r="AG2774" s="713"/>
      <c r="AH2774" s="713"/>
      <c r="AI2774" s="112">
        <f>IF(H2774="credit",0,IF(AE2774="free",0,IF(AE2774="me",0,IF(G2774&gt;0,(VLOOKUP(A2774,'Discount Lookup'!J:K,2)*G2774),0))))</f>
        <v>0</v>
      </c>
      <c r="AJ2774" s="107" t="str">
        <f t="shared" ca="1" si="2120"/>
        <v/>
      </c>
      <c r="AK2774" s="714" t="str">
        <f t="shared" si="2121"/>
        <v/>
      </c>
      <c r="AL2774" s="714"/>
      <c r="AM2774" s="114" t="str">
        <f t="shared" si="2122"/>
        <v/>
      </c>
      <c r="AN2774" s="115"/>
      <c r="AO2774" s="116"/>
      <c r="AP2774" s="116"/>
      <c r="AQ2774" s="116"/>
      <c r="AR2774" s="116"/>
      <c r="AS2774" s="116"/>
      <c r="AT2774" s="116"/>
      <c r="AU2774" s="116"/>
      <c r="AV2774" s="78"/>
      <c r="AW2774" s="102"/>
      <c r="AX2774" s="78"/>
      <c r="AY2774" s="78"/>
      <c r="AZ2774" s="78"/>
      <c r="BA2774" s="78"/>
      <c r="BB2774" s="78"/>
      <c r="BC2774" s="78"/>
      <c r="BD2774" s="78"/>
      <c r="BE2774" s="465"/>
      <c r="BF2774" s="165" t="str">
        <f t="shared" si="2123"/>
        <v>https://www.google.com/search?tbm=isch&amp;q=Purple%20Diamond%20has%20Deep%20Burgundy-Purple%20foliage.%20Fringe-like%20flowers%20bloom%20peridically%20after%20spring%20</v>
      </c>
      <c r="BG2774" s="165" t="str">
        <f t="shared" si="2124"/>
        <v>P</v>
      </c>
      <c r="BH2774" s="65"/>
      <c r="BI2774" s="65"/>
      <c r="BJ2774" s="65"/>
      <c r="BK2774" s="65"/>
      <c r="BL2774" s="99"/>
      <c r="BM2774" s="99"/>
      <c r="BN2774" s="99"/>
    </row>
    <row r="2775" spans="1:66" s="51" customFormat="1" ht="18" x14ac:dyDescent="0.25">
      <c r="A2775" s="507" t="s">
        <v>594</v>
      </c>
      <c r="B2775" s="470"/>
      <c r="C2775" s="706"/>
      <c r="D2775" s="471" t="s">
        <v>595</v>
      </c>
      <c r="E2775" s="472"/>
      <c r="F2775" s="472"/>
      <c r="G2775" s="472"/>
      <c r="H2775" s="622" t="s">
        <v>333</v>
      </c>
      <c r="I2775" s="473" t="s">
        <v>718</v>
      </c>
      <c r="J2775" s="472"/>
      <c r="K2775" s="472"/>
      <c r="L2775" s="561"/>
      <c r="M2775" s="703" t="s">
        <v>5260</v>
      </c>
      <c r="N2775" s="692" t="str">
        <f>IF(AND(ISTEXT($A2775), ISERROR($A2775+0)), HYPERLINK($BF2775, "Images"), "")</f>
        <v>Images</v>
      </c>
      <c r="O2775" s="694" t="s">
        <v>5247</v>
      </c>
      <c r="P2775" s="475"/>
      <c r="Q2775" s="476"/>
      <c r="R2775" s="476"/>
      <c r="S2775" s="477"/>
      <c r="T2775" s="102">
        <f t="shared" si="2112"/>
        <v>0</v>
      </c>
      <c r="U2775" s="78" t="str">
        <f>IF(NOT(ISNUMBER(G2775)), "", VLOOKUP(A2775,'Discount Lookup'!D:E,2,FALSE)*G2775)</f>
        <v/>
      </c>
      <c r="V2775" s="78" t="str">
        <f>IF(NOT(ISNUMBER(G2775)), "", VLOOKUP(A2775,'Discount Lookup'!G:H,2,FALSE)*G2775)</f>
        <v/>
      </c>
      <c r="W2775" s="102">
        <f t="shared" si="2113"/>
        <v>0</v>
      </c>
      <c r="X2775" s="102" t="str">
        <f t="shared" si="2114"/>
        <v>Fuchsia-Pink bloom</v>
      </c>
      <c r="Y2775" s="120" t="b">
        <f t="shared" si="2115"/>
        <v>0</v>
      </c>
      <c r="Z2775" s="117">
        <f t="shared" si="2116"/>
        <v>0</v>
      </c>
      <c r="AA2775" s="118"/>
      <c r="AB2775" s="118" t="str">
        <f t="shared" si="2117"/>
        <v/>
      </c>
      <c r="AC2775" s="712" t="str">
        <f>IF(AE2775="T2G","no charge",IF(AND(OR(PlanterYesMe="No",PlanterYesMe="N",PlanterYesMe="me"),H2775=""),"",IF(H2775="credit","NO install",IF(AND(K2775="",AE2775="me"),"EACH row",IF(AND(K2775="images",AE2775="me"),"EACH row",IF(D2775="","",IF(H2775="credit","",IF(AE2775="free","re-planting",IF(AE2775="me","   not ELP, by",IF(AND(OR(PlanterYesMe="Yes",PlanterYesMe="Y"),G2775&gt;0),(VLOOKUP(A2775,'Discount Lookup'!J:K,2)*G2775*(1-PlanterDiscount)*(1+PlanterDifficultyPercentage)),IF(AE2775="ELP",(VLOOKUP(A2775,'Discount Lookup'!J:K,2)*G2775*(1-PlanterDiscount)*(1+PlanterDifficultyPercentage)),IF(AE2775="free","re-planting",IF(G2775=0,"",IF(PlanterYesMe="",IF(AE2775="me","   not ELP, by",IF(AE2775="",IF(G2775&gt;0,(VLOOKUP(A2775,'Discount Lookup'!J:K,2)*G2775*(1-PlanterDiscount)*(1+PlanterDifficultyPercentage)),""),"")),"   not ELP, by"))))))))))))))</f>
        <v/>
      </c>
      <c r="AD2775" s="712"/>
      <c r="AE2775" s="513" t="str">
        <f t="shared" si="2118"/>
        <v/>
      </c>
      <c r="AF2775" s="713" t="str">
        <f t="shared" si="2119"/>
        <v/>
      </c>
      <c r="AG2775" s="713"/>
      <c r="AH2775" s="713"/>
      <c r="AI2775" s="112">
        <f>IF(H2775="credit",0,IF(AE2775="free",0,IF(AE2775="me",0,IF(G2775&gt;0,(VLOOKUP(A2775,'Discount Lookup'!J:K,2)*G2775),0))))</f>
        <v>0</v>
      </c>
      <c r="AJ2775" s="107" t="str">
        <f t="shared" ca="1" si="2120"/>
        <v/>
      </c>
      <c r="AK2775" s="714" t="str">
        <f t="shared" si="2121"/>
        <v/>
      </c>
      <c r="AL2775" s="714"/>
      <c r="AM2775" s="114" t="str">
        <f t="shared" si="2122"/>
        <v/>
      </c>
      <c r="AN2775" s="115"/>
      <c r="AO2775" s="116"/>
      <c r="AP2775" s="116"/>
      <c r="AQ2775" s="116"/>
      <c r="AR2775" s="116"/>
      <c r="AS2775" s="116"/>
      <c r="AT2775" s="116"/>
      <c r="AU2775" s="116"/>
      <c r="AV2775" s="78"/>
      <c r="AW2775" s="102"/>
      <c r="AX2775" s="78"/>
      <c r="AY2775" s="78"/>
      <c r="AZ2775" s="78"/>
      <c r="BA2775" s="78"/>
      <c r="BB2775" s="78"/>
      <c r="BC2775" s="78"/>
      <c r="BD2775" s="78"/>
      <c r="BE2775" s="465"/>
      <c r="BF2775" s="165" t="str">
        <f t="shared" si="2123"/>
        <v>https://www.google.com/search?tbm=isch&amp;q=Loropetalum%20chin.%20var.%20r.%20%27Zhuzhou%20Fuchsia%27%20Zhuzhou%20Loropetalum</v>
      </c>
      <c r="BG2775" s="165" t="str">
        <f t="shared" si="2124"/>
        <v>L</v>
      </c>
      <c r="BH2775" s="65"/>
      <c r="BI2775" s="65"/>
      <c r="BJ2775" s="65"/>
      <c r="BK2775" s="65"/>
      <c r="BL2775" s="99"/>
      <c r="BM2775" s="99"/>
      <c r="BN2775" s="99"/>
    </row>
    <row r="2776" spans="1:66" s="51" customFormat="1" ht="15.75" x14ac:dyDescent="0.25">
      <c r="A2776" s="478">
        <v>10</v>
      </c>
      <c r="B2776" s="479" t="s">
        <v>291</v>
      </c>
      <c r="C2776" s="480" t="s">
        <v>967</v>
      </c>
      <c r="D2776" s="481" t="s">
        <v>299</v>
      </c>
      <c r="E2776" s="482">
        <v>201.95</v>
      </c>
      <c r="F2776" s="483" t="s">
        <v>292</v>
      </c>
      <c r="G2776" s="484">
        <v>0</v>
      </c>
      <c r="H2776" s="688" t="str">
        <f>IF(G2776=0,"",IF(F2776="Buy",IF(G2776=1,"plant","plants"),IF(F2776&gt;0.01,"warranty","Error")))</f>
        <v/>
      </c>
      <c r="I2776" s="485">
        <f>IF(H2776="free",0,IF(H2776="credit",((E2776*(F2776))*G2776*-1),IF(F2776="Buy",(E2776*G2776),((E2776*(1-F2776))*G2776))))</f>
        <v>0</v>
      </c>
      <c r="J2776" s="485">
        <f>IF(H2776="warranty",0,(I2776*(_xlfn.SINGLE(SalesTaxPercentage))))</f>
        <v>0</v>
      </c>
      <c r="K2776" s="715">
        <f t="shared" ref="K2776" si="2126">I2776+J2776</f>
        <v>0</v>
      </c>
      <c r="L2776" s="715"/>
      <c r="M2776" s="689" t="str">
        <f ca="1">IF(AND(G2776&gt;0,E2776=0),"WARNING - no PRICE inserted",IF(H2776="free","FREE ~ no charge this plant",IF(H2776="credit",CONCATENATE("-$",ROUND(K2776*(1-_xlfn.SINGLE(T2GDiscount))*-1,2)," CREDIT after discount"),IF(_xlfn.SINGLE(T2GDiscount)=0,"",IF(G2776=0,"",IF(F2776="Buy",CONCATENATE("$",ROUND(K2776*(1-_xlfn.SINGLE(T2GDiscount)),2)," with ",(_xlfn.SINGLE(T2GDiscount)*100),"% discount"),CONCATENATE("$",ROUND(K2776*(1-_xlfn.SINGLE(T2GDiscount)),2)," with ",((_xlfn.SINGLE(T2GDiscount)*100+F2776*100)-(_xlfn.SINGLE(T2GDiscount)*100*F2776)),IF(F2776&gt;0,"% discounts",IF(_xlfn.SINGLE(NoWarrantyDiscount)&gt;0,"% discounts","% discount")))))))))</f>
        <v/>
      </c>
      <c r="N2776" s="690"/>
      <c r="O2776" s="486"/>
      <c r="P2776" s="486"/>
      <c r="Q2776" s="486"/>
      <c r="R2776" s="486"/>
      <c r="S2776" s="486"/>
      <c r="T2776" s="102">
        <f t="shared" si="2112"/>
        <v>0</v>
      </c>
      <c r="U2776" s="78">
        <f>IF(NOT(ISNUMBER(G2776)), "", VLOOKUP(A2776,'Discount Lookup'!D:E,2,FALSE)*G2776)</f>
        <v>0</v>
      </c>
      <c r="V2776" s="78">
        <f>IF(NOT(ISNUMBER(G2776)), "", VLOOKUP(A2776,'Discount Lookup'!G:H,2,FALSE)*G2776)</f>
        <v>0</v>
      </c>
      <c r="W2776" s="102">
        <f t="shared" si="2113"/>
        <v>0</v>
      </c>
      <c r="X2776" s="102">
        <f t="shared" si="2114"/>
        <v>0</v>
      </c>
      <c r="Y2776" s="120" t="b">
        <f t="shared" si="2115"/>
        <v>0</v>
      </c>
      <c r="Z2776" s="117">
        <f t="shared" si="2116"/>
        <v>0</v>
      </c>
      <c r="AA2776" s="118"/>
      <c r="AB2776" s="118" t="str">
        <f t="shared" si="2117"/>
        <v/>
      </c>
      <c r="AC2776" s="712" t="str">
        <f>IF(AE2776="T2G","no charge",IF(AND(OR(PlanterYesMe="No",PlanterYesMe="N",PlanterYesMe="me"),H2776=""),"",IF(H2776="credit","NO install",IF(AND(K2776="",AE2776="me"),"EACH row",IF(AND(K2776="images",AE2776="me"),"EACH row",IF(D2776="","",IF(H2776="credit","",IF(AE2776="free","re-planting",IF(AE2776="me","   not ELP, by",IF(AND(OR(PlanterYesMe="Yes",PlanterYesMe="Y"),G2776&gt;0),(VLOOKUP(A2776,'Discount Lookup'!J:K,2)*G2776*(1-PlanterDiscount)*(1+PlanterDifficultyPercentage)),IF(AE2776="ELP",(VLOOKUP(A2776,'Discount Lookup'!J:K,2)*G2776*(1-PlanterDiscount)*(1+PlanterDifficultyPercentage)),IF(AE2776="free","re-planting",IF(G2776=0,"",IF(PlanterYesMe="",IF(AE2776="me","   not ELP, by",IF(AE2776="",IF(G2776&gt;0,(VLOOKUP(A2776,'Discount Lookup'!J:K,2)*G2776*(1-PlanterDiscount)*(1+PlanterDifficultyPercentage)),""),"")),"   not ELP, by"))))))))))))))</f>
        <v/>
      </c>
      <c r="AD2776" s="712"/>
      <c r="AE2776" s="513" t="str">
        <f t="shared" si="2118"/>
        <v/>
      </c>
      <c r="AF2776" s="713" t="str">
        <f t="shared" si="2119"/>
        <v/>
      </c>
      <c r="AG2776" s="713"/>
      <c r="AH2776" s="713"/>
      <c r="AI2776" s="112">
        <f>IF(H2776="credit",0,IF(AE2776="free",0,IF(AE2776="me",0,IF(G2776&gt;0,(VLOOKUP(A2776,'Discount Lookup'!J:K,2)*G2776),0))))</f>
        <v>0</v>
      </c>
      <c r="AJ2776" s="107" t="str">
        <f t="shared" ca="1" si="2120"/>
        <v/>
      </c>
      <c r="AK2776" s="714" t="str">
        <f t="shared" si="2121"/>
        <v/>
      </c>
      <c r="AL2776" s="714"/>
      <c r="AM2776" s="114" t="str">
        <f t="shared" si="2122"/>
        <v/>
      </c>
      <c r="AN2776" s="115"/>
      <c r="AO2776" s="116"/>
      <c r="AP2776" s="116"/>
      <c r="AQ2776" s="116"/>
      <c r="AR2776" s="116"/>
      <c r="AS2776" s="116"/>
      <c r="AT2776" s="116"/>
      <c r="AU2776" s="116"/>
      <c r="AV2776" s="78"/>
      <c r="AW2776" s="102"/>
      <c r="AX2776" s="78"/>
      <c r="AY2776" s="78"/>
      <c r="AZ2776" s="78"/>
      <c r="BA2776" s="78"/>
      <c r="BB2776" s="78"/>
      <c r="BC2776" s="78"/>
      <c r="BD2776" s="78"/>
      <c r="BE2776" s="465"/>
      <c r="BF2776" s="165" t="str">
        <f t="shared" si="2123"/>
        <v>https://www.google.com/search?tbm=isch&amp;q=10%20G4</v>
      </c>
      <c r="BG2776" s="165" t="str">
        <f t="shared" si="2124"/>
        <v>L</v>
      </c>
      <c r="BH2776" s="65"/>
      <c r="BI2776" s="65"/>
      <c r="BJ2776" s="65"/>
      <c r="BK2776" s="65"/>
      <c r="BL2776" s="99"/>
      <c r="BM2776" s="99"/>
      <c r="BN2776" s="99"/>
    </row>
    <row r="2777" spans="1:66" s="51" customFormat="1" ht="15.75" x14ac:dyDescent="0.25">
      <c r="A2777" s="508" t="s">
        <v>877</v>
      </c>
      <c r="B2777" s="487"/>
      <c r="C2777" s="707"/>
      <c r="D2777" s="487"/>
      <c r="E2777" s="487"/>
      <c r="F2777" s="488"/>
      <c r="G2777" s="489"/>
      <c r="H2777" s="487"/>
      <c r="I2777" s="490"/>
      <c r="J2777" s="490"/>
      <c r="K2777" s="491"/>
      <c r="L2777" s="547"/>
      <c r="M2777" s="528"/>
      <c r="N2777" s="492"/>
      <c r="O2777" s="493"/>
      <c r="P2777" s="494"/>
      <c r="Q2777" s="492"/>
      <c r="R2777" s="492"/>
      <c r="S2777" s="495"/>
      <c r="T2777" s="102">
        <f t="shared" si="2112"/>
        <v>0</v>
      </c>
      <c r="U2777" s="78" t="str">
        <f>IF(NOT(ISNUMBER(G2777)), "", VLOOKUP(A2777,'Discount Lookup'!D:E,2,FALSE)*G2777)</f>
        <v/>
      </c>
      <c r="V2777" s="78" t="str">
        <f>IF(NOT(ISNUMBER(G2777)), "", VLOOKUP(A2777,'Discount Lookup'!G:H,2,FALSE)*G2777)</f>
        <v/>
      </c>
      <c r="W2777" s="102">
        <f t="shared" si="2113"/>
        <v>0</v>
      </c>
      <c r="X2777" s="102">
        <f t="shared" si="2114"/>
        <v>0</v>
      </c>
      <c r="Y2777" s="120" t="b">
        <f t="shared" si="2115"/>
        <v>0</v>
      </c>
      <c r="Z2777" s="117">
        <f t="shared" si="2116"/>
        <v>0</v>
      </c>
      <c r="AA2777" s="118"/>
      <c r="AB2777" s="118" t="str">
        <f t="shared" si="2117"/>
        <v/>
      </c>
      <c r="AC2777" s="712" t="str">
        <f>IF(AE2777="T2G","no charge",IF(AND(OR(PlanterYesMe="No",PlanterYesMe="N",PlanterYesMe="me"),H2777=""),"",IF(H2777="credit","NO install",IF(AND(K2777="",AE2777="me"),"EACH row",IF(AND(K2777="images",AE2777="me"),"EACH row",IF(D2777="","",IF(H2777="credit","",IF(AE2777="free","re-planting",IF(AE2777="me","   not ELP, by",IF(AND(OR(PlanterYesMe="Yes",PlanterYesMe="Y"),G2777&gt;0),(VLOOKUP(A2777,'Discount Lookup'!J:K,2)*G2777*(1-PlanterDiscount)*(1+PlanterDifficultyPercentage)),IF(AE2777="ELP",(VLOOKUP(A2777,'Discount Lookup'!J:K,2)*G2777*(1-PlanterDiscount)*(1+PlanterDifficultyPercentage)),IF(AE2777="free","re-planting",IF(G2777=0,"",IF(PlanterYesMe="",IF(AE2777="me","   not ELP, by",IF(AE2777="",IF(G2777&gt;0,(VLOOKUP(A2777,'Discount Lookup'!J:K,2)*G2777*(1-PlanterDiscount)*(1+PlanterDifficultyPercentage)),""),"")),"   not ELP, by"))))))))))))))</f>
        <v/>
      </c>
      <c r="AD2777" s="712"/>
      <c r="AE2777" s="513" t="str">
        <f t="shared" si="2118"/>
        <v/>
      </c>
      <c r="AF2777" s="713" t="str">
        <f t="shared" si="2119"/>
        <v/>
      </c>
      <c r="AG2777" s="713"/>
      <c r="AH2777" s="713"/>
      <c r="AI2777" s="112">
        <f>IF(H2777="credit",0,IF(AE2777="free",0,IF(AE2777="me",0,IF(G2777&gt;0,(VLOOKUP(A2777,'Discount Lookup'!J:K,2)*G2777),0))))</f>
        <v>0</v>
      </c>
      <c r="AJ2777" s="107" t="str">
        <f t="shared" ca="1" si="2120"/>
        <v/>
      </c>
      <c r="AK2777" s="714" t="str">
        <f t="shared" si="2121"/>
        <v/>
      </c>
      <c r="AL2777" s="714"/>
      <c r="AM2777" s="114" t="str">
        <f t="shared" si="2122"/>
        <v/>
      </c>
      <c r="AN2777" s="115"/>
      <c r="AO2777" s="116"/>
      <c r="AP2777" s="116"/>
      <c r="AQ2777" s="116"/>
      <c r="AR2777" s="116"/>
      <c r="AS2777" s="116"/>
      <c r="AT2777" s="116"/>
      <c r="AU2777" s="116"/>
      <c r="AV2777" s="78"/>
      <c r="AW2777" s="102"/>
      <c r="AX2777" s="78"/>
      <c r="AY2777" s="78"/>
      <c r="AZ2777" s="78"/>
      <c r="BA2777" s="78"/>
      <c r="BB2777" s="78"/>
      <c r="BC2777" s="78"/>
      <c r="BD2777" s="78"/>
      <c r="BE2777" s="465"/>
      <c r="BF2777" s="165" t="str">
        <f t="shared" si="2123"/>
        <v>https://www.google.com/search?tbm=isch&amp;q=Zhuzhou%20Loropetalum%20is%20tall%2C%20upright%2C%20and%20vase-shpaed%2C%20with%20intense%20Purple%20foliage.%20Fringe-like%20flowers%20bloom%20periodically%20after%20spring%20</v>
      </c>
      <c r="BG2777" s="165" t="str">
        <f t="shared" si="2124"/>
        <v>Z</v>
      </c>
      <c r="BH2777" s="65"/>
      <c r="BI2777" s="65"/>
      <c r="BJ2777" s="65"/>
      <c r="BK2777" s="65"/>
      <c r="BL2777" s="99"/>
      <c r="BM2777" s="99"/>
      <c r="BN2777" s="99"/>
    </row>
    <row r="2778" spans="1:66" s="51" customFormat="1" ht="19.5" thickBot="1" x14ac:dyDescent="0.3">
      <c r="A2778" s="686" t="s">
        <v>596</v>
      </c>
      <c r="B2778" s="73"/>
      <c r="C2778" s="708"/>
      <c r="D2778" s="73"/>
      <c r="E2778" s="73"/>
      <c r="F2778" s="496"/>
      <c r="G2778" s="73"/>
      <c r="H2778" s="73"/>
      <c r="I2778" s="73"/>
      <c r="J2778" s="497" t="s">
        <v>357</v>
      </c>
      <c r="K2778" s="498"/>
      <c r="L2778" s="562"/>
      <c r="M2778" s="73"/>
      <c r="N2778"/>
      <c r="O2778"/>
      <c r="P2778"/>
      <c r="Q2778"/>
      <c r="R2778"/>
      <c r="S2778"/>
      <c r="T2778" s="102">
        <f t="shared" si="2112"/>
        <v>0</v>
      </c>
      <c r="U2778" s="78" t="str">
        <f>IF(NOT(ISNUMBER(G2778)), "", VLOOKUP(A2778,'Discount Lookup'!D:E,2,FALSE)*G2778)</f>
        <v/>
      </c>
      <c r="V2778" s="78" t="str">
        <f>IF(NOT(ISNUMBER(G2778)), "", VLOOKUP(A2778,'Discount Lookup'!G:H,2,FALSE)*G2778)</f>
        <v/>
      </c>
      <c r="W2778" s="102">
        <f t="shared" si="2113"/>
        <v>0</v>
      </c>
      <c r="X2778" s="102">
        <f t="shared" si="2114"/>
        <v>0</v>
      </c>
      <c r="Y2778" s="120" t="b">
        <f t="shared" si="2115"/>
        <v>0</v>
      </c>
      <c r="Z2778" s="117">
        <f t="shared" si="2116"/>
        <v>0</v>
      </c>
      <c r="AA2778" s="118"/>
      <c r="AB2778" s="118" t="str">
        <f t="shared" si="2117"/>
        <v/>
      </c>
      <c r="AC2778" s="712" t="str">
        <f>IF(AE2778="T2G","no charge",IF(AND(OR(PlanterYesMe="No",PlanterYesMe="N",PlanterYesMe="me"),H2778=""),"",IF(H2778="credit","NO install",IF(AND(K2778="",AE2778="me"),"EACH row",IF(AND(K2778="images",AE2778="me"),"EACH row",IF(D2778="","",IF(H2778="credit","",IF(AE2778="free","re-planting",IF(AE2778="me","   not ELP, by",IF(AND(OR(PlanterYesMe="Yes",PlanterYesMe="Y"),G2778&gt;0),(VLOOKUP(A2778,'Discount Lookup'!J:K,2)*G2778*(1-PlanterDiscount)*(1+PlanterDifficultyPercentage)),IF(AE2778="ELP",(VLOOKUP(A2778,'Discount Lookup'!J:K,2)*G2778*(1-PlanterDiscount)*(1+PlanterDifficultyPercentage)),IF(AE2778="free","re-planting",IF(G2778=0,"",IF(PlanterYesMe="",IF(AE2778="me","   not ELP, by",IF(AE2778="",IF(G2778&gt;0,(VLOOKUP(A2778,'Discount Lookup'!J:K,2)*G2778*(1-PlanterDiscount)*(1+PlanterDifficultyPercentage)),""),"")),"   not ELP, by"))))))))))))))</f>
        <v/>
      </c>
      <c r="AD2778" s="712"/>
      <c r="AE2778" s="513" t="str">
        <f t="shared" si="2118"/>
        <v/>
      </c>
      <c r="AF2778" s="713" t="str">
        <f t="shared" si="2119"/>
        <v/>
      </c>
      <c r="AG2778" s="713"/>
      <c r="AH2778" s="713"/>
      <c r="AI2778" s="112">
        <f>IF(H2778="credit",0,IF(AE2778="free",0,IF(AE2778="me",0,IF(G2778&gt;0,(VLOOKUP(A2778,'Discount Lookup'!J:K,2)*G2778),0))))</f>
        <v>0</v>
      </c>
      <c r="AJ2778" s="107" t="str">
        <f t="shared" ca="1" si="2120"/>
        <v/>
      </c>
      <c r="AK2778" s="714" t="str">
        <f t="shared" si="2121"/>
        <v/>
      </c>
      <c r="AL2778" s="714"/>
      <c r="AM2778" s="114" t="str">
        <f t="shared" si="2122"/>
        <v/>
      </c>
      <c r="AN2778" s="115"/>
      <c r="AO2778" s="116"/>
      <c r="AP2778" s="116"/>
      <c r="AQ2778" s="116"/>
      <c r="AR2778" s="116"/>
      <c r="AS2778" s="116"/>
      <c r="AT2778" s="116"/>
      <c r="AU2778" s="116"/>
      <c r="AV2778" s="78"/>
      <c r="AW2778" s="102"/>
      <c r="AX2778" s="78"/>
      <c r="AY2778" s="78"/>
      <c r="AZ2778" s="78"/>
      <c r="BA2778" s="78"/>
      <c r="BB2778" s="78"/>
      <c r="BC2778" s="78"/>
      <c r="BD2778" s="78"/>
      <c r="BE2778" s="465"/>
      <c r="BF2778" s="165" t="str">
        <f t="shared" si="2123"/>
        <v>https://www.google.com/search?tbm=isch&amp;q=Lysimachia%20%3D%20Money%20Wort%20</v>
      </c>
      <c r="BG2778" s="165" t="str">
        <f t="shared" si="2124"/>
        <v>L</v>
      </c>
      <c r="BH2778" s="65"/>
      <c r="BI2778" s="65"/>
      <c r="BJ2778" s="65"/>
      <c r="BK2778" s="65"/>
      <c r="BL2778" s="99"/>
      <c r="BM2778" s="99"/>
      <c r="BN2778" s="99"/>
    </row>
    <row r="2779" spans="1:66" s="51" customFormat="1" ht="18" x14ac:dyDescent="0.25">
      <c r="A2779" s="507" t="s">
        <v>3424</v>
      </c>
      <c r="B2779" s="470"/>
      <c r="C2779" s="706"/>
      <c r="D2779" s="471" t="s">
        <v>3425</v>
      </c>
      <c r="E2779" s="472"/>
      <c r="F2779" s="472"/>
      <c r="G2779" s="472"/>
      <c r="H2779" s="622" t="s">
        <v>3426</v>
      </c>
      <c r="I2779" s="473" t="s">
        <v>3427</v>
      </c>
      <c r="J2779" s="472"/>
      <c r="K2779" s="472"/>
      <c r="L2779" s="561"/>
      <c r="M2779" s="703" t="s">
        <v>5274</v>
      </c>
      <c r="N2779" s="692" t="str">
        <f>IF(AND(ISTEXT($A2779), ISERROR($A2779+0)), HYPERLINK($BF2779, "Images"), "")</f>
        <v>Images</v>
      </c>
      <c r="O2779" s="694" t="s">
        <v>5247</v>
      </c>
      <c r="P2779" s="475"/>
      <c r="Q2779" s="476"/>
      <c r="R2779" s="476"/>
      <c r="S2779" s="477"/>
      <c r="T2779" s="102">
        <f t="shared" si="2112"/>
        <v>0</v>
      </c>
      <c r="U2779" s="78" t="str">
        <f>IF(NOT(ISNUMBER(G2779)), "", VLOOKUP(A2779,'Discount Lookup'!D:E,2,FALSE)*G2779)</f>
        <v/>
      </c>
      <c r="V2779" s="78" t="str">
        <f>IF(NOT(ISNUMBER(G2779)), "", VLOOKUP(A2779,'Discount Lookup'!G:H,2,FALSE)*G2779)</f>
        <v/>
      </c>
      <c r="W2779" s="102">
        <f t="shared" si="2113"/>
        <v>0</v>
      </c>
      <c r="X2779" s="102" t="str">
        <f t="shared" si="2114"/>
        <v>Green-Purple-Silver foliage</v>
      </c>
      <c r="Y2779" s="120" t="b">
        <f t="shared" si="2115"/>
        <v>0</v>
      </c>
      <c r="Z2779" s="117">
        <f t="shared" si="2116"/>
        <v>0</v>
      </c>
      <c r="AA2779" s="118"/>
      <c r="AB2779" s="118" t="str">
        <f t="shared" si="2117"/>
        <v/>
      </c>
      <c r="AC2779" s="712" t="str">
        <f>IF(AE2779="T2G","no charge",IF(AND(OR(PlanterYesMe="No",PlanterYesMe="N",PlanterYesMe="me"),H2779=""),"",IF(H2779="credit","NO install",IF(AND(K2779="",AE2779="me"),"EACH row",IF(AND(K2779="images",AE2779="me"),"EACH row",IF(D2779="","",IF(H2779="credit","",IF(AE2779="free","re-planting",IF(AE2779="me","   not ELP, by",IF(AND(OR(PlanterYesMe="Yes",PlanterYesMe="Y"),G2779&gt;0),(VLOOKUP(A2779,'Discount Lookup'!J:K,2)*G2779*(1-PlanterDiscount)*(1+PlanterDifficultyPercentage)),IF(AE2779="ELP",(VLOOKUP(A2779,'Discount Lookup'!J:K,2)*G2779*(1-PlanterDiscount)*(1+PlanterDifficultyPercentage)),IF(AE2779="free","re-planting",IF(G2779=0,"",IF(PlanterYesMe="",IF(AE2779="me","   not ELP, by",IF(AE2779="",IF(G2779&gt;0,(VLOOKUP(A2779,'Discount Lookup'!J:K,2)*G2779*(1-PlanterDiscount)*(1+PlanterDifficultyPercentage)),""),"")),"   not ELP, by"))))))))))))))</f>
        <v/>
      </c>
      <c r="AD2779" s="712"/>
      <c r="AE2779" s="513" t="str">
        <f t="shared" si="2118"/>
        <v/>
      </c>
      <c r="AF2779" s="713" t="str">
        <f t="shared" si="2119"/>
        <v/>
      </c>
      <c r="AG2779" s="713"/>
      <c r="AH2779" s="713"/>
      <c r="AI2779" s="112">
        <f>IF(H2779="credit",0,IF(AE2779="free",0,IF(AE2779="me",0,IF(G2779&gt;0,(VLOOKUP(A2779,'Discount Lookup'!J:K,2)*G2779),0))))</f>
        <v>0</v>
      </c>
      <c r="AJ2779" s="107" t="str">
        <f t="shared" ca="1" si="2120"/>
        <v/>
      </c>
      <c r="AK2779" s="714" t="str">
        <f t="shared" si="2121"/>
        <v/>
      </c>
      <c r="AL2779" s="714"/>
      <c r="AM2779" s="114" t="str">
        <f t="shared" si="2122"/>
        <v/>
      </c>
      <c r="AN2779" s="115"/>
      <c r="AO2779" s="116"/>
      <c r="AP2779" s="116"/>
      <c r="AQ2779" s="116"/>
      <c r="AR2779" s="116"/>
      <c r="AS2779" s="116"/>
      <c r="AT2779" s="116"/>
      <c r="AU2779" s="116"/>
      <c r="AV2779" s="78"/>
      <c r="AW2779" s="102"/>
      <c r="AX2779" s="78"/>
      <c r="AY2779" s="78"/>
      <c r="AZ2779" s="78"/>
      <c r="BA2779" s="78"/>
      <c r="BB2779" s="78"/>
      <c r="BC2779" s="78"/>
      <c r="BD2779" s="78"/>
      <c r="BE2779" s="465"/>
      <c r="BF2779" s="165" t="str">
        <f t="shared" si="2123"/>
        <v>https://www.google.com/search?tbm=isch&amp;q=Lysimachia%20alfredii%20%27Night%20Light%27%20PP%2333931%20Night%20Light%20Moneywort</v>
      </c>
      <c r="BG2779" s="165" t="str">
        <f t="shared" si="2124"/>
        <v>L</v>
      </c>
      <c r="BH2779" s="65"/>
      <c r="BI2779" s="65"/>
      <c r="BJ2779" s="65"/>
      <c r="BK2779" s="65"/>
      <c r="BL2779" s="99"/>
      <c r="BM2779" s="99"/>
      <c r="BN2779" s="99"/>
    </row>
    <row r="2780" spans="1:66" s="51" customFormat="1" ht="15.75" x14ac:dyDescent="0.25">
      <c r="A2780" s="478">
        <v>1</v>
      </c>
      <c r="B2780" s="479" t="s">
        <v>291</v>
      </c>
      <c r="C2780" s="480"/>
      <c r="D2780" s="481" t="s">
        <v>329</v>
      </c>
      <c r="E2780" s="482">
        <v>10.95</v>
      </c>
      <c r="F2780" s="483" t="s">
        <v>292</v>
      </c>
      <c r="G2780" s="484">
        <v>0</v>
      </c>
      <c r="H2780" s="688" t="str">
        <f>IF(G2780=0,"",IF(F2780="Buy",IF(G2780=1,"plant","plants"),IF(F2780&gt;0.01,"warranty","Error")))</f>
        <v/>
      </c>
      <c r="I2780" s="485">
        <f>IF(H2780="free",0,IF(H2780="credit",((E2780*(F2780))*G2780*-1),IF(F2780="Buy",(E2780*G2780),((E2780*(1-F2780))*G2780))))</f>
        <v>0</v>
      </c>
      <c r="J2780" s="485">
        <f>IF(H2780="warranty",0,(I2780*(_xlfn.SINGLE(SalesTaxPercentage))))</f>
        <v>0</v>
      </c>
      <c r="K2780" s="715">
        <f t="shared" ref="K2780" si="2127">I2780+J2780</f>
        <v>0</v>
      </c>
      <c r="L2780" s="715"/>
      <c r="M2780" s="689" t="str">
        <f ca="1">IF(AND(G2780&gt;0,E2780=0),"WARNING - no PRICE inserted",IF(H2780="free","FREE ~ no charge this plant",IF(H2780="credit",CONCATENATE("-$",ROUND(K2780*(1-_xlfn.SINGLE(T2GDiscount))*-1,2)," CREDIT after discount"),IF(_xlfn.SINGLE(T2GDiscount)=0,"",IF(G2780=0,"",IF(F2780="Buy",CONCATENATE("$",ROUND(K2780*(1-_xlfn.SINGLE(T2GDiscount)),2)," with ",(_xlfn.SINGLE(T2GDiscount)*100),"% discount"),CONCATENATE("$",ROUND(K2780*(1-_xlfn.SINGLE(T2GDiscount)),2)," with ",((_xlfn.SINGLE(T2GDiscount)*100+F2780*100)-(_xlfn.SINGLE(T2GDiscount)*100*F2780)),IF(F2780&gt;0,"% discounts",IF(_xlfn.SINGLE(NoWarrantyDiscount)&gt;0,"% discounts","% discount")))))))))</f>
        <v/>
      </c>
      <c r="N2780" s="690"/>
      <c r="O2780" s="486"/>
      <c r="P2780" s="486"/>
      <c r="Q2780" s="486"/>
      <c r="R2780" s="486"/>
      <c r="S2780" s="486"/>
      <c r="T2780" s="102">
        <f t="shared" si="2112"/>
        <v>0</v>
      </c>
      <c r="U2780" s="78">
        <f>IF(NOT(ISNUMBER(G2780)), "", VLOOKUP(A2780,'Discount Lookup'!D:E,2,FALSE)*G2780)</f>
        <v>0</v>
      </c>
      <c r="V2780" s="78">
        <f>IF(NOT(ISNUMBER(G2780)), "", VLOOKUP(A2780,'Discount Lookup'!G:H,2,FALSE)*G2780)</f>
        <v>0</v>
      </c>
      <c r="W2780" s="102">
        <f t="shared" si="2113"/>
        <v>0</v>
      </c>
      <c r="X2780" s="102">
        <f t="shared" si="2114"/>
        <v>0</v>
      </c>
      <c r="Y2780" s="120" t="b">
        <f t="shared" si="2115"/>
        <v>0</v>
      </c>
      <c r="Z2780" s="117">
        <f t="shared" si="2116"/>
        <v>0</v>
      </c>
      <c r="AA2780" s="118"/>
      <c r="AB2780" s="118" t="str">
        <f t="shared" si="2117"/>
        <v/>
      </c>
      <c r="AC2780" s="712" t="str">
        <f>IF(AE2780="T2G","no charge",IF(AND(OR(PlanterYesMe="No",PlanterYesMe="N",PlanterYesMe="me"),H2780=""),"",IF(H2780="credit","NO install",IF(AND(K2780="",AE2780="me"),"EACH row",IF(AND(K2780="images",AE2780="me"),"EACH row",IF(D2780="","",IF(H2780="credit","",IF(AE2780="free","re-planting",IF(AE2780="me","   not ELP, by",IF(AND(OR(PlanterYesMe="Yes",PlanterYesMe="Y"),G2780&gt;0),(VLOOKUP(A2780,'Discount Lookup'!J:K,2)*G2780*(1-PlanterDiscount)*(1+PlanterDifficultyPercentage)),IF(AE2780="ELP",(VLOOKUP(A2780,'Discount Lookup'!J:K,2)*G2780*(1-PlanterDiscount)*(1+PlanterDifficultyPercentage)),IF(AE2780="free","re-planting",IF(G2780=0,"",IF(PlanterYesMe="",IF(AE2780="me","   not ELP, by",IF(AE2780="",IF(G2780&gt;0,(VLOOKUP(A2780,'Discount Lookup'!J:K,2)*G2780*(1-PlanterDiscount)*(1+PlanterDifficultyPercentage)),""),"")),"   not ELP, by"))))))))))))))</f>
        <v/>
      </c>
      <c r="AD2780" s="712"/>
      <c r="AE2780" s="513" t="str">
        <f t="shared" si="2118"/>
        <v/>
      </c>
      <c r="AF2780" s="713" t="str">
        <f t="shared" si="2119"/>
        <v/>
      </c>
      <c r="AG2780" s="713"/>
      <c r="AH2780" s="713"/>
      <c r="AI2780" s="112">
        <f>IF(H2780="credit",0,IF(AE2780="free",0,IF(AE2780="me",0,IF(G2780&gt;0,(VLOOKUP(A2780,'Discount Lookup'!J:K,2)*G2780),0))))</f>
        <v>0</v>
      </c>
      <c r="AJ2780" s="107" t="str">
        <f t="shared" ca="1" si="2120"/>
        <v/>
      </c>
      <c r="AK2780" s="714" t="str">
        <f t="shared" si="2121"/>
        <v/>
      </c>
      <c r="AL2780" s="714"/>
      <c r="AM2780" s="114" t="str">
        <f t="shared" si="2122"/>
        <v/>
      </c>
      <c r="AN2780" s="115"/>
      <c r="AO2780" s="116"/>
      <c r="AP2780" s="116"/>
      <c r="AQ2780" s="116"/>
      <c r="AR2780" s="116"/>
      <c r="AS2780" s="116"/>
      <c r="AT2780" s="116"/>
      <c r="AU2780" s="116"/>
      <c r="AV2780" s="78"/>
      <c r="AW2780" s="102"/>
      <c r="AX2780" s="78"/>
      <c r="AY2780" s="78"/>
      <c r="AZ2780" s="78"/>
      <c r="BA2780" s="78"/>
      <c r="BB2780" s="78"/>
      <c r="BC2780" s="78"/>
      <c r="BD2780" s="78"/>
      <c r="BE2780" s="465"/>
      <c r="BF2780" s="165" t="str">
        <f t="shared" si="2123"/>
        <v>https://www.google.com/search?tbm=isch&amp;q=1%20G2</v>
      </c>
      <c r="BG2780" s="165" t="str">
        <f t="shared" si="2124"/>
        <v>L</v>
      </c>
      <c r="BH2780" s="65"/>
      <c r="BI2780" s="65"/>
      <c r="BJ2780" s="65"/>
      <c r="BK2780" s="65"/>
      <c r="BL2780" s="99"/>
      <c r="BM2780" s="99"/>
      <c r="BN2780" s="99"/>
    </row>
    <row r="2781" spans="1:66" s="51" customFormat="1" ht="16.5" thickBot="1" x14ac:dyDescent="0.3">
      <c r="A2781" s="705" t="s">
        <v>5474</v>
      </c>
      <c r="B2781" s="487"/>
      <c r="C2781" s="707"/>
      <c r="D2781" s="487"/>
      <c r="E2781" s="487"/>
      <c r="F2781" s="488"/>
      <c r="G2781" s="489"/>
      <c r="H2781" s="487"/>
      <c r="I2781" s="490"/>
      <c r="J2781" s="490"/>
      <c r="K2781" s="491"/>
      <c r="L2781" s="547"/>
      <c r="M2781" s="528"/>
      <c r="N2781" s="492"/>
      <c r="O2781" s="493"/>
      <c r="P2781" s="494"/>
      <c r="Q2781" s="492"/>
      <c r="R2781" s="492"/>
      <c r="S2781" s="495"/>
      <c r="T2781" s="102">
        <f t="shared" si="2112"/>
        <v>0</v>
      </c>
      <c r="U2781" s="78" t="str">
        <f>IF(NOT(ISNUMBER(G2781)), "", VLOOKUP(A2781,'Discount Lookup'!D:E,2,FALSE)*G2781)</f>
        <v/>
      </c>
      <c r="V2781" s="78" t="str">
        <f>IF(NOT(ISNUMBER(G2781)), "", VLOOKUP(A2781,'Discount Lookup'!G:H,2,FALSE)*G2781)</f>
        <v/>
      </c>
      <c r="W2781" s="102">
        <f t="shared" si="2113"/>
        <v>0</v>
      </c>
      <c r="X2781" s="102">
        <f t="shared" si="2114"/>
        <v>0</v>
      </c>
      <c r="Y2781" s="120" t="b">
        <f t="shared" si="2115"/>
        <v>0</v>
      </c>
      <c r="Z2781" s="117">
        <f t="shared" si="2116"/>
        <v>0</v>
      </c>
      <c r="AA2781" s="118"/>
      <c r="AB2781" s="118" t="str">
        <f t="shared" si="2117"/>
        <v/>
      </c>
      <c r="AC2781" s="712" t="str">
        <f>IF(AE2781="T2G","no charge",IF(AND(OR(PlanterYesMe="No",PlanterYesMe="N",PlanterYesMe="me"),H2781=""),"",IF(H2781="credit","NO install",IF(AND(K2781="",AE2781="me"),"EACH row",IF(AND(K2781="images",AE2781="me"),"EACH row",IF(D2781="","",IF(H2781="credit","",IF(AE2781="free","re-planting",IF(AE2781="me","   not ELP, by",IF(AND(OR(PlanterYesMe="Yes",PlanterYesMe="Y"),G2781&gt;0),(VLOOKUP(A2781,'Discount Lookup'!J:K,2)*G2781*(1-PlanterDiscount)*(1+PlanterDifficultyPercentage)),IF(AE2781="ELP",(VLOOKUP(A2781,'Discount Lookup'!J:K,2)*G2781*(1-PlanterDiscount)*(1+PlanterDifficultyPercentage)),IF(AE2781="free","re-planting",IF(G2781=0,"",IF(PlanterYesMe="",IF(AE2781="me","   not ELP, by",IF(AE2781="",IF(G2781&gt;0,(VLOOKUP(A2781,'Discount Lookup'!J:K,2)*G2781*(1-PlanterDiscount)*(1+PlanterDifficultyPercentage)),""),"")),"   not ELP, by"))))))))))))))</f>
        <v/>
      </c>
      <c r="AD2781" s="712"/>
      <c r="AE2781" s="513" t="str">
        <f t="shared" si="2118"/>
        <v/>
      </c>
      <c r="AF2781" s="713" t="str">
        <f t="shared" si="2119"/>
        <v/>
      </c>
      <c r="AG2781" s="713"/>
      <c r="AH2781" s="713"/>
      <c r="AI2781" s="112">
        <f>IF(H2781="credit",0,IF(AE2781="free",0,IF(AE2781="me",0,IF(G2781&gt;0,(VLOOKUP(A2781,'Discount Lookup'!J:K,2)*G2781),0))))</f>
        <v>0</v>
      </c>
      <c r="AJ2781" s="107" t="str">
        <f t="shared" ca="1" si="2120"/>
        <v/>
      </c>
      <c r="AK2781" s="714" t="str">
        <f t="shared" si="2121"/>
        <v/>
      </c>
      <c r="AL2781" s="714"/>
      <c r="AM2781" s="114" t="str">
        <f t="shared" si="2122"/>
        <v/>
      </c>
      <c r="AN2781" s="115"/>
      <c r="AO2781" s="116"/>
      <c r="AP2781" s="116"/>
      <c r="AQ2781" s="116"/>
      <c r="AR2781" s="116"/>
      <c r="AS2781" s="116"/>
      <c r="AT2781" s="116"/>
      <c r="AU2781" s="116"/>
      <c r="AV2781" s="78"/>
      <c r="AW2781" s="102"/>
      <c r="AX2781" s="78"/>
      <c r="AY2781" s="78"/>
      <c r="AZ2781" s="78"/>
      <c r="BA2781" s="78"/>
      <c r="BB2781" s="78"/>
      <c r="BC2781" s="78"/>
      <c r="BD2781" s="78"/>
      <c r="BE2781" s="465"/>
      <c r="BF2781" s="165" t="str">
        <f t="shared" si="2123"/>
        <v>https://www.google.com/search?tbm=isch&amp;q=moist%20sites%F0%9F%92%A7GOOD%2C%20Night%20Light%20foliage%20emerges%20Bright%20Green%20then%20forms%20a%20dense%2C%20colorful%20groundcover%20with%20glowing%20dark%20foliage%20and%20sunny%20Yellow%20flowers%20</v>
      </c>
      <c r="BG2781" s="165" t="str">
        <f t="shared" si="2124"/>
        <v>m</v>
      </c>
      <c r="BH2781" s="65"/>
      <c r="BI2781" s="65"/>
      <c r="BJ2781" s="65"/>
      <c r="BK2781" s="65"/>
      <c r="BL2781" s="99"/>
      <c r="BM2781" s="99"/>
      <c r="BN2781" s="99"/>
    </row>
    <row r="2782" spans="1:66" s="51" customFormat="1" ht="18" x14ac:dyDescent="0.25">
      <c r="A2782" s="507" t="s">
        <v>3428</v>
      </c>
      <c r="B2782" s="470"/>
      <c r="C2782" s="706"/>
      <c r="D2782" s="471" t="s">
        <v>3429</v>
      </c>
      <c r="E2782" s="472"/>
      <c r="F2782" s="472"/>
      <c r="G2782" s="472"/>
      <c r="H2782" s="622" t="s">
        <v>3430</v>
      </c>
      <c r="I2782" s="473" t="s">
        <v>1441</v>
      </c>
      <c r="J2782" s="472"/>
      <c r="K2782" s="472"/>
      <c r="L2782" s="561"/>
      <c r="M2782" s="698" t="s">
        <v>5246</v>
      </c>
      <c r="N2782" s="692" t="str">
        <f>IF(AND(ISTEXT($A2782), ISERROR($A2782+0)), HYPERLINK($BF2782, "Images"), "")</f>
        <v>Images</v>
      </c>
      <c r="O2782" s="694" t="s">
        <v>5244</v>
      </c>
      <c r="P2782" s="475"/>
      <c r="Q2782" s="476"/>
      <c r="R2782" s="476"/>
      <c r="S2782" s="477"/>
      <c r="T2782" s="102">
        <f t="shared" si="2112"/>
        <v>0</v>
      </c>
      <c r="U2782" s="78" t="str">
        <f>IF(NOT(ISNUMBER(G2782)), "", VLOOKUP(A2782,'Discount Lookup'!D:E,2,FALSE)*G2782)</f>
        <v/>
      </c>
      <c r="V2782" s="78" t="str">
        <f>IF(NOT(ISNUMBER(G2782)), "", VLOOKUP(A2782,'Discount Lookup'!G:H,2,FALSE)*G2782)</f>
        <v/>
      </c>
      <c r="W2782" s="102">
        <f t="shared" si="2113"/>
        <v>0</v>
      </c>
      <c r="X2782" s="102" t="str">
        <f t="shared" si="2114"/>
        <v>Yellow bloom</v>
      </c>
      <c r="Y2782" s="120" t="b">
        <f t="shared" si="2115"/>
        <v>0</v>
      </c>
      <c r="Z2782" s="117">
        <f t="shared" si="2116"/>
        <v>0</v>
      </c>
      <c r="AA2782" s="118"/>
      <c r="AB2782" s="118" t="str">
        <f t="shared" si="2117"/>
        <v/>
      </c>
      <c r="AC2782" s="712" t="str">
        <f>IF(AE2782="T2G","no charge",IF(AND(OR(PlanterYesMe="No",PlanterYesMe="N",PlanterYesMe="me"),H2782=""),"",IF(H2782="credit","NO install",IF(AND(K2782="",AE2782="me"),"EACH row",IF(AND(K2782="images",AE2782="me"),"EACH row",IF(D2782="","",IF(H2782="credit","",IF(AE2782="free","re-planting",IF(AE2782="me","   not ELP, by",IF(AND(OR(PlanterYesMe="Yes",PlanterYesMe="Y"),G2782&gt;0),(VLOOKUP(A2782,'Discount Lookup'!J:K,2)*G2782*(1-PlanterDiscount)*(1+PlanterDifficultyPercentage)),IF(AE2782="ELP",(VLOOKUP(A2782,'Discount Lookup'!J:K,2)*G2782*(1-PlanterDiscount)*(1+PlanterDifficultyPercentage)),IF(AE2782="free","re-planting",IF(G2782=0,"",IF(PlanterYesMe="",IF(AE2782="me","   not ELP, by",IF(AE2782="",IF(G2782&gt;0,(VLOOKUP(A2782,'Discount Lookup'!J:K,2)*G2782*(1-PlanterDiscount)*(1+PlanterDifficultyPercentage)),""),"")),"   not ELP, by"))))))))))))))</f>
        <v/>
      </c>
      <c r="AD2782" s="712"/>
      <c r="AE2782" s="513" t="str">
        <f t="shared" si="2118"/>
        <v/>
      </c>
      <c r="AF2782" s="713" t="str">
        <f t="shared" si="2119"/>
        <v/>
      </c>
      <c r="AG2782" s="713"/>
      <c r="AH2782" s="713"/>
      <c r="AI2782" s="112">
        <f>IF(H2782="credit",0,IF(AE2782="free",0,IF(AE2782="me",0,IF(G2782&gt;0,(VLOOKUP(A2782,'Discount Lookup'!J:K,2)*G2782),0))))</f>
        <v>0</v>
      </c>
      <c r="AJ2782" s="107" t="str">
        <f t="shared" ca="1" si="2120"/>
        <v/>
      </c>
      <c r="AK2782" s="714" t="str">
        <f t="shared" si="2121"/>
        <v/>
      </c>
      <c r="AL2782" s="714"/>
      <c r="AM2782" s="114" t="str">
        <f t="shared" si="2122"/>
        <v/>
      </c>
      <c r="AN2782" s="115"/>
      <c r="AO2782" s="116"/>
      <c r="AP2782" s="116"/>
      <c r="AQ2782" s="116"/>
      <c r="AR2782" s="116"/>
      <c r="AS2782" s="116"/>
      <c r="AT2782" s="116"/>
      <c r="AU2782" s="116"/>
      <c r="AV2782" s="78"/>
      <c r="AW2782" s="102"/>
      <c r="AX2782" s="78"/>
      <c r="AY2782" s="78"/>
      <c r="AZ2782" s="78"/>
      <c r="BA2782" s="78"/>
      <c r="BB2782" s="78"/>
      <c r="BC2782" s="78"/>
      <c r="BD2782" s="78"/>
      <c r="BE2782" s="465"/>
      <c r="BF2782" s="165" t="str">
        <f t="shared" si="2123"/>
        <v>https://www.google.com/search?tbm=isch&amp;q=Lysimachia%20nummularia%20%27Aurea%27%20Creeping%20Jenny</v>
      </c>
      <c r="BG2782" s="165" t="str">
        <f t="shared" si="2124"/>
        <v>L</v>
      </c>
      <c r="BH2782" s="65"/>
      <c r="BI2782" s="65"/>
      <c r="BJ2782" s="65"/>
      <c r="BK2782" s="65"/>
      <c r="BL2782" s="99"/>
      <c r="BM2782" s="99"/>
      <c r="BN2782" s="99"/>
    </row>
    <row r="2783" spans="1:66" s="51" customFormat="1" ht="15.75" x14ac:dyDescent="0.25">
      <c r="A2783" s="478">
        <v>1</v>
      </c>
      <c r="B2783" s="479" t="s">
        <v>291</v>
      </c>
      <c r="C2783" s="480"/>
      <c r="D2783" s="481" t="s">
        <v>329</v>
      </c>
      <c r="E2783" s="482">
        <v>9.9499999999999993</v>
      </c>
      <c r="F2783" s="483" t="s">
        <v>292</v>
      </c>
      <c r="G2783" s="484">
        <v>0</v>
      </c>
      <c r="H2783" s="688" t="str">
        <f>IF(G2783=0,"",IF(F2783="Buy",IF(G2783=1,"plant","plants"),IF(F2783&gt;0.01,"warranty","Error")))</f>
        <v/>
      </c>
      <c r="I2783" s="485">
        <f>IF(H2783="free",0,IF(H2783="credit",((E2783*(F2783))*G2783*-1),IF(F2783="Buy",(E2783*G2783),((E2783*(1-F2783))*G2783))))</f>
        <v>0</v>
      </c>
      <c r="J2783" s="485">
        <f>IF(H2783="warranty",0,(I2783*(_xlfn.SINGLE(SalesTaxPercentage))))</f>
        <v>0</v>
      </c>
      <c r="K2783" s="715">
        <f t="shared" ref="K2783" si="2128">I2783+J2783</f>
        <v>0</v>
      </c>
      <c r="L2783" s="715"/>
      <c r="M2783" s="689" t="str">
        <f ca="1">IF(AND(G2783&gt;0,E2783=0),"WARNING - no PRICE inserted",IF(H2783="free","FREE ~ no charge this plant",IF(H2783="credit",CONCATENATE("-$",ROUND(K2783*(1-_xlfn.SINGLE(T2GDiscount))*-1,2)," CREDIT after discount"),IF(_xlfn.SINGLE(T2GDiscount)=0,"",IF(G2783=0,"",IF(F2783="Buy",CONCATENATE("$",ROUND(K2783*(1-_xlfn.SINGLE(T2GDiscount)),2)," with ",(_xlfn.SINGLE(T2GDiscount)*100),"% discount"),CONCATENATE("$",ROUND(K2783*(1-_xlfn.SINGLE(T2GDiscount)),2)," with ",((_xlfn.SINGLE(T2GDiscount)*100+F2783*100)-(_xlfn.SINGLE(T2GDiscount)*100*F2783)),IF(F2783&gt;0,"% discounts",IF(_xlfn.SINGLE(NoWarrantyDiscount)&gt;0,"% discounts","% discount")))))))))</f>
        <v/>
      </c>
      <c r="N2783" s="690"/>
      <c r="O2783" s="486"/>
      <c r="P2783" s="486"/>
      <c r="Q2783" s="486"/>
      <c r="R2783" s="486"/>
      <c r="S2783" s="486"/>
      <c r="T2783" s="102">
        <f t="shared" si="2112"/>
        <v>0</v>
      </c>
      <c r="U2783" s="78">
        <f>IF(NOT(ISNUMBER(G2783)), "", VLOOKUP(A2783,'Discount Lookup'!D:E,2,FALSE)*G2783)</f>
        <v>0</v>
      </c>
      <c r="V2783" s="78">
        <f>IF(NOT(ISNUMBER(G2783)), "", VLOOKUP(A2783,'Discount Lookup'!G:H,2,FALSE)*G2783)</f>
        <v>0</v>
      </c>
      <c r="W2783" s="102">
        <f t="shared" si="2113"/>
        <v>0</v>
      </c>
      <c r="X2783" s="102">
        <f t="shared" si="2114"/>
        <v>0</v>
      </c>
      <c r="Y2783" s="120" t="b">
        <f t="shared" si="2115"/>
        <v>0</v>
      </c>
      <c r="Z2783" s="117">
        <f t="shared" si="2116"/>
        <v>0</v>
      </c>
      <c r="AA2783" s="118"/>
      <c r="AB2783" s="118" t="str">
        <f t="shared" si="2117"/>
        <v/>
      </c>
      <c r="AC2783" s="712" t="str">
        <f>IF(AE2783="T2G","no charge",IF(AND(OR(PlanterYesMe="No",PlanterYesMe="N",PlanterYesMe="me"),H2783=""),"",IF(H2783="credit","NO install",IF(AND(K2783="",AE2783="me"),"EACH row",IF(AND(K2783="images",AE2783="me"),"EACH row",IF(D2783="","",IF(H2783="credit","",IF(AE2783="free","re-planting",IF(AE2783="me","   not ELP, by",IF(AND(OR(PlanterYesMe="Yes",PlanterYesMe="Y"),G2783&gt;0),(VLOOKUP(A2783,'Discount Lookup'!J:K,2)*G2783*(1-PlanterDiscount)*(1+PlanterDifficultyPercentage)),IF(AE2783="ELP",(VLOOKUP(A2783,'Discount Lookup'!J:K,2)*G2783*(1-PlanterDiscount)*(1+PlanterDifficultyPercentage)),IF(AE2783="free","re-planting",IF(G2783=0,"",IF(PlanterYesMe="",IF(AE2783="me","   not ELP, by",IF(AE2783="",IF(G2783&gt;0,(VLOOKUP(A2783,'Discount Lookup'!J:K,2)*G2783*(1-PlanterDiscount)*(1+PlanterDifficultyPercentage)),""),"")),"   not ELP, by"))))))))))))))</f>
        <v/>
      </c>
      <c r="AD2783" s="712"/>
      <c r="AE2783" s="513" t="str">
        <f t="shared" si="2118"/>
        <v/>
      </c>
      <c r="AF2783" s="713" t="str">
        <f t="shared" si="2119"/>
        <v/>
      </c>
      <c r="AG2783" s="713"/>
      <c r="AH2783" s="713"/>
      <c r="AI2783" s="112">
        <f>IF(H2783="credit",0,IF(AE2783="free",0,IF(AE2783="me",0,IF(G2783&gt;0,(VLOOKUP(A2783,'Discount Lookup'!J:K,2)*G2783),0))))</f>
        <v>0</v>
      </c>
      <c r="AJ2783" s="107" t="str">
        <f t="shared" ca="1" si="2120"/>
        <v/>
      </c>
      <c r="AK2783" s="714" t="str">
        <f t="shared" si="2121"/>
        <v/>
      </c>
      <c r="AL2783" s="714"/>
      <c r="AM2783" s="114" t="str">
        <f t="shared" si="2122"/>
        <v/>
      </c>
      <c r="AN2783" s="115"/>
      <c r="AO2783" s="116"/>
      <c r="AP2783" s="116"/>
      <c r="AQ2783" s="116"/>
      <c r="AR2783" s="116"/>
      <c r="AS2783" s="116"/>
      <c r="AT2783" s="116"/>
      <c r="AU2783" s="116"/>
      <c r="AV2783" s="78"/>
      <c r="AW2783" s="102"/>
      <c r="AX2783" s="78"/>
      <c r="AY2783" s="78"/>
      <c r="AZ2783" s="78"/>
      <c r="BA2783" s="78"/>
      <c r="BB2783" s="78"/>
      <c r="BC2783" s="78"/>
      <c r="BD2783" s="78"/>
      <c r="BE2783" s="465"/>
      <c r="BF2783" s="165" t="str">
        <f t="shared" si="2123"/>
        <v>https://www.google.com/search?tbm=isch&amp;q=1%20G2</v>
      </c>
      <c r="BG2783" s="165" t="str">
        <f t="shared" si="2124"/>
        <v>L</v>
      </c>
      <c r="BH2783" s="65"/>
      <c r="BI2783" s="65"/>
      <c r="BJ2783" s="65"/>
      <c r="BK2783" s="65"/>
      <c r="BL2783" s="99"/>
      <c r="BM2783" s="99"/>
      <c r="BN2783" s="99"/>
    </row>
    <row r="2784" spans="1:66" s="51" customFormat="1" ht="15.75" x14ac:dyDescent="0.25">
      <c r="A2784" s="478">
        <v>2</v>
      </c>
      <c r="B2784" s="479" t="s">
        <v>291</v>
      </c>
      <c r="C2784" s="480"/>
      <c r="D2784" s="481" t="s">
        <v>293</v>
      </c>
      <c r="E2784" s="482">
        <v>25.95</v>
      </c>
      <c r="F2784" s="483" t="s">
        <v>292</v>
      </c>
      <c r="G2784" s="484">
        <v>0</v>
      </c>
      <c r="H2784" s="688" t="str">
        <f>IF(G2784=0,"",IF(F2784="Buy",IF(G2784=1,"plant","plants"),IF(F2784&gt;0.01,"warranty","Error")))</f>
        <v/>
      </c>
      <c r="I2784" s="485">
        <f>IF(H2784="free",0,IF(H2784="credit",((E2784*(F2784))*G2784*-1),IF(F2784="Buy",(E2784*G2784),((E2784*(1-F2784))*G2784))))</f>
        <v>0</v>
      </c>
      <c r="J2784" s="485">
        <f>IF(H2784="warranty",0,(I2784*(_xlfn.SINGLE(SalesTaxPercentage))))</f>
        <v>0</v>
      </c>
      <c r="K2784" s="715">
        <f t="shared" ref="K2784" si="2129">I2784+J2784</f>
        <v>0</v>
      </c>
      <c r="L2784" s="715"/>
      <c r="M2784" s="689" t="str">
        <f ca="1">IF(AND(G2784&gt;0,E2784=0),"WARNING - no PRICE inserted",IF(H2784="free","FREE ~ no charge this plant",IF(H2784="credit",CONCATENATE("-$",ROUND(K2784*(1-_xlfn.SINGLE(T2GDiscount))*-1,2)," CREDIT after discount"),IF(_xlfn.SINGLE(T2GDiscount)=0,"",IF(G2784=0,"",IF(F2784="Buy",CONCATENATE("$",ROUND(K2784*(1-_xlfn.SINGLE(T2GDiscount)),2)," with ",(_xlfn.SINGLE(T2GDiscount)*100),"% discount"),CONCATENATE("$",ROUND(K2784*(1-_xlfn.SINGLE(T2GDiscount)),2)," with ",((_xlfn.SINGLE(T2GDiscount)*100+F2784*100)-(_xlfn.SINGLE(T2GDiscount)*100*F2784)),IF(F2784&gt;0,"% discounts",IF(_xlfn.SINGLE(NoWarrantyDiscount)&gt;0,"% discounts","% discount")))))))))</f>
        <v/>
      </c>
      <c r="N2784" s="690"/>
      <c r="O2784" s="486"/>
      <c r="P2784" s="486"/>
      <c r="Q2784" s="486"/>
      <c r="R2784" s="486"/>
      <c r="S2784" s="486"/>
      <c r="T2784" s="102">
        <f t="shared" si="2112"/>
        <v>0</v>
      </c>
      <c r="U2784" s="78">
        <f>IF(NOT(ISNUMBER(G2784)), "", VLOOKUP(A2784,'Discount Lookup'!D:E,2,FALSE)*G2784)</f>
        <v>0</v>
      </c>
      <c r="V2784" s="78">
        <f>IF(NOT(ISNUMBER(G2784)), "", VLOOKUP(A2784,'Discount Lookup'!G:H,2,FALSE)*G2784)</f>
        <v>0</v>
      </c>
      <c r="W2784" s="102">
        <f t="shared" si="2113"/>
        <v>0</v>
      </c>
      <c r="X2784" s="102">
        <f t="shared" si="2114"/>
        <v>0</v>
      </c>
      <c r="Y2784" s="120" t="b">
        <f t="shared" si="2115"/>
        <v>0</v>
      </c>
      <c r="Z2784" s="117">
        <f t="shared" si="2116"/>
        <v>0</v>
      </c>
      <c r="AA2784" s="118"/>
      <c r="AB2784" s="118" t="str">
        <f t="shared" si="2117"/>
        <v/>
      </c>
      <c r="AC2784" s="712" t="str">
        <f>IF(AE2784="T2G","no charge",IF(AND(OR(PlanterYesMe="No",PlanterYesMe="N",PlanterYesMe="me"),H2784=""),"",IF(H2784="credit","NO install",IF(AND(K2784="",AE2784="me"),"EACH row",IF(AND(K2784="images",AE2784="me"),"EACH row",IF(D2784="","",IF(H2784="credit","",IF(AE2784="free","re-planting",IF(AE2784="me","   not ELP, by",IF(AND(OR(PlanterYesMe="Yes",PlanterYesMe="Y"),G2784&gt;0),(VLOOKUP(A2784,'Discount Lookup'!J:K,2)*G2784*(1-PlanterDiscount)*(1+PlanterDifficultyPercentage)),IF(AE2784="ELP",(VLOOKUP(A2784,'Discount Lookup'!J:K,2)*G2784*(1-PlanterDiscount)*(1+PlanterDifficultyPercentage)),IF(AE2784="free","re-planting",IF(G2784=0,"",IF(PlanterYesMe="",IF(AE2784="me","   not ELP, by",IF(AE2784="",IF(G2784&gt;0,(VLOOKUP(A2784,'Discount Lookup'!J:K,2)*G2784*(1-PlanterDiscount)*(1+PlanterDifficultyPercentage)),""),"")),"   not ELP, by"))))))))))))))</f>
        <v/>
      </c>
      <c r="AD2784" s="712"/>
      <c r="AE2784" s="513" t="str">
        <f t="shared" si="2118"/>
        <v/>
      </c>
      <c r="AF2784" s="713" t="str">
        <f t="shared" si="2119"/>
        <v/>
      </c>
      <c r="AG2784" s="713"/>
      <c r="AH2784" s="713"/>
      <c r="AI2784" s="112">
        <f>IF(H2784="credit",0,IF(AE2784="free",0,IF(AE2784="me",0,IF(G2784&gt;0,(VLOOKUP(A2784,'Discount Lookup'!J:K,2)*G2784),0))))</f>
        <v>0</v>
      </c>
      <c r="AJ2784" s="107" t="str">
        <f t="shared" ca="1" si="2120"/>
        <v/>
      </c>
      <c r="AK2784" s="714" t="str">
        <f t="shared" si="2121"/>
        <v/>
      </c>
      <c r="AL2784" s="714"/>
      <c r="AM2784" s="114" t="str">
        <f t="shared" si="2122"/>
        <v/>
      </c>
      <c r="AN2784" s="115"/>
      <c r="AO2784" s="116"/>
      <c r="AP2784" s="116"/>
      <c r="AQ2784" s="116"/>
      <c r="AR2784" s="116"/>
      <c r="AS2784" s="116"/>
      <c r="AT2784" s="116"/>
      <c r="AU2784" s="116"/>
      <c r="AV2784" s="78"/>
      <c r="AW2784" s="102"/>
      <c r="AX2784" s="78"/>
      <c r="AY2784" s="78"/>
      <c r="AZ2784" s="78"/>
      <c r="BA2784" s="78"/>
      <c r="BB2784" s="78"/>
      <c r="BC2784" s="78"/>
      <c r="BD2784" s="78"/>
      <c r="BE2784" s="465"/>
      <c r="BF2784" s="165" t="str">
        <f t="shared" si="2123"/>
        <v>https://www.google.com/search?tbm=isch&amp;q=2%20G6</v>
      </c>
      <c r="BG2784" s="165" t="str">
        <f t="shared" si="2124"/>
        <v>L</v>
      </c>
      <c r="BH2784" s="65"/>
      <c r="BI2784" s="65"/>
      <c r="BJ2784" s="65"/>
      <c r="BK2784" s="65"/>
      <c r="BL2784" s="99"/>
      <c r="BM2784" s="99"/>
      <c r="BN2784" s="99"/>
    </row>
    <row r="2785" spans="1:66" s="51" customFormat="1" ht="15.75" x14ac:dyDescent="0.25">
      <c r="A2785" s="705" t="s">
        <v>5475</v>
      </c>
      <c r="B2785" s="487"/>
      <c r="C2785" s="707"/>
      <c r="D2785" s="487"/>
      <c r="E2785" s="487"/>
      <c r="F2785" s="488"/>
      <c r="G2785" s="489"/>
      <c r="H2785" s="487"/>
      <c r="I2785" s="490"/>
      <c r="J2785" s="490"/>
      <c r="K2785" s="491"/>
      <c r="L2785" s="547"/>
      <c r="M2785" s="528"/>
      <c r="N2785" s="492"/>
      <c r="O2785" s="493"/>
      <c r="P2785" s="494"/>
      <c r="Q2785" s="492"/>
      <c r="R2785" s="492"/>
      <c r="S2785" s="495"/>
      <c r="T2785" s="102">
        <f t="shared" si="2112"/>
        <v>0</v>
      </c>
      <c r="U2785" s="78" t="str">
        <f>IF(NOT(ISNUMBER(G2785)), "", VLOOKUP(A2785,'Discount Lookup'!D:E,2,FALSE)*G2785)</f>
        <v/>
      </c>
      <c r="V2785" s="78" t="str">
        <f>IF(NOT(ISNUMBER(G2785)), "", VLOOKUP(A2785,'Discount Lookup'!G:H,2,FALSE)*G2785)</f>
        <v/>
      </c>
      <c r="W2785" s="102">
        <f t="shared" si="2113"/>
        <v>0</v>
      </c>
      <c r="X2785" s="102">
        <f t="shared" si="2114"/>
        <v>0</v>
      </c>
      <c r="Y2785" s="120" t="b">
        <f t="shared" si="2115"/>
        <v>0</v>
      </c>
      <c r="Z2785" s="117">
        <f t="shared" si="2116"/>
        <v>0</v>
      </c>
      <c r="AA2785" s="118"/>
      <c r="AB2785" s="118" t="str">
        <f t="shared" si="2117"/>
        <v/>
      </c>
      <c r="AC2785" s="712" t="str">
        <f>IF(AE2785="T2G","no charge",IF(AND(OR(PlanterYesMe="No",PlanterYesMe="N",PlanterYesMe="me"),H2785=""),"",IF(H2785="credit","NO install",IF(AND(K2785="",AE2785="me"),"EACH row",IF(AND(K2785="images",AE2785="me"),"EACH row",IF(D2785="","",IF(H2785="credit","",IF(AE2785="free","re-planting",IF(AE2785="me","   not ELP, by",IF(AND(OR(PlanterYesMe="Yes",PlanterYesMe="Y"),G2785&gt;0),(VLOOKUP(A2785,'Discount Lookup'!J:K,2)*G2785*(1-PlanterDiscount)*(1+PlanterDifficultyPercentage)),IF(AE2785="ELP",(VLOOKUP(A2785,'Discount Lookup'!J:K,2)*G2785*(1-PlanterDiscount)*(1+PlanterDifficultyPercentage)),IF(AE2785="free","re-planting",IF(G2785=0,"",IF(PlanterYesMe="",IF(AE2785="me","   not ELP, by",IF(AE2785="",IF(G2785&gt;0,(VLOOKUP(A2785,'Discount Lookup'!J:K,2)*G2785*(1-PlanterDiscount)*(1+PlanterDifficultyPercentage)),""),"")),"   not ELP, by"))))))))))))))</f>
        <v/>
      </c>
      <c r="AD2785" s="712"/>
      <c r="AE2785" s="513" t="str">
        <f t="shared" si="2118"/>
        <v/>
      </c>
      <c r="AF2785" s="713" t="str">
        <f t="shared" si="2119"/>
        <v/>
      </c>
      <c r="AG2785" s="713"/>
      <c r="AH2785" s="713"/>
      <c r="AI2785" s="112">
        <f>IF(H2785="credit",0,IF(AE2785="free",0,IF(AE2785="me",0,IF(G2785&gt;0,(VLOOKUP(A2785,'Discount Lookup'!J:K,2)*G2785),0))))</f>
        <v>0</v>
      </c>
      <c r="AJ2785" s="107" t="str">
        <f t="shared" ca="1" si="2120"/>
        <v/>
      </c>
      <c r="AK2785" s="714" t="str">
        <f t="shared" si="2121"/>
        <v/>
      </c>
      <c r="AL2785" s="714"/>
      <c r="AM2785" s="114" t="str">
        <f t="shared" si="2122"/>
        <v/>
      </c>
      <c r="AN2785" s="115"/>
      <c r="AO2785" s="116"/>
      <c r="AP2785" s="116"/>
      <c r="AQ2785" s="116"/>
      <c r="AR2785" s="116"/>
      <c r="AS2785" s="116"/>
      <c r="AT2785" s="116"/>
      <c r="AU2785" s="116"/>
      <c r="AV2785" s="78"/>
      <c r="AW2785" s="102"/>
      <c r="AX2785" s="78"/>
      <c r="AY2785" s="78"/>
      <c r="AZ2785" s="78"/>
      <c r="BA2785" s="78"/>
      <c r="BB2785" s="78"/>
      <c r="BC2785" s="78"/>
      <c r="BD2785" s="78"/>
      <c r="BE2785" s="465"/>
      <c r="BF2785" s="165" t="str">
        <f t="shared" si="2123"/>
        <v>https://www.google.com/search?tbm=isch&amp;q=wet%20sites%F0%9F%92%A7BEST%2C%20Creeping%20Jenny%20is%20your%20easiest%20yellow%20groundcover.%20Occasional%20summer%20blooms.%20Will%20spread%2C%20so%20contain%20</v>
      </c>
      <c r="BG2785" s="165" t="str">
        <f t="shared" si="2124"/>
        <v>w</v>
      </c>
      <c r="BH2785" s="65"/>
      <c r="BI2785" s="65"/>
      <c r="BJ2785" s="65"/>
      <c r="BK2785" s="65"/>
      <c r="BL2785" s="99"/>
      <c r="BM2785" s="99"/>
      <c r="BN2785" s="99"/>
    </row>
    <row r="2786" spans="1:66" s="51" customFormat="1" ht="55.5" x14ac:dyDescent="0.25">
      <c r="A2786" s="520" t="s">
        <v>597</v>
      </c>
      <c r="B2786" s="501"/>
      <c r="C2786" s="502"/>
      <c r="D2786" s="502"/>
      <c r="E2786" s="502"/>
      <c r="F2786" s="502"/>
      <c r="G2786" s="502"/>
      <c r="H2786" s="502"/>
      <c r="I2786" s="502"/>
      <c r="J2786" s="502"/>
      <c r="K2786" s="509" t="s">
        <v>871</v>
      </c>
      <c r="L2786" s="503"/>
      <c r="M2786" s="563"/>
      <c r="N2786" s="504"/>
      <c r="O2786" s="504"/>
      <c r="P2786" s="504"/>
      <c r="Q2786" s="504"/>
      <c r="R2786" s="504"/>
      <c r="S2786" s="511" t="s">
        <v>1546</v>
      </c>
      <c r="T2786" s="102">
        <f t="shared" si="2112"/>
        <v>0</v>
      </c>
      <c r="U2786" s="78" t="str">
        <f>IF(NOT(ISNUMBER(G2786)), "", VLOOKUP(A2786,'Discount Lookup'!D:E,2,FALSE)*G2786)</f>
        <v/>
      </c>
      <c r="V2786" s="78" t="str">
        <f>IF(NOT(ISNUMBER(G2786)), "", VLOOKUP(A2786,'Discount Lookup'!G:H,2,FALSE)*G2786)</f>
        <v/>
      </c>
      <c r="W2786" s="102">
        <f t="shared" si="2113"/>
        <v>0</v>
      </c>
      <c r="X2786" s="102">
        <f t="shared" si="2114"/>
        <v>0</v>
      </c>
      <c r="Y2786" s="120" t="b">
        <f t="shared" si="2115"/>
        <v>0</v>
      </c>
      <c r="Z2786" s="117">
        <f t="shared" si="2116"/>
        <v>0</v>
      </c>
      <c r="AA2786" s="118"/>
      <c r="AB2786" s="118" t="str">
        <f t="shared" si="2117"/>
        <v/>
      </c>
      <c r="AC2786" s="712" t="str">
        <f>IF(AE2786="T2G","no charge",IF(AND(OR(PlanterYesMe="No",PlanterYesMe="N",PlanterYesMe="me"),H2786=""),"",IF(H2786="credit","NO install",IF(AND(K2786="",AE2786="me"),"EACH row",IF(AND(K2786="images",AE2786="me"),"EACH row",IF(D2786="","",IF(H2786="credit","",IF(AE2786="free","re-planting",IF(AE2786="me","   not ELP, by",IF(AND(OR(PlanterYesMe="Yes",PlanterYesMe="Y"),G2786&gt;0),(VLOOKUP(A2786,'Discount Lookup'!J:K,2)*G2786*(1-PlanterDiscount)*(1+PlanterDifficultyPercentage)),IF(AE2786="ELP",(VLOOKUP(A2786,'Discount Lookup'!J:K,2)*G2786*(1-PlanterDiscount)*(1+PlanterDifficultyPercentage)),IF(AE2786="free","re-planting",IF(G2786=0,"",IF(PlanterYesMe="",IF(AE2786="me","   not ELP, by",IF(AE2786="",IF(G2786&gt;0,(VLOOKUP(A2786,'Discount Lookup'!J:K,2)*G2786*(1-PlanterDiscount)*(1+PlanterDifficultyPercentage)),""),"")),"   not ELP, by"))))))))))))))</f>
        <v/>
      </c>
      <c r="AD2786" s="712"/>
      <c r="AE2786" s="513" t="str">
        <f t="shared" si="2118"/>
        <v/>
      </c>
      <c r="AF2786" s="713" t="str">
        <f t="shared" si="2119"/>
        <v/>
      </c>
      <c r="AG2786" s="713"/>
      <c r="AH2786" s="713"/>
      <c r="AI2786" s="112">
        <f>IF(H2786="credit",0,IF(AE2786="free",0,IF(AE2786="me",0,IF(G2786&gt;0,(VLOOKUP(A2786,'Discount Lookup'!J:K,2)*G2786),0))))</f>
        <v>0</v>
      </c>
      <c r="AJ2786" s="107" t="str">
        <f t="shared" ca="1" si="2120"/>
        <v/>
      </c>
      <c r="AK2786" s="714" t="str">
        <f t="shared" si="2121"/>
        <v/>
      </c>
      <c r="AL2786" s="714"/>
      <c r="AM2786" s="114" t="str">
        <f t="shared" si="2122"/>
        <v/>
      </c>
      <c r="AN2786" s="115"/>
      <c r="AO2786" s="116"/>
      <c r="AP2786" s="116"/>
      <c r="AQ2786" s="116"/>
      <c r="AR2786" s="116"/>
      <c r="AS2786" s="116"/>
      <c r="AT2786" s="116"/>
      <c r="AU2786" s="116"/>
      <c r="AV2786" s="78"/>
      <c r="AW2786" s="102"/>
      <c r="AX2786" s="78"/>
      <c r="AY2786" s="78"/>
      <c r="AZ2786" s="78"/>
      <c r="BA2786" s="78"/>
      <c r="BB2786" s="78"/>
      <c r="BC2786" s="78"/>
      <c r="BD2786" s="78"/>
      <c r="BE2786" s="465"/>
      <c r="BF2786" s="165" t="str">
        <f t="shared" si="2123"/>
        <v>https://www.google.com/search?tbm=isch&amp;q=M%20</v>
      </c>
      <c r="BG2786" s="165" t="str">
        <f t="shared" si="2124"/>
        <v>M</v>
      </c>
      <c r="BH2786" s="65"/>
      <c r="BI2786" s="65"/>
      <c r="BJ2786" s="65"/>
      <c r="BK2786" s="65"/>
      <c r="BL2786" s="99"/>
      <c r="BM2786" s="99"/>
      <c r="BN2786" s="99"/>
    </row>
    <row r="2787" spans="1:66" s="51" customFormat="1" ht="19.5" thickBot="1" x14ac:dyDescent="0.3">
      <c r="A2787" s="686" t="s">
        <v>598</v>
      </c>
      <c r="B2787" s="73"/>
      <c r="C2787" s="708"/>
      <c r="D2787" s="73"/>
      <c r="E2787" s="73"/>
      <c r="F2787" s="496"/>
      <c r="G2787" s="73"/>
      <c r="H2787" s="73"/>
      <c r="I2787" s="73"/>
      <c r="J2787" s="497" t="s">
        <v>357</v>
      </c>
      <c r="K2787" s="498"/>
      <c r="L2787" s="562"/>
      <c r="M2787" s="73"/>
      <c r="N2787"/>
      <c r="O2787"/>
      <c r="P2787"/>
      <c r="Q2787"/>
      <c r="R2787"/>
      <c r="S2787"/>
      <c r="T2787" s="102">
        <f t="shared" si="2112"/>
        <v>0</v>
      </c>
      <c r="U2787" s="78" t="str">
        <f>IF(NOT(ISNUMBER(G2787)), "", VLOOKUP(A2787,'Discount Lookup'!D:E,2,FALSE)*G2787)</f>
        <v/>
      </c>
      <c r="V2787" s="78" t="str">
        <f>IF(NOT(ISNUMBER(G2787)), "", VLOOKUP(A2787,'Discount Lookup'!G:H,2,FALSE)*G2787)</f>
        <v/>
      </c>
      <c r="W2787" s="102">
        <f t="shared" si="2113"/>
        <v>0</v>
      </c>
      <c r="X2787" s="102">
        <f t="shared" si="2114"/>
        <v>0</v>
      </c>
      <c r="Y2787" s="120" t="b">
        <f t="shared" si="2115"/>
        <v>0</v>
      </c>
      <c r="Z2787" s="117">
        <f t="shared" si="2116"/>
        <v>0</v>
      </c>
      <c r="AA2787" s="118"/>
      <c r="AB2787" s="118" t="str">
        <f t="shared" si="2117"/>
        <v/>
      </c>
      <c r="AC2787" s="712" t="str">
        <f>IF(AE2787="T2G","no charge",IF(AND(OR(PlanterYesMe="No",PlanterYesMe="N",PlanterYesMe="me"),H2787=""),"",IF(H2787="credit","NO install",IF(AND(K2787="",AE2787="me"),"EACH row",IF(AND(K2787="images",AE2787="me"),"EACH row",IF(D2787="","",IF(H2787="credit","",IF(AE2787="free","re-planting",IF(AE2787="me","   not ELP, by",IF(AND(OR(PlanterYesMe="Yes",PlanterYesMe="Y"),G2787&gt;0),(VLOOKUP(A2787,'Discount Lookup'!J:K,2)*G2787*(1-PlanterDiscount)*(1+PlanterDifficultyPercentage)),IF(AE2787="ELP",(VLOOKUP(A2787,'Discount Lookup'!J:K,2)*G2787*(1-PlanterDiscount)*(1+PlanterDifficultyPercentage)),IF(AE2787="free","re-planting",IF(G2787=0,"",IF(PlanterYesMe="",IF(AE2787="me","   not ELP, by",IF(AE2787="",IF(G2787&gt;0,(VLOOKUP(A2787,'Discount Lookup'!J:K,2)*G2787*(1-PlanterDiscount)*(1+PlanterDifficultyPercentage)),""),"")),"   not ELP, by"))))))))))))))</f>
        <v/>
      </c>
      <c r="AD2787" s="712"/>
      <c r="AE2787" s="513" t="str">
        <f t="shared" si="2118"/>
        <v/>
      </c>
      <c r="AF2787" s="713" t="str">
        <f t="shared" si="2119"/>
        <v/>
      </c>
      <c r="AG2787" s="713"/>
      <c r="AH2787" s="713"/>
      <c r="AI2787" s="112">
        <f>IF(H2787="credit",0,IF(AE2787="free",0,IF(AE2787="me",0,IF(G2787&gt;0,(VLOOKUP(A2787,'Discount Lookup'!J:K,2)*G2787),0))))</f>
        <v>0</v>
      </c>
      <c r="AJ2787" s="107" t="str">
        <f t="shared" ca="1" si="2120"/>
        <v/>
      </c>
      <c r="AK2787" s="714" t="str">
        <f t="shared" si="2121"/>
        <v/>
      </c>
      <c r="AL2787" s="714"/>
      <c r="AM2787" s="114" t="str">
        <f t="shared" si="2122"/>
        <v/>
      </c>
      <c r="AN2787" s="115"/>
      <c r="AO2787" s="116"/>
      <c r="AP2787" s="116"/>
      <c r="AQ2787" s="116"/>
      <c r="AR2787" s="116"/>
      <c r="AS2787" s="116"/>
      <c r="AT2787" s="116"/>
      <c r="AU2787" s="116"/>
      <c r="AV2787" s="78"/>
      <c r="AW2787" s="102"/>
      <c r="AX2787" s="78"/>
      <c r="AY2787" s="78"/>
      <c r="AZ2787" s="78"/>
      <c r="BA2787" s="78"/>
      <c r="BB2787" s="78"/>
      <c r="BC2787" s="78"/>
      <c r="BD2787" s="78"/>
      <c r="BE2787" s="465"/>
      <c r="BF2787" s="165" t="str">
        <f t="shared" si="2123"/>
        <v>https://www.google.com/search?tbm=isch&amp;q=Magnolia%20%3D%20Magnolia%20</v>
      </c>
      <c r="BG2787" s="165" t="str">
        <f t="shared" si="2124"/>
        <v>M</v>
      </c>
      <c r="BH2787" s="65"/>
      <c r="BI2787" s="65"/>
      <c r="BJ2787" s="65"/>
      <c r="BK2787" s="65"/>
      <c r="BL2787" s="99"/>
      <c r="BM2787" s="99"/>
      <c r="BN2787" s="99"/>
    </row>
    <row r="2788" spans="1:66" s="51" customFormat="1" ht="18" x14ac:dyDescent="0.25">
      <c r="A2788" s="623" t="s">
        <v>3431</v>
      </c>
      <c r="B2788" s="624"/>
      <c r="C2788" s="709"/>
      <c r="D2788" s="625" t="s">
        <v>3432</v>
      </c>
      <c r="E2788" s="626"/>
      <c r="F2788" s="626"/>
      <c r="G2788" s="626"/>
      <c r="H2788" s="622" t="s">
        <v>1147</v>
      </c>
      <c r="I2788" s="627" t="s">
        <v>1191</v>
      </c>
      <c r="J2788" s="628"/>
      <c r="K2788" s="628"/>
      <c r="L2788" s="629"/>
      <c r="M2788" s="700" t="s">
        <v>5249</v>
      </c>
      <c r="N2788" s="693" t="str">
        <f>IF(AND(ISTEXT($A2788), ISERROR($A2788+0)), HYPERLINK($BF2788, "Images"), "")</f>
        <v>Images</v>
      </c>
      <c r="O2788" s="695" t="s">
        <v>5247</v>
      </c>
      <c r="P2788" s="630"/>
      <c r="Q2788" s="631"/>
      <c r="R2788" s="632"/>
      <c r="S2788" s="633"/>
      <c r="T2788" s="102">
        <f t="shared" si="2112"/>
        <v>0</v>
      </c>
      <c r="U2788" s="78" t="str">
        <f>IF(NOT(ISNUMBER(G2788)), "", VLOOKUP(A2788,'Discount Lookup'!D:E,2,FALSE)*G2788)</f>
        <v/>
      </c>
      <c r="V2788" s="78" t="str">
        <f>IF(NOT(ISNUMBER(G2788)), "", VLOOKUP(A2788,'Discount Lookup'!G:H,2,FALSE)*G2788)</f>
        <v/>
      </c>
      <c r="W2788" s="102">
        <f t="shared" si="2113"/>
        <v>0</v>
      </c>
      <c r="X2788" s="102" t="str">
        <f t="shared" si="2114"/>
        <v>Reddish-Purple bloom</v>
      </c>
      <c r="Y2788" s="120" t="b">
        <f t="shared" si="2115"/>
        <v>0</v>
      </c>
      <c r="Z2788" s="117">
        <f t="shared" si="2116"/>
        <v>0</v>
      </c>
      <c r="AA2788" s="118"/>
      <c r="AB2788" s="118" t="str">
        <f t="shared" si="2117"/>
        <v/>
      </c>
      <c r="AC2788" s="712" t="str">
        <f>IF(AE2788="T2G","no charge",IF(AND(OR(PlanterYesMe="No",PlanterYesMe="N",PlanterYesMe="me"),H2788=""),"",IF(H2788="credit","NO install",IF(AND(K2788="",AE2788="me"),"EACH row",IF(AND(K2788="images",AE2788="me"),"EACH row",IF(D2788="","",IF(H2788="credit","",IF(AE2788="free","re-planting",IF(AE2788="me","   not ELP, by",IF(AND(OR(PlanterYesMe="Yes",PlanterYesMe="Y"),G2788&gt;0),(VLOOKUP(A2788,'Discount Lookup'!J:K,2)*G2788*(1-PlanterDiscount)*(1+PlanterDifficultyPercentage)),IF(AE2788="ELP",(VLOOKUP(A2788,'Discount Lookup'!J:K,2)*G2788*(1-PlanterDiscount)*(1+PlanterDifficultyPercentage)),IF(AE2788="free","re-planting",IF(G2788=0,"",IF(PlanterYesMe="",IF(AE2788="me","   not ELP, by",IF(AE2788="",IF(G2788&gt;0,(VLOOKUP(A2788,'Discount Lookup'!J:K,2)*G2788*(1-PlanterDiscount)*(1+PlanterDifficultyPercentage)),""),"")),"   not ELP, by"))))))))))))))</f>
        <v/>
      </c>
      <c r="AD2788" s="712"/>
      <c r="AE2788" s="513" t="str">
        <f t="shared" si="2118"/>
        <v/>
      </c>
      <c r="AF2788" s="713" t="str">
        <f t="shared" si="2119"/>
        <v/>
      </c>
      <c r="AG2788" s="713"/>
      <c r="AH2788" s="713"/>
      <c r="AI2788" s="112">
        <f>IF(H2788="credit",0,IF(AE2788="free",0,IF(AE2788="me",0,IF(G2788&gt;0,(VLOOKUP(A2788,'Discount Lookup'!J:K,2)*G2788),0))))</f>
        <v>0</v>
      </c>
      <c r="AJ2788" s="107" t="str">
        <f t="shared" ca="1" si="2120"/>
        <v/>
      </c>
      <c r="AK2788" s="714" t="str">
        <f t="shared" si="2121"/>
        <v/>
      </c>
      <c r="AL2788" s="714"/>
      <c r="AM2788" s="114" t="str">
        <f t="shared" si="2122"/>
        <v/>
      </c>
      <c r="AN2788" s="115"/>
      <c r="AO2788" s="116"/>
      <c r="AP2788" s="116"/>
      <c r="AQ2788" s="116"/>
      <c r="AR2788" s="116"/>
      <c r="AS2788" s="116"/>
      <c r="AT2788" s="116"/>
      <c r="AU2788" s="116"/>
      <c r="AV2788" s="78"/>
      <c r="AW2788" s="102"/>
      <c r="AX2788" s="78"/>
      <c r="AY2788" s="78"/>
      <c r="AZ2788" s="78"/>
      <c r="BA2788" s="78"/>
      <c r="BB2788" s="78"/>
      <c r="BC2788" s="78"/>
      <c r="BD2788" s="78"/>
      <c r="BE2788" s="465"/>
      <c r="BF2788" s="165" t="str">
        <f t="shared" si="2123"/>
        <v>https://www.google.com/search?tbm=isch&amp;q=Magnolia%20%27Betty%27%20Betty%20Magnolia</v>
      </c>
      <c r="BG2788" s="165" t="str">
        <f t="shared" si="2124"/>
        <v>M</v>
      </c>
      <c r="BH2788" s="65"/>
      <c r="BI2788" s="65"/>
      <c r="BJ2788" s="65"/>
      <c r="BK2788" s="65"/>
      <c r="BL2788" s="99"/>
      <c r="BM2788" s="99"/>
      <c r="BN2788" s="99"/>
    </row>
    <row r="2789" spans="1:66" s="51" customFormat="1" ht="15.75" x14ac:dyDescent="0.25">
      <c r="A2789" s="634">
        <v>3</v>
      </c>
      <c r="B2789" s="635" t="s">
        <v>291</v>
      </c>
      <c r="C2789" s="636" t="s">
        <v>3053</v>
      </c>
      <c r="D2789" s="637" t="s">
        <v>311</v>
      </c>
      <c r="E2789" s="638">
        <v>33.950000000000003</v>
      </c>
      <c r="F2789" s="639" t="s">
        <v>292</v>
      </c>
      <c r="G2789" s="484">
        <v>0</v>
      </c>
      <c r="H2789" s="691" t="str">
        <f>IF(G2789=0,"",IF(F2789="Buy",IF(G2789=1,"plant","plants"),IF(F2789&gt;0.01,"warranty","Error")))</f>
        <v/>
      </c>
      <c r="I2789" s="640">
        <f>IF(H2789="free",0,IF(H2789="credit",((E2789*(F2789))*G2789*-1),IF(F2789="Buy",(E2789*G2789),((E2789*(1-F2789))*G2789))))</f>
        <v>0</v>
      </c>
      <c r="J2789" s="640">
        <f>IF(H2789="warranty",0,(I2789*(_xlfn.SINGLE(SalesTaxPercentage))))</f>
        <v>0</v>
      </c>
      <c r="K2789" s="716">
        <f t="shared" ref="K2789" si="2130">I2789+J2789</f>
        <v>0</v>
      </c>
      <c r="L2789" s="716"/>
      <c r="M2789" s="689" t="str">
        <f ca="1">IF(AND(G2789&gt;0,E2789=0),"WARNING - no PRICE inserted",IF(H2789="free","FREE ~ no charge this plant",IF(H2789="credit",CONCATENATE("-$",ROUND(K2789*(1-_xlfn.SINGLE(T2GDiscount))*-1,2)," CREDIT after discount"),IF(_xlfn.SINGLE(T2GDiscount)=0,"",IF(G2789=0,"",IF(F2789="Buy",CONCATENATE("$",ROUND(K2789*(1-_xlfn.SINGLE(T2GDiscount)),2)," with ",(_xlfn.SINGLE(T2GDiscount)*100),"% discount"),CONCATENATE("$",ROUND(K2789*(1-_xlfn.SINGLE(T2GDiscount)),2)," with ",((_xlfn.SINGLE(T2GDiscount)*100+F2789*100)-(_xlfn.SINGLE(T2GDiscount)*100*F2789)),IF(F2789&gt;0,"% discounts",IF(_xlfn.SINGLE(NoWarrantyDiscount)&gt;0,"% discounts","% discount")))))))))</f>
        <v/>
      </c>
      <c r="N2789" s="690"/>
      <c r="O2789" s="486"/>
      <c r="P2789" s="486"/>
      <c r="Q2789" s="486"/>
      <c r="R2789" s="486"/>
      <c r="S2789" s="486"/>
      <c r="T2789" s="102">
        <f t="shared" si="2112"/>
        <v>0</v>
      </c>
      <c r="U2789" s="78">
        <f>IF(NOT(ISNUMBER(G2789)), "", VLOOKUP(A2789,'Discount Lookup'!D:E,2,FALSE)*G2789)</f>
        <v>0</v>
      </c>
      <c r="V2789" s="78">
        <f>IF(NOT(ISNUMBER(G2789)), "", VLOOKUP(A2789,'Discount Lookup'!G:H,2,FALSE)*G2789)</f>
        <v>0</v>
      </c>
      <c r="W2789" s="102">
        <f t="shared" si="2113"/>
        <v>0</v>
      </c>
      <c r="X2789" s="102">
        <f t="shared" si="2114"/>
        <v>0</v>
      </c>
      <c r="Y2789" s="120" t="b">
        <f t="shared" si="2115"/>
        <v>0</v>
      </c>
      <c r="Z2789" s="117">
        <f t="shared" si="2116"/>
        <v>0</v>
      </c>
      <c r="AA2789" s="118"/>
      <c r="AB2789" s="118" t="str">
        <f t="shared" si="2117"/>
        <v/>
      </c>
      <c r="AC2789" s="712" t="str">
        <f>IF(AE2789="T2G","no charge",IF(AND(OR(PlanterYesMe="No",PlanterYesMe="N",PlanterYesMe="me"),H2789=""),"",IF(H2789="credit","NO install",IF(AND(K2789="",AE2789="me"),"EACH row",IF(AND(K2789="images",AE2789="me"),"EACH row",IF(D2789="","",IF(H2789="credit","",IF(AE2789="free","re-planting",IF(AE2789="me","   not ELP, by",IF(AND(OR(PlanterYesMe="Yes",PlanterYesMe="Y"),G2789&gt;0),(VLOOKUP(A2789,'Discount Lookup'!J:K,2)*G2789*(1-PlanterDiscount)*(1+PlanterDifficultyPercentage)),IF(AE2789="ELP",(VLOOKUP(A2789,'Discount Lookup'!J:K,2)*G2789*(1-PlanterDiscount)*(1+PlanterDifficultyPercentage)),IF(AE2789="free","re-planting",IF(G2789=0,"",IF(PlanterYesMe="",IF(AE2789="me","   not ELP, by",IF(AE2789="",IF(G2789&gt;0,(VLOOKUP(A2789,'Discount Lookup'!J:K,2)*G2789*(1-PlanterDiscount)*(1+PlanterDifficultyPercentage)),""),"")),"   not ELP, by"))))))))))))))</f>
        <v/>
      </c>
      <c r="AD2789" s="712"/>
      <c r="AE2789" s="513" t="str">
        <f t="shared" si="2118"/>
        <v/>
      </c>
      <c r="AF2789" s="713" t="str">
        <f t="shared" si="2119"/>
        <v/>
      </c>
      <c r="AG2789" s="713"/>
      <c r="AH2789" s="713"/>
      <c r="AI2789" s="112">
        <f>IF(H2789="credit",0,IF(AE2789="free",0,IF(AE2789="me",0,IF(G2789&gt;0,(VLOOKUP(A2789,'Discount Lookup'!J:K,2)*G2789),0))))</f>
        <v>0</v>
      </c>
      <c r="AJ2789" s="107" t="str">
        <f t="shared" ca="1" si="2120"/>
        <v/>
      </c>
      <c r="AK2789" s="714" t="str">
        <f t="shared" si="2121"/>
        <v/>
      </c>
      <c r="AL2789" s="714"/>
      <c r="AM2789" s="114" t="str">
        <f t="shared" si="2122"/>
        <v/>
      </c>
      <c r="AN2789" s="115"/>
      <c r="AO2789" s="116"/>
      <c r="AP2789" s="116"/>
      <c r="AQ2789" s="116"/>
      <c r="AR2789" s="116"/>
      <c r="AS2789" s="116"/>
      <c r="AT2789" s="116"/>
      <c r="AU2789" s="116"/>
      <c r="AV2789" s="78"/>
      <c r="AW2789" s="102"/>
      <c r="AX2789" s="78"/>
      <c r="AY2789" s="78"/>
      <c r="AZ2789" s="78"/>
      <c r="BA2789" s="78"/>
      <c r="BB2789" s="78"/>
      <c r="BC2789" s="78"/>
      <c r="BD2789" s="78"/>
      <c r="BE2789" s="465"/>
      <c r="BF2789" s="165" t="str">
        <f t="shared" si="2123"/>
        <v>https://www.google.com/search?tbm=isch&amp;q=3%20G5</v>
      </c>
      <c r="BG2789" s="165" t="str">
        <f t="shared" si="2124"/>
        <v>M</v>
      </c>
      <c r="BH2789" s="65"/>
      <c r="BI2789" s="65"/>
      <c r="BJ2789" s="65"/>
      <c r="BK2789" s="65"/>
      <c r="BL2789" s="99"/>
      <c r="BM2789" s="99"/>
      <c r="BN2789" s="99"/>
    </row>
    <row r="2790" spans="1:66" s="51" customFormat="1" ht="15.75" x14ac:dyDescent="0.25">
      <c r="A2790" s="634">
        <v>7</v>
      </c>
      <c r="B2790" s="635" t="s">
        <v>291</v>
      </c>
      <c r="C2790" s="636" t="s">
        <v>3433</v>
      </c>
      <c r="D2790" s="637" t="s">
        <v>311</v>
      </c>
      <c r="E2790" s="638">
        <v>68.95</v>
      </c>
      <c r="F2790" s="639" t="s">
        <v>292</v>
      </c>
      <c r="G2790" s="484">
        <v>0</v>
      </c>
      <c r="H2790" s="691" t="str">
        <f>IF(G2790=0,"",IF(F2790="Buy",IF(G2790=1,"plant","plants"),IF(F2790&gt;0.01,"warranty","Error")))</f>
        <v/>
      </c>
      <c r="I2790" s="640">
        <f>IF(H2790="free",0,IF(H2790="credit",((E2790*(F2790))*G2790*-1),IF(F2790="Buy",(E2790*G2790),((E2790*(1-F2790))*G2790))))</f>
        <v>0</v>
      </c>
      <c r="J2790" s="640">
        <f>IF(H2790="warranty",0,(I2790*(_xlfn.SINGLE(SalesTaxPercentage))))</f>
        <v>0</v>
      </c>
      <c r="K2790" s="716">
        <f t="shared" ref="K2790" si="2131">I2790+J2790</f>
        <v>0</v>
      </c>
      <c r="L2790" s="716"/>
      <c r="M2790" s="689" t="str">
        <f ca="1">IF(AND(G2790&gt;0,E2790=0),"WARNING - no PRICE inserted",IF(H2790="free","FREE ~ no charge this plant",IF(H2790="credit",CONCATENATE("-$",ROUND(K2790*(1-_xlfn.SINGLE(T2GDiscount))*-1,2)," CREDIT after discount"),IF(_xlfn.SINGLE(T2GDiscount)=0,"",IF(G2790=0,"",IF(F2790="Buy",CONCATENATE("$",ROUND(K2790*(1-_xlfn.SINGLE(T2GDiscount)),2)," with ",(_xlfn.SINGLE(T2GDiscount)*100),"% discount"),CONCATENATE("$",ROUND(K2790*(1-_xlfn.SINGLE(T2GDiscount)),2)," with ",((_xlfn.SINGLE(T2GDiscount)*100+F2790*100)-(_xlfn.SINGLE(T2GDiscount)*100*F2790)),IF(F2790&gt;0,"% discounts",IF(_xlfn.SINGLE(NoWarrantyDiscount)&gt;0,"% discounts","% discount")))))))))</f>
        <v/>
      </c>
      <c r="N2790" s="690"/>
      <c r="O2790" s="486"/>
      <c r="P2790" s="486"/>
      <c r="Q2790" s="486"/>
      <c r="R2790" s="486"/>
      <c r="S2790" s="486"/>
      <c r="T2790" s="102">
        <f t="shared" si="2112"/>
        <v>0</v>
      </c>
      <c r="U2790" s="78">
        <f>IF(NOT(ISNUMBER(G2790)), "", VLOOKUP(A2790,'Discount Lookup'!D:E,2,FALSE)*G2790)</f>
        <v>0</v>
      </c>
      <c r="V2790" s="78">
        <f>IF(NOT(ISNUMBER(G2790)), "", VLOOKUP(A2790,'Discount Lookup'!G:H,2,FALSE)*G2790)</f>
        <v>0</v>
      </c>
      <c r="W2790" s="102">
        <f t="shared" si="2113"/>
        <v>0</v>
      </c>
      <c r="X2790" s="102">
        <f t="shared" si="2114"/>
        <v>0</v>
      </c>
      <c r="Y2790" s="120" t="b">
        <f t="shared" si="2115"/>
        <v>0</v>
      </c>
      <c r="Z2790" s="117">
        <f t="shared" si="2116"/>
        <v>0</v>
      </c>
      <c r="AA2790" s="118"/>
      <c r="AB2790" s="118" t="str">
        <f t="shared" si="2117"/>
        <v/>
      </c>
      <c r="AC2790" s="712" t="str">
        <f>IF(AE2790="T2G","no charge",IF(AND(OR(PlanterYesMe="No",PlanterYesMe="N",PlanterYesMe="me"),H2790=""),"",IF(H2790="credit","NO install",IF(AND(K2790="",AE2790="me"),"EACH row",IF(AND(K2790="images",AE2790="me"),"EACH row",IF(D2790="","",IF(H2790="credit","",IF(AE2790="free","re-planting",IF(AE2790="me","   not ELP, by",IF(AND(OR(PlanterYesMe="Yes",PlanterYesMe="Y"),G2790&gt;0),(VLOOKUP(A2790,'Discount Lookup'!J:K,2)*G2790*(1-PlanterDiscount)*(1+PlanterDifficultyPercentage)),IF(AE2790="ELP",(VLOOKUP(A2790,'Discount Lookup'!J:K,2)*G2790*(1-PlanterDiscount)*(1+PlanterDifficultyPercentage)),IF(AE2790="free","re-planting",IF(G2790=0,"",IF(PlanterYesMe="",IF(AE2790="me","   not ELP, by",IF(AE2790="",IF(G2790&gt;0,(VLOOKUP(A2790,'Discount Lookup'!J:K,2)*G2790*(1-PlanterDiscount)*(1+PlanterDifficultyPercentage)),""),"")),"   not ELP, by"))))))))))))))</f>
        <v/>
      </c>
      <c r="AD2790" s="712"/>
      <c r="AE2790" s="513" t="str">
        <f t="shared" si="2118"/>
        <v/>
      </c>
      <c r="AF2790" s="713" t="str">
        <f t="shared" si="2119"/>
        <v/>
      </c>
      <c r="AG2790" s="713"/>
      <c r="AH2790" s="713"/>
      <c r="AI2790" s="112">
        <f>IF(H2790="credit",0,IF(AE2790="free",0,IF(AE2790="me",0,IF(G2790&gt;0,(VLOOKUP(A2790,'Discount Lookup'!J:K,2)*G2790),0))))</f>
        <v>0</v>
      </c>
      <c r="AJ2790" s="107" t="str">
        <f t="shared" ca="1" si="2120"/>
        <v/>
      </c>
      <c r="AK2790" s="714" t="str">
        <f t="shared" si="2121"/>
        <v/>
      </c>
      <c r="AL2790" s="714"/>
      <c r="AM2790" s="114" t="str">
        <f t="shared" si="2122"/>
        <v/>
      </c>
      <c r="AN2790" s="115"/>
      <c r="AO2790" s="116"/>
      <c r="AP2790" s="116"/>
      <c r="AQ2790" s="116"/>
      <c r="AR2790" s="116"/>
      <c r="AS2790" s="116"/>
      <c r="AT2790" s="116"/>
      <c r="AU2790" s="116"/>
      <c r="AV2790" s="78"/>
      <c r="AW2790" s="102"/>
      <c r="AX2790" s="78"/>
      <c r="AY2790" s="78"/>
      <c r="AZ2790" s="78"/>
      <c r="BA2790" s="78"/>
      <c r="BB2790" s="78"/>
      <c r="BC2790" s="78"/>
      <c r="BD2790" s="78"/>
      <c r="BE2790" s="465"/>
      <c r="BF2790" s="165" t="str">
        <f t="shared" si="2123"/>
        <v>https://www.google.com/search?tbm=isch&amp;q=7%20G5</v>
      </c>
      <c r="BG2790" s="165" t="str">
        <f t="shared" si="2124"/>
        <v>M</v>
      </c>
      <c r="BH2790" s="65"/>
      <c r="BI2790" s="65"/>
      <c r="BJ2790" s="65"/>
      <c r="BK2790" s="65"/>
      <c r="BL2790" s="99"/>
      <c r="BM2790" s="99"/>
      <c r="BN2790" s="99"/>
    </row>
    <row r="2791" spans="1:66" s="51" customFormat="1" ht="15.75" x14ac:dyDescent="0.25">
      <c r="A2791" s="634">
        <v>15</v>
      </c>
      <c r="B2791" s="635" t="s">
        <v>291</v>
      </c>
      <c r="C2791" s="636" t="s">
        <v>3434</v>
      </c>
      <c r="D2791" s="637" t="s">
        <v>311</v>
      </c>
      <c r="E2791" s="638">
        <v>155.94999999999999</v>
      </c>
      <c r="F2791" s="639" t="s">
        <v>292</v>
      </c>
      <c r="G2791" s="484">
        <v>0</v>
      </c>
      <c r="H2791" s="691" t="str">
        <f>IF(G2791=0,"",IF(F2791="Buy",IF(G2791=1,"plant","plants"),IF(F2791&gt;0.01,"warranty","Error")))</f>
        <v/>
      </c>
      <c r="I2791" s="640">
        <f>IF(H2791="free",0,IF(H2791="credit",((E2791*(F2791))*G2791*-1),IF(F2791="Buy",(E2791*G2791),((E2791*(1-F2791))*G2791))))</f>
        <v>0</v>
      </c>
      <c r="J2791" s="640">
        <f>IF(H2791="warranty",0,(I2791*(_xlfn.SINGLE(SalesTaxPercentage))))</f>
        <v>0</v>
      </c>
      <c r="K2791" s="716">
        <f t="shared" ref="K2791" si="2132">I2791+J2791</f>
        <v>0</v>
      </c>
      <c r="L2791" s="716"/>
      <c r="M2791" s="689" t="str">
        <f ca="1">IF(AND(G2791&gt;0,E2791=0),"WARNING - no PRICE inserted",IF(H2791="free","FREE ~ no charge this plant",IF(H2791="credit",CONCATENATE("-$",ROUND(K2791*(1-_xlfn.SINGLE(T2GDiscount))*-1,2)," CREDIT after discount"),IF(_xlfn.SINGLE(T2GDiscount)=0,"",IF(G2791=0,"",IF(F2791="Buy",CONCATENATE("$",ROUND(K2791*(1-_xlfn.SINGLE(T2GDiscount)),2)," with ",(_xlfn.SINGLE(T2GDiscount)*100),"% discount"),CONCATENATE("$",ROUND(K2791*(1-_xlfn.SINGLE(T2GDiscount)),2)," with ",((_xlfn.SINGLE(T2GDiscount)*100+F2791*100)-(_xlfn.SINGLE(T2GDiscount)*100*F2791)),IF(F2791&gt;0,"% discounts",IF(_xlfn.SINGLE(NoWarrantyDiscount)&gt;0,"% discounts","% discount")))))))))</f>
        <v/>
      </c>
      <c r="N2791" s="690"/>
      <c r="O2791" s="486"/>
      <c r="P2791" s="486"/>
      <c r="Q2791" s="486"/>
      <c r="R2791" s="486"/>
      <c r="S2791" s="486"/>
      <c r="T2791" s="102">
        <f t="shared" si="2112"/>
        <v>0</v>
      </c>
      <c r="U2791" s="78">
        <f>IF(NOT(ISNUMBER(G2791)), "", VLOOKUP(A2791,'Discount Lookup'!D:E,2,FALSE)*G2791)</f>
        <v>0</v>
      </c>
      <c r="V2791" s="78">
        <f>IF(NOT(ISNUMBER(G2791)), "", VLOOKUP(A2791,'Discount Lookup'!G:H,2,FALSE)*G2791)</f>
        <v>0</v>
      </c>
      <c r="W2791" s="102">
        <f t="shared" si="2113"/>
        <v>0</v>
      </c>
      <c r="X2791" s="102">
        <f t="shared" si="2114"/>
        <v>0</v>
      </c>
      <c r="Y2791" s="120" t="b">
        <f t="shared" si="2115"/>
        <v>0</v>
      </c>
      <c r="Z2791" s="117">
        <f t="shared" si="2116"/>
        <v>0</v>
      </c>
      <c r="AA2791" s="118"/>
      <c r="AB2791" s="118" t="str">
        <f t="shared" si="2117"/>
        <v/>
      </c>
      <c r="AC2791" s="712" t="str">
        <f>IF(AE2791="T2G","no charge",IF(AND(OR(PlanterYesMe="No",PlanterYesMe="N",PlanterYesMe="me"),H2791=""),"",IF(H2791="credit","NO install",IF(AND(K2791="",AE2791="me"),"EACH row",IF(AND(K2791="images",AE2791="me"),"EACH row",IF(D2791="","",IF(H2791="credit","",IF(AE2791="free","re-planting",IF(AE2791="me","   not ELP, by",IF(AND(OR(PlanterYesMe="Yes",PlanterYesMe="Y"),G2791&gt;0),(VLOOKUP(A2791,'Discount Lookup'!J:K,2)*G2791*(1-PlanterDiscount)*(1+PlanterDifficultyPercentage)),IF(AE2791="ELP",(VLOOKUP(A2791,'Discount Lookup'!J:K,2)*G2791*(1-PlanterDiscount)*(1+PlanterDifficultyPercentage)),IF(AE2791="free","re-planting",IF(G2791=0,"",IF(PlanterYesMe="",IF(AE2791="me","   not ELP, by",IF(AE2791="",IF(G2791&gt;0,(VLOOKUP(A2791,'Discount Lookup'!J:K,2)*G2791*(1-PlanterDiscount)*(1+PlanterDifficultyPercentage)),""),"")),"   not ELP, by"))))))))))))))</f>
        <v/>
      </c>
      <c r="AD2791" s="712"/>
      <c r="AE2791" s="513" t="str">
        <f t="shared" si="2118"/>
        <v/>
      </c>
      <c r="AF2791" s="713" t="str">
        <f t="shared" si="2119"/>
        <v/>
      </c>
      <c r="AG2791" s="713"/>
      <c r="AH2791" s="713"/>
      <c r="AI2791" s="112">
        <f>IF(H2791="credit",0,IF(AE2791="free",0,IF(AE2791="me",0,IF(G2791&gt;0,(VLOOKUP(A2791,'Discount Lookup'!J:K,2)*G2791),0))))</f>
        <v>0</v>
      </c>
      <c r="AJ2791" s="107" t="str">
        <f t="shared" ca="1" si="2120"/>
        <v/>
      </c>
      <c r="AK2791" s="714" t="str">
        <f t="shared" si="2121"/>
        <v/>
      </c>
      <c r="AL2791" s="714"/>
      <c r="AM2791" s="114" t="str">
        <f t="shared" si="2122"/>
        <v/>
      </c>
      <c r="AN2791" s="115"/>
      <c r="AO2791" s="116"/>
      <c r="AP2791" s="116"/>
      <c r="AQ2791" s="116"/>
      <c r="AR2791" s="116"/>
      <c r="AS2791" s="116"/>
      <c r="AT2791" s="116"/>
      <c r="AU2791" s="116"/>
      <c r="AV2791" s="78"/>
      <c r="AW2791" s="102"/>
      <c r="AX2791" s="78"/>
      <c r="AY2791" s="78"/>
      <c r="AZ2791" s="78"/>
      <c r="BA2791" s="78"/>
      <c r="BB2791" s="78"/>
      <c r="BC2791" s="78"/>
      <c r="BD2791" s="78"/>
      <c r="BE2791" s="465"/>
      <c r="BF2791" s="165" t="str">
        <f t="shared" si="2123"/>
        <v>https://www.google.com/search?tbm=isch&amp;q=15%20G5</v>
      </c>
      <c r="BG2791" s="165" t="str">
        <f t="shared" si="2124"/>
        <v>M</v>
      </c>
      <c r="BH2791" s="65"/>
      <c r="BI2791" s="65"/>
      <c r="BJ2791" s="65"/>
      <c r="BK2791" s="65"/>
      <c r="BL2791" s="99"/>
      <c r="BM2791" s="99"/>
      <c r="BN2791" s="99"/>
    </row>
    <row r="2792" spans="1:66" s="51" customFormat="1" ht="17.25" thickBot="1" x14ac:dyDescent="0.3">
      <c r="A2792" s="641" t="s">
        <v>3435</v>
      </c>
      <c r="B2792" s="642"/>
      <c r="C2792" s="710"/>
      <c r="D2792" s="643"/>
      <c r="E2792" s="643"/>
      <c r="F2792" s="644"/>
      <c r="G2792" s="645"/>
      <c r="H2792" s="646"/>
      <c r="I2792" s="647"/>
      <c r="J2792" s="648"/>
      <c r="K2792" s="649"/>
      <c r="L2792" s="650"/>
      <c r="M2792" s="650"/>
      <c r="N2792" s="644"/>
      <c r="O2792" s="644"/>
      <c r="P2792" s="644"/>
      <c r="Q2792" s="644"/>
      <c r="R2792" s="644"/>
      <c r="S2792" s="701" t="s">
        <v>5262</v>
      </c>
      <c r="T2792" s="102">
        <f t="shared" si="2112"/>
        <v>0</v>
      </c>
      <c r="U2792" s="78" t="str">
        <f>IF(NOT(ISNUMBER(G2792)), "", VLOOKUP(A2792,'Discount Lookup'!D:E,2,FALSE)*G2792)</f>
        <v/>
      </c>
      <c r="V2792" s="78" t="str">
        <f>IF(NOT(ISNUMBER(G2792)), "", VLOOKUP(A2792,'Discount Lookup'!G:H,2,FALSE)*G2792)</f>
        <v/>
      </c>
      <c r="W2792" s="102">
        <f t="shared" si="2113"/>
        <v>0</v>
      </c>
      <c r="X2792" s="102">
        <f t="shared" si="2114"/>
        <v>0</v>
      </c>
      <c r="Y2792" s="120" t="b">
        <f t="shared" si="2115"/>
        <v>0</v>
      </c>
      <c r="Z2792" s="117">
        <f t="shared" si="2116"/>
        <v>0</v>
      </c>
      <c r="AA2792" s="118"/>
      <c r="AB2792" s="118" t="str">
        <f t="shared" si="2117"/>
        <v/>
      </c>
      <c r="AC2792" s="712" t="str">
        <f>IF(AE2792="T2G","no charge",IF(AND(OR(PlanterYesMe="No",PlanterYesMe="N",PlanterYesMe="me"),H2792=""),"",IF(H2792="credit","NO install",IF(AND(K2792="",AE2792="me"),"EACH row",IF(AND(K2792="images",AE2792="me"),"EACH row",IF(D2792="","",IF(H2792="credit","",IF(AE2792="free","re-planting",IF(AE2792="me","   not ELP, by",IF(AND(OR(PlanterYesMe="Yes",PlanterYesMe="Y"),G2792&gt;0),(VLOOKUP(A2792,'Discount Lookup'!J:K,2)*G2792*(1-PlanterDiscount)*(1+PlanterDifficultyPercentage)),IF(AE2792="ELP",(VLOOKUP(A2792,'Discount Lookup'!J:K,2)*G2792*(1-PlanterDiscount)*(1+PlanterDifficultyPercentage)),IF(AE2792="free","re-planting",IF(G2792=0,"",IF(PlanterYesMe="",IF(AE2792="me","   not ELP, by",IF(AE2792="",IF(G2792&gt;0,(VLOOKUP(A2792,'Discount Lookup'!J:K,2)*G2792*(1-PlanterDiscount)*(1+PlanterDifficultyPercentage)),""),"")),"   not ELP, by"))))))))))))))</f>
        <v/>
      </c>
      <c r="AD2792" s="712"/>
      <c r="AE2792" s="513" t="str">
        <f t="shared" si="2118"/>
        <v/>
      </c>
      <c r="AF2792" s="713" t="str">
        <f t="shared" si="2119"/>
        <v/>
      </c>
      <c r="AG2792" s="713"/>
      <c r="AH2792" s="713"/>
      <c r="AI2792" s="112">
        <f>IF(H2792="credit",0,IF(AE2792="free",0,IF(AE2792="me",0,IF(G2792&gt;0,(VLOOKUP(A2792,'Discount Lookup'!J:K,2)*G2792),0))))</f>
        <v>0</v>
      </c>
      <c r="AJ2792" s="107" t="str">
        <f t="shared" ca="1" si="2120"/>
        <v/>
      </c>
      <c r="AK2792" s="714" t="str">
        <f t="shared" si="2121"/>
        <v/>
      </c>
      <c r="AL2792" s="714"/>
      <c r="AM2792" s="114" t="str">
        <f t="shared" si="2122"/>
        <v/>
      </c>
      <c r="AN2792" s="115"/>
      <c r="AO2792" s="116"/>
      <c r="AP2792" s="116"/>
      <c r="AQ2792" s="116"/>
      <c r="AR2792" s="116"/>
      <c r="AS2792" s="116"/>
      <c r="AT2792" s="116"/>
      <c r="AU2792" s="116"/>
      <c r="AV2792" s="78"/>
      <c r="AW2792" s="102"/>
      <c r="AX2792" s="78"/>
      <c r="AY2792" s="78"/>
      <c r="AZ2792" s="78"/>
      <c r="BA2792" s="78"/>
      <c r="BB2792" s="78"/>
      <c r="BC2792" s="78"/>
      <c r="BD2792" s="78"/>
      <c r="BE2792" s="465"/>
      <c r="BF2792" s="165" t="str">
        <f t="shared" si="2123"/>
        <v>https://www.google.com/search?tbm=isch&amp;q=Betty%20has%20large%20cup-like%20flowers%2C%20up%20to%208%22%20across.%20Part%20of%20%27Little%20Girl%27%20series%2C%20for%20compact%20size%20and%20later%20blooming%20</v>
      </c>
      <c r="BG2792" s="165" t="str">
        <f t="shared" si="2124"/>
        <v>B</v>
      </c>
      <c r="BH2792" s="65"/>
      <c r="BI2792" s="65"/>
      <c r="BJ2792" s="65"/>
      <c r="BK2792" s="65"/>
      <c r="BL2792" s="99"/>
      <c r="BM2792" s="99"/>
      <c r="BN2792" s="99"/>
    </row>
    <row r="2793" spans="1:66" s="51" customFormat="1" ht="18" x14ac:dyDescent="0.25">
      <c r="A2793" s="623" t="s">
        <v>3436</v>
      </c>
      <c r="B2793" s="624"/>
      <c r="C2793" s="709"/>
      <c r="D2793" s="625" t="s">
        <v>3437</v>
      </c>
      <c r="E2793" s="626"/>
      <c r="F2793" s="626"/>
      <c r="G2793" s="626"/>
      <c r="H2793" s="622" t="s">
        <v>1158</v>
      </c>
      <c r="I2793" s="627" t="s">
        <v>1837</v>
      </c>
      <c r="J2793" s="628"/>
      <c r="K2793" s="628"/>
      <c r="L2793" s="629"/>
      <c r="M2793" s="700" t="s">
        <v>5249</v>
      </c>
      <c r="N2793" s="693" t="str">
        <f>IF(AND(ISTEXT($A2793), ISERROR($A2793+0)), HYPERLINK($BF2793, "Images"), "")</f>
        <v>Images</v>
      </c>
      <c r="O2793" s="695" t="s">
        <v>5247</v>
      </c>
      <c r="P2793" s="630"/>
      <c r="Q2793" s="631"/>
      <c r="R2793" s="632"/>
      <c r="S2793" s="633"/>
      <c r="T2793" s="102">
        <f t="shared" si="2112"/>
        <v>0</v>
      </c>
      <c r="U2793" s="78" t="str">
        <f>IF(NOT(ISNUMBER(G2793)), "", VLOOKUP(A2793,'Discount Lookup'!D:E,2,FALSE)*G2793)</f>
        <v/>
      </c>
      <c r="V2793" s="78" t="str">
        <f>IF(NOT(ISNUMBER(G2793)), "", VLOOKUP(A2793,'Discount Lookup'!G:H,2,FALSE)*G2793)</f>
        <v/>
      </c>
      <c r="W2793" s="102">
        <f t="shared" si="2113"/>
        <v>0</v>
      </c>
      <c r="X2793" s="102" t="str">
        <f t="shared" si="2114"/>
        <v>Rose-Pink bloom</v>
      </c>
      <c r="Y2793" s="120" t="b">
        <f t="shared" si="2115"/>
        <v>0</v>
      </c>
      <c r="Z2793" s="117">
        <f t="shared" si="2116"/>
        <v>0</v>
      </c>
      <c r="AA2793" s="118"/>
      <c r="AB2793" s="118" t="str">
        <f t="shared" si="2117"/>
        <v/>
      </c>
      <c r="AC2793" s="712" t="str">
        <f>IF(AE2793="T2G","no charge",IF(AND(OR(PlanterYesMe="No",PlanterYesMe="N",PlanterYesMe="me"),H2793=""),"",IF(H2793="credit","NO install",IF(AND(K2793="",AE2793="me"),"EACH row",IF(AND(K2793="images",AE2793="me"),"EACH row",IF(D2793="","",IF(H2793="credit","",IF(AE2793="free","re-planting",IF(AE2793="me","   not ELP, by",IF(AND(OR(PlanterYesMe="Yes",PlanterYesMe="Y"),G2793&gt;0),(VLOOKUP(A2793,'Discount Lookup'!J:K,2)*G2793*(1-PlanterDiscount)*(1+PlanterDifficultyPercentage)),IF(AE2793="ELP",(VLOOKUP(A2793,'Discount Lookup'!J:K,2)*G2793*(1-PlanterDiscount)*(1+PlanterDifficultyPercentage)),IF(AE2793="free","re-planting",IF(G2793=0,"",IF(PlanterYesMe="",IF(AE2793="me","   not ELP, by",IF(AE2793="",IF(G2793&gt;0,(VLOOKUP(A2793,'Discount Lookup'!J:K,2)*G2793*(1-PlanterDiscount)*(1+PlanterDifficultyPercentage)),""),"")),"   not ELP, by"))))))))))))))</f>
        <v/>
      </c>
      <c r="AD2793" s="712"/>
      <c r="AE2793" s="513" t="str">
        <f t="shared" si="2118"/>
        <v/>
      </c>
      <c r="AF2793" s="713" t="str">
        <f t="shared" si="2119"/>
        <v/>
      </c>
      <c r="AG2793" s="713"/>
      <c r="AH2793" s="713"/>
      <c r="AI2793" s="112">
        <f>IF(H2793="credit",0,IF(AE2793="free",0,IF(AE2793="me",0,IF(G2793&gt;0,(VLOOKUP(A2793,'Discount Lookup'!J:K,2)*G2793),0))))</f>
        <v>0</v>
      </c>
      <c r="AJ2793" s="107" t="str">
        <f t="shared" ca="1" si="2120"/>
        <v/>
      </c>
      <c r="AK2793" s="714" t="str">
        <f t="shared" si="2121"/>
        <v/>
      </c>
      <c r="AL2793" s="714"/>
      <c r="AM2793" s="114" t="str">
        <f t="shared" si="2122"/>
        <v/>
      </c>
      <c r="AN2793" s="115"/>
      <c r="AO2793" s="116"/>
      <c r="AP2793" s="116"/>
      <c r="AQ2793" s="116"/>
      <c r="AR2793" s="116"/>
      <c r="AS2793" s="116"/>
      <c r="AT2793" s="116"/>
      <c r="AU2793" s="116"/>
      <c r="AV2793" s="78"/>
      <c r="AW2793" s="102"/>
      <c r="AX2793" s="78"/>
      <c r="AY2793" s="78"/>
      <c r="AZ2793" s="78"/>
      <c r="BA2793" s="78"/>
      <c r="BB2793" s="78"/>
      <c r="BC2793" s="78"/>
      <c r="BD2793" s="78"/>
      <c r="BE2793" s="465"/>
      <c r="BF2793" s="165" t="str">
        <f t="shared" si="2123"/>
        <v>https://www.google.com/search?tbm=isch&amp;q=Magnolia%20%27Blushing%20Belle%27%20Blushing%20Belle%20Magnolia</v>
      </c>
      <c r="BG2793" s="165" t="str">
        <f t="shared" si="2124"/>
        <v>M</v>
      </c>
      <c r="BH2793" s="65"/>
      <c r="BI2793" s="65"/>
      <c r="BJ2793" s="65"/>
      <c r="BK2793" s="65"/>
      <c r="BL2793" s="99"/>
      <c r="BM2793" s="99"/>
      <c r="BN2793" s="99"/>
    </row>
    <row r="2794" spans="1:66" s="51" customFormat="1" ht="15.75" x14ac:dyDescent="0.25">
      <c r="A2794" s="634">
        <v>10</v>
      </c>
      <c r="B2794" s="635" t="s">
        <v>291</v>
      </c>
      <c r="C2794" s="636" t="s">
        <v>951</v>
      </c>
      <c r="D2794" s="637" t="s">
        <v>299</v>
      </c>
      <c r="E2794" s="638">
        <v>137.94999999999999</v>
      </c>
      <c r="F2794" s="639" t="s">
        <v>292</v>
      </c>
      <c r="G2794" s="484">
        <v>0</v>
      </c>
      <c r="H2794" s="691" t="str">
        <f>IF(G2794=0,"",IF(F2794="Buy",IF(G2794=1,"plant","plants"),IF(F2794&gt;0.01,"warranty","Error")))</f>
        <v/>
      </c>
      <c r="I2794" s="640">
        <f>IF(H2794="free",0,IF(H2794="credit",((E2794*(F2794))*G2794*-1),IF(F2794="Buy",(E2794*G2794),((E2794*(1-F2794))*G2794))))</f>
        <v>0</v>
      </c>
      <c r="J2794" s="640">
        <f>IF(H2794="warranty",0,(I2794*(_xlfn.SINGLE(SalesTaxPercentage))))</f>
        <v>0</v>
      </c>
      <c r="K2794" s="716">
        <f t="shared" ref="K2794" si="2133">I2794+J2794</f>
        <v>0</v>
      </c>
      <c r="L2794" s="716"/>
      <c r="M2794" s="689" t="str">
        <f ca="1">IF(AND(G2794&gt;0,E2794=0),"WARNING - no PRICE inserted",IF(H2794="free","FREE ~ no charge this plant",IF(H2794="credit",CONCATENATE("-$",ROUND(K2794*(1-_xlfn.SINGLE(T2GDiscount))*-1,2)," CREDIT after discount"),IF(_xlfn.SINGLE(T2GDiscount)=0,"",IF(G2794=0,"",IF(F2794="Buy",CONCATENATE("$",ROUND(K2794*(1-_xlfn.SINGLE(T2GDiscount)),2)," with ",(_xlfn.SINGLE(T2GDiscount)*100),"% discount"),CONCATENATE("$",ROUND(K2794*(1-_xlfn.SINGLE(T2GDiscount)),2)," with ",((_xlfn.SINGLE(T2GDiscount)*100+F2794*100)-(_xlfn.SINGLE(T2GDiscount)*100*F2794)),IF(F2794&gt;0,"% discounts",IF(_xlfn.SINGLE(NoWarrantyDiscount)&gt;0,"% discounts","% discount")))))))))</f>
        <v/>
      </c>
      <c r="N2794" s="690"/>
      <c r="O2794" s="486"/>
      <c r="P2794" s="486"/>
      <c r="Q2794" s="486"/>
      <c r="R2794" s="486"/>
      <c r="S2794" s="486"/>
      <c r="T2794" s="102">
        <f t="shared" si="2112"/>
        <v>0</v>
      </c>
      <c r="U2794" s="78">
        <f>IF(NOT(ISNUMBER(G2794)), "", VLOOKUP(A2794,'Discount Lookup'!D:E,2,FALSE)*G2794)</f>
        <v>0</v>
      </c>
      <c r="V2794" s="78">
        <f>IF(NOT(ISNUMBER(G2794)), "", VLOOKUP(A2794,'Discount Lookup'!G:H,2,FALSE)*G2794)</f>
        <v>0</v>
      </c>
      <c r="W2794" s="102">
        <f t="shared" si="2113"/>
        <v>0</v>
      </c>
      <c r="X2794" s="102">
        <f t="shared" si="2114"/>
        <v>0</v>
      </c>
      <c r="Y2794" s="120" t="b">
        <f t="shared" si="2115"/>
        <v>0</v>
      </c>
      <c r="Z2794" s="117">
        <f t="shared" si="2116"/>
        <v>0</v>
      </c>
      <c r="AA2794" s="118"/>
      <c r="AB2794" s="118" t="str">
        <f t="shared" si="2117"/>
        <v/>
      </c>
      <c r="AC2794" s="712" t="str">
        <f>IF(AE2794="T2G","no charge",IF(AND(OR(PlanterYesMe="No",PlanterYesMe="N",PlanterYesMe="me"),H2794=""),"",IF(H2794="credit","NO install",IF(AND(K2794="",AE2794="me"),"EACH row",IF(AND(K2794="images",AE2794="me"),"EACH row",IF(D2794="","",IF(H2794="credit","",IF(AE2794="free","re-planting",IF(AE2794="me","   not ELP, by",IF(AND(OR(PlanterYesMe="Yes",PlanterYesMe="Y"),G2794&gt;0),(VLOOKUP(A2794,'Discount Lookup'!J:K,2)*G2794*(1-PlanterDiscount)*(1+PlanterDifficultyPercentage)),IF(AE2794="ELP",(VLOOKUP(A2794,'Discount Lookup'!J:K,2)*G2794*(1-PlanterDiscount)*(1+PlanterDifficultyPercentage)),IF(AE2794="free","re-planting",IF(G2794=0,"",IF(PlanterYesMe="",IF(AE2794="me","   not ELP, by",IF(AE2794="",IF(G2794&gt;0,(VLOOKUP(A2794,'Discount Lookup'!J:K,2)*G2794*(1-PlanterDiscount)*(1+PlanterDifficultyPercentage)),""),"")),"   not ELP, by"))))))))))))))</f>
        <v/>
      </c>
      <c r="AD2794" s="712"/>
      <c r="AE2794" s="513" t="str">
        <f t="shared" si="2118"/>
        <v/>
      </c>
      <c r="AF2794" s="713" t="str">
        <f t="shared" si="2119"/>
        <v/>
      </c>
      <c r="AG2794" s="713"/>
      <c r="AH2794" s="713"/>
      <c r="AI2794" s="112">
        <f>IF(H2794="credit",0,IF(AE2794="free",0,IF(AE2794="me",0,IF(G2794&gt;0,(VLOOKUP(A2794,'Discount Lookup'!J:K,2)*G2794),0))))</f>
        <v>0</v>
      </c>
      <c r="AJ2794" s="107" t="str">
        <f t="shared" ca="1" si="2120"/>
        <v/>
      </c>
      <c r="AK2794" s="714" t="str">
        <f t="shared" si="2121"/>
        <v/>
      </c>
      <c r="AL2794" s="714"/>
      <c r="AM2794" s="114" t="str">
        <f t="shared" si="2122"/>
        <v/>
      </c>
      <c r="AN2794" s="115"/>
      <c r="AO2794" s="116"/>
      <c r="AP2794" s="116"/>
      <c r="AQ2794" s="116"/>
      <c r="AR2794" s="116"/>
      <c r="AS2794" s="116"/>
      <c r="AT2794" s="116"/>
      <c r="AU2794" s="116"/>
      <c r="AV2794" s="78"/>
      <c r="AW2794" s="102"/>
      <c r="AX2794" s="78"/>
      <c r="AY2794" s="78"/>
      <c r="AZ2794" s="78"/>
      <c r="BA2794" s="78"/>
      <c r="BB2794" s="78"/>
      <c r="BC2794" s="78"/>
      <c r="BD2794" s="78"/>
      <c r="BE2794" s="465"/>
      <c r="BF2794" s="165" t="str">
        <f t="shared" si="2123"/>
        <v>https://www.google.com/search?tbm=isch&amp;q=10%20G4</v>
      </c>
      <c r="BG2794" s="165" t="str">
        <f t="shared" si="2124"/>
        <v>M</v>
      </c>
      <c r="BH2794" s="65"/>
      <c r="BI2794" s="65"/>
      <c r="BJ2794" s="65"/>
      <c r="BK2794" s="65"/>
      <c r="BL2794" s="99"/>
      <c r="BM2794" s="99"/>
      <c r="BN2794" s="99"/>
    </row>
    <row r="2795" spans="1:66" s="51" customFormat="1" ht="17.25" thickBot="1" x14ac:dyDescent="0.3">
      <c r="A2795" s="641" t="s">
        <v>3438</v>
      </c>
      <c r="B2795" s="642"/>
      <c r="C2795" s="710"/>
      <c r="D2795" s="643"/>
      <c r="E2795" s="643"/>
      <c r="F2795" s="644"/>
      <c r="G2795" s="645"/>
      <c r="H2795" s="646"/>
      <c r="I2795" s="647"/>
      <c r="J2795" s="648"/>
      <c r="K2795" s="649"/>
      <c r="L2795" s="650"/>
      <c r="M2795" s="650"/>
      <c r="N2795" s="644"/>
      <c r="O2795" s="644"/>
      <c r="P2795" s="644"/>
      <c r="Q2795" s="644"/>
      <c r="R2795" s="644"/>
      <c r="S2795" s="651"/>
      <c r="T2795" s="102">
        <f t="shared" si="2112"/>
        <v>0</v>
      </c>
      <c r="U2795" s="78" t="str">
        <f>IF(NOT(ISNUMBER(G2795)), "", VLOOKUP(A2795,'Discount Lookup'!D:E,2,FALSE)*G2795)</f>
        <v/>
      </c>
      <c r="V2795" s="78" t="str">
        <f>IF(NOT(ISNUMBER(G2795)), "", VLOOKUP(A2795,'Discount Lookup'!G:H,2,FALSE)*G2795)</f>
        <v/>
      </c>
      <c r="W2795" s="102">
        <f t="shared" si="2113"/>
        <v>0</v>
      </c>
      <c r="X2795" s="102">
        <f t="shared" si="2114"/>
        <v>0</v>
      </c>
      <c r="Y2795" s="120" t="b">
        <f t="shared" si="2115"/>
        <v>0</v>
      </c>
      <c r="Z2795" s="117">
        <f t="shared" si="2116"/>
        <v>0</v>
      </c>
      <c r="AA2795" s="118"/>
      <c r="AB2795" s="118" t="str">
        <f t="shared" si="2117"/>
        <v/>
      </c>
      <c r="AC2795" s="712" t="str">
        <f>IF(AE2795="T2G","no charge",IF(AND(OR(PlanterYesMe="No",PlanterYesMe="N",PlanterYesMe="me"),H2795=""),"",IF(H2795="credit","NO install",IF(AND(K2795="",AE2795="me"),"EACH row",IF(AND(K2795="images",AE2795="me"),"EACH row",IF(D2795="","",IF(H2795="credit","",IF(AE2795="free","re-planting",IF(AE2795="me","   not ELP, by",IF(AND(OR(PlanterYesMe="Yes",PlanterYesMe="Y"),G2795&gt;0),(VLOOKUP(A2795,'Discount Lookup'!J:K,2)*G2795*(1-PlanterDiscount)*(1+PlanterDifficultyPercentage)),IF(AE2795="ELP",(VLOOKUP(A2795,'Discount Lookup'!J:K,2)*G2795*(1-PlanterDiscount)*(1+PlanterDifficultyPercentage)),IF(AE2795="free","re-planting",IF(G2795=0,"",IF(PlanterYesMe="",IF(AE2795="me","   not ELP, by",IF(AE2795="",IF(G2795&gt;0,(VLOOKUP(A2795,'Discount Lookup'!J:K,2)*G2795*(1-PlanterDiscount)*(1+PlanterDifficultyPercentage)),""),"")),"   not ELP, by"))))))))))))))</f>
        <v/>
      </c>
      <c r="AD2795" s="712"/>
      <c r="AE2795" s="513" t="str">
        <f t="shared" si="2118"/>
        <v/>
      </c>
      <c r="AF2795" s="713" t="str">
        <f t="shared" si="2119"/>
        <v/>
      </c>
      <c r="AG2795" s="713"/>
      <c r="AH2795" s="713"/>
      <c r="AI2795" s="112">
        <f>IF(H2795="credit",0,IF(AE2795="free",0,IF(AE2795="me",0,IF(G2795&gt;0,(VLOOKUP(A2795,'Discount Lookup'!J:K,2)*G2795),0))))</f>
        <v>0</v>
      </c>
      <c r="AJ2795" s="107" t="str">
        <f t="shared" ca="1" si="2120"/>
        <v/>
      </c>
      <c r="AK2795" s="714" t="str">
        <f t="shared" si="2121"/>
        <v/>
      </c>
      <c r="AL2795" s="714"/>
      <c r="AM2795" s="114" t="str">
        <f t="shared" si="2122"/>
        <v/>
      </c>
      <c r="AN2795" s="115"/>
      <c r="AO2795" s="116"/>
      <c r="AP2795" s="116"/>
      <c r="AQ2795" s="116"/>
      <c r="AR2795" s="116"/>
      <c r="AS2795" s="116"/>
      <c r="AT2795" s="116"/>
      <c r="AU2795" s="116"/>
      <c r="AV2795" s="78"/>
      <c r="AW2795" s="102"/>
      <c r="AX2795" s="78"/>
      <c r="AY2795" s="78"/>
      <c r="AZ2795" s="78"/>
      <c r="BA2795" s="78"/>
      <c r="BB2795" s="78"/>
      <c r="BC2795" s="78"/>
      <c r="BD2795" s="78"/>
      <c r="BE2795" s="465"/>
      <c r="BF2795" s="165" t="str">
        <f t="shared" si="2123"/>
        <v>https://www.google.com/search?tbm=isch&amp;q=Blushing%20Belle%20has%20very%20large%2C%20fragrant%20flowers%20that%20bloom%20later%2C%20after%20the%20frost%20</v>
      </c>
      <c r="BG2795" s="165" t="str">
        <f t="shared" si="2124"/>
        <v>B</v>
      </c>
      <c r="BH2795" s="65"/>
      <c r="BI2795" s="65"/>
      <c r="BJ2795" s="65"/>
      <c r="BK2795" s="65"/>
      <c r="BL2795" s="99"/>
      <c r="BM2795" s="99"/>
      <c r="BN2795" s="99"/>
    </row>
    <row r="2796" spans="1:66" s="51" customFormat="1" ht="18" x14ac:dyDescent="0.25">
      <c r="A2796" s="623" t="s">
        <v>3439</v>
      </c>
      <c r="B2796" s="624"/>
      <c r="C2796" s="709"/>
      <c r="D2796" s="625" t="s">
        <v>3440</v>
      </c>
      <c r="E2796" s="626"/>
      <c r="F2796" s="626"/>
      <c r="G2796" s="626"/>
      <c r="H2796" s="622" t="s">
        <v>327</v>
      </c>
      <c r="I2796" s="627" t="s">
        <v>2281</v>
      </c>
      <c r="J2796" s="628"/>
      <c r="K2796" s="628"/>
      <c r="L2796" s="629"/>
      <c r="M2796" s="700" t="s">
        <v>5249</v>
      </c>
      <c r="N2796" s="693" t="str">
        <f>IF(AND(ISTEXT($A2796), ISERROR($A2796+0)), HYPERLINK($BF2796, "Images"), "")</f>
        <v>Images</v>
      </c>
      <c r="O2796" s="695" t="s">
        <v>5247</v>
      </c>
      <c r="P2796" s="630"/>
      <c r="Q2796" s="631"/>
      <c r="R2796" s="632"/>
      <c r="S2796" s="633"/>
      <c r="T2796" s="102">
        <f t="shared" si="2112"/>
        <v>0</v>
      </c>
      <c r="U2796" s="78" t="str">
        <f>IF(NOT(ISNUMBER(G2796)), "", VLOOKUP(A2796,'Discount Lookup'!D:E,2,FALSE)*G2796)</f>
        <v/>
      </c>
      <c r="V2796" s="78" t="str">
        <f>IF(NOT(ISNUMBER(G2796)), "", VLOOKUP(A2796,'Discount Lookup'!G:H,2,FALSE)*G2796)</f>
        <v/>
      </c>
      <c r="W2796" s="102">
        <f t="shared" si="2113"/>
        <v>0</v>
      </c>
      <c r="X2796" s="102" t="str">
        <f t="shared" si="2114"/>
        <v>Lemon-Yellow bloom</v>
      </c>
      <c r="Y2796" s="120" t="b">
        <f t="shared" si="2115"/>
        <v>0</v>
      </c>
      <c r="Z2796" s="117">
        <f t="shared" si="2116"/>
        <v>0</v>
      </c>
      <c r="AA2796" s="118"/>
      <c r="AB2796" s="118" t="str">
        <f t="shared" si="2117"/>
        <v/>
      </c>
      <c r="AC2796" s="712" t="str">
        <f>IF(AE2796="T2G","no charge",IF(AND(OR(PlanterYesMe="No",PlanterYesMe="N",PlanterYesMe="me"),H2796=""),"",IF(H2796="credit","NO install",IF(AND(K2796="",AE2796="me"),"EACH row",IF(AND(K2796="images",AE2796="me"),"EACH row",IF(D2796="","",IF(H2796="credit","",IF(AE2796="free","re-planting",IF(AE2796="me","   not ELP, by",IF(AND(OR(PlanterYesMe="Yes",PlanterYesMe="Y"),G2796&gt;0),(VLOOKUP(A2796,'Discount Lookup'!J:K,2)*G2796*(1-PlanterDiscount)*(1+PlanterDifficultyPercentage)),IF(AE2796="ELP",(VLOOKUP(A2796,'Discount Lookup'!J:K,2)*G2796*(1-PlanterDiscount)*(1+PlanterDifficultyPercentage)),IF(AE2796="free","re-planting",IF(G2796=0,"",IF(PlanterYesMe="",IF(AE2796="me","   not ELP, by",IF(AE2796="",IF(G2796&gt;0,(VLOOKUP(A2796,'Discount Lookup'!J:K,2)*G2796*(1-PlanterDiscount)*(1+PlanterDifficultyPercentage)),""),"")),"   not ELP, by"))))))))))))))</f>
        <v/>
      </c>
      <c r="AD2796" s="712"/>
      <c r="AE2796" s="513" t="str">
        <f t="shared" si="2118"/>
        <v/>
      </c>
      <c r="AF2796" s="713" t="str">
        <f t="shared" si="2119"/>
        <v/>
      </c>
      <c r="AG2796" s="713"/>
      <c r="AH2796" s="713"/>
      <c r="AI2796" s="112">
        <f>IF(H2796="credit",0,IF(AE2796="free",0,IF(AE2796="me",0,IF(G2796&gt;0,(VLOOKUP(A2796,'Discount Lookup'!J:K,2)*G2796),0))))</f>
        <v>0</v>
      </c>
      <c r="AJ2796" s="107" t="str">
        <f t="shared" ca="1" si="2120"/>
        <v/>
      </c>
      <c r="AK2796" s="714" t="str">
        <f t="shared" si="2121"/>
        <v/>
      </c>
      <c r="AL2796" s="714"/>
      <c r="AM2796" s="114" t="str">
        <f t="shared" si="2122"/>
        <v/>
      </c>
      <c r="AN2796" s="115"/>
      <c r="AO2796" s="116"/>
      <c r="AP2796" s="116"/>
      <c r="AQ2796" s="116"/>
      <c r="AR2796" s="116"/>
      <c r="AS2796" s="116"/>
      <c r="AT2796" s="116"/>
      <c r="AU2796" s="116"/>
      <c r="AV2796" s="78"/>
      <c r="AW2796" s="102"/>
      <c r="AX2796" s="78"/>
      <c r="AY2796" s="78"/>
      <c r="AZ2796" s="78"/>
      <c r="BA2796" s="78"/>
      <c r="BB2796" s="78"/>
      <c r="BC2796" s="78"/>
      <c r="BD2796" s="78"/>
      <c r="BE2796" s="465"/>
      <c r="BF2796" s="165" t="str">
        <f t="shared" si="2123"/>
        <v>https://www.google.com/search?tbm=isch&amp;q=Magnolia%20%27Butterflies%27%20PP%237456Exp.%20Butterflies%20Magnolia</v>
      </c>
      <c r="BG2796" s="165" t="str">
        <f t="shared" si="2124"/>
        <v>M</v>
      </c>
      <c r="BH2796" s="65"/>
      <c r="BI2796" s="65"/>
      <c r="BJ2796" s="65"/>
      <c r="BK2796" s="65"/>
      <c r="BL2796" s="99"/>
      <c r="BM2796" s="99"/>
      <c r="BN2796" s="99"/>
    </row>
    <row r="2797" spans="1:66" s="51" customFormat="1" ht="15.75" x14ac:dyDescent="0.25">
      <c r="A2797" s="634">
        <v>3</v>
      </c>
      <c r="B2797" s="635" t="s">
        <v>291</v>
      </c>
      <c r="C2797" s="636"/>
      <c r="D2797" s="637" t="s">
        <v>329</v>
      </c>
      <c r="E2797" s="638">
        <v>55.95</v>
      </c>
      <c r="F2797" s="639" t="s">
        <v>292</v>
      </c>
      <c r="G2797" s="484">
        <v>0</v>
      </c>
      <c r="H2797" s="691" t="str">
        <f>IF(G2797=0,"",IF(F2797="Buy",IF(G2797=1,"plant","plants"),IF(F2797&gt;0.01,"warranty","Error")))</f>
        <v/>
      </c>
      <c r="I2797" s="640">
        <f>IF(H2797="free",0,IF(H2797="credit",((E2797*(F2797))*G2797*-1),IF(F2797="Buy",(E2797*G2797),((E2797*(1-F2797))*G2797))))</f>
        <v>0</v>
      </c>
      <c r="J2797" s="640">
        <f>IF(H2797="warranty",0,(I2797*(_xlfn.SINGLE(SalesTaxPercentage))))</f>
        <v>0</v>
      </c>
      <c r="K2797" s="716">
        <f t="shared" ref="K2797" si="2134">I2797+J2797</f>
        <v>0</v>
      </c>
      <c r="L2797" s="716"/>
      <c r="M2797" s="689" t="str">
        <f ca="1">IF(AND(G2797&gt;0,E2797=0),"WARNING - no PRICE inserted",IF(H2797="free","FREE ~ no charge this plant",IF(H2797="credit",CONCATENATE("-$",ROUND(K2797*(1-_xlfn.SINGLE(T2GDiscount))*-1,2)," CREDIT after discount"),IF(_xlfn.SINGLE(T2GDiscount)=0,"",IF(G2797=0,"",IF(F2797="Buy",CONCATENATE("$",ROUND(K2797*(1-_xlfn.SINGLE(T2GDiscount)),2)," with ",(_xlfn.SINGLE(T2GDiscount)*100),"% discount"),CONCATENATE("$",ROUND(K2797*(1-_xlfn.SINGLE(T2GDiscount)),2)," with ",((_xlfn.SINGLE(T2GDiscount)*100+F2797*100)-(_xlfn.SINGLE(T2GDiscount)*100*F2797)),IF(F2797&gt;0,"% discounts",IF(_xlfn.SINGLE(NoWarrantyDiscount)&gt;0,"% discounts","% discount")))))))))</f>
        <v/>
      </c>
      <c r="N2797" s="690"/>
      <c r="O2797" s="486"/>
      <c r="P2797" s="486"/>
      <c r="Q2797" s="486"/>
      <c r="R2797" s="486"/>
      <c r="S2797" s="486"/>
      <c r="T2797" s="102">
        <f t="shared" si="2112"/>
        <v>0</v>
      </c>
      <c r="U2797" s="78">
        <f>IF(NOT(ISNUMBER(G2797)), "", VLOOKUP(A2797,'Discount Lookup'!D:E,2,FALSE)*G2797)</f>
        <v>0</v>
      </c>
      <c r="V2797" s="78">
        <f>IF(NOT(ISNUMBER(G2797)), "", VLOOKUP(A2797,'Discount Lookup'!G:H,2,FALSE)*G2797)</f>
        <v>0</v>
      </c>
      <c r="W2797" s="102">
        <f t="shared" si="2113"/>
        <v>0</v>
      </c>
      <c r="X2797" s="102">
        <f t="shared" si="2114"/>
        <v>0</v>
      </c>
      <c r="Y2797" s="120" t="b">
        <f t="shared" si="2115"/>
        <v>0</v>
      </c>
      <c r="Z2797" s="117">
        <f t="shared" si="2116"/>
        <v>0</v>
      </c>
      <c r="AA2797" s="118"/>
      <c r="AB2797" s="118" t="str">
        <f t="shared" si="2117"/>
        <v/>
      </c>
      <c r="AC2797" s="712" t="str">
        <f>IF(AE2797="T2G","no charge",IF(AND(OR(PlanterYesMe="No",PlanterYesMe="N",PlanterYesMe="me"),H2797=""),"",IF(H2797="credit","NO install",IF(AND(K2797="",AE2797="me"),"EACH row",IF(AND(K2797="images",AE2797="me"),"EACH row",IF(D2797="","",IF(H2797="credit","",IF(AE2797="free","re-planting",IF(AE2797="me","   not ELP, by",IF(AND(OR(PlanterYesMe="Yes",PlanterYesMe="Y"),G2797&gt;0),(VLOOKUP(A2797,'Discount Lookup'!J:K,2)*G2797*(1-PlanterDiscount)*(1+PlanterDifficultyPercentage)),IF(AE2797="ELP",(VLOOKUP(A2797,'Discount Lookup'!J:K,2)*G2797*(1-PlanterDiscount)*(1+PlanterDifficultyPercentage)),IF(AE2797="free","re-planting",IF(G2797=0,"",IF(PlanterYesMe="",IF(AE2797="me","   not ELP, by",IF(AE2797="",IF(G2797&gt;0,(VLOOKUP(A2797,'Discount Lookup'!J:K,2)*G2797*(1-PlanterDiscount)*(1+PlanterDifficultyPercentage)),""),"")),"   not ELP, by"))))))))))))))</f>
        <v/>
      </c>
      <c r="AD2797" s="712"/>
      <c r="AE2797" s="513" t="str">
        <f t="shared" si="2118"/>
        <v/>
      </c>
      <c r="AF2797" s="713" t="str">
        <f t="shared" si="2119"/>
        <v/>
      </c>
      <c r="AG2797" s="713"/>
      <c r="AH2797" s="713"/>
      <c r="AI2797" s="112">
        <f>IF(H2797="credit",0,IF(AE2797="free",0,IF(AE2797="me",0,IF(G2797&gt;0,(VLOOKUP(A2797,'Discount Lookup'!J:K,2)*G2797),0))))</f>
        <v>0</v>
      </c>
      <c r="AJ2797" s="107" t="str">
        <f t="shared" ca="1" si="2120"/>
        <v/>
      </c>
      <c r="AK2797" s="714" t="str">
        <f t="shared" si="2121"/>
        <v/>
      </c>
      <c r="AL2797" s="714"/>
      <c r="AM2797" s="114" t="str">
        <f t="shared" si="2122"/>
        <v/>
      </c>
      <c r="AN2797" s="115"/>
      <c r="AO2797" s="116"/>
      <c r="AP2797" s="116"/>
      <c r="AQ2797" s="116"/>
      <c r="AR2797" s="116"/>
      <c r="AS2797" s="116"/>
      <c r="AT2797" s="116"/>
      <c r="AU2797" s="116"/>
      <c r="AV2797" s="78"/>
      <c r="AW2797" s="102"/>
      <c r="AX2797" s="78"/>
      <c r="AY2797" s="78"/>
      <c r="AZ2797" s="78"/>
      <c r="BA2797" s="78"/>
      <c r="BB2797" s="78"/>
      <c r="BC2797" s="78"/>
      <c r="BD2797" s="78"/>
      <c r="BE2797" s="465"/>
      <c r="BF2797" s="165" t="str">
        <f t="shared" si="2123"/>
        <v>https://www.google.com/search?tbm=isch&amp;q=3%20G2</v>
      </c>
      <c r="BG2797" s="165" t="str">
        <f t="shared" si="2124"/>
        <v>M</v>
      </c>
      <c r="BH2797" s="65"/>
      <c r="BI2797" s="65"/>
      <c r="BJ2797" s="65"/>
      <c r="BK2797" s="65"/>
      <c r="BL2797" s="99"/>
      <c r="BM2797" s="99"/>
      <c r="BN2797" s="99"/>
    </row>
    <row r="2798" spans="1:66" s="51" customFormat="1" ht="15.75" x14ac:dyDescent="0.25">
      <c r="A2798" s="634">
        <v>7</v>
      </c>
      <c r="B2798" s="635" t="s">
        <v>291</v>
      </c>
      <c r="C2798" s="636" t="s">
        <v>3441</v>
      </c>
      <c r="D2798" s="637" t="s">
        <v>299</v>
      </c>
      <c r="E2798" s="638">
        <v>109.95</v>
      </c>
      <c r="F2798" s="639" t="s">
        <v>292</v>
      </c>
      <c r="G2798" s="484">
        <v>0</v>
      </c>
      <c r="H2798" s="691" t="str">
        <f>IF(G2798=0,"",IF(F2798="Buy",IF(G2798=1,"plant","plants"),IF(F2798&gt;0.01,"warranty","Error")))</f>
        <v/>
      </c>
      <c r="I2798" s="640">
        <f>IF(H2798="free",0,IF(H2798="credit",((E2798*(F2798))*G2798*-1),IF(F2798="Buy",(E2798*G2798),((E2798*(1-F2798))*G2798))))</f>
        <v>0</v>
      </c>
      <c r="J2798" s="640">
        <f>IF(H2798="warranty",0,(I2798*(_xlfn.SINGLE(SalesTaxPercentage))))</f>
        <v>0</v>
      </c>
      <c r="K2798" s="716">
        <f t="shared" ref="K2798" si="2135">I2798+J2798</f>
        <v>0</v>
      </c>
      <c r="L2798" s="716"/>
      <c r="M2798" s="689" t="str">
        <f ca="1">IF(AND(G2798&gt;0,E2798=0),"WARNING - no PRICE inserted",IF(H2798="free","FREE ~ no charge this plant",IF(H2798="credit",CONCATENATE("-$",ROUND(K2798*(1-_xlfn.SINGLE(T2GDiscount))*-1,2)," CREDIT after discount"),IF(_xlfn.SINGLE(T2GDiscount)=0,"",IF(G2798=0,"",IF(F2798="Buy",CONCATENATE("$",ROUND(K2798*(1-_xlfn.SINGLE(T2GDiscount)),2)," with ",(_xlfn.SINGLE(T2GDiscount)*100),"% discount"),CONCATENATE("$",ROUND(K2798*(1-_xlfn.SINGLE(T2GDiscount)),2)," with ",((_xlfn.SINGLE(T2GDiscount)*100+F2798*100)-(_xlfn.SINGLE(T2GDiscount)*100*F2798)),IF(F2798&gt;0,"% discounts",IF(_xlfn.SINGLE(NoWarrantyDiscount)&gt;0,"% discounts","% discount")))))))))</f>
        <v/>
      </c>
      <c r="N2798" s="690"/>
      <c r="O2798" s="486"/>
      <c r="P2798" s="486"/>
      <c r="Q2798" s="486"/>
      <c r="R2798" s="486"/>
      <c r="S2798" s="486"/>
      <c r="T2798" s="102">
        <f t="shared" si="2112"/>
        <v>0</v>
      </c>
      <c r="U2798" s="78">
        <f>IF(NOT(ISNUMBER(G2798)), "", VLOOKUP(A2798,'Discount Lookup'!D:E,2,FALSE)*G2798)</f>
        <v>0</v>
      </c>
      <c r="V2798" s="78">
        <f>IF(NOT(ISNUMBER(G2798)), "", VLOOKUP(A2798,'Discount Lookup'!G:H,2,FALSE)*G2798)</f>
        <v>0</v>
      </c>
      <c r="W2798" s="102">
        <f t="shared" si="2113"/>
        <v>0</v>
      </c>
      <c r="X2798" s="102">
        <f t="shared" si="2114"/>
        <v>0</v>
      </c>
      <c r="Y2798" s="120" t="b">
        <f t="shared" si="2115"/>
        <v>0</v>
      </c>
      <c r="Z2798" s="117">
        <f t="shared" si="2116"/>
        <v>0</v>
      </c>
      <c r="AA2798" s="118"/>
      <c r="AB2798" s="118" t="str">
        <f t="shared" si="2117"/>
        <v/>
      </c>
      <c r="AC2798" s="712" t="str">
        <f>IF(AE2798="T2G","no charge",IF(AND(OR(PlanterYesMe="No",PlanterYesMe="N",PlanterYesMe="me"),H2798=""),"",IF(H2798="credit","NO install",IF(AND(K2798="",AE2798="me"),"EACH row",IF(AND(K2798="images",AE2798="me"),"EACH row",IF(D2798="","",IF(H2798="credit","",IF(AE2798="free","re-planting",IF(AE2798="me","   not ELP, by",IF(AND(OR(PlanterYesMe="Yes",PlanterYesMe="Y"),G2798&gt;0),(VLOOKUP(A2798,'Discount Lookup'!J:K,2)*G2798*(1-PlanterDiscount)*(1+PlanterDifficultyPercentage)),IF(AE2798="ELP",(VLOOKUP(A2798,'Discount Lookup'!J:K,2)*G2798*(1-PlanterDiscount)*(1+PlanterDifficultyPercentage)),IF(AE2798="free","re-planting",IF(G2798=0,"",IF(PlanterYesMe="",IF(AE2798="me","   not ELP, by",IF(AE2798="",IF(G2798&gt;0,(VLOOKUP(A2798,'Discount Lookup'!J:K,2)*G2798*(1-PlanterDiscount)*(1+PlanterDifficultyPercentage)),""),"")),"   not ELP, by"))))))))))))))</f>
        <v/>
      </c>
      <c r="AD2798" s="712"/>
      <c r="AE2798" s="513" t="str">
        <f t="shared" si="2118"/>
        <v/>
      </c>
      <c r="AF2798" s="713" t="str">
        <f t="shared" si="2119"/>
        <v/>
      </c>
      <c r="AG2798" s="713"/>
      <c r="AH2798" s="713"/>
      <c r="AI2798" s="112">
        <f>IF(H2798="credit",0,IF(AE2798="free",0,IF(AE2798="me",0,IF(G2798&gt;0,(VLOOKUP(A2798,'Discount Lookup'!J:K,2)*G2798),0))))</f>
        <v>0</v>
      </c>
      <c r="AJ2798" s="107" t="str">
        <f t="shared" ca="1" si="2120"/>
        <v/>
      </c>
      <c r="AK2798" s="714" t="str">
        <f t="shared" si="2121"/>
        <v/>
      </c>
      <c r="AL2798" s="714"/>
      <c r="AM2798" s="114" t="str">
        <f t="shared" si="2122"/>
        <v/>
      </c>
      <c r="AN2798" s="115"/>
      <c r="AO2798" s="116"/>
      <c r="AP2798" s="116"/>
      <c r="AQ2798" s="116"/>
      <c r="AR2798" s="116"/>
      <c r="AS2798" s="116"/>
      <c r="AT2798" s="116"/>
      <c r="AU2798" s="116"/>
      <c r="AV2798" s="78"/>
      <c r="AW2798" s="102"/>
      <c r="AX2798" s="78"/>
      <c r="AY2798" s="78"/>
      <c r="AZ2798" s="78"/>
      <c r="BA2798" s="78"/>
      <c r="BB2798" s="78"/>
      <c r="BC2798" s="78"/>
      <c r="BD2798" s="78"/>
      <c r="BE2798" s="465"/>
      <c r="BF2798" s="165" t="str">
        <f t="shared" si="2123"/>
        <v>https://www.google.com/search?tbm=isch&amp;q=7%20G4</v>
      </c>
      <c r="BG2798" s="165" t="str">
        <f t="shared" si="2124"/>
        <v>M</v>
      </c>
      <c r="BH2798" s="65"/>
      <c r="BI2798" s="65"/>
      <c r="BJ2798" s="65"/>
      <c r="BK2798" s="65"/>
      <c r="BL2798" s="99"/>
      <c r="BM2798" s="99"/>
      <c r="BN2798" s="99"/>
    </row>
    <row r="2799" spans="1:66" s="51" customFormat="1" ht="15.75" x14ac:dyDescent="0.25">
      <c r="A2799" s="634">
        <v>10</v>
      </c>
      <c r="B2799" s="635" t="s">
        <v>291</v>
      </c>
      <c r="C2799" s="636" t="s">
        <v>3442</v>
      </c>
      <c r="D2799" s="637" t="s">
        <v>299</v>
      </c>
      <c r="E2799" s="638">
        <v>155.94999999999999</v>
      </c>
      <c r="F2799" s="639" t="s">
        <v>292</v>
      </c>
      <c r="G2799" s="484">
        <v>0</v>
      </c>
      <c r="H2799" s="691" t="str">
        <f>IF(G2799=0,"",IF(F2799="Buy",IF(G2799=1,"plant","plants"),IF(F2799&gt;0.01,"warranty","Error")))</f>
        <v/>
      </c>
      <c r="I2799" s="640">
        <f>IF(H2799="free",0,IF(H2799="credit",((E2799*(F2799))*G2799*-1),IF(F2799="Buy",(E2799*G2799),((E2799*(1-F2799))*G2799))))</f>
        <v>0</v>
      </c>
      <c r="J2799" s="640">
        <f>IF(H2799="warranty",0,(I2799*(_xlfn.SINGLE(SalesTaxPercentage))))</f>
        <v>0</v>
      </c>
      <c r="K2799" s="716">
        <f t="shared" ref="K2799" si="2136">I2799+J2799</f>
        <v>0</v>
      </c>
      <c r="L2799" s="716"/>
      <c r="M2799" s="689" t="str">
        <f ca="1">IF(AND(G2799&gt;0,E2799=0),"WARNING - no PRICE inserted",IF(H2799="free","FREE ~ no charge this plant",IF(H2799="credit",CONCATENATE("-$",ROUND(K2799*(1-_xlfn.SINGLE(T2GDiscount))*-1,2)," CREDIT after discount"),IF(_xlfn.SINGLE(T2GDiscount)=0,"",IF(G2799=0,"",IF(F2799="Buy",CONCATENATE("$",ROUND(K2799*(1-_xlfn.SINGLE(T2GDiscount)),2)," with ",(_xlfn.SINGLE(T2GDiscount)*100),"% discount"),CONCATENATE("$",ROUND(K2799*(1-_xlfn.SINGLE(T2GDiscount)),2)," with ",((_xlfn.SINGLE(T2GDiscount)*100+F2799*100)-(_xlfn.SINGLE(T2GDiscount)*100*F2799)),IF(F2799&gt;0,"% discounts",IF(_xlfn.SINGLE(NoWarrantyDiscount)&gt;0,"% discounts","% discount")))))))))</f>
        <v/>
      </c>
      <c r="N2799" s="690"/>
      <c r="O2799" s="486"/>
      <c r="P2799" s="486"/>
      <c r="Q2799" s="486"/>
      <c r="R2799" s="486"/>
      <c r="S2799" s="486"/>
      <c r="T2799" s="102">
        <f t="shared" si="2112"/>
        <v>0</v>
      </c>
      <c r="U2799" s="78">
        <f>IF(NOT(ISNUMBER(G2799)), "", VLOOKUP(A2799,'Discount Lookup'!D:E,2,FALSE)*G2799)</f>
        <v>0</v>
      </c>
      <c r="V2799" s="78">
        <f>IF(NOT(ISNUMBER(G2799)), "", VLOOKUP(A2799,'Discount Lookup'!G:H,2,FALSE)*G2799)</f>
        <v>0</v>
      </c>
      <c r="W2799" s="102">
        <f t="shared" si="2113"/>
        <v>0</v>
      </c>
      <c r="X2799" s="102">
        <f t="shared" si="2114"/>
        <v>0</v>
      </c>
      <c r="Y2799" s="120" t="b">
        <f t="shared" si="2115"/>
        <v>0</v>
      </c>
      <c r="Z2799" s="117">
        <f t="shared" si="2116"/>
        <v>0</v>
      </c>
      <c r="AA2799" s="118"/>
      <c r="AB2799" s="118" t="str">
        <f t="shared" si="2117"/>
        <v/>
      </c>
      <c r="AC2799" s="712" t="str">
        <f>IF(AE2799="T2G","no charge",IF(AND(OR(PlanterYesMe="No",PlanterYesMe="N",PlanterYesMe="me"),H2799=""),"",IF(H2799="credit","NO install",IF(AND(K2799="",AE2799="me"),"EACH row",IF(AND(K2799="images",AE2799="me"),"EACH row",IF(D2799="","",IF(H2799="credit","",IF(AE2799="free","re-planting",IF(AE2799="me","   not ELP, by",IF(AND(OR(PlanterYesMe="Yes",PlanterYesMe="Y"),G2799&gt;0),(VLOOKUP(A2799,'Discount Lookup'!J:K,2)*G2799*(1-PlanterDiscount)*(1+PlanterDifficultyPercentage)),IF(AE2799="ELP",(VLOOKUP(A2799,'Discount Lookup'!J:K,2)*G2799*(1-PlanterDiscount)*(1+PlanterDifficultyPercentage)),IF(AE2799="free","re-planting",IF(G2799=0,"",IF(PlanterYesMe="",IF(AE2799="me","   not ELP, by",IF(AE2799="",IF(G2799&gt;0,(VLOOKUP(A2799,'Discount Lookup'!J:K,2)*G2799*(1-PlanterDiscount)*(1+PlanterDifficultyPercentage)),""),"")),"   not ELP, by"))))))))))))))</f>
        <v/>
      </c>
      <c r="AD2799" s="712"/>
      <c r="AE2799" s="513" t="str">
        <f t="shared" si="2118"/>
        <v/>
      </c>
      <c r="AF2799" s="713" t="str">
        <f t="shared" si="2119"/>
        <v/>
      </c>
      <c r="AG2799" s="713"/>
      <c r="AH2799" s="713"/>
      <c r="AI2799" s="112">
        <f>IF(H2799="credit",0,IF(AE2799="free",0,IF(AE2799="me",0,IF(G2799&gt;0,(VLOOKUP(A2799,'Discount Lookup'!J:K,2)*G2799),0))))</f>
        <v>0</v>
      </c>
      <c r="AJ2799" s="107" t="str">
        <f t="shared" ca="1" si="2120"/>
        <v/>
      </c>
      <c r="AK2799" s="714" t="str">
        <f t="shared" si="2121"/>
        <v/>
      </c>
      <c r="AL2799" s="714"/>
      <c r="AM2799" s="114" t="str">
        <f t="shared" si="2122"/>
        <v/>
      </c>
      <c r="AN2799" s="115"/>
      <c r="AO2799" s="116"/>
      <c r="AP2799" s="116"/>
      <c r="AQ2799" s="116"/>
      <c r="AR2799" s="116"/>
      <c r="AS2799" s="116"/>
      <c r="AT2799" s="116"/>
      <c r="AU2799" s="116"/>
      <c r="AV2799" s="78"/>
      <c r="AW2799" s="102"/>
      <c r="AX2799" s="78"/>
      <c r="AY2799" s="78"/>
      <c r="AZ2799" s="78"/>
      <c r="BA2799" s="78"/>
      <c r="BB2799" s="78"/>
      <c r="BC2799" s="78"/>
      <c r="BD2799" s="78"/>
      <c r="BE2799" s="465"/>
      <c r="BF2799" s="165" t="str">
        <f t="shared" si="2123"/>
        <v>https://www.google.com/search?tbm=isch&amp;q=10%20G4</v>
      </c>
      <c r="BG2799" s="165" t="str">
        <f t="shared" si="2124"/>
        <v>M</v>
      </c>
      <c r="BH2799" s="65"/>
      <c r="BI2799" s="65"/>
      <c r="BJ2799" s="65"/>
      <c r="BK2799" s="65"/>
      <c r="BL2799" s="99"/>
      <c r="BM2799" s="99"/>
      <c r="BN2799" s="99"/>
    </row>
    <row r="2800" spans="1:66" s="51" customFormat="1" ht="15.75" x14ac:dyDescent="0.25">
      <c r="A2800" s="634">
        <v>15</v>
      </c>
      <c r="B2800" s="635" t="s">
        <v>291</v>
      </c>
      <c r="C2800" s="636" t="s">
        <v>3357</v>
      </c>
      <c r="D2800" s="637" t="s">
        <v>299</v>
      </c>
      <c r="E2800" s="638">
        <v>196.95</v>
      </c>
      <c r="F2800" s="639" t="s">
        <v>292</v>
      </c>
      <c r="G2800" s="484">
        <v>0</v>
      </c>
      <c r="H2800" s="691" t="str">
        <f>IF(G2800=0,"",IF(F2800="Buy",IF(G2800=1,"plant","plants"),IF(F2800&gt;0.01,"warranty","Error")))</f>
        <v/>
      </c>
      <c r="I2800" s="640">
        <f>IF(H2800="free",0,IF(H2800="credit",((E2800*(F2800))*G2800*-1),IF(F2800="Buy",(E2800*G2800),((E2800*(1-F2800))*G2800))))</f>
        <v>0</v>
      </c>
      <c r="J2800" s="640">
        <f>IF(H2800="warranty",0,(I2800*(_xlfn.SINGLE(SalesTaxPercentage))))</f>
        <v>0</v>
      </c>
      <c r="K2800" s="716">
        <f t="shared" ref="K2800" si="2137">I2800+J2800</f>
        <v>0</v>
      </c>
      <c r="L2800" s="716"/>
      <c r="M2800" s="689" t="str">
        <f ca="1">IF(AND(G2800&gt;0,E2800=0),"WARNING - no PRICE inserted",IF(H2800="free","FREE ~ no charge this plant",IF(H2800="credit",CONCATENATE("-$",ROUND(K2800*(1-_xlfn.SINGLE(T2GDiscount))*-1,2)," CREDIT after discount"),IF(_xlfn.SINGLE(T2GDiscount)=0,"",IF(G2800=0,"",IF(F2800="Buy",CONCATENATE("$",ROUND(K2800*(1-_xlfn.SINGLE(T2GDiscount)),2)," with ",(_xlfn.SINGLE(T2GDiscount)*100),"% discount"),CONCATENATE("$",ROUND(K2800*(1-_xlfn.SINGLE(T2GDiscount)),2)," with ",((_xlfn.SINGLE(T2GDiscount)*100+F2800*100)-(_xlfn.SINGLE(T2GDiscount)*100*F2800)),IF(F2800&gt;0,"% discounts",IF(_xlfn.SINGLE(NoWarrantyDiscount)&gt;0,"% discounts","% discount")))))))))</f>
        <v/>
      </c>
      <c r="N2800" s="690"/>
      <c r="O2800" s="486"/>
      <c r="P2800" s="486"/>
      <c r="Q2800" s="486"/>
      <c r="R2800" s="486"/>
      <c r="S2800" s="486"/>
      <c r="T2800" s="102">
        <f t="shared" si="2112"/>
        <v>0</v>
      </c>
      <c r="U2800" s="78">
        <f>IF(NOT(ISNUMBER(G2800)), "", VLOOKUP(A2800,'Discount Lookup'!D:E,2,FALSE)*G2800)</f>
        <v>0</v>
      </c>
      <c r="V2800" s="78">
        <f>IF(NOT(ISNUMBER(G2800)), "", VLOOKUP(A2800,'Discount Lookup'!G:H,2,FALSE)*G2800)</f>
        <v>0</v>
      </c>
      <c r="W2800" s="102">
        <f t="shared" si="2113"/>
        <v>0</v>
      </c>
      <c r="X2800" s="102">
        <f t="shared" si="2114"/>
        <v>0</v>
      </c>
      <c r="Y2800" s="120" t="b">
        <f t="shared" si="2115"/>
        <v>0</v>
      </c>
      <c r="Z2800" s="117">
        <f t="shared" si="2116"/>
        <v>0</v>
      </c>
      <c r="AA2800" s="118"/>
      <c r="AB2800" s="118" t="str">
        <f t="shared" si="2117"/>
        <v/>
      </c>
      <c r="AC2800" s="712" t="str">
        <f>IF(AE2800="T2G","no charge",IF(AND(OR(PlanterYesMe="No",PlanterYesMe="N",PlanterYesMe="me"),H2800=""),"",IF(H2800="credit","NO install",IF(AND(K2800="",AE2800="me"),"EACH row",IF(AND(K2800="images",AE2800="me"),"EACH row",IF(D2800="","",IF(H2800="credit","",IF(AE2800="free","re-planting",IF(AE2800="me","   not ELP, by",IF(AND(OR(PlanterYesMe="Yes",PlanterYesMe="Y"),G2800&gt;0),(VLOOKUP(A2800,'Discount Lookup'!J:K,2)*G2800*(1-PlanterDiscount)*(1+PlanterDifficultyPercentage)),IF(AE2800="ELP",(VLOOKUP(A2800,'Discount Lookup'!J:K,2)*G2800*(1-PlanterDiscount)*(1+PlanterDifficultyPercentage)),IF(AE2800="free","re-planting",IF(G2800=0,"",IF(PlanterYesMe="",IF(AE2800="me","   not ELP, by",IF(AE2800="",IF(G2800&gt;0,(VLOOKUP(A2800,'Discount Lookup'!J:K,2)*G2800*(1-PlanterDiscount)*(1+PlanterDifficultyPercentage)),""),"")),"   not ELP, by"))))))))))))))</f>
        <v/>
      </c>
      <c r="AD2800" s="712"/>
      <c r="AE2800" s="513" t="str">
        <f t="shared" si="2118"/>
        <v/>
      </c>
      <c r="AF2800" s="713" t="str">
        <f t="shared" si="2119"/>
        <v/>
      </c>
      <c r="AG2800" s="713"/>
      <c r="AH2800" s="713"/>
      <c r="AI2800" s="112">
        <f>IF(H2800="credit",0,IF(AE2800="free",0,IF(AE2800="me",0,IF(G2800&gt;0,(VLOOKUP(A2800,'Discount Lookup'!J:K,2)*G2800),0))))</f>
        <v>0</v>
      </c>
      <c r="AJ2800" s="107" t="str">
        <f t="shared" ca="1" si="2120"/>
        <v/>
      </c>
      <c r="AK2800" s="714" t="str">
        <f t="shared" si="2121"/>
        <v/>
      </c>
      <c r="AL2800" s="714"/>
      <c r="AM2800" s="114" t="str">
        <f t="shared" si="2122"/>
        <v/>
      </c>
      <c r="AN2800" s="115"/>
      <c r="AO2800" s="116"/>
      <c r="AP2800" s="116"/>
      <c r="AQ2800" s="116"/>
      <c r="AR2800" s="116"/>
      <c r="AS2800" s="116"/>
      <c r="AT2800" s="116"/>
      <c r="AU2800" s="116"/>
      <c r="AV2800" s="78"/>
      <c r="AW2800" s="102"/>
      <c r="AX2800" s="78"/>
      <c r="AY2800" s="78"/>
      <c r="AZ2800" s="78"/>
      <c r="BA2800" s="78"/>
      <c r="BB2800" s="78"/>
      <c r="BC2800" s="78"/>
      <c r="BD2800" s="78"/>
      <c r="BE2800" s="465"/>
      <c r="BF2800" s="165" t="str">
        <f t="shared" si="2123"/>
        <v>https://www.google.com/search?tbm=isch&amp;q=15%20G4</v>
      </c>
      <c r="BG2800" s="165" t="str">
        <f t="shared" si="2124"/>
        <v>M</v>
      </c>
      <c r="BH2800" s="65"/>
      <c r="BI2800" s="65"/>
      <c r="BJ2800" s="65"/>
      <c r="BK2800" s="65"/>
      <c r="BL2800" s="99"/>
      <c r="BM2800" s="99"/>
      <c r="BN2800" s="99"/>
    </row>
    <row r="2801" spans="1:66" s="51" customFormat="1" ht="17.25" thickBot="1" x14ac:dyDescent="0.3">
      <c r="A2801" s="641" t="s">
        <v>3443</v>
      </c>
      <c r="B2801" s="642"/>
      <c r="C2801" s="710"/>
      <c r="D2801" s="643"/>
      <c r="E2801" s="643"/>
      <c r="F2801" s="644"/>
      <c r="G2801" s="645"/>
      <c r="H2801" s="646"/>
      <c r="I2801" s="647"/>
      <c r="J2801" s="648"/>
      <c r="K2801" s="649"/>
      <c r="L2801" s="650"/>
      <c r="M2801" s="650"/>
      <c r="N2801" s="644"/>
      <c r="O2801" s="644"/>
      <c r="P2801" s="644"/>
      <c r="Q2801" s="644"/>
      <c r="R2801" s="644"/>
      <c r="S2801" s="651"/>
      <c r="T2801" s="102">
        <f t="shared" si="2112"/>
        <v>0</v>
      </c>
      <c r="U2801" s="78" t="str">
        <f>IF(NOT(ISNUMBER(G2801)), "", VLOOKUP(A2801,'Discount Lookup'!D:E,2,FALSE)*G2801)</f>
        <v/>
      </c>
      <c r="V2801" s="78" t="str">
        <f>IF(NOT(ISNUMBER(G2801)), "", VLOOKUP(A2801,'Discount Lookup'!G:H,2,FALSE)*G2801)</f>
        <v/>
      </c>
      <c r="W2801" s="102">
        <f t="shared" si="2113"/>
        <v>0</v>
      </c>
      <c r="X2801" s="102">
        <f t="shared" si="2114"/>
        <v>0</v>
      </c>
      <c r="Y2801" s="120" t="b">
        <f t="shared" si="2115"/>
        <v>0</v>
      </c>
      <c r="Z2801" s="117">
        <f t="shared" si="2116"/>
        <v>0</v>
      </c>
      <c r="AA2801" s="118"/>
      <c r="AB2801" s="118" t="str">
        <f t="shared" si="2117"/>
        <v/>
      </c>
      <c r="AC2801" s="712" t="str">
        <f>IF(AE2801="T2G","no charge",IF(AND(OR(PlanterYesMe="No",PlanterYesMe="N",PlanterYesMe="me"),H2801=""),"",IF(H2801="credit","NO install",IF(AND(K2801="",AE2801="me"),"EACH row",IF(AND(K2801="images",AE2801="me"),"EACH row",IF(D2801="","",IF(H2801="credit","",IF(AE2801="free","re-planting",IF(AE2801="me","   not ELP, by",IF(AND(OR(PlanterYesMe="Yes",PlanterYesMe="Y"),G2801&gt;0),(VLOOKUP(A2801,'Discount Lookup'!J:K,2)*G2801*(1-PlanterDiscount)*(1+PlanterDifficultyPercentage)),IF(AE2801="ELP",(VLOOKUP(A2801,'Discount Lookup'!J:K,2)*G2801*(1-PlanterDiscount)*(1+PlanterDifficultyPercentage)),IF(AE2801="free","re-planting",IF(G2801=0,"",IF(PlanterYesMe="",IF(AE2801="me","   not ELP, by",IF(AE2801="",IF(G2801&gt;0,(VLOOKUP(A2801,'Discount Lookup'!J:K,2)*G2801*(1-PlanterDiscount)*(1+PlanterDifficultyPercentage)),""),"")),"   not ELP, by"))))))))))))))</f>
        <v/>
      </c>
      <c r="AD2801" s="712"/>
      <c r="AE2801" s="513" t="str">
        <f t="shared" si="2118"/>
        <v/>
      </c>
      <c r="AF2801" s="713" t="str">
        <f t="shared" si="2119"/>
        <v/>
      </c>
      <c r="AG2801" s="713"/>
      <c r="AH2801" s="713"/>
      <c r="AI2801" s="112">
        <f>IF(H2801="credit",0,IF(AE2801="free",0,IF(AE2801="me",0,IF(G2801&gt;0,(VLOOKUP(A2801,'Discount Lookup'!J:K,2)*G2801),0))))</f>
        <v>0</v>
      </c>
      <c r="AJ2801" s="107" t="str">
        <f t="shared" ca="1" si="2120"/>
        <v/>
      </c>
      <c r="AK2801" s="714" t="str">
        <f t="shared" si="2121"/>
        <v/>
      </c>
      <c r="AL2801" s="714"/>
      <c r="AM2801" s="114" t="str">
        <f t="shared" si="2122"/>
        <v/>
      </c>
      <c r="AN2801" s="115"/>
      <c r="AO2801" s="116"/>
      <c r="AP2801" s="116"/>
      <c r="AQ2801" s="116"/>
      <c r="AR2801" s="116"/>
      <c r="AS2801" s="116"/>
      <c r="AT2801" s="116"/>
      <c r="AU2801" s="116"/>
      <c r="AV2801" s="78"/>
      <c r="AW2801" s="102"/>
      <c r="AX2801" s="78"/>
      <c r="AY2801" s="78"/>
      <c r="AZ2801" s="78"/>
      <c r="BA2801" s="78"/>
      <c r="BB2801" s="78"/>
      <c r="BC2801" s="78"/>
      <c r="BD2801" s="78"/>
      <c r="BE2801" s="465"/>
      <c r="BF2801" s="165" t="str">
        <f t="shared" si="2123"/>
        <v>https://www.google.com/search?tbm=isch&amp;q=Butterflies%20named%20for%20strong%20upright%20bloom%20that%20truly%20resembles%20butterflies.%20Frangrant%20blooms%20are%20excellent%20color%20</v>
      </c>
      <c r="BG2801" s="165" t="str">
        <f t="shared" si="2124"/>
        <v>B</v>
      </c>
      <c r="BH2801" s="65"/>
      <c r="BI2801" s="65"/>
      <c r="BJ2801" s="65"/>
      <c r="BK2801" s="65"/>
      <c r="BL2801" s="99"/>
      <c r="BM2801" s="99"/>
      <c r="BN2801" s="99"/>
    </row>
    <row r="2802" spans="1:66" s="51" customFormat="1" ht="18" x14ac:dyDescent="0.25">
      <c r="A2802" s="623" t="s">
        <v>5071</v>
      </c>
      <c r="B2802" s="624"/>
      <c r="C2802" s="709"/>
      <c r="D2802" s="625" t="s">
        <v>5072</v>
      </c>
      <c r="E2802" s="626"/>
      <c r="F2802" s="626"/>
      <c r="G2802" s="626"/>
      <c r="H2802" s="622" t="s">
        <v>331</v>
      </c>
      <c r="I2802" s="627" t="s">
        <v>5073</v>
      </c>
      <c r="J2802" s="628"/>
      <c r="K2802" s="628"/>
      <c r="L2802" s="629"/>
      <c r="M2802" s="700" t="s">
        <v>5249</v>
      </c>
      <c r="N2802" s="693" t="str">
        <f>IF(AND(ISTEXT($A2802), ISERROR($A2802+0)), HYPERLINK($BF2802, "Images"), "")</f>
        <v>Images</v>
      </c>
      <c r="O2802" s="695" t="s">
        <v>5247</v>
      </c>
      <c r="P2802" s="630"/>
      <c r="Q2802" s="631"/>
      <c r="R2802" s="632"/>
      <c r="S2802" s="633"/>
      <c r="T2802" s="102">
        <f t="shared" si="2112"/>
        <v>0</v>
      </c>
      <c r="U2802" s="78" t="str">
        <f>IF(NOT(ISNUMBER(G2802)), "", VLOOKUP(A2802,'Discount Lookup'!D:E,2,FALSE)*G2802)</f>
        <v/>
      </c>
      <c r="V2802" s="78" t="str">
        <f>IF(NOT(ISNUMBER(G2802)), "", VLOOKUP(A2802,'Discount Lookup'!G:H,2,FALSE)*G2802)</f>
        <v/>
      </c>
      <c r="W2802" s="102">
        <f t="shared" si="2113"/>
        <v>0</v>
      </c>
      <c r="X2802" s="102" t="str">
        <f t="shared" si="2114"/>
        <v>Purple-Burgundy bloom</v>
      </c>
      <c r="Y2802" s="120" t="b">
        <f t="shared" si="2115"/>
        <v>0</v>
      </c>
      <c r="Z2802" s="117">
        <f t="shared" si="2116"/>
        <v>0</v>
      </c>
      <c r="AA2802" s="118"/>
      <c r="AB2802" s="118" t="str">
        <f t="shared" si="2117"/>
        <v/>
      </c>
      <c r="AC2802" s="712" t="str">
        <f>IF(AE2802="T2G","no charge",IF(AND(OR(PlanterYesMe="No",PlanterYesMe="N",PlanterYesMe="me"),H2802=""),"",IF(H2802="credit","NO install",IF(AND(K2802="",AE2802="me"),"EACH row",IF(AND(K2802="images",AE2802="me"),"EACH row",IF(D2802="","",IF(H2802="credit","",IF(AE2802="free","re-planting",IF(AE2802="me","   not ELP, by",IF(AND(OR(PlanterYesMe="Yes",PlanterYesMe="Y"),G2802&gt;0),(VLOOKUP(A2802,'Discount Lookup'!J:K,2)*G2802*(1-PlanterDiscount)*(1+PlanterDifficultyPercentage)),IF(AE2802="ELP",(VLOOKUP(A2802,'Discount Lookup'!J:K,2)*G2802*(1-PlanterDiscount)*(1+PlanterDifficultyPercentage)),IF(AE2802="free","re-planting",IF(G2802=0,"",IF(PlanterYesMe="",IF(AE2802="me","   not ELP, by",IF(AE2802="",IF(G2802&gt;0,(VLOOKUP(A2802,'Discount Lookup'!J:K,2)*G2802*(1-PlanterDiscount)*(1+PlanterDifficultyPercentage)),""),"")),"   not ELP, by"))))))))))))))</f>
        <v/>
      </c>
      <c r="AD2802" s="712"/>
      <c r="AE2802" s="513" t="str">
        <f t="shared" si="2118"/>
        <v/>
      </c>
      <c r="AF2802" s="713" t="str">
        <f t="shared" si="2119"/>
        <v/>
      </c>
      <c r="AG2802" s="713"/>
      <c r="AH2802" s="713"/>
      <c r="AI2802" s="112">
        <f>IF(H2802="credit",0,IF(AE2802="free",0,IF(AE2802="me",0,IF(G2802&gt;0,(VLOOKUP(A2802,'Discount Lookup'!J:K,2)*G2802),0))))</f>
        <v>0</v>
      </c>
      <c r="AJ2802" s="107" t="str">
        <f t="shared" ca="1" si="2120"/>
        <v/>
      </c>
      <c r="AK2802" s="714" t="str">
        <f t="shared" si="2121"/>
        <v/>
      </c>
      <c r="AL2802" s="714"/>
      <c r="AM2802" s="114" t="str">
        <f t="shared" si="2122"/>
        <v/>
      </c>
      <c r="AN2802" s="115"/>
      <c r="AO2802" s="116"/>
      <c r="AP2802" s="116"/>
      <c r="AQ2802" s="116"/>
      <c r="AR2802" s="116"/>
      <c r="AS2802" s="116"/>
      <c r="AT2802" s="116"/>
      <c r="AU2802" s="116"/>
      <c r="AV2802" s="78"/>
      <c r="AW2802" s="102"/>
      <c r="AX2802" s="78"/>
      <c r="AY2802" s="78"/>
      <c r="AZ2802" s="78"/>
      <c r="BA2802" s="78"/>
      <c r="BB2802" s="78"/>
      <c r="BC2802" s="78"/>
      <c r="BD2802" s="78"/>
      <c r="BE2802" s="465"/>
      <c r="BF2802" s="165" t="str">
        <f t="shared" si="2123"/>
        <v>https://www.google.com/search?tbm=isch&amp;q=Magnolia%20%27Cleopatra%27%20Cleopatra%20Magnolia</v>
      </c>
      <c r="BG2802" s="165" t="str">
        <f t="shared" si="2124"/>
        <v>M</v>
      </c>
      <c r="BH2802" s="65"/>
      <c r="BI2802" s="65"/>
      <c r="BJ2802" s="65"/>
      <c r="BK2802" s="65"/>
      <c r="BL2802" s="99"/>
      <c r="BM2802" s="99"/>
      <c r="BN2802" s="99"/>
    </row>
    <row r="2803" spans="1:66" s="51" customFormat="1" ht="15.75" x14ac:dyDescent="0.25">
      <c r="A2803" s="634">
        <v>7</v>
      </c>
      <c r="B2803" s="635" t="s">
        <v>291</v>
      </c>
      <c r="C2803" s="636" t="s">
        <v>5074</v>
      </c>
      <c r="D2803" s="637" t="s">
        <v>299</v>
      </c>
      <c r="E2803" s="638">
        <v>127.95</v>
      </c>
      <c r="F2803" s="639" t="s">
        <v>292</v>
      </c>
      <c r="G2803" s="484">
        <v>0</v>
      </c>
      <c r="H2803" s="691" t="str">
        <f>IF(G2803=0,"",IF(F2803="Buy",IF(G2803=1,"plant","plants"),IF(F2803&gt;0.01,"warranty","Error")))</f>
        <v/>
      </c>
      <c r="I2803" s="640">
        <f>IF(H2803="free",0,IF(H2803="credit",((E2803*(F2803))*G2803*-1),IF(F2803="Buy",(E2803*G2803),((E2803*(1-F2803))*G2803))))</f>
        <v>0</v>
      </c>
      <c r="J2803" s="640">
        <f>IF(H2803="warranty",0,(I2803*(_xlfn.SINGLE(SalesTaxPercentage))))</f>
        <v>0</v>
      </c>
      <c r="K2803" s="716">
        <f t="shared" ref="K2803" si="2138">I2803+J2803</f>
        <v>0</v>
      </c>
      <c r="L2803" s="716"/>
      <c r="M2803" s="689" t="str">
        <f ca="1">IF(AND(G2803&gt;0,E2803=0),"WARNING - no PRICE inserted",IF(H2803="free","FREE ~ no charge this plant",IF(H2803="credit",CONCATENATE("-$",ROUND(K2803*(1-_xlfn.SINGLE(T2GDiscount))*-1,2)," CREDIT after discount"),IF(_xlfn.SINGLE(T2GDiscount)=0,"",IF(G2803=0,"",IF(F2803="Buy",CONCATENATE("$",ROUND(K2803*(1-_xlfn.SINGLE(T2GDiscount)),2)," with ",(_xlfn.SINGLE(T2GDiscount)*100),"% discount"),CONCATENATE("$",ROUND(K2803*(1-_xlfn.SINGLE(T2GDiscount)),2)," with ",((_xlfn.SINGLE(T2GDiscount)*100+F2803*100)-(_xlfn.SINGLE(T2GDiscount)*100*F2803)),IF(F2803&gt;0,"% discounts",IF(_xlfn.SINGLE(NoWarrantyDiscount)&gt;0,"% discounts","% discount")))))))))</f>
        <v/>
      </c>
      <c r="N2803" s="690"/>
      <c r="O2803" s="486"/>
      <c r="P2803" s="486"/>
      <c r="Q2803" s="486"/>
      <c r="R2803" s="486"/>
      <c r="S2803" s="486"/>
      <c r="T2803" s="102">
        <f t="shared" si="2112"/>
        <v>0</v>
      </c>
      <c r="U2803" s="78">
        <f>IF(NOT(ISNUMBER(G2803)), "", VLOOKUP(A2803,'Discount Lookup'!D:E,2,FALSE)*G2803)</f>
        <v>0</v>
      </c>
      <c r="V2803" s="78">
        <f>IF(NOT(ISNUMBER(G2803)), "", VLOOKUP(A2803,'Discount Lookup'!G:H,2,FALSE)*G2803)</f>
        <v>0</v>
      </c>
      <c r="W2803" s="102">
        <f t="shared" si="2113"/>
        <v>0</v>
      </c>
      <c r="X2803" s="102">
        <f t="shared" si="2114"/>
        <v>0</v>
      </c>
      <c r="Y2803" s="120" t="b">
        <f t="shared" si="2115"/>
        <v>0</v>
      </c>
      <c r="Z2803" s="117">
        <f t="shared" si="2116"/>
        <v>0</v>
      </c>
      <c r="AA2803" s="118"/>
      <c r="AB2803" s="118" t="str">
        <f t="shared" si="2117"/>
        <v/>
      </c>
      <c r="AC2803" s="712" t="str">
        <f>IF(AE2803="T2G","no charge",IF(AND(OR(PlanterYesMe="No",PlanterYesMe="N",PlanterYesMe="me"),H2803=""),"",IF(H2803="credit","NO install",IF(AND(K2803="",AE2803="me"),"EACH row",IF(AND(K2803="images",AE2803="me"),"EACH row",IF(D2803="","",IF(H2803="credit","",IF(AE2803="free","re-planting",IF(AE2803="me","   not ELP, by",IF(AND(OR(PlanterYesMe="Yes",PlanterYesMe="Y"),G2803&gt;0),(VLOOKUP(A2803,'Discount Lookup'!J:K,2)*G2803*(1-PlanterDiscount)*(1+PlanterDifficultyPercentage)),IF(AE2803="ELP",(VLOOKUP(A2803,'Discount Lookup'!J:K,2)*G2803*(1-PlanterDiscount)*(1+PlanterDifficultyPercentage)),IF(AE2803="free","re-planting",IF(G2803=0,"",IF(PlanterYesMe="",IF(AE2803="me","   not ELP, by",IF(AE2803="",IF(G2803&gt;0,(VLOOKUP(A2803,'Discount Lookup'!J:K,2)*G2803*(1-PlanterDiscount)*(1+PlanterDifficultyPercentage)),""),"")),"   not ELP, by"))))))))))))))</f>
        <v/>
      </c>
      <c r="AD2803" s="712"/>
      <c r="AE2803" s="513" t="str">
        <f t="shared" si="2118"/>
        <v/>
      </c>
      <c r="AF2803" s="713" t="str">
        <f t="shared" si="2119"/>
        <v/>
      </c>
      <c r="AG2803" s="713"/>
      <c r="AH2803" s="713"/>
      <c r="AI2803" s="112">
        <f>IF(H2803="credit",0,IF(AE2803="free",0,IF(AE2803="me",0,IF(G2803&gt;0,(VLOOKUP(A2803,'Discount Lookup'!J:K,2)*G2803),0))))</f>
        <v>0</v>
      </c>
      <c r="AJ2803" s="107" t="str">
        <f t="shared" ca="1" si="2120"/>
        <v/>
      </c>
      <c r="AK2803" s="714" t="str">
        <f t="shared" si="2121"/>
        <v/>
      </c>
      <c r="AL2803" s="714"/>
      <c r="AM2803" s="114" t="str">
        <f t="shared" si="2122"/>
        <v/>
      </c>
      <c r="AN2803" s="115"/>
      <c r="AO2803" s="116"/>
      <c r="AP2803" s="116"/>
      <c r="AQ2803" s="116"/>
      <c r="AR2803" s="116"/>
      <c r="AS2803" s="116"/>
      <c r="AT2803" s="116"/>
      <c r="AU2803" s="116"/>
      <c r="AV2803" s="78"/>
      <c r="AW2803" s="102"/>
      <c r="AX2803" s="78"/>
      <c r="AY2803" s="78"/>
      <c r="AZ2803" s="78"/>
      <c r="BA2803" s="78"/>
      <c r="BB2803" s="78"/>
      <c r="BC2803" s="78"/>
      <c r="BD2803" s="78"/>
      <c r="BE2803" s="465"/>
      <c r="BF2803" s="165" t="str">
        <f t="shared" si="2123"/>
        <v>https://www.google.com/search?tbm=isch&amp;q=7%20G4</v>
      </c>
      <c r="BG2803" s="165" t="str">
        <f t="shared" si="2124"/>
        <v>M</v>
      </c>
      <c r="BH2803" s="65"/>
      <c r="BI2803" s="65"/>
      <c r="BJ2803" s="65"/>
      <c r="BK2803" s="65"/>
      <c r="BL2803" s="99"/>
      <c r="BM2803" s="99"/>
      <c r="BN2803" s="99"/>
    </row>
    <row r="2804" spans="1:66" s="51" customFormat="1" ht="17.25" thickBot="1" x14ac:dyDescent="0.3">
      <c r="A2804" s="641" t="s">
        <v>5075</v>
      </c>
      <c r="B2804" s="642"/>
      <c r="C2804" s="710"/>
      <c r="D2804" s="643"/>
      <c r="E2804" s="643"/>
      <c r="F2804" s="644"/>
      <c r="G2804" s="645"/>
      <c r="H2804" s="646"/>
      <c r="I2804" s="647"/>
      <c r="J2804" s="648"/>
      <c r="K2804" s="649"/>
      <c r="L2804" s="650"/>
      <c r="M2804" s="650"/>
      <c r="N2804" s="644"/>
      <c r="O2804" s="644"/>
      <c r="P2804" s="644"/>
      <c r="Q2804" s="644"/>
      <c r="R2804" s="644"/>
      <c r="S2804" s="651"/>
      <c r="T2804" s="102">
        <f t="shared" si="2112"/>
        <v>0</v>
      </c>
      <c r="U2804" s="78" t="str">
        <f>IF(NOT(ISNUMBER(G2804)), "", VLOOKUP(A2804,'Discount Lookup'!D:E,2,FALSE)*G2804)</f>
        <v/>
      </c>
      <c r="V2804" s="78" t="str">
        <f>IF(NOT(ISNUMBER(G2804)), "", VLOOKUP(A2804,'Discount Lookup'!G:H,2,FALSE)*G2804)</f>
        <v/>
      </c>
      <c r="W2804" s="102">
        <f t="shared" si="2113"/>
        <v>0</v>
      </c>
      <c r="X2804" s="102">
        <f t="shared" si="2114"/>
        <v>0</v>
      </c>
      <c r="Y2804" s="120" t="b">
        <f t="shared" si="2115"/>
        <v>0</v>
      </c>
      <c r="Z2804" s="117">
        <f t="shared" si="2116"/>
        <v>0</v>
      </c>
      <c r="AA2804" s="118"/>
      <c r="AB2804" s="118" t="str">
        <f t="shared" si="2117"/>
        <v/>
      </c>
      <c r="AC2804" s="712" t="str">
        <f>IF(AE2804="T2G","no charge",IF(AND(OR(PlanterYesMe="No",PlanterYesMe="N",PlanterYesMe="me"),H2804=""),"",IF(H2804="credit","NO install",IF(AND(K2804="",AE2804="me"),"EACH row",IF(AND(K2804="images",AE2804="me"),"EACH row",IF(D2804="","",IF(H2804="credit","",IF(AE2804="free","re-planting",IF(AE2804="me","   not ELP, by",IF(AND(OR(PlanterYesMe="Yes",PlanterYesMe="Y"),G2804&gt;0),(VLOOKUP(A2804,'Discount Lookup'!J:K,2)*G2804*(1-PlanterDiscount)*(1+PlanterDifficultyPercentage)),IF(AE2804="ELP",(VLOOKUP(A2804,'Discount Lookup'!J:K,2)*G2804*(1-PlanterDiscount)*(1+PlanterDifficultyPercentage)),IF(AE2804="free","re-planting",IF(G2804=0,"",IF(PlanterYesMe="",IF(AE2804="me","   not ELP, by",IF(AE2804="",IF(G2804&gt;0,(VLOOKUP(A2804,'Discount Lookup'!J:K,2)*G2804*(1-PlanterDiscount)*(1+PlanterDifficultyPercentage)),""),"")),"   not ELP, by"))))))))))))))</f>
        <v/>
      </c>
      <c r="AD2804" s="712"/>
      <c r="AE2804" s="513" t="str">
        <f t="shared" si="2118"/>
        <v/>
      </c>
      <c r="AF2804" s="713" t="str">
        <f t="shared" si="2119"/>
        <v/>
      </c>
      <c r="AG2804" s="713"/>
      <c r="AH2804" s="713"/>
      <c r="AI2804" s="112">
        <f>IF(H2804="credit",0,IF(AE2804="free",0,IF(AE2804="me",0,IF(G2804&gt;0,(VLOOKUP(A2804,'Discount Lookup'!J:K,2)*G2804),0))))</f>
        <v>0</v>
      </c>
      <c r="AJ2804" s="107" t="str">
        <f t="shared" ca="1" si="2120"/>
        <v/>
      </c>
      <c r="AK2804" s="714" t="str">
        <f t="shared" si="2121"/>
        <v/>
      </c>
      <c r="AL2804" s="714"/>
      <c r="AM2804" s="114" t="str">
        <f t="shared" si="2122"/>
        <v/>
      </c>
      <c r="AN2804" s="115"/>
      <c r="AO2804" s="116"/>
      <c r="AP2804" s="116"/>
      <c r="AQ2804" s="116"/>
      <c r="AR2804" s="116"/>
      <c r="AS2804" s="116"/>
      <c r="AT2804" s="116"/>
      <c r="AU2804" s="116"/>
      <c r="AV2804" s="78"/>
      <c r="AW2804" s="102"/>
      <c r="AX2804" s="78"/>
      <c r="AY2804" s="78"/>
      <c r="AZ2804" s="78"/>
      <c r="BA2804" s="78"/>
      <c r="BB2804" s="78"/>
      <c r="BC2804" s="78"/>
      <c r="BD2804" s="78"/>
      <c r="BE2804" s="465"/>
      <c r="BF2804" s="165" t="str">
        <f t="shared" si="2123"/>
        <v>https://www.google.com/search?tbm=isch&amp;q=Cleopatra%20has%20abundant%2C%20large%2C%20goblet-shaped%2C%20flowers%20that%20have%20a%20Metallic%20sheen%20and%20often%20rebloom%20in%20summer%20</v>
      </c>
      <c r="BG2804" s="165" t="str">
        <f t="shared" si="2124"/>
        <v>C</v>
      </c>
      <c r="BH2804" s="65"/>
      <c r="BI2804" s="65"/>
      <c r="BJ2804" s="65"/>
      <c r="BK2804" s="65"/>
      <c r="BL2804" s="99"/>
      <c r="BM2804" s="99"/>
      <c r="BN2804" s="99"/>
    </row>
    <row r="2805" spans="1:66" s="51" customFormat="1" ht="18" x14ac:dyDescent="0.25">
      <c r="A2805" s="507" t="s">
        <v>848</v>
      </c>
      <c r="B2805" s="470"/>
      <c r="C2805" s="706"/>
      <c r="D2805" s="471" t="s">
        <v>849</v>
      </c>
      <c r="E2805" s="472"/>
      <c r="F2805" s="472"/>
      <c r="G2805" s="472"/>
      <c r="H2805" s="622" t="s">
        <v>307</v>
      </c>
      <c r="I2805" s="473" t="s">
        <v>873</v>
      </c>
      <c r="J2805" s="472"/>
      <c r="K2805" s="472"/>
      <c r="L2805" s="561"/>
      <c r="M2805" s="698" t="s">
        <v>5246</v>
      </c>
      <c r="N2805" s="692" t="str">
        <f>IF(AND(ISTEXT($A2805), ISERROR($A2805+0)), HYPERLINK($BF2805, "Images"), "")</f>
        <v>Images</v>
      </c>
      <c r="O2805" s="694" t="s">
        <v>5247</v>
      </c>
      <c r="P2805" s="475"/>
      <c r="Q2805" s="476"/>
      <c r="R2805" s="476"/>
      <c r="S2805" s="477"/>
      <c r="T2805" s="102">
        <f t="shared" si="2112"/>
        <v>0</v>
      </c>
      <c r="U2805" s="78" t="str">
        <f>IF(NOT(ISNUMBER(G2805)), "", VLOOKUP(A2805,'Discount Lookup'!D:E,2,FALSE)*G2805)</f>
        <v/>
      </c>
      <c r="V2805" s="78" t="str">
        <f>IF(NOT(ISNUMBER(G2805)), "", VLOOKUP(A2805,'Discount Lookup'!G:H,2,FALSE)*G2805)</f>
        <v/>
      </c>
      <c r="W2805" s="102">
        <f t="shared" si="2113"/>
        <v>0</v>
      </c>
      <c r="X2805" s="102" t="str">
        <f t="shared" si="2114"/>
        <v>White bloom, Pink base</v>
      </c>
      <c r="Y2805" s="120" t="b">
        <f t="shared" si="2115"/>
        <v>0</v>
      </c>
      <c r="Z2805" s="117">
        <f t="shared" si="2116"/>
        <v>0</v>
      </c>
      <c r="AA2805" s="118"/>
      <c r="AB2805" s="118" t="str">
        <f t="shared" si="2117"/>
        <v/>
      </c>
      <c r="AC2805" s="712" t="str">
        <f>IF(AE2805="T2G","no charge",IF(AND(OR(PlanterYesMe="No",PlanterYesMe="N",PlanterYesMe="me"),H2805=""),"",IF(H2805="credit","NO install",IF(AND(K2805="",AE2805="me"),"EACH row",IF(AND(K2805="images",AE2805="me"),"EACH row",IF(D2805="","",IF(H2805="credit","",IF(AE2805="free","re-planting",IF(AE2805="me","   not ELP, by",IF(AND(OR(PlanterYesMe="Yes",PlanterYesMe="Y"),G2805&gt;0),(VLOOKUP(A2805,'Discount Lookup'!J:K,2)*G2805*(1-PlanterDiscount)*(1+PlanterDifficultyPercentage)),IF(AE2805="ELP",(VLOOKUP(A2805,'Discount Lookup'!J:K,2)*G2805*(1-PlanterDiscount)*(1+PlanterDifficultyPercentage)),IF(AE2805="free","re-planting",IF(G2805=0,"",IF(PlanterYesMe="",IF(AE2805="me","   not ELP, by",IF(AE2805="",IF(G2805&gt;0,(VLOOKUP(A2805,'Discount Lookup'!J:K,2)*G2805*(1-PlanterDiscount)*(1+PlanterDifficultyPercentage)),""),"")),"   not ELP, by"))))))))))))))</f>
        <v/>
      </c>
      <c r="AD2805" s="712"/>
      <c r="AE2805" s="513" t="str">
        <f t="shared" si="2118"/>
        <v/>
      </c>
      <c r="AF2805" s="713" t="str">
        <f t="shared" si="2119"/>
        <v/>
      </c>
      <c r="AG2805" s="713"/>
      <c r="AH2805" s="713"/>
      <c r="AI2805" s="112">
        <f>IF(H2805="credit",0,IF(AE2805="free",0,IF(AE2805="me",0,IF(G2805&gt;0,(VLOOKUP(A2805,'Discount Lookup'!J:K,2)*G2805),0))))</f>
        <v>0</v>
      </c>
      <c r="AJ2805" s="107" t="str">
        <f t="shared" ca="1" si="2120"/>
        <v/>
      </c>
      <c r="AK2805" s="714" t="str">
        <f t="shared" si="2121"/>
        <v/>
      </c>
      <c r="AL2805" s="714"/>
      <c r="AM2805" s="114" t="str">
        <f t="shared" si="2122"/>
        <v/>
      </c>
      <c r="AN2805" s="115"/>
      <c r="AO2805" s="116"/>
      <c r="AP2805" s="116"/>
      <c r="AQ2805" s="116"/>
      <c r="AR2805" s="116"/>
      <c r="AS2805" s="116"/>
      <c r="AT2805" s="116"/>
      <c r="AU2805" s="116"/>
      <c r="AV2805" s="78"/>
      <c r="AW2805" s="102"/>
      <c r="AX2805" s="78"/>
      <c r="AY2805" s="78"/>
      <c r="AZ2805" s="78"/>
      <c r="BA2805" s="78"/>
      <c r="BB2805" s="78"/>
      <c r="BC2805" s="78"/>
      <c r="BD2805" s="78"/>
      <c r="BE2805" s="465"/>
      <c r="BF2805" s="165" t="str">
        <f t="shared" si="2123"/>
        <v>https://www.google.com/search?tbm=isch&amp;q=Magnolia%20%27Eternal%20Spring%27%20Eternal%20Spring%20Magnolia</v>
      </c>
      <c r="BG2805" s="165" t="str">
        <f t="shared" si="2124"/>
        <v>M</v>
      </c>
      <c r="BH2805" s="65"/>
      <c r="BI2805" s="65"/>
      <c r="BJ2805" s="65"/>
      <c r="BK2805" s="65"/>
      <c r="BL2805" s="99"/>
      <c r="BM2805" s="99"/>
      <c r="BN2805" s="99"/>
    </row>
    <row r="2806" spans="1:66" s="51" customFormat="1" ht="27" x14ac:dyDescent="0.25">
      <c r="A2806" s="478">
        <v>15</v>
      </c>
      <c r="B2806" s="479" t="s">
        <v>291</v>
      </c>
      <c r="C2806" s="480" t="s">
        <v>968</v>
      </c>
      <c r="D2806" s="481" t="s">
        <v>299</v>
      </c>
      <c r="E2806" s="482">
        <v>252.95</v>
      </c>
      <c r="F2806" s="483" t="s">
        <v>292</v>
      </c>
      <c r="G2806" s="484">
        <v>0</v>
      </c>
      <c r="H2806" s="688" t="str">
        <f>IF(G2806=0,"",IF(F2806="Buy",IF(G2806=1,"plant","plants"),IF(F2806&gt;0.01,"warranty","Error")))</f>
        <v/>
      </c>
      <c r="I2806" s="485">
        <f>IF(H2806="free",0,IF(H2806="credit",((E2806*(F2806))*G2806*-1),IF(F2806="Buy",(E2806*G2806),((E2806*(1-F2806))*G2806))))</f>
        <v>0</v>
      </c>
      <c r="J2806" s="485">
        <f>IF(H2806="warranty",0,(I2806*(_xlfn.SINGLE(SalesTaxPercentage))))</f>
        <v>0</v>
      </c>
      <c r="K2806" s="715">
        <f t="shared" ref="K2806" si="2139">I2806+J2806</f>
        <v>0</v>
      </c>
      <c r="L2806" s="715"/>
      <c r="M2806" s="689" t="str">
        <f ca="1">IF(AND(G2806&gt;0,E2806=0),"WARNING - no PRICE inserted",IF(H2806="free","FREE ~ no charge this plant",IF(H2806="credit",CONCATENATE("-$",ROUND(K2806*(1-_xlfn.SINGLE(T2GDiscount))*-1,2)," CREDIT after discount"),IF(_xlfn.SINGLE(T2GDiscount)=0,"",IF(G2806=0,"",IF(F2806="Buy",CONCATENATE("$",ROUND(K2806*(1-_xlfn.SINGLE(T2GDiscount)),2)," with ",(_xlfn.SINGLE(T2GDiscount)*100),"% discount"),CONCATENATE("$",ROUND(K2806*(1-_xlfn.SINGLE(T2GDiscount)),2)," with ",((_xlfn.SINGLE(T2GDiscount)*100+F2806*100)-(_xlfn.SINGLE(T2GDiscount)*100*F2806)),IF(F2806&gt;0,"% discounts",IF(_xlfn.SINGLE(NoWarrantyDiscount)&gt;0,"% discounts","% discount")))))))))</f>
        <v/>
      </c>
      <c r="N2806" s="690"/>
      <c r="O2806" s="486"/>
      <c r="P2806" s="486"/>
      <c r="Q2806" s="486"/>
      <c r="R2806" s="486"/>
      <c r="S2806" s="486"/>
      <c r="T2806" s="102">
        <f t="shared" si="2112"/>
        <v>0</v>
      </c>
      <c r="U2806" s="78">
        <f>IF(NOT(ISNUMBER(G2806)), "", VLOOKUP(A2806,'Discount Lookup'!D:E,2,FALSE)*G2806)</f>
        <v>0</v>
      </c>
      <c r="V2806" s="78">
        <f>IF(NOT(ISNUMBER(G2806)), "", VLOOKUP(A2806,'Discount Lookup'!G:H,2,FALSE)*G2806)</f>
        <v>0</v>
      </c>
      <c r="W2806" s="102">
        <f t="shared" si="2113"/>
        <v>0</v>
      </c>
      <c r="X2806" s="102">
        <f t="shared" si="2114"/>
        <v>0</v>
      </c>
      <c r="Y2806" s="120" t="b">
        <f t="shared" si="2115"/>
        <v>0</v>
      </c>
      <c r="Z2806" s="117">
        <f t="shared" si="2116"/>
        <v>0</v>
      </c>
      <c r="AA2806" s="118"/>
      <c r="AB2806" s="118" t="str">
        <f t="shared" si="2117"/>
        <v/>
      </c>
      <c r="AC2806" s="712" t="str">
        <f>IF(AE2806="T2G","no charge",IF(AND(OR(PlanterYesMe="No",PlanterYesMe="N",PlanterYesMe="me"),H2806=""),"",IF(H2806="credit","NO install",IF(AND(K2806="",AE2806="me"),"EACH row",IF(AND(K2806="images",AE2806="me"),"EACH row",IF(D2806="","",IF(H2806="credit","",IF(AE2806="free","re-planting",IF(AE2806="me","   not ELP, by",IF(AND(OR(PlanterYesMe="Yes",PlanterYesMe="Y"),G2806&gt;0),(VLOOKUP(A2806,'Discount Lookup'!J:K,2)*G2806*(1-PlanterDiscount)*(1+PlanterDifficultyPercentage)),IF(AE2806="ELP",(VLOOKUP(A2806,'Discount Lookup'!J:K,2)*G2806*(1-PlanterDiscount)*(1+PlanterDifficultyPercentage)),IF(AE2806="free","re-planting",IF(G2806=0,"",IF(PlanterYesMe="",IF(AE2806="me","   not ELP, by",IF(AE2806="",IF(G2806&gt;0,(VLOOKUP(A2806,'Discount Lookup'!J:K,2)*G2806*(1-PlanterDiscount)*(1+PlanterDifficultyPercentage)),""),"")),"   not ELP, by"))))))))))))))</f>
        <v/>
      </c>
      <c r="AD2806" s="712"/>
      <c r="AE2806" s="513" t="str">
        <f t="shared" si="2118"/>
        <v/>
      </c>
      <c r="AF2806" s="713" t="str">
        <f t="shared" si="2119"/>
        <v/>
      </c>
      <c r="AG2806" s="713"/>
      <c r="AH2806" s="713"/>
      <c r="AI2806" s="112">
        <f>IF(H2806="credit",0,IF(AE2806="free",0,IF(AE2806="me",0,IF(G2806&gt;0,(VLOOKUP(A2806,'Discount Lookup'!J:K,2)*G2806),0))))</f>
        <v>0</v>
      </c>
      <c r="AJ2806" s="107" t="str">
        <f t="shared" ca="1" si="2120"/>
        <v/>
      </c>
      <c r="AK2806" s="714" t="str">
        <f t="shared" si="2121"/>
        <v/>
      </c>
      <c r="AL2806" s="714"/>
      <c r="AM2806" s="114" t="str">
        <f t="shared" si="2122"/>
        <v/>
      </c>
      <c r="AN2806" s="115"/>
      <c r="AO2806" s="116"/>
      <c r="AP2806" s="116"/>
      <c r="AQ2806" s="116"/>
      <c r="AR2806" s="116"/>
      <c r="AS2806" s="116"/>
      <c r="AT2806" s="116"/>
      <c r="AU2806" s="116"/>
      <c r="AV2806" s="78"/>
      <c r="AW2806" s="102"/>
      <c r="AX2806" s="78"/>
      <c r="AY2806" s="78"/>
      <c r="AZ2806" s="78"/>
      <c r="BA2806" s="78"/>
      <c r="BB2806" s="78"/>
      <c r="BC2806" s="78"/>
      <c r="BD2806" s="78"/>
      <c r="BE2806" s="465"/>
      <c r="BF2806" s="165" t="str">
        <f t="shared" si="2123"/>
        <v>https://www.google.com/search?tbm=isch&amp;q=15%20G4</v>
      </c>
      <c r="BG2806" s="165" t="str">
        <f t="shared" si="2124"/>
        <v>M</v>
      </c>
      <c r="BH2806" s="65"/>
      <c r="BI2806" s="65"/>
      <c r="BJ2806" s="65"/>
      <c r="BK2806" s="65"/>
      <c r="BL2806" s="99"/>
      <c r="BM2806" s="99"/>
      <c r="BN2806" s="99"/>
    </row>
    <row r="2807" spans="1:66" s="51" customFormat="1" ht="16.5" thickBot="1" x14ac:dyDescent="0.3">
      <c r="A2807" s="508" t="s">
        <v>874</v>
      </c>
      <c r="B2807" s="487"/>
      <c r="C2807" s="707"/>
      <c r="D2807" s="487"/>
      <c r="E2807" s="487"/>
      <c r="F2807" s="488"/>
      <c r="G2807" s="489"/>
      <c r="H2807" s="487"/>
      <c r="I2807" s="490"/>
      <c r="J2807" s="490"/>
      <c r="K2807" s="491"/>
      <c r="L2807" s="547"/>
      <c r="M2807" s="528"/>
      <c r="N2807" s="492"/>
      <c r="O2807" s="493"/>
      <c r="P2807" s="494"/>
      <c r="Q2807" s="492"/>
      <c r="R2807" s="492"/>
      <c r="S2807" s="495"/>
      <c r="T2807" s="102">
        <f t="shared" si="2112"/>
        <v>0</v>
      </c>
      <c r="U2807" s="78" t="str">
        <f>IF(NOT(ISNUMBER(G2807)), "", VLOOKUP(A2807,'Discount Lookup'!D:E,2,FALSE)*G2807)</f>
        <v/>
      </c>
      <c r="V2807" s="78" t="str">
        <f>IF(NOT(ISNUMBER(G2807)), "", VLOOKUP(A2807,'Discount Lookup'!G:H,2,FALSE)*G2807)</f>
        <v/>
      </c>
      <c r="W2807" s="102">
        <f t="shared" si="2113"/>
        <v>0</v>
      </c>
      <c r="X2807" s="102">
        <f t="shared" si="2114"/>
        <v>0</v>
      </c>
      <c r="Y2807" s="120" t="b">
        <f t="shared" si="2115"/>
        <v>0</v>
      </c>
      <c r="Z2807" s="117">
        <f t="shared" si="2116"/>
        <v>0</v>
      </c>
      <c r="AA2807" s="118"/>
      <c r="AB2807" s="118" t="str">
        <f t="shared" si="2117"/>
        <v/>
      </c>
      <c r="AC2807" s="712" t="str">
        <f>IF(AE2807="T2G","no charge",IF(AND(OR(PlanterYesMe="No",PlanterYesMe="N",PlanterYesMe="me"),H2807=""),"",IF(H2807="credit","NO install",IF(AND(K2807="",AE2807="me"),"EACH row",IF(AND(K2807="images",AE2807="me"),"EACH row",IF(D2807="","",IF(H2807="credit","",IF(AE2807="free","re-planting",IF(AE2807="me","   not ELP, by",IF(AND(OR(PlanterYesMe="Yes",PlanterYesMe="Y"),G2807&gt;0),(VLOOKUP(A2807,'Discount Lookup'!J:K,2)*G2807*(1-PlanterDiscount)*(1+PlanterDifficultyPercentage)),IF(AE2807="ELP",(VLOOKUP(A2807,'Discount Lookup'!J:K,2)*G2807*(1-PlanterDiscount)*(1+PlanterDifficultyPercentage)),IF(AE2807="free","re-planting",IF(G2807=0,"",IF(PlanterYesMe="",IF(AE2807="me","   not ELP, by",IF(AE2807="",IF(G2807&gt;0,(VLOOKUP(A2807,'Discount Lookup'!J:K,2)*G2807*(1-PlanterDiscount)*(1+PlanterDifficultyPercentage)),""),"")),"   not ELP, by"))))))))))))))</f>
        <v/>
      </c>
      <c r="AD2807" s="712"/>
      <c r="AE2807" s="513" t="str">
        <f t="shared" si="2118"/>
        <v/>
      </c>
      <c r="AF2807" s="713" t="str">
        <f t="shared" si="2119"/>
        <v/>
      </c>
      <c r="AG2807" s="713"/>
      <c r="AH2807" s="713"/>
      <c r="AI2807" s="112">
        <f>IF(H2807="credit",0,IF(AE2807="free",0,IF(AE2807="me",0,IF(G2807&gt;0,(VLOOKUP(A2807,'Discount Lookup'!J:K,2)*G2807),0))))</f>
        <v>0</v>
      </c>
      <c r="AJ2807" s="107" t="str">
        <f t="shared" ca="1" si="2120"/>
        <v/>
      </c>
      <c r="AK2807" s="714" t="str">
        <f t="shared" si="2121"/>
        <v/>
      </c>
      <c r="AL2807" s="714"/>
      <c r="AM2807" s="114" t="str">
        <f t="shared" si="2122"/>
        <v/>
      </c>
      <c r="AN2807" s="115"/>
      <c r="AO2807" s="116"/>
      <c r="AP2807" s="116"/>
      <c r="AQ2807" s="116"/>
      <c r="AR2807" s="116"/>
      <c r="AS2807" s="116"/>
      <c r="AT2807" s="116"/>
      <c r="AU2807" s="116"/>
      <c r="AV2807" s="78"/>
      <c r="AW2807" s="102"/>
      <c r="AX2807" s="78"/>
      <c r="AY2807" s="78"/>
      <c r="AZ2807" s="78"/>
      <c r="BA2807" s="78"/>
      <c r="BB2807" s="78"/>
      <c r="BC2807" s="78"/>
      <c r="BD2807" s="78"/>
      <c r="BE2807" s="465"/>
      <c r="BF2807" s="165" t="str">
        <f t="shared" si="2123"/>
        <v>https://www.google.com/search?tbm=isch&amp;q=Eternal%20Spring%20is%20a%20very%20floriferous%2C%20with%20fragrant%20semi-double%20blooms%20along%20the%20stems.%20Lush%20wavy%20foliage%20</v>
      </c>
      <c r="BG2807" s="165" t="str">
        <f t="shared" si="2124"/>
        <v>E</v>
      </c>
      <c r="BH2807" s="65"/>
      <c r="BI2807" s="65"/>
      <c r="BJ2807" s="65"/>
      <c r="BK2807" s="65"/>
      <c r="BL2807" s="99"/>
      <c r="BM2807" s="99"/>
      <c r="BN2807" s="99"/>
    </row>
    <row r="2808" spans="1:66" s="51" customFormat="1" ht="18" x14ac:dyDescent="0.25">
      <c r="A2808" s="623" t="s">
        <v>3444</v>
      </c>
      <c r="B2808" s="624"/>
      <c r="C2808" s="709"/>
      <c r="D2808" s="625" t="s">
        <v>3445</v>
      </c>
      <c r="E2808" s="626"/>
      <c r="F2808" s="626"/>
      <c r="G2808" s="626"/>
      <c r="H2808" s="622" t="s">
        <v>1139</v>
      </c>
      <c r="I2808" s="627" t="s">
        <v>1191</v>
      </c>
      <c r="J2808" s="628"/>
      <c r="K2808" s="628"/>
      <c r="L2808" s="629"/>
      <c r="M2808" s="700" t="s">
        <v>5249</v>
      </c>
      <c r="N2808" s="693" t="str">
        <f>IF(AND(ISTEXT($A2808), ISERROR($A2808+0)), HYPERLINK($BF2808, "Images"), "")</f>
        <v>Images</v>
      </c>
      <c r="O2808" s="695" t="s">
        <v>5247</v>
      </c>
      <c r="P2808" s="630"/>
      <c r="Q2808" s="631"/>
      <c r="R2808" s="632"/>
      <c r="S2808" s="633"/>
      <c r="T2808" s="102">
        <f t="shared" si="2112"/>
        <v>0</v>
      </c>
      <c r="U2808" s="78" t="str">
        <f>IF(NOT(ISNUMBER(G2808)), "", VLOOKUP(A2808,'Discount Lookup'!D:E,2,FALSE)*G2808)</f>
        <v/>
      </c>
      <c r="V2808" s="78" t="str">
        <f>IF(NOT(ISNUMBER(G2808)), "", VLOOKUP(A2808,'Discount Lookup'!G:H,2,FALSE)*G2808)</f>
        <v/>
      </c>
      <c r="W2808" s="102">
        <f t="shared" si="2113"/>
        <v>0</v>
      </c>
      <c r="X2808" s="102" t="str">
        <f t="shared" si="2114"/>
        <v>Reddish-Purple bloom</v>
      </c>
      <c r="Y2808" s="120" t="b">
        <f t="shared" si="2115"/>
        <v>0</v>
      </c>
      <c r="Z2808" s="117">
        <f t="shared" si="2116"/>
        <v>0</v>
      </c>
      <c r="AA2808" s="118"/>
      <c r="AB2808" s="118" t="str">
        <f t="shared" si="2117"/>
        <v/>
      </c>
      <c r="AC2808" s="712" t="str">
        <f>IF(AE2808="T2G","no charge",IF(AND(OR(PlanterYesMe="No",PlanterYesMe="N",PlanterYesMe="me"),H2808=""),"",IF(H2808="credit","NO install",IF(AND(K2808="",AE2808="me"),"EACH row",IF(AND(K2808="images",AE2808="me"),"EACH row",IF(D2808="","",IF(H2808="credit","",IF(AE2808="free","re-planting",IF(AE2808="me","   not ELP, by",IF(AND(OR(PlanterYesMe="Yes",PlanterYesMe="Y"),G2808&gt;0),(VLOOKUP(A2808,'Discount Lookup'!J:K,2)*G2808*(1-PlanterDiscount)*(1+PlanterDifficultyPercentage)),IF(AE2808="ELP",(VLOOKUP(A2808,'Discount Lookup'!J:K,2)*G2808*(1-PlanterDiscount)*(1+PlanterDifficultyPercentage)),IF(AE2808="free","re-planting",IF(G2808=0,"",IF(PlanterYesMe="",IF(AE2808="me","   not ELP, by",IF(AE2808="",IF(G2808&gt;0,(VLOOKUP(A2808,'Discount Lookup'!J:K,2)*G2808*(1-PlanterDiscount)*(1+PlanterDifficultyPercentage)),""),"")),"   not ELP, by"))))))))))))))</f>
        <v/>
      </c>
      <c r="AD2808" s="712"/>
      <c r="AE2808" s="513" t="str">
        <f t="shared" si="2118"/>
        <v/>
      </c>
      <c r="AF2808" s="713" t="str">
        <f t="shared" si="2119"/>
        <v/>
      </c>
      <c r="AG2808" s="713"/>
      <c r="AH2808" s="713"/>
      <c r="AI2808" s="112">
        <f>IF(H2808="credit",0,IF(AE2808="free",0,IF(AE2808="me",0,IF(G2808&gt;0,(VLOOKUP(A2808,'Discount Lookup'!J:K,2)*G2808),0))))</f>
        <v>0</v>
      </c>
      <c r="AJ2808" s="107" t="str">
        <f t="shared" ca="1" si="2120"/>
        <v/>
      </c>
      <c r="AK2808" s="714" t="str">
        <f t="shared" si="2121"/>
        <v/>
      </c>
      <c r="AL2808" s="714"/>
      <c r="AM2808" s="114" t="str">
        <f t="shared" si="2122"/>
        <v/>
      </c>
      <c r="AN2808" s="115"/>
      <c r="AO2808" s="116"/>
      <c r="AP2808" s="116"/>
      <c r="AQ2808" s="116"/>
      <c r="AR2808" s="116"/>
      <c r="AS2808" s="116"/>
      <c r="AT2808" s="116"/>
      <c r="AU2808" s="116"/>
      <c r="AV2808" s="78"/>
      <c r="AW2808" s="102"/>
      <c r="AX2808" s="78"/>
      <c r="AY2808" s="78"/>
      <c r="AZ2808" s="78"/>
      <c r="BA2808" s="78"/>
      <c r="BB2808" s="78"/>
      <c r="BC2808" s="78"/>
      <c r="BD2808" s="78"/>
      <c r="BE2808" s="465"/>
      <c r="BF2808" s="165" t="str">
        <f t="shared" si="2123"/>
        <v>https://www.google.com/search?tbm=isch&amp;q=Magnolia%20%27Galaxy%27%20Galaxy%20Magnolia</v>
      </c>
      <c r="BG2808" s="165" t="str">
        <f t="shared" si="2124"/>
        <v>M</v>
      </c>
      <c r="BH2808" s="65"/>
      <c r="BI2808" s="65"/>
      <c r="BJ2808" s="65"/>
      <c r="BK2808" s="65"/>
      <c r="BL2808" s="99"/>
      <c r="BM2808" s="99"/>
      <c r="BN2808" s="99"/>
    </row>
    <row r="2809" spans="1:66" s="51" customFormat="1" ht="15.75" x14ac:dyDescent="0.25">
      <c r="A2809" s="634">
        <v>7</v>
      </c>
      <c r="B2809" s="635" t="s">
        <v>291</v>
      </c>
      <c r="C2809" s="636" t="s">
        <v>3446</v>
      </c>
      <c r="D2809" s="637" t="s">
        <v>299</v>
      </c>
      <c r="E2809" s="638">
        <v>132.94999999999999</v>
      </c>
      <c r="F2809" s="639" t="s">
        <v>292</v>
      </c>
      <c r="G2809" s="484">
        <v>0</v>
      </c>
      <c r="H2809" s="691" t="str">
        <f>IF(G2809=0,"",IF(F2809="Buy",IF(G2809=1,"plant","plants"),IF(F2809&gt;0.01,"warranty","Error")))</f>
        <v/>
      </c>
      <c r="I2809" s="640">
        <f>IF(H2809="free",0,IF(H2809="credit",((E2809*(F2809))*G2809*-1),IF(F2809="Buy",(E2809*G2809),((E2809*(1-F2809))*G2809))))</f>
        <v>0</v>
      </c>
      <c r="J2809" s="640">
        <f>IF(H2809="warranty",0,(I2809*(_xlfn.SINGLE(SalesTaxPercentage))))</f>
        <v>0</v>
      </c>
      <c r="K2809" s="716">
        <f t="shared" ref="K2809" si="2140">I2809+J2809</f>
        <v>0</v>
      </c>
      <c r="L2809" s="716"/>
      <c r="M2809" s="689" t="str">
        <f ca="1">IF(AND(G2809&gt;0,E2809=0),"WARNING - no PRICE inserted",IF(H2809="free","FREE ~ no charge this plant",IF(H2809="credit",CONCATENATE("-$",ROUND(K2809*(1-_xlfn.SINGLE(T2GDiscount))*-1,2)," CREDIT after discount"),IF(_xlfn.SINGLE(T2GDiscount)=0,"",IF(G2809=0,"",IF(F2809="Buy",CONCATENATE("$",ROUND(K2809*(1-_xlfn.SINGLE(T2GDiscount)),2)," with ",(_xlfn.SINGLE(T2GDiscount)*100),"% discount"),CONCATENATE("$",ROUND(K2809*(1-_xlfn.SINGLE(T2GDiscount)),2)," with ",((_xlfn.SINGLE(T2GDiscount)*100+F2809*100)-(_xlfn.SINGLE(T2GDiscount)*100*F2809)),IF(F2809&gt;0,"% discounts",IF(_xlfn.SINGLE(NoWarrantyDiscount)&gt;0,"% discounts","% discount")))))))))</f>
        <v/>
      </c>
      <c r="N2809" s="690"/>
      <c r="O2809" s="486"/>
      <c r="P2809" s="486"/>
      <c r="Q2809" s="486"/>
      <c r="R2809" s="486"/>
      <c r="S2809" s="486"/>
      <c r="T2809" s="102">
        <f t="shared" si="2112"/>
        <v>0</v>
      </c>
      <c r="U2809" s="78">
        <f>IF(NOT(ISNUMBER(G2809)), "", VLOOKUP(A2809,'Discount Lookup'!D:E,2,FALSE)*G2809)</f>
        <v>0</v>
      </c>
      <c r="V2809" s="78">
        <f>IF(NOT(ISNUMBER(G2809)), "", VLOOKUP(A2809,'Discount Lookup'!G:H,2,FALSE)*G2809)</f>
        <v>0</v>
      </c>
      <c r="W2809" s="102">
        <f t="shared" si="2113"/>
        <v>0</v>
      </c>
      <c r="X2809" s="102">
        <f t="shared" si="2114"/>
        <v>0</v>
      </c>
      <c r="Y2809" s="120" t="b">
        <f t="shared" si="2115"/>
        <v>0</v>
      </c>
      <c r="Z2809" s="117">
        <f t="shared" si="2116"/>
        <v>0</v>
      </c>
      <c r="AA2809" s="118"/>
      <c r="AB2809" s="118" t="str">
        <f t="shared" si="2117"/>
        <v/>
      </c>
      <c r="AC2809" s="712" t="str">
        <f>IF(AE2809="T2G","no charge",IF(AND(OR(PlanterYesMe="No",PlanterYesMe="N",PlanterYesMe="me"),H2809=""),"",IF(H2809="credit","NO install",IF(AND(K2809="",AE2809="me"),"EACH row",IF(AND(K2809="images",AE2809="me"),"EACH row",IF(D2809="","",IF(H2809="credit","",IF(AE2809="free","re-planting",IF(AE2809="me","   not ELP, by",IF(AND(OR(PlanterYesMe="Yes",PlanterYesMe="Y"),G2809&gt;0),(VLOOKUP(A2809,'Discount Lookup'!J:K,2)*G2809*(1-PlanterDiscount)*(1+PlanterDifficultyPercentage)),IF(AE2809="ELP",(VLOOKUP(A2809,'Discount Lookup'!J:K,2)*G2809*(1-PlanterDiscount)*(1+PlanterDifficultyPercentage)),IF(AE2809="free","re-planting",IF(G2809=0,"",IF(PlanterYesMe="",IF(AE2809="me","   not ELP, by",IF(AE2809="",IF(G2809&gt;0,(VLOOKUP(A2809,'Discount Lookup'!J:K,2)*G2809*(1-PlanterDiscount)*(1+PlanterDifficultyPercentage)),""),"")),"   not ELP, by"))))))))))))))</f>
        <v/>
      </c>
      <c r="AD2809" s="712"/>
      <c r="AE2809" s="513" t="str">
        <f t="shared" si="2118"/>
        <v/>
      </c>
      <c r="AF2809" s="713" t="str">
        <f t="shared" si="2119"/>
        <v/>
      </c>
      <c r="AG2809" s="713"/>
      <c r="AH2809" s="713"/>
      <c r="AI2809" s="112">
        <f>IF(H2809="credit",0,IF(AE2809="free",0,IF(AE2809="me",0,IF(G2809&gt;0,(VLOOKUP(A2809,'Discount Lookup'!J:K,2)*G2809),0))))</f>
        <v>0</v>
      </c>
      <c r="AJ2809" s="107" t="str">
        <f t="shared" ca="1" si="2120"/>
        <v/>
      </c>
      <c r="AK2809" s="714" t="str">
        <f t="shared" si="2121"/>
        <v/>
      </c>
      <c r="AL2809" s="714"/>
      <c r="AM2809" s="114" t="str">
        <f t="shared" si="2122"/>
        <v/>
      </c>
      <c r="AN2809" s="115"/>
      <c r="AO2809" s="116"/>
      <c r="AP2809" s="116"/>
      <c r="AQ2809" s="116"/>
      <c r="AR2809" s="116"/>
      <c r="AS2809" s="116"/>
      <c r="AT2809" s="116"/>
      <c r="AU2809" s="116"/>
      <c r="AV2809" s="78"/>
      <c r="AW2809" s="102"/>
      <c r="AX2809" s="78"/>
      <c r="AY2809" s="78"/>
      <c r="AZ2809" s="78"/>
      <c r="BA2809" s="78"/>
      <c r="BB2809" s="78"/>
      <c r="BC2809" s="78"/>
      <c r="BD2809" s="78"/>
      <c r="BE2809" s="465"/>
      <c r="BF2809" s="165" t="str">
        <f t="shared" si="2123"/>
        <v>https://www.google.com/search?tbm=isch&amp;q=7%20G4</v>
      </c>
      <c r="BG2809" s="165" t="str">
        <f t="shared" si="2124"/>
        <v>M</v>
      </c>
      <c r="BH2809" s="65"/>
      <c r="BI2809" s="65"/>
      <c r="BJ2809" s="65"/>
      <c r="BK2809" s="65"/>
      <c r="BL2809" s="99"/>
      <c r="BM2809" s="99"/>
      <c r="BN2809" s="99"/>
    </row>
    <row r="2810" spans="1:66" s="51" customFormat="1" ht="15.75" x14ac:dyDescent="0.25">
      <c r="A2810" s="634">
        <v>10</v>
      </c>
      <c r="B2810" s="635" t="s">
        <v>291</v>
      </c>
      <c r="C2810" s="636" t="s">
        <v>3447</v>
      </c>
      <c r="D2810" s="637" t="s">
        <v>299</v>
      </c>
      <c r="E2810" s="638">
        <v>155.94999999999999</v>
      </c>
      <c r="F2810" s="639" t="s">
        <v>292</v>
      </c>
      <c r="G2810" s="484">
        <v>0</v>
      </c>
      <c r="H2810" s="691" t="str">
        <f>IF(G2810=0,"",IF(F2810="Buy",IF(G2810=1,"plant","plants"),IF(F2810&gt;0.01,"warranty","Error")))</f>
        <v/>
      </c>
      <c r="I2810" s="640">
        <f>IF(H2810="free",0,IF(H2810="credit",((E2810*(F2810))*G2810*-1),IF(F2810="Buy",(E2810*G2810),((E2810*(1-F2810))*G2810))))</f>
        <v>0</v>
      </c>
      <c r="J2810" s="640">
        <f>IF(H2810="warranty",0,(I2810*(_xlfn.SINGLE(SalesTaxPercentage))))</f>
        <v>0</v>
      </c>
      <c r="K2810" s="716">
        <f t="shared" ref="K2810" si="2141">I2810+J2810</f>
        <v>0</v>
      </c>
      <c r="L2810" s="716"/>
      <c r="M2810" s="689" t="str">
        <f ca="1">IF(AND(G2810&gt;0,E2810=0),"WARNING - no PRICE inserted",IF(H2810="free","FREE ~ no charge this plant",IF(H2810="credit",CONCATENATE("-$",ROUND(K2810*(1-_xlfn.SINGLE(T2GDiscount))*-1,2)," CREDIT after discount"),IF(_xlfn.SINGLE(T2GDiscount)=0,"",IF(G2810=0,"",IF(F2810="Buy",CONCATENATE("$",ROUND(K2810*(1-_xlfn.SINGLE(T2GDiscount)),2)," with ",(_xlfn.SINGLE(T2GDiscount)*100),"% discount"),CONCATENATE("$",ROUND(K2810*(1-_xlfn.SINGLE(T2GDiscount)),2)," with ",((_xlfn.SINGLE(T2GDiscount)*100+F2810*100)-(_xlfn.SINGLE(T2GDiscount)*100*F2810)),IF(F2810&gt;0,"% discounts",IF(_xlfn.SINGLE(NoWarrantyDiscount)&gt;0,"% discounts","% discount")))))))))</f>
        <v/>
      </c>
      <c r="N2810" s="690"/>
      <c r="O2810" s="486"/>
      <c r="P2810" s="486"/>
      <c r="Q2810" s="486"/>
      <c r="R2810" s="486"/>
      <c r="S2810" s="486"/>
      <c r="T2810" s="102">
        <f t="shared" si="2112"/>
        <v>0</v>
      </c>
      <c r="U2810" s="78">
        <f>IF(NOT(ISNUMBER(G2810)), "", VLOOKUP(A2810,'Discount Lookup'!D:E,2,FALSE)*G2810)</f>
        <v>0</v>
      </c>
      <c r="V2810" s="78">
        <f>IF(NOT(ISNUMBER(G2810)), "", VLOOKUP(A2810,'Discount Lookup'!G:H,2,FALSE)*G2810)</f>
        <v>0</v>
      </c>
      <c r="W2810" s="102">
        <f t="shared" si="2113"/>
        <v>0</v>
      </c>
      <c r="X2810" s="102">
        <f t="shared" si="2114"/>
        <v>0</v>
      </c>
      <c r="Y2810" s="120" t="b">
        <f t="shared" si="2115"/>
        <v>0</v>
      </c>
      <c r="Z2810" s="117">
        <f t="shared" si="2116"/>
        <v>0</v>
      </c>
      <c r="AA2810" s="118"/>
      <c r="AB2810" s="118" t="str">
        <f t="shared" si="2117"/>
        <v/>
      </c>
      <c r="AC2810" s="712" t="str">
        <f>IF(AE2810="T2G","no charge",IF(AND(OR(PlanterYesMe="No",PlanterYesMe="N",PlanterYesMe="me"),H2810=""),"",IF(H2810="credit","NO install",IF(AND(K2810="",AE2810="me"),"EACH row",IF(AND(K2810="images",AE2810="me"),"EACH row",IF(D2810="","",IF(H2810="credit","",IF(AE2810="free","re-planting",IF(AE2810="me","   not ELP, by",IF(AND(OR(PlanterYesMe="Yes",PlanterYesMe="Y"),G2810&gt;0),(VLOOKUP(A2810,'Discount Lookup'!J:K,2)*G2810*(1-PlanterDiscount)*(1+PlanterDifficultyPercentage)),IF(AE2810="ELP",(VLOOKUP(A2810,'Discount Lookup'!J:K,2)*G2810*(1-PlanterDiscount)*(1+PlanterDifficultyPercentage)),IF(AE2810="free","re-planting",IF(G2810=0,"",IF(PlanterYesMe="",IF(AE2810="me","   not ELP, by",IF(AE2810="",IF(G2810&gt;0,(VLOOKUP(A2810,'Discount Lookup'!J:K,2)*G2810*(1-PlanterDiscount)*(1+PlanterDifficultyPercentage)),""),"")),"   not ELP, by"))))))))))))))</f>
        <v/>
      </c>
      <c r="AD2810" s="712"/>
      <c r="AE2810" s="513" t="str">
        <f t="shared" si="2118"/>
        <v/>
      </c>
      <c r="AF2810" s="713" t="str">
        <f t="shared" si="2119"/>
        <v/>
      </c>
      <c r="AG2810" s="713"/>
      <c r="AH2810" s="713"/>
      <c r="AI2810" s="112">
        <f>IF(H2810="credit",0,IF(AE2810="free",0,IF(AE2810="me",0,IF(G2810&gt;0,(VLOOKUP(A2810,'Discount Lookup'!J:K,2)*G2810),0))))</f>
        <v>0</v>
      </c>
      <c r="AJ2810" s="107" t="str">
        <f t="shared" ca="1" si="2120"/>
        <v/>
      </c>
      <c r="AK2810" s="714" t="str">
        <f t="shared" si="2121"/>
        <v/>
      </c>
      <c r="AL2810" s="714"/>
      <c r="AM2810" s="114" t="str">
        <f t="shared" si="2122"/>
        <v/>
      </c>
      <c r="AN2810" s="115"/>
      <c r="AO2810" s="116"/>
      <c r="AP2810" s="116"/>
      <c r="AQ2810" s="116"/>
      <c r="AR2810" s="116"/>
      <c r="AS2810" s="116"/>
      <c r="AT2810" s="116"/>
      <c r="AU2810" s="116"/>
      <c r="AV2810" s="78"/>
      <c r="AW2810" s="102"/>
      <c r="AX2810" s="78"/>
      <c r="AY2810" s="78"/>
      <c r="AZ2810" s="78"/>
      <c r="BA2810" s="78"/>
      <c r="BB2810" s="78"/>
      <c r="BC2810" s="78"/>
      <c r="BD2810" s="78"/>
      <c r="BE2810" s="465"/>
      <c r="BF2810" s="165" t="str">
        <f t="shared" si="2123"/>
        <v>https://www.google.com/search?tbm=isch&amp;q=10%20G4</v>
      </c>
      <c r="BG2810" s="165" t="str">
        <f t="shared" si="2124"/>
        <v>M</v>
      </c>
      <c r="BH2810" s="65"/>
      <c r="BI2810" s="65"/>
      <c r="BJ2810" s="65"/>
      <c r="BK2810" s="65"/>
      <c r="BL2810" s="99"/>
      <c r="BM2810" s="99"/>
      <c r="BN2810" s="99"/>
    </row>
    <row r="2811" spans="1:66" s="51" customFormat="1" ht="27" x14ac:dyDescent="0.25">
      <c r="A2811" s="634">
        <v>15</v>
      </c>
      <c r="B2811" s="635" t="s">
        <v>291</v>
      </c>
      <c r="C2811" s="636" t="s">
        <v>3448</v>
      </c>
      <c r="D2811" s="637" t="s">
        <v>299</v>
      </c>
      <c r="E2811" s="638">
        <v>194.95</v>
      </c>
      <c r="F2811" s="639" t="s">
        <v>292</v>
      </c>
      <c r="G2811" s="484">
        <v>0</v>
      </c>
      <c r="H2811" s="691" t="str">
        <f>IF(G2811=0,"",IF(F2811="Buy",IF(G2811=1,"plant","plants"),IF(F2811&gt;0.01,"warranty","Error")))</f>
        <v/>
      </c>
      <c r="I2811" s="640">
        <f>IF(H2811="free",0,IF(H2811="credit",((E2811*(F2811))*G2811*-1),IF(F2811="Buy",(E2811*G2811),((E2811*(1-F2811))*G2811))))</f>
        <v>0</v>
      </c>
      <c r="J2811" s="640">
        <f>IF(H2811="warranty",0,(I2811*(_xlfn.SINGLE(SalesTaxPercentage))))</f>
        <v>0</v>
      </c>
      <c r="K2811" s="716">
        <f t="shared" ref="K2811" si="2142">I2811+J2811</f>
        <v>0</v>
      </c>
      <c r="L2811" s="716"/>
      <c r="M2811" s="689" t="str">
        <f ca="1">IF(AND(G2811&gt;0,E2811=0),"WARNING - no PRICE inserted",IF(H2811="free","FREE ~ no charge this plant",IF(H2811="credit",CONCATENATE("-$",ROUND(K2811*(1-_xlfn.SINGLE(T2GDiscount))*-1,2)," CREDIT after discount"),IF(_xlfn.SINGLE(T2GDiscount)=0,"",IF(G2811=0,"",IF(F2811="Buy",CONCATENATE("$",ROUND(K2811*(1-_xlfn.SINGLE(T2GDiscount)),2)," with ",(_xlfn.SINGLE(T2GDiscount)*100),"% discount"),CONCATENATE("$",ROUND(K2811*(1-_xlfn.SINGLE(T2GDiscount)),2)," with ",((_xlfn.SINGLE(T2GDiscount)*100+F2811*100)-(_xlfn.SINGLE(T2GDiscount)*100*F2811)),IF(F2811&gt;0,"% discounts",IF(_xlfn.SINGLE(NoWarrantyDiscount)&gt;0,"% discounts","% discount")))))))))</f>
        <v/>
      </c>
      <c r="N2811" s="690"/>
      <c r="O2811" s="486"/>
      <c r="P2811" s="486"/>
      <c r="Q2811" s="486"/>
      <c r="R2811" s="486"/>
      <c r="S2811" s="486"/>
      <c r="T2811" s="102">
        <f t="shared" si="2112"/>
        <v>0</v>
      </c>
      <c r="U2811" s="78">
        <f>IF(NOT(ISNUMBER(G2811)), "", VLOOKUP(A2811,'Discount Lookup'!D:E,2,FALSE)*G2811)</f>
        <v>0</v>
      </c>
      <c r="V2811" s="78">
        <f>IF(NOT(ISNUMBER(G2811)), "", VLOOKUP(A2811,'Discount Lookup'!G:H,2,FALSE)*G2811)</f>
        <v>0</v>
      </c>
      <c r="W2811" s="102">
        <f t="shared" si="2113"/>
        <v>0</v>
      </c>
      <c r="X2811" s="102">
        <f t="shared" si="2114"/>
        <v>0</v>
      </c>
      <c r="Y2811" s="120" t="b">
        <f t="shared" si="2115"/>
        <v>0</v>
      </c>
      <c r="Z2811" s="117">
        <f t="shared" si="2116"/>
        <v>0</v>
      </c>
      <c r="AA2811" s="118"/>
      <c r="AB2811" s="118" t="str">
        <f t="shared" si="2117"/>
        <v/>
      </c>
      <c r="AC2811" s="712" t="str">
        <f>IF(AE2811="T2G","no charge",IF(AND(OR(PlanterYesMe="No",PlanterYesMe="N",PlanterYesMe="me"),H2811=""),"",IF(H2811="credit","NO install",IF(AND(K2811="",AE2811="me"),"EACH row",IF(AND(K2811="images",AE2811="me"),"EACH row",IF(D2811="","",IF(H2811="credit","",IF(AE2811="free","re-planting",IF(AE2811="me","   not ELP, by",IF(AND(OR(PlanterYesMe="Yes",PlanterYesMe="Y"),G2811&gt;0),(VLOOKUP(A2811,'Discount Lookup'!J:K,2)*G2811*(1-PlanterDiscount)*(1+PlanterDifficultyPercentage)),IF(AE2811="ELP",(VLOOKUP(A2811,'Discount Lookup'!J:K,2)*G2811*(1-PlanterDiscount)*(1+PlanterDifficultyPercentage)),IF(AE2811="free","re-planting",IF(G2811=0,"",IF(PlanterYesMe="",IF(AE2811="me","   not ELP, by",IF(AE2811="",IF(G2811&gt;0,(VLOOKUP(A2811,'Discount Lookup'!J:K,2)*G2811*(1-PlanterDiscount)*(1+PlanterDifficultyPercentage)),""),"")),"   not ELP, by"))))))))))))))</f>
        <v/>
      </c>
      <c r="AD2811" s="712"/>
      <c r="AE2811" s="513" t="str">
        <f t="shared" si="2118"/>
        <v/>
      </c>
      <c r="AF2811" s="713" t="str">
        <f t="shared" si="2119"/>
        <v/>
      </c>
      <c r="AG2811" s="713"/>
      <c r="AH2811" s="713"/>
      <c r="AI2811" s="112">
        <f>IF(H2811="credit",0,IF(AE2811="free",0,IF(AE2811="me",0,IF(G2811&gt;0,(VLOOKUP(A2811,'Discount Lookup'!J:K,2)*G2811),0))))</f>
        <v>0</v>
      </c>
      <c r="AJ2811" s="107" t="str">
        <f t="shared" ca="1" si="2120"/>
        <v/>
      </c>
      <c r="AK2811" s="714" t="str">
        <f t="shared" si="2121"/>
        <v/>
      </c>
      <c r="AL2811" s="714"/>
      <c r="AM2811" s="114" t="str">
        <f t="shared" si="2122"/>
        <v/>
      </c>
      <c r="AN2811" s="115"/>
      <c r="AO2811" s="116"/>
      <c r="AP2811" s="116"/>
      <c r="AQ2811" s="116"/>
      <c r="AR2811" s="116"/>
      <c r="AS2811" s="116"/>
      <c r="AT2811" s="116"/>
      <c r="AU2811" s="116"/>
      <c r="AV2811" s="78"/>
      <c r="AW2811" s="102"/>
      <c r="AX2811" s="78"/>
      <c r="AY2811" s="78"/>
      <c r="AZ2811" s="78"/>
      <c r="BA2811" s="78"/>
      <c r="BB2811" s="78"/>
      <c r="BC2811" s="78"/>
      <c r="BD2811" s="78"/>
      <c r="BE2811" s="465"/>
      <c r="BF2811" s="165" t="str">
        <f t="shared" si="2123"/>
        <v>https://www.google.com/search?tbm=isch&amp;q=15%20G4</v>
      </c>
      <c r="BG2811" s="165" t="str">
        <f t="shared" si="2124"/>
        <v>M</v>
      </c>
      <c r="BH2811" s="65"/>
      <c r="BI2811" s="65"/>
      <c r="BJ2811" s="65"/>
      <c r="BK2811" s="65"/>
      <c r="BL2811" s="99"/>
      <c r="BM2811" s="99"/>
      <c r="BN2811" s="99"/>
    </row>
    <row r="2812" spans="1:66" s="51" customFormat="1" ht="17.25" thickBot="1" x14ac:dyDescent="0.3">
      <c r="A2812" s="641" t="s">
        <v>3449</v>
      </c>
      <c r="B2812" s="642"/>
      <c r="C2812" s="710"/>
      <c r="D2812" s="643"/>
      <c r="E2812" s="643"/>
      <c r="F2812" s="644"/>
      <c r="G2812" s="645"/>
      <c r="H2812" s="646"/>
      <c r="I2812" s="647"/>
      <c r="J2812" s="648"/>
      <c r="K2812" s="649"/>
      <c r="L2812" s="650"/>
      <c r="M2812" s="650"/>
      <c r="N2812" s="644"/>
      <c r="O2812" s="644"/>
      <c r="P2812" s="644"/>
      <c r="Q2812" s="644"/>
      <c r="R2812" s="644"/>
      <c r="S2812" s="701" t="s">
        <v>5262</v>
      </c>
      <c r="T2812" s="102">
        <f t="shared" si="2112"/>
        <v>0</v>
      </c>
      <c r="U2812" s="78" t="str">
        <f>IF(NOT(ISNUMBER(G2812)), "", VLOOKUP(A2812,'Discount Lookup'!D:E,2,FALSE)*G2812)</f>
        <v/>
      </c>
      <c r="V2812" s="78" t="str">
        <f>IF(NOT(ISNUMBER(G2812)), "", VLOOKUP(A2812,'Discount Lookup'!G:H,2,FALSE)*G2812)</f>
        <v/>
      </c>
      <c r="W2812" s="102">
        <f t="shared" si="2113"/>
        <v>0</v>
      </c>
      <c r="X2812" s="102">
        <f t="shared" si="2114"/>
        <v>0</v>
      </c>
      <c r="Y2812" s="120" t="b">
        <f t="shared" si="2115"/>
        <v>0</v>
      </c>
      <c r="Z2812" s="117">
        <f t="shared" si="2116"/>
        <v>0</v>
      </c>
      <c r="AA2812" s="118"/>
      <c r="AB2812" s="118" t="str">
        <f t="shared" si="2117"/>
        <v/>
      </c>
      <c r="AC2812" s="712" t="str">
        <f>IF(AE2812="T2G","no charge",IF(AND(OR(PlanterYesMe="No",PlanterYesMe="N",PlanterYesMe="me"),H2812=""),"",IF(H2812="credit","NO install",IF(AND(K2812="",AE2812="me"),"EACH row",IF(AND(K2812="images",AE2812="me"),"EACH row",IF(D2812="","",IF(H2812="credit","",IF(AE2812="free","re-planting",IF(AE2812="me","   not ELP, by",IF(AND(OR(PlanterYesMe="Yes",PlanterYesMe="Y"),G2812&gt;0),(VLOOKUP(A2812,'Discount Lookup'!J:K,2)*G2812*(1-PlanterDiscount)*(1+PlanterDifficultyPercentage)),IF(AE2812="ELP",(VLOOKUP(A2812,'Discount Lookup'!J:K,2)*G2812*(1-PlanterDiscount)*(1+PlanterDifficultyPercentage)),IF(AE2812="free","re-planting",IF(G2812=0,"",IF(PlanterYesMe="",IF(AE2812="me","   not ELP, by",IF(AE2812="",IF(G2812&gt;0,(VLOOKUP(A2812,'Discount Lookup'!J:K,2)*G2812*(1-PlanterDiscount)*(1+PlanterDifficultyPercentage)),""),"")),"   not ELP, by"))))))))))))))</f>
        <v/>
      </c>
      <c r="AD2812" s="712"/>
      <c r="AE2812" s="513" t="str">
        <f t="shared" si="2118"/>
        <v/>
      </c>
      <c r="AF2812" s="713" t="str">
        <f t="shared" si="2119"/>
        <v/>
      </c>
      <c r="AG2812" s="713"/>
      <c r="AH2812" s="713"/>
      <c r="AI2812" s="112">
        <f>IF(H2812="credit",0,IF(AE2812="free",0,IF(AE2812="me",0,IF(G2812&gt;0,(VLOOKUP(A2812,'Discount Lookup'!J:K,2)*G2812),0))))</f>
        <v>0</v>
      </c>
      <c r="AJ2812" s="107" t="str">
        <f t="shared" ca="1" si="2120"/>
        <v/>
      </c>
      <c r="AK2812" s="714" t="str">
        <f t="shared" si="2121"/>
        <v/>
      </c>
      <c r="AL2812" s="714"/>
      <c r="AM2812" s="114" t="str">
        <f t="shared" si="2122"/>
        <v/>
      </c>
      <c r="AN2812" s="115"/>
      <c r="AO2812" s="116"/>
      <c r="AP2812" s="116"/>
      <c r="AQ2812" s="116"/>
      <c r="AR2812" s="116"/>
      <c r="AS2812" s="116"/>
      <c r="AT2812" s="116"/>
      <c r="AU2812" s="116"/>
      <c r="AV2812" s="78"/>
      <c r="AW2812" s="102"/>
      <c r="AX2812" s="78"/>
      <c r="AY2812" s="78"/>
      <c r="AZ2812" s="78"/>
      <c r="BA2812" s="78"/>
      <c r="BB2812" s="78"/>
      <c r="BC2812" s="78"/>
      <c r="BD2812" s="78"/>
      <c r="BE2812" s="465"/>
      <c r="BF2812" s="165" t="str">
        <f t="shared" si="2123"/>
        <v>https://www.google.com/search?tbm=isch&amp;q=Galaxy%20blooms%20mid-spring%2C%20on%20otherwise%20bare%20branches.%20Fragrant%20</v>
      </c>
      <c r="BG2812" s="165" t="str">
        <f t="shared" si="2124"/>
        <v>G</v>
      </c>
      <c r="BH2812" s="65"/>
      <c r="BI2812" s="65"/>
      <c r="BJ2812" s="65"/>
      <c r="BK2812" s="65"/>
      <c r="BL2812" s="99"/>
      <c r="BM2812" s="99"/>
      <c r="BN2812" s="99"/>
    </row>
    <row r="2813" spans="1:66" s="51" customFormat="1" ht="18" x14ac:dyDescent="0.25">
      <c r="A2813" s="623" t="s">
        <v>3450</v>
      </c>
      <c r="B2813" s="624"/>
      <c r="C2813" s="709"/>
      <c r="D2813" s="625" t="s">
        <v>3451</v>
      </c>
      <c r="E2813" s="626"/>
      <c r="F2813" s="626"/>
      <c r="G2813" s="626"/>
      <c r="H2813" s="622" t="s">
        <v>3452</v>
      </c>
      <c r="I2813" s="627" t="s">
        <v>3453</v>
      </c>
      <c r="J2813" s="628"/>
      <c r="K2813" s="628"/>
      <c r="L2813" s="629"/>
      <c r="M2813" s="700" t="s">
        <v>5249</v>
      </c>
      <c r="N2813" s="693" t="str">
        <f>IF(AND(ISTEXT($A2813), ISERROR($A2813+0)), HYPERLINK($BF2813, "Images"), "")</f>
        <v>Images</v>
      </c>
      <c r="O2813" s="695" t="s">
        <v>5247</v>
      </c>
      <c r="P2813" s="630"/>
      <c r="Q2813" s="631"/>
      <c r="R2813" s="632"/>
      <c r="S2813" s="633"/>
      <c r="T2813" s="102">
        <f t="shared" si="2112"/>
        <v>0</v>
      </c>
      <c r="U2813" s="78" t="str">
        <f>IF(NOT(ISNUMBER(G2813)), "", VLOOKUP(A2813,'Discount Lookup'!D:E,2,FALSE)*G2813)</f>
        <v/>
      </c>
      <c r="V2813" s="78" t="str">
        <f>IF(NOT(ISNUMBER(G2813)), "", VLOOKUP(A2813,'Discount Lookup'!G:H,2,FALSE)*G2813)</f>
        <v/>
      </c>
      <c r="W2813" s="102">
        <f t="shared" si="2113"/>
        <v>0</v>
      </c>
      <c r="X2813" s="102" t="str">
        <f t="shared" si="2114"/>
        <v>Dark Burgundy-Purple</v>
      </c>
      <c r="Y2813" s="120" t="b">
        <f t="shared" si="2115"/>
        <v>0</v>
      </c>
      <c r="Z2813" s="117">
        <f t="shared" si="2116"/>
        <v>0</v>
      </c>
      <c r="AA2813" s="118"/>
      <c r="AB2813" s="118" t="str">
        <f t="shared" si="2117"/>
        <v/>
      </c>
      <c r="AC2813" s="712" t="str">
        <f>IF(AE2813="T2G","no charge",IF(AND(OR(PlanterYesMe="No",PlanterYesMe="N",PlanterYesMe="me"),H2813=""),"",IF(H2813="credit","NO install",IF(AND(K2813="",AE2813="me"),"EACH row",IF(AND(K2813="images",AE2813="me"),"EACH row",IF(D2813="","",IF(H2813="credit","",IF(AE2813="free","re-planting",IF(AE2813="me","   not ELP, by",IF(AND(OR(PlanterYesMe="Yes",PlanterYesMe="Y"),G2813&gt;0),(VLOOKUP(A2813,'Discount Lookup'!J:K,2)*G2813*(1-PlanterDiscount)*(1+PlanterDifficultyPercentage)),IF(AE2813="ELP",(VLOOKUP(A2813,'Discount Lookup'!J:K,2)*G2813*(1-PlanterDiscount)*(1+PlanterDifficultyPercentage)),IF(AE2813="free","re-planting",IF(G2813=0,"",IF(PlanterYesMe="",IF(AE2813="me","   not ELP, by",IF(AE2813="",IF(G2813&gt;0,(VLOOKUP(A2813,'Discount Lookup'!J:K,2)*G2813*(1-PlanterDiscount)*(1+PlanterDifficultyPercentage)),""),"")),"   not ELP, by"))))))))))))))</f>
        <v/>
      </c>
      <c r="AD2813" s="712"/>
      <c r="AE2813" s="513" t="str">
        <f t="shared" si="2118"/>
        <v/>
      </c>
      <c r="AF2813" s="713" t="str">
        <f t="shared" si="2119"/>
        <v/>
      </c>
      <c r="AG2813" s="713"/>
      <c r="AH2813" s="713"/>
      <c r="AI2813" s="112">
        <f>IF(H2813="credit",0,IF(AE2813="free",0,IF(AE2813="me",0,IF(G2813&gt;0,(VLOOKUP(A2813,'Discount Lookup'!J:K,2)*G2813),0))))</f>
        <v>0</v>
      </c>
      <c r="AJ2813" s="107" t="str">
        <f t="shared" ca="1" si="2120"/>
        <v/>
      </c>
      <c r="AK2813" s="714" t="str">
        <f t="shared" si="2121"/>
        <v/>
      </c>
      <c r="AL2813" s="714"/>
      <c r="AM2813" s="114" t="str">
        <f t="shared" si="2122"/>
        <v/>
      </c>
      <c r="AN2813" s="115"/>
      <c r="AO2813" s="116"/>
      <c r="AP2813" s="116"/>
      <c r="AQ2813" s="116"/>
      <c r="AR2813" s="116"/>
      <c r="AS2813" s="116"/>
      <c r="AT2813" s="116"/>
      <c r="AU2813" s="116"/>
      <c r="AV2813" s="78"/>
      <c r="AW2813" s="102"/>
      <c r="AX2813" s="78"/>
      <c r="AY2813" s="78"/>
      <c r="AZ2813" s="78"/>
      <c r="BA2813" s="78"/>
      <c r="BB2813" s="78"/>
      <c r="BC2813" s="78"/>
      <c r="BD2813" s="78"/>
      <c r="BE2813" s="465"/>
      <c r="BF2813" s="165" t="str">
        <f t="shared" si="2123"/>
        <v>https://www.google.com/search?tbm=isch&amp;q=Magnolia%20%27Genie%27%20PP%2320748%20Genie%20Magnolia</v>
      </c>
      <c r="BG2813" s="165" t="str">
        <f t="shared" si="2124"/>
        <v>M</v>
      </c>
      <c r="BH2813" s="65"/>
      <c r="BI2813" s="65"/>
      <c r="BJ2813" s="65"/>
      <c r="BK2813" s="65"/>
      <c r="BL2813" s="99"/>
      <c r="BM2813" s="99"/>
      <c r="BN2813" s="99"/>
    </row>
    <row r="2814" spans="1:66" s="51" customFormat="1" ht="15.75" x14ac:dyDescent="0.25">
      <c r="A2814" s="634">
        <v>7</v>
      </c>
      <c r="B2814" s="635" t="s">
        <v>291</v>
      </c>
      <c r="C2814" s="636" t="s">
        <v>3454</v>
      </c>
      <c r="D2814" s="637" t="s">
        <v>299</v>
      </c>
      <c r="E2814" s="638">
        <v>109.95</v>
      </c>
      <c r="F2814" s="639" t="s">
        <v>292</v>
      </c>
      <c r="G2814" s="484">
        <v>0</v>
      </c>
      <c r="H2814" s="691" t="str">
        <f>IF(G2814=0,"",IF(F2814="Buy",IF(G2814=1,"plant","plants"),IF(F2814&gt;0.01,"warranty","Error")))</f>
        <v/>
      </c>
      <c r="I2814" s="640">
        <f>IF(H2814="free",0,IF(H2814="credit",((E2814*(F2814))*G2814*-1),IF(F2814="Buy",(E2814*G2814),((E2814*(1-F2814))*G2814))))</f>
        <v>0</v>
      </c>
      <c r="J2814" s="640">
        <f>IF(H2814="warranty",0,(I2814*(_xlfn.SINGLE(SalesTaxPercentage))))</f>
        <v>0</v>
      </c>
      <c r="K2814" s="716">
        <f t="shared" ref="K2814" si="2143">I2814+J2814</f>
        <v>0</v>
      </c>
      <c r="L2814" s="716"/>
      <c r="M2814" s="689" t="str">
        <f ca="1">IF(AND(G2814&gt;0,E2814=0),"WARNING - no PRICE inserted",IF(H2814="free","FREE ~ no charge this plant",IF(H2814="credit",CONCATENATE("-$",ROUND(K2814*(1-_xlfn.SINGLE(T2GDiscount))*-1,2)," CREDIT after discount"),IF(_xlfn.SINGLE(T2GDiscount)=0,"",IF(G2814=0,"",IF(F2814="Buy",CONCATENATE("$",ROUND(K2814*(1-_xlfn.SINGLE(T2GDiscount)),2)," with ",(_xlfn.SINGLE(T2GDiscount)*100),"% discount"),CONCATENATE("$",ROUND(K2814*(1-_xlfn.SINGLE(T2GDiscount)),2)," with ",((_xlfn.SINGLE(T2GDiscount)*100+F2814*100)-(_xlfn.SINGLE(T2GDiscount)*100*F2814)),IF(F2814&gt;0,"% discounts",IF(_xlfn.SINGLE(NoWarrantyDiscount)&gt;0,"% discounts","% discount")))))))))</f>
        <v/>
      </c>
      <c r="N2814" s="690"/>
      <c r="O2814" s="486"/>
      <c r="P2814" s="486"/>
      <c r="Q2814" s="486"/>
      <c r="R2814" s="486"/>
      <c r="S2814" s="486"/>
      <c r="T2814" s="102">
        <f t="shared" si="2112"/>
        <v>0</v>
      </c>
      <c r="U2814" s="78">
        <f>IF(NOT(ISNUMBER(G2814)), "", VLOOKUP(A2814,'Discount Lookup'!D:E,2,FALSE)*G2814)</f>
        <v>0</v>
      </c>
      <c r="V2814" s="78">
        <f>IF(NOT(ISNUMBER(G2814)), "", VLOOKUP(A2814,'Discount Lookup'!G:H,2,FALSE)*G2814)</f>
        <v>0</v>
      </c>
      <c r="W2814" s="102">
        <f t="shared" si="2113"/>
        <v>0</v>
      </c>
      <c r="X2814" s="102">
        <f t="shared" si="2114"/>
        <v>0</v>
      </c>
      <c r="Y2814" s="120" t="b">
        <f t="shared" si="2115"/>
        <v>0</v>
      </c>
      <c r="Z2814" s="117">
        <f t="shared" si="2116"/>
        <v>0</v>
      </c>
      <c r="AA2814" s="118"/>
      <c r="AB2814" s="118" t="str">
        <f t="shared" si="2117"/>
        <v/>
      </c>
      <c r="AC2814" s="712" t="str">
        <f>IF(AE2814="T2G","no charge",IF(AND(OR(PlanterYesMe="No",PlanterYesMe="N",PlanterYesMe="me"),H2814=""),"",IF(H2814="credit","NO install",IF(AND(K2814="",AE2814="me"),"EACH row",IF(AND(K2814="images",AE2814="me"),"EACH row",IF(D2814="","",IF(H2814="credit","",IF(AE2814="free","re-planting",IF(AE2814="me","   not ELP, by",IF(AND(OR(PlanterYesMe="Yes",PlanterYesMe="Y"),G2814&gt;0),(VLOOKUP(A2814,'Discount Lookup'!J:K,2)*G2814*(1-PlanterDiscount)*(1+PlanterDifficultyPercentage)),IF(AE2814="ELP",(VLOOKUP(A2814,'Discount Lookup'!J:K,2)*G2814*(1-PlanterDiscount)*(1+PlanterDifficultyPercentage)),IF(AE2814="free","re-planting",IF(G2814=0,"",IF(PlanterYesMe="",IF(AE2814="me","   not ELP, by",IF(AE2814="",IF(G2814&gt;0,(VLOOKUP(A2814,'Discount Lookup'!J:K,2)*G2814*(1-PlanterDiscount)*(1+PlanterDifficultyPercentage)),""),"")),"   not ELP, by"))))))))))))))</f>
        <v/>
      </c>
      <c r="AD2814" s="712"/>
      <c r="AE2814" s="513" t="str">
        <f t="shared" si="2118"/>
        <v/>
      </c>
      <c r="AF2814" s="713" t="str">
        <f t="shared" si="2119"/>
        <v/>
      </c>
      <c r="AG2814" s="713"/>
      <c r="AH2814" s="713"/>
      <c r="AI2814" s="112">
        <f>IF(H2814="credit",0,IF(AE2814="free",0,IF(AE2814="me",0,IF(G2814&gt;0,(VLOOKUP(A2814,'Discount Lookup'!J:K,2)*G2814),0))))</f>
        <v>0</v>
      </c>
      <c r="AJ2814" s="107" t="str">
        <f t="shared" ca="1" si="2120"/>
        <v/>
      </c>
      <c r="AK2814" s="714" t="str">
        <f t="shared" si="2121"/>
        <v/>
      </c>
      <c r="AL2814" s="714"/>
      <c r="AM2814" s="114" t="str">
        <f t="shared" si="2122"/>
        <v/>
      </c>
      <c r="AN2814" s="115"/>
      <c r="AO2814" s="116"/>
      <c r="AP2814" s="116"/>
      <c r="AQ2814" s="116"/>
      <c r="AR2814" s="116"/>
      <c r="AS2814" s="116"/>
      <c r="AT2814" s="116"/>
      <c r="AU2814" s="116"/>
      <c r="AV2814" s="78"/>
      <c r="AW2814" s="102"/>
      <c r="AX2814" s="78"/>
      <c r="AY2814" s="78"/>
      <c r="AZ2814" s="78"/>
      <c r="BA2814" s="78"/>
      <c r="BB2814" s="78"/>
      <c r="BC2814" s="78"/>
      <c r="BD2814" s="78"/>
      <c r="BE2814" s="465"/>
      <c r="BF2814" s="165" t="str">
        <f t="shared" si="2123"/>
        <v>https://www.google.com/search?tbm=isch&amp;q=7%20G4</v>
      </c>
      <c r="BG2814" s="165" t="str">
        <f t="shared" si="2124"/>
        <v>M</v>
      </c>
      <c r="BH2814" s="65"/>
      <c r="BI2814" s="65"/>
      <c r="BJ2814" s="65"/>
      <c r="BK2814" s="65"/>
      <c r="BL2814" s="99"/>
      <c r="BM2814" s="99"/>
      <c r="BN2814" s="99"/>
    </row>
    <row r="2815" spans="1:66" s="51" customFormat="1" ht="17.25" thickBot="1" x14ac:dyDescent="0.3">
      <c r="A2815" s="641" t="s">
        <v>3455</v>
      </c>
      <c r="B2815" s="642"/>
      <c r="C2815" s="710"/>
      <c r="D2815" s="643"/>
      <c r="E2815" s="643"/>
      <c r="F2815" s="644"/>
      <c r="G2815" s="645"/>
      <c r="H2815" s="646"/>
      <c r="I2815" s="647"/>
      <c r="J2815" s="648"/>
      <c r="K2815" s="649"/>
      <c r="L2815" s="650"/>
      <c r="M2815" s="650"/>
      <c r="N2815" s="644"/>
      <c r="O2815" s="644"/>
      <c r="P2815" s="644"/>
      <c r="Q2815" s="644"/>
      <c r="R2815" s="644"/>
      <c r="S2815" s="651"/>
      <c r="T2815" s="102">
        <f t="shared" si="2112"/>
        <v>0</v>
      </c>
      <c r="U2815" s="78" t="str">
        <f>IF(NOT(ISNUMBER(G2815)), "", VLOOKUP(A2815,'Discount Lookup'!D:E,2,FALSE)*G2815)</f>
        <v/>
      </c>
      <c r="V2815" s="78" t="str">
        <f>IF(NOT(ISNUMBER(G2815)), "", VLOOKUP(A2815,'Discount Lookup'!G:H,2,FALSE)*G2815)</f>
        <v/>
      </c>
      <c r="W2815" s="102">
        <f t="shared" si="2113"/>
        <v>0</v>
      </c>
      <c r="X2815" s="102">
        <f t="shared" si="2114"/>
        <v>0</v>
      </c>
      <c r="Y2815" s="120" t="b">
        <f t="shared" si="2115"/>
        <v>0</v>
      </c>
      <c r="Z2815" s="117">
        <f t="shared" si="2116"/>
        <v>0</v>
      </c>
      <c r="AA2815" s="118"/>
      <c r="AB2815" s="118" t="str">
        <f t="shared" si="2117"/>
        <v/>
      </c>
      <c r="AC2815" s="712" t="str">
        <f>IF(AE2815="T2G","no charge",IF(AND(OR(PlanterYesMe="No",PlanterYesMe="N",PlanterYesMe="me"),H2815=""),"",IF(H2815="credit","NO install",IF(AND(K2815="",AE2815="me"),"EACH row",IF(AND(K2815="images",AE2815="me"),"EACH row",IF(D2815="","",IF(H2815="credit","",IF(AE2815="free","re-planting",IF(AE2815="me","   not ELP, by",IF(AND(OR(PlanterYesMe="Yes",PlanterYesMe="Y"),G2815&gt;0),(VLOOKUP(A2815,'Discount Lookup'!J:K,2)*G2815*(1-PlanterDiscount)*(1+PlanterDifficultyPercentage)),IF(AE2815="ELP",(VLOOKUP(A2815,'Discount Lookup'!J:K,2)*G2815*(1-PlanterDiscount)*(1+PlanterDifficultyPercentage)),IF(AE2815="free","re-planting",IF(G2815=0,"",IF(PlanterYesMe="",IF(AE2815="me","   not ELP, by",IF(AE2815="",IF(G2815&gt;0,(VLOOKUP(A2815,'Discount Lookup'!J:K,2)*G2815*(1-PlanterDiscount)*(1+PlanterDifficultyPercentage)),""),"")),"   not ELP, by"))))))))))))))</f>
        <v/>
      </c>
      <c r="AD2815" s="712"/>
      <c r="AE2815" s="513" t="str">
        <f t="shared" si="2118"/>
        <v/>
      </c>
      <c r="AF2815" s="713" t="str">
        <f t="shared" si="2119"/>
        <v/>
      </c>
      <c r="AG2815" s="713"/>
      <c r="AH2815" s="713"/>
      <c r="AI2815" s="112">
        <f>IF(H2815="credit",0,IF(AE2815="free",0,IF(AE2815="me",0,IF(G2815&gt;0,(VLOOKUP(A2815,'Discount Lookup'!J:K,2)*G2815),0))))</f>
        <v>0</v>
      </c>
      <c r="AJ2815" s="107" t="str">
        <f t="shared" ca="1" si="2120"/>
        <v/>
      </c>
      <c r="AK2815" s="714" t="str">
        <f t="shared" si="2121"/>
        <v/>
      </c>
      <c r="AL2815" s="714"/>
      <c r="AM2815" s="114" t="str">
        <f t="shared" si="2122"/>
        <v/>
      </c>
      <c r="AN2815" s="115"/>
      <c r="AO2815" s="116"/>
      <c r="AP2815" s="116"/>
      <c r="AQ2815" s="116"/>
      <c r="AR2815" s="116"/>
      <c r="AS2815" s="116"/>
      <c r="AT2815" s="116"/>
      <c r="AU2815" s="116"/>
      <c r="AV2815" s="78"/>
      <c r="AW2815" s="102"/>
      <c r="AX2815" s="78"/>
      <c r="AY2815" s="78"/>
      <c r="AZ2815" s="78"/>
      <c r="BA2815" s="78"/>
      <c r="BB2815" s="78"/>
      <c r="BC2815" s="78"/>
      <c r="BD2815" s="78"/>
      <c r="BE2815" s="465"/>
      <c r="BF2815" s="165" t="str">
        <f t="shared" si="2123"/>
        <v>https://www.google.com/search?tbm=isch&amp;q=Genie%20known%20for%20incredible%20dark%20tulip-shaped%20flowers.%20Likely%20rebloomer%2C%20with%20good%20cold%20hardiness%20</v>
      </c>
      <c r="BG2815" s="165" t="str">
        <f t="shared" si="2124"/>
        <v>G</v>
      </c>
      <c r="BH2815" s="65"/>
      <c r="BI2815" s="65"/>
      <c r="BJ2815" s="65"/>
      <c r="BK2815" s="65"/>
      <c r="BL2815" s="99"/>
      <c r="BM2815" s="99"/>
      <c r="BN2815" s="99"/>
    </row>
    <row r="2816" spans="1:66" s="51" customFormat="1" ht="18" x14ac:dyDescent="0.25">
      <c r="A2816" s="623" t="s">
        <v>3456</v>
      </c>
      <c r="B2816" s="624"/>
      <c r="C2816" s="709"/>
      <c r="D2816" s="625" t="s">
        <v>3457</v>
      </c>
      <c r="E2816" s="626"/>
      <c r="F2816" s="626"/>
      <c r="G2816" s="626"/>
      <c r="H2816" s="622" t="s">
        <v>1158</v>
      </c>
      <c r="I2816" s="627" t="s">
        <v>3458</v>
      </c>
      <c r="J2816" s="628"/>
      <c r="K2816" s="628"/>
      <c r="L2816" s="629"/>
      <c r="M2816" s="700" t="s">
        <v>5249</v>
      </c>
      <c r="N2816" s="693" t="str">
        <f>IF(AND(ISTEXT($A2816), ISERROR($A2816+0)), HYPERLINK($BF2816, "Images"), "")</f>
        <v>Images</v>
      </c>
      <c r="O2816" s="695" t="s">
        <v>5247</v>
      </c>
      <c r="P2816" s="630"/>
      <c r="Q2816" s="631"/>
      <c r="R2816" s="632"/>
      <c r="S2816" s="633"/>
      <c r="T2816" s="102">
        <f t="shared" si="2112"/>
        <v>0</v>
      </c>
      <c r="U2816" s="78" t="str">
        <f>IF(NOT(ISNUMBER(G2816)), "", VLOOKUP(A2816,'Discount Lookup'!D:E,2,FALSE)*G2816)</f>
        <v/>
      </c>
      <c r="V2816" s="78" t="str">
        <f>IF(NOT(ISNUMBER(G2816)), "", VLOOKUP(A2816,'Discount Lookup'!G:H,2,FALSE)*G2816)</f>
        <v/>
      </c>
      <c r="W2816" s="102">
        <f t="shared" si="2113"/>
        <v>0</v>
      </c>
      <c r="X2816" s="102" t="str">
        <f t="shared" si="2114"/>
        <v>Pale Yellow bloom</v>
      </c>
      <c r="Y2816" s="120" t="b">
        <f t="shared" si="2115"/>
        <v>0</v>
      </c>
      <c r="Z2816" s="117">
        <f t="shared" si="2116"/>
        <v>0</v>
      </c>
      <c r="AA2816" s="118"/>
      <c r="AB2816" s="118" t="str">
        <f t="shared" si="2117"/>
        <v/>
      </c>
      <c r="AC2816" s="712" t="str">
        <f>IF(AE2816="T2G","no charge",IF(AND(OR(PlanterYesMe="No",PlanterYesMe="N",PlanterYesMe="me"),H2816=""),"",IF(H2816="credit","NO install",IF(AND(K2816="",AE2816="me"),"EACH row",IF(AND(K2816="images",AE2816="me"),"EACH row",IF(D2816="","",IF(H2816="credit","",IF(AE2816="free","re-planting",IF(AE2816="me","   not ELP, by",IF(AND(OR(PlanterYesMe="Yes",PlanterYesMe="Y"),G2816&gt;0),(VLOOKUP(A2816,'Discount Lookup'!J:K,2)*G2816*(1-PlanterDiscount)*(1+PlanterDifficultyPercentage)),IF(AE2816="ELP",(VLOOKUP(A2816,'Discount Lookup'!J:K,2)*G2816*(1-PlanterDiscount)*(1+PlanterDifficultyPercentage)),IF(AE2816="free","re-planting",IF(G2816=0,"",IF(PlanterYesMe="",IF(AE2816="me","   not ELP, by",IF(AE2816="",IF(G2816&gt;0,(VLOOKUP(A2816,'Discount Lookup'!J:K,2)*G2816*(1-PlanterDiscount)*(1+PlanterDifficultyPercentage)),""),"")),"   not ELP, by"))))))))))))))</f>
        <v/>
      </c>
      <c r="AD2816" s="712"/>
      <c r="AE2816" s="513" t="str">
        <f t="shared" si="2118"/>
        <v/>
      </c>
      <c r="AF2816" s="713" t="str">
        <f t="shared" si="2119"/>
        <v/>
      </c>
      <c r="AG2816" s="713"/>
      <c r="AH2816" s="713"/>
      <c r="AI2816" s="112">
        <f>IF(H2816="credit",0,IF(AE2816="free",0,IF(AE2816="me",0,IF(G2816&gt;0,(VLOOKUP(A2816,'Discount Lookup'!J:K,2)*G2816),0))))</f>
        <v>0</v>
      </c>
      <c r="AJ2816" s="107" t="str">
        <f t="shared" ca="1" si="2120"/>
        <v/>
      </c>
      <c r="AK2816" s="714" t="str">
        <f t="shared" si="2121"/>
        <v/>
      </c>
      <c r="AL2816" s="714"/>
      <c r="AM2816" s="114" t="str">
        <f t="shared" si="2122"/>
        <v/>
      </c>
      <c r="AN2816" s="115"/>
      <c r="AO2816" s="116"/>
      <c r="AP2816" s="116"/>
      <c r="AQ2816" s="116"/>
      <c r="AR2816" s="116"/>
      <c r="AS2816" s="116"/>
      <c r="AT2816" s="116"/>
      <c r="AU2816" s="116"/>
      <c r="AV2816" s="78"/>
      <c r="AW2816" s="102"/>
      <c r="AX2816" s="78"/>
      <c r="AY2816" s="78"/>
      <c r="AZ2816" s="78"/>
      <c r="BA2816" s="78"/>
      <c r="BB2816" s="78"/>
      <c r="BC2816" s="78"/>
      <c r="BD2816" s="78"/>
      <c r="BE2816" s="465"/>
      <c r="BF2816" s="165" t="str">
        <f t="shared" si="2123"/>
        <v>https://www.google.com/search?tbm=isch&amp;q=Magnolia%20%27Gold%20Star%27%20Gold%20Star%20Magnolia</v>
      </c>
      <c r="BG2816" s="165" t="str">
        <f t="shared" si="2124"/>
        <v>M</v>
      </c>
      <c r="BH2816" s="65"/>
      <c r="BI2816" s="65"/>
      <c r="BJ2816" s="65"/>
      <c r="BK2816" s="65"/>
      <c r="BL2816" s="99"/>
      <c r="BM2816" s="99"/>
      <c r="BN2816" s="99"/>
    </row>
    <row r="2817" spans="1:66" s="51" customFormat="1" ht="15.75" x14ac:dyDescent="0.25">
      <c r="A2817" s="634">
        <v>10</v>
      </c>
      <c r="B2817" s="635" t="s">
        <v>291</v>
      </c>
      <c r="C2817" s="636" t="s">
        <v>5189</v>
      </c>
      <c r="D2817" s="637" t="s">
        <v>299</v>
      </c>
      <c r="E2817" s="638">
        <v>164.95</v>
      </c>
      <c r="F2817" s="639" t="s">
        <v>292</v>
      </c>
      <c r="G2817" s="484">
        <v>0</v>
      </c>
      <c r="H2817" s="691" t="str">
        <f>IF(G2817=0,"",IF(F2817="Buy",IF(G2817=1,"plant","plants"),IF(F2817&gt;0.01,"warranty","Error")))</f>
        <v/>
      </c>
      <c r="I2817" s="640">
        <f>IF(H2817="free",0,IF(H2817="credit",((E2817*(F2817))*G2817*-1),IF(F2817="Buy",(E2817*G2817),((E2817*(1-F2817))*G2817))))</f>
        <v>0</v>
      </c>
      <c r="J2817" s="640">
        <f>IF(H2817="warranty",0,(I2817*(_xlfn.SINGLE(SalesTaxPercentage))))</f>
        <v>0</v>
      </c>
      <c r="K2817" s="716">
        <f t="shared" ref="K2817" si="2144">I2817+J2817</f>
        <v>0</v>
      </c>
      <c r="L2817" s="716"/>
      <c r="M2817" s="689" t="str">
        <f ca="1">IF(AND(G2817&gt;0,E2817=0),"WARNING - no PRICE inserted",IF(H2817="free","FREE ~ no charge this plant",IF(H2817="credit",CONCATENATE("-$",ROUND(K2817*(1-_xlfn.SINGLE(T2GDiscount))*-1,2)," CREDIT after discount"),IF(_xlfn.SINGLE(T2GDiscount)=0,"",IF(G2817=0,"",IF(F2817="Buy",CONCATENATE("$",ROUND(K2817*(1-_xlfn.SINGLE(T2GDiscount)),2)," with ",(_xlfn.SINGLE(T2GDiscount)*100),"% discount"),CONCATENATE("$",ROUND(K2817*(1-_xlfn.SINGLE(T2GDiscount)),2)," with ",((_xlfn.SINGLE(T2GDiscount)*100+F2817*100)-(_xlfn.SINGLE(T2GDiscount)*100*F2817)),IF(F2817&gt;0,"% discounts",IF(_xlfn.SINGLE(NoWarrantyDiscount)&gt;0,"% discounts","% discount")))))))))</f>
        <v/>
      </c>
      <c r="N2817" s="690"/>
      <c r="O2817" s="486"/>
      <c r="P2817" s="486"/>
      <c r="Q2817" s="486"/>
      <c r="R2817" s="486"/>
      <c r="S2817" s="486"/>
      <c r="T2817" s="102">
        <f t="shared" si="2112"/>
        <v>0</v>
      </c>
      <c r="U2817" s="78">
        <f>IF(NOT(ISNUMBER(G2817)), "", VLOOKUP(A2817,'Discount Lookup'!D:E,2,FALSE)*G2817)</f>
        <v>0</v>
      </c>
      <c r="V2817" s="78">
        <f>IF(NOT(ISNUMBER(G2817)), "", VLOOKUP(A2817,'Discount Lookup'!G:H,2,FALSE)*G2817)</f>
        <v>0</v>
      </c>
      <c r="W2817" s="102">
        <f t="shared" si="2113"/>
        <v>0</v>
      </c>
      <c r="X2817" s="102">
        <f t="shared" si="2114"/>
        <v>0</v>
      </c>
      <c r="Y2817" s="120" t="b">
        <f t="shared" si="2115"/>
        <v>0</v>
      </c>
      <c r="Z2817" s="117">
        <f t="shared" si="2116"/>
        <v>0</v>
      </c>
      <c r="AA2817" s="118"/>
      <c r="AB2817" s="118" t="str">
        <f t="shared" si="2117"/>
        <v/>
      </c>
      <c r="AC2817" s="712" t="str">
        <f>IF(AE2817="T2G","no charge",IF(AND(OR(PlanterYesMe="No",PlanterYesMe="N",PlanterYesMe="me"),H2817=""),"",IF(H2817="credit","NO install",IF(AND(K2817="",AE2817="me"),"EACH row",IF(AND(K2817="images",AE2817="me"),"EACH row",IF(D2817="","",IF(H2817="credit","",IF(AE2817="free","re-planting",IF(AE2817="me","   not ELP, by",IF(AND(OR(PlanterYesMe="Yes",PlanterYesMe="Y"),G2817&gt;0),(VLOOKUP(A2817,'Discount Lookup'!J:K,2)*G2817*(1-PlanterDiscount)*(1+PlanterDifficultyPercentage)),IF(AE2817="ELP",(VLOOKUP(A2817,'Discount Lookup'!J:K,2)*G2817*(1-PlanterDiscount)*(1+PlanterDifficultyPercentage)),IF(AE2817="free","re-planting",IF(G2817=0,"",IF(PlanterYesMe="",IF(AE2817="me","   not ELP, by",IF(AE2817="",IF(G2817&gt;0,(VLOOKUP(A2817,'Discount Lookup'!J:K,2)*G2817*(1-PlanterDiscount)*(1+PlanterDifficultyPercentage)),""),"")),"   not ELP, by"))))))))))))))</f>
        <v/>
      </c>
      <c r="AD2817" s="712"/>
      <c r="AE2817" s="513" t="str">
        <f t="shared" si="2118"/>
        <v/>
      </c>
      <c r="AF2817" s="713" t="str">
        <f t="shared" si="2119"/>
        <v/>
      </c>
      <c r="AG2817" s="713"/>
      <c r="AH2817" s="713"/>
      <c r="AI2817" s="112">
        <f>IF(H2817="credit",0,IF(AE2817="free",0,IF(AE2817="me",0,IF(G2817&gt;0,(VLOOKUP(A2817,'Discount Lookup'!J:K,2)*G2817),0))))</f>
        <v>0</v>
      </c>
      <c r="AJ2817" s="107" t="str">
        <f t="shared" ca="1" si="2120"/>
        <v/>
      </c>
      <c r="AK2817" s="714" t="str">
        <f t="shared" si="2121"/>
        <v/>
      </c>
      <c r="AL2817" s="714"/>
      <c r="AM2817" s="114" t="str">
        <f t="shared" si="2122"/>
        <v/>
      </c>
      <c r="AN2817" s="115"/>
      <c r="AO2817" s="116"/>
      <c r="AP2817" s="116"/>
      <c r="AQ2817" s="116"/>
      <c r="AR2817" s="116"/>
      <c r="AS2817" s="116"/>
      <c r="AT2817" s="116"/>
      <c r="AU2817" s="116"/>
      <c r="AV2817" s="78"/>
      <c r="AW2817" s="102"/>
      <c r="AX2817" s="78"/>
      <c r="AY2817" s="78"/>
      <c r="AZ2817" s="78"/>
      <c r="BA2817" s="78"/>
      <c r="BB2817" s="78"/>
      <c r="BC2817" s="78"/>
      <c r="BD2817" s="78"/>
      <c r="BE2817" s="465"/>
      <c r="BF2817" s="165" t="str">
        <f t="shared" si="2123"/>
        <v>https://www.google.com/search?tbm=isch&amp;q=10%20G4</v>
      </c>
      <c r="BG2817" s="165" t="str">
        <f t="shared" si="2124"/>
        <v>M</v>
      </c>
      <c r="BH2817" s="65"/>
      <c r="BI2817" s="65"/>
      <c r="BJ2817" s="65"/>
      <c r="BK2817" s="65"/>
      <c r="BL2817" s="99"/>
      <c r="BM2817" s="99"/>
      <c r="BN2817" s="99"/>
    </row>
    <row r="2818" spans="1:66" s="51" customFormat="1" ht="17.25" thickBot="1" x14ac:dyDescent="0.3">
      <c r="A2818" s="641" t="s">
        <v>3459</v>
      </c>
      <c r="B2818" s="642"/>
      <c r="C2818" s="710"/>
      <c r="D2818" s="643"/>
      <c r="E2818" s="643"/>
      <c r="F2818" s="644"/>
      <c r="G2818" s="645"/>
      <c r="H2818" s="646"/>
      <c r="I2818" s="647"/>
      <c r="J2818" s="648"/>
      <c r="K2818" s="649"/>
      <c r="L2818" s="650"/>
      <c r="M2818" s="650"/>
      <c r="N2818" s="644"/>
      <c r="O2818" s="644"/>
      <c r="P2818" s="644"/>
      <c r="Q2818" s="644"/>
      <c r="R2818" s="644"/>
      <c r="S2818" s="701" t="s">
        <v>5251</v>
      </c>
      <c r="T2818" s="102">
        <f t="shared" si="2112"/>
        <v>0</v>
      </c>
      <c r="U2818" s="78" t="str">
        <f>IF(NOT(ISNUMBER(G2818)), "", VLOOKUP(A2818,'Discount Lookup'!D:E,2,FALSE)*G2818)</f>
        <v/>
      </c>
      <c r="V2818" s="78" t="str">
        <f>IF(NOT(ISNUMBER(G2818)), "", VLOOKUP(A2818,'Discount Lookup'!G:H,2,FALSE)*G2818)</f>
        <v/>
      </c>
      <c r="W2818" s="102">
        <f t="shared" si="2113"/>
        <v>0</v>
      </c>
      <c r="X2818" s="102">
        <f t="shared" si="2114"/>
        <v>0</v>
      </c>
      <c r="Y2818" s="120" t="b">
        <f t="shared" si="2115"/>
        <v>0</v>
      </c>
      <c r="Z2818" s="117">
        <f t="shared" si="2116"/>
        <v>0</v>
      </c>
      <c r="AA2818" s="118"/>
      <c r="AB2818" s="118" t="str">
        <f t="shared" si="2117"/>
        <v/>
      </c>
      <c r="AC2818" s="712" t="str">
        <f>IF(AE2818="T2G","no charge",IF(AND(OR(PlanterYesMe="No",PlanterYesMe="N",PlanterYesMe="me"),H2818=""),"",IF(H2818="credit","NO install",IF(AND(K2818="",AE2818="me"),"EACH row",IF(AND(K2818="images",AE2818="me"),"EACH row",IF(D2818="","",IF(H2818="credit","",IF(AE2818="free","re-planting",IF(AE2818="me","   not ELP, by",IF(AND(OR(PlanterYesMe="Yes",PlanterYesMe="Y"),G2818&gt;0),(VLOOKUP(A2818,'Discount Lookup'!J:K,2)*G2818*(1-PlanterDiscount)*(1+PlanterDifficultyPercentage)),IF(AE2818="ELP",(VLOOKUP(A2818,'Discount Lookup'!J:K,2)*G2818*(1-PlanterDiscount)*(1+PlanterDifficultyPercentage)),IF(AE2818="free","re-planting",IF(G2818=0,"",IF(PlanterYesMe="",IF(AE2818="me","   not ELP, by",IF(AE2818="",IF(G2818&gt;0,(VLOOKUP(A2818,'Discount Lookup'!J:K,2)*G2818*(1-PlanterDiscount)*(1+PlanterDifficultyPercentage)),""),"")),"   not ELP, by"))))))))))))))</f>
        <v/>
      </c>
      <c r="AD2818" s="712"/>
      <c r="AE2818" s="513" t="str">
        <f t="shared" si="2118"/>
        <v/>
      </c>
      <c r="AF2818" s="713" t="str">
        <f t="shared" si="2119"/>
        <v/>
      </c>
      <c r="AG2818" s="713"/>
      <c r="AH2818" s="713"/>
      <c r="AI2818" s="112">
        <f>IF(H2818="credit",0,IF(AE2818="free",0,IF(AE2818="me",0,IF(G2818&gt;0,(VLOOKUP(A2818,'Discount Lookup'!J:K,2)*G2818),0))))</f>
        <v>0</v>
      </c>
      <c r="AJ2818" s="107" t="str">
        <f t="shared" ca="1" si="2120"/>
        <v/>
      </c>
      <c r="AK2818" s="714" t="str">
        <f t="shared" si="2121"/>
        <v/>
      </c>
      <c r="AL2818" s="714"/>
      <c r="AM2818" s="114" t="str">
        <f t="shared" si="2122"/>
        <v/>
      </c>
      <c r="AN2818" s="115"/>
      <c r="AO2818" s="116"/>
      <c r="AP2818" s="116"/>
      <c r="AQ2818" s="116"/>
      <c r="AR2818" s="116"/>
      <c r="AS2818" s="116"/>
      <c r="AT2818" s="116"/>
      <c r="AU2818" s="116"/>
      <c r="AV2818" s="78"/>
      <c r="AW2818" s="102"/>
      <c r="AX2818" s="78"/>
      <c r="AY2818" s="78"/>
      <c r="AZ2818" s="78"/>
      <c r="BA2818" s="78"/>
      <c r="BB2818" s="78"/>
      <c r="BC2818" s="78"/>
      <c r="BD2818" s="78"/>
      <c r="BE2818" s="465"/>
      <c r="BF2818" s="165" t="str">
        <f t="shared" si="2123"/>
        <v>https://www.google.com/search?tbm=isch&amp;q=Gold%20Star%20is%20fast%20growing%2C%20with%20a%20unifom%20pyramidal%20habit.%20Fragrant%20flowers%20are%20quite%20beautiful%20</v>
      </c>
      <c r="BG2818" s="165" t="str">
        <f t="shared" si="2124"/>
        <v>G</v>
      </c>
      <c r="BH2818" s="65"/>
      <c r="BI2818" s="65"/>
      <c r="BJ2818" s="65"/>
      <c r="BK2818" s="65"/>
      <c r="BL2818" s="99"/>
      <c r="BM2818" s="99"/>
      <c r="BN2818" s="99"/>
    </row>
    <row r="2819" spans="1:66" s="51" customFormat="1" ht="18" x14ac:dyDescent="0.25">
      <c r="A2819" s="507" t="s">
        <v>599</v>
      </c>
      <c r="B2819" s="470"/>
      <c r="C2819" s="706"/>
      <c r="D2819" s="471" t="s">
        <v>600</v>
      </c>
      <c r="E2819" s="472"/>
      <c r="F2819" s="472"/>
      <c r="G2819" s="472"/>
      <c r="H2819" s="622" t="s">
        <v>476</v>
      </c>
      <c r="I2819" s="473" t="s">
        <v>349</v>
      </c>
      <c r="J2819" s="472"/>
      <c r="K2819" s="472"/>
      <c r="L2819" s="561"/>
      <c r="M2819" s="698" t="s">
        <v>5246</v>
      </c>
      <c r="N2819" s="692" t="str">
        <f>IF(AND(ISTEXT($A2819), ISERROR($A2819+0)), HYPERLINK($BF2819, "Images"), "")</f>
        <v>Images</v>
      </c>
      <c r="O2819" s="694" t="s">
        <v>5247</v>
      </c>
      <c r="P2819" s="475"/>
      <c r="Q2819" s="476"/>
      <c r="R2819" s="476"/>
      <c r="S2819" s="477" t="s">
        <v>294</v>
      </c>
      <c r="T2819" s="102">
        <f t="shared" si="2112"/>
        <v>0</v>
      </c>
      <c r="U2819" s="78" t="str">
        <f>IF(NOT(ISNUMBER(G2819)), "", VLOOKUP(A2819,'Discount Lookup'!D:E,2,FALSE)*G2819)</f>
        <v/>
      </c>
      <c r="V2819" s="78" t="str">
        <f>IF(NOT(ISNUMBER(G2819)), "", VLOOKUP(A2819,'Discount Lookup'!G:H,2,FALSE)*G2819)</f>
        <v/>
      </c>
      <c r="W2819" s="102">
        <f t="shared" si="2113"/>
        <v>0</v>
      </c>
      <c r="X2819" s="102" t="str">
        <f t="shared" si="2114"/>
        <v>White bloom</v>
      </c>
      <c r="Y2819" s="120" t="b">
        <f t="shared" si="2115"/>
        <v>0</v>
      </c>
      <c r="Z2819" s="117">
        <f t="shared" si="2116"/>
        <v>0</v>
      </c>
      <c r="AA2819" s="118"/>
      <c r="AB2819" s="118" t="str">
        <f t="shared" si="2117"/>
        <v/>
      </c>
      <c r="AC2819" s="712" t="str">
        <f>IF(AE2819="T2G","no charge",IF(AND(OR(PlanterYesMe="No",PlanterYesMe="N",PlanterYesMe="me"),H2819=""),"",IF(H2819="credit","NO install",IF(AND(K2819="",AE2819="me"),"EACH row",IF(AND(K2819="images",AE2819="me"),"EACH row",IF(D2819="","",IF(H2819="credit","",IF(AE2819="free","re-planting",IF(AE2819="me","   not ELP, by",IF(AND(OR(PlanterYesMe="Yes",PlanterYesMe="Y"),G2819&gt;0),(VLOOKUP(A2819,'Discount Lookup'!J:K,2)*G2819*(1-PlanterDiscount)*(1+PlanterDifficultyPercentage)),IF(AE2819="ELP",(VLOOKUP(A2819,'Discount Lookup'!J:K,2)*G2819*(1-PlanterDiscount)*(1+PlanterDifficultyPercentage)),IF(AE2819="free","re-planting",IF(G2819=0,"",IF(PlanterYesMe="",IF(AE2819="me","   not ELP, by",IF(AE2819="",IF(G2819&gt;0,(VLOOKUP(A2819,'Discount Lookup'!J:K,2)*G2819*(1-PlanterDiscount)*(1+PlanterDifficultyPercentage)),""),"")),"   not ELP, by"))))))))))))))</f>
        <v/>
      </c>
      <c r="AD2819" s="712"/>
      <c r="AE2819" s="513" t="str">
        <f t="shared" si="2118"/>
        <v/>
      </c>
      <c r="AF2819" s="713" t="str">
        <f t="shared" si="2119"/>
        <v/>
      </c>
      <c r="AG2819" s="713"/>
      <c r="AH2819" s="713"/>
      <c r="AI2819" s="112">
        <f>IF(H2819="credit",0,IF(AE2819="free",0,IF(AE2819="me",0,IF(G2819&gt;0,(VLOOKUP(A2819,'Discount Lookup'!J:K,2)*G2819),0))))</f>
        <v>0</v>
      </c>
      <c r="AJ2819" s="107" t="str">
        <f t="shared" ca="1" si="2120"/>
        <v/>
      </c>
      <c r="AK2819" s="714" t="str">
        <f t="shared" si="2121"/>
        <v/>
      </c>
      <c r="AL2819" s="714"/>
      <c r="AM2819" s="114" t="str">
        <f t="shared" si="2122"/>
        <v/>
      </c>
      <c r="AN2819" s="115"/>
      <c r="AO2819" s="116"/>
      <c r="AP2819" s="116"/>
      <c r="AQ2819" s="116"/>
      <c r="AR2819" s="116"/>
      <c r="AS2819" s="116"/>
      <c r="AT2819" s="116"/>
      <c r="AU2819" s="116"/>
      <c r="AV2819" s="78"/>
      <c r="AW2819" s="102"/>
      <c r="AX2819" s="78"/>
      <c r="AY2819" s="78"/>
      <c r="AZ2819" s="78"/>
      <c r="BA2819" s="78"/>
      <c r="BB2819" s="78"/>
      <c r="BC2819" s="78"/>
      <c r="BD2819" s="78"/>
      <c r="BE2819" s="465"/>
      <c r="BF2819" s="165" t="str">
        <f t="shared" si="2123"/>
        <v>https://www.google.com/search?tbm=isch&amp;q=Magnolia%20grandiflora%20%27Bracken%27s%20Brown%20Beauty%27%20PP%235520Exp.%20Bracken%27s%20Brown%20Beauty%20Magnolia</v>
      </c>
      <c r="BG2819" s="165" t="str">
        <f t="shared" si="2124"/>
        <v>M</v>
      </c>
      <c r="BH2819" s="65"/>
      <c r="BI2819" s="65"/>
      <c r="BJ2819" s="65"/>
      <c r="BK2819" s="65"/>
      <c r="BL2819" s="99"/>
      <c r="BM2819" s="99"/>
      <c r="BN2819" s="99"/>
    </row>
    <row r="2820" spans="1:66" s="51" customFormat="1" ht="15.75" x14ac:dyDescent="0.25">
      <c r="A2820" s="478">
        <v>25</v>
      </c>
      <c r="B2820" s="479" t="s">
        <v>291</v>
      </c>
      <c r="C2820" s="480" t="s">
        <v>969</v>
      </c>
      <c r="D2820" s="481" t="s">
        <v>299</v>
      </c>
      <c r="E2820" s="482">
        <v>378.95</v>
      </c>
      <c r="F2820" s="483" t="s">
        <v>292</v>
      </c>
      <c r="G2820" s="484">
        <v>0</v>
      </c>
      <c r="H2820" s="688" t="str">
        <f>IF(G2820=0,"",IF(F2820="Buy",IF(G2820=1,"plant","plants"),IF(F2820&gt;0.01,"warranty","Error")))</f>
        <v/>
      </c>
      <c r="I2820" s="485">
        <f>IF(H2820="free",0,IF(H2820="credit",((E2820*(F2820))*G2820*-1),IF(F2820="Buy",(E2820*G2820),((E2820*(1-F2820))*G2820))))</f>
        <v>0</v>
      </c>
      <c r="J2820" s="485">
        <f>IF(H2820="warranty",0,(I2820*(_xlfn.SINGLE(SalesTaxPercentage))))</f>
        <v>0</v>
      </c>
      <c r="K2820" s="715">
        <f t="shared" ref="K2820" si="2145">I2820+J2820</f>
        <v>0</v>
      </c>
      <c r="L2820" s="715"/>
      <c r="M2820" s="689" t="str">
        <f ca="1">IF(AND(G2820&gt;0,E2820=0),"WARNING - no PRICE inserted",IF(H2820="free","FREE ~ no charge this plant",IF(H2820="credit",CONCATENATE("-$",ROUND(K2820*(1-_xlfn.SINGLE(T2GDiscount))*-1,2)," CREDIT after discount"),IF(_xlfn.SINGLE(T2GDiscount)=0,"",IF(G2820=0,"",IF(F2820="Buy",CONCATENATE("$",ROUND(K2820*(1-_xlfn.SINGLE(T2GDiscount)),2)," with ",(_xlfn.SINGLE(T2GDiscount)*100),"% discount"),CONCATENATE("$",ROUND(K2820*(1-_xlfn.SINGLE(T2GDiscount)),2)," with ",((_xlfn.SINGLE(T2GDiscount)*100+F2820*100)-(_xlfn.SINGLE(T2GDiscount)*100*F2820)),IF(F2820&gt;0,"% discounts",IF(_xlfn.SINGLE(NoWarrantyDiscount)&gt;0,"% discounts","% discount")))))))))</f>
        <v/>
      </c>
      <c r="N2820" s="690"/>
      <c r="O2820" s="486"/>
      <c r="P2820" s="486"/>
      <c r="Q2820" s="486"/>
      <c r="R2820" s="486"/>
      <c r="S2820" s="486"/>
      <c r="T2820" s="102">
        <f t="shared" si="2112"/>
        <v>0</v>
      </c>
      <c r="U2820" s="78">
        <f>IF(NOT(ISNUMBER(G2820)), "", VLOOKUP(A2820,'Discount Lookup'!D:E,2,FALSE)*G2820)</f>
        <v>0</v>
      </c>
      <c r="V2820" s="78">
        <f>IF(NOT(ISNUMBER(G2820)), "", VLOOKUP(A2820,'Discount Lookup'!G:H,2,FALSE)*G2820)</f>
        <v>0</v>
      </c>
      <c r="W2820" s="102">
        <f t="shared" si="2113"/>
        <v>0</v>
      </c>
      <c r="X2820" s="102">
        <f t="shared" si="2114"/>
        <v>0</v>
      </c>
      <c r="Y2820" s="120" t="b">
        <f t="shared" si="2115"/>
        <v>0</v>
      </c>
      <c r="Z2820" s="117">
        <f t="shared" si="2116"/>
        <v>0</v>
      </c>
      <c r="AA2820" s="118"/>
      <c r="AB2820" s="118" t="str">
        <f t="shared" si="2117"/>
        <v/>
      </c>
      <c r="AC2820" s="712" t="str">
        <f>IF(AE2820="T2G","no charge",IF(AND(OR(PlanterYesMe="No",PlanterYesMe="N",PlanterYesMe="me"),H2820=""),"",IF(H2820="credit","NO install",IF(AND(K2820="",AE2820="me"),"EACH row",IF(AND(K2820="images",AE2820="me"),"EACH row",IF(D2820="","",IF(H2820="credit","",IF(AE2820="free","re-planting",IF(AE2820="me","   not ELP, by",IF(AND(OR(PlanterYesMe="Yes",PlanterYesMe="Y"),G2820&gt;0),(VLOOKUP(A2820,'Discount Lookup'!J:K,2)*G2820*(1-PlanterDiscount)*(1+PlanterDifficultyPercentage)),IF(AE2820="ELP",(VLOOKUP(A2820,'Discount Lookup'!J:K,2)*G2820*(1-PlanterDiscount)*(1+PlanterDifficultyPercentage)),IF(AE2820="free","re-planting",IF(G2820=0,"",IF(PlanterYesMe="",IF(AE2820="me","   not ELP, by",IF(AE2820="",IF(G2820&gt;0,(VLOOKUP(A2820,'Discount Lookup'!J:K,2)*G2820*(1-PlanterDiscount)*(1+PlanterDifficultyPercentage)),""),"")),"   not ELP, by"))))))))))))))</f>
        <v/>
      </c>
      <c r="AD2820" s="712"/>
      <c r="AE2820" s="513" t="str">
        <f t="shared" si="2118"/>
        <v/>
      </c>
      <c r="AF2820" s="713" t="str">
        <f t="shared" si="2119"/>
        <v/>
      </c>
      <c r="AG2820" s="713"/>
      <c r="AH2820" s="713"/>
      <c r="AI2820" s="112">
        <f>IF(H2820="credit",0,IF(AE2820="free",0,IF(AE2820="me",0,IF(G2820&gt;0,(VLOOKUP(A2820,'Discount Lookup'!J:K,2)*G2820),0))))</f>
        <v>0</v>
      </c>
      <c r="AJ2820" s="107" t="str">
        <f t="shared" ca="1" si="2120"/>
        <v/>
      </c>
      <c r="AK2820" s="714" t="str">
        <f t="shared" si="2121"/>
        <v/>
      </c>
      <c r="AL2820" s="714"/>
      <c r="AM2820" s="114" t="str">
        <f t="shared" si="2122"/>
        <v/>
      </c>
      <c r="AN2820" s="115"/>
      <c r="AO2820" s="116"/>
      <c r="AP2820" s="116"/>
      <c r="AQ2820" s="116"/>
      <c r="AR2820" s="116"/>
      <c r="AS2820" s="116"/>
      <c r="AT2820" s="116"/>
      <c r="AU2820" s="116"/>
      <c r="AV2820" s="78"/>
      <c r="AW2820" s="102"/>
      <c r="AX2820" s="78"/>
      <c r="AY2820" s="78"/>
      <c r="AZ2820" s="78"/>
      <c r="BA2820" s="78"/>
      <c r="BB2820" s="78"/>
      <c r="BC2820" s="78"/>
      <c r="BD2820" s="78"/>
      <c r="BE2820" s="465"/>
      <c r="BF2820" s="165" t="str">
        <f t="shared" si="2123"/>
        <v>https://www.google.com/search?tbm=isch&amp;q=25%20G4</v>
      </c>
      <c r="BG2820" s="165" t="str">
        <f t="shared" si="2124"/>
        <v>M</v>
      </c>
      <c r="BH2820" s="65"/>
      <c r="BI2820" s="65"/>
      <c r="BJ2820" s="65"/>
      <c r="BK2820" s="65"/>
      <c r="BL2820" s="99"/>
      <c r="BM2820" s="99"/>
      <c r="BN2820" s="99"/>
    </row>
    <row r="2821" spans="1:66" s="51" customFormat="1" ht="15.75" x14ac:dyDescent="0.25">
      <c r="A2821" s="478">
        <v>45</v>
      </c>
      <c r="B2821" s="479" t="s">
        <v>291</v>
      </c>
      <c r="C2821" s="480" t="s">
        <v>4636</v>
      </c>
      <c r="D2821" s="481" t="s">
        <v>293</v>
      </c>
      <c r="E2821" s="482">
        <v>960.95</v>
      </c>
      <c r="F2821" s="483" t="s">
        <v>292</v>
      </c>
      <c r="G2821" s="484">
        <v>0</v>
      </c>
      <c r="H2821" s="688" t="str">
        <f>IF(G2821=0,"",IF(F2821="Buy",IF(G2821=1,"plant","plants"),IF(F2821&gt;0.01,"warranty","Error")))</f>
        <v/>
      </c>
      <c r="I2821" s="485">
        <f>IF(H2821="free",0,IF(H2821="credit",((E2821*(F2821))*G2821*-1),IF(F2821="Buy",(E2821*G2821),((E2821*(1-F2821))*G2821))))</f>
        <v>0</v>
      </c>
      <c r="J2821" s="485">
        <f>IF(H2821="warranty",0,(I2821*(_xlfn.SINGLE(SalesTaxPercentage))))</f>
        <v>0</v>
      </c>
      <c r="K2821" s="715">
        <f t="shared" ref="K2821" si="2146">I2821+J2821</f>
        <v>0</v>
      </c>
      <c r="L2821" s="715"/>
      <c r="M2821" s="689" t="str">
        <f ca="1">IF(AND(G2821&gt;0,E2821=0),"WARNING - no PRICE inserted",IF(H2821="free","FREE ~ no charge this plant",IF(H2821="credit",CONCATENATE("-$",ROUND(K2821*(1-_xlfn.SINGLE(T2GDiscount))*-1,2)," CREDIT after discount"),IF(_xlfn.SINGLE(T2GDiscount)=0,"",IF(G2821=0,"",IF(F2821="Buy",CONCATENATE("$",ROUND(K2821*(1-_xlfn.SINGLE(T2GDiscount)),2)," with ",(_xlfn.SINGLE(T2GDiscount)*100),"% discount"),CONCATENATE("$",ROUND(K2821*(1-_xlfn.SINGLE(T2GDiscount)),2)," with ",((_xlfn.SINGLE(T2GDiscount)*100+F2821*100)-(_xlfn.SINGLE(T2GDiscount)*100*F2821)),IF(F2821&gt;0,"% discounts",IF(_xlfn.SINGLE(NoWarrantyDiscount)&gt;0,"% discounts","% discount")))))))))</f>
        <v/>
      </c>
      <c r="N2821" s="690"/>
      <c r="O2821" s="486"/>
      <c r="P2821" s="486"/>
      <c r="Q2821" s="486"/>
      <c r="R2821" s="486"/>
      <c r="S2821" s="486"/>
      <c r="T2821" s="102">
        <f t="shared" si="2112"/>
        <v>0</v>
      </c>
      <c r="U2821" s="78">
        <f>IF(NOT(ISNUMBER(G2821)), "", VLOOKUP(A2821,'Discount Lookup'!D:E,2,FALSE)*G2821)</f>
        <v>0</v>
      </c>
      <c r="V2821" s="78">
        <f>IF(NOT(ISNUMBER(G2821)), "", VLOOKUP(A2821,'Discount Lookup'!G:H,2,FALSE)*G2821)</f>
        <v>0</v>
      </c>
      <c r="W2821" s="102">
        <f t="shared" si="2113"/>
        <v>0</v>
      </c>
      <c r="X2821" s="102">
        <f t="shared" si="2114"/>
        <v>0</v>
      </c>
      <c r="Y2821" s="120" t="b">
        <f t="shared" si="2115"/>
        <v>0</v>
      </c>
      <c r="Z2821" s="117">
        <f t="shared" si="2116"/>
        <v>0</v>
      </c>
      <c r="AA2821" s="118"/>
      <c r="AB2821" s="118" t="str">
        <f t="shared" si="2117"/>
        <v/>
      </c>
      <c r="AC2821" s="712" t="str">
        <f>IF(AE2821="T2G","no charge",IF(AND(OR(PlanterYesMe="No",PlanterYesMe="N",PlanterYesMe="me"),H2821=""),"",IF(H2821="credit","NO install",IF(AND(K2821="",AE2821="me"),"EACH row",IF(AND(K2821="images",AE2821="me"),"EACH row",IF(D2821="","",IF(H2821="credit","",IF(AE2821="free","re-planting",IF(AE2821="me","   not ELP, by",IF(AND(OR(PlanterYesMe="Yes",PlanterYesMe="Y"),G2821&gt;0),(VLOOKUP(A2821,'Discount Lookup'!J:K,2)*G2821*(1-PlanterDiscount)*(1+PlanterDifficultyPercentage)),IF(AE2821="ELP",(VLOOKUP(A2821,'Discount Lookup'!J:K,2)*G2821*(1-PlanterDiscount)*(1+PlanterDifficultyPercentage)),IF(AE2821="free","re-planting",IF(G2821=0,"",IF(PlanterYesMe="",IF(AE2821="me","   not ELP, by",IF(AE2821="",IF(G2821&gt;0,(VLOOKUP(A2821,'Discount Lookup'!J:K,2)*G2821*(1-PlanterDiscount)*(1+PlanterDifficultyPercentage)),""),"")),"   not ELP, by"))))))))))))))</f>
        <v/>
      </c>
      <c r="AD2821" s="712"/>
      <c r="AE2821" s="513" t="str">
        <f t="shared" si="2118"/>
        <v/>
      </c>
      <c r="AF2821" s="713" t="str">
        <f t="shared" si="2119"/>
        <v/>
      </c>
      <c r="AG2821" s="713"/>
      <c r="AH2821" s="713"/>
      <c r="AI2821" s="112">
        <f>IF(H2821="credit",0,IF(AE2821="free",0,IF(AE2821="me",0,IF(G2821&gt;0,(VLOOKUP(A2821,'Discount Lookup'!J:K,2)*G2821),0))))</f>
        <v>0</v>
      </c>
      <c r="AJ2821" s="107" t="str">
        <f t="shared" ca="1" si="2120"/>
        <v/>
      </c>
      <c r="AK2821" s="714" t="str">
        <f t="shared" si="2121"/>
        <v/>
      </c>
      <c r="AL2821" s="714"/>
      <c r="AM2821" s="114" t="str">
        <f t="shared" si="2122"/>
        <v/>
      </c>
      <c r="AN2821" s="115"/>
      <c r="AO2821" s="116"/>
      <c r="AP2821" s="116"/>
      <c r="AQ2821" s="116"/>
      <c r="AR2821" s="116"/>
      <c r="AS2821" s="116"/>
      <c r="AT2821" s="116"/>
      <c r="AU2821" s="116"/>
      <c r="AV2821" s="78"/>
      <c r="AW2821" s="102"/>
      <c r="AX2821" s="78"/>
      <c r="AY2821" s="78"/>
      <c r="AZ2821" s="78"/>
      <c r="BA2821" s="78"/>
      <c r="BB2821" s="78"/>
      <c r="BC2821" s="78"/>
      <c r="BD2821" s="78"/>
      <c r="BE2821" s="465"/>
      <c r="BF2821" s="165" t="str">
        <f t="shared" si="2123"/>
        <v>https://www.google.com/search?tbm=isch&amp;q=45%20G6</v>
      </c>
      <c r="BG2821" s="165" t="str">
        <f t="shared" si="2124"/>
        <v>M</v>
      </c>
      <c r="BH2821" s="65"/>
      <c r="BI2821" s="65"/>
      <c r="BJ2821" s="65"/>
      <c r="BK2821" s="65"/>
      <c r="BL2821" s="99"/>
      <c r="BM2821" s="99"/>
      <c r="BN2821" s="99"/>
    </row>
    <row r="2822" spans="1:66" s="51" customFormat="1" ht="17.25" thickBot="1" x14ac:dyDescent="0.3">
      <c r="A2822" s="705" t="s">
        <v>5476</v>
      </c>
      <c r="B2822" s="487"/>
      <c r="C2822" s="707"/>
      <c r="D2822" s="487"/>
      <c r="E2822" s="487"/>
      <c r="F2822" s="488"/>
      <c r="G2822" s="489"/>
      <c r="H2822" s="487"/>
      <c r="I2822" s="490"/>
      <c r="J2822" s="490"/>
      <c r="K2822" s="491"/>
      <c r="L2822" s="547"/>
      <c r="M2822" s="528"/>
      <c r="N2822" s="492"/>
      <c r="O2822" s="493"/>
      <c r="P2822" s="494"/>
      <c r="Q2822" s="492"/>
      <c r="R2822" s="492"/>
      <c r="S2822" s="699" t="s">
        <v>5268</v>
      </c>
      <c r="T2822" s="102">
        <f t="shared" si="2112"/>
        <v>0</v>
      </c>
      <c r="U2822" s="78" t="str">
        <f>IF(NOT(ISNUMBER(G2822)), "", VLOOKUP(A2822,'Discount Lookup'!D:E,2,FALSE)*G2822)</f>
        <v/>
      </c>
      <c r="V2822" s="78" t="str">
        <f>IF(NOT(ISNUMBER(G2822)), "", VLOOKUP(A2822,'Discount Lookup'!G:H,2,FALSE)*G2822)</f>
        <v/>
      </c>
      <c r="W2822" s="102">
        <f t="shared" si="2113"/>
        <v>0</v>
      </c>
      <c r="X2822" s="102">
        <f t="shared" si="2114"/>
        <v>0</v>
      </c>
      <c r="Y2822" s="120" t="b">
        <f t="shared" si="2115"/>
        <v>0</v>
      </c>
      <c r="Z2822" s="117">
        <f t="shared" si="2116"/>
        <v>0</v>
      </c>
      <c r="AA2822" s="118"/>
      <c r="AB2822" s="118" t="str">
        <f t="shared" si="2117"/>
        <v/>
      </c>
      <c r="AC2822" s="712" t="str">
        <f>IF(AE2822="T2G","no charge",IF(AND(OR(PlanterYesMe="No",PlanterYesMe="N",PlanterYesMe="me"),H2822=""),"",IF(H2822="credit","NO install",IF(AND(K2822="",AE2822="me"),"EACH row",IF(AND(K2822="images",AE2822="me"),"EACH row",IF(D2822="","",IF(H2822="credit","",IF(AE2822="free","re-planting",IF(AE2822="me","   not ELP, by",IF(AND(OR(PlanterYesMe="Yes",PlanterYesMe="Y"),G2822&gt;0),(VLOOKUP(A2822,'Discount Lookup'!J:K,2)*G2822*(1-PlanterDiscount)*(1+PlanterDifficultyPercentage)),IF(AE2822="ELP",(VLOOKUP(A2822,'Discount Lookup'!J:K,2)*G2822*(1-PlanterDiscount)*(1+PlanterDifficultyPercentage)),IF(AE2822="free","re-planting",IF(G2822=0,"",IF(PlanterYesMe="",IF(AE2822="me","   not ELP, by",IF(AE2822="",IF(G2822&gt;0,(VLOOKUP(A2822,'Discount Lookup'!J:K,2)*G2822*(1-PlanterDiscount)*(1+PlanterDifficultyPercentage)),""),"")),"   not ELP, by"))))))))))))))</f>
        <v/>
      </c>
      <c r="AD2822" s="712"/>
      <c r="AE2822" s="513" t="str">
        <f t="shared" si="2118"/>
        <v/>
      </c>
      <c r="AF2822" s="713" t="str">
        <f t="shared" si="2119"/>
        <v/>
      </c>
      <c r="AG2822" s="713"/>
      <c r="AH2822" s="713"/>
      <c r="AI2822" s="112">
        <f>IF(H2822="credit",0,IF(AE2822="free",0,IF(AE2822="me",0,IF(G2822&gt;0,(VLOOKUP(A2822,'Discount Lookup'!J:K,2)*G2822),0))))</f>
        <v>0</v>
      </c>
      <c r="AJ2822" s="107" t="str">
        <f t="shared" ca="1" si="2120"/>
        <v/>
      </c>
      <c r="AK2822" s="714" t="str">
        <f t="shared" si="2121"/>
        <v/>
      </c>
      <c r="AL2822" s="714"/>
      <c r="AM2822" s="114" t="str">
        <f t="shared" si="2122"/>
        <v/>
      </c>
      <c r="AN2822" s="115"/>
      <c r="AO2822" s="116"/>
      <c r="AP2822" s="116"/>
      <c r="AQ2822" s="116"/>
      <c r="AR2822" s="116"/>
      <c r="AS2822" s="116"/>
      <c r="AT2822" s="116"/>
      <c r="AU2822" s="116"/>
      <c r="AV2822" s="78"/>
      <c r="AW2822" s="102"/>
      <c r="AX2822" s="78"/>
      <c r="AY2822" s="78"/>
      <c r="AZ2822" s="78"/>
      <c r="BA2822" s="78"/>
      <c r="BB2822" s="78"/>
      <c r="BC2822" s="78"/>
      <c r="BD2822" s="78"/>
      <c r="BE2822" s="465"/>
      <c r="BF2822" s="165" t="str">
        <f t="shared" si="2123"/>
        <v>https://www.google.com/search?tbm=isch&amp;q=moist%20sites%F0%9F%92%A7OK%2C%20Bracken%27s%20is%20more%20winter%20hardy%20%7E%20all%20Magnolia%20grandiflora%20foliage%20dark%20green%2C%20with%20light%20brown%20fuzzy%20undersides%20%7E%20</v>
      </c>
      <c r="BG2822" s="165" t="str">
        <f t="shared" si="2124"/>
        <v>m</v>
      </c>
      <c r="BH2822" s="65"/>
      <c r="BI2822" s="65"/>
      <c r="BJ2822" s="65"/>
      <c r="BK2822" s="65"/>
      <c r="BL2822" s="99"/>
      <c r="BM2822" s="99"/>
      <c r="BN2822" s="99"/>
    </row>
    <row r="2823" spans="1:66" s="51" customFormat="1" ht="18" x14ac:dyDescent="0.25">
      <c r="A2823" s="507" t="s">
        <v>601</v>
      </c>
      <c r="B2823" s="470"/>
      <c r="C2823" s="706"/>
      <c r="D2823" s="471" t="s">
        <v>602</v>
      </c>
      <c r="E2823" s="472"/>
      <c r="F2823" s="472"/>
      <c r="G2823" s="472"/>
      <c r="H2823" s="622" t="s">
        <v>603</v>
      </c>
      <c r="I2823" s="473" t="s">
        <v>349</v>
      </c>
      <c r="J2823" s="472"/>
      <c r="K2823" s="472"/>
      <c r="L2823" s="561"/>
      <c r="M2823" s="698" t="s">
        <v>5246</v>
      </c>
      <c r="N2823" s="692" t="str">
        <f>IF(AND(ISTEXT($A2823), ISERROR($A2823+0)), HYPERLINK($BF2823, "Images"), "")</f>
        <v>Images</v>
      </c>
      <c r="O2823" s="694" t="s">
        <v>5247</v>
      </c>
      <c r="P2823" s="475"/>
      <c r="Q2823" s="476"/>
      <c r="R2823" s="476"/>
      <c r="S2823" s="477" t="s">
        <v>294</v>
      </c>
      <c r="T2823" s="102">
        <f t="shared" si="2112"/>
        <v>0</v>
      </c>
      <c r="U2823" s="78" t="str">
        <f>IF(NOT(ISNUMBER(G2823)), "", VLOOKUP(A2823,'Discount Lookup'!D:E,2,FALSE)*G2823)</f>
        <v/>
      </c>
      <c r="V2823" s="78" t="str">
        <f>IF(NOT(ISNUMBER(G2823)), "", VLOOKUP(A2823,'Discount Lookup'!G:H,2,FALSE)*G2823)</f>
        <v/>
      </c>
      <c r="W2823" s="102">
        <f t="shared" si="2113"/>
        <v>0</v>
      </c>
      <c r="X2823" s="102" t="str">
        <f t="shared" si="2114"/>
        <v>White bloom</v>
      </c>
      <c r="Y2823" s="120" t="b">
        <f t="shared" si="2115"/>
        <v>0</v>
      </c>
      <c r="Z2823" s="117">
        <f t="shared" si="2116"/>
        <v>0</v>
      </c>
      <c r="AA2823" s="118"/>
      <c r="AB2823" s="118" t="str">
        <f t="shared" si="2117"/>
        <v/>
      </c>
      <c r="AC2823" s="712" t="str">
        <f>IF(AE2823="T2G","no charge",IF(AND(OR(PlanterYesMe="No",PlanterYesMe="N",PlanterYesMe="me"),H2823=""),"",IF(H2823="credit","NO install",IF(AND(K2823="",AE2823="me"),"EACH row",IF(AND(K2823="images",AE2823="me"),"EACH row",IF(D2823="","",IF(H2823="credit","",IF(AE2823="free","re-planting",IF(AE2823="me","   not ELP, by",IF(AND(OR(PlanterYesMe="Yes",PlanterYesMe="Y"),G2823&gt;0),(VLOOKUP(A2823,'Discount Lookup'!J:K,2)*G2823*(1-PlanterDiscount)*(1+PlanterDifficultyPercentage)),IF(AE2823="ELP",(VLOOKUP(A2823,'Discount Lookup'!J:K,2)*G2823*(1-PlanterDiscount)*(1+PlanterDifficultyPercentage)),IF(AE2823="free","re-planting",IF(G2823=0,"",IF(PlanterYesMe="",IF(AE2823="me","   not ELP, by",IF(AE2823="",IF(G2823&gt;0,(VLOOKUP(A2823,'Discount Lookup'!J:K,2)*G2823*(1-PlanterDiscount)*(1+PlanterDifficultyPercentage)),""),"")),"   not ELP, by"))))))))))))))</f>
        <v/>
      </c>
      <c r="AD2823" s="712"/>
      <c r="AE2823" s="513" t="str">
        <f t="shared" si="2118"/>
        <v/>
      </c>
      <c r="AF2823" s="713" t="str">
        <f t="shared" si="2119"/>
        <v/>
      </c>
      <c r="AG2823" s="713"/>
      <c r="AH2823" s="713"/>
      <c r="AI2823" s="112">
        <f>IF(H2823="credit",0,IF(AE2823="free",0,IF(AE2823="me",0,IF(G2823&gt;0,(VLOOKUP(A2823,'Discount Lookup'!J:K,2)*G2823),0))))</f>
        <v>0</v>
      </c>
      <c r="AJ2823" s="107" t="str">
        <f t="shared" ca="1" si="2120"/>
        <v/>
      </c>
      <c r="AK2823" s="714" t="str">
        <f t="shared" si="2121"/>
        <v/>
      </c>
      <c r="AL2823" s="714"/>
      <c r="AM2823" s="114" t="str">
        <f t="shared" si="2122"/>
        <v/>
      </c>
      <c r="AN2823" s="115"/>
      <c r="AO2823" s="116"/>
      <c r="AP2823" s="116"/>
      <c r="AQ2823" s="116"/>
      <c r="AR2823" s="116"/>
      <c r="AS2823" s="116"/>
      <c r="AT2823" s="116"/>
      <c r="AU2823" s="116"/>
      <c r="AV2823" s="78"/>
      <c r="AW2823" s="102"/>
      <c r="AX2823" s="78"/>
      <c r="AY2823" s="78"/>
      <c r="AZ2823" s="78"/>
      <c r="BA2823" s="78"/>
      <c r="BB2823" s="78"/>
      <c r="BC2823" s="78"/>
      <c r="BD2823" s="78"/>
      <c r="BE2823" s="465"/>
      <c r="BF2823" s="165" t="str">
        <f t="shared" si="2123"/>
        <v>https://www.google.com/search?tbm=isch&amp;q=Magnolia%20grandiflora%20%27Kay%20Parris%27%20Kay%20Parris%20Magnolia</v>
      </c>
      <c r="BG2823" s="165" t="str">
        <f t="shared" si="2124"/>
        <v>M</v>
      </c>
      <c r="BH2823" s="65"/>
      <c r="BI2823" s="65"/>
      <c r="BJ2823" s="65"/>
      <c r="BK2823" s="65"/>
      <c r="BL2823" s="99"/>
      <c r="BM2823" s="99"/>
      <c r="BN2823" s="99"/>
    </row>
    <row r="2824" spans="1:66" s="51" customFormat="1" ht="15.75" x14ac:dyDescent="0.25">
      <c r="A2824" s="478">
        <v>7</v>
      </c>
      <c r="B2824" s="479" t="s">
        <v>291</v>
      </c>
      <c r="C2824" s="480" t="s">
        <v>970</v>
      </c>
      <c r="D2824" s="481" t="s">
        <v>299</v>
      </c>
      <c r="E2824" s="482">
        <v>100.95</v>
      </c>
      <c r="F2824" s="483" t="s">
        <v>292</v>
      </c>
      <c r="G2824" s="484">
        <v>0</v>
      </c>
      <c r="H2824" s="688" t="str">
        <f>IF(G2824=0,"",IF(F2824="Buy",IF(G2824=1,"plant","plants"),IF(F2824&gt;0.01,"warranty","Error")))</f>
        <v/>
      </c>
      <c r="I2824" s="485">
        <f>IF(H2824="free",0,IF(H2824="credit",((E2824*(F2824))*G2824*-1),IF(F2824="Buy",(E2824*G2824),((E2824*(1-F2824))*G2824))))</f>
        <v>0</v>
      </c>
      <c r="J2824" s="485">
        <f>IF(H2824="warranty",0,(I2824*(_xlfn.SINGLE(SalesTaxPercentage))))</f>
        <v>0</v>
      </c>
      <c r="K2824" s="715">
        <f t="shared" ref="K2824" si="2147">I2824+J2824</f>
        <v>0</v>
      </c>
      <c r="L2824" s="715"/>
      <c r="M2824" s="689" t="str">
        <f ca="1">IF(AND(G2824&gt;0,E2824=0),"WARNING - no PRICE inserted",IF(H2824="free","FREE ~ no charge this plant",IF(H2824="credit",CONCATENATE("-$",ROUND(K2824*(1-_xlfn.SINGLE(T2GDiscount))*-1,2)," CREDIT after discount"),IF(_xlfn.SINGLE(T2GDiscount)=0,"",IF(G2824=0,"",IF(F2824="Buy",CONCATENATE("$",ROUND(K2824*(1-_xlfn.SINGLE(T2GDiscount)),2)," with ",(_xlfn.SINGLE(T2GDiscount)*100),"% discount"),CONCATENATE("$",ROUND(K2824*(1-_xlfn.SINGLE(T2GDiscount)),2)," with ",((_xlfn.SINGLE(T2GDiscount)*100+F2824*100)-(_xlfn.SINGLE(T2GDiscount)*100*F2824)),IF(F2824&gt;0,"% discounts",IF(_xlfn.SINGLE(NoWarrantyDiscount)&gt;0,"% discounts","% discount")))))))))</f>
        <v/>
      </c>
      <c r="N2824" s="690"/>
      <c r="O2824" s="486"/>
      <c r="P2824" s="486"/>
      <c r="Q2824" s="486"/>
      <c r="R2824" s="486"/>
      <c r="S2824" s="486"/>
      <c r="T2824" s="102">
        <f t="shared" si="2112"/>
        <v>0</v>
      </c>
      <c r="U2824" s="78">
        <f>IF(NOT(ISNUMBER(G2824)), "", VLOOKUP(A2824,'Discount Lookup'!D:E,2,FALSE)*G2824)</f>
        <v>0</v>
      </c>
      <c r="V2824" s="78">
        <f>IF(NOT(ISNUMBER(G2824)), "", VLOOKUP(A2824,'Discount Lookup'!G:H,2,FALSE)*G2824)</f>
        <v>0</v>
      </c>
      <c r="W2824" s="102">
        <f t="shared" si="2113"/>
        <v>0</v>
      </c>
      <c r="X2824" s="102">
        <f t="shared" si="2114"/>
        <v>0</v>
      </c>
      <c r="Y2824" s="120" t="b">
        <f t="shared" si="2115"/>
        <v>0</v>
      </c>
      <c r="Z2824" s="117">
        <f t="shared" si="2116"/>
        <v>0</v>
      </c>
      <c r="AA2824" s="118"/>
      <c r="AB2824" s="118" t="str">
        <f t="shared" si="2117"/>
        <v/>
      </c>
      <c r="AC2824" s="712" t="str">
        <f>IF(AE2824="T2G","no charge",IF(AND(OR(PlanterYesMe="No",PlanterYesMe="N",PlanterYesMe="me"),H2824=""),"",IF(H2824="credit","NO install",IF(AND(K2824="",AE2824="me"),"EACH row",IF(AND(K2824="images",AE2824="me"),"EACH row",IF(D2824="","",IF(H2824="credit","",IF(AE2824="free","re-planting",IF(AE2824="me","   not ELP, by",IF(AND(OR(PlanterYesMe="Yes",PlanterYesMe="Y"),G2824&gt;0),(VLOOKUP(A2824,'Discount Lookup'!J:K,2)*G2824*(1-PlanterDiscount)*(1+PlanterDifficultyPercentage)),IF(AE2824="ELP",(VLOOKUP(A2824,'Discount Lookup'!J:K,2)*G2824*(1-PlanterDiscount)*(1+PlanterDifficultyPercentage)),IF(AE2824="free","re-planting",IF(G2824=0,"",IF(PlanterYesMe="",IF(AE2824="me","   not ELP, by",IF(AE2824="",IF(G2824&gt;0,(VLOOKUP(A2824,'Discount Lookup'!J:K,2)*G2824*(1-PlanterDiscount)*(1+PlanterDifficultyPercentage)),""),"")),"   not ELP, by"))))))))))))))</f>
        <v/>
      </c>
      <c r="AD2824" s="712"/>
      <c r="AE2824" s="513" t="str">
        <f t="shared" si="2118"/>
        <v/>
      </c>
      <c r="AF2824" s="713" t="str">
        <f t="shared" si="2119"/>
        <v/>
      </c>
      <c r="AG2824" s="713"/>
      <c r="AH2824" s="713"/>
      <c r="AI2824" s="112">
        <f>IF(H2824="credit",0,IF(AE2824="free",0,IF(AE2824="me",0,IF(G2824&gt;0,(VLOOKUP(A2824,'Discount Lookup'!J:K,2)*G2824),0))))</f>
        <v>0</v>
      </c>
      <c r="AJ2824" s="107" t="str">
        <f t="shared" ca="1" si="2120"/>
        <v/>
      </c>
      <c r="AK2824" s="714" t="str">
        <f t="shared" si="2121"/>
        <v/>
      </c>
      <c r="AL2824" s="714"/>
      <c r="AM2824" s="114" t="str">
        <f t="shared" si="2122"/>
        <v/>
      </c>
      <c r="AN2824" s="115"/>
      <c r="AO2824" s="116"/>
      <c r="AP2824" s="116"/>
      <c r="AQ2824" s="116"/>
      <c r="AR2824" s="116"/>
      <c r="AS2824" s="116"/>
      <c r="AT2824" s="116"/>
      <c r="AU2824" s="116"/>
      <c r="AV2824" s="78"/>
      <c r="AW2824" s="102"/>
      <c r="AX2824" s="78"/>
      <c r="AY2824" s="78"/>
      <c r="AZ2824" s="78"/>
      <c r="BA2824" s="78"/>
      <c r="BB2824" s="78"/>
      <c r="BC2824" s="78"/>
      <c r="BD2824" s="78"/>
      <c r="BE2824" s="465"/>
      <c r="BF2824" s="165" t="str">
        <f t="shared" si="2123"/>
        <v>https://www.google.com/search?tbm=isch&amp;q=7%20G4</v>
      </c>
      <c r="BG2824" s="165" t="str">
        <f t="shared" si="2124"/>
        <v>M</v>
      </c>
      <c r="BH2824" s="65"/>
      <c r="BI2824" s="65"/>
      <c r="BJ2824" s="65"/>
      <c r="BK2824" s="65"/>
      <c r="BL2824" s="99"/>
      <c r="BM2824" s="99"/>
      <c r="BN2824" s="99"/>
    </row>
    <row r="2825" spans="1:66" s="51" customFormat="1" ht="15.75" x14ac:dyDescent="0.25">
      <c r="A2825" s="478">
        <v>15</v>
      </c>
      <c r="B2825" s="479" t="s">
        <v>291</v>
      </c>
      <c r="C2825" s="480" t="s">
        <v>971</v>
      </c>
      <c r="D2825" s="481" t="s">
        <v>299</v>
      </c>
      <c r="E2825" s="482">
        <v>178.95</v>
      </c>
      <c r="F2825" s="483" t="s">
        <v>292</v>
      </c>
      <c r="G2825" s="484">
        <v>0</v>
      </c>
      <c r="H2825" s="688" t="str">
        <f>IF(G2825=0,"",IF(F2825="Buy",IF(G2825=1,"plant","plants"),IF(F2825&gt;0.01,"warranty","Error")))</f>
        <v/>
      </c>
      <c r="I2825" s="485">
        <f>IF(H2825="free",0,IF(H2825="credit",((E2825*(F2825))*G2825*-1),IF(F2825="Buy",(E2825*G2825),((E2825*(1-F2825))*G2825))))</f>
        <v>0</v>
      </c>
      <c r="J2825" s="485">
        <f>IF(H2825="warranty",0,(I2825*(_xlfn.SINGLE(SalesTaxPercentage))))</f>
        <v>0</v>
      </c>
      <c r="K2825" s="715">
        <f t="shared" ref="K2825" si="2148">I2825+J2825</f>
        <v>0</v>
      </c>
      <c r="L2825" s="715"/>
      <c r="M2825" s="689" t="str">
        <f ca="1">IF(AND(G2825&gt;0,E2825=0),"WARNING - no PRICE inserted",IF(H2825="free","FREE ~ no charge this plant",IF(H2825="credit",CONCATENATE("-$",ROUND(K2825*(1-_xlfn.SINGLE(T2GDiscount))*-1,2)," CREDIT after discount"),IF(_xlfn.SINGLE(T2GDiscount)=0,"",IF(G2825=0,"",IF(F2825="Buy",CONCATENATE("$",ROUND(K2825*(1-_xlfn.SINGLE(T2GDiscount)),2)," with ",(_xlfn.SINGLE(T2GDiscount)*100),"% discount"),CONCATENATE("$",ROUND(K2825*(1-_xlfn.SINGLE(T2GDiscount)),2)," with ",((_xlfn.SINGLE(T2GDiscount)*100+F2825*100)-(_xlfn.SINGLE(T2GDiscount)*100*F2825)),IF(F2825&gt;0,"% discounts",IF(_xlfn.SINGLE(NoWarrantyDiscount)&gt;0,"% discounts","% discount")))))))))</f>
        <v/>
      </c>
      <c r="N2825" s="690"/>
      <c r="O2825" s="486"/>
      <c r="P2825" s="486"/>
      <c r="Q2825" s="486"/>
      <c r="R2825" s="486"/>
      <c r="S2825" s="486"/>
      <c r="T2825" s="102">
        <f t="shared" si="2112"/>
        <v>0</v>
      </c>
      <c r="U2825" s="78">
        <f>IF(NOT(ISNUMBER(G2825)), "", VLOOKUP(A2825,'Discount Lookup'!D:E,2,FALSE)*G2825)</f>
        <v>0</v>
      </c>
      <c r="V2825" s="78">
        <f>IF(NOT(ISNUMBER(G2825)), "", VLOOKUP(A2825,'Discount Lookup'!G:H,2,FALSE)*G2825)</f>
        <v>0</v>
      </c>
      <c r="W2825" s="102">
        <f t="shared" si="2113"/>
        <v>0</v>
      </c>
      <c r="X2825" s="102">
        <f t="shared" si="2114"/>
        <v>0</v>
      </c>
      <c r="Y2825" s="120" t="b">
        <f t="shared" si="2115"/>
        <v>0</v>
      </c>
      <c r="Z2825" s="117">
        <f t="shared" si="2116"/>
        <v>0</v>
      </c>
      <c r="AA2825" s="118"/>
      <c r="AB2825" s="118" t="str">
        <f t="shared" si="2117"/>
        <v/>
      </c>
      <c r="AC2825" s="712" t="str">
        <f>IF(AE2825="T2G","no charge",IF(AND(OR(PlanterYesMe="No",PlanterYesMe="N",PlanterYesMe="me"),H2825=""),"",IF(H2825="credit","NO install",IF(AND(K2825="",AE2825="me"),"EACH row",IF(AND(K2825="images",AE2825="me"),"EACH row",IF(D2825="","",IF(H2825="credit","",IF(AE2825="free","re-planting",IF(AE2825="me","   not ELP, by",IF(AND(OR(PlanterYesMe="Yes",PlanterYesMe="Y"),G2825&gt;0),(VLOOKUP(A2825,'Discount Lookup'!J:K,2)*G2825*(1-PlanterDiscount)*(1+PlanterDifficultyPercentage)),IF(AE2825="ELP",(VLOOKUP(A2825,'Discount Lookup'!J:K,2)*G2825*(1-PlanterDiscount)*(1+PlanterDifficultyPercentage)),IF(AE2825="free","re-planting",IF(G2825=0,"",IF(PlanterYesMe="",IF(AE2825="me","   not ELP, by",IF(AE2825="",IF(G2825&gt;0,(VLOOKUP(A2825,'Discount Lookup'!J:K,2)*G2825*(1-PlanterDiscount)*(1+PlanterDifficultyPercentage)),""),"")),"   not ELP, by"))))))))))))))</f>
        <v/>
      </c>
      <c r="AD2825" s="712"/>
      <c r="AE2825" s="513" t="str">
        <f t="shared" si="2118"/>
        <v/>
      </c>
      <c r="AF2825" s="713" t="str">
        <f t="shared" si="2119"/>
        <v/>
      </c>
      <c r="AG2825" s="713"/>
      <c r="AH2825" s="713"/>
      <c r="AI2825" s="112">
        <f>IF(H2825="credit",0,IF(AE2825="free",0,IF(AE2825="me",0,IF(G2825&gt;0,(VLOOKUP(A2825,'Discount Lookup'!J:K,2)*G2825),0))))</f>
        <v>0</v>
      </c>
      <c r="AJ2825" s="107" t="str">
        <f t="shared" ca="1" si="2120"/>
        <v/>
      </c>
      <c r="AK2825" s="714" t="str">
        <f t="shared" si="2121"/>
        <v/>
      </c>
      <c r="AL2825" s="714"/>
      <c r="AM2825" s="114" t="str">
        <f t="shared" si="2122"/>
        <v/>
      </c>
      <c r="AN2825" s="115"/>
      <c r="AO2825" s="116"/>
      <c r="AP2825" s="116"/>
      <c r="AQ2825" s="116"/>
      <c r="AR2825" s="116"/>
      <c r="AS2825" s="116"/>
      <c r="AT2825" s="116"/>
      <c r="AU2825" s="116"/>
      <c r="AV2825" s="78"/>
      <c r="AW2825" s="102"/>
      <c r="AX2825" s="78"/>
      <c r="AY2825" s="78"/>
      <c r="AZ2825" s="78"/>
      <c r="BA2825" s="78"/>
      <c r="BB2825" s="78"/>
      <c r="BC2825" s="78"/>
      <c r="BD2825" s="78"/>
      <c r="BE2825" s="465"/>
      <c r="BF2825" s="165" t="str">
        <f t="shared" si="2123"/>
        <v>https://www.google.com/search?tbm=isch&amp;q=15%20G4</v>
      </c>
      <c r="BG2825" s="165" t="str">
        <f t="shared" si="2124"/>
        <v>M</v>
      </c>
      <c r="BH2825" s="65"/>
      <c r="BI2825" s="65"/>
      <c r="BJ2825" s="65"/>
      <c r="BK2825" s="65"/>
      <c r="BL2825" s="99"/>
      <c r="BM2825" s="99"/>
      <c r="BN2825" s="99"/>
    </row>
    <row r="2826" spans="1:66" s="51" customFormat="1" ht="27" x14ac:dyDescent="0.25">
      <c r="A2826" s="478">
        <v>25</v>
      </c>
      <c r="B2826" s="479" t="s">
        <v>291</v>
      </c>
      <c r="C2826" s="480" t="s">
        <v>972</v>
      </c>
      <c r="D2826" s="481" t="s">
        <v>299</v>
      </c>
      <c r="E2826" s="482">
        <v>378.95</v>
      </c>
      <c r="F2826" s="483" t="s">
        <v>292</v>
      </c>
      <c r="G2826" s="484">
        <v>0</v>
      </c>
      <c r="H2826" s="688" t="str">
        <f>IF(G2826=0,"",IF(F2826="Buy",IF(G2826=1,"plant","plants"),IF(F2826&gt;0.01,"warranty","Error")))</f>
        <v/>
      </c>
      <c r="I2826" s="485">
        <f>IF(H2826="free",0,IF(H2826="credit",((E2826*(F2826))*G2826*-1),IF(F2826="Buy",(E2826*G2826),((E2826*(1-F2826))*G2826))))</f>
        <v>0</v>
      </c>
      <c r="J2826" s="485">
        <f>IF(H2826="warranty",0,(I2826*(_xlfn.SINGLE(SalesTaxPercentage))))</f>
        <v>0</v>
      </c>
      <c r="K2826" s="715">
        <f t="shared" ref="K2826" si="2149">I2826+J2826</f>
        <v>0</v>
      </c>
      <c r="L2826" s="715"/>
      <c r="M2826" s="689" t="str">
        <f ca="1">IF(AND(G2826&gt;0,E2826=0),"WARNING - no PRICE inserted",IF(H2826="free","FREE ~ no charge this plant",IF(H2826="credit",CONCATENATE("-$",ROUND(K2826*(1-_xlfn.SINGLE(T2GDiscount))*-1,2)," CREDIT after discount"),IF(_xlfn.SINGLE(T2GDiscount)=0,"",IF(G2826=0,"",IF(F2826="Buy",CONCATENATE("$",ROUND(K2826*(1-_xlfn.SINGLE(T2GDiscount)),2)," with ",(_xlfn.SINGLE(T2GDiscount)*100),"% discount"),CONCATENATE("$",ROUND(K2826*(1-_xlfn.SINGLE(T2GDiscount)),2)," with ",((_xlfn.SINGLE(T2GDiscount)*100+F2826*100)-(_xlfn.SINGLE(T2GDiscount)*100*F2826)),IF(F2826&gt;0,"% discounts",IF(_xlfn.SINGLE(NoWarrantyDiscount)&gt;0,"% discounts","% discount")))))))))</f>
        <v/>
      </c>
      <c r="N2826" s="690"/>
      <c r="O2826" s="486"/>
      <c r="P2826" s="486"/>
      <c r="Q2826" s="486"/>
      <c r="R2826" s="486"/>
      <c r="S2826" s="486"/>
      <c r="T2826" s="102">
        <f t="shared" si="2112"/>
        <v>0</v>
      </c>
      <c r="U2826" s="78">
        <f>IF(NOT(ISNUMBER(G2826)), "", VLOOKUP(A2826,'Discount Lookup'!D:E,2,FALSE)*G2826)</f>
        <v>0</v>
      </c>
      <c r="V2826" s="78">
        <f>IF(NOT(ISNUMBER(G2826)), "", VLOOKUP(A2826,'Discount Lookup'!G:H,2,FALSE)*G2826)</f>
        <v>0</v>
      </c>
      <c r="W2826" s="102">
        <f t="shared" si="2113"/>
        <v>0</v>
      </c>
      <c r="X2826" s="102">
        <f t="shared" si="2114"/>
        <v>0</v>
      </c>
      <c r="Y2826" s="120" t="b">
        <f t="shared" si="2115"/>
        <v>0</v>
      </c>
      <c r="Z2826" s="117">
        <f t="shared" si="2116"/>
        <v>0</v>
      </c>
      <c r="AA2826" s="118"/>
      <c r="AB2826" s="118" t="str">
        <f t="shared" si="2117"/>
        <v/>
      </c>
      <c r="AC2826" s="712" t="str">
        <f>IF(AE2826="T2G","no charge",IF(AND(OR(PlanterYesMe="No",PlanterYesMe="N",PlanterYesMe="me"),H2826=""),"",IF(H2826="credit","NO install",IF(AND(K2826="",AE2826="me"),"EACH row",IF(AND(K2826="images",AE2826="me"),"EACH row",IF(D2826="","",IF(H2826="credit","",IF(AE2826="free","re-planting",IF(AE2826="me","   not ELP, by",IF(AND(OR(PlanterYesMe="Yes",PlanterYesMe="Y"),G2826&gt;0),(VLOOKUP(A2826,'Discount Lookup'!J:K,2)*G2826*(1-PlanterDiscount)*(1+PlanterDifficultyPercentage)),IF(AE2826="ELP",(VLOOKUP(A2826,'Discount Lookup'!J:K,2)*G2826*(1-PlanterDiscount)*(1+PlanterDifficultyPercentage)),IF(AE2826="free","re-planting",IF(G2826=0,"",IF(PlanterYesMe="",IF(AE2826="me","   not ELP, by",IF(AE2826="",IF(G2826&gt;0,(VLOOKUP(A2826,'Discount Lookup'!J:K,2)*G2826*(1-PlanterDiscount)*(1+PlanterDifficultyPercentage)),""),"")),"   not ELP, by"))))))))))))))</f>
        <v/>
      </c>
      <c r="AD2826" s="712"/>
      <c r="AE2826" s="513" t="str">
        <f t="shared" si="2118"/>
        <v/>
      </c>
      <c r="AF2826" s="713" t="str">
        <f t="shared" si="2119"/>
        <v/>
      </c>
      <c r="AG2826" s="713"/>
      <c r="AH2826" s="713"/>
      <c r="AI2826" s="112">
        <f>IF(H2826="credit",0,IF(AE2826="free",0,IF(AE2826="me",0,IF(G2826&gt;0,(VLOOKUP(A2826,'Discount Lookup'!J:K,2)*G2826),0))))</f>
        <v>0</v>
      </c>
      <c r="AJ2826" s="107" t="str">
        <f t="shared" ca="1" si="2120"/>
        <v/>
      </c>
      <c r="AK2826" s="714" t="str">
        <f t="shared" si="2121"/>
        <v/>
      </c>
      <c r="AL2826" s="714"/>
      <c r="AM2826" s="114" t="str">
        <f t="shared" si="2122"/>
        <v/>
      </c>
      <c r="AN2826" s="115"/>
      <c r="AO2826" s="116"/>
      <c r="AP2826" s="116"/>
      <c r="AQ2826" s="116"/>
      <c r="AR2826" s="116"/>
      <c r="AS2826" s="116"/>
      <c r="AT2826" s="116"/>
      <c r="AU2826" s="116"/>
      <c r="AV2826" s="78"/>
      <c r="AW2826" s="102"/>
      <c r="AX2826" s="78"/>
      <c r="AY2826" s="78"/>
      <c r="AZ2826" s="78"/>
      <c r="BA2826" s="78"/>
      <c r="BB2826" s="78"/>
      <c r="BC2826" s="78"/>
      <c r="BD2826" s="78"/>
      <c r="BE2826" s="465"/>
      <c r="BF2826" s="165" t="str">
        <f t="shared" si="2123"/>
        <v>https://www.google.com/search?tbm=isch&amp;q=25%20G4</v>
      </c>
      <c r="BG2826" s="165" t="str">
        <f t="shared" si="2124"/>
        <v>M</v>
      </c>
      <c r="BH2826" s="65"/>
      <c r="BI2826" s="65"/>
      <c r="BJ2826" s="65"/>
      <c r="BK2826" s="65"/>
      <c r="BL2826" s="99"/>
      <c r="BM2826" s="99"/>
      <c r="BN2826" s="99"/>
    </row>
    <row r="2827" spans="1:66" s="51" customFormat="1" ht="27" x14ac:dyDescent="0.25">
      <c r="A2827" s="478">
        <v>25</v>
      </c>
      <c r="B2827" s="479" t="s">
        <v>291</v>
      </c>
      <c r="C2827" s="480" t="s">
        <v>973</v>
      </c>
      <c r="D2827" s="481" t="s">
        <v>299</v>
      </c>
      <c r="E2827" s="482">
        <v>582.95000000000005</v>
      </c>
      <c r="F2827" s="483" t="s">
        <v>292</v>
      </c>
      <c r="G2827" s="484">
        <v>0</v>
      </c>
      <c r="H2827" s="688" t="str">
        <f>IF(G2827=0,"",IF(F2827="Buy",IF(G2827=1,"plant","plants"),IF(F2827&gt;0.01,"warranty","Error")))</f>
        <v/>
      </c>
      <c r="I2827" s="485">
        <f>IF(H2827="free",0,IF(H2827="credit",((E2827*(F2827))*G2827*-1),IF(F2827="Buy",(E2827*G2827),((E2827*(1-F2827))*G2827))))</f>
        <v>0</v>
      </c>
      <c r="J2827" s="485">
        <f>IF(H2827="warranty",0,(I2827*(_xlfn.SINGLE(SalesTaxPercentage))))</f>
        <v>0</v>
      </c>
      <c r="K2827" s="715">
        <f t="shared" ref="K2827" si="2150">I2827+J2827</f>
        <v>0</v>
      </c>
      <c r="L2827" s="715"/>
      <c r="M2827" s="689" t="str">
        <f ca="1">IF(AND(G2827&gt;0,E2827=0),"WARNING - no PRICE inserted",IF(H2827="free","FREE ~ no charge this plant",IF(H2827="credit",CONCATENATE("-$",ROUND(K2827*(1-_xlfn.SINGLE(T2GDiscount))*-1,2)," CREDIT after discount"),IF(_xlfn.SINGLE(T2GDiscount)=0,"",IF(G2827=0,"",IF(F2827="Buy",CONCATENATE("$",ROUND(K2827*(1-_xlfn.SINGLE(T2GDiscount)),2)," with ",(_xlfn.SINGLE(T2GDiscount)*100),"% discount"),CONCATENATE("$",ROUND(K2827*(1-_xlfn.SINGLE(T2GDiscount)),2)," with ",((_xlfn.SINGLE(T2GDiscount)*100+F2827*100)-(_xlfn.SINGLE(T2GDiscount)*100*F2827)),IF(F2827&gt;0,"% discounts",IF(_xlfn.SINGLE(NoWarrantyDiscount)&gt;0,"% discounts","% discount")))))))))</f>
        <v/>
      </c>
      <c r="N2827" s="690"/>
      <c r="O2827" s="486"/>
      <c r="P2827" s="486"/>
      <c r="Q2827" s="486"/>
      <c r="R2827" s="486"/>
      <c r="S2827" s="486"/>
      <c r="T2827" s="102">
        <f t="shared" si="2112"/>
        <v>0</v>
      </c>
      <c r="U2827" s="78">
        <f>IF(NOT(ISNUMBER(G2827)), "", VLOOKUP(A2827,'Discount Lookup'!D:E,2,FALSE)*G2827)</f>
        <v>0</v>
      </c>
      <c r="V2827" s="78">
        <f>IF(NOT(ISNUMBER(G2827)), "", VLOOKUP(A2827,'Discount Lookup'!G:H,2,FALSE)*G2827)</f>
        <v>0</v>
      </c>
      <c r="W2827" s="102">
        <f t="shared" si="2113"/>
        <v>0</v>
      </c>
      <c r="X2827" s="102">
        <f t="shared" si="2114"/>
        <v>0</v>
      </c>
      <c r="Y2827" s="120" t="b">
        <f t="shared" si="2115"/>
        <v>0</v>
      </c>
      <c r="Z2827" s="117">
        <f t="shared" si="2116"/>
        <v>0</v>
      </c>
      <c r="AA2827" s="118"/>
      <c r="AB2827" s="118" t="str">
        <f t="shared" si="2117"/>
        <v/>
      </c>
      <c r="AC2827" s="712" t="str">
        <f>IF(AE2827="T2G","no charge",IF(AND(OR(PlanterYesMe="No",PlanterYesMe="N",PlanterYesMe="me"),H2827=""),"",IF(H2827="credit","NO install",IF(AND(K2827="",AE2827="me"),"EACH row",IF(AND(K2827="images",AE2827="me"),"EACH row",IF(D2827="","",IF(H2827="credit","",IF(AE2827="free","re-planting",IF(AE2827="me","   not ELP, by",IF(AND(OR(PlanterYesMe="Yes",PlanterYesMe="Y"),G2827&gt;0),(VLOOKUP(A2827,'Discount Lookup'!J:K,2)*G2827*(1-PlanterDiscount)*(1+PlanterDifficultyPercentage)),IF(AE2827="ELP",(VLOOKUP(A2827,'Discount Lookup'!J:K,2)*G2827*(1-PlanterDiscount)*(1+PlanterDifficultyPercentage)),IF(AE2827="free","re-planting",IF(G2827=0,"",IF(PlanterYesMe="",IF(AE2827="me","   not ELP, by",IF(AE2827="",IF(G2827&gt;0,(VLOOKUP(A2827,'Discount Lookup'!J:K,2)*G2827*(1-PlanterDiscount)*(1+PlanterDifficultyPercentage)),""),"")),"   not ELP, by"))))))))))))))</f>
        <v/>
      </c>
      <c r="AD2827" s="712"/>
      <c r="AE2827" s="513" t="str">
        <f t="shared" si="2118"/>
        <v/>
      </c>
      <c r="AF2827" s="713" t="str">
        <f t="shared" si="2119"/>
        <v/>
      </c>
      <c r="AG2827" s="713"/>
      <c r="AH2827" s="713"/>
      <c r="AI2827" s="112">
        <f>IF(H2827="credit",0,IF(AE2827="free",0,IF(AE2827="me",0,IF(G2827&gt;0,(VLOOKUP(A2827,'Discount Lookup'!J:K,2)*G2827),0))))</f>
        <v>0</v>
      </c>
      <c r="AJ2827" s="107" t="str">
        <f t="shared" ca="1" si="2120"/>
        <v/>
      </c>
      <c r="AK2827" s="714" t="str">
        <f t="shared" si="2121"/>
        <v/>
      </c>
      <c r="AL2827" s="714"/>
      <c r="AM2827" s="114" t="str">
        <f t="shared" si="2122"/>
        <v/>
      </c>
      <c r="AN2827" s="115"/>
      <c r="AO2827" s="116"/>
      <c r="AP2827" s="116"/>
      <c r="AQ2827" s="116"/>
      <c r="AR2827" s="116"/>
      <c r="AS2827" s="116"/>
      <c r="AT2827" s="116"/>
      <c r="AU2827" s="116"/>
      <c r="AV2827" s="78"/>
      <c r="AW2827" s="102"/>
      <c r="AX2827" s="78"/>
      <c r="AY2827" s="78"/>
      <c r="AZ2827" s="78"/>
      <c r="BA2827" s="78"/>
      <c r="BB2827" s="78"/>
      <c r="BC2827" s="78"/>
      <c r="BD2827" s="78"/>
      <c r="BE2827" s="465"/>
      <c r="BF2827" s="165" t="str">
        <f t="shared" si="2123"/>
        <v>https://www.google.com/search?tbm=isch&amp;q=25%20G4</v>
      </c>
      <c r="BG2827" s="165" t="str">
        <f t="shared" si="2124"/>
        <v>M</v>
      </c>
      <c r="BH2827" s="65"/>
      <c r="BI2827" s="65"/>
      <c r="BJ2827" s="65"/>
      <c r="BK2827" s="65"/>
      <c r="BL2827" s="99"/>
      <c r="BM2827" s="99"/>
      <c r="BN2827" s="99"/>
    </row>
    <row r="2828" spans="1:66" s="51" customFormat="1" ht="17.25" thickBot="1" x14ac:dyDescent="0.3">
      <c r="A2828" s="705" t="s">
        <v>5477</v>
      </c>
      <c r="B2828" s="487"/>
      <c r="C2828" s="707"/>
      <c r="D2828" s="487"/>
      <c r="E2828" s="487"/>
      <c r="F2828" s="488"/>
      <c r="G2828" s="489"/>
      <c r="H2828" s="487"/>
      <c r="I2828" s="490"/>
      <c r="J2828" s="490"/>
      <c r="K2828" s="491"/>
      <c r="L2828" s="547"/>
      <c r="M2828" s="528"/>
      <c r="N2828" s="492"/>
      <c r="O2828" s="493"/>
      <c r="P2828" s="494"/>
      <c r="Q2828" s="492"/>
      <c r="R2828" s="492"/>
      <c r="S2828" s="699" t="s">
        <v>5268</v>
      </c>
      <c r="T2828" s="102">
        <f t="shared" si="2112"/>
        <v>0</v>
      </c>
      <c r="U2828" s="78" t="str">
        <f>IF(NOT(ISNUMBER(G2828)), "", VLOOKUP(A2828,'Discount Lookup'!D:E,2,FALSE)*G2828)</f>
        <v/>
      </c>
      <c r="V2828" s="78" t="str">
        <f>IF(NOT(ISNUMBER(G2828)), "", VLOOKUP(A2828,'Discount Lookup'!G:H,2,FALSE)*G2828)</f>
        <v/>
      </c>
      <c r="W2828" s="102">
        <f t="shared" si="2113"/>
        <v>0</v>
      </c>
      <c r="X2828" s="102">
        <f t="shared" si="2114"/>
        <v>0</v>
      </c>
      <c r="Y2828" s="120" t="b">
        <f t="shared" si="2115"/>
        <v>0</v>
      </c>
      <c r="Z2828" s="117">
        <f t="shared" si="2116"/>
        <v>0</v>
      </c>
      <c r="AA2828" s="118"/>
      <c r="AB2828" s="118" t="str">
        <f t="shared" si="2117"/>
        <v/>
      </c>
      <c r="AC2828" s="712" t="str">
        <f>IF(AE2828="T2G","no charge",IF(AND(OR(PlanterYesMe="No",PlanterYesMe="N",PlanterYesMe="me"),H2828=""),"",IF(H2828="credit","NO install",IF(AND(K2828="",AE2828="me"),"EACH row",IF(AND(K2828="images",AE2828="me"),"EACH row",IF(D2828="","",IF(H2828="credit","",IF(AE2828="free","re-planting",IF(AE2828="me","   not ELP, by",IF(AND(OR(PlanterYesMe="Yes",PlanterYesMe="Y"),G2828&gt;0),(VLOOKUP(A2828,'Discount Lookup'!J:K,2)*G2828*(1-PlanterDiscount)*(1+PlanterDifficultyPercentage)),IF(AE2828="ELP",(VLOOKUP(A2828,'Discount Lookup'!J:K,2)*G2828*(1-PlanterDiscount)*(1+PlanterDifficultyPercentage)),IF(AE2828="free","re-planting",IF(G2828=0,"",IF(PlanterYesMe="",IF(AE2828="me","   not ELP, by",IF(AE2828="",IF(G2828&gt;0,(VLOOKUP(A2828,'Discount Lookup'!J:K,2)*G2828*(1-PlanterDiscount)*(1+PlanterDifficultyPercentage)),""),"")),"   not ELP, by"))))))))))))))</f>
        <v/>
      </c>
      <c r="AD2828" s="712"/>
      <c r="AE2828" s="513" t="str">
        <f t="shared" si="2118"/>
        <v/>
      </c>
      <c r="AF2828" s="713" t="str">
        <f t="shared" si="2119"/>
        <v/>
      </c>
      <c r="AG2828" s="713"/>
      <c r="AH2828" s="713"/>
      <c r="AI2828" s="112">
        <f>IF(H2828="credit",0,IF(AE2828="free",0,IF(AE2828="me",0,IF(G2828&gt;0,(VLOOKUP(A2828,'Discount Lookup'!J:K,2)*G2828),0))))</f>
        <v>0</v>
      </c>
      <c r="AJ2828" s="107" t="str">
        <f t="shared" ca="1" si="2120"/>
        <v/>
      </c>
      <c r="AK2828" s="714" t="str">
        <f t="shared" si="2121"/>
        <v/>
      </c>
      <c r="AL2828" s="714"/>
      <c r="AM2828" s="114" t="str">
        <f t="shared" si="2122"/>
        <v/>
      </c>
      <c r="AN2828" s="115"/>
      <c r="AO2828" s="116"/>
      <c r="AP2828" s="116"/>
      <c r="AQ2828" s="116"/>
      <c r="AR2828" s="116"/>
      <c r="AS2828" s="116"/>
      <c r="AT2828" s="116"/>
      <c r="AU2828" s="116"/>
      <c r="AV2828" s="78"/>
      <c r="AW2828" s="102"/>
      <c r="AX2828" s="78"/>
      <c r="AY2828" s="78"/>
      <c r="AZ2828" s="78"/>
      <c r="BA2828" s="78"/>
      <c r="BB2828" s="78"/>
      <c r="BC2828" s="78"/>
      <c r="BD2828" s="78"/>
      <c r="BE2828" s="465"/>
      <c r="BF2828" s="165" t="str">
        <f t="shared" si="2123"/>
        <v>https://www.google.com/search?tbm=isch&amp;q=moist%20sites%F0%9F%92%A7OK%2C%20Kay%20Parris%20is%20%20sturdier%20under%20snow%20loads%20than%20Little%20Gem.%20Fragrant%20</v>
      </c>
      <c r="BG2828" s="165" t="str">
        <f t="shared" si="2124"/>
        <v>m</v>
      </c>
      <c r="BH2828" s="65"/>
      <c r="BI2828" s="65"/>
      <c r="BJ2828" s="65"/>
      <c r="BK2828" s="65"/>
      <c r="BL2828" s="99"/>
      <c r="BM2828" s="99"/>
      <c r="BN2828" s="99"/>
    </row>
    <row r="2829" spans="1:66" s="51" customFormat="1" ht="18" x14ac:dyDescent="0.25">
      <c r="A2829" s="507" t="s">
        <v>604</v>
      </c>
      <c r="B2829" s="470"/>
      <c r="C2829" s="706"/>
      <c r="D2829" s="471" t="s">
        <v>605</v>
      </c>
      <c r="E2829" s="472"/>
      <c r="F2829" s="472"/>
      <c r="G2829" s="472"/>
      <c r="H2829" s="622" t="s">
        <v>480</v>
      </c>
      <c r="I2829" s="473" t="s">
        <v>349</v>
      </c>
      <c r="J2829" s="472"/>
      <c r="K2829" s="472"/>
      <c r="L2829" s="561"/>
      <c r="M2829" s="698" t="s">
        <v>5246</v>
      </c>
      <c r="N2829" s="692" t="str">
        <f>IF(AND(ISTEXT($A2829), ISERROR($A2829+0)), HYPERLINK($BF2829, "Images"), "")</f>
        <v>Images</v>
      </c>
      <c r="O2829" s="694" t="s">
        <v>5247</v>
      </c>
      <c r="P2829" s="475"/>
      <c r="Q2829" s="476"/>
      <c r="R2829" s="476"/>
      <c r="S2829" s="477" t="s">
        <v>294</v>
      </c>
      <c r="T2829" s="102">
        <f t="shared" si="2112"/>
        <v>0</v>
      </c>
      <c r="U2829" s="78" t="str">
        <f>IF(NOT(ISNUMBER(G2829)), "", VLOOKUP(A2829,'Discount Lookup'!D:E,2,FALSE)*G2829)</f>
        <v/>
      </c>
      <c r="V2829" s="78" t="str">
        <f>IF(NOT(ISNUMBER(G2829)), "", VLOOKUP(A2829,'Discount Lookup'!G:H,2,FALSE)*G2829)</f>
        <v/>
      </c>
      <c r="W2829" s="102">
        <f t="shared" si="2113"/>
        <v>0</v>
      </c>
      <c r="X2829" s="102" t="str">
        <f t="shared" si="2114"/>
        <v>White bloom</v>
      </c>
      <c r="Y2829" s="120" t="b">
        <f t="shared" si="2115"/>
        <v>0</v>
      </c>
      <c r="Z2829" s="117">
        <f t="shared" si="2116"/>
        <v>0</v>
      </c>
      <c r="AA2829" s="118"/>
      <c r="AB2829" s="118" t="str">
        <f t="shared" si="2117"/>
        <v/>
      </c>
      <c r="AC2829" s="712" t="str">
        <f>IF(AE2829="T2G","no charge",IF(AND(OR(PlanterYesMe="No",PlanterYesMe="N",PlanterYesMe="me"),H2829=""),"",IF(H2829="credit","NO install",IF(AND(K2829="",AE2829="me"),"EACH row",IF(AND(K2829="images",AE2829="me"),"EACH row",IF(D2829="","",IF(H2829="credit","",IF(AE2829="free","re-planting",IF(AE2829="me","   not ELP, by",IF(AND(OR(PlanterYesMe="Yes",PlanterYesMe="Y"),G2829&gt;0),(VLOOKUP(A2829,'Discount Lookup'!J:K,2)*G2829*(1-PlanterDiscount)*(1+PlanterDifficultyPercentage)),IF(AE2829="ELP",(VLOOKUP(A2829,'Discount Lookup'!J:K,2)*G2829*(1-PlanterDiscount)*(1+PlanterDifficultyPercentage)),IF(AE2829="free","re-planting",IF(G2829=0,"",IF(PlanterYesMe="",IF(AE2829="me","   not ELP, by",IF(AE2829="",IF(G2829&gt;0,(VLOOKUP(A2829,'Discount Lookup'!J:K,2)*G2829*(1-PlanterDiscount)*(1+PlanterDifficultyPercentage)),""),"")),"   not ELP, by"))))))))))))))</f>
        <v/>
      </c>
      <c r="AD2829" s="712"/>
      <c r="AE2829" s="513" t="str">
        <f t="shared" si="2118"/>
        <v/>
      </c>
      <c r="AF2829" s="713" t="str">
        <f t="shared" si="2119"/>
        <v/>
      </c>
      <c r="AG2829" s="713"/>
      <c r="AH2829" s="713"/>
      <c r="AI2829" s="112">
        <f>IF(H2829="credit",0,IF(AE2829="free",0,IF(AE2829="me",0,IF(G2829&gt;0,(VLOOKUP(A2829,'Discount Lookup'!J:K,2)*G2829),0))))</f>
        <v>0</v>
      </c>
      <c r="AJ2829" s="107" t="str">
        <f t="shared" ca="1" si="2120"/>
        <v/>
      </c>
      <c r="AK2829" s="714" t="str">
        <f t="shared" si="2121"/>
        <v/>
      </c>
      <c r="AL2829" s="714"/>
      <c r="AM2829" s="114" t="str">
        <f t="shared" si="2122"/>
        <v/>
      </c>
      <c r="AN2829" s="115"/>
      <c r="AO2829" s="116"/>
      <c r="AP2829" s="116"/>
      <c r="AQ2829" s="116"/>
      <c r="AR2829" s="116"/>
      <c r="AS2829" s="116"/>
      <c r="AT2829" s="116"/>
      <c r="AU2829" s="116"/>
      <c r="AV2829" s="78"/>
      <c r="AW2829" s="102"/>
      <c r="AX2829" s="78"/>
      <c r="AY2829" s="78"/>
      <c r="AZ2829" s="78"/>
      <c r="BA2829" s="78"/>
      <c r="BB2829" s="78"/>
      <c r="BC2829" s="78"/>
      <c r="BD2829" s="78"/>
      <c r="BE2829" s="465"/>
      <c r="BF2829" s="165" t="str">
        <f t="shared" si="2123"/>
        <v>https://www.google.com/search?tbm=isch&amp;q=Magnolia%20grandiflora%20%27Little%20Gem%27%20Little%20Gem%20Magnolia</v>
      </c>
      <c r="BG2829" s="165" t="str">
        <f t="shared" si="2124"/>
        <v>M</v>
      </c>
      <c r="BH2829" s="65"/>
      <c r="BI2829" s="65"/>
      <c r="BJ2829" s="65"/>
      <c r="BK2829" s="65"/>
      <c r="BL2829" s="99"/>
      <c r="BM2829" s="99"/>
      <c r="BN2829" s="99"/>
    </row>
    <row r="2830" spans="1:66" s="51" customFormat="1" ht="15.75" x14ac:dyDescent="0.25">
      <c r="A2830" s="478">
        <v>7</v>
      </c>
      <c r="B2830" s="479" t="s">
        <v>291</v>
      </c>
      <c r="C2830" s="480" t="s">
        <v>850</v>
      </c>
      <c r="D2830" s="481" t="s">
        <v>311</v>
      </c>
      <c r="E2830" s="482">
        <v>91.95</v>
      </c>
      <c r="F2830" s="483" t="s">
        <v>292</v>
      </c>
      <c r="G2830" s="484">
        <v>0</v>
      </c>
      <c r="H2830" s="688" t="str">
        <f t="shared" ref="H2830:H2840" si="2151">IF(G2830=0,"",IF(F2830="Buy",IF(G2830=1,"plant","plants"),IF(F2830&gt;0.01,"warranty","Error")))</f>
        <v/>
      </c>
      <c r="I2830" s="485">
        <f t="shared" ref="I2830:I2840" si="2152">IF(H2830="free",0,IF(H2830="credit",((E2830*(F2830))*G2830*-1),IF(F2830="Buy",(E2830*G2830),((E2830*(1-F2830))*G2830))))</f>
        <v>0</v>
      </c>
      <c r="J2830" s="485">
        <f t="shared" ref="J2830:J2840" si="2153">IF(H2830="warranty",0,(I2830*(_xlfn.SINGLE(SalesTaxPercentage))))</f>
        <v>0</v>
      </c>
      <c r="K2830" s="715">
        <f t="shared" ref="K2830" si="2154">I2830+J2830</f>
        <v>0</v>
      </c>
      <c r="L2830" s="715"/>
      <c r="M2830" s="689" t="str">
        <f t="shared" ref="M2830:M2840" ca="1" si="2155">IF(AND(G2830&gt;0,E2830=0),"WARNING - no PRICE inserted",IF(H2830="free","FREE ~ no charge this plant",IF(H2830="credit",CONCATENATE("-$",ROUND(K2830*(1-_xlfn.SINGLE(T2GDiscount))*-1,2)," CREDIT after discount"),IF(_xlfn.SINGLE(T2GDiscount)=0,"",IF(G2830=0,"",IF(F2830="Buy",CONCATENATE("$",ROUND(K2830*(1-_xlfn.SINGLE(T2GDiscount)),2)," with ",(_xlfn.SINGLE(T2GDiscount)*100),"% discount"),CONCATENATE("$",ROUND(K2830*(1-_xlfn.SINGLE(T2GDiscount)),2)," with ",((_xlfn.SINGLE(T2GDiscount)*100+F2830*100)-(_xlfn.SINGLE(T2GDiscount)*100*F2830)),IF(F2830&gt;0,"% discounts",IF(_xlfn.SINGLE(NoWarrantyDiscount)&gt;0,"% discounts","% discount")))))))))</f>
        <v/>
      </c>
      <c r="N2830" s="690"/>
      <c r="O2830" s="486"/>
      <c r="P2830" s="486"/>
      <c r="Q2830" s="486"/>
      <c r="R2830" s="486"/>
      <c r="S2830" s="486"/>
      <c r="T2830" s="102">
        <f t="shared" si="2112"/>
        <v>0</v>
      </c>
      <c r="U2830" s="78">
        <f>IF(NOT(ISNUMBER(G2830)), "", VLOOKUP(A2830,'Discount Lookup'!D:E,2,FALSE)*G2830)</f>
        <v>0</v>
      </c>
      <c r="V2830" s="78">
        <f>IF(NOT(ISNUMBER(G2830)), "", VLOOKUP(A2830,'Discount Lookup'!G:H,2,FALSE)*G2830)</f>
        <v>0</v>
      </c>
      <c r="W2830" s="102">
        <f t="shared" si="2113"/>
        <v>0</v>
      </c>
      <c r="X2830" s="102">
        <f t="shared" si="2114"/>
        <v>0</v>
      </c>
      <c r="Y2830" s="120" t="b">
        <f t="shared" si="2115"/>
        <v>0</v>
      </c>
      <c r="Z2830" s="117">
        <f t="shared" si="2116"/>
        <v>0</v>
      </c>
      <c r="AA2830" s="118"/>
      <c r="AB2830" s="118" t="str">
        <f t="shared" si="2117"/>
        <v/>
      </c>
      <c r="AC2830" s="712" t="str">
        <f>IF(AE2830="T2G","no charge",IF(AND(OR(PlanterYesMe="No",PlanterYesMe="N",PlanterYesMe="me"),H2830=""),"",IF(H2830="credit","NO install",IF(AND(K2830="",AE2830="me"),"EACH row",IF(AND(K2830="images",AE2830="me"),"EACH row",IF(D2830="","",IF(H2830="credit","",IF(AE2830="free","re-planting",IF(AE2830="me","   not ELP, by",IF(AND(OR(PlanterYesMe="Yes",PlanterYesMe="Y"),G2830&gt;0),(VLOOKUP(A2830,'Discount Lookup'!J:K,2)*G2830*(1-PlanterDiscount)*(1+PlanterDifficultyPercentage)),IF(AE2830="ELP",(VLOOKUP(A2830,'Discount Lookup'!J:K,2)*G2830*(1-PlanterDiscount)*(1+PlanterDifficultyPercentage)),IF(AE2830="free","re-planting",IF(G2830=0,"",IF(PlanterYesMe="",IF(AE2830="me","   not ELP, by",IF(AE2830="",IF(G2830&gt;0,(VLOOKUP(A2830,'Discount Lookup'!J:K,2)*G2830*(1-PlanterDiscount)*(1+PlanterDifficultyPercentage)),""),"")),"   not ELP, by"))))))))))))))</f>
        <v/>
      </c>
      <c r="AD2830" s="712"/>
      <c r="AE2830" s="513" t="str">
        <f t="shared" si="2118"/>
        <v/>
      </c>
      <c r="AF2830" s="713" t="str">
        <f t="shared" si="2119"/>
        <v/>
      </c>
      <c r="AG2830" s="713"/>
      <c r="AH2830" s="713"/>
      <c r="AI2830" s="112">
        <f>IF(H2830="credit",0,IF(AE2830="free",0,IF(AE2830="me",0,IF(G2830&gt;0,(VLOOKUP(A2830,'Discount Lookup'!J:K,2)*G2830),0))))</f>
        <v>0</v>
      </c>
      <c r="AJ2830" s="107" t="str">
        <f t="shared" ca="1" si="2120"/>
        <v/>
      </c>
      <c r="AK2830" s="714" t="str">
        <f t="shared" si="2121"/>
        <v/>
      </c>
      <c r="AL2830" s="714"/>
      <c r="AM2830" s="114" t="str">
        <f t="shared" si="2122"/>
        <v/>
      </c>
      <c r="AN2830" s="115"/>
      <c r="AO2830" s="116"/>
      <c r="AP2830" s="116"/>
      <c r="AQ2830" s="116"/>
      <c r="AR2830" s="116"/>
      <c r="AS2830" s="116"/>
      <c r="AT2830" s="116"/>
      <c r="AU2830" s="116"/>
      <c r="AV2830" s="78"/>
      <c r="AW2830" s="102"/>
      <c r="AX2830" s="78"/>
      <c r="AY2830" s="78"/>
      <c r="AZ2830" s="78"/>
      <c r="BA2830" s="78"/>
      <c r="BB2830" s="78"/>
      <c r="BC2830" s="78"/>
      <c r="BD2830" s="78"/>
      <c r="BE2830" s="465"/>
      <c r="BF2830" s="165" t="str">
        <f t="shared" si="2123"/>
        <v>https://www.google.com/search?tbm=isch&amp;q=7%20G5</v>
      </c>
      <c r="BG2830" s="165" t="str">
        <f t="shared" si="2124"/>
        <v>M</v>
      </c>
      <c r="BH2830" s="65"/>
      <c r="BI2830" s="65"/>
      <c r="BJ2830" s="65"/>
      <c r="BK2830" s="65"/>
      <c r="BL2830" s="99"/>
      <c r="BM2830" s="99"/>
      <c r="BN2830" s="99"/>
    </row>
    <row r="2831" spans="1:66" s="51" customFormat="1" ht="15.75" x14ac:dyDescent="0.25">
      <c r="A2831" s="478">
        <v>7</v>
      </c>
      <c r="B2831" s="479" t="s">
        <v>291</v>
      </c>
      <c r="C2831" s="480" t="s">
        <v>974</v>
      </c>
      <c r="D2831" s="481" t="s">
        <v>299</v>
      </c>
      <c r="E2831" s="482">
        <v>102.95</v>
      </c>
      <c r="F2831" s="483" t="s">
        <v>292</v>
      </c>
      <c r="G2831" s="484">
        <v>0</v>
      </c>
      <c r="H2831" s="688" t="str">
        <f t="shared" si="2151"/>
        <v/>
      </c>
      <c r="I2831" s="485">
        <f t="shared" si="2152"/>
        <v>0</v>
      </c>
      <c r="J2831" s="485">
        <f t="shared" si="2153"/>
        <v>0</v>
      </c>
      <c r="K2831" s="715">
        <f t="shared" ref="K2831" si="2156">I2831+J2831</f>
        <v>0</v>
      </c>
      <c r="L2831" s="715"/>
      <c r="M2831" s="689" t="str">
        <f t="shared" ca="1" si="2155"/>
        <v/>
      </c>
      <c r="N2831" s="690"/>
      <c r="O2831" s="486"/>
      <c r="P2831" s="486"/>
      <c r="Q2831" s="486"/>
      <c r="R2831" s="486"/>
      <c r="S2831" s="486"/>
      <c r="T2831" s="102">
        <f t="shared" si="2112"/>
        <v>0</v>
      </c>
      <c r="U2831" s="78">
        <f>IF(NOT(ISNUMBER(G2831)), "", VLOOKUP(A2831,'Discount Lookup'!D:E,2,FALSE)*G2831)</f>
        <v>0</v>
      </c>
      <c r="V2831" s="78">
        <f>IF(NOT(ISNUMBER(G2831)), "", VLOOKUP(A2831,'Discount Lookup'!G:H,2,FALSE)*G2831)</f>
        <v>0</v>
      </c>
      <c r="W2831" s="102">
        <f t="shared" si="2113"/>
        <v>0</v>
      </c>
      <c r="X2831" s="102">
        <f t="shared" si="2114"/>
        <v>0</v>
      </c>
      <c r="Y2831" s="120" t="b">
        <f t="shared" si="2115"/>
        <v>0</v>
      </c>
      <c r="Z2831" s="117">
        <f t="shared" si="2116"/>
        <v>0</v>
      </c>
      <c r="AA2831" s="118"/>
      <c r="AB2831" s="118" t="str">
        <f t="shared" si="2117"/>
        <v/>
      </c>
      <c r="AC2831" s="712" t="str">
        <f>IF(AE2831="T2G","no charge",IF(AND(OR(PlanterYesMe="No",PlanterYesMe="N",PlanterYesMe="me"),H2831=""),"",IF(H2831="credit","NO install",IF(AND(K2831="",AE2831="me"),"EACH row",IF(AND(K2831="images",AE2831="me"),"EACH row",IF(D2831="","",IF(H2831="credit","",IF(AE2831="free","re-planting",IF(AE2831="me","   not ELP, by",IF(AND(OR(PlanterYesMe="Yes",PlanterYesMe="Y"),G2831&gt;0),(VLOOKUP(A2831,'Discount Lookup'!J:K,2)*G2831*(1-PlanterDiscount)*(1+PlanterDifficultyPercentage)),IF(AE2831="ELP",(VLOOKUP(A2831,'Discount Lookup'!J:K,2)*G2831*(1-PlanterDiscount)*(1+PlanterDifficultyPercentage)),IF(AE2831="free","re-planting",IF(G2831=0,"",IF(PlanterYesMe="",IF(AE2831="me","   not ELP, by",IF(AE2831="",IF(G2831&gt;0,(VLOOKUP(A2831,'Discount Lookup'!J:K,2)*G2831*(1-PlanterDiscount)*(1+PlanterDifficultyPercentage)),""),"")),"   not ELP, by"))))))))))))))</f>
        <v/>
      </c>
      <c r="AD2831" s="712"/>
      <c r="AE2831" s="513" t="str">
        <f t="shared" si="2118"/>
        <v/>
      </c>
      <c r="AF2831" s="713" t="str">
        <f t="shared" si="2119"/>
        <v/>
      </c>
      <c r="AG2831" s="713"/>
      <c r="AH2831" s="713"/>
      <c r="AI2831" s="112">
        <f>IF(H2831="credit",0,IF(AE2831="free",0,IF(AE2831="me",0,IF(G2831&gt;0,(VLOOKUP(A2831,'Discount Lookup'!J:K,2)*G2831),0))))</f>
        <v>0</v>
      </c>
      <c r="AJ2831" s="107" t="str">
        <f t="shared" ca="1" si="2120"/>
        <v/>
      </c>
      <c r="AK2831" s="714" t="str">
        <f t="shared" si="2121"/>
        <v/>
      </c>
      <c r="AL2831" s="714"/>
      <c r="AM2831" s="114" t="str">
        <f t="shared" si="2122"/>
        <v/>
      </c>
      <c r="AN2831" s="115"/>
      <c r="AO2831" s="116"/>
      <c r="AP2831" s="116"/>
      <c r="AQ2831" s="116"/>
      <c r="AR2831" s="116"/>
      <c r="AS2831" s="116"/>
      <c r="AT2831" s="116"/>
      <c r="AU2831" s="116"/>
      <c r="AV2831" s="78"/>
      <c r="AW2831" s="102"/>
      <c r="AX2831" s="78"/>
      <c r="AY2831" s="78"/>
      <c r="AZ2831" s="78"/>
      <c r="BA2831" s="78"/>
      <c r="BB2831" s="78"/>
      <c r="BC2831" s="78"/>
      <c r="BD2831" s="78"/>
      <c r="BE2831" s="465"/>
      <c r="BF2831" s="165" t="str">
        <f t="shared" si="2123"/>
        <v>https://www.google.com/search?tbm=isch&amp;q=7%20G4</v>
      </c>
      <c r="BG2831" s="165" t="str">
        <f t="shared" si="2124"/>
        <v>M</v>
      </c>
      <c r="BH2831" s="65"/>
      <c r="BI2831" s="65"/>
      <c r="BJ2831" s="65"/>
      <c r="BK2831" s="65"/>
      <c r="BL2831" s="99"/>
      <c r="BM2831" s="99"/>
      <c r="BN2831" s="99"/>
    </row>
    <row r="2832" spans="1:66" s="51" customFormat="1" ht="15.75" x14ac:dyDescent="0.25">
      <c r="A2832" s="478">
        <v>15</v>
      </c>
      <c r="B2832" s="479" t="s">
        <v>291</v>
      </c>
      <c r="C2832" s="480" t="s">
        <v>921</v>
      </c>
      <c r="D2832" s="481" t="s">
        <v>299</v>
      </c>
      <c r="E2832" s="482">
        <v>183.95</v>
      </c>
      <c r="F2832" s="483" t="s">
        <v>292</v>
      </c>
      <c r="G2832" s="484">
        <v>0</v>
      </c>
      <c r="H2832" s="688" t="str">
        <f t="shared" si="2151"/>
        <v/>
      </c>
      <c r="I2832" s="485">
        <f t="shared" si="2152"/>
        <v>0</v>
      </c>
      <c r="J2832" s="485">
        <f t="shared" si="2153"/>
        <v>0</v>
      </c>
      <c r="K2832" s="715">
        <f t="shared" ref="K2832" si="2157">I2832+J2832</f>
        <v>0</v>
      </c>
      <c r="L2832" s="715"/>
      <c r="M2832" s="689" t="str">
        <f t="shared" ca="1" si="2155"/>
        <v/>
      </c>
      <c r="N2832" s="690"/>
      <c r="O2832" s="486"/>
      <c r="P2832" s="486"/>
      <c r="Q2832" s="486"/>
      <c r="R2832" s="486"/>
      <c r="S2832" s="486"/>
      <c r="T2832" s="102">
        <f t="shared" si="2112"/>
        <v>0</v>
      </c>
      <c r="U2832" s="78">
        <f>IF(NOT(ISNUMBER(G2832)), "", VLOOKUP(A2832,'Discount Lookup'!D:E,2,FALSE)*G2832)</f>
        <v>0</v>
      </c>
      <c r="V2832" s="78">
        <f>IF(NOT(ISNUMBER(G2832)), "", VLOOKUP(A2832,'Discount Lookup'!G:H,2,FALSE)*G2832)</f>
        <v>0</v>
      </c>
      <c r="W2832" s="102">
        <f t="shared" si="2113"/>
        <v>0</v>
      </c>
      <c r="X2832" s="102">
        <f t="shared" si="2114"/>
        <v>0</v>
      </c>
      <c r="Y2832" s="120" t="b">
        <f t="shared" si="2115"/>
        <v>0</v>
      </c>
      <c r="Z2832" s="117">
        <f t="shared" si="2116"/>
        <v>0</v>
      </c>
      <c r="AA2832" s="118"/>
      <c r="AB2832" s="118" t="str">
        <f t="shared" si="2117"/>
        <v/>
      </c>
      <c r="AC2832" s="712" t="str">
        <f>IF(AE2832="T2G","no charge",IF(AND(OR(PlanterYesMe="No",PlanterYesMe="N",PlanterYesMe="me"),H2832=""),"",IF(H2832="credit","NO install",IF(AND(K2832="",AE2832="me"),"EACH row",IF(AND(K2832="images",AE2832="me"),"EACH row",IF(D2832="","",IF(H2832="credit","",IF(AE2832="free","re-planting",IF(AE2832="me","   not ELP, by",IF(AND(OR(PlanterYesMe="Yes",PlanterYesMe="Y"),G2832&gt;0),(VLOOKUP(A2832,'Discount Lookup'!J:K,2)*G2832*(1-PlanterDiscount)*(1+PlanterDifficultyPercentage)),IF(AE2832="ELP",(VLOOKUP(A2832,'Discount Lookup'!J:K,2)*G2832*(1-PlanterDiscount)*(1+PlanterDifficultyPercentage)),IF(AE2832="free","re-planting",IF(G2832=0,"",IF(PlanterYesMe="",IF(AE2832="me","   not ELP, by",IF(AE2832="",IF(G2832&gt;0,(VLOOKUP(A2832,'Discount Lookup'!J:K,2)*G2832*(1-PlanterDiscount)*(1+PlanterDifficultyPercentage)),""),"")),"   not ELP, by"))))))))))))))</f>
        <v/>
      </c>
      <c r="AD2832" s="712"/>
      <c r="AE2832" s="513" t="str">
        <f t="shared" si="2118"/>
        <v/>
      </c>
      <c r="AF2832" s="713" t="str">
        <f t="shared" si="2119"/>
        <v/>
      </c>
      <c r="AG2832" s="713"/>
      <c r="AH2832" s="713"/>
      <c r="AI2832" s="112">
        <f>IF(H2832="credit",0,IF(AE2832="free",0,IF(AE2832="me",0,IF(G2832&gt;0,(VLOOKUP(A2832,'Discount Lookup'!J:K,2)*G2832),0))))</f>
        <v>0</v>
      </c>
      <c r="AJ2832" s="107" t="str">
        <f t="shared" ca="1" si="2120"/>
        <v/>
      </c>
      <c r="AK2832" s="714" t="str">
        <f t="shared" si="2121"/>
        <v/>
      </c>
      <c r="AL2832" s="714"/>
      <c r="AM2832" s="114" t="str">
        <f t="shared" si="2122"/>
        <v/>
      </c>
      <c r="AN2832" s="115"/>
      <c r="AO2832" s="116"/>
      <c r="AP2832" s="116"/>
      <c r="AQ2832" s="116"/>
      <c r="AR2832" s="116"/>
      <c r="AS2832" s="116"/>
      <c r="AT2832" s="116"/>
      <c r="AU2832" s="116"/>
      <c r="AV2832" s="78"/>
      <c r="AW2832" s="102"/>
      <c r="AX2832" s="78"/>
      <c r="AY2832" s="78"/>
      <c r="AZ2832" s="78"/>
      <c r="BA2832" s="78"/>
      <c r="BB2832" s="78"/>
      <c r="BC2832" s="78"/>
      <c r="BD2832" s="78"/>
      <c r="BE2832" s="465"/>
      <c r="BF2832" s="165" t="str">
        <f t="shared" si="2123"/>
        <v>https://www.google.com/search?tbm=isch&amp;q=15%20G4</v>
      </c>
      <c r="BG2832" s="165" t="str">
        <f t="shared" si="2124"/>
        <v>M</v>
      </c>
      <c r="BH2832" s="65"/>
      <c r="BI2832" s="65"/>
      <c r="BJ2832" s="65"/>
      <c r="BK2832" s="65"/>
      <c r="BL2832" s="99"/>
      <c r="BM2832" s="99"/>
      <c r="BN2832" s="99"/>
    </row>
    <row r="2833" spans="1:66" s="51" customFormat="1" ht="15.75" x14ac:dyDescent="0.25">
      <c r="A2833" s="478">
        <v>15</v>
      </c>
      <c r="B2833" s="479" t="s">
        <v>291</v>
      </c>
      <c r="C2833" s="480" t="s">
        <v>606</v>
      </c>
      <c r="D2833" s="481" t="s">
        <v>311</v>
      </c>
      <c r="E2833" s="482">
        <v>183.95</v>
      </c>
      <c r="F2833" s="483" t="s">
        <v>292</v>
      </c>
      <c r="G2833" s="484">
        <v>0</v>
      </c>
      <c r="H2833" s="688" t="str">
        <f t="shared" si="2151"/>
        <v/>
      </c>
      <c r="I2833" s="485">
        <f t="shared" si="2152"/>
        <v>0</v>
      </c>
      <c r="J2833" s="485">
        <f t="shared" si="2153"/>
        <v>0</v>
      </c>
      <c r="K2833" s="715">
        <f t="shared" ref="K2833" si="2158">I2833+J2833</f>
        <v>0</v>
      </c>
      <c r="L2833" s="715"/>
      <c r="M2833" s="689" t="str">
        <f t="shared" ca="1" si="2155"/>
        <v/>
      </c>
      <c r="N2833" s="690"/>
      <c r="O2833" s="486"/>
      <c r="P2833" s="486"/>
      <c r="Q2833" s="486"/>
      <c r="R2833" s="486"/>
      <c r="S2833" s="486"/>
      <c r="T2833" s="102">
        <f t="shared" si="2112"/>
        <v>0</v>
      </c>
      <c r="U2833" s="78">
        <f>IF(NOT(ISNUMBER(G2833)), "", VLOOKUP(A2833,'Discount Lookup'!D:E,2,FALSE)*G2833)</f>
        <v>0</v>
      </c>
      <c r="V2833" s="78">
        <f>IF(NOT(ISNUMBER(G2833)), "", VLOOKUP(A2833,'Discount Lookup'!G:H,2,FALSE)*G2833)</f>
        <v>0</v>
      </c>
      <c r="W2833" s="102">
        <f t="shared" si="2113"/>
        <v>0</v>
      </c>
      <c r="X2833" s="102">
        <f t="shared" si="2114"/>
        <v>0</v>
      </c>
      <c r="Y2833" s="120" t="b">
        <f t="shared" si="2115"/>
        <v>0</v>
      </c>
      <c r="Z2833" s="117">
        <f t="shared" si="2116"/>
        <v>0</v>
      </c>
      <c r="AA2833" s="118"/>
      <c r="AB2833" s="118" t="str">
        <f t="shared" si="2117"/>
        <v/>
      </c>
      <c r="AC2833" s="712" t="str">
        <f>IF(AE2833="T2G","no charge",IF(AND(OR(PlanterYesMe="No",PlanterYesMe="N",PlanterYesMe="me"),H2833=""),"",IF(H2833="credit","NO install",IF(AND(K2833="",AE2833="me"),"EACH row",IF(AND(K2833="images",AE2833="me"),"EACH row",IF(D2833="","",IF(H2833="credit","",IF(AE2833="free","re-planting",IF(AE2833="me","   not ELP, by",IF(AND(OR(PlanterYesMe="Yes",PlanterYesMe="Y"),G2833&gt;0),(VLOOKUP(A2833,'Discount Lookup'!J:K,2)*G2833*(1-PlanterDiscount)*(1+PlanterDifficultyPercentage)),IF(AE2833="ELP",(VLOOKUP(A2833,'Discount Lookup'!J:K,2)*G2833*(1-PlanterDiscount)*(1+PlanterDifficultyPercentage)),IF(AE2833="free","re-planting",IF(G2833=0,"",IF(PlanterYesMe="",IF(AE2833="me","   not ELP, by",IF(AE2833="",IF(G2833&gt;0,(VLOOKUP(A2833,'Discount Lookup'!J:K,2)*G2833*(1-PlanterDiscount)*(1+PlanterDifficultyPercentage)),""),"")),"   not ELP, by"))))))))))))))</f>
        <v/>
      </c>
      <c r="AD2833" s="712"/>
      <c r="AE2833" s="513" t="str">
        <f t="shared" si="2118"/>
        <v/>
      </c>
      <c r="AF2833" s="713" t="str">
        <f t="shared" si="2119"/>
        <v/>
      </c>
      <c r="AG2833" s="713"/>
      <c r="AH2833" s="713"/>
      <c r="AI2833" s="112">
        <f>IF(H2833="credit",0,IF(AE2833="free",0,IF(AE2833="me",0,IF(G2833&gt;0,(VLOOKUP(A2833,'Discount Lookup'!J:K,2)*G2833),0))))</f>
        <v>0</v>
      </c>
      <c r="AJ2833" s="107" t="str">
        <f t="shared" ca="1" si="2120"/>
        <v/>
      </c>
      <c r="AK2833" s="714" t="str">
        <f t="shared" si="2121"/>
        <v/>
      </c>
      <c r="AL2833" s="714"/>
      <c r="AM2833" s="114" t="str">
        <f t="shared" si="2122"/>
        <v/>
      </c>
      <c r="AN2833" s="115"/>
      <c r="AO2833" s="116"/>
      <c r="AP2833" s="116"/>
      <c r="AQ2833" s="116"/>
      <c r="AR2833" s="116"/>
      <c r="AS2833" s="116"/>
      <c r="AT2833" s="116"/>
      <c r="AU2833" s="116"/>
      <c r="AV2833" s="78"/>
      <c r="AW2833" s="102"/>
      <c r="AX2833" s="78"/>
      <c r="AY2833" s="78"/>
      <c r="AZ2833" s="78"/>
      <c r="BA2833" s="78"/>
      <c r="BB2833" s="78"/>
      <c r="BC2833" s="78"/>
      <c r="BD2833" s="78"/>
      <c r="BE2833" s="465"/>
      <c r="BF2833" s="165" t="str">
        <f t="shared" si="2123"/>
        <v>https://www.google.com/search?tbm=isch&amp;q=15%20G5</v>
      </c>
      <c r="BG2833" s="165" t="str">
        <f t="shared" si="2124"/>
        <v>M</v>
      </c>
      <c r="BH2833" s="65"/>
      <c r="BI2833" s="65"/>
      <c r="BJ2833" s="65"/>
      <c r="BK2833" s="65"/>
      <c r="BL2833" s="99"/>
      <c r="BM2833" s="99"/>
      <c r="BN2833" s="99"/>
    </row>
    <row r="2834" spans="1:66" s="51" customFormat="1" ht="27" x14ac:dyDescent="0.25">
      <c r="A2834" s="478">
        <v>30</v>
      </c>
      <c r="B2834" s="479" t="s">
        <v>291</v>
      </c>
      <c r="C2834" s="480" t="s">
        <v>851</v>
      </c>
      <c r="D2834" s="481" t="s">
        <v>311</v>
      </c>
      <c r="E2834" s="482">
        <v>247.95</v>
      </c>
      <c r="F2834" s="483" t="s">
        <v>292</v>
      </c>
      <c r="G2834" s="484">
        <v>0</v>
      </c>
      <c r="H2834" s="688" t="str">
        <f t="shared" si="2151"/>
        <v/>
      </c>
      <c r="I2834" s="485">
        <f t="shared" si="2152"/>
        <v>0</v>
      </c>
      <c r="J2834" s="485">
        <f t="shared" si="2153"/>
        <v>0</v>
      </c>
      <c r="K2834" s="715">
        <f t="shared" ref="K2834" si="2159">I2834+J2834</f>
        <v>0</v>
      </c>
      <c r="L2834" s="715"/>
      <c r="M2834" s="689" t="str">
        <f t="shared" ca="1" si="2155"/>
        <v/>
      </c>
      <c r="N2834" s="690"/>
      <c r="O2834" s="486"/>
      <c r="P2834" s="486"/>
      <c r="Q2834" s="486"/>
      <c r="R2834" s="486"/>
      <c r="S2834" s="486"/>
      <c r="T2834" s="102">
        <f t="shared" si="2112"/>
        <v>0</v>
      </c>
      <c r="U2834" s="78">
        <f>IF(NOT(ISNUMBER(G2834)), "", VLOOKUP(A2834,'Discount Lookup'!D:E,2,FALSE)*G2834)</f>
        <v>0</v>
      </c>
      <c r="V2834" s="78">
        <f>IF(NOT(ISNUMBER(G2834)), "", VLOOKUP(A2834,'Discount Lookup'!G:H,2,FALSE)*G2834)</f>
        <v>0</v>
      </c>
      <c r="W2834" s="102">
        <f t="shared" si="2113"/>
        <v>0</v>
      </c>
      <c r="X2834" s="102">
        <f t="shared" si="2114"/>
        <v>0</v>
      </c>
      <c r="Y2834" s="120" t="b">
        <f t="shared" si="2115"/>
        <v>0</v>
      </c>
      <c r="Z2834" s="117">
        <f t="shared" si="2116"/>
        <v>0</v>
      </c>
      <c r="AA2834" s="118"/>
      <c r="AB2834" s="118" t="str">
        <f t="shared" si="2117"/>
        <v/>
      </c>
      <c r="AC2834" s="712" t="str">
        <f>IF(AE2834="T2G","no charge",IF(AND(OR(PlanterYesMe="No",PlanterYesMe="N",PlanterYesMe="me"),H2834=""),"",IF(H2834="credit","NO install",IF(AND(K2834="",AE2834="me"),"EACH row",IF(AND(K2834="images",AE2834="me"),"EACH row",IF(D2834="","",IF(H2834="credit","",IF(AE2834="free","re-planting",IF(AE2834="me","   not ELP, by",IF(AND(OR(PlanterYesMe="Yes",PlanterYesMe="Y"),G2834&gt;0),(VLOOKUP(A2834,'Discount Lookup'!J:K,2)*G2834*(1-PlanterDiscount)*(1+PlanterDifficultyPercentage)),IF(AE2834="ELP",(VLOOKUP(A2834,'Discount Lookup'!J:K,2)*G2834*(1-PlanterDiscount)*(1+PlanterDifficultyPercentage)),IF(AE2834="free","re-planting",IF(G2834=0,"",IF(PlanterYesMe="",IF(AE2834="me","   not ELP, by",IF(AE2834="",IF(G2834&gt;0,(VLOOKUP(A2834,'Discount Lookup'!J:K,2)*G2834*(1-PlanterDiscount)*(1+PlanterDifficultyPercentage)),""),"")),"   not ELP, by"))))))))))))))</f>
        <v/>
      </c>
      <c r="AD2834" s="712"/>
      <c r="AE2834" s="513" t="str">
        <f t="shared" si="2118"/>
        <v/>
      </c>
      <c r="AF2834" s="713" t="str">
        <f t="shared" si="2119"/>
        <v/>
      </c>
      <c r="AG2834" s="713"/>
      <c r="AH2834" s="713"/>
      <c r="AI2834" s="112">
        <f>IF(H2834="credit",0,IF(AE2834="free",0,IF(AE2834="me",0,IF(G2834&gt;0,(VLOOKUP(A2834,'Discount Lookup'!J:K,2)*G2834),0))))</f>
        <v>0</v>
      </c>
      <c r="AJ2834" s="107" t="str">
        <f t="shared" ca="1" si="2120"/>
        <v/>
      </c>
      <c r="AK2834" s="714" t="str">
        <f t="shared" si="2121"/>
        <v/>
      </c>
      <c r="AL2834" s="714"/>
      <c r="AM2834" s="114" t="str">
        <f t="shared" si="2122"/>
        <v/>
      </c>
      <c r="AN2834" s="115"/>
      <c r="AO2834" s="116"/>
      <c r="AP2834" s="116"/>
      <c r="AQ2834" s="116"/>
      <c r="AR2834" s="116"/>
      <c r="AS2834" s="116"/>
      <c r="AT2834" s="116"/>
      <c r="AU2834" s="116"/>
      <c r="AV2834" s="78"/>
      <c r="AW2834" s="102"/>
      <c r="AX2834" s="78"/>
      <c r="AY2834" s="78"/>
      <c r="AZ2834" s="78"/>
      <c r="BA2834" s="78"/>
      <c r="BB2834" s="78"/>
      <c r="BC2834" s="78"/>
      <c r="BD2834" s="78"/>
      <c r="BE2834" s="465"/>
      <c r="BF2834" s="165" t="str">
        <f t="shared" si="2123"/>
        <v>https://www.google.com/search?tbm=isch&amp;q=30%20G5</v>
      </c>
      <c r="BG2834" s="165" t="str">
        <f t="shared" si="2124"/>
        <v>M</v>
      </c>
      <c r="BH2834" s="65"/>
      <c r="BI2834" s="65"/>
      <c r="BJ2834" s="65"/>
      <c r="BK2834" s="65"/>
      <c r="BL2834" s="99"/>
      <c r="BM2834" s="99"/>
      <c r="BN2834" s="99"/>
    </row>
    <row r="2835" spans="1:66" s="51" customFormat="1" ht="27" x14ac:dyDescent="0.25">
      <c r="A2835" s="478">
        <v>15</v>
      </c>
      <c r="B2835" s="479" t="s">
        <v>291</v>
      </c>
      <c r="C2835" s="480" t="s">
        <v>975</v>
      </c>
      <c r="D2835" s="481" t="s">
        <v>299</v>
      </c>
      <c r="E2835" s="482">
        <v>376.95</v>
      </c>
      <c r="F2835" s="483" t="s">
        <v>292</v>
      </c>
      <c r="G2835" s="484">
        <v>0</v>
      </c>
      <c r="H2835" s="688" t="str">
        <f t="shared" si="2151"/>
        <v/>
      </c>
      <c r="I2835" s="485">
        <f t="shared" si="2152"/>
        <v>0</v>
      </c>
      <c r="J2835" s="485">
        <f t="shared" si="2153"/>
        <v>0</v>
      </c>
      <c r="K2835" s="715">
        <f t="shared" ref="K2835" si="2160">I2835+J2835</f>
        <v>0</v>
      </c>
      <c r="L2835" s="715"/>
      <c r="M2835" s="689" t="str">
        <f t="shared" ca="1" si="2155"/>
        <v/>
      </c>
      <c r="N2835" s="690"/>
      <c r="O2835" s="486"/>
      <c r="P2835" s="486"/>
      <c r="Q2835" s="486"/>
      <c r="R2835" s="486"/>
      <c r="S2835" s="486"/>
      <c r="T2835" s="102">
        <f t="shared" si="2112"/>
        <v>0</v>
      </c>
      <c r="U2835" s="78">
        <f>IF(NOT(ISNUMBER(G2835)), "", VLOOKUP(A2835,'Discount Lookup'!D:E,2,FALSE)*G2835)</f>
        <v>0</v>
      </c>
      <c r="V2835" s="78">
        <f>IF(NOT(ISNUMBER(G2835)), "", VLOOKUP(A2835,'Discount Lookup'!G:H,2,FALSE)*G2835)</f>
        <v>0</v>
      </c>
      <c r="W2835" s="102">
        <f t="shared" si="2113"/>
        <v>0</v>
      </c>
      <c r="X2835" s="102">
        <f t="shared" si="2114"/>
        <v>0</v>
      </c>
      <c r="Y2835" s="120" t="b">
        <f t="shared" si="2115"/>
        <v>0</v>
      </c>
      <c r="Z2835" s="117">
        <f t="shared" si="2116"/>
        <v>0</v>
      </c>
      <c r="AA2835" s="118"/>
      <c r="AB2835" s="118" t="str">
        <f t="shared" si="2117"/>
        <v/>
      </c>
      <c r="AC2835" s="712" t="str">
        <f>IF(AE2835="T2G","no charge",IF(AND(OR(PlanterYesMe="No",PlanterYesMe="N",PlanterYesMe="me"),H2835=""),"",IF(H2835="credit","NO install",IF(AND(K2835="",AE2835="me"),"EACH row",IF(AND(K2835="images",AE2835="me"),"EACH row",IF(D2835="","",IF(H2835="credit","",IF(AE2835="free","re-planting",IF(AE2835="me","   not ELP, by",IF(AND(OR(PlanterYesMe="Yes",PlanterYesMe="Y"),G2835&gt;0),(VLOOKUP(A2835,'Discount Lookup'!J:K,2)*G2835*(1-PlanterDiscount)*(1+PlanterDifficultyPercentage)),IF(AE2835="ELP",(VLOOKUP(A2835,'Discount Lookup'!J:K,2)*G2835*(1-PlanterDiscount)*(1+PlanterDifficultyPercentage)),IF(AE2835="free","re-planting",IF(G2835=0,"",IF(PlanterYesMe="",IF(AE2835="me","   not ELP, by",IF(AE2835="",IF(G2835&gt;0,(VLOOKUP(A2835,'Discount Lookup'!J:K,2)*G2835*(1-PlanterDiscount)*(1+PlanterDifficultyPercentage)),""),"")),"   not ELP, by"))))))))))))))</f>
        <v/>
      </c>
      <c r="AD2835" s="712"/>
      <c r="AE2835" s="513" t="str">
        <f t="shared" si="2118"/>
        <v/>
      </c>
      <c r="AF2835" s="713" t="str">
        <f t="shared" si="2119"/>
        <v/>
      </c>
      <c r="AG2835" s="713"/>
      <c r="AH2835" s="713"/>
      <c r="AI2835" s="112">
        <f>IF(H2835="credit",0,IF(AE2835="free",0,IF(AE2835="me",0,IF(G2835&gt;0,(VLOOKUP(A2835,'Discount Lookup'!J:K,2)*G2835),0))))</f>
        <v>0</v>
      </c>
      <c r="AJ2835" s="107" t="str">
        <f t="shared" ca="1" si="2120"/>
        <v/>
      </c>
      <c r="AK2835" s="714" t="str">
        <f t="shared" si="2121"/>
        <v/>
      </c>
      <c r="AL2835" s="714"/>
      <c r="AM2835" s="114" t="str">
        <f t="shared" si="2122"/>
        <v/>
      </c>
      <c r="AN2835" s="115"/>
      <c r="AO2835" s="116"/>
      <c r="AP2835" s="116"/>
      <c r="AQ2835" s="116"/>
      <c r="AR2835" s="116"/>
      <c r="AS2835" s="116"/>
      <c r="AT2835" s="116"/>
      <c r="AU2835" s="116"/>
      <c r="AV2835" s="78"/>
      <c r="AW2835" s="102"/>
      <c r="AX2835" s="78"/>
      <c r="AY2835" s="78"/>
      <c r="AZ2835" s="78"/>
      <c r="BA2835" s="78"/>
      <c r="BB2835" s="78"/>
      <c r="BC2835" s="78"/>
      <c r="BD2835" s="78"/>
      <c r="BE2835" s="465"/>
      <c r="BF2835" s="165" t="str">
        <f t="shared" si="2123"/>
        <v>https://www.google.com/search?tbm=isch&amp;q=15%20G4</v>
      </c>
      <c r="BG2835" s="165" t="str">
        <f t="shared" si="2124"/>
        <v>M</v>
      </c>
      <c r="BH2835" s="65"/>
      <c r="BI2835" s="65"/>
      <c r="BJ2835" s="65"/>
      <c r="BK2835" s="65"/>
      <c r="BL2835" s="99"/>
      <c r="BM2835" s="99"/>
      <c r="BN2835" s="99"/>
    </row>
    <row r="2836" spans="1:66" s="51" customFormat="1" ht="15.75" x14ac:dyDescent="0.25">
      <c r="A2836" s="478">
        <v>25</v>
      </c>
      <c r="B2836" s="479" t="s">
        <v>291</v>
      </c>
      <c r="C2836" s="480" t="s">
        <v>976</v>
      </c>
      <c r="D2836" s="481" t="s">
        <v>299</v>
      </c>
      <c r="E2836" s="482">
        <v>385.95</v>
      </c>
      <c r="F2836" s="483" t="s">
        <v>292</v>
      </c>
      <c r="G2836" s="484">
        <v>0</v>
      </c>
      <c r="H2836" s="688" t="str">
        <f t="shared" si="2151"/>
        <v/>
      </c>
      <c r="I2836" s="485">
        <f t="shared" si="2152"/>
        <v>0</v>
      </c>
      <c r="J2836" s="485">
        <f t="shared" si="2153"/>
        <v>0</v>
      </c>
      <c r="K2836" s="715">
        <f t="shared" ref="K2836" si="2161">I2836+J2836</f>
        <v>0</v>
      </c>
      <c r="L2836" s="715"/>
      <c r="M2836" s="689" t="str">
        <f t="shared" ca="1" si="2155"/>
        <v/>
      </c>
      <c r="N2836" s="690"/>
      <c r="O2836" s="486"/>
      <c r="P2836" s="486"/>
      <c r="Q2836" s="486"/>
      <c r="R2836" s="486"/>
      <c r="S2836" s="486"/>
      <c r="T2836" s="102">
        <f t="shared" ref="T2836:T2899" si="2162">E2836*G2836</f>
        <v>0</v>
      </c>
      <c r="U2836" s="78">
        <f>IF(NOT(ISNUMBER(G2836)), "", VLOOKUP(A2836,'Discount Lookup'!D:E,2,FALSE)*G2836)</f>
        <v>0</v>
      </c>
      <c r="V2836" s="78">
        <f>IF(NOT(ISNUMBER(G2836)), "", VLOOKUP(A2836,'Discount Lookup'!G:H,2,FALSE)*G2836)</f>
        <v>0</v>
      </c>
      <c r="W2836" s="102">
        <f t="shared" ref="W2836:W2899" si="2163">IF(H2836="credit",0,E2836*(SalesTaxPercentage)*G2836)</f>
        <v>0</v>
      </c>
      <c r="X2836" s="102">
        <f t="shared" ref="X2836:X2899" si="2164">I2836</f>
        <v>0</v>
      </c>
      <c r="Y2836" s="120" t="b">
        <f t="shared" ref="Y2836:Y2899" si="2165">IF(AE2836="T2G",0,IF(H2836="credit",0,IF(G2836&gt;0,IF(AE2836="me","",G2836))))</f>
        <v>0</v>
      </c>
      <c r="Z2836" s="117">
        <f t="shared" ref="Z2836:Z2899" si="2166">IF(H2836="credit",G2836,0)</f>
        <v>0</v>
      </c>
      <c r="AA2836" s="118"/>
      <c r="AB2836" s="118" t="str">
        <f t="shared" ref="AB2836:AB2899" si="2167">IF(AE2836="T2G","by Trees2Go",IF(H2836="credit","CREDIT only ~",IF(AND(K2836="",AE2836=OR(PlanterYesMe="No",PlanterYesMe="N",PlanterYesMe="me")),"not THIS line⇨",IF(AND(K2836="images",AE2836="me"),"not THIS line⇨",IF(H2836="credit","",IF(G2836=0,"",IF(AE2836="me","",IF(OR(PlanterYesMe="No",PlanterYesMe="N",PlanterYesMe="me"),"",IF(AE2836="free","warranty",IF(OR(PlanterYesMe="yes",PlanterYesMe="y"),"Edison install:","to install:"))))))))))</f>
        <v/>
      </c>
      <c r="AC2836" s="712" t="str">
        <f>IF(AE2836="T2G","no charge",IF(AND(OR(PlanterYesMe="No",PlanterYesMe="N",PlanterYesMe="me"),H2836=""),"",IF(H2836="credit","NO install",IF(AND(K2836="",AE2836="me"),"EACH row",IF(AND(K2836="images",AE2836="me"),"EACH row",IF(D2836="","",IF(H2836="credit","",IF(AE2836="free","re-planting",IF(AE2836="me","   not ELP, by",IF(AND(OR(PlanterYesMe="Yes",PlanterYesMe="Y"),G2836&gt;0),(VLOOKUP(A2836,'Discount Lookup'!J:K,2)*G2836*(1-PlanterDiscount)*(1+PlanterDifficultyPercentage)),IF(AE2836="ELP",(VLOOKUP(A2836,'Discount Lookup'!J:K,2)*G2836*(1-PlanterDiscount)*(1+PlanterDifficultyPercentage)),IF(AE2836="free","re-planting",IF(G2836=0,"",IF(PlanterYesMe="",IF(AE2836="me","   not ELP, by",IF(AE2836="",IF(G2836&gt;0,(VLOOKUP(A2836,'Discount Lookup'!J:K,2)*G2836*(1-PlanterDiscount)*(1+PlanterDifficultyPercentage)),""),"")),"   not ELP, by"))))))))))))))</f>
        <v/>
      </c>
      <c r="AD2836" s="712"/>
      <c r="AE2836" s="513" t="str">
        <f t="shared" ref="AE2836:AE2899" si="2168">IF(H2836="credit","",IF(G2836=0,"",IF(OR(PlanterYesMe="No",PlanterYesMe="N",PlanterYesMe="me"),"me",IF(H2836="warranty","free",IF(OR(PlanterYesMe="yes",PlanterYesMe="y"),"ELP","")))))</f>
        <v/>
      </c>
      <c r="AF2836" s="713" t="str">
        <f t="shared" ref="AF2836:AF2899" si="2169">IF(OR(PlanterYesMe="No",PlanterYesMe="N",PlanterYesMe="me"),"",IF(H2836="credit","",IF(G2836&gt;0,(CONCATENATE((G2836)," quantity, ",(A2836)," ",B2836)),"")))</f>
        <v/>
      </c>
      <c r="AG2836" s="713"/>
      <c r="AH2836" s="713"/>
      <c r="AI2836" s="112">
        <f>IF(H2836="credit",0,IF(AE2836="free",0,IF(AE2836="me",0,IF(G2836&gt;0,(VLOOKUP(A2836,'Discount Lookup'!J:K,2)*G2836),0))))</f>
        <v>0</v>
      </c>
      <c r="AJ2836" s="107" t="str">
        <f t="shared" ref="AJ2836:AJ2899" ca="1" si="2170">IF(AND(ISREF(H2836),H2836="credit"),"",IF(AND(AND(OFFSET(G2836,0,0)=0,OFFSET(G2836,1,0)&gt;0,ISNUMBER(OFFSET(AC2836,1,0)),OFFSET(AC2836,1,0)&gt;0),OR(PlanterYesMe="yes",PlanterYesMe="y")),"T2G+ELP=",IF(AND(OFFSET(G2836,0,0)=0,OFFSET(G2836,1,0)&gt;0,ISNUMBER(OFFSET(AC2836,1,0)),OFFSET(AC2836,1,0)&gt;0),"if T2G+ELP=",IF(AND(OFFSET(G2836,0,0)=0,OFFSET(G2836,1,0)&gt;0),"T2G Subtotal",IF(H2836="credit","",IF(G2836=0,"",IF(AE2836="free",(K2836*(1-T2GDiscount)),IF(OR(PlanterYesMe="No",PlanterYesMe="N",PlanterYesMe="me"),(K2836*(1-T2GDiscount)),IF(OR(AE2836="me",AE2836="T2G"),(K2836*(1-T2GDiscount)),(K2836*(1-T2GDiscount))+AC2836)))))))))</f>
        <v/>
      </c>
      <c r="AK2836" s="714" t="str">
        <f t="shared" ref="AK2836:AK2899" si="2171">IF(H2836="credit","",IF(G2836=0,"",IF(OR(AE2836="me",AE2836="T2G"),"  delivery-only",IF(OR(PlanterYesMe="No",PlanterYesMe="N",PlanterYesMe="me"),"  delivery-only",CONCATENATE(" $",ROUND(AJ2836/G2836,2)," each")))))</f>
        <v/>
      </c>
      <c r="AL2836" s="714"/>
      <c r="AM2836" s="114" t="str">
        <f t="shared" ref="AM2836:AM2899" si="2172">IF(H2836="credit","",IF(AE2836="free","      ~ discounts included, no tax or planting fee applies ~",IF(G2836=0,"",IF(OR(PlanterYesMe="No",PlanterYesMe="N",PlanterYesMe="me"),CONCATENATE(" $",ROUND(AJ2836/G2836,2)," per plant, with tax &amp; discount"),IF(OR(AE2836="me",AE2836="T2G"),CONCATENATE(" $",ROUND(AJ2836/G2836,2)," per plant, with tax &amp; discount"),CONCATENATE("= $",ROUND((K2836*(1-T2GDiscount))/G2836,2)," per plant + $",AC2836/G2836,(" per planting      ~ includes tax &amp; discounts ~")))))))</f>
        <v/>
      </c>
      <c r="AN2836" s="115"/>
      <c r="AO2836" s="116"/>
      <c r="AP2836" s="116"/>
      <c r="AQ2836" s="116"/>
      <c r="AR2836" s="116"/>
      <c r="AS2836" s="116"/>
      <c r="AT2836" s="116"/>
      <c r="AU2836" s="116"/>
      <c r="AV2836" s="78"/>
      <c r="AW2836" s="102"/>
      <c r="AX2836" s="78"/>
      <c r="AY2836" s="78"/>
      <c r="AZ2836" s="78"/>
      <c r="BA2836" s="78"/>
      <c r="BB2836" s="78"/>
      <c r="BC2836" s="78"/>
      <c r="BD2836" s="78"/>
      <c r="BE2836" s="465"/>
      <c r="BF2836" s="165" t="str">
        <f t="shared" ref="BF2836:BF2899" si="2173">"https://www.google.com/search?tbm=isch&amp;q=" &amp; _xlfn.ENCODEURL($A2836 &amp; " " &amp; $D2836)</f>
        <v>https://www.google.com/search?tbm=isch&amp;q=25%20G4</v>
      </c>
      <c r="BG2836" s="165" t="str">
        <f t="shared" ref="BG2836:BG2899" si="2174">IF(ISTEXT(A2836),LEFT(A2836,1),BG2835)</f>
        <v>M</v>
      </c>
      <c r="BH2836" s="65"/>
      <c r="BI2836" s="65"/>
      <c r="BJ2836" s="65"/>
      <c r="BK2836" s="65"/>
      <c r="BL2836" s="99"/>
      <c r="BM2836" s="99"/>
      <c r="BN2836" s="99"/>
    </row>
    <row r="2837" spans="1:66" s="51" customFormat="1" ht="15.75" x14ac:dyDescent="0.25">
      <c r="A2837" s="478">
        <v>25</v>
      </c>
      <c r="B2837" s="479" t="s">
        <v>291</v>
      </c>
      <c r="C2837" s="480" t="s">
        <v>977</v>
      </c>
      <c r="D2837" s="481" t="s">
        <v>299</v>
      </c>
      <c r="E2837" s="482">
        <v>559.95000000000005</v>
      </c>
      <c r="F2837" s="483" t="s">
        <v>292</v>
      </c>
      <c r="G2837" s="484">
        <v>0</v>
      </c>
      <c r="H2837" s="688" t="str">
        <f t="shared" si="2151"/>
        <v/>
      </c>
      <c r="I2837" s="485">
        <f t="shared" si="2152"/>
        <v>0</v>
      </c>
      <c r="J2837" s="485">
        <f t="shared" si="2153"/>
        <v>0</v>
      </c>
      <c r="K2837" s="715">
        <f t="shared" ref="K2837" si="2175">I2837+J2837</f>
        <v>0</v>
      </c>
      <c r="L2837" s="715"/>
      <c r="M2837" s="689" t="str">
        <f t="shared" ca="1" si="2155"/>
        <v/>
      </c>
      <c r="N2837" s="690"/>
      <c r="O2837" s="486"/>
      <c r="P2837" s="486"/>
      <c r="Q2837" s="486"/>
      <c r="R2837" s="486"/>
      <c r="S2837" s="486"/>
      <c r="T2837" s="102">
        <f t="shared" si="2162"/>
        <v>0</v>
      </c>
      <c r="U2837" s="78">
        <f>IF(NOT(ISNUMBER(G2837)), "", VLOOKUP(A2837,'Discount Lookup'!D:E,2,FALSE)*G2837)</f>
        <v>0</v>
      </c>
      <c r="V2837" s="78">
        <f>IF(NOT(ISNUMBER(G2837)), "", VLOOKUP(A2837,'Discount Lookup'!G:H,2,FALSE)*G2837)</f>
        <v>0</v>
      </c>
      <c r="W2837" s="102">
        <f t="shared" si="2163"/>
        <v>0</v>
      </c>
      <c r="X2837" s="102">
        <f t="shared" si="2164"/>
        <v>0</v>
      </c>
      <c r="Y2837" s="120" t="b">
        <f t="shared" si="2165"/>
        <v>0</v>
      </c>
      <c r="Z2837" s="117">
        <f t="shared" si="2166"/>
        <v>0</v>
      </c>
      <c r="AA2837" s="118"/>
      <c r="AB2837" s="118" t="str">
        <f t="shared" si="2167"/>
        <v/>
      </c>
      <c r="AC2837" s="712" t="str">
        <f>IF(AE2837="T2G","no charge",IF(AND(OR(PlanterYesMe="No",PlanterYesMe="N",PlanterYesMe="me"),H2837=""),"",IF(H2837="credit","NO install",IF(AND(K2837="",AE2837="me"),"EACH row",IF(AND(K2837="images",AE2837="me"),"EACH row",IF(D2837="","",IF(H2837="credit","",IF(AE2837="free","re-planting",IF(AE2837="me","   not ELP, by",IF(AND(OR(PlanterYesMe="Yes",PlanterYesMe="Y"),G2837&gt;0),(VLOOKUP(A2837,'Discount Lookup'!J:K,2)*G2837*(1-PlanterDiscount)*(1+PlanterDifficultyPercentage)),IF(AE2837="ELP",(VLOOKUP(A2837,'Discount Lookup'!J:K,2)*G2837*(1-PlanterDiscount)*(1+PlanterDifficultyPercentage)),IF(AE2837="free","re-planting",IF(G2837=0,"",IF(PlanterYesMe="",IF(AE2837="me","   not ELP, by",IF(AE2837="",IF(G2837&gt;0,(VLOOKUP(A2837,'Discount Lookup'!J:K,2)*G2837*(1-PlanterDiscount)*(1+PlanterDifficultyPercentage)),""),"")),"   not ELP, by"))))))))))))))</f>
        <v/>
      </c>
      <c r="AD2837" s="712"/>
      <c r="AE2837" s="513" t="str">
        <f t="shared" si="2168"/>
        <v/>
      </c>
      <c r="AF2837" s="713" t="str">
        <f t="shared" si="2169"/>
        <v/>
      </c>
      <c r="AG2837" s="713"/>
      <c r="AH2837" s="713"/>
      <c r="AI2837" s="112">
        <f>IF(H2837="credit",0,IF(AE2837="free",0,IF(AE2837="me",0,IF(G2837&gt;0,(VLOOKUP(A2837,'Discount Lookup'!J:K,2)*G2837),0))))</f>
        <v>0</v>
      </c>
      <c r="AJ2837" s="107" t="str">
        <f t="shared" ca="1" si="2170"/>
        <v/>
      </c>
      <c r="AK2837" s="714" t="str">
        <f t="shared" si="2171"/>
        <v/>
      </c>
      <c r="AL2837" s="714"/>
      <c r="AM2837" s="114" t="str">
        <f t="shared" si="2172"/>
        <v/>
      </c>
      <c r="AN2837" s="115"/>
      <c r="AO2837" s="116"/>
      <c r="AP2837" s="116"/>
      <c r="AQ2837" s="116"/>
      <c r="AR2837" s="116"/>
      <c r="AS2837" s="116"/>
      <c r="AT2837" s="116"/>
      <c r="AU2837" s="116"/>
      <c r="AV2837" s="78"/>
      <c r="AW2837" s="102"/>
      <c r="AX2837" s="78"/>
      <c r="AY2837" s="78"/>
      <c r="AZ2837" s="78"/>
      <c r="BA2837" s="78"/>
      <c r="BB2837" s="78"/>
      <c r="BC2837" s="78"/>
      <c r="BD2837" s="78"/>
      <c r="BE2837" s="465"/>
      <c r="BF2837" s="165" t="str">
        <f t="shared" si="2173"/>
        <v>https://www.google.com/search?tbm=isch&amp;q=25%20G4</v>
      </c>
      <c r="BG2837" s="165" t="str">
        <f t="shared" si="2174"/>
        <v>M</v>
      </c>
      <c r="BH2837" s="65"/>
      <c r="BI2837" s="65"/>
      <c r="BJ2837" s="65"/>
      <c r="BK2837" s="65"/>
      <c r="BL2837" s="99"/>
      <c r="BM2837" s="99"/>
      <c r="BN2837" s="99"/>
    </row>
    <row r="2838" spans="1:66" s="51" customFormat="1" ht="15.75" x14ac:dyDescent="0.25">
      <c r="A2838" s="478">
        <v>45</v>
      </c>
      <c r="B2838" s="479" t="s">
        <v>291</v>
      </c>
      <c r="C2838" s="480" t="s">
        <v>4637</v>
      </c>
      <c r="D2838" s="481" t="s">
        <v>293</v>
      </c>
      <c r="E2838" s="482">
        <v>745.95</v>
      </c>
      <c r="F2838" s="483" t="s">
        <v>292</v>
      </c>
      <c r="G2838" s="484">
        <v>0</v>
      </c>
      <c r="H2838" s="688" t="str">
        <f t="shared" si="2151"/>
        <v/>
      </c>
      <c r="I2838" s="485">
        <f t="shared" si="2152"/>
        <v>0</v>
      </c>
      <c r="J2838" s="485">
        <f t="shared" si="2153"/>
        <v>0</v>
      </c>
      <c r="K2838" s="715">
        <f t="shared" ref="K2838" si="2176">I2838+J2838</f>
        <v>0</v>
      </c>
      <c r="L2838" s="715"/>
      <c r="M2838" s="689" t="str">
        <f t="shared" ca="1" si="2155"/>
        <v/>
      </c>
      <c r="N2838" s="690"/>
      <c r="O2838" s="486"/>
      <c r="P2838" s="486"/>
      <c r="Q2838" s="486"/>
      <c r="R2838" s="486"/>
      <c r="S2838" s="486"/>
      <c r="T2838" s="102">
        <f t="shared" si="2162"/>
        <v>0</v>
      </c>
      <c r="U2838" s="78">
        <f>IF(NOT(ISNUMBER(G2838)), "", VLOOKUP(A2838,'Discount Lookup'!D:E,2,FALSE)*G2838)</f>
        <v>0</v>
      </c>
      <c r="V2838" s="78">
        <f>IF(NOT(ISNUMBER(G2838)), "", VLOOKUP(A2838,'Discount Lookup'!G:H,2,FALSE)*G2838)</f>
        <v>0</v>
      </c>
      <c r="W2838" s="102">
        <f t="shared" si="2163"/>
        <v>0</v>
      </c>
      <c r="X2838" s="102">
        <f t="shared" si="2164"/>
        <v>0</v>
      </c>
      <c r="Y2838" s="120" t="b">
        <f t="shared" si="2165"/>
        <v>0</v>
      </c>
      <c r="Z2838" s="117">
        <f t="shared" si="2166"/>
        <v>0</v>
      </c>
      <c r="AA2838" s="118"/>
      <c r="AB2838" s="118" t="str">
        <f t="shared" si="2167"/>
        <v/>
      </c>
      <c r="AC2838" s="712" t="str">
        <f>IF(AE2838="T2G","no charge",IF(AND(OR(PlanterYesMe="No",PlanterYesMe="N",PlanterYesMe="me"),H2838=""),"",IF(H2838="credit","NO install",IF(AND(K2838="",AE2838="me"),"EACH row",IF(AND(K2838="images",AE2838="me"),"EACH row",IF(D2838="","",IF(H2838="credit","",IF(AE2838="free","re-planting",IF(AE2838="me","   not ELP, by",IF(AND(OR(PlanterYesMe="Yes",PlanterYesMe="Y"),G2838&gt;0),(VLOOKUP(A2838,'Discount Lookup'!J:K,2)*G2838*(1-PlanterDiscount)*(1+PlanterDifficultyPercentage)),IF(AE2838="ELP",(VLOOKUP(A2838,'Discount Lookup'!J:K,2)*G2838*(1-PlanterDiscount)*(1+PlanterDifficultyPercentage)),IF(AE2838="free","re-planting",IF(G2838=0,"",IF(PlanterYesMe="",IF(AE2838="me","   not ELP, by",IF(AE2838="",IF(G2838&gt;0,(VLOOKUP(A2838,'Discount Lookup'!J:K,2)*G2838*(1-PlanterDiscount)*(1+PlanterDifficultyPercentage)),""),"")),"   not ELP, by"))))))))))))))</f>
        <v/>
      </c>
      <c r="AD2838" s="712"/>
      <c r="AE2838" s="513" t="str">
        <f t="shared" si="2168"/>
        <v/>
      </c>
      <c r="AF2838" s="713" t="str">
        <f t="shared" si="2169"/>
        <v/>
      </c>
      <c r="AG2838" s="713"/>
      <c r="AH2838" s="713"/>
      <c r="AI2838" s="112">
        <f>IF(H2838="credit",0,IF(AE2838="free",0,IF(AE2838="me",0,IF(G2838&gt;0,(VLOOKUP(A2838,'Discount Lookup'!J:K,2)*G2838),0))))</f>
        <v>0</v>
      </c>
      <c r="AJ2838" s="107" t="str">
        <f t="shared" ca="1" si="2170"/>
        <v/>
      </c>
      <c r="AK2838" s="714" t="str">
        <f t="shared" si="2171"/>
        <v/>
      </c>
      <c r="AL2838" s="714"/>
      <c r="AM2838" s="114" t="str">
        <f t="shared" si="2172"/>
        <v/>
      </c>
      <c r="AN2838" s="115"/>
      <c r="AO2838" s="116"/>
      <c r="AP2838" s="116"/>
      <c r="AQ2838" s="116"/>
      <c r="AR2838" s="116"/>
      <c r="AS2838" s="116"/>
      <c r="AT2838" s="116"/>
      <c r="AU2838" s="116"/>
      <c r="AV2838" s="78"/>
      <c r="AW2838" s="102"/>
      <c r="AX2838" s="78"/>
      <c r="AY2838" s="78"/>
      <c r="AZ2838" s="78"/>
      <c r="BA2838" s="78"/>
      <c r="BB2838" s="78"/>
      <c r="BC2838" s="78"/>
      <c r="BD2838" s="78"/>
      <c r="BE2838" s="465"/>
      <c r="BF2838" s="165" t="str">
        <f t="shared" si="2173"/>
        <v>https://www.google.com/search?tbm=isch&amp;q=45%20G6</v>
      </c>
      <c r="BG2838" s="165" t="str">
        <f t="shared" si="2174"/>
        <v>M</v>
      </c>
      <c r="BH2838" s="65"/>
      <c r="BI2838" s="65"/>
      <c r="BJ2838" s="65"/>
      <c r="BK2838" s="65"/>
      <c r="BL2838" s="99"/>
      <c r="BM2838" s="99"/>
      <c r="BN2838" s="99"/>
    </row>
    <row r="2839" spans="1:66" s="51" customFormat="1" ht="40.5" x14ac:dyDescent="0.25">
      <c r="A2839" s="478">
        <v>65</v>
      </c>
      <c r="B2839" s="479" t="s">
        <v>291</v>
      </c>
      <c r="C2839" s="480" t="s">
        <v>978</v>
      </c>
      <c r="D2839" s="481" t="s">
        <v>299</v>
      </c>
      <c r="E2839" s="482">
        <v>903.95</v>
      </c>
      <c r="F2839" s="483" t="s">
        <v>292</v>
      </c>
      <c r="G2839" s="484">
        <v>0</v>
      </c>
      <c r="H2839" s="688" t="str">
        <f t="shared" si="2151"/>
        <v/>
      </c>
      <c r="I2839" s="485">
        <f t="shared" si="2152"/>
        <v>0</v>
      </c>
      <c r="J2839" s="485">
        <f t="shared" si="2153"/>
        <v>0</v>
      </c>
      <c r="K2839" s="715">
        <f t="shared" ref="K2839" si="2177">I2839+J2839</f>
        <v>0</v>
      </c>
      <c r="L2839" s="715"/>
      <c r="M2839" s="689" t="str">
        <f t="shared" ca="1" si="2155"/>
        <v/>
      </c>
      <c r="N2839" s="690"/>
      <c r="O2839" s="486"/>
      <c r="P2839" s="486"/>
      <c r="Q2839" s="486"/>
      <c r="R2839" s="486"/>
      <c r="S2839" s="486"/>
      <c r="T2839" s="102">
        <f t="shared" si="2162"/>
        <v>0</v>
      </c>
      <c r="U2839" s="78">
        <f>IF(NOT(ISNUMBER(G2839)), "", VLOOKUP(A2839,'Discount Lookup'!D:E,2,FALSE)*G2839)</f>
        <v>0</v>
      </c>
      <c r="V2839" s="78">
        <f>IF(NOT(ISNUMBER(G2839)), "", VLOOKUP(A2839,'Discount Lookup'!G:H,2,FALSE)*G2839)</f>
        <v>0</v>
      </c>
      <c r="W2839" s="102">
        <f t="shared" si="2163"/>
        <v>0</v>
      </c>
      <c r="X2839" s="102">
        <f t="shared" si="2164"/>
        <v>0</v>
      </c>
      <c r="Y2839" s="120" t="b">
        <f t="shared" si="2165"/>
        <v>0</v>
      </c>
      <c r="Z2839" s="117">
        <f t="shared" si="2166"/>
        <v>0</v>
      </c>
      <c r="AA2839" s="118"/>
      <c r="AB2839" s="118" t="str">
        <f t="shared" si="2167"/>
        <v/>
      </c>
      <c r="AC2839" s="712" t="str">
        <f>IF(AE2839="T2G","no charge",IF(AND(OR(PlanterYesMe="No",PlanterYesMe="N",PlanterYesMe="me"),H2839=""),"",IF(H2839="credit","NO install",IF(AND(K2839="",AE2839="me"),"EACH row",IF(AND(K2839="images",AE2839="me"),"EACH row",IF(D2839="","",IF(H2839="credit","",IF(AE2839="free","re-planting",IF(AE2839="me","   not ELP, by",IF(AND(OR(PlanterYesMe="Yes",PlanterYesMe="Y"),G2839&gt;0),(VLOOKUP(A2839,'Discount Lookup'!J:K,2)*G2839*(1-PlanterDiscount)*(1+PlanterDifficultyPercentage)),IF(AE2839="ELP",(VLOOKUP(A2839,'Discount Lookup'!J:K,2)*G2839*(1-PlanterDiscount)*(1+PlanterDifficultyPercentage)),IF(AE2839="free","re-planting",IF(G2839=0,"",IF(PlanterYesMe="",IF(AE2839="me","   not ELP, by",IF(AE2839="",IF(G2839&gt;0,(VLOOKUP(A2839,'Discount Lookup'!J:K,2)*G2839*(1-PlanterDiscount)*(1+PlanterDifficultyPercentage)),""),"")),"   not ELP, by"))))))))))))))</f>
        <v/>
      </c>
      <c r="AD2839" s="712"/>
      <c r="AE2839" s="513" t="str">
        <f t="shared" si="2168"/>
        <v/>
      </c>
      <c r="AF2839" s="713" t="str">
        <f t="shared" si="2169"/>
        <v/>
      </c>
      <c r="AG2839" s="713"/>
      <c r="AH2839" s="713"/>
      <c r="AI2839" s="112">
        <f>IF(H2839="credit",0,IF(AE2839="free",0,IF(AE2839="me",0,IF(G2839&gt;0,(VLOOKUP(A2839,'Discount Lookup'!J:K,2)*G2839),0))))</f>
        <v>0</v>
      </c>
      <c r="AJ2839" s="107" t="str">
        <f t="shared" ca="1" si="2170"/>
        <v/>
      </c>
      <c r="AK2839" s="714" t="str">
        <f t="shared" si="2171"/>
        <v/>
      </c>
      <c r="AL2839" s="714"/>
      <c r="AM2839" s="114" t="str">
        <f t="shared" si="2172"/>
        <v/>
      </c>
      <c r="AN2839" s="115"/>
      <c r="AO2839" s="116"/>
      <c r="AP2839" s="116"/>
      <c r="AQ2839" s="116"/>
      <c r="AR2839" s="116"/>
      <c r="AS2839" s="116"/>
      <c r="AT2839" s="116"/>
      <c r="AU2839" s="116"/>
      <c r="AV2839" s="78"/>
      <c r="AW2839" s="102"/>
      <c r="AX2839" s="78"/>
      <c r="AY2839" s="78"/>
      <c r="AZ2839" s="78"/>
      <c r="BA2839" s="78"/>
      <c r="BB2839" s="78"/>
      <c r="BC2839" s="78"/>
      <c r="BD2839" s="78"/>
      <c r="BE2839" s="465"/>
      <c r="BF2839" s="165" t="str">
        <f t="shared" si="2173"/>
        <v>https://www.google.com/search?tbm=isch&amp;q=65%20G4</v>
      </c>
      <c r="BG2839" s="165" t="str">
        <f t="shared" si="2174"/>
        <v>M</v>
      </c>
      <c r="BH2839" s="65"/>
      <c r="BI2839" s="65"/>
      <c r="BJ2839" s="65"/>
      <c r="BK2839" s="65"/>
      <c r="BL2839" s="99"/>
      <c r="BM2839" s="99"/>
      <c r="BN2839" s="99"/>
    </row>
    <row r="2840" spans="1:66" s="51" customFormat="1" ht="15.75" x14ac:dyDescent="0.25">
      <c r="A2840" s="478">
        <v>100</v>
      </c>
      <c r="B2840" s="479" t="s">
        <v>291</v>
      </c>
      <c r="C2840" s="480" t="s">
        <v>511</v>
      </c>
      <c r="D2840" s="481" t="s">
        <v>293</v>
      </c>
      <c r="E2840" s="482">
        <v>1102.95</v>
      </c>
      <c r="F2840" s="483" t="s">
        <v>292</v>
      </c>
      <c r="G2840" s="484">
        <v>0</v>
      </c>
      <c r="H2840" s="688" t="str">
        <f t="shared" si="2151"/>
        <v/>
      </c>
      <c r="I2840" s="485">
        <f t="shared" si="2152"/>
        <v>0</v>
      </c>
      <c r="J2840" s="485">
        <f t="shared" si="2153"/>
        <v>0</v>
      </c>
      <c r="K2840" s="715">
        <f t="shared" ref="K2840" si="2178">I2840+J2840</f>
        <v>0</v>
      </c>
      <c r="L2840" s="715"/>
      <c r="M2840" s="689" t="str">
        <f t="shared" ca="1" si="2155"/>
        <v/>
      </c>
      <c r="N2840" s="690"/>
      <c r="O2840" s="486"/>
      <c r="P2840" s="486"/>
      <c r="Q2840" s="486"/>
      <c r="R2840" s="486"/>
      <c r="S2840" s="486"/>
      <c r="T2840" s="102">
        <f t="shared" si="2162"/>
        <v>0</v>
      </c>
      <c r="U2840" s="78">
        <f>IF(NOT(ISNUMBER(G2840)), "", VLOOKUP(A2840,'Discount Lookup'!D:E,2,FALSE)*G2840)</f>
        <v>0</v>
      </c>
      <c r="V2840" s="78">
        <f>IF(NOT(ISNUMBER(G2840)), "", VLOOKUP(A2840,'Discount Lookup'!G:H,2,FALSE)*G2840)</f>
        <v>0</v>
      </c>
      <c r="W2840" s="102">
        <f t="shared" si="2163"/>
        <v>0</v>
      </c>
      <c r="X2840" s="102">
        <f t="shared" si="2164"/>
        <v>0</v>
      </c>
      <c r="Y2840" s="120" t="b">
        <f t="shared" si="2165"/>
        <v>0</v>
      </c>
      <c r="Z2840" s="117">
        <f t="shared" si="2166"/>
        <v>0</v>
      </c>
      <c r="AA2840" s="118"/>
      <c r="AB2840" s="118" t="str">
        <f t="shared" si="2167"/>
        <v/>
      </c>
      <c r="AC2840" s="712" t="str">
        <f>IF(AE2840="T2G","no charge",IF(AND(OR(PlanterYesMe="No",PlanterYesMe="N",PlanterYesMe="me"),H2840=""),"",IF(H2840="credit","NO install",IF(AND(K2840="",AE2840="me"),"EACH row",IF(AND(K2840="images",AE2840="me"),"EACH row",IF(D2840="","",IF(H2840="credit","",IF(AE2840="free","re-planting",IF(AE2840="me","   not ELP, by",IF(AND(OR(PlanterYesMe="Yes",PlanterYesMe="Y"),G2840&gt;0),(VLOOKUP(A2840,'Discount Lookup'!J:K,2)*G2840*(1-PlanterDiscount)*(1+PlanterDifficultyPercentage)),IF(AE2840="ELP",(VLOOKUP(A2840,'Discount Lookup'!J:K,2)*G2840*(1-PlanterDiscount)*(1+PlanterDifficultyPercentage)),IF(AE2840="free","re-planting",IF(G2840=0,"",IF(PlanterYesMe="",IF(AE2840="me","   not ELP, by",IF(AE2840="",IF(G2840&gt;0,(VLOOKUP(A2840,'Discount Lookup'!J:K,2)*G2840*(1-PlanterDiscount)*(1+PlanterDifficultyPercentage)),""),"")),"   not ELP, by"))))))))))))))</f>
        <v/>
      </c>
      <c r="AD2840" s="712"/>
      <c r="AE2840" s="513" t="str">
        <f t="shared" si="2168"/>
        <v/>
      </c>
      <c r="AF2840" s="713" t="str">
        <f t="shared" si="2169"/>
        <v/>
      </c>
      <c r="AG2840" s="713"/>
      <c r="AH2840" s="713"/>
      <c r="AI2840" s="112">
        <f>IF(H2840="credit",0,IF(AE2840="free",0,IF(AE2840="me",0,IF(G2840&gt;0,(VLOOKUP(A2840,'Discount Lookup'!J:K,2)*G2840),0))))</f>
        <v>0</v>
      </c>
      <c r="AJ2840" s="107" t="str">
        <f t="shared" ca="1" si="2170"/>
        <v/>
      </c>
      <c r="AK2840" s="714" t="str">
        <f t="shared" si="2171"/>
        <v/>
      </c>
      <c r="AL2840" s="714"/>
      <c r="AM2840" s="114" t="str">
        <f t="shared" si="2172"/>
        <v/>
      </c>
      <c r="AN2840" s="115"/>
      <c r="AO2840" s="116"/>
      <c r="AP2840" s="116"/>
      <c r="AQ2840" s="116"/>
      <c r="AR2840" s="116"/>
      <c r="AS2840" s="116"/>
      <c r="AT2840" s="116"/>
      <c r="AU2840" s="116"/>
      <c r="AV2840" s="78"/>
      <c r="AW2840" s="102"/>
      <c r="AX2840" s="78"/>
      <c r="AY2840" s="78"/>
      <c r="AZ2840" s="78"/>
      <c r="BA2840" s="78"/>
      <c r="BB2840" s="78"/>
      <c r="BC2840" s="78"/>
      <c r="BD2840" s="78"/>
      <c r="BE2840" s="465"/>
      <c r="BF2840" s="165" t="str">
        <f t="shared" si="2173"/>
        <v>https://www.google.com/search?tbm=isch&amp;q=100%20G6</v>
      </c>
      <c r="BG2840" s="165" t="str">
        <f t="shared" si="2174"/>
        <v>M</v>
      </c>
      <c r="BH2840" s="65"/>
      <c r="BI2840" s="65"/>
      <c r="BJ2840" s="65"/>
      <c r="BK2840" s="65"/>
      <c r="BL2840" s="99"/>
      <c r="BM2840" s="99"/>
      <c r="BN2840" s="99"/>
    </row>
    <row r="2841" spans="1:66" s="51" customFormat="1" ht="17.25" thickBot="1" x14ac:dyDescent="0.3">
      <c r="A2841" s="705" t="s">
        <v>5478</v>
      </c>
      <c r="B2841" s="487"/>
      <c r="C2841" s="707"/>
      <c r="D2841" s="487"/>
      <c r="E2841" s="487"/>
      <c r="F2841" s="488"/>
      <c r="G2841" s="489"/>
      <c r="H2841" s="487"/>
      <c r="I2841" s="490"/>
      <c r="J2841" s="490"/>
      <c r="K2841" s="491"/>
      <c r="L2841" s="547"/>
      <c r="M2841" s="528"/>
      <c r="N2841" s="492"/>
      <c r="O2841" s="493"/>
      <c r="P2841" s="494"/>
      <c r="Q2841" s="492"/>
      <c r="R2841" s="492"/>
      <c r="S2841" s="699" t="s">
        <v>5268</v>
      </c>
      <c r="T2841" s="102">
        <f t="shared" si="2162"/>
        <v>0</v>
      </c>
      <c r="U2841" s="78" t="str">
        <f>IF(NOT(ISNUMBER(G2841)), "", VLOOKUP(A2841,'Discount Lookup'!D:E,2,FALSE)*G2841)</f>
        <v/>
      </c>
      <c r="V2841" s="78" t="str">
        <f>IF(NOT(ISNUMBER(G2841)), "", VLOOKUP(A2841,'Discount Lookup'!G:H,2,FALSE)*G2841)</f>
        <v/>
      </c>
      <c r="W2841" s="102">
        <f t="shared" si="2163"/>
        <v>0</v>
      </c>
      <c r="X2841" s="102">
        <f t="shared" si="2164"/>
        <v>0</v>
      </c>
      <c r="Y2841" s="120" t="b">
        <f t="shared" si="2165"/>
        <v>0</v>
      </c>
      <c r="Z2841" s="117">
        <f t="shared" si="2166"/>
        <v>0</v>
      </c>
      <c r="AA2841" s="118"/>
      <c r="AB2841" s="118" t="str">
        <f t="shared" si="2167"/>
        <v/>
      </c>
      <c r="AC2841" s="712" t="str">
        <f>IF(AE2841="T2G","no charge",IF(AND(OR(PlanterYesMe="No",PlanterYesMe="N",PlanterYesMe="me"),H2841=""),"",IF(H2841="credit","NO install",IF(AND(K2841="",AE2841="me"),"EACH row",IF(AND(K2841="images",AE2841="me"),"EACH row",IF(D2841="","",IF(H2841="credit","",IF(AE2841="free","re-planting",IF(AE2841="me","   not ELP, by",IF(AND(OR(PlanterYesMe="Yes",PlanterYesMe="Y"),G2841&gt;0),(VLOOKUP(A2841,'Discount Lookup'!J:K,2)*G2841*(1-PlanterDiscount)*(1+PlanterDifficultyPercentage)),IF(AE2841="ELP",(VLOOKUP(A2841,'Discount Lookup'!J:K,2)*G2841*(1-PlanterDiscount)*(1+PlanterDifficultyPercentage)),IF(AE2841="free","re-planting",IF(G2841=0,"",IF(PlanterYesMe="",IF(AE2841="me","   not ELP, by",IF(AE2841="",IF(G2841&gt;0,(VLOOKUP(A2841,'Discount Lookup'!J:K,2)*G2841*(1-PlanterDiscount)*(1+PlanterDifficultyPercentage)),""),"")),"   not ELP, by"))))))))))))))</f>
        <v/>
      </c>
      <c r="AD2841" s="712"/>
      <c r="AE2841" s="513" t="str">
        <f t="shared" si="2168"/>
        <v/>
      </c>
      <c r="AF2841" s="713" t="str">
        <f t="shared" si="2169"/>
        <v/>
      </c>
      <c r="AG2841" s="713"/>
      <c r="AH2841" s="713"/>
      <c r="AI2841" s="112">
        <f>IF(H2841="credit",0,IF(AE2841="free",0,IF(AE2841="me",0,IF(G2841&gt;0,(VLOOKUP(A2841,'Discount Lookup'!J:K,2)*G2841),0))))</f>
        <v>0</v>
      </c>
      <c r="AJ2841" s="107" t="str">
        <f t="shared" ca="1" si="2170"/>
        <v/>
      </c>
      <c r="AK2841" s="714" t="str">
        <f t="shared" si="2171"/>
        <v/>
      </c>
      <c r="AL2841" s="714"/>
      <c r="AM2841" s="114" t="str">
        <f t="shared" si="2172"/>
        <v/>
      </c>
      <c r="AN2841" s="115"/>
      <c r="AO2841" s="116"/>
      <c r="AP2841" s="116"/>
      <c r="AQ2841" s="116"/>
      <c r="AR2841" s="116"/>
      <c r="AS2841" s="116"/>
      <c r="AT2841" s="116"/>
      <c r="AU2841" s="116"/>
      <c r="AV2841" s="78"/>
      <c r="AW2841" s="102"/>
      <c r="AX2841" s="78"/>
      <c r="AY2841" s="78"/>
      <c r="AZ2841" s="78"/>
      <c r="BA2841" s="78"/>
      <c r="BB2841" s="78"/>
      <c r="BC2841" s="78"/>
      <c r="BD2841" s="78"/>
      <c r="BE2841" s="465"/>
      <c r="BF2841" s="165" t="str">
        <f t="shared" si="2173"/>
        <v>https://www.google.com/search?tbm=isch&amp;q=moist%20sites%F0%9F%92%A7OK%2C%20Little%20Gem%20is%20not%20as%20little%20as%20people%20might%20think.%20Fragrant%20</v>
      </c>
      <c r="BG2841" s="165" t="str">
        <f t="shared" si="2174"/>
        <v>m</v>
      </c>
      <c r="BH2841" s="65"/>
      <c r="BI2841" s="65"/>
      <c r="BJ2841" s="65"/>
      <c r="BK2841" s="65"/>
      <c r="BL2841" s="99"/>
      <c r="BM2841" s="99"/>
      <c r="BN2841" s="99"/>
    </row>
    <row r="2842" spans="1:66" s="51" customFormat="1" ht="18" x14ac:dyDescent="0.25">
      <c r="A2842" s="507" t="s">
        <v>608</v>
      </c>
      <c r="B2842" s="470"/>
      <c r="C2842" s="706"/>
      <c r="D2842" s="471" t="s">
        <v>5735</v>
      </c>
      <c r="E2842" s="472"/>
      <c r="F2842" s="472"/>
      <c r="G2842" s="472"/>
      <c r="H2842" s="622" t="s">
        <v>334</v>
      </c>
      <c r="I2842" s="473" t="s">
        <v>349</v>
      </c>
      <c r="J2842" s="472"/>
      <c r="K2842" s="472"/>
      <c r="L2842" s="561"/>
      <c r="M2842" s="698" t="s">
        <v>5240</v>
      </c>
      <c r="N2842" s="692" t="str">
        <f>IF(AND(ISTEXT($A2842), ISERROR($A2842+0)), HYPERLINK($BF2842, "Images"), "")</f>
        <v>Images</v>
      </c>
      <c r="O2842" s="694" t="s">
        <v>5247</v>
      </c>
      <c r="P2842" s="475"/>
      <c r="Q2842" s="476"/>
      <c r="R2842" s="476"/>
      <c r="S2842" s="477" t="s">
        <v>294</v>
      </c>
      <c r="T2842" s="102">
        <f t="shared" si="2162"/>
        <v>0</v>
      </c>
      <c r="U2842" s="78" t="str">
        <f>IF(NOT(ISNUMBER(G2842)), "", VLOOKUP(A2842,'Discount Lookup'!D:E,2,FALSE)*G2842)</f>
        <v/>
      </c>
      <c r="V2842" s="78" t="str">
        <f>IF(NOT(ISNUMBER(G2842)), "", VLOOKUP(A2842,'Discount Lookup'!G:H,2,FALSE)*G2842)</f>
        <v/>
      </c>
      <c r="W2842" s="102">
        <f t="shared" si="2163"/>
        <v>0</v>
      </c>
      <c r="X2842" s="102" t="str">
        <f t="shared" si="2164"/>
        <v>White bloom</v>
      </c>
      <c r="Y2842" s="120" t="b">
        <f t="shared" si="2165"/>
        <v>0</v>
      </c>
      <c r="Z2842" s="117">
        <f t="shared" si="2166"/>
        <v>0</v>
      </c>
      <c r="AA2842" s="118"/>
      <c r="AB2842" s="118" t="str">
        <f t="shared" si="2167"/>
        <v/>
      </c>
      <c r="AC2842" s="712" t="str">
        <f>IF(AE2842="T2G","no charge",IF(AND(OR(PlanterYesMe="No",PlanterYesMe="N",PlanterYesMe="me"),H2842=""),"",IF(H2842="credit","NO install",IF(AND(K2842="",AE2842="me"),"EACH row",IF(AND(K2842="images",AE2842="me"),"EACH row",IF(D2842="","",IF(H2842="credit","",IF(AE2842="free","re-planting",IF(AE2842="me","   not ELP, by",IF(AND(OR(PlanterYesMe="Yes",PlanterYesMe="Y"),G2842&gt;0),(VLOOKUP(A2842,'Discount Lookup'!J:K,2)*G2842*(1-PlanterDiscount)*(1+PlanterDifficultyPercentage)),IF(AE2842="ELP",(VLOOKUP(A2842,'Discount Lookup'!J:K,2)*G2842*(1-PlanterDiscount)*(1+PlanterDifficultyPercentage)),IF(AE2842="free","re-planting",IF(G2842=0,"",IF(PlanterYesMe="",IF(AE2842="me","   not ELP, by",IF(AE2842="",IF(G2842&gt;0,(VLOOKUP(A2842,'Discount Lookup'!J:K,2)*G2842*(1-PlanterDiscount)*(1+PlanterDifficultyPercentage)),""),"")),"   not ELP, by"))))))))))))))</f>
        <v/>
      </c>
      <c r="AD2842" s="712"/>
      <c r="AE2842" s="513" t="str">
        <f t="shared" si="2168"/>
        <v/>
      </c>
      <c r="AF2842" s="713" t="str">
        <f t="shared" si="2169"/>
        <v/>
      </c>
      <c r="AG2842" s="713"/>
      <c r="AH2842" s="713"/>
      <c r="AI2842" s="112">
        <f>IF(H2842="credit",0,IF(AE2842="free",0,IF(AE2842="me",0,IF(G2842&gt;0,(VLOOKUP(A2842,'Discount Lookup'!J:K,2)*G2842),0))))</f>
        <v>0</v>
      </c>
      <c r="AJ2842" s="107" t="str">
        <f t="shared" ca="1" si="2170"/>
        <v/>
      </c>
      <c r="AK2842" s="714" t="str">
        <f t="shared" si="2171"/>
        <v/>
      </c>
      <c r="AL2842" s="714"/>
      <c r="AM2842" s="114" t="str">
        <f t="shared" si="2172"/>
        <v/>
      </c>
      <c r="AN2842" s="115"/>
      <c r="AO2842" s="116"/>
      <c r="AP2842" s="116"/>
      <c r="AQ2842" s="116"/>
      <c r="AR2842" s="116"/>
      <c r="AS2842" s="116"/>
      <c r="AT2842" s="116"/>
      <c r="AU2842" s="116"/>
      <c r="AV2842" s="78"/>
      <c r="AW2842" s="102"/>
      <c r="AX2842" s="78"/>
      <c r="AY2842" s="78"/>
      <c r="AZ2842" s="78"/>
      <c r="BA2842" s="78"/>
      <c r="BB2842" s="78"/>
      <c r="BC2842" s="78"/>
      <c r="BD2842" s="78"/>
      <c r="BE2842" s="465"/>
      <c r="BF2842" s="165" t="str">
        <f t="shared" si="2173"/>
        <v>https://www.google.com/search?tbm=isch&amp;q=Magnolia%20grandiflora%20%27Southern%20Charm%27%20PP%2313049%20Teddy%20Bear%C2%AE%20Magnolia</v>
      </c>
      <c r="BG2842" s="165" t="str">
        <f t="shared" si="2174"/>
        <v>M</v>
      </c>
      <c r="BH2842" s="65"/>
      <c r="BI2842" s="65"/>
      <c r="BJ2842" s="65"/>
      <c r="BK2842" s="65"/>
      <c r="BL2842" s="99"/>
      <c r="BM2842" s="99"/>
      <c r="BN2842" s="99"/>
    </row>
    <row r="2843" spans="1:66" s="51" customFormat="1" ht="15.75" x14ac:dyDescent="0.25">
      <c r="A2843" s="478">
        <v>7</v>
      </c>
      <c r="B2843" s="479" t="s">
        <v>291</v>
      </c>
      <c r="C2843" s="480" t="s">
        <v>609</v>
      </c>
      <c r="D2843" s="481" t="s">
        <v>311</v>
      </c>
      <c r="E2843" s="482">
        <v>102.95</v>
      </c>
      <c r="F2843" s="483" t="s">
        <v>292</v>
      </c>
      <c r="G2843" s="484">
        <v>0</v>
      </c>
      <c r="H2843" s="688" t="str">
        <f t="shared" ref="H2843:H2849" si="2179">IF(G2843=0,"",IF(F2843="Buy",IF(G2843=1,"plant","plants"),IF(F2843&gt;0.01,"warranty","Error")))</f>
        <v/>
      </c>
      <c r="I2843" s="485">
        <f t="shared" ref="I2843:I2849" si="2180">IF(H2843="free",0,IF(H2843="credit",((E2843*(F2843))*G2843*-1),IF(F2843="Buy",(E2843*G2843),((E2843*(1-F2843))*G2843))))</f>
        <v>0</v>
      </c>
      <c r="J2843" s="485">
        <f t="shared" ref="J2843:J2849" si="2181">IF(H2843="warranty",0,(I2843*(_xlfn.SINGLE(SalesTaxPercentage))))</f>
        <v>0</v>
      </c>
      <c r="K2843" s="715">
        <f t="shared" ref="K2843" si="2182">I2843+J2843</f>
        <v>0</v>
      </c>
      <c r="L2843" s="715"/>
      <c r="M2843" s="689" t="str">
        <f t="shared" ref="M2843:M2849" ca="1" si="2183">IF(AND(G2843&gt;0,E2843=0),"WARNING - no PRICE inserted",IF(H2843="free","FREE ~ no charge this plant",IF(H2843="credit",CONCATENATE("-$",ROUND(K2843*(1-_xlfn.SINGLE(T2GDiscount))*-1,2)," CREDIT after discount"),IF(_xlfn.SINGLE(T2GDiscount)=0,"",IF(G2843=0,"",IF(F2843="Buy",CONCATENATE("$",ROUND(K2843*(1-_xlfn.SINGLE(T2GDiscount)),2)," with ",(_xlfn.SINGLE(T2GDiscount)*100),"% discount"),CONCATENATE("$",ROUND(K2843*(1-_xlfn.SINGLE(T2GDiscount)),2)," with ",((_xlfn.SINGLE(T2GDiscount)*100+F2843*100)-(_xlfn.SINGLE(T2GDiscount)*100*F2843)),IF(F2843&gt;0,"% discounts",IF(_xlfn.SINGLE(NoWarrantyDiscount)&gt;0,"% discounts","% discount")))))))))</f>
        <v/>
      </c>
      <c r="N2843" s="690"/>
      <c r="O2843" s="486"/>
      <c r="P2843" s="486"/>
      <c r="Q2843" s="486"/>
      <c r="R2843" s="486"/>
      <c r="S2843" s="486"/>
      <c r="T2843" s="102">
        <f t="shared" si="2162"/>
        <v>0</v>
      </c>
      <c r="U2843" s="78">
        <f>IF(NOT(ISNUMBER(G2843)), "", VLOOKUP(A2843,'Discount Lookup'!D:E,2,FALSE)*G2843)</f>
        <v>0</v>
      </c>
      <c r="V2843" s="78">
        <f>IF(NOT(ISNUMBER(G2843)), "", VLOOKUP(A2843,'Discount Lookup'!G:H,2,FALSE)*G2843)</f>
        <v>0</v>
      </c>
      <c r="W2843" s="102">
        <f t="shared" si="2163"/>
        <v>0</v>
      </c>
      <c r="X2843" s="102">
        <f t="shared" si="2164"/>
        <v>0</v>
      </c>
      <c r="Y2843" s="120" t="b">
        <f t="shared" si="2165"/>
        <v>0</v>
      </c>
      <c r="Z2843" s="117">
        <f t="shared" si="2166"/>
        <v>0</v>
      </c>
      <c r="AA2843" s="118"/>
      <c r="AB2843" s="118" t="str">
        <f t="shared" si="2167"/>
        <v/>
      </c>
      <c r="AC2843" s="712" t="str">
        <f>IF(AE2843="T2G","no charge",IF(AND(OR(PlanterYesMe="No",PlanterYesMe="N",PlanterYesMe="me"),H2843=""),"",IF(H2843="credit","NO install",IF(AND(K2843="",AE2843="me"),"EACH row",IF(AND(K2843="images",AE2843="me"),"EACH row",IF(D2843="","",IF(H2843="credit","",IF(AE2843="free","re-planting",IF(AE2843="me","   not ELP, by",IF(AND(OR(PlanterYesMe="Yes",PlanterYesMe="Y"),G2843&gt;0),(VLOOKUP(A2843,'Discount Lookup'!J:K,2)*G2843*(1-PlanterDiscount)*(1+PlanterDifficultyPercentage)),IF(AE2843="ELP",(VLOOKUP(A2843,'Discount Lookup'!J:K,2)*G2843*(1-PlanterDiscount)*(1+PlanterDifficultyPercentage)),IF(AE2843="free","re-planting",IF(G2843=0,"",IF(PlanterYesMe="",IF(AE2843="me","   not ELP, by",IF(AE2843="",IF(G2843&gt;0,(VLOOKUP(A2843,'Discount Lookup'!J:K,2)*G2843*(1-PlanterDiscount)*(1+PlanterDifficultyPercentage)),""),"")),"   not ELP, by"))))))))))))))</f>
        <v/>
      </c>
      <c r="AD2843" s="712"/>
      <c r="AE2843" s="513" t="str">
        <f t="shared" si="2168"/>
        <v/>
      </c>
      <c r="AF2843" s="713" t="str">
        <f t="shared" si="2169"/>
        <v/>
      </c>
      <c r="AG2843" s="713"/>
      <c r="AH2843" s="713"/>
      <c r="AI2843" s="112">
        <f>IF(H2843="credit",0,IF(AE2843="free",0,IF(AE2843="me",0,IF(G2843&gt;0,(VLOOKUP(A2843,'Discount Lookup'!J:K,2)*G2843),0))))</f>
        <v>0</v>
      </c>
      <c r="AJ2843" s="107" t="str">
        <f t="shared" ca="1" si="2170"/>
        <v/>
      </c>
      <c r="AK2843" s="714" t="str">
        <f t="shared" si="2171"/>
        <v/>
      </c>
      <c r="AL2843" s="714"/>
      <c r="AM2843" s="114" t="str">
        <f t="shared" si="2172"/>
        <v/>
      </c>
      <c r="AN2843" s="115"/>
      <c r="AO2843" s="116"/>
      <c r="AP2843" s="116"/>
      <c r="AQ2843" s="116"/>
      <c r="AR2843" s="116"/>
      <c r="AS2843" s="116"/>
      <c r="AT2843" s="116"/>
      <c r="AU2843" s="116"/>
      <c r="AV2843" s="78"/>
      <c r="AW2843" s="102"/>
      <c r="AX2843" s="78"/>
      <c r="AY2843" s="78"/>
      <c r="AZ2843" s="78"/>
      <c r="BA2843" s="78"/>
      <c r="BB2843" s="78"/>
      <c r="BC2843" s="78"/>
      <c r="BD2843" s="78"/>
      <c r="BE2843" s="465"/>
      <c r="BF2843" s="165" t="str">
        <f t="shared" si="2173"/>
        <v>https://www.google.com/search?tbm=isch&amp;q=7%20G5</v>
      </c>
      <c r="BG2843" s="165" t="str">
        <f t="shared" si="2174"/>
        <v>M</v>
      </c>
      <c r="BH2843" s="65"/>
      <c r="BI2843" s="65"/>
      <c r="BJ2843" s="65"/>
      <c r="BK2843" s="65"/>
      <c r="BL2843" s="99"/>
      <c r="BM2843" s="99"/>
      <c r="BN2843" s="99"/>
    </row>
    <row r="2844" spans="1:66" s="51" customFormat="1" ht="15.75" x14ac:dyDescent="0.25">
      <c r="A2844" s="478">
        <v>7</v>
      </c>
      <c r="B2844" s="479" t="s">
        <v>291</v>
      </c>
      <c r="C2844" s="480" t="s">
        <v>922</v>
      </c>
      <c r="D2844" s="481" t="s">
        <v>299</v>
      </c>
      <c r="E2844" s="482">
        <v>125.95</v>
      </c>
      <c r="F2844" s="483" t="s">
        <v>292</v>
      </c>
      <c r="G2844" s="484">
        <v>0</v>
      </c>
      <c r="H2844" s="688" t="str">
        <f t="shared" si="2179"/>
        <v/>
      </c>
      <c r="I2844" s="485">
        <f t="shared" si="2180"/>
        <v>0</v>
      </c>
      <c r="J2844" s="485">
        <f t="shared" si="2181"/>
        <v>0</v>
      </c>
      <c r="K2844" s="715">
        <f t="shared" ref="K2844" si="2184">I2844+J2844</f>
        <v>0</v>
      </c>
      <c r="L2844" s="715"/>
      <c r="M2844" s="689" t="str">
        <f t="shared" ca="1" si="2183"/>
        <v/>
      </c>
      <c r="N2844" s="690"/>
      <c r="O2844" s="486"/>
      <c r="P2844" s="486"/>
      <c r="Q2844" s="486"/>
      <c r="R2844" s="486"/>
      <c r="S2844" s="486"/>
      <c r="T2844" s="102">
        <f t="shared" si="2162"/>
        <v>0</v>
      </c>
      <c r="U2844" s="78">
        <f>IF(NOT(ISNUMBER(G2844)), "", VLOOKUP(A2844,'Discount Lookup'!D:E,2,FALSE)*G2844)</f>
        <v>0</v>
      </c>
      <c r="V2844" s="78">
        <f>IF(NOT(ISNUMBER(G2844)), "", VLOOKUP(A2844,'Discount Lookup'!G:H,2,FALSE)*G2844)</f>
        <v>0</v>
      </c>
      <c r="W2844" s="102">
        <f t="shared" si="2163"/>
        <v>0</v>
      </c>
      <c r="X2844" s="102">
        <f t="shared" si="2164"/>
        <v>0</v>
      </c>
      <c r="Y2844" s="120" t="b">
        <f t="shared" si="2165"/>
        <v>0</v>
      </c>
      <c r="Z2844" s="117">
        <f t="shared" si="2166"/>
        <v>0</v>
      </c>
      <c r="AA2844" s="118"/>
      <c r="AB2844" s="118" t="str">
        <f t="shared" si="2167"/>
        <v/>
      </c>
      <c r="AC2844" s="712" t="str">
        <f>IF(AE2844="T2G","no charge",IF(AND(OR(PlanterYesMe="No",PlanterYesMe="N",PlanterYesMe="me"),H2844=""),"",IF(H2844="credit","NO install",IF(AND(K2844="",AE2844="me"),"EACH row",IF(AND(K2844="images",AE2844="me"),"EACH row",IF(D2844="","",IF(H2844="credit","",IF(AE2844="free","re-planting",IF(AE2844="me","   not ELP, by",IF(AND(OR(PlanterYesMe="Yes",PlanterYesMe="Y"),G2844&gt;0),(VLOOKUP(A2844,'Discount Lookup'!J:K,2)*G2844*(1-PlanterDiscount)*(1+PlanterDifficultyPercentage)),IF(AE2844="ELP",(VLOOKUP(A2844,'Discount Lookup'!J:K,2)*G2844*(1-PlanterDiscount)*(1+PlanterDifficultyPercentage)),IF(AE2844="free","re-planting",IF(G2844=0,"",IF(PlanterYesMe="",IF(AE2844="me","   not ELP, by",IF(AE2844="",IF(G2844&gt;0,(VLOOKUP(A2844,'Discount Lookup'!J:K,2)*G2844*(1-PlanterDiscount)*(1+PlanterDifficultyPercentage)),""),"")),"   not ELP, by"))))))))))))))</f>
        <v/>
      </c>
      <c r="AD2844" s="712"/>
      <c r="AE2844" s="513" t="str">
        <f t="shared" si="2168"/>
        <v/>
      </c>
      <c r="AF2844" s="713" t="str">
        <f t="shared" si="2169"/>
        <v/>
      </c>
      <c r="AG2844" s="713"/>
      <c r="AH2844" s="713"/>
      <c r="AI2844" s="112">
        <f>IF(H2844="credit",0,IF(AE2844="free",0,IF(AE2844="me",0,IF(G2844&gt;0,(VLOOKUP(A2844,'Discount Lookup'!J:K,2)*G2844),0))))</f>
        <v>0</v>
      </c>
      <c r="AJ2844" s="107" t="str">
        <f t="shared" ca="1" si="2170"/>
        <v/>
      </c>
      <c r="AK2844" s="714" t="str">
        <f t="shared" si="2171"/>
        <v/>
      </c>
      <c r="AL2844" s="714"/>
      <c r="AM2844" s="114" t="str">
        <f t="shared" si="2172"/>
        <v/>
      </c>
      <c r="AN2844" s="115"/>
      <c r="AO2844" s="116"/>
      <c r="AP2844" s="116"/>
      <c r="AQ2844" s="116"/>
      <c r="AR2844" s="116"/>
      <c r="AS2844" s="116"/>
      <c r="AT2844" s="116"/>
      <c r="AU2844" s="116"/>
      <c r="AV2844" s="78"/>
      <c r="AW2844" s="102"/>
      <c r="AX2844" s="78"/>
      <c r="AY2844" s="78"/>
      <c r="AZ2844" s="78"/>
      <c r="BA2844" s="78"/>
      <c r="BB2844" s="78"/>
      <c r="BC2844" s="78"/>
      <c r="BD2844" s="78"/>
      <c r="BE2844" s="465"/>
      <c r="BF2844" s="165" t="str">
        <f t="shared" si="2173"/>
        <v>https://www.google.com/search?tbm=isch&amp;q=7%20G4</v>
      </c>
      <c r="BG2844" s="165" t="str">
        <f t="shared" si="2174"/>
        <v>M</v>
      </c>
      <c r="BH2844" s="65"/>
      <c r="BI2844" s="65"/>
      <c r="BJ2844" s="65"/>
      <c r="BK2844" s="65"/>
      <c r="BL2844" s="99"/>
      <c r="BM2844" s="99"/>
      <c r="BN2844" s="99"/>
    </row>
    <row r="2845" spans="1:66" s="51" customFormat="1" ht="15.75" x14ac:dyDescent="0.25">
      <c r="A2845" s="478">
        <v>15</v>
      </c>
      <c r="B2845" s="479" t="s">
        <v>291</v>
      </c>
      <c r="C2845" s="480" t="s">
        <v>610</v>
      </c>
      <c r="D2845" s="481" t="s">
        <v>311</v>
      </c>
      <c r="E2845" s="482">
        <v>194.95</v>
      </c>
      <c r="F2845" s="483" t="s">
        <v>292</v>
      </c>
      <c r="G2845" s="484">
        <v>0</v>
      </c>
      <c r="H2845" s="688" t="str">
        <f t="shared" si="2179"/>
        <v/>
      </c>
      <c r="I2845" s="485">
        <f t="shared" si="2180"/>
        <v>0</v>
      </c>
      <c r="J2845" s="485">
        <f t="shared" si="2181"/>
        <v>0</v>
      </c>
      <c r="K2845" s="715">
        <f t="shared" ref="K2845" si="2185">I2845+J2845</f>
        <v>0</v>
      </c>
      <c r="L2845" s="715"/>
      <c r="M2845" s="689" t="str">
        <f t="shared" ca="1" si="2183"/>
        <v/>
      </c>
      <c r="N2845" s="690"/>
      <c r="O2845" s="486"/>
      <c r="P2845" s="486"/>
      <c r="Q2845" s="486"/>
      <c r="R2845" s="486"/>
      <c r="S2845" s="486"/>
      <c r="T2845" s="102">
        <f t="shared" si="2162"/>
        <v>0</v>
      </c>
      <c r="U2845" s="78">
        <f>IF(NOT(ISNUMBER(G2845)), "", VLOOKUP(A2845,'Discount Lookup'!D:E,2,FALSE)*G2845)</f>
        <v>0</v>
      </c>
      <c r="V2845" s="78">
        <f>IF(NOT(ISNUMBER(G2845)), "", VLOOKUP(A2845,'Discount Lookup'!G:H,2,FALSE)*G2845)</f>
        <v>0</v>
      </c>
      <c r="W2845" s="102">
        <f t="shared" si="2163"/>
        <v>0</v>
      </c>
      <c r="X2845" s="102">
        <f t="shared" si="2164"/>
        <v>0</v>
      </c>
      <c r="Y2845" s="120" t="b">
        <f t="shared" si="2165"/>
        <v>0</v>
      </c>
      <c r="Z2845" s="117">
        <f t="shared" si="2166"/>
        <v>0</v>
      </c>
      <c r="AA2845" s="118"/>
      <c r="AB2845" s="118" t="str">
        <f t="shared" si="2167"/>
        <v/>
      </c>
      <c r="AC2845" s="712" t="str">
        <f>IF(AE2845="T2G","no charge",IF(AND(OR(PlanterYesMe="No",PlanterYesMe="N",PlanterYesMe="me"),H2845=""),"",IF(H2845="credit","NO install",IF(AND(K2845="",AE2845="me"),"EACH row",IF(AND(K2845="images",AE2845="me"),"EACH row",IF(D2845="","",IF(H2845="credit","",IF(AE2845="free","re-planting",IF(AE2845="me","   not ELP, by",IF(AND(OR(PlanterYesMe="Yes",PlanterYesMe="Y"),G2845&gt;0),(VLOOKUP(A2845,'Discount Lookup'!J:K,2)*G2845*(1-PlanterDiscount)*(1+PlanterDifficultyPercentage)),IF(AE2845="ELP",(VLOOKUP(A2845,'Discount Lookup'!J:K,2)*G2845*(1-PlanterDiscount)*(1+PlanterDifficultyPercentage)),IF(AE2845="free","re-planting",IF(G2845=0,"",IF(PlanterYesMe="",IF(AE2845="me","   not ELP, by",IF(AE2845="",IF(G2845&gt;0,(VLOOKUP(A2845,'Discount Lookup'!J:K,2)*G2845*(1-PlanterDiscount)*(1+PlanterDifficultyPercentage)),""),"")),"   not ELP, by"))))))))))))))</f>
        <v/>
      </c>
      <c r="AD2845" s="712"/>
      <c r="AE2845" s="513" t="str">
        <f t="shared" si="2168"/>
        <v/>
      </c>
      <c r="AF2845" s="713" t="str">
        <f t="shared" si="2169"/>
        <v/>
      </c>
      <c r="AG2845" s="713"/>
      <c r="AH2845" s="713"/>
      <c r="AI2845" s="112">
        <f>IF(H2845="credit",0,IF(AE2845="free",0,IF(AE2845="me",0,IF(G2845&gt;0,(VLOOKUP(A2845,'Discount Lookup'!J:K,2)*G2845),0))))</f>
        <v>0</v>
      </c>
      <c r="AJ2845" s="107" t="str">
        <f t="shared" ca="1" si="2170"/>
        <v/>
      </c>
      <c r="AK2845" s="714" t="str">
        <f t="shared" si="2171"/>
        <v/>
      </c>
      <c r="AL2845" s="714"/>
      <c r="AM2845" s="114" t="str">
        <f t="shared" si="2172"/>
        <v/>
      </c>
      <c r="AN2845" s="115"/>
      <c r="AO2845" s="116"/>
      <c r="AP2845" s="116"/>
      <c r="AQ2845" s="116"/>
      <c r="AR2845" s="116"/>
      <c r="AS2845" s="116"/>
      <c r="AT2845" s="116"/>
      <c r="AU2845" s="116"/>
      <c r="AV2845" s="78"/>
      <c r="AW2845" s="102"/>
      <c r="AX2845" s="78"/>
      <c r="AY2845" s="78"/>
      <c r="AZ2845" s="78"/>
      <c r="BA2845" s="78"/>
      <c r="BB2845" s="78"/>
      <c r="BC2845" s="78"/>
      <c r="BD2845" s="78"/>
      <c r="BE2845" s="465"/>
      <c r="BF2845" s="165" t="str">
        <f t="shared" si="2173"/>
        <v>https://www.google.com/search?tbm=isch&amp;q=15%20G5</v>
      </c>
      <c r="BG2845" s="165" t="str">
        <f t="shared" si="2174"/>
        <v>M</v>
      </c>
      <c r="BH2845" s="65"/>
      <c r="BI2845" s="65"/>
      <c r="BJ2845" s="65"/>
      <c r="BK2845" s="65"/>
      <c r="BL2845" s="99"/>
      <c r="BM2845" s="99"/>
      <c r="BN2845" s="99"/>
    </row>
    <row r="2846" spans="1:66" s="51" customFormat="1" ht="15.75" x14ac:dyDescent="0.25">
      <c r="A2846" s="478">
        <v>15</v>
      </c>
      <c r="B2846" s="479" t="s">
        <v>291</v>
      </c>
      <c r="C2846" s="480" t="s">
        <v>979</v>
      </c>
      <c r="D2846" s="481" t="s">
        <v>299</v>
      </c>
      <c r="E2846" s="482">
        <v>215.95</v>
      </c>
      <c r="F2846" s="483" t="s">
        <v>292</v>
      </c>
      <c r="G2846" s="484">
        <v>0</v>
      </c>
      <c r="H2846" s="688" t="str">
        <f t="shared" si="2179"/>
        <v/>
      </c>
      <c r="I2846" s="485">
        <f t="shared" si="2180"/>
        <v>0</v>
      </c>
      <c r="J2846" s="485">
        <f t="shared" si="2181"/>
        <v>0</v>
      </c>
      <c r="K2846" s="715">
        <f t="shared" ref="K2846" si="2186">I2846+J2846</f>
        <v>0</v>
      </c>
      <c r="L2846" s="715"/>
      <c r="M2846" s="689" t="str">
        <f t="shared" ca="1" si="2183"/>
        <v/>
      </c>
      <c r="N2846" s="690"/>
      <c r="O2846" s="486"/>
      <c r="P2846" s="486"/>
      <c r="Q2846" s="486"/>
      <c r="R2846" s="486"/>
      <c r="S2846" s="486"/>
      <c r="T2846" s="102">
        <f t="shared" si="2162"/>
        <v>0</v>
      </c>
      <c r="U2846" s="78">
        <f>IF(NOT(ISNUMBER(G2846)), "", VLOOKUP(A2846,'Discount Lookup'!D:E,2,FALSE)*G2846)</f>
        <v>0</v>
      </c>
      <c r="V2846" s="78">
        <f>IF(NOT(ISNUMBER(G2846)), "", VLOOKUP(A2846,'Discount Lookup'!G:H,2,FALSE)*G2846)</f>
        <v>0</v>
      </c>
      <c r="W2846" s="102">
        <f t="shared" si="2163"/>
        <v>0</v>
      </c>
      <c r="X2846" s="102">
        <f t="shared" si="2164"/>
        <v>0</v>
      </c>
      <c r="Y2846" s="120" t="b">
        <f t="shared" si="2165"/>
        <v>0</v>
      </c>
      <c r="Z2846" s="117">
        <f t="shared" si="2166"/>
        <v>0</v>
      </c>
      <c r="AA2846" s="118"/>
      <c r="AB2846" s="118" t="str">
        <f t="shared" si="2167"/>
        <v/>
      </c>
      <c r="AC2846" s="712" t="str">
        <f>IF(AE2846="T2G","no charge",IF(AND(OR(PlanterYesMe="No",PlanterYesMe="N",PlanterYesMe="me"),H2846=""),"",IF(H2846="credit","NO install",IF(AND(K2846="",AE2846="me"),"EACH row",IF(AND(K2846="images",AE2846="me"),"EACH row",IF(D2846="","",IF(H2846="credit","",IF(AE2846="free","re-planting",IF(AE2846="me","   not ELP, by",IF(AND(OR(PlanterYesMe="Yes",PlanterYesMe="Y"),G2846&gt;0),(VLOOKUP(A2846,'Discount Lookup'!J:K,2)*G2846*(1-PlanterDiscount)*(1+PlanterDifficultyPercentage)),IF(AE2846="ELP",(VLOOKUP(A2846,'Discount Lookup'!J:K,2)*G2846*(1-PlanterDiscount)*(1+PlanterDifficultyPercentage)),IF(AE2846="free","re-planting",IF(G2846=0,"",IF(PlanterYesMe="",IF(AE2846="me","   not ELP, by",IF(AE2846="",IF(G2846&gt;0,(VLOOKUP(A2846,'Discount Lookup'!J:K,2)*G2846*(1-PlanterDiscount)*(1+PlanterDifficultyPercentage)),""),"")),"   not ELP, by"))))))))))))))</f>
        <v/>
      </c>
      <c r="AD2846" s="712"/>
      <c r="AE2846" s="513" t="str">
        <f t="shared" si="2168"/>
        <v/>
      </c>
      <c r="AF2846" s="713" t="str">
        <f t="shared" si="2169"/>
        <v/>
      </c>
      <c r="AG2846" s="713"/>
      <c r="AH2846" s="713"/>
      <c r="AI2846" s="112">
        <f>IF(H2846="credit",0,IF(AE2846="free",0,IF(AE2846="me",0,IF(G2846&gt;0,(VLOOKUP(A2846,'Discount Lookup'!J:K,2)*G2846),0))))</f>
        <v>0</v>
      </c>
      <c r="AJ2846" s="107" t="str">
        <f t="shared" ca="1" si="2170"/>
        <v/>
      </c>
      <c r="AK2846" s="714" t="str">
        <f t="shared" si="2171"/>
        <v/>
      </c>
      <c r="AL2846" s="714"/>
      <c r="AM2846" s="114" t="str">
        <f t="shared" si="2172"/>
        <v/>
      </c>
      <c r="AN2846" s="115"/>
      <c r="AO2846" s="116"/>
      <c r="AP2846" s="116"/>
      <c r="AQ2846" s="116"/>
      <c r="AR2846" s="116"/>
      <c r="AS2846" s="116"/>
      <c r="AT2846" s="116"/>
      <c r="AU2846" s="116"/>
      <c r="AV2846" s="78"/>
      <c r="AW2846" s="102"/>
      <c r="AX2846" s="78"/>
      <c r="AY2846" s="78"/>
      <c r="AZ2846" s="78"/>
      <c r="BA2846" s="78"/>
      <c r="BB2846" s="78"/>
      <c r="BC2846" s="78"/>
      <c r="BD2846" s="78"/>
      <c r="BE2846" s="465"/>
      <c r="BF2846" s="165" t="str">
        <f t="shared" si="2173"/>
        <v>https://www.google.com/search?tbm=isch&amp;q=15%20G4</v>
      </c>
      <c r="BG2846" s="165" t="str">
        <f t="shared" si="2174"/>
        <v>M</v>
      </c>
      <c r="BH2846" s="65"/>
      <c r="BI2846" s="65"/>
      <c r="BJ2846" s="65"/>
      <c r="BK2846" s="65"/>
      <c r="BL2846" s="99"/>
      <c r="BM2846" s="99"/>
      <c r="BN2846" s="99"/>
    </row>
    <row r="2847" spans="1:66" s="51" customFormat="1" ht="27" x14ac:dyDescent="0.25">
      <c r="A2847" s="478">
        <v>15</v>
      </c>
      <c r="B2847" s="479" t="s">
        <v>291</v>
      </c>
      <c r="C2847" s="480" t="s">
        <v>980</v>
      </c>
      <c r="D2847" s="481" t="s">
        <v>299</v>
      </c>
      <c r="E2847" s="482">
        <v>390.95</v>
      </c>
      <c r="F2847" s="483" t="s">
        <v>292</v>
      </c>
      <c r="G2847" s="484">
        <v>0</v>
      </c>
      <c r="H2847" s="688" t="str">
        <f t="shared" si="2179"/>
        <v/>
      </c>
      <c r="I2847" s="485">
        <f t="shared" si="2180"/>
        <v>0</v>
      </c>
      <c r="J2847" s="485">
        <f t="shared" si="2181"/>
        <v>0</v>
      </c>
      <c r="K2847" s="715">
        <f t="shared" ref="K2847" si="2187">I2847+J2847</f>
        <v>0</v>
      </c>
      <c r="L2847" s="715"/>
      <c r="M2847" s="689" t="str">
        <f t="shared" ca="1" si="2183"/>
        <v/>
      </c>
      <c r="N2847" s="690"/>
      <c r="O2847" s="486"/>
      <c r="P2847" s="486"/>
      <c r="Q2847" s="486"/>
      <c r="R2847" s="486"/>
      <c r="S2847" s="486"/>
      <c r="T2847" s="102">
        <f t="shared" si="2162"/>
        <v>0</v>
      </c>
      <c r="U2847" s="78">
        <f>IF(NOT(ISNUMBER(G2847)), "", VLOOKUP(A2847,'Discount Lookup'!D:E,2,FALSE)*G2847)</f>
        <v>0</v>
      </c>
      <c r="V2847" s="78">
        <f>IF(NOT(ISNUMBER(G2847)), "", VLOOKUP(A2847,'Discount Lookup'!G:H,2,FALSE)*G2847)</f>
        <v>0</v>
      </c>
      <c r="W2847" s="102">
        <f t="shared" si="2163"/>
        <v>0</v>
      </c>
      <c r="X2847" s="102">
        <f t="shared" si="2164"/>
        <v>0</v>
      </c>
      <c r="Y2847" s="120" t="b">
        <f t="shared" si="2165"/>
        <v>0</v>
      </c>
      <c r="Z2847" s="117">
        <f t="shared" si="2166"/>
        <v>0</v>
      </c>
      <c r="AA2847" s="118"/>
      <c r="AB2847" s="118" t="str">
        <f t="shared" si="2167"/>
        <v/>
      </c>
      <c r="AC2847" s="712" t="str">
        <f>IF(AE2847="T2G","no charge",IF(AND(OR(PlanterYesMe="No",PlanterYesMe="N",PlanterYesMe="me"),H2847=""),"",IF(H2847="credit","NO install",IF(AND(K2847="",AE2847="me"),"EACH row",IF(AND(K2847="images",AE2847="me"),"EACH row",IF(D2847="","",IF(H2847="credit","",IF(AE2847="free","re-planting",IF(AE2847="me","   not ELP, by",IF(AND(OR(PlanterYesMe="Yes",PlanterYesMe="Y"),G2847&gt;0),(VLOOKUP(A2847,'Discount Lookup'!J:K,2)*G2847*(1-PlanterDiscount)*(1+PlanterDifficultyPercentage)),IF(AE2847="ELP",(VLOOKUP(A2847,'Discount Lookup'!J:K,2)*G2847*(1-PlanterDiscount)*(1+PlanterDifficultyPercentage)),IF(AE2847="free","re-planting",IF(G2847=0,"",IF(PlanterYesMe="",IF(AE2847="me","   not ELP, by",IF(AE2847="",IF(G2847&gt;0,(VLOOKUP(A2847,'Discount Lookup'!J:K,2)*G2847*(1-PlanterDiscount)*(1+PlanterDifficultyPercentage)),""),"")),"   not ELP, by"))))))))))))))</f>
        <v/>
      </c>
      <c r="AD2847" s="712"/>
      <c r="AE2847" s="513" t="str">
        <f t="shared" si="2168"/>
        <v/>
      </c>
      <c r="AF2847" s="713" t="str">
        <f t="shared" si="2169"/>
        <v/>
      </c>
      <c r="AG2847" s="713"/>
      <c r="AH2847" s="713"/>
      <c r="AI2847" s="112">
        <f>IF(H2847="credit",0,IF(AE2847="free",0,IF(AE2847="me",0,IF(G2847&gt;0,(VLOOKUP(A2847,'Discount Lookup'!J:K,2)*G2847),0))))</f>
        <v>0</v>
      </c>
      <c r="AJ2847" s="107" t="str">
        <f t="shared" ca="1" si="2170"/>
        <v/>
      </c>
      <c r="AK2847" s="714" t="str">
        <f t="shared" si="2171"/>
        <v/>
      </c>
      <c r="AL2847" s="714"/>
      <c r="AM2847" s="114" t="str">
        <f t="shared" si="2172"/>
        <v/>
      </c>
      <c r="AN2847" s="115"/>
      <c r="AO2847" s="116"/>
      <c r="AP2847" s="116"/>
      <c r="AQ2847" s="116"/>
      <c r="AR2847" s="116"/>
      <c r="AS2847" s="116"/>
      <c r="AT2847" s="116"/>
      <c r="AU2847" s="116"/>
      <c r="AV2847" s="78"/>
      <c r="AW2847" s="102"/>
      <c r="AX2847" s="78"/>
      <c r="AY2847" s="78"/>
      <c r="AZ2847" s="78"/>
      <c r="BA2847" s="78"/>
      <c r="BB2847" s="78"/>
      <c r="BC2847" s="78"/>
      <c r="BD2847" s="78"/>
      <c r="BE2847" s="465"/>
      <c r="BF2847" s="165" t="str">
        <f t="shared" si="2173"/>
        <v>https://www.google.com/search?tbm=isch&amp;q=15%20G4</v>
      </c>
      <c r="BG2847" s="165" t="str">
        <f t="shared" si="2174"/>
        <v>M</v>
      </c>
      <c r="BH2847" s="65"/>
      <c r="BI2847" s="65"/>
      <c r="BJ2847" s="65"/>
      <c r="BK2847" s="65"/>
      <c r="BL2847" s="99"/>
      <c r="BM2847" s="99"/>
      <c r="BN2847" s="99"/>
    </row>
    <row r="2848" spans="1:66" s="51" customFormat="1" ht="15.75" x14ac:dyDescent="0.25">
      <c r="A2848" s="478">
        <v>25</v>
      </c>
      <c r="B2848" s="479" t="s">
        <v>291</v>
      </c>
      <c r="C2848" s="480" t="s">
        <v>924</v>
      </c>
      <c r="D2848" s="481" t="s">
        <v>299</v>
      </c>
      <c r="E2848" s="482">
        <v>399.95</v>
      </c>
      <c r="F2848" s="483" t="s">
        <v>292</v>
      </c>
      <c r="G2848" s="484">
        <v>0</v>
      </c>
      <c r="H2848" s="688" t="str">
        <f t="shared" si="2179"/>
        <v/>
      </c>
      <c r="I2848" s="485">
        <f t="shared" si="2180"/>
        <v>0</v>
      </c>
      <c r="J2848" s="485">
        <f t="shared" si="2181"/>
        <v>0</v>
      </c>
      <c r="K2848" s="715">
        <f t="shared" ref="K2848" si="2188">I2848+J2848</f>
        <v>0</v>
      </c>
      <c r="L2848" s="715"/>
      <c r="M2848" s="689" t="str">
        <f t="shared" ca="1" si="2183"/>
        <v/>
      </c>
      <c r="N2848" s="690"/>
      <c r="O2848" s="486"/>
      <c r="P2848" s="486"/>
      <c r="Q2848" s="486"/>
      <c r="R2848" s="486"/>
      <c r="S2848" s="486"/>
      <c r="T2848" s="102">
        <f t="shared" si="2162"/>
        <v>0</v>
      </c>
      <c r="U2848" s="78">
        <f>IF(NOT(ISNUMBER(G2848)), "", VLOOKUP(A2848,'Discount Lookup'!D:E,2,FALSE)*G2848)</f>
        <v>0</v>
      </c>
      <c r="V2848" s="78">
        <f>IF(NOT(ISNUMBER(G2848)), "", VLOOKUP(A2848,'Discount Lookup'!G:H,2,FALSE)*G2848)</f>
        <v>0</v>
      </c>
      <c r="W2848" s="102">
        <f t="shared" si="2163"/>
        <v>0</v>
      </c>
      <c r="X2848" s="102">
        <f t="shared" si="2164"/>
        <v>0</v>
      </c>
      <c r="Y2848" s="120" t="b">
        <f t="shared" si="2165"/>
        <v>0</v>
      </c>
      <c r="Z2848" s="117">
        <f t="shared" si="2166"/>
        <v>0</v>
      </c>
      <c r="AA2848" s="118"/>
      <c r="AB2848" s="118" t="str">
        <f t="shared" si="2167"/>
        <v/>
      </c>
      <c r="AC2848" s="712" t="str">
        <f>IF(AE2848="T2G","no charge",IF(AND(OR(PlanterYesMe="No",PlanterYesMe="N",PlanterYesMe="me"),H2848=""),"",IF(H2848="credit","NO install",IF(AND(K2848="",AE2848="me"),"EACH row",IF(AND(K2848="images",AE2848="me"),"EACH row",IF(D2848="","",IF(H2848="credit","",IF(AE2848="free","re-planting",IF(AE2848="me","   not ELP, by",IF(AND(OR(PlanterYesMe="Yes",PlanterYesMe="Y"),G2848&gt;0),(VLOOKUP(A2848,'Discount Lookup'!J:K,2)*G2848*(1-PlanterDiscount)*(1+PlanterDifficultyPercentage)),IF(AE2848="ELP",(VLOOKUP(A2848,'Discount Lookup'!J:K,2)*G2848*(1-PlanterDiscount)*(1+PlanterDifficultyPercentage)),IF(AE2848="free","re-planting",IF(G2848=0,"",IF(PlanterYesMe="",IF(AE2848="me","   not ELP, by",IF(AE2848="",IF(G2848&gt;0,(VLOOKUP(A2848,'Discount Lookup'!J:K,2)*G2848*(1-PlanterDiscount)*(1+PlanterDifficultyPercentage)),""),"")),"   not ELP, by"))))))))))))))</f>
        <v/>
      </c>
      <c r="AD2848" s="712"/>
      <c r="AE2848" s="513" t="str">
        <f t="shared" si="2168"/>
        <v/>
      </c>
      <c r="AF2848" s="713" t="str">
        <f t="shared" si="2169"/>
        <v/>
      </c>
      <c r="AG2848" s="713"/>
      <c r="AH2848" s="713"/>
      <c r="AI2848" s="112">
        <f>IF(H2848="credit",0,IF(AE2848="free",0,IF(AE2848="me",0,IF(G2848&gt;0,(VLOOKUP(A2848,'Discount Lookup'!J:K,2)*G2848),0))))</f>
        <v>0</v>
      </c>
      <c r="AJ2848" s="107" t="str">
        <f t="shared" ca="1" si="2170"/>
        <v/>
      </c>
      <c r="AK2848" s="714" t="str">
        <f t="shared" si="2171"/>
        <v/>
      </c>
      <c r="AL2848" s="714"/>
      <c r="AM2848" s="114" t="str">
        <f t="shared" si="2172"/>
        <v/>
      </c>
      <c r="AN2848" s="115"/>
      <c r="AO2848" s="116"/>
      <c r="AP2848" s="116"/>
      <c r="AQ2848" s="116"/>
      <c r="AR2848" s="116"/>
      <c r="AS2848" s="116"/>
      <c r="AT2848" s="116"/>
      <c r="AU2848" s="116"/>
      <c r="AV2848" s="78"/>
      <c r="AW2848" s="102"/>
      <c r="AX2848" s="78"/>
      <c r="AY2848" s="78"/>
      <c r="AZ2848" s="78"/>
      <c r="BA2848" s="78"/>
      <c r="BB2848" s="78"/>
      <c r="BC2848" s="78"/>
      <c r="BD2848" s="78"/>
      <c r="BE2848" s="465"/>
      <c r="BF2848" s="165" t="str">
        <f t="shared" si="2173"/>
        <v>https://www.google.com/search?tbm=isch&amp;q=25%20G4</v>
      </c>
      <c r="BG2848" s="165" t="str">
        <f t="shared" si="2174"/>
        <v>M</v>
      </c>
      <c r="BH2848" s="65"/>
      <c r="BI2848" s="65"/>
      <c r="BJ2848" s="65"/>
      <c r="BK2848" s="65"/>
      <c r="BL2848" s="99"/>
      <c r="BM2848" s="99"/>
      <c r="BN2848" s="99"/>
    </row>
    <row r="2849" spans="1:66" s="51" customFormat="1" ht="15.75" x14ac:dyDescent="0.25">
      <c r="A2849" s="478">
        <v>30</v>
      </c>
      <c r="B2849" s="479" t="s">
        <v>291</v>
      </c>
      <c r="C2849" s="480" t="s">
        <v>611</v>
      </c>
      <c r="D2849" s="481" t="s">
        <v>311</v>
      </c>
      <c r="E2849" s="482">
        <v>425.95</v>
      </c>
      <c r="F2849" s="483" t="s">
        <v>292</v>
      </c>
      <c r="G2849" s="484">
        <v>0</v>
      </c>
      <c r="H2849" s="688" t="str">
        <f t="shared" si="2179"/>
        <v/>
      </c>
      <c r="I2849" s="485">
        <f t="shared" si="2180"/>
        <v>0</v>
      </c>
      <c r="J2849" s="485">
        <f t="shared" si="2181"/>
        <v>0</v>
      </c>
      <c r="K2849" s="715">
        <f t="shared" ref="K2849" si="2189">I2849+J2849</f>
        <v>0</v>
      </c>
      <c r="L2849" s="715"/>
      <c r="M2849" s="689" t="str">
        <f t="shared" ca="1" si="2183"/>
        <v/>
      </c>
      <c r="N2849" s="690"/>
      <c r="O2849" s="486"/>
      <c r="P2849" s="486"/>
      <c r="Q2849" s="486"/>
      <c r="R2849" s="486"/>
      <c r="S2849" s="486"/>
      <c r="T2849" s="102">
        <f t="shared" si="2162"/>
        <v>0</v>
      </c>
      <c r="U2849" s="78">
        <f>IF(NOT(ISNUMBER(G2849)), "", VLOOKUP(A2849,'Discount Lookup'!D:E,2,FALSE)*G2849)</f>
        <v>0</v>
      </c>
      <c r="V2849" s="78">
        <f>IF(NOT(ISNUMBER(G2849)), "", VLOOKUP(A2849,'Discount Lookup'!G:H,2,FALSE)*G2849)</f>
        <v>0</v>
      </c>
      <c r="W2849" s="102">
        <f t="shared" si="2163"/>
        <v>0</v>
      </c>
      <c r="X2849" s="102">
        <f t="shared" si="2164"/>
        <v>0</v>
      </c>
      <c r="Y2849" s="120" t="b">
        <f t="shared" si="2165"/>
        <v>0</v>
      </c>
      <c r="Z2849" s="117">
        <f t="shared" si="2166"/>
        <v>0</v>
      </c>
      <c r="AA2849" s="118"/>
      <c r="AB2849" s="118" t="str">
        <f t="shared" si="2167"/>
        <v/>
      </c>
      <c r="AC2849" s="712" t="str">
        <f>IF(AE2849="T2G","no charge",IF(AND(OR(PlanterYesMe="No",PlanterYesMe="N",PlanterYesMe="me"),H2849=""),"",IF(H2849="credit","NO install",IF(AND(K2849="",AE2849="me"),"EACH row",IF(AND(K2849="images",AE2849="me"),"EACH row",IF(D2849="","",IF(H2849="credit","",IF(AE2849="free","re-planting",IF(AE2849="me","   not ELP, by",IF(AND(OR(PlanterYesMe="Yes",PlanterYesMe="Y"),G2849&gt;0),(VLOOKUP(A2849,'Discount Lookup'!J:K,2)*G2849*(1-PlanterDiscount)*(1+PlanterDifficultyPercentage)),IF(AE2849="ELP",(VLOOKUP(A2849,'Discount Lookup'!J:K,2)*G2849*(1-PlanterDiscount)*(1+PlanterDifficultyPercentage)),IF(AE2849="free","re-planting",IF(G2849=0,"",IF(PlanterYesMe="",IF(AE2849="me","   not ELP, by",IF(AE2849="",IF(G2849&gt;0,(VLOOKUP(A2849,'Discount Lookup'!J:K,2)*G2849*(1-PlanterDiscount)*(1+PlanterDifficultyPercentage)),""),"")),"   not ELP, by"))))))))))))))</f>
        <v/>
      </c>
      <c r="AD2849" s="712"/>
      <c r="AE2849" s="513" t="str">
        <f t="shared" si="2168"/>
        <v/>
      </c>
      <c r="AF2849" s="713" t="str">
        <f t="shared" si="2169"/>
        <v/>
      </c>
      <c r="AG2849" s="713"/>
      <c r="AH2849" s="713"/>
      <c r="AI2849" s="112">
        <f>IF(H2849="credit",0,IF(AE2849="free",0,IF(AE2849="me",0,IF(G2849&gt;0,(VLOOKUP(A2849,'Discount Lookup'!J:K,2)*G2849),0))))</f>
        <v>0</v>
      </c>
      <c r="AJ2849" s="107" t="str">
        <f t="shared" ca="1" si="2170"/>
        <v/>
      </c>
      <c r="AK2849" s="714" t="str">
        <f t="shared" si="2171"/>
        <v/>
      </c>
      <c r="AL2849" s="714"/>
      <c r="AM2849" s="114" t="str">
        <f t="shared" si="2172"/>
        <v/>
      </c>
      <c r="AN2849" s="115"/>
      <c r="AO2849" s="116"/>
      <c r="AP2849" s="116"/>
      <c r="AQ2849" s="116"/>
      <c r="AR2849" s="116"/>
      <c r="AS2849" s="116"/>
      <c r="AT2849" s="116"/>
      <c r="AU2849" s="116"/>
      <c r="AV2849" s="78"/>
      <c r="AW2849" s="102"/>
      <c r="AX2849" s="78"/>
      <c r="AY2849" s="78"/>
      <c r="AZ2849" s="78"/>
      <c r="BA2849" s="78"/>
      <c r="BB2849" s="78"/>
      <c r="BC2849" s="78"/>
      <c r="BD2849" s="78"/>
      <c r="BE2849" s="465"/>
      <c r="BF2849" s="165" t="str">
        <f t="shared" si="2173"/>
        <v>https://www.google.com/search?tbm=isch&amp;q=30%20G5</v>
      </c>
      <c r="BG2849" s="165" t="str">
        <f t="shared" si="2174"/>
        <v>M</v>
      </c>
      <c r="BH2849" s="65"/>
      <c r="BI2849" s="65"/>
      <c r="BJ2849" s="65"/>
      <c r="BK2849" s="65"/>
      <c r="BL2849" s="99"/>
      <c r="BM2849" s="99"/>
      <c r="BN2849" s="99"/>
    </row>
    <row r="2850" spans="1:66" s="51" customFormat="1" ht="17.25" thickBot="1" x14ac:dyDescent="0.3">
      <c r="A2850" s="705" t="s">
        <v>5479</v>
      </c>
      <c r="B2850" s="487"/>
      <c r="C2850" s="707"/>
      <c r="D2850" s="487"/>
      <c r="E2850" s="487"/>
      <c r="F2850" s="488"/>
      <c r="G2850" s="489"/>
      <c r="H2850" s="487"/>
      <c r="I2850" s="490"/>
      <c r="J2850" s="490"/>
      <c r="K2850" s="491"/>
      <c r="L2850" s="547"/>
      <c r="M2850" s="528"/>
      <c r="N2850" s="492"/>
      <c r="O2850" s="493"/>
      <c r="P2850" s="494"/>
      <c r="Q2850" s="492"/>
      <c r="R2850" s="492"/>
      <c r="S2850" s="699" t="s">
        <v>5268</v>
      </c>
      <c r="T2850" s="102">
        <f t="shared" si="2162"/>
        <v>0</v>
      </c>
      <c r="U2850" s="78" t="str">
        <f>IF(NOT(ISNUMBER(G2850)), "", VLOOKUP(A2850,'Discount Lookup'!D:E,2,FALSE)*G2850)</f>
        <v/>
      </c>
      <c r="V2850" s="78" t="str">
        <f>IF(NOT(ISNUMBER(G2850)), "", VLOOKUP(A2850,'Discount Lookup'!G:H,2,FALSE)*G2850)</f>
        <v/>
      </c>
      <c r="W2850" s="102">
        <f t="shared" si="2163"/>
        <v>0</v>
      </c>
      <c r="X2850" s="102">
        <f t="shared" si="2164"/>
        <v>0</v>
      </c>
      <c r="Y2850" s="120" t="b">
        <f t="shared" si="2165"/>
        <v>0</v>
      </c>
      <c r="Z2850" s="117">
        <f t="shared" si="2166"/>
        <v>0</v>
      </c>
      <c r="AA2850" s="118"/>
      <c r="AB2850" s="118" t="str">
        <f t="shared" si="2167"/>
        <v/>
      </c>
      <c r="AC2850" s="712" t="str">
        <f>IF(AE2850="T2G","no charge",IF(AND(OR(PlanterYesMe="No",PlanterYesMe="N",PlanterYesMe="me"),H2850=""),"",IF(H2850="credit","NO install",IF(AND(K2850="",AE2850="me"),"EACH row",IF(AND(K2850="images",AE2850="me"),"EACH row",IF(D2850="","",IF(H2850="credit","",IF(AE2850="free","re-planting",IF(AE2850="me","   not ELP, by",IF(AND(OR(PlanterYesMe="Yes",PlanterYesMe="Y"),G2850&gt;0),(VLOOKUP(A2850,'Discount Lookup'!J:K,2)*G2850*(1-PlanterDiscount)*(1+PlanterDifficultyPercentage)),IF(AE2850="ELP",(VLOOKUP(A2850,'Discount Lookup'!J:K,2)*G2850*(1-PlanterDiscount)*(1+PlanterDifficultyPercentage)),IF(AE2850="free","re-planting",IF(G2850=0,"",IF(PlanterYesMe="",IF(AE2850="me","   not ELP, by",IF(AE2850="",IF(G2850&gt;0,(VLOOKUP(A2850,'Discount Lookup'!J:K,2)*G2850*(1-PlanterDiscount)*(1+PlanterDifficultyPercentage)),""),"")),"   not ELP, by"))))))))))))))</f>
        <v/>
      </c>
      <c r="AD2850" s="712"/>
      <c r="AE2850" s="513" t="str">
        <f t="shared" si="2168"/>
        <v/>
      </c>
      <c r="AF2850" s="713" t="str">
        <f t="shared" si="2169"/>
        <v/>
      </c>
      <c r="AG2850" s="713"/>
      <c r="AH2850" s="713"/>
      <c r="AI2850" s="112">
        <f>IF(H2850="credit",0,IF(AE2850="free",0,IF(AE2850="me",0,IF(G2850&gt;0,(VLOOKUP(A2850,'Discount Lookup'!J:K,2)*G2850),0))))</f>
        <v>0</v>
      </c>
      <c r="AJ2850" s="107" t="str">
        <f t="shared" ca="1" si="2170"/>
        <v/>
      </c>
      <c r="AK2850" s="714" t="str">
        <f t="shared" si="2171"/>
        <v/>
      </c>
      <c r="AL2850" s="714"/>
      <c r="AM2850" s="114" t="str">
        <f t="shared" si="2172"/>
        <v/>
      </c>
      <c r="AN2850" s="115"/>
      <c r="AO2850" s="116"/>
      <c r="AP2850" s="116"/>
      <c r="AQ2850" s="116"/>
      <c r="AR2850" s="116"/>
      <c r="AS2850" s="116"/>
      <c r="AT2850" s="116"/>
      <c r="AU2850" s="116"/>
      <c r="AV2850" s="78"/>
      <c r="AW2850" s="102"/>
      <c r="AX2850" s="78"/>
      <c r="AY2850" s="78"/>
      <c r="AZ2850" s="78"/>
      <c r="BA2850" s="78"/>
      <c r="BB2850" s="78"/>
      <c r="BC2850" s="78"/>
      <c r="BD2850" s="78"/>
      <c r="BE2850" s="465"/>
      <c r="BF2850" s="165" t="str">
        <f t="shared" si="2173"/>
        <v>https://www.google.com/search?tbm=isch&amp;q=moist%20sites%F0%9F%92%A7OK%2C%20Teddy%20Bear%20is%20named%20for%20it%27s%20larger%2C%20rounder%20foliage%2C%20like%20a%20big%20soft%20Teddy%20Bear.%20Fragrant%20</v>
      </c>
      <c r="BG2850" s="165" t="str">
        <f t="shared" si="2174"/>
        <v>m</v>
      </c>
      <c r="BH2850" s="65"/>
      <c r="BI2850" s="65"/>
      <c r="BJ2850" s="65"/>
      <c r="BK2850" s="65"/>
      <c r="BL2850" s="99"/>
      <c r="BM2850" s="99"/>
      <c r="BN2850" s="99"/>
    </row>
    <row r="2851" spans="1:66" s="51" customFormat="1" ht="18" x14ac:dyDescent="0.25">
      <c r="A2851" s="507" t="s">
        <v>612</v>
      </c>
      <c r="B2851" s="470"/>
      <c r="C2851" s="706"/>
      <c r="D2851" s="471" t="s">
        <v>613</v>
      </c>
      <c r="E2851" s="472"/>
      <c r="F2851" s="472"/>
      <c r="G2851" s="472"/>
      <c r="H2851" s="622" t="s">
        <v>331</v>
      </c>
      <c r="I2851" s="473" t="s">
        <v>349</v>
      </c>
      <c r="J2851" s="472"/>
      <c r="K2851" s="472"/>
      <c r="L2851" s="561"/>
      <c r="M2851" s="698" t="s">
        <v>5246</v>
      </c>
      <c r="N2851" s="692" t="str">
        <f>IF(AND(ISTEXT($A2851), ISERROR($A2851+0)), HYPERLINK($BF2851, "Images"), "")</f>
        <v>Images</v>
      </c>
      <c r="O2851" s="694" t="s">
        <v>5247</v>
      </c>
      <c r="P2851" s="475"/>
      <c r="Q2851" s="476"/>
      <c r="R2851" s="476"/>
      <c r="S2851" s="477"/>
      <c r="T2851" s="102">
        <f t="shared" si="2162"/>
        <v>0</v>
      </c>
      <c r="U2851" s="78" t="str">
        <f>IF(NOT(ISNUMBER(G2851)), "", VLOOKUP(A2851,'Discount Lookup'!D:E,2,FALSE)*G2851)</f>
        <v/>
      </c>
      <c r="V2851" s="78" t="str">
        <f>IF(NOT(ISNUMBER(G2851)), "", VLOOKUP(A2851,'Discount Lookup'!G:H,2,FALSE)*G2851)</f>
        <v/>
      </c>
      <c r="W2851" s="102">
        <f t="shared" si="2163"/>
        <v>0</v>
      </c>
      <c r="X2851" s="102" t="str">
        <f t="shared" si="2164"/>
        <v>White bloom</v>
      </c>
      <c r="Y2851" s="120" t="b">
        <f t="shared" si="2165"/>
        <v>0</v>
      </c>
      <c r="Z2851" s="117">
        <f t="shared" si="2166"/>
        <v>0</v>
      </c>
      <c r="AA2851" s="118"/>
      <c r="AB2851" s="118" t="str">
        <f t="shared" si="2167"/>
        <v/>
      </c>
      <c r="AC2851" s="712" t="str">
        <f>IF(AE2851="T2G","no charge",IF(AND(OR(PlanterYesMe="No",PlanterYesMe="N",PlanterYesMe="me"),H2851=""),"",IF(H2851="credit","NO install",IF(AND(K2851="",AE2851="me"),"EACH row",IF(AND(K2851="images",AE2851="me"),"EACH row",IF(D2851="","",IF(H2851="credit","",IF(AE2851="free","re-planting",IF(AE2851="me","   not ELP, by",IF(AND(OR(PlanterYesMe="Yes",PlanterYesMe="Y"),G2851&gt;0),(VLOOKUP(A2851,'Discount Lookup'!J:K,2)*G2851*(1-PlanterDiscount)*(1+PlanterDifficultyPercentage)),IF(AE2851="ELP",(VLOOKUP(A2851,'Discount Lookup'!J:K,2)*G2851*(1-PlanterDiscount)*(1+PlanterDifficultyPercentage)),IF(AE2851="free","re-planting",IF(G2851=0,"",IF(PlanterYesMe="",IF(AE2851="me","   not ELP, by",IF(AE2851="",IF(G2851&gt;0,(VLOOKUP(A2851,'Discount Lookup'!J:K,2)*G2851*(1-PlanterDiscount)*(1+PlanterDifficultyPercentage)),""),"")),"   not ELP, by"))))))))))))))</f>
        <v/>
      </c>
      <c r="AD2851" s="712"/>
      <c r="AE2851" s="513" t="str">
        <f t="shared" si="2168"/>
        <v/>
      </c>
      <c r="AF2851" s="713" t="str">
        <f t="shared" si="2169"/>
        <v/>
      </c>
      <c r="AG2851" s="713"/>
      <c r="AH2851" s="713"/>
      <c r="AI2851" s="112">
        <f>IF(H2851="credit",0,IF(AE2851="free",0,IF(AE2851="me",0,IF(G2851&gt;0,(VLOOKUP(A2851,'Discount Lookup'!J:K,2)*G2851),0))))</f>
        <v>0</v>
      </c>
      <c r="AJ2851" s="107" t="str">
        <f t="shared" ca="1" si="2170"/>
        <v/>
      </c>
      <c r="AK2851" s="714" t="str">
        <f t="shared" si="2171"/>
        <v/>
      </c>
      <c r="AL2851" s="714"/>
      <c r="AM2851" s="114" t="str">
        <f t="shared" si="2172"/>
        <v/>
      </c>
      <c r="AN2851" s="115"/>
      <c r="AO2851" s="116"/>
      <c r="AP2851" s="116"/>
      <c r="AQ2851" s="116"/>
      <c r="AR2851" s="116"/>
      <c r="AS2851" s="116"/>
      <c r="AT2851" s="116"/>
      <c r="AU2851" s="116"/>
      <c r="AV2851" s="78"/>
      <c r="AW2851" s="102"/>
      <c r="AX2851" s="78"/>
      <c r="AY2851" s="78"/>
      <c r="AZ2851" s="78"/>
      <c r="BA2851" s="78"/>
      <c r="BB2851" s="78"/>
      <c r="BC2851" s="78"/>
      <c r="BD2851" s="78"/>
      <c r="BE2851" s="465"/>
      <c r="BF2851" s="165" t="str">
        <f t="shared" si="2173"/>
        <v>https://www.google.com/search?tbm=isch&amp;q=Magnolia%20laevifolia%20%27Inspiration%27%20Inspiration%20Magnolia</v>
      </c>
      <c r="BG2851" s="165" t="str">
        <f t="shared" si="2174"/>
        <v>M</v>
      </c>
      <c r="BH2851" s="65"/>
      <c r="BI2851" s="65"/>
      <c r="BJ2851" s="65"/>
      <c r="BK2851" s="65"/>
      <c r="BL2851" s="99"/>
      <c r="BM2851" s="99"/>
      <c r="BN2851" s="99"/>
    </row>
    <row r="2852" spans="1:66" s="51" customFormat="1" ht="27" x14ac:dyDescent="0.25">
      <c r="A2852" s="478">
        <v>7</v>
      </c>
      <c r="B2852" s="479" t="s">
        <v>291</v>
      </c>
      <c r="C2852" s="480" t="s">
        <v>5190</v>
      </c>
      <c r="D2852" s="481" t="s">
        <v>299</v>
      </c>
      <c r="E2852" s="482">
        <v>102.95</v>
      </c>
      <c r="F2852" s="483" t="s">
        <v>292</v>
      </c>
      <c r="G2852" s="484">
        <v>0</v>
      </c>
      <c r="H2852" s="688" t="str">
        <f>IF(G2852=0,"",IF(F2852="Buy",IF(G2852=1,"plant","plants"),IF(F2852&gt;0.01,"warranty","Error")))</f>
        <v/>
      </c>
      <c r="I2852" s="485">
        <f>IF(H2852="free",0,IF(H2852="credit",((E2852*(F2852))*G2852*-1),IF(F2852="Buy",(E2852*G2852),((E2852*(1-F2852))*G2852))))</f>
        <v>0</v>
      </c>
      <c r="J2852" s="485">
        <f>IF(H2852="warranty",0,(I2852*(_xlfn.SINGLE(SalesTaxPercentage))))</f>
        <v>0</v>
      </c>
      <c r="K2852" s="715">
        <f t="shared" ref="K2852" si="2190">I2852+J2852</f>
        <v>0</v>
      </c>
      <c r="L2852" s="715"/>
      <c r="M2852" s="689" t="str">
        <f ca="1">IF(AND(G2852&gt;0,E2852=0),"WARNING - no PRICE inserted",IF(H2852="free","FREE ~ no charge this plant",IF(H2852="credit",CONCATENATE("-$",ROUND(K2852*(1-_xlfn.SINGLE(T2GDiscount))*-1,2)," CREDIT after discount"),IF(_xlfn.SINGLE(T2GDiscount)=0,"",IF(G2852=0,"",IF(F2852="Buy",CONCATENATE("$",ROUND(K2852*(1-_xlfn.SINGLE(T2GDiscount)),2)," with ",(_xlfn.SINGLE(T2GDiscount)*100),"% discount"),CONCATENATE("$",ROUND(K2852*(1-_xlfn.SINGLE(T2GDiscount)),2)," with ",((_xlfn.SINGLE(T2GDiscount)*100+F2852*100)-(_xlfn.SINGLE(T2GDiscount)*100*F2852)),IF(F2852&gt;0,"% discounts",IF(_xlfn.SINGLE(NoWarrantyDiscount)&gt;0,"% discounts","% discount")))))))))</f>
        <v/>
      </c>
      <c r="N2852" s="690"/>
      <c r="O2852" s="486"/>
      <c r="P2852" s="486"/>
      <c r="Q2852" s="486"/>
      <c r="R2852" s="486"/>
      <c r="S2852" s="486"/>
      <c r="T2852" s="102">
        <f t="shared" si="2162"/>
        <v>0</v>
      </c>
      <c r="U2852" s="78">
        <f>IF(NOT(ISNUMBER(G2852)), "", VLOOKUP(A2852,'Discount Lookup'!D:E,2,FALSE)*G2852)</f>
        <v>0</v>
      </c>
      <c r="V2852" s="78">
        <f>IF(NOT(ISNUMBER(G2852)), "", VLOOKUP(A2852,'Discount Lookup'!G:H,2,FALSE)*G2852)</f>
        <v>0</v>
      </c>
      <c r="W2852" s="102">
        <f t="shared" si="2163"/>
        <v>0</v>
      </c>
      <c r="X2852" s="102">
        <f t="shared" si="2164"/>
        <v>0</v>
      </c>
      <c r="Y2852" s="120" t="b">
        <f t="shared" si="2165"/>
        <v>0</v>
      </c>
      <c r="Z2852" s="117">
        <f t="shared" si="2166"/>
        <v>0</v>
      </c>
      <c r="AA2852" s="118"/>
      <c r="AB2852" s="118" t="str">
        <f t="shared" si="2167"/>
        <v/>
      </c>
      <c r="AC2852" s="712" t="str">
        <f>IF(AE2852="T2G","no charge",IF(AND(OR(PlanterYesMe="No",PlanterYesMe="N",PlanterYesMe="me"),H2852=""),"",IF(H2852="credit","NO install",IF(AND(K2852="",AE2852="me"),"EACH row",IF(AND(K2852="images",AE2852="me"),"EACH row",IF(D2852="","",IF(H2852="credit","",IF(AE2852="free","re-planting",IF(AE2852="me","   not ELP, by",IF(AND(OR(PlanterYesMe="Yes",PlanterYesMe="Y"),G2852&gt;0),(VLOOKUP(A2852,'Discount Lookup'!J:K,2)*G2852*(1-PlanterDiscount)*(1+PlanterDifficultyPercentage)),IF(AE2852="ELP",(VLOOKUP(A2852,'Discount Lookup'!J:K,2)*G2852*(1-PlanterDiscount)*(1+PlanterDifficultyPercentage)),IF(AE2852="free","re-planting",IF(G2852=0,"",IF(PlanterYesMe="",IF(AE2852="me","   not ELP, by",IF(AE2852="",IF(G2852&gt;0,(VLOOKUP(A2852,'Discount Lookup'!J:K,2)*G2852*(1-PlanterDiscount)*(1+PlanterDifficultyPercentage)),""),"")),"   not ELP, by"))))))))))))))</f>
        <v/>
      </c>
      <c r="AD2852" s="712"/>
      <c r="AE2852" s="513" t="str">
        <f t="shared" si="2168"/>
        <v/>
      </c>
      <c r="AF2852" s="713" t="str">
        <f t="shared" si="2169"/>
        <v/>
      </c>
      <c r="AG2852" s="713"/>
      <c r="AH2852" s="713"/>
      <c r="AI2852" s="112">
        <f>IF(H2852="credit",0,IF(AE2852="free",0,IF(AE2852="me",0,IF(G2852&gt;0,(VLOOKUP(A2852,'Discount Lookup'!J:K,2)*G2852),0))))</f>
        <v>0</v>
      </c>
      <c r="AJ2852" s="107" t="str">
        <f t="shared" ca="1" si="2170"/>
        <v/>
      </c>
      <c r="AK2852" s="714" t="str">
        <f t="shared" si="2171"/>
        <v/>
      </c>
      <c r="AL2852" s="714"/>
      <c r="AM2852" s="114" t="str">
        <f t="shared" si="2172"/>
        <v/>
      </c>
      <c r="AN2852" s="115"/>
      <c r="AO2852" s="116"/>
      <c r="AP2852" s="116"/>
      <c r="AQ2852" s="116"/>
      <c r="AR2852" s="116"/>
      <c r="AS2852" s="116"/>
      <c r="AT2852" s="116"/>
      <c r="AU2852" s="116"/>
      <c r="AV2852" s="78"/>
      <c r="AW2852" s="102"/>
      <c r="AX2852" s="78"/>
      <c r="AY2852" s="78"/>
      <c r="AZ2852" s="78"/>
      <c r="BA2852" s="78"/>
      <c r="BB2852" s="78"/>
      <c r="BC2852" s="78"/>
      <c r="BD2852" s="78"/>
      <c r="BE2852" s="465"/>
      <c r="BF2852" s="165" t="str">
        <f t="shared" si="2173"/>
        <v>https://www.google.com/search?tbm=isch&amp;q=7%20G4</v>
      </c>
      <c r="BG2852" s="165" t="str">
        <f t="shared" si="2174"/>
        <v>M</v>
      </c>
      <c r="BH2852" s="65"/>
      <c r="BI2852" s="65"/>
      <c r="BJ2852" s="65"/>
      <c r="BK2852" s="65"/>
      <c r="BL2852" s="99"/>
      <c r="BM2852" s="99"/>
      <c r="BN2852" s="99"/>
    </row>
    <row r="2853" spans="1:66" s="51" customFormat="1" ht="15.75" x14ac:dyDescent="0.25">
      <c r="A2853" s="478">
        <v>7</v>
      </c>
      <c r="B2853" s="479" t="s">
        <v>291</v>
      </c>
      <c r="C2853" s="480" t="s">
        <v>5191</v>
      </c>
      <c r="D2853" s="481" t="s">
        <v>299</v>
      </c>
      <c r="E2853" s="482">
        <v>109.95</v>
      </c>
      <c r="F2853" s="483" t="s">
        <v>292</v>
      </c>
      <c r="G2853" s="484">
        <v>0</v>
      </c>
      <c r="H2853" s="688" t="str">
        <f>IF(G2853=0,"",IF(F2853="Buy",IF(G2853=1,"plant","plants"),IF(F2853&gt;0.01,"warranty","Error")))</f>
        <v/>
      </c>
      <c r="I2853" s="485">
        <f>IF(H2853="free",0,IF(H2853="credit",((E2853*(F2853))*G2853*-1),IF(F2853="Buy",(E2853*G2853),((E2853*(1-F2853))*G2853))))</f>
        <v>0</v>
      </c>
      <c r="J2853" s="485">
        <f>IF(H2853="warranty",0,(I2853*(_xlfn.SINGLE(SalesTaxPercentage))))</f>
        <v>0</v>
      </c>
      <c r="K2853" s="715">
        <f t="shared" ref="K2853" si="2191">I2853+J2853</f>
        <v>0</v>
      </c>
      <c r="L2853" s="715"/>
      <c r="M2853" s="689" t="str">
        <f ca="1">IF(AND(G2853&gt;0,E2853=0),"WARNING - no PRICE inserted",IF(H2853="free","FREE ~ no charge this plant",IF(H2853="credit",CONCATENATE("-$",ROUND(K2853*(1-_xlfn.SINGLE(T2GDiscount))*-1,2)," CREDIT after discount"),IF(_xlfn.SINGLE(T2GDiscount)=0,"",IF(G2853=0,"",IF(F2853="Buy",CONCATENATE("$",ROUND(K2853*(1-_xlfn.SINGLE(T2GDiscount)),2)," with ",(_xlfn.SINGLE(T2GDiscount)*100),"% discount"),CONCATENATE("$",ROUND(K2853*(1-_xlfn.SINGLE(T2GDiscount)),2)," with ",((_xlfn.SINGLE(T2GDiscount)*100+F2853*100)-(_xlfn.SINGLE(T2GDiscount)*100*F2853)),IF(F2853&gt;0,"% discounts",IF(_xlfn.SINGLE(NoWarrantyDiscount)&gt;0,"% discounts","% discount")))))))))</f>
        <v/>
      </c>
      <c r="N2853" s="690"/>
      <c r="O2853" s="486"/>
      <c r="P2853" s="486"/>
      <c r="Q2853" s="486"/>
      <c r="R2853" s="486"/>
      <c r="S2853" s="486"/>
      <c r="T2853" s="102">
        <f t="shared" si="2162"/>
        <v>0</v>
      </c>
      <c r="U2853" s="78">
        <f>IF(NOT(ISNUMBER(G2853)), "", VLOOKUP(A2853,'Discount Lookup'!D:E,2,FALSE)*G2853)</f>
        <v>0</v>
      </c>
      <c r="V2853" s="78">
        <f>IF(NOT(ISNUMBER(G2853)), "", VLOOKUP(A2853,'Discount Lookup'!G:H,2,FALSE)*G2853)</f>
        <v>0</v>
      </c>
      <c r="W2853" s="102">
        <f t="shared" si="2163"/>
        <v>0</v>
      </c>
      <c r="X2853" s="102">
        <f t="shared" si="2164"/>
        <v>0</v>
      </c>
      <c r="Y2853" s="120" t="b">
        <f t="shared" si="2165"/>
        <v>0</v>
      </c>
      <c r="Z2853" s="117">
        <f t="shared" si="2166"/>
        <v>0</v>
      </c>
      <c r="AA2853" s="118"/>
      <c r="AB2853" s="118" t="str">
        <f t="shared" si="2167"/>
        <v/>
      </c>
      <c r="AC2853" s="712" t="str">
        <f>IF(AE2853="T2G","no charge",IF(AND(OR(PlanterYesMe="No",PlanterYesMe="N",PlanterYesMe="me"),H2853=""),"",IF(H2853="credit","NO install",IF(AND(K2853="",AE2853="me"),"EACH row",IF(AND(K2853="images",AE2853="me"),"EACH row",IF(D2853="","",IF(H2853="credit","",IF(AE2853="free","re-planting",IF(AE2853="me","   not ELP, by",IF(AND(OR(PlanterYesMe="Yes",PlanterYesMe="Y"),G2853&gt;0),(VLOOKUP(A2853,'Discount Lookup'!J:K,2)*G2853*(1-PlanterDiscount)*(1+PlanterDifficultyPercentage)),IF(AE2853="ELP",(VLOOKUP(A2853,'Discount Lookup'!J:K,2)*G2853*(1-PlanterDiscount)*(1+PlanterDifficultyPercentage)),IF(AE2853="free","re-planting",IF(G2853=0,"",IF(PlanterYesMe="",IF(AE2853="me","   not ELP, by",IF(AE2853="",IF(G2853&gt;0,(VLOOKUP(A2853,'Discount Lookup'!J:K,2)*G2853*(1-PlanterDiscount)*(1+PlanterDifficultyPercentage)),""),"")),"   not ELP, by"))))))))))))))</f>
        <v/>
      </c>
      <c r="AD2853" s="712"/>
      <c r="AE2853" s="513" t="str">
        <f t="shared" si="2168"/>
        <v/>
      </c>
      <c r="AF2853" s="713" t="str">
        <f t="shared" si="2169"/>
        <v/>
      </c>
      <c r="AG2853" s="713"/>
      <c r="AH2853" s="713"/>
      <c r="AI2853" s="112">
        <f>IF(H2853="credit",0,IF(AE2853="free",0,IF(AE2853="me",0,IF(G2853&gt;0,(VLOOKUP(A2853,'Discount Lookup'!J:K,2)*G2853),0))))</f>
        <v>0</v>
      </c>
      <c r="AJ2853" s="107" t="str">
        <f t="shared" ca="1" si="2170"/>
        <v/>
      </c>
      <c r="AK2853" s="714" t="str">
        <f t="shared" si="2171"/>
        <v/>
      </c>
      <c r="AL2853" s="714"/>
      <c r="AM2853" s="114" t="str">
        <f t="shared" si="2172"/>
        <v/>
      </c>
      <c r="AN2853" s="115"/>
      <c r="AO2853" s="116"/>
      <c r="AP2853" s="116"/>
      <c r="AQ2853" s="116"/>
      <c r="AR2853" s="116"/>
      <c r="AS2853" s="116"/>
      <c r="AT2853" s="116"/>
      <c r="AU2853" s="116"/>
      <c r="AV2853" s="78"/>
      <c r="AW2853" s="102"/>
      <c r="AX2853" s="78"/>
      <c r="AY2853" s="78"/>
      <c r="AZ2853" s="78"/>
      <c r="BA2853" s="78"/>
      <c r="BB2853" s="78"/>
      <c r="BC2853" s="78"/>
      <c r="BD2853" s="78"/>
      <c r="BE2853" s="465"/>
      <c r="BF2853" s="165" t="str">
        <f t="shared" si="2173"/>
        <v>https://www.google.com/search?tbm=isch&amp;q=7%20G4</v>
      </c>
      <c r="BG2853" s="165" t="str">
        <f t="shared" si="2174"/>
        <v>M</v>
      </c>
      <c r="BH2853" s="65"/>
      <c r="BI2853" s="65"/>
      <c r="BJ2853" s="65"/>
      <c r="BK2853" s="65"/>
      <c r="BL2853" s="99"/>
      <c r="BM2853" s="99"/>
      <c r="BN2853" s="99"/>
    </row>
    <row r="2854" spans="1:66" s="51" customFormat="1" ht="15.75" x14ac:dyDescent="0.25">
      <c r="A2854" s="478">
        <v>15</v>
      </c>
      <c r="B2854" s="479" t="s">
        <v>291</v>
      </c>
      <c r="C2854" s="480" t="s">
        <v>852</v>
      </c>
      <c r="D2854" s="481" t="s">
        <v>311</v>
      </c>
      <c r="E2854" s="482">
        <v>183.95</v>
      </c>
      <c r="F2854" s="483" t="s">
        <v>292</v>
      </c>
      <c r="G2854" s="484">
        <v>0</v>
      </c>
      <c r="H2854" s="688" t="str">
        <f>IF(G2854=0,"",IF(F2854="Buy",IF(G2854=1,"plant","plants"),IF(F2854&gt;0.01,"warranty","Error")))</f>
        <v/>
      </c>
      <c r="I2854" s="485">
        <f>IF(H2854="free",0,IF(H2854="credit",((E2854*(F2854))*G2854*-1),IF(F2854="Buy",(E2854*G2854),((E2854*(1-F2854))*G2854))))</f>
        <v>0</v>
      </c>
      <c r="J2854" s="485">
        <f>IF(H2854="warranty",0,(I2854*(_xlfn.SINGLE(SalesTaxPercentage))))</f>
        <v>0</v>
      </c>
      <c r="K2854" s="715">
        <f t="shared" ref="K2854" si="2192">I2854+J2854</f>
        <v>0</v>
      </c>
      <c r="L2854" s="715"/>
      <c r="M2854" s="689" t="str">
        <f ca="1">IF(AND(G2854&gt;0,E2854=0),"WARNING - no PRICE inserted",IF(H2854="free","FREE ~ no charge this plant",IF(H2854="credit",CONCATENATE("-$",ROUND(K2854*(1-_xlfn.SINGLE(T2GDiscount))*-1,2)," CREDIT after discount"),IF(_xlfn.SINGLE(T2GDiscount)=0,"",IF(G2854=0,"",IF(F2854="Buy",CONCATENATE("$",ROUND(K2854*(1-_xlfn.SINGLE(T2GDiscount)),2)," with ",(_xlfn.SINGLE(T2GDiscount)*100),"% discount"),CONCATENATE("$",ROUND(K2854*(1-_xlfn.SINGLE(T2GDiscount)),2)," with ",((_xlfn.SINGLE(T2GDiscount)*100+F2854*100)-(_xlfn.SINGLE(T2GDiscount)*100*F2854)),IF(F2854&gt;0,"% discounts",IF(_xlfn.SINGLE(NoWarrantyDiscount)&gt;0,"% discounts","% discount")))))))))</f>
        <v/>
      </c>
      <c r="N2854" s="690"/>
      <c r="O2854" s="486"/>
      <c r="P2854" s="486"/>
      <c r="Q2854" s="486"/>
      <c r="R2854" s="486"/>
      <c r="S2854" s="486"/>
      <c r="T2854" s="102">
        <f t="shared" si="2162"/>
        <v>0</v>
      </c>
      <c r="U2854" s="78">
        <f>IF(NOT(ISNUMBER(G2854)), "", VLOOKUP(A2854,'Discount Lookup'!D:E,2,FALSE)*G2854)</f>
        <v>0</v>
      </c>
      <c r="V2854" s="78">
        <f>IF(NOT(ISNUMBER(G2854)), "", VLOOKUP(A2854,'Discount Lookup'!G:H,2,FALSE)*G2854)</f>
        <v>0</v>
      </c>
      <c r="W2854" s="102">
        <f t="shared" si="2163"/>
        <v>0</v>
      </c>
      <c r="X2854" s="102">
        <f t="shared" si="2164"/>
        <v>0</v>
      </c>
      <c r="Y2854" s="120" t="b">
        <f t="shared" si="2165"/>
        <v>0</v>
      </c>
      <c r="Z2854" s="117">
        <f t="shared" si="2166"/>
        <v>0</v>
      </c>
      <c r="AA2854" s="118"/>
      <c r="AB2854" s="118" t="str">
        <f t="shared" si="2167"/>
        <v/>
      </c>
      <c r="AC2854" s="712" t="str">
        <f>IF(AE2854="T2G","no charge",IF(AND(OR(PlanterYesMe="No",PlanterYesMe="N",PlanterYesMe="me"),H2854=""),"",IF(H2854="credit","NO install",IF(AND(K2854="",AE2854="me"),"EACH row",IF(AND(K2854="images",AE2854="me"),"EACH row",IF(D2854="","",IF(H2854="credit","",IF(AE2854="free","re-planting",IF(AE2854="me","   not ELP, by",IF(AND(OR(PlanterYesMe="Yes",PlanterYesMe="Y"),G2854&gt;0),(VLOOKUP(A2854,'Discount Lookup'!J:K,2)*G2854*(1-PlanterDiscount)*(1+PlanterDifficultyPercentage)),IF(AE2854="ELP",(VLOOKUP(A2854,'Discount Lookup'!J:K,2)*G2854*(1-PlanterDiscount)*(1+PlanterDifficultyPercentage)),IF(AE2854="free","re-planting",IF(G2854=0,"",IF(PlanterYesMe="",IF(AE2854="me","   not ELP, by",IF(AE2854="",IF(G2854&gt;0,(VLOOKUP(A2854,'Discount Lookup'!J:K,2)*G2854*(1-PlanterDiscount)*(1+PlanterDifficultyPercentage)),""),"")),"   not ELP, by"))))))))))))))</f>
        <v/>
      </c>
      <c r="AD2854" s="712"/>
      <c r="AE2854" s="513" t="str">
        <f t="shared" si="2168"/>
        <v/>
      </c>
      <c r="AF2854" s="713" t="str">
        <f t="shared" si="2169"/>
        <v/>
      </c>
      <c r="AG2854" s="713"/>
      <c r="AH2854" s="713"/>
      <c r="AI2854" s="112">
        <f>IF(H2854="credit",0,IF(AE2854="free",0,IF(AE2854="me",0,IF(G2854&gt;0,(VLOOKUP(A2854,'Discount Lookup'!J:K,2)*G2854),0))))</f>
        <v>0</v>
      </c>
      <c r="AJ2854" s="107" t="str">
        <f t="shared" ca="1" si="2170"/>
        <v/>
      </c>
      <c r="AK2854" s="714" t="str">
        <f t="shared" si="2171"/>
        <v/>
      </c>
      <c r="AL2854" s="714"/>
      <c r="AM2854" s="114" t="str">
        <f t="shared" si="2172"/>
        <v/>
      </c>
      <c r="AN2854" s="115"/>
      <c r="AO2854" s="116"/>
      <c r="AP2854" s="116"/>
      <c r="AQ2854" s="116"/>
      <c r="AR2854" s="116"/>
      <c r="AS2854" s="116"/>
      <c r="AT2854" s="116"/>
      <c r="AU2854" s="116"/>
      <c r="AV2854" s="78"/>
      <c r="AW2854" s="102"/>
      <c r="AX2854" s="78"/>
      <c r="AY2854" s="78"/>
      <c r="AZ2854" s="78"/>
      <c r="BA2854" s="78"/>
      <c r="BB2854" s="78"/>
      <c r="BC2854" s="78"/>
      <c r="BD2854" s="78"/>
      <c r="BE2854" s="465"/>
      <c r="BF2854" s="165" t="str">
        <f t="shared" si="2173"/>
        <v>https://www.google.com/search?tbm=isch&amp;q=15%20G5</v>
      </c>
      <c r="BG2854" s="165" t="str">
        <f t="shared" si="2174"/>
        <v>M</v>
      </c>
      <c r="BH2854" s="65"/>
      <c r="BI2854" s="65"/>
      <c r="BJ2854" s="65"/>
      <c r="BK2854" s="65"/>
      <c r="BL2854" s="99"/>
      <c r="BM2854" s="99"/>
      <c r="BN2854" s="99"/>
    </row>
    <row r="2855" spans="1:66" s="51" customFormat="1" ht="15.75" x14ac:dyDescent="0.25">
      <c r="A2855" s="478">
        <v>15</v>
      </c>
      <c r="B2855" s="479" t="s">
        <v>291</v>
      </c>
      <c r="C2855" s="480" t="s">
        <v>981</v>
      </c>
      <c r="D2855" s="481" t="s">
        <v>299</v>
      </c>
      <c r="E2855" s="482">
        <v>224.95</v>
      </c>
      <c r="F2855" s="483" t="s">
        <v>292</v>
      </c>
      <c r="G2855" s="484">
        <v>0</v>
      </c>
      <c r="H2855" s="688" t="str">
        <f>IF(G2855=0,"",IF(F2855="Buy",IF(G2855=1,"plant","plants"),IF(F2855&gt;0.01,"warranty","Error")))</f>
        <v/>
      </c>
      <c r="I2855" s="485">
        <f>IF(H2855="free",0,IF(H2855="credit",((E2855*(F2855))*G2855*-1),IF(F2855="Buy",(E2855*G2855),((E2855*(1-F2855))*G2855))))</f>
        <v>0</v>
      </c>
      <c r="J2855" s="485">
        <f>IF(H2855="warranty",0,(I2855*(_xlfn.SINGLE(SalesTaxPercentage))))</f>
        <v>0</v>
      </c>
      <c r="K2855" s="715">
        <f t="shared" ref="K2855" si="2193">I2855+J2855</f>
        <v>0</v>
      </c>
      <c r="L2855" s="715"/>
      <c r="M2855" s="689" t="str">
        <f ca="1">IF(AND(G2855&gt;0,E2855=0),"WARNING - no PRICE inserted",IF(H2855="free","FREE ~ no charge this plant",IF(H2855="credit",CONCATENATE("-$",ROUND(K2855*(1-_xlfn.SINGLE(T2GDiscount))*-1,2)," CREDIT after discount"),IF(_xlfn.SINGLE(T2GDiscount)=0,"",IF(G2855=0,"",IF(F2855="Buy",CONCATENATE("$",ROUND(K2855*(1-_xlfn.SINGLE(T2GDiscount)),2)," with ",(_xlfn.SINGLE(T2GDiscount)*100),"% discount"),CONCATENATE("$",ROUND(K2855*(1-_xlfn.SINGLE(T2GDiscount)),2)," with ",((_xlfn.SINGLE(T2GDiscount)*100+F2855*100)-(_xlfn.SINGLE(T2GDiscount)*100*F2855)),IF(F2855&gt;0,"% discounts",IF(_xlfn.SINGLE(NoWarrantyDiscount)&gt;0,"% discounts","% discount")))))))))</f>
        <v/>
      </c>
      <c r="N2855" s="690"/>
      <c r="O2855" s="486"/>
      <c r="P2855" s="486"/>
      <c r="Q2855" s="486"/>
      <c r="R2855" s="486"/>
      <c r="S2855" s="486"/>
      <c r="T2855" s="102">
        <f t="shared" si="2162"/>
        <v>0</v>
      </c>
      <c r="U2855" s="78">
        <f>IF(NOT(ISNUMBER(G2855)), "", VLOOKUP(A2855,'Discount Lookup'!D:E,2,FALSE)*G2855)</f>
        <v>0</v>
      </c>
      <c r="V2855" s="78">
        <f>IF(NOT(ISNUMBER(G2855)), "", VLOOKUP(A2855,'Discount Lookup'!G:H,2,FALSE)*G2855)</f>
        <v>0</v>
      </c>
      <c r="W2855" s="102">
        <f t="shared" si="2163"/>
        <v>0</v>
      </c>
      <c r="X2855" s="102">
        <f t="shared" si="2164"/>
        <v>0</v>
      </c>
      <c r="Y2855" s="120" t="b">
        <f t="shared" si="2165"/>
        <v>0</v>
      </c>
      <c r="Z2855" s="117">
        <f t="shared" si="2166"/>
        <v>0</v>
      </c>
      <c r="AA2855" s="118"/>
      <c r="AB2855" s="118" t="str">
        <f t="shared" si="2167"/>
        <v/>
      </c>
      <c r="AC2855" s="712" t="str">
        <f>IF(AE2855="T2G","no charge",IF(AND(OR(PlanterYesMe="No",PlanterYesMe="N",PlanterYesMe="me"),H2855=""),"",IF(H2855="credit","NO install",IF(AND(K2855="",AE2855="me"),"EACH row",IF(AND(K2855="images",AE2855="me"),"EACH row",IF(D2855="","",IF(H2855="credit","",IF(AE2855="free","re-planting",IF(AE2855="me","   not ELP, by",IF(AND(OR(PlanterYesMe="Yes",PlanterYesMe="Y"),G2855&gt;0),(VLOOKUP(A2855,'Discount Lookup'!J:K,2)*G2855*(1-PlanterDiscount)*(1+PlanterDifficultyPercentage)),IF(AE2855="ELP",(VLOOKUP(A2855,'Discount Lookup'!J:K,2)*G2855*(1-PlanterDiscount)*(1+PlanterDifficultyPercentage)),IF(AE2855="free","re-planting",IF(G2855=0,"",IF(PlanterYesMe="",IF(AE2855="me","   not ELP, by",IF(AE2855="",IF(G2855&gt;0,(VLOOKUP(A2855,'Discount Lookup'!J:K,2)*G2855*(1-PlanterDiscount)*(1+PlanterDifficultyPercentage)),""),"")),"   not ELP, by"))))))))))))))</f>
        <v/>
      </c>
      <c r="AD2855" s="712"/>
      <c r="AE2855" s="513" t="str">
        <f t="shared" si="2168"/>
        <v/>
      </c>
      <c r="AF2855" s="713" t="str">
        <f t="shared" si="2169"/>
        <v/>
      </c>
      <c r="AG2855" s="713"/>
      <c r="AH2855" s="713"/>
      <c r="AI2855" s="112">
        <f>IF(H2855="credit",0,IF(AE2855="free",0,IF(AE2855="me",0,IF(G2855&gt;0,(VLOOKUP(A2855,'Discount Lookup'!J:K,2)*G2855),0))))</f>
        <v>0</v>
      </c>
      <c r="AJ2855" s="107" t="str">
        <f t="shared" ca="1" si="2170"/>
        <v/>
      </c>
      <c r="AK2855" s="714" t="str">
        <f t="shared" si="2171"/>
        <v/>
      </c>
      <c r="AL2855" s="714"/>
      <c r="AM2855" s="114" t="str">
        <f t="shared" si="2172"/>
        <v/>
      </c>
      <c r="AN2855" s="115"/>
      <c r="AO2855" s="116"/>
      <c r="AP2855" s="116"/>
      <c r="AQ2855" s="116"/>
      <c r="AR2855" s="116"/>
      <c r="AS2855" s="116"/>
      <c r="AT2855" s="116"/>
      <c r="AU2855" s="116"/>
      <c r="AV2855" s="78"/>
      <c r="AW2855" s="102"/>
      <c r="AX2855" s="78"/>
      <c r="AY2855" s="78"/>
      <c r="AZ2855" s="78"/>
      <c r="BA2855" s="78"/>
      <c r="BB2855" s="78"/>
      <c r="BC2855" s="78"/>
      <c r="BD2855" s="78"/>
      <c r="BE2855" s="465"/>
      <c r="BF2855" s="165" t="str">
        <f t="shared" si="2173"/>
        <v>https://www.google.com/search?tbm=isch&amp;q=15%20G4</v>
      </c>
      <c r="BG2855" s="165" t="str">
        <f t="shared" si="2174"/>
        <v>M</v>
      </c>
      <c r="BH2855" s="65"/>
      <c r="BI2855" s="65"/>
      <c r="BJ2855" s="65"/>
      <c r="BK2855" s="65"/>
      <c r="BL2855" s="99"/>
      <c r="BM2855" s="99"/>
      <c r="BN2855" s="99"/>
    </row>
    <row r="2856" spans="1:66" s="51" customFormat="1" ht="15.75" x14ac:dyDescent="0.25">
      <c r="A2856" s="478">
        <v>15</v>
      </c>
      <c r="B2856" s="479" t="s">
        <v>291</v>
      </c>
      <c r="C2856" s="480" t="s">
        <v>982</v>
      </c>
      <c r="D2856" s="481" t="s">
        <v>299</v>
      </c>
      <c r="E2856" s="482">
        <v>224.95</v>
      </c>
      <c r="F2856" s="483" t="s">
        <v>292</v>
      </c>
      <c r="G2856" s="484">
        <v>0</v>
      </c>
      <c r="H2856" s="688" t="str">
        <f>IF(G2856=0,"",IF(F2856="Buy",IF(G2856=1,"plant","plants"),IF(F2856&gt;0.01,"warranty","Error")))</f>
        <v/>
      </c>
      <c r="I2856" s="485">
        <f>IF(H2856="free",0,IF(H2856="credit",((E2856*(F2856))*G2856*-1),IF(F2856="Buy",(E2856*G2856),((E2856*(1-F2856))*G2856))))</f>
        <v>0</v>
      </c>
      <c r="J2856" s="485">
        <f>IF(H2856="warranty",0,(I2856*(_xlfn.SINGLE(SalesTaxPercentage))))</f>
        <v>0</v>
      </c>
      <c r="K2856" s="715">
        <f t="shared" ref="K2856" si="2194">I2856+J2856</f>
        <v>0</v>
      </c>
      <c r="L2856" s="715"/>
      <c r="M2856" s="689" t="str">
        <f ca="1">IF(AND(G2856&gt;0,E2856=0),"WARNING - no PRICE inserted",IF(H2856="free","FREE ~ no charge this plant",IF(H2856="credit",CONCATENATE("-$",ROUND(K2856*(1-_xlfn.SINGLE(T2GDiscount))*-1,2)," CREDIT after discount"),IF(_xlfn.SINGLE(T2GDiscount)=0,"",IF(G2856=0,"",IF(F2856="Buy",CONCATENATE("$",ROUND(K2856*(1-_xlfn.SINGLE(T2GDiscount)),2)," with ",(_xlfn.SINGLE(T2GDiscount)*100),"% discount"),CONCATENATE("$",ROUND(K2856*(1-_xlfn.SINGLE(T2GDiscount)),2)," with ",((_xlfn.SINGLE(T2GDiscount)*100+F2856*100)-(_xlfn.SINGLE(T2GDiscount)*100*F2856)),IF(F2856&gt;0,"% discounts",IF(_xlfn.SINGLE(NoWarrantyDiscount)&gt;0,"% discounts","% discount")))))))))</f>
        <v/>
      </c>
      <c r="N2856" s="690"/>
      <c r="O2856" s="486"/>
      <c r="P2856" s="486"/>
      <c r="Q2856" s="486"/>
      <c r="R2856" s="486"/>
      <c r="S2856" s="486"/>
      <c r="T2856" s="102">
        <f t="shared" si="2162"/>
        <v>0</v>
      </c>
      <c r="U2856" s="78">
        <f>IF(NOT(ISNUMBER(G2856)), "", VLOOKUP(A2856,'Discount Lookup'!D:E,2,FALSE)*G2856)</f>
        <v>0</v>
      </c>
      <c r="V2856" s="78">
        <f>IF(NOT(ISNUMBER(G2856)), "", VLOOKUP(A2856,'Discount Lookup'!G:H,2,FALSE)*G2856)</f>
        <v>0</v>
      </c>
      <c r="W2856" s="102">
        <f t="shared" si="2163"/>
        <v>0</v>
      </c>
      <c r="X2856" s="102">
        <f t="shared" si="2164"/>
        <v>0</v>
      </c>
      <c r="Y2856" s="120" t="b">
        <f t="shared" si="2165"/>
        <v>0</v>
      </c>
      <c r="Z2856" s="117">
        <f t="shared" si="2166"/>
        <v>0</v>
      </c>
      <c r="AA2856" s="118"/>
      <c r="AB2856" s="118" t="str">
        <f t="shared" si="2167"/>
        <v/>
      </c>
      <c r="AC2856" s="712" t="str">
        <f>IF(AE2856="T2G","no charge",IF(AND(OR(PlanterYesMe="No",PlanterYesMe="N",PlanterYesMe="me"),H2856=""),"",IF(H2856="credit","NO install",IF(AND(K2856="",AE2856="me"),"EACH row",IF(AND(K2856="images",AE2856="me"),"EACH row",IF(D2856="","",IF(H2856="credit","",IF(AE2856="free","re-planting",IF(AE2856="me","   not ELP, by",IF(AND(OR(PlanterYesMe="Yes",PlanterYesMe="Y"),G2856&gt;0),(VLOOKUP(A2856,'Discount Lookup'!J:K,2)*G2856*(1-PlanterDiscount)*(1+PlanterDifficultyPercentage)),IF(AE2856="ELP",(VLOOKUP(A2856,'Discount Lookup'!J:K,2)*G2856*(1-PlanterDiscount)*(1+PlanterDifficultyPercentage)),IF(AE2856="free","re-planting",IF(G2856=0,"",IF(PlanterYesMe="",IF(AE2856="me","   not ELP, by",IF(AE2856="",IF(G2856&gt;0,(VLOOKUP(A2856,'Discount Lookup'!J:K,2)*G2856*(1-PlanterDiscount)*(1+PlanterDifficultyPercentage)),""),"")),"   not ELP, by"))))))))))))))</f>
        <v/>
      </c>
      <c r="AD2856" s="712"/>
      <c r="AE2856" s="513" t="str">
        <f t="shared" si="2168"/>
        <v/>
      </c>
      <c r="AF2856" s="713" t="str">
        <f t="shared" si="2169"/>
        <v/>
      </c>
      <c r="AG2856" s="713"/>
      <c r="AH2856" s="713"/>
      <c r="AI2856" s="112">
        <f>IF(H2856="credit",0,IF(AE2856="free",0,IF(AE2856="me",0,IF(G2856&gt;0,(VLOOKUP(A2856,'Discount Lookup'!J:K,2)*G2856),0))))</f>
        <v>0</v>
      </c>
      <c r="AJ2856" s="107" t="str">
        <f t="shared" ca="1" si="2170"/>
        <v/>
      </c>
      <c r="AK2856" s="714" t="str">
        <f t="shared" si="2171"/>
        <v/>
      </c>
      <c r="AL2856" s="714"/>
      <c r="AM2856" s="114" t="str">
        <f t="shared" si="2172"/>
        <v/>
      </c>
      <c r="AN2856" s="115"/>
      <c r="AO2856" s="116"/>
      <c r="AP2856" s="116"/>
      <c r="AQ2856" s="116"/>
      <c r="AR2856" s="116"/>
      <c r="AS2856" s="116"/>
      <c r="AT2856" s="116"/>
      <c r="AU2856" s="116"/>
      <c r="AV2856" s="78"/>
      <c r="AW2856" s="102"/>
      <c r="AX2856" s="78"/>
      <c r="AY2856" s="78"/>
      <c r="AZ2856" s="78"/>
      <c r="BA2856" s="78"/>
      <c r="BB2856" s="78"/>
      <c r="BC2856" s="78"/>
      <c r="BD2856" s="78"/>
      <c r="BE2856" s="465"/>
      <c r="BF2856" s="165" t="str">
        <f t="shared" si="2173"/>
        <v>https://www.google.com/search?tbm=isch&amp;q=15%20G4</v>
      </c>
      <c r="BG2856" s="165" t="str">
        <f t="shared" si="2174"/>
        <v>M</v>
      </c>
      <c r="BH2856" s="65"/>
      <c r="BI2856" s="65"/>
      <c r="BJ2856" s="65"/>
      <c r="BK2856" s="65"/>
      <c r="BL2856" s="99"/>
      <c r="BM2856" s="99"/>
      <c r="BN2856" s="99"/>
    </row>
    <row r="2857" spans="1:66" s="51" customFormat="1" ht="17.25" thickBot="1" x14ac:dyDescent="0.3">
      <c r="A2857" s="508" t="s">
        <v>614</v>
      </c>
      <c r="B2857" s="487"/>
      <c r="C2857" s="707"/>
      <c r="D2857" s="487"/>
      <c r="E2857" s="487"/>
      <c r="F2857" s="488"/>
      <c r="G2857" s="489"/>
      <c r="H2857" s="487"/>
      <c r="I2857" s="490"/>
      <c r="J2857" s="490"/>
      <c r="K2857" s="491"/>
      <c r="L2857" s="547"/>
      <c r="M2857" s="528"/>
      <c r="N2857" s="492"/>
      <c r="O2857" s="493"/>
      <c r="P2857" s="494"/>
      <c r="Q2857" s="492"/>
      <c r="R2857" s="492"/>
      <c r="S2857" s="699" t="s">
        <v>5268</v>
      </c>
      <c r="T2857" s="102">
        <f t="shared" si="2162"/>
        <v>0</v>
      </c>
      <c r="U2857" s="78" t="str">
        <f>IF(NOT(ISNUMBER(G2857)), "", VLOOKUP(A2857,'Discount Lookup'!D:E,2,FALSE)*G2857)</f>
        <v/>
      </c>
      <c r="V2857" s="78" t="str">
        <f>IF(NOT(ISNUMBER(G2857)), "", VLOOKUP(A2857,'Discount Lookup'!G:H,2,FALSE)*G2857)</f>
        <v/>
      </c>
      <c r="W2857" s="102">
        <f t="shared" si="2163"/>
        <v>0</v>
      </c>
      <c r="X2857" s="102">
        <f t="shared" si="2164"/>
        <v>0</v>
      </c>
      <c r="Y2857" s="120" t="b">
        <f t="shared" si="2165"/>
        <v>0</v>
      </c>
      <c r="Z2857" s="117">
        <f t="shared" si="2166"/>
        <v>0</v>
      </c>
      <c r="AA2857" s="118"/>
      <c r="AB2857" s="118" t="str">
        <f t="shared" si="2167"/>
        <v/>
      </c>
      <c r="AC2857" s="712" t="str">
        <f>IF(AE2857="T2G","no charge",IF(AND(OR(PlanterYesMe="No",PlanterYesMe="N",PlanterYesMe="me"),H2857=""),"",IF(H2857="credit","NO install",IF(AND(K2857="",AE2857="me"),"EACH row",IF(AND(K2857="images",AE2857="me"),"EACH row",IF(D2857="","",IF(H2857="credit","",IF(AE2857="free","re-planting",IF(AE2857="me","   not ELP, by",IF(AND(OR(PlanterYesMe="Yes",PlanterYesMe="Y"),G2857&gt;0),(VLOOKUP(A2857,'Discount Lookup'!J:K,2)*G2857*(1-PlanterDiscount)*(1+PlanterDifficultyPercentage)),IF(AE2857="ELP",(VLOOKUP(A2857,'Discount Lookup'!J:K,2)*G2857*(1-PlanterDiscount)*(1+PlanterDifficultyPercentage)),IF(AE2857="free","re-planting",IF(G2857=0,"",IF(PlanterYesMe="",IF(AE2857="me","   not ELP, by",IF(AE2857="",IF(G2857&gt;0,(VLOOKUP(A2857,'Discount Lookup'!J:K,2)*G2857*(1-PlanterDiscount)*(1+PlanterDifficultyPercentage)),""),"")),"   not ELP, by"))))))))))))))</f>
        <v/>
      </c>
      <c r="AD2857" s="712"/>
      <c r="AE2857" s="513" t="str">
        <f t="shared" si="2168"/>
        <v/>
      </c>
      <c r="AF2857" s="713" t="str">
        <f t="shared" si="2169"/>
        <v/>
      </c>
      <c r="AG2857" s="713"/>
      <c r="AH2857" s="713"/>
      <c r="AI2857" s="112">
        <f>IF(H2857="credit",0,IF(AE2857="free",0,IF(AE2857="me",0,IF(G2857&gt;0,(VLOOKUP(A2857,'Discount Lookup'!J:K,2)*G2857),0))))</f>
        <v>0</v>
      </c>
      <c r="AJ2857" s="107" t="str">
        <f t="shared" ca="1" si="2170"/>
        <v/>
      </c>
      <c r="AK2857" s="714" t="str">
        <f t="shared" si="2171"/>
        <v/>
      </c>
      <c r="AL2857" s="714"/>
      <c r="AM2857" s="114" t="str">
        <f t="shared" si="2172"/>
        <v/>
      </c>
      <c r="AN2857" s="115"/>
      <c r="AO2857" s="116"/>
      <c r="AP2857" s="116"/>
      <c r="AQ2857" s="116"/>
      <c r="AR2857" s="116"/>
      <c r="AS2857" s="116"/>
      <c r="AT2857" s="116"/>
      <c r="AU2857" s="116"/>
      <c r="AV2857" s="78"/>
      <c r="AW2857" s="102"/>
      <c r="AX2857" s="78"/>
      <c r="AY2857" s="78"/>
      <c r="AZ2857" s="78"/>
      <c r="BA2857" s="78"/>
      <c r="BB2857" s="78"/>
      <c r="BC2857" s="78"/>
      <c r="BD2857" s="78"/>
      <c r="BE2857" s="465"/>
      <c r="BF2857" s="165" t="str">
        <f t="shared" si="2173"/>
        <v>https://www.google.com/search?tbm=isch&amp;q=Inspiration%20more%20cold%20hardy.%20Purple%20accent%20on%20flowers%20sets%20it%20apart%20from%20other%20Magnolia%20</v>
      </c>
      <c r="BG2857" s="165" t="str">
        <f t="shared" si="2174"/>
        <v>I</v>
      </c>
      <c r="BH2857" s="65"/>
      <c r="BI2857" s="65"/>
      <c r="BJ2857" s="65"/>
      <c r="BK2857" s="65"/>
      <c r="BL2857" s="99"/>
      <c r="BM2857" s="99"/>
      <c r="BN2857" s="99"/>
    </row>
    <row r="2858" spans="1:66" s="51" customFormat="1" ht="18" x14ac:dyDescent="0.25">
      <c r="A2858" s="623" t="s">
        <v>3460</v>
      </c>
      <c r="B2858" s="624"/>
      <c r="C2858" s="709"/>
      <c r="D2858" s="625" t="s">
        <v>3461</v>
      </c>
      <c r="E2858" s="626"/>
      <c r="F2858" s="626"/>
      <c r="G2858" s="626"/>
      <c r="H2858" s="622" t="s">
        <v>333</v>
      </c>
      <c r="I2858" s="627" t="s">
        <v>1458</v>
      </c>
      <c r="J2858" s="628"/>
      <c r="K2858" s="628"/>
      <c r="L2858" s="629"/>
      <c r="M2858" s="700" t="s">
        <v>5249</v>
      </c>
      <c r="N2858" s="693" t="str">
        <f>IF(AND(ISTEXT($A2858), ISERROR($A2858+0)), HYPERLINK($BF2858, "Images"), "")</f>
        <v>Images</v>
      </c>
      <c r="O2858" s="695" t="s">
        <v>5247</v>
      </c>
      <c r="P2858" s="630"/>
      <c r="Q2858" s="631"/>
      <c r="R2858" s="632"/>
      <c r="S2858" s="633"/>
      <c r="T2858" s="102">
        <f t="shared" si="2162"/>
        <v>0</v>
      </c>
      <c r="U2858" s="78" t="str">
        <f>IF(NOT(ISNUMBER(G2858)), "", VLOOKUP(A2858,'Discount Lookup'!D:E,2,FALSE)*G2858)</f>
        <v/>
      </c>
      <c r="V2858" s="78" t="str">
        <f>IF(NOT(ISNUMBER(G2858)), "", VLOOKUP(A2858,'Discount Lookup'!G:H,2,FALSE)*G2858)</f>
        <v/>
      </c>
      <c r="W2858" s="102">
        <f t="shared" si="2163"/>
        <v>0</v>
      </c>
      <c r="X2858" s="102" t="str">
        <f t="shared" si="2164"/>
        <v>Pink bloom</v>
      </c>
      <c r="Y2858" s="120" t="b">
        <f t="shared" si="2165"/>
        <v>0</v>
      </c>
      <c r="Z2858" s="117">
        <f t="shared" si="2166"/>
        <v>0</v>
      </c>
      <c r="AA2858" s="118"/>
      <c r="AB2858" s="118" t="str">
        <f t="shared" si="2167"/>
        <v/>
      </c>
      <c r="AC2858" s="712" t="str">
        <f>IF(AE2858="T2G","no charge",IF(AND(OR(PlanterYesMe="No",PlanterYesMe="N",PlanterYesMe="me"),H2858=""),"",IF(H2858="credit","NO install",IF(AND(K2858="",AE2858="me"),"EACH row",IF(AND(K2858="images",AE2858="me"),"EACH row",IF(D2858="","",IF(H2858="credit","",IF(AE2858="free","re-planting",IF(AE2858="me","   not ELP, by",IF(AND(OR(PlanterYesMe="Yes",PlanterYesMe="Y"),G2858&gt;0),(VLOOKUP(A2858,'Discount Lookup'!J:K,2)*G2858*(1-PlanterDiscount)*(1+PlanterDifficultyPercentage)),IF(AE2858="ELP",(VLOOKUP(A2858,'Discount Lookup'!J:K,2)*G2858*(1-PlanterDiscount)*(1+PlanterDifficultyPercentage)),IF(AE2858="free","re-planting",IF(G2858=0,"",IF(PlanterYesMe="",IF(AE2858="me","   not ELP, by",IF(AE2858="",IF(G2858&gt;0,(VLOOKUP(A2858,'Discount Lookup'!J:K,2)*G2858*(1-PlanterDiscount)*(1+PlanterDifficultyPercentage)),""),"")),"   not ELP, by"))))))))))))))</f>
        <v/>
      </c>
      <c r="AD2858" s="712"/>
      <c r="AE2858" s="513" t="str">
        <f t="shared" si="2168"/>
        <v/>
      </c>
      <c r="AF2858" s="713" t="str">
        <f t="shared" si="2169"/>
        <v/>
      </c>
      <c r="AG2858" s="713"/>
      <c r="AH2858" s="713"/>
      <c r="AI2858" s="112">
        <f>IF(H2858="credit",0,IF(AE2858="free",0,IF(AE2858="me",0,IF(G2858&gt;0,(VLOOKUP(A2858,'Discount Lookup'!J:K,2)*G2858),0))))</f>
        <v>0</v>
      </c>
      <c r="AJ2858" s="107" t="str">
        <f t="shared" ca="1" si="2170"/>
        <v/>
      </c>
      <c r="AK2858" s="714" t="str">
        <f t="shared" si="2171"/>
        <v/>
      </c>
      <c r="AL2858" s="714"/>
      <c r="AM2858" s="114" t="str">
        <f t="shared" si="2172"/>
        <v/>
      </c>
      <c r="AN2858" s="115"/>
      <c r="AO2858" s="116"/>
      <c r="AP2858" s="116"/>
      <c r="AQ2858" s="116"/>
      <c r="AR2858" s="116"/>
      <c r="AS2858" s="116"/>
      <c r="AT2858" s="116"/>
      <c r="AU2858" s="116"/>
      <c r="AV2858" s="78"/>
      <c r="AW2858" s="102"/>
      <c r="AX2858" s="78"/>
      <c r="AY2858" s="78"/>
      <c r="AZ2858" s="78"/>
      <c r="BA2858" s="78"/>
      <c r="BB2858" s="78"/>
      <c r="BC2858" s="78"/>
      <c r="BD2858" s="78"/>
      <c r="BE2858" s="465"/>
      <c r="BF2858" s="165" t="str">
        <f t="shared" si="2173"/>
        <v>https://www.google.com/search?tbm=isch&amp;q=Magnolia%20liliiflora%20%27Jane%27%20Jane%20Magnolia</v>
      </c>
      <c r="BG2858" s="165" t="str">
        <f t="shared" si="2174"/>
        <v>M</v>
      </c>
      <c r="BH2858" s="65"/>
      <c r="BI2858" s="65"/>
      <c r="BJ2858" s="65"/>
      <c r="BK2858" s="65"/>
      <c r="BL2858" s="99"/>
      <c r="BM2858" s="99"/>
      <c r="BN2858" s="99"/>
    </row>
    <row r="2859" spans="1:66" s="51" customFormat="1" ht="15.75" x14ac:dyDescent="0.25">
      <c r="A2859" s="634">
        <v>3</v>
      </c>
      <c r="B2859" s="635" t="s">
        <v>291</v>
      </c>
      <c r="C2859" s="636"/>
      <c r="D2859" s="637" t="s">
        <v>310</v>
      </c>
      <c r="E2859" s="638">
        <v>27.95</v>
      </c>
      <c r="F2859" s="639" t="s">
        <v>292</v>
      </c>
      <c r="G2859" s="484">
        <v>0</v>
      </c>
      <c r="H2859" s="691" t="str">
        <f t="shared" ref="H2859:H2865" si="2195">IF(G2859=0,"",IF(F2859="Buy",IF(G2859=1,"plant","plants"),IF(F2859&gt;0.01,"warranty","Error")))</f>
        <v/>
      </c>
      <c r="I2859" s="640">
        <f t="shared" ref="I2859:I2865" si="2196">IF(H2859="free",0,IF(H2859="credit",((E2859*(F2859))*G2859*-1),IF(F2859="Buy",(E2859*G2859),((E2859*(1-F2859))*G2859))))</f>
        <v>0</v>
      </c>
      <c r="J2859" s="640">
        <f t="shared" ref="J2859:J2865" si="2197">IF(H2859="warranty",0,(I2859*(_xlfn.SINGLE(SalesTaxPercentage))))</f>
        <v>0</v>
      </c>
      <c r="K2859" s="716">
        <f t="shared" ref="K2859" si="2198">I2859+J2859</f>
        <v>0</v>
      </c>
      <c r="L2859" s="716"/>
      <c r="M2859" s="689" t="str">
        <f t="shared" ref="M2859:M2865" ca="1" si="2199">IF(AND(G2859&gt;0,E2859=0),"WARNING - no PRICE inserted",IF(H2859="free","FREE ~ no charge this plant",IF(H2859="credit",CONCATENATE("-$",ROUND(K2859*(1-_xlfn.SINGLE(T2GDiscount))*-1,2)," CREDIT after discount"),IF(_xlfn.SINGLE(T2GDiscount)=0,"",IF(G2859=0,"",IF(F2859="Buy",CONCATENATE("$",ROUND(K2859*(1-_xlfn.SINGLE(T2GDiscount)),2)," with ",(_xlfn.SINGLE(T2GDiscount)*100),"% discount"),CONCATENATE("$",ROUND(K2859*(1-_xlfn.SINGLE(T2GDiscount)),2)," with ",((_xlfn.SINGLE(T2GDiscount)*100+F2859*100)-(_xlfn.SINGLE(T2GDiscount)*100*F2859)),IF(F2859&gt;0,"% discounts",IF(_xlfn.SINGLE(NoWarrantyDiscount)&gt;0,"% discounts","% discount")))))))))</f>
        <v/>
      </c>
      <c r="N2859" s="690"/>
      <c r="O2859" s="486"/>
      <c r="P2859" s="486"/>
      <c r="Q2859" s="486"/>
      <c r="R2859" s="486"/>
      <c r="S2859" s="486"/>
      <c r="T2859" s="102">
        <f t="shared" si="2162"/>
        <v>0</v>
      </c>
      <c r="U2859" s="78">
        <f>IF(NOT(ISNUMBER(G2859)), "", VLOOKUP(A2859,'Discount Lookup'!D:E,2,FALSE)*G2859)</f>
        <v>0</v>
      </c>
      <c r="V2859" s="78">
        <f>IF(NOT(ISNUMBER(G2859)), "", VLOOKUP(A2859,'Discount Lookup'!G:H,2,FALSE)*G2859)</f>
        <v>0</v>
      </c>
      <c r="W2859" s="102">
        <f t="shared" si="2163"/>
        <v>0</v>
      </c>
      <c r="X2859" s="102">
        <f t="shared" si="2164"/>
        <v>0</v>
      </c>
      <c r="Y2859" s="120" t="b">
        <f t="shared" si="2165"/>
        <v>0</v>
      </c>
      <c r="Z2859" s="117">
        <f t="shared" si="2166"/>
        <v>0</v>
      </c>
      <c r="AA2859" s="118"/>
      <c r="AB2859" s="118" t="str">
        <f t="shared" si="2167"/>
        <v/>
      </c>
      <c r="AC2859" s="712" t="str">
        <f>IF(AE2859="T2G","no charge",IF(AND(OR(PlanterYesMe="No",PlanterYesMe="N",PlanterYesMe="me"),H2859=""),"",IF(H2859="credit","NO install",IF(AND(K2859="",AE2859="me"),"EACH row",IF(AND(K2859="images",AE2859="me"),"EACH row",IF(D2859="","",IF(H2859="credit","",IF(AE2859="free","re-planting",IF(AE2859="me","   not ELP, by",IF(AND(OR(PlanterYesMe="Yes",PlanterYesMe="Y"),G2859&gt;0),(VLOOKUP(A2859,'Discount Lookup'!J:K,2)*G2859*(1-PlanterDiscount)*(1+PlanterDifficultyPercentage)),IF(AE2859="ELP",(VLOOKUP(A2859,'Discount Lookup'!J:K,2)*G2859*(1-PlanterDiscount)*(1+PlanterDifficultyPercentage)),IF(AE2859="free","re-planting",IF(G2859=0,"",IF(PlanterYesMe="",IF(AE2859="me","   not ELP, by",IF(AE2859="",IF(G2859&gt;0,(VLOOKUP(A2859,'Discount Lookup'!J:K,2)*G2859*(1-PlanterDiscount)*(1+PlanterDifficultyPercentage)),""),"")),"   not ELP, by"))))))))))))))</f>
        <v/>
      </c>
      <c r="AD2859" s="712"/>
      <c r="AE2859" s="513" t="str">
        <f t="shared" si="2168"/>
        <v/>
      </c>
      <c r="AF2859" s="713" t="str">
        <f t="shared" si="2169"/>
        <v/>
      </c>
      <c r="AG2859" s="713"/>
      <c r="AH2859" s="713"/>
      <c r="AI2859" s="112">
        <f>IF(H2859="credit",0,IF(AE2859="free",0,IF(AE2859="me",0,IF(G2859&gt;0,(VLOOKUP(A2859,'Discount Lookup'!J:K,2)*G2859),0))))</f>
        <v>0</v>
      </c>
      <c r="AJ2859" s="107" t="str">
        <f t="shared" ca="1" si="2170"/>
        <v/>
      </c>
      <c r="AK2859" s="714" t="str">
        <f t="shared" si="2171"/>
        <v/>
      </c>
      <c r="AL2859" s="714"/>
      <c r="AM2859" s="114" t="str">
        <f t="shared" si="2172"/>
        <v/>
      </c>
      <c r="AN2859" s="115"/>
      <c r="AO2859" s="116"/>
      <c r="AP2859" s="116"/>
      <c r="AQ2859" s="116"/>
      <c r="AR2859" s="116"/>
      <c r="AS2859" s="116"/>
      <c r="AT2859" s="116"/>
      <c r="AU2859" s="116"/>
      <c r="AV2859" s="78"/>
      <c r="AW2859" s="102"/>
      <c r="AX2859" s="78"/>
      <c r="AY2859" s="78"/>
      <c r="AZ2859" s="78"/>
      <c r="BA2859" s="78"/>
      <c r="BB2859" s="78"/>
      <c r="BC2859" s="78"/>
      <c r="BD2859" s="78"/>
      <c r="BE2859" s="465"/>
      <c r="BF2859" s="165" t="str">
        <f t="shared" si="2173"/>
        <v>https://www.google.com/search?tbm=isch&amp;q=3%20G1</v>
      </c>
      <c r="BG2859" s="165" t="str">
        <f t="shared" si="2174"/>
        <v>M</v>
      </c>
      <c r="BH2859" s="65"/>
      <c r="BI2859" s="65"/>
      <c r="BJ2859" s="65"/>
      <c r="BK2859" s="65"/>
      <c r="BL2859" s="99"/>
      <c r="BM2859" s="99"/>
      <c r="BN2859" s="99"/>
    </row>
    <row r="2860" spans="1:66" s="51" customFormat="1" ht="15.75" x14ac:dyDescent="0.25">
      <c r="A2860" s="634">
        <v>7</v>
      </c>
      <c r="B2860" s="635" t="s">
        <v>291</v>
      </c>
      <c r="C2860" s="636" t="s">
        <v>5192</v>
      </c>
      <c r="D2860" s="637" t="s">
        <v>299</v>
      </c>
      <c r="E2860" s="638">
        <v>86.95</v>
      </c>
      <c r="F2860" s="639" t="s">
        <v>292</v>
      </c>
      <c r="G2860" s="484">
        <v>0</v>
      </c>
      <c r="H2860" s="691" t="str">
        <f t="shared" si="2195"/>
        <v/>
      </c>
      <c r="I2860" s="640">
        <f t="shared" si="2196"/>
        <v>0</v>
      </c>
      <c r="J2860" s="640">
        <f t="shared" si="2197"/>
        <v>0</v>
      </c>
      <c r="K2860" s="716">
        <f t="shared" ref="K2860" si="2200">I2860+J2860</f>
        <v>0</v>
      </c>
      <c r="L2860" s="716"/>
      <c r="M2860" s="689" t="str">
        <f t="shared" ca="1" si="2199"/>
        <v/>
      </c>
      <c r="N2860" s="690"/>
      <c r="O2860" s="486"/>
      <c r="P2860" s="486"/>
      <c r="Q2860" s="486"/>
      <c r="R2860" s="486"/>
      <c r="S2860" s="486"/>
      <c r="T2860" s="102">
        <f t="shared" si="2162"/>
        <v>0</v>
      </c>
      <c r="U2860" s="78">
        <f>IF(NOT(ISNUMBER(G2860)), "", VLOOKUP(A2860,'Discount Lookup'!D:E,2,FALSE)*G2860)</f>
        <v>0</v>
      </c>
      <c r="V2860" s="78">
        <f>IF(NOT(ISNUMBER(G2860)), "", VLOOKUP(A2860,'Discount Lookup'!G:H,2,FALSE)*G2860)</f>
        <v>0</v>
      </c>
      <c r="W2860" s="102">
        <f t="shared" si="2163"/>
        <v>0</v>
      </c>
      <c r="X2860" s="102">
        <f t="shared" si="2164"/>
        <v>0</v>
      </c>
      <c r="Y2860" s="120" t="b">
        <f t="shared" si="2165"/>
        <v>0</v>
      </c>
      <c r="Z2860" s="117">
        <f t="shared" si="2166"/>
        <v>0</v>
      </c>
      <c r="AA2860" s="118"/>
      <c r="AB2860" s="118" t="str">
        <f t="shared" si="2167"/>
        <v/>
      </c>
      <c r="AC2860" s="712" t="str">
        <f>IF(AE2860="T2G","no charge",IF(AND(OR(PlanterYesMe="No",PlanterYesMe="N",PlanterYesMe="me"),H2860=""),"",IF(H2860="credit","NO install",IF(AND(K2860="",AE2860="me"),"EACH row",IF(AND(K2860="images",AE2860="me"),"EACH row",IF(D2860="","",IF(H2860="credit","",IF(AE2860="free","re-planting",IF(AE2860="me","   not ELP, by",IF(AND(OR(PlanterYesMe="Yes",PlanterYesMe="Y"),G2860&gt;0),(VLOOKUP(A2860,'Discount Lookup'!J:K,2)*G2860*(1-PlanterDiscount)*(1+PlanterDifficultyPercentage)),IF(AE2860="ELP",(VLOOKUP(A2860,'Discount Lookup'!J:K,2)*G2860*(1-PlanterDiscount)*(1+PlanterDifficultyPercentage)),IF(AE2860="free","re-planting",IF(G2860=0,"",IF(PlanterYesMe="",IF(AE2860="me","   not ELP, by",IF(AE2860="",IF(G2860&gt;0,(VLOOKUP(A2860,'Discount Lookup'!J:K,2)*G2860*(1-PlanterDiscount)*(1+PlanterDifficultyPercentage)),""),"")),"   not ELP, by"))))))))))))))</f>
        <v/>
      </c>
      <c r="AD2860" s="712"/>
      <c r="AE2860" s="513" t="str">
        <f t="shared" si="2168"/>
        <v/>
      </c>
      <c r="AF2860" s="713" t="str">
        <f t="shared" si="2169"/>
        <v/>
      </c>
      <c r="AG2860" s="713"/>
      <c r="AH2860" s="713"/>
      <c r="AI2860" s="112">
        <f>IF(H2860="credit",0,IF(AE2860="free",0,IF(AE2860="me",0,IF(G2860&gt;0,(VLOOKUP(A2860,'Discount Lookup'!J:K,2)*G2860),0))))</f>
        <v>0</v>
      </c>
      <c r="AJ2860" s="107" t="str">
        <f t="shared" ca="1" si="2170"/>
        <v/>
      </c>
      <c r="AK2860" s="714" t="str">
        <f t="shared" si="2171"/>
        <v/>
      </c>
      <c r="AL2860" s="714"/>
      <c r="AM2860" s="114" t="str">
        <f t="shared" si="2172"/>
        <v/>
      </c>
      <c r="AN2860" s="115"/>
      <c r="AO2860" s="116"/>
      <c r="AP2860" s="116"/>
      <c r="AQ2860" s="116"/>
      <c r="AR2860" s="116"/>
      <c r="AS2860" s="116"/>
      <c r="AT2860" s="116"/>
      <c r="AU2860" s="116"/>
      <c r="AV2860" s="78"/>
      <c r="AW2860" s="102"/>
      <c r="AX2860" s="78"/>
      <c r="AY2860" s="78"/>
      <c r="AZ2860" s="78"/>
      <c r="BA2860" s="78"/>
      <c r="BB2860" s="78"/>
      <c r="BC2860" s="78"/>
      <c r="BD2860" s="78"/>
      <c r="BE2860" s="465"/>
      <c r="BF2860" s="165" t="str">
        <f t="shared" si="2173"/>
        <v>https://www.google.com/search?tbm=isch&amp;q=7%20G4</v>
      </c>
      <c r="BG2860" s="165" t="str">
        <f t="shared" si="2174"/>
        <v>M</v>
      </c>
      <c r="BH2860" s="65"/>
      <c r="BI2860" s="65"/>
      <c r="BJ2860" s="65"/>
      <c r="BK2860" s="65"/>
      <c r="BL2860" s="99"/>
      <c r="BM2860" s="99"/>
      <c r="BN2860" s="99"/>
    </row>
    <row r="2861" spans="1:66" s="51" customFormat="1" ht="27" x14ac:dyDescent="0.25">
      <c r="A2861" s="634">
        <v>7</v>
      </c>
      <c r="B2861" s="635" t="s">
        <v>291</v>
      </c>
      <c r="C2861" s="636" t="s">
        <v>3462</v>
      </c>
      <c r="D2861" s="637" t="s">
        <v>299</v>
      </c>
      <c r="E2861" s="638">
        <v>102.95</v>
      </c>
      <c r="F2861" s="639" t="s">
        <v>292</v>
      </c>
      <c r="G2861" s="484">
        <v>0</v>
      </c>
      <c r="H2861" s="691" t="str">
        <f t="shared" si="2195"/>
        <v/>
      </c>
      <c r="I2861" s="640">
        <f t="shared" si="2196"/>
        <v>0</v>
      </c>
      <c r="J2861" s="640">
        <f t="shared" si="2197"/>
        <v>0</v>
      </c>
      <c r="K2861" s="716">
        <f t="shared" ref="K2861" si="2201">I2861+J2861</f>
        <v>0</v>
      </c>
      <c r="L2861" s="716"/>
      <c r="M2861" s="689" t="str">
        <f t="shared" ca="1" si="2199"/>
        <v/>
      </c>
      <c r="N2861" s="690"/>
      <c r="O2861" s="486"/>
      <c r="P2861" s="486"/>
      <c r="Q2861" s="486"/>
      <c r="R2861" s="486"/>
      <c r="S2861" s="486"/>
      <c r="T2861" s="102">
        <f t="shared" si="2162"/>
        <v>0</v>
      </c>
      <c r="U2861" s="78">
        <f>IF(NOT(ISNUMBER(G2861)), "", VLOOKUP(A2861,'Discount Lookup'!D:E,2,FALSE)*G2861)</f>
        <v>0</v>
      </c>
      <c r="V2861" s="78">
        <f>IF(NOT(ISNUMBER(G2861)), "", VLOOKUP(A2861,'Discount Lookup'!G:H,2,FALSE)*G2861)</f>
        <v>0</v>
      </c>
      <c r="W2861" s="102">
        <f t="shared" si="2163"/>
        <v>0</v>
      </c>
      <c r="X2861" s="102">
        <f t="shared" si="2164"/>
        <v>0</v>
      </c>
      <c r="Y2861" s="120" t="b">
        <f t="shared" si="2165"/>
        <v>0</v>
      </c>
      <c r="Z2861" s="117">
        <f t="shared" si="2166"/>
        <v>0</v>
      </c>
      <c r="AA2861" s="118"/>
      <c r="AB2861" s="118" t="str">
        <f t="shared" si="2167"/>
        <v/>
      </c>
      <c r="AC2861" s="712" t="str">
        <f>IF(AE2861="T2G","no charge",IF(AND(OR(PlanterYesMe="No",PlanterYesMe="N",PlanterYesMe="me"),H2861=""),"",IF(H2861="credit","NO install",IF(AND(K2861="",AE2861="me"),"EACH row",IF(AND(K2861="images",AE2861="me"),"EACH row",IF(D2861="","",IF(H2861="credit","",IF(AE2861="free","re-planting",IF(AE2861="me","   not ELP, by",IF(AND(OR(PlanterYesMe="Yes",PlanterYesMe="Y"),G2861&gt;0),(VLOOKUP(A2861,'Discount Lookup'!J:K,2)*G2861*(1-PlanterDiscount)*(1+PlanterDifficultyPercentage)),IF(AE2861="ELP",(VLOOKUP(A2861,'Discount Lookup'!J:K,2)*G2861*(1-PlanterDiscount)*(1+PlanterDifficultyPercentage)),IF(AE2861="free","re-planting",IF(G2861=0,"",IF(PlanterYesMe="",IF(AE2861="me","   not ELP, by",IF(AE2861="",IF(G2861&gt;0,(VLOOKUP(A2861,'Discount Lookup'!J:K,2)*G2861*(1-PlanterDiscount)*(1+PlanterDifficultyPercentage)),""),"")),"   not ELP, by"))))))))))))))</f>
        <v/>
      </c>
      <c r="AD2861" s="712"/>
      <c r="AE2861" s="513" t="str">
        <f t="shared" si="2168"/>
        <v/>
      </c>
      <c r="AF2861" s="713" t="str">
        <f t="shared" si="2169"/>
        <v/>
      </c>
      <c r="AG2861" s="713"/>
      <c r="AH2861" s="713"/>
      <c r="AI2861" s="112">
        <f>IF(H2861="credit",0,IF(AE2861="free",0,IF(AE2861="me",0,IF(G2861&gt;0,(VLOOKUP(A2861,'Discount Lookup'!J:K,2)*G2861),0))))</f>
        <v>0</v>
      </c>
      <c r="AJ2861" s="107" t="str">
        <f t="shared" ca="1" si="2170"/>
        <v/>
      </c>
      <c r="AK2861" s="714" t="str">
        <f t="shared" si="2171"/>
        <v/>
      </c>
      <c r="AL2861" s="714"/>
      <c r="AM2861" s="114" t="str">
        <f t="shared" si="2172"/>
        <v/>
      </c>
      <c r="AN2861" s="115"/>
      <c r="AO2861" s="116"/>
      <c r="AP2861" s="116"/>
      <c r="AQ2861" s="116"/>
      <c r="AR2861" s="116"/>
      <c r="AS2861" s="116"/>
      <c r="AT2861" s="116"/>
      <c r="AU2861" s="116"/>
      <c r="AV2861" s="78"/>
      <c r="AW2861" s="102"/>
      <c r="AX2861" s="78"/>
      <c r="AY2861" s="78"/>
      <c r="AZ2861" s="78"/>
      <c r="BA2861" s="78"/>
      <c r="BB2861" s="78"/>
      <c r="BC2861" s="78"/>
      <c r="BD2861" s="78"/>
      <c r="BE2861" s="465"/>
      <c r="BF2861" s="165" t="str">
        <f t="shared" si="2173"/>
        <v>https://www.google.com/search?tbm=isch&amp;q=7%20G4</v>
      </c>
      <c r="BG2861" s="165" t="str">
        <f t="shared" si="2174"/>
        <v>M</v>
      </c>
      <c r="BH2861" s="65"/>
      <c r="BI2861" s="65"/>
      <c r="BJ2861" s="65"/>
      <c r="BK2861" s="65"/>
      <c r="BL2861" s="99"/>
      <c r="BM2861" s="99"/>
      <c r="BN2861" s="99"/>
    </row>
    <row r="2862" spans="1:66" s="51" customFormat="1" ht="15.75" x14ac:dyDescent="0.25">
      <c r="A2862" s="634">
        <v>15</v>
      </c>
      <c r="B2862" s="635" t="s">
        <v>291</v>
      </c>
      <c r="C2862" s="636" t="s">
        <v>5193</v>
      </c>
      <c r="D2862" s="637" t="s">
        <v>299</v>
      </c>
      <c r="E2862" s="638">
        <v>160.94999999999999</v>
      </c>
      <c r="F2862" s="639" t="s">
        <v>292</v>
      </c>
      <c r="G2862" s="484">
        <v>0</v>
      </c>
      <c r="H2862" s="691" t="str">
        <f t="shared" si="2195"/>
        <v/>
      </c>
      <c r="I2862" s="640">
        <f t="shared" si="2196"/>
        <v>0</v>
      </c>
      <c r="J2862" s="640">
        <f t="shared" si="2197"/>
        <v>0</v>
      </c>
      <c r="K2862" s="716">
        <f t="shared" ref="K2862" si="2202">I2862+J2862</f>
        <v>0</v>
      </c>
      <c r="L2862" s="716"/>
      <c r="M2862" s="689" t="str">
        <f t="shared" ca="1" si="2199"/>
        <v/>
      </c>
      <c r="N2862" s="690"/>
      <c r="O2862" s="486"/>
      <c r="P2862" s="486"/>
      <c r="Q2862" s="486"/>
      <c r="R2862" s="486"/>
      <c r="S2862" s="486"/>
      <c r="T2862" s="102">
        <f t="shared" si="2162"/>
        <v>0</v>
      </c>
      <c r="U2862" s="78">
        <f>IF(NOT(ISNUMBER(G2862)), "", VLOOKUP(A2862,'Discount Lookup'!D:E,2,FALSE)*G2862)</f>
        <v>0</v>
      </c>
      <c r="V2862" s="78">
        <f>IF(NOT(ISNUMBER(G2862)), "", VLOOKUP(A2862,'Discount Lookup'!G:H,2,FALSE)*G2862)</f>
        <v>0</v>
      </c>
      <c r="W2862" s="102">
        <f t="shared" si="2163"/>
        <v>0</v>
      </c>
      <c r="X2862" s="102">
        <f t="shared" si="2164"/>
        <v>0</v>
      </c>
      <c r="Y2862" s="120" t="b">
        <f t="shared" si="2165"/>
        <v>0</v>
      </c>
      <c r="Z2862" s="117">
        <f t="shared" si="2166"/>
        <v>0</v>
      </c>
      <c r="AA2862" s="118"/>
      <c r="AB2862" s="118" t="str">
        <f t="shared" si="2167"/>
        <v/>
      </c>
      <c r="AC2862" s="712" t="str">
        <f>IF(AE2862="T2G","no charge",IF(AND(OR(PlanterYesMe="No",PlanterYesMe="N",PlanterYesMe="me"),H2862=""),"",IF(H2862="credit","NO install",IF(AND(K2862="",AE2862="me"),"EACH row",IF(AND(K2862="images",AE2862="me"),"EACH row",IF(D2862="","",IF(H2862="credit","",IF(AE2862="free","re-planting",IF(AE2862="me","   not ELP, by",IF(AND(OR(PlanterYesMe="Yes",PlanterYesMe="Y"),G2862&gt;0),(VLOOKUP(A2862,'Discount Lookup'!J:K,2)*G2862*(1-PlanterDiscount)*(1+PlanterDifficultyPercentage)),IF(AE2862="ELP",(VLOOKUP(A2862,'Discount Lookup'!J:K,2)*G2862*(1-PlanterDiscount)*(1+PlanterDifficultyPercentage)),IF(AE2862="free","re-planting",IF(G2862=0,"",IF(PlanterYesMe="",IF(AE2862="me","   not ELP, by",IF(AE2862="",IF(G2862&gt;0,(VLOOKUP(A2862,'Discount Lookup'!J:K,2)*G2862*(1-PlanterDiscount)*(1+PlanterDifficultyPercentage)),""),"")),"   not ELP, by"))))))))))))))</f>
        <v/>
      </c>
      <c r="AD2862" s="712"/>
      <c r="AE2862" s="513" t="str">
        <f t="shared" si="2168"/>
        <v/>
      </c>
      <c r="AF2862" s="713" t="str">
        <f t="shared" si="2169"/>
        <v/>
      </c>
      <c r="AG2862" s="713"/>
      <c r="AH2862" s="713"/>
      <c r="AI2862" s="112">
        <f>IF(H2862="credit",0,IF(AE2862="free",0,IF(AE2862="me",0,IF(G2862&gt;0,(VLOOKUP(A2862,'Discount Lookup'!J:K,2)*G2862),0))))</f>
        <v>0</v>
      </c>
      <c r="AJ2862" s="107" t="str">
        <f t="shared" ca="1" si="2170"/>
        <v/>
      </c>
      <c r="AK2862" s="714" t="str">
        <f t="shared" si="2171"/>
        <v/>
      </c>
      <c r="AL2862" s="714"/>
      <c r="AM2862" s="114" t="str">
        <f t="shared" si="2172"/>
        <v/>
      </c>
      <c r="AN2862" s="115"/>
      <c r="AO2862" s="116"/>
      <c r="AP2862" s="116"/>
      <c r="AQ2862" s="116"/>
      <c r="AR2862" s="116"/>
      <c r="AS2862" s="116"/>
      <c r="AT2862" s="116"/>
      <c r="AU2862" s="116"/>
      <c r="AV2862" s="78"/>
      <c r="AW2862" s="102"/>
      <c r="AX2862" s="78"/>
      <c r="AY2862" s="78"/>
      <c r="AZ2862" s="78"/>
      <c r="BA2862" s="78"/>
      <c r="BB2862" s="78"/>
      <c r="BC2862" s="78"/>
      <c r="BD2862" s="78"/>
      <c r="BE2862" s="465"/>
      <c r="BF2862" s="165" t="str">
        <f t="shared" si="2173"/>
        <v>https://www.google.com/search?tbm=isch&amp;q=15%20G4</v>
      </c>
      <c r="BG2862" s="165" t="str">
        <f t="shared" si="2174"/>
        <v>M</v>
      </c>
      <c r="BH2862" s="65"/>
      <c r="BI2862" s="65"/>
      <c r="BJ2862" s="65"/>
      <c r="BK2862" s="65"/>
      <c r="BL2862" s="99"/>
      <c r="BM2862" s="99"/>
      <c r="BN2862" s="99"/>
    </row>
    <row r="2863" spans="1:66" s="51" customFormat="1" ht="15.75" x14ac:dyDescent="0.25">
      <c r="A2863" s="634">
        <v>15</v>
      </c>
      <c r="B2863" s="635" t="s">
        <v>291</v>
      </c>
      <c r="C2863" s="636" t="s">
        <v>5194</v>
      </c>
      <c r="D2863" s="637" t="s">
        <v>299</v>
      </c>
      <c r="E2863" s="638">
        <v>183.95</v>
      </c>
      <c r="F2863" s="639" t="s">
        <v>292</v>
      </c>
      <c r="G2863" s="484">
        <v>0</v>
      </c>
      <c r="H2863" s="691" t="str">
        <f t="shared" si="2195"/>
        <v/>
      </c>
      <c r="I2863" s="640">
        <f t="shared" si="2196"/>
        <v>0</v>
      </c>
      <c r="J2863" s="640">
        <f t="shared" si="2197"/>
        <v>0</v>
      </c>
      <c r="K2863" s="716">
        <f t="shared" ref="K2863" si="2203">I2863+J2863</f>
        <v>0</v>
      </c>
      <c r="L2863" s="716"/>
      <c r="M2863" s="689" t="str">
        <f t="shared" ca="1" si="2199"/>
        <v/>
      </c>
      <c r="N2863" s="690"/>
      <c r="O2863" s="486"/>
      <c r="P2863" s="486"/>
      <c r="Q2863" s="486"/>
      <c r="R2863" s="486"/>
      <c r="S2863" s="486"/>
      <c r="T2863" s="102">
        <f t="shared" si="2162"/>
        <v>0</v>
      </c>
      <c r="U2863" s="78">
        <f>IF(NOT(ISNUMBER(G2863)), "", VLOOKUP(A2863,'Discount Lookup'!D:E,2,FALSE)*G2863)</f>
        <v>0</v>
      </c>
      <c r="V2863" s="78">
        <f>IF(NOT(ISNUMBER(G2863)), "", VLOOKUP(A2863,'Discount Lookup'!G:H,2,FALSE)*G2863)</f>
        <v>0</v>
      </c>
      <c r="W2863" s="102">
        <f t="shared" si="2163"/>
        <v>0</v>
      </c>
      <c r="X2863" s="102">
        <f t="shared" si="2164"/>
        <v>0</v>
      </c>
      <c r="Y2863" s="120" t="b">
        <f t="shared" si="2165"/>
        <v>0</v>
      </c>
      <c r="Z2863" s="117">
        <f t="shared" si="2166"/>
        <v>0</v>
      </c>
      <c r="AA2863" s="118"/>
      <c r="AB2863" s="118" t="str">
        <f t="shared" si="2167"/>
        <v/>
      </c>
      <c r="AC2863" s="712" t="str">
        <f>IF(AE2863="T2G","no charge",IF(AND(OR(PlanterYesMe="No",PlanterYesMe="N",PlanterYesMe="me"),H2863=""),"",IF(H2863="credit","NO install",IF(AND(K2863="",AE2863="me"),"EACH row",IF(AND(K2863="images",AE2863="me"),"EACH row",IF(D2863="","",IF(H2863="credit","",IF(AE2863="free","re-planting",IF(AE2863="me","   not ELP, by",IF(AND(OR(PlanterYesMe="Yes",PlanterYesMe="Y"),G2863&gt;0),(VLOOKUP(A2863,'Discount Lookup'!J:K,2)*G2863*(1-PlanterDiscount)*(1+PlanterDifficultyPercentage)),IF(AE2863="ELP",(VLOOKUP(A2863,'Discount Lookup'!J:K,2)*G2863*(1-PlanterDiscount)*(1+PlanterDifficultyPercentage)),IF(AE2863="free","re-planting",IF(G2863=0,"",IF(PlanterYesMe="",IF(AE2863="me","   not ELP, by",IF(AE2863="",IF(G2863&gt;0,(VLOOKUP(A2863,'Discount Lookup'!J:K,2)*G2863*(1-PlanterDiscount)*(1+PlanterDifficultyPercentage)),""),"")),"   not ELP, by"))))))))))))))</f>
        <v/>
      </c>
      <c r="AD2863" s="712"/>
      <c r="AE2863" s="513" t="str">
        <f t="shared" si="2168"/>
        <v/>
      </c>
      <c r="AF2863" s="713" t="str">
        <f t="shared" si="2169"/>
        <v/>
      </c>
      <c r="AG2863" s="713"/>
      <c r="AH2863" s="713"/>
      <c r="AI2863" s="112">
        <f>IF(H2863="credit",0,IF(AE2863="free",0,IF(AE2863="me",0,IF(G2863&gt;0,(VLOOKUP(A2863,'Discount Lookup'!J:K,2)*G2863),0))))</f>
        <v>0</v>
      </c>
      <c r="AJ2863" s="107" t="str">
        <f t="shared" ca="1" si="2170"/>
        <v/>
      </c>
      <c r="AK2863" s="714" t="str">
        <f t="shared" si="2171"/>
        <v/>
      </c>
      <c r="AL2863" s="714"/>
      <c r="AM2863" s="114" t="str">
        <f t="shared" si="2172"/>
        <v/>
      </c>
      <c r="AN2863" s="115"/>
      <c r="AO2863" s="116"/>
      <c r="AP2863" s="116"/>
      <c r="AQ2863" s="116"/>
      <c r="AR2863" s="116"/>
      <c r="AS2863" s="116"/>
      <c r="AT2863" s="116"/>
      <c r="AU2863" s="116"/>
      <c r="AV2863" s="78"/>
      <c r="AW2863" s="102"/>
      <c r="AX2863" s="78"/>
      <c r="AY2863" s="78"/>
      <c r="AZ2863" s="78"/>
      <c r="BA2863" s="78"/>
      <c r="BB2863" s="78"/>
      <c r="BC2863" s="78"/>
      <c r="BD2863" s="78"/>
      <c r="BE2863" s="465"/>
      <c r="BF2863" s="165" t="str">
        <f t="shared" si="2173"/>
        <v>https://www.google.com/search?tbm=isch&amp;q=15%20G4</v>
      </c>
      <c r="BG2863" s="165" t="str">
        <f t="shared" si="2174"/>
        <v>M</v>
      </c>
      <c r="BH2863" s="65"/>
      <c r="BI2863" s="65"/>
      <c r="BJ2863" s="65"/>
      <c r="BK2863" s="65"/>
      <c r="BL2863" s="99"/>
      <c r="BM2863" s="99"/>
      <c r="BN2863" s="99"/>
    </row>
    <row r="2864" spans="1:66" s="51" customFormat="1" ht="15.75" x14ac:dyDescent="0.25">
      <c r="A2864" s="634">
        <v>25</v>
      </c>
      <c r="B2864" s="635" t="s">
        <v>291</v>
      </c>
      <c r="C2864" s="636" t="s">
        <v>4638</v>
      </c>
      <c r="D2864" s="637" t="s">
        <v>293</v>
      </c>
      <c r="E2864" s="638">
        <v>257.95</v>
      </c>
      <c r="F2864" s="639" t="s">
        <v>292</v>
      </c>
      <c r="G2864" s="484">
        <v>0</v>
      </c>
      <c r="H2864" s="691" t="str">
        <f t="shared" si="2195"/>
        <v/>
      </c>
      <c r="I2864" s="640">
        <f t="shared" si="2196"/>
        <v>0</v>
      </c>
      <c r="J2864" s="640">
        <f t="shared" si="2197"/>
        <v>0</v>
      </c>
      <c r="K2864" s="716">
        <f t="shared" ref="K2864" si="2204">I2864+J2864</f>
        <v>0</v>
      </c>
      <c r="L2864" s="716"/>
      <c r="M2864" s="689" t="str">
        <f t="shared" ca="1" si="2199"/>
        <v/>
      </c>
      <c r="N2864" s="690"/>
      <c r="O2864" s="486"/>
      <c r="P2864" s="486"/>
      <c r="Q2864" s="486"/>
      <c r="R2864" s="486"/>
      <c r="S2864" s="486"/>
      <c r="T2864" s="102">
        <f t="shared" si="2162"/>
        <v>0</v>
      </c>
      <c r="U2864" s="78">
        <f>IF(NOT(ISNUMBER(G2864)), "", VLOOKUP(A2864,'Discount Lookup'!D:E,2,FALSE)*G2864)</f>
        <v>0</v>
      </c>
      <c r="V2864" s="78">
        <f>IF(NOT(ISNUMBER(G2864)), "", VLOOKUP(A2864,'Discount Lookup'!G:H,2,FALSE)*G2864)</f>
        <v>0</v>
      </c>
      <c r="W2864" s="102">
        <f t="shared" si="2163"/>
        <v>0</v>
      </c>
      <c r="X2864" s="102">
        <f t="shared" si="2164"/>
        <v>0</v>
      </c>
      <c r="Y2864" s="120" t="b">
        <f t="shared" si="2165"/>
        <v>0</v>
      </c>
      <c r="Z2864" s="117">
        <f t="shared" si="2166"/>
        <v>0</v>
      </c>
      <c r="AA2864" s="118"/>
      <c r="AB2864" s="118" t="str">
        <f t="shared" si="2167"/>
        <v/>
      </c>
      <c r="AC2864" s="712" t="str">
        <f>IF(AE2864="T2G","no charge",IF(AND(OR(PlanterYesMe="No",PlanterYesMe="N",PlanterYesMe="me"),H2864=""),"",IF(H2864="credit","NO install",IF(AND(K2864="",AE2864="me"),"EACH row",IF(AND(K2864="images",AE2864="me"),"EACH row",IF(D2864="","",IF(H2864="credit","",IF(AE2864="free","re-planting",IF(AE2864="me","   not ELP, by",IF(AND(OR(PlanterYesMe="Yes",PlanterYesMe="Y"),G2864&gt;0),(VLOOKUP(A2864,'Discount Lookup'!J:K,2)*G2864*(1-PlanterDiscount)*(1+PlanterDifficultyPercentage)),IF(AE2864="ELP",(VLOOKUP(A2864,'Discount Lookup'!J:K,2)*G2864*(1-PlanterDiscount)*(1+PlanterDifficultyPercentage)),IF(AE2864="free","re-planting",IF(G2864=0,"",IF(PlanterYesMe="",IF(AE2864="me","   not ELP, by",IF(AE2864="",IF(G2864&gt;0,(VLOOKUP(A2864,'Discount Lookup'!J:K,2)*G2864*(1-PlanterDiscount)*(1+PlanterDifficultyPercentage)),""),"")),"   not ELP, by"))))))))))))))</f>
        <v/>
      </c>
      <c r="AD2864" s="712"/>
      <c r="AE2864" s="513" t="str">
        <f t="shared" si="2168"/>
        <v/>
      </c>
      <c r="AF2864" s="713" t="str">
        <f t="shared" si="2169"/>
        <v/>
      </c>
      <c r="AG2864" s="713"/>
      <c r="AH2864" s="713"/>
      <c r="AI2864" s="112">
        <f>IF(H2864="credit",0,IF(AE2864="free",0,IF(AE2864="me",0,IF(G2864&gt;0,(VLOOKUP(A2864,'Discount Lookup'!J:K,2)*G2864),0))))</f>
        <v>0</v>
      </c>
      <c r="AJ2864" s="107" t="str">
        <f t="shared" ca="1" si="2170"/>
        <v/>
      </c>
      <c r="AK2864" s="714" t="str">
        <f t="shared" si="2171"/>
        <v/>
      </c>
      <c r="AL2864" s="714"/>
      <c r="AM2864" s="114" t="str">
        <f t="shared" si="2172"/>
        <v/>
      </c>
      <c r="AN2864" s="115"/>
      <c r="AO2864" s="116"/>
      <c r="AP2864" s="116"/>
      <c r="AQ2864" s="116"/>
      <c r="AR2864" s="116"/>
      <c r="AS2864" s="116"/>
      <c r="AT2864" s="116"/>
      <c r="AU2864" s="116"/>
      <c r="AV2864" s="78"/>
      <c r="AW2864" s="102"/>
      <c r="AX2864" s="78"/>
      <c r="AY2864" s="78"/>
      <c r="AZ2864" s="78"/>
      <c r="BA2864" s="78"/>
      <c r="BB2864" s="78"/>
      <c r="BC2864" s="78"/>
      <c r="BD2864" s="78"/>
      <c r="BE2864" s="465"/>
      <c r="BF2864" s="165" t="str">
        <f t="shared" si="2173"/>
        <v>https://www.google.com/search?tbm=isch&amp;q=25%20G6</v>
      </c>
      <c r="BG2864" s="165" t="str">
        <f t="shared" si="2174"/>
        <v>M</v>
      </c>
      <c r="BH2864" s="65"/>
      <c r="BI2864" s="65"/>
      <c r="BJ2864" s="65"/>
      <c r="BK2864" s="65"/>
      <c r="BL2864" s="99"/>
      <c r="BM2864" s="99"/>
      <c r="BN2864" s="99"/>
    </row>
    <row r="2865" spans="1:66" s="51" customFormat="1" ht="15.75" x14ac:dyDescent="0.25">
      <c r="A2865" s="634">
        <v>25</v>
      </c>
      <c r="B2865" s="635" t="s">
        <v>291</v>
      </c>
      <c r="C2865" s="636" t="s">
        <v>3463</v>
      </c>
      <c r="D2865" s="637" t="s">
        <v>299</v>
      </c>
      <c r="E2865" s="638">
        <v>293.95</v>
      </c>
      <c r="F2865" s="639" t="s">
        <v>292</v>
      </c>
      <c r="G2865" s="484">
        <v>0</v>
      </c>
      <c r="H2865" s="691" t="str">
        <f t="shared" si="2195"/>
        <v/>
      </c>
      <c r="I2865" s="640">
        <f t="shared" si="2196"/>
        <v>0</v>
      </c>
      <c r="J2865" s="640">
        <f t="shared" si="2197"/>
        <v>0</v>
      </c>
      <c r="K2865" s="716">
        <f t="shared" ref="K2865" si="2205">I2865+J2865</f>
        <v>0</v>
      </c>
      <c r="L2865" s="716"/>
      <c r="M2865" s="689" t="str">
        <f t="shared" ca="1" si="2199"/>
        <v/>
      </c>
      <c r="N2865" s="690"/>
      <c r="O2865" s="486"/>
      <c r="P2865" s="486"/>
      <c r="Q2865" s="486"/>
      <c r="R2865" s="486"/>
      <c r="S2865" s="486"/>
      <c r="T2865" s="102">
        <f t="shared" si="2162"/>
        <v>0</v>
      </c>
      <c r="U2865" s="78">
        <f>IF(NOT(ISNUMBER(G2865)), "", VLOOKUP(A2865,'Discount Lookup'!D:E,2,FALSE)*G2865)</f>
        <v>0</v>
      </c>
      <c r="V2865" s="78">
        <f>IF(NOT(ISNUMBER(G2865)), "", VLOOKUP(A2865,'Discount Lookup'!G:H,2,FALSE)*G2865)</f>
        <v>0</v>
      </c>
      <c r="W2865" s="102">
        <f t="shared" si="2163"/>
        <v>0</v>
      </c>
      <c r="X2865" s="102">
        <f t="shared" si="2164"/>
        <v>0</v>
      </c>
      <c r="Y2865" s="120" t="b">
        <f t="shared" si="2165"/>
        <v>0</v>
      </c>
      <c r="Z2865" s="117">
        <f t="shared" si="2166"/>
        <v>0</v>
      </c>
      <c r="AA2865" s="118"/>
      <c r="AB2865" s="118" t="str">
        <f t="shared" si="2167"/>
        <v/>
      </c>
      <c r="AC2865" s="712" t="str">
        <f>IF(AE2865="T2G","no charge",IF(AND(OR(PlanterYesMe="No",PlanterYesMe="N",PlanterYesMe="me"),H2865=""),"",IF(H2865="credit","NO install",IF(AND(K2865="",AE2865="me"),"EACH row",IF(AND(K2865="images",AE2865="me"),"EACH row",IF(D2865="","",IF(H2865="credit","",IF(AE2865="free","re-planting",IF(AE2865="me","   not ELP, by",IF(AND(OR(PlanterYesMe="Yes",PlanterYesMe="Y"),G2865&gt;0),(VLOOKUP(A2865,'Discount Lookup'!J:K,2)*G2865*(1-PlanterDiscount)*(1+PlanterDifficultyPercentage)),IF(AE2865="ELP",(VLOOKUP(A2865,'Discount Lookup'!J:K,2)*G2865*(1-PlanterDiscount)*(1+PlanterDifficultyPercentage)),IF(AE2865="free","re-planting",IF(G2865=0,"",IF(PlanterYesMe="",IF(AE2865="me","   not ELP, by",IF(AE2865="",IF(G2865&gt;0,(VLOOKUP(A2865,'Discount Lookup'!J:K,2)*G2865*(1-PlanterDiscount)*(1+PlanterDifficultyPercentage)),""),"")),"   not ELP, by"))))))))))))))</f>
        <v/>
      </c>
      <c r="AD2865" s="712"/>
      <c r="AE2865" s="513" t="str">
        <f t="shared" si="2168"/>
        <v/>
      </c>
      <c r="AF2865" s="713" t="str">
        <f t="shared" si="2169"/>
        <v/>
      </c>
      <c r="AG2865" s="713"/>
      <c r="AH2865" s="713"/>
      <c r="AI2865" s="112">
        <f>IF(H2865="credit",0,IF(AE2865="free",0,IF(AE2865="me",0,IF(G2865&gt;0,(VLOOKUP(A2865,'Discount Lookup'!J:K,2)*G2865),0))))</f>
        <v>0</v>
      </c>
      <c r="AJ2865" s="107" t="str">
        <f t="shared" ca="1" si="2170"/>
        <v/>
      </c>
      <c r="AK2865" s="714" t="str">
        <f t="shared" si="2171"/>
        <v/>
      </c>
      <c r="AL2865" s="714"/>
      <c r="AM2865" s="114" t="str">
        <f t="shared" si="2172"/>
        <v/>
      </c>
      <c r="AN2865" s="115"/>
      <c r="AO2865" s="116"/>
      <c r="AP2865" s="116"/>
      <c r="AQ2865" s="116"/>
      <c r="AR2865" s="116"/>
      <c r="AS2865" s="116"/>
      <c r="AT2865" s="116"/>
      <c r="AU2865" s="116"/>
      <c r="AV2865" s="78"/>
      <c r="AW2865" s="102"/>
      <c r="AX2865" s="78"/>
      <c r="AY2865" s="78"/>
      <c r="AZ2865" s="78"/>
      <c r="BA2865" s="78"/>
      <c r="BB2865" s="78"/>
      <c r="BC2865" s="78"/>
      <c r="BD2865" s="78"/>
      <c r="BE2865" s="465"/>
      <c r="BF2865" s="165" t="str">
        <f t="shared" si="2173"/>
        <v>https://www.google.com/search?tbm=isch&amp;q=25%20G4</v>
      </c>
      <c r="BG2865" s="165" t="str">
        <f t="shared" si="2174"/>
        <v>M</v>
      </c>
      <c r="BH2865" s="65"/>
      <c r="BI2865" s="65"/>
      <c r="BJ2865" s="65"/>
      <c r="BK2865" s="65"/>
      <c r="BL2865" s="99"/>
      <c r="BM2865" s="99"/>
      <c r="BN2865" s="99"/>
    </row>
    <row r="2866" spans="1:66" s="51" customFormat="1" ht="17.25" thickBot="1" x14ac:dyDescent="0.3">
      <c r="A2866" s="641" t="s">
        <v>3464</v>
      </c>
      <c r="B2866" s="642"/>
      <c r="C2866" s="710"/>
      <c r="D2866" s="643"/>
      <c r="E2866" s="643"/>
      <c r="F2866" s="644"/>
      <c r="G2866" s="645"/>
      <c r="H2866" s="646"/>
      <c r="I2866" s="647"/>
      <c r="J2866" s="648"/>
      <c r="K2866" s="649"/>
      <c r="L2866" s="650"/>
      <c r="M2866" s="650"/>
      <c r="N2866" s="644"/>
      <c r="O2866" s="644"/>
      <c r="P2866" s="644"/>
      <c r="Q2866" s="644"/>
      <c r="R2866" s="644"/>
      <c r="S2866" s="651"/>
      <c r="T2866" s="102">
        <f t="shared" si="2162"/>
        <v>0</v>
      </c>
      <c r="U2866" s="78" t="str">
        <f>IF(NOT(ISNUMBER(G2866)), "", VLOOKUP(A2866,'Discount Lookup'!D:E,2,FALSE)*G2866)</f>
        <v/>
      </c>
      <c r="V2866" s="78" t="str">
        <f>IF(NOT(ISNUMBER(G2866)), "", VLOOKUP(A2866,'Discount Lookup'!G:H,2,FALSE)*G2866)</f>
        <v/>
      </c>
      <c r="W2866" s="102">
        <f t="shared" si="2163"/>
        <v>0</v>
      </c>
      <c r="X2866" s="102">
        <f t="shared" si="2164"/>
        <v>0</v>
      </c>
      <c r="Y2866" s="120" t="b">
        <f t="shared" si="2165"/>
        <v>0</v>
      </c>
      <c r="Z2866" s="117">
        <f t="shared" si="2166"/>
        <v>0</v>
      </c>
      <c r="AA2866" s="118"/>
      <c r="AB2866" s="118" t="str">
        <f t="shared" si="2167"/>
        <v/>
      </c>
      <c r="AC2866" s="712" t="str">
        <f>IF(AE2866="T2G","no charge",IF(AND(OR(PlanterYesMe="No",PlanterYesMe="N",PlanterYesMe="me"),H2866=""),"",IF(H2866="credit","NO install",IF(AND(K2866="",AE2866="me"),"EACH row",IF(AND(K2866="images",AE2866="me"),"EACH row",IF(D2866="","",IF(H2866="credit","",IF(AE2866="free","re-planting",IF(AE2866="me","   not ELP, by",IF(AND(OR(PlanterYesMe="Yes",PlanterYesMe="Y"),G2866&gt;0),(VLOOKUP(A2866,'Discount Lookup'!J:K,2)*G2866*(1-PlanterDiscount)*(1+PlanterDifficultyPercentage)),IF(AE2866="ELP",(VLOOKUP(A2866,'Discount Lookup'!J:K,2)*G2866*(1-PlanterDiscount)*(1+PlanterDifficultyPercentage)),IF(AE2866="free","re-planting",IF(G2866=0,"",IF(PlanterYesMe="",IF(AE2866="me","   not ELP, by",IF(AE2866="",IF(G2866&gt;0,(VLOOKUP(A2866,'Discount Lookup'!J:K,2)*G2866*(1-PlanterDiscount)*(1+PlanterDifficultyPercentage)),""),"")),"   not ELP, by"))))))))))))))</f>
        <v/>
      </c>
      <c r="AD2866" s="712"/>
      <c r="AE2866" s="513" t="str">
        <f t="shared" si="2168"/>
        <v/>
      </c>
      <c r="AF2866" s="713" t="str">
        <f t="shared" si="2169"/>
        <v/>
      </c>
      <c r="AG2866" s="713"/>
      <c r="AH2866" s="713"/>
      <c r="AI2866" s="112">
        <f>IF(H2866="credit",0,IF(AE2866="free",0,IF(AE2866="me",0,IF(G2866&gt;0,(VLOOKUP(A2866,'Discount Lookup'!J:K,2)*G2866),0))))</f>
        <v>0</v>
      </c>
      <c r="AJ2866" s="107" t="str">
        <f t="shared" ca="1" si="2170"/>
        <v/>
      </c>
      <c r="AK2866" s="714" t="str">
        <f t="shared" si="2171"/>
        <v/>
      </c>
      <c r="AL2866" s="714"/>
      <c r="AM2866" s="114" t="str">
        <f t="shared" si="2172"/>
        <v/>
      </c>
      <c r="AN2866" s="115"/>
      <c r="AO2866" s="116"/>
      <c r="AP2866" s="116"/>
      <c r="AQ2866" s="116"/>
      <c r="AR2866" s="116"/>
      <c r="AS2866" s="116"/>
      <c r="AT2866" s="116"/>
      <c r="AU2866" s="116"/>
      <c r="AV2866" s="78"/>
      <c r="AW2866" s="102"/>
      <c r="AX2866" s="78"/>
      <c r="AY2866" s="78"/>
      <c r="AZ2866" s="78"/>
      <c r="BA2866" s="78"/>
      <c r="BB2866" s="78"/>
      <c r="BC2866" s="78"/>
      <c r="BD2866" s="78"/>
      <c r="BE2866" s="465"/>
      <c r="BF2866" s="165" t="str">
        <f t="shared" si="2173"/>
        <v>https://www.google.com/search?tbm=isch&amp;q=Jane%20is%20one%20of%20the%208%20%27Little%20Girl%27%20Magnolias%20developed%20in%20the%201950s%20to%20bloom%20later%20in%20season%2C%20avoiding%20frost%20damage%20</v>
      </c>
      <c r="BG2866" s="165" t="str">
        <f t="shared" si="2174"/>
        <v>J</v>
      </c>
      <c r="BH2866" s="65"/>
      <c r="BI2866" s="65"/>
      <c r="BJ2866" s="65"/>
      <c r="BK2866" s="65"/>
      <c r="BL2866" s="99"/>
      <c r="BM2866" s="99"/>
      <c r="BN2866" s="99"/>
    </row>
    <row r="2867" spans="1:66" s="51" customFormat="1" ht="18" x14ac:dyDescent="0.25">
      <c r="A2867" s="507" t="s">
        <v>615</v>
      </c>
      <c r="B2867" s="470"/>
      <c r="C2867" s="706"/>
      <c r="D2867" s="471" t="s">
        <v>616</v>
      </c>
      <c r="E2867" s="472"/>
      <c r="F2867" s="472"/>
      <c r="G2867" s="472"/>
      <c r="H2867" s="622" t="s">
        <v>347</v>
      </c>
      <c r="I2867" s="473" t="s">
        <v>350</v>
      </c>
      <c r="J2867" s="472"/>
      <c r="K2867" s="472"/>
      <c r="L2867" s="561"/>
      <c r="M2867" s="698" t="s">
        <v>5246</v>
      </c>
      <c r="N2867" s="692" t="str">
        <f>IF(AND(ISTEXT($A2867), ISERROR($A2867+0)), HYPERLINK($BF2867, "Images"), "")</f>
        <v>Images</v>
      </c>
      <c r="O2867" s="694" t="s">
        <v>5247</v>
      </c>
      <c r="P2867" s="475"/>
      <c r="Q2867" s="476"/>
      <c r="R2867" s="476"/>
      <c r="S2867" s="477"/>
      <c r="T2867" s="102">
        <f t="shared" si="2162"/>
        <v>0</v>
      </c>
      <c r="U2867" s="78" t="str">
        <f>IF(NOT(ISNUMBER(G2867)), "", VLOOKUP(A2867,'Discount Lookup'!D:E,2,FALSE)*G2867)</f>
        <v/>
      </c>
      <c r="V2867" s="78" t="str">
        <f>IF(NOT(ISNUMBER(G2867)), "", VLOOKUP(A2867,'Discount Lookup'!G:H,2,FALSE)*G2867)</f>
        <v/>
      </c>
      <c r="W2867" s="102">
        <f t="shared" si="2163"/>
        <v>0</v>
      </c>
      <c r="X2867" s="102" t="str">
        <f t="shared" si="2164"/>
        <v>Creamy White bloom</v>
      </c>
      <c r="Y2867" s="120" t="b">
        <f t="shared" si="2165"/>
        <v>0</v>
      </c>
      <c r="Z2867" s="117">
        <f t="shared" si="2166"/>
        <v>0</v>
      </c>
      <c r="AA2867" s="118"/>
      <c r="AB2867" s="118" t="str">
        <f t="shared" si="2167"/>
        <v/>
      </c>
      <c r="AC2867" s="712" t="str">
        <f>IF(AE2867="T2G","no charge",IF(AND(OR(PlanterYesMe="No",PlanterYesMe="N",PlanterYesMe="me"),H2867=""),"",IF(H2867="credit","NO install",IF(AND(K2867="",AE2867="me"),"EACH row",IF(AND(K2867="images",AE2867="me"),"EACH row",IF(D2867="","",IF(H2867="credit","",IF(AE2867="free","re-planting",IF(AE2867="me","   not ELP, by",IF(AND(OR(PlanterYesMe="Yes",PlanterYesMe="Y"),G2867&gt;0),(VLOOKUP(A2867,'Discount Lookup'!J:K,2)*G2867*(1-PlanterDiscount)*(1+PlanterDifficultyPercentage)),IF(AE2867="ELP",(VLOOKUP(A2867,'Discount Lookup'!J:K,2)*G2867*(1-PlanterDiscount)*(1+PlanterDifficultyPercentage)),IF(AE2867="free","re-planting",IF(G2867=0,"",IF(PlanterYesMe="",IF(AE2867="me","   not ELP, by",IF(AE2867="",IF(G2867&gt;0,(VLOOKUP(A2867,'Discount Lookup'!J:K,2)*G2867*(1-PlanterDiscount)*(1+PlanterDifficultyPercentage)),""),"")),"   not ELP, by"))))))))))))))</f>
        <v/>
      </c>
      <c r="AD2867" s="712"/>
      <c r="AE2867" s="513" t="str">
        <f t="shared" si="2168"/>
        <v/>
      </c>
      <c r="AF2867" s="713" t="str">
        <f t="shared" si="2169"/>
        <v/>
      </c>
      <c r="AG2867" s="713"/>
      <c r="AH2867" s="713"/>
      <c r="AI2867" s="112">
        <f>IF(H2867="credit",0,IF(AE2867="free",0,IF(AE2867="me",0,IF(G2867&gt;0,(VLOOKUP(A2867,'Discount Lookup'!J:K,2)*G2867),0))))</f>
        <v>0</v>
      </c>
      <c r="AJ2867" s="107" t="str">
        <f t="shared" ca="1" si="2170"/>
        <v/>
      </c>
      <c r="AK2867" s="714" t="str">
        <f t="shared" si="2171"/>
        <v/>
      </c>
      <c r="AL2867" s="714"/>
      <c r="AM2867" s="114" t="str">
        <f t="shared" si="2172"/>
        <v/>
      </c>
      <c r="AN2867" s="115"/>
      <c r="AO2867" s="116"/>
      <c r="AP2867" s="116"/>
      <c r="AQ2867" s="116"/>
      <c r="AR2867" s="116"/>
      <c r="AS2867" s="116"/>
      <c r="AT2867" s="116"/>
      <c r="AU2867" s="116"/>
      <c r="AV2867" s="78"/>
      <c r="AW2867" s="102"/>
      <c r="AX2867" s="78"/>
      <c r="AY2867" s="78"/>
      <c r="AZ2867" s="78"/>
      <c r="BA2867" s="78"/>
      <c r="BB2867" s="78"/>
      <c r="BC2867" s="78"/>
      <c r="BD2867" s="78"/>
      <c r="BE2867" s="465"/>
      <c r="BF2867" s="165" t="str">
        <f t="shared" si="2173"/>
        <v>https://www.google.com/search?tbm=isch&amp;q=Magnolia%20michelia%20%27Coppertallica%27%20Coppertallica%20Magnolia</v>
      </c>
      <c r="BG2867" s="165" t="str">
        <f t="shared" si="2174"/>
        <v>M</v>
      </c>
      <c r="BH2867" s="65"/>
      <c r="BI2867" s="65"/>
      <c r="BJ2867" s="65"/>
      <c r="BK2867" s="65"/>
      <c r="BL2867" s="99"/>
      <c r="BM2867" s="99"/>
      <c r="BN2867" s="99"/>
    </row>
    <row r="2868" spans="1:66" s="51" customFormat="1" ht="15.75" x14ac:dyDescent="0.25">
      <c r="A2868" s="478">
        <v>7</v>
      </c>
      <c r="B2868" s="479" t="s">
        <v>291</v>
      </c>
      <c r="C2868" s="480" t="s">
        <v>983</v>
      </c>
      <c r="D2868" s="481" t="s">
        <v>299</v>
      </c>
      <c r="E2868" s="482">
        <v>109.95</v>
      </c>
      <c r="F2868" s="483" t="s">
        <v>292</v>
      </c>
      <c r="G2868" s="484">
        <v>0</v>
      </c>
      <c r="H2868" s="688" t="str">
        <f>IF(G2868=0,"",IF(F2868="Buy",IF(G2868=1,"plant","plants"),IF(F2868&gt;0.01,"warranty","Error")))</f>
        <v/>
      </c>
      <c r="I2868" s="485">
        <f>IF(H2868="free",0,IF(H2868="credit",((E2868*(F2868))*G2868*-1),IF(F2868="Buy",(E2868*G2868),((E2868*(1-F2868))*G2868))))</f>
        <v>0</v>
      </c>
      <c r="J2868" s="485">
        <f>IF(H2868="warranty",0,(I2868*(_xlfn.SINGLE(SalesTaxPercentage))))</f>
        <v>0</v>
      </c>
      <c r="K2868" s="715">
        <f t="shared" ref="K2868" si="2206">I2868+J2868</f>
        <v>0</v>
      </c>
      <c r="L2868" s="715"/>
      <c r="M2868" s="689" t="str">
        <f ca="1">IF(AND(G2868&gt;0,E2868=0),"WARNING - no PRICE inserted",IF(H2868="free","FREE ~ no charge this plant",IF(H2868="credit",CONCATENATE("-$",ROUND(K2868*(1-_xlfn.SINGLE(T2GDiscount))*-1,2)," CREDIT after discount"),IF(_xlfn.SINGLE(T2GDiscount)=0,"",IF(G2868=0,"",IF(F2868="Buy",CONCATENATE("$",ROUND(K2868*(1-_xlfn.SINGLE(T2GDiscount)),2)," with ",(_xlfn.SINGLE(T2GDiscount)*100),"% discount"),CONCATENATE("$",ROUND(K2868*(1-_xlfn.SINGLE(T2GDiscount)),2)," with ",((_xlfn.SINGLE(T2GDiscount)*100+F2868*100)-(_xlfn.SINGLE(T2GDiscount)*100*F2868)),IF(F2868&gt;0,"% discounts",IF(_xlfn.SINGLE(NoWarrantyDiscount)&gt;0,"% discounts","% discount")))))))))</f>
        <v/>
      </c>
      <c r="N2868" s="690"/>
      <c r="O2868" s="486"/>
      <c r="P2868" s="486"/>
      <c r="Q2868" s="486"/>
      <c r="R2868" s="486"/>
      <c r="S2868" s="486"/>
      <c r="T2868" s="102">
        <f t="shared" si="2162"/>
        <v>0</v>
      </c>
      <c r="U2868" s="78">
        <f>IF(NOT(ISNUMBER(G2868)), "", VLOOKUP(A2868,'Discount Lookup'!D:E,2,FALSE)*G2868)</f>
        <v>0</v>
      </c>
      <c r="V2868" s="78">
        <f>IF(NOT(ISNUMBER(G2868)), "", VLOOKUP(A2868,'Discount Lookup'!G:H,2,FALSE)*G2868)</f>
        <v>0</v>
      </c>
      <c r="W2868" s="102">
        <f t="shared" si="2163"/>
        <v>0</v>
      </c>
      <c r="X2868" s="102">
        <f t="shared" si="2164"/>
        <v>0</v>
      </c>
      <c r="Y2868" s="120" t="b">
        <f t="shared" si="2165"/>
        <v>0</v>
      </c>
      <c r="Z2868" s="117">
        <f t="shared" si="2166"/>
        <v>0</v>
      </c>
      <c r="AA2868" s="118"/>
      <c r="AB2868" s="118" t="str">
        <f t="shared" si="2167"/>
        <v/>
      </c>
      <c r="AC2868" s="712" t="str">
        <f>IF(AE2868="T2G","no charge",IF(AND(OR(PlanterYesMe="No",PlanterYesMe="N",PlanterYesMe="me"),H2868=""),"",IF(H2868="credit","NO install",IF(AND(K2868="",AE2868="me"),"EACH row",IF(AND(K2868="images",AE2868="me"),"EACH row",IF(D2868="","",IF(H2868="credit","",IF(AE2868="free","re-planting",IF(AE2868="me","   not ELP, by",IF(AND(OR(PlanterYesMe="Yes",PlanterYesMe="Y"),G2868&gt;0),(VLOOKUP(A2868,'Discount Lookup'!J:K,2)*G2868*(1-PlanterDiscount)*(1+PlanterDifficultyPercentage)),IF(AE2868="ELP",(VLOOKUP(A2868,'Discount Lookup'!J:K,2)*G2868*(1-PlanterDiscount)*(1+PlanterDifficultyPercentage)),IF(AE2868="free","re-planting",IF(G2868=0,"",IF(PlanterYesMe="",IF(AE2868="me","   not ELP, by",IF(AE2868="",IF(G2868&gt;0,(VLOOKUP(A2868,'Discount Lookup'!J:K,2)*G2868*(1-PlanterDiscount)*(1+PlanterDifficultyPercentage)),""),"")),"   not ELP, by"))))))))))))))</f>
        <v/>
      </c>
      <c r="AD2868" s="712"/>
      <c r="AE2868" s="513" t="str">
        <f t="shared" si="2168"/>
        <v/>
      </c>
      <c r="AF2868" s="713" t="str">
        <f t="shared" si="2169"/>
        <v/>
      </c>
      <c r="AG2868" s="713"/>
      <c r="AH2868" s="713"/>
      <c r="AI2868" s="112">
        <f>IF(H2868="credit",0,IF(AE2868="free",0,IF(AE2868="me",0,IF(G2868&gt;0,(VLOOKUP(A2868,'Discount Lookup'!J:K,2)*G2868),0))))</f>
        <v>0</v>
      </c>
      <c r="AJ2868" s="107" t="str">
        <f t="shared" ca="1" si="2170"/>
        <v/>
      </c>
      <c r="AK2868" s="714" t="str">
        <f t="shared" si="2171"/>
        <v/>
      </c>
      <c r="AL2868" s="714"/>
      <c r="AM2868" s="114" t="str">
        <f t="shared" si="2172"/>
        <v/>
      </c>
      <c r="AN2868" s="115"/>
      <c r="AO2868" s="116"/>
      <c r="AP2868" s="116"/>
      <c r="AQ2868" s="116"/>
      <c r="AR2868" s="116"/>
      <c r="AS2868" s="116"/>
      <c r="AT2868" s="116"/>
      <c r="AU2868" s="116"/>
      <c r="AV2868" s="78"/>
      <c r="AW2868" s="102"/>
      <c r="AX2868" s="78"/>
      <c r="AY2868" s="78"/>
      <c r="AZ2868" s="78"/>
      <c r="BA2868" s="78"/>
      <c r="BB2868" s="78"/>
      <c r="BC2868" s="78"/>
      <c r="BD2868" s="78"/>
      <c r="BE2868" s="465"/>
      <c r="BF2868" s="165" t="str">
        <f t="shared" si="2173"/>
        <v>https://www.google.com/search?tbm=isch&amp;q=7%20G4</v>
      </c>
      <c r="BG2868" s="165" t="str">
        <f t="shared" si="2174"/>
        <v>M</v>
      </c>
      <c r="BH2868" s="65"/>
      <c r="BI2868" s="65"/>
      <c r="BJ2868" s="65"/>
      <c r="BK2868" s="65"/>
      <c r="BL2868" s="99"/>
      <c r="BM2868" s="99"/>
      <c r="BN2868" s="99"/>
    </row>
    <row r="2869" spans="1:66" s="51" customFormat="1" ht="15.75" x14ac:dyDescent="0.25">
      <c r="A2869" s="478">
        <v>15</v>
      </c>
      <c r="B2869" s="479" t="s">
        <v>291</v>
      </c>
      <c r="C2869" s="480" t="s">
        <v>984</v>
      </c>
      <c r="D2869" s="481" t="s">
        <v>299</v>
      </c>
      <c r="E2869" s="482">
        <v>252.95</v>
      </c>
      <c r="F2869" s="483" t="s">
        <v>292</v>
      </c>
      <c r="G2869" s="484">
        <v>0</v>
      </c>
      <c r="H2869" s="688" t="str">
        <f>IF(G2869=0,"",IF(F2869="Buy",IF(G2869=1,"plant","plants"),IF(F2869&gt;0.01,"warranty","Error")))</f>
        <v/>
      </c>
      <c r="I2869" s="485">
        <f>IF(H2869="free",0,IF(H2869="credit",((E2869*(F2869))*G2869*-1),IF(F2869="Buy",(E2869*G2869),((E2869*(1-F2869))*G2869))))</f>
        <v>0</v>
      </c>
      <c r="J2869" s="485">
        <f>IF(H2869="warranty",0,(I2869*(_xlfn.SINGLE(SalesTaxPercentage))))</f>
        <v>0</v>
      </c>
      <c r="K2869" s="715">
        <f t="shared" ref="K2869" si="2207">I2869+J2869</f>
        <v>0</v>
      </c>
      <c r="L2869" s="715"/>
      <c r="M2869" s="689" t="str">
        <f ca="1">IF(AND(G2869&gt;0,E2869=0),"WARNING - no PRICE inserted",IF(H2869="free","FREE ~ no charge this plant",IF(H2869="credit",CONCATENATE("-$",ROUND(K2869*(1-_xlfn.SINGLE(T2GDiscount))*-1,2)," CREDIT after discount"),IF(_xlfn.SINGLE(T2GDiscount)=0,"",IF(G2869=0,"",IF(F2869="Buy",CONCATENATE("$",ROUND(K2869*(1-_xlfn.SINGLE(T2GDiscount)),2)," with ",(_xlfn.SINGLE(T2GDiscount)*100),"% discount"),CONCATENATE("$",ROUND(K2869*(1-_xlfn.SINGLE(T2GDiscount)),2)," with ",((_xlfn.SINGLE(T2GDiscount)*100+F2869*100)-(_xlfn.SINGLE(T2GDiscount)*100*F2869)),IF(F2869&gt;0,"% discounts",IF(_xlfn.SINGLE(NoWarrantyDiscount)&gt;0,"% discounts","% discount")))))))))</f>
        <v/>
      </c>
      <c r="N2869" s="690"/>
      <c r="O2869" s="486"/>
      <c r="P2869" s="486"/>
      <c r="Q2869" s="486"/>
      <c r="R2869" s="486"/>
      <c r="S2869" s="486"/>
      <c r="T2869" s="102">
        <f t="shared" si="2162"/>
        <v>0</v>
      </c>
      <c r="U2869" s="78">
        <f>IF(NOT(ISNUMBER(G2869)), "", VLOOKUP(A2869,'Discount Lookup'!D:E,2,FALSE)*G2869)</f>
        <v>0</v>
      </c>
      <c r="V2869" s="78">
        <f>IF(NOT(ISNUMBER(G2869)), "", VLOOKUP(A2869,'Discount Lookup'!G:H,2,FALSE)*G2869)</f>
        <v>0</v>
      </c>
      <c r="W2869" s="102">
        <f t="shared" si="2163"/>
        <v>0</v>
      </c>
      <c r="X2869" s="102">
        <f t="shared" si="2164"/>
        <v>0</v>
      </c>
      <c r="Y2869" s="120" t="b">
        <f t="shared" si="2165"/>
        <v>0</v>
      </c>
      <c r="Z2869" s="117">
        <f t="shared" si="2166"/>
        <v>0</v>
      </c>
      <c r="AA2869" s="118"/>
      <c r="AB2869" s="118" t="str">
        <f t="shared" si="2167"/>
        <v/>
      </c>
      <c r="AC2869" s="712" t="str">
        <f>IF(AE2869="T2G","no charge",IF(AND(OR(PlanterYesMe="No",PlanterYesMe="N",PlanterYesMe="me"),H2869=""),"",IF(H2869="credit","NO install",IF(AND(K2869="",AE2869="me"),"EACH row",IF(AND(K2869="images",AE2869="me"),"EACH row",IF(D2869="","",IF(H2869="credit","",IF(AE2869="free","re-planting",IF(AE2869="me","   not ELP, by",IF(AND(OR(PlanterYesMe="Yes",PlanterYesMe="Y"),G2869&gt;0),(VLOOKUP(A2869,'Discount Lookup'!J:K,2)*G2869*(1-PlanterDiscount)*(1+PlanterDifficultyPercentage)),IF(AE2869="ELP",(VLOOKUP(A2869,'Discount Lookup'!J:K,2)*G2869*(1-PlanterDiscount)*(1+PlanterDifficultyPercentage)),IF(AE2869="free","re-planting",IF(G2869=0,"",IF(PlanterYesMe="",IF(AE2869="me","   not ELP, by",IF(AE2869="",IF(G2869&gt;0,(VLOOKUP(A2869,'Discount Lookup'!J:K,2)*G2869*(1-PlanterDiscount)*(1+PlanterDifficultyPercentage)),""),"")),"   not ELP, by"))))))))))))))</f>
        <v/>
      </c>
      <c r="AD2869" s="712"/>
      <c r="AE2869" s="513" t="str">
        <f t="shared" si="2168"/>
        <v/>
      </c>
      <c r="AF2869" s="713" t="str">
        <f t="shared" si="2169"/>
        <v/>
      </c>
      <c r="AG2869" s="713"/>
      <c r="AH2869" s="713"/>
      <c r="AI2869" s="112">
        <f>IF(H2869="credit",0,IF(AE2869="free",0,IF(AE2869="me",0,IF(G2869&gt;0,(VLOOKUP(A2869,'Discount Lookup'!J:K,2)*G2869),0))))</f>
        <v>0</v>
      </c>
      <c r="AJ2869" s="107" t="str">
        <f t="shared" ca="1" si="2170"/>
        <v/>
      </c>
      <c r="AK2869" s="714" t="str">
        <f t="shared" si="2171"/>
        <v/>
      </c>
      <c r="AL2869" s="714"/>
      <c r="AM2869" s="114" t="str">
        <f t="shared" si="2172"/>
        <v/>
      </c>
      <c r="AN2869" s="115"/>
      <c r="AO2869" s="116"/>
      <c r="AP2869" s="116"/>
      <c r="AQ2869" s="116"/>
      <c r="AR2869" s="116"/>
      <c r="AS2869" s="116"/>
      <c r="AT2869" s="116"/>
      <c r="AU2869" s="116"/>
      <c r="AV2869" s="78"/>
      <c r="AW2869" s="102"/>
      <c r="AX2869" s="78"/>
      <c r="AY2869" s="78"/>
      <c r="AZ2869" s="78"/>
      <c r="BA2869" s="78"/>
      <c r="BB2869" s="78"/>
      <c r="BC2869" s="78"/>
      <c r="BD2869" s="78"/>
      <c r="BE2869" s="465"/>
      <c r="BF2869" s="165" t="str">
        <f t="shared" si="2173"/>
        <v>https://www.google.com/search?tbm=isch&amp;q=15%20G4</v>
      </c>
      <c r="BG2869" s="165" t="str">
        <f t="shared" si="2174"/>
        <v>M</v>
      </c>
      <c r="BH2869" s="65"/>
      <c r="BI2869" s="65"/>
      <c r="BJ2869" s="65"/>
      <c r="BK2869" s="65"/>
      <c r="BL2869" s="99"/>
      <c r="BM2869" s="99"/>
      <c r="BN2869" s="99"/>
    </row>
    <row r="2870" spans="1:66" s="51" customFormat="1" ht="16.5" thickBot="1" x14ac:dyDescent="0.3">
      <c r="A2870" s="508" t="s">
        <v>617</v>
      </c>
      <c r="B2870" s="487"/>
      <c r="C2870" s="707"/>
      <c r="D2870" s="487"/>
      <c r="E2870" s="487"/>
      <c r="F2870" s="488"/>
      <c r="G2870" s="489"/>
      <c r="H2870" s="487"/>
      <c r="I2870" s="490"/>
      <c r="J2870" s="490"/>
      <c r="K2870" s="491"/>
      <c r="L2870" s="547"/>
      <c r="M2870" s="528"/>
      <c r="N2870" s="492"/>
      <c r="O2870" s="493"/>
      <c r="P2870" s="494"/>
      <c r="Q2870" s="492"/>
      <c r="R2870" s="492"/>
      <c r="S2870" s="495"/>
      <c r="T2870" s="102">
        <f t="shared" si="2162"/>
        <v>0</v>
      </c>
      <c r="U2870" s="78" t="str">
        <f>IF(NOT(ISNUMBER(G2870)), "", VLOOKUP(A2870,'Discount Lookup'!D:E,2,FALSE)*G2870)</f>
        <v/>
      </c>
      <c r="V2870" s="78" t="str">
        <f>IF(NOT(ISNUMBER(G2870)), "", VLOOKUP(A2870,'Discount Lookup'!G:H,2,FALSE)*G2870)</f>
        <v/>
      </c>
      <c r="W2870" s="102">
        <f t="shared" si="2163"/>
        <v>0</v>
      </c>
      <c r="X2870" s="102">
        <f t="shared" si="2164"/>
        <v>0</v>
      </c>
      <c r="Y2870" s="120" t="b">
        <f t="shared" si="2165"/>
        <v>0</v>
      </c>
      <c r="Z2870" s="117">
        <f t="shared" si="2166"/>
        <v>0</v>
      </c>
      <c r="AA2870" s="118"/>
      <c r="AB2870" s="118" t="str">
        <f t="shared" si="2167"/>
        <v/>
      </c>
      <c r="AC2870" s="712" t="str">
        <f>IF(AE2870="T2G","no charge",IF(AND(OR(PlanterYesMe="No",PlanterYesMe="N",PlanterYesMe="me"),H2870=""),"",IF(H2870="credit","NO install",IF(AND(K2870="",AE2870="me"),"EACH row",IF(AND(K2870="images",AE2870="me"),"EACH row",IF(D2870="","",IF(H2870="credit","",IF(AE2870="free","re-planting",IF(AE2870="me","   not ELP, by",IF(AND(OR(PlanterYesMe="Yes",PlanterYesMe="Y"),G2870&gt;0),(VLOOKUP(A2870,'Discount Lookup'!J:K,2)*G2870*(1-PlanterDiscount)*(1+PlanterDifficultyPercentage)),IF(AE2870="ELP",(VLOOKUP(A2870,'Discount Lookup'!J:K,2)*G2870*(1-PlanterDiscount)*(1+PlanterDifficultyPercentage)),IF(AE2870="free","re-planting",IF(G2870=0,"",IF(PlanterYesMe="",IF(AE2870="me","   not ELP, by",IF(AE2870="",IF(G2870&gt;0,(VLOOKUP(A2870,'Discount Lookup'!J:K,2)*G2870*(1-PlanterDiscount)*(1+PlanterDifficultyPercentage)),""),"")),"   not ELP, by"))))))))))))))</f>
        <v/>
      </c>
      <c r="AD2870" s="712"/>
      <c r="AE2870" s="513" t="str">
        <f t="shared" si="2168"/>
        <v/>
      </c>
      <c r="AF2870" s="713" t="str">
        <f t="shared" si="2169"/>
        <v/>
      </c>
      <c r="AG2870" s="713"/>
      <c r="AH2870" s="713"/>
      <c r="AI2870" s="112">
        <f>IF(H2870="credit",0,IF(AE2870="free",0,IF(AE2870="me",0,IF(G2870&gt;0,(VLOOKUP(A2870,'Discount Lookup'!J:K,2)*G2870),0))))</f>
        <v>0</v>
      </c>
      <c r="AJ2870" s="107" t="str">
        <f t="shared" ca="1" si="2170"/>
        <v/>
      </c>
      <c r="AK2870" s="714" t="str">
        <f t="shared" si="2171"/>
        <v/>
      </c>
      <c r="AL2870" s="714"/>
      <c r="AM2870" s="114" t="str">
        <f t="shared" si="2172"/>
        <v/>
      </c>
      <c r="AN2870" s="115"/>
      <c r="AO2870" s="116"/>
      <c r="AP2870" s="116"/>
      <c r="AQ2870" s="116"/>
      <c r="AR2870" s="116"/>
      <c r="AS2870" s="116"/>
      <c r="AT2870" s="116"/>
      <c r="AU2870" s="116"/>
      <c r="AV2870" s="78"/>
      <c r="AW2870" s="102"/>
      <c r="AX2870" s="78"/>
      <c r="AY2870" s="78"/>
      <c r="AZ2870" s="78"/>
      <c r="BA2870" s="78"/>
      <c r="BB2870" s="78"/>
      <c r="BC2870" s="78"/>
      <c r="BD2870" s="78"/>
      <c r="BE2870" s="465"/>
      <c r="BF2870" s="165" t="str">
        <f t="shared" si="2173"/>
        <v>https://www.google.com/search?tbm=isch&amp;q=Coppertallica%20named%20for%20it%27s%20metallic%20copper%20undersides.%20Fragrant%20bloome%20with%20Yellow%20stamens%20and%20a%20Red%20eye%20</v>
      </c>
      <c r="BG2870" s="165" t="str">
        <f t="shared" si="2174"/>
        <v>C</v>
      </c>
      <c r="BH2870" s="65"/>
      <c r="BI2870" s="65"/>
      <c r="BJ2870" s="65"/>
      <c r="BK2870" s="65"/>
      <c r="BL2870" s="99"/>
      <c r="BM2870" s="99"/>
      <c r="BN2870" s="99"/>
    </row>
    <row r="2871" spans="1:66" s="51" customFormat="1" ht="18" x14ac:dyDescent="0.25">
      <c r="A2871" s="623" t="s">
        <v>3465</v>
      </c>
      <c r="B2871" s="624"/>
      <c r="C2871" s="709"/>
      <c r="D2871" s="625" t="s">
        <v>5736</v>
      </c>
      <c r="E2871" s="626"/>
      <c r="F2871" s="626"/>
      <c r="G2871" s="626"/>
      <c r="H2871" s="622" t="s">
        <v>534</v>
      </c>
      <c r="I2871" s="627" t="s">
        <v>1083</v>
      </c>
      <c r="J2871" s="628"/>
      <c r="K2871" s="628"/>
      <c r="L2871" s="629"/>
      <c r="M2871" s="700" t="s">
        <v>5249</v>
      </c>
      <c r="N2871" s="693" t="str">
        <f>IF(AND(ISTEXT($A2871), ISERROR($A2871+0)), HYPERLINK($BF2871, "Images"), "")</f>
        <v>Images</v>
      </c>
      <c r="O2871" s="695" t="s">
        <v>5247</v>
      </c>
      <c r="P2871" s="630"/>
      <c r="Q2871" s="631"/>
      <c r="R2871" s="632"/>
      <c r="S2871" s="633"/>
      <c r="T2871" s="102">
        <f t="shared" si="2162"/>
        <v>0</v>
      </c>
      <c r="U2871" s="78" t="str">
        <f>IF(NOT(ISNUMBER(G2871)), "", VLOOKUP(A2871,'Discount Lookup'!D:E,2,FALSE)*G2871)</f>
        <v/>
      </c>
      <c r="V2871" s="78" t="str">
        <f>IF(NOT(ISNUMBER(G2871)), "", VLOOKUP(A2871,'Discount Lookup'!G:H,2,FALSE)*G2871)</f>
        <v/>
      </c>
      <c r="W2871" s="102">
        <f t="shared" si="2163"/>
        <v>0</v>
      </c>
      <c r="X2871" s="102" t="str">
        <f t="shared" si="2164"/>
        <v>Lavender-Pink bloom</v>
      </c>
      <c r="Y2871" s="120" t="b">
        <f t="shared" si="2165"/>
        <v>0</v>
      </c>
      <c r="Z2871" s="117">
        <f t="shared" si="2166"/>
        <v>0</v>
      </c>
      <c r="AA2871" s="118"/>
      <c r="AB2871" s="118" t="str">
        <f t="shared" si="2167"/>
        <v/>
      </c>
      <c r="AC2871" s="712" t="str">
        <f>IF(AE2871="T2G","no charge",IF(AND(OR(PlanterYesMe="No",PlanterYesMe="N",PlanterYesMe="me"),H2871=""),"",IF(H2871="credit","NO install",IF(AND(K2871="",AE2871="me"),"EACH row",IF(AND(K2871="images",AE2871="me"),"EACH row",IF(D2871="","",IF(H2871="credit","",IF(AE2871="free","re-planting",IF(AE2871="me","   not ELP, by",IF(AND(OR(PlanterYesMe="Yes",PlanterYesMe="Y"),G2871&gt;0),(VLOOKUP(A2871,'Discount Lookup'!J:K,2)*G2871*(1-PlanterDiscount)*(1+PlanterDifficultyPercentage)),IF(AE2871="ELP",(VLOOKUP(A2871,'Discount Lookup'!J:K,2)*G2871*(1-PlanterDiscount)*(1+PlanterDifficultyPercentage)),IF(AE2871="free","re-planting",IF(G2871=0,"",IF(PlanterYesMe="",IF(AE2871="me","   not ELP, by",IF(AE2871="",IF(G2871&gt;0,(VLOOKUP(A2871,'Discount Lookup'!J:K,2)*G2871*(1-PlanterDiscount)*(1+PlanterDifficultyPercentage)),""),"")),"   not ELP, by"))))))))))))))</f>
        <v/>
      </c>
      <c r="AD2871" s="712"/>
      <c r="AE2871" s="513" t="str">
        <f t="shared" si="2168"/>
        <v/>
      </c>
      <c r="AF2871" s="713" t="str">
        <f t="shared" si="2169"/>
        <v/>
      </c>
      <c r="AG2871" s="713"/>
      <c r="AH2871" s="713"/>
      <c r="AI2871" s="112">
        <f>IF(H2871="credit",0,IF(AE2871="free",0,IF(AE2871="me",0,IF(G2871&gt;0,(VLOOKUP(A2871,'Discount Lookup'!J:K,2)*G2871),0))))</f>
        <v>0</v>
      </c>
      <c r="AJ2871" s="107" t="str">
        <f t="shared" ca="1" si="2170"/>
        <v/>
      </c>
      <c r="AK2871" s="714" t="str">
        <f t="shared" si="2171"/>
        <v/>
      </c>
      <c r="AL2871" s="714"/>
      <c r="AM2871" s="114" t="str">
        <f t="shared" si="2172"/>
        <v/>
      </c>
      <c r="AN2871" s="115"/>
      <c r="AO2871" s="116"/>
      <c r="AP2871" s="116"/>
      <c r="AQ2871" s="116"/>
      <c r="AR2871" s="116"/>
      <c r="AS2871" s="116"/>
      <c r="AT2871" s="116"/>
      <c r="AU2871" s="116"/>
      <c r="AV2871" s="78"/>
      <c r="AW2871" s="102"/>
      <c r="AX2871" s="78"/>
      <c r="AY2871" s="78"/>
      <c r="AZ2871" s="78"/>
      <c r="BA2871" s="78"/>
      <c r="BB2871" s="78"/>
      <c r="BC2871" s="78"/>
      <c r="BD2871" s="78"/>
      <c r="BE2871" s="465"/>
      <c r="BF2871" s="165" t="str">
        <f t="shared" si="2173"/>
        <v>https://www.google.com/search?tbm=isch&amp;q=Magnolia%20%27NCMX1%27%20PP%2329218%20Mercury%C2%AE%20Magnolia</v>
      </c>
      <c r="BG2871" s="165" t="str">
        <f t="shared" si="2174"/>
        <v>M</v>
      </c>
      <c r="BH2871" s="65"/>
      <c r="BI2871" s="65"/>
      <c r="BJ2871" s="65"/>
      <c r="BK2871" s="65"/>
      <c r="BL2871" s="99"/>
      <c r="BM2871" s="99"/>
      <c r="BN2871" s="99"/>
    </row>
    <row r="2872" spans="1:66" s="51" customFormat="1" ht="15.75" x14ac:dyDescent="0.25">
      <c r="A2872" s="634">
        <v>10</v>
      </c>
      <c r="B2872" s="635" t="s">
        <v>291</v>
      </c>
      <c r="C2872" s="636" t="s">
        <v>3466</v>
      </c>
      <c r="D2872" s="637" t="s">
        <v>299</v>
      </c>
      <c r="E2872" s="638">
        <v>173.95</v>
      </c>
      <c r="F2872" s="639" t="s">
        <v>292</v>
      </c>
      <c r="G2872" s="484">
        <v>0</v>
      </c>
      <c r="H2872" s="691" t="str">
        <f>IF(G2872=0,"",IF(F2872="Buy",IF(G2872=1,"plant","plants"),IF(F2872&gt;0.01,"warranty","Error")))</f>
        <v/>
      </c>
      <c r="I2872" s="640">
        <f>IF(H2872="free",0,IF(H2872="credit",((E2872*(F2872))*G2872*-1),IF(F2872="Buy",(E2872*G2872),((E2872*(1-F2872))*G2872))))</f>
        <v>0</v>
      </c>
      <c r="J2872" s="640">
        <f>IF(H2872="warranty",0,(I2872*(_xlfn.SINGLE(SalesTaxPercentage))))</f>
        <v>0</v>
      </c>
      <c r="K2872" s="716">
        <f t="shared" ref="K2872" si="2208">I2872+J2872</f>
        <v>0</v>
      </c>
      <c r="L2872" s="716"/>
      <c r="M2872" s="689" t="str">
        <f ca="1">IF(AND(G2872&gt;0,E2872=0),"WARNING - no PRICE inserted",IF(H2872="free","FREE ~ no charge this plant",IF(H2872="credit",CONCATENATE("-$",ROUND(K2872*(1-_xlfn.SINGLE(T2GDiscount))*-1,2)," CREDIT after discount"),IF(_xlfn.SINGLE(T2GDiscount)=0,"",IF(G2872=0,"",IF(F2872="Buy",CONCATENATE("$",ROUND(K2872*(1-_xlfn.SINGLE(T2GDiscount)),2)," with ",(_xlfn.SINGLE(T2GDiscount)*100),"% discount"),CONCATENATE("$",ROUND(K2872*(1-_xlfn.SINGLE(T2GDiscount)),2)," with ",((_xlfn.SINGLE(T2GDiscount)*100+F2872*100)-(_xlfn.SINGLE(T2GDiscount)*100*F2872)),IF(F2872&gt;0,"% discounts",IF(_xlfn.SINGLE(NoWarrantyDiscount)&gt;0,"% discounts","% discount")))))))))</f>
        <v/>
      </c>
      <c r="N2872" s="690"/>
      <c r="O2872" s="486"/>
      <c r="P2872" s="486"/>
      <c r="Q2872" s="486"/>
      <c r="R2872" s="486"/>
      <c r="S2872" s="486"/>
      <c r="T2872" s="102">
        <f t="shared" si="2162"/>
        <v>0</v>
      </c>
      <c r="U2872" s="78">
        <f>IF(NOT(ISNUMBER(G2872)), "", VLOOKUP(A2872,'Discount Lookup'!D:E,2,FALSE)*G2872)</f>
        <v>0</v>
      </c>
      <c r="V2872" s="78">
        <f>IF(NOT(ISNUMBER(G2872)), "", VLOOKUP(A2872,'Discount Lookup'!G:H,2,FALSE)*G2872)</f>
        <v>0</v>
      </c>
      <c r="W2872" s="102">
        <f t="shared" si="2163"/>
        <v>0</v>
      </c>
      <c r="X2872" s="102">
        <f t="shared" si="2164"/>
        <v>0</v>
      </c>
      <c r="Y2872" s="120" t="b">
        <f t="shared" si="2165"/>
        <v>0</v>
      </c>
      <c r="Z2872" s="117">
        <f t="shared" si="2166"/>
        <v>0</v>
      </c>
      <c r="AA2872" s="118"/>
      <c r="AB2872" s="118" t="str">
        <f t="shared" si="2167"/>
        <v/>
      </c>
      <c r="AC2872" s="712" t="str">
        <f>IF(AE2872="T2G","no charge",IF(AND(OR(PlanterYesMe="No",PlanterYesMe="N",PlanterYesMe="me"),H2872=""),"",IF(H2872="credit","NO install",IF(AND(K2872="",AE2872="me"),"EACH row",IF(AND(K2872="images",AE2872="me"),"EACH row",IF(D2872="","",IF(H2872="credit","",IF(AE2872="free","re-planting",IF(AE2872="me","   not ELP, by",IF(AND(OR(PlanterYesMe="Yes",PlanterYesMe="Y"),G2872&gt;0),(VLOOKUP(A2872,'Discount Lookup'!J:K,2)*G2872*(1-PlanterDiscount)*(1+PlanterDifficultyPercentage)),IF(AE2872="ELP",(VLOOKUP(A2872,'Discount Lookup'!J:K,2)*G2872*(1-PlanterDiscount)*(1+PlanterDifficultyPercentage)),IF(AE2872="free","re-planting",IF(G2872=0,"",IF(PlanterYesMe="",IF(AE2872="me","   not ELP, by",IF(AE2872="",IF(G2872&gt;0,(VLOOKUP(A2872,'Discount Lookup'!J:K,2)*G2872*(1-PlanterDiscount)*(1+PlanterDifficultyPercentage)),""),"")),"   not ELP, by"))))))))))))))</f>
        <v/>
      </c>
      <c r="AD2872" s="712"/>
      <c r="AE2872" s="513" t="str">
        <f t="shared" si="2168"/>
        <v/>
      </c>
      <c r="AF2872" s="713" t="str">
        <f t="shared" si="2169"/>
        <v/>
      </c>
      <c r="AG2872" s="713"/>
      <c r="AH2872" s="713"/>
      <c r="AI2872" s="112">
        <f>IF(H2872="credit",0,IF(AE2872="free",0,IF(AE2872="me",0,IF(G2872&gt;0,(VLOOKUP(A2872,'Discount Lookup'!J:K,2)*G2872),0))))</f>
        <v>0</v>
      </c>
      <c r="AJ2872" s="107" t="str">
        <f t="shared" ca="1" si="2170"/>
        <v/>
      </c>
      <c r="AK2872" s="714" t="str">
        <f t="shared" si="2171"/>
        <v/>
      </c>
      <c r="AL2872" s="714"/>
      <c r="AM2872" s="114" t="str">
        <f t="shared" si="2172"/>
        <v/>
      </c>
      <c r="AN2872" s="115"/>
      <c r="AO2872" s="116"/>
      <c r="AP2872" s="116"/>
      <c r="AQ2872" s="116"/>
      <c r="AR2872" s="116"/>
      <c r="AS2872" s="116"/>
      <c r="AT2872" s="116"/>
      <c r="AU2872" s="116"/>
      <c r="AV2872" s="78"/>
      <c r="AW2872" s="102"/>
      <c r="AX2872" s="78"/>
      <c r="AY2872" s="78"/>
      <c r="AZ2872" s="78"/>
      <c r="BA2872" s="78"/>
      <c r="BB2872" s="78"/>
      <c r="BC2872" s="78"/>
      <c r="BD2872" s="78"/>
      <c r="BE2872" s="465"/>
      <c r="BF2872" s="165" t="str">
        <f t="shared" si="2173"/>
        <v>https://www.google.com/search?tbm=isch&amp;q=10%20G4</v>
      </c>
      <c r="BG2872" s="165" t="str">
        <f t="shared" si="2174"/>
        <v>M</v>
      </c>
      <c r="BH2872" s="65"/>
      <c r="BI2872" s="65"/>
      <c r="BJ2872" s="65"/>
      <c r="BK2872" s="65"/>
      <c r="BL2872" s="99"/>
      <c r="BM2872" s="99"/>
      <c r="BN2872" s="99"/>
    </row>
    <row r="2873" spans="1:66" s="51" customFormat="1" ht="15.75" x14ac:dyDescent="0.25">
      <c r="A2873" s="634">
        <v>15</v>
      </c>
      <c r="B2873" s="635" t="s">
        <v>291</v>
      </c>
      <c r="C2873" s="636" t="s">
        <v>3467</v>
      </c>
      <c r="D2873" s="637" t="s">
        <v>299</v>
      </c>
      <c r="E2873" s="638">
        <v>192.95</v>
      </c>
      <c r="F2873" s="639" t="s">
        <v>292</v>
      </c>
      <c r="G2873" s="484">
        <v>0</v>
      </c>
      <c r="H2873" s="691" t="str">
        <f>IF(G2873=0,"",IF(F2873="Buy",IF(G2873=1,"plant","plants"),IF(F2873&gt;0.01,"warranty","Error")))</f>
        <v/>
      </c>
      <c r="I2873" s="640">
        <f>IF(H2873="free",0,IF(H2873="credit",((E2873*(F2873))*G2873*-1),IF(F2873="Buy",(E2873*G2873),((E2873*(1-F2873))*G2873))))</f>
        <v>0</v>
      </c>
      <c r="J2873" s="640">
        <f>IF(H2873="warranty",0,(I2873*(_xlfn.SINGLE(SalesTaxPercentage))))</f>
        <v>0</v>
      </c>
      <c r="K2873" s="716">
        <f t="shared" ref="K2873" si="2209">I2873+J2873</f>
        <v>0</v>
      </c>
      <c r="L2873" s="716"/>
      <c r="M2873" s="689" t="str">
        <f ca="1">IF(AND(G2873&gt;0,E2873=0),"WARNING - no PRICE inserted",IF(H2873="free","FREE ~ no charge this plant",IF(H2873="credit",CONCATENATE("-$",ROUND(K2873*(1-_xlfn.SINGLE(T2GDiscount))*-1,2)," CREDIT after discount"),IF(_xlfn.SINGLE(T2GDiscount)=0,"",IF(G2873=0,"",IF(F2873="Buy",CONCATENATE("$",ROUND(K2873*(1-_xlfn.SINGLE(T2GDiscount)),2)," with ",(_xlfn.SINGLE(T2GDiscount)*100),"% discount"),CONCATENATE("$",ROUND(K2873*(1-_xlfn.SINGLE(T2GDiscount)),2)," with ",((_xlfn.SINGLE(T2GDiscount)*100+F2873*100)-(_xlfn.SINGLE(T2GDiscount)*100*F2873)),IF(F2873&gt;0,"% discounts",IF(_xlfn.SINGLE(NoWarrantyDiscount)&gt;0,"% discounts","% discount")))))))))</f>
        <v/>
      </c>
      <c r="N2873" s="690"/>
      <c r="O2873" s="486"/>
      <c r="P2873" s="486"/>
      <c r="Q2873" s="486"/>
      <c r="R2873" s="486"/>
      <c r="S2873" s="486"/>
      <c r="T2873" s="102">
        <f t="shared" si="2162"/>
        <v>0</v>
      </c>
      <c r="U2873" s="78">
        <f>IF(NOT(ISNUMBER(G2873)), "", VLOOKUP(A2873,'Discount Lookup'!D:E,2,FALSE)*G2873)</f>
        <v>0</v>
      </c>
      <c r="V2873" s="78">
        <f>IF(NOT(ISNUMBER(G2873)), "", VLOOKUP(A2873,'Discount Lookup'!G:H,2,FALSE)*G2873)</f>
        <v>0</v>
      </c>
      <c r="W2873" s="102">
        <f t="shared" si="2163"/>
        <v>0</v>
      </c>
      <c r="X2873" s="102">
        <f t="shared" si="2164"/>
        <v>0</v>
      </c>
      <c r="Y2873" s="120" t="b">
        <f t="shared" si="2165"/>
        <v>0</v>
      </c>
      <c r="Z2873" s="117">
        <f t="shared" si="2166"/>
        <v>0</v>
      </c>
      <c r="AA2873" s="118"/>
      <c r="AB2873" s="118" t="str">
        <f t="shared" si="2167"/>
        <v/>
      </c>
      <c r="AC2873" s="712" t="str">
        <f>IF(AE2873="T2G","no charge",IF(AND(OR(PlanterYesMe="No",PlanterYesMe="N",PlanterYesMe="me"),H2873=""),"",IF(H2873="credit","NO install",IF(AND(K2873="",AE2873="me"),"EACH row",IF(AND(K2873="images",AE2873="me"),"EACH row",IF(D2873="","",IF(H2873="credit","",IF(AE2873="free","re-planting",IF(AE2873="me","   not ELP, by",IF(AND(OR(PlanterYesMe="Yes",PlanterYesMe="Y"),G2873&gt;0),(VLOOKUP(A2873,'Discount Lookup'!J:K,2)*G2873*(1-PlanterDiscount)*(1+PlanterDifficultyPercentage)),IF(AE2873="ELP",(VLOOKUP(A2873,'Discount Lookup'!J:K,2)*G2873*(1-PlanterDiscount)*(1+PlanterDifficultyPercentage)),IF(AE2873="free","re-planting",IF(G2873=0,"",IF(PlanterYesMe="",IF(AE2873="me","   not ELP, by",IF(AE2873="",IF(G2873&gt;0,(VLOOKUP(A2873,'Discount Lookup'!J:K,2)*G2873*(1-PlanterDiscount)*(1+PlanterDifficultyPercentage)),""),"")),"   not ELP, by"))))))))))))))</f>
        <v/>
      </c>
      <c r="AD2873" s="712"/>
      <c r="AE2873" s="513" t="str">
        <f t="shared" si="2168"/>
        <v/>
      </c>
      <c r="AF2873" s="713" t="str">
        <f t="shared" si="2169"/>
        <v/>
      </c>
      <c r="AG2873" s="713"/>
      <c r="AH2873" s="713"/>
      <c r="AI2873" s="112">
        <f>IF(H2873="credit",0,IF(AE2873="free",0,IF(AE2873="me",0,IF(G2873&gt;0,(VLOOKUP(A2873,'Discount Lookup'!J:K,2)*G2873),0))))</f>
        <v>0</v>
      </c>
      <c r="AJ2873" s="107" t="str">
        <f t="shared" ca="1" si="2170"/>
        <v/>
      </c>
      <c r="AK2873" s="714" t="str">
        <f t="shared" si="2171"/>
        <v/>
      </c>
      <c r="AL2873" s="714"/>
      <c r="AM2873" s="114" t="str">
        <f t="shared" si="2172"/>
        <v/>
      </c>
      <c r="AN2873" s="115"/>
      <c r="AO2873" s="116"/>
      <c r="AP2873" s="116"/>
      <c r="AQ2873" s="116"/>
      <c r="AR2873" s="116"/>
      <c r="AS2873" s="116"/>
      <c r="AT2873" s="116"/>
      <c r="AU2873" s="116"/>
      <c r="AV2873" s="78"/>
      <c r="AW2873" s="102"/>
      <c r="AX2873" s="78"/>
      <c r="AY2873" s="78"/>
      <c r="AZ2873" s="78"/>
      <c r="BA2873" s="78"/>
      <c r="BB2873" s="78"/>
      <c r="BC2873" s="78"/>
      <c r="BD2873" s="78"/>
      <c r="BE2873" s="465"/>
      <c r="BF2873" s="165" t="str">
        <f t="shared" si="2173"/>
        <v>https://www.google.com/search?tbm=isch&amp;q=15%20G4</v>
      </c>
      <c r="BG2873" s="165" t="str">
        <f t="shared" si="2174"/>
        <v>M</v>
      </c>
      <c r="BH2873" s="65"/>
      <c r="BI2873" s="65"/>
      <c r="BJ2873" s="65"/>
      <c r="BK2873" s="65"/>
      <c r="BL2873" s="99"/>
      <c r="BM2873" s="99"/>
      <c r="BN2873" s="99"/>
    </row>
    <row r="2874" spans="1:66" s="51" customFormat="1" ht="17.25" thickBot="1" x14ac:dyDescent="0.3">
      <c r="A2874" s="641" t="s">
        <v>4778</v>
      </c>
      <c r="B2874" s="642"/>
      <c r="C2874" s="710"/>
      <c r="D2874" s="643"/>
      <c r="E2874" s="643"/>
      <c r="F2874" s="644"/>
      <c r="G2874" s="645"/>
      <c r="H2874" s="646"/>
      <c r="I2874" s="647"/>
      <c r="J2874" s="648"/>
      <c r="K2874" s="649"/>
      <c r="L2874" s="650"/>
      <c r="M2874" s="650"/>
      <c r="N2874" s="644"/>
      <c r="O2874" s="644"/>
      <c r="P2874" s="644"/>
      <c r="Q2874" s="644"/>
      <c r="R2874" s="644"/>
      <c r="S2874" s="701" t="s">
        <v>5251</v>
      </c>
      <c r="T2874" s="102">
        <f t="shared" si="2162"/>
        <v>0</v>
      </c>
      <c r="U2874" s="78" t="str">
        <f>IF(NOT(ISNUMBER(G2874)), "", VLOOKUP(A2874,'Discount Lookup'!D:E,2,FALSE)*G2874)</f>
        <v/>
      </c>
      <c r="V2874" s="78" t="str">
        <f>IF(NOT(ISNUMBER(G2874)), "", VLOOKUP(A2874,'Discount Lookup'!G:H,2,FALSE)*G2874)</f>
        <v/>
      </c>
      <c r="W2874" s="102">
        <f t="shared" si="2163"/>
        <v>0</v>
      </c>
      <c r="X2874" s="102">
        <f t="shared" si="2164"/>
        <v>0</v>
      </c>
      <c r="Y2874" s="120" t="b">
        <f t="shared" si="2165"/>
        <v>0</v>
      </c>
      <c r="Z2874" s="117">
        <f t="shared" si="2166"/>
        <v>0</v>
      </c>
      <c r="AA2874" s="118"/>
      <c r="AB2874" s="118" t="str">
        <f t="shared" si="2167"/>
        <v/>
      </c>
      <c r="AC2874" s="712" t="str">
        <f>IF(AE2874="T2G","no charge",IF(AND(OR(PlanterYesMe="No",PlanterYesMe="N",PlanterYesMe="me"),H2874=""),"",IF(H2874="credit","NO install",IF(AND(K2874="",AE2874="me"),"EACH row",IF(AND(K2874="images",AE2874="me"),"EACH row",IF(D2874="","",IF(H2874="credit","",IF(AE2874="free","re-planting",IF(AE2874="me","   not ELP, by",IF(AND(OR(PlanterYesMe="Yes",PlanterYesMe="Y"),G2874&gt;0),(VLOOKUP(A2874,'Discount Lookup'!J:K,2)*G2874*(1-PlanterDiscount)*(1+PlanterDifficultyPercentage)),IF(AE2874="ELP",(VLOOKUP(A2874,'Discount Lookup'!J:K,2)*G2874*(1-PlanterDiscount)*(1+PlanterDifficultyPercentage)),IF(AE2874="free","re-planting",IF(G2874=0,"",IF(PlanterYesMe="",IF(AE2874="me","   not ELP, by",IF(AE2874="",IF(G2874&gt;0,(VLOOKUP(A2874,'Discount Lookup'!J:K,2)*G2874*(1-PlanterDiscount)*(1+PlanterDifficultyPercentage)),""),"")),"   not ELP, by"))))))))))))))</f>
        <v/>
      </c>
      <c r="AD2874" s="712"/>
      <c r="AE2874" s="513" t="str">
        <f t="shared" si="2168"/>
        <v/>
      </c>
      <c r="AF2874" s="713" t="str">
        <f t="shared" si="2169"/>
        <v/>
      </c>
      <c r="AG2874" s="713"/>
      <c r="AH2874" s="713"/>
      <c r="AI2874" s="112">
        <f>IF(H2874="credit",0,IF(AE2874="free",0,IF(AE2874="me",0,IF(G2874&gt;0,(VLOOKUP(A2874,'Discount Lookup'!J:K,2)*G2874),0))))</f>
        <v>0</v>
      </c>
      <c r="AJ2874" s="107" t="str">
        <f t="shared" ca="1" si="2170"/>
        <v/>
      </c>
      <c r="AK2874" s="714" t="str">
        <f t="shared" si="2171"/>
        <v/>
      </c>
      <c r="AL2874" s="714"/>
      <c r="AM2874" s="114" t="str">
        <f t="shared" si="2172"/>
        <v/>
      </c>
      <c r="AN2874" s="115"/>
      <c r="AO2874" s="116"/>
      <c r="AP2874" s="116"/>
      <c r="AQ2874" s="116"/>
      <c r="AR2874" s="116"/>
      <c r="AS2874" s="116"/>
      <c r="AT2874" s="116"/>
      <c r="AU2874" s="116"/>
      <c r="AV2874" s="78"/>
      <c r="AW2874" s="102"/>
      <c r="AX2874" s="78"/>
      <c r="AY2874" s="78"/>
      <c r="AZ2874" s="78"/>
      <c r="BA2874" s="78"/>
      <c r="BB2874" s="78"/>
      <c r="BC2874" s="78"/>
      <c r="BD2874" s="78"/>
      <c r="BE2874" s="465"/>
      <c r="BF2874" s="165" t="str">
        <f t="shared" si="2173"/>
        <v>https://www.google.com/search?tbm=isch&amp;q=Mercury%20is%20semi-evergreen%2C%20keeping%20it%27s%20foliage%20in%20mild%20winter.%20Late%20bloomer%20avoids%20frost%20damage%20</v>
      </c>
      <c r="BG2874" s="165" t="str">
        <f t="shared" si="2174"/>
        <v>M</v>
      </c>
      <c r="BH2874" s="65"/>
      <c r="BI2874" s="65"/>
      <c r="BJ2874" s="65"/>
      <c r="BK2874" s="65"/>
      <c r="BL2874" s="99"/>
      <c r="BM2874" s="99"/>
      <c r="BN2874" s="99"/>
    </row>
    <row r="2875" spans="1:66" s="51" customFormat="1" ht="18" x14ac:dyDescent="0.25">
      <c r="A2875" s="623" t="s">
        <v>3468</v>
      </c>
      <c r="B2875" s="624"/>
      <c r="C2875" s="709"/>
      <c r="D2875" s="625" t="s">
        <v>3469</v>
      </c>
      <c r="E2875" s="626"/>
      <c r="F2875" s="626"/>
      <c r="G2875" s="626"/>
      <c r="H2875" s="622" t="s">
        <v>327</v>
      </c>
      <c r="I2875" s="627" t="s">
        <v>1744</v>
      </c>
      <c r="J2875" s="628"/>
      <c r="K2875" s="628"/>
      <c r="L2875" s="629"/>
      <c r="M2875" s="700" t="s">
        <v>5249</v>
      </c>
      <c r="N2875" s="693" t="str">
        <f>IF(AND(ISTEXT($A2875), ISERROR($A2875+0)), HYPERLINK($BF2875, "Images"), "")</f>
        <v>Images</v>
      </c>
      <c r="O2875" s="695" t="s">
        <v>5247</v>
      </c>
      <c r="P2875" s="630"/>
      <c r="Q2875" s="631"/>
      <c r="R2875" s="632"/>
      <c r="S2875" s="633"/>
      <c r="T2875" s="102">
        <f t="shared" si="2162"/>
        <v>0</v>
      </c>
      <c r="U2875" s="78" t="str">
        <f>IF(NOT(ISNUMBER(G2875)), "", VLOOKUP(A2875,'Discount Lookup'!D:E,2,FALSE)*G2875)</f>
        <v/>
      </c>
      <c r="V2875" s="78" t="str">
        <f>IF(NOT(ISNUMBER(G2875)), "", VLOOKUP(A2875,'Discount Lookup'!G:H,2,FALSE)*G2875)</f>
        <v/>
      </c>
      <c r="W2875" s="102">
        <f t="shared" si="2163"/>
        <v>0</v>
      </c>
      <c r="X2875" s="102" t="str">
        <f t="shared" si="2164"/>
        <v>Burgundy-Red bloom</v>
      </c>
      <c r="Y2875" s="120" t="b">
        <f t="shared" si="2165"/>
        <v>0</v>
      </c>
      <c r="Z2875" s="117">
        <f t="shared" si="2166"/>
        <v>0</v>
      </c>
      <c r="AA2875" s="118"/>
      <c r="AB2875" s="118" t="str">
        <f t="shared" si="2167"/>
        <v/>
      </c>
      <c r="AC2875" s="712" t="str">
        <f>IF(AE2875="T2G","no charge",IF(AND(OR(PlanterYesMe="No",PlanterYesMe="N",PlanterYesMe="me"),H2875=""),"",IF(H2875="credit","NO install",IF(AND(K2875="",AE2875="me"),"EACH row",IF(AND(K2875="images",AE2875="me"),"EACH row",IF(D2875="","",IF(H2875="credit","",IF(AE2875="free","re-planting",IF(AE2875="me","   not ELP, by",IF(AND(OR(PlanterYesMe="Yes",PlanterYesMe="Y"),G2875&gt;0),(VLOOKUP(A2875,'Discount Lookup'!J:K,2)*G2875*(1-PlanterDiscount)*(1+PlanterDifficultyPercentage)),IF(AE2875="ELP",(VLOOKUP(A2875,'Discount Lookup'!J:K,2)*G2875*(1-PlanterDiscount)*(1+PlanterDifficultyPercentage)),IF(AE2875="free","re-planting",IF(G2875=0,"",IF(PlanterYesMe="",IF(AE2875="me","   not ELP, by",IF(AE2875="",IF(G2875&gt;0,(VLOOKUP(A2875,'Discount Lookup'!J:K,2)*G2875*(1-PlanterDiscount)*(1+PlanterDifficultyPercentage)),""),"")),"   not ELP, by"))))))))))))))</f>
        <v/>
      </c>
      <c r="AD2875" s="712"/>
      <c r="AE2875" s="513" t="str">
        <f t="shared" si="2168"/>
        <v/>
      </c>
      <c r="AF2875" s="713" t="str">
        <f t="shared" si="2169"/>
        <v/>
      </c>
      <c r="AG2875" s="713"/>
      <c r="AH2875" s="713"/>
      <c r="AI2875" s="112">
        <f>IF(H2875="credit",0,IF(AE2875="free",0,IF(AE2875="me",0,IF(G2875&gt;0,(VLOOKUP(A2875,'Discount Lookup'!J:K,2)*G2875),0))))</f>
        <v>0</v>
      </c>
      <c r="AJ2875" s="107" t="str">
        <f t="shared" ca="1" si="2170"/>
        <v/>
      </c>
      <c r="AK2875" s="714" t="str">
        <f t="shared" si="2171"/>
        <v/>
      </c>
      <c r="AL2875" s="714"/>
      <c r="AM2875" s="114" t="str">
        <f t="shared" si="2172"/>
        <v/>
      </c>
      <c r="AN2875" s="115"/>
      <c r="AO2875" s="116"/>
      <c r="AP2875" s="116"/>
      <c r="AQ2875" s="116"/>
      <c r="AR2875" s="116"/>
      <c r="AS2875" s="116"/>
      <c r="AT2875" s="116"/>
      <c r="AU2875" s="116"/>
      <c r="AV2875" s="78"/>
      <c r="AW2875" s="102"/>
      <c r="AX2875" s="78"/>
      <c r="AY2875" s="78"/>
      <c r="AZ2875" s="78"/>
      <c r="BA2875" s="78"/>
      <c r="BB2875" s="78"/>
      <c r="BC2875" s="78"/>
      <c r="BD2875" s="78"/>
      <c r="BE2875" s="465"/>
      <c r="BF2875" s="165" t="str">
        <f t="shared" si="2173"/>
        <v>https://www.google.com/search?tbm=isch&amp;q=Magnolia%20%27Shirazz%27%20Shirazz%20Magnolia</v>
      </c>
      <c r="BG2875" s="165" t="str">
        <f t="shared" si="2174"/>
        <v>M</v>
      </c>
      <c r="BH2875" s="65"/>
      <c r="BI2875" s="65"/>
      <c r="BJ2875" s="65"/>
      <c r="BK2875" s="65"/>
      <c r="BL2875" s="99"/>
      <c r="BM2875" s="99"/>
      <c r="BN2875" s="99"/>
    </row>
    <row r="2876" spans="1:66" s="51" customFormat="1" ht="15.75" x14ac:dyDescent="0.25">
      <c r="A2876" s="634">
        <v>7</v>
      </c>
      <c r="B2876" s="635" t="s">
        <v>291</v>
      </c>
      <c r="C2876" s="636" t="s">
        <v>2237</v>
      </c>
      <c r="D2876" s="637" t="s">
        <v>299</v>
      </c>
      <c r="E2876" s="638">
        <v>157.94999999999999</v>
      </c>
      <c r="F2876" s="639" t="s">
        <v>292</v>
      </c>
      <c r="G2876" s="484">
        <v>0</v>
      </c>
      <c r="H2876" s="691" t="str">
        <f>IF(G2876=0,"",IF(F2876="Buy",IF(G2876=1,"plant","plants"),IF(F2876&gt;0.01,"warranty","Error")))</f>
        <v/>
      </c>
      <c r="I2876" s="640">
        <f>IF(H2876="free",0,IF(H2876="credit",((E2876*(F2876))*G2876*-1),IF(F2876="Buy",(E2876*G2876),((E2876*(1-F2876))*G2876))))</f>
        <v>0</v>
      </c>
      <c r="J2876" s="640">
        <f>IF(H2876="warranty",0,(I2876*(_xlfn.SINGLE(SalesTaxPercentage))))</f>
        <v>0</v>
      </c>
      <c r="K2876" s="716">
        <f t="shared" ref="K2876" si="2210">I2876+J2876</f>
        <v>0</v>
      </c>
      <c r="L2876" s="716"/>
      <c r="M2876" s="689" t="str">
        <f ca="1">IF(AND(G2876&gt;0,E2876=0),"WARNING - no PRICE inserted",IF(H2876="free","FREE ~ no charge this plant",IF(H2876="credit",CONCATENATE("-$",ROUND(K2876*(1-_xlfn.SINGLE(T2GDiscount))*-1,2)," CREDIT after discount"),IF(_xlfn.SINGLE(T2GDiscount)=0,"",IF(G2876=0,"",IF(F2876="Buy",CONCATENATE("$",ROUND(K2876*(1-_xlfn.SINGLE(T2GDiscount)),2)," with ",(_xlfn.SINGLE(T2GDiscount)*100),"% discount"),CONCATENATE("$",ROUND(K2876*(1-_xlfn.SINGLE(T2GDiscount)),2)," with ",((_xlfn.SINGLE(T2GDiscount)*100+F2876*100)-(_xlfn.SINGLE(T2GDiscount)*100*F2876)),IF(F2876&gt;0,"% discounts",IF(_xlfn.SINGLE(NoWarrantyDiscount)&gt;0,"% discounts","% discount")))))))))</f>
        <v/>
      </c>
      <c r="N2876" s="690"/>
      <c r="O2876" s="486"/>
      <c r="P2876" s="486"/>
      <c r="Q2876" s="486"/>
      <c r="R2876" s="486"/>
      <c r="S2876" s="486"/>
      <c r="T2876" s="102">
        <f t="shared" si="2162"/>
        <v>0</v>
      </c>
      <c r="U2876" s="78">
        <f>IF(NOT(ISNUMBER(G2876)), "", VLOOKUP(A2876,'Discount Lookup'!D:E,2,FALSE)*G2876)</f>
        <v>0</v>
      </c>
      <c r="V2876" s="78">
        <f>IF(NOT(ISNUMBER(G2876)), "", VLOOKUP(A2876,'Discount Lookup'!G:H,2,FALSE)*G2876)</f>
        <v>0</v>
      </c>
      <c r="W2876" s="102">
        <f t="shared" si="2163"/>
        <v>0</v>
      </c>
      <c r="X2876" s="102">
        <f t="shared" si="2164"/>
        <v>0</v>
      </c>
      <c r="Y2876" s="120" t="b">
        <f t="shared" si="2165"/>
        <v>0</v>
      </c>
      <c r="Z2876" s="117">
        <f t="shared" si="2166"/>
        <v>0</v>
      </c>
      <c r="AA2876" s="118"/>
      <c r="AB2876" s="118" t="str">
        <f t="shared" si="2167"/>
        <v/>
      </c>
      <c r="AC2876" s="712" t="str">
        <f>IF(AE2876="T2G","no charge",IF(AND(OR(PlanterYesMe="No",PlanterYesMe="N",PlanterYesMe="me"),H2876=""),"",IF(H2876="credit","NO install",IF(AND(K2876="",AE2876="me"),"EACH row",IF(AND(K2876="images",AE2876="me"),"EACH row",IF(D2876="","",IF(H2876="credit","",IF(AE2876="free","re-planting",IF(AE2876="me","   not ELP, by",IF(AND(OR(PlanterYesMe="Yes",PlanterYesMe="Y"),G2876&gt;0),(VLOOKUP(A2876,'Discount Lookup'!J:K,2)*G2876*(1-PlanterDiscount)*(1+PlanterDifficultyPercentage)),IF(AE2876="ELP",(VLOOKUP(A2876,'Discount Lookup'!J:K,2)*G2876*(1-PlanterDiscount)*(1+PlanterDifficultyPercentage)),IF(AE2876="free","re-planting",IF(G2876=0,"",IF(PlanterYesMe="",IF(AE2876="me","   not ELP, by",IF(AE2876="",IF(G2876&gt;0,(VLOOKUP(A2876,'Discount Lookup'!J:K,2)*G2876*(1-PlanterDiscount)*(1+PlanterDifficultyPercentage)),""),"")),"   not ELP, by"))))))))))))))</f>
        <v/>
      </c>
      <c r="AD2876" s="712"/>
      <c r="AE2876" s="513" t="str">
        <f t="shared" si="2168"/>
        <v/>
      </c>
      <c r="AF2876" s="713" t="str">
        <f t="shared" si="2169"/>
        <v/>
      </c>
      <c r="AG2876" s="713"/>
      <c r="AH2876" s="713"/>
      <c r="AI2876" s="112">
        <f>IF(H2876="credit",0,IF(AE2876="free",0,IF(AE2876="me",0,IF(G2876&gt;0,(VLOOKUP(A2876,'Discount Lookup'!J:K,2)*G2876),0))))</f>
        <v>0</v>
      </c>
      <c r="AJ2876" s="107" t="str">
        <f t="shared" ca="1" si="2170"/>
        <v/>
      </c>
      <c r="AK2876" s="714" t="str">
        <f t="shared" si="2171"/>
        <v/>
      </c>
      <c r="AL2876" s="714"/>
      <c r="AM2876" s="114" t="str">
        <f t="shared" si="2172"/>
        <v/>
      </c>
      <c r="AN2876" s="115"/>
      <c r="AO2876" s="116"/>
      <c r="AP2876" s="116"/>
      <c r="AQ2876" s="116"/>
      <c r="AR2876" s="116"/>
      <c r="AS2876" s="116"/>
      <c r="AT2876" s="116"/>
      <c r="AU2876" s="116"/>
      <c r="AV2876" s="78"/>
      <c r="AW2876" s="102"/>
      <c r="AX2876" s="78"/>
      <c r="AY2876" s="78"/>
      <c r="AZ2876" s="78"/>
      <c r="BA2876" s="78"/>
      <c r="BB2876" s="78"/>
      <c r="BC2876" s="78"/>
      <c r="BD2876" s="78"/>
      <c r="BE2876" s="465"/>
      <c r="BF2876" s="165" t="str">
        <f t="shared" si="2173"/>
        <v>https://www.google.com/search?tbm=isch&amp;q=7%20G4</v>
      </c>
      <c r="BG2876" s="165" t="str">
        <f t="shared" si="2174"/>
        <v>M</v>
      </c>
      <c r="BH2876" s="65"/>
      <c r="BI2876" s="65"/>
      <c r="BJ2876" s="65"/>
      <c r="BK2876" s="65"/>
      <c r="BL2876" s="99"/>
      <c r="BM2876" s="99"/>
      <c r="BN2876" s="99"/>
    </row>
    <row r="2877" spans="1:66" s="51" customFormat="1" ht="17.25" thickBot="1" x14ac:dyDescent="0.3">
      <c r="A2877" s="641" t="s">
        <v>3470</v>
      </c>
      <c r="B2877" s="642"/>
      <c r="C2877" s="710"/>
      <c r="D2877" s="643"/>
      <c r="E2877" s="643"/>
      <c r="F2877" s="644"/>
      <c r="G2877" s="645"/>
      <c r="H2877" s="646"/>
      <c r="I2877" s="647"/>
      <c r="J2877" s="648"/>
      <c r="K2877" s="649"/>
      <c r="L2877" s="650"/>
      <c r="M2877" s="650"/>
      <c r="N2877" s="644"/>
      <c r="O2877" s="644"/>
      <c r="P2877" s="644"/>
      <c r="Q2877" s="644"/>
      <c r="R2877" s="644"/>
      <c r="S2877" s="651"/>
      <c r="T2877" s="102">
        <f t="shared" si="2162"/>
        <v>0</v>
      </c>
      <c r="U2877" s="78" t="str">
        <f>IF(NOT(ISNUMBER(G2877)), "", VLOOKUP(A2877,'Discount Lookup'!D:E,2,FALSE)*G2877)</f>
        <v/>
      </c>
      <c r="V2877" s="78" t="str">
        <f>IF(NOT(ISNUMBER(G2877)), "", VLOOKUP(A2877,'Discount Lookup'!G:H,2,FALSE)*G2877)</f>
        <v/>
      </c>
      <c r="W2877" s="102">
        <f t="shared" si="2163"/>
        <v>0</v>
      </c>
      <c r="X2877" s="102">
        <f t="shared" si="2164"/>
        <v>0</v>
      </c>
      <c r="Y2877" s="120" t="b">
        <f t="shared" si="2165"/>
        <v>0</v>
      </c>
      <c r="Z2877" s="117">
        <f t="shared" si="2166"/>
        <v>0</v>
      </c>
      <c r="AA2877" s="118"/>
      <c r="AB2877" s="118" t="str">
        <f t="shared" si="2167"/>
        <v/>
      </c>
      <c r="AC2877" s="712" t="str">
        <f>IF(AE2877="T2G","no charge",IF(AND(OR(PlanterYesMe="No",PlanterYesMe="N",PlanterYesMe="me"),H2877=""),"",IF(H2877="credit","NO install",IF(AND(K2877="",AE2877="me"),"EACH row",IF(AND(K2877="images",AE2877="me"),"EACH row",IF(D2877="","",IF(H2877="credit","",IF(AE2877="free","re-planting",IF(AE2877="me","   not ELP, by",IF(AND(OR(PlanterYesMe="Yes",PlanterYesMe="Y"),G2877&gt;0),(VLOOKUP(A2877,'Discount Lookup'!J:K,2)*G2877*(1-PlanterDiscount)*(1+PlanterDifficultyPercentage)),IF(AE2877="ELP",(VLOOKUP(A2877,'Discount Lookup'!J:K,2)*G2877*(1-PlanterDiscount)*(1+PlanterDifficultyPercentage)),IF(AE2877="free","re-planting",IF(G2877=0,"",IF(PlanterYesMe="",IF(AE2877="me","   not ELP, by",IF(AE2877="",IF(G2877&gt;0,(VLOOKUP(A2877,'Discount Lookup'!J:K,2)*G2877*(1-PlanterDiscount)*(1+PlanterDifficultyPercentage)),""),"")),"   not ELP, by"))))))))))))))</f>
        <v/>
      </c>
      <c r="AD2877" s="712"/>
      <c r="AE2877" s="513" t="str">
        <f t="shared" si="2168"/>
        <v/>
      </c>
      <c r="AF2877" s="713" t="str">
        <f t="shared" si="2169"/>
        <v/>
      </c>
      <c r="AG2877" s="713"/>
      <c r="AH2877" s="713"/>
      <c r="AI2877" s="112">
        <f>IF(H2877="credit",0,IF(AE2877="free",0,IF(AE2877="me",0,IF(G2877&gt;0,(VLOOKUP(A2877,'Discount Lookup'!J:K,2)*G2877),0))))</f>
        <v>0</v>
      </c>
      <c r="AJ2877" s="107" t="str">
        <f t="shared" ca="1" si="2170"/>
        <v/>
      </c>
      <c r="AK2877" s="714" t="str">
        <f t="shared" si="2171"/>
        <v/>
      </c>
      <c r="AL2877" s="714"/>
      <c r="AM2877" s="114" t="str">
        <f t="shared" si="2172"/>
        <v/>
      </c>
      <c r="AN2877" s="115"/>
      <c r="AO2877" s="116"/>
      <c r="AP2877" s="116"/>
      <c r="AQ2877" s="116"/>
      <c r="AR2877" s="116"/>
      <c r="AS2877" s="116"/>
      <c r="AT2877" s="116"/>
      <c r="AU2877" s="116"/>
      <c r="AV2877" s="78"/>
      <c r="AW2877" s="102"/>
      <c r="AX2877" s="78"/>
      <c r="AY2877" s="78"/>
      <c r="AZ2877" s="78"/>
      <c r="BA2877" s="78"/>
      <c r="BB2877" s="78"/>
      <c r="BC2877" s="78"/>
      <c r="BD2877" s="78"/>
      <c r="BE2877" s="465"/>
      <c r="BF2877" s="165" t="str">
        <f t="shared" si="2173"/>
        <v>https://www.google.com/search?tbm=isch&amp;q=Shirazz%20known%20for%20it%27s%20early-season%2C%20incredibly%20deep%2C%20rich%20Burgundy-Purple%20blooms.%20Petals%20are%20broad%20%26%20glossy%2C%20with%20light%20Pink-White%20interiors%20</v>
      </c>
      <c r="BG2877" s="165" t="str">
        <f t="shared" si="2174"/>
        <v>S</v>
      </c>
      <c r="BH2877" s="65"/>
      <c r="BI2877" s="65"/>
      <c r="BJ2877" s="65"/>
      <c r="BK2877" s="65"/>
      <c r="BL2877" s="99"/>
      <c r="BM2877" s="99"/>
      <c r="BN2877" s="99"/>
    </row>
    <row r="2878" spans="1:66" s="51" customFormat="1" ht="18" x14ac:dyDescent="0.25">
      <c r="A2878" s="623" t="s">
        <v>3471</v>
      </c>
      <c r="B2878" s="624"/>
      <c r="C2878" s="709"/>
      <c r="D2878" s="625" t="s">
        <v>3472</v>
      </c>
      <c r="E2878" s="626"/>
      <c r="F2878" s="626"/>
      <c r="G2878" s="626"/>
      <c r="H2878" s="622" t="s">
        <v>1147</v>
      </c>
      <c r="I2878" s="627" t="s">
        <v>3473</v>
      </c>
      <c r="J2878" s="628"/>
      <c r="K2878" s="628"/>
      <c r="L2878" s="629"/>
      <c r="M2878" s="702" t="s">
        <v>5252</v>
      </c>
      <c r="N2878" s="693" t="str">
        <f>IF(AND(ISTEXT($A2878), ISERROR($A2878+0)), HYPERLINK($BF2878, "Images"), "")</f>
        <v>Images</v>
      </c>
      <c r="O2878" s="695" t="s">
        <v>5247</v>
      </c>
      <c r="P2878" s="630"/>
      <c r="Q2878" s="631"/>
      <c r="R2878" s="632"/>
      <c r="S2878" s="633"/>
      <c r="T2878" s="102">
        <f t="shared" si="2162"/>
        <v>0</v>
      </c>
      <c r="U2878" s="78" t="str">
        <f>IF(NOT(ISNUMBER(G2878)), "", VLOOKUP(A2878,'Discount Lookup'!D:E,2,FALSE)*G2878)</f>
        <v/>
      </c>
      <c r="V2878" s="78" t="str">
        <f>IF(NOT(ISNUMBER(G2878)), "", VLOOKUP(A2878,'Discount Lookup'!G:H,2,FALSE)*G2878)</f>
        <v/>
      </c>
      <c r="W2878" s="102">
        <f t="shared" si="2163"/>
        <v>0</v>
      </c>
      <c r="X2878" s="102" t="str">
        <f t="shared" si="2164"/>
        <v>White bloom, Crimson center</v>
      </c>
      <c r="Y2878" s="120" t="b">
        <f t="shared" si="2165"/>
        <v>0</v>
      </c>
      <c r="Z2878" s="117">
        <f t="shared" si="2166"/>
        <v>0</v>
      </c>
      <c r="AA2878" s="118"/>
      <c r="AB2878" s="118" t="str">
        <f t="shared" si="2167"/>
        <v/>
      </c>
      <c r="AC2878" s="712" t="str">
        <f>IF(AE2878="T2G","no charge",IF(AND(OR(PlanterYesMe="No",PlanterYesMe="N",PlanterYesMe="me"),H2878=""),"",IF(H2878="credit","NO install",IF(AND(K2878="",AE2878="me"),"EACH row",IF(AND(K2878="images",AE2878="me"),"EACH row",IF(D2878="","",IF(H2878="credit","",IF(AE2878="free","re-planting",IF(AE2878="me","   not ELP, by",IF(AND(OR(PlanterYesMe="Yes",PlanterYesMe="Y"),G2878&gt;0),(VLOOKUP(A2878,'Discount Lookup'!J:K,2)*G2878*(1-PlanterDiscount)*(1+PlanterDifficultyPercentage)),IF(AE2878="ELP",(VLOOKUP(A2878,'Discount Lookup'!J:K,2)*G2878*(1-PlanterDiscount)*(1+PlanterDifficultyPercentage)),IF(AE2878="free","re-planting",IF(G2878=0,"",IF(PlanterYesMe="",IF(AE2878="me","   not ELP, by",IF(AE2878="",IF(G2878&gt;0,(VLOOKUP(A2878,'Discount Lookup'!J:K,2)*G2878*(1-PlanterDiscount)*(1+PlanterDifficultyPercentage)),""),"")),"   not ELP, by"))))))))))))))</f>
        <v/>
      </c>
      <c r="AD2878" s="712"/>
      <c r="AE2878" s="513" t="str">
        <f t="shared" si="2168"/>
        <v/>
      </c>
      <c r="AF2878" s="713" t="str">
        <f t="shared" si="2169"/>
        <v/>
      </c>
      <c r="AG2878" s="713"/>
      <c r="AH2878" s="713"/>
      <c r="AI2878" s="112">
        <f>IF(H2878="credit",0,IF(AE2878="free",0,IF(AE2878="me",0,IF(G2878&gt;0,(VLOOKUP(A2878,'Discount Lookup'!J:K,2)*G2878),0))))</f>
        <v>0</v>
      </c>
      <c r="AJ2878" s="107" t="str">
        <f t="shared" ca="1" si="2170"/>
        <v/>
      </c>
      <c r="AK2878" s="714" t="str">
        <f t="shared" si="2171"/>
        <v/>
      </c>
      <c r="AL2878" s="714"/>
      <c r="AM2878" s="114" t="str">
        <f t="shared" si="2172"/>
        <v/>
      </c>
      <c r="AN2878" s="115"/>
      <c r="AO2878" s="116"/>
      <c r="AP2878" s="116"/>
      <c r="AQ2878" s="116"/>
      <c r="AR2878" s="116"/>
      <c r="AS2878" s="116"/>
      <c r="AT2878" s="116"/>
      <c r="AU2878" s="116"/>
      <c r="AV2878" s="78"/>
      <c r="AW2878" s="102"/>
      <c r="AX2878" s="78"/>
      <c r="AY2878" s="78"/>
      <c r="AZ2878" s="78"/>
      <c r="BA2878" s="78"/>
      <c r="BB2878" s="78"/>
      <c r="BC2878" s="78"/>
      <c r="BD2878" s="78"/>
      <c r="BE2878" s="465"/>
      <c r="BF2878" s="165" t="str">
        <f t="shared" si="2173"/>
        <v>https://www.google.com/search?tbm=isch&amp;q=Magnolia%20sieboldii%20Oyama%20Magnolia</v>
      </c>
      <c r="BG2878" s="165" t="str">
        <f t="shared" si="2174"/>
        <v>M</v>
      </c>
      <c r="BH2878" s="65"/>
      <c r="BI2878" s="65"/>
      <c r="BJ2878" s="65"/>
      <c r="BK2878" s="65"/>
      <c r="BL2878" s="99"/>
      <c r="BM2878" s="99"/>
      <c r="BN2878" s="99"/>
    </row>
    <row r="2879" spans="1:66" s="51" customFormat="1" ht="15.75" x14ac:dyDescent="0.25">
      <c r="A2879" s="634">
        <v>7</v>
      </c>
      <c r="B2879" s="635" t="s">
        <v>291</v>
      </c>
      <c r="C2879" s="636" t="s">
        <v>925</v>
      </c>
      <c r="D2879" s="637" t="s">
        <v>299</v>
      </c>
      <c r="E2879" s="638">
        <v>123.95</v>
      </c>
      <c r="F2879" s="639" t="s">
        <v>292</v>
      </c>
      <c r="G2879" s="484">
        <v>0</v>
      </c>
      <c r="H2879" s="691" t="str">
        <f>IF(G2879=0,"",IF(F2879="Buy",IF(G2879=1,"plant","plants"),IF(F2879&gt;0.01,"warranty","Error")))</f>
        <v/>
      </c>
      <c r="I2879" s="640">
        <f>IF(H2879="free",0,IF(H2879="credit",((E2879*(F2879))*G2879*-1),IF(F2879="Buy",(E2879*G2879),((E2879*(1-F2879))*G2879))))</f>
        <v>0</v>
      </c>
      <c r="J2879" s="640">
        <f>IF(H2879="warranty",0,(I2879*(_xlfn.SINGLE(SalesTaxPercentage))))</f>
        <v>0</v>
      </c>
      <c r="K2879" s="716">
        <f t="shared" ref="K2879" si="2211">I2879+J2879</f>
        <v>0</v>
      </c>
      <c r="L2879" s="716"/>
      <c r="M2879" s="689" t="str">
        <f ca="1">IF(AND(G2879&gt;0,E2879=0),"WARNING - no PRICE inserted",IF(H2879="free","FREE ~ no charge this plant",IF(H2879="credit",CONCATENATE("-$",ROUND(K2879*(1-_xlfn.SINGLE(T2GDiscount))*-1,2)," CREDIT after discount"),IF(_xlfn.SINGLE(T2GDiscount)=0,"",IF(G2879=0,"",IF(F2879="Buy",CONCATENATE("$",ROUND(K2879*(1-_xlfn.SINGLE(T2GDiscount)),2)," with ",(_xlfn.SINGLE(T2GDiscount)*100),"% discount"),CONCATENATE("$",ROUND(K2879*(1-_xlfn.SINGLE(T2GDiscount)),2)," with ",((_xlfn.SINGLE(T2GDiscount)*100+F2879*100)-(_xlfn.SINGLE(T2GDiscount)*100*F2879)),IF(F2879&gt;0,"% discounts",IF(_xlfn.SINGLE(NoWarrantyDiscount)&gt;0,"% discounts","% discount")))))))))</f>
        <v/>
      </c>
      <c r="N2879" s="690"/>
      <c r="O2879" s="486"/>
      <c r="P2879" s="486"/>
      <c r="Q2879" s="486"/>
      <c r="R2879" s="486"/>
      <c r="S2879" s="486"/>
      <c r="T2879" s="102">
        <f t="shared" si="2162"/>
        <v>0</v>
      </c>
      <c r="U2879" s="78">
        <f>IF(NOT(ISNUMBER(G2879)), "", VLOOKUP(A2879,'Discount Lookup'!D:E,2,FALSE)*G2879)</f>
        <v>0</v>
      </c>
      <c r="V2879" s="78">
        <f>IF(NOT(ISNUMBER(G2879)), "", VLOOKUP(A2879,'Discount Lookup'!G:H,2,FALSE)*G2879)</f>
        <v>0</v>
      </c>
      <c r="W2879" s="102">
        <f t="shared" si="2163"/>
        <v>0</v>
      </c>
      <c r="X2879" s="102">
        <f t="shared" si="2164"/>
        <v>0</v>
      </c>
      <c r="Y2879" s="120" t="b">
        <f t="shared" si="2165"/>
        <v>0</v>
      </c>
      <c r="Z2879" s="117">
        <f t="shared" si="2166"/>
        <v>0</v>
      </c>
      <c r="AA2879" s="118"/>
      <c r="AB2879" s="118" t="str">
        <f t="shared" si="2167"/>
        <v/>
      </c>
      <c r="AC2879" s="712" t="str">
        <f>IF(AE2879="T2G","no charge",IF(AND(OR(PlanterYesMe="No",PlanterYesMe="N",PlanterYesMe="me"),H2879=""),"",IF(H2879="credit","NO install",IF(AND(K2879="",AE2879="me"),"EACH row",IF(AND(K2879="images",AE2879="me"),"EACH row",IF(D2879="","",IF(H2879="credit","",IF(AE2879="free","re-planting",IF(AE2879="me","   not ELP, by",IF(AND(OR(PlanterYesMe="Yes",PlanterYesMe="Y"),G2879&gt;0),(VLOOKUP(A2879,'Discount Lookup'!J:K,2)*G2879*(1-PlanterDiscount)*(1+PlanterDifficultyPercentage)),IF(AE2879="ELP",(VLOOKUP(A2879,'Discount Lookup'!J:K,2)*G2879*(1-PlanterDiscount)*(1+PlanterDifficultyPercentage)),IF(AE2879="free","re-planting",IF(G2879=0,"",IF(PlanterYesMe="",IF(AE2879="me","   not ELP, by",IF(AE2879="",IF(G2879&gt;0,(VLOOKUP(A2879,'Discount Lookup'!J:K,2)*G2879*(1-PlanterDiscount)*(1+PlanterDifficultyPercentage)),""),"")),"   not ELP, by"))))))))))))))</f>
        <v/>
      </c>
      <c r="AD2879" s="712"/>
      <c r="AE2879" s="513" t="str">
        <f t="shared" si="2168"/>
        <v/>
      </c>
      <c r="AF2879" s="713" t="str">
        <f t="shared" si="2169"/>
        <v/>
      </c>
      <c r="AG2879" s="713"/>
      <c r="AH2879" s="713"/>
      <c r="AI2879" s="112">
        <f>IF(H2879="credit",0,IF(AE2879="free",0,IF(AE2879="me",0,IF(G2879&gt;0,(VLOOKUP(A2879,'Discount Lookup'!J:K,2)*G2879),0))))</f>
        <v>0</v>
      </c>
      <c r="AJ2879" s="107" t="str">
        <f t="shared" ca="1" si="2170"/>
        <v/>
      </c>
      <c r="AK2879" s="714" t="str">
        <f t="shared" si="2171"/>
        <v/>
      </c>
      <c r="AL2879" s="714"/>
      <c r="AM2879" s="114" t="str">
        <f t="shared" si="2172"/>
        <v/>
      </c>
      <c r="AN2879" s="115"/>
      <c r="AO2879" s="116"/>
      <c r="AP2879" s="116"/>
      <c r="AQ2879" s="116"/>
      <c r="AR2879" s="116"/>
      <c r="AS2879" s="116"/>
      <c r="AT2879" s="116"/>
      <c r="AU2879" s="116"/>
      <c r="AV2879" s="78"/>
      <c r="AW2879" s="102"/>
      <c r="AX2879" s="78"/>
      <c r="AY2879" s="78"/>
      <c r="AZ2879" s="78"/>
      <c r="BA2879" s="78"/>
      <c r="BB2879" s="78"/>
      <c r="BC2879" s="78"/>
      <c r="BD2879" s="78"/>
      <c r="BE2879" s="465"/>
      <c r="BF2879" s="165" t="str">
        <f t="shared" si="2173"/>
        <v>https://www.google.com/search?tbm=isch&amp;q=7%20G4</v>
      </c>
      <c r="BG2879" s="165" t="str">
        <f t="shared" si="2174"/>
        <v>M</v>
      </c>
      <c r="BH2879" s="65"/>
      <c r="BI2879" s="65"/>
      <c r="BJ2879" s="65"/>
      <c r="BK2879" s="65"/>
      <c r="BL2879" s="99"/>
      <c r="BM2879" s="99"/>
      <c r="BN2879" s="99"/>
    </row>
    <row r="2880" spans="1:66" s="51" customFormat="1" ht="17.25" thickBot="1" x14ac:dyDescent="0.3">
      <c r="A2880" s="704" t="s">
        <v>5480</v>
      </c>
      <c r="B2880" s="642"/>
      <c r="C2880" s="710"/>
      <c r="D2880" s="643"/>
      <c r="E2880" s="643"/>
      <c r="F2880" s="644"/>
      <c r="G2880" s="645"/>
      <c r="H2880" s="646"/>
      <c r="I2880" s="647"/>
      <c r="J2880" s="648"/>
      <c r="K2880" s="649"/>
      <c r="L2880" s="650"/>
      <c r="M2880" s="650"/>
      <c r="N2880" s="644"/>
      <c r="O2880" s="644"/>
      <c r="P2880" s="644"/>
      <c r="Q2880" s="644"/>
      <c r="R2880" s="644"/>
      <c r="S2880" s="651"/>
      <c r="T2880" s="102">
        <f t="shared" si="2162"/>
        <v>0</v>
      </c>
      <c r="U2880" s="78" t="str">
        <f>IF(NOT(ISNUMBER(G2880)), "", VLOOKUP(A2880,'Discount Lookup'!D:E,2,FALSE)*G2880)</f>
        <v/>
      </c>
      <c r="V2880" s="78" t="str">
        <f>IF(NOT(ISNUMBER(G2880)), "", VLOOKUP(A2880,'Discount Lookup'!G:H,2,FALSE)*G2880)</f>
        <v/>
      </c>
      <c r="W2880" s="102">
        <f t="shared" si="2163"/>
        <v>0</v>
      </c>
      <c r="X2880" s="102">
        <f t="shared" si="2164"/>
        <v>0</v>
      </c>
      <c r="Y2880" s="120" t="b">
        <f t="shared" si="2165"/>
        <v>0</v>
      </c>
      <c r="Z2880" s="117">
        <f t="shared" si="2166"/>
        <v>0</v>
      </c>
      <c r="AA2880" s="118"/>
      <c r="AB2880" s="118" t="str">
        <f t="shared" si="2167"/>
        <v/>
      </c>
      <c r="AC2880" s="712" t="str">
        <f>IF(AE2880="T2G","no charge",IF(AND(OR(PlanterYesMe="No",PlanterYesMe="N",PlanterYesMe="me"),H2880=""),"",IF(H2880="credit","NO install",IF(AND(K2880="",AE2880="me"),"EACH row",IF(AND(K2880="images",AE2880="me"),"EACH row",IF(D2880="","",IF(H2880="credit","",IF(AE2880="free","re-planting",IF(AE2880="me","   not ELP, by",IF(AND(OR(PlanterYesMe="Yes",PlanterYesMe="Y"),G2880&gt;0),(VLOOKUP(A2880,'Discount Lookup'!J:K,2)*G2880*(1-PlanterDiscount)*(1+PlanterDifficultyPercentage)),IF(AE2880="ELP",(VLOOKUP(A2880,'Discount Lookup'!J:K,2)*G2880*(1-PlanterDiscount)*(1+PlanterDifficultyPercentage)),IF(AE2880="free","re-planting",IF(G2880=0,"",IF(PlanterYesMe="",IF(AE2880="me","   not ELP, by",IF(AE2880="",IF(G2880&gt;0,(VLOOKUP(A2880,'Discount Lookup'!J:K,2)*G2880*(1-PlanterDiscount)*(1+PlanterDifficultyPercentage)),""),"")),"   not ELP, by"))))))))))))))</f>
        <v/>
      </c>
      <c r="AD2880" s="712"/>
      <c r="AE2880" s="513" t="str">
        <f t="shared" si="2168"/>
        <v/>
      </c>
      <c r="AF2880" s="713" t="str">
        <f t="shared" si="2169"/>
        <v/>
      </c>
      <c r="AG2880" s="713"/>
      <c r="AH2880" s="713"/>
      <c r="AI2880" s="112">
        <f>IF(H2880="credit",0,IF(AE2880="free",0,IF(AE2880="me",0,IF(G2880&gt;0,(VLOOKUP(A2880,'Discount Lookup'!J:K,2)*G2880),0))))</f>
        <v>0</v>
      </c>
      <c r="AJ2880" s="107" t="str">
        <f t="shared" ca="1" si="2170"/>
        <v/>
      </c>
      <c r="AK2880" s="714" t="str">
        <f t="shared" si="2171"/>
        <v/>
      </c>
      <c r="AL2880" s="714"/>
      <c r="AM2880" s="114" t="str">
        <f t="shared" si="2172"/>
        <v/>
      </c>
      <c r="AN2880" s="115"/>
      <c r="AO2880" s="116"/>
      <c r="AP2880" s="116"/>
      <c r="AQ2880" s="116"/>
      <c r="AR2880" s="116"/>
      <c r="AS2880" s="116"/>
      <c r="AT2880" s="116"/>
      <c r="AU2880" s="116"/>
      <c r="AV2880" s="78"/>
      <c r="AW2880" s="102"/>
      <c r="AX2880" s="78"/>
      <c r="AY2880" s="78"/>
      <c r="AZ2880" s="78"/>
      <c r="BA2880" s="78"/>
      <c r="BB2880" s="78"/>
      <c r="BC2880" s="78"/>
      <c r="BD2880" s="78"/>
      <c r="BE2880" s="465"/>
      <c r="BF2880" s="165" t="str">
        <f t="shared" si="2173"/>
        <v>https://www.google.com/search?tbm=isch&amp;q=moist%20sites%F0%9F%92%A7GOOD%2C%20Oyama%27s%20late%20blooming%2C%20fragrant%20flowers%20are%20pendulous%2C%20showing%20off%20color%20in%20center.%20Green%20foliage%20turns%20Golden%20Yellow%20in%20fall%20</v>
      </c>
      <c r="BG2880" s="165" t="str">
        <f t="shared" si="2174"/>
        <v>m</v>
      </c>
      <c r="BH2880" s="65"/>
      <c r="BI2880" s="65"/>
      <c r="BJ2880" s="65"/>
      <c r="BK2880" s="65"/>
      <c r="BL2880" s="99"/>
      <c r="BM2880" s="99"/>
      <c r="BN2880" s="99"/>
    </row>
    <row r="2881" spans="1:66" s="51" customFormat="1" ht="18" x14ac:dyDescent="0.25">
      <c r="A2881" s="623" t="s">
        <v>3474</v>
      </c>
      <c r="B2881" s="624"/>
      <c r="C2881" s="709"/>
      <c r="D2881" s="625" t="s">
        <v>3475</v>
      </c>
      <c r="E2881" s="626"/>
      <c r="F2881" s="626"/>
      <c r="G2881" s="626"/>
      <c r="H2881" s="622" t="s">
        <v>1174</v>
      </c>
      <c r="I2881" s="627" t="s">
        <v>3476</v>
      </c>
      <c r="J2881" s="628"/>
      <c r="K2881" s="628"/>
      <c r="L2881" s="629"/>
      <c r="M2881" s="700" t="s">
        <v>5249</v>
      </c>
      <c r="N2881" s="693" t="str">
        <f>IF(AND(ISTEXT($A2881), ISERROR($A2881+0)), HYPERLINK($BF2881, "Images"), "")</f>
        <v>Images</v>
      </c>
      <c r="O2881" s="695" t="s">
        <v>5247</v>
      </c>
      <c r="P2881" s="630"/>
      <c r="Q2881" s="631"/>
      <c r="R2881" s="632"/>
      <c r="S2881" s="633"/>
      <c r="T2881" s="102">
        <f t="shared" si="2162"/>
        <v>0</v>
      </c>
      <c r="U2881" s="78" t="str">
        <f>IF(NOT(ISNUMBER(G2881)), "", VLOOKUP(A2881,'Discount Lookup'!D:E,2,FALSE)*G2881)</f>
        <v/>
      </c>
      <c r="V2881" s="78" t="str">
        <f>IF(NOT(ISNUMBER(G2881)), "", VLOOKUP(A2881,'Discount Lookup'!G:H,2,FALSE)*G2881)</f>
        <v/>
      </c>
      <c r="W2881" s="102">
        <f t="shared" si="2163"/>
        <v>0</v>
      </c>
      <c r="X2881" s="102" t="str">
        <f t="shared" si="2164"/>
        <v>White bloom, Red-Pink eye</v>
      </c>
      <c r="Y2881" s="120" t="b">
        <f t="shared" si="2165"/>
        <v>0</v>
      </c>
      <c r="Z2881" s="117">
        <f t="shared" si="2166"/>
        <v>0</v>
      </c>
      <c r="AA2881" s="118"/>
      <c r="AB2881" s="118" t="str">
        <f t="shared" si="2167"/>
        <v/>
      </c>
      <c r="AC2881" s="712" t="str">
        <f>IF(AE2881="T2G","no charge",IF(AND(OR(PlanterYesMe="No",PlanterYesMe="N",PlanterYesMe="me"),H2881=""),"",IF(H2881="credit","NO install",IF(AND(K2881="",AE2881="me"),"EACH row",IF(AND(K2881="images",AE2881="me"),"EACH row",IF(D2881="","",IF(H2881="credit","",IF(AE2881="free","re-planting",IF(AE2881="me","   not ELP, by",IF(AND(OR(PlanterYesMe="Yes",PlanterYesMe="Y"),G2881&gt;0),(VLOOKUP(A2881,'Discount Lookup'!J:K,2)*G2881*(1-PlanterDiscount)*(1+PlanterDifficultyPercentage)),IF(AE2881="ELP",(VLOOKUP(A2881,'Discount Lookup'!J:K,2)*G2881*(1-PlanterDiscount)*(1+PlanterDifficultyPercentage)),IF(AE2881="free","re-planting",IF(G2881=0,"",IF(PlanterYesMe="",IF(AE2881="me","   not ELP, by",IF(AE2881="",IF(G2881&gt;0,(VLOOKUP(A2881,'Discount Lookup'!J:K,2)*G2881*(1-PlanterDiscount)*(1+PlanterDifficultyPercentage)),""),"")),"   not ELP, by"))))))))))))))</f>
        <v/>
      </c>
      <c r="AD2881" s="712"/>
      <c r="AE2881" s="513" t="str">
        <f t="shared" si="2168"/>
        <v/>
      </c>
      <c r="AF2881" s="713" t="str">
        <f t="shared" si="2169"/>
        <v/>
      </c>
      <c r="AG2881" s="713"/>
      <c r="AH2881" s="713"/>
      <c r="AI2881" s="112">
        <f>IF(H2881="credit",0,IF(AE2881="free",0,IF(AE2881="me",0,IF(G2881&gt;0,(VLOOKUP(A2881,'Discount Lookup'!J:K,2)*G2881),0))))</f>
        <v>0</v>
      </c>
      <c r="AJ2881" s="107" t="str">
        <f t="shared" ca="1" si="2170"/>
        <v/>
      </c>
      <c r="AK2881" s="714" t="str">
        <f t="shared" si="2171"/>
        <v/>
      </c>
      <c r="AL2881" s="714"/>
      <c r="AM2881" s="114" t="str">
        <f t="shared" si="2172"/>
        <v/>
      </c>
      <c r="AN2881" s="115"/>
      <c r="AO2881" s="116"/>
      <c r="AP2881" s="116"/>
      <c r="AQ2881" s="116"/>
      <c r="AR2881" s="116"/>
      <c r="AS2881" s="116"/>
      <c r="AT2881" s="116"/>
      <c r="AU2881" s="116"/>
      <c r="AV2881" s="78"/>
      <c r="AW2881" s="102"/>
      <c r="AX2881" s="78"/>
      <c r="AY2881" s="78"/>
      <c r="AZ2881" s="78"/>
      <c r="BA2881" s="78"/>
      <c r="BB2881" s="78"/>
      <c r="BC2881" s="78"/>
      <c r="BD2881" s="78"/>
      <c r="BE2881" s="465"/>
      <c r="BF2881" s="165" t="str">
        <f t="shared" si="2173"/>
        <v>https://www.google.com/search?tbm=isch&amp;q=Magnolia%20sieboldii%20%27Colossus%27%20Colossus%20Oyama%20Magnolia</v>
      </c>
      <c r="BG2881" s="165" t="str">
        <f t="shared" si="2174"/>
        <v>M</v>
      </c>
      <c r="BH2881" s="65"/>
      <c r="BI2881" s="65"/>
      <c r="BJ2881" s="65"/>
      <c r="BK2881" s="65"/>
      <c r="BL2881" s="99"/>
      <c r="BM2881" s="99"/>
      <c r="BN2881" s="99"/>
    </row>
    <row r="2882" spans="1:66" s="51" customFormat="1" ht="15.75" x14ac:dyDescent="0.25">
      <c r="A2882" s="634">
        <v>5</v>
      </c>
      <c r="B2882" s="635" t="s">
        <v>291</v>
      </c>
      <c r="C2882" s="636" t="s">
        <v>3477</v>
      </c>
      <c r="D2882" s="637" t="s">
        <v>299</v>
      </c>
      <c r="E2882" s="638">
        <v>100.95</v>
      </c>
      <c r="F2882" s="639" t="s">
        <v>292</v>
      </c>
      <c r="G2882" s="484">
        <v>0</v>
      </c>
      <c r="H2882" s="691" t="str">
        <f>IF(G2882=0,"",IF(F2882="Buy",IF(G2882=1,"plant","plants"),IF(F2882&gt;0.01,"warranty","Error")))</f>
        <v/>
      </c>
      <c r="I2882" s="640">
        <f>IF(H2882="free",0,IF(H2882="credit",((E2882*(F2882))*G2882*-1),IF(F2882="Buy",(E2882*G2882),((E2882*(1-F2882))*G2882))))</f>
        <v>0</v>
      </c>
      <c r="J2882" s="640">
        <f>IF(H2882="warranty",0,(I2882*(_xlfn.SINGLE(SalesTaxPercentage))))</f>
        <v>0</v>
      </c>
      <c r="K2882" s="716">
        <f t="shared" ref="K2882" si="2212">I2882+J2882</f>
        <v>0</v>
      </c>
      <c r="L2882" s="716"/>
      <c r="M2882" s="689" t="str">
        <f ca="1">IF(AND(G2882&gt;0,E2882=0),"WARNING - no PRICE inserted",IF(H2882="free","FREE ~ no charge this plant",IF(H2882="credit",CONCATENATE("-$",ROUND(K2882*(1-_xlfn.SINGLE(T2GDiscount))*-1,2)," CREDIT after discount"),IF(_xlfn.SINGLE(T2GDiscount)=0,"",IF(G2882=0,"",IF(F2882="Buy",CONCATENATE("$",ROUND(K2882*(1-_xlfn.SINGLE(T2GDiscount)),2)," with ",(_xlfn.SINGLE(T2GDiscount)*100),"% discount"),CONCATENATE("$",ROUND(K2882*(1-_xlfn.SINGLE(T2GDiscount)),2)," with ",((_xlfn.SINGLE(T2GDiscount)*100+F2882*100)-(_xlfn.SINGLE(T2GDiscount)*100*F2882)),IF(F2882&gt;0,"% discounts",IF(_xlfn.SINGLE(NoWarrantyDiscount)&gt;0,"% discounts","% discount")))))))))</f>
        <v/>
      </c>
      <c r="N2882" s="690"/>
      <c r="O2882" s="486"/>
      <c r="P2882" s="486"/>
      <c r="Q2882" s="486"/>
      <c r="R2882" s="486"/>
      <c r="S2882" s="486"/>
      <c r="T2882" s="102">
        <f t="shared" si="2162"/>
        <v>0</v>
      </c>
      <c r="U2882" s="78">
        <f>IF(NOT(ISNUMBER(G2882)), "", VLOOKUP(A2882,'Discount Lookup'!D:E,2,FALSE)*G2882)</f>
        <v>0</v>
      </c>
      <c r="V2882" s="78">
        <f>IF(NOT(ISNUMBER(G2882)), "", VLOOKUP(A2882,'Discount Lookup'!G:H,2,FALSE)*G2882)</f>
        <v>0</v>
      </c>
      <c r="W2882" s="102">
        <f t="shared" si="2163"/>
        <v>0</v>
      </c>
      <c r="X2882" s="102">
        <f t="shared" si="2164"/>
        <v>0</v>
      </c>
      <c r="Y2882" s="120" t="b">
        <f t="shared" si="2165"/>
        <v>0</v>
      </c>
      <c r="Z2882" s="117">
        <f t="shared" si="2166"/>
        <v>0</v>
      </c>
      <c r="AA2882" s="118"/>
      <c r="AB2882" s="118" t="str">
        <f t="shared" si="2167"/>
        <v/>
      </c>
      <c r="AC2882" s="712" t="str">
        <f>IF(AE2882="T2G","no charge",IF(AND(OR(PlanterYesMe="No",PlanterYesMe="N",PlanterYesMe="me"),H2882=""),"",IF(H2882="credit","NO install",IF(AND(K2882="",AE2882="me"),"EACH row",IF(AND(K2882="images",AE2882="me"),"EACH row",IF(D2882="","",IF(H2882="credit","",IF(AE2882="free","re-planting",IF(AE2882="me","   not ELP, by",IF(AND(OR(PlanterYesMe="Yes",PlanterYesMe="Y"),G2882&gt;0),(VLOOKUP(A2882,'Discount Lookup'!J:K,2)*G2882*(1-PlanterDiscount)*(1+PlanterDifficultyPercentage)),IF(AE2882="ELP",(VLOOKUP(A2882,'Discount Lookup'!J:K,2)*G2882*(1-PlanterDiscount)*(1+PlanterDifficultyPercentage)),IF(AE2882="free","re-planting",IF(G2882=0,"",IF(PlanterYesMe="",IF(AE2882="me","   not ELP, by",IF(AE2882="",IF(G2882&gt;0,(VLOOKUP(A2882,'Discount Lookup'!J:K,2)*G2882*(1-PlanterDiscount)*(1+PlanterDifficultyPercentage)),""),"")),"   not ELP, by"))))))))))))))</f>
        <v/>
      </c>
      <c r="AD2882" s="712"/>
      <c r="AE2882" s="513" t="str">
        <f t="shared" si="2168"/>
        <v/>
      </c>
      <c r="AF2882" s="713" t="str">
        <f t="shared" si="2169"/>
        <v/>
      </c>
      <c r="AG2882" s="713"/>
      <c r="AH2882" s="713"/>
      <c r="AI2882" s="112">
        <f>IF(H2882="credit",0,IF(AE2882="free",0,IF(AE2882="me",0,IF(G2882&gt;0,(VLOOKUP(A2882,'Discount Lookup'!J:K,2)*G2882),0))))</f>
        <v>0</v>
      </c>
      <c r="AJ2882" s="107" t="str">
        <f t="shared" ca="1" si="2170"/>
        <v/>
      </c>
      <c r="AK2882" s="714" t="str">
        <f t="shared" si="2171"/>
        <v/>
      </c>
      <c r="AL2882" s="714"/>
      <c r="AM2882" s="114" t="str">
        <f t="shared" si="2172"/>
        <v/>
      </c>
      <c r="AN2882" s="115"/>
      <c r="AO2882" s="116"/>
      <c r="AP2882" s="116"/>
      <c r="AQ2882" s="116"/>
      <c r="AR2882" s="116"/>
      <c r="AS2882" s="116"/>
      <c r="AT2882" s="116"/>
      <c r="AU2882" s="116"/>
      <c r="AV2882" s="78"/>
      <c r="AW2882" s="102"/>
      <c r="AX2882" s="78"/>
      <c r="AY2882" s="78"/>
      <c r="AZ2882" s="78"/>
      <c r="BA2882" s="78"/>
      <c r="BB2882" s="78"/>
      <c r="BC2882" s="78"/>
      <c r="BD2882" s="78"/>
      <c r="BE2882" s="465"/>
      <c r="BF2882" s="165" t="str">
        <f t="shared" si="2173"/>
        <v>https://www.google.com/search?tbm=isch&amp;q=5%20G4</v>
      </c>
      <c r="BG2882" s="165" t="str">
        <f t="shared" si="2174"/>
        <v>M</v>
      </c>
      <c r="BH2882" s="65"/>
      <c r="BI2882" s="65"/>
      <c r="BJ2882" s="65"/>
      <c r="BK2882" s="65"/>
      <c r="BL2882" s="99"/>
      <c r="BM2882" s="99"/>
      <c r="BN2882" s="99"/>
    </row>
    <row r="2883" spans="1:66" s="51" customFormat="1" ht="17.25" thickBot="1" x14ac:dyDescent="0.3">
      <c r="A2883" s="704" t="s">
        <v>5481</v>
      </c>
      <c r="B2883" s="642"/>
      <c r="C2883" s="710"/>
      <c r="D2883" s="643"/>
      <c r="E2883" s="643"/>
      <c r="F2883" s="644"/>
      <c r="G2883" s="645"/>
      <c r="H2883" s="646"/>
      <c r="I2883" s="647"/>
      <c r="J2883" s="648"/>
      <c r="K2883" s="649"/>
      <c r="L2883" s="650"/>
      <c r="M2883" s="650"/>
      <c r="N2883" s="644"/>
      <c r="O2883" s="644"/>
      <c r="P2883" s="644"/>
      <c r="Q2883" s="644"/>
      <c r="R2883" s="644"/>
      <c r="S2883" s="651"/>
      <c r="T2883" s="102">
        <f t="shared" si="2162"/>
        <v>0</v>
      </c>
      <c r="U2883" s="78" t="str">
        <f>IF(NOT(ISNUMBER(G2883)), "", VLOOKUP(A2883,'Discount Lookup'!D:E,2,FALSE)*G2883)</f>
        <v/>
      </c>
      <c r="V2883" s="78" t="str">
        <f>IF(NOT(ISNUMBER(G2883)), "", VLOOKUP(A2883,'Discount Lookup'!G:H,2,FALSE)*G2883)</f>
        <v/>
      </c>
      <c r="W2883" s="102">
        <f t="shared" si="2163"/>
        <v>0</v>
      </c>
      <c r="X2883" s="102">
        <f t="shared" si="2164"/>
        <v>0</v>
      </c>
      <c r="Y2883" s="120" t="b">
        <f t="shared" si="2165"/>
        <v>0</v>
      </c>
      <c r="Z2883" s="117">
        <f t="shared" si="2166"/>
        <v>0</v>
      </c>
      <c r="AA2883" s="118"/>
      <c r="AB2883" s="118" t="str">
        <f t="shared" si="2167"/>
        <v/>
      </c>
      <c r="AC2883" s="712" t="str">
        <f>IF(AE2883="T2G","no charge",IF(AND(OR(PlanterYesMe="No",PlanterYesMe="N",PlanterYesMe="me"),H2883=""),"",IF(H2883="credit","NO install",IF(AND(K2883="",AE2883="me"),"EACH row",IF(AND(K2883="images",AE2883="me"),"EACH row",IF(D2883="","",IF(H2883="credit","",IF(AE2883="free","re-planting",IF(AE2883="me","   not ELP, by",IF(AND(OR(PlanterYesMe="Yes",PlanterYesMe="Y"),G2883&gt;0),(VLOOKUP(A2883,'Discount Lookup'!J:K,2)*G2883*(1-PlanterDiscount)*(1+PlanterDifficultyPercentage)),IF(AE2883="ELP",(VLOOKUP(A2883,'Discount Lookup'!J:K,2)*G2883*(1-PlanterDiscount)*(1+PlanterDifficultyPercentage)),IF(AE2883="free","re-planting",IF(G2883=0,"",IF(PlanterYesMe="",IF(AE2883="me","   not ELP, by",IF(AE2883="",IF(G2883&gt;0,(VLOOKUP(A2883,'Discount Lookup'!J:K,2)*G2883*(1-PlanterDiscount)*(1+PlanterDifficultyPercentage)),""),"")),"   not ELP, by"))))))))))))))</f>
        <v/>
      </c>
      <c r="AD2883" s="712"/>
      <c r="AE2883" s="513" t="str">
        <f t="shared" si="2168"/>
        <v/>
      </c>
      <c r="AF2883" s="713" t="str">
        <f t="shared" si="2169"/>
        <v/>
      </c>
      <c r="AG2883" s="713"/>
      <c r="AH2883" s="713"/>
      <c r="AI2883" s="112">
        <f>IF(H2883="credit",0,IF(AE2883="free",0,IF(AE2883="me",0,IF(G2883&gt;0,(VLOOKUP(A2883,'Discount Lookup'!J:K,2)*G2883),0))))</f>
        <v>0</v>
      </c>
      <c r="AJ2883" s="107" t="str">
        <f t="shared" ca="1" si="2170"/>
        <v/>
      </c>
      <c r="AK2883" s="714" t="str">
        <f t="shared" si="2171"/>
        <v/>
      </c>
      <c r="AL2883" s="714"/>
      <c r="AM2883" s="114" t="str">
        <f t="shared" si="2172"/>
        <v/>
      </c>
      <c r="AN2883" s="115"/>
      <c r="AO2883" s="116"/>
      <c r="AP2883" s="116"/>
      <c r="AQ2883" s="116"/>
      <c r="AR2883" s="116"/>
      <c r="AS2883" s="116"/>
      <c r="AT2883" s="116"/>
      <c r="AU2883" s="116"/>
      <c r="AV2883" s="78"/>
      <c r="AW2883" s="102"/>
      <c r="AX2883" s="78"/>
      <c r="AY2883" s="78"/>
      <c r="AZ2883" s="78"/>
      <c r="BA2883" s="78"/>
      <c r="BB2883" s="78"/>
      <c r="BC2883" s="78"/>
      <c r="BD2883" s="78"/>
      <c r="BE2883" s="465"/>
      <c r="BF2883" s="165" t="str">
        <f t="shared" si="2173"/>
        <v>https://www.google.com/search?tbm=isch&amp;q=moist%20sites%F0%9F%92%A7OK%2C%20Colossus%20Oyama%20named%20for%20its%20very%20large%2C%20fragrant%2C%20downward-facing%20blooms.%20Attractive%20Yellow%20fall%20coloration%20</v>
      </c>
      <c r="BG2883" s="165" t="str">
        <f t="shared" si="2174"/>
        <v>m</v>
      </c>
      <c r="BH2883" s="65"/>
      <c r="BI2883" s="65"/>
      <c r="BJ2883" s="65"/>
      <c r="BK2883" s="65"/>
      <c r="BL2883" s="99"/>
      <c r="BM2883" s="99"/>
      <c r="BN2883" s="99"/>
    </row>
    <row r="2884" spans="1:66" s="51" customFormat="1" ht="18" x14ac:dyDescent="0.25">
      <c r="A2884" s="623" t="s">
        <v>3478</v>
      </c>
      <c r="B2884" s="624"/>
      <c r="C2884" s="709"/>
      <c r="D2884" s="625" t="s">
        <v>3479</v>
      </c>
      <c r="E2884" s="626"/>
      <c r="F2884" s="626"/>
      <c r="G2884" s="626"/>
      <c r="H2884" s="622" t="s">
        <v>327</v>
      </c>
      <c r="I2884" s="627" t="s">
        <v>349</v>
      </c>
      <c r="J2884" s="628"/>
      <c r="K2884" s="628"/>
      <c r="L2884" s="629"/>
      <c r="M2884" s="700" t="s">
        <v>5249</v>
      </c>
      <c r="N2884" s="693" t="str">
        <f>IF(AND(ISTEXT($A2884), ISERROR($A2884+0)), HYPERLINK($BF2884, "Images"), "")</f>
        <v>Images</v>
      </c>
      <c r="O2884" s="695" t="s">
        <v>5247</v>
      </c>
      <c r="P2884" s="630"/>
      <c r="Q2884" s="631"/>
      <c r="R2884" s="632"/>
      <c r="S2884" s="633"/>
      <c r="T2884" s="102">
        <f t="shared" si="2162"/>
        <v>0</v>
      </c>
      <c r="U2884" s="78" t="str">
        <f>IF(NOT(ISNUMBER(G2884)), "", VLOOKUP(A2884,'Discount Lookup'!D:E,2,FALSE)*G2884)</f>
        <v/>
      </c>
      <c r="V2884" s="78" t="str">
        <f>IF(NOT(ISNUMBER(G2884)), "", VLOOKUP(A2884,'Discount Lookup'!G:H,2,FALSE)*G2884)</f>
        <v/>
      </c>
      <c r="W2884" s="102">
        <f t="shared" si="2163"/>
        <v>0</v>
      </c>
      <c r="X2884" s="102" t="str">
        <f t="shared" si="2164"/>
        <v>White bloom</v>
      </c>
      <c r="Y2884" s="120" t="b">
        <f t="shared" si="2165"/>
        <v>0</v>
      </c>
      <c r="Z2884" s="117">
        <f t="shared" si="2166"/>
        <v>0</v>
      </c>
      <c r="AA2884" s="118"/>
      <c r="AB2884" s="118" t="str">
        <f t="shared" si="2167"/>
        <v/>
      </c>
      <c r="AC2884" s="712" t="str">
        <f>IF(AE2884="T2G","no charge",IF(AND(OR(PlanterYesMe="No",PlanterYesMe="N",PlanterYesMe="me"),H2884=""),"",IF(H2884="credit","NO install",IF(AND(K2884="",AE2884="me"),"EACH row",IF(AND(K2884="images",AE2884="me"),"EACH row",IF(D2884="","",IF(H2884="credit","",IF(AE2884="free","re-planting",IF(AE2884="me","   not ELP, by",IF(AND(OR(PlanterYesMe="Yes",PlanterYesMe="Y"),G2884&gt;0),(VLOOKUP(A2884,'Discount Lookup'!J:K,2)*G2884*(1-PlanterDiscount)*(1+PlanterDifficultyPercentage)),IF(AE2884="ELP",(VLOOKUP(A2884,'Discount Lookup'!J:K,2)*G2884*(1-PlanterDiscount)*(1+PlanterDifficultyPercentage)),IF(AE2884="free","re-planting",IF(G2884=0,"",IF(PlanterYesMe="",IF(AE2884="me","   not ELP, by",IF(AE2884="",IF(G2884&gt;0,(VLOOKUP(A2884,'Discount Lookup'!J:K,2)*G2884*(1-PlanterDiscount)*(1+PlanterDifficultyPercentage)),""),"")),"   not ELP, by"))))))))))))))</f>
        <v/>
      </c>
      <c r="AD2884" s="712"/>
      <c r="AE2884" s="513" t="str">
        <f t="shared" si="2168"/>
        <v/>
      </c>
      <c r="AF2884" s="713" t="str">
        <f t="shared" si="2169"/>
        <v/>
      </c>
      <c r="AG2884" s="713"/>
      <c r="AH2884" s="713"/>
      <c r="AI2884" s="112">
        <f>IF(H2884="credit",0,IF(AE2884="free",0,IF(AE2884="me",0,IF(G2884&gt;0,(VLOOKUP(A2884,'Discount Lookup'!J:K,2)*G2884),0))))</f>
        <v>0</v>
      </c>
      <c r="AJ2884" s="107" t="str">
        <f t="shared" ca="1" si="2170"/>
        <v/>
      </c>
      <c r="AK2884" s="714" t="str">
        <f t="shared" si="2171"/>
        <v/>
      </c>
      <c r="AL2884" s="714"/>
      <c r="AM2884" s="114" t="str">
        <f t="shared" si="2172"/>
        <v/>
      </c>
      <c r="AN2884" s="115"/>
      <c r="AO2884" s="116"/>
      <c r="AP2884" s="116"/>
      <c r="AQ2884" s="116"/>
      <c r="AR2884" s="116"/>
      <c r="AS2884" s="116"/>
      <c r="AT2884" s="116"/>
      <c r="AU2884" s="116"/>
      <c r="AV2884" s="78"/>
      <c r="AW2884" s="102"/>
      <c r="AX2884" s="78"/>
      <c r="AY2884" s="78"/>
      <c r="AZ2884" s="78"/>
      <c r="BA2884" s="78"/>
      <c r="BB2884" s="78"/>
      <c r="BC2884" s="78"/>
      <c r="BD2884" s="78"/>
      <c r="BE2884" s="465"/>
      <c r="BF2884" s="165" t="str">
        <f t="shared" si="2173"/>
        <v>https://www.google.com/search?tbm=isch&amp;q=Magnolia%20stellata%20%27Royal%20Star%27%20Royal%20Star%20Magnolia</v>
      </c>
      <c r="BG2884" s="165" t="str">
        <f t="shared" si="2174"/>
        <v>M</v>
      </c>
      <c r="BH2884" s="65"/>
      <c r="BI2884" s="65"/>
      <c r="BJ2884" s="65"/>
      <c r="BK2884" s="65"/>
      <c r="BL2884" s="99"/>
      <c r="BM2884" s="99"/>
      <c r="BN2884" s="99"/>
    </row>
    <row r="2885" spans="1:66" s="51" customFormat="1" ht="15.75" x14ac:dyDescent="0.25">
      <c r="A2885" s="634">
        <v>7</v>
      </c>
      <c r="B2885" s="635" t="s">
        <v>291</v>
      </c>
      <c r="C2885" s="636" t="s">
        <v>3480</v>
      </c>
      <c r="D2885" s="637" t="s">
        <v>299</v>
      </c>
      <c r="E2885" s="638">
        <v>95.95</v>
      </c>
      <c r="F2885" s="639" t="s">
        <v>292</v>
      </c>
      <c r="G2885" s="484">
        <v>0</v>
      </c>
      <c r="H2885" s="691" t="str">
        <f>IF(G2885=0,"",IF(F2885="Buy",IF(G2885=1,"plant","plants"),IF(F2885&gt;0.01,"warranty","Error")))</f>
        <v/>
      </c>
      <c r="I2885" s="640">
        <f>IF(H2885="free",0,IF(H2885="credit",((E2885*(F2885))*G2885*-1),IF(F2885="Buy",(E2885*G2885),((E2885*(1-F2885))*G2885))))</f>
        <v>0</v>
      </c>
      <c r="J2885" s="640">
        <f>IF(H2885="warranty",0,(I2885*(_xlfn.SINGLE(SalesTaxPercentage))))</f>
        <v>0</v>
      </c>
      <c r="K2885" s="716">
        <f t="shared" ref="K2885" si="2213">I2885+J2885</f>
        <v>0</v>
      </c>
      <c r="L2885" s="716"/>
      <c r="M2885" s="689" t="str">
        <f ca="1">IF(AND(G2885&gt;0,E2885=0),"WARNING - no PRICE inserted",IF(H2885="free","FREE ~ no charge this plant",IF(H2885="credit",CONCATENATE("-$",ROUND(K2885*(1-_xlfn.SINGLE(T2GDiscount))*-1,2)," CREDIT after discount"),IF(_xlfn.SINGLE(T2GDiscount)=0,"",IF(G2885=0,"",IF(F2885="Buy",CONCATENATE("$",ROUND(K2885*(1-_xlfn.SINGLE(T2GDiscount)),2)," with ",(_xlfn.SINGLE(T2GDiscount)*100),"% discount"),CONCATENATE("$",ROUND(K2885*(1-_xlfn.SINGLE(T2GDiscount)),2)," with ",((_xlfn.SINGLE(T2GDiscount)*100+F2885*100)-(_xlfn.SINGLE(T2GDiscount)*100*F2885)),IF(F2885&gt;0,"% discounts",IF(_xlfn.SINGLE(NoWarrantyDiscount)&gt;0,"% discounts","% discount")))))))))</f>
        <v/>
      </c>
      <c r="N2885" s="690"/>
      <c r="O2885" s="486"/>
      <c r="P2885" s="486"/>
      <c r="Q2885" s="486"/>
      <c r="R2885" s="486"/>
      <c r="S2885" s="486"/>
      <c r="T2885" s="102">
        <f t="shared" si="2162"/>
        <v>0</v>
      </c>
      <c r="U2885" s="78">
        <f>IF(NOT(ISNUMBER(G2885)), "", VLOOKUP(A2885,'Discount Lookup'!D:E,2,FALSE)*G2885)</f>
        <v>0</v>
      </c>
      <c r="V2885" s="78">
        <f>IF(NOT(ISNUMBER(G2885)), "", VLOOKUP(A2885,'Discount Lookup'!G:H,2,FALSE)*G2885)</f>
        <v>0</v>
      </c>
      <c r="W2885" s="102">
        <f t="shared" si="2163"/>
        <v>0</v>
      </c>
      <c r="X2885" s="102">
        <f t="shared" si="2164"/>
        <v>0</v>
      </c>
      <c r="Y2885" s="120" t="b">
        <f t="shared" si="2165"/>
        <v>0</v>
      </c>
      <c r="Z2885" s="117">
        <f t="shared" si="2166"/>
        <v>0</v>
      </c>
      <c r="AA2885" s="118"/>
      <c r="AB2885" s="118" t="str">
        <f t="shared" si="2167"/>
        <v/>
      </c>
      <c r="AC2885" s="712" t="str">
        <f>IF(AE2885="T2G","no charge",IF(AND(OR(PlanterYesMe="No",PlanterYesMe="N",PlanterYesMe="me"),H2885=""),"",IF(H2885="credit","NO install",IF(AND(K2885="",AE2885="me"),"EACH row",IF(AND(K2885="images",AE2885="me"),"EACH row",IF(D2885="","",IF(H2885="credit","",IF(AE2885="free","re-planting",IF(AE2885="me","   not ELP, by",IF(AND(OR(PlanterYesMe="Yes",PlanterYesMe="Y"),G2885&gt;0),(VLOOKUP(A2885,'Discount Lookup'!J:K,2)*G2885*(1-PlanterDiscount)*(1+PlanterDifficultyPercentage)),IF(AE2885="ELP",(VLOOKUP(A2885,'Discount Lookup'!J:K,2)*G2885*(1-PlanterDiscount)*(1+PlanterDifficultyPercentage)),IF(AE2885="free","re-planting",IF(G2885=0,"",IF(PlanterYesMe="",IF(AE2885="me","   not ELP, by",IF(AE2885="",IF(G2885&gt;0,(VLOOKUP(A2885,'Discount Lookup'!J:K,2)*G2885*(1-PlanterDiscount)*(1+PlanterDifficultyPercentage)),""),"")),"   not ELP, by"))))))))))))))</f>
        <v/>
      </c>
      <c r="AD2885" s="712"/>
      <c r="AE2885" s="513" t="str">
        <f t="shared" si="2168"/>
        <v/>
      </c>
      <c r="AF2885" s="713" t="str">
        <f t="shared" si="2169"/>
        <v/>
      </c>
      <c r="AG2885" s="713"/>
      <c r="AH2885" s="713"/>
      <c r="AI2885" s="112">
        <f>IF(H2885="credit",0,IF(AE2885="free",0,IF(AE2885="me",0,IF(G2885&gt;0,(VLOOKUP(A2885,'Discount Lookup'!J:K,2)*G2885),0))))</f>
        <v>0</v>
      </c>
      <c r="AJ2885" s="107" t="str">
        <f t="shared" ca="1" si="2170"/>
        <v/>
      </c>
      <c r="AK2885" s="714" t="str">
        <f t="shared" si="2171"/>
        <v/>
      </c>
      <c r="AL2885" s="714"/>
      <c r="AM2885" s="114" t="str">
        <f t="shared" si="2172"/>
        <v/>
      </c>
      <c r="AN2885" s="115"/>
      <c r="AO2885" s="116"/>
      <c r="AP2885" s="116"/>
      <c r="AQ2885" s="116"/>
      <c r="AR2885" s="116"/>
      <c r="AS2885" s="116"/>
      <c r="AT2885" s="116"/>
      <c r="AU2885" s="116"/>
      <c r="AV2885" s="78"/>
      <c r="AW2885" s="102"/>
      <c r="AX2885" s="78"/>
      <c r="AY2885" s="78"/>
      <c r="AZ2885" s="78"/>
      <c r="BA2885" s="78"/>
      <c r="BB2885" s="78"/>
      <c r="BC2885" s="78"/>
      <c r="BD2885" s="78"/>
      <c r="BE2885" s="465"/>
      <c r="BF2885" s="165" t="str">
        <f t="shared" si="2173"/>
        <v>https://www.google.com/search?tbm=isch&amp;q=7%20G4</v>
      </c>
      <c r="BG2885" s="165" t="str">
        <f t="shared" si="2174"/>
        <v>M</v>
      </c>
      <c r="BH2885" s="65"/>
      <c r="BI2885" s="65"/>
      <c r="BJ2885" s="65"/>
      <c r="BK2885" s="65"/>
      <c r="BL2885" s="99"/>
      <c r="BM2885" s="99"/>
      <c r="BN2885" s="99"/>
    </row>
    <row r="2886" spans="1:66" s="51" customFormat="1" ht="27" x14ac:dyDescent="0.25">
      <c r="A2886" s="634">
        <v>7</v>
      </c>
      <c r="B2886" s="635" t="s">
        <v>291</v>
      </c>
      <c r="C2886" s="636" t="s">
        <v>3481</v>
      </c>
      <c r="D2886" s="637" t="s">
        <v>299</v>
      </c>
      <c r="E2886" s="638">
        <v>146.94999999999999</v>
      </c>
      <c r="F2886" s="639" t="s">
        <v>292</v>
      </c>
      <c r="G2886" s="484">
        <v>0</v>
      </c>
      <c r="H2886" s="691" t="str">
        <f>IF(G2886=0,"",IF(F2886="Buy",IF(G2886=1,"plant","plants"),IF(F2886&gt;0.01,"warranty","Error")))</f>
        <v/>
      </c>
      <c r="I2886" s="640">
        <f>IF(H2886="free",0,IF(H2886="credit",((E2886*(F2886))*G2886*-1),IF(F2886="Buy",(E2886*G2886),((E2886*(1-F2886))*G2886))))</f>
        <v>0</v>
      </c>
      <c r="J2886" s="640">
        <f>IF(H2886="warranty",0,(I2886*(_xlfn.SINGLE(SalesTaxPercentage))))</f>
        <v>0</v>
      </c>
      <c r="K2886" s="716">
        <f t="shared" ref="K2886" si="2214">I2886+J2886</f>
        <v>0</v>
      </c>
      <c r="L2886" s="716"/>
      <c r="M2886" s="689" t="str">
        <f ca="1">IF(AND(G2886&gt;0,E2886=0),"WARNING - no PRICE inserted",IF(H2886="free","FREE ~ no charge this plant",IF(H2886="credit",CONCATENATE("-$",ROUND(K2886*(1-_xlfn.SINGLE(T2GDiscount))*-1,2)," CREDIT after discount"),IF(_xlfn.SINGLE(T2GDiscount)=0,"",IF(G2886=0,"",IF(F2886="Buy",CONCATENATE("$",ROUND(K2886*(1-_xlfn.SINGLE(T2GDiscount)),2)," with ",(_xlfn.SINGLE(T2GDiscount)*100),"% discount"),CONCATENATE("$",ROUND(K2886*(1-_xlfn.SINGLE(T2GDiscount)),2)," with ",((_xlfn.SINGLE(T2GDiscount)*100+F2886*100)-(_xlfn.SINGLE(T2GDiscount)*100*F2886)),IF(F2886&gt;0,"% discounts",IF(_xlfn.SINGLE(NoWarrantyDiscount)&gt;0,"% discounts","% discount")))))))))</f>
        <v/>
      </c>
      <c r="N2886" s="690"/>
      <c r="O2886" s="486"/>
      <c r="P2886" s="486"/>
      <c r="Q2886" s="486"/>
      <c r="R2886" s="486"/>
      <c r="S2886" s="486"/>
      <c r="T2886" s="102">
        <f t="shared" si="2162"/>
        <v>0</v>
      </c>
      <c r="U2886" s="78">
        <f>IF(NOT(ISNUMBER(G2886)), "", VLOOKUP(A2886,'Discount Lookup'!D:E,2,FALSE)*G2886)</f>
        <v>0</v>
      </c>
      <c r="V2886" s="78">
        <f>IF(NOT(ISNUMBER(G2886)), "", VLOOKUP(A2886,'Discount Lookup'!G:H,2,FALSE)*G2886)</f>
        <v>0</v>
      </c>
      <c r="W2886" s="102">
        <f t="shared" si="2163"/>
        <v>0</v>
      </c>
      <c r="X2886" s="102">
        <f t="shared" si="2164"/>
        <v>0</v>
      </c>
      <c r="Y2886" s="120" t="b">
        <f t="shared" si="2165"/>
        <v>0</v>
      </c>
      <c r="Z2886" s="117">
        <f t="shared" si="2166"/>
        <v>0</v>
      </c>
      <c r="AA2886" s="118"/>
      <c r="AB2886" s="118" t="str">
        <f t="shared" si="2167"/>
        <v/>
      </c>
      <c r="AC2886" s="712" t="str">
        <f>IF(AE2886="T2G","no charge",IF(AND(OR(PlanterYesMe="No",PlanterYesMe="N",PlanterYesMe="me"),H2886=""),"",IF(H2886="credit","NO install",IF(AND(K2886="",AE2886="me"),"EACH row",IF(AND(K2886="images",AE2886="me"),"EACH row",IF(D2886="","",IF(H2886="credit","",IF(AE2886="free","re-planting",IF(AE2886="me","   not ELP, by",IF(AND(OR(PlanterYesMe="Yes",PlanterYesMe="Y"),G2886&gt;0),(VLOOKUP(A2886,'Discount Lookup'!J:K,2)*G2886*(1-PlanterDiscount)*(1+PlanterDifficultyPercentage)),IF(AE2886="ELP",(VLOOKUP(A2886,'Discount Lookup'!J:K,2)*G2886*(1-PlanterDiscount)*(1+PlanterDifficultyPercentage)),IF(AE2886="free","re-planting",IF(G2886=0,"",IF(PlanterYesMe="",IF(AE2886="me","   not ELP, by",IF(AE2886="",IF(G2886&gt;0,(VLOOKUP(A2886,'Discount Lookup'!J:K,2)*G2886*(1-PlanterDiscount)*(1+PlanterDifficultyPercentage)),""),"")),"   not ELP, by"))))))))))))))</f>
        <v/>
      </c>
      <c r="AD2886" s="712"/>
      <c r="AE2886" s="513" t="str">
        <f t="shared" si="2168"/>
        <v/>
      </c>
      <c r="AF2886" s="713" t="str">
        <f t="shared" si="2169"/>
        <v/>
      </c>
      <c r="AG2886" s="713"/>
      <c r="AH2886" s="713"/>
      <c r="AI2886" s="112">
        <f>IF(H2886="credit",0,IF(AE2886="free",0,IF(AE2886="me",0,IF(G2886&gt;0,(VLOOKUP(A2886,'Discount Lookup'!J:K,2)*G2886),0))))</f>
        <v>0</v>
      </c>
      <c r="AJ2886" s="107" t="str">
        <f t="shared" ca="1" si="2170"/>
        <v/>
      </c>
      <c r="AK2886" s="714" t="str">
        <f t="shared" si="2171"/>
        <v/>
      </c>
      <c r="AL2886" s="714"/>
      <c r="AM2886" s="114" t="str">
        <f t="shared" si="2172"/>
        <v/>
      </c>
      <c r="AN2886" s="115"/>
      <c r="AO2886" s="116"/>
      <c r="AP2886" s="116"/>
      <c r="AQ2886" s="116"/>
      <c r="AR2886" s="116"/>
      <c r="AS2886" s="116"/>
      <c r="AT2886" s="116"/>
      <c r="AU2886" s="116"/>
      <c r="AV2886" s="78"/>
      <c r="AW2886" s="102"/>
      <c r="AX2886" s="78"/>
      <c r="AY2886" s="78"/>
      <c r="AZ2886" s="78"/>
      <c r="BA2886" s="78"/>
      <c r="BB2886" s="78"/>
      <c r="BC2886" s="78"/>
      <c r="BD2886" s="78"/>
      <c r="BE2886" s="465"/>
      <c r="BF2886" s="165" t="str">
        <f t="shared" si="2173"/>
        <v>https://www.google.com/search?tbm=isch&amp;q=7%20G4</v>
      </c>
      <c r="BG2886" s="165" t="str">
        <f t="shared" si="2174"/>
        <v>M</v>
      </c>
      <c r="BH2886" s="65"/>
      <c r="BI2886" s="65"/>
      <c r="BJ2886" s="65"/>
      <c r="BK2886" s="65"/>
      <c r="BL2886" s="99"/>
      <c r="BM2886" s="99"/>
      <c r="BN2886" s="99"/>
    </row>
    <row r="2887" spans="1:66" s="51" customFormat="1" ht="17.25" thickBot="1" x14ac:dyDescent="0.3">
      <c r="A2887" s="641" t="s">
        <v>3482</v>
      </c>
      <c r="B2887" s="642"/>
      <c r="C2887" s="710"/>
      <c r="D2887" s="643"/>
      <c r="E2887" s="643"/>
      <c r="F2887" s="644"/>
      <c r="G2887" s="645"/>
      <c r="H2887" s="646"/>
      <c r="I2887" s="647"/>
      <c r="J2887" s="648"/>
      <c r="K2887" s="649"/>
      <c r="L2887" s="650"/>
      <c r="M2887" s="650"/>
      <c r="N2887" s="644"/>
      <c r="O2887" s="644"/>
      <c r="P2887" s="644"/>
      <c r="Q2887" s="644"/>
      <c r="R2887" s="644"/>
      <c r="S2887" s="651"/>
      <c r="T2887" s="102">
        <f t="shared" si="2162"/>
        <v>0</v>
      </c>
      <c r="U2887" s="78" t="str">
        <f>IF(NOT(ISNUMBER(G2887)), "", VLOOKUP(A2887,'Discount Lookup'!D:E,2,FALSE)*G2887)</f>
        <v/>
      </c>
      <c r="V2887" s="78" t="str">
        <f>IF(NOT(ISNUMBER(G2887)), "", VLOOKUP(A2887,'Discount Lookup'!G:H,2,FALSE)*G2887)</f>
        <v/>
      </c>
      <c r="W2887" s="102">
        <f t="shared" si="2163"/>
        <v>0</v>
      </c>
      <c r="X2887" s="102">
        <f t="shared" si="2164"/>
        <v>0</v>
      </c>
      <c r="Y2887" s="120" t="b">
        <f t="shared" si="2165"/>
        <v>0</v>
      </c>
      <c r="Z2887" s="117">
        <f t="shared" si="2166"/>
        <v>0</v>
      </c>
      <c r="AA2887" s="118"/>
      <c r="AB2887" s="118" t="str">
        <f t="shared" si="2167"/>
        <v/>
      </c>
      <c r="AC2887" s="712" t="str">
        <f>IF(AE2887="T2G","no charge",IF(AND(OR(PlanterYesMe="No",PlanterYesMe="N",PlanterYesMe="me"),H2887=""),"",IF(H2887="credit","NO install",IF(AND(K2887="",AE2887="me"),"EACH row",IF(AND(K2887="images",AE2887="me"),"EACH row",IF(D2887="","",IF(H2887="credit","",IF(AE2887="free","re-planting",IF(AE2887="me","   not ELP, by",IF(AND(OR(PlanterYesMe="Yes",PlanterYesMe="Y"),G2887&gt;0),(VLOOKUP(A2887,'Discount Lookup'!J:K,2)*G2887*(1-PlanterDiscount)*(1+PlanterDifficultyPercentage)),IF(AE2887="ELP",(VLOOKUP(A2887,'Discount Lookup'!J:K,2)*G2887*(1-PlanterDiscount)*(1+PlanterDifficultyPercentage)),IF(AE2887="free","re-planting",IF(G2887=0,"",IF(PlanterYesMe="",IF(AE2887="me","   not ELP, by",IF(AE2887="",IF(G2887&gt;0,(VLOOKUP(A2887,'Discount Lookup'!J:K,2)*G2887*(1-PlanterDiscount)*(1+PlanterDifficultyPercentage)),""),"")),"   not ELP, by"))))))))))))))</f>
        <v/>
      </c>
      <c r="AD2887" s="712"/>
      <c r="AE2887" s="513" t="str">
        <f t="shared" si="2168"/>
        <v/>
      </c>
      <c r="AF2887" s="713" t="str">
        <f t="shared" si="2169"/>
        <v/>
      </c>
      <c r="AG2887" s="713"/>
      <c r="AH2887" s="713"/>
      <c r="AI2887" s="112">
        <f>IF(H2887="credit",0,IF(AE2887="free",0,IF(AE2887="me",0,IF(G2887&gt;0,(VLOOKUP(A2887,'Discount Lookup'!J:K,2)*G2887),0))))</f>
        <v>0</v>
      </c>
      <c r="AJ2887" s="107" t="str">
        <f t="shared" ca="1" si="2170"/>
        <v/>
      </c>
      <c r="AK2887" s="714" t="str">
        <f t="shared" si="2171"/>
        <v/>
      </c>
      <c r="AL2887" s="714"/>
      <c r="AM2887" s="114" t="str">
        <f t="shared" si="2172"/>
        <v/>
      </c>
      <c r="AN2887" s="115"/>
      <c r="AO2887" s="116"/>
      <c r="AP2887" s="116"/>
      <c r="AQ2887" s="116"/>
      <c r="AR2887" s="116"/>
      <c r="AS2887" s="116"/>
      <c r="AT2887" s="116"/>
      <c r="AU2887" s="116"/>
      <c r="AV2887" s="78"/>
      <c r="AW2887" s="102"/>
      <c r="AX2887" s="78"/>
      <c r="AY2887" s="78"/>
      <c r="AZ2887" s="78"/>
      <c r="BA2887" s="78"/>
      <c r="BB2887" s="78"/>
      <c r="BC2887" s="78"/>
      <c r="BD2887" s="78"/>
      <c r="BE2887" s="465"/>
      <c r="BF2887" s="165" t="str">
        <f t="shared" si="2173"/>
        <v>https://www.google.com/search?tbm=isch&amp;q=Royal%20Star%20has%20slightly%20larger%20and%20showier%20flowers%20than%20Star%20Magnolia.%20Fragrant%20blooms%202%20weeks%20later%2C%20to%20avoid%20frost%20</v>
      </c>
      <c r="BG2887" s="165" t="str">
        <f t="shared" si="2174"/>
        <v>R</v>
      </c>
      <c r="BH2887" s="65"/>
      <c r="BI2887" s="65"/>
      <c r="BJ2887" s="65"/>
      <c r="BK2887" s="65"/>
      <c r="BL2887" s="99"/>
      <c r="BM2887" s="99"/>
      <c r="BN2887" s="99"/>
    </row>
    <row r="2888" spans="1:66" s="51" customFormat="1" ht="18" x14ac:dyDescent="0.25">
      <c r="A2888" s="623" t="s">
        <v>3483</v>
      </c>
      <c r="B2888" s="624"/>
      <c r="C2888" s="709"/>
      <c r="D2888" s="625" t="s">
        <v>3484</v>
      </c>
      <c r="E2888" s="626"/>
      <c r="F2888" s="626"/>
      <c r="G2888" s="626"/>
      <c r="H2888" s="622" t="s">
        <v>307</v>
      </c>
      <c r="I2888" s="627" t="s">
        <v>3485</v>
      </c>
      <c r="J2888" s="628"/>
      <c r="K2888" s="628"/>
      <c r="L2888" s="629"/>
      <c r="M2888" s="700" t="s">
        <v>5249</v>
      </c>
      <c r="N2888" s="693" t="str">
        <f>IF(AND(ISTEXT($A2888), ISERROR($A2888+0)), HYPERLINK($BF2888, "Images"), "")</f>
        <v>Images</v>
      </c>
      <c r="O2888" s="695" t="s">
        <v>5247</v>
      </c>
      <c r="P2888" s="630"/>
      <c r="Q2888" s="631"/>
      <c r="R2888" s="632"/>
      <c r="S2888" s="633"/>
      <c r="T2888" s="102">
        <f t="shared" si="2162"/>
        <v>0</v>
      </c>
      <c r="U2888" s="78" t="str">
        <f>IF(NOT(ISNUMBER(G2888)), "", VLOOKUP(A2888,'Discount Lookup'!D:E,2,FALSE)*G2888)</f>
        <v/>
      </c>
      <c r="V2888" s="78" t="str">
        <f>IF(NOT(ISNUMBER(G2888)), "", VLOOKUP(A2888,'Discount Lookup'!G:H,2,FALSE)*G2888)</f>
        <v/>
      </c>
      <c r="W2888" s="102">
        <f t="shared" si="2163"/>
        <v>0</v>
      </c>
      <c r="X2888" s="102" t="str">
        <f t="shared" si="2164"/>
        <v>Yellow, Rosey at base</v>
      </c>
      <c r="Y2888" s="120" t="b">
        <f t="shared" si="2165"/>
        <v>0</v>
      </c>
      <c r="Z2888" s="117">
        <f t="shared" si="2166"/>
        <v>0</v>
      </c>
      <c r="AA2888" s="118"/>
      <c r="AB2888" s="118" t="str">
        <f t="shared" si="2167"/>
        <v/>
      </c>
      <c r="AC2888" s="712" t="str">
        <f>IF(AE2888="T2G","no charge",IF(AND(OR(PlanterYesMe="No",PlanterYesMe="N",PlanterYesMe="me"),H2888=""),"",IF(H2888="credit","NO install",IF(AND(K2888="",AE2888="me"),"EACH row",IF(AND(K2888="images",AE2888="me"),"EACH row",IF(D2888="","",IF(H2888="credit","",IF(AE2888="free","re-planting",IF(AE2888="me","   not ELP, by",IF(AND(OR(PlanterYesMe="Yes",PlanterYesMe="Y"),G2888&gt;0),(VLOOKUP(A2888,'Discount Lookup'!J:K,2)*G2888*(1-PlanterDiscount)*(1+PlanterDifficultyPercentage)),IF(AE2888="ELP",(VLOOKUP(A2888,'Discount Lookup'!J:K,2)*G2888*(1-PlanterDiscount)*(1+PlanterDifficultyPercentage)),IF(AE2888="free","re-planting",IF(G2888=0,"",IF(PlanterYesMe="",IF(AE2888="me","   not ELP, by",IF(AE2888="",IF(G2888&gt;0,(VLOOKUP(A2888,'Discount Lookup'!J:K,2)*G2888*(1-PlanterDiscount)*(1+PlanterDifficultyPercentage)),""),"")),"   not ELP, by"))))))))))))))</f>
        <v/>
      </c>
      <c r="AD2888" s="712"/>
      <c r="AE2888" s="513" t="str">
        <f t="shared" si="2168"/>
        <v/>
      </c>
      <c r="AF2888" s="713" t="str">
        <f t="shared" si="2169"/>
        <v/>
      </c>
      <c r="AG2888" s="713"/>
      <c r="AH2888" s="713"/>
      <c r="AI2888" s="112">
        <f>IF(H2888="credit",0,IF(AE2888="free",0,IF(AE2888="me",0,IF(G2888&gt;0,(VLOOKUP(A2888,'Discount Lookup'!J:K,2)*G2888),0))))</f>
        <v>0</v>
      </c>
      <c r="AJ2888" s="107" t="str">
        <f t="shared" ca="1" si="2170"/>
        <v/>
      </c>
      <c r="AK2888" s="714" t="str">
        <f t="shared" si="2171"/>
        <v/>
      </c>
      <c r="AL2888" s="714"/>
      <c r="AM2888" s="114" t="str">
        <f t="shared" si="2172"/>
        <v/>
      </c>
      <c r="AN2888" s="115"/>
      <c r="AO2888" s="116"/>
      <c r="AP2888" s="116"/>
      <c r="AQ2888" s="116"/>
      <c r="AR2888" s="116"/>
      <c r="AS2888" s="116"/>
      <c r="AT2888" s="116"/>
      <c r="AU2888" s="116"/>
      <c r="AV2888" s="78"/>
      <c r="AW2888" s="102"/>
      <c r="AX2888" s="78"/>
      <c r="AY2888" s="78"/>
      <c r="AZ2888" s="78"/>
      <c r="BA2888" s="78"/>
      <c r="BB2888" s="78"/>
      <c r="BC2888" s="78"/>
      <c r="BD2888" s="78"/>
      <c r="BE2888" s="465"/>
      <c r="BF2888" s="165" t="str">
        <f t="shared" si="2173"/>
        <v>https://www.google.com/search?tbm=isch&amp;q=Magnolia%20%27Sunsation%27%20Sunsation%20Magnolia</v>
      </c>
      <c r="BG2888" s="165" t="str">
        <f t="shared" si="2174"/>
        <v>M</v>
      </c>
      <c r="BH2888" s="65"/>
      <c r="BI2888" s="65"/>
      <c r="BJ2888" s="65"/>
      <c r="BK2888" s="65"/>
      <c r="BL2888" s="99"/>
      <c r="BM2888" s="99"/>
      <c r="BN2888" s="99"/>
    </row>
    <row r="2889" spans="1:66" s="51" customFormat="1" ht="15.75" x14ac:dyDescent="0.25">
      <c r="A2889" s="634">
        <v>7</v>
      </c>
      <c r="B2889" s="635" t="s">
        <v>291</v>
      </c>
      <c r="C2889" s="636" t="s">
        <v>974</v>
      </c>
      <c r="D2889" s="637" t="s">
        <v>299</v>
      </c>
      <c r="E2889" s="638">
        <v>111.95</v>
      </c>
      <c r="F2889" s="639" t="s">
        <v>292</v>
      </c>
      <c r="G2889" s="484">
        <v>0</v>
      </c>
      <c r="H2889" s="691" t="str">
        <f>IF(G2889=0,"",IF(F2889="Buy",IF(G2889=1,"plant","plants"),IF(F2889&gt;0.01,"warranty","Error")))</f>
        <v/>
      </c>
      <c r="I2889" s="640">
        <f>IF(H2889="free",0,IF(H2889="credit",((E2889*(F2889))*G2889*-1),IF(F2889="Buy",(E2889*G2889),((E2889*(1-F2889))*G2889))))</f>
        <v>0</v>
      </c>
      <c r="J2889" s="640">
        <f>IF(H2889="warranty",0,(I2889*(_xlfn.SINGLE(SalesTaxPercentage))))</f>
        <v>0</v>
      </c>
      <c r="K2889" s="716">
        <f t="shared" ref="K2889" si="2215">I2889+J2889</f>
        <v>0</v>
      </c>
      <c r="L2889" s="716"/>
      <c r="M2889" s="689" t="str">
        <f ca="1">IF(AND(G2889&gt;0,E2889=0),"WARNING - no PRICE inserted",IF(H2889="free","FREE ~ no charge this plant",IF(H2889="credit",CONCATENATE("-$",ROUND(K2889*(1-_xlfn.SINGLE(T2GDiscount))*-1,2)," CREDIT after discount"),IF(_xlfn.SINGLE(T2GDiscount)=0,"",IF(G2889=0,"",IF(F2889="Buy",CONCATENATE("$",ROUND(K2889*(1-_xlfn.SINGLE(T2GDiscount)),2)," with ",(_xlfn.SINGLE(T2GDiscount)*100),"% discount"),CONCATENATE("$",ROUND(K2889*(1-_xlfn.SINGLE(T2GDiscount)),2)," with ",((_xlfn.SINGLE(T2GDiscount)*100+F2889*100)-(_xlfn.SINGLE(T2GDiscount)*100*F2889)),IF(F2889&gt;0,"% discounts",IF(_xlfn.SINGLE(NoWarrantyDiscount)&gt;0,"% discounts","% discount")))))))))</f>
        <v/>
      </c>
      <c r="N2889" s="690"/>
      <c r="O2889" s="486"/>
      <c r="P2889" s="486"/>
      <c r="Q2889" s="486"/>
      <c r="R2889" s="486"/>
      <c r="S2889" s="486"/>
      <c r="T2889" s="102">
        <f t="shared" si="2162"/>
        <v>0</v>
      </c>
      <c r="U2889" s="78">
        <f>IF(NOT(ISNUMBER(G2889)), "", VLOOKUP(A2889,'Discount Lookup'!D:E,2,FALSE)*G2889)</f>
        <v>0</v>
      </c>
      <c r="V2889" s="78">
        <f>IF(NOT(ISNUMBER(G2889)), "", VLOOKUP(A2889,'Discount Lookup'!G:H,2,FALSE)*G2889)</f>
        <v>0</v>
      </c>
      <c r="W2889" s="102">
        <f t="shared" si="2163"/>
        <v>0</v>
      </c>
      <c r="X2889" s="102">
        <f t="shared" si="2164"/>
        <v>0</v>
      </c>
      <c r="Y2889" s="120" t="b">
        <f t="shared" si="2165"/>
        <v>0</v>
      </c>
      <c r="Z2889" s="117">
        <f t="shared" si="2166"/>
        <v>0</v>
      </c>
      <c r="AA2889" s="118"/>
      <c r="AB2889" s="118" t="str">
        <f t="shared" si="2167"/>
        <v/>
      </c>
      <c r="AC2889" s="712" t="str">
        <f>IF(AE2889="T2G","no charge",IF(AND(OR(PlanterYesMe="No",PlanterYesMe="N",PlanterYesMe="me"),H2889=""),"",IF(H2889="credit","NO install",IF(AND(K2889="",AE2889="me"),"EACH row",IF(AND(K2889="images",AE2889="me"),"EACH row",IF(D2889="","",IF(H2889="credit","",IF(AE2889="free","re-planting",IF(AE2889="me","   not ELP, by",IF(AND(OR(PlanterYesMe="Yes",PlanterYesMe="Y"),G2889&gt;0),(VLOOKUP(A2889,'Discount Lookup'!J:K,2)*G2889*(1-PlanterDiscount)*(1+PlanterDifficultyPercentage)),IF(AE2889="ELP",(VLOOKUP(A2889,'Discount Lookup'!J:K,2)*G2889*(1-PlanterDiscount)*(1+PlanterDifficultyPercentage)),IF(AE2889="free","re-planting",IF(G2889=0,"",IF(PlanterYesMe="",IF(AE2889="me","   not ELP, by",IF(AE2889="",IF(G2889&gt;0,(VLOOKUP(A2889,'Discount Lookup'!J:K,2)*G2889*(1-PlanterDiscount)*(1+PlanterDifficultyPercentage)),""),"")),"   not ELP, by"))))))))))))))</f>
        <v/>
      </c>
      <c r="AD2889" s="712"/>
      <c r="AE2889" s="513" t="str">
        <f t="shared" si="2168"/>
        <v/>
      </c>
      <c r="AF2889" s="713" t="str">
        <f t="shared" si="2169"/>
        <v/>
      </c>
      <c r="AG2889" s="713"/>
      <c r="AH2889" s="713"/>
      <c r="AI2889" s="112">
        <f>IF(H2889="credit",0,IF(AE2889="free",0,IF(AE2889="me",0,IF(G2889&gt;0,(VLOOKUP(A2889,'Discount Lookup'!J:K,2)*G2889),0))))</f>
        <v>0</v>
      </c>
      <c r="AJ2889" s="107" t="str">
        <f t="shared" ca="1" si="2170"/>
        <v/>
      </c>
      <c r="AK2889" s="714" t="str">
        <f t="shared" si="2171"/>
        <v/>
      </c>
      <c r="AL2889" s="714"/>
      <c r="AM2889" s="114" t="str">
        <f t="shared" si="2172"/>
        <v/>
      </c>
      <c r="AN2889" s="115"/>
      <c r="AO2889" s="116"/>
      <c r="AP2889" s="116"/>
      <c r="AQ2889" s="116"/>
      <c r="AR2889" s="116"/>
      <c r="AS2889" s="116"/>
      <c r="AT2889" s="116"/>
      <c r="AU2889" s="116"/>
      <c r="AV2889" s="78"/>
      <c r="AW2889" s="102"/>
      <c r="AX2889" s="78"/>
      <c r="AY2889" s="78"/>
      <c r="AZ2889" s="78"/>
      <c r="BA2889" s="78"/>
      <c r="BB2889" s="78"/>
      <c r="BC2889" s="78"/>
      <c r="BD2889" s="78"/>
      <c r="BE2889" s="465"/>
      <c r="BF2889" s="165" t="str">
        <f t="shared" si="2173"/>
        <v>https://www.google.com/search?tbm=isch&amp;q=7%20G4</v>
      </c>
      <c r="BG2889" s="165" t="str">
        <f t="shared" si="2174"/>
        <v>M</v>
      </c>
      <c r="BH2889" s="65"/>
      <c r="BI2889" s="65"/>
      <c r="BJ2889" s="65"/>
      <c r="BK2889" s="65"/>
      <c r="BL2889" s="99"/>
      <c r="BM2889" s="99"/>
      <c r="BN2889" s="99"/>
    </row>
    <row r="2890" spans="1:66" s="51" customFormat="1" ht="15.75" x14ac:dyDescent="0.25">
      <c r="A2890" s="634">
        <v>10</v>
      </c>
      <c r="B2890" s="635" t="s">
        <v>291</v>
      </c>
      <c r="C2890" s="636" t="s">
        <v>3486</v>
      </c>
      <c r="D2890" s="637" t="s">
        <v>299</v>
      </c>
      <c r="E2890" s="638">
        <v>155.94999999999999</v>
      </c>
      <c r="F2890" s="639" t="s">
        <v>292</v>
      </c>
      <c r="G2890" s="484">
        <v>0</v>
      </c>
      <c r="H2890" s="691" t="str">
        <f>IF(G2890=0,"",IF(F2890="Buy",IF(G2890=1,"plant","plants"),IF(F2890&gt;0.01,"warranty","Error")))</f>
        <v/>
      </c>
      <c r="I2890" s="640">
        <f>IF(H2890="free",0,IF(H2890="credit",((E2890*(F2890))*G2890*-1),IF(F2890="Buy",(E2890*G2890),((E2890*(1-F2890))*G2890))))</f>
        <v>0</v>
      </c>
      <c r="J2890" s="640">
        <f>IF(H2890="warranty",0,(I2890*(_xlfn.SINGLE(SalesTaxPercentage))))</f>
        <v>0</v>
      </c>
      <c r="K2890" s="716">
        <f t="shared" ref="K2890" si="2216">I2890+J2890</f>
        <v>0</v>
      </c>
      <c r="L2890" s="716"/>
      <c r="M2890" s="689" t="str">
        <f ca="1">IF(AND(G2890&gt;0,E2890=0),"WARNING - no PRICE inserted",IF(H2890="free","FREE ~ no charge this plant",IF(H2890="credit",CONCATENATE("-$",ROUND(K2890*(1-_xlfn.SINGLE(T2GDiscount))*-1,2)," CREDIT after discount"),IF(_xlfn.SINGLE(T2GDiscount)=0,"",IF(G2890=0,"",IF(F2890="Buy",CONCATENATE("$",ROUND(K2890*(1-_xlfn.SINGLE(T2GDiscount)),2)," with ",(_xlfn.SINGLE(T2GDiscount)*100),"% discount"),CONCATENATE("$",ROUND(K2890*(1-_xlfn.SINGLE(T2GDiscount)),2)," with ",((_xlfn.SINGLE(T2GDiscount)*100+F2890*100)-(_xlfn.SINGLE(T2GDiscount)*100*F2890)),IF(F2890&gt;0,"% discounts",IF(_xlfn.SINGLE(NoWarrantyDiscount)&gt;0,"% discounts","% discount")))))))))</f>
        <v/>
      </c>
      <c r="N2890" s="690"/>
      <c r="O2890" s="486"/>
      <c r="P2890" s="486"/>
      <c r="Q2890" s="486"/>
      <c r="R2890" s="486"/>
      <c r="S2890" s="486"/>
      <c r="T2890" s="102">
        <f t="shared" si="2162"/>
        <v>0</v>
      </c>
      <c r="U2890" s="78">
        <f>IF(NOT(ISNUMBER(G2890)), "", VLOOKUP(A2890,'Discount Lookup'!D:E,2,FALSE)*G2890)</f>
        <v>0</v>
      </c>
      <c r="V2890" s="78">
        <f>IF(NOT(ISNUMBER(G2890)), "", VLOOKUP(A2890,'Discount Lookup'!G:H,2,FALSE)*G2890)</f>
        <v>0</v>
      </c>
      <c r="W2890" s="102">
        <f t="shared" si="2163"/>
        <v>0</v>
      </c>
      <c r="X2890" s="102">
        <f t="shared" si="2164"/>
        <v>0</v>
      </c>
      <c r="Y2890" s="120" t="b">
        <f t="shared" si="2165"/>
        <v>0</v>
      </c>
      <c r="Z2890" s="117">
        <f t="shared" si="2166"/>
        <v>0</v>
      </c>
      <c r="AA2890" s="118"/>
      <c r="AB2890" s="118" t="str">
        <f t="shared" si="2167"/>
        <v/>
      </c>
      <c r="AC2890" s="712" t="str">
        <f>IF(AE2890="T2G","no charge",IF(AND(OR(PlanterYesMe="No",PlanterYesMe="N",PlanterYesMe="me"),H2890=""),"",IF(H2890="credit","NO install",IF(AND(K2890="",AE2890="me"),"EACH row",IF(AND(K2890="images",AE2890="me"),"EACH row",IF(D2890="","",IF(H2890="credit","",IF(AE2890="free","re-planting",IF(AE2890="me","   not ELP, by",IF(AND(OR(PlanterYesMe="Yes",PlanterYesMe="Y"),G2890&gt;0),(VLOOKUP(A2890,'Discount Lookup'!J:K,2)*G2890*(1-PlanterDiscount)*(1+PlanterDifficultyPercentage)),IF(AE2890="ELP",(VLOOKUP(A2890,'Discount Lookup'!J:K,2)*G2890*(1-PlanterDiscount)*(1+PlanterDifficultyPercentage)),IF(AE2890="free","re-planting",IF(G2890=0,"",IF(PlanterYesMe="",IF(AE2890="me","   not ELP, by",IF(AE2890="",IF(G2890&gt;0,(VLOOKUP(A2890,'Discount Lookup'!J:K,2)*G2890*(1-PlanterDiscount)*(1+PlanterDifficultyPercentage)),""),"")),"   not ELP, by"))))))))))))))</f>
        <v/>
      </c>
      <c r="AD2890" s="712"/>
      <c r="AE2890" s="513" t="str">
        <f t="shared" si="2168"/>
        <v/>
      </c>
      <c r="AF2890" s="713" t="str">
        <f t="shared" si="2169"/>
        <v/>
      </c>
      <c r="AG2890" s="713"/>
      <c r="AH2890" s="713"/>
      <c r="AI2890" s="112">
        <f>IF(H2890="credit",0,IF(AE2890="free",0,IF(AE2890="me",0,IF(G2890&gt;0,(VLOOKUP(A2890,'Discount Lookup'!J:K,2)*G2890),0))))</f>
        <v>0</v>
      </c>
      <c r="AJ2890" s="107" t="str">
        <f t="shared" ca="1" si="2170"/>
        <v/>
      </c>
      <c r="AK2890" s="714" t="str">
        <f t="shared" si="2171"/>
        <v/>
      </c>
      <c r="AL2890" s="714"/>
      <c r="AM2890" s="114" t="str">
        <f t="shared" si="2172"/>
        <v/>
      </c>
      <c r="AN2890" s="115"/>
      <c r="AO2890" s="116"/>
      <c r="AP2890" s="116"/>
      <c r="AQ2890" s="116"/>
      <c r="AR2890" s="116"/>
      <c r="AS2890" s="116"/>
      <c r="AT2890" s="116"/>
      <c r="AU2890" s="116"/>
      <c r="AV2890" s="78"/>
      <c r="AW2890" s="102"/>
      <c r="AX2890" s="78"/>
      <c r="AY2890" s="78"/>
      <c r="AZ2890" s="78"/>
      <c r="BA2890" s="78"/>
      <c r="BB2890" s="78"/>
      <c r="BC2890" s="78"/>
      <c r="BD2890" s="78"/>
      <c r="BE2890" s="465"/>
      <c r="BF2890" s="165" t="str">
        <f t="shared" si="2173"/>
        <v>https://www.google.com/search?tbm=isch&amp;q=10%20G4</v>
      </c>
      <c r="BG2890" s="165" t="str">
        <f t="shared" si="2174"/>
        <v>M</v>
      </c>
      <c r="BH2890" s="65"/>
      <c r="BI2890" s="65"/>
      <c r="BJ2890" s="65"/>
      <c r="BK2890" s="65"/>
      <c r="BL2890" s="99"/>
      <c r="BM2890" s="99"/>
      <c r="BN2890" s="99"/>
    </row>
    <row r="2891" spans="1:66" s="51" customFormat="1" ht="17.25" thickBot="1" x14ac:dyDescent="0.3">
      <c r="A2891" s="641" t="s">
        <v>3487</v>
      </c>
      <c r="B2891" s="642"/>
      <c r="C2891" s="710"/>
      <c r="D2891" s="643"/>
      <c r="E2891" s="643"/>
      <c r="F2891" s="644"/>
      <c r="G2891" s="645"/>
      <c r="H2891" s="646"/>
      <c r="I2891" s="647"/>
      <c r="J2891" s="648"/>
      <c r="K2891" s="649"/>
      <c r="L2891" s="650"/>
      <c r="M2891" s="650"/>
      <c r="N2891" s="644"/>
      <c r="O2891" s="644"/>
      <c r="P2891" s="644"/>
      <c r="Q2891" s="644"/>
      <c r="R2891" s="644"/>
      <c r="S2891" s="651"/>
      <c r="T2891" s="102">
        <f t="shared" si="2162"/>
        <v>0</v>
      </c>
      <c r="U2891" s="78" t="str">
        <f>IF(NOT(ISNUMBER(G2891)), "", VLOOKUP(A2891,'Discount Lookup'!D:E,2,FALSE)*G2891)</f>
        <v/>
      </c>
      <c r="V2891" s="78" t="str">
        <f>IF(NOT(ISNUMBER(G2891)), "", VLOOKUP(A2891,'Discount Lookup'!G:H,2,FALSE)*G2891)</f>
        <v/>
      </c>
      <c r="W2891" s="102">
        <f t="shared" si="2163"/>
        <v>0</v>
      </c>
      <c r="X2891" s="102">
        <f t="shared" si="2164"/>
        <v>0</v>
      </c>
      <c r="Y2891" s="120" t="b">
        <f t="shared" si="2165"/>
        <v>0</v>
      </c>
      <c r="Z2891" s="117">
        <f t="shared" si="2166"/>
        <v>0</v>
      </c>
      <c r="AA2891" s="118"/>
      <c r="AB2891" s="118" t="str">
        <f t="shared" si="2167"/>
        <v/>
      </c>
      <c r="AC2891" s="712" t="str">
        <f>IF(AE2891="T2G","no charge",IF(AND(OR(PlanterYesMe="No",PlanterYesMe="N",PlanterYesMe="me"),H2891=""),"",IF(H2891="credit","NO install",IF(AND(K2891="",AE2891="me"),"EACH row",IF(AND(K2891="images",AE2891="me"),"EACH row",IF(D2891="","",IF(H2891="credit","",IF(AE2891="free","re-planting",IF(AE2891="me","   not ELP, by",IF(AND(OR(PlanterYesMe="Yes",PlanterYesMe="Y"),G2891&gt;0),(VLOOKUP(A2891,'Discount Lookup'!J:K,2)*G2891*(1-PlanterDiscount)*(1+PlanterDifficultyPercentage)),IF(AE2891="ELP",(VLOOKUP(A2891,'Discount Lookup'!J:K,2)*G2891*(1-PlanterDiscount)*(1+PlanterDifficultyPercentage)),IF(AE2891="free","re-planting",IF(G2891=0,"",IF(PlanterYesMe="",IF(AE2891="me","   not ELP, by",IF(AE2891="",IF(G2891&gt;0,(VLOOKUP(A2891,'Discount Lookup'!J:K,2)*G2891*(1-PlanterDiscount)*(1+PlanterDifficultyPercentage)),""),"")),"   not ELP, by"))))))))))))))</f>
        <v/>
      </c>
      <c r="AD2891" s="712"/>
      <c r="AE2891" s="513" t="str">
        <f t="shared" si="2168"/>
        <v/>
      </c>
      <c r="AF2891" s="713" t="str">
        <f t="shared" si="2169"/>
        <v/>
      </c>
      <c r="AG2891" s="713"/>
      <c r="AH2891" s="713"/>
      <c r="AI2891" s="112">
        <f>IF(H2891="credit",0,IF(AE2891="free",0,IF(AE2891="me",0,IF(G2891&gt;0,(VLOOKUP(A2891,'Discount Lookup'!J:K,2)*G2891),0))))</f>
        <v>0</v>
      </c>
      <c r="AJ2891" s="107" t="str">
        <f t="shared" ca="1" si="2170"/>
        <v/>
      </c>
      <c r="AK2891" s="714" t="str">
        <f t="shared" si="2171"/>
        <v/>
      </c>
      <c r="AL2891" s="714"/>
      <c r="AM2891" s="114" t="str">
        <f t="shared" si="2172"/>
        <v/>
      </c>
      <c r="AN2891" s="115"/>
      <c r="AO2891" s="116"/>
      <c r="AP2891" s="116"/>
      <c r="AQ2891" s="116"/>
      <c r="AR2891" s="116"/>
      <c r="AS2891" s="116"/>
      <c r="AT2891" s="116"/>
      <c r="AU2891" s="116"/>
      <c r="AV2891" s="78"/>
      <c r="AW2891" s="102"/>
      <c r="AX2891" s="78"/>
      <c r="AY2891" s="78"/>
      <c r="AZ2891" s="78"/>
      <c r="BA2891" s="78"/>
      <c r="BB2891" s="78"/>
      <c r="BC2891" s="78"/>
      <c r="BD2891" s="78"/>
      <c r="BE2891" s="465"/>
      <c r="BF2891" s="165" t="str">
        <f t="shared" si="2173"/>
        <v>https://www.google.com/search?tbm=isch&amp;q=Sunsation%20boasts%20fragrant%2C%20upward-facing%20flowers%2C%20blooming%20reliably%20later%20in%20spring.%20Foliage%20turns%20Yellow%20in%20fall%20</v>
      </c>
      <c r="BG2891" s="165" t="str">
        <f t="shared" si="2174"/>
        <v>S</v>
      </c>
      <c r="BH2891" s="65"/>
      <c r="BI2891" s="65"/>
      <c r="BJ2891" s="65"/>
      <c r="BK2891" s="65"/>
      <c r="BL2891" s="99"/>
      <c r="BM2891" s="99"/>
      <c r="BN2891" s="99"/>
    </row>
    <row r="2892" spans="1:66" s="51" customFormat="1" ht="18" x14ac:dyDescent="0.25">
      <c r="A2892" s="623" t="s">
        <v>3488</v>
      </c>
      <c r="B2892" s="624"/>
      <c r="C2892" s="709"/>
      <c r="D2892" s="625" t="s">
        <v>3489</v>
      </c>
      <c r="E2892" s="626"/>
      <c r="F2892" s="626"/>
      <c r="G2892" s="626"/>
      <c r="H2892" s="622" t="s">
        <v>347</v>
      </c>
      <c r="I2892" s="627" t="s">
        <v>3490</v>
      </c>
      <c r="J2892" s="628"/>
      <c r="K2892" s="628"/>
      <c r="L2892" s="629"/>
      <c r="M2892" s="700" t="s">
        <v>5249</v>
      </c>
      <c r="N2892" s="693" t="str">
        <f>IF(AND(ISTEXT($A2892), ISERROR($A2892+0)), HYPERLINK($BF2892, "Images"), "")</f>
        <v>Images</v>
      </c>
      <c r="O2892" s="695" t="s">
        <v>5247</v>
      </c>
      <c r="P2892" s="630"/>
      <c r="Q2892" s="631"/>
      <c r="R2892" s="632"/>
      <c r="S2892" s="633"/>
      <c r="T2892" s="102">
        <f t="shared" si="2162"/>
        <v>0</v>
      </c>
      <c r="U2892" s="78" t="str">
        <f>IF(NOT(ISNUMBER(G2892)), "", VLOOKUP(A2892,'Discount Lookup'!D:E,2,FALSE)*G2892)</f>
        <v/>
      </c>
      <c r="V2892" s="78" t="str">
        <f>IF(NOT(ISNUMBER(G2892)), "", VLOOKUP(A2892,'Discount Lookup'!G:H,2,FALSE)*G2892)</f>
        <v/>
      </c>
      <c r="W2892" s="102">
        <f t="shared" si="2163"/>
        <v>0</v>
      </c>
      <c r="X2892" s="102" t="str">
        <f t="shared" si="2164"/>
        <v>Dark Magenta bloom</v>
      </c>
      <c r="Y2892" s="120" t="b">
        <f t="shared" si="2165"/>
        <v>0</v>
      </c>
      <c r="Z2892" s="117">
        <f t="shared" si="2166"/>
        <v>0</v>
      </c>
      <c r="AA2892" s="118"/>
      <c r="AB2892" s="118" t="str">
        <f t="shared" si="2167"/>
        <v/>
      </c>
      <c r="AC2892" s="712" t="str">
        <f>IF(AE2892="T2G","no charge",IF(AND(OR(PlanterYesMe="No",PlanterYesMe="N",PlanterYesMe="me"),H2892=""),"",IF(H2892="credit","NO install",IF(AND(K2892="",AE2892="me"),"EACH row",IF(AND(K2892="images",AE2892="me"),"EACH row",IF(D2892="","",IF(H2892="credit","",IF(AE2892="free","re-planting",IF(AE2892="me","   not ELP, by",IF(AND(OR(PlanterYesMe="Yes",PlanterYesMe="Y"),G2892&gt;0),(VLOOKUP(A2892,'Discount Lookup'!J:K,2)*G2892*(1-PlanterDiscount)*(1+PlanterDifficultyPercentage)),IF(AE2892="ELP",(VLOOKUP(A2892,'Discount Lookup'!J:K,2)*G2892*(1-PlanterDiscount)*(1+PlanterDifficultyPercentage)),IF(AE2892="free","re-planting",IF(G2892=0,"",IF(PlanterYesMe="",IF(AE2892="me","   not ELP, by",IF(AE2892="",IF(G2892&gt;0,(VLOOKUP(A2892,'Discount Lookup'!J:K,2)*G2892*(1-PlanterDiscount)*(1+PlanterDifficultyPercentage)),""),"")),"   not ELP, by"))))))))))))))</f>
        <v/>
      </c>
      <c r="AD2892" s="712"/>
      <c r="AE2892" s="513" t="str">
        <f t="shared" si="2168"/>
        <v/>
      </c>
      <c r="AF2892" s="713" t="str">
        <f t="shared" si="2169"/>
        <v/>
      </c>
      <c r="AG2892" s="713"/>
      <c r="AH2892" s="713"/>
      <c r="AI2892" s="112">
        <f>IF(H2892="credit",0,IF(AE2892="free",0,IF(AE2892="me",0,IF(G2892&gt;0,(VLOOKUP(A2892,'Discount Lookup'!J:K,2)*G2892),0))))</f>
        <v>0</v>
      </c>
      <c r="AJ2892" s="107" t="str">
        <f t="shared" ca="1" si="2170"/>
        <v/>
      </c>
      <c r="AK2892" s="714" t="str">
        <f t="shared" si="2171"/>
        <v/>
      </c>
      <c r="AL2892" s="714"/>
      <c r="AM2892" s="114" t="str">
        <f t="shared" si="2172"/>
        <v/>
      </c>
      <c r="AN2892" s="115"/>
      <c r="AO2892" s="116"/>
      <c r="AP2892" s="116"/>
      <c r="AQ2892" s="116"/>
      <c r="AR2892" s="116"/>
      <c r="AS2892" s="116"/>
      <c r="AT2892" s="116"/>
      <c r="AU2892" s="116"/>
      <c r="AV2892" s="78"/>
      <c r="AW2892" s="102"/>
      <c r="AX2892" s="78"/>
      <c r="AY2892" s="78"/>
      <c r="AZ2892" s="78"/>
      <c r="BA2892" s="78"/>
      <c r="BB2892" s="78"/>
      <c r="BC2892" s="78"/>
      <c r="BD2892" s="78"/>
      <c r="BE2892" s="465"/>
      <c r="BF2892" s="165" t="str">
        <f t="shared" si="2173"/>
        <v>https://www.google.com/search?tbm=isch&amp;q=Magnolia%20%27Tinkerbell%27%20Tinkerbell%20Magnolia</v>
      </c>
      <c r="BG2892" s="165" t="str">
        <f t="shared" si="2174"/>
        <v>M</v>
      </c>
      <c r="BH2892" s="65"/>
      <c r="BI2892" s="65"/>
      <c r="BJ2892" s="65"/>
      <c r="BK2892" s="65"/>
      <c r="BL2892" s="99"/>
      <c r="BM2892" s="99"/>
      <c r="BN2892" s="99"/>
    </row>
    <row r="2893" spans="1:66" s="51" customFormat="1" ht="15.75" x14ac:dyDescent="0.25">
      <c r="A2893" s="634">
        <v>7</v>
      </c>
      <c r="B2893" s="635" t="s">
        <v>291</v>
      </c>
      <c r="C2893" s="636" t="s">
        <v>3491</v>
      </c>
      <c r="D2893" s="637" t="s">
        <v>299</v>
      </c>
      <c r="E2893" s="638">
        <v>123.95</v>
      </c>
      <c r="F2893" s="639" t="s">
        <v>292</v>
      </c>
      <c r="G2893" s="484">
        <v>0</v>
      </c>
      <c r="H2893" s="691" t="str">
        <f>IF(G2893=0,"",IF(F2893="Buy",IF(G2893=1,"plant","plants"),IF(F2893&gt;0.01,"warranty","Error")))</f>
        <v/>
      </c>
      <c r="I2893" s="640">
        <f>IF(H2893="free",0,IF(H2893="credit",((E2893*(F2893))*G2893*-1),IF(F2893="Buy",(E2893*G2893),((E2893*(1-F2893))*G2893))))</f>
        <v>0</v>
      </c>
      <c r="J2893" s="640">
        <f>IF(H2893="warranty",0,(I2893*(_xlfn.SINGLE(SalesTaxPercentage))))</f>
        <v>0</v>
      </c>
      <c r="K2893" s="716">
        <f t="shared" ref="K2893" si="2217">I2893+J2893</f>
        <v>0</v>
      </c>
      <c r="L2893" s="716"/>
      <c r="M2893" s="689" t="str">
        <f ca="1">IF(AND(G2893&gt;0,E2893=0),"WARNING - no PRICE inserted",IF(H2893="free","FREE ~ no charge this plant",IF(H2893="credit",CONCATENATE("-$",ROUND(K2893*(1-_xlfn.SINGLE(T2GDiscount))*-1,2)," CREDIT after discount"),IF(_xlfn.SINGLE(T2GDiscount)=0,"",IF(G2893=0,"",IF(F2893="Buy",CONCATENATE("$",ROUND(K2893*(1-_xlfn.SINGLE(T2GDiscount)),2)," with ",(_xlfn.SINGLE(T2GDiscount)*100),"% discount"),CONCATENATE("$",ROUND(K2893*(1-_xlfn.SINGLE(T2GDiscount)),2)," with ",((_xlfn.SINGLE(T2GDiscount)*100+F2893*100)-(_xlfn.SINGLE(T2GDiscount)*100*F2893)),IF(F2893&gt;0,"% discounts",IF(_xlfn.SINGLE(NoWarrantyDiscount)&gt;0,"% discounts","% discount")))))))))</f>
        <v/>
      </c>
      <c r="N2893" s="690"/>
      <c r="O2893" s="486"/>
      <c r="P2893" s="486"/>
      <c r="Q2893" s="486"/>
      <c r="R2893" s="486"/>
      <c r="S2893" s="486"/>
      <c r="T2893" s="102">
        <f t="shared" si="2162"/>
        <v>0</v>
      </c>
      <c r="U2893" s="78">
        <f>IF(NOT(ISNUMBER(G2893)), "", VLOOKUP(A2893,'Discount Lookup'!D:E,2,FALSE)*G2893)</f>
        <v>0</v>
      </c>
      <c r="V2893" s="78">
        <f>IF(NOT(ISNUMBER(G2893)), "", VLOOKUP(A2893,'Discount Lookup'!G:H,2,FALSE)*G2893)</f>
        <v>0</v>
      </c>
      <c r="W2893" s="102">
        <f t="shared" si="2163"/>
        <v>0</v>
      </c>
      <c r="X2893" s="102">
        <f t="shared" si="2164"/>
        <v>0</v>
      </c>
      <c r="Y2893" s="120" t="b">
        <f t="shared" si="2165"/>
        <v>0</v>
      </c>
      <c r="Z2893" s="117">
        <f t="shared" si="2166"/>
        <v>0</v>
      </c>
      <c r="AA2893" s="118"/>
      <c r="AB2893" s="118" t="str">
        <f t="shared" si="2167"/>
        <v/>
      </c>
      <c r="AC2893" s="712" t="str">
        <f>IF(AE2893="T2G","no charge",IF(AND(OR(PlanterYesMe="No",PlanterYesMe="N",PlanterYesMe="me"),H2893=""),"",IF(H2893="credit","NO install",IF(AND(K2893="",AE2893="me"),"EACH row",IF(AND(K2893="images",AE2893="me"),"EACH row",IF(D2893="","",IF(H2893="credit","",IF(AE2893="free","re-planting",IF(AE2893="me","   not ELP, by",IF(AND(OR(PlanterYesMe="Yes",PlanterYesMe="Y"),G2893&gt;0),(VLOOKUP(A2893,'Discount Lookup'!J:K,2)*G2893*(1-PlanterDiscount)*(1+PlanterDifficultyPercentage)),IF(AE2893="ELP",(VLOOKUP(A2893,'Discount Lookup'!J:K,2)*G2893*(1-PlanterDiscount)*(1+PlanterDifficultyPercentage)),IF(AE2893="free","re-planting",IF(G2893=0,"",IF(PlanterYesMe="",IF(AE2893="me","   not ELP, by",IF(AE2893="",IF(G2893&gt;0,(VLOOKUP(A2893,'Discount Lookup'!J:K,2)*G2893*(1-PlanterDiscount)*(1+PlanterDifficultyPercentage)),""),"")),"   not ELP, by"))))))))))))))</f>
        <v/>
      </c>
      <c r="AD2893" s="712"/>
      <c r="AE2893" s="513" t="str">
        <f t="shared" si="2168"/>
        <v/>
      </c>
      <c r="AF2893" s="713" t="str">
        <f t="shared" si="2169"/>
        <v/>
      </c>
      <c r="AG2893" s="713"/>
      <c r="AH2893" s="713"/>
      <c r="AI2893" s="112">
        <f>IF(H2893="credit",0,IF(AE2893="free",0,IF(AE2893="me",0,IF(G2893&gt;0,(VLOOKUP(A2893,'Discount Lookup'!J:K,2)*G2893),0))))</f>
        <v>0</v>
      </c>
      <c r="AJ2893" s="107" t="str">
        <f t="shared" ca="1" si="2170"/>
        <v/>
      </c>
      <c r="AK2893" s="714" t="str">
        <f t="shared" si="2171"/>
        <v/>
      </c>
      <c r="AL2893" s="714"/>
      <c r="AM2893" s="114" t="str">
        <f t="shared" si="2172"/>
        <v/>
      </c>
      <c r="AN2893" s="115"/>
      <c r="AO2893" s="116"/>
      <c r="AP2893" s="116"/>
      <c r="AQ2893" s="116"/>
      <c r="AR2893" s="116"/>
      <c r="AS2893" s="116"/>
      <c r="AT2893" s="116"/>
      <c r="AU2893" s="116"/>
      <c r="AV2893" s="78"/>
      <c r="AW2893" s="102"/>
      <c r="AX2893" s="78"/>
      <c r="AY2893" s="78"/>
      <c r="AZ2893" s="78"/>
      <c r="BA2893" s="78"/>
      <c r="BB2893" s="78"/>
      <c r="BC2893" s="78"/>
      <c r="BD2893" s="78"/>
      <c r="BE2893" s="465"/>
      <c r="BF2893" s="165" t="str">
        <f t="shared" si="2173"/>
        <v>https://www.google.com/search?tbm=isch&amp;q=7%20G4</v>
      </c>
      <c r="BG2893" s="165" t="str">
        <f t="shared" si="2174"/>
        <v>M</v>
      </c>
      <c r="BH2893" s="65"/>
      <c r="BI2893" s="65"/>
      <c r="BJ2893" s="65"/>
      <c r="BK2893" s="65"/>
      <c r="BL2893" s="99"/>
      <c r="BM2893" s="99"/>
      <c r="BN2893" s="99"/>
    </row>
    <row r="2894" spans="1:66" s="51" customFormat="1" ht="17.25" thickBot="1" x14ac:dyDescent="0.3">
      <c r="A2894" s="641" t="s">
        <v>3492</v>
      </c>
      <c r="B2894" s="642"/>
      <c r="C2894" s="710"/>
      <c r="D2894" s="643"/>
      <c r="E2894" s="643"/>
      <c r="F2894" s="644"/>
      <c r="G2894" s="645"/>
      <c r="H2894" s="646"/>
      <c r="I2894" s="647"/>
      <c r="J2894" s="648"/>
      <c r="K2894" s="649"/>
      <c r="L2894" s="650"/>
      <c r="M2894" s="650"/>
      <c r="N2894" s="644"/>
      <c r="O2894" s="644"/>
      <c r="P2894" s="644"/>
      <c r="Q2894" s="644"/>
      <c r="R2894" s="644"/>
      <c r="S2894" s="651"/>
      <c r="T2894" s="102">
        <f t="shared" si="2162"/>
        <v>0</v>
      </c>
      <c r="U2894" s="78" t="str">
        <f>IF(NOT(ISNUMBER(G2894)), "", VLOOKUP(A2894,'Discount Lookup'!D:E,2,FALSE)*G2894)</f>
        <v/>
      </c>
      <c r="V2894" s="78" t="str">
        <f>IF(NOT(ISNUMBER(G2894)), "", VLOOKUP(A2894,'Discount Lookup'!G:H,2,FALSE)*G2894)</f>
        <v/>
      </c>
      <c r="W2894" s="102">
        <f t="shared" si="2163"/>
        <v>0</v>
      </c>
      <c r="X2894" s="102">
        <f t="shared" si="2164"/>
        <v>0</v>
      </c>
      <c r="Y2894" s="120" t="b">
        <f t="shared" si="2165"/>
        <v>0</v>
      </c>
      <c r="Z2894" s="117">
        <f t="shared" si="2166"/>
        <v>0</v>
      </c>
      <c r="AA2894" s="118"/>
      <c r="AB2894" s="118" t="str">
        <f t="shared" si="2167"/>
        <v/>
      </c>
      <c r="AC2894" s="712" t="str">
        <f>IF(AE2894="T2G","no charge",IF(AND(OR(PlanterYesMe="No",PlanterYesMe="N",PlanterYesMe="me"),H2894=""),"",IF(H2894="credit","NO install",IF(AND(K2894="",AE2894="me"),"EACH row",IF(AND(K2894="images",AE2894="me"),"EACH row",IF(D2894="","",IF(H2894="credit","",IF(AE2894="free","re-planting",IF(AE2894="me","   not ELP, by",IF(AND(OR(PlanterYesMe="Yes",PlanterYesMe="Y"),G2894&gt;0),(VLOOKUP(A2894,'Discount Lookup'!J:K,2)*G2894*(1-PlanterDiscount)*(1+PlanterDifficultyPercentage)),IF(AE2894="ELP",(VLOOKUP(A2894,'Discount Lookup'!J:K,2)*G2894*(1-PlanterDiscount)*(1+PlanterDifficultyPercentage)),IF(AE2894="free","re-planting",IF(G2894=0,"",IF(PlanterYesMe="",IF(AE2894="me","   not ELP, by",IF(AE2894="",IF(G2894&gt;0,(VLOOKUP(A2894,'Discount Lookup'!J:K,2)*G2894*(1-PlanterDiscount)*(1+PlanterDifficultyPercentage)),""),"")),"   not ELP, by"))))))))))))))</f>
        <v/>
      </c>
      <c r="AD2894" s="712"/>
      <c r="AE2894" s="513" t="str">
        <f t="shared" si="2168"/>
        <v/>
      </c>
      <c r="AF2894" s="713" t="str">
        <f t="shared" si="2169"/>
        <v/>
      </c>
      <c r="AG2894" s="713"/>
      <c r="AH2894" s="713"/>
      <c r="AI2894" s="112">
        <f>IF(H2894="credit",0,IF(AE2894="free",0,IF(AE2894="me",0,IF(G2894&gt;0,(VLOOKUP(A2894,'Discount Lookup'!J:K,2)*G2894),0))))</f>
        <v>0</v>
      </c>
      <c r="AJ2894" s="107" t="str">
        <f t="shared" ca="1" si="2170"/>
        <v/>
      </c>
      <c r="AK2894" s="714" t="str">
        <f t="shared" si="2171"/>
        <v/>
      </c>
      <c r="AL2894" s="714"/>
      <c r="AM2894" s="114" t="str">
        <f t="shared" si="2172"/>
        <v/>
      </c>
      <c r="AN2894" s="115"/>
      <c r="AO2894" s="116"/>
      <c r="AP2894" s="116"/>
      <c r="AQ2894" s="116"/>
      <c r="AR2894" s="116"/>
      <c r="AS2894" s="116"/>
      <c r="AT2894" s="116"/>
      <c r="AU2894" s="116"/>
      <c r="AV2894" s="78"/>
      <c r="AW2894" s="102"/>
      <c r="AX2894" s="78"/>
      <c r="AY2894" s="78"/>
      <c r="AZ2894" s="78"/>
      <c r="BA2894" s="78"/>
      <c r="BB2894" s="78"/>
      <c r="BC2894" s="78"/>
      <c r="BD2894" s="78"/>
      <c r="BE2894" s="465"/>
      <c r="BF2894" s="165" t="str">
        <f t="shared" si="2173"/>
        <v>https://www.google.com/search?tbm=isch&amp;q=Tinkerbell%20features%20tulip-shaped%2C%20fragrant%20Magenta%20blooms%20with%20Pale%20Pink%20centers%20in%20early%20spring%2C%20then%20reblooms%20sporadically%20</v>
      </c>
      <c r="BG2894" s="165" t="str">
        <f t="shared" si="2174"/>
        <v>T</v>
      </c>
      <c r="BH2894" s="65"/>
      <c r="BI2894" s="65"/>
      <c r="BJ2894" s="65"/>
      <c r="BK2894" s="65"/>
      <c r="BL2894" s="99"/>
      <c r="BM2894" s="99"/>
      <c r="BN2894" s="99"/>
    </row>
    <row r="2895" spans="1:66" s="51" customFormat="1" ht="18" x14ac:dyDescent="0.25">
      <c r="A2895" s="623" t="s">
        <v>3493</v>
      </c>
      <c r="B2895" s="624"/>
      <c r="C2895" s="709"/>
      <c r="D2895" s="625" t="s">
        <v>3494</v>
      </c>
      <c r="E2895" s="626"/>
      <c r="F2895" s="626"/>
      <c r="G2895" s="626"/>
      <c r="H2895" s="622" t="s">
        <v>325</v>
      </c>
      <c r="I2895" s="627" t="s">
        <v>349</v>
      </c>
      <c r="J2895" s="628"/>
      <c r="K2895" s="628"/>
      <c r="L2895" s="629"/>
      <c r="M2895" s="700" t="s">
        <v>5241</v>
      </c>
      <c r="N2895" s="693" t="str">
        <f>IF(AND(ISTEXT($A2895), ISERROR($A2895+0)), HYPERLINK($BF2895, "Images"), "")</f>
        <v>Images</v>
      </c>
      <c r="O2895" s="695" t="s">
        <v>5247</v>
      </c>
      <c r="P2895" s="630"/>
      <c r="Q2895" s="631"/>
      <c r="R2895" s="632"/>
      <c r="S2895" s="633" t="s">
        <v>294</v>
      </c>
      <c r="T2895" s="102">
        <f t="shared" si="2162"/>
        <v>0</v>
      </c>
      <c r="U2895" s="78" t="str">
        <f>IF(NOT(ISNUMBER(G2895)), "", VLOOKUP(A2895,'Discount Lookup'!D:E,2,FALSE)*G2895)</f>
        <v/>
      </c>
      <c r="V2895" s="78" t="str">
        <f>IF(NOT(ISNUMBER(G2895)), "", VLOOKUP(A2895,'Discount Lookup'!G:H,2,FALSE)*G2895)</f>
        <v/>
      </c>
      <c r="W2895" s="102">
        <f t="shared" si="2163"/>
        <v>0</v>
      </c>
      <c r="X2895" s="102" t="str">
        <f t="shared" si="2164"/>
        <v>White bloom</v>
      </c>
      <c r="Y2895" s="120" t="b">
        <f t="shared" si="2165"/>
        <v>0</v>
      </c>
      <c r="Z2895" s="117">
        <f t="shared" si="2166"/>
        <v>0</v>
      </c>
      <c r="AA2895" s="118"/>
      <c r="AB2895" s="118" t="str">
        <f t="shared" si="2167"/>
        <v/>
      </c>
      <c r="AC2895" s="712" t="str">
        <f>IF(AE2895="T2G","no charge",IF(AND(OR(PlanterYesMe="No",PlanterYesMe="N",PlanterYesMe="me"),H2895=""),"",IF(H2895="credit","NO install",IF(AND(K2895="",AE2895="me"),"EACH row",IF(AND(K2895="images",AE2895="me"),"EACH row",IF(D2895="","",IF(H2895="credit","",IF(AE2895="free","re-planting",IF(AE2895="me","   not ELP, by",IF(AND(OR(PlanterYesMe="Yes",PlanterYesMe="Y"),G2895&gt;0),(VLOOKUP(A2895,'Discount Lookup'!J:K,2)*G2895*(1-PlanterDiscount)*(1+PlanterDifficultyPercentage)),IF(AE2895="ELP",(VLOOKUP(A2895,'Discount Lookup'!J:K,2)*G2895*(1-PlanterDiscount)*(1+PlanterDifficultyPercentage)),IF(AE2895="free","re-planting",IF(G2895=0,"",IF(PlanterYesMe="",IF(AE2895="me","   not ELP, by",IF(AE2895="",IF(G2895&gt;0,(VLOOKUP(A2895,'Discount Lookup'!J:K,2)*G2895*(1-PlanterDiscount)*(1+PlanterDifficultyPercentage)),""),"")),"   not ELP, by"))))))))))))))</f>
        <v/>
      </c>
      <c r="AD2895" s="712"/>
      <c r="AE2895" s="513" t="str">
        <f t="shared" si="2168"/>
        <v/>
      </c>
      <c r="AF2895" s="713" t="str">
        <f t="shared" si="2169"/>
        <v/>
      </c>
      <c r="AG2895" s="713"/>
      <c r="AH2895" s="713"/>
      <c r="AI2895" s="112">
        <f>IF(H2895="credit",0,IF(AE2895="free",0,IF(AE2895="me",0,IF(G2895&gt;0,(VLOOKUP(A2895,'Discount Lookup'!J:K,2)*G2895),0))))</f>
        <v>0</v>
      </c>
      <c r="AJ2895" s="107" t="str">
        <f t="shared" ca="1" si="2170"/>
        <v/>
      </c>
      <c r="AK2895" s="714" t="str">
        <f t="shared" si="2171"/>
        <v/>
      </c>
      <c r="AL2895" s="714"/>
      <c r="AM2895" s="114" t="str">
        <f t="shared" si="2172"/>
        <v/>
      </c>
      <c r="AN2895" s="115"/>
      <c r="AO2895" s="116"/>
      <c r="AP2895" s="116"/>
      <c r="AQ2895" s="116"/>
      <c r="AR2895" s="116"/>
      <c r="AS2895" s="116"/>
      <c r="AT2895" s="116"/>
      <c r="AU2895" s="116"/>
      <c r="AV2895" s="78"/>
      <c r="AW2895" s="102"/>
      <c r="AX2895" s="78"/>
      <c r="AY2895" s="78"/>
      <c r="AZ2895" s="78"/>
      <c r="BA2895" s="78"/>
      <c r="BB2895" s="78"/>
      <c r="BC2895" s="78"/>
      <c r="BD2895" s="78"/>
      <c r="BE2895" s="465"/>
      <c r="BF2895" s="165" t="str">
        <f t="shared" si="2173"/>
        <v>https://www.google.com/search?tbm=isch&amp;q=Magnolia%20virginiana%20Sweetbay%20Magnolia</v>
      </c>
      <c r="BG2895" s="165" t="str">
        <f t="shared" si="2174"/>
        <v>M</v>
      </c>
      <c r="BH2895" s="65"/>
      <c r="BI2895" s="65"/>
      <c r="BJ2895" s="65"/>
      <c r="BK2895" s="65"/>
      <c r="BL2895" s="99"/>
      <c r="BM2895" s="99"/>
      <c r="BN2895" s="99"/>
    </row>
    <row r="2896" spans="1:66" s="51" customFormat="1" ht="15.75" x14ac:dyDescent="0.25">
      <c r="A2896" s="634">
        <v>25</v>
      </c>
      <c r="B2896" s="635" t="s">
        <v>291</v>
      </c>
      <c r="C2896" s="636" t="s">
        <v>3495</v>
      </c>
      <c r="D2896" s="637" t="s">
        <v>293</v>
      </c>
      <c r="E2896" s="638">
        <v>257.95</v>
      </c>
      <c r="F2896" s="639" t="s">
        <v>292</v>
      </c>
      <c r="G2896" s="484">
        <v>0</v>
      </c>
      <c r="H2896" s="691" t="str">
        <f>IF(G2896=0,"",IF(F2896="Buy",IF(G2896=1,"plant","plants"),IF(F2896&gt;0.01,"warranty","Error")))</f>
        <v/>
      </c>
      <c r="I2896" s="640">
        <f>IF(H2896="free",0,IF(H2896="credit",((E2896*(F2896))*G2896*-1),IF(F2896="Buy",(E2896*G2896),((E2896*(1-F2896))*G2896))))</f>
        <v>0</v>
      </c>
      <c r="J2896" s="640">
        <f>IF(H2896="warranty",0,(I2896*(_xlfn.SINGLE(SalesTaxPercentage))))</f>
        <v>0</v>
      </c>
      <c r="K2896" s="716">
        <f t="shared" ref="K2896" si="2218">I2896+J2896</f>
        <v>0</v>
      </c>
      <c r="L2896" s="716"/>
      <c r="M2896" s="689" t="str">
        <f ca="1">IF(AND(G2896&gt;0,E2896=0),"WARNING - no PRICE inserted",IF(H2896="free","FREE ~ no charge this plant",IF(H2896="credit",CONCATENATE("-$",ROUND(K2896*(1-_xlfn.SINGLE(T2GDiscount))*-1,2)," CREDIT after discount"),IF(_xlfn.SINGLE(T2GDiscount)=0,"",IF(G2896=0,"",IF(F2896="Buy",CONCATENATE("$",ROUND(K2896*(1-_xlfn.SINGLE(T2GDiscount)),2)," with ",(_xlfn.SINGLE(T2GDiscount)*100),"% discount"),CONCATENATE("$",ROUND(K2896*(1-_xlfn.SINGLE(T2GDiscount)),2)," with ",((_xlfn.SINGLE(T2GDiscount)*100+F2896*100)-(_xlfn.SINGLE(T2GDiscount)*100*F2896)),IF(F2896&gt;0,"% discounts",IF(_xlfn.SINGLE(NoWarrantyDiscount)&gt;0,"% discounts","% discount")))))))))</f>
        <v/>
      </c>
      <c r="N2896" s="690"/>
      <c r="O2896" s="486"/>
      <c r="P2896" s="486"/>
      <c r="Q2896" s="486"/>
      <c r="R2896" s="486"/>
      <c r="S2896" s="486"/>
      <c r="T2896" s="102">
        <f t="shared" si="2162"/>
        <v>0</v>
      </c>
      <c r="U2896" s="78">
        <f>IF(NOT(ISNUMBER(G2896)), "", VLOOKUP(A2896,'Discount Lookup'!D:E,2,FALSE)*G2896)</f>
        <v>0</v>
      </c>
      <c r="V2896" s="78">
        <f>IF(NOT(ISNUMBER(G2896)), "", VLOOKUP(A2896,'Discount Lookup'!G:H,2,FALSE)*G2896)</f>
        <v>0</v>
      </c>
      <c r="W2896" s="102">
        <f t="shared" si="2163"/>
        <v>0</v>
      </c>
      <c r="X2896" s="102">
        <f t="shared" si="2164"/>
        <v>0</v>
      </c>
      <c r="Y2896" s="120" t="b">
        <f t="shared" si="2165"/>
        <v>0</v>
      </c>
      <c r="Z2896" s="117">
        <f t="shared" si="2166"/>
        <v>0</v>
      </c>
      <c r="AA2896" s="118"/>
      <c r="AB2896" s="118" t="str">
        <f t="shared" si="2167"/>
        <v/>
      </c>
      <c r="AC2896" s="712" t="str">
        <f>IF(AE2896="T2G","no charge",IF(AND(OR(PlanterYesMe="No",PlanterYesMe="N",PlanterYesMe="me"),H2896=""),"",IF(H2896="credit","NO install",IF(AND(K2896="",AE2896="me"),"EACH row",IF(AND(K2896="images",AE2896="me"),"EACH row",IF(D2896="","",IF(H2896="credit","",IF(AE2896="free","re-planting",IF(AE2896="me","   not ELP, by",IF(AND(OR(PlanterYesMe="Yes",PlanterYesMe="Y"),G2896&gt;0),(VLOOKUP(A2896,'Discount Lookup'!J:K,2)*G2896*(1-PlanterDiscount)*(1+PlanterDifficultyPercentage)),IF(AE2896="ELP",(VLOOKUP(A2896,'Discount Lookup'!J:K,2)*G2896*(1-PlanterDiscount)*(1+PlanterDifficultyPercentage)),IF(AE2896="free","re-planting",IF(G2896=0,"",IF(PlanterYesMe="",IF(AE2896="me","   not ELP, by",IF(AE2896="",IF(G2896&gt;0,(VLOOKUP(A2896,'Discount Lookup'!J:K,2)*G2896*(1-PlanterDiscount)*(1+PlanterDifficultyPercentage)),""),"")),"   not ELP, by"))))))))))))))</f>
        <v/>
      </c>
      <c r="AD2896" s="712"/>
      <c r="AE2896" s="513" t="str">
        <f t="shared" si="2168"/>
        <v/>
      </c>
      <c r="AF2896" s="713" t="str">
        <f t="shared" si="2169"/>
        <v/>
      </c>
      <c r="AG2896" s="713"/>
      <c r="AH2896" s="713"/>
      <c r="AI2896" s="112">
        <f>IF(H2896="credit",0,IF(AE2896="free",0,IF(AE2896="me",0,IF(G2896&gt;0,(VLOOKUP(A2896,'Discount Lookup'!J:K,2)*G2896),0))))</f>
        <v>0</v>
      </c>
      <c r="AJ2896" s="107" t="str">
        <f t="shared" ca="1" si="2170"/>
        <v/>
      </c>
      <c r="AK2896" s="714" t="str">
        <f t="shared" si="2171"/>
        <v/>
      </c>
      <c r="AL2896" s="714"/>
      <c r="AM2896" s="114" t="str">
        <f t="shared" si="2172"/>
        <v/>
      </c>
      <c r="AN2896" s="115"/>
      <c r="AO2896" s="116"/>
      <c r="AP2896" s="116"/>
      <c r="AQ2896" s="116"/>
      <c r="AR2896" s="116"/>
      <c r="AS2896" s="116"/>
      <c r="AT2896" s="116"/>
      <c r="AU2896" s="116"/>
      <c r="AV2896" s="78"/>
      <c r="AW2896" s="102"/>
      <c r="AX2896" s="78"/>
      <c r="AY2896" s="78"/>
      <c r="AZ2896" s="78"/>
      <c r="BA2896" s="78"/>
      <c r="BB2896" s="78"/>
      <c r="BC2896" s="78"/>
      <c r="BD2896" s="78"/>
      <c r="BE2896" s="465"/>
      <c r="BF2896" s="165" t="str">
        <f t="shared" si="2173"/>
        <v>https://www.google.com/search?tbm=isch&amp;q=25%20G6</v>
      </c>
      <c r="BG2896" s="165" t="str">
        <f t="shared" si="2174"/>
        <v>M</v>
      </c>
      <c r="BH2896" s="65"/>
      <c r="BI2896" s="65"/>
      <c r="BJ2896" s="65"/>
      <c r="BK2896" s="65"/>
      <c r="BL2896" s="99"/>
      <c r="BM2896" s="99"/>
      <c r="BN2896" s="99"/>
    </row>
    <row r="2897" spans="1:66" s="51" customFormat="1" ht="17.25" thickBot="1" x14ac:dyDescent="0.3">
      <c r="A2897" s="704" t="s">
        <v>5482</v>
      </c>
      <c r="B2897" s="642"/>
      <c r="C2897" s="710"/>
      <c r="D2897" s="643"/>
      <c r="E2897" s="643"/>
      <c r="F2897" s="644"/>
      <c r="G2897" s="645"/>
      <c r="H2897" s="646"/>
      <c r="I2897" s="647"/>
      <c r="J2897" s="648"/>
      <c r="K2897" s="649"/>
      <c r="L2897" s="650"/>
      <c r="M2897" s="650"/>
      <c r="N2897" s="644"/>
      <c r="O2897" s="644"/>
      <c r="P2897" s="644"/>
      <c r="Q2897" s="644"/>
      <c r="R2897" s="644"/>
      <c r="S2897" s="651"/>
      <c r="T2897" s="102">
        <f t="shared" si="2162"/>
        <v>0</v>
      </c>
      <c r="U2897" s="78" t="str">
        <f>IF(NOT(ISNUMBER(G2897)), "", VLOOKUP(A2897,'Discount Lookup'!D:E,2,FALSE)*G2897)</f>
        <v/>
      </c>
      <c r="V2897" s="78" t="str">
        <f>IF(NOT(ISNUMBER(G2897)), "", VLOOKUP(A2897,'Discount Lookup'!G:H,2,FALSE)*G2897)</f>
        <v/>
      </c>
      <c r="W2897" s="102">
        <f t="shared" si="2163"/>
        <v>0</v>
      </c>
      <c r="X2897" s="102">
        <f t="shared" si="2164"/>
        <v>0</v>
      </c>
      <c r="Y2897" s="120" t="b">
        <f t="shared" si="2165"/>
        <v>0</v>
      </c>
      <c r="Z2897" s="117">
        <f t="shared" si="2166"/>
        <v>0</v>
      </c>
      <c r="AA2897" s="118"/>
      <c r="AB2897" s="118" t="str">
        <f t="shared" si="2167"/>
        <v/>
      </c>
      <c r="AC2897" s="712" t="str">
        <f>IF(AE2897="T2G","no charge",IF(AND(OR(PlanterYesMe="No",PlanterYesMe="N",PlanterYesMe="me"),H2897=""),"",IF(H2897="credit","NO install",IF(AND(K2897="",AE2897="me"),"EACH row",IF(AND(K2897="images",AE2897="me"),"EACH row",IF(D2897="","",IF(H2897="credit","",IF(AE2897="free","re-planting",IF(AE2897="me","   not ELP, by",IF(AND(OR(PlanterYesMe="Yes",PlanterYesMe="Y"),G2897&gt;0),(VLOOKUP(A2897,'Discount Lookup'!J:K,2)*G2897*(1-PlanterDiscount)*(1+PlanterDifficultyPercentage)),IF(AE2897="ELP",(VLOOKUP(A2897,'Discount Lookup'!J:K,2)*G2897*(1-PlanterDiscount)*(1+PlanterDifficultyPercentage)),IF(AE2897="free","re-planting",IF(G2897=0,"",IF(PlanterYesMe="",IF(AE2897="me","   not ELP, by",IF(AE2897="",IF(G2897&gt;0,(VLOOKUP(A2897,'Discount Lookup'!J:K,2)*G2897*(1-PlanterDiscount)*(1+PlanterDifficultyPercentage)),""),"")),"   not ELP, by"))))))))))))))</f>
        <v/>
      </c>
      <c r="AD2897" s="712"/>
      <c r="AE2897" s="513" t="str">
        <f t="shared" si="2168"/>
        <v/>
      </c>
      <c r="AF2897" s="713" t="str">
        <f t="shared" si="2169"/>
        <v/>
      </c>
      <c r="AG2897" s="713"/>
      <c r="AH2897" s="713"/>
      <c r="AI2897" s="112">
        <f>IF(H2897="credit",0,IF(AE2897="free",0,IF(AE2897="me",0,IF(G2897&gt;0,(VLOOKUP(A2897,'Discount Lookup'!J:K,2)*G2897),0))))</f>
        <v>0</v>
      </c>
      <c r="AJ2897" s="107" t="str">
        <f t="shared" ca="1" si="2170"/>
        <v/>
      </c>
      <c r="AK2897" s="714" t="str">
        <f t="shared" si="2171"/>
        <v/>
      </c>
      <c r="AL2897" s="714"/>
      <c r="AM2897" s="114" t="str">
        <f t="shared" si="2172"/>
        <v/>
      </c>
      <c r="AN2897" s="115"/>
      <c r="AO2897" s="116"/>
      <c r="AP2897" s="116"/>
      <c r="AQ2897" s="116"/>
      <c r="AR2897" s="116"/>
      <c r="AS2897" s="116"/>
      <c r="AT2897" s="116"/>
      <c r="AU2897" s="116"/>
      <c r="AV2897" s="78"/>
      <c r="AW2897" s="102"/>
      <c r="AX2897" s="78"/>
      <c r="AY2897" s="78"/>
      <c r="AZ2897" s="78"/>
      <c r="BA2897" s="78"/>
      <c r="BB2897" s="78"/>
      <c r="BC2897" s="78"/>
      <c r="BD2897" s="78"/>
      <c r="BE2897" s="465"/>
      <c r="BF2897" s="165" t="str">
        <f t="shared" si="2173"/>
        <v>https://www.google.com/search?tbm=isch&amp;q=wet%20sites%F0%9F%92%A7GOOD%2C%20Sweetbay%27s%20lemon-scented%20blooms%20appear%20sporadically%20through%20summer%20</v>
      </c>
      <c r="BG2897" s="165" t="str">
        <f t="shared" si="2174"/>
        <v>w</v>
      </c>
      <c r="BH2897" s="65"/>
      <c r="BI2897" s="65"/>
      <c r="BJ2897" s="65"/>
      <c r="BK2897" s="65"/>
      <c r="BL2897" s="99"/>
      <c r="BM2897" s="99"/>
      <c r="BN2897" s="99"/>
    </row>
    <row r="2898" spans="1:66" s="51" customFormat="1" ht="18" x14ac:dyDescent="0.25">
      <c r="A2898" s="623" t="s">
        <v>5076</v>
      </c>
      <c r="B2898" s="624"/>
      <c r="C2898" s="709"/>
      <c r="D2898" s="625" t="s">
        <v>5077</v>
      </c>
      <c r="E2898" s="626"/>
      <c r="F2898" s="626"/>
      <c r="G2898" s="626"/>
      <c r="H2898" s="622" t="s">
        <v>5078</v>
      </c>
      <c r="I2898" s="627" t="s">
        <v>350</v>
      </c>
      <c r="J2898" s="628"/>
      <c r="K2898" s="628"/>
      <c r="L2898" s="629"/>
      <c r="M2898" s="700" t="s">
        <v>5249</v>
      </c>
      <c r="N2898" s="693" t="str">
        <f>IF(AND(ISTEXT($A2898), ISERROR($A2898+0)), HYPERLINK($BF2898, "Images"), "")</f>
        <v>Images</v>
      </c>
      <c r="O2898" s="695" t="s">
        <v>5247</v>
      </c>
      <c r="P2898" s="630"/>
      <c r="Q2898" s="631"/>
      <c r="R2898" s="632"/>
      <c r="S2898" s="633" t="s">
        <v>294</v>
      </c>
      <c r="T2898" s="102">
        <f t="shared" si="2162"/>
        <v>0</v>
      </c>
      <c r="U2898" s="78" t="str">
        <f>IF(NOT(ISNUMBER(G2898)), "", VLOOKUP(A2898,'Discount Lookup'!D:E,2,FALSE)*G2898)</f>
        <v/>
      </c>
      <c r="V2898" s="78" t="str">
        <f>IF(NOT(ISNUMBER(G2898)), "", VLOOKUP(A2898,'Discount Lookup'!G:H,2,FALSE)*G2898)</f>
        <v/>
      </c>
      <c r="W2898" s="102">
        <f t="shared" si="2163"/>
        <v>0</v>
      </c>
      <c r="X2898" s="102" t="str">
        <f t="shared" si="2164"/>
        <v>Creamy White bloom</v>
      </c>
      <c r="Y2898" s="120" t="b">
        <f t="shared" si="2165"/>
        <v>0</v>
      </c>
      <c r="Z2898" s="117">
        <f t="shared" si="2166"/>
        <v>0</v>
      </c>
      <c r="AA2898" s="118"/>
      <c r="AB2898" s="118" t="str">
        <f t="shared" si="2167"/>
        <v/>
      </c>
      <c r="AC2898" s="712" t="str">
        <f>IF(AE2898="T2G","no charge",IF(AND(OR(PlanterYesMe="No",PlanterYesMe="N",PlanterYesMe="me"),H2898=""),"",IF(H2898="credit","NO install",IF(AND(K2898="",AE2898="me"),"EACH row",IF(AND(K2898="images",AE2898="me"),"EACH row",IF(D2898="","",IF(H2898="credit","",IF(AE2898="free","re-planting",IF(AE2898="me","   not ELP, by",IF(AND(OR(PlanterYesMe="Yes",PlanterYesMe="Y"),G2898&gt;0),(VLOOKUP(A2898,'Discount Lookup'!J:K,2)*G2898*(1-PlanterDiscount)*(1+PlanterDifficultyPercentage)),IF(AE2898="ELP",(VLOOKUP(A2898,'Discount Lookup'!J:K,2)*G2898*(1-PlanterDiscount)*(1+PlanterDifficultyPercentage)),IF(AE2898="free","re-planting",IF(G2898=0,"",IF(PlanterYesMe="",IF(AE2898="me","   not ELP, by",IF(AE2898="",IF(G2898&gt;0,(VLOOKUP(A2898,'Discount Lookup'!J:K,2)*G2898*(1-PlanterDiscount)*(1+PlanterDifficultyPercentage)),""),"")),"   not ELP, by"))))))))))))))</f>
        <v/>
      </c>
      <c r="AD2898" s="712"/>
      <c r="AE2898" s="513" t="str">
        <f t="shared" si="2168"/>
        <v/>
      </c>
      <c r="AF2898" s="713" t="str">
        <f t="shared" si="2169"/>
        <v/>
      </c>
      <c r="AG2898" s="713"/>
      <c r="AH2898" s="713"/>
      <c r="AI2898" s="112">
        <f>IF(H2898="credit",0,IF(AE2898="free",0,IF(AE2898="me",0,IF(G2898&gt;0,(VLOOKUP(A2898,'Discount Lookup'!J:K,2)*G2898),0))))</f>
        <v>0</v>
      </c>
      <c r="AJ2898" s="107" t="str">
        <f t="shared" ca="1" si="2170"/>
        <v/>
      </c>
      <c r="AK2898" s="714" t="str">
        <f t="shared" si="2171"/>
        <v/>
      </c>
      <c r="AL2898" s="714"/>
      <c r="AM2898" s="114" t="str">
        <f t="shared" si="2172"/>
        <v/>
      </c>
      <c r="AN2898" s="115"/>
      <c r="AO2898" s="116"/>
      <c r="AP2898" s="116"/>
      <c r="AQ2898" s="116"/>
      <c r="AR2898" s="116"/>
      <c r="AS2898" s="116"/>
      <c r="AT2898" s="116"/>
      <c r="AU2898" s="116"/>
      <c r="AV2898" s="78"/>
      <c r="AW2898" s="102"/>
      <c r="AX2898" s="78"/>
      <c r="AY2898" s="78"/>
      <c r="AZ2898" s="78"/>
      <c r="BA2898" s="78"/>
      <c r="BB2898" s="78"/>
      <c r="BC2898" s="78"/>
      <c r="BD2898" s="78"/>
      <c r="BE2898" s="465"/>
      <c r="BF2898" s="165" t="str">
        <f t="shared" si="2173"/>
        <v>https://www.google.com/search?tbm=isch&amp;q=Magnolia%20virginiana%20%27Green%20Shadow%27%20Green%20Shadow%20Magnolia</v>
      </c>
      <c r="BG2898" s="165" t="str">
        <f t="shared" si="2174"/>
        <v>M</v>
      </c>
      <c r="BH2898" s="65"/>
      <c r="BI2898" s="65"/>
      <c r="BJ2898" s="65"/>
      <c r="BK2898" s="65"/>
      <c r="BL2898" s="99"/>
      <c r="BM2898" s="99"/>
      <c r="BN2898" s="99"/>
    </row>
    <row r="2899" spans="1:66" s="51" customFormat="1" ht="15.75" x14ac:dyDescent="0.25">
      <c r="A2899" s="634">
        <v>7</v>
      </c>
      <c r="B2899" s="635" t="s">
        <v>291</v>
      </c>
      <c r="C2899" s="636" t="s">
        <v>5079</v>
      </c>
      <c r="D2899" s="637" t="s">
        <v>299</v>
      </c>
      <c r="E2899" s="638">
        <v>109.95</v>
      </c>
      <c r="F2899" s="639" t="s">
        <v>292</v>
      </c>
      <c r="G2899" s="484">
        <v>0</v>
      </c>
      <c r="H2899" s="691" t="str">
        <f>IF(G2899=0,"",IF(F2899="Buy",IF(G2899=1,"plant","plants"),IF(F2899&gt;0.01,"warranty","Error")))</f>
        <v/>
      </c>
      <c r="I2899" s="640">
        <f>IF(H2899="free",0,IF(H2899="credit",((E2899*(F2899))*G2899*-1),IF(F2899="Buy",(E2899*G2899),((E2899*(1-F2899))*G2899))))</f>
        <v>0</v>
      </c>
      <c r="J2899" s="640">
        <f>IF(H2899="warranty",0,(I2899*(_xlfn.SINGLE(SalesTaxPercentage))))</f>
        <v>0</v>
      </c>
      <c r="K2899" s="716">
        <f t="shared" ref="K2899" si="2219">I2899+J2899</f>
        <v>0</v>
      </c>
      <c r="L2899" s="716"/>
      <c r="M2899" s="689" t="str">
        <f ca="1">IF(AND(G2899&gt;0,E2899=0),"WARNING - no PRICE inserted",IF(H2899="free","FREE ~ no charge this plant",IF(H2899="credit",CONCATENATE("-$",ROUND(K2899*(1-_xlfn.SINGLE(T2GDiscount))*-1,2)," CREDIT after discount"),IF(_xlfn.SINGLE(T2GDiscount)=0,"",IF(G2899=0,"",IF(F2899="Buy",CONCATENATE("$",ROUND(K2899*(1-_xlfn.SINGLE(T2GDiscount)),2)," with ",(_xlfn.SINGLE(T2GDiscount)*100),"% discount"),CONCATENATE("$",ROUND(K2899*(1-_xlfn.SINGLE(T2GDiscount)),2)," with ",((_xlfn.SINGLE(T2GDiscount)*100+F2899*100)-(_xlfn.SINGLE(T2GDiscount)*100*F2899)),IF(F2899&gt;0,"% discounts",IF(_xlfn.SINGLE(NoWarrantyDiscount)&gt;0,"% discounts","% discount")))))))))</f>
        <v/>
      </c>
      <c r="N2899" s="690"/>
      <c r="O2899" s="486"/>
      <c r="P2899" s="486"/>
      <c r="Q2899" s="486"/>
      <c r="R2899" s="486"/>
      <c r="S2899" s="486"/>
      <c r="T2899" s="102">
        <f t="shared" si="2162"/>
        <v>0</v>
      </c>
      <c r="U2899" s="78">
        <f>IF(NOT(ISNUMBER(G2899)), "", VLOOKUP(A2899,'Discount Lookup'!D:E,2,FALSE)*G2899)</f>
        <v>0</v>
      </c>
      <c r="V2899" s="78">
        <f>IF(NOT(ISNUMBER(G2899)), "", VLOOKUP(A2899,'Discount Lookup'!G:H,2,FALSE)*G2899)</f>
        <v>0</v>
      </c>
      <c r="W2899" s="102">
        <f t="shared" si="2163"/>
        <v>0</v>
      </c>
      <c r="X2899" s="102">
        <f t="shared" si="2164"/>
        <v>0</v>
      </c>
      <c r="Y2899" s="120" t="b">
        <f t="shared" si="2165"/>
        <v>0</v>
      </c>
      <c r="Z2899" s="117">
        <f t="shared" si="2166"/>
        <v>0</v>
      </c>
      <c r="AA2899" s="118"/>
      <c r="AB2899" s="118" t="str">
        <f t="shared" si="2167"/>
        <v/>
      </c>
      <c r="AC2899" s="712" t="str">
        <f>IF(AE2899="T2G","no charge",IF(AND(OR(PlanterYesMe="No",PlanterYesMe="N",PlanterYesMe="me"),H2899=""),"",IF(H2899="credit","NO install",IF(AND(K2899="",AE2899="me"),"EACH row",IF(AND(K2899="images",AE2899="me"),"EACH row",IF(D2899="","",IF(H2899="credit","",IF(AE2899="free","re-planting",IF(AE2899="me","   not ELP, by",IF(AND(OR(PlanterYesMe="Yes",PlanterYesMe="Y"),G2899&gt;0),(VLOOKUP(A2899,'Discount Lookup'!J:K,2)*G2899*(1-PlanterDiscount)*(1+PlanterDifficultyPercentage)),IF(AE2899="ELP",(VLOOKUP(A2899,'Discount Lookup'!J:K,2)*G2899*(1-PlanterDiscount)*(1+PlanterDifficultyPercentage)),IF(AE2899="free","re-planting",IF(G2899=0,"",IF(PlanterYesMe="",IF(AE2899="me","   not ELP, by",IF(AE2899="",IF(G2899&gt;0,(VLOOKUP(A2899,'Discount Lookup'!J:K,2)*G2899*(1-PlanterDiscount)*(1+PlanterDifficultyPercentage)),""),"")),"   not ELP, by"))))))))))))))</f>
        <v/>
      </c>
      <c r="AD2899" s="712"/>
      <c r="AE2899" s="513" t="str">
        <f t="shared" si="2168"/>
        <v/>
      </c>
      <c r="AF2899" s="713" t="str">
        <f t="shared" si="2169"/>
        <v/>
      </c>
      <c r="AG2899" s="713"/>
      <c r="AH2899" s="713"/>
      <c r="AI2899" s="112">
        <f>IF(H2899="credit",0,IF(AE2899="free",0,IF(AE2899="me",0,IF(G2899&gt;0,(VLOOKUP(A2899,'Discount Lookup'!J:K,2)*G2899),0))))</f>
        <v>0</v>
      </c>
      <c r="AJ2899" s="107" t="str">
        <f t="shared" ca="1" si="2170"/>
        <v/>
      </c>
      <c r="AK2899" s="714" t="str">
        <f t="shared" si="2171"/>
        <v/>
      </c>
      <c r="AL2899" s="714"/>
      <c r="AM2899" s="114" t="str">
        <f t="shared" si="2172"/>
        <v/>
      </c>
      <c r="AN2899" s="115"/>
      <c r="AO2899" s="116"/>
      <c r="AP2899" s="116"/>
      <c r="AQ2899" s="116"/>
      <c r="AR2899" s="116"/>
      <c r="AS2899" s="116"/>
      <c r="AT2899" s="116"/>
      <c r="AU2899" s="116"/>
      <c r="AV2899" s="78"/>
      <c r="AW2899" s="102"/>
      <c r="AX2899" s="78"/>
      <c r="AY2899" s="78"/>
      <c r="AZ2899" s="78"/>
      <c r="BA2899" s="78"/>
      <c r="BB2899" s="78"/>
      <c r="BC2899" s="78"/>
      <c r="BD2899" s="78"/>
      <c r="BE2899" s="465"/>
      <c r="BF2899" s="165" t="str">
        <f t="shared" si="2173"/>
        <v>https://www.google.com/search?tbm=isch&amp;q=7%20G4</v>
      </c>
      <c r="BG2899" s="165" t="str">
        <f t="shared" si="2174"/>
        <v>M</v>
      </c>
      <c r="BH2899" s="65"/>
      <c r="BI2899" s="65"/>
      <c r="BJ2899" s="65"/>
      <c r="BK2899" s="65"/>
      <c r="BL2899" s="99"/>
      <c r="BM2899" s="99"/>
      <c r="BN2899" s="99"/>
    </row>
    <row r="2900" spans="1:66" s="51" customFormat="1" ht="17.25" thickBot="1" x14ac:dyDescent="0.3">
      <c r="A2900" s="704" t="s">
        <v>5483</v>
      </c>
      <c r="B2900" s="642"/>
      <c r="C2900" s="710"/>
      <c r="D2900" s="643"/>
      <c r="E2900" s="643"/>
      <c r="F2900" s="644"/>
      <c r="G2900" s="645"/>
      <c r="H2900" s="646"/>
      <c r="I2900" s="647"/>
      <c r="J2900" s="648"/>
      <c r="K2900" s="649"/>
      <c r="L2900" s="650"/>
      <c r="M2900" s="650"/>
      <c r="N2900" s="644"/>
      <c r="O2900" s="644"/>
      <c r="P2900" s="644"/>
      <c r="Q2900" s="644"/>
      <c r="R2900" s="644"/>
      <c r="S2900" s="701" t="s">
        <v>5295</v>
      </c>
      <c r="T2900" s="102">
        <f t="shared" ref="T2900:T2963" si="2220">E2900*G2900</f>
        <v>0</v>
      </c>
      <c r="U2900" s="78" t="str">
        <f>IF(NOT(ISNUMBER(G2900)), "", VLOOKUP(A2900,'Discount Lookup'!D:E,2,FALSE)*G2900)</f>
        <v/>
      </c>
      <c r="V2900" s="78" t="str">
        <f>IF(NOT(ISNUMBER(G2900)), "", VLOOKUP(A2900,'Discount Lookup'!G:H,2,FALSE)*G2900)</f>
        <v/>
      </c>
      <c r="W2900" s="102">
        <f t="shared" ref="W2900:W2963" si="2221">IF(H2900="credit",0,E2900*(SalesTaxPercentage)*G2900)</f>
        <v>0</v>
      </c>
      <c r="X2900" s="102">
        <f t="shared" ref="X2900:X2963" si="2222">I2900</f>
        <v>0</v>
      </c>
      <c r="Y2900" s="120" t="b">
        <f t="shared" ref="Y2900:Y2963" si="2223">IF(AE2900="T2G",0,IF(H2900="credit",0,IF(G2900&gt;0,IF(AE2900="me","",G2900))))</f>
        <v>0</v>
      </c>
      <c r="Z2900" s="117">
        <f t="shared" ref="Z2900:Z2963" si="2224">IF(H2900="credit",G2900,0)</f>
        <v>0</v>
      </c>
      <c r="AA2900" s="118"/>
      <c r="AB2900" s="118" t="str">
        <f t="shared" ref="AB2900:AB2963" si="2225">IF(AE2900="T2G","by Trees2Go",IF(H2900="credit","CREDIT only ~",IF(AND(K2900="",AE2900=OR(PlanterYesMe="No",PlanterYesMe="N",PlanterYesMe="me")),"not THIS line⇨",IF(AND(K2900="images",AE2900="me"),"not THIS line⇨",IF(H2900="credit","",IF(G2900=0,"",IF(AE2900="me","",IF(OR(PlanterYesMe="No",PlanterYesMe="N",PlanterYesMe="me"),"",IF(AE2900="free","warranty",IF(OR(PlanterYesMe="yes",PlanterYesMe="y"),"Edison install:","to install:"))))))))))</f>
        <v/>
      </c>
      <c r="AC2900" s="712" t="str">
        <f>IF(AE2900="T2G","no charge",IF(AND(OR(PlanterYesMe="No",PlanterYesMe="N",PlanterYesMe="me"),H2900=""),"",IF(H2900="credit","NO install",IF(AND(K2900="",AE2900="me"),"EACH row",IF(AND(K2900="images",AE2900="me"),"EACH row",IF(D2900="","",IF(H2900="credit","",IF(AE2900="free","re-planting",IF(AE2900="me","   not ELP, by",IF(AND(OR(PlanterYesMe="Yes",PlanterYesMe="Y"),G2900&gt;0),(VLOOKUP(A2900,'Discount Lookup'!J:K,2)*G2900*(1-PlanterDiscount)*(1+PlanterDifficultyPercentage)),IF(AE2900="ELP",(VLOOKUP(A2900,'Discount Lookup'!J:K,2)*G2900*(1-PlanterDiscount)*(1+PlanterDifficultyPercentage)),IF(AE2900="free","re-planting",IF(G2900=0,"",IF(PlanterYesMe="",IF(AE2900="me","   not ELP, by",IF(AE2900="",IF(G2900&gt;0,(VLOOKUP(A2900,'Discount Lookup'!J:K,2)*G2900*(1-PlanterDiscount)*(1+PlanterDifficultyPercentage)),""),"")),"   not ELP, by"))))))))))))))</f>
        <v/>
      </c>
      <c r="AD2900" s="712"/>
      <c r="AE2900" s="513" t="str">
        <f t="shared" ref="AE2900:AE2963" si="2226">IF(H2900="credit","",IF(G2900=0,"",IF(OR(PlanterYesMe="No",PlanterYesMe="N",PlanterYesMe="me"),"me",IF(H2900="warranty","free",IF(OR(PlanterYesMe="yes",PlanterYesMe="y"),"ELP","")))))</f>
        <v/>
      </c>
      <c r="AF2900" s="713" t="str">
        <f t="shared" ref="AF2900:AF2963" si="2227">IF(OR(PlanterYesMe="No",PlanterYesMe="N",PlanterYesMe="me"),"",IF(H2900="credit","",IF(G2900&gt;0,(CONCATENATE((G2900)," quantity, ",(A2900)," ",B2900)),"")))</f>
        <v/>
      </c>
      <c r="AG2900" s="713"/>
      <c r="AH2900" s="713"/>
      <c r="AI2900" s="112">
        <f>IF(H2900="credit",0,IF(AE2900="free",0,IF(AE2900="me",0,IF(G2900&gt;0,(VLOOKUP(A2900,'Discount Lookup'!J:K,2)*G2900),0))))</f>
        <v>0</v>
      </c>
      <c r="AJ2900" s="107" t="str">
        <f t="shared" ref="AJ2900:AJ2963" ca="1" si="2228">IF(AND(ISREF(H2900),H2900="credit"),"",IF(AND(AND(OFFSET(G2900,0,0)=0,OFFSET(G2900,1,0)&gt;0,ISNUMBER(OFFSET(AC2900,1,0)),OFFSET(AC2900,1,0)&gt;0),OR(PlanterYesMe="yes",PlanterYesMe="y")),"T2G+ELP=",IF(AND(OFFSET(G2900,0,0)=0,OFFSET(G2900,1,0)&gt;0,ISNUMBER(OFFSET(AC2900,1,0)),OFFSET(AC2900,1,0)&gt;0),"if T2G+ELP=",IF(AND(OFFSET(G2900,0,0)=0,OFFSET(G2900,1,0)&gt;0),"T2G Subtotal",IF(H2900="credit","",IF(G2900=0,"",IF(AE2900="free",(K2900*(1-T2GDiscount)),IF(OR(PlanterYesMe="No",PlanterYesMe="N",PlanterYesMe="me"),(K2900*(1-T2GDiscount)),IF(OR(AE2900="me",AE2900="T2G"),(K2900*(1-T2GDiscount)),(K2900*(1-T2GDiscount))+AC2900)))))))))</f>
        <v/>
      </c>
      <c r="AK2900" s="714" t="str">
        <f t="shared" ref="AK2900:AK2963" si="2229">IF(H2900="credit","",IF(G2900=0,"",IF(OR(AE2900="me",AE2900="T2G"),"  delivery-only",IF(OR(PlanterYesMe="No",PlanterYesMe="N",PlanterYesMe="me"),"  delivery-only",CONCATENATE(" $",ROUND(AJ2900/G2900,2)," each")))))</f>
        <v/>
      </c>
      <c r="AL2900" s="714"/>
      <c r="AM2900" s="114" t="str">
        <f t="shared" ref="AM2900:AM2963" si="2230">IF(H2900="credit","",IF(AE2900="free","      ~ discounts included, no tax or planting fee applies ~",IF(G2900=0,"",IF(OR(PlanterYesMe="No",PlanterYesMe="N",PlanterYesMe="me"),CONCATENATE(" $",ROUND(AJ2900/G2900,2)," per plant, with tax &amp; discount"),IF(OR(AE2900="me",AE2900="T2G"),CONCATENATE(" $",ROUND(AJ2900/G2900,2)," per plant, with tax &amp; discount"),CONCATENATE("= $",ROUND((K2900*(1-T2GDiscount))/G2900,2)," per plant + $",AC2900/G2900,(" per planting      ~ includes tax &amp; discounts ~")))))))</f>
        <v/>
      </c>
      <c r="AN2900" s="115"/>
      <c r="AO2900" s="116"/>
      <c r="AP2900" s="116"/>
      <c r="AQ2900" s="116"/>
      <c r="AR2900" s="116"/>
      <c r="AS2900" s="116"/>
      <c r="AT2900" s="116"/>
      <c r="AU2900" s="116"/>
      <c r="AV2900" s="78"/>
      <c r="AW2900" s="102"/>
      <c r="AX2900" s="78"/>
      <c r="AY2900" s="78"/>
      <c r="AZ2900" s="78"/>
      <c r="BA2900" s="78"/>
      <c r="BB2900" s="78"/>
      <c r="BC2900" s="78"/>
      <c r="BD2900" s="78"/>
      <c r="BE2900" s="465"/>
      <c r="BF2900" s="165" t="str">
        <f t="shared" ref="BF2900:BF2963" si="2231">"https://www.google.com/search?tbm=isch&amp;q=" &amp; _xlfn.ENCODEURL($A2900 &amp; " " &amp; $D2900)</f>
        <v>https://www.google.com/search?tbm=isch&amp;q=wet%20sites%F0%9F%92%A7GOOD%2C%20Green%20Shadow%20has%20lemon-scented%20blooms%2C%20glossy%20foliage%20with%20shimmering%20Silver%20undersides%2C%20and%20strong%20cold%20tolerance%20</v>
      </c>
      <c r="BG2900" s="165" t="str">
        <f t="shared" ref="BG2900:BG2963" si="2232">IF(ISTEXT(A2900),LEFT(A2900,1),BG2899)</f>
        <v>w</v>
      </c>
      <c r="BH2900" s="65"/>
      <c r="BI2900" s="65"/>
      <c r="BJ2900" s="65"/>
      <c r="BK2900" s="65"/>
      <c r="BL2900" s="99"/>
      <c r="BM2900" s="99"/>
      <c r="BN2900" s="99"/>
    </row>
    <row r="2901" spans="1:66" s="51" customFormat="1" ht="18" x14ac:dyDescent="0.25">
      <c r="A2901" s="623" t="s">
        <v>3496</v>
      </c>
      <c r="B2901" s="624"/>
      <c r="C2901" s="709"/>
      <c r="D2901" s="625" t="s">
        <v>3497</v>
      </c>
      <c r="E2901" s="626"/>
      <c r="F2901" s="626"/>
      <c r="G2901" s="626"/>
      <c r="H2901" s="622" t="s">
        <v>493</v>
      </c>
      <c r="I2901" s="627" t="s">
        <v>350</v>
      </c>
      <c r="J2901" s="628"/>
      <c r="K2901" s="628"/>
      <c r="L2901" s="629"/>
      <c r="M2901" s="700" t="s">
        <v>5249</v>
      </c>
      <c r="N2901" s="693" t="str">
        <f>IF(AND(ISTEXT($A2901), ISERROR($A2901+0)), HYPERLINK($BF2901, "Images"), "")</f>
        <v>Images</v>
      </c>
      <c r="O2901" s="695" t="s">
        <v>5247</v>
      </c>
      <c r="P2901" s="630"/>
      <c r="Q2901" s="631"/>
      <c r="R2901" s="632"/>
      <c r="S2901" s="633"/>
      <c r="T2901" s="102">
        <f t="shared" si="2220"/>
        <v>0</v>
      </c>
      <c r="U2901" s="78" t="str">
        <f>IF(NOT(ISNUMBER(G2901)), "", VLOOKUP(A2901,'Discount Lookup'!D:E,2,FALSE)*G2901)</f>
        <v/>
      </c>
      <c r="V2901" s="78" t="str">
        <f>IF(NOT(ISNUMBER(G2901)), "", VLOOKUP(A2901,'Discount Lookup'!G:H,2,FALSE)*G2901)</f>
        <v/>
      </c>
      <c r="W2901" s="102">
        <f t="shared" si="2221"/>
        <v>0</v>
      </c>
      <c r="X2901" s="102" t="str">
        <f t="shared" si="2222"/>
        <v>Creamy White bloom</v>
      </c>
      <c r="Y2901" s="120" t="b">
        <f t="shared" si="2223"/>
        <v>0</v>
      </c>
      <c r="Z2901" s="117">
        <f t="shared" si="2224"/>
        <v>0</v>
      </c>
      <c r="AA2901" s="118"/>
      <c r="AB2901" s="118" t="str">
        <f t="shared" si="2225"/>
        <v/>
      </c>
      <c r="AC2901" s="712" t="str">
        <f>IF(AE2901="T2G","no charge",IF(AND(OR(PlanterYesMe="No",PlanterYesMe="N",PlanterYesMe="me"),H2901=""),"",IF(H2901="credit","NO install",IF(AND(K2901="",AE2901="me"),"EACH row",IF(AND(K2901="images",AE2901="me"),"EACH row",IF(D2901="","",IF(H2901="credit","",IF(AE2901="free","re-planting",IF(AE2901="me","   not ELP, by",IF(AND(OR(PlanterYesMe="Yes",PlanterYesMe="Y"),G2901&gt;0),(VLOOKUP(A2901,'Discount Lookup'!J:K,2)*G2901*(1-PlanterDiscount)*(1+PlanterDifficultyPercentage)),IF(AE2901="ELP",(VLOOKUP(A2901,'Discount Lookup'!J:K,2)*G2901*(1-PlanterDiscount)*(1+PlanterDifficultyPercentage)),IF(AE2901="free","re-planting",IF(G2901=0,"",IF(PlanterYesMe="",IF(AE2901="me","   not ELP, by",IF(AE2901="",IF(G2901&gt;0,(VLOOKUP(A2901,'Discount Lookup'!J:K,2)*G2901*(1-PlanterDiscount)*(1+PlanterDifficultyPercentage)),""),"")),"   not ELP, by"))))))))))))))</f>
        <v/>
      </c>
      <c r="AD2901" s="712"/>
      <c r="AE2901" s="513" t="str">
        <f t="shared" si="2226"/>
        <v/>
      </c>
      <c r="AF2901" s="713" t="str">
        <f t="shared" si="2227"/>
        <v/>
      </c>
      <c r="AG2901" s="713"/>
      <c r="AH2901" s="713"/>
      <c r="AI2901" s="112">
        <f>IF(H2901="credit",0,IF(AE2901="free",0,IF(AE2901="me",0,IF(G2901&gt;0,(VLOOKUP(A2901,'Discount Lookup'!J:K,2)*G2901),0))))</f>
        <v>0</v>
      </c>
      <c r="AJ2901" s="107" t="str">
        <f t="shared" ca="1" si="2228"/>
        <v/>
      </c>
      <c r="AK2901" s="714" t="str">
        <f t="shared" si="2229"/>
        <v/>
      </c>
      <c r="AL2901" s="714"/>
      <c r="AM2901" s="114" t="str">
        <f t="shared" si="2230"/>
        <v/>
      </c>
      <c r="AN2901" s="115"/>
      <c r="AO2901" s="116"/>
      <c r="AP2901" s="116"/>
      <c r="AQ2901" s="116"/>
      <c r="AR2901" s="116"/>
      <c r="AS2901" s="116"/>
      <c r="AT2901" s="116"/>
      <c r="AU2901" s="116"/>
      <c r="AV2901" s="78"/>
      <c r="AW2901" s="102"/>
      <c r="AX2901" s="78"/>
      <c r="AY2901" s="78"/>
      <c r="AZ2901" s="78"/>
      <c r="BA2901" s="78"/>
      <c r="BB2901" s="78"/>
      <c r="BC2901" s="78"/>
      <c r="BD2901" s="78"/>
      <c r="BE2901" s="465"/>
      <c r="BF2901" s="165" t="str">
        <f t="shared" si="2231"/>
        <v>https://www.google.com/search?tbm=isch&amp;q=Magnolia%20virginiana%20%27Jim%20Wilson%27%20PP%2312065%20Moonglow%20Magnolia</v>
      </c>
      <c r="BG2901" s="165" t="str">
        <f t="shared" si="2232"/>
        <v>M</v>
      </c>
      <c r="BH2901" s="65"/>
      <c r="BI2901" s="65"/>
      <c r="BJ2901" s="65"/>
      <c r="BK2901" s="65"/>
      <c r="BL2901" s="99"/>
      <c r="BM2901" s="99"/>
      <c r="BN2901" s="99"/>
    </row>
    <row r="2902" spans="1:66" s="51" customFormat="1" ht="15.75" x14ac:dyDescent="0.25">
      <c r="A2902" s="634">
        <v>7</v>
      </c>
      <c r="B2902" s="635" t="s">
        <v>291</v>
      </c>
      <c r="C2902" s="636" t="s">
        <v>3498</v>
      </c>
      <c r="D2902" s="637" t="s">
        <v>299</v>
      </c>
      <c r="E2902" s="638">
        <v>123.95</v>
      </c>
      <c r="F2902" s="639" t="s">
        <v>292</v>
      </c>
      <c r="G2902" s="484">
        <v>0</v>
      </c>
      <c r="H2902" s="691" t="str">
        <f>IF(G2902=0,"",IF(F2902="Buy",IF(G2902=1,"plant","plants"),IF(F2902&gt;0.01,"warranty","Error")))</f>
        <v/>
      </c>
      <c r="I2902" s="640">
        <f>IF(H2902="free",0,IF(H2902="credit",((E2902*(F2902))*G2902*-1),IF(F2902="Buy",(E2902*G2902),((E2902*(1-F2902))*G2902))))</f>
        <v>0</v>
      </c>
      <c r="J2902" s="640">
        <f>IF(H2902="warranty",0,(I2902*(_xlfn.SINGLE(SalesTaxPercentage))))</f>
        <v>0</v>
      </c>
      <c r="K2902" s="716">
        <f t="shared" ref="K2902" si="2233">I2902+J2902</f>
        <v>0</v>
      </c>
      <c r="L2902" s="716"/>
      <c r="M2902" s="689" t="str">
        <f ca="1">IF(AND(G2902&gt;0,E2902=0),"WARNING - no PRICE inserted",IF(H2902="free","FREE ~ no charge this plant",IF(H2902="credit",CONCATENATE("-$",ROUND(K2902*(1-_xlfn.SINGLE(T2GDiscount))*-1,2)," CREDIT after discount"),IF(_xlfn.SINGLE(T2GDiscount)=0,"",IF(G2902=0,"",IF(F2902="Buy",CONCATENATE("$",ROUND(K2902*(1-_xlfn.SINGLE(T2GDiscount)),2)," with ",(_xlfn.SINGLE(T2GDiscount)*100),"% discount"),CONCATENATE("$",ROUND(K2902*(1-_xlfn.SINGLE(T2GDiscount)),2)," with ",((_xlfn.SINGLE(T2GDiscount)*100+F2902*100)-(_xlfn.SINGLE(T2GDiscount)*100*F2902)),IF(F2902&gt;0,"% discounts",IF(_xlfn.SINGLE(NoWarrantyDiscount)&gt;0,"% discounts","% discount")))))))))</f>
        <v/>
      </c>
      <c r="N2902" s="690"/>
      <c r="O2902" s="486"/>
      <c r="P2902" s="486"/>
      <c r="Q2902" s="486"/>
      <c r="R2902" s="486"/>
      <c r="S2902" s="486"/>
      <c r="T2902" s="102">
        <f t="shared" si="2220"/>
        <v>0</v>
      </c>
      <c r="U2902" s="78">
        <f>IF(NOT(ISNUMBER(G2902)), "", VLOOKUP(A2902,'Discount Lookup'!D:E,2,FALSE)*G2902)</f>
        <v>0</v>
      </c>
      <c r="V2902" s="78">
        <f>IF(NOT(ISNUMBER(G2902)), "", VLOOKUP(A2902,'Discount Lookup'!G:H,2,FALSE)*G2902)</f>
        <v>0</v>
      </c>
      <c r="W2902" s="102">
        <f t="shared" si="2221"/>
        <v>0</v>
      </c>
      <c r="X2902" s="102">
        <f t="shared" si="2222"/>
        <v>0</v>
      </c>
      <c r="Y2902" s="120" t="b">
        <f t="shared" si="2223"/>
        <v>0</v>
      </c>
      <c r="Z2902" s="117">
        <f t="shared" si="2224"/>
        <v>0</v>
      </c>
      <c r="AA2902" s="118"/>
      <c r="AB2902" s="118" t="str">
        <f t="shared" si="2225"/>
        <v/>
      </c>
      <c r="AC2902" s="712" t="str">
        <f>IF(AE2902="T2G","no charge",IF(AND(OR(PlanterYesMe="No",PlanterYesMe="N",PlanterYesMe="me"),H2902=""),"",IF(H2902="credit","NO install",IF(AND(K2902="",AE2902="me"),"EACH row",IF(AND(K2902="images",AE2902="me"),"EACH row",IF(D2902="","",IF(H2902="credit","",IF(AE2902="free","re-planting",IF(AE2902="me","   not ELP, by",IF(AND(OR(PlanterYesMe="Yes",PlanterYesMe="Y"),G2902&gt;0),(VLOOKUP(A2902,'Discount Lookup'!J:K,2)*G2902*(1-PlanterDiscount)*(1+PlanterDifficultyPercentage)),IF(AE2902="ELP",(VLOOKUP(A2902,'Discount Lookup'!J:K,2)*G2902*(1-PlanterDiscount)*(1+PlanterDifficultyPercentage)),IF(AE2902="free","re-planting",IF(G2902=0,"",IF(PlanterYesMe="",IF(AE2902="me","   not ELP, by",IF(AE2902="",IF(G2902&gt;0,(VLOOKUP(A2902,'Discount Lookup'!J:K,2)*G2902*(1-PlanterDiscount)*(1+PlanterDifficultyPercentage)),""),"")),"   not ELP, by"))))))))))))))</f>
        <v/>
      </c>
      <c r="AD2902" s="712"/>
      <c r="AE2902" s="513" t="str">
        <f t="shared" si="2226"/>
        <v/>
      </c>
      <c r="AF2902" s="713" t="str">
        <f t="shared" si="2227"/>
        <v/>
      </c>
      <c r="AG2902" s="713"/>
      <c r="AH2902" s="713"/>
      <c r="AI2902" s="112">
        <f>IF(H2902="credit",0,IF(AE2902="free",0,IF(AE2902="me",0,IF(G2902&gt;0,(VLOOKUP(A2902,'Discount Lookup'!J:K,2)*G2902),0))))</f>
        <v>0</v>
      </c>
      <c r="AJ2902" s="107" t="str">
        <f t="shared" ca="1" si="2228"/>
        <v/>
      </c>
      <c r="AK2902" s="714" t="str">
        <f t="shared" si="2229"/>
        <v/>
      </c>
      <c r="AL2902" s="714"/>
      <c r="AM2902" s="114" t="str">
        <f t="shared" si="2230"/>
        <v/>
      </c>
      <c r="AN2902" s="115"/>
      <c r="AO2902" s="116"/>
      <c r="AP2902" s="116"/>
      <c r="AQ2902" s="116"/>
      <c r="AR2902" s="116"/>
      <c r="AS2902" s="116"/>
      <c r="AT2902" s="116"/>
      <c r="AU2902" s="116"/>
      <c r="AV2902" s="78"/>
      <c r="AW2902" s="102"/>
      <c r="AX2902" s="78"/>
      <c r="AY2902" s="78"/>
      <c r="AZ2902" s="78"/>
      <c r="BA2902" s="78"/>
      <c r="BB2902" s="78"/>
      <c r="BC2902" s="78"/>
      <c r="BD2902" s="78"/>
      <c r="BE2902" s="465"/>
      <c r="BF2902" s="165" t="str">
        <f t="shared" si="2231"/>
        <v>https://www.google.com/search?tbm=isch&amp;q=7%20G4</v>
      </c>
      <c r="BG2902" s="165" t="str">
        <f t="shared" si="2232"/>
        <v>M</v>
      </c>
      <c r="BH2902" s="65"/>
      <c r="BI2902" s="65"/>
      <c r="BJ2902" s="65"/>
      <c r="BK2902" s="65"/>
      <c r="BL2902" s="99"/>
      <c r="BM2902" s="99"/>
      <c r="BN2902" s="99"/>
    </row>
    <row r="2903" spans="1:66" s="51" customFormat="1" ht="15.75" x14ac:dyDescent="0.25">
      <c r="A2903" s="634">
        <v>7</v>
      </c>
      <c r="B2903" s="635" t="s">
        <v>291</v>
      </c>
      <c r="C2903" s="636" t="s">
        <v>3499</v>
      </c>
      <c r="D2903" s="637" t="s">
        <v>299</v>
      </c>
      <c r="E2903" s="638">
        <v>123.95</v>
      </c>
      <c r="F2903" s="639" t="s">
        <v>292</v>
      </c>
      <c r="G2903" s="484">
        <v>0</v>
      </c>
      <c r="H2903" s="691" t="str">
        <f>IF(G2903=0,"",IF(F2903="Buy",IF(G2903=1,"plant","plants"),IF(F2903&gt;0.01,"warranty","Error")))</f>
        <v/>
      </c>
      <c r="I2903" s="640">
        <f>IF(H2903="free",0,IF(H2903="credit",((E2903*(F2903))*G2903*-1),IF(F2903="Buy",(E2903*G2903),((E2903*(1-F2903))*G2903))))</f>
        <v>0</v>
      </c>
      <c r="J2903" s="640">
        <f>IF(H2903="warranty",0,(I2903*(_xlfn.SINGLE(SalesTaxPercentage))))</f>
        <v>0</v>
      </c>
      <c r="K2903" s="716">
        <f t="shared" ref="K2903" si="2234">I2903+J2903</f>
        <v>0</v>
      </c>
      <c r="L2903" s="716"/>
      <c r="M2903" s="689" t="str">
        <f ca="1">IF(AND(G2903&gt;0,E2903=0),"WARNING - no PRICE inserted",IF(H2903="free","FREE ~ no charge this plant",IF(H2903="credit",CONCATENATE("-$",ROUND(K2903*(1-_xlfn.SINGLE(T2GDiscount))*-1,2)," CREDIT after discount"),IF(_xlfn.SINGLE(T2GDiscount)=0,"",IF(G2903=0,"",IF(F2903="Buy",CONCATENATE("$",ROUND(K2903*(1-_xlfn.SINGLE(T2GDiscount)),2)," with ",(_xlfn.SINGLE(T2GDiscount)*100),"% discount"),CONCATENATE("$",ROUND(K2903*(1-_xlfn.SINGLE(T2GDiscount)),2)," with ",((_xlfn.SINGLE(T2GDiscount)*100+F2903*100)-(_xlfn.SINGLE(T2GDiscount)*100*F2903)),IF(F2903&gt;0,"% discounts",IF(_xlfn.SINGLE(NoWarrantyDiscount)&gt;0,"% discounts","% discount")))))))))</f>
        <v/>
      </c>
      <c r="N2903" s="690"/>
      <c r="O2903" s="486"/>
      <c r="P2903" s="486"/>
      <c r="Q2903" s="486"/>
      <c r="R2903" s="486"/>
      <c r="S2903" s="486"/>
      <c r="T2903" s="102">
        <f t="shared" si="2220"/>
        <v>0</v>
      </c>
      <c r="U2903" s="78">
        <f>IF(NOT(ISNUMBER(G2903)), "", VLOOKUP(A2903,'Discount Lookup'!D:E,2,FALSE)*G2903)</f>
        <v>0</v>
      </c>
      <c r="V2903" s="78">
        <f>IF(NOT(ISNUMBER(G2903)), "", VLOOKUP(A2903,'Discount Lookup'!G:H,2,FALSE)*G2903)</f>
        <v>0</v>
      </c>
      <c r="W2903" s="102">
        <f t="shared" si="2221"/>
        <v>0</v>
      </c>
      <c r="X2903" s="102">
        <f t="shared" si="2222"/>
        <v>0</v>
      </c>
      <c r="Y2903" s="120" t="b">
        <f t="shared" si="2223"/>
        <v>0</v>
      </c>
      <c r="Z2903" s="117">
        <f t="shared" si="2224"/>
        <v>0</v>
      </c>
      <c r="AA2903" s="118"/>
      <c r="AB2903" s="118" t="str">
        <f t="shared" si="2225"/>
        <v/>
      </c>
      <c r="AC2903" s="712" t="str">
        <f>IF(AE2903="T2G","no charge",IF(AND(OR(PlanterYesMe="No",PlanterYesMe="N",PlanterYesMe="me"),H2903=""),"",IF(H2903="credit","NO install",IF(AND(K2903="",AE2903="me"),"EACH row",IF(AND(K2903="images",AE2903="me"),"EACH row",IF(D2903="","",IF(H2903="credit","",IF(AE2903="free","re-planting",IF(AE2903="me","   not ELP, by",IF(AND(OR(PlanterYesMe="Yes",PlanterYesMe="Y"),G2903&gt;0),(VLOOKUP(A2903,'Discount Lookup'!J:K,2)*G2903*(1-PlanterDiscount)*(1+PlanterDifficultyPercentage)),IF(AE2903="ELP",(VLOOKUP(A2903,'Discount Lookup'!J:K,2)*G2903*(1-PlanterDiscount)*(1+PlanterDifficultyPercentage)),IF(AE2903="free","re-planting",IF(G2903=0,"",IF(PlanterYesMe="",IF(AE2903="me","   not ELP, by",IF(AE2903="",IF(G2903&gt;0,(VLOOKUP(A2903,'Discount Lookup'!J:K,2)*G2903*(1-PlanterDiscount)*(1+PlanterDifficultyPercentage)),""),"")),"   not ELP, by"))))))))))))))</f>
        <v/>
      </c>
      <c r="AD2903" s="712"/>
      <c r="AE2903" s="513" t="str">
        <f t="shared" si="2226"/>
        <v/>
      </c>
      <c r="AF2903" s="713" t="str">
        <f t="shared" si="2227"/>
        <v/>
      </c>
      <c r="AG2903" s="713"/>
      <c r="AH2903" s="713"/>
      <c r="AI2903" s="112">
        <f>IF(H2903="credit",0,IF(AE2903="free",0,IF(AE2903="me",0,IF(G2903&gt;0,(VLOOKUP(A2903,'Discount Lookup'!J:K,2)*G2903),0))))</f>
        <v>0</v>
      </c>
      <c r="AJ2903" s="107" t="str">
        <f t="shared" ca="1" si="2228"/>
        <v/>
      </c>
      <c r="AK2903" s="714" t="str">
        <f t="shared" si="2229"/>
        <v/>
      </c>
      <c r="AL2903" s="714"/>
      <c r="AM2903" s="114" t="str">
        <f t="shared" si="2230"/>
        <v/>
      </c>
      <c r="AN2903" s="115"/>
      <c r="AO2903" s="116"/>
      <c r="AP2903" s="116"/>
      <c r="AQ2903" s="116"/>
      <c r="AR2903" s="116"/>
      <c r="AS2903" s="116"/>
      <c r="AT2903" s="116"/>
      <c r="AU2903" s="116"/>
      <c r="AV2903" s="78"/>
      <c r="AW2903" s="102"/>
      <c r="AX2903" s="78"/>
      <c r="AY2903" s="78"/>
      <c r="AZ2903" s="78"/>
      <c r="BA2903" s="78"/>
      <c r="BB2903" s="78"/>
      <c r="BC2903" s="78"/>
      <c r="BD2903" s="78"/>
      <c r="BE2903" s="465"/>
      <c r="BF2903" s="165" t="str">
        <f t="shared" si="2231"/>
        <v>https://www.google.com/search?tbm=isch&amp;q=7%20G4</v>
      </c>
      <c r="BG2903" s="165" t="str">
        <f t="shared" si="2232"/>
        <v>M</v>
      </c>
      <c r="BH2903" s="65"/>
      <c r="BI2903" s="65"/>
      <c r="BJ2903" s="65"/>
      <c r="BK2903" s="65"/>
      <c r="BL2903" s="99"/>
      <c r="BM2903" s="99"/>
      <c r="BN2903" s="99"/>
    </row>
    <row r="2904" spans="1:66" s="51" customFormat="1" ht="15.75" x14ac:dyDescent="0.25">
      <c r="A2904" s="634">
        <v>15</v>
      </c>
      <c r="B2904" s="635" t="s">
        <v>291</v>
      </c>
      <c r="C2904" s="636" t="s">
        <v>5195</v>
      </c>
      <c r="D2904" s="637" t="s">
        <v>299</v>
      </c>
      <c r="E2904" s="638">
        <v>192.95</v>
      </c>
      <c r="F2904" s="639" t="s">
        <v>292</v>
      </c>
      <c r="G2904" s="484">
        <v>0</v>
      </c>
      <c r="H2904" s="691" t="str">
        <f>IF(G2904=0,"",IF(F2904="Buy",IF(G2904=1,"plant","plants"),IF(F2904&gt;0.01,"warranty","Error")))</f>
        <v/>
      </c>
      <c r="I2904" s="640">
        <f>IF(H2904="free",0,IF(H2904="credit",((E2904*(F2904))*G2904*-1),IF(F2904="Buy",(E2904*G2904),((E2904*(1-F2904))*G2904))))</f>
        <v>0</v>
      </c>
      <c r="J2904" s="640">
        <f>IF(H2904="warranty",0,(I2904*(_xlfn.SINGLE(SalesTaxPercentage))))</f>
        <v>0</v>
      </c>
      <c r="K2904" s="716">
        <f t="shared" ref="K2904" si="2235">I2904+J2904</f>
        <v>0</v>
      </c>
      <c r="L2904" s="716"/>
      <c r="M2904" s="689" t="str">
        <f ca="1">IF(AND(G2904&gt;0,E2904=0),"WARNING - no PRICE inserted",IF(H2904="free","FREE ~ no charge this plant",IF(H2904="credit",CONCATENATE("-$",ROUND(K2904*(1-_xlfn.SINGLE(T2GDiscount))*-1,2)," CREDIT after discount"),IF(_xlfn.SINGLE(T2GDiscount)=0,"",IF(G2904=0,"",IF(F2904="Buy",CONCATENATE("$",ROUND(K2904*(1-_xlfn.SINGLE(T2GDiscount)),2)," with ",(_xlfn.SINGLE(T2GDiscount)*100),"% discount"),CONCATENATE("$",ROUND(K2904*(1-_xlfn.SINGLE(T2GDiscount)),2)," with ",((_xlfn.SINGLE(T2GDiscount)*100+F2904*100)-(_xlfn.SINGLE(T2GDiscount)*100*F2904)),IF(F2904&gt;0,"% discounts",IF(_xlfn.SINGLE(NoWarrantyDiscount)&gt;0,"% discounts","% discount")))))))))</f>
        <v/>
      </c>
      <c r="N2904" s="690"/>
      <c r="O2904" s="486"/>
      <c r="P2904" s="486"/>
      <c r="Q2904" s="486"/>
      <c r="R2904" s="486"/>
      <c r="S2904" s="486"/>
      <c r="T2904" s="102">
        <f t="shared" si="2220"/>
        <v>0</v>
      </c>
      <c r="U2904" s="78">
        <f>IF(NOT(ISNUMBER(G2904)), "", VLOOKUP(A2904,'Discount Lookup'!D:E,2,FALSE)*G2904)</f>
        <v>0</v>
      </c>
      <c r="V2904" s="78">
        <f>IF(NOT(ISNUMBER(G2904)), "", VLOOKUP(A2904,'Discount Lookup'!G:H,2,FALSE)*G2904)</f>
        <v>0</v>
      </c>
      <c r="W2904" s="102">
        <f t="shared" si="2221"/>
        <v>0</v>
      </c>
      <c r="X2904" s="102">
        <f t="shared" si="2222"/>
        <v>0</v>
      </c>
      <c r="Y2904" s="120" t="b">
        <f t="shared" si="2223"/>
        <v>0</v>
      </c>
      <c r="Z2904" s="117">
        <f t="shared" si="2224"/>
        <v>0</v>
      </c>
      <c r="AA2904" s="118"/>
      <c r="AB2904" s="118" t="str">
        <f t="shared" si="2225"/>
        <v/>
      </c>
      <c r="AC2904" s="712" t="str">
        <f>IF(AE2904="T2G","no charge",IF(AND(OR(PlanterYesMe="No",PlanterYesMe="N",PlanterYesMe="me"),H2904=""),"",IF(H2904="credit","NO install",IF(AND(K2904="",AE2904="me"),"EACH row",IF(AND(K2904="images",AE2904="me"),"EACH row",IF(D2904="","",IF(H2904="credit","",IF(AE2904="free","re-planting",IF(AE2904="me","   not ELP, by",IF(AND(OR(PlanterYesMe="Yes",PlanterYesMe="Y"),G2904&gt;0),(VLOOKUP(A2904,'Discount Lookup'!J:K,2)*G2904*(1-PlanterDiscount)*(1+PlanterDifficultyPercentage)),IF(AE2904="ELP",(VLOOKUP(A2904,'Discount Lookup'!J:K,2)*G2904*(1-PlanterDiscount)*(1+PlanterDifficultyPercentage)),IF(AE2904="free","re-planting",IF(G2904=0,"",IF(PlanterYesMe="",IF(AE2904="me","   not ELP, by",IF(AE2904="",IF(G2904&gt;0,(VLOOKUP(A2904,'Discount Lookup'!J:K,2)*G2904*(1-PlanterDiscount)*(1+PlanterDifficultyPercentage)),""),"")),"   not ELP, by"))))))))))))))</f>
        <v/>
      </c>
      <c r="AD2904" s="712"/>
      <c r="AE2904" s="513" t="str">
        <f t="shared" si="2226"/>
        <v/>
      </c>
      <c r="AF2904" s="713" t="str">
        <f t="shared" si="2227"/>
        <v/>
      </c>
      <c r="AG2904" s="713"/>
      <c r="AH2904" s="713"/>
      <c r="AI2904" s="112">
        <f>IF(H2904="credit",0,IF(AE2904="free",0,IF(AE2904="me",0,IF(G2904&gt;0,(VLOOKUP(A2904,'Discount Lookup'!J:K,2)*G2904),0))))</f>
        <v>0</v>
      </c>
      <c r="AJ2904" s="107" t="str">
        <f t="shared" ca="1" si="2228"/>
        <v/>
      </c>
      <c r="AK2904" s="714" t="str">
        <f t="shared" si="2229"/>
        <v/>
      </c>
      <c r="AL2904" s="714"/>
      <c r="AM2904" s="114" t="str">
        <f t="shared" si="2230"/>
        <v/>
      </c>
      <c r="AN2904" s="115"/>
      <c r="AO2904" s="116"/>
      <c r="AP2904" s="116"/>
      <c r="AQ2904" s="116"/>
      <c r="AR2904" s="116"/>
      <c r="AS2904" s="116"/>
      <c r="AT2904" s="116"/>
      <c r="AU2904" s="116"/>
      <c r="AV2904" s="78"/>
      <c r="AW2904" s="102"/>
      <c r="AX2904" s="78"/>
      <c r="AY2904" s="78"/>
      <c r="AZ2904" s="78"/>
      <c r="BA2904" s="78"/>
      <c r="BB2904" s="78"/>
      <c r="BC2904" s="78"/>
      <c r="BD2904" s="78"/>
      <c r="BE2904" s="465"/>
      <c r="BF2904" s="165" t="str">
        <f t="shared" si="2231"/>
        <v>https://www.google.com/search?tbm=isch&amp;q=15%20G4</v>
      </c>
      <c r="BG2904" s="165" t="str">
        <f t="shared" si="2232"/>
        <v>M</v>
      </c>
      <c r="BH2904" s="65"/>
      <c r="BI2904" s="65"/>
      <c r="BJ2904" s="65"/>
      <c r="BK2904" s="65"/>
      <c r="BL2904" s="99"/>
      <c r="BM2904" s="99"/>
      <c r="BN2904" s="99"/>
    </row>
    <row r="2905" spans="1:66" s="51" customFormat="1" ht="27" x14ac:dyDescent="0.25">
      <c r="A2905" s="634">
        <v>15</v>
      </c>
      <c r="B2905" s="635" t="s">
        <v>291</v>
      </c>
      <c r="C2905" s="636" t="s">
        <v>3500</v>
      </c>
      <c r="D2905" s="637" t="s">
        <v>299</v>
      </c>
      <c r="E2905" s="638">
        <v>192.95</v>
      </c>
      <c r="F2905" s="639" t="s">
        <v>292</v>
      </c>
      <c r="G2905" s="484">
        <v>0</v>
      </c>
      <c r="H2905" s="691" t="str">
        <f>IF(G2905=0,"",IF(F2905="Buy",IF(G2905=1,"plant","plants"),IF(F2905&gt;0.01,"warranty","Error")))</f>
        <v/>
      </c>
      <c r="I2905" s="640">
        <f>IF(H2905="free",0,IF(H2905="credit",((E2905*(F2905))*G2905*-1),IF(F2905="Buy",(E2905*G2905),((E2905*(1-F2905))*G2905))))</f>
        <v>0</v>
      </c>
      <c r="J2905" s="640">
        <f>IF(H2905="warranty",0,(I2905*(_xlfn.SINGLE(SalesTaxPercentage))))</f>
        <v>0</v>
      </c>
      <c r="K2905" s="716">
        <f t="shared" ref="K2905" si="2236">I2905+J2905</f>
        <v>0</v>
      </c>
      <c r="L2905" s="716"/>
      <c r="M2905" s="689" t="str">
        <f ca="1">IF(AND(G2905&gt;0,E2905=0),"WARNING - no PRICE inserted",IF(H2905="free","FREE ~ no charge this plant",IF(H2905="credit",CONCATENATE("-$",ROUND(K2905*(1-_xlfn.SINGLE(T2GDiscount))*-1,2)," CREDIT after discount"),IF(_xlfn.SINGLE(T2GDiscount)=0,"",IF(G2905=0,"",IF(F2905="Buy",CONCATENATE("$",ROUND(K2905*(1-_xlfn.SINGLE(T2GDiscount)),2)," with ",(_xlfn.SINGLE(T2GDiscount)*100),"% discount"),CONCATENATE("$",ROUND(K2905*(1-_xlfn.SINGLE(T2GDiscount)),2)," with ",((_xlfn.SINGLE(T2GDiscount)*100+F2905*100)-(_xlfn.SINGLE(T2GDiscount)*100*F2905)),IF(F2905&gt;0,"% discounts",IF(_xlfn.SINGLE(NoWarrantyDiscount)&gt;0,"% discounts","% discount")))))))))</f>
        <v/>
      </c>
      <c r="N2905" s="690"/>
      <c r="O2905" s="486"/>
      <c r="P2905" s="486"/>
      <c r="Q2905" s="486"/>
      <c r="R2905" s="486"/>
      <c r="S2905" s="486"/>
      <c r="T2905" s="102">
        <f t="shared" si="2220"/>
        <v>0</v>
      </c>
      <c r="U2905" s="78">
        <f>IF(NOT(ISNUMBER(G2905)), "", VLOOKUP(A2905,'Discount Lookup'!D:E,2,FALSE)*G2905)</f>
        <v>0</v>
      </c>
      <c r="V2905" s="78">
        <f>IF(NOT(ISNUMBER(G2905)), "", VLOOKUP(A2905,'Discount Lookup'!G:H,2,FALSE)*G2905)</f>
        <v>0</v>
      </c>
      <c r="W2905" s="102">
        <f t="shared" si="2221"/>
        <v>0</v>
      </c>
      <c r="X2905" s="102">
        <f t="shared" si="2222"/>
        <v>0</v>
      </c>
      <c r="Y2905" s="120" t="b">
        <f t="shared" si="2223"/>
        <v>0</v>
      </c>
      <c r="Z2905" s="117">
        <f t="shared" si="2224"/>
        <v>0</v>
      </c>
      <c r="AA2905" s="118"/>
      <c r="AB2905" s="118" t="str">
        <f t="shared" si="2225"/>
        <v/>
      </c>
      <c r="AC2905" s="712" t="str">
        <f>IF(AE2905="T2G","no charge",IF(AND(OR(PlanterYesMe="No",PlanterYesMe="N",PlanterYesMe="me"),H2905=""),"",IF(H2905="credit","NO install",IF(AND(K2905="",AE2905="me"),"EACH row",IF(AND(K2905="images",AE2905="me"),"EACH row",IF(D2905="","",IF(H2905="credit","",IF(AE2905="free","re-planting",IF(AE2905="me","   not ELP, by",IF(AND(OR(PlanterYesMe="Yes",PlanterYesMe="Y"),G2905&gt;0),(VLOOKUP(A2905,'Discount Lookup'!J:K,2)*G2905*(1-PlanterDiscount)*(1+PlanterDifficultyPercentage)),IF(AE2905="ELP",(VLOOKUP(A2905,'Discount Lookup'!J:K,2)*G2905*(1-PlanterDiscount)*(1+PlanterDifficultyPercentage)),IF(AE2905="free","re-planting",IF(G2905=0,"",IF(PlanterYesMe="",IF(AE2905="me","   not ELP, by",IF(AE2905="",IF(G2905&gt;0,(VLOOKUP(A2905,'Discount Lookup'!J:K,2)*G2905*(1-PlanterDiscount)*(1+PlanterDifficultyPercentage)),""),"")),"   not ELP, by"))))))))))))))</f>
        <v/>
      </c>
      <c r="AD2905" s="712"/>
      <c r="AE2905" s="513" t="str">
        <f t="shared" si="2226"/>
        <v/>
      </c>
      <c r="AF2905" s="713" t="str">
        <f t="shared" si="2227"/>
        <v/>
      </c>
      <c r="AG2905" s="713"/>
      <c r="AH2905" s="713"/>
      <c r="AI2905" s="112">
        <f>IF(H2905="credit",0,IF(AE2905="free",0,IF(AE2905="me",0,IF(G2905&gt;0,(VLOOKUP(A2905,'Discount Lookup'!J:K,2)*G2905),0))))</f>
        <v>0</v>
      </c>
      <c r="AJ2905" s="107" t="str">
        <f t="shared" ca="1" si="2228"/>
        <v/>
      </c>
      <c r="AK2905" s="714" t="str">
        <f t="shared" si="2229"/>
        <v/>
      </c>
      <c r="AL2905" s="714"/>
      <c r="AM2905" s="114" t="str">
        <f t="shared" si="2230"/>
        <v/>
      </c>
      <c r="AN2905" s="115"/>
      <c r="AO2905" s="116"/>
      <c r="AP2905" s="116"/>
      <c r="AQ2905" s="116"/>
      <c r="AR2905" s="116"/>
      <c r="AS2905" s="116"/>
      <c r="AT2905" s="116"/>
      <c r="AU2905" s="116"/>
      <c r="AV2905" s="78"/>
      <c r="AW2905" s="102"/>
      <c r="AX2905" s="78"/>
      <c r="AY2905" s="78"/>
      <c r="AZ2905" s="78"/>
      <c r="BA2905" s="78"/>
      <c r="BB2905" s="78"/>
      <c r="BC2905" s="78"/>
      <c r="BD2905" s="78"/>
      <c r="BE2905" s="465"/>
      <c r="BF2905" s="165" t="str">
        <f t="shared" si="2231"/>
        <v>https://www.google.com/search?tbm=isch&amp;q=15%20G4</v>
      </c>
      <c r="BG2905" s="165" t="str">
        <f t="shared" si="2232"/>
        <v>M</v>
      </c>
      <c r="BH2905" s="65"/>
      <c r="BI2905" s="65"/>
      <c r="BJ2905" s="65"/>
      <c r="BK2905" s="65"/>
      <c r="BL2905" s="99"/>
      <c r="BM2905" s="99"/>
      <c r="BN2905" s="99"/>
    </row>
    <row r="2906" spans="1:66" s="51" customFormat="1" ht="15.75" x14ac:dyDescent="0.25">
      <c r="A2906" s="634">
        <v>25</v>
      </c>
      <c r="B2906" s="635" t="s">
        <v>291</v>
      </c>
      <c r="C2906" s="636" t="s">
        <v>3501</v>
      </c>
      <c r="D2906" s="637" t="s">
        <v>299</v>
      </c>
      <c r="E2906" s="638">
        <v>367.95</v>
      </c>
      <c r="F2906" s="639" t="s">
        <v>292</v>
      </c>
      <c r="G2906" s="484">
        <v>0</v>
      </c>
      <c r="H2906" s="691" t="str">
        <f>IF(G2906=0,"",IF(F2906="Buy",IF(G2906=1,"plant","plants"),IF(F2906&gt;0.01,"warranty","Error")))</f>
        <v/>
      </c>
      <c r="I2906" s="640">
        <f>IF(H2906="free",0,IF(H2906="credit",((E2906*(F2906))*G2906*-1),IF(F2906="Buy",(E2906*G2906),((E2906*(1-F2906))*G2906))))</f>
        <v>0</v>
      </c>
      <c r="J2906" s="640">
        <f>IF(H2906="warranty",0,(I2906*(_xlfn.SINGLE(SalesTaxPercentage))))</f>
        <v>0</v>
      </c>
      <c r="K2906" s="716">
        <f t="shared" ref="K2906" si="2237">I2906+J2906</f>
        <v>0</v>
      </c>
      <c r="L2906" s="716"/>
      <c r="M2906" s="689" t="str">
        <f ca="1">IF(AND(G2906&gt;0,E2906=0),"WARNING - no PRICE inserted",IF(H2906="free","FREE ~ no charge this plant",IF(H2906="credit",CONCATENATE("-$",ROUND(K2906*(1-_xlfn.SINGLE(T2GDiscount))*-1,2)," CREDIT after discount"),IF(_xlfn.SINGLE(T2GDiscount)=0,"",IF(G2906=0,"",IF(F2906="Buy",CONCATENATE("$",ROUND(K2906*(1-_xlfn.SINGLE(T2GDiscount)),2)," with ",(_xlfn.SINGLE(T2GDiscount)*100),"% discount"),CONCATENATE("$",ROUND(K2906*(1-_xlfn.SINGLE(T2GDiscount)),2)," with ",((_xlfn.SINGLE(T2GDiscount)*100+F2906*100)-(_xlfn.SINGLE(T2GDiscount)*100*F2906)),IF(F2906&gt;0,"% discounts",IF(_xlfn.SINGLE(NoWarrantyDiscount)&gt;0,"% discounts","% discount")))))))))</f>
        <v/>
      </c>
      <c r="N2906" s="690"/>
      <c r="O2906" s="486"/>
      <c r="P2906" s="486"/>
      <c r="Q2906" s="486"/>
      <c r="R2906" s="486"/>
      <c r="S2906" s="486"/>
      <c r="T2906" s="102">
        <f t="shared" si="2220"/>
        <v>0</v>
      </c>
      <c r="U2906" s="78">
        <f>IF(NOT(ISNUMBER(G2906)), "", VLOOKUP(A2906,'Discount Lookup'!D:E,2,FALSE)*G2906)</f>
        <v>0</v>
      </c>
      <c r="V2906" s="78">
        <f>IF(NOT(ISNUMBER(G2906)), "", VLOOKUP(A2906,'Discount Lookup'!G:H,2,FALSE)*G2906)</f>
        <v>0</v>
      </c>
      <c r="W2906" s="102">
        <f t="shared" si="2221"/>
        <v>0</v>
      </c>
      <c r="X2906" s="102">
        <f t="shared" si="2222"/>
        <v>0</v>
      </c>
      <c r="Y2906" s="120" t="b">
        <f t="shared" si="2223"/>
        <v>0</v>
      </c>
      <c r="Z2906" s="117">
        <f t="shared" si="2224"/>
        <v>0</v>
      </c>
      <c r="AA2906" s="118"/>
      <c r="AB2906" s="118" t="str">
        <f t="shared" si="2225"/>
        <v/>
      </c>
      <c r="AC2906" s="712" t="str">
        <f>IF(AE2906="T2G","no charge",IF(AND(OR(PlanterYesMe="No",PlanterYesMe="N",PlanterYesMe="me"),H2906=""),"",IF(H2906="credit","NO install",IF(AND(K2906="",AE2906="me"),"EACH row",IF(AND(K2906="images",AE2906="me"),"EACH row",IF(D2906="","",IF(H2906="credit","",IF(AE2906="free","re-planting",IF(AE2906="me","   not ELP, by",IF(AND(OR(PlanterYesMe="Yes",PlanterYesMe="Y"),G2906&gt;0),(VLOOKUP(A2906,'Discount Lookup'!J:K,2)*G2906*(1-PlanterDiscount)*(1+PlanterDifficultyPercentage)),IF(AE2906="ELP",(VLOOKUP(A2906,'Discount Lookup'!J:K,2)*G2906*(1-PlanterDiscount)*(1+PlanterDifficultyPercentage)),IF(AE2906="free","re-planting",IF(G2906=0,"",IF(PlanterYesMe="",IF(AE2906="me","   not ELP, by",IF(AE2906="",IF(G2906&gt;0,(VLOOKUP(A2906,'Discount Lookup'!J:K,2)*G2906*(1-PlanterDiscount)*(1+PlanterDifficultyPercentage)),""),"")),"   not ELP, by"))))))))))))))</f>
        <v/>
      </c>
      <c r="AD2906" s="712"/>
      <c r="AE2906" s="513" t="str">
        <f t="shared" si="2226"/>
        <v/>
      </c>
      <c r="AF2906" s="713" t="str">
        <f t="shared" si="2227"/>
        <v/>
      </c>
      <c r="AG2906" s="713"/>
      <c r="AH2906" s="713"/>
      <c r="AI2906" s="112">
        <f>IF(H2906="credit",0,IF(AE2906="free",0,IF(AE2906="me",0,IF(G2906&gt;0,(VLOOKUP(A2906,'Discount Lookup'!J:K,2)*G2906),0))))</f>
        <v>0</v>
      </c>
      <c r="AJ2906" s="107" t="str">
        <f t="shared" ca="1" si="2228"/>
        <v/>
      </c>
      <c r="AK2906" s="714" t="str">
        <f t="shared" si="2229"/>
        <v/>
      </c>
      <c r="AL2906" s="714"/>
      <c r="AM2906" s="114" t="str">
        <f t="shared" si="2230"/>
        <v/>
      </c>
      <c r="AN2906" s="115"/>
      <c r="AO2906" s="116"/>
      <c r="AP2906" s="116"/>
      <c r="AQ2906" s="116"/>
      <c r="AR2906" s="116"/>
      <c r="AS2906" s="116"/>
      <c r="AT2906" s="116"/>
      <c r="AU2906" s="116"/>
      <c r="AV2906" s="78"/>
      <c r="AW2906" s="102"/>
      <c r="AX2906" s="78"/>
      <c r="AY2906" s="78"/>
      <c r="AZ2906" s="78"/>
      <c r="BA2906" s="78"/>
      <c r="BB2906" s="78"/>
      <c r="BC2906" s="78"/>
      <c r="BD2906" s="78"/>
      <c r="BE2906" s="465"/>
      <c r="BF2906" s="165" t="str">
        <f t="shared" si="2231"/>
        <v>https://www.google.com/search?tbm=isch&amp;q=25%20G4</v>
      </c>
      <c r="BG2906" s="165" t="str">
        <f t="shared" si="2232"/>
        <v>M</v>
      </c>
      <c r="BH2906" s="65"/>
      <c r="BI2906" s="65"/>
      <c r="BJ2906" s="65"/>
      <c r="BK2906" s="65"/>
      <c r="BL2906" s="99"/>
      <c r="BM2906" s="99"/>
      <c r="BN2906" s="99"/>
    </row>
    <row r="2907" spans="1:66" s="51" customFormat="1" ht="17.25" thickBot="1" x14ac:dyDescent="0.3">
      <c r="A2907" s="704" t="s">
        <v>5484</v>
      </c>
      <c r="B2907" s="642"/>
      <c r="C2907" s="710"/>
      <c r="D2907" s="643"/>
      <c r="E2907" s="643"/>
      <c r="F2907" s="644"/>
      <c r="G2907" s="645"/>
      <c r="H2907" s="646"/>
      <c r="I2907" s="647"/>
      <c r="J2907" s="648"/>
      <c r="K2907" s="649"/>
      <c r="L2907" s="650"/>
      <c r="M2907" s="650"/>
      <c r="N2907" s="644"/>
      <c r="O2907" s="644"/>
      <c r="P2907" s="644"/>
      <c r="Q2907" s="644"/>
      <c r="R2907" s="644"/>
      <c r="S2907" s="701" t="s">
        <v>5273</v>
      </c>
      <c r="T2907" s="102">
        <f t="shared" si="2220"/>
        <v>0</v>
      </c>
      <c r="U2907" s="78" t="str">
        <f>IF(NOT(ISNUMBER(G2907)), "", VLOOKUP(A2907,'Discount Lookup'!D:E,2,FALSE)*G2907)</f>
        <v/>
      </c>
      <c r="V2907" s="78" t="str">
        <f>IF(NOT(ISNUMBER(G2907)), "", VLOOKUP(A2907,'Discount Lookup'!G:H,2,FALSE)*G2907)</f>
        <v/>
      </c>
      <c r="W2907" s="102">
        <f t="shared" si="2221"/>
        <v>0</v>
      </c>
      <c r="X2907" s="102">
        <f t="shared" si="2222"/>
        <v>0</v>
      </c>
      <c r="Y2907" s="120" t="b">
        <f t="shared" si="2223"/>
        <v>0</v>
      </c>
      <c r="Z2907" s="117">
        <f t="shared" si="2224"/>
        <v>0</v>
      </c>
      <c r="AA2907" s="118"/>
      <c r="AB2907" s="118" t="str">
        <f t="shared" si="2225"/>
        <v/>
      </c>
      <c r="AC2907" s="712" t="str">
        <f>IF(AE2907="T2G","no charge",IF(AND(OR(PlanterYesMe="No",PlanterYesMe="N",PlanterYesMe="me"),H2907=""),"",IF(H2907="credit","NO install",IF(AND(K2907="",AE2907="me"),"EACH row",IF(AND(K2907="images",AE2907="me"),"EACH row",IF(D2907="","",IF(H2907="credit","",IF(AE2907="free","re-planting",IF(AE2907="me","   not ELP, by",IF(AND(OR(PlanterYesMe="Yes",PlanterYesMe="Y"),G2907&gt;0),(VLOOKUP(A2907,'Discount Lookup'!J:K,2)*G2907*(1-PlanterDiscount)*(1+PlanterDifficultyPercentage)),IF(AE2907="ELP",(VLOOKUP(A2907,'Discount Lookup'!J:K,2)*G2907*(1-PlanterDiscount)*(1+PlanterDifficultyPercentage)),IF(AE2907="free","re-planting",IF(G2907=0,"",IF(PlanterYesMe="",IF(AE2907="me","   not ELP, by",IF(AE2907="",IF(G2907&gt;0,(VLOOKUP(A2907,'Discount Lookup'!J:K,2)*G2907*(1-PlanterDiscount)*(1+PlanterDifficultyPercentage)),""),"")),"   not ELP, by"))))))))))))))</f>
        <v/>
      </c>
      <c r="AD2907" s="712"/>
      <c r="AE2907" s="513" t="str">
        <f t="shared" si="2226"/>
        <v/>
      </c>
      <c r="AF2907" s="713" t="str">
        <f t="shared" si="2227"/>
        <v/>
      </c>
      <c r="AG2907" s="713"/>
      <c r="AH2907" s="713"/>
      <c r="AI2907" s="112">
        <f>IF(H2907="credit",0,IF(AE2907="free",0,IF(AE2907="me",0,IF(G2907&gt;0,(VLOOKUP(A2907,'Discount Lookup'!J:K,2)*G2907),0))))</f>
        <v>0</v>
      </c>
      <c r="AJ2907" s="107" t="str">
        <f t="shared" ca="1" si="2228"/>
        <v/>
      </c>
      <c r="AK2907" s="714" t="str">
        <f t="shared" si="2229"/>
        <v/>
      </c>
      <c r="AL2907" s="714"/>
      <c r="AM2907" s="114" t="str">
        <f t="shared" si="2230"/>
        <v/>
      </c>
      <c r="AN2907" s="115"/>
      <c r="AO2907" s="116"/>
      <c r="AP2907" s="116"/>
      <c r="AQ2907" s="116"/>
      <c r="AR2907" s="116"/>
      <c r="AS2907" s="116"/>
      <c r="AT2907" s="116"/>
      <c r="AU2907" s="116"/>
      <c r="AV2907" s="78"/>
      <c r="AW2907" s="102"/>
      <c r="AX2907" s="78"/>
      <c r="AY2907" s="78"/>
      <c r="AZ2907" s="78"/>
      <c r="BA2907" s="78"/>
      <c r="BB2907" s="78"/>
      <c r="BC2907" s="78"/>
      <c r="BD2907" s="78"/>
      <c r="BE2907" s="465"/>
      <c r="BF2907" s="165" t="str">
        <f t="shared" si="2231"/>
        <v>https://www.google.com/search?tbm=isch&amp;q=wet%20sites%F0%9F%92%A7GOOD%2C%20Moonglow%20has%20Lemony%20fragrant%20blooms%20mid-spring.%20Dark%20Green%20leaves%20are%20Silvery-Green%20below%20</v>
      </c>
      <c r="BG2907" s="165" t="str">
        <f t="shared" si="2232"/>
        <v>w</v>
      </c>
      <c r="BH2907" s="65"/>
      <c r="BI2907" s="65"/>
      <c r="BJ2907" s="65"/>
      <c r="BK2907" s="65"/>
      <c r="BL2907" s="99"/>
      <c r="BM2907" s="99"/>
      <c r="BN2907" s="99"/>
    </row>
    <row r="2908" spans="1:66" s="51" customFormat="1" ht="18" x14ac:dyDescent="0.25">
      <c r="A2908" s="623" t="s">
        <v>3502</v>
      </c>
      <c r="B2908" s="624"/>
      <c r="C2908" s="709"/>
      <c r="D2908" s="625" t="s">
        <v>3503</v>
      </c>
      <c r="E2908" s="626"/>
      <c r="F2908" s="626"/>
      <c r="G2908" s="626"/>
      <c r="H2908" s="622" t="s">
        <v>534</v>
      </c>
      <c r="I2908" s="627" t="s">
        <v>3504</v>
      </c>
      <c r="J2908" s="628"/>
      <c r="K2908" s="628"/>
      <c r="L2908" s="629"/>
      <c r="M2908" s="700" t="s">
        <v>5249</v>
      </c>
      <c r="N2908" s="693" t="str">
        <f>IF(AND(ISTEXT($A2908), ISERROR($A2908+0)), HYPERLINK($BF2908, "Images"), "")</f>
        <v>Images</v>
      </c>
      <c r="O2908" s="695" t="s">
        <v>5247</v>
      </c>
      <c r="P2908" s="630"/>
      <c r="Q2908" s="631"/>
      <c r="R2908" s="632"/>
      <c r="S2908" s="633"/>
      <c r="T2908" s="102">
        <f t="shared" si="2220"/>
        <v>0</v>
      </c>
      <c r="U2908" s="78" t="str">
        <f>IF(NOT(ISNUMBER(G2908)), "", VLOOKUP(A2908,'Discount Lookup'!D:E,2,FALSE)*G2908)</f>
        <v/>
      </c>
      <c r="V2908" s="78" t="str">
        <f>IF(NOT(ISNUMBER(G2908)), "", VLOOKUP(A2908,'Discount Lookup'!G:H,2,FALSE)*G2908)</f>
        <v/>
      </c>
      <c r="W2908" s="102">
        <f t="shared" si="2221"/>
        <v>0</v>
      </c>
      <c r="X2908" s="102" t="str">
        <f t="shared" si="2222"/>
        <v>Magenta-Ruby Red</v>
      </c>
      <c r="Y2908" s="120" t="b">
        <f t="shared" si="2223"/>
        <v>0</v>
      </c>
      <c r="Z2908" s="117">
        <f t="shared" si="2224"/>
        <v>0</v>
      </c>
      <c r="AA2908" s="118"/>
      <c r="AB2908" s="118" t="str">
        <f t="shared" si="2225"/>
        <v/>
      </c>
      <c r="AC2908" s="712" t="str">
        <f>IF(AE2908="T2G","no charge",IF(AND(OR(PlanterYesMe="No",PlanterYesMe="N",PlanterYesMe="me"),H2908=""),"",IF(H2908="credit","NO install",IF(AND(K2908="",AE2908="me"),"EACH row",IF(AND(K2908="images",AE2908="me"),"EACH row",IF(D2908="","",IF(H2908="credit","",IF(AE2908="free","re-planting",IF(AE2908="me","   not ELP, by",IF(AND(OR(PlanterYesMe="Yes",PlanterYesMe="Y"),G2908&gt;0),(VLOOKUP(A2908,'Discount Lookup'!J:K,2)*G2908*(1-PlanterDiscount)*(1+PlanterDifficultyPercentage)),IF(AE2908="ELP",(VLOOKUP(A2908,'Discount Lookup'!J:K,2)*G2908*(1-PlanterDiscount)*(1+PlanterDifficultyPercentage)),IF(AE2908="free","re-planting",IF(G2908=0,"",IF(PlanterYesMe="",IF(AE2908="me","   not ELP, by",IF(AE2908="",IF(G2908&gt;0,(VLOOKUP(A2908,'Discount Lookup'!J:K,2)*G2908*(1-PlanterDiscount)*(1+PlanterDifficultyPercentage)),""),"")),"   not ELP, by"))))))))))))))</f>
        <v/>
      </c>
      <c r="AD2908" s="712"/>
      <c r="AE2908" s="513" t="str">
        <f t="shared" si="2226"/>
        <v/>
      </c>
      <c r="AF2908" s="713" t="str">
        <f t="shared" si="2227"/>
        <v/>
      </c>
      <c r="AG2908" s="713"/>
      <c r="AH2908" s="713"/>
      <c r="AI2908" s="112">
        <f>IF(H2908="credit",0,IF(AE2908="free",0,IF(AE2908="me",0,IF(G2908&gt;0,(VLOOKUP(A2908,'Discount Lookup'!J:K,2)*G2908),0))))</f>
        <v>0</v>
      </c>
      <c r="AJ2908" s="107" t="str">
        <f t="shared" ca="1" si="2228"/>
        <v/>
      </c>
      <c r="AK2908" s="714" t="str">
        <f t="shared" si="2229"/>
        <v/>
      </c>
      <c r="AL2908" s="714"/>
      <c r="AM2908" s="114" t="str">
        <f t="shared" si="2230"/>
        <v/>
      </c>
      <c r="AN2908" s="115"/>
      <c r="AO2908" s="116"/>
      <c r="AP2908" s="116"/>
      <c r="AQ2908" s="116"/>
      <c r="AR2908" s="116"/>
      <c r="AS2908" s="116"/>
      <c r="AT2908" s="116"/>
      <c r="AU2908" s="116"/>
      <c r="AV2908" s="78"/>
      <c r="AW2908" s="102"/>
      <c r="AX2908" s="78"/>
      <c r="AY2908" s="78"/>
      <c r="AZ2908" s="78"/>
      <c r="BA2908" s="78"/>
      <c r="BB2908" s="78"/>
      <c r="BC2908" s="78"/>
      <c r="BD2908" s="78"/>
      <c r="BE2908" s="465"/>
      <c r="BF2908" s="165" t="str">
        <f t="shared" si="2231"/>
        <v>https://www.google.com/search?tbm=isch&amp;q=Magnolia%20%27Vulcan%27%20Vulcan%20Magnolia</v>
      </c>
      <c r="BG2908" s="165" t="str">
        <f t="shared" si="2232"/>
        <v>M</v>
      </c>
      <c r="BH2908" s="65"/>
      <c r="BI2908" s="65"/>
      <c r="BJ2908" s="65"/>
      <c r="BK2908" s="65"/>
      <c r="BL2908" s="99"/>
      <c r="BM2908" s="99"/>
      <c r="BN2908" s="99"/>
    </row>
    <row r="2909" spans="1:66" s="51" customFormat="1" ht="15.75" x14ac:dyDescent="0.25">
      <c r="A2909" s="634">
        <v>7</v>
      </c>
      <c r="B2909" s="635" t="s">
        <v>291</v>
      </c>
      <c r="C2909" s="636" t="s">
        <v>3505</v>
      </c>
      <c r="D2909" s="637" t="s">
        <v>299</v>
      </c>
      <c r="E2909" s="638">
        <v>157.94999999999999</v>
      </c>
      <c r="F2909" s="639" t="s">
        <v>292</v>
      </c>
      <c r="G2909" s="484">
        <v>0</v>
      </c>
      <c r="H2909" s="691" t="str">
        <f>IF(G2909=0,"",IF(F2909="Buy",IF(G2909=1,"plant","plants"),IF(F2909&gt;0.01,"warranty","Error")))</f>
        <v/>
      </c>
      <c r="I2909" s="640">
        <f>IF(H2909="free",0,IF(H2909="credit",((E2909*(F2909))*G2909*-1),IF(F2909="Buy",(E2909*G2909),((E2909*(1-F2909))*G2909))))</f>
        <v>0</v>
      </c>
      <c r="J2909" s="640">
        <f>IF(H2909="warranty",0,(I2909*(_xlfn.SINGLE(SalesTaxPercentage))))</f>
        <v>0</v>
      </c>
      <c r="K2909" s="716">
        <f t="shared" ref="K2909" si="2238">I2909+J2909</f>
        <v>0</v>
      </c>
      <c r="L2909" s="716"/>
      <c r="M2909" s="689" t="str">
        <f ca="1">IF(AND(G2909&gt;0,E2909=0),"WARNING - no PRICE inserted",IF(H2909="free","FREE ~ no charge this plant",IF(H2909="credit",CONCATENATE("-$",ROUND(K2909*(1-_xlfn.SINGLE(T2GDiscount))*-1,2)," CREDIT after discount"),IF(_xlfn.SINGLE(T2GDiscount)=0,"",IF(G2909=0,"",IF(F2909="Buy",CONCATENATE("$",ROUND(K2909*(1-_xlfn.SINGLE(T2GDiscount)),2)," with ",(_xlfn.SINGLE(T2GDiscount)*100),"% discount"),CONCATENATE("$",ROUND(K2909*(1-_xlfn.SINGLE(T2GDiscount)),2)," with ",((_xlfn.SINGLE(T2GDiscount)*100+F2909*100)-(_xlfn.SINGLE(T2GDiscount)*100*F2909)),IF(F2909&gt;0,"% discounts",IF(_xlfn.SINGLE(NoWarrantyDiscount)&gt;0,"% discounts","% discount")))))))))</f>
        <v/>
      </c>
      <c r="N2909" s="690"/>
      <c r="O2909" s="486"/>
      <c r="P2909" s="486"/>
      <c r="Q2909" s="486"/>
      <c r="R2909" s="486"/>
      <c r="S2909" s="486"/>
      <c r="T2909" s="102">
        <f t="shared" si="2220"/>
        <v>0</v>
      </c>
      <c r="U2909" s="78">
        <f>IF(NOT(ISNUMBER(G2909)), "", VLOOKUP(A2909,'Discount Lookup'!D:E,2,FALSE)*G2909)</f>
        <v>0</v>
      </c>
      <c r="V2909" s="78">
        <f>IF(NOT(ISNUMBER(G2909)), "", VLOOKUP(A2909,'Discount Lookup'!G:H,2,FALSE)*G2909)</f>
        <v>0</v>
      </c>
      <c r="W2909" s="102">
        <f t="shared" si="2221"/>
        <v>0</v>
      </c>
      <c r="X2909" s="102">
        <f t="shared" si="2222"/>
        <v>0</v>
      </c>
      <c r="Y2909" s="120" t="b">
        <f t="shared" si="2223"/>
        <v>0</v>
      </c>
      <c r="Z2909" s="117">
        <f t="shared" si="2224"/>
        <v>0</v>
      </c>
      <c r="AA2909" s="118"/>
      <c r="AB2909" s="118" t="str">
        <f t="shared" si="2225"/>
        <v/>
      </c>
      <c r="AC2909" s="712" t="str">
        <f>IF(AE2909="T2G","no charge",IF(AND(OR(PlanterYesMe="No",PlanterYesMe="N",PlanterYesMe="me"),H2909=""),"",IF(H2909="credit","NO install",IF(AND(K2909="",AE2909="me"),"EACH row",IF(AND(K2909="images",AE2909="me"),"EACH row",IF(D2909="","",IF(H2909="credit","",IF(AE2909="free","re-planting",IF(AE2909="me","   not ELP, by",IF(AND(OR(PlanterYesMe="Yes",PlanterYesMe="Y"),G2909&gt;0),(VLOOKUP(A2909,'Discount Lookup'!J:K,2)*G2909*(1-PlanterDiscount)*(1+PlanterDifficultyPercentage)),IF(AE2909="ELP",(VLOOKUP(A2909,'Discount Lookup'!J:K,2)*G2909*(1-PlanterDiscount)*(1+PlanterDifficultyPercentage)),IF(AE2909="free","re-planting",IF(G2909=0,"",IF(PlanterYesMe="",IF(AE2909="me","   not ELP, by",IF(AE2909="",IF(G2909&gt;0,(VLOOKUP(A2909,'Discount Lookup'!J:K,2)*G2909*(1-PlanterDiscount)*(1+PlanterDifficultyPercentage)),""),"")),"   not ELP, by"))))))))))))))</f>
        <v/>
      </c>
      <c r="AD2909" s="712"/>
      <c r="AE2909" s="513" t="str">
        <f t="shared" si="2226"/>
        <v/>
      </c>
      <c r="AF2909" s="713" t="str">
        <f t="shared" si="2227"/>
        <v/>
      </c>
      <c r="AG2909" s="713"/>
      <c r="AH2909" s="713"/>
      <c r="AI2909" s="112">
        <f>IF(H2909="credit",0,IF(AE2909="free",0,IF(AE2909="me",0,IF(G2909&gt;0,(VLOOKUP(A2909,'Discount Lookup'!J:K,2)*G2909),0))))</f>
        <v>0</v>
      </c>
      <c r="AJ2909" s="107" t="str">
        <f t="shared" ca="1" si="2228"/>
        <v/>
      </c>
      <c r="AK2909" s="714" t="str">
        <f t="shared" si="2229"/>
        <v/>
      </c>
      <c r="AL2909" s="714"/>
      <c r="AM2909" s="114" t="str">
        <f t="shared" si="2230"/>
        <v/>
      </c>
      <c r="AN2909" s="115"/>
      <c r="AO2909" s="116"/>
      <c r="AP2909" s="116"/>
      <c r="AQ2909" s="116"/>
      <c r="AR2909" s="116"/>
      <c r="AS2909" s="116"/>
      <c r="AT2909" s="116"/>
      <c r="AU2909" s="116"/>
      <c r="AV2909" s="78"/>
      <c r="AW2909" s="102"/>
      <c r="AX2909" s="78"/>
      <c r="AY2909" s="78"/>
      <c r="AZ2909" s="78"/>
      <c r="BA2909" s="78"/>
      <c r="BB2909" s="78"/>
      <c r="BC2909" s="78"/>
      <c r="BD2909" s="78"/>
      <c r="BE2909" s="465"/>
      <c r="BF2909" s="165" t="str">
        <f t="shared" si="2231"/>
        <v>https://www.google.com/search?tbm=isch&amp;q=7%20G4</v>
      </c>
      <c r="BG2909" s="165" t="str">
        <f t="shared" si="2232"/>
        <v>M</v>
      </c>
      <c r="BH2909" s="65"/>
      <c r="BI2909" s="65"/>
      <c r="BJ2909" s="65"/>
      <c r="BK2909" s="65"/>
      <c r="BL2909" s="99"/>
      <c r="BM2909" s="99"/>
      <c r="BN2909" s="99"/>
    </row>
    <row r="2910" spans="1:66" s="51" customFormat="1" ht="17.25" thickBot="1" x14ac:dyDescent="0.3">
      <c r="A2910" s="641" t="s">
        <v>3506</v>
      </c>
      <c r="B2910" s="642"/>
      <c r="C2910" s="710"/>
      <c r="D2910" s="643"/>
      <c r="E2910" s="643"/>
      <c r="F2910" s="644"/>
      <c r="G2910" s="645"/>
      <c r="H2910" s="646"/>
      <c r="I2910" s="647"/>
      <c r="J2910" s="648"/>
      <c r="K2910" s="649"/>
      <c r="L2910" s="650"/>
      <c r="M2910" s="650"/>
      <c r="N2910" s="644"/>
      <c r="O2910" s="644"/>
      <c r="P2910" s="644"/>
      <c r="Q2910" s="644"/>
      <c r="R2910" s="644"/>
      <c r="S2910" s="651"/>
      <c r="T2910" s="102">
        <f t="shared" si="2220"/>
        <v>0</v>
      </c>
      <c r="U2910" s="78" t="str">
        <f>IF(NOT(ISNUMBER(G2910)), "", VLOOKUP(A2910,'Discount Lookup'!D:E,2,FALSE)*G2910)</f>
        <v/>
      </c>
      <c r="V2910" s="78" t="str">
        <f>IF(NOT(ISNUMBER(G2910)), "", VLOOKUP(A2910,'Discount Lookup'!G:H,2,FALSE)*G2910)</f>
        <v/>
      </c>
      <c r="W2910" s="102">
        <f t="shared" si="2221"/>
        <v>0</v>
      </c>
      <c r="X2910" s="102">
        <f t="shared" si="2222"/>
        <v>0</v>
      </c>
      <c r="Y2910" s="120" t="b">
        <f t="shared" si="2223"/>
        <v>0</v>
      </c>
      <c r="Z2910" s="117">
        <f t="shared" si="2224"/>
        <v>0</v>
      </c>
      <c r="AA2910" s="118"/>
      <c r="AB2910" s="118" t="str">
        <f t="shared" si="2225"/>
        <v/>
      </c>
      <c r="AC2910" s="712" t="str">
        <f>IF(AE2910="T2G","no charge",IF(AND(OR(PlanterYesMe="No",PlanterYesMe="N",PlanterYesMe="me"),H2910=""),"",IF(H2910="credit","NO install",IF(AND(K2910="",AE2910="me"),"EACH row",IF(AND(K2910="images",AE2910="me"),"EACH row",IF(D2910="","",IF(H2910="credit","",IF(AE2910="free","re-planting",IF(AE2910="me","   not ELP, by",IF(AND(OR(PlanterYesMe="Yes",PlanterYesMe="Y"),G2910&gt;0),(VLOOKUP(A2910,'Discount Lookup'!J:K,2)*G2910*(1-PlanterDiscount)*(1+PlanterDifficultyPercentage)),IF(AE2910="ELP",(VLOOKUP(A2910,'Discount Lookup'!J:K,2)*G2910*(1-PlanterDiscount)*(1+PlanterDifficultyPercentage)),IF(AE2910="free","re-planting",IF(G2910=0,"",IF(PlanterYesMe="",IF(AE2910="me","   not ELP, by",IF(AE2910="",IF(G2910&gt;0,(VLOOKUP(A2910,'Discount Lookup'!J:K,2)*G2910*(1-PlanterDiscount)*(1+PlanterDifficultyPercentage)),""),"")),"   not ELP, by"))))))))))))))</f>
        <v/>
      </c>
      <c r="AD2910" s="712"/>
      <c r="AE2910" s="513" t="str">
        <f t="shared" si="2226"/>
        <v/>
      </c>
      <c r="AF2910" s="713" t="str">
        <f t="shared" si="2227"/>
        <v/>
      </c>
      <c r="AG2910" s="713"/>
      <c r="AH2910" s="713"/>
      <c r="AI2910" s="112">
        <f>IF(H2910="credit",0,IF(AE2910="free",0,IF(AE2910="me",0,IF(G2910&gt;0,(VLOOKUP(A2910,'Discount Lookup'!J:K,2)*G2910),0))))</f>
        <v>0</v>
      </c>
      <c r="AJ2910" s="107" t="str">
        <f t="shared" ca="1" si="2228"/>
        <v/>
      </c>
      <c r="AK2910" s="714" t="str">
        <f t="shared" si="2229"/>
        <v/>
      </c>
      <c r="AL2910" s="714"/>
      <c r="AM2910" s="114" t="str">
        <f t="shared" si="2230"/>
        <v/>
      </c>
      <c r="AN2910" s="115"/>
      <c r="AO2910" s="116"/>
      <c r="AP2910" s="116"/>
      <c r="AQ2910" s="116"/>
      <c r="AR2910" s="116"/>
      <c r="AS2910" s="116"/>
      <c r="AT2910" s="116"/>
      <c r="AU2910" s="116"/>
      <c r="AV2910" s="78"/>
      <c r="AW2910" s="102"/>
      <c r="AX2910" s="78"/>
      <c r="AY2910" s="78"/>
      <c r="AZ2910" s="78"/>
      <c r="BA2910" s="78"/>
      <c r="BB2910" s="78"/>
      <c r="BC2910" s="78"/>
      <c r="BD2910" s="78"/>
      <c r="BE2910" s="465"/>
      <c r="BF2910" s="165" t="str">
        <f t="shared" si="2231"/>
        <v>https://www.google.com/search?tbm=isch&amp;q=Vulcan%20known%20for%20massive%20fragrant%20blooms%20up%20to%2012%E2%80%B3%20across.%20Golden-Yellow%20fall%20foliage%20</v>
      </c>
      <c r="BG2910" s="165" t="str">
        <f t="shared" si="2232"/>
        <v>V</v>
      </c>
      <c r="BH2910" s="65"/>
      <c r="BI2910" s="65"/>
      <c r="BJ2910" s="65"/>
      <c r="BK2910" s="65"/>
      <c r="BL2910" s="99"/>
      <c r="BM2910" s="99"/>
      <c r="BN2910" s="99"/>
    </row>
    <row r="2911" spans="1:66" s="51" customFormat="1" ht="18" x14ac:dyDescent="0.25">
      <c r="A2911" s="623" t="s">
        <v>3507</v>
      </c>
      <c r="B2911" s="624"/>
      <c r="C2911" s="709"/>
      <c r="D2911" s="625" t="s">
        <v>3508</v>
      </c>
      <c r="E2911" s="626"/>
      <c r="F2911" s="626"/>
      <c r="G2911" s="626"/>
      <c r="H2911" s="622" t="s">
        <v>325</v>
      </c>
      <c r="I2911" s="627" t="s">
        <v>3509</v>
      </c>
      <c r="J2911" s="628"/>
      <c r="K2911" s="628"/>
      <c r="L2911" s="629"/>
      <c r="M2911" s="700" t="s">
        <v>5249</v>
      </c>
      <c r="N2911" s="693" t="str">
        <f>IF(AND(ISTEXT($A2911), ISERROR($A2911+0)), HYPERLINK($BF2911, "Images"), "")</f>
        <v>Images</v>
      </c>
      <c r="O2911" s="695" t="s">
        <v>5247</v>
      </c>
      <c r="P2911" s="630"/>
      <c r="Q2911" s="631"/>
      <c r="R2911" s="632"/>
      <c r="S2911" s="633"/>
      <c r="T2911" s="102">
        <f t="shared" si="2220"/>
        <v>0</v>
      </c>
      <c r="U2911" s="78" t="str">
        <f>IF(NOT(ISNUMBER(G2911)), "", VLOOKUP(A2911,'Discount Lookup'!D:E,2,FALSE)*G2911)</f>
        <v/>
      </c>
      <c r="V2911" s="78" t="str">
        <f>IF(NOT(ISNUMBER(G2911)), "", VLOOKUP(A2911,'Discount Lookup'!G:H,2,FALSE)*G2911)</f>
        <v/>
      </c>
      <c r="W2911" s="102">
        <f t="shared" si="2221"/>
        <v>0</v>
      </c>
      <c r="X2911" s="102" t="str">
        <f t="shared" si="2222"/>
        <v>Yellow-Apricot-Purple</v>
      </c>
      <c r="Y2911" s="120" t="b">
        <f t="shared" si="2223"/>
        <v>0</v>
      </c>
      <c r="Z2911" s="117">
        <f t="shared" si="2224"/>
        <v>0</v>
      </c>
      <c r="AA2911" s="118"/>
      <c r="AB2911" s="118" t="str">
        <f t="shared" si="2225"/>
        <v/>
      </c>
      <c r="AC2911" s="712" t="str">
        <f>IF(AE2911="T2G","no charge",IF(AND(OR(PlanterYesMe="No",PlanterYesMe="N",PlanterYesMe="me"),H2911=""),"",IF(H2911="credit","NO install",IF(AND(K2911="",AE2911="me"),"EACH row",IF(AND(K2911="images",AE2911="me"),"EACH row",IF(D2911="","",IF(H2911="credit","",IF(AE2911="free","re-planting",IF(AE2911="me","   not ELP, by",IF(AND(OR(PlanterYesMe="Yes",PlanterYesMe="Y"),G2911&gt;0),(VLOOKUP(A2911,'Discount Lookup'!J:K,2)*G2911*(1-PlanterDiscount)*(1+PlanterDifficultyPercentage)),IF(AE2911="ELP",(VLOOKUP(A2911,'Discount Lookup'!J:K,2)*G2911*(1-PlanterDiscount)*(1+PlanterDifficultyPercentage)),IF(AE2911="free","re-planting",IF(G2911=0,"",IF(PlanterYesMe="",IF(AE2911="me","   not ELP, by",IF(AE2911="",IF(G2911&gt;0,(VLOOKUP(A2911,'Discount Lookup'!J:K,2)*G2911*(1-PlanterDiscount)*(1+PlanterDifficultyPercentage)),""),"")),"   not ELP, by"))))))))))))))</f>
        <v/>
      </c>
      <c r="AD2911" s="712"/>
      <c r="AE2911" s="513" t="str">
        <f t="shared" si="2226"/>
        <v/>
      </c>
      <c r="AF2911" s="713" t="str">
        <f t="shared" si="2227"/>
        <v/>
      </c>
      <c r="AG2911" s="713"/>
      <c r="AH2911" s="713"/>
      <c r="AI2911" s="112">
        <f>IF(H2911="credit",0,IF(AE2911="free",0,IF(AE2911="me",0,IF(G2911&gt;0,(VLOOKUP(A2911,'Discount Lookup'!J:K,2)*G2911),0))))</f>
        <v>0</v>
      </c>
      <c r="AJ2911" s="107" t="str">
        <f t="shared" ca="1" si="2228"/>
        <v/>
      </c>
      <c r="AK2911" s="714" t="str">
        <f t="shared" si="2229"/>
        <v/>
      </c>
      <c r="AL2911" s="714"/>
      <c r="AM2911" s="114" t="str">
        <f t="shared" si="2230"/>
        <v/>
      </c>
      <c r="AN2911" s="115"/>
      <c r="AO2911" s="116"/>
      <c r="AP2911" s="116"/>
      <c r="AQ2911" s="116"/>
      <c r="AR2911" s="116"/>
      <c r="AS2911" s="116"/>
      <c r="AT2911" s="116"/>
      <c r="AU2911" s="116"/>
      <c r="AV2911" s="78"/>
      <c r="AW2911" s="102"/>
      <c r="AX2911" s="78"/>
      <c r="AY2911" s="78"/>
      <c r="AZ2911" s="78"/>
      <c r="BA2911" s="78"/>
      <c r="BB2911" s="78"/>
      <c r="BC2911" s="78"/>
      <c r="BD2911" s="78"/>
      <c r="BE2911" s="465"/>
      <c r="BF2911" s="165" t="str">
        <f t="shared" si="2231"/>
        <v>https://www.google.com/search?tbm=isch&amp;q=Magnolia%20x%20brooklynensis%20%27Judy%20Zuk%27%20Judy%20Zuk%20Magnolia</v>
      </c>
      <c r="BG2911" s="165" t="str">
        <f t="shared" si="2232"/>
        <v>M</v>
      </c>
      <c r="BH2911" s="65"/>
      <c r="BI2911" s="65"/>
      <c r="BJ2911" s="65"/>
      <c r="BK2911" s="65"/>
      <c r="BL2911" s="99"/>
      <c r="BM2911" s="99"/>
      <c r="BN2911" s="99"/>
    </row>
    <row r="2912" spans="1:66" s="51" customFormat="1" ht="15.75" x14ac:dyDescent="0.25">
      <c r="A2912" s="634">
        <v>7</v>
      </c>
      <c r="B2912" s="635" t="s">
        <v>291</v>
      </c>
      <c r="C2912" s="636" t="s">
        <v>2335</v>
      </c>
      <c r="D2912" s="637" t="s">
        <v>299</v>
      </c>
      <c r="E2912" s="638">
        <v>111.95</v>
      </c>
      <c r="F2912" s="639" t="s">
        <v>292</v>
      </c>
      <c r="G2912" s="484">
        <v>0</v>
      </c>
      <c r="H2912" s="691" t="str">
        <f>IF(G2912=0,"",IF(F2912="Buy",IF(G2912=1,"plant","plants"),IF(F2912&gt;0.01,"warranty","Error")))</f>
        <v/>
      </c>
      <c r="I2912" s="640">
        <f>IF(H2912="free",0,IF(H2912="credit",((E2912*(F2912))*G2912*-1),IF(F2912="Buy",(E2912*G2912),((E2912*(1-F2912))*G2912))))</f>
        <v>0</v>
      </c>
      <c r="J2912" s="640">
        <f>IF(H2912="warranty",0,(I2912*(_xlfn.SINGLE(SalesTaxPercentage))))</f>
        <v>0</v>
      </c>
      <c r="K2912" s="716">
        <f t="shared" ref="K2912" si="2239">I2912+J2912</f>
        <v>0</v>
      </c>
      <c r="L2912" s="716"/>
      <c r="M2912" s="689" t="str">
        <f ca="1">IF(AND(G2912&gt;0,E2912=0),"WARNING - no PRICE inserted",IF(H2912="free","FREE ~ no charge this plant",IF(H2912="credit",CONCATENATE("-$",ROUND(K2912*(1-_xlfn.SINGLE(T2GDiscount))*-1,2)," CREDIT after discount"),IF(_xlfn.SINGLE(T2GDiscount)=0,"",IF(G2912=0,"",IF(F2912="Buy",CONCATENATE("$",ROUND(K2912*(1-_xlfn.SINGLE(T2GDiscount)),2)," with ",(_xlfn.SINGLE(T2GDiscount)*100),"% discount"),CONCATENATE("$",ROUND(K2912*(1-_xlfn.SINGLE(T2GDiscount)),2)," with ",((_xlfn.SINGLE(T2GDiscount)*100+F2912*100)-(_xlfn.SINGLE(T2GDiscount)*100*F2912)),IF(F2912&gt;0,"% discounts",IF(_xlfn.SINGLE(NoWarrantyDiscount)&gt;0,"% discounts","% discount")))))))))</f>
        <v/>
      </c>
      <c r="N2912" s="690"/>
      <c r="O2912" s="486"/>
      <c r="P2912" s="486"/>
      <c r="Q2912" s="486"/>
      <c r="R2912" s="486"/>
      <c r="S2912" s="486"/>
      <c r="T2912" s="102">
        <f t="shared" si="2220"/>
        <v>0</v>
      </c>
      <c r="U2912" s="78">
        <f>IF(NOT(ISNUMBER(G2912)), "", VLOOKUP(A2912,'Discount Lookup'!D:E,2,FALSE)*G2912)</f>
        <v>0</v>
      </c>
      <c r="V2912" s="78">
        <f>IF(NOT(ISNUMBER(G2912)), "", VLOOKUP(A2912,'Discount Lookup'!G:H,2,FALSE)*G2912)</f>
        <v>0</v>
      </c>
      <c r="W2912" s="102">
        <f t="shared" si="2221"/>
        <v>0</v>
      </c>
      <c r="X2912" s="102">
        <f t="shared" si="2222"/>
        <v>0</v>
      </c>
      <c r="Y2912" s="120" t="b">
        <f t="shared" si="2223"/>
        <v>0</v>
      </c>
      <c r="Z2912" s="117">
        <f t="shared" si="2224"/>
        <v>0</v>
      </c>
      <c r="AA2912" s="118"/>
      <c r="AB2912" s="118" t="str">
        <f t="shared" si="2225"/>
        <v/>
      </c>
      <c r="AC2912" s="712" t="str">
        <f>IF(AE2912="T2G","no charge",IF(AND(OR(PlanterYesMe="No",PlanterYesMe="N",PlanterYesMe="me"),H2912=""),"",IF(H2912="credit","NO install",IF(AND(K2912="",AE2912="me"),"EACH row",IF(AND(K2912="images",AE2912="me"),"EACH row",IF(D2912="","",IF(H2912="credit","",IF(AE2912="free","re-planting",IF(AE2912="me","   not ELP, by",IF(AND(OR(PlanterYesMe="Yes",PlanterYesMe="Y"),G2912&gt;0),(VLOOKUP(A2912,'Discount Lookup'!J:K,2)*G2912*(1-PlanterDiscount)*(1+PlanterDifficultyPercentage)),IF(AE2912="ELP",(VLOOKUP(A2912,'Discount Lookup'!J:K,2)*G2912*(1-PlanterDiscount)*(1+PlanterDifficultyPercentage)),IF(AE2912="free","re-planting",IF(G2912=0,"",IF(PlanterYesMe="",IF(AE2912="me","   not ELP, by",IF(AE2912="",IF(G2912&gt;0,(VLOOKUP(A2912,'Discount Lookup'!J:K,2)*G2912*(1-PlanterDiscount)*(1+PlanterDifficultyPercentage)),""),"")),"   not ELP, by"))))))))))))))</f>
        <v/>
      </c>
      <c r="AD2912" s="712"/>
      <c r="AE2912" s="513" t="str">
        <f t="shared" si="2226"/>
        <v/>
      </c>
      <c r="AF2912" s="713" t="str">
        <f t="shared" si="2227"/>
        <v/>
      </c>
      <c r="AG2912" s="713"/>
      <c r="AH2912" s="713"/>
      <c r="AI2912" s="112">
        <f>IF(H2912="credit",0,IF(AE2912="free",0,IF(AE2912="me",0,IF(G2912&gt;0,(VLOOKUP(A2912,'Discount Lookup'!J:K,2)*G2912),0))))</f>
        <v>0</v>
      </c>
      <c r="AJ2912" s="107" t="str">
        <f t="shared" ca="1" si="2228"/>
        <v/>
      </c>
      <c r="AK2912" s="714" t="str">
        <f t="shared" si="2229"/>
        <v/>
      </c>
      <c r="AL2912" s="714"/>
      <c r="AM2912" s="114" t="str">
        <f t="shared" si="2230"/>
        <v/>
      </c>
      <c r="AN2912" s="115"/>
      <c r="AO2912" s="116"/>
      <c r="AP2912" s="116"/>
      <c r="AQ2912" s="116"/>
      <c r="AR2912" s="116"/>
      <c r="AS2912" s="116"/>
      <c r="AT2912" s="116"/>
      <c r="AU2912" s="116"/>
      <c r="AV2912" s="78"/>
      <c r="AW2912" s="102"/>
      <c r="AX2912" s="78"/>
      <c r="AY2912" s="78"/>
      <c r="AZ2912" s="78"/>
      <c r="BA2912" s="78"/>
      <c r="BB2912" s="78"/>
      <c r="BC2912" s="78"/>
      <c r="BD2912" s="78"/>
      <c r="BE2912" s="465"/>
      <c r="BF2912" s="165" t="str">
        <f t="shared" si="2231"/>
        <v>https://www.google.com/search?tbm=isch&amp;q=7%20G4</v>
      </c>
      <c r="BG2912" s="165" t="str">
        <f t="shared" si="2232"/>
        <v>M</v>
      </c>
      <c r="BH2912" s="65"/>
      <c r="BI2912" s="65"/>
      <c r="BJ2912" s="65"/>
      <c r="BK2912" s="65"/>
      <c r="BL2912" s="99"/>
      <c r="BM2912" s="99"/>
      <c r="BN2912" s="99"/>
    </row>
    <row r="2913" spans="1:66" s="51" customFormat="1" ht="15.75" x14ac:dyDescent="0.25">
      <c r="A2913" s="634">
        <v>15</v>
      </c>
      <c r="B2913" s="635" t="s">
        <v>291</v>
      </c>
      <c r="C2913" s="636" t="s">
        <v>3510</v>
      </c>
      <c r="D2913" s="637" t="s">
        <v>311</v>
      </c>
      <c r="E2913" s="638">
        <v>194.95</v>
      </c>
      <c r="F2913" s="639" t="s">
        <v>292</v>
      </c>
      <c r="G2913" s="484">
        <v>0</v>
      </c>
      <c r="H2913" s="691" t="str">
        <f>IF(G2913=0,"",IF(F2913="Buy",IF(G2913=1,"plant","plants"),IF(F2913&gt;0.01,"warranty","Error")))</f>
        <v/>
      </c>
      <c r="I2913" s="640">
        <f>IF(H2913="free",0,IF(H2913="credit",((E2913*(F2913))*G2913*-1),IF(F2913="Buy",(E2913*G2913),((E2913*(1-F2913))*G2913))))</f>
        <v>0</v>
      </c>
      <c r="J2913" s="640">
        <f>IF(H2913="warranty",0,(I2913*(_xlfn.SINGLE(SalesTaxPercentage))))</f>
        <v>0</v>
      </c>
      <c r="K2913" s="716">
        <f t="shared" ref="K2913" si="2240">I2913+J2913</f>
        <v>0</v>
      </c>
      <c r="L2913" s="716"/>
      <c r="M2913" s="689" t="str">
        <f ca="1">IF(AND(G2913&gt;0,E2913=0),"WARNING - no PRICE inserted",IF(H2913="free","FREE ~ no charge this plant",IF(H2913="credit",CONCATENATE("-$",ROUND(K2913*(1-_xlfn.SINGLE(T2GDiscount))*-1,2)," CREDIT after discount"),IF(_xlfn.SINGLE(T2GDiscount)=0,"",IF(G2913=0,"",IF(F2913="Buy",CONCATENATE("$",ROUND(K2913*(1-_xlfn.SINGLE(T2GDiscount)),2)," with ",(_xlfn.SINGLE(T2GDiscount)*100),"% discount"),CONCATENATE("$",ROUND(K2913*(1-_xlfn.SINGLE(T2GDiscount)),2)," with ",((_xlfn.SINGLE(T2GDiscount)*100+F2913*100)-(_xlfn.SINGLE(T2GDiscount)*100*F2913)),IF(F2913&gt;0,"% discounts",IF(_xlfn.SINGLE(NoWarrantyDiscount)&gt;0,"% discounts","% discount")))))))))</f>
        <v/>
      </c>
      <c r="N2913" s="690"/>
      <c r="O2913" s="486"/>
      <c r="P2913" s="486"/>
      <c r="Q2913" s="486"/>
      <c r="R2913" s="486"/>
      <c r="S2913" s="486"/>
      <c r="T2913" s="102">
        <f t="shared" si="2220"/>
        <v>0</v>
      </c>
      <c r="U2913" s="78">
        <f>IF(NOT(ISNUMBER(G2913)), "", VLOOKUP(A2913,'Discount Lookup'!D:E,2,FALSE)*G2913)</f>
        <v>0</v>
      </c>
      <c r="V2913" s="78">
        <f>IF(NOT(ISNUMBER(G2913)), "", VLOOKUP(A2913,'Discount Lookup'!G:H,2,FALSE)*G2913)</f>
        <v>0</v>
      </c>
      <c r="W2913" s="102">
        <f t="shared" si="2221"/>
        <v>0</v>
      </c>
      <c r="X2913" s="102">
        <f t="shared" si="2222"/>
        <v>0</v>
      </c>
      <c r="Y2913" s="120" t="b">
        <f t="shared" si="2223"/>
        <v>0</v>
      </c>
      <c r="Z2913" s="117">
        <f t="shared" si="2224"/>
        <v>0</v>
      </c>
      <c r="AA2913" s="118"/>
      <c r="AB2913" s="118" t="str">
        <f t="shared" si="2225"/>
        <v/>
      </c>
      <c r="AC2913" s="712" t="str">
        <f>IF(AE2913="T2G","no charge",IF(AND(OR(PlanterYesMe="No",PlanterYesMe="N",PlanterYesMe="me"),H2913=""),"",IF(H2913="credit","NO install",IF(AND(K2913="",AE2913="me"),"EACH row",IF(AND(K2913="images",AE2913="me"),"EACH row",IF(D2913="","",IF(H2913="credit","",IF(AE2913="free","re-planting",IF(AE2913="me","   not ELP, by",IF(AND(OR(PlanterYesMe="Yes",PlanterYesMe="Y"),G2913&gt;0),(VLOOKUP(A2913,'Discount Lookup'!J:K,2)*G2913*(1-PlanterDiscount)*(1+PlanterDifficultyPercentage)),IF(AE2913="ELP",(VLOOKUP(A2913,'Discount Lookup'!J:K,2)*G2913*(1-PlanterDiscount)*(1+PlanterDifficultyPercentage)),IF(AE2913="free","re-planting",IF(G2913=0,"",IF(PlanterYesMe="",IF(AE2913="me","   not ELP, by",IF(AE2913="",IF(G2913&gt;0,(VLOOKUP(A2913,'Discount Lookup'!J:K,2)*G2913*(1-PlanterDiscount)*(1+PlanterDifficultyPercentage)),""),"")),"   not ELP, by"))))))))))))))</f>
        <v/>
      </c>
      <c r="AD2913" s="712"/>
      <c r="AE2913" s="513" t="str">
        <f t="shared" si="2226"/>
        <v/>
      </c>
      <c r="AF2913" s="713" t="str">
        <f t="shared" si="2227"/>
        <v/>
      </c>
      <c r="AG2913" s="713"/>
      <c r="AH2913" s="713"/>
      <c r="AI2913" s="112">
        <f>IF(H2913="credit",0,IF(AE2913="free",0,IF(AE2913="me",0,IF(G2913&gt;0,(VLOOKUP(A2913,'Discount Lookup'!J:K,2)*G2913),0))))</f>
        <v>0</v>
      </c>
      <c r="AJ2913" s="107" t="str">
        <f t="shared" ca="1" si="2228"/>
        <v/>
      </c>
      <c r="AK2913" s="714" t="str">
        <f t="shared" si="2229"/>
        <v/>
      </c>
      <c r="AL2913" s="714"/>
      <c r="AM2913" s="114" t="str">
        <f t="shared" si="2230"/>
        <v/>
      </c>
      <c r="AN2913" s="115"/>
      <c r="AO2913" s="116"/>
      <c r="AP2913" s="116"/>
      <c r="AQ2913" s="116"/>
      <c r="AR2913" s="116"/>
      <c r="AS2913" s="116"/>
      <c r="AT2913" s="116"/>
      <c r="AU2913" s="116"/>
      <c r="AV2913" s="78"/>
      <c r="AW2913" s="102"/>
      <c r="AX2913" s="78"/>
      <c r="AY2913" s="78"/>
      <c r="AZ2913" s="78"/>
      <c r="BA2913" s="78"/>
      <c r="BB2913" s="78"/>
      <c r="BC2913" s="78"/>
      <c r="BD2913" s="78"/>
      <c r="BE2913" s="465"/>
      <c r="BF2913" s="165" t="str">
        <f t="shared" si="2231"/>
        <v>https://www.google.com/search?tbm=isch&amp;q=15%20G5</v>
      </c>
      <c r="BG2913" s="165" t="str">
        <f t="shared" si="2232"/>
        <v>M</v>
      </c>
      <c r="BH2913" s="65"/>
      <c r="BI2913" s="65"/>
      <c r="BJ2913" s="65"/>
      <c r="BK2913" s="65"/>
      <c r="BL2913" s="99"/>
      <c r="BM2913" s="99"/>
      <c r="BN2913" s="99"/>
    </row>
    <row r="2914" spans="1:66" s="51" customFormat="1" ht="27" x14ac:dyDescent="0.25">
      <c r="A2914" s="634">
        <v>15</v>
      </c>
      <c r="B2914" s="635" t="s">
        <v>291</v>
      </c>
      <c r="C2914" s="636" t="s">
        <v>3511</v>
      </c>
      <c r="D2914" s="637" t="s">
        <v>299</v>
      </c>
      <c r="E2914" s="638">
        <v>196.95</v>
      </c>
      <c r="F2914" s="639" t="s">
        <v>292</v>
      </c>
      <c r="G2914" s="484">
        <v>0</v>
      </c>
      <c r="H2914" s="691" t="str">
        <f>IF(G2914=0,"",IF(F2914="Buy",IF(G2914=1,"plant","plants"),IF(F2914&gt;0.01,"warranty","Error")))</f>
        <v/>
      </c>
      <c r="I2914" s="640">
        <f>IF(H2914="free",0,IF(H2914="credit",((E2914*(F2914))*G2914*-1),IF(F2914="Buy",(E2914*G2914),((E2914*(1-F2914))*G2914))))</f>
        <v>0</v>
      </c>
      <c r="J2914" s="640">
        <f>IF(H2914="warranty",0,(I2914*(_xlfn.SINGLE(SalesTaxPercentage))))</f>
        <v>0</v>
      </c>
      <c r="K2914" s="716">
        <f t="shared" ref="K2914" si="2241">I2914+J2914</f>
        <v>0</v>
      </c>
      <c r="L2914" s="716"/>
      <c r="M2914" s="689" t="str">
        <f ca="1">IF(AND(G2914&gt;0,E2914=0),"WARNING - no PRICE inserted",IF(H2914="free","FREE ~ no charge this plant",IF(H2914="credit",CONCATENATE("-$",ROUND(K2914*(1-_xlfn.SINGLE(T2GDiscount))*-1,2)," CREDIT after discount"),IF(_xlfn.SINGLE(T2GDiscount)=0,"",IF(G2914=0,"",IF(F2914="Buy",CONCATENATE("$",ROUND(K2914*(1-_xlfn.SINGLE(T2GDiscount)),2)," with ",(_xlfn.SINGLE(T2GDiscount)*100),"% discount"),CONCATENATE("$",ROUND(K2914*(1-_xlfn.SINGLE(T2GDiscount)),2)," with ",((_xlfn.SINGLE(T2GDiscount)*100+F2914*100)-(_xlfn.SINGLE(T2GDiscount)*100*F2914)),IF(F2914&gt;0,"% discounts",IF(_xlfn.SINGLE(NoWarrantyDiscount)&gt;0,"% discounts","% discount")))))))))</f>
        <v/>
      </c>
      <c r="N2914" s="690"/>
      <c r="O2914" s="486"/>
      <c r="P2914" s="486"/>
      <c r="Q2914" s="486"/>
      <c r="R2914" s="486"/>
      <c r="S2914" s="486"/>
      <c r="T2914" s="102">
        <f t="shared" si="2220"/>
        <v>0</v>
      </c>
      <c r="U2914" s="78">
        <f>IF(NOT(ISNUMBER(G2914)), "", VLOOKUP(A2914,'Discount Lookup'!D:E,2,FALSE)*G2914)</f>
        <v>0</v>
      </c>
      <c r="V2914" s="78">
        <f>IF(NOT(ISNUMBER(G2914)), "", VLOOKUP(A2914,'Discount Lookup'!G:H,2,FALSE)*G2914)</f>
        <v>0</v>
      </c>
      <c r="W2914" s="102">
        <f t="shared" si="2221"/>
        <v>0</v>
      </c>
      <c r="X2914" s="102">
        <f t="shared" si="2222"/>
        <v>0</v>
      </c>
      <c r="Y2914" s="120" t="b">
        <f t="shared" si="2223"/>
        <v>0</v>
      </c>
      <c r="Z2914" s="117">
        <f t="shared" si="2224"/>
        <v>0</v>
      </c>
      <c r="AA2914" s="118"/>
      <c r="AB2914" s="118" t="str">
        <f t="shared" si="2225"/>
        <v/>
      </c>
      <c r="AC2914" s="712" t="str">
        <f>IF(AE2914="T2G","no charge",IF(AND(OR(PlanterYesMe="No",PlanterYesMe="N",PlanterYesMe="me"),H2914=""),"",IF(H2914="credit","NO install",IF(AND(K2914="",AE2914="me"),"EACH row",IF(AND(K2914="images",AE2914="me"),"EACH row",IF(D2914="","",IF(H2914="credit","",IF(AE2914="free","re-planting",IF(AE2914="me","   not ELP, by",IF(AND(OR(PlanterYesMe="Yes",PlanterYesMe="Y"),G2914&gt;0),(VLOOKUP(A2914,'Discount Lookup'!J:K,2)*G2914*(1-PlanterDiscount)*(1+PlanterDifficultyPercentage)),IF(AE2914="ELP",(VLOOKUP(A2914,'Discount Lookup'!J:K,2)*G2914*(1-PlanterDiscount)*(1+PlanterDifficultyPercentage)),IF(AE2914="free","re-planting",IF(G2914=0,"",IF(PlanterYesMe="",IF(AE2914="me","   not ELP, by",IF(AE2914="",IF(G2914&gt;0,(VLOOKUP(A2914,'Discount Lookup'!J:K,2)*G2914*(1-PlanterDiscount)*(1+PlanterDifficultyPercentage)),""),"")),"   not ELP, by"))))))))))))))</f>
        <v/>
      </c>
      <c r="AD2914" s="712"/>
      <c r="AE2914" s="513" t="str">
        <f t="shared" si="2226"/>
        <v/>
      </c>
      <c r="AF2914" s="713" t="str">
        <f t="shared" si="2227"/>
        <v/>
      </c>
      <c r="AG2914" s="713"/>
      <c r="AH2914" s="713"/>
      <c r="AI2914" s="112">
        <f>IF(H2914="credit",0,IF(AE2914="free",0,IF(AE2914="me",0,IF(G2914&gt;0,(VLOOKUP(A2914,'Discount Lookup'!J:K,2)*G2914),0))))</f>
        <v>0</v>
      </c>
      <c r="AJ2914" s="107" t="str">
        <f t="shared" ca="1" si="2228"/>
        <v/>
      </c>
      <c r="AK2914" s="714" t="str">
        <f t="shared" si="2229"/>
        <v/>
      </c>
      <c r="AL2914" s="714"/>
      <c r="AM2914" s="114" t="str">
        <f t="shared" si="2230"/>
        <v/>
      </c>
      <c r="AN2914" s="115"/>
      <c r="AO2914" s="116"/>
      <c r="AP2914" s="116"/>
      <c r="AQ2914" s="116"/>
      <c r="AR2914" s="116"/>
      <c r="AS2914" s="116"/>
      <c r="AT2914" s="116"/>
      <c r="AU2914" s="116"/>
      <c r="AV2914" s="78"/>
      <c r="AW2914" s="102"/>
      <c r="AX2914" s="78"/>
      <c r="AY2914" s="78"/>
      <c r="AZ2914" s="78"/>
      <c r="BA2914" s="78"/>
      <c r="BB2914" s="78"/>
      <c r="BC2914" s="78"/>
      <c r="BD2914" s="78"/>
      <c r="BE2914" s="465"/>
      <c r="BF2914" s="165" t="str">
        <f t="shared" si="2231"/>
        <v>https://www.google.com/search?tbm=isch&amp;q=15%20G4</v>
      </c>
      <c r="BG2914" s="165" t="str">
        <f t="shared" si="2232"/>
        <v>M</v>
      </c>
      <c r="BH2914" s="65"/>
      <c r="BI2914" s="65"/>
      <c r="BJ2914" s="65"/>
      <c r="BK2914" s="65"/>
      <c r="BL2914" s="99"/>
      <c r="BM2914" s="99"/>
      <c r="BN2914" s="99"/>
    </row>
    <row r="2915" spans="1:66" s="51" customFormat="1" ht="17.25" thickBot="1" x14ac:dyDescent="0.3">
      <c r="A2915" s="641" t="s">
        <v>3512</v>
      </c>
      <c r="B2915" s="642"/>
      <c r="C2915" s="710"/>
      <c r="D2915" s="643"/>
      <c r="E2915" s="643"/>
      <c r="F2915" s="644"/>
      <c r="G2915" s="645"/>
      <c r="H2915" s="646"/>
      <c r="I2915" s="647"/>
      <c r="J2915" s="648"/>
      <c r="K2915" s="649"/>
      <c r="L2915" s="650"/>
      <c r="M2915" s="650"/>
      <c r="N2915" s="644"/>
      <c r="O2915" s="644"/>
      <c r="P2915" s="644"/>
      <c r="Q2915" s="644"/>
      <c r="R2915" s="644"/>
      <c r="S2915" s="651"/>
      <c r="T2915" s="102">
        <f t="shared" si="2220"/>
        <v>0</v>
      </c>
      <c r="U2915" s="78" t="str">
        <f>IF(NOT(ISNUMBER(G2915)), "", VLOOKUP(A2915,'Discount Lookup'!D:E,2,FALSE)*G2915)</f>
        <v/>
      </c>
      <c r="V2915" s="78" t="str">
        <f>IF(NOT(ISNUMBER(G2915)), "", VLOOKUP(A2915,'Discount Lookup'!G:H,2,FALSE)*G2915)</f>
        <v/>
      </c>
      <c r="W2915" s="102">
        <f t="shared" si="2221"/>
        <v>0</v>
      </c>
      <c r="X2915" s="102">
        <f t="shared" si="2222"/>
        <v>0</v>
      </c>
      <c r="Y2915" s="120" t="b">
        <f t="shared" si="2223"/>
        <v>0</v>
      </c>
      <c r="Z2915" s="117">
        <f t="shared" si="2224"/>
        <v>0</v>
      </c>
      <c r="AA2915" s="118"/>
      <c r="AB2915" s="118" t="str">
        <f t="shared" si="2225"/>
        <v/>
      </c>
      <c r="AC2915" s="712" t="str">
        <f>IF(AE2915="T2G","no charge",IF(AND(OR(PlanterYesMe="No",PlanterYesMe="N",PlanterYesMe="me"),H2915=""),"",IF(H2915="credit","NO install",IF(AND(K2915="",AE2915="me"),"EACH row",IF(AND(K2915="images",AE2915="me"),"EACH row",IF(D2915="","",IF(H2915="credit","",IF(AE2915="free","re-planting",IF(AE2915="me","   not ELP, by",IF(AND(OR(PlanterYesMe="Yes",PlanterYesMe="Y"),G2915&gt;0),(VLOOKUP(A2915,'Discount Lookup'!J:K,2)*G2915*(1-PlanterDiscount)*(1+PlanterDifficultyPercentage)),IF(AE2915="ELP",(VLOOKUP(A2915,'Discount Lookup'!J:K,2)*G2915*(1-PlanterDiscount)*(1+PlanterDifficultyPercentage)),IF(AE2915="free","re-planting",IF(G2915=0,"",IF(PlanterYesMe="",IF(AE2915="me","   not ELP, by",IF(AE2915="",IF(G2915&gt;0,(VLOOKUP(A2915,'Discount Lookup'!J:K,2)*G2915*(1-PlanterDiscount)*(1+PlanterDifficultyPercentage)),""),"")),"   not ELP, by"))))))))))))))</f>
        <v/>
      </c>
      <c r="AD2915" s="712"/>
      <c r="AE2915" s="513" t="str">
        <f t="shared" si="2226"/>
        <v/>
      </c>
      <c r="AF2915" s="713" t="str">
        <f t="shared" si="2227"/>
        <v/>
      </c>
      <c r="AG2915" s="713"/>
      <c r="AH2915" s="713"/>
      <c r="AI2915" s="112">
        <f>IF(H2915="credit",0,IF(AE2915="free",0,IF(AE2915="me",0,IF(G2915&gt;0,(VLOOKUP(A2915,'Discount Lookup'!J:K,2)*G2915),0))))</f>
        <v>0</v>
      </c>
      <c r="AJ2915" s="107" t="str">
        <f t="shared" ca="1" si="2228"/>
        <v/>
      </c>
      <c r="AK2915" s="714" t="str">
        <f t="shared" si="2229"/>
        <v/>
      </c>
      <c r="AL2915" s="714"/>
      <c r="AM2915" s="114" t="str">
        <f t="shared" si="2230"/>
        <v/>
      </c>
      <c r="AN2915" s="115"/>
      <c r="AO2915" s="116"/>
      <c r="AP2915" s="116"/>
      <c r="AQ2915" s="116"/>
      <c r="AR2915" s="116"/>
      <c r="AS2915" s="116"/>
      <c r="AT2915" s="116"/>
      <c r="AU2915" s="116"/>
      <c r="AV2915" s="78"/>
      <c r="AW2915" s="102"/>
      <c r="AX2915" s="78"/>
      <c r="AY2915" s="78"/>
      <c r="AZ2915" s="78"/>
      <c r="BA2915" s="78"/>
      <c r="BB2915" s="78"/>
      <c r="BC2915" s="78"/>
      <c r="BD2915" s="78"/>
      <c r="BE2915" s="465"/>
      <c r="BF2915" s="165" t="str">
        <f t="shared" si="2231"/>
        <v>https://www.google.com/search?tbm=isch&amp;q=Judy%20Zuk%20noted%20for%20it%27s%20truly%20unique%20and%20exotic%20flower%20coloration%2C%20giving%20it%20a%20real%20tropical%20feel%20</v>
      </c>
      <c r="BG2915" s="165" t="str">
        <f t="shared" si="2232"/>
        <v>J</v>
      </c>
      <c r="BH2915" s="65"/>
      <c r="BI2915" s="65"/>
      <c r="BJ2915" s="65"/>
      <c r="BK2915" s="65"/>
      <c r="BL2915" s="99"/>
      <c r="BM2915" s="99"/>
      <c r="BN2915" s="99"/>
    </row>
    <row r="2916" spans="1:66" s="51" customFormat="1" ht="18" x14ac:dyDescent="0.25">
      <c r="A2916" s="623" t="s">
        <v>3513</v>
      </c>
      <c r="B2916" s="624"/>
      <c r="C2916" s="709"/>
      <c r="D2916" s="625" t="s">
        <v>3514</v>
      </c>
      <c r="E2916" s="626"/>
      <c r="F2916" s="626"/>
      <c r="G2916" s="626"/>
      <c r="H2916" s="622" t="s">
        <v>325</v>
      </c>
      <c r="I2916" s="627" t="s">
        <v>2281</v>
      </c>
      <c r="J2916" s="628"/>
      <c r="K2916" s="628"/>
      <c r="L2916" s="629"/>
      <c r="M2916" s="700" t="s">
        <v>5249</v>
      </c>
      <c r="N2916" s="693" t="str">
        <f>IF(AND(ISTEXT($A2916), ISERROR($A2916+0)), HYPERLINK($BF2916, "Images"), "")</f>
        <v>Images</v>
      </c>
      <c r="O2916" s="695" t="s">
        <v>5247</v>
      </c>
      <c r="P2916" s="630"/>
      <c r="Q2916" s="631"/>
      <c r="R2916" s="632"/>
      <c r="S2916" s="633"/>
      <c r="T2916" s="102">
        <f t="shared" si="2220"/>
        <v>0</v>
      </c>
      <c r="U2916" s="78" t="str">
        <f>IF(NOT(ISNUMBER(G2916)), "", VLOOKUP(A2916,'Discount Lookup'!D:E,2,FALSE)*G2916)</f>
        <v/>
      </c>
      <c r="V2916" s="78" t="str">
        <f>IF(NOT(ISNUMBER(G2916)), "", VLOOKUP(A2916,'Discount Lookup'!G:H,2,FALSE)*G2916)</f>
        <v/>
      </c>
      <c r="W2916" s="102">
        <f t="shared" si="2221"/>
        <v>0</v>
      </c>
      <c r="X2916" s="102" t="str">
        <f t="shared" si="2222"/>
        <v>Lemon-Yellow bloom</v>
      </c>
      <c r="Y2916" s="120" t="b">
        <f t="shared" si="2223"/>
        <v>0</v>
      </c>
      <c r="Z2916" s="117">
        <f t="shared" si="2224"/>
        <v>0</v>
      </c>
      <c r="AA2916" s="118"/>
      <c r="AB2916" s="118" t="str">
        <f t="shared" si="2225"/>
        <v/>
      </c>
      <c r="AC2916" s="712" t="str">
        <f>IF(AE2916="T2G","no charge",IF(AND(OR(PlanterYesMe="No",PlanterYesMe="N",PlanterYesMe="me"),H2916=""),"",IF(H2916="credit","NO install",IF(AND(K2916="",AE2916="me"),"EACH row",IF(AND(K2916="images",AE2916="me"),"EACH row",IF(D2916="","",IF(H2916="credit","",IF(AE2916="free","re-planting",IF(AE2916="me","   not ELP, by",IF(AND(OR(PlanterYesMe="Yes",PlanterYesMe="Y"),G2916&gt;0),(VLOOKUP(A2916,'Discount Lookup'!J:K,2)*G2916*(1-PlanterDiscount)*(1+PlanterDifficultyPercentage)),IF(AE2916="ELP",(VLOOKUP(A2916,'Discount Lookup'!J:K,2)*G2916*(1-PlanterDiscount)*(1+PlanterDifficultyPercentage)),IF(AE2916="free","re-planting",IF(G2916=0,"",IF(PlanterYesMe="",IF(AE2916="me","   not ELP, by",IF(AE2916="",IF(G2916&gt;0,(VLOOKUP(A2916,'Discount Lookup'!J:K,2)*G2916*(1-PlanterDiscount)*(1+PlanterDifficultyPercentage)),""),"")),"   not ELP, by"))))))))))))))</f>
        <v/>
      </c>
      <c r="AD2916" s="712"/>
      <c r="AE2916" s="513" t="str">
        <f t="shared" si="2226"/>
        <v/>
      </c>
      <c r="AF2916" s="713" t="str">
        <f t="shared" si="2227"/>
        <v/>
      </c>
      <c r="AG2916" s="713"/>
      <c r="AH2916" s="713"/>
      <c r="AI2916" s="112">
        <f>IF(H2916="credit",0,IF(AE2916="free",0,IF(AE2916="me",0,IF(G2916&gt;0,(VLOOKUP(A2916,'Discount Lookup'!J:K,2)*G2916),0))))</f>
        <v>0</v>
      </c>
      <c r="AJ2916" s="107" t="str">
        <f t="shared" ca="1" si="2228"/>
        <v/>
      </c>
      <c r="AK2916" s="714" t="str">
        <f t="shared" si="2229"/>
        <v/>
      </c>
      <c r="AL2916" s="714"/>
      <c r="AM2916" s="114" t="str">
        <f t="shared" si="2230"/>
        <v/>
      </c>
      <c r="AN2916" s="115"/>
      <c r="AO2916" s="116"/>
      <c r="AP2916" s="116"/>
      <c r="AQ2916" s="116"/>
      <c r="AR2916" s="116"/>
      <c r="AS2916" s="116"/>
      <c r="AT2916" s="116"/>
      <c r="AU2916" s="116"/>
      <c r="AV2916" s="78"/>
      <c r="AW2916" s="102"/>
      <c r="AX2916" s="78"/>
      <c r="AY2916" s="78"/>
      <c r="AZ2916" s="78"/>
      <c r="BA2916" s="78"/>
      <c r="BB2916" s="78"/>
      <c r="BC2916" s="78"/>
      <c r="BD2916" s="78"/>
      <c r="BE2916" s="465"/>
      <c r="BF2916" s="165" t="str">
        <f t="shared" si="2231"/>
        <v>https://www.google.com/search?tbm=isch&amp;q=Magnolia%20x%20brooklynensis%20%27Lois%27%20Lois%20Magnolia</v>
      </c>
      <c r="BG2916" s="165" t="str">
        <f t="shared" si="2232"/>
        <v>M</v>
      </c>
      <c r="BH2916" s="65"/>
      <c r="BI2916" s="65"/>
      <c r="BJ2916" s="65"/>
      <c r="BK2916" s="65"/>
      <c r="BL2916" s="99"/>
      <c r="BM2916" s="99"/>
      <c r="BN2916" s="99"/>
    </row>
    <row r="2917" spans="1:66" s="51" customFormat="1" ht="15.75" x14ac:dyDescent="0.25">
      <c r="A2917" s="634">
        <v>7</v>
      </c>
      <c r="B2917" s="635" t="s">
        <v>291</v>
      </c>
      <c r="C2917" s="636" t="s">
        <v>3515</v>
      </c>
      <c r="D2917" s="637" t="s">
        <v>299</v>
      </c>
      <c r="E2917" s="638">
        <v>118.95</v>
      </c>
      <c r="F2917" s="639" t="s">
        <v>292</v>
      </c>
      <c r="G2917" s="484">
        <v>0</v>
      </c>
      <c r="H2917" s="691" t="str">
        <f>IF(G2917=0,"",IF(F2917="Buy",IF(G2917=1,"plant","plants"),IF(F2917&gt;0.01,"warranty","Error")))</f>
        <v/>
      </c>
      <c r="I2917" s="640">
        <f>IF(H2917="free",0,IF(H2917="credit",((E2917*(F2917))*G2917*-1),IF(F2917="Buy",(E2917*G2917),((E2917*(1-F2917))*G2917))))</f>
        <v>0</v>
      </c>
      <c r="J2917" s="640">
        <f>IF(H2917="warranty",0,(I2917*(_xlfn.SINGLE(SalesTaxPercentage))))</f>
        <v>0</v>
      </c>
      <c r="K2917" s="716">
        <f t="shared" ref="K2917" si="2242">I2917+J2917</f>
        <v>0</v>
      </c>
      <c r="L2917" s="716"/>
      <c r="M2917" s="689" t="str">
        <f ca="1">IF(AND(G2917&gt;0,E2917=0),"WARNING - no PRICE inserted",IF(H2917="free","FREE ~ no charge this plant",IF(H2917="credit",CONCATENATE("-$",ROUND(K2917*(1-_xlfn.SINGLE(T2GDiscount))*-1,2)," CREDIT after discount"),IF(_xlfn.SINGLE(T2GDiscount)=0,"",IF(G2917=0,"",IF(F2917="Buy",CONCATENATE("$",ROUND(K2917*(1-_xlfn.SINGLE(T2GDiscount)),2)," with ",(_xlfn.SINGLE(T2GDiscount)*100),"% discount"),CONCATENATE("$",ROUND(K2917*(1-_xlfn.SINGLE(T2GDiscount)),2)," with ",((_xlfn.SINGLE(T2GDiscount)*100+F2917*100)-(_xlfn.SINGLE(T2GDiscount)*100*F2917)),IF(F2917&gt;0,"% discounts",IF(_xlfn.SINGLE(NoWarrantyDiscount)&gt;0,"% discounts","% discount")))))))))</f>
        <v/>
      </c>
      <c r="N2917" s="690"/>
      <c r="O2917" s="486"/>
      <c r="P2917" s="486"/>
      <c r="Q2917" s="486"/>
      <c r="R2917" s="486"/>
      <c r="S2917" s="486"/>
      <c r="T2917" s="102">
        <f t="shared" si="2220"/>
        <v>0</v>
      </c>
      <c r="U2917" s="78">
        <f>IF(NOT(ISNUMBER(G2917)), "", VLOOKUP(A2917,'Discount Lookup'!D:E,2,FALSE)*G2917)</f>
        <v>0</v>
      </c>
      <c r="V2917" s="78">
        <f>IF(NOT(ISNUMBER(G2917)), "", VLOOKUP(A2917,'Discount Lookup'!G:H,2,FALSE)*G2917)</f>
        <v>0</v>
      </c>
      <c r="W2917" s="102">
        <f t="shared" si="2221"/>
        <v>0</v>
      </c>
      <c r="X2917" s="102">
        <f t="shared" si="2222"/>
        <v>0</v>
      </c>
      <c r="Y2917" s="120" t="b">
        <f t="shared" si="2223"/>
        <v>0</v>
      </c>
      <c r="Z2917" s="117">
        <f t="shared" si="2224"/>
        <v>0</v>
      </c>
      <c r="AA2917" s="118"/>
      <c r="AB2917" s="118" t="str">
        <f t="shared" si="2225"/>
        <v/>
      </c>
      <c r="AC2917" s="712" t="str">
        <f>IF(AE2917="T2G","no charge",IF(AND(OR(PlanterYesMe="No",PlanterYesMe="N",PlanterYesMe="me"),H2917=""),"",IF(H2917="credit","NO install",IF(AND(K2917="",AE2917="me"),"EACH row",IF(AND(K2917="images",AE2917="me"),"EACH row",IF(D2917="","",IF(H2917="credit","",IF(AE2917="free","re-planting",IF(AE2917="me","   not ELP, by",IF(AND(OR(PlanterYesMe="Yes",PlanterYesMe="Y"),G2917&gt;0),(VLOOKUP(A2917,'Discount Lookup'!J:K,2)*G2917*(1-PlanterDiscount)*(1+PlanterDifficultyPercentage)),IF(AE2917="ELP",(VLOOKUP(A2917,'Discount Lookup'!J:K,2)*G2917*(1-PlanterDiscount)*(1+PlanterDifficultyPercentage)),IF(AE2917="free","re-planting",IF(G2917=0,"",IF(PlanterYesMe="",IF(AE2917="me","   not ELP, by",IF(AE2917="",IF(G2917&gt;0,(VLOOKUP(A2917,'Discount Lookup'!J:K,2)*G2917*(1-PlanterDiscount)*(1+PlanterDifficultyPercentage)),""),"")),"   not ELP, by"))))))))))))))</f>
        <v/>
      </c>
      <c r="AD2917" s="712"/>
      <c r="AE2917" s="513" t="str">
        <f t="shared" si="2226"/>
        <v/>
      </c>
      <c r="AF2917" s="713" t="str">
        <f t="shared" si="2227"/>
        <v/>
      </c>
      <c r="AG2917" s="713"/>
      <c r="AH2917" s="713"/>
      <c r="AI2917" s="112">
        <f>IF(H2917="credit",0,IF(AE2917="free",0,IF(AE2917="me",0,IF(G2917&gt;0,(VLOOKUP(A2917,'Discount Lookup'!J:K,2)*G2917),0))))</f>
        <v>0</v>
      </c>
      <c r="AJ2917" s="107" t="str">
        <f t="shared" ca="1" si="2228"/>
        <v/>
      </c>
      <c r="AK2917" s="714" t="str">
        <f t="shared" si="2229"/>
        <v/>
      </c>
      <c r="AL2917" s="714"/>
      <c r="AM2917" s="114" t="str">
        <f t="shared" si="2230"/>
        <v/>
      </c>
      <c r="AN2917" s="115"/>
      <c r="AO2917" s="116"/>
      <c r="AP2917" s="116"/>
      <c r="AQ2917" s="116"/>
      <c r="AR2917" s="116"/>
      <c r="AS2917" s="116"/>
      <c r="AT2917" s="116"/>
      <c r="AU2917" s="116"/>
      <c r="AV2917" s="78"/>
      <c r="AW2917" s="102"/>
      <c r="AX2917" s="78"/>
      <c r="AY2917" s="78"/>
      <c r="AZ2917" s="78"/>
      <c r="BA2917" s="78"/>
      <c r="BB2917" s="78"/>
      <c r="BC2917" s="78"/>
      <c r="BD2917" s="78"/>
      <c r="BE2917" s="465"/>
      <c r="BF2917" s="165" t="str">
        <f t="shared" si="2231"/>
        <v>https://www.google.com/search?tbm=isch&amp;q=7%20G4</v>
      </c>
      <c r="BG2917" s="165" t="str">
        <f t="shared" si="2232"/>
        <v>M</v>
      </c>
      <c r="BH2917" s="65"/>
      <c r="BI2917" s="65"/>
      <c r="BJ2917" s="65"/>
      <c r="BK2917" s="65"/>
      <c r="BL2917" s="99"/>
      <c r="BM2917" s="99"/>
      <c r="BN2917" s="99"/>
    </row>
    <row r="2918" spans="1:66" s="51" customFormat="1" ht="15.75" x14ac:dyDescent="0.25">
      <c r="A2918" s="634">
        <v>15</v>
      </c>
      <c r="B2918" s="635" t="s">
        <v>291</v>
      </c>
      <c r="C2918" s="636" t="s">
        <v>3516</v>
      </c>
      <c r="D2918" s="637" t="s">
        <v>299</v>
      </c>
      <c r="E2918" s="638">
        <v>183.95</v>
      </c>
      <c r="F2918" s="639" t="s">
        <v>292</v>
      </c>
      <c r="G2918" s="484">
        <v>0</v>
      </c>
      <c r="H2918" s="691" t="str">
        <f>IF(G2918=0,"",IF(F2918="Buy",IF(G2918=1,"plant","plants"),IF(F2918&gt;0.01,"warranty","Error")))</f>
        <v/>
      </c>
      <c r="I2918" s="640">
        <f>IF(H2918="free",0,IF(H2918="credit",((E2918*(F2918))*G2918*-1),IF(F2918="Buy",(E2918*G2918),((E2918*(1-F2918))*G2918))))</f>
        <v>0</v>
      </c>
      <c r="J2918" s="640">
        <f>IF(H2918="warranty",0,(I2918*(_xlfn.SINGLE(SalesTaxPercentage))))</f>
        <v>0</v>
      </c>
      <c r="K2918" s="716">
        <f t="shared" ref="K2918" si="2243">I2918+J2918</f>
        <v>0</v>
      </c>
      <c r="L2918" s="716"/>
      <c r="M2918" s="689" t="str">
        <f ca="1">IF(AND(G2918&gt;0,E2918=0),"WARNING - no PRICE inserted",IF(H2918="free","FREE ~ no charge this plant",IF(H2918="credit",CONCATENATE("-$",ROUND(K2918*(1-_xlfn.SINGLE(T2GDiscount))*-1,2)," CREDIT after discount"),IF(_xlfn.SINGLE(T2GDiscount)=0,"",IF(G2918=0,"",IF(F2918="Buy",CONCATENATE("$",ROUND(K2918*(1-_xlfn.SINGLE(T2GDiscount)),2)," with ",(_xlfn.SINGLE(T2GDiscount)*100),"% discount"),CONCATENATE("$",ROUND(K2918*(1-_xlfn.SINGLE(T2GDiscount)),2)," with ",((_xlfn.SINGLE(T2GDiscount)*100+F2918*100)-(_xlfn.SINGLE(T2GDiscount)*100*F2918)),IF(F2918&gt;0,"% discounts",IF(_xlfn.SINGLE(NoWarrantyDiscount)&gt;0,"% discounts","% discount")))))))))</f>
        <v/>
      </c>
      <c r="N2918" s="690"/>
      <c r="O2918" s="486"/>
      <c r="P2918" s="486"/>
      <c r="Q2918" s="486"/>
      <c r="R2918" s="486"/>
      <c r="S2918" s="486"/>
      <c r="T2918" s="102">
        <f t="shared" si="2220"/>
        <v>0</v>
      </c>
      <c r="U2918" s="78">
        <f>IF(NOT(ISNUMBER(G2918)), "", VLOOKUP(A2918,'Discount Lookup'!D:E,2,FALSE)*G2918)</f>
        <v>0</v>
      </c>
      <c r="V2918" s="78">
        <f>IF(NOT(ISNUMBER(G2918)), "", VLOOKUP(A2918,'Discount Lookup'!G:H,2,FALSE)*G2918)</f>
        <v>0</v>
      </c>
      <c r="W2918" s="102">
        <f t="shared" si="2221"/>
        <v>0</v>
      </c>
      <c r="X2918" s="102">
        <f t="shared" si="2222"/>
        <v>0</v>
      </c>
      <c r="Y2918" s="120" t="b">
        <f t="shared" si="2223"/>
        <v>0</v>
      </c>
      <c r="Z2918" s="117">
        <f t="shared" si="2224"/>
        <v>0</v>
      </c>
      <c r="AA2918" s="118"/>
      <c r="AB2918" s="118" t="str">
        <f t="shared" si="2225"/>
        <v/>
      </c>
      <c r="AC2918" s="712" t="str">
        <f>IF(AE2918="T2G","no charge",IF(AND(OR(PlanterYesMe="No",PlanterYesMe="N",PlanterYesMe="me"),H2918=""),"",IF(H2918="credit","NO install",IF(AND(K2918="",AE2918="me"),"EACH row",IF(AND(K2918="images",AE2918="me"),"EACH row",IF(D2918="","",IF(H2918="credit","",IF(AE2918="free","re-planting",IF(AE2918="me","   not ELP, by",IF(AND(OR(PlanterYesMe="Yes",PlanterYesMe="Y"),G2918&gt;0),(VLOOKUP(A2918,'Discount Lookup'!J:K,2)*G2918*(1-PlanterDiscount)*(1+PlanterDifficultyPercentage)),IF(AE2918="ELP",(VLOOKUP(A2918,'Discount Lookup'!J:K,2)*G2918*(1-PlanterDiscount)*(1+PlanterDifficultyPercentage)),IF(AE2918="free","re-planting",IF(G2918=0,"",IF(PlanterYesMe="",IF(AE2918="me","   not ELP, by",IF(AE2918="",IF(G2918&gt;0,(VLOOKUP(A2918,'Discount Lookup'!J:K,2)*G2918*(1-PlanterDiscount)*(1+PlanterDifficultyPercentage)),""),"")),"   not ELP, by"))))))))))))))</f>
        <v/>
      </c>
      <c r="AD2918" s="712"/>
      <c r="AE2918" s="513" t="str">
        <f t="shared" si="2226"/>
        <v/>
      </c>
      <c r="AF2918" s="713" t="str">
        <f t="shared" si="2227"/>
        <v/>
      </c>
      <c r="AG2918" s="713"/>
      <c r="AH2918" s="713"/>
      <c r="AI2918" s="112">
        <f>IF(H2918="credit",0,IF(AE2918="free",0,IF(AE2918="me",0,IF(G2918&gt;0,(VLOOKUP(A2918,'Discount Lookup'!J:K,2)*G2918),0))))</f>
        <v>0</v>
      </c>
      <c r="AJ2918" s="107" t="str">
        <f t="shared" ca="1" si="2228"/>
        <v/>
      </c>
      <c r="AK2918" s="714" t="str">
        <f t="shared" si="2229"/>
        <v/>
      </c>
      <c r="AL2918" s="714"/>
      <c r="AM2918" s="114" t="str">
        <f t="shared" si="2230"/>
        <v/>
      </c>
      <c r="AN2918" s="115"/>
      <c r="AO2918" s="116"/>
      <c r="AP2918" s="116"/>
      <c r="AQ2918" s="116"/>
      <c r="AR2918" s="116"/>
      <c r="AS2918" s="116"/>
      <c r="AT2918" s="116"/>
      <c r="AU2918" s="116"/>
      <c r="AV2918" s="78"/>
      <c r="AW2918" s="102"/>
      <c r="AX2918" s="78"/>
      <c r="AY2918" s="78"/>
      <c r="AZ2918" s="78"/>
      <c r="BA2918" s="78"/>
      <c r="BB2918" s="78"/>
      <c r="BC2918" s="78"/>
      <c r="BD2918" s="78"/>
      <c r="BE2918" s="465"/>
      <c r="BF2918" s="165" t="str">
        <f t="shared" si="2231"/>
        <v>https://www.google.com/search?tbm=isch&amp;q=15%20G4</v>
      </c>
      <c r="BG2918" s="165" t="str">
        <f t="shared" si="2232"/>
        <v>M</v>
      </c>
      <c r="BH2918" s="65"/>
      <c r="BI2918" s="65"/>
      <c r="BJ2918" s="65"/>
      <c r="BK2918" s="65"/>
      <c r="BL2918" s="99"/>
      <c r="BM2918" s="99"/>
      <c r="BN2918" s="99"/>
    </row>
    <row r="2919" spans="1:66" s="51" customFormat="1" ht="17.25" thickBot="1" x14ac:dyDescent="0.3">
      <c r="A2919" s="641" t="s">
        <v>3517</v>
      </c>
      <c r="B2919" s="642"/>
      <c r="C2919" s="710"/>
      <c r="D2919" s="643"/>
      <c r="E2919" s="643"/>
      <c r="F2919" s="644"/>
      <c r="G2919" s="645"/>
      <c r="H2919" s="646"/>
      <c r="I2919" s="647"/>
      <c r="J2919" s="648"/>
      <c r="K2919" s="649"/>
      <c r="L2919" s="650"/>
      <c r="M2919" s="650"/>
      <c r="N2919" s="644"/>
      <c r="O2919" s="644"/>
      <c r="P2919" s="644"/>
      <c r="Q2919" s="644"/>
      <c r="R2919" s="644"/>
      <c r="S2919" s="651"/>
      <c r="T2919" s="102">
        <f t="shared" si="2220"/>
        <v>0</v>
      </c>
      <c r="U2919" s="78" t="str">
        <f>IF(NOT(ISNUMBER(G2919)), "", VLOOKUP(A2919,'Discount Lookup'!D:E,2,FALSE)*G2919)</f>
        <v/>
      </c>
      <c r="V2919" s="78" t="str">
        <f>IF(NOT(ISNUMBER(G2919)), "", VLOOKUP(A2919,'Discount Lookup'!G:H,2,FALSE)*G2919)</f>
        <v/>
      </c>
      <c r="W2919" s="102">
        <f t="shared" si="2221"/>
        <v>0</v>
      </c>
      <c r="X2919" s="102">
        <f t="shared" si="2222"/>
        <v>0</v>
      </c>
      <c r="Y2919" s="120" t="b">
        <f t="shared" si="2223"/>
        <v>0</v>
      </c>
      <c r="Z2919" s="117">
        <f t="shared" si="2224"/>
        <v>0</v>
      </c>
      <c r="AA2919" s="118"/>
      <c r="AB2919" s="118" t="str">
        <f t="shared" si="2225"/>
        <v/>
      </c>
      <c r="AC2919" s="712" t="str">
        <f>IF(AE2919="T2G","no charge",IF(AND(OR(PlanterYesMe="No",PlanterYesMe="N",PlanterYesMe="me"),H2919=""),"",IF(H2919="credit","NO install",IF(AND(K2919="",AE2919="me"),"EACH row",IF(AND(K2919="images",AE2919="me"),"EACH row",IF(D2919="","",IF(H2919="credit","",IF(AE2919="free","re-planting",IF(AE2919="me","   not ELP, by",IF(AND(OR(PlanterYesMe="Yes",PlanterYesMe="Y"),G2919&gt;0),(VLOOKUP(A2919,'Discount Lookup'!J:K,2)*G2919*(1-PlanterDiscount)*(1+PlanterDifficultyPercentage)),IF(AE2919="ELP",(VLOOKUP(A2919,'Discount Lookup'!J:K,2)*G2919*(1-PlanterDiscount)*(1+PlanterDifficultyPercentage)),IF(AE2919="free","re-planting",IF(G2919=0,"",IF(PlanterYesMe="",IF(AE2919="me","   not ELP, by",IF(AE2919="",IF(G2919&gt;0,(VLOOKUP(A2919,'Discount Lookup'!J:K,2)*G2919*(1-PlanterDiscount)*(1+PlanterDifficultyPercentage)),""),"")),"   not ELP, by"))))))))))))))</f>
        <v/>
      </c>
      <c r="AD2919" s="712"/>
      <c r="AE2919" s="513" t="str">
        <f t="shared" si="2226"/>
        <v/>
      </c>
      <c r="AF2919" s="713" t="str">
        <f t="shared" si="2227"/>
        <v/>
      </c>
      <c r="AG2919" s="713"/>
      <c r="AH2919" s="713"/>
      <c r="AI2919" s="112">
        <f>IF(H2919="credit",0,IF(AE2919="free",0,IF(AE2919="me",0,IF(G2919&gt;0,(VLOOKUP(A2919,'Discount Lookup'!J:K,2)*G2919),0))))</f>
        <v>0</v>
      </c>
      <c r="AJ2919" s="107" t="str">
        <f t="shared" ca="1" si="2228"/>
        <v/>
      </c>
      <c r="AK2919" s="714" t="str">
        <f t="shared" si="2229"/>
        <v/>
      </c>
      <c r="AL2919" s="714"/>
      <c r="AM2919" s="114" t="str">
        <f t="shared" si="2230"/>
        <v/>
      </c>
      <c r="AN2919" s="115"/>
      <c r="AO2919" s="116"/>
      <c r="AP2919" s="116"/>
      <c r="AQ2919" s="116"/>
      <c r="AR2919" s="116"/>
      <c r="AS2919" s="116"/>
      <c r="AT2919" s="116"/>
      <c r="AU2919" s="116"/>
      <c r="AV2919" s="78"/>
      <c r="AW2919" s="102"/>
      <c r="AX2919" s="78"/>
      <c r="AY2919" s="78"/>
      <c r="AZ2919" s="78"/>
      <c r="BA2919" s="78"/>
      <c r="BB2919" s="78"/>
      <c r="BC2919" s="78"/>
      <c r="BD2919" s="78"/>
      <c r="BE2919" s="465"/>
      <c r="BF2919" s="165" t="str">
        <f t="shared" si="2231"/>
        <v>https://www.google.com/search?tbm=isch&amp;q=Lois%20grown%20for%20beautiful%2C%20clear%20Yellow%20flowers.%20Late%20blooming%2C%20to%20avoid%20frost%20</v>
      </c>
      <c r="BG2919" s="165" t="str">
        <f t="shared" si="2232"/>
        <v>L</v>
      </c>
      <c r="BH2919" s="65"/>
      <c r="BI2919" s="65"/>
      <c r="BJ2919" s="65"/>
      <c r="BK2919" s="65"/>
      <c r="BL2919" s="99"/>
      <c r="BM2919" s="99"/>
      <c r="BN2919" s="99"/>
    </row>
    <row r="2920" spans="1:66" s="51" customFormat="1" ht="18" x14ac:dyDescent="0.25">
      <c r="A2920" s="623" t="s">
        <v>3518</v>
      </c>
      <c r="B2920" s="624"/>
      <c r="C2920" s="709"/>
      <c r="D2920" s="625" t="s">
        <v>3519</v>
      </c>
      <c r="E2920" s="626"/>
      <c r="F2920" s="626"/>
      <c r="G2920" s="626"/>
      <c r="H2920" s="622" t="s">
        <v>1139</v>
      </c>
      <c r="I2920" s="627" t="s">
        <v>3520</v>
      </c>
      <c r="J2920" s="628"/>
      <c r="K2920" s="628"/>
      <c r="L2920" s="629"/>
      <c r="M2920" s="700" t="s">
        <v>5249</v>
      </c>
      <c r="N2920" s="693" t="str">
        <f>IF(AND(ISTEXT($A2920), ISERROR($A2920+0)), HYPERLINK($BF2920, "Images"), "")</f>
        <v>Images</v>
      </c>
      <c r="O2920" s="695" t="s">
        <v>5247</v>
      </c>
      <c r="P2920" s="630"/>
      <c r="Q2920" s="631"/>
      <c r="R2920" s="632"/>
      <c r="S2920" s="633"/>
      <c r="T2920" s="102">
        <f t="shared" si="2220"/>
        <v>0</v>
      </c>
      <c r="U2920" s="78" t="str">
        <f>IF(NOT(ISNUMBER(G2920)), "", VLOOKUP(A2920,'Discount Lookup'!D:E,2,FALSE)*G2920)</f>
        <v/>
      </c>
      <c r="V2920" s="78" t="str">
        <f>IF(NOT(ISNUMBER(G2920)), "", VLOOKUP(A2920,'Discount Lookup'!G:H,2,FALSE)*G2920)</f>
        <v/>
      </c>
      <c r="W2920" s="102">
        <f t="shared" si="2221"/>
        <v>0</v>
      </c>
      <c r="X2920" s="102" t="str">
        <f t="shared" si="2222"/>
        <v>Canary-Yellow bloom</v>
      </c>
      <c r="Y2920" s="120" t="b">
        <f t="shared" si="2223"/>
        <v>0</v>
      </c>
      <c r="Z2920" s="117">
        <f t="shared" si="2224"/>
        <v>0</v>
      </c>
      <c r="AA2920" s="118"/>
      <c r="AB2920" s="118" t="str">
        <f t="shared" si="2225"/>
        <v/>
      </c>
      <c r="AC2920" s="712" t="str">
        <f>IF(AE2920="T2G","no charge",IF(AND(OR(PlanterYesMe="No",PlanterYesMe="N",PlanterYesMe="me"),H2920=""),"",IF(H2920="credit","NO install",IF(AND(K2920="",AE2920="me"),"EACH row",IF(AND(K2920="images",AE2920="me"),"EACH row",IF(D2920="","",IF(H2920="credit","",IF(AE2920="free","re-planting",IF(AE2920="me","   not ELP, by",IF(AND(OR(PlanterYesMe="Yes",PlanterYesMe="Y"),G2920&gt;0),(VLOOKUP(A2920,'Discount Lookup'!J:K,2)*G2920*(1-PlanterDiscount)*(1+PlanterDifficultyPercentage)),IF(AE2920="ELP",(VLOOKUP(A2920,'Discount Lookup'!J:K,2)*G2920*(1-PlanterDiscount)*(1+PlanterDifficultyPercentage)),IF(AE2920="free","re-planting",IF(G2920=0,"",IF(PlanterYesMe="",IF(AE2920="me","   not ELP, by",IF(AE2920="",IF(G2920&gt;0,(VLOOKUP(A2920,'Discount Lookup'!J:K,2)*G2920*(1-PlanterDiscount)*(1+PlanterDifficultyPercentage)),""),"")),"   not ELP, by"))))))))))))))</f>
        <v/>
      </c>
      <c r="AD2920" s="712"/>
      <c r="AE2920" s="513" t="str">
        <f t="shared" si="2226"/>
        <v/>
      </c>
      <c r="AF2920" s="713" t="str">
        <f t="shared" si="2227"/>
        <v/>
      </c>
      <c r="AG2920" s="713"/>
      <c r="AH2920" s="713"/>
      <c r="AI2920" s="112">
        <f>IF(H2920="credit",0,IF(AE2920="free",0,IF(AE2920="me",0,IF(G2920&gt;0,(VLOOKUP(A2920,'Discount Lookup'!J:K,2)*G2920),0))))</f>
        <v>0</v>
      </c>
      <c r="AJ2920" s="107" t="str">
        <f t="shared" ca="1" si="2228"/>
        <v/>
      </c>
      <c r="AK2920" s="714" t="str">
        <f t="shared" si="2229"/>
        <v/>
      </c>
      <c r="AL2920" s="714"/>
      <c r="AM2920" s="114" t="str">
        <f t="shared" si="2230"/>
        <v/>
      </c>
      <c r="AN2920" s="115"/>
      <c r="AO2920" s="116"/>
      <c r="AP2920" s="116"/>
      <c r="AQ2920" s="116"/>
      <c r="AR2920" s="116"/>
      <c r="AS2920" s="116"/>
      <c r="AT2920" s="116"/>
      <c r="AU2920" s="116"/>
      <c r="AV2920" s="78"/>
      <c r="AW2920" s="102"/>
      <c r="AX2920" s="78"/>
      <c r="AY2920" s="78"/>
      <c r="AZ2920" s="78"/>
      <c r="BA2920" s="78"/>
      <c r="BB2920" s="78"/>
      <c r="BC2920" s="78"/>
      <c r="BD2920" s="78"/>
      <c r="BE2920" s="465"/>
      <c r="BF2920" s="165" t="str">
        <f t="shared" si="2231"/>
        <v>https://www.google.com/search?tbm=isch&amp;q=Magnolia%20x%20brooklynensis%20%27Yellow%20Bird%27%20Yellow%20Bird%20Magnolia</v>
      </c>
      <c r="BG2920" s="165" t="str">
        <f t="shared" si="2232"/>
        <v>M</v>
      </c>
      <c r="BH2920" s="65"/>
      <c r="BI2920" s="65"/>
      <c r="BJ2920" s="65"/>
      <c r="BK2920" s="65"/>
      <c r="BL2920" s="99"/>
      <c r="BM2920" s="99"/>
      <c r="BN2920" s="99"/>
    </row>
    <row r="2921" spans="1:66" s="51" customFormat="1" ht="15.75" x14ac:dyDescent="0.25">
      <c r="A2921" s="634">
        <v>7</v>
      </c>
      <c r="B2921" s="635" t="s">
        <v>291</v>
      </c>
      <c r="C2921" s="636" t="s">
        <v>1467</v>
      </c>
      <c r="D2921" s="637" t="s">
        <v>299</v>
      </c>
      <c r="E2921" s="638">
        <v>109.95</v>
      </c>
      <c r="F2921" s="639" t="s">
        <v>292</v>
      </c>
      <c r="G2921" s="484">
        <v>0</v>
      </c>
      <c r="H2921" s="691" t="str">
        <f>IF(G2921=0,"",IF(F2921="Buy",IF(G2921=1,"plant","plants"),IF(F2921&gt;0.01,"warranty","Error")))</f>
        <v/>
      </c>
      <c r="I2921" s="640">
        <f>IF(H2921="free",0,IF(H2921="credit",((E2921*(F2921))*G2921*-1),IF(F2921="Buy",(E2921*G2921),((E2921*(1-F2921))*G2921))))</f>
        <v>0</v>
      </c>
      <c r="J2921" s="640">
        <f>IF(H2921="warranty",0,(I2921*(_xlfn.SINGLE(SalesTaxPercentage))))</f>
        <v>0</v>
      </c>
      <c r="K2921" s="716">
        <f t="shared" ref="K2921" si="2244">I2921+J2921</f>
        <v>0</v>
      </c>
      <c r="L2921" s="716"/>
      <c r="M2921" s="689" t="str">
        <f ca="1">IF(AND(G2921&gt;0,E2921=0),"WARNING - no PRICE inserted",IF(H2921="free","FREE ~ no charge this plant",IF(H2921="credit",CONCATENATE("-$",ROUND(K2921*(1-_xlfn.SINGLE(T2GDiscount))*-1,2)," CREDIT after discount"),IF(_xlfn.SINGLE(T2GDiscount)=0,"",IF(G2921=0,"",IF(F2921="Buy",CONCATENATE("$",ROUND(K2921*(1-_xlfn.SINGLE(T2GDiscount)),2)," with ",(_xlfn.SINGLE(T2GDiscount)*100),"% discount"),CONCATENATE("$",ROUND(K2921*(1-_xlfn.SINGLE(T2GDiscount)),2)," with ",((_xlfn.SINGLE(T2GDiscount)*100+F2921*100)-(_xlfn.SINGLE(T2GDiscount)*100*F2921)),IF(F2921&gt;0,"% discounts",IF(_xlfn.SINGLE(NoWarrantyDiscount)&gt;0,"% discounts","% discount")))))))))</f>
        <v/>
      </c>
      <c r="N2921" s="690"/>
      <c r="O2921" s="486"/>
      <c r="P2921" s="486"/>
      <c r="Q2921" s="486"/>
      <c r="R2921" s="486"/>
      <c r="S2921" s="486"/>
      <c r="T2921" s="102">
        <f t="shared" si="2220"/>
        <v>0</v>
      </c>
      <c r="U2921" s="78">
        <f>IF(NOT(ISNUMBER(G2921)), "", VLOOKUP(A2921,'Discount Lookup'!D:E,2,FALSE)*G2921)</f>
        <v>0</v>
      </c>
      <c r="V2921" s="78">
        <f>IF(NOT(ISNUMBER(G2921)), "", VLOOKUP(A2921,'Discount Lookup'!G:H,2,FALSE)*G2921)</f>
        <v>0</v>
      </c>
      <c r="W2921" s="102">
        <f t="shared" si="2221"/>
        <v>0</v>
      </c>
      <c r="X2921" s="102">
        <f t="shared" si="2222"/>
        <v>0</v>
      </c>
      <c r="Y2921" s="120" t="b">
        <f t="shared" si="2223"/>
        <v>0</v>
      </c>
      <c r="Z2921" s="117">
        <f t="shared" si="2224"/>
        <v>0</v>
      </c>
      <c r="AA2921" s="118"/>
      <c r="AB2921" s="118" t="str">
        <f t="shared" si="2225"/>
        <v/>
      </c>
      <c r="AC2921" s="712" t="str">
        <f>IF(AE2921="T2G","no charge",IF(AND(OR(PlanterYesMe="No",PlanterYesMe="N",PlanterYesMe="me"),H2921=""),"",IF(H2921="credit","NO install",IF(AND(K2921="",AE2921="me"),"EACH row",IF(AND(K2921="images",AE2921="me"),"EACH row",IF(D2921="","",IF(H2921="credit","",IF(AE2921="free","re-planting",IF(AE2921="me","   not ELP, by",IF(AND(OR(PlanterYesMe="Yes",PlanterYesMe="Y"),G2921&gt;0),(VLOOKUP(A2921,'Discount Lookup'!J:K,2)*G2921*(1-PlanterDiscount)*(1+PlanterDifficultyPercentage)),IF(AE2921="ELP",(VLOOKUP(A2921,'Discount Lookup'!J:K,2)*G2921*(1-PlanterDiscount)*(1+PlanterDifficultyPercentage)),IF(AE2921="free","re-planting",IF(G2921=0,"",IF(PlanterYesMe="",IF(AE2921="me","   not ELP, by",IF(AE2921="",IF(G2921&gt;0,(VLOOKUP(A2921,'Discount Lookup'!J:K,2)*G2921*(1-PlanterDiscount)*(1+PlanterDifficultyPercentage)),""),"")),"   not ELP, by"))))))))))))))</f>
        <v/>
      </c>
      <c r="AD2921" s="712"/>
      <c r="AE2921" s="513" t="str">
        <f t="shared" si="2226"/>
        <v/>
      </c>
      <c r="AF2921" s="713" t="str">
        <f t="shared" si="2227"/>
        <v/>
      </c>
      <c r="AG2921" s="713"/>
      <c r="AH2921" s="713"/>
      <c r="AI2921" s="112">
        <f>IF(H2921="credit",0,IF(AE2921="free",0,IF(AE2921="me",0,IF(G2921&gt;0,(VLOOKUP(A2921,'Discount Lookup'!J:K,2)*G2921),0))))</f>
        <v>0</v>
      </c>
      <c r="AJ2921" s="107" t="str">
        <f t="shared" ca="1" si="2228"/>
        <v/>
      </c>
      <c r="AK2921" s="714" t="str">
        <f t="shared" si="2229"/>
        <v/>
      </c>
      <c r="AL2921" s="714"/>
      <c r="AM2921" s="114" t="str">
        <f t="shared" si="2230"/>
        <v/>
      </c>
      <c r="AN2921" s="115"/>
      <c r="AO2921" s="116"/>
      <c r="AP2921" s="116"/>
      <c r="AQ2921" s="116"/>
      <c r="AR2921" s="116"/>
      <c r="AS2921" s="116"/>
      <c r="AT2921" s="116"/>
      <c r="AU2921" s="116"/>
      <c r="AV2921" s="78"/>
      <c r="AW2921" s="102"/>
      <c r="AX2921" s="78"/>
      <c r="AY2921" s="78"/>
      <c r="AZ2921" s="78"/>
      <c r="BA2921" s="78"/>
      <c r="BB2921" s="78"/>
      <c r="BC2921" s="78"/>
      <c r="BD2921" s="78"/>
      <c r="BE2921" s="465"/>
      <c r="BF2921" s="165" t="str">
        <f t="shared" si="2231"/>
        <v>https://www.google.com/search?tbm=isch&amp;q=7%20G4</v>
      </c>
      <c r="BG2921" s="165" t="str">
        <f t="shared" si="2232"/>
        <v>M</v>
      </c>
      <c r="BH2921" s="65"/>
      <c r="BI2921" s="65"/>
      <c r="BJ2921" s="65"/>
      <c r="BK2921" s="65"/>
      <c r="BL2921" s="99"/>
      <c r="BM2921" s="99"/>
      <c r="BN2921" s="99"/>
    </row>
    <row r="2922" spans="1:66" s="51" customFormat="1" ht="17.25" thickBot="1" x14ac:dyDescent="0.3">
      <c r="A2922" s="641" t="s">
        <v>3521</v>
      </c>
      <c r="B2922" s="642"/>
      <c r="C2922" s="710"/>
      <c r="D2922" s="643"/>
      <c r="E2922" s="643"/>
      <c r="F2922" s="644"/>
      <c r="G2922" s="645"/>
      <c r="H2922" s="646"/>
      <c r="I2922" s="647"/>
      <c r="J2922" s="648"/>
      <c r="K2922" s="649"/>
      <c r="L2922" s="650"/>
      <c r="M2922" s="650"/>
      <c r="N2922" s="644"/>
      <c r="O2922" s="644"/>
      <c r="P2922" s="644"/>
      <c r="Q2922" s="644"/>
      <c r="R2922" s="644"/>
      <c r="S2922" s="651"/>
      <c r="T2922" s="102">
        <f t="shared" si="2220"/>
        <v>0</v>
      </c>
      <c r="U2922" s="78" t="str">
        <f>IF(NOT(ISNUMBER(G2922)), "", VLOOKUP(A2922,'Discount Lookup'!D:E,2,FALSE)*G2922)</f>
        <v/>
      </c>
      <c r="V2922" s="78" t="str">
        <f>IF(NOT(ISNUMBER(G2922)), "", VLOOKUP(A2922,'Discount Lookup'!G:H,2,FALSE)*G2922)</f>
        <v/>
      </c>
      <c r="W2922" s="102">
        <f t="shared" si="2221"/>
        <v>0</v>
      </c>
      <c r="X2922" s="102">
        <f t="shared" si="2222"/>
        <v>0</v>
      </c>
      <c r="Y2922" s="120" t="b">
        <f t="shared" si="2223"/>
        <v>0</v>
      </c>
      <c r="Z2922" s="117">
        <f t="shared" si="2224"/>
        <v>0</v>
      </c>
      <c r="AA2922" s="118"/>
      <c r="AB2922" s="118" t="str">
        <f t="shared" si="2225"/>
        <v/>
      </c>
      <c r="AC2922" s="712" t="str">
        <f>IF(AE2922="T2G","no charge",IF(AND(OR(PlanterYesMe="No",PlanterYesMe="N",PlanterYesMe="me"),H2922=""),"",IF(H2922="credit","NO install",IF(AND(K2922="",AE2922="me"),"EACH row",IF(AND(K2922="images",AE2922="me"),"EACH row",IF(D2922="","",IF(H2922="credit","",IF(AE2922="free","re-planting",IF(AE2922="me","   not ELP, by",IF(AND(OR(PlanterYesMe="Yes",PlanterYesMe="Y"),G2922&gt;0),(VLOOKUP(A2922,'Discount Lookup'!J:K,2)*G2922*(1-PlanterDiscount)*(1+PlanterDifficultyPercentage)),IF(AE2922="ELP",(VLOOKUP(A2922,'Discount Lookup'!J:K,2)*G2922*(1-PlanterDiscount)*(1+PlanterDifficultyPercentage)),IF(AE2922="free","re-planting",IF(G2922=0,"",IF(PlanterYesMe="",IF(AE2922="me","   not ELP, by",IF(AE2922="",IF(G2922&gt;0,(VLOOKUP(A2922,'Discount Lookup'!J:K,2)*G2922*(1-PlanterDiscount)*(1+PlanterDifficultyPercentage)),""),"")),"   not ELP, by"))))))))))))))</f>
        <v/>
      </c>
      <c r="AD2922" s="712"/>
      <c r="AE2922" s="513" t="str">
        <f t="shared" si="2226"/>
        <v/>
      </c>
      <c r="AF2922" s="713" t="str">
        <f t="shared" si="2227"/>
        <v/>
      </c>
      <c r="AG2922" s="713"/>
      <c r="AH2922" s="713"/>
      <c r="AI2922" s="112">
        <f>IF(H2922="credit",0,IF(AE2922="free",0,IF(AE2922="me",0,IF(G2922&gt;0,(VLOOKUP(A2922,'Discount Lookup'!J:K,2)*G2922),0))))</f>
        <v>0</v>
      </c>
      <c r="AJ2922" s="107" t="str">
        <f t="shared" ca="1" si="2228"/>
        <v/>
      </c>
      <c r="AK2922" s="714" t="str">
        <f t="shared" si="2229"/>
        <v/>
      </c>
      <c r="AL2922" s="714"/>
      <c r="AM2922" s="114" t="str">
        <f t="shared" si="2230"/>
        <v/>
      </c>
      <c r="AN2922" s="115"/>
      <c r="AO2922" s="116"/>
      <c r="AP2922" s="116"/>
      <c r="AQ2922" s="116"/>
      <c r="AR2922" s="116"/>
      <c r="AS2922" s="116"/>
      <c r="AT2922" s="116"/>
      <c r="AU2922" s="116"/>
      <c r="AV2922" s="78"/>
      <c r="AW2922" s="102"/>
      <c r="AX2922" s="78"/>
      <c r="AY2922" s="78"/>
      <c r="AZ2922" s="78"/>
      <c r="BA2922" s="78"/>
      <c r="BB2922" s="78"/>
      <c r="BC2922" s="78"/>
      <c r="BD2922" s="78"/>
      <c r="BE2922" s="465"/>
      <c r="BF2922" s="165" t="str">
        <f t="shared" si="2231"/>
        <v>https://www.google.com/search?tbm=isch&amp;q=Yellow%20Bird%20dazzles%20in%20late%20spring%20with%20fragrant%20goblet-shaped%20yellow%20blossoms%20that%20open%20with%20the%20foliage%20</v>
      </c>
      <c r="BG2922" s="165" t="str">
        <f t="shared" si="2232"/>
        <v>Y</v>
      </c>
      <c r="BH2922" s="65"/>
      <c r="BI2922" s="65"/>
      <c r="BJ2922" s="65"/>
      <c r="BK2922" s="65"/>
      <c r="BL2922" s="99"/>
      <c r="BM2922" s="99"/>
      <c r="BN2922" s="99"/>
    </row>
    <row r="2923" spans="1:66" s="51" customFormat="1" ht="18" x14ac:dyDescent="0.25">
      <c r="A2923" s="507" t="s">
        <v>3522</v>
      </c>
      <c r="B2923" s="470"/>
      <c r="C2923" s="706"/>
      <c r="D2923" s="471" t="s">
        <v>3523</v>
      </c>
      <c r="E2923" s="472"/>
      <c r="F2923" s="472"/>
      <c r="G2923" s="472"/>
      <c r="H2923" s="622" t="s">
        <v>347</v>
      </c>
      <c r="I2923" s="473" t="s">
        <v>2483</v>
      </c>
      <c r="J2923" s="472"/>
      <c r="K2923" s="472"/>
      <c r="L2923" s="561"/>
      <c r="M2923" s="698" t="s">
        <v>5243</v>
      </c>
      <c r="N2923" s="692" t="str">
        <f>IF(AND(ISTEXT($A2923), ISERROR($A2923+0)), HYPERLINK($BF2923, "Images"), "")</f>
        <v>Images</v>
      </c>
      <c r="O2923" s="694" t="s">
        <v>5247</v>
      </c>
      <c r="P2923" s="475"/>
      <c r="Q2923" s="476"/>
      <c r="R2923" s="476"/>
      <c r="S2923" s="477"/>
      <c r="T2923" s="102">
        <f t="shared" si="2220"/>
        <v>0</v>
      </c>
      <c r="U2923" s="78" t="str">
        <f>IF(NOT(ISNUMBER(G2923)), "", VLOOKUP(A2923,'Discount Lookup'!D:E,2,FALSE)*G2923)</f>
        <v/>
      </c>
      <c r="V2923" s="78" t="str">
        <f>IF(NOT(ISNUMBER(G2923)), "", VLOOKUP(A2923,'Discount Lookup'!G:H,2,FALSE)*G2923)</f>
        <v/>
      </c>
      <c r="W2923" s="102">
        <f t="shared" si="2221"/>
        <v>0</v>
      </c>
      <c r="X2923" s="102" t="str">
        <f t="shared" si="2222"/>
        <v>Creamy Yellow bloom</v>
      </c>
      <c r="Y2923" s="120" t="b">
        <f t="shared" si="2223"/>
        <v>0</v>
      </c>
      <c r="Z2923" s="117">
        <f t="shared" si="2224"/>
        <v>0</v>
      </c>
      <c r="AA2923" s="118"/>
      <c r="AB2923" s="118" t="str">
        <f t="shared" si="2225"/>
        <v/>
      </c>
      <c r="AC2923" s="712" t="str">
        <f>IF(AE2923="T2G","no charge",IF(AND(OR(PlanterYesMe="No",PlanterYesMe="N",PlanterYesMe="me"),H2923=""),"",IF(H2923="credit","NO install",IF(AND(K2923="",AE2923="me"),"EACH row",IF(AND(K2923="images",AE2923="me"),"EACH row",IF(D2923="","",IF(H2923="credit","",IF(AE2923="free","re-planting",IF(AE2923="me","   not ELP, by",IF(AND(OR(PlanterYesMe="Yes",PlanterYesMe="Y"),G2923&gt;0),(VLOOKUP(A2923,'Discount Lookup'!J:K,2)*G2923*(1-PlanterDiscount)*(1+PlanterDifficultyPercentage)),IF(AE2923="ELP",(VLOOKUP(A2923,'Discount Lookup'!J:K,2)*G2923*(1-PlanterDiscount)*(1+PlanterDifficultyPercentage)),IF(AE2923="free","re-planting",IF(G2923=0,"",IF(PlanterYesMe="",IF(AE2923="me","   not ELP, by",IF(AE2923="",IF(G2923&gt;0,(VLOOKUP(A2923,'Discount Lookup'!J:K,2)*G2923*(1-PlanterDiscount)*(1+PlanterDifficultyPercentage)),""),"")),"   not ELP, by"))))))))))))))</f>
        <v/>
      </c>
      <c r="AD2923" s="712"/>
      <c r="AE2923" s="513" t="str">
        <f t="shared" si="2226"/>
        <v/>
      </c>
      <c r="AF2923" s="713" t="str">
        <f t="shared" si="2227"/>
        <v/>
      </c>
      <c r="AG2923" s="713"/>
      <c r="AH2923" s="713"/>
      <c r="AI2923" s="112">
        <f>IF(H2923="credit",0,IF(AE2923="free",0,IF(AE2923="me",0,IF(G2923&gt;0,(VLOOKUP(A2923,'Discount Lookup'!J:K,2)*G2923),0))))</f>
        <v>0</v>
      </c>
      <c r="AJ2923" s="107" t="str">
        <f t="shared" ca="1" si="2228"/>
        <v/>
      </c>
      <c r="AK2923" s="714" t="str">
        <f t="shared" si="2229"/>
        <v/>
      </c>
      <c r="AL2923" s="714"/>
      <c r="AM2923" s="114" t="str">
        <f t="shared" si="2230"/>
        <v/>
      </c>
      <c r="AN2923" s="115"/>
      <c r="AO2923" s="116"/>
      <c r="AP2923" s="116"/>
      <c r="AQ2923" s="116"/>
      <c r="AR2923" s="116"/>
      <c r="AS2923" s="116"/>
      <c r="AT2923" s="116"/>
      <c r="AU2923" s="116"/>
      <c r="AV2923" s="78"/>
      <c r="AW2923" s="102"/>
      <c r="AX2923" s="78"/>
      <c r="AY2923" s="78"/>
      <c r="AZ2923" s="78"/>
      <c r="BA2923" s="78"/>
      <c r="BB2923" s="78"/>
      <c r="BC2923" s="78"/>
      <c r="BD2923" s="78"/>
      <c r="BE2923" s="465"/>
      <c r="BF2923" s="165" t="str">
        <f t="shared" si="2231"/>
        <v>https://www.google.com/search?tbm=isch&amp;q=Magnolia%20x%20figo%20%27Serendipity%27%20Serendipity%20Magnolia</v>
      </c>
      <c r="BG2923" s="165" t="str">
        <f t="shared" si="2232"/>
        <v>M</v>
      </c>
      <c r="BH2923" s="65"/>
      <c r="BI2923" s="65"/>
      <c r="BJ2923" s="65"/>
      <c r="BK2923" s="65"/>
      <c r="BL2923" s="99"/>
      <c r="BM2923" s="99"/>
      <c r="BN2923" s="99"/>
    </row>
    <row r="2924" spans="1:66" s="51" customFormat="1" ht="15.75" x14ac:dyDescent="0.25">
      <c r="A2924" s="478">
        <v>3</v>
      </c>
      <c r="B2924" s="479" t="s">
        <v>291</v>
      </c>
      <c r="C2924" s="480" t="s">
        <v>16</v>
      </c>
      <c r="D2924" s="481" t="s">
        <v>310</v>
      </c>
      <c r="E2924" s="482">
        <v>33.950000000000003</v>
      </c>
      <c r="F2924" s="483" t="s">
        <v>292</v>
      </c>
      <c r="G2924" s="484">
        <v>0</v>
      </c>
      <c r="H2924" s="688" t="str">
        <f t="shared" ref="H2924:H2939" si="2245">IF(G2924=0,"",IF(F2924="Buy",IF(G2924=1,"plant","plants"),IF(F2924&gt;0.01,"warranty","Error")))</f>
        <v/>
      </c>
      <c r="I2924" s="485">
        <f t="shared" ref="I2924:I2939" si="2246">IF(H2924="free",0,IF(H2924="credit",((E2924*(F2924))*G2924*-1),IF(F2924="Buy",(E2924*G2924),((E2924*(1-F2924))*G2924))))</f>
        <v>0</v>
      </c>
      <c r="J2924" s="485">
        <f t="shared" ref="J2924:J2939" si="2247">IF(H2924="warranty",0,(I2924*(_xlfn.SINGLE(SalesTaxPercentage))))</f>
        <v>0</v>
      </c>
      <c r="K2924" s="715">
        <f t="shared" ref="K2924" si="2248">I2924+J2924</f>
        <v>0</v>
      </c>
      <c r="L2924" s="715"/>
      <c r="M2924" s="689" t="str">
        <f t="shared" ref="M2924:M2939" ca="1" si="2249">IF(AND(G2924&gt;0,E2924=0),"WARNING - no PRICE inserted",IF(H2924="free","FREE ~ no charge this plant",IF(H2924="credit",CONCATENATE("-$",ROUND(K2924*(1-_xlfn.SINGLE(T2GDiscount))*-1,2)," CREDIT after discount"),IF(_xlfn.SINGLE(T2GDiscount)=0,"",IF(G2924=0,"",IF(F2924="Buy",CONCATENATE("$",ROUND(K2924*(1-_xlfn.SINGLE(T2GDiscount)),2)," with ",(_xlfn.SINGLE(T2GDiscount)*100),"% discount"),CONCATENATE("$",ROUND(K2924*(1-_xlfn.SINGLE(T2GDiscount)),2)," with ",((_xlfn.SINGLE(T2GDiscount)*100+F2924*100)-(_xlfn.SINGLE(T2GDiscount)*100*F2924)),IF(F2924&gt;0,"% discounts",IF(_xlfn.SINGLE(NoWarrantyDiscount)&gt;0,"% discounts","% discount")))))))))</f>
        <v/>
      </c>
      <c r="N2924" s="690"/>
      <c r="O2924" s="486"/>
      <c r="P2924" s="486"/>
      <c r="Q2924" s="486"/>
      <c r="R2924" s="486"/>
      <c r="S2924" s="486"/>
      <c r="T2924" s="102">
        <f t="shared" si="2220"/>
        <v>0</v>
      </c>
      <c r="U2924" s="78">
        <f>IF(NOT(ISNUMBER(G2924)), "", VLOOKUP(A2924,'Discount Lookup'!D:E,2,FALSE)*G2924)</f>
        <v>0</v>
      </c>
      <c r="V2924" s="78">
        <f>IF(NOT(ISNUMBER(G2924)), "", VLOOKUP(A2924,'Discount Lookup'!G:H,2,FALSE)*G2924)</f>
        <v>0</v>
      </c>
      <c r="W2924" s="102">
        <f t="shared" si="2221"/>
        <v>0</v>
      </c>
      <c r="X2924" s="102">
        <f t="shared" si="2222"/>
        <v>0</v>
      </c>
      <c r="Y2924" s="120" t="b">
        <f t="shared" si="2223"/>
        <v>0</v>
      </c>
      <c r="Z2924" s="117">
        <f t="shared" si="2224"/>
        <v>0</v>
      </c>
      <c r="AA2924" s="118"/>
      <c r="AB2924" s="118" t="str">
        <f t="shared" si="2225"/>
        <v/>
      </c>
      <c r="AC2924" s="712" t="str">
        <f>IF(AE2924="T2G","no charge",IF(AND(OR(PlanterYesMe="No",PlanterYesMe="N",PlanterYesMe="me"),H2924=""),"",IF(H2924="credit","NO install",IF(AND(K2924="",AE2924="me"),"EACH row",IF(AND(K2924="images",AE2924="me"),"EACH row",IF(D2924="","",IF(H2924="credit","",IF(AE2924="free","re-planting",IF(AE2924="me","   not ELP, by",IF(AND(OR(PlanterYesMe="Yes",PlanterYesMe="Y"),G2924&gt;0),(VLOOKUP(A2924,'Discount Lookup'!J:K,2)*G2924*(1-PlanterDiscount)*(1+PlanterDifficultyPercentage)),IF(AE2924="ELP",(VLOOKUP(A2924,'Discount Lookup'!J:K,2)*G2924*(1-PlanterDiscount)*(1+PlanterDifficultyPercentage)),IF(AE2924="free","re-planting",IF(G2924=0,"",IF(PlanterYesMe="",IF(AE2924="me","   not ELP, by",IF(AE2924="",IF(G2924&gt;0,(VLOOKUP(A2924,'Discount Lookup'!J:K,2)*G2924*(1-PlanterDiscount)*(1+PlanterDifficultyPercentage)),""),"")),"   not ELP, by"))))))))))))))</f>
        <v/>
      </c>
      <c r="AD2924" s="712"/>
      <c r="AE2924" s="513" t="str">
        <f t="shared" si="2226"/>
        <v/>
      </c>
      <c r="AF2924" s="713" t="str">
        <f t="shared" si="2227"/>
        <v/>
      </c>
      <c r="AG2924" s="713"/>
      <c r="AH2924" s="713"/>
      <c r="AI2924" s="112">
        <f>IF(H2924="credit",0,IF(AE2924="free",0,IF(AE2924="me",0,IF(G2924&gt;0,(VLOOKUP(A2924,'Discount Lookup'!J:K,2)*G2924),0))))</f>
        <v>0</v>
      </c>
      <c r="AJ2924" s="107" t="str">
        <f t="shared" ca="1" si="2228"/>
        <v/>
      </c>
      <c r="AK2924" s="714" t="str">
        <f t="shared" si="2229"/>
        <v/>
      </c>
      <c r="AL2924" s="714"/>
      <c r="AM2924" s="114" t="str">
        <f t="shared" si="2230"/>
        <v/>
      </c>
      <c r="AN2924" s="115"/>
      <c r="AO2924" s="116"/>
      <c r="AP2924" s="116"/>
      <c r="AQ2924" s="116"/>
      <c r="AR2924" s="116"/>
      <c r="AS2924" s="116"/>
      <c r="AT2924" s="116"/>
      <c r="AU2924" s="116"/>
      <c r="AV2924" s="78"/>
      <c r="AW2924" s="102"/>
      <c r="AX2924" s="78"/>
      <c r="AY2924" s="78"/>
      <c r="AZ2924" s="78"/>
      <c r="BA2924" s="78"/>
      <c r="BB2924" s="78"/>
      <c r="BC2924" s="78"/>
      <c r="BD2924" s="78"/>
      <c r="BE2924" s="465"/>
      <c r="BF2924" s="165" t="str">
        <f t="shared" si="2231"/>
        <v>https://www.google.com/search?tbm=isch&amp;q=3%20G1</v>
      </c>
      <c r="BG2924" s="165" t="str">
        <f t="shared" si="2232"/>
        <v>M</v>
      </c>
      <c r="BH2924" s="65"/>
      <c r="BI2924" s="65"/>
      <c r="BJ2924" s="65"/>
      <c r="BK2924" s="65"/>
      <c r="BL2924" s="99"/>
      <c r="BM2924" s="99"/>
      <c r="BN2924" s="99"/>
    </row>
    <row r="2925" spans="1:66" s="51" customFormat="1" ht="15.75" x14ac:dyDescent="0.25">
      <c r="A2925" s="478">
        <v>3</v>
      </c>
      <c r="B2925" s="479" t="s">
        <v>291</v>
      </c>
      <c r="C2925" s="480" t="s">
        <v>336</v>
      </c>
      <c r="D2925" s="481" t="s">
        <v>329</v>
      </c>
      <c r="E2925" s="482">
        <v>35.950000000000003</v>
      </c>
      <c r="F2925" s="483" t="s">
        <v>292</v>
      </c>
      <c r="G2925" s="484">
        <v>0</v>
      </c>
      <c r="H2925" s="688" t="str">
        <f t="shared" si="2245"/>
        <v/>
      </c>
      <c r="I2925" s="485">
        <f t="shared" si="2246"/>
        <v>0</v>
      </c>
      <c r="J2925" s="485">
        <f t="shared" si="2247"/>
        <v>0</v>
      </c>
      <c r="K2925" s="715">
        <f t="shared" ref="K2925" si="2250">I2925+J2925</f>
        <v>0</v>
      </c>
      <c r="L2925" s="715"/>
      <c r="M2925" s="689" t="str">
        <f t="shared" ca="1" si="2249"/>
        <v/>
      </c>
      <c r="N2925" s="690"/>
      <c r="O2925" s="486"/>
      <c r="P2925" s="486"/>
      <c r="Q2925" s="486"/>
      <c r="R2925" s="486"/>
      <c r="S2925" s="486"/>
      <c r="T2925" s="102">
        <f t="shared" si="2220"/>
        <v>0</v>
      </c>
      <c r="U2925" s="78">
        <f>IF(NOT(ISNUMBER(G2925)), "", VLOOKUP(A2925,'Discount Lookup'!D:E,2,FALSE)*G2925)</f>
        <v>0</v>
      </c>
      <c r="V2925" s="78">
        <f>IF(NOT(ISNUMBER(G2925)), "", VLOOKUP(A2925,'Discount Lookup'!G:H,2,FALSE)*G2925)</f>
        <v>0</v>
      </c>
      <c r="W2925" s="102">
        <f t="shared" si="2221"/>
        <v>0</v>
      </c>
      <c r="X2925" s="102">
        <f t="shared" si="2222"/>
        <v>0</v>
      </c>
      <c r="Y2925" s="120" t="b">
        <f t="shared" si="2223"/>
        <v>0</v>
      </c>
      <c r="Z2925" s="117">
        <f t="shared" si="2224"/>
        <v>0</v>
      </c>
      <c r="AA2925" s="118"/>
      <c r="AB2925" s="118" t="str">
        <f t="shared" si="2225"/>
        <v/>
      </c>
      <c r="AC2925" s="712" t="str">
        <f>IF(AE2925="T2G","no charge",IF(AND(OR(PlanterYesMe="No",PlanterYesMe="N",PlanterYesMe="me"),H2925=""),"",IF(H2925="credit","NO install",IF(AND(K2925="",AE2925="me"),"EACH row",IF(AND(K2925="images",AE2925="me"),"EACH row",IF(D2925="","",IF(H2925="credit","",IF(AE2925="free","re-planting",IF(AE2925="me","   not ELP, by",IF(AND(OR(PlanterYesMe="Yes",PlanterYesMe="Y"),G2925&gt;0),(VLOOKUP(A2925,'Discount Lookup'!J:K,2)*G2925*(1-PlanterDiscount)*(1+PlanterDifficultyPercentage)),IF(AE2925="ELP",(VLOOKUP(A2925,'Discount Lookup'!J:K,2)*G2925*(1-PlanterDiscount)*(1+PlanterDifficultyPercentage)),IF(AE2925="free","re-planting",IF(G2925=0,"",IF(PlanterYesMe="",IF(AE2925="me","   not ELP, by",IF(AE2925="",IF(G2925&gt;0,(VLOOKUP(A2925,'Discount Lookup'!J:K,2)*G2925*(1-PlanterDiscount)*(1+PlanterDifficultyPercentage)),""),"")),"   not ELP, by"))))))))))))))</f>
        <v/>
      </c>
      <c r="AD2925" s="712"/>
      <c r="AE2925" s="513" t="str">
        <f t="shared" si="2226"/>
        <v/>
      </c>
      <c r="AF2925" s="713" t="str">
        <f t="shared" si="2227"/>
        <v/>
      </c>
      <c r="AG2925" s="713"/>
      <c r="AH2925" s="713"/>
      <c r="AI2925" s="112">
        <f>IF(H2925="credit",0,IF(AE2925="free",0,IF(AE2925="me",0,IF(G2925&gt;0,(VLOOKUP(A2925,'Discount Lookup'!J:K,2)*G2925),0))))</f>
        <v>0</v>
      </c>
      <c r="AJ2925" s="107" t="str">
        <f t="shared" ca="1" si="2228"/>
        <v/>
      </c>
      <c r="AK2925" s="714" t="str">
        <f t="shared" si="2229"/>
        <v/>
      </c>
      <c r="AL2925" s="714"/>
      <c r="AM2925" s="114" t="str">
        <f t="shared" si="2230"/>
        <v/>
      </c>
      <c r="AN2925" s="115"/>
      <c r="AO2925" s="116"/>
      <c r="AP2925" s="116"/>
      <c r="AQ2925" s="116"/>
      <c r="AR2925" s="116"/>
      <c r="AS2925" s="116"/>
      <c r="AT2925" s="116"/>
      <c r="AU2925" s="116"/>
      <c r="AV2925" s="78"/>
      <c r="AW2925" s="102"/>
      <c r="AX2925" s="78"/>
      <c r="AY2925" s="78"/>
      <c r="AZ2925" s="78"/>
      <c r="BA2925" s="78"/>
      <c r="BB2925" s="78"/>
      <c r="BC2925" s="78"/>
      <c r="BD2925" s="78"/>
      <c r="BE2925" s="465"/>
      <c r="BF2925" s="165" t="str">
        <f t="shared" si="2231"/>
        <v>https://www.google.com/search?tbm=isch&amp;q=3%20G2</v>
      </c>
      <c r="BG2925" s="165" t="str">
        <f t="shared" si="2232"/>
        <v>M</v>
      </c>
      <c r="BH2925" s="65"/>
      <c r="BI2925" s="65"/>
      <c r="BJ2925" s="65"/>
      <c r="BK2925" s="65"/>
      <c r="BL2925" s="99"/>
      <c r="BM2925" s="99"/>
      <c r="BN2925" s="99"/>
    </row>
    <row r="2926" spans="1:66" s="51" customFormat="1" ht="27" x14ac:dyDescent="0.25">
      <c r="A2926" s="478">
        <v>3</v>
      </c>
      <c r="B2926" s="479" t="s">
        <v>291</v>
      </c>
      <c r="C2926" s="480" t="s">
        <v>3524</v>
      </c>
      <c r="D2926" s="481" t="s">
        <v>311</v>
      </c>
      <c r="E2926" s="482">
        <v>36.950000000000003</v>
      </c>
      <c r="F2926" s="483" t="s">
        <v>292</v>
      </c>
      <c r="G2926" s="484">
        <v>0</v>
      </c>
      <c r="H2926" s="688" t="str">
        <f t="shared" si="2245"/>
        <v/>
      </c>
      <c r="I2926" s="485">
        <f t="shared" si="2246"/>
        <v>0</v>
      </c>
      <c r="J2926" s="485">
        <f t="shared" si="2247"/>
        <v>0</v>
      </c>
      <c r="K2926" s="715">
        <f t="shared" ref="K2926" si="2251">I2926+J2926</f>
        <v>0</v>
      </c>
      <c r="L2926" s="715"/>
      <c r="M2926" s="689" t="str">
        <f t="shared" ca="1" si="2249"/>
        <v/>
      </c>
      <c r="N2926" s="690"/>
      <c r="O2926" s="486"/>
      <c r="P2926" s="486"/>
      <c r="Q2926" s="486"/>
      <c r="R2926" s="486"/>
      <c r="S2926" s="486"/>
      <c r="T2926" s="102">
        <f t="shared" si="2220"/>
        <v>0</v>
      </c>
      <c r="U2926" s="78">
        <f>IF(NOT(ISNUMBER(G2926)), "", VLOOKUP(A2926,'Discount Lookup'!D:E,2,FALSE)*G2926)</f>
        <v>0</v>
      </c>
      <c r="V2926" s="78">
        <f>IF(NOT(ISNUMBER(G2926)), "", VLOOKUP(A2926,'Discount Lookup'!G:H,2,FALSE)*G2926)</f>
        <v>0</v>
      </c>
      <c r="W2926" s="102">
        <f t="shared" si="2221"/>
        <v>0</v>
      </c>
      <c r="X2926" s="102">
        <f t="shared" si="2222"/>
        <v>0</v>
      </c>
      <c r="Y2926" s="120" t="b">
        <f t="shared" si="2223"/>
        <v>0</v>
      </c>
      <c r="Z2926" s="117">
        <f t="shared" si="2224"/>
        <v>0</v>
      </c>
      <c r="AA2926" s="118"/>
      <c r="AB2926" s="118" t="str">
        <f t="shared" si="2225"/>
        <v/>
      </c>
      <c r="AC2926" s="712" t="str">
        <f>IF(AE2926="T2G","no charge",IF(AND(OR(PlanterYesMe="No",PlanterYesMe="N",PlanterYesMe="me"),H2926=""),"",IF(H2926="credit","NO install",IF(AND(K2926="",AE2926="me"),"EACH row",IF(AND(K2926="images",AE2926="me"),"EACH row",IF(D2926="","",IF(H2926="credit","",IF(AE2926="free","re-planting",IF(AE2926="me","   not ELP, by",IF(AND(OR(PlanterYesMe="Yes",PlanterYesMe="Y"),G2926&gt;0),(VLOOKUP(A2926,'Discount Lookup'!J:K,2)*G2926*(1-PlanterDiscount)*(1+PlanterDifficultyPercentage)),IF(AE2926="ELP",(VLOOKUP(A2926,'Discount Lookup'!J:K,2)*G2926*(1-PlanterDiscount)*(1+PlanterDifficultyPercentage)),IF(AE2926="free","re-planting",IF(G2926=0,"",IF(PlanterYesMe="",IF(AE2926="me","   not ELP, by",IF(AE2926="",IF(G2926&gt;0,(VLOOKUP(A2926,'Discount Lookup'!J:K,2)*G2926*(1-PlanterDiscount)*(1+PlanterDifficultyPercentage)),""),"")),"   not ELP, by"))))))))))))))</f>
        <v/>
      </c>
      <c r="AD2926" s="712"/>
      <c r="AE2926" s="513" t="str">
        <f t="shared" si="2226"/>
        <v/>
      </c>
      <c r="AF2926" s="713" t="str">
        <f t="shared" si="2227"/>
        <v/>
      </c>
      <c r="AG2926" s="713"/>
      <c r="AH2926" s="713"/>
      <c r="AI2926" s="112">
        <f>IF(H2926="credit",0,IF(AE2926="free",0,IF(AE2926="me",0,IF(G2926&gt;0,(VLOOKUP(A2926,'Discount Lookup'!J:K,2)*G2926),0))))</f>
        <v>0</v>
      </c>
      <c r="AJ2926" s="107" t="str">
        <f t="shared" ca="1" si="2228"/>
        <v/>
      </c>
      <c r="AK2926" s="714" t="str">
        <f t="shared" si="2229"/>
        <v/>
      </c>
      <c r="AL2926" s="714"/>
      <c r="AM2926" s="114" t="str">
        <f t="shared" si="2230"/>
        <v/>
      </c>
      <c r="AN2926" s="115"/>
      <c r="AO2926" s="116"/>
      <c r="AP2926" s="116"/>
      <c r="AQ2926" s="116"/>
      <c r="AR2926" s="116"/>
      <c r="AS2926" s="116"/>
      <c r="AT2926" s="116"/>
      <c r="AU2926" s="116"/>
      <c r="AV2926" s="78"/>
      <c r="AW2926" s="102"/>
      <c r="AX2926" s="78"/>
      <c r="AY2926" s="78"/>
      <c r="AZ2926" s="78"/>
      <c r="BA2926" s="78"/>
      <c r="BB2926" s="78"/>
      <c r="BC2926" s="78"/>
      <c r="BD2926" s="78"/>
      <c r="BE2926" s="465"/>
      <c r="BF2926" s="165" t="str">
        <f t="shared" si="2231"/>
        <v>https://www.google.com/search?tbm=isch&amp;q=3%20G5</v>
      </c>
      <c r="BG2926" s="165" t="str">
        <f t="shared" si="2232"/>
        <v>M</v>
      </c>
      <c r="BH2926" s="65"/>
      <c r="BI2926" s="65"/>
      <c r="BJ2926" s="65"/>
      <c r="BK2926" s="65"/>
      <c r="BL2926" s="99"/>
      <c r="BM2926" s="99"/>
      <c r="BN2926" s="99"/>
    </row>
    <row r="2927" spans="1:66" s="51" customFormat="1" ht="15.75" x14ac:dyDescent="0.25">
      <c r="A2927" s="478">
        <v>7</v>
      </c>
      <c r="B2927" s="479" t="s">
        <v>291</v>
      </c>
      <c r="C2927" s="480" t="s">
        <v>134</v>
      </c>
      <c r="D2927" s="481" t="s">
        <v>310</v>
      </c>
      <c r="E2927" s="482">
        <v>79.95</v>
      </c>
      <c r="F2927" s="483" t="s">
        <v>292</v>
      </c>
      <c r="G2927" s="484">
        <v>0</v>
      </c>
      <c r="H2927" s="688" t="str">
        <f t="shared" si="2245"/>
        <v/>
      </c>
      <c r="I2927" s="485">
        <f t="shared" si="2246"/>
        <v>0</v>
      </c>
      <c r="J2927" s="485">
        <f t="shared" si="2247"/>
        <v>0</v>
      </c>
      <c r="K2927" s="715">
        <f t="shared" ref="K2927" si="2252">I2927+J2927</f>
        <v>0</v>
      </c>
      <c r="L2927" s="715"/>
      <c r="M2927" s="689" t="str">
        <f t="shared" ca="1" si="2249"/>
        <v/>
      </c>
      <c r="N2927" s="690"/>
      <c r="O2927" s="486"/>
      <c r="P2927" s="486"/>
      <c r="Q2927" s="486"/>
      <c r="R2927" s="486"/>
      <c r="S2927" s="486"/>
      <c r="T2927" s="102">
        <f t="shared" si="2220"/>
        <v>0</v>
      </c>
      <c r="U2927" s="78">
        <f>IF(NOT(ISNUMBER(G2927)), "", VLOOKUP(A2927,'Discount Lookup'!D:E,2,FALSE)*G2927)</f>
        <v>0</v>
      </c>
      <c r="V2927" s="78">
        <f>IF(NOT(ISNUMBER(G2927)), "", VLOOKUP(A2927,'Discount Lookup'!G:H,2,FALSE)*G2927)</f>
        <v>0</v>
      </c>
      <c r="W2927" s="102">
        <f t="shared" si="2221"/>
        <v>0</v>
      </c>
      <c r="X2927" s="102">
        <f t="shared" si="2222"/>
        <v>0</v>
      </c>
      <c r="Y2927" s="120" t="b">
        <f t="shared" si="2223"/>
        <v>0</v>
      </c>
      <c r="Z2927" s="117">
        <f t="shared" si="2224"/>
        <v>0</v>
      </c>
      <c r="AA2927" s="118"/>
      <c r="AB2927" s="118" t="str">
        <f t="shared" si="2225"/>
        <v/>
      </c>
      <c r="AC2927" s="712" t="str">
        <f>IF(AE2927="T2G","no charge",IF(AND(OR(PlanterYesMe="No",PlanterYesMe="N",PlanterYesMe="me"),H2927=""),"",IF(H2927="credit","NO install",IF(AND(K2927="",AE2927="me"),"EACH row",IF(AND(K2927="images",AE2927="me"),"EACH row",IF(D2927="","",IF(H2927="credit","",IF(AE2927="free","re-planting",IF(AE2927="me","   not ELP, by",IF(AND(OR(PlanterYesMe="Yes",PlanterYesMe="Y"),G2927&gt;0),(VLOOKUP(A2927,'Discount Lookup'!J:K,2)*G2927*(1-PlanterDiscount)*(1+PlanterDifficultyPercentage)),IF(AE2927="ELP",(VLOOKUP(A2927,'Discount Lookup'!J:K,2)*G2927*(1-PlanterDiscount)*(1+PlanterDifficultyPercentage)),IF(AE2927="free","re-planting",IF(G2927=0,"",IF(PlanterYesMe="",IF(AE2927="me","   not ELP, by",IF(AE2927="",IF(G2927&gt;0,(VLOOKUP(A2927,'Discount Lookup'!J:K,2)*G2927*(1-PlanterDiscount)*(1+PlanterDifficultyPercentage)),""),"")),"   not ELP, by"))))))))))))))</f>
        <v/>
      </c>
      <c r="AD2927" s="712"/>
      <c r="AE2927" s="513" t="str">
        <f t="shared" si="2226"/>
        <v/>
      </c>
      <c r="AF2927" s="713" t="str">
        <f t="shared" si="2227"/>
        <v/>
      </c>
      <c r="AG2927" s="713"/>
      <c r="AH2927" s="713"/>
      <c r="AI2927" s="112">
        <f>IF(H2927="credit",0,IF(AE2927="free",0,IF(AE2927="me",0,IF(G2927&gt;0,(VLOOKUP(A2927,'Discount Lookup'!J:K,2)*G2927),0))))</f>
        <v>0</v>
      </c>
      <c r="AJ2927" s="107" t="str">
        <f t="shared" ca="1" si="2228"/>
        <v/>
      </c>
      <c r="AK2927" s="714" t="str">
        <f t="shared" si="2229"/>
        <v/>
      </c>
      <c r="AL2927" s="714"/>
      <c r="AM2927" s="114" t="str">
        <f t="shared" si="2230"/>
        <v/>
      </c>
      <c r="AN2927" s="115"/>
      <c r="AO2927" s="116"/>
      <c r="AP2927" s="116"/>
      <c r="AQ2927" s="116"/>
      <c r="AR2927" s="116"/>
      <c r="AS2927" s="116"/>
      <c r="AT2927" s="116"/>
      <c r="AU2927" s="116"/>
      <c r="AV2927" s="78"/>
      <c r="AW2927" s="102"/>
      <c r="AX2927" s="78"/>
      <c r="AY2927" s="78"/>
      <c r="AZ2927" s="78"/>
      <c r="BA2927" s="78"/>
      <c r="BB2927" s="78"/>
      <c r="BC2927" s="78"/>
      <c r="BD2927" s="78"/>
      <c r="BE2927" s="465"/>
      <c r="BF2927" s="165" t="str">
        <f t="shared" si="2231"/>
        <v>https://www.google.com/search?tbm=isch&amp;q=7%20G1</v>
      </c>
      <c r="BG2927" s="165" t="str">
        <f t="shared" si="2232"/>
        <v>M</v>
      </c>
      <c r="BH2927" s="65"/>
      <c r="BI2927" s="65"/>
      <c r="BJ2927" s="65"/>
      <c r="BK2927" s="65"/>
      <c r="BL2927" s="99"/>
      <c r="BM2927" s="99"/>
      <c r="BN2927" s="99"/>
    </row>
    <row r="2928" spans="1:66" s="51" customFormat="1" ht="27" x14ac:dyDescent="0.25">
      <c r="A2928" s="478">
        <v>7</v>
      </c>
      <c r="B2928" s="479" t="s">
        <v>291</v>
      </c>
      <c r="C2928" s="480" t="s">
        <v>3525</v>
      </c>
      <c r="D2928" s="481" t="s">
        <v>299</v>
      </c>
      <c r="E2928" s="482">
        <v>86.95</v>
      </c>
      <c r="F2928" s="483" t="s">
        <v>292</v>
      </c>
      <c r="G2928" s="484">
        <v>0</v>
      </c>
      <c r="H2928" s="688" t="str">
        <f t="shared" si="2245"/>
        <v/>
      </c>
      <c r="I2928" s="485">
        <f t="shared" si="2246"/>
        <v>0</v>
      </c>
      <c r="J2928" s="485">
        <f t="shared" si="2247"/>
        <v>0</v>
      </c>
      <c r="K2928" s="715">
        <f t="shared" ref="K2928" si="2253">I2928+J2928</f>
        <v>0</v>
      </c>
      <c r="L2928" s="715"/>
      <c r="M2928" s="689" t="str">
        <f t="shared" ca="1" si="2249"/>
        <v/>
      </c>
      <c r="N2928" s="690"/>
      <c r="O2928" s="486"/>
      <c r="P2928" s="486"/>
      <c r="Q2928" s="486"/>
      <c r="R2928" s="486"/>
      <c r="S2928" s="486"/>
      <c r="T2928" s="102">
        <f t="shared" si="2220"/>
        <v>0</v>
      </c>
      <c r="U2928" s="78">
        <f>IF(NOT(ISNUMBER(G2928)), "", VLOOKUP(A2928,'Discount Lookup'!D:E,2,FALSE)*G2928)</f>
        <v>0</v>
      </c>
      <c r="V2928" s="78">
        <f>IF(NOT(ISNUMBER(G2928)), "", VLOOKUP(A2928,'Discount Lookup'!G:H,2,FALSE)*G2928)</f>
        <v>0</v>
      </c>
      <c r="W2928" s="102">
        <f t="shared" si="2221"/>
        <v>0</v>
      </c>
      <c r="X2928" s="102">
        <f t="shared" si="2222"/>
        <v>0</v>
      </c>
      <c r="Y2928" s="120" t="b">
        <f t="shared" si="2223"/>
        <v>0</v>
      </c>
      <c r="Z2928" s="117">
        <f t="shared" si="2224"/>
        <v>0</v>
      </c>
      <c r="AA2928" s="118"/>
      <c r="AB2928" s="118" t="str">
        <f t="shared" si="2225"/>
        <v/>
      </c>
      <c r="AC2928" s="712" t="str">
        <f>IF(AE2928="T2G","no charge",IF(AND(OR(PlanterYesMe="No",PlanterYesMe="N",PlanterYesMe="me"),H2928=""),"",IF(H2928="credit","NO install",IF(AND(K2928="",AE2928="me"),"EACH row",IF(AND(K2928="images",AE2928="me"),"EACH row",IF(D2928="","",IF(H2928="credit","",IF(AE2928="free","re-planting",IF(AE2928="me","   not ELP, by",IF(AND(OR(PlanterYesMe="Yes",PlanterYesMe="Y"),G2928&gt;0),(VLOOKUP(A2928,'Discount Lookup'!J:K,2)*G2928*(1-PlanterDiscount)*(1+PlanterDifficultyPercentage)),IF(AE2928="ELP",(VLOOKUP(A2928,'Discount Lookup'!J:K,2)*G2928*(1-PlanterDiscount)*(1+PlanterDifficultyPercentage)),IF(AE2928="free","re-planting",IF(G2928=0,"",IF(PlanterYesMe="",IF(AE2928="me","   not ELP, by",IF(AE2928="",IF(G2928&gt;0,(VLOOKUP(A2928,'Discount Lookup'!J:K,2)*G2928*(1-PlanterDiscount)*(1+PlanterDifficultyPercentage)),""),"")),"   not ELP, by"))))))))))))))</f>
        <v/>
      </c>
      <c r="AD2928" s="712"/>
      <c r="AE2928" s="513" t="str">
        <f t="shared" si="2226"/>
        <v/>
      </c>
      <c r="AF2928" s="713" t="str">
        <f t="shared" si="2227"/>
        <v/>
      </c>
      <c r="AG2928" s="713"/>
      <c r="AH2928" s="713"/>
      <c r="AI2928" s="112">
        <f>IF(H2928="credit",0,IF(AE2928="free",0,IF(AE2928="me",0,IF(G2928&gt;0,(VLOOKUP(A2928,'Discount Lookup'!J:K,2)*G2928),0))))</f>
        <v>0</v>
      </c>
      <c r="AJ2928" s="107" t="str">
        <f t="shared" ca="1" si="2228"/>
        <v/>
      </c>
      <c r="AK2928" s="714" t="str">
        <f t="shared" si="2229"/>
        <v/>
      </c>
      <c r="AL2928" s="714"/>
      <c r="AM2928" s="114" t="str">
        <f t="shared" si="2230"/>
        <v/>
      </c>
      <c r="AN2928" s="115"/>
      <c r="AO2928" s="116"/>
      <c r="AP2928" s="116"/>
      <c r="AQ2928" s="116"/>
      <c r="AR2928" s="116"/>
      <c r="AS2928" s="116"/>
      <c r="AT2928" s="116"/>
      <c r="AU2928" s="116"/>
      <c r="AV2928" s="78"/>
      <c r="AW2928" s="102"/>
      <c r="AX2928" s="78"/>
      <c r="AY2928" s="78"/>
      <c r="AZ2928" s="78"/>
      <c r="BA2928" s="78"/>
      <c r="BB2928" s="78"/>
      <c r="BC2928" s="78"/>
      <c r="BD2928" s="78"/>
      <c r="BE2928" s="465"/>
      <c r="BF2928" s="165" t="str">
        <f t="shared" si="2231"/>
        <v>https://www.google.com/search?tbm=isch&amp;q=7%20G4</v>
      </c>
      <c r="BG2928" s="165" t="str">
        <f t="shared" si="2232"/>
        <v>M</v>
      </c>
      <c r="BH2928" s="65"/>
      <c r="BI2928" s="65"/>
      <c r="BJ2928" s="65"/>
      <c r="BK2928" s="65"/>
      <c r="BL2928" s="99"/>
      <c r="BM2928" s="99"/>
      <c r="BN2928" s="99"/>
    </row>
    <row r="2929" spans="1:66" s="51" customFormat="1" ht="27" x14ac:dyDescent="0.25">
      <c r="A2929" s="478">
        <v>7</v>
      </c>
      <c r="B2929" s="479" t="s">
        <v>291</v>
      </c>
      <c r="C2929" s="480" t="s">
        <v>3526</v>
      </c>
      <c r="D2929" s="481" t="s">
        <v>311</v>
      </c>
      <c r="E2929" s="482">
        <v>91.95</v>
      </c>
      <c r="F2929" s="483" t="s">
        <v>292</v>
      </c>
      <c r="G2929" s="484">
        <v>0</v>
      </c>
      <c r="H2929" s="688" t="str">
        <f t="shared" si="2245"/>
        <v/>
      </c>
      <c r="I2929" s="485">
        <f t="shared" si="2246"/>
        <v>0</v>
      </c>
      <c r="J2929" s="485">
        <f t="shared" si="2247"/>
        <v>0</v>
      </c>
      <c r="K2929" s="715">
        <f t="shared" ref="K2929" si="2254">I2929+J2929</f>
        <v>0</v>
      </c>
      <c r="L2929" s="715"/>
      <c r="M2929" s="689" t="str">
        <f t="shared" ca="1" si="2249"/>
        <v/>
      </c>
      <c r="N2929" s="690"/>
      <c r="O2929" s="486"/>
      <c r="P2929" s="486"/>
      <c r="Q2929" s="486"/>
      <c r="R2929" s="486"/>
      <c r="S2929" s="486"/>
      <c r="T2929" s="102">
        <f t="shared" si="2220"/>
        <v>0</v>
      </c>
      <c r="U2929" s="78">
        <f>IF(NOT(ISNUMBER(G2929)), "", VLOOKUP(A2929,'Discount Lookup'!D:E,2,FALSE)*G2929)</f>
        <v>0</v>
      </c>
      <c r="V2929" s="78">
        <f>IF(NOT(ISNUMBER(G2929)), "", VLOOKUP(A2929,'Discount Lookup'!G:H,2,FALSE)*G2929)</f>
        <v>0</v>
      </c>
      <c r="W2929" s="102">
        <f t="shared" si="2221"/>
        <v>0</v>
      </c>
      <c r="X2929" s="102">
        <f t="shared" si="2222"/>
        <v>0</v>
      </c>
      <c r="Y2929" s="120" t="b">
        <f t="shared" si="2223"/>
        <v>0</v>
      </c>
      <c r="Z2929" s="117">
        <f t="shared" si="2224"/>
        <v>0</v>
      </c>
      <c r="AA2929" s="118"/>
      <c r="AB2929" s="118" t="str">
        <f t="shared" si="2225"/>
        <v/>
      </c>
      <c r="AC2929" s="712" t="str">
        <f>IF(AE2929="T2G","no charge",IF(AND(OR(PlanterYesMe="No",PlanterYesMe="N",PlanterYesMe="me"),H2929=""),"",IF(H2929="credit","NO install",IF(AND(K2929="",AE2929="me"),"EACH row",IF(AND(K2929="images",AE2929="me"),"EACH row",IF(D2929="","",IF(H2929="credit","",IF(AE2929="free","re-planting",IF(AE2929="me","   not ELP, by",IF(AND(OR(PlanterYesMe="Yes",PlanterYesMe="Y"),G2929&gt;0),(VLOOKUP(A2929,'Discount Lookup'!J:K,2)*G2929*(1-PlanterDiscount)*(1+PlanterDifficultyPercentage)),IF(AE2929="ELP",(VLOOKUP(A2929,'Discount Lookup'!J:K,2)*G2929*(1-PlanterDiscount)*(1+PlanterDifficultyPercentage)),IF(AE2929="free","re-planting",IF(G2929=0,"",IF(PlanterYesMe="",IF(AE2929="me","   not ELP, by",IF(AE2929="",IF(G2929&gt;0,(VLOOKUP(A2929,'Discount Lookup'!J:K,2)*G2929*(1-PlanterDiscount)*(1+PlanterDifficultyPercentage)),""),"")),"   not ELP, by"))))))))))))))</f>
        <v/>
      </c>
      <c r="AD2929" s="712"/>
      <c r="AE2929" s="513" t="str">
        <f t="shared" si="2226"/>
        <v/>
      </c>
      <c r="AF2929" s="713" t="str">
        <f t="shared" si="2227"/>
        <v/>
      </c>
      <c r="AG2929" s="713"/>
      <c r="AH2929" s="713"/>
      <c r="AI2929" s="112">
        <f>IF(H2929="credit",0,IF(AE2929="free",0,IF(AE2929="me",0,IF(G2929&gt;0,(VLOOKUP(A2929,'Discount Lookup'!J:K,2)*G2929),0))))</f>
        <v>0</v>
      </c>
      <c r="AJ2929" s="107" t="str">
        <f t="shared" ca="1" si="2228"/>
        <v/>
      </c>
      <c r="AK2929" s="714" t="str">
        <f t="shared" si="2229"/>
        <v/>
      </c>
      <c r="AL2929" s="714"/>
      <c r="AM2929" s="114" t="str">
        <f t="shared" si="2230"/>
        <v/>
      </c>
      <c r="AN2929" s="115"/>
      <c r="AO2929" s="116"/>
      <c r="AP2929" s="116"/>
      <c r="AQ2929" s="116"/>
      <c r="AR2929" s="116"/>
      <c r="AS2929" s="116"/>
      <c r="AT2929" s="116"/>
      <c r="AU2929" s="116"/>
      <c r="AV2929" s="78"/>
      <c r="AW2929" s="102"/>
      <c r="AX2929" s="78"/>
      <c r="AY2929" s="78"/>
      <c r="AZ2929" s="78"/>
      <c r="BA2929" s="78"/>
      <c r="BB2929" s="78"/>
      <c r="BC2929" s="78"/>
      <c r="BD2929" s="78"/>
      <c r="BE2929" s="465"/>
      <c r="BF2929" s="165" t="str">
        <f t="shared" si="2231"/>
        <v>https://www.google.com/search?tbm=isch&amp;q=7%20G5</v>
      </c>
      <c r="BG2929" s="165" t="str">
        <f t="shared" si="2232"/>
        <v>M</v>
      </c>
      <c r="BH2929" s="65"/>
      <c r="BI2929" s="65"/>
      <c r="BJ2929" s="65"/>
      <c r="BK2929" s="65"/>
      <c r="BL2929" s="99"/>
      <c r="BM2929" s="99"/>
      <c r="BN2929" s="99"/>
    </row>
    <row r="2930" spans="1:66" s="51" customFormat="1" ht="15.75" x14ac:dyDescent="0.25">
      <c r="A2930" s="478">
        <v>7</v>
      </c>
      <c r="B2930" s="479" t="s">
        <v>291</v>
      </c>
      <c r="C2930" s="480" t="s">
        <v>4639</v>
      </c>
      <c r="D2930" s="481" t="s">
        <v>293</v>
      </c>
      <c r="E2930" s="482">
        <v>111.95</v>
      </c>
      <c r="F2930" s="483" t="s">
        <v>292</v>
      </c>
      <c r="G2930" s="484">
        <v>0</v>
      </c>
      <c r="H2930" s="688" t="str">
        <f t="shared" si="2245"/>
        <v/>
      </c>
      <c r="I2930" s="485">
        <f t="shared" si="2246"/>
        <v>0</v>
      </c>
      <c r="J2930" s="485">
        <f t="shared" si="2247"/>
        <v>0</v>
      </c>
      <c r="K2930" s="715">
        <f t="shared" ref="K2930" si="2255">I2930+J2930</f>
        <v>0</v>
      </c>
      <c r="L2930" s="715"/>
      <c r="M2930" s="689" t="str">
        <f t="shared" ca="1" si="2249"/>
        <v/>
      </c>
      <c r="N2930" s="690"/>
      <c r="O2930" s="486"/>
      <c r="P2930" s="486"/>
      <c r="Q2930" s="486"/>
      <c r="R2930" s="486"/>
      <c r="S2930" s="486"/>
      <c r="T2930" s="102">
        <f t="shared" si="2220"/>
        <v>0</v>
      </c>
      <c r="U2930" s="78">
        <f>IF(NOT(ISNUMBER(G2930)), "", VLOOKUP(A2930,'Discount Lookup'!D:E,2,FALSE)*G2930)</f>
        <v>0</v>
      </c>
      <c r="V2930" s="78">
        <f>IF(NOT(ISNUMBER(G2930)), "", VLOOKUP(A2930,'Discount Lookup'!G:H,2,FALSE)*G2930)</f>
        <v>0</v>
      </c>
      <c r="W2930" s="102">
        <f t="shared" si="2221"/>
        <v>0</v>
      </c>
      <c r="X2930" s="102">
        <f t="shared" si="2222"/>
        <v>0</v>
      </c>
      <c r="Y2930" s="120" t="b">
        <f t="shared" si="2223"/>
        <v>0</v>
      </c>
      <c r="Z2930" s="117">
        <f t="shared" si="2224"/>
        <v>0</v>
      </c>
      <c r="AA2930" s="118"/>
      <c r="AB2930" s="118" t="str">
        <f t="shared" si="2225"/>
        <v/>
      </c>
      <c r="AC2930" s="712" t="str">
        <f>IF(AE2930="T2G","no charge",IF(AND(OR(PlanterYesMe="No",PlanterYesMe="N",PlanterYesMe="me"),H2930=""),"",IF(H2930="credit","NO install",IF(AND(K2930="",AE2930="me"),"EACH row",IF(AND(K2930="images",AE2930="me"),"EACH row",IF(D2930="","",IF(H2930="credit","",IF(AE2930="free","re-planting",IF(AE2930="me","   not ELP, by",IF(AND(OR(PlanterYesMe="Yes",PlanterYesMe="Y"),G2930&gt;0),(VLOOKUP(A2930,'Discount Lookup'!J:K,2)*G2930*(1-PlanterDiscount)*(1+PlanterDifficultyPercentage)),IF(AE2930="ELP",(VLOOKUP(A2930,'Discount Lookup'!J:K,2)*G2930*(1-PlanterDiscount)*(1+PlanterDifficultyPercentage)),IF(AE2930="free","re-planting",IF(G2930=0,"",IF(PlanterYesMe="",IF(AE2930="me","   not ELP, by",IF(AE2930="",IF(G2930&gt;0,(VLOOKUP(A2930,'Discount Lookup'!J:K,2)*G2930*(1-PlanterDiscount)*(1+PlanterDifficultyPercentage)),""),"")),"   not ELP, by"))))))))))))))</f>
        <v/>
      </c>
      <c r="AD2930" s="712"/>
      <c r="AE2930" s="513" t="str">
        <f t="shared" si="2226"/>
        <v/>
      </c>
      <c r="AF2930" s="713" t="str">
        <f t="shared" si="2227"/>
        <v/>
      </c>
      <c r="AG2930" s="713"/>
      <c r="AH2930" s="713"/>
      <c r="AI2930" s="112">
        <f>IF(H2930="credit",0,IF(AE2930="free",0,IF(AE2930="me",0,IF(G2930&gt;0,(VLOOKUP(A2930,'Discount Lookup'!J:K,2)*G2930),0))))</f>
        <v>0</v>
      </c>
      <c r="AJ2930" s="107" t="str">
        <f t="shared" ca="1" si="2228"/>
        <v/>
      </c>
      <c r="AK2930" s="714" t="str">
        <f t="shared" si="2229"/>
        <v/>
      </c>
      <c r="AL2930" s="714"/>
      <c r="AM2930" s="114" t="str">
        <f t="shared" si="2230"/>
        <v/>
      </c>
      <c r="AN2930" s="115"/>
      <c r="AO2930" s="116"/>
      <c r="AP2930" s="116"/>
      <c r="AQ2930" s="116"/>
      <c r="AR2930" s="116"/>
      <c r="AS2930" s="116"/>
      <c r="AT2930" s="116"/>
      <c r="AU2930" s="116"/>
      <c r="AV2930" s="78"/>
      <c r="AW2930" s="102"/>
      <c r="AX2930" s="78"/>
      <c r="AY2930" s="78"/>
      <c r="AZ2930" s="78"/>
      <c r="BA2930" s="78"/>
      <c r="BB2930" s="78"/>
      <c r="BC2930" s="78"/>
      <c r="BD2930" s="78"/>
      <c r="BE2930" s="465"/>
      <c r="BF2930" s="165" t="str">
        <f t="shared" si="2231"/>
        <v>https://www.google.com/search?tbm=isch&amp;q=7%20G6</v>
      </c>
      <c r="BG2930" s="165" t="str">
        <f t="shared" si="2232"/>
        <v>M</v>
      </c>
      <c r="BH2930" s="65"/>
      <c r="BI2930" s="65"/>
      <c r="BJ2930" s="65"/>
      <c r="BK2930" s="65"/>
      <c r="BL2930" s="99"/>
      <c r="BM2930" s="99"/>
      <c r="BN2930" s="99"/>
    </row>
    <row r="2931" spans="1:66" s="51" customFormat="1" ht="15.75" x14ac:dyDescent="0.25">
      <c r="A2931" s="478">
        <v>7</v>
      </c>
      <c r="B2931" s="479" t="s">
        <v>291</v>
      </c>
      <c r="C2931" s="480" t="s">
        <v>3527</v>
      </c>
      <c r="D2931" s="481" t="s">
        <v>299</v>
      </c>
      <c r="E2931" s="482">
        <v>114.95</v>
      </c>
      <c r="F2931" s="483" t="s">
        <v>292</v>
      </c>
      <c r="G2931" s="484">
        <v>0</v>
      </c>
      <c r="H2931" s="688" t="str">
        <f t="shared" si="2245"/>
        <v/>
      </c>
      <c r="I2931" s="485">
        <f t="shared" si="2246"/>
        <v>0</v>
      </c>
      <c r="J2931" s="485">
        <f t="shared" si="2247"/>
        <v>0</v>
      </c>
      <c r="K2931" s="715">
        <f t="shared" ref="K2931" si="2256">I2931+J2931</f>
        <v>0</v>
      </c>
      <c r="L2931" s="715"/>
      <c r="M2931" s="689" t="str">
        <f t="shared" ca="1" si="2249"/>
        <v/>
      </c>
      <c r="N2931" s="690"/>
      <c r="O2931" s="486"/>
      <c r="P2931" s="486"/>
      <c r="Q2931" s="486"/>
      <c r="R2931" s="486"/>
      <c r="S2931" s="486"/>
      <c r="T2931" s="102">
        <f t="shared" si="2220"/>
        <v>0</v>
      </c>
      <c r="U2931" s="78">
        <f>IF(NOT(ISNUMBER(G2931)), "", VLOOKUP(A2931,'Discount Lookup'!D:E,2,FALSE)*G2931)</f>
        <v>0</v>
      </c>
      <c r="V2931" s="78">
        <f>IF(NOT(ISNUMBER(G2931)), "", VLOOKUP(A2931,'Discount Lookup'!G:H,2,FALSE)*G2931)</f>
        <v>0</v>
      </c>
      <c r="W2931" s="102">
        <f t="shared" si="2221"/>
        <v>0</v>
      </c>
      <c r="X2931" s="102">
        <f t="shared" si="2222"/>
        <v>0</v>
      </c>
      <c r="Y2931" s="120" t="b">
        <f t="shared" si="2223"/>
        <v>0</v>
      </c>
      <c r="Z2931" s="117">
        <f t="shared" si="2224"/>
        <v>0</v>
      </c>
      <c r="AA2931" s="118"/>
      <c r="AB2931" s="118" t="str">
        <f t="shared" si="2225"/>
        <v/>
      </c>
      <c r="AC2931" s="712" t="str">
        <f>IF(AE2931="T2G","no charge",IF(AND(OR(PlanterYesMe="No",PlanterYesMe="N",PlanterYesMe="me"),H2931=""),"",IF(H2931="credit","NO install",IF(AND(K2931="",AE2931="me"),"EACH row",IF(AND(K2931="images",AE2931="me"),"EACH row",IF(D2931="","",IF(H2931="credit","",IF(AE2931="free","re-planting",IF(AE2931="me","   not ELP, by",IF(AND(OR(PlanterYesMe="Yes",PlanterYesMe="Y"),G2931&gt;0),(VLOOKUP(A2931,'Discount Lookup'!J:K,2)*G2931*(1-PlanterDiscount)*(1+PlanterDifficultyPercentage)),IF(AE2931="ELP",(VLOOKUP(A2931,'Discount Lookup'!J:K,2)*G2931*(1-PlanterDiscount)*(1+PlanterDifficultyPercentage)),IF(AE2931="free","re-planting",IF(G2931=0,"",IF(PlanterYesMe="",IF(AE2931="me","   not ELP, by",IF(AE2931="",IF(G2931&gt;0,(VLOOKUP(A2931,'Discount Lookup'!J:K,2)*G2931*(1-PlanterDiscount)*(1+PlanterDifficultyPercentage)),""),"")),"   not ELP, by"))))))))))))))</f>
        <v/>
      </c>
      <c r="AD2931" s="712"/>
      <c r="AE2931" s="513" t="str">
        <f t="shared" si="2226"/>
        <v/>
      </c>
      <c r="AF2931" s="713" t="str">
        <f t="shared" si="2227"/>
        <v/>
      </c>
      <c r="AG2931" s="713"/>
      <c r="AH2931" s="713"/>
      <c r="AI2931" s="112">
        <f>IF(H2931="credit",0,IF(AE2931="free",0,IF(AE2931="me",0,IF(G2931&gt;0,(VLOOKUP(A2931,'Discount Lookup'!J:K,2)*G2931),0))))</f>
        <v>0</v>
      </c>
      <c r="AJ2931" s="107" t="str">
        <f t="shared" ca="1" si="2228"/>
        <v/>
      </c>
      <c r="AK2931" s="714" t="str">
        <f t="shared" si="2229"/>
        <v/>
      </c>
      <c r="AL2931" s="714"/>
      <c r="AM2931" s="114" t="str">
        <f t="shared" si="2230"/>
        <v/>
      </c>
      <c r="AN2931" s="115"/>
      <c r="AO2931" s="116"/>
      <c r="AP2931" s="116"/>
      <c r="AQ2931" s="116"/>
      <c r="AR2931" s="116"/>
      <c r="AS2931" s="116"/>
      <c r="AT2931" s="116"/>
      <c r="AU2931" s="116"/>
      <c r="AV2931" s="78"/>
      <c r="AW2931" s="102"/>
      <c r="AX2931" s="78"/>
      <c r="AY2931" s="78"/>
      <c r="AZ2931" s="78"/>
      <c r="BA2931" s="78"/>
      <c r="BB2931" s="78"/>
      <c r="BC2931" s="78"/>
      <c r="BD2931" s="78"/>
      <c r="BE2931" s="465"/>
      <c r="BF2931" s="165" t="str">
        <f t="shared" si="2231"/>
        <v>https://www.google.com/search?tbm=isch&amp;q=7%20G4</v>
      </c>
      <c r="BG2931" s="165" t="str">
        <f t="shared" si="2232"/>
        <v>M</v>
      </c>
      <c r="BH2931" s="65"/>
      <c r="BI2931" s="65"/>
      <c r="BJ2931" s="65"/>
      <c r="BK2931" s="65"/>
      <c r="BL2931" s="99"/>
      <c r="BM2931" s="99"/>
      <c r="BN2931" s="99"/>
    </row>
    <row r="2932" spans="1:66" s="51" customFormat="1" ht="27" x14ac:dyDescent="0.25">
      <c r="A2932" s="478">
        <v>7</v>
      </c>
      <c r="B2932" s="479" t="s">
        <v>291</v>
      </c>
      <c r="C2932" s="480" t="s">
        <v>3528</v>
      </c>
      <c r="D2932" s="481" t="s">
        <v>311</v>
      </c>
      <c r="E2932" s="482">
        <v>137.94999999999999</v>
      </c>
      <c r="F2932" s="483" t="s">
        <v>292</v>
      </c>
      <c r="G2932" s="484">
        <v>0</v>
      </c>
      <c r="H2932" s="688" t="str">
        <f t="shared" si="2245"/>
        <v/>
      </c>
      <c r="I2932" s="485">
        <f t="shared" si="2246"/>
        <v>0</v>
      </c>
      <c r="J2932" s="485">
        <f t="shared" si="2247"/>
        <v>0</v>
      </c>
      <c r="K2932" s="715">
        <f t="shared" ref="K2932" si="2257">I2932+J2932</f>
        <v>0</v>
      </c>
      <c r="L2932" s="715"/>
      <c r="M2932" s="689" t="str">
        <f t="shared" ca="1" si="2249"/>
        <v/>
      </c>
      <c r="N2932" s="690"/>
      <c r="O2932" s="486"/>
      <c r="P2932" s="486"/>
      <c r="Q2932" s="486"/>
      <c r="R2932" s="486"/>
      <c r="S2932" s="486"/>
      <c r="T2932" s="102">
        <f t="shared" si="2220"/>
        <v>0</v>
      </c>
      <c r="U2932" s="78">
        <f>IF(NOT(ISNUMBER(G2932)), "", VLOOKUP(A2932,'Discount Lookup'!D:E,2,FALSE)*G2932)</f>
        <v>0</v>
      </c>
      <c r="V2932" s="78">
        <f>IF(NOT(ISNUMBER(G2932)), "", VLOOKUP(A2932,'Discount Lookup'!G:H,2,FALSE)*G2932)</f>
        <v>0</v>
      </c>
      <c r="W2932" s="102">
        <f t="shared" si="2221"/>
        <v>0</v>
      </c>
      <c r="X2932" s="102">
        <f t="shared" si="2222"/>
        <v>0</v>
      </c>
      <c r="Y2932" s="120" t="b">
        <f t="shared" si="2223"/>
        <v>0</v>
      </c>
      <c r="Z2932" s="117">
        <f t="shared" si="2224"/>
        <v>0</v>
      </c>
      <c r="AA2932" s="118"/>
      <c r="AB2932" s="118" t="str">
        <f t="shared" si="2225"/>
        <v/>
      </c>
      <c r="AC2932" s="712" t="str">
        <f>IF(AE2932="T2G","no charge",IF(AND(OR(PlanterYesMe="No",PlanterYesMe="N",PlanterYesMe="me"),H2932=""),"",IF(H2932="credit","NO install",IF(AND(K2932="",AE2932="me"),"EACH row",IF(AND(K2932="images",AE2932="me"),"EACH row",IF(D2932="","",IF(H2932="credit","",IF(AE2932="free","re-planting",IF(AE2932="me","   not ELP, by",IF(AND(OR(PlanterYesMe="Yes",PlanterYesMe="Y"),G2932&gt;0),(VLOOKUP(A2932,'Discount Lookup'!J:K,2)*G2932*(1-PlanterDiscount)*(1+PlanterDifficultyPercentage)),IF(AE2932="ELP",(VLOOKUP(A2932,'Discount Lookup'!J:K,2)*G2932*(1-PlanterDiscount)*(1+PlanterDifficultyPercentage)),IF(AE2932="free","re-planting",IF(G2932=0,"",IF(PlanterYesMe="",IF(AE2932="me","   not ELP, by",IF(AE2932="",IF(G2932&gt;0,(VLOOKUP(A2932,'Discount Lookup'!J:K,2)*G2932*(1-PlanterDiscount)*(1+PlanterDifficultyPercentage)),""),"")),"   not ELP, by"))))))))))))))</f>
        <v/>
      </c>
      <c r="AD2932" s="712"/>
      <c r="AE2932" s="513" t="str">
        <f t="shared" si="2226"/>
        <v/>
      </c>
      <c r="AF2932" s="713" t="str">
        <f t="shared" si="2227"/>
        <v/>
      </c>
      <c r="AG2932" s="713"/>
      <c r="AH2932" s="713"/>
      <c r="AI2932" s="112">
        <f>IF(H2932="credit",0,IF(AE2932="free",0,IF(AE2932="me",0,IF(G2932&gt;0,(VLOOKUP(A2932,'Discount Lookup'!J:K,2)*G2932),0))))</f>
        <v>0</v>
      </c>
      <c r="AJ2932" s="107" t="str">
        <f t="shared" ca="1" si="2228"/>
        <v/>
      </c>
      <c r="AK2932" s="714" t="str">
        <f t="shared" si="2229"/>
        <v/>
      </c>
      <c r="AL2932" s="714"/>
      <c r="AM2932" s="114" t="str">
        <f t="shared" si="2230"/>
        <v/>
      </c>
      <c r="AN2932" s="115"/>
      <c r="AO2932" s="116"/>
      <c r="AP2932" s="116"/>
      <c r="AQ2932" s="116"/>
      <c r="AR2932" s="116"/>
      <c r="AS2932" s="116"/>
      <c r="AT2932" s="116"/>
      <c r="AU2932" s="116"/>
      <c r="AV2932" s="78"/>
      <c r="AW2932" s="102"/>
      <c r="AX2932" s="78"/>
      <c r="AY2932" s="78"/>
      <c r="AZ2932" s="78"/>
      <c r="BA2932" s="78"/>
      <c r="BB2932" s="78"/>
      <c r="BC2932" s="78"/>
      <c r="BD2932" s="78"/>
      <c r="BE2932" s="465"/>
      <c r="BF2932" s="165" t="str">
        <f t="shared" si="2231"/>
        <v>https://www.google.com/search?tbm=isch&amp;q=7%20G5</v>
      </c>
      <c r="BG2932" s="165" t="str">
        <f t="shared" si="2232"/>
        <v>M</v>
      </c>
      <c r="BH2932" s="65"/>
      <c r="BI2932" s="65"/>
      <c r="BJ2932" s="65"/>
      <c r="BK2932" s="65"/>
      <c r="BL2932" s="99"/>
      <c r="BM2932" s="99"/>
      <c r="BN2932" s="99"/>
    </row>
    <row r="2933" spans="1:66" s="51" customFormat="1" ht="15.75" x14ac:dyDescent="0.25">
      <c r="A2933" s="478">
        <v>15</v>
      </c>
      <c r="B2933" s="479" t="s">
        <v>291</v>
      </c>
      <c r="C2933" s="480" t="s">
        <v>3529</v>
      </c>
      <c r="D2933" s="481" t="s">
        <v>293</v>
      </c>
      <c r="E2933" s="482">
        <v>158.94999999999999</v>
      </c>
      <c r="F2933" s="483" t="s">
        <v>292</v>
      </c>
      <c r="G2933" s="484">
        <v>0</v>
      </c>
      <c r="H2933" s="688" t="str">
        <f t="shared" si="2245"/>
        <v/>
      </c>
      <c r="I2933" s="485">
        <f t="shared" si="2246"/>
        <v>0</v>
      </c>
      <c r="J2933" s="485">
        <f t="shared" si="2247"/>
        <v>0</v>
      </c>
      <c r="K2933" s="715">
        <f t="shared" ref="K2933" si="2258">I2933+J2933</f>
        <v>0</v>
      </c>
      <c r="L2933" s="715"/>
      <c r="M2933" s="689" t="str">
        <f t="shared" ca="1" si="2249"/>
        <v/>
      </c>
      <c r="N2933" s="690"/>
      <c r="O2933" s="486"/>
      <c r="P2933" s="486"/>
      <c r="Q2933" s="486"/>
      <c r="R2933" s="486"/>
      <c r="S2933" s="486"/>
      <c r="T2933" s="102">
        <f t="shared" si="2220"/>
        <v>0</v>
      </c>
      <c r="U2933" s="78">
        <f>IF(NOT(ISNUMBER(G2933)), "", VLOOKUP(A2933,'Discount Lookup'!D:E,2,FALSE)*G2933)</f>
        <v>0</v>
      </c>
      <c r="V2933" s="78">
        <f>IF(NOT(ISNUMBER(G2933)), "", VLOOKUP(A2933,'Discount Lookup'!G:H,2,FALSE)*G2933)</f>
        <v>0</v>
      </c>
      <c r="W2933" s="102">
        <f t="shared" si="2221"/>
        <v>0</v>
      </c>
      <c r="X2933" s="102">
        <f t="shared" si="2222"/>
        <v>0</v>
      </c>
      <c r="Y2933" s="120" t="b">
        <f t="shared" si="2223"/>
        <v>0</v>
      </c>
      <c r="Z2933" s="117">
        <f t="shared" si="2224"/>
        <v>0</v>
      </c>
      <c r="AA2933" s="118"/>
      <c r="AB2933" s="118" t="str">
        <f t="shared" si="2225"/>
        <v/>
      </c>
      <c r="AC2933" s="712" t="str">
        <f>IF(AE2933="T2G","no charge",IF(AND(OR(PlanterYesMe="No",PlanterYesMe="N",PlanterYesMe="me"),H2933=""),"",IF(H2933="credit","NO install",IF(AND(K2933="",AE2933="me"),"EACH row",IF(AND(K2933="images",AE2933="me"),"EACH row",IF(D2933="","",IF(H2933="credit","",IF(AE2933="free","re-planting",IF(AE2933="me","   not ELP, by",IF(AND(OR(PlanterYesMe="Yes",PlanterYesMe="Y"),G2933&gt;0),(VLOOKUP(A2933,'Discount Lookup'!J:K,2)*G2933*(1-PlanterDiscount)*(1+PlanterDifficultyPercentage)),IF(AE2933="ELP",(VLOOKUP(A2933,'Discount Lookup'!J:K,2)*G2933*(1-PlanterDiscount)*(1+PlanterDifficultyPercentage)),IF(AE2933="free","re-planting",IF(G2933=0,"",IF(PlanterYesMe="",IF(AE2933="me","   not ELP, by",IF(AE2933="",IF(G2933&gt;0,(VLOOKUP(A2933,'Discount Lookup'!J:K,2)*G2933*(1-PlanterDiscount)*(1+PlanterDifficultyPercentage)),""),"")),"   not ELP, by"))))))))))))))</f>
        <v/>
      </c>
      <c r="AD2933" s="712"/>
      <c r="AE2933" s="513" t="str">
        <f t="shared" si="2226"/>
        <v/>
      </c>
      <c r="AF2933" s="713" t="str">
        <f t="shared" si="2227"/>
        <v/>
      </c>
      <c r="AG2933" s="713"/>
      <c r="AH2933" s="713"/>
      <c r="AI2933" s="112">
        <f>IF(H2933="credit",0,IF(AE2933="free",0,IF(AE2933="me",0,IF(G2933&gt;0,(VLOOKUP(A2933,'Discount Lookup'!J:K,2)*G2933),0))))</f>
        <v>0</v>
      </c>
      <c r="AJ2933" s="107" t="str">
        <f t="shared" ca="1" si="2228"/>
        <v/>
      </c>
      <c r="AK2933" s="714" t="str">
        <f t="shared" si="2229"/>
        <v/>
      </c>
      <c r="AL2933" s="714"/>
      <c r="AM2933" s="114" t="str">
        <f t="shared" si="2230"/>
        <v/>
      </c>
      <c r="AN2933" s="115"/>
      <c r="AO2933" s="116"/>
      <c r="AP2933" s="116"/>
      <c r="AQ2933" s="116"/>
      <c r="AR2933" s="116"/>
      <c r="AS2933" s="116"/>
      <c r="AT2933" s="116"/>
      <c r="AU2933" s="116"/>
      <c r="AV2933" s="78"/>
      <c r="AW2933" s="102"/>
      <c r="AX2933" s="78"/>
      <c r="AY2933" s="78"/>
      <c r="AZ2933" s="78"/>
      <c r="BA2933" s="78"/>
      <c r="BB2933" s="78"/>
      <c r="BC2933" s="78"/>
      <c r="BD2933" s="78"/>
      <c r="BE2933" s="465"/>
      <c r="BF2933" s="165" t="str">
        <f t="shared" si="2231"/>
        <v>https://www.google.com/search?tbm=isch&amp;q=15%20G6</v>
      </c>
      <c r="BG2933" s="165" t="str">
        <f t="shared" si="2232"/>
        <v>M</v>
      </c>
      <c r="BH2933" s="65"/>
      <c r="BI2933" s="65"/>
      <c r="BJ2933" s="65"/>
      <c r="BK2933" s="65"/>
      <c r="BL2933" s="99"/>
      <c r="BM2933" s="99"/>
      <c r="BN2933" s="99"/>
    </row>
    <row r="2934" spans="1:66" s="51" customFormat="1" ht="15.75" x14ac:dyDescent="0.25">
      <c r="A2934" s="478">
        <v>15</v>
      </c>
      <c r="B2934" s="479" t="s">
        <v>291</v>
      </c>
      <c r="C2934" s="480" t="s">
        <v>3530</v>
      </c>
      <c r="D2934" s="481" t="s">
        <v>299</v>
      </c>
      <c r="E2934" s="482">
        <v>183.95</v>
      </c>
      <c r="F2934" s="483" t="s">
        <v>292</v>
      </c>
      <c r="G2934" s="484">
        <v>0</v>
      </c>
      <c r="H2934" s="688" t="str">
        <f t="shared" si="2245"/>
        <v/>
      </c>
      <c r="I2934" s="485">
        <f t="shared" si="2246"/>
        <v>0</v>
      </c>
      <c r="J2934" s="485">
        <f t="shared" si="2247"/>
        <v>0</v>
      </c>
      <c r="K2934" s="715">
        <f t="shared" ref="K2934" si="2259">I2934+J2934</f>
        <v>0</v>
      </c>
      <c r="L2934" s="715"/>
      <c r="M2934" s="689" t="str">
        <f t="shared" ca="1" si="2249"/>
        <v/>
      </c>
      <c r="N2934" s="690"/>
      <c r="O2934" s="486"/>
      <c r="P2934" s="486"/>
      <c r="Q2934" s="486"/>
      <c r="R2934" s="486"/>
      <c r="S2934" s="486"/>
      <c r="T2934" s="102">
        <f t="shared" si="2220"/>
        <v>0</v>
      </c>
      <c r="U2934" s="78">
        <f>IF(NOT(ISNUMBER(G2934)), "", VLOOKUP(A2934,'Discount Lookup'!D:E,2,FALSE)*G2934)</f>
        <v>0</v>
      </c>
      <c r="V2934" s="78">
        <f>IF(NOT(ISNUMBER(G2934)), "", VLOOKUP(A2934,'Discount Lookup'!G:H,2,FALSE)*G2934)</f>
        <v>0</v>
      </c>
      <c r="W2934" s="102">
        <f t="shared" si="2221"/>
        <v>0</v>
      </c>
      <c r="X2934" s="102">
        <f t="shared" si="2222"/>
        <v>0</v>
      </c>
      <c r="Y2934" s="120" t="b">
        <f t="shared" si="2223"/>
        <v>0</v>
      </c>
      <c r="Z2934" s="117">
        <f t="shared" si="2224"/>
        <v>0</v>
      </c>
      <c r="AA2934" s="118"/>
      <c r="AB2934" s="118" t="str">
        <f t="shared" si="2225"/>
        <v/>
      </c>
      <c r="AC2934" s="712" t="str">
        <f>IF(AE2934="T2G","no charge",IF(AND(OR(PlanterYesMe="No",PlanterYesMe="N",PlanterYesMe="me"),H2934=""),"",IF(H2934="credit","NO install",IF(AND(K2934="",AE2934="me"),"EACH row",IF(AND(K2934="images",AE2934="me"),"EACH row",IF(D2934="","",IF(H2934="credit","",IF(AE2934="free","re-planting",IF(AE2934="me","   not ELP, by",IF(AND(OR(PlanterYesMe="Yes",PlanterYesMe="Y"),G2934&gt;0),(VLOOKUP(A2934,'Discount Lookup'!J:K,2)*G2934*(1-PlanterDiscount)*(1+PlanterDifficultyPercentage)),IF(AE2934="ELP",(VLOOKUP(A2934,'Discount Lookup'!J:K,2)*G2934*(1-PlanterDiscount)*(1+PlanterDifficultyPercentage)),IF(AE2934="free","re-planting",IF(G2934=0,"",IF(PlanterYesMe="",IF(AE2934="me","   not ELP, by",IF(AE2934="",IF(G2934&gt;0,(VLOOKUP(A2934,'Discount Lookup'!J:K,2)*G2934*(1-PlanterDiscount)*(1+PlanterDifficultyPercentage)),""),"")),"   not ELP, by"))))))))))))))</f>
        <v/>
      </c>
      <c r="AD2934" s="712"/>
      <c r="AE2934" s="513" t="str">
        <f t="shared" si="2226"/>
        <v/>
      </c>
      <c r="AF2934" s="713" t="str">
        <f t="shared" si="2227"/>
        <v/>
      </c>
      <c r="AG2934" s="713"/>
      <c r="AH2934" s="713"/>
      <c r="AI2934" s="112">
        <f>IF(H2934="credit",0,IF(AE2934="free",0,IF(AE2934="me",0,IF(G2934&gt;0,(VLOOKUP(A2934,'Discount Lookup'!J:K,2)*G2934),0))))</f>
        <v>0</v>
      </c>
      <c r="AJ2934" s="107" t="str">
        <f t="shared" ca="1" si="2228"/>
        <v/>
      </c>
      <c r="AK2934" s="714" t="str">
        <f t="shared" si="2229"/>
        <v/>
      </c>
      <c r="AL2934" s="714"/>
      <c r="AM2934" s="114" t="str">
        <f t="shared" si="2230"/>
        <v/>
      </c>
      <c r="AN2934" s="115"/>
      <c r="AO2934" s="116"/>
      <c r="AP2934" s="116"/>
      <c r="AQ2934" s="116"/>
      <c r="AR2934" s="116"/>
      <c r="AS2934" s="116"/>
      <c r="AT2934" s="116"/>
      <c r="AU2934" s="116"/>
      <c r="AV2934" s="78"/>
      <c r="AW2934" s="102"/>
      <c r="AX2934" s="78"/>
      <c r="AY2934" s="78"/>
      <c r="AZ2934" s="78"/>
      <c r="BA2934" s="78"/>
      <c r="BB2934" s="78"/>
      <c r="BC2934" s="78"/>
      <c r="BD2934" s="78"/>
      <c r="BE2934" s="465"/>
      <c r="BF2934" s="165" t="str">
        <f t="shared" si="2231"/>
        <v>https://www.google.com/search?tbm=isch&amp;q=15%20G4</v>
      </c>
      <c r="BG2934" s="165" t="str">
        <f t="shared" si="2232"/>
        <v>M</v>
      </c>
      <c r="BH2934" s="65"/>
      <c r="BI2934" s="65"/>
      <c r="BJ2934" s="65"/>
      <c r="BK2934" s="65"/>
      <c r="BL2934" s="99"/>
      <c r="BM2934" s="99"/>
      <c r="BN2934" s="99"/>
    </row>
    <row r="2935" spans="1:66" s="51" customFormat="1" ht="15.75" x14ac:dyDescent="0.25">
      <c r="A2935" s="478">
        <v>15</v>
      </c>
      <c r="B2935" s="479" t="s">
        <v>291</v>
      </c>
      <c r="C2935" s="480" t="s">
        <v>537</v>
      </c>
      <c r="D2935" s="481" t="s">
        <v>311</v>
      </c>
      <c r="E2935" s="482">
        <v>183.95</v>
      </c>
      <c r="F2935" s="483" t="s">
        <v>292</v>
      </c>
      <c r="G2935" s="484">
        <v>0</v>
      </c>
      <c r="H2935" s="688" t="str">
        <f t="shared" si="2245"/>
        <v/>
      </c>
      <c r="I2935" s="485">
        <f t="shared" si="2246"/>
        <v>0</v>
      </c>
      <c r="J2935" s="485">
        <f t="shared" si="2247"/>
        <v>0</v>
      </c>
      <c r="K2935" s="715">
        <f t="shared" ref="K2935" si="2260">I2935+J2935</f>
        <v>0</v>
      </c>
      <c r="L2935" s="715"/>
      <c r="M2935" s="689" t="str">
        <f t="shared" ca="1" si="2249"/>
        <v/>
      </c>
      <c r="N2935" s="690"/>
      <c r="O2935" s="486"/>
      <c r="P2935" s="486"/>
      <c r="Q2935" s="486"/>
      <c r="R2935" s="486"/>
      <c r="S2935" s="486"/>
      <c r="T2935" s="102">
        <f t="shared" si="2220"/>
        <v>0</v>
      </c>
      <c r="U2935" s="78">
        <f>IF(NOT(ISNUMBER(G2935)), "", VLOOKUP(A2935,'Discount Lookup'!D:E,2,FALSE)*G2935)</f>
        <v>0</v>
      </c>
      <c r="V2935" s="78">
        <f>IF(NOT(ISNUMBER(G2935)), "", VLOOKUP(A2935,'Discount Lookup'!G:H,2,FALSE)*G2935)</f>
        <v>0</v>
      </c>
      <c r="W2935" s="102">
        <f t="shared" si="2221"/>
        <v>0</v>
      </c>
      <c r="X2935" s="102">
        <f t="shared" si="2222"/>
        <v>0</v>
      </c>
      <c r="Y2935" s="120" t="b">
        <f t="shared" si="2223"/>
        <v>0</v>
      </c>
      <c r="Z2935" s="117">
        <f t="shared" si="2224"/>
        <v>0</v>
      </c>
      <c r="AA2935" s="118"/>
      <c r="AB2935" s="118" t="str">
        <f t="shared" si="2225"/>
        <v/>
      </c>
      <c r="AC2935" s="712" t="str">
        <f>IF(AE2935="T2G","no charge",IF(AND(OR(PlanterYesMe="No",PlanterYesMe="N",PlanterYesMe="me"),H2935=""),"",IF(H2935="credit","NO install",IF(AND(K2935="",AE2935="me"),"EACH row",IF(AND(K2935="images",AE2935="me"),"EACH row",IF(D2935="","",IF(H2935="credit","",IF(AE2935="free","re-planting",IF(AE2935="me","   not ELP, by",IF(AND(OR(PlanterYesMe="Yes",PlanterYesMe="Y"),G2935&gt;0),(VLOOKUP(A2935,'Discount Lookup'!J:K,2)*G2935*(1-PlanterDiscount)*(1+PlanterDifficultyPercentage)),IF(AE2935="ELP",(VLOOKUP(A2935,'Discount Lookup'!J:K,2)*G2935*(1-PlanterDiscount)*(1+PlanterDifficultyPercentage)),IF(AE2935="free","re-planting",IF(G2935=0,"",IF(PlanterYesMe="",IF(AE2935="me","   not ELP, by",IF(AE2935="",IF(G2935&gt;0,(VLOOKUP(A2935,'Discount Lookup'!J:K,2)*G2935*(1-PlanterDiscount)*(1+PlanterDifficultyPercentage)),""),"")),"   not ELP, by"))))))))))))))</f>
        <v/>
      </c>
      <c r="AD2935" s="712"/>
      <c r="AE2935" s="513" t="str">
        <f t="shared" si="2226"/>
        <v/>
      </c>
      <c r="AF2935" s="713" t="str">
        <f t="shared" si="2227"/>
        <v/>
      </c>
      <c r="AG2935" s="713"/>
      <c r="AH2935" s="713"/>
      <c r="AI2935" s="112">
        <f>IF(H2935="credit",0,IF(AE2935="free",0,IF(AE2935="me",0,IF(G2935&gt;0,(VLOOKUP(A2935,'Discount Lookup'!J:K,2)*G2935),0))))</f>
        <v>0</v>
      </c>
      <c r="AJ2935" s="107" t="str">
        <f t="shared" ca="1" si="2228"/>
        <v/>
      </c>
      <c r="AK2935" s="714" t="str">
        <f t="shared" si="2229"/>
        <v/>
      </c>
      <c r="AL2935" s="714"/>
      <c r="AM2935" s="114" t="str">
        <f t="shared" si="2230"/>
        <v/>
      </c>
      <c r="AN2935" s="115"/>
      <c r="AO2935" s="116"/>
      <c r="AP2935" s="116"/>
      <c r="AQ2935" s="116"/>
      <c r="AR2935" s="116"/>
      <c r="AS2935" s="116"/>
      <c r="AT2935" s="116"/>
      <c r="AU2935" s="116"/>
      <c r="AV2935" s="78"/>
      <c r="AW2935" s="102"/>
      <c r="AX2935" s="78"/>
      <c r="AY2935" s="78"/>
      <c r="AZ2935" s="78"/>
      <c r="BA2935" s="78"/>
      <c r="BB2935" s="78"/>
      <c r="BC2935" s="78"/>
      <c r="BD2935" s="78"/>
      <c r="BE2935" s="465"/>
      <c r="BF2935" s="165" t="str">
        <f t="shared" si="2231"/>
        <v>https://www.google.com/search?tbm=isch&amp;q=15%20G5</v>
      </c>
      <c r="BG2935" s="165" t="str">
        <f t="shared" si="2232"/>
        <v>M</v>
      </c>
      <c r="BH2935" s="65"/>
      <c r="BI2935" s="65"/>
      <c r="BJ2935" s="65"/>
      <c r="BK2935" s="65"/>
      <c r="BL2935" s="99"/>
      <c r="BM2935" s="99"/>
      <c r="BN2935" s="99"/>
    </row>
    <row r="2936" spans="1:66" s="51" customFormat="1" ht="15.75" x14ac:dyDescent="0.25">
      <c r="A2936" s="478">
        <v>15</v>
      </c>
      <c r="B2936" s="479" t="s">
        <v>291</v>
      </c>
      <c r="C2936" s="480" t="s">
        <v>3531</v>
      </c>
      <c r="D2936" s="481" t="s">
        <v>299</v>
      </c>
      <c r="E2936" s="482">
        <v>210.95</v>
      </c>
      <c r="F2936" s="483" t="s">
        <v>292</v>
      </c>
      <c r="G2936" s="484">
        <v>0</v>
      </c>
      <c r="H2936" s="688" t="str">
        <f t="shared" si="2245"/>
        <v/>
      </c>
      <c r="I2936" s="485">
        <f t="shared" si="2246"/>
        <v>0</v>
      </c>
      <c r="J2936" s="485">
        <f t="shared" si="2247"/>
        <v>0</v>
      </c>
      <c r="K2936" s="715">
        <f t="shared" ref="K2936" si="2261">I2936+J2936</f>
        <v>0</v>
      </c>
      <c r="L2936" s="715"/>
      <c r="M2936" s="689" t="str">
        <f t="shared" ca="1" si="2249"/>
        <v/>
      </c>
      <c r="N2936" s="690"/>
      <c r="O2936" s="486"/>
      <c r="P2936" s="486"/>
      <c r="Q2936" s="486"/>
      <c r="R2936" s="486"/>
      <c r="S2936" s="486"/>
      <c r="T2936" s="102">
        <f t="shared" si="2220"/>
        <v>0</v>
      </c>
      <c r="U2936" s="78">
        <f>IF(NOT(ISNUMBER(G2936)), "", VLOOKUP(A2936,'Discount Lookup'!D:E,2,FALSE)*G2936)</f>
        <v>0</v>
      </c>
      <c r="V2936" s="78">
        <f>IF(NOT(ISNUMBER(G2936)), "", VLOOKUP(A2936,'Discount Lookup'!G:H,2,FALSE)*G2936)</f>
        <v>0</v>
      </c>
      <c r="W2936" s="102">
        <f t="shared" si="2221"/>
        <v>0</v>
      </c>
      <c r="X2936" s="102">
        <f t="shared" si="2222"/>
        <v>0</v>
      </c>
      <c r="Y2936" s="120" t="b">
        <f t="shared" si="2223"/>
        <v>0</v>
      </c>
      <c r="Z2936" s="117">
        <f t="shared" si="2224"/>
        <v>0</v>
      </c>
      <c r="AA2936" s="118"/>
      <c r="AB2936" s="118" t="str">
        <f t="shared" si="2225"/>
        <v/>
      </c>
      <c r="AC2936" s="712" t="str">
        <f>IF(AE2936="T2G","no charge",IF(AND(OR(PlanterYesMe="No",PlanterYesMe="N",PlanterYesMe="me"),H2936=""),"",IF(H2936="credit","NO install",IF(AND(K2936="",AE2936="me"),"EACH row",IF(AND(K2936="images",AE2936="me"),"EACH row",IF(D2936="","",IF(H2936="credit","",IF(AE2936="free","re-planting",IF(AE2936="me","   not ELP, by",IF(AND(OR(PlanterYesMe="Yes",PlanterYesMe="Y"),G2936&gt;0),(VLOOKUP(A2936,'Discount Lookup'!J:K,2)*G2936*(1-PlanterDiscount)*(1+PlanterDifficultyPercentage)),IF(AE2936="ELP",(VLOOKUP(A2936,'Discount Lookup'!J:K,2)*G2936*(1-PlanterDiscount)*(1+PlanterDifficultyPercentage)),IF(AE2936="free","re-planting",IF(G2936=0,"",IF(PlanterYesMe="",IF(AE2936="me","   not ELP, by",IF(AE2936="",IF(G2936&gt;0,(VLOOKUP(A2936,'Discount Lookup'!J:K,2)*G2936*(1-PlanterDiscount)*(1+PlanterDifficultyPercentage)),""),"")),"   not ELP, by"))))))))))))))</f>
        <v/>
      </c>
      <c r="AD2936" s="712"/>
      <c r="AE2936" s="513" t="str">
        <f t="shared" si="2226"/>
        <v/>
      </c>
      <c r="AF2936" s="713" t="str">
        <f t="shared" si="2227"/>
        <v/>
      </c>
      <c r="AG2936" s="713"/>
      <c r="AH2936" s="713"/>
      <c r="AI2936" s="112">
        <f>IF(H2936="credit",0,IF(AE2936="free",0,IF(AE2936="me",0,IF(G2936&gt;0,(VLOOKUP(A2936,'Discount Lookup'!J:K,2)*G2936),0))))</f>
        <v>0</v>
      </c>
      <c r="AJ2936" s="107" t="str">
        <f t="shared" ca="1" si="2228"/>
        <v/>
      </c>
      <c r="AK2936" s="714" t="str">
        <f t="shared" si="2229"/>
        <v/>
      </c>
      <c r="AL2936" s="714"/>
      <c r="AM2936" s="114" t="str">
        <f t="shared" si="2230"/>
        <v/>
      </c>
      <c r="AN2936" s="115"/>
      <c r="AO2936" s="116"/>
      <c r="AP2936" s="116"/>
      <c r="AQ2936" s="116"/>
      <c r="AR2936" s="116"/>
      <c r="AS2936" s="116"/>
      <c r="AT2936" s="116"/>
      <c r="AU2936" s="116"/>
      <c r="AV2936" s="78"/>
      <c r="AW2936" s="102"/>
      <c r="AX2936" s="78"/>
      <c r="AY2936" s="78"/>
      <c r="AZ2936" s="78"/>
      <c r="BA2936" s="78"/>
      <c r="BB2936" s="78"/>
      <c r="BC2936" s="78"/>
      <c r="BD2936" s="78"/>
      <c r="BE2936" s="465"/>
      <c r="BF2936" s="165" t="str">
        <f t="shared" si="2231"/>
        <v>https://www.google.com/search?tbm=isch&amp;q=15%20G4</v>
      </c>
      <c r="BG2936" s="165" t="str">
        <f t="shared" si="2232"/>
        <v>M</v>
      </c>
      <c r="BH2936" s="65"/>
      <c r="BI2936" s="65"/>
      <c r="BJ2936" s="65"/>
      <c r="BK2936" s="65"/>
      <c r="BL2936" s="99"/>
      <c r="BM2936" s="99"/>
      <c r="BN2936" s="99"/>
    </row>
    <row r="2937" spans="1:66" s="51" customFormat="1" ht="27" x14ac:dyDescent="0.25">
      <c r="A2937" s="478">
        <v>15</v>
      </c>
      <c r="B2937" s="479" t="s">
        <v>291</v>
      </c>
      <c r="C2937" s="480" t="s">
        <v>3532</v>
      </c>
      <c r="D2937" s="481" t="s">
        <v>299</v>
      </c>
      <c r="E2937" s="482">
        <v>215.95</v>
      </c>
      <c r="F2937" s="483" t="s">
        <v>292</v>
      </c>
      <c r="G2937" s="484">
        <v>0</v>
      </c>
      <c r="H2937" s="688" t="str">
        <f t="shared" si="2245"/>
        <v/>
      </c>
      <c r="I2937" s="485">
        <f t="shared" si="2246"/>
        <v>0</v>
      </c>
      <c r="J2937" s="485">
        <f t="shared" si="2247"/>
        <v>0</v>
      </c>
      <c r="K2937" s="715">
        <f t="shared" ref="K2937" si="2262">I2937+J2937</f>
        <v>0</v>
      </c>
      <c r="L2937" s="715"/>
      <c r="M2937" s="689" t="str">
        <f t="shared" ca="1" si="2249"/>
        <v/>
      </c>
      <c r="N2937" s="690"/>
      <c r="O2937" s="486"/>
      <c r="P2937" s="486"/>
      <c r="Q2937" s="486"/>
      <c r="R2937" s="486"/>
      <c r="S2937" s="486"/>
      <c r="T2937" s="102">
        <f t="shared" si="2220"/>
        <v>0</v>
      </c>
      <c r="U2937" s="78">
        <f>IF(NOT(ISNUMBER(G2937)), "", VLOOKUP(A2937,'Discount Lookup'!D:E,2,FALSE)*G2937)</f>
        <v>0</v>
      </c>
      <c r="V2937" s="78">
        <f>IF(NOT(ISNUMBER(G2937)), "", VLOOKUP(A2937,'Discount Lookup'!G:H,2,FALSE)*G2937)</f>
        <v>0</v>
      </c>
      <c r="W2937" s="102">
        <f t="shared" si="2221"/>
        <v>0</v>
      </c>
      <c r="X2937" s="102">
        <f t="shared" si="2222"/>
        <v>0</v>
      </c>
      <c r="Y2937" s="120" t="b">
        <f t="shared" si="2223"/>
        <v>0</v>
      </c>
      <c r="Z2937" s="117">
        <f t="shared" si="2224"/>
        <v>0</v>
      </c>
      <c r="AA2937" s="118"/>
      <c r="AB2937" s="118" t="str">
        <f t="shared" si="2225"/>
        <v/>
      </c>
      <c r="AC2937" s="712" t="str">
        <f>IF(AE2937="T2G","no charge",IF(AND(OR(PlanterYesMe="No",PlanterYesMe="N",PlanterYesMe="me"),H2937=""),"",IF(H2937="credit","NO install",IF(AND(K2937="",AE2937="me"),"EACH row",IF(AND(K2937="images",AE2937="me"),"EACH row",IF(D2937="","",IF(H2937="credit","",IF(AE2937="free","re-planting",IF(AE2937="me","   not ELP, by",IF(AND(OR(PlanterYesMe="Yes",PlanterYesMe="Y"),G2937&gt;0),(VLOOKUP(A2937,'Discount Lookup'!J:K,2)*G2937*(1-PlanterDiscount)*(1+PlanterDifficultyPercentage)),IF(AE2937="ELP",(VLOOKUP(A2937,'Discount Lookup'!J:K,2)*G2937*(1-PlanterDiscount)*(1+PlanterDifficultyPercentage)),IF(AE2937="free","re-planting",IF(G2937=0,"",IF(PlanterYesMe="",IF(AE2937="me","   not ELP, by",IF(AE2937="",IF(G2937&gt;0,(VLOOKUP(A2937,'Discount Lookup'!J:K,2)*G2937*(1-PlanterDiscount)*(1+PlanterDifficultyPercentage)),""),"")),"   not ELP, by"))))))))))))))</f>
        <v/>
      </c>
      <c r="AD2937" s="712"/>
      <c r="AE2937" s="513" t="str">
        <f t="shared" si="2226"/>
        <v/>
      </c>
      <c r="AF2937" s="713" t="str">
        <f t="shared" si="2227"/>
        <v/>
      </c>
      <c r="AG2937" s="713"/>
      <c r="AH2937" s="713"/>
      <c r="AI2937" s="112">
        <f>IF(H2937="credit",0,IF(AE2937="free",0,IF(AE2937="me",0,IF(G2937&gt;0,(VLOOKUP(A2937,'Discount Lookup'!J:K,2)*G2937),0))))</f>
        <v>0</v>
      </c>
      <c r="AJ2937" s="107" t="str">
        <f t="shared" ca="1" si="2228"/>
        <v/>
      </c>
      <c r="AK2937" s="714" t="str">
        <f t="shared" si="2229"/>
        <v/>
      </c>
      <c r="AL2937" s="714"/>
      <c r="AM2937" s="114" t="str">
        <f t="shared" si="2230"/>
        <v/>
      </c>
      <c r="AN2937" s="115"/>
      <c r="AO2937" s="116"/>
      <c r="AP2937" s="116"/>
      <c r="AQ2937" s="116"/>
      <c r="AR2937" s="116"/>
      <c r="AS2937" s="116"/>
      <c r="AT2937" s="116"/>
      <c r="AU2937" s="116"/>
      <c r="AV2937" s="78"/>
      <c r="AW2937" s="102"/>
      <c r="AX2937" s="78"/>
      <c r="AY2937" s="78"/>
      <c r="AZ2937" s="78"/>
      <c r="BA2937" s="78"/>
      <c r="BB2937" s="78"/>
      <c r="BC2937" s="78"/>
      <c r="BD2937" s="78"/>
      <c r="BE2937" s="465"/>
      <c r="BF2937" s="165" t="str">
        <f t="shared" si="2231"/>
        <v>https://www.google.com/search?tbm=isch&amp;q=15%20G4</v>
      </c>
      <c r="BG2937" s="165" t="str">
        <f t="shared" si="2232"/>
        <v>M</v>
      </c>
      <c r="BH2937" s="65"/>
      <c r="BI2937" s="65"/>
      <c r="BJ2937" s="65"/>
      <c r="BK2937" s="65"/>
      <c r="BL2937" s="99"/>
      <c r="BM2937" s="99"/>
      <c r="BN2937" s="99"/>
    </row>
    <row r="2938" spans="1:66" s="51" customFormat="1" ht="27" x14ac:dyDescent="0.25">
      <c r="A2938" s="478">
        <v>30</v>
      </c>
      <c r="B2938" s="479" t="s">
        <v>291</v>
      </c>
      <c r="C2938" s="480" t="s">
        <v>3533</v>
      </c>
      <c r="D2938" s="481" t="s">
        <v>311</v>
      </c>
      <c r="E2938" s="482">
        <v>359.95</v>
      </c>
      <c r="F2938" s="483" t="s">
        <v>292</v>
      </c>
      <c r="G2938" s="484">
        <v>0</v>
      </c>
      <c r="H2938" s="688" t="str">
        <f t="shared" si="2245"/>
        <v/>
      </c>
      <c r="I2938" s="485">
        <f t="shared" si="2246"/>
        <v>0</v>
      </c>
      <c r="J2938" s="485">
        <f t="shared" si="2247"/>
        <v>0</v>
      </c>
      <c r="K2938" s="715">
        <f t="shared" ref="K2938" si="2263">I2938+J2938</f>
        <v>0</v>
      </c>
      <c r="L2938" s="715"/>
      <c r="M2938" s="689" t="str">
        <f t="shared" ca="1" si="2249"/>
        <v/>
      </c>
      <c r="N2938" s="690"/>
      <c r="O2938" s="486"/>
      <c r="P2938" s="486"/>
      <c r="Q2938" s="486"/>
      <c r="R2938" s="486"/>
      <c r="S2938" s="486"/>
      <c r="T2938" s="102">
        <f t="shared" si="2220"/>
        <v>0</v>
      </c>
      <c r="U2938" s="78">
        <f>IF(NOT(ISNUMBER(G2938)), "", VLOOKUP(A2938,'Discount Lookup'!D:E,2,FALSE)*G2938)</f>
        <v>0</v>
      </c>
      <c r="V2938" s="78">
        <f>IF(NOT(ISNUMBER(G2938)), "", VLOOKUP(A2938,'Discount Lookup'!G:H,2,FALSE)*G2938)</f>
        <v>0</v>
      </c>
      <c r="W2938" s="102">
        <f t="shared" si="2221"/>
        <v>0</v>
      </c>
      <c r="X2938" s="102">
        <f t="shared" si="2222"/>
        <v>0</v>
      </c>
      <c r="Y2938" s="120" t="b">
        <f t="shared" si="2223"/>
        <v>0</v>
      </c>
      <c r="Z2938" s="117">
        <f t="shared" si="2224"/>
        <v>0</v>
      </c>
      <c r="AA2938" s="118"/>
      <c r="AB2938" s="118" t="str">
        <f t="shared" si="2225"/>
        <v/>
      </c>
      <c r="AC2938" s="712" t="str">
        <f>IF(AE2938="T2G","no charge",IF(AND(OR(PlanterYesMe="No",PlanterYesMe="N",PlanterYesMe="me"),H2938=""),"",IF(H2938="credit","NO install",IF(AND(K2938="",AE2938="me"),"EACH row",IF(AND(K2938="images",AE2938="me"),"EACH row",IF(D2938="","",IF(H2938="credit","",IF(AE2938="free","re-planting",IF(AE2938="me","   not ELP, by",IF(AND(OR(PlanterYesMe="Yes",PlanterYesMe="Y"),G2938&gt;0),(VLOOKUP(A2938,'Discount Lookup'!J:K,2)*G2938*(1-PlanterDiscount)*(1+PlanterDifficultyPercentage)),IF(AE2938="ELP",(VLOOKUP(A2938,'Discount Lookup'!J:K,2)*G2938*(1-PlanterDiscount)*(1+PlanterDifficultyPercentage)),IF(AE2938="free","re-planting",IF(G2938=0,"",IF(PlanterYesMe="",IF(AE2938="me","   not ELP, by",IF(AE2938="",IF(G2938&gt;0,(VLOOKUP(A2938,'Discount Lookup'!J:K,2)*G2938*(1-PlanterDiscount)*(1+PlanterDifficultyPercentage)),""),"")),"   not ELP, by"))))))))))))))</f>
        <v/>
      </c>
      <c r="AD2938" s="712"/>
      <c r="AE2938" s="513" t="str">
        <f t="shared" si="2226"/>
        <v/>
      </c>
      <c r="AF2938" s="713" t="str">
        <f t="shared" si="2227"/>
        <v/>
      </c>
      <c r="AG2938" s="713"/>
      <c r="AH2938" s="713"/>
      <c r="AI2938" s="112">
        <f>IF(H2938="credit",0,IF(AE2938="free",0,IF(AE2938="me",0,IF(G2938&gt;0,(VLOOKUP(A2938,'Discount Lookup'!J:K,2)*G2938),0))))</f>
        <v>0</v>
      </c>
      <c r="AJ2938" s="107" t="str">
        <f t="shared" ca="1" si="2228"/>
        <v/>
      </c>
      <c r="AK2938" s="714" t="str">
        <f t="shared" si="2229"/>
        <v/>
      </c>
      <c r="AL2938" s="714"/>
      <c r="AM2938" s="114" t="str">
        <f t="shared" si="2230"/>
        <v/>
      </c>
      <c r="AN2938" s="115"/>
      <c r="AO2938" s="116"/>
      <c r="AP2938" s="116"/>
      <c r="AQ2938" s="116"/>
      <c r="AR2938" s="116"/>
      <c r="AS2938" s="116"/>
      <c r="AT2938" s="116"/>
      <c r="AU2938" s="116"/>
      <c r="AV2938" s="78"/>
      <c r="AW2938" s="102"/>
      <c r="AX2938" s="78"/>
      <c r="AY2938" s="78"/>
      <c r="AZ2938" s="78"/>
      <c r="BA2938" s="78"/>
      <c r="BB2938" s="78"/>
      <c r="BC2938" s="78"/>
      <c r="BD2938" s="78"/>
      <c r="BE2938" s="465"/>
      <c r="BF2938" s="165" t="str">
        <f t="shared" si="2231"/>
        <v>https://www.google.com/search?tbm=isch&amp;q=30%20G5</v>
      </c>
      <c r="BG2938" s="165" t="str">
        <f t="shared" si="2232"/>
        <v>M</v>
      </c>
      <c r="BH2938" s="65"/>
      <c r="BI2938" s="65"/>
      <c r="BJ2938" s="65"/>
      <c r="BK2938" s="65"/>
      <c r="BL2938" s="99"/>
      <c r="BM2938" s="99"/>
      <c r="BN2938" s="99"/>
    </row>
    <row r="2939" spans="1:66" s="51" customFormat="1" ht="15.75" x14ac:dyDescent="0.25">
      <c r="A2939" s="478">
        <v>25</v>
      </c>
      <c r="B2939" s="479" t="s">
        <v>291</v>
      </c>
      <c r="C2939" s="480" t="s">
        <v>3534</v>
      </c>
      <c r="D2939" s="481" t="s">
        <v>299</v>
      </c>
      <c r="E2939" s="482">
        <v>367.95</v>
      </c>
      <c r="F2939" s="483" t="s">
        <v>292</v>
      </c>
      <c r="G2939" s="484">
        <v>0</v>
      </c>
      <c r="H2939" s="688" t="str">
        <f t="shared" si="2245"/>
        <v/>
      </c>
      <c r="I2939" s="485">
        <f t="shared" si="2246"/>
        <v>0</v>
      </c>
      <c r="J2939" s="485">
        <f t="shared" si="2247"/>
        <v>0</v>
      </c>
      <c r="K2939" s="715">
        <f t="shared" ref="K2939" si="2264">I2939+J2939</f>
        <v>0</v>
      </c>
      <c r="L2939" s="715"/>
      <c r="M2939" s="689" t="str">
        <f t="shared" ca="1" si="2249"/>
        <v/>
      </c>
      <c r="N2939" s="690"/>
      <c r="O2939" s="486"/>
      <c r="P2939" s="486"/>
      <c r="Q2939" s="486"/>
      <c r="R2939" s="486"/>
      <c r="S2939" s="486"/>
      <c r="T2939" s="102">
        <f t="shared" si="2220"/>
        <v>0</v>
      </c>
      <c r="U2939" s="78">
        <f>IF(NOT(ISNUMBER(G2939)), "", VLOOKUP(A2939,'Discount Lookup'!D:E,2,FALSE)*G2939)</f>
        <v>0</v>
      </c>
      <c r="V2939" s="78">
        <f>IF(NOT(ISNUMBER(G2939)), "", VLOOKUP(A2939,'Discount Lookup'!G:H,2,FALSE)*G2939)</f>
        <v>0</v>
      </c>
      <c r="W2939" s="102">
        <f t="shared" si="2221"/>
        <v>0</v>
      </c>
      <c r="X2939" s="102">
        <f t="shared" si="2222"/>
        <v>0</v>
      </c>
      <c r="Y2939" s="120" t="b">
        <f t="shared" si="2223"/>
        <v>0</v>
      </c>
      <c r="Z2939" s="117">
        <f t="shared" si="2224"/>
        <v>0</v>
      </c>
      <c r="AA2939" s="118"/>
      <c r="AB2939" s="118" t="str">
        <f t="shared" si="2225"/>
        <v/>
      </c>
      <c r="AC2939" s="712" t="str">
        <f>IF(AE2939="T2G","no charge",IF(AND(OR(PlanterYesMe="No",PlanterYesMe="N",PlanterYesMe="me"),H2939=""),"",IF(H2939="credit","NO install",IF(AND(K2939="",AE2939="me"),"EACH row",IF(AND(K2939="images",AE2939="me"),"EACH row",IF(D2939="","",IF(H2939="credit","",IF(AE2939="free","re-planting",IF(AE2939="me","   not ELP, by",IF(AND(OR(PlanterYesMe="Yes",PlanterYesMe="Y"),G2939&gt;0),(VLOOKUP(A2939,'Discount Lookup'!J:K,2)*G2939*(1-PlanterDiscount)*(1+PlanterDifficultyPercentage)),IF(AE2939="ELP",(VLOOKUP(A2939,'Discount Lookup'!J:K,2)*G2939*(1-PlanterDiscount)*(1+PlanterDifficultyPercentage)),IF(AE2939="free","re-planting",IF(G2939=0,"",IF(PlanterYesMe="",IF(AE2939="me","   not ELP, by",IF(AE2939="",IF(G2939&gt;0,(VLOOKUP(A2939,'Discount Lookup'!J:K,2)*G2939*(1-PlanterDiscount)*(1+PlanterDifficultyPercentage)),""),"")),"   not ELP, by"))))))))))))))</f>
        <v/>
      </c>
      <c r="AD2939" s="712"/>
      <c r="AE2939" s="513" t="str">
        <f t="shared" si="2226"/>
        <v/>
      </c>
      <c r="AF2939" s="713" t="str">
        <f t="shared" si="2227"/>
        <v/>
      </c>
      <c r="AG2939" s="713"/>
      <c r="AH2939" s="713"/>
      <c r="AI2939" s="112">
        <f>IF(H2939="credit",0,IF(AE2939="free",0,IF(AE2939="me",0,IF(G2939&gt;0,(VLOOKUP(A2939,'Discount Lookup'!J:K,2)*G2939),0))))</f>
        <v>0</v>
      </c>
      <c r="AJ2939" s="107" t="str">
        <f t="shared" ca="1" si="2228"/>
        <v/>
      </c>
      <c r="AK2939" s="714" t="str">
        <f t="shared" si="2229"/>
        <v/>
      </c>
      <c r="AL2939" s="714"/>
      <c r="AM2939" s="114" t="str">
        <f t="shared" si="2230"/>
        <v/>
      </c>
      <c r="AN2939" s="115"/>
      <c r="AO2939" s="116"/>
      <c r="AP2939" s="116"/>
      <c r="AQ2939" s="116"/>
      <c r="AR2939" s="116"/>
      <c r="AS2939" s="116"/>
      <c r="AT2939" s="116"/>
      <c r="AU2939" s="116"/>
      <c r="AV2939" s="78"/>
      <c r="AW2939" s="102"/>
      <c r="AX2939" s="78"/>
      <c r="AY2939" s="78"/>
      <c r="AZ2939" s="78"/>
      <c r="BA2939" s="78"/>
      <c r="BB2939" s="78"/>
      <c r="BC2939" s="78"/>
      <c r="BD2939" s="78"/>
      <c r="BE2939" s="465"/>
      <c r="BF2939" s="165" t="str">
        <f t="shared" si="2231"/>
        <v>https://www.google.com/search?tbm=isch&amp;q=25%20G4</v>
      </c>
      <c r="BG2939" s="165" t="str">
        <f t="shared" si="2232"/>
        <v>M</v>
      </c>
      <c r="BH2939" s="65"/>
      <c r="BI2939" s="65"/>
      <c r="BJ2939" s="65"/>
      <c r="BK2939" s="65"/>
      <c r="BL2939" s="99"/>
      <c r="BM2939" s="99"/>
      <c r="BN2939" s="99"/>
    </row>
    <row r="2940" spans="1:66" s="51" customFormat="1" ht="17.25" thickBot="1" x14ac:dyDescent="0.3">
      <c r="A2940" s="508" t="s">
        <v>3535</v>
      </c>
      <c r="B2940" s="487"/>
      <c r="C2940" s="707"/>
      <c r="D2940" s="487"/>
      <c r="E2940" s="487"/>
      <c r="F2940" s="488"/>
      <c r="G2940" s="489"/>
      <c r="H2940" s="487"/>
      <c r="I2940" s="490"/>
      <c r="J2940" s="490"/>
      <c r="K2940" s="491"/>
      <c r="L2940" s="547"/>
      <c r="M2940" s="528"/>
      <c r="N2940" s="492"/>
      <c r="O2940" s="493"/>
      <c r="P2940" s="494"/>
      <c r="Q2940" s="492"/>
      <c r="R2940" s="492"/>
      <c r="S2940" s="699" t="s">
        <v>5275</v>
      </c>
      <c r="T2940" s="102">
        <f t="shared" si="2220"/>
        <v>0</v>
      </c>
      <c r="U2940" s="78" t="str">
        <f>IF(NOT(ISNUMBER(G2940)), "", VLOOKUP(A2940,'Discount Lookup'!D:E,2,FALSE)*G2940)</f>
        <v/>
      </c>
      <c r="V2940" s="78" t="str">
        <f>IF(NOT(ISNUMBER(G2940)), "", VLOOKUP(A2940,'Discount Lookup'!G:H,2,FALSE)*G2940)</f>
        <v/>
      </c>
      <c r="W2940" s="102">
        <f t="shared" si="2221"/>
        <v>0</v>
      </c>
      <c r="X2940" s="102">
        <f t="shared" si="2222"/>
        <v>0</v>
      </c>
      <c r="Y2940" s="120" t="b">
        <f t="shared" si="2223"/>
        <v>0</v>
      </c>
      <c r="Z2940" s="117">
        <f t="shared" si="2224"/>
        <v>0</v>
      </c>
      <c r="AA2940" s="118"/>
      <c r="AB2940" s="118" t="str">
        <f t="shared" si="2225"/>
        <v/>
      </c>
      <c r="AC2940" s="712" t="str">
        <f>IF(AE2940="T2G","no charge",IF(AND(OR(PlanterYesMe="No",PlanterYesMe="N",PlanterYesMe="me"),H2940=""),"",IF(H2940="credit","NO install",IF(AND(K2940="",AE2940="me"),"EACH row",IF(AND(K2940="images",AE2940="me"),"EACH row",IF(D2940="","",IF(H2940="credit","",IF(AE2940="free","re-planting",IF(AE2940="me","   not ELP, by",IF(AND(OR(PlanterYesMe="Yes",PlanterYesMe="Y"),G2940&gt;0),(VLOOKUP(A2940,'Discount Lookup'!J:K,2)*G2940*(1-PlanterDiscount)*(1+PlanterDifficultyPercentage)),IF(AE2940="ELP",(VLOOKUP(A2940,'Discount Lookup'!J:K,2)*G2940*(1-PlanterDiscount)*(1+PlanterDifficultyPercentage)),IF(AE2940="free","re-planting",IF(G2940=0,"",IF(PlanterYesMe="",IF(AE2940="me","   not ELP, by",IF(AE2940="",IF(G2940&gt;0,(VLOOKUP(A2940,'Discount Lookup'!J:K,2)*G2940*(1-PlanterDiscount)*(1+PlanterDifficultyPercentage)),""),"")),"   not ELP, by"))))))))))))))</f>
        <v/>
      </c>
      <c r="AD2940" s="712"/>
      <c r="AE2940" s="513" t="str">
        <f t="shared" si="2226"/>
        <v/>
      </c>
      <c r="AF2940" s="713" t="str">
        <f t="shared" si="2227"/>
        <v/>
      </c>
      <c r="AG2940" s="713"/>
      <c r="AH2940" s="713"/>
      <c r="AI2940" s="112">
        <f>IF(H2940="credit",0,IF(AE2940="free",0,IF(AE2940="me",0,IF(G2940&gt;0,(VLOOKUP(A2940,'Discount Lookup'!J:K,2)*G2940),0))))</f>
        <v>0</v>
      </c>
      <c r="AJ2940" s="107" t="str">
        <f t="shared" ca="1" si="2228"/>
        <v/>
      </c>
      <c r="AK2940" s="714" t="str">
        <f t="shared" si="2229"/>
        <v/>
      </c>
      <c r="AL2940" s="714"/>
      <c r="AM2940" s="114" t="str">
        <f t="shared" si="2230"/>
        <v/>
      </c>
      <c r="AN2940" s="115"/>
      <c r="AO2940" s="116"/>
      <c r="AP2940" s="116"/>
      <c r="AQ2940" s="116"/>
      <c r="AR2940" s="116"/>
      <c r="AS2940" s="116"/>
      <c r="AT2940" s="116"/>
      <c r="AU2940" s="116"/>
      <c r="AV2940" s="78"/>
      <c r="AW2940" s="102"/>
      <c r="AX2940" s="78"/>
      <c r="AY2940" s="78"/>
      <c r="AZ2940" s="78"/>
      <c r="BA2940" s="78"/>
      <c r="BB2940" s="78"/>
      <c r="BC2940" s="78"/>
      <c r="BD2940" s="78"/>
      <c r="BE2940" s="465"/>
      <c r="BF2940" s="165" t="str">
        <f t="shared" si="2231"/>
        <v>https://www.google.com/search?tbm=isch&amp;q=Serendipity%20%26%20Stellar%20Ruby%20formerly%20known%20as%20banana%20shrubs.%20Blooms%20smell%20like%20bananas%2C%20late%20spring%20to%20summer%20</v>
      </c>
      <c r="BG2940" s="165" t="str">
        <f t="shared" si="2232"/>
        <v>S</v>
      </c>
      <c r="BH2940" s="65"/>
      <c r="BI2940" s="65"/>
      <c r="BJ2940" s="65"/>
      <c r="BK2940" s="65"/>
      <c r="BL2940" s="99"/>
      <c r="BM2940" s="99"/>
      <c r="BN2940" s="99"/>
    </row>
    <row r="2941" spans="1:66" s="51" customFormat="1" ht="18" x14ac:dyDescent="0.25">
      <c r="A2941" s="507" t="s">
        <v>3536</v>
      </c>
      <c r="B2941" s="470"/>
      <c r="C2941" s="706"/>
      <c r="D2941" s="471" t="s">
        <v>3537</v>
      </c>
      <c r="E2941" s="472"/>
      <c r="F2941" s="472"/>
      <c r="G2941" s="472"/>
      <c r="H2941" s="622" t="s">
        <v>347</v>
      </c>
      <c r="I2941" s="473" t="s">
        <v>3538</v>
      </c>
      <c r="J2941" s="472"/>
      <c r="K2941" s="472"/>
      <c r="L2941" s="561"/>
      <c r="M2941" s="698" t="s">
        <v>5243</v>
      </c>
      <c r="N2941" s="692" t="str">
        <f>IF(AND(ISTEXT($A2941), ISERROR($A2941+0)), HYPERLINK($BF2941, "Images"), "")</f>
        <v>Images</v>
      </c>
      <c r="O2941" s="694" t="s">
        <v>5247</v>
      </c>
      <c r="P2941" s="475"/>
      <c r="Q2941" s="476"/>
      <c r="R2941" s="476"/>
      <c r="S2941" s="477"/>
      <c r="T2941" s="102">
        <f t="shared" si="2220"/>
        <v>0</v>
      </c>
      <c r="U2941" s="78" t="str">
        <f>IF(NOT(ISNUMBER(G2941)), "", VLOOKUP(A2941,'Discount Lookup'!D:E,2,FALSE)*G2941)</f>
        <v/>
      </c>
      <c r="V2941" s="78" t="str">
        <f>IF(NOT(ISNUMBER(G2941)), "", VLOOKUP(A2941,'Discount Lookup'!G:H,2,FALSE)*G2941)</f>
        <v/>
      </c>
      <c r="W2941" s="102">
        <f t="shared" si="2221"/>
        <v>0</v>
      </c>
      <c r="X2941" s="102" t="str">
        <f t="shared" si="2222"/>
        <v>Ruby bloom</v>
      </c>
      <c r="Y2941" s="120" t="b">
        <f t="shared" si="2223"/>
        <v>0</v>
      </c>
      <c r="Z2941" s="117">
        <f t="shared" si="2224"/>
        <v>0</v>
      </c>
      <c r="AA2941" s="118"/>
      <c r="AB2941" s="118" t="str">
        <f t="shared" si="2225"/>
        <v/>
      </c>
      <c r="AC2941" s="712" t="str">
        <f>IF(AE2941="T2G","no charge",IF(AND(OR(PlanterYesMe="No",PlanterYesMe="N",PlanterYesMe="me"),H2941=""),"",IF(H2941="credit","NO install",IF(AND(K2941="",AE2941="me"),"EACH row",IF(AND(K2941="images",AE2941="me"),"EACH row",IF(D2941="","",IF(H2941="credit","",IF(AE2941="free","re-planting",IF(AE2941="me","   not ELP, by",IF(AND(OR(PlanterYesMe="Yes",PlanterYesMe="Y"),G2941&gt;0),(VLOOKUP(A2941,'Discount Lookup'!J:K,2)*G2941*(1-PlanterDiscount)*(1+PlanterDifficultyPercentage)),IF(AE2941="ELP",(VLOOKUP(A2941,'Discount Lookup'!J:K,2)*G2941*(1-PlanterDiscount)*(1+PlanterDifficultyPercentage)),IF(AE2941="free","re-planting",IF(G2941=0,"",IF(PlanterYesMe="",IF(AE2941="me","   not ELP, by",IF(AE2941="",IF(G2941&gt;0,(VLOOKUP(A2941,'Discount Lookup'!J:K,2)*G2941*(1-PlanterDiscount)*(1+PlanterDifficultyPercentage)),""),"")),"   not ELP, by"))))))))))))))</f>
        <v/>
      </c>
      <c r="AD2941" s="712"/>
      <c r="AE2941" s="513" t="str">
        <f t="shared" si="2226"/>
        <v/>
      </c>
      <c r="AF2941" s="713" t="str">
        <f t="shared" si="2227"/>
        <v/>
      </c>
      <c r="AG2941" s="713"/>
      <c r="AH2941" s="713"/>
      <c r="AI2941" s="112">
        <f>IF(H2941="credit",0,IF(AE2941="free",0,IF(AE2941="me",0,IF(G2941&gt;0,(VLOOKUP(A2941,'Discount Lookup'!J:K,2)*G2941),0))))</f>
        <v>0</v>
      </c>
      <c r="AJ2941" s="107" t="str">
        <f t="shared" ca="1" si="2228"/>
        <v/>
      </c>
      <c r="AK2941" s="714" t="str">
        <f t="shared" si="2229"/>
        <v/>
      </c>
      <c r="AL2941" s="714"/>
      <c r="AM2941" s="114" t="str">
        <f t="shared" si="2230"/>
        <v/>
      </c>
      <c r="AN2941" s="115"/>
      <c r="AO2941" s="116"/>
      <c r="AP2941" s="116"/>
      <c r="AQ2941" s="116"/>
      <c r="AR2941" s="116"/>
      <c r="AS2941" s="116"/>
      <c r="AT2941" s="116"/>
      <c r="AU2941" s="116"/>
      <c r="AV2941" s="78"/>
      <c r="AW2941" s="102"/>
      <c r="AX2941" s="78"/>
      <c r="AY2941" s="78"/>
      <c r="AZ2941" s="78"/>
      <c r="BA2941" s="78"/>
      <c r="BB2941" s="78"/>
      <c r="BC2941" s="78"/>
      <c r="BD2941" s="78"/>
      <c r="BE2941" s="465"/>
      <c r="BF2941" s="165" t="str">
        <f t="shared" si="2231"/>
        <v>https://www.google.com/search?tbm=isch&amp;q=Magnolia%20x%20figo%20%27Stellar%20Ruby%27%20PP%2329778%20Stellar%20Ruby%20Magnolia</v>
      </c>
      <c r="BG2941" s="165" t="str">
        <f t="shared" si="2232"/>
        <v>M</v>
      </c>
      <c r="BH2941" s="65"/>
      <c r="BI2941" s="65"/>
      <c r="BJ2941" s="65"/>
      <c r="BK2941" s="65"/>
      <c r="BL2941" s="99"/>
      <c r="BM2941" s="99"/>
      <c r="BN2941" s="99"/>
    </row>
    <row r="2942" spans="1:66" s="51" customFormat="1" ht="15.75" x14ac:dyDescent="0.25">
      <c r="A2942" s="478">
        <v>3</v>
      </c>
      <c r="B2942" s="479" t="s">
        <v>291</v>
      </c>
      <c r="C2942" s="480" t="s">
        <v>700</v>
      </c>
      <c r="D2942" s="481" t="s">
        <v>329</v>
      </c>
      <c r="E2942" s="482">
        <v>34.950000000000003</v>
      </c>
      <c r="F2942" s="483" t="s">
        <v>292</v>
      </c>
      <c r="G2942" s="484">
        <v>0</v>
      </c>
      <c r="H2942" s="688" t="str">
        <f t="shared" ref="H2942:H2947" si="2265">IF(G2942=0,"",IF(F2942="Buy",IF(G2942=1,"plant","plants"),IF(F2942&gt;0.01,"warranty","Error")))</f>
        <v/>
      </c>
      <c r="I2942" s="485">
        <f t="shared" ref="I2942:I2947" si="2266">IF(H2942="free",0,IF(H2942="credit",((E2942*(F2942))*G2942*-1),IF(F2942="Buy",(E2942*G2942),((E2942*(1-F2942))*G2942))))</f>
        <v>0</v>
      </c>
      <c r="J2942" s="485">
        <f t="shared" ref="J2942:J2947" si="2267">IF(H2942="warranty",0,(I2942*(_xlfn.SINGLE(SalesTaxPercentage))))</f>
        <v>0</v>
      </c>
      <c r="K2942" s="715">
        <f t="shared" ref="K2942" si="2268">I2942+J2942</f>
        <v>0</v>
      </c>
      <c r="L2942" s="715"/>
      <c r="M2942" s="689" t="str">
        <f t="shared" ref="M2942:M2947" ca="1" si="2269">IF(AND(G2942&gt;0,E2942=0),"WARNING - no PRICE inserted",IF(H2942="free","FREE ~ no charge this plant",IF(H2942="credit",CONCATENATE("-$",ROUND(K2942*(1-_xlfn.SINGLE(T2GDiscount))*-1,2)," CREDIT after discount"),IF(_xlfn.SINGLE(T2GDiscount)=0,"",IF(G2942=0,"",IF(F2942="Buy",CONCATENATE("$",ROUND(K2942*(1-_xlfn.SINGLE(T2GDiscount)),2)," with ",(_xlfn.SINGLE(T2GDiscount)*100),"% discount"),CONCATENATE("$",ROUND(K2942*(1-_xlfn.SINGLE(T2GDiscount)),2)," with ",((_xlfn.SINGLE(T2GDiscount)*100+F2942*100)-(_xlfn.SINGLE(T2GDiscount)*100*F2942)),IF(F2942&gt;0,"% discounts",IF(_xlfn.SINGLE(NoWarrantyDiscount)&gt;0,"% discounts","% discount")))))))))</f>
        <v/>
      </c>
      <c r="N2942" s="690"/>
      <c r="O2942" s="486"/>
      <c r="P2942" s="486"/>
      <c r="Q2942" s="486"/>
      <c r="R2942" s="486"/>
      <c r="S2942" s="486"/>
      <c r="T2942" s="102">
        <f t="shared" si="2220"/>
        <v>0</v>
      </c>
      <c r="U2942" s="78">
        <f>IF(NOT(ISNUMBER(G2942)), "", VLOOKUP(A2942,'Discount Lookup'!D:E,2,FALSE)*G2942)</f>
        <v>0</v>
      </c>
      <c r="V2942" s="78">
        <f>IF(NOT(ISNUMBER(G2942)), "", VLOOKUP(A2942,'Discount Lookup'!G:H,2,FALSE)*G2942)</f>
        <v>0</v>
      </c>
      <c r="W2942" s="102">
        <f t="shared" si="2221"/>
        <v>0</v>
      </c>
      <c r="X2942" s="102">
        <f t="shared" si="2222"/>
        <v>0</v>
      </c>
      <c r="Y2942" s="120" t="b">
        <f t="shared" si="2223"/>
        <v>0</v>
      </c>
      <c r="Z2942" s="117">
        <f t="shared" si="2224"/>
        <v>0</v>
      </c>
      <c r="AA2942" s="118"/>
      <c r="AB2942" s="118" t="str">
        <f t="shared" si="2225"/>
        <v/>
      </c>
      <c r="AC2942" s="712" t="str">
        <f>IF(AE2942="T2G","no charge",IF(AND(OR(PlanterYesMe="No",PlanterYesMe="N",PlanterYesMe="me"),H2942=""),"",IF(H2942="credit","NO install",IF(AND(K2942="",AE2942="me"),"EACH row",IF(AND(K2942="images",AE2942="me"),"EACH row",IF(D2942="","",IF(H2942="credit","",IF(AE2942="free","re-planting",IF(AE2942="me","   not ELP, by",IF(AND(OR(PlanterYesMe="Yes",PlanterYesMe="Y"),G2942&gt;0),(VLOOKUP(A2942,'Discount Lookup'!J:K,2)*G2942*(1-PlanterDiscount)*(1+PlanterDifficultyPercentage)),IF(AE2942="ELP",(VLOOKUP(A2942,'Discount Lookup'!J:K,2)*G2942*(1-PlanterDiscount)*(1+PlanterDifficultyPercentage)),IF(AE2942="free","re-planting",IF(G2942=0,"",IF(PlanterYesMe="",IF(AE2942="me","   not ELP, by",IF(AE2942="",IF(G2942&gt;0,(VLOOKUP(A2942,'Discount Lookup'!J:K,2)*G2942*(1-PlanterDiscount)*(1+PlanterDifficultyPercentage)),""),"")),"   not ELP, by"))))))))))))))</f>
        <v/>
      </c>
      <c r="AD2942" s="712"/>
      <c r="AE2942" s="513" t="str">
        <f t="shared" si="2226"/>
        <v/>
      </c>
      <c r="AF2942" s="713" t="str">
        <f t="shared" si="2227"/>
        <v/>
      </c>
      <c r="AG2942" s="713"/>
      <c r="AH2942" s="713"/>
      <c r="AI2942" s="112">
        <f>IF(H2942="credit",0,IF(AE2942="free",0,IF(AE2942="me",0,IF(G2942&gt;0,(VLOOKUP(A2942,'Discount Lookup'!J:K,2)*G2942),0))))</f>
        <v>0</v>
      </c>
      <c r="AJ2942" s="107" t="str">
        <f t="shared" ca="1" si="2228"/>
        <v/>
      </c>
      <c r="AK2942" s="714" t="str">
        <f t="shared" si="2229"/>
        <v/>
      </c>
      <c r="AL2942" s="714"/>
      <c r="AM2942" s="114" t="str">
        <f t="shared" si="2230"/>
        <v/>
      </c>
      <c r="AN2942" s="115"/>
      <c r="AO2942" s="116"/>
      <c r="AP2942" s="116"/>
      <c r="AQ2942" s="116"/>
      <c r="AR2942" s="116"/>
      <c r="AS2942" s="116"/>
      <c r="AT2942" s="116"/>
      <c r="AU2942" s="116"/>
      <c r="AV2942" s="78"/>
      <c r="AW2942" s="102"/>
      <c r="AX2942" s="78"/>
      <c r="AY2942" s="78"/>
      <c r="AZ2942" s="78"/>
      <c r="BA2942" s="78"/>
      <c r="BB2942" s="78"/>
      <c r="BC2942" s="78"/>
      <c r="BD2942" s="78"/>
      <c r="BE2942" s="465"/>
      <c r="BF2942" s="165" t="str">
        <f t="shared" si="2231"/>
        <v>https://www.google.com/search?tbm=isch&amp;q=3%20G2</v>
      </c>
      <c r="BG2942" s="165" t="str">
        <f t="shared" si="2232"/>
        <v>M</v>
      </c>
      <c r="BH2942" s="65"/>
      <c r="BI2942" s="65"/>
      <c r="BJ2942" s="65"/>
      <c r="BK2942" s="65"/>
      <c r="BL2942" s="99"/>
      <c r="BM2942" s="99"/>
      <c r="BN2942" s="99"/>
    </row>
    <row r="2943" spans="1:66" s="51" customFormat="1" ht="15.75" x14ac:dyDescent="0.25">
      <c r="A2943" s="478">
        <v>3</v>
      </c>
      <c r="B2943" s="479" t="s">
        <v>291</v>
      </c>
      <c r="C2943" s="480" t="s">
        <v>3539</v>
      </c>
      <c r="D2943" s="481" t="s">
        <v>311</v>
      </c>
      <c r="E2943" s="482">
        <v>40.950000000000003</v>
      </c>
      <c r="F2943" s="483" t="s">
        <v>292</v>
      </c>
      <c r="G2943" s="484">
        <v>0</v>
      </c>
      <c r="H2943" s="688" t="str">
        <f t="shared" si="2265"/>
        <v/>
      </c>
      <c r="I2943" s="485">
        <f t="shared" si="2266"/>
        <v>0</v>
      </c>
      <c r="J2943" s="485">
        <f t="shared" si="2267"/>
        <v>0</v>
      </c>
      <c r="K2943" s="715">
        <f t="shared" ref="K2943" si="2270">I2943+J2943</f>
        <v>0</v>
      </c>
      <c r="L2943" s="715"/>
      <c r="M2943" s="689" t="str">
        <f t="shared" ca="1" si="2269"/>
        <v/>
      </c>
      <c r="N2943" s="690"/>
      <c r="O2943" s="486"/>
      <c r="P2943" s="486"/>
      <c r="Q2943" s="486"/>
      <c r="R2943" s="486"/>
      <c r="S2943" s="486"/>
      <c r="T2943" s="102">
        <f t="shared" si="2220"/>
        <v>0</v>
      </c>
      <c r="U2943" s="78">
        <f>IF(NOT(ISNUMBER(G2943)), "", VLOOKUP(A2943,'Discount Lookup'!D:E,2,FALSE)*G2943)</f>
        <v>0</v>
      </c>
      <c r="V2943" s="78">
        <f>IF(NOT(ISNUMBER(G2943)), "", VLOOKUP(A2943,'Discount Lookup'!G:H,2,FALSE)*G2943)</f>
        <v>0</v>
      </c>
      <c r="W2943" s="102">
        <f t="shared" si="2221"/>
        <v>0</v>
      </c>
      <c r="X2943" s="102">
        <f t="shared" si="2222"/>
        <v>0</v>
      </c>
      <c r="Y2943" s="120" t="b">
        <f t="shared" si="2223"/>
        <v>0</v>
      </c>
      <c r="Z2943" s="117">
        <f t="shared" si="2224"/>
        <v>0</v>
      </c>
      <c r="AA2943" s="118"/>
      <c r="AB2943" s="118" t="str">
        <f t="shared" si="2225"/>
        <v/>
      </c>
      <c r="AC2943" s="712" t="str">
        <f>IF(AE2943="T2G","no charge",IF(AND(OR(PlanterYesMe="No",PlanterYesMe="N",PlanterYesMe="me"),H2943=""),"",IF(H2943="credit","NO install",IF(AND(K2943="",AE2943="me"),"EACH row",IF(AND(K2943="images",AE2943="me"),"EACH row",IF(D2943="","",IF(H2943="credit","",IF(AE2943="free","re-planting",IF(AE2943="me","   not ELP, by",IF(AND(OR(PlanterYesMe="Yes",PlanterYesMe="Y"),G2943&gt;0),(VLOOKUP(A2943,'Discount Lookup'!J:K,2)*G2943*(1-PlanterDiscount)*(1+PlanterDifficultyPercentage)),IF(AE2943="ELP",(VLOOKUP(A2943,'Discount Lookup'!J:K,2)*G2943*(1-PlanterDiscount)*(1+PlanterDifficultyPercentage)),IF(AE2943="free","re-planting",IF(G2943=0,"",IF(PlanterYesMe="",IF(AE2943="me","   not ELP, by",IF(AE2943="",IF(G2943&gt;0,(VLOOKUP(A2943,'Discount Lookup'!J:K,2)*G2943*(1-PlanterDiscount)*(1+PlanterDifficultyPercentage)),""),"")),"   not ELP, by"))))))))))))))</f>
        <v/>
      </c>
      <c r="AD2943" s="712"/>
      <c r="AE2943" s="513" t="str">
        <f t="shared" si="2226"/>
        <v/>
      </c>
      <c r="AF2943" s="713" t="str">
        <f t="shared" si="2227"/>
        <v/>
      </c>
      <c r="AG2943" s="713"/>
      <c r="AH2943" s="713"/>
      <c r="AI2943" s="112">
        <f>IF(H2943="credit",0,IF(AE2943="free",0,IF(AE2943="me",0,IF(G2943&gt;0,(VLOOKUP(A2943,'Discount Lookup'!J:K,2)*G2943),0))))</f>
        <v>0</v>
      </c>
      <c r="AJ2943" s="107" t="str">
        <f t="shared" ca="1" si="2228"/>
        <v/>
      </c>
      <c r="AK2943" s="714" t="str">
        <f t="shared" si="2229"/>
        <v/>
      </c>
      <c r="AL2943" s="714"/>
      <c r="AM2943" s="114" t="str">
        <f t="shared" si="2230"/>
        <v/>
      </c>
      <c r="AN2943" s="115"/>
      <c r="AO2943" s="116"/>
      <c r="AP2943" s="116"/>
      <c r="AQ2943" s="116"/>
      <c r="AR2943" s="116"/>
      <c r="AS2943" s="116"/>
      <c r="AT2943" s="116"/>
      <c r="AU2943" s="116"/>
      <c r="AV2943" s="78"/>
      <c r="AW2943" s="102"/>
      <c r="AX2943" s="78"/>
      <c r="AY2943" s="78"/>
      <c r="AZ2943" s="78"/>
      <c r="BA2943" s="78"/>
      <c r="BB2943" s="78"/>
      <c r="BC2943" s="78"/>
      <c r="BD2943" s="78"/>
      <c r="BE2943" s="465"/>
      <c r="BF2943" s="165" t="str">
        <f t="shared" si="2231"/>
        <v>https://www.google.com/search?tbm=isch&amp;q=3%20G5</v>
      </c>
      <c r="BG2943" s="165" t="str">
        <f t="shared" si="2232"/>
        <v>M</v>
      </c>
      <c r="BH2943" s="65"/>
      <c r="BI2943" s="65"/>
      <c r="BJ2943" s="65"/>
      <c r="BK2943" s="65"/>
      <c r="BL2943" s="99"/>
      <c r="BM2943" s="99"/>
      <c r="BN2943" s="99"/>
    </row>
    <row r="2944" spans="1:66" s="51" customFormat="1" ht="15.75" x14ac:dyDescent="0.25">
      <c r="A2944" s="478">
        <v>7</v>
      </c>
      <c r="B2944" s="479" t="s">
        <v>291</v>
      </c>
      <c r="C2944" s="480" t="s">
        <v>5196</v>
      </c>
      <c r="D2944" s="481" t="s">
        <v>299</v>
      </c>
      <c r="E2944" s="482">
        <v>104.95</v>
      </c>
      <c r="F2944" s="483" t="s">
        <v>292</v>
      </c>
      <c r="G2944" s="484">
        <v>0</v>
      </c>
      <c r="H2944" s="688" t="str">
        <f t="shared" si="2265"/>
        <v/>
      </c>
      <c r="I2944" s="485">
        <f t="shared" si="2266"/>
        <v>0</v>
      </c>
      <c r="J2944" s="485">
        <f t="shared" si="2267"/>
        <v>0</v>
      </c>
      <c r="K2944" s="715">
        <f t="shared" ref="K2944" si="2271">I2944+J2944</f>
        <v>0</v>
      </c>
      <c r="L2944" s="715"/>
      <c r="M2944" s="689" t="str">
        <f t="shared" ca="1" si="2269"/>
        <v/>
      </c>
      <c r="N2944" s="690"/>
      <c r="O2944" s="486"/>
      <c r="P2944" s="486"/>
      <c r="Q2944" s="486"/>
      <c r="R2944" s="486"/>
      <c r="S2944" s="486"/>
      <c r="T2944" s="102">
        <f t="shared" si="2220"/>
        <v>0</v>
      </c>
      <c r="U2944" s="78">
        <f>IF(NOT(ISNUMBER(G2944)), "", VLOOKUP(A2944,'Discount Lookup'!D:E,2,FALSE)*G2944)</f>
        <v>0</v>
      </c>
      <c r="V2944" s="78">
        <f>IF(NOT(ISNUMBER(G2944)), "", VLOOKUP(A2944,'Discount Lookup'!G:H,2,FALSE)*G2944)</f>
        <v>0</v>
      </c>
      <c r="W2944" s="102">
        <f t="shared" si="2221"/>
        <v>0</v>
      </c>
      <c r="X2944" s="102">
        <f t="shared" si="2222"/>
        <v>0</v>
      </c>
      <c r="Y2944" s="120" t="b">
        <f t="shared" si="2223"/>
        <v>0</v>
      </c>
      <c r="Z2944" s="117">
        <f t="shared" si="2224"/>
        <v>0</v>
      </c>
      <c r="AA2944" s="118"/>
      <c r="AB2944" s="118" t="str">
        <f t="shared" si="2225"/>
        <v/>
      </c>
      <c r="AC2944" s="712" t="str">
        <f>IF(AE2944="T2G","no charge",IF(AND(OR(PlanterYesMe="No",PlanterYesMe="N",PlanterYesMe="me"),H2944=""),"",IF(H2944="credit","NO install",IF(AND(K2944="",AE2944="me"),"EACH row",IF(AND(K2944="images",AE2944="me"),"EACH row",IF(D2944="","",IF(H2944="credit","",IF(AE2944="free","re-planting",IF(AE2944="me","   not ELP, by",IF(AND(OR(PlanterYesMe="Yes",PlanterYesMe="Y"),G2944&gt;0),(VLOOKUP(A2944,'Discount Lookup'!J:K,2)*G2944*(1-PlanterDiscount)*(1+PlanterDifficultyPercentage)),IF(AE2944="ELP",(VLOOKUP(A2944,'Discount Lookup'!J:K,2)*G2944*(1-PlanterDiscount)*(1+PlanterDifficultyPercentage)),IF(AE2944="free","re-planting",IF(G2944=0,"",IF(PlanterYesMe="",IF(AE2944="me","   not ELP, by",IF(AE2944="",IF(G2944&gt;0,(VLOOKUP(A2944,'Discount Lookup'!J:K,2)*G2944*(1-PlanterDiscount)*(1+PlanterDifficultyPercentage)),""),"")),"   not ELP, by"))))))))))))))</f>
        <v/>
      </c>
      <c r="AD2944" s="712"/>
      <c r="AE2944" s="513" t="str">
        <f t="shared" si="2226"/>
        <v/>
      </c>
      <c r="AF2944" s="713" t="str">
        <f t="shared" si="2227"/>
        <v/>
      </c>
      <c r="AG2944" s="713"/>
      <c r="AH2944" s="713"/>
      <c r="AI2944" s="112">
        <f>IF(H2944="credit",0,IF(AE2944="free",0,IF(AE2944="me",0,IF(G2944&gt;0,(VLOOKUP(A2944,'Discount Lookup'!J:K,2)*G2944),0))))</f>
        <v>0</v>
      </c>
      <c r="AJ2944" s="107" t="str">
        <f t="shared" ca="1" si="2228"/>
        <v/>
      </c>
      <c r="AK2944" s="714" t="str">
        <f t="shared" si="2229"/>
        <v/>
      </c>
      <c r="AL2944" s="714"/>
      <c r="AM2944" s="114" t="str">
        <f t="shared" si="2230"/>
        <v/>
      </c>
      <c r="AN2944" s="115"/>
      <c r="AO2944" s="116"/>
      <c r="AP2944" s="116"/>
      <c r="AQ2944" s="116"/>
      <c r="AR2944" s="116"/>
      <c r="AS2944" s="116"/>
      <c r="AT2944" s="116"/>
      <c r="AU2944" s="116"/>
      <c r="AV2944" s="78"/>
      <c r="AW2944" s="102"/>
      <c r="AX2944" s="78"/>
      <c r="AY2944" s="78"/>
      <c r="AZ2944" s="78"/>
      <c r="BA2944" s="78"/>
      <c r="BB2944" s="78"/>
      <c r="BC2944" s="78"/>
      <c r="BD2944" s="78"/>
      <c r="BE2944" s="465"/>
      <c r="BF2944" s="165" t="str">
        <f t="shared" si="2231"/>
        <v>https://www.google.com/search?tbm=isch&amp;q=7%20G4</v>
      </c>
      <c r="BG2944" s="165" t="str">
        <f t="shared" si="2232"/>
        <v>M</v>
      </c>
      <c r="BH2944" s="65"/>
      <c r="BI2944" s="65"/>
      <c r="BJ2944" s="65"/>
      <c r="BK2944" s="65"/>
      <c r="BL2944" s="99"/>
      <c r="BM2944" s="99"/>
      <c r="BN2944" s="99"/>
    </row>
    <row r="2945" spans="1:66" s="51" customFormat="1" ht="15.75" x14ac:dyDescent="0.25">
      <c r="A2945" s="478">
        <v>7</v>
      </c>
      <c r="B2945" s="479" t="s">
        <v>291</v>
      </c>
      <c r="C2945" s="480" t="s">
        <v>4577</v>
      </c>
      <c r="D2945" s="481" t="s">
        <v>293</v>
      </c>
      <c r="E2945" s="482">
        <v>111.95</v>
      </c>
      <c r="F2945" s="483" t="s">
        <v>292</v>
      </c>
      <c r="G2945" s="484">
        <v>0</v>
      </c>
      <c r="H2945" s="688" t="str">
        <f t="shared" si="2265"/>
        <v/>
      </c>
      <c r="I2945" s="485">
        <f t="shared" si="2266"/>
        <v>0</v>
      </c>
      <c r="J2945" s="485">
        <f t="shared" si="2267"/>
        <v>0</v>
      </c>
      <c r="K2945" s="715">
        <f t="shared" ref="K2945" si="2272">I2945+J2945</f>
        <v>0</v>
      </c>
      <c r="L2945" s="715"/>
      <c r="M2945" s="689" t="str">
        <f t="shared" ca="1" si="2269"/>
        <v/>
      </c>
      <c r="N2945" s="690"/>
      <c r="O2945" s="486"/>
      <c r="P2945" s="486"/>
      <c r="Q2945" s="486"/>
      <c r="R2945" s="486"/>
      <c r="S2945" s="486"/>
      <c r="T2945" s="102">
        <f t="shared" si="2220"/>
        <v>0</v>
      </c>
      <c r="U2945" s="78">
        <f>IF(NOT(ISNUMBER(G2945)), "", VLOOKUP(A2945,'Discount Lookup'!D:E,2,FALSE)*G2945)</f>
        <v>0</v>
      </c>
      <c r="V2945" s="78">
        <f>IF(NOT(ISNUMBER(G2945)), "", VLOOKUP(A2945,'Discount Lookup'!G:H,2,FALSE)*G2945)</f>
        <v>0</v>
      </c>
      <c r="W2945" s="102">
        <f t="shared" si="2221"/>
        <v>0</v>
      </c>
      <c r="X2945" s="102">
        <f t="shared" si="2222"/>
        <v>0</v>
      </c>
      <c r="Y2945" s="120" t="b">
        <f t="shared" si="2223"/>
        <v>0</v>
      </c>
      <c r="Z2945" s="117">
        <f t="shared" si="2224"/>
        <v>0</v>
      </c>
      <c r="AA2945" s="118"/>
      <c r="AB2945" s="118" t="str">
        <f t="shared" si="2225"/>
        <v/>
      </c>
      <c r="AC2945" s="712" t="str">
        <f>IF(AE2945="T2G","no charge",IF(AND(OR(PlanterYesMe="No",PlanterYesMe="N",PlanterYesMe="me"),H2945=""),"",IF(H2945="credit","NO install",IF(AND(K2945="",AE2945="me"),"EACH row",IF(AND(K2945="images",AE2945="me"),"EACH row",IF(D2945="","",IF(H2945="credit","",IF(AE2945="free","re-planting",IF(AE2945="me","   not ELP, by",IF(AND(OR(PlanterYesMe="Yes",PlanterYesMe="Y"),G2945&gt;0),(VLOOKUP(A2945,'Discount Lookup'!J:K,2)*G2945*(1-PlanterDiscount)*(1+PlanterDifficultyPercentage)),IF(AE2945="ELP",(VLOOKUP(A2945,'Discount Lookup'!J:K,2)*G2945*(1-PlanterDiscount)*(1+PlanterDifficultyPercentage)),IF(AE2945="free","re-planting",IF(G2945=0,"",IF(PlanterYesMe="",IF(AE2945="me","   not ELP, by",IF(AE2945="",IF(G2945&gt;0,(VLOOKUP(A2945,'Discount Lookup'!J:K,2)*G2945*(1-PlanterDiscount)*(1+PlanterDifficultyPercentage)),""),"")),"   not ELP, by"))))))))))))))</f>
        <v/>
      </c>
      <c r="AD2945" s="712"/>
      <c r="AE2945" s="513" t="str">
        <f t="shared" si="2226"/>
        <v/>
      </c>
      <c r="AF2945" s="713" t="str">
        <f t="shared" si="2227"/>
        <v/>
      </c>
      <c r="AG2945" s="713"/>
      <c r="AH2945" s="713"/>
      <c r="AI2945" s="112">
        <f>IF(H2945="credit",0,IF(AE2945="free",0,IF(AE2945="me",0,IF(G2945&gt;0,(VLOOKUP(A2945,'Discount Lookup'!J:K,2)*G2945),0))))</f>
        <v>0</v>
      </c>
      <c r="AJ2945" s="107" t="str">
        <f t="shared" ca="1" si="2228"/>
        <v/>
      </c>
      <c r="AK2945" s="714" t="str">
        <f t="shared" si="2229"/>
        <v/>
      </c>
      <c r="AL2945" s="714"/>
      <c r="AM2945" s="114" t="str">
        <f t="shared" si="2230"/>
        <v/>
      </c>
      <c r="AN2945" s="115"/>
      <c r="AO2945" s="116"/>
      <c r="AP2945" s="116"/>
      <c r="AQ2945" s="116"/>
      <c r="AR2945" s="116"/>
      <c r="AS2945" s="116"/>
      <c r="AT2945" s="116"/>
      <c r="AU2945" s="116"/>
      <c r="AV2945" s="78"/>
      <c r="AW2945" s="102"/>
      <c r="AX2945" s="78"/>
      <c r="AY2945" s="78"/>
      <c r="AZ2945" s="78"/>
      <c r="BA2945" s="78"/>
      <c r="BB2945" s="78"/>
      <c r="BC2945" s="78"/>
      <c r="BD2945" s="78"/>
      <c r="BE2945" s="465"/>
      <c r="BF2945" s="165" t="str">
        <f t="shared" si="2231"/>
        <v>https://www.google.com/search?tbm=isch&amp;q=7%20G6</v>
      </c>
      <c r="BG2945" s="165" t="str">
        <f t="shared" si="2232"/>
        <v>M</v>
      </c>
      <c r="BH2945" s="65"/>
      <c r="BI2945" s="65"/>
      <c r="BJ2945" s="65"/>
      <c r="BK2945" s="65"/>
      <c r="BL2945" s="99"/>
      <c r="BM2945" s="99"/>
      <c r="BN2945" s="99"/>
    </row>
    <row r="2946" spans="1:66" s="51" customFormat="1" ht="27" x14ac:dyDescent="0.25">
      <c r="A2946" s="478">
        <v>7</v>
      </c>
      <c r="B2946" s="479" t="s">
        <v>291</v>
      </c>
      <c r="C2946" s="480" t="s">
        <v>3540</v>
      </c>
      <c r="D2946" s="481" t="s">
        <v>299</v>
      </c>
      <c r="E2946" s="482">
        <v>118.95</v>
      </c>
      <c r="F2946" s="483" t="s">
        <v>292</v>
      </c>
      <c r="G2946" s="484">
        <v>0</v>
      </c>
      <c r="H2946" s="688" t="str">
        <f t="shared" si="2265"/>
        <v/>
      </c>
      <c r="I2946" s="485">
        <f t="shared" si="2266"/>
        <v>0</v>
      </c>
      <c r="J2946" s="485">
        <f t="shared" si="2267"/>
        <v>0</v>
      </c>
      <c r="K2946" s="715">
        <f t="shared" ref="K2946" si="2273">I2946+J2946</f>
        <v>0</v>
      </c>
      <c r="L2946" s="715"/>
      <c r="M2946" s="689" t="str">
        <f t="shared" ca="1" si="2269"/>
        <v/>
      </c>
      <c r="N2946" s="690"/>
      <c r="O2946" s="486"/>
      <c r="P2946" s="486"/>
      <c r="Q2946" s="486"/>
      <c r="R2946" s="486"/>
      <c r="S2946" s="486"/>
      <c r="T2946" s="102">
        <f t="shared" si="2220"/>
        <v>0</v>
      </c>
      <c r="U2946" s="78">
        <f>IF(NOT(ISNUMBER(G2946)), "", VLOOKUP(A2946,'Discount Lookup'!D:E,2,FALSE)*G2946)</f>
        <v>0</v>
      </c>
      <c r="V2946" s="78">
        <f>IF(NOT(ISNUMBER(G2946)), "", VLOOKUP(A2946,'Discount Lookup'!G:H,2,FALSE)*G2946)</f>
        <v>0</v>
      </c>
      <c r="W2946" s="102">
        <f t="shared" si="2221"/>
        <v>0</v>
      </c>
      <c r="X2946" s="102">
        <f t="shared" si="2222"/>
        <v>0</v>
      </c>
      <c r="Y2946" s="120" t="b">
        <f t="shared" si="2223"/>
        <v>0</v>
      </c>
      <c r="Z2946" s="117">
        <f t="shared" si="2224"/>
        <v>0</v>
      </c>
      <c r="AA2946" s="118"/>
      <c r="AB2946" s="118" t="str">
        <f t="shared" si="2225"/>
        <v/>
      </c>
      <c r="AC2946" s="712" t="str">
        <f>IF(AE2946="T2G","no charge",IF(AND(OR(PlanterYesMe="No",PlanterYesMe="N",PlanterYesMe="me"),H2946=""),"",IF(H2946="credit","NO install",IF(AND(K2946="",AE2946="me"),"EACH row",IF(AND(K2946="images",AE2946="me"),"EACH row",IF(D2946="","",IF(H2946="credit","",IF(AE2946="free","re-planting",IF(AE2946="me","   not ELP, by",IF(AND(OR(PlanterYesMe="Yes",PlanterYesMe="Y"),G2946&gt;0),(VLOOKUP(A2946,'Discount Lookup'!J:K,2)*G2946*(1-PlanterDiscount)*(1+PlanterDifficultyPercentage)),IF(AE2946="ELP",(VLOOKUP(A2946,'Discount Lookup'!J:K,2)*G2946*(1-PlanterDiscount)*(1+PlanterDifficultyPercentage)),IF(AE2946="free","re-planting",IF(G2946=0,"",IF(PlanterYesMe="",IF(AE2946="me","   not ELP, by",IF(AE2946="",IF(G2946&gt;0,(VLOOKUP(A2946,'Discount Lookup'!J:K,2)*G2946*(1-PlanterDiscount)*(1+PlanterDifficultyPercentage)),""),"")),"   not ELP, by"))))))))))))))</f>
        <v/>
      </c>
      <c r="AD2946" s="712"/>
      <c r="AE2946" s="513" t="str">
        <f t="shared" si="2226"/>
        <v/>
      </c>
      <c r="AF2946" s="713" t="str">
        <f t="shared" si="2227"/>
        <v/>
      </c>
      <c r="AG2946" s="713"/>
      <c r="AH2946" s="713"/>
      <c r="AI2946" s="112">
        <f>IF(H2946="credit",0,IF(AE2946="free",0,IF(AE2946="me",0,IF(G2946&gt;0,(VLOOKUP(A2946,'Discount Lookup'!J:K,2)*G2946),0))))</f>
        <v>0</v>
      </c>
      <c r="AJ2946" s="107" t="str">
        <f t="shared" ca="1" si="2228"/>
        <v/>
      </c>
      <c r="AK2946" s="714" t="str">
        <f t="shared" si="2229"/>
        <v/>
      </c>
      <c r="AL2946" s="714"/>
      <c r="AM2946" s="114" t="str">
        <f t="shared" si="2230"/>
        <v/>
      </c>
      <c r="AN2946" s="115"/>
      <c r="AO2946" s="116"/>
      <c r="AP2946" s="116"/>
      <c r="AQ2946" s="116"/>
      <c r="AR2946" s="116"/>
      <c r="AS2946" s="116"/>
      <c r="AT2946" s="116"/>
      <c r="AU2946" s="116"/>
      <c r="AV2946" s="78"/>
      <c r="AW2946" s="102"/>
      <c r="AX2946" s="78"/>
      <c r="AY2946" s="78"/>
      <c r="AZ2946" s="78"/>
      <c r="BA2946" s="78"/>
      <c r="BB2946" s="78"/>
      <c r="BC2946" s="78"/>
      <c r="BD2946" s="78"/>
      <c r="BE2946" s="465"/>
      <c r="BF2946" s="165" t="str">
        <f t="shared" si="2231"/>
        <v>https://www.google.com/search?tbm=isch&amp;q=7%20G4</v>
      </c>
      <c r="BG2946" s="165" t="str">
        <f t="shared" si="2232"/>
        <v>M</v>
      </c>
      <c r="BH2946" s="65"/>
      <c r="BI2946" s="65"/>
      <c r="BJ2946" s="65"/>
      <c r="BK2946" s="65"/>
      <c r="BL2946" s="99"/>
      <c r="BM2946" s="99"/>
      <c r="BN2946" s="99"/>
    </row>
    <row r="2947" spans="1:66" s="51" customFormat="1" ht="15.75" x14ac:dyDescent="0.25">
      <c r="A2947" s="478">
        <v>15</v>
      </c>
      <c r="B2947" s="479" t="s">
        <v>291</v>
      </c>
      <c r="C2947" s="480" t="s">
        <v>3541</v>
      </c>
      <c r="D2947" s="481" t="s">
        <v>311</v>
      </c>
      <c r="E2947" s="482">
        <v>183.95</v>
      </c>
      <c r="F2947" s="483" t="s">
        <v>292</v>
      </c>
      <c r="G2947" s="484">
        <v>0</v>
      </c>
      <c r="H2947" s="688" t="str">
        <f t="shared" si="2265"/>
        <v/>
      </c>
      <c r="I2947" s="485">
        <f t="shared" si="2266"/>
        <v>0</v>
      </c>
      <c r="J2947" s="485">
        <f t="shared" si="2267"/>
        <v>0</v>
      </c>
      <c r="K2947" s="715">
        <f t="shared" ref="K2947" si="2274">I2947+J2947</f>
        <v>0</v>
      </c>
      <c r="L2947" s="715"/>
      <c r="M2947" s="689" t="str">
        <f t="shared" ca="1" si="2269"/>
        <v/>
      </c>
      <c r="N2947" s="690"/>
      <c r="O2947" s="486"/>
      <c r="P2947" s="486"/>
      <c r="Q2947" s="486"/>
      <c r="R2947" s="486"/>
      <c r="S2947" s="486"/>
      <c r="T2947" s="102">
        <f t="shared" si="2220"/>
        <v>0</v>
      </c>
      <c r="U2947" s="78">
        <f>IF(NOT(ISNUMBER(G2947)), "", VLOOKUP(A2947,'Discount Lookup'!D:E,2,FALSE)*G2947)</f>
        <v>0</v>
      </c>
      <c r="V2947" s="78">
        <f>IF(NOT(ISNUMBER(G2947)), "", VLOOKUP(A2947,'Discount Lookup'!G:H,2,FALSE)*G2947)</f>
        <v>0</v>
      </c>
      <c r="W2947" s="102">
        <f t="shared" si="2221"/>
        <v>0</v>
      </c>
      <c r="X2947" s="102">
        <f t="shared" si="2222"/>
        <v>0</v>
      </c>
      <c r="Y2947" s="120" t="b">
        <f t="shared" si="2223"/>
        <v>0</v>
      </c>
      <c r="Z2947" s="117">
        <f t="shared" si="2224"/>
        <v>0</v>
      </c>
      <c r="AA2947" s="118"/>
      <c r="AB2947" s="118" t="str">
        <f t="shared" si="2225"/>
        <v/>
      </c>
      <c r="AC2947" s="712" t="str">
        <f>IF(AE2947="T2G","no charge",IF(AND(OR(PlanterYesMe="No",PlanterYesMe="N",PlanterYesMe="me"),H2947=""),"",IF(H2947="credit","NO install",IF(AND(K2947="",AE2947="me"),"EACH row",IF(AND(K2947="images",AE2947="me"),"EACH row",IF(D2947="","",IF(H2947="credit","",IF(AE2947="free","re-planting",IF(AE2947="me","   not ELP, by",IF(AND(OR(PlanterYesMe="Yes",PlanterYesMe="Y"),G2947&gt;0),(VLOOKUP(A2947,'Discount Lookup'!J:K,2)*G2947*(1-PlanterDiscount)*(1+PlanterDifficultyPercentage)),IF(AE2947="ELP",(VLOOKUP(A2947,'Discount Lookup'!J:K,2)*G2947*(1-PlanterDiscount)*(1+PlanterDifficultyPercentage)),IF(AE2947="free","re-planting",IF(G2947=0,"",IF(PlanterYesMe="",IF(AE2947="me","   not ELP, by",IF(AE2947="",IF(G2947&gt;0,(VLOOKUP(A2947,'Discount Lookup'!J:K,2)*G2947*(1-PlanterDiscount)*(1+PlanterDifficultyPercentage)),""),"")),"   not ELP, by"))))))))))))))</f>
        <v/>
      </c>
      <c r="AD2947" s="712"/>
      <c r="AE2947" s="513" t="str">
        <f t="shared" si="2226"/>
        <v/>
      </c>
      <c r="AF2947" s="713" t="str">
        <f t="shared" si="2227"/>
        <v/>
      </c>
      <c r="AG2947" s="713"/>
      <c r="AH2947" s="713"/>
      <c r="AI2947" s="112">
        <f>IF(H2947="credit",0,IF(AE2947="free",0,IF(AE2947="me",0,IF(G2947&gt;0,(VLOOKUP(A2947,'Discount Lookup'!J:K,2)*G2947),0))))</f>
        <v>0</v>
      </c>
      <c r="AJ2947" s="107" t="str">
        <f t="shared" ca="1" si="2228"/>
        <v/>
      </c>
      <c r="AK2947" s="714" t="str">
        <f t="shared" si="2229"/>
        <v/>
      </c>
      <c r="AL2947" s="714"/>
      <c r="AM2947" s="114" t="str">
        <f t="shared" si="2230"/>
        <v/>
      </c>
      <c r="AN2947" s="115"/>
      <c r="AO2947" s="116"/>
      <c r="AP2947" s="116"/>
      <c r="AQ2947" s="116"/>
      <c r="AR2947" s="116"/>
      <c r="AS2947" s="116"/>
      <c r="AT2947" s="116"/>
      <c r="AU2947" s="116"/>
      <c r="AV2947" s="78"/>
      <c r="AW2947" s="102"/>
      <c r="AX2947" s="78"/>
      <c r="AY2947" s="78"/>
      <c r="AZ2947" s="78"/>
      <c r="BA2947" s="78"/>
      <c r="BB2947" s="78"/>
      <c r="BC2947" s="78"/>
      <c r="BD2947" s="78"/>
      <c r="BE2947" s="465"/>
      <c r="BF2947" s="165" t="str">
        <f t="shared" si="2231"/>
        <v>https://www.google.com/search?tbm=isch&amp;q=15%20G5</v>
      </c>
      <c r="BG2947" s="165" t="str">
        <f t="shared" si="2232"/>
        <v>M</v>
      </c>
      <c r="BH2947" s="65"/>
      <c r="BI2947" s="65"/>
      <c r="BJ2947" s="65"/>
      <c r="BK2947" s="65"/>
      <c r="BL2947" s="99"/>
      <c r="BM2947" s="99"/>
      <c r="BN2947" s="99"/>
    </row>
    <row r="2948" spans="1:66" s="51" customFormat="1" ht="17.25" thickBot="1" x14ac:dyDescent="0.3">
      <c r="A2948" s="508" t="s">
        <v>3542</v>
      </c>
      <c r="B2948" s="487"/>
      <c r="C2948" s="707"/>
      <c r="D2948" s="487"/>
      <c r="E2948" s="487"/>
      <c r="F2948" s="488"/>
      <c r="G2948" s="489"/>
      <c r="H2948" s="487"/>
      <c r="I2948" s="490"/>
      <c r="J2948" s="490"/>
      <c r="K2948" s="491"/>
      <c r="L2948" s="547"/>
      <c r="M2948" s="528"/>
      <c r="N2948" s="492"/>
      <c r="O2948" s="493"/>
      <c r="P2948" s="494"/>
      <c r="Q2948" s="492"/>
      <c r="R2948" s="492"/>
      <c r="S2948" s="699" t="s">
        <v>5275</v>
      </c>
      <c r="T2948" s="102">
        <f t="shared" si="2220"/>
        <v>0</v>
      </c>
      <c r="U2948" s="78" t="str">
        <f>IF(NOT(ISNUMBER(G2948)), "", VLOOKUP(A2948,'Discount Lookup'!D:E,2,FALSE)*G2948)</f>
        <v/>
      </c>
      <c r="V2948" s="78" t="str">
        <f>IF(NOT(ISNUMBER(G2948)), "", VLOOKUP(A2948,'Discount Lookup'!G:H,2,FALSE)*G2948)</f>
        <v/>
      </c>
      <c r="W2948" s="102">
        <f t="shared" si="2221"/>
        <v>0</v>
      </c>
      <c r="X2948" s="102">
        <f t="shared" si="2222"/>
        <v>0</v>
      </c>
      <c r="Y2948" s="120" t="b">
        <f t="shared" si="2223"/>
        <v>0</v>
      </c>
      <c r="Z2948" s="117">
        <f t="shared" si="2224"/>
        <v>0</v>
      </c>
      <c r="AA2948" s="118"/>
      <c r="AB2948" s="118" t="str">
        <f t="shared" si="2225"/>
        <v/>
      </c>
      <c r="AC2948" s="712" t="str">
        <f>IF(AE2948="T2G","no charge",IF(AND(OR(PlanterYesMe="No",PlanterYesMe="N",PlanterYesMe="me"),H2948=""),"",IF(H2948="credit","NO install",IF(AND(K2948="",AE2948="me"),"EACH row",IF(AND(K2948="images",AE2948="me"),"EACH row",IF(D2948="","",IF(H2948="credit","",IF(AE2948="free","re-planting",IF(AE2948="me","   not ELP, by",IF(AND(OR(PlanterYesMe="Yes",PlanterYesMe="Y"),G2948&gt;0),(VLOOKUP(A2948,'Discount Lookup'!J:K,2)*G2948*(1-PlanterDiscount)*(1+PlanterDifficultyPercentage)),IF(AE2948="ELP",(VLOOKUP(A2948,'Discount Lookup'!J:K,2)*G2948*(1-PlanterDiscount)*(1+PlanterDifficultyPercentage)),IF(AE2948="free","re-planting",IF(G2948=0,"",IF(PlanterYesMe="",IF(AE2948="me","   not ELP, by",IF(AE2948="",IF(G2948&gt;0,(VLOOKUP(A2948,'Discount Lookup'!J:K,2)*G2948*(1-PlanterDiscount)*(1+PlanterDifficultyPercentage)),""),"")),"   not ELP, by"))))))))))))))</f>
        <v/>
      </c>
      <c r="AD2948" s="712"/>
      <c r="AE2948" s="513" t="str">
        <f t="shared" si="2226"/>
        <v/>
      </c>
      <c r="AF2948" s="713" t="str">
        <f t="shared" si="2227"/>
        <v/>
      </c>
      <c r="AG2948" s="713"/>
      <c r="AH2948" s="713"/>
      <c r="AI2948" s="112">
        <f>IF(H2948="credit",0,IF(AE2948="free",0,IF(AE2948="me",0,IF(G2948&gt;0,(VLOOKUP(A2948,'Discount Lookup'!J:K,2)*G2948),0))))</f>
        <v>0</v>
      </c>
      <c r="AJ2948" s="107" t="str">
        <f t="shared" ca="1" si="2228"/>
        <v/>
      </c>
      <c r="AK2948" s="714" t="str">
        <f t="shared" si="2229"/>
        <v/>
      </c>
      <c r="AL2948" s="714"/>
      <c r="AM2948" s="114" t="str">
        <f t="shared" si="2230"/>
        <v/>
      </c>
      <c r="AN2948" s="115"/>
      <c r="AO2948" s="116"/>
      <c r="AP2948" s="116"/>
      <c r="AQ2948" s="116"/>
      <c r="AR2948" s="116"/>
      <c r="AS2948" s="116"/>
      <c r="AT2948" s="116"/>
      <c r="AU2948" s="116"/>
      <c r="AV2948" s="78"/>
      <c r="AW2948" s="102"/>
      <c r="AX2948" s="78"/>
      <c r="AY2948" s="78"/>
      <c r="AZ2948" s="78"/>
      <c r="BA2948" s="78"/>
      <c r="BB2948" s="78"/>
      <c r="BC2948" s="78"/>
      <c r="BD2948" s="78"/>
      <c r="BE2948" s="465"/>
      <c r="BF2948" s="165" t="str">
        <f t="shared" si="2231"/>
        <v>https://www.google.com/search?tbm=isch&amp;q=Stellar%20Ruby%20is%20vigorous%20%26%20hardy.%20Blooms%20%26%20reblooms%20from%20early%20spring%20through%20summer%20</v>
      </c>
      <c r="BG2948" s="165" t="str">
        <f t="shared" si="2232"/>
        <v>S</v>
      </c>
      <c r="BH2948" s="65"/>
      <c r="BI2948" s="65"/>
      <c r="BJ2948" s="65"/>
      <c r="BK2948" s="65"/>
      <c r="BL2948" s="99"/>
      <c r="BM2948" s="99"/>
      <c r="BN2948" s="99"/>
    </row>
    <row r="2949" spans="1:66" s="51" customFormat="1" ht="18" x14ac:dyDescent="0.25">
      <c r="A2949" s="623" t="s">
        <v>3543</v>
      </c>
      <c r="B2949" s="624"/>
      <c r="C2949" s="709"/>
      <c r="D2949" s="625" t="s">
        <v>3544</v>
      </c>
      <c r="E2949" s="626"/>
      <c r="F2949" s="626"/>
      <c r="G2949" s="626"/>
      <c r="H2949" s="622" t="s">
        <v>1174</v>
      </c>
      <c r="I2949" s="627" t="s">
        <v>3545</v>
      </c>
      <c r="J2949" s="628"/>
      <c r="K2949" s="628"/>
      <c r="L2949" s="629"/>
      <c r="M2949" s="700" t="s">
        <v>5249</v>
      </c>
      <c r="N2949" s="693" t="str">
        <f>IF(AND(ISTEXT($A2949), ISERROR($A2949+0)), HYPERLINK($BF2949, "Images"), "")</f>
        <v>Images</v>
      </c>
      <c r="O2949" s="695" t="s">
        <v>5264</v>
      </c>
      <c r="P2949" s="630"/>
      <c r="Q2949" s="631"/>
      <c r="R2949" s="632"/>
      <c r="S2949" s="633"/>
      <c r="T2949" s="102">
        <f t="shared" si="2220"/>
        <v>0</v>
      </c>
      <c r="U2949" s="78" t="str">
        <f>IF(NOT(ISNUMBER(G2949)), "", VLOOKUP(A2949,'Discount Lookup'!D:E,2,FALSE)*G2949)</f>
        <v/>
      </c>
      <c r="V2949" s="78" t="str">
        <f>IF(NOT(ISNUMBER(G2949)), "", VLOOKUP(A2949,'Discount Lookup'!G:H,2,FALSE)*G2949)</f>
        <v/>
      </c>
      <c r="W2949" s="102">
        <f t="shared" si="2221"/>
        <v>0</v>
      </c>
      <c r="X2949" s="102" t="str">
        <f t="shared" si="2222"/>
        <v>White, Pink blush</v>
      </c>
      <c r="Y2949" s="120" t="b">
        <f t="shared" si="2223"/>
        <v>0</v>
      </c>
      <c r="Z2949" s="117">
        <f t="shared" si="2224"/>
        <v>0</v>
      </c>
      <c r="AA2949" s="118"/>
      <c r="AB2949" s="118" t="str">
        <f t="shared" si="2225"/>
        <v/>
      </c>
      <c r="AC2949" s="712" t="str">
        <f>IF(AE2949="T2G","no charge",IF(AND(OR(PlanterYesMe="No",PlanterYesMe="N",PlanterYesMe="me"),H2949=""),"",IF(H2949="credit","NO install",IF(AND(K2949="",AE2949="me"),"EACH row",IF(AND(K2949="images",AE2949="me"),"EACH row",IF(D2949="","",IF(H2949="credit","",IF(AE2949="free","re-planting",IF(AE2949="me","   not ELP, by",IF(AND(OR(PlanterYesMe="Yes",PlanterYesMe="Y"),G2949&gt;0),(VLOOKUP(A2949,'Discount Lookup'!J:K,2)*G2949*(1-PlanterDiscount)*(1+PlanterDifficultyPercentage)),IF(AE2949="ELP",(VLOOKUP(A2949,'Discount Lookup'!J:K,2)*G2949*(1-PlanterDiscount)*(1+PlanterDifficultyPercentage)),IF(AE2949="free","re-planting",IF(G2949=0,"",IF(PlanterYesMe="",IF(AE2949="me","   not ELP, by",IF(AE2949="",IF(G2949&gt;0,(VLOOKUP(A2949,'Discount Lookup'!J:K,2)*G2949*(1-PlanterDiscount)*(1+PlanterDifficultyPercentage)),""),"")),"   not ELP, by"))))))))))))))</f>
        <v/>
      </c>
      <c r="AD2949" s="712"/>
      <c r="AE2949" s="513" t="str">
        <f t="shared" si="2226"/>
        <v/>
      </c>
      <c r="AF2949" s="713" t="str">
        <f t="shared" si="2227"/>
        <v/>
      </c>
      <c r="AG2949" s="713"/>
      <c r="AH2949" s="713"/>
      <c r="AI2949" s="112">
        <f>IF(H2949="credit",0,IF(AE2949="free",0,IF(AE2949="me",0,IF(G2949&gt;0,(VLOOKUP(A2949,'Discount Lookup'!J:K,2)*G2949),0))))</f>
        <v>0</v>
      </c>
      <c r="AJ2949" s="107" t="str">
        <f t="shared" ca="1" si="2228"/>
        <v/>
      </c>
      <c r="AK2949" s="714" t="str">
        <f t="shared" si="2229"/>
        <v/>
      </c>
      <c r="AL2949" s="714"/>
      <c r="AM2949" s="114" t="str">
        <f t="shared" si="2230"/>
        <v/>
      </c>
      <c r="AN2949" s="115"/>
      <c r="AO2949" s="116"/>
      <c r="AP2949" s="116"/>
      <c r="AQ2949" s="116"/>
      <c r="AR2949" s="116"/>
      <c r="AS2949" s="116"/>
      <c r="AT2949" s="116"/>
      <c r="AU2949" s="116"/>
      <c r="AV2949" s="78"/>
      <c r="AW2949" s="102"/>
      <c r="AX2949" s="78"/>
      <c r="AY2949" s="78"/>
      <c r="AZ2949" s="78"/>
      <c r="BA2949" s="78"/>
      <c r="BB2949" s="78"/>
      <c r="BC2949" s="78"/>
      <c r="BD2949" s="78"/>
      <c r="BE2949" s="465"/>
      <c r="BF2949" s="165" t="str">
        <f t="shared" si="2231"/>
        <v>https://www.google.com/search?tbm=isch&amp;q=Magnolia%20x%20loebneri%20%27Ballerina%27%20Ballerina%20Magnolia</v>
      </c>
      <c r="BG2949" s="165" t="str">
        <f t="shared" si="2232"/>
        <v>M</v>
      </c>
      <c r="BH2949" s="65"/>
      <c r="BI2949" s="65"/>
      <c r="BJ2949" s="65"/>
      <c r="BK2949" s="65"/>
      <c r="BL2949" s="99"/>
      <c r="BM2949" s="99"/>
      <c r="BN2949" s="99"/>
    </row>
    <row r="2950" spans="1:66" s="51" customFormat="1" ht="15.75" x14ac:dyDescent="0.25">
      <c r="A2950" s="634">
        <v>10</v>
      </c>
      <c r="B2950" s="635" t="s">
        <v>291</v>
      </c>
      <c r="C2950" s="636" t="s">
        <v>3546</v>
      </c>
      <c r="D2950" s="637" t="s">
        <v>299</v>
      </c>
      <c r="E2950" s="638">
        <v>171.95</v>
      </c>
      <c r="F2950" s="639" t="s">
        <v>292</v>
      </c>
      <c r="G2950" s="484">
        <v>0</v>
      </c>
      <c r="H2950" s="691" t="str">
        <f>IF(G2950=0,"",IF(F2950="Buy",IF(G2950=1,"plant","plants"),IF(F2950&gt;0.01,"warranty","Error")))</f>
        <v/>
      </c>
      <c r="I2950" s="640">
        <f>IF(H2950="free",0,IF(H2950="credit",((E2950*(F2950))*G2950*-1),IF(F2950="Buy",(E2950*G2950),((E2950*(1-F2950))*G2950))))</f>
        <v>0</v>
      </c>
      <c r="J2950" s="640">
        <f>IF(H2950="warranty",0,(I2950*(_xlfn.SINGLE(SalesTaxPercentage))))</f>
        <v>0</v>
      </c>
      <c r="K2950" s="716">
        <f t="shared" ref="K2950" si="2275">I2950+J2950</f>
        <v>0</v>
      </c>
      <c r="L2950" s="716"/>
      <c r="M2950" s="689" t="str">
        <f ca="1">IF(AND(G2950&gt;0,E2950=0),"WARNING - no PRICE inserted",IF(H2950="free","FREE ~ no charge this plant",IF(H2950="credit",CONCATENATE("-$",ROUND(K2950*(1-_xlfn.SINGLE(T2GDiscount))*-1,2)," CREDIT after discount"),IF(_xlfn.SINGLE(T2GDiscount)=0,"",IF(G2950=0,"",IF(F2950="Buy",CONCATENATE("$",ROUND(K2950*(1-_xlfn.SINGLE(T2GDiscount)),2)," with ",(_xlfn.SINGLE(T2GDiscount)*100),"% discount"),CONCATENATE("$",ROUND(K2950*(1-_xlfn.SINGLE(T2GDiscount)),2)," with ",((_xlfn.SINGLE(T2GDiscount)*100+F2950*100)-(_xlfn.SINGLE(T2GDiscount)*100*F2950)),IF(F2950&gt;0,"% discounts",IF(_xlfn.SINGLE(NoWarrantyDiscount)&gt;0,"% discounts","% discount")))))))))</f>
        <v/>
      </c>
      <c r="N2950" s="690"/>
      <c r="O2950" s="486"/>
      <c r="P2950" s="486"/>
      <c r="Q2950" s="486"/>
      <c r="R2950" s="486"/>
      <c r="S2950" s="486"/>
      <c r="T2950" s="102">
        <f t="shared" si="2220"/>
        <v>0</v>
      </c>
      <c r="U2950" s="78">
        <f>IF(NOT(ISNUMBER(G2950)), "", VLOOKUP(A2950,'Discount Lookup'!D:E,2,FALSE)*G2950)</f>
        <v>0</v>
      </c>
      <c r="V2950" s="78">
        <f>IF(NOT(ISNUMBER(G2950)), "", VLOOKUP(A2950,'Discount Lookup'!G:H,2,FALSE)*G2950)</f>
        <v>0</v>
      </c>
      <c r="W2950" s="102">
        <f t="shared" si="2221"/>
        <v>0</v>
      </c>
      <c r="X2950" s="102">
        <f t="shared" si="2222"/>
        <v>0</v>
      </c>
      <c r="Y2950" s="120" t="b">
        <f t="shared" si="2223"/>
        <v>0</v>
      </c>
      <c r="Z2950" s="117">
        <f t="shared" si="2224"/>
        <v>0</v>
      </c>
      <c r="AA2950" s="118"/>
      <c r="AB2950" s="118" t="str">
        <f t="shared" si="2225"/>
        <v/>
      </c>
      <c r="AC2950" s="712" t="str">
        <f>IF(AE2950="T2G","no charge",IF(AND(OR(PlanterYesMe="No",PlanterYesMe="N",PlanterYesMe="me"),H2950=""),"",IF(H2950="credit","NO install",IF(AND(K2950="",AE2950="me"),"EACH row",IF(AND(K2950="images",AE2950="me"),"EACH row",IF(D2950="","",IF(H2950="credit","",IF(AE2950="free","re-planting",IF(AE2950="me","   not ELP, by",IF(AND(OR(PlanterYesMe="Yes",PlanterYesMe="Y"),G2950&gt;0),(VLOOKUP(A2950,'Discount Lookup'!J:K,2)*G2950*(1-PlanterDiscount)*(1+PlanterDifficultyPercentage)),IF(AE2950="ELP",(VLOOKUP(A2950,'Discount Lookup'!J:K,2)*G2950*(1-PlanterDiscount)*(1+PlanterDifficultyPercentage)),IF(AE2950="free","re-planting",IF(G2950=0,"",IF(PlanterYesMe="",IF(AE2950="me","   not ELP, by",IF(AE2950="",IF(G2950&gt;0,(VLOOKUP(A2950,'Discount Lookup'!J:K,2)*G2950*(1-PlanterDiscount)*(1+PlanterDifficultyPercentage)),""),"")),"   not ELP, by"))))))))))))))</f>
        <v/>
      </c>
      <c r="AD2950" s="712"/>
      <c r="AE2950" s="513" t="str">
        <f t="shared" si="2226"/>
        <v/>
      </c>
      <c r="AF2950" s="713" t="str">
        <f t="shared" si="2227"/>
        <v/>
      </c>
      <c r="AG2950" s="713"/>
      <c r="AH2950" s="713"/>
      <c r="AI2950" s="112">
        <f>IF(H2950="credit",0,IF(AE2950="free",0,IF(AE2950="me",0,IF(G2950&gt;0,(VLOOKUP(A2950,'Discount Lookup'!J:K,2)*G2950),0))))</f>
        <v>0</v>
      </c>
      <c r="AJ2950" s="107" t="str">
        <f t="shared" ca="1" si="2228"/>
        <v/>
      </c>
      <c r="AK2950" s="714" t="str">
        <f t="shared" si="2229"/>
        <v/>
      </c>
      <c r="AL2950" s="714"/>
      <c r="AM2950" s="114" t="str">
        <f t="shared" si="2230"/>
        <v/>
      </c>
      <c r="AN2950" s="115"/>
      <c r="AO2950" s="116"/>
      <c r="AP2950" s="116"/>
      <c r="AQ2950" s="116"/>
      <c r="AR2950" s="116"/>
      <c r="AS2950" s="116"/>
      <c r="AT2950" s="116"/>
      <c r="AU2950" s="116"/>
      <c r="AV2950" s="78"/>
      <c r="AW2950" s="102"/>
      <c r="AX2950" s="78"/>
      <c r="AY2950" s="78"/>
      <c r="AZ2950" s="78"/>
      <c r="BA2950" s="78"/>
      <c r="BB2950" s="78"/>
      <c r="BC2950" s="78"/>
      <c r="BD2950" s="78"/>
      <c r="BE2950" s="465"/>
      <c r="BF2950" s="165" t="str">
        <f t="shared" si="2231"/>
        <v>https://www.google.com/search?tbm=isch&amp;q=10%20G4</v>
      </c>
      <c r="BG2950" s="165" t="str">
        <f t="shared" si="2232"/>
        <v>M</v>
      </c>
      <c r="BH2950" s="65"/>
      <c r="BI2950" s="65"/>
      <c r="BJ2950" s="65"/>
      <c r="BK2950" s="65"/>
      <c r="BL2950" s="99"/>
      <c r="BM2950" s="99"/>
      <c r="BN2950" s="99"/>
    </row>
    <row r="2951" spans="1:66" s="51" customFormat="1" ht="17.25" thickBot="1" x14ac:dyDescent="0.3">
      <c r="A2951" s="641" t="s">
        <v>3547</v>
      </c>
      <c r="B2951" s="642"/>
      <c r="C2951" s="710"/>
      <c r="D2951" s="643"/>
      <c r="E2951" s="643"/>
      <c r="F2951" s="644"/>
      <c r="G2951" s="645"/>
      <c r="H2951" s="646"/>
      <c r="I2951" s="647"/>
      <c r="J2951" s="648"/>
      <c r="K2951" s="649"/>
      <c r="L2951" s="650"/>
      <c r="M2951" s="650"/>
      <c r="N2951" s="644"/>
      <c r="O2951" s="644"/>
      <c r="P2951" s="644"/>
      <c r="Q2951" s="644"/>
      <c r="R2951" s="644"/>
      <c r="S2951" s="701" t="s">
        <v>5251</v>
      </c>
      <c r="T2951" s="102">
        <f t="shared" si="2220"/>
        <v>0</v>
      </c>
      <c r="U2951" s="78" t="str">
        <f>IF(NOT(ISNUMBER(G2951)), "", VLOOKUP(A2951,'Discount Lookup'!D:E,2,FALSE)*G2951)</f>
        <v/>
      </c>
      <c r="V2951" s="78" t="str">
        <f>IF(NOT(ISNUMBER(G2951)), "", VLOOKUP(A2951,'Discount Lookup'!G:H,2,FALSE)*G2951)</f>
        <v/>
      </c>
      <c r="W2951" s="102">
        <f t="shared" si="2221"/>
        <v>0</v>
      </c>
      <c r="X2951" s="102">
        <f t="shared" si="2222"/>
        <v>0</v>
      </c>
      <c r="Y2951" s="120" t="b">
        <f t="shared" si="2223"/>
        <v>0</v>
      </c>
      <c r="Z2951" s="117">
        <f t="shared" si="2224"/>
        <v>0</v>
      </c>
      <c r="AA2951" s="118"/>
      <c r="AB2951" s="118" t="str">
        <f t="shared" si="2225"/>
        <v/>
      </c>
      <c r="AC2951" s="712" t="str">
        <f>IF(AE2951="T2G","no charge",IF(AND(OR(PlanterYesMe="No",PlanterYesMe="N",PlanterYesMe="me"),H2951=""),"",IF(H2951="credit","NO install",IF(AND(K2951="",AE2951="me"),"EACH row",IF(AND(K2951="images",AE2951="me"),"EACH row",IF(D2951="","",IF(H2951="credit","",IF(AE2951="free","re-planting",IF(AE2951="me","   not ELP, by",IF(AND(OR(PlanterYesMe="Yes",PlanterYesMe="Y"),G2951&gt;0),(VLOOKUP(A2951,'Discount Lookup'!J:K,2)*G2951*(1-PlanterDiscount)*(1+PlanterDifficultyPercentage)),IF(AE2951="ELP",(VLOOKUP(A2951,'Discount Lookup'!J:K,2)*G2951*(1-PlanterDiscount)*(1+PlanterDifficultyPercentage)),IF(AE2951="free","re-planting",IF(G2951=0,"",IF(PlanterYesMe="",IF(AE2951="me","   not ELP, by",IF(AE2951="",IF(G2951&gt;0,(VLOOKUP(A2951,'Discount Lookup'!J:K,2)*G2951*(1-PlanterDiscount)*(1+PlanterDifficultyPercentage)),""),"")),"   not ELP, by"))))))))))))))</f>
        <v/>
      </c>
      <c r="AD2951" s="712"/>
      <c r="AE2951" s="513" t="str">
        <f t="shared" si="2226"/>
        <v/>
      </c>
      <c r="AF2951" s="713" t="str">
        <f t="shared" si="2227"/>
        <v/>
      </c>
      <c r="AG2951" s="713"/>
      <c r="AH2951" s="713"/>
      <c r="AI2951" s="112">
        <f>IF(H2951="credit",0,IF(AE2951="free",0,IF(AE2951="me",0,IF(G2951&gt;0,(VLOOKUP(A2951,'Discount Lookup'!J:K,2)*G2951),0))))</f>
        <v>0</v>
      </c>
      <c r="AJ2951" s="107" t="str">
        <f t="shared" ca="1" si="2228"/>
        <v/>
      </c>
      <c r="AK2951" s="714" t="str">
        <f t="shared" si="2229"/>
        <v/>
      </c>
      <c r="AL2951" s="714"/>
      <c r="AM2951" s="114" t="str">
        <f t="shared" si="2230"/>
        <v/>
      </c>
      <c r="AN2951" s="115"/>
      <c r="AO2951" s="116"/>
      <c r="AP2951" s="116"/>
      <c r="AQ2951" s="116"/>
      <c r="AR2951" s="116"/>
      <c r="AS2951" s="116"/>
      <c r="AT2951" s="116"/>
      <c r="AU2951" s="116"/>
      <c r="AV2951" s="78"/>
      <c r="AW2951" s="102"/>
      <c r="AX2951" s="78"/>
      <c r="AY2951" s="78"/>
      <c r="AZ2951" s="78"/>
      <c r="BA2951" s="78"/>
      <c r="BB2951" s="78"/>
      <c r="BC2951" s="78"/>
      <c r="BD2951" s="78"/>
      <c r="BE2951" s="465"/>
      <c r="BF2951" s="165" t="str">
        <f t="shared" si="2231"/>
        <v>https://www.google.com/search?tbm=isch&amp;q=Ballerina%20blooms%20early%20in%20spring%2C%20before%20foliage%2C%20with%20notably%20large%20fragrant%20flowers.%20Cold%20hardy%20plant%20</v>
      </c>
      <c r="BG2951" s="165" t="str">
        <f t="shared" si="2232"/>
        <v>B</v>
      </c>
      <c r="BH2951" s="65"/>
      <c r="BI2951" s="65"/>
      <c r="BJ2951" s="65"/>
      <c r="BK2951" s="65"/>
      <c r="BL2951" s="99"/>
      <c r="BM2951" s="99"/>
      <c r="BN2951" s="99"/>
    </row>
    <row r="2952" spans="1:66" s="51" customFormat="1" ht="18" x14ac:dyDescent="0.25">
      <c r="A2952" s="623" t="s">
        <v>3548</v>
      </c>
      <c r="B2952" s="624"/>
      <c r="C2952" s="709"/>
      <c r="D2952" s="625" t="s">
        <v>3549</v>
      </c>
      <c r="E2952" s="626"/>
      <c r="F2952" s="626"/>
      <c r="G2952" s="626"/>
      <c r="H2952" s="622" t="s">
        <v>331</v>
      </c>
      <c r="I2952" s="627" t="s">
        <v>349</v>
      </c>
      <c r="J2952" s="628"/>
      <c r="K2952" s="628"/>
      <c r="L2952" s="629"/>
      <c r="M2952" s="700" t="s">
        <v>5249</v>
      </c>
      <c r="N2952" s="693" t="str">
        <f>IF(AND(ISTEXT($A2952), ISERROR($A2952+0)), HYPERLINK($BF2952, "Images"), "")</f>
        <v>Images</v>
      </c>
      <c r="O2952" s="695" t="s">
        <v>5244</v>
      </c>
      <c r="P2952" s="630"/>
      <c r="Q2952" s="631"/>
      <c r="R2952" s="632"/>
      <c r="S2952" s="633"/>
      <c r="T2952" s="102">
        <f t="shared" si="2220"/>
        <v>0</v>
      </c>
      <c r="U2952" s="78" t="str">
        <f>IF(NOT(ISNUMBER(G2952)), "", VLOOKUP(A2952,'Discount Lookup'!D:E,2,FALSE)*G2952)</f>
        <v/>
      </c>
      <c r="V2952" s="78" t="str">
        <f>IF(NOT(ISNUMBER(G2952)), "", VLOOKUP(A2952,'Discount Lookup'!G:H,2,FALSE)*G2952)</f>
        <v/>
      </c>
      <c r="W2952" s="102">
        <f t="shared" si="2221"/>
        <v>0</v>
      </c>
      <c r="X2952" s="102" t="str">
        <f t="shared" si="2222"/>
        <v>White bloom</v>
      </c>
      <c r="Y2952" s="120" t="b">
        <f t="shared" si="2223"/>
        <v>0</v>
      </c>
      <c r="Z2952" s="117">
        <f t="shared" si="2224"/>
        <v>0</v>
      </c>
      <c r="AA2952" s="118"/>
      <c r="AB2952" s="118" t="str">
        <f t="shared" si="2225"/>
        <v/>
      </c>
      <c r="AC2952" s="712" t="str">
        <f>IF(AE2952="T2G","no charge",IF(AND(OR(PlanterYesMe="No",PlanterYesMe="N",PlanterYesMe="me"),H2952=""),"",IF(H2952="credit","NO install",IF(AND(K2952="",AE2952="me"),"EACH row",IF(AND(K2952="images",AE2952="me"),"EACH row",IF(D2952="","",IF(H2952="credit","",IF(AE2952="free","re-planting",IF(AE2952="me","   not ELP, by",IF(AND(OR(PlanterYesMe="Yes",PlanterYesMe="Y"),G2952&gt;0),(VLOOKUP(A2952,'Discount Lookup'!J:K,2)*G2952*(1-PlanterDiscount)*(1+PlanterDifficultyPercentage)),IF(AE2952="ELP",(VLOOKUP(A2952,'Discount Lookup'!J:K,2)*G2952*(1-PlanterDiscount)*(1+PlanterDifficultyPercentage)),IF(AE2952="free","re-planting",IF(G2952=0,"",IF(PlanterYesMe="",IF(AE2952="me","   not ELP, by",IF(AE2952="",IF(G2952&gt;0,(VLOOKUP(A2952,'Discount Lookup'!J:K,2)*G2952*(1-PlanterDiscount)*(1+PlanterDifficultyPercentage)),""),"")),"   not ELP, by"))))))))))))))</f>
        <v/>
      </c>
      <c r="AD2952" s="712"/>
      <c r="AE2952" s="513" t="str">
        <f t="shared" si="2226"/>
        <v/>
      </c>
      <c r="AF2952" s="713" t="str">
        <f t="shared" si="2227"/>
        <v/>
      </c>
      <c r="AG2952" s="713"/>
      <c r="AH2952" s="713"/>
      <c r="AI2952" s="112">
        <f>IF(H2952="credit",0,IF(AE2952="free",0,IF(AE2952="me",0,IF(G2952&gt;0,(VLOOKUP(A2952,'Discount Lookup'!J:K,2)*G2952),0))))</f>
        <v>0</v>
      </c>
      <c r="AJ2952" s="107" t="str">
        <f t="shared" ca="1" si="2228"/>
        <v/>
      </c>
      <c r="AK2952" s="714" t="str">
        <f t="shared" si="2229"/>
        <v/>
      </c>
      <c r="AL2952" s="714"/>
      <c r="AM2952" s="114" t="str">
        <f t="shared" si="2230"/>
        <v/>
      </c>
      <c r="AN2952" s="115"/>
      <c r="AO2952" s="116"/>
      <c r="AP2952" s="116"/>
      <c r="AQ2952" s="116"/>
      <c r="AR2952" s="116"/>
      <c r="AS2952" s="116"/>
      <c r="AT2952" s="116"/>
      <c r="AU2952" s="116"/>
      <c r="AV2952" s="78"/>
      <c r="AW2952" s="102"/>
      <c r="AX2952" s="78"/>
      <c r="AY2952" s="78"/>
      <c r="AZ2952" s="78"/>
      <c r="BA2952" s="78"/>
      <c r="BB2952" s="78"/>
      <c r="BC2952" s="78"/>
      <c r="BD2952" s="78"/>
      <c r="BE2952" s="465"/>
      <c r="BF2952" s="165" t="str">
        <f t="shared" si="2231"/>
        <v>https://www.google.com/search?tbm=isch&amp;q=Magnolia%20x%20loebneri%20%27Wildcat%27%20Wildcat%20Magnolia</v>
      </c>
      <c r="BG2952" s="165" t="str">
        <f t="shared" si="2232"/>
        <v>M</v>
      </c>
      <c r="BH2952" s="65"/>
      <c r="BI2952" s="65"/>
      <c r="BJ2952" s="65"/>
      <c r="BK2952" s="65"/>
      <c r="BL2952" s="99"/>
      <c r="BM2952" s="99"/>
      <c r="BN2952" s="99"/>
    </row>
    <row r="2953" spans="1:66" s="51" customFormat="1" ht="15.75" x14ac:dyDescent="0.25">
      <c r="A2953" s="634">
        <v>7</v>
      </c>
      <c r="B2953" s="635" t="s">
        <v>291</v>
      </c>
      <c r="C2953" s="636" t="s">
        <v>5197</v>
      </c>
      <c r="D2953" s="637" t="s">
        <v>299</v>
      </c>
      <c r="E2953" s="638">
        <v>109.95</v>
      </c>
      <c r="F2953" s="639" t="s">
        <v>292</v>
      </c>
      <c r="G2953" s="484">
        <v>0</v>
      </c>
      <c r="H2953" s="691" t="str">
        <f>IF(G2953=0,"",IF(F2953="Buy",IF(G2953=1,"plant","plants"),IF(F2953&gt;0.01,"warranty","Error")))</f>
        <v/>
      </c>
      <c r="I2953" s="640">
        <f>IF(H2953="free",0,IF(H2953="credit",((E2953*(F2953))*G2953*-1),IF(F2953="Buy",(E2953*G2953),((E2953*(1-F2953))*G2953))))</f>
        <v>0</v>
      </c>
      <c r="J2953" s="640">
        <f>IF(H2953="warranty",0,(I2953*(_xlfn.SINGLE(SalesTaxPercentage))))</f>
        <v>0</v>
      </c>
      <c r="K2953" s="716">
        <f t="shared" ref="K2953" si="2276">I2953+J2953</f>
        <v>0</v>
      </c>
      <c r="L2953" s="716"/>
      <c r="M2953" s="689" t="str">
        <f ca="1">IF(AND(G2953&gt;0,E2953=0),"WARNING - no PRICE inserted",IF(H2953="free","FREE ~ no charge this plant",IF(H2953="credit",CONCATENATE("-$",ROUND(K2953*(1-_xlfn.SINGLE(T2GDiscount))*-1,2)," CREDIT after discount"),IF(_xlfn.SINGLE(T2GDiscount)=0,"",IF(G2953=0,"",IF(F2953="Buy",CONCATENATE("$",ROUND(K2953*(1-_xlfn.SINGLE(T2GDiscount)),2)," with ",(_xlfn.SINGLE(T2GDiscount)*100),"% discount"),CONCATENATE("$",ROUND(K2953*(1-_xlfn.SINGLE(T2GDiscount)),2)," with ",((_xlfn.SINGLE(T2GDiscount)*100+F2953*100)-(_xlfn.SINGLE(T2GDiscount)*100*F2953)),IF(F2953&gt;0,"% discounts",IF(_xlfn.SINGLE(NoWarrantyDiscount)&gt;0,"% discounts","% discount")))))))))</f>
        <v/>
      </c>
      <c r="N2953" s="690"/>
      <c r="O2953" s="486"/>
      <c r="P2953" s="486"/>
      <c r="Q2953" s="486"/>
      <c r="R2953" s="486"/>
      <c r="S2953" s="486"/>
      <c r="T2953" s="102">
        <f t="shared" si="2220"/>
        <v>0</v>
      </c>
      <c r="U2953" s="78">
        <f>IF(NOT(ISNUMBER(G2953)), "", VLOOKUP(A2953,'Discount Lookup'!D:E,2,FALSE)*G2953)</f>
        <v>0</v>
      </c>
      <c r="V2953" s="78">
        <f>IF(NOT(ISNUMBER(G2953)), "", VLOOKUP(A2953,'Discount Lookup'!G:H,2,FALSE)*G2953)</f>
        <v>0</v>
      </c>
      <c r="W2953" s="102">
        <f t="shared" si="2221"/>
        <v>0</v>
      </c>
      <c r="X2953" s="102">
        <f t="shared" si="2222"/>
        <v>0</v>
      </c>
      <c r="Y2953" s="120" t="b">
        <f t="shared" si="2223"/>
        <v>0</v>
      </c>
      <c r="Z2953" s="117">
        <f t="shared" si="2224"/>
        <v>0</v>
      </c>
      <c r="AA2953" s="118"/>
      <c r="AB2953" s="118" t="str">
        <f t="shared" si="2225"/>
        <v/>
      </c>
      <c r="AC2953" s="712" t="str">
        <f>IF(AE2953="T2G","no charge",IF(AND(OR(PlanterYesMe="No",PlanterYesMe="N",PlanterYesMe="me"),H2953=""),"",IF(H2953="credit","NO install",IF(AND(K2953="",AE2953="me"),"EACH row",IF(AND(K2953="images",AE2953="me"),"EACH row",IF(D2953="","",IF(H2953="credit","",IF(AE2953="free","re-planting",IF(AE2953="me","   not ELP, by",IF(AND(OR(PlanterYesMe="Yes",PlanterYesMe="Y"),G2953&gt;0),(VLOOKUP(A2953,'Discount Lookup'!J:K,2)*G2953*(1-PlanterDiscount)*(1+PlanterDifficultyPercentage)),IF(AE2953="ELP",(VLOOKUP(A2953,'Discount Lookup'!J:K,2)*G2953*(1-PlanterDiscount)*(1+PlanterDifficultyPercentage)),IF(AE2953="free","re-planting",IF(G2953=0,"",IF(PlanterYesMe="",IF(AE2953="me","   not ELP, by",IF(AE2953="",IF(G2953&gt;0,(VLOOKUP(A2953,'Discount Lookup'!J:K,2)*G2953*(1-PlanterDiscount)*(1+PlanterDifficultyPercentage)),""),"")),"   not ELP, by"))))))))))))))</f>
        <v/>
      </c>
      <c r="AD2953" s="712"/>
      <c r="AE2953" s="513" t="str">
        <f t="shared" si="2226"/>
        <v/>
      </c>
      <c r="AF2953" s="713" t="str">
        <f t="shared" si="2227"/>
        <v/>
      </c>
      <c r="AG2953" s="713"/>
      <c r="AH2953" s="713"/>
      <c r="AI2953" s="112">
        <f>IF(H2953="credit",0,IF(AE2953="free",0,IF(AE2953="me",0,IF(G2953&gt;0,(VLOOKUP(A2953,'Discount Lookup'!J:K,2)*G2953),0))))</f>
        <v>0</v>
      </c>
      <c r="AJ2953" s="107" t="str">
        <f t="shared" ca="1" si="2228"/>
        <v/>
      </c>
      <c r="AK2953" s="714" t="str">
        <f t="shared" si="2229"/>
        <v/>
      </c>
      <c r="AL2953" s="714"/>
      <c r="AM2953" s="114" t="str">
        <f t="shared" si="2230"/>
        <v/>
      </c>
      <c r="AN2953" s="115"/>
      <c r="AO2953" s="116"/>
      <c r="AP2953" s="116"/>
      <c r="AQ2953" s="116"/>
      <c r="AR2953" s="116"/>
      <c r="AS2953" s="116"/>
      <c r="AT2953" s="116"/>
      <c r="AU2953" s="116"/>
      <c r="AV2953" s="78"/>
      <c r="AW2953" s="102"/>
      <c r="AX2953" s="78"/>
      <c r="AY2953" s="78"/>
      <c r="AZ2953" s="78"/>
      <c r="BA2953" s="78"/>
      <c r="BB2953" s="78"/>
      <c r="BC2953" s="78"/>
      <c r="BD2953" s="78"/>
      <c r="BE2953" s="465"/>
      <c r="BF2953" s="165" t="str">
        <f t="shared" si="2231"/>
        <v>https://www.google.com/search?tbm=isch&amp;q=7%20G4</v>
      </c>
      <c r="BG2953" s="165" t="str">
        <f t="shared" si="2232"/>
        <v>M</v>
      </c>
      <c r="BH2953" s="65"/>
      <c r="BI2953" s="65"/>
      <c r="BJ2953" s="65"/>
      <c r="BK2953" s="65"/>
      <c r="BL2953" s="99"/>
      <c r="BM2953" s="99"/>
      <c r="BN2953" s="99"/>
    </row>
    <row r="2954" spans="1:66" s="51" customFormat="1" ht="27" x14ac:dyDescent="0.25">
      <c r="A2954" s="634">
        <v>10</v>
      </c>
      <c r="B2954" s="635" t="s">
        <v>291</v>
      </c>
      <c r="C2954" s="636" t="s">
        <v>3550</v>
      </c>
      <c r="D2954" s="637" t="s">
        <v>299</v>
      </c>
      <c r="E2954" s="638">
        <v>146.94999999999999</v>
      </c>
      <c r="F2954" s="639" t="s">
        <v>292</v>
      </c>
      <c r="G2954" s="484">
        <v>0</v>
      </c>
      <c r="H2954" s="691" t="str">
        <f>IF(G2954=0,"",IF(F2954="Buy",IF(G2954=1,"plant","plants"),IF(F2954&gt;0.01,"warranty","Error")))</f>
        <v/>
      </c>
      <c r="I2954" s="640">
        <f>IF(H2954="free",0,IF(H2954="credit",((E2954*(F2954))*G2954*-1),IF(F2954="Buy",(E2954*G2954),((E2954*(1-F2954))*G2954))))</f>
        <v>0</v>
      </c>
      <c r="J2954" s="640">
        <f>IF(H2954="warranty",0,(I2954*(_xlfn.SINGLE(SalesTaxPercentage))))</f>
        <v>0</v>
      </c>
      <c r="K2954" s="716">
        <f t="shared" ref="K2954" si="2277">I2954+J2954</f>
        <v>0</v>
      </c>
      <c r="L2954" s="716"/>
      <c r="M2954" s="689" t="str">
        <f ca="1">IF(AND(G2954&gt;0,E2954=0),"WARNING - no PRICE inserted",IF(H2954="free","FREE ~ no charge this plant",IF(H2954="credit",CONCATENATE("-$",ROUND(K2954*(1-_xlfn.SINGLE(T2GDiscount))*-1,2)," CREDIT after discount"),IF(_xlfn.SINGLE(T2GDiscount)=0,"",IF(G2954=0,"",IF(F2954="Buy",CONCATENATE("$",ROUND(K2954*(1-_xlfn.SINGLE(T2GDiscount)),2)," with ",(_xlfn.SINGLE(T2GDiscount)*100),"% discount"),CONCATENATE("$",ROUND(K2954*(1-_xlfn.SINGLE(T2GDiscount)),2)," with ",((_xlfn.SINGLE(T2GDiscount)*100+F2954*100)-(_xlfn.SINGLE(T2GDiscount)*100*F2954)),IF(F2954&gt;0,"% discounts",IF(_xlfn.SINGLE(NoWarrantyDiscount)&gt;0,"% discounts","% discount")))))))))</f>
        <v/>
      </c>
      <c r="N2954" s="690"/>
      <c r="O2954" s="486"/>
      <c r="P2954" s="486"/>
      <c r="Q2954" s="486"/>
      <c r="R2954" s="486"/>
      <c r="S2954" s="486"/>
      <c r="T2954" s="102">
        <f t="shared" si="2220"/>
        <v>0</v>
      </c>
      <c r="U2954" s="78">
        <f>IF(NOT(ISNUMBER(G2954)), "", VLOOKUP(A2954,'Discount Lookup'!D:E,2,FALSE)*G2954)</f>
        <v>0</v>
      </c>
      <c r="V2954" s="78">
        <f>IF(NOT(ISNUMBER(G2954)), "", VLOOKUP(A2954,'Discount Lookup'!G:H,2,FALSE)*G2954)</f>
        <v>0</v>
      </c>
      <c r="W2954" s="102">
        <f t="shared" si="2221"/>
        <v>0</v>
      </c>
      <c r="X2954" s="102">
        <f t="shared" si="2222"/>
        <v>0</v>
      </c>
      <c r="Y2954" s="120" t="b">
        <f t="shared" si="2223"/>
        <v>0</v>
      </c>
      <c r="Z2954" s="117">
        <f t="shared" si="2224"/>
        <v>0</v>
      </c>
      <c r="AA2954" s="118"/>
      <c r="AB2954" s="118" t="str">
        <f t="shared" si="2225"/>
        <v/>
      </c>
      <c r="AC2954" s="712" t="str">
        <f>IF(AE2954="T2G","no charge",IF(AND(OR(PlanterYesMe="No",PlanterYesMe="N",PlanterYesMe="me"),H2954=""),"",IF(H2954="credit","NO install",IF(AND(K2954="",AE2954="me"),"EACH row",IF(AND(K2954="images",AE2954="me"),"EACH row",IF(D2954="","",IF(H2954="credit","",IF(AE2954="free","re-planting",IF(AE2954="me","   not ELP, by",IF(AND(OR(PlanterYesMe="Yes",PlanterYesMe="Y"),G2954&gt;0),(VLOOKUP(A2954,'Discount Lookup'!J:K,2)*G2954*(1-PlanterDiscount)*(1+PlanterDifficultyPercentage)),IF(AE2954="ELP",(VLOOKUP(A2954,'Discount Lookup'!J:K,2)*G2954*(1-PlanterDiscount)*(1+PlanterDifficultyPercentage)),IF(AE2954="free","re-planting",IF(G2954=0,"",IF(PlanterYesMe="",IF(AE2954="me","   not ELP, by",IF(AE2954="",IF(G2954&gt;0,(VLOOKUP(A2954,'Discount Lookup'!J:K,2)*G2954*(1-PlanterDiscount)*(1+PlanterDifficultyPercentage)),""),"")),"   not ELP, by"))))))))))))))</f>
        <v/>
      </c>
      <c r="AD2954" s="712"/>
      <c r="AE2954" s="513" t="str">
        <f t="shared" si="2226"/>
        <v/>
      </c>
      <c r="AF2954" s="713" t="str">
        <f t="shared" si="2227"/>
        <v/>
      </c>
      <c r="AG2954" s="713"/>
      <c r="AH2954" s="713"/>
      <c r="AI2954" s="112">
        <f>IF(H2954="credit",0,IF(AE2954="free",0,IF(AE2954="me",0,IF(G2954&gt;0,(VLOOKUP(A2954,'Discount Lookup'!J:K,2)*G2954),0))))</f>
        <v>0</v>
      </c>
      <c r="AJ2954" s="107" t="str">
        <f t="shared" ca="1" si="2228"/>
        <v/>
      </c>
      <c r="AK2954" s="714" t="str">
        <f t="shared" si="2229"/>
        <v/>
      </c>
      <c r="AL2954" s="714"/>
      <c r="AM2954" s="114" t="str">
        <f t="shared" si="2230"/>
        <v/>
      </c>
      <c r="AN2954" s="115"/>
      <c r="AO2954" s="116"/>
      <c r="AP2954" s="116"/>
      <c r="AQ2954" s="116"/>
      <c r="AR2954" s="116"/>
      <c r="AS2954" s="116"/>
      <c r="AT2954" s="116"/>
      <c r="AU2954" s="116"/>
      <c r="AV2954" s="78"/>
      <c r="AW2954" s="102"/>
      <c r="AX2954" s="78"/>
      <c r="AY2954" s="78"/>
      <c r="AZ2954" s="78"/>
      <c r="BA2954" s="78"/>
      <c r="BB2954" s="78"/>
      <c r="BC2954" s="78"/>
      <c r="BD2954" s="78"/>
      <c r="BE2954" s="465"/>
      <c r="BF2954" s="165" t="str">
        <f t="shared" si="2231"/>
        <v>https://www.google.com/search?tbm=isch&amp;q=10%20G4</v>
      </c>
      <c r="BG2954" s="165" t="str">
        <f t="shared" si="2232"/>
        <v>M</v>
      </c>
      <c r="BH2954" s="65"/>
      <c r="BI2954" s="65"/>
      <c r="BJ2954" s="65"/>
      <c r="BK2954" s="65"/>
      <c r="BL2954" s="99"/>
      <c r="BM2954" s="99"/>
      <c r="BN2954" s="99"/>
    </row>
    <row r="2955" spans="1:66" s="51" customFormat="1" ht="17.25" thickBot="1" x14ac:dyDescent="0.3">
      <c r="A2955" s="641" t="s">
        <v>3551</v>
      </c>
      <c r="B2955" s="642"/>
      <c r="C2955" s="710"/>
      <c r="D2955" s="643"/>
      <c r="E2955" s="643"/>
      <c r="F2955" s="644"/>
      <c r="G2955" s="645"/>
      <c r="H2955" s="646"/>
      <c r="I2955" s="647"/>
      <c r="J2955" s="648"/>
      <c r="K2955" s="649"/>
      <c r="L2955" s="650"/>
      <c r="M2955" s="650"/>
      <c r="N2955" s="644"/>
      <c r="O2955" s="644"/>
      <c r="P2955" s="644"/>
      <c r="Q2955" s="644"/>
      <c r="R2955" s="644"/>
      <c r="S2955" s="651"/>
      <c r="T2955" s="102">
        <f t="shared" si="2220"/>
        <v>0</v>
      </c>
      <c r="U2955" s="78" t="str">
        <f>IF(NOT(ISNUMBER(G2955)), "", VLOOKUP(A2955,'Discount Lookup'!D:E,2,FALSE)*G2955)</f>
        <v/>
      </c>
      <c r="V2955" s="78" t="str">
        <f>IF(NOT(ISNUMBER(G2955)), "", VLOOKUP(A2955,'Discount Lookup'!G:H,2,FALSE)*G2955)</f>
        <v/>
      </c>
      <c r="W2955" s="102">
        <f t="shared" si="2221"/>
        <v>0</v>
      </c>
      <c r="X2955" s="102">
        <f t="shared" si="2222"/>
        <v>0</v>
      </c>
      <c r="Y2955" s="120" t="b">
        <f t="shared" si="2223"/>
        <v>0</v>
      </c>
      <c r="Z2955" s="117">
        <f t="shared" si="2224"/>
        <v>0</v>
      </c>
      <c r="AA2955" s="118"/>
      <c r="AB2955" s="118" t="str">
        <f t="shared" si="2225"/>
        <v/>
      </c>
      <c r="AC2955" s="712" t="str">
        <f>IF(AE2955="T2G","no charge",IF(AND(OR(PlanterYesMe="No",PlanterYesMe="N",PlanterYesMe="me"),H2955=""),"",IF(H2955="credit","NO install",IF(AND(K2955="",AE2955="me"),"EACH row",IF(AND(K2955="images",AE2955="me"),"EACH row",IF(D2955="","",IF(H2955="credit","",IF(AE2955="free","re-planting",IF(AE2955="me","   not ELP, by",IF(AND(OR(PlanterYesMe="Yes",PlanterYesMe="Y"),G2955&gt;0),(VLOOKUP(A2955,'Discount Lookup'!J:K,2)*G2955*(1-PlanterDiscount)*(1+PlanterDifficultyPercentage)),IF(AE2955="ELP",(VLOOKUP(A2955,'Discount Lookup'!J:K,2)*G2955*(1-PlanterDiscount)*(1+PlanterDifficultyPercentage)),IF(AE2955="free","re-planting",IF(G2955=0,"",IF(PlanterYesMe="",IF(AE2955="me","   not ELP, by",IF(AE2955="",IF(G2955&gt;0,(VLOOKUP(A2955,'Discount Lookup'!J:K,2)*G2955*(1-PlanterDiscount)*(1+PlanterDifficultyPercentage)),""),"")),"   not ELP, by"))))))))))))))</f>
        <v/>
      </c>
      <c r="AD2955" s="712"/>
      <c r="AE2955" s="513" t="str">
        <f t="shared" si="2226"/>
        <v/>
      </c>
      <c r="AF2955" s="713" t="str">
        <f t="shared" si="2227"/>
        <v/>
      </c>
      <c r="AG2955" s="713"/>
      <c r="AH2955" s="713"/>
      <c r="AI2955" s="112">
        <f>IF(H2955="credit",0,IF(AE2955="free",0,IF(AE2955="me",0,IF(G2955&gt;0,(VLOOKUP(A2955,'Discount Lookup'!J:K,2)*G2955),0))))</f>
        <v>0</v>
      </c>
      <c r="AJ2955" s="107" t="str">
        <f t="shared" ca="1" si="2228"/>
        <v/>
      </c>
      <c r="AK2955" s="714" t="str">
        <f t="shared" si="2229"/>
        <v/>
      </c>
      <c r="AL2955" s="714"/>
      <c r="AM2955" s="114" t="str">
        <f t="shared" si="2230"/>
        <v/>
      </c>
      <c r="AN2955" s="115"/>
      <c r="AO2955" s="116"/>
      <c r="AP2955" s="116"/>
      <c r="AQ2955" s="116"/>
      <c r="AR2955" s="116"/>
      <c r="AS2955" s="116"/>
      <c r="AT2955" s="116"/>
      <c r="AU2955" s="116"/>
      <c r="AV2955" s="78"/>
      <c r="AW2955" s="102"/>
      <c r="AX2955" s="78"/>
      <c r="AY2955" s="78"/>
      <c r="AZ2955" s="78"/>
      <c r="BA2955" s="78"/>
      <c r="BB2955" s="78"/>
      <c r="BC2955" s="78"/>
      <c r="BD2955" s="78"/>
      <c r="BE2955" s="465"/>
      <c r="BF2955" s="165" t="str">
        <f t="shared" si="2231"/>
        <v>https://www.google.com/search?tbm=isch&amp;q=Wildcat%20Magnolia%20known%20for%20showstopper%20spring%20bloom%20of%20fragrant%2C%20fully%20double%20pom-pom%20blossoms%2C%20all%20atop%20a%20compact%2C%20gray-barked%20stem.%20Cold%20hardy%20</v>
      </c>
      <c r="BG2955" s="165" t="str">
        <f t="shared" si="2232"/>
        <v>W</v>
      </c>
      <c r="BH2955" s="65"/>
      <c r="BI2955" s="65"/>
      <c r="BJ2955" s="65"/>
      <c r="BK2955" s="65"/>
      <c r="BL2955" s="99"/>
      <c r="BM2955" s="99"/>
      <c r="BN2955" s="99"/>
    </row>
    <row r="2956" spans="1:66" s="51" customFormat="1" ht="18" x14ac:dyDescent="0.25">
      <c r="A2956" s="623" t="s">
        <v>5080</v>
      </c>
      <c r="B2956" s="624"/>
      <c r="C2956" s="709"/>
      <c r="D2956" s="625" t="s">
        <v>5081</v>
      </c>
      <c r="E2956" s="626"/>
      <c r="F2956" s="626"/>
      <c r="G2956" s="626"/>
      <c r="H2956" s="622" t="s">
        <v>330</v>
      </c>
      <c r="I2956" s="627" t="s">
        <v>3908</v>
      </c>
      <c r="J2956" s="628"/>
      <c r="K2956" s="628"/>
      <c r="L2956" s="629"/>
      <c r="M2956" s="700" t="s">
        <v>5249</v>
      </c>
      <c r="N2956" s="693" t="str">
        <f>IF(AND(ISTEXT($A2956), ISERROR($A2956+0)), HYPERLINK($BF2956, "Images"), "")</f>
        <v>Images</v>
      </c>
      <c r="O2956" s="695" t="s">
        <v>5264</v>
      </c>
      <c r="P2956" s="630"/>
      <c r="Q2956" s="631"/>
      <c r="R2956" s="632"/>
      <c r="S2956" s="633"/>
      <c r="T2956" s="102">
        <f t="shared" si="2220"/>
        <v>0</v>
      </c>
      <c r="U2956" s="78" t="str">
        <f>IF(NOT(ISNUMBER(G2956)), "", VLOOKUP(A2956,'Discount Lookup'!D:E,2,FALSE)*G2956)</f>
        <v/>
      </c>
      <c r="V2956" s="78" t="str">
        <f>IF(NOT(ISNUMBER(G2956)), "", VLOOKUP(A2956,'Discount Lookup'!G:H,2,FALSE)*G2956)</f>
        <v/>
      </c>
      <c r="W2956" s="102">
        <f t="shared" si="2221"/>
        <v>0</v>
      </c>
      <c r="X2956" s="102" t="str">
        <f t="shared" si="2222"/>
        <v>Soft Pink to White bloom</v>
      </c>
      <c r="Y2956" s="120" t="b">
        <f t="shared" si="2223"/>
        <v>0</v>
      </c>
      <c r="Z2956" s="117">
        <f t="shared" si="2224"/>
        <v>0</v>
      </c>
      <c r="AA2956" s="118"/>
      <c r="AB2956" s="118" t="str">
        <f t="shared" si="2225"/>
        <v/>
      </c>
      <c r="AC2956" s="712" t="str">
        <f>IF(AE2956="T2G","no charge",IF(AND(OR(PlanterYesMe="No",PlanterYesMe="N",PlanterYesMe="me"),H2956=""),"",IF(H2956="credit","NO install",IF(AND(K2956="",AE2956="me"),"EACH row",IF(AND(K2956="images",AE2956="me"),"EACH row",IF(D2956="","",IF(H2956="credit","",IF(AE2956="free","re-planting",IF(AE2956="me","   not ELP, by",IF(AND(OR(PlanterYesMe="Yes",PlanterYesMe="Y"),G2956&gt;0),(VLOOKUP(A2956,'Discount Lookup'!J:K,2)*G2956*(1-PlanterDiscount)*(1+PlanterDifficultyPercentage)),IF(AE2956="ELP",(VLOOKUP(A2956,'Discount Lookup'!J:K,2)*G2956*(1-PlanterDiscount)*(1+PlanterDifficultyPercentage)),IF(AE2956="free","re-planting",IF(G2956=0,"",IF(PlanterYesMe="",IF(AE2956="me","   not ELP, by",IF(AE2956="",IF(G2956&gt;0,(VLOOKUP(A2956,'Discount Lookup'!J:K,2)*G2956*(1-PlanterDiscount)*(1+PlanterDifficultyPercentage)),""),"")),"   not ELP, by"))))))))))))))</f>
        <v/>
      </c>
      <c r="AD2956" s="712"/>
      <c r="AE2956" s="513" t="str">
        <f t="shared" si="2226"/>
        <v/>
      </c>
      <c r="AF2956" s="713" t="str">
        <f t="shared" si="2227"/>
        <v/>
      </c>
      <c r="AG2956" s="713"/>
      <c r="AH2956" s="713"/>
      <c r="AI2956" s="112">
        <f>IF(H2956="credit",0,IF(AE2956="free",0,IF(AE2956="me",0,IF(G2956&gt;0,(VLOOKUP(A2956,'Discount Lookup'!J:K,2)*G2956),0))))</f>
        <v>0</v>
      </c>
      <c r="AJ2956" s="107" t="str">
        <f t="shared" ca="1" si="2228"/>
        <v/>
      </c>
      <c r="AK2956" s="714" t="str">
        <f t="shared" si="2229"/>
        <v/>
      </c>
      <c r="AL2956" s="714"/>
      <c r="AM2956" s="114" t="str">
        <f t="shared" si="2230"/>
        <v/>
      </c>
      <c r="AN2956" s="115"/>
      <c r="AO2956" s="116"/>
      <c r="AP2956" s="116"/>
      <c r="AQ2956" s="116"/>
      <c r="AR2956" s="116"/>
      <c r="AS2956" s="116"/>
      <c r="AT2956" s="116"/>
      <c r="AU2956" s="116"/>
      <c r="AV2956" s="78"/>
      <c r="AW2956" s="102"/>
      <c r="AX2956" s="78"/>
      <c r="AY2956" s="78"/>
      <c r="AZ2956" s="78"/>
      <c r="BA2956" s="78"/>
      <c r="BB2956" s="78"/>
      <c r="BC2956" s="78"/>
      <c r="BD2956" s="78"/>
      <c r="BE2956" s="465"/>
      <c r="BF2956" s="165" t="str">
        <f t="shared" si="2231"/>
        <v>https://www.google.com/search?tbm=isch&amp;q=Magnolia%20x%20%27Patience%27%20Little%20Mimi%20Magnolia</v>
      </c>
      <c r="BG2956" s="165" t="str">
        <f t="shared" si="2232"/>
        <v>M</v>
      </c>
      <c r="BH2956" s="65"/>
      <c r="BI2956" s="65"/>
      <c r="BJ2956" s="65"/>
      <c r="BK2956" s="65"/>
      <c r="BL2956" s="99"/>
      <c r="BM2956" s="99"/>
      <c r="BN2956" s="99"/>
    </row>
    <row r="2957" spans="1:66" s="51" customFormat="1" ht="15.75" x14ac:dyDescent="0.25">
      <c r="A2957" s="634">
        <v>7</v>
      </c>
      <c r="B2957" s="635" t="s">
        <v>291</v>
      </c>
      <c r="C2957" s="636" t="s">
        <v>5082</v>
      </c>
      <c r="D2957" s="637" t="s">
        <v>299</v>
      </c>
      <c r="E2957" s="638">
        <v>123.95</v>
      </c>
      <c r="F2957" s="639" t="s">
        <v>292</v>
      </c>
      <c r="G2957" s="484">
        <v>0</v>
      </c>
      <c r="H2957" s="691" t="str">
        <f>IF(G2957=0,"",IF(F2957="Buy",IF(G2957=1,"plant","plants"),IF(F2957&gt;0.01,"warranty","Error")))</f>
        <v/>
      </c>
      <c r="I2957" s="640">
        <f>IF(H2957="free",0,IF(H2957="credit",((E2957*(F2957))*G2957*-1),IF(F2957="Buy",(E2957*G2957),((E2957*(1-F2957))*G2957))))</f>
        <v>0</v>
      </c>
      <c r="J2957" s="640">
        <f>IF(H2957="warranty",0,(I2957*(_xlfn.SINGLE(SalesTaxPercentage))))</f>
        <v>0</v>
      </c>
      <c r="K2957" s="716">
        <f t="shared" ref="K2957" si="2278">I2957+J2957</f>
        <v>0</v>
      </c>
      <c r="L2957" s="716"/>
      <c r="M2957" s="689" t="str">
        <f ca="1">IF(AND(G2957&gt;0,E2957=0),"WARNING - no PRICE inserted",IF(H2957="free","FREE ~ no charge this plant",IF(H2957="credit",CONCATENATE("-$",ROUND(K2957*(1-_xlfn.SINGLE(T2GDiscount))*-1,2)," CREDIT after discount"),IF(_xlfn.SINGLE(T2GDiscount)=0,"",IF(G2957=0,"",IF(F2957="Buy",CONCATENATE("$",ROUND(K2957*(1-_xlfn.SINGLE(T2GDiscount)),2)," with ",(_xlfn.SINGLE(T2GDiscount)*100),"% discount"),CONCATENATE("$",ROUND(K2957*(1-_xlfn.SINGLE(T2GDiscount)),2)," with ",((_xlfn.SINGLE(T2GDiscount)*100+F2957*100)-(_xlfn.SINGLE(T2GDiscount)*100*F2957)),IF(F2957&gt;0,"% discounts",IF(_xlfn.SINGLE(NoWarrantyDiscount)&gt;0,"% discounts","% discount")))))))))</f>
        <v/>
      </c>
      <c r="N2957" s="690"/>
      <c r="O2957" s="486"/>
      <c r="P2957" s="486"/>
      <c r="Q2957" s="486"/>
      <c r="R2957" s="486"/>
      <c r="S2957" s="486"/>
      <c r="T2957" s="102">
        <f t="shared" si="2220"/>
        <v>0</v>
      </c>
      <c r="U2957" s="78">
        <f>IF(NOT(ISNUMBER(G2957)), "", VLOOKUP(A2957,'Discount Lookup'!D:E,2,FALSE)*G2957)</f>
        <v>0</v>
      </c>
      <c r="V2957" s="78">
        <f>IF(NOT(ISNUMBER(G2957)), "", VLOOKUP(A2957,'Discount Lookup'!G:H,2,FALSE)*G2957)</f>
        <v>0</v>
      </c>
      <c r="W2957" s="102">
        <f t="shared" si="2221"/>
        <v>0</v>
      </c>
      <c r="X2957" s="102">
        <f t="shared" si="2222"/>
        <v>0</v>
      </c>
      <c r="Y2957" s="120" t="b">
        <f t="shared" si="2223"/>
        <v>0</v>
      </c>
      <c r="Z2957" s="117">
        <f t="shared" si="2224"/>
        <v>0</v>
      </c>
      <c r="AA2957" s="118"/>
      <c r="AB2957" s="118" t="str">
        <f t="shared" si="2225"/>
        <v/>
      </c>
      <c r="AC2957" s="712" t="str">
        <f>IF(AE2957="T2G","no charge",IF(AND(OR(PlanterYesMe="No",PlanterYesMe="N",PlanterYesMe="me"),H2957=""),"",IF(H2957="credit","NO install",IF(AND(K2957="",AE2957="me"),"EACH row",IF(AND(K2957="images",AE2957="me"),"EACH row",IF(D2957="","",IF(H2957="credit","",IF(AE2957="free","re-planting",IF(AE2957="me","   not ELP, by",IF(AND(OR(PlanterYesMe="Yes",PlanterYesMe="Y"),G2957&gt;0),(VLOOKUP(A2957,'Discount Lookup'!J:K,2)*G2957*(1-PlanterDiscount)*(1+PlanterDifficultyPercentage)),IF(AE2957="ELP",(VLOOKUP(A2957,'Discount Lookup'!J:K,2)*G2957*(1-PlanterDiscount)*(1+PlanterDifficultyPercentage)),IF(AE2957="free","re-planting",IF(G2957=0,"",IF(PlanterYesMe="",IF(AE2957="me","   not ELP, by",IF(AE2957="",IF(G2957&gt;0,(VLOOKUP(A2957,'Discount Lookup'!J:K,2)*G2957*(1-PlanterDiscount)*(1+PlanterDifficultyPercentage)),""),"")),"   not ELP, by"))))))))))))))</f>
        <v/>
      </c>
      <c r="AD2957" s="712"/>
      <c r="AE2957" s="513" t="str">
        <f t="shared" si="2226"/>
        <v/>
      </c>
      <c r="AF2957" s="713" t="str">
        <f t="shared" si="2227"/>
        <v/>
      </c>
      <c r="AG2957" s="713"/>
      <c r="AH2957" s="713"/>
      <c r="AI2957" s="112">
        <f>IF(H2957="credit",0,IF(AE2957="free",0,IF(AE2957="me",0,IF(G2957&gt;0,(VLOOKUP(A2957,'Discount Lookup'!J:K,2)*G2957),0))))</f>
        <v>0</v>
      </c>
      <c r="AJ2957" s="107" t="str">
        <f t="shared" ca="1" si="2228"/>
        <v/>
      </c>
      <c r="AK2957" s="714" t="str">
        <f t="shared" si="2229"/>
        <v/>
      </c>
      <c r="AL2957" s="714"/>
      <c r="AM2957" s="114" t="str">
        <f t="shared" si="2230"/>
        <v/>
      </c>
      <c r="AN2957" s="115"/>
      <c r="AO2957" s="116"/>
      <c r="AP2957" s="116"/>
      <c r="AQ2957" s="116"/>
      <c r="AR2957" s="116"/>
      <c r="AS2957" s="116"/>
      <c r="AT2957" s="116"/>
      <c r="AU2957" s="116"/>
      <c r="AV2957" s="78"/>
      <c r="AW2957" s="102"/>
      <c r="AX2957" s="78"/>
      <c r="AY2957" s="78"/>
      <c r="AZ2957" s="78"/>
      <c r="BA2957" s="78"/>
      <c r="BB2957" s="78"/>
      <c r="BC2957" s="78"/>
      <c r="BD2957" s="78"/>
      <c r="BE2957" s="465"/>
      <c r="BF2957" s="165" t="str">
        <f t="shared" si="2231"/>
        <v>https://www.google.com/search?tbm=isch&amp;q=7%20G4</v>
      </c>
      <c r="BG2957" s="165" t="str">
        <f t="shared" si="2232"/>
        <v>M</v>
      </c>
      <c r="BH2957" s="65"/>
      <c r="BI2957" s="65"/>
      <c r="BJ2957" s="65"/>
      <c r="BK2957" s="65"/>
      <c r="BL2957" s="99"/>
      <c r="BM2957" s="99"/>
      <c r="BN2957" s="99"/>
    </row>
    <row r="2958" spans="1:66" s="51" customFormat="1" ht="16.5" x14ac:dyDescent="0.25">
      <c r="A2958" s="641" t="s">
        <v>5083</v>
      </c>
      <c r="B2958" s="642"/>
      <c r="C2958" s="710"/>
      <c r="D2958" s="643"/>
      <c r="E2958" s="643"/>
      <c r="F2958" s="644"/>
      <c r="G2958" s="645"/>
      <c r="H2958" s="646"/>
      <c r="I2958" s="647"/>
      <c r="J2958" s="648"/>
      <c r="K2958" s="649"/>
      <c r="L2958" s="650"/>
      <c r="M2958" s="650"/>
      <c r="N2958" s="644"/>
      <c r="O2958" s="644"/>
      <c r="P2958" s="644"/>
      <c r="Q2958" s="644"/>
      <c r="R2958" s="644"/>
      <c r="S2958" s="651"/>
      <c r="T2958" s="102">
        <f t="shared" si="2220"/>
        <v>0</v>
      </c>
      <c r="U2958" s="78" t="str">
        <f>IF(NOT(ISNUMBER(G2958)), "", VLOOKUP(A2958,'Discount Lookup'!D:E,2,FALSE)*G2958)</f>
        <v/>
      </c>
      <c r="V2958" s="78" t="str">
        <f>IF(NOT(ISNUMBER(G2958)), "", VLOOKUP(A2958,'Discount Lookup'!G:H,2,FALSE)*G2958)</f>
        <v/>
      </c>
      <c r="W2958" s="102">
        <f t="shared" si="2221"/>
        <v>0</v>
      </c>
      <c r="X2958" s="102">
        <f t="shared" si="2222"/>
        <v>0</v>
      </c>
      <c r="Y2958" s="120" t="b">
        <f t="shared" si="2223"/>
        <v>0</v>
      </c>
      <c r="Z2958" s="117">
        <f t="shared" si="2224"/>
        <v>0</v>
      </c>
      <c r="AA2958" s="118"/>
      <c r="AB2958" s="118" t="str">
        <f t="shared" si="2225"/>
        <v/>
      </c>
      <c r="AC2958" s="712" t="str">
        <f>IF(AE2958="T2G","no charge",IF(AND(OR(PlanterYesMe="No",PlanterYesMe="N",PlanterYesMe="me"),H2958=""),"",IF(H2958="credit","NO install",IF(AND(K2958="",AE2958="me"),"EACH row",IF(AND(K2958="images",AE2958="me"),"EACH row",IF(D2958="","",IF(H2958="credit","",IF(AE2958="free","re-planting",IF(AE2958="me","   not ELP, by",IF(AND(OR(PlanterYesMe="Yes",PlanterYesMe="Y"),G2958&gt;0),(VLOOKUP(A2958,'Discount Lookup'!J:K,2)*G2958*(1-PlanterDiscount)*(1+PlanterDifficultyPercentage)),IF(AE2958="ELP",(VLOOKUP(A2958,'Discount Lookup'!J:K,2)*G2958*(1-PlanterDiscount)*(1+PlanterDifficultyPercentage)),IF(AE2958="free","re-planting",IF(G2958=0,"",IF(PlanterYesMe="",IF(AE2958="me","   not ELP, by",IF(AE2958="",IF(G2958&gt;0,(VLOOKUP(A2958,'Discount Lookup'!J:K,2)*G2958*(1-PlanterDiscount)*(1+PlanterDifficultyPercentage)),""),"")),"   not ELP, by"))))))))))))))</f>
        <v/>
      </c>
      <c r="AD2958" s="712"/>
      <c r="AE2958" s="513" t="str">
        <f t="shared" si="2226"/>
        <v/>
      </c>
      <c r="AF2958" s="713" t="str">
        <f t="shared" si="2227"/>
        <v/>
      </c>
      <c r="AG2958" s="713"/>
      <c r="AH2958" s="713"/>
      <c r="AI2958" s="112">
        <f>IF(H2958="credit",0,IF(AE2958="free",0,IF(AE2958="me",0,IF(G2958&gt;0,(VLOOKUP(A2958,'Discount Lookup'!J:K,2)*G2958),0))))</f>
        <v>0</v>
      </c>
      <c r="AJ2958" s="107" t="str">
        <f t="shared" ca="1" si="2228"/>
        <v/>
      </c>
      <c r="AK2958" s="714" t="str">
        <f t="shared" si="2229"/>
        <v/>
      </c>
      <c r="AL2958" s="714"/>
      <c r="AM2958" s="114" t="str">
        <f t="shared" si="2230"/>
        <v/>
      </c>
      <c r="AN2958" s="115"/>
      <c r="AO2958" s="116"/>
      <c r="AP2958" s="116"/>
      <c r="AQ2958" s="116"/>
      <c r="AR2958" s="116"/>
      <c r="AS2958" s="116"/>
      <c r="AT2958" s="116"/>
      <c r="AU2958" s="116"/>
      <c r="AV2958" s="78"/>
      <c r="AW2958" s="102"/>
      <c r="AX2958" s="78"/>
      <c r="AY2958" s="78"/>
      <c r="AZ2958" s="78"/>
      <c r="BA2958" s="78"/>
      <c r="BB2958" s="78"/>
      <c r="BC2958" s="78"/>
      <c r="BD2958" s="78"/>
      <c r="BE2958" s="465"/>
      <c r="BF2958" s="165" t="str">
        <f t="shared" si="2231"/>
        <v>https://www.google.com/search?tbm=isch&amp;q=Little%20Mimi%20is%20noted%20for%20its%20sweet-scented%20flowers%20that%20bloom%20in%20spring%20and%20sporadically%20through%20the%20summer%20</v>
      </c>
      <c r="BG2958" s="165" t="str">
        <f t="shared" si="2232"/>
        <v>L</v>
      </c>
      <c r="BH2958" s="65"/>
      <c r="BI2958" s="65"/>
      <c r="BJ2958" s="65"/>
      <c r="BK2958" s="65"/>
      <c r="BL2958" s="99"/>
      <c r="BM2958" s="99"/>
      <c r="BN2958" s="99"/>
    </row>
    <row r="2959" spans="1:66" s="51" customFormat="1" ht="19.5" thickBot="1" x14ac:dyDescent="0.3">
      <c r="A2959" s="686" t="s">
        <v>618</v>
      </c>
      <c r="B2959" s="73"/>
      <c r="C2959" s="708"/>
      <c r="D2959" s="73"/>
      <c r="E2959" s="73"/>
      <c r="F2959" s="496"/>
      <c r="G2959" s="73"/>
      <c r="H2959" s="73"/>
      <c r="I2959" s="73"/>
      <c r="J2959" s="497" t="s">
        <v>357</v>
      </c>
      <c r="K2959" s="498"/>
      <c r="L2959" s="562"/>
      <c r="M2959" s="73"/>
      <c r="N2959"/>
      <c r="O2959"/>
      <c r="P2959"/>
      <c r="Q2959"/>
      <c r="R2959"/>
      <c r="S2959"/>
      <c r="T2959" s="102">
        <f t="shared" si="2220"/>
        <v>0</v>
      </c>
      <c r="U2959" s="78" t="str">
        <f>IF(NOT(ISNUMBER(G2959)), "", VLOOKUP(A2959,'Discount Lookup'!D:E,2,FALSE)*G2959)</f>
        <v/>
      </c>
      <c r="V2959" s="78" t="str">
        <f>IF(NOT(ISNUMBER(G2959)), "", VLOOKUP(A2959,'Discount Lookup'!G:H,2,FALSE)*G2959)</f>
        <v/>
      </c>
      <c r="W2959" s="102">
        <f t="shared" si="2221"/>
        <v>0</v>
      </c>
      <c r="X2959" s="102">
        <f t="shared" si="2222"/>
        <v>0</v>
      </c>
      <c r="Y2959" s="120" t="b">
        <f t="shared" si="2223"/>
        <v>0</v>
      </c>
      <c r="Z2959" s="117">
        <f t="shared" si="2224"/>
        <v>0</v>
      </c>
      <c r="AA2959" s="118"/>
      <c r="AB2959" s="118" t="str">
        <f t="shared" si="2225"/>
        <v/>
      </c>
      <c r="AC2959" s="712" t="str">
        <f>IF(AE2959="T2G","no charge",IF(AND(OR(PlanterYesMe="No",PlanterYesMe="N",PlanterYesMe="me"),H2959=""),"",IF(H2959="credit","NO install",IF(AND(K2959="",AE2959="me"),"EACH row",IF(AND(K2959="images",AE2959="me"),"EACH row",IF(D2959="","",IF(H2959="credit","",IF(AE2959="free","re-planting",IF(AE2959="me","   not ELP, by",IF(AND(OR(PlanterYesMe="Yes",PlanterYesMe="Y"),G2959&gt;0),(VLOOKUP(A2959,'Discount Lookup'!J:K,2)*G2959*(1-PlanterDiscount)*(1+PlanterDifficultyPercentage)),IF(AE2959="ELP",(VLOOKUP(A2959,'Discount Lookup'!J:K,2)*G2959*(1-PlanterDiscount)*(1+PlanterDifficultyPercentage)),IF(AE2959="free","re-planting",IF(G2959=0,"",IF(PlanterYesMe="",IF(AE2959="me","   not ELP, by",IF(AE2959="",IF(G2959&gt;0,(VLOOKUP(A2959,'Discount Lookup'!J:K,2)*G2959*(1-PlanterDiscount)*(1+PlanterDifficultyPercentage)),""),"")),"   not ELP, by"))))))))))))))</f>
        <v/>
      </c>
      <c r="AD2959" s="712"/>
      <c r="AE2959" s="513" t="str">
        <f t="shared" si="2226"/>
        <v/>
      </c>
      <c r="AF2959" s="713" t="str">
        <f t="shared" si="2227"/>
        <v/>
      </c>
      <c r="AG2959" s="713"/>
      <c r="AH2959" s="713"/>
      <c r="AI2959" s="112">
        <f>IF(H2959="credit",0,IF(AE2959="free",0,IF(AE2959="me",0,IF(G2959&gt;0,(VLOOKUP(A2959,'Discount Lookup'!J:K,2)*G2959),0))))</f>
        <v>0</v>
      </c>
      <c r="AJ2959" s="107" t="str">
        <f t="shared" ca="1" si="2228"/>
        <v/>
      </c>
      <c r="AK2959" s="714" t="str">
        <f t="shared" si="2229"/>
        <v/>
      </c>
      <c r="AL2959" s="714"/>
      <c r="AM2959" s="114" t="str">
        <f t="shared" si="2230"/>
        <v/>
      </c>
      <c r="AN2959" s="115"/>
      <c r="AO2959" s="116"/>
      <c r="AP2959" s="116"/>
      <c r="AQ2959" s="116"/>
      <c r="AR2959" s="116"/>
      <c r="AS2959" s="116"/>
      <c r="AT2959" s="116"/>
      <c r="AU2959" s="116"/>
      <c r="AV2959" s="78"/>
      <c r="AW2959" s="102"/>
      <c r="AX2959" s="78"/>
      <c r="AY2959" s="78"/>
      <c r="AZ2959" s="78"/>
      <c r="BA2959" s="78"/>
      <c r="BB2959" s="78"/>
      <c r="BC2959" s="78"/>
      <c r="BD2959" s="78"/>
      <c r="BE2959" s="465"/>
      <c r="BF2959" s="165" t="str">
        <f t="shared" si="2231"/>
        <v>https://www.google.com/search?tbm=isch&amp;q=Mahonia%20%3D%20Grape%20Holly%20</v>
      </c>
      <c r="BG2959" s="165" t="str">
        <f t="shared" si="2232"/>
        <v>M</v>
      </c>
      <c r="BH2959" s="65"/>
      <c r="BI2959" s="65"/>
      <c r="BJ2959" s="65"/>
      <c r="BK2959" s="65"/>
      <c r="BL2959" s="99"/>
      <c r="BM2959" s="99"/>
      <c r="BN2959" s="99"/>
    </row>
    <row r="2960" spans="1:66" s="51" customFormat="1" ht="18" x14ac:dyDescent="0.25">
      <c r="A2960" s="507" t="s">
        <v>3552</v>
      </c>
      <c r="B2960" s="470"/>
      <c r="C2960" s="706"/>
      <c r="D2960" s="471" t="s">
        <v>3553</v>
      </c>
      <c r="E2960" s="472"/>
      <c r="F2960" s="472"/>
      <c r="G2960" s="472"/>
      <c r="H2960" s="622" t="s">
        <v>318</v>
      </c>
      <c r="I2960" s="473" t="s">
        <v>565</v>
      </c>
      <c r="J2960" s="472"/>
      <c r="K2960" s="472"/>
      <c r="L2960" s="561"/>
      <c r="M2960" s="703" t="s">
        <v>5260</v>
      </c>
      <c r="N2960" s="692" t="str">
        <f>IF(AND(ISTEXT($A2960), ISERROR($A2960+0)), HYPERLINK($BF2960, "Images"), "")</f>
        <v>Images</v>
      </c>
      <c r="O2960" s="694" t="s">
        <v>5244</v>
      </c>
      <c r="P2960" s="475"/>
      <c r="Q2960" s="476"/>
      <c r="R2960" s="476"/>
      <c r="S2960" s="477"/>
      <c r="T2960" s="102">
        <f t="shared" si="2220"/>
        <v>0</v>
      </c>
      <c r="U2960" s="78" t="str">
        <f>IF(NOT(ISNUMBER(G2960)), "", VLOOKUP(A2960,'Discount Lookup'!D:E,2,FALSE)*G2960)</f>
        <v/>
      </c>
      <c r="V2960" s="78" t="str">
        <f>IF(NOT(ISNUMBER(G2960)), "", VLOOKUP(A2960,'Discount Lookup'!G:H,2,FALSE)*G2960)</f>
        <v/>
      </c>
      <c r="W2960" s="102">
        <f t="shared" si="2221"/>
        <v>0</v>
      </c>
      <c r="X2960" s="102" t="str">
        <f t="shared" si="2222"/>
        <v>Blue-Green foliage</v>
      </c>
      <c r="Y2960" s="120" t="b">
        <f t="shared" si="2223"/>
        <v>0</v>
      </c>
      <c r="Z2960" s="117">
        <f t="shared" si="2224"/>
        <v>0</v>
      </c>
      <c r="AA2960" s="118"/>
      <c r="AB2960" s="118" t="str">
        <f t="shared" si="2225"/>
        <v/>
      </c>
      <c r="AC2960" s="712" t="str">
        <f>IF(AE2960="T2G","no charge",IF(AND(OR(PlanterYesMe="No",PlanterYesMe="N",PlanterYesMe="me"),H2960=""),"",IF(H2960="credit","NO install",IF(AND(K2960="",AE2960="me"),"EACH row",IF(AND(K2960="images",AE2960="me"),"EACH row",IF(D2960="","",IF(H2960="credit","",IF(AE2960="free","re-planting",IF(AE2960="me","   not ELP, by",IF(AND(OR(PlanterYesMe="Yes",PlanterYesMe="Y"),G2960&gt;0),(VLOOKUP(A2960,'Discount Lookup'!J:K,2)*G2960*(1-PlanterDiscount)*(1+PlanterDifficultyPercentage)),IF(AE2960="ELP",(VLOOKUP(A2960,'Discount Lookup'!J:K,2)*G2960*(1-PlanterDiscount)*(1+PlanterDifficultyPercentage)),IF(AE2960="free","re-planting",IF(G2960=0,"",IF(PlanterYesMe="",IF(AE2960="me","   not ELP, by",IF(AE2960="",IF(G2960&gt;0,(VLOOKUP(A2960,'Discount Lookup'!J:K,2)*G2960*(1-PlanterDiscount)*(1+PlanterDifficultyPercentage)),""),"")),"   not ELP, by"))))))))))))))</f>
        <v/>
      </c>
      <c r="AD2960" s="712"/>
      <c r="AE2960" s="513" t="str">
        <f t="shared" si="2226"/>
        <v/>
      </c>
      <c r="AF2960" s="713" t="str">
        <f t="shared" si="2227"/>
        <v/>
      </c>
      <c r="AG2960" s="713"/>
      <c r="AH2960" s="713"/>
      <c r="AI2960" s="112">
        <f>IF(H2960="credit",0,IF(AE2960="free",0,IF(AE2960="me",0,IF(G2960&gt;0,(VLOOKUP(A2960,'Discount Lookup'!J:K,2)*G2960),0))))</f>
        <v>0</v>
      </c>
      <c r="AJ2960" s="107" t="str">
        <f t="shared" ca="1" si="2228"/>
        <v/>
      </c>
      <c r="AK2960" s="714" t="str">
        <f t="shared" si="2229"/>
        <v/>
      </c>
      <c r="AL2960" s="714"/>
      <c r="AM2960" s="114" t="str">
        <f t="shared" si="2230"/>
        <v/>
      </c>
      <c r="AN2960" s="115"/>
      <c r="AO2960" s="116"/>
      <c r="AP2960" s="116"/>
      <c r="AQ2960" s="116"/>
      <c r="AR2960" s="116"/>
      <c r="AS2960" s="116"/>
      <c r="AT2960" s="116"/>
      <c r="AU2960" s="116"/>
      <c r="AV2960" s="78"/>
      <c r="AW2960" s="102"/>
      <c r="AX2960" s="78"/>
      <c r="AY2960" s="78"/>
      <c r="AZ2960" s="78"/>
      <c r="BA2960" s="78"/>
      <c r="BB2960" s="78"/>
      <c r="BC2960" s="78"/>
      <c r="BD2960" s="78"/>
      <c r="BE2960" s="465"/>
      <c r="BF2960" s="165" t="str">
        <f t="shared" si="2231"/>
        <v>https://www.google.com/search?tbm=isch&amp;q=Mahonia%20bealei%20Leatherleaf%20Mahonia</v>
      </c>
      <c r="BG2960" s="165" t="str">
        <f t="shared" si="2232"/>
        <v>M</v>
      </c>
      <c r="BH2960" s="65"/>
      <c r="BI2960" s="65"/>
      <c r="BJ2960" s="65"/>
      <c r="BK2960" s="65"/>
      <c r="BL2960" s="99"/>
      <c r="BM2960" s="99"/>
      <c r="BN2960" s="99"/>
    </row>
    <row r="2961" spans="1:66" s="51" customFormat="1" ht="15.75" x14ac:dyDescent="0.25">
      <c r="A2961" s="478">
        <v>3</v>
      </c>
      <c r="B2961" s="479" t="s">
        <v>291</v>
      </c>
      <c r="C2961" s="480" t="s">
        <v>3554</v>
      </c>
      <c r="D2961" s="481" t="s">
        <v>293</v>
      </c>
      <c r="E2961" s="482">
        <v>51.95</v>
      </c>
      <c r="F2961" s="483" t="s">
        <v>292</v>
      </c>
      <c r="G2961" s="484">
        <v>0</v>
      </c>
      <c r="H2961" s="688" t="str">
        <f>IF(G2961=0,"",IF(F2961="Buy",IF(G2961=1,"plant","plants"),IF(F2961&gt;0.01,"warranty","Error")))</f>
        <v/>
      </c>
      <c r="I2961" s="485">
        <f>IF(H2961="free",0,IF(H2961="credit",((E2961*(F2961))*G2961*-1),IF(F2961="Buy",(E2961*G2961),((E2961*(1-F2961))*G2961))))</f>
        <v>0</v>
      </c>
      <c r="J2961" s="485">
        <f>IF(H2961="warranty",0,(I2961*(_xlfn.SINGLE(SalesTaxPercentage))))</f>
        <v>0</v>
      </c>
      <c r="K2961" s="715">
        <f t="shared" ref="K2961" si="2279">I2961+J2961</f>
        <v>0</v>
      </c>
      <c r="L2961" s="715"/>
      <c r="M2961" s="689" t="str">
        <f ca="1">IF(AND(G2961&gt;0,E2961=0),"WARNING - no PRICE inserted",IF(H2961="free","FREE ~ no charge this plant",IF(H2961="credit",CONCATENATE("-$",ROUND(K2961*(1-_xlfn.SINGLE(T2GDiscount))*-1,2)," CREDIT after discount"),IF(_xlfn.SINGLE(T2GDiscount)=0,"",IF(G2961=0,"",IF(F2961="Buy",CONCATENATE("$",ROUND(K2961*(1-_xlfn.SINGLE(T2GDiscount)),2)," with ",(_xlfn.SINGLE(T2GDiscount)*100),"% discount"),CONCATENATE("$",ROUND(K2961*(1-_xlfn.SINGLE(T2GDiscount)),2)," with ",((_xlfn.SINGLE(T2GDiscount)*100+F2961*100)-(_xlfn.SINGLE(T2GDiscount)*100*F2961)),IF(F2961&gt;0,"% discounts",IF(_xlfn.SINGLE(NoWarrantyDiscount)&gt;0,"% discounts","% discount")))))))))</f>
        <v/>
      </c>
      <c r="N2961" s="690"/>
      <c r="O2961" s="486"/>
      <c r="P2961" s="486"/>
      <c r="Q2961" s="486"/>
      <c r="R2961" s="486"/>
      <c r="S2961" s="486"/>
      <c r="T2961" s="102">
        <f t="shared" si="2220"/>
        <v>0</v>
      </c>
      <c r="U2961" s="78">
        <f>IF(NOT(ISNUMBER(G2961)), "", VLOOKUP(A2961,'Discount Lookup'!D:E,2,FALSE)*G2961)</f>
        <v>0</v>
      </c>
      <c r="V2961" s="78">
        <f>IF(NOT(ISNUMBER(G2961)), "", VLOOKUP(A2961,'Discount Lookup'!G:H,2,FALSE)*G2961)</f>
        <v>0</v>
      </c>
      <c r="W2961" s="102">
        <f t="shared" si="2221"/>
        <v>0</v>
      </c>
      <c r="X2961" s="102">
        <f t="shared" si="2222"/>
        <v>0</v>
      </c>
      <c r="Y2961" s="120" t="b">
        <f t="shared" si="2223"/>
        <v>0</v>
      </c>
      <c r="Z2961" s="117">
        <f t="shared" si="2224"/>
        <v>0</v>
      </c>
      <c r="AA2961" s="118"/>
      <c r="AB2961" s="118" t="str">
        <f t="shared" si="2225"/>
        <v/>
      </c>
      <c r="AC2961" s="712" t="str">
        <f>IF(AE2961="T2G","no charge",IF(AND(OR(PlanterYesMe="No",PlanterYesMe="N",PlanterYesMe="me"),H2961=""),"",IF(H2961="credit","NO install",IF(AND(K2961="",AE2961="me"),"EACH row",IF(AND(K2961="images",AE2961="me"),"EACH row",IF(D2961="","",IF(H2961="credit","",IF(AE2961="free","re-planting",IF(AE2961="me","   not ELP, by",IF(AND(OR(PlanterYesMe="Yes",PlanterYesMe="Y"),G2961&gt;0),(VLOOKUP(A2961,'Discount Lookup'!J:K,2)*G2961*(1-PlanterDiscount)*(1+PlanterDifficultyPercentage)),IF(AE2961="ELP",(VLOOKUP(A2961,'Discount Lookup'!J:K,2)*G2961*(1-PlanterDiscount)*(1+PlanterDifficultyPercentage)),IF(AE2961="free","re-planting",IF(G2961=0,"",IF(PlanterYesMe="",IF(AE2961="me","   not ELP, by",IF(AE2961="",IF(G2961&gt;0,(VLOOKUP(A2961,'Discount Lookup'!J:K,2)*G2961*(1-PlanterDiscount)*(1+PlanterDifficultyPercentage)),""),"")),"   not ELP, by"))))))))))))))</f>
        <v/>
      </c>
      <c r="AD2961" s="712"/>
      <c r="AE2961" s="513" t="str">
        <f t="shared" si="2226"/>
        <v/>
      </c>
      <c r="AF2961" s="713" t="str">
        <f t="shared" si="2227"/>
        <v/>
      </c>
      <c r="AG2961" s="713"/>
      <c r="AH2961" s="713"/>
      <c r="AI2961" s="112">
        <f>IF(H2961="credit",0,IF(AE2961="free",0,IF(AE2961="me",0,IF(G2961&gt;0,(VLOOKUP(A2961,'Discount Lookup'!J:K,2)*G2961),0))))</f>
        <v>0</v>
      </c>
      <c r="AJ2961" s="107" t="str">
        <f t="shared" ca="1" si="2228"/>
        <v/>
      </c>
      <c r="AK2961" s="714" t="str">
        <f t="shared" si="2229"/>
        <v/>
      </c>
      <c r="AL2961" s="714"/>
      <c r="AM2961" s="114" t="str">
        <f t="shared" si="2230"/>
        <v/>
      </c>
      <c r="AN2961" s="115"/>
      <c r="AO2961" s="116"/>
      <c r="AP2961" s="116"/>
      <c r="AQ2961" s="116"/>
      <c r="AR2961" s="116"/>
      <c r="AS2961" s="116"/>
      <c r="AT2961" s="116"/>
      <c r="AU2961" s="116"/>
      <c r="AV2961" s="78"/>
      <c r="AW2961" s="102"/>
      <c r="AX2961" s="78"/>
      <c r="AY2961" s="78"/>
      <c r="AZ2961" s="78"/>
      <c r="BA2961" s="78"/>
      <c r="BB2961" s="78"/>
      <c r="BC2961" s="78"/>
      <c r="BD2961" s="78"/>
      <c r="BE2961" s="465"/>
      <c r="BF2961" s="165" t="str">
        <f t="shared" si="2231"/>
        <v>https://www.google.com/search?tbm=isch&amp;q=3%20G6</v>
      </c>
      <c r="BG2961" s="165" t="str">
        <f t="shared" si="2232"/>
        <v>M</v>
      </c>
      <c r="BH2961" s="65"/>
      <c r="BI2961" s="65"/>
      <c r="BJ2961" s="65"/>
      <c r="BK2961" s="65"/>
      <c r="BL2961" s="99"/>
      <c r="BM2961" s="99"/>
      <c r="BN2961" s="99"/>
    </row>
    <row r="2962" spans="1:66" s="51" customFormat="1" ht="17.25" thickBot="1" x14ac:dyDescent="0.3">
      <c r="A2962" s="508" t="s">
        <v>3555</v>
      </c>
      <c r="B2962" s="487"/>
      <c r="C2962" s="707"/>
      <c r="D2962" s="487"/>
      <c r="E2962" s="487"/>
      <c r="F2962" s="488"/>
      <c r="G2962" s="489"/>
      <c r="H2962" s="487"/>
      <c r="I2962" s="490"/>
      <c r="J2962" s="490"/>
      <c r="K2962" s="491"/>
      <c r="L2962" s="547"/>
      <c r="M2962" s="528"/>
      <c r="N2962" s="492"/>
      <c r="O2962" s="493"/>
      <c r="P2962" s="494"/>
      <c r="Q2962" s="492"/>
      <c r="R2962" s="492"/>
      <c r="S2962" s="699" t="s">
        <v>5280</v>
      </c>
      <c r="T2962" s="102">
        <f t="shared" si="2220"/>
        <v>0</v>
      </c>
      <c r="U2962" s="78" t="str">
        <f>IF(NOT(ISNUMBER(G2962)), "", VLOOKUP(A2962,'Discount Lookup'!D:E,2,FALSE)*G2962)</f>
        <v/>
      </c>
      <c r="V2962" s="78" t="str">
        <f>IF(NOT(ISNUMBER(G2962)), "", VLOOKUP(A2962,'Discount Lookup'!G:H,2,FALSE)*G2962)</f>
        <v/>
      </c>
      <c r="W2962" s="102">
        <f t="shared" si="2221"/>
        <v>0</v>
      </c>
      <c r="X2962" s="102">
        <f t="shared" si="2222"/>
        <v>0</v>
      </c>
      <c r="Y2962" s="120" t="b">
        <f t="shared" si="2223"/>
        <v>0</v>
      </c>
      <c r="Z2962" s="117">
        <f t="shared" si="2224"/>
        <v>0</v>
      </c>
      <c r="AA2962" s="118"/>
      <c r="AB2962" s="118" t="str">
        <f t="shared" si="2225"/>
        <v/>
      </c>
      <c r="AC2962" s="712" t="str">
        <f>IF(AE2962="T2G","no charge",IF(AND(OR(PlanterYesMe="No",PlanterYesMe="N",PlanterYesMe="me"),H2962=""),"",IF(H2962="credit","NO install",IF(AND(K2962="",AE2962="me"),"EACH row",IF(AND(K2962="images",AE2962="me"),"EACH row",IF(D2962="","",IF(H2962="credit","",IF(AE2962="free","re-planting",IF(AE2962="me","   not ELP, by",IF(AND(OR(PlanterYesMe="Yes",PlanterYesMe="Y"),G2962&gt;0),(VLOOKUP(A2962,'Discount Lookup'!J:K,2)*G2962*(1-PlanterDiscount)*(1+PlanterDifficultyPercentage)),IF(AE2962="ELP",(VLOOKUP(A2962,'Discount Lookup'!J:K,2)*G2962*(1-PlanterDiscount)*(1+PlanterDifficultyPercentage)),IF(AE2962="free","re-planting",IF(G2962=0,"",IF(PlanterYesMe="",IF(AE2962="me","   not ELP, by",IF(AE2962="",IF(G2962&gt;0,(VLOOKUP(A2962,'Discount Lookup'!J:K,2)*G2962*(1-PlanterDiscount)*(1+PlanterDifficultyPercentage)),""),"")),"   not ELP, by"))))))))))))))</f>
        <v/>
      </c>
      <c r="AD2962" s="712"/>
      <c r="AE2962" s="513" t="str">
        <f t="shared" si="2226"/>
        <v/>
      </c>
      <c r="AF2962" s="713" t="str">
        <f t="shared" si="2227"/>
        <v/>
      </c>
      <c r="AG2962" s="713"/>
      <c r="AH2962" s="713"/>
      <c r="AI2962" s="112">
        <f>IF(H2962="credit",0,IF(AE2962="free",0,IF(AE2962="me",0,IF(G2962&gt;0,(VLOOKUP(A2962,'Discount Lookup'!J:K,2)*G2962),0))))</f>
        <v>0</v>
      </c>
      <c r="AJ2962" s="107" t="str">
        <f t="shared" ca="1" si="2228"/>
        <v/>
      </c>
      <c r="AK2962" s="714" t="str">
        <f t="shared" si="2229"/>
        <v/>
      </c>
      <c r="AL2962" s="714"/>
      <c r="AM2962" s="114" t="str">
        <f t="shared" si="2230"/>
        <v/>
      </c>
      <c r="AN2962" s="115"/>
      <c r="AO2962" s="116"/>
      <c r="AP2962" s="116"/>
      <c r="AQ2962" s="116"/>
      <c r="AR2962" s="116"/>
      <c r="AS2962" s="116"/>
      <c r="AT2962" s="116"/>
      <c r="AU2962" s="116"/>
      <c r="AV2962" s="78"/>
      <c r="AW2962" s="102"/>
      <c r="AX2962" s="78"/>
      <c r="AY2962" s="78"/>
      <c r="AZ2962" s="78"/>
      <c r="BA2962" s="78"/>
      <c r="BB2962" s="78"/>
      <c r="BC2962" s="78"/>
      <c r="BD2962" s="78"/>
      <c r="BE2962" s="465"/>
      <c r="BF2962" s="165" t="str">
        <f t="shared" si="2231"/>
        <v>https://www.google.com/search?tbm=isch&amp;q=Leatherleaf%20has%20fragrant%20late%20winter%20Yellow%20blooms%20and%20striking%20Blue-Black%20fruit%20clusters%20above%20holly-like%20foliage%20</v>
      </c>
      <c r="BG2962" s="165" t="str">
        <f t="shared" si="2232"/>
        <v>L</v>
      </c>
      <c r="BH2962" s="65"/>
      <c r="BI2962" s="65"/>
      <c r="BJ2962" s="65"/>
      <c r="BK2962" s="65"/>
      <c r="BL2962" s="99"/>
      <c r="BM2962" s="99"/>
      <c r="BN2962" s="99"/>
    </row>
    <row r="2963" spans="1:66" s="51" customFormat="1" ht="18" x14ac:dyDescent="0.25">
      <c r="A2963" s="507" t="s">
        <v>3556</v>
      </c>
      <c r="B2963" s="470"/>
      <c r="C2963" s="706"/>
      <c r="D2963" s="471" t="s">
        <v>3557</v>
      </c>
      <c r="E2963" s="472"/>
      <c r="F2963" s="472"/>
      <c r="G2963" s="472"/>
      <c r="H2963" s="622" t="s">
        <v>1076</v>
      </c>
      <c r="I2963" s="473" t="s">
        <v>565</v>
      </c>
      <c r="J2963" s="472"/>
      <c r="K2963" s="472"/>
      <c r="L2963" s="561"/>
      <c r="M2963" s="703" t="s">
        <v>5260</v>
      </c>
      <c r="N2963" s="692" t="str">
        <f>IF(AND(ISTEXT($A2963), ISERROR($A2963+0)), HYPERLINK($BF2963, "Images"), "")</f>
        <v>Images</v>
      </c>
      <c r="O2963" s="694" t="s">
        <v>5244</v>
      </c>
      <c r="P2963" s="475"/>
      <c r="Q2963" s="476"/>
      <c r="R2963" s="476"/>
      <c r="S2963" s="477"/>
      <c r="T2963" s="102">
        <f t="shared" si="2220"/>
        <v>0</v>
      </c>
      <c r="U2963" s="78" t="str">
        <f>IF(NOT(ISNUMBER(G2963)), "", VLOOKUP(A2963,'Discount Lookup'!D:E,2,FALSE)*G2963)</f>
        <v/>
      </c>
      <c r="V2963" s="78" t="str">
        <f>IF(NOT(ISNUMBER(G2963)), "", VLOOKUP(A2963,'Discount Lookup'!G:H,2,FALSE)*G2963)</f>
        <v/>
      </c>
      <c r="W2963" s="102">
        <f t="shared" si="2221"/>
        <v>0</v>
      </c>
      <c r="X2963" s="102" t="str">
        <f t="shared" si="2222"/>
        <v>Blue-Green foliage</v>
      </c>
      <c r="Y2963" s="120" t="b">
        <f t="shared" si="2223"/>
        <v>0</v>
      </c>
      <c r="Z2963" s="117">
        <f t="shared" si="2224"/>
        <v>0</v>
      </c>
      <c r="AA2963" s="118"/>
      <c r="AB2963" s="118" t="str">
        <f t="shared" si="2225"/>
        <v/>
      </c>
      <c r="AC2963" s="712" t="str">
        <f>IF(AE2963="T2G","no charge",IF(AND(OR(PlanterYesMe="No",PlanterYesMe="N",PlanterYesMe="me"),H2963=""),"",IF(H2963="credit","NO install",IF(AND(K2963="",AE2963="me"),"EACH row",IF(AND(K2963="images",AE2963="me"),"EACH row",IF(D2963="","",IF(H2963="credit","",IF(AE2963="free","re-planting",IF(AE2963="me","   not ELP, by",IF(AND(OR(PlanterYesMe="Yes",PlanterYesMe="Y"),G2963&gt;0),(VLOOKUP(A2963,'Discount Lookup'!J:K,2)*G2963*(1-PlanterDiscount)*(1+PlanterDifficultyPercentage)),IF(AE2963="ELP",(VLOOKUP(A2963,'Discount Lookup'!J:K,2)*G2963*(1-PlanterDiscount)*(1+PlanterDifficultyPercentage)),IF(AE2963="free","re-planting",IF(G2963=0,"",IF(PlanterYesMe="",IF(AE2963="me","   not ELP, by",IF(AE2963="",IF(G2963&gt;0,(VLOOKUP(A2963,'Discount Lookup'!J:K,2)*G2963*(1-PlanterDiscount)*(1+PlanterDifficultyPercentage)),""),"")),"   not ELP, by"))))))))))))))</f>
        <v/>
      </c>
      <c r="AD2963" s="712"/>
      <c r="AE2963" s="513" t="str">
        <f t="shared" si="2226"/>
        <v/>
      </c>
      <c r="AF2963" s="713" t="str">
        <f t="shared" si="2227"/>
        <v/>
      </c>
      <c r="AG2963" s="713"/>
      <c r="AH2963" s="713"/>
      <c r="AI2963" s="112">
        <f>IF(H2963="credit",0,IF(AE2963="free",0,IF(AE2963="me",0,IF(G2963&gt;0,(VLOOKUP(A2963,'Discount Lookup'!J:K,2)*G2963),0))))</f>
        <v>0</v>
      </c>
      <c r="AJ2963" s="107" t="str">
        <f t="shared" ca="1" si="2228"/>
        <v/>
      </c>
      <c r="AK2963" s="714" t="str">
        <f t="shared" si="2229"/>
        <v/>
      </c>
      <c r="AL2963" s="714"/>
      <c r="AM2963" s="114" t="str">
        <f t="shared" si="2230"/>
        <v/>
      </c>
      <c r="AN2963" s="115"/>
      <c r="AO2963" s="116"/>
      <c r="AP2963" s="116"/>
      <c r="AQ2963" s="116"/>
      <c r="AR2963" s="116"/>
      <c r="AS2963" s="116"/>
      <c r="AT2963" s="116"/>
      <c r="AU2963" s="116"/>
      <c r="AV2963" s="78"/>
      <c r="AW2963" s="102"/>
      <c r="AX2963" s="78"/>
      <c r="AY2963" s="78"/>
      <c r="AZ2963" s="78"/>
      <c r="BA2963" s="78"/>
      <c r="BB2963" s="78"/>
      <c r="BC2963" s="78"/>
      <c r="BD2963" s="78"/>
      <c r="BE2963" s="465"/>
      <c r="BF2963" s="165" t="str">
        <f t="shared" si="2231"/>
        <v>https://www.google.com/search?tbm=isch&amp;q=Mahonia%20confusa%20%27Narihira%27%20Narihira%20Mahonia</v>
      </c>
      <c r="BG2963" s="165" t="str">
        <f t="shared" si="2232"/>
        <v>M</v>
      </c>
      <c r="BH2963" s="65"/>
      <c r="BI2963" s="65"/>
      <c r="BJ2963" s="65"/>
      <c r="BK2963" s="65"/>
      <c r="BL2963" s="99"/>
      <c r="BM2963" s="99"/>
      <c r="BN2963" s="99"/>
    </row>
    <row r="2964" spans="1:66" s="51" customFormat="1" ht="15.75" x14ac:dyDescent="0.25">
      <c r="A2964" s="478">
        <v>3</v>
      </c>
      <c r="B2964" s="479" t="s">
        <v>291</v>
      </c>
      <c r="C2964" s="480" t="s">
        <v>345</v>
      </c>
      <c r="D2964" s="481" t="s">
        <v>310</v>
      </c>
      <c r="E2964" s="482">
        <v>28.95</v>
      </c>
      <c r="F2964" s="483" t="s">
        <v>292</v>
      </c>
      <c r="G2964" s="484">
        <v>0</v>
      </c>
      <c r="H2964" s="688" t="str">
        <f>IF(G2964=0,"",IF(F2964="Buy",IF(G2964=1,"plant","plants"),IF(F2964&gt;0.01,"warranty","Error")))</f>
        <v/>
      </c>
      <c r="I2964" s="485">
        <f>IF(H2964="free",0,IF(H2964="credit",((E2964*(F2964))*G2964*-1),IF(F2964="Buy",(E2964*G2964),((E2964*(1-F2964))*G2964))))</f>
        <v>0</v>
      </c>
      <c r="J2964" s="485">
        <f>IF(H2964="warranty",0,(I2964*(_xlfn.SINGLE(SalesTaxPercentage))))</f>
        <v>0</v>
      </c>
      <c r="K2964" s="715">
        <f t="shared" ref="K2964" si="2280">I2964+J2964</f>
        <v>0</v>
      </c>
      <c r="L2964" s="715"/>
      <c r="M2964" s="689" t="str">
        <f ca="1">IF(AND(G2964&gt;0,E2964=0),"WARNING - no PRICE inserted",IF(H2964="free","FREE ~ no charge this plant",IF(H2964="credit",CONCATENATE("-$",ROUND(K2964*(1-_xlfn.SINGLE(T2GDiscount))*-1,2)," CREDIT after discount"),IF(_xlfn.SINGLE(T2GDiscount)=0,"",IF(G2964=0,"",IF(F2964="Buy",CONCATENATE("$",ROUND(K2964*(1-_xlfn.SINGLE(T2GDiscount)),2)," with ",(_xlfn.SINGLE(T2GDiscount)*100),"% discount"),CONCATENATE("$",ROUND(K2964*(1-_xlfn.SINGLE(T2GDiscount)),2)," with ",((_xlfn.SINGLE(T2GDiscount)*100+F2964*100)-(_xlfn.SINGLE(T2GDiscount)*100*F2964)),IF(F2964&gt;0,"% discounts",IF(_xlfn.SINGLE(NoWarrantyDiscount)&gt;0,"% discounts","% discount")))))))))</f>
        <v/>
      </c>
      <c r="N2964" s="690"/>
      <c r="O2964" s="486"/>
      <c r="P2964" s="486"/>
      <c r="Q2964" s="486"/>
      <c r="R2964" s="486"/>
      <c r="S2964" s="486"/>
      <c r="T2964" s="102">
        <f t="shared" ref="T2964:T3027" si="2281">E2964*G2964</f>
        <v>0</v>
      </c>
      <c r="U2964" s="78">
        <f>IF(NOT(ISNUMBER(G2964)), "", VLOOKUP(A2964,'Discount Lookup'!D:E,2,FALSE)*G2964)</f>
        <v>0</v>
      </c>
      <c r="V2964" s="78">
        <f>IF(NOT(ISNUMBER(G2964)), "", VLOOKUP(A2964,'Discount Lookup'!G:H,2,FALSE)*G2964)</f>
        <v>0</v>
      </c>
      <c r="W2964" s="102">
        <f t="shared" ref="W2964:W3027" si="2282">IF(H2964="credit",0,E2964*(SalesTaxPercentage)*G2964)</f>
        <v>0</v>
      </c>
      <c r="X2964" s="102">
        <f t="shared" ref="X2964:X3027" si="2283">I2964</f>
        <v>0</v>
      </c>
      <c r="Y2964" s="120" t="b">
        <f t="shared" ref="Y2964:Y3027" si="2284">IF(AE2964="T2G",0,IF(H2964="credit",0,IF(G2964&gt;0,IF(AE2964="me","",G2964))))</f>
        <v>0</v>
      </c>
      <c r="Z2964" s="117">
        <f t="shared" ref="Z2964:Z3027" si="2285">IF(H2964="credit",G2964,0)</f>
        <v>0</v>
      </c>
      <c r="AA2964" s="118"/>
      <c r="AB2964" s="118" t="str">
        <f t="shared" ref="AB2964:AB3027" si="2286">IF(AE2964="T2G","by Trees2Go",IF(H2964="credit","CREDIT only ~",IF(AND(K2964="",AE2964=OR(PlanterYesMe="No",PlanterYesMe="N",PlanterYesMe="me")),"not THIS line⇨",IF(AND(K2964="images",AE2964="me"),"not THIS line⇨",IF(H2964="credit","",IF(G2964=0,"",IF(AE2964="me","",IF(OR(PlanterYesMe="No",PlanterYesMe="N",PlanterYesMe="me"),"",IF(AE2964="free","warranty",IF(OR(PlanterYesMe="yes",PlanterYesMe="y"),"Edison install:","to install:"))))))))))</f>
        <v/>
      </c>
      <c r="AC2964" s="712" t="str">
        <f>IF(AE2964="T2G","no charge",IF(AND(OR(PlanterYesMe="No",PlanterYesMe="N",PlanterYesMe="me"),H2964=""),"",IF(H2964="credit","NO install",IF(AND(K2964="",AE2964="me"),"EACH row",IF(AND(K2964="images",AE2964="me"),"EACH row",IF(D2964="","",IF(H2964="credit","",IF(AE2964="free","re-planting",IF(AE2964="me","   not ELP, by",IF(AND(OR(PlanterYesMe="Yes",PlanterYesMe="Y"),G2964&gt;0),(VLOOKUP(A2964,'Discount Lookup'!J:K,2)*G2964*(1-PlanterDiscount)*(1+PlanterDifficultyPercentage)),IF(AE2964="ELP",(VLOOKUP(A2964,'Discount Lookup'!J:K,2)*G2964*(1-PlanterDiscount)*(1+PlanterDifficultyPercentage)),IF(AE2964="free","re-planting",IF(G2964=0,"",IF(PlanterYesMe="",IF(AE2964="me","   not ELP, by",IF(AE2964="",IF(G2964&gt;0,(VLOOKUP(A2964,'Discount Lookup'!J:K,2)*G2964*(1-PlanterDiscount)*(1+PlanterDifficultyPercentage)),""),"")),"   not ELP, by"))))))))))))))</f>
        <v/>
      </c>
      <c r="AD2964" s="712"/>
      <c r="AE2964" s="513" t="str">
        <f t="shared" ref="AE2964:AE3027" si="2287">IF(H2964="credit","",IF(G2964=0,"",IF(OR(PlanterYesMe="No",PlanterYesMe="N",PlanterYesMe="me"),"me",IF(H2964="warranty","free",IF(OR(PlanterYesMe="yes",PlanterYesMe="y"),"ELP","")))))</f>
        <v/>
      </c>
      <c r="AF2964" s="713" t="str">
        <f t="shared" ref="AF2964:AF3027" si="2288">IF(OR(PlanterYesMe="No",PlanterYesMe="N",PlanterYesMe="me"),"",IF(H2964="credit","",IF(G2964&gt;0,(CONCATENATE((G2964)," quantity, ",(A2964)," ",B2964)),"")))</f>
        <v/>
      </c>
      <c r="AG2964" s="713"/>
      <c r="AH2964" s="713"/>
      <c r="AI2964" s="112">
        <f>IF(H2964="credit",0,IF(AE2964="free",0,IF(AE2964="me",0,IF(G2964&gt;0,(VLOOKUP(A2964,'Discount Lookup'!J:K,2)*G2964),0))))</f>
        <v>0</v>
      </c>
      <c r="AJ2964" s="107" t="str">
        <f t="shared" ref="AJ2964:AJ3027" ca="1" si="2289">IF(AND(ISREF(H2964),H2964="credit"),"",IF(AND(AND(OFFSET(G2964,0,0)=0,OFFSET(G2964,1,0)&gt;0,ISNUMBER(OFFSET(AC2964,1,0)),OFFSET(AC2964,1,0)&gt;0),OR(PlanterYesMe="yes",PlanterYesMe="y")),"T2G+ELP=",IF(AND(OFFSET(G2964,0,0)=0,OFFSET(G2964,1,0)&gt;0,ISNUMBER(OFFSET(AC2964,1,0)),OFFSET(AC2964,1,0)&gt;0),"if T2G+ELP=",IF(AND(OFFSET(G2964,0,0)=0,OFFSET(G2964,1,0)&gt;0),"T2G Subtotal",IF(H2964="credit","",IF(G2964=0,"",IF(AE2964="free",(K2964*(1-T2GDiscount)),IF(OR(PlanterYesMe="No",PlanterYesMe="N",PlanterYesMe="me"),(K2964*(1-T2GDiscount)),IF(OR(AE2964="me",AE2964="T2G"),(K2964*(1-T2GDiscount)),(K2964*(1-T2GDiscount))+AC2964)))))))))</f>
        <v/>
      </c>
      <c r="AK2964" s="714" t="str">
        <f t="shared" ref="AK2964:AK3027" si="2290">IF(H2964="credit","",IF(G2964=0,"",IF(OR(AE2964="me",AE2964="T2G"),"  delivery-only",IF(OR(PlanterYesMe="No",PlanterYesMe="N",PlanterYesMe="me"),"  delivery-only",CONCATENATE(" $",ROUND(AJ2964/G2964,2)," each")))))</f>
        <v/>
      </c>
      <c r="AL2964" s="714"/>
      <c r="AM2964" s="114" t="str">
        <f t="shared" ref="AM2964:AM3027" si="2291">IF(H2964="credit","",IF(AE2964="free","      ~ discounts included, no tax or planting fee applies ~",IF(G2964=0,"",IF(OR(PlanterYesMe="No",PlanterYesMe="N",PlanterYesMe="me"),CONCATENATE(" $",ROUND(AJ2964/G2964,2)," per plant, with tax &amp; discount"),IF(OR(AE2964="me",AE2964="T2G"),CONCATENATE(" $",ROUND(AJ2964/G2964,2)," per plant, with tax &amp; discount"),CONCATENATE("= $",ROUND((K2964*(1-T2GDiscount))/G2964,2)," per plant + $",AC2964/G2964,(" per planting      ~ includes tax &amp; discounts ~")))))))</f>
        <v/>
      </c>
      <c r="AN2964" s="115"/>
      <c r="AO2964" s="116"/>
      <c r="AP2964" s="116"/>
      <c r="AQ2964" s="116"/>
      <c r="AR2964" s="116"/>
      <c r="AS2964" s="116"/>
      <c r="AT2964" s="116"/>
      <c r="AU2964" s="116"/>
      <c r="AV2964" s="78"/>
      <c r="AW2964" s="102"/>
      <c r="AX2964" s="78"/>
      <c r="AY2964" s="78"/>
      <c r="AZ2964" s="78"/>
      <c r="BA2964" s="78"/>
      <c r="BB2964" s="78"/>
      <c r="BC2964" s="78"/>
      <c r="BD2964" s="78"/>
      <c r="BE2964" s="465"/>
      <c r="BF2964" s="165" t="str">
        <f t="shared" ref="BF2964:BF3027" si="2292">"https://www.google.com/search?tbm=isch&amp;q=" &amp; _xlfn.ENCODEURL($A2964 &amp; " " &amp; $D2964)</f>
        <v>https://www.google.com/search?tbm=isch&amp;q=3%20G1</v>
      </c>
      <c r="BG2964" s="165" t="str">
        <f t="shared" ref="BG2964:BG3027" si="2293">IF(ISTEXT(A2964),LEFT(A2964,1),BG2963)</f>
        <v>M</v>
      </c>
      <c r="BH2964" s="65"/>
      <c r="BI2964" s="65"/>
      <c r="BJ2964" s="65"/>
      <c r="BK2964" s="65"/>
      <c r="BL2964" s="99"/>
      <c r="BM2964" s="99"/>
      <c r="BN2964" s="99"/>
    </row>
    <row r="2965" spans="1:66" s="51" customFormat="1" ht="15.75" x14ac:dyDescent="0.25">
      <c r="A2965" s="478">
        <v>3</v>
      </c>
      <c r="B2965" s="479" t="s">
        <v>291</v>
      </c>
      <c r="C2965" s="480" t="s">
        <v>3558</v>
      </c>
      <c r="D2965" s="481" t="s">
        <v>299</v>
      </c>
      <c r="E2965" s="482">
        <v>35.950000000000003</v>
      </c>
      <c r="F2965" s="483" t="s">
        <v>292</v>
      </c>
      <c r="G2965" s="484">
        <v>0</v>
      </c>
      <c r="H2965" s="688" t="str">
        <f>IF(G2965=0,"",IF(F2965="Buy",IF(G2965=1,"plant","plants"),IF(F2965&gt;0.01,"warranty","Error")))</f>
        <v/>
      </c>
      <c r="I2965" s="485">
        <f>IF(H2965="free",0,IF(H2965="credit",((E2965*(F2965))*G2965*-1),IF(F2965="Buy",(E2965*G2965),((E2965*(1-F2965))*G2965))))</f>
        <v>0</v>
      </c>
      <c r="J2965" s="485">
        <f>IF(H2965="warranty",0,(I2965*(_xlfn.SINGLE(SalesTaxPercentage))))</f>
        <v>0</v>
      </c>
      <c r="K2965" s="715">
        <f t="shared" ref="K2965" si="2294">I2965+J2965</f>
        <v>0</v>
      </c>
      <c r="L2965" s="715"/>
      <c r="M2965" s="689" t="str">
        <f ca="1">IF(AND(G2965&gt;0,E2965=0),"WARNING - no PRICE inserted",IF(H2965="free","FREE ~ no charge this plant",IF(H2965="credit",CONCATENATE("-$",ROUND(K2965*(1-_xlfn.SINGLE(T2GDiscount))*-1,2)," CREDIT after discount"),IF(_xlfn.SINGLE(T2GDiscount)=0,"",IF(G2965=0,"",IF(F2965="Buy",CONCATENATE("$",ROUND(K2965*(1-_xlfn.SINGLE(T2GDiscount)),2)," with ",(_xlfn.SINGLE(T2GDiscount)*100),"% discount"),CONCATENATE("$",ROUND(K2965*(1-_xlfn.SINGLE(T2GDiscount)),2)," with ",((_xlfn.SINGLE(T2GDiscount)*100+F2965*100)-(_xlfn.SINGLE(T2GDiscount)*100*F2965)),IF(F2965&gt;0,"% discounts",IF(_xlfn.SINGLE(NoWarrantyDiscount)&gt;0,"% discounts","% discount")))))))))</f>
        <v/>
      </c>
      <c r="N2965" s="690"/>
      <c r="O2965" s="486"/>
      <c r="P2965" s="486"/>
      <c r="Q2965" s="486"/>
      <c r="R2965" s="486"/>
      <c r="S2965" s="486"/>
      <c r="T2965" s="102">
        <f t="shared" si="2281"/>
        <v>0</v>
      </c>
      <c r="U2965" s="78">
        <f>IF(NOT(ISNUMBER(G2965)), "", VLOOKUP(A2965,'Discount Lookup'!D:E,2,FALSE)*G2965)</f>
        <v>0</v>
      </c>
      <c r="V2965" s="78">
        <f>IF(NOT(ISNUMBER(G2965)), "", VLOOKUP(A2965,'Discount Lookup'!G:H,2,FALSE)*G2965)</f>
        <v>0</v>
      </c>
      <c r="W2965" s="102">
        <f t="shared" si="2282"/>
        <v>0</v>
      </c>
      <c r="X2965" s="102">
        <f t="shared" si="2283"/>
        <v>0</v>
      </c>
      <c r="Y2965" s="120" t="b">
        <f t="shared" si="2284"/>
        <v>0</v>
      </c>
      <c r="Z2965" s="117">
        <f t="shared" si="2285"/>
        <v>0</v>
      </c>
      <c r="AA2965" s="118"/>
      <c r="AB2965" s="118" t="str">
        <f t="shared" si="2286"/>
        <v/>
      </c>
      <c r="AC2965" s="712" t="str">
        <f>IF(AE2965="T2G","no charge",IF(AND(OR(PlanterYesMe="No",PlanterYesMe="N",PlanterYesMe="me"),H2965=""),"",IF(H2965="credit","NO install",IF(AND(K2965="",AE2965="me"),"EACH row",IF(AND(K2965="images",AE2965="me"),"EACH row",IF(D2965="","",IF(H2965="credit","",IF(AE2965="free","re-planting",IF(AE2965="me","   not ELP, by",IF(AND(OR(PlanterYesMe="Yes",PlanterYesMe="Y"),G2965&gt;0),(VLOOKUP(A2965,'Discount Lookup'!J:K,2)*G2965*(1-PlanterDiscount)*(1+PlanterDifficultyPercentage)),IF(AE2965="ELP",(VLOOKUP(A2965,'Discount Lookup'!J:K,2)*G2965*(1-PlanterDiscount)*(1+PlanterDifficultyPercentage)),IF(AE2965="free","re-planting",IF(G2965=0,"",IF(PlanterYesMe="",IF(AE2965="me","   not ELP, by",IF(AE2965="",IF(G2965&gt;0,(VLOOKUP(A2965,'Discount Lookup'!J:K,2)*G2965*(1-PlanterDiscount)*(1+PlanterDifficultyPercentage)),""),"")),"   not ELP, by"))))))))))))))</f>
        <v/>
      </c>
      <c r="AD2965" s="712"/>
      <c r="AE2965" s="513" t="str">
        <f t="shared" si="2287"/>
        <v/>
      </c>
      <c r="AF2965" s="713" t="str">
        <f t="shared" si="2288"/>
        <v/>
      </c>
      <c r="AG2965" s="713"/>
      <c r="AH2965" s="713"/>
      <c r="AI2965" s="112">
        <f>IF(H2965="credit",0,IF(AE2965="free",0,IF(AE2965="me",0,IF(G2965&gt;0,(VLOOKUP(A2965,'Discount Lookup'!J:K,2)*G2965),0))))</f>
        <v>0</v>
      </c>
      <c r="AJ2965" s="107" t="str">
        <f t="shared" ca="1" si="2289"/>
        <v/>
      </c>
      <c r="AK2965" s="714" t="str">
        <f t="shared" si="2290"/>
        <v/>
      </c>
      <c r="AL2965" s="714"/>
      <c r="AM2965" s="114" t="str">
        <f t="shared" si="2291"/>
        <v/>
      </c>
      <c r="AN2965" s="115"/>
      <c r="AO2965" s="116"/>
      <c r="AP2965" s="116"/>
      <c r="AQ2965" s="116"/>
      <c r="AR2965" s="116"/>
      <c r="AS2965" s="116"/>
      <c r="AT2965" s="116"/>
      <c r="AU2965" s="116"/>
      <c r="AV2965" s="78"/>
      <c r="AW2965" s="102"/>
      <c r="AX2965" s="78"/>
      <c r="AY2965" s="78"/>
      <c r="AZ2965" s="78"/>
      <c r="BA2965" s="78"/>
      <c r="BB2965" s="78"/>
      <c r="BC2965" s="78"/>
      <c r="BD2965" s="78"/>
      <c r="BE2965" s="465"/>
      <c r="BF2965" s="165" t="str">
        <f t="shared" si="2292"/>
        <v>https://www.google.com/search?tbm=isch&amp;q=3%20G4</v>
      </c>
      <c r="BG2965" s="165" t="str">
        <f t="shared" si="2293"/>
        <v>M</v>
      </c>
      <c r="BH2965" s="65"/>
      <c r="BI2965" s="65"/>
      <c r="BJ2965" s="65"/>
      <c r="BK2965" s="65"/>
      <c r="BL2965" s="99"/>
      <c r="BM2965" s="99"/>
      <c r="BN2965" s="99"/>
    </row>
    <row r="2966" spans="1:66" s="51" customFormat="1" ht="15.75" x14ac:dyDescent="0.25">
      <c r="A2966" s="478">
        <v>3</v>
      </c>
      <c r="B2966" s="479" t="s">
        <v>291</v>
      </c>
      <c r="C2966" s="480" t="s">
        <v>3559</v>
      </c>
      <c r="D2966" s="481" t="s">
        <v>311</v>
      </c>
      <c r="E2966" s="482">
        <v>35.950000000000003</v>
      </c>
      <c r="F2966" s="483" t="s">
        <v>292</v>
      </c>
      <c r="G2966" s="484">
        <v>0</v>
      </c>
      <c r="H2966" s="688" t="str">
        <f>IF(G2966=0,"",IF(F2966="Buy",IF(G2966=1,"plant","plants"),IF(F2966&gt;0.01,"warranty","Error")))</f>
        <v/>
      </c>
      <c r="I2966" s="485">
        <f>IF(H2966="free",0,IF(H2966="credit",((E2966*(F2966))*G2966*-1),IF(F2966="Buy",(E2966*G2966),((E2966*(1-F2966))*G2966))))</f>
        <v>0</v>
      </c>
      <c r="J2966" s="485">
        <f>IF(H2966="warranty",0,(I2966*(_xlfn.SINGLE(SalesTaxPercentage))))</f>
        <v>0</v>
      </c>
      <c r="K2966" s="715">
        <f t="shared" ref="K2966" si="2295">I2966+J2966</f>
        <v>0</v>
      </c>
      <c r="L2966" s="715"/>
      <c r="M2966" s="689" t="str">
        <f ca="1">IF(AND(G2966&gt;0,E2966=0),"WARNING - no PRICE inserted",IF(H2966="free","FREE ~ no charge this plant",IF(H2966="credit",CONCATENATE("-$",ROUND(K2966*(1-_xlfn.SINGLE(T2GDiscount))*-1,2)," CREDIT after discount"),IF(_xlfn.SINGLE(T2GDiscount)=0,"",IF(G2966=0,"",IF(F2966="Buy",CONCATENATE("$",ROUND(K2966*(1-_xlfn.SINGLE(T2GDiscount)),2)," with ",(_xlfn.SINGLE(T2GDiscount)*100),"% discount"),CONCATENATE("$",ROUND(K2966*(1-_xlfn.SINGLE(T2GDiscount)),2)," with ",((_xlfn.SINGLE(T2GDiscount)*100+F2966*100)-(_xlfn.SINGLE(T2GDiscount)*100*F2966)),IF(F2966&gt;0,"% discounts",IF(_xlfn.SINGLE(NoWarrantyDiscount)&gt;0,"% discounts","% discount")))))))))</f>
        <v/>
      </c>
      <c r="N2966" s="690"/>
      <c r="O2966" s="486"/>
      <c r="P2966" s="486"/>
      <c r="Q2966" s="486"/>
      <c r="R2966" s="486"/>
      <c r="S2966" s="486"/>
      <c r="T2966" s="102">
        <f t="shared" si="2281"/>
        <v>0</v>
      </c>
      <c r="U2966" s="78">
        <f>IF(NOT(ISNUMBER(G2966)), "", VLOOKUP(A2966,'Discount Lookup'!D:E,2,FALSE)*G2966)</f>
        <v>0</v>
      </c>
      <c r="V2966" s="78">
        <f>IF(NOT(ISNUMBER(G2966)), "", VLOOKUP(A2966,'Discount Lookup'!G:H,2,FALSE)*G2966)</f>
        <v>0</v>
      </c>
      <c r="W2966" s="102">
        <f t="shared" si="2282"/>
        <v>0</v>
      </c>
      <c r="X2966" s="102">
        <f t="shared" si="2283"/>
        <v>0</v>
      </c>
      <c r="Y2966" s="120" t="b">
        <f t="shared" si="2284"/>
        <v>0</v>
      </c>
      <c r="Z2966" s="117">
        <f t="shared" si="2285"/>
        <v>0</v>
      </c>
      <c r="AA2966" s="118"/>
      <c r="AB2966" s="118" t="str">
        <f t="shared" si="2286"/>
        <v/>
      </c>
      <c r="AC2966" s="712" t="str">
        <f>IF(AE2966="T2G","no charge",IF(AND(OR(PlanterYesMe="No",PlanterYesMe="N",PlanterYesMe="me"),H2966=""),"",IF(H2966="credit","NO install",IF(AND(K2966="",AE2966="me"),"EACH row",IF(AND(K2966="images",AE2966="me"),"EACH row",IF(D2966="","",IF(H2966="credit","",IF(AE2966="free","re-planting",IF(AE2966="me","   not ELP, by",IF(AND(OR(PlanterYesMe="Yes",PlanterYesMe="Y"),G2966&gt;0),(VLOOKUP(A2966,'Discount Lookup'!J:K,2)*G2966*(1-PlanterDiscount)*(1+PlanterDifficultyPercentage)),IF(AE2966="ELP",(VLOOKUP(A2966,'Discount Lookup'!J:K,2)*G2966*(1-PlanterDiscount)*(1+PlanterDifficultyPercentage)),IF(AE2966="free","re-planting",IF(G2966=0,"",IF(PlanterYesMe="",IF(AE2966="me","   not ELP, by",IF(AE2966="",IF(G2966&gt;0,(VLOOKUP(A2966,'Discount Lookup'!J:K,2)*G2966*(1-PlanterDiscount)*(1+PlanterDifficultyPercentage)),""),"")),"   not ELP, by"))))))))))))))</f>
        <v/>
      </c>
      <c r="AD2966" s="712"/>
      <c r="AE2966" s="513" t="str">
        <f t="shared" si="2287"/>
        <v/>
      </c>
      <c r="AF2966" s="713" t="str">
        <f t="shared" si="2288"/>
        <v/>
      </c>
      <c r="AG2966" s="713"/>
      <c r="AH2966" s="713"/>
      <c r="AI2966" s="112">
        <f>IF(H2966="credit",0,IF(AE2966="free",0,IF(AE2966="me",0,IF(G2966&gt;0,(VLOOKUP(A2966,'Discount Lookup'!J:K,2)*G2966),0))))</f>
        <v>0</v>
      </c>
      <c r="AJ2966" s="107" t="str">
        <f t="shared" ca="1" si="2289"/>
        <v/>
      </c>
      <c r="AK2966" s="714" t="str">
        <f t="shared" si="2290"/>
        <v/>
      </c>
      <c r="AL2966" s="714"/>
      <c r="AM2966" s="114" t="str">
        <f t="shared" si="2291"/>
        <v/>
      </c>
      <c r="AN2966" s="115"/>
      <c r="AO2966" s="116"/>
      <c r="AP2966" s="116"/>
      <c r="AQ2966" s="116"/>
      <c r="AR2966" s="116"/>
      <c r="AS2966" s="116"/>
      <c r="AT2966" s="116"/>
      <c r="AU2966" s="116"/>
      <c r="AV2966" s="78"/>
      <c r="AW2966" s="102"/>
      <c r="AX2966" s="78"/>
      <c r="AY2966" s="78"/>
      <c r="AZ2966" s="78"/>
      <c r="BA2966" s="78"/>
      <c r="BB2966" s="78"/>
      <c r="BC2966" s="78"/>
      <c r="BD2966" s="78"/>
      <c r="BE2966" s="465"/>
      <c r="BF2966" s="165" t="str">
        <f t="shared" si="2292"/>
        <v>https://www.google.com/search?tbm=isch&amp;q=3%20G5</v>
      </c>
      <c r="BG2966" s="165" t="str">
        <f t="shared" si="2293"/>
        <v>M</v>
      </c>
      <c r="BH2966" s="65"/>
      <c r="BI2966" s="65"/>
      <c r="BJ2966" s="65"/>
      <c r="BK2966" s="65"/>
      <c r="BL2966" s="99"/>
      <c r="BM2966" s="99"/>
      <c r="BN2966" s="99"/>
    </row>
    <row r="2967" spans="1:66" s="51" customFormat="1" ht="15.75" x14ac:dyDescent="0.25">
      <c r="A2967" s="478">
        <v>7</v>
      </c>
      <c r="B2967" s="479" t="s">
        <v>291</v>
      </c>
      <c r="C2967" s="480" t="s">
        <v>16</v>
      </c>
      <c r="D2967" s="481" t="s">
        <v>310</v>
      </c>
      <c r="E2967" s="482">
        <v>56.95</v>
      </c>
      <c r="F2967" s="483" t="s">
        <v>292</v>
      </c>
      <c r="G2967" s="484">
        <v>0</v>
      </c>
      <c r="H2967" s="688" t="str">
        <f>IF(G2967=0,"",IF(F2967="Buy",IF(G2967=1,"plant","plants"),IF(F2967&gt;0.01,"warranty","Error")))</f>
        <v/>
      </c>
      <c r="I2967" s="485">
        <f>IF(H2967="free",0,IF(H2967="credit",((E2967*(F2967))*G2967*-1),IF(F2967="Buy",(E2967*G2967),((E2967*(1-F2967))*G2967))))</f>
        <v>0</v>
      </c>
      <c r="J2967" s="485">
        <f>IF(H2967="warranty",0,(I2967*(_xlfn.SINGLE(SalesTaxPercentage))))</f>
        <v>0</v>
      </c>
      <c r="K2967" s="715">
        <f t="shared" ref="K2967" si="2296">I2967+J2967</f>
        <v>0</v>
      </c>
      <c r="L2967" s="715"/>
      <c r="M2967" s="689" t="str">
        <f ca="1">IF(AND(G2967&gt;0,E2967=0),"WARNING - no PRICE inserted",IF(H2967="free","FREE ~ no charge this plant",IF(H2967="credit",CONCATENATE("-$",ROUND(K2967*(1-_xlfn.SINGLE(T2GDiscount))*-1,2)," CREDIT after discount"),IF(_xlfn.SINGLE(T2GDiscount)=0,"",IF(G2967=0,"",IF(F2967="Buy",CONCATENATE("$",ROUND(K2967*(1-_xlfn.SINGLE(T2GDiscount)),2)," with ",(_xlfn.SINGLE(T2GDiscount)*100),"% discount"),CONCATENATE("$",ROUND(K2967*(1-_xlfn.SINGLE(T2GDiscount)),2)," with ",((_xlfn.SINGLE(T2GDiscount)*100+F2967*100)-(_xlfn.SINGLE(T2GDiscount)*100*F2967)),IF(F2967&gt;0,"% discounts",IF(_xlfn.SINGLE(NoWarrantyDiscount)&gt;0,"% discounts","% discount")))))))))</f>
        <v/>
      </c>
      <c r="N2967" s="690"/>
      <c r="O2967" s="486"/>
      <c r="P2967" s="486"/>
      <c r="Q2967" s="486"/>
      <c r="R2967" s="486"/>
      <c r="S2967" s="486"/>
      <c r="T2967" s="102">
        <f t="shared" si="2281"/>
        <v>0</v>
      </c>
      <c r="U2967" s="78">
        <f>IF(NOT(ISNUMBER(G2967)), "", VLOOKUP(A2967,'Discount Lookup'!D:E,2,FALSE)*G2967)</f>
        <v>0</v>
      </c>
      <c r="V2967" s="78">
        <f>IF(NOT(ISNUMBER(G2967)), "", VLOOKUP(A2967,'Discount Lookup'!G:H,2,FALSE)*G2967)</f>
        <v>0</v>
      </c>
      <c r="W2967" s="102">
        <f t="shared" si="2282"/>
        <v>0</v>
      </c>
      <c r="X2967" s="102">
        <f t="shared" si="2283"/>
        <v>0</v>
      </c>
      <c r="Y2967" s="120" t="b">
        <f t="shared" si="2284"/>
        <v>0</v>
      </c>
      <c r="Z2967" s="117">
        <f t="shared" si="2285"/>
        <v>0</v>
      </c>
      <c r="AA2967" s="118"/>
      <c r="AB2967" s="118" t="str">
        <f t="shared" si="2286"/>
        <v/>
      </c>
      <c r="AC2967" s="712" t="str">
        <f>IF(AE2967="T2G","no charge",IF(AND(OR(PlanterYesMe="No",PlanterYesMe="N",PlanterYesMe="me"),H2967=""),"",IF(H2967="credit","NO install",IF(AND(K2967="",AE2967="me"),"EACH row",IF(AND(K2967="images",AE2967="me"),"EACH row",IF(D2967="","",IF(H2967="credit","",IF(AE2967="free","re-planting",IF(AE2967="me","   not ELP, by",IF(AND(OR(PlanterYesMe="Yes",PlanterYesMe="Y"),G2967&gt;0),(VLOOKUP(A2967,'Discount Lookup'!J:K,2)*G2967*(1-PlanterDiscount)*(1+PlanterDifficultyPercentage)),IF(AE2967="ELP",(VLOOKUP(A2967,'Discount Lookup'!J:K,2)*G2967*(1-PlanterDiscount)*(1+PlanterDifficultyPercentage)),IF(AE2967="free","re-planting",IF(G2967=0,"",IF(PlanterYesMe="",IF(AE2967="me","   not ELP, by",IF(AE2967="",IF(G2967&gt;0,(VLOOKUP(A2967,'Discount Lookup'!J:K,2)*G2967*(1-PlanterDiscount)*(1+PlanterDifficultyPercentage)),""),"")),"   not ELP, by"))))))))))))))</f>
        <v/>
      </c>
      <c r="AD2967" s="712"/>
      <c r="AE2967" s="513" t="str">
        <f t="shared" si="2287"/>
        <v/>
      </c>
      <c r="AF2967" s="713" t="str">
        <f t="shared" si="2288"/>
        <v/>
      </c>
      <c r="AG2967" s="713"/>
      <c r="AH2967" s="713"/>
      <c r="AI2967" s="112">
        <f>IF(H2967="credit",0,IF(AE2967="free",0,IF(AE2967="me",0,IF(G2967&gt;0,(VLOOKUP(A2967,'Discount Lookup'!J:K,2)*G2967),0))))</f>
        <v>0</v>
      </c>
      <c r="AJ2967" s="107" t="str">
        <f t="shared" ca="1" si="2289"/>
        <v/>
      </c>
      <c r="AK2967" s="714" t="str">
        <f t="shared" si="2290"/>
        <v/>
      </c>
      <c r="AL2967" s="714"/>
      <c r="AM2967" s="114" t="str">
        <f t="shared" si="2291"/>
        <v/>
      </c>
      <c r="AN2967" s="115"/>
      <c r="AO2967" s="116"/>
      <c r="AP2967" s="116"/>
      <c r="AQ2967" s="116"/>
      <c r="AR2967" s="116"/>
      <c r="AS2967" s="116"/>
      <c r="AT2967" s="116"/>
      <c r="AU2967" s="116"/>
      <c r="AV2967" s="78"/>
      <c r="AW2967" s="102"/>
      <c r="AX2967" s="78"/>
      <c r="AY2967" s="78"/>
      <c r="AZ2967" s="78"/>
      <c r="BA2967" s="78"/>
      <c r="BB2967" s="78"/>
      <c r="BC2967" s="78"/>
      <c r="BD2967" s="78"/>
      <c r="BE2967" s="465"/>
      <c r="BF2967" s="165" t="str">
        <f t="shared" si="2292"/>
        <v>https://www.google.com/search?tbm=isch&amp;q=7%20G1</v>
      </c>
      <c r="BG2967" s="165" t="str">
        <f t="shared" si="2293"/>
        <v>M</v>
      </c>
      <c r="BH2967" s="65"/>
      <c r="BI2967" s="65"/>
      <c r="BJ2967" s="65"/>
      <c r="BK2967" s="65"/>
      <c r="BL2967" s="99"/>
      <c r="BM2967" s="99"/>
      <c r="BN2967" s="99"/>
    </row>
    <row r="2968" spans="1:66" s="51" customFormat="1" ht="17.25" thickBot="1" x14ac:dyDescent="0.3">
      <c r="A2968" s="508" t="s">
        <v>3560</v>
      </c>
      <c r="B2968" s="487"/>
      <c r="C2968" s="707"/>
      <c r="D2968" s="487"/>
      <c r="E2968" s="487"/>
      <c r="F2968" s="488"/>
      <c r="G2968" s="489"/>
      <c r="H2968" s="487"/>
      <c r="I2968" s="490"/>
      <c r="J2968" s="490"/>
      <c r="K2968" s="491"/>
      <c r="L2968" s="547"/>
      <c r="M2968" s="528"/>
      <c r="N2968" s="492"/>
      <c r="O2968" s="493"/>
      <c r="P2968" s="494"/>
      <c r="Q2968" s="492"/>
      <c r="R2968" s="492"/>
      <c r="S2968" s="699" t="s">
        <v>5280</v>
      </c>
      <c r="T2968" s="102">
        <f t="shared" si="2281"/>
        <v>0</v>
      </c>
      <c r="U2968" s="78" t="str">
        <f>IF(NOT(ISNUMBER(G2968)), "", VLOOKUP(A2968,'Discount Lookup'!D:E,2,FALSE)*G2968)</f>
        <v/>
      </c>
      <c r="V2968" s="78" t="str">
        <f>IF(NOT(ISNUMBER(G2968)), "", VLOOKUP(A2968,'Discount Lookup'!G:H,2,FALSE)*G2968)</f>
        <v/>
      </c>
      <c r="W2968" s="102">
        <f t="shared" si="2282"/>
        <v>0</v>
      </c>
      <c r="X2968" s="102">
        <f t="shared" si="2283"/>
        <v>0</v>
      </c>
      <c r="Y2968" s="120" t="b">
        <f t="shared" si="2284"/>
        <v>0</v>
      </c>
      <c r="Z2968" s="117">
        <f t="shared" si="2285"/>
        <v>0</v>
      </c>
      <c r="AA2968" s="118"/>
      <c r="AB2968" s="118" t="str">
        <f t="shared" si="2286"/>
        <v/>
      </c>
      <c r="AC2968" s="712" t="str">
        <f>IF(AE2968="T2G","no charge",IF(AND(OR(PlanterYesMe="No",PlanterYesMe="N",PlanterYesMe="me"),H2968=""),"",IF(H2968="credit","NO install",IF(AND(K2968="",AE2968="me"),"EACH row",IF(AND(K2968="images",AE2968="me"),"EACH row",IF(D2968="","",IF(H2968="credit","",IF(AE2968="free","re-planting",IF(AE2968="me","   not ELP, by",IF(AND(OR(PlanterYesMe="Yes",PlanterYesMe="Y"),G2968&gt;0),(VLOOKUP(A2968,'Discount Lookup'!J:K,2)*G2968*(1-PlanterDiscount)*(1+PlanterDifficultyPercentage)),IF(AE2968="ELP",(VLOOKUP(A2968,'Discount Lookup'!J:K,2)*G2968*(1-PlanterDiscount)*(1+PlanterDifficultyPercentage)),IF(AE2968="free","re-planting",IF(G2968=0,"",IF(PlanterYesMe="",IF(AE2968="me","   not ELP, by",IF(AE2968="",IF(G2968&gt;0,(VLOOKUP(A2968,'Discount Lookup'!J:K,2)*G2968*(1-PlanterDiscount)*(1+PlanterDifficultyPercentage)),""),"")),"   not ELP, by"))))))))))))))</f>
        <v/>
      </c>
      <c r="AD2968" s="712"/>
      <c r="AE2968" s="513" t="str">
        <f t="shared" si="2287"/>
        <v/>
      </c>
      <c r="AF2968" s="713" t="str">
        <f t="shared" si="2288"/>
        <v/>
      </c>
      <c r="AG2968" s="713"/>
      <c r="AH2968" s="713"/>
      <c r="AI2968" s="112">
        <f>IF(H2968="credit",0,IF(AE2968="free",0,IF(AE2968="me",0,IF(G2968&gt;0,(VLOOKUP(A2968,'Discount Lookup'!J:K,2)*G2968),0))))</f>
        <v>0</v>
      </c>
      <c r="AJ2968" s="107" t="str">
        <f t="shared" ca="1" si="2289"/>
        <v/>
      </c>
      <c r="AK2968" s="714" t="str">
        <f t="shared" si="2290"/>
        <v/>
      </c>
      <c r="AL2968" s="714"/>
      <c r="AM2968" s="114" t="str">
        <f t="shared" si="2291"/>
        <v/>
      </c>
      <c r="AN2968" s="115"/>
      <c r="AO2968" s="116"/>
      <c r="AP2968" s="116"/>
      <c r="AQ2968" s="116"/>
      <c r="AR2968" s="116"/>
      <c r="AS2968" s="116"/>
      <c r="AT2968" s="116"/>
      <c r="AU2968" s="116"/>
      <c r="AV2968" s="78"/>
      <c r="AW2968" s="102"/>
      <c r="AX2968" s="78"/>
      <c r="AY2968" s="78"/>
      <c r="AZ2968" s="78"/>
      <c r="BA2968" s="78"/>
      <c r="BB2968" s="78"/>
      <c r="BC2968" s="78"/>
      <c r="BD2968" s="78"/>
      <c r="BE2968" s="465"/>
      <c r="BF2968" s="165" t="str">
        <f t="shared" si="2292"/>
        <v>https://www.google.com/search?tbm=isch&amp;q=Narihira%20has%20elegant%2C%20bamboo-like%20foliage%20and%20fragrant%20Yellow%20winter%20flowers%20followed%20by%20Blue-Purple%20berries%20</v>
      </c>
      <c r="BG2968" s="165" t="str">
        <f t="shared" si="2293"/>
        <v>N</v>
      </c>
      <c r="BH2968" s="65"/>
      <c r="BI2968" s="65"/>
      <c r="BJ2968" s="65"/>
      <c r="BK2968" s="65"/>
      <c r="BL2968" s="99"/>
      <c r="BM2968" s="99"/>
      <c r="BN2968" s="99"/>
    </row>
    <row r="2969" spans="1:66" s="51" customFormat="1" ht="18" x14ac:dyDescent="0.25">
      <c r="A2969" s="507" t="s">
        <v>3561</v>
      </c>
      <c r="B2969" s="470"/>
      <c r="C2969" s="706"/>
      <c r="D2969" s="471" t="s">
        <v>3562</v>
      </c>
      <c r="E2969" s="472"/>
      <c r="F2969" s="472"/>
      <c r="G2969" s="472"/>
      <c r="H2969" s="622" t="s">
        <v>1124</v>
      </c>
      <c r="I2969" s="473" t="s">
        <v>447</v>
      </c>
      <c r="J2969" s="472"/>
      <c r="K2969" s="472"/>
      <c r="L2969" s="561"/>
      <c r="M2969" s="703" t="s">
        <v>5260</v>
      </c>
      <c r="N2969" s="692" t="str">
        <f>IF(AND(ISTEXT($A2969), ISERROR($A2969+0)), HYPERLINK($BF2969, "Images"), "")</f>
        <v>Images</v>
      </c>
      <c r="O2969" s="694" t="s">
        <v>5244</v>
      </c>
      <c r="P2969" s="475"/>
      <c r="Q2969" s="476"/>
      <c r="R2969" s="476"/>
      <c r="S2969" s="477"/>
      <c r="T2969" s="102">
        <f t="shared" si="2281"/>
        <v>0</v>
      </c>
      <c r="U2969" s="78" t="str">
        <f>IF(NOT(ISNUMBER(G2969)), "", VLOOKUP(A2969,'Discount Lookup'!D:E,2,FALSE)*G2969)</f>
        <v/>
      </c>
      <c r="V2969" s="78" t="str">
        <f>IF(NOT(ISNUMBER(G2969)), "", VLOOKUP(A2969,'Discount Lookup'!G:H,2,FALSE)*G2969)</f>
        <v/>
      </c>
      <c r="W2969" s="102">
        <f t="shared" si="2282"/>
        <v>0</v>
      </c>
      <c r="X2969" s="102" t="str">
        <f t="shared" si="2283"/>
        <v>Olive-Green foliage</v>
      </c>
      <c r="Y2969" s="120" t="b">
        <f t="shared" si="2284"/>
        <v>0</v>
      </c>
      <c r="Z2969" s="117">
        <f t="shared" si="2285"/>
        <v>0</v>
      </c>
      <c r="AA2969" s="118"/>
      <c r="AB2969" s="118" t="str">
        <f t="shared" si="2286"/>
        <v/>
      </c>
      <c r="AC2969" s="712" t="str">
        <f>IF(AE2969="T2G","no charge",IF(AND(OR(PlanterYesMe="No",PlanterYesMe="N",PlanterYesMe="me"),H2969=""),"",IF(H2969="credit","NO install",IF(AND(K2969="",AE2969="me"),"EACH row",IF(AND(K2969="images",AE2969="me"),"EACH row",IF(D2969="","",IF(H2969="credit","",IF(AE2969="free","re-planting",IF(AE2969="me","   not ELP, by",IF(AND(OR(PlanterYesMe="Yes",PlanterYesMe="Y"),G2969&gt;0),(VLOOKUP(A2969,'Discount Lookup'!J:K,2)*G2969*(1-PlanterDiscount)*(1+PlanterDifficultyPercentage)),IF(AE2969="ELP",(VLOOKUP(A2969,'Discount Lookup'!J:K,2)*G2969*(1-PlanterDiscount)*(1+PlanterDifficultyPercentage)),IF(AE2969="free","re-planting",IF(G2969=0,"",IF(PlanterYesMe="",IF(AE2969="me","   not ELP, by",IF(AE2969="",IF(G2969&gt;0,(VLOOKUP(A2969,'Discount Lookup'!J:K,2)*G2969*(1-PlanterDiscount)*(1+PlanterDifficultyPercentage)),""),"")),"   not ELP, by"))))))))))))))</f>
        <v/>
      </c>
      <c r="AD2969" s="712"/>
      <c r="AE2969" s="513" t="str">
        <f t="shared" si="2287"/>
        <v/>
      </c>
      <c r="AF2969" s="713" t="str">
        <f t="shared" si="2288"/>
        <v/>
      </c>
      <c r="AG2969" s="713"/>
      <c r="AH2969" s="713"/>
      <c r="AI2969" s="112">
        <f>IF(H2969="credit",0,IF(AE2969="free",0,IF(AE2969="me",0,IF(G2969&gt;0,(VLOOKUP(A2969,'Discount Lookup'!J:K,2)*G2969),0))))</f>
        <v>0</v>
      </c>
      <c r="AJ2969" s="107" t="str">
        <f t="shared" ca="1" si="2289"/>
        <v/>
      </c>
      <c r="AK2969" s="714" t="str">
        <f t="shared" si="2290"/>
        <v/>
      </c>
      <c r="AL2969" s="714"/>
      <c r="AM2969" s="114" t="str">
        <f t="shared" si="2291"/>
        <v/>
      </c>
      <c r="AN2969" s="115"/>
      <c r="AO2969" s="116"/>
      <c r="AP2969" s="116"/>
      <c r="AQ2969" s="116"/>
      <c r="AR2969" s="116"/>
      <c r="AS2969" s="116"/>
      <c r="AT2969" s="116"/>
      <c r="AU2969" s="116"/>
      <c r="AV2969" s="78"/>
      <c r="AW2969" s="102"/>
      <c r="AX2969" s="78"/>
      <c r="AY2969" s="78"/>
      <c r="AZ2969" s="78"/>
      <c r="BA2969" s="78"/>
      <c r="BB2969" s="78"/>
      <c r="BC2969" s="78"/>
      <c r="BD2969" s="78"/>
      <c r="BE2969" s="465"/>
      <c r="BF2969" s="165" t="str">
        <f t="shared" si="2292"/>
        <v>https://www.google.com/search?tbm=isch&amp;q=Mahonia%20eurybracteata%20%27Soft%20Caress%27%20PP%2320183%20Soft%20Caress%20Mahonia</v>
      </c>
      <c r="BG2969" s="165" t="str">
        <f t="shared" si="2293"/>
        <v>M</v>
      </c>
      <c r="BH2969" s="65"/>
      <c r="BI2969" s="65"/>
      <c r="BJ2969" s="65"/>
      <c r="BK2969" s="65"/>
      <c r="BL2969" s="99"/>
      <c r="BM2969" s="99"/>
      <c r="BN2969" s="99"/>
    </row>
    <row r="2970" spans="1:66" s="51" customFormat="1" ht="15.75" x14ac:dyDescent="0.25">
      <c r="A2970" s="478">
        <v>1</v>
      </c>
      <c r="B2970" s="479" t="s">
        <v>291</v>
      </c>
      <c r="C2970" s="480" t="s">
        <v>3563</v>
      </c>
      <c r="D2970" s="481" t="s">
        <v>329</v>
      </c>
      <c r="E2970" s="482">
        <v>28.95</v>
      </c>
      <c r="F2970" s="483" t="s">
        <v>292</v>
      </c>
      <c r="G2970" s="484">
        <v>0</v>
      </c>
      <c r="H2970" s="688" t="str">
        <f>IF(G2970=0,"",IF(F2970="Buy",IF(G2970=1,"plant","plants"),IF(F2970&gt;0.01,"warranty","Error")))</f>
        <v/>
      </c>
      <c r="I2970" s="485">
        <f>IF(H2970="free",0,IF(H2970="credit",((E2970*(F2970))*G2970*-1),IF(F2970="Buy",(E2970*G2970),((E2970*(1-F2970))*G2970))))</f>
        <v>0</v>
      </c>
      <c r="J2970" s="485">
        <f>IF(H2970="warranty",0,(I2970*(_xlfn.SINGLE(SalesTaxPercentage))))</f>
        <v>0</v>
      </c>
      <c r="K2970" s="715">
        <f t="shared" ref="K2970" si="2297">I2970+J2970</f>
        <v>0</v>
      </c>
      <c r="L2970" s="715"/>
      <c r="M2970" s="689" t="str">
        <f ca="1">IF(AND(G2970&gt;0,E2970=0),"WARNING - no PRICE inserted",IF(H2970="free","FREE ~ no charge this plant",IF(H2970="credit",CONCATENATE("-$",ROUND(K2970*(1-_xlfn.SINGLE(T2GDiscount))*-1,2)," CREDIT after discount"),IF(_xlfn.SINGLE(T2GDiscount)=0,"",IF(G2970=0,"",IF(F2970="Buy",CONCATENATE("$",ROUND(K2970*(1-_xlfn.SINGLE(T2GDiscount)),2)," with ",(_xlfn.SINGLE(T2GDiscount)*100),"% discount"),CONCATENATE("$",ROUND(K2970*(1-_xlfn.SINGLE(T2GDiscount)),2)," with ",((_xlfn.SINGLE(T2GDiscount)*100+F2970*100)-(_xlfn.SINGLE(T2GDiscount)*100*F2970)),IF(F2970&gt;0,"% discounts",IF(_xlfn.SINGLE(NoWarrantyDiscount)&gt;0,"% discounts","% discount")))))))))</f>
        <v/>
      </c>
      <c r="N2970" s="690"/>
      <c r="O2970" s="486"/>
      <c r="P2970" s="486"/>
      <c r="Q2970" s="486"/>
      <c r="R2970" s="486"/>
      <c r="S2970" s="486"/>
      <c r="T2970" s="102">
        <f t="shared" si="2281"/>
        <v>0</v>
      </c>
      <c r="U2970" s="78">
        <f>IF(NOT(ISNUMBER(G2970)), "", VLOOKUP(A2970,'Discount Lookup'!D:E,2,FALSE)*G2970)</f>
        <v>0</v>
      </c>
      <c r="V2970" s="78">
        <f>IF(NOT(ISNUMBER(G2970)), "", VLOOKUP(A2970,'Discount Lookup'!G:H,2,FALSE)*G2970)</f>
        <v>0</v>
      </c>
      <c r="W2970" s="102">
        <f t="shared" si="2282"/>
        <v>0</v>
      </c>
      <c r="X2970" s="102">
        <f t="shared" si="2283"/>
        <v>0</v>
      </c>
      <c r="Y2970" s="120" t="b">
        <f t="shared" si="2284"/>
        <v>0</v>
      </c>
      <c r="Z2970" s="117">
        <f t="shared" si="2285"/>
        <v>0</v>
      </c>
      <c r="AA2970" s="118"/>
      <c r="AB2970" s="118" t="str">
        <f t="shared" si="2286"/>
        <v/>
      </c>
      <c r="AC2970" s="712" t="str">
        <f>IF(AE2970="T2G","no charge",IF(AND(OR(PlanterYesMe="No",PlanterYesMe="N",PlanterYesMe="me"),H2970=""),"",IF(H2970="credit","NO install",IF(AND(K2970="",AE2970="me"),"EACH row",IF(AND(K2970="images",AE2970="me"),"EACH row",IF(D2970="","",IF(H2970="credit","",IF(AE2970="free","re-planting",IF(AE2970="me","   not ELP, by",IF(AND(OR(PlanterYesMe="Yes",PlanterYesMe="Y"),G2970&gt;0),(VLOOKUP(A2970,'Discount Lookup'!J:K,2)*G2970*(1-PlanterDiscount)*(1+PlanterDifficultyPercentage)),IF(AE2970="ELP",(VLOOKUP(A2970,'Discount Lookup'!J:K,2)*G2970*(1-PlanterDiscount)*(1+PlanterDifficultyPercentage)),IF(AE2970="free","re-planting",IF(G2970=0,"",IF(PlanterYesMe="",IF(AE2970="me","   not ELP, by",IF(AE2970="",IF(G2970&gt;0,(VLOOKUP(A2970,'Discount Lookup'!J:K,2)*G2970*(1-PlanterDiscount)*(1+PlanterDifficultyPercentage)),""),"")),"   not ELP, by"))))))))))))))</f>
        <v/>
      </c>
      <c r="AD2970" s="712"/>
      <c r="AE2970" s="513" t="str">
        <f t="shared" si="2287"/>
        <v/>
      </c>
      <c r="AF2970" s="713" t="str">
        <f t="shared" si="2288"/>
        <v/>
      </c>
      <c r="AG2970" s="713"/>
      <c r="AH2970" s="713"/>
      <c r="AI2970" s="112">
        <f>IF(H2970="credit",0,IF(AE2970="free",0,IF(AE2970="me",0,IF(G2970&gt;0,(VLOOKUP(A2970,'Discount Lookup'!J:K,2)*G2970),0))))</f>
        <v>0</v>
      </c>
      <c r="AJ2970" s="107" t="str">
        <f t="shared" ca="1" si="2289"/>
        <v/>
      </c>
      <c r="AK2970" s="714" t="str">
        <f t="shared" si="2290"/>
        <v/>
      </c>
      <c r="AL2970" s="714"/>
      <c r="AM2970" s="114" t="str">
        <f t="shared" si="2291"/>
        <v/>
      </c>
      <c r="AN2970" s="115"/>
      <c r="AO2970" s="116"/>
      <c r="AP2970" s="116"/>
      <c r="AQ2970" s="116"/>
      <c r="AR2970" s="116"/>
      <c r="AS2970" s="116"/>
      <c r="AT2970" s="116"/>
      <c r="AU2970" s="116"/>
      <c r="AV2970" s="78"/>
      <c r="AW2970" s="102"/>
      <c r="AX2970" s="78"/>
      <c r="AY2970" s="78"/>
      <c r="AZ2970" s="78"/>
      <c r="BA2970" s="78"/>
      <c r="BB2970" s="78"/>
      <c r="BC2970" s="78"/>
      <c r="BD2970" s="78"/>
      <c r="BE2970" s="465"/>
      <c r="BF2970" s="165" t="str">
        <f t="shared" si="2292"/>
        <v>https://www.google.com/search?tbm=isch&amp;q=1%20G2</v>
      </c>
      <c r="BG2970" s="165" t="str">
        <f t="shared" si="2293"/>
        <v>M</v>
      </c>
      <c r="BH2970" s="65"/>
      <c r="BI2970" s="65"/>
      <c r="BJ2970" s="65"/>
      <c r="BK2970" s="65"/>
      <c r="BL2970" s="99"/>
      <c r="BM2970" s="99"/>
      <c r="BN2970" s="99"/>
    </row>
    <row r="2971" spans="1:66" s="51" customFormat="1" ht="15.75" x14ac:dyDescent="0.25">
      <c r="A2971" s="478">
        <v>3</v>
      </c>
      <c r="B2971" s="479" t="s">
        <v>291</v>
      </c>
      <c r="C2971" s="480" t="s">
        <v>5198</v>
      </c>
      <c r="D2971" s="481" t="s">
        <v>299</v>
      </c>
      <c r="E2971" s="482">
        <v>39.950000000000003</v>
      </c>
      <c r="F2971" s="483" t="s">
        <v>292</v>
      </c>
      <c r="G2971" s="484">
        <v>0</v>
      </c>
      <c r="H2971" s="688" t="str">
        <f>IF(G2971=0,"",IF(F2971="Buy",IF(G2971=1,"plant","plants"),IF(F2971&gt;0.01,"warranty","Error")))</f>
        <v/>
      </c>
      <c r="I2971" s="485">
        <f>IF(H2971="free",0,IF(H2971="credit",((E2971*(F2971))*G2971*-1),IF(F2971="Buy",(E2971*G2971),((E2971*(1-F2971))*G2971))))</f>
        <v>0</v>
      </c>
      <c r="J2971" s="485">
        <f>IF(H2971="warranty",0,(I2971*(_xlfn.SINGLE(SalesTaxPercentage))))</f>
        <v>0</v>
      </c>
      <c r="K2971" s="715">
        <f t="shared" ref="K2971" si="2298">I2971+J2971</f>
        <v>0</v>
      </c>
      <c r="L2971" s="715"/>
      <c r="M2971" s="689" t="str">
        <f ca="1">IF(AND(G2971&gt;0,E2971=0),"WARNING - no PRICE inserted",IF(H2971="free","FREE ~ no charge this plant",IF(H2971="credit",CONCATENATE("-$",ROUND(K2971*(1-_xlfn.SINGLE(T2GDiscount))*-1,2)," CREDIT after discount"),IF(_xlfn.SINGLE(T2GDiscount)=0,"",IF(G2971=0,"",IF(F2971="Buy",CONCATENATE("$",ROUND(K2971*(1-_xlfn.SINGLE(T2GDiscount)),2)," with ",(_xlfn.SINGLE(T2GDiscount)*100),"% discount"),CONCATENATE("$",ROUND(K2971*(1-_xlfn.SINGLE(T2GDiscount)),2)," with ",((_xlfn.SINGLE(T2GDiscount)*100+F2971*100)-(_xlfn.SINGLE(T2GDiscount)*100*F2971)),IF(F2971&gt;0,"% discounts",IF(_xlfn.SINGLE(NoWarrantyDiscount)&gt;0,"% discounts","% discount")))))))))</f>
        <v/>
      </c>
      <c r="N2971" s="690"/>
      <c r="O2971" s="486"/>
      <c r="P2971" s="486"/>
      <c r="Q2971" s="486"/>
      <c r="R2971" s="486"/>
      <c r="S2971" s="486"/>
      <c r="T2971" s="102">
        <f t="shared" si="2281"/>
        <v>0</v>
      </c>
      <c r="U2971" s="78">
        <f>IF(NOT(ISNUMBER(G2971)), "", VLOOKUP(A2971,'Discount Lookup'!D:E,2,FALSE)*G2971)</f>
        <v>0</v>
      </c>
      <c r="V2971" s="78">
        <f>IF(NOT(ISNUMBER(G2971)), "", VLOOKUP(A2971,'Discount Lookup'!G:H,2,FALSE)*G2971)</f>
        <v>0</v>
      </c>
      <c r="W2971" s="102">
        <f t="shared" si="2282"/>
        <v>0</v>
      </c>
      <c r="X2971" s="102">
        <f t="shared" si="2283"/>
        <v>0</v>
      </c>
      <c r="Y2971" s="120" t="b">
        <f t="shared" si="2284"/>
        <v>0</v>
      </c>
      <c r="Z2971" s="117">
        <f t="shared" si="2285"/>
        <v>0</v>
      </c>
      <c r="AA2971" s="118"/>
      <c r="AB2971" s="118" t="str">
        <f t="shared" si="2286"/>
        <v/>
      </c>
      <c r="AC2971" s="712" t="str">
        <f>IF(AE2971="T2G","no charge",IF(AND(OR(PlanterYesMe="No",PlanterYesMe="N",PlanterYesMe="me"),H2971=""),"",IF(H2971="credit","NO install",IF(AND(K2971="",AE2971="me"),"EACH row",IF(AND(K2971="images",AE2971="me"),"EACH row",IF(D2971="","",IF(H2971="credit","",IF(AE2971="free","re-planting",IF(AE2971="me","   not ELP, by",IF(AND(OR(PlanterYesMe="Yes",PlanterYesMe="Y"),G2971&gt;0),(VLOOKUP(A2971,'Discount Lookup'!J:K,2)*G2971*(1-PlanterDiscount)*(1+PlanterDifficultyPercentage)),IF(AE2971="ELP",(VLOOKUP(A2971,'Discount Lookup'!J:K,2)*G2971*(1-PlanterDiscount)*(1+PlanterDifficultyPercentage)),IF(AE2971="free","re-planting",IF(G2971=0,"",IF(PlanterYesMe="",IF(AE2971="me","   not ELP, by",IF(AE2971="",IF(G2971&gt;0,(VLOOKUP(A2971,'Discount Lookup'!J:K,2)*G2971*(1-PlanterDiscount)*(1+PlanterDifficultyPercentage)),""),"")),"   not ELP, by"))))))))))))))</f>
        <v/>
      </c>
      <c r="AD2971" s="712"/>
      <c r="AE2971" s="513" t="str">
        <f t="shared" si="2287"/>
        <v/>
      </c>
      <c r="AF2971" s="713" t="str">
        <f t="shared" si="2288"/>
        <v/>
      </c>
      <c r="AG2971" s="713"/>
      <c r="AH2971" s="713"/>
      <c r="AI2971" s="112">
        <f>IF(H2971="credit",0,IF(AE2971="free",0,IF(AE2971="me",0,IF(G2971&gt;0,(VLOOKUP(A2971,'Discount Lookup'!J:K,2)*G2971),0))))</f>
        <v>0</v>
      </c>
      <c r="AJ2971" s="107" t="str">
        <f t="shared" ca="1" si="2289"/>
        <v/>
      </c>
      <c r="AK2971" s="714" t="str">
        <f t="shared" si="2290"/>
        <v/>
      </c>
      <c r="AL2971" s="714"/>
      <c r="AM2971" s="114" t="str">
        <f t="shared" si="2291"/>
        <v/>
      </c>
      <c r="AN2971" s="115"/>
      <c r="AO2971" s="116"/>
      <c r="AP2971" s="116"/>
      <c r="AQ2971" s="116"/>
      <c r="AR2971" s="116"/>
      <c r="AS2971" s="116"/>
      <c r="AT2971" s="116"/>
      <c r="AU2971" s="116"/>
      <c r="AV2971" s="78"/>
      <c r="AW2971" s="102"/>
      <c r="AX2971" s="78"/>
      <c r="AY2971" s="78"/>
      <c r="AZ2971" s="78"/>
      <c r="BA2971" s="78"/>
      <c r="BB2971" s="78"/>
      <c r="BC2971" s="78"/>
      <c r="BD2971" s="78"/>
      <c r="BE2971" s="465"/>
      <c r="BF2971" s="165" t="str">
        <f t="shared" si="2292"/>
        <v>https://www.google.com/search?tbm=isch&amp;q=3%20G4</v>
      </c>
      <c r="BG2971" s="165" t="str">
        <f t="shared" si="2293"/>
        <v>M</v>
      </c>
      <c r="BH2971" s="65"/>
      <c r="BI2971" s="65"/>
      <c r="BJ2971" s="65"/>
      <c r="BK2971" s="65"/>
      <c r="BL2971" s="99"/>
      <c r="BM2971" s="99"/>
      <c r="BN2971" s="99"/>
    </row>
    <row r="2972" spans="1:66" s="51" customFormat="1" ht="15.75" x14ac:dyDescent="0.25">
      <c r="A2972" s="478">
        <v>3</v>
      </c>
      <c r="B2972" s="479" t="s">
        <v>291</v>
      </c>
      <c r="C2972" s="480" t="s">
        <v>1871</v>
      </c>
      <c r="D2972" s="481" t="s">
        <v>329</v>
      </c>
      <c r="E2972" s="482">
        <v>43.95</v>
      </c>
      <c r="F2972" s="483" t="s">
        <v>292</v>
      </c>
      <c r="G2972" s="484">
        <v>0</v>
      </c>
      <c r="H2972" s="688" t="str">
        <f>IF(G2972=0,"",IF(F2972="Buy",IF(G2972=1,"plant","plants"),IF(F2972&gt;0.01,"warranty","Error")))</f>
        <v/>
      </c>
      <c r="I2972" s="485">
        <f>IF(H2972="free",0,IF(H2972="credit",((E2972*(F2972))*G2972*-1),IF(F2972="Buy",(E2972*G2972),((E2972*(1-F2972))*G2972))))</f>
        <v>0</v>
      </c>
      <c r="J2972" s="485">
        <f>IF(H2972="warranty",0,(I2972*(_xlfn.SINGLE(SalesTaxPercentage))))</f>
        <v>0</v>
      </c>
      <c r="K2972" s="715">
        <f t="shared" ref="K2972" si="2299">I2972+J2972</f>
        <v>0</v>
      </c>
      <c r="L2972" s="715"/>
      <c r="M2972" s="689" t="str">
        <f ca="1">IF(AND(G2972&gt;0,E2972=0),"WARNING - no PRICE inserted",IF(H2972="free","FREE ~ no charge this plant",IF(H2972="credit",CONCATENATE("-$",ROUND(K2972*(1-_xlfn.SINGLE(T2GDiscount))*-1,2)," CREDIT after discount"),IF(_xlfn.SINGLE(T2GDiscount)=0,"",IF(G2972=0,"",IF(F2972="Buy",CONCATENATE("$",ROUND(K2972*(1-_xlfn.SINGLE(T2GDiscount)),2)," with ",(_xlfn.SINGLE(T2GDiscount)*100),"% discount"),CONCATENATE("$",ROUND(K2972*(1-_xlfn.SINGLE(T2GDiscount)),2)," with ",((_xlfn.SINGLE(T2GDiscount)*100+F2972*100)-(_xlfn.SINGLE(T2GDiscount)*100*F2972)),IF(F2972&gt;0,"% discounts",IF(_xlfn.SINGLE(NoWarrantyDiscount)&gt;0,"% discounts","% discount")))))))))</f>
        <v/>
      </c>
      <c r="N2972" s="690"/>
      <c r="O2972" s="486"/>
      <c r="P2972" s="486"/>
      <c r="Q2972" s="486"/>
      <c r="R2972" s="486"/>
      <c r="S2972" s="486"/>
      <c r="T2972" s="102">
        <f t="shared" si="2281"/>
        <v>0</v>
      </c>
      <c r="U2972" s="78">
        <f>IF(NOT(ISNUMBER(G2972)), "", VLOOKUP(A2972,'Discount Lookup'!D:E,2,FALSE)*G2972)</f>
        <v>0</v>
      </c>
      <c r="V2972" s="78">
        <f>IF(NOT(ISNUMBER(G2972)), "", VLOOKUP(A2972,'Discount Lookup'!G:H,2,FALSE)*G2972)</f>
        <v>0</v>
      </c>
      <c r="W2972" s="102">
        <f t="shared" si="2282"/>
        <v>0</v>
      </c>
      <c r="X2972" s="102">
        <f t="shared" si="2283"/>
        <v>0</v>
      </c>
      <c r="Y2972" s="120" t="b">
        <f t="shared" si="2284"/>
        <v>0</v>
      </c>
      <c r="Z2972" s="117">
        <f t="shared" si="2285"/>
        <v>0</v>
      </c>
      <c r="AA2972" s="118"/>
      <c r="AB2972" s="118" t="str">
        <f t="shared" si="2286"/>
        <v/>
      </c>
      <c r="AC2972" s="712" t="str">
        <f>IF(AE2972="T2G","no charge",IF(AND(OR(PlanterYesMe="No",PlanterYesMe="N",PlanterYesMe="me"),H2972=""),"",IF(H2972="credit","NO install",IF(AND(K2972="",AE2972="me"),"EACH row",IF(AND(K2972="images",AE2972="me"),"EACH row",IF(D2972="","",IF(H2972="credit","",IF(AE2972="free","re-planting",IF(AE2972="me","   not ELP, by",IF(AND(OR(PlanterYesMe="Yes",PlanterYesMe="Y"),G2972&gt;0),(VLOOKUP(A2972,'Discount Lookup'!J:K,2)*G2972*(1-PlanterDiscount)*(1+PlanterDifficultyPercentage)),IF(AE2972="ELP",(VLOOKUP(A2972,'Discount Lookup'!J:K,2)*G2972*(1-PlanterDiscount)*(1+PlanterDifficultyPercentage)),IF(AE2972="free","re-planting",IF(G2972=0,"",IF(PlanterYesMe="",IF(AE2972="me","   not ELP, by",IF(AE2972="",IF(G2972&gt;0,(VLOOKUP(A2972,'Discount Lookup'!J:K,2)*G2972*(1-PlanterDiscount)*(1+PlanterDifficultyPercentage)),""),"")),"   not ELP, by"))))))))))))))</f>
        <v/>
      </c>
      <c r="AD2972" s="712"/>
      <c r="AE2972" s="513" t="str">
        <f t="shared" si="2287"/>
        <v/>
      </c>
      <c r="AF2972" s="713" t="str">
        <f t="shared" si="2288"/>
        <v/>
      </c>
      <c r="AG2972" s="713"/>
      <c r="AH2972" s="713"/>
      <c r="AI2972" s="112">
        <f>IF(H2972="credit",0,IF(AE2972="free",0,IF(AE2972="me",0,IF(G2972&gt;0,(VLOOKUP(A2972,'Discount Lookup'!J:K,2)*G2972),0))))</f>
        <v>0</v>
      </c>
      <c r="AJ2972" s="107" t="str">
        <f t="shared" ca="1" si="2289"/>
        <v/>
      </c>
      <c r="AK2972" s="714" t="str">
        <f t="shared" si="2290"/>
        <v/>
      </c>
      <c r="AL2972" s="714"/>
      <c r="AM2972" s="114" t="str">
        <f t="shared" si="2291"/>
        <v/>
      </c>
      <c r="AN2972" s="115"/>
      <c r="AO2972" s="116"/>
      <c r="AP2972" s="116"/>
      <c r="AQ2972" s="116"/>
      <c r="AR2972" s="116"/>
      <c r="AS2972" s="116"/>
      <c r="AT2972" s="116"/>
      <c r="AU2972" s="116"/>
      <c r="AV2972" s="78"/>
      <c r="AW2972" s="102"/>
      <c r="AX2972" s="78"/>
      <c r="AY2972" s="78"/>
      <c r="AZ2972" s="78"/>
      <c r="BA2972" s="78"/>
      <c r="BB2972" s="78"/>
      <c r="BC2972" s="78"/>
      <c r="BD2972" s="78"/>
      <c r="BE2972" s="465"/>
      <c r="BF2972" s="165" t="str">
        <f t="shared" si="2292"/>
        <v>https://www.google.com/search?tbm=isch&amp;q=3%20G2</v>
      </c>
      <c r="BG2972" s="165" t="str">
        <f t="shared" si="2293"/>
        <v>M</v>
      </c>
      <c r="BH2972" s="65"/>
      <c r="BI2972" s="65"/>
      <c r="BJ2972" s="65"/>
      <c r="BK2972" s="65"/>
      <c r="BL2972" s="99"/>
      <c r="BM2972" s="99"/>
      <c r="BN2972" s="99"/>
    </row>
    <row r="2973" spans="1:66" s="51" customFormat="1" ht="15.75" x14ac:dyDescent="0.25">
      <c r="A2973" s="478">
        <v>5</v>
      </c>
      <c r="B2973" s="479" t="s">
        <v>291</v>
      </c>
      <c r="C2973" s="480" t="s">
        <v>3564</v>
      </c>
      <c r="D2973" s="481" t="s">
        <v>293</v>
      </c>
      <c r="E2973" s="482">
        <v>82.95</v>
      </c>
      <c r="F2973" s="483" t="s">
        <v>292</v>
      </c>
      <c r="G2973" s="484">
        <v>0</v>
      </c>
      <c r="H2973" s="688" t="str">
        <f>IF(G2973=0,"",IF(F2973="Buy",IF(G2973=1,"plant","plants"),IF(F2973&gt;0.01,"warranty","Error")))</f>
        <v/>
      </c>
      <c r="I2973" s="485">
        <f>IF(H2973="free",0,IF(H2973="credit",((E2973*(F2973))*G2973*-1),IF(F2973="Buy",(E2973*G2973),((E2973*(1-F2973))*G2973))))</f>
        <v>0</v>
      </c>
      <c r="J2973" s="485">
        <f>IF(H2973="warranty",0,(I2973*(_xlfn.SINGLE(SalesTaxPercentage))))</f>
        <v>0</v>
      </c>
      <c r="K2973" s="715">
        <f t="shared" ref="K2973" si="2300">I2973+J2973</f>
        <v>0</v>
      </c>
      <c r="L2973" s="715"/>
      <c r="M2973" s="689" t="str">
        <f ca="1">IF(AND(G2973&gt;0,E2973=0),"WARNING - no PRICE inserted",IF(H2973="free","FREE ~ no charge this plant",IF(H2973="credit",CONCATENATE("-$",ROUND(K2973*(1-_xlfn.SINGLE(T2GDiscount))*-1,2)," CREDIT after discount"),IF(_xlfn.SINGLE(T2GDiscount)=0,"",IF(G2973=0,"",IF(F2973="Buy",CONCATENATE("$",ROUND(K2973*(1-_xlfn.SINGLE(T2GDiscount)),2)," with ",(_xlfn.SINGLE(T2GDiscount)*100),"% discount"),CONCATENATE("$",ROUND(K2973*(1-_xlfn.SINGLE(T2GDiscount)),2)," with ",((_xlfn.SINGLE(T2GDiscount)*100+F2973*100)-(_xlfn.SINGLE(T2GDiscount)*100*F2973)),IF(F2973&gt;0,"% discounts",IF(_xlfn.SINGLE(NoWarrantyDiscount)&gt;0,"% discounts","% discount")))))))))</f>
        <v/>
      </c>
      <c r="N2973" s="690"/>
      <c r="O2973" s="486"/>
      <c r="P2973" s="486"/>
      <c r="Q2973" s="486"/>
      <c r="R2973" s="486"/>
      <c r="S2973" s="486"/>
      <c r="T2973" s="102">
        <f t="shared" si="2281"/>
        <v>0</v>
      </c>
      <c r="U2973" s="78">
        <f>IF(NOT(ISNUMBER(G2973)), "", VLOOKUP(A2973,'Discount Lookup'!D:E,2,FALSE)*G2973)</f>
        <v>0</v>
      </c>
      <c r="V2973" s="78">
        <f>IF(NOT(ISNUMBER(G2973)), "", VLOOKUP(A2973,'Discount Lookup'!G:H,2,FALSE)*G2973)</f>
        <v>0</v>
      </c>
      <c r="W2973" s="102">
        <f t="shared" si="2282"/>
        <v>0</v>
      </c>
      <c r="X2973" s="102">
        <f t="shared" si="2283"/>
        <v>0</v>
      </c>
      <c r="Y2973" s="120" t="b">
        <f t="shared" si="2284"/>
        <v>0</v>
      </c>
      <c r="Z2973" s="117">
        <f t="shared" si="2285"/>
        <v>0</v>
      </c>
      <c r="AA2973" s="118"/>
      <c r="AB2973" s="118" t="str">
        <f t="shared" si="2286"/>
        <v/>
      </c>
      <c r="AC2973" s="712" t="str">
        <f>IF(AE2973="T2G","no charge",IF(AND(OR(PlanterYesMe="No",PlanterYesMe="N",PlanterYesMe="me"),H2973=""),"",IF(H2973="credit","NO install",IF(AND(K2973="",AE2973="me"),"EACH row",IF(AND(K2973="images",AE2973="me"),"EACH row",IF(D2973="","",IF(H2973="credit","",IF(AE2973="free","re-planting",IF(AE2973="me","   not ELP, by",IF(AND(OR(PlanterYesMe="Yes",PlanterYesMe="Y"),G2973&gt;0),(VLOOKUP(A2973,'Discount Lookup'!J:K,2)*G2973*(1-PlanterDiscount)*(1+PlanterDifficultyPercentage)),IF(AE2973="ELP",(VLOOKUP(A2973,'Discount Lookup'!J:K,2)*G2973*(1-PlanterDiscount)*(1+PlanterDifficultyPercentage)),IF(AE2973="free","re-planting",IF(G2973=0,"",IF(PlanterYesMe="",IF(AE2973="me","   not ELP, by",IF(AE2973="",IF(G2973&gt;0,(VLOOKUP(A2973,'Discount Lookup'!J:K,2)*G2973*(1-PlanterDiscount)*(1+PlanterDifficultyPercentage)),""),"")),"   not ELP, by"))))))))))))))</f>
        <v/>
      </c>
      <c r="AD2973" s="712"/>
      <c r="AE2973" s="513" t="str">
        <f t="shared" si="2287"/>
        <v/>
      </c>
      <c r="AF2973" s="713" t="str">
        <f t="shared" si="2288"/>
        <v/>
      </c>
      <c r="AG2973" s="713"/>
      <c r="AH2973" s="713"/>
      <c r="AI2973" s="112">
        <f>IF(H2973="credit",0,IF(AE2973="free",0,IF(AE2973="me",0,IF(G2973&gt;0,(VLOOKUP(A2973,'Discount Lookup'!J:K,2)*G2973),0))))</f>
        <v>0</v>
      </c>
      <c r="AJ2973" s="107" t="str">
        <f t="shared" ca="1" si="2289"/>
        <v/>
      </c>
      <c r="AK2973" s="714" t="str">
        <f t="shared" si="2290"/>
        <v/>
      </c>
      <c r="AL2973" s="714"/>
      <c r="AM2973" s="114" t="str">
        <f t="shared" si="2291"/>
        <v/>
      </c>
      <c r="AN2973" s="115"/>
      <c r="AO2973" s="116"/>
      <c r="AP2973" s="116"/>
      <c r="AQ2973" s="116"/>
      <c r="AR2973" s="116"/>
      <c r="AS2973" s="116"/>
      <c r="AT2973" s="116"/>
      <c r="AU2973" s="116"/>
      <c r="AV2973" s="78"/>
      <c r="AW2973" s="102"/>
      <c r="AX2973" s="78"/>
      <c r="AY2973" s="78"/>
      <c r="AZ2973" s="78"/>
      <c r="BA2973" s="78"/>
      <c r="BB2973" s="78"/>
      <c r="BC2973" s="78"/>
      <c r="BD2973" s="78"/>
      <c r="BE2973" s="465"/>
      <c r="BF2973" s="165" t="str">
        <f t="shared" si="2292"/>
        <v>https://www.google.com/search?tbm=isch&amp;q=5%20G6</v>
      </c>
      <c r="BG2973" s="165" t="str">
        <f t="shared" si="2293"/>
        <v>M</v>
      </c>
      <c r="BH2973" s="65"/>
      <c r="BI2973" s="65"/>
      <c r="BJ2973" s="65"/>
      <c r="BK2973" s="65"/>
      <c r="BL2973" s="99"/>
      <c r="BM2973" s="99"/>
      <c r="BN2973" s="99"/>
    </row>
    <row r="2974" spans="1:66" s="51" customFormat="1" ht="17.25" thickBot="1" x14ac:dyDescent="0.3">
      <c r="A2974" s="508" t="s">
        <v>3565</v>
      </c>
      <c r="B2974" s="487"/>
      <c r="C2974" s="707"/>
      <c r="D2974" s="487"/>
      <c r="E2974" s="487"/>
      <c r="F2974" s="488"/>
      <c r="G2974" s="489"/>
      <c r="H2974" s="487"/>
      <c r="I2974" s="490"/>
      <c r="J2974" s="490"/>
      <c r="K2974" s="491"/>
      <c r="L2974" s="547"/>
      <c r="M2974" s="528"/>
      <c r="N2974" s="492"/>
      <c r="O2974" s="493"/>
      <c r="P2974" s="494"/>
      <c r="Q2974" s="492"/>
      <c r="R2974" s="492"/>
      <c r="S2974" s="699" t="s">
        <v>5280</v>
      </c>
      <c r="T2974" s="102">
        <f t="shared" si="2281"/>
        <v>0</v>
      </c>
      <c r="U2974" s="78" t="str">
        <f>IF(NOT(ISNUMBER(G2974)), "", VLOOKUP(A2974,'Discount Lookup'!D:E,2,FALSE)*G2974)</f>
        <v/>
      </c>
      <c r="V2974" s="78" t="str">
        <f>IF(NOT(ISNUMBER(G2974)), "", VLOOKUP(A2974,'Discount Lookup'!G:H,2,FALSE)*G2974)</f>
        <v/>
      </c>
      <c r="W2974" s="102">
        <f t="shared" si="2282"/>
        <v>0</v>
      </c>
      <c r="X2974" s="102">
        <f t="shared" si="2283"/>
        <v>0</v>
      </c>
      <c r="Y2974" s="120" t="b">
        <f t="shared" si="2284"/>
        <v>0</v>
      </c>
      <c r="Z2974" s="117">
        <f t="shared" si="2285"/>
        <v>0</v>
      </c>
      <c r="AA2974" s="118"/>
      <c r="AB2974" s="118" t="str">
        <f t="shared" si="2286"/>
        <v/>
      </c>
      <c r="AC2974" s="712" t="str">
        <f>IF(AE2974="T2G","no charge",IF(AND(OR(PlanterYesMe="No",PlanterYesMe="N",PlanterYesMe="me"),H2974=""),"",IF(H2974="credit","NO install",IF(AND(K2974="",AE2974="me"),"EACH row",IF(AND(K2974="images",AE2974="me"),"EACH row",IF(D2974="","",IF(H2974="credit","",IF(AE2974="free","re-planting",IF(AE2974="me","   not ELP, by",IF(AND(OR(PlanterYesMe="Yes",PlanterYesMe="Y"),G2974&gt;0),(VLOOKUP(A2974,'Discount Lookup'!J:K,2)*G2974*(1-PlanterDiscount)*(1+PlanterDifficultyPercentage)),IF(AE2974="ELP",(VLOOKUP(A2974,'Discount Lookup'!J:K,2)*G2974*(1-PlanterDiscount)*(1+PlanterDifficultyPercentage)),IF(AE2974="free","re-planting",IF(G2974=0,"",IF(PlanterYesMe="",IF(AE2974="me","   not ELP, by",IF(AE2974="",IF(G2974&gt;0,(VLOOKUP(A2974,'Discount Lookup'!J:K,2)*G2974*(1-PlanterDiscount)*(1+PlanterDifficultyPercentage)),""),"")),"   not ELP, by"))))))))))))))</f>
        <v/>
      </c>
      <c r="AD2974" s="712"/>
      <c r="AE2974" s="513" t="str">
        <f t="shared" si="2287"/>
        <v/>
      </c>
      <c r="AF2974" s="713" t="str">
        <f t="shared" si="2288"/>
        <v/>
      </c>
      <c r="AG2974" s="713"/>
      <c r="AH2974" s="713"/>
      <c r="AI2974" s="112">
        <f>IF(H2974="credit",0,IF(AE2974="free",0,IF(AE2974="me",0,IF(G2974&gt;0,(VLOOKUP(A2974,'Discount Lookup'!J:K,2)*G2974),0))))</f>
        <v>0</v>
      </c>
      <c r="AJ2974" s="107" t="str">
        <f t="shared" ca="1" si="2289"/>
        <v/>
      </c>
      <c r="AK2974" s="714" t="str">
        <f t="shared" si="2290"/>
        <v/>
      </c>
      <c r="AL2974" s="714"/>
      <c r="AM2974" s="114" t="str">
        <f t="shared" si="2291"/>
        <v/>
      </c>
      <c r="AN2974" s="115"/>
      <c r="AO2974" s="116"/>
      <c r="AP2974" s="116"/>
      <c r="AQ2974" s="116"/>
      <c r="AR2974" s="116"/>
      <c r="AS2974" s="116"/>
      <c r="AT2974" s="116"/>
      <c r="AU2974" s="116"/>
      <c r="AV2974" s="78"/>
      <c r="AW2974" s="102"/>
      <c r="AX2974" s="78"/>
      <c r="AY2974" s="78"/>
      <c r="AZ2974" s="78"/>
      <c r="BA2974" s="78"/>
      <c r="BB2974" s="78"/>
      <c r="BC2974" s="78"/>
      <c r="BD2974" s="78"/>
      <c r="BE2974" s="465"/>
      <c r="BF2974" s="165" t="str">
        <f t="shared" si="2292"/>
        <v>https://www.google.com/search?tbm=isch&amp;q=Soft%20Caress%20named%20for%20being%20thornless.%20Bright%20Yellow%20late%20winter%20blooms%2C%20followed%20by%20Light%20Blue%20berries.%20Purple%20winter%20cast%20</v>
      </c>
      <c r="BG2974" s="165" t="str">
        <f t="shared" si="2293"/>
        <v>S</v>
      </c>
      <c r="BH2974" s="65"/>
      <c r="BI2974" s="65"/>
      <c r="BJ2974" s="65"/>
      <c r="BK2974" s="65"/>
      <c r="BL2974" s="99"/>
      <c r="BM2974" s="99"/>
      <c r="BN2974" s="99"/>
    </row>
    <row r="2975" spans="1:66" s="51" customFormat="1" ht="18" x14ac:dyDescent="0.25">
      <c r="A2975" s="507" t="s">
        <v>3566</v>
      </c>
      <c r="B2975" s="470"/>
      <c r="C2975" s="706"/>
      <c r="D2975" s="471" t="s">
        <v>3567</v>
      </c>
      <c r="E2975" s="472"/>
      <c r="F2975" s="472"/>
      <c r="G2975" s="472"/>
      <c r="H2975" s="622" t="s">
        <v>1498</v>
      </c>
      <c r="I2975" s="473" t="s">
        <v>431</v>
      </c>
      <c r="J2975" s="472"/>
      <c r="K2975" s="472"/>
      <c r="L2975" s="561"/>
      <c r="M2975" s="703" t="s">
        <v>5260</v>
      </c>
      <c r="N2975" s="692" t="str">
        <f>IF(AND(ISTEXT($A2975), ISERROR($A2975+0)), HYPERLINK($BF2975, "Images"), "")</f>
        <v>Images</v>
      </c>
      <c r="O2975" s="694" t="s">
        <v>5244</v>
      </c>
      <c r="P2975" s="475"/>
      <c r="Q2975" s="476"/>
      <c r="R2975" s="476"/>
      <c r="S2975" s="477"/>
      <c r="T2975" s="102">
        <f t="shared" si="2281"/>
        <v>0</v>
      </c>
      <c r="U2975" s="78" t="str">
        <f>IF(NOT(ISNUMBER(G2975)), "", VLOOKUP(A2975,'Discount Lookup'!D:E,2,FALSE)*G2975)</f>
        <v/>
      </c>
      <c r="V2975" s="78" t="str">
        <f>IF(NOT(ISNUMBER(G2975)), "", VLOOKUP(A2975,'Discount Lookup'!G:H,2,FALSE)*G2975)</f>
        <v/>
      </c>
      <c r="W2975" s="102">
        <f t="shared" si="2282"/>
        <v>0</v>
      </c>
      <c r="X2975" s="102" t="str">
        <f t="shared" si="2283"/>
        <v>Dark Green foliage</v>
      </c>
      <c r="Y2975" s="120" t="b">
        <f t="shared" si="2284"/>
        <v>0</v>
      </c>
      <c r="Z2975" s="117">
        <f t="shared" si="2285"/>
        <v>0</v>
      </c>
      <c r="AA2975" s="118"/>
      <c r="AB2975" s="118" t="str">
        <f t="shared" si="2286"/>
        <v/>
      </c>
      <c r="AC2975" s="712" t="str">
        <f>IF(AE2975="T2G","no charge",IF(AND(OR(PlanterYesMe="No",PlanterYesMe="N",PlanterYesMe="me"),H2975=""),"",IF(H2975="credit","NO install",IF(AND(K2975="",AE2975="me"),"EACH row",IF(AND(K2975="images",AE2975="me"),"EACH row",IF(D2975="","",IF(H2975="credit","",IF(AE2975="free","re-planting",IF(AE2975="me","   not ELP, by",IF(AND(OR(PlanterYesMe="Yes",PlanterYesMe="Y"),G2975&gt;0),(VLOOKUP(A2975,'Discount Lookup'!J:K,2)*G2975*(1-PlanterDiscount)*(1+PlanterDifficultyPercentage)),IF(AE2975="ELP",(VLOOKUP(A2975,'Discount Lookup'!J:K,2)*G2975*(1-PlanterDiscount)*(1+PlanterDifficultyPercentage)),IF(AE2975="free","re-planting",IF(G2975=0,"",IF(PlanterYesMe="",IF(AE2975="me","   not ELP, by",IF(AE2975="",IF(G2975&gt;0,(VLOOKUP(A2975,'Discount Lookup'!J:K,2)*G2975*(1-PlanterDiscount)*(1+PlanterDifficultyPercentage)),""),"")),"   not ELP, by"))))))))))))))</f>
        <v/>
      </c>
      <c r="AD2975" s="712"/>
      <c r="AE2975" s="513" t="str">
        <f t="shared" si="2287"/>
        <v/>
      </c>
      <c r="AF2975" s="713" t="str">
        <f t="shared" si="2288"/>
        <v/>
      </c>
      <c r="AG2975" s="713"/>
      <c r="AH2975" s="713"/>
      <c r="AI2975" s="112">
        <f>IF(H2975="credit",0,IF(AE2975="free",0,IF(AE2975="me",0,IF(G2975&gt;0,(VLOOKUP(A2975,'Discount Lookup'!J:K,2)*G2975),0))))</f>
        <v>0</v>
      </c>
      <c r="AJ2975" s="107" t="str">
        <f t="shared" ca="1" si="2289"/>
        <v/>
      </c>
      <c r="AK2975" s="714" t="str">
        <f t="shared" si="2290"/>
        <v/>
      </c>
      <c r="AL2975" s="714"/>
      <c r="AM2975" s="114" t="str">
        <f t="shared" si="2291"/>
        <v/>
      </c>
      <c r="AN2975" s="115"/>
      <c r="AO2975" s="116"/>
      <c r="AP2975" s="116"/>
      <c r="AQ2975" s="116"/>
      <c r="AR2975" s="116"/>
      <c r="AS2975" s="116"/>
      <c r="AT2975" s="116"/>
      <c r="AU2975" s="116"/>
      <c r="AV2975" s="78"/>
      <c r="AW2975" s="102"/>
      <c r="AX2975" s="78"/>
      <c r="AY2975" s="78"/>
      <c r="AZ2975" s="78"/>
      <c r="BA2975" s="78"/>
      <c r="BB2975" s="78"/>
      <c r="BC2975" s="78"/>
      <c r="BD2975" s="78"/>
      <c r="BE2975" s="465"/>
      <c r="BF2975" s="165" t="str">
        <f t="shared" si="2292"/>
        <v>https://www.google.com/search?tbm=isch&amp;q=Mahonia%20hybrid%20%27NCMH2%27%20PP%2334443%20Groovy%20Glow%20Mahonia</v>
      </c>
      <c r="BG2975" s="165" t="str">
        <f t="shared" si="2293"/>
        <v>M</v>
      </c>
      <c r="BH2975" s="65"/>
      <c r="BI2975" s="65"/>
      <c r="BJ2975" s="65"/>
      <c r="BK2975" s="65"/>
      <c r="BL2975" s="99"/>
      <c r="BM2975" s="99"/>
      <c r="BN2975" s="99"/>
    </row>
    <row r="2976" spans="1:66" s="51" customFormat="1" ht="15.75" x14ac:dyDescent="0.25">
      <c r="A2976" s="478">
        <v>3</v>
      </c>
      <c r="B2976" s="479" t="s">
        <v>291</v>
      </c>
      <c r="C2976" s="480" t="s">
        <v>3568</v>
      </c>
      <c r="D2976" s="481" t="s">
        <v>309</v>
      </c>
      <c r="E2976" s="482">
        <v>35.950000000000003</v>
      </c>
      <c r="F2976" s="483" t="s">
        <v>292</v>
      </c>
      <c r="G2976" s="484">
        <v>0</v>
      </c>
      <c r="H2976" s="688" t="str">
        <f>IF(G2976=0,"",IF(F2976="Buy",IF(G2976=1,"plant","plants"),IF(F2976&gt;0.01,"warranty","Error")))</f>
        <v/>
      </c>
      <c r="I2976" s="485">
        <f>IF(H2976="free",0,IF(H2976="credit",((E2976*(F2976))*G2976*-1),IF(F2976="Buy",(E2976*G2976),((E2976*(1-F2976))*G2976))))</f>
        <v>0</v>
      </c>
      <c r="J2976" s="485">
        <f>IF(H2976="warranty",0,(I2976*(_xlfn.SINGLE(SalesTaxPercentage))))</f>
        <v>0</v>
      </c>
      <c r="K2976" s="715">
        <f t="shared" ref="K2976" si="2301">I2976+J2976</f>
        <v>0</v>
      </c>
      <c r="L2976" s="715"/>
      <c r="M2976" s="689" t="str">
        <f ca="1">IF(AND(G2976&gt;0,E2976=0),"WARNING - no PRICE inserted",IF(H2976="free","FREE ~ no charge this plant",IF(H2976="credit",CONCATENATE("-$",ROUND(K2976*(1-_xlfn.SINGLE(T2GDiscount))*-1,2)," CREDIT after discount"),IF(_xlfn.SINGLE(T2GDiscount)=0,"",IF(G2976=0,"",IF(F2976="Buy",CONCATENATE("$",ROUND(K2976*(1-_xlfn.SINGLE(T2GDiscount)),2)," with ",(_xlfn.SINGLE(T2GDiscount)*100),"% discount"),CONCATENATE("$",ROUND(K2976*(1-_xlfn.SINGLE(T2GDiscount)),2)," with ",((_xlfn.SINGLE(T2GDiscount)*100+F2976*100)-(_xlfn.SINGLE(T2GDiscount)*100*F2976)),IF(F2976&gt;0,"% discounts",IF(_xlfn.SINGLE(NoWarrantyDiscount)&gt;0,"% discounts","% discount")))))))))</f>
        <v/>
      </c>
      <c r="N2976" s="690"/>
      <c r="O2976" s="486"/>
      <c r="P2976" s="486"/>
      <c r="Q2976" s="486"/>
      <c r="R2976" s="486"/>
      <c r="S2976" s="486"/>
      <c r="T2976" s="102">
        <f t="shared" si="2281"/>
        <v>0</v>
      </c>
      <c r="U2976" s="78">
        <f>IF(NOT(ISNUMBER(G2976)), "", VLOOKUP(A2976,'Discount Lookup'!D:E,2,FALSE)*G2976)</f>
        <v>0</v>
      </c>
      <c r="V2976" s="78">
        <f>IF(NOT(ISNUMBER(G2976)), "", VLOOKUP(A2976,'Discount Lookup'!G:H,2,FALSE)*G2976)</f>
        <v>0</v>
      </c>
      <c r="W2976" s="102">
        <f t="shared" si="2282"/>
        <v>0</v>
      </c>
      <c r="X2976" s="102">
        <f t="shared" si="2283"/>
        <v>0</v>
      </c>
      <c r="Y2976" s="120" t="b">
        <f t="shared" si="2284"/>
        <v>0</v>
      </c>
      <c r="Z2976" s="117">
        <f t="shared" si="2285"/>
        <v>0</v>
      </c>
      <c r="AA2976" s="118"/>
      <c r="AB2976" s="118" t="str">
        <f t="shared" si="2286"/>
        <v/>
      </c>
      <c r="AC2976" s="712" t="str">
        <f>IF(AE2976="T2G","no charge",IF(AND(OR(PlanterYesMe="No",PlanterYesMe="N",PlanterYesMe="me"),H2976=""),"",IF(H2976="credit","NO install",IF(AND(K2976="",AE2976="me"),"EACH row",IF(AND(K2976="images",AE2976="me"),"EACH row",IF(D2976="","",IF(H2976="credit","",IF(AE2976="free","re-planting",IF(AE2976="me","   not ELP, by",IF(AND(OR(PlanterYesMe="Yes",PlanterYesMe="Y"),G2976&gt;0),(VLOOKUP(A2976,'Discount Lookup'!J:K,2)*G2976*(1-PlanterDiscount)*(1+PlanterDifficultyPercentage)),IF(AE2976="ELP",(VLOOKUP(A2976,'Discount Lookup'!J:K,2)*G2976*(1-PlanterDiscount)*(1+PlanterDifficultyPercentage)),IF(AE2976="free","re-planting",IF(G2976=0,"",IF(PlanterYesMe="",IF(AE2976="me","   not ELP, by",IF(AE2976="",IF(G2976&gt;0,(VLOOKUP(A2976,'Discount Lookup'!J:K,2)*G2976*(1-PlanterDiscount)*(1+PlanterDifficultyPercentage)),""),"")),"   not ELP, by"))))))))))))))</f>
        <v/>
      </c>
      <c r="AD2976" s="712"/>
      <c r="AE2976" s="513" t="str">
        <f t="shared" si="2287"/>
        <v/>
      </c>
      <c r="AF2976" s="713" t="str">
        <f t="shared" si="2288"/>
        <v/>
      </c>
      <c r="AG2976" s="713"/>
      <c r="AH2976" s="713"/>
      <c r="AI2976" s="112">
        <f>IF(H2976="credit",0,IF(AE2976="free",0,IF(AE2976="me",0,IF(G2976&gt;0,(VLOOKUP(A2976,'Discount Lookup'!J:K,2)*G2976),0))))</f>
        <v>0</v>
      </c>
      <c r="AJ2976" s="107" t="str">
        <f t="shared" ca="1" si="2289"/>
        <v/>
      </c>
      <c r="AK2976" s="714" t="str">
        <f t="shared" si="2290"/>
        <v/>
      </c>
      <c r="AL2976" s="714"/>
      <c r="AM2976" s="114" t="str">
        <f t="shared" si="2291"/>
        <v/>
      </c>
      <c r="AN2976" s="115"/>
      <c r="AO2976" s="116"/>
      <c r="AP2976" s="116"/>
      <c r="AQ2976" s="116"/>
      <c r="AR2976" s="116"/>
      <c r="AS2976" s="116"/>
      <c r="AT2976" s="116"/>
      <c r="AU2976" s="116"/>
      <c r="AV2976" s="78"/>
      <c r="AW2976" s="102"/>
      <c r="AX2976" s="78"/>
      <c r="AY2976" s="78"/>
      <c r="AZ2976" s="78"/>
      <c r="BA2976" s="78"/>
      <c r="BB2976" s="78"/>
      <c r="BC2976" s="78"/>
      <c r="BD2976" s="78"/>
      <c r="BE2976" s="465"/>
      <c r="BF2976" s="165" t="str">
        <f t="shared" si="2292"/>
        <v>https://www.google.com/search?tbm=isch&amp;q=3%20G3</v>
      </c>
      <c r="BG2976" s="165" t="str">
        <f t="shared" si="2293"/>
        <v>M</v>
      </c>
      <c r="BH2976" s="65"/>
      <c r="BI2976" s="65"/>
      <c r="BJ2976" s="65"/>
      <c r="BK2976" s="65"/>
      <c r="BL2976" s="99"/>
      <c r="BM2976" s="99"/>
      <c r="BN2976" s="99"/>
    </row>
    <row r="2977" spans="1:66" s="51" customFormat="1" ht="16.5" x14ac:dyDescent="0.25">
      <c r="A2977" s="508" t="s">
        <v>4779</v>
      </c>
      <c r="B2977" s="487"/>
      <c r="C2977" s="707"/>
      <c r="D2977" s="487"/>
      <c r="E2977" s="487"/>
      <c r="F2977" s="488"/>
      <c r="G2977" s="489"/>
      <c r="H2977" s="487"/>
      <c r="I2977" s="490"/>
      <c r="J2977" s="490"/>
      <c r="K2977" s="491"/>
      <c r="L2977" s="547"/>
      <c r="M2977" s="528"/>
      <c r="N2977" s="492"/>
      <c r="O2977" s="493"/>
      <c r="P2977" s="494"/>
      <c r="Q2977" s="492"/>
      <c r="R2977" s="492"/>
      <c r="S2977" s="699" t="s">
        <v>5280</v>
      </c>
      <c r="T2977" s="102">
        <f t="shared" si="2281"/>
        <v>0</v>
      </c>
      <c r="U2977" s="78" t="str">
        <f>IF(NOT(ISNUMBER(G2977)), "", VLOOKUP(A2977,'Discount Lookup'!D:E,2,FALSE)*G2977)</f>
        <v/>
      </c>
      <c r="V2977" s="78" t="str">
        <f>IF(NOT(ISNUMBER(G2977)), "", VLOOKUP(A2977,'Discount Lookup'!G:H,2,FALSE)*G2977)</f>
        <v/>
      </c>
      <c r="W2977" s="102">
        <f t="shared" si="2282"/>
        <v>0</v>
      </c>
      <c r="X2977" s="102">
        <f t="shared" si="2283"/>
        <v>0</v>
      </c>
      <c r="Y2977" s="120" t="b">
        <f t="shared" si="2284"/>
        <v>0</v>
      </c>
      <c r="Z2977" s="117">
        <f t="shared" si="2285"/>
        <v>0</v>
      </c>
      <c r="AA2977" s="118"/>
      <c r="AB2977" s="118" t="str">
        <f t="shared" si="2286"/>
        <v/>
      </c>
      <c r="AC2977" s="712" t="str">
        <f>IF(AE2977="T2G","no charge",IF(AND(OR(PlanterYesMe="No",PlanterYesMe="N",PlanterYesMe="me"),H2977=""),"",IF(H2977="credit","NO install",IF(AND(K2977="",AE2977="me"),"EACH row",IF(AND(K2977="images",AE2977="me"),"EACH row",IF(D2977="","",IF(H2977="credit","",IF(AE2977="free","re-planting",IF(AE2977="me","   not ELP, by",IF(AND(OR(PlanterYesMe="Yes",PlanterYesMe="Y"),G2977&gt;0),(VLOOKUP(A2977,'Discount Lookup'!J:K,2)*G2977*(1-PlanterDiscount)*(1+PlanterDifficultyPercentage)),IF(AE2977="ELP",(VLOOKUP(A2977,'Discount Lookup'!J:K,2)*G2977*(1-PlanterDiscount)*(1+PlanterDifficultyPercentage)),IF(AE2977="free","re-planting",IF(G2977=0,"",IF(PlanterYesMe="",IF(AE2977="me","   not ELP, by",IF(AE2977="",IF(G2977&gt;0,(VLOOKUP(A2977,'Discount Lookup'!J:K,2)*G2977*(1-PlanterDiscount)*(1+PlanterDifficultyPercentage)),""),"")),"   not ELP, by"))))))))))))))</f>
        <v/>
      </c>
      <c r="AD2977" s="712"/>
      <c r="AE2977" s="513" t="str">
        <f t="shared" si="2287"/>
        <v/>
      </c>
      <c r="AF2977" s="713" t="str">
        <f t="shared" si="2288"/>
        <v/>
      </c>
      <c r="AG2977" s="713"/>
      <c r="AH2977" s="713"/>
      <c r="AI2977" s="112">
        <f>IF(H2977="credit",0,IF(AE2977="free",0,IF(AE2977="me",0,IF(G2977&gt;0,(VLOOKUP(A2977,'Discount Lookup'!J:K,2)*G2977),0))))</f>
        <v>0</v>
      </c>
      <c r="AJ2977" s="107" t="str">
        <f t="shared" ca="1" si="2289"/>
        <v/>
      </c>
      <c r="AK2977" s="714" t="str">
        <f t="shared" si="2290"/>
        <v/>
      </c>
      <c r="AL2977" s="714"/>
      <c r="AM2977" s="114" t="str">
        <f t="shared" si="2291"/>
        <v/>
      </c>
      <c r="AN2977" s="115"/>
      <c r="AO2977" s="116"/>
      <c r="AP2977" s="116"/>
      <c r="AQ2977" s="116"/>
      <c r="AR2977" s="116"/>
      <c r="AS2977" s="116"/>
      <c r="AT2977" s="116"/>
      <c r="AU2977" s="116"/>
      <c r="AV2977" s="78"/>
      <c r="AW2977" s="102"/>
      <c r="AX2977" s="78"/>
      <c r="AY2977" s="78"/>
      <c r="AZ2977" s="78"/>
      <c r="BA2977" s="78"/>
      <c r="BB2977" s="78"/>
      <c r="BC2977" s="78"/>
      <c r="BD2977" s="78"/>
      <c r="BE2977" s="465"/>
      <c r="BF2977" s="165" t="str">
        <f t="shared" si="2292"/>
        <v>https://www.google.com/search?tbm=isch&amp;q=Groovy%20Glow%20named%20for%20Burgundy%20to%20Purple%20winter%20hues%20and%20Orange-Yellow%20winter%20blooms.%20Burgundy%20spring%20foliage%20</v>
      </c>
      <c r="BG2977" s="165" t="str">
        <f t="shared" si="2293"/>
        <v>G</v>
      </c>
      <c r="BH2977" s="65"/>
      <c r="BI2977" s="65"/>
      <c r="BJ2977" s="65"/>
      <c r="BK2977" s="65"/>
      <c r="BL2977" s="99"/>
      <c r="BM2977" s="99"/>
      <c r="BN2977" s="99"/>
    </row>
    <row r="2978" spans="1:66" s="51" customFormat="1" ht="19.5" thickBot="1" x14ac:dyDescent="0.3">
      <c r="A2978" s="686" t="s">
        <v>619</v>
      </c>
      <c r="B2978" s="73"/>
      <c r="C2978" s="708"/>
      <c r="D2978" s="73"/>
      <c r="E2978" s="73"/>
      <c r="F2978" s="496"/>
      <c r="G2978" s="73"/>
      <c r="H2978" s="73"/>
      <c r="I2978" s="73"/>
      <c r="J2978" s="497" t="s">
        <v>357</v>
      </c>
      <c r="K2978" s="498"/>
      <c r="L2978" s="562"/>
      <c r="M2978" s="73"/>
      <c r="N2978"/>
      <c r="O2978"/>
      <c r="P2978"/>
      <c r="Q2978"/>
      <c r="R2978"/>
      <c r="S2978"/>
      <c r="T2978" s="102">
        <f t="shared" si="2281"/>
        <v>0</v>
      </c>
      <c r="U2978" s="78" t="str">
        <f>IF(NOT(ISNUMBER(G2978)), "", VLOOKUP(A2978,'Discount Lookup'!D:E,2,FALSE)*G2978)</f>
        <v/>
      </c>
      <c r="V2978" s="78" t="str">
        <f>IF(NOT(ISNUMBER(G2978)), "", VLOOKUP(A2978,'Discount Lookup'!G:H,2,FALSE)*G2978)</f>
        <v/>
      </c>
      <c r="W2978" s="102">
        <f t="shared" si="2282"/>
        <v>0</v>
      </c>
      <c r="X2978" s="102">
        <f t="shared" si="2283"/>
        <v>0</v>
      </c>
      <c r="Y2978" s="120" t="b">
        <f t="shared" si="2284"/>
        <v>0</v>
      </c>
      <c r="Z2978" s="117">
        <f t="shared" si="2285"/>
        <v>0</v>
      </c>
      <c r="AA2978" s="118"/>
      <c r="AB2978" s="118" t="str">
        <f t="shared" si="2286"/>
        <v/>
      </c>
      <c r="AC2978" s="712" t="str">
        <f>IF(AE2978="T2G","no charge",IF(AND(OR(PlanterYesMe="No",PlanterYesMe="N",PlanterYesMe="me"),H2978=""),"",IF(H2978="credit","NO install",IF(AND(K2978="",AE2978="me"),"EACH row",IF(AND(K2978="images",AE2978="me"),"EACH row",IF(D2978="","",IF(H2978="credit","",IF(AE2978="free","re-planting",IF(AE2978="me","   not ELP, by",IF(AND(OR(PlanterYesMe="Yes",PlanterYesMe="Y"),G2978&gt;0),(VLOOKUP(A2978,'Discount Lookup'!J:K,2)*G2978*(1-PlanterDiscount)*(1+PlanterDifficultyPercentage)),IF(AE2978="ELP",(VLOOKUP(A2978,'Discount Lookup'!J:K,2)*G2978*(1-PlanterDiscount)*(1+PlanterDifficultyPercentage)),IF(AE2978="free","re-planting",IF(G2978=0,"",IF(PlanterYesMe="",IF(AE2978="me","   not ELP, by",IF(AE2978="",IF(G2978&gt;0,(VLOOKUP(A2978,'Discount Lookup'!J:K,2)*G2978*(1-PlanterDiscount)*(1+PlanterDifficultyPercentage)),""),"")),"   not ELP, by"))))))))))))))</f>
        <v/>
      </c>
      <c r="AD2978" s="712"/>
      <c r="AE2978" s="513" t="str">
        <f t="shared" si="2287"/>
        <v/>
      </c>
      <c r="AF2978" s="713" t="str">
        <f t="shared" si="2288"/>
        <v/>
      </c>
      <c r="AG2978" s="713"/>
      <c r="AH2978" s="713"/>
      <c r="AI2978" s="112">
        <f>IF(H2978="credit",0,IF(AE2978="free",0,IF(AE2978="me",0,IF(G2978&gt;0,(VLOOKUP(A2978,'Discount Lookup'!J:K,2)*G2978),0))))</f>
        <v>0</v>
      </c>
      <c r="AJ2978" s="107" t="str">
        <f t="shared" ca="1" si="2289"/>
        <v/>
      </c>
      <c r="AK2978" s="714" t="str">
        <f t="shared" si="2290"/>
        <v/>
      </c>
      <c r="AL2978" s="714"/>
      <c r="AM2978" s="114" t="str">
        <f t="shared" si="2291"/>
        <v/>
      </c>
      <c r="AN2978" s="115"/>
      <c r="AO2978" s="116"/>
      <c r="AP2978" s="116"/>
      <c r="AQ2978" s="116"/>
      <c r="AR2978" s="116"/>
      <c r="AS2978" s="116"/>
      <c r="AT2978" s="116"/>
      <c r="AU2978" s="116"/>
      <c r="AV2978" s="78"/>
      <c r="AW2978" s="102"/>
      <c r="AX2978" s="78"/>
      <c r="AY2978" s="78"/>
      <c r="AZ2978" s="78"/>
      <c r="BA2978" s="78"/>
      <c r="BB2978" s="78"/>
      <c r="BC2978" s="78"/>
      <c r="BD2978" s="78"/>
      <c r="BE2978" s="465"/>
      <c r="BF2978" s="165" t="str">
        <f t="shared" si="2292"/>
        <v>https://www.google.com/search?tbm=isch&amp;q=Mangave%20%3D%20Mangave%20</v>
      </c>
      <c r="BG2978" s="165" t="str">
        <f t="shared" si="2293"/>
        <v>M</v>
      </c>
      <c r="BH2978" s="65"/>
      <c r="BI2978" s="65"/>
      <c r="BJ2978" s="65"/>
      <c r="BK2978" s="65"/>
      <c r="BL2978" s="99"/>
      <c r="BM2978" s="99"/>
      <c r="BN2978" s="99"/>
    </row>
    <row r="2979" spans="1:66" s="51" customFormat="1" ht="18" x14ac:dyDescent="0.25">
      <c r="A2979" s="507" t="s">
        <v>5737</v>
      </c>
      <c r="B2979" s="470"/>
      <c r="C2979" s="706"/>
      <c r="D2979" s="471" t="s">
        <v>3569</v>
      </c>
      <c r="E2979" s="472"/>
      <c r="F2979" s="472"/>
      <c r="G2979" s="472"/>
      <c r="H2979" s="622" t="s">
        <v>3570</v>
      </c>
      <c r="I2979" s="473" t="s">
        <v>1186</v>
      </c>
      <c r="J2979" s="472"/>
      <c r="K2979" s="472"/>
      <c r="L2979" s="561"/>
      <c r="M2979" s="698" t="s">
        <v>5240</v>
      </c>
      <c r="N2979" s="692" t="str">
        <f>IF(AND(ISTEXT($A2979), ISERROR($A2979+0)), HYPERLINK($BF2979, "Images"), "")</f>
        <v>Images</v>
      </c>
      <c r="O2979" s="694" t="s">
        <v>5247</v>
      </c>
      <c r="P2979" s="475"/>
      <c r="Q2979" s="476"/>
      <c r="R2979" s="476"/>
      <c r="S2979" s="477"/>
      <c r="T2979" s="102">
        <f t="shared" si="2281"/>
        <v>0</v>
      </c>
      <c r="U2979" s="78" t="str">
        <f>IF(NOT(ISNUMBER(G2979)), "", VLOOKUP(A2979,'Discount Lookup'!D:E,2,FALSE)*G2979)</f>
        <v/>
      </c>
      <c r="V2979" s="78" t="str">
        <f>IF(NOT(ISNUMBER(G2979)), "", VLOOKUP(A2979,'Discount Lookup'!G:H,2,FALSE)*G2979)</f>
        <v/>
      </c>
      <c r="W2979" s="102">
        <f t="shared" si="2282"/>
        <v>0</v>
      </c>
      <c r="X2979" s="102" t="str">
        <f t="shared" si="2283"/>
        <v>Variegated foliage</v>
      </c>
      <c r="Y2979" s="120" t="b">
        <f t="shared" si="2284"/>
        <v>0</v>
      </c>
      <c r="Z2979" s="117">
        <f t="shared" si="2285"/>
        <v>0</v>
      </c>
      <c r="AA2979" s="118"/>
      <c r="AB2979" s="118" t="str">
        <f t="shared" si="2286"/>
        <v/>
      </c>
      <c r="AC2979" s="712" t="str">
        <f>IF(AE2979="T2G","no charge",IF(AND(OR(PlanterYesMe="No",PlanterYesMe="N",PlanterYesMe="me"),H2979=""),"",IF(H2979="credit","NO install",IF(AND(K2979="",AE2979="me"),"EACH row",IF(AND(K2979="images",AE2979="me"),"EACH row",IF(D2979="","",IF(H2979="credit","",IF(AE2979="free","re-planting",IF(AE2979="me","   not ELP, by",IF(AND(OR(PlanterYesMe="Yes",PlanterYesMe="Y"),G2979&gt;0),(VLOOKUP(A2979,'Discount Lookup'!J:K,2)*G2979*(1-PlanterDiscount)*(1+PlanterDifficultyPercentage)),IF(AE2979="ELP",(VLOOKUP(A2979,'Discount Lookup'!J:K,2)*G2979*(1-PlanterDiscount)*(1+PlanterDifficultyPercentage)),IF(AE2979="free","re-planting",IF(G2979=0,"",IF(PlanterYesMe="",IF(AE2979="me","   not ELP, by",IF(AE2979="",IF(G2979&gt;0,(VLOOKUP(A2979,'Discount Lookup'!J:K,2)*G2979*(1-PlanterDiscount)*(1+PlanterDifficultyPercentage)),""),"")),"   not ELP, by"))))))))))))))</f>
        <v/>
      </c>
      <c r="AD2979" s="712"/>
      <c r="AE2979" s="513" t="str">
        <f t="shared" si="2287"/>
        <v/>
      </c>
      <c r="AF2979" s="713" t="str">
        <f t="shared" si="2288"/>
        <v/>
      </c>
      <c r="AG2979" s="713"/>
      <c r="AH2979" s="713"/>
      <c r="AI2979" s="112">
        <f>IF(H2979="credit",0,IF(AE2979="free",0,IF(AE2979="me",0,IF(G2979&gt;0,(VLOOKUP(A2979,'Discount Lookup'!J:K,2)*G2979),0))))</f>
        <v>0</v>
      </c>
      <c r="AJ2979" s="107" t="str">
        <f t="shared" ca="1" si="2289"/>
        <v/>
      </c>
      <c r="AK2979" s="714" t="str">
        <f t="shared" si="2290"/>
        <v/>
      </c>
      <c r="AL2979" s="714"/>
      <c r="AM2979" s="114" t="str">
        <f t="shared" si="2291"/>
        <v/>
      </c>
      <c r="AN2979" s="115"/>
      <c r="AO2979" s="116"/>
      <c r="AP2979" s="116"/>
      <c r="AQ2979" s="116"/>
      <c r="AR2979" s="116"/>
      <c r="AS2979" s="116"/>
      <c r="AT2979" s="116"/>
      <c r="AU2979" s="116"/>
      <c r="AV2979" s="78"/>
      <c r="AW2979" s="102"/>
      <c r="AX2979" s="78"/>
      <c r="AY2979" s="78"/>
      <c r="AZ2979" s="78"/>
      <c r="BA2979" s="78"/>
      <c r="BB2979" s="78"/>
      <c r="BC2979" s="78"/>
      <c r="BD2979" s="78"/>
      <c r="BE2979" s="465"/>
      <c r="BF2979" s="165" t="str">
        <f t="shared" si="2292"/>
        <v>https://www.google.com/search?tbm=isch&amp;q=Mangave%20%27Navajo%20Princess%27%20PP%2331136%20Mad%20About%20Mangave%C2%AE%20Collection%20Navajo%20Princess%20Mangave</v>
      </c>
      <c r="BG2979" s="165" t="str">
        <f t="shared" si="2293"/>
        <v>M</v>
      </c>
      <c r="BH2979" s="65"/>
      <c r="BI2979" s="65"/>
      <c r="BJ2979" s="65"/>
      <c r="BK2979" s="65"/>
      <c r="BL2979" s="99"/>
      <c r="BM2979" s="99"/>
      <c r="BN2979" s="99"/>
    </row>
    <row r="2980" spans="1:66" s="51" customFormat="1" ht="15.75" x14ac:dyDescent="0.25">
      <c r="A2980" s="478">
        <v>3</v>
      </c>
      <c r="B2980" s="479" t="s">
        <v>291</v>
      </c>
      <c r="C2980" s="480" t="s">
        <v>4992</v>
      </c>
      <c r="D2980" s="481" t="s">
        <v>293</v>
      </c>
      <c r="E2980" s="482">
        <v>59.95</v>
      </c>
      <c r="F2980" s="483" t="s">
        <v>292</v>
      </c>
      <c r="G2980" s="484">
        <v>0</v>
      </c>
      <c r="H2980" s="688" t="str">
        <f>IF(G2980=0,"",IF(F2980="Buy",IF(G2980=1,"plant","plants"),IF(F2980&gt;0.01,"warranty","Error")))</f>
        <v/>
      </c>
      <c r="I2980" s="485">
        <f>IF(H2980="free",0,IF(H2980="credit",((E2980*(F2980))*G2980*-1),IF(F2980="Buy",(E2980*G2980),((E2980*(1-F2980))*G2980))))</f>
        <v>0</v>
      </c>
      <c r="J2980" s="485">
        <f>IF(H2980="warranty",0,(I2980*(_xlfn.SINGLE(SalesTaxPercentage))))</f>
        <v>0</v>
      </c>
      <c r="K2980" s="715">
        <f t="shared" ref="K2980" si="2302">I2980+J2980</f>
        <v>0</v>
      </c>
      <c r="L2980" s="715"/>
      <c r="M2980" s="689" t="str">
        <f ca="1">IF(AND(G2980&gt;0,E2980=0),"WARNING - no PRICE inserted",IF(H2980="free","FREE ~ no charge this plant",IF(H2980="credit",CONCATENATE("-$",ROUND(K2980*(1-_xlfn.SINGLE(T2GDiscount))*-1,2)," CREDIT after discount"),IF(_xlfn.SINGLE(T2GDiscount)=0,"",IF(G2980=0,"",IF(F2980="Buy",CONCATENATE("$",ROUND(K2980*(1-_xlfn.SINGLE(T2GDiscount)),2)," with ",(_xlfn.SINGLE(T2GDiscount)*100),"% discount"),CONCATENATE("$",ROUND(K2980*(1-_xlfn.SINGLE(T2GDiscount)),2)," with ",((_xlfn.SINGLE(T2GDiscount)*100+F2980*100)-(_xlfn.SINGLE(T2GDiscount)*100*F2980)),IF(F2980&gt;0,"% discounts",IF(_xlfn.SINGLE(NoWarrantyDiscount)&gt;0,"% discounts","% discount")))))))))</f>
        <v/>
      </c>
      <c r="N2980" s="690"/>
      <c r="O2980" s="486"/>
      <c r="P2980" s="486"/>
      <c r="Q2980" s="486"/>
      <c r="R2980" s="486"/>
      <c r="S2980" s="486"/>
      <c r="T2980" s="102">
        <f t="shared" si="2281"/>
        <v>0</v>
      </c>
      <c r="U2980" s="78">
        <f>IF(NOT(ISNUMBER(G2980)), "", VLOOKUP(A2980,'Discount Lookup'!D:E,2,FALSE)*G2980)</f>
        <v>0</v>
      </c>
      <c r="V2980" s="78">
        <f>IF(NOT(ISNUMBER(G2980)), "", VLOOKUP(A2980,'Discount Lookup'!G:H,2,FALSE)*G2980)</f>
        <v>0</v>
      </c>
      <c r="W2980" s="102">
        <f t="shared" si="2282"/>
        <v>0</v>
      </c>
      <c r="X2980" s="102">
        <f t="shared" si="2283"/>
        <v>0</v>
      </c>
      <c r="Y2980" s="120" t="b">
        <f t="shared" si="2284"/>
        <v>0</v>
      </c>
      <c r="Z2980" s="117">
        <f t="shared" si="2285"/>
        <v>0</v>
      </c>
      <c r="AA2980" s="118"/>
      <c r="AB2980" s="118" t="str">
        <f t="shared" si="2286"/>
        <v/>
      </c>
      <c r="AC2980" s="712" t="str">
        <f>IF(AE2980="T2G","no charge",IF(AND(OR(PlanterYesMe="No",PlanterYesMe="N",PlanterYesMe="me"),H2980=""),"",IF(H2980="credit","NO install",IF(AND(K2980="",AE2980="me"),"EACH row",IF(AND(K2980="images",AE2980="me"),"EACH row",IF(D2980="","",IF(H2980="credit","",IF(AE2980="free","re-planting",IF(AE2980="me","   not ELP, by",IF(AND(OR(PlanterYesMe="Yes",PlanterYesMe="Y"),G2980&gt;0),(VLOOKUP(A2980,'Discount Lookup'!J:K,2)*G2980*(1-PlanterDiscount)*(1+PlanterDifficultyPercentage)),IF(AE2980="ELP",(VLOOKUP(A2980,'Discount Lookup'!J:K,2)*G2980*(1-PlanterDiscount)*(1+PlanterDifficultyPercentage)),IF(AE2980="free","re-planting",IF(G2980=0,"",IF(PlanterYesMe="",IF(AE2980="me","   not ELP, by",IF(AE2980="",IF(G2980&gt;0,(VLOOKUP(A2980,'Discount Lookup'!J:K,2)*G2980*(1-PlanterDiscount)*(1+PlanterDifficultyPercentage)),""),"")),"   not ELP, by"))))))))))))))</f>
        <v/>
      </c>
      <c r="AD2980" s="712"/>
      <c r="AE2980" s="513" t="str">
        <f t="shared" si="2287"/>
        <v/>
      </c>
      <c r="AF2980" s="713" t="str">
        <f t="shared" si="2288"/>
        <v/>
      </c>
      <c r="AG2980" s="713"/>
      <c r="AH2980" s="713"/>
      <c r="AI2980" s="112">
        <f>IF(H2980="credit",0,IF(AE2980="free",0,IF(AE2980="me",0,IF(G2980&gt;0,(VLOOKUP(A2980,'Discount Lookup'!J:K,2)*G2980),0))))</f>
        <v>0</v>
      </c>
      <c r="AJ2980" s="107" t="str">
        <f t="shared" ca="1" si="2289"/>
        <v/>
      </c>
      <c r="AK2980" s="714" t="str">
        <f t="shared" si="2290"/>
        <v/>
      </c>
      <c r="AL2980" s="714"/>
      <c r="AM2980" s="114" t="str">
        <f t="shared" si="2291"/>
        <v/>
      </c>
      <c r="AN2980" s="115"/>
      <c r="AO2980" s="116"/>
      <c r="AP2980" s="116"/>
      <c r="AQ2980" s="116"/>
      <c r="AR2980" s="116"/>
      <c r="AS2980" s="116"/>
      <c r="AT2980" s="116"/>
      <c r="AU2980" s="116"/>
      <c r="AV2980" s="78"/>
      <c r="AW2980" s="102"/>
      <c r="AX2980" s="78"/>
      <c r="AY2980" s="78"/>
      <c r="AZ2980" s="78"/>
      <c r="BA2980" s="78"/>
      <c r="BB2980" s="78"/>
      <c r="BC2980" s="78"/>
      <c r="BD2980" s="78"/>
      <c r="BE2980" s="465"/>
      <c r="BF2980" s="165" t="str">
        <f t="shared" si="2292"/>
        <v>https://www.google.com/search?tbm=isch&amp;q=3%20G6</v>
      </c>
      <c r="BG2980" s="165" t="str">
        <f t="shared" si="2293"/>
        <v>M</v>
      </c>
      <c r="BH2980" s="65"/>
      <c r="BI2980" s="65"/>
      <c r="BJ2980" s="65"/>
      <c r="BK2980" s="65"/>
      <c r="BL2980" s="99"/>
      <c r="BM2980" s="99"/>
      <c r="BN2980" s="99"/>
    </row>
    <row r="2981" spans="1:66" s="51" customFormat="1" ht="15.75" x14ac:dyDescent="0.25">
      <c r="A2981" s="508" t="s">
        <v>3571</v>
      </c>
      <c r="B2981" s="487"/>
      <c r="C2981" s="707"/>
      <c r="D2981" s="487"/>
      <c r="E2981" s="487"/>
      <c r="F2981" s="488"/>
      <c r="G2981" s="489"/>
      <c r="H2981" s="487"/>
      <c r="I2981" s="490"/>
      <c r="J2981" s="490"/>
      <c r="K2981" s="491"/>
      <c r="L2981" s="547"/>
      <c r="M2981" s="528"/>
      <c r="N2981" s="492"/>
      <c r="O2981" s="493"/>
      <c r="P2981" s="494"/>
      <c r="Q2981" s="492"/>
      <c r="R2981" s="492"/>
      <c r="S2981" s="699" t="s">
        <v>5259</v>
      </c>
      <c r="T2981" s="102">
        <f t="shared" si="2281"/>
        <v>0</v>
      </c>
      <c r="U2981" s="78" t="str">
        <f>IF(NOT(ISNUMBER(G2981)), "", VLOOKUP(A2981,'Discount Lookup'!D:E,2,FALSE)*G2981)</f>
        <v/>
      </c>
      <c r="V2981" s="78" t="str">
        <f>IF(NOT(ISNUMBER(G2981)), "", VLOOKUP(A2981,'Discount Lookup'!G:H,2,FALSE)*G2981)</f>
        <v/>
      </c>
      <c r="W2981" s="102">
        <f t="shared" si="2282"/>
        <v>0</v>
      </c>
      <c r="X2981" s="102">
        <f t="shared" si="2283"/>
        <v>0</v>
      </c>
      <c r="Y2981" s="120" t="b">
        <f t="shared" si="2284"/>
        <v>0</v>
      </c>
      <c r="Z2981" s="117">
        <f t="shared" si="2285"/>
        <v>0</v>
      </c>
      <c r="AA2981" s="118"/>
      <c r="AB2981" s="118" t="str">
        <f t="shared" si="2286"/>
        <v/>
      </c>
      <c r="AC2981" s="712" t="str">
        <f>IF(AE2981="T2G","no charge",IF(AND(OR(PlanterYesMe="No",PlanterYesMe="N",PlanterYesMe="me"),H2981=""),"",IF(H2981="credit","NO install",IF(AND(K2981="",AE2981="me"),"EACH row",IF(AND(K2981="images",AE2981="me"),"EACH row",IF(D2981="","",IF(H2981="credit","",IF(AE2981="free","re-planting",IF(AE2981="me","   not ELP, by",IF(AND(OR(PlanterYesMe="Yes",PlanterYesMe="Y"),G2981&gt;0),(VLOOKUP(A2981,'Discount Lookup'!J:K,2)*G2981*(1-PlanterDiscount)*(1+PlanterDifficultyPercentage)),IF(AE2981="ELP",(VLOOKUP(A2981,'Discount Lookup'!J:K,2)*G2981*(1-PlanterDiscount)*(1+PlanterDifficultyPercentage)),IF(AE2981="free","re-planting",IF(G2981=0,"",IF(PlanterYesMe="",IF(AE2981="me","   not ELP, by",IF(AE2981="",IF(G2981&gt;0,(VLOOKUP(A2981,'Discount Lookup'!J:K,2)*G2981*(1-PlanterDiscount)*(1+PlanterDifficultyPercentage)),""),"")),"   not ELP, by"))))))))))))))</f>
        <v/>
      </c>
      <c r="AD2981" s="712"/>
      <c r="AE2981" s="513" t="str">
        <f t="shared" si="2287"/>
        <v/>
      </c>
      <c r="AF2981" s="713" t="str">
        <f t="shared" si="2288"/>
        <v/>
      </c>
      <c r="AG2981" s="713"/>
      <c r="AH2981" s="713"/>
      <c r="AI2981" s="112">
        <f>IF(H2981="credit",0,IF(AE2981="free",0,IF(AE2981="me",0,IF(G2981&gt;0,(VLOOKUP(A2981,'Discount Lookup'!J:K,2)*G2981),0))))</f>
        <v>0</v>
      </c>
      <c r="AJ2981" s="107" t="str">
        <f t="shared" ca="1" si="2289"/>
        <v/>
      </c>
      <c r="AK2981" s="714" t="str">
        <f t="shared" si="2290"/>
        <v/>
      </c>
      <c r="AL2981" s="714"/>
      <c r="AM2981" s="114" t="str">
        <f t="shared" si="2291"/>
        <v/>
      </c>
      <c r="AN2981" s="115"/>
      <c r="AO2981" s="116"/>
      <c r="AP2981" s="116"/>
      <c r="AQ2981" s="116"/>
      <c r="AR2981" s="116"/>
      <c r="AS2981" s="116"/>
      <c r="AT2981" s="116"/>
      <c r="AU2981" s="116"/>
      <c r="AV2981" s="78"/>
      <c r="AW2981" s="102"/>
      <c r="AX2981" s="78"/>
      <c r="AY2981" s="78"/>
      <c r="AZ2981" s="78"/>
      <c r="BA2981" s="78"/>
      <c r="BB2981" s="78"/>
      <c r="BC2981" s="78"/>
      <c r="BD2981" s="78"/>
      <c r="BE2981" s="465"/>
      <c r="BF2981" s="165" t="str">
        <f t="shared" si="2292"/>
        <v>https://www.google.com/search?tbm=isch&amp;q=Navajo%20Princess%20forms%20a%20crisp%2C%20symmetrical%20rosette%20with%20wide%20Creamy%20White%20margins%2C%20Blue-Green%20centers%2C%20and%20Light%20Purple%20freckles%20</v>
      </c>
      <c r="BG2981" s="165" t="str">
        <f t="shared" si="2293"/>
        <v>N</v>
      </c>
      <c r="BH2981" s="65"/>
      <c r="BI2981" s="65"/>
      <c r="BJ2981" s="65"/>
      <c r="BK2981" s="65"/>
      <c r="BL2981" s="99"/>
      <c r="BM2981" s="99"/>
      <c r="BN2981" s="99"/>
    </row>
    <row r="2982" spans="1:66" s="51" customFormat="1" ht="19.5" thickBot="1" x14ac:dyDescent="0.3">
      <c r="A2982" s="686" t="s">
        <v>620</v>
      </c>
      <c r="B2982" s="73"/>
      <c r="C2982" s="708"/>
      <c r="D2982" s="73"/>
      <c r="E2982" s="73"/>
      <c r="F2982" s="496"/>
      <c r="G2982" s="73"/>
      <c r="H2982" s="73"/>
      <c r="I2982" s="73"/>
      <c r="J2982" s="497" t="s">
        <v>357</v>
      </c>
      <c r="K2982" s="498"/>
      <c r="L2982" s="562"/>
      <c r="M2982" s="73"/>
      <c r="N2982"/>
      <c r="O2982"/>
      <c r="P2982"/>
      <c r="Q2982"/>
      <c r="R2982"/>
      <c r="S2982"/>
      <c r="T2982" s="102">
        <f t="shared" si="2281"/>
        <v>0</v>
      </c>
      <c r="U2982" s="78" t="str">
        <f>IF(NOT(ISNUMBER(G2982)), "", VLOOKUP(A2982,'Discount Lookup'!D:E,2,FALSE)*G2982)</f>
        <v/>
      </c>
      <c r="V2982" s="78" t="str">
        <f>IF(NOT(ISNUMBER(G2982)), "", VLOOKUP(A2982,'Discount Lookup'!G:H,2,FALSE)*G2982)</f>
        <v/>
      </c>
      <c r="W2982" s="102">
        <f t="shared" si="2282"/>
        <v>0</v>
      </c>
      <c r="X2982" s="102">
        <f t="shared" si="2283"/>
        <v>0</v>
      </c>
      <c r="Y2982" s="120" t="b">
        <f t="shared" si="2284"/>
        <v>0</v>
      </c>
      <c r="Z2982" s="117">
        <f t="shared" si="2285"/>
        <v>0</v>
      </c>
      <c r="AA2982" s="118"/>
      <c r="AB2982" s="118" t="str">
        <f t="shared" si="2286"/>
        <v/>
      </c>
      <c r="AC2982" s="712" t="str">
        <f>IF(AE2982="T2G","no charge",IF(AND(OR(PlanterYesMe="No",PlanterYesMe="N",PlanterYesMe="me"),H2982=""),"",IF(H2982="credit","NO install",IF(AND(K2982="",AE2982="me"),"EACH row",IF(AND(K2982="images",AE2982="me"),"EACH row",IF(D2982="","",IF(H2982="credit","",IF(AE2982="free","re-planting",IF(AE2982="me","   not ELP, by",IF(AND(OR(PlanterYesMe="Yes",PlanterYesMe="Y"),G2982&gt;0),(VLOOKUP(A2982,'Discount Lookup'!J:K,2)*G2982*(1-PlanterDiscount)*(1+PlanterDifficultyPercentage)),IF(AE2982="ELP",(VLOOKUP(A2982,'Discount Lookup'!J:K,2)*G2982*(1-PlanterDiscount)*(1+PlanterDifficultyPercentage)),IF(AE2982="free","re-planting",IF(G2982=0,"",IF(PlanterYesMe="",IF(AE2982="me","   not ELP, by",IF(AE2982="",IF(G2982&gt;0,(VLOOKUP(A2982,'Discount Lookup'!J:K,2)*G2982*(1-PlanterDiscount)*(1+PlanterDifficultyPercentage)),""),"")),"   not ELP, by"))))))))))))))</f>
        <v/>
      </c>
      <c r="AD2982" s="712"/>
      <c r="AE2982" s="513" t="str">
        <f t="shared" si="2287"/>
        <v/>
      </c>
      <c r="AF2982" s="713" t="str">
        <f t="shared" si="2288"/>
        <v/>
      </c>
      <c r="AG2982" s="713"/>
      <c r="AH2982" s="713"/>
      <c r="AI2982" s="112">
        <f>IF(H2982="credit",0,IF(AE2982="free",0,IF(AE2982="me",0,IF(G2982&gt;0,(VLOOKUP(A2982,'Discount Lookup'!J:K,2)*G2982),0))))</f>
        <v>0</v>
      </c>
      <c r="AJ2982" s="107" t="str">
        <f t="shared" ca="1" si="2289"/>
        <v/>
      </c>
      <c r="AK2982" s="714" t="str">
        <f t="shared" si="2290"/>
        <v/>
      </c>
      <c r="AL2982" s="714"/>
      <c r="AM2982" s="114" t="str">
        <f t="shared" si="2291"/>
        <v/>
      </c>
      <c r="AN2982" s="115"/>
      <c r="AO2982" s="116"/>
      <c r="AP2982" s="116"/>
      <c r="AQ2982" s="116"/>
      <c r="AR2982" s="116"/>
      <c r="AS2982" s="116"/>
      <c r="AT2982" s="116"/>
      <c r="AU2982" s="116"/>
      <c r="AV2982" s="78"/>
      <c r="AW2982" s="102"/>
      <c r="AX2982" s="78"/>
      <c r="AY2982" s="78"/>
      <c r="AZ2982" s="78"/>
      <c r="BA2982" s="78"/>
      <c r="BB2982" s="78"/>
      <c r="BC2982" s="78"/>
      <c r="BD2982" s="78"/>
      <c r="BE2982" s="465"/>
      <c r="BF2982" s="165" t="str">
        <f t="shared" si="2292"/>
        <v>https://www.google.com/search?tbm=isch&amp;q=Metasequoia%20%3D%20Dawn%20Redwood%20</v>
      </c>
      <c r="BG2982" s="165" t="str">
        <f t="shared" si="2293"/>
        <v>M</v>
      </c>
      <c r="BH2982" s="65"/>
      <c r="BI2982" s="65"/>
      <c r="BJ2982" s="65"/>
      <c r="BK2982" s="65"/>
      <c r="BL2982" s="99"/>
      <c r="BM2982" s="99"/>
      <c r="BN2982" s="99"/>
    </row>
    <row r="2983" spans="1:66" s="51" customFormat="1" ht="18" x14ac:dyDescent="0.25">
      <c r="A2983" s="623" t="s">
        <v>3572</v>
      </c>
      <c r="B2983" s="624"/>
      <c r="C2983" s="709"/>
      <c r="D2983" s="625" t="s">
        <v>3573</v>
      </c>
      <c r="E2983" s="626"/>
      <c r="F2983" s="626"/>
      <c r="G2983" s="626"/>
      <c r="H2983" s="622" t="s">
        <v>3574</v>
      </c>
      <c r="I2983" s="627" t="s">
        <v>3575</v>
      </c>
      <c r="J2983" s="628"/>
      <c r="K2983" s="628"/>
      <c r="L2983" s="629"/>
      <c r="M2983" s="700" t="s">
        <v>5249</v>
      </c>
      <c r="N2983" s="693" t="str">
        <f>IF(AND(ISTEXT($A2983), ISERROR($A2983+0)), HYPERLINK($BF2983, "Images"), "")</f>
        <v>Images</v>
      </c>
      <c r="O2983" s="695" t="s">
        <v>5247</v>
      </c>
      <c r="P2983" s="630"/>
      <c r="Q2983" s="631"/>
      <c r="R2983" s="632"/>
      <c r="S2983" s="633"/>
      <c r="T2983" s="102">
        <f t="shared" si="2281"/>
        <v>0</v>
      </c>
      <c r="U2983" s="78" t="str">
        <f>IF(NOT(ISNUMBER(G2983)), "", VLOOKUP(A2983,'Discount Lookup'!D:E,2,FALSE)*G2983)</f>
        <v/>
      </c>
      <c r="V2983" s="78" t="str">
        <f>IF(NOT(ISNUMBER(G2983)), "", VLOOKUP(A2983,'Discount Lookup'!G:H,2,FALSE)*G2983)</f>
        <v/>
      </c>
      <c r="W2983" s="102">
        <f t="shared" si="2282"/>
        <v>0</v>
      </c>
      <c r="X2983" s="102" t="str">
        <f t="shared" si="2283"/>
        <v>Emerald-Green needles</v>
      </c>
      <c r="Y2983" s="120" t="b">
        <f t="shared" si="2284"/>
        <v>0</v>
      </c>
      <c r="Z2983" s="117">
        <f t="shared" si="2285"/>
        <v>0</v>
      </c>
      <c r="AA2983" s="118"/>
      <c r="AB2983" s="118" t="str">
        <f t="shared" si="2286"/>
        <v/>
      </c>
      <c r="AC2983" s="712" t="str">
        <f>IF(AE2983="T2G","no charge",IF(AND(OR(PlanterYesMe="No",PlanterYesMe="N",PlanterYesMe="me"),H2983=""),"",IF(H2983="credit","NO install",IF(AND(K2983="",AE2983="me"),"EACH row",IF(AND(K2983="images",AE2983="me"),"EACH row",IF(D2983="","",IF(H2983="credit","",IF(AE2983="free","re-planting",IF(AE2983="me","   not ELP, by",IF(AND(OR(PlanterYesMe="Yes",PlanterYesMe="Y"),G2983&gt;0),(VLOOKUP(A2983,'Discount Lookup'!J:K,2)*G2983*(1-PlanterDiscount)*(1+PlanterDifficultyPercentage)),IF(AE2983="ELP",(VLOOKUP(A2983,'Discount Lookup'!J:K,2)*G2983*(1-PlanterDiscount)*(1+PlanterDifficultyPercentage)),IF(AE2983="free","re-planting",IF(G2983=0,"",IF(PlanterYesMe="",IF(AE2983="me","   not ELP, by",IF(AE2983="",IF(G2983&gt;0,(VLOOKUP(A2983,'Discount Lookup'!J:K,2)*G2983*(1-PlanterDiscount)*(1+PlanterDifficultyPercentage)),""),"")),"   not ELP, by"))))))))))))))</f>
        <v/>
      </c>
      <c r="AD2983" s="712"/>
      <c r="AE2983" s="513" t="str">
        <f t="shared" si="2287"/>
        <v/>
      </c>
      <c r="AF2983" s="713" t="str">
        <f t="shared" si="2288"/>
        <v/>
      </c>
      <c r="AG2983" s="713"/>
      <c r="AH2983" s="713"/>
      <c r="AI2983" s="112">
        <f>IF(H2983="credit",0,IF(AE2983="free",0,IF(AE2983="me",0,IF(G2983&gt;0,(VLOOKUP(A2983,'Discount Lookup'!J:K,2)*G2983),0))))</f>
        <v>0</v>
      </c>
      <c r="AJ2983" s="107" t="str">
        <f t="shared" ca="1" si="2289"/>
        <v/>
      </c>
      <c r="AK2983" s="714" t="str">
        <f t="shared" si="2290"/>
        <v/>
      </c>
      <c r="AL2983" s="714"/>
      <c r="AM2983" s="114" t="str">
        <f t="shared" si="2291"/>
        <v/>
      </c>
      <c r="AN2983" s="115"/>
      <c r="AO2983" s="116"/>
      <c r="AP2983" s="116"/>
      <c r="AQ2983" s="116"/>
      <c r="AR2983" s="116"/>
      <c r="AS2983" s="116"/>
      <c r="AT2983" s="116"/>
      <c r="AU2983" s="116"/>
      <c r="AV2983" s="78"/>
      <c r="AW2983" s="102"/>
      <c r="AX2983" s="78"/>
      <c r="AY2983" s="78"/>
      <c r="AZ2983" s="78"/>
      <c r="BA2983" s="78"/>
      <c r="BB2983" s="78"/>
      <c r="BC2983" s="78"/>
      <c r="BD2983" s="78"/>
      <c r="BE2983" s="465"/>
      <c r="BF2983" s="165" t="str">
        <f t="shared" si="2292"/>
        <v>https://www.google.com/search?tbm=isch&amp;q=Metasequoia%20glyptostroboides%20Dawn%20Redwood</v>
      </c>
      <c r="BG2983" s="165" t="str">
        <f t="shared" si="2293"/>
        <v>M</v>
      </c>
      <c r="BH2983" s="65"/>
      <c r="BI2983" s="65"/>
      <c r="BJ2983" s="65"/>
      <c r="BK2983" s="65"/>
      <c r="BL2983" s="99"/>
      <c r="BM2983" s="99"/>
      <c r="BN2983" s="99"/>
    </row>
    <row r="2984" spans="1:66" s="51" customFormat="1" ht="15.75" x14ac:dyDescent="0.25">
      <c r="A2984" s="634">
        <v>7</v>
      </c>
      <c r="B2984" s="635" t="s">
        <v>291</v>
      </c>
      <c r="C2984" s="636" t="s">
        <v>3576</v>
      </c>
      <c r="D2984" s="637" t="s">
        <v>299</v>
      </c>
      <c r="E2984" s="638">
        <v>100.95</v>
      </c>
      <c r="F2984" s="639" t="s">
        <v>292</v>
      </c>
      <c r="G2984" s="484">
        <v>0</v>
      </c>
      <c r="H2984" s="691" t="str">
        <f>IF(G2984=0,"",IF(F2984="Buy",IF(G2984=1,"plant","plants"),IF(F2984&gt;0.01,"warranty","Error")))</f>
        <v/>
      </c>
      <c r="I2984" s="640">
        <f>IF(H2984="free",0,IF(H2984="credit",((E2984*(F2984))*G2984*-1),IF(F2984="Buy",(E2984*G2984),((E2984*(1-F2984))*G2984))))</f>
        <v>0</v>
      </c>
      <c r="J2984" s="640">
        <f>IF(H2984="warranty",0,(I2984*(_xlfn.SINGLE(SalesTaxPercentage))))</f>
        <v>0</v>
      </c>
      <c r="K2984" s="716">
        <f t="shared" ref="K2984" si="2303">I2984+J2984</f>
        <v>0</v>
      </c>
      <c r="L2984" s="716"/>
      <c r="M2984" s="689" t="str">
        <f ca="1">IF(AND(G2984&gt;0,E2984=0),"WARNING - no PRICE inserted",IF(H2984="free","FREE ~ no charge this plant",IF(H2984="credit",CONCATENATE("-$",ROUND(K2984*(1-_xlfn.SINGLE(T2GDiscount))*-1,2)," CREDIT after discount"),IF(_xlfn.SINGLE(T2GDiscount)=0,"",IF(G2984=0,"",IF(F2984="Buy",CONCATENATE("$",ROUND(K2984*(1-_xlfn.SINGLE(T2GDiscount)),2)," with ",(_xlfn.SINGLE(T2GDiscount)*100),"% discount"),CONCATENATE("$",ROUND(K2984*(1-_xlfn.SINGLE(T2GDiscount)),2)," with ",((_xlfn.SINGLE(T2GDiscount)*100+F2984*100)-(_xlfn.SINGLE(T2GDiscount)*100*F2984)),IF(F2984&gt;0,"% discounts",IF(_xlfn.SINGLE(NoWarrantyDiscount)&gt;0,"% discounts","% discount")))))))))</f>
        <v/>
      </c>
      <c r="N2984" s="690"/>
      <c r="O2984" s="486"/>
      <c r="P2984" s="486"/>
      <c r="Q2984" s="486"/>
      <c r="R2984" s="486"/>
      <c r="S2984" s="486"/>
      <c r="T2984" s="102">
        <f t="shared" si="2281"/>
        <v>0</v>
      </c>
      <c r="U2984" s="78">
        <f>IF(NOT(ISNUMBER(G2984)), "", VLOOKUP(A2984,'Discount Lookup'!D:E,2,FALSE)*G2984)</f>
        <v>0</v>
      </c>
      <c r="V2984" s="78">
        <f>IF(NOT(ISNUMBER(G2984)), "", VLOOKUP(A2984,'Discount Lookup'!G:H,2,FALSE)*G2984)</f>
        <v>0</v>
      </c>
      <c r="W2984" s="102">
        <f t="shared" si="2282"/>
        <v>0</v>
      </c>
      <c r="X2984" s="102">
        <f t="shared" si="2283"/>
        <v>0</v>
      </c>
      <c r="Y2984" s="120" t="b">
        <f t="shared" si="2284"/>
        <v>0</v>
      </c>
      <c r="Z2984" s="117">
        <f t="shared" si="2285"/>
        <v>0</v>
      </c>
      <c r="AA2984" s="118"/>
      <c r="AB2984" s="118" t="str">
        <f t="shared" si="2286"/>
        <v/>
      </c>
      <c r="AC2984" s="712" t="str">
        <f>IF(AE2984="T2G","no charge",IF(AND(OR(PlanterYesMe="No",PlanterYesMe="N",PlanterYesMe="me"),H2984=""),"",IF(H2984="credit","NO install",IF(AND(K2984="",AE2984="me"),"EACH row",IF(AND(K2984="images",AE2984="me"),"EACH row",IF(D2984="","",IF(H2984="credit","",IF(AE2984="free","re-planting",IF(AE2984="me","   not ELP, by",IF(AND(OR(PlanterYesMe="Yes",PlanterYesMe="Y"),G2984&gt;0),(VLOOKUP(A2984,'Discount Lookup'!J:K,2)*G2984*(1-PlanterDiscount)*(1+PlanterDifficultyPercentage)),IF(AE2984="ELP",(VLOOKUP(A2984,'Discount Lookup'!J:K,2)*G2984*(1-PlanterDiscount)*(1+PlanterDifficultyPercentage)),IF(AE2984="free","re-planting",IF(G2984=0,"",IF(PlanterYesMe="",IF(AE2984="me","   not ELP, by",IF(AE2984="",IF(G2984&gt;0,(VLOOKUP(A2984,'Discount Lookup'!J:K,2)*G2984*(1-PlanterDiscount)*(1+PlanterDifficultyPercentage)),""),"")),"   not ELP, by"))))))))))))))</f>
        <v/>
      </c>
      <c r="AD2984" s="712"/>
      <c r="AE2984" s="513" t="str">
        <f t="shared" si="2287"/>
        <v/>
      </c>
      <c r="AF2984" s="713" t="str">
        <f t="shared" si="2288"/>
        <v/>
      </c>
      <c r="AG2984" s="713"/>
      <c r="AH2984" s="713"/>
      <c r="AI2984" s="112">
        <f>IF(H2984="credit",0,IF(AE2984="free",0,IF(AE2984="me",0,IF(G2984&gt;0,(VLOOKUP(A2984,'Discount Lookup'!J:K,2)*G2984),0))))</f>
        <v>0</v>
      </c>
      <c r="AJ2984" s="107" t="str">
        <f t="shared" ca="1" si="2289"/>
        <v/>
      </c>
      <c r="AK2984" s="714" t="str">
        <f t="shared" si="2290"/>
        <v/>
      </c>
      <c r="AL2984" s="714"/>
      <c r="AM2984" s="114" t="str">
        <f t="shared" si="2291"/>
        <v/>
      </c>
      <c r="AN2984" s="115"/>
      <c r="AO2984" s="116"/>
      <c r="AP2984" s="116"/>
      <c r="AQ2984" s="116"/>
      <c r="AR2984" s="116"/>
      <c r="AS2984" s="116"/>
      <c r="AT2984" s="116"/>
      <c r="AU2984" s="116"/>
      <c r="AV2984" s="78"/>
      <c r="AW2984" s="102"/>
      <c r="AX2984" s="78"/>
      <c r="AY2984" s="78"/>
      <c r="AZ2984" s="78"/>
      <c r="BA2984" s="78"/>
      <c r="BB2984" s="78"/>
      <c r="BC2984" s="78"/>
      <c r="BD2984" s="78"/>
      <c r="BE2984" s="465"/>
      <c r="BF2984" s="165" t="str">
        <f t="shared" si="2292"/>
        <v>https://www.google.com/search?tbm=isch&amp;q=7%20G4</v>
      </c>
      <c r="BG2984" s="165" t="str">
        <f t="shared" si="2293"/>
        <v>M</v>
      </c>
      <c r="BH2984" s="65"/>
      <c r="BI2984" s="65"/>
      <c r="BJ2984" s="65"/>
      <c r="BK2984" s="65"/>
      <c r="BL2984" s="99"/>
      <c r="BM2984" s="99"/>
      <c r="BN2984" s="99"/>
    </row>
    <row r="2985" spans="1:66" s="51" customFormat="1" ht="15.75" x14ac:dyDescent="0.25">
      <c r="A2985" s="634">
        <v>25</v>
      </c>
      <c r="B2985" s="635" t="s">
        <v>291</v>
      </c>
      <c r="C2985" s="636" t="s">
        <v>3577</v>
      </c>
      <c r="D2985" s="637" t="s">
        <v>293</v>
      </c>
      <c r="E2985" s="638">
        <v>376.95</v>
      </c>
      <c r="F2985" s="639" t="s">
        <v>292</v>
      </c>
      <c r="G2985" s="484">
        <v>0</v>
      </c>
      <c r="H2985" s="691" t="str">
        <f>IF(G2985=0,"",IF(F2985="Buy",IF(G2985=1,"plant","plants"),IF(F2985&gt;0.01,"warranty","Error")))</f>
        <v/>
      </c>
      <c r="I2985" s="640">
        <f>IF(H2985="free",0,IF(H2985="credit",((E2985*(F2985))*G2985*-1),IF(F2985="Buy",(E2985*G2985),((E2985*(1-F2985))*G2985))))</f>
        <v>0</v>
      </c>
      <c r="J2985" s="640">
        <f>IF(H2985="warranty",0,(I2985*(_xlfn.SINGLE(SalesTaxPercentage))))</f>
        <v>0</v>
      </c>
      <c r="K2985" s="716">
        <f t="shared" ref="K2985" si="2304">I2985+J2985</f>
        <v>0</v>
      </c>
      <c r="L2985" s="716"/>
      <c r="M2985" s="689" t="str">
        <f ca="1">IF(AND(G2985&gt;0,E2985=0),"WARNING - no PRICE inserted",IF(H2985="free","FREE ~ no charge this plant",IF(H2985="credit",CONCATENATE("-$",ROUND(K2985*(1-_xlfn.SINGLE(T2GDiscount))*-1,2)," CREDIT after discount"),IF(_xlfn.SINGLE(T2GDiscount)=0,"",IF(G2985=0,"",IF(F2985="Buy",CONCATENATE("$",ROUND(K2985*(1-_xlfn.SINGLE(T2GDiscount)),2)," with ",(_xlfn.SINGLE(T2GDiscount)*100),"% discount"),CONCATENATE("$",ROUND(K2985*(1-_xlfn.SINGLE(T2GDiscount)),2)," with ",((_xlfn.SINGLE(T2GDiscount)*100+F2985*100)-(_xlfn.SINGLE(T2GDiscount)*100*F2985)),IF(F2985&gt;0,"% discounts",IF(_xlfn.SINGLE(NoWarrantyDiscount)&gt;0,"% discounts","% discount")))))))))</f>
        <v/>
      </c>
      <c r="N2985" s="690"/>
      <c r="O2985" s="486"/>
      <c r="P2985" s="486"/>
      <c r="Q2985" s="486"/>
      <c r="R2985" s="486"/>
      <c r="S2985" s="486"/>
      <c r="T2985" s="102">
        <f t="shared" si="2281"/>
        <v>0</v>
      </c>
      <c r="U2985" s="78">
        <f>IF(NOT(ISNUMBER(G2985)), "", VLOOKUP(A2985,'Discount Lookup'!D:E,2,FALSE)*G2985)</f>
        <v>0</v>
      </c>
      <c r="V2985" s="78">
        <f>IF(NOT(ISNUMBER(G2985)), "", VLOOKUP(A2985,'Discount Lookup'!G:H,2,FALSE)*G2985)</f>
        <v>0</v>
      </c>
      <c r="W2985" s="102">
        <f t="shared" si="2282"/>
        <v>0</v>
      </c>
      <c r="X2985" s="102">
        <f t="shared" si="2283"/>
        <v>0</v>
      </c>
      <c r="Y2985" s="120" t="b">
        <f t="shared" si="2284"/>
        <v>0</v>
      </c>
      <c r="Z2985" s="117">
        <f t="shared" si="2285"/>
        <v>0</v>
      </c>
      <c r="AA2985" s="118"/>
      <c r="AB2985" s="118" t="str">
        <f t="shared" si="2286"/>
        <v/>
      </c>
      <c r="AC2985" s="712" t="str">
        <f>IF(AE2985="T2G","no charge",IF(AND(OR(PlanterYesMe="No",PlanterYesMe="N",PlanterYesMe="me"),H2985=""),"",IF(H2985="credit","NO install",IF(AND(K2985="",AE2985="me"),"EACH row",IF(AND(K2985="images",AE2985="me"),"EACH row",IF(D2985="","",IF(H2985="credit","",IF(AE2985="free","re-planting",IF(AE2985="me","   not ELP, by",IF(AND(OR(PlanterYesMe="Yes",PlanterYesMe="Y"),G2985&gt;0),(VLOOKUP(A2985,'Discount Lookup'!J:K,2)*G2985*(1-PlanterDiscount)*(1+PlanterDifficultyPercentage)),IF(AE2985="ELP",(VLOOKUP(A2985,'Discount Lookup'!J:K,2)*G2985*(1-PlanterDiscount)*(1+PlanterDifficultyPercentage)),IF(AE2985="free","re-planting",IF(G2985=0,"",IF(PlanterYesMe="",IF(AE2985="me","   not ELP, by",IF(AE2985="",IF(G2985&gt;0,(VLOOKUP(A2985,'Discount Lookup'!J:K,2)*G2985*(1-PlanterDiscount)*(1+PlanterDifficultyPercentage)),""),"")),"   not ELP, by"))))))))))))))</f>
        <v/>
      </c>
      <c r="AD2985" s="712"/>
      <c r="AE2985" s="513" t="str">
        <f t="shared" si="2287"/>
        <v/>
      </c>
      <c r="AF2985" s="713" t="str">
        <f t="shared" si="2288"/>
        <v/>
      </c>
      <c r="AG2985" s="713"/>
      <c r="AH2985" s="713"/>
      <c r="AI2985" s="112">
        <f>IF(H2985="credit",0,IF(AE2985="free",0,IF(AE2985="me",0,IF(G2985&gt;0,(VLOOKUP(A2985,'Discount Lookup'!J:K,2)*G2985),0))))</f>
        <v>0</v>
      </c>
      <c r="AJ2985" s="107" t="str">
        <f t="shared" ca="1" si="2289"/>
        <v/>
      </c>
      <c r="AK2985" s="714" t="str">
        <f t="shared" si="2290"/>
        <v/>
      </c>
      <c r="AL2985" s="714"/>
      <c r="AM2985" s="114" t="str">
        <f t="shared" si="2291"/>
        <v/>
      </c>
      <c r="AN2985" s="115"/>
      <c r="AO2985" s="116"/>
      <c r="AP2985" s="116"/>
      <c r="AQ2985" s="116"/>
      <c r="AR2985" s="116"/>
      <c r="AS2985" s="116"/>
      <c r="AT2985" s="116"/>
      <c r="AU2985" s="116"/>
      <c r="AV2985" s="78"/>
      <c r="AW2985" s="102"/>
      <c r="AX2985" s="78"/>
      <c r="AY2985" s="78"/>
      <c r="AZ2985" s="78"/>
      <c r="BA2985" s="78"/>
      <c r="BB2985" s="78"/>
      <c r="BC2985" s="78"/>
      <c r="BD2985" s="78"/>
      <c r="BE2985" s="465"/>
      <c r="BF2985" s="165" t="str">
        <f t="shared" si="2292"/>
        <v>https://www.google.com/search?tbm=isch&amp;q=25%20G6</v>
      </c>
      <c r="BG2985" s="165" t="str">
        <f t="shared" si="2293"/>
        <v>M</v>
      </c>
      <c r="BH2985" s="65"/>
      <c r="BI2985" s="65"/>
      <c r="BJ2985" s="65"/>
      <c r="BK2985" s="65"/>
      <c r="BL2985" s="99"/>
      <c r="BM2985" s="99"/>
      <c r="BN2985" s="99"/>
    </row>
    <row r="2986" spans="1:66" s="51" customFormat="1" ht="17.25" thickBot="1" x14ac:dyDescent="0.3">
      <c r="A2986" s="704" t="s">
        <v>5485</v>
      </c>
      <c r="B2986" s="642"/>
      <c r="C2986" s="710"/>
      <c r="D2986" s="643"/>
      <c r="E2986" s="643"/>
      <c r="F2986" s="644"/>
      <c r="G2986" s="645"/>
      <c r="H2986" s="646"/>
      <c r="I2986" s="647"/>
      <c r="J2986" s="648"/>
      <c r="K2986" s="649"/>
      <c r="L2986" s="650"/>
      <c r="M2986" s="650"/>
      <c r="N2986" s="644"/>
      <c r="O2986" s="644"/>
      <c r="P2986" s="644"/>
      <c r="Q2986" s="644"/>
      <c r="R2986" s="644"/>
      <c r="S2986" s="651"/>
      <c r="T2986" s="102">
        <f t="shared" si="2281"/>
        <v>0</v>
      </c>
      <c r="U2986" s="78" t="str">
        <f>IF(NOT(ISNUMBER(G2986)), "", VLOOKUP(A2986,'Discount Lookup'!D:E,2,FALSE)*G2986)</f>
        <v/>
      </c>
      <c r="V2986" s="78" t="str">
        <f>IF(NOT(ISNUMBER(G2986)), "", VLOOKUP(A2986,'Discount Lookup'!G:H,2,FALSE)*G2986)</f>
        <v/>
      </c>
      <c r="W2986" s="102">
        <f t="shared" si="2282"/>
        <v>0</v>
      </c>
      <c r="X2986" s="102">
        <f t="shared" si="2283"/>
        <v>0</v>
      </c>
      <c r="Y2986" s="120" t="b">
        <f t="shared" si="2284"/>
        <v>0</v>
      </c>
      <c r="Z2986" s="117">
        <f t="shared" si="2285"/>
        <v>0</v>
      </c>
      <c r="AA2986" s="118"/>
      <c r="AB2986" s="118" t="str">
        <f t="shared" si="2286"/>
        <v/>
      </c>
      <c r="AC2986" s="712" t="str">
        <f>IF(AE2986="T2G","no charge",IF(AND(OR(PlanterYesMe="No",PlanterYesMe="N",PlanterYesMe="me"),H2986=""),"",IF(H2986="credit","NO install",IF(AND(K2986="",AE2986="me"),"EACH row",IF(AND(K2986="images",AE2986="me"),"EACH row",IF(D2986="","",IF(H2986="credit","",IF(AE2986="free","re-planting",IF(AE2986="me","   not ELP, by",IF(AND(OR(PlanterYesMe="Yes",PlanterYesMe="Y"),G2986&gt;0),(VLOOKUP(A2986,'Discount Lookup'!J:K,2)*G2986*(1-PlanterDiscount)*(1+PlanterDifficultyPercentage)),IF(AE2986="ELP",(VLOOKUP(A2986,'Discount Lookup'!J:K,2)*G2986*(1-PlanterDiscount)*(1+PlanterDifficultyPercentage)),IF(AE2986="free","re-planting",IF(G2986=0,"",IF(PlanterYesMe="",IF(AE2986="me","   not ELP, by",IF(AE2986="",IF(G2986&gt;0,(VLOOKUP(A2986,'Discount Lookup'!J:K,2)*G2986*(1-PlanterDiscount)*(1+PlanterDifficultyPercentage)),""),"")),"   not ELP, by"))))))))))))))</f>
        <v/>
      </c>
      <c r="AD2986" s="712"/>
      <c r="AE2986" s="513" t="str">
        <f t="shared" si="2287"/>
        <v/>
      </c>
      <c r="AF2986" s="713" t="str">
        <f t="shared" si="2288"/>
        <v/>
      </c>
      <c r="AG2986" s="713"/>
      <c r="AH2986" s="713"/>
      <c r="AI2986" s="112">
        <f>IF(H2986="credit",0,IF(AE2986="free",0,IF(AE2986="me",0,IF(G2986&gt;0,(VLOOKUP(A2986,'Discount Lookup'!J:K,2)*G2986),0))))</f>
        <v>0</v>
      </c>
      <c r="AJ2986" s="107" t="str">
        <f t="shared" ca="1" si="2289"/>
        <v/>
      </c>
      <c r="AK2986" s="714" t="str">
        <f t="shared" si="2290"/>
        <v/>
      </c>
      <c r="AL2986" s="714"/>
      <c r="AM2986" s="114" t="str">
        <f t="shared" si="2291"/>
        <v/>
      </c>
      <c r="AN2986" s="115"/>
      <c r="AO2986" s="116"/>
      <c r="AP2986" s="116"/>
      <c r="AQ2986" s="116"/>
      <c r="AR2986" s="116"/>
      <c r="AS2986" s="116"/>
      <c r="AT2986" s="116"/>
      <c r="AU2986" s="116"/>
      <c r="AV2986" s="78"/>
      <c r="AW2986" s="102"/>
      <c r="AX2986" s="78"/>
      <c r="AY2986" s="78"/>
      <c r="AZ2986" s="78"/>
      <c r="BA2986" s="78"/>
      <c r="BB2986" s="78"/>
      <c r="BC2986" s="78"/>
      <c r="BD2986" s="78"/>
      <c r="BE2986" s="465"/>
      <c r="BF2986" s="165" t="str">
        <f t="shared" si="2292"/>
        <v>https://www.google.com/search?tbm=isch&amp;q=moist%20sites%F0%9F%92%A7GOOD%2C%20Dawn%20Redwood%20is%20endangered%20%28once%20thought%20extinct%29.%20Have%20a%20large%2C%20slightly%20moist%2C%20place%20to%20grow%3F%20Red-Bronze%20fall%20foliage%20</v>
      </c>
      <c r="BG2986" s="165" t="str">
        <f t="shared" si="2293"/>
        <v>m</v>
      </c>
      <c r="BH2986" s="65"/>
      <c r="BI2986" s="65"/>
      <c r="BJ2986" s="65"/>
      <c r="BK2986" s="65"/>
      <c r="BL2986" s="99"/>
      <c r="BM2986" s="99"/>
      <c r="BN2986" s="99"/>
    </row>
    <row r="2987" spans="1:66" s="51" customFormat="1" ht="18" x14ac:dyDescent="0.25">
      <c r="A2987" s="623" t="s">
        <v>3578</v>
      </c>
      <c r="B2987" s="624"/>
      <c r="C2987" s="709"/>
      <c r="D2987" s="625" t="s">
        <v>3579</v>
      </c>
      <c r="E2987" s="626"/>
      <c r="F2987" s="626"/>
      <c r="G2987" s="626"/>
      <c r="H2987" s="622" t="s">
        <v>3580</v>
      </c>
      <c r="I2987" s="627" t="s">
        <v>3581</v>
      </c>
      <c r="J2987" s="628"/>
      <c r="K2987" s="628"/>
      <c r="L2987" s="629"/>
      <c r="M2987" s="700" t="s">
        <v>5241</v>
      </c>
      <c r="N2987" s="693" t="str">
        <f>IF(AND(ISTEXT($A2987), ISERROR($A2987+0)), HYPERLINK($BF2987, "Images"), "")</f>
        <v>Images</v>
      </c>
      <c r="O2987" s="695" t="s">
        <v>5247</v>
      </c>
      <c r="P2987" s="630"/>
      <c r="Q2987" s="631"/>
      <c r="R2987" s="632"/>
      <c r="S2987" s="633"/>
      <c r="T2987" s="102">
        <f t="shared" si="2281"/>
        <v>0</v>
      </c>
      <c r="U2987" s="78" t="str">
        <f>IF(NOT(ISNUMBER(G2987)), "", VLOOKUP(A2987,'Discount Lookup'!D:E,2,FALSE)*G2987)</f>
        <v/>
      </c>
      <c r="V2987" s="78" t="str">
        <f>IF(NOT(ISNUMBER(G2987)), "", VLOOKUP(A2987,'Discount Lookup'!G:H,2,FALSE)*G2987)</f>
        <v/>
      </c>
      <c r="W2987" s="102">
        <f t="shared" si="2282"/>
        <v>0</v>
      </c>
      <c r="X2987" s="102" t="str">
        <f t="shared" si="2283"/>
        <v>Golden-Yellow needles</v>
      </c>
      <c r="Y2987" s="120" t="b">
        <f t="shared" si="2284"/>
        <v>0</v>
      </c>
      <c r="Z2987" s="117">
        <f t="shared" si="2285"/>
        <v>0</v>
      </c>
      <c r="AA2987" s="118"/>
      <c r="AB2987" s="118" t="str">
        <f t="shared" si="2286"/>
        <v/>
      </c>
      <c r="AC2987" s="712" t="str">
        <f>IF(AE2987="T2G","no charge",IF(AND(OR(PlanterYesMe="No",PlanterYesMe="N",PlanterYesMe="me"),H2987=""),"",IF(H2987="credit","NO install",IF(AND(K2987="",AE2987="me"),"EACH row",IF(AND(K2987="images",AE2987="me"),"EACH row",IF(D2987="","",IF(H2987="credit","",IF(AE2987="free","re-planting",IF(AE2987="me","   not ELP, by",IF(AND(OR(PlanterYesMe="Yes",PlanterYesMe="Y"),G2987&gt;0),(VLOOKUP(A2987,'Discount Lookup'!J:K,2)*G2987*(1-PlanterDiscount)*(1+PlanterDifficultyPercentage)),IF(AE2987="ELP",(VLOOKUP(A2987,'Discount Lookup'!J:K,2)*G2987*(1-PlanterDiscount)*(1+PlanterDifficultyPercentage)),IF(AE2987="free","re-planting",IF(G2987=0,"",IF(PlanterYesMe="",IF(AE2987="me","   not ELP, by",IF(AE2987="",IF(G2987&gt;0,(VLOOKUP(A2987,'Discount Lookup'!J:K,2)*G2987*(1-PlanterDiscount)*(1+PlanterDifficultyPercentage)),""),"")),"   not ELP, by"))))))))))))))</f>
        <v/>
      </c>
      <c r="AD2987" s="712"/>
      <c r="AE2987" s="513" t="str">
        <f t="shared" si="2287"/>
        <v/>
      </c>
      <c r="AF2987" s="713" t="str">
        <f t="shared" si="2288"/>
        <v/>
      </c>
      <c r="AG2987" s="713"/>
      <c r="AH2987" s="713"/>
      <c r="AI2987" s="112">
        <f>IF(H2987="credit",0,IF(AE2987="free",0,IF(AE2987="me",0,IF(G2987&gt;0,(VLOOKUP(A2987,'Discount Lookup'!J:K,2)*G2987),0))))</f>
        <v>0</v>
      </c>
      <c r="AJ2987" s="107" t="str">
        <f t="shared" ca="1" si="2289"/>
        <v/>
      </c>
      <c r="AK2987" s="714" t="str">
        <f t="shared" si="2290"/>
        <v/>
      </c>
      <c r="AL2987" s="714"/>
      <c r="AM2987" s="114" t="str">
        <f t="shared" si="2291"/>
        <v/>
      </c>
      <c r="AN2987" s="115"/>
      <c r="AO2987" s="116"/>
      <c r="AP2987" s="116"/>
      <c r="AQ2987" s="116"/>
      <c r="AR2987" s="116"/>
      <c r="AS2987" s="116"/>
      <c r="AT2987" s="116"/>
      <c r="AU2987" s="116"/>
      <c r="AV2987" s="78"/>
      <c r="AW2987" s="102"/>
      <c r="AX2987" s="78"/>
      <c r="AY2987" s="78"/>
      <c r="AZ2987" s="78"/>
      <c r="BA2987" s="78"/>
      <c r="BB2987" s="78"/>
      <c r="BC2987" s="78"/>
      <c r="BD2987" s="78"/>
      <c r="BE2987" s="465"/>
      <c r="BF2987" s="165" t="str">
        <f t="shared" si="2292"/>
        <v>https://www.google.com/search?tbm=isch&amp;q=Metasequoia%20%27Ogon%27%20Gold%20Rush%20Dawn%20Redwood</v>
      </c>
      <c r="BG2987" s="165" t="str">
        <f t="shared" si="2293"/>
        <v>M</v>
      </c>
      <c r="BH2987" s="65"/>
      <c r="BI2987" s="65"/>
      <c r="BJ2987" s="65"/>
      <c r="BK2987" s="65"/>
      <c r="BL2987" s="99"/>
      <c r="BM2987" s="99"/>
      <c r="BN2987" s="99"/>
    </row>
    <row r="2988" spans="1:66" s="51" customFormat="1" ht="15.75" x14ac:dyDescent="0.25">
      <c r="A2988" s="634">
        <v>7</v>
      </c>
      <c r="B2988" s="635" t="s">
        <v>291</v>
      </c>
      <c r="C2988" s="636" t="s">
        <v>985</v>
      </c>
      <c r="D2988" s="637" t="s">
        <v>299</v>
      </c>
      <c r="E2988" s="638">
        <v>132.94999999999999</v>
      </c>
      <c r="F2988" s="639" t="s">
        <v>292</v>
      </c>
      <c r="G2988" s="484">
        <v>0</v>
      </c>
      <c r="H2988" s="691" t="str">
        <f>IF(G2988=0,"",IF(F2988="Buy",IF(G2988=1,"plant","plants"),IF(F2988&gt;0.01,"warranty","Error")))</f>
        <v/>
      </c>
      <c r="I2988" s="640">
        <f>IF(H2988="free",0,IF(H2988="credit",((E2988*(F2988))*G2988*-1),IF(F2988="Buy",(E2988*G2988),((E2988*(1-F2988))*G2988))))</f>
        <v>0</v>
      </c>
      <c r="J2988" s="640">
        <f>IF(H2988="warranty",0,(I2988*(_xlfn.SINGLE(SalesTaxPercentage))))</f>
        <v>0</v>
      </c>
      <c r="K2988" s="716">
        <f t="shared" ref="K2988" si="2305">I2988+J2988</f>
        <v>0</v>
      </c>
      <c r="L2988" s="716"/>
      <c r="M2988" s="689" t="str">
        <f ca="1">IF(AND(G2988&gt;0,E2988=0),"WARNING - no PRICE inserted",IF(H2988="free","FREE ~ no charge this plant",IF(H2988="credit",CONCATENATE("-$",ROUND(K2988*(1-_xlfn.SINGLE(T2GDiscount))*-1,2)," CREDIT after discount"),IF(_xlfn.SINGLE(T2GDiscount)=0,"",IF(G2988=0,"",IF(F2988="Buy",CONCATENATE("$",ROUND(K2988*(1-_xlfn.SINGLE(T2GDiscount)),2)," with ",(_xlfn.SINGLE(T2GDiscount)*100),"% discount"),CONCATENATE("$",ROUND(K2988*(1-_xlfn.SINGLE(T2GDiscount)),2)," with ",((_xlfn.SINGLE(T2GDiscount)*100+F2988*100)-(_xlfn.SINGLE(T2GDiscount)*100*F2988)),IF(F2988&gt;0,"% discounts",IF(_xlfn.SINGLE(NoWarrantyDiscount)&gt;0,"% discounts","% discount")))))))))</f>
        <v/>
      </c>
      <c r="N2988" s="690"/>
      <c r="O2988" s="486"/>
      <c r="P2988" s="486"/>
      <c r="Q2988" s="486"/>
      <c r="R2988" s="486"/>
      <c r="S2988" s="486"/>
      <c r="T2988" s="102">
        <f t="shared" si="2281"/>
        <v>0</v>
      </c>
      <c r="U2988" s="78">
        <f>IF(NOT(ISNUMBER(G2988)), "", VLOOKUP(A2988,'Discount Lookup'!D:E,2,FALSE)*G2988)</f>
        <v>0</v>
      </c>
      <c r="V2988" s="78">
        <f>IF(NOT(ISNUMBER(G2988)), "", VLOOKUP(A2988,'Discount Lookup'!G:H,2,FALSE)*G2988)</f>
        <v>0</v>
      </c>
      <c r="W2988" s="102">
        <f t="shared" si="2282"/>
        <v>0</v>
      </c>
      <c r="X2988" s="102">
        <f t="shared" si="2283"/>
        <v>0</v>
      </c>
      <c r="Y2988" s="120" t="b">
        <f t="shared" si="2284"/>
        <v>0</v>
      </c>
      <c r="Z2988" s="117">
        <f t="shared" si="2285"/>
        <v>0</v>
      </c>
      <c r="AA2988" s="118"/>
      <c r="AB2988" s="118" t="str">
        <f t="shared" si="2286"/>
        <v/>
      </c>
      <c r="AC2988" s="712" t="str">
        <f>IF(AE2988="T2G","no charge",IF(AND(OR(PlanterYesMe="No",PlanterYesMe="N",PlanterYesMe="me"),H2988=""),"",IF(H2988="credit","NO install",IF(AND(K2988="",AE2988="me"),"EACH row",IF(AND(K2988="images",AE2988="me"),"EACH row",IF(D2988="","",IF(H2988="credit","",IF(AE2988="free","re-planting",IF(AE2988="me","   not ELP, by",IF(AND(OR(PlanterYesMe="Yes",PlanterYesMe="Y"),G2988&gt;0),(VLOOKUP(A2988,'Discount Lookup'!J:K,2)*G2988*(1-PlanterDiscount)*(1+PlanterDifficultyPercentage)),IF(AE2988="ELP",(VLOOKUP(A2988,'Discount Lookup'!J:K,2)*G2988*(1-PlanterDiscount)*(1+PlanterDifficultyPercentage)),IF(AE2988="free","re-planting",IF(G2988=0,"",IF(PlanterYesMe="",IF(AE2988="me","   not ELP, by",IF(AE2988="",IF(G2988&gt;0,(VLOOKUP(A2988,'Discount Lookup'!J:K,2)*G2988*(1-PlanterDiscount)*(1+PlanterDifficultyPercentage)),""),"")),"   not ELP, by"))))))))))))))</f>
        <v/>
      </c>
      <c r="AD2988" s="712"/>
      <c r="AE2988" s="513" t="str">
        <f t="shared" si="2287"/>
        <v/>
      </c>
      <c r="AF2988" s="713" t="str">
        <f t="shared" si="2288"/>
        <v/>
      </c>
      <c r="AG2988" s="713"/>
      <c r="AH2988" s="713"/>
      <c r="AI2988" s="112">
        <f>IF(H2988="credit",0,IF(AE2988="free",0,IF(AE2988="me",0,IF(G2988&gt;0,(VLOOKUP(A2988,'Discount Lookup'!J:K,2)*G2988),0))))</f>
        <v>0</v>
      </c>
      <c r="AJ2988" s="107" t="str">
        <f t="shared" ca="1" si="2289"/>
        <v/>
      </c>
      <c r="AK2988" s="714" t="str">
        <f t="shared" si="2290"/>
        <v/>
      </c>
      <c r="AL2988" s="714"/>
      <c r="AM2988" s="114" t="str">
        <f t="shared" si="2291"/>
        <v/>
      </c>
      <c r="AN2988" s="115"/>
      <c r="AO2988" s="116"/>
      <c r="AP2988" s="116"/>
      <c r="AQ2988" s="116"/>
      <c r="AR2988" s="116"/>
      <c r="AS2988" s="116"/>
      <c r="AT2988" s="116"/>
      <c r="AU2988" s="116"/>
      <c r="AV2988" s="78"/>
      <c r="AW2988" s="102"/>
      <c r="AX2988" s="78"/>
      <c r="AY2988" s="78"/>
      <c r="AZ2988" s="78"/>
      <c r="BA2988" s="78"/>
      <c r="BB2988" s="78"/>
      <c r="BC2988" s="78"/>
      <c r="BD2988" s="78"/>
      <c r="BE2988" s="465"/>
      <c r="BF2988" s="165" t="str">
        <f t="shared" si="2292"/>
        <v>https://www.google.com/search?tbm=isch&amp;q=7%20G4</v>
      </c>
      <c r="BG2988" s="165" t="str">
        <f t="shared" si="2293"/>
        <v>M</v>
      </c>
      <c r="BH2988" s="65"/>
      <c r="BI2988" s="65"/>
      <c r="BJ2988" s="65"/>
      <c r="BK2988" s="65"/>
      <c r="BL2988" s="99"/>
      <c r="BM2988" s="99"/>
      <c r="BN2988" s="99"/>
    </row>
    <row r="2989" spans="1:66" s="51" customFormat="1" ht="15.75" x14ac:dyDescent="0.25">
      <c r="A2989" s="634">
        <v>15</v>
      </c>
      <c r="B2989" s="635" t="s">
        <v>291</v>
      </c>
      <c r="C2989" s="636" t="s">
        <v>3582</v>
      </c>
      <c r="D2989" s="637" t="s">
        <v>299</v>
      </c>
      <c r="E2989" s="638">
        <v>183.95</v>
      </c>
      <c r="F2989" s="639" t="s">
        <v>292</v>
      </c>
      <c r="G2989" s="484">
        <v>0</v>
      </c>
      <c r="H2989" s="691" t="str">
        <f>IF(G2989=0,"",IF(F2989="Buy",IF(G2989=1,"plant","plants"),IF(F2989&gt;0.01,"warranty","Error")))</f>
        <v/>
      </c>
      <c r="I2989" s="640">
        <f>IF(H2989="free",0,IF(H2989="credit",((E2989*(F2989))*G2989*-1),IF(F2989="Buy",(E2989*G2989),((E2989*(1-F2989))*G2989))))</f>
        <v>0</v>
      </c>
      <c r="J2989" s="640">
        <f>IF(H2989="warranty",0,(I2989*(_xlfn.SINGLE(SalesTaxPercentage))))</f>
        <v>0</v>
      </c>
      <c r="K2989" s="716">
        <f t="shared" ref="K2989" si="2306">I2989+J2989</f>
        <v>0</v>
      </c>
      <c r="L2989" s="716"/>
      <c r="M2989" s="689" t="str">
        <f ca="1">IF(AND(G2989&gt;0,E2989=0),"WARNING - no PRICE inserted",IF(H2989="free","FREE ~ no charge this plant",IF(H2989="credit",CONCATENATE("-$",ROUND(K2989*(1-_xlfn.SINGLE(T2GDiscount))*-1,2)," CREDIT after discount"),IF(_xlfn.SINGLE(T2GDiscount)=0,"",IF(G2989=0,"",IF(F2989="Buy",CONCATENATE("$",ROUND(K2989*(1-_xlfn.SINGLE(T2GDiscount)),2)," with ",(_xlfn.SINGLE(T2GDiscount)*100),"% discount"),CONCATENATE("$",ROUND(K2989*(1-_xlfn.SINGLE(T2GDiscount)),2)," with ",((_xlfn.SINGLE(T2GDiscount)*100+F2989*100)-(_xlfn.SINGLE(T2GDiscount)*100*F2989)),IF(F2989&gt;0,"% discounts",IF(_xlfn.SINGLE(NoWarrantyDiscount)&gt;0,"% discounts","% discount")))))))))</f>
        <v/>
      </c>
      <c r="N2989" s="690"/>
      <c r="O2989" s="486"/>
      <c r="P2989" s="486"/>
      <c r="Q2989" s="486"/>
      <c r="R2989" s="486"/>
      <c r="S2989" s="486"/>
      <c r="T2989" s="102">
        <f t="shared" si="2281"/>
        <v>0</v>
      </c>
      <c r="U2989" s="78">
        <f>IF(NOT(ISNUMBER(G2989)), "", VLOOKUP(A2989,'Discount Lookup'!D:E,2,FALSE)*G2989)</f>
        <v>0</v>
      </c>
      <c r="V2989" s="78">
        <f>IF(NOT(ISNUMBER(G2989)), "", VLOOKUP(A2989,'Discount Lookup'!G:H,2,FALSE)*G2989)</f>
        <v>0</v>
      </c>
      <c r="W2989" s="102">
        <f t="shared" si="2282"/>
        <v>0</v>
      </c>
      <c r="X2989" s="102">
        <f t="shared" si="2283"/>
        <v>0</v>
      </c>
      <c r="Y2989" s="120" t="b">
        <f t="shared" si="2284"/>
        <v>0</v>
      </c>
      <c r="Z2989" s="117">
        <f t="shared" si="2285"/>
        <v>0</v>
      </c>
      <c r="AA2989" s="118"/>
      <c r="AB2989" s="118" t="str">
        <f t="shared" si="2286"/>
        <v/>
      </c>
      <c r="AC2989" s="712" t="str">
        <f>IF(AE2989="T2G","no charge",IF(AND(OR(PlanterYesMe="No",PlanterYesMe="N",PlanterYesMe="me"),H2989=""),"",IF(H2989="credit","NO install",IF(AND(K2989="",AE2989="me"),"EACH row",IF(AND(K2989="images",AE2989="me"),"EACH row",IF(D2989="","",IF(H2989="credit","",IF(AE2989="free","re-planting",IF(AE2989="me","   not ELP, by",IF(AND(OR(PlanterYesMe="Yes",PlanterYesMe="Y"),G2989&gt;0),(VLOOKUP(A2989,'Discount Lookup'!J:K,2)*G2989*(1-PlanterDiscount)*(1+PlanterDifficultyPercentage)),IF(AE2989="ELP",(VLOOKUP(A2989,'Discount Lookup'!J:K,2)*G2989*(1-PlanterDiscount)*(1+PlanterDifficultyPercentage)),IF(AE2989="free","re-planting",IF(G2989=0,"",IF(PlanterYesMe="",IF(AE2989="me","   not ELP, by",IF(AE2989="",IF(G2989&gt;0,(VLOOKUP(A2989,'Discount Lookup'!J:K,2)*G2989*(1-PlanterDiscount)*(1+PlanterDifficultyPercentage)),""),"")),"   not ELP, by"))))))))))))))</f>
        <v/>
      </c>
      <c r="AD2989" s="712"/>
      <c r="AE2989" s="513" t="str">
        <f t="shared" si="2287"/>
        <v/>
      </c>
      <c r="AF2989" s="713" t="str">
        <f t="shared" si="2288"/>
        <v/>
      </c>
      <c r="AG2989" s="713"/>
      <c r="AH2989" s="713"/>
      <c r="AI2989" s="112">
        <f>IF(H2989="credit",0,IF(AE2989="free",0,IF(AE2989="me",0,IF(G2989&gt;0,(VLOOKUP(A2989,'Discount Lookup'!J:K,2)*G2989),0))))</f>
        <v>0</v>
      </c>
      <c r="AJ2989" s="107" t="str">
        <f t="shared" ca="1" si="2289"/>
        <v/>
      </c>
      <c r="AK2989" s="714" t="str">
        <f t="shared" si="2290"/>
        <v/>
      </c>
      <c r="AL2989" s="714"/>
      <c r="AM2989" s="114" t="str">
        <f t="shared" si="2291"/>
        <v/>
      </c>
      <c r="AN2989" s="115"/>
      <c r="AO2989" s="116"/>
      <c r="AP2989" s="116"/>
      <c r="AQ2989" s="116"/>
      <c r="AR2989" s="116"/>
      <c r="AS2989" s="116"/>
      <c r="AT2989" s="116"/>
      <c r="AU2989" s="116"/>
      <c r="AV2989" s="78"/>
      <c r="AW2989" s="102"/>
      <c r="AX2989" s="78"/>
      <c r="AY2989" s="78"/>
      <c r="AZ2989" s="78"/>
      <c r="BA2989" s="78"/>
      <c r="BB2989" s="78"/>
      <c r="BC2989" s="78"/>
      <c r="BD2989" s="78"/>
      <c r="BE2989" s="465"/>
      <c r="BF2989" s="165" t="str">
        <f t="shared" si="2292"/>
        <v>https://www.google.com/search?tbm=isch&amp;q=15%20G4</v>
      </c>
      <c r="BG2989" s="165" t="str">
        <f t="shared" si="2293"/>
        <v>M</v>
      </c>
      <c r="BH2989" s="65"/>
      <c r="BI2989" s="65"/>
      <c r="BJ2989" s="65"/>
      <c r="BK2989" s="65"/>
      <c r="BL2989" s="99"/>
      <c r="BM2989" s="99"/>
      <c r="BN2989" s="99"/>
    </row>
    <row r="2990" spans="1:66" s="51" customFormat="1" ht="27" x14ac:dyDescent="0.25">
      <c r="A2990" s="634">
        <v>25</v>
      </c>
      <c r="B2990" s="635" t="s">
        <v>291</v>
      </c>
      <c r="C2990" s="636" t="s">
        <v>3583</v>
      </c>
      <c r="D2990" s="637" t="s">
        <v>299</v>
      </c>
      <c r="E2990" s="638">
        <v>309.95</v>
      </c>
      <c r="F2990" s="639" t="s">
        <v>292</v>
      </c>
      <c r="G2990" s="484">
        <v>0</v>
      </c>
      <c r="H2990" s="691" t="str">
        <f>IF(G2990=0,"",IF(F2990="Buy",IF(G2990=1,"plant","plants"),IF(F2990&gt;0.01,"warranty","Error")))</f>
        <v/>
      </c>
      <c r="I2990" s="640">
        <f>IF(H2990="free",0,IF(H2990="credit",((E2990*(F2990))*G2990*-1),IF(F2990="Buy",(E2990*G2990),((E2990*(1-F2990))*G2990))))</f>
        <v>0</v>
      </c>
      <c r="J2990" s="640">
        <f>IF(H2990="warranty",0,(I2990*(_xlfn.SINGLE(SalesTaxPercentage))))</f>
        <v>0</v>
      </c>
      <c r="K2990" s="716">
        <f t="shared" ref="K2990" si="2307">I2990+J2990</f>
        <v>0</v>
      </c>
      <c r="L2990" s="716"/>
      <c r="M2990" s="689" t="str">
        <f ca="1">IF(AND(G2990&gt;0,E2990=0),"WARNING - no PRICE inserted",IF(H2990="free","FREE ~ no charge this plant",IF(H2990="credit",CONCATENATE("-$",ROUND(K2990*(1-_xlfn.SINGLE(T2GDiscount))*-1,2)," CREDIT after discount"),IF(_xlfn.SINGLE(T2GDiscount)=0,"",IF(G2990=0,"",IF(F2990="Buy",CONCATENATE("$",ROUND(K2990*(1-_xlfn.SINGLE(T2GDiscount)),2)," with ",(_xlfn.SINGLE(T2GDiscount)*100),"% discount"),CONCATENATE("$",ROUND(K2990*(1-_xlfn.SINGLE(T2GDiscount)),2)," with ",((_xlfn.SINGLE(T2GDiscount)*100+F2990*100)-(_xlfn.SINGLE(T2GDiscount)*100*F2990)),IF(F2990&gt;0,"% discounts",IF(_xlfn.SINGLE(NoWarrantyDiscount)&gt;0,"% discounts","% discount")))))))))</f>
        <v/>
      </c>
      <c r="N2990" s="690"/>
      <c r="O2990" s="486"/>
      <c r="P2990" s="486"/>
      <c r="Q2990" s="486"/>
      <c r="R2990" s="486"/>
      <c r="S2990" s="486"/>
      <c r="T2990" s="102">
        <f t="shared" si="2281"/>
        <v>0</v>
      </c>
      <c r="U2990" s="78">
        <f>IF(NOT(ISNUMBER(G2990)), "", VLOOKUP(A2990,'Discount Lookup'!D:E,2,FALSE)*G2990)</f>
        <v>0</v>
      </c>
      <c r="V2990" s="78">
        <f>IF(NOT(ISNUMBER(G2990)), "", VLOOKUP(A2990,'Discount Lookup'!G:H,2,FALSE)*G2990)</f>
        <v>0</v>
      </c>
      <c r="W2990" s="102">
        <f t="shared" si="2282"/>
        <v>0</v>
      </c>
      <c r="X2990" s="102">
        <f t="shared" si="2283"/>
        <v>0</v>
      </c>
      <c r="Y2990" s="120" t="b">
        <f t="shared" si="2284"/>
        <v>0</v>
      </c>
      <c r="Z2990" s="117">
        <f t="shared" si="2285"/>
        <v>0</v>
      </c>
      <c r="AA2990" s="118"/>
      <c r="AB2990" s="118" t="str">
        <f t="shared" si="2286"/>
        <v/>
      </c>
      <c r="AC2990" s="712" t="str">
        <f>IF(AE2990="T2G","no charge",IF(AND(OR(PlanterYesMe="No",PlanterYesMe="N",PlanterYesMe="me"),H2990=""),"",IF(H2990="credit","NO install",IF(AND(K2990="",AE2990="me"),"EACH row",IF(AND(K2990="images",AE2990="me"),"EACH row",IF(D2990="","",IF(H2990="credit","",IF(AE2990="free","re-planting",IF(AE2990="me","   not ELP, by",IF(AND(OR(PlanterYesMe="Yes",PlanterYesMe="Y"),G2990&gt;0),(VLOOKUP(A2990,'Discount Lookup'!J:K,2)*G2990*(1-PlanterDiscount)*(1+PlanterDifficultyPercentage)),IF(AE2990="ELP",(VLOOKUP(A2990,'Discount Lookup'!J:K,2)*G2990*(1-PlanterDiscount)*(1+PlanterDifficultyPercentage)),IF(AE2990="free","re-planting",IF(G2990=0,"",IF(PlanterYesMe="",IF(AE2990="me","   not ELP, by",IF(AE2990="",IF(G2990&gt;0,(VLOOKUP(A2990,'Discount Lookup'!J:K,2)*G2990*(1-PlanterDiscount)*(1+PlanterDifficultyPercentage)),""),"")),"   not ELP, by"))))))))))))))</f>
        <v/>
      </c>
      <c r="AD2990" s="712"/>
      <c r="AE2990" s="513" t="str">
        <f t="shared" si="2287"/>
        <v/>
      </c>
      <c r="AF2990" s="713" t="str">
        <f t="shared" si="2288"/>
        <v/>
      </c>
      <c r="AG2990" s="713"/>
      <c r="AH2990" s="713"/>
      <c r="AI2990" s="112">
        <f>IF(H2990="credit",0,IF(AE2990="free",0,IF(AE2990="me",0,IF(G2990&gt;0,(VLOOKUP(A2990,'Discount Lookup'!J:K,2)*G2990),0))))</f>
        <v>0</v>
      </c>
      <c r="AJ2990" s="107" t="str">
        <f t="shared" ca="1" si="2289"/>
        <v/>
      </c>
      <c r="AK2990" s="714" t="str">
        <f t="shared" si="2290"/>
        <v/>
      </c>
      <c r="AL2990" s="714"/>
      <c r="AM2990" s="114" t="str">
        <f t="shared" si="2291"/>
        <v/>
      </c>
      <c r="AN2990" s="115"/>
      <c r="AO2990" s="116"/>
      <c r="AP2990" s="116"/>
      <c r="AQ2990" s="116"/>
      <c r="AR2990" s="116"/>
      <c r="AS2990" s="116"/>
      <c r="AT2990" s="116"/>
      <c r="AU2990" s="116"/>
      <c r="AV2990" s="78"/>
      <c r="AW2990" s="102"/>
      <c r="AX2990" s="78"/>
      <c r="AY2990" s="78"/>
      <c r="AZ2990" s="78"/>
      <c r="BA2990" s="78"/>
      <c r="BB2990" s="78"/>
      <c r="BC2990" s="78"/>
      <c r="BD2990" s="78"/>
      <c r="BE2990" s="465"/>
      <c r="BF2990" s="165" t="str">
        <f t="shared" si="2292"/>
        <v>https://www.google.com/search?tbm=isch&amp;q=25%20G4</v>
      </c>
      <c r="BG2990" s="165" t="str">
        <f t="shared" si="2293"/>
        <v>M</v>
      </c>
      <c r="BH2990" s="65"/>
      <c r="BI2990" s="65"/>
      <c r="BJ2990" s="65"/>
      <c r="BK2990" s="65"/>
      <c r="BL2990" s="99"/>
      <c r="BM2990" s="99"/>
      <c r="BN2990" s="99"/>
    </row>
    <row r="2991" spans="1:66" s="51" customFormat="1" ht="17.25" thickBot="1" x14ac:dyDescent="0.3">
      <c r="A2991" s="704" t="s">
        <v>5486</v>
      </c>
      <c r="B2991" s="642"/>
      <c r="C2991" s="710"/>
      <c r="D2991" s="643"/>
      <c r="E2991" s="643"/>
      <c r="F2991" s="644"/>
      <c r="G2991" s="645"/>
      <c r="H2991" s="646"/>
      <c r="I2991" s="647"/>
      <c r="J2991" s="648"/>
      <c r="K2991" s="649"/>
      <c r="L2991" s="650"/>
      <c r="M2991" s="650"/>
      <c r="N2991" s="644"/>
      <c r="O2991" s="644"/>
      <c r="P2991" s="644"/>
      <c r="Q2991" s="644"/>
      <c r="R2991" s="644"/>
      <c r="S2991" s="701" t="s">
        <v>5251</v>
      </c>
      <c r="T2991" s="102">
        <f t="shared" si="2281"/>
        <v>0</v>
      </c>
      <c r="U2991" s="78" t="str">
        <f>IF(NOT(ISNUMBER(G2991)), "", VLOOKUP(A2991,'Discount Lookup'!D:E,2,FALSE)*G2991)</f>
        <v/>
      </c>
      <c r="V2991" s="78" t="str">
        <f>IF(NOT(ISNUMBER(G2991)), "", VLOOKUP(A2991,'Discount Lookup'!G:H,2,FALSE)*G2991)</f>
        <v/>
      </c>
      <c r="W2991" s="102">
        <f t="shared" si="2282"/>
        <v>0</v>
      </c>
      <c r="X2991" s="102">
        <f t="shared" si="2283"/>
        <v>0</v>
      </c>
      <c r="Y2991" s="120" t="b">
        <f t="shared" si="2284"/>
        <v>0</v>
      </c>
      <c r="Z2991" s="117">
        <f t="shared" si="2285"/>
        <v>0</v>
      </c>
      <c r="AA2991" s="118"/>
      <c r="AB2991" s="118" t="str">
        <f t="shared" si="2286"/>
        <v/>
      </c>
      <c r="AC2991" s="712" t="str">
        <f>IF(AE2991="T2G","no charge",IF(AND(OR(PlanterYesMe="No",PlanterYesMe="N",PlanterYesMe="me"),H2991=""),"",IF(H2991="credit","NO install",IF(AND(K2991="",AE2991="me"),"EACH row",IF(AND(K2991="images",AE2991="me"),"EACH row",IF(D2991="","",IF(H2991="credit","",IF(AE2991="free","re-planting",IF(AE2991="me","   not ELP, by",IF(AND(OR(PlanterYesMe="Yes",PlanterYesMe="Y"),G2991&gt;0),(VLOOKUP(A2991,'Discount Lookup'!J:K,2)*G2991*(1-PlanterDiscount)*(1+PlanterDifficultyPercentage)),IF(AE2991="ELP",(VLOOKUP(A2991,'Discount Lookup'!J:K,2)*G2991*(1-PlanterDiscount)*(1+PlanterDifficultyPercentage)),IF(AE2991="free","re-planting",IF(G2991=0,"",IF(PlanterYesMe="",IF(AE2991="me","   not ELP, by",IF(AE2991="",IF(G2991&gt;0,(VLOOKUP(A2991,'Discount Lookup'!J:K,2)*G2991*(1-PlanterDiscount)*(1+PlanterDifficultyPercentage)),""),"")),"   not ELP, by"))))))))))))))</f>
        <v/>
      </c>
      <c r="AD2991" s="712"/>
      <c r="AE2991" s="513" t="str">
        <f t="shared" si="2287"/>
        <v/>
      </c>
      <c r="AF2991" s="713" t="str">
        <f t="shared" si="2288"/>
        <v/>
      </c>
      <c r="AG2991" s="713"/>
      <c r="AH2991" s="713"/>
      <c r="AI2991" s="112">
        <f>IF(H2991="credit",0,IF(AE2991="free",0,IF(AE2991="me",0,IF(G2991&gt;0,(VLOOKUP(A2991,'Discount Lookup'!J:K,2)*G2991),0))))</f>
        <v>0</v>
      </c>
      <c r="AJ2991" s="107" t="str">
        <f t="shared" ca="1" si="2289"/>
        <v/>
      </c>
      <c r="AK2991" s="714" t="str">
        <f t="shared" si="2290"/>
        <v/>
      </c>
      <c r="AL2991" s="714"/>
      <c r="AM2991" s="114" t="str">
        <f t="shared" si="2291"/>
        <v/>
      </c>
      <c r="AN2991" s="115"/>
      <c r="AO2991" s="116"/>
      <c r="AP2991" s="116"/>
      <c r="AQ2991" s="116"/>
      <c r="AR2991" s="116"/>
      <c r="AS2991" s="116"/>
      <c r="AT2991" s="116"/>
      <c r="AU2991" s="116"/>
      <c r="AV2991" s="78"/>
      <c r="AW2991" s="102"/>
      <c r="AX2991" s="78"/>
      <c r="AY2991" s="78"/>
      <c r="AZ2991" s="78"/>
      <c r="BA2991" s="78"/>
      <c r="BB2991" s="78"/>
      <c r="BC2991" s="78"/>
      <c r="BD2991" s="78"/>
      <c r="BE2991" s="465"/>
      <c r="BF2991" s="165" t="str">
        <f t="shared" si="2292"/>
        <v>https://www.google.com/search?tbm=isch&amp;q=moist%20sites%F0%9F%92%A7GOOD%2C%20Gold%20Rush%20named%20for%20vivd%20Golden-Yellow%20foliage%20all%20summer.%20Orange-Bronze%20fall%20foliage.%20Fast%20grower.%20Tolerant%20of%20poor%20soils%20</v>
      </c>
      <c r="BG2991" s="165" t="str">
        <f t="shared" si="2293"/>
        <v>m</v>
      </c>
      <c r="BH2991" s="65"/>
      <c r="BI2991" s="65"/>
      <c r="BJ2991" s="65"/>
      <c r="BK2991" s="65"/>
      <c r="BL2991" s="99"/>
      <c r="BM2991" s="99"/>
      <c r="BN2991" s="99"/>
    </row>
    <row r="2992" spans="1:66" s="51" customFormat="1" ht="18" x14ac:dyDescent="0.25">
      <c r="A2992" s="623" t="s">
        <v>3584</v>
      </c>
      <c r="B2992" s="624"/>
      <c r="C2992" s="709"/>
      <c r="D2992" s="625" t="s">
        <v>3585</v>
      </c>
      <c r="E2992" s="626"/>
      <c r="F2992" s="626"/>
      <c r="G2992" s="626"/>
      <c r="H2992" s="622" t="s">
        <v>3586</v>
      </c>
      <c r="I2992" s="627" t="s">
        <v>3587</v>
      </c>
      <c r="J2992" s="628"/>
      <c r="K2992" s="628"/>
      <c r="L2992" s="629"/>
      <c r="M2992" s="700" t="s">
        <v>5249</v>
      </c>
      <c r="N2992" s="693" t="str">
        <f>IF(AND(ISTEXT($A2992), ISERROR($A2992+0)), HYPERLINK($BF2992, "Images"), "")</f>
        <v>Images</v>
      </c>
      <c r="O2992" s="695" t="s">
        <v>5244</v>
      </c>
      <c r="P2992" s="630"/>
      <c r="Q2992" s="631"/>
      <c r="R2992" s="632"/>
      <c r="S2992" s="633"/>
      <c r="T2992" s="102">
        <f t="shared" si="2281"/>
        <v>0</v>
      </c>
      <c r="U2992" s="78" t="str">
        <f>IF(NOT(ISNUMBER(G2992)), "", VLOOKUP(A2992,'Discount Lookup'!D:E,2,FALSE)*G2992)</f>
        <v/>
      </c>
      <c r="V2992" s="78" t="str">
        <f>IF(NOT(ISNUMBER(G2992)), "", VLOOKUP(A2992,'Discount Lookup'!G:H,2,FALSE)*G2992)</f>
        <v/>
      </c>
      <c r="W2992" s="102">
        <f t="shared" si="2282"/>
        <v>0</v>
      </c>
      <c r="X2992" s="102" t="str">
        <f t="shared" si="2283"/>
        <v>Chartreuse needles</v>
      </c>
      <c r="Y2992" s="120" t="b">
        <f t="shared" si="2284"/>
        <v>0</v>
      </c>
      <c r="Z2992" s="117">
        <f t="shared" si="2285"/>
        <v>0</v>
      </c>
      <c r="AA2992" s="118"/>
      <c r="AB2992" s="118" t="str">
        <f t="shared" si="2286"/>
        <v/>
      </c>
      <c r="AC2992" s="712" t="str">
        <f>IF(AE2992="T2G","no charge",IF(AND(OR(PlanterYesMe="No",PlanterYesMe="N",PlanterYesMe="me"),H2992=""),"",IF(H2992="credit","NO install",IF(AND(K2992="",AE2992="me"),"EACH row",IF(AND(K2992="images",AE2992="me"),"EACH row",IF(D2992="","",IF(H2992="credit","",IF(AE2992="free","re-planting",IF(AE2992="me","   not ELP, by",IF(AND(OR(PlanterYesMe="Yes",PlanterYesMe="Y"),G2992&gt;0),(VLOOKUP(A2992,'Discount Lookup'!J:K,2)*G2992*(1-PlanterDiscount)*(1+PlanterDifficultyPercentage)),IF(AE2992="ELP",(VLOOKUP(A2992,'Discount Lookup'!J:K,2)*G2992*(1-PlanterDiscount)*(1+PlanterDifficultyPercentage)),IF(AE2992="free","re-planting",IF(G2992=0,"",IF(PlanterYesMe="",IF(AE2992="me","   not ELP, by",IF(AE2992="",IF(G2992&gt;0,(VLOOKUP(A2992,'Discount Lookup'!J:K,2)*G2992*(1-PlanterDiscount)*(1+PlanterDifficultyPercentage)),""),"")),"   not ELP, by"))))))))))))))</f>
        <v/>
      </c>
      <c r="AD2992" s="712"/>
      <c r="AE2992" s="513" t="str">
        <f t="shared" si="2287"/>
        <v/>
      </c>
      <c r="AF2992" s="713" t="str">
        <f t="shared" si="2288"/>
        <v/>
      </c>
      <c r="AG2992" s="713"/>
      <c r="AH2992" s="713"/>
      <c r="AI2992" s="112">
        <f>IF(H2992="credit",0,IF(AE2992="free",0,IF(AE2992="me",0,IF(G2992&gt;0,(VLOOKUP(A2992,'Discount Lookup'!J:K,2)*G2992),0))))</f>
        <v>0</v>
      </c>
      <c r="AJ2992" s="107" t="str">
        <f t="shared" ca="1" si="2289"/>
        <v/>
      </c>
      <c r="AK2992" s="714" t="str">
        <f t="shared" si="2290"/>
        <v/>
      </c>
      <c r="AL2992" s="714"/>
      <c r="AM2992" s="114" t="str">
        <f t="shared" si="2291"/>
        <v/>
      </c>
      <c r="AN2992" s="115"/>
      <c r="AO2992" s="116"/>
      <c r="AP2992" s="116"/>
      <c r="AQ2992" s="116"/>
      <c r="AR2992" s="116"/>
      <c r="AS2992" s="116"/>
      <c r="AT2992" s="116"/>
      <c r="AU2992" s="116"/>
      <c r="AV2992" s="78"/>
      <c r="AW2992" s="102"/>
      <c r="AX2992" s="78"/>
      <c r="AY2992" s="78"/>
      <c r="AZ2992" s="78"/>
      <c r="BA2992" s="78"/>
      <c r="BB2992" s="78"/>
      <c r="BC2992" s="78"/>
      <c r="BD2992" s="78"/>
      <c r="BE2992" s="465"/>
      <c r="BF2992" s="165" t="str">
        <f t="shared" si="2292"/>
        <v>https://www.google.com/search?tbm=isch&amp;q=Metasequoia%20%27Soul%20Fire%27%20PP%2332580%20Soul%20Fire%20Dawn%20Redwood</v>
      </c>
      <c r="BG2992" s="165" t="str">
        <f t="shared" si="2293"/>
        <v>M</v>
      </c>
      <c r="BH2992" s="65"/>
      <c r="BI2992" s="65"/>
      <c r="BJ2992" s="65"/>
      <c r="BK2992" s="65"/>
      <c r="BL2992" s="99"/>
      <c r="BM2992" s="99"/>
      <c r="BN2992" s="99"/>
    </row>
    <row r="2993" spans="1:66" s="51" customFormat="1" ht="15.75" x14ac:dyDescent="0.25">
      <c r="A2993" s="634">
        <v>7</v>
      </c>
      <c r="B2993" s="635" t="s">
        <v>291</v>
      </c>
      <c r="C2993" s="636" t="s">
        <v>3588</v>
      </c>
      <c r="D2993" s="637" t="s">
        <v>299</v>
      </c>
      <c r="E2993" s="638">
        <v>153.94999999999999</v>
      </c>
      <c r="F2993" s="639" t="s">
        <v>292</v>
      </c>
      <c r="G2993" s="484">
        <v>0</v>
      </c>
      <c r="H2993" s="691" t="str">
        <f>IF(G2993=0,"",IF(F2993="Buy",IF(G2993=1,"plant","plants"),IF(F2993&gt;0.01,"warranty","Error")))</f>
        <v/>
      </c>
      <c r="I2993" s="640">
        <f>IF(H2993="free",0,IF(H2993="credit",((E2993*(F2993))*G2993*-1),IF(F2993="Buy",(E2993*G2993),((E2993*(1-F2993))*G2993))))</f>
        <v>0</v>
      </c>
      <c r="J2993" s="640">
        <f>IF(H2993="warranty",0,(I2993*(_xlfn.SINGLE(SalesTaxPercentage))))</f>
        <v>0</v>
      </c>
      <c r="K2993" s="716">
        <f t="shared" ref="K2993" si="2308">I2993+J2993</f>
        <v>0</v>
      </c>
      <c r="L2993" s="716"/>
      <c r="M2993" s="689" t="str">
        <f ca="1">IF(AND(G2993&gt;0,E2993=0),"WARNING - no PRICE inserted",IF(H2993="free","FREE ~ no charge this plant",IF(H2993="credit",CONCATENATE("-$",ROUND(K2993*(1-_xlfn.SINGLE(T2GDiscount))*-1,2)," CREDIT after discount"),IF(_xlfn.SINGLE(T2GDiscount)=0,"",IF(G2993=0,"",IF(F2993="Buy",CONCATENATE("$",ROUND(K2993*(1-_xlfn.SINGLE(T2GDiscount)),2)," with ",(_xlfn.SINGLE(T2GDiscount)*100),"% discount"),CONCATENATE("$",ROUND(K2993*(1-_xlfn.SINGLE(T2GDiscount)),2)," with ",((_xlfn.SINGLE(T2GDiscount)*100+F2993*100)-(_xlfn.SINGLE(T2GDiscount)*100*F2993)),IF(F2993&gt;0,"% discounts",IF(_xlfn.SINGLE(NoWarrantyDiscount)&gt;0,"% discounts","% discount")))))))))</f>
        <v/>
      </c>
      <c r="N2993" s="690"/>
      <c r="O2993" s="486"/>
      <c r="P2993" s="486"/>
      <c r="Q2993" s="486"/>
      <c r="R2993" s="486"/>
      <c r="S2993" s="486"/>
      <c r="T2993" s="102">
        <f t="shared" si="2281"/>
        <v>0</v>
      </c>
      <c r="U2993" s="78">
        <f>IF(NOT(ISNUMBER(G2993)), "", VLOOKUP(A2993,'Discount Lookup'!D:E,2,FALSE)*G2993)</f>
        <v>0</v>
      </c>
      <c r="V2993" s="78">
        <f>IF(NOT(ISNUMBER(G2993)), "", VLOOKUP(A2993,'Discount Lookup'!G:H,2,FALSE)*G2993)</f>
        <v>0</v>
      </c>
      <c r="W2993" s="102">
        <f t="shared" si="2282"/>
        <v>0</v>
      </c>
      <c r="X2993" s="102">
        <f t="shared" si="2283"/>
        <v>0</v>
      </c>
      <c r="Y2993" s="120" t="b">
        <f t="shared" si="2284"/>
        <v>0</v>
      </c>
      <c r="Z2993" s="117">
        <f t="shared" si="2285"/>
        <v>0</v>
      </c>
      <c r="AA2993" s="118"/>
      <c r="AB2993" s="118" t="str">
        <f t="shared" si="2286"/>
        <v/>
      </c>
      <c r="AC2993" s="712" t="str">
        <f>IF(AE2993="T2G","no charge",IF(AND(OR(PlanterYesMe="No",PlanterYesMe="N",PlanterYesMe="me"),H2993=""),"",IF(H2993="credit","NO install",IF(AND(K2993="",AE2993="me"),"EACH row",IF(AND(K2993="images",AE2993="me"),"EACH row",IF(D2993="","",IF(H2993="credit","",IF(AE2993="free","re-planting",IF(AE2993="me","   not ELP, by",IF(AND(OR(PlanterYesMe="Yes",PlanterYesMe="Y"),G2993&gt;0),(VLOOKUP(A2993,'Discount Lookup'!J:K,2)*G2993*(1-PlanterDiscount)*(1+PlanterDifficultyPercentage)),IF(AE2993="ELP",(VLOOKUP(A2993,'Discount Lookup'!J:K,2)*G2993*(1-PlanterDiscount)*(1+PlanterDifficultyPercentage)),IF(AE2993="free","re-planting",IF(G2993=0,"",IF(PlanterYesMe="",IF(AE2993="me","   not ELP, by",IF(AE2993="",IF(G2993&gt;0,(VLOOKUP(A2993,'Discount Lookup'!J:K,2)*G2993*(1-PlanterDiscount)*(1+PlanterDifficultyPercentage)),""),"")),"   not ELP, by"))))))))))))))</f>
        <v/>
      </c>
      <c r="AD2993" s="712"/>
      <c r="AE2993" s="513" t="str">
        <f t="shared" si="2287"/>
        <v/>
      </c>
      <c r="AF2993" s="713" t="str">
        <f t="shared" si="2288"/>
        <v/>
      </c>
      <c r="AG2993" s="713"/>
      <c r="AH2993" s="713"/>
      <c r="AI2993" s="112">
        <f>IF(H2993="credit",0,IF(AE2993="free",0,IF(AE2993="me",0,IF(G2993&gt;0,(VLOOKUP(A2993,'Discount Lookup'!J:K,2)*G2993),0))))</f>
        <v>0</v>
      </c>
      <c r="AJ2993" s="107" t="str">
        <f t="shared" ca="1" si="2289"/>
        <v/>
      </c>
      <c r="AK2993" s="714" t="str">
        <f t="shared" si="2290"/>
        <v/>
      </c>
      <c r="AL2993" s="714"/>
      <c r="AM2993" s="114" t="str">
        <f t="shared" si="2291"/>
        <v/>
      </c>
      <c r="AN2993" s="115"/>
      <c r="AO2993" s="116"/>
      <c r="AP2993" s="116"/>
      <c r="AQ2993" s="116"/>
      <c r="AR2993" s="116"/>
      <c r="AS2993" s="116"/>
      <c r="AT2993" s="116"/>
      <c r="AU2993" s="116"/>
      <c r="AV2993" s="78"/>
      <c r="AW2993" s="102"/>
      <c r="AX2993" s="78"/>
      <c r="AY2993" s="78"/>
      <c r="AZ2993" s="78"/>
      <c r="BA2993" s="78"/>
      <c r="BB2993" s="78"/>
      <c r="BC2993" s="78"/>
      <c r="BD2993" s="78"/>
      <c r="BE2993" s="465"/>
      <c r="BF2993" s="165" t="str">
        <f t="shared" si="2292"/>
        <v>https://www.google.com/search?tbm=isch&amp;q=7%20G4</v>
      </c>
      <c r="BG2993" s="165" t="str">
        <f t="shared" si="2293"/>
        <v>M</v>
      </c>
      <c r="BH2993" s="65"/>
      <c r="BI2993" s="65"/>
      <c r="BJ2993" s="65"/>
      <c r="BK2993" s="65"/>
      <c r="BL2993" s="99"/>
      <c r="BM2993" s="99"/>
      <c r="BN2993" s="99"/>
    </row>
    <row r="2994" spans="1:66" s="51" customFormat="1" ht="17.25" thickBot="1" x14ac:dyDescent="0.3">
      <c r="A2994" s="704" t="s">
        <v>5487</v>
      </c>
      <c r="B2994" s="642"/>
      <c r="C2994" s="710"/>
      <c r="D2994" s="643"/>
      <c r="E2994" s="643"/>
      <c r="F2994" s="644"/>
      <c r="G2994" s="645"/>
      <c r="H2994" s="646"/>
      <c r="I2994" s="647"/>
      <c r="J2994" s="648"/>
      <c r="K2994" s="649"/>
      <c r="L2994" s="650"/>
      <c r="M2994" s="650"/>
      <c r="N2994" s="644"/>
      <c r="O2994" s="644"/>
      <c r="P2994" s="644"/>
      <c r="Q2994" s="644"/>
      <c r="R2994" s="644"/>
      <c r="S2994" s="701" t="s">
        <v>5251</v>
      </c>
      <c r="T2994" s="102">
        <f t="shared" si="2281"/>
        <v>0</v>
      </c>
      <c r="U2994" s="78" t="str">
        <f>IF(NOT(ISNUMBER(G2994)), "", VLOOKUP(A2994,'Discount Lookup'!D:E,2,FALSE)*G2994)</f>
        <v/>
      </c>
      <c r="V2994" s="78" t="str">
        <f>IF(NOT(ISNUMBER(G2994)), "", VLOOKUP(A2994,'Discount Lookup'!G:H,2,FALSE)*G2994)</f>
        <v/>
      </c>
      <c r="W2994" s="102">
        <f t="shared" si="2282"/>
        <v>0</v>
      </c>
      <c r="X2994" s="102">
        <f t="shared" si="2283"/>
        <v>0</v>
      </c>
      <c r="Y2994" s="120" t="b">
        <f t="shared" si="2284"/>
        <v>0</v>
      </c>
      <c r="Z2994" s="117">
        <f t="shared" si="2285"/>
        <v>0</v>
      </c>
      <c r="AA2994" s="118"/>
      <c r="AB2994" s="118" t="str">
        <f t="shared" si="2286"/>
        <v/>
      </c>
      <c r="AC2994" s="712" t="str">
        <f>IF(AE2994="T2G","no charge",IF(AND(OR(PlanterYesMe="No",PlanterYesMe="N",PlanterYesMe="me"),H2994=""),"",IF(H2994="credit","NO install",IF(AND(K2994="",AE2994="me"),"EACH row",IF(AND(K2994="images",AE2994="me"),"EACH row",IF(D2994="","",IF(H2994="credit","",IF(AE2994="free","re-planting",IF(AE2994="me","   not ELP, by",IF(AND(OR(PlanterYesMe="Yes",PlanterYesMe="Y"),G2994&gt;0),(VLOOKUP(A2994,'Discount Lookup'!J:K,2)*G2994*(1-PlanterDiscount)*(1+PlanterDifficultyPercentage)),IF(AE2994="ELP",(VLOOKUP(A2994,'Discount Lookup'!J:K,2)*G2994*(1-PlanterDiscount)*(1+PlanterDifficultyPercentage)),IF(AE2994="free","re-planting",IF(G2994=0,"",IF(PlanterYesMe="",IF(AE2994="me","   not ELP, by",IF(AE2994="",IF(G2994&gt;0,(VLOOKUP(A2994,'Discount Lookup'!J:K,2)*G2994*(1-PlanterDiscount)*(1+PlanterDifficultyPercentage)),""),"")),"   not ELP, by"))))))))))))))</f>
        <v/>
      </c>
      <c r="AD2994" s="712"/>
      <c r="AE2994" s="513" t="str">
        <f t="shared" si="2287"/>
        <v/>
      </c>
      <c r="AF2994" s="713" t="str">
        <f t="shared" si="2288"/>
        <v/>
      </c>
      <c r="AG2994" s="713"/>
      <c r="AH2994" s="713"/>
      <c r="AI2994" s="112">
        <f>IF(H2994="credit",0,IF(AE2994="free",0,IF(AE2994="me",0,IF(G2994&gt;0,(VLOOKUP(A2994,'Discount Lookup'!J:K,2)*G2994),0))))</f>
        <v>0</v>
      </c>
      <c r="AJ2994" s="107" t="str">
        <f t="shared" ca="1" si="2289"/>
        <v/>
      </c>
      <c r="AK2994" s="714" t="str">
        <f t="shared" si="2290"/>
        <v/>
      </c>
      <c r="AL2994" s="714"/>
      <c r="AM2994" s="114" t="str">
        <f t="shared" si="2291"/>
        <v/>
      </c>
      <c r="AN2994" s="115"/>
      <c r="AO2994" s="116"/>
      <c r="AP2994" s="116"/>
      <c r="AQ2994" s="116"/>
      <c r="AR2994" s="116"/>
      <c r="AS2994" s="116"/>
      <c r="AT2994" s="116"/>
      <c r="AU2994" s="116"/>
      <c r="AV2994" s="78"/>
      <c r="AW2994" s="102"/>
      <c r="AX2994" s="78"/>
      <c r="AY2994" s="78"/>
      <c r="AZ2994" s="78"/>
      <c r="BA2994" s="78"/>
      <c r="BB2994" s="78"/>
      <c r="BC2994" s="78"/>
      <c r="BD2994" s="78"/>
      <c r="BE2994" s="465"/>
      <c r="BF2994" s="165" t="str">
        <f t="shared" si="2292"/>
        <v>https://www.google.com/search?tbm=isch&amp;q=moist%20sites%F0%9F%92%A7GOOD%2C%20Soul%20Fire%20needles%20emerge%20Lime-Green%20with%20Rosy-Orange%20tips%2C%20turn%20Chartreuse%2C%20then%20Golden-Apricot%20in%20fall.%20Burn%20resistant%20</v>
      </c>
      <c r="BG2994" s="165" t="str">
        <f t="shared" si="2293"/>
        <v>m</v>
      </c>
      <c r="BH2994" s="65"/>
      <c r="BI2994" s="65"/>
      <c r="BJ2994" s="65"/>
      <c r="BK2994" s="65"/>
      <c r="BL2994" s="99"/>
      <c r="BM2994" s="99"/>
      <c r="BN2994" s="99"/>
    </row>
    <row r="2995" spans="1:66" s="51" customFormat="1" ht="18" x14ac:dyDescent="0.25">
      <c r="A2995" s="623" t="s">
        <v>3589</v>
      </c>
      <c r="B2995" s="624"/>
      <c r="C2995" s="709"/>
      <c r="D2995" s="625" t="s">
        <v>5738</v>
      </c>
      <c r="E2995" s="626"/>
      <c r="F2995" s="626"/>
      <c r="G2995" s="626"/>
      <c r="H2995" s="622" t="s">
        <v>1390</v>
      </c>
      <c r="I2995" s="627" t="s">
        <v>3581</v>
      </c>
      <c r="J2995" s="628"/>
      <c r="K2995" s="628"/>
      <c r="L2995" s="629"/>
      <c r="M2995" s="700" t="s">
        <v>5249</v>
      </c>
      <c r="N2995" s="693" t="str">
        <f>IF(AND(ISTEXT($A2995), ISERROR($A2995+0)), HYPERLINK($BF2995, "Images"), "")</f>
        <v>Images</v>
      </c>
      <c r="O2995" s="695" t="s">
        <v>5247</v>
      </c>
      <c r="P2995" s="630"/>
      <c r="Q2995" s="631"/>
      <c r="R2995" s="632"/>
      <c r="S2995" s="633"/>
      <c r="T2995" s="102">
        <f t="shared" si="2281"/>
        <v>0</v>
      </c>
      <c r="U2995" s="78" t="str">
        <f>IF(NOT(ISNUMBER(G2995)), "", VLOOKUP(A2995,'Discount Lookup'!D:E,2,FALSE)*G2995)</f>
        <v/>
      </c>
      <c r="V2995" s="78" t="str">
        <f>IF(NOT(ISNUMBER(G2995)), "", VLOOKUP(A2995,'Discount Lookup'!G:H,2,FALSE)*G2995)</f>
        <v/>
      </c>
      <c r="W2995" s="102">
        <f t="shared" si="2282"/>
        <v>0</v>
      </c>
      <c r="X2995" s="102" t="str">
        <f t="shared" si="2283"/>
        <v>Golden-Yellow needles</v>
      </c>
      <c r="Y2995" s="120" t="b">
        <f t="shared" si="2284"/>
        <v>0</v>
      </c>
      <c r="Z2995" s="117">
        <f t="shared" si="2285"/>
        <v>0</v>
      </c>
      <c r="AA2995" s="118"/>
      <c r="AB2995" s="118" t="str">
        <f t="shared" si="2286"/>
        <v/>
      </c>
      <c r="AC2995" s="712" t="str">
        <f>IF(AE2995="T2G","no charge",IF(AND(OR(PlanterYesMe="No",PlanterYesMe="N",PlanterYesMe="me"),H2995=""),"",IF(H2995="credit","NO install",IF(AND(K2995="",AE2995="me"),"EACH row",IF(AND(K2995="images",AE2995="me"),"EACH row",IF(D2995="","",IF(H2995="credit","",IF(AE2995="free","re-planting",IF(AE2995="me","   not ELP, by",IF(AND(OR(PlanterYesMe="Yes",PlanterYesMe="Y"),G2995&gt;0),(VLOOKUP(A2995,'Discount Lookup'!J:K,2)*G2995*(1-PlanterDiscount)*(1+PlanterDifficultyPercentage)),IF(AE2995="ELP",(VLOOKUP(A2995,'Discount Lookup'!J:K,2)*G2995*(1-PlanterDiscount)*(1+PlanterDifficultyPercentage)),IF(AE2995="free","re-planting",IF(G2995=0,"",IF(PlanterYesMe="",IF(AE2995="me","   not ELP, by",IF(AE2995="",IF(G2995&gt;0,(VLOOKUP(A2995,'Discount Lookup'!J:K,2)*G2995*(1-PlanterDiscount)*(1+PlanterDifficultyPercentage)),""),"")),"   not ELP, by"))))))))))))))</f>
        <v/>
      </c>
      <c r="AD2995" s="712"/>
      <c r="AE2995" s="513" t="str">
        <f t="shared" si="2287"/>
        <v/>
      </c>
      <c r="AF2995" s="713" t="str">
        <f t="shared" si="2288"/>
        <v/>
      </c>
      <c r="AG2995" s="713"/>
      <c r="AH2995" s="713"/>
      <c r="AI2995" s="112">
        <f>IF(H2995="credit",0,IF(AE2995="free",0,IF(AE2995="me",0,IF(G2995&gt;0,(VLOOKUP(A2995,'Discount Lookup'!J:K,2)*G2995),0))))</f>
        <v>0</v>
      </c>
      <c r="AJ2995" s="107" t="str">
        <f t="shared" ca="1" si="2289"/>
        <v/>
      </c>
      <c r="AK2995" s="714" t="str">
        <f t="shared" si="2290"/>
        <v/>
      </c>
      <c r="AL2995" s="714"/>
      <c r="AM2995" s="114" t="str">
        <f t="shared" si="2291"/>
        <v/>
      </c>
      <c r="AN2995" s="115"/>
      <c r="AO2995" s="116"/>
      <c r="AP2995" s="116"/>
      <c r="AQ2995" s="116"/>
      <c r="AR2995" s="116"/>
      <c r="AS2995" s="116"/>
      <c r="AT2995" s="116"/>
      <c r="AU2995" s="116"/>
      <c r="AV2995" s="78"/>
      <c r="AW2995" s="102"/>
      <c r="AX2995" s="78"/>
      <c r="AY2995" s="78"/>
      <c r="AZ2995" s="78"/>
      <c r="BA2995" s="78"/>
      <c r="BB2995" s="78"/>
      <c r="BC2995" s="78"/>
      <c r="BD2995" s="78"/>
      <c r="BE2995" s="465"/>
      <c r="BF2995" s="165" t="str">
        <f t="shared" si="2292"/>
        <v>https://www.google.com/search?tbm=isch&amp;q=Metasequoia%20%27WAH-08AG%27%20PP%2329472%20Amber%20Glow%E2%84%A2%20Dawn%20Redwood</v>
      </c>
      <c r="BG2995" s="165" t="str">
        <f t="shared" si="2293"/>
        <v>M</v>
      </c>
      <c r="BH2995" s="65"/>
      <c r="BI2995" s="65"/>
      <c r="BJ2995" s="65"/>
      <c r="BK2995" s="65"/>
      <c r="BL2995" s="99"/>
      <c r="BM2995" s="99"/>
      <c r="BN2995" s="99"/>
    </row>
    <row r="2996" spans="1:66" s="51" customFormat="1" ht="27" x14ac:dyDescent="0.25">
      <c r="A2996" s="634">
        <v>7</v>
      </c>
      <c r="B2996" s="635" t="s">
        <v>291</v>
      </c>
      <c r="C2996" s="636" t="s">
        <v>3590</v>
      </c>
      <c r="D2996" s="637" t="s">
        <v>299</v>
      </c>
      <c r="E2996" s="638">
        <v>111.95</v>
      </c>
      <c r="F2996" s="639" t="s">
        <v>292</v>
      </c>
      <c r="G2996" s="484">
        <v>0</v>
      </c>
      <c r="H2996" s="691" t="str">
        <f>IF(G2996=0,"",IF(F2996="Buy",IF(G2996=1,"plant","plants"),IF(F2996&gt;0.01,"warranty","Error")))</f>
        <v/>
      </c>
      <c r="I2996" s="640">
        <f>IF(H2996="free",0,IF(H2996="credit",((E2996*(F2996))*G2996*-1),IF(F2996="Buy",(E2996*G2996),((E2996*(1-F2996))*G2996))))</f>
        <v>0</v>
      </c>
      <c r="J2996" s="640">
        <f>IF(H2996="warranty",0,(I2996*(_xlfn.SINGLE(SalesTaxPercentage))))</f>
        <v>0</v>
      </c>
      <c r="K2996" s="716">
        <f t="shared" ref="K2996" si="2309">I2996+J2996</f>
        <v>0</v>
      </c>
      <c r="L2996" s="716"/>
      <c r="M2996" s="689" t="str">
        <f ca="1">IF(AND(G2996&gt;0,E2996=0),"WARNING - no PRICE inserted",IF(H2996="free","FREE ~ no charge this plant",IF(H2996="credit",CONCATENATE("-$",ROUND(K2996*(1-_xlfn.SINGLE(T2GDiscount))*-1,2)," CREDIT after discount"),IF(_xlfn.SINGLE(T2GDiscount)=0,"",IF(G2996=0,"",IF(F2996="Buy",CONCATENATE("$",ROUND(K2996*(1-_xlfn.SINGLE(T2GDiscount)),2)," with ",(_xlfn.SINGLE(T2GDiscount)*100),"% discount"),CONCATENATE("$",ROUND(K2996*(1-_xlfn.SINGLE(T2GDiscount)),2)," with ",((_xlfn.SINGLE(T2GDiscount)*100+F2996*100)-(_xlfn.SINGLE(T2GDiscount)*100*F2996)),IF(F2996&gt;0,"% discounts",IF(_xlfn.SINGLE(NoWarrantyDiscount)&gt;0,"% discounts","% discount")))))))))</f>
        <v/>
      </c>
      <c r="N2996" s="690"/>
      <c r="O2996" s="486"/>
      <c r="P2996" s="486"/>
      <c r="Q2996" s="486"/>
      <c r="R2996" s="486"/>
      <c r="S2996" s="486"/>
      <c r="T2996" s="102">
        <f t="shared" si="2281"/>
        <v>0</v>
      </c>
      <c r="U2996" s="78">
        <f>IF(NOT(ISNUMBER(G2996)), "", VLOOKUP(A2996,'Discount Lookup'!D:E,2,FALSE)*G2996)</f>
        <v>0</v>
      </c>
      <c r="V2996" s="78">
        <f>IF(NOT(ISNUMBER(G2996)), "", VLOOKUP(A2996,'Discount Lookup'!G:H,2,FALSE)*G2996)</f>
        <v>0</v>
      </c>
      <c r="W2996" s="102">
        <f t="shared" si="2282"/>
        <v>0</v>
      </c>
      <c r="X2996" s="102">
        <f t="shared" si="2283"/>
        <v>0</v>
      </c>
      <c r="Y2996" s="120" t="b">
        <f t="shared" si="2284"/>
        <v>0</v>
      </c>
      <c r="Z2996" s="117">
        <f t="shared" si="2285"/>
        <v>0</v>
      </c>
      <c r="AA2996" s="118"/>
      <c r="AB2996" s="118" t="str">
        <f t="shared" si="2286"/>
        <v/>
      </c>
      <c r="AC2996" s="712" t="str">
        <f>IF(AE2996="T2G","no charge",IF(AND(OR(PlanterYesMe="No",PlanterYesMe="N",PlanterYesMe="me"),H2996=""),"",IF(H2996="credit","NO install",IF(AND(K2996="",AE2996="me"),"EACH row",IF(AND(K2996="images",AE2996="me"),"EACH row",IF(D2996="","",IF(H2996="credit","",IF(AE2996="free","re-planting",IF(AE2996="me","   not ELP, by",IF(AND(OR(PlanterYesMe="Yes",PlanterYesMe="Y"),G2996&gt;0),(VLOOKUP(A2996,'Discount Lookup'!J:K,2)*G2996*(1-PlanterDiscount)*(1+PlanterDifficultyPercentage)),IF(AE2996="ELP",(VLOOKUP(A2996,'Discount Lookup'!J:K,2)*G2996*(1-PlanterDiscount)*(1+PlanterDifficultyPercentage)),IF(AE2996="free","re-planting",IF(G2996=0,"",IF(PlanterYesMe="",IF(AE2996="me","   not ELP, by",IF(AE2996="",IF(G2996&gt;0,(VLOOKUP(A2996,'Discount Lookup'!J:K,2)*G2996*(1-PlanterDiscount)*(1+PlanterDifficultyPercentage)),""),"")),"   not ELP, by"))))))))))))))</f>
        <v/>
      </c>
      <c r="AD2996" s="712"/>
      <c r="AE2996" s="513" t="str">
        <f t="shared" si="2287"/>
        <v/>
      </c>
      <c r="AF2996" s="713" t="str">
        <f t="shared" si="2288"/>
        <v/>
      </c>
      <c r="AG2996" s="713"/>
      <c r="AH2996" s="713"/>
      <c r="AI2996" s="112">
        <f>IF(H2996="credit",0,IF(AE2996="free",0,IF(AE2996="me",0,IF(G2996&gt;0,(VLOOKUP(A2996,'Discount Lookup'!J:K,2)*G2996),0))))</f>
        <v>0</v>
      </c>
      <c r="AJ2996" s="107" t="str">
        <f t="shared" ca="1" si="2289"/>
        <v/>
      </c>
      <c r="AK2996" s="714" t="str">
        <f t="shared" si="2290"/>
        <v/>
      </c>
      <c r="AL2996" s="714"/>
      <c r="AM2996" s="114" t="str">
        <f t="shared" si="2291"/>
        <v/>
      </c>
      <c r="AN2996" s="115"/>
      <c r="AO2996" s="116"/>
      <c r="AP2996" s="116"/>
      <c r="AQ2996" s="116"/>
      <c r="AR2996" s="116"/>
      <c r="AS2996" s="116"/>
      <c r="AT2996" s="116"/>
      <c r="AU2996" s="116"/>
      <c r="AV2996" s="78"/>
      <c r="AW2996" s="102"/>
      <c r="AX2996" s="78"/>
      <c r="AY2996" s="78"/>
      <c r="AZ2996" s="78"/>
      <c r="BA2996" s="78"/>
      <c r="BB2996" s="78"/>
      <c r="BC2996" s="78"/>
      <c r="BD2996" s="78"/>
      <c r="BE2996" s="465"/>
      <c r="BF2996" s="165" t="str">
        <f t="shared" si="2292"/>
        <v>https://www.google.com/search?tbm=isch&amp;q=7%20G4</v>
      </c>
      <c r="BG2996" s="165" t="str">
        <f t="shared" si="2293"/>
        <v>M</v>
      </c>
      <c r="BH2996" s="65"/>
      <c r="BI2996" s="65"/>
      <c r="BJ2996" s="65"/>
      <c r="BK2996" s="65"/>
      <c r="BL2996" s="99"/>
      <c r="BM2996" s="99"/>
      <c r="BN2996" s="99"/>
    </row>
    <row r="2997" spans="1:66" s="51" customFormat="1" ht="15.75" x14ac:dyDescent="0.25">
      <c r="A2997" s="634">
        <v>15</v>
      </c>
      <c r="B2997" s="635" t="s">
        <v>291</v>
      </c>
      <c r="C2997" s="636" t="s">
        <v>3591</v>
      </c>
      <c r="D2997" s="637" t="s">
        <v>311</v>
      </c>
      <c r="E2997" s="638">
        <v>183.95</v>
      </c>
      <c r="F2997" s="639" t="s">
        <v>292</v>
      </c>
      <c r="G2997" s="484">
        <v>0</v>
      </c>
      <c r="H2997" s="691" t="str">
        <f>IF(G2997=0,"",IF(F2997="Buy",IF(G2997=1,"plant","plants"),IF(F2997&gt;0.01,"warranty","Error")))</f>
        <v/>
      </c>
      <c r="I2997" s="640">
        <f>IF(H2997="free",0,IF(H2997="credit",((E2997*(F2997))*G2997*-1),IF(F2997="Buy",(E2997*G2997),((E2997*(1-F2997))*G2997))))</f>
        <v>0</v>
      </c>
      <c r="J2997" s="640">
        <f>IF(H2997="warranty",0,(I2997*(_xlfn.SINGLE(SalesTaxPercentage))))</f>
        <v>0</v>
      </c>
      <c r="K2997" s="716">
        <f t="shared" ref="K2997" si="2310">I2997+J2997</f>
        <v>0</v>
      </c>
      <c r="L2997" s="716"/>
      <c r="M2997" s="689" t="str">
        <f ca="1">IF(AND(G2997&gt;0,E2997=0),"WARNING - no PRICE inserted",IF(H2997="free","FREE ~ no charge this plant",IF(H2997="credit",CONCATENATE("-$",ROUND(K2997*(1-_xlfn.SINGLE(T2GDiscount))*-1,2)," CREDIT after discount"),IF(_xlfn.SINGLE(T2GDiscount)=0,"",IF(G2997=0,"",IF(F2997="Buy",CONCATENATE("$",ROUND(K2997*(1-_xlfn.SINGLE(T2GDiscount)),2)," with ",(_xlfn.SINGLE(T2GDiscount)*100),"% discount"),CONCATENATE("$",ROUND(K2997*(1-_xlfn.SINGLE(T2GDiscount)),2)," with ",((_xlfn.SINGLE(T2GDiscount)*100+F2997*100)-(_xlfn.SINGLE(T2GDiscount)*100*F2997)),IF(F2997&gt;0,"% discounts",IF(_xlfn.SINGLE(NoWarrantyDiscount)&gt;0,"% discounts","% discount")))))))))</f>
        <v/>
      </c>
      <c r="N2997" s="690"/>
      <c r="O2997" s="486"/>
      <c r="P2997" s="486"/>
      <c r="Q2997" s="486"/>
      <c r="R2997" s="486"/>
      <c r="S2997" s="486"/>
      <c r="T2997" s="102">
        <f t="shared" si="2281"/>
        <v>0</v>
      </c>
      <c r="U2997" s="78">
        <f>IF(NOT(ISNUMBER(G2997)), "", VLOOKUP(A2997,'Discount Lookup'!D:E,2,FALSE)*G2997)</f>
        <v>0</v>
      </c>
      <c r="V2997" s="78">
        <f>IF(NOT(ISNUMBER(G2997)), "", VLOOKUP(A2997,'Discount Lookup'!G:H,2,FALSE)*G2997)</f>
        <v>0</v>
      </c>
      <c r="W2997" s="102">
        <f t="shared" si="2282"/>
        <v>0</v>
      </c>
      <c r="X2997" s="102">
        <f t="shared" si="2283"/>
        <v>0</v>
      </c>
      <c r="Y2997" s="120" t="b">
        <f t="shared" si="2284"/>
        <v>0</v>
      </c>
      <c r="Z2997" s="117">
        <f t="shared" si="2285"/>
        <v>0</v>
      </c>
      <c r="AA2997" s="118"/>
      <c r="AB2997" s="118" t="str">
        <f t="shared" si="2286"/>
        <v/>
      </c>
      <c r="AC2997" s="712" t="str">
        <f>IF(AE2997="T2G","no charge",IF(AND(OR(PlanterYesMe="No",PlanterYesMe="N",PlanterYesMe="me"),H2997=""),"",IF(H2997="credit","NO install",IF(AND(K2997="",AE2997="me"),"EACH row",IF(AND(K2997="images",AE2997="me"),"EACH row",IF(D2997="","",IF(H2997="credit","",IF(AE2997="free","re-planting",IF(AE2997="me","   not ELP, by",IF(AND(OR(PlanterYesMe="Yes",PlanterYesMe="Y"),G2997&gt;0),(VLOOKUP(A2997,'Discount Lookup'!J:K,2)*G2997*(1-PlanterDiscount)*(1+PlanterDifficultyPercentage)),IF(AE2997="ELP",(VLOOKUP(A2997,'Discount Lookup'!J:K,2)*G2997*(1-PlanterDiscount)*(1+PlanterDifficultyPercentage)),IF(AE2997="free","re-planting",IF(G2997=0,"",IF(PlanterYesMe="",IF(AE2997="me","   not ELP, by",IF(AE2997="",IF(G2997&gt;0,(VLOOKUP(A2997,'Discount Lookup'!J:K,2)*G2997*(1-PlanterDiscount)*(1+PlanterDifficultyPercentage)),""),"")),"   not ELP, by"))))))))))))))</f>
        <v/>
      </c>
      <c r="AD2997" s="712"/>
      <c r="AE2997" s="513" t="str">
        <f t="shared" si="2287"/>
        <v/>
      </c>
      <c r="AF2997" s="713" t="str">
        <f t="shared" si="2288"/>
        <v/>
      </c>
      <c r="AG2997" s="713"/>
      <c r="AH2997" s="713"/>
      <c r="AI2997" s="112">
        <f>IF(H2997="credit",0,IF(AE2997="free",0,IF(AE2997="me",0,IF(G2997&gt;0,(VLOOKUP(A2997,'Discount Lookup'!J:K,2)*G2997),0))))</f>
        <v>0</v>
      </c>
      <c r="AJ2997" s="107" t="str">
        <f t="shared" ca="1" si="2289"/>
        <v/>
      </c>
      <c r="AK2997" s="714" t="str">
        <f t="shared" si="2290"/>
        <v/>
      </c>
      <c r="AL2997" s="714"/>
      <c r="AM2997" s="114" t="str">
        <f t="shared" si="2291"/>
        <v/>
      </c>
      <c r="AN2997" s="115"/>
      <c r="AO2997" s="116"/>
      <c r="AP2997" s="116"/>
      <c r="AQ2997" s="116"/>
      <c r="AR2997" s="116"/>
      <c r="AS2997" s="116"/>
      <c r="AT2997" s="116"/>
      <c r="AU2997" s="116"/>
      <c r="AV2997" s="78"/>
      <c r="AW2997" s="102"/>
      <c r="AX2997" s="78"/>
      <c r="AY2997" s="78"/>
      <c r="AZ2997" s="78"/>
      <c r="BA2997" s="78"/>
      <c r="BB2997" s="78"/>
      <c r="BC2997" s="78"/>
      <c r="BD2997" s="78"/>
      <c r="BE2997" s="465"/>
      <c r="BF2997" s="165" t="str">
        <f t="shared" si="2292"/>
        <v>https://www.google.com/search?tbm=isch&amp;q=15%20G5</v>
      </c>
      <c r="BG2997" s="165" t="str">
        <f t="shared" si="2293"/>
        <v>M</v>
      </c>
      <c r="BH2997" s="65"/>
      <c r="BI2997" s="65"/>
      <c r="BJ2997" s="65"/>
      <c r="BK2997" s="65"/>
      <c r="BL2997" s="99"/>
      <c r="BM2997" s="99"/>
      <c r="BN2997" s="99"/>
    </row>
    <row r="2998" spans="1:66" s="51" customFormat="1" ht="15.75" x14ac:dyDescent="0.25">
      <c r="A2998" s="634">
        <v>15</v>
      </c>
      <c r="B2998" s="635" t="s">
        <v>291</v>
      </c>
      <c r="C2998" s="636" t="s">
        <v>3592</v>
      </c>
      <c r="D2998" s="637" t="s">
        <v>299</v>
      </c>
      <c r="E2998" s="638">
        <v>187.95</v>
      </c>
      <c r="F2998" s="639" t="s">
        <v>292</v>
      </c>
      <c r="G2998" s="484">
        <v>0</v>
      </c>
      <c r="H2998" s="691" t="str">
        <f>IF(G2998=0,"",IF(F2998="Buy",IF(G2998=1,"plant","plants"),IF(F2998&gt;0.01,"warranty","Error")))</f>
        <v/>
      </c>
      <c r="I2998" s="640">
        <f>IF(H2998="free",0,IF(H2998="credit",((E2998*(F2998))*G2998*-1),IF(F2998="Buy",(E2998*G2998),((E2998*(1-F2998))*G2998))))</f>
        <v>0</v>
      </c>
      <c r="J2998" s="640">
        <f>IF(H2998="warranty",0,(I2998*(_xlfn.SINGLE(SalesTaxPercentage))))</f>
        <v>0</v>
      </c>
      <c r="K2998" s="716">
        <f t="shared" ref="K2998" si="2311">I2998+J2998</f>
        <v>0</v>
      </c>
      <c r="L2998" s="716"/>
      <c r="M2998" s="689" t="str">
        <f ca="1">IF(AND(G2998&gt;0,E2998=0),"WARNING - no PRICE inserted",IF(H2998="free","FREE ~ no charge this plant",IF(H2998="credit",CONCATENATE("-$",ROUND(K2998*(1-_xlfn.SINGLE(T2GDiscount))*-1,2)," CREDIT after discount"),IF(_xlfn.SINGLE(T2GDiscount)=0,"",IF(G2998=0,"",IF(F2998="Buy",CONCATENATE("$",ROUND(K2998*(1-_xlfn.SINGLE(T2GDiscount)),2)," with ",(_xlfn.SINGLE(T2GDiscount)*100),"% discount"),CONCATENATE("$",ROUND(K2998*(1-_xlfn.SINGLE(T2GDiscount)),2)," with ",((_xlfn.SINGLE(T2GDiscount)*100+F2998*100)-(_xlfn.SINGLE(T2GDiscount)*100*F2998)),IF(F2998&gt;0,"% discounts",IF(_xlfn.SINGLE(NoWarrantyDiscount)&gt;0,"% discounts","% discount")))))))))</f>
        <v/>
      </c>
      <c r="N2998" s="690"/>
      <c r="O2998" s="486"/>
      <c r="P2998" s="486"/>
      <c r="Q2998" s="486"/>
      <c r="R2998" s="486"/>
      <c r="S2998" s="486"/>
      <c r="T2998" s="102">
        <f t="shared" si="2281"/>
        <v>0</v>
      </c>
      <c r="U2998" s="78">
        <f>IF(NOT(ISNUMBER(G2998)), "", VLOOKUP(A2998,'Discount Lookup'!D:E,2,FALSE)*G2998)</f>
        <v>0</v>
      </c>
      <c r="V2998" s="78">
        <f>IF(NOT(ISNUMBER(G2998)), "", VLOOKUP(A2998,'Discount Lookup'!G:H,2,FALSE)*G2998)</f>
        <v>0</v>
      </c>
      <c r="W2998" s="102">
        <f t="shared" si="2282"/>
        <v>0</v>
      </c>
      <c r="X2998" s="102">
        <f t="shared" si="2283"/>
        <v>0</v>
      </c>
      <c r="Y2998" s="120" t="b">
        <f t="shared" si="2284"/>
        <v>0</v>
      </c>
      <c r="Z2998" s="117">
        <f t="shared" si="2285"/>
        <v>0</v>
      </c>
      <c r="AA2998" s="118"/>
      <c r="AB2998" s="118" t="str">
        <f t="shared" si="2286"/>
        <v/>
      </c>
      <c r="AC2998" s="712" t="str">
        <f>IF(AE2998="T2G","no charge",IF(AND(OR(PlanterYesMe="No",PlanterYesMe="N",PlanterYesMe="me"),H2998=""),"",IF(H2998="credit","NO install",IF(AND(K2998="",AE2998="me"),"EACH row",IF(AND(K2998="images",AE2998="me"),"EACH row",IF(D2998="","",IF(H2998="credit","",IF(AE2998="free","re-planting",IF(AE2998="me","   not ELP, by",IF(AND(OR(PlanterYesMe="Yes",PlanterYesMe="Y"),G2998&gt;0),(VLOOKUP(A2998,'Discount Lookup'!J:K,2)*G2998*(1-PlanterDiscount)*(1+PlanterDifficultyPercentage)),IF(AE2998="ELP",(VLOOKUP(A2998,'Discount Lookup'!J:K,2)*G2998*(1-PlanterDiscount)*(1+PlanterDifficultyPercentage)),IF(AE2998="free","re-planting",IF(G2998=0,"",IF(PlanterYesMe="",IF(AE2998="me","   not ELP, by",IF(AE2998="",IF(G2998&gt;0,(VLOOKUP(A2998,'Discount Lookup'!J:K,2)*G2998*(1-PlanterDiscount)*(1+PlanterDifficultyPercentage)),""),"")),"   not ELP, by"))))))))))))))</f>
        <v/>
      </c>
      <c r="AD2998" s="712"/>
      <c r="AE2998" s="513" t="str">
        <f t="shared" si="2287"/>
        <v/>
      </c>
      <c r="AF2998" s="713" t="str">
        <f t="shared" si="2288"/>
        <v/>
      </c>
      <c r="AG2998" s="713"/>
      <c r="AH2998" s="713"/>
      <c r="AI2998" s="112">
        <f>IF(H2998="credit",0,IF(AE2998="free",0,IF(AE2998="me",0,IF(G2998&gt;0,(VLOOKUP(A2998,'Discount Lookup'!J:K,2)*G2998),0))))</f>
        <v>0</v>
      </c>
      <c r="AJ2998" s="107" t="str">
        <f t="shared" ca="1" si="2289"/>
        <v/>
      </c>
      <c r="AK2998" s="714" t="str">
        <f t="shared" si="2290"/>
        <v/>
      </c>
      <c r="AL2998" s="714"/>
      <c r="AM2998" s="114" t="str">
        <f t="shared" si="2291"/>
        <v/>
      </c>
      <c r="AN2998" s="115"/>
      <c r="AO2998" s="116"/>
      <c r="AP2998" s="116"/>
      <c r="AQ2998" s="116"/>
      <c r="AR2998" s="116"/>
      <c r="AS2998" s="116"/>
      <c r="AT2998" s="116"/>
      <c r="AU2998" s="116"/>
      <c r="AV2998" s="78"/>
      <c r="AW2998" s="102"/>
      <c r="AX2998" s="78"/>
      <c r="AY2998" s="78"/>
      <c r="AZ2998" s="78"/>
      <c r="BA2998" s="78"/>
      <c r="BB2998" s="78"/>
      <c r="BC2998" s="78"/>
      <c r="BD2998" s="78"/>
      <c r="BE2998" s="465"/>
      <c r="BF2998" s="165" t="str">
        <f t="shared" si="2292"/>
        <v>https://www.google.com/search?tbm=isch&amp;q=15%20G4</v>
      </c>
      <c r="BG2998" s="165" t="str">
        <f t="shared" si="2293"/>
        <v>M</v>
      </c>
      <c r="BH2998" s="65"/>
      <c r="BI2998" s="65"/>
      <c r="BJ2998" s="65"/>
      <c r="BK2998" s="65"/>
      <c r="BL2998" s="99"/>
      <c r="BM2998" s="99"/>
      <c r="BN2998" s="99"/>
    </row>
    <row r="2999" spans="1:66" s="51" customFormat="1" ht="15.75" x14ac:dyDescent="0.25">
      <c r="A2999" s="634">
        <v>15</v>
      </c>
      <c r="B2999" s="635" t="s">
        <v>291</v>
      </c>
      <c r="C2999" s="636" t="s">
        <v>4640</v>
      </c>
      <c r="D2999" s="637" t="s">
        <v>293</v>
      </c>
      <c r="E2999" s="638">
        <v>189.95</v>
      </c>
      <c r="F2999" s="639" t="s">
        <v>292</v>
      </c>
      <c r="G2999" s="484">
        <v>0</v>
      </c>
      <c r="H2999" s="691" t="str">
        <f>IF(G2999=0,"",IF(F2999="Buy",IF(G2999=1,"plant","plants"),IF(F2999&gt;0.01,"warranty","Error")))</f>
        <v/>
      </c>
      <c r="I2999" s="640">
        <f>IF(H2999="free",0,IF(H2999="credit",((E2999*(F2999))*G2999*-1),IF(F2999="Buy",(E2999*G2999),((E2999*(1-F2999))*G2999))))</f>
        <v>0</v>
      </c>
      <c r="J2999" s="640">
        <f>IF(H2999="warranty",0,(I2999*(_xlfn.SINGLE(SalesTaxPercentage))))</f>
        <v>0</v>
      </c>
      <c r="K2999" s="716">
        <f t="shared" ref="K2999" si="2312">I2999+J2999</f>
        <v>0</v>
      </c>
      <c r="L2999" s="716"/>
      <c r="M2999" s="689" t="str">
        <f ca="1">IF(AND(G2999&gt;0,E2999=0),"WARNING - no PRICE inserted",IF(H2999="free","FREE ~ no charge this plant",IF(H2999="credit",CONCATENATE("-$",ROUND(K2999*(1-_xlfn.SINGLE(T2GDiscount))*-1,2)," CREDIT after discount"),IF(_xlfn.SINGLE(T2GDiscount)=0,"",IF(G2999=0,"",IF(F2999="Buy",CONCATENATE("$",ROUND(K2999*(1-_xlfn.SINGLE(T2GDiscount)),2)," with ",(_xlfn.SINGLE(T2GDiscount)*100),"% discount"),CONCATENATE("$",ROUND(K2999*(1-_xlfn.SINGLE(T2GDiscount)),2)," with ",((_xlfn.SINGLE(T2GDiscount)*100+F2999*100)-(_xlfn.SINGLE(T2GDiscount)*100*F2999)),IF(F2999&gt;0,"% discounts",IF(_xlfn.SINGLE(NoWarrantyDiscount)&gt;0,"% discounts","% discount")))))))))</f>
        <v/>
      </c>
      <c r="N2999" s="690"/>
      <c r="O2999" s="486"/>
      <c r="P2999" s="486"/>
      <c r="Q2999" s="486"/>
      <c r="R2999" s="486"/>
      <c r="S2999" s="486"/>
      <c r="T2999" s="102">
        <f t="shared" si="2281"/>
        <v>0</v>
      </c>
      <c r="U2999" s="78">
        <f>IF(NOT(ISNUMBER(G2999)), "", VLOOKUP(A2999,'Discount Lookup'!D:E,2,FALSE)*G2999)</f>
        <v>0</v>
      </c>
      <c r="V2999" s="78">
        <f>IF(NOT(ISNUMBER(G2999)), "", VLOOKUP(A2999,'Discount Lookup'!G:H,2,FALSE)*G2999)</f>
        <v>0</v>
      </c>
      <c r="W2999" s="102">
        <f t="shared" si="2282"/>
        <v>0</v>
      </c>
      <c r="X2999" s="102">
        <f t="shared" si="2283"/>
        <v>0</v>
      </c>
      <c r="Y2999" s="120" t="b">
        <f t="shared" si="2284"/>
        <v>0</v>
      </c>
      <c r="Z2999" s="117">
        <f t="shared" si="2285"/>
        <v>0</v>
      </c>
      <c r="AA2999" s="118"/>
      <c r="AB2999" s="118" t="str">
        <f t="shared" si="2286"/>
        <v/>
      </c>
      <c r="AC2999" s="712" t="str">
        <f>IF(AE2999="T2G","no charge",IF(AND(OR(PlanterYesMe="No",PlanterYesMe="N",PlanterYesMe="me"),H2999=""),"",IF(H2999="credit","NO install",IF(AND(K2999="",AE2999="me"),"EACH row",IF(AND(K2999="images",AE2999="me"),"EACH row",IF(D2999="","",IF(H2999="credit","",IF(AE2999="free","re-planting",IF(AE2999="me","   not ELP, by",IF(AND(OR(PlanterYesMe="Yes",PlanterYesMe="Y"),G2999&gt;0),(VLOOKUP(A2999,'Discount Lookup'!J:K,2)*G2999*(1-PlanterDiscount)*(1+PlanterDifficultyPercentage)),IF(AE2999="ELP",(VLOOKUP(A2999,'Discount Lookup'!J:K,2)*G2999*(1-PlanterDiscount)*(1+PlanterDifficultyPercentage)),IF(AE2999="free","re-planting",IF(G2999=0,"",IF(PlanterYesMe="",IF(AE2999="me","   not ELP, by",IF(AE2999="",IF(G2999&gt;0,(VLOOKUP(A2999,'Discount Lookup'!J:K,2)*G2999*(1-PlanterDiscount)*(1+PlanterDifficultyPercentage)),""),"")),"   not ELP, by"))))))))))))))</f>
        <v/>
      </c>
      <c r="AD2999" s="712"/>
      <c r="AE2999" s="513" t="str">
        <f t="shared" si="2287"/>
        <v/>
      </c>
      <c r="AF2999" s="713" t="str">
        <f t="shared" si="2288"/>
        <v/>
      </c>
      <c r="AG2999" s="713"/>
      <c r="AH2999" s="713"/>
      <c r="AI2999" s="112">
        <f>IF(H2999="credit",0,IF(AE2999="free",0,IF(AE2999="me",0,IF(G2999&gt;0,(VLOOKUP(A2999,'Discount Lookup'!J:K,2)*G2999),0))))</f>
        <v>0</v>
      </c>
      <c r="AJ2999" s="107" t="str">
        <f t="shared" ca="1" si="2289"/>
        <v/>
      </c>
      <c r="AK2999" s="714" t="str">
        <f t="shared" si="2290"/>
        <v/>
      </c>
      <c r="AL2999" s="714"/>
      <c r="AM2999" s="114" t="str">
        <f t="shared" si="2291"/>
        <v/>
      </c>
      <c r="AN2999" s="115"/>
      <c r="AO2999" s="116"/>
      <c r="AP2999" s="116"/>
      <c r="AQ2999" s="116"/>
      <c r="AR2999" s="116"/>
      <c r="AS2999" s="116"/>
      <c r="AT2999" s="116"/>
      <c r="AU2999" s="116"/>
      <c r="AV2999" s="78"/>
      <c r="AW2999" s="102"/>
      <c r="AX2999" s="78"/>
      <c r="AY2999" s="78"/>
      <c r="AZ2999" s="78"/>
      <c r="BA2999" s="78"/>
      <c r="BB2999" s="78"/>
      <c r="BC2999" s="78"/>
      <c r="BD2999" s="78"/>
      <c r="BE2999" s="465"/>
      <c r="BF2999" s="165" t="str">
        <f t="shared" si="2292"/>
        <v>https://www.google.com/search?tbm=isch&amp;q=15%20G6</v>
      </c>
      <c r="BG2999" s="165" t="str">
        <f t="shared" si="2293"/>
        <v>M</v>
      </c>
      <c r="BH2999" s="65"/>
      <c r="BI2999" s="65"/>
      <c r="BJ2999" s="65"/>
      <c r="BK2999" s="65"/>
      <c r="BL2999" s="99"/>
      <c r="BM2999" s="99"/>
      <c r="BN2999" s="99"/>
    </row>
    <row r="3000" spans="1:66" s="51" customFormat="1" ht="15.75" x14ac:dyDescent="0.25">
      <c r="A3000" s="634">
        <v>30</v>
      </c>
      <c r="B3000" s="635" t="s">
        <v>291</v>
      </c>
      <c r="C3000" s="636" t="s">
        <v>3593</v>
      </c>
      <c r="D3000" s="637" t="s">
        <v>311</v>
      </c>
      <c r="E3000" s="638">
        <v>353.95</v>
      </c>
      <c r="F3000" s="639" t="s">
        <v>292</v>
      </c>
      <c r="G3000" s="484">
        <v>0</v>
      </c>
      <c r="H3000" s="691" t="str">
        <f>IF(G3000=0,"",IF(F3000="Buy",IF(G3000=1,"plant","plants"),IF(F3000&gt;0.01,"warranty","Error")))</f>
        <v/>
      </c>
      <c r="I3000" s="640">
        <f>IF(H3000="free",0,IF(H3000="credit",((E3000*(F3000))*G3000*-1),IF(F3000="Buy",(E3000*G3000),((E3000*(1-F3000))*G3000))))</f>
        <v>0</v>
      </c>
      <c r="J3000" s="640">
        <f>IF(H3000="warranty",0,(I3000*(_xlfn.SINGLE(SalesTaxPercentage))))</f>
        <v>0</v>
      </c>
      <c r="K3000" s="716">
        <f t="shared" ref="K3000" si="2313">I3000+J3000</f>
        <v>0</v>
      </c>
      <c r="L3000" s="716"/>
      <c r="M3000" s="689" t="str">
        <f ca="1">IF(AND(G3000&gt;0,E3000=0),"WARNING - no PRICE inserted",IF(H3000="free","FREE ~ no charge this plant",IF(H3000="credit",CONCATENATE("-$",ROUND(K3000*(1-_xlfn.SINGLE(T2GDiscount))*-1,2)," CREDIT after discount"),IF(_xlfn.SINGLE(T2GDiscount)=0,"",IF(G3000=0,"",IF(F3000="Buy",CONCATENATE("$",ROUND(K3000*(1-_xlfn.SINGLE(T2GDiscount)),2)," with ",(_xlfn.SINGLE(T2GDiscount)*100),"% discount"),CONCATENATE("$",ROUND(K3000*(1-_xlfn.SINGLE(T2GDiscount)),2)," with ",((_xlfn.SINGLE(T2GDiscount)*100+F3000*100)-(_xlfn.SINGLE(T2GDiscount)*100*F3000)),IF(F3000&gt;0,"% discounts",IF(_xlfn.SINGLE(NoWarrantyDiscount)&gt;0,"% discounts","% discount")))))))))</f>
        <v/>
      </c>
      <c r="N3000" s="690"/>
      <c r="O3000" s="486"/>
      <c r="P3000" s="486"/>
      <c r="Q3000" s="486"/>
      <c r="R3000" s="486"/>
      <c r="S3000" s="486"/>
      <c r="T3000" s="102">
        <f t="shared" si="2281"/>
        <v>0</v>
      </c>
      <c r="U3000" s="78">
        <f>IF(NOT(ISNUMBER(G3000)), "", VLOOKUP(A3000,'Discount Lookup'!D:E,2,FALSE)*G3000)</f>
        <v>0</v>
      </c>
      <c r="V3000" s="78">
        <f>IF(NOT(ISNUMBER(G3000)), "", VLOOKUP(A3000,'Discount Lookup'!G:H,2,FALSE)*G3000)</f>
        <v>0</v>
      </c>
      <c r="W3000" s="102">
        <f t="shared" si="2282"/>
        <v>0</v>
      </c>
      <c r="X3000" s="102">
        <f t="shared" si="2283"/>
        <v>0</v>
      </c>
      <c r="Y3000" s="120" t="b">
        <f t="shared" si="2284"/>
        <v>0</v>
      </c>
      <c r="Z3000" s="117">
        <f t="shared" si="2285"/>
        <v>0</v>
      </c>
      <c r="AA3000" s="118"/>
      <c r="AB3000" s="118" t="str">
        <f t="shared" si="2286"/>
        <v/>
      </c>
      <c r="AC3000" s="712" t="str">
        <f>IF(AE3000="T2G","no charge",IF(AND(OR(PlanterYesMe="No",PlanterYesMe="N",PlanterYesMe="me"),H3000=""),"",IF(H3000="credit","NO install",IF(AND(K3000="",AE3000="me"),"EACH row",IF(AND(K3000="images",AE3000="me"),"EACH row",IF(D3000="","",IF(H3000="credit","",IF(AE3000="free","re-planting",IF(AE3000="me","   not ELP, by",IF(AND(OR(PlanterYesMe="Yes",PlanterYesMe="Y"),G3000&gt;0),(VLOOKUP(A3000,'Discount Lookup'!J:K,2)*G3000*(1-PlanterDiscount)*(1+PlanterDifficultyPercentage)),IF(AE3000="ELP",(VLOOKUP(A3000,'Discount Lookup'!J:K,2)*G3000*(1-PlanterDiscount)*(1+PlanterDifficultyPercentage)),IF(AE3000="free","re-planting",IF(G3000=0,"",IF(PlanterYesMe="",IF(AE3000="me","   not ELP, by",IF(AE3000="",IF(G3000&gt;0,(VLOOKUP(A3000,'Discount Lookup'!J:K,2)*G3000*(1-PlanterDiscount)*(1+PlanterDifficultyPercentage)),""),"")),"   not ELP, by"))))))))))))))</f>
        <v/>
      </c>
      <c r="AD3000" s="712"/>
      <c r="AE3000" s="513" t="str">
        <f t="shared" si="2287"/>
        <v/>
      </c>
      <c r="AF3000" s="713" t="str">
        <f t="shared" si="2288"/>
        <v/>
      </c>
      <c r="AG3000" s="713"/>
      <c r="AH3000" s="713"/>
      <c r="AI3000" s="112">
        <f>IF(H3000="credit",0,IF(AE3000="free",0,IF(AE3000="me",0,IF(G3000&gt;0,(VLOOKUP(A3000,'Discount Lookup'!J:K,2)*G3000),0))))</f>
        <v>0</v>
      </c>
      <c r="AJ3000" s="107" t="str">
        <f t="shared" ca="1" si="2289"/>
        <v/>
      </c>
      <c r="AK3000" s="714" t="str">
        <f t="shared" si="2290"/>
        <v/>
      </c>
      <c r="AL3000" s="714"/>
      <c r="AM3000" s="114" t="str">
        <f t="shared" si="2291"/>
        <v/>
      </c>
      <c r="AN3000" s="115"/>
      <c r="AO3000" s="116"/>
      <c r="AP3000" s="116"/>
      <c r="AQ3000" s="116"/>
      <c r="AR3000" s="116"/>
      <c r="AS3000" s="116"/>
      <c r="AT3000" s="116"/>
      <c r="AU3000" s="116"/>
      <c r="AV3000" s="78"/>
      <c r="AW3000" s="102"/>
      <c r="AX3000" s="78"/>
      <c r="AY3000" s="78"/>
      <c r="AZ3000" s="78"/>
      <c r="BA3000" s="78"/>
      <c r="BB3000" s="78"/>
      <c r="BC3000" s="78"/>
      <c r="BD3000" s="78"/>
      <c r="BE3000" s="465"/>
      <c r="BF3000" s="165" t="str">
        <f t="shared" si="2292"/>
        <v>https://www.google.com/search?tbm=isch&amp;q=30%20G5</v>
      </c>
      <c r="BG3000" s="165" t="str">
        <f t="shared" si="2293"/>
        <v>M</v>
      </c>
      <c r="BH3000" s="65"/>
      <c r="BI3000" s="65"/>
      <c r="BJ3000" s="65"/>
      <c r="BK3000" s="65"/>
      <c r="BL3000" s="99"/>
      <c r="BM3000" s="99"/>
      <c r="BN3000" s="99"/>
    </row>
    <row r="3001" spans="1:66" s="51" customFormat="1" ht="16.5" x14ac:dyDescent="0.25">
      <c r="A3001" s="704" t="s">
        <v>5488</v>
      </c>
      <c r="B3001" s="642"/>
      <c r="C3001" s="710"/>
      <c r="D3001" s="643"/>
      <c r="E3001" s="643"/>
      <c r="F3001" s="644"/>
      <c r="G3001" s="645"/>
      <c r="H3001" s="646"/>
      <c r="I3001" s="647"/>
      <c r="J3001" s="648"/>
      <c r="K3001" s="649"/>
      <c r="L3001" s="650"/>
      <c r="M3001" s="650"/>
      <c r="N3001" s="644"/>
      <c r="O3001" s="644"/>
      <c r="P3001" s="644"/>
      <c r="Q3001" s="644"/>
      <c r="R3001" s="644"/>
      <c r="S3001" s="651"/>
      <c r="T3001" s="102">
        <f t="shared" si="2281"/>
        <v>0</v>
      </c>
      <c r="U3001" s="78" t="str">
        <f>IF(NOT(ISNUMBER(G3001)), "", VLOOKUP(A3001,'Discount Lookup'!D:E,2,FALSE)*G3001)</f>
        <v/>
      </c>
      <c r="V3001" s="78" t="str">
        <f>IF(NOT(ISNUMBER(G3001)), "", VLOOKUP(A3001,'Discount Lookup'!G:H,2,FALSE)*G3001)</f>
        <v/>
      </c>
      <c r="W3001" s="102">
        <f t="shared" si="2282"/>
        <v>0</v>
      </c>
      <c r="X3001" s="102">
        <f t="shared" si="2283"/>
        <v>0</v>
      </c>
      <c r="Y3001" s="120" t="b">
        <f t="shared" si="2284"/>
        <v>0</v>
      </c>
      <c r="Z3001" s="117">
        <f t="shared" si="2285"/>
        <v>0</v>
      </c>
      <c r="AA3001" s="118"/>
      <c r="AB3001" s="118" t="str">
        <f t="shared" si="2286"/>
        <v/>
      </c>
      <c r="AC3001" s="712" t="str">
        <f>IF(AE3001="T2G","no charge",IF(AND(OR(PlanterYesMe="No",PlanterYesMe="N",PlanterYesMe="me"),H3001=""),"",IF(H3001="credit","NO install",IF(AND(K3001="",AE3001="me"),"EACH row",IF(AND(K3001="images",AE3001="me"),"EACH row",IF(D3001="","",IF(H3001="credit","",IF(AE3001="free","re-planting",IF(AE3001="me","   not ELP, by",IF(AND(OR(PlanterYesMe="Yes",PlanterYesMe="Y"),G3001&gt;0),(VLOOKUP(A3001,'Discount Lookup'!J:K,2)*G3001*(1-PlanterDiscount)*(1+PlanterDifficultyPercentage)),IF(AE3001="ELP",(VLOOKUP(A3001,'Discount Lookup'!J:K,2)*G3001*(1-PlanterDiscount)*(1+PlanterDifficultyPercentage)),IF(AE3001="free","re-planting",IF(G3001=0,"",IF(PlanterYesMe="",IF(AE3001="me","   not ELP, by",IF(AE3001="",IF(G3001&gt;0,(VLOOKUP(A3001,'Discount Lookup'!J:K,2)*G3001*(1-PlanterDiscount)*(1+PlanterDifficultyPercentage)),""),"")),"   not ELP, by"))))))))))))))</f>
        <v/>
      </c>
      <c r="AD3001" s="712"/>
      <c r="AE3001" s="513" t="str">
        <f t="shared" si="2287"/>
        <v/>
      </c>
      <c r="AF3001" s="713" t="str">
        <f t="shared" si="2288"/>
        <v/>
      </c>
      <c r="AG3001" s="713"/>
      <c r="AH3001" s="713"/>
      <c r="AI3001" s="112">
        <f>IF(H3001="credit",0,IF(AE3001="free",0,IF(AE3001="me",0,IF(G3001&gt;0,(VLOOKUP(A3001,'Discount Lookup'!J:K,2)*G3001),0))))</f>
        <v>0</v>
      </c>
      <c r="AJ3001" s="107" t="str">
        <f t="shared" ca="1" si="2289"/>
        <v/>
      </c>
      <c r="AK3001" s="714" t="str">
        <f t="shared" si="2290"/>
        <v/>
      </c>
      <c r="AL3001" s="714"/>
      <c r="AM3001" s="114" t="str">
        <f t="shared" si="2291"/>
        <v/>
      </c>
      <c r="AN3001" s="115"/>
      <c r="AO3001" s="116"/>
      <c r="AP3001" s="116"/>
      <c r="AQ3001" s="116"/>
      <c r="AR3001" s="116"/>
      <c r="AS3001" s="116"/>
      <c r="AT3001" s="116"/>
      <c r="AU3001" s="116"/>
      <c r="AV3001" s="78"/>
      <c r="AW3001" s="102"/>
      <c r="AX3001" s="78"/>
      <c r="AY3001" s="78"/>
      <c r="AZ3001" s="78"/>
      <c r="BA3001" s="78"/>
      <c r="BB3001" s="78"/>
      <c r="BC3001" s="78"/>
      <c r="BD3001" s="78"/>
      <c r="BE3001" s="465"/>
      <c r="BF3001" s="165" t="str">
        <f t="shared" si="2292"/>
        <v>https://www.google.com/search?tbm=isch&amp;q=moist%20sites%F0%9F%92%A7GOOD%2C%20Amber%20Glow%20is%20a%20more%20compact%20size%20of%20Dawn%20Redwood%2C%20an%20endangered%20species.%20Named%20for%20it%27s%20stunning%20Amber%20fall%20foliage%20</v>
      </c>
      <c r="BG3001" s="165" t="str">
        <f t="shared" si="2293"/>
        <v>m</v>
      </c>
      <c r="BH3001" s="65"/>
      <c r="BI3001" s="65"/>
      <c r="BJ3001" s="65"/>
      <c r="BK3001" s="65"/>
      <c r="BL3001" s="99"/>
      <c r="BM3001" s="99"/>
      <c r="BN3001" s="99"/>
    </row>
    <row r="3002" spans="1:66" s="51" customFormat="1" ht="19.5" thickBot="1" x14ac:dyDescent="0.3">
      <c r="A3002" s="686" t="s">
        <v>621</v>
      </c>
      <c r="B3002" s="73"/>
      <c r="C3002" s="708"/>
      <c r="D3002" s="73"/>
      <c r="E3002" s="73"/>
      <c r="F3002" s="496"/>
      <c r="G3002" s="73"/>
      <c r="H3002" s="73"/>
      <c r="I3002" s="73"/>
      <c r="J3002" s="497" t="s">
        <v>357</v>
      </c>
      <c r="K3002" s="498"/>
      <c r="L3002" s="562"/>
      <c r="M3002" s="73"/>
      <c r="N3002"/>
      <c r="O3002"/>
      <c r="P3002"/>
      <c r="Q3002"/>
      <c r="R3002"/>
      <c r="S3002"/>
      <c r="T3002" s="102">
        <f t="shared" si="2281"/>
        <v>0</v>
      </c>
      <c r="U3002" s="78" t="str">
        <f>IF(NOT(ISNUMBER(G3002)), "", VLOOKUP(A3002,'Discount Lookup'!D:E,2,FALSE)*G3002)</f>
        <v/>
      </c>
      <c r="V3002" s="78" t="str">
        <f>IF(NOT(ISNUMBER(G3002)), "", VLOOKUP(A3002,'Discount Lookup'!G:H,2,FALSE)*G3002)</f>
        <v/>
      </c>
      <c r="W3002" s="102">
        <f t="shared" si="2282"/>
        <v>0</v>
      </c>
      <c r="X3002" s="102">
        <f t="shared" si="2283"/>
        <v>0</v>
      </c>
      <c r="Y3002" s="120" t="b">
        <f t="shared" si="2284"/>
        <v>0</v>
      </c>
      <c r="Z3002" s="117">
        <f t="shared" si="2285"/>
        <v>0</v>
      </c>
      <c r="AA3002" s="118"/>
      <c r="AB3002" s="118" t="str">
        <f t="shared" si="2286"/>
        <v/>
      </c>
      <c r="AC3002" s="712" t="str">
        <f>IF(AE3002="T2G","no charge",IF(AND(OR(PlanterYesMe="No",PlanterYesMe="N",PlanterYesMe="me"),H3002=""),"",IF(H3002="credit","NO install",IF(AND(K3002="",AE3002="me"),"EACH row",IF(AND(K3002="images",AE3002="me"),"EACH row",IF(D3002="","",IF(H3002="credit","",IF(AE3002="free","re-planting",IF(AE3002="me","   not ELP, by",IF(AND(OR(PlanterYesMe="Yes",PlanterYesMe="Y"),G3002&gt;0),(VLOOKUP(A3002,'Discount Lookup'!J:K,2)*G3002*(1-PlanterDiscount)*(1+PlanterDifficultyPercentage)),IF(AE3002="ELP",(VLOOKUP(A3002,'Discount Lookup'!J:K,2)*G3002*(1-PlanterDiscount)*(1+PlanterDifficultyPercentage)),IF(AE3002="free","re-planting",IF(G3002=0,"",IF(PlanterYesMe="",IF(AE3002="me","   not ELP, by",IF(AE3002="",IF(G3002&gt;0,(VLOOKUP(A3002,'Discount Lookup'!J:K,2)*G3002*(1-PlanterDiscount)*(1+PlanterDifficultyPercentage)),""),"")),"   not ELP, by"))))))))))))))</f>
        <v/>
      </c>
      <c r="AD3002" s="712"/>
      <c r="AE3002" s="513" t="str">
        <f t="shared" si="2287"/>
        <v/>
      </c>
      <c r="AF3002" s="713" t="str">
        <f t="shared" si="2288"/>
        <v/>
      </c>
      <c r="AG3002" s="713"/>
      <c r="AH3002" s="713"/>
      <c r="AI3002" s="112">
        <f>IF(H3002="credit",0,IF(AE3002="free",0,IF(AE3002="me",0,IF(G3002&gt;0,(VLOOKUP(A3002,'Discount Lookup'!J:K,2)*G3002),0))))</f>
        <v>0</v>
      </c>
      <c r="AJ3002" s="107" t="str">
        <f t="shared" ca="1" si="2289"/>
        <v/>
      </c>
      <c r="AK3002" s="714" t="str">
        <f t="shared" si="2290"/>
        <v/>
      </c>
      <c r="AL3002" s="714"/>
      <c r="AM3002" s="114" t="str">
        <f t="shared" si="2291"/>
        <v/>
      </c>
      <c r="AN3002" s="115"/>
      <c r="AO3002" s="116"/>
      <c r="AP3002" s="116"/>
      <c r="AQ3002" s="116"/>
      <c r="AR3002" s="116"/>
      <c r="AS3002" s="116"/>
      <c r="AT3002" s="116"/>
      <c r="AU3002" s="116"/>
      <c r="AV3002" s="78"/>
      <c r="AW3002" s="102"/>
      <c r="AX3002" s="78"/>
      <c r="AY3002" s="78"/>
      <c r="AZ3002" s="78"/>
      <c r="BA3002" s="78"/>
      <c r="BB3002" s="78"/>
      <c r="BC3002" s="78"/>
      <c r="BD3002" s="78"/>
      <c r="BE3002" s="465"/>
      <c r="BF3002" s="165" t="str">
        <f t="shared" si="2292"/>
        <v>https://www.google.com/search?tbm=isch&amp;q=Microbiota%20%3D%20Russian%20Arborvitae%20</v>
      </c>
      <c r="BG3002" s="165" t="str">
        <f t="shared" si="2293"/>
        <v>M</v>
      </c>
      <c r="BH3002" s="65"/>
      <c r="BI3002" s="65"/>
      <c r="BJ3002" s="65"/>
      <c r="BK3002" s="65"/>
      <c r="BL3002" s="99"/>
      <c r="BM3002" s="99"/>
      <c r="BN3002" s="99"/>
    </row>
    <row r="3003" spans="1:66" s="51" customFormat="1" ht="18" x14ac:dyDescent="0.25">
      <c r="A3003" s="507" t="s">
        <v>3594</v>
      </c>
      <c r="B3003" s="470"/>
      <c r="C3003" s="706"/>
      <c r="D3003" s="471" t="s">
        <v>3595</v>
      </c>
      <c r="E3003" s="472"/>
      <c r="F3003" s="472"/>
      <c r="G3003" s="472"/>
      <c r="H3003" s="622" t="s">
        <v>3596</v>
      </c>
      <c r="I3003" s="473" t="s">
        <v>433</v>
      </c>
      <c r="J3003" s="472"/>
      <c r="K3003" s="472"/>
      <c r="L3003" s="561"/>
      <c r="M3003" s="698" t="s">
        <v>5246</v>
      </c>
      <c r="N3003" s="692" t="str">
        <f>IF(AND(ISTEXT($A3003), ISERROR($A3003+0)), HYPERLINK($BF3003, "Images"), "")</f>
        <v>Images</v>
      </c>
      <c r="O3003" s="694" t="s">
        <v>5244</v>
      </c>
      <c r="P3003" s="475"/>
      <c r="Q3003" s="476"/>
      <c r="R3003" s="476"/>
      <c r="S3003" s="477"/>
      <c r="T3003" s="102">
        <f t="shared" si="2281"/>
        <v>0</v>
      </c>
      <c r="U3003" s="78" t="str">
        <f>IF(NOT(ISNUMBER(G3003)), "", VLOOKUP(A3003,'Discount Lookup'!D:E,2,FALSE)*G3003)</f>
        <v/>
      </c>
      <c r="V3003" s="78" t="str">
        <f>IF(NOT(ISNUMBER(G3003)), "", VLOOKUP(A3003,'Discount Lookup'!G:H,2,FALSE)*G3003)</f>
        <v/>
      </c>
      <c r="W3003" s="102">
        <f t="shared" si="2282"/>
        <v>0</v>
      </c>
      <c r="X3003" s="102" t="str">
        <f t="shared" si="2283"/>
        <v>Bright Green foliage</v>
      </c>
      <c r="Y3003" s="120" t="b">
        <f t="shared" si="2284"/>
        <v>0</v>
      </c>
      <c r="Z3003" s="117">
        <f t="shared" si="2285"/>
        <v>0</v>
      </c>
      <c r="AA3003" s="118"/>
      <c r="AB3003" s="118" t="str">
        <f t="shared" si="2286"/>
        <v/>
      </c>
      <c r="AC3003" s="712" t="str">
        <f>IF(AE3003="T2G","no charge",IF(AND(OR(PlanterYesMe="No",PlanterYesMe="N",PlanterYesMe="me"),H3003=""),"",IF(H3003="credit","NO install",IF(AND(K3003="",AE3003="me"),"EACH row",IF(AND(K3003="images",AE3003="me"),"EACH row",IF(D3003="","",IF(H3003="credit","",IF(AE3003="free","re-planting",IF(AE3003="me","   not ELP, by",IF(AND(OR(PlanterYesMe="Yes",PlanterYesMe="Y"),G3003&gt;0),(VLOOKUP(A3003,'Discount Lookup'!J:K,2)*G3003*(1-PlanterDiscount)*(1+PlanterDifficultyPercentage)),IF(AE3003="ELP",(VLOOKUP(A3003,'Discount Lookup'!J:K,2)*G3003*(1-PlanterDiscount)*(1+PlanterDifficultyPercentage)),IF(AE3003="free","re-planting",IF(G3003=0,"",IF(PlanterYesMe="",IF(AE3003="me","   not ELP, by",IF(AE3003="",IF(G3003&gt;0,(VLOOKUP(A3003,'Discount Lookup'!J:K,2)*G3003*(1-PlanterDiscount)*(1+PlanterDifficultyPercentage)),""),"")),"   not ELP, by"))))))))))))))</f>
        <v/>
      </c>
      <c r="AD3003" s="712"/>
      <c r="AE3003" s="513" t="str">
        <f t="shared" si="2287"/>
        <v/>
      </c>
      <c r="AF3003" s="713" t="str">
        <f t="shared" si="2288"/>
        <v/>
      </c>
      <c r="AG3003" s="713"/>
      <c r="AH3003" s="713"/>
      <c r="AI3003" s="112">
        <f>IF(H3003="credit",0,IF(AE3003="free",0,IF(AE3003="me",0,IF(G3003&gt;0,(VLOOKUP(A3003,'Discount Lookup'!J:K,2)*G3003),0))))</f>
        <v>0</v>
      </c>
      <c r="AJ3003" s="107" t="str">
        <f t="shared" ca="1" si="2289"/>
        <v/>
      </c>
      <c r="AK3003" s="714" t="str">
        <f t="shared" si="2290"/>
        <v/>
      </c>
      <c r="AL3003" s="714"/>
      <c r="AM3003" s="114" t="str">
        <f t="shared" si="2291"/>
        <v/>
      </c>
      <c r="AN3003" s="115"/>
      <c r="AO3003" s="116"/>
      <c r="AP3003" s="116"/>
      <c r="AQ3003" s="116"/>
      <c r="AR3003" s="116"/>
      <c r="AS3003" s="116"/>
      <c r="AT3003" s="116"/>
      <c r="AU3003" s="116"/>
      <c r="AV3003" s="78"/>
      <c r="AW3003" s="102"/>
      <c r="AX3003" s="78"/>
      <c r="AY3003" s="78"/>
      <c r="AZ3003" s="78"/>
      <c r="BA3003" s="78"/>
      <c r="BB3003" s="78"/>
      <c r="BC3003" s="78"/>
      <c r="BD3003" s="78"/>
      <c r="BE3003" s="465"/>
      <c r="BF3003" s="165" t="str">
        <f t="shared" si="2292"/>
        <v>https://www.google.com/search?tbm=isch&amp;q=Microbiota%20decussata%20Siberian%20Cypress</v>
      </c>
      <c r="BG3003" s="165" t="str">
        <f t="shared" si="2293"/>
        <v>M</v>
      </c>
      <c r="BH3003" s="65"/>
      <c r="BI3003" s="65"/>
      <c r="BJ3003" s="65"/>
      <c r="BK3003" s="65"/>
      <c r="BL3003" s="99"/>
      <c r="BM3003" s="99"/>
      <c r="BN3003" s="99"/>
    </row>
    <row r="3004" spans="1:66" s="51" customFormat="1" ht="27" x14ac:dyDescent="0.25">
      <c r="A3004" s="478">
        <v>10</v>
      </c>
      <c r="B3004" s="479" t="s">
        <v>291</v>
      </c>
      <c r="C3004" s="480" t="s">
        <v>3597</v>
      </c>
      <c r="D3004" s="481" t="s">
        <v>299</v>
      </c>
      <c r="E3004" s="482">
        <v>284.95</v>
      </c>
      <c r="F3004" s="483" t="s">
        <v>292</v>
      </c>
      <c r="G3004" s="484">
        <v>0</v>
      </c>
      <c r="H3004" s="688" t="str">
        <f>IF(G3004=0,"",IF(F3004="Buy",IF(G3004=1,"plant","plants"),IF(F3004&gt;0.01,"warranty","Error")))</f>
        <v/>
      </c>
      <c r="I3004" s="485">
        <f>IF(H3004="free",0,IF(H3004="credit",((E3004*(F3004))*G3004*-1),IF(F3004="Buy",(E3004*G3004),((E3004*(1-F3004))*G3004))))</f>
        <v>0</v>
      </c>
      <c r="J3004" s="485">
        <f>IF(H3004="warranty",0,(I3004*(_xlfn.SINGLE(SalesTaxPercentage))))</f>
        <v>0</v>
      </c>
      <c r="K3004" s="715">
        <f t="shared" ref="K3004" si="2314">I3004+J3004</f>
        <v>0</v>
      </c>
      <c r="L3004" s="715"/>
      <c r="M3004" s="689" t="str">
        <f ca="1">IF(AND(G3004&gt;0,E3004=0),"WARNING - no PRICE inserted",IF(H3004="free","FREE ~ no charge this plant",IF(H3004="credit",CONCATENATE("-$",ROUND(K3004*(1-_xlfn.SINGLE(T2GDiscount))*-1,2)," CREDIT after discount"),IF(_xlfn.SINGLE(T2GDiscount)=0,"",IF(G3004=0,"",IF(F3004="Buy",CONCATENATE("$",ROUND(K3004*(1-_xlfn.SINGLE(T2GDiscount)),2)," with ",(_xlfn.SINGLE(T2GDiscount)*100),"% discount"),CONCATENATE("$",ROUND(K3004*(1-_xlfn.SINGLE(T2GDiscount)),2)," with ",((_xlfn.SINGLE(T2GDiscount)*100+F3004*100)-(_xlfn.SINGLE(T2GDiscount)*100*F3004)),IF(F3004&gt;0,"% discounts",IF(_xlfn.SINGLE(NoWarrantyDiscount)&gt;0,"% discounts","% discount")))))))))</f>
        <v/>
      </c>
      <c r="N3004" s="690"/>
      <c r="O3004" s="486"/>
      <c r="P3004" s="486"/>
      <c r="Q3004" s="486"/>
      <c r="R3004" s="486"/>
      <c r="S3004" s="486"/>
      <c r="T3004" s="102">
        <f t="shared" si="2281"/>
        <v>0</v>
      </c>
      <c r="U3004" s="78">
        <f>IF(NOT(ISNUMBER(G3004)), "", VLOOKUP(A3004,'Discount Lookup'!D:E,2,FALSE)*G3004)</f>
        <v>0</v>
      </c>
      <c r="V3004" s="78">
        <f>IF(NOT(ISNUMBER(G3004)), "", VLOOKUP(A3004,'Discount Lookup'!G:H,2,FALSE)*G3004)</f>
        <v>0</v>
      </c>
      <c r="W3004" s="102">
        <f t="shared" si="2282"/>
        <v>0</v>
      </c>
      <c r="X3004" s="102">
        <f t="shared" si="2283"/>
        <v>0</v>
      </c>
      <c r="Y3004" s="120" t="b">
        <f t="shared" si="2284"/>
        <v>0</v>
      </c>
      <c r="Z3004" s="117">
        <f t="shared" si="2285"/>
        <v>0</v>
      </c>
      <c r="AA3004" s="118"/>
      <c r="AB3004" s="118" t="str">
        <f t="shared" si="2286"/>
        <v/>
      </c>
      <c r="AC3004" s="712" t="str">
        <f>IF(AE3004="T2G","no charge",IF(AND(OR(PlanterYesMe="No",PlanterYesMe="N",PlanterYesMe="me"),H3004=""),"",IF(H3004="credit","NO install",IF(AND(K3004="",AE3004="me"),"EACH row",IF(AND(K3004="images",AE3004="me"),"EACH row",IF(D3004="","",IF(H3004="credit","",IF(AE3004="free","re-planting",IF(AE3004="me","   not ELP, by",IF(AND(OR(PlanterYesMe="Yes",PlanterYesMe="Y"),G3004&gt;0),(VLOOKUP(A3004,'Discount Lookup'!J:K,2)*G3004*(1-PlanterDiscount)*(1+PlanterDifficultyPercentage)),IF(AE3004="ELP",(VLOOKUP(A3004,'Discount Lookup'!J:K,2)*G3004*(1-PlanterDiscount)*(1+PlanterDifficultyPercentage)),IF(AE3004="free","re-planting",IF(G3004=0,"",IF(PlanterYesMe="",IF(AE3004="me","   not ELP, by",IF(AE3004="",IF(G3004&gt;0,(VLOOKUP(A3004,'Discount Lookup'!J:K,2)*G3004*(1-PlanterDiscount)*(1+PlanterDifficultyPercentage)),""),"")),"   not ELP, by"))))))))))))))</f>
        <v/>
      </c>
      <c r="AD3004" s="712"/>
      <c r="AE3004" s="513" t="str">
        <f t="shared" si="2287"/>
        <v/>
      </c>
      <c r="AF3004" s="713" t="str">
        <f t="shared" si="2288"/>
        <v/>
      </c>
      <c r="AG3004" s="713"/>
      <c r="AH3004" s="713"/>
      <c r="AI3004" s="112">
        <f>IF(H3004="credit",0,IF(AE3004="free",0,IF(AE3004="me",0,IF(G3004&gt;0,(VLOOKUP(A3004,'Discount Lookup'!J:K,2)*G3004),0))))</f>
        <v>0</v>
      </c>
      <c r="AJ3004" s="107" t="str">
        <f t="shared" ca="1" si="2289"/>
        <v/>
      </c>
      <c r="AK3004" s="714" t="str">
        <f t="shared" si="2290"/>
        <v/>
      </c>
      <c r="AL3004" s="714"/>
      <c r="AM3004" s="114" t="str">
        <f t="shared" si="2291"/>
        <v/>
      </c>
      <c r="AN3004" s="115"/>
      <c r="AO3004" s="116"/>
      <c r="AP3004" s="116"/>
      <c r="AQ3004" s="116"/>
      <c r="AR3004" s="116"/>
      <c r="AS3004" s="116"/>
      <c r="AT3004" s="116"/>
      <c r="AU3004" s="116"/>
      <c r="AV3004" s="78"/>
      <c r="AW3004" s="102"/>
      <c r="AX3004" s="78"/>
      <c r="AY3004" s="78"/>
      <c r="AZ3004" s="78"/>
      <c r="BA3004" s="78"/>
      <c r="BB3004" s="78"/>
      <c r="BC3004" s="78"/>
      <c r="BD3004" s="78"/>
      <c r="BE3004" s="465"/>
      <c r="BF3004" s="165" t="str">
        <f t="shared" si="2292"/>
        <v>https://www.google.com/search?tbm=isch&amp;q=10%20G4</v>
      </c>
      <c r="BG3004" s="165" t="str">
        <f t="shared" si="2293"/>
        <v>M</v>
      </c>
      <c r="BH3004" s="65"/>
      <c r="BI3004" s="65"/>
      <c r="BJ3004" s="65"/>
      <c r="BK3004" s="65"/>
      <c r="BL3004" s="99"/>
      <c r="BM3004" s="99"/>
      <c r="BN3004" s="99"/>
    </row>
    <row r="3005" spans="1:66" s="51" customFormat="1" ht="15.75" x14ac:dyDescent="0.25">
      <c r="A3005" s="508" t="s">
        <v>3598</v>
      </c>
      <c r="B3005" s="487"/>
      <c r="C3005" s="707"/>
      <c r="D3005" s="487"/>
      <c r="E3005" s="487"/>
      <c r="F3005" s="488"/>
      <c r="G3005" s="489"/>
      <c r="H3005" s="487"/>
      <c r="I3005" s="490"/>
      <c r="J3005" s="490"/>
      <c r="K3005" s="491"/>
      <c r="L3005" s="547"/>
      <c r="M3005" s="528"/>
      <c r="N3005" s="492"/>
      <c r="O3005" s="493"/>
      <c r="P3005" s="494"/>
      <c r="Q3005" s="492"/>
      <c r="R3005" s="492"/>
      <c r="S3005" s="699" t="s">
        <v>5259</v>
      </c>
      <c r="T3005" s="102">
        <f t="shared" si="2281"/>
        <v>0</v>
      </c>
      <c r="U3005" s="78" t="str">
        <f>IF(NOT(ISNUMBER(G3005)), "", VLOOKUP(A3005,'Discount Lookup'!D:E,2,FALSE)*G3005)</f>
        <v/>
      </c>
      <c r="V3005" s="78" t="str">
        <f>IF(NOT(ISNUMBER(G3005)), "", VLOOKUP(A3005,'Discount Lookup'!G:H,2,FALSE)*G3005)</f>
        <v/>
      </c>
      <c r="W3005" s="102">
        <f t="shared" si="2282"/>
        <v>0</v>
      </c>
      <c r="X3005" s="102">
        <f t="shared" si="2283"/>
        <v>0</v>
      </c>
      <c r="Y3005" s="120" t="b">
        <f t="shared" si="2284"/>
        <v>0</v>
      </c>
      <c r="Z3005" s="117">
        <f t="shared" si="2285"/>
        <v>0</v>
      </c>
      <c r="AA3005" s="118"/>
      <c r="AB3005" s="118" t="str">
        <f t="shared" si="2286"/>
        <v/>
      </c>
      <c r="AC3005" s="712" t="str">
        <f>IF(AE3005="T2G","no charge",IF(AND(OR(PlanterYesMe="No",PlanterYesMe="N",PlanterYesMe="me"),H3005=""),"",IF(H3005="credit","NO install",IF(AND(K3005="",AE3005="me"),"EACH row",IF(AND(K3005="images",AE3005="me"),"EACH row",IF(D3005="","",IF(H3005="credit","",IF(AE3005="free","re-planting",IF(AE3005="me","   not ELP, by",IF(AND(OR(PlanterYesMe="Yes",PlanterYesMe="Y"),G3005&gt;0),(VLOOKUP(A3005,'Discount Lookup'!J:K,2)*G3005*(1-PlanterDiscount)*(1+PlanterDifficultyPercentage)),IF(AE3005="ELP",(VLOOKUP(A3005,'Discount Lookup'!J:K,2)*G3005*(1-PlanterDiscount)*(1+PlanterDifficultyPercentage)),IF(AE3005="free","re-planting",IF(G3005=0,"",IF(PlanterYesMe="",IF(AE3005="me","   not ELP, by",IF(AE3005="",IF(G3005&gt;0,(VLOOKUP(A3005,'Discount Lookup'!J:K,2)*G3005*(1-PlanterDiscount)*(1+PlanterDifficultyPercentage)),""),"")),"   not ELP, by"))))))))))))))</f>
        <v/>
      </c>
      <c r="AD3005" s="712"/>
      <c r="AE3005" s="513" t="str">
        <f t="shared" si="2287"/>
        <v/>
      </c>
      <c r="AF3005" s="713" t="str">
        <f t="shared" si="2288"/>
        <v/>
      </c>
      <c r="AG3005" s="713"/>
      <c r="AH3005" s="713"/>
      <c r="AI3005" s="112">
        <f>IF(H3005="credit",0,IF(AE3005="free",0,IF(AE3005="me",0,IF(G3005&gt;0,(VLOOKUP(A3005,'Discount Lookup'!J:K,2)*G3005),0))))</f>
        <v>0</v>
      </c>
      <c r="AJ3005" s="107" t="str">
        <f t="shared" ca="1" si="2289"/>
        <v/>
      </c>
      <c r="AK3005" s="714" t="str">
        <f t="shared" si="2290"/>
        <v/>
      </c>
      <c r="AL3005" s="714"/>
      <c r="AM3005" s="114" t="str">
        <f t="shared" si="2291"/>
        <v/>
      </c>
      <c r="AN3005" s="115"/>
      <c r="AO3005" s="116"/>
      <c r="AP3005" s="116"/>
      <c r="AQ3005" s="116"/>
      <c r="AR3005" s="116"/>
      <c r="AS3005" s="116"/>
      <c r="AT3005" s="116"/>
      <c r="AU3005" s="116"/>
      <c r="AV3005" s="78"/>
      <c r="AW3005" s="102"/>
      <c r="AX3005" s="78"/>
      <c r="AY3005" s="78"/>
      <c r="AZ3005" s="78"/>
      <c r="BA3005" s="78"/>
      <c r="BB3005" s="78"/>
      <c r="BC3005" s="78"/>
      <c r="BD3005" s="78"/>
      <c r="BE3005" s="465"/>
      <c r="BF3005" s="165" t="str">
        <f t="shared" si="2292"/>
        <v>https://www.google.com/search?tbm=isch&amp;q=Siberian%20Cypress%20is%20notable%20for%20its%20graceful%2C%20feathery%2C%20fan-like%20evergreen%20foliage%20that%20turns%20a%20handsome%20Bronze-Purple%20in%20winter%20</v>
      </c>
      <c r="BG3005" s="165" t="str">
        <f t="shared" si="2293"/>
        <v>S</v>
      </c>
      <c r="BH3005" s="65"/>
      <c r="BI3005" s="65"/>
      <c r="BJ3005" s="65"/>
      <c r="BK3005" s="65"/>
      <c r="BL3005" s="99"/>
      <c r="BM3005" s="99"/>
      <c r="BN3005" s="99"/>
    </row>
    <row r="3006" spans="1:66" s="51" customFormat="1" ht="19.5" thickBot="1" x14ac:dyDescent="0.3">
      <c r="A3006" s="686" t="s">
        <v>622</v>
      </c>
      <c r="B3006" s="73"/>
      <c r="C3006" s="708"/>
      <c r="D3006" s="73"/>
      <c r="E3006" s="73"/>
      <c r="F3006" s="496"/>
      <c r="G3006" s="73"/>
      <c r="H3006" s="73"/>
      <c r="I3006" s="73"/>
      <c r="J3006" s="497" t="s">
        <v>357</v>
      </c>
      <c r="K3006" s="498"/>
      <c r="L3006" s="562"/>
      <c r="M3006" s="73"/>
      <c r="N3006"/>
      <c r="O3006"/>
      <c r="P3006"/>
      <c r="Q3006"/>
      <c r="R3006"/>
      <c r="S3006"/>
      <c r="T3006" s="102">
        <f t="shared" si="2281"/>
        <v>0</v>
      </c>
      <c r="U3006" s="78" t="str">
        <f>IF(NOT(ISNUMBER(G3006)), "", VLOOKUP(A3006,'Discount Lookup'!D:E,2,FALSE)*G3006)</f>
        <v/>
      </c>
      <c r="V3006" s="78" t="str">
        <f>IF(NOT(ISNUMBER(G3006)), "", VLOOKUP(A3006,'Discount Lookup'!G:H,2,FALSE)*G3006)</f>
        <v/>
      </c>
      <c r="W3006" s="102">
        <f t="shared" si="2282"/>
        <v>0</v>
      </c>
      <c r="X3006" s="102">
        <f t="shared" si="2283"/>
        <v>0</v>
      </c>
      <c r="Y3006" s="120" t="b">
        <f t="shared" si="2284"/>
        <v>0</v>
      </c>
      <c r="Z3006" s="117">
        <f t="shared" si="2285"/>
        <v>0</v>
      </c>
      <c r="AA3006" s="118"/>
      <c r="AB3006" s="118" t="str">
        <f t="shared" si="2286"/>
        <v/>
      </c>
      <c r="AC3006" s="712" t="str">
        <f>IF(AE3006="T2G","no charge",IF(AND(OR(PlanterYesMe="No",PlanterYesMe="N",PlanterYesMe="me"),H3006=""),"",IF(H3006="credit","NO install",IF(AND(K3006="",AE3006="me"),"EACH row",IF(AND(K3006="images",AE3006="me"),"EACH row",IF(D3006="","",IF(H3006="credit","",IF(AE3006="free","re-planting",IF(AE3006="me","   not ELP, by",IF(AND(OR(PlanterYesMe="Yes",PlanterYesMe="Y"),G3006&gt;0),(VLOOKUP(A3006,'Discount Lookup'!J:K,2)*G3006*(1-PlanterDiscount)*(1+PlanterDifficultyPercentage)),IF(AE3006="ELP",(VLOOKUP(A3006,'Discount Lookup'!J:K,2)*G3006*(1-PlanterDiscount)*(1+PlanterDifficultyPercentage)),IF(AE3006="free","re-planting",IF(G3006=0,"",IF(PlanterYesMe="",IF(AE3006="me","   not ELP, by",IF(AE3006="",IF(G3006&gt;0,(VLOOKUP(A3006,'Discount Lookup'!J:K,2)*G3006*(1-PlanterDiscount)*(1+PlanterDifficultyPercentage)),""),"")),"   not ELP, by"))))))))))))))</f>
        <v/>
      </c>
      <c r="AD3006" s="712"/>
      <c r="AE3006" s="513" t="str">
        <f t="shared" si="2287"/>
        <v/>
      </c>
      <c r="AF3006" s="713" t="str">
        <f t="shared" si="2288"/>
        <v/>
      </c>
      <c r="AG3006" s="713"/>
      <c r="AH3006" s="713"/>
      <c r="AI3006" s="112">
        <f>IF(H3006="credit",0,IF(AE3006="free",0,IF(AE3006="me",0,IF(G3006&gt;0,(VLOOKUP(A3006,'Discount Lookup'!J:K,2)*G3006),0))))</f>
        <v>0</v>
      </c>
      <c r="AJ3006" s="107" t="str">
        <f t="shared" ca="1" si="2289"/>
        <v/>
      </c>
      <c r="AK3006" s="714" t="str">
        <f t="shared" si="2290"/>
        <v/>
      </c>
      <c r="AL3006" s="714"/>
      <c r="AM3006" s="114" t="str">
        <f t="shared" si="2291"/>
        <v/>
      </c>
      <c r="AN3006" s="115"/>
      <c r="AO3006" s="116"/>
      <c r="AP3006" s="116"/>
      <c r="AQ3006" s="116"/>
      <c r="AR3006" s="116"/>
      <c r="AS3006" s="116"/>
      <c r="AT3006" s="116"/>
      <c r="AU3006" s="116"/>
      <c r="AV3006" s="78"/>
      <c r="AW3006" s="102"/>
      <c r="AX3006" s="78"/>
      <c r="AY3006" s="78"/>
      <c r="AZ3006" s="78"/>
      <c r="BA3006" s="78"/>
      <c r="BB3006" s="78"/>
      <c r="BC3006" s="78"/>
      <c r="BD3006" s="78"/>
      <c r="BE3006" s="465"/>
      <c r="BF3006" s="165" t="str">
        <f t="shared" si="2292"/>
        <v>https://www.google.com/search?tbm=isch&amp;q=Miscanthus%20%3D%20Maiden%20Grass%20</v>
      </c>
      <c r="BG3006" s="165" t="str">
        <f t="shared" si="2293"/>
        <v>M</v>
      </c>
      <c r="BH3006" s="65"/>
      <c r="BI3006" s="65"/>
      <c r="BJ3006" s="65"/>
      <c r="BK3006" s="65"/>
      <c r="BL3006" s="99"/>
      <c r="BM3006" s="99"/>
      <c r="BN3006" s="99"/>
    </row>
    <row r="3007" spans="1:66" s="51" customFormat="1" ht="18" x14ac:dyDescent="0.25">
      <c r="A3007" s="623" t="s">
        <v>3599</v>
      </c>
      <c r="B3007" s="624"/>
      <c r="C3007" s="709"/>
      <c r="D3007" s="625" t="s">
        <v>3600</v>
      </c>
      <c r="E3007" s="626"/>
      <c r="F3007" s="626"/>
      <c r="G3007" s="626"/>
      <c r="H3007" s="622" t="s">
        <v>1270</v>
      </c>
      <c r="I3007" s="627" t="s">
        <v>3601</v>
      </c>
      <c r="J3007" s="628"/>
      <c r="K3007" s="628"/>
      <c r="L3007" s="629"/>
      <c r="M3007" s="700" t="s">
        <v>5241</v>
      </c>
      <c r="N3007" s="693" t="str">
        <f>IF(AND(ISTEXT($A3007), ISERROR($A3007+0)), HYPERLINK($BF3007, "Images"), "")</f>
        <v>Images</v>
      </c>
      <c r="O3007" s="695" t="s">
        <v>5244</v>
      </c>
      <c r="P3007" s="630"/>
      <c r="Q3007" s="631"/>
      <c r="R3007" s="632"/>
      <c r="S3007" s="633"/>
      <c r="T3007" s="102">
        <f t="shared" si="2281"/>
        <v>0</v>
      </c>
      <c r="U3007" s="78" t="str">
        <f>IF(NOT(ISNUMBER(G3007)), "", VLOOKUP(A3007,'Discount Lookup'!D:E,2,FALSE)*G3007)</f>
        <v/>
      </c>
      <c r="V3007" s="78" t="str">
        <f>IF(NOT(ISNUMBER(G3007)), "", VLOOKUP(A3007,'Discount Lookup'!G:H,2,FALSE)*G3007)</f>
        <v/>
      </c>
      <c r="W3007" s="102">
        <f t="shared" si="2282"/>
        <v>0</v>
      </c>
      <c r="X3007" s="102" t="str">
        <f t="shared" si="2283"/>
        <v>Silvery-Green blades &amp; White midrib</v>
      </c>
      <c r="Y3007" s="120" t="b">
        <f t="shared" si="2284"/>
        <v>0</v>
      </c>
      <c r="Z3007" s="117">
        <f t="shared" si="2285"/>
        <v>0</v>
      </c>
      <c r="AA3007" s="118"/>
      <c r="AB3007" s="118" t="str">
        <f t="shared" si="2286"/>
        <v/>
      </c>
      <c r="AC3007" s="712" t="str">
        <f>IF(AE3007="T2G","no charge",IF(AND(OR(PlanterYesMe="No",PlanterYesMe="N",PlanterYesMe="me"),H3007=""),"",IF(H3007="credit","NO install",IF(AND(K3007="",AE3007="me"),"EACH row",IF(AND(K3007="images",AE3007="me"),"EACH row",IF(D3007="","",IF(H3007="credit","",IF(AE3007="free","re-planting",IF(AE3007="me","   not ELP, by",IF(AND(OR(PlanterYesMe="Yes",PlanterYesMe="Y"),G3007&gt;0),(VLOOKUP(A3007,'Discount Lookup'!J:K,2)*G3007*(1-PlanterDiscount)*(1+PlanterDifficultyPercentage)),IF(AE3007="ELP",(VLOOKUP(A3007,'Discount Lookup'!J:K,2)*G3007*(1-PlanterDiscount)*(1+PlanterDifficultyPercentage)),IF(AE3007="free","re-planting",IF(G3007=0,"",IF(PlanterYesMe="",IF(AE3007="me","   not ELP, by",IF(AE3007="",IF(G3007&gt;0,(VLOOKUP(A3007,'Discount Lookup'!J:K,2)*G3007*(1-PlanterDiscount)*(1+PlanterDifficultyPercentage)),""),"")),"   not ELP, by"))))))))))))))</f>
        <v/>
      </c>
      <c r="AD3007" s="712"/>
      <c r="AE3007" s="513" t="str">
        <f t="shared" si="2287"/>
        <v/>
      </c>
      <c r="AF3007" s="713" t="str">
        <f t="shared" si="2288"/>
        <v/>
      </c>
      <c r="AG3007" s="713"/>
      <c r="AH3007" s="713"/>
      <c r="AI3007" s="112">
        <f>IF(H3007="credit",0,IF(AE3007="free",0,IF(AE3007="me",0,IF(G3007&gt;0,(VLOOKUP(A3007,'Discount Lookup'!J:K,2)*G3007),0))))</f>
        <v>0</v>
      </c>
      <c r="AJ3007" s="107" t="str">
        <f t="shared" ca="1" si="2289"/>
        <v/>
      </c>
      <c r="AK3007" s="714" t="str">
        <f t="shared" si="2290"/>
        <v/>
      </c>
      <c r="AL3007" s="714"/>
      <c r="AM3007" s="114" t="str">
        <f t="shared" si="2291"/>
        <v/>
      </c>
      <c r="AN3007" s="115"/>
      <c r="AO3007" s="116"/>
      <c r="AP3007" s="116"/>
      <c r="AQ3007" s="116"/>
      <c r="AR3007" s="116"/>
      <c r="AS3007" s="116"/>
      <c r="AT3007" s="116"/>
      <c r="AU3007" s="116"/>
      <c r="AV3007" s="78"/>
      <c r="AW3007" s="102"/>
      <c r="AX3007" s="78"/>
      <c r="AY3007" s="78"/>
      <c r="AZ3007" s="78"/>
      <c r="BA3007" s="78"/>
      <c r="BB3007" s="78"/>
      <c r="BC3007" s="78"/>
      <c r="BD3007" s="78"/>
      <c r="BE3007" s="465"/>
      <c r="BF3007" s="165" t="str">
        <f t="shared" si="2292"/>
        <v>https://www.google.com/search?tbm=isch&amp;q=Miscanthus%20sinensis%20%27Adagio%27%20PP%2328849%20Dwarf%20Maiden%20Grass</v>
      </c>
      <c r="BG3007" s="165" t="str">
        <f t="shared" si="2293"/>
        <v>M</v>
      </c>
      <c r="BH3007" s="65"/>
      <c r="BI3007" s="65"/>
      <c r="BJ3007" s="65"/>
      <c r="BK3007" s="65"/>
      <c r="BL3007" s="99"/>
      <c r="BM3007" s="99"/>
      <c r="BN3007" s="99"/>
    </row>
    <row r="3008" spans="1:66" s="51" customFormat="1" ht="15.75" x14ac:dyDescent="0.25">
      <c r="A3008" s="634">
        <v>3</v>
      </c>
      <c r="B3008" s="635" t="s">
        <v>291</v>
      </c>
      <c r="C3008" s="636" t="s">
        <v>1561</v>
      </c>
      <c r="D3008" s="637" t="s">
        <v>309</v>
      </c>
      <c r="E3008" s="638">
        <v>22.95</v>
      </c>
      <c r="F3008" s="639" t="s">
        <v>292</v>
      </c>
      <c r="G3008" s="484">
        <v>0</v>
      </c>
      <c r="H3008" s="691" t="str">
        <f>IF(G3008=0,"",IF(F3008="Buy",IF(G3008=1,"plant","plants"),IF(F3008&gt;0.01,"warranty","Error")))</f>
        <v/>
      </c>
      <c r="I3008" s="640">
        <f>IF(H3008="free",0,IF(H3008="credit",((E3008*(F3008))*G3008*-1),IF(F3008="Buy",(E3008*G3008),((E3008*(1-F3008))*G3008))))</f>
        <v>0</v>
      </c>
      <c r="J3008" s="640">
        <f>IF(H3008="warranty",0,(I3008*(_xlfn.SINGLE(SalesTaxPercentage))))</f>
        <v>0</v>
      </c>
      <c r="K3008" s="716">
        <f t="shared" ref="K3008" si="2315">I3008+J3008</f>
        <v>0</v>
      </c>
      <c r="L3008" s="716"/>
      <c r="M3008" s="689" t="str">
        <f ca="1">IF(AND(G3008&gt;0,E3008=0),"WARNING - no PRICE inserted",IF(H3008="free","FREE ~ no charge this plant",IF(H3008="credit",CONCATENATE("-$",ROUND(K3008*(1-_xlfn.SINGLE(T2GDiscount))*-1,2)," CREDIT after discount"),IF(_xlfn.SINGLE(T2GDiscount)=0,"",IF(G3008=0,"",IF(F3008="Buy",CONCATENATE("$",ROUND(K3008*(1-_xlfn.SINGLE(T2GDiscount)),2)," with ",(_xlfn.SINGLE(T2GDiscount)*100),"% discount"),CONCATENATE("$",ROUND(K3008*(1-_xlfn.SINGLE(T2GDiscount)),2)," with ",((_xlfn.SINGLE(T2GDiscount)*100+F3008*100)-(_xlfn.SINGLE(T2GDiscount)*100*F3008)),IF(F3008&gt;0,"% discounts",IF(_xlfn.SINGLE(NoWarrantyDiscount)&gt;0,"% discounts","% discount")))))))))</f>
        <v/>
      </c>
      <c r="N3008" s="690"/>
      <c r="O3008" s="486"/>
      <c r="P3008" s="486"/>
      <c r="Q3008" s="486"/>
      <c r="R3008" s="486"/>
      <c r="S3008" s="486"/>
      <c r="T3008" s="102">
        <f t="shared" si="2281"/>
        <v>0</v>
      </c>
      <c r="U3008" s="78">
        <f>IF(NOT(ISNUMBER(G3008)), "", VLOOKUP(A3008,'Discount Lookup'!D:E,2,FALSE)*G3008)</f>
        <v>0</v>
      </c>
      <c r="V3008" s="78">
        <f>IF(NOT(ISNUMBER(G3008)), "", VLOOKUP(A3008,'Discount Lookup'!G:H,2,FALSE)*G3008)</f>
        <v>0</v>
      </c>
      <c r="W3008" s="102">
        <f t="shared" si="2282"/>
        <v>0</v>
      </c>
      <c r="X3008" s="102">
        <f t="shared" si="2283"/>
        <v>0</v>
      </c>
      <c r="Y3008" s="120" t="b">
        <f t="shared" si="2284"/>
        <v>0</v>
      </c>
      <c r="Z3008" s="117">
        <f t="shared" si="2285"/>
        <v>0</v>
      </c>
      <c r="AA3008" s="118"/>
      <c r="AB3008" s="118" t="str">
        <f t="shared" si="2286"/>
        <v/>
      </c>
      <c r="AC3008" s="712" t="str">
        <f>IF(AE3008="T2G","no charge",IF(AND(OR(PlanterYesMe="No",PlanterYesMe="N",PlanterYesMe="me"),H3008=""),"",IF(H3008="credit","NO install",IF(AND(K3008="",AE3008="me"),"EACH row",IF(AND(K3008="images",AE3008="me"),"EACH row",IF(D3008="","",IF(H3008="credit","",IF(AE3008="free","re-planting",IF(AE3008="me","   not ELP, by",IF(AND(OR(PlanterYesMe="Yes",PlanterYesMe="Y"),G3008&gt;0),(VLOOKUP(A3008,'Discount Lookup'!J:K,2)*G3008*(1-PlanterDiscount)*(1+PlanterDifficultyPercentage)),IF(AE3008="ELP",(VLOOKUP(A3008,'Discount Lookup'!J:K,2)*G3008*(1-PlanterDiscount)*(1+PlanterDifficultyPercentage)),IF(AE3008="free","re-planting",IF(G3008=0,"",IF(PlanterYesMe="",IF(AE3008="me","   not ELP, by",IF(AE3008="",IF(G3008&gt;0,(VLOOKUP(A3008,'Discount Lookup'!J:K,2)*G3008*(1-PlanterDiscount)*(1+PlanterDifficultyPercentage)),""),"")),"   not ELP, by"))))))))))))))</f>
        <v/>
      </c>
      <c r="AD3008" s="712"/>
      <c r="AE3008" s="513" t="str">
        <f t="shared" si="2287"/>
        <v/>
      </c>
      <c r="AF3008" s="713" t="str">
        <f t="shared" si="2288"/>
        <v/>
      </c>
      <c r="AG3008" s="713"/>
      <c r="AH3008" s="713"/>
      <c r="AI3008" s="112">
        <f>IF(H3008="credit",0,IF(AE3008="free",0,IF(AE3008="me",0,IF(G3008&gt;0,(VLOOKUP(A3008,'Discount Lookup'!J:K,2)*G3008),0))))</f>
        <v>0</v>
      </c>
      <c r="AJ3008" s="107" t="str">
        <f t="shared" ca="1" si="2289"/>
        <v/>
      </c>
      <c r="AK3008" s="714" t="str">
        <f t="shared" si="2290"/>
        <v/>
      </c>
      <c r="AL3008" s="714"/>
      <c r="AM3008" s="114" t="str">
        <f t="shared" si="2291"/>
        <v/>
      </c>
      <c r="AN3008" s="115"/>
      <c r="AO3008" s="116"/>
      <c r="AP3008" s="116"/>
      <c r="AQ3008" s="116"/>
      <c r="AR3008" s="116"/>
      <c r="AS3008" s="116"/>
      <c r="AT3008" s="116"/>
      <c r="AU3008" s="116"/>
      <c r="AV3008" s="78"/>
      <c r="AW3008" s="102"/>
      <c r="AX3008" s="78"/>
      <c r="AY3008" s="78"/>
      <c r="AZ3008" s="78"/>
      <c r="BA3008" s="78"/>
      <c r="BB3008" s="78"/>
      <c r="BC3008" s="78"/>
      <c r="BD3008" s="78"/>
      <c r="BE3008" s="465"/>
      <c r="BF3008" s="165" t="str">
        <f t="shared" si="2292"/>
        <v>https://www.google.com/search?tbm=isch&amp;q=3%20G3</v>
      </c>
      <c r="BG3008" s="165" t="str">
        <f t="shared" si="2293"/>
        <v>M</v>
      </c>
      <c r="BH3008" s="65"/>
      <c r="BI3008" s="65"/>
      <c r="BJ3008" s="65"/>
      <c r="BK3008" s="65"/>
      <c r="BL3008" s="99"/>
      <c r="BM3008" s="99"/>
      <c r="BN3008" s="99"/>
    </row>
    <row r="3009" spans="1:66" s="51" customFormat="1" ht="15.75" x14ac:dyDescent="0.25">
      <c r="A3009" s="634">
        <v>3</v>
      </c>
      <c r="B3009" s="635" t="s">
        <v>291</v>
      </c>
      <c r="C3009" s="636"/>
      <c r="D3009" s="637" t="s">
        <v>310</v>
      </c>
      <c r="E3009" s="638">
        <v>25.95</v>
      </c>
      <c r="F3009" s="639" t="s">
        <v>292</v>
      </c>
      <c r="G3009" s="484">
        <v>0</v>
      </c>
      <c r="H3009" s="691" t="str">
        <f>IF(G3009=0,"",IF(F3009="Buy",IF(G3009=1,"plant","plants"),IF(F3009&gt;0.01,"warranty","Error")))</f>
        <v/>
      </c>
      <c r="I3009" s="640">
        <f>IF(H3009="free",0,IF(H3009="credit",((E3009*(F3009))*G3009*-1),IF(F3009="Buy",(E3009*G3009),((E3009*(1-F3009))*G3009))))</f>
        <v>0</v>
      </c>
      <c r="J3009" s="640">
        <f>IF(H3009="warranty",0,(I3009*(_xlfn.SINGLE(SalesTaxPercentage))))</f>
        <v>0</v>
      </c>
      <c r="K3009" s="716">
        <f t="shared" ref="K3009" si="2316">I3009+J3009</f>
        <v>0</v>
      </c>
      <c r="L3009" s="716"/>
      <c r="M3009" s="689" t="str">
        <f ca="1">IF(AND(G3009&gt;0,E3009=0),"WARNING - no PRICE inserted",IF(H3009="free","FREE ~ no charge this plant",IF(H3009="credit",CONCATENATE("-$",ROUND(K3009*(1-_xlfn.SINGLE(T2GDiscount))*-1,2)," CREDIT after discount"),IF(_xlfn.SINGLE(T2GDiscount)=0,"",IF(G3009=0,"",IF(F3009="Buy",CONCATENATE("$",ROUND(K3009*(1-_xlfn.SINGLE(T2GDiscount)),2)," with ",(_xlfn.SINGLE(T2GDiscount)*100),"% discount"),CONCATENATE("$",ROUND(K3009*(1-_xlfn.SINGLE(T2GDiscount)),2)," with ",((_xlfn.SINGLE(T2GDiscount)*100+F3009*100)-(_xlfn.SINGLE(T2GDiscount)*100*F3009)),IF(F3009&gt;0,"% discounts",IF(_xlfn.SINGLE(NoWarrantyDiscount)&gt;0,"% discounts","% discount")))))))))</f>
        <v/>
      </c>
      <c r="N3009" s="690"/>
      <c r="O3009" s="486"/>
      <c r="P3009" s="486"/>
      <c r="Q3009" s="486"/>
      <c r="R3009" s="486"/>
      <c r="S3009" s="486"/>
      <c r="T3009" s="102">
        <f t="shared" si="2281"/>
        <v>0</v>
      </c>
      <c r="U3009" s="78">
        <f>IF(NOT(ISNUMBER(G3009)), "", VLOOKUP(A3009,'Discount Lookup'!D:E,2,FALSE)*G3009)</f>
        <v>0</v>
      </c>
      <c r="V3009" s="78">
        <f>IF(NOT(ISNUMBER(G3009)), "", VLOOKUP(A3009,'Discount Lookup'!G:H,2,FALSE)*G3009)</f>
        <v>0</v>
      </c>
      <c r="W3009" s="102">
        <f t="shared" si="2282"/>
        <v>0</v>
      </c>
      <c r="X3009" s="102">
        <f t="shared" si="2283"/>
        <v>0</v>
      </c>
      <c r="Y3009" s="120" t="b">
        <f t="shared" si="2284"/>
        <v>0</v>
      </c>
      <c r="Z3009" s="117">
        <f t="shared" si="2285"/>
        <v>0</v>
      </c>
      <c r="AA3009" s="118"/>
      <c r="AB3009" s="118" t="str">
        <f t="shared" si="2286"/>
        <v/>
      </c>
      <c r="AC3009" s="712" t="str">
        <f>IF(AE3009="T2G","no charge",IF(AND(OR(PlanterYesMe="No",PlanterYesMe="N",PlanterYesMe="me"),H3009=""),"",IF(H3009="credit","NO install",IF(AND(K3009="",AE3009="me"),"EACH row",IF(AND(K3009="images",AE3009="me"),"EACH row",IF(D3009="","",IF(H3009="credit","",IF(AE3009="free","re-planting",IF(AE3009="me","   not ELP, by",IF(AND(OR(PlanterYesMe="Yes",PlanterYesMe="Y"),G3009&gt;0),(VLOOKUP(A3009,'Discount Lookup'!J:K,2)*G3009*(1-PlanterDiscount)*(1+PlanterDifficultyPercentage)),IF(AE3009="ELP",(VLOOKUP(A3009,'Discount Lookup'!J:K,2)*G3009*(1-PlanterDiscount)*(1+PlanterDifficultyPercentage)),IF(AE3009="free","re-planting",IF(G3009=0,"",IF(PlanterYesMe="",IF(AE3009="me","   not ELP, by",IF(AE3009="",IF(G3009&gt;0,(VLOOKUP(A3009,'Discount Lookup'!J:K,2)*G3009*(1-PlanterDiscount)*(1+PlanterDifficultyPercentage)),""),"")),"   not ELP, by"))))))))))))))</f>
        <v/>
      </c>
      <c r="AD3009" s="712"/>
      <c r="AE3009" s="513" t="str">
        <f t="shared" si="2287"/>
        <v/>
      </c>
      <c r="AF3009" s="713" t="str">
        <f t="shared" si="2288"/>
        <v/>
      </c>
      <c r="AG3009" s="713"/>
      <c r="AH3009" s="713"/>
      <c r="AI3009" s="112">
        <f>IF(H3009="credit",0,IF(AE3009="free",0,IF(AE3009="me",0,IF(G3009&gt;0,(VLOOKUP(A3009,'Discount Lookup'!J:K,2)*G3009),0))))</f>
        <v>0</v>
      </c>
      <c r="AJ3009" s="107" t="str">
        <f t="shared" ca="1" si="2289"/>
        <v/>
      </c>
      <c r="AK3009" s="714" t="str">
        <f t="shared" si="2290"/>
        <v/>
      </c>
      <c r="AL3009" s="714"/>
      <c r="AM3009" s="114" t="str">
        <f t="shared" si="2291"/>
        <v/>
      </c>
      <c r="AN3009" s="115"/>
      <c r="AO3009" s="116"/>
      <c r="AP3009" s="116"/>
      <c r="AQ3009" s="116"/>
      <c r="AR3009" s="116"/>
      <c r="AS3009" s="116"/>
      <c r="AT3009" s="116"/>
      <c r="AU3009" s="116"/>
      <c r="AV3009" s="78"/>
      <c r="AW3009" s="102"/>
      <c r="AX3009" s="78"/>
      <c r="AY3009" s="78"/>
      <c r="AZ3009" s="78"/>
      <c r="BA3009" s="78"/>
      <c r="BB3009" s="78"/>
      <c r="BC3009" s="78"/>
      <c r="BD3009" s="78"/>
      <c r="BE3009" s="465"/>
      <c r="BF3009" s="165" t="str">
        <f t="shared" si="2292"/>
        <v>https://www.google.com/search?tbm=isch&amp;q=3%20G1</v>
      </c>
      <c r="BG3009" s="165" t="str">
        <f t="shared" si="2293"/>
        <v>M</v>
      </c>
      <c r="BH3009" s="65"/>
      <c r="BI3009" s="65"/>
      <c r="BJ3009" s="65"/>
      <c r="BK3009" s="65"/>
      <c r="BL3009" s="99"/>
      <c r="BM3009" s="99"/>
      <c r="BN3009" s="99"/>
    </row>
    <row r="3010" spans="1:66" s="51" customFormat="1" ht="15.75" x14ac:dyDescent="0.25">
      <c r="A3010" s="634">
        <v>3</v>
      </c>
      <c r="B3010" s="635" t="s">
        <v>291</v>
      </c>
      <c r="C3010" s="636"/>
      <c r="D3010" s="637" t="s">
        <v>329</v>
      </c>
      <c r="E3010" s="638">
        <v>25.95</v>
      </c>
      <c r="F3010" s="639" t="s">
        <v>292</v>
      </c>
      <c r="G3010" s="484">
        <v>0</v>
      </c>
      <c r="H3010" s="691" t="str">
        <f>IF(G3010=0,"",IF(F3010="Buy",IF(G3010=1,"plant","plants"),IF(F3010&gt;0.01,"warranty","Error")))</f>
        <v/>
      </c>
      <c r="I3010" s="640">
        <f>IF(H3010="free",0,IF(H3010="credit",((E3010*(F3010))*G3010*-1),IF(F3010="Buy",(E3010*G3010),((E3010*(1-F3010))*G3010))))</f>
        <v>0</v>
      </c>
      <c r="J3010" s="640">
        <f>IF(H3010="warranty",0,(I3010*(_xlfn.SINGLE(SalesTaxPercentage))))</f>
        <v>0</v>
      </c>
      <c r="K3010" s="716">
        <f t="shared" ref="K3010" si="2317">I3010+J3010</f>
        <v>0</v>
      </c>
      <c r="L3010" s="716"/>
      <c r="M3010" s="689" t="str">
        <f ca="1">IF(AND(G3010&gt;0,E3010=0),"WARNING - no PRICE inserted",IF(H3010="free","FREE ~ no charge this plant",IF(H3010="credit",CONCATENATE("-$",ROUND(K3010*(1-_xlfn.SINGLE(T2GDiscount))*-1,2)," CREDIT after discount"),IF(_xlfn.SINGLE(T2GDiscount)=0,"",IF(G3010=0,"",IF(F3010="Buy",CONCATENATE("$",ROUND(K3010*(1-_xlfn.SINGLE(T2GDiscount)),2)," with ",(_xlfn.SINGLE(T2GDiscount)*100),"% discount"),CONCATENATE("$",ROUND(K3010*(1-_xlfn.SINGLE(T2GDiscount)),2)," with ",((_xlfn.SINGLE(T2GDiscount)*100+F3010*100)-(_xlfn.SINGLE(T2GDiscount)*100*F3010)),IF(F3010&gt;0,"% discounts",IF(_xlfn.SINGLE(NoWarrantyDiscount)&gt;0,"% discounts","% discount")))))))))</f>
        <v/>
      </c>
      <c r="N3010" s="690"/>
      <c r="O3010" s="486"/>
      <c r="P3010" s="486"/>
      <c r="Q3010" s="486"/>
      <c r="R3010" s="486"/>
      <c r="S3010" s="486"/>
      <c r="T3010" s="102">
        <f t="shared" si="2281"/>
        <v>0</v>
      </c>
      <c r="U3010" s="78">
        <f>IF(NOT(ISNUMBER(G3010)), "", VLOOKUP(A3010,'Discount Lookup'!D:E,2,FALSE)*G3010)</f>
        <v>0</v>
      </c>
      <c r="V3010" s="78">
        <f>IF(NOT(ISNUMBER(G3010)), "", VLOOKUP(A3010,'Discount Lookup'!G:H,2,FALSE)*G3010)</f>
        <v>0</v>
      </c>
      <c r="W3010" s="102">
        <f t="shared" si="2282"/>
        <v>0</v>
      </c>
      <c r="X3010" s="102">
        <f t="shared" si="2283"/>
        <v>0</v>
      </c>
      <c r="Y3010" s="120" t="b">
        <f t="shared" si="2284"/>
        <v>0</v>
      </c>
      <c r="Z3010" s="117">
        <f t="shared" si="2285"/>
        <v>0</v>
      </c>
      <c r="AA3010" s="118"/>
      <c r="AB3010" s="118" t="str">
        <f t="shared" si="2286"/>
        <v/>
      </c>
      <c r="AC3010" s="712" t="str">
        <f>IF(AE3010="T2G","no charge",IF(AND(OR(PlanterYesMe="No",PlanterYesMe="N",PlanterYesMe="me"),H3010=""),"",IF(H3010="credit","NO install",IF(AND(K3010="",AE3010="me"),"EACH row",IF(AND(K3010="images",AE3010="me"),"EACH row",IF(D3010="","",IF(H3010="credit","",IF(AE3010="free","re-planting",IF(AE3010="me","   not ELP, by",IF(AND(OR(PlanterYesMe="Yes",PlanterYesMe="Y"),G3010&gt;0),(VLOOKUP(A3010,'Discount Lookup'!J:K,2)*G3010*(1-PlanterDiscount)*(1+PlanterDifficultyPercentage)),IF(AE3010="ELP",(VLOOKUP(A3010,'Discount Lookup'!J:K,2)*G3010*(1-PlanterDiscount)*(1+PlanterDifficultyPercentage)),IF(AE3010="free","re-planting",IF(G3010=0,"",IF(PlanterYesMe="",IF(AE3010="me","   not ELP, by",IF(AE3010="",IF(G3010&gt;0,(VLOOKUP(A3010,'Discount Lookup'!J:K,2)*G3010*(1-PlanterDiscount)*(1+PlanterDifficultyPercentage)),""),"")),"   not ELP, by"))))))))))))))</f>
        <v/>
      </c>
      <c r="AD3010" s="712"/>
      <c r="AE3010" s="513" t="str">
        <f t="shared" si="2287"/>
        <v/>
      </c>
      <c r="AF3010" s="713" t="str">
        <f t="shared" si="2288"/>
        <v/>
      </c>
      <c r="AG3010" s="713"/>
      <c r="AH3010" s="713"/>
      <c r="AI3010" s="112">
        <f>IF(H3010="credit",0,IF(AE3010="free",0,IF(AE3010="me",0,IF(G3010&gt;0,(VLOOKUP(A3010,'Discount Lookup'!J:K,2)*G3010),0))))</f>
        <v>0</v>
      </c>
      <c r="AJ3010" s="107" t="str">
        <f t="shared" ca="1" si="2289"/>
        <v/>
      </c>
      <c r="AK3010" s="714" t="str">
        <f t="shared" si="2290"/>
        <v/>
      </c>
      <c r="AL3010" s="714"/>
      <c r="AM3010" s="114" t="str">
        <f t="shared" si="2291"/>
        <v/>
      </c>
      <c r="AN3010" s="115"/>
      <c r="AO3010" s="116"/>
      <c r="AP3010" s="116"/>
      <c r="AQ3010" s="116"/>
      <c r="AR3010" s="116"/>
      <c r="AS3010" s="116"/>
      <c r="AT3010" s="116"/>
      <c r="AU3010" s="116"/>
      <c r="AV3010" s="78"/>
      <c r="AW3010" s="102"/>
      <c r="AX3010" s="78"/>
      <c r="AY3010" s="78"/>
      <c r="AZ3010" s="78"/>
      <c r="BA3010" s="78"/>
      <c r="BB3010" s="78"/>
      <c r="BC3010" s="78"/>
      <c r="BD3010" s="78"/>
      <c r="BE3010" s="465"/>
      <c r="BF3010" s="165" t="str">
        <f t="shared" si="2292"/>
        <v>https://www.google.com/search?tbm=isch&amp;q=3%20G2</v>
      </c>
      <c r="BG3010" s="165" t="str">
        <f t="shared" si="2293"/>
        <v>M</v>
      </c>
      <c r="BH3010" s="65"/>
      <c r="BI3010" s="65"/>
      <c r="BJ3010" s="65"/>
      <c r="BK3010" s="65"/>
      <c r="BL3010" s="99"/>
      <c r="BM3010" s="99"/>
      <c r="BN3010" s="99"/>
    </row>
    <row r="3011" spans="1:66" s="51" customFormat="1" ht="15.75" x14ac:dyDescent="0.25">
      <c r="A3011" s="634">
        <v>3</v>
      </c>
      <c r="B3011" s="635" t="s">
        <v>291</v>
      </c>
      <c r="C3011" s="636" t="s">
        <v>3602</v>
      </c>
      <c r="D3011" s="637" t="s">
        <v>299</v>
      </c>
      <c r="E3011" s="638">
        <v>28.95</v>
      </c>
      <c r="F3011" s="639" t="s">
        <v>292</v>
      </c>
      <c r="G3011" s="484">
        <v>0</v>
      </c>
      <c r="H3011" s="691" t="str">
        <f>IF(G3011=0,"",IF(F3011="Buy",IF(G3011=1,"plant","plants"),IF(F3011&gt;0.01,"warranty","Error")))</f>
        <v/>
      </c>
      <c r="I3011" s="640">
        <f>IF(H3011="free",0,IF(H3011="credit",((E3011*(F3011))*G3011*-1),IF(F3011="Buy",(E3011*G3011),((E3011*(1-F3011))*G3011))))</f>
        <v>0</v>
      </c>
      <c r="J3011" s="640">
        <f>IF(H3011="warranty",0,(I3011*(_xlfn.SINGLE(SalesTaxPercentage))))</f>
        <v>0</v>
      </c>
      <c r="K3011" s="716">
        <f t="shared" ref="K3011" si="2318">I3011+J3011</f>
        <v>0</v>
      </c>
      <c r="L3011" s="716"/>
      <c r="M3011" s="689" t="str">
        <f ca="1">IF(AND(G3011&gt;0,E3011=0),"WARNING - no PRICE inserted",IF(H3011="free","FREE ~ no charge this plant",IF(H3011="credit",CONCATENATE("-$",ROUND(K3011*(1-_xlfn.SINGLE(T2GDiscount))*-1,2)," CREDIT after discount"),IF(_xlfn.SINGLE(T2GDiscount)=0,"",IF(G3011=0,"",IF(F3011="Buy",CONCATENATE("$",ROUND(K3011*(1-_xlfn.SINGLE(T2GDiscount)),2)," with ",(_xlfn.SINGLE(T2GDiscount)*100),"% discount"),CONCATENATE("$",ROUND(K3011*(1-_xlfn.SINGLE(T2GDiscount)),2)," with ",((_xlfn.SINGLE(T2GDiscount)*100+F3011*100)-(_xlfn.SINGLE(T2GDiscount)*100*F3011)),IF(F3011&gt;0,"% discounts",IF(_xlfn.SINGLE(NoWarrantyDiscount)&gt;0,"% discounts","% discount")))))))))</f>
        <v/>
      </c>
      <c r="N3011" s="690"/>
      <c r="O3011" s="486"/>
      <c r="P3011" s="486"/>
      <c r="Q3011" s="486"/>
      <c r="R3011" s="486"/>
      <c r="S3011" s="486"/>
      <c r="T3011" s="102">
        <f t="shared" si="2281"/>
        <v>0</v>
      </c>
      <c r="U3011" s="78">
        <f>IF(NOT(ISNUMBER(G3011)), "", VLOOKUP(A3011,'Discount Lookup'!D:E,2,FALSE)*G3011)</f>
        <v>0</v>
      </c>
      <c r="V3011" s="78">
        <f>IF(NOT(ISNUMBER(G3011)), "", VLOOKUP(A3011,'Discount Lookup'!G:H,2,FALSE)*G3011)</f>
        <v>0</v>
      </c>
      <c r="W3011" s="102">
        <f t="shared" si="2282"/>
        <v>0</v>
      </c>
      <c r="X3011" s="102">
        <f t="shared" si="2283"/>
        <v>0</v>
      </c>
      <c r="Y3011" s="120" t="b">
        <f t="shared" si="2284"/>
        <v>0</v>
      </c>
      <c r="Z3011" s="117">
        <f t="shared" si="2285"/>
        <v>0</v>
      </c>
      <c r="AA3011" s="118"/>
      <c r="AB3011" s="118" t="str">
        <f t="shared" si="2286"/>
        <v/>
      </c>
      <c r="AC3011" s="712" t="str">
        <f>IF(AE3011="T2G","no charge",IF(AND(OR(PlanterYesMe="No",PlanterYesMe="N",PlanterYesMe="me"),H3011=""),"",IF(H3011="credit","NO install",IF(AND(K3011="",AE3011="me"),"EACH row",IF(AND(K3011="images",AE3011="me"),"EACH row",IF(D3011="","",IF(H3011="credit","",IF(AE3011="free","re-planting",IF(AE3011="me","   not ELP, by",IF(AND(OR(PlanterYesMe="Yes",PlanterYesMe="Y"),G3011&gt;0),(VLOOKUP(A3011,'Discount Lookup'!J:K,2)*G3011*(1-PlanterDiscount)*(1+PlanterDifficultyPercentage)),IF(AE3011="ELP",(VLOOKUP(A3011,'Discount Lookup'!J:K,2)*G3011*(1-PlanterDiscount)*(1+PlanterDifficultyPercentage)),IF(AE3011="free","re-planting",IF(G3011=0,"",IF(PlanterYesMe="",IF(AE3011="me","   not ELP, by",IF(AE3011="",IF(G3011&gt;0,(VLOOKUP(A3011,'Discount Lookup'!J:K,2)*G3011*(1-PlanterDiscount)*(1+PlanterDifficultyPercentage)),""),"")),"   not ELP, by"))))))))))))))</f>
        <v/>
      </c>
      <c r="AD3011" s="712"/>
      <c r="AE3011" s="513" t="str">
        <f t="shared" si="2287"/>
        <v/>
      </c>
      <c r="AF3011" s="713" t="str">
        <f t="shared" si="2288"/>
        <v/>
      </c>
      <c r="AG3011" s="713"/>
      <c r="AH3011" s="713"/>
      <c r="AI3011" s="112">
        <f>IF(H3011="credit",0,IF(AE3011="free",0,IF(AE3011="me",0,IF(G3011&gt;0,(VLOOKUP(A3011,'Discount Lookup'!J:K,2)*G3011),0))))</f>
        <v>0</v>
      </c>
      <c r="AJ3011" s="107" t="str">
        <f t="shared" ca="1" si="2289"/>
        <v/>
      </c>
      <c r="AK3011" s="714" t="str">
        <f t="shared" si="2290"/>
        <v/>
      </c>
      <c r="AL3011" s="714"/>
      <c r="AM3011" s="114" t="str">
        <f t="shared" si="2291"/>
        <v/>
      </c>
      <c r="AN3011" s="115"/>
      <c r="AO3011" s="116"/>
      <c r="AP3011" s="116"/>
      <c r="AQ3011" s="116"/>
      <c r="AR3011" s="116"/>
      <c r="AS3011" s="116"/>
      <c r="AT3011" s="116"/>
      <c r="AU3011" s="116"/>
      <c r="AV3011" s="78"/>
      <c r="AW3011" s="102"/>
      <c r="AX3011" s="78"/>
      <c r="AY3011" s="78"/>
      <c r="AZ3011" s="78"/>
      <c r="BA3011" s="78"/>
      <c r="BB3011" s="78"/>
      <c r="BC3011" s="78"/>
      <c r="BD3011" s="78"/>
      <c r="BE3011" s="465"/>
      <c r="BF3011" s="165" t="str">
        <f t="shared" si="2292"/>
        <v>https://www.google.com/search?tbm=isch&amp;q=3%20G4</v>
      </c>
      <c r="BG3011" s="165" t="str">
        <f t="shared" si="2293"/>
        <v>M</v>
      </c>
      <c r="BH3011" s="65"/>
      <c r="BI3011" s="65"/>
      <c r="BJ3011" s="65"/>
      <c r="BK3011" s="65"/>
      <c r="BL3011" s="99"/>
      <c r="BM3011" s="99"/>
      <c r="BN3011" s="99"/>
    </row>
    <row r="3012" spans="1:66" s="51" customFormat="1" ht="15.75" x14ac:dyDescent="0.25">
      <c r="A3012" s="634">
        <v>3</v>
      </c>
      <c r="B3012" s="635" t="s">
        <v>291</v>
      </c>
      <c r="C3012" s="636" t="s">
        <v>4993</v>
      </c>
      <c r="D3012" s="637" t="s">
        <v>293</v>
      </c>
      <c r="E3012" s="638">
        <v>28.95</v>
      </c>
      <c r="F3012" s="639" t="s">
        <v>292</v>
      </c>
      <c r="G3012" s="484">
        <v>0</v>
      </c>
      <c r="H3012" s="691" t="str">
        <f>IF(G3012=0,"",IF(F3012="Buy",IF(G3012=1,"plant","plants"),IF(F3012&gt;0.01,"warranty","Error")))</f>
        <v/>
      </c>
      <c r="I3012" s="640">
        <f>IF(H3012="free",0,IF(H3012="credit",((E3012*(F3012))*G3012*-1),IF(F3012="Buy",(E3012*G3012),((E3012*(1-F3012))*G3012))))</f>
        <v>0</v>
      </c>
      <c r="J3012" s="640">
        <f>IF(H3012="warranty",0,(I3012*(_xlfn.SINGLE(SalesTaxPercentage))))</f>
        <v>0</v>
      </c>
      <c r="K3012" s="716">
        <f t="shared" ref="K3012" si="2319">I3012+J3012</f>
        <v>0</v>
      </c>
      <c r="L3012" s="716"/>
      <c r="M3012" s="689" t="str">
        <f ca="1">IF(AND(G3012&gt;0,E3012=0),"WARNING - no PRICE inserted",IF(H3012="free","FREE ~ no charge this plant",IF(H3012="credit",CONCATENATE("-$",ROUND(K3012*(1-_xlfn.SINGLE(T2GDiscount))*-1,2)," CREDIT after discount"),IF(_xlfn.SINGLE(T2GDiscount)=0,"",IF(G3012=0,"",IF(F3012="Buy",CONCATENATE("$",ROUND(K3012*(1-_xlfn.SINGLE(T2GDiscount)),2)," with ",(_xlfn.SINGLE(T2GDiscount)*100),"% discount"),CONCATENATE("$",ROUND(K3012*(1-_xlfn.SINGLE(T2GDiscount)),2)," with ",((_xlfn.SINGLE(T2GDiscount)*100+F3012*100)-(_xlfn.SINGLE(T2GDiscount)*100*F3012)),IF(F3012&gt;0,"% discounts",IF(_xlfn.SINGLE(NoWarrantyDiscount)&gt;0,"% discounts","% discount")))))))))</f>
        <v/>
      </c>
      <c r="N3012" s="690"/>
      <c r="O3012" s="486"/>
      <c r="P3012" s="486"/>
      <c r="Q3012" s="486"/>
      <c r="R3012" s="486"/>
      <c r="S3012" s="486"/>
      <c r="T3012" s="102">
        <f t="shared" si="2281"/>
        <v>0</v>
      </c>
      <c r="U3012" s="78">
        <f>IF(NOT(ISNUMBER(G3012)), "", VLOOKUP(A3012,'Discount Lookup'!D:E,2,FALSE)*G3012)</f>
        <v>0</v>
      </c>
      <c r="V3012" s="78">
        <f>IF(NOT(ISNUMBER(G3012)), "", VLOOKUP(A3012,'Discount Lookup'!G:H,2,FALSE)*G3012)</f>
        <v>0</v>
      </c>
      <c r="W3012" s="102">
        <f t="shared" si="2282"/>
        <v>0</v>
      </c>
      <c r="X3012" s="102">
        <f t="shared" si="2283"/>
        <v>0</v>
      </c>
      <c r="Y3012" s="120" t="b">
        <f t="shared" si="2284"/>
        <v>0</v>
      </c>
      <c r="Z3012" s="117">
        <f t="shared" si="2285"/>
        <v>0</v>
      </c>
      <c r="AA3012" s="118"/>
      <c r="AB3012" s="118" t="str">
        <f t="shared" si="2286"/>
        <v/>
      </c>
      <c r="AC3012" s="712" t="str">
        <f>IF(AE3012="T2G","no charge",IF(AND(OR(PlanterYesMe="No",PlanterYesMe="N",PlanterYesMe="me"),H3012=""),"",IF(H3012="credit","NO install",IF(AND(K3012="",AE3012="me"),"EACH row",IF(AND(K3012="images",AE3012="me"),"EACH row",IF(D3012="","",IF(H3012="credit","",IF(AE3012="free","re-planting",IF(AE3012="me","   not ELP, by",IF(AND(OR(PlanterYesMe="Yes",PlanterYesMe="Y"),G3012&gt;0),(VLOOKUP(A3012,'Discount Lookup'!J:K,2)*G3012*(1-PlanterDiscount)*(1+PlanterDifficultyPercentage)),IF(AE3012="ELP",(VLOOKUP(A3012,'Discount Lookup'!J:K,2)*G3012*(1-PlanterDiscount)*(1+PlanterDifficultyPercentage)),IF(AE3012="free","re-planting",IF(G3012=0,"",IF(PlanterYesMe="",IF(AE3012="me","   not ELP, by",IF(AE3012="",IF(G3012&gt;0,(VLOOKUP(A3012,'Discount Lookup'!J:K,2)*G3012*(1-PlanterDiscount)*(1+PlanterDifficultyPercentage)),""),"")),"   not ELP, by"))))))))))))))</f>
        <v/>
      </c>
      <c r="AD3012" s="712"/>
      <c r="AE3012" s="513" t="str">
        <f t="shared" si="2287"/>
        <v/>
      </c>
      <c r="AF3012" s="713" t="str">
        <f t="shared" si="2288"/>
        <v/>
      </c>
      <c r="AG3012" s="713"/>
      <c r="AH3012" s="713"/>
      <c r="AI3012" s="112">
        <f>IF(H3012="credit",0,IF(AE3012="free",0,IF(AE3012="me",0,IF(G3012&gt;0,(VLOOKUP(A3012,'Discount Lookup'!J:K,2)*G3012),0))))</f>
        <v>0</v>
      </c>
      <c r="AJ3012" s="107" t="str">
        <f t="shared" ca="1" si="2289"/>
        <v/>
      </c>
      <c r="AK3012" s="714" t="str">
        <f t="shared" si="2290"/>
        <v/>
      </c>
      <c r="AL3012" s="714"/>
      <c r="AM3012" s="114" t="str">
        <f t="shared" si="2291"/>
        <v/>
      </c>
      <c r="AN3012" s="115"/>
      <c r="AO3012" s="116"/>
      <c r="AP3012" s="116"/>
      <c r="AQ3012" s="116"/>
      <c r="AR3012" s="116"/>
      <c r="AS3012" s="116"/>
      <c r="AT3012" s="116"/>
      <c r="AU3012" s="116"/>
      <c r="AV3012" s="78"/>
      <c r="AW3012" s="102"/>
      <c r="AX3012" s="78"/>
      <c r="AY3012" s="78"/>
      <c r="AZ3012" s="78"/>
      <c r="BA3012" s="78"/>
      <c r="BB3012" s="78"/>
      <c r="BC3012" s="78"/>
      <c r="BD3012" s="78"/>
      <c r="BE3012" s="465"/>
      <c r="BF3012" s="165" t="str">
        <f t="shared" si="2292"/>
        <v>https://www.google.com/search?tbm=isch&amp;q=3%20G6</v>
      </c>
      <c r="BG3012" s="165" t="str">
        <f t="shared" si="2293"/>
        <v>M</v>
      </c>
      <c r="BH3012" s="65"/>
      <c r="BI3012" s="65"/>
      <c r="BJ3012" s="65"/>
      <c r="BK3012" s="65"/>
      <c r="BL3012" s="99"/>
      <c r="BM3012" s="99"/>
      <c r="BN3012" s="99"/>
    </row>
    <row r="3013" spans="1:66" s="51" customFormat="1" ht="17.25" thickBot="1" x14ac:dyDescent="0.3">
      <c r="A3013" s="641" t="s">
        <v>3603</v>
      </c>
      <c r="B3013" s="642"/>
      <c r="C3013" s="710"/>
      <c r="D3013" s="643"/>
      <c r="E3013" s="643"/>
      <c r="F3013" s="644"/>
      <c r="G3013" s="645"/>
      <c r="H3013" s="646"/>
      <c r="I3013" s="647"/>
      <c r="J3013" s="648"/>
      <c r="K3013" s="649"/>
      <c r="L3013" s="650"/>
      <c r="M3013" s="650"/>
      <c r="N3013" s="644"/>
      <c r="O3013" s="644"/>
      <c r="P3013" s="644"/>
      <c r="Q3013" s="644"/>
      <c r="R3013" s="644"/>
      <c r="S3013" s="701" t="s">
        <v>5272</v>
      </c>
      <c r="T3013" s="102">
        <f t="shared" si="2281"/>
        <v>0</v>
      </c>
      <c r="U3013" s="78" t="str">
        <f>IF(NOT(ISNUMBER(G3013)), "", VLOOKUP(A3013,'Discount Lookup'!D:E,2,FALSE)*G3013)</f>
        <v/>
      </c>
      <c r="V3013" s="78" t="str">
        <f>IF(NOT(ISNUMBER(G3013)), "", VLOOKUP(A3013,'Discount Lookup'!G:H,2,FALSE)*G3013)</f>
        <v/>
      </c>
      <c r="W3013" s="102">
        <f t="shared" si="2282"/>
        <v>0</v>
      </c>
      <c r="X3013" s="102">
        <f t="shared" si="2283"/>
        <v>0</v>
      </c>
      <c r="Y3013" s="120" t="b">
        <f t="shared" si="2284"/>
        <v>0</v>
      </c>
      <c r="Z3013" s="117">
        <f t="shared" si="2285"/>
        <v>0</v>
      </c>
      <c r="AA3013" s="118"/>
      <c r="AB3013" s="118" t="str">
        <f t="shared" si="2286"/>
        <v/>
      </c>
      <c r="AC3013" s="712" t="str">
        <f>IF(AE3013="T2G","no charge",IF(AND(OR(PlanterYesMe="No",PlanterYesMe="N",PlanterYesMe="me"),H3013=""),"",IF(H3013="credit","NO install",IF(AND(K3013="",AE3013="me"),"EACH row",IF(AND(K3013="images",AE3013="me"),"EACH row",IF(D3013="","",IF(H3013="credit","",IF(AE3013="free","re-planting",IF(AE3013="me","   not ELP, by",IF(AND(OR(PlanterYesMe="Yes",PlanterYesMe="Y"),G3013&gt;0),(VLOOKUP(A3013,'Discount Lookup'!J:K,2)*G3013*(1-PlanterDiscount)*(1+PlanterDifficultyPercentage)),IF(AE3013="ELP",(VLOOKUP(A3013,'Discount Lookup'!J:K,2)*G3013*(1-PlanterDiscount)*(1+PlanterDifficultyPercentage)),IF(AE3013="free","re-planting",IF(G3013=0,"",IF(PlanterYesMe="",IF(AE3013="me","   not ELP, by",IF(AE3013="",IF(G3013&gt;0,(VLOOKUP(A3013,'Discount Lookup'!J:K,2)*G3013*(1-PlanterDiscount)*(1+PlanterDifficultyPercentage)),""),"")),"   not ELP, by"))))))))))))))</f>
        <v/>
      </c>
      <c r="AD3013" s="712"/>
      <c r="AE3013" s="513" t="str">
        <f t="shared" si="2287"/>
        <v/>
      </c>
      <c r="AF3013" s="713" t="str">
        <f t="shared" si="2288"/>
        <v/>
      </c>
      <c r="AG3013" s="713"/>
      <c r="AH3013" s="713"/>
      <c r="AI3013" s="112">
        <f>IF(H3013="credit",0,IF(AE3013="free",0,IF(AE3013="me",0,IF(G3013&gt;0,(VLOOKUP(A3013,'Discount Lookup'!J:K,2)*G3013),0))))</f>
        <v>0</v>
      </c>
      <c r="AJ3013" s="107" t="str">
        <f t="shared" ca="1" si="2289"/>
        <v/>
      </c>
      <c r="AK3013" s="714" t="str">
        <f t="shared" si="2290"/>
        <v/>
      </c>
      <c r="AL3013" s="714"/>
      <c r="AM3013" s="114" t="str">
        <f t="shared" si="2291"/>
        <v/>
      </c>
      <c r="AN3013" s="115"/>
      <c r="AO3013" s="116"/>
      <c r="AP3013" s="116"/>
      <c r="AQ3013" s="116"/>
      <c r="AR3013" s="116"/>
      <c r="AS3013" s="116"/>
      <c r="AT3013" s="116"/>
      <c r="AU3013" s="116"/>
      <c r="AV3013" s="78"/>
      <c r="AW3013" s="102"/>
      <c r="AX3013" s="78"/>
      <c r="AY3013" s="78"/>
      <c r="AZ3013" s="78"/>
      <c r="BA3013" s="78"/>
      <c r="BB3013" s="78"/>
      <c r="BC3013" s="78"/>
      <c r="BD3013" s="78"/>
      <c r="BE3013" s="465"/>
      <c r="BF3013" s="165" t="str">
        <f t="shared" si="2292"/>
        <v>https://www.google.com/search?tbm=isch&amp;q=Dwarf%20Maiden%20plumes%20emerge%20Bronze-Pink%2C%20then%20fade%20to%20White.%20Foliage%20turns%20Orange-Gold-Burgundy%20in%20fall%20</v>
      </c>
      <c r="BG3013" s="165" t="str">
        <f t="shared" si="2293"/>
        <v>D</v>
      </c>
      <c r="BH3013" s="65"/>
      <c r="BI3013" s="65"/>
      <c r="BJ3013" s="65"/>
      <c r="BK3013" s="65"/>
      <c r="BL3013" s="99"/>
      <c r="BM3013" s="99"/>
      <c r="BN3013" s="99"/>
    </row>
    <row r="3014" spans="1:66" s="51" customFormat="1" ht="18" x14ac:dyDescent="0.25">
      <c r="A3014" s="623" t="s">
        <v>3604</v>
      </c>
      <c r="B3014" s="624"/>
      <c r="C3014" s="709"/>
      <c r="D3014" s="625" t="s">
        <v>3605</v>
      </c>
      <c r="E3014" s="626"/>
      <c r="F3014" s="626"/>
      <c r="G3014" s="626"/>
      <c r="H3014" s="622" t="s">
        <v>1657</v>
      </c>
      <c r="I3014" s="627" t="s">
        <v>3601</v>
      </c>
      <c r="J3014" s="628"/>
      <c r="K3014" s="628"/>
      <c r="L3014" s="629"/>
      <c r="M3014" s="700" t="s">
        <v>5241</v>
      </c>
      <c r="N3014" s="693" t="str">
        <f>IF(AND(ISTEXT($A3014), ISERROR($A3014+0)), HYPERLINK($BF3014, "Images"), "")</f>
        <v>Images</v>
      </c>
      <c r="O3014" s="695" t="s">
        <v>5244</v>
      </c>
      <c r="P3014" s="630"/>
      <c r="Q3014" s="631"/>
      <c r="R3014" s="632"/>
      <c r="S3014" s="633"/>
      <c r="T3014" s="102">
        <f t="shared" si="2281"/>
        <v>0</v>
      </c>
      <c r="U3014" s="78" t="str">
        <f>IF(NOT(ISNUMBER(G3014)), "", VLOOKUP(A3014,'Discount Lookup'!D:E,2,FALSE)*G3014)</f>
        <v/>
      </c>
      <c r="V3014" s="78" t="str">
        <f>IF(NOT(ISNUMBER(G3014)), "", VLOOKUP(A3014,'Discount Lookup'!G:H,2,FALSE)*G3014)</f>
        <v/>
      </c>
      <c r="W3014" s="102">
        <f t="shared" si="2282"/>
        <v>0</v>
      </c>
      <c r="X3014" s="102" t="str">
        <f t="shared" si="2283"/>
        <v>Silvery-Green blades &amp; White midrib</v>
      </c>
      <c r="Y3014" s="120" t="b">
        <f t="shared" si="2284"/>
        <v>0</v>
      </c>
      <c r="Z3014" s="117">
        <f t="shared" si="2285"/>
        <v>0</v>
      </c>
      <c r="AA3014" s="118"/>
      <c r="AB3014" s="118" t="str">
        <f t="shared" si="2286"/>
        <v/>
      </c>
      <c r="AC3014" s="712" t="str">
        <f>IF(AE3014="T2G","no charge",IF(AND(OR(PlanterYesMe="No",PlanterYesMe="N",PlanterYesMe="me"),H3014=""),"",IF(H3014="credit","NO install",IF(AND(K3014="",AE3014="me"),"EACH row",IF(AND(K3014="images",AE3014="me"),"EACH row",IF(D3014="","",IF(H3014="credit","",IF(AE3014="free","re-planting",IF(AE3014="me","   not ELP, by",IF(AND(OR(PlanterYesMe="Yes",PlanterYesMe="Y"),G3014&gt;0),(VLOOKUP(A3014,'Discount Lookup'!J:K,2)*G3014*(1-PlanterDiscount)*(1+PlanterDifficultyPercentage)),IF(AE3014="ELP",(VLOOKUP(A3014,'Discount Lookup'!J:K,2)*G3014*(1-PlanterDiscount)*(1+PlanterDifficultyPercentage)),IF(AE3014="free","re-planting",IF(G3014=0,"",IF(PlanterYesMe="",IF(AE3014="me","   not ELP, by",IF(AE3014="",IF(G3014&gt;0,(VLOOKUP(A3014,'Discount Lookup'!J:K,2)*G3014*(1-PlanterDiscount)*(1+PlanterDifficultyPercentage)),""),"")),"   not ELP, by"))))))))))))))</f>
        <v/>
      </c>
      <c r="AD3014" s="712"/>
      <c r="AE3014" s="513" t="str">
        <f t="shared" si="2287"/>
        <v/>
      </c>
      <c r="AF3014" s="713" t="str">
        <f t="shared" si="2288"/>
        <v/>
      </c>
      <c r="AG3014" s="713"/>
      <c r="AH3014" s="713"/>
      <c r="AI3014" s="112">
        <f>IF(H3014="credit",0,IF(AE3014="free",0,IF(AE3014="me",0,IF(G3014&gt;0,(VLOOKUP(A3014,'Discount Lookup'!J:K,2)*G3014),0))))</f>
        <v>0</v>
      </c>
      <c r="AJ3014" s="107" t="str">
        <f t="shared" ca="1" si="2289"/>
        <v/>
      </c>
      <c r="AK3014" s="714" t="str">
        <f t="shared" si="2290"/>
        <v/>
      </c>
      <c r="AL3014" s="714"/>
      <c r="AM3014" s="114" t="str">
        <f t="shared" si="2291"/>
        <v/>
      </c>
      <c r="AN3014" s="115"/>
      <c r="AO3014" s="116"/>
      <c r="AP3014" s="116"/>
      <c r="AQ3014" s="116"/>
      <c r="AR3014" s="116"/>
      <c r="AS3014" s="116"/>
      <c r="AT3014" s="116"/>
      <c r="AU3014" s="116"/>
      <c r="AV3014" s="78"/>
      <c r="AW3014" s="102"/>
      <c r="AX3014" s="78"/>
      <c r="AY3014" s="78"/>
      <c r="AZ3014" s="78"/>
      <c r="BA3014" s="78"/>
      <c r="BB3014" s="78"/>
      <c r="BC3014" s="78"/>
      <c r="BD3014" s="78"/>
      <c r="BE3014" s="465"/>
      <c r="BF3014" s="165" t="str">
        <f t="shared" si="2292"/>
        <v>https://www.google.com/search?tbm=isch&amp;q=Miscanthus%20sinensis%20%27Gracillimus%27%20Gracillimus%20Maiden%20Grass</v>
      </c>
      <c r="BG3014" s="165" t="str">
        <f t="shared" si="2293"/>
        <v>M</v>
      </c>
      <c r="BH3014" s="65"/>
      <c r="BI3014" s="65"/>
      <c r="BJ3014" s="65"/>
      <c r="BK3014" s="65"/>
      <c r="BL3014" s="99"/>
      <c r="BM3014" s="99"/>
      <c r="BN3014" s="99"/>
    </row>
    <row r="3015" spans="1:66" s="51" customFormat="1" ht="15.75" x14ac:dyDescent="0.25">
      <c r="A3015" s="634">
        <v>1</v>
      </c>
      <c r="B3015" s="635" t="s">
        <v>291</v>
      </c>
      <c r="C3015" s="636"/>
      <c r="D3015" s="637" t="s">
        <v>329</v>
      </c>
      <c r="E3015" s="638">
        <v>13.95</v>
      </c>
      <c r="F3015" s="639" t="s">
        <v>292</v>
      </c>
      <c r="G3015" s="484">
        <v>0</v>
      </c>
      <c r="H3015" s="691" t="str">
        <f>IF(G3015=0,"",IF(F3015="Buy",IF(G3015=1,"plant","plants"),IF(F3015&gt;0.01,"warranty","Error")))</f>
        <v/>
      </c>
      <c r="I3015" s="640">
        <f>IF(H3015="free",0,IF(H3015="credit",((E3015*(F3015))*G3015*-1),IF(F3015="Buy",(E3015*G3015),((E3015*(1-F3015))*G3015))))</f>
        <v>0</v>
      </c>
      <c r="J3015" s="640">
        <f>IF(H3015="warranty",0,(I3015*(_xlfn.SINGLE(SalesTaxPercentage))))</f>
        <v>0</v>
      </c>
      <c r="K3015" s="716">
        <f t="shared" ref="K3015" si="2320">I3015+J3015</f>
        <v>0</v>
      </c>
      <c r="L3015" s="716"/>
      <c r="M3015" s="689" t="str">
        <f ca="1">IF(AND(G3015&gt;0,E3015=0),"WARNING - no PRICE inserted",IF(H3015="free","FREE ~ no charge this plant",IF(H3015="credit",CONCATENATE("-$",ROUND(K3015*(1-_xlfn.SINGLE(T2GDiscount))*-1,2)," CREDIT after discount"),IF(_xlfn.SINGLE(T2GDiscount)=0,"",IF(G3015=0,"",IF(F3015="Buy",CONCATENATE("$",ROUND(K3015*(1-_xlfn.SINGLE(T2GDiscount)),2)," with ",(_xlfn.SINGLE(T2GDiscount)*100),"% discount"),CONCATENATE("$",ROUND(K3015*(1-_xlfn.SINGLE(T2GDiscount)),2)," with ",((_xlfn.SINGLE(T2GDiscount)*100+F3015*100)-(_xlfn.SINGLE(T2GDiscount)*100*F3015)),IF(F3015&gt;0,"% discounts",IF(_xlfn.SINGLE(NoWarrantyDiscount)&gt;0,"% discounts","% discount")))))))))</f>
        <v/>
      </c>
      <c r="N3015" s="690"/>
      <c r="O3015" s="486"/>
      <c r="P3015" s="486"/>
      <c r="Q3015" s="486"/>
      <c r="R3015" s="486"/>
      <c r="S3015" s="486"/>
      <c r="T3015" s="102">
        <f t="shared" si="2281"/>
        <v>0</v>
      </c>
      <c r="U3015" s="78">
        <f>IF(NOT(ISNUMBER(G3015)), "", VLOOKUP(A3015,'Discount Lookup'!D:E,2,FALSE)*G3015)</f>
        <v>0</v>
      </c>
      <c r="V3015" s="78">
        <f>IF(NOT(ISNUMBER(G3015)), "", VLOOKUP(A3015,'Discount Lookup'!G:H,2,FALSE)*G3015)</f>
        <v>0</v>
      </c>
      <c r="W3015" s="102">
        <f t="shared" si="2282"/>
        <v>0</v>
      </c>
      <c r="X3015" s="102">
        <f t="shared" si="2283"/>
        <v>0</v>
      </c>
      <c r="Y3015" s="120" t="b">
        <f t="shared" si="2284"/>
        <v>0</v>
      </c>
      <c r="Z3015" s="117">
        <f t="shared" si="2285"/>
        <v>0</v>
      </c>
      <c r="AA3015" s="118"/>
      <c r="AB3015" s="118" t="str">
        <f t="shared" si="2286"/>
        <v/>
      </c>
      <c r="AC3015" s="712" t="str">
        <f>IF(AE3015="T2G","no charge",IF(AND(OR(PlanterYesMe="No",PlanterYesMe="N",PlanterYesMe="me"),H3015=""),"",IF(H3015="credit","NO install",IF(AND(K3015="",AE3015="me"),"EACH row",IF(AND(K3015="images",AE3015="me"),"EACH row",IF(D3015="","",IF(H3015="credit","",IF(AE3015="free","re-planting",IF(AE3015="me","   not ELP, by",IF(AND(OR(PlanterYesMe="Yes",PlanterYesMe="Y"),G3015&gt;0),(VLOOKUP(A3015,'Discount Lookup'!J:K,2)*G3015*(1-PlanterDiscount)*(1+PlanterDifficultyPercentage)),IF(AE3015="ELP",(VLOOKUP(A3015,'Discount Lookup'!J:K,2)*G3015*(1-PlanterDiscount)*(1+PlanterDifficultyPercentage)),IF(AE3015="free","re-planting",IF(G3015=0,"",IF(PlanterYesMe="",IF(AE3015="me","   not ELP, by",IF(AE3015="",IF(G3015&gt;0,(VLOOKUP(A3015,'Discount Lookup'!J:K,2)*G3015*(1-PlanterDiscount)*(1+PlanterDifficultyPercentage)),""),"")),"   not ELP, by"))))))))))))))</f>
        <v/>
      </c>
      <c r="AD3015" s="712"/>
      <c r="AE3015" s="513" t="str">
        <f t="shared" si="2287"/>
        <v/>
      </c>
      <c r="AF3015" s="713" t="str">
        <f t="shared" si="2288"/>
        <v/>
      </c>
      <c r="AG3015" s="713"/>
      <c r="AH3015" s="713"/>
      <c r="AI3015" s="112">
        <f>IF(H3015="credit",0,IF(AE3015="free",0,IF(AE3015="me",0,IF(G3015&gt;0,(VLOOKUP(A3015,'Discount Lookup'!J:K,2)*G3015),0))))</f>
        <v>0</v>
      </c>
      <c r="AJ3015" s="107" t="str">
        <f t="shared" ca="1" si="2289"/>
        <v/>
      </c>
      <c r="AK3015" s="714" t="str">
        <f t="shared" si="2290"/>
        <v/>
      </c>
      <c r="AL3015" s="714"/>
      <c r="AM3015" s="114" t="str">
        <f t="shared" si="2291"/>
        <v/>
      </c>
      <c r="AN3015" s="115"/>
      <c r="AO3015" s="116"/>
      <c r="AP3015" s="116"/>
      <c r="AQ3015" s="116"/>
      <c r="AR3015" s="116"/>
      <c r="AS3015" s="116"/>
      <c r="AT3015" s="116"/>
      <c r="AU3015" s="116"/>
      <c r="AV3015" s="78"/>
      <c r="AW3015" s="102"/>
      <c r="AX3015" s="78"/>
      <c r="AY3015" s="78"/>
      <c r="AZ3015" s="78"/>
      <c r="BA3015" s="78"/>
      <c r="BB3015" s="78"/>
      <c r="BC3015" s="78"/>
      <c r="BD3015" s="78"/>
      <c r="BE3015" s="465"/>
      <c r="BF3015" s="165" t="str">
        <f t="shared" si="2292"/>
        <v>https://www.google.com/search?tbm=isch&amp;q=1%20G2</v>
      </c>
      <c r="BG3015" s="165" t="str">
        <f t="shared" si="2293"/>
        <v>M</v>
      </c>
      <c r="BH3015" s="65"/>
      <c r="BI3015" s="65"/>
      <c r="BJ3015" s="65"/>
      <c r="BK3015" s="65"/>
      <c r="BL3015" s="99"/>
      <c r="BM3015" s="99"/>
      <c r="BN3015" s="99"/>
    </row>
    <row r="3016" spans="1:66" s="51" customFormat="1" ht="15.75" x14ac:dyDescent="0.25">
      <c r="A3016" s="634">
        <v>3</v>
      </c>
      <c r="B3016" s="635" t="s">
        <v>291</v>
      </c>
      <c r="C3016" s="636"/>
      <c r="D3016" s="637" t="s">
        <v>329</v>
      </c>
      <c r="E3016" s="638">
        <v>25.95</v>
      </c>
      <c r="F3016" s="639" t="s">
        <v>292</v>
      </c>
      <c r="G3016" s="484">
        <v>0</v>
      </c>
      <c r="H3016" s="691" t="str">
        <f>IF(G3016=0,"",IF(F3016="Buy",IF(G3016=1,"plant","plants"),IF(F3016&gt;0.01,"warranty","Error")))</f>
        <v/>
      </c>
      <c r="I3016" s="640">
        <f>IF(H3016="free",0,IF(H3016="credit",((E3016*(F3016))*G3016*-1),IF(F3016="Buy",(E3016*G3016),((E3016*(1-F3016))*G3016))))</f>
        <v>0</v>
      </c>
      <c r="J3016" s="640">
        <f>IF(H3016="warranty",0,(I3016*(_xlfn.SINGLE(SalesTaxPercentage))))</f>
        <v>0</v>
      </c>
      <c r="K3016" s="716">
        <f t="shared" ref="K3016" si="2321">I3016+J3016</f>
        <v>0</v>
      </c>
      <c r="L3016" s="716"/>
      <c r="M3016" s="689" t="str">
        <f ca="1">IF(AND(G3016&gt;0,E3016=0),"WARNING - no PRICE inserted",IF(H3016="free","FREE ~ no charge this plant",IF(H3016="credit",CONCATENATE("-$",ROUND(K3016*(1-_xlfn.SINGLE(T2GDiscount))*-1,2)," CREDIT after discount"),IF(_xlfn.SINGLE(T2GDiscount)=0,"",IF(G3016=0,"",IF(F3016="Buy",CONCATENATE("$",ROUND(K3016*(1-_xlfn.SINGLE(T2GDiscount)),2)," with ",(_xlfn.SINGLE(T2GDiscount)*100),"% discount"),CONCATENATE("$",ROUND(K3016*(1-_xlfn.SINGLE(T2GDiscount)),2)," with ",((_xlfn.SINGLE(T2GDiscount)*100+F3016*100)-(_xlfn.SINGLE(T2GDiscount)*100*F3016)),IF(F3016&gt;0,"% discounts",IF(_xlfn.SINGLE(NoWarrantyDiscount)&gt;0,"% discounts","% discount")))))))))</f>
        <v/>
      </c>
      <c r="N3016" s="690"/>
      <c r="O3016" s="486"/>
      <c r="P3016" s="486"/>
      <c r="Q3016" s="486"/>
      <c r="R3016" s="486"/>
      <c r="S3016" s="486"/>
      <c r="T3016" s="102">
        <f t="shared" si="2281"/>
        <v>0</v>
      </c>
      <c r="U3016" s="78">
        <f>IF(NOT(ISNUMBER(G3016)), "", VLOOKUP(A3016,'Discount Lookup'!D:E,2,FALSE)*G3016)</f>
        <v>0</v>
      </c>
      <c r="V3016" s="78">
        <f>IF(NOT(ISNUMBER(G3016)), "", VLOOKUP(A3016,'Discount Lookup'!G:H,2,FALSE)*G3016)</f>
        <v>0</v>
      </c>
      <c r="W3016" s="102">
        <f t="shared" si="2282"/>
        <v>0</v>
      </c>
      <c r="X3016" s="102">
        <f t="shared" si="2283"/>
        <v>0</v>
      </c>
      <c r="Y3016" s="120" t="b">
        <f t="shared" si="2284"/>
        <v>0</v>
      </c>
      <c r="Z3016" s="117">
        <f t="shared" si="2285"/>
        <v>0</v>
      </c>
      <c r="AA3016" s="118"/>
      <c r="AB3016" s="118" t="str">
        <f t="shared" si="2286"/>
        <v/>
      </c>
      <c r="AC3016" s="712" t="str">
        <f>IF(AE3016="T2G","no charge",IF(AND(OR(PlanterYesMe="No",PlanterYesMe="N",PlanterYesMe="me"),H3016=""),"",IF(H3016="credit","NO install",IF(AND(K3016="",AE3016="me"),"EACH row",IF(AND(K3016="images",AE3016="me"),"EACH row",IF(D3016="","",IF(H3016="credit","",IF(AE3016="free","re-planting",IF(AE3016="me","   not ELP, by",IF(AND(OR(PlanterYesMe="Yes",PlanterYesMe="Y"),G3016&gt;0),(VLOOKUP(A3016,'Discount Lookup'!J:K,2)*G3016*(1-PlanterDiscount)*(1+PlanterDifficultyPercentage)),IF(AE3016="ELP",(VLOOKUP(A3016,'Discount Lookup'!J:K,2)*G3016*(1-PlanterDiscount)*(1+PlanterDifficultyPercentage)),IF(AE3016="free","re-planting",IF(G3016=0,"",IF(PlanterYesMe="",IF(AE3016="me","   not ELP, by",IF(AE3016="",IF(G3016&gt;0,(VLOOKUP(A3016,'Discount Lookup'!J:K,2)*G3016*(1-PlanterDiscount)*(1+PlanterDifficultyPercentage)),""),"")),"   not ELP, by"))))))))))))))</f>
        <v/>
      </c>
      <c r="AD3016" s="712"/>
      <c r="AE3016" s="513" t="str">
        <f t="shared" si="2287"/>
        <v/>
      </c>
      <c r="AF3016" s="713" t="str">
        <f t="shared" si="2288"/>
        <v/>
      </c>
      <c r="AG3016" s="713"/>
      <c r="AH3016" s="713"/>
      <c r="AI3016" s="112">
        <f>IF(H3016="credit",0,IF(AE3016="free",0,IF(AE3016="me",0,IF(G3016&gt;0,(VLOOKUP(A3016,'Discount Lookup'!J:K,2)*G3016),0))))</f>
        <v>0</v>
      </c>
      <c r="AJ3016" s="107" t="str">
        <f t="shared" ca="1" si="2289"/>
        <v/>
      </c>
      <c r="AK3016" s="714" t="str">
        <f t="shared" si="2290"/>
        <v/>
      </c>
      <c r="AL3016" s="714"/>
      <c r="AM3016" s="114" t="str">
        <f t="shared" si="2291"/>
        <v/>
      </c>
      <c r="AN3016" s="115"/>
      <c r="AO3016" s="116"/>
      <c r="AP3016" s="116"/>
      <c r="AQ3016" s="116"/>
      <c r="AR3016" s="116"/>
      <c r="AS3016" s="116"/>
      <c r="AT3016" s="116"/>
      <c r="AU3016" s="116"/>
      <c r="AV3016" s="78"/>
      <c r="AW3016" s="102"/>
      <c r="AX3016" s="78"/>
      <c r="AY3016" s="78"/>
      <c r="AZ3016" s="78"/>
      <c r="BA3016" s="78"/>
      <c r="BB3016" s="78"/>
      <c r="BC3016" s="78"/>
      <c r="BD3016" s="78"/>
      <c r="BE3016" s="465"/>
      <c r="BF3016" s="165" t="str">
        <f t="shared" si="2292"/>
        <v>https://www.google.com/search?tbm=isch&amp;q=3%20G2</v>
      </c>
      <c r="BG3016" s="165" t="str">
        <f t="shared" si="2293"/>
        <v>M</v>
      </c>
      <c r="BH3016" s="65"/>
      <c r="BI3016" s="65"/>
      <c r="BJ3016" s="65"/>
      <c r="BK3016" s="65"/>
      <c r="BL3016" s="99"/>
      <c r="BM3016" s="99"/>
      <c r="BN3016" s="99"/>
    </row>
    <row r="3017" spans="1:66" s="51" customFormat="1" ht="17.25" thickBot="1" x14ac:dyDescent="0.3">
      <c r="A3017" s="641" t="s">
        <v>3606</v>
      </c>
      <c r="B3017" s="642"/>
      <c r="C3017" s="710"/>
      <c r="D3017" s="643"/>
      <c r="E3017" s="643"/>
      <c r="F3017" s="644"/>
      <c r="G3017" s="645"/>
      <c r="H3017" s="646"/>
      <c r="I3017" s="647"/>
      <c r="J3017" s="648"/>
      <c r="K3017" s="649"/>
      <c r="L3017" s="650"/>
      <c r="M3017" s="650"/>
      <c r="N3017" s="644"/>
      <c r="O3017" s="644"/>
      <c r="P3017" s="644"/>
      <c r="Q3017" s="644"/>
      <c r="R3017" s="644"/>
      <c r="S3017" s="701" t="s">
        <v>5272</v>
      </c>
      <c r="T3017" s="102">
        <f t="shared" si="2281"/>
        <v>0</v>
      </c>
      <c r="U3017" s="78" t="str">
        <f>IF(NOT(ISNUMBER(G3017)), "", VLOOKUP(A3017,'Discount Lookup'!D:E,2,FALSE)*G3017)</f>
        <v/>
      </c>
      <c r="V3017" s="78" t="str">
        <f>IF(NOT(ISNUMBER(G3017)), "", VLOOKUP(A3017,'Discount Lookup'!G:H,2,FALSE)*G3017)</f>
        <v/>
      </c>
      <c r="W3017" s="102">
        <f t="shared" si="2282"/>
        <v>0</v>
      </c>
      <c r="X3017" s="102">
        <f t="shared" si="2283"/>
        <v>0</v>
      </c>
      <c r="Y3017" s="120" t="b">
        <f t="shared" si="2284"/>
        <v>0</v>
      </c>
      <c r="Z3017" s="117">
        <f t="shared" si="2285"/>
        <v>0</v>
      </c>
      <c r="AA3017" s="118"/>
      <c r="AB3017" s="118" t="str">
        <f t="shared" si="2286"/>
        <v/>
      </c>
      <c r="AC3017" s="712" t="str">
        <f>IF(AE3017="T2G","no charge",IF(AND(OR(PlanterYesMe="No",PlanterYesMe="N",PlanterYesMe="me"),H3017=""),"",IF(H3017="credit","NO install",IF(AND(K3017="",AE3017="me"),"EACH row",IF(AND(K3017="images",AE3017="me"),"EACH row",IF(D3017="","",IF(H3017="credit","",IF(AE3017="free","re-planting",IF(AE3017="me","   not ELP, by",IF(AND(OR(PlanterYesMe="Yes",PlanterYesMe="Y"),G3017&gt;0),(VLOOKUP(A3017,'Discount Lookup'!J:K,2)*G3017*(1-PlanterDiscount)*(1+PlanterDifficultyPercentage)),IF(AE3017="ELP",(VLOOKUP(A3017,'Discount Lookup'!J:K,2)*G3017*(1-PlanterDiscount)*(1+PlanterDifficultyPercentage)),IF(AE3017="free","re-planting",IF(G3017=0,"",IF(PlanterYesMe="",IF(AE3017="me","   not ELP, by",IF(AE3017="",IF(G3017&gt;0,(VLOOKUP(A3017,'Discount Lookup'!J:K,2)*G3017*(1-PlanterDiscount)*(1+PlanterDifficultyPercentage)),""),"")),"   not ELP, by"))))))))))))))</f>
        <v/>
      </c>
      <c r="AD3017" s="712"/>
      <c r="AE3017" s="513" t="str">
        <f t="shared" si="2287"/>
        <v/>
      </c>
      <c r="AF3017" s="713" t="str">
        <f t="shared" si="2288"/>
        <v/>
      </c>
      <c r="AG3017" s="713"/>
      <c r="AH3017" s="713"/>
      <c r="AI3017" s="112">
        <f>IF(H3017="credit",0,IF(AE3017="free",0,IF(AE3017="me",0,IF(G3017&gt;0,(VLOOKUP(A3017,'Discount Lookup'!J:K,2)*G3017),0))))</f>
        <v>0</v>
      </c>
      <c r="AJ3017" s="107" t="str">
        <f t="shared" ca="1" si="2289"/>
        <v/>
      </c>
      <c r="AK3017" s="714" t="str">
        <f t="shared" si="2290"/>
        <v/>
      </c>
      <c r="AL3017" s="714"/>
      <c r="AM3017" s="114" t="str">
        <f t="shared" si="2291"/>
        <v/>
      </c>
      <c r="AN3017" s="115"/>
      <c r="AO3017" s="116"/>
      <c r="AP3017" s="116"/>
      <c r="AQ3017" s="116"/>
      <c r="AR3017" s="116"/>
      <c r="AS3017" s="116"/>
      <c r="AT3017" s="116"/>
      <c r="AU3017" s="116"/>
      <c r="AV3017" s="78"/>
      <c r="AW3017" s="102"/>
      <c r="AX3017" s="78"/>
      <c r="AY3017" s="78"/>
      <c r="AZ3017" s="78"/>
      <c r="BA3017" s="78"/>
      <c r="BB3017" s="78"/>
      <c r="BC3017" s="78"/>
      <c r="BD3017" s="78"/>
      <c r="BE3017" s="465"/>
      <c r="BF3017" s="165" t="str">
        <f t="shared" si="2292"/>
        <v>https://www.google.com/search?tbm=isch&amp;q=Gracillimus%27%20Coppery%20to%20Reddish-Bronze%20plumes%20appear%20late%20summer%2C%20then%20change%20to%20Silvery-Tan.%20Almost%20evergreen%20</v>
      </c>
      <c r="BG3017" s="165" t="str">
        <f t="shared" si="2293"/>
        <v>G</v>
      </c>
      <c r="BH3017" s="65"/>
      <c r="BI3017" s="65"/>
      <c r="BJ3017" s="65"/>
      <c r="BK3017" s="65"/>
      <c r="BL3017" s="99"/>
      <c r="BM3017" s="99"/>
      <c r="BN3017" s="99"/>
    </row>
    <row r="3018" spans="1:66" s="51" customFormat="1" ht="18" x14ac:dyDescent="0.25">
      <c r="A3018" s="623" t="s">
        <v>3607</v>
      </c>
      <c r="B3018" s="624"/>
      <c r="C3018" s="709"/>
      <c r="D3018" s="625" t="s">
        <v>3608</v>
      </c>
      <c r="E3018" s="626"/>
      <c r="F3018" s="626"/>
      <c r="G3018" s="626"/>
      <c r="H3018" s="622" t="s">
        <v>1071</v>
      </c>
      <c r="I3018" s="627" t="s">
        <v>3609</v>
      </c>
      <c r="J3018" s="628"/>
      <c r="K3018" s="628"/>
      <c r="L3018" s="629"/>
      <c r="M3018" s="700" t="s">
        <v>5241</v>
      </c>
      <c r="N3018" s="693" t="str">
        <f>IF(AND(ISTEXT($A3018), ISERROR($A3018+0)), HYPERLINK($BF3018, "Images"), "")</f>
        <v>Images</v>
      </c>
      <c r="O3018" s="695" t="s">
        <v>5244</v>
      </c>
      <c r="P3018" s="630"/>
      <c r="Q3018" s="631"/>
      <c r="R3018" s="632"/>
      <c r="S3018" s="633"/>
      <c r="T3018" s="102">
        <f t="shared" si="2281"/>
        <v>0</v>
      </c>
      <c r="U3018" s="78" t="str">
        <f>IF(NOT(ISNUMBER(G3018)), "", VLOOKUP(A3018,'Discount Lookup'!D:E,2,FALSE)*G3018)</f>
        <v/>
      </c>
      <c r="V3018" s="78" t="str">
        <f>IF(NOT(ISNUMBER(G3018)), "", VLOOKUP(A3018,'Discount Lookup'!G:H,2,FALSE)*G3018)</f>
        <v/>
      </c>
      <c r="W3018" s="102">
        <f t="shared" si="2282"/>
        <v>0</v>
      </c>
      <c r="X3018" s="102" t="str">
        <f t="shared" si="2283"/>
        <v>Green blades &amp; Yellow bands</v>
      </c>
      <c r="Y3018" s="120" t="b">
        <f t="shared" si="2284"/>
        <v>0</v>
      </c>
      <c r="Z3018" s="117">
        <f t="shared" si="2285"/>
        <v>0</v>
      </c>
      <c r="AA3018" s="118"/>
      <c r="AB3018" s="118" t="str">
        <f t="shared" si="2286"/>
        <v/>
      </c>
      <c r="AC3018" s="712" t="str">
        <f>IF(AE3018="T2G","no charge",IF(AND(OR(PlanterYesMe="No",PlanterYesMe="N",PlanterYesMe="me"),H3018=""),"",IF(H3018="credit","NO install",IF(AND(K3018="",AE3018="me"),"EACH row",IF(AND(K3018="images",AE3018="me"),"EACH row",IF(D3018="","",IF(H3018="credit","",IF(AE3018="free","re-planting",IF(AE3018="me","   not ELP, by",IF(AND(OR(PlanterYesMe="Yes",PlanterYesMe="Y"),G3018&gt;0),(VLOOKUP(A3018,'Discount Lookup'!J:K,2)*G3018*(1-PlanterDiscount)*(1+PlanterDifficultyPercentage)),IF(AE3018="ELP",(VLOOKUP(A3018,'Discount Lookup'!J:K,2)*G3018*(1-PlanterDiscount)*(1+PlanterDifficultyPercentage)),IF(AE3018="free","re-planting",IF(G3018=0,"",IF(PlanterYesMe="",IF(AE3018="me","   not ELP, by",IF(AE3018="",IF(G3018&gt;0,(VLOOKUP(A3018,'Discount Lookup'!J:K,2)*G3018*(1-PlanterDiscount)*(1+PlanterDifficultyPercentage)),""),"")),"   not ELP, by"))))))))))))))</f>
        <v/>
      </c>
      <c r="AD3018" s="712"/>
      <c r="AE3018" s="513" t="str">
        <f t="shared" si="2287"/>
        <v/>
      </c>
      <c r="AF3018" s="713" t="str">
        <f t="shared" si="2288"/>
        <v/>
      </c>
      <c r="AG3018" s="713"/>
      <c r="AH3018" s="713"/>
      <c r="AI3018" s="112">
        <f>IF(H3018="credit",0,IF(AE3018="free",0,IF(AE3018="me",0,IF(G3018&gt;0,(VLOOKUP(A3018,'Discount Lookup'!J:K,2)*G3018),0))))</f>
        <v>0</v>
      </c>
      <c r="AJ3018" s="107" t="str">
        <f t="shared" ca="1" si="2289"/>
        <v/>
      </c>
      <c r="AK3018" s="714" t="str">
        <f t="shared" si="2290"/>
        <v/>
      </c>
      <c r="AL3018" s="714"/>
      <c r="AM3018" s="114" t="str">
        <f t="shared" si="2291"/>
        <v/>
      </c>
      <c r="AN3018" s="115"/>
      <c r="AO3018" s="116"/>
      <c r="AP3018" s="116"/>
      <c r="AQ3018" s="116"/>
      <c r="AR3018" s="116"/>
      <c r="AS3018" s="116"/>
      <c r="AT3018" s="116"/>
      <c r="AU3018" s="116"/>
      <c r="AV3018" s="78"/>
      <c r="AW3018" s="102"/>
      <c r="AX3018" s="78"/>
      <c r="AY3018" s="78"/>
      <c r="AZ3018" s="78"/>
      <c r="BA3018" s="78"/>
      <c r="BB3018" s="78"/>
      <c r="BC3018" s="78"/>
      <c r="BD3018" s="78"/>
      <c r="BE3018" s="465"/>
      <c r="BF3018" s="165" t="str">
        <f t="shared" si="2292"/>
        <v>https://www.google.com/search?tbm=isch&amp;q=Miscanthus%20sinensis%20%27Little%20Zebra%27%20PP%2313008%20Little%20Zebra%20Grass</v>
      </c>
      <c r="BG3018" s="165" t="str">
        <f t="shared" si="2293"/>
        <v>M</v>
      </c>
      <c r="BH3018" s="65"/>
      <c r="BI3018" s="65"/>
      <c r="BJ3018" s="65"/>
      <c r="BK3018" s="65"/>
      <c r="BL3018" s="99"/>
      <c r="BM3018" s="99"/>
      <c r="BN3018" s="99"/>
    </row>
    <row r="3019" spans="1:66" s="51" customFormat="1" ht="15.75" x14ac:dyDescent="0.25">
      <c r="A3019" s="634">
        <v>3</v>
      </c>
      <c r="B3019" s="635" t="s">
        <v>291</v>
      </c>
      <c r="C3019" s="636"/>
      <c r="D3019" s="637" t="s">
        <v>329</v>
      </c>
      <c r="E3019" s="638">
        <v>25.95</v>
      </c>
      <c r="F3019" s="639" t="s">
        <v>292</v>
      </c>
      <c r="G3019" s="484">
        <v>0</v>
      </c>
      <c r="H3019" s="691" t="str">
        <f>IF(G3019=0,"",IF(F3019="Buy",IF(G3019=1,"plant","plants"),IF(F3019&gt;0.01,"warranty","Error")))</f>
        <v/>
      </c>
      <c r="I3019" s="640">
        <f>IF(H3019="free",0,IF(H3019="credit",((E3019*(F3019))*G3019*-1),IF(F3019="Buy",(E3019*G3019),((E3019*(1-F3019))*G3019))))</f>
        <v>0</v>
      </c>
      <c r="J3019" s="640">
        <f>IF(H3019="warranty",0,(I3019*(_xlfn.SINGLE(SalesTaxPercentage))))</f>
        <v>0</v>
      </c>
      <c r="K3019" s="716">
        <f t="shared" ref="K3019" si="2322">I3019+J3019</f>
        <v>0</v>
      </c>
      <c r="L3019" s="716"/>
      <c r="M3019" s="689" t="str">
        <f ca="1">IF(AND(G3019&gt;0,E3019=0),"WARNING - no PRICE inserted",IF(H3019="free","FREE ~ no charge this plant",IF(H3019="credit",CONCATENATE("-$",ROUND(K3019*(1-_xlfn.SINGLE(T2GDiscount))*-1,2)," CREDIT after discount"),IF(_xlfn.SINGLE(T2GDiscount)=0,"",IF(G3019=0,"",IF(F3019="Buy",CONCATENATE("$",ROUND(K3019*(1-_xlfn.SINGLE(T2GDiscount)),2)," with ",(_xlfn.SINGLE(T2GDiscount)*100),"% discount"),CONCATENATE("$",ROUND(K3019*(1-_xlfn.SINGLE(T2GDiscount)),2)," with ",((_xlfn.SINGLE(T2GDiscount)*100+F3019*100)-(_xlfn.SINGLE(T2GDiscount)*100*F3019)),IF(F3019&gt;0,"% discounts",IF(_xlfn.SINGLE(NoWarrantyDiscount)&gt;0,"% discounts","% discount")))))))))</f>
        <v/>
      </c>
      <c r="N3019" s="690"/>
      <c r="O3019" s="486"/>
      <c r="P3019" s="486"/>
      <c r="Q3019" s="486"/>
      <c r="R3019" s="486"/>
      <c r="S3019" s="486"/>
      <c r="T3019" s="102">
        <f t="shared" si="2281"/>
        <v>0</v>
      </c>
      <c r="U3019" s="78">
        <f>IF(NOT(ISNUMBER(G3019)), "", VLOOKUP(A3019,'Discount Lookup'!D:E,2,FALSE)*G3019)</f>
        <v>0</v>
      </c>
      <c r="V3019" s="78">
        <f>IF(NOT(ISNUMBER(G3019)), "", VLOOKUP(A3019,'Discount Lookup'!G:H,2,FALSE)*G3019)</f>
        <v>0</v>
      </c>
      <c r="W3019" s="102">
        <f t="shared" si="2282"/>
        <v>0</v>
      </c>
      <c r="X3019" s="102">
        <f t="shared" si="2283"/>
        <v>0</v>
      </c>
      <c r="Y3019" s="120" t="b">
        <f t="shared" si="2284"/>
        <v>0</v>
      </c>
      <c r="Z3019" s="117">
        <f t="shared" si="2285"/>
        <v>0</v>
      </c>
      <c r="AA3019" s="118"/>
      <c r="AB3019" s="118" t="str">
        <f t="shared" si="2286"/>
        <v/>
      </c>
      <c r="AC3019" s="712" t="str">
        <f>IF(AE3019="T2G","no charge",IF(AND(OR(PlanterYesMe="No",PlanterYesMe="N",PlanterYesMe="me"),H3019=""),"",IF(H3019="credit","NO install",IF(AND(K3019="",AE3019="me"),"EACH row",IF(AND(K3019="images",AE3019="me"),"EACH row",IF(D3019="","",IF(H3019="credit","",IF(AE3019="free","re-planting",IF(AE3019="me","   not ELP, by",IF(AND(OR(PlanterYesMe="Yes",PlanterYesMe="Y"),G3019&gt;0),(VLOOKUP(A3019,'Discount Lookup'!J:K,2)*G3019*(1-PlanterDiscount)*(1+PlanterDifficultyPercentage)),IF(AE3019="ELP",(VLOOKUP(A3019,'Discount Lookup'!J:K,2)*G3019*(1-PlanterDiscount)*(1+PlanterDifficultyPercentage)),IF(AE3019="free","re-planting",IF(G3019=0,"",IF(PlanterYesMe="",IF(AE3019="me","   not ELP, by",IF(AE3019="",IF(G3019&gt;0,(VLOOKUP(A3019,'Discount Lookup'!J:K,2)*G3019*(1-PlanterDiscount)*(1+PlanterDifficultyPercentage)),""),"")),"   not ELP, by"))))))))))))))</f>
        <v/>
      </c>
      <c r="AD3019" s="712"/>
      <c r="AE3019" s="513" t="str">
        <f t="shared" si="2287"/>
        <v/>
      </c>
      <c r="AF3019" s="713" t="str">
        <f t="shared" si="2288"/>
        <v/>
      </c>
      <c r="AG3019" s="713"/>
      <c r="AH3019" s="713"/>
      <c r="AI3019" s="112">
        <f>IF(H3019="credit",0,IF(AE3019="free",0,IF(AE3019="me",0,IF(G3019&gt;0,(VLOOKUP(A3019,'Discount Lookup'!J:K,2)*G3019),0))))</f>
        <v>0</v>
      </c>
      <c r="AJ3019" s="107" t="str">
        <f t="shared" ca="1" si="2289"/>
        <v/>
      </c>
      <c r="AK3019" s="714" t="str">
        <f t="shared" si="2290"/>
        <v/>
      </c>
      <c r="AL3019" s="714"/>
      <c r="AM3019" s="114" t="str">
        <f t="shared" si="2291"/>
        <v/>
      </c>
      <c r="AN3019" s="115"/>
      <c r="AO3019" s="116"/>
      <c r="AP3019" s="116"/>
      <c r="AQ3019" s="116"/>
      <c r="AR3019" s="116"/>
      <c r="AS3019" s="116"/>
      <c r="AT3019" s="116"/>
      <c r="AU3019" s="116"/>
      <c r="AV3019" s="78"/>
      <c r="AW3019" s="102"/>
      <c r="AX3019" s="78"/>
      <c r="AY3019" s="78"/>
      <c r="AZ3019" s="78"/>
      <c r="BA3019" s="78"/>
      <c r="BB3019" s="78"/>
      <c r="BC3019" s="78"/>
      <c r="BD3019" s="78"/>
      <c r="BE3019" s="465"/>
      <c r="BF3019" s="165" t="str">
        <f t="shared" si="2292"/>
        <v>https://www.google.com/search?tbm=isch&amp;q=3%20G2</v>
      </c>
      <c r="BG3019" s="165" t="str">
        <f t="shared" si="2293"/>
        <v>M</v>
      </c>
      <c r="BH3019" s="65"/>
      <c r="BI3019" s="65"/>
      <c r="BJ3019" s="65"/>
      <c r="BK3019" s="65"/>
      <c r="BL3019" s="99"/>
      <c r="BM3019" s="99"/>
      <c r="BN3019" s="99"/>
    </row>
    <row r="3020" spans="1:66" s="51" customFormat="1" ht="15.75" x14ac:dyDescent="0.25">
      <c r="A3020" s="634">
        <v>3</v>
      </c>
      <c r="B3020" s="635" t="s">
        <v>291</v>
      </c>
      <c r="C3020" s="636"/>
      <c r="D3020" s="637" t="s">
        <v>329</v>
      </c>
      <c r="E3020" s="638">
        <v>25.95</v>
      </c>
      <c r="F3020" s="639" t="s">
        <v>292</v>
      </c>
      <c r="G3020" s="484">
        <v>0</v>
      </c>
      <c r="H3020" s="691" t="str">
        <f>IF(G3020=0,"",IF(F3020="Buy",IF(G3020=1,"plant","plants"),IF(F3020&gt;0.01,"warranty","Error")))</f>
        <v/>
      </c>
      <c r="I3020" s="640">
        <f>IF(H3020="free",0,IF(H3020="credit",((E3020*(F3020))*G3020*-1),IF(F3020="Buy",(E3020*G3020),((E3020*(1-F3020))*G3020))))</f>
        <v>0</v>
      </c>
      <c r="J3020" s="640">
        <f>IF(H3020="warranty",0,(I3020*(_xlfn.SINGLE(SalesTaxPercentage))))</f>
        <v>0</v>
      </c>
      <c r="K3020" s="716">
        <f t="shared" ref="K3020" si="2323">I3020+J3020</f>
        <v>0</v>
      </c>
      <c r="L3020" s="716"/>
      <c r="M3020" s="689" t="str">
        <f ca="1">IF(AND(G3020&gt;0,E3020=0),"WARNING - no PRICE inserted",IF(H3020="free","FREE ~ no charge this plant",IF(H3020="credit",CONCATENATE("-$",ROUND(K3020*(1-_xlfn.SINGLE(T2GDiscount))*-1,2)," CREDIT after discount"),IF(_xlfn.SINGLE(T2GDiscount)=0,"",IF(G3020=0,"",IF(F3020="Buy",CONCATENATE("$",ROUND(K3020*(1-_xlfn.SINGLE(T2GDiscount)),2)," with ",(_xlfn.SINGLE(T2GDiscount)*100),"% discount"),CONCATENATE("$",ROUND(K3020*(1-_xlfn.SINGLE(T2GDiscount)),2)," with ",((_xlfn.SINGLE(T2GDiscount)*100+F3020*100)-(_xlfn.SINGLE(T2GDiscount)*100*F3020)),IF(F3020&gt;0,"% discounts",IF(_xlfn.SINGLE(NoWarrantyDiscount)&gt;0,"% discounts","% discount")))))))))</f>
        <v/>
      </c>
      <c r="N3020" s="690"/>
      <c r="O3020" s="486"/>
      <c r="P3020" s="486"/>
      <c r="Q3020" s="486"/>
      <c r="R3020" s="486"/>
      <c r="S3020" s="486"/>
      <c r="T3020" s="102">
        <f t="shared" si="2281"/>
        <v>0</v>
      </c>
      <c r="U3020" s="78">
        <f>IF(NOT(ISNUMBER(G3020)), "", VLOOKUP(A3020,'Discount Lookup'!D:E,2,FALSE)*G3020)</f>
        <v>0</v>
      </c>
      <c r="V3020" s="78">
        <f>IF(NOT(ISNUMBER(G3020)), "", VLOOKUP(A3020,'Discount Lookup'!G:H,2,FALSE)*G3020)</f>
        <v>0</v>
      </c>
      <c r="W3020" s="102">
        <f t="shared" si="2282"/>
        <v>0</v>
      </c>
      <c r="X3020" s="102">
        <f t="shared" si="2283"/>
        <v>0</v>
      </c>
      <c r="Y3020" s="120" t="b">
        <f t="shared" si="2284"/>
        <v>0</v>
      </c>
      <c r="Z3020" s="117">
        <f t="shared" si="2285"/>
        <v>0</v>
      </c>
      <c r="AA3020" s="118"/>
      <c r="AB3020" s="118" t="str">
        <f t="shared" si="2286"/>
        <v/>
      </c>
      <c r="AC3020" s="712" t="str">
        <f>IF(AE3020="T2G","no charge",IF(AND(OR(PlanterYesMe="No",PlanterYesMe="N",PlanterYesMe="me"),H3020=""),"",IF(H3020="credit","NO install",IF(AND(K3020="",AE3020="me"),"EACH row",IF(AND(K3020="images",AE3020="me"),"EACH row",IF(D3020="","",IF(H3020="credit","",IF(AE3020="free","re-planting",IF(AE3020="me","   not ELP, by",IF(AND(OR(PlanterYesMe="Yes",PlanterYesMe="Y"),G3020&gt;0),(VLOOKUP(A3020,'Discount Lookup'!J:K,2)*G3020*(1-PlanterDiscount)*(1+PlanterDifficultyPercentage)),IF(AE3020="ELP",(VLOOKUP(A3020,'Discount Lookup'!J:K,2)*G3020*(1-PlanterDiscount)*(1+PlanterDifficultyPercentage)),IF(AE3020="free","re-planting",IF(G3020=0,"",IF(PlanterYesMe="",IF(AE3020="me","   not ELP, by",IF(AE3020="",IF(G3020&gt;0,(VLOOKUP(A3020,'Discount Lookup'!J:K,2)*G3020*(1-PlanterDiscount)*(1+PlanterDifficultyPercentage)),""),"")),"   not ELP, by"))))))))))))))</f>
        <v/>
      </c>
      <c r="AD3020" s="712"/>
      <c r="AE3020" s="513" t="str">
        <f t="shared" si="2287"/>
        <v/>
      </c>
      <c r="AF3020" s="713" t="str">
        <f t="shared" si="2288"/>
        <v/>
      </c>
      <c r="AG3020" s="713"/>
      <c r="AH3020" s="713"/>
      <c r="AI3020" s="112">
        <f>IF(H3020="credit",0,IF(AE3020="free",0,IF(AE3020="me",0,IF(G3020&gt;0,(VLOOKUP(A3020,'Discount Lookup'!J:K,2)*G3020),0))))</f>
        <v>0</v>
      </c>
      <c r="AJ3020" s="107" t="str">
        <f t="shared" ca="1" si="2289"/>
        <v/>
      </c>
      <c r="AK3020" s="714" t="str">
        <f t="shared" si="2290"/>
        <v/>
      </c>
      <c r="AL3020" s="714"/>
      <c r="AM3020" s="114" t="str">
        <f t="shared" si="2291"/>
        <v/>
      </c>
      <c r="AN3020" s="115"/>
      <c r="AO3020" s="116"/>
      <c r="AP3020" s="116"/>
      <c r="AQ3020" s="116"/>
      <c r="AR3020" s="116"/>
      <c r="AS3020" s="116"/>
      <c r="AT3020" s="116"/>
      <c r="AU3020" s="116"/>
      <c r="AV3020" s="78"/>
      <c r="AW3020" s="102"/>
      <c r="AX3020" s="78"/>
      <c r="AY3020" s="78"/>
      <c r="AZ3020" s="78"/>
      <c r="BA3020" s="78"/>
      <c r="BB3020" s="78"/>
      <c r="BC3020" s="78"/>
      <c r="BD3020" s="78"/>
      <c r="BE3020" s="465"/>
      <c r="BF3020" s="165" t="str">
        <f t="shared" si="2292"/>
        <v>https://www.google.com/search?tbm=isch&amp;q=3%20G2</v>
      </c>
      <c r="BG3020" s="165" t="str">
        <f t="shared" si="2293"/>
        <v>M</v>
      </c>
      <c r="BH3020" s="65"/>
      <c r="BI3020" s="65"/>
      <c r="BJ3020" s="65"/>
      <c r="BK3020" s="65"/>
      <c r="BL3020" s="99"/>
      <c r="BM3020" s="99"/>
      <c r="BN3020" s="99"/>
    </row>
    <row r="3021" spans="1:66" s="51" customFormat="1" ht="17.25" thickBot="1" x14ac:dyDescent="0.3">
      <c r="A3021" s="641" t="s">
        <v>3610</v>
      </c>
      <c r="B3021" s="642"/>
      <c r="C3021" s="710"/>
      <c r="D3021" s="643"/>
      <c r="E3021" s="643"/>
      <c r="F3021" s="644"/>
      <c r="G3021" s="645"/>
      <c r="H3021" s="646"/>
      <c r="I3021" s="647"/>
      <c r="J3021" s="648"/>
      <c r="K3021" s="649"/>
      <c r="L3021" s="650"/>
      <c r="M3021" s="650"/>
      <c r="N3021" s="644"/>
      <c r="O3021" s="644"/>
      <c r="P3021" s="644"/>
      <c r="Q3021" s="644"/>
      <c r="R3021" s="644"/>
      <c r="S3021" s="701" t="s">
        <v>5272</v>
      </c>
      <c r="T3021" s="102">
        <f t="shared" si="2281"/>
        <v>0</v>
      </c>
      <c r="U3021" s="78" t="str">
        <f>IF(NOT(ISNUMBER(G3021)), "", VLOOKUP(A3021,'Discount Lookup'!D:E,2,FALSE)*G3021)</f>
        <v/>
      </c>
      <c r="V3021" s="78" t="str">
        <f>IF(NOT(ISNUMBER(G3021)), "", VLOOKUP(A3021,'Discount Lookup'!G:H,2,FALSE)*G3021)</f>
        <v/>
      </c>
      <c r="W3021" s="102">
        <f t="shared" si="2282"/>
        <v>0</v>
      </c>
      <c r="X3021" s="102">
        <f t="shared" si="2283"/>
        <v>0</v>
      </c>
      <c r="Y3021" s="120" t="b">
        <f t="shared" si="2284"/>
        <v>0</v>
      </c>
      <c r="Z3021" s="117">
        <f t="shared" si="2285"/>
        <v>0</v>
      </c>
      <c r="AA3021" s="118"/>
      <c r="AB3021" s="118" t="str">
        <f t="shared" si="2286"/>
        <v/>
      </c>
      <c r="AC3021" s="712" t="str">
        <f>IF(AE3021="T2G","no charge",IF(AND(OR(PlanterYesMe="No",PlanterYesMe="N",PlanterYesMe="me"),H3021=""),"",IF(H3021="credit","NO install",IF(AND(K3021="",AE3021="me"),"EACH row",IF(AND(K3021="images",AE3021="me"),"EACH row",IF(D3021="","",IF(H3021="credit","",IF(AE3021="free","re-planting",IF(AE3021="me","   not ELP, by",IF(AND(OR(PlanterYesMe="Yes",PlanterYesMe="Y"),G3021&gt;0),(VLOOKUP(A3021,'Discount Lookup'!J:K,2)*G3021*(1-PlanterDiscount)*(1+PlanterDifficultyPercentage)),IF(AE3021="ELP",(VLOOKUP(A3021,'Discount Lookup'!J:K,2)*G3021*(1-PlanterDiscount)*(1+PlanterDifficultyPercentage)),IF(AE3021="free","re-planting",IF(G3021=0,"",IF(PlanterYesMe="",IF(AE3021="me","   not ELP, by",IF(AE3021="",IF(G3021&gt;0,(VLOOKUP(A3021,'Discount Lookup'!J:K,2)*G3021*(1-PlanterDiscount)*(1+PlanterDifficultyPercentage)),""),"")),"   not ELP, by"))))))))))))))</f>
        <v/>
      </c>
      <c r="AD3021" s="712"/>
      <c r="AE3021" s="513" t="str">
        <f t="shared" si="2287"/>
        <v/>
      </c>
      <c r="AF3021" s="713" t="str">
        <f t="shared" si="2288"/>
        <v/>
      </c>
      <c r="AG3021" s="713"/>
      <c r="AH3021" s="713"/>
      <c r="AI3021" s="112">
        <f>IF(H3021="credit",0,IF(AE3021="free",0,IF(AE3021="me",0,IF(G3021&gt;0,(VLOOKUP(A3021,'Discount Lookup'!J:K,2)*G3021),0))))</f>
        <v>0</v>
      </c>
      <c r="AJ3021" s="107" t="str">
        <f t="shared" ca="1" si="2289"/>
        <v/>
      </c>
      <c r="AK3021" s="714" t="str">
        <f t="shared" si="2290"/>
        <v/>
      </c>
      <c r="AL3021" s="714"/>
      <c r="AM3021" s="114" t="str">
        <f t="shared" si="2291"/>
        <v/>
      </c>
      <c r="AN3021" s="115"/>
      <c r="AO3021" s="116"/>
      <c r="AP3021" s="116"/>
      <c r="AQ3021" s="116"/>
      <c r="AR3021" s="116"/>
      <c r="AS3021" s="116"/>
      <c r="AT3021" s="116"/>
      <c r="AU3021" s="116"/>
      <c r="AV3021" s="78"/>
      <c r="AW3021" s="102"/>
      <c r="AX3021" s="78"/>
      <c r="AY3021" s="78"/>
      <c r="AZ3021" s="78"/>
      <c r="BA3021" s="78"/>
      <c r="BB3021" s="78"/>
      <c r="BC3021" s="78"/>
      <c r="BD3021" s="78"/>
      <c r="BE3021" s="465"/>
      <c r="BF3021" s="165" t="str">
        <f t="shared" si="2292"/>
        <v>https://www.google.com/search?tbm=isch&amp;q=Little%20Zebra%20named%20for%20it%27s%20zebra-like%20foliage.%20Reddish-Purple%20plumes%20fade%20to%20a%20Creamy-Tan%20in%20winter%20</v>
      </c>
      <c r="BG3021" s="165" t="str">
        <f t="shared" si="2293"/>
        <v>L</v>
      </c>
      <c r="BH3021" s="65"/>
      <c r="BI3021" s="65"/>
      <c r="BJ3021" s="65"/>
      <c r="BK3021" s="65"/>
      <c r="BL3021" s="99"/>
      <c r="BM3021" s="99"/>
      <c r="BN3021" s="99"/>
    </row>
    <row r="3022" spans="1:66" s="51" customFormat="1" ht="18" x14ac:dyDescent="0.25">
      <c r="A3022" s="623" t="s">
        <v>3611</v>
      </c>
      <c r="B3022" s="624"/>
      <c r="C3022" s="709"/>
      <c r="D3022" s="625" t="s">
        <v>3612</v>
      </c>
      <c r="E3022" s="626"/>
      <c r="F3022" s="626"/>
      <c r="G3022" s="626"/>
      <c r="H3022" s="622" t="s">
        <v>1498</v>
      </c>
      <c r="I3022" s="627" t="s">
        <v>3613</v>
      </c>
      <c r="J3022" s="628"/>
      <c r="K3022" s="628"/>
      <c r="L3022" s="629"/>
      <c r="M3022" s="700" t="s">
        <v>5241</v>
      </c>
      <c r="N3022" s="693" t="str">
        <f>IF(AND(ISTEXT($A3022), ISERROR($A3022+0)), HYPERLINK($BF3022, "Images"), "")</f>
        <v>Images</v>
      </c>
      <c r="O3022" s="695" t="s">
        <v>5244</v>
      </c>
      <c r="P3022" s="630"/>
      <c r="Q3022" s="631"/>
      <c r="R3022" s="632"/>
      <c r="S3022" s="633"/>
      <c r="T3022" s="102">
        <f t="shared" si="2281"/>
        <v>0</v>
      </c>
      <c r="U3022" s="78" t="str">
        <f>IF(NOT(ISNUMBER(G3022)), "", VLOOKUP(A3022,'Discount Lookup'!D:E,2,FALSE)*G3022)</f>
        <v/>
      </c>
      <c r="V3022" s="78" t="str">
        <f>IF(NOT(ISNUMBER(G3022)), "", VLOOKUP(A3022,'Discount Lookup'!G:H,2,FALSE)*G3022)</f>
        <v/>
      </c>
      <c r="W3022" s="102">
        <f t="shared" si="2282"/>
        <v>0</v>
      </c>
      <c r="X3022" s="102" t="str">
        <f t="shared" si="2283"/>
        <v>Silvery-Green &amp; White margins</v>
      </c>
      <c r="Y3022" s="120" t="b">
        <f t="shared" si="2284"/>
        <v>0</v>
      </c>
      <c r="Z3022" s="117">
        <f t="shared" si="2285"/>
        <v>0</v>
      </c>
      <c r="AA3022" s="118"/>
      <c r="AB3022" s="118" t="str">
        <f t="shared" si="2286"/>
        <v/>
      </c>
      <c r="AC3022" s="712" t="str">
        <f>IF(AE3022="T2G","no charge",IF(AND(OR(PlanterYesMe="No",PlanterYesMe="N",PlanterYesMe="me"),H3022=""),"",IF(H3022="credit","NO install",IF(AND(K3022="",AE3022="me"),"EACH row",IF(AND(K3022="images",AE3022="me"),"EACH row",IF(D3022="","",IF(H3022="credit","",IF(AE3022="free","re-planting",IF(AE3022="me","   not ELP, by",IF(AND(OR(PlanterYesMe="Yes",PlanterYesMe="Y"),G3022&gt;0),(VLOOKUP(A3022,'Discount Lookup'!J:K,2)*G3022*(1-PlanterDiscount)*(1+PlanterDifficultyPercentage)),IF(AE3022="ELP",(VLOOKUP(A3022,'Discount Lookup'!J:K,2)*G3022*(1-PlanterDiscount)*(1+PlanterDifficultyPercentage)),IF(AE3022="free","re-planting",IF(G3022=0,"",IF(PlanterYesMe="",IF(AE3022="me","   not ELP, by",IF(AE3022="",IF(G3022&gt;0,(VLOOKUP(A3022,'Discount Lookup'!J:K,2)*G3022*(1-PlanterDiscount)*(1+PlanterDifficultyPercentage)),""),"")),"   not ELP, by"))))))))))))))</f>
        <v/>
      </c>
      <c r="AD3022" s="712"/>
      <c r="AE3022" s="513" t="str">
        <f t="shared" si="2287"/>
        <v/>
      </c>
      <c r="AF3022" s="713" t="str">
        <f t="shared" si="2288"/>
        <v/>
      </c>
      <c r="AG3022" s="713"/>
      <c r="AH3022" s="713"/>
      <c r="AI3022" s="112">
        <f>IF(H3022="credit",0,IF(AE3022="free",0,IF(AE3022="me",0,IF(G3022&gt;0,(VLOOKUP(A3022,'Discount Lookup'!J:K,2)*G3022),0))))</f>
        <v>0</v>
      </c>
      <c r="AJ3022" s="107" t="str">
        <f t="shared" ca="1" si="2289"/>
        <v/>
      </c>
      <c r="AK3022" s="714" t="str">
        <f t="shared" si="2290"/>
        <v/>
      </c>
      <c r="AL3022" s="714"/>
      <c r="AM3022" s="114" t="str">
        <f t="shared" si="2291"/>
        <v/>
      </c>
      <c r="AN3022" s="115"/>
      <c r="AO3022" s="116"/>
      <c r="AP3022" s="116"/>
      <c r="AQ3022" s="116"/>
      <c r="AR3022" s="116"/>
      <c r="AS3022" s="116"/>
      <c r="AT3022" s="116"/>
      <c r="AU3022" s="116"/>
      <c r="AV3022" s="78"/>
      <c r="AW3022" s="102"/>
      <c r="AX3022" s="78"/>
      <c r="AY3022" s="78"/>
      <c r="AZ3022" s="78"/>
      <c r="BA3022" s="78"/>
      <c r="BB3022" s="78"/>
      <c r="BC3022" s="78"/>
      <c r="BD3022" s="78"/>
      <c r="BE3022" s="465"/>
      <c r="BF3022" s="165" t="str">
        <f t="shared" si="2292"/>
        <v>https://www.google.com/search?tbm=isch&amp;q=Miscanthus%20sinensis%20%27Morning%20Light%27%20Morning%20Light%20Maiden%20Grass</v>
      </c>
      <c r="BG3022" s="165" t="str">
        <f t="shared" si="2293"/>
        <v>M</v>
      </c>
      <c r="BH3022" s="65"/>
      <c r="BI3022" s="65"/>
      <c r="BJ3022" s="65"/>
      <c r="BK3022" s="65"/>
      <c r="BL3022" s="99"/>
      <c r="BM3022" s="99"/>
      <c r="BN3022" s="99"/>
    </row>
    <row r="3023" spans="1:66" s="51" customFormat="1" ht="15.75" x14ac:dyDescent="0.25">
      <c r="A3023" s="634">
        <v>3</v>
      </c>
      <c r="B3023" s="635" t="s">
        <v>291</v>
      </c>
      <c r="C3023" s="636" t="s">
        <v>4994</v>
      </c>
      <c r="D3023" s="637" t="s">
        <v>293</v>
      </c>
      <c r="E3023" s="638">
        <v>32.950000000000003</v>
      </c>
      <c r="F3023" s="639" t="s">
        <v>292</v>
      </c>
      <c r="G3023" s="484">
        <v>0</v>
      </c>
      <c r="H3023" s="691" t="str">
        <f>IF(G3023=0,"",IF(F3023="Buy",IF(G3023=1,"plant","plants"),IF(F3023&gt;0.01,"warranty","Error")))</f>
        <v/>
      </c>
      <c r="I3023" s="640">
        <f>IF(H3023="free",0,IF(H3023="credit",((E3023*(F3023))*G3023*-1),IF(F3023="Buy",(E3023*G3023),((E3023*(1-F3023))*G3023))))</f>
        <v>0</v>
      </c>
      <c r="J3023" s="640">
        <f>IF(H3023="warranty",0,(I3023*(_xlfn.SINGLE(SalesTaxPercentage))))</f>
        <v>0</v>
      </c>
      <c r="K3023" s="716">
        <f t="shared" ref="K3023" si="2324">I3023+J3023</f>
        <v>0</v>
      </c>
      <c r="L3023" s="716"/>
      <c r="M3023" s="689" t="str">
        <f ca="1">IF(AND(G3023&gt;0,E3023=0),"WARNING - no PRICE inserted",IF(H3023="free","FREE ~ no charge this plant",IF(H3023="credit",CONCATENATE("-$",ROUND(K3023*(1-_xlfn.SINGLE(T2GDiscount))*-1,2)," CREDIT after discount"),IF(_xlfn.SINGLE(T2GDiscount)=0,"",IF(G3023=0,"",IF(F3023="Buy",CONCATENATE("$",ROUND(K3023*(1-_xlfn.SINGLE(T2GDiscount)),2)," with ",(_xlfn.SINGLE(T2GDiscount)*100),"% discount"),CONCATENATE("$",ROUND(K3023*(1-_xlfn.SINGLE(T2GDiscount)),2)," with ",((_xlfn.SINGLE(T2GDiscount)*100+F3023*100)-(_xlfn.SINGLE(T2GDiscount)*100*F3023)),IF(F3023&gt;0,"% discounts",IF(_xlfn.SINGLE(NoWarrantyDiscount)&gt;0,"% discounts","% discount")))))))))</f>
        <v/>
      </c>
      <c r="N3023" s="690"/>
      <c r="O3023" s="486"/>
      <c r="P3023" s="486"/>
      <c r="Q3023" s="486"/>
      <c r="R3023" s="486"/>
      <c r="S3023" s="486"/>
      <c r="T3023" s="102">
        <f t="shared" si="2281"/>
        <v>0</v>
      </c>
      <c r="U3023" s="78">
        <f>IF(NOT(ISNUMBER(G3023)), "", VLOOKUP(A3023,'Discount Lookup'!D:E,2,FALSE)*G3023)</f>
        <v>0</v>
      </c>
      <c r="V3023" s="78">
        <f>IF(NOT(ISNUMBER(G3023)), "", VLOOKUP(A3023,'Discount Lookup'!G:H,2,FALSE)*G3023)</f>
        <v>0</v>
      </c>
      <c r="W3023" s="102">
        <f t="shared" si="2282"/>
        <v>0</v>
      </c>
      <c r="X3023" s="102">
        <f t="shared" si="2283"/>
        <v>0</v>
      </c>
      <c r="Y3023" s="120" t="b">
        <f t="shared" si="2284"/>
        <v>0</v>
      </c>
      <c r="Z3023" s="117">
        <f t="shared" si="2285"/>
        <v>0</v>
      </c>
      <c r="AA3023" s="118"/>
      <c r="AB3023" s="118" t="str">
        <f t="shared" si="2286"/>
        <v/>
      </c>
      <c r="AC3023" s="712" t="str">
        <f>IF(AE3023="T2G","no charge",IF(AND(OR(PlanterYesMe="No",PlanterYesMe="N",PlanterYesMe="me"),H3023=""),"",IF(H3023="credit","NO install",IF(AND(K3023="",AE3023="me"),"EACH row",IF(AND(K3023="images",AE3023="me"),"EACH row",IF(D3023="","",IF(H3023="credit","",IF(AE3023="free","re-planting",IF(AE3023="me","   not ELP, by",IF(AND(OR(PlanterYesMe="Yes",PlanterYesMe="Y"),G3023&gt;0),(VLOOKUP(A3023,'Discount Lookup'!J:K,2)*G3023*(1-PlanterDiscount)*(1+PlanterDifficultyPercentage)),IF(AE3023="ELP",(VLOOKUP(A3023,'Discount Lookup'!J:K,2)*G3023*(1-PlanterDiscount)*(1+PlanterDifficultyPercentage)),IF(AE3023="free","re-planting",IF(G3023=0,"",IF(PlanterYesMe="",IF(AE3023="me","   not ELP, by",IF(AE3023="",IF(G3023&gt;0,(VLOOKUP(A3023,'Discount Lookup'!J:K,2)*G3023*(1-PlanterDiscount)*(1+PlanterDifficultyPercentage)),""),"")),"   not ELP, by"))))))))))))))</f>
        <v/>
      </c>
      <c r="AD3023" s="712"/>
      <c r="AE3023" s="513" t="str">
        <f t="shared" si="2287"/>
        <v/>
      </c>
      <c r="AF3023" s="713" t="str">
        <f t="shared" si="2288"/>
        <v/>
      </c>
      <c r="AG3023" s="713"/>
      <c r="AH3023" s="713"/>
      <c r="AI3023" s="112">
        <f>IF(H3023="credit",0,IF(AE3023="free",0,IF(AE3023="me",0,IF(G3023&gt;0,(VLOOKUP(A3023,'Discount Lookup'!J:K,2)*G3023),0))))</f>
        <v>0</v>
      </c>
      <c r="AJ3023" s="107" t="str">
        <f t="shared" ca="1" si="2289"/>
        <v/>
      </c>
      <c r="AK3023" s="714" t="str">
        <f t="shared" si="2290"/>
        <v/>
      </c>
      <c r="AL3023" s="714"/>
      <c r="AM3023" s="114" t="str">
        <f t="shared" si="2291"/>
        <v/>
      </c>
      <c r="AN3023" s="115"/>
      <c r="AO3023" s="116"/>
      <c r="AP3023" s="116"/>
      <c r="AQ3023" s="116"/>
      <c r="AR3023" s="116"/>
      <c r="AS3023" s="116"/>
      <c r="AT3023" s="116"/>
      <c r="AU3023" s="116"/>
      <c r="AV3023" s="78"/>
      <c r="AW3023" s="102"/>
      <c r="AX3023" s="78"/>
      <c r="AY3023" s="78"/>
      <c r="AZ3023" s="78"/>
      <c r="BA3023" s="78"/>
      <c r="BB3023" s="78"/>
      <c r="BC3023" s="78"/>
      <c r="BD3023" s="78"/>
      <c r="BE3023" s="465"/>
      <c r="BF3023" s="165" t="str">
        <f t="shared" si="2292"/>
        <v>https://www.google.com/search?tbm=isch&amp;q=3%20G6</v>
      </c>
      <c r="BG3023" s="165" t="str">
        <f t="shared" si="2293"/>
        <v>M</v>
      </c>
      <c r="BH3023" s="65"/>
      <c r="BI3023" s="65"/>
      <c r="BJ3023" s="65"/>
      <c r="BK3023" s="65"/>
      <c r="BL3023" s="99"/>
      <c r="BM3023" s="99"/>
      <c r="BN3023" s="99"/>
    </row>
    <row r="3024" spans="1:66" s="51" customFormat="1" ht="17.25" thickBot="1" x14ac:dyDescent="0.3">
      <c r="A3024" s="641" t="s">
        <v>3614</v>
      </c>
      <c r="B3024" s="642"/>
      <c r="C3024" s="710"/>
      <c r="D3024" s="643"/>
      <c r="E3024" s="643"/>
      <c r="F3024" s="644"/>
      <c r="G3024" s="645"/>
      <c r="H3024" s="646"/>
      <c r="I3024" s="647"/>
      <c r="J3024" s="648"/>
      <c r="K3024" s="649"/>
      <c r="L3024" s="650"/>
      <c r="M3024" s="650"/>
      <c r="N3024" s="644"/>
      <c r="O3024" s="644"/>
      <c r="P3024" s="644"/>
      <c r="Q3024" s="644"/>
      <c r="R3024" s="644"/>
      <c r="S3024" s="701" t="s">
        <v>5272</v>
      </c>
      <c r="T3024" s="102">
        <f t="shared" si="2281"/>
        <v>0</v>
      </c>
      <c r="U3024" s="78" t="str">
        <f>IF(NOT(ISNUMBER(G3024)), "", VLOOKUP(A3024,'Discount Lookup'!D:E,2,FALSE)*G3024)</f>
        <v/>
      </c>
      <c r="V3024" s="78" t="str">
        <f>IF(NOT(ISNUMBER(G3024)), "", VLOOKUP(A3024,'Discount Lookup'!G:H,2,FALSE)*G3024)</f>
        <v/>
      </c>
      <c r="W3024" s="102">
        <f t="shared" si="2282"/>
        <v>0</v>
      </c>
      <c r="X3024" s="102">
        <f t="shared" si="2283"/>
        <v>0</v>
      </c>
      <c r="Y3024" s="120" t="b">
        <f t="shared" si="2284"/>
        <v>0</v>
      </c>
      <c r="Z3024" s="117">
        <f t="shared" si="2285"/>
        <v>0</v>
      </c>
      <c r="AA3024" s="118"/>
      <c r="AB3024" s="118" t="str">
        <f t="shared" si="2286"/>
        <v/>
      </c>
      <c r="AC3024" s="712" t="str">
        <f>IF(AE3024="T2G","no charge",IF(AND(OR(PlanterYesMe="No",PlanterYesMe="N",PlanterYesMe="me"),H3024=""),"",IF(H3024="credit","NO install",IF(AND(K3024="",AE3024="me"),"EACH row",IF(AND(K3024="images",AE3024="me"),"EACH row",IF(D3024="","",IF(H3024="credit","",IF(AE3024="free","re-planting",IF(AE3024="me","   not ELP, by",IF(AND(OR(PlanterYesMe="Yes",PlanterYesMe="Y"),G3024&gt;0),(VLOOKUP(A3024,'Discount Lookup'!J:K,2)*G3024*(1-PlanterDiscount)*(1+PlanterDifficultyPercentage)),IF(AE3024="ELP",(VLOOKUP(A3024,'Discount Lookup'!J:K,2)*G3024*(1-PlanterDiscount)*(1+PlanterDifficultyPercentage)),IF(AE3024="free","re-planting",IF(G3024=0,"",IF(PlanterYesMe="",IF(AE3024="me","   not ELP, by",IF(AE3024="",IF(G3024&gt;0,(VLOOKUP(A3024,'Discount Lookup'!J:K,2)*G3024*(1-PlanterDiscount)*(1+PlanterDifficultyPercentage)),""),"")),"   not ELP, by"))))))))))))))</f>
        <v/>
      </c>
      <c r="AD3024" s="712"/>
      <c r="AE3024" s="513" t="str">
        <f t="shared" si="2287"/>
        <v/>
      </c>
      <c r="AF3024" s="713" t="str">
        <f t="shared" si="2288"/>
        <v/>
      </c>
      <c r="AG3024" s="713"/>
      <c r="AH3024" s="713"/>
      <c r="AI3024" s="112">
        <f>IF(H3024="credit",0,IF(AE3024="free",0,IF(AE3024="me",0,IF(G3024&gt;0,(VLOOKUP(A3024,'Discount Lookup'!J:K,2)*G3024),0))))</f>
        <v>0</v>
      </c>
      <c r="AJ3024" s="107" t="str">
        <f t="shared" ca="1" si="2289"/>
        <v/>
      </c>
      <c r="AK3024" s="714" t="str">
        <f t="shared" si="2290"/>
        <v/>
      </c>
      <c r="AL3024" s="714"/>
      <c r="AM3024" s="114" t="str">
        <f t="shared" si="2291"/>
        <v/>
      </c>
      <c r="AN3024" s="115"/>
      <c r="AO3024" s="116"/>
      <c r="AP3024" s="116"/>
      <c r="AQ3024" s="116"/>
      <c r="AR3024" s="116"/>
      <c r="AS3024" s="116"/>
      <c r="AT3024" s="116"/>
      <c r="AU3024" s="116"/>
      <c r="AV3024" s="78"/>
      <c r="AW3024" s="102"/>
      <c r="AX3024" s="78"/>
      <c r="AY3024" s="78"/>
      <c r="AZ3024" s="78"/>
      <c r="BA3024" s="78"/>
      <c r="BB3024" s="78"/>
      <c r="BC3024" s="78"/>
      <c r="BD3024" s="78"/>
      <c r="BE3024" s="465"/>
      <c r="BF3024" s="165" t="str">
        <f t="shared" si="2292"/>
        <v>https://www.google.com/search?tbm=isch&amp;q=Morning%20Light%20has%20Coppery-Red%20plumes%20in%20late%20summer%20to%20fall%2C%20maturing%20to%20Gold-Orange%2C%20then%20Silvery-Tan%20in%20winter%20</v>
      </c>
      <c r="BG3024" s="165" t="str">
        <f t="shared" si="2293"/>
        <v>M</v>
      </c>
      <c r="BH3024" s="65"/>
      <c r="BI3024" s="65"/>
      <c r="BJ3024" s="65"/>
      <c r="BK3024" s="65"/>
      <c r="BL3024" s="99"/>
      <c r="BM3024" s="99"/>
      <c r="BN3024" s="99"/>
    </row>
    <row r="3025" spans="1:66" s="51" customFormat="1" ht="18" x14ac:dyDescent="0.25">
      <c r="A3025" s="623" t="s">
        <v>3615</v>
      </c>
      <c r="B3025" s="624"/>
      <c r="C3025" s="709"/>
      <c r="D3025" s="625" t="s">
        <v>3616</v>
      </c>
      <c r="E3025" s="626"/>
      <c r="F3025" s="626"/>
      <c r="G3025" s="626"/>
      <c r="H3025" s="622" t="s">
        <v>1071</v>
      </c>
      <c r="I3025" s="627" t="s">
        <v>3617</v>
      </c>
      <c r="J3025" s="628"/>
      <c r="K3025" s="628"/>
      <c r="L3025" s="629"/>
      <c r="M3025" s="700" t="s">
        <v>5241</v>
      </c>
      <c r="N3025" s="693" t="str">
        <f>IF(AND(ISTEXT($A3025), ISERROR($A3025+0)), HYPERLINK($BF3025, "Images"), "")</f>
        <v>Images</v>
      </c>
      <c r="O3025" s="695" t="s">
        <v>5244</v>
      </c>
      <c r="P3025" s="630"/>
      <c r="Q3025" s="631"/>
      <c r="R3025" s="632"/>
      <c r="S3025" s="633"/>
      <c r="T3025" s="102">
        <f t="shared" si="2281"/>
        <v>0</v>
      </c>
      <c r="U3025" s="78" t="str">
        <f>IF(NOT(ISNUMBER(G3025)), "", VLOOKUP(A3025,'Discount Lookup'!D:E,2,FALSE)*G3025)</f>
        <v/>
      </c>
      <c r="V3025" s="78" t="str">
        <f>IF(NOT(ISNUMBER(G3025)), "", VLOOKUP(A3025,'Discount Lookup'!G:H,2,FALSE)*G3025)</f>
        <v/>
      </c>
      <c r="W3025" s="102">
        <f t="shared" si="2282"/>
        <v>0</v>
      </c>
      <c r="X3025" s="102" t="str">
        <f t="shared" si="2283"/>
        <v>Green blades &amp; Gold bands</v>
      </c>
      <c r="Y3025" s="120" t="b">
        <f t="shared" si="2284"/>
        <v>0</v>
      </c>
      <c r="Z3025" s="117">
        <f t="shared" si="2285"/>
        <v>0</v>
      </c>
      <c r="AA3025" s="118"/>
      <c r="AB3025" s="118" t="str">
        <f t="shared" si="2286"/>
        <v/>
      </c>
      <c r="AC3025" s="712" t="str">
        <f>IF(AE3025="T2G","no charge",IF(AND(OR(PlanterYesMe="No",PlanterYesMe="N",PlanterYesMe="me"),H3025=""),"",IF(H3025="credit","NO install",IF(AND(K3025="",AE3025="me"),"EACH row",IF(AND(K3025="images",AE3025="me"),"EACH row",IF(D3025="","",IF(H3025="credit","",IF(AE3025="free","re-planting",IF(AE3025="me","   not ELP, by",IF(AND(OR(PlanterYesMe="Yes",PlanterYesMe="Y"),G3025&gt;0),(VLOOKUP(A3025,'Discount Lookup'!J:K,2)*G3025*(1-PlanterDiscount)*(1+PlanterDifficultyPercentage)),IF(AE3025="ELP",(VLOOKUP(A3025,'Discount Lookup'!J:K,2)*G3025*(1-PlanterDiscount)*(1+PlanterDifficultyPercentage)),IF(AE3025="free","re-planting",IF(G3025=0,"",IF(PlanterYesMe="",IF(AE3025="me","   not ELP, by",IF(AE3025="",IF(G3025&gt;0,(VLOOKUP(A3025,'Discount Lookup'!J:K,2)*G3025*(1-PlanterDiscount)*(1+PlanterDifficultyPercentage)),""),"")),"   not ELP, by"))))))))))))))</f>
        <v/>
      </c>
      <c r="AD3025" s="712"/>
      <c r="AE3025" s="513" t="str">
        <f t="shared" si="2287"/>
        <v/>
      </c>
      <c r="AF3025" s="713" t="str">
        <f t="shared" si="2288"/>
        <v/>
      </c>
      <c r="AG3025" s="713"/>
      <c r="AH3025" s="713"/>
      <c r="AI3025" s="112">
        <f>IF(H3025="credit",0,IF(AE3025="free",0,IF(AE3025="me",0,IF(G3025&gt;0,(VLOOKUP(A3025,'Discount Lookup'!J:K,2)*G3025),0))))</f>
        <v>0</v>
      </c>
      <c r="AJ3025" s="107" t="str">
        <f t="shared" ca="1" si="2289"/>
        <v/>
      </c>
      <c r="AK3025" s="714" t="str">
        <f t="shared" si="2290"/>
        <v/>
      </c>
      <c r="AL3025" s="714"/>
      <c r="AM3025" s="114" t="str">
        <f t="shared" si="2291"/>
        <v/>
      </c>
      <c r="AN3025" s="115"/>
      <c r="AO3025" s="116"/>
      <c r="AP3025" s="116"/>
      <c r="AQ3025" s="116"/>
      <c r="AR3025" s="116"/>
      <c r="AS3025" s="116"/>
      <c r="AT3025" s="116"/>
      <c r="AU3025" s="116"/>
      <c r="AV3025" s="78"/>
      <c r="AW3025" s="102"/>
      <c r="AX3025" s="78"/>
      <c r="AY3025" s="78"/>
      <c r="AZ3025" s="78"/>
      <c r="BA3025" s="78"/>
      <c r="BB3025" s="78"/>
      <c r="BC3025" s="78"/>
      <c r="BD3025" s="78"/>
      <c r="BE3025" s="465"/>
      <c r="BF3025" s="165" t="str">
        <f t="shared" si="2292"/>
        <v>https://www.google.com/search?tbm=isch&amp;q=Miscanthus%20sinensis%20%27NCMS2B%27%20PP%2329460%20Bandwidth%20Maiden%20Grass</v>
      </c>
      <c r="BG3025" s="165" t="str">
        <f t="shared" si="2293"/>
        <v>M</v>
      </c>
      <c r="BH3025" s="65"/>
      <c r="BI3025" s="65"/>
      <c r="BJ3025" s="65"/>
      <c r="BK3025" s="65"/>
      <c r="BL3025" s="99"/>
      <c r="BM3025" s="99"/>
      <c r="BN3025" s="99"/>
    </row>
    <row r="3026" spans="1:66" s="51" customFormat="1" ht="15.75" x14ac:dyDescent="0.25">
      <c r="A3026" s="634">
        <v>3</v>
      </c>
      <c r="B3026" s="635" t="s">
        <v>291</v>
      </c>
      <c r="C3026" s="636"/>
      <c r="D3026" s="637" t="s">
        <v>310</v>
      </c>
      <c r="E3026" s="638">
        <v>25.95</v>
      </c>
      <c r="F3026" s="639" t="s">
        <v>292</v>
      </c>
      <c r="G3026" s="484">
        <v>0</v>
      </c>
      <c r="H3026" s="691" t="str">
        <f>IF(G3026=0,"",IF(F3026="Buy",IF(G3026=1,"plant","plants"),IF(F3026&gt;0.01,"warranty","Error")))</f>
        <v/>
      </c>
      <c r="I3026" s="640">
        <f>IF(H3026="free",0,IF(H3026="credit",((E3026*(F3026))*G3026*-1),IF(F3026="Buy",(E3026*G3026),((E3026*(1-F3026))*G3026))))</f>
        <v>0</v>
      </c>
      <c r="J3026" s="640">
        <f>IF(H3026="warranty",0,(I3026*(_xlfn.SINGLE(SalesTaxPercentage))))</f>
        <v>0</v>
      </c>
      <c r="K3026" s="716">
        <f t="shared" ref="K3026" si="2325">I3026+J3026</f>
        <v>0</v>
      </c>
      <c r="L3026" s="716"/>
      <c r="M3026" s="689" t="str">
        <f ca="1">IF(AND(G3026&gt;0,E3026=0),"WARNING - no PRICE inserted",IF(H3026="free","FREE ~ no charge this plant",IF(H3026="credit",CONCATENATE("-$",ROUND(K3026*(1-_xlfn.SINGLE(T2GDiscount))*-1,2)," CREDIT after discount"),IF(_xlfn.SINGLE(T2GDiscount)=0,"",IF(G3026=0,"",IF(F3026="Buy",CONCATENATE("$",ROUND(K3026*(1-_xlfn.SINGLE(T2GDiscount)),2)," with ",(_xlfn.SINGLE(T2GDiscount)*100),"% discount"),CONCATENATE("$",ROUND(K3026*(1-_xlfn.SINGLE(T2GDiscount)),2)," with ",((_xlfn.SINGLE(T2GDiscount)*100+F3026*100)-(_xlfn.SINGLE(T2GDiscount)*100*F3026)),IF(F3026&gt;0,"% discounts",IF(_xlfn.SINGLE(NoWarrantyDiscount)&gt;0,"% discounts","% discount")))))))))</f>
        <v/>
      </c>
      <c r="N3026" s="690"/>
      <c r="O3026" s="486"/>
      <c r="P3026" s="486"/>
      <c r="Q3026" s="486"/>
      <c r="R3026" s="486"/>
      <c r="S3026" s="486"/>
      <c r="T3026" s="102">
        <f t="shared" si="2281"/>
        <v>0</v>
      </c>
      <c r="U3026" s="78">
        <f>IF(NOT(ISNUMBER(G3026)), "", VLOOKUP(A3026,'Discount Lookup'!D:E,2,FALSE)*G3026)</f>
        <v>0</v>
      </c>
      <c r="V3026" s="78">
        <f>IF(NOT(ISNUMBER(G3026)), "", VLOOKUP(A3026,'Discount Lookup'!G:H,2,FALSE)*G3026)</f>
        <v>0</v>
      </c>
      <c r="W3026" s="102">
        <f t="shared" si="2282"/>
        <v>0</v>
      </c>
      <c r="X3026" s="102">
        <f t="shared" si="2283"/>
        <v>0</v>
      </c>
      <c r="Y3026" s="120" t="b">
        <f t="shared" si="2284"/>
        <v>0</v>
      </c>
      <c r="Z3026" s="117">
        <f t="shared" si="2285"/>
        <v>0</v>
      </c>
      <c r="AA3026" s="118"/>
      <c r="AB3026" s="118" t="str">
        <f t="shared" si="2286"/>
        <v/>
      </c>
      <c r="AC3026" s="712" t="str">
        <f>IF(AE3026="T2G","no charge",IF(AND(OR(PlanterYesMe="No",PlanterYesMe="N",PlanterYesMe="me"),H3026=""),"",IF(H3026="credit","NO install",IF(AND(K3026="",AE3026="me"),"EACH row",IF(AND(K3026="images",AE3026="me"),"EACH row",IF(D3026="","",IF(H3026="credit","",IF(AE3026="free","re-planting",IF(AE3026="me","   not ELP, by",IF(AND(OR(PlanterYesMe="Yes",PlanterYesMe="Y"),G3026&gt;0),(VLOOKUP(A3026,'Discount Lookup'!J:K,2)*G3026*(1-PlanterDiscount)*(1+PlanterDifficultyPercentage)),IF(AE3026="ELP",(VLOOKUP(A3026,'Discount Lookup'!J:K,2)*G3026*(1-PlanterDiscount)*(1+PlanterDifficultyPercentage)),IF(AE3026="free","re-planting",IF(G3026=0,"",IF(PlanterYesMe="",IF(AE3026="me","   not ELP, by",IF(AE3026="",IF(G3026&gt;0,(VLOOKUP(A3026,'Discount Lookup'!J:K,2)*G3026*(1-PlanterDiscount)*(1+PlanterDifficultyPercentage)),""),"")),"   not ELP, by"))))))))))))))</f>
        <v/>
      </c>
      <c r="AD3026" s="712"/>
      <c r="AE3026" s="513" t="str">
        <f t="shared" si="2287"/>
        <v/>
      </c>
      <c r="AF3026" s="713" t="str">
        <f t="shared" si="2288"/>
        <v/>
      </c>
      <c r="AG3026" s="713"/>
      <c r="AH3026" s="713"/>
      <c r="AI3026" s="112">
        <f>IF(H3026="credit",0,IF(AE3026="free",0,IF(AE3026="me",0,IF(G3026&gt;0,(VLOOKUP(A3026,'Discount Lookup'!J:K,2)*G3026),0))))</f>
        <v>0</v>
      </c>
      <c r="AJ3026" s="107" t="str">
        <f t="shared" ca="1" si="2289"/>
        <v/>
      </c>
      <c r="AK3026" s="714" t="str">
        <f t="shared" si="2290"/>
        <v/>
      </c>
      <c r="AL3026" s="714"/>
      <c r="AM3026" s="114" t="str">
        <f t="shared" si="2291"/>
        <v/>
      </c>
      <c r="AN3026" s="115"/>
      <c r="AO3026" s="116"/>
      <c r="AP3026" s="116"/>
      <c r="AQ3026" s="116"/>
      <c r="AR3026" s="116"/>
      <c r="AS3026" s="116"/>
      <c r="AT3026" s="116"/>
      <c r="AU3026" s="116"/>
      <c r="AV3026" s="78"/>
      <c r="AW3026" s="102"/>
      <c r="AX3026" s="78"/>
      <c r="AY3026" s="78"/>
      <c r="AZ3026" s="78"/>
      <c r="BA3026" s="78"/>
      <c r="BB3026" s="78"/>
      <c r="BC3026" s="78"/>
      <c r="BD3026" s="78"/>
      <c r="BE3026" s="465"/>
      <c r="BF3026" s="165" t="str">
        <f t="shared" si="2292"/>
        <v>https://www.google.com/search?tbm=isch&amp;q=3%20G1</v>
      </c>
      <c r="BG3026" s="165" t="str">
        <f t="shared" si="2293"/>
        <v>M</v>
      </c>
      <c r="BH3026" s="65"/>
      <c r="BI3026" s="65"/>
      <c r="BJ3026" s="65"/>
      <c r="BK3026" s="65"/>
      <c r="BL3026" s="99"/>
      <c r="BM3026" s="99"/>
      <c r="BN3026" s="99"/>
    </row>
    <row r="3027" spans="1:66" s="51" customFormat="1" ht="17.25" thickBot="1" x14ac:dyDescent="0.3">
      <c r="A3027" s="641" t="s">
        <v>3618</v>
      </c>
      <c r="B3027" s="642"/>
      <c r="C3027" s="710"/>
      <c r="D3027" s="643"/>
      <c r="E3027" s="643"/>
      <c r="F3027" s="644"/>
      <c r="G3027" s="645"/>
      <c r="H3027" s="646"/>
      <c r="I3027" s="647"/>
      <c r="J3027" s="648"/>
      <c r="K3027" s="649"/>
      <c r="L3027" s="650"/>
      <c r="M3027" s="650"/>
      <c r="N3027" s="644"/>
      <c r="O3027" s="644"/>
      <c r="P3027" s="644"/>
      <c r="Q3027" s="644"/>
      <c r="R3027" s="644"/>
      <c r="S3027" s="701" t="s">
        <v>5272</v>
      </c>
      <c r="T3027" s="102">
        <f t="shared" si="2281"/>
        <v>0</v>
      </c>
      <c r="U3027" s="78" t="str">
        <f>IF(NOT(ISNUMBER(G3027)), "", VLOOKUP(A3027,'Discount Lookup'!D:E,2,FALSE)*G3027)</f>
        <v/>
      </c>
      <c r="V3027" s="78" t="str">
        <f>IF(NOT(ISNUMBER(G3027)), "", VLOOKUP(A3027,'Discount Lookup'!G:H,2,FALSE)*G3027)</f>
        <v/>
      </c>
      <c r="W3027" s="102">
        <f t="shared" si="2282"/>
        <v>0</v>
      </c>
      <c r="X3027" s="102">
        <f t="shared" si="2283"/>
        <v>0</v>
      </c>
      <c r="Y3027" s="120" t="b">
        <f t="shared" si="2284"/>
        <v>0</v>
      </c>
      <c r="Z3027" s="117">
        <f t="shared" si="2285"/>
        <v>0</v>
      </c>
      <c r="AA3027" s="118"/>
      <c r="AB3027" s="118" t="str">
        <f t="shared" si="2286"/>
        <v/>
      </c>
      <c r="AC3027" s="712" t="str">
        <f>IF(AE3027="T2G","no charge",IF(AND(OR(PlanterYesMe="No",PlanterYesMe="N",PlanterYesMe="me"),H3027=""),"",IF(H3027="credit","NO install",IF(AND(K3027="",AE3027="me"),"EACH row",IF(AND(K3027="images",AE3027="me"),"EACH row",IF(D3027="","",IF(H3027="credit","",IF(AE3027="free","re-planting",IF(AE3027="me","   not ELP, by",IF(AND(OR(PlanterYesMe="Yes",PlanterYesMe="Y"),G3027&gt;0),(VLOOKUP(A3027,'Discount Lookup'!J:K,2)*G3027*(1-PlanterDiscount)*(1+PlanterDifficultyPercentage)),IF(AE3027="ELP",(VLOOKUP(A3027,'Discount Lookup'!J:K,2)*G3027*(1-PlanterDiscount)*(1+PlanterDifficultyPercentage)),IF(AE3027="free","re-planting",IF(G3027=0,"",IF(PlanterYesMe="",IF(AE3027="me","   not ELP, by",IF(AE3027="",IF(G3027&gt;0,(VLOOKUP(A3027,'Discount Lookup'!J:K,2)*G3027*(1-PlanterDiscount)*(1+PlanterDifficultyPercentage)),""),"")),"   not ELP, by"))))))))))))))</f>
        <v/>
      </c>
      <c r="AD3027" s="712"/>
      <c r="AE3027" s="513" t="str">
        <f t="shared" si="2287"/>
        <v/>
      </c>
      <c r="AF3027" s="713" t="str">
        <f t="shared" si="2288"/>
        <v/>
      </c>
      <c r="AG3027" s="713"/>
      <c r="AH3027" s="713"/>
      <c r="AI3027" s="112">
        <f>IF(H3027="credit",0,IF(AE3027="free",0,IF(AE3027="me",0,IF(G3027&gt;0,(VLOOKUP(A3027,'Discount Lookup'!J:K,2)*G3027),0))))</f>
        <v>0</v>
      </c>
      <c r="AJ3027" s="107" t="str">
        <f t="shared" ca="1" si="2289"/>
        <v/>
      </c>
      <c r="AK3027" s="714" t="str">
        <f t="shared" si="2290"/>
        <v/>
      </c>
      <c r="AL3027" s="714"/>
      <c r="AM3027" s="114" t="str">
        <f t="shared" si="2291"/>
        <v/>
      </c>
      <c r="AN3027" s="115"/>
      <c r="AO3027" s="116"/>
      <c r="AP3027" s="116"/>
      <c r="AQ3027" s="116"/>
      <c r="AR3027" s="116"/>
      <c r="AS3027" s="116"/>
      <c r="AT3027" s="116"/>
      <c r="AU3027" s="116"/>
      <c r="AV3027" s="78"/>
      <c r="AW3027" s="102"/>
      <c r="AX3027" s="78"/>
      <c r="AY3027" s="78"/>
      <c r="AZ3027" s="78"/>
      <c r="BA3027" s="78"/>
      <c r="BB3027" s="78"/>
      <c r="BC3027" s="78"/>
      <c r="BD3027" s="78"/>
      <c r="BE3027" s="465"/>
      <c r="BF3027" s="165" t="str">
        <f t="shared" si="2292"/>
        <v>https://www.google.com/search?tbm=isch&amp;q=Bandwidth%20has%20Copper-Red%20plumes%20aging%20to%20Silvery-Tan%2C%20turning%20straw%20colored%20in%20winter.%20Bred%20at%20NCSU%20to%20be%20non-invasive%20</v>
      </c>
      <c r="BG3027" s="165" t="str">
        <f t="shared" si="2293"/>
        <v>B</v>
      </c>
      <c r="BH3027" s="65"/>
      <c r="BI3027" s="65"/>
      <c r="BJ3027" s="65"/>
      <c r="BK3027" s="65"/>
      <c r="BL3027" s="99"/>
      <c r="BM3027" s="99"/>
      <c r="BN3027" s="99"/>
    </row>
    <row r="3028" spans="1:66" s="51" customFormat="1" ht="18" x14ac:dyDescent="0.25">
      <c r="A3028" s="623" t="s">
        <v>3619</v>
      </c>
      <c r="B3028" s="624"/>
      <c r="C3028" s="709"/>
      <c r="D3028" s="625" t="s">
        <v>3620</v>
      </c>
      <c r="E3028" s="626"/>
      <c r="F3028" s="626"/>
      <c r="G3028" s="626"/>
      <c r="H3028" s="622" t="s">
        <v>1657</v>
      </c>
      <c r="I3028" s="627" t="s">
        <v>3621</v>
      </c>
      <c r="J3028" s="628"/>
      <c r="K3028" s="628"/>
      <c r="L3028" s="629"/>
      <c r="M3028" s="700" t="s">
        <v>5241</v>
      </c>
      <c r="N3028" s="693" t="str">
        <f>IF(AND(ISTEXT($A3028), ISERROR($A3028+0)), HYPERLINK($BF3028, "Images"), "")</f>
        <v>Images</v>
      </c>
      <c r="O3028" s="695" t="s">
        <v>5244</v>
      </c>
      <c r="P3028" s="630"/>
      <c r="Q3028" s="631"/>
      <c r="R3028" s="632"/>
      <c r="S3028" s="633"/>
      <c r="T3028" s="102">
        <f t="shared" ref="T3028:T3091" si="2326">E3028*G3028</f>
        <v>0</v>
      </c>
      <c r="U3028" s="78" t="str">
        <f>IF(NOT(ISNUMBER(G3028)), "", VLOOKUP(A3028,'Discount Lookup'!D:E,2,FALSE)*G3028)</f>
        <v/>
      </c>
      <c r="V3028" s="78" t="str">
        <f>IF(NOT(ISNUMBER(G3028)), "", VLOOKUP(A3028,'Discount Lookup'!G:H,2,FALSE)*G3028)</f>
        <v/>
      </c>
      <c r="W3028" s="102">
        <f t="shared" ref="W3028:W3091" si="2327">IF(H3028="credit",0,E3028*(SalesTaxPercentage)*G3028)</f>
        <v>0</v>
      </c>
      <c r="X3028" s="102" t="str">
        <f t="shared" ref="X3028:X3091" si="2328">I3028</f>
        <v>Green blades &amp; White stripes</v>
      </c>
      <c r="Y3028" s="120" t="b">
        <f t="shared" ref="Y3028:Y3091" si="2329">IF(AE3028="T2G",0,IF(H3028="credit",0,IF(G3028&gt;0,IF(AE3028="me","",G3028))))</f>
        <v>0</v>
      </c>
      <c r="Z3028" s="117">
        <f t="shared" ref="Z3028:Z3091" si="2330">IF(H3028="credit",G3028,0)</f>
        <v>0</v>
      </c>
      <c r="AA3028" s="118"/>
      <c r="AB3028" s="118" t="str">
        <f t="shared" ref="AB3028:AB3091" si="2331">IF(AE3028="T2G","by Trees2Go",IF(H3028="credit","CREDIT only ~",IF(AND(K3028="",AE3028=OR(PlanterYesMe="No",PlanterYesMe="N",PlanterYesMe="me")),"not THIS line⇨",IF(AND(K3028="images",AE3028="me"),"not THIS line⇨",IF(H3028="credit","",IF(G3028=0,"",IF(AE3028="me","",IF(OR(PlanterYesMe="No",PlanterYesMe="N",PlanterYesMe="me"),"",IF(AE3028="free","warranty",IF(OR(PlanterYesMe="yes",PlanterYesMe="y"),"Edison install:","to install:"))))))))))</f>
        <v/>
      </c>
      <c r="AC3028" s="712" t="str">
        <f>IF(AE3028="T2G","no charge",IF(AND(OR(PlanterYesMe="No",PlanterYesMe="N",PlanterYesMe="me"),H3028=""),"",IF(H3028="credit","NO install",IF(AND(K3028="",AE3028="me"),"EACH row",IF(AND(K3028="images",AE3028="me"),"EACH row",IF(D3028="","",IF(H3028="credit","",IF(AE3028="free","re-planting",IF(AE3028="me","   not ELP, by",IF(AND(OR(PlanterYesMe="Yes",PlanterYesMe="Y"),G3028&gt;0),(VLOOKUP(A3028,'Discount Lookup'!J:K,2)*G3028*(1-PlanterDiscount)*(1+PlanterDifficultyPercentage)),IF(AE3028="ELP",(VLOOKUP(A3028,'Discount Lookup'!J:K,2)*G3028*(1-PlanterDiscount)*(1+PlanterDifficultyPercentage)),IF(AE3028="free","re-planting",IF(G3028=0,"",IF(PlanterYesMe="",IF(AE3028="me","   not ELP, by",IF(AE3028="",IF(G3028&gt;0,(VLOOKUP(A3028,'Discount Lookup'!J:K,2)*G3028*(1-PlanterDiscount)*(1+PlanterDifficultyPercentage)),""),"")),"   not ELP, by"))))))))))))))</f>
        <v/>
      </c>
      <c r="AD3028" s="712"/>
      <c r="AE3028" s="513" t="str">
        <f t="shared" ref="AE3028:AE3091" si="2332">IF(H3028="credit","",IF(G3028=0,"",IF(OR(PlanterYesMe="No",PlanterYesMe="N",PlanterYesMe="me"),"me",IF(H3028="warranty","free",IF(OR(PlanterYesMe="yes",PlanterYesMe="y"),"ELP","")))))</f>
        <v/>
      </c>
      <c r="AF3028" s="713" t="str">
        <f t="shared" ref="AF3028:AF3091" si="2333">IF(OR(PlanterYesMe="No",PlanterYesMe="N",PlanterYesMe="me"),"",IF(H3028="credit","",IF(G3028&gt;0,(CONCATENATE((G3028)," quantity, ",(A3028)," ",B3028)),"")))</f>
        <v/>
      </c>
      <c r="AG3028" s="713"/>
      <c r="AH3028" s="713"/>
      <c r="AI3028" s="112">
        <f>IF(H3028="credit",0,IF(AE3028="free",0,IF(AE3028="me",0,IF(G3028&gt;0,(VLOOKUP(A3028,'Discount Lookup'!J:K,2)*G3028),0))))</f>
        <v>0</v>
      </c>
      <c r="AJ3028" s="107" t="str">
        <f t="shared" ref="AJ3028:AJ3091" ca="1" si="2334">IF(AND(ISREF(H3028),H3028="credit"),"",IF(AND(AND(OFFSET(G3028,0,0)=0,OFFSET(G3028,1,0)&gt;0,ISNUMBER(OFFSET(AC3028,1,0)),OFFSET(AC3028,1,0)&gt;0),OR(PlanterYesMe="yes",PlanterYesMe="y")),"T2G+ELP=",IF(AND(OFFSET(G3028,0,0)=0,OFFSET(G3028,1,0)&gt;0,ISNUMBER(OFFSET(AC3028,1,0)),OFFSET(AC3028,1,0)&gt;0),"if T2G+ELP=",IF(AND(OFFSET(G3028,0,0)=0,OFFSET(G3028,1,0)&gt;0),"T2G Subtotal",IF(H3028="credit","",IF(G3028=0,"",IF(AE3028="free",(K3028*(1-T2GDiscount)),IF(OR(PlanterYesMe="No",PlanterYesMe="N",PlanterYesMe="me"),(K3028*(1-T2GDiscount)),IF(OR(AE3028="me",AE3028="T2G"),(K3028*(1-T2GDiscount)),(K3028*(1-T2GDiscount))+AC3028)))))))))</f>
        <v/>
      </c>
      <c r="AK3028" s="714" t="str">
        <f t="shared" ref="AK3028:AK3091" si="2335">IF(H3028="credit","",IF(G3028=0,"",IF(OR(AE3028="me",AE3028="T2G"),"  delivery-only",IF(OR(PlanterYesMe="No",PlanterYesMe="N",PlanterYesMe="me"),"  delivery-only",CONCATENATE(" $",ROUND(AJ3028/G3028,2)," each")))))</f>
        <v/>
      </c>
      <c r="AL3028" s="714"/>
      <c r="AM3028" s="114" t="str">
        <f t="shared" ref="AM3028:AM3091" si="2336">IF(H3028="credit","",IF(AE3028="free","      ~ discounts included, no tax or planting fee applies ~",IF(G3028=0,"",IF(OR(PlanterYesMe="No",PlanterYesMe="N",PlanterYesMe="me"),CONCATENATE(" $",ROUND(AJ3028/G3028,2)," per plant, with tax &amp; discount"),IF(OR(AE3028="me",AE3028="T2G"),CONCATENATE(" $",ROUND(AJ3028/G3028,2)," per plant, with tax &amp; discount"),CONCATENATE("= $",ROUND((K3028*(1-T2GDiscount))/G3028,2)," per plant + $",AC3028/G3028,(" per planting      ~ includes tax &amp; discounts ~")))))))</f>
        <v/>
      </c>
      <c r="AN3028" s="115"/>
      <c r="AO3028" s="116"/>
      <c r="AP3028" s="116"/>
      <c r="AQ3028" s="116"/>
      <c r="AR3028" s="116"/>
      <c r="AS3028" s="116"/>
      <c r="AT3028" s="116"/>
      <c r="AU3028" s="116"/>
      <c r="AV3028" s="78"/>
      <c r="AW3028" s="102"/>
      <c r="AX3028" s="78"/>
      <c r="AY3028" s="78"/>
      <c r="AZ3028" s="78"/>
      <c r="BA3028" s="78"/>
      <c r="BB3028" s="78"/>
      <c r="BC3028" s="78"/>
      <c r="BD3028" s="78"/>
      <c r="BE3028" s="465"/>
      <c r="BF3028" s="165" t="str">
        <f t="shared" ref="BF3028:BF3091" si="2337">"https://www.google.com/search?tbm=isch&amp;q=" &amp; _xlfn.ENCODEURL($A3028 &amp; " " &amp; $D3028)</f>
        <v>https://www.google.com/search?tbm=isch&amp;q=Miscanthus%20sinensis%20%27Variegatus%27%20Variegated%20Maiden%20Grass</v>
      </c>
      <c r="BG3028" s="165" t="str">
        <f t="shared" ref="BG3028:BG3091" si="2338">IF(ISTEXT(A3028),LEFT(A3028,1),BG3027)</f>
        <v>M</v>
      </c>
      <c r="BH3028" s="65"/>
      <c r="BI3028" s="65"/>
      <c r="BJ3028" s="65"/>
      <c r="BK3028" s="65"/>
      <c r="BL3028" s="99"/>
      <c r="BM3028" s="99"/>
      <c r="BN3028" s="99"/>
    </row>
    <row r="3029" spans="1:66" s="51" customFormat="1" ht="15.75" x14ac:dyDescent="0.25">
      <c r="A3029" s="634">
        <v>3</v>
      </c>
      <c r="B3029" s="635" t="s">
        <v>291</v>
      </c>
      <c r="C3029" s="636" t="s">
        <v>3622</v>
      </c>
      <c r="D3029" s="637" t="s">
        <v>309</v>
      </c>
      <c r="E3029" s="638">
        <v>22.95</v>
      </c>
      <c r="F3029" s="639" t="s">
        <v>292</v>
      </c>
      <c r="G3029" s="484">
        <v>0</v>
      </c>
      <c r="H3029" s="691" t="str">
        <f>IF(G3029=0,"",IF(F3029="Buy",IF(G3029=1,"plant","plants"),IF(F3029&gt;0.01,"warranty","Error")))</f>
        <v/>
      </c>
      <c r="I3029" s="640">
        <f>IF(H3029="free",0,IF(H3029="credit",((E3029*(F3029))*G3029*-1),IF(F3029="Buy",(E3029*G3029),((E3029*(1-F3029))*G3029))))</f>
        <v>0</v>
      </c>
      <c r="J3029" s="640">
        <f>IF(H3029="warranty",0,(I3029*(_xlfn.SINGLE(SalesTaxPercentage))))</f>
        <v>0</v>
      </c>
      <c r="K3029" s="716">
        <f t="shared" ref="K3029" si="2339">I3029+J3029</f>
        <v>0</v>
      </c>
      <c r="L3029" s="716"/>
      <c r="M3029" s="689" t="str">
        <f ca="1">IF(AND(G3029&gt;0,E3029=0),"WARNING - no PRICE inserted",IF(H3029="free","FREE ~ no charge this plant",IF(H3029="credit",CONCATENATE("-$",ROUND(K3029*(1-_xlfn.SINGLE(T2GDiscount))*-1,2)," CREDIT after discount"),IF(_xlfn.SINGLE(T2GDiscount)=0,"",IF(G3029=0,"",IF(F3029="Buy",CONCATENATE("$",ROUND(K3029*(1-_xlfn.SINGLE(T2GDiscount)),2)," with ",(_xlfn.SINGLE(T2GDiscount)*100),"% discount"),CONCATENATE("$",ROUND(K3029*(1-_xlfn.SINGLE(T2GDiscount)),2)," with ",((_xlfn.SINGLE(T2GDiscount)*100+F3029*100)-(_xlfn.SINGLE(T2GDiscount)*100*F3029)),IF(F3029&gt;0,"% discounts",IF(_xlfn.SINGLE(NoWarrantyDiscount)&gt;0,"% discounts","% discount")))))))))</f>
        <v/>
      </c>
      <c r="N3029" s="690"/>
      <c r="O3029" s="486"/>
      <c r="P3029" s="486"/>
      <c r="Q3029" s="486"/>
      <c r="R3029" s="486"/>
      <c r="S3029" s="486"/>
      <c r="T3029" s="102">
        <f t="shared" si="2326"/>
        <v>0</v>
      </c>
      <c r="U3029" s="78">
        <f>IF(NOT(ISNUMBER(G3029)), "", VLOOKUP(A3029,'Discount Lookup'!D:E,2,FALSE)*G3029)</f>
        <v>0</v>
      </c>
      <c r="V3029" s="78">
        <f>IF(NOT(ISNUMBER(G3029)), "", VLOOKUP(A3029,'Discount Lookup'!G:H,2,FALSE)*G3029)</f>
        <v>0</v>
      </c>
      <c r="W3029" s="102">
        <f t="shared" si="2327"/>
        <v>0</v>
      </c>
      <c r="X3029" s="102">
        <f t="shared" si="2328"/>
        <v>0</v>
      </c>
      <c r="Y3029" s="120" t="b">
        <f t="shared" si="2329"/>
        <v>0</v>
      </c>
      <c r="Z3029" s="117">
        <f t="shared" si="2330"/>
        <v>0</v>
      </c>
      <c r="AA3029" s="118"/>
      <c r="AB3029" s="118" t="str">
        <f t="shared" si="2331"/>
        <v/>
      </c>
      <c r="AC3029" s="712" t="str">
        <f>IF(AE3029="T2G","no charge",IF(AND(OR(PlanterYesMe="No",PlanterYesMe="N",PlanterYesMe="me"),H3029=""),"",IF(H3029="credit","NO install",IF(AND(K3029="",AE3029="me"),"EACH row",IF(AND(K3029="images",AE3029="me"),"EACH row",IF(D3029="","",IF(H3029="credit","",IF(AE3029="free","re-planting",IF(AE3029="me","   not ELP, by",IF(AND(OR(PlanterYesMe="Yes",PlanterYesMe="Y"),G3029&gt;0),(VLOOKUP(A3029,'Discount Lookup'!J:K,2)*G3029*(1-PlanterDiscount)*(1+PlanterDifficultyPercentage)),IF(AE3029="ELP",(VLOOKUP(A3029,'Discount Lookup'!J:K,2)*G3029*(1-PlanterDiscount)*(1+PlanterDifficultyPercentage)),IF(AE3029="free","re-planting",IF(G3029=0,"",IF(PlanterYesMe="",IF(AE3029="me","   not ELP, by",IF(AE3029="",IF(G3029&gt;0,(VLOOKUP(A3029,'Discount Lookup'!J:K,2)*G3029*(1-PlanterDiscount)*(1+PlanterDifficultyPercentage)),""),"")),"   not ELP, by"))))))))))))))</f>
        <v/>
      </c>
      <c r="AD3029" s="712"/>
      <c r="AE3029" s="513" t="str">
        <f t="shared" si="2332"/>
        <v/>
      </c>
      <c r="AF3029" s="713" t="str">
        <f t="shared" si="2333"/>
        <v/>
      </c>
      <c r="AG3029" s="713"/>
      <c r="AH3029" s="713"/>
      <c r="AI3029" s="112">
        <f>IF(H3029="credit",0,IF(AE3029="free",0,IF(AE3029="me",0,IF(G3029&gt;0,(VLOOKUP(A3029,'Discount Lookup'!J:K,2)*G3029),0))))</f>
        <v>0</v>
      </c>
      <c r="AJ3029" s="107" t="str">
        <f t="shared" ca="1" si="2334"/>
        <v/>
      </c>
      <c r="AK3029" s="714" t="str">
        <f t="shared" si="2335"/>
        <v/>
      </c>
      <c r="AL3029" s="714"/>
      <c r="AM3029" s="114" t="str">
        <f t="shared" si="2336"/>
        <v/>
      </c>
      <c r="AN3029" s="115"/>
      <c r="AO3029" s="116"/>
      <c r="AP3029" s="116"/>
      <c r="AQ3029" s="116"/>
      <c r="AR3029" s="116"/>
      <c r="AS3029" s="116"/>
      <c r="AT3029" s="116"/>
      <c r="AU3029" s="116"/>
      <c r="AV3029" s="78"/>
      <c r="AW3029" s="102"/>
      <c r="AX3029" s="78"/>
      <c r="AY3029" s="78"/>
      <c r="AZ3029" s="78"/>
      <c r="BA3029" s="78"/>
      <c r="BB3029" s="78"/>
      <c r="BC3029" s="78"/>
      <c r="BD3029" s="78"/>
      <c r="BE3029" s="465"/>
      <c r="BF3029" s="165" t="str">
        <f t="shared" si="2337"/>
        <v>https://www.google.com/search?tbm=isch&amp;q=3%20G3</v>
      </c>
      <c r="BG3029" s="165" t="str">
        <f t="shared" si="2338"/>
        <v>M</v>
      </c>
      <c r="BH3029" s="65"/>
      <c r="BI3029" s="65"/>
      <c r="BJ3029" s="65"/>
      <c r="BK3029" s="65"/>
      <c r="BL3029" s="99"/>
      <c r="BM3029" s="99"/>
      <c r="BN3029" s="99"/>
    </row>
    <row r="3030" spans="1:66" s="51" customFormat="1" ht="16.5" x14ac:dyDescent="0.25">
      <c r="A3030" s="641" t="s">
        <v>3623</v>
      </c>
      <c r="B3030" s="642"/>
      <c r="C3030" s="710"/>
      <c r="D3030" s="643"/>
      <c r="E3030" s="643"/>
      <c r="F3030" s="644"/>
      <c r="G3030" s="645"/>
      <c r="H3030" s="646"/>
      <c r="I3030" s="647"/>
      <c r="J3030" s="648"/>
      <c r="K3030" s="649"/>
      <c r="L3030" s="650"/>
      <c r="M3030" s="650"/>
      <c r="N3030" s="644"/>
      <c r="O3030" s="644"/>
      <c r="P3030" s="644"/>
      <c r="Q3030" s="644"/>
      <c r="R3030" s="644"/>
      <c r="S3030" s="701" t="s">
        <v>5272</v>
      </c>
      <c r="T3030" s="102">
        <f t="shared" si="2326"/>
        <v>0</v>
      </c>
      <c r="U3030" s="78" t="str">
        <f>IF(NOT(ISNUMBER(G3030)), "", VLOOKUP(A3030,'Discount Lookup'!D:E,2,FALSE)*G3030)</f>
        <v/>
      </c>
      <c r="V3030" s="78" t="str">
        <f>IF(NOT(ISNUMBER(G3030)), "", VLOOKUP(A3030,'Discount Lookup'!G:H,2,FALSE)*G3030)</f>
        <v/>
      </c>
      <c r="W3030" s="102">
        <f t="shared" si="2327"/>
        <v>0</v>
      </c>
      <c r="X3030" s="102">
        <f t="shared" si="2328"/>
        <v>0</v>
      </c>
      <c r="Y3030" s="120" t="b">
        <f t="shared" si="2329"/>
        <v>0</v>
      </c>
      <c r="Z3030" s="117">
        <f t="shared" si="2330"/>
        <v>0</v>
      </c>
      <c r="AA3030" s="118"/>
      <c r="AB3030" s="118" t="str">
        <f t="shared" si="2331"/>
        <v/>
      </c>
      <c r="AC3030" s="712" t="str">
        <f>IF(AE3030="T2G","no charge",IF(AND(OR(PlanterYesMe="No",PlanterYesMe="N",PlanterYesMe="me"),H3030=""),"",IF(H3030="credit","NO install",IF(AND(K3030="",AE3030="me"),"EACH row",IF(AND(K3030="images",AE3030="me"),"EACH row",IF(D3030="","",IF(H3030="credit","",IF(AE3030="free","re-planting",IF(AE3030="me","   not ELP, by",IF(AND(OR(PlanterYesMe="Yes",PlanterYesMe="Y"),G3030&gt;0),(VLOOKUP(A3030,'Discount Lookup'!J:K,2)*G3030*(1-PlanterDiscount)*(1+PlanterDifficultyPercentage)),IF(AE3030="ELP",(VLOOKUP(A3030,'Discount Lookup'!J:K,2)*G3030*(1-PlanterDiscount)*(1+PlanterDifficultyPercentage)),IF(AE3030="free","re-planting",IF(G3030=0,"",IF(PlanterYesMe="",IF(AE3030="me","   not ELP, by",IF(AE3030="",IF(G3030&gt;0,(VLOOKUP(A3030,'Discount Lookup'!J:K,2)*G3030*(1-PlanterDiscount)*(1+PlanterDifficultyPercentage)),""),"")),"   not ELP, by"))))))))))))))</f>
        <v/>
      </c>
      <c r="AD3030" s="712"/>
      <c r="AE3030" s="513" t="str">
        <f t="shared" si="2332"/>
        <v/>
      </c>
      <c r="AF3030" s="713" t="str">
        <f t="shared" si="2333"/>
        <v/>
      </c>
      <c r="AG3030" s="713"/>
      <c r="AH3030" s="713"/>
      <c r="AI3030" s="112">
        <f>IF(H3030="credit",0,IF(AE3030="free",0,IF(AE3030="me",0,IF(G3030&gt;0,(VLOOKUP(A3030,'Discount Lookup'!J:K,2)*G3030),0))))</f>
        <v>0</v>
      </c>
      <c r="AJ3030" s="107" t="str">
        <f t="shared" ca="1" si="2334"/>
        <v/>
      </c>
      <c r="AK3030" s="714" t="str">
        <f t="shared" si="2335"/>
        <v/>
      </c>
      <c r="AL3030" s="714"/>
      <c r="AM3030" s="114" t="str">
        <f t="shared" si="2336"/>
        <v/>
      </c>
      <c r="AN3030" s="115"/>
      <c r="AO3030" s="116"/>
      <c r="AP3030" s="116"/>
      <c r="AQ3030" s="116"/>
      <c r="AR3030" s="116"/>
      <c r="AS3030" s="116"/>
      <c r="AT3030" s="116"/>
      <c r="AU3030" s="116"/>
      <c r="AV3030" s="78"/>
      <c r="AW3030" s="102"/>
      <c r="AX3030" s="78"/>
      <c r="AY3030" s="78"/>
      <c r="AZ3030" s="78"/>
      <c r="BA3030" s="78"/>
      <c r="BB3030" s="78"/>
      <c r="BC3030" s="78"/>
      <c r="BD3030" s="78"/>
      <c r="BE3030" s="465"/>
      <c r="BF3030" s="165" t="str">
        <f t="shared" si="2337"/>
        <v>https://www.google.com/search?tbm=isch&amp;q=Variegated%20Maiden%20Grass%20has%20bold%20vertical%20striping.%20Reddish-Pink%20plumes%20mature%20to%20Silvery-White%2C%20then%20Tan-Beige%20in%20winter%20</v>
      </c>
      <c r="BG3030" s="165" t="str">
        <f t="shared" si="2338"/>
        <v>V</v>
      </c>
      <c r="BH3030" s="65"/>
      <c r="BI3030" s="65"/>
      <c r="BJ3030" s="65"/>
      <c r="BK3030" s="65"/>
      <c r="BL3030" s="99"/>
      <c r="BM3030" s="99"/>
      <c r="BN3030" s="99"/>
    </row>
    <row r="3031" spans="1:66" s="51" customFormat="1" ht="19.5" thickBot="1" x14ac:dyDescent="0.3">
      <c r="A3031" s="686" t="s">
        <v>623</v>
      </c>
      <c r="B3031" s="73"/>
      <c r="C3031" s="708"/>
      <c r="D3031" s="73"/>
      <c r="E3031" s="73"/>
      <c r="F3031" s="496"/>
      <c r="G3031" s="73"/>
      <c r="H3031" s="73"/>
      <c r="I3031" s="73"/>
      <c r="J3031" s="497" t="s">
        <v>357</v>
      </c>
      <c r="K3031" s="498"/>
      <c r="L3031" s="562"/>
      <c r="M3031" s="73"/>
      <c r="N3031"/>
      <c r="O3031"/>
      <c r="P3031"/>
      <c r="Q3031"/>
      <c r="R3031"/>
      <c r="S3031"/>
      <c r="T3031" s="102">
        <f t="shared" si="2326"/>
        <v>0</v>
      </c>
      <c r="U3031" s="78" t="str">
        <f>IF(NOT(ISNUMBER(G3031)), "", VLOOKUP(A3031,'Discount Lookup'!D:E,2,FALSE)*G3031)</f>
        <v/>
      </c>
      <c r="V3031" s="78" t="str">
        <f>IF(NOT(ISNUMBER(G3031)), "", VLOOKUP(A3031,'Discount Lookup'!G:H,2,FALSE)*G3031)</f>
        <v/>
      </c>
      <c r="W3031" s="102">
        <f t="shared" si="2327"/>
        <v>0</v>
      </c>
      <c r="X3031" s="102">
        <f t="shared" si="2328"/>
        <v>0</v>
      </c>
      <c r="Y3031" s="120" t="b">
        <f t="shared" si="2329"/>
        <v>0</v>
      </c>
      <c r="Z3031" s="117">
        <f t="shared" si="2330"/>
        <v>0</v>
      </c>
      <c r="AA3031" s="118"/>
      <c r="AB3031" s="118" t="str">
        <f t="shared" si="2331"/>
        <v/>
      </c>
      <c r="AC3031" s="712" t="str">
        <f>IF(AE3031="T2G","no charge",IF(AND(OR(PlanterYesMe="No",PlanterYesMe="N",PlanterYesMe="me"),H3031=""),"",IF(H3031="credit","NO install",IF(AND(K3031="",AE3031="me"),"EACH row",IF(AND(K3031="images",AE3031="me"),"EACH row",IF(D3031="","",IF(H3031="credit","",IF(AE3031="free","re-planting",IF(AE3031="me","   not ELP, by",IF(AND(OR(PlanterYesMe="Yes",PlanterYesMe="Y"),G3031&gt;0),(VLOOKUP(A3031,'Discount Lookup'!J:K,2)*G3031*(1-PlanterDiscount)*(1+PlanterDifficultyPercentage)),IF(AE3031="ELP",(VLOOKUP(A3031,'Discount Lookup'!J:K,2)*G3031*(1-PlanterDiscount)*(1+PlanterDifficultyPercentage)),IF(AE3031="free","re-planting",IF(G3031=0,"",IF(PlanterYesMe="",IF(AE3031="me","   not ELP, by",IF(AE3031="",IF(G3031&gt;0,(VLOOKUP(A3031,'Discount Lookup'!J:K,2)*G3031*(1-PlanterDiscount)*(1+PlanterDifficultyPercentage)),""),"")),"   not ELP, by"))))))))))))))</f>
        <v/>
      </c>
      <c r="AD3031" s="712"/>
      <c r="AE3031" s="513" t="str">
        <f t="shared" si="2332"/>
        <v/>
      </c>
      <c r="AF3031" s="713" t="str">
        <f t="shared" si="2333"/>
        <v/>
      </c>
      <c r="AG3031" s="713"/>
      <c r="AH3031" s="713"/>
      <c r="AI3031" s="112">
        <f>IF(H3031="credit",0,IF(AE3031="free",0,IF(AE3031="me",0,IF(G3031&gt;0,(VLOOKUP(A3031,'Discount Lookup'!J:K,2)*G3031),0))))</f>
        <v>0</v>
      </c>
      <c r="AJ3031" s="107" t="str">
        <f t="shared" ca="1" si="2334"/>
        <v/>
      </c>
      <c r="AK3031" s="714" t="str">
        <f t="shared" si="2335"/>
        <v/>
      </c>
      <c r="AL3031" s="714"/>
      <c r="AM3031" s="114" t="str">
        <f t="shared" si="2336"/>
        <v/>
      </c>
      <c r="AN3031" s="115"/>
      <c r="AO3031" s="116"/>
      <c r="AP3031" s="116"/>
      <c r="AQ3031" s="116"/>
      <c r="AR3031" s="116"/>
      <c r="AS3031" s="116"/>
      <c r="AT3031" s="116"/>
      <c r="AU3031" s="116"/>
      <c r="AV3031" s="78"/>
      <c r="AW3031" s="102"/>
      <c r="AX3031" s="78"/>
      <c r="AY3031" s="78"/>
      <c r="AZ3031" s="78"/>
      <c r="BA3031" s="78"/>
      <c r="BB3031" s="78"/>
      <c r="BC3031" s="78"/>
      <c r="BD3031" s="78"/>
      <c r="BE3031" s="465"/>
      <c r="BF3031" s="165" t="str">
        <f t="shared" si="2337"/>
        <v>https://www.google.com/search?tbm=isch&amp;q=Monarda%20%3D%20Bee%20Balm%20</v>
      </c>
      <c r="BG3031" s="165" t="str">
        <f t="shared" si="2338"/>
        <v>M</v>
      </c>
      <c r="BH3031" s="65"/>
      <c r="BI3031" s="65"/>
      <c r="BJ3031" s="65"/>
      <c r="BK3031" s="65"/>
      <c r="BL3031" s="99"/>
      <c r="BM3031" s="99"/>
      <c r="BN3031" s="99"/>
    </row>
    <row r="3032" spans="1:66" s="51" customFormat="1" ht="18" x14ac:dyDescent="0.25">
      <c r="A3032" s="623" t="s">
        <v>3624</v>
      </c>
      <c r="B3032" s="624"/>
      <c r="C3032" s="709"/>
      <c r="D3032" s="625" t="s">
        <v>5897</v>
      </c>
      <c r="E3032" s="626"/>
      <c r="F3032" s="626"/>
      <c r="G3032" s="626"/>
      <c r="H3032" s="622" t="s">
        <v>1516</v>
      </c>
      <c r="I3032" s="627" t="s">
        <v>2186</v>
      </c>
      <c r="J3032" s="628"/>
      <c r="K3032" s="628"/>
      <c r="L3032" s="629"/>
      <c r="M3032" s="700" t="s">
        <v>5241</v>
      </c>
      <c r="N3032" s="693" t="str">
        <f>IF(AND(ISTEXT($A3032), ISERROR($A3032+0)), HYPERLINK($BF3032, "Images"), "")</f>
        <v>Images</v>
      </c>
      <c r="O3032" s="695" t="s">
        <v>5247</v>
      </c>
      <c r="P3032" s="630"/>
      <c r="Q3032" s="631"/>
      <c r="R3032" s="632"/>
      <c r="S3032" s="633"/>
      <c r="T3032" s="102">
        <f t="shared" si="2326"/>
        <v>0</v>
      </c>
      <c r="U3032" s="78" t="str">
        <f>IF(NOT(ISNUMBER(G3032)), "", VLOOKUP(A3032,'Discount Lookup'!D:E,2,FALSE)*G3032)</f>
        <v/>
      </c>
      <c r="V3032" s="78" t="str">
        <f>IF(NOT(ISNUMBER(G3032)), "", VLOOKUP(A3032,'Discount Lookup'!G:H,2,FALSE)*G3032)</f>
        <v/>
      </c>
      <c r="W3032" s="102">
        <f t="shared" si="2327"/>
        <v>0</v>
      </c>
      <c r="X3032" s="102" t="str">
        <f t="shared" si="2328"/>
        <v>Lavendar-Blue bloom</v>
      </c>
      <c r="Y3032" s="120" t="b">
        <f t="shared" si="2329"/>
        <v>0</v>
      </c>
      <c r="Z3032" s="117">
        <f t="shared" si="2330"/>
        <v>0</v>
      </c>
      <c r="AA3032" s="118"/>
      <c r="AB3032" s="118" t="str">
        <f t="shared" si="2331"/>
        <v/>
      </c>
      <c r="AC3032" s="712" t="str">
        <f>IF(AE3032="T2G","no charge",IF(AND(OR(PlanterYesMe="No",PlanterYesMe="N",PlanterYesMe="me"),H3032=""),"",IF(H3032="credit","NO install",IF(AND(K3032="",AE3032="me"),"EACH row",IF(AND(K3032="images",AE3032="me"),"EACH row",IF(D3032="","",IF(H3032="credit","",IF(AE3032="free","re-planting",IF(AE3032="me","   not ELP, by",IF(AND(OR(PlanterYesMe="Yes",PlanterYesMe="Y"),G3032&gt;0),(VLOOKUP(A3032,'Discount Lookup'!J:K,2)*G3032*(1-PlanterDiscount)*(1+PlanterDifficultyPercentage)),IF(AE3032="ELP",(VLOOKUP(A3032,'Discount Lookup'!J:K,2)*G3032*(1-PlanterDiscount)*(1+PlanterDifficultyPercentage)),IF(AE3032="free","re-planting",IF(G3032=0,"",IF(PlanterYesMe="",IF(AE3032="me","   not ELP, by",IF(AE3032="",IF(G3032&gt;0,(VLOOKUP(A3032,'Discount Lookup'!J:K,2)*G3032*(1-PlanterDiscount)*(1+PlanterDifficultyPercentage)),""),"")),"   not ELP, by"))))))))))))))</f>
        <v/>
      </c>
      <c r="AD3032" s="712"/>
      <c r="AE3032" s="513" t="str">
        <f t="shared" si="2332"/>
        <v/>
      </c>
      <c r="AF3032" s="713" t="str">
        <f t="shared" si="2333"/>
        <v/>
      </c>
      <c r="AG3032" s="713"/>
      <c r="AH3032" s="713"/>
      <c r="AI3032" s="112">
        <f>IF(H3032="credit",0,IF(AE3032="free",0,IF(AE3032="me",0,IF(G3032&gt;0,(VLOOKUP(A3032,'Discount Lookup'!J:K,2)*G3032),0))))</f>
        <v>0</v>
      </c>
      <c r="AJ3032" s="107" t="str">
        <f t="shared" ca="1" si="2334"/>
        <v/>
      </c>
      <c r="AK3032" s="714" t="str">
        <f t="shared" si="2335"/>
        <v/>
      </c>
      <c r="AL3032" s="714"/>
      <c r="AM3032" s="114" t="str">
        <f t="shared" si="2336"/>
        <v/>
      </c>
      <c r="AN3032" s="115"/>
      <c r="AO3032" s="116"/>
      <c r="AP3032" s="116"/>
      <c r="AQ3032" s="116"/>
      <c r="AR3032" s="116"/>
      <c r="AS3032" s="116"/>
      <c r="AT3032" s="116"/>
      <c r="AU3032" s="116"/>
      <c r="AV3032" s="78"/>
      <c r="AW3032" s="102"/>
      <c r="AX3032" s="78"/>
      <c r="AY3032" s="78"/>
      <c r="AZ3032" s="78"/>
      <c r="BA3032" s="78"/>
      <c r="BB3032" s="78"/>
      <c r="BC3032" s="78"/>
      <c r="BD3032" s="78"/>
      <c r="BE3032" s="465"/>
      <c r="BF3032" s="165" t="str">
        <f t="shared" si="2337"/>
        <v>https://www.google.com/search?tbm=isch&amp;q=Monarda%20didyma%20%27Blue%20Moon%27%20PP%2329549%20Blue%20Moon%C2%AE%20Bee%20Balm%20%28SB%C2%AE%29</v>
      </c>
      <c r="BG3032" s="165" t="str">
        <f t="shared" si="2338"/>
        <v>M</v>
      </c>
      <c r="BH3032" s="65"/>
      <c r="BI3032" s="65"/>
      <c r="BJ3032" s="65"/>
      <c r="BK3032" s="65"/>
      <c r="BL3032" s="99"/>
      <c r="BM3032" s="99"/>
      <c r="BN3032" s="99"/>
    </row>
    <row r="3033" spans="1:66" s="51" customFormat="1" ht="27" x14ac:dyDescent="0.25">
      <c r="A3033" s="634">
        <v>2</v>
      </c>
      <c r="B3033" s="635" t="s">
        <v>291</v>
      </c>
      <c r="C3033" s="636" t="s">
        <v>4995</v>
      </c>
      <c r="D3033" s="637" t="s">
        <v>293</v>
      </c>
      <c r="E3033" s="638">
        <v>25.95</v>
      </c>
      <c r="F3033" s="639" t="s">
        <v>292</v>
      </c>
      <c r="G3033" s="484">
        <v>0</v>
      </c>
      <c r="H3033" s="691" t="str">
        <f>IF(G3033=0,"",IF(F3033="Buy",IF(G3033=1,"plant","plants"),IF(F3033&gt;0.01,"warranty","Error")))</f>
        <v/>
      </c>
      <c r="I3033" s="640">
        <f>IF(H3033="free",0,IF(H3033="credit",((E3033*(F3033))*G3033*-1),IF(F3033="Buy",(E3033*G3033),((E3033*(1-F3033))*G3033))))</f>
        <v>0</v>
      </c>
      <c r="J3033" s="640">
        <f>IF(H3033="warranty",0,(I3033*(_xlfn.SINGLE(SalesTaxPercentage))))</f>
        <v>0</v>
      </c>
      <c r="K3033" s="716">
        <f t="shared" ref="K3033" si="2340">I3033+J3033</f>
        <v>0</v>
      </c>
      <c r="L3033" s="716"/>
      <c r="M3033" s="689" t="str">
        <f ca="1">IF(AND(G3033&gt;0,E3033=0),"WARNING - no PRICE inserted",IF(H3033="free","FREE ~ no charge this plant",IF(H3033="credit",CONCATENATE("-$",ROUND(K3033*(1-_xlfn.SINGLE(T2GDiscount))*-1,2)," CREDIT after discount"),IF(_xlfn.SINGLE(T2GDiscount)=0,"",IF(G3033=0,"",IF(F3033="Buy",CONCATENATE("$",ROUND(K3033*(1-_xlfn.SINGLE(T2GDiscount)),2)," with ",(_xlfn.SINGLE(T2GDiscount)*100),"% discount"),CONCATENATE("$",ROUND(K3033*(1-_xlfn.SINGLE(T2GDiscount)),2)," with ",((_xlfn.SINGLE(T2GDiscount)*100+F3033*100)-(_xlfn.SINGLE(T2GDiscount)*100*F3033)),IF(F3033&gt;0,"% discounts",IF(_xlfn.SINGLE(NoWarrantyDiscount)&gt;0,"% discounts","% discount")))))))))</f>
        <v/>
      </c>
      <c r="N3033" s="690"/>
      <c r="O3033" s="486"/>
      <c r="P3033" s="486"/>
      <c r="Q3033" s="486"/>
      <c r="R3033" s="486"/>
      <c r="S3033" s="486"/>
      <c r="T3033" s="102">
        <f t="shared" si="2326"/>
        <v>0</v>
      </c>
      <c r="U3033" s="78">
        <f>IF(NOT(ISNUMBER(G3033)), "", VLOOKUP(A3033,'Discount Lookup'!D:E,2,FALSE)*G3033)</f>
        <v>0</v>
      </c>
      <c r="V3033" s="78">
        <f>IF(NOT(ISNUMBER(G3033)), "", VLOOKUP(A3033,'Discount Lookup'!G:H,2,FALSE)*G3033)</f>
        <v>0</v>
      </c>
      <c r="W3033" s="102">
        <f t="shared" si="2327"/>
        <v>0</v>
      </c>
      <c r="X3033" s="102">
        <f t="shared" si="2328"/>
        <v>0</v>
      </c>
      <c r="Y3033" s="120" t="b">
        <f t="shared" si="2329"/>
        <v>0</v>
      </c>
      <c r="Z3033" s="117">
        <f t="shared" si="2330"/>
        <v>0</v>
      </c>
      <c r="AA3033" s="118"/>
      <c r="AB3033" s="118" t="str">
        <f t="shared" si="2331"/>
        <v/>
      </c>
      <c r="AC3033" s="712" t="str">
        <f>IF(AE3033="T2G","no charge",IF(AND(OR(PlanterYesMe="No",PlanterYesMe="N",PlanterYesMe="me"),H3033=""),"",IF(H3033="credit","NO install",IF(AND(K3033="",AE3033="me"),"EACH row",IF(AND(K3033="images",AE3033="me"),"EACH row",IF(D3033="","",IF(H3033="credit","",IF(AE3033="free","re-planting",IF(AE3033="me","   not ELP, by",IF(AND(OR(PlanterYesMe="Yes",PlanterYesMe="Y"),G3033&gt;0),(VLOOKUP(A3033,'Discount Lookup'!J:K,2)*G3033*(1-PlanterDiscount)*(1+PlanterDifficultyPercentage)),IF(AE3033="ELP",(VLOOKUP(A3033,'Discount Lookup'!J:K,2)*G3033*(1-PlanterDiscount)*(1+PlanterDifficultyPercentage)),IF(AE3033="free","re-planting",IF(G3033=0,"",IF(PlanterYesMe="",IF(AE3033="me","   not ELP, by",IF(AE3033="",IF(G3033&gt;0,(VLOOKUP(A3033,'Discount Lookup'!J:K,2)*G3033*(1-PlanterDiscount)*(1+PlanterDifficultyPercentage)),""),"")),"   not ELP, by"))))))))))))))</f>
        <v/>
      </c>
      <c r="AD3033" s="712"/>
      <c r="AE3033" s="513" t="str">
        <f t="shared" si="2332"/>
        <v/>
      </c>
      <c r="AF3033" s="713" t="str">
        <f t="shared" si="2333"/>
        <v/>
      </c>
      <c r="AG3033" s="713"/>
      <c r="AH3033" s="713"/>
      <c r="AI3033" s="112">
        <f>IF(H3033="credit",0,IF(AE3033="free",0,IF(AE3033="me",0,IF(G3033&gt;0,(VLOOKUP(A3033,'Discount Lookup'!J:K,2)*G3033),0))))</f>
        <v>0</v>
      </c>
      <c r="AJ3033" s="107" t="str">
        <f t="shared" ca="1" si="2334"/>
        <v/>
      </c>
      <c r="AK3033" s="714" t="str">
        <f t="shared" si="2335"/>
        <v/>
      </c>
      <c r="AL3033" s="714"/>
      <c r="AM3033" s="114" t="str">
        <f t="shared" si="2336"/>
        <v/>
      </c>
      <c r="AN3033" s="115"/>
      <c r="AO3033" s="116"/>
      <c r="AP3033" s="116"/>
      <c r="AQ3033" s="116"/>
      <c r="AR3033" s="116"/>
      <c r="AS3033" s="116"/>
      <c r="AT3033" s="116"/>
      <c r="AU3033" s="116"/>
      <c r="AV3033" s="78"/>
      <c r="AW3033" s="102"/>
      <c r="AX3033" s="78"/>
      <c r="AY3033" s="78"/>
      <c r="AZ3033" s="78"/>
      <c r="BA3033" s="78"/>
      <c r="BB3033" s="78"/>
      <c r="BC3033" s="78"/>
      <c r="BD3033" s="78"/>
      <c r="BE3033" s="465"/>
      <c r="BF3033" s="165" t="str">
        <f t="shared" si="2337"/>
        <v>https://www.google.com/search?tbm=isch&amp;q=2%20G6</v>
      </c>
      <c r="BG3033" s="165" t="str">
        <f t="shared" si="2338"/>
        <v>M</v>
      </c>
      <c r="BH3033" s="65"/>
      <c r="BI3033" s="65"/>
      <c r="BJ3033" s="65"/>
      <c r="BK3033" s="65"/>
      <c r="BL3033" s="99"/>
      <c r="BM3033" s="99"/>
      <c r="BN3033" s="99"/>
    </row>
    <row r="3034" spans="1:66" s="51" customFormat="1" ht="16.5" x14ac:dyDescent="0.25">
      <c r="A3034" s="704" t="s">
        <v>5489</v>
      </c>
      <c r="B3034" s="642"/>
      <c r="C3034" s="710"/>
      <c r="D3034" s="643"/>
      <c r="E3034" s="643"/>
      <c r="F3034" s="644"/>
      <c r="G3034" s="645"/>
      <c r="H3034" s="646"/>
      <c r="I3034" s="647"/>
      <c r="J3034" s="648"/>
      <c r="K3034" s="649"/>
      <c r="L3034" s="650"/>
      <c r="M3034" s="650"/>
      <c r="N3034" s="644"/>
      <c r="O3034" s="644"/>
      <c r="P3034" s="644"/>
      <c r="Q3034" s="644"/>
      <c r="R3034" s="644"/>
      <c r="S3034" s="701" t="s">
        <v>5263</v>
      </c>
      <c r="T3034" s="102">
        <f t="shared" si="2326"/>
        <v>0</v>
      </c>
      <c r="U3034" s="78" t="str">
        <f>IF(NOT(ISNUMBER(G3034)), "", VLOOKUP(A3034,'Discount Lookup'!D:E,2,FALSE)*G3034)</f>
        <v/>
      </c>
      <c r="V3034" s="78" t="str">
        <f>IF(NOT(ISNUMBER(G3034)), "", VLOOKUP(A3034,'Discount Lookup'!G:H,2,FALSE)*G3034)</f>
        <v/>
      </c>
      <c r="W3034" s="102">
        <f t="shared" si="2327"/>
        <v>0</v>
      </c>
      <c r="X3034" s="102">
        <f t="shared" si="2328"/>
        <v>0</v>
      </c>
      <c r="Y3034" s="120" t="b">
        <f t="shared" si="2329"/>
        <v>0</v>
      </c>
      <c r="Z3034" s="117">
        <f t="shared" si="2330"/>
        <v>0</v>
      </c>
      <c r="AA3034" s="118"/>
      <c r="AB3034" s="118" t="str">
        <f t="shared" si="2331"/>
        <v/>
      </c>
      <c r="AC3034" s="712" t="str">
        <f>IF(AE3034="T2G","no charge",IF(AND(OR(PlanterYesMe="No",PlanterYesMe="N",PlanterYesMe="me"),H3034=""),"",IF(H3034="credit","NO install",IF(AND(K3034="",AE3034="me"),"EACH row",IF(AND(K3034="images",AE3034="me"),"EACH row",IF(D3034="","",IF(H3034="credit","",IF(AE3034="free","re-planting",IF(AE3034="me","   not ELP, by",IF(AND(OR(PlanterYesMe="Yes",PlanterYesMe="Y"),G3034&gt;0),(VLOOKUP(A3034,'Discount Lookup'!J:K,2)*G3034*(1-PlanterDiscount)*(1+PlanterDifficultyPercentage)),IF(AE3034="ELP",(VLOOKUP(A3034,'Discount Lookup'!J:K,2)*G3034*(1-PlanterDiscount)*(1+PlanterDifficultyPercentage)),IF(AE3034="free","re-planting",IF(G3034=0,"",IF(PlanterYesMe="",IF(AE3034="me","   not ELP, by",IF(AE3034="",IF(G3034&gt;0,(VLOOKUP(A3034,'Discount Lookup'!J:K,2)*G3034*(1-PlanterDiscount)*(1+PlanterDifficultyPercentage)),""),"")),"   not ELP, by"))))))))))))))</f>
        <v/>
      </c>
      <c r="AD3034" s="712"/>
      <c r="AE3034" s="513" t="str">
        <f t="shared" si="2332"/>
        <v/>
      </c>
      <c r="AF3034" s="713" t="str">
        <f t="shared" si="2333"/>
        <v/>
      </c>
      <c r="AG3034" s="713"/>
      <c r="AH3034" s="713"/>
      <c r="AI3034" s="112">
        <f>IF(H3034="credit",0,IF(AE3034="free",0,IF(AE3034="me",0,IF(G3034&gt;0,(VLOOKUP(A3034,'Discount Lookup'!J:K,2)*G3034),0))))</f>
        <v>0</v>
      </c>
      <c r="AJ3034" s="107" t="str">
        <f t="shared" ca="1" si="2334"/>
        <v/>
      </c>
      <c r="AK3034" s="714" t="str">
        <f t="shared" si="2335"/>
        <v/>
      </c>
      <c r="AL3034" s="714"/>
      <c r="AM3034" s="114" t="str">
        <f t="shared" si="2336"/>
        <v/>
      </c>
      <c r="AN3034" s="115"/>
      <c r="AO3034" s="116"/>
      <c r="AP3034" s="116"/>
      <c r="AQ3034" s="116"/>
      <c r="AR3034" s="116"/>
      <c r="AS3034" s="116"/>
      <c r="AT3034" s="116"/>
      <c r="AU3034" s="116"/>
      <c r="AV3034" s="78"/>
      <c r="AW3034" s="102"/>
      <c r="AX3034" s="78"/>
      <c r="AY3034" s="78"/>
      <c r="AZ3034" s="78"/>
      <c r="BA3034" s="78"/>
      <c r="BB3034" s="78"/>
      <c r="BC3034" s="78"/>
      <c r="BD3034" s="78"/>
      <c r="BE3034" s="465"/>
      <c r="BF3034" s="165" t="str">
        <f t="shared" si="2337"/>
        <v>https://www.google.com/search?tbm=isch&amp;q=moist%20sites%F0%9F%92%A7GOOD%2C%20Blue%20Moon%20bred%20for%20excellent%20resistance%20to%20powdery%20mildew.%20Fragrant%20blooms%20</v>
      </c>
      <c r="BG3034" s="165" t="str">
        <f t="shared" si="2338"/>
        <v>m</v>
      </c>
      <c r="BH3034" s="65"/>
      <c r="BI3034" s="65"/>
      <c r="BJ3034" s="65"/>
      <c r="BK3034" s="65"/>
      <c r="BL3034" s="99"/>
      <c r="BM3034" s="99"/>
      <c r="BN3034" s="99"/>
    </row>
    <row r="3035" spans="1:66" s="51" customFormat="1" ht="19.5" thickBot="1" x14ac:dyDescent="0.3">
      <c r="A3035" s="686" t="s">
        <v>624</v>
      </c>
      <c r="B3035" s="73"/>
      <c r="C3035" s="708"/>
      <c r="D3035" s="73"/>
      <c r="E3035" s="73"/>
      <c r="F3035" s="496"/>
      <c r="G3035" s="73"/>
      <c r="H3035" s="73"/>
      <c r="I3035" s="73"/>
      <c r="J3035" s="497" t="s">
        <v>357</v>
      </c>
      <c r="K3035" s="498"/>
      <c r="L3035" s="562"/>
      <c r="M3035" s="73"/>
      <c r="N3035"/>
      <c r="O3035"/>
      <c r="P3035"/>
      <c r="Q3035"/>
      <c r="R3035"/>
      <c r="S3035"/>
      <c r="T3035" s="102">
        <f t="shared" si="2326"/>
        <v>0</v>
      </c>
      <c r="U3035" s="78" t="str">
        <f>IF(NOT(ISNUMBER(G3035)), "", VLOOKUP(A3035,'Discount Lookup'!D:E,2,FALSE)*G3035)</f>
        <v/>
      </c>
      <c r="V3035" s="78" t="str">
        <f>IF(NOT(ISNUMBER(G3035)), "", VLOOKUP(A3035,'Discount Lookup'!G:H,2,FALSE)*G3035)</f>
        <v/>
      </c>
      <c r="W3035" s="102">
        <f t="shared" si="2327"/>
        <v>0</v>
      </c>
      <c r="X3035" s="102">
        <f t="shared" si="2328"/>
        <v>0</v>
      </c>
      <c r="Y3035" s="120" t="b">
        <f t="shared" si="2329"/>
        <v>0</v>
      </c>
      <c r="Z3035" s="117">
        <f t="shared" si="2330"/>
        <v>0</v>
      </c>
      <c r="AA3035" s="118"/>
      <c r="AB3035" s="118" t="str">
        <f t="shared" si="2331"/>
        <v/>
      </c>
      <c r="AC3035" s="712" t="str">
        <f>IF(AE3035="T2G","no charge",IF(AND(OR(PlanterYesMe="No",PlanterYesMe="N",PlanterYesMe="me"),H3035=""),"",IF(H3035="credit","NO install",IF(AND(K3035="",AE3035="me"),"EACH row",IF(AND(K3035="images",AE3035="me"),"EACH row",IF(D3035="","",IF(H3035="credit","",IF(AE3035="free","re-planting",IF(AE3035="me","   not ELP, by",IF(AND(OR(PlanterYesMe="Yes",PlanterYesMe="Y"),G3035&gt;0),(VLOOKUP(A3035,'Discount Lookup'!J:K,2)*G3035*(1-PlanterDiscount)*(1+PlanterDifficultyPercentage)),IF(AE3035="ELP",(VLOOKUP(A3035,'Discount Lookup'!J:K,2)*G3035*(1-PlanterDiscount)*(1+PlanterDifficultyPercentage)),IF(AE3035="free","re-planting",IF(G3035=0,"",IF(PlanterYesMe="",IF(AE3035="me","   not ELP, by",IF(AE3035="",IF(G3035&gt;0,(VLOOKUP(A3035,'Discount Lookup'!J:K,2)*G3035*(1-PlanterDiscount)*(1+PlanterDifficultyPercentage)),""),"")),"   not ELP, by"))))))))))))))</f>
        <v/>
      </c>
      <c r="AD3035" s="712"/>
      <c r="AE3035" s="513" t="str">
        <f t="shared" si="2332"/>
        <v/>
      </c>
      <c r="AF3035" s="713" t="str">
        <f t="shared" si="2333"/>
        <v/>
      </c>
      <c r="AG3035" s="713"/>
      <c r="AH3035" s="713"/>
      <c r="AI3035" s="112">
        <f>IF(H3035="credit",0,IF(AE3035="free",0,IF(AE3035="me",0,IF(G3035&gt;0,(VLOOKUP(A3035,'Discount Lookup'!J:K,2)*G3035),0))))</f>
        <v>0</v>
      </c>
      <c r="AJ3035" s="107" t="str">
        <f t="shared" ca="1" si="2334"/>
        <v/>
      </c>
      <c r="AK3035" s="714" t="str">
        <f t="shared" si="2335"/>
        <v/>
      </c>
      <c r="AL3035" s="714"/>
      <c r="AM3035" s="114" t="str">
        <f t="shared" si="2336"/>
        <v/>
      </c>
      <c r="AN3035" s="115"/>
      <c r="AO3035" s="116"/>
      <c r="AP3035" s="116"/>
      <c r="AQ3035" s="116"/>
      <c r="AR3035" s="116"/>
      <c r="AS3035" s="116"/>
      <c r="AT3035" s="116"/>
      <c r="AU3035" s="116"/>
      <c r="AV3035" s="78"/>
      <c r="AW3035" s="102"/>
      <c r="AX3035" s="78"/>
      <c r="AY3035" s="78"/>
      <c r="AZ3035" s="78"/>
      <c r="BA3035" s="78"/>
      <c r="BB3035" s="78"/>
      <c r="BC3035" s="78"/>
      <c r="BD3035" s="78"/>
      <c r="BE3035" s="465"/>
      <c r="BF3035" s="165" t="str">
        <f t="shared" si="2337"/>
        <v>https://www.google.com/search?tbm=isch&amp;q=Muhlenbergia%20%3D%20Muhly%20Grass%20</v>
      </c>
      <c r="BG3035" s="165" t="str">
        <f t="shared" si="2338"/>
        <v>M</v>
      </c>
      <c r="BH3035" s="65"/>
      <c r="BI3035" s="65"/>
      <c r="BJ3035" s="65"/>
      <c r="BK3035" s="65"/>
      <c r="BL3035" s="99"/>
      <c r="BM3035" s="99"/>
      <c r="BN3035" s="99"/>
    </row>
    <row r="3036" spans="1:66" s="51" customFormat="1" ht="18" x14ac:dyDescent="0.25">
      <c r="A3036" s="623" t="s">
        <v>3625</v>
      </c>
      <c r="B3036" s="624"/>
      <c r="C3036" s="709"/>
      <c r="D3036" s="625" t="s">
        <v>3626</v>
      </c>
      <c r="E3036" s="626"/>
      <c r="F3036" s="626"/>
      <c r="G3036" s="626"/>
      <c r="H3036" s="622" t="s">
        <v>1104</v>
      </c>
      <c r="I3036" s="627" t="s">
        <v>3627</v>
      </c>
      <c r="J3036" s="628"/>
      <c r="K3036" s="628"/>
      <c r="L3036" s="629"/>
      <c r="M3036" s="700" t="s">
        <v>5241</v>
      </c>
      <c r="N3036" s="693" t="str">
        <f>IF(AND(ISTEXT($A3036), ISERROR($A3036+0)), HYPERLINK($BF3036, "Images"), "")</f>
        <v>Images</v>
      </c>
      <c r="O3036" s="695" t="s">
        <v>5244</v>
      </c>
      <c r="P3036" s="630"/>
      <c r="Q3036" s="631"/>
      <c r="R3036" s="632"/>
      <c r="S3036" s="633" t="s">
        <v>294</v>
      </c>
      <c r="T3036" s="102">
        <f t="shared" si="2326"/>
        <v>0</v>
      </c>
      <c r="U3036" s="78" t="str">
        <f>IF(NOT(ISNUMBER(G3036)), "", VLOOKUP(A3036,'Discount Lookup'!D:E,2,FALSE)*G3036)</f>
        <v/>
      </c>
      <c r="V3036" s="78" t="str">
        <f>IF(NOT(ISNUMBER(G3036)), "", VLOOKUP(A3036,'Discount Lookup'!G:H,2,FALSE)*G3036)</f>
        <v/>
      </c>
      <c r="W3036" s="102">
        <f t="shared" si="2327"/>
        <v>0</v>
      </c>
      <c r="X3036" s="102" t="str">
        <f t="shared" si="2328"/>
        <v>Pink to Pinkish-Red bloom</v>
      </c>
      <c r="Y3036" s="120" t="b">
        <f t="shared" si="2329"/>
        <v>0</v>
      </c>
      <c r="Z3036" s="117">
        <f t="shared" si="2330"/>
        <v>0</v>
      </c>
      <c r="AA3036" s="118"/>
      <c r="AB3036" s="118" t="str">
        <f t="shared" si="2331"/>
        <v/>
      </c>
      <c r="AC3036" s="712" t="str">
        <f>IF(AE3036="T2G","no charge",IF(AND(OR(PlanterYesMe="No",PlanterYesMe="N",PlanterYesMe="me"),H3036=""),"",IF(H3036="credit","NO install",IF(AND(K3036="",AE3036="me"),"EACH row",IF(AND(K3036="images",AE3036="me"),"EACH row",IF(D3036="","",IF(H3036="credit","",IF(AE3036="free","re-planting",IF(AE3036="me","   not ELP, by",IF(AND(OR(PlanterYesMe="Yes",PlanterYesMe="Y"),G3036&gt;0),(VLOOKUP(A3036,'Discount Lookup'!J:K,2)*G3036*(1-PlanterDiscount)*(1+PlanterDifficultyPercentage)),IF(AE3036="ELP",(VLOOKUP(A3036,'Discount Lookup'!J:K,2)*G3036*(1-PlanterDiscount)*(1+PlanterDifficultyPercentage)),IF(AE3036="free","re-planting",IF(G3036=0,"",IF(PlanterYesMe="",IF(AE3036="me","   not ELP, by",IF(AE3036="",IF(G3036&gt;0,(VLOOKUP(A3036,'Discount Lookup'!J:K,2)*G3036*(1-PlanterDiscount)*(1+PlanterDifficultyPercentage)),""),"")),"   not ELP, by"))))))))))))))</f>
        <v/>
      </c>
      <c r="AD3036" s="712"/>
      <c r="AE3036" s="513" t="str">
        <f t="shared" si="2332"/>
        <v/>
      </c>
      <c r="AF3036" s="713" t="str">
        <f t="shared" si="2333"/>
        <v/>
      </c>
      <c r="AG3036" s="713"/>
      <c r="AH3036" s="713"/>
      <c r="AI3036" s="112">
        <f>IF(H3036="credit",0,IF(AE3036="free",0,IF(AE3036="me",0,IF(G3036&gt;0,(VLOOKUP(A3036,'Discount Lookup'!J:K,2)*G3036),0))))</f>
        <v>0</v>
      </c>
      <c r="AJ3036" s="107" t="str">
        <f t="shared" ca="1" si="2334"/>
        <v/>
      </c>
      <c r="AK3036" s="714" t="str">
        <f t="shared" si="2335"/>
        <v/>
      </c>
      <c r="AL3036" s="714"/>
      <c r="AM3036" s="114" t="str">
        <f t="shared" si="2336"/>
        <v/>
      </c>
      <c r="AN3036" s="115"/>
      <c r="AO3036" s="116"/>
      <c r="AP3036" s="116"/>
      <c r="AQ3036" s="116"/>
      <c r="AR3036" s="116"/>
      <c r="AS3036" s="116"/>
      <c r="AT3036" s="116"/>
      <c r="AU3036" s="116"/>
      <c r="AV3036" s="78"/>
      <c r="AW3036" s="102"/>
      <c r="AX3036" s="78"/>
      <c r="AY3036" s="78"/>
      <c r="AZ3036" s="78"/>
      <c r="BA3036" s="78"/>
      <c r="BB3036" s="78"/>
      <c r="BC3036" s="78"/>
      <c r="BD3036" s="78"/>
      <c r="BE3036" s="465"/>
      <c r="BF3036" s="165" t="str">
        <f t="shared" si="2337"/>
        <v>https://www.google.com/search?tbm=isch&amp;q=Muhlenbergia%20capillaris%20Pink%20Muhly%20Grass</v>
      </c>
      <c r="BG3036" s="165" t="str">
        <f t="shared" si="2338"/>
        <v>M</v>
      </c>
      <c r="BH3036" s="65"/>
      <c r="BI3036" s="65"/>
      <c r="BJ3036" s="65"/>
      <c r="BK3036" s="65"/>
      <c r="BL3036" s="99"/>
      <c r="BM3036" s="99"/>
      <c r="BN3036" s="99"/>
    </row>
    <row r="3037" spans="1:66" s="51" customFormat="1" ht="15.75" x14ac:dyDescent="0.25">
      <c r="A3037" s="634">
        <v>4</v>
      </c>
      <c r="B3037" s="635" t="s">
        <v>338</v>
      </c>
      <c r="C3037" s="636"/>
      <c r="D3037" s="637" t="s">
        <v>329</v>
      </c>
      <c r="E3037" s="638">
        <v>11.95</v>
      </c>
      <c r="F3037" s="639" t="s">
        <v>292</v>
      </c>
      <c r="G3037" s="484">
        <v>0</v>
      </c>
      <c r="H3037" s="691" t="str">
        <f>IF(G3037=0,"",IF(F3037="Buy",IF(G3037=1,"plant","plants"),IF(F3037&gt;0.01,"warranty","Error")))</f>
        <v/>
      </c>
      <c r="I3037" s="640">
        <f>IF(H3037="free",0,IF(H3037="credit",((E3037*(F3037))*G3037*-1),IF(F3037="Buy",(E3037*G3037),((E3037*(1-F3037))*G3037))))</f>
        <v>0</v>
      </c>
      <c r="J3037" s="640">
        <f>IF(H3037="warranty",0,(I3037*(_xlfn.SINGLE(SalesTaxPercentage))))</f>
        <v>0</v>
      </c>
      <c r="K3037" s="716">
        <f t="shared" ref="K3037" si="2341">I3037+J3037</f>
        <v>0</v>
      </c>
      <c r="L3037" s="716"/>
      <c r="M3037" s="689" t="str">
        <f ca="1">IF(AND(G3037&gt;0,E3037=0),"WARNING - no PRICE inserted",IF(H3037="free","FREE ~ no charge this plant",IF(H3037="credit",CONCATENATE("-$",ROUND(K3037*(1-_xlfn.SINGLE(T2GDiscount))*-1,2)," CREDIT after discount"),IF(_xlfn.SINGLE(T2GDiscount)=0,"",IF(G3037=0,"",IF(F3037="Buy",CONCATENATE("$",ROUND(K3037*(1-_xlfn.SINGLE(T2GDiscount)),2)," with ",(_xlfn.SINGLE(T2GDiscount)*100),"% discount"),CONCATENATE("$",ROUND(K3037*(1-_xlfn.SINGLE(T2GDiscount)),2)," with ",((_xlfn.SINGLE(T2GDiscount)*100+F3037*100)-(_xlfn.SINGLE(T2GDiscount)*100*F3037)),IF(F3037&gt;0,"% discounts",IF(_xlfn.SINGLE(NoWarrantyDiscount)&gt;0,"% discounts","% discount")))))))))</f>
        <v/>
      </c>
      <c r="N3037" s="690"/>
      <c r="O3037" s="486"/>
      <c r="P3037" s="486"/>
      <c r="Q3037" s="486"/>
      <c r="R3037" s="486"/>
      <c r="S3037" s="486"/>
      <c r="T3037" s="102">
        <f t="shared" si="2326"/>
        <v>0</v>
      </c>
      <c r="U3037" s="78">
        <f>IF(NOT(ISNUMBER(G3037)), "", VLOOKUP(A3037,'Discount Lookup'!D:E,2,FALSE)*G3037)</f>
        <v>0</v>
      </c>
      <c r="V3037" s="78">
        <f>IF(NOT(ISNUMBER(G3037)), "", VLOOKUP(A3037,'Discount Lookup'!G:H,2,FALSE)*G3037)</f>
        <v>0</v>
      </c>
      <c r="W3037" s="102">
        <f t="shared" si="2327"/>
        <v>0</v>
      </c>
      <c r="X3037" s="102">
        <f t="shared" si="2328"/>
        <v>0</v>
      </c>
      <c r="Y3037" s="120" t="b">
        <f t="shared" si="2329"/>
        <v>0</v>
      </c>
      <c r="Z3037" s="117">
        <f t="shared" si="2330"/>
        <v>0</v>
      </c>
      <c r="AA3037" s="118"/>
      <c r="AB3037" s="118" t="str">
        <f t="shared" si="2331"/>
        <v/>
      </c>
      <c r="AC3037" s="712" t="str">
        <f>IF(AE3037="T2G","no charge",IF(AND(OR(PlanterYesMe="No",PlanterYesMe="N",PlanterYesMe="me"),H3037=""),"",IF(H3037="credit","NO install",IF(AND(K3037="",AE3037="me"),"EACH row",IF(AND(K3037="images",AE3037="me"),"EACH row",IF(D3037="","",IF(H3037="credit","",IF(AE3037="free","re-planting",IF(AE3037="me","   not ELP, by",IF(AND(OR(PlanterYesMe="Yes",PlanterYesMe="Y"),G3037&gt;0),(VLOOKUP(A3037,'Discount Lookup'!J:K,2)*G3037*(1-PlanterDiscount)*(1+PlanterDifficultyPercentage)),IF(AE3037="ELP",(VLOOKUP(A3037,'Discount Lookup'!J:K,2)*G3037*(1-PlanterDiscount)*(1+PlanterDifficultyPercentage)),IF(AE3037="free","re-planting",IF(G3037=0,"",IF(PlanterYesMe="",IF(AE3037="me","   not ELP, by",IF(AE3037="",IF(G3037&gt;0,(VLOOKUP(A3037,'Discount Lookup'!J:K,2)*G3037*(1-PlanterDiscount)*(1+PlanterDifficultyPercentage)),""),"")),"   not ELP, by"))))))))))))))</f>
        <v/>
      </c>
      <c r="AD3037" s="712"/>
      <c r="AE3037" s="513" t="str">
        <f t="shared" si="2332"/>
        <v/>
      </c>
      <c r="AF3037" s="713" t="str">
        <f t="shared" si="2333"/>
        <v/>
      </c>
      <c r="AG3037" s="713"/>
      <c r="AH3037" s="713"/>
      <c r="AI3037" s="112">
        <f>IF(H3037="credit",0,IF(AE3037="free",0,IF(AE3037="me",0,IF(G3037&gt;0,(VLOOKUP(A3037,'Discount Lookup'!J:K,2)*G3037),0))))</f>
        <v>0</v>
      </c>
      <c r="AJ3037" s="107" t="str">
        <f t="shared" ca="1" si="2334"/>
        <v/>
      </c>
      <c r="AK3037" s="714" t="str">
        <f t="shared" si="2335"/>
        <v/>
      </c>
      <c r="AL3037" s="714"/>
      <c r="AM3037" s="114" t="str">
        <f t="shared" si="2336"/>
        <v/>
      </c>
      <c r="AN3037" s="115"/>
      <c r="AO3037" s="116"/>
      <c r="AP3037" s="116"/>
      <c r="AQ3037" s="116"/>
      <c r="AR3037" s="116"/>
      <c r="AS3037" s="116"/>
      <c r="AT3037" s="116"/>
      <c r="AU3037" s="116"/>
      <c r="AV3037" s="78"/>
      <c r="AW3037" s="102"/>
      <c r="AX3037" s="78"/>
      <c r="AY3037" s="78"/>
      <c r="AZ3037" s="78"/>
      <c r="BA3037" s="78"/>
      <c r="BB3037" s="78"/>
      <c r="BC3037" s="78"/>
      <c r="BD3037" s="78"/>
      <c r="BE3037" s="465"/>
      <c r="BF3037" s="165" t="str">
        <f t="shared" si="2337"/>
        <v>https://www.google.com/search?tbm=isch&amp;q=4%20G2</v>
      </c>
      <c r="BG3037" s="165" t="str">
        <f t="shared" si="2338"/>
        <v>M</v>
      </c>
      <c r="BH3037" s="65"/>
      <c r="BI3037" s="65"/>
      <c r="BJ3037" s="65"/>
      <c r="BK3037" s="65"/>
      <c r="BL3037" s="99"/>
      <c r="BM3037" s="99"/>
      <c r="BN3037" s="99"/>
    </row>
    <row r="3038" spans="1:66" s="51" customFormat="1" ht="15.75" x14ac:dyDescent="0.25">
      <c r="A3038" s="634">
        <v>1</v>
      </c>
      <c r="B3038" s="635" t="s">
        <v>291</v>
      </c>
      <c r="C3038" s="636"/>
      <c r="D3038" s="637" t="s">
        <v>329</v>
      </c>
      <c r="E3038" s="638">
        <v>14.95</v>
      </c>
      <c r="F3038" s="639" t="s">
        <v>292</v>
      </c>
      <c r="G3038" s="484">
        <v>0</v>
      </c>
      <c r="H3038" s="691" t="str">
        <f>IF(G3038=0,"",IF(F3038="Buy",IF(G3038=1,"plant","plants"),IF(F3038&gt;0.01,"warranty","Error")))</f>
        <v/>
      </c>
      <c r="I3038" s="640">
        <f>IF(H3038="free",0,IF(H3038="credit",((E3038*(F3038))*G3038*-1),IF(F3038="Buy",(E3038*G3038),((E3038*(1-F3038))*G3038))))</f>
        <v>0</v>
      </c>
      <c r="J3038" s="640">
        <f>IF(H3038="warranty",0,(I3038*(_xlfn.SINGLE(SalesTaxPercentage))))</f>
        <v>0</v>
      </c>
      <c r="K3038" s="716">
        <f t="shared" ref="K3038" si="2342">I3038+J3038</f>
        <v>0</v>
      </c>
      <c r="L3038" s="716"/>
      <c r="M3038" s="689" t="str">
        <f ca="1">IF(AND(G3038&gt;0,E3038=0),"WARNING - no PRICE inserted",IF(H3038="free","FREE ~ no charge this plant",IF(H3038="credit",CONCATENATE("-$",ROUND(K3038*(1-_xlfn.SINGLE(T2GDiscount))*-1,2)," CREDIT after discount"),IF(_xlfn.SINGLE(T2GDiscount)=0,"",IF(G3038=0,"",IF(F3038="Buy",CONCATENATE("$",ROUND(K3038*(1-_xlfn.SINGLE(T2GDiscount)),2)," with ",(_xlfn.SINGLE(T2GDiscount)*100),"% discount"),CONCATENATE("$",ROUND(K3038*(1-_xlfn.SINGLE(T2GDiscount)),2)," with ",((_xlfn.SINGLE(T2GDiscount)*100+F3038*100)-(_xlfn.SINGLE(T2GDiscount)*100*F3038)),IF(F3038&gt;0,"% discounts",IF(_xlfn.SINGLE(NoWarrantyDiscount)&gt;0,"% discounts","% discount")))))))))</f>
        <v/>
      </c>
      <c r="N3038" s="690"/>
      <c r="O3038" s="486"/>
      <c r="P3038" s="486"/>
      <c r="Q3038" s="486"/>
      <c r="R3038" s="486"/>
      <c r="S3038" s="486"/>
      <c r="T3038" s="102">
        <f t="shared" si="2326"/>
        <v>0</v>
      </c>
      <c r="U3038" s="78">
        <f>IF(NOT(ISNUMBER(G3038)), "", VLOOKUP(A3038,'Discount Lookup'!D:E,2,FALSE)*G3038)</f>
        <v>0</v>
      </c>
      <c r="V3038" s="78">
        <f>IF(NOT(ISNUMBER(G3038)), "", VLOOKUP(A3038,'Discount Lookup'!G:H,2,FALSE)*G3038)</f>
        <v>0</v>
      </c>
      <c r="W3038" s="102">
        <f t="shared" si="2327"/>
        <v>0</v>
      </c>
      <c r="X3038" s="102">
        <f t="shared" si="2328"/>
        <v>0</v>
      </c>
      <c r="Y3038" s="120" t="b">
        <f t="shared" si="2329"/>
        <v>0</v>
      </c>
      <c r="Z3038" s="117">
        <f t="shared" si="2330"/>
        <v>0</v>
      </c>
      <c r="AA3038" s="118"/>
      <c r="AB3038" s="118" t="str">
        <f t="shared" si="2331"/>
        <v/>
      </c>
      <c r="AC3038" s="712" t="str">
        <f>IF(AE3038="T2G","no charge",IF(AND(OR(PlanterYesMe="No",PlanterYesMe="N",PlanterYesMe="me"),H3038=""),"",IF(H3038="credit","NO install",IF(AND(K3038="",AE3038="me"),"EACH row",IF(AND(K3038="images",AE3038="me"),"EACH row",IF(D3038="","",IF(H3038="credit","",IF(AE3038="free","re-planting",IF(AE3038="me","   not ELP, by",IF(AND(OR(PlanterYesMe="Yes",PlanterYesMe="Y"),G3038&gt;0),(VLOOKUP(A3038,'Discount Lookup'!J:K,2)*G3038*(1-PlanterDiscount)*(1+PlanterDifficultyPercentage)),IF(AE3038="ELP",(VLOOKUP(A3038,'Discount Lookup'!J:K,2)*G3038*(1-PlanterDiscount)*(1+PlanterDifficultyPercentage)),IF(AE3038="free","re-planting",IF(G3038=0,"",IF(PlanterYesMe="",IF(AE3038="me","   not ELP, by",IF(AE3038="",IF(G3038&gt;0,(VLOOKUP(A3038,'Discount Lookup'!J:K,2)*G3038*(1-PlanterDiscount)*(1+PlanterDifficultyPercentage)),""),"")),"   not ELP, by"))))))))))))))</f>
        <v/>
      </c>
      <c r="AD3038" s="712"/>
      <c r="AE3038" s="513" t="str">
        <f t="shared" si="2332"/>
        <v/>
      </c>
      <c r="AF3038" s="713" t="str">
        <f t="shared" si="2333"/>
        <v/>
      </c>
      <c r="AG3038" s="713"/>
      <c r="AH3038" s="713"/>
      <c r="AI3038" s="112">
        <f>IF(H3038="credit",0,IF(AE3038="free",0,IF(AE3038="me",0,IF(G3038&gt;0,(VLOOKUP(A3038,'Discount Lookup'!J:K,2)*G3038),0))))</f>
        <v>0</v>
      </c>
      <c r="AJ3038" s="107" t="str">
        <f t="shared" ca="1" si="2334"/>
        <v/>
      </c>
      <c r="AK3038" s="714" t="str">
        <f t="shared" si="2335"/>
        <v/>
      </c>
      <c r="AL3038" s="714"/>
      <c r="AM3038" s="114" t="str">
        <f t="shared" si="2336"/>
        <v/>
      </c>
      <c r="AN3038" s="115"/>
      <c r="AO3038" s="116"/>
      <c r="AP3038" s="116"/>
      <c r="AQ3038" s="116"/>
      <c r="AR3038" s="116"/>
      <c r="AS3038" s="116"/>
      <c r="AT3038" s="116"/>
      <c r="AU3038" s="116"/>
      <c r="AV3038" s="78"/>
      <c r="AW3038" s="102"/>
      <c r="AX3038" s="78"/>
      <c r="AY3038" s="78"/>
      <c r="AZ3038" s="78"/>
      <c r="BA3038" s="78"/>
      <c r="BB3038" s="78"/>
      <c r="BC3038" s="78"/>
      <c r="BD3038" s="78"/>
      <c r="BE3038" s="465"/>
      <c r="BF3038" s="165" t="str">
        <f t="shared" si="2337"/>
        <v>https://www.google.com/search?tbm=isch&amp;q=1%20G2</v>
      </c>
      <c r="BG3038" s="165" t="str">
        <f t="shared" si="2338"/>
        <v>M</v>
      </c>
      <c r="BH3038" s="65"/>
      <c r="BI3038" s="65"/>
      <c r="BJ3038" s="65"/>
      <c r="BK3038" s="65"/>
      <c r="BL3038" s="99"/>
      <c r="BM3038" s="99"/>
      <c r="BN3038" s="99"/>
    </row>
    <row r="3039" spans="1:66" s="51" customFormat="1" ht="15.75" x14ac:dyDescent="0.25">
      <c r="A3039" s="634">
        <v>3</v>
      </c>
      <c r="B3039" s="635" t="s">
        <v>291</v>
      </c>
      <c r="C3039" s="636"/>
      <c r="D3039" s="637" t="s">
        <v>329</v>
      </c>
      <c r="E3039" s="638">
        <v>24.95</v>
      </c>
      <c r="F3039" s="639" t="s">
        <v>292</v>
      </c>
      <c r="G3039" s="484">
        <v>0</v>
      </c>
      <c r="H3039" s="691" t="str">
        <f>IF(G3039=0,"",IF(F3039="Buy",IF(G3039=1,"plant","plants"),IF(F3039&gt;0.01,"warranty","Error")))</f>
        <v/>
      </c>
      <c r="I3039" s="640">
        <f>IF(H3039="free",0,IF(H3039="credit",((E3039*(F3039))*G3039*-1),IF(F3039="Buy",(E3039*G3039),((E3039*(1-F3039))*G3039))))</f>
        <v>0</v>
      </c>
      <c r="J3039" s="640">
        <f>IF(H3039="warranty",0,(I3039*(_xlfn.SINGLE(SalesTaxPercentage))))</f>
        <v>0</v>
      </c>
      <c r="K3039" s="716">
        <f t="shared" ref="K3039" si="2343">I3039+J3039</f>
        <v>0</v>
      </c>
      <c r="L3039" s="716"/>
      <c r="M3039" s="689" t="str">
        <f ca="1">IF(AND(G3039&gt;0,E3039=0),"WARNING - no PRICE inserted",IF(H3039="free","FREE ~ no charge this plant",IF(H3039="credit",CONCATENATE("-$",ROUND(K3039*(1-_xlfn.SINGLE(T2GDiscount))*-1,2)," CREDIT after discount"),IF(_xlfn.SINGLE(T2GDiscount)=0,"",IF(G3039=0,"",IF(F3039="Buy",CONCATENATE("$",ROUND(K3039*(1-_xlfn.SINGLE(T2GDiscount)),2)," with ",(_xlfn.SINGLE(T2GDiscount)*100),"% discount"),CONCATENATE("$",ROUND(K3039*(1-_xlfn.SINGLE(T2GDiscount)),2)," with ",((_xlfn.SINGLE(T2GDiscount)*100+F3039*100)-(_xlfn.SINGLE(T2GDiscount)*100*F3039)),IF(F3039&gt;0,"% discounts",IF(_xlfn.SINGLE(NoWarrantyDiscount)&gt;0,"% discounts","% discount")))))))))</f>
        <v/>
      </c>
      <c r="N3039" s="690"/>
      <c r="O3039" s="486"/>
      <c r="P3039" s="486"/>
      <c r="Q3039" s="486"/>
      <c r="R3039" s="486"/>
      <c r="S3039" s="486"/>
      <c r="T3039" s="102">
        <f t="shared" si="2326"/>
        <v>0</v>
      </c>
      <c r="U3039" s="78">
        <f>IF(NOT(ISNUMBER(G3039)), "", VLOOKUP(A3039,'Discount Lookup'!D:E,2,FALSE)*G3039)</f>
        <v>0</v>
      </c>
      <c r="V3039" s="78">
        <f>IF(NOT(ISNUMBER(G3039)), "", VLOOKUP(A3039,'Discount Lookup'!G:H,2,FALSE)*G3039)</f>
        <v>0</v>
      </c>
      <c r="W3039" s="102">
        <f t="shared" si="2327"/>
        <v>0</v>
      </c>
      <c r="X3039" s="102">
        <f t="shared" si="2328"/>
        <v>0</v>
      </c>
      <c r="Y3039" s="120" t="b">
        <f t="shared" si="2329"/>
        <v>0</v>
      </c>
      <c r="Z3039" s="117">
        <f t="shared" si="2330"/>
        <v>0</v>
      </c>
      <c r="AA3039" s="118"/>
      <c r="AB3039" s="118" t="str">
        <f t="shared" si="2331"/>
        <v/>
      </c>
      <c r="AC3039" s="712" t="str">
        <f>IF(AE3039="T2G","no charge",IF(AND(OR(PlanterYesMe="No",PlanterYesMe="N",PlanterYesMe="me"),H3039=""),"",IF(H3039="credit","NO install",IF(AND(K3039="",AE3039="me"),"EACH row",IF(AND(K3039="images",AE3039="me"),"EACH row",IF(D3039="","",IF(H3039="credit","",IF(AE3039="free","re-planting",IF(AE3039="me","   not ELP, by",IF(AND(OR(PlanterYesMe="Yes",PlanterYesMe="Y"),G3039&gt;0),(VLOOKUP(A3039,'Discount Lookup'!J:K,2)*G3039*(1-PlanterDiscount)*(1+PlanterDifficultyPercentage)),IF(AE3039="ELP",(VLOOKUP(A3039,'Discount Lookup'!J:K,2)*G3039*(1-PlanterDiscount)*(1+PlanterDifficultyPercentage)),IF(AE3039="free","re-planting",IF(G3039=0,"",IF(PlanterYesMe="",IF(AE3039="me","   not ELP, by",IF(AE3039="",IF(G3039&gt;0,(VLOOKUP(A3039,'Discount Lookup'!J:K,2)*G3039*(1-PlanterDiscount)*(1+PlanterDifficultyPercentage)),""),"")),"   not ELP, by"))))))))))))))</f>
        <v/>
      </c>
      <c r="AD3039" s="712"/>
      <c r="AE3039" s="513" t="str">
        <f t="shared" si="2332"/>
        <v/>
      </c>
      <c r="AF3039" s="713" t="str">
        <f t="shared" si="2333"/>
        <v/>
      </c>
      <c r="AG3039" s="713"/>
      <c r="AH3039" s="713"/>
      <c r="AI3039" s="112">
        <f>IF(H3039="credit",0,IF(AE3039="free",0,IF(AE3039="me",0,IF(G3039&gt;0,(VLOOKUP(A3039,'Discount Lookup'!J:K,2)*G3039),0))))</f>
        <v>0</v>
      </c>
      <c r="AJ3039" s="107" t="str">
        <f t="shared" ca="1" si="2334"/>
        <v/>
      </c>
      <c r="AK3039" s="714" t="str">
        <f t="shared" si="2335"/>
        <v/>
      </c>
      <c r="AL3039" s="714"/>
      <c r="AM3039" s="114" t="str">
        <f t="shared" si="2336"/>
        <v/>
      </c>
      <c r="AN3039" s="115"/>
      <c r="AO3039" s="116"/>
      <c r="AP3039" s="116"/>
      <c r="AQ3039" s="116"/>
      <c r="AR3039" s="116"/>
      <c r="AS3039" s="116"/>
      <c r="AT3039" s="116"/>
      <c r="AU3039" s="116"/>
      <c r="AV3039" s="78"/>
      <c r="AW3039" s="102"/>
      <c r="AX3039" s="78"/>
      <c r="AY3039" s="78"/>
      <c r="AZ3039" s="78"/>
      <c r="BA3039" s="78"/>
      <c r="BB3039" s="78"/>
      <c r="BC3039" s="78"/>
      <c r="BD3039" s="78"/>
      <c r="BE3039" s="465"/>
      <c r="BF3039" s="165" t="str">
        <f t="shared" si="2337"/>
        <v>https://www.google.com/search?tbm=isch&amp;q=3%20G2</v>
      </c>
      <c r="BG3039" s="165" t="str">
        <f t="shared" si="2338"/>
        <v>M</v>
      </c>
      <c r="BH3039" s="65"/>
      <c r="BI3039" s="65"/>
      <c r="BJ3039" s="65"/>
      <c r="BK3039" s="65"/>
      <c r="BL3039" s="99"/>
      <c r="BM3039" s="99"/>
      <c r="BN3039" s="99"/>
    </row>
    <row r="3040" spans="1:66" s="51" customFormat="1" ht="15.75" x14ac:dyDescent="0.25">
      <c r="A3040" s="634">
        <v>3</v>
      </c>
      <c r="B3040" s="635" t="s">
        <v>291</v>
      </c>
      <c r="C3040" s="636"/>
      <c r="D3040" s="637" t="s">
        <v>329</v>
      </c>
      <c r="E3040" s="638">
        <v>24.95</v>
      </c>
      <c r="F3040" s="639" t="s">
        <v>292</v>
      </c>
      <c r="G3040" s="484">
        <v>0</v>
      </c>
      <c r="H3040" s="691" t="str">
        <f>IF(G3040=0,"",IF(F3040="Buy",IF(G3040=1,"plant","plants"),IF(F3040&gt;0.01,"warranty","Error")))</f>
        <v/>
      </c>
      <c r="I3040" s="640">
        <f>IF(H3040="free",0,IF(H3040="credit",((E3040*(F3040))*G3040*-1),IF(F3040="Buy",(E3040*G3040),((E3040*(1-F3040))*G3040))))</f>
        <v>0</v>
      </c>
      <c r="J3040" s="640">
        <f>IF(H3040="warranty",0,(I3040*(_xlfn.SINGLE(SalesTaxPercentage))))</f>
        <v>0</v>
      </c>
      <c r="K3040" s="716">
        <f t="shared" ref="K3040" si="2344">I3040+J3040</f>
        <v>0</v>
      </c>
      <c r="L3040" s="716"/>
      <c r="M3040" s="689" t="str">
        <f ca="1">IF(AND(G3040&gt;0,E3040=0),"WARNING - no PRICE inserted",IF(H3040="free","FREE ~ no charge this plant",IF(H3040="credit",CONCATENATE("-$",ROUND(K3040*(1-_xlfn.SINGLE(T2GDiscount))*-1,2)," CREDIT after discount"),IF(_xlfn.SINGLE(T2GDiscount)=0,"",IF(G3040=0,"",IF(F3040="Buy",CONCATENATE("$",ROUND(K3040*(1-_xlfn.SINGLE(T2GDiscount)),2)," with ",(_xlfn.SINGLE(T2GDiscount)*100),"% discount"),CONCATENATE("$",ROUND(K3040*(1-_xlfn.SINGLE(T2GDiscount)),2)," with ",((_xlfn.SINGLE(T2GDiscount)*100+F3040*100)-(_xlfn.SINGLE(T2GDiscount)*100*F3040)),IF(F3040&gt;0,"% discounts",IF(_xlfn.SINGLE(NoWarrantyDiscount)&gt;0,"% discounts","% discount")))))))))</f>
        <v/>
      </c>
      <c r="N3040" s="690"/>
      <c r="O3040" s="486"/>
      <c r="P3040" s="486"/>
      <c r="Q3040" s="486"/>
      <c r="R3040" s="486"/>
      <c r="S3040" s="486"/>
      <c r="T3040" s="102">
        <f t="shared" si="2326"/>
        <v>0</v>
      </c>
      <c r="U3040" s="78">
        <f>IF(NOT(ISNUMBER(G3040)), "", VLOOKUP(A3040,'Discount Lookup'!D:E,2,FALSE)*G3040)</f>
        <v>0</v>
      </c>
      <c r="V3040" s="78">
        <f>IF(NOT(ISNUMBER(G3040)), "", VLOOKUP(A3040,'Discount Lookup'!G:H,2,FALSE)*G3040)</f>
        <v>0</v>
      </c>
      <c r="W3040" s="102">
        <f t="shared" si="2327"/>
        <v>0</v>
      </c>
      <c r="X3040" s="102">
        <f t="shared" si="2328"/>
        <v>0</v>
      </c>
      <c r="Y3040" s="120" t="b">
        <f t="shared" si="2329"/>
        <v>0</v>
      </c>
      <c r="Z3040" s="117">
        <f t="shared" si="2330"/>
        <v>0</v>
      </c>
      <c r="AA3040" s="118"/>
      <c r="AB3040" s="118" t="str">
        <f t="shared" si="2331"/>
        <v/>
      </c>
      <c r="AC3040" s="712" t="str">
        <f>IF(AE3040="T2G","no charge",IF(AND(OR(PlanterYesMe="No",PlanterYesMe="N",PlanterYesMe="me"),H3040=""),"",IF(H3040="credit","NO install",IF(AND(K3040="",AE3040="me"),"EACH row",IF(AND(K3040="images",AE3040="me"),"EACH row",IF(D3040="","",IF(H3040="credit","",IF(AE3040="free","re-planting",IF(AE3040="me","   not ELP, by",IF(AND(OR(PlanterYesMe="Yes",PlanterYesMe="Y"),G3040&gt;0),(VLOOKUP(A3040,'Discount Lookup'!J:K,2)*G3040*(1-PlanterDiscount)*(1+PlanterDifficultyPercentage)),IF(AE3040="ELP",(VLOOKUP(A3040,'Discount Lookup'!J:K,2)*G3040*(1-PlanterDiscount)*(1+PlanterDifficultyPercentage)),IF(AE3040="free","re-planting",IF(G3040=0,"",IF(PlanterYesMe="",IF(AE3040="me","   not ELP, by",IF(AE3040="",IF(G3040&gt;0,(VLOOKUP(A3040,'Discount Lookup'!J:K,2)*G3040*(1-PlanterDiscount)*(1+PlanterDifficultyPercentage)),""),"")),"   not ELP, by"))))))))))))))</f>
        <v/>
      </c>
      <c r="AD3040" s="712"/>
      <c r="AE3040" s="513" t="str">
        <f t="shared" si="2332"/>
        <v/>
      </c>
      <c r="AF3040" s="713" t="str">
        <f t="shared" si="2333"/>
        <v/>
      </c>
      <c r="AG3040" s="713"/>
      <c r="AH3040" s="713"/>
      <c r="AI3040" s="112">
        <f>IF(H3040="credit",0,IF(AE3040="free",0,IF(AE3040="me",0,IF(G3040&gt;0,(VLOOKUP(A3040,'Discount Lookup'!J:K,2)*G3040),0))))</f>
        <v>0</v>
      </c>
      <c r="AJ3040" s="107" t="str">
        <f t="shared" ca="1" si="2334"/>
        <v/>
      </c>
      <c r="AK3040" s="714" t="str">
        <f t="shared" si="2335"/>
        <v/>
      </c>
      <c r="AL3040" s="714"/>
      <c r="AM3040" s="114" t="str">
        <f t="shared" si="2336"/>
        <v/>
      </c>
      <c r="AN3040" s="115"/>
      <c r="AO3040" s="116"/>
      <c r="AP3040" s="116"/>
      <c r="AQ3040" s="116"/>
      <c r="AR3040" s="116"/>
      <c r="AS3040" s="116"/>
      <c r="AT3040" s="116"/>
      <c r="AU3040" s="116"/>
      <c r="AV3040" s="78"/>
      <c r="AW3040" s="102"/>
      <c r="AX3040" s="78"/>
      <c r="AY3040" s="78"/>
      <c r="AZ3040" s="78"/>
      <c r="BA3040" s="78"/>
      <c r="BB3040" s="78"/>
      <c r="BC3040" s="78"/>
      <c r="BD3040" s="78"/>
      <c r="BE3040" s="465"/>
      <c r="BF3040" s="165" t="str">
        <f t="shared" si="2337"/>
        <v>https://www.google.com/search?tbm=isch&amp;q=3%20G2</v>
      </c>
      <c r="BG3040" s="165" t="str">
        <f t="shared" si="2338"/>
        <v>M</v>
      </c>
      <c r="BH3040" s="65"/>
      <c r="BI3040" s="65"/>
      <c r="BJ3040" s="65"/>
      <c r="BK3040" s="65"/>
      <c r="BL3040" s="99"/>
      <c r="BM3040" s="99"/>
      <c r="BN3040" s="99"/>
    </row>
    <row r="3041" spans="1:66" s="51" customFormat="1" ht="15.75" x14ac:dyDescent="0.25">
      <c r="A3041" s="634">
        <v>3</v>
      </c>
      <c r="B3041" s="635" t="s">
        <v>291</v>
      </c>
      <c r="C3041" s="636"/>
      <c r="D3041" s="637" t="s">
        <v>310</v>
      </c>
      <c r="E3041" s="638">
        <v>25.95</v>
      </c>
      <c r="F3041" s="639" t="s">
        <v>292</v>
      </c>
      <c r="G3041" s="484">
        <v>0</v>
      </c>
      <c r="H3041" s="691" t="str">
        <f>IF(G3041=0,"",IF(F3041="Buy",IF(G3041=1,"plant","plants"),IF(F3041&gt;0.01,"warranty","Error")))</f>
        <v/>
      </c>
      <c r="I3041" s="640">
        <f>IF(H3041="free",0,IF(H3041="credit",((E3041*(F3041))*G3041*-1),IF(F3041="Buy",(E3041*G3041),((E3041*(1-F3041))*G3041))))</f>
        <v>0</v>
      </c>
      <c r="J3041" s="640">
        <f>IF(H3041="warranty",0,(I3041*(_xlfn.SINGLE(SalesTaxPercentage))))</f>
        <v>0</v>
      </c>
      <c r="K3041" s="716">
        <f t="shared" ref="K3041" si="2345">I3041+J3041</f>
        <v>0</v>
      </c>
      <c r="L3041" s="716"/>
      <c r="M3041" s="689" t="str">
        <f ca="1">IF(AND(G3041&gt;0,E3041=0),"WARNING - no PRICE inserted",IF(H3041="free","FREE ~ no charge this plant",IF(H3041="credit",CONCATENATE("-$",ROUND(K3041*(1-_xlfn.SINGLE(T2GDiscount))*-1,2)," CREDIT after discount"),IF(_xlfn.SINGLE(T2GDiscount)=0,"",IF(G3041=0,"",IF(F3041="Buy",CONCATENATE("$",ROUND(K3041*(1-_xlfn.SINGLE(T2GDiscount)),2)," with ",(_xlfn.SINGLE(T2GDiscount)*100),"% discount"),CONCATENATE("$",ROUND(K3041*(1-_xlfn.SINGLE(T2GDiscount)),2)," with ",((_xlfn.SINGLE(T2GDiscount)*100+F3041*100)-(_xlfn.SINGLE(T2GDiscount)*100*F3041)),IF(F3041&gt;0,"% discounts",IF(_xlfn.SINGLE(NoWarrantyDiscount)&gt;0,"% discounts","% discount")))))))))</f>
        <v/>
      </c>
      <c r="N3041" s="690"/>
      <c r="O3041" s="486"/>
      <c r="P3041" s="486"/>
      <c r="Q3041" s="486"/>
      <c r="R3041" s="486"/>
      <c r="S3041" s="486"/>
      <c r="T3041" s="102">
        <f t="shared" si="2326"/>
        <v>0</v>
      </c>
      <c r="U3041" s="78">
        <f>IF(NOT(ISNUMBER(G3041)), "", VLOOKUP(A3041,'Discount Lookup'!D:E,2,FALSE)*G3041)</f>
        <v>0</v>
      </c>
      <c r="V3041" s="78">
        <f>IF(NOT(ISNUMBER(G3041)), "", VLOOKUP(A3041,'Discount Lookup'!G:H,2,FALSE)*G3041)</f>
        <v>0</v>
      </c>
      <c r="W3041" s="102">
        <f t="shared" si="2327"/>
        <v>0</v>
      </c>
      <c r="X3041" s="102">
        <f t="shared" si="2328"/>
        <v>0</v>
      </c>
      <c r="Y3041" s="120" t="b">
        <f t="shared" si="2329"/>
        <v>0</v>
      </c>
      <c r="Z3041" s="117">
        <f t="shared" si="2330"/>
        <v>0</v>
      </c>
      <c r="AA3041" s="118"/>
      <c r="AB3041" s="118" t="str">
        <f t="shared" si="2331"/>
        <v/>
      </c>
      <c r="AC3041" s="712" t="str">
        <f>IF(AE3041="T2G","no charge",IF(AND(OR(PlanterYesMe="No",PlanterYesMe="N",PlanterYesMe="me"),H3041=""),"",IF(H3041="credit","NO install",IF(AND(K3041="",AE3041="me"),"EACH row",IF(AND(K3041="images",AE3041="me"),"EACH row",IF(D3041="","",IF(H3041="credit","",IF(AE3041="free","re-planting",IF(AE3041="me","   not ELP, by",IF(AND(OR(PlanterYesMe="Yes",PlanterYesMe="Y"),G3041&gt;0),(VLOOKUP(A3041,'Discount Lookup'!J:K,2)*G3041*(1-PlanterDiscount)*(1+PlanterDifficultyPercentage)),IF(AE3041="ELP",(VLOOKUP(A3041,'Discount Lookup'!J:K,2)*G3041*(1-PlanterDiscount)*(1+PlanterDifficultyPercentage)),IF(AE3041="free","re-planting",IF(G3041=0,"",IF(PlanterYesMe="",IF(AE3041="me","   not ELP, by",IF(AE3041="",IF(G3041&gt;0,(VLOOKUP(A3041,'Discount Lookup'!J:K,2)*G3041*(1-PlanterDiscount)*(1+PlanterDifficultyPercentage)),""),"")),"   not ELP, by"))))))))))))))</f>
        <v/>
      </c>
      <c r="AD3041" s="712"/>
      <c r="AE3041" s="513" t="str">
        <f t="shared" si="2332"/>
        <v/>
      </c>
      <c r="AF3041" s="713" t="str">
        <f t="shared" si="2333"/>
        <v/>
      </c>
      <c r="AG3041" s="713"/>
      <c r="AH3041" s="713"/>
      <c r="AI3041" s="112">
        <f>IF(H3041="credit",0,IF(AE3041="free",0,IF(AE3041="me",0,IF(G3041&gt;0,(VLOOKUP(A3041,'Discount Lookup'!J:K,2)*G3041),0))))</f>
        <v>0</v>
      </c>
      <c r="AJ3041" s="107" t="str">
        <f t="shared" ca="1" si="2334"/>
        <v/>
      </c>
      <c r="AK3041" s="714" t="str">
        <f t="shared" si="2335"/>
        <v/>
      </c>
      <c r="AL3041" s="714"/>
      <c r="AM3041" s="114" t="str">
        <f t="shared" si="2336"/>
        <v/>
      </c>
      <c r="AN3041" s="115"/>
      <c r="AO3041" s="116"/>
      <c r="AP3041" s="116"/>
      <c r="AQ3041" s="116"/>
      <c r="AR3041" s="116"/>
      <c r="AS3041" s="116"/>
      <c r="AT3041" s="116"/>
      <c r="AU3041" s="116"/>
      <c r="AV3041" s="78"/>
      <c r="AW3041" s="102"/>
      <c r="AX3041" s="78"/>
      <c r="AY3041" s="78"/>
      <c r="AZ3041" s="78"/>
      <c r="BA3041" s="78"/>
      <c r="BB3041" s="78"/>
      <c r="BC3041" s="78"/>
      <c r="BD3041" s="78"/>
      <c r="BE3041" s="465"/>
      <c r="BF3041" s="165" t="str">
        <f t="shared" si="2337"/>
        <v>https://www.google.com/search?tbm=isch&amp;q=3%20G1</v>
      </c>
      <c r="BG3041" s="165" t="str">
        <f t="shared" si="2338"/>
        <v>M</v>
      </c>
      <c r="BH3041" s="65"/>
      <c r="BI3041" s="65"/>
      <c r="BJ3041" s="65"/>
      <c r="BK3041" s="65"/>
      <c r="BL3041" s="99"/>
      <c r="BM3041" s="99"/>
      <c r="BN3041" s="99"/>
    </row>
    <row r="3042" spans="1:66" s="51" customFormat="1" ht="17.25" thickBot="1" x14ac:dyDescent="0.3">
      <c r="A3042" s="641" t="s">
        <v>3628</v>
      </c>
      <c r="B3042" s="642"/>
      <c r="C3042" s="710"/>
      <c r="D3042" s="643"/>
      <c r="E3042" s="643"/>
      <c r="F3042" s="644"/>
      <c r="G3042" s="645"/>
      <c r="H3042" s="646"/>
      <c r="I3042" s="647"/>
      <c r="J3042" s="648"/>
      <c r="K3042" s="649"/>
      <c r="L3042" s="650"/>
      <c r="M3042" s="650"/>
      <c r="N3042" s="644"/>
      <c r="O3042" s="644"/>
      <c r="P3042" s="644"/>
      <c r="Q3042" s="644"/>
      <c r="R3042" s="644"/>
      <c r="S3042" s="701" t="s">
        <v>5262</v>
      </c>
      <c r="T3042" s="102">
        <f t="shared" si="2326"/>
        <v>0</v>
      </c>
      <c r="U3042" s="78" t="str">
        <f>IF(NOT(ISNUMBER(G3042)), "", VLOOKUP(A3042,'Discount Lookup'!D:E,2,FALSE)*G3042)</f>
        <v/>
      </c>
      <c r="V3042" s="78" t="str">
        <f>IF(NOT(ISNUMBER(G3042)), "", VLOOKUP(A3042,'Discount Lookup'!G:H,2,FALSE)*G3042)</f>
        <v/>
      </c>
      <c r="W3042" s="102">
        <f t="shared" si="2327"/>
        <v>0</v>
      </c>
      <c r="X3042" s="102">
        <f t="shared" si="2328"/>
        <v>0</v>
      </c>
      <c r="Y3042" s="120" t="b">
        <f t="shared" si="2329"/>
        <v>0</v>
      </c>
      <c r="Z3042" s="117">
        <f t="shared" si="2330"/>
        <v>0</v>
      </c>
      <c r="AA3042" s="118"/>
      <c r="AB3042" s="118" t="str">
        <f t="shared" si="2331"/>
        <v/>
      </c>
      <c r="AC3042" s="712" t="str">
        <f>IF(AE3042="T2G","no charge",IF(AND(OR(PlanterYesMe="No",PlanterYesMe="N",PlanterYesMe="me"),H3042=""),"",IF(H3042="credit","NO install",IF(AND(K3042="",AE3042="me"),"EACH row",IF(AND(K3042="images",AE3042="me"),"EACH row",IF(D3042="","",IF(H3042="credit","",IF(AE3042="free","re-planting",IF(AE3042="me","   not ELP, by",IF(AND(OR(PlanterYesMe="Yes",PlanterYesMe="Y"),G3042&gt;0),(VLOOKUP(A3042,'Discount Lookup'!J:K,2)*G3042*(1-PlanterDiscount)*(1+PlanterDifficultyPercentage)),IF(AE3042="ELP",(VLOOKUP(A3042,'Discount Lookup'!J:K,2)*G3042*(1-PlanterDiscount)*(1+PlanterDifficultyPercentage)),IF(AE3042="free","re-planting",IF(G3042=0,"",IF(PlanterYesMe="",IF(AE3042="me","   not ELP, by",IF(AE3042="",IF(G3042&gt;0,(VLOOKUP(A3042,'Discount Lookup'!J:K,2)*G3042*(1-PlanterDiscount)*(1+PlanterDifficultyPercentage)),""),"")),"   not ELP, by"))))))))))))))</f>
        <v/>
      </c>
      <c r="AD3042" s="712"/>
      <c r="AE3042" s="513" t="str">
        <f t="shared" si="2332"/>
        <v/>
      </c>
      <c r="AF3042" s="713" t="str">
        <f t="shared" si="2333"/>
        <v/>
      </c>
      <c r="AG3042" s="713"/>
      <c r="AH3042" s="713"/>
      <c r="AI3042" s="112">
        <f>IF(H3042="credit",0,IF(AE3042="free",0,IF(AE3042="me",0,IF(G3042&gt;0,(VLOOKUP(A3042,'Discount Lookup'!J:K,2)*G3042),0))))</f>
        <v>0</v>
      </c>
      <c r="AJ3042" s="107" t="str">
        <f t="shared" ca="1" si="2334"/>
        <v/>
      </c>
      <c r="AK3042" s="714" t="str">
        <f t="shared" si="2335"/>
        <v/>
      </c>
      <c r="AL3042" s="714"/>
      <c r="AM3042" s="114" t="str">
        <f t="shared" si="2336"/>
        <v/>
      </c>
      <c r="AN3042" s="115"/>
      <c r="AO3042" s="116"/>
      <c r="AP3042" s="116"/>
      <c r="AQ3042" s="116"/>
      <c r="AR3042" s="116"/>
      <c r="AS3042" s="116"/>
      <c r="AT3042" s="116"/>
      <c r="AU3042" s="116"/>
      <c r="AV3042" s="78"/>
      <c r="AW3042" s="102"/>
      <c r="AX3042" s="78"/>
      <c r="AY3042" s="78"/>
      <c r="AZ3042" s="78"/>
      <c r="BA3042" s="78"/>
      <c r="BB3042" s="78"/>
      <c r="BC3042" s="78"/>
      <c r="BD3042" s="78"/>
      <c r="BE3042" s="465"/>
      <c r="BF3042" s="165" t="str">
        <f t="shared" si="2337"/>
        <v>https://www.google.com/search?tbm=isch&amp;q=Pink%20Muhly%20has%20thread-like%2C%20Dark%20Blue-Green%20foliage%2C%20supporting%20the%20blooms%20from%20September%20to%20November%20</v>
      </c>
      <c r="BG3042" s="165" t="str">
        <f t="shared" si="2338"/>
        <v>P</v>
      </c>
      <c r="BH3042" s="65"/>
      <c r="BI3042" s="65"/>
      <c r="BJ3042" s="65"/>
      <c r="BK3042" s="65"/>
      <c r="BL3042" s="99"/>
      <c r="BM3042" s="99"/>
      <c r="BN3042" s="99"/>
    </row>
    <row r="3043" spans="1:66" s="51" customFormat="1" ht="18" x14ac:dyDescent="0.25">
      <c r="A3043" s="623" t="s">
        <v>3629</v>
      </c>
      <c r="B3043" s="624"/>
      <c r="C3043" s="709"/>
      <c r="D3043" s="625" t="s">
        <v>3630</v>
      </c>
      <c r="E3043" s="626"/>
      <c r="F3043" s="626"/>
      <c r="G3043" s="626"/>
      <c r="H3043" s="622" t="s">
        <v>1071</v>
      </c>
      <c r="I3043" s="627" t="s">
        <v>3631</v>
      </c>
      <c r="J3043" s="628"/>
      <c r="K3043" s="628"/>
      <c r="L3043" s="629"/>
      <c r="M3043" s="700" t="s">
        <v>5241</v>
      </c>
      <c r="N3043" s="693" t="str">
        <f>IF(AND(ISTEXT($A3043), ISERROR($A3043+0)), HYPERLINK($BF3043, "Images"), "")</f>
        <v>Images</v>
      </c>
      <c r="O3043" s="695" t="s">
        <v>5244</v>
      </c>
      <c r="P3043" s="630"/>
      <c r="Q3043" s="631"/>
      <c r="R3043" s="632"/>
      <c r="S3043" s="633" t="s">
        <v>294</v>
      </c>
      <c r="T3043" s="102">
        <f t="shared" si="2326"/>
        <v>0</v>
      </c>
      <c r="U3043" s="78" t="str">
        <f>IF(NOT(ISNUMBER(G3043)), "", VLOOKUP(A3043,'Discount Lookup'!D:E,2,FALSE)*G3043)</f>
        <v/>
      </c>
      <c r="V3043" s="78" t="str">
        <f>IF(NOT(ISNUMBER(G3043)), "", VLOOKUP(A3043,'Discount Lookup'!G:H,2,FALSE)*G3043)</f>
        <v/>
      </c>
      <c r="W3043" s="102">
        <f t="shared" si="2327"/>
        <v>0</v>
      </c>
      <c r="X3043" s="102" t="str">
        <f t="shared" si="2328"/>
        <v>Soft White bloom</v>
      </c>
      <c r="Y3043" s="120" t="b">
        <f t="shared" si="2329"/>
        <v>0</v>
      </c>
      <c r="Z3043" s="117">
        <f t="shared" si="2330"/>
        <v>0</v>
      </c>
      <c r="AA3043" s="118"/>
      <c r="AB3043" s="118" t="str">
        <f t="shared" si="2331"/>
        <v/>
      </c>
      <c r="AC3043" s="712" t="str">
        <f>IF(AE3043="T2G","no charge",IF(AND(OR(PlanterYesMe="No",PlanterYesMe="N",PlanterYesMe="me"),H3043=""),"",IF(H3043="credit","NO install",IF(AND(K3043="",AE3043="me"),"EACH row",IF(AND(K3043="images",AE3043="me"),"EACH row",IF(D3043="","",IF(H3043="credit","",IF(AE3043="free","re-planting",IF(AE3043="me","   not ELP, by",IF(AND(OR(PlanterYesMe="Yes",PlanterYesMe="Y"),G3043&gt;0),(VLOOKUP(A3043,'Discount Lookup'!J:K,2)*G3043*(1-PlanterDiscount)*(1+PlanterDifficultyPercentage)),IF(AE3043="ELP",(VLOOKUP(A3043,'Discount Lookup'!J:K,2)*G3043*(1-PlanterDiscount)*(1+PlanterDifficultyPercentage)),IF(AE3043="free","re-planting",IF(G3043=0,"",IF(PlanterYesMe="",IF(AE3043="me","   not ELP, by",IF(AE3043="",IF(G3043&gt;0,(VLOOKUP(A3043,'Discount Lookup'!J:K,2)*G3043*(1-PlanterDiscount)*(1+PlanterDifficultyPercentage)),""),"")),"   not ELP, by"))))))))))))))</f>
        <v/>
      </c>
      <c r="AD3043" s="712"/>
      <c r="AE3043" s="513" t="str">
        <f t="shared" si="2332"/>
        <v/>
      </c>
      <c r="AF3043" s="713" t="str">
        <f t="shared" si="2333"/>
        <v/>
      </c>
      <c r="AG3043" s="713"/>
      <c r="AH3043" s="713"/>
      <c r="AI3043" s="112">
        <f>IF(H3043="credit",0,IF(AE3043="free",0,IF(AE3043="me",0,IF(G3043&gt;0,(VLOOKUP(A3043,'Discount Lookup'!J:K,2)*G3043),0))))</f>
        <v>0</v>
      </c>
      <c r="AJ3043" s="107" t="str">
        <f t="shared" ca="1" si="2334"/>
        <v/>
      </c>
      <c r="AK3043" s="714" t="str">
        <f t="shared" si="2335"/>
        <v/>
      </c>
      <c r="AL3043" s="714"/>
      <c r="AM3043" s="114" t="str">
        <f t="shared" si="2336"/>
        <v/>
      </c>
      <c r="AN3043" s="115"/>
      <c r="AO3043" s="116"/>
      <c r="AP3043" s="116"/>
      <c r="AQ3043" s="116"/>
      <c r="AR3043" s="116"/>
      <c r="AS3043" s="116"/>
      <c r="AT3043" s="116"/>
      <c r="AU3043" s="116"/>
      <c r="AV3043" s="78"/>
      <c r="AW3043" s="102"/>
      <c r="AX3043" s="78"/>
      <c r="AY3043" s="78"/>
      <c r="AZ3043" s="78"/>
      <c r="BA3043" s="78"/>
      <c r="BB3043" s="78"/>
      <c r="BC3043" s="78"/>
      <c r="BD3043" s="78"/>
      <c r="BE3043" s="465"/>
      <c r="BF3043" s="165" t="str">
        <f t="shared" si="2337"/>
        <v>https://www.google.com/search?tbm=isch&amp;q=Muhlenbergia%20capillaris%20%27White%20Cloud%27%20White%20Cloud%20Muhly%20Grass</v>
      </c>
      <c r="BG3043" s="165" t="str">
        <f t="shared" si="2338"/>
        <v>M</v>
      </c>
      <c r="BH3043" s="65"/>
      <c r="BI3043" s="65"/>
      <c r="BJ3043" s="65"/>
      <c r="BK3043" s="65"/>
      <c r="BL3043" s="99"/>
      <c r="BM3043" s="99"/>
      <c r="BN3043" s="99"/>
    </row>
    <row r="3044" spans="1:66" s="51" customFormat="1" ht="15.75" x14ac:dyDescent="0.25">
      <c r="A3044" s="634">
        <v>3</v>
      </c>
      <c r="B3044" s="635" t="s">
        <v>291</v>
      </c>
      <c r="C3044" s="636"/>
      <c r="D3044" s="637" t="s">
        <v>310</v>
      </c>
      <c r="E3044" s="638">
        <v>25.95</v>
      </c>
      <c r="F3044" s="639" t="s">
        <v>292</v>
      </c>
      <c r="G3044" s="484">
        <v>0</v>
      </c>
      <c r="H3044" s="691" t="str">
        <f>IF(G3044=0,"",IF(F3044="Buy",IF(G3044=1,"plant","plants"),IF(F3044&gt;0.01,"warranty","Error")))</f>
        <v/>
      </c>
      <c r="I3044" s="640">
        <f>IF(H3044="free",0,IF(H3044="credit",((E3044*(F3044))*G3044*-1),IF(F3044="Buy",(E3044*G3044),((E3044*(1-F3044))*G3044))))</f>
        <v>0</v>
      </c>
      <c r="J3044" s="640">
        <f>IF(H3044="warranty",0,(I3044*(_xlfn.SINGLE(SalesTaxPercentage))))</f>
        <v>0</v>
      </c>
      <c r="K3044" s="716">
        <f t="shared" ref="K3044" si="2346">I3044+J3044</f>
        <v>0</v>
      </c>
      <c r="L3044" s="716"/>
      <c r="M3044" s="689" t="str">
        <f ca="1">IF(AND(G3044&gt;0,E3044=0),"WARNING - no PRICE inserted",IF(H3044="free","FREE ~ no charge this plant",IF(H3044="credit",CONCATENATE("-$",ROUND(K3044*(1-_xlfn.SINGLE(T2GDiscount))*-1,2)," CREDIT after discount"),IF(_xlfn.SINGLE(T2GDiscount)=0,"",IF(G3044=0,"",IF(F3044="Buy",CONCATENATE("$",ROUND(K3044*(1-_xlfn.SINGLE(T2GDiscount)),2)," with ",(_xlfn.SINGLE(T2GDiscount)*100),"% discount"),CONCATENATE("$",ROUND(K3044*(1-_xlfn.SINGLE(T2GDiscount)),2)," with ",((_xlfn.SINGLE(T2GDiscount)*100+F3044*100)-(_xlfn.SINGLE(T2GDiscount)*100*F3044)),IF(F3044&gt;0,"% discounts",IF(_xlfn.SINGLE(NoWarrantyDiscount)&gt;0,"% discounts","% discount")))))))))</f>
        <v/>
      </c>
      <c r="N3044" s="690"/>
      <c r="O3044" s="486"/>
      <c r="P3044" s="486"/>
      <c r="Q3044" s="486"/>
      <c r="R3044" s="486"/>
      <c r="S3044" s="486"/>
      <c r="T3044" s="102">
        <f t="shared" si="2326"/>
        <v>0</v>
      </c>
      <c r="U3044" s="78">
        <f>IF(NOT(ISNUMBER(G3044)), "", VLOOKUP(A3044,'Discount Lookup'!D:E,2,FALSE)*G3044)</f>
        <v>0</v>
      </c>
      <c r="V3044" s="78">
        <f>IF(NOT(ISNUMBER(G3044)), "", VLOOKUP(A3044,'Discount Lookup'!G:H,2,FALSE)*G3044)</f>
        <v>0</v>
      </c>
      <c r="W3044" s="102">
        <f t="shared" si="2327"/>
        <v>0</v>
      </c>
      <c r="X3044" s="102">
        <f t="shared" si="2328"/>
        <v>0</v>
      </c>
      <c r="Y3044" s="120" t="b">
        <f t="shared" si="2329"/>
        <v>0</v>
      </c>
      <c r="Z3044" s="117">
        <f t="shared" si="2330"/>
        <v>0</v>
      </c>
      <c r="AA3044" s="118"/>
      <c r="AB3044" s="118" t="str">
        <f t="shared" si="2331"/>
        <v/>
      </c>
      <c r="AC3044" s="712" t="str">
        <f>IF(AE3044="T2G","no charge",IF(AND(OR(PlanterYesMe="No",PlanterYesMe="N",PlanterYesMe="me"),H3044=""),"",IF(H3044="credit","NO install",IF(AND(K3044="",AE3044="me"),"EACH row",IF(AND(K3044="images",AE3044="me"),"EACH row",IF(D3044="","",IF(H3044="credit","",IF(AE3044="free","re-planting",IF(AE3044="me","   not ELP, by",IF(AND(OR(PlanterYesMe="Yes",PlanterYesMe="Y"),G3044&gt;0),(VLOOKUP(A3044,'Discount Lookup'!J:K,2)*G3044*(1-PlanterDiscount)*(1+PlanterDifficultyPercentage)),IF(AE3044="ELP",(VLOOKUP(A3044,'Discount Lookup'!J:K,2)*G3044*(1-PlanterDiscount)*(1+PlanterDifficultyPercentage)),IF(AE3044="free","re-planting",IF(G3044=0,"",IF(PlanterYesMe="",IF(AE3044="me","   not ELP, by",IF(AE3044="",IF(G3044&gt;0,(VLOOKUP(A3044,'Discount Lookup'!J:K,2)*G3044*(1-PlanterDiscount)*(1+PlanterDifficultyPercentage)),""),"")),"   not ELP, by"))))))))))))))</f>
        <v/>
      </c>
      <c r="AD3044" s="712"/>
      <c r="AE3044" s="513" t="str">
        <f t="shared" si="2332"/>
        <v/>
      </c>
      <c r="AF3044" s="713" t="str">
        <f t="shared" si="2333"/>
        <v/>
      </c>
      <c r="AG3044" s="713"/>
      <c r="AH3044" s="713"/>
      <c r="AI3044" s="112">
        <f>IF(H3044="credit",0,IF(AE3044="free",0,IF(AE3044="me",0,IF(G3044&gt;0,(VLOOKUP(A3044,'Discount Lookup'!J:K,2)*G3044),0))))</f>
        <v>0</v>
      </c>
      <c r="AJ3044" s="107" t="str">
        <f t="shared" ca="1" si="2334"/>
        <v/>
      </c>
      <c r="AK3044" s="714" t="str">
        <f t="shared" si="2335"/>
        <v/>
      </c>
      <c r="AL3044" s="714"/>
      <c r="AM3044" s="114" t="str">
        <f t="shared" si="2336"/>
        <v/>
      </c>
      <c r="AN3044" s="115"/>
      <c r="AO3044" s="116"/>
      <c r="AP3044" s="116"/>
      <c r="AQ3044" s="116"/>
      <c r="AR3044" s="116"/>
      <c r="AS3044" s="116"/>
      <c r="AT3044" s="116"/>
      <c r="AU3044" s="116"/>
      <c r="AV3044" s="78"/>
      <c r="AW3044" s="102"/>
      <c r="AX3044" s="78"/>
      <c r="AY3044" s="78"/>
      <c r="AZ3044" s="78"/>
      <c r="BA3044" s="78"/>
      <c r="BB3044" s="78"/>
      <c r="BC3044" s="78"/>
      <c r="BD3044" s="78"/>
      <c r="BE3044" s="465"/>
      <c r="BF3044" s="165" t="str">
        <f t="shared" si="2337"/>
        <v>https://www.google.com/search?tbm=isch&amp;q=3%20G1</v>
      </c>
      <c r="BG3044" s="165" t="str">
        <f t="shared" si="2338"/>
        <v>M</v>
      </c>
      <c r="BH3044" s="65"/>
      <c r="BI3044" s="65"/>
      <c r="BJ3044" s="65"/>
      <c r="BK3044" s="65"/>
      <c r="BL3044" s="99"/>
      <c r="BM3044" s="99"/>
      <c r="BN3044" s="99"/>
    </row>
    <row r="3045" spans="1:66" s="51" customFormat="1" ht="16.5" x14ac:dyDescent="0.25">
      <c r="A3045" s="641" t="s">
        <v>3632</v>
      </c>
      <c r="B3045" s="642"/>
      <c r="C3045" s="710"/>
      <c r="D3045" s="643"/>
      <c r="E3045" s="643"/>
      <c r="F3045" s="644"/>
      <c r="G3045" s="645"/>
      <c r="H3045" s="646"/>
      <c r="I3045" s="647"/>
      <c r="J3045" s="648"/>
      <c r="K3045" s="649"/>
      <c r="L3045" s="650"/>
      <c r="M3045" s="650"/>
      <c r="N3045" s="644"/>
      <c r="O3045" s="644"/>
      <c r="P3045" s="644"/>
      <c r="Q3045" s="644"/>
      <c r="R3045" s="644"/>
      <c r="S3045" s="701" t="s">
        <v>5262</v>
      </c>
      <c r="T3045" s="102">
        <f t="shared" si="2326"/>
        <v>0</v>
      </c>
      <c r="U3045" s="78" t="str">
        <f>IF(NOT(ISNUMBER(G3045)), "", VLOOKUP(A3045,'Discount Lookup'!D:E,2,FALSE)*G3045)</f>
        <v/>
      </c>
      <c r="V3045" s="78" t="str">
        <f>IF(NOT(ISNUMBER(G3045)), "", VLOOKUP(A3045,'Discount Lookup'!G:H,2,FALSE)*G3045)</f>
        <v/>
      </c>
      <c r="W3045" s="102">
        <f t="shared" si="2327"/>
        <v>0</v>
      </c>
      <c r="X3045" s="102">
        <f t="shared" si="2328"/>
        <v>0</v>
      </c>
      <c r="Y3045" s="120" t="b">
        <f t="shared" si="2329"/>
        <v>0</v>
      </c>
      <c r="Z3045" s="117">
        <f t="shared" si="2330"/>
        <v>0</v>
      </c>
      <c r="AA3045" s="118"/>
      <c r="AB3045" s="118" t="str">
        <f t="shared" si="2331"/>
        <v/>
      </c>
      <c r="AC3045" s="712" t="str">
        <f>IF(AE3045="T2G","no charge",IF(AND(OR(PlanterYesMe="No",PlanterYesMe="N",PlanterYesMe="me"),H3045=""),"",IF(H3045="credit","NO install",IF(AND(K3045="",AE3045="me"),"EACH row",IF(AND(K3045="images",AE3045="me"),"EACH row",IF(D3045="","",IF(H3045="credit","",IF(AE3045="free","re-planting",IF(AE3045="me","   not ELP, by",IF(AND(OR(PlanterYesMe="Yes",PlanterYesMe="Y"),G3045&gt;0),(VLOOKUP(A3045,'Discount Lookup'!J:K,2)*G3045*(1-PlanterDiscount)*(1+PlanterDifficultyPercentage)),IF(AE3045="ELP",(VLOOKUP(A3045,'Discount Lookup'!J:K,2)*G3045*(1-PlanterDiscount)*(1+PlanterDifficultyPercentage)),IF(AE3045="free","re-planting",IF(G3045=0,"",IF(PlanterYesMe="",IF(AE3045="me","   not ELP, by",IF(AE3045="",IF(G3045&gt;0,(VLOOKUP(A3045,'Discount Lookup'!J:K,2)*G3045*(1-PlanterDiscount)*(1+PlanterDifficultyPercentage)),""),"")),"   not ELP, by"))))))))))))))</f>
        <v/>
      </c>
      <c r="AD3045" s="712"/>
      <c r="AE3045" s="513" t="str">
        <f t="shared" si="2332"/>
        <v/>
      </c>
      <c r="AF3045" s="713" t="str">
        <f t="shared" si="2333"/>
        <v/>
      </c>
      <c r="AG3045" s="713"/>
      <c r="AH3045" s="713"/>
      <c r="AI3045" s="112">
        <f>IF(H3045="credit",0,IF(AE3045="free",0,IF(AE3045="me",0,IF(G3045&gt;0,(VLOOKUP(A3045,'Discount Lookup'!J:K,2)*G3045),0))))</f>
        <v>0</v>
      </c>
      <c r="AJ3045" s="107" t="str">
        <f t="shared" ca="1" si="2334"/>
        <v/>
      </c>
      <c r="AK3045" s="714" t="str">
        <f t="shared" si="2335"/>
        <v/>
      </c>
      <c r="AL3045" s="714"/>
      <c r="AM3045" s="114" t="str">
        <f t="shared" si="2336"/>
        <v/>
      </c>
      <c r="AN3045" s="115"/>
      <c r="AO3045" s="116"/>
      <c r="AP3045" s="116"/>
      <c r="AQ3045" s="116"/>
      <c r="AR3045" s="116"/>
      <c r="AS3045" s="116"/>
      <c r="AT3045" s="116"/>
      <c r="AU3045" s="116"/>
      <c r="AV3045" s="78"/>
      <c r="AW3045" s="102"/>
      <c r="AX3045" s="78"/>
      <c r="AY3045" s="78"/>
      <c r="AZ3045" s="78"/>
      <c r="BA3045" s="78"/>
      <c r="BB3045" s="78"/>
      <c r="BC3045" s="78"/>
      <c r="BD3045" s="78"/>
      <c r="BE3045" s="465"/>
      <c r="BF3045" s="165" t="str">
        <f t="shared" si="2337"/>
        <v>https://www.google.com/search?tbm=isch&amp;q=White%20Cloud%20named%20for%20Ivory%20plumes%20that%20%27float%27%20above%20Blue-Green%20foliage%2C%20blooming%20slightly%20later%20than%20Pink%20Muhly%20</v>
      </c>
      <c r="BG3045" s="165" t="str">
        <f t="shared" si="2338"/>
        <v>W</v>
      </c>
      <c r="BH3045" s="65"/>
      <c r="BI3045" s="65"/>
      <c r="BJ3045" s="65"/>
      <c r="BK3045" s="65"/>
      <c r="BL3045" s="99"/>
      <c r="BM3045" s="99"/>
      <c r="BN3045" s="99"/>
    </row>
    <row r="3046" spans="1:66" s="51" customFormat="1" ht="19.5" thickBot="1" x14ac:dyDescent="0.3">
      <c r="A3046" s="686" t="s">
        <v>625</v>
      </c>
      <c r="B3046" s="73"/>
      <c r="C3046" s="708"/>
      <c r="D3046" s="73"/>
      <c r="E3046" s="73"/>
      <c r="F3046" s="496"/>
      <c r="G3046" s="73"/>
      <c r="H3046" s="73"/>
      <c r="I3046" s="73"/>
      <c r="J3046" s="497" t="s">
        <v>357</v>
      </c>
      <c r="K3046" s="498"/>
      <c r="L3046" s="562"/>
      <c r="M3046" s="73"/>
      <c r="N3046"/>
      <c r="O3046"/>
      <c r="P3046"/>
      <c r="Q3046"/>
      <c r="R3046"/>
      <c r="S3046"/>
      <c r="T3046" s="102">
        <f t="shared" si="2326"/>
        <v>0</v>
      </c>
      <c r="U3046" s="78" t="str">
        <f>IF(NOT(ISNUMBER(G3046)), "", VLOOKUP(A3046,'Discount Lookup'!D:E,2,FALSE)*G3046)</f>
        <v/>
      </c>
      <c r="V3046" s="78" t="str">
        <f>IF(NOT(ISNUMBER(G3046)), "", VLOOKUP(A3046,'Discount Lookup'!G:H,2,FALSE)*G3046)</f>
        <v/>
      </c>
      <c r="W3046" s="102">
        <f t="shared" si="2327"/>
        <v>0</v>
      </c>
      <c r="X3046" s="102">
        <f t="shared" si="2328"/>
        <v>0</v>
      </c>
      <c r="Y3046" s="120" t="b">
        <f t="shared" si="2329"/>
        <v>0</v>
      </c>
      <c r="Z3046" s="117">
        <f t="shared" si="2330"/>
        <v>0</v>
      </c>
      <c r="AA3046" s="118"/>
      <c r="AB3046" s="118" t="str">
        <f t="shared" si="2331"/>
        <v/>
      </c>
      <c r="AC3046" s="712" t="str">
        <f>IF(AE3046="T2G","no charge",IF(AND(OR(PlanterYesMe="No",PlanterYesMe="N",PlanterYesMe="me"),H3046=""),"",IF(H3046="credit","NO install",IF(AND(K3046="",AE3046="me"),"EACH row",IF(AND(K3046="images",AE3046="me"),"EACH row",IF(D3046="","",IF(H3046="credit","",IF(AE3046="free","re-planting",IF(AE3046="me","   not ELP, by",IF(AND(OR(PlanterYesMe="Yes",PlanterYesMe="Y"),G3046&gt;0),(VLOOKUP(A3046,'Discount Lookup'!J:K,2)*G3046*(1-PlanterDiscount)*(1+PlanterDifficultyPercentage)),IF(AE3046="ELP",(VLOOKUP(A3046,'Discount Lookup'!J:K,2)*G3046*(1-PlanterDiscount)*(1+PlanterDifficultyPercentage)),IF(AE3046="free","re-planting",IF(G3046=0,"",IF(PlanterYesMe="",IF(AE3046="me","   not ELP, by",IF(AE3046="",IF(G3046&gt;0,(VLOOKUP(A3046,'Discount Lookup'!J:K,2)*G3046*(1-PlanterDiscount)*(1+PlanterDifficultyPercentage)),""),"")),"   not ELP, by"))))))))))))))</f>
        <v/>
      </c>
      <c r="AD3046" s="712"/>
      <c r="AE3046" s="513" t="str">
        <f t="shared" si="2332"/>
        <v/>
      </c>
      <c r="AF3046" s="713" t="str">
        <f t="shared" si="2333"/>
        <v/>
      </c>
      <c r="AG3046" s="713"/>
      <c r="AH3046" s="713"/>
      <c r="AI3046" s="112">
        <f>IF(H3046="credit",0,IF(AE3046="free",0,IF(AE3046="me",0,IF(G3046&gt;0,(VLOOKUP(A3046,'Discount Lookup'!J:K,2)*G3046),0))))</f>
        <v>0</v>
      </c>
      <c r="AJ3046" s="107" t="str">
        <f t="shared" ca="1" si="2334"/>
        <v/>
      </c>
      <c r="AK3046" s="714" t="str">
        <f t="shared" si="2335"/>
        <v/>
      </c>
      <c r="AL3046" s="714"/>
      <c r="AM3046" s="114" t="str">
        <f t="shared" si="2336"/>
        <v/>
      </c>
      <c r="AN3046" s="115"/>
      <c r="AO3046" s="116"/>
      <c r="AP3046" s="116"/>
      <c r="AQ3046" s="116"/>
      <c r="AR3046" s="116"/>
      <c r="AS3046" s="116"/>
      <c r="AT3046" s="116"/>
      <c r="AU3046" s="116"/>
      <c r="AV3046" s="78"/>
      <c r="AW3046" s="102"/>
      <c r="AX3046" s="78"/>
      <c r="AY3046" s="78"/>
      <c r="AZ3046" s="78"/>
      <c r="BA3046" s="78"/>
      <c r="BB3046" s="78"/>
      <c r="BC3046" s="78"/>
      <c r="BD3046" s="78"/>
      <c r="BE3046" s="465"/>
      <c r="BF3046" s="165" t="str">
        <f t="shared" si="2337"/>
        <v>https://www.google.com/search?tbm=isch&amp;q=Myrica%20%3D%20Wax%20Myrtle%20</v>
      </c>
      <c r="BG3046" s="165" t="str">
        <f t="shared" si="2338"/>
        <v>M</v>
      </c>
      <c r="BH3046" s="65"/>
      <c r="BI3046" s="65"/>
      <c r="BJ3046" s="65"/>
      <c r="BK3046" s="65"/>
      <c r="BL3046" s="99"/>
      <c r="BM3046" s="99"/>
      <c r="BN3046" s="99"/>
    </row>
    <row r="3047" spans="1:66" s="51" customFormat="1" ht="18" x14ac:dyDescent="0.25">
      <c r="A3047" s="507" t="s">
        <v>626</v>
      </c>
      <c r="B3047" s="470"/>
      <c r="C3047" s="706"/>
      <c r="D3047" s="471" t="s">
        <v>627</v>
      </c>
      <c r="E3047" s="472"/>
      <c r="F3047" s="472"/>
      <c r="G3047" s="472"/>
      <c r="H3047" s="622" t="s">
        <v>327</v>
      </c>
      <c r="I3047" s="473" t="s">
        <v>447</v>
      </c>
      <c r="J3047" s="472"/>
      <c r="K3047" s="472"/>
      <c r="L3047" s="561"/>
      <c r="M3047" s="698" t="s">
        <v>5246</v>
      </c>
      <c r="N3047" s="692" t="str">
        <f>IF(AND(ISTEXT($A3047), ISERROR($A3047+0)), HYPERLINK($BF3047, "Images"), "")</f>
        <v>Images</v>
      </c>
      <c r="O3047" s="694" t="s">
        <v>5244</v>
      </c>
      <c r="P3047" s="475"/>
      <c r="Q3047" s="476"/>
      <c r="R3047" s="476"/>
      <c r="S3047" s="477" t="s">
        <v>294</v>
      </c>
      <c r="T3047" s="102">
        <f t="shared" si="2326"/>
        <v>0</v>
      </c>
      <c r="U3047" s="78" t="str">
        <f>IF(NOT(ISNUMBER(G3047)), "", VLOOKUP(A3047,'Discount Lookup'!D:E,2,FALSE)*G3047)</f>
        <v/>
      </c>
      <c r="V3047" s="78" t="str">
        <f>IF(NOT(ISNUMBER(G3047)), "", VLOOKUP(A3047,'Discount Lookup'!G:H,2,FALSE)*G3047)</f>
        <v/>
      </c>
      <c r="W3047" s="102">
        <f t="shared" si="2327"/>
        <v>0</v>
      </c>
      <c r="X3047" s="102" t="str">
        <f t="shared" si="2328"/>
        <v>Olive-Green foliage</v>
      </c>
      <c r="Y3047" s="120" t="b">
        <f t="shared" si="2329"/>
        <v>0</v>
      </c>
      <c r="Z3047" s="117">
        <f t="shared" si="2330"/>
        <v>0</v>
      </c>
      <c r="AA3047" s="118"/>
      <c r="AB3047" s="118" t="str">
        <f t="shared" si="2331"/>
        <v/>
      </c>
      <c r="AC3047" s="712" t="str">
        <f>IF(AE3047="T2G","no charge",IF(AND(OR(PlanterYesMe="No",PlanterYesMe="N",PlanterYesMe="me"),H3047=""),"",IF(H3047="credit","NO install",IF(AND(K3047="",AE3047="me"),"EACH row",IF(AND(K3047="images",AE3047="me"),"EACH row",IF(D3047="","",IF(H3047="credit","",IF(AE3047="free","re-planting",IF(AE3047="me","   not ELP, by",IF(AND(OR(PlanterYesMe="Yes",PlanterYesMe="Y"),G3047&gt;0),(VLOOKUP(A3047,'Discount Lookup'!J:K,2)*G3047*(1-PlanterDiscount)*(1+PlanterDifficultyPercentage)),IF(AE3047="ELP",(VLOOKUP(A3047,'Discount Lookup'!J:K,2)*G3047*(1-PlanterDiscount)*(1+PlanterDifficultyPercentage)),IF(AE3047="free","re-planting",IF(G3047=0,"",IF(PlanterYesMe="",IF(AE3047="me","   not ELP, by",IF(AE3047="",IF(G3047&gt;0,(VLOOKUP(A3047,'Discount Lookup'!J:K,2)*G3047*(1-PlanterDiscount)*(1+PlanterDifficultyPercentage)),""),"")),"   not ELP, by"))))))))))))))</f>
        <v/>
      </c>
      <c r="AD3047" s="712"/>
      <c r="AE3047" s="513" t="str">
        <f t="shared" si="2332"/>
        <v/>
      </c>
      <c r="AF3047" s="713" t="str">
        <f t="shared" si="2333"/>
        <v/>
      </c>
      <c r="AG3047" s="713"/>
      <c r="AH3047" s="713"/>
      <c r="AI3047" s="112">
        <f>IF(H3047="credit",0,IF(AE3047="free",0,IF(AE3047="me",0,IF(G3047&gt;0,(VLOOKUP(A3047,'Discount Lookup'!J:K,2)*G3047),0))))</f>
        <v>0</v>
      </c>
      <c r="AJ3047" s="107" t="str">
        <f t="shared" ca="1" si="2334"/>
        <v/>
      </c>
      <c r="AK3047" s="714" t="str">
        <f t="shared" si="2335"/>
        <v/>
      </c>
      <c r="AL3047" s="714"/>
      <c r="AM3047" s="114" t="str">
        <f t="shared" si="2336"/>
        <v/>
      </c>
      <c r="AN3047" s="115"/>
      <c r="AO3047" s="116"/>
      <c r="AP3047" s="116"/>
      <c r="AQ3047" s="116"/>
      <c r="AR3047" s="116"/>
      <c r="AS3047" s="116"/>
      <c r="AT3047" s="116"/>
      <c r="AU3047" s="116"/>
      <c r="AV3047" s="78"/>
      <c r="AW3047" s="102"/>
      <c r="AX3047" s="78"/>
      <c r="AY3047" s="78"/>
      <c r="AZ3047" s="78"/>
      <c r="BA3047" s="78"/>
      <c r="BB3047" s="78"/>
      <c r="BC3047" s="78"/>
      <c r="BD3047" s="78"/>
      <c r="BE3047" s="465"/>
      <c r="BF3047" s="165" t="str">
        <f t="shared" si="2337"/>
        <v>https://www.google.com/search?tbm=isch&amp;q=Myrica%20cerifera%20Wax%20Myrtle</v>
      </c>
      <c r="BG3047" s="165" t="str">
        <f t="shared" si="2338"/>
        <v>M</v>
      </c>
      <c r="BH3047" s="65"/>
      <c r="BI3047" s="65"/>
      <c r="BJ3047" s="65"/>
      <c r="BK3047" s="65"/>
      <c r="BL3047" s="99"/>
      <c r="BM3047" s="99"/>
      <c r="BN3047" s="99"/>
    </row>
    <row r="3048" spans="1:66" s="51" customFormat="1" ht="15.75" x14ac:dyDescent="0.25">
      <c r="A3048" s="478">
        <v>3</v>
      </c>
      <c r="B3048" s="479" t="s">
        <v>291</v>
      </c>
      <c r="C3048" s="480" t="s">
        <v>854</v>
      </c>
      <c r="D3048" s="481" t="s">
        <v>309</v>
      </c>
      <c r="E3048" s="482">
        <v>20.95</v>
      </c>
      <c r="F3048" s="483" t="s">
        <v>292</v>
      </c>
      <c r="G3048" s="484">
        <v>0</v>
      </c>
      <c r="H3048" s="688" t="str">
        <f t="shared" ref="H3048:H3055" si="2347">IF(G3048=0,"",IF(F3048="Buy",IF(G3048=1,"plant","plants"),IF(F3048&gt;0.01,"warranty","Error")))</f>
        <v/>
      </c>
      <c r="I3048" s="485">
        <f t="shared" ref="I3048:I3055" si="2348">IF(H3048="free",0,IF(H3048="credit",((E3048*(F3048))*G3048*-1),IF(F3048="Buy",(E3048*G3048),((E3048*(1-F3048))*G3048))))</f>
        <v>0</v>
      </c>
      <c r="J3048" s="485">
        <f t="shared" ref="J3048:J3055" si="2349">IF(H3048="warranty",0,(I3048*(_xlfn.SINGLE(SalesTaxPercentage))))</f>
        <v>0</v>
      </c>
      <c r="K3048" s="715">
        <f t="shared" ref="K3048" si="2350">I3048+J3048</f>
        <v>0</v>
      </c>
      <c r="L3048" s="715"/>
      <c r="M3048" s="689" t="str">
        <f t="shared" ref="M3048:M3055" ca="1" si="2351">IF(AND(G3048&gt;0,E3048=0),"WARNING - no PRICE inserted",IF(H3048="free","FREE ~ no charge this plant",IF(H3048="credit",CONCATENATE("-$",ROUND(K3048*(1-_xlfn.SINGLE(T2GDiscount))*-1,2)," CREDIT after discount"),IF(_xlfn.SINGLE(T2GDiscount)=0,"",IF(G3048=0,"",IF(F3048="Buy",CONCATENATE("$",ROUND(K3048*(1-_xlfn.SINGLE(T2GDiscount)),2)," with ",(_xlfn.SINGLE(T2GDiscount)*100),"% discount"),CONCATENATE("$",ROUND(K3048*(1-_xlfn.SINGLE(T2GDiscount)),2)," with ",((_xlfn.SINGLE(T2GDiscount)*100+F3048*100)-(_xlfn.SINGLE(T2GDiscount)*100*F3048)),IF(F3048&gt;0,"% discounts",IF(_xlfn.SINGLE(NoWarrantyDiscount)&gt;0,"% discounts","% discount")))))))))</f>
        <v/>
      </c>
      <c r="N3048" s="690"/>
      <c r="O3048" s="486"/>
      <c r="P3048" s="486"/>
      <c r="Q3048" s="486"/>
      <c r="R3048" s="486"/>
      <c r="S3048" s="486"/>
      <c r="T3048" s="102">
        <f t="shared" si="2326"/>
        <v>0</v>
      </c>
      <c r="U3048" s="78">
        <f>IF(NOT(ISNUMBER(G3048)), "", VLOOKUP(A3048,'Discount Lookup'!D:E,2,FALSE)*G3048)</f>
        <v>0</v>
      </c>
      <c r="V3048" s="78">
        <f>IF(NOT(ISNUMBER(G3048)), "", VLOOKUP(A3048,'Discount Lookup'!G:H,2,FALSE)*G3048)</f>
        <v>0</v>
      </c>
      <c r="W3048" s="102">
        <f t="shared" si="2327"/>
        <v>0</v>
      </c>
      <c r="X3048" s="102">
        <f t="shared" si="2328"/>
        <v>0</v>
      </c>
      <c r="Y3048" s="120" t="b">
        <f t="shared" si="2329"/>
        <v>0</v>
      </c>
      <c r="Z3048" s="117">
        <f t="shared" si="2330"/>
        <v>0</v>
      </c>
      <c r="AA3048" s="118"/>
      <c r="AB3048" s="118" t="str">
        <f t="shared" si="2331"/>
        <v/>
      </c>
      <c r="AC3048" s="712" t="str">
        <f>IF(AE3048="T2G","no charge",IF(AND(OR(PlanterYesMe="No",PlanterYesMe="N",PlanterYesMe="me"),H3048=""),"",IF(H3048="credit","NO install",IF(AND(K3048="",AE3048="me"),"EACH row",IF(AND(K3048="images",AE3048="me"),"EACH row",IF(D3048="","",IF(H3048="credit","",IF(AE3048="free","re-planting",IF(AE3048="me","   not ELP, by",IF(AND(OR(PlanterYesMe="Yes",PlanterYesMe="Y"),G3048&gt;0),(VLOOKUP(A3048,'Discount Lookup'!J:K,2)*G3048*(1-PlanterDiscount)*(1+PlanterDifficultyPercentage)),IF(AE3048="ELP",(VLOOKUP(A3048,'Discount Lookup'!J:K,2)*G3048*(1-PlanterDiscount)*(1+PlanterDifficultyPercentage)),IF(AE3048="free","re-planting",IF(G3048=0,"",IF(PlanterYesMe="",IF(AE3048="me","   not ELP, by",IF(AE3048="",IF(G3048&gt;0,(VLOOKUP(A3048,'Discount Lookup'!J:K,2)*G3048*(1-PlanterDiscount)*(1+PlanterDifficultyPercentage)),""),"")),"   not ELP, by"))))))))))))))</f>
        <v/>
      </c>
      <c r="AD3048" s="712"/>
      <c r="AE3048" s="513" t="str">
        <f t="shared" si="2332"/>
        <v/>
      </c>
      <c r="AF3048" s="713" t="str">
        <f t="shared" si="2333"/>
        <v/>
      </c>
      <c r="AG3048" s="713"/>
      <c r="AH3048" s="713"/>
      <c r="AI3048" s="112">
        <f>IF(H3048="credit",0,IF(AE3048="free",0,IF(AE3048="me",0,IF(G3048&gt;0,(VLOOKUP(A3048,'Discount Lookup'!J:K,2)*G3048),0))))</f>
        <v>0</v>
      </c>
      <c r="AJ3048" s="107" t="str">
        <f t="shared" ca="1" si="2334"/>
        <v/>
      </c>
      <c r="AK3048" s="714" t="str">
        <f t="shared" si="2335"/>
        <v/>
      </c>
      <c r="AL3048" s="714"/>
      <c r="AM3048" s="114" t="str">
        <f t="shared" si="2336"/>
        <v/>
      </c>
      <c r="AN3048" s="115"/>
      <c r="AO3048" s="116"/>
      <c r="AP3048" s="116"/>
      <c r="AQ3048" s="116"/>
      <c r="AR3048" s="116"/>
      <c r="AS3048" s="116"/>
      <c r="AT3048" s="116"/>
      <c r="AU3048" s="116"/>
      <c r="AV3048" s="78"/>
      <c r="AW3048" s="102"/>
      <c r="AX3048" s="78"/>
      <c r="AY3048" s="78"/>
      <c r="AZ3048" s="78"/>
      <c r="BA3048" s="78"/>
      <c r="BB3048" s="78"/>
      <c r="BC3048" s="78"/>
      <c r="BD3048" s="78"/>
      <c r="BE3048" s="465"/>
      <c r="BF3048" s="165" t="str">
        <f t="shared" si="2337"/>
        <v>https://www.google.com/search?tbm=isch&amp;q=3%20G3</v>
      </c>
      <c r="BG3048" s="165" t="str">
        <f t="shared" si="2338"/>
        <v>M</v>
      </c>
      <c r="BH3048" s="65"/>
      <c r="BI3048" s="65"/>
      <c r="BJ3048" s="65"/>
      <c r="BK3048" s="65"/>
      <c r="BL3048" s="99"/>
      <c r="BM3048" s="99"/>
      <c r="BN3048" s="99"/>
    </row>
    <row r="3049" spans="1:66" s="51" customFormat="1" ht="15.75" x14ac:dyDescent="0.25">
      <c r="A3049" s="478">
        <v>3</v>
      </c>
      <c r="B3049" s="479" t="s">
        <v>291</v>
      </c>
      <c r="C3049" s="480" t="s">
        <v>346</v>
      </c>
      <c r="D3049" s="481" t="s">
        <v>310</v>
      </c>
      <c r="E3049" s="482">
        <v>25.95</v>
      </c>
      <c r="F3049" s="483" t="s">
        <v>292</v>
      </c>
      <c r="G3049" s="484">
        <v>0</v>
      </c>
      <c r="H3049" s="688" t="str">
        <f t="shared" si="2347"/>
        <v/>
      </c>
      <c r="I3049" s="485">
        <f t="shared" si="2348"/>
        <v>0</v>
      </c>
      <c r="J3049" s="485">
        <f t="shared" si="2349"/>
        <v>0</v>
      </c>
      <c r="K3049" s="715">
        <f t="shared" ref="K3049" si="2352">I3049+J3049</f>
        <v>0</v>
      </c>
      <c r="L3049" s="715"/>
      <c r="M3049" s="689" t="str">
        <f t="shared" ca="1" si="2351"/>
        <v/>
      </c>
      <c r="N3049" s="690"/>
      <c r="O3049" s="486"/>
      <c r="P3049" s="486"/>
      <c r="Q3049" s="486"/>
      <c r="R3049" s="486"/>
      <c r="S3049" s="486"/>
      <c r="T3049" s="102">
        <f t="shared" si="2326"/>
        <v>0</v>
      </c>
      <c r="U3049" s="78">
        <f>IF(NOT(ISNUMBER(G3049)), "", VLOOKUP(A3049,'Discount Lookup'!D:E,2,FALSE)*G3049)</f>
        <v>0</v>
      </c>
      <c r="V3049" s="78">
        <f>IF(NOT(ISNUMBER(G3049)), "", VLOOKUP(A3049,'Discount Lookup'!G:H,2,FALSE)*G3049)</f>
        <v>0</v>
      </c>
      <c r="W3049" s="102">
        <f t="shared" si="2327"/>
        <v>0</v>
      </c>
      <c r="X3049" s="102">
        <f t="shared" si="2328"/>
        <v>0</v>
      </c>
      <c r="Y3049" s="120" t="b">
        <f t="shared" si="2329"/>
        <v>0</v>
      </c>
      <c r="Z3049" s="117">
        <f t="shared" si="2330"/>
        <v>0</v>
      </c>
      <c r="AA3049" s="118"/>
      <c r="AB3049" s="118" t="str">
        <f t="shared" si="2331"/>
        <v/>
      </c>
      <c r="AC3049" s="712" t="str">
        <f>IF(AE3049="T2G","no charge",IF(AND(OR(PlanterYesMe="No",PlanterYesMe="N",PlanterYesMe="me"),H3049=""),"",IF(H3049="credit","NO install",IF(AND(K3049="",AE3049="me"),"EACH row",IF(AND(K3049="images",AE3049="me"),"EACH row",IF(D3049="","",IF(H3049="credit","",IF(AE3049="free","re-planting",IF(AE3049="me","   not ELP, by",IF(AND(OR(PlanterYesMe="Yes",PlanterYesMe="Y"),G3049&gt;0),(VLOOKUP(A3049,'Discount Lookup'!J:K,2)*G3049*(1-PlanterDiscount)*(1+PlanterDifficultyPercentage)),IF(AE3049="ELP",(VLOOKUP(A3049,'Discount Lookup'!J:K,2)*G3049*(1-PlanterDiscount)*(1+PlanterDifficultyPercentage)),IF(AE3049="free","re-planting",IF(G3049=0,"",IF(PlanterYesMe="",IF(AE3049="me","   not ELP, by",IF(AE3049="",IF(G3049&gt;0,(VLOOKUP(A3049,'Discount Lookup'!J:K,2)*G3049*(1-PlanterDiscount)*(1+PlanterDifficultyPercentage)),""),"")),"   not ELP, by"))))))))))))))</f>
        <v/>
      </c>
      <c r="AD3049" s="712"/>
      <c r="AE3049" s="513" t="str">
        <f t="shared" si="2332"/>
        <v/>
      </c>
      <c r="AF3049" s="713" t="str">
        <f t="shared" si="2333"/>
        <v/>
      </c>
      <c r="AG3049" s="713"/>
      <c r="AH3049" s="713"/>
      <c r="AI3049" s="112">
        <f>IF(H3049="credit",0,IF(AE3049="free",0,IF(AE3049="me",0,IF(G3049&gt;0,(VLOOKUP(A3049,'Discount Lookup'!J:K,2)*G3049),0))))</f>
        <v>0</v>
      </c>
      <c r="AJ3049" s="107" t="str">
        <f t="shared" ca="1" si="2334"/>
        <v/>
      </c>
      <c r="AK3049" s="714" t="str">
        <f t="shared" si="2335"/>
        <v/>
      </c>
      <c r="AL3049" s="714"/>
      <c r="AM3049" s="114" t="str">
        <f t="shared" si="2336"/>
        <v/>
      </c>
      <c r="AN3049" s="115"/>
      <c r="AO3049" s="116"/>
      <c r="AP3049" s="116"/>
      <c r="AQ3049" s="116"/>
      <c r="AR3049" s="116"/>
      <c r="AS3049" s="116"/>
      <c r="AT3049" s="116"/>
      <c r="AU3049" s="116"/>
      <c r="AV3049" s="78"/>
      <c r="AW3049" s="102"/>
      <c r="AX3049" s="78"/>
      <c r="AY3049" s="78"/>
      <c r="AZ3049" s="78"/>
      <c r="BA3049" s="78"/>
      <c r="BB3049" s="78"/>
      <c r="BC3049" s="78"/>
      <c r="BD3049" s="78"/>
      <c r="BE3049" s="465"/>
      <c r="BF3049" s="165" t="str">
        <f t="shared" si="2337"/>
        <v>https://www.google.com/search?tbm=isch&amp;q=3%20G1</v>
      </c>
      <c r="BG3049" s="165" t="str">
        <f t="shared" si="2338"/>
        <v>M</v>
      </c>
      <c r="BH3049" s="65"/>
      <c r="BI3049" s="65"/>
      <c r="BJ3049" s="65"/>
      <c r="BK3049" s="65"/>
      <c r="BL3049" s="99"/>
      <c r="BM3049" s="99"/>
      <c r="BN3049" s="99"/>
    </row>
    <row r="3050" spans="1:66" s="51" customFormat="1" ht="15.75" x14ac:dyDescent="0.25">
      <c r="A3050" s="478">
        <v>3</v>
      </c>
      <c r="B3050" s="479" t="s">
        <v>291</v>
      </c>
      <c r="C3050" s="480" t="s">
        <v>3319</v>
      </c>
      <c r="D3050" s="481" t="s">
        <v>329</v>
      </c>
      <c r="E3050" s="482">
        <v>26.95</v>
      </c>
      <c r="F3050" s="483" t="s">
        <v>292</v>
      </c>
      <c r="G3050" s="484">
        <v>0</v>
      </c>
      <c r="H3050" s="688" t="str">
        <f t="shared" si="2347"/>
        <v/>
      </c>
      <c r="I3050" s="485">
        <f t="shared" si="2348"/>
        <v>0</v>
      </c>
      <c r="J3050" s="485">
        <f t="shared" si="2349"/>
        <v>0</v>
      </c>
      <c r="K3050" s="715">
        <f t="shared" ref="K3050" si="2353">I3050+J3050</f>
        <v>0</v>
      </c>
      <c r="L3050" s="715"/>
      <c r="M3050" s="689" t="str">
        <f t="shared" ca="1" si="2351"/>
        <v/>
      </c>
      <c r="N3050" s="690"/>
      <c r="O3050" s="486"/>
      <c r="P3050" s="486"/>
      <c r="Q3050" s="486"/>
      <c r="R3050" s="486"/>
      <c r="S3050" s="486"/>
      <c r="T3050" s="102">
        <f t="shared" si="2326"/>
        <v>0</v>
      </c>
      <c r="U3050" s="78">
        <f>IF(NOT(ISNUMBER(G3050)), "", VLOOKUP(A3050,'Discount Lookup'!D:E,2,FALSE)*G3050)</f>
        <v>0</v>
      </c>
      <c r="V3050" s="78">
        <f>IF(NOT(ISNUMBER(G3050)), "", VLOOKUP(A3050,'Discount Lookup'!G:H,2,FALSE)*G3050)</f>
        <v>0</v>
      </c>
      <c r="W3050" s="102">
        <f t="shared" si="2327"/>
        <v>0</v>
      </c>
      <c r="X3050" s="102">
        <f t="shared" si="2328"/>
        <v>0</v>
      </c>
      <c r="Y3050" s="120" t="b">
        <f t="shared" si="2329"/>
        <v>0</v>
      </c>
      <c r="Z3050" s="117">
        <f t="shared" si="2330"/>
        <v>0</v>
      </c>
      <c r="AA3050" s="118"/>
      <c r="AB3050" s="118" t="str">
        <f t="shared" si="2331"/>
        <v/>
      </c>
      <c r="AC3050" s="712" t="str">
        <f>IF(AE3050="T2G","no charge",IF(AND(OR(PlanterYesMe="No",PlanterYesMe="N",PlanterYesMe="me"),H3050=""),"",IF(H3050="credit","NO install",IF(AND(K3050="",AE3050="me"),"EACH row",IF(AND(K3050="images",AE3050="me"),"EACH row",IF(D3050="","",IF(H3050="credit","",IF(AE3050="free","re-planting",IF(AE3050="me","   not ELP, by",IF(AND(OR(PlanterYesMe="Yes",PlanterYesMe="Y"),G3050&gt;0),(VLOOKUP(A3050,'Discount Lookup'!J:K,2)*G3050*(1-PlanterDiscount)*(1+PlanterDifficultyPercentage)),IF(AE3050="ELP",(VLOOKUP(A3050,'Discount Lookup'!J:K,2)*G3050*(1-PlanterDiscount)*(1+PlanterDifficultyPercentage)),IF(AE3050="free","re-planting",IF(G3050=0,"",IF(PlanterYesMe="",IF(AE3050="me","   not ELP, by",IF(AE3050="",IF(G3050&gt;0,(VLOOKUP(A3050,'Discount Lookup'!J:K,2)*G3050*(1-PlanterDiscount)*(1+PlanterDifficultyPercentage)),""),"")),"   not ELP, by"))))))))))))))</f>
        <v/>
      </c>
      <c r="AD3050" s="712"/>
      <c r="AE3050" s="513" t="str">
        <f t="shared" si="2332"/>
        <v/>
      </c>
      <c r="AF3050" s="713" t="str">
        <f t="shared" si="2333"/>
        <v/>
      </c>
      <c r="AG3050" s="713"/>
      <c r="AH3050" s="713"/>
      <c r="AI3050" s="112">
        <f>IF(H3050="credit",0,IF(AE3050="free",0,IF(AE3050="me",0,IF(G3050&gt;0,(VLOOKUP(A3050,'Discount Lookup'!J:K,2)*G3050),0))))</f>
        <v>0</v>
      </c>
      <c r="AJ3050" s="107" t="str">
        <f t="shared" ca="1" si="2334"/>
        <v/>
      </c>
      <c r="AK3050" s="714" t="str">
        <f t="shared" si="2335"/>
        <v/>
      </c>
      <c r="AL3050" s="714"/>
      <c r="AM3050" s="114" t="str">
        <f t="shared" si="2336"/>
        <v/>
      </c>
      <c r="AN3050" s="115"/>
      <c r="AO3050" s="116"/>
      <c r="AP3050" s="116"/>
      <c r="AQ3050" s="116"/>
      <c r="AR3050" s="116"/>
      <c r="AS3050" s="116"/>
      <c r="AT3050" s="116"/>
      <c r="AU3050" s="116"/>
      <c r="AV3050" s="78"/>
      <c r="AW3050" s="102"/>
      <c r="AX3050" s="78"/>
      <c r="AY3050" s="78"/>
      <c r="AZ3050" s="78"/>
      <c r="BA3050" s="78"/>
      <c r="BB3050" s="78"/>
      <c r="BC3050" s="78"/>
      <c r="BD3050" s="78"/>
      <c r="BE3050" s="465"/>
      <c r="BF3050" s="165" t="str">
        <f t="shared" si="2337"/>
        <v>https://www.google.com/search?tbm=isch&amp;q=3%20G2</v>
      </c>
      <c r="BG3050" s="165" t="str">
        <f t="shared" si="2338"/>
        <v>M</v>
      </c>
      <c r="BH3050" s="65"/>
      <c r="BI3050" s="65"/>
      <c r="BJ3050" s="65"/>
      <c r="BK3050" s="65"/>
      <c r="BL3050" s="99"/>
      <c r="BM3050" s="99"/>
      <c r="BN3050" s="99"/>
    </row>
    <row r="3051" spans="1:66" s="51" customFormat="1" ht="15.75" x14ac:dyDescent="0.25">
      <c r="A3051" s="478">
        <v>3</v>
      </c>
      <c r="B3051" s="479" t="s">
        <v>291</v>
      </c>
      <c r="C3051" s="480" t="s">
        <v>914</v>
      </c>
      <c r="D3051" s="481" t="s">
        <v>311</v>
      </c>
      <c r="E3051" s="482">
        <v>27.95</v>
      </c>
      <c r="F3051" s="483" t="s">
        <v>292</v>
      </c>
      <c r="G3051" s="484">
        <v>0</v>
      </c>
      <c r="H3051" s="688" t="str">
        <f t="shared" si="2347"/>
        <v/>
      </c>
      <c r="I3051" s="485">
        <f t="shared" si="2348"/>
        <v>0</v>
      </c>
      <c r="J3051" s="485">
        <f t="shared" si="2349"/>
        <v>0</v>
      </c>
      <c r="K3051" s="715">
        <f t="shared" ref="K3051" si="2354">I3051+J3051</f>
        <v>0</v>
      </c>
      <c r="L3051" s="715"/>
      <c r="M3051" s="689" t="str">
        <f t="shared" ca="1" si="2351"/>
        <v/>
      </c>
      <c r="N3051" s="690"/>
      <c r="O3051" s="486"/>
      <c r="P3051" s="486"/>
      <c r="Q3051" s="486"/>
      <c r="R3051" s="486"/>
      <c r="S3051" s="486"/>
      <c r="T3051" s="102">
        <f t="shared" si="2326"/>
        <v>0</v>
      </c>
      <c r="U3051" s="78">
        <f>IF(NOT(ISNUMBER(G3051)), "", VLOOKUP(A3051,'Discount Lookup'!D:E,2,FALSE)*G3051)</f>
        <v>0</v>
      </c>
      <c r="V3051" s="78">
        <f>IF(NOT(ISNUMBER(G3051)), "", VLOOKUP(A3051,'Discount Lookup'!G:H,2,FALSE)*G3051)</f>
        <v>0</v>
      </c>
      <c r="W3051" s="102">
        <f t="shared" si="2327"/>
        <v>0</v>
      </c>
      <c r="X3051" s="102">
        <f t="shared" si="2328"/>
        <v>0</v>
      </c>
      <c r="Y3051" s="120" t="b">
        <f t="shared" si="2329"/>
        <v>0</v>
      </c>
      <c r="Z3051" s="117">
        <f t="shared" si="2330"/>
        <v>0</v>
      </c>
      <c r="AA3051" s="118"/>
      <c r="AB3051" s="118" t="str">
        <f t="shared" si="2331"/>
        <v/>
      </c>
      <c r="AC3051" s="712" t="str">
        <f>IF(AE3051="T2G","no charge",IF(AND(OR(PlanterYesMe="No",PlanterYesMe="N",PlanterYesMe="me"),H3051=""),"",IF(H3051="credit","NO install",IF(AND(K3051="",AE3051="me"),"EACH row",IF(AND(K3051="images",AE3051="me"),"EACH row",IF(D3051="","",IF(H3051="credit","",IF(AE3051="free","re-planting",IF(AE3051="me","   not ELP, by",IF(AND(OR(PlanterYesMe="Yes",PlanterYesMe="Y"),G3051&gt;0),(VLOOKUP(A3051,'Discount Lookup'!J:K,2)*G3051*(1-PlanterDiscount)*(1+PlanterDifficultyPercentage)),IF(AE3051="ELP",(VLOOKUP(A3051,'Discount Lookup'!J:K,2)*G3051*(1-PlanterDiscount)*(1+PlanterDifficultyPercentage)),IF(AE3051="free","re-planting",IF(G3051=0,"",IF(PlanterYesMe="",IF(AE3051="me","   not ELP, by",IF(AE3051="",IF(G3051&gt;0,(VLOOKUP(A3051,'Discount Lookup'!J:K,2)*G3051*(1-PlanterDiscount)*(1+PlanterDifficultyPercentage)),""),"")),"   not ELP, by"))))))))))))))</f>
        <v/>
      </c>
      <c r="AD3051" s="712"/>
      <c r="AE3051" s="513" t="str">
        <f t="shared" si="2332"/>
        <v/>
      </c>
      <c r="AF3051" s="713" t="str">
        <f t="shared" si="2333"/>
        <v/>
      </c>
      <c r="AG3051" s="713"/>
      <c r="AH3051" s="713"/>
      <c r="AI3051" s="112">
        <f>IF(H3051="credit",0,IF(AE3051="free",0,IF(AE3051="me",0,IF(G3051&gt;0,(VLOOKUP(A3051,'Discount Lookup'!J:K,2)*G3051),0))))</f>
        <v>0</v>
      </c>
      <c r="AJ3051" s="107" t="str">
        <f t="shared" ca="1" si="2334"/>
        <v/>
      </c>
      <c r="AK3051" s="714" t="str">
        <f t="shared" si="2335"/>
        <v/>
      </c>
      <c r="AL3051" s="714"/>
      <c r="AM3051" s="114" t="str">
        <f t="shared" si="2336"/>
        <v/>
      </c>
      <c r="AN3051" s="115"/>
      <c r="AO3051" s="116"/>
      <c r="AP3051" s="116"/>
      <c r="AQ3051" s="116"/>
      <c r="AR3051" s="116"/>
      <c r="AS3051" s="116"/>
      <c r="AT3051" s="116"/>
      <c r="AU3051" s="116"/>
      <c r="AV3051" s="78"/>
      <c r="AW3051" s="102"/>
      <c r="AX3051" s="78"/>
      <c r="AY3051" s="78"/>
      <c r="AZ3051" s="78"/>
      <c r="BA3051" s="78"/>
      <c r="BB3051" s="78"/>
      <c r="BC3051" s="78"/>
      <c r="BD3051" s="78"/>
      <c r="BE3051" s="465"/>
      <c r="BF3051" s="165" t="str">
        <f t="shared" si="2337"/>
        <v>https://www.google.com/search?tbm=isch&amp;q=3%20G5</v>
      </c>
      <c r="BG3051" s="165" t="str">
        <f t="shared" si="2338"/>
        <v>M</v>
      </c>
      <c r="BH3051" s="65"/>
      <c r="BI3051" s="65"/>
      <c r="BJ3051" s="65"/>
      <c r="BK3051" s="65"/>
      <c r="BL3051" s="99"/>
      <c r="BM3051" s="99"/>
      <c r="BN3051" s="99"/>
    </row>
    <row r="3052" spans="1:66" s="51" customFormat="1" ht="15.75" x14ac:dyDescent="0.25">
      <c r="A3052" s="478">
        <v>7</v>
      </c>
      <c r="B3052" s="479" t="s">
        <v>291</v>
      </c>
      <c r="C3052" s="480" t="s">
        <v>628</v>
      </c>
      <c r="D3052" s="481" t="s">
        <v>310</v>
      </c>
      <c r="E3052" s="482">
        <v>56.95</v>
      </c>
      <c r="F3052" s="483" t="s">
        <v>292</v>
      </c>
      <c r="G3052" s="484">
        <v>0</v>
      </c>
      <c r="H3052" s="688" t="str">
        <f t="shared" si="2347"/>
        <v/>
      </c>
      <c r="I3052" s="485">
        <f t="shared" si="2348"/>
        <v>0</v>
      </c>
      <c r="J3052" s="485">
        <f t="shared" si="2349"/>
        <v>0</v>
      </c>
      <c r="K3052" s="715">
        <f t="shared" ref="K3052" si="2355">I3052+J3052</f>
        <v>0</v>
      </c>
      <c r="L3052" s="715"/>
      <c r="M3052" s="689" t="str">
        <f t="shared" ca="1" si="2351"/>
        <v/>
      </c>
      <c r="N3052" s="690"/>
      <c r="O3052" s="486"/>
      <c r="P3052" s="486"/>
      <c r="Q3052" s="486"/>
      <c r="R3052" s="486"/>
      <c r="S3052" s="486"/>
      <c r="T3052" s="102">
        <f t="shared" si="2326"/>
        <v>0</v>
      </c>
      <c r="U3052" s="78">
        <f>IF(NOT(ISNUMBER(G3052)), "", VLOOKUP(A3052,'Discount Lookup'!D:E,2,FALSE)*G3052)</f>
        <v>0</v>
      </c>
      <c r="V3052" s="78">
        <f>IF(NOT(ISNUMBER(G3052)), "", VLOOKUP(A3052,'Discount Lookup'!G:H,2,FALSE)*G3052)</f>
        <v>0</v>
      </c>
      <c r="W3052" s="102">
        <f t="shared" si="2327"/>
        <v>0</v>
      </c>
      <c r="X3052" s="102">
        <f t="shared" si="2328"/>
        <v>0</v>
      </c>
      <c r="Y3052" s="120" t="b">
        <f t="shared" si="2329"/>
        <v>0</v>
      </c>
      <c r="Z3052" s="117">
        <f t="shared" si="2330"/>
        <v>0</v>
      </c>
      <c r="AA3052" s="118"/>
      <c r="AB3052" s="118" t="str">
        <f t="shared" si="2331"/>
        <v/>
      </c>
      <c r="AC3052" s="712" t="str">
        <f>IF(AE3052="T2G","no charge",IF(AND(OR(PlanterYesMe="No",PlanterYesMe="N",PlanterYesMe="me"),H3052=""),"",IF(H3052="credit","NO install",IF(AND(K3052="",AE3052="me"),"EACH row",IF(AND(K3052="images",AE3052="me"),"EACH row",IF(D3052="","",IF(H3052="credit","",IF(AE3052="free","re-planting",IF(AE3052="me","   not ELP, by",IF(AND(OR(PlanterYesMe="Yes",PlanterYesMe="Y"),G3052&gt;0),(VLOOKUP(A3052,'Discount Lookup'!J:K,2)*G3052*(1-PlanterDiscount)*(1+PlanterDifficultyPercentage)),IF(AE3052="ELP",(VLOOKUP(A3052,'Discount Lookup'!J:K,2)*G3052*(1-PlanterDiscount)*(1+PlanterDifficultyPercentage)),IF(AE3052="free","re-planting",IF(G3052=0,"",IF(PlanterYesMe="",IF(AE3052="me","   not ELP, by",IF(AE3052="",IF(G3052&gt;0,(VLOOKUP(A3052,'Discount Lookup'!J:K,2)*G3052*(1-PlanterDiscount)*(1+PlanterDifficultyPercentage)),""),"")),"   not ELP, by"))))))))))))))</f>
        <v/>
      </c>
      <c r="AD3052" s="712"/>
      <c r="AE3052" s="513" t="str">
        <f t="shared" si="2332"/>
        <v/>
      </c>
      <c r="AF3052" s="713" t="str">
        <f t="shared" si="2333"/>
        <v/>
      </c>
      <c r="AG3052" s="713"/>
      <c r="AH3052" s="713"/>
      <c r="AI3052" s="112">
        <f>IF(H3052="credit",0,IF(AE3052="free",0,IF(AE3052="me",0,IF(G3052&gt;0,(VLOOKUP(A3052,'Discount Lookup'!J:K,2)*G3052),0))))</f>
        <v>0</v>
      </c>
      <c r="AJ3052" s="107" t="str">
        <f t="shared" ca="1" si="2334"/>
        <v/>
      </c>
      <c r="AK3052" s="714" t="str">
        <f t="shared" si="2335"/>
        <v/>
      </c>
      <c r="AL3052" s="714"/>
      <c r="AM3052" s="114" t="str">
        <f t="shared" si="2336"/>
        <v/>
      </c>
      <c r="AN3052" s="115"/>
      <c r="AO3052" s="116"/>
      <c r="AP3052" s="116"/>
      <c r="AQ3052" s="116"/>
      <c r="AR3052" s="116"/>
      <c r="AS3052" s="116"/>
      <c r="AT3052" s="116"/>
      <c r="AU3052" s="116"/>
      <c r="AV3052" s="78"/>
      <c r="AW3052" s="102"/>
      <c r="AX3052" s="78"/>
      <c r="AY3052" s="78"/>
      <c r="AZ3052" s="78"/>
      <c r="BA3052" s="78"/>
      <c r="BB3052" s="78"/>
      <c r="BC3052" s="78"/>
      <c r="BD3052" s="78"/>
      <c r="BE3052" s="465"/>
      <c r="BF3052" s="165" t="str">
        <f t="shared" si="2337"/>
        <v>https://www.google.com/search?tbm=isch&amp;q=7%20G1</v>
      </c>
      <c r="BG3052" s="165" t="str">
        <f t="shared" si="2338"/>
        <v>M</v>
      </c>
      <c r="BH3052" s="65"/>
      <c r="BI3052" s="65"/>
      <c r="BJ3052" s="65"/>
      <c r="BK3052" s="65"/>
      <c r="BL3052" s="99"/>
      <c r="BM3052" s="99"/>
      <c r="BN3052" s="99"/>
    </row>
    <row r="3053" spans="1:66" s="51" customFormat="1" ht="15.75" x14ac:dyDescent="0.25">
      <c r="A3053" s="478">
        <v>7</v>
      </c>
      <c r="B3053" s="479" t="s">
        <v>291</v>
      </c>
      <c r="C3053" s="480" t="s">
        <v>4641</v>
      </c>
      <c r="D3053" s="481" t="s">
        <v>329</v>
      </c>
      <c r="E3053" s="482">
        <v>60.95</v>
      </c>
      <c r="F3053" s="483" t="s">
        <v>292</v>
      </c>
      <c r="G3053" s="484">
        <v>0</v>
      </c>
      <c r="H3053" s="688" t="str">
        <f t="shared" si="2347"/>
        <v/>
      </c>
      <c r="I3053" s="485">
        <f t="shared" si="2348"/>
        <v>0</v>
      </c>
      <c r="J3053" s="485">
        <f t="shared" si="2349"/>
        <v>0</v>
      </c>
      <c r="K3053" s="715">
        <f t="shared" ref="K3053" si="2356">I3053+J3053</f>
        <v>0</v>
      </c>
      <c r="L3053" s="715"/>
      <c r="M3053" s="689" t="str">
        <f t="shared" ca="1" si="2351"/>
        <v/>
      </c>
      <c r="N3053" s="690"/>
      <c r="O3053" s="486"/>
      <c r="P3053" s="486"/>
      <c r="Q3053" s="486"/>
      <c r="R3053" s="486"/>
      <c r="S3053" s="486"/>
      <c r="T3053" s="102">
        <f t="shared" si="2326"/>
        <v>0</v>
      </c>
      <c r="U3053" s="78">
        <f>IF(NOT(ISNUMBER(G3053)), "", VLOOKUP(A3053,'Discount Lookup'!D:E,2,FALSE)*G3053)</f>
        <v>0</v>
      </c>
      <c r="V3053" s="78">
        <f>IF(NOT(ISNUMBER(G3053)), "", VLOOKUP(A3053,'Discount Lookup'!G:H,2,FALSE)*G3053)</f>
        <v>0</v>
      </c>
      <c r="W3053" s="102">
        <f t="shared" si="2327"/>
        <v>0</v>
      </c>
      <c r="X3053" s="102">
        <f t="shared" si="2328"/>
        <v>0</v>
      </c>
      <c r="Y3053" s="120" t="b">
        <f t="shared" si="2329"/>
        <v>0</v>
      </c>
      <c r="Z3053" s="117">
        <f t="shared" si="2330"/>
        <v>0</v>
      </c>
      <c r="AA3053" s="118"/>
      <c r="AB3053" s="118" t="str">
        <f t="shared" si="2331"/>
        <v/>
      </c>
      <c r="AC3053" s="712" t="str">
        <f>IF(AE3053="T2G","no charge",IF(AND(OR(PlanterYesMe="No",PlanterYesMe="N",PlanterYesMe="me"),H3053=""),"",IF(H3053="credit","NO install",IF(AND(K3053="",AE3053="me"),"EACH row",IF(AND(K3053="images",AE3053="me"),"EACH row",IF(D3053="","",IF(H3053="credit","",IF(AE3053="free","re-planting",IF(AE3053="me","   not ELP, by",IF(AND(OR(PlanterYesMe="Yes",PlanterYesMe="Y"),G3053&gt;0),(VLOOKUP(A3053,'Discount Lookup'!J:K,2)*G3053*(1-PlanterDiscount)*(1+PlanterDifficultyPercentage)),IF(AE3053="ELP",(VLOOKUP(A3053,'Discount Lookup'!J:K,2)*G3053*(1-PlanterDiscount)*(1+PlanterDifficultyPercentage)),IF(AE3053="free","re-planting",IF(G3053=0,"",IF(PlanterYesMe="",IF(AE3053="me","   not ELP, by",IF(AE3053="",IF(G3053&gt;0,(VLOOKUP(A3053,'Discount Lookup'!J:K,2)*G3053*(1-PlanterDiscount)*(1+PlanterDifficultyPercentage)),""),"")),"   not ELP, by"))))))))))))))</f>
        <v/>
      </c>
      <c r="AD3053" s="712"/>
      <c r="AE3053" s="513" t="str">
        <f t="shared" si="2332"/>
        <v/>
      </c>
      <c r="AF3053" s="713" t="str">
        <f t="shared" si="2333"/>
        <v/>
      </c>
      <c r="AG3053" s="713"/>
      <c r="AH3053" s="713"/>
      <c r="AI3053" s="112">
        <f>IF(H3053="credit",0,IF(AE3053="free",0,IF(AE3053="me",0,IF(G3053&gt;0,(VLOOKUP(A3053,'Discount Lookup'!J:K,2)*G3053),0))))</f>
        <v>0</v>
      </c>
      <c r="AJ3053" s="107" t="str">
        <f t="shared" ca="1" si="2334"/>
        <v/>
      </c>
      <c r="AK3053" s="714" t="str">
        <f t="shared" si="2335"/>
        <v/>
      </c>
      <c r="AL3053" s="714"/>
      <c r="AM3053" s="114" t="str">
        <f t="shared" si="2336"/>
        <v/>
      </c>
      <c r="AN3053" s="115"/>
      <c r="AO3053" s="116"/>
      <c r="AP3053" s="116"/>
      <c r="AQ3053" s="116"/>
      <c r="AR3053" s="116"/>
      <c r="AS3053" s="116"/>
      <c r="AT3053" s="116"/>
      <c r="AU3053" s="116"/>
      <c r="AV3053" s="78"/>
      <c r="AW3053" s="102"/>
      <c r="AX3053" s="78"/>
      <c r="AY3053" s="78"/>
      <c r="AZ3053" s="78"/>
      <c r="BA3053" s="78"/>
      <c r="BB3053" s="78"/>
      <c r="BC3053" s="78"/>
      <c r="BD3053" s="78"/>
      <c r="BE3053" s="465"/>
      <c r="BF3053" s="165" t="str">
        <f t="shared" si="2337"/>
        <v>https://www.google.com/search?tbm=isch&amp;q=7%20G2</v>
      </c>
      <c r="BG3053" s="165" t="str">
        <f t="shared" si="2338"/>
        <v>M</v>
      </c>
      <c r="BH3053" s="65"/>
      <c r="BI3053" s="65"/>
      <c r="BJ3053" s="65"/>
      <c r="BK3053" s="65"/>
      <c r="BL3053" s="99"/>
      <c r="BM3053" s="99"/>
      <c r="BN3053" s="99"/>
    </row>
    <row r="3054" spans="1:66" s="51" customFormat="1" ht="15.75" x14ac:dyDescent="0.25">
      <c r="A3054" s="478">
        <v>15</v>
      </c>
      <c r="B3054" s="479" t="s">
        <v>291</v>
      </c>
      <c r="C3054" s="480" t="s">
        <v>855</v>
      </c>
      <c r="D3054" s="481" t="s">
        <v>311</v>
      </c>
      <c r="E3054" s="482">
        <v>155.94999999999999</v>
      </c>
      <c r="F3054" s="483" t="s">
        <v>292</v>
      </c>
      <c r="G3054" s="484">
        <v>0</v>
      </c>
      <c r="H3054" s="688" t="str">
        <f t="shared" si="2347"/>
        <v/>
      </c>
      <c r="I3054" s="485">
        <f t="shared" si="2348"/>
        <v>0</v>
      </c>
      <c r="J3054" s="485">
        <f t="shared" si="2349"/>
        <v>0</v>
      </c>
      <c r="K3054" s="715">
        <f t="shared" ref="K3054" si="2357">I3054+J3054</f>
        <v>0</v>
      </c>
      <c r="L3054" s="715"/>
      <c r="M3054" s="689" t="str">
        <f t="shared" ca="1" si="2351"/>
        <v/>
      </c>
      <c r="N3054" s="690"/>
      <c r="O3054" s="486"/>
      <c r="P3054" s="486"/>
      <c r="Q3054" s="486"/>
      <c r="R3054" s="486"/>
      <c r="S3054" s="486"/>
      <c r="T3054" s="102">
        <f t="shared" si="2326"/>
        <v>0</v>
      </c>
      <c r="U3054" s="78">
        <f>IF(NOT(ISNUMBER(G3054)), "", VLOOKUP(A3054,'Discount Lookup'!D:E,2,FALSE)*G3054)</f>
        <v>0</v>
      </c>
      <c r="V3054" s="78">
        <f>IF(NOT(ISNUMBER(G3054)), "", VLOOKUP(A3054,'Discount Lookup'!G:H,2,FALSE)*G3054)</f>
        <v>0</v>
      </c>
      <c r="W3054" s="102">
        <f t="shared" si="2327"/>
        <v>0</v>
      </c>
      <c r="X3054" s="102">
        <f t="shared" si="2328"/>
        <v>0</v>
      </c>
      <c r="Y3054" s="120" t="b">
        <f t="shared" si="2329"/>
        <v>0</v>
      </c>
      <c r="Z3054" s="117">
        <f t="shared" si="2330"/>
        <v>0</v>
      </c>
      <c r="AA3054" s="118"/>
      <c r="AB3054" s="118" t="str">
        <f t="shared" si="2331"/>
        <v/>
      </c>
      <c r="AC3054" s="712" t="str">
        <f>IF(AE3054="T2G","no charge",IF(AND(OR(PlanterYesMe="No",PlanterYesMe="N",PlanterYesMe="me"),H3054=""),"",IF(H3054="credit","NO install",IF(AND(K3054="",AE3054="me"),"EACH row",IF(AND(K3054="images",AE3054="me"),"EACH row",IF(D3054="","",IF(H3054="credit","",IF(AE3054="free","re-planting",IF(AE3054="me","   not ELP, by",IF(AND(OR(PlanterYesMe="Yes",PlanterYesMe="Y"),G3054&gt;0),(VLOOKUP(A3054,'Discount Lookup'!J:K,2)*G3054*(1-PlanterDiscount)*(1+PlanterDifficultyPercentage)),IF(AE3054="ELP",(VLOOKUP(A3054,'Discount Lookup'!J:K,2)*G3054*(1-PlanterDiscount)*(1+PlanterDifficultyPercentage)),IF(AE3054="free","re-planting",IF(G3054=0,"",IF(PlanterYesMe="",IF(AE3054="me","   not ELP, by",IF(AE3054="",IF(G3054&gt;0,(VLOOKUP(A3054,'Discount Lookup'!J:K,2)*G3054*(1-PlanterDiscount)*(1+PlanterDifficultyPercentage)),""),"")),"   not ELP, by"))))))))))))))</f>
        <v/>
      </c>
      <c r="AD3054" s="712"/>
      <c r="AE3054" s="513" t="str">
        <f t="shared" si="2332"/>
        <v/>
      </c>
      <c r="AF3054" s="713" t="str">
        <f t="shared" si="2333"/>
        <v/>
      </c>
      <c r="AG3054" s="713"/>
      <c r="AH3054" s="713"/>
      <c r="AI3054" s="112">
        <f>IF(H3054="credit",0,IF(AE3054="free",0,IF(AE3054="me",0,IF(G3054&gt;0,(VLOOKUP(A3054,'Discount Lookup'!J:K,2)*G3054),0))))</f>
        <v>0</v>
      </c>
      <c r="AJ3054" s="107" t="str">
        <f t="shared" ca="1" si="2334"/>
        <v/>
      </c>
      <c r="AK3054" s="714" t="str">
        <f t="shared" si="2335"/>
        <v/>
      </c>
      <c r="AL3054" s="714"/>
      <c r="AM3054" s="114" t="str">
        <f t="shared" si="2336"/>
        <v/>
      </c>
      <c r="AN3054" s="115"/>
      <c r="AO3054" s="116"/>
      <c r="AP3054" s="116"/>
      <c r="AQ3054" s="116"/>
      <c r="AR3054" s="116"/>
      <c r="AS3054" s="116"/>
      <c r="AT3054" s="116"/>
      <c r="AU3054" s="116"/>
      <c r="AV3054" s="78"/>
      <c r="AW3054" s="102"/>
      <c r="AX3054" s="78"/>
      <c r="AY3054" s="78"/>
      <c r="AZ3054" s="78"/>
      <c r="BA3054" s="78"/>
      <c r="BB3054" s="78"/>
      <c r="BC3054" s="78"/>
      <c r="BD3054" s="78"/>
      <c r="BE3054" s="465"/>
      <c r="BF3054" s="165" t="str">
        <f t="shared" si="2337"/>
        <v>https://www.google.com/search?tbm=isch&amp;q=15%20G5</v>
      </c>
      <c r="BG3054" s="165" t="str">
        <f t="shared" si="2338"/>
        <v>M</v>
      </c>
      <c r="BH3054" s="65"/>
      <c r="BI3054" s="65"/>
      <c r="BJ3054" s="65"/>
      <c r="BK3054" s="65"/>
      <c r="BL3054" s="99"/>
      <c r="BM3054" s="99"/>
      <c r="BN3054" s="99"/>
    </row>
    <row r="3055" spans="1:66" s="51" customFormat="1" ht="15.75" x14ac:dyDescent="0.25">
      <c r="A3055" s="478">
        <v>30</v>
      </c>
      <c r="B3055" s="479" t="s">
        <v>291</v>
      </c>
      <c r="C3055" s="480" t="s">
        <v>629</v>
      </c>
      <c r="D3055" s="481" t="s">
        <v>311</v>
      </c>
      <c r="E3055" s="482">
        <v>305.95</v>
      </c>
      <c r="F3055" s="483" t="s">
        <v>292</v>
      </c>
      <c r="G3055" s="484">
        <v>0</v>
      </c>
      <c r="H3055" s="688" t="str">
        <f t="shared" si="2347"/>
        <v/>
      </c>
      <c r="I3055" s="485">
        <f t="shared" si="2348"/>
        <v>0</v>
      </c>
      <c r="J3055" s="485">
        <f t="shared" si="2349"/>
        <v>0</v>
      </c>
      <c r="K3055" s="715">
        <f t="shared" ref="K3055" si="2358">I3055+J3055</f>
        <v>0</v>
      </c>
      <c r="L3055" s="715"/>
      <c r="M3055" s="689" t="str">
        <f t="shared" ca="1" si="2351"/>
        <v/>
      </c>
      <c r="N3055" s="690"/>
      <c r="O3055" s="486"/>
      <c r="P3055" s="486"/>
      <c r="Q3055" s="486"/>
      <c r="R3055" s="486"/>
      <c r="S3055" s="486"/>
      <c r="T3055" s="102">
        <f t="shared" si="2326"/>
        <v>0</v>
      </c>
      <c r="U3055" s="78">
        <f>IF(NOT(ISNUMBER(G3055)), "", VLOOKUP(A3055,'Discount Lookup'!D:E,2,FALSE)*G3055)</f>
        <v>0</v>
      </c>
      <c r="V3055" s="78">
        <f>IF(NOT(ISNUMBER(G3055)), "", VLOOKUP(A3055,'Discount Lookup'!G:H,2,FALSE)*G3055)</f>
        <v>0</v>
      </c>
      <c r="W3055" s="102">
        <f t="shared" si="2327"/>
        <v>0</v>
      </c>
      <c r="X3055" s="102">
        <f t="shared" si="2328"/>
        <v>0</v>
      </c>
      <c r="Y3055" s="120" t="b">
        <f t="shared" si="2329"/>
        <v>0</v>
      </c>
      <c r="Z3055" s="117">
        <f t="shared" si="2330"/>
        <v>0</v>
      </c>
      <c r="AA3055" s="118"/>
      <c r="AB3055" s="118" t="str">
        <f t="shared" si="2331"/>
        <v/>
      </c>
      <c r="AC3055" s="712" t="str">
        <f>IF(AE3055="T2G","no charge",IF(AND(OR(PlanterYesMe="No",PlanterYesMe="N",PlanterYesMe="me"),H3055=""),"",IF(H3055="credit","NO install",IF(AND(K3055="",AE3055="me"),"EACH row",IF(AND(K3055="images",AE3055="me"),"EACH row",IF(D3055="","",IF(H3055="credit","",IF(AE3055="free","re-planting",IF(AE3055="me","   not ELP, by",IF(AND(OR(PlanterYesMe="Yes",PlanterYesMe="Y"),G3055&gt;0),(VLOOKUP(A3055,'Discount Lookup'!J:K,2)*G3055*(1-PlanterDiscount)*(1+PlanterDifficultyPercentage)),IF(AE3055="ELP",(VLOOKUP(A3055,'Discount Lookup'!J:K,2)*G3055*(1-PlanterDiscount)*(1+PlanterDifficultyPercentage)),IF(AE3055="free","re-planting",IF(G3055=0,"",IF(PlanterYesMe="",IF(AE3055="me","   not ELP, by",IF(AE3055="",IF(G3055&gt;0,(VLOOKUP(A3055,'Discount Lookup'!J:K,2)*G3055*(1-PlanterDiscount)*(1+PlanterDifficultyPercentage)),""),"")),"   not ELP, by"))))))))))))))</f>
        <v/>
      </c>
      <c r="AD3055" s="712"/>
      <c r="AE3055" s="513" t="str">
        <f t="shared" si="2332"/>
        <v/>
      </c>
      <c r="AF3055" s="713" t="str">
        <f t="shared" si="2333"/>
        <v/>
      </c>
      <c r="AG3055" s="713"/>
      <c r="AH3055" s="713"/>
      <c r="AI3055" s="112">
        <f>IF(H3055="credit",0,IF(AE3055="free",0,IF(AE3055="me",0,IF(G3055&gt;0,(VLOOKUP(A3055,'Discount Lookup'!J:K,2)*G3055),0))))</f>
        <v>0</v>
      </c>
      <c r="AJ3055" s="107" t="str">
        <f t="shared" ca="1" si="2334"/>
        <v/>
      </c>
      <c r="AK3055" s="714" t="str">
        <f t="shared" si="2335"/>
        <v/>
      </c>
      <c r="AL3055" s="714"/>
      <c r="AM3055" s="114" t="str">
        <f t="shared" si="2336"/>
        <v/>
      </c>
      <c r="AN3055" s="115"/>
      <c r="AO3055" s="116"/>
      <c r="AP3055" s="116"/>
      <c r="AQ3055" s="116"/>
      <c r="AR3055" s="116"/>
      <c r="AS3055" s="116"/>
      <c r="AT3055" s="116"/>
      <c r="AU3055" s="116"/>
      <c r="AV3055" s="78"/>
      <c r="AW3055" s="102"/>
      <c r="AX3055" s="78"/>
      <c r="AY3055" s="78"/>
      <c r="AZ3055" s="78"/>
      <c r="BA3055" s="78"/>
      <c r="BB3055" s="78"/>
      <c r="BC3055" s="78"/>
      <c r="BD3055" s="78"/>
      <c r="BE3055" s="465"/>
      <c r="BF3055" s="165" t="str">
        <f t="shared" si="2337"/>
        <v>https://www.google.com/search?tbm=isch&amp;q=30%20G5</v>
      </c>
      <c r="BG3055" s="165" t="str">
        <f t="shared" si="2338"/>
        <v>M</v>
      </c>
      <c r="BH3055" s="65"/>
      <c r="BI3055" s="65"/>
      <c r="BJ3055" s="65"/>
      <c r="BK3055" s="65"/>
      <c r="BL3055" s="99"/>
      <c r="BM3055" s="99"/>
      <c r="BN3055" s="99"/>
    </row>
    <row r="3056" spans="1:66" s="51" customFormat="1" ht="17.25" thickBot="1" x14ac:dyDescent="0.3">
      <c r="A3056" s="705" t="s">
        <v>5490</v>
      </c>
      <c r="B3056" s="487"/>
      <c r="C3056" s="707"/>
      <c r="D3056" s="487"/>
      <c r="E3056" s="487"/>
      <c r="F3056" s="488"/>
      <c r="G3056" s="489"/>
      <c r="H3056" s="487"/>
      <c r="I3056" s="490"/>
      <c r="J3056" s="490"/>
      <c r="K3056" s="491"/>
      <c r="L3056" s="547"/>
      <c r="M3056" s="528"/>
      <c r="N3056" s="492"/>
      <c r="O3056" s="493"/>
      <c r="P3056" s="494"/>
      <c r="Q3056" s="492"/>
      <c r="R3056" s="492"/>
      <c r="S3056" s="699" t="s">
        <v>5282</v>
      </c>
      <c r="T3056" s="102">
        <f t="shared" si="2326"/>
        <v>0</v>
      </c>
      <c r="U3056" s="78" t="str">
        <f>IF(NOT(ISNUMBER(G3056)), "", VLOOKUP(A3056,'Discount Lookup'!D:E,2,FALSE)*G3056)</f>
        <v/>
      </c>
      <c r="V3056" s="78" t="str">
        <f>IF(NOT(ISNUMBER(G3056)), "", VLOOKUP(A3056,'Discount Lookup'!G:H,2,FALSE)*G3056)</f>
        <v/>
      </c>
      <c r="W3056" s="102">
        <f t="shared" si="2327"/>
        <v>0</v>
      </c>
      <c r="X3056" s="102">
        <f t="shared" si="2328"/>
        <v>0</v>
      </c>
      <c r="Y3056" s="120" t="b">
        <f t="shared" si="2329"/>
        <v>0</v>
      </c>
      <c r="Z3056" s="117">
        <f t="shared" si="2330"/>
        <v>0</v>
      </c>
      <c r="AA3056" s="118"/>
      <c r="AB3056" s="118" t="str">
        <f t="shared" si="2331"/>
        <v/>
      </c>
      <c r="AC3056" s="712" t="str">
        <f>IF(AE3056="T2G","no charge",IF(AND(OR(PlanterYesMe="No",PlanterYesMe="N",PlanterYesMe="me"),H3056=""),"",IF(H3056="credit","NO install",IF(AND(K3056="",AE3056="me"),"EACH row",IF(AND(K3056="images",AE3056="me"),"EACH row",IF(D3056="","",IF(H3056="credit","",IF(AE3056="free","re-planting",IF(AE3056="me","   not ELP, by",IF(AND(OR(PlanterYesMe="Yes",PlanterYesMe="Y"),G3056&gt;0),(VLOOKUP(A3056,'Discount Lookup'!J:K,2)*G3056*(1-PlanterDiscount)*(1+PlanterDifficultyPercentage)),IF(AE3056="ELP",(VLOOKUP(A3056,'Discount Lookup'!J:K,2)*G3056*(1-PlanterDiscount)*(1+PlanterDifficultyPercentage)),IF(AE3056="free","re-planting",IF(G3056=0,"",IF(PlanterYesMe="",IF(AE3056="me","   not ELP, by",IF(AE3056="",IF(G3056&gt;0,(VLOOKUP(A3056,'Discount Lookup'!J:K,2)*G3056*(1-PlanterDiscount)*(1+PlanterDifficultyPercentage)),""),"")),"   not ELP, by"))))))))))))))</f>
        <v/>
      </c>
      <c r="AD3056" s="712"/>
      <c r="AE3056" s="513" t="str">
        <f t="shared" si="2332"/>
        <v/>
      </c>
      <c r="AF3056" s="713" t="str">
        <f t="shared" si="2333"/>
        <v/>
      </c>
      <c r="AG3056" s="713"/>
      <c r="AH3056" s="713"/>
      <c r="AI3056" s="112">
        <f>IF(H3056="credit",0,IF(AE3056="free",0,IF(AE3056="me",0,IF(G3056&gt;0,(VLOOKUP(A3056,'Discount Lookup'!J:K,2)*G3056),0))))</f>
        <v>0</v>
      </c>
      <c r="AJ3056" s="107" t="str">
        <f t="shared" ca="1" si="2334"/>
        <v/>
      </c>
      <c r="AK3056" s="714" t="str">
        <f t="shared" si="2335"/>
        <v/>
      </c>
      <c r="AL3056" s="714"/>
      <c r="AM3056" s="114" t="str">
        <f t="shared" si="2336"/>
        <v/>
      </c>
      <c r="AN3056" s="115"/>
      <c r="AO3056" s="116"/>
      <c r="AP3056" s="116"/>
      <c r="AQ3056" s="116"/>
      <c r="AR3056" s="116"/>
      <c r="AS3056" s="116"/>
      <c r="AT3056" s="116"/>
      <c r="AU3056" s="116"/>
      <c r="AV3056" s="78"/>
      <c r="AW3056" s="102"/>
      <c r="AX3056" s="78"/>
      <c r="AY3056" s="78"/>
      <c r="AZ3056" s="78"/>
      <c r="BA3056" s="78"/>
      <c r="BB3056" s="78"/>
      <c r="BC3056" s="78"/>
      <c r="BD3056" s="78"/>
      <c r="BE3056" s="465"/>
      <c r="BF3056" s="165" t="str">
        <f t="shared" si="2337"/>
        <v>https://www.google.com/search?tbm=isch&amp;q=wet%20sites%F0%9F%92%A7GOOD%2C%20Wax%20Myrtle%20is%20a%20fast%20grower%2C%20for%20poor%20conditions.%20Fragrant%20foliage%2Fberries.%20Semi-evergreen%20</v>
      </c>
      <c r="BG3056" s="165" t="str">
        <f t="shared" si="2338"/>
        <v>w</v>
      </c>
      <c r="BH3056" s="65"/>
      <c r="BI3056" s="65"/>
      <c r="BJ3056" s="65"/>
      <c r="BK3056" s="65"/>
      <c r="BL3056" s="99"/>
      <c r="BM3056" s="99"/>
      <c r="BN3056" s="99"/>
    </row>
    <row r="3057" spans="1:66" s="51" customFormat="1" ht="18" x14ac:dyDescent="0.25">
      <c r="A3057" s="507" t="s">
        <v>3633</v>
      </c>
      <c r="B3057" s="470"/>
      <c r="C3057" s="706"/>
      <c r="D3057" s="471" t="s">
        <v>3634</v>
      </c>
      <c r="E3057" s="472"/>
      <c r="F3057" s="472"/>
      <c r="G3057" s="472"/>
      <c r="H3057" s="622" t="s">
        <v>1528</v>
      </c>
      <c r="I3057" s="473" t="s">
        <v>447</v>
      </c>
      <c r="J3057" s="472"/>
      <c r="K3057" s="472"/>
      <c r="L3057" s="561"/>
      <c r="M3057" s="698" t="s">
        <v>5246</v>
      </c>
      <c r="N3057" s="692" t="str">
        <f>IF(AND(ISTEXT($A3057), ISERROR($A3057+0)), HYPERLINK($BF3057, "Images"), "")</f>
        <v>Images</v>
      </c>
      <c r="O3057" s="694" t="s">
        <v>5244</v>
      </c>
      <c r="P3057" s="475"/>
      <c r="Q3057" s="476"/>
      <c r="R3057" s="476"/>
      <c r="S3057" s="477" t="s">
        <v>294</v>
      </c>
      <c r="T3057" s="102">
        <f t="shared" si="2326"/>
        <v>0</v>
      </c>
      <c r="U3057" s="78" t="str">
        <f>IF(NOT(ISNUMBER(G3057)), "", VLOOKUP(A3057,'Discount Lookup'!D:E,2,FALSE)*G3057)</f>
        <v/>
      </c>
      <c r="V3057" s="78" t="str">
        <f>IF(NOT(ISNUMBER(G3057)), "", VLOOKUP(A3057,'Discount Lookup'!G:H,2,FALSE)*G3057)</f>
        <v/>
      </c>
      <c r="W3057" s="102">
        <f t="shared" si="2327"/>
        <v>0</v>
      </c>
      <c r="X3057" s="102" t="str">
        <f t="shared" si="2328"/>
        <v>Olive-Green foliage</v>
      </c>
      <c r="Y3057" s="120" t="b">
        <f t="shared" si="2329"/>
        <v>0</v>
      </c>
      <c r="Z3057" s="117">
        <f t="shared" si="2330"/>
        <v>0</v>
      </c>
      <c r="AA3057" s="118"/>
      <c r="AB3057" s="118" t="str">
        <f t="shared" si="2331"/>
        <v/>
      </c>
      <c r="AC3057" s="712" t="str">
        <f>IF(AE3057="T2G","no charge",IF(AND(OR(PlanterYesMe="No",PlanterYesMe="N",PlanterYesMe="me"),H3057=""),"",IF(H3057="credit","NO install",IF(AND(K3057="",AE3057="me"),"EACH row",IF(AND(K3057="images",AE3057="me"),"EACH row",IF(D3057="","",IF(H3057="credit","",IF(AE3057="free","re-planting",IF(AE3057="me","   not ELP, by",IF(AND(OR(PlanterYesMe="Yes",PlanterYesMe="Y"),G3057&gt;0),(VLOOKUP(A3057,'Discount Lookup'!J:K,2)*G3057*(1-PlanterDiscount)*(1+PlanterDifficultyPercentage)),IF(AE3057="ELP",(VLOOKUP(A3057,'Discount Lookup'!J:K,2)*G3057*(1-PlanterDiscount)*(1+PlanterDifficultyPercentage)),IF(AE3057="free","re-planting",IF(G3057=0,"",IF(PlanterYesMe="",IF(AE3057="me","   not ELP, by",IF(AE3057="",IF(G3057&gt;0,(VLOOKUP(A3057,'Discount Lookup'!J:K,2)*G3057*(1-PlanterDiscount)*(1+PlanterDifficultyPercentage)),""),"")),"   not ELP, by"))))))))))))))</f>
        <v/>
      </c>
      <c r="AD3057" s="712"/>
      <c r="AE3057" s="513" t="str">
        <f t="shared" si="2332"/>
        <v/>
      </c>
      <c r="AF3057" s="713" t="str">
        <f t="shared" si="2333"/>
        <v/>
      </c>
      <c r="AG3057" s="713"/>
      <c r="AH3057" s="713"/>
      <c r="AI3057" s="112">
        <f>IF(H3057="credit",0,IF(AE3057="free",0,IF(AE3057="me",0,IF(G3057&gt;0,(VLOOKUP(A3057,'Discount Lookup'!J:K,2)*G3057),0))))</f>
        <v>0</v>
      </c>
      <c r="AJ3057" s="107" t="str">
        <f t="shared" ca="1" si="2334"/>
        <v/>
      </c>
      <c r="AK3057" s="714" t="str">
        <f t="shared" si="2335"/>
        <v/>
      </c>
      <c r="AL3057" s="714"/>
      <c r="AM3057" s="114" t="str">
        <f t="shared" si="2336"/>
        <v/>
      </c>
      <c r="AN3057" s="115"/>
      <c r="AO3057" s="116"/>
      <c r="AP3057" s="116"/>
      <c r="AQ3057" s="116"/>
      <c r="AR3057" s="116"/>
      <c r="AS3057" s="116"/>
      <c r="AT3057" s="116"/>
      <c r="AU3057" s="116"/>
      <c r="AV3057" s="78"/>
      <c r="AW3057" s="102"/>
      <c r="AX3057" s="78"/>
      <c r="AY3057" s="78"/>
      <c r="AZ3057" s="78"/>
      <c r="BA3057" s="78"/>
      <c r="BB3057" s="78"/>
      <c r="BC3057" s="78"/>
      <c r="BD3057" s="78"/>
      <c r="BE3057" s="465"/>
      <c r="BF3057" s="165" t="str">
        <f t="shared" si="2337"/>
        <v>https://www.google.com/search?tbm=isch&amp;q=Myrica%20cerifera%20%27Adcock%27s%20Dwarf%27%20Adcock%27s%20Dwarf%20Wax%20Myrtle</v>
      </c>
      <c r="BG3057" s="165" t="str">
        <f t="shared" si="2338"/>
        <v>M</v>
      </c>
      <c r="BH3057" s="65"/>
      <c r="BI3057" s="65"/>
      <c r="BJ3057" s="65"/>
      <c r="BK3057" s="65"/>
      <c r="BL3057" s="99"/>
      <c r="BM3057" s="99"/>
      <c r="BN3057" s="99"/>
    </row>
    <row r="3058" spans="1:66" s="51" customFormat="1" ht="15.75" x14ac:dyDescent="0.25">
      <c r="A3058" s="478">
        <v>7</v>
      </c>
      <c r="B3058" s="479" t="s">
        <v>291</v>
      </c>
      <c r="C3058" s="480" t="s">
        <v>4642</v>
      </c>
      <c r="D3058" s="481" t="s">
        <v>293</v>
      </c>
      <c r="E3058" s="482">
        <v>82.95</v>
      </c>
      <c r="F3058" s="483" t="s">
        <v>292</v>
      </c>
      <c r="G3058" s="484">
        <v>0</v>
      </c>
      <c r="H3058" s="688" t="str">
        <f>IF(G3058=0,"",IF(F3058="Buy",IF(G3058=1,"plant","plants"),IF(F3058&gt;0.01,"warranty","Error")))</f>
        <v/>
      </c>
      <c r="I3058" s="485">
        <f>IF(H3058="free",0,IF(H3058="credit",((E3058*(F3058))*G3058*-1),IF(F3058="Buy",(E3058*G3058),((E3058*(1-F3058))*G3058))))</f>
        <v>0</v>
      </c>
      <c r="J3058" s="485">
        <f>IF(H3058="warranty",0,(I3058*(_xlfn.SINGLE(SalesTaxPercentage))))</f>
        <v>0</v>
      </c>
      <c r="K3058" s="715">
        <f t="shared" ref="K3058" si="2359">I3058+J3058</f>
        <v>0</v>
      </c>
      <c r="L3058" s="715"/>
      <c r="M3058" s="689" t="str">
        <f ca="1">IF(AND(G3058&gt;0,E3058=0),"WARNING - no PRICE inserted",IF(H3058="free","FREE ~ no charge this plant",IF(H3058="credit",CONCATENATE("-$",ROUND(K3058*(1-_xlfn.SINGLE(T2GDiscount))*-1,2)," CREDIT after discount"),IF(_xlfn.SINGLE(T2GDiscount)=0,"",IF(G3058=0,"",IF(F3058="Buy",CONCATENATE("$",ROUND(K3058*(1-_xlfn.SINGLE(T2GDiscount)),2)," with ",(_xlfn.SINGLE(T2GDiscount)*100),"% discount"),CONCATENATE("$",ROUND(K3058*(1-_xlfn.SINGLE(T2GDiscount)),2)," with ",((_xlfn.SINGLE(T2GDiscount)*100+F3058*100)-(_xlfn.SINGLE(T2GDiscount)*100*F3058)),IF(F3058&gt;0,"% discounts",IF(_xlfn.SINGLE(NoWarrantyDiscount)&gt;0,"% discounts","% discount")))))))))</f>
        <v/>
      </c>
      <c r="N3058" s="690"/>
      <c r="O3058" s="486"/>
      <c r="P3058" s="486"/>
      <c r="Q3058" s="486"/>
      <c r="R3058" s="486"/>
      <c r="S3058" s="486"/>
      <c r="T3058" s="102">
        <f t="shared" si="2326"/>
        <v>0</v>
      </c>
      <c r="U3058" s="78">
        <f>IF(NOT(ISNUMBER(G3058)), "", VLOOKUP(A3058,'Discount Lookup'!D:E,2,FALSE)*G3058)</f>
        <v>0</v>
      </c>
      <c r="V3058" s="78">
        <f>IF(NOT(ISNUMBER(G3058)), "", VLOOKUP(A3058,'Discount Lookup'!G:H,2,FALSE)*G3058)</f>
        <v>0</v>
      </c>
      <c r="W3058" s="102">
        <f t="shared" si="2327"/>
        <v>0</v>
      </c>
      <c r="X3058" s="102">
        <f t="shared" si="2328"/>
        <v>0</v>
      </c>
      <c r="Y3058" s="120" t="b">
        <f t="shared" si="2329"/>
        <v>0</v>
      </c>
      <c r="Z3058" s="117">
        <f t="shared" si="2330"/>
        <v>0</v>
      </c>
      <c r="AA3058" s="118"/>
      <c r="AB3058" s="118" t="str">
        <f t="shared" si="2331"/>
        <v/>
      </c>
      <c r="AC3058" s="712" t="str">
        <f>IF(AE3058="T2G","no charge",IF(AND(OR(PlanterYesMe="No",PlanterYesMe="N",PlanterYesMe="me"),H3058=""),"",IF(H3058="credit","NO install",IF(AND(K3058="",AE3058="me"),"EACH row",IF(AND(K3058="images",AE3058="me"),"EACH row",IF(D3058="","",IF(H3058="credit","",IF(AE3058="free","re-planting",IF(AE3058="me","   not ELP, by",IF(AND(OR(PlanterYesMe="Yes",PlanterYesMe="Y"),G3058&gt;0),(VLOOKUP(A3058,'Discount Lookup'!J:K,2)*G3058*(1-PlanterDiscount)*(1+PlanterDifficultyPercentage)),IF(AE3058="ELP",(VLOOKUP(A3058,'Discount Lookup'!J:K,2)*G3058*(1-PlanterDiscount)*(1+PlanterDifficultyPercentage)),IF(AE3058="free","re-planting",IF(G3058=0,"",IF(PlanterYesMe="",IF(AE3058="me","   not ELP, by",IF(AE3058="",IF(G3058&gt;0,(VLOOKUP(A3058,'Discount Lookup'!J:K,2)*G3058*(1-PlanterDiscount)*(1+PlanterDifficultyPercentage)),""),"")),"   not ELP, by"))))))))))))))</f>
        <v/>
      </c>
      <c r="AD3058" s="712"/>
      <c r="AE3058" s="513" t="str">
        <f t="shared" si="2332"/>
        <v/>
      </c>
      <c r="AF3058" s="713" t="str">
        <f t="shared" si="2333"/>
        <v/>
      </c>
      <c r="AG3058" s="713"/>
      <c r="AH3058" s="713"/>
      <c r="AI3058" s="112">
        <f>IF(H3058="credit",0,IF(AE3058="free",0,IF(AE3058="me",0,IF(G3058&gt;0,(VLOOKUP(A3058,'Discount Lookup'!J:K,2)*G3058),0))))</f>
        <v>0</v>
      </c>
      <c r="AJ3058" s="107" t="str">
        <f t="shared" ca="1" si="2334"/>
        <v/>
      </c>
      <c r="AK3058" s="714" t="str">
        <f t="shared" si="2335"/>
        <v/>
      </c>
      <c r="AL3058" s="714"/>
      <c r="AM3058" s="114" t="str">
        <f t="shared" si="2336"/>
        <v/>
      </c>
      <c r="AN3058" s="115"/>
      <c r="AO3058" s="116"/>
      <c r="AP3058" s="116"/>
      <c r="AQ3058" s="116"/>
      <c r="AR3058" s="116"/>
      <c r="AS3058" s="116"/>
      <c r="AT3058" s="116"/>
      <c r="AU3058" s="116"/>
      <c r="AV3058" s="78"/>
      <c r="AW3058" s="102"/>
      <c r="AX3058" s="78"/>
      <c r="AY3058" s="78"/>
      <c r="AZ3058" s="78"/>
      <c r="BA3058" s="78"/>
      <c r="BB3058" s="78"/>
      <c r="BC3058" s="78"/>
      <c r="BD3058" s="78"/>
      <c r="BE3058" s="465"/>
      <c r="BF3058" s="165" t="str">
        <f t="shared" si="2337"/>
        <v>https://www.google.com/search?tbm=isch&amp;q=7%20G6</v>
      </c>
      <c r="BG3058" s="165" t="str">
        <f t="shared" si="2338"/>
        <v>M</v>
      </c>
      <c r="BH3058" s="65"/>
      <c r="BI3058" s="65"/>
      <c r="BJ3058" s="65"/>
      <c r="BK3058" s="65"/>
      <c r="BL3058" s="99"/>
      <c r="BM3058" s="99"/>
      <c r="BN3058" s="99"/>
    </row>
    <row r="3059" spans="1:66" s="51" customFormat="1" ht="17.25" thickBot="1" x14ac:dyDescent="0.3">
      <c r="A3059" s="705" t="s">
        <v>5491</v>
      </c>
      <c r="B3059" s="487"/>
      <c r="C3059" s="707"/>
      <c r="D3059" s="487"/>
      <c r="E3059" s="487"/>
      <c r="F3059" s="488"/>
      <c r="G3059" s="489"/>
      <c r="H3059" s="487"/>
      <c r="I3059" s="490"/>
      <c r="J3059" s="490"/>
      <c r="K3059" s="491"/>
      <c r="L3059" s="547"/>
      <c r="M3059" s="528"/>
      <c r="N3059" s="492"/>
      <c r="O3059" s="493"/>
      <c r="P3059" s="494"/>
      <c r="Q3059" s="492"/>
      <c r="R3059" s="492"/>
      <c r="S3059" s="699" t="s">
        <v>5282</v>
      </c>
      <c r="T3059" s="102">
        <f t="shared" si="2326"/>
        <v>0</v>
      </c>
      <c r="U3059" s="78" t="str">
        <f>IF(NOT(ISNUMBER(G3059)), "", VLOOKUP(A3059,'Discount Lookup'!D:E,2,FALSE)*G3059)</f>
        <v/>
      </c>
      <c r="V3059" s="78" t="str">
        <f>IF(NOT(ISNUMBER(G3059)), "", VLOOKUP(A3059,'Discount Lookup'!G:H,2,FALSE)*G3059)</f>
        <v/>
      </c>
      <c r="W3059" s="102">
        <f t="shared" si="2327"/>
        <v>0</v>
      </c>
      <c r="X3059" s="102">
        <f t="shared" si="2328"/>
        <v>0</v>
      </c>
      <c r="Y3059" s="120" t="b">
        <f t="shared" si="2329"/>
        <v>0</v>
      </c>
      <c r="Z3059" s="117">
        <f t="shared" si="2330"/>
        <v>0</v>
      </c>
      <c r="AA3059" s="118"/>
      <c r="AB3059" s="118" t="str">
        <f t="shared" si="2331"/>
        <v/>
      </c>
      <c r="AC3059" s="712" t="str">
        <f>IF(AE3059="T2G","no charge",IF(AND(OR(PlanterYesMe="No",PlanterYesMe="N",PlanterYesMe="me"),H3059=""),"",IF(H3059="credit","NO install",IF(AND(K3059="",AE3059="me"),"EACH row",IF(AND(K3059="images",AE3059="me"),"EACH row",IF(D3059="","",IF(H3059="credit","",IF(AE3059="free","re-planting",IF(AE3059="me","   not ELP, by",IF(AND(OR(PlanterYesMe="Yes",PlanterYesMe="Y"),G3059&gt;0),(VLOOKUP(A3059,'Discount Lookup'!J:K,2)*G3059*(1-PlanterDiscount)*(1+PlanterDifficultyPercentage)),IF(AE3059="ELP",(VLOOKUP(A3059,'Discount Lookup'!J:K,2)*G3059*(1-PlanterDiscount)*(1+PlanterDifficultyPercentage)),IF(AE3059="free","re-planting",IF(G3059=0,"",IF(PlanterYesMe="",IF(AE3059="me","   not ELP, by",IF(AE3059="",IF(G3059&gt;0,(VLOOKUP(A3059,'Discount Lookup'!J:K,2)*G3059*(1-PlanterDiscount)*(1+PlanterDifficultyPercentage)),""),"")),"   not ELP, by"))))))))))))))</f>
        <v/>
      </c>
      <c r="AD3059" s="712"/>
      <c r="AE3059" s="513" t="str">
        <f t="shared" si="2332"/>
        <v/>
      </c>
      <c r="AF3059" s="713" t="str">
        <f t="shared" si="2333"/>
        <v/>
      </c>
      <c r="AG3059" s="713"/>
      <c r="AH3059" s="713"/>
      <c r="AI3059" s="112">
        <f>IF(H3059="credit",0,IF(AE3059="free",0,IF(AE3059="me",0,IF(G3059&gt;0,(VLOOKUP(A3059,'Discount Lookup'!J:K,2)*G3059),0))))</f>
        <v>0</v>
      </c>
      <c r="AJ3059" s="107" t="str">
        <f t="shared" ca="1" si="2334"/>
        <v/>
      </c>
      <c r="AK3059" s="714" t="str">
        <f t="shared" si="2335"/>
        <v/>
      </c>
      <c r="AL3059" s="714"/>
      <c r="AM3059" s="114" t="str">
        <f t="shared" si="2336"/>
        <v/>
      </c>
      <c r="AN3059" s="115"/>
      <c r="AO3059" s="116"/>
      <c r="AP3059" s="116"/>
      <c r="AQ3059" s="116"/>
      <c r="AR3059" s="116"/>
      <c r="AS3059" s="116"/>
      <c r="AT3059" s="116"/>
      <c r="AU3059" s="116"/>
      <c r="AV3059" s="78"/>
      <c r="AW3059" s="102"/>
      <c r="AX3059" s="78"/>
      <c r="AY3059" s="78"/>
      <c r="AZ3059" s="78"/>
      <c r="BA3059" s="78"/>
      <c r="BB3059" s="78"/>
      <c r="BC3059" s="78"/>
      <c r="BD3059" s="78"/>
      <c r="BE3059" s="465"/>
      <c r="BF3059" s="165" t="str">
        <f t="shared" si="2337"/>
        <v>https://www.google.com/search?tbm=isch&amp;q=wet%20sites%F0%9F%92%A7GOOD%2C%20Adcock%27s%20Dwarf%20introduced%20by%20local%20Adcock%27s%20Nursery.%20Pleasant%20citrus%20smell%20when%20foliage%20crushed%20</v>
      </c>
      <c r="BG3059" s="165" t="str">
        <f t="shared" si="2338"/>
        <v>w</v>
      </c>
      <c r="BH3059" s="65"/>
      <c r="BI3059" s="65"/>
      <c r="BJ3059" s="65"/>
      <c r="BK3059" s="65"/>
      <c r="BL3059" s="99"/>
      <c r="BM3059" s="99"/>
      <c r="BN3059" s="99"/>
    </row>
    <row r="3060" spans="1:66" s="51" customFormat="1" ht="18" x14ac:dyDescent="0.25">
      <c r="A3060" s="507" t="s">
        <v>3635</v>
      </c>
      <c r="B3060" s="470"/>
      <c r="C3060" s="706"/>
      <c r="D3060" s="471" t="s">
        <v>3636</v>
      </c>
      <c r="E3060" s="472"/>
      <c r="F3060" s="472"/>
      <c r="G3060" s="472"/>
      <c r="H3060" s="622" t="s">
        <v>1104</v>
      </c>
      <c r="I3060" s="473" t="s">
        <v>447</v>
      </c>
      <c r="J3060" s="472"/>
      <c r="K3060" s="472"/>
      <c r="L3060" s="561"/>
      <c r="M3060" s="698" t="s">
        <v>5246</v>
      </c>
      <c r="N3060" s="692" t="str">
        <f>IF(AND(ISTEXT($A3060), ISERROR($A3060+0)), HYPERLINK($BF3060, "Images"), "")</f>
        <v>Images</v>
      </c>
      <c r="O3060" s="694" t="s">
        <v>5244</v>
      </c>
      <c r="P3060" s="475"/>
      <c r="Q3060" s="476"/>
      <c r="R3060" s="476"/>
      <c r="S3060" s="477" t="s">
        <v>294</v>
      </c>
      <c r="T3060" s="102">
        <f t="shared" si="2326"/>
        <v>0</v>
      </c>
      <c r="U3060" s="78" t="str">
        <f>IF(NOT(ISNUMBER(G3060)), "", VLOOKUP(A3060,'Discount Lookup'!D:E,2,FALSE)*G3060)</f>
        <v/>
      </c>
      <c r="V3060" s="78" t="str">
        <f>IF(NOT(ISNUMBER(G3060)), "", VLOOKUP(A3060,'Discount Lookup'!G:H,2,FALSE)*G3060)</f>
        <v/>
      </c>
      <c r="W3060" s="102">
        <f t="shared" si="2327"/>
        <v>0</v>
      </c>
      <c r="X3060" s="102" t="str">
        <f t="shared" si="2328"/>
        <v>Olive-Green foliage</v>
      </c>
      <c r="Y3060" s="120" t="b">
        <f t="shared" si="2329"/>
        <v>0</v>
      </c>
      <c r="Z3060" s="117">
        <f t="shared" si="2330"/>
        <v>0</v>
      </c>
      <c r="AA3060" s="118"/>
      <c r="AB3060" s="118" t="str">
        <f t="shared" si="2331"/>
        <v/>
      </c>
      <c r="AC3060" s="712" t="str">
        <f>IF(AE3060="T2G","no charge",IF(AND(OR(PlanterYesMe="No",PlanterYesMe="N",PlanterYesMe="me"),H3060=""),"",IF(H3060="credit","NO install",IF(AND(K3060="",AE3060="me"),"EACH row",IF(AND(K3060="images",AE3060="me"),"EACH row",IF(D3060="","",IF(H3060="credit","",IF(AE3060="free","re-planting",IF(AE3060="me","   not ELP, by",IF(AND(OR(PlanterYesMe="Yes",PlanterYesMe="Y"),G3060&gt;0),(VLOOKUP(A3060,'Discount Lookup'!J:K,2)*G3060*(1-PlanterDiscount)*(1+PlanterDifficultyPercentage)),IF(AE3060="ELP",(VLOOKUP(A3060,'Discount Lookup'!J:K,2)*G3060*(1-PlanterDiscount)*(1+PlanterDifficultyPercentage)),IF(AE3060="free","re-planting",IF(G3060=0,"",IF(PlanterYesMe="",IF(AE3060="me","   not ELP, by",IF(AE3060="",IF(G3060&gt;0,(VLOOKUP(A3060,'Discount Lookup'!J:K,2)*G3060*(1-PlanterDiscount)*(1+PlanterDifficultyPercentage)),""),"")),"   not ELP, by"))))))))))))))</f>
        <v/>
      </c>
      <c r="AD3060" s="712"/>
      <c r="AE3060" s="513" t="str">
        <f t="shared" si="2332"/>
        <v/>
      </c>
      <c r="AF3060" s="713" t="str">
        <f t="shared" si="2333"/>
        <v/>
      </c>
      <c r="AG3060" s="713"/>
      <c r="AH3060" s="713"/>
      <c r="AI3060" s="112">
        <f>IF(H3060="credit",0,IF(AE3060="free",0,IF(AE3060="me",0,IF(G3060&gt;0,(VLOOKUP(A3060,'Discount Lookup'!J:K,2)*G3060),0))))</f>
        <v>0</v>
      </c>
      <c r="AJ3060" s="107" t="str">
        <f t="shared" ca="1" si="2334"/>
        <v/>
      </c>
      <c r="AK3060" s="714" t="str">
        <f t="shared" si="2335"/>
        <v/>
      </c>
      <c r="AL3060" s="714"/>
      <c r="AM3060" s="114" t="str">
        <f t="shared" si="2336"/>
        <v/>
      </c>
      <c r="AN3060" s="115"/>
      <c r="AO3060" s="116"/>
      <c r="AP3060" s="116"/>
      <c r="AQ3060" s="116"/>
      <c r="AR3060" s="116"/>
      <c r="AS3060" s="116"/>
      <c r="AT3060" s="116"/>
      <c r="AU3060" s="116"/>
      <c r="AV3060" s="78"/>
      <c r="AW3060" s="102"/>
      <c r="AX3060" s="78"/>
      <c r="AY3060" s="78"/>
      <c r="AZ3060" s="78"/>
      <c r="BA3060" s="78"/>
      <c r="BB3060" s="78"/>
      <c r="BC3060" s="78"/>
      <c r="BD3060" s="78"/>
      <c r="BE3060" s="465"/>
      <c r="BF3060" s="165" t="str">
        <f t="shared" si="2337"/>
        <v>https://www.google.com/search?tbm=isch&amp;q=Myrica%20cerifera%20%27Strawberry%20Shortcake%27%20Strawberry%20Shortcake%20Wax%20Myrtle</v>
      </c>
      <c r="BG3060" s="165" t="str">
        <f t="shared" si="2338"/>
        <v>M</v>
      </c>
      <c r="BH3060" s="65"/>
      <c r="BI3060" s="65"/>
      <c r="BJ3060" s="65"/>
      <c r="BK3060" s="65"/>
      <c r="BL3060" s="99"/>
      <c r="BM3060" s="99"/>
      <c r="BN3060" s="99"/>
    </row>
    <row r="3061" spans="1:66" s="51" customFormat="1" ht="15.75" x14ac:dyDescent="0.25">
      <c r="A3061" s="478">
        <v>3</v>
      </c>
      <c r="B3061" s="479" t="s">
        <v>291</v>
      </c>
      <c r="C3061" s="480"/>
      <c r="D3061" s="481" t="s">
        <v>310</v>
      </c>
      <c r="E3061" s="482">
        <v>28.95</v>
      </c>
      <c r="F3061" s="483" t="s">
        <v>292</v>
      </c>
      <c r="G3061" s="484">
        <v>0</v>
      </c>
      <c r="H3061" s="688" t="str">
        <f>IF(G3061=0,"",IF(F3061="Buy",IF(G3061=1,"plant","plants"),IF(F3061&gt;0.01,"warranty","Error")))</f>
        <v/>
      </c>
      <c r="I3061" s="485">
        <f>IF(H3061="free",0,IF(H3061="credit",((E3061*(F3061))*G3061*-1),IF(F3061="Buy",(E3061*G3061),((E3061*(1-F3061))*G3061))))</f>
        <v>0</v>
      </c>
      <c r="J3061" s="485">
        <f>IF(H3061="warranty",0,(I3061*(_xlfn.SINGLE(SalesTaxPercentage))))</f>
        <v>0</v>
      </c>
      <c r="K3061" s="715">
        <f t="shared" ref="K3061" si="2360">I3061+J3061</f>
        <v>0</v>
      </c>
      <c r="L3061" s="715"/>
      <c r="M3061" s="689" t="str">
        <f ca="1">IF(AND(G3061&gt;0,E3061=0),"WARNING - no PRICE inserted",IF(H3061="free","FREE ~ no charge this plant",IF(H3061="credit",CONCATENATE("-$",ROUND(K3061*(1-_xlfn.SINGLE(T2GDiscount))*-1,2)," CREDIT after discount"),IF(_xlfn.SINGLE(T2GDiscount)=0,"",IF(G3061=0,"",IF(F3061="Buy",CONCATENATE("$",ROUND(K3061*(1-_xlfn.SINGLE(T2GDiscount)),2)," with ",(_xlfn.SINGLE(T2GDiscount)*100),"% discount"),CONCATENATE("$",ROUND(K3061*(1-_xlfn.SINGLE(T2GDiscount)),2)," with ",((_xlfn.SINGLE(T2GDiscount)*100+F3061*100)-(_xlfn.SINGLE(T2GDiscount)*100*F3061)),IF(F3061&gt;0,"% discounts",IF(_xlfn.SINGLE(NoWarrantyDiscount)&gt;0,"% discounts","% discount")))))))))</f>
        <v/>
      </c>
      <c r="N3061" s="690"/>
      <c r="O3061" s="486"/>
      <c r="P3061" s="486"/>
      <c r="Q3061" s="486"/>
      <c r="R3061" s="486"/>
      <c r="S3061" s="486"/>
      <c r="T3061" s="102">
        <f t="shared" si="2326"/>
        <v>0</v>
      </c>
      <c r="U3061" s="78">
        <f>IF(NOT(ISNUMBER(G3061)), "", VLOOKUP(A3061,'Discount Lookup'!D:E,2,FALSE)*G3061)</f>
        <v>0</v>
      </c>
      <c r="V3061" s="78">
        <f>IF(NOT(ISNUMBER(G3061)), "", VLOOKUP(A3061,'Discount Lookup'!G:H,2,FALSE)*G3061)</f>
        <v>0</v>
      </c>
      <c r="W3061" s="102">
        <f t="shared" si="2327"/>
        <v>0</v>
      </c>
      <c r="X3061" s="102">
        <f t="shared" si="2328"/>
        <v>0</v>
      </c>
      <c r="Y3061" s="120" t="b">
        <f t="shared" si="2329"/>
        <v>0</v>
      </c>
      <c r="Z3061" s="117">
        <f t="shared" si="2330"/>
        <v>0</v>
      </c>
      <c r="AA3061" s="118"/>
      <c r="AB3061" s="118" t="str">
        <f t="shared" si="2331"/>
        <v/>
      </c>
      <c r="AC3061" s="712" t="str">
        <f>IF(AE3061="T2G","no charge",IF(AND(OR(PlanterYesMe="No",PlanterYesMe="N",PlanterYesMe="me"),H3061=""),"",IF(H3061="credit","NO install",IF(AND(K3061="",AE3061="me"),"EACH row",IF(AND(K3061="images",AE3061="me"),"EACH row",IF(D3061="","",IF(H3061="credit","",IF(AE3061="free","re-planting",IF(AE3061="me","   not ELP, by",IF(AND(OR(PlanterYesMe="Yes",PlanterYesMe="Y"),G3061&gt;0),(VLOOKUP(A3061,'Discount Lookup'!J:K,2)*G3061*(1-PlanterDiscount)*(1+PlanterDifficultyPercentage)),IF(AE3061="ELP",(VLOOKUP(A3061,'Discount Lookup'!J:K,2)*G3061*(1-PlanterDiscount)*(1+PlanterDifficultyPercentage)),IF(AE3061="free","re-planting",IF(G3061=0,"",IF(PlanterYesMe="",IF(AE3061="me","   not ELP, by",IF(AE3061="",IF(G3061&gt;0,(VLOOKUP(A3061,'Discount Lookup'!J:K,2)*G3061*(1-PlanterDiscount)*(1+PlanterDifficultyPercentage)),""),"")),"   not ELP, by"))))))))))))))</f>
        <v/>
      </c>
      <c r="AD3061" s="712"/>
      <c r="AE3061" s="513" t="str">
        <f t="shared" si="2332"/>
        <v/>
      </c>
      <c r="AF3061" s="713" t="str">
        <f t="shared" si="2333"/>
        <v/>
      </c>
      <c r="AG3061" s="713"/>
      <c r="AH3061" s="713"/>
      <c r="AI3061" s="112">
        <f>IF(H3061="credit",0,IF(AE3061="free",0,IF(AE3061="me",0,IF(G3061&gt;0,(VLOOKUP(A3061,'Discount Lookup'!J:K,2)*G3061),0))))</f>
        <v>0</v>
      </c>
      <c r="AJ3061" s="107" t="str">
        <f t="shared" ca="1" si="2334"/>
        <v/>
      </c>
      <c r="AK3061" s="714" t="str">
        <f t="shared" si="2335"/>
        <v/>
      </c>
      <c r="AL3061" s="714"/>
      <c r="AM3061" s="114" t="str">
        <f t="shared" si="2336"/>
        <v/>
      </c>
      <c r="AN3061" s="115"/>
      <c r="AO3061" s="116"/>
      <c r="AP3061" s="116"/>
      <c r="AQ3061" s="116"/>
      <c r="AR3061" s="116"/>
      <c r="AS3061" s="116"/>
      <c r="AT3061" s="116"/>
      <c r="AU3061" s="116"/>
      <c r="AV3061" s="78"/>
      <c r="AW3061" s="102"/>
      <c r="AX3061" s="78"/>
      <c r="AY3061" s="78"/>
      <c r="AZ3061" s="78"/>
      <c r="BA3061" s="78"/>
      <c r="BB3061" s="78"/>
      <c r="BC3061" s="78"/>
      <c r="BD3061" s="78"/>
      <c r="BE3061" s="465"/>
      <c r="BF3061" s="165" t="str">
        <f t="shared" si="2337"/>
        <v>https://www.google.com/search?tbm=isch&amp;q=3%20G1</v>
      </c>
      <c r="BG3061" s="165" t="str">
        <f t="shared" si="2338"/>
        <v>M</v>
      </c>
      <c r="BH3061" s="65"/>
      <c r="BI3061" s="65"/>
      <c r="BJ3061" s="65"/>
      <c r="BK3061" s="65"/>
      <c r="BL3061" s="99"/>
      <c r="BM3061" s="99"/>
      <c r="BN3061" s="99"/>
    </row>
    <row r="3062" spans="1:66" s="51" customFormat="1" ht="15.75" x14ac:dyDescent="0.25">
      <c r="A3062" s="478">
        <v>7</v>
      </c>
      <c r="B3062" s="479" t="s">
        <v>291</v>
      </c>
      <c r="C3062" s="480"/>
      <c r="D3062" s="481" t="s">
        <v>310</v>
      </c>
      <c r="E3062" s="482">
        <v>56.95</v>
      </c>
      <c r="F3062" s="483" t="s">
        <v>292</v>
      </c>
      <c r="G3062" s="484">
        <v>0</v>
      </c>
      <c r="H3062" s="688" t="str">
        <f>IF(G3062=0,"",IF(F3062="Buy",IF(G3062=1,"plant","plants"),IF(F3062&gt;0.01,"warranty","Error")))</f>
        <v/>
      </c>
      <c r="I3062" s="485">
        <f>IF(H3062="free",0,IF(H3062="credit",((E3062*(F3062))*G3062*-1),IF(F3062="Buy",(E3062*G3062),((E3062*(1-F3062))*G3062))))</f>
        <v>0</v>
      </c>
      <c r="J3062" s="485">
        <f>IF(H3062="warranty",0,(I3062*(_xlfn.SINGLE(SalesTaxPercentage))))</f>
        <v>0</v>
      </c>
      <c r="K3062" s="715">
        <f t="shared" ref="K3062" si="2361">I3062+J3062</f>
        <v>0</v>
      </c>
      <c r="L3062" s="715"/>
      <c r="M3062" s="689" t="str">
        <f ca="1">IF(AND(G3062&gt;0,E3062=0),"WARNING - no PRICE inserted",IF(H3062="free","FREE ~ no charge this plant",IF(H3062="credit",CONCATENATE("-$",ROUND(K3062*(1-_xlfn.SINGLE(T2GDiscount))*-1,2)," CREDIT after discount"),IF(_xlfn.SINGLE(T2GDiscount)=0,"",IF(G3062=0,"",IF(F3062="Buy",CONCATENATE("$",ROUND(K3062*(1-_xlfn.SINGLE(T2GDiscount)),2)," with ",(_xlfn.SINGLE(T2GDiscount)*100),"% discount"),CONCATENATE("$",ROUND(K3062*(1-_xlfn.SINGLE(T2GDiscount)),2)," with ",((_xlfn.SINGLE(T2GDiscount)*100+F3062*100)-(_xlfn.SINGLE(T2GDiscount)*100*F3062)),IF(F3062&gt;0,"% discounts",IF(_xlfn.SINGLE(NoWarrantyDiscount)&gt;0,"% discounts","% discount")))))))))</f>
        <v/>
      </c>
      <c r="N3062" s="690"/>
      <c r="O3062" s="486"/>
      <c r="P3062" s="486"/>
      <c r="Q3062" s="486"/>
      <c r="R3062" s="486"/>
      <c r="S3062" s="486"/>
      <c r="T3062" s="102">
        <f t="shared" si="2326"/>
        <v>0</v>
      </c>
      <c r="U3062" s="78">
        <f>IF(NOT(ISNUMBER(G3062)), "", VLOOKUP(A3062,'Discount Lookup'!D:E,2,FALSE)*G3062)</f>
        <v>0</v>
      </c>
      <c r="V3062" s="78">
        <f>IF(NOT(ISNUMBER(G3062)), "", VLOOKUP(A3062,'Discount Lookup'!G:H,2,FALSE)*G3062)</f>
        <v>0</v>
      </c>
      <c r="W3062" s="102">
        <f t="shared" si="2327"/>
        <v>0</v>
      </c>
      <c r="X3062" s="102">
        <f t="shared" si="2328"/>
        <v>0</v>
      </c>
      <c r="Y3062" s="120" t="b">
        <f t="shared" si="2329"/>
        <v>0</v>
      </c>
      <c r="Z3062" s="117">
        <f t="shared" si="2330"/>
        <v>0</v>
      </c>
      <c r="AA3062" s="118"/>
      <c r="AB3062" s="118" t="str">
        <f t="shared" si="2331"/>
        <v/>
      </c>
      <c r="AC3062" s="712" t="str">
        <f>IF(AE3062="T2G","no charge",IF(AND(OR(PlanterYesMe="No",PlanterYesMe="N",PlanterYesMe="me"),H3062=""),"",IF(H3062="credit","NO install",IF(AND(K3062="",AE3062="me"),"EACH row",IF(AND(K3062="images",AE3062="me"),"EACH row",IF(D3062="","",IF(H3062="credit","",IF(AE3062="free","re-planting",IF(AE3062="me","   not ELP, by",IF(AND(OR(PlanterYesMe="Yes",PlanterYesMe="Y"),G3062&gt;0),(VLOOKUP(A3062,'Discount Lookup'!J:K,2)*G3062*(1-PlanterDiscount)*(1+PlanterDifficultyPercentage)),IF(AE3062="ELP",(VLOOKUP(A3062,'Discount Lookup'!J:K,2)*G3062*(1-PlanterDiscount)*(1+PlanterDifficultyPercentage)),IF(AE3062="free","re-planting",IF(G3062=0,"",IF(PlanterYesMe="",IF(AE3062="me","   not ELP, by",IF(AE3062="",IF(G3062&gt;0,(VLOOKUP(A3062,'Discount Lookup'!J:K,2)*G3062*(1-PlanterDiscount)*(1+PlanterDifficultyPercentage)),""),"")),"   not ELP, by"))))))))))))))</f>
        <v/>
      </c>
      <c r="AD3062" s="712"/>
      <c r="AE3062" s="513" t="str">
        <f t="shared" si="2332"/>
        <v/>
      </c>
      <c r="AF3062" s="713" t="str">
        <f t="shared" si="2333"/>
        <v/>
      </c>
      <c r="AG3062" s="713"/>
      <c r="AH3062" s="713"/>
      <c r="AI3062" s="112">
        <f>IF(H3062="credit",0,IF(AE3062="free",0,IF(AE3062="me",0,IF(G3062&gt;0,(VLOOKUP(A3062,'Discount Lookup'!J:K,2)*G3062),0))))</f>
        <v>0</v>
      </c>
      <c r="AJ3062" s="107" t="str">
        <f t="shared" ca="1" si="2334"/>
        <v/>
      </c>
      <c r="AK3062" s="714" t="str">
        <f t="shared" si="2335"/>
        <v/>
      </c>
      <c r="AL3062" s="714"/>
      <c r="AM3062" s="114" t="str">
        <f t="shared" si="2336"/>
        <v/>
      </c>
      <c r="AN3062" s="115"/>
      <c r="AO3062" s="116"/>
      <c r="AP3062" s="116"/>
      <c r="AQ3062" s="116"/>
      <c r="AR3062" s="116"/>
      <c r="AS3062" s="116"/>
      <c r="AT3062" s="116"/>
      <c r="AU3062" s="116"/>
      <c r="AV3062" s="78"/>
      <c r="AW3062" s="102"/>
      <c r="AX3062" s="78"/>
      <c r="AY3062" s="78"/>
      <c r="AZ3062" s="78"/>
      <c r="BA3062" s="78"/>
      <c r="BB3062" s="78"/>
      <c r="BC3062" s="78"/>
      <c r="BD3062" s="78"/>
      <c r="BE3062" s="465"/>
      <c r="BF3062" s="165" t="str">
        <f t="shared" si="2337"/>
        <v>https://www.google.com/search?tbm=isch&amp;q=7%20G1</v>
      </c>
      <c r="BG3062" s="165" t="str">
        <f t="shared" si="2338"/>
        <v>M</v>
      </c>
      <c r="BH3062" s="65"/>
      <c r="BI3062" s="65"/>
      <c r="BJ3062" s="65"/>
      <c r="BK3062" s="65"/>
      <c r="BL3062" s="99"/>
      <c r="BM3062" s="99"/>
      <c r="BN3062" s="99"/>
    </row>
    <row r="3063" spans="1:66" s="51" customFormat="1" ht="16.5" x14ac:dyDescent="0.25">
      <c r="A3063" s="705" t="s">
        <v>5492</v>
      </c>
      <c r="B3063" s="487"/>
      <c r="C3063" s="707"/>
      <c r="D3063" s="487"/>
      <c r="E3063" s="487"/>
      <c r="F3063" s="488"/>
      <c r="G3063" s="489"/>
      <c r="H3063" s="487"/>
      <c r="I3063" s="490"/>
      <c r="J3063" s="490"/>
      <c r="K3063" s="491"/>
      <c r="L3063" s="547"/>
      <c r="M3063" s="528"/>
      <c r="N3063" s="492"/>
      <c r="O3063" s="493"/>
      <c r="P3063" s="494"/>
      <c r="Q3063" s="492"/>
      <c r="R3063" s="492"/>
      <c r="S3063" s="699" t="s">
        <v>5282</v>
      </c>
      <c r="T3063" s="102">
        <f t="shared" si="2326"/>
        <v>0</v>
      </c>
      <c r="U3063" s="78" t="str">
        <f>IF(NOT(ISNUMBER(G3063)), "", VLOOKUP(A3063,'Discount Lookup'!D:E,2,FALSE)*G3063)</f>
        <v/>
      </c>
      <c r="V3063" s="78" t="str">
        <f>IF(NOT(ISNUMBER(G3063)), "", VLOOKUP(A3063,'Discount Lookup'!G:H,2,FALSE)*G3063)</f>
        <v/>
      </c>
      <c r="W3063" s="102">
        <f t="shared" si="2327"/>
        <v>0</v>
      </c>
      <c r="X3063" s="102">
        <f t="shared" si="2328"/>
        <v>0</v>
      </c>
      <c r="Y3063" s="120" t="b">
        <f t="shared" si="2329"/>
        <v>0</v>
      </c>
      <c r="Z3063" s="117">
        <f t="shared" si="2330"/>
        <v>0</v>
      </c>
      <c r="AA3063" s="118"/>
      <c r="AB3063" s="118" t="str">
        <f t="shared" si="2331"/>
        <v/>
      </c>
      <c r="AC3063" s="712" t="str">
        <f>IF(AE3063="T2G","no charge",IF(AND(OR(PlanterYesMe="No",PlanterYesMe="N",PlanterYesMe="me"),H3063=""),"",IF(H3063="credit","NO install",IF(AND(K3063="",AE3063="me"),"EACH row",IF(AND(K3063="images",AE3063="me"),"EACH row",IF(D3063="","",IF(H3063="credit","",IF(AE3063="free","re-planting",IF(AE3063="me","   not ELP, by",IF(AND(OR(PlanterYesMe="Yes",PlanterYesMe="Y"),G3063&gt;0),(VLOOKUP(A3063,'Discount Lookup'!J:K,2)*G3063*(1-PlanterDiscount)*(1+PlanterDifficultyPercentage)),IF(AE3063="ELP",(VLOOKUP(A3063,'Discount Lookup'!J:K,2)*G3063*(1-PlanterDiscount)*(1+PlanterDifficultyPercentage)),IF(AE3063="free","re-planting",IF(G3063=0,"",IF(PlanterYesMe="",IF(AE3063="me","   not ELP, by",IF(AE3063="",IF(G3063&gt;0,(VLOOKUP(A3063,'Discount Lookup'!J:K,2)*G3063*(1-PlanterDiscount)*(1+PlanterDifficultyPercentage)),""),"")),"   not ELP, by"))))))))))))))</f>
        <v/>
      </c>
      <c r="AD3063" s="712"/>
      <c r="AE3063" s="513" t="str">
        <f t="shared" si="2332"/>
        <v/>
      </c>
      <c r="AF3063" s="713" t="str">
        <f t="shared" si="2333"/>
        <v/>
      </c>
      <c r="AG3063" s="713"/>
      <c r="AH3063" s="713"/>
      <c r="AI3063" s="112">
        <f>IF(H3063="credit",0,IF(AE3063="free",0,IF(AE3063="me",0,IF(G3063&gt;0,(VLOOKUP(A3063,'Discount Lookup'!J:K,2)*G3063),0))))</f>
        <v>0</v>
      </c>
      <c r="AJ3063" s="107" t="str">
        <f t="shared" ca="1" si="2334"/>
        <v/>
      </c>
      <c r="AK3063" s="714" t="str">
        <f t="shared" si="2335"/>
        <v/>
      </c>
      <c r="AL3063" s="714"/>
      <c r="AM3063" s="114" t="str">
        <f t="shared" si="2336"/>
        <v/>
      </c>
      <c r="AN3063" s="115"/>
      <c r="AO3063" s="116"/>
      <c r="AP3063" s="116"/>
      <c r="AQ3063" s="116"/>
      <c r="AR3063" s="116"/>
      <c r="AS3063" s="116"/>
      <c r="AT3063" s="116"/>
      <c r="AU3063" s="116"/>
      <c r="AV3063" s="78"/>
      <c r="AW3063" s="102"/>
      <c r="AX3063" s="78"/>
      <c r="AY3063" s="78"/>
      <c r="AZ3063" s="78"/>
      <c r="BA3063" s="78"/>
      <c r="BB3063" s="78"/>
      <c r="BC3063" s="78"/>
      <c r="BD3063" s="78"/>
      <c r="BE3063" s="465"/>
      <c r="BF3063" s="165" t="str">
        <f t="shared" si="2337"/>
        <v>https://www.google.com/search?tbm=isch&amp;q=wet%20sites%F0%9F%92%A7GOOD%2C%20Strawberry%20Shortcake%20is%20a%20dwarf%20sport%20of%20%27Suwanee%20Elf%27.%20Fragrant%20folisge%20is%20deer%2Frabbit%20repellent.%20</v>
      </c>
      <c r="BG3063" s="165" t="str">
        <f t="shared" si="2338"/>
        <v>w</v>
      </c>
      <c r="BH3063" s="65"/>
      <c r="BI3063" s="65"/>
      <c r="BJ3063" s="65"/>
      <c r="BK3063" s="65"/>
      <c r="BL3063" s="99"/>
      <c r="BM3063" s="99"/>
      <c r="BN3063" s="99"/>
    </row>
    <row r="3064" spans="1:66" s="51" customFormat="1" ht="55.5" x14ac:dyDescent="0.25">
      <c r="A3064" s="520" t="s">
        <v>294</v>
      </c>
      <c r="B3064" s="501"/>
      <c r="C3064" s="502"/>
      <c r="D3064" s="502"/>
      <c r="E3064" s="502"/>
      <c r="F3064" s="502"/>
      <c r="G3064" s="502"/>
      <c r="H3064" s="502"/>
      <c r="I3064" s="502"/>
      <c r="J3064" s="502"/>
      <c r="K3064" s="509" t="s">
        <v>871</v>
      </c>
      <c r="L3064" s="503"/>
      <c r="M3064" s="563"/>
      <c r="N3064" s="504"/>
      <c r="O3064" s="504"/>
      <c r="P3064" s="504"/>
      <c r="Q3064" s="504"/>
      <c r="R3064" s="504"/>
      <c r="S3064" s="511" t="s">
        <v>1546</v>
      </c>
      <c r="T3064" s="102">
        <f t="shared" si="2326"/>
        <v>0</v>
      </c>
      <c r="U3064" s="78" t="str">
        <f>IF(NOT(ISNUMBER(G3064)), "", VLOOKUP(A3064,'Discount Lookup'!D:E,2,FALSE)*G3064)</f>
        <v/>
      </c>
      <c r="V3064" s="78" t="str">
        <f>IF(NOT(ISNUMBER(G3064)), "", VLOOKUP(A3064,'Discount Lookup'!G:H,2,FALSE)*G3064)</f>
        <v/>
      </c>
      <c r="W3064" s="102">
        <f t="shared" si="2327"/>
        <v>0</v>
      </c>
      <c r="X3064" s="102">
        <f t="shared" si="2328"/>
        <v>0</v>
      </c>
      <c r="Y3064" s="120" t="b">
        <f t="shared" si="2329"/>
        <v>0</v>
      </c>
      <c r="Z3064" s="117">
        <f t="shared" si="2330"/>
        <v>0</v>
      </c>
      <c r="AA3064" s="118"/>
      <c r="AB3064" s="118" t="str">
        <f t="shared" si="2331"/>
        <v/>
      </c>
      <c r="AC3064" s="712" t="str">
        <f>IF(AE3064="T2G","no charge",IF(AND(OR(PlanterYesMe="No",PlanterYesMe="N",PlanterYesMe="me"),H3064=""),"",IF(H3064="credit","NO install",IF(AND(K3064="",AE3064="me"),"EACH row",IF(AND(K3064="images",AE3064="me"),"EACH row",IF(D3064="","",IF(H3064="credit","",IF(AE3064="free","re-planting",IF(AE3064="me","   not ELP, by",IF(AND(OR(PlanterYesMe="Yes",PlanterYesMe="Y"),G3064&gt;0),(VLOOKUP(A3064,'Discount Lookup'!J:K,2)*G3064*(1-PlanterDiscount)*(1+PlanterDifficultyPercentage)),IF(AE3064="ELP",(VLOOKUP(A3064,'Discount Lookup'!J:K,2)*G3064*(1-PlanterDiscount)*(1+PlanterDifficultyPercentage)),IF(AE3064="free","re-planting",IF(G3064=0,"",IF(PlanterYesMe="",IF(AE3064="me","   not ELP, by",IF(AE3064="",IF(G3064&gt;0,(VLOOKUP(A3064,'Discount Lookup'!J:K,2)*G3064*(1-PlanterDiscount)*(1+PlanterDifficultyPercentage)),""),"")),"   not ELP, by"))))))))))))))</f>
        <v/>
      </c>
      <c r="AD3064" s="712"/>
      <c r="AE3064" s="513" t="str">
        <f t="shared" si="2332"/>
        <v/>
      </c>
      <c r="AF3064" s="713" t="str">
        <f t="shared" si="2333"/>
        <v/>
      </c>
      <c r="AG3064" s="713"/>
      <c r="AH3064" s="713"/>
      <c r="AI3064" s="112">
        <f>IF(H3064="credit",0,IF(AE3064="free",0,IF(AE3064="me",0,IF(G3064&gt;0,(VLOOKUP(A3064,'Discount Lookup'!J:K,2)*G3064),0))))</f>
        <v>0</v>
      </c>
      <c r="AJ3064" s="107" t="str">
        <f t="shared" ca="1" si="2334"/>
        <v/>
      </c>
      <c r="AK3064" s="714" t="str">
        <f t="shared" si="2335"/>
        <v/>
      </c>
      <c r="AL3064" s="714"/>
      <c r="AM3064" s="114" t="str">
        <f t="shared" si="2336"/>
        <v/>
      </c>
      <c r="AN3064" s="115"/>
      <c r="AO3064" s="116"/>
      <c r="AP3064" s="116"/>
      <c r="AQ3064" s="116"/>
      <c r="AR3064" s="116"/>
      <c r="AS3064" s="116"/>
      <c r="AT3064" s="116"/>
      <c r="AU3064" s="116"/>
      <c r="AV3064" s="78"/>
      <c r="AW3064" s="102"/>
      <c r="AX3064" s="78"/>
      <c r="AY3064" s="78"/>
      <c r="AZ3064" s="78"/>
      <c r="BA3064" s="78"/>
      <c r="BB3064" s="78"/>
      <c r="BC3064" s="78"/>
      <c r="BD3064" s="78"/>
      <c r="BE3064" s="465"/>
      <c r="BF3064" s="165" t="str">
        <f t="shared" si="2337"/>
        <v>https://www.google.com/search?tbm=isch&amp;q=N%20</v>
      </c>
      <c r="BG3064" s="165" t="str">
        <f t="shared" si="2338"/>
        <v>N</v>
      </c>
      <c r="BH3064" s="65"/>
      <c r="BI3064" s="65"/>
      <c r="BJ3064" s="65"/>
      <c r="BK3064" s="65"/>
      <c r="BL3064" s="99"/>
      <c r="BM3064" s="99"/>
      <c r="BN3064" s="99"/>
    </row>
    <row r="3065" spans="1:66" s="51" customFormat="1" ht="19.5" thickBot="1" x14ac:dyDescent="0.3">
      <c r="A3065" s="686" t="s">
        <v>885</v>
      </c>
      <c r="B3065" s="73"/>
      <c r="C3065" s="708"/>
      <c r="D3065" s="73"/>
      <c r="E3065" s="73"/>
      <c r="F3065" s="496"/>
      <c r="G3065" s="73"/>
      <c r="H3065" s="73"/>
      <c r="I3065" s="73"/>
      <c r="J3065" s="497" t="s">
        <v>357</v>
      </c>
      <c r="K3065" s="498"/>
      <c r="L3065" s="562"/>
      <c r="M3065" s="73"/>
      <c r="N3065"/>
      <c r="O3065"/>
      <c r="P3065"/>
      <c r="Q3065"/>
      <c r="R3065"/>
      <c r="S3065"/>
      <c r="T3065" s="102">
        <f t="shared" si="2326"/>
        <v>0</v>
      </c>
      <c r="U3065" s="78" t="str">
        <f>IF(NOT(ISNUMBER(G3065)), "", VLOOKUP(A3065,'Discount Lookup'!D:E,2,FALSE)*G3065)</f>
        <v/>
      </c>
      <c r="V3065" s="78" t="str">
        <f>IF(NOT(ISNUMBER(G3065)), "", VLOOKUP(A3065,'Discount Lookup'!G:H,2,FALSE)*G3065)</f>
        <v/>
      </c>
      <c r="W3065" s="102">
        <f t="shared" si="2327"/>
        <v>0</v>
      </c>
      <c r="X3065" s="102">
        <f t="shared" si="2328"/>
        <v>0</v>
      </c>
      <c r="Y3065" s="120" t="b">
        <f t="shared" si="2329"/>
        <v>0</v>
      </c>
      <c r="Z3065" s="117">
        <f t="shared" si="2330"/>
        <v>0</v>
      </c>
      <c r="AA3065" s="118"/>
      <c r="AB3065" s="118" t="str">
        <f t="shared" si="2331"/>
        <v/>
      </c>
      <c r="AC3065" s="712" t="str">
        <f>IF(AE3065="T2G","no charge",IF(AND(OR(PlanterYesMe="No",PlanterYesMe="N",PlanterYesMe="me"),H3065=""),"",IF(H3065="credit","NO install",IF(AND(K3065="",AE3065="me"),"EACH row",IF(AND(K3065="images",AE3065="me"),"EACH row",IF(D3065="","",IF(H3065="credit","",IF(AE3065="free","re-planting",IF(AE3065="me","   not ELP, by",IF(AND(OR(PlanterYesMe="Yes",PlanterYesMe="Y"),G3065&gt;0),(VLOOKUP(A3065,'Discount Lookup'!J:K,2)*G3065*(1-PlanterDiscount)*(1+PlanterDifficultyPercentage)),IF(AE3065="ELP",(VLOOKUP(A3065,'Discount Lookup'!J:K,2)*G3065*(1-PlanterDiscount)*(1+PlanterDifficultyPercentage)),IF(AE3065="free","re-planting",IF(G3065=0,"",IF(PlanterYesMe="",IF(AE3065="me","   not ELP, by",IF(AE3065="",IF(G3065&gt;0,(VLOOKUP(A3065,'Discount Lookup'!J:K,2)*G3065*(1-PlanterDiscount)*(1+PlanterDifficultyPercentage)),""),"")),"   not ELP, by"))))))))))))))</f>
        <v/>
      </c>
      <c r="AD3065" s="712"/>
      <c r="AE3065" s="513" t="str">
        <f t="shared" si="2332"/>
        <v/>
      </c>
      <c r="AF3065" s="713" t="str">
        <f t="shared" si="2333"/>
        <v/>
      </c>
      <c r="AG3065" s="713"/>
      <c r="AH3065" s="713"/>
      <c r="AI3065" s="112">
        <f>IF(H3065="credit",0,IF(AE3065="free",0,IF(AE3065="me",0,IF(G3065&gt;0,(VLOOKUP(A3065,'Discount Lookup'!J:K,2)*G3065),0))))</f>
        <v>0</v>
      </c>
      <c r="AJ3065" s="107" t="str">
        <f t="shared" ca="1" si="2334"/>
        <v/>
      </c>
      <c r="AK3065" s="714" t="str">
        <f t="shared" si="2335"/>
        <v/>
      </c>
      <c r="AL3065" s="714"/>
      <c r="AM3065" s="114" t="str">
        <f t="shared" si="2336"/>
        <v/>
      </c>
      <c r="AN3065" s="115"/>
      <c r="AO3065" s="116"/>
      <c r="AP3065" s="116"/>
      <c r="AQ3065" s="116"/>
      <c r="AR3065" s="116"/>
      <c r="AS3065" s="116"/>
      <c r="AT3065" s="116"/>
      <c r="AU3065" s="116"/>
      <c r="AV3065" s="78"/>
      <c r="AW3065" s="102"/>
      <c r="AX3065" s="78"/>
      <c r="AY3065" s="78"/>
      <c r="AZ3065" s="78"/>
      <c r="BA3065" s="78"/>
      <c r="BB3065" s="78"/>
      <c r="BC3065" s="78"/>
      <c r="BD3065" s="78"/>
      <c r="BE3065" s="465"/>
      <c r="BF3065" s="165" t="str">
        <f t="shared" si="2337"/>
        <v>https://www.google.com/search?tbm=isch&amp;q=Nandina%20%3D%20Nandina%20</v>
      </c>
      <c r="BG3065" s="165" t="str">
        <f t="shared" si="2338"/>
        <v>N</v>
      </c>
      <c r="BH3065" s="65"/>
      <c r="BI3065" s="65"/>
      <c r="BJ3065" s="65"/>
      <c r="BK3065" s="65"/>
      <c r="BL3065" s="99"/>
      <c r="BM3065" s="99"/>
      <c r="BN3065" s="99"/>
    </row>
    <row r="3066" spans="1:66" s="51" customFormat="1" ht="18" x14ac:dyDescent="0.25">
      <c r="A3066" s="507" t="s">
        <v>3637</v>
      </c>
      <c r="B3066" s="470"/>
      <c r="C3066" s="706"/>
      <c r="D3066" s="471" t="s">
        <v>3638</v>
      </c>
      <c r="E3066" s="472"/>
      <c r="F3066" s="472"/>
      <c r="G3066" s="472"/>
      <c r="H3066" s="622" t="s">
        <v>1854</v>
      </c>
      <c r="I3066" s="473" t="s">
        <v>432</v>
      </c>
      <c r="J3066" s="472"/>
      <c r="K3066" s="472"/>
      <c r="L3066" s="561"/>
      <c r="M3066" s="698" t="s">
        <v>5243</v>
      </c>
      <c r="N3066" s="692" t="str">
        <f>IF(AND(ISTEXT($A3066), ISERROR($A3066+0)), HYPERLINK($BF3066, "Images"), "")</f>
        <v>Images</v>
      </c>
      <c r="O3066" s="694" t="s">
        <v>5247</v>
      </c>
      <c r="P3066" s="475"/>
      <c r="Q3066" s="476"/>
      <c r="R3066" s="476"/>
      <c r="S3066" s="477"/>
      <c r="T3066" s="102">
        <f t="shared" si="2326"/>
        <v>0</v>
      </c>
      <c r="U3066" s="78" t="str">
        <f>IF(NOT(ISNUMBER(G3066)), "", VLOOKUP(A3066,'Discount Lookup'!D:E,2,FALSE)*G3066)</f>
        <v/>
      </c>
      <c r="V3066" s="78" t="str">
        <f>IF(NOT(ISNUMBER(G3066)), "", VLOOKUP(A3066,'Discount Lookup'!G:H,2,FALSE)*G3066)</f>
        <v/>
      </c>
      <c r="W3066" s="102">
        <f t="shared" si="2327"/>
        <v>0</v>
      </c>
      <c r="X3066" s="102" t="str">
        <f t="shared" si="2328"/>
        <v>Green foliage</v>
      </c>
      <c r="Y3066" s="120" t="b">
        <f t="shared" si="2329"/>
        <v>0</v>
      </c>
      <c r="Z3066" s="117">
        <f t="shared" si="2330"/>
        <v>0</v>
      </c>
      <c r="AA3066" s="118"/>
      <c r="AB3066" s="118" t="str">
        <f t="shared" si="2331"/>
        <v/>
      </c>
      <c r="AC3066" s="712" t="str">
        <f>IF(AE3066="T2G","no charge",IF(AND(OR(PlanterYesMe="No",PlanterYesMe="N",PlanterYesMe="me"),H3066=""),"",IF(H3066="credit","NO install",IF(AND(K3066="",AE3066="me"),"EACH row",IF(AND(K3066="images",AE3066="me"),"EACH row",IF(D3066="","",IF(H3066="credit","",IF(AE3066="free","re-planting",IF(AE3066="me","   not ELP, by",IF(AND(OR(PlanterYesMe="Yes",PlanterYesMe="Y"),G3066&gt;0),(VLOOKUP(A3066,'Discount Lookup'!J:K,2)*G3066*(1-PlanterDiscount)*(1+PlanterDifficultyPercentage)),IF(AE3066="ELP",(VLOOKUP(A3066,'Discount Lookup'!J:K,2)*G3066*(1-PlanterDiscount)*(1+PlanterDifficultyPercentage)),IF(AE3066="free","re-planting",IF(G3066=0,"",IF(PlanterYesMe="",IF(AE3066="me","   not ELP, by",IF(AE3066="",IF(G3066&gt;0,(VLOOKUP(A3066,'Discount Lookup'!J:K,2)*G3066*(1-PlanterDiscount)*(1+PlanterDifficultyPercentage)),""),"")),"   not ELP, by"))))))))))))))</f>
        <v/>
      </c>
      <c r="AD3066" s="712"/>
      <c r="AE3066" s="513" t="str">
        <f t="shared" si="2332"/>
        <v/>
      </c>
      <c r="AF3066" s="713" t="str">
        <f t="shared" si="2333"/>
        <v/>
      </c>
      <c r="AG3066" s="713"/>
      <c r="AH3066" s="713"/>
      <c r="AI3066" s="112">
        <f>IF(H3066="credit",0,IF(AE3066="free",0,IF(AE3066="me",0,IF(G3066&gt;0,(VLOOKUP(A3066,'Discount Lookup'!J:K,2)*G3066),0))))</f>
        <v>0</v>
      </c>
      <c r="AJ3066" s="107" t="str">
        <f t="shared" ca="1" si="2334"/>
        <v/>
      </c>
      <c r="AK3066" s="714" t="str">
        <f t="shared" si="2335"/>
        <v/>
      </c>
      <c r="AL3066" s="714"/>
      <c r="AM3066" s="114" t="str">
        <f t="shared" si="2336"/>
        <v/>
      </c>
      <c r="AN3066" s="115"/>
      <c r="AO3066" s="116"/>
      <c r="AP3066" s="116"/>
      <c r="AQ3066" s="116"/>
      <c r="AR3066" s="116"/>
      <c r="AS3066" s="116"/>
      <c r="AT3066" s="116"/>
      <c r="AU3066" s="116"/>
      <c r="AV3066" s="78"/>
      <c r="AW3066" s="102"/>
      <c r="AX3066" s="78"/>
      <c r="AY3066" s="78"/>
      <c r="AZ3066" s="78"/>
      <c r="BA3066" s="78"/>
      <c r="BB3066" s="78"/>
      <c r="BC3066" s="78"/>
      <c r="BD3066" s="78"/>
      <c r="BE3066" s="465"/>
      <c r="BF3066" s="165" t="str">
        <f t="shared" si="2337"/>
        <v>https://www.google.com/search?tbm=isch&amp;q=Nandina%20domestica%20Nandina%2C%20Heavenly%20Bamboo</v>
      </c>
      <c r="BG3066" s="165" t="str">
        <f t="shared" si="2338"/>
        <v>N</v>
      </c>
      <c r="BH3066" s="65"/>
      <c r="BI3066" s="65"/>
      <c r="BJ3066" s="65"/>
      <c r="BK3066" s="65"/>
      <c r="BL3066" s="99"/>
      <c r="BM3066" s="99"/>
      <c r="BN3066" s="99"/>
    </row>
    <row r="3067" spans="1:66" s="51" customFormat="1" ht="15.75" x14ac:dyDescent="0.25">
      <c r="A3067" s="478">
        <v>7</v>
      </c>
      <c r="B3067" s="479" t="s">
        <v>291</v>
      </c>
      <c r="C3067" s="480" t="s">
        <v>336</v>
      </c>
      <c r="D3067" s="481" t="s">
        <v>310</v>
      </c>
      <c r="E3067" s="482">
        <v>56.95</v>
      </c>
      <c r="F3067" s="483" t="s">
        <v>292</v>
      </c>
      <c r="G3067" s="484">
        <v>0</v>
      </c>
      <c r="H3067" s="688" t="str">
        <f>IF(G3067=0,"",IF(F3067="Buy",IF(G3067=1,"plant","plants"),IF(F3067&gt;0.01,"warranty","Error")))</f>
        <v/>
      </c>
      <c r="I3067" s="485">
        <f>IF(H3067="free",0,IF(H3067="credit",((E3067*(F3067))*G3067*-1),IF(F3067="Buy",(E3067*G3067),((E3067*(1-F3067))*G3067))))</f>
        <v>0</v>
      </c>
      <c r="J3067" s="485">
        <f>IF(H3067="warranty",0,(I3067*(_xlfn.SINGLE(SalesTaxPercentage))))</f>
        <v>0</v>
      </c>
      <c r="K3067" s="715">
        <f t="shared" ref="K3067" si="2362">I3067+J3067</f>
        <v>0</v>
      </c>
      <c r="L3067" s="715"/>
      <c r="M3067" s="689" t="str">
        <f ca="1">IF(AND(G3067&gt;0,E3067=0),"WARNING - no PRICE inserted",IF(H3067="free","FREE ~ no charge this plant",IF(H3067="credit",CONCATENATE("-$",ROUND(K3067*(1-_xlfn.SINGLE(T2GDiscount))*-1,2)," CREDIT after discount"),IF(_xlfn.SINGLE(T2GDiscount)=0,"",IF(G3067=0,"",IF(F3067="Buy",CONCATENATE("$",ROUND(K3067*(1-_xlfn.SINGLE(T2GDiscount)),2)," with ",(_xlfn.SINGLE(T2GDiscount)*100),"% discount"),CONCATENATE("$",ROUND(K3067*(1-_xlfn.SINGLE(T2GDiscount)),2)," with ",((_xlfn.SINGLE(T2GDiscount)*100+F3067*100)-(_xlfn.SINGLE(T2GDiscount)*100*F3067)),IF(F3067&gt;0,"% discounts",IF(_xlfn.SINGLE(NoWarrantyDiscount)&gt;0,"% discounts","% discount")))))))))</f>
        <v/>
      </c>
      <c r="N3067" s="690"/>
      <c r="O3067" s="486"/>
      <c r="P3067" s="486"/>
      <c r="Q3067" s="486"/>
      <c r="R3067" s="486"/>
      <c r="S3067" s="486"/>
      <c r="T3067" s="102">
        <f t="shared" si="2326"/>
        <v>0</v>
      </c>
      <c r="U3067" s="78">
        <f>IF(NOT(ISNUMBER(G3067)), "", VLOOKUP(A3067,'Discount Lookup'!D:E,2,FALSE)*G3067)</f>
        <v>0</v>
      </c>
      <c r="V3067" s="78">
        <f>IF(NOT(ISNUMBER(G3067)), "", VLOOKUP(A3067,'Discount Lookup'!G:H,2,FALSE)*G3067)</f>
        <v>0</v>
      </c>
      <c r="W3067" s="102">
        <f t="shared" si="2327"/>
        <v>0</v>
      </c>
      <c r="X3067" s="102">
        <f t="shared" si="2328"/>
        <v>0</v>
      </c>
      <c r="Y3067" s="120" t="b">
        <f t="shared" si="2329"/>
        <v>0</v>
      </c>
      <c r="Z3067" s="117">
        <f t="shared" si="2330"/>
        <v>0</v>
      </c>
      <c r="AA3067" s="118"/>
      <c r="AB3067" s="118" t="str">
        <f t="shared" si="2331"/>
        <v/>
      </c>
      <c r="AC3067" s="712" t="str">
        <f>IF(AE3067="T2G","no charge",IF(AND(OR(PlanterYesMe="No",PlanterYesMe="N",PlanterYesMe="me"),H3067=""),"",IF(H3067="credit","NO install",IF(AND(K3067="",AE3067="me"),"EACH row",IF(AND(K3067="images",AE3067="me"),"EACH row",IF(D3067="","",IF(H3067="credit","",IF(AE3067="free","re-planting",IF(AE3067="me","   not ELP, by",IF(AND(OR(PlanterYesMe="Yes",PlanterYesMe="Y"),G3067&gt;0),(VLOOKUP(A3067,'Discount Lookup'!J:K,2)*G3067*(1-PlanterDiscount)*(1+PlanterDifficultyPercentage)),IF(AE3067="ELP",(VLOOKUP(A3067,'Discount Lookup'!J:K,2)*G3067*(1-PlanterDiscount)*(1+PlanterDifficultyPercentage)),IF(AE3067="free","re-planting",IF(G3067=0,"",IF(PlanterYesMe="",IF(AE3067="me","   not ELP, by",IF(AE3067="",IF(G3067&gt;0,(VLOOKUP(A3067,'Discount Lookup'!J:K,2)*G3067*(1-PlanterDiscount)*(1+PlanterDifficultyPercentage)),""),"")),"   not ELP, by"))))))))))))))</f>
        <v/>
      </c>
      <c r="AD3067" s="712"/>
      <c r="AE3067" s="513" t="str">
        <f t="shared" si="2332"/>
        <v/>
      </c>
      <c r="AF3067" s="713" t="str">
        <f t="shared" si="2333"/>
        <v/>
      </c>
      <c r="AG3067" s="713"/>
      <c r="AH3067" s="713"/>
      <c r="AI3067" s="112">
        <f>IF(H3067="credit",0,IF(AE3067="free",0,IF(AE3067="me",0,IF(G3067&gt;0,(VLOOKUP(A3067,'Discount Lookup'!J:K,2)*G3067),0))))</f>
        <v>0</v>
      </c>
      <c r="AJ3067" s="107" t="str">
        <f t="shared" ca="1" si="2334"/>
        <v/>
      </c>
      <c r="AK3067" s="714" t="str">
        <f t="shared" si="2335"/>
        <v/>
      </c>
      <c r="AL3067" s="714"/>
      <c r="AM3067" s="114" t="str">
        <f t="shared" si="2336"/>
        <v/>
      </c>
      <c r="AN3067" s="115"/>
      <c r="AO3067" s="116"/>
      <c r="AP3067" s="116"/>
      <c r="AQ3067" s="116"/>
      <c r="AR3067" s="116"/>
      <c r="AS3067" s="116"/>
      <c r="AT3067" s="116"/>
      <c r="AU3067" s="116"/>
      <c r="AV3067" s="78"/>
      <c r="AW3067" s="102"/>
      <c r="AX3067" s="78"/>
      <c r="AY3067" s="78"/>
      <c r="AZ3067" s="78"/>
      <c r="BA3067" s="78"/>
      <c r="BB3067" s="78"/>
      <c r="BC3067" s="78"/>
      <c r="BD3067" s="78"/>
      <c r="BE3067" s="465"/>
      <c r="BF3067" s="165" t="str">
        <f t="shared" si="2337"/>
        <v>https://www.google.com/search?tbm=isch&amp;q=7%20G1</v>
      </c>
      <c r="BG3067" s="165" t="str">
        <f t="shared" si="2338"/>
        <v>N</v>
      </c>
      <c r="BH3067" s="65"/>
      <c r="BI3067" s="65"/>
      <c r="BJ3067" s="65"/>
      <c r="BK3067" s="65"/>
      <c r="BL3067" s="99"/>
      <c r="BM3067" s="99"/>
      <c r="BN3067" s="99"/>
    </row>
    <row r="3068" spans="1:66" s="51" customFormat="1" ht="15.75" x14ac:dyDescent="0.25">
      <c r="A3068" s="478">
        <v>10</v>
      </c>
      <c r="B3068" s="479" t="s">
        <v>291</v>
      </c>
      <c r="C3068" s="480" t="s">
        <v>3639</v>
      </c>
      <c r="D3068" s="481" t="s">
        <v>293</v>
      </c>
      <c r="E3068" s="482">
        <v>104.95</v>
      </c>
      <c r="F3068" s="483" t="s">
        <v>292</v>
      </c>
      <c r="G3068" s="484">
        <v>0</v>
      </c>
      <c r="H3068" s="688" t="str">
        <f>IF(G3068=0,"",IF(F3068="Buy",IF(G3068=1,"plant","plants"),IF(F3068&gt;0.01,"warranty","Error")))</f>
        <v/>
      </c>
      <c r="I3068" s="485">
        <f>IF(H3068="free",0,IF(H3068="credit",((E3068*(F3068))*G3068*-1),IF(F3068="Buy",(E3068*G3068),((E3068*(1-F3068))*G3068))))</f>
        <v>0</v>
      </c>
      <c r="J3068" s="485">
        <f>IF(H3068="warranty",0,(I3068*(_xlfn.SINGLE(SalesTaxPercentage))))</f>
        <v>0</v>
      </c>
      <c r="K3068" s="715">
        <f t="shared" ref="K3068" si="2363">I3068+J3068</f>
        <v>0</v>
      </c>
      <c r="L3068" s="715"/>
      <c r="M3068" s="689" t="str">
        <f ca="1">IF(AND(G3068&gt;0,E3068=0),"WARNING - no PRICE inserted",IF(H3068="free","FREE ~ no charge this plant",IF(H3068="credit",CONCATENATE("-$",ROUND(K3068*(1-_xlfn.SINGLE(T2GDiscount))*-1,2)," CREDIT after discount"),IF(_xlfn.SINGLE(T2GDiscount)=0,"",IF(G3068=0,"",IF(F3068="Buy",CONCATENATE("$",ROUND(K3068*(1-_xlfn.SINGLE(T2GDiscount)),2)," with ",(_xlfn.SINGLE(T2GDiscount)*100),"% discount"),CONCATENATE("$",ROUND(K3068*(1-_xlfn.SINGLE(T2GDiscount)),2)," with ",((_xlfn.SINGLE(T2GDiscount)*100+F3068*100)-(_xlfn.SINGLE(T2GDiscount)*100*F3068)),IF(F3068&gt;0,"% discounts",IF(_xlfn.SINGLE(NoWarrantyDiscount)&gt;0,"% discounts","% discount")))))))))</f>
        <v/>
      </c>
      <c r="N3068" s="690"/>
      <c r="O3068" s="486"/>
      <c r="P3068" s="486"/>
      <c r="Q3068" s="486"/>
      <c r="R3068" s="486"/>
      <c r="S3068" s="486"/>
      <c r="T3068" s="102">
        <f t="shared" si="2326"/>
        <v>0</v>
      </c>
      <c r="U3068" s="78">
        <f>IF(NOT(ISNUMBER(G3068)), "", VLOOKUP(A3068,'Discount Lookup'!D:E,2,FALSE)*G3068)</f>
        <v>0</v>
      </c>
      <c r="V3068" s="78">
        <f>IF(NOT(ISNUMBER(G3068)), "", VLOOKUP(A3068,'Discount Lookup'!G:H,2,FALSE)*G3068)</f>
        <v>0</v>
      </c>
      <c r="W3068" s="102">
        <f t="shared" si="2327"/>
        <v>0</v>
      </c>
      <c r="X3068" s="102">
        <f t="shared" si="2328"/>
        <v>0</v>
      </c>
      <c r="Y3068" s="120" t="b">
        <f t="shared" si="2329"/>
        <v>0</v>
      </c>
      <c r="Z3068" s="117">
        <f t="shared" si="2330"/>
        <v>0</v>
      </c>
      <c r="AA3068" s="118"/>
      <c r="AB3068" s="118" t="str">
        <f t="shared" si="2331"/>
        <v/>
      </c>
      <c r="AC3068" s="712" t="str">
        <f>IF(AE3068="T2G","no charge",IF(AND(OR(PlanterYesMe="No",PlanterYesMe="N",PlanterYesMe="me"),H3068=""),"",IF(H3068="credit","NO install",IF(AND(K3068="",AE3068="me"),"EACH row",IF(AND(K3068="images",AE3068="me"),"EACH row",IF(D3068="","",IF(H3068="credit","",IF(AE3068="free","re-planting",IF(AE3068="me","   not ELP, by",IF(AND(OR(PlanterYesMe="Yes",PlanterYesMe="Y"),G3068&gt;0),(VLOOKUP(A3068,'Discount Lookup'!J:K,2)*G3068*(1-PlanterDiscount)*(1+PlanterDifficultyPercentage)),IF(AE3068="ELP",(VLOOKUP(A3068,'Discount Lookup'!J:K,2)*G3068*(1-PlanterDiscount)*(1+PlanterDifficultyPercentage)),IF(AE3068="free","re-planting",IF(G3068=0,"",IF(PlanterYesMe="",IF(AE3068="me","   not ELP, by",IF(AE3068="",IF(G3068&gt;0,(VLOOKUP(A3068,'Discount Lookup'!J:K,2)*G3068*(1-PlanterDiscount)*(1+PlanterDifficultyPercentage)),""),"")),"   not ELP, by"))))))))))))))</f>
        <v/>
      </c>
      <c r="AD3068" s="712"/>
      <c r="AE3068" s="513" t="str">
        <f t="shared" si="2332"/>
        <v/>
      </c>
      <c r="AF3068" s="713" t="str">
        <f t="shared" si="2333"/>
        <v/>
      </c>
      <c r="AG3068" s="713"/>
      <c r="AH3068" s="713"/>
      <c r="AI3068" s="112">
        <f>IF(H3068="credit",0,IF(AE3068="free",0,IF(AE3068="me",0,IF(G3068&gt;0,(VLOOKUP(A3068,'Discount Lookup'!J:K,2)*G3068),0))))</f>
        <v>0</v>
      </c>
      <c r="AJ3068" s="107" t="str">
        <f t="shared" ca="1" si="2334"/>
        <v/>
      </c>
      <c r="AK3068" s="714" t="str">
        <f t="shared" si="2335"/>
        <v/>
      </c>
      <c r="AL3068" s="714"/>
      <c r="AM3068" s="114" t="str">
        <f t="shared" si="2336"/>
        <v/>
      </c>
      <c r="AN3068" s="115"/>
      <c r="AO3068" s="116"/>
      <c r="AP3068" s="116"/>
      <c r="AQ3068" s="116"/>
      <c r="AR3068" s="116"/>
      <c r="AS3068" s="116"/>
      <c r="AT3068" s="116"/>
      <c r="AU3068" s="116"/>
      <c r="AV3068" s="78"/>
      <c r="AW3068" s="102"/>
      <c r="AX3068" s="78"/>
      <c r="AY3068" s="78"/>
      <c r="AZ3068" s="78"/>
      <c r="BA3068" s="78"/>
      <c r="BB3068" s="78"/>
      <c r="BC3068" s="78"/>
      <c r="BD3068" s="78"/>
      <c r="BE3068" s="465"/>
      <c r="BF3068" s="165" t="str">
        <f t="shared" si="2337"/>
        <v>https://www.google.com/search?tbm=isch&amp;q=10%20G6</v>
      </c>
      <c r="BG3068" s="165" t="str">
        <f t="shared" si="2338"/>
        <v>N</v>
      </c>
      <c r="BH3068" s="65"/>
      <c r="BI3068" s="65"/>
      <c r="BJ3068" s="65"/>
      <c r="BK3068" s="65"/>
      <c r="BL3068" s="99"/>
      <c r="BM3068" s="99"/>
      <c r="BN3068" s="99"/>
    </row>
    <row r="3069" spans="1:66" s="51" customFormat="1" ht="17.25" thickBot="1" x14ac:dyDescent="0.3">
      <c r="A3069" s="508" t="s">
        <v>3640</v>
      </c>
      <c r="B3069" s="487"/>
      <c r="C3069" s="707"/>
      <c r="D3069" s="487"/>
      <c r="E3069" s="487"/>
      <c r="F3069" s="488"/>
      <c r="G3069" s="489"/>
      <c r="H3069" s="487"/>
      <c r="I3069" s="490"/>
      <c r="J3069" s="490"/>
      <c r="K3069" s="491"/>
      <c r="L3069" s="547"/>
      <c r="M3069" s="528"/>
      <c r="N3069" s="492"/>
      <c r="O3069" s="493"/>
      <c r="P3069" s="494"/>
      <c r="Q3069" s="492"/>
      <c r="R3069" s="492"/>
      <c r="S3069" s="699" t="s">
        <v>5268</v>
      </c>
      <c r="T3069" s="102">
        <f t="shared" si="2326"/>
        <v>0</v>
      </c>
      <c r="U3069" s="78" t="str">
        <f>IF(NOT(ISNUMBER(G3069)), "", VLOOKUP(A3069,'Discount Lookup'!D:E,2,FALSE)*G3069)</f>
        <v/>
      </c>
      <c r="V3069" s="78" t="str">
        <f>IF(NOT(ISNUMBER(G3069)), "", VLOOKUP(A3069,'Discount Lookup'!G:H,2,FALSE)*G3069)</f>
        <v/>
      </c>
      <c r="W3069" s="102">
        <f t="shared" si="2327"/>
        <v>0</v>
      </c>
      <c r="X3069" s="102">
        <f t="shared" si="2328"/>
        <v>0</v>
      </c>
      <c r="Y3069" s="120" t="b">
        <f t="shared" si="2329"/>
        <v>0</v>
      </c>
      <c r="Z3069" s="117">
        <f t="shared" si="2330"/>
        <v>0</v>
      </c>
      <c r="AA3069" s="118"/>
      <c r="AB3069" s="118" t="str">
        <f t="shared" si="2331"/>
        <v/>
      </c>
      <c r="AC3069" s="712" t="str">
        <f>IF(AE3069="T2G","no charge",IF(AND(OR(PlanterYesMe="No",PlanterYesMe="N",PlanterYesMe="me"),H3069=""),"",IF(H3069="credit","NO install",IF(AND(K3069="",AE3069="me"),"EACH row",IF(AND(K3069="images",AE3069="me"),"EACH row",IF(D3069="","",IF(H3069="credit","",IF(AE3069="free","re-planting",IF(AE3069="me","   not ELP, by",IF(AND(OR(PlanterYesMe="Yes",PlanterYesMe="Y"),G3069&gt;0),(VLOOKUP(A3069,'Discount Lookup'!J:K,2)*G3069*(1-PlanterDiscount)*(1+PlanterDifficultyPercentage)),IF(AE3069="ELP",(VLOOKUP(A3069,'Discount Lookup'!J:K,2)*G3069*(1-PlanterDiscount)*(1+PlanterDifficultyPercentage)),IF(AE3069="free","re-planting",IF(G3069=0,"",IF(PlanterYesMe="",IF(AE3069="me","   not ELP, by",IF(AE3069="",IF(G3069&gt;0,(VLOOKUP(A3069,'Discount Lookup'!J:K,2)*G3069*(1-PlanterDiscount)*(1+PlanterDifficultyPercentage)),""),"")),"   not ELP, by"))))))))))))))</f>
        <v/>
      </c>
      <c r="AD3069" s="712"/>
      <c r="AE3069" s="513" t="str">
        <f t="shared" si="2332"/>
        <v/>
      </c>
      <c r="AF3069" s="713" t="str">
        <f t="shared" si="2333"/>
        <v/>
      </c>
      <c r="AG3069" s="713"/>
      <c r="AH3069" s="713"/>
      <c r="AI3069" s="112">
        <f>IF(H3069="credit",0,IF(AE3069="free",0,IF(AE3069="me",0,IF(G3069&gt;0,(VLOOKUP(A3069,'Discount Lookup'!J:K,2)*G3069),0))))</f>
        <v>0</v>
      </c>
      <c r="AJ3069" s="107" t="str">
        <f t="shared" ca="1" si="2334"/>
        <v/>
      </c>
      <c r="AK3069" s="714" t="str">
        <f t="shared" si="2335"/>
        <v/>
      </c>
      <c r="AL3069" s="714"/>
      <c r="AM3069" s="114" t="str">
        <f t="shared" si="2336"/>
        <v/>
      </c>
      <c r="AN3069" s="115"/>
      <c r="AO3069" s="116"/>
      <c r="AP3069" s="116"/>
      <c r="AQ3069" s="116"/>
      <c r="AR3069" s="116"/>
      <c r="AS3069" s="116"/>
      <c r="AT3069" s="116"/>
      <c r="AU3069" s="116"/>
      <c r="AV3069" s="78"/>
      <c r="AW3069" s="102"/>
      <c r="AX3069" s="78"/>
      <c r="AY3069" s="78"/>
      <c r="AZ3069" s="78"/>
      <c r="BA3069" s="78"/>
      <c r="BB3069" s="78"/>
      <c r="BC3069" s="78"/>
      <c r="BD3069" s="78"/>
      <c r="BE3069" s="465"/>
      <c r="BF3069" s="165" t="str">
        <f t="shared" si="2337"/>
        <v>https://www.google.com/search?tbm=isch&amp;q=Nandina%20has%20graceful%2C%20bamboo-like%20texture%20and%20brilliant%20Red%20berries%20that%20persist.%20Red-Burgundy%20winter%20foliage.%20May%20spread%20</v>
      </c>
      <c r="BG3069" s="165" t="str">
        <f t="shared" si="2338"/>
        <v>N</v>
      </c>
      <c r="BH3069" s="65"/>
      <c r="BI3069" s="65"/>
      <c r="BJ3069" s="65"/>
      <c r="BK3069" s="65"/>
      <c r="BL3069" s="99"/>
      <c r="BM3069" s="99"/>
      <c r="BN3069" s="99"/>
    </row>
    <row r="3070" spans="1:66" s="51" customFormat="1" ht="18" x14ac:dyDescent="0.25">
      <c r="A3070" s="507" t="s">
        <v>3641</v>
      </c>
      <c r="B3070" s="470"/>
      <c r="C3070" s="706"/>
      <c r="D3070" s="471" t="s">
        <v>5739</v>
      </c>
      <c r="E3070" s="472"/>
      <c r="F3070" s="472"/>
      <c r="G3070" s="472"/>
      <c r="H3070" s="622" t="s">
        <v>1104</v>
      </c>
      <c r="I3070" s="473" t="s">
        <v>3642</v>
      </c>
      <c r="J3070" s="472"/>
      <c r="K3070" s="472"/>
      <c r="L3070" s="561"/>
      <c r="M3070" s="698" t="s">
        <v>5246</v>
      </c>
      <c r="N3070" s="692" t="str">
        <f>IF(AND(ISTEXT($A3070), ISERROR($A3070+0)), HYPERLINK($BF3070, "Images"), "")</f>
        <v>Images</v>
      </c>
      <c r="O3070" s="694" t="s">
        <v>5247</v>
      </c>
      <c r="P3070" s="475"/>
      <c r="Q3070" s="476"/>
      <c r="R3070" s="476"/>
      <c r="S3070" s="477"/>
      <c r="T3070" s="102">
        <f t="shared" si="2326"/>
        <v>0</v>
      </c>
      <c r="U3070" s="78" t="str">
        <f>IF(NOT(ISNUMBER(G3070)), "", VLOOKUP(A3070,'Discount Lookup'!D:E,2,FALSE)*G3070)</f>
        <v/>
      </c>
      <c r="V3070" s="78" t="str">
        <f>IF(NOT(ISNUMBER(G3070)), "", VLOOKUP(A3070,'Discount Lookup'!G:H,2,FALSE)*G3070)</f>
        <v/>
      </c>
      <c r="W3070" s="102">
        <f t="shared" si="2327"/>
        <v>0</v>
      </c>
      <c r="X3070" s="102" t="str">
        <f t="shared" si="2328"/>
        <v>Soft Green foliage</v>
      </c>
      <c r="Y3070" s="120" t="b">
        <f t="shared" si="2329"/>
        <v>0</v>
      </c>
      <c r="Z3070" s="117">
        <f t="shared" si="2330"/>
        <v>0</v>
      </c>
      <c r="AA3070" s="118"/>
      <c r="AB3070" s="118" t="str">
        <f t="shared" si="2331"/>
        <v/>
      </c>
      <c r="AC3070" s="712" t="str">
        <f>IF(AE3070="T2G","no charge",IF(AND(OR(PlanterYesMe="No",PlanterYesMe="N",PlanterYesMe="me"),H3070=""),"",IF(H3070="credit","NO install",IF(AND(K3070="",AE3070="me"),"EACH row",IF(AND(K3070="images",AE3070="me"),"EACH row",IF(D3070="","",IF(H3070="credit","",IF(AE3070="free","re-planting",IF(AE3070="me","   not ELP, by",IF(AND(OR(PlanterYesMe="Yes",PlanterYesMe="Y"),G3070&gt;0),(VLOOKUP(A3070,'Discount Lookup'!J:K,2)*G3070*(1-PlanterDiscount)*(1+PlanterDifficultyPercentage)),IF(AE3070="ELP",(VLOOKUP(A3070,'Discount Lookup'!J:K,2)*G3070*(1-PlanterDiscount)*(1+PlanterDifficultyPercentage)),IF(AE3070="free","re-planting",IF(G3070=0,"",IF(PlanterYesMe="",IF(AE3070="me","   not ELP, by",IF(AE3070="",IF(G3070&gt;0,(VLOOKUP(A3070,'Discount Lookup'!J:K,2)*G3070*(1-PlanterDiscount)*(1+PlanterDifficultyPercentage)),""),"")),"   not ELP, by"))))))))))))))</f>
        <v/>
      </c>
      <c r="AD3070" s="712"/>
      <c r="AE3070" s="513" t="str">
        <f t="shared" si="2332"/>
        <v/>
      </c>
      <c r="AF3070" s="713" t="str">
        <f t="shared" si="2333"/>
        <v/>
      </c>
      <c r="AG3070" s="713"/>
      <c r="AH3070" s="713"/>
      <c r="AI3070" s="112">
        <f>IF(H3070="credit",0,IF(AE3070="free",0,IF(AE3070="me",0,IF(G3070&gt;0,(VLOOKUP(A3070,'Discount Lookup'!J:K,2)*G3070),0))))</f>
        <v>0</v>
      </c>
      <c r="AJ3070" s="107" t="str">
        <f t="shared" ca="1" si="2334"/>
        <v/>
      </c>
      <c r="AK3070" s="714" t="str">
        <f t="shared" si="2335"/>
        <v/>
      </c>
      <c r="AL3070" s="714"/>
      <c r="AM3070" s="114" t="str">
        <f t="shared" si="2336"/>
        <v/>
      </c>
      <c r="AN3070" s="115"/>
      <c r="AO3070" s="116"/>
      <c r="AP3070" s="116"/>
      <c r="AQ3070" s="116"/>
      <c r="AR3070" s="116"/>
      <c r="AS3070" s="116"/>
      <c r="AT3070" s="116"/>
      <c r="AU3070" s="116"/>
      <c r="AV3070" s="78"/>
      <c r="AW3070" s="102"/>
      <c r="AX3070" s="78"/>
      <c r="AY3070" s="78"/>
      <c r="AZ3070" s="78"/>
      <c r="BA3070" s="78"/>
      <c r="BB3070" s="78"/>
      <c r="BC3070" s="78"/>
      <c r="BD3070" s="78"/>
      <c r="BE3070" s="465"/>
      <c r="BF3070" s="165" t="str">
        <f t="shared" si="2337"/>
        <v>https://www.google.com/search?tbm=isch&amp;q=Nandina%20domestica%20%27AKA%27%20PP%2319916%20Blush%20Pink%E2%84%A2%20Nandina</v>
      </c>
      <c r="BG3070" s="165" t="str">
        <f t="shared" si="2338"/>
        <v>N</v>
      </c>
      <c r="BH3070" s="65"/>
      <c r="BI3070" s="65"/>
      <c r="BJ3070" s="65"/>
      <c r="BK3070" s="65"/>
      <c r="BL3070" s="99"/>
      <c r="BM3070" s="99"/>
      <c r="BN3070" s="99"/>
    </row>
    <row r="3071" spans="1:66" s="51" customFormat="1" ht="15.75" x14ac:dyDescent="0.25">
      <c r="A3071" s="478">
        <v>1</v>
      </c>
      <c r="B3071" s="479" t="s">
        <v>291</v>
      </c>
      <c r="C3071" s="480" t="s">
        <v>884</v>
      </c>
      <c r="D3071" s="481" t="s">
        <v>329</v>
      </c>
      <c r="E3071" s="482">
        <v>28.95</v>
      </c>
      <c r="F3071" s="483" t="s">
        <v>292</v>
      </c>
      <c r="G3071" s="484">
        <v>0</v>
      </c>
      <c r="H3071" s="688" t="str">
        <f>IF(G3071=0,"",IF(F3071="Buy",IF(G3071=1,"plant","plants"),IF(F3071&gt;0.01,"warranty","Error")))</f>
        <v/>
      </c>
      <c r="I3071" s="485">
        <f>IF(H3071="free",0,IF(H3071="credit",((E3071*(F3071))*G3071*-1),IF(F3071="Buy",(E3071*G3071),((E3071*(1-F3071))*G3071))))</f>
        <v>0</v>
      </c>
      <c r="J3071" s="485">
        <f>IF(H3071="warranty",0,(I3071*(_xlfn.SINGLE(SalesTaxPercentage))))</f>
        <v>0</v>
      </c>
      <c r="K3071" s="715">
        <f t="shared" ref="K3071" si="2364">I3071+J3071</f>
        <v>0</v>
      </c>
      <c r="L3071" s="715"/>
      <c r="M3071" s="689" t="str">
        <f ca="1">IF(AND(G3071&gt;0,E3071=0),"WARNING - no PRICE inserted",IF(H3071="free","FREE ~ no charge this plant",IF(H3071="credit",CONCATENATE("-$",ROUND(K3071*(1-_xlfn.SINGLE(T2GDiscount))*-1,2)," CREDIT after discount"),IF(_xlfn.SINGLE(T2GDiscount)=0,"",IF(G3071=0,"",IF(F3071="Buy",CONCATENATE("$",ROUND(K3071*(1-_xlfn.SINGLE(T2GDiscount)),2)," with ",(_xlfn.SINGLE(T2GDiscount)*100),"% discount"),CONCATENATE("$",ROUND(K3071*(1-_xlfn.SINGLE(T2GDiscount)),2)," with ",((_xlfn.SINGLE(T2GDiscount)*100+F3071*100)-(_xlfn.SINGLE(T2GDiscount)*100*F3071)),IF(F3071&gt;0,"% discounts",IF(_xlfn.SINGLE(NoWarrantyDiscount)&gt;0,"% discounts","% discount")))))))))</f>
        <v/>
      </c>
      <c r="N3071" s="690"/>
      <c r="O3071" s="486"/>
      <c r="P3071" s="486"/>
      <c r="Q3071" s="486"/>
      <c r="R3071" s="486"/>
      <c r="S3071" s="486"/>
      <c r="T3071" s="102">
        <f t="shared" si="2326"/>
        <v>0</v>
      </c>
      <c r="U3071" s="78">
        <f>IF(NOT(ISNUMBER(G3071)), "", VLOOKUP(A3071,'Discount Lookup'!D:E,2,FALSE)*G3071)</f>
        <v>0</v>
      </c>
      <c r="V3071" s="78">
        <f>IF(NOT(ISNUMBER(G3071)), "", VLOOKUP(A3071,'Discount Lookup'!G:H,2,FALSE)*G3071)</f>
        <v>0</v>
      </c>
      <c r="W3071" s="102">
        <f t="shared" si="2327"/>
        <v>0</v>
      </c>
      <c r="X3071" s="102">
        <f t="shared" si="2328"/>
        <v>0</v>
      </c>
      <c r="Y3071" s="120" t="b">
        <f t="shared" si="2329"/>
        <v>0</v>
      </c>
      <c r="Z3071" s="117">
        <f t="shared" si="2330"/>
        <v>0</v>
      </c>
      <c r="AA3071" s="118"/>
      <c r="AB3071" s="118" t="str">
        <f t="shared" si="2331"/>
        <v/>
      </c>
      <c r="AC3071" s="712" t="str">
        <f>IF(AE3071="T2G","no charge",IF(AND(OR(PlanterYesMe="No",PlanterYesMe="N",PlanterYesMe="me"),H3071=""),"",IF(H3071="credit","NO install",IF(AND(K3071="",AE3071="me"),"EACH row",IF(AND(K3071="images",AE3071="me"),"EACH row",IF(D3071="","",IF(H3071="credit","",IF(AE3071="free","re-planting",IF(AE3071="me","   not ELP, by",IF(AND(OR(PlanterYesMe="Yes",PlanterYesMe="Y"),G3071&gt;0),(VLOOKUP(A3071,'Discount Lookup'!J:K,2)*G3071*(1-PlanterDiscount)*(1+PlanterDifficultyPercentage)),IF(AE3071="ELP",(VLOOKUP(A3071,'Discount Lookup'!J:K,2)*G3071*(1-PlanterDiscount)*(1+PlanterDifficultyPercentage)),IF(AE3071="free","re-planting",IF(G3071=0,"",IF(PlanterYesMe="",IF(AE3071="me","   not ELP, by",IF(AE3071="",IF(G3071&gt;0,(VLOOKUP(A3071,'Discount Lookup'!J:K,2)*G3071*(1-PlanterDiscount)*(1+PlanterDifficultyPercentage)),""),"")),"   not ELP, by"))))))))))))))</f>
        <v/>
      </c>
      <c r="AD3071" s="712"/>
      <c r="AE3071" s="513" t="str">
        <f t="shared" si="2332"/>
        <v/>
      </c>
      <c r="AF3071" s="713" t="str">
        <f t="shared" si="2333"/>
        <v/>
      </c>
      <c r="AG3071" s="713"/>
      <c r="AH3071" s="713"/>
      <c r="AI3071" s="112">
        <f>IF(H3071="credit",0,IF(AE3071="free",0,IF(AE3071="me",0,IF(G3071&gt;0,(VLOOKUP(A3071,'Discount Lookup'!J:K,2)*G3071),0))))</f>
        <v>0</v>
      </c>
      <c r="AJ3071" s="107" t="str">
        <f t="shared" ca="1" si="2334"/>
        <v/>
      </c>
      <c r="AK3071" s="714" t="str">
        <f t="shared" si="2335"/>
        <v/>
      </c>
      <c r="AL3071" s="714"/>
      <c r="AM3071" s="114" t="str">
        <f t="shared" si="2336"/>
        <v/>
      </c>
      <c r="AN3071" s="115"/>
      <c r="AO3071" s="116"/>
      <c r="AP3071" s="116"/>
      <c r="AQ3071" s="116"/>
      <c r="AR3071" s="116"/>
      <c r="AS3071" s="116"/>
      <c r="AT3071" s="116"/>
      <c r="AU3071" s="116"/>
      <c r="AV3071" s="78"/>
      <c r="AW3071" s="102"/>
      <c r="AX3071" s="78"/>
      <c r="AY3071" s="78"/>
      <c r="AZ3071" s="78"/>
      <c r="BA3071" s="78"/>
      <c r="BB3071" s="78"/>
      <c r="BC3071" s="78"/>
      <c r="BD3071" s="78"/>
      <c r="BE3071" s="465"/>
      <c r="BF3071" s="165" t="str">
        <f t="shared" si="2337"/>
        <v>https://www.google.com/search?tbm=isch&amp;q=1%20G2</v>
      </c>
      <c r="BG3071" s="165" t="str">
        <f t="shared" si="2338"/>
        <v>N</v>
      </c>
      <c r="BH3071" s="65"/>
      <c r="BI3071" s="65"/>
      <c r="BJ3071" s="65"/>
      <c r="BK3071" s="65"/>
      <c r="BL3071" s="99"/>
      <c r="BM3071" s="99"/>
      <c r="BN3071" s="99"/>
    </row>
    <row r="3072" spans="1:66" s="51" customFormat="1" ht="16.5" thickBot="1" x14ac:dyDescent="0.3">
      <c r="A3072" s="508" t="s">
        <v>3643</v>
      </c>
      <c r="B3072" s="487"/>
      <c r="C3072" s="707"/>
      <c r="D3072" s="487"/>
      <c r="E3072" s="487"/>
      <c r="F3072" s="488"/>
      <c r="G3072" s="489"/>
      <c r="H3072" s="487"/>
      <c r="I3072" s="490"/>
      <c r="J3072" s="490"/>
      <c r="K3072" s="491"/>
      <c r="L3072" s="547"/>
      <c r="M3072" s="528"/>
      <c r="N3072" s="492"/>
      <c r="O3072" s="493"/>
      <c r="P3072" s="494"/>
      <c r="Q3072" s="492"/>
      <c r="R3072" s="492"/>
      <c r="S3072" s="495"/>
      <c r="T3072" s="102">
        <f t="shared" si="2326"/>
        <v>0</v>
      </c>
      <c r="U3072" s="78" t="str">
        <f>IF(NOT(ISNUMBER(G3072)), "", VLOOKUP(A3072,'Discount Lookup'!D:E,2,FALSE)*G3072)</f>
        <v/>
      </c>
      <c r="V3072" s="78" t="str">
        <f>IF(NOT(ISNUMBER(G3072)), "", VLOOKUP(A3072,'Discount Lookup'!G:H,2,FALSE)*G3072)</f>
        <v/>
      </c>
      <c r="W3072" s="102">
        <f t="shared" si="2327"/>
        <v>0</v>
      </c>
      <c r="X3072" s="102">
        <f t="shared" si="2328"/>
        <v>0</v>
      </c>
      <c r="Y3072" s="120" t="b">
        <f t="shared" si="2329"/>
        <v>0</v>
      </c>
      <c r="Z3072" s="117">
        <f t="shared" si="2330"/>
        <v>0</v>
      </c>
      <c r="AA3072" s="118"/>
      <c r="AB3072" s="118" t="str">
        <f t="shared" si="2331"/>
        <v/>
      </c>
      <c r="AC3072" s="712" t="str">
        <f>IF(AE3072="T2G","no charge",IF(AND(OR(PlanterYesMe="No",PlanterYesMe="N",PlanterYesMe="me"),H3072=""),"",IF(H3072="credit","NO install",IF(AND(K3072="",AE3072="me"),"EACH row",IF(AND(K3072="images",AE3072="me"),"EACH row",IF(D3072="","",IF(H3072="credit","",IF(AE3072="free","re-planting",IF(AE3072="me","   not ELP, by",IF(AND(OR(PlanterYesMe="Yes",PlanterYesMe="Y"),G3072&gt;0),(VLOOKUP(A3072,'Discount Lookup'!J:K,2)*G3072*(1-PlanterDiscount)*(1+PlanterDifficultyPercentage)),IF(AE3072="ELP",(VLOOKUP(A3072,'Discount Lookup'!J:K,2)*G3072*(1-PlanterDiscount)*(1+PlanterDifficultyPercentage)),IF(AE3072="free","re-planting",IF(G3072=0,"",IF(PlanterYesMe="",IF(AE3072="me","   not ELP, by",IF(AE3072="",IF(G3072&gt;0,(VLOOKUP(A3072,'Discount Lookup'!J:K,2)*G3072*(1-PlanterDiscount)*(1+PlanterDifficultyPercentage)),""),"")),"   not ELP, by"))))))))))))))</f>
        <v/>
      </c>
      <c r="AD3072" s="712"/>
      <c r="AE3072" s="513" t="str">
        <f t="shared" si="2332"/>
        <v/>
      </c>
      <c r="AF3072" s="713" t="str">
        <f t="shared" si="2333"/>
        <v/>
      </c>
      <c r="AG3072" s="713"/>
      <c r="AH3072" s="713"/>
      <c r="AI3072" s="112">
        <f>IF(H3072="credit",0,IF(AE3072="free",0,IF(AE3072="me",0,IF(G3072&gt;0,(VLOOKUP(A3072,'Discount Lookup'!J:K,2)*G3072),0))))</f>
        <v>0</v>
      </c>
      <c r="AJ3072" s="107" t="str">
        <f t="shared" ca="1" si="2334"/>
        <v/>
      </c>
      <c r="AK3072" s="714" t="str">
        <f t="shared" si="2335"/>
        <v/>
      </c>
      <c r="AL3072" s="714"/>
      <c r="AM3072" s="114" t="str">
        <f t="shared" si="2336"/>
        <v/>
      </c>
      <c r="AN3072" s="115"/>
      <c r="AO3072" s="116"/>
      <c r="AP3072" s="116"/>
      <c r="AQ3072" s="116"/>
      <c r="AR3072" s="116"/>
      <c r="AS3072" s="116"/>
      <c r="AT3072" s="116"/>
      <c r="AU3072" s="116"/>
      <c r="AV3072" s="78"/>
      <c r="AW3072" s="102"/>
      <c r="AX3072" s="78"/>
      <c r="AY3072" s="78"/>
      <c r="AZ3072" s="78"/>
      <c r="BA3072" s="78"/>
      <c r="BB3072" s="78"/>
      <c r="BC3072" s="78"/>
      <c r="BD3072" s="78"/>
      <c r="BE3072" s="465"/>
      <c r="BF3072" s="165" t="str">
        <f t="shared" si="2337"/>
        <v>https://www.google.com/search?tbm=isch&amp;q=Blush%20Pink%20foliage%20emerges%20Bright%20Pink%20to%20Red%2C%20maturing%20to%20Soft%20Green%20with%20Pink%20highlights.%20Minimal%20berries%2C%20so%20less%20spreading%20issues%20</v>
      </c>
      <c r="BG3072" s="165" t="str">
        <f t="shared" si="2338"/>
        <v>B</v>
      </c>
      <c r="BH3072" s="65"/>
      <c r="BI3072" s="65"/>
      <c r="BJ3072" s="65"/>
      <c r="BK3072" s="65"/>
      <c r="BL3072" s="99"/>
      <c r="BM3072" s="99"/>
      <c r="BN3072" s="99"/>
    </row>
    <row r="3073" spans="1:66" s="51" customFormat="1" ht="18" x14ac:dyDescent="0.25">
      <c r="A3073" s="507" t="s">
        <v>3644</v>
      </c>
      <c r="B3073" s="470"/>
      <c r="C3073" s="706"/>
      <c r="D3073" s="471" t="s">
        <v>3645</v>
      </c>
      <c r="E3073" s="472"/>
      <c r="F3073" s="472"/>
      <c r="G3073" s="472"/>
      <c r="H3073" s="622" t="s">
        <v>1498</v>
      </c>
      <c r="I3073" s="473" t="s">
        <v>3646</v>
      </c>
      <c r="J3073" s="472"/>
      <c r="K3073" s="472"/>
      <c r="L3073" s="561"/>
      <c r="M3073" s="698" t="s">
        <v>5246</v>
      </c>
      <c r="N3073" s="692" t="str">
        <f>IF(AND(ISTEXT($A3073), ISERROR($A3073+0)), HYPERLINK($BF3073, "Images"), "")</f>
        <v>Images</v>
      </c>
      <c r="O3073" s="694" t="s">
        <v>5247</v>
      </c>
      <c r="P3073" s="475"/>
      <c r="Q3073" s="476"/>
      <c r="R3073" s="476"/>
      <c r="S3073" s="477"/>
      <c r="T3073" s="102">
        <f t="shared" si="2326"/>
        <v>0</v>
      </c>
      <c r="U3073" s="78" t="str">
        <f>IF(NOT(ISNUMBER(G3073)), "", VLOOKUP(A3073,'Discount Lookup'!D:E,2,FALSE)*G3073)</f>
        <v/>
      </c>
      <c r="V3073" s="78" t="str">
        <f>IF(NOT(ISNUMBER(G3073)), "", VLOOKUP(A3073,'Discount Lookup'!G:H,2,FALSE)*G3073)</f>
        <v/>
      </c>
      <c r="W3073" s="102">
        <f t="shared" si="2327"/>
        <v>0</v>
      </c>
      <c r="X3073" s="102" t="str">
        <f t="shared" si="2328"/>
        <v>Bluish-Green foliage</v>
      </c>
      <c r="Y3073" s="120" t="b">
        <f t="shared" si="2329"/>
        <v>0</v>
      </c>
      <c r="Z3073" s="117">
        <f t="shared" si="2330"/>
        <v>0</v>
      </c>
      <c r="AA3073" s="118"/>
      <c r="AB3073" s="118" t="str">
        <f t="shared" si="2331"/>
        <v/>
      </c>
      <c r="AC3073" s="712" t="str">
        <f>IF(AE3073="T2G","no charge",IF(AND(OR(PlanterYesMe="No",PlanterYesMe="N",PlanterYesMe="me"),H3073=""),"",IF(H3073="credit","NO install",IF(AND(K3073="",AE3073="me"),"EACH row",IF(AND(K3073="images",AE3073="me"),"EACH row",IF(D3073="","",IF(H3073="credit","",IF(AE3073="free","re-planting",IF(AE3073="me","   not ELP, by",IF(AND(OR(PlanterYesMe="Yes",PlanterYesMe="Y"),G3073&gt;0),(VLOOKUP(A3073,'Discount Lookup'!J:K,2)*G3073*(1-PlanterDiscount)*(1+PlanterDifficultyPercentage)),IF(AE3073="ELP",(VLOOKUP(A3073,'Discount Lookup'!J:K,2)*G3073*(1-PlanterDiscount)*(1+PlanterDifficultyPercentage)),IF(AE3073="free","re-planting",IF(G3073=0,"",IF(PlanterYesMe="",IF(AE3073="me","   not ELP, by",IF(AE3073="",IF(G3073&gt;0,(VLOOKUP(A3073,'Discount Lookup'!J:K,2)*G3073*(1-PlanterDiscount)*(1+PlanterDifficultyPercentage)),""),"")),"   not ELP, by"))))))))))))))</f>
        <v/>
      </c>
      <c r="AD3073" s="712"/>
      <c r="AE3073" s="513" t="str">
        <f t="shared" si="2332"/>
        <v/>
      </c>
      <c r="AF3073" s="713" t="str">
        <f t="shared" si="2333"/>
        <v/>
      </c>
      <c r="AG3073" s="713"/>
      <c r="AH3073" s="713"/>
      <c r="AI3073" s="112">
        <f>IF(H3073="credit",0,IF(AE3073="free",0,IF(AE3073="me",0,IF(G3073&gt;0,(VLOOKUP(A3073,'Discount Lookup'!J:K,2)*G3073),0))))</f>
        <v>0</v>
      </c>
      <c r="AJ3073" s="107" t="str">
        <f t="shared" ca="1" si="2334"/>
        <v/>
      </c>
      <c r="AK3073" s="714" t="str">
        <f t="shared" si="2335"/>
        <v/>
      </c>
      <c r="AL3073" s="714"/>
      <c r="AM3073" s="114" t="str">
        <f t="shared" si="2336"/>
        <v/>
      </c>
      <c r="AN3073" s="115"/>
      <c r="AO3073" s="116"/>
      <c r="AP3073" s="116"/>
      <c r="AQ3073" s="116"/>
      <c r="AR3073" s="116"/>
      <c r="AS3073" s="116"/>
      <c r="AT3073" s="116"/>
      <c r="AU3073" s="116"/>
      <c r="AV3073" s="78"/>
      <c r="AW3073" s="102"/>
      <c r="AX3073" s="78"/>
      <c r="AY3073" s="78"/>
      <c r="AZ3073" s="78"/>
      <c r="BA3073" s="78"/>
      <c r="BB3073" s="78"/>
      <c r="BC3073" s="78"/>
      <c r="BD3073" s="78"/>
      <c r="BE3073" s="465"/>
      <c r="BF3073" s="165" t="str">
        <f t="shared" si="2337"/>
        <v>https://www.google.com/search?tbm=isch&amp;q=Nandina%20domestica%20%27Alba%27%20Yellow-Berried%20Nandina</v>
      </c>
      <c r="BG3073" s="165" t="str">
        <f t="shared" si="2338"/>
        <v>N</v>
      </c>
      <c r="BH3073" s="65"/>
      <c r="BI3073" s="65"/>
      <c r="BJ3073" s="65"/>
      <c r="BK3073" s="65"/>
      <c r="BL3073" s="99"/>
      <c r="BM3073" s="99"/>
      <c r="BN3073" s="99"/>
    </row>
    <row r="3074" spans="1:66" s="51" customFormat="1" ht="15.75" x14ac:dyDescent="0.25">
      <c r="A3074" s="478">
        <v>10</v>
      </c>
      <c r="B3074" s="479" t="s">
        <v>291</v>
      </c>
      <c r="C3074" s="480" t="s">
        <v>3647</v>
      </c>
      <c r="D3074" s="481" t="s">
        <v>293</v>
      </c>
      <c r="E3074" s="482">
        <v>104.95</v>
      </c>
      <c r="F3074" s="483" t="s">
        <v>292</v>
      </c>
      <c r="G3074" s="484">
        <v>0</v>
      </c>
      <c r="H3074" s="688" t="str">
        <f>IF(G3074=0,"",IF(F3074="Buy",IF(G3074=1,"plant","plants"),IF(F3074&gt;0.01,"warranty","Error")))</f>
        <v/>
      </c>
      <c r="I3074" s="485">
        <f>IF(H3074="free",0,IF(H3074="credit",((E3074*(F3074))*G3074*-1),IF(F3074="Buy",(E3074*G3074),((E3074*(1-F3074))*G3074))))</f>
        <v>0</v>
      </c>
      <c r="J3074" s="485">
        <f>IF(H3074="warranty",0,(I3074*(_xlfn.SINGLE(SalesTaxPercentage))))</f>
        <v>0</v>
      </c>
      <c r="K3074" s="715">
        <f t="shared" ref="K3074" si="2365">I3074+J3074</f>
        <v>0</v>
      </c>
      <c r="L3074" s="715"/>
      <c r="M3074" s="689" t="str">
        <f ca="1">IF(AND(G3074&gt;0,E3074=0),"WARNING - no PRICE inserted",IF(H3074="free","FREE ~ no charge this plant",IF(H3074="credit",CONCATENATE("-$",ROUND(K3074*(1-_xlfn.SINGLE(T2GDiscount))*-1,2)," CREDIT after discount"),IF(_xlfn.SINGLE(T2GDiscount)=0,"",IF(G3074=0,"",IF(F3074="Buy",CONCATENATE("$",ROUND(K3074*(1-_xlfn.SINGLE(T2GDiscount)),2)," with ",(_xlfn.SINGLE(T2GDiscount)*100),"% discount"),CONCATENATE("$",ROUND(K3074*(1-_xlfn.SINGLE(T2GDiscount)),2)," with ",((_xlfn.SINGLE(T2GDiscount)*100+F3074*100)-(_xlfn.SINGLE(T2GDiscount)*100*F3074)),IF(F3074&gt;0,"% discounts",IF(_xlfn.SINGLE(NoWarrantyDiscount)&gt;0,"% discounts","% discount")))))))))</f>
        <v/>
      </c>
      <c r="N3074" s="690"/>
      <c r="O3074" s="486"/>
      <c r="P3074" s="486"/>
      <c r="Q3074" s="486"/>
      <c r="R3074" s="486"/>
      <c r="S3074" s="486"/>
      <c r="T3074" s="102">
        <f t="shared" si="2326"/>
        <v>0</v>
      </c>
      <c r="U3074" s="78">
        <f>IF(NOT(ISNUMBER(G3074)), "", VLOOKUP(A3074,'Discount Lookup'!D:E,2,FALSE)*G3074)</f>
        <v>0</v>
      </c>
      <c r="V3074" s="78">
        <f>IF(NOT(ISNUMBER(G3074)), "", VLOOKUP(A3074,'Discount Lookup'!G:H,2,FALSE)*G3074)</f>
        <v>0</v>
      </c>
      <c r="W3074" s="102">
        <f t="shared" si="2327"/>
        <v>0</v>
      </c>
      <c r="X3074" s="102">
        <f t="shared" si="2328"/>
        <v>0</v>
      </c>
      <c r="Y3074" s="120" t="b">
        <f t="shared" si="2329"/>
        <v>0</v>
      </c>
      <c r="Z3074" s="117">
        <f t="shared" si="2330"/>
        <v>0</v>
      </c>
      <c r="AA3074" s="118"/>
      <c r="AB3074" s="118" t="str">
        <f t="shared" si="2331"/>
        <v/>
      </c>
      <c r="AC3074" s="712" t="str">
        <f>IF(AE3074="T2G","no charge",IF(AND(OR(PlanterYesMe="No",PlanterYesMe="N",PlanterYesMe="me"),H3074=""),"",IF(H3074="credit","NO install",IF(AND(K3074="",AE3074="me"),"EACH row",IF(AND(K3074="images",AE3074="me"),"EACH row",IF(D3074="","",IF(H3074="credit","",IF(AE3074="free","re-planting",IF(AE3074="me","   not ELP, by",IF(AND(OR(PlanterYesMe="Yes",PlanterYesMe="Y"),G3074&gt;0),(VLOOKUP(A3074,'Discount Lookup'!J:K,2)*G3074*(1-PlanterDiscount)*(1+PlanterDifficultyPercentage)),IF(AE3074="ELP",(VLOOKUP(A3074,'Discount Lookup'!J:K,2)*G3074*(1-PlanterDiscount)*(1+PlanterDifficultyPercentage)),IF(AE3074="free","re-planting",IF(G3074=0,"",IF(PlanterYesMe="",IF(AE3074="me","   not ELP, by",IF(AE3074="",IF(G3074&gt;0,(VLOOKUP(A3074,'Discount Lookup'!J:K,2)*G3074*(1-PlanterDiscount)*(1+PlanterDifficultyPercentage)),""),"")),"   not ELP, by"))))))))))))))</f>
        <v/>
      </c>
      <c r="AD3074" s="712"/>
      <c r="AE3074" s="513" t="str">
        <f t="shared" si="2332"/>
        <v/>
      </c>
      <c r="AF3074" s="713" t="str">
        <f t="shared" si="2333"/>
        <v/>
      </c>
      <c r="AG3074" s="713"/>
      <c r="AH3074" s="713"/>
      <c r="AI3074" s="112">
        <f>IF(H3074="credit",0,IF(AE3074="free",0,IF(AE3074="me",0,IF(G3074&gt;0,(VLOOKUP(A3074,'Discount Lookup'!J:K,2)*G3074),0))))</f>
        <v>0</v>
      </c>
      <c r="AJ3074" s="107" t="str">
        <f t="shared" ca="1" si="2334"/>
        <v/>
      </c>
      <c r="AK3074" s="714" t="str">
        <f t="shared" si="2335"/>
        <v/>
      </c>
      <c r="AL3074" s="714"/>
      <c r="AM3074" s="114" t="str">
        <f t="shared" si="2336"/>
        <v/>
      </c>
      <c r="AN3074" s="115"/>
      <c r="AO3074" s="116"/>
      <c r="AP3074" s="116"/>
      <c r="AQ3074" s="116"/>
      <c r="AR3074" s="116"/>
      <c r="AS3074" s="116"/>
      <c r="AT3074" s="116"/>
      <c r="AU3074" s="116"/>
      <c r="AV3074" s="78"/>
      <c r="AW3074" s="102"/>
      <c r="AX3074" s="78"/>
      <c r="AY3074" s="78"/>
      <c r="AZ3074" s="78"/>
      <c r="BA3074" s="78"/>
      <c r="BB3074" s="78"/>
      <c r="BC3074" s="78"/>
      <c r="BD3074" s="78"/>
      <c r="BE3074" s="465"/>
      <c r="BF3074" s="165" t="str">
        <f t="shared" si="2337"/>
        <v>https://www.google.com/search?tbm=isch&amp;q=10%20G6</v>
      </c>
      <c r="BG3074" s="165" t="str">
        <f t="shared" si="2338"/>
        <v>N</v>
      </c>
      <c r="BH3074" s="65"/>
      <c r="BI3074" s="65"/>
      <c r="BJ3074" s="65"/>
      <c r="BK3074" s="65"/>
      <c r="BL3074" s="99"/>
      <c r="BM3074" s="99"/>
      <c r="BN3074" s="99"/>
    </row>
    <row r="3075" spans="1:66" s="51" customFormat="1" ht="17.25" thickBot="1" x14ac:dyDescent="0.3">
      <c r="A3075" s="508" t="s">
        <v>3648</v>
      </c>
      <c r="B3075" s="487"/>
      <c r="C3075" s="707"/>
      <c r="D3075" s="487"/>
      <c r="E3075" s="487"/>
      <c r="F3075" s="488"/>
      <c r="G3075" s="489"/>
      <c r="H3075" s="487"/>
      <c r="I3075" s="490"/>
      <c r="J3075" s="490"/>
      <c r="K3075" s="491"/>
      <c r="L3075" s="547"/>
      <c r="M3075" s="528"/>
      <c r="N3075" s="492"/>
      <c r="O3075" s="493"/>
      <c r="P3075" s="494"/>
      <c r="Q3075" s="492"/>
      <c r="R3075" s="492"/>
      <c r="S3075" s="699" t="s">
        <v>5268</v>
      </c>
      <c r="T3075" s="102">
        <f t="shared" si="2326"/>
        <v>0</v>
      </c>
      <c r="U3075" s="78" t="str">
        <f>IF(NOT(ISNUMBER(G3075)), "", VLOOKUP(A3075,'Discount Lookup'!D:E,2,FALSE)*G3075)</f>
        <v/>
      </c>
      <c r="V3075" s="78" t="str">
        <f>IF(NOT(ISNUMBER(G3075)), "", VLOOKUP(A3075,'Discount Lookup'!G:H,2,FALSE)*G3075)</f>
        <v/>
      </c>
      <c r="W3075" s="102">
        <f t="shared" si="2327"/>
        <v>0</v>
      </c>
      <c r="X3075" s="102">
        <f t="shared" si="2328"/>
        <v>0</v>
      </c>
      <c r="Y3075" s="120" t="b">
        <f t="shared" si="2329"/>
        <v>0</v>
      </c>
      <c r="Z3075" s="117">
        <f t="shared" si="2330"/>
        <v>0</v>
      </c>
      <c r="AA3075" s="118"/>
      <c r="AB3075" s="118" t="str">
        <f t="shared" si="2331"/>
        <v/>
      </c>
      <c r="AC3075" s="712" t="str">
        <f>IF(AE3075="T2G","no charge",IF(AND(OR(PlanterYesMe="No",PlanterYesMe="N",PlanterYesMe="me"),H3075=""),"",IF(H3075="credit","NO install",IF(AND(K3075="",AE3075="me"),"EACH row",IF(AND(K3075="images",AE3075="me"),"EACH row",IF(D3075="","",IF(H3075="credit","",IF(AE3075="free","re-planting",IF(AE3075="me","   not ELP, by",IF(AND(OR(PlanterYesMe="Yes",PlanterYesMe="Y"),G3075&gt;0),(VLOOKUP(A3075,'Discount Lookup'!J:K,2)*G3075*(1-PlanterDiscount)*(1+PlanterDifficultyPercentage)),IF(AE3075="ELP",(VLOOKUP(A3075,'Discount Lookup'!J:K,2)*G3075*(1-PlanterDiscount)*(1+PlanterDifficultyPercentage)),IF(AE3075="free","re-planting",IF(G3075=0,"",IF(PlanterYesMe="",IF(AE3075="me","   not ELP, by",IF(AE3075="",IF(G3075&gt;0,(VLOOKUP(A3075,'Discount Lookup'!J:K,2)*G3075*(1-PlanterDiscount)*(1+PlanterDifficultyPercentage)),""),"")),"   not ELP, by"))))))))))))))</f>
        <v/>
      </c>
      <c r="AD3075" s="712"/>
      <c r="AE3075" s="513" t="str">
        <f t="shared" si="2332"/>
        <v/>
      </c>
      <c r="AF3075" s="713" t="str">
        <f t="shared" si="2333"/>
        <v/>
      </c>
      <c r="AG3075" s="713"/>
      <c r="AH3075" s="713"/>
      <c r="AI3075" s="112">
        <f>IF(H3075="credit",0,IF(AE3075="free",0,IF(AE3075="me",0,IF(G3075&gt;0,(VLOOKUP(A3075,'Discount Lookup'!J:K,2)*G3075),0))))</f>
        <v>0</v>
      </c>
      <c r="AJ3075" s="107" t="str">
        <f t="shared" ca="1" si="2334"/>
        <v/>
      </c>
      <c r="AK3075" s="714" t="str">
        <f t="shared" si="2335"/>
        <v/>
      </c>
      <c r="AL3075" s="714"/>
      <c r="AM3075" s="114" t="str">
        <f t="shared" si="2336"/>
        <v/>
      </c>
      <c r="AN3075" s="115"/>
      <c r="AO3075" s="116"/>
      <c r="AP3075" s="116"/>
      <c r="AQ3075" s="116"/>
      <c r="AR3075" s="116"/>
      <c r="AS3075" s="116"/>
      <c r="AT3075" s="116"/>
      <c r="AU3075" s="116"/>
      <c r="AV3075" s="78"/>
      <c r="AW3075" s="102"/>
      <c r="AX3075" s="78"/>
      <c r="AY3075" s="78"/>
      <c r="AZ3075" s="78"/>
      <c r="BA3075" s="78"/>
      <c r="BB3075" s="78"/>
      <c r="BC3075" s="78"/>
      <c r="BD3075" s="78"/>
      <c r="BE3075" s="465"/>
      <c r="BF3075" s="165" t="str">
        <f t="shared" si="2337"/>
        <v>https://www.google.com/search?tbm=isch&amp;q=Yellow-Berried%20has%20White%20spring%20blooms%2C%20Red-Purple%20fall%2Fwinter%20foliage%2C%20and%20distinctive%20Golden%20berries%20in%20winter.%20May%20spread%20</v>
      </c>
      <c r="BG3075" s="165" t="str">
        <f t="shared" si="2338"/>
        <v>Y</v>
      </c>
      <c r="BH3075" s="65"/>
      <c r="BI3075" s="65"/>
      <c r="BJ3075" s="65"/>
      <c r="BK3075" s="65"/>
      <c r="BL3075" s="99"/>
      <c r="BM3075" s="99"/>
      <c r="BN3075" s="99"/>
    </row>
    <row r="3076" spans="1:66" s="51" customFormat="1" ht="18" x14ac:dyDescent="0.25">
      <c r="A3076" s="507" t="s">
        <v>3649</v>
      </c>
      <c r="B3076" s="470"/>
      <c r="C3076" s="706"/>
      <c r="D3076" s="471" t="s">
        <v>3650</v>
      </c>
      <c r="E3076" s="472"/>
      <c r="F3076" s="472"/>
      <c r="G3076" s="472"/>
      <c r="H3076" s="622" t="s">
        <v>1104</v>
      </c>
      <c r="I3076" s="473" t="s">
        <v>1327</v>
      </c>
      <c r="J3076" s="472"/>
      <c r="K3076" s="472"/>
      <c r="L3076" s="561"/>
      <c r="M3076" s="698" t="s">
        <v>5246</v>
      </c>
      <c r="N3076" s="692" t="str">
        <f>IF(AND(ISTEXT($A3076), ISERROR($A3076+0)), HYPERLINK($BF3076, "Images"), "")</f>
        <v>Images</v>
      </c>
      <c r="O3076" s="694" t="s">
        <v>5247</v>
      </c>
      <c r="P3076" s="475"/>
      <c r="Q3076" s="476"/>
      <c r="R3076" s="476"/>
      <c r="S3076" s="477"/>
      <c r="T3076" s="102">
        <f t="shared" si="2326"/>
        <v>0</v>
      </c>
      <c r="U3076" s="78" t="str">
        <f>IF(NOT(ISNUMBER(G3076)), "", VLOOKUP(A3076,'Discount Lookup'!D:E,2,FALSE)*G3076)</f>
        <v/>
      </c>
      <c r="V3076" s="78" t="str">
        <f>IF(NOT(ISNUMBER(G3076)), "", VLOOKUP(A3076,'Discount Lookup'!G:H,2,FALSE)*G3076)</f>
        <v/>
      </c>
      <c r="W3076" s="102">
        <f t="shared" si="2327"/>
        <v>0</v>
      </c>
      <c r="X3076" s="102" t="str">
        <f t="shared" si="2328"/>
        <v>Lime-Green foliage</v>
      </c>
      <c r="Y3076" s="120" t="b">
        <f t="shared" si="2329"/>
        <v>0</v>
      </c>
      <c r="Z3076" s="117">
        <f t="shared" si="2330"/>
        <v>0</v>
      </c>
      <c r="AA3076" s="118"/>
      <c r="AB3076" s="118" t="str">
        <f t="shared" si="2331"/>
        <v/>
      </c>
      <c r="AC3076" s="712" t="str">
        <f>IF(AE3076="T2G","no charge",IF(AND(OR(PlanterYesMe="No",PlanterYesMe="N",PlanterYesMe="me"),H3076=""),"",IF(H3076="credit","NO install",IF(AND(K3076="",AE3076="me"),"EACH row",IF(AND(K3076="images",AE3076="me"),"EACH row",IF(D3076="","",IF(H3076="credit","",IF(AE3076="free","re-planting",IF(AE3076="me","   not ELP, by",IF(AND(OR(PlanterYesMe="Yes",PlanterYesMe="Y"),G3076&gt;0),(VLOOKUP(A3076,'Discount Lookup'!J:K,2)*G3076*(1-PlanterDiscount)*(1+PlanterDifficultyPercentage)),IF(AE3076="ELP",(VLOOKUP(A3076,'Discount Lookup'!J:K,2)*G3076*(1-PlanterDiscount)*(1+PlanterDifficultyPercentage)),IF(AE3076="free","re-planting",IF(G3076=0,"",IF(PlanterYesMe="",IF(AE3076="me","   not ELP, by",IF(AE3076="",IF(G3076&gt;0,(VLOOKUP(A3076,'Discount Lookup'!J:K,2)*G3076*(1-PlanterDiscount)*(1+PlanterDifficultyPercentage)),""),"")),"   not ELP, by"))))))))))))))</f>
        <v/>
      </c>
      <c r="AD3076" s="712"/>
      <c r="AE3076" s="513" t="str">
        <f t="shared" si="2332"/>
        <v/>
      </c>
      <c r="AF3076" s="713" t="str">
        <f t="shared" si="2333"/>
        <v/>
      </c>
      <c r="AG3076" s="713"/>
      <c r="AH3076" s="713"/>
      <c r="AI3076" s="112">
        <f>IF(H3076="credit",0,IF(AE3076="free",0,IF(AE3076="me",0,IF(G3076&gt;0,(VLOOKUP(A3076,'Discount Lookup'!J:K,2)*G3076),0))))</f>
        <v>0</v>
      </c>
      <c r="AJ3076" s="107" t="str">
        <f t="shared" ca="1" si="2334"/>
        <v/>
      </c>
      <c r="AK3076" s="714" t="str">
        <f t="shared" si="2335"/>
        <v/>
      </c>
      <c r="AL3076" s="714"/>
      <c r="AM3076" s="114" t="str">
        <f t="shared" si="2336"/>
        <v/>
      </c>
      <c r="AN3076" s="115"/>
      <c r="AO3076" s="116"/>
      <c r="AP3076" s="116"/>
      <c r="AQ3076" s="116"/>
      <c r="AR3076" s="116"/>
      <c r="AS3076" s="116"/>
      <c r="AT3076" s="116"/>
      <c r="AU3076" s="116"/>
      <c r="AV3076" s="78"/>
      <c r="AW3076" s="102"/>
      <c r="AX3076" s="78"/>
      <c r="AY3076" s="78"/>
      <c r="AZ3076" s="78"/>
      <c r="BA3076" s="78"/>
      <c r="BB3076" s="78"/>
      <c r="BC3076" s="78"/>
      <c r="BD3076" s="78"/>
      <c r="BE3076" s="465"/>
      <c r="BF3076" s="165" t="str">
        <f t="shared" si="2337"/>
        <v>https://www.google.com/search?tbm=isch&amp;q=Nandina%20domestica%20%27Firepower%27%20PP%2320288%20Firepower%20Nandina</v>
      </c>
      <c r="BG3076" s="165" t="str">
        <f t="shared" si="2338"/>
        <v>N</v>
      </c>
      <c r="BH3076" s="65"/>
      <c r="BI3076" s="65"/>
      <c r="BJ3076" s="65"/>
      <c r="BK3076" s="65"/>
      <c r="BL3076" s="99"/>
      <c r="BM3076" s="99"/>
      <c r="BN3076" s="99"/>
    </row>
    <row r="3077" spans="1:66" s="51" customFormat="1" ht="15.75" x14ac:dyDescent="0.25">
      <c r="A3077" s="478">
        <v>1</v>
      </c>
      <c r="B3077" s="479" t="s">
        <v>291</v>
      </c>
      <c r="C3077" s="480"/>
      <c r="D3077" s="481" t="s">
        <v>310</v>
      </c>
      <c r="E3077" s="482">
        <v>7.95</v>
      </c>
      <c r="F3077" s="483" t="s">
        <v>292</v>
      </c>
      <c r="G3077" s="484">
        <v>0</v>
      </c>
      <c r="H3077" s="688" t="str">
        <f>IF(G3077=0,"",IF(F3077="Buy",IF(G3077=1,"plant","plants"),IF(F3077&gt;0.01,"warranty","Error")))</f>
        <v/>
      </c>
      <c r="I3077" s="485">
        <f>IF(H3077="free",0,IF(H3077="credit",((E3077*(F3077))*G3077*-1),IF(F3077="Buy",(E3077*G3077),((E3077*(1-F3077))*G3077))))</f>
        <v>0</v>
      </c>
      <c r="J3077" s="485">
        <f>IF(H3077="warranty",0,(I3077*(_xlfn.SINGLE(SalesTaxPercentage))))</f>
        <v>0</v>
      </c>
      <c r="K3077" s="715">
        <f t="shared" ref="K3077" si="2366">I3077+J3077</f>
        <v>0</v>
      </c>
      <c r="L3077" s="715"/>
      <c r="M3077" s="689" t="str">
        <f ca="1">IF(AND(G3077&gt;0,E3077=0),"WARNING - no PRICE inserted",IF(H3077="free","FREE ~ no charge this plant",IF(H3077="credit",CONCATENATE("-$",ROUND(K3077*(1-_xlfn.SINGLE(T2GDiscount))*-1,2)," CREDIT after discount"),IF(_xlfn.SINGLE(T2GDiscount)=0,"",IF(G3077=0,"",IF(F3077="Buy",CONCATENATE("$",ROUND(K3077*(1-_xlfn.SINGLE(T2GDiscount)),2)," with ",(_xlfn.SINGLE(T2GDiscount)*100),"% discount"),CONCATENATE("$",ROUND(K3077*(1-_xlfn.SINGLE(T2GDiscount)),2)," with ",((_xlfn.SINGLE(T2GDiscount)*100+F3077*100)-(_xlfn.SINGLE(T2GDiscount)*100*F3077)),IF(F3077&gt;0,"% discounts",IF(_xlfn.SINGLE(NoWarrantyDiscount)&gt;0,"% discounts","% discount")))))))))</f>
        <v/>
      </c>
      <c r="N3077" s="690"/>
      <c r="O3077" s="486"/>
      <c r="P3077" s="486"/>
      <c r="Q3077" s="486"/>
      <c r="R3077" s="486"/>
      <c r="S3077" s="486"/>
      <c r="T3077" s="102">
        <f t="shared" si="2326"/>
        <v>0</v>
      </c>
      <c r="U3077" s="78">
        <f>IF(NOT(ISNUMBER(G3077)), "", VLOOKUP(A3077,'Discount Lookup'!D:E,2,FALSE)*G3077)</f>
        <v>0</v>
      </c>
      <c r="V3077" s="78">
        <f>IF(NOT(ISNUMBER(G3077)), "", VLOOKUP(A3077,'Discount Lookup'!G:H,2,FALSE)*G3077)</f>
        <v>0</v>
      </c>
      <c r="W3077" s="102">
        <f t="shared" si="2327"/>
        <v>0</v>
      </c>
      <c r="X3077" s="102">
        <f t="shared" si="2328"/>
        <v>0</v>
      </c>
      <c r="Y3077" s="120" t="b">
        <f t="shared" si="2329"/>
        <v>0</v>
      </c>
      <c r="Z3077" s="117">
        <f t="shared" si="2330"/>
        <v>0</v>
      </c>
      <c r="AA3077" s="118"/>
      <c r="AB3077" s="118" t="str">
        <f t="shared" si="2331"/>
        <v/>
      </c>
      <c r="AC3077" s="712" t="str">
        <f>IF(AE3077="T2G","no charge",IF(AND(OR(PlanterYesMe="No",PlanterYesMe="N",PlanterYesMe="me"),H3077=""),"",IF(H3077="credit","NO install",IF(AND(K3077="",AE3077="me"),"EACH row",IF(AND(K3077="images",AE3077="me"),"EACH row",IF(D3077="","",IF(H3077="credit","",IF(AE3077="free","re-planting",IF(AE3077="me","   not ELP, by",IF(AND(OR(PlanterYesMe="Yes",PlanterYesMe="Y"),G3077&gt;0),(VLOOKUP(A3077,'Discount Lookup'!J:K,2)*G3077*(1-PlanterDiscount)*(1+PlanterDifficultyPercentage)),IF(AE3077="ELP",(VLOOKUP(A3077,'Discount Lookup'!J:K,2)*G3077*(1-PlanterDiscount)*(1+PlanterDifficultyPercentage)),IF(AE3077="free","re-planting",IF(G3077=0,"",IF(PlanterYesMe="",IF(AE3077="me","   not ELP, by",IF(AE3077="",IF(G3077&gt;0,(VLOOKUP(A3077,'Discount Lookup'!J:K,2)*G3077*(1-PlanterDiscount)*(1+PlanterDifficultyPercentage)),""),"")),"   not ELP, by"))))))))))))))</f>
        <v/>
      </c>
      <c r="AD3077" s="712"/>
      <c r="AE3077" s="513" t="str">
        <f t="shared" si="2332"/>
        <v/>
      </c>
      <c r="AF3077" s="713" t="str">
        <f t="shared" si="2333"/>
        <v/>
      </c>
      <c r="AG3077" s="713"/>
      <c r="AH3077" s="713"/>
      <c r="AI3077" s="112">
        <f>IF(H3077="credit",0,IF(AE3077="free",0,IF(AE3077="me",0,IF(G3077&gt;0,(VLOOKUP(A3077,'Discount Lookup'!J:K,2)*G3077),0))))</f>
        <v>0</v>
      </c>
      <c r="AJ3077" s="107" t="str">
        <f t="shared" ca="1" si="2334"/>
        <v/>
      </c>
      <c r="AK3077" s="714" t="str">
        <f t="shared" si="2335"/>
        <v/>
      </c>
      <c r="AL3077" s="714"/>
      <c r="AM3077" s="114" t="str">
        <f t="shared" si="2336"/>
        <v/>
      </c>
      <c r="AN3077" s="115"/>
      <c r="AO3077" s="116"/>
      <c r="AP3077" s="116"/>
      <c r="AQ3077" s="116"/>
      <c r="AR3077" s="116"/>
      <c r="AS3077" s="116"/>
      <c r="AT3077" s="116"/>
      <c r="AU3077" s="116"/>
      <c r="AV3077" s="78"/>
      <c r="AW3077" s="102"/>
      <c r="AX3077" s="78"/>
      <c r="AY3077" s="78"/>
      <c r="AZ3077" s="78"/>
      <c r="BA3077" s="78"/>
      <c r="BB3077" s="78"/>
      <c r="BC3077" s="78"/>
      <c r="BD3077" s="78"/>
      <c r="BE3077" s="465"/>
      <c r="BF3077" s="165" t="str">
        <f t="shared" si="2337"/>
        <v>https://www.google.com/search?tbm=isch&amp;q=1%20G1</v>
      </c>
      <c r="BG3077" s="165" t="str">
        <f t="shared" si="2338"/>
        <v>N</v>
      </c>
      <c r="BH3077" s="65"/>
      <c r="BI3077" s="65"/>
      <c r="BJ3077" s="65"/>
      <c r="BK3077" s="65"/>
      <c r="BL3077" s="99"/>
      <c r="BM3077" s="99"/>
      <c r="BN3077" s="99"/>
    </row>
    <row r="3078" spans="1:66" s="51" customFormat="1" ht="15.75" x14ac:dyDescent="0.25">
      <c r="A3078" s="478">
        <v>3</v>
      </c>
      <c r="B3078" s="479" t="s">
        <v>291</v>
      </c>
      <c r="C3078" s="480" t="s">
        <v>1871</v>
      </c>
      <c r="D3078" s="481" t="s">
        <v>310</v>
      </c>
      <c r="E3078" s="482">
        <v>26.95</v>
      </c>
      <c r="F3078" s="483" t="s">
        <v>292</v>
      </c>
      <c r="G3078" s="484">
        <v>0</v>
      </c>
      <c r="H3078" s="688" t="str">
        <f>IF(G3078=0,"",IF(F3078="Buy",IF(G3078=1,"plant","plants"),IF(F3078&gt;0.01,"warranty","Error")))</f>
        <v/>
      </c>
      <c r="I3078" s="485">
        <f>IF(H3078="free",0,IF(H3078="credit",((E3078*(F3078))*G3078*-1),IF(F3078="Buy",(E3078*G3078),((E3078*(1-F3078))*G3078))))</f>
        <v>0</v>
      </c>
      <c r="J3078" s="485">
        <f>IF(H3078="warranty",0,(I3078*(_xlfn.SINGLE(SalesTaxPercentage))))</f>
        <v>0</v>
      </c>
      <c r="K3078" s="715">
        <f t="shared" ref="K3078" si="2367">I3078+J3078</f>
        <v>0</v>
      </c>
      <c r="L3078" s="715"/>
      <c r="M3078" s="689" t="str">
        <f ca="1">IF(AND(G3078&gt;0,E3078=0),"WARNING - no PRICE inserted",IF(H3078="free","FREE ~ no charge this plant",IF(H3078="credit",CONCATENATE("-$",ROUND(K3078*(1-_xlfn.SINGLE(T2GDiscount))*-1,2)," CREDIT after discount"),IF(_xlfn.SINGLE(T2GDiscount)=0,"",IF(G3078=0,"",IF(F3078="Buy",CONCATENATE("$",ROUND(K3078*(1-_xlfn.SINGLE(T2GDiscount)),2)," with ",(_xlfn.SINGLE(T2GDiscount)*100),"% discount"),CONCATENATE("$",ROUND(K3078*(1-_xlfn.SINGLE(T2GDiscount)),2)," with ",((_xlfn.SINGLE(T2GDiscount)*100+F3078*100)-(_xlfn.SINGLE(T2GDiscount)*100*F3078)),IF(F3078&gt;0,"% discounts",IF(_xlfn.SINGLE(NoWarrantyDiscount)&gt;0,"% discounts","% discount")))))))))</f>
        <v/>
      </c>
      <c r="N3078" s="690"/>
      <c r="O3078" s="486"/>
      <c r="P3078" s="486"/>
      <c r="Q3078" s="486"/>
      <c r="R3078" s="486"/>
      <c r="S3078" s="486"/>
      <c r="T3078" s="102">
        <f t="shared" si="2326"/>
        <v>0</v>
      </c>
      <c r="U3078" s="78">
        <f>IF(NOT(ISNUMBER(G3078)), "", VLOOKUP(A3078,'Discount Lookup'!D:E,2,FALSE)*G3078)</f>
        <v>0</v>
      </c>
      <c r="V3078" s="78">
        <f>IF(NOT(ISNUMBER(G3078)), "", VLOOKUP(A3078,'Discount Lookup'!G:H,2,FALSE)*G3078)</f>
        <v>0</v>
      </c>
      <c r="W3078" s="102">
        <f t="shared" si="2327"/>
        <v>0</v>
      </c>
      <c r="X3078" s="102">
        <f t="shared" si="2328"/>
        <v>0</v>
      </c>
      <c r="Y3078" s="120" t="b">
        <f t="shared" si="2329"/>
        <v>0</v>
      </c>
      <c r="Z3078" s="117">
        <f t="shared" si="2330"/>
        <v>0</v>
      </c>
      <c r="AA3078" s="118"/>
      <c r="AB3078" s="118" t="str">
        <f t="shared" si="2331"/>
        <v/>
      </c>
      <c r="AC3078" s="712" t="str">
        <f>IF(AE3078="T2G","no charge",IF(AND(OR(PlanterYesMe="No",PlanterYesMe="N",PlanterYesMe="me"),H3078=""),"",IF(H3078="credit","NO install",IF(AND(K3078="",AE3078="me"),"EACH row",IF(AND(K3078="images",AE3078="me"),"EACH row",IF(D3078="","",IF(H3078="credit","",IF(AE3078="free","re-planting",IF(AE3078="me","   not ELP, by",IF(AND(OR(PlanterYesMe="Yes",PlanterYesMe="Y"),G3078&gt;0),(VLOOKUP(A3078,'Discount Lookup'!J:K,2)*G3078*(1-PlanterDiscount)*(1+PlanterDifficultyPercentage)),IF(AE3078="ELP",(VLOOKUP(A3078,'Discount Lookup'!J:K,2)*G3078*(1-PlanterDiscount)*(1+PlanterDifficultyPercentage)),IF(AE3078="free","re-planting",IF(G3078=0,"",IF(PlanterYesMe="",IF(AE3078="me","   not ELP, by",IF(AE3078="",IF(G3078&gt;0,(VLOOKUP(A3078,'Discount Lookup'!J:K,2)*G3078*(1-PlanterDiscount)*(1+PlanterDifficultyPercentage)),""),"")),"   not ELP, by"))))))))))))))</f>
        <v/>
      </c>
      <c r="AD3078" s="712"/>
      <c r="AE3078" s="513" t="str">
        <f t="shared" si="2332"/>
        <v/>
      </c>
      <c r="AF3078" s="713" t="str">
        <f t="shared" si="2333"/>
        <v/>
      </c>
      <c r="AG3078" s="713"/>
      <c r="AH3078" s="713"/>
      <c r="AI3078" s="112">
        <f>IF(H3078="credit",0,IF(AE3078="free",0,IF(AE3078="me",0,IF(G3078&gt;0,(VLOOKUP(A3078,'Discount Lookup'!J:K,2)*G3078),0))))</f>
        <v>0</v>
      </c>
      <c r="AJ3078" s="107" t="str">
        <f t="shared" ca="1" si="2334"/>
        <v/>
      </c>
      <c r="AK3078" s="714" t="str">
        <f t="shared" si="2335"/>
        <v/>
      </c>
      <c r="AL3078" s="714"/>
      <c r="AM3078" s="114" t="str">
        <f t="shared" si="2336"/>
        <v/>
      </c>
      <c r="AN3078" s="115"/>
      <c r="AO3078" s="116"/>
      <c r="AP3078" s="116"/>
      <c r="AQ3078" s="116"/>
      <c r="AR3078" s="116"/>
      <c r="AS3078" s="116"/>
      <c r="AT3078" s="116"/>
      <c r="AU3078" s="116"/>
      <c r="AV3078" s="78"/>
      <c r="AW3078" s="102"/>
      <c r="AX3078" s="78"/>
      <c r="AY3078" s="78"/>
      <c r="AZ3078" s="78"/>
      <c r="BA3078" s="78"/>
      <c r="BB3078" s="78"/>
      <c r="BC3078" s="78"/>
      <c r="BD3078" s="78"/>
      <c r="BE3078" s="465"/>
      <c r="BF3078" s="165" t="str">
        <f t="shared" si="2337"/>
        <v>https://www.google.com/search?tbm=isch&amp;q=3%20G1</v>
      </c>
      <c r="BG3078" s="165" t="str">
        <f t="shared" si="2338"/>
        <v>N</v>
      </c>
      <c r="BH3078" s="65"/>
      <c r="BI3078" s="65"/>
      <c r="BJ3078" s="65"/>
      <c r="BK3078" s="65"/>
      <c r="BL3078" s="99"/>
      <c r="BM3078" s="99"/>
      <c r="BN3078" s="99"/>
    </row>
    <row r="3079" spans="1:66" s="51" customFormat="1" ht="15.75" x14ac:dyDescent="0.25">
      <c r="A3079" s="478">
        <v>3</v>
      </c>
      <c r="B3079" s="479" t="s">
        <v>291</v>
      </c>
      <c r="C3079" s="480"/>
      <c r="D3079" s="481" t="s">
        <v>329</v>
      </c>
      <c r="E3079" s="482">
        <v>26.95</v>
      </c>
      <c r="F3079" s="483" t="s">
        <v>292</v>
      </c>
      <c r="G3079" s="484">
        <v>0</v>
      </c>
      <c r="H3079" s="688" t="str">
        <f>IF(G3079=0,"",IF(F3079="Buy",IF(G3079=1,"plant","plants"),IF(F3079&gt;0.01,"warranty","Error")))</f>
        <v/>
      </c>
      <c r="I3079" s="485">
        <f>IF(H3079="free",0,IF(H3079="credit",((E3079*(F3079))*G3079*-1),IF(F3079="Buy",(E3079*G3079),((E3079*(1-F3079))*G3079))))</f>
        <v>0</v>
      </c>
      <c r="J3079" s="485">
        <f>IF(H3079="warranty",0,(I3079*(_xlfn.SINGLE(SalesTaxPercentage))))</f>
        <v>0</v>
      </c>
      <c r="K3079" s="715">
        <f t="shared" ref="K3079" si="2368">I3079+J3079</f>
        <v>0</v>
      </c>
      <c r="L3079" s="715"/>
      <c r="M3079" s="689" t="str">
        <f ca="1">IF(AND(G3079&gt;0,E3079=0),"WARNING - no PRICE inserted",IF(H3079="free","FREE ~ no charge this plant",IF(H3079="credit",CONCATENATE("-$",ROUND(K3079*(1-_xlfn.SINGLE(T2GDiscount))*-1,2)," CREDIT after discount"),IF(_xlfn.SINGLE(T2GDiscount)=0,"",IF(G3079=0,"",IF(F3079="Buy",CONCATENATE("$",ROUND(K3079*(1-_xlfn.SINGLE(T2GDiscount)),2)," with ",(_xlfn.SINGLE(T2GDiscount)*100),"% discount"),CONCATENATE("$",ROUND(K3079*(1-_xlfn.SINGLE(T2GDiscount)),2)," with ",((_xlfn.SINGLE(T2GDiscount)*100+F3079*100)-(_xlfn.SINGLE(T2GDiscount)*100*F3079)),IF(F3079&gt;0,"% discounts",IF(_xlfn.SINGLE(NoWarrantyDiscount)&gt;0,"% discounts","% discount")))))))))</f>
        <v/>
      </c>
      <c r="N3079" s="690"/>
      <c r="O3079" s="486"/>
      <c r="P3079" s="486"/>
      <c r="Q3079" s="486"/>
      <c r="R3079" s="486"/>
      <c r="S3079" s="486"/>
      <c r="T3079" s="102">
        <f t="shared" si="2326"/>
        <v>0</v>
      </c>
      <c r="U3079" s="78">
        <f>IF(NOT(ISNUMBER(G3079)), "", VLOOKUP(A3079,'Discount Lookup'!D:E,2,FALSE)*G3079)</f>
        <v>0</v>
      </c>
      <c r="V3079" s="78">
        <f>IF(NOT(ISNUMBER(G3079)), "", VLOOKUP(A3079,'Discount Lookup'!G:H,2,FALSE)*G3079)</f>
        <v>0</v>
      </c>
      <c r="W3079" s="102">
        <f t="shared" si="2327"/>
        <v>0</v>
      </c>
      <c r="X3079" s="102">
        <f t="shared" si="2328"/>
        <v>0</v>
      </c>
      <c r="Y3079" s="120" t="b">
        <f t="shared" si="2329"/>
        <v>0</v>
      </c>
      <c r="Z3079" s="117">
        <f t="shared" si="2330"/>
        <v>0</v>
      </c>
      <c r="AA3079" s="118"/>
      <c r="AB3079" s="118" t="str">
        <f t="shared" si="2331"/>
        <v/>
      </c>
      <c r="AC3079" s="712" t="str">
        <f>IF(AE3079="T2G","no charge",IF(AND(OR(PlanterYesMe="No",PlanterYesMe="N",PlanterYesMe="me"),H3079=""),"",IF(H3079="credit","NO install",IF(AND(K3079="",AE3079="me"),"EACH row",IF(AND(K3079="images",AE3079="me"),"EACH row",IF(D3079="","",IF(H3079="credit","",IF(AE3079="free","re-planting",IF(AE3079="me","   not ELP, by",IF(AND(OR(PlanterYesMe="Yes",PlanterYesMe="Y"),G3079&gt;0),(VLOOKUP(A3079,'Discount Lookup'!J:K,2)*G3079*(1-PlanterDiscount)*(1+PlanterDifficultyPercentage)),IF(AE3079="ELP",(VLOOKUP(A3079,'Discount Lookup'!J:K,2)*G3079*(1-PlanterDiscount)*(1+PlanterDifficultyPercentage)),IF(AE3079="free","re-planting",IF(G3079=0,"",IF(PlanterYesMe="",IF(AE3079="me","   not ELP, by",IF(AE3079="",IF(G3079&gt;0,(VLOOKUP(A3079,'Discount Lookup'!J:K,2)*G3079*(1-PlanterDiscount)*(1+PlanterDifficultyPercentage)),""),"")),"   not ELP, by"))))))))))))))</f>
        <v/>
      </c>
      <c r="AD3079" s="712"/>
      <c r="AE3079" s="513" t="str">
        <f t="shared" si="2332"/>
        <v/>
      </c>
      <c r="AF3079" s="713" t="str">
        <f t="shared" si="2333"/>
        <v/>
      </c>
      <c r="AG3079" s="713"/>
      <c r="AH3079" s="713"/>
      <c r="AI3079" s="112">
        <f>IF(H3079="credit",0,IF(AE3079="free",0,IF(AE3079="me",0,IF(G3079&gt;0,(VLOOKUP(A3079,'Discount Lookup'!J:K,2)*G3079),0))))</f>
        <v>0</v>
      </c>
      <c r="AJ3079" s="107" t="str">
        <f t="shared" ca="1" si="2334"/>
        <v/>
      </c>
      <c r="AK3079" s="714" t="str">
        <f t="shared" si="2335"/>
        <v/>
      </c>
      <c r="AL3079" s="714"/>
      <c r="AM3079" s="114" t="str">
        <f t="shared" si="2336"/>
        <v/>
      </c>
      <c r="AN3079" s="115"/>
      <c r="AO3079" s="116"/>
      <c r="AP3079" s="116"/>
      <c r="AQ3079" s="116"/>
      <c r="AR3079" s="116"/>
      <c r="AS3079" s="116"/>
      <c r="AT3079" s="116"/>
      <c r="AU3079" s="116"/>
      <c r="AV3079" s="78"/>
      <c r="AW3079" s="102"/>
      <c r="AX3079" s="78"/>
      <c r="AY3079" s="78"/>
      <c r="AZ3079" s="78"/>
      <c r="BA3079" s="78"/>
      <c r="BB3079" s="78"/>
      <c r="BC3079" s="78"/>
      <c r="BD3079" s="78"/>
      <c r="BE3079" s="465"/>
      <c r="BF3079" s="165" t="str">
        <f t="shared" si="2337"/>
        <v>https://www.google.com/search?tbm=isch&amp;q=3%20G2</v>
      </c>
      <c r="BG3079" s="165" t="str">
        <f t="shared" si="2338"/>
        <v>N</v>
      </c>
      <c r="BH3079" s="65"/>
      <c r="BI3079" s="65"/>
      <c r="BJ3079" s="65"/>
      <c r="BK3079" s="65"/>
      <c r="BL3079" s="99"/>
      <c r="BM3079" s="99"/>
      <c r="BN3079" s="99"/>
    </row>
    <row r="3080" spans="1:66" s="51" customFormat="1" ht="15.75" x14ac:dyDescent="0.25">
      <c r="A3080" s="478">
        <v>3</v>
      </c>
      <c r="B3080" s="479" t="s">
        <v>291</v>
      </c>
      <c r="C3080" s="480" t="s">
        <v>3651</v>
      </c>
      <c r="D3080" s="481" t="s">
        <v>311</v>
      </c>
      <c r="E3080" s="482">
        <v>31.95</v>
      </c>
      <c r="F3080" s="483" t="s">
        <v>292</v>
      </c>
      <c r="G3080" s="484">
        <v>0</v>
      </c>
      <c r="H3080" s="688" t="str">
        <f>IF(G3080=0,"",IF(F3080="Buy",IF(G3080=1,"plant","plants"),IF(F3080&gt;0.01,"warranty","Error")))</f>
        <v/>
      </c>
      <c r="I3080" s="485">
        <f>IF(H3080="free",0,IF(H3080="credit",((E3080*(F3080))*G3080*-1),IF(F3080="Buy",(E3080*G3080),((E3080*(1-F3080))*G3080))))</f>
        <v>0</v>
      </c>
      <c r="J3080" s="485">
        <f>IF(H3080="warranty",0,(I3080*(_xlfn.SINGLE(SalesTaxPercentage))))</f>
        <v>0</v>
      </c>
      <c r="K3080" s="715">
        <f t="shared" ref="K3080" si="2369">I3080+J3080</f>
        <v>0</v>
      </c>
      <c r="L3080" s="715"/>
      <c r="M3080" s="689" t="str">
        <f ca="1">IF(AND(G3080&gt;0,E3080=0),"WARNING - no PRICE inserted",IF(H3080="free","FREE ~ no charge this plant",IF(H3080="credit",CONCATENATE("-$",ROUND(K3080*(1-_xlfn.SINGLE(T2GDiscount))*-1,2)," CREDIT after discount"),IF(_xlfn.SINGLE(T2GDiscount)=0,"",IF(G3080=0,"",IF(F3080="Buy",CONCATENATE("$",ROUND(K3080*(1-_xlfn.SINGLE(T2GDiscount)),2)," with ",(_xlfn.SINGLE(T2GDiscount)*100),"% discount"),CONCATENATE("$",ROUND(K3080*(1-_xlfn.SINGLE(T2GDiscount)),2)," with ",((_xlfn.SINGLE(T2GDiscount)*100+F3080*100)-(_xlfn.SINGLE(T2GDiscount)*100*F3080)),IF(F3080&gt;0,"% discounts",IF(_xlfn.SINGLE(NoWarrantyDiscount)&gt;0,"% discounts","% discount")))))))))</f>
        <v/>
      </c>
      <c r="N3080" s="690"/>
      <c r="O3080" s="486"/>
      <c r="P3080" s="486"/>
      <c r="Q3080" s="486"/>
      <c r="R3080" s="486"/>
      <c r="S3080" s="486"/>
      <c r="T3080" s="102">
        <f t="shared" si="2326"/>
        <v>0</v>
      </c>
      <c r="U3080" s="78">
        <f>IF(NOT(ISNUMBER(G3080)), "", VLOOKUP(A3080,'Discount Lookup'!D:E,2,FALSE)*G3080)</f>
        <v>0</v>
      </c>
      <c r="V3080" s="78">
        <f>IF(NOT(ISNUMBER(G3080)), "", VLOOKUP(A3080,'Discount Lookup'!G:H,2,FALSE)*G3080)</f>
        <v>0</v>
      </c>
      <c r="W3080" s="102">
        <f t="shared" si="2327"/>
        <v>0</v>
      </c>
      <c r="X3080" s="102">
        <f t="shared" si="2328"/>
        <v>0</v>
      </c>
      <c r="Y3080" s="120" t="b">
        <f t="shared" si="2329"/>
        <v>0</v>
      </c>
      <c r="Z3080" s="117">
        <f t="shared" si="2330"/>
        <v>0</v>
      </c>
      <c r="AA3080" s="118"/>
      <c r="AB3080" s="118" t="str">
        <f t="shared" si="2331"/>
        <v/>
      </c>
      <c r="AC3080" s="712" t="str">
        <f>IF(AE3080="T2G","no charge",IF(AND(OR(PlanterYesMe="No",PlanterYesMe="N",PlanterYesMe="me"),H3080=""),"",IF(H3080="credit","NO install",IF(AND(K3080="",AE3080="me"),"EACH row",IF(AND(K3080="images",AE3080="me"),"EACH row",IF(D3080="","",IF(H3080="credit","",IF(AE3080="free","re-planting",IF(AE3080="me","   not ELP, by",IF(AND(OR(PlanterYesMe="Yes",PlanterYesMe="Y"),G3080&gt;0),(VLOOKUP(A3080,'Discount Lookup'!J:K,2)*G3080*(1-PlanterDiscount)*(1+PlanterDifficultyPercentage)),IF(AE3080="ELP",(VLOOKUP(A3080,'Discount Lookup'!J:K,2)*G3080*(1-PlanterDiscount)*(1+PlanterDifficultyPercentage)),IF(AE3080="free","re-planting",IF(G3080=0,"",IF(PlanterYesMe="",IF(AE3080="me","   not ELP, by",IF(AE3080="",IF(G3080&gt;0,(VLOOKUP(A3080,'Discount Lookup'!J:K,2)*G3080*(1-PlanterDiscount)*(1+PlanterDifficultyPercentage)),""),"")),"   not ELP, by"))))))))))))))</f>
        <v/>
      </c>
      <c r="AD3080" s="712"/>
      <c r="AE3080" s="513" t="str">
        <f t="shared" si="2332"/>
        <v/>
      </c>
      <c r="AF3080" s="713" t="str">
        <f t="shared" si="2333"/>
        <v/>
      </c>
      <c r="AG3080" s="713"/>
      <c r="AH3080" s="713"/>
      <c r="AI3080" s="112">
        <f>IF(H3080="credit",0,IF(AE3080="free",0,IF(AE3080="me",0,IF(G3080&gt;0,(VLOOKUP(A3080,'Discount Lookup'!J:K,2)*G3080),0))))</f>
        <v>0</v>
      </c>
      <c r="AJ3080" s="107" t="str">
        <f t="shared" ca="1" si="2334"/>
        <v/>
      </c>
      <c r="AK3080" s="714" t="str">
        <f t="shared" si="2335"/>
        <v/>
      </c>
      <c r="AL3080" s="714"/>
      <c r="AM3080" s="114" t="str">
        <f t="shared" si="2336"/>
        <v/>
      </c>
      <c r="AN3080" s="115"/>
      <c r="AO3080" s="116"/>
      <c r="AP3080" s="116"/>
      <c r="AQ3080" s="116"/>
      <c r="AR3080" s="116"/>
      <c r="AS3080" s="116"/>
      <c r="AT3080" s="116"/>
      <c r="AU3080" s="116"/>
      <c r="AV3080" s="78"/>
      <c r="AW3080" s="102"/>
      <c r="AX3080" s="78"/>
      <c r="AY3080" s="78"/>
      <c r="AZ3080" s="78"/>
      <c r="BA3080" s="78"/>
      <c r="BB3080" s="78"/>
      <c r="BC3080" s="78"/>
      <c r="BD3080" s="78"/>
      <c r="BE3080" s="465"/>
      <c r="BF3080" s="165" t="str">
        <f t="shared" si="2337"/>
        <v>https://www.google.com/search?tbm=isch&amp;q=3%20G5</v>
      </c>
      <c r="BG3080" s="165" t="str">
        <f t="shared" si="2338"/>
        <v>N</v>
      </c>
      <c r="BH3080" s="65"/>
      <c r="BI3080" s="65"/>
      <c r="BJ3080" s="65"/>
      <c r="BK3080" s="65"/>
      <c r="BL3080" s="99"/>
      <c r="BM3080" s="99"/>
      <c r="BN3080" s="99"/>
    </row>
    <row r="3081" spans="1:66" s="51" customFormat="1" ht="15.75" x14ac:dyDescent="0.25">
      <c r="A3081" s="478">
        <v>3</v>
      </c>
      <c r="B3081" s="479" t="s">
        <v>291</v>
      </c>
      <c r="C3081" s="480" t="s">
        <v>3652</v>
      </c>
      <c r="D3081" s="481" t="s">
        <v>293</v>
      </c>
      <c r="E3081" s="482">
        <v>46.95</v>
      </c>
      <c r="F3081" s="483" t="s">
        <v>292</v>
      </c>
      <c r="G3081" s="484">
        <v>0</v>
      </c>
      <c r="H3081" s="688" t="str">
        <f>IF(G3081=0,"",IF(F3081="Buy",IF(G3081=1,"plant","plants"),IF(F3081&gt;0.01,"warranty","Error")))</f>
        <v/>
      </c>
      <c r="I3081" s="485">
        <f>IF(H3081="free",0,IF(H3081="credit",((E3081*(F3081))*G3081*-1),IF(F3081="Buy",(E3081*G3081),((E3081*(1-F3081))*G3081))))</f>
        <v>0</v>
      </c>
      <c r="J3081" s="485">
        <f>IF(H3081="warranty",0,(I3081*(_xlfn.SINGLE(SalesTaxPercentage))))</f>
        <v>0</v>
      </c>
      <c r="K3081" s="715">
        <f t="shared" ref="K3081" si="2370">I3081+J3081</f>
        <v>0</v>
      </c>
      <c r="L3081" s="715"/>
      <c r="M3081" s="689" t="str">
        <f ca="1">IF(AND(G3081&gt;0,E3081=0),"WARNING - no PRICE inserted",IF(H3081="free","FREE ~ no charge this plant",IF(H3081="credit",CONCATENATE("-$",ROUND(K3081*(1-_xlfn.SINGLE(T2GDiscount))*-1,2)," CREDIT after discount"),IF(_xlfn.SINGLE(T2GDiscount)=0,"",IF(G3081=0,"",IF(F3081="Buy",CONCATENATE("$",ROUND(K3081*(1-_xlfn.SINGLE(T2GDiscount)),2)," with ",(_xlfn.SINGLE(T2GDiscount)*100),"% discount"),CONCATENATE("$",ROUND(K3081*(1-_xlfn.SINGLE(T2GDiscount)),2)," with ",((_xlfn.SINGLE(T2GDiscount)*100+F3081*100)-(_xlfn.SINGLE(T2GDiscount)*100*F3081)),IF(F3081&gt;0,"% discounts",IF(_xlfn.SINGLE(NoWarrantyDiscount)&gt;0,"% discounts","% discount")))))))))</f>
        <v/>
      </c>
      <c r="N3081" s="690"/>
      <c r="O3081" s="486"/>
      <c r="P3081" s="486"/>
      <c r="Q3081" s="486"/>
      <c r="R3081" s="486"/>
      <c r="S3081" s="486"/>
      <c r="T3081" s="102">
        <f t="shared" si="2326"/>
        <v>0</v>
      </c>
      <c r="U3081" s="78">
        <f>IF(NOT(ISNUMBER(G3081)), "", VLOOKUP(A3081,'Discount Lookup'!D:E,2,FALSE)*G3081)</f>
        <v>0</v>
      </c>
      <c r="V3081" s="78">
        <f>IF(NOT(ISNUMBER(G3081)), "", VLOOKUP(A3081,'Discount Lookup'!G:H,2,FALSE)*G3081)</f>
        <v>0</v>
      </c>
      <c r="W3081" s="102">
        <f t="shared" si="2327"/>
        <v>0</v>
      </c>
      <c r="X3081" s="102">
        <f t="shared" si="2328"/>
        <v>0</v>
      </c>
      <c r="Y3081" s="120" t="b">
        <f t="shared" si="2329"/>
        <v>0</v>
      </c>
      <c r="Z3081" s="117">
        <f t="shared" si="2330"/>
        <v>0</v>
      </c>
      <c r="AA3081" s="118"/>
      <c r="AB3081" s="118" t="str">
        <f t="shared" si="2331"/>
        <v/>
      </c>
      <c r="AC3081" s="712" t="str">
        <f>IF(AE3081="T2G","no charge",IF(AND(OR(PlanterYesMe="No",PlanterYesMe="N",PlanterYesMe="me"),H3081=""),"",IF(H3081="credit","NO install",IF(AND(K3081="",AE3081="me"),"EACH row",IF(AND(K3081="images",AE3081="me"),"EACH row",IF(D3081="","",IF(H3081="credit","",IF(AE3081="free","re-planting",IF(AE3081="me","   not ELP, by",IF(AND(OR(PlanterYesMe="Yes",PlanterYesMe="Y"),G3081&gt;0),(VLOOKUP(A3081,'Discount Lookup'!J:K,2)*G3081*(1-PlanterDiscount)*(1+PlanterDifficultyPercentage)),IF(AE3081="ELP",(VLOOKUP(A3081,'Discount Lookup'!J:K,2)*G3081*(1-PlanterDiscount)*(1+PlanterDifficultyPercentage)),IF(AE3081="free","re-planting",IF(G3081=0,"",IF(PlanterYesMe="",IF(AE3081="me","   not ELP, by",IF(AE3081="",IF(G3081&gt;0,(VLOOKUP(A3081,'Discount Lookup'!J:K,2)*G3081*(1-PlanterDiscount)*(1+PlanterDifficultyPercentage)),""),"")),"   not ELP, by"))))))))))))))</f>
        <v/>
      </c>
      <c r="AD3081" s="712"/>
      <c r="AE3081" s="513" t="str">
        <f t="shared" si="2332"/>
        <v/>
      </c>
      <c r="AF3081" s="713" t="str">
        <f t="shared" si="2333"/>
        <v/>
      </c>
      <c r="AG3081" s="713"/>
      <c r="AH3081" s="713"/>
      <c r="AI3081" s="112">
        <f>IF(H3081="credit",0,IF(AE3081="free",0,IF(AE3081="me",0,IF(G3081&gt;0,(VLOOKUP(A3081,'Discount Lookup'!J:K,2)*G3081),0))))</f>
        <v>0</v>
      </c>
      <c r="AJ3081" s="107" t="str">
        <f t="shared" ca="1" si="2334"/>
        <v/>
      </c>
      <c r="AK3081" s="714" t="str">
        <f t="shared" si="2335"/>
        <v/>
      </c>
      <c r="AL3081" s="714"/>
      <c r="AM3081" s="114" t="str">
        <f t="shared" si="2336"/>
        <v/>
      </c>
      <c r="AN3081" s="115"/>
      <c r="AO3081" s="116"/>
      <c r="AP3081" s="116"/>
      <c r="AQ3081" s="116"/>
      <c r="AR3081" s="116"/>
      <c r="AS3081" s="116"/>
      <c r="AT3081" s="116"/>
      <c r="AU3081" s="116"/>
      <c r="AV3081" s="78"/>
      <c r="AW3081" s="102"/>
      <c r="AX3081" s="78"/>
      <c r="AY3081" s="78"/>
      <c r="AZ3081" s="78"/>
      <c r="BA3081" s="78"/>
      <c r="BB3081" s="78"/>
      <c r="BC3081" s="78"/>
      <c r="BD3081" s="78"/>
      <c r="BE3081" s="465"/>
      <c r="BF3081" s="165" t="str">
        <f t="shared" si="2337"/>
        <v>https://www.google.com/search?tbm=isch&amp;q=3%20G6</v>
      </c>
      <c r="BG3081" s="165" t="str">
        <f t="shared" si="2338"/>
        <v>N</v>
      </c>
      <c r="BH3081" s="65"/>
      <c r="BI3081" s="65"/>
      <c r="BJ3081" s="65"/>
      <c r="BK3081" s="65"/>
      <c r="BL3081" s="99"/>
      <c r="BM3081" s="99"/>
      <c r="BN3081" s="99"/>
    </row>
    <row r="3082" spans="1:66" s="51" customFormat="1" ht="16.5" thickBot="1" x14ac:dyDescent="0.3">
      <c r="A3082" s="508" t="s">
        <v>3653</v>
      </c>
      <c r="B3082" s="487"/>
      <c r="C3082" s="707"/>
      <c r="D3082" s="487"/>
      <c r="E3082" s="487"/>
      <c r="F3082" s="488"/>
      <c r="G3082" s="489"/>
      <c r="H3082" s="487"/>
      <c r="I3082" s="490"/>
      <c r="J3082" s="490"/>
      <c r="K3082" s="491"/>
      <c r="L3082" s="547"/>
      <c r="M3082" s="528"/>
      <c r="N3082" s="492"/>
      <c r="O3082" s="493"/>
      <c r="P3082" s="494"/>
      <c r="Q3082" s="492"/>
      <c r="R3082" s="492"/>
      <c r="S3082" s="495"/>
      <c r="T3082" s="102">
        <f t="shared" si="2326"/>
        <v>0</v>
      </c>
      <c r="U3082" s="78" t="str">
        <f>IF(NOT(ISNUMBER(G3082)), "", VLOOKUP(A3082,'Discount Lookup'!D:E,2,FALSE)*G3082)</f>
        <v/>
      </c>
      <c r="V3082" s="78" t="str">
        <f>IF(NOT(ISNUMBER(G3082)), "", VLOOKUP(A3082,'Discount Lookup'!G:H,2,FALSE)*G3082)</f>
        <v/>
      </c>
      <c r="W3082" s="102">
        <f t="shared" si="2327"/>
        <v>0</v>
      </c>
      <c r="X3082" s="102">
        <f t="shared" si="2328"/>
        <v>0</v>
      </c>
      <c r="Y3082" s="120" t="b">
        <f t="shared" si="2329"/>
        <v>0</v>
      </c>
      <c r="Z3082" s="117">
        <f t="shared" si="2330"/>
        <v>0</v>
      </c>
      <c r="AA3082" s="118"/>
      <c r="AB3082" s="118" t="str">
        <f t="shared" si="2331"/>
        <v/>
      </c>
      <c r="AC3082" s="712" t="str">
        <f>IF(AE3082="T2G","no charge",IF(AND(OR(PlanterYesMe="No",PlanterYesMe="N",PlanterYesMe="me"),H3082=""),"",IF(H3082="credit","NO install",IF(AND(K3082="",AE3082="me"),"EACH row",IF(AND(K3082="images",AE3082="me"),"EACH row",IF(D3082="","",IF(H3082="credit","",IF(AE3082="free","re-planting",IF(AE3082="me","   not ELP, by",IF(AND(OR(PlanterYesMe="Yes",PlanterYesMe="Y"),G3082&gt;0),(VLOOKUP(A3082,'Discount Lookup'!J:K,2)*G3082*(1-PlanterDiscount)*(1+PlanterDifficultyPercentage)),IF(AE3082="ELP",(VLOOKUP(A3082,'Discount Lookup'!J:K,2)*G3082*(1-PlanterDiscount)*(1+PlanterDifficultyPercentage)),IF(AE3082="free","re-planting",IF(G3082=0,"",IF(PlanterYesMe="",IF(AE3082="me","   not ELP, by",IF(AE3082="",IF(G3082&gt;0,(VLOOKUP(A3082,'Discount Lookup'!J:K,2)*G3082*(1-PlanterDiscount)*(1+PlanterDifficultyPercentage)),""),"")),"   not ELP, by"))))))))))))))</f>
        <v/>
      </c>
      <c r="AD3082" s="712"/>
      <c r="AE3082" s="513" t="str">
        <f t="shared" si="2332"/>
        <v/>
      </c>
      <c r="AF3082" s="713" t="str">
        <f t="shared" si="2333"/>
        <v/>
      </c>
      <c r="AG3082" s="713"/>
      <c r="AH3082" s="713"/>
      <c r="AI3082" s="112">
        <f>IF(H3082="credit",0,IF(AE3082="free",0,IF(AE3082="me",0,IF(G3082&gt;0,(VLOOKUP(A3082,'Discount Lookup'!J:K,2)*G3082),0))))</f>
        <v>0</v>
      </c>
      <c r="AJ3082" s="107" t="str">
        <f t="shared" ca="1" si="2334"/>
        <v/>
      </c>
      <c r="AK3082" s="714" t="str">
        <f t="shared" si="2335"/>
        <v/>
      </c>
      <c r="AL3082" s="714"/>
      <c r="AM3082" s="114" t="str">
        <f t="shared" si="2336"/>
        <v/>
      </c>
      <c r="AN3082" s="115"/>
      <c r="AO3082" s="116"/>
      <c r="AP3082" s="116"/>
      <c r="AQ3082" s="116"/>
      <c r="AR3082" s="116"/>
      <c r="AS3082" s="116"/>
      <c r="AT3082" s="116"/>
      <c r="AU3082" s="116"/>
      <c r="AV3082" s="78"/>
      <c r="AW3082" s="102"/>
      <c r="AX3082" s="78"/>
      <c r="AY3082" s="78"/>
      <c r="AZ3082" s="78"/>
      <c r="BA3082" s="78"/>
      <c r="BB3082" s="78"/>
      <c r="BC3082" s="78"/>
      <c r="BD3082" s="78"/>
      <c r="BE3082" s="465"/>
      <c r="BF3082" s="165" t="str">
        <f t="shared" si="2337"/>
        <v>https://www.google.com/search?tbm=isch&amp;q=Firepower%20named%20for%20it%27s%20brilliant%20Red%20fall%2Fwinter%20foliage.%20Red-tinged%20summer%20foliage.%20Sterile%2C%20so%20no%20spreading%20issues%20</v>
      </c>
      <c r="BG3082" s="165" t="str">
        <f t="shared" si="2338"/>
        <v>F</v>
      </c>
      <c r="BH3082" s="65"/>
      <c r="BI3082" s="65"/>
      <c r="BJ3082" s="65"/>
      <c r="BK3082" s="65"/>
      <c r="BL3082" s="99"/>
      <c r="BM3082" s="99"/>
      <c r="BN3082" s="99"/>
    </row>
    <row r="3083" spans="1:66" s="51" customFormat="1" ht="18" x14ac:dyDescent="0.25">
      <c r="A3083" s="507" t="s">
        <v>3654</v>
      </c>
      <c r="B3083" s="470"/>
      <c r="C3083" s="706"/>
      <c r="D3083" s="471" t="s">
        <v>3655</v>
      </c>
      <c r="E3083" s="472"/>
      <c r="F3083" s="472"/>
      <c r="G3083" s="472"/>
      <c r="H3083" s="622" t="s">
        <v>1124</v>
      </c>
      <c r="I3083" s="473" t="s">
        <v>3646</v>
      </c>
      <c r="J3083" s="472"/>
      <c r="K3083" s="472"/>
      <c r="L3083" s="561"/>
      <c r="M3083" s="698" t="s">
        <v>5246</v>
      </c>
      <c r="N3083" s="692" t="str">
        <f>IF(AND(ISTEXT($A3083), ISERROR($A3083+0)), HYPERLINK($BF3083, "Images"), "")</f>
        <v>Images</v>
      </c>
      <c r="O3083" s="694" t="s">
        <v>5247</v>
      </c>
      <c r="P3083" s="475"/>
      <c r="Q3083" s="476"/>
      <c r="R3083" s="476"/>
      <c r="S3083" s="477"/>
      <c r="T3083" s="102">
        <f t="shared" si="2326"/>
        <v>0</v>
      </c>
      <c r="U3083" s="78" t="str">
        <f>IF(NOT(ISNUMBER(G3083)), "", VLOOKUP(A3083,'Discount Lookup'!D:E,2,FALSE)*G3083)</f>
        <v/>
      </c>
      <c r="V3083" s="78" t="str">
        <f>IF(NOT(ISNUMBER(G3083)), "", VLOOKUP(A3083,'Discount Lookup'!G:H,2,FALSE)*G3083)</f>
        <v/>
      </c>
      <c r="W3083" s="102">
        <f t="shared" si="2327"/>
        <v>0</v>
      </c>
      <c r="X3083" s="102" t="str">
        <f t="shared" si="2328"/>
        <v>Bluish-Green foliage</v>
      </c>
      <c r="Y3083" s="120" t="b">
        <f t="shared" si="2329"/>
        <v>0</v>
      </c>
      <c r="Z3083" s="117">
        <f t="shared" si="2330"/>
        <v>0</v>
      </c>
      <c r="AA3083" s="118"/>
      <c r="AB3083" s="118" t="str">
        <f t="shared" si="2331"/>
        <v/>
      </c>
      <c r="AC3083" s="712" t="str">
        <f>IF(AE3083="T2G","no charge",IF(AND(OR(PlanterYesMe="No",PlanterYesMe="N",PlanterYesMe="me"),H3083=""),"",IF(H3083="credit","NO install",IF(AND(K3083="",AE3083="me"),"EACH row",IF(AND(K3083="images",AE3083="me"),"EACH row",IF(D3083="","",IF(H3083="credit","",IF(AE3083="free","re-planting",IF(AE3083="me","   not ELP, by",IF(AND(OR(PlanterYesMe="Yes",PlanterYesMe="Y"),G3083&gt;0),(VLOOKUP(A3083,'Discount Lookup'!J:K,2)*G3083*(1-PlanterDiscount)*(1+PlanterDifficultyPercentage)),IF(AE3083="ELP",(VLOOKUP(A3083,'Discount Lookup'!J:K,2)*G3083*(1-PlanterDiscount)*(1+PlanterDifficultyPercentage)),IF(AE3083="free","re-planting",IF(G3083=0,"",IF(PlanterYesMe="",IF(AE3083="me","   not ELP, by",IF(AE3083="",IF(G3083&gt;0,(VLOOKUP(A3083,'Discount Lookup'!J:K,2)*G3083*(1-PlanterDiscount)*(1+PlanterDifficultyPercentage)),""),"")),"   not ELP, by"))))))))))))))</f>
        <v/>
      </c>
      <c r="AD3083" s="712"/>
      <c r="AE3083" s="513" t="str">
        <f t="shared" si="2332"/>
        <v/>
      </c>
      <c r="AF3083" s="713" t="str">
        <f t="shared" si="2333"/>
        <v/>
      </c>
      <c r="AG3083" s="713"/>
      <c r="AH3083" s="713"/>
      <c r="AI3083" s="112">
        <f>IF(H3083="credit",0,IF(AE3083="free",0,IF(AE3083="me",0,IF(G3083&gt;0,(VLOOKUP(A3083,'Discount Lookup'!J:K,2)*G3083),0))))</f>
        <v>0</v>
      </c>
      <c r="AJ3083" s="107" t="str">
        <f t="shared" ca="1" si="2334"/>
        <v/>
      </c>
      <c r="AK3083" s="714" t="str">
        <f t="shared" si="2335"/>
        <v/>
      </c>
      <c r="AL3083" s="714"/>
      <c r="AM3083" s="114" t="str">
        <f t="shared" si="2336"/>
        <v/>
      </c>
      <c r="AN3083" s="115"/>
      <c r="AO3083" s="116"/>
      <c r="AP3083" s="116"/>
      <c r="AQ3083" s="116"/>
      <c r="AR3083" s="116"/>
      <c r="AS3083" s="116"/>
      <c r="AT3083" s="116"/>
      <c r="AU3083" s="116"/>
      <c r="AV3083" s="78"/>
      <c r="AW3083" s="102"/>
      <c r="AX3083" s="78"/>
      <c r="AY3083" s="78"/>
      <c r="AZ3083" s="78"/>
      <c r="BA3083" s="78"/>
      <c r="BB3083" s="78"/>
      <c r="BC3083" s="78"/>
      <c r="BD3083" s="78"/>
      <c r="BE3083" s="465"/>
      <c r="BF3083" s="165" t="str">
        <f t="shared" si="2337"/>
        <v>https://www.google.com/search?tbm=isch&amp;q=Nandina%20domestica%20%27Gulf%20Stream%27%20PP%235656Exp.%20Gulf%20Stream%20Nandina</v>
      </c>
      <c r="BG3083" s="165" t="str">
        <f t="shared" si="2338"/>
        <v>N</v>
      </c>
      <c r="BH3083" s="65"/>
      <c r="BI3083" s="65"/>
      <c r="BJ3083" s="65"/>
      <c r="BK3083" s="65"/>
      <c r="BL3083" s="99"/>
      <c r="BM3083" s="99"/>
      <c r="BN3083" s="99"/>
    </row>
    <row r="3084" spans="1:66" s="51" customFormat="1" ht="15.75" x14ac:dyDescent="0.25">
      <c r="A3084" s="478">
        <v>2</v>
      </c>
      <c r="B3084" s="479" t="s">
        <v>291</v>
      </c>
      <c r="C3084" s="480" t="s">
        <v>3656</v>
      </c>
      <c r="D3084" s="481" t="s">
        <v>309</v>
      </c>
      <c r="E3084" s="482">
        <v>19.95</v>
      </c>
      <c r="F3084" s="483" t="s">
        <v>292</v>
      </c>
      <c r="G3084" s="484">
        <v>0</v>
      </c>
      <c r="H3084" s="688" t="str">
        <f>IF(G3084=0,"",IF(F3084="Buy",IF(G3084=1,"plant","plants"),IF(F3084&gt;0.01,"warranty","Error")))</f>
        <v/>
      </c>
      <c r="I3084" s="485">
        <f>IF(H3084="free",0,IF(H3084="credit",((E3084*(F3084))*G3084*-1),IF(F3084="Buy",(E3084*G3084),((E3084*(1-F3084))*G3084))))</f>
        <v>0</v>
      </c>
      <c r="J3084" s="485">
        <f>IF(H3084="warranty",0,(I3084*(_xlfn.SINGLE(SalesTaxPercentage))))</f>
        <v>0</v>
      </c>
      <c r="K3084" s="715">
        <f t="shared" ref="K3084" si="2371">I3084+J3084</f>
        <v>0</v>
      </c>
      <c r="L3084" s="715"/>
      <c r="M3084" s="689" t="str">
        <f ca="1">IF(AND(G3084&gt;0,E3084=0),"WARNING - no PRICE inserted",IF(H3084="free","FREE ~ no charge this plant",IF(H3084="credit",CONCATENATE("-$",ROUND(K3084*(1-_xlfn.SINGLE(T2GDiscount))*-1,2)," CREDIT after discount"),IF(_xlfn.SINGLE(T2GDiscount)=0,"",IF(G3084=0,"",IF(F3084="Buy",CONCATENATE("$",ROUND(K3084*(1-_xlfn.SINGLE(T2GDiscount)),2)," with ",(_xlfn.SINGLE(T2GDiscount)*100),"% discount"),CONCATENATE("$",ROUND(K3084*(1-_xlfn.SINGLE(T2GDiscount)),2)," with ",((_xlfn.SINGLE(T2GDiscount)*100+F3084*100)-(_xlfn.SINGLE(T2GDiscount)*100*F3084)),IF(F3084&gt;0,"% discounts",IF(_xlfn.SINGLE(NoWarrantyDiscount)&gt;0,"% discounts","% discount")))))))))</f>
        <v/>
      </c>
      <c r="N3084" s="690"/>
      <c r="O3084" s="486"/>
      <c r="P3084" s="486"/>
      <c r="Q3084" s="486"/>
      <c r="R3084" s="486"/>
      <c r="S3084" s="486"/>
      <c r="T3084" s="102">
        <f t="shared" si="2326"/>
        <v>0</v>
      </c>
      <c r="U3084" s="78">
        <f>IF(NOT(ISNUMBER(G3084)), "", VLOOKUP(A3084,'Discount Lookup'!D:E,2,FALSE)*G3084)</f>
        <v>0</v>
      </c>
      <c r="V3084" s="78">
        <f>IF(NOT(ISNUMBER(G3084)), "", VLOOKUP(A3084,'Discount Lookup'!G:H,2,FALSE)*G3084)</f>
        <v>0</v>
      </c>
      <c r="W3084" s="102">
        <f t="shared" si="2327"/>
        <v>0</v>
      </c>
      <c r="X3084" s="102">
        <f t="shared" si="2328"/>
        <v>0</v>
      </c>
      <c r="Y3084" s="120" t="b">
        <f t="shared" si="2329"/>
        <v>0</v>
      </c>
      <c r="Z3084" s="117">
        <f t="shared" si="2330"/>
        <v>0</v>
      </c>
      <c r="AA3084" s="118"/>
      <c r="AB3084" s="118" t="str">
        <f t="shared" si="2331"/>
        <v/>
      </c>
      <c r="AC3084" s="712" t="str">
        <f>IF(AE3084="T2G","no charge",IF(AND(OR(PlanterYesMe="No",PlanterYesMe="N",PlanterYesMe="me"),H3084=""),"",IF(H3084="credit","NO install",IF(AND(K3084="",AE3084="me"),"EACH row",IF(AND(K3084="images",AE3084="me"),"EACH row",IF(D3084="","",IF(H3084="credit","",IF(AE3084="free","re-planting",IF(AE3084="me","   not ELP, by",IF(AND(OR(PlanterYesMe="Yes",PlanterYesMe="Y"),G3084&gt;0),(VLOOKUP(A3084,'Discount Lookup'!J:K,2)*G3084*(1-PlanterDiscount)*(1+PlanterDifficultyPercentage)),IF(AE3084="ELP",(VLOOKUP(A3084,'Discount Lookup'!J:K,2)*G3084*(1-PlanterDiscount)*(1+PlanterDifficultyPercentage)),IF(AE3084="free","re-planting",IF(G3084=0,"",IF(PlanterYesMe="",IF(AE3084="me","   not ELP, by",IF(AE3084="",IF(G3084&gt;0,(VLOOKUP(A3084,'Discount Lookup'!J:K,2)*G3084*(1-PlanterDiscount)*(1+PlanterDifficultyPercentage)),""),"")),"   not ELP, by"))))))))))))))</f>
        <v/>
      </c>
      <c r="AD3084" s="712"/>
      <c r="AE3084" s="513" t="str">
        <f t="shared" si="2332"/>
        <v/>
      </c>
      <c r="AF3084" s="713" t="str">
        <f t="shared" si="2333"/>
        <v/>
      </c>
      <c r="AG3084" s="713"/>
      <c r="AH3084" s="713"/>
      <c r="AI3084" s="112">
        <f>IF(H3084="credit",0,IF(AE3084="free",0,IF(AE3084="me",0,IF(G3084&gt;0,(VLOOKUP(A3084,'Discount Lookup'!J:K,2)*G3084),0))))</f>
        <v>0</v>
      </c>
      <c r="AJ3084" s="107" t="str">
        <f t="shared" ca="1" si="2334"/>
        <v/>
      </c>
      <c r="AK3084" s="714" t="str">
        <f t="shared" si="2335"/>
        <v/>
      </c>
      <c r="AL3084" s="714"/>
      <c r="AM3084" s="114" t="str">
        <f t="shared" si="2336"/>
        <v/>
      </c>
      <c r="AN3084" s="115"/>
      <c r="AO3084" s="116"/>
      <c r="AP3084" s="116"/>
      <c r="AQ3084" s="116"/>
      <c r="AR3084" s="116"/>
      <c r="AS3084" s="116"/>
      <c r="AT3084" s="116"/>
      <c r="AU3084" s="116"/>
      <c r="AV3084" s="78"/>
      <c r="AW3084" s="102"/>
      <c r="AX3084" s="78"/>
      <c r="AY3084" s="78"/>
      <c r="AZ3084" s="78"/>
      <c r="BA3084" s="78"/>
      <c r="BB3084" s="78"/>
      <c r="BC3084" s="78"/>
      <c r="BD3084" s="78"/>
      <c r="BE3084" s="465"/>
      <c r="BF3084" s="165" t="str">
        <f t="shared" si="2337"/>
        <v>https://www.google.com/search?tbm=isch&amp;q=2%20G3</v>
      </c>
      <c r="BG3084" s="165" t="str">
        <f t="shared" si="2338"/>
        <v>N</v>
      </c>
      <c r="BH3084" s="65"/>
      <c r="BI3084" s="65"/>
      <c r="BJ3084" s="65"/>
      <c r="BK3084" s="65"/>
      <c r="BL3084" s="99"/>
      <c r="BM3084" s="99"/>
      <c r="BN3084" s="99"/>
    </row>
    <row r="3085" spans="1:66" s="51" customFormat="1" ht="15.75" x14ac:dyDescent="0.25">
      <c r="A3085" s="478">
        <v>3</v>
      </c>
      <c r="B3085" s="479" t="s">
        <v>291</v>
      </c>
      <c r="C3085" s="480" t="s">
        <v>345</v>
      </c>
      <c r="D3085" s="481" t="s">
        <v>310</v>
      </c>
      <c r="E3085" s="482">
        <v>26.95</v>
      </c>
      <c r="F3085" s="483" t="s">
        <v>292</v>
      </c>
      <c r="G3085" s="484">
        <v>0</v>
      </c>
      <c r="H3085" s="688" t="str">
        <f>IF(G3085=0,"",IF(F3085="Buy",IF(G3085=1,"plant","plants"),IF(F3085&gt;0.01,"warranty","Error")))</f>
        <v/>
      </c>
      <c r="I3085" s="485">
        <f>IF(H3085="free",0,IF(H3085="credit",((E3085*(F3085))*G3085*-1),IF(F3085="Buy",(E3085*G3085),((E3085*(1-F3085))*G3085))))</f>
        <v>0</v>
      </c>
      <c r="J3085" s="485">
        <f>IF(H3085="warranty",0,(I3085*(_xlfn.SINGLE(SalesTaxPercentage))))</f>
        <v>0</v>
      </c>
      <c r="K3085" s="715">
        <f t="shared" ref="K3085" si="2372">I3085+J3085</f>
        <v>0</v>
      </c>
      <c r="L3085" s="715"/>
      <c r="M3085" s="689" t="str">
        <f ca="1">IF(AND(G3085&gt;0,E3085=0),"WARNING - no PRICE inserted",IF(H3085="free","FREE ~ no charge this plant",IF(H3085="credit",CONCATENATE("-$",ROUND(K3085*(1-_xlfn.SINGLE(T2GDiscount))*-1,2)," CREDIT after discount"),IF(_xlfn.SINGLE(T2GDiscount)=0,"",IF(G3085=0,"",IF(F3085="Buy",CONCATENATE("$",ROUND(K3085*(1-_xlfn.SINGLE(T2GDiscount)),2)," with ",(_xlfn.SINGLE(T2GDiscount)*100),"% discount"),CONCATENATE("$",ROUND(K3085*(1-_xlfn.SINGLE(T2GDiscount)),2)," with ",((_xlfn.SINGLE(T2GDiscount)*100+F3085*100)-(_xlfn.SINGLE(T2GDiscount)*100*F3085)),IF(F3085&gt;0,"% discounts",IF(_xlfn.SINGLE(NoWarrantyDiscount)&gt;0,"% discounts","% discount")))))))))</f>
        <v/>
      </c>
      <c r="N3085" s="690"/>
      <c r="O3085" s="486"/>
      <c r="P3085" s="486"/>
      <c r="Q3085" s="486"/>
      <c r="R3085" s="486"/>
      <c r="S3085" s="486"/>
      <c r="T3085" s="102">
        <f t="shared" si="2326"/>
        <v>0</v>
      </c>
      <c r="U3085" s="78">
        <f>IF(NOT(ISNUMBER(G3085)), "", VLOOKUP(A3085,'Discount Lookup'!D:E,2,FALSE)*G3085)</f>
        <v>0</v>
      </c>
      <c r="V3085" s="78">
        <f>IF(NOT(ISNUMBER(G3085)), "", VLOOKUP(A3085,'Discount Lookup'!G:H,2,FALSE)*G3085)</f>
        <v>0</v>
      </c>
      <c r="W3085" s="102">
        <f t="shared" si="2327"/>
        <v>0</v>
      </c>
      <c r="X3085" s="102">
        <f t="shared" si="2328"/>
        <v>0</v>
      </c>
      <c r="Y3085" s="120" t="b">
        <f t="shared" si="2329"/>
        <v>0</v>
      </c>
      <c r="Z3085" s="117">
        <f t="shared" si="2330"/>
        <v>0</v>
      </c>
      <c r="AA3085" s="118"/>
      <c r="AB3085" s="118" t="str">
        <f t="shared" si="2331"/>
        <v/>
      </c>
      <c r="AC3085" s="712" t="str">
        <f>IF(AE3085="T2G","no charge",IF(AND(OR(PlanterYesMe="No",PlanterYesMe="N",PlanterYesMe="me"),H3085=""),"",IF(H3085="credit","NO install",IF(AND(K3085="",AE3085="me"),"EACH row",IF(AND(K3085="images",AE3085="me"),"EACH row",IF(D3085="","",IF(H3085="credit","",IF(AE3085="free","re-planting",IF(AE3085="me","   not ELP, by",IF(AND(OR(PlanterYesMe="Yes",PlanterYesMe="Y"),G3085&gt;0),(VLOOKUP(A3085,'Discount Lookup'!J:K,2)*G3085*(1-PlanterDiscount)*(1+PlanterDifficultyPercentage)),IF(AE3085="ELP",(VLOOKUP(A3085,'Discount Lookup'!J:K,2)*G3085*(1-PlanterDiscount)*(1+PlanterDifficultyPercentage)),IF(AE3085="free","re-planting",IF(G3085=0,"",IF(PlanterYesMe="",IF(AE3085="me","   not ELP, by",IF(AE3085="",IF(G3085&gt;0,(VLOOKUP(A3085,'Discount Lookup'!J:K,2)*G3085*(1-PlanterDiscount)*(1+PlanterDifficultyPercentage)),""),"")),"   not ELP, by"))))))))))))))</f>
        <v/>
      </c>
      <c r="AD3085" s="712"/>
      <c r="AE3085" s="513" t="str">
        <f t="shared" si="2332"/>
        <v/>
      </c>
      <c r="AF3085" s="713" t="str">
        <f t="shared" si="2333"/>
        <v/>
      </c>
      <c r="AG3085" s="713"/>
      <c r="AH3085" s="713"/>
      <c r="AI3085" s="112">
        <f>IF(H3085="credit",0,IF(AE3085="free",0,IF(AE3085="me",0,IF(G3085&gt;0,(VLOOKUP(A3085,'Discount Lookup'!J:K,2)*G3085),0))))</f>
        <v>0</v>
      </c>
      <c r="AJ3085" s="107" t="str">
        <f t="shared" ca="1" si="2334"/>
        <v/>
      </c>
      <c r="AK3085" s="714" t="str">
        <f t="shared" si="2335"/>
        <v/>
      </c>
      <c r="AL3085" s="714"/>
      <c r="AM3085" s="114" t="str">
        <f t="shared" si="2336"/>
        <v/>
      </c>
      <c r="AN3085" s="115"/>
      <c r="AO3085" s="116"/>
      <c r="AP3085" s="116"/>
      <c r="AQ3085" s="116"/>
      <c r="AR3085" s="116"/>
      <c r="AS3085" s="116"/>
      <c r="AT3085" s="116"/>
      <c r="AU3085" s="116"/>
      <c r="AV3085" s="78"/>
      <c r="AW3085" s="102"/>
      <c r="AX3085" s="78"/>
      <c r="AY3085" s="78"/>
      <c r="AZ3085" s="78"/>
      <c r="BA3085" s="78"/>
      <c r="BB3085" s="78"/>
      <c r="BC3085" s="78"/>
      <c r="BD3085" s="78"/>
      <c r="BE3085" s="465"/>
      <c r="BF3085" s="165" t="str">
        <f t="shared" si="2337"/>
        <v>https://www.google.com/search?tbm=isch&amp;q=3%20G1</v>
      </c>
      <c r="BG3085" s="165" t="str">
        <f t="shared" si="2338"/>
        <v>N</v>
      </c>
      <c r="BH3085" s="65"/>
      <c r="BI3085" s="65"/>
      <c r="BJ3085" s="65"/>
      <c r="BK3085" s="65"/>
      <c r="BL3085" s="99"/>
      <c r="BM3085" s="99"/>
      <c r="BN3085" s="99"/>
    </row>
    <row r="3086" spans="1:66" s="51" customFormat="1" ht="15.75" x14ac:dyDescent="0.25">
      <c r="A3086" s="478">
        <v>3</v>
      </c>
      <c r="B3086" s="479" t="s">
        <v>291</v>
      </c>
      <c r="C3086" s="480"/>
      <c r="D3086" s="481" t="s">
        <v>329</v>
      </c>
      <c r="E3086" s="482">
        <v>28.95</v>
      </c>
      <c r="F3086" s="483" t="s">
        <v>292</v>
      </c>
      <c r="G3086" s="484">
        <v>0</v>
      </c>
      <c r="H3086" s="688" t="str">
        <f>IF(G3086=0,"",IF(F3086="Buy",IF(G3086=1,"plant","plants"),IF(F3086&gt;0.01,"warranty","Error")))</f>
        <v/>
      </c>
      <c r="I3086" s="485">
        <f>IF(H3086="free",0,IF(H3086="credit",((E3086*(F3086))*G3086*-1),IF(F3086="Buy",(E3086*G3086),((E3086*(1-F3086))*G3086))))</f>
        <v>0</v>
      </c>
      <c r="J3086" s="485">
        <f>IF(H3086="warranty",0,(I3086*(_xlfn.SINGLE(SalesTaxPercentage))))</f>
        <v>0</v>
      </c>
      <c r="K3086" s="715">
        <f t="shared" ref="K3086" si="2373">I3086+J3086</f>
        <v>0</v>
      </c>
      <c r="L3086" s="715"/>
      <c r="M3086" s="689" t="str">
        <f ca="1">IF(AND(G3086&gt;0,E3086=0),"WARNING - no PRICE inserted",IF(H3086="free","FREE ~ no charge this plant",IF(H3086="credit",CONCATENATE("-$",ROUND(K3086*(1-_xlfn.SINGLE(T2GDiscount))*-1,2)," CREDIT after discount"),IF(_xlfn.SINGLE(T2GDiscount)=0,"",IF(G3086=0,"",IF(F3086="Buy",CONCATENATE("$",ROUND(K3086*(1-_xlfn.SINGLE(T2GDiscount)),2)," with ",(_xlfn.SINGLE(T2GDiscount)*100),"% discount"),CONCATENATE("$",ROUND(K3086*(1-_xlfn.SINGLE(T2GDiscount)),2)," with ",((_xlfn.SINGLE(T2GDiscount)*100+F3086*100)-(_xlfn.SINGLE(T2GDiscount)*100*F3086)),IF(F3086&gt;0,"% discounts",IF(_xlfn.SINGLE(NoWarrantyDiscount)&gt;0,"% discounts","% discount")))))))))</f>
        <v/>
      </c>
      <c r="N3086" s="690"/>
      <c r="O3086" s="486"/>
      <c r="P3086" s="486"/>
      <c r="Q3086" s="486"/>
      <c r="R3086" s="486"/>
      <c r="S3086" s="486"/>
      <c r="T3086" s="102">
        <f t="shared" si="2326"/>
        <v>0</v>
      </c>
      <c r="U3086" s="78">
        <f>IF(NOT(ISNUMBER(G3086)), "", VLOOKUP(A3086,'Discount Lookup'!D:E,2,FALSE)*G3086)</f>
        <v>0</v>
      </c>
      <c r="V3086" s="78">
        <f>IF(NOT(ISNUMBER(G3086)), "", VLOOKUP(A3086,'Discount Lookup'!G:H,2,FALSE)*G3086)</f>
        <v>0</v>
      </c>
      <c r="W3086" s="102">
        <f t="shared" si="2327"/>
        <v>0</v>
      </c>
      <c r="X3086" s="102">
        <f t="shared" si="2328"/>
        <v>0</v>
      </c>
      <c r="Y3086" s="120" t="b">
        <f t="shared" si="2329"/>
        <v>0</v>
      </c>
      <c r="Z3086" s="117">
        <f t="shared" si="2330"/>
        <v>0</v>
      </c>
      <c r="AA3086" s="118"/>
      <c r="AB3086" s="118" t="str">
        <f t="shared" si="2331"/>
        <v/>
      </c>
      <c r="AC3086" s="712" t="str">
        <f>IF(AE3086="T2G","no charge",IF(AND(OR(PlanterYesMe="No",PlanterYesMe="N",PlanterYesMe="me"),H3086=""),"",IF(H3086="credit","NO install",IF(AND(K3086="",AE3086="me"),"EACH row",IF(AND(K3086="images",AE3086="me"),"EACH row",IF(D3086="","",IF(H3086="credit","",IF(AE3086="free","re-planting",IF(AE3086="me","   not ELP, by",IF(AND(OR(PlanterYesMe="Yes",PlanterYesMe="Y"),G3086&gt;0),(VLOOKUP(A3086,'Discount Lookup'!J:K,2)*G3086*(1-PlanterDiscount)*(1+PlanterDifficultyPercentage)),IF(AE3086="ELP",(VLOOKUP(A3086,'Discount Lookup'!J:K,2)*G3086*(1-PlanterDiscount)*(1+PlanterDifficultyPercentage)),IF(AE3086="free","re-planting",IF(G3086=0,"",IF(PlanterYesMe="",IF(AE3086="me","   not ELP, by",IF(AE3086="",IF(G3086&gt;0,(VLOOKUP(A3086,'Discount Lookup'!J:K,2)*G3086*(1-PlanterDiscount)*(1+PlanterDifficultyPercentage)),""),"")),"   not ELP, by"))))))))))))))</f>
        <v/>
      </c>
      <c r="AD3086" s="712"/>
      <c r="AE3086" s="513" t="str">
        <f t="shared" si="2332"/>
        <v/>
      </c>
      <c r="AF3086" s="713" t="str">
        <f t="shared" si="2333"/>
        <v/>
      </c>
      <c r="AG3086" s="713"/>
      <c r="AH3086" s="713"/>
      <c r="AI3086" s="112">
        <f>IF(H3086="credit",0,IF(AE3086="free",0,IF(AE3086="me",0,IF(G3086&gt;0,(VLOOKUP(A3086,'Discount Lookup'!J:K,2)*G3086),0))))</f>
        <v>0</v>
      </c>
      <c r="AJ3086" s="107" t="str">
        <f t="shared" ca="1" si="2334"/>
        <v/>
      </c>
      <c r="AK3086" s="714" t="str">
        <f t="shared" si="2335"/>
        <v/>
      </c>
      <c r="AL3086" s="714"/>
      <c r="AM3086" s="114" t="str">
        <f t="shared" si="2336"/>
        <v/>
      </c>
      <c r="AN3086" s="115"/>
      <c r="AO3086" s="116"/>
      <c r="AP3086" s="116"/>
      <c r="AQ3086" s="116"/>
      <c r="AR3086" s="116"/>
      <c r="AS3086" s="116"/>
      <c r="AT3086" s="116"/>
      <c r="AU3086" s="116"/>
      <c r="AV3086" s="78"/>
      <c r="AW3086" s="102"/>
      <c r="AX3086" s="78"/>
      <c r="AY3086" s="78"/>
      <c r="AZ3086" s="78"/>
      <c r="BA3086" s="78"/>
      <c r="BB3086" s="78"/>
      <c r="BC3086" s="78"/>
      <c r="BD3086" s="78"/>
      <c r="BE3086" s="465"/>
      <c r="BF3086" s="165" t="str">
        <f t="shared" si="2337"/>
        <v>https://www.google.com/search?tbm=isch&amp;q=3%20G2</v>
      </c>
      <c r="BG3086" s="165" t="str">
        <f t="shared" si="2338"/>
        <v>N</v>
      </c>
      <c r="BH3086" s="65"/>
      <c r="BI3086" s="65"/>
      <c r="BJ3086" s="65"/>
      <c r="BK3086" s="65"/>
      <c r="BL3086" s="99"/>
      <c r="BM3086" s="99"/>
      <c r="BN3086" s="99"/>
    </row>
    <row r="3087" spans="1:66" s="51" customFormat="1" ht="15.75" x14ac:dyDescent="0.25">
      <c r="A3087" s="478">
        <v>3</v>
      </c>
      <c r="B3087" s="479" t="s">
        <v>291</v>
      </c>
      <c r="C3087" s="480" t="s">
        <v>3657</v>
      </c>
      <c r="D3087" s="481" t="s">
        <v>311</v>
      </c>
      <c r="E3087" s="482">
        <v>33.950000000000003</v>
      </c>
      <c r="F3087" s="483" t="s">
        <v>292</v>
      </c>
      <c r="G3087" s="484">
        <v>0</v>
      </c>
      <c r="H3087" s="688" t="str">
        <f>IF(G3087=0,"",IF(F3087="Buy",IF(G3087=1,"plant","plants"),IF(F3087&gt;0.01,"warranty","Error")))</f>
        <v/>
      </c>
      <c r="I3087" s="485">
        <f>IF(H3087="free",0,IF(H3087="credit",((E3087*(F3087))*G3087*-1),IF(F3087="Buy",(E3087*G3087),((E3087*(1-F3087))*G3087))))</f>
        <v>0</v>
      </c>
      <c r="J3087" s="485">
        <f>IF(H3087="warranty",0,(I3087*(_xlfn.SINGLE(SalesTaxPercentage))))</f>
        <v>0</v>
      </c>
      <c r="K3087" s="715">
        <f t="shared" ref="K3087" si="2374">I3087+J3087</f>
        <v>0</v>
      </c>
      <c r="L3087" s="715"/>
      <c r="M3087" s="689" t="str">
        <f ca="1">IF(AND(G3087&gt;0,E3087=0),"WARNING - no PRICE inserted",IF(H3087="free","FREE ~ no charge this plant",IF(H3087="credit",CONCATENATE("-$",ROUND(K3087*(1-_xlfn.SINGLE(T2GDiscount))*-1,2)," CREDIT after discount"),IF(_xlfn.SINGLE(T2GDiscount)=0,"",IF(G3087=0,"",IF(F3087="Buy",CONCATENATE("$",ROUND(K3087*(1-_xlfn.SINGLE(T2GDiscount)),2)," with ",(_xlfn.SINGLE(T2GDiscount)*100),"% discount"),CONCATENATE("$",ROUND(K3087*(1-_xlfn.SINGLE(T2GDiscount)),2)," with ",((_xlfn.SINGLE(T2GDiscount)*100+F3087*100)-(_xlfn.SINGLE(T2GDiscount)*100*F3087)),IF(F3087&gt;0,"% discounts",IF(_xlfn.SINGLE(NoWarrantyDiscount)&gt;0,"% discounts","% discount")))))))))</f>
        <v/>
      </c>
      <c r="N3087" s="690"/>
      <c r="O3087" s="486"/>
      <c r="P3087" s="486"/>
      <c r="Q3087" s="486"/>
      <c r="R3087" s="486"/>
      <c r="S3087" s="486"/>
      <c r="T3087" s="102">
        <f t="shared" si="2326"/>
        <v>0</v>
      </c>
      <c r="U3087" s="78">
        <f>IF(NOT(ISNUMBER(G3087)), "", VLOOKUP(A3087,'Discount Lookup'!D:E,2,FALSE)*G3087)</f>
        <v>0</v>
      </c>
      <c r="V3087" s="78">
        <f>IF(NOT(ISNUMBER(G3087)), "", VLOOKUP(A3087,'Discount Lookup'!G:H,2,FALSE)*G3087)</f>
        <v>0</v>
      </c>
      <c r="W3087" s="102">
        <f t="shared" si="2327"/>
        <v>0</v>
      </c>
      <c r="X3087" s="102">
        <f t="shared" si="2328"/>
        <v>0</v>
      </c>
      <c r="Y3087" s="120" t="b">
        <f t="shared" si="2329"/>
        <v>0</v>
      </c>
      <c r="Z3087" s="117">
        <f t="shared" si="2330"/>
        <v>0</v>
      </c>
      <c r="AA3087" s="118"/>
      <c r="AB3087" s="118" t="str">
        <f t="shared" si="2331"/>
        <v/>
      </c>
      <c r="AC3087" s="712" t="str">
        <f>IF(AE3087="T2G","no charge",IF(AND(OR(PlanterYesMe="No",PlanterYesMe="N",PlanterYesMe="me"),H3087=""),"",IF(H3087="credit","NO install",IF(AND(K3087="",AE3087="me"),"EACH row",IF(AND(K3087="images",AE3087="me"),"EACH row",IF(D3087="","",IF(H3087="credit","",IF(AE3087="free","re-planting",IF(AE3087="me","   not ELP, by",IF(AND(OR(PlanterYesMe="Yes",PlanterYesMe="Y"),G3087&gt;0),(VLOOKUP(A3087,'Discount Lookup'!J:K,2)*G3087*(1-PlanterDiscount)*(1+PlanterDifficultyPercentage)),IF(AE3087="ELP",(VLOOKUP(A3087,'Discount Lookup'!J:K,2)*G3087*(1-PlanterDiscount)*(1+PlanterDifficultyPercentage)),IF(AE3087="free","re-planting",IF(G3087=0,"",IF(PlanterYesMe="",IF(AE3087="me","   not ELP, by",IF(AE3087="",IF(G3087&gt;0,(VLOOKUP(A3087,'Discount Lookup'!J:K,2)*G3087*(1-PlanterDiscount)*(1+PlanterDifficultyPercentage)),""),"")),"   not ELP, by"))))))))))))))</f>
        <v/>
      </c>
      <c r="AD3087" s="712"/>
      <c r="AE3087" s="513" t="str">
        <f t="shared" si="2332"/>
        <v/>
      </c>
      <c r="AF3087" s="713" t="str">
        <f t="shared" si="2333"/>
        <v/>
      </c>
      <c r="AG3087" s="713"/>
      <c r="AH3087" s="713"/>
      <c r="AI3087" s="112">
        <f>IF(H3087="credit",0,IF(AE3087="free",0,IF(AE3087="me",0,IF(G3087&gt;0,(VLOOKUP(A3087,'Discount Lookup'!J:K,2)*G3087),0))))</f>
        <v>0</v>
      </c>
      <c r="AJ3087" s="107" t="str">
        <f t="shared" ca="1" si="2334"/>
        <v/>
      </c>
      <c r="AK3087" s="714" t="str">
        <f t="shared" si="2335"/>
        <v/>
      </c>
      <c r="AL3087" s="714"/>
      <c r="AM3087" s="114" t="str">
        <f t="shared" si="2336"/>
        <v/>
      </c>
      <c r="AN3087" s="115"/>
      <c r="AO3087" s="116"/>
      <c r="AP3087" s="116"/>
      <c r="AQ3087" s="116"/>
      <c r="AR3087" s="116"/>
      <c r="AS3087" s="116"/>
      <c r="AT3087" s="116"/>
      <c r="AU3087" s="116"/>
      <c r="AV3087" s="78"/>
      <c r="AW3087" s="102"/>
      <c r="AX3087" s="78"/>
      <c r="AY3087" s="78"/>
      <c r="AZ3087" s="78"/>
      <c r="BA3087" s="78"/>
      <c r="BB3087" s="78"/>
      <c r="BC3087" s="78"/>
      <c r="BD3087" s="78"/>
      <c r="BE3087" s="465"/>
      <c r="BF3087" s="165" t="str">
        <f t="shared" si="2337"/>
        <v>https://www.google.com/search?tbm=isch&amp;q=3%20G5</v>
      </c>
      <c r="BG3087" s="165" t="str">
        <f t="shared" si="2338"/>
        <v>N</v>
      </c>
      <c r="BH3087" s="65"/>
      <c r="BI3087" s="65"/>
      <c r="BJ3087" s="65"/>
      <c r="BK3087" s="65"/>
      <c r="BL3087" s="99"/>
      <c r="BM3087" s="99"/>
      <c r="BN3087" s="99"/>
    </row>
    <row r="3088" spans="1:66" s="51" customFormat="1" ht="16.5" thickBot="1" x14ac:dyDescent="0.3">
      <c r="A3088" s="508" t="s">
        <v>3658</v>
      </c>
      <c r="B3088" s="487"/>
      <c r="C3088" s="707"/>
      <c r="D3088" s="487"/>
      <c r="E3088" s="487"/>
      <c r="F3088" s="488"/>
      <c r="G3088" s="489"/>
      <c r="H3088" s="487"/>
      <c r="I3088" s="490"/>
      <c r="J3088" s="490"/>
      <c r="K3088" s="491"/>
      <c r="L3088" s="547"/>
      <c r="M3088" s="528"/>
      <c r="N3088" s="492"/>
      <c r="O3088" s="493"/>
      <c r="P3088" s="494"/>
      <c r="Q3088" s="492"/>
      <c r="R3088" s="492"/>
      <c r="S3088" s="495"/>
      <c r="T3088" s="102">
        <f t="shared" si="2326"/>
        <v>0</v>
      </c>
      <c r="U3088" s="78" t="str">
        <f>IF(NOT(ISNUMBER(G3088)), "", VLOOKUP(A3088,'Discount Lookup'!D:E,2,FALSE)*G3088)</f>
        <v/>
      </c>
      <c r="V3088" s="78" t="str">
        <f>IF(NOT(ISNUMBER(G3088)), "", VLOOKUP(A3088,'Discount Lookup'!G:H,2,FALSE)*G3088)</f>
        <v/>
      </c>
      <c r="W3088" s="102">
        <f t="shared" si="2327"/>
        <v>0</v>
      </c>
      <c r="X3088" s="102">
        <f t="shared" si="2328"/>
        <v>0</v>
      </c>
      <c r="Y3088" s="120" t="b">
        <f t="shared" si="2329"/>
        <v>0</v>
      </c>
      <c r="Z3088" s="117">
        <f t="shared" si="2330"/>
        <v>0</v>
      </c>
      <c r="AA3088" s="118"/>
      <c r="AB3088" s="118" t="str">
        <f t="shared" si="2331"/>
        <v/>
      </c>
      <c r="AC3088" s="712" t="str">
        <f>IF(AE3088="T2G","no charge",IF(AND(OR(PlanterYesMe="No",PlanterYesMe="N",PlanterYesMe="me"),H3088=""),"",IF(H3088="credit","NO install",IF(AND(K3088="",AE3088="me"),"EACH row",IF(AND(K3088="images",AE3088="me"),"EACH row",IF(D3088="","",IF(H3088="credit","",IF(AE3088="free","re-planting",IF(AE3088="me","   not ELP, by",IF(AND(OR(PlanterYesMe="Yes",PlanterYesMe="Y"),G3088&gt;0),(VLOOKUP(A3088,'Discount Lookup'!J:K,2)*G3088*(1-PlanterDiscount)*(1+PlanterDifficultyPercentage)),IF(AE3088="ELP",(VLOOKUP(A3088,'Discount Lookup'!J:K,2)*G3088*(1-PlanterDiscount)*(1+PlanterDifficultyPercentage)),IF(AE3088="free","re-planting",IF(G3088=0,"",IF(PlanterYesMe="",IF(AE3088="me","   not ELP, by",IF(AE3088="",IF(G3088&gt;0,(VLOOKUP(A3088,'Discount Lookup'!J:K,2)*G3088*(1-PlanterDiscount)*(1+PlanterDifficultyPercentage)),""),"")),"   not ELP, by"))))))))))))))</f>
        <v/>
      </c>
      <c r="AD3088" s="712"/>
      <c r="AE3088" s="513" t="str">
        <f t="shared" si="2332"/>
        <v/>
      </c>
      <c r="AF3088" s="713" t="str">
        <f t="shared" si="2333"/>
        <v/>
      </c>
      <c r="AG3088" s="713"/>
      <c r="AH3088" s="713"/>
      <c r="AI3088" s="112">
        <f>IF(H3088="credit",0,IF(AE3088="free",0,IF(AE3088="me",0,IF(G3088&gt;0,(VLOOKUP(A3088,'Discount Lookup'!J:K,2)*G3088),0))))</f>
        <v>0</v>
      </c>
      <c r="AJ3088" s="107" t="str">
        <f t="shared" ca="1" si="2334"/>
        <v/>
      </c>
      <c r="AK3088" s="714" t="str">
        <f t="shared" si="2335"/>
        <v/>
      </c>
      <c r="AL3088" s="714"/>
      <c r="AM3088" s="114" t="str">
        <f t="shared" si="2336"/>
        <v/>
      </c>
      <c r="AN3088" s="115"/>
      <c r="AO3088" s="116"/>
      <c r="AP3088" s="116"/>
      <c r="AQ3088" s="116"/>
      <c r="AR3088" s="116"/>
      <c r="AS3088" s="116"/>
      <c r="AT3088" s="116"/>
      <c r="AU3088" s="116"/>
      <c r="AV3088" s="78"/>
      <c r="AW3088" s="102"/>
      <c r="AX3088" s="78"/>
      <c r="AY3088" s="78"/>
      <c r="AZ3088" s="78"/>
      <c r="BA3088" s="78"/>
      <c r="BB3088" s="78"/>
      <c r="BC3088" s="78"/>
      <c r="BD3088" s="78"/>
      <c r="BE3088" s="465"/>
      <c r="BF3088" s="165" t="str">
        <f t="shared" si="2337"/>
        <v>https://www.google.com/search?tbm=isch&amp;q=Gulf%20Stream%20foliage%20emerges%20Bronze-Red.%20Vibrant%20Orange-Red%20in%20fall%2C%20then%20Brilliant%20Red%2C%20Bronze%2C%20and%20Purple%20in%20winter.%20Few%20berries%2C%20so%20leas%20spreading%20</v>
      </c>
      <c r="BG3088" s="165" t="str">
        <f t="shared" si="2338"/>
        <v>G</v>
      </c>
      <c r="BH3088" s="65"/>
      <c r="BI3088" s="65"/>
      <c r="BJ3088" s="65"/>
      <c r="BK3088" s="65"/>
      <c r="BL3088" s="99"/>
      <c r="BM3088" s="99"/>
      <c r="BN3088" s="99"/>
    </row>
    <row r="3089" spans="1:66" s="51" customFormat="1" ht="18" x14ac:dyDescent="0.25">
      <c r="A3089" s="507" t="s">
        <v>3659</v>
      </c>
      <c r="B3089" s="470"/>
      <c r="C3089" s="706"/>
      <c r="D3089" s="471" t="s">
        <v>3660</v>
      </c>
      <c r="E3089" s="472"/>
      <c r="F3089" s="472"/>
      <c r="G3089" s="472"/>
      <c r="H3089" s="622" t="s">
        <v>1439</v>
      </c>
      <c r="I3089" s="473" t="s">
        <v>3646</v>
      </c>
      <c r="J3089" s="472"/>
      <c r="K3089" s="472"/>
      <c r="L3089" s="561"/>
      <c r="M3089" s="698" t="s">
        <v>5246</v>
      </c>
      <c r="N3089" s="692" t="str">
        <f>IF(AND(ISTEXT($A3089), ISERROR($A3089+0)), HYPERLINK($BF3089, "Images"), "")</f>
        <v>Images</v>
      </c>
      <c r="O3089" s="694" t="s">
        <v>5247</v>
      </c>
      <c r="P3089" s="475"/>
      <c r="Q3089" s="476"/>
      <c r="R3089" s="476"/>
      <c r="S3089" s="477"/>
      <c r="T3089" s="102">
        <f t="shared" si="2326"/>
        <v>0</v>
      </c>
      <c r="U3089" s="78" t="str">
        <f>IF(NOT(ISNUMBER(G3089)), "", VLOOKUP(A3089,'Discount Lookup'!D:E,2,FALSE)*G3089)</f>
        <v/>
      </c>
      <c r="V3089" s="78" t="str">
        <f>IF(NOT(ISNUMBER(G3089)), "", VLOOKUP(A3089,'Discount Lookup'!G:H,2,FALSE)*G3089)</f>
        <v/>
      </c>
      <c r="W3089" s="102">
        <f t="shared" si="2327"/>
        <v>0</v>
      </c>
      <c r="X3089" s="102" t="str">
        <f t="shared" si="2328"/>
        <v>Bluish-Green foliage</v>
      </c>
      <c r="Y3089" s="120" t="b">
        <f t="shared" si="2329"/>
        <v>0</v>
      </c>
      <c r="Z3089" s="117">
        <f t="shared" si="2330"/>
        <v>0</v>
      </c>
      <c r="AA3089" s="118"/>
      <c r="AB3089" s="118" t="str">
        <f t="shared" si="2331"/>
        <v/>
      </c>
      <c r="AC3089" s="712" t="str">
        <f>IF(AE3089="T2G","no charge",IF(AND(OR(PlanterYesMe="No",PlanterYesMe="N",PlanterYesMe="me"),H3089=""),"",IF(H3089="credit","NO install",IF(AND(K3089="",AE3089="me"),"EACH row",IF(AND(K3089="images",AE3089="me"),"EACH row",IF(D3089="","",IF(H3089="credit","",IF(AE3089="free","re-planting",IF(AE3089="me","   not ELP, by",IF(AND(OR(PlanterYesMe="Yes",PlanterYesMe="Y"),G3089&gt;0),(VLOOKUP(A3089,'Discount Lookup'!J:K,2)*G3089*(1-PlanterDiscount)*(1+PlanterDifficultyPercentage)),IF(AE3089="ELP",(VLOOKUP(A3089,'Discount Lookup'!J:K,2)*G3089*(1-PlanterDiscount)*(1+PlanterDifficultyPercentage)),IF(AE3089="free","re-planting",IF(G3089=0,"",IF(PlanterYesMe="",IF(AE3089="me","   not ELP, by",IF(AE3089="",IF(G3089&gt;0,(VLOOKUP(A3089,'Discount Lookup'!J:K,2)*G3089*(1-PlanterDiscount)*(1+PlanterDifficultyPercentage)),""),"")),"   not ELP, by"))))))))))))))</f>
        <v/>
      </c>
      <c r="AD3089" s="712"/>
      <c r="AE3089" s="513" t="str">
        <f t="shared" si="2332"/>
        <v/>
      </c>
      <c r="AF3089" s="713" t="str">
        <f t="shared" si="2333"/>
        <v/>
      </c>
      <c r="AG3089" s="713"/>
      <c r="AH3089" s="713"/>
      <c r="AI3089" s="112">
        <f>IF(H3089="credit",0,IF(AE3089="free",0,IF(AE3089="me",0,IF(G3089&gt;0,(VLOOKUP(A3089,'Discount Lookup'!J:K,2)*G3089),0))))</f>
        <v>0</v>
      </c>
      <c r="AJ3089" s="107" t="str">
        <f t="shared" ca="1" si="2334"/>
        <v/>
      </c>
      <c r="AK3089" s="714" t="str">
        <f t="shared" si="2335"/>
        <v/>
      </c>
      <c r="AL3089" s="714"/>
      <c r="AM3089" s="114" t="str">
        <f t="shared" si="2336"/>
        <v/>
      </c>
      <c r="AN3089" s="115"/>
      <c r="AO3089" s="116"/>
      <c r="AP3089" s="116"/>
      <c r="AQ3089" s="116"/>
      <c r="AR3089" s="116"/>
      <c r="AS3089" s="116"/>
      <c r="AT3089" s="116"/>
      <c r="AU3089" s="116"/>
      <c r="AV3089" s="78"/>
      <c r="AW3089" s="102"/>
      <c r="AX3089" s="78"/>
      <c r="AY3089" s="78"/>
      <c r="AZ3089" s="78"/>
      <c r="BA3089" s="78"/>
      <c r="BB3089" s="78"/>
      <c r="BC3089" s="78"/>
      <c r="BD3089" s="78"/>
      <c r="BE3089" s="465"/>
      <c r="BF3089" s="165" t="str">
        <f t="shared" si="2337"/>
        <v>https://www.google.com/search?tbm=isch&amp;q=Nandina%20domestica%20%27Harbour%20Dwarf%27%20Harbour%20Dwarf%20Nandina</v>
      </c>
      <c r="BG3089" s="165" t="str">
        <f t="shared" si="2338"/>
        <v>N</v>
      </c>
      <c r="BH3089" s="65"/>
      <c r="BI3089" s="65"/>
      <c r="BJ3089" s="65"/>
      <c r="BK3089" s="65"/>
      <c r="BL3089" s="99"/>
      <c r="BM3089" s="99"/>
      <c r="BN3089" s="99"/>
    </row>
    <row r="3090" spans="1:66" s="51" customFormat="1" ht="15.75" x14ac:dyDescent="0.25">
      <c r="A3090" s="478">
        <v>2</v>
      </c>
      <c r="B3090" s="479" t="s">
        <v>291</v>
      </c>
      <c r="C3090" s="480" t="s">
        <v>3661</v>
      </c>
      <c r="D3090" s="481" t="s">
        <v>309</v>
      </c>
      <c r="E3090" s="482">
        <v>18.95</v>
      </c>
      <c r="F3090" s="483" t="s">
        <v>292</v>
      </c>
      <c r="G3090" s="484">
        <v>0</v>
      </c>
      <c r="H3090" s="688" t="str">
        <f>IF(G3090=0,"",IF(F3090="Buy",IF(G3090=1,"plant","plants"),IF(F3090&gt;0.01,"warranty","Error")))</f>
        <v/>
      </c>
      <c r="I3090" s="485">
        <f>IF(H3090="free",0,IF(H3090="credit",((E3090*(F3090))*G3090*-1),IF(F3090="Buy",(E3090*G3090),((E3090*(1-F3090))*G3090))))</f>
        <v>0</v>
      </c>
      <c r="J3090" s="485">
        <f>IF(H3090="warranty",0,(I3090*(_xlfn.SINGLE(SalesTaxPercentage))))</f>
        <v>0</v>
      </c>
      <c r="K3090" s="715">
        <f t="shared" ref="K3090" si="2375">I3090+J3090</f>
        <v>0</v>
      </c>
      <c r="L3090" s="715"/>
      <c r="M3090" s="689" t="str">
        <f ca="1">IF(AND(G3090&gt;0,E3090=0),"WARNING - no PRICE inserted",IF(H3090="free","FREE ~ no charge this plant",IF(H3090="credit",CONCATENATE("-$",ROUND(K3090*(1-_xlfn.SINGLE(T2GDiscount))*-1,2)," CREDIT after discount"),IF(_xlfn.SINGLE(T2GDiscount)=0,"",IF(G3090=0,"",IF(F3090="Buy",CONCATENATE("$",ROUND(K3090*(1-_xlfn.SINGLE(T2GDiscount)),2)," with ",(_xlfn.SINGLE(T2GDiscount)*100),"% discount"),CONCATENATE("$",ROUND(K3090*(1-_xlfn.SINGLE(T2GDiscount)),2)," with ",((_xlfn.SINGLE(T2GDiscount)*100+F3090*100)-(_xlfn.SINGLE(T2GDiscount)*100*F3090)),IF(F3090&gt;0,"% discounts",IF(_xlfn.SINGLE(NoWarrantyDiscount)&gt;0,"% discounts","% discount")))))))))</f>
        <v/>
      </c>
      <c r="N3090" s="690"/>
      <c r="O3090" s="486"/>
      <c r="P3090" s="486"/>
      <c r="Q3090" s="486"/>
      <c r="R3090" s="486"/>
      <c r="S3090" s="486"/>
      <c r="T3090" s="102">
        <f t="shared" si="2326"/>
        <v>0</v>
      </c>
      <c r="U3090" s="78">
        <f>IF(NOT(ISNUMBER(G3090)), "", VLOOKUP(A3090,'Discount Lookup'!D:E,2,FALSE)*G3090)</f>
        <v>0</v>
      </c>
      <c r="V3090" s="78">
        <f>IF(NOT(ISNUMBER(G3090)), "", VLOOKUP(A3090,'Discount Lookup'!G:H,2,FALSE)*G3090)</f>
        <v>0</v>
      </c>
      <c r="W3090" s="102">
        <f t="shared" si="2327"/>
        <v>0</v>
      </c>
      <c r="X3090" s="102">
        <f t="shared" si="2328"/>
        <v>0</v>
      </c>
      <c r="Y3090" s="120" t="b">
        <f t="shared" si="2329"/>
        <v>0</v>
      </c>
      <c r="Z3090" s="117">
        <f t="shared" si="2330"/>
        <v>0</v>
      </c>
      <c r="AA3090" s="118"/>
      <c r="AB3090" s="118" t="str">
        <f t="shared" si="2331"/>
        <v/>
      </c>
      <c r="AC3090" s="712" t="str">
        <f>IF(AE3090="T2G","no charge",IF(AND(OR(PlanterYesMe="No",PlanterYesMe="N",PlanterYesMe="me"),H3090=""),"",IF(H3090="credit","NO install",IF(AND(K3090="",AE3090="me"),"EACH row",IF(AND(K3090="images",AE3090="me"),"EACH row",IF(D3090="","",IF(H3090="credit","",IF(AE3090="free","re-planting",IF(AE3090="me","   not ELP, by",IF(AND(OR(PlanterYesMe="Yes",PlanterYesMe="Y"),G3090&gt;0),(VLOOKUP(A3090,'Discount Lookup'!J:K,2)*G3090*(1-PlanterDiscount)*(1+PlanterDifficultyPercentage)),IF(AE3090="ELP",(VLOOKUP(A3090,'Discount Lookup'!J:K,2)*G3090*(1-PlanterDiscount)*(1+PlanterDifficultyPercentage)),IF(AE3090="free","re-planting",IF(G3090=0,"",IF(PlanterYesMe="",IF(AE3090="me","   not ELP, by",IF(AE3090="",IF(G3090&gt;0,(VLOOKUP(A3090,'Discount Lookup'!J:K,2)*G3090*(1-PlanterDiscount)*(1+PlanterDifficultyPercentage)),""),"")),"   not ELP, by"))))))))))))))</f>
        <v/>
      </c>
      <c r="AD3090" s="712"/>
      <c r="AE3090" s="513" t="str">
        <f t="shared" si="2332"/>
        <v/>
      </c>
      <c r="AF3090" s="713" t="str">
        <f t="shared" si="2333"/>
        <v/>
      </c>
      <c r="AG3090" s="713"/>
      <c r="AH3090" s="713"/>
      <c r="AI3090" s="112">
        <f>IF(H3090="credit",0,IF(AE3090="free",0,IF(AE3090="me",0,IF(G3090&gt;0,(VLOOKUP(A3090,'Discount Lookup'!J:K,2)*G3090),0))))</f>
        <v>0</v>
      </c>
      <c r="AJ3090" s="107" t="str">
        <f t="shared" ca="1" si="2334"/>
        <v/>
      </c>
      <c r="AK3090" s="714" t="str">
        <f t="shared" si="2335"/>
        <v/>
      </c>
      <c r="AL3090" s="714"/>
      <c r="AM3090" s="114" t="str">
        <f t="shared" si="2336"/>
        <v/>
      </c>
      <c r="AN3090" s="115"/>
      <c r="AO3090" s="116"/>
      <c r="AP3090" s="116"/>
      <c r="AQ3090" s="116"/>
      <c r="AR3090" s="116"/>
      <c r="AS3090" s="116"/>
      <c r="AT3090" s="116"/>
      <c r="AU3090" s="116"/>
      <c r="AV3090" s="78"/>
      <c r="AW3090" s="102"/>
      <c r="AX3090" s="78"/>
      <c r="AY3090" s="78"/>
      <c r="AZ3090" s="78"/>
      <c r="BA3090" s="78"/>
      <c r="BB3090" s="78"/>
      <c r="BC3090" s="78"/>
      <c r="BD3090" s="78"/>
      <c r="BE3090" s="465"/>
      <c r="BF3090" s="165" t="str">
        <f t="shared" si="2337"/>
        <v>https://www.google.com/search?tbm=isch&amp;q=2%20G3</v>
      </c>
      <c r="BG3090" s="165" t="str">
        <f t="shared" si="2338"/>
        <v>N</v>
      </c>
      <c r="BH3090" s="65"/>
      <c r="BI3090" s="65"/>
      <c r="BJ3090" s="65"/>
      <c r="BK3090" s="65"/>
      <c r="BL3090" s="99"/>
      <c r="BM3090" s="99"/>
      <c r="BN3090" s="99"/>
    </row>
    <row r="3091" spans="1:66" s="51" customFormat="1" ht="15.75" x14ac:dyDescent="0.25">
      <c r="A3091" s="478">
        <v>3</v>
      </c>
      <c r="B3091" s="479" t="s">
        <v>291</v>
      </c>
      <c r="C3091" s="480" t="s">
        <v>3662</v>
      </c>
      <c r="D3091" s="481" t="s">
        <v>329</v>
      </c>
      <c r="E3091" s="482">
        <v>26.95</v>
      </c>
      <c r="F3091" s="483" t="s">
        <v>292</v>
      </c>
      <c r="G3091" s="484">
        <v>0</v>
      </c>
      <c r="H3091" s="688" t="str">
        <f>IF(G3091=0,"",IF(F3091="Buy",IF(G3091=1,"plant","plants"),IF(F3091&gt;0.01,"warranty","Error")))</f>
        <v/>
      </c>
      <c r="I3091" s="485">
        <f>IF(H3091="free",0,IF(H3091="credit",((E3091*(F3091))*G3091*-1),IF(F3091="Buy",(E3091*G3091),((E3091*(1-F3091))*G3091))))</f>
        <v>0</v>
      </c>
      <c r="J3091" s="485">
        <f>IF(H3091="warranty",0,(I3091*(_xlfn.SINGLE(SalesTaxPercentage))))</f>
        <v>0</v>
      </c>
      <c r="K3091" s="715">
        <f t="shared" ref="K3091" si="2376">I3091+J3091</f>
        <v>0</v>
      </c>
      <c r="L3091" s="715"/>
      <c r="M3091" s="689" t="str">
        <f ca="1">IF(AND(G3091&gt;0,E3091=0),"WARNING - no PRICE inserted",IF(H3091="free","FREE ~ no charge this plant",IF(H3091="credit",CONCATENATE("-$",ROUND(K3091*(1-_xlfn.SINGLE(T2GDiscount))*-1,2)," CREDIT after discount"),IF(_xlfn.SINGLE(T2GDiscount)=0,"",IF(G3091=0,"",IF(F3091="Buy",CONCATENATE("$",ROUND(K3091*(1-_xlfn.SINGLE(T2GDiscount)),2)," with ",(_xlfn.SINGLE(T2GDiscount)*100),"% discount"),CONCATENATE("$",ROUND(K3091*(1-_xlfn.SINGLE(T2GDiscount)),2)," with ",((_xlfn.SINGLE(T2GDiscount)*100+F3091*100)-(_xlfn.SINGLE(T2GDiscount)*100*F3091)),IF(F3091&gt;0,"% discounts",IF(_xlfn.SINGLE(NoWarrantyDiscount)&gt;0,"% discounts","% discount")))))))))</f>
        <v/>
      </c>
      <c r="N3091" s="690"/>
      <c r="O3091" s="486"/>
      <c r="P3091" s="486"/>
      <c r="Q3091" s="486"/>
      <c r="R3091" s="486"/>
      <c r="S3091" s="486"/>
      <c r="T3091" s="102">
        <f t="shared" si="2326"/>
        <v>0</v>
      </c>
      <c r="U3091" s="78">
        <f>IF(NOT(ISNUMBER(G3091)), "", VLOOKUP(A3091,'Discount Lookup'!D:E,2,FALSE)*G3091)</f>
        <v>0</v>
      </c>
      <c r="V3091" s="78">
        <f>IF(NOT(ISNUMBER(G3091)), "", VLOOKUP(A3091,'Discount Lookup'!G:H,2,FALSE)*G3091)</f>
        <v>0</v>
      </c>
      <c r="W3091" s="102">
        <f t="shared" si="2327"/>
        <v>0</v>
      </c>
      <c r="X3091" s="102">
        <f t="shared" si="2328"/>
        <v>0</v>
      </c>
      <c r="Y3091" s="120" t="b">
        <f t="shared" si="2329"/>
        <v>0</v>
      </c>
      <c r="Z3091" s="117">
        <f t="shared" si="2330"/>
        <v>0</v>
      </c>
      <c r="AA3091" s="118"/>
      <c r="AB3091" s="118" t="str">
        <f t="shared" si="2331"/>
        <v/>
      </c>
      <c r="AC3091" s="712" t="str">
        <f>IF(AE3091="T2G","no charge",IF(AND(OR(PlanterYesMe="No",PlanterYesMe="N",PlanterYesMe="me"),H3091=""),"",IF(H3091="credit","NO install",IF(AND(K3091="",AE3091="me"),"EACH row",IF(AND(K3091="images",AE3091="me"),"EACH row",IF(D3091="","",IF(H3091="credit","",IF(AE3091="free","re-planting",IF(AE3091="me","   not ELP, by",IF(AND(OR(PlanterYesMe="Yes",PlanterYesMe="Y"),G3091&gt;0),(VLOOKUP(A3091,'Discount Lookup'!J:K,2)*G3091*(1-PlanterDiscount)*(1+PlanterDifficultyPercentage)),IF(AE3091="ELP",(VLOOKUP(A3091,'Discount Lookup'!J:K,2)*G3091*(1-PlanterDiscount)*(1+PlanterDifficultyPercentage)),IF(AE3091="free","re-planting",IF(G3091=0,"",IF(PlanterYesMe="",IF(AE3091="me","   not ELP, by",IF(AE3091="",IF(G3091&gt;0,(VLOOKUP(A3091,'Discount Lookup'!J:K,2)*G3091*(1-PlanterDiscount)*(1+PlanterDifficultyPercentage)),""),"")),"   not ELP, by"))))))))))))))</f>
        <v/>
      </c>
      <c r="AD3091" s="712"/>
      <c r="AE3091" s="513" t="str">
        <f t="shared" si="2332"/>
        <v/>
      </c>
      <c r="AF3091" s="713" t="str">
        <f t="shared" si="2333"/>
        <v/>
      </c>
      <c r="AG3091" s="713"/>
      <c r="AH3091" s="713"/>
      <c r="AI3091" s="112">
        <f>IF(H3091="credit",0,IF(AE3091="free",0,IF(AE3091="me",0,IF(G3091&gt;0,(VLOOKUP(A3091,'Discount Lookup'!J:K,2)*G3091),0))))</f>
        <v>0</v>
      </c>
      <c r="AJ3091" s="107" t="str">
        <f t="shared" ca="1" si="2334"/>
        <v/>
      </c>
      <c r="AK3091" s="714" t="str">
        <f t="shared" si="2335"/>
        <v/>
      </c>
      <c r="AL3091" s="714"/>
      <c r="AM3091" s="114" t="str">
        <f t="shared" si="2336"/>
        <v/>
      </c>
      <c r="AN3091" s="115"/>
      <c r="AO3091" s="116"/>
      <c r="AP3091" s="116"/>
      <c r="AQ3091" s="116"/>
      <c r="AR3091" s="116"/>
      <c r="AS3091" s="116"/>
      <c r="AT3091" s="116"/>
      <c r="AU3091" s="116"/>
      <c r="AV3091" s="78"/>
      <c r="AW3091" s="102"/>
      <c r="AX3091" s="78"/>
      <c r="AY3091" s="78"/>
      <c r="AZ3091" s="78"/>
      <c r="BA3091" s="78"/>
      <c r="BB3091" s="78"/>
      <c r="BC3091" s="78"/>
      <c r="BD3091" s="78"/>
      <c r="BE3091" s="465"/>
      <c r="BF3091" s="165" t="str">
        <f t="shared" si="2337"/>
        <v>https://www.google.com/search?tbm=isch&amp;q=3%20G2</v>
      </c>
      <c r="BG3091" s="165" t="str">
        <f t="shared" si="2338"/>
        <v>N</v>
      </c>
      <c r="BH3091" s="65"/>
      <c r="BI3091" s="65"/>
      <c r="BJ3091" s="65"/>
      <c r="BK3091" s="65"/>
      <c r="BL3091" s="99"/>
      <c r="BM3091" s="99"/>
      <c r="BN3091" s="99"/>
    </row>
    <row r="3092" spans="1:66" s="51" customFormat="1" ht="15.75" x14ac:dyDescent="0.25">
      <c r="A3092" s="478">
        <v>7</v>
      </c>
      <c r="B3092" s="479" t="s">
        <v>291</v>
      </c>
      <c r="C3092" s="480" t="s">
        <v>3663</v>
      </c>
      <c r="D3092" s="481" t="s">
        <v>299</v>
      </c>
      <c r="E3092" s="482">
        <v>72.95</v>
      </c>
      <c r="F3092" s="483" t="s">
        <v>292</v>
      </c>
      <c r="G3092" s="484">
        <v>0</v>
      </c>
      <c r="H3092" s="688" t="str">
        <f>IF(G3092=0,"",IF(F3092="Buy",IF(G3092=1,"plant","plants"),IF(F3092&gt;0.01,"warranty","Error")))</f>
        <v/>
      </c>
      <c r="I3092" s="485">
        <f>IF(H3092="free",0,IF(H3092="credit",((E3092*(F3092))*G3092*-1),IF(F3092="Buy",(E3092*G3092),((E3092*(1-F3092))*G3092))))</f>
        <v>0</v>
      </c>
      <c r="J3092" s="485">
        <f>IF(H3092="warranty",0,(I3092*(_xlfn.SINGLE(SalesTaxPercentage))))</f>
        <v>0</v>
      </c>
      <c r="K3092" s="715">
        <f t="shared" ref="K3092" si="2377">I3092+J3092</f>
        <v>0</v>
      </c>
      <c r="L3092" s="715"/>
      <c r="M3092" s="689" t="str">
        <f ca="1">IF(AND(G3092&gt;0,E3092=0),"WARNING - no PRICE inserted",IF(H3092="free","FREE ~ no charge this plant",IF(H3092="credit",CONCATENATE("-$",ROUND(K3092*(1-_xlfn.SINGLE(T2GDiscount))*-1,2)," CREDIT after discount"),IF(_xlfn.SINGLE(T2GDiscount)=0,"",IF(G3092=0,"",IF(F3092="Buy",CONCATENATE("$",ROUND(K3092*(1-_xlfn.SINGLE(T2GDiscount)),2)," with ",(_xlfn.SINGLE(T2GDiscount)*100),"% discount"),CONCATENATE("$",ROUND(K3092*(1-_xlfn.SINGLE(T2GDiscount)),2)," with ",((_xlfn.SINGLE(T2GDiscount)*100+F3092*100)-(_xlfn.SINGLE(T2GDiscount)*100*F3092)),IF(F3092&gt;0,"% discounts",IF(_xlfn.SINGLE(NoWarrantyDiscount)&gt;0,"% discounts","% discount")))))))))</f>
        <v/>
      </c>
      <c r="N3092" s="690"/>
      <c r="O3092" s="486"/>
      <c r="P3092" s="486"/>
      <c r="Q3092" s="486"/>
      <c r="R3092" s="486"/>
      <c r="S3092" s="486"/>
      <c r="T3092" s="102">
        <f t="shared" ref="T3092:T3155" si="2378">E3092*G3092</f>
        <v>0</v>
      </c>
      <c r="U3092" s="78">
        <f>IF(NOT(ISNUMBER(G3092)), "", VLOOKUP(A3092,'Discount Lookup'!D:E,2,FALSE)*G3092)</f>
        <v>0</v>
      </c>
      <c r="V3092" s="78">
        <f>IF(NOT(ISNUMBER(G3092)), "", VLOOKUP(A3092,'Discount Lookup'!G:H,2,FALSE)*G3092)</f>
        <v>0</v>
      </c>
      <c r="W3092" s="102">
        <f t="shared" ref="W3092:W3155" si="2379">IF(H3092="credit",0,E3092*(SalesTaxPercentage)*G3092)</f>
        <v>0</v>
      </c>
      <c r="X3092" s="102">
        <f t="shared" ref="X3092:X3155" si="2380">I3092</f>
        <v>0</v>
      </c>
      <c r="Y3092" s="120" t="b">
        <f t="shared" ref="Y3092:Y3155" si="2381">IF(AE3092="T2G",0,IF(H3092="credit",0,IF(G3092&gt;0,IF(AE3092="me","",G3092))))</f>
        <v>0</v>
      </c>
      <c r="Z3092" s="117">
        <f t="shared" ref="Z3092:Z3155" si="2382">IF(H3092="credit",G3092,0)</f>
        <v>0</v>
      </c>
      <c r="AA3092" s="118"/>
      <c r="AB3092" s="118" t="str">
        <f t="shared" ref="AB3092:AB3155" si="2383">IF(AE3092="T2G","by Trees2Go",IF(H3092="credit","CREDIT only ~",IF(AND(K3092="",AE3092=OR(PlanterYesMe="No",PlanterYesMe="N",PlanterYesMe="me")),"not THIS line⇨",IF(AND(K3092="images",AE3092="me"),"not THIS line⇨",IF(H3092="credit","",IF(G3092=0,"",IF(AE3092="me","",IF(OR(PlanterYesMe="No",PlanterYesMe="N",PlanterYesMe="me"),"",IF(AE3092="free","warranty",IF(OR(PlanterYesMe="yes",PlanterYesMe="y"),"Edison install:","to install:"))))))))))</f>
        <v/>
      </c>
      <c r="AC3092" s="712" t="str">
        <f>IF(AE3092="T2G","no charge",IF(AND(OR(PlanterYesMe="No",PlanterYesMe="N",PlanterYesMe="me"),H3092=""),"",IF(H3092="credit","NO install",IF(AND(K3092="",AE3092="me"),"EACH row",IF(AND(K3092="images",AE3092="me"),"EACH row",IF(D3092="","",IF(H3092="credit","",IF(AE3092="free","re-planting",IF(AE3092="me","   not ELP, by",IF(AND(OR(PlanterYesMe="Yes",PlanterYesMe="Y"),G3092&gt;0),(VLOOKUP(A3092,'Discount Lookup'!J:K,2)*G3092*(1-PlanterDiscount)*(1+PlanterDifficultyPercentage)),IF(AE3092="ELP",(VLOOKUP(A3092,'Discount Lookup'!J:K,2)*G3092*(1-PlanterDiscount)*(1+PlanterDifficultyPercentage)),IF(AE3092="free","re-planting",IF(G3092=0,"",IF(PlanterYesMe="",IF(AE3092="me","   not ELP, by",IF(AE3092="",IF(G3092&gt;0,(VLOOKUP(A3092,'Discount Lookup'!J:K,2)*G3092*(1-PlanterDiscount)*(1+PlanterDifficultyPercentage)),""),"")),"   not ELP, by"))))))))))))))</f>
        <v/>
      </c>
      <c r="AD3092" s="712"/>
      <c r="AE3092" s="513" t="str">
        <f t="shared" ref="AE3092:AE3155" si="2384">IF(H3092="credit","",IF(G3092=0,"",IF(OR(PlanterYesMe="No",PlanterYesMe="N",PlanterYesMe="me"),"me",IF(H3092="warranty","free",IF(OR(PlanterYesMe="yes",PlanterYesMe="y"),"ELP","")))))</f>
        <v/>
      </c>
      <c r="AF3092" s="713" t="str">
        <f t="shared" ref="AF3092:AF3155" si="2385">IF(OR(PlanterYesMe="No",PlanterYesMe="N",PlanterYesMe="me"),"",IF(H3092="credit","",IF(G3092&gt;0,(CONCATENATE((G3092)," quantity, ",(A3092)," ",B3092)),"")))</f>
        <v/>
      </c>
      <c r="AG3092" s="713"/>
      <c r="AH3092" s="713"/>
      <c r="AI3092" s="112">
        <f>IF(H3092="credit",0,IF(AE3092="free",0,IF(AE3092="me",0,IF(G3092&gt;0,(VLOOKUP(A3092,'Discount Lookup'!J:K,2)*G3092),0))))</f>
        <v>0</v>
      </c>
      <c r="AJ3092" s="107" t="str">
        <f t="shared" ref="AJ3092:AJ3155" ca="1" si="2386">IF(AND(ISREF(H3092),H3092="credit"),"",IF(AND(AND(OFFSET(G3092,0,0)=0,OFFSET(G3092,1,0)&gt;0,ISNUMBER(OFFSET(AC3092,1,0)),OFFSET(AC3092,1,0)&gt;0),OR(PlanterYesMe="yes",PlanterYesMe="y")),"T2G+ELP=",IF(AND(OFFSET(G3092,0,0)=0,OFFSET(G3092,1,0)&gt;0,ISNUMBER(OFFSET(AC3092,1,0)),OFFSET(AC3092,1,0)&gt;0),"if T2G+ELP=",IF(AND(OFFSET(G3092,0,0)=0,OFFSET(G3092,1,0)&gt;0),"T2G Subtotal",IF(H3092="credit","",IF(G3092=0,"",IF(AE3092="free",(K3092*(1-T2GDiscount)),IF(OR(PlanterYesMe="No",PlanterYesMe="N",PlanterYesMe="me"),(K3092*(1-T2GDiscount)),IF(OR(AE3092="me",AE3092="T2G"),(K3092*(1-T2GDiscount)),(K3092*(1-T2GDiscount))+AC3092)))))))))</f>
        <v/>
      </c>
      <c r="AK3092" s="714" t="str">
        <f t="shared" ref="AK3092:AK3155" si="2387">IF(H3092="credit","",IF(G3092=0,"",IF(OR(AE3092="me",AE3092="T2G"),"  delivery-only",IF(OR(PlanterYesMe="No",PlanterYesMe="N",PlanterYesMe="me"),"  delivery-only",CONCATENATE(" $",ROUND(AJ3092/G3092,2)," each")))))</f>
        <v/>
      </c>
      <c r="AL3092" s="714"/>
      <c r="AM3092" s="114" t="str">
        <f t="shared" ref="AM3092:AM3155" si="2388">IF(H3092="credit","",IF(AE3092="free","      ~ discounts included, no tax or planting fee applies ~",IF(G3092=0,"",IF(OR(PlanterYesMe="No",PlanterYesMe="N",PlanterYesMe="me"),CONCATENATE(" $",ROUND(AJ3092/G3092,2)," per plant, with tax &amp; discount"),IF(OR(AE3092="me",AE3092="T2G"),CONCATENATE(" $",ROUND(AJ3092/G3092,2)," per plant, with tax &amp; discount"),CONCATENATE("= $",ROUND((K3092*(1-T2GDiscount))/G3092,2)," per plant + $",AC3092/G3092,(" per planting      ~ includes tax &amp; discounts ~")))))))</f>
        <v/>
      </c>
      <c r="AN3092" s="115"/>
      <c r="AO3092" s="116"/>
      <c r="AP3092" s="116"/>
      <c r="AQ3092" s="116"/>
      <c r="AR3092" s="116"/>
      <c r="AS3092" s="116"/>
      <c r="AT3092" s="116"/>
      <c r="AU3092" s="116"/>
      <c r="AV3092" s="78"/>
      <c r="AW3092" s="102"/>
      <c r="AX3092" s="78"/>
      <c r="AY3092" s="78"/>
      <c r="AZ3092" s="78"/>
      <c r="BA3092" s="78"/>
      <c r="BB3092" s="78"/>
      <c r="BC3092" s="78"/>
      <c r="BD3092" s="78"/>
      <c r="BE3092" s="465"/>
      <c r="BF3092" s="165" t="str">
        <f t="shared" ref="BF3092:BF3155" si="2389">"https://www.google.com/search?tbm=isch&amp;q=" &amp; _xlfn.ENCODEURL($A3092 &amp; " " &amp; $D3092)</f>
        <v>https://www.google.com/search?tbm=isch&amp;q=7%20G4</v>
      </c>
      <c r="BG3092" s="165" t="str">
        <f t="shared" ref="BG3092:BG3155" si="2390">IF(ISTEXT(A3092),LEFT(A3092,1),BG3091)</f>
        <v>N</v>
      </c>
      <c r="BH3092" s="65"/>
      <c r="BI3092" s="65"/>
      <c r="BJ3092" s="65"/>
      <c r="BK3092" s="65"/>
      <c r="BL3092" s="99"/>
      <c r="BM3092" s="99"/>
      <c r="BN3092" s="99"/>
    </row>
    <row r="3093" spans="1:66" s="51" customFormat="1" ht="16.5" thickBot="1" x14ac:dyDescent="0.3">
      <c r="A3093" s="508" t="s">
        <v>3664</v>
      </c>
      <c r="B3093" s="487"/>
      <c r="C3093" s="707"/>
      <c r="D3093" s="487"/>
      <c r="E3093" s="487"/>
      <c r="F3093" s="488"/>
      <c r="G3093" s="489"/>
      <c r="H3093" s="487"/>
      <c r="I3093" s="490"/>
      <c r="J3093" s="490"/>
      <c r="K3093" s="491"/>
      <c r="L3093" s="547"/>
      <c r="M3093" s="528"/>
      <c r="N3093" s="492"/>
      <c r="O3093" s="493"/>
      <c r="P3093" s="494"/>
      <c r="Q3093" s="492"/>
      <c r="R3093" s="492"/>
      <c r="S3093" s="495"/>
      <c r="T3093" s="102">
        <f t="shared" si="2378"/>
        <v>0</v>
      </c>
      <c r="U3093" s="78" t="str">
        <f>IF(NOT(ISNUMBER(G3093)), "", VLOOKUP(A3093,'Discount Lookup'!D:E,2,FALSE)*G3093)</f>
        <v/>
      </c>
      <c r="V3093" s="78" t="str">
        <f>IF(NOT(ISNUMBER(G3093)), "", VLOOKUP(A3093,'Discount Lookup'!G:H,2,FALSE)*G3093)</f>
        <v/>
      </c>
      <c r="W3093" s="102">
        <f t="shared" si="2379"/>
        <v>0</v>
      </c>
      <c r="X3093" s="102">
        <f t="shared" si="2380"/>
        <v>0</v>
      </c>
      <c r="Y3093" s="120" t="b">
        <f t="shared" si="2381"/>
        <v>0</v>
      </c>
      <c r="Z3093" s="117">
        <f t="shared" si="2382"/>
        <v>0</v>
      </c>
      <c r="AA3093" s="118"/>
      <c r="AB3093" s="118" t="str">
        <f t="shared" si="2383"/>
        <v/>
      </c>
      <c r="AC3093" s="712" t="str">
        <f>IF(AE3093="T2G","no charge",IF(AND(OR(PlanterYesMe="No",PlanterYesMe="N",PlanterYesMe="me"),H3093=""),"",IF(H3093="credit","NO install",IF(AND(K3093="",AE3093="me"),"EACH row",IF(AND(K3093="images",AE3093="me"),"EACH row",IF(D3093="","",IF(H3093="credit","",IF(AE3093="free","re-planting",IF(AE3093="me","   not ELP, by",IF(AND(OR(PlanterYesMe="Yes",PlanterYesMe="Y"),G3093&gt;0),(VLOOKUP(A3093,'Discount Lookup'!J:K,2)*G3093*(1-PlanterDiscount)*(1+PlanterDifficultyPercentage)),IF(AE3093="ELP",(VLOOKUP(A3093,'Discount Lookup'!J:K,2)*G3093*(1-PlanterDiscount)*(1+PlanterDifficultyPercentage)),IF(AE3093="free","re-planting",IF(G3093=0,"",IF(PlanterYesMe="",IF(AE3093="me","   not ELP, by",IF(AE3093="",IF(G3093&gt;0,(VLOOKUP(A3093,'Discount Lookup'!J:K,2)*G3093*(1-PlanterDiscount)*(1+PlanterDifficultyPercentage)),""),"")),"   not ELP, by"))))))))))))))</f>
        <v/>
      </c>
      <c r="AD3093" s="712"/>
      <c r="AE3093" s="513" t="str">
        <f t="shared" si="2384"/>
        <v/>
      </c>
      <c r="AF3093" s="713" t="str">
        <f t="shared" si="2385"/>
        <v/>
      </c>
      <c r="AG3093" s="713"/>
      <c r="AH3093" s="713"/>
      <c r="AI3093" s="112">
        <f>IF(H3093="credit",0,IF(AE3093="free",0,IF(AE3093="me",0,IF(G3093&gt;0,(VLOOKUP(A3093,'Discount Lookup'!J:K,2)*G3093),0))))</f>
        <v>0</v>
      </c>
      <c r="AJ3093" s="107" t="str">
        <f t="shared" ca="1" si="2386"/>
        <v/>
      </c>
      <c r="AK3093" s="714" t="str">
        <f t="shared" si="2387"/>
        <v/>
      </c>
      <c r="AL3093" s="714"/>
      <c r="AM3093" s="114" t="str">
        <f t="shared" si="2388"/>
        <v/>
      </c>
      <c r="AN3093" s="115"/>
      <c r="AO3093" s="116"/>
      <c r="AP3093" s="116"/>
      <c r="AQ3093" s="116"/>
      <c r="AR3093" s="116"/>
      <c r="AS3093" s="116"/>
      <c r="AT3093" s="116"/>
      <c r="AU3093" s="116"/>
      <c r="AV3093" s="78"/>
      <c r="AW3093" s="102"/>
      <c r="AX3093" s="78"/>
      <c r="AY3093" s="78"/>
      <c r="AZ3093" s="78"/>
      <c r="BA3093" s="78"/>
      <c r="BB3093" s="78"/>
      <c r="BC3093" s="78"/>
      <c r="BD3093" s="78"/>
      <c r="BE3093" s="465"/>
      <c r="BF3093" s="165" t="str">
        <f t="shared" si="2389"/>
        <v>https://www.google.com/search?tbm=isch&amp;q=Harbour%20Dwarf%20foliage%20emerges%20with%20Bronzy-Red%20tints.%20Burgundy-Red%20fall%20color%20turns%20Deep%20Red%20to%20Maroon.%20Minimal%20fruiting%2C%20but%20will%20spread%20by%20rhizomes%20</v>
      </c>
      <c r="BG3093" s="165" t="str">
        <f t="shared" si="2390"/>
        <v>H</v>
      </c>
      <c r="BH3093" s="65"/>
      <c r="BI3093" s="65"/>
      <c r="BJ3093" s="65"/>
      <c r="BK3093" s="65"/>
      <c r="BL3093" s="99"/>
      <c r="BM3093" s="99"/>
      <c r="BN3093" s="99"/>
    </row>
    <row r="3094" spans="1:66" s="51" customFormat="1" ht="18" x14ac:dyDescent="0.25">
      <c r="A3094" s="507" t="s">
        <v>3665</v>
      </c>
      <c r="B3094" s="470"/>
      <c r="C3094" s="706"/>
      <c r="D3094" s="471" t="s">
        <v>3666</v>
      </c>
      <c r="E3094" s="472"/>
      <c r="F3094" s="472"/>
      <c r="G3094" s="472"/>
      <c r="H3094" s="622" t="s">
        <v>1124</v>
      </c>
      <c r="I3094" s="473" t="s">
        <v>1327</v>
      </c>
      <c r="J3094" s="472"/>
      <c r="K3094" s="472"/>
      <c r="L3094" s="561"/>
      <c r="M3094" s="698" t="s">
        <v>5246</v>
      </c>
      <c r="N3094" s="692" t="str">
        <f>IF(AND(ISTEXT($A3094), ISERROR($A3094+0)), HYPERLINK($BF3094, "Images"), "")</f>
        <v>Images</v>
      </c>
      <c r="O3094" s="694" t="s">
        <v>5247</v>
      </c>
      <c r="P3094" s="475"/>
      <c r="Q3094" s="476"/>
      <c r="R3094" s="476"/>
      <c r="S3094" s="477"/>
      <c r="T3094" s="102">
        <f t="shared" si="2378"/>
        <v>0</v>
      </c>
      <c r="U3094" s="78" t="str">
        <f>IF(NOT(ISNUMBER(G3094)), "", VLOOKUP(A3094,'Discount Lookup'!D:E,2,FALSE)*G3094)</f>
        <v/>
      </c>
      <c r="V3094" s="78" t="str">
        <f>IF(NOT(ISNUMBER(G3094)), "", VLOOKUP(A3094,'Discount Lookup'!G:H,2,FALSE)*G3094)</f>
        <v/>
      </c>
      <c r="W3094" s="102">
        <f t="shared" si="2379"/>
        <v>0</v>
      </c>
      <c r="X3094" s="102" t="str">
        <f t="shared" si="2380"/>
        <v>Lime-Green foliage</v>
      </c>
      <c r="Y3094" s="120" t="b">
        <f t="shared" si="2381"/>
        <v>0</v>
      </c>
      <c r="Z3094" s="117">
        <f t="shared" si="2382"/>
        <v>0</v>
      </c>
      <c r="AA3094" s="118"/>
      <c r="AB3094" s="118" t="str">
        <f t="shared" si="2383"/>
        <v/>
      </c>
      <c r="AC3094" s="712" t="str">
        <f>IF(AE3094="T2G","no charge",IF(AND(OR(PlanterYesMe="No",PlanterYesMe="N",PlanterYesMe="me"),H3094=""),"",IF(H3094="credit","NO install",IF(AND(K3094="",AE3094="me"),"EACH row",IF(AND(K3094="images",AE3094="me"),"EACH row",IF(D3094="","",IF(H3094="credit","",IF(AE3094="free","re-planting",IF(AE3094="me","   not ELP, by",IF(AND(OR(PlanterYesMe="Yes",PlanterYesMe="Y"),G3094&gt;0),(VLOOKUP(A3094,'Discount Lookup'!J:K,2)*G3094*(1-PlanterDiscount)*(1+PlanterDifficultyPercentage)),IF(AE3094="ELP",(VLOOKUP(A3094,'Discount Lookup'!J:K,2)*G3094*(1-PlanterDiscount)*(1+PlanterDifficultyPercentage)),IF(AE3094="free","re-planting",IF(G3094=0,"",IF(PlanterYesMe="",IF(AE3094="me","   not ELP, by",IF(AE3094="",IF(G3094&gt;0,(VLOOKUP(A3094,'Discount Lookup'!J:K,2)*G3094*(1-PlanterDiscount)*(1+PlanterDifficultyPercentage)),""),"")),"   not ELP, by"))))))))))))))</f>
        <v/>
      </c>
      <c r="AD3094" s="712"/>
      <c r="AE3094" s="513" t="str">
        <f t="shared" si="2384"/>
        <v/>
      </c>
      <c r="AF3094" s="713" t="str">
        <f t="shared" si="2385"/>
        <v/>
      </c>
      <c r="AG3094" s="713"/>
      <c r="AH3094" s="713"/>
      <c r="AI3094" s="112">
        <f>IF(H3094="credit",0,IF(AE3094="free",0,IF(AE3094="me",0,IF(G3094&gt;0,(VLOOKUP(A3094,'Discount Lookup'!J:K,2)*G3094),0))))</f>
        <v>0</v>
      </c>
      <c r="AJ3094" s="107" t="str">
        <f t="shared" ca="1" si="2386"/>
        <v/>
      </c>
      <c r="AK3094" s="714" t="str">
        <f t="shared" si="2387"/>
        <v/>
      </c>
      <c r="AL3094" s="714"/>
      <c r="AM3094" s="114" t="str">
        <f t="shared" si="2388"/>
        <v/>
      </c>
      <c r="AN3094" s="115"/>
      <c r="AO3094" s="116"/>
      <c r="AP3094" s="116"/>
      <c r="AQ3094" s="116"/>
      <c r="AR3094" s="116"/>
      <c r="AS3094" s="116"/>
      <c r="AT3094" s="116"/>
      <c r="AU3094" s="116"/>
      <c r="AV3094" s="78"/>
      <c r="AW3094" s="102"/>
      <c r="AX3094" s="78"/>
      <c r="AY3094" s="78"/>
      <c r="AZ3094" s="78"/>
      <c r="BA3094" s="78"/>
      <c r="BB3094" s="78"/>
      <c r="BC3094" s="78"/>
      <c r="BD3094" s="78"/>
      <c r="BE3094" s="465"/>
      <c r="BF3094" s="165" t="str">
        <f t="shared" si="2389"/>
        <v>https://www.google.com/search?tbm=isch&amp;q=Nandina%20domestica%20%27Lemon%20Lime%27%20PP%2324749%20Lemon%20Lime%20Nandina</v>
      </c>
      <c r="BG3094" s="165" t="str">
        <f t="shared" si="2390"/>
        <v>N</v>
      </c>
      <c r="BH3094" s="65"/>
      <c r="BI3094" s="65"/>
      <c r="BJ3094" s="65"/>
      <c r="BK3094" s="65"/>
      <c r="BL3094" s="99"/>
      <c r="BM3094" s="99"/>
      <c r="BN3094" s="99"/>
    </row>
    <row r="3095" spans="1:66" s="51" customFormat="1" ht="15.75" x14ac:dyDescent="0.25">
      <c r="A3095" s="478">
        <v>1</v>
      </c>
      <c r="B3095" s="479" t="s">
        <v>291</v>
      </c>
      <c r="C3095" s="480" t="s">
        <v>3667</v>
      </c>
      <c r="D3095" s="481" t="s">
        <v>329</v>
      </c>
      <c r="E3095" s="482">
        <v>28.95</v>
      </c>
      <c r="F3095" s="483" t="s">
        <v>292</v>
      </c>
      <c r="G3095" s="484">
        <v>0</v>
      </c>
      <c r="H3095" s="688" t="str">
        <f>IF(G3095=0,"",IF(F3095="Buy",IF(G3095=1,"plant","plants"),IF(F3095&gt;0.01,"warranty","Error")))</f>
        <v/>
      </c>
      <c r="I3095" s="485">
        <f>IF(H3095="free",0,IF(H3095="credit",((E3095*(F3095))*G3095*-1),IF(F3095="Buy",(E3095*G3095),((E3095*(1-F3095))*G3095))))</f>
        <v>0</v>
      </c>
      <c r="J3095" s="485">
        <f>IF(H3095="warranty",0,(I3095*(_xlfn.SINGLE(SalesTaxPercentage))))</f>
        <v>0</v>
      </c>
      <c r="K3095" s="715">
        <f t="shared" ref="K3095" si="2391">I3095+J3095</f>
        <v>0</v>
      </c>
      <c r="L3095" s="715"/>
      <c r="M3095" s="689" t="str">
        <f ca="1">IF(AND(G3095&gt;0,E3095=0),"WARNING - no PRICE inserted",IF(H3095="free","FREE ~ no charge this plant",IF(H3095="credit",CONCATENATE("-$",ROUND(K3095*(1-_xlfn.SINGLE(T2GDiscount))*-1,2)," CREDIT after discount"),IF(_xlfn.SINGLE(T2GDiscount)=0,"",IF(G3095=0,"",IF(F3095="Buy",CONCATENATE("$",ROUND(K3095*(1-_xlfn.SINGLE(T2GDiscount)),2)," with ",(_xlfn.SINGLE(T2GDiscount)*100),"% discount"),CONCATENATE("$",ROUND(K3095*(1-_xlfn.SINGLE(T2GDiscount)),2)," with ",((_xlfn.SINGLE(T2GDiscount)*100+F3095*100)-(_xlfn.SINGLE(T2GDiscount)*100*F3095)),IF(F3095&gt;0,"% discounts",IF(_xlfn.SINGLE(NoWarrantyDiscount)&gt;0,"% discounts","% discount")))))))))</f>
        <v/>
      </c>
      <c r="N3095" s="690"/>
      <c r="O3095" s="486"/>
      <c r="P3095" s="486"/>
      <c r="Q3095" s="486"/>
      <c r="R3095" s="486"/>
      <c r="S3095" s="486"/>
      <c r="T3095" s="102">
        <f t="shared" si="2378"/>
        <v>0</v>
      </c>
      <c r="U3095" s="78">
        <f>IF(NOT(ISNUMBER(G3095)), "", VLOOKUP(A3095,'Discount Lookup'!D:E,2,FALSE)*G3095)</f>
        <v>0</v>
      </c>
      <c r="V3095" s="78">
        <f>IF(NOT(ISNUMBER(G3095)), "", VLOOKUP(A3095,'Discount Lookup'!G:H,2,FALSE)*G3095)</f>
        <v>0</v>
      </c>
      <c r="W3095" s="102">
        <f t="shared" si="2379"/>
        <v>0</v>
      </c>
      <c r="X3095" s="102">
        <f t="shared" si="2380"/>
        <v>0</v>
      </c>
      <c r="Y3095" s="120" t="b">
        <f t="shared" si="2381"/>
        <v>0</v>
      </c>
      <c r="Z3095" s="117">
        <f t="shared" si="2382"/>
        <v>0</v>
      </c>
      <c r="AA3095" s="118"/>
      <c r="AB3095" s="118" t="str">
        <f t="shared" si="2383"/>
        <v/>
      </c>
      <c r="AC3095" s="712" t="str">
        <f>IF(AE3095="T2G","no charge",IF(AND(OR(PlanterYesMe="No",PlanterYesMe="N",PlanterYesMe="me"),H3095=""),"",IF(H3095="credit","NO install",IF(AND(K3095="",AE3095="me"),"EACH row",IF(AND(K3095="images",AE3095="me"),"EACH row",IF(D3095="","",IF(H3095="credit","",IF(AE3095="free","re-planting",IF(AE3095="me","   not ELP, by",IF(AND(OR(PlanterYesMe="Yes",PlanterYesMe="Y"),G3095&gt;0),(VLOOKUP(A3095,'Discount Lookup'!J:K,2)*G3095*(1-PlanterDiscount)*(1+PlanterDifficultyPercentage)),IF(AE3095="ELP",(VLOOKUP(A3095,'Discount Lookup'!J:K,2)*G3095*(1-PlanterDiscount)*(1+PlanterDifficultyPercentage)),IF(AE3095="free","re-planting",IF(G3095=0,"",IF(PlanterYesMe="",IF(AE3095="me","   not ELP, by",IF(AE3095="",IF(G3095&gt;0,(VLOOKUP(A3095,'Discount Lookup'!J:K,2)*G3095*(1-PlanterDiscount)*(1+PlanterDifficultyPercentage)),""),"")),"   not ELP, by"))))))))))))))</f>
        <v/>
      </c>
      <c r="AD3095" s="712"/>
      <c r="AE3095" s="513" t="str">
        <f t="shared" si="2384"/>
        <v/>
      </c>
      <c r="AF3095" s="713" t="str">
        <f t="shared" si="2385"/>
        <v/>
      </c>
      <c r="AG3095" s="713"/>
      <c r="AH3095" s="713"/>
      <c r="AI3095" s="112">
        <f>IF(H3095="credit",0,IF(AE3095="free",0,IF(AE3095="me",0,IF(G3095&gt;0,(VLOOKUP(A3095,'Discount Lookup'!J:K,2)*G3095),0))))</f>
        <v>0</v>
      </c>
      <c r="AJ3095" s="107" t="str">
        <f t="shared" ca="1" si="2386"/>
        <v/>
      </c>
      <c r="AK3095" s="714" t="str">
        <f t="shared" si="2387"/>
        <v/>
      </c>
      <c r="AL3095" s="714"/>
      <c r="AM3095" s="114" t="str">
        <f t="shared" si="2388"/>
        <v/>
      </c>
      <c r="AN3095" s="115"/>
      <c r="AO3095" s="116"/>
      <c r="AP3095" s="116"/>
      <c r="AQ3095" s="116"/>
      <c r="AR3095" s="116"/>
      <c r="AS3095" s="116"/>
      <c r="AT3095" s="116"/>
      <c r="AU3095" s="116"/>
      <c r="AV3095" s="78"/>
      <c r="AW3095" s="102"/>
      <c r="AX3095" s="78"/>
      <c r="AY3095" s="78"/>
      <c r="AZ3095" s="78"/>
      <c r="BA3095" s="78"/>
      <c r="BB3095" s="78"/>
      <c r="BC3095" s="78"/>
      <c r="BD3095" s="78"/>
      <c r="BE3095" s="465"/>
      <c r="BF3095" s="165" t="str">
        <f t="shared" si="2389"/>
        <v>https://www.google.com/search?tbm=isch&amp;q=1%20G2</v>
      </c>
      <c r="BG3095" s="165" t="str">
        <f t="shared" si="2390"/>
        <v>N</v>
      </c>
      <c r="BH3095" s="65"/>
      <c r="BI3095" s="65"/>
      <c r="BJ3095" s="65"/>
      <c r="BK3095" s="65"/>
      <c r="BL3095" s="99"/>
      <c r="BM3095" s="99"/>
      <c r="BN3095" s="99"/>
    </row>
    <row r="3096" spans="1:66" s="51" customFormat="1" ht="15.75" x14ac:dyDescent="0.25">
      <c r="A3096" s="478">
        <v>3</v>
      </c>
      <c r="B3096" s="479" t="s">
        <v>291</v>
      </c>
      <c r="C3096" s="480" t="s">
        <v>3668</v>
      </c>
      <c r="D3096" s="481" t="s">
        <v>311</v>
      </c>
      <c r="E3096" s="482">
        <v>33.950000000000003</v>
      </c>
      <c r="F3096" s="483" t="s">
        <v>292</v>
      </c>
      <c r="G3096" s="484">
        <v>0</v>
      </c>
      <c r="H3096" s="688" t="str">
        <f>IF(G3096=0,"",IF(F3096="Buy",IF(G3096=1,"plant","plants"),IF(F3096&gt;0.01,"warranty","Error")))</f>
        <v/>
      </c>
      <c r="I3096" s="485">
        <f>IF(H3096="free",0,IF(H3096="credit",((E3096*(F3096))*G3096*-1),IF(F3096="Buy",(E3096*G3096),((E3096*(1-F3096))*G3096))))</f>
        <v>0</v>
      </c>
      <c r="J3096" s="485">
        <f>IF(H3096="warranty",0,(I3096*(_xlfn.SINGLE(SalesTaxPercentage))))</f>
        <v>0</v>
      </c>
      <c r="K3096" s="715">
        <f t="shared" ref="K3096" si="2392">I3096+J3096</f>
        <v>0</v>
      </c>
      <c r="L3096" s="715"/>
      <c r="M3096" s="689" t="str">
        <f ca="1">IF(AND(G3096&gt;0,E3096=0),"WARNING - no PRICE inserted",IF(H3096="free","FREE ~ no charge this plant",IF(H3096="credit",CONCATENATE("-$",ROUND(K3096*(1-_xlfn.SINGLE(T2GDiscount))*-1,2)," CREDIT after discount"),IF(_xlfn.SINGLE(T2GDiscount)=0,"",IF(G3096=0,"",IF(F3096="Buy",CONCATENATE("$",ROUND(K3096*(1-_xlfn.SINGLE(T2GDiscount)),2)," with ",(_xlfn.SINGLE(T2GDiscount)*100),"% discount"),CONCATENATE("$",ROUND(K3096*(1-_xlfn.SINGLE(T2GDiscount)),2)," with ",((_xlfn.SINGLE(T2GDiscount)*100+F3096*100)-(_xlfn.SINGLE(T2GDiscount)*100*F3096)),IF(F3096&gt;0,"% discounts",IF(_xlfn.SINGLE(NoWarrantyDiscount)&gt;0,"% discounts","% discount")))))))))</f>
        <v/>
      </c>
      <c r="N3096" s="690"/>
      <c r="O3096" s="486"/>
      <c r="P3096" s="486"/>
      <c r="Q3096" s="486"/>
      <c r="R3096" s="486"/>
      <c r="S3096" s="486"/>
      <c r="T3096" s="102">
        <f t="shared" si="2378"/>
        <v>0</v>
      </c>
      <c r="U3096" s="78">
        <f>IF(NOT(ISNUMBER(G3096)), "", VLOOKUP(A3096,'Discount Lookup'!D:E,2,FALSE)*G3096)</f>
        <v>0</v>
      </c>
      <c r="V3096" s="78">
        <f>IF(NOT(ISNUMBER(G3096)), "", VLOOKUP(A3096,'Discount Lookup'!G:H,2,FALSE)*G3096)</f>
        <v>0</v>
      </c>
      <c r="W3096" s="102">
        <f t="shared" si="2379"/>
        <v>0</v>
      </c>
      <c r="X3096" s="102">
        <f t="shared" si="2380"/>
        <v>0</v>
      </c>
      <c r="Y3096" s="120" t="b">
        <f t="shared" si="2381"/>
        <v>0</v>
      </c>
      <c r="Z3096" s="117">
        <f t="shared" si="2382"/>
        <v>0</v>
      </c>
      <c r="AA3096" s="118"/>
      <c r="AB3096" s="118" t="str">
        <f t="shared" si="2383"/>
        <v/>
      </c>
      <c r="AC3096" s="712" t="str">
        <f>IF(AE3096="T2G","no charge",IF(AND(OR(PlanterYesMe="No",PlanterYesMe="N",PlanterYesMe="me"),H3096=""),"",IF(H3096="credit","NO install",IF(AND(K3096="",AE3096="me"),"EACH row",IF(AND(K3096="images",AE3096="me"),"EACH row",IF(D3096="","",IF(H3096="credit","",IF(AE3096="free","re-planting",IF(AE3096="me","   not ELP, by",IF(AND(OR(PlanterYesMe="Yes",PlanterYesMe="Y"),G3096&gt;0),(VLOOKUP(A3096,'Discount Lookup'!J:K,2)*G3096*(1-PlanterDiscount)*(1+PlanterDifficultyPercentage)),IF(AE3096="ELP",(VLOOKUP(A3096,'Discount Lookup'!J:K,2)*G3096*(1-PlanterDiscount)*(1+PlanterDifficultyPercentage)),IF(AE3096="free","re-planting",IF(G3096=0,"",IF(PlanterYesMe="",IF(AE3096="me","   not ELP, by",IF(AE3096="",IF(G3096&gt;0,(VLOOKUP(A3096,'Discount Lookup'!J:K,2)*G3096*(1-PlanterDiscount)*(1+PlanterDifficultyPercentage)),""),"")),"   not ELP, by"))))))))))))))</f>
        <v/>
      </c>
      <c r="AD3096" s="712"/>
      <c r="AE3096" s="513" t="str">
        <f t="shared" si="2384"/>
        <v/>
      </c>
      <c r="AF3096" s="713" t="str">
        <f t="shared" si="2385"/>
        <v/>
      </c>
      <c r="AG3096" s="713"/>
      <c r="AH3096" s="713"/>
      <c r="AI3096" s="112">
        <f>IF(H3096="credit",0,IF(AE3096="free",0,IF(AE3096="me",0,IF(G3096&gt;0,(VLOOKUP(A3096,'Discount Lookup'!J:K,2)*G3096),0))))</f>
        <v>0</v>
      </c>
      <c r="AJ3096" s="107" t="str">
        <f t="shared" ca="1" si="2386"/>
        <v/>
      </c>
      <c r="AK3096" s="714" t="str">
        <f t="shared" si="2387"/>
        <v/>
      </c>
      <c r="AL3096" s="714"/>
      <c r="AM3096" s="114" t="str">
        <f t="shared" si="2388"/>
        <v/>
      </c>
      <c r="AN3096" s="115"/>
      <c r="AO3096" s="116"/>
      <c r="AP3096" s="116"/>
      <c r="AQ3096" s="116"/>
      <c r="AR3096" s="116"/>
      <c r="AS3096" s="116"/>
      <c r="AT3096" s="116"/>
      <c r="AU3096" s="116"/>
      <c r="AV3096" s="78"/>
      <c r="AW3096" s="102"/>
      <c r="AX3096" s="78"/>
      <c r="AY3096" s="78"/>
      <c r="AZ3096" s="78"/>
      <c r="BA3096" s="78"/>
      <c r="BB3096" s="78"/>
      <c r="BC3096" s="78"/>
      <c r="BD3096" s="78"/>
      <c r="BE3096" s="465"/>
      <c r="BF3096" s="165" t="str">
        <f t="shared" si="2389"/>
        <v>https://www.google.com/search?tbm=isch&amp;q=3%20G5</v>
      </c>
      <c r="BG3096" s="165" t="str">
        <f t="shared" si="2390"/>
        <v>N</v>
      </c>
      <c r="BH3096" s="65"/>
      <c r="BI3096" s="65"/>
      <c r="BJ3096" s="65"/>
      <c r="BK3096" s="65"/>
      <c r="BL3096" s="99"/>
      <c r="BM3096" s="99"/>
      <c r="BN3096" s="99"/>
    </row>
    <row r="3097" spans="1:66" s="51" customFormat="1" ht="15.75" x14ac:dyDescent="0.25">
      <c r="A3097" s="478">
        <v>3</v>
      </c>
      <c r="B3097" s="479" t="s">
        <v>291</v>
      </c>
      <c r="C3097" s="480" t="s">
        <v>3669</v>
      </c>
      <c r="D3097" s="481" t="s">
        <v>329</v>
      </c>
      <c r="E3097" s="482">
        <v>38.950000000000003</v>
      </c>
      <c r="F3097" s="483" t="s">
        <v>292</v>
      </c>
      <c r="G3097" s="484">
        <v>0</v>
      </c>
      <c r="H3097" s="688" t="str">
        <f>IF(G3097=0,"",IF(F3097="Buy",IF(G3097=1,"plant","plants"),IF(F3097&gt;0.01,"warranty","Error")))</f>
        <v/>
      </c>
      <c r="I3097" s="485">
        <f>IF(H3097="free",0,IF(H3097="credit",((E3097*(F3097))*G3097*-1),IF(F3097="Buy",(E3097*G3097),((E3097*(1-F3097))*G3097))))</f>
        <v>0</v>
      </c>
      <c r="J3097" s="485">
        <f>IF(H3097="warranty",0,(I3097*(_xlfn.SINGLE(SalesTaxPercentage))))</f>
        <v>0</v>
      </c>
      <c r="K3097" s="715">
        <f t="shared" ref="K3097" si="2393">I3097+J3097</f>
        <v>0</v>
      </c>
      <c r="L3097" s="715"/>
      <c r="M3097" s="689" t="str">
        <f ca="1">IF(AND(G3097&gt;0,E3097=0),"WARNING - no PRICE inserted",IF(H3097="free","FREE ~ no charge this plant",IF(H3097="credit",CONCATENATE("-$",ROUND(K3097*(1-_xlfn.SINGLE(T2GDiscount))*-1,2)," CREDIT after discount"),IF(_xlfn.SINGLE(T2GDiscount)=0,"",IF(G3097=0,"",IF(F3097="Buy",CONCATENATE("$",ROUND(K3097*(1-_xlfn.SINGLE(T2GDiscount)),2)," with ",(_xlfn.SINGLE(T2GDiscount)*100),"% discount"),CONCATENATE("$",ROUND(K3097*(1-_xlfn.SINGLE(T2GDiscount)),2)," with ",((_xlfn.SINGLE(T2GDiscount)*100+F3097*100)-(_xlfn.SINGLE(T2GDiscount)*100*F3097)),IF(F3097&gt;0,"% discounts",IF(_xlfn.SINGLE(NoWarrantyDiscount)&gt;0,"% discounts","% discount")))))))))</f>
        <v/>
      </c>
      <c r="N3097" s="690"/>
      <c r="O3097" s="486"/>
      <c r="P3097" s="486"/>
      <c r="Q3097" s="486"/>
      <c r="R3097" s="486"/>
      <c r="S3097" s="486"/>
      <c r="T3097" s="102">
        <f t="shared" si="2378"/>
        <v>0</v>
      </c>
      <c r="U3097" s="78">
        <f>IF(NOT(ISNUMBER(G3097)), "", VLOOKUP(A3097,'Discount Lookup'!D:E,2,FALSE)*G3097)</f>
        <v>0</v>
      </c>
      <c r="V3097" s="78">
        <f>IF(NOT(ISNUMBER(G3097)), "", VLOOKUP(A3097,'Discount Lookup'!G:H,2,FALSE)*G3097)</f>
        <v>0</v>
      </c>
      <c r="W3097" s="102">
        <f t="shared" si="2379"/>
        <v>0</v>
      </c>
      <c r="X3097" s="102">
        <f t="shared" si="2380"/>
        <v>0</v>
      </c>
      <c r="Y3097" s="120" t="b">
        <f t="shared" si="2381"/>
        <v>0</v>
      </c>
      <c r="Z3097" s="117">
        <f t="shared" si="2382"/>
        <v>0</v>
      </c>
      <c r="AA3097" s="118"/>
      <c r="AB3097" s="118" t="str">
        <f t="shared" si="2383"/>
        <v/>
      </c>
      <c r="AC3097" s="712" t="str">
        <f>IF(AE3097="T2G","no charge",IF(AND(OR(PlanterYesMe="No",PlanterYesMe="N",PlanterYesMe="me"),H3097=""),"",IF(H3097="credit","NO install",IF(AND(K3097="",AE3097="me"),"EACH row",IF(AND(K3097="images",AE3097="me"),"EACH row",IF(D3097="","",IF(H3097="credit","",IF(AE3097="free","re-planting",IF(AE3097="me","   not ELP, by",IF(AND(OR(PlanterYesMe="Yes",PlanterYesMe="Y"),G3097&gt;0),(VLOOKUP(A3097,'Discount Lookup'!J:K,2)*G3097*(1-PlanterDiscount)*(1+PlanterDifficultyPercentage)),IF(AE3097="ELP",(VLOOKUP(A3097,'Discount Lookup'!J:K,2)*G3097*(1-PlanterDiscount)*(1+PlanterDifficultyPercentage)),IF(AE3097="free","re-planting",IF(G3097=0,"",IF(PlanterYesMe="",IF(AE3097="me","   not ELP, by",IF(AE3097="",IF(G3097&gt;0,(VLOOKUP(A3097,'Discount Lookup'!J:K,2)*G3097*(1-PlanterDiscount)*(1+PlanterDifficultyPercentage)),""),"")),"   not ELP, by"))))))))))))))</f>
        <v/>
      </c>
      <c r="AD3097" s="712"/>
      <c r="AE3097" s="513" t="str">
        <f t="shared" si="2384"/>
        <v/>
      </c>
      <c r="AF3097" s="713" t="str">
        <f t="shared" si="2385"/>
        <v/>
      </c>
      <c r="AG3097" s="713"/>
      <c r="AH3097" s="713"/>
      <c r="AI3097" s="112">
        <f>IF(H3097="credit",0,IF(AE3097="free",0,IF(AE3097="me",0,IF(G3097&gt;0,(VLOOKUP(A3097,'Discount Lookup'!J:K,2)*G3097),0))))</f>
        <v>0</v>
      </c>
      <c r="AJ3097" s="107" t="str">
        <f t="shared" ca="1" si="2386"/>
        <v/>
      </c>
      <c r="AK3097" s="714" t="str">
        <f t="shared" si="2387"/>
        <v/>
      </c>
      <c r="AL3097" s="714"/>
      <c r="AM3097" s="114" t="str">
        <f t="shared" si="2388"/>
        <v/>
      </c>
      <c r="AN3097" s="115"/>
      <c r="AO3097" s="116"/>
      <c r="AP3097" s="116"/>
      <c r="AQ3097" s="116"/>
      <c r="AR3097" s="116"/>
      <c r="AS3097" s="116"/>
      <c r="AT3097" s="116"/>
      <c r="AU3097" s="116"/>
      <c r="AV3097" s="78"/>
      <c r="AW3097" s="102"/>
      <c r="AX3097" s="78"/>
      <c r="AY3097" s="78"/>
      <c r="AZ3097" s="78"/>
      <c r="BA3097" s="78"/>
      <c r="BB3097" s="78"/>
      <c r="BC3097" s="78"/>
      <c r="BD3097" s="78"/>
      <c r="BE3097" s="465"/>
      <c r="BF3097" s="165" t="str">
        <f t="shared" si="2389"/>
        <v>https://www.google.com/search?tbm=isch&amp;q=3%20G2</v>
      </c>
      <c r="BG3097" s="165" t="str">
        <f t="shared" si="2390"/>
        <v>N</v>
      </c>
      <c r="BH3097" s="65"/>
      <c r="BI3097" s="65"/>
      <c r="BJ3097" s="65"/>
      <c r="BK3097" s="65"/>
      <c r="BL3097" s="99"/>
      <c r="BM3097" s="99"/>
      <c r="BN3097" s="99"/>
    </row>
    <row r="3098" spans="1:66" s="51" customFormat="1" ht="16.5" thickBot="1" x14ac:dyDescent="0.3">
      <c r="A3098" s="508" t="s">
        <v>3670</v>
      </c>
      <c r="B3098" s="487"/>
      <c r="C3098" s="707"/>
      <c r="D3098" s="487"/>
      <c r="E3098" s="487"/>
      <c r="F3098" s="488"/>
      <c r="G3098" s="489"/>
      <c r="H3098" s="487"/>
      <c r="I3098" s="490"/>
      <c r="J3098" s="490"/>
      <c r="K3098" s="491"/>
      <c r="L3098" s="547"/>
      <c r="M3098" s="528"/>
      <c r="N3098" s="492"/>
      <c r="O3098" s="493"/>
      <c r="P3098" s="494"/>
      <c r="Q3098" s="492"/>
      <c r="R3098" s="492"/>
      <c r="S3098" s="495"/>
      <c r="T3098" s="102">
        <f t="shared" si="2378"/>
        <v>0</v>
      </c>
      <c r="U3098" s="78" t="str">
        <f>IF(NOT(ISNUMBER(G3098)), "", VLOOKUP(A3098,'Discount Lookup'!D:E,2,FALSE)*G3098)</f>
        <v/>
      </c>
      <c r="V3098" s="78" t="str">
        <f>IF(NOT(ISNUMBER(G3098)), "", VLOOKUP(A3098,'Discount Lookup'!G:H,2,FALSE)*G3098)</f>
        <v/>
      </c>
      <c r="W3098" s="102">
        <f t="shared" si="2379"/>
        <v>0</v>
      </c>
      <c r="X3098" s="102">
        <f t="shared" si="2380"/>
        <v>0</v>
      </c>
      <c r="Y3098" s="120" t="b">
        <f t="shared" si="2381"/>
        <v>0</v>
      </c>
      <c r="Z3098" s="117">
        <f t="shared" si="2382"/>
        <v>0</v>
      </c>
      <c r="AA3098" s="118"/>
      <c r="AB3098" s="118" t="str">
        <f t="shared" si="2383"/>
        <v/>
      </c>
      <c r="AC3098" s="712" t="str">
        <f>IF(AE3098="T2G","no charge",IF(AND(OR(PlanterYesMe="No",PlanterYesMe="N",PlanterYesMe="me"),H3098=""),"",IF(H3098="credit","NO install",IF(AND(K3098="",AE3098="me"),"EACH row",IF(AND(K3098="images",AE3098="me"),"EACH row",IF(D3098="","",IF(H3098="credit","",IF(AE3098="free","re-planting",IF(AE3098="me","   not ELP, by",IF(AND(OR(PlanterYesMe="Yes",PlanterYesMe="Y"),G3098&gt;0),(VLOOKUP(A3098,'Discount Lookup'!J:K,2)*G3098*(1-PlanterDiscount)*(1+PlanterDifficultyPercentage)),IF(AE3098="ELP",(VLOOKUP(A3098,'Discount Lookup'!J:K,2)*G3098*(1-PlanterDiscount)*(1+PlanterDifficultyPercentage)),IF(AE3098="free","re-planting",IF(G3098=0,"",IF(PlanterYesMe="",IF(AE3098="me","   not ELP, by",IF(AE3098="",IF(G3098&gt;0,(VLOOKUP(A3098,'Discount Lookup'!J:K,2)*G3098*(1-PlanterDiscount)*(1+PlanterDifficultyPercentage)),""),"")),"   not ELP, by"))))))))))))))</f>
        <v/>
      </c>
      <c r="AD3098" s="712"/>
      <c r="AE3098" s="513" t="str">
        <f t="shared" si="2384"/>
        <v/>
      </c>
      <c r="AF3098" s="713" t="str">
        <f t="shared" si="2385"/>
        <v/>
      </c>
      <c r="AG3098" s="713"/>
      <c r="AH3098" s="713"/>
      <c r="AI3098" s="112">
        <f>IF(H3098="credit",0,IF(AE3098="free",0,IF(AE3098="me",0,IF(G3098&gt;0,(VLOOKUP(A3098,'Discount Lookup'!J:K,2)*G3098),0))))</f>
        <v>0</v>
      </c>
      <c r="AJ3098" s="107" t="str">
        <f t="shared" ca="1" si="2386"/>
        <v/>
      </c>
      <c r="AK3098" s="714" t="str">
        <f t="shared" si="2387"/>
        <v/>
      </c>
      <c r="AL3098" s="714"/>
      <c r="AM3098" s="114" t="str">
        <f t="shared" si="2388"/>
        <v/>
      </c>
      <c r="AN3098" s="115"/>
      <c r="AO3098" s="116"/>
      <c r="AP3098" s="116"/>
      <c r="AQ3098" s="116"/>
      <c r="AR3098" s="116"/>
      <c r="AS3098" s="116"/>
      <c r="AT3098" s="116"/>
      <c r="AU3098" s="116"/>
      <c r="AV3098" s="78"/>
      <c r="AW3098" s="102"/>
      <c r="AX3098" s="78"/>
      <c r="AY3098" s="78"/>
      <c r="AZ3098" s="78"/>
      <c r="BA3098" s="78"/>
      <c r="BB3098" s="78"/>
      <c r="BC3098" s="78"/>
      <c r="BD3098" s="78"/>
      <c r="BE3098" s="465"/>
      <c r="BF3098" s="165" t="str">
        <f t="shared" si="2389"/>
        <v>https://www.google.com/search?tbm=isch&amp;q=Lemon%20Lime%20is%20unique%20with%20it%27s%20bright%20Lime-Charteuse%20hue.%20It%20does%20not%20turn%20red%20in%20winter%2C%20as%20most%20Nandina%20do.%20Minimal%20berries%2C%20so%20less%20spreading%20</v>
      </c>
      <c r="BG3098" s="165" t="str">
        <f t="shared" si="2390"/>
        <v>L</v>
      </c>
      <c r="BH3098" s="65"/>
      <c r="BI3098" s="65"/>
      <c r="BJ3098" s="65"/>
      <c r="BK3098" s="65"/>
      <c r="BL3098" s="99"/>
      <c r="BM3098" s="99"/>
      <c r="BN3098" s="99"/>
    </row>
    <row r="3099" spans="1:66" s="51" customFormat="1" ht="18" x14ac:dyDescent="0.25">
      <c r="A3099" s="507" t="s">
        <v>3671</v>
      </c>
      <c r="B3099" s="470"/>
      <c r="C3099" s="706"/>
      <c r="D3099" s="471" t="s">
        <v>3672</v>
      </c>
      <c r="E3099" s="472"/>
      <c r="F3099" s="472"/>
      <c r="G3099" s="472"/>
      <c r="H3099" s="622" t="s">
        <v>1270</v>
      </c>
      <c r="I3099" s="473" t="s">
        <v>3673</v>
      </c>
      <c r="J3099" s="472"/>
      <c r="K3099" s="472"/>
      <c r="L3099" s="561"/>
      <c r="M3099" s="698" t="s">
        <v>5246</v>
      </c>
      <c r="N3099" s="692" t="str">
        <f>IF(AND(ISTEXT($A3099), ISERROR($A3099+0)), HYPERLINK($BF3099, "Images"), "")</f>
        <v>Images</v>
      </c>
      <c r="O3099" s="694" t="s">
        <v>5247</v>
      </c>
      <c r="P3099" s="475"/>
      <c r="Q3099" s="476"/>
      <c r="R3099" s="476"/>
      <c r="S3099" s="477"/>
      <c r="T3099" s="102">
        <f t="shared" si="2378"/>
        <v>0</v>
      </c>
      <c r="U3099" s="78" t="str">
        <f>IF(NOT(ISNUMBER(G3099)), "", VLOOKUP(A3099,'Discount Lookup'!D:E,2,FALSE)*G3099)</f>
        <v/>
      </c>
      <c r="V3099" s="78" t="str">
        <f>IF(NOT(ISNUMBER(G3099)), "", VLOOKUP(A3099,'Discount Lookup'!G:H,2,FALSE)*G3099)</f>
        <v/>
      </c>
      <c r="W3099" s="102">
        <f t="shared" si="2379"/>
        <v>0</v>
      </c>
      <c r="X3099" s="102" t="str">
        <f t="shared" si="2380"/>
        <v>Purple-Plum foliage</v>
      </c>
      <c r="Y3099" s="120" t="b">
        <f t="shared" si="2381"/>
        <v>0</v>
      </c>
      <c r="Z3099" s="117">
        <f t="shared" si="2382"/>
        <v>0</v>
      </c>
      <c r="AA3099" s="118"/>
      <c r="AB3099" s="118" t="str">
        <f t="shared" si="2383"/>
        <v/>
      </c>
      <c r="AC3099" s="712" t="str">
        <f>IF(AE3099="T2G","no charge",IF(AND(OR(PlanterYesMe="No",PlanterYesMe="N",PlanterYesMe="me"),H3099=""),"",IF(H3099="credit","NO install",IF(AND(K3099="",AE3099="me"),"EACH row",IF(AND(K3099="images",AE3099="me"),"EACH row",IF(D3099="","",IF(H3099="credit","",IF(AE3099="free","re-planting",IF(AE3099="me","   not ELP, by",IF(AND(OR(PlanterYesMe="Yes",PlanterYesMe="Y"),G3099&gt;0),(VLOOKUP(A3099,'Discount Lookup'!J:K,2)*G3099*(1-PlanterDiscount)*(1+PlanterDifficultyPercentage)),IF(AE3099="ELP",(VLOOKUP(A3099,'Discount Lookup'!J:K,2)*G3099*(1-PlanterDiscount)*(1+PlanterDifficultyPercentage)),IF(AE3099="free","re-planting",IF(G3099=0,"",IF(PlanterYesMe="",IF(AE3099="me","   not ELP, by",IF(AE3099="",IF(G3099&gt;0,(VLOOKUP(A3099,'Discount Lookup'!J:K,2)*G3099*(1-PlanterDiscount)*(1+PlanterDifficultyPercentage)),""),"")),"   not ELP, by"))))))))))))))</f>
        <v/>
      </c>
      <c r="AD3099" s="712"/>
      <c r="AE3099" s="513" t="str">
        <f t="shared" si="2384"/>
        <v/>
      </c>
      <c r="AF3099" s="713" t="str">
        <f t="shared" si="2385"/>
        <v/>
      </c>
      <c r="AG3099" s="713"/>
      <c r="AH3099" s="713"/>
      <c r="AI3099" s="112">
        <f>IF(H3099="credit",0,IF(AE3099="free",0,IF(AE3099="me",0,IF(G3099&gt;0,(VLOOKUP(A3099,'Discount Lookup'!J:K,2)*G3099),0))))</f>
        <v>0</v>
      </c>
      <c r="AJ3099" s="107" t="str">
        <f t="shared" ca="1" si="2386"/>
        <v/>
      </c>
      <c r="AK3099" s="714" t="str">
        <f t="shared" si="2387"/>
        <v/>
      </c>
      <c r="AL3099" s="714"/>
      <c r="AM3099" s="114" t="str">
        <f t="shared" si="2388"/>
        <v/>
      </c>
      <c r="AN3099" s="115"/>
      <c r="AO3099" s="116"/>
      <c r="AP3099" s="116"/>
      <c r="AQ3099" s="116"/>
      <c r="AR3099" s="116"/>
      <c r="AS3099" s="116"/>
      <c r="AT3099" s="116"/>
      <c r="AU3099" s="116"/>
      <c r="AV3099" s="78"/>
      <c r="AW3099" s="102"/>
      <c r="AX3099" s="78"/>
      <c r="AY3099" s="78"/>
      <c r="AZ3099" s="78"/>
      <c r="BA3099" s="78"/>
      <c r="BB3099" s="78"/>
      <c r="BC3099" s="78"/>
      <c r="BD3099" s="78"/>
      <c r="BE3099" s="465"/>
      <c r="BF3099" s="165" t="str">
        <f t="shared" si="2389"/>
        <v>https://www.google.com/search?tbm=isch&amp;q=Nandina%20domestica%20%27Monum%27%20Plum%20Passion%20Nandina</v>
      </c>
      <c r="BG3099" s="165" t="str">
        <f t="shared" si="2390"/>
        <v>N</v>
      </c>
      <c r="BH3099" s="65"/>
      <c r="BI3099" s="65"/>
      <c r="BJ3099" s="65"/>
      <c r="BK3099" s="65"/>
      <c r="BL3099" s="99"/>
      <c r="BM3099" s="99"/>
      <c r="BN3099" s="99"/>
    </row>
    <row r="3100" spans="1:66" s="51" customFormat="1" ht="15.75" x14ac:dyDescent="0.25">
      <c r="A3100" s="478">
        <v>15</v>
      </c>
      <c r="B3100" s="479" t="s">
        <v>291</v>
      </c>
      <c r="C3100" s="480" t="s">
        <v>3674</v>
      </c>
      <c r="D3100" s="481" t="s">
        <v>299</v>
      </c>
      <c r="E3100" s="482">
        <v>173.95</v>
      </c>
      <c r="F3100" s="483" t="s">
        <v>292</v>
      </c>
      <c r="G3100" s="484">
        <v>0</v>
      </c>
      <c r="H3100" s="688" t="str">
        <f>IF(G3100=0,"",IF(F3100="Buy",IF(G3100=1,"plant","plants"),IF(F3100&gt;0.01,"warranty","Error")))</f>
        <v/>
      </c>
      <c r="I3100" s="485">
        <f>IF(H3100="free",0,IF(H3100="credit",((E3100*(F3100))*G3100*-1),IF(F3100="Buy",(E3100*G3100),((E3100*(1-F3100))*G3100))))</f>
        <v>0</v>
      </c>
      <c r="J3100" s="485">
        <f>IF(H3100="warranty",0,(I3100*(_xlfn.SINGLE(SalesTaxPercentage))))</f>
        <v>0</v>
      </c>
      <c r="K3100" s="715">
        <f t="shared" ref="K3100" si="2394">I3100+J3100</f>
        <v>0</v>
      </c>
      <c r="L3100" s="715"/>
      <c r="M3100" s="689" t="str">
        <f ca="1">IF(AND(G3100&gt;0,E3100=0),"WARNING - no PRICE inserted",IF(H3100="free","FREE ~ no charge this plant",IF(H3100="credit",CONCATENATE("-$",ROUND(K3100*(1-_xlfn.SINGLE(T2GDiscount))*-1,2)," CREDIT after discount"),IF(_xlfn.SINGLE(T2GDiscount)=0,"",IF(G3100=0,"",IF(F3100="Buy",CONCATENATE("$",ROUND(K3100*(1-_xlfn.SINGLE(T2GDiscount)),2)," with ",(_xlfn.SINGLE(T2GDiscount)*100),"% discount"),CONCATENATE("$",ROUND(K3100*(1-_xlfn.SINGLE(T2GDiscount)),2)," with ",((_xlfn.SINGLE(T2GDiscount)*100+F3100*100)-(_xlfn.SINGLE(T2GDiscount)*100*F3100)),IF(F3100&gt;0,"% discounts",IF(_xlfn.SINGLE(NoWarrantyDiscount)&gt;0,"% discounts","% discount")))))))))</f>
        <v/>
      </c>
      <c r="N3100" s="690"/>
      <c r="O3100" s="486"/>
      <c r="P3100" s="486"/>
      <c r="Q3100" s="486"/>
      <c r="R3100" s="486"/>
      <c r="S3100" s="486"/>
      <c r="T3100" s="102">
        <f t="shared" si="2378"/>
        <v>0</v>
      </c>
      <c r="U3100" s="78">
        <f>IF(NOT(ISNUMBER(G3100)), "", VLOOKUP(A3100,'Discount Lookup'!D:E,2,FALSE)*G3100)</f>
        <v>0</v>
      </c>
      <c r="V3100" s="78">
        <f>IF(NOT(ISNUMBER(G3100)), "", VLOOKUP(A3100,'Discount Lookup'!G:H,2,FALSE)*G3100)</f>
        <v>0</v>
      </c>
      <c r="W3100" s="102">
        <f t="shared" si="2379"/>
        <v>0</v>
      </c>
      <c r="X3100" s="102">
        <f t="shared" si="2380"/>
        <v>0</v>
      </c>
      <c r="Y3100" s="120" t="b">
        <f t="shared" si="2381"/>
        <v>0</v>
      </c>
      <c r="Z3100" s="117">
        <f t="shared" si="2382"/>
        <v>0</v>
      </c>
      <c r="AA3100" s="118"/>
      <c r="AB3100" s="118" t="str">
        <f t="shared" si="2383"/>
        <v/>
      </c>
      <c r="AC3100" s="712" t="str">
        <f>IF(AE3100="T2G","no charge",IF(AND(OR(PlanterYesMe="No",PlanterYesMe="N",PlanterYesMe="me"),H3100=""),"",IF(H3100="credit","NO install",IF(AND(K3100="",AE3100="me"),"EACH row",IF(AND(K3100="images",AE3100="me"),"EACH row",IF(D3100="","",IF(H3100="credit","",IF(AE3100="free","re-planting",IF(AE3100="me","   not ELP, by",IF(AND(OR(PlanterYesMe="Yes",PlanterYesMe="Y"),G3100&gt;0),(VLOOKUP(A3100,'Discount Lookup'!J:K,2)*G3100*(1-PlanterDiscount)*(1+PlanterDifficultyPercentage)),IF(AE3100="ELP",(VLOOKUP(A3100,'Discount Lookup'!J:K,2)*G3100*(1-PlanterDiscount)*(1+PlanterDifficultyPercentage)),IF(AE3100="free","re-planting",IF(G3100=0,"",IF(PlanterYesMe="",IF(AE3100="me","   not ELP, by",IF(AE3100="",IF(G3100&gt;0,(VLOOKUP(A3100,'Discount Lookup'!J:K,2)*G3100*(1-PlanterDiscount)*(1+PlanterDifficultyPercentage)),""),"")),"   not ELP, by"))))))))))))))</f>
        <v/>
      </c>
      <c r="AD3100" s="712"/>
      <c r="AE3100" s="513" t="str">
        <f t="shared" si="2384"/>
        <v/>
      </c>
      <c r="AF3100" s="713" t="str">
        <f t="shared" si="2385"/>
        <v/>
      </c>
      <c r="AG3100" s="713"/>
      <c r="AH3100" s="713"/>
      <c r="AI3100" s="112">
        <f>IF(H3100="credit",0,IF(AE3100="free",0,IF(AE3100="me",0,IF(G3100&gt;0,(VLOOKUP(A3100,'Discount Lookup'!J:K,2)*G3100),0))))</f>
        <v>0</v>
      </c>
      <c r="AJ3100" s="107" t="str">
        <f t="shared" ca="1" si="2386"/>
        <v/>
      </c>
      <c r="AK3100" s="714" t="str">
        <f t="shared" si="2387"/>
        <v/>
      </c>
      <c r="AL3100" s="714"/>
      <c r="AM3100" s="114" t="str">
        <f t="shared" si="2388"/>
        <v/>
      </c>
      <c r="AN3100" s="115"/>
      <c r="AO3100" s="116"/>
      <c r="AP3100" s="116"/>
      <c r="AQ3100" s="116"/>
      <c r="AR3100" s="116"/>
      <c r="AS3100" s="116"/>
      <c r="AT3100" s="116"/>
      <c r="AU3100" s="116"/>
      <c r="AV3100" s="78"/>
      <c r="AW3100" s="102"/>
      <c r="AX3100" s="78"/>
      <c r="AY3100" s="78"/>
      <c r="AZ3100" s="78"/>
      <c r="BA3100" s="78"/>
      <c r="BB3100" s="78"/>
      <c r="BC3100" s="78"/>
      <c r="BD3100" s="78"/>
      <c r="BE3100" s="465"/>
      <c r="BF3100" s="165" t="str">
        <f t="shared" si="2389"/>
        <v>https://www.google.com/search?tbm=isch&amp;q=15%20G4</v>
      </c>
      <c r="BG3100" s="165" t="str">
        <f t="shared" si="2390"/>
        <v>N</v>
      </c>
      <c r="BH3100" s="65"/>
      <c r="BI3100" s="65"/>
      <c r="BJ3100" s="65"/>
      <c r="BK3100" s="65"/>
      <c r="BL3100" s="99"/>
      <c r="BM3100" s="99"/>
      <c r="BN3100" s="99"/>
    </row>
    <row r="3101" spans="1:66" s="51" customFormat="1" ht="16.5" thickBot="1" x14ac:dyDescent="0.3">
      <c r="A3101" s="508" t="s">
        <v>3675</v>
      </c>
      <c r="B3101" s="487"/>
      <c r="C3101" s="707"/>
      <c r="D3101" s="487"/>
      <c r="E3101" s="487"/>
      <c r="F3101" s="488"/>
      <c r="G3101" s="489"/>
      <c r="H3101" s="487"/>
      <c r="I3101" s="490"/>
      <c r="J3101" s="490"/>
      <c r="K3101" s="491"/>
      <c r="L3101" s="547"/>
      <c r="M3101" s="528"/>
      <c r="N3101" s="492"/>
      <c r="O3101" s="493"/>
      <c r="P3101" s="494"/>
      <c r="Q3101" s="492"/>
      <c r="R3101" s="492"/>
      <c r="S3101" s="495"/>
      <c r="T3101" s="102">
        <f t="shared" si="2378"/>
        <v>0</v>
      </c>
      <c r="U3101" s="78" t="str">
        <f>IF(NOT(ISNUMBER(G3101)), "", VLOOKUP(A3101,'Discount Lookup'!D:E,2,FALSE)*G3101)</f>
        <v/>
      </c>
      <c r="V3101" s="78" t="str">
        <f>IF(NOT(ISNUMBER(G3101)), "", VLOOKUP(A3101,'Discount Lookup'!G:H,2,FALSE)*G3101)</f>
        <v/>
      </c>
      <c r="W3101" s="102">
        <f t="shared" si="2379"/>
        <v>0</v>
      </c>
      <c r="X3101" s="102">
        <f t="shared" si="2380"/>
        <v>0</v>
      </c>
      <c r="Y3101" s="120" t="b">
        <f t="shared" si="2381"/>
        <v>0</v>
      </c>
      <c r="Z3101" s="117">
        <f t="shared" si="2382"/>
        <v>0</v>
      </c>
      <c r="AA3101" s="118"/>
      <c r="AB3101" s="118" t="str">
        <f t="shared" si="2383"/>
        <v/>
      </c>
      <c r="AC3101" s="712" t="str">
        <f>IF(AE3101="T2G","no charge",IF(AND(OR(PlanterYesMe="No",PlanterYesMe="N",PlanterYesMe="me"),H3101=""),"",IF(H3101="credit","NO install",IF(AND(K3101="",AE3101="me"),"EACH row",IF(AND(K3101="images",AE3101="me"),"EACH row",IF(D3101="","",IF(H3101="credit","",IF(AE3101="free","re-planting",IF(AE3101="me","   not ELP, by",IF(AND(OR(PlanterYesMe="Yes",PlanterYesMe="Y"),G3101&gt;0),(VLOOKUP(A3101,'Discount Lookup'!J:K,2)*G3101*(1-PlanterDiscount)*(1+PlanterDifficultyPercentage)),IF(AE3101="ELP",(VLOOKUP(A3101,'Discount Lookup'!J:K,2)*G3101*(1-PlanterDiscount)*(1+PlanterDifficultyPercentage)),IF(AE3101="free","re-planting",IF(G3101=0,"",IF(PlanterYesMe="",IF(AE3101="me","   not ELP, by",IF(AE3101="",IF(G3101&gt;0,(VLOOKUP(A3101,'Discount Lookup'!J:K,2)*G3101*(1-PlanterDiscount)*(1+PlanterDifficultyPercentage)),""),"")),"   not ELP, by"))))))))))))))</f>
        <v/>
      </c>
      <c r="AD3101" s="712"/>
      <c r="AE3101" s="513" t="str">
        <f t="shared" si="2384"/>
        <v/>
      </c>
      <c r="AF3101" s="713" t="str">
        <f t="shared" si="2385"/>
        <v/>
      </c>
      <c r="AG3101" s="713"/>
      <c r="AH3101" s="713"/>
      <c r="AI3101" s="112">
        <f>IF(H3101="credit",0,IF(AE3101="free",0,IF(AE3101="me",0,IF(G3101&gt;0,(VLOOKUP(A3101,'Discount Lookup'!J:K,2)*G3101),0))))</f>
        <v>0</v>
      </c>
      <c r="AJ3101" s="107" t="str">
        <f t="shared" ca="1" si="2386"/>
        <v/>
      </c>
      <c r="AK3101" s="714" t="str">
        <f t="shared" si="2387"/>
        <v/>
      </c>
      <c r="AL3101" s="714"/>
      <c r="AM3101" s="114" t="str">
        <f t="shared" si="2388"/>
        <v/>
      </c>
      <c r="AN3101" s="115"/>
      <c r="AO3101" s="116"/>
      <c r="AP3101" s="116"/>
      <c r="AQ3101" s="116"/>
      <c r="AR3101" s="116"/>
      <c r="AS3101" s="116"/>
      <c r="AT3101" s="116"/>
      <c r="AU3101" s="116"/>
      <c r="AV3101" s="78"/>
      <c r="AW3101" s="102"/>
      <c r="AX3101" s="78"/>
      <c r="AY3101" s="78"/>
      <c r="AZ3101" s="78"/>
      <c r="BA3101" s="78"/>
      <c r="BB3101" s="78"/>
      <c r="BC3101" s="78"/>
      <c r="BD3101" s="78"/>
      <c r="BE3101" s="465"/>
      <c r="BF3101" s="165" t="str">
        <f t="shared" si="2389"/>
        <v>https://www.google.com/search?tbm=isch&amp;q=Plum%20Passion%20known%20for%20deep%2C%20saturated%20color%2C%20that%20deepens%20to%20Rich%20Burgundy-Purple%20in%20fall%2Fwinter.%20Sparse%20berries%20for%20less%20spreading%20</v>
      </c>
      <c r="BG3101" s="165" t="str">
        <f t="shared" si="2390"/>
        <v>P</v>
      </c>
      <c r="BH3101" s="65"/>
      <c r="BI3101" s="65"/>
      <c r="BJ3101" s="65"/>
      <c r="BK3101" s="65"/>
      <c r="BL3101" s="99"/>
      <c r="BM3101" s="99"/>
      <c r="BN3101" s="99"/>
    </row>
    <row r="3102" spans="1:66" s="51" customFormat="1" ht="18" x14ac:dyDescent="0.25">
      <c r="A3102" s="507" t="s">
        <v>3676</v>
      </c>
      <c r="B3102" s="470"/>
      <c r="C3102" s="706"/>
      <c r="D3102" s="471" t="s">
        <v>5740</v>
      </c>
      <c r="E3102" s="472"/>
      <c r="F3102" s="472"/>
      <c r="G3102" s="472"/>
      <c r="H3102" s="622" t="s">
        <v>1407</v>
      </c>
      <c r="I3102" s="473" t="s">
        <v>3677</v>
      </c>
      <c r="J3102" s="472"/>
      <c r="K3102" s="472"/>
      <c r="L3102" s="561"/>
      <c r="M3102" s="698" t="s">
        <v>5246</v>
      </c>
      <c r="N3102" s="692" t="str">
        <f>IF(AND(ISTEXT($A3102), ISERROR($A3102+0)), HYPERLINK($BF3102, "Images"), "")</f>
        <v>Images</v>
      </c>
      <c r="O3102" s="694" t="s">
        <v>5247</v>
      </c>
      <c r="P3102" s="475"/>
      <c r="Q3102" s="476"/>
      <c r="R3102" s="476"/>
      <c r="S3102" s="477"/>
      <c r="T3102" s="102">
        <f t="shared" si="2378"/>
        <v>0</v>
      </c>
      <c r="U3102" s="78" t="str">
        <f>IF(NOT(ISNUMBER(G3102)), "", VLOOKUP(A3102,'Discount Lookup'!D:E,2,FALSE)*G3102)</f>
        <v/>
      </c>
      <c r="V3102" s="78" t="str">
        <f>IF(NOT(ISNUMBER(G3102)), "", VLOOKUP(A3102,'Discount Lookup'!G:H,2,FALSE)*G3102)</f>
        <v/>
      </c>
      <c r="W3102" s="102">
        <f t="shared" si="2379"/>
        <v>0</v>
      </c>
      <c r="X3102" s="102" t="str">
        <f t="shared" si="2380"/>
        <v>Green &amp; Red foliage</v>
      </c>
      <c r="Y3102" s="120" t="b">
        <f t="shared" si="2381"/>
        <v>0</v>
      </c>
      <c r="Z3102" s="117">
        <f t="shared" si="2382"/>
        <v>0</v>
      </c>
      <c r="AA3102" s="118"/>
      <c r="AB3102" s="118" t="str">
        <f t="shared" si="2383"/>
        <v/>
      </c>
      <c r="AC3102" s="712" t="str">
        <f>IF(AE3102="T2G","no charge",IF(AND(OR(PlanterYesMe="No",PlanterYesMe="N",PlanterYesMe="me"),H3102=""),"",IF(H3102="credit","NO install",IF(AND(K3102="",AE3102="me"),"EACH row",IF(AND(K3102="images",AE3102="me"),"EACH row",IF(D3102="","",IF(H3102="credit","",IF(AE3102="free","re-planting",IF(AE3102="me","   not ELP, by",IF(AND(OR(PlanterYesMe="Yes",PlanterYesMe="Y"),G3102&gt;0),(VLOOKUP(A3102,'Discount Lookup'!J:K,2)*G3102*(1-PlanterDiscount)*(1+PlanterDifficultyPercentage)),IF(AE3102="ELP",(VLOOKUP(A3102,'Discount Lookup'!J:K,2)*G3102*(1-PlanterDiscount)*(1+PlanterDifficultyPercentage)),IF(AE3102="free","re-planting",IF(G3102=0,"",IF(PlanterYesMe="",IF(AE3102="me","   not ELP, by",IF(AE3102="",IF(G3102&gt;0,(VLOOKUP(A3102,'Discount Lookup'!J:K,2)*G3102*(1-PlanterDiscount)*(1+PlanterDifficultyPercentage)),""),"")),"   not ELP, by"))))))))))))))</f>
        <v/>
      </c>
      <c r="AD3102" s="712"/>
      <c r="AE3102" s="513" t="str">
        <f t="shared" si="2384"/>
        <v/>
      </c>
      <c r="AF3102" s="713" t="str">
        <f t="shared" si="2385"/>
        <v/>
      </c>
      <c r="AG3102" s="713"/>
      <c r="AH3102" s="713"/>
      <c r="AI3102" s="112">
        <f>IF(H3102="credit",0,IF(AE3102="free",0,IF(AE3102="me",0,IF(G3102&gt;0,(VLOOKUP(A3102,'Discount Lookup'!J:K,2)*G3102),0))))</f>
        <v>0</v>
      </c>
      <c r="AJ3102" s="107" t="str">
        <f t="shared" ca="1" si="2386"/>
        <v/>
      </c>
      <c r="AK3102" s="714" t="str">
        <f t="shared" si="2387"/>
        <v/>
      </c>
      <c r="AL3102" s="714"/>
      <c r="AM3102" s="114" t="str">
        <f t="shared" si="2388"/>
        <v/>
      </c>
      <c r="AN3102" s="115"/>
      <c r="AO3102" s="116"/>
      <c r="AP3102" s="116"/>
      <c r="AQ3102" s="116"/>
      <c r="AR3102" s="116"/>
      <c r="AS3102" s="116"/>
      <c r="AT3102" s="116"/>
      <c r="AU3102" s="116"/>
      <c r="AV3102" s="78"/>
      <c r="AW3102" s="102"/>
      <c r="AX3102" s="78"/>
      <c r="AY3102" s="78"/>
      <c r="AZ3102" s="78"/>
      <c r="BA3102" s="78"/>
      <c r="BB3102" s="78"/>
      <c r="BC3102" s="78"/>
      <c r="BD3102" s="78"/>
      <c r="BE3102" s="465"/>
      <c r="BF3102" s="165" t="str">
        <f t="shared" si="2389"/>
        <v>https://www.google.com/search?tbm=isch&amp;q=Nandina%20domestica%20%27Murasaki%27%20PP%2321391%20Flirt%E2%84%A2%20Nandina</v>
      </c>
      <c r="BG3102" s="165" t="str">
        <f t="shared" si="2390"/>
        <v>N</v>
      </c>
      <c r="BH3102" s="65"/>
      <c r="BI3102" s="65"/>
      <c r="BJ3102" s="65"/>
      <c r="BK3102" s="65"/>
      <c r="BL3102" s="99"/>
      <c r="BM3102" s="99"/>
      <c r="BN3102" s="99"/>
    </row>
    <row r="3103" spans="1:66" s="51" customFormat="1" ht="15.75" x14ac:dyDescent="0.25">
      <c r="A3103" s="478">
        <v>1</v>
      </c>
      <c r="B3103" s="479" t="s">
        <v>291</v>
      </c>
      <c r="C3103" s="480" t="s">
        <v>3678</v>
      </c>
      <c r="D3103" s="481" t="s">
        <v>329</v>
      </c>
      <c r="E3103" s="482">
        <v>28.95</v>
      </c>
      <c r="F3103" s="483" t="s">
        <v>292</v>
      </c>
      <c r="G3103" s="484">
        <v>0</v>
      </c>
      <c r="H3103" s="688" t="str">
        <f>IF(G3103=0,"",IF(F3103="Buy",IF(G3103=1,"plant","plants"),IF(F3103&gt;0.01,"warranty","Error")))</f>
        <v/>
      </c>
      <c r="I3103" s="485">
        <f>IF(H3103="free",0,IF(H3103="credit",((E3103*(F3103))*G3103*-1),IF(F3103="Buy",(E3103*G3103),((E3103*(1-F3103))*G3103))))</f>
        <v>0</v>
      </c>
      <c r="J3103" s="485">
        <f>IF(H3103="warranty",0,(I3103*(_xlfn.SINGLE(SalesTaxPercentage))))</f>
        <v>0</v>
      </c>
      <c r="K3103" s="715">
        <f t="shared" ref="K3103" si="2395">I3103+J3103</f>
        <v>0</v>
      </c>
      <c r="L3103" s="715"/>
      <c r="M3103" s="689" t="str">
        <f ca="1">IF(AND(G3103&gt;0,E3103=0),"WARNING - no PRICE inserted",IF(H3103="free","FREE ~ no charge this plant",IF(H3103="credit",CONCATENATE("-$",ROUND(K3103*(1-_xlfn.SINGLE(T2GDiscount))*-1,2)," CREDIT after discount"),IF(_xlfn.SINGLE(T2GDiscount)=0,"",IF(G3103=0,"",IF(F3103="Buy",CONCATENATE("$",ROUND(K3103*(1-_xlfn.SINGLE(T2GDiscount)),2)," with ",(_xlfn.SINGLE(T2GDiscount)*100),"% discount"),CONCATENATE("$",ROUND(K3103*(1-_xlfn.SINGLE(T2GDiscount)),2)," with ",((_xlfn.SINGLE(T2GDiscount)*100+F3103*100)-(_xlfn.SINGLE(T2GDiscount)*100*F3103)),IF(F3103&gt;0,"% discounts",IF(_xlfn.SINGLE(NoWarrantyDiscount)&gt;0,"% discounts","% discount")))))))))</f>
        <v/>
      </c>
      <c r="N3103" s="690"/>
      <c r="O3103" s="486"/>
      <c r="P3103" s="486"/>
      <c r="Q3103" s="486"/>
      <c r="R3103" s="486"/>
      <c r="S3103" s="486"/>
      <c r="T3103" s="102">
        <f t="shared" si="2378"/>
        <v>0</v>
      </c>
      <c r="U3103" s="78">
        <f>IF(NOT(ISNUMBER(G3103)), "", VLOOKUP(A3103,'Discount Lookup'!D:E,2,FALSE)*G3103)</f>
        <v>0</v>
      </c>
      <c r="V3103" s="78">
        <f>IF(NOT(ISNUMBER(G3103)), "", VLOOKUP(A3103,'Discount Lookup'!G:H,2,FALSE)*G3103)</f>
        <v>0</v>
      </c>
      <c r="W3103" s="102">
        <f t="shared" si="2379"/>
        <v>0</v>
      </c>
      <c r="X3103" s="102">
        <f t="shared" si="2380"/>
        <v>0</v>
      </c>
      <c r="Y3103" s="120" t="b">
        <f t="shared" si="2381"/>
        <v>0</v>
      </c>
      <c r="Z3103" s="117">
        <f t="shared" si="2382"/>
        <v>0</v>
      </c>
      <c r="AA3103" s="118"/>
      <c r="AB3103" s="118" t="str">
        <f t="shared" si="2383"/>
        <v/>
      </c>
      <c r="AC3103" s="712" t="str">
        <f>IF(AE3103="T2G","no charge",IF(AND(OR(PlanterYesMe="No",PlanterYesMe="N",PlanterYesMe="me"),H3103=""),"",IF(H3103="credit","NO install",IF(AND(K3103="",AE3103="me"),"EACH row",IF(AND(K3103="images",AE3103="me"),"EACH row",IF(D3103="","",IF(H3103="credit","",IF(AE3103="free","re-planting",IF(AE3103="me","   not ELP, by",IF(AND(OR(PlanterYesMe="Yes",PlanterYesMe="Y"),G3103&gt;0),(VLOOKUP(A3103,'Discount Lookup'!J:K,2)*G3103*(1-PlanterDiscount)*(1+PlanterDifficultyPercentage)),IF(AE3103="ELP",(VLOOKUP(A3103,'Discount Lookup'!J:K,2)*G3103*(1-PlanterDiscount)*(1+PlanterDifficultyPercentage)),IF(AE3103="free","re-planting",IF(G3103=0,"",IF(PlanterYesMe="",IF(AE3103="me","   not ELP, by",IF(AE3103="",IF(G3103&gt;0,(VLOOKUP(A3103,'Discount Lookup'!J:K,2)*G3103*(1-PlanterDiscount)*(1+PlanterDifficultyPercentage)),""),"")),"   not ELP, by"))))))))))))))</f>
        <v/>
      </c>
      <c r="AD3103" s="712"/>
      <c r="AE3103" s="513" t="str">
        <f t="shared" si="2384"/>
        <v/>
      </c>
      <c r="AF3103" s="713" t="str">
        <f t="shared" si="2385"/>
        <v/>
      </c>
      <c r="AG3103" s="713"/>
      <c r="AH3103" s="713"/>
      <c r="AI3103" s="112">
        <f>IF(H3103="credit",0,IF(AE3103="free",0,IF(AE3103="me",0,IF(G3103&gt;0,(VLOOKUP(A3103,'Discount Lookup'!J:K,2)*G3103),0))))</f>
        <v>0</v>
      </c>
      <c r="AJ3103" s="107" t="str">
        <f t="shared" ca="1" si="2386"/>
        <v/>
      </c>
      <c r="AK3103" s="714" t="str">
        <f t="shared" si="2387"/>
        <v/>
      </c>
      <c r="AL3103" s="714"/>
      <c r="AM3103" s="114" t="str">
        <f t="shared" si="2388"/>
        <v/>
      </c>
      <c r="AN3103" s="115"/>
      <c r="AO3103" s="116"/>
      <c r="AP3103" s="116"/>
      <c r="AQ3103" s="116"/>
      <c r="AR3103" s="116"/>
      <c r="AS3103" s="116"/>
      <c r="AT3103" s="116"/>
      <c r="AU3103" s="116"/>
      <c r="AV3103" s="78"/>
      <c r="AW3103" s="102"/>
      <c r="AX3103" s="78"/>
      <c r="AY3103" s="78"/>
      <c r="AZ3103" s="78"/>
      <c r="BA3103" s="78"/>
      <c r="BB3103" s="78"/>
      <c r="BC3103" s="78"/>
      <c r="BD3103" s="78"/>
      <c r="BE3103" s="465"/>
      <c r="BF3103" s="165" t="str">
        <f t="shared" si="2389"/>
        <v>https://www.google.com/search?tbm=isch&amp;q=1%20G2</v>
      </c>
      <c r="BG3103" s="165" t="str">
        <f t="shared" si="2390"/>
        <v>N</v>
      </c>
      <c r="BH3103" s="65"/>
      <c r="BI3103" s="65"/>
      <c r="BJ3103" s="65"/>
      <c r="BK3103" s="65"/>
      <c r="BL3103" s="99"/>
      <c r="BM3103" s="99"/>
      <c r="BN3103" s="99"/>
    </row>
    <row r="3104" spans="1:66" s="51" customFormat="1" ht="15.75" x14ac:dyDescent="0.25">
      <c r="A3104" s="478">
        <v>3</v>
      </c>
      <c r="B3104" s="479" t="s">
        <v>291</v>
      </c>
      <c r="C3104" s="480" t="s">
        <v>3679</v>
      </c>
      <c r="D3104" s="481" t="s">
        <v>329</v>
      </c>
      <c r="E3104" s="482">
        <v>43.95</v>
      </c>
      <c r="F3104" s="483" t="s">
        <v>292</v>
      </c>
      <c r="G3104" s="484">
        <v>0</v>
      </c>
      <c r="H3104" s="688" t="str">
        <f>IF(G3104=0,"",IF(F3104="Buy",IF(G3104=1,"plant","plants"),IF(F3104&gt;0.01,"warranty","Error")))</f>
        <v/>
      </c>
      <c r="I3104" s="485">
        <f>IF(H3104="free",0,IF(H3104="credit",((E3104*(F3104))*G3104*-1),IF(F3104="Buy",(E3104*G3104),((E3104*(1-F3104))*G3104))))</f>
        <v>0</v>
      </c>
      <c r="J3104" s="485">
        <f>IF(H3104="warranty",0,(I3104*(_xlfn.SINGLE(SalesTaxPercentage))))</f>
        <v>0</v>
      </c>
      <c r="K3104" s="715">
        <f t="shared" ref="K3104" si="2396">I3104+J3104</f>
        <v>0</v>
      </c>
      <c r="L3104" s="715"/>
      <c r="M3104" s="689" t="str">
        <f ca="1">IF(AND(G3104&gt;0,E3104=0),"WARNING - no PRICE inserted",IF(H3104="free","FREE ~ no charge this plant",IF(H3104="credit",CONCATENATE("-$",ROUND(K3104*(1-_xlfn.SINGLE(T2GDiscount))*-1,2)," CREDIT after discount"),IF(_xlfn.SINGLE(T2GDiscount)=0,"",IF(G3104=0,"",IF(F3104="Buy",CONCATENATE("$",ROUND(K3104*(1-_xlfn.SINGLE(T2GDiscount)),2)," with ",(_xlfn.SINGLE(T2GDiscount)*100),"% discount"),CONCATENATE("$",ROUND(K3104*(1-_xlfn.SINGLE(T2GDiscount)),2)," with ",((_xlfn.SINGLE(T2GDiscount)*100+F3104*100)-(_xlfn.SINGLE(T2GDiscount)*100*F3104)),IF(F3104&gt;0,"% discounts",IF(_xlfn.SINGLE(NoWarrantyDiscount)&gt;0,"% discounts","% discount")))))))))</f>
        <v/>
      </c>
      <c r="N3104" s="690"/>
      <c r="O3104" s="486"/>
      <c r="P3104" s="486"/>
      <c r="Q3104" s="486"/>
      <c r="R3104" s="486"/>
      <c r="S3104" s="486"/>
      <c r="T3104" s="102">
        <f t="shared" si="2378"/>
        <v>0</v>
      </c>
      <c r="U3104" s="78">
        <f>IF(NOT(ISNUMBER(G3104)), "", VLOOKUP(A3104,'Discount Lookup'!D:E,2,FALSE)*G3104)</f>
        <v>0</v>
      </c>
      <c r="V3104" s="78">
        <f>IF(NOT(ISNUMBER(G3104)), "", VLOOKUP(A3104,'Discount Lookup'!G:H,2,FALSE)*G3104)</f>
        <v>0</v>
      </c>
      <c r="W3104" s="102">
        <f t="shared" si="2379"/>
        <v>0</v>
      </c>
      <c r="X3104" s="102">
        <f t="shared" si="2380"/>
        <v>0</v>
      </c>
      <c r="Y3104" s="120" t="b">
        <f t="shared" si="2381"/>
        <v>0</v>
      </c>
      <c r="Z3104" s="117">
        <f t="shared" si="2382"/>
        <v>0</v>
      </c>
      <c r="AA3104" s="118"/>
      <c r="AB3104" s="118" t="str">
        <f t="shared" si="2383"/>
        <v/>
      </c>
      <c r="AC3104" s="712" t="str">
        <f>IF(AE3104="T2G","no charge",IF(AND(OR(PlanterYesMe="No",PlanterYesMe="N",PlanterYesMe="me"),H3104=""),"",IF(H3104="credit","NO install",IF(AND(K3104="",AE3104="me"),"EACH row",IF(AND(K3104="images",AE3104="me"),"EACH row",IF(D3104="","",IF(H3104="credit","",IF(AE3104="free","re-planting",IF(AE3104="me","   not ELP, by",IF(AND(OR(PlanterYesMe="Yes",PlanterYesMe="Y"),G3104&gt;0),(VLOOKUP(A3104,'Discount Lookup'!J:K,2)*G3104*(1-PlanterDiscount)*(1+PlanterDifficultyPercentage)),IF(AE3104="ELP",(VLOOKUP(A3104,'Discount Lookup'!J:K,2)*G3104*(1-PlanterDiscount)*(1+PlanterDifficultyPercentage)),IF(AE3104="free","re-planting",IF(G3104=0,"",IF(PlanterYesMe="",IF(AE3104="me","   not ELP, by",IF(AE3104="",IF(G3104&gt;0,(VLOOKUP(A3104,'Discount Lookup'!J:K,2)*G3104*(1-PlanterDiscount)*(1+PlanterDifficultyPercentage)),""),"")),"   not ELP, by"))))))))))))))</f>
        <v/>
      </c>
      <c r="AD3104" s="712"/>
      <c r="AE3104" s="513" t="str">
        <f t="shared" si="2384"/>
        <v/>
      </c>
      <c r="AF3104" s="713" t="str">
        <f t="shared" si="2385"/>
        <v/>
      </c>
      <c r="AG3104" s="713"/>
      <c r="AH3104" s="713"/>
      <c r="AI3104" s="112">
        <f>IF(H3104="credit",0,IF(AE3104="free",0,IF(AE3104="me",0,IF(G3104&gt;0,(VLOOKUP(A3104,'Discount Lookup'!J:K,2)*G3104),0))))</f>
        <v>0</v>
      </c>
      <c r="AJ3104" s="107" t="str">
        <f t="shared" ca="1" si="2386"/>
        <v/>
      </c>
      <c r="AK3104" s="714" t="str">
        <f t="shared" si="2387"/>
        <v/>
      </c>
      <c r="AL3104" s="714"/>
      <c r="AM3104" s="114" t="str">
        <f t="shared" si="2388"/>
        <v/>
      </c>
      <c r="AN3104" s="115"/>
      <c r="AO3104" s="116"/>
      <c r="AP3104" s="116"/>
      <c r="AQ3104" s="116"/>
      <c r="AR3104" s="116"/>
      <c r="AS3104" s="116"/>
      <c r="AT3104" s="116"/>
      <c r="AU3104" s="116"/>
      <c r="AV3104" s="78"/>
      <c r="AW3104" s="102"/>
      <c r="AX3104" s="78"/>
      <c r="AY3104" s="78"/>
      <c r="AZ3104" s="78"/>
      <c r="BA3104" s="78"/>
      <c r="BB3104" s="78"/>
      <c r="BC3104" s="78"/>
      <c r="BD3104" s="78"/>
      <c r="BE3104" s="465"/>
      <c r="BF3104" s="165" t="str">
        <f t="shared" si="2389"/>
        <v>https://www.google.com/search?tbm=isch&amp;q=3%20G2</v>
      </c>
      <c r="BG3104" s="165" t="str">
        <f t="shared" si="2390"/>
        <v>N</v>
      </c>
      <c r="BH3104" s="65"/>
      <c r="BI3104" s="65"/>
      <c r="BJ3104" s="65"/>
      <c r="BK3104" s="65"/>
      <c r="BL3104" s="99"/>
      <c r="BM3104" s="99"/>
      <c r="BN3104" s="99"/>
    </row>
    <row r="3105" spans="1:66" s="51" customFormat="1" ht="16.5" thickBot="1" x14ac:dyDescent="0.3">
      <c r="A3105" s="508" t="s">
        <v>3680</v>
      </c>
      <c r="B3105" s="487"/>
      <c r="C3105" s="707"/>
      <c r="D3105" s="487"/>
      <c r="E3105" s="487"/>
      <c r="F3105" s="488"/>
      <c r="G3105" s="489"/>
      <c r="H3105" s="487"/>
      <c r="I3105" s="490"/>
      <c r="J3105" s="490"/>
      <c r="K3105" s="491"/>
      <c r="L3105" s="547"/>
      <c r="M3105" s="528"/>
      <c r="N3105" s="492"/>
      <c r="O3105" s="493"/>
      <c r="P3105" s="494"/>
      <c r="Q3105" s="492"/>
      <c r="R3105" s="492"/>
      <c r="S3105" s="495"/>
      <c r="T3105" s="102">
        <f t="shared" si="2378"/>
        <v>0</v>
      </c>
      <c r="U3105" s="78" t="str">
        <f>IF(NOT(ISNUMBER(G3105)), "", VLOOKUP(A3105,'Discount Lookup'!D:E,2,FALSE)*G3105)</f>
        <v/>
      </c>
      <c r="V3105" s="78" t="str">
        <f>IF(NOT(ISNUMBER(G3105)), "", VLOOKUP(A3105,'Discount Lookup'!G:H,2,FALSE)*G3105)</f>
        <v/>
      </c>
      <c r="W3105" s="102">
        <f t="shared" si="2379"/>
        <v>0</v>
      </c>
      <c r="X3105" s="102">
        <f t="shared" si="2380"/>
        <v>0</v>
      </c>
      <c r="Y3105" s="120" t="b">
        <f t="shared" si="2381"/>
        <v>0</v>
      </c>
      <c r="Z3105" s="117">
        <f t="shared" si="2382"/>
        <v>0</v>
      </c>
      <c r="AA3105" s="118"/>
      <c r="AB3105" s="118" t="str">
        <f t="shared" si="2383"/>
        <v/>
      </c>
      <c r="AC3105" s="712" t="str">
        <f>IF(AE3105="T2G","no charge",IF(AND(OR(PlanterYesMe="No",PlanterYesMe="N",PlanterYesMe="me"),H3105=""),"",IF(H3105="credit","NO install",IF(AND(K3105="",AE3105="me"),"EACH row",IF(AND(K3105="images",AE3105="me"),"EACH row",IF(D3105="","",IF(H3105="credit","",IF(AE3105="free","re-planting",IF(AE3105="me","   not ELP, by",IF(AND(OR(PlanterYesMe="Yes",PlanterYesMe="Y"),G3105&gt;0),(VLOOKUP(A3105,'Discount Lookup'!J:K,2)*G3105*(1-PlanterDiscount)*(1+PlanterDifficultyPercentage)),IF(AE3105="ELP",(VLOOKUP(A3105,'Discount Lookup'!J:K,2)*G3105*(1-PlanterDiscount)*(1+PlanterDifficultyPercentage)),IF(AE3105="free","re-planting",IF(G3105=0,"",IF(PlanterYesMe="",IF(AE3105="me","   not ELP, by",IF(AE3105="",IF(G3105&gt;0,(VLOOKUP(A3105,'Discount Lookup'!J:K,2)*G3105*(1-PlanterDiscount)*(1+PlanterDifficultyPercentage)),""),"")),"   not ELP, by"))))))))))))))</f>
        <v/>
      </c>
      <c r="AD3105" s="712"/>
      <c r="AE3105" s="513" t="str">
        <f t="shared" si="2384"/>
        <v/>
      </c>
      <c r="AF3105" s="713" t="str">
        <f t="shared" si="2385"/>
        <v/>
      </c>
      <c r="AG3105" s="713"/>
      <c r="AH3105" s="713"/>
      <c r="AI3105" s="112">
        <f>IF(H3105="credit",0,IF(AE3105="free",0,IF(AE3105="me",0,IF(G3105&gt;0,(VLOOKUP(A3105,'Discount Lookup'!J:K,2)*G3105),0))))</f>
        <v>0</v>
      </c>
      <c r="AJ3105" s="107" t="str">
        <f t="shared" ca="1" si="2386"/>
        <v/>
      </c>
      <c r="AK3105" s="714" t="str">
        <f t="shared" si="2387"/>
        <v/>
      </c>
      <c r="AL3105" s="714"/>
      <c r="AM3105" s="114" t="str">
        <f t="shared" si="2388"/>
        <v/>
      </c>
      <c r="AN3105" s="115"/>
      <c r="AO3105" s="116"/>
      <c r="AP3105" s="116"/>
      <c r="AQ3105" s="116"/>
      <c r="AR3105" s="116"/>
      <c r="AS3105" s="116"/>
      <c r="AT3105" s="116"/>
      <c r="AU3105" s="116"/>
      <c r="AV3105" s="78"/>
      <c r="AW3105" s="102"/>
      <c r="AX3105" s="78"/>
      <c r="AY3105" s="78"/>
      <c r="AZ3105" s="78"/>
      <c r="BA3105" s="78"/>
      <c r="BB3105" s="78"/>
      <c r="BC3105" s="78"/>
      <c r="BD3105" s="78"/>
      <c r="BE3105" s="465"/>
      <c r="BF3105" s="165" t="str">
        <f t="shared" si="2389"/>
        <v>https://www.google.com/search?tbm=isch&amp;q=Flirt%20foliage%20seems%20to%20%27wink%27%20at%20you%20as%20the%20Bright%20Red%20topside%20interplays%20with%20the%20Green%20underside.%20Holds%20color%20in%20fall%2Fwinter.%20Sterile%2C%20but%20will%20spread%20by%20rhizomes%20</v>
      </c>
      <c r="BG3105" s="165" t="str">
        <f t="shared" si="2390"/>
        <v>F</v>
      </c>
      <c r="BH3105" s="65"/>
      <c r="BI3105" s="65"/>
      <c r="BJ3105" s="65"/>
      <c r="BK3105" s="65"/>
      <c r="BL3105" s="99"/>
      <c r="BM3105" s="99"/>
      <c r="BN3105" s="99"/>
    </row>
    <row r="3106" spans="1:66" s="51" customFormat="1" ht="18" x14ac:dyDescent="0.25">
      <c r="A3106" s="507" t="s">
        <v>3681</v>
      </c>
      <c r="B3106" s="470"/>
      <c r="C3106" s="706"/>
      <c r="D3106" s="471" t="s">
        <v>5741</v>
      </c>
      <c r="E3106" s="472"/>
      <c r="F3106" s="472"/>
      <c r="G3106" s="472"/>
      <c r="H3106" s="622" t="s">
        <v>1124</v>
      </c>
      <c r="I3106" s="473" t="s">
        <v>3677</v>
      </c>
      <c r="J3106" s="472"/>
      <c r="K3106" s="472"/>
      <c r="L3106" s="561"/>
      <c r="M3106" s="698" t="s">
        <v>5246</v>
      </c>
      <c r="N3106" s="692" t="str">
        <f>IF(AND(ISTEXT($A3106), ISERROR($A3106+0)), HYPERLINK($BF3106, "Images"), "")</f>
        <v>Images</v>
      </c>
      <c r="O3106" s="694" t="s">
        <v>5247</v>
      </c>
      <c r="P3106" s="475"/>
      <c r="Q3106" s="476"/>
      <c r="R3106" s="476"/>
      <c r="S3106" s="477"/>
      <c r="T3106" s="102">
        <f t="shared" si="2378"/>
        <v>0</v>
      </c>
      <c r="U3106" s="78" t="str">
        <f>IF(NOT(ISNUMBER(G3106)), "", VLOOKUP(A3106,'Discount Lookup'!D:E,2,FALSE)*G3106)</f>
        <v/>
      </c>
      <c r="V3106" s="78" t="str">
        <f>IF(NOT(ISNUMBER(G3106)), "", VLOOKUP(A3106,'Discount Lookup'!G:H,2,FALSE)*G3106)</f>
        <v/>
      </c>
      <c r="W3106" s="102">
        <f t="shared" si="2379"/>
        <v>0</v>
      </c>
      <c r="X3106" s="102" t="str">
        <f t="shared" si="2380"/>
        <v>Green &amp; Red foliage</v>
      </c>
      <c r="Y3106" s="120" t="b">
        <f t="shared" si="2381"/>
        <v>0</v>
      </c>
      <c r="Z3106" s="117">
        <f t="shared" si="2382"/>
        <v>0</v>
      </c>
      <c r="AA3106" s="118"/>
      <c r="AB3106" s="118" t="str">
        <f t="shared" si="2383"/>
        <v/>
      </c>
      <c r="AC3106" s="712" t="str">
        <f>IF(AE3106="T2G","no charge",IF(AND(OR(PlanterYesMe="No",PlanterYesMe="N",PlanterYesMe="me"),H3106=""),"",IF(H3106="credit","NO install",IF(AND(K3106="",AE3106="me"),"EACH row",IF(AND(K3106="images",AE3106="me"),"EACH row",IF(D3106="","",IF(H3106="credit","",IF(AE3106="free","re-planting",IF(AE3106="me","   not ELP, by",IF(AND(OR(PlanterYesMe="Yes",PlanterYesMe="Y"),G3106&gt;0),(VLOOKUP(A3106,'Discount Lookup'!J:K,2)*G3106*(1-PlanterDiscount)*(1+PlanterDifficultyPercentage)),IF(AE3106="ELP",(VLOOKUP(A3106,'Discount Lookup'!J:K,2)*G3106*(1-PlanterDiscount)*(1+PlanterDifficultyPercentage)),IF(AE3106="free","re-planting",IF(G3106=0,"",IF(PlanterYesMe="",IF(AE3106="me","   not ELP, by",IF(AE3106="",IF(G3106&gt;0,(VLOOKUP(A3106,'Discount Lookup'!J:K,2)*G3106*(1-PlanterDiscount)*(1+PlanterDifficultyPercentage)),""),"")),"   not ELP, by"))))))))))))))</f>
        <v/>
      </c>
      <c r="AD3106" s="712"/>
      <c r="AE3106" s="513" t="str">
        <f t="shared" si="2384"/>
        <v/>
      </c>
      <c r="AF3106" s="713" t="str">
        <f t="shared" si="2385"/>
        <v/>
      </c>
      <c r="AG3106" s="713"/>
      <c r="AH3106" s="713"/>
      <c r="AI3106" s="112">
        <f>IF(H3106="credit",0,IF(AE3106="free",0,IF(AE3106="me",0,IF(G3106&gt;0,(VLOOKUP(A3106,'Discount Lookup'!J:K,2)*G3106),0))))</f>
        <v>0</v>
      </c>
      <c r="AJ3106" s="107" t="str">
        <f t="shared" ca="1" si="2386"/>
        <v/>
      </c>
      <c r="AK3106" s="714" t="str">
        <f t="shared" si="2387"/>
        <v/>
      </c>
      <c r="AL3106" s="714"/>
      <c r="AM3106" s="114" t="str">
        <f t="shared" si="2388"/>
        <v/>
      </c>
      <c r="AN3106" s="115"/>
      <c r="AO3106" s="116"/>
      <c r="AP3106" s="116"/>
      <c r="AQ3106" s="116"/>
      <c r="AR3106" s="116"/>
      <c r="AS3106" s="116"/>
      <c r="AT3106" s="116"/>
      <c r="AU3106" s="116"/>
      <c r="AV3106" s="78"/>
      <c r="AW3106" s="102"/>
      <c r="AX3106" s="78"/>
      <c r="AY3106" s="78"/>
      <c r="AZ3106" s="78"/>
      <c r="BA3106" s="78"/>
      <c r="BB3106" s="78"/>
      <c r="BC3106" s="78"/>
      <c r="BD3106" s="78"/>
      <c r="BE3106" s="465"/>
      <c r="BF3106" s="165" t="str">
        <f t="shared" si="2389"/>
        <v>https://www.google.com/search?tbm=isch&amp;q=Nandina%20domestica%20%27Seika%27%20PP%2321891%20Obsession%E2%84%A2%20Nandina</v>
      </c>
      <c r="BG3106" s="165" t="str">
        <f t="shared" si="2390"/>
        <v>N</v>
      </c>
      <c r="BH3106" s="65"/>
      <c r="BI3106" s="65"/>
      <c r="BJ3106" s="65"/>
      <c r="BK3106" s="65"/>
      <c r="BL3106" s="99"/>
      <c r="BM3106" s="99"/>
      <c r="BN3106" s="99"/>
    </row>
    <row r="3107" spans="1:66" s="51" customFormat="1" ht="15.75" x14ac:dyDescent="0.25">
      <c r="A3107" s="478">
        <v>1</v>
      </c>
      <c r="B3107" s="479" t="s">
        <v>291</v>
      </c>
      <c r="C3107" s="480" t="s">
        <v>884</v>
      </c>
      <c r="D3107" s="481" t="s">
        <v>329</v>
      </c>
      <c r="E3107" s="482">
        <v>28.95</v>
      </c>
      <c r="F3107" s="483" t="s">
        <v>292</v>
      </c>
      <c r="G3107" s="484">
        <v>0</v>
      </c>
      <c r="H3107" s="688" t="str">
        <f>IF(G3107=0,"",IF(F3107="Buy",IF(G3107=1,"plant","plants"),IF(F3107&gt;0.01,"warranty","Error")))</f>
        <v/>
      </c>
      <c r="I3107" s="485">
        <f>IF(H3107="free",0,IF(H3107="credit",((E3107*(F3107))*G3107*-1),IF(F3107="Buy",(E3107*G3107),((E3107*(1-F3107))*G3107))))</f>
        <v>0</v>
      </c>
      <c r="J3107" s="485">
        <f>IF(H3107="warranty",0,(I3107*(_xlfn.SINGLE(SalesTaxPercentage))))</f>
        <v>0</v>
      </c>
      <c r="K3107" s="715">
        <f t="shared" ref="K3107" si="2397">I3107+J3107</f>
        <v>0</v>
      </c>
      <c r="L3107" s="715"/>
      <c r="M3107" s="689" t="str">
        <f ca="1">IF(AND(G3107&gt;0,E3107=0),"WARNING - no PRICE inserted",IF(H3107="free","FREE ~ no charge this plant",IF(H3107="credit",CONCATENATE("-$",ROUND(K3107*(1-_xlfn.SINGLE(T2GDiscount))*-1,2)," CREDIT after discount"),IF(_xlfn.SINGLE(T2GDiscount)=0,"",IF(G3107=0,"",IF(F3107="Buy",CONCATENATE("$",ROUND(K3107*(1-_xlfn.SINGLE(T2GDiscount)),2)," with ",(_xlfn.SINGLE(T2GDiscount)*100),"% discount"),CONCATENATE("$",ROUND(K3107*(1-_xlfn.SINGLE(T2GDiscount)),2)," with ",((_xlfn.SINGLE(T2GDiscount)*100+F3107*100)-(_xlfn.SINGLE(T2GDiscount)*100*F3107)),IF(F3107&gt;0,"% discounts",IF(_xlfn.SINGLE(NoWarrantyDiscount)&gt;0,"% discounts","% discount")))))))))</f>
        <v/>
      </c>
      <c r="N3107" s="690"/>
      <c r="O3107" s="486"/>
      <c r="P3107" s="486"/>
      <c r="Q3107" s="486"/>
      <c r="R3107" s="486"/>
      <c r="S3107" s="486"/>
      <c r="T3107" s="102">
        <f t="shared" si="2378"/>
        <v>0</v>
      </c>
      <c r="U3107" s="78">
        <f>IF(NOT(ISNUMBER(G3107)), "", VLOOKUP(A3107,'Discount Lookup'!D:E,2,FALSE)*G3107)</f>
        <v>0</v>
      </c>
      <c r="V3107" s="78">
        <f>IF(NOT(ISNUMBER(G3107)), "", VLOOKUP(A3107,'Discount Lookup'!G:H,2,FALSE)*G3107)</f>
        <v>0</v>
      </c>
      <c r="W3107" s="102">
        <f t="shared" si="2379"/>
        <v>0</v>
      </c>
      <c r="X3107" s="102">
        <f t="shared" si="2380"/>
        <v>0</v>
      </c>
      <c r="Y3107" s="120" t="b">
        <f t="shared" si="2381"/>
        <v>0</v>
      </c>
      <c r="Z3107" s="117">
        <f t="shared" si="2382"/>
        <v>0</v>
      </c>
      <c r="AA3107" s="118"/>
      <c r="AB3107" s="118" t="str">
        <f t="shared" si="2383"/>
        <v/>
      </c>
      <c r="AC3107" s="712" t="str">
        <f>IF(AE3107="T2G","no charge",IF(AND(OR(PlanterYesMe="No",PlanterYesMe="N",PlanterYesMe="me"),H3107=""),"",IF(H3107="credit","NO install",IF(AND(K3107="",AE3107="me"),"EACH row",IF(AND(K3107="images",AE3107="me"),"EACH row",IF(D3107="","",IF(H3107="credit","",IF(AE3107="free","re-planting",IF(AE3107="me","   not ELP, by",IF(AND(OR(PlanterYesMe="Yes",PlanterYesMe="Y"),G3107&gt;0),(VLOOKUP(A3107,'Discount Lookup'!J:K,2)*G3107*(1-PlanterDiscount)*(1+PlanterDifficultyPercentage)),IF(AE3107="ELP",(VLOOKUP(A3107,'Discount Lookup'!J:K,2)*G3107*(1-PlanterDiscount)*(1+PlanterDifficultyPercentage)),IF(AE3107="free","re-planting",IF(G3107=0,"",IF(PlanterYesMe="",IF(AE3107="me","   not ELP, by",IF(AE3107="",IF(G3107&gt;0,(VLOOKUP(A3107,'Discount Lookup'!J:K,2)*G3107*(1-PlanterDiscount)*(1+PlanterDifficultyPercentage)),""),"")),"   not ELP, by"))))))))))))))</f>
        <v/>
      </c>
      <c r="AD3107" s="712"/>
      <c r="AE3107" s="513" t="str">
        <f t="shared" si="2384"/>
        <v/>
      </c>
      <c r="AF3107" s="713" t="str">
        <f t="shared" si="2385"/>
        <v/>
      </c>
      <c r="AG3107" s="713"/>
      <c r="AH3107" s="713"/>
      <c r="AI3107" s="112">
        <f>IF(H3107="credit",0,IF(AE3107="free",0,IF(AE3107="me",0,IF(G3107&gt;0,(VLOOKUP(A3107,'Discount Lookup'!J:K,2)*G3107),0))))</f>
        <v>0</v>
      </c>
      <c r="AJ3107" s="107" t="str">
        <f t="shared" ca="1" si="2386"/>
        <v/>
      </c>
      <c r="AK3107" s="714" t="str">
        <f t="shared" si="2387"/>
        <v/>
      </c>
      <c r="AL3107" s="714"/>
      <c r="AM3107" s="114" t="str">
        <f t="shared" si="2388"/>
        <v/>
      </c>
      <c r="AN3107" s="115"/>
      <c r="AO3107" s="116"/>
      <c r="AP3107" s="116"/>
      <c r="AQ3107" s="116"/>
      <c r="AR3107" s="116"/>
      <c r="AS3107" s="116"/>
      <c r="AT3107" s="116"/>
      <c r="AU3107" s="116"/>
      <c r="AV3107" s="78"/>
      <c r="AW3107" s="102"/>
      <c r="AX3107" s="78"/>
      <c r="AY3107" s="78"/>
      <c r="AZ3107" s="78"/>
      <c r="BA3107" s="78"/>
      <c r="BB3107" s="78"/>
      <c r="BC3107" s="78"/>
      <c r="BD3107" s="78"/>
      <c r="BE3107" s="465"/>
      <c r="BF3107" s="165" t="str">
        <f t="shared" si="2389"/>
        <v>https://www.google.com/search?tbm=isch&amp;q=1%20G2</v>
      </c>
      <c r="BG3107" s="165" t="str">
        <f t="shared" si="2390"/>
        <v>N</v>
      </c>
      <c r="BH3107" s="65"/>
      <c r="BI3107" s="65"/>
      <c r="BJ3107" s="65"/>
      <c r="BK3107" s="65"/>
      <c r="BL3107" s="99"/>
      <c r="BM3107" s="99"/>
      <c r="BN3107" s="99"/>
    </row>
    <row r="3108" spans="1:66" s="51" customFormat="1" ht="15.75" x14ac:dyDescent="0.25">
      <c r="A3108" s="508" t="s">
        <v>3682</v>
      </c>
      <c r="B3108" s="487"/>
      <c r="C3108" s="707"/>
      <c r="D3108" s="487"/>
      <c r="E3108" s="487"/>
      <c r="F3108" s="488"/>
      <c r="G3108" s="489"/>
      <c r="H3108" s="487"/>
      <c r="I3108" s="490"/>
      <c r="J3108" s="490"/>
      <c r="K3108" s="491"/>
      <c r="L3108" s="547"/>
      <c r="M3108" s="528"/>
      <c r="N3108" s="492"/>
      <c r="O3108" s="493"/>
      <c r="P3108" s="494"/>
      <c r="Q3108" s="492"/>
      <c r="R3108" s="492"/>
      <c r="S3108" s="495"/>
      <c r="T3108" s="102">
        <f t="shared" si="2378"/>
        <v>0</v>
      </c>
      <c r="U3108" s="78" t="str">
        <f>IF(NOT(ISNUMBER(G3108)), "", VLOOKUP(A3108,'Discount Lookup'!D:E,2,FALSE)*G3108)</f>
        <v/>
      </c>
      <c r="V3108" s="78" t="str">
        <f>IF(NOT(ISNUMBER(G3108)), "", VLOOKUP(A3108,'Discount Lookup'!G:H,2,FALSE)*G3108)</f>
        <v/>
      </c>
      <c r="W3108" s="102">
        <f t="shared" si="2379"/>
        <v>0</v>
      </c>
      <c r="X3108" s="102">
        <f t="shared" si="2380"/>
        <v>0</v>
      </c>
      <c r="Y3108" s="120" t="b">
        <f t="shared" si="2381"/>
        <v>0</v>
      </c>
      <c r="Z3108" s="117">
        <f t="shared" si="2382"/>
        <v>0</v>
      </c>
      <c r="AA3108" s="118"/>
      <c r="AB3108" s="118" t="str">
        <f t="shared" si="2383"/>
        <v/>
      </c>
      <c r="AC3108" s="712" t="str">
        <f>IF(AE3108="T2G","no charge",IF(AND(OR(PlanterYesMe="No",PlanterYesMe="N",PlanterYesMe="me"),H3108=""),"",IF(H3108="credit","NO install",IF(AND(K3108="",AE3108="me"),"EACH row",IF(AND(K3108="images",AE3108="me"),"EACH row",IF(D3108="","",IF(H3108="credit","",IF(AE3108="free","re-planting",IF(AE3108="me","   not ELP, by",IF(AND(OR(PlanterYesMe="Yes",PlanterYesMe="Y"),G3108&gt;0),(VLOOKUP(A3108,'Discount Lookup'!J:K,2)*G3108*(1-PlanterDiscount)*(1+PlanterDifficultyPercentage)),IF(AE3108="ELP",(VLOOKUP(A3108,'Discount Lookup'!J:K,2)*G3108*(1-PlanterDiscount)*(1+PlanterDifficultyPercentage)),IF(AE3108="free","re-planting",IF(G3108=0,"",IF(PlanterYesMe="",IF(AE3108="me","   not ELP, by",IF(AE3108="",IF(G3108&gt;0,(VLOOKUP(A3108,'Discount Lookup'!J:K,2)*G3108*(1-PlanterDiscount)*(1+PlanterDifficultyPercentage)),""),"")),"   not ELP, by"))))))))))))))</f>
        <v/>
      </c>
      <c r="AD3108" s="712"/>
      <c r="AE3108" s="513" t="str">
        <f t="shared" si="2384"/>
        <v/>
      </c>
      <c r="AF3108" s="713" t="str">
        <f t="shared" si="2385"/>
        <v/>
      </c>
      <c r="AG3108" s="713"/>
      <c r="AH3108" s="713"/>
      <c r="AI3108" s="112">
        <f>IF(H3108="credit",0,IF(AE3108="free",0,IF(AE3108="me",0,IF(G3108&gt;0,(VLOOKUP(A3108,'Discount Lookup'!J:K,2)*G3108),0))))</f>
        <v>0</v>
      </c>
      <c r="AJ3108" s="107" t="str">
        <f t="shared" ca="1" si="2386"/>
        <v/>
      </c>
      <c r="AK3108" s="714" t="str">
        <f t="shared" si="2387"/>
        <v/>
      </c>
      <c r="AL3108" s="714"/>
      <c r="AM3108" s="114" t="str">
        <f t="shared" si="2388"/>
        <v/>
      </c>
      <c r="AN3108" s="115"/>
      <c r="AO3108" s="116"/>
      <c r="AP3108" s="116"/>
      <c r="AQ3108" s="116"/>
      <c r="AR3108" s="116"/>
      <c r="AS3108" s="116"/>
      <c r="AT3108" s="116"/>
      <c r="AU3108" s="116"/>
      <c r="AV3108" s="78"/>
      <c r="AW3108" s="102"/>
      <c r="AX3108" s="78"/>
      <c r="AY3108" s="78"/>
      <c r="AZ3108" s="78"/>
      <c r="BA3108" s="78"/>
      <c r="BB3108" s="78"/>
      <c r="BC3108" s="78"/>
      <c r="BD3108" s="78"/>
      <c r="BE3108" s="465"/>
      <c r="BF3108" s="165" t="str">
        <f t="shared" si="2389"/>
        <v>https://www.google.com/search?tbm=isch&amp;q=Obsession%20foliage%20emerges%20with%20a%20Brilliant%20Red%20color%20and%20maintains%20its%20striking%20hue%20for%20a%20long%20duration.%20Red-Burgundy%20in%20fall%2Fwinter.%20Few%20berries%2C%20so%20less%20spreading%20</v>
      </c>
      <c r="BG3108" s="165" t="str">
        <f t="shared" si="2390"/>
        <v>O</v>
      </c>
      <c r="BH3108" s="65"/>
      <c r="BI3108" s="65"/>
      <c r="BJ3108" s="65"/>
      <c r="BK3108" s="65"/>
      <c r="BL3108" s="99"/>
      <c r="BM3108" s="99"/>
      <c r="BN3108" s="99"/>
    </row>
    <row r="3109" spans="1:66" s="51" customFormat="1" ht="19.5" thickBot="1" x14ac:dyDescent="0.3">
      <c r="A3109" s="686" t="s">
        <v>630</v>
      </c>
      <c r="B3109" s="73"/>
      <c r="C3109" s="708"/>
      <c r="D3109" s="73"/>
      <c r="E3109" s="73"/>
      <c r="F3109" s="496"/>
      <c r="G3109" s="73"/>
      <c r="H3109" s="73"/>
      <c r="I3109" s="73"/>
      <c r="J3109" s="497" t="s">
        <v>357</v>
      </c>
      <c r="K3109" s="498"/>
      <c r="L3109" s="562"/>
      <c r="M3109" s="73"/>
      <c r="N3109"/>
      <c r="O3109"/>
      <c r="P3109"/>
      <c r="Q3109"/>
      <c r="R3109"/>
      <c r="S3109"/>
      <c r="T3109" s="102">
        <f t="shared" si="2378"/>
        <v>0</v>
      </c>
      <c r="U3109" s="78" t="str">
        <f>IF(NOT(ISNUMBER(G3109)), "", VLOOKUP(A3109,'Discount Lookup'!D:E,2,FALSE)*G3109)</f>
        <v/>
      </c>
      <c r="V3109" s="78" t="str">
        <f>IF(NOT(ISNUMBER(G3109)), "", VLOOKUP(A3109,'Discount Lookup'!G:H,2,FALSE)*G3109)</f>
        <v/>
      </c>
      <c r="W3109" s="102">
        <f t="shared" si="2379"/>
        <v>0</v>
      </c>
      <c r="X3109" s="102">
        <f t="shared" si="2380"/>
        <v>0</v>
      </c>
      <c r="Y3109" s="120" t="b">
        <f t="shared" si="2381"/>
        <v>0</v>
      </c>
      <c r="Z3109" s="117">
        <f t="shared" si="2382"/>
        <v>0</v>
      </c>
      <c r="AA3109" s="118"/>
      <c r="AB3109" s="118" t="str">
        <f t="shared" si="2383"/>
        <v/>
      </c>
      <c r="AC3109" s="712" t="str">
        <f>IF(AE3109="T2G","no charge",IF(AND(OR(PlanterYesMe="No",PlanterYesMe="N",PlanterYesMe="me"),H3109=""),"",IF(H3109="credit","NO install",IF(AND(K3109="",AE3109="me"),"EACH row",IF(AND(K3109="images",AE3109="me"),"EACH row",IF(D3109="","",IF(H3109="credit","",IF(AE3109="free","re-planting",IF(AE3109="me","   not ELP, by",IF(AND(OR(PlanterYesMe="Yes",PlanterYesMe="Y"),G3109&gt;0),(VLOOKUP(A3109,'Discount Lookup'!J:K,2)*G3109*(1-PlanterDiscount)*(1+PlanterDifficultyPercentage)),IF(AE3109="ELP",(VLOOKUP(A3109,'Discount Lookup'!J:K,2)*G3109*(1-PlanterDiscount)*(1+PlanterDifficultyPercentage)),IF(AE3109="free","re-planting",IF(G3109=0,"",IF(PlanterYesMe="",IF(AE3109="me","   not ELP, by",IF(AE3109="",IF(G3109&gt;0,(VLOOKUP(A3109,'Discount Lookup'!J:K,2)*G3109*(1-PlanterDiscount)*(1+PlanterDifficultyPercentage)),""),"")),"   not ELP, by"))))))))))))))</f>
        <v/>
      </c>
      <c r="AD3109" s="712"/>
      <c r="AE3109" s="513" t="str">
        <f t="shared" si="2384"/>
        <v/>
      </c>
      <c r="AF3109" s="713" t="str">
        <f t="shared" si="2385"/>
        <v/>
      </c>
      <c r="AG3109" s="713"/>
      <c r="AH3109" s="713"/>
      <c r="AI3109" s="112">
        <f>IF(H3109="credit",0,IF(AE3109="free",0,IF(AE3109="me",0,IF(G3109&gt;0,(VLOOKUP(A3109,'Discount Lookup'!J:K,2)*G3109),0))))</f>
        <v>0</v>
      </c>
      <c r="AJ3109" s="107" t="str">
        <f t="shared" ca="1" si="2386"/>
        <v/>
      </c>
      <c r="AK3109" s="714" t="str">
        <f t="shared" si="2387"/>
        <v/>
      </c>
      <c r="AL3109" s="714"/>
      <c r="AM3109" s="114" t="str">
        <f t="shared" si="2388"/>
        <v/>
      </c>
      <c r="AN3109" s="115"/>
      <c r="AO3109" s="116"/>
      <c r="AP3109" s="116"/>
      <c r="AQ3109" s="116"/>
      <c r="AR3109" s="116"/>
      <c r="AS3109" s="116"/>
      <c r="AT3109" s="116"/>
      <c r="AU3109" s="116"/>
      <c r="AV3109" s="78"/>
      <c r="AW3109" s="102"/>
      <c r="AX3109" s="78"/>
      <c r="AY3109" s="78"/>
      <c r="AZ3109" s="78"/>
      <c r="BA3109" s="78"/>
      <c r="BB3109" s="78"/>
      <c r="BC3109" s="78"/>
      <c r="BD3109" s="78"/>
      <c r="BE3109" s="465"/>
      <c r="BF3109" s="165" t="str">
        <f t="shared" si="2389"/>
        <v>https://www.google.com/search?tbm=isch&amp;q=Nassella%20%3D%20Feather%20Grass%20</v>
      </c>
      <c r="BG3109" s="165" t="str">
        <f t="shared" si="2390"/>
        <v>N</v>
      </c>
      <c r="BH3109" s="65"/>
      <c r="BI3109" s="65"/>
      <c r="BJ3109" s="65"/>
      <c r="BK3109" s="65"/>
      <c r="BL3109" s="99"/>
      <c r="BM3109" s="99"/>
      <c r="BN3109" s="99"/>
    </row>
    <row r="3110" spans="1:66" s="51" customFormat="1" ht="18" x14ac:dyDescent="0.25">
      <c r="A3110" s="623" t="s">
        <v>3683</v>
      </c>
      <c r="B3110" s="624"/>
      <c r="C3110" s="709"/>
      <c r="D3110" s="625" t="s">
        <v>3684</v>
      </c>
      <c r="E3110" s="626"/>
      <c r="F3110" s="626"/>
      <c r="G3110" s="626"/>
      <c r="H3110" s="622" t="s">
        <v>2462</v>
      </c>
      <c r="I3110" s="627" t="s">
        <v>3685</v>
      </c>
      <c r="J3110" s="628"/>
      <c r="K3110" s="628"/>
      <c r="L3110" s="629"/>
      <c r="M3110" s="700" t="s">
        <v>5249</v>
      </c>
      <c r="N3110" s="693" t="str">
        <f>IF(AND(ISTEXT($A3110), ISERROR($A3110+0)), HYPERLINK($BF3110, "Images"), "")</f>
        <v>Images</v>
      </c>
      <c r="O3110" s="695" t="s">
        <v>5244</v>
      </c>
      <c r="P3110" s="630"/>
      <c r="Q3110" s="631"/>
      <c r="R3110" s="632"/>
      <c r="S3110" s="633"/>
      <c r="T3110" s="102">
        <f t="shared" si="2378"/>
        <v>0</v>
      </c>
      <c r="U3110" s="78" t="str">
        <f>IF(NOT(ISNUMBER(G3110)), "", VLOOKUP(A3110,'Discount Lookup'!D:E,2,FALSE)*G3110)</f>
        <v/>
      </c>
      <c r="V3110" s="78" t="str">
        <f>IF(NOT(ISNUMBER(G3110)), "", VLOOKUP(A3110,'Discount Lookup'!G:H,2,FALSE)*G3110)</f>
        <v/>
      </c>
      <c r="W3110" s="102">
        <f t="shared" si="2379"/>
        <v>0</v>
      </c>
      <c r="X3110" s="102" t="str">
        <f t="shared" si="2380"/>
        <v>Yellow to Brown bloom</v>
      </c>
      <c r="Y3110" s="120" t="b">
        <f t="shared" si="2381"/>
        <v>0</v>
      </c>
      <c r="Z3110" s="117">
        <f t="shared" si="2382"/>
        <v>0</v>
      </c>
      <c r="AA3110" s="118"/>
      <c r="AB3110" s="118" t="str">
        <f t="shared" si="2383"/>
        <v/>
      </c>
      <c r="AC3110" s="712" t="str">
        <f>IF(AE3110="T2G","no charge",IF(AND(OR(PlanterYesMe="No",PlanterYesMe="N",PlanterYesMe="me"),H3110=""),"",IF(H3110="credit","NO install",IF(AND(K3110="",AE3110="me"),"EACH row",IF(AND(K3110="images",AE3110="me"),"EACH row",IF(D3110="","",IF(H3110="credit","",IF(AE3110="free","re-planting",IF(AE3110="me","   not ELP, by",IF(AND(OR(PlanterYesMe="Yes",PlanterYesMe="Y"),G3110&gt;0),(VLOOKUP(A3110,'Discount Lookup'!J:K,2)*G3110*(1-PlanterDiscount)*(1+PlanterDifficultyPercentage)),IF(AE3110="ELP",(VLOOKUP(A3110,'Discount Lookup'!J:K,2)*G3110*(1-PlanterDiscount)*(1+PlanterDifficultyPercentage)),IF(AE3110="free","re-planting",IF(G3110=0,"",IF(PlanterYesMe="",IF(AE3110="me","   not ELP, by",IF(AE3110="",IF(G3110&gt;0,(VLOOKUP(A3110,'Discount Lookup'!J:K,2)*G3110*(1-PlanterDiscount)*(1+PlanterDifficultyPercentage)),""),"")),"   not ELP, by"))))))))))))))</f>
        <v/>
      </c>
      <c r="AD3110" s="712"/>
      <c r="AE3110" s="513" t="str">
        <f t="shared" si="2384"/>
        <v/>
      </c>
      <c r="AF3110" s="713" t="str">
        <f t="shared" si="2385"/>
        <v/>
      </c>
      <c r="AG3110" s="713"/>
      <c r="AH3110" s="713"/>
      <c r="AI3110" s="112">
        <f>IF(H3110="credit",0,IF(AE3110="free",0,IF(AE3110="me",0,IF(G3110&gt;0,(VLOOKUP(A3110,'Discount Lookup'!J:K,2)*G3110),0))))</f>
        <v>0</v>
      </c>
      <c r="AJ3110" s="107" t="str">
        <f t="shared" ca="1" si="2386"/>
        <v/>
      </c>
      <c r="AK3110" s="714" t="str">
        <f t="shared" si="2387"/>
        <v/>
      </c>
      <c r="AL3110" s="714"/>
      <c r="AM3110" s="114" t="str">
        <f t="shared" si="2388"/>
        <v/>
      </c>
      <c r="AN3110" s="115"/>
      <c r="AO3110" s="116"/>
      <c r="AP3110" s="116"/>
      <c r="AQ3110" s="116"/>
      <c r="AR3110" s="116"/>
      <c r="AS3110" s="116"/>
      <c r="AT3110" s="116"/>
      <c r="AU3110" s="116"/>
      <c r="AV3110" s="78"/>
      <c r="AW3110" s="102"/>
      <c r="AX3110" s="78"/>
      <c r="AY3110" s="78"/>
      <c r="AZ3110" s="78"/>
      <c r="BA3110" s="78"/>
      <c r="BB3110" s="78"/>
      <c r="BC3110" s="78"/>
      <c r="BD3110" s="78"/>
      <c r="BE3110" s="465"/>
      <c r="BF3110" s="165" t="str">
        <f t="shared" si="2389"/>
        <v>https://www.google.com/search?tbm=isch&amp;q=Nassella%20tenuissima%20Mexican%20Feather%20Grass</v>
      </c>
      <c r="BG3110" s="165" t="str">
        <f t="shared" si="2390"/>
        <v>N</v>
      </c>
      <c r="BH3110" s="65"/>
      <c r="BI3110" s="65"/>
      <c r="BJ3110" s="65"/>
      <c r="BK3110" s="65"/>
      <c r="BL3110" s="99"/>
      <c r="BM3110" s="99"/>
      <c r="BN3110" s="99"/>
    </row>
    <row r="3111" spans="1:66" s="51" customFormat="1" ht="15.75" x14ac:dyDescent="0.25">
      <c r="A3111" s="634">
        <v>1</v>
      </c>
      <c r="B3111" s="635" t="s">
        <v>291</v>
      </c>
      <c r="C3111" s="636"/>
      <c r="D3111" s="637" t="s">
        <v>310</v>
      </c>
      <c r="E3111" s="638">
        <v>9.9499999999999993</v>
      </c>
      <c r="F3111" s="639" t="s">
        <v>292</v>
      </c>
      <c r="G3111" s="484">
        <v>0</v>
      </c>
      <c r="H3111" s="691" t="str">
        <f>IF(G3111=0,"",IF(F3111="Buy",IF(G3111=1,"plant","plants"),IF(F3111&gt;0.01,"warranty","Error")))</f>
        <v/>
      </c>
      <c r="I3111" s="640">
        <f>IF(H3111="free",0,IF(H3111="credit",((E3111*(F3111))*G3111*-1),IF(F3111="Buy",(E3111*G3111),((E3111*(1-F3111))*G3111))))</f>
        <v>0</v>
      </c>
      <c r="J3111" s="640">
        <f>IF(H3111="warranty",0,(I3111*(_xlfn.SINGLE(SalesTaxPercentage))))</f>
        <v>0</v>
      </c>
      <c r="K3111" s="716">
        <f t="shared" ref="K3111" si="2398">I3111+J3111</f>
        <v>0</v>
      </c>
      <c r="L3111" s="716"/>
      <c r="M3111" s="689" t="str">
        <f ca="1">IF(AND(G3111&gt;0,E3111=0),"WARNING - no PRICE inserted",IF(H3111="free","FREE ~ no charge this plant",IF(H3111="credit",CONCATENATE("-$",ROUND(K3111*(1-_xlfn.SINGLE(T2GDiscount))*-1,2)," CREDIT after discount"),IF(_xlfn.SINGLE(T2GDiscount)=0,"",IF(G3111=0,"",IF(F3111="Buy",CONCATENATE("$",ROUND(K3111*(1-_xlfn.SINGLE(T2GDiscount)),2)," with ",(_xlfn.SINGLE(T2GDiscount)*100),"% discount"),CONCATENATE("$",ROUND(K3111*(1-_xlfn.SINGLE(T2GDiscount)),2)," with ",((_xlfn.SINGLE(T2GDiscount)*100+F3111*100)-(_xlfn.SINGLE(T2GDiscount)*100*F3111)),IF(F3111&gt;0,"% discounts",IF(_xlfn.SINGLE(NoWarrantyDiscount)&gt;0,"% discounts","% discount")))))))))</f>
        <v/>
      </c>
      <c r="N3111" s="690"/>
      <c r="O3111" s="486"/>
      <c r="P3111" s="486"/>
      <c r="Q3111" s="486"/>
      <c r="R3111" s="486"/>
      <c r="S3111" s="486"/>
      <c r="T3111" s="102">
        <f t="shared" si="2378"/>
        <v>0</v>
      </c>
      <c r="U3111" s="78">
        <f>IF(NOT(ISNUMBER(G3111)), "", VLOOKUP(A3111,'Discount Lookup'!D:E,2,FALSE)*G3111)</f>
        <v>0</v>
      </c>
      <c r="V3111" s="78">
        <f>IF(NOT(ISNUMBER(G3111)), "", VLOOKUP(A3111,'Discount Lookup'!G:H,2,FALSE)*G3111)</f>
        <v>0</v>
      </c>
      <c r="W3111" s="102">
        <f t="shared" si="2379"/>
        <v>0</v>
      </c>
      <c r="X3111" s="102">
        <f t="shared" si="2380"/>
        <v>0</v>
      </c>
      <c r="Y3111" s="120" t="b">
        <f t="shared" si="2381"/>
        <v>0</v>
      </c>
      <c r="Z3111" s="117">
        <f t="shared" si="2382"/>
        <v>0</v>
      </c>
      <c r="AA3111" s="118"/>
      <c r="AB3111" s="118" t="str">
        <f t="shared" si="2383"/>
        <v/>
      </c>
      <c r="AC3111" s="712" t="str">
        <f>IF(AE3111="T2G","no charge",IF(AND(OR(PlanterYesMe="No",PlanterYesMe="N",PlanterYesMe="me"),H3111=""),"",IF(H3111="credit","NO install",IF(AND(K3111="",AE3111="me"),"EACH row",IF(AND(K3111="images",AE3111="me"),"EACH row",IF(D3111="","",IF(H3111="credit","",IF(AE3111="free","re-planting",IF(AE3111="me","   not ELP, by",IF(AND(OR(PlanterYesMe="Yes",PlanterYesMe="Y"),G3111&gt;0),(VLOOKUP(A3111,'Discount Lookup'!J:K,2)*G3111*(1-PlanterDiscount)*(1+PlanterDifficultyPercentage)),IF(AE3111="ELP",(VLOOKUP(A3111,'Discount Lookup'!J:K,2)*G3111*(1-PlanterDiscount)*(1+PlanterDifficultyPercentage)),IF(AE3111="free","re-planting",IF(G3111=0,"",IF(PlanterYesMe="",IF(AE3111="me","   not ELP, by",IF(AE3111="",IF(G3111&gt;0,(VLOOKUP(A3111,'Discount Lookup'!J:K,2)*G3111*(1-PlanterDiscount)*(1+PlanterDifficultyPercentage)),""),"")),"   not ELP, by"))))))))))))))</f>
        <v/>
      </c>
      <c r="AD3111" s="712"/>
      <c r="AE3111" s="513" t="str">
        <f t="shared" si="2384"/>
        <v/>
      </c>
      <c r="AF3111" s="713" t="str">
        <f t="shared" si="2385"/>
        <v/>
      </c>
      <c r="AG3111" s="713"/>
      <c r="AH3111" s="713"/>
      <c r="AI3111" s="112">
        <f>IF(H3111="credit",0,IF(AE3111="free",0,IF(AE3111="me",0,IF(G3111&gt;0,(VLOOKUP(A3111,'Discount Lookup'!J:K,2)*G3111),0))))</f>
        <v>0</v>
      </c>
      <c r="AJ3111" s="107" t="str">
        <f t="shared" ca="1" si="2386"/>
        <v/>
      </c>
      <c r="AK3111" s="714" t="str">
        <f t="shared" si="2387"/>
        <v/>
      </c>
      <c r="AL3111" s="714"/>
      <c r="AM3111" s="114" t="str">
        <f t="shared" si="2388"/>
        <v/>
      </c>
      <c r="AN3111" s="115"/>
      <c r="AO3111" s="116"/>
      <c r="AP3111" s="116"/>
      <c r="AQ3111" s="116"/>
      <c r="AR3111" s="116"/>
      <c r="AS3111" s="116"/>
      <c r="AT3111" s="116"/>
      <c r="AU3111" s="116"/>
      <c r="AV3111" s="78"/>
      <c r="AW3111" s="102"/>
      <c r="AX3111" s="78"/>
      <c r="AY3111" s="78"/>
      <c r="AZ3111" s="78"/>
      <c r="BA3111" s="78"/>
      <c r="BB3111" s="78"/>
      <c r="BC3111" s="78"/>
      <c r="BD3111" s="78"/>
      <c r="BE3111" s="465"/>
      <c r="BF3111" s="165" t="str">
        <f t="shared" si="2389"/>
        <v>https://www.google.com/search?tbm=isch&amp;q=1%20G1</v>
      </c>
      <c r="BG3111" s="165" t="str">
        <f t="shared" si="2390"/>
        <v>N</v>
      </c>
      <c r="BH3111" s="65"/>
      <c r="BI3111" s="65"/>
      <c r="BJ3111" s="65"/>
      <c r="BK3111" s="65"/>
      <c r="BL3111" s="99"/>
      <c r="BM3111" s="99"/>
      <c r="BN3111" s="99"/>
    </row>
    <row r="3112" spans="1:66" s="51" customFormat="1" ht="16.5" x14ac:dyDescent="0.25">
      <c r="A3112" s="641" t="s">
        <v>3686</v>
      </c>
      <c r="B3112" s="642"/>
      <c r="C3112" s="710"/>
      <c r="D3112" s="643"/>
      <c r="E3112" s="643"/>
      <c r="F3112" s="644"/>
      <c r="G3112" s="645"/>
      <c r="H3112" s="646"/>
      <c r="I3112" s="647"/>
      <c r="J3112" s="648"/>
      <c r="K3112" s="649"/>
      <c r="L3112" s="650"/>
      <c r="M3112" s="650"/>
      <c r="N3112" s="644"/>
      <c r="O3112" s="644"/>
      <c r="P3112" s="644"/>
      <c r="Q3112" s="644"/>
      <c r="R3112" s="644"/>
      <c r="S3112" s="701" t="s">
        <v>5250</v>
      </c>
      <c r="T3112" s="102">
        <f t="shared" si="2378"/>
        <v>0</v>
      </c>
      <c r="U3112" s="78" t="str">
        <f>IF(NOT(ISNUMBER(G3112)), "", VLOOKUP(A3112,'Discount Lookup'!D:E,2,FALSE)*G3112)</f>
        <v/>
      </c>
      <c r="V3112" s="78" t="str">
        <f>IF(NOT(ISNUMBER(G3112)), "", VLOOKUP(A3112,'Discount Lookup'!G:H,2,FALSE)*G3112)</f>
        <v/>
      </c>
      <c r="W3112" s="102">
        <f t="shared" si="2379"/>
        <v>0</v>
      </c>
      <c r="X3112" s="102">
        <f t="shared" si="2380"/>
        <v>0</v>
      </c>
      <c r="Y3112" s="120" t="b">
        <f t="shared" si="2381"/>
        <v>0</v>
      </c>
      <c r="Z3112" s="117">
        <f t="shared" si="2382"/>
        <v>0</v>
      </c>
      <c r="AA3112" s="118"/>
      <c r="AB3112" s="118" t="str">
        <f t="shared" si="2383"/>
        <v/>
      </c>
      <c r="AC3112" s="712" t="str">
        <f>IF(AE3112="T2G","no charge",IF(AND(OR(PlanterYesMe="No",PlanterYesMe="N",PlanterYesMe="me"),H3112=""),"",IF(H3112="credit","NO install",IF(AND(K3112="",AE3112="me"),"EACH row",IF(AND(K3112="images",AE3112="me"),"EACH row",IF(D3112="","",IF(H3112="credit","",IF(AE3112="free","re-planting",IF(AE3112="me","   not ELP, by",IF(AND(OR(PlanterYesMe="Yes",PlanterYesMe="Y"),G3112&gt;0),(VLOOKUP(A3112,'Discount Lookup'!J:K,2)*G3112*(1-PlanterDiscount)*(1+PlanterDifficultyPercentage)),IF(AE3112="ELP",(VLOOKUP(A3112,'Discount Lookup'!J:K,2)*G3112*(1-PlanterDiscount)*(1+PlanterDifficultyPercentage)),IF(AE3112="free","re-planting",IF(G3112=0,"",IF(PlanterYesMe="",IF(AE3112="me","   not ELP, by",IF(AE3112="",IF(G3112&gt;0,(VLOOKUP(A3112,'Discount Lookup'!J:K,2)*G3112*(1-PlanterDiscount)*(1+PlanterDifficultyPercentage)),""),"")),"   not ELP, by"))))))))))))))</f>
        <v/>
      </c>
      <c r="AD3112" s="712"/>
      <c r="AE3112" s="513" t="str">
        <f t="shared" si="2384"/>
        <v/>
      </c>
      <c r="AF3112" s="713" t="str">
        <f t="shared" si="2385"/>
        <v/>
      </c>
      <c r="AG3112" s="713"/>
      <c r="AH3112" s="713"/>
      <c r="AI3112" s="112">
        <f>IF(H3112="credit",0,IF(AE3112="free",0,IF(AE3112="me",0,IF(G3112&gt;0,(VLOOKUP(A3112,'Discount Lookup'!J:K,2)*G3112),0))))</f>
        <v>0</v>
      </c>
      <c r="AJ3112" s="107" t="str">
        <f t="shared" ca="1" si="2386"/>
        <v/>
      </c>
      <c r="AK3112" s="714" t="str">
        <f t="shared" si="2387"/>
        <v/>
      </c>
      <c r="AL3112" s="714"/>
      <c r="AM3112" s="114" t="str">
        <f t="shared" si="2388"/>
        <v/>
      </c>
      <c r="AN3112" s="115"/>
      <c r="AO3112" s="116"/>
      <c r="AP3112" s="116"/>
      <c r="AQ3112" s="116"/>
      <c r="AR3112" s="116"/>
      <c r="AS3112" s="116"/>
      <c r="AT3112" s="116"/>
      <c r="AU3112" s="116"/>
      <c r="AV3112" s="78"/>
      <c r="AW3112" s="102"/>
      <c r="AX3112" s="78"/>
      <c r="AY3112" s="78"/>
      <c r="AZ3112" s="78"/>
      <c r="BA3112" s="78"/>
      <c r="BB3112" s="78"/>
      <c r="BC3112" s="78"/>
      <c r="BD3112" s="78"/>
      <c r="BE3112" s="465"/>
      <c r="BF3112" s="165" t="str">
        <f t="shared" si="2389"/>
        <v>https://www.google.com/search?tbm=isch&amp;q=Mexican%20Feather%20silvery%20thread-like%20foliage%20in%20late%20spring%2C%20turning%20golden%20brown%20toward%20fall%20</v>
      </c>
      <c r="BG3112" s="165" t="str">
        <f t="shared" si="2390"/>
        <v>M</v>
      </c>
      <c r="BH3112" s="65"/>
      <c r="BI3112" s="65"/>
      <c r="BJ3112" s="65"/>
      <c r="BK3112" s="65"/>
      <c r="BL3112" s="99"/>
      <c r="BM3112" s="99"/>
      <c r="BN3112" s="99"/>
    </row>
    <row r="3113" spans="1:66" s="51" customFormat="1" ht="19.5" thickBot="1" x14ac:dyDescent="0.3">
      <c r="A3113" s="686" t="s">
        <v>631</v>
      </c>
      <c r="B3113" s="73"/>
      <c r="C3113" s="708"/>
      <c r="D3113" s="73"/>
      <c r="E3113" s="73"/>
      <c r="F3113" s="496"/>
      <c r="G3113" s="73"/>
      <c r="H3113" s="73"/>
      <c r="I3113" s="73"/>
      <c r="J3113" s="497" t="s">
        <v>357</v>
      </c>
      <c r="K3113" s="498"/>
      <c r="L3113" s="562"/>
      <c r="M3113" s="73"/>
      <c r="N3113"/>
      <c r="O3113"/>
      <c r="P3113"/>
      <c r="Q3113"/>
      <c r="R3113"/>
      <c r="S3113"/>
      <c r="T3113" s="102">
        <f t="shared" si="2378"/>
        <v>0</v>
      </c>
      <c r="U3113" s="78" t="str">
        <f>IF(NOT(ISNUMBER(G3113)), "", VLOOKUP(A3113,'Discount Lookup'!D:E,2,FALSE)*G3113)</f>
        <v/>
      </c>
      <c r="V3113" s="78" t="str">
        <f>IF(NOT(ISNUMBER(G3113)), "", VLOOKUP(A3113,'Discount Lookup'!G:H,2,FALSE)*G3113)</f>
        <v/>
      </c>
      <c r="W3113" s="102">
        <f t="shared" si="2379"/>
        <v>0</v>
      </c>
      <c r="X3113" s="102">
        <f t="shared" si="2380"/>
        <v>0</v>
      </c>
      <c r="Y3113" s="120" t="b">
        <f t="shared" si="2381"/>
        <v>0</v>
      </c>
      <c r="Z3113" s="117">
        <f t="shared" si="2382"/>
        <v>0</v>
      </c>
      <c r="AA3113" s="118"/>
      <c r="AB3113" s="118" t="str">
        <f t="shared" si="2383"/>
        <v/>
      </c>
      <c r="AC3113" s="712" t="str">
        <f>IF(AE3113="T2G","no charge",IF(AND(OR(PlanterYesMe="No",PlanterYesMe="N",PlanterYesMe="me"),H3113=""),"",IF(H3113="credit","NO install",IF(AND(K3113="",AE3113="me"),"EACH row",IF(AND(K3113="images",AE3113="me"),"EACH row",IF(D3113="","",IF(H3113="credit","",IF(AE3113="free","re-planting",IF(AE3113="me","   not ELP, by",IF(AND(OR(PlanterYesMe="Yes",PlanterYesMe="Y"),G3113&gt;0),(VLOOKUP(A3113,'Discount Lookup'!J:K,2)*G3113*(1-PlanterDiscount)*(1+PlanterDifficultyPercentage)),IF(AE3113="ELP",(VLOOKUP(A3113,'Discount Lookup'!J:K,2)*G3113*(1-PlanterDiscount)*(1+PlanterDifficultyPercentage)),IF(AE3113="free","re-planting",IF(G3113=0,"",IF(PlanterYesMe="",IF(AE3113="me","   not ELP, by",IF(AE3113="",IF(G3113&gt;0,(VLOOKUP(A3113,'Discount Lookup'!J:K,2)*G3113*(1-PlanterDiscount)*(1+PlanterDifficultyPercentage)),""),"")),"   not ELP, by"))))))))))))))</f>
        <v/>
      </c>
      <c r="AD3113" s="712"/>
      <c r="AE3113" s="513" t="str">
        <f t="shared" si="2384"/>
        <v/>
      </c>
      <c r="AF3113" s="713" t="str">
        <f t="shared" si="2385"/>
        <v/>
      </c>
      <c r="AG3113" s="713"/>
      <c r="AH3113" s="713"/>
      <c r="AI3113" s="112">
        <f>IF(H3113="credit",0,IF(AE3113="free",0,IF(AE3113="me",0,IF(G3113&gt;0,(VLOOKUP(A3113,'Discount Lookup'!J:K,2)*G3113),0))))</f>
        <v>0</v>
      </c>
      <c r="AJ3113" s="107" t="str">
        <f t="shared" ca="1" si="2386"/>
        <v/>
      </c>
      <c r="AK3113" s="714" t="str">
        <f t="shared" si="2387"/>
        <v/>
      </c>
      <c r="AL3113" s="714"/>
      <c r="AM3113" s="114" t="str">
        <f t="shared" si="2388"/>
        <v/>
      </c>
      <c r="AN3113" s="115"/>
      <c r="AO3113" s="116"/>
      <c r="AP3113" s="116"/>
      <c r="AQ3113" s="116"/>
      <c r="AR3113" s="116"/>
      <c r="AS3113" s="116"/>
      <c r="AT3113" s="116"/>
      <c r="AU3113" s="116"/>
      <c r="AV3113" s="78"/>
      <c r="AW3113" s="102"/>
      <c r="AX3113" s="78"/>
      <c r="AY3113" s="78"/>
      <c r="AZ3113" s="78"/>
      <c r="BA3113" s="78"/>
      <c r="BB3113" s="78"/>
      <c r="BC3113" s="78"/>
      <c r="BD3113" s="78"/>
      <c r="BE3113" s="465"/>
      <c r="BF3113" s="165" t="str">
        <f t="shared" si="2389"/>
        <v>https://www.google.com/search?tbm=isch&amp;q=Nepeta%20%3D%20Catmint%20</v>
      </c>
      <c r="BG3113" s="165" t="str">
        <f t="shared" si="2390"/>
        <v>N</v>
      </c>
      <c r="BH3113" s="65"/>
      <c r="BI3113" s="65"/>
      <c r="BJ3113" s="65"/>
      <c r="BK3113" s="65"/>
      <c r="BL3113" s="99"/>
      <c r="BM3113" s="99"/>
      <c r="BN3113" s="99"/>
    </row>
    <row r="3114" spans="1:66" s="51" customFormat="1" ht="18" x14ac:dyDescent="0.25">
      <c r="A3114" s="623" t="s">
        <v>3687</v>
      </c>
      <c r="B3114" s="624"/>
      <c r="C3114" s="709"/>
      <c r="D3114" s="625" t="s">
        <v>3688</v>
      </c>
      <c r="E3114" s="626"/>
      <c r="F3114" s="626"/>
      <c r="G3114" s="626"/>
      <c r="H3114" s="622" t="s">
        <v>4738</v>
      </c>
      <c r="I3114" s="627" t="s">
        <v>3689</v>
      </c>
      <c r="J3114" s="628"/>
      <c r="K3114" s="628"/>
      <c r="L3114" s="629"/>
      <c r="M3114" s="700" t="s">
        <v>5249</v>
      </c>
      <c r="N3114" s="693" t="str">
        <f>IF(AND(ISTEXT($A3114), ISERROR($A3114+0)), HYPERLINK($BF3114, "Images"), "")</f>
        <v>Images</v>
      </c>
      <c r="O3114" s="695" t="s">
        <v>5244</v>
      </c>
      <c r="P3114" s="630"/>
      <c r="Q3114" s="631"/>
      <c r="R3114" s="632"/>
      <c r="S3114" s="633"/>
      <c r="T3114" s="102">
        <f t="shared" si="2378"/>
        <v>0</v>
      </c>
      <c r="U3114" s="78" t="str">
        <f>IF(NOT(ISNUMBER(G3114)), "", VLOOKUP(A3114,'Discount Lookup'!D:E,2,FALSE)*G3114)</f>
        <v/>
      </c>
      <c r="V3114" s="78" t="str">
        <f>IF(NOT(ISNUMBER(G3114)), "", VLOOKUP(A3114,'Discount Lookup'!G:H,2,FALSE)*G3114)</f>
        <v/>
      </c>
      <c r="W3114" s="102">
        <f t="shared" si="2379"/>
        <v>0</v>
      </c>
      <c r="X3114" s="102" t="str">
        <f t="shared" si="2380"/>
        <v>Violet Blue bloom</v>
      </c>
      <c r="Y3114" s="120" t="b">
        <f t="shared" si="2381"/>
        <v>0</v>
      </c>
      <c r="Z3114" s="117">
        <f t="shared" si="2382"/>
        <v>0</v>
      </c>
      <c r="AA3114" s="118"/>
      <c r="AB3114" s="118" t="str">
        <f t="shared" si="2383"/>
        <v/>
      </c>
      <c r="AC3114" s="712" t="str">
        <f>IF(AE3114="T2G","no charge",IF(AND(OR(PlanterYesMe="No",PlanterYesMe="N",PlanterYesMe="me"),H3114=""),"",IF(H3114="credit","NO install",IF(AND(K3114="",AE3114="me"),"EACH row",IF(AND(K3114="images",AE3114="me"),"EACH row",IF(D3114="","",IF(H3114="credit","",IF(AE3114="free","re-planting",IF(AE3114="me","   not ELP, by",IF(AND(OR(PlanterYesMe="Yes",PlanterYesMe="Y"),G3114&gt;0),(VLOOKUP(A3114,'Discount Lookup'!J:K,2)*G3114*(1-PlanterDiscount)*(1+PlanterDifficultyPercentage)),IF(AE3114="ELP",(VLOOKUP(A3114,'Discount Lookup'!J:K,2)*G3114*(1-PlanterDiscount)*(1+PlanterDifficultyPercentage)),IF(AE3114="free","re-planting",IF(G3114=0,"",IF(PlanterYesMe="",IF(AE3114="me","   not ELP, by",IF(AE3114="",IF(G3114&gt;0,(VLOOKUP(A3114,'Discount Lookup'!J:K,2)*G3114*(1-PlanterDiscount)*(1+PlanterDifficultyPercentage)),""),"")),"   not ELP, by"))))))))))))))</f>
        <v/>
      </c>
      <c r="AD3114" s="712"/>
      <c r="AE3114" s="513" t="str">
        <f t="shared" si="2384"/>
        <v/>
      </c>
      <c r="AF3114" s="713" t="str">
        <f t="shared" si="2385"/>
        <v/>
      </c>
      <c r="AG3114" s="713"/>
      <c r="AH3114" s="713"/>
      <c r="AI3114" s="112">
        <f>IF(H3114="credit",0,IF(AE3114="free",0,IF(AE3114="me",0,IF(G3114&gt;0,(VLOOKUP(A3114,'Discount Lookup'!J:K,2)*G3114),0))))</f>
        <v>0</v>
      </c>
      <c r="AJ3114" s="107" t="str">
        <f t="shared" ca="1" si="2386"/>
        <v/>
      </c>
      <c r="AK3114" s="714" t="str">
        <f t="shared" si="2387"/>
        <v/>
      </c>
      <c r="AL3114" s="714"/>
      <c r="AM3114" s="114" t="str">
        <f t="shared" si="2388"/>
        <v/>
      </c>
      <c r="AN3114" s="115"/>
      <c r="AO3114" s="116"/>
      <c r="AP3114" s="116"/>
      <c r="AQ3114" s="116"/>
      <c r="AR3114" s="116"/>
      <c r="AS3114" s="116"/>
      <c r="AT3114" s="116"/>
      <c r="AU3114" s="116"/>
      <c r="AV3114" s="78"/>
      <c r="AW3114" s="102"/>
      <c r="AX3114" s="78"/>
      <c r="AY3114" s="78"/>
      <c r="AZ3114" s="78"/>
      <c r="BA3114" s="78"/>
      <c r="BB3114" s="78"/>
      <c r="BC3114" s="78"/>
      <c r="BD3114" s="78"/>
      <c r="BE3114" s="465"/>
      <c r="BF3114" s="165" t="str">
        <f t="shared" si="2389"/>
        <v>https://www.google.com/search?tbm=isch&amp;q=Nepeta%20x%20faassenii%20%27Walker%27s%20Low%27%20Walker%27s%20Low%20Catmint</v>
      </c>
      <c r="BG3114" s="165" t="str">
        <f t="shared" si="2390"/>
        <v>N</v>
      </c>
      <c r="BH3114" s="65"/>
      <c r="BI3114" s="65"/>
      <c r="BJ3114" s="65"/>
      <c r="BK3114" s="65"/>
      <c r="BL3114" s="99"/>
      <c r="BM3114" s="99"/>
      <c r="BN3114" s="99"/>
    </row>
    <row r="3115" spans="1:66" s="51" customFormat="1" ht="15.75" x14ac:dyDescent="0.25">
      <c r="A3115" s="634">
        <v>1</v>
      </c>
      <c r="B3115" s="635" t="s">
        <v>291</v>
      </c>
      <c r="C3115" s="636"/>
      <c r="D3115" s="637" t="s">
        <v>293</v>
      </c>
      <c r="E3115" s="638">
        <v>24.95</v>
      </c>
      <c r="F3115" s="639" t="s">
        <v>292</v>
      </c>
      <c r="G3115" s="484">
        <v>0</v>
      </c>
      <c r="H3115" s="691" t="str">
        <f>IF(G3115=0,"",IF(F3115="Buy",IF(G3115=1,"plant","plants"),IF(F3115&gt;0.01,"warranty","Error")))</f>
        <v/>
      </c>
      <c r="I3115" s="640">
        <f>IF(H3115="free",0,IF(H3115="credit",((E3115*(F3115))*G3115*-1),IF(F3115="Buy",(E3115*G3115),((E3115*(1-F3115))*G3115))))</f>
        <v>0</v>
      </c>
      <c r="J3115" s="640">
        <f>IF(H3115="warranty",0,(I3115*(_xlfn.SINGLE(SalesTaxPercentage))))</f>
        <v>0</v>
      </c>
      <c r="K3115" s="716">
        <f t="shared" ref="K3115" si="2399">I3115+J3115</f>
        <v>0</v>
      </c>
      <c r="L3115" s="716"/>
      <c r="M3115" s="689" t="str">
        <f ca="1">IF(AND(G3115&gt;0,E3115=0),"WARNING - no PRICE inserted",IF(H3115="free","FREE ~ no charge this plant",IF(H3115="credit",CONCATENATE("-$",ROUND(K3115*(1-_xlfn.SINGLE(T2GDiscount))*-1,2)," CREDIT after discount"),IF(_xlfn.SINGLE(T2GDiscount)=0,"",IF(G3115=0,"",IF(F3115="Buy",CONCATENATE("$",ROUND(K3115*(1-_xlfn.SINGLE(T2GDiscount)),2)," with ",(_xlfn.SINGLE(T2GDiscount)*100),"% discount"),CONCATENATE("$",ROUND(K3115*(1-_xlfn.SINGLE(T2GDiscount)),2)," with ",((_xlfn.SINGLE(T2GDiscount)*100+F3115*100)-(_xlfn.SINGLE(T2GDiscount)*100*F3115)),IF(F3115&gt;0,"% discounts",IF(_xlfn.SINGLE(NoWarrantyDiscount)&gt;0,"% discounts","% discount")))))))))</f>
        <v/>
      </c>
      <c r="N3115" s="690"/>
      <c r="O3115" s="486"/>
      <c r="P3115" s="486"/>
      <c r="Q3115" s="486"/>
      <c r="R3115" s="486"/>
      <c r="S3115" s="486"/>
      <c r="T3115" s="102">
        <f t="shared" si="2378"/>
        <v>0</v>
      </c>
      <c r="U3115" s="78">
        <f>IF(NOT(ISNUMBER(G3115)), "", VLOOKUP(A3115,'Discount Lookup'!D:E,2,FALSE)*G3115)</f>
        <v>0</v>
      </c>
      <c r="V3115" s="78">
        <f>IF(NOT(ISNUMBER(G3115)), "", VLOOKUP(A3115,'Discount Lookup'!G:H,2,FALSE)*G3115)</f>
        <v>0</v>
      </c>
      <c r="W3115" s="102">
        <f t="shared" si="2379"/>
        <v>0</v>
      </c>
      <c r="X3115" s="102">
        <f t="shared" si="2380"/>
        <v>0</v>
      </c>
      <c r="Y3115" s="120" t="b">
        <f t="shared" si="2381"/>
        <v>0</v>
      </c>
      <c r="Z3115" s="117">
        <f t="shared" si="2382"/>
        <v>0</v>
      </c>
      <c r="AA3115" s="118"/>
      <c r="AB3115" s="118" t="str">
        <f t="shared" si="2383"/>
        <v/>
      </c>
      <c r="AC3115" s="712" t="str">
        <f>IF(AE3115="T2G","no charge",IF(AND(OR(PlanterYesMe="No",PlanterYesMe="N",PlanterYesMe="me"),H3115=""),"",IF(H3115="credit","NO install",IF(AND(K3115="",AE3115="me"),"EACH row",IF(AND(K3115="images",AE3115="me"),"EACH row",IF(D3115="","",IF(H3115="credit","",IF(AE3115="free","re-planting",IF(AE3115="me","   not ELP, by",IF(AND(OR(PlanterYesMe="Yes",PlanterYesMe="Y"),G3115&gt;0),(VLOOKUP(A3115,'Discount Lookup'!J:K,2)*G3115*(1-PlanterDiscount)*(1+PlanterDifficultyPercentage)),IF(AE3115="ELP",(VLOOKUP(A3115,'Discount Lookup'!J:K,2)*G3115*(1-PlanterDiscount)*(1+PlanterDifficultyPercentage)),IF(AE3115="free","re-planting",IF(G3115=0,"",IF(PlanterYesMe="",IF(AE3115="me","   not ELP, by",IF(AE3115="",IF(G3115&gt;0,(VLOOKUP(A3115,'Discount Lookup'!J:K,2)*G3115*(1-PlanterDiscount)*(1+PlanterDifficultyPercentage)),""),"")),"   not ELP, by"))))))))))))))</f>
        <v/>
      </c>
      <c r="AD3115" s="712"/>
      <c r="AE3115" s="513" t="str">
        <f t="shared" si="2384"/>
        <v/>
      </c>
      <c r="AF3115" s="713" t="str">
        <f t="shared" si="2385"/>
        <v/>
      </c>
      <c r="AG3115" s="713"/>
      <c r="AH3115" s="713"/>
      <c r="AI3115" s="112">
        <f>IF(H3115="credit",0,IF(AE3115="free",0,IF(AE3115="me",0,IF(G3115&gt;0,(VLOOKUP(A3115,'Discount Lookup'!J:K,2)*G3115),0))))</f>
        <v>0</v>
      </c>
      <c r="AJ3115" s="107" t="str">
        <f t="shared" ca="1" si="2386"/>
        <v/>
      </c>
      <c r="AK3115" s="714" t="str">
        <f t="shared" si="2387"/>
        <v/>
      </c>
      <c r="AL3115" s="714"/>
      <c r="AM3115" s="114" t="str">
        <f t="shared" si="2388"/>
        <v/>
      </c>
      <c r="AN3115" s="115"/>
      <c r="AO3115" s="116"/>
      <c r="AP3115" s="116"/>
      <c r="AQ3115" s="116"/>
      <c r="AR3115" s="116"/>
      <c r="AS3115" s="116"/>
      <c r="AT3115" s="116"/>
      <c r="AU3115" s="116"/>
      <c r="AV3115" s="78"/>
      <c r="AW3115" s="102"/>
      <c r="AX3115" s="78"/>
      <c r="AY3115" s="78"/>
      <c r="AZ3115" s="78"/>
      <c r="BA3115" s="78"/>
      <c r="BB3115" s="78"/>
      <c r="BC3115" s="78"/>
      <c r="BD3115" s="78"/>
      <c r="BE3115" s="465"/>
      <c r="BF3115" s="165" t="str">
        <f t="shared" si="2389"/>
        <v>https://www.google.com/search?tbm=isch&amp;q=1%20G6</v>
      </c>
      <c r="BG3115" s="165" t="str">
        <f t="shared" si="2390"/>
        <v>N</v>
      </c>
      <c r="BH3115" s="65"/>
      <c r="BI3115" s="65"/>
      <c r="BJ3115" s="65"/>
      <c r="BK3115" s="65"/>
      <c r="BL3115" s="99"/>
      <c r="BM3115" s="99"/>
      <c r="BN3115" s="99"/>
    </row>
    <row r="3116" spans="1:66" s="51" customFormat="1" ht="15.75" x14ac:dyDescent="0.25">
      <c r="A3116" s="634">
        <v>2</v>
      </c>
      <c r="B3116" s="635" t="s">
        <v>291</v>
      </c>
      <c r="C3116" s="636"/>
      <c r="D3116" s="637" t="s">
        <v>293</v>
      </c>
      <c r="E3116" s="638">
        <v>26.95</v>
      </c>
      <c r="F3116" s="639" t="s">
        <v>292</v>
      </c>
      <c r="G3116" s="484">
        <v>0</v>
      </c>
      <c r="H3116" s="691" t="str">
        <f>IF(G3116=0,"",IF(F3116="Buy",IF(G3116=1,"plant","plants"),IF(F3116&gt;0.01,"warranty","Error")))</f>
        <v/>
      </c>
      <c r="I3116" s="640">
        <f>IF(H3116="free",0,IF(H3116="credit",((E3116*(F3116))*G3116*-1),IF(F3116="Buy",(E3116*G3116),((E3116*(1-F3116))*G3116))))</f>
        <v>0</v>
      </c>
      <c r="J3116" s="640">
        <f>IF(H3116="warranty",0,(I3116*(_xlfn.SINGLE(SalesTaxPercentage))))</f>
        <v>0</v>
      </c>
      <c r="K3116" s="716">
        <f t="shared" ref="K3116" si="2400">I3116+J3116</f>
        <v>0</v>
      </c>
      <c r="L3116" s="716"/>
      <c r="M3116" s="689" t="str">
        <f ca="1">IF(AND(G3116&gt;0,E3116=0),"WARNING - no PRICE inserted",IF(H3116="free","FREE ~ no charge this plant",IF(H3116="credit",CONCATENATE("-$",ROUND(K3116*(1-_xlfn.SINGLE(T2GDiscount))*-1,2)," CREDIT after discount"),IF(_xlfn.SINGLE(T2GDiscount)=0,"",IF(G3116=0,"",IF(F3116="Buy",CONCATENATE("$",ROUND(K3116*(1-_xlfn.SINGLE(T2GDiscount)),2)," with ",(_xlfn.SINGLE(T2GDiscount)*100),"% discount"),CONCATENATE("$",ROUND(K3116*(1-_xlfn.SINGLE(T2GDiscount)),2)," with ",((_xlfn.SINGLE(T2GDiscount)*100+F3116*100)-(_xlfn.SINGLE(T2GDiscount)*100*F3116)),IF(F3116&gt;0,"% discounts",IF(_xlfn.SINGLE(NoWarrantyDiscount)&gt;0,"% discounts","% discount")))))))))</f>
        <v/>
      </c>
      <c r="N3116" s="690"/>
      <c r="O3116" s="486"/>
      <c r="P3116" s="486"/>
      <c r="Q3116" s="486"/>
      <c r="R3116" s="486"/>
      <c r="S3116" s="486"/>
      <c r="T3116" s="102">
        <f t="shared" si="2378"/>
        <v>0</v>
      </c>
      <c r="U3116" s="78">
        <f>IF(NOT(ISNUMBER(G3116)), "", VLOOKUP(A3116,'Discount Lookup'!D:E,2,FALSE)*G3116)</f>
        <v>0</v>
      </c>
      <c r="V3116" s="78">
        <f>IF(NOT(ISNUMBER(G3116)), "", VLOOKUP(A3116,'Discount Lookup'!G:H,2,FALSE)*G3116)</f>
        <v>0</v>
      </c>
      <c r="W3116" s="102">
        <f t="shared" si="2379"/>
        <v>0</v>
      </c>
      <c r="X3116" s="102">
        <f t="shared" si="2380"/>
        <v>0</v>
      </c>
      <c r="Y3116" s="120" t="b">
        <f t="shared" si="2381"/>
        <v>0</v>
      </c>
      <c r="Z3116" s="117">
        <f t="shared" si="2382"/>
        <v>0</v>
      </c>
      <c r="AA3116" s="118"/>
      <c r="AB3116" s="118" t="str">
        <f t="shared" si="2383"/>
        <v/>
      </c>
      <c r="AC3116" s="712" t="str">
        <f>IF(AE3116="T2G","no charge",IF(AND(OR(PlanterYesMe="No",PlanterYesMe="N",PlanterYesMe="me"),H3116=""),"",IF(H3116="credit","NO install",IF(AND(K3116="",AE3116="me"),"EACH row",IF(AND(K3116="images",AE3116="me"),"EACH row",IF(D3116="","",IF(H3116="credit","",IF(AE3116="free","re-planting",IF(AE3116="me","   not ELP, by",IF(AND(OR(PlanterYesMe="Yes",PlanterYesMe="Y"),G3116&gt;0),(VLOOKUP(A3116,'Discount Lookup'!J:K,2)*G3116*(1-PlanterDiscount)*(1+PlanterDifficultyPercentage)),IF(AE3116="ELP",(VLOOKUP(A3116,'Discount Lookup'!J:K,2)*G3116*(1-PlanterDiscount)*(1+PlanterDifficultyPercentage)),IF(AE3116="free","re-planting",IF(G3116=0,"",IF(PlanterYesMe="",IF(AE3116="me","   not ELP, by",IF(AE3116="",IF(G3116&gt;0,(VLOOKUP(A3116,'Discount Lookup'!J:K,2)*G3116*(1-PlanterDiscount)*(1+PlanterDifficultyPercentage)),""),"")),"   not ELP, by"))))))))))))))</f>
        <v/>
      </c>
      <c r="AD3116" s="712"/>
      <c r="AE3116" s="513" t="str">
        <f t="shared" si="2384"/>
        <v/>
      </c>
      <c r="AF3116" s="713" t="str">
        <f t="shared" si="2385"/>
        <v/>
      </c>
      <c r="AG3116" s="713"/>
      <c r="AH3116" s="713"/>
      <c r="AI3116" s="112">
        <f>IF(H3116="credit",0,IF(AE3116="free",0,IF(AE3116="me",0,IF(G3116&gt;0,(VLOOKUP(A3116,'Discount Lookup'!J:K,2)*G3116),0))))</f>
        <v>0</v>
      </c>
      <c r="AJ3116" s="107" t="str">
        <f t="shared" ca="1" si="2386"/>
        <v/>
      </c>
      <c r="AK3116" s="714" t="str">
        <f t="shared" si="2387"/>
        <v/>
      </c>
      <c r="AL3116" s="714"/>
      <c r="AM3116" s="114" t="str">
        <f t="shared" si="2388"/>
        <v/>
      </c>
      <c r="AN3116" s="115"/>
      <c r="AO3116" s="116"/>
      <c r="AP3116" s="116"/>
      <c r="AQ3116" s="116"/>
      <c r="AR3116" s="116"/>
      <c r="AS3116" s="116"/>
      <c r="AT3116" s="116"/>
      <c r="AU3116" s="116"/>
      <c r="AV3116" s="78"/>
      <c r="AW3116" s="102"/>
      <c r="AX3116" s="78"/>
      <c r="AY3116" s="78"/>
      <c r="AZ3116" s="78"/>
      <c r="BA3116" s="78"/>
      <c r="BB3116" s="78"/>
      <c r="BC3116" s="78"/>
      <c r="BD3116" s="78"/>
      <c r="BE3116" s="465"/>
      <c r="BF3116" s="165" t="str">
        <f t="shared" si="2389"/>
        <v>https://www.google.com/search?tbm=isch&amp;q=2%20G6</v>
      </c>
      <c r="BG3116" s="165" t="str">
        <f t="shared" si="2390"/>
        <v>N</v>
      </c>
      <c r="BH3116" s="65"/>
      <c r="BI3116" s="65"/>
      <c r="BJ3116" s="65"/>
      <c r="BK3116" s="65"/>
      <c r="BL3116" s="99"/>
      <c r="BM3116" s="99"/>
      <c r="BN3116" s="99"/>
    </row>
    <row r="3117" spans="1:66" s="51" customFormat="1" ht="16.5" x14ac:dyDescent="0.25">
      <c r="A3117" s="641" t="s">
        <v>3690</v>
      </c>
      <c r="B3117" s="642"/>
      <c r="C3117" s="710"/>
      <c r="D3117" s="643"/>
      <c r="E3117" s="643"/>
      <c r="F3117" s="644"/>
      <c r="G3117" s="645"/>
      <c r="H3117" s="646"/>
      <c r="I3117" s="647"/>
      <c r="J3117" s="648"/>
      <c r="K3117" s="649"/>
      <c r="L3117" s="650"/>
      <c r="M3117" s="650"/>
      <c r="N3117" s="644"/>
      <c r="O3117" s="644"/>
      <c r="P3117" s="644"/>
      <c r="Q3117" s="644"/>
      <c r="R3117" s="644"/>
      <c r="S3117" s="701" t="s">
        <v>5263</v>
      </c>
      <c r="T3117" s="102">
        <f t="shared" si="2378"/>
        <v>0</v>
      </c>
      <c r="U3117" s="78" t="str">
        <f>IF(NOT(ISNUMBER(G3117)), "", VLOOKUP(A3117,'Discount Lookup'!D:E,2,FALSE)*G3117)</f>
        <v/>
      </c>
      <c r="V3117" s="78" t="str">
        <f>IF(NOT(ISNUMBER(G3117)), "", VLOOKUP(A3117,'Discount Lookup'!G:H,2,FALSE)*G3117)</f>
        <v/>
      </c>
      <c r="W3117" s="102">
        <f t="shared" si="2379"/>
        <v>0</v>
      </c>
      <c r="X3117" s="102">
        <f t="shared" si="2380"/>
        <v>0</v>
      </c>
      <c r="Y3117" s="120" t="b">
        <f t="shared" si="2381"/>
        <v>0</v>
      </c>
      <c r="Z3117" s="117">
        <f t="shared" si="2382"/>
        <v>0</v>
      </c>
      <c r="AA3117" s="118"/>
      <c r="AB3117" s="118" t="str">
        <f t="shared" si="2383"/>
        <v/>
      </c>
      <c r="AC3117" s="712" t="str">
        <f>IF(AE3117="T2G","no charge",IF(AND(OR(PlanterYesMe="No",PlanterYesMe="N",PlanterYesMe="me"),H3117=""),"",IF(H3117="credit","NO install",IF(AND(K3117="",AE3117="me"),"EACH row",IF(AND(K3117="images",AE3117="me"),"EACH row",IF(D3117="","",IF(H3117="credit","",IF(AE3117="free","re-planting",IF(AE3117="me","   not ELP, by",IF(AND(OR(PlanterYesMe="Yes",PlanterYesMe="Y"),G3117&gt;0),(VLOOKUP(A3117,'Discount Lookup'!J:K,2)*G3117*(1-PlanterDiscount)*(1+PlanterDifficultyPercentage)),IF(AE3117="ELP",(VLOOKUP(A3117,'Discount Lookup'!J:K,2)*G3117*(1-PlanterDiscount)*(1+PlanterDifficultyPercentage)),IF(AE3117="free","re-planting",IF(G3117=0,"",IF(PlanterYesMe="",IF(AE3117="me","   not ELP, by",IF(AE3117="",IF(G3117&gt;0,(VLOOKUP(A3117,'Discount Lookup'!J:K,2)*G3117*(1-PlanterDiscount)*(1+PlanterDifficultyPercentage)),""),"")),"   not ELP, by"))))))))))))))</f>
        <v/>
      </c>
      <c r="AD3117" s="712"/>
      <c r="AE3117" s="513" t="str">
        <f t="shared" si="2384"/>
        <v/>
      </c>
      <c r="AF3117" s="713" t="str">
        <f t="shared" si="2385"/>
        <v/>
      </c>
      <c r="AG3117" s="713"/>
      <c r="AH3117" s="713"/>
      <c r="AI3117" s="112">
        <f>IF(H3117="credit",0,IF(AE3117="free",0,IF(AE3117="me",0,IF(G3117&gt;0,(VLOOKUP(A3117,'Discount Lookup'!J:K,2)*G3117),0))))</f>
        <v>0</v>
      </c>
      <c r="AJ3117" s="107" t="str">
        <f t="shared" ca="1" si="2386"/>
        <v/>
      </c>
      <c r="AK3117" s="714" t="str">
        <f t="shared" si="2387"/>
        <v/>
      </c>
      <c r="AL3117" s="714"/>
      <c r="AM3117" s="114" t="str">
        <f t="shared" si="2388"/>
        <v/>
      </c>
      <c r="AN3117" s="115"/>
      <c r="AO3117" s="116"/>
      <c r="AP3117" s="116"/>
      <c r="AQ3117" s="116"/>
      <c r="AR3117" s="116"/>
      <c r="AS3117" s="116"/>
      <c r="AT3117" s="116"/>
      <c r="AU3117" s="116"/>
      <c r="AV3117" s="78"/>
      <c r="AW3117" s="102"/>
      <c r="AX3117" s="78"/>
      <c r="AY3117" s="78"/>
      <c r="AZ3117" s="78"/>
      <c r="BA3117" s="78"/>
      <c r="BB3117" s="78"/>
      <c r="BC3117" s="78"/>
      <c r="BD3117" s="78"/>
      <c r="BE3117" s="465"/>
      <c r="BF3117" s="165" t="str">
        <f t="shared" si="2389"/>
        <v>https://www.google.com/search?tbm=isch&amp;q=Walker%27s%20Low%20is%20not%20quite%20as%20enticing%20as%20%27cataria%27%20Catmint%2C%20but%20cats%20still%20crazy%20for%20the%20fragrance%20</v>
      </c>
      <c r="BG3117" s="165" t="str">
        <f t="shared" si="2390"/>
        <v>W</v>
      </c>
      <c r="BH3117" s="65"/>
      <c r="BI3117" s="65"/>
      <c r="BJ3117" s="65"/>
      <c r="BK3117" s="65"/>
      <c r="BL3117" s="99"/>
      <c r="BM3117" s="99"/>
      <c r="BN3117" s="99"/>
    </row>
    <row r="3118" spans="1:66" s="51" customFormat="1" ht="19.5" thickBot="1" x14ac:dyDescent="0.3">
      <c r="A3118" s="686" t="s">
        <v>632</v>
      </c>
      <c r="B3118" s="73"/>
      <c r="C3118" s="708"/>
      <c r="D3118" s="73"/>
      <c r="E3118" s="73"/>
      <c r="F3118" s="496"/>
      <c r="G3118" s="73"/>
      <c r="H3118" s="73"/>
      <c r="I3118" s="73"/>
      <c r="J3118" s="497" t="s">
        <v>357</v>
      </c>
      <c r="K3118" s="498"/>
      <c r="L3118" s="562"/>
      <c r="M3118" s="73"/>
      <c r="N3118"/>
      <c r="O3118"/>
      <c r="P3118"/>
      <c r="Q3118"/>
      <c r="R3118"/>
      <c r="S3118"/>
      <c r="T3118" s="102">
        <f t="shared" si="2378"/>
        <v>0</v>
      </c>
      <c r="U3118" s="78" t="str">
        <f>IF(NOT(ISNUMBER(G3118)), "", VLOOKUP(A3118,'Discount Lookup'!D:E,2,FALSE)*G3118)</f>
        <v/>
      </c>
      <c r="V3118" s="78" t="str">
        <f>IF(NOT(ISNUMBER(G3118)), "", VLOOKUP(A3118,'Discount Lookup'!G:H,2,FALSE)*G3118)</f>
        <v/>
      </c>
      <c r="W3118" s="102">
        <f t="shared" si="2379"/>
        <v>0</v>
      </c>
      <c r="X3118" s="102">
        <f t="shared" si="2380"/>
        <v>0</v>
      </c>
      <c r="Y3118" s="120" t="b">
        <f t="shared" si="2381"/>
        <v>0</v>
      </c>
      <c r="Z3118" s="117">
        <f t="shared" si="2382"/>
        <v>0</v>
      </c>
      <c r="AA3118" s="118"/>
      <c r="AB3118" s="118" t="str">
        <f t="shared" si="2383"/>
        <v/>
      </c>
      <c r="AC3118" s="712" t="str">
        <f>IF(AE3118="T2G","no charge",IF(AND(OR(PlanterYesMe="No",PlanterYesMe="N",PlanterYesMe="me"),H3118=""),"",IF(H3118="credit","NO install",IF(AND(K3118="",AE3118="me"),"EACH row",IF(AND(K3118="images",AE3118="me"),"EACH row",IF(D3118="","",IF(H3118="credit","",IF(AE3118="free","re-planting",IF(AE3118="me","   not ELP, by",IF(AND(OR(PlanterYesMe="Yes",PlanterYesMe="Y"),G3118&gt;0),(VLOOKUP(A3118,'Discount Lookup'!J:K,2)*G3118*(1-PlanterDiscount)*(1+PlanterDifficultyPercentage)),IF(AE3118="ELP",(VLOOKUP(A3118,'Discount Lookup'!J:K,2)*G3118*(1-PlanterDiscount)*(1+PlanterDifficultyPercentage)),IF(AE3118="free","re-planting",IF(G3118=0,"",IF(PlanterYesMe="",IF(AE3118="me","   not ELP, by",IF(AE3118="",IF(G3118&gt;0,(VLOOKUP(A3118,'Discount Lookup'!J:K,2)*G3118*(1-PlanterDiscount)*(1+PlanterDifficultyPercentage)),""),"")),"   not ELP, by"))))))))))))))</f>
        <v/>
      </c>
      <c r="AD3118" s="712"/>
      <c r="AE3118" s="513" t="str">
        <f t="shared" si="2384"/>
        <v/>
      </c>
      <c r="AF3118" s="713" t="str">
        <f t="shared" si="2385"/>
        <v/>
      </c>
      <c r="AG3118" s="713"/>
      <c r="AH3118" s="713"/>
      <c r="AI3118" s="112">
        <f>IF(H3118="credit",0,IF(AE3118="free",0,IF(AE3118="me",0,IF(G3118&gt;0,(VLOOKUP(A3118,'Discount Lookup'!J:K,2)*G3118),0))))</f>
        <v>0</v>
      </c>
      <c r="AJ3118" s="107" t="str">
        <f t="shared" ca="1" si="2386"/>
        <v/>
      </c>
      <c r="AK3118" s="714" t="str">
        <f t="shared" si="2387"/>
        <v/>
      </c>
      <c r="AL3118" s="714"/>
      <c r="AM3118" s="114" t="str">
        <f t="shared" si="2388"/>
        <v/>
      </c>
      <c r="AN3118" s="115"/>
      <c r="AO3118" s="116"/>
      <c r="AP3118" s="116"/>
      <c r="AQ3118" s="116"/>
      <c r="AR3118" s="116"/>
      <c r="AS3118" s="116"/>
      <c r="AT3118" s="116"/>
      <c r="AU3118" s="116"/>
      <c r="AV3118" s="78"/>
      <c r="AW3118" s="102"/>
      <c r="AX3118" s="78"/>
      <c r="AY3118" s="78"/>
      <c r="AZ3118" s="78"/>
      <c r="BA3118" s="78"/>
      <c r="BB3118" s="78"/>
      <c r="BC3118" s="78"/>
      <c r="BD3118" s="78"/>
      <c r="BE3118" s="465"/>
      <c r="BF3118" s="165" t="str">
        <f t="shared" si="2389"/>
        <v>https://www.google.com/search?tbm=isch&amp;q=Nyssa%20%3D%20Tupelo%20</v>
      </c>
      <c r="BG3118" s="165" t="str">
        <f t="shared" si="2390"/>
        <v>N</v>
      </c>
      <c r="BH3118" s="65"/>
      <c r="BI3118" s="65"/>
      <c r="BJ3118" s="65"/>
      <c r="BK3118" s="65"/>
      <c r="BL3118" s="99"/>
      <c r="BM3118" s="99"/>
      <c r="BN3118" s="99"/>
    </row>
    <row r="3119" spans="1:66" s="51" customFormat="1" ht="18" x14ac:dyDescent="0.25">
      <c r="A3119" s="623" t="s">
        <v>3691</v>
      </c>
      <c r="B3119" s="624"/>
      <c r="C3119" s="709"/>
      <c r="D3119" s="625" t="s">
        <v>3692</v>
      </c>
      <c r="E3119" s="626"/>
      <c r="F3119" s="626"/>
      <c r="G3119" s="626"/>
      <c r="H3119" s="622" t="s">
        <v>476</v>
      </c>
      <c r="I3119" s="627" t="s">
        <v>431</v>
      </c>
      <c r="J3119" s="628"/>
      <c r="K3119" s="628"/>
      <c r="L3119" s="629"/>
      <c r="M3119" s="700" t="s">
        <v>5249</v>
      </c>
      <c r="N3119" s="693" t="str">
        <f>IF(AND(ISTEXT($A3119), ISERROR($A3119+0)), HYPERLINK($BF3119, "Images"), "")</f>
        <v>Images</v>
      </c>
      <c r="O3119" s="695" t="s">
        <v>5247</v>
      </c>
      <c r="P3119" s="630"/>
      <c r="Q3119" s="631"/>
      <c r="R3119" s="632"/>
      <c r="S3119" s="633" t="s">
        <v>294</v>
      </c>
      <c r="T3119" s="102">
        <f t="shared" si="2378"/>
        <v>0</v>
      </c>
      <c r="U3119" s="78" t="str">
        <f>IF(NOT(ISNUMBER(G3119)), "", VLOOKUP(A3119,'Discount Lookup'!D:E,2,FALSE)*G3119)</f>
        <v/>
      </c>
      <c r="V3119" s="78" t="str">
        <f>IF(NOT(ISNUMBER(G3119)), "", VLOOKUP(A3119,'Discount Lookup'!G:H,2,FALSE)*G3119)</f>
        <v/>
      </c>
      <c r="W3119" s="102">
        <f t="shared" si="2379"/>
        <v>0</v>
      </c>
      <c r="X3119" s="102" t="str">
        <f t="shared" si="2380"/>
        <v>Dark Green foliage</v>
      </c>
      <c r="Y3119" s="120" t="b">
        <f t="shared" si="2381"/>
        <v>0</v>
      </c>
      <c r="Z3119" s="117">
        <f t="shared" si="2382"/>
        <v>0</v>
      </c>
      <c r="AA3119" s="118"/>
      <c r="AB3119" s="118" t="str">
        <f t="shared" si="2383"/>
        <v/>
      </c>
      <c r="AC3119" s="712" t="str">
        <f>IF(AE3119="T2G","no charge",IF(AND(OR(PlanterYesMe="No",PlanterYesMe="N",PlanterYesMe="me"),H3119=""),"",IF(H3119="credit","NO install",IF(AND(K3119="",AE3119="me"),"EACH row",IF(AND(K3119="images",AE3119="me"),"EACH row",IF(D3119="","",IF(H3119="credit","",IF(AE3119="free","re-planting",IF(AE3119="me","   not ELP, by",IF(AND(OR(PlanterYesMe="Yes",PlanterYesMe="Y"),G3119&gt;0),(VLOOKUP(A3119,'Discount Lookup'!J:K,2)*G3119*(1-PlanterDiscount)*(1+PlanterDifficultyPercentage)),IF(AE3119="ELP",(VLOOKUP(A3119,'Discount Lookup'!J:K,2)*G3119*(1-PlanterDiscount)*(1+PlanterDifficultyPercentage)),IF(AE3119="free","re-planting",IF(G3119=0,"",IF(PlanterYesMe="",IF(AE3119="me","   not ELP, by",IF(AE3119="",IF(G3119&gt;0,(VLOOKUP(A3119,'Discount Lookup'!J:K,2)*G3119*(1-PlanterDiscount)*(1+PlanterDifficultyPercentage)),""),"")),"   not ELP, by"))))))))))))))</f>
        <v/>
      </c>
      <c r="AD3119" s="712"/>
      <c r="AE3119" s="513" t="str">
        <f t="shared" si="2384"/>
        <v/>
      </c>
      <c r="AF3119" s="713" t="str">
        <f t="shared" si="2385"/>
        <v/>
      </c>
      <c r="AG3119" s="713"/>
      <c r="AH3119" s="713"/>
      <c r="AI3119" s="112">
        <f>IF(H3119="credit",0,IF(AE3119="free",0,IF(AE3119="me",0,IF(G3119&gt;0,(VLOOKUP(A3119,'Discount Lookup'!J:K,2)*G3119),0))))</f>
        <v>0</v>
      </c>
      <c r="AJ3119" s="107" t="str">
        <f t="shared" ca="1" si="2386"/>
        <v/>
      </c>
      <c r="AK3119" s="714" t="str">
        <f t="shared" si="2387"/>
        <v/>
      </c>
      <c r="AL3119" s="714"/>
      <c r="AM3119" s="114" t="str">
        <f t="shared" si="2388"/>
        <v/>
      </c>
      <c r="AN3119" s="115"/>
      <c r="AO3119" s="116"/>
      <c r="AP3119" s="116"/>
      <c r="AQ3119" s="116"/>
      <c r="AR3119" s="116"/>
      <c r="AS3119" s="116"/>
      <c r="AT3119" s="116"/>
      <c r="AU3119" s="116"/>
      <c r="AV3119" s="78"/>
      <c r="AW3119" s="102"/>
      <c r="AX3119" s="78"/>
      <c r="AY3119" s="78"/>
      <c r="AZ3119" s="78"/>
      <c r="BA3119" s="78"/>
      <c r="BB3119" s="78"/>
      <c r="BC3119" s="78"/>
      <c r="BD3119" s="78"/>
      <c r="BE3119" s="465"/>
      <c r="BF3119" s="165" t="str">
        <f t="shared" si="2389"/>
        <v>https://www.google.com/search?tbm=isch&amp;q=Nyssa%20sylvatica%20Black%20Tupelo</v>
      </c>
      <c r="BG3119" s="165" t="str">
        <f t="shared" si="2390"/>
        <v>N</v>
      </c>
      <c r="BH3119" s="65"/>
      <c r="BI3119" s="65"/>
      <c r="BJ3119" s="65"/>
      <c r="BK3119" s="65"/>
      <c r="BL3119" s="99"/>
      <c r="BM3119" s="99"/>
      <c r="BN3119" s="99"/>
    </row>
    <row r="3120" spans="1:66" s="51" customFormat="1" ht="15.75" x14ac:dyDescent="0.25">
      <c r="A3120" s="634">
        <v>7</v>
      </c>
      <c r="B3120" s="635" t="s">
        <v>291</v>
      </c>
      <c r="C3120" s="636" t="s">
        <v>3693</v>
      </c>
      <c r="D3120" s="637" t="s">
        <v>311</v>
      </c>
      <c r="E3120" s="638">
        <v>95.95</v>
      </c>
      <c r="F3120" s="639" t="s">
        <v>292</v>
      </c>
      <c r="G3120" s="484">
        <v>0</v>
      </c>
      <c r="H3120" s="691" t="str">
        <f>IF(G3120=0,"",IF(F3120="Buy",IF(G3120=1,"plant","plants"),IF(F3120&gt;0.01,"warranty","Error")))</f>
        <v/>
      </c>
      <c r="I3120" s="640">
        <f>IF(H3120="free",0,IF(H3120="credit",((E3120*(F3120))*G3120*-1),IF(F3120="Buy",(E3120*G3120),((E3120*(1-F3120))*G3120))))</f>
        <v>0</v>
      </c>
      <c r="J3120" s="640">
        <f>IF(H3120="warranty",0,(I3120*(_xlfn.SINGLE(SalesTaxPercentage))))</f>
        <v>0</v>
      </c>
      <c r="K3120" s="716">
        <f t="shared" ref="K3120" si="2401">I3120+J3120</f>
        <v>0</v>
      </c>
      <c r="L3120" s="716"/>
      <c r="M3120" s="689" t="str">
        <f ca="1">IF(AND(G3120&gt;0,E3120=0),"WARNING - no PRICE inserted",IF(H3120="free","FREE ~ no charge this plant",IF(H3120="credit",CONCATENATE("-$",ROUND(K3120*(1-_xlfn.SINGLE(T2GDiscount))*-1,2)," CREDIT after discount"),IF(_xlfn.SINGLE(T2GDiscount)=0,"",IF(G3120=0,"",IF(F3120="Buy",CONCATENATE("$",ROUND(K3120*(1-_xlfn.SINGLE(T2GDiscount)),2)," with ",(_xlfn.SINGLE(T2GDiscount)*100),"% discount"),CONCATENATE("$",ROUND(K3120*(1-_xlfn.SINGLE(T2GDiscount)),2)," with ",((_xlfn.SINGLE(T2GDiscount)*100+F3120*100)-(_xlfn.SINGLE(T2GDiscount)*100*F3120)),IF(F3120&gt;0,"% discounts",IF(_xlfn.SINGLE(NoWarrantyDiscount)&gt;0,"% discounts","% discount")))))))))</f>
        <v/>
      </c>
      <c r="N3120" s="690"/>
      <c r="O3120" s="486"/>
      <c r="P3120" s="486"/>
      <c r="Q3120" s="486"/>
      <c r="R3120" s="486"/>
      <c r="S3120" s="486"/>
      <c r="T3120" s="102">
        <f t="shared" si="2378"/>
        <v>0</v>
      </c>
      <c r="U3120" s="78">
        <f>IF(NOT(ISNUMBER(G3120)), "", VLOOKUP(A3120,'Discount Lookup'!D:E,2,FALSE)*G3120)</f>
        <v>0</v>
      </c>
      <c r="V3120" s="78">
        <f>IF(NOT(ISNUMBER(G3120)), "", VLOOKUP(A3120,'Discount Lookup'!G:H,2,FALSE)*G3120)</f>
        <v>0</v>
      </c>
      <c r="W3120" s="102">
        <f t="shared" si="2379"/>
        <v>0</v>
      </c>
      <c r="X3120" s="102">
        <f t="shared" si="2380"/>
        <v>0</v>
      </c>
      <c r="Y3120" s="120" t="b">
        <f t="shared" si="2381"/>
        <v>0</v>
      </c>
      <c r="Z3120" s="117">
        <f t="shared" si="2382"/>
        <v>0</v>
      </c>
      <c r="AA3120" s="118"/>
      <c r="AB3120" s="118" t="str">
        <f t="shared" si="2383"/>
        <v/>
      </c>
      <c r="AC3120" s="712" t="str">
        <f>IF(AE3120="T2G","no charge",IF(AND(OR(PlanterYesMe="No",PlanterYesMe="N",PlanterYesMe="me"),H3120=""),"",IF(H3120="credit","NO install",IF(AND(K3120="",AE3120="me"),"EACH row",IF(AND(K3120="images",AE3120="me"),"EACH row",IF(D3120="","",IF(H3120="credit","",IF(AE3120="free","re-planting",IF(AE3120="me","   not ELP, by",IF(AND(OR(PlanterYesMe="Yes",PlanterYesMe="Y"),G3120&gt;0),(VLOOKUP(A3120,'Discount Lookup'!J:K,2)*G3120*(1-PlanterDiscount)*(1+PlanterDifficultyPercentage)),IF(AE3120="ELP",(VLOOKUP(A3120,'Discount Lookup'!J:K,2)*G3120*(1-PlanterDiscount)*(1+PlanterDifficultyPercentage)),IF(AE3120="free","re-planting",IF(G3120=0,"",IF(PlanterYesMe="",IF(AE3120="me","   not ELP, by",IF(AE3120="",IF(G3120&gt;0,(VLOOKUP(A3120,'Discount Lookup'!J:K,2)*G3120*(1-PlanterDiscount)*(1+PlanterDifficultyPercentage)),""),"")),"   not ELP, by"))))))))))))))</f>
        <v/>
      </c>
      <c r="AD3120" s="712"/>
      <c r="AE3120" s="513" t="str">
        <f t="shared" si="2384"/>
        <v/>
      </c>
      <c r="AF3120" s="713" t="str">
        <f t="shared" si="2385"/>
        <v/>
      </c>
      <c r="AG3120" s="713"/>
      <c r="AH3120" s="713"/>
      <c r="AI3120" s="112">
        <f>IF(H3120="credit",0,IF(AE3120="free",0,IF(AE3120="me",0,IF(G3120&gt;0,(VLOOKUP(A3120,'Discount Lookup'!J:K,2)*G3120),0))))</f>
        <v>0</v>
      </c>
      <c r="AJ3120" s="107" t="str">
        <f t="shared" ca="1" si="2386"/>
        <v/>
      </c>
      <c r="AK3120" s="714" t="str">
        <f t="shared" si="2387"/>
        <v/>
      </c>
      <c r="AL3120" s="714"/>
      <c r="AM3120" s="114" t="str">
        <f t="shared" si="2388"/>
        <v/>
      </c>
      <c r="AN3120" s="115"/>
      <c r="AO3120" s="116"/>
      <c r="AP3120" s="116"/>
      <c r="AQ3120" s="116"/>
      <c r="AR3120" s="116"/>
      <c r="AS3120" s="116"/>
      <c r="AT3120" s="116"/>
      <c r="AU3120" s="116"/>
      <c r="AV3120" s="78"/>
      <c r="AW3120" s="102"/>
      <c r="AX3120" s="78"/>
      <c r="AY3120" s="78"/>
      <c r="AZ3120" s="78"/>
      <c r="BA3120" s="78"/>
      <c r="BB3120" s="78"/>
      <c r="BC3120" s="78"/>
      <c r="BD3120" s="78"/>
      <c r="BE3120" s="465"/>
      <c r="BF3120" s="165" t="str">
        <f t="shared" si="2389"/>
        <v>https://www.google.com/search?tbm=isch&amp;q=7%20G5</v>
      </c>
      <c r="BG3120" s="165" t="str">
        <f t="shared" si="2390"/>
        <v>N</v>
      </c>
      <c r="BH3120" s="65"/>
      <c r="BI3120" s="65"/>
      <c r="BJ3120" s="65"/>
      <c r="BK3120" s="65"/>
      <c r="BL3120" s="99"/>
      <c r="BM3120" s="99"/>
      <c r="BN3120" s="99"/>
    </row>
    <row r="3121" spans="1:66" s="51" customFormat="1" ht="17.25" thickBot="1" x14ac:dyDescent="0.3">
      <c r="A3121" s="704" t="s">
        <v>5493</v>
      </c>
      <c r="B3121" s="642"/>
      <c r="C3121" s="710"/>
      <c r="D3121" s="643"/>
      <c r="E3121" s="643"/>
      <c r="F3121" s="644"/>
      <c r="G3121" s="645"/>
      <c r="H3121" s="646"/>
      <c r="I3121" s="647"/>
      <c r="J3121" s="648"/>
      <c r="K3121" s="649"/>
      <c r="L3121" s="650"/>
      <c r="M3121" s="650"/>
      <c r="N3121" s="644"/>
      <c r="O3121" s="644"/>
      <c r="P3121" s="644"/>
      <c r="Q3121" s="644"/>
      <c r="R3121" s="644"/>
      <c r="S3121" s="701" t="s">
        <v>5251</v>
      </c>
      <c r="T3121" s="102">
        <f t="shared" si="2378"/>
        <v>0</v>
      </c>
      <c r="U3121" s="78" t="str">
        <f>IF(NOT(ISNUMBER(G3121)), "", VLOOKUP(A3121,'Discount Lookup'!D:E,2,FALSE)*G3121)</f>
        <v/>
      </c>
      <c r="V3121" s="78" t="str">
        <f>IF(NOT(ISNUMBER(G3121)), "", VLOOKUP(A3121,'Discount Lookup'!G:H,2,FALSE)*G3121)</f>
        <v/>
      </c>
      <c r="W3121" s="102">
        <f t="shared" si="2379"/>
        <v>0</v>
      </c>
      <c r="X3121" s="102">
        <f t="shared" si="2380"/>
        <v>0</v>
      </c>
      <c r="Y3121" s="120" t="b">
        <f t="shared" si="2381"/>
        <v>0</v>
      </c>
      <c r="Z3121" s="117">
        <f t="shared" si="2382"/>
        <v>0</v>
      </c>
      <c r="AA3121" s="118"/>
      <c r="AB3121" s="118" t="str">
        <f t="shared" si="2383"/>
        <v/>
      </c>
      <c r="AC3121" s="712" t="str">
        <f>IF(AE3121="T2G","no charge",IF(AND(OR(PlanterYesMe="No",PlanterYesMe="N",PlanterYesMe="me"),H3121=""),"",IF(H3121="credit","NO install",IF(AND(K3121="",AE3121="me"),"EACH row",IF(AND(K3121="images",AE3121="me"),"EACH row",IF(D3121="","",IF(H3121="credit","",IF(AE3121="free","re-planting",IF(AE3121="me","   not ELP, by",IF(AND(OR(PlanterYesMe="Yes",PlanterYesMe="Y"),G3121&gt;0),(VLOOKUP(A3121,'Discount Lookup'!J:K,2)*G3121*(1-PlanterDiscount)*(1+PlanterDifficultyPercentage)),IF(AE3121="ELP",(VLOOKUP(A3121,'Discount Lookup'!J:K,2)*G3121*(1-PlanterDiscount)*(1+PlanterDifficultyPercentage)),IF(AE3121="free","re-planting",IF(G3121=0,"",IF(PlanterYesMe="",IF(AE3121="me","   not ELP, by",IF(AE3121="",IF(G3121&gt;0,(VLOOKUP(A3121,'Discount Lookup'!J:K,2)*G3121*(1-PlanterDiscount)*(1+PlanterDifficultyPercentage)),""),"")),"   not ELP, by"))))))))))))))</f>
        <v/>
      </c>
      <c r="AD3121" s="712"/>
      <c r="AE3121" s="513" t="str">
        <f t="shared" si="2384"/>
        <v/>
      </c>
      <c r="AF3121" s="713" t="str">
        <f t="shared" si="2385"/>
        <v/>
      </c>
      <c r="AG3121" s="713"/>
      <c r="AH3121" s="713"/>
      <c r="AI3121" s="112">
        <f>IF(H3121="credit",0,IF(AE3121="free",0,IF(AE3121="me",0,IF(G3121&gt;0,(VLOOKUP(A3121,'Discount Lookup'!J:K,2)*G3121),0))))</f>
        <v>0</v>
      </c>
      <c r="AJ3121" s="107" t="str">
        <f t="shared" ca="1" si="2386"/>
        <v/>
      </c>
      <c r="AK3121" s="714" t="str">
        <f t="shared" si="2387"/>
        <v/>
      </c>
      <c r="AL3121" s="714"/>
      <c r="AM3121" s="114" t="str">
        <f t="shared" si="2388"/>
        <v/>
      </c>
      <c r="AN3121" s="115"/>
      <c r="AO3121" s="116"/>
      <c r="AP3121" s="116"/>
      <c r="AQ3121" s="116"/>
      <c r="AR3121" s="116"/>
      <c r="AS3121" s="116"/>
      <c r="AT3121" s="116"/>
      <c r="AU3121" s="116"/>
      <c r="AV3121" s="78"/>
      <c r="AW3121" s="102"/>
      <c r="AX3121" s="78"/>
      <c r="AY3121" s="78"/>
      <c r="AZ3121" s="78"/>
      <c r="BA3121" s="78"/>
      <c r="BB3121" s="78"/>
      <c r="BC3121" s="78"/>
      <c r="BD3121" s="78"/>
      <c r="BE3121" s="465"/>
      <c r="BF3121" s="165" t="str">
        <f t="shared" si="2389"/>
        <v>https://www.google.com/search?tbm=isch&amp;q=wet%20sites%F0%9F%92%A7GOOD%2C%20Black%20Tupelo%20is%20loved%20by%20birds.%20Fall%20foliage%20shows%20off%20shades%20of%20Scarlet-Orange-Yellow%2C%20often%20with%20Purple%20highlights%20</v>
      </c>
      <c r="BG3121" s="165" t="str">
        <f t="shared" si="2390"/>
        <v>w</v>
      </c>
      <c r="BH3121" s="65"/>
      <c r="BI3121" s="65"/>
      <c r="BJ3121" s="65"/>
      <c r="BK3121" s="65"/>
      <c r="BL3121" s="99"/>
      <c r="BM3121" s="99"/>
      <c r="BN3121" s="99"/>
    </row>
    <row r="3122" spans="1:66" s="51" customFormat="1" ht="18" x14ac:dyDescent="0.25">
      <c r="A3122" s="623" t="s">
        <v>3694</v>
      </c>
      <c r="B3122" s="624"/>
      <c r="C3122" s="709"/>
      <c r="D3122" s="625" t="s">
        <v>5742</v>
      </c>
      <c r="E3122" s="626"/>
      <c r="F3122" s="626"/>
      <c r="G3122" s="626"/>
      <c r="H3122" s="622" t="s">
        <v>2605</v>
      </c>
      <c r="I3122" s="627" t="s">
        <v>431</v>
      </c>
      <c r="J3122" s="628"/>
      <c r="K3122" s="628"/>
      <c r="L3122" s="629"/>
      <c r="M3122" s="700" t="s">
        <v>5249</v>
      </c>
      <c r="N3122" s="693" t="str">
        <f>IF(AND(ISTEXT($A3122), ISERROR($A3122+0)), HYPERLINK($BF3122, "Images"), "")</f>
        <v>Images</v>
      </c>
      <c r="O3122" s="695" t="s">
        <v>5247</v>
      </c>
      <c r="P3122" s="630"/>
      <c r="Q3122" s="631"/>
      <c r="R3122" s="632"/>
      <c r="S3122" s="633" t="s">
        <v>294</v>
      </c>
      <c r="T3122" s="102">
        <f t="shared" si="2378"/>
        <v>0</v>
      </c>
      <c r="U3122" s="78" t="str">
        <f>IF(NOT(ISNUMBER(G3122)), "", VLOOKUP(A3122,'Discount Lookup'!D:E,2,FALSE)*G3122)</f>
        <v/>
      </c>
      <c r="V3122" s="78" t="str">
        <f>IF(NOT(ISNUMBER(G3122)), "", VLOOKUP(A3122,'Discount Lookup'!G:H,2,FALSE)*G3122)</f>
        <v/>
      </c>
      <c r="W3122" s="102">
        <f t="shared" si="2379"/>
        <v>0</v>
      </c>
      <c r="X3122" s="102" t="str">
        <f t="shared" si="2380"/>
        <v>Dark Green foliage</v>
      </c>
      <c r="Y3122" s="120" t="b">
        <f t="shared" si="2381"/>
        <v>0</v>
      </c>
      <c r="Z3122" s="117">
        <f t="shared" si="2382"/>
        <v>0</v>
      </c>
      <c r="AA3122" s="118"/>
      <c r="AB3122" s="118" t="str">
        <f t="shared" si="2383"/>
        <v/>
      </c>
      <c r="AC3122" s="712" t="str">
        <f>IF(AE3122="T2G","no charge",IF(AND(OR(PlanterYesMe="No",PlanterYesMe="N",PlanterYesMe="me"),H3122=""),"",IF(H3122="credit","NO install",IF(AND(K3122="",AE3122="me"),"EACH row",IF(AND(K3122="images",AE3122="me"),"EACH row",IF(D3122="","",IF(H3122="credit","",IF(AE3122="free","re-planting",IF(AE3122="me","   not ELP, by",IF(AND(OR(PlanterYesMe="Yes",PlanterYesMe="Y"),G3122&gt;0),(VLOOKUP(A3122,'Discount Lookup'!J:K,2)*G3122*(1-PlanterDiscount)*(1+PlanterDifficultyPercentage)),IF(AE3122="ELP",(VLOOKUP(A3122,'Discount Lookup'!J:K,2)*G3122*(1-PlanterDiscount)*(1+PlanterDifficultyPercentage)),IF(AE3122="free","re-planting",IF(G3122=0,"",IF(PlanterYesMe="",IF(AE3122="me","   not ELP, by",IF(AE3122="",IF(G3122&gt;0,(VLOOKUP(A3122,'Discount Lookup'!J:K,2)*G3122*(1-PlanterDiscount)*(1+PlanterDifficultyPercentage)),""),"")),"   not ELP, by"))))))))))))))</f>
        <v/>
      </c>
      <c r="AD3122" s="712"/>
      <c r="AE3122" s="513" t="str">
        <f t="shared" si="2384"/>
        <v/>
      </c>
      <c r="AF3122" s="713" t="str">
        <f t="shared" si="2385"/>
        <v/>
      </c>
      <c r="AG3122" s="713"/>
      <c r="AH3122" s="713"/>
      <c r="AI3122" s="112">
        <f>IF(H3122="credit",0,IF(AE3122="free",0,IF(AE3122="me",0,IF(G3122&gt;0,(VLOOKUP(A3122,'Discount Lookup'!J:K,2)*G3122),0))))</f>
        <v>0</v>
      </c>
      <c r="AJ3122" s="107" t="str">
        <f t="shared" ca="1" si="2386"/>
        <v/>
      </c>
      <c r="AK3122" s="714" t="str">
        <f t="shared" si="2387"/>
        <v/>
      </c>
      <c r="AL3122" s="714"/>
      <c r="AM3122" s="114" t="str">
        <f t="shared" si="2388"/>
        <v/>
      </c>
      <c r="AN3122" s="115"/>
      <c r="AO3122" s="116"/>
      <c r="AP3122" s="116"/>
      <c r="AQ3122" s="116"/>
      <c r="AR3122" s="116"/>
      <c r="AS3122" s="116"/>
      <c r="AT3122" s="116"/>
      <c r="AU3122" s="116"/>
      <c r="AV3122" s="78"/>
      <c r="AW3122" s="102"/>
      <c r="AX3122" s="78"/>
      <c r="AY3122" s="78"/>
      <c r="AZ3122" s="78"/>
      <c r="BA3122" s="78"/>
      <c r="BB3122" s="78"/>
      <c r="BC3122" s="78"/>
      <c r="BD3122" s="78"/>
      <c r="BE3122" s="465"/>
      <c r="BF3122" s="165" t="str">
        <f t="shared" si="2389"/>
        <v>https://www.google.com/search?tbm=isch&amp;q=Nyssa%20sylvatica%20%27NSUHH%27%20PP%2322951%20Green%20Gable%E2%84%A2%20Tupelo</v>
      </c>
      <c r="BG3122" s="165" t="str">
        <f t="shared" si="2390"/>
        <v>N</v>
      </c>
      <c r="BH3122" s="65"/>
      <c r="BI3122" s="65"/>
      <c r="BJ3122" s="65"/>
      <c r="BK3122" s="65"/>
      <c r="BL3122" s="99"/>
      <c r="BM3122" s="99"/>
      <c r="BN3122" s="99"/>
    </row>
    <row r="3123" spans="1:66" s="51" customFormat="1" ht="15.75" x14ac:dyDescent="0.25">
      <c r="A3123" s="634">
        <v>7</v>
      </c>
      <c r="B3123" s="635" t="s">
        <v>291</v>
      </c>
      <c r="C3123" s="636" t="s">
        <v>3695</v>
      </c>
      <c r="D3123" s="637" t="s">
        <v>299</v>
      </c>
      <c r="E3123" s="638">
        <v>111.95</v>
      </c>
      <c r="F3123" s="639" t="s">
        <v>292</v>
      </c>
      <c r="G3123" s="484">
        <v>0</v>
      </c>
      <c r="H3123" s="691" t="str">
        <f>IF(G3123=0,"",IF(F3123="Buy",IF(G3123=1,"plant","plants"),IF(F3123&gt;0.01,"warranty","Error")))</f>
        <v/>
      </c>
      <c r="I3123" s="640">
        <f>IF(H3123="free",0,IF(H3123="credit",((E3123*(F3123))*G3123*-1),IF(F3123="Buy",(E3123*G3123),((E3123*(1-F3123))*G3123))))</f>
        <v>0</v>
      </c>
      <c r="J3123" s="640">
        <f>IF(H3123="warranty",0,(I3123*(_xlfn.SINGLE(SalesTaxPercentage))))</f>
        <v>0</v>
      </c>
      <c r="K3123" s="716">
        <f t="shared" ref="K3123" si="2402">I3123+J3123</f>
        <v>0</v>
      </c>
      <c r="L3123" s="716"/>
      <c r="M3123" s="689" t="str">
        <f ca="1">IF(AND(G3123&gt;0,E3123=0),"WARNING - no PRICE inserted",IF(H3123="free","FREE ~ no charge this plant",IF(H3123="credit",CONCATENATE("-$",ROUND(K3123*(1-_xlfn.SINGLE(T2GDiscount))*-1,2)," CREDIT after discount"),IF(_xlfn.SINGLE(T2GDiscount)=0,"",IF(G3123=0,"",IF(F3123="Buy",CONCATENATE("$",ROUND(K3123*(1-_xlfn.SINGLE(T2GDiscount)),2)," with ",(_xlfn.SINGLE(T2GDiscount)*100),"% discount"),CONCATENATE("$",ROUND(K3123*(1-_xlfn.SINGLE(T2GDiscount)),2)," with ",((_xlfn.SINGLE(T2GDiscount)*100+F3123*100)-(_xlfn.SINGLE(T2GDiscount)*100*F3123)),IF(F3123&gt;0,"% discounts",IF(_xlfn.SINGLE(NoWarrantyDiscount)&gt;0,"% discounts","% discount")))))))))</f>
        <v/>
      </c>
      <c r="N3123" s="690"/>
      <c r="O3123" s="486"/>
      <c r="P3123" s="486"/>
      <c r="Q3123" s="486"/>
      <c r="R3123" s="486"/>
      <c r="S3123" s="486"/>
      <c r="T3123" s="102">
        <f t="shared" si="2378"/>
        <v>0</v>
      </c>
      <c r="U3123" s="78">
        <f>IF(NOT(ISNUMBER(G3123)), "", VLOOKUP(A3123,'Discount Lookup'!D:E,2,FALSE)*G3123)</f>
        <v>0</v>
      </c>
      <c r="V3123" s="78">
        <f>IF(NOT(ISNUMBER(G3123)), "", VLOOKUP(A3123,'Discount Lookup'!G:H,2,FALSE)*G3123)</f>
        <v>0</v>
      </c>
      <c r="W3123" s="102">
        <f t="shared" si="2379"/>
        <v>0</v>
      </c>
      <c r="X3123" s="102">
        <f t="shared" si="2380"/>
        <v>0</v>
      </c>
      <c r="Y3123" s="120" t="b">
        <f t="shared" si="2381"/>
        <v>0</v>
      </c>
      <c r="Z3123" s="117">
        <f t="shared" si="2382"/>
        <v>0</v>
      </c>
      <c r="AA3123" s="118"/>
      <c r="AB3123" s="118" t="str">
        <f t="shared" si="2383"/>
        <v/>
      </c>
      <c r="AC3123" s="712" t="str">
        <f>IF(AE3123="T2G","no charge",IF(AND(OR(PlanterYesMe="No",PlanterYesMe="N",PlanterYesMe="me"),H3123=""),"",IF(H3123="credit","NO install",IF(AND(K3123="",AE3123="me"),"EACH row",IF(AND(K3123="images",AE3123="me"),"EACH row",IF(D3123="","",IF(H3123="credit","",IF(AE3123="free","re-planting",IF(AE3123="me","   not ELP, by",IF(AND(OR(PlanterYesMe="Yes",PlanterYesMe="Y"),G3123&gt;0),(VLOOKUP(A3123,'Discount Lookup'!J:K,2)*G3123*(1-PlanterDiscount)*(1+PlanterDifficultyPercentage)),IF(AE3123="ELP",(VLOOKUP(A3123,'Discount Lookup'!J:K,2)*G3123*(1-PlanterDiscount)*(1+PlanterDifficultyPercentage)),IF(AE3123="free","re-planting",IF(G3123=0,"",IF(PlanterYesMe="",IF(AE3123="me","   not ELP, by",IF(AE3123="",IF(G3123&gt;0,(VLOOKUP(A3123,'Discount Lookup'!J:K,2)*G3123*(1-PlanterDiscount)*(1+PlanterDifficultyPercentage)),""),"")),"   not ELP, by"))))))))))))))</f>
        <v/>
      </c>
      <c r="AD3123" s="712"/>
      <c r="AE3123" s="513" t="str">
        <f t="shared" si="2384"/>
        <v/>
      </c>
      <c r="AF3123" s="713" t="str">
        <f t="shared" si="2385"/>
        <v/>
      </c>
      <c r="AG3123" s="713"/>
      <c r="AH3123" s="713"/>
      <c r="AI3123" s="112">
        <f>IF(H3123="credit",0,IF(AE3123="free",0,IF(AE3123="me",0,IF(G3123&gt;0,(VLOOKUP(A3123,'Discount Lookup'!J:K,2)*G3123),0))))</f>
        <v>0</v>
      </c>
      <c r="AJ3123" s="107" t="str">
        <f t="shared" ca="1" si="2386"/>
        <v/>
      </c>
      <c r="AK3123" s="714" t="str">
        <f t="shared" si="2387"/>
        <v/>
      </c>
      <c r="AL3123" s="714"/>
      <c r="AM3123" s="114" t="str">
        <f t="shared" si="2388"/>
        <v/>
      </c>
      <c r="AN3123" s="115"/>
      <c r="AO3123" s="116"/>
      <c r="AP3123" s="116"/>
      <c r="AQ3123" s="116"/>
      <c r="AR3123" s="116"/>
      <c r="AS3123" s="116"/>
      <c r="AT3123" s="116"/>
      <c r="AU3123" s="116"/>
      <c r="AV3123" s="78"/>
      <c r="AW3123" s="102"/>
      <c r="AX3123" s="78"/>
      <c r="AY3123" s="78"/>
      <c r="AZ3123" s="78"/>
      <c r="BA3123" s="78"/>
      <c r="BB3123" s="78"/>
      <c r="BC3123" s="78"/>
      <c r="BD3123" s="78"/>
      <c r="BE3123" s="465"/>
      <c r="BF3123" s="165" t="str">
        <f t="shared" si="2389"/>
        <v>https://www.google.com/search?tbm=isch&amp;q=7%20G4</v>
      </c>
      <c r="BG3123" s="165" t="str">
        <f t="shared" si="2390"/>
        <v>N</v>
      </c>
      <c r="BH3123" s="65"/>
      <c r="BI3123" s="65"/>
      <c r="BJ3123" s="65"/>
      <c r="BK3123" s="65"/>
      <c r="BL3123" s="99"/>
      <c r="BM3123" s="99"/>
      <c r="BN3123" s="99"/>
    </row>
    <row r="3124" spans="1:66" s="51" customFormat="1" ht="15.75" x14ac:dyDescent="0.25">
      <c r="A3124" s="634">
        <v>15</v>
      </c>
      <c r="B3124" s="635" t="s">
        <v>291</v>
      </c>
      <c r="C3124" s="636" t="s">
        <v>3696</v>
      </c>
      <c r="D3124" s="637" t="s">
        <v>299</v>
      </c>
      <c r="E3124" s="638">
        <v>201.95</v>
      </c>
      <c r="F3124" s="639" t="s">
        <v>292</v>
      </c>
      <c r="G3124" s="484">
        <v>0</v>
      </c>
      <c r="H3124" s="691" t="str">
        <f>IF(G3124=0,"",IF(F3124="Buy",IF(G3124=1,"plant","plants"),IF(F3124&gt;0.01,"warranty","Error")))</f>
        <v/>
      </c>
      <c r="I3124" s="640">
        <f>IF(H3124="free",0,IF(H3124="credit",((E3124*(F3124))*G3124*-1),IF(F3124="Buy",(E3124*G3124),((E3124*(1-F3124))*G3124))))</f>
        <v>0</v>
      </c>
      <c r="J3124" s="640">
        <f>IF(H3124="warranty",0,(I3124*(_xlfn.SINGLE(SalesTaxPercentage))))</f>
        <v>0</v>
      </c>
      <c r="K3124" s="716">
        <f t="shared" ref="K3124" si="2403">I3124+J3124</f>
        <v>0</v>
      </c>
      <c r="L3124" s="716"/>
      <c r="M3124" s="689" t="str">
        <f ca="1">IF(AND(G3124&gt;0,E3124=0),"WARNING - no PRICE inserted",IF(H3124="free","FREE ~ no charge this plant",IF(H3124="credit",CONCATENATE("-$",ROUND(K3124*(1-_xlfn.SINGLE(T2GDiscount))*-1,2)," CREDIT after discount"),IF(_xlfn.SINGLE(T2GDiscount)=0,"",IF(G3124=0,"",IF(F3124="Buy",CONCATENATE("$",ROUND(K3124*(1-_xlfn.SINGLE(T2GDiscount)),2)," with ",(_xlfn.SINGLE(T2GDiscount)*100),"% discount"),CONCATENATE("$",ROUND(K3124*(1-_xlfn.SINGLE(T2GDiscount)),2)," with ",((_xlfn.SINGLE(T2GDiscount)*100+F3124*100)-(_xlfn.SINGLE(T2GDiscount)*100*F3124)),IF(F3124&gt;0,"% discounts",IF(_xlfn.SINGLE(NoWarrantyDiscount)&gt;0,"% discounts","% discount")))))))))</f>
        <v/>
      </c>
      <c r="N3124" s="690"/>
      <c r="O3124" s="486"/>
      <c r="P3124" s="486"/>
      <c r="Q3124" s="486"/>
      <c r="R3124" s="486"/>
      <c r="S3124" s="486"/>
      <c r="T3124" s="102">
        <f t="shared" si="2378"/>
        <v>0</v>
      </c>
      <c r="U3124" s="78">
        <f>IF(NOT(ISNUMBER(G3124)), "", VLOOKUP(A3124,'Discount Lookup'!D:E,2,FALSE)*G3124)</f>
        <v>0</v>
      </c>
      <c r="V3124" s="78">
        <f>IF(NOT(ISNUMBER(G3124)), "", VLOOKUP(A3124,'Discount Lookup'!G:H,2,FALSE)*G3124)</f>
        <v>0</v>
      </c>
      <c r="W3124" s="102">
        <f t="shared" si="2379"/>
        <v>0</v>
      </c>
      <c r="X3124" s="102">
        <f t="shared" si="2380"/>
        <v>0</v>
      </c>
      <c r="Y3124" s="120" t="b">
        <f t="shared" si="2381"/>
        <v>0</v>
      </c>
      <c r="Z3124" s="117">
        <f t="shared" si="2382"/>
        <v>0</v>
      </c>
      <c r="AA3124" s="118"/>
      <c r="AB3124" s="118" t="str">
        <f t="shared" si="2383"/>
        <v/>
      </c>
      <c r="AC3124" s="712" t="str">
        <f>IF(AE3124="T2G","no charge",IF(AND(OR(PlanterYesMe="No",PlanterYesMe="N",PlanterYesMe="me"),H3124=""),"",IF(H3124="credit","NO install",IF(AND(K3124="",AE3124="me"),"EACH row",IF(AND(K3124="images",AE3124="me"),"EACH row",IF(D3124="","",IF(H3124="credit","",IF(AE3124="free","re-planting",IF(AE3124="me","   not ELP, by",IF(AND(OR(PlanterYesMe="Yes",PlanterYesMe="Y"),G3124&gt;0),(VLOOKUP(A3124,'Discount Lookup'!J:K,2)*G3124*(1-PlanterDiscount)*(1+PlanterDifficultyPercentage)),IF(AE3124="ELP",(VLOOKUP(A3124,'Discount Lookup'!J:K,2)*G3124*(1-PlanterDiscount)*(1+PlanterDifficultyPercentage)),IF(AE3124="free","re-planting",IF(G3124=0,"",IF(PlanterYesMe="",IF(AE3124="me","   not ELP, by",IF(AE3124="",IF(G3124&gt;0,(VLOOKUP(A3124,'Discount Lookup'!J:K,2)*G3124*(1-PlanterDiscount)*(1+PlanterDifficultyPercentage)),""),"")),"   not ELP, by"))))))))))))))</f>
        <v/>
      </c>
      <c r="AD3124" s="712"/>
      <c r="AE3124" s="513" t="str">
        <f t="shared" si="2384"/>
        <v/>
      </c>
      <c r="AF3124" s="713" t="str">
        <f t="shared" si="2385"/>
        <v/>
      </c>
      <c r="AG3124" s="713"/>
      <c r="AH3124" s="713"/>
      <c r="AI3124" s="112">
        <f>IF(H3124="credit",0,IF(AE3124="free",0,IF(AE3124="me",0,IF(G3124&gt;0,(VLOOKUP(A3124,'Discount Lookup'!J:K,2)*G3124),0))))</f>
        <v>0</v>
      </c>
      <c r="AJ3124" s="107" t="str">
        <f t="shared" ca="1" si="2386"/>
        <v/>
      </c>
      <c r="AK3124" s="714" t="str">
        <f t="shared" si="2387"/>
        <v/>
      </c>
      <c r="AL3124" s="714"/>
      <c r="AM3124" s="114" t="str">
        <f t="shared" si="2388"/>
        <v/>
      </c>
      <c r="AN3124" s="115"/>
      <c r="AO3124" s="116"/>
      <c r="AP3124" s="116"/>
      <c r="AQ3124" s="116"/>
      <c r="AR3124" s="116"/>
      <c r="AS3124" s="116"/>
      <c r="AT3124" s="116"/>
      <c r="AU3124" s="116"/>
      <c r="AV3124" s="78"/>
      <c r="AW3124" s="102"/>
      <c r="AX3124" s="78"/>
      <c r="AY3124" s="78"/>
      <c r="AZ3124" s="78"/>
      <c r="BA3124" s="78"/>
      <c r="BB3124" s="78"/>
      <c r="BC3124" s="78"/>
      <c r="BD3124" s="78"/>
      <c r="BE3124" s="465"/>
      <c r="BF3124" s="165" t="str">
        <f t="shared" si="2389"/>
        <v>https://www.google.com/search?tbm=isch&amp;q=15%20G4</v>
      </c>
      <c r="BG3124" s="165" t="str">
        <f t="shared" si="2390"/>
        <v>N</v>
      </c>
      <c r="BH3124" s="65"/>
      <c r="BI3124" s="65"/>
      <c r="BJ3124" s="65"/>
      <c r="BK3124" s="65"/>
      <c r="BL3124" s="99"/>
      <c r="BM3124" s="99"/>
      <c r="BN3124" s="99"/>
    </row>
    <row r="3125" spans="1:66" s="51" customFormat="1" ht="15.75" x14ac:dyDescent="0.25">
      <c r="A3125" s="634">
        <v>25</v>
      </c>
      <c r="B3125" s="635" t="s">
        <v>291</v>
      </c>
      <c r="C3125" s="636" t="s">
        <v>3697</v>
      </c>
      <c r="D3125" s="637" t="s">
        <v>293</v>
      </c>
      <c r="E3125" s="638">
        <v>412.95</v>
      </c>
      <c r="F3125" s="639" t="s">
        <v>292</v>
      </c>
      <c r="G3125" s="484">
        <v>0</v>
      </c>
      <c r="H3125" s="691" t="str">
        <f>IF(G3125=0,"",IF(F3125="Buy",IF(G3125=1,"plant","plants"),IF(F3125&gt;0.01,"warranty","Error")))</f>
        <v/>
      </c>
      <c r="I3125" s="640">
        <f>IF(H3125="free",0,IF(H3125="credit",((E3125*(F3125))*G3125*-1),IF(F3125="Buy",(E3125*G3125),((E3125*(1-F3125))*G3125))))</f>
        <v>0</v>
      </c>
      <c r="J3125" s="640">
        <f>IF(H3125="warranty",0,(I3125*(_xlfn.SINGLE(SalesTaxPercentage))))</f>
        <v>0</v>
      </c>
      <c r="K3125" s="716">
        <f t="shared" ref="K3125" si="2404">I3125+J3125</f>
        <v>0</v>
      </c>
      <c r="L3125" s="716"/>
      <c r="M3125" s="689" t="str">
        <f ca="1">IF(AND(G3125&gt;0,E3125=0),"WARNING - no PRICE inserted",IF(H3125="free","FREE ~ no charge this plant",IF(H3125="credit",CONCATENATE("-$",ROUND(K3125*(1-_xlfn.SINGLE(T2GDiscount))*-1,2)," CREDIT after discount"),IF(_xlfn.SINGLE(T2GDiscount)=0,"",IF(G3125=0,"",IF(F3125="Buy",CONCATENATE("$",ROUND(K3125*(1-_xlfn.SINGLE(T2GDiscount)),2)," with ",(_xlfn.SINGLE(T2GDiscount)*100),"% discount"),CONCATENATE("$",ROUND(K3125*(1-_xlfn.SINGLE(T2GDiscount)),2)," with ",((_xlfn.SINGLE(T2GDiscount)*100+F3125*100)-(_xlfn.SINGLE(T2GDiscount)*100*F3125)),IF(F3125&gt;0,"% discounts",IF(_xlfn.SINGLE(NoWarrantyDiscount)&gt;0,"% discounts","% discount")))))))))</f>
        <v/>
      </c>
      <c r="N3125" s="690"/>
      <c r="O3125" s="486"/>
      <c r="P3125" s="486"/>
      <c r="Q3125" s="486"/>
      <c r="R3125" s="486"/>
      <c r="S3125" s="486"/>
      <c r="T3125" s="102">
        <f t="shared" si="2378"/>
        <v>0</v>
      </c>
      <c r="U3125" s="78">
        <f>IF(NOT(ISNUMBER(G3125)), "", VLOOKUP(A3125,'Discount Lookup'!D:E,2,FALSE)*G3125)</f>
        <v>0</v>
      </c>
      <c r="V3125" s="78">
        <f>IF(NOT(ISNUMBER(G3125)), "", VLOOKUP(A3125,'Discount Lookup'!G:H,2,FALSE)*G3125)</f>
        <v>0</v>
      </c>
      <c r="W3125" s="102">
        <f t="shared" si="2379"/>
        <v>0</v>
      </c>
      <c r="X3125" s="102">
        <f t="shared" si="2380"/>
        <v>0</v>
      </c>
      <c r="Y3125" s="120" t="b">
        <f t="shared" si="2381"/>
        <v>0</v>
      </c>
      <c r="Z3125" s="117">
        <f t="shared" si="2382"/>
        <v>0</v>
      </c>
      <c r="AA3125" s="118"/>
      <c r="AB3125" s="118" t="str">
        <f t="shared" si="2383"/>
        <v/>
      </c>
      <c r="AC3125" s="712" t="str">
        <f>IF(AE3125="T2G","no charge",IF(AND(OR(PlanterYesMe="No",PlanterYesMe="N",PlanterYesMe="me"),H3125=""),"",IF(H3125="credit","NO install",IF(AND(K3125="",AE3125="me"),"EACH row",IF(AND(K3125="images",AE3125="me"),"EACH row",IF(D3125="","",IF(H3125="credit","",IF(AE3125="free","re-planting",IF(AE3125="me","   not ELP, by",IF(AND(OR(PlanterYesMe="Yes",PlanterYesMe="Y"),G3125&gt;0),(VLOOKUP(A3125,'Discount Lookup'!J:K,2)*G3125*(1-PlanterDiscount)*(1+PlanterDifficultyPercentage)),IF(AE3125="ELP",(VLOOKUP(A3125,'Discount Lookup'!J:K,2)*G3125*(1-PlanterDiscount)*(1+PlanterDifficultyPercentage)),IF(AE3125="free","re-planting",IF(G3125=0,"",IF(PlanterYesMe="",IF(AE3125="me","   not ELP, by",IF(AE3125="",IF(G3125&gt;0,(VLOOKUP(A3125,'Discount Lookup'!J:K,2)*G3125*(1-PlanterDiscount)*(1+PlanterDifficultyPercentage)),""),"")),"   not ELP, by"))))))))))))))</f>
        <v/>
      </c>
      <c r="AD3125" s="712"/>
      <c r="AE3125" s="513" t="str">
        <f t="shared" si="2384"/>
        <v/>
      </c>
      <c r="AF3125" s="713" t="str">
        <f t="shared" si="2385"/>
        <v/>
      </c>
      <c r="AG3125" s="713"/>
      <c r="AH3125" s="713"/>
      <c r="AI3125" s="112">
        <f>IF(H3125="credit",0,IF(AE3125="free",0,IF(AE3125="me",0,IF(G3125&gt;0,(VLOOKUP(A3125,'Discount Lookup'!J:K,2)*G3125),0))))</f>
        <v>0</v>
      </c>
      <c r="AJ3125" s="107" t="str">
        <f t="shared" ca="1" si="2386"/>
        <v/>
      </c>
      <c r="AK3125" s="714" t="str">
        <f t="shared" si="2387"/>
        <v/>
      </c>
      <c r="AL3125" s="714"/>
      <c r="AM3125" s="114" t="str">
        <f t="shared" si="2388"/>
        <v/>
      </c>
      <c r="AN3125" s="115"/>
      <c r="AO3125" s="116"/>
      <c r="AP3125" s="116"/>
      <c r="AQ3125" s="116"/>
      <c r="AR3125" s="116"/>
      <c r="AS3125" s="116"/>
      <c r="AT3125" s="116"/>
      <c r="AU3125" s="116"/>
      <c r="AV3125" s="78"/>
      <c r="AW3125" s="102"/>
      <c r="AX3125" s="78"/>
      <c r="AY3125" s="78"/>
      <c r="AZ3125" s="78"/>
      <c r="BA3125" s="78"/>
      <c r="BB3125" s="78"/>
      <c r="BC3125" s="78"/>
      <c r="BD3125" s="78"/>
      <c r="BE3125" s="465"/>
      <c r="BF3125" s="165" t="str">
        <f t="shared" si="2389"/>
        <v>https://www.google.com/search?tbm=isch&amp;q=25%20G6</v>
      </c>
      <c r="BG3125" s="165" t="str">
        <f t="shared" si="2390"/>
        <v>N</v>
      </c>
      <c r="BH3125" s="65"/>
      <c r="BI3125" s="65"/>
      <c r="BJ3125" s="65"/>
      <c r="BK3125" s="65"/>
      <c r="BL3125" s="99"/>
      <c r="BM3125" s="99"/>
      <c r="BN3125" s="99"/>
    </row>
    <row r="3126" spans="1:66" s="51" customFormat="1" ht="17.25" thickBot="1" x14ac:dyDescent="0.3">
      <c r="A3126" s="704" t="s">
        <v>5494</v>
      </c>
      <c r="B3126" s="642"/>
      <c r="C3126" s="710"/>
      <c r="D3126" s="643"/>
      <c r="E3126" s="643"/>
      <c r="F3126" s="644"/>
      <c r="G3126" s="645"/>
      <c r="H3126" s="646"/>
      <c r="I3126" s="647"/>
      <c r="J3126" s="648"/>
      <c r="K3126" s="649"/>
      <c r="L3126" s="650"/>
      <c r="M3126" s="650"/>
      <c r="N3126" s="644"/>
      <c r="O3126" s="644"/>
      <c r="P3126" s="644"/>
      <c r="Q3126" s="644"/>
      <c r="R3126" s="644"/>
      <c r="S3126" s="701" t="s">
        <v>5296</v>
      </c>
      <c r="T3126" s="102">
        <f t="shared" si="2378"/>
        <v>0</v>
      </c>
      <c r="U3126" s="78" t="str">
        <f>IF(NOT(ISNUMBER(G3126)), "", VLOOKUP(A3126,'Discount Lookup'!D:E,2,FALSE)*G3126)</f>
        <v/>
      </c>
      <c r="V3126" s="78" t="str">
        <f>IF(NOT(ISNUMBER(G3126)), "", VLOOKUP(A3126,'Discount Lookup'!G:H,2,FALSE)*G3126)</f>
        <v/>
      </c>
      <c r="W3126" s="102">
        <f t="shared" si="2379"/>
        <v>0</v>
      </c>
      <c r="X3126" s="102">
        <f t="shared" si="2380"/>
        <v>0</v>
      </c>
      <c r="Y3126" s="120" t="b">
        <f t="shared" si="2381"/>
        <v>0</v>
      </c>
      <c r="Z3126" s="117">
        <f t="shared" si="2382"/>
        <v>0</v>
      </c>
      <c r="AA3126" s="118"/>
      <c r="AB3126" s="118" t="str">
        <f t="shared" si="2383"/>
        <v/>
      </c>
      <c r="AC3126" s="712" t="str">
        <f>IF(AE3126="T2G","no charge",IF(AND(OR(PlanterYesMe="No",PlanterYesMe="N",PlanterYesMe="me"),H3126=""),"",IF(H3126="credit","NO install",IF(AND(K3126="",AE3126="me"),"EACH row",IF(AND(K3126="images",AE3126="me"),"EACH row",IF(D3126="","",IF(H3126="credit","",IF(AE3126="free","re-planting",IF(AE3126="me","   not ELP, by",IF(AND(OR(PlanterYesMe="Yes",PlanterYesMe="Y"),G3126&gt;0),(VLOOKUP(A3126,'Discount Lookup'!J:K,2)*G3126*(1-PlanterDiscount)*(1+PlanterDifficultyPercentage)),IF(AE3126="ELP",(VLOOKUP(A3126,'Discount Lookup'!J:K,2)*G3126*(1-PlanterDiscount)*(1+PlanterDifficultyPercentage)),IF(AE3126="free","re-planting",IF(G3126=0,"",IF(PlanterYesMe="",IF(AE3126="me","   not ELP, by",IF(AE3126="",IF(G3126&gt;0,(VLOOKUP(A3126,'Discount Lookup'!J:K,2)*G3126*(1-PlanterDiscount)*(1+PlanterDifficultyPercentage)),""),"")),"   not ELP, by"))))))))))))))</f>
        <v/>
      </c>
      <c r="AD3126" s="712"/>
      <c r="AE3126" s="513" t="str">
        <f t="shared" si="2384"/>
        <v/>
      </c>
      <c r="AF3126" s="713" t="str">
        <f t="shared" si="2385"/>
        <v/>
      </c>
      <c r="AG3126" s="713"/>
      <c r="AH3126" s="713"/>
      <c r="AI3126" s="112">
        <f>IF(H3126="credit",0,IF(AE3126="free",0,IF(AE3126="me",0,IF(G3126&gt;0,(VLOOKUP(A3126,'Discount Lookup'!J:K,2)*G3126),0))))</f>
        <v>0</v>
      </c>
      <c r="AJ3126" s="107" t="str">
        <f t="shared" ca="1" si="2386"/>
        <v/>
      </c>
      <c r="AK3126" s="714" t="str">
        <f t="shared" si="2387"/>
        <v/>
      </c>
      <c r="AL3126" s="714"/>
      <c r="AM3126" s="114" t="str">
        <f t="shared" si="2388"/>
        <v/>
      </c>
      <c r="AN3126" s="115"/>
      <c r="AO3126" s="116"/>
      <c r="AP3126" s="116"/>
      <c r="AQ3126" s="116"/>
      <c r="AR3126" s="116"/>
      <c r="AS3126" s="116"/>
      <c r="AT3126" s="116"/>
      <c r="AU3126" s="116"/>
      <c r="AV3126" s="78"/>
      <c r="AW3126" s="102"/>
      <c r="AX3126" s="78"/>
      <c r="AY3126" s="78"/>
      <c r="AZ3126" s="78"/>
      <c r="BA3126" s="78"/>
      <c r="BB3126" s="78"/>
      <c r="BC3126" s="78"/>
      <c r="BD3126" s="78"/>
      <c r="BE3126" s="465"/>
      <c r="BF3126" s="165" t="str">
        <f t="shared" si="2389"/>
        <v>https://www.google.com/search?tbm=isch&amp;q=wet%20sites%F0%9F%92%A7GOOD%2C%20Green%20Gable%20named%20for%20narrow%2C%20upright%2C%20habit.%20Small%2C%20Dark%20Blue-Black%20fruit%20%28drupes%29.%20Fiery%20Scarlet%20fall%20</v>
      </c>
      <c r="BG3126" s="165" t="str">
        <f t="shared" si="2390"/>
        <v>w</v>
      </c>
      <c r="BH3126" s="65"/>
      <c r="BI3126" s="65"/>
      <c r="BJ3126" s="65"/>
      <c r="BK3126" s="65"/>
      <c r="BL3126" s="99"/>
      <c r="BM3126" s="99"/>
      <c r="BN3126" s="99"/>
    </row>
    <row r="3127" spans="1:66" s="51" customFormat="1" ht="18" x14ac:dyDescent="0.25">
      <c r="A3127" s="623" t="s">
        <v>3698</v>
      </c>
      <c r="B3127" s="624"/>
      <c r="C3127" s="709"/>
      <c r="D3127" s="625" t="s">
        <v>5743</v>
      </c>
      <c r="E3127" s="626"/>
      <c r="F3127" s="626"/>
      <c r="G3127" s="626"/>
      <c r="H3127" s="622" t="s">
        <v>2605</v>
      </c>
      <c r="I3127" s="627" t="s">
        <v>432</v>
      </c>
      <c r="J3127" s="628"/>
      <c r="K3127" s="628"/>
      <c r="L3127" s="629"/>
      <c r="M3127" s="700" t="s">
        <v>5249</v>
      </c>
      <c r="N3127" s="693" t="str">
        <f>IF(AND(ISTEXT($A3127), ISERROR($A3127+0)), HYPERLINK($BF3127, "Images"), "")</f>
        <v>Images</v>
      </c>
      <c r="O3127" s="695" t="s">
        <v>5247</v>
      </c>
      <c r="P3127" s="630"/>
      <c r="Q3127" s="631"/>
      <c r="R3127" s="632"/>
      <c r="S3127" s="633" t="s">
        <v>294</v>
      </c>
      <c r="T3127" s="102">
        <f t="shared" si="2378"/>
        <v>0</v>
      </c>
      <c r="U3127" s="78" t="str">
        <f>IF(NOT(ISNUMBER(G3127)), "", VLOOKUP(A3127,'Discount Lookup'!D:E,2,FALSE)*G3127)</f>
        <v/>
      </c>
      <c r="V3127" s="78" t="str">
        <f>IF(NOT(ISNUMBER(G3127)), "", VLOOKUP(A3127,'Discount Lookup'!G:H,2,FALSE)*G3127)</f>
        <v/>
      </c>
      <c r="W3127" s="102">
        <f t="shared" si="2379"/>
        <v>0</v>
      </c>
      <c r="X3127" s="102" t="str">
        <f t="shared" si="2380"/>
        <v>Green foliage</v>
      </c>
      <c r="Y3127" s="120" t="b">
        <f t="shared" si="2381"/>
        <v>0</v>
      </c>
      <c r="Z3127" s="117">
        <f t="shared" si="2382"/>
        <v>0</v>
      </c>
      <c r="AA3127" s="118"/>
      <c r="AB3127" s="118" t="str">
        <f t="shared" si="2383"/>
        <v/>
      </c>
      <c r="AC3127" s="712" t="str">
        <f>IF(AE3127="T2G","no charge",IF(AND(OR(PlanterYesMe="No",PlanterYesMe="N",PlanterYesMe="me"),H3127=""),"",IF(H3127="credit","NO install",IF(AND(K3127="",AE3127="me"),"EACH row",IF(AND(K3127="images",AE3127="me"),"EACH row",IF(D3127="","",IF(H3127="credit","",IF(AE3127="free","re-planting",IF(AE3127="me","   not ELP, by",IF(AND(OR(PlanterYesMe="Yes",PlanterYesMe="Y"),G3127&gt;0),(VLOOKUP(A3127,'Discount Lookup'!J:K,2)*G3127*(1-PlanterDiscount)*(1+PlanterDifficultyPercentage)),IF(AE3127="ELP",(VLOOKUP(A3127,'Discount Lookup'!J:K,2)*G3127*(1-PlanterDiscount)*(1+PlanterDifficultyPercentage)),IF(AE3127="free","re-planting",IF(G3127=0,"",IF(PlanterYesMe="",IF(AE3127="me","   not ELP, by",IF(AE3127="",IF(G3127&gt;0,(VLOOKUP(A3127,'Discount Lookup'!J:K,2)*G3127*(1-PlanterDiscount)*(1+PlanterDifficultyPercentage)),""),"")),"   not ELP, by"))))))))))))))</f>
        <v/>
      </c>
      <c r="AD3127" s="712"/>
      <c r="AE3127" s="513" t="str">
        <f t="shared" si="2384"/>
        <v/>
      </c>
      <c r="AF3127" s="713" t="str">
        <f t="shared" si="2385"/>
        <v/>
      </c>
      <c r="AG3127" s="713"/>
      <c r="AH3127" s="713"/>
      <c r="AI3127" s="112">
        <f>IF(H3127="credit",0,IF(AE3127="free",0,IF(AE3127="me",0,IF(G3127&gt;0,(VLOOKUP(A3127,'Discount Lookup'!J:K,2)*G3127),0))))</f>
        <v>0</v>
      </c>
      <c r="AJ3127" s="107" t="str">
        <f t="shared" ca="1" si="2386"/>
        <v/>
      </c>
      <c r="AK3127" s="714" t="str">
        <f t="shared" si="2387"/>
        <v/>
      </c>
      <c r="AL3127" s="714"/>
      <c r="AM3127" s="114" t="str">
        <f t="shared" si="2388"/>
        <v/>
      </c>
      <c r="AN3127" s="115"/>
      <c r="AO3127" s="116"/>
      <c r="AP3127" s="116"/>
      <c r="AQ3127" s="116"/>
      <c r="AR3127" s="116"/>
      <c r="AS3127" s="116"/>
      <c r="AT3127" s="116"/>
      <c r="AU3127" s="116"/>
      <c r="AV3127" s="78"/>
      <c r="AW3127" s="102"/>
      <c r="AX3127" s="78"/>
      <c r="AY3127" s="78"/>
      <c r="AZ3127" s="78"/>
      <c r="BA3127" s="78"/>
      <c r="BB3127" s="78"/>
      <c r="BC3127" s="78"/>
      <c r="BD3127" s="78"/>
      <c r="BE3127" s="465"/>
      <c r="BF3127" s="165" t="str">
        <f t="shared" si="2389"/>
        <v>https://www.google.com/search?tbm=isch&amp;q=Nyssa%20Sylvatica%20%27The%20James%27%20PP%2329473%20Forest%20Fire%E2%84%A2%20Tupelo</v>
      </c>
      <c r="BG3127" s="165" t="str">
        <f t="shared" si="2390"/>
        <v>N</v>
      </c>
      <c r="BH3127" s="65"/>
      <c r="BI3127" s="65"/>
      <c r="BJ3127" s="65"/>
      <c r="BK3127" s="65"/>
      <c r="BL3127" s="99"/>
      <c r="BM3127" s="99"/>
      <c r="BN3127" s="99"/>
    </row>
    <row r="3128" spans="1:66" s="51" customFormat="1" ht="15.75" x14ac:dyDescent="0.25">
      <c r="A3128" s="634">
        <v>25</v>
      </c>
      <c r="B3128" s="635" t="s">
        <v>291</v>
      </c>
      <c r="C3128" s="636" t="s">
        <v>3699</v>
      </c>
      <c r="D3128" s="637" t="s">
        <v>293</v>
      </c>
      <c r="E3128" s="638">
        <v>377.95</v>
      </c>
      <c r="F3128" s="639" t="s">
        <v>292</v>
      </c>
      <c r="G3128" s="484">
        <v>0</v>
      </c>
      <c r="H3128" s="691" t="str">
        <f>IF(G3128=0,"",IF(F3128="Buy",IF(G3128=1,"plant","plants"),IF(F3128&gt;0.01,"warranty","Error")))</f>
        <v/>
      </c>
      <c r="I3128" s="640">
        <f>IF(H3128="free",0,IF(H3128="credit",((E3128*(F3128))*G3128*-1),IF(F3128="Buy",(E3128*G3128),((E3128*(1-F3128))*G3128))))</f>
        <v>0</v>
      </c>
      <c r="J3128" s="640">
        <f>IF(H3128="warranty",0,(I3128*(_xlfn.SINGLE(SalesTaxPercentage))))</f>
        <v>0</v>
      </c>
      <c r="K3128" s="716">
        <f t="shared" ref="K3128" si="2405">I3128+J3128</f>
        <v>0</v>
      </c>
      <c r="L3128" s="716"/>
      <c r="M3128" s="689" t="str">
        <f ca="1">IF(AND(G3128&gt;0,E3128=0),"WARNING - no PRICE inserted",IF(H3128="free","FREE ~ no charge this plant",IF(H3128="credit",CONCATENATE("-$",ROUND(K3128*(1-_xlfn.SINGLE(T2GDiscount))*-1,2)," CREDIT after discount"),IF(_xlfn.SINGLE(T2GDiscount)=0,"",IF(G3128=0,"",IF(F3128="Buy",CONCATENATE("$",ROUND(K3128*(1-_xlfn.SINGLE(T2GDiscount)),2)," with ",(_xlfn.SINGLE(T2GDiscount)*100),"% discount"),CONCATENATE("$",ROUND(K3128*(1-_xlfn.SINGLE(T2GDiscount)),2)," with ",((_xlfn.SINGLE(T2GDiscount)*100+F3128*100)-(_xlfn.SINGLE(T2GDiscount)*100*F3128)),IF(F3128&gt;0,"% discounts",IF(_xlfn.SINGLE(NoWarrantyDiscount)&gt;0,"% discounts","% discount")))))))))</f>
        <v/>
      </c>
      <c r="N3128" s="690"/>
      <c r="O3128" s="486"/>
      <c r="P3128" s="486"/>
      <c r="Q3128" s="486"/>
      <c r="R3128" s="486"/>
      <c r="S3128" s="486"/>
      <c r="T3128" s="102">
        <f t="shared" si="2378"/>
        <v>0</v>
      </c>
      <c r="U3128" s="78">
        <f>IF(NOT(ISNUMBER(G3128)), "", VLOOKUP(A3128,'Discount Lookup'!D:E,2,FALSE)*G3128)</f>
        <v>0</v>
      </c>
      <c r="V3128" s="78">
        <f>IF(NOT(ISNUMBER(G3128)), "", VLOOKUP(A3128,'Discount Lookup'!G:H,2,FALSE)*G3128)</f>
        <v>0</v>
      </c>
      <c r="W3128" s="102">
        <f t="shared" si="2379"/>
        <v>0</v>
      </c>
      <c r="X3128" s="102">
        <f t="shared" si="2380"/>
        <v>0</v>
      </c>
      <c r="Y3128" s="120" t="b">
        <f t="shared" si="2381"/>
        <v>0</v>
      </c>
      <c r="Z3128" s="117">
        <f t="shared" si="2382"/>
        <v>0</v>
      </c>
      <c r="AA3128" s="118"/>
      <c r="AB3128" s="118" t="str">
        <f t="shared" si="2383"/>
        <v/>
      </c>
      <c r="AC3128" s="712" t="str">
        <f>IF(AE3128="T2G","no charge",IF(AND(OR(PlanterYesMe="No",PlanterYesMe="N",PlanterYesMe="me"),H3128=""),"",IF(H3128="credit","NO install",IF(AND(K3128="",AE3128="me"),"EACH row",IF(AND(K3128="images",AE3128="me"),"EACH row",IF(D3128="","",IF(H3128="credit","",IF(AE3128="free","re-planting",IF(AE3128="me","   not ELP, by",IF(AND(OR(PlanterYesMe="Yes",PlanterYesMe="Y"),G3128&gt;0),(VLOOKUP(A3128,'Discount Lookup'!J:K,2)*G3128*(1-PlanterDiscount)*(1+PlanterDifficultyPercentage)),IF(AE3128="ELP",(VLOOKUP(A3128,'Discount Lookup'!J:K,2)*G3128*(1-PlanterDiscount)*(1+PlanterDifficultyPercentage)),IF(AE3128="free","re-planting",IF(G3128=0,"",IF(PlanterYesMe="",IF(AE3128="me","   not ELP, by",IF(AE3128="",IF(G3128&gt;0,(VLOOKUP(A3128,'Discount Lookup'!J:K,2)*G3128*(1-PlanterDiscount)*(1+PlanterDifficultyPercentage)),""),"")),"   not ELP, by"))))))))))))))</f>
        <v/>
      </c>
      <c r="AD3128" s="712"/>
      <c r="AE3128" s="513" t="str">
        <f t="shared" si="2384"/>
        <v/>
      </c>
      <c r="AF3128" s="713" t="str">
        <f t="shared" si="2385"/>
        <v/>
      </c>
      <c r="AG3128" s="713"/>
      <c r="AH3128" s="713"/>
      <c r="AI3128" s="112">
        <f>IF(H3128="credit",0,IF(AE3128="free",0,IF(AE3128="me",0,IF(G3128&gt;0,(VLOOKUP(A3128,'Discount Lookup'!J:K,2)*G3128),0))))</f>
        <v>0</v>
      </c>
      <c r="AJ3128" s="107" t="str">
        <f t="shared" ca="1" si="2386"/>
        <v/>
      </c>
      <c r="AK3128" s="714" t="str">
        <f t="shared" si="2387"/>
        <v/>
      </c>
      <c r="AL3128" s="714"/>
      <c r="AM3128" s="114" t="str">
        <f t="shared" si="2388"/>
        <v/>
      </c>
      <c r="AN3128" s="115"/>
      <c r="AO3128" s="116"/>
      <c r="AP3128" s="116"/>
      <c r="AQ3128" s="116"/>
      <c r="AR3128" s="116"/>
      <c r="AS3128" s="116"/>
      <c r="AT3128" s="116"/>
      <c r="AU3128" s="116"/>
      <c r="AV3128" s="78"/>
      <c r="AW3128" s="102"/>
      <c r="AX3128" s="78"/>
      <c r="AY3128" s="78"/>
      <c r="AZ3128" s="78"/>
      <c r="BA3128" s="78"/>
      <c r="BB3128" s="78"/>
      <c r="BC3128" s="78"/>
      <c r="BD3128" s="78"/>
      <c r="BE3128" s="465"/>
      <c r="BF3128" s="165" t="str">
        <f t="shared" si="2389"/>
        <v>https://www.google.com/search?tbm=isch&amp;q=25%20G6</v>
      </c>
      <c r="BG3128" s="165" t="str">
        <f t="shared" si="2390"/>
        <v>N</v>
      </c>
      <c r="BH3128" s="65"/>
      <c r="BI3128" s="65"/>
      <c r="BJ3128" s="65"/>
      <c r="BK3128" s="65"/>
      <c r="BL3128" s="99"/>
      <c r="BM3128" s="99"/>
      <c r="BN3128" s="99"/>
    </row>
    <row r="3129" spans="1:66" s="51" customFormat="1" ht="16.5" x14ac:dyDescent="0.25">
      <c r="A3129" s="704" t="s">
        <v>5495</v>
      </c>
      <c r="B3129" s="642"/>
      <c r="C3129" s="710"/>
      <c r="D3129" s="643"/>
      <c r="E3129" s="643"/>
      <c r="F3129" s="644"/>
      <c r="G3129" s="645"/>
      <c r="H3129" s="646"/>
      <c r="I3129" s="647"/>
      <c r="J3129" s="648"/>
      <c r="K3129" s="649"/>
      <c r="L3129" s="650"/>
      <c r="M3129" s="650"/>
      <c r="N3129" s="644"/>
      <c r="O3129" s="644"/>
      <c r="P3129" s="644"/>
      <c r="Q3129" s="644"/>
      <c r="R3129" s="644"/>
      <c r="S3129" s="701" t="s">
        <v>5296</v>
      </c>
      <c r="T3129" s="102">
        <f t="shared" si="2378"/>
        <v>0</v>
      </c>
      <c r="U3129" s="78" t="str">
        <f>IF(NOT(ISNUMBER(G3129)), "", VLOOKUP(A3129,'Discount Lookup'!D:E,2,FALSE)*G3129)</f>
        <v/>
      </c>
      <c r="V3129" s="78" t="str">
        <f>IF(NOT(ISNUMBER(G3129)), "", VLOOKUP(A3129,'Discount Lookup'!G:H,2,FALSE)*G3129)</f>
        <v/>
      </c>
      <c r="W3129" s="102">
        <f t="shared" si="2379"/>
        <v>0</v>
      </c>
      <c r="X3129" s="102">
        <f t="shared" si="2380"/>
        <v>0</v>
      </c>
      <c r="Y3129" s="120" t="b">
        <f t="shared" si="2381"/>
        <v>0</v>
      </c>
      <c r="Z3129" s="117">
        <f t="shared" si="2382"/>
        <v>0</v>
      </c>
      <c r="AA3129" s="118"/>
      <c r="AB3129" s="118" t="str">
        <f t="shared" si="2383"/>
        <v/>
      </c>
      <c r="AC3129" s="712" t="str">
        <f>IF(AE3129="T2G","no charge",IF(AND(OR(PlanterYesMe="No",PlanterYesMe="N",PlanterYesMe="me"),H3129=""),"",IF(H3129="credit","NO install",IF(AND(K3129="",AE3129="me"),"EACH row",IF(AND(K3129="images",AE3129="me"),"EACH row",IF(D3129="","",IF(H3129="credit","",IF(AE3129="free","re-planting",IF(AE3129="me","   not ELP, by",IF(AND(OR(PlanterYesMe="Yes",PlanterYesMe="Y"),G3129&gt;0),(VLOOKUP(A3129,'Discount Lookup'!J:K,2)*G3129*(1-PlanterDiscount)*(1+PlanterDifficultyPercentage)),IF(AE3129="ELP",(VLOOKUP(A3129,'Discount Lookup'!J:K,2)*G3129*(1-PlanterDiscount)*(1+PlanterDifficultyPercentage)),IF(AE3129="free","re-planting",IF(G3129=0,"",IF(PlanterYesMe="",IF(AE3129="me","   not ELP, by",IF(AE3129="",IF(G3129&gt;0,(VLOOKUP(A3129,'Discount Lookup'!J:K,2)*G3129*(1-PlanterDiscount)*(1+PlanterDifficultyPercentage)),""),"")),"   not ELP, by"))))))))))))))</f>
        <v/>
      </c>
      <c r="AD3129" s="712"/>
      <c r="AE3129" s="513" t="str">
        <f t="shared" si="2384"/>
        <v/>
      </c>
      <c r="AF3129" s="713" t="str">
        <f t="shared" si="2385"/>
        <v/>
      </c>
      <c r="AG3129" s="713"/>
      <c r="AH3129" s="713"/>
      <c r="AI3129" s="112">
        <f>IF(H3129="credit",0,IF(AE3129="free",0,IF(AE3129="me",0,IF(G3129&gt;0,(VLOOKUP(A3129,'Discount Lookup'!J:K,2)*G3129),0))))</f>
        <v>0</v>
      </c>
      <c r="AJ3129" s="107" t="str">
        <f t="shared" ca="1" si="2386"/>
        <v/>
      </c>
      <c r="AK3129" s="714" t="str">
        <f t="shared" si="2387"/>
        <v/>
      </c>
      <c r="AL3129" s="714"/>
      <c r="AM3129" s="114" t="str">
        <f t="shared" si="2388"/>
        <v/>
      </c>
      <c r="AN3129" s="115"/>
      <c r="AO3129" s="116"/>
      <c r="AP3129" s="116"/>
      <c r="AQ3129" s="116"/>
      <c r="AR3129" s="116"/>
      <c r="AS3129" s="116"/>
      <c r="AT3129" s="116"/>
      <c r="AU3129" s="116"/>
      <c r="AV3129" s="78"/>
      <c r="AW3129" s="102"/>
      <c r="AX3129" s="78"/>
      <c r="AY3129" s="78"/>
      <c r="AZ3129" s="78"/>
      <c r="BA3129" s="78"/>
      <c r="BB3129" s="78"/>
      <c r="BC3129" s="78"/>
      <c r="BD3129" s="78"/>
      <c r="BE3129" s="465"/>
      <c r="BF3129" s="165" t="str">
        <f t="shared" si="2389"/>
        <v>https://www.google.com/search?tbm=isch&amp;q=wet%20sites%F0%9F%92%A7GOOD%2C%20Forest%20Fire%20named%20for%20intense%20Red-Orange%20fall%20display.%20Small%2C%20Dark%20Blue-Black%20fruit.%20%22Alligaotor%20Hide%22%20bark%20</v>
      </c>
      <c r="BG3129" s="165" t="str">
        <f t="shared" si="2390"/>
        <v>w</v>
      </c>
      <c r="BH3129" s="65"/>
      <c r="BI3129" s="65"/>
      <c r="BJ3129" s="65"/>
      <c r="BK3129" s="65"/>
      <c r="BL3129" s="99"/>
      <c r="BM3129" s="99"/>
      <c r="BN3129" s="99"/>
    </row>
    <row r="3130" spans="1:66" s="51" customFormat="1" ht="55.5" x14ac:dyDescent="0.25">
      <c r="A3130" s="520" t="s">
        <v>633</v>
      </c>
      <c r="B3130" s="501"/>
      <c r="C3130" s="502"/>
      <c r="D3130" s="502"/>
      <c r="E3130" s="502"/>
      <c r="F3130" s="502"/>
      <c r="G3130" s="502"/>
      <c r="H3130" s="502"/>
      <c r="I3130" s="502"/>
      <c r="J3130" s="502"/>
      <c r="K3130" s="509" t="s">
        <v>871</v>
      </c>
      <c r="L3130" s="503"/>
      <c r="M3130" s="563"/>
      <c r="N3130" s="504"/>
      <c r="O3130" s="504"/>
      <c r="P3130" s="504"/>
      <c r="Q3130" s="504"/>
      <c r="R3130" s="504"/>
      <c r="S3130" s="511" t="s">
        <v>1546</v>
      </c>
      <c r="T3130" s="102">
        <f t="shared" si="2378"/>
        <v>0</v>
      </c>
      <c r="U3130" s="78" t="str">
        <f>IF(NOT(ISNUMBER(G3130)), "", VLOOKUP(A3130,'Discount Lookup'!D:E,2,FALSE)*G3130)</f>
        <v/>
      </c>
      <c r="V3130" s="78" t="str">
        <f>IF(NOT(ISNUMBER(G3130)), "", VLOOKUP(A3130,'Discount Lookup'!G:H,2,FALSE)*G3130)</f>
        <v/>
      </c>
      <c r="W3130" s="102">
        <f t="shared" si="2379"/>
        <v>0</v>
      </c>
      <c r="X3130" s="102">
        <f t="shared" si="2380"/>
        <v>0</v>
      </c>
      <c r="Y3130" s="120" t="b">
        <f t="shared" si="2381"/>
        <v>0</v>
      </c>
      <c r="Z3130" s="117">
        <f t="shared" si="2382"/>
        <v>0</v>
      </c>
      <c r="AA3130" s="118"/>
      <c r="AB3130" s="118" t="str">
        <f t="shared" si="2383"/>
        <v/>
      </c>
      <c r="AC3130" s="712" t="str">
        <f>IF(AE3130="T2G","no charge",IF(AND(OR(PlanterYesMe="No",PlanterYesMe="N",PlanterYesMe="me"),H3130=""),"",IF(H3130="credit","NO install",IF(AND(K3130="",AE3130="me"),"EACH row",IF(AND(K3130="images",AE3130="me"),"EACH row",IF(D3130="","",IF(H3130="credit","",IF(AE3130="free","re-planting",IF(AE3130="me","   not ELP, by",IF(AND(OR(PlanterYesMe="Yes",PlanterYesMe="Y"),G3130&gt;0),(VLOOKUP(A3130,'Discount Lookup'!J:K,2)*G3130*(1-PlanterDiscount)*(1+PlanterDifficultyPercentage)),IF(AE3130="ELP",(VLOOKUP(A3130,'Discount Lookup'!J:K,2)*G3130*(1-PlanterDiscount)*(1+PlanterDifficultyPercentage)),IF(AE3130="free","re-planting",IF(G3130=0,"",IF(PlanterYesMe="",IF(AE3130="me","   not ELP, by",IF(AE3130="",IF(G3130&gt;0,(VLOOKUP(A3130,'Discount Lookup'!J:K,2)*G3130*(1-PlanterDiscount)*(1+PlanterDifficultyPercentage)),""),"")),"   not ELP, by"))))))))))))))</f>
        <v/>
      </c>
      <c r="AD3130" s="712"/>
      <c r="AE3130" s="513" t="str">
        <f t="shared" si="2384"/>
        <v/>
      </c>
      <c r="AF3130" s="713" t="str">
        <f t="shared" si="2385"/>
        <v/>
      </c>
      <c r="AG3130" s="713"/>
      <c r="AH3130" s="713"/>
      <c r="AI3130" s="112">
        <f>IF(H3130="credit",0,IF(AE3130="free",0,IF(AE3130="me",0,IF(G3130&gt;0,(VLOOKUP(A3130,'Discount Lookup'!J:K,2)*G3130),0))))</f>
        <v>0</v>
      </c>
      <c r="AJ3130" s="107" t="str">
        <f t="shared" ca="1" si="2386"/>
        <v/>
      </c>
      <c r="AK3130" s="714" t="str">
        <f t="shared" si="2387"/>
        <v/>
      </c>
      <c r="AL3130" s="714"/>
      <c r="AM3130" s="114" t="str">
        <f t="shared" si="2388"/>
        <v/>
      </c>
      <c r="AN3130" s="115"/>
      <c r="AO3130" s="116"/>
      <c r="AP3130" s="116"/>
      <c r="AQ3130" s="116"/>
      <c r="AR3130" s="116"/>
      <c r="AS3130" s="116"/>
      <c r="AT3130" s="116"/>
      <c r="AU3130" s="116"/>
      <c r="AV3130" s="78"/>
      <c r="AW3130" s="102"/>
      <c r="AX3130" s="78"/>
      <c r="AY3130" s="78"/>
      <c r="AZ3130" s="78"/>
      <c r="BA3130" s="78"/>
      <c r="BB3130" s="78"/>
      <c r="BC3130" s="78"/>
      <c r="BD3130" s="78"/>
      <c r="BE3130" s="465"/>
      <c r="BF3130" s="165" t="str">
        <f t="shared" si="2389"/>
        <v>https://www.google.com/search?tbm=isch&amp;q=O%20</v>
      </c>
      <c r="BG3130" s="165" t="str">
        <f t="shared" si="2390"/>
        <v>O</v>
      </c>
      <c r="BH3130" s="65"/>
      <c r="BI3130" s="65"/>
      <c r="BJ3130" s="65"/>
      <c r="BK3130" s="65"/>
      <c r="BL3130" s="99"/>
      <c r="BM3130" s="99"/>
      <c r="BN3130" s="99"/>
    </row>
    <row r="3131" spans="1:66" s="51" customFormat="1" ht="19.5" thickBot="1" x14ac:dyDescent="0.3">
      <c r="A3131" s="686" t="s">
        <v>634</v>
      </c>
      <c r="B3131" s="73"/>
      <c r="C3131" s="708"/>
      <c r="D3131" s="73"/>
      <c r="E3131" s="73"/>
      <c r="F3131" s="496"/>
      <c r="G3131" s="73"/>
      <c r="H3131" s="73"/>
      <c r="I3131" s="73"/>
      <c r="J3131" s="497" t="s">
        <v>357</v>
      </c>
      <c r="K3131" s="498"/>
      <c r="L3131" s="562"/>
      <c r="M3131" s="73"/>
      <c r="N3131"/>
      <c r="O3131"/>
      <c r="P3131"/>
      <c r="Q3131"/>
      <c r="R3131"/>
      <c r="S3131"/>
      <c r="T3131" s="102">
        <f t="shared" si="2378"/>
        <v>0</v>
      </c>
      <c r="U3131" s="78" t="str">
        <f>IF(NOT(ISNUMBER(G3131)), "", VLOOKUP(A3131,'Discount Lookup'!D:E,2,FALSE)*G3131)</f>
        <v/>
      </c>
      <c r="V3131" s="78" t="str">
        <f>IF(NOT(ISNUMBER(G3131)), "", VLOOKUP(A3131,'Discount Lookup'!G:H,2,FALSE)*G3131)</f>
        <v/>
      </c>
      <c r="W3131" s="102">
        <f t="shared" si="2379"/>
        <v>0</v>
      </c>
      <c r="X3131" s="102">
        <f t="shared" si="2380"/>
        <v>0</v>
      </c>
      <c r="Y3131" s="120" t="b">
        <f t="shared" si="2381"/>
        <v>0</v>
      </c>
      <c r="Z3131" s="117">
        <f t="shared" si="2382"/>
        <v>0</v>
      </c>
      <c r="AA3131" s="118"/>
      <c r="AB3131" s="118" t="str">
        <f t="shared" si="2383"/>
        <v/>
      </c>
      <c r="AC3131" s="712" t="str">
        <f>IF(AE3131="T2G","no charge",IF(AND(OR(PlanterYesMe="No",PlanterYesMe="N",PlanterYesMe="me"),H3131=""),"",IF(H3131="credit","NO install",IF(AND(K3131="",AE3131="me"),"EACH row",IF(AND(K3131="images",AE3131="me"),"EACH row",IF(D3131="","",IF(H3131="credit","",IF(AE3131="free","re-planting",IF(AE3131="me","   not ELP, by",IF(AND(OR(PlanterYesMe="Yes",PlanterYesMe="Y"),G3131&gt;0),(VLOOKUP(A3131,'Discount Lookup'!J:K,2)*G3131*(1-PlanterDiscount)*(1+PlanterDifficultyPercentage)),IF(AE3131="ELP",(VLOOKUP(A3131,'Discount Lookup'!J:K,2)*G3131*(1-PlanterDiscount)*(1+PlanterDifficultyPercentage)),IF(AE3131="free","re-planting",IF(G3131=0,"",IF(PlanterYesMe="",IF(AE3131="me","   not ELP, by",IF(AE3131="",IF(G3131&gt;0,(VLOOKUP(A3131,'Discount Lookup'!J:K,2)*G3131*(1-PlanterDiscount)*(1+PlanterDifficultyPercentage)),""),"")),"   not ELP, by"))))))))))))))</f>
        <v/>
      </c>
      <c r="AD3131" s="712"/>
      <c r="AE3131" s="513" t="str">
        <f t="shared" si="2384"/>
        <v/>
      </c>
      <c r="AF3131" s="713" t="str">
        <f t="shared" si="2385"/>
        <v/>
      </c>
      <c r="AG3131" s="713"/>
      <c r="AH3131" s="713"/>
      <c r="AI3131" s="112">
        <f>IF(H3131="credit",0,IF(AE3131="free",0,IF(AE3131="me",0,IF(G3131&gt;0,(VLOOKUP(A3131,'Discount Lookup'!J:K,2)*G3131),0))))</f>
        <v>0</v>
      </c>
      <c r="AJ3131" s="107" t="str">
        <f t="shared" ca="1" si="2386"/>
        <v/>
      </c>
      <c r="AK3131" s="714" t="str">
        <f t="shared" si="2387"/>
        <v/>
      </c>
      <c r="AL3131" s="714"/>
      <c r="AM3131" s="114" t="str">
        <f t="shared" si="2388"/>
        <v/>
      </c>
      <c r="AN3131" s="115"/>
      <c r="AO3131" s="116"/>
      <c r="AP3131" s="116"/>
      <c r="AQ3131" s="116"/>
      <c r="AR3131" s="116"/>
      <c r="AS3131" s="116"/>
      <c r="AT3131" s="116"/>
      <c r="AU3131" s="116"/>
      <c r="AV3131" s="78"/>
      <c r="AW3131" s="102"/>
      <c r="AX3131" s="78"/>
      <c r="AY3131" s="78"/>
      <c r="AZ3131" s="78"/>
      <c r="BA3131" s="78"/>
      <c r="BB3131" s="78"/>
      <c r="BC3131" s="78"/>
      <c r="BD3131" s="78"/>
      <c r="BE3131" s="465"/>
      <c r="BF3131" s="165" t="str">
        <f t="shared" si="2389"/>
        <v>https://www.google.com/search?tbm=isch&amp;q=Oenothera%20%3D%20Gaura%20</v>
      </c>
      <c r="BG3131" s="165" t="str">
        <f t="shared" si="2390"/>
        <v>O</v>
      </c>
      <c r="BH3131" s="65"/>
      <c r="BI3131" s="65"/>
      <c r="BJ3131" s="65"/>
      <c r="BK3131" s="65"/>
      <c r="BL3131" s="99"/>
      <c r="BM3131" s="99"/>
      <c r="BN3131" s="99"/>
    </row>
    <row r="3132" spans="1:66" s="51" customFormat="1" ht="18" x14ac:dyDescent="0.25">
      <c r="A3132" s="623" t="s">
        <v>3700</v>
      </c>
      <c r="B3132" s="624"/>
      <c r="C3132" s="709"/>
      <c r="D3132" s="625" t="s">
        <v>5744</v>
      </c>
      <c r="E3132" s="626"/>
      <c r="F3132" s="626"/>
      <c r="G3132" s="626"/>
      <c r="H3132" s="622" t="s">
        <v>1516</v>
      </c>
      <c r="I3132" s="627" t="s">
        <v>1837</v>
      </c>
      <c r="J3132" s="628"/>
      <c r="K3132" s="628"/>
      <c r="L3132" s="629"/>
      <c r="M3132" s="700" t="s">
        <v>5241</v>
      </c>
      <c r="N3132" s="693" t="str">
        <f>IF(AND(ISTEXT($A3132), ISERROR($A3132+0)), HYPERLINK($BF3132, "Images"), "")</f>
        <v>Images</v>
      </c>
      <c r="O3132" s="695" t="s">
        <v>5247</v>
      </c>
      <c r="P3132" s="630"/>
      <c r="Q3132" s="631"/>
      <c r="R3132" s="632"/>
      <c r="S3132" s="633" t="s">
        <v>294</v>
      </c>
      <c r="T3132" s="102">
        <f t="shared" si="2378"/>
        <v>0</v>
      </c>
      <c r="U3132" s="78" t="str">
        <f>IF(NOT(ISNUMBER(G3132)), "", VLOOKUP(A3132,'Discount Lookup'!D:E,2,FALSE)*G3132)</f>
        <v/>
      </c>
      <c r="V3132" s="78" t="str">
        <f>IF(NOT(ISNUMBER(G3132)), "", VLOOKUP(A3132,'Discount Lookup'!G:H,2,FALSE)*G3132)</f>
        <v/>
      </c>
      <c r="W3132" s="102">
        <f t="shared" si="2379"/>
        <v>0</v>
      </c>
      <c r="X3132" s="102" t="str">
        <f t="shared" si="2380"/>
        <v>Rose-Pink bloom</v>
      </c>
      <c r="Y3132" s="120" t="b">
        <f t="shared" si="2381"/>
        <v>0</v>
      </c>
      <c r="Z3132" s="117">
        <f t="shared" si="2382"/>
        <v>0</v>
      </c>
      <c r="AA3132" s="118"/>
      <c r="AB3132" s="118" t="str">
        <f t="shared" si="2383"/>
        <v/>
      </c>
      <c r="AC3132" s="712" t="str">
        <f>IF(AE3132="T2G","no charge",IF(AND(OR(PlanterYesMe="No",PlanterYesMe="N",PlanterYesMe="me"),H3132=""),"",IF(H3132="credit","NO install",IF(AND(K3132="",AE3132="me"),"EACH row",IF(AND(K3132="images",AE3132="me"),"EACH row",IF(D3132="","",IF(H3132="credit","",IF(AE3132="free","re-planting",IF(AE3132="me","   not ELP, by",IF(AND(OR(PlanterYesMe="Yes",PlanterYesMe="Y"),G3132&gt;0),(VLOOKUP(A3132,'Discount Lookup'!J:K,2)*G3132*(1-PlanterDiscount)*(1+PlanterDifficultyPercentage)),IF(AE3132="ELP",(VLOOKUP(A3132,'Discount Lookup'!J:K,2)*G3132*(1-PlanterDiscount)*(1+PlanterDifficultyPercentage)),IF(AE3132="free","re-planting",IF(G3132=0,"",IF(PlanterYesMe="",IF(AE3132="me","   not ELP, by",IF(AE3132="",IF(G3132&gt;0,(VLOOKUP(A3132,'Discount Lookup'!J:K,2)*G3132*(1-PlanterDiscount)*(1+PlanterDifficultyPercentage)),""),"")),"   not ELP, by"))))))))))))))</f>
        <v/>
      </c>
      <c r="AD3132" s="712"/>
      <c r="AE3132" s="513" t="str">
        <f t="shared" si="2384"/>
        <v/>
      </c>
      <c r="AF3132" s="713" t="str">
        <f t="shared" si="2385"/>
        <v/>
      </c>
      <c r="AG3132" s="713"/>
      <c r="AH3132" s="713"/>
      <c r="AI3132" s="112">
        <f>IF(H3132="credit",0,IF(AE3132="free",0,IF(AE3132="me",0,IF(G3132&gt;0,(VLOOKUP(A3132,'Discount Lookup'!J:K,2)*G3132),0))))</f>
        <v>0</v>
      </c>
      <c r="AJ3132" s="107" t="str">
        <f t="shared" ca="1" si="2386"/>
        <v/>
      </c>
      <c r="AK3132" s="714" t="str">
        <f t="shared" si="2387"/>
        <v/>
      </c>
      <c r="AL3132" s="714"/>
      <c r="AM3132" s="114" t="str">
        <f t="shared" si="2388"/>
        <v/>
      </c>
      <c r="AN3132" s="115"/>
      <c r="AO3132" s="116"/>
      <c r="AP3132" s="116"/>
      <c r="AQ3132" s="116"/>
      <c r="AR3132" s="116"/>
      <c r="AS3132" s="116"/>
      <c r="AT3132" s="116"/>
      <c r="AU3132" s="116"/>
      <c r="AV3132" s="78"/>
      <c r="AW3132" s="102"/>
      <c r="AX3132" s="78"/>
      <c r="AY3132" s="78"/>
      <c r="AZ3132" s="78"/>
      <c r="BA3132" s="78"/>
      <c r="BB3132" s="78"/>
      <c r="BC3132" s="78"/>
      <c r="BD3132" s="78"/>
      <c r="BE3132" s="465"/>
      <c r="BF3132" s="165" t="str">
        <f t="shared" si="2389"/>
        <v>https://www.google.com/search?tbm=isch&amp;q=Oenothera%20lindheimeri%20%27Baltinrose%27%20PP%2314635%20Ballerina%20Rose%E2%84%A2%20Gaura</v>
      </c>
      <c r="BG3132" s="165" t="str">
        <f t="shared" si="2390"/>
        <v>O</v>
      </c>
      <c r="BH3132" s="65"/>
      <c r="BI3132" s="65"/>
      <c r="BJ3132" s="65"/>
      <c r="BK3132" s="65"/>
      <c r="BL3132" s="99"/>
      <c r="BM3132" s="99"/>
      <c r="BN3132" s="99"/>
    </row>
    <row r="3133" spans="1:66" s="51" customFormat="1" ht="15.75" x14ac:dyDescent="0.25">
      <c r="A3133" s="634">
        <v>1</v>
      </c>
      <c r="B3133" s="635" t="s">
        <v>291</v>
      </c>
      <c r="C3133" s="636"/>
      <c r="D3133" s="637" t="s">
        <v>329</v>
      </c>
      <c r="E3133" s="638">
        <v>10.95</v>
      </c>
      <c r="F3133" s="639" t="s">
        <v>292</v>
      </c>
      <c r="G3133" s="484">
        <v>0</v>
      </c>
      <c r="H3133" s="691" t="str">
        <f>IF(G3133=0,"",IF(F3133="Buy",IF(G3133=1,"plant","plants"),IF(F3133&gt;0.01,"warranty","Error")))</f>
        <v/>
      </c>
      <c r="I3133" s="640">
        <f>IF(H3133="free",0,IF(H3133="credit",((E3133*(F3133))*G3133*-1),IF(F3133="Buy",(E3133*G3133),((E3133*(1-F3133))*G3133))))</f>
        <v>0</v>
      </c>
      <c r="J3133" s="640">
        <f>IF(H3133="warranty",0,(I3133*(_xlfn.SINGLE(SalesTaxPercentage))))</f>
        <v>0</v>
      </c>
      <c r="K3133" s="716">
        <f t="shared" ref="K3133" si="2406">I3133+J3133</f>
        <v>0</v>
      </c>
      <c r="L3133" s="716"/>
      <c r="M3133" s="689" t="str">
        <f ca="1">IF(AND(G3133&gt;0,E3133=0),"WARNING - no PRICE inserted",IF(H3133="free","FREE ~ no charge this plant",IF(H3133="credit",CONCATENATE("-$",ROUND(K3133*(1-_xlfn.SINGLE(T2GDiscount))*-1,2)," CREDIT after discount"),IF(_xlfn.SINGLE(T2GDiscount)=0,"",IF(G3133=0,"",IF(F3133="Buy",CONCATENATE("$",ROUND(K3133*(1-_xlfn.SINGLE(T2GDiscount)),2)," with ",(_xlfn.SINGLE(T2GDiscount)*100),"% discount"),CONCATENATE("$",ROUND(K3133*(1-_xlfn.SINGLE(T2GDiscount)),2)," with ",((_xlfn.SINGLE(T2GDiscount)*100+F3133*100)-(_xlfn.SINGLE(T2GDiscount)*100*F3133)),IF(F3133&gt;0,"% discounts",IF(_xlfn.SINGLE(NoWarrantyDiscount)&gt;0,"% discounts","% discount")))))))))</f>
        <v/>
      </c>
      <c r="N3133" s="690"/>
      <c r="O3133" s="486"/>
      <c r="P3133" s="486"/>
      <c r="Q3133" s="486"/>
      <c r="R3133" s="486"/>
      <c r="S3133" s="486"/>
      <c r="T3133" s="102">
        <f t="shared" si="2378"/>
        <v>0</v>
      </c>
      <c r="U3133" s="78">
        <f>IF(NOT(ISNUMBER(G3133)), "", VLOOKUP(A3133,'Discount Lookup'!D:E,2,FALSE)*G3133)</f>
        <v>0</v>
      </c>
      <c r="V3133" s="78">
        <f>IF(NOT(ISNUMBER(G3133)), "", VLOOKUP(A3133,'Discount Lookup'!G:H,2,FALSE)*G3133)</f>
        <v>0</v>
      </c>
      <c r="W3133" s="102">
        <f t="shared" si="2379"/>
        <v>0</v>
      </c>
      <c r="X3133" s="102">
        <f t="shared" si="2380"/>
        <v>0</v>
      </c>
      <c r="Y3133" s="120" t="b">
        <f t="shared" si="2381"/>
        <v>0</v>
      </c>
      <c r="Z3133" s="117">
        <f t="shared" si="2382"/>
        <v>0</v>
      </c>
      <c r="AA3133" s="118"/>
      <c r="AB3133" s="118" t="str">
        <f t="shared" si="2383"/>
        <v/>
      </c>
      <c r="AC3133" s="712" t="str">
        <f>IF(AE3133="T2G","no charge",IF(AND(OR(PlanterYesMe="No",PlanterYesMe="N",PlanterYesMe="me"),H3133=""),"",IF(H3133="credit","NO install",IF(AND(K3133="",AE3133="me"),"EACH row",IF(AND(K3133="images",AE3133="me"),"EACH row",IF(D3133="","",IF(H3133="credit","",IF(AE3133="free","re-planting",IF(AE3133="me","   not ELP, by",IF(AND(OR(PlanterYesMe="Yes",PlanterYesMe="Y"),G3133&gt;0),(VLOOKUP(A3133,'Discount Lookup'!J:K,2)*G3133*(1-PlanterDiscount)*(1+PlanterDifficultyPercentage)),IF(AE3133="ELP",(VLOOKUP(A3133,'Discount Lookup'!J:K,2)*G3133*(1-PlanterDiscount)*(1+PlanterDifficultyPercentage)),IF(AE3133="free","re-planting",IF(G3133=0,"",IF(PlanterYesMe="",IF(AE3133="me","   not ELP, by",IF(AE3133="",IF(G3133&gt;0,(VLOOKUP(A3133,'Discount Lookup'!J:K,2)*G3133*(1-PlanterDiscount)*(1+PlanterDifficultyPercentage)),""),"")),"   not ELP, by"))))))))))))))</f>
        <v/>
      </c>
      <c r="AD3133" s="712"/>
      <c r="AE3133" s="513" t="str">
        <f t="shared" si="2384"/>
        <v/>
      </c>
      <c r="AF3133" s="713" t="str">
        <f t="shared" si="2385"/>
        <v/>
      </c>
      <c r="AG3133" s="713"/>
      <c r="AH3133" s="713"/>
      <c r="AI3133" s="112">
        <f>IF(H3133="credit",0,IF(AE3133="free",0,IF(AE3133="me",0,IF(G3133&gt;0,(VLOOKUP(A3133,'Discount Lookup'!J:K,2)*G3133),0))))</f>
        <v>0</v>
      </c>
      <c r="AJ3133" s="107" t="str">
        <f t="shared" ca="1" si="2386"/>
        <v/>
      </c>
      <c r="AK3133" s="714" t="str">
        <f t="shared" si="2387"/>
        <v/>
      </c>
      <c r="AL3133" s="714"/>
      <c r="AM3133" s="114" t="str">
        <f t="shared" si="2388"/>
        <v/>
      </c>
      <c r="AN3133" s="115"/>
      <c r="AO3133" s="116"/>
      <c r="AP3133" s="116"/>
      <c r="AQ3133" s="116"/>
      <c r="AR3133" s="116"/>
      <c r="AS3133" s="116"/>
      <c r="AT3133" s="116"/>
      <c r="AU3133" s="116"/>
      <c r="AV3133" s="78"/>
      <c r="AW3133" s="102"/>
      <c r="AX3133" s="78"/>
      <c r="AY3133" s="78"/>
      <c r="AZ3133" s="78"/>
      <c r="BA3133" s="78"/>
      <c r="BB3133" s="78"/>
      <c r="BC3133" s="78"/>
      <c r="BD3133" s="78"/>
      <c r="BE3133" s="465"/>
      <c r="BF3133" s="165" t="str">
        <f t="shared" si="2389"/>
        <v>https://www.google.com/search?tbm=isch&amp;q=1%20G2</v>
      </c>
      <c r="BG3133" s="165" t="str">
        <f t="shared" si="2390"/>
        <v>O</v>
      </c>
      <c r="BH3133" s="65"/>
      <c r="BI3133" s="65"/>
      <c r="BJ3133" s="65"/>
      <c r="BK3133" s="65"/>
      <c r="BL3133" s="99"/>
      <c r="BM3133" s="99"/>
      <c r="BN3133" s="99"/>
    </row>
    <row r="3134" spans="1:66" s="51" customFormat="1" ht="16.5" x14ac:dyDescent="0.25">
      <c r="A3134" s="641" t="s">
        <v>4878</v>
      </c>
      <c r="B3134" s="642"/>
      <c r="C3134" s="710"/>
      <c r="D3134" s="643"/>
      <c r="E3134" s="643"/>
      <c r="F3134" s="644"/>
      <c r="G3134" s="645"/>
      <c r="H3134" s="646"/>
      <c r="I3134" s="647"/>
      <c r="J3134" s="648"/>
      <c r="K3134" s="649"/>
      <c r="L3134" s="650"/>
      <c r="M3134" s="650"/>
      <c r="N3134" s="644"/>
      <c r="O3134" s="644"/>
      <c r="P3134" s="644"/>
      <c r="Q3134" s="644"/>
      <c r="R3134" s="644"/>
      <c r="S3134" s="701" t="s">
        <v>5271</v>
      </c>
      <c r="T3134" s="102">
        <f t="shared" si="2378"/>
        <v>0</v>
      </c>
      <c r="U3134" s="78" t="str">
        <f>IF(NOT(ISNUMBER(G3134)), "", VLOOKUP(A3134,'Discount Lookup'!D:E,2,FALSE)*G3134)</f>
        <v/>
      </c>
      <c r="V3134" s="78" t="str">
        <f>IF(NOT(ISNUMBER(G3134)), "", VLOOKUP(A3134,'Discount Lookup'!G:H,2,FALSE)*G3134)</f>
        <v/>
      </c>
      <c r="W3134" s="102">
        <f t="shared" si="2379"/>
        <v>0</v>
      </c>
      <c r="X3134" s="102">
        <f t="shared" si="2380"/>
        <v>0</v>
      </c>
      <c r="Y3134" s="120" t="b">
        <f t="shared" si="2381"/>
        <v>0</v>
      </c>
      <c r="Z3134" s="117">
        <f t="shared" si="2382"/>
        <v>0</v>
      </c>
      <c r="AA3134" s="118"/>
      <c r="AB3134" s="118" t="str">
        <f t="shared" si="2383"/>
        <v/>
      </c>
      <c r="AC3134" s="712" t="str">
        <f>IF(AE3134="T2G","no charge",IF(AND(OR(PlanterYesMe="No",PlanterYesMe="N",PlanterYesMe="me"),H3134=""),"",IF(H3134="credit","NO install",IF(AND(K3134="",AE3134="me"),"EACH row",IF(AND(K3134="images",AE3134="me"),"EACH row",IF(D3134="","",IF(H3134="credit","",IF(AE3134="free","re-planting",IF(AE3134="me","   not ELP, by",IF(AND(OR(PlanterYesMe="Yes",PlanterYesMe="Y"),G3134&gt;0),(VLOOKUP(A3134,'Discount Lookup'!J:K,2)*G3134*(1-PlanterDiscount)*(1+PlanterDifficultyPercentage)),IF(AE3134="ELP",(VLOOKUP(A3134,'Discount Lookup'!J:K,2)*G3134*(1-PlanterDiscount)*(1+PlanterDifficultyPercentage)),IF(AE3134="free","re-planting",IF(G3134=0,"",IF(PlanterYesMe="",IF(AE3134="me","   not ELP, by",IF(AE3134="",IF(G3134&gt;0,(VLOOKUP(A3134,'Discount Lookup'!J:K,2)*G3134*(1-PlanterDiscount)*(1+PlanterDifficultyPercentage)),""),"")),"   not ELP, by"))))))))))))))</f>
        <v/>
      </c>
      <c r="AD3134" s="712"/>
      <c r="AE3134" s="513" t="str">
        <f t="shared" si="2384"/>
        <v/>
      </c>
      <c r="AF3134" s="713" t="str">
        <f t="shared" si="2385"/>
        <v/>
      </c>
      <c r="AG3134" s="713"/>
      <c r="AH3134" s="713"/>
      <c r="AI3134" s="112">
        <f>IF(H3134="credit",0,IF(AE3134="free",0,IF(AE3134="me",0,IF(G3134&gt;0,(VLOOKUP(A3134,'Discount Lookup'!J:K,2)*G3134),0))))</f>
        <v>0</v>
      </c>
      <c r="AJ3134" s="107" t="str">
        <f t="shared" ca="1" si="2386"/>
        <v/>
      </c>
      <c r="AK3134" s="714" t="str">
        <f t="shared" si="2387"/>
        <v/>
      </c>
      <c r="AL3134" s="714"/>
      <c r="AM3134" s="114" t="str">
        <f t="shared" si="2388"/>
        <v/>
      </c>
      <c r="AN3134" s="115"/>
      <c r="AO3134" s="116"/>
      <c r="AP3134" s="116"/>
      <c r="AQ3134" s="116"/>
      <c r="AR3134" s="116"/>
      <c r="AS3134" s="116"/>
      <c r="AT3134" s="116"/>
      <c r="AU3134" s="116"/>
      <c r="AV3134" s="78"/>
      <c r="AW3134" s="102"/>
      <c r="AX3134" s="78"/>
      <c r="AY3134" s="78"/>
      <c r="AZ3134" s="78"/>
      <c r="BA3134" s="78"/>
      <c r="BB3134" s="78"/>
      <c r="BC3134" s="78"/>
      <c r="BD3134" s="78"/>
      <c r="BE3134" s="465"/>
      <c r="BF3134" s="165" t="str">
        <f t="shared" si="2389"/>
        <v>https://www.google.com/search?tbm=isch&amp;q=Ballerina%20Rose%20named%20for%20graceful%2C%20butterfly-like%2C%20flowers%20that%20dance%20on%20slender%20stems%20from%20spring%20until%20frost.%20Dark%20Burgundy-Green%20foliage%20</v>
      </c>
      <c r="BG3134" s="165" t="str">
        <f t="shared" si="2390"/>
        <v>B</v>
      </c>
      <c r="BH3134" s="65"/>
      <c r="BI3134" s="65"/>
      <c r="BJ3134" s="65"/>
      <c r="BK3134" s="65"/>
      <c r="BL3134" s="99"/>
      <c r="BM3134" s="99"/>
      <c r="BN3134" s="99"/>
    </row>
    <row r="3135" spans="1:66" s="51" customFormat="1" ht="19.5" thickBot="1" x14ac:dyDescent="0.3">
      <c r="A3135" s="686" t="s">
        <v>635</v>
      </c>
      <c r="B3135" s="73"/>
      <c r="C3135" s="708"/>
      <c r="D3135" s="73"/>
      <c r="E3135" s="73"/>
      <c r="F3135" s="496"/>
      <c r="G3135" s="73"/>
      <c r="H3135" s="73"/>
      <c r="I3135" s="73"/>
      <c r="J3135" s="497" t="s">
        <v>357</v>
      </c>
      <c r="K3135" s="498"/>
      <c r="L3135" s="562"/>
      <c r="M3135" s="73"/>
      <c r="N3135"/>
      <c r="O3135"/>
      <c r="P3135"/>
      <c r="Q3135"/>
      <c r="R3135"/>
      <c r="S3135"/>
      <c r="T3135" s="102">
        <f t="shared" si="2378"/>
        <v>0</v>
      </c>
      <c r="U3135" s="78" t="str">
        <f>IF(NOT(ISNUMBER(G3135)), "", VLOOKUP(A3135,'Discount Lookup'!D:E,2,FALSE)*G3135)</f>
        <v/>
      </c>
      <c r="V3135" s="78" t="str">
        <f>IF(NOT(ISNUMBER(G3135)), "", VLOOKUP(A3135,'Discount Lookup'!G:H,2,FALSE)*G3135)</f>
        <v/>
      </c>
      <c r="W3135" s="102">
        <f t="shared" si="2379"/>
        <v>0</v>
      </c>
      <c r="X3135" s="102">
        <f t="shared" si="2380"/>
        <v>0</v>
      </c>
      <c r="Y3135" s="120" t="b">
        <f t="shared" si="2381"/>
        <v>0</v>
      </c>
      <c r="Z3135" s="117">
        <f t="shared" si="2382"/>
        <v>0</v>
      </c>
      <c r="AA3135" s="118"/>
      <c r="AB3135" s="118" t="str">
        <f t="shared" si="2383"/>
        <v/>
      </c>
      <c r="AC3135" s="712" t="str">
        <f>IF(AE3135="T2G","no charge",IF(AND(OR(PlanterYesMe="No",PlanterYesMe="N",PlanterYesMe="me"),H3135=""),"",IF(H3135="credit","NO install",IF(AND(K3135="",AE3135="me"),"EACH row",IF(AND(K3135="images",AE3135="me"),"EACH row",IF(D3135="","",IF(H3135="credit","",IF(AE3135="free","re-planting",IF(AE3135="me","   not ELP, by",IF(AND(OR(PlanterYesMe="Yes",PlanterYesMe="Y"),G3135&gt;0),(VLOOKUP(A3135,'Discount Lookup'!J:K,2)*G3135*(1-PlanterDiscount)*(1+PlanterDifficultyPercentage)),IF(AE3135="ELP",(VLOOKUP(A3135,'Discount Lookup'!J:K,2)*G3135*(1-PlanterDiscount)*(1+PlanterDifficultyPercentage)),IF(AE3135="free","re-planting",IF(G3135=0,"",IF(PlanterYesMe="",IF(AE3135="me","   not ELP, by",IF(AE3135="",IF(G3135&gt;0,(VLOOKUP(A3135,'Discount Lookup'!J:K,2)*G3135*(1-PlanterDiscount)*(1+PlanterDifficultyPercentage)),""),"")),"   not ELP, by"))))))))))))))</f>
        <v/>
      </c>
      <c r="AD3135" s="712"/>
      <c r="AE3135" s="513" t="str">
        <f t="shared" si="2384"/>
        <v/>
      </c>
      <c r="AF3135" s="713" t="str">
        <f t="shared" si="2385"/>
        <v/>
      </c>
      <c r="AG3135" s="713"/>
      <c r="AH3135" s="713"/>
      <c r="AI3135" s="112">
        <f>IF(H3135="credit",0,IF(AE3135="free",0,IF(AE3135="me",0,IF(G3135&gt;0,(VLOOKUP(A3135,'Discount Lookup'!J:K,2)*G3135),0))))</f>
        <v>0</v>
      </c>
      <c r="AJ3135" s="107" t="str">
        <f t="shared" ca="1" si="2386"/>
        <v/>
      </c>
      <c r="AK3135" s="714" t="str">
        <f t="shared" si="2387"/>
        <v/>
      </c>
      <c r="AL3135" s="714"/>
      <c r="AM3135" s="114" t="str">
        <f t="shared" si="2388"/>
        <v/>
      </c>
      <c r="AN3135" s="115"/>
      <c r="AO3135" s="116"/>
      <c r="AP3135" s="116"/>
      <c r="AQ3135" s="116"/>
      <c r="AR3135" s="116"/>
      <c r="AS3135" s="116"/>
      <c r="AT3135" s="116"/>
      <c r="AU3135" s="116"/>
      <c r="AV3135" s="78"/>
      <c r="AW3135" s="102"/>
      <c r="AX3135" s="78"/>
      <c r="AY3135" s="78"/>
      <c r="AZ3135" s="78"/>
      <c r="BA3135" s="78"/>
      <c r="BB3135" s="78"/>
      <c r="BC3135" s="78"/>
      <c r="BD3135" s="78"/>
      <c r="BE3135" s="465"/>
      <c r="BF3135" s="165" t="str">
        <f t="shared" si="2389"/>
        <v>https://www.google.com/search?tbm=isch&amp;q=Ophiopogon%20%3D%20Mondo%20Grass%20</v>
      </c>
      <c r="BG3135" s="165" t="str">
        <f t="shared" si="2390"/>
        <v>O</v>
      </c>
      <c r="BH3135" s="65"/>
      <c r="BI3135" s="65"/>
      <c r="BJ3135" s="65"/>
      <c r="BK3135" s="65"/>
      <c r="BL3135" s="99"/>
      <c r="BM3135" s="99"/>
      <c r="BN3135" s="99"/>
    </row>
    <row r="3136" spans="1:66" s="51" customFormat="1" ht="18" x14ac:dyDescent="0.25">
      <c r="A3136" s="507" t="s">
        <v>3701</v>
      </c>
      <c r="B3136" s="470"/>
      <c r="C3136" s="706"/>
      <c r="D3136" s="471" t="s">
        <v>3702</v>
      </c>
      <c r="E3136" s="472"/>
      <c r="F3136" s="472"/>
      <c r="G3136" s="472"/>
      <c r="H3136" s="622" t="s">
        <v>3703</v>
      </c>
      <c r="I3136" s="473" t="s">
        <v>3704</v>
      </c>
      <c r="J3136" s="472"/>
      <c r="K3136" s="472"/>
      <c r="L3136" s="561"/>
      <c r="M3136" s="703" t="s">
        <v>5260</v>
      </c>
      <c r="N3136" s="692" t="str">
        <f>IF(AND(ISTEXT($A3136), ISERROR($A3136+0)), HYPERLINK($BF3136, "Images"), "")</f>
        <v>Images</v>
      </c>
      <c r="O3136" s="694" t="s">
        <v>5247</v>
      </c>
      <c r="P3136" s="475"/>
      <c r="Q3136" s="476"/>
      <c r="R3136" s="476"/>
      <c r="S3136" s="477"/>
      <c r="T3136" s="102">
        <f t="shared" si="2378"/>
        <v>0</v>
      </c>
      <c r="U3136" s="78" t="str">
        <f>IF(NOT(ISNUMBER(G3136)), "", VLOOKUP(A3136,'Discount Lookup'!D:E,2,FALSE)*G3136)</f>
        <v/>
      </c>
      <c r="V3136" s="78" t="str">
        <f>IF(NOT(ISNUMBER(G3136)), "", VLOOKUP(A3136,'Discount Lookup'!G:H,2,FALSE)*G3136)</f>
        <v/>
      </c>
      <c r="W3136" s="102">
        <f t="shared" si="2379"/>
        <v>0</v>
      </c>
      <c r="X3136" s="102" t="str">
        <f t="shared" si="2380"/>
        <v>Lavender-White</v>
      </c>
      <c r="Y3136" s="120" t="b">
        <f t="shared" si="2381"/>
        <v>0</v>
      </c>
      <c r="Z3136" s="117">
        <f t="shared" si="2382"/>
        <v>0</v>
      </c>
      <c r="AA3136" s="118"/>
      <c r="AB3136" s="118" t="str">
        <f t="shared" si="2383"/>
        <v/>
      </c>
      <c r="AC3136" s="712" t="str">
        <f>IF(AE3136="T2G","no charge",IF(AND(OR(PlanterYesMe="No",PlanterYesMe="N",PlanterYesMe="me"),H3136=""),"",IF(H3136="credit","NO install",IF(AND(K3136="",AE3136="me"),"EACH row",IF(AND(K3136="images",AE3136="me"),"EACH row",IF(D3136="","",IF(H3136="credit","",IF(AE3136="free","re-planting",IF(AE3136="me","   not ELP, by",IF(AND(OR(PlanterYesMe="Yes",PlanterYesMe="Y"),G3136&gt;0),(VLOOKUP(A3136,'Discount Lookup'!J:K,2)*G3136*(1-PlanterDiscount)*(1+PlanterDifficultyPercentage)),IF(AE3136="ELP",(VLOOKUP(A3136,'Discount Lookup'!J:K,2)*G3136*(1-PlanterDiscount)*(1+PlanterDifficultyPercentage)),IF(AE3136="free","re-planting",IF(G3136=0,"",IF(PlanterYesMe="",IF(AE3136="me","   not ELP, by",IF(AE3136="",IF(G3136&gt;0,(VLOOKUP(A3136,'Discount Lookup'!J:K,2)*G3136*(1-PlanterDiscount)*(1+PlanterDifficultyPercentage)),""),"")),"   not ELP, by"))))))))))))))</f>
        <v/>
      </c>
      <c r="AD3136" s="712"/>
      <c r="AE3136" s="513" t="str">
        <f t="shared" si="2384"/>
        <v/>
      </c>
      <c r="AF3136" s="713" t="str">
        <f t="shared" si="2385"/>
        <v/>
      </c>
      <c r="AG3136" s="713"/>
      <c r="AH3136" s="713"/>
      <c r="AI3136" s="112">
        <f>IF(H3136="credit",0,IF(AE3136="free",0,IF(AE3136="me",0,IF(G3136&gt;0,(VLOOKUP(A3136,'Discount Lookup'!J:K,2)*G3136),0))))</f>
        <v>0</v>
      </c>
      <c r="AJ3136" s="107" t="str">
        <f t="shared" ca="1" si="2386"/>
        <v/>
      </c>
      <c r="AK3136" s="714" t="str">
        <f t="shared" si="2387"/>
        <v/>
      </c>
      <c r="AL3136" s="714"/>
      <c r="AM3136" s="114" t="str">
        <f t="shared" si="2388"/>
        <v/>
      </c>
      <c r="AN3136" s="115"/>
      <c r="AO3136" s="116"/>
      <c r="AP3136" s="116"/>
      <c r="AQ3136" s="116"/>
      <c r="AR3136" s="116"/>
      <c r="AS3136" s="116"/>
      <c r="AT3136" s="116"/>
      <c r="AU3136" s="116"/>
      <c r="AV3136" s="78"/>
      <c r="AW3136" s="102"/>
      <c r="AX3136" s="78"/>
      <c r="AY3136" s="78"/>
      <c r="AZ3136" s="78"/>
      <c r="BA3136" s="78"/>
      <c r="BB3136" s="78"/>
      <c r="BC3136" s="78"/>
      <c r="BD3136" s="78"/>
      <c r="BE3136" s="465"/>
      <c r="BF3136" s="165" t="str">
        <f t="shared" si="2389"/>
        <v>https://www.google.com/search?tbm=isch&amp;q=Ophiopogon%20japonicus%20%27Nana%27%20PP%2315627%20Dwarf%20Black%20Mondo%20Grass</v>
      </c>
      <c r="BG3136" s="165" t="str">
        <f t="shared" si="2390"/>
        <v>O</v>
      </c>
      <c r="BH3136" s="65"/>
      <c r="BI3136" s="65"/>
      <c r="BJ3136" s="65"/>
      <c r="BK3136" s="65"/>
      <c r="BL3136" s="99"/>
      <c r="BM3136" s="99"/>
      <c r="BN3136" s="99"/>
    </row>
    <row r="3137" spans="1:66" s="51" customFormat="1" ht="15.75" x14ac:dyDescent="0.25">
      <c r="A3137" s="478">
        <v>1</v>
      </c>
      <c r="B3137" s="479" t="s">
        <v>291</v>
      </c>
      <c r="C3137" s="480" t="s">
        <v>3705</v>
      </c>
      <c r="D3137" s="481" t="s">
        <v>309</v>
      </c>
      <c r="E3137" s="482">
        <v>8.9499999999999993</v>
      </c>
      <c r="F3137" s="483" t="s">
        <v>292</v>
      </c>
      <c r="G3137" s="484">
        <v>0</v>
      </c>
      <c r="H3137" s="688" t="str">
        <f>IF(G3137=0,"",IF(F3137="Buy",IF(G3137=1,"plant","plants"),IF(F3137&gt;0.01,"warranty","Error")))</f>
        <v/>
      </c>
      <c r="I3137" s="485">
        <f>IF(H3137="free",0,IF(H3137="credit",((E3137*(F3137))*G3137*-1),IF(F3137="Buy",(E3137*G3137),((E3137*(1-F3137))*G3137))))</f>
        <v>0</v>
      </c>
      <c r="J3137" s="485">
        <f>IF(H3137="warranty",0,(I3137*(_xlfn.SINGLE(SalesTaxPercentage))))</f>
        <v>0</v>
      </c>
      <c r="K3137" s="715">
        <f t="shared" ref="K3137" si="2407">I3137+J3137</f>
        <v>0</v>
      </c>
      <c r="L3137" s="715"/>
      <c r="M3137" s="689" t="str">
        <f ca="1">IF(AND(G3137&gt;0,E3137=0),"WARNING - no PRICE inserted",IF(H3137="free","FREE ~ no charge this plant",IF(H3137="credit",CONCATENATE("-$",ROUND(K3137*(1-_xlfn.SINGLE(T2GDiscount))*-1,2)," CREDIT after discount"),IF(_xlfn.SINGLE(T2GDiscount)=0,"",IF(G3137=0,"",IF(F3137="Buy",CONCATENATE("$",ROUND(K3137*(1-_xlfn.SINGLE(T2GDiscount)),2)," with ",(_xlfn.SINGLE(T2GDiscount)*100),"% discount"),CONCATENATE("$",ROUND(K3137*(1-_xlfn.SINGLE(T2GDiscount)),2)," with ",((_xlfn.SINGLE(T2GDiscount)*100+F3137*100)-(_xlfn.SINGLE(T2GDiscount)*100*F3137)),IF(F3137&gt;0,"% discounts",IF(_xlfn.SINGLE(NoWarrantyDiscount)&gt;0,"% discounts","% discount")))))))))</f>
        <v/>
      </c>
      <c r="N3137" s="690"/>
      <c r="O3137" s="486"/>
      <c r="P3137" s="486"/>
      <c r="Q3137" s="486"/>
      <c r="R3137" s="486"/>
      <c r="S3137" s="486"/>
      <c r="T3137" s="102">
        <f t="shared" si="2378"/>
        <v>0</v>
      </c>
      <c r="U3137" s="78">
        <f>IF(NOT(ISNUMBER(G3137)), "", VLOOKUP(A3137,'Discount Lookup'!D:E,2,FALSE)*G3137)</f>
        <v>0</v>
      </c>
      <c r="V3137" s="78">
        <f>IF(NOT(ISNUMBER(G3137)), "", VLOOKUP(A3137,'Discount Lookup'!G:H,2,FALSE)*G3137)</f>
        <v>0</v>
      </c>
      <c r="W3137" s="102">
        <f t="shared" si="2379"/>
        <v>0</v>
      </c>
      <c r="X3137" s="102">
        <f t="shared" si="2380"/>
        <v>0</v>
      </c>
      <c r="Y3137" s="120" t="b">
        <f t="shared" si="2381"/>
        <v>0</v>
      </c>
      <c r="Z3137" s="117">
        <f t="shared" si="2382"/>
        <v>0</v>
      </c>
      <c r="AA3137" s="118"/>
      <c r="AB3137" s="118" t="str">
        <f t="shared" si="2383"/>
        <v/>
      </c>
      <c r="AC3137" s="712" t="str">
        <f>IF(AE3137="T2G","no charge",IF(AND(OR(PlanterYesMe="No",PlanterYesMe="N",PlanterYesMe="me"),H3137=""),"",IF(H3137="credit","NO install",IF(AND(K3137="",AE3137="me"),"EACH row",IF(AND(K3137="images",AE3137="me"),"EACH row",IF(D3137="","",IF(H3137="credit","",IF(AE3137="free","re-planting",IF(AE3137="me","   not ELP, by",IF(AND(OR(PlanterYesMe="Yes",PlanterYesMe="Y"),G3137&gt;0),(VLOOKUP(A3137,'Discount Lookup'!J:K,2)*G3137*(1-PlanterDiscount)*(1+PlanterDifficultyPercentage)),IF(AE3137="ELP",(VLOOKUP(A3137,'Discount Lookup'!J:K,2)*G3137*(1-PlanterDiscount)*(1+PlanterDifficultyPercentage)),IF(AE3137="free","re-planting",IF(G3137=0,"",IF(PlanterYesMe="",IF(AE3137="me","   not ELP, by",IF(AE3137="",IF(G3137&gt;0,(VLOOKUP(A3137,'Discount Lookup'!J:K,2)*G3137*(1-PlanterDiscount)*(1+PlanterDifficultyPercentage)),""),"")),"   not ELP, by"))))))))))))))</f>
        <v/>
      </c>
      <c r="AD3137" s="712"/>
      <c r="AE3137" s="513" t="str">
        <f t="shared" si="2384"/>
        <v/>
      </c>
      <c r="AF3137" s="713" t="str">
        <f t="shared" si="2385"/>
        <v/>
      </c>
      <c r="AG3137" s="713"/>
      <c r="AH3137" s="713"/>
      <c r="AI3137" s="112">
        <f>IF(H3137="credit",0,IF(AE3137="free",0,IF(AE3137="me",0,IF(G3137&gt;0,(VLOOKUP(A3137,'Discount Lookup'!J:K,2)*G3137),0))))</f>
        <v>0</v>
      </c>
      <c r="AJ3137" s="107" t="str">
        <f t="shared" ca="1" si="2386"/>
        <v/>
      </c>
      <c r="AK3137" s="714" t="str">
        <f t="shared" si="2387"/>
        <v/>
      </c>
      <c r="AL3137" s="714"/>
      <c r="AM3137" s="114" t="str">
        <f t="shared" si="2388"/>
        <v/>
      </c>
      <c r="AN3137" s="115"/>
      <c r="AO3137" s="116"/>
      <c r="AP3137" s="116"/>
      <c r="AQ3137" s="116"/>
      <c r="AR3137" s="116"/>
      <c r="AS3137" s="116"/>
      <c r="AT3137" s="116"/>
      <c r="AU3137" s="116"/>
      <c r="AV3137" s="78"/>
      <c r="AW3137" s="102"/>
      <c r="AX3137" s="78"/>
      <c r="AY3137" s="78"/>
      <c r="AZ3137" s="78"/>
      <c r="BA3137" s="78"/>
      <c r="BB3137" s="78"/>
      <c r="BC3137" s="78"/>
      <c r="BD3137" s="78"/>
      <c r="BE3137" s="465"/>
      <c r="BF3137" s="165" t="str">
        <f t="shared" si="2389"/>
        <v>https://www.google.com/search?tbm=isch&amp;q=1%20G3</v>
      </c>
      <c r="BG3137" s="165" t="str">
        <f t="shared" si="2390"/>
        <v>O</v>
      </c>
      <c r="BH3137" s="65"/>
      <c r="BI3137" s="65"/>
      <c r="BJ3137" s="65"/>
      <c r="BK3137" s="65"/>
      <c r="BL3137" s="99"/>
      <c r="BM3137" s="99"/>
      <c r="BN3137" s="99"/>
    </row>
    <row r="3138" spans="1:66" s="51" customFormat="1" ht="15.75" x14ac:dyDescent="0.25">
      <c r="A3138" s="478" t="s">
        <v>29</v>
      </c>
      <c r="B3138" s="479" t="s">
        <v>1446</v>
      </c>
      <c r="C3138" s="480"/>
      <c r="D3138" s="481" t="s">
        <v>329</v>
      </c>
      <c r="E3138" s="482">
        <v>62.95</v>
      </c>
      <c r="F3138" s="483" t="s">
        <v>292</v>
      </c>
      <c r="G3138" s="484">
        <v>0</v>
      </c>
      <c r="H3138" s="688" t="str">
        <f>IF(G3138=0,"",IF(F3138="Buy",IF(G3138=1,"plant","plants"),IF(F3138&gt;0.01,"warranty","Error")))</f>
        <v/>
      </c>
      <c r="I3138" s="485">
        <f>IF(H3138="free",0,IF(H3138="credit",((E3138*(F3138))*G3138*-1),IF(F3138="Buy",(E3138*G3138),((E3138*(1-F3138))*G3138))))</f>
        <v>0</v>
      </c>
      <c r="J3138" s="485">
        <f>IF(H3138="warranty",0,(I3138*(_xlfn.SINGLE(SalesTaxPercentage))))</f>
        <v>0</v>
      </c>
      <c r="K3138" s="715">
        <f t="shared" ref="K3138" si="2408">I3138+J3138</f>
        <v>0</v>
      </c>
      <c r="L3138" s="715"/>
      <c r="M3138" s="689" t="str">
        <f ca="1">IF(AND(G3138&gt;0,E3138=0),"WARNING - no PRICE inserted",IF(H3138="free","FREE ~ no charge this plant",IF(H3138="credit",CONCATENATE("-$",ROUND(K3138*(1-_xlfn.SINGLE(T2GDiscount))*-1,2)," CREDIT after discount"),IF(_xlfn.SINGLE(T2GDiscount)=0,"",IF(G3138=0,"",IF(F3138="Buy",CONCATENATE("$",ROUND(K3138*(1-_xlfn.SINGLE(T2GDiscount)),2)," with ",(_xlfn.SINGLE(T2GDiscount)*100),"% discount"),CONCATENATE("$",ROUND(K3138*(1-_xlfn.SINGLE(T2GDiscount)),2)," with ",((_xlfn.SINGLE(T2GDiscount)*100+F3138*100)-(_xlfn.SINGLE(T2GDiscount)*100*F3138)),IF(F3138&gt;0,"% discounts",IF(_xlfn.SINGLE(NoWarrantyDiscount)&gt;0,"% discounts","% discount")))))))))</f>
        <v/>
      </c>
      <c r="N3138" s="690"/>
      <c r="O3138" s="486"/>
      <c r="P3138" s="486"/>
      <c r="Q3138" s="486"/>
      <c r="R3138" s="486"/>
      <c r="S3138" s="486"/>
      <c r="T3138" s="102">
        <f t="shared" si="2378"/>
        <v>0</v>
      </c>
      <c r="U3138" s="78">
        <f>IF(NOT(ISNUMBER(G3138)), "", VLOOKUP(A3138,'Discount Lookup'!D:E,2,FALSE)*G3138)</f>
        <v>0</v>
      </c>
      <c r="V3138" s="78">
        <f>IF(NOT(ISNUMBER(G3138)), "", VLOOKUP(A3138,'Discount Lookup'!G:H,2,FALSE)*G3138)</f>
        <v>0</v>
      </c>
      <c r="W3138" s="102">
        <f t="shared" si="2379"/>
        <v>0</v>
      </c>
      <c r="X3138" s="102">
        <f t="shared" si="2380"/>
        <v>0</v>
      </c>
      <c r="Y3138" s="120" t="b">
        <f t="shared" si="2381"/>
        <v>0</v>
      </c>
      <c r="Z3138" s="117">
        <f t="shared" si="2382"/>
        <v>0</v>
      </c>
      <c r="AA3138" s="118"/>
      <c r="AB3138" s="118" t="str">
        <f t="shared" si="2383"/>
        <v/>
      </c>
      <c r="AC3138" s="712" t="str">
        <f>IF(AE3138="T2G","no charge",IF(AND(OR(PlanterYesMe="No",PlanterYesMe="N",PlanterYesMe="me"),H3138=""),"",IF(H3138="credit","NO install",IF(AND(K3138="",AE3138="me"),"EACH row",IF(AND(K3138="images",AE3138="me"),"EACH row",IF(D3138="","",IF(H3138="credit","",IF(AE3138="free","re-planting",IF(AE3138="me","   not ELP, by",IF(AND(OR(PlanterYesMe="Yes",PlanterYesMe="Y"),G3138&gt;0),(VLOOKUP(A3138,'Discount Lookup'!J:K,2)*G3138*(1-PlanterDiscount)*(1+PlanterDifficultyPercentage)),IF(AE3138="ELP",(VLOOKUP(A3138,'Discount Lookup'!J:K,2)*G3138*(1-PlanterDiscount)*(1+PlanterDifficultyPercentage)),IF(AE3138="free","re-planting",IF(G3138=0,"",IF(PlanterYesMe="",IF(AE3138="me","   not ELP, by",IF(AE3138="",IF(G3138&gt;0,(VLOOKUP(A3138,'Discount Lookup'!J:K,2)*G3138*(1-PlanterDiscount)*(1+PlanterDifficultyPercentage)),""),"")),"   not ELP, by"))))))))))))))</f>
        <v/>
      </c>
      <c r="AD3138" s="712"/>
      <c r="AE3138" s="513" t="str">
        <f t="shared" si="2384"/>
        <v/>
      </c>
      <c r="AF3138" s="713" t="str">
        <f t="shared" si="2385"/>
        <v/>
      </c>
      <c r="AG3138" s="713"/>
      <c r="AH3138" s="713"/>
      <c r="AI3138" s="112">
        <f>IF(H3138="credit",0,IF(AE3138="free",0,IF(AE3138="me",0,IF(G3138&gt;0,(VLOOKUP(A3138,'Discount Lookup'!J:K,2)*G3138),0))))</f>
        <v>0</v>
      </c>
      <c r="AJ3138" s="107" t="str">
        <f t="shared" ca="1" si="2386"/>
        <v/>
      </c>
      <c r="AK3138" s="714" t="str">
        <f t="shared" si="2387"/>
        <v/>
      </c>
      <c r="AL3138" s="714"/>
      <c r="AM3138" s="114" t="str">
        <f t="shared" si="2388"/>
        <v/>
      </c>
      <c r="AN3138" s="115"/>
      <c r="AO3138" s="116"/>
      <c r="AP3138" s="116"/>
      <c r="AQ3138" s="116"/>
      <c r="AR3138" s="116"/>
      <c r="AS3138" s="116"/>
      <c r="AT3138" s="116"/>
      <c r="AU3138" s="116"/>
      <c r="AV3138" s="78"/>
      <c r="AW3138" s="102"/>
      <c r="AX3138" s="78"/>
      <c r="AY3138" s="78"/>
      <c r="AZ3138" s="78"/>
      <c r="BA3138" s="78"/>
      <c r="BB3138" s="78"/>
      <c r="BC3138" s="78"/>
      <c r="BD3138" s="78"/>
      <c r="BE3138" s="465"/>
      <c r="BF3138" s="165" t="str">
        <f t="shared" si="2389"/>
        <v>https://www.google.com/search?tbm=isch&amp;q=18%20in%20G2</v>
      </c>
      <c r="BG3138" s="165" t="str">
        <f t="shared" si="2390"/>
        <v>1</v>
      </c>
      <c r="BH3138" s="65"/>
      <c r="BI3138" s="65"/>
      <c r="BJ3138" s="65"/>
      <c r="BK3138" s="65"/>
      <c r="BL3138" s="99"/>
      <c r="BM3138" s="99"/>
      <c r="BN3138" s="99"/>
    </row>
    <row r="3139" spans="1:66" s="51" customFormat="1" ht="15.75" x14ac:dyDescent="0.25">
      <c r="A3139" s="478">
        <v>4</v>
      </c>
      <c r="B3139" s="479" t="s">
        <v>291</v>
      </c>
      <c r="C3139" s="480" t="s">
        <v>3706</v>
      </c>
      <c r="D3139" s="481" t="s">
        <v>311</v>
      </c>
      <c r="E3139" s="482">
        <v>72.95</v>
      </c>
      <c r="F3139" s="483" t="s">
        <v>292</v>
      </c>
      <c r="G3139" s="484">
        <v>0</v>
      </c>
      <c r="H3139" s="688" t="str">
        <f>IF(G3139=0,"",IF(F3139="Buy",IF(G3139=1,"plant","plants"),IF(F3139&gt;0.01,"warranty","Error")))</f>
        <v/>
      </c>
      <c r="I3139" s="485">
        <f>IF(H3139="free",0,IF(H3139="credit",((E3139*(F3139))*G3139*-1),IF(F3139="Buy",(E3139*G3139),((E3139*(1-F3139))*G3139))))</f>
        <v>0</v>
      </c>
      <c r="J3139" s="485">
        <f>IF(H3139="warranty",0,(I3139*(_xlfn.SINGLE(SalesTaxPercentage))))</f>
        <v>0</v>
      </c>
      <c r="K3139" s="715">
        <f t="shared" ref="K3139" si="2409">I3139+J3139</f>
        <v>0</v>
      </c>
      <c r="L3139" s="715"/>
      <c r="M3139" s="689" t="str">
        <f ca="1">IF(AND(G3139&gt;0,E3139=0),"WARNING - no PRICE inserted",IF(H3139="free","FREE ~ no charge this plant",IF(H3139="credit",CONCATENATE("-$",ROUND(K3139*(1-_xlfn.SINGLE(T2GDiscount))*-1,2)," CREDIT after discount"),IF(_xlfn.SINGLE(T2GDiscount)=0,"",IF(G3139=0,"",IF(F3139="Buy",CONCATENATE("$",ROUND(K3139*(1-_xlfn.SINGLE(T2GDiscount)),2)," with ",(_xlfn.SINGLE(T2GDiscount)*100),"% discount"),CONCATENATE("$",ROUND(K3139*(1-_xlfn.SINGLE(T2GDiscount)),2)," with ",((_xlfn.SINGLE(T2GDiscount)*100+F3139*100)-(_xlfn.SINGLE(T2GDiscount)*100*F3139)),IF(F3139&gt;0,"% discounts",IF(_xlfn.SINGLE(NoWarrantyDiscount)&gt;0,"% discounts","% discount")))))))))</f>
        <v/>
      </c>
      <c r="N3139" s="690"/>
      <c r="O3139" s="486"/>
      <c r="P3139" s="486"/>
      <c r="Q3139" s="486"/>
      <c r="R3139" s="486"/>
      <c r="S3139" s="486"/>
      <c r="T3139" s="102">
        <f t="shared" si="2378"/>
        <v>0</v>
      </c>
      <c r="U3139" s="78">
        <f>IF(NOT(ISNUMBER(G3139)), "", VLOOKUP(A3139,'Discount Lookup'!D:E,2,FALSE)*G3139)</f>
        <v>0</v>
      </c>
      <c r="V3139" s="78">
        <f>IF(NOT(ISNUMBER(G3139)), "", VLOOKUP(A3139,'Discount Lookup'!G:H,2,FALSE)*G3139)</f>
        <v>0</v>
      </c>
      <c r="W3139" s="102">
        <f t="shared" si="2379"/>
        <v>0</v>
      </c>
      <c r="X3139" s="102">
        <f t="shared" si="2380"/>
        <v>0</v>
      </c>
      <c r="Y3139" s="120" t="b">
        <f t="shared" si="2381"/>
        <v>0</v>
      </c>
      <c r="Z3139" s="117">
        <f t="shared" si="2382"/>
        <v>0</v>
      </c>
      <c r="AA3139" s="118"/>
      <c r="AB3139" s="118" t="str">
        <f t="shared" si="2383"/>
        <v/>
      </c>
      <c r="AC3139" s="712" t="str">
        <f>IF(AE3139="T2G","no charge",IF(AND(OR(PlanterYesMe="No",PlanterYesMe="N",PlanterYesMe="me"),H3139=""),"",IF(H3139="credit","NO install",IF(AND(K3139="",AE3139="me"),"EACH row",IF(AND(K3139="images",AE3139="me"),"EACH row",IF(D3139="","",IF(H3139="credit","",IF(AE3139="free","re-planting",IF(AE3139="me","   not ELP, by",IF(AND(OR(PlanterYesMe="Yes",PlanterYesMe="Y"),G3139&gt;0),(VLOOKUP(A3139,'Discount Lookup'!J:K,2)*G3139*(1-PlanterDiscount)*(1+PlanterDifficultyPercentage)),IF(AE3139="ELP",(VLOOKUP(A3139,'Discount Lookup'!J:K,2)*G3139*(1-PlanterDiscount)*(1+PlanterDifficultyPercentage)),IF(AE3139="free","re-planting",IF(G3139=0,"",IF(PlanterYesMe="",IF(AE3139="me","   not ELP, by",IF(AE3139="",IF(G3139&gt;0,(VLOOKUP(A3139,'Discount Lookup'!J:K,2)*G3139*(1-PlanterDiscount)*(1+PlanterDifficultyPercentage)),""),"")),"   not ELP, by"))))))))))))))</f>
        <v/>
      </c>
      <c r="AD3139" s="712"/>
      <c r="AE3139" s="513" t="str">
        <f t="shared" si="2384"/>
        <v/>
      </c>
      <c r="AF3139" s="713" t="str">
        <f t="shared" si="2385"/>
        <v/>
      </c>
      <c r="AG3139" s="713"/>
      <c r="AH3139" s="713"/>
      <c r="AI3139" s="112">
        <f>IF(H3139="credit",0,IF(AE3139="free",0,IF(AE3139="me",0,IF(G3139&gt;0,(VLOOKUP(A3139,'Discount Lookup'!J:K,2)*G3139),0))))</f>
        <v>0</v>
      </c>
      <c r="AJ3139" s="107" t="str">
        <f t="shared" ca="1" si="2386"/>
        <v/>
      </c>
      <c r="AK3139" s="714" t="str">
        <f t="shared" si="2387"/>
        <v/>
      </c>
      <c r="AL3139" s="714"/>
      <c r="AM3139" s="114" t="str">
        <f t="shared" si="2388"/>
        <v/>
      </c>
      <c r="AN3139" s="115"/>
      <c r="AO3139" s="116"/>
      <c r="AP3139" s="116"/>
      <c r="AQ3139" s="116"/>
      <c r="AR3139" s="116"/>
      <c r="AS3139" s="116"/>
      <c r="AT3139" s="116"/>
      <c r="AU3139" s="116"/>
      <c r="AV3139" s="78"/>
      <c r="AW3139" s="102"/>
      <c r="AX3139" s="78"/>
      <c r="AY3139" s="78"/>
      <c r="AZ3139" s="78"/>
      <c r="BA3139" s="78"/>
      <c r="BB3139" s="78"/>
      <c r="BC3139" s="78"/>
      <c r="BD3139" s="78"/>
      <c r="BE3139" s="465"/>
      <c r="BF3139" s="165" t="str">
        <f t="shared" si="2389"/>
        <v>https://www.google.com/search?tbm=isch&amp;q=4%20G5</v>
      </c>
      <c r="BG3139" s="165" t="str">
        <f t="shared" si="2390"/>
        <v>1</v>
      </c>
      <c r="BH3139" s="65"/>
      <c r="BI3139" s="65"/>
      <c r="BJ3139" s="65"/>
      <c r="BK3139" s="65"/>
      <c r="BL3139" s="99"/>
      <c r="BM3139" s="99"/>
      <c r="BN3139" s="99"/>
    </row>
    <row r="3140" spans="1:66" s="51" customFormat="1" ht="15.75" x14ac:dyDescent="0.25">
      <c r="A3140" s="478">
        <v>4</v>
      </c>
      <c r="B3140" s="479" t="s">
        <v>291</v>
      </c>
      <c r="C3140" s="480" t="s">
        <v>1413</v>
      </c>
      <c r="D3140" s="481" t="s">
        <v>293</v>
      </c>
      <c r="E3140" s="482">
        <v>81.95</v>
      </c>
      <c r="F3140" s="483" t="s">
        <v>292</v>
      </c>
      <c r="G3140" s="484">
        <v>0</v>
      </c>
      <c r="H3140" s="688" t="str">
        <f>IF(G3140=0,"",IF(F3140="Buy",IF(G3140=1,"plant","plants"),IF(F3140&gt;0.01,"warranty","Error")))</f>
        <v/>
      </c>
      <c r="I3140" s="485">
        <f>IF(H3140="free",0,IF(H3140="credit",((E3140*(F3140))*G3140*-1),IF(F3140="Buy",(E3140*G3140),((E3140*(1-F3140))*G3140))))</f>
        <v>0</v>
      </c>
      <c r="J3140" s="485">
        <f>IF(H3140="warranty",0,(I3140*(_xlfn.SINGLE(SalesTaxPercentage))))</f>
        <v>0</v>
      </c>
      <c r="K3140" s="715">
        <f t="shared" ref="K3140" si="2410">I3140+J3140</f>
        <v>0</v>
      </c>
      <c r="L3140" s="715"/>
      <c r="M3140" s="689" t="str">
        <f ca="1">IF(AND(G3140&gt;0,E3140=0),"WARNING - no PRICE inserted",IF(H3140="free","FREE ~ no charge this plant",IF(H3140="credit",CONCATENATE("-$",ROUND(K3140*(1-_xlfn.SINGLE(T2GDiscount))*-1,2)," CREDIT after discount"),IF(_xlfn.SINGLE(T2GDiscount)=0,"",IF(G3140=0,"",IF(F3140="Buy",CONCATENATE("$",ROUND(K3140*(1-_xlfn.SINGLE(T2GDiscount)),2)," with ",(_xlfn.SINGLE(T2GDiscount)*100),"% discount"),CONCATENATE("$",ROUND(K3140*(1-_xlfn.SINGLE(T2GDiscount)),2)," with ",((_xlfn.SINGLE(T2GDiscount)*100+F3140*100)-(_xlfn.SINGLE(T2GDiscount)*100*F3140)),IF(F3140&gt;0,"% discounts",IF(_xlfn.SINGLE(NoWarrantyDiscount)&gt;0,"% discounts","% discount")))))))))</f>
        <v/>
      </c>
      <c r="N3140" s="690"/>
      <c r="O3140" s="486"/>
      <c r="P3140" s="486"/>
      <c r="Q3140" s="486"/>
      <c r="R3140" s="486"/>
      <c r="S3140" s="486"/>
      <c r="T3140" s="102">
        <f t="shared" si="2378"/>
        <v>0</v>
      </c>
      <c r="U3140" s="78">
        <f>IF(NOT(ISNUMBER(G3140)), "", VLOOKUP(A3140,'Discount Lookup'!D:E,2,FALSE)*G3140)</f>
        <v>0</v>
      </c>
      <c r="V3140" s="78">
        <f>IF(NOT(ISNUMBER(G3140)), "", VLOOKUP(A3140,'Discount Lookup'!G:H,2,FALSE)*G3140)</f>
        <v>0</v>
      </c>
      <c r="W3140" s="102">
        <f t="shared" si="2379"/>
        <v>0</v>
      </c>
      <c r="X3140" s="102">
        <f t="shared" si="2380"/>
        <v>0</v>
      </c>
      <c r="Y3140" s="120" t="b">
        <f t="shared" si="2381"/>
        <v>0</v>
      </c>
      <c r="Z3140" s="117">
        <f t="shared" si="2382"/>
        <v>0</v>
      </c>
      <c r="AA3140" s="118"/>
      <c r="AB3140" s="118" t="str">
        <f t="shared" si="2383"/>
        <v/>
      </c>
      <c r="AC3140" s="712" t="str">
        <f>IF(AE3140="T2G","no charge",IF(AND(OR(PlanterYesMe="No",PlanterYesMe="N",PlanterYesMe="me"),H3140=""),"",IF(H3140="credit","NO install",IF(AND(K3140="",AE3140="me"),"EACH row",IF(AND(K3140="images",AE3140="me"),"EACH row",IF(D3140="","",IF(H3140="credit","",IF(AE3140="free","re-planting",IF(AE3140="me","   not ELP, by",IF(AND(OR(PlanterYesMe="Yes",PlanterYesMe="Y"),G3140&gt;0),(VLOOKUP(A3140,'Discount Lookup'!J:K,2)*G3140*(1-PlanterDiscount)*(1+PlanterDifficultyPercentage)),IF(AE3140="ELP",(VLOOKUP(A3140,'Discount Lookup'!J:K,2)*G3140*(1-PlanterDiscount)*(1+PlanterDifficultyPercentage)),IF(AE3140="free","re-planting",IF(G3140=0,"",IF(PlanterYesMe="",IF(AE3140="me","   not ELP, by",IF(AE3140="",IF(G3140&gt;0,(VLOOKUP(A3140,'Discount Lookup'!J:K,2)*G3140*(1-PlanterDiscount)*(1+PlanterDifficultyPercentage)),""),"")),"   not ELP, by"))))))))))))))</f>
        <v/>
      </c>
      <c r="AD3140" s="712"/>
      <c r="AE3140" s="513" t="str">
        <f t="shared" si="2384"/>
        <v/>
      </c>
      <c r="AF3140" s="713" t="str">
        <f t="shared" si="2385"/>
        <v/>
      </c>
      <c r="AG3140" s="713"/>
      <c r="AH3140" s="713"/>
      <c r="AI3140" s="112">
        <f>IF(H3140="credit",0,IF(AE3140="free",0,IF(AE3140="me",0,IF(G3140&gt;0,(VLOOKUP(A3140,'Discount Lookup'!J:K,2)*G3140),0))))</f>
        <v>0</v>
      </c>
      <c r="AJ3140" s="107" t="str">
        <f t="shared" ca="1" si="2386"/>
        <v/>
      </c>
      <c r="AK3140" s="714" t="str">
        <f t="shared" si="2387"/>
        <v/>
      </c>
      <c r="AL3140" s="714"/>
      <c r="AM3140" s="114" t="str">
        <f t="shared" si="2388"/>
        <v/>
      </c>
      <c r="AN3140" s="115"/>
      <c r="AO3140" s="116"/>
      <c r="AP3140" s="116"/>
      <c r="AQ3140" s="116"/>
      <c r="AR3140" s="116"/>
      <c r="AS3140" s="116"/>
      <c r="AT3140" s="116"/>
      <c r="AU3140" s="116"/>
      <c r="AV3140" s="78"/>
      <c r="AW3140" s="102"/>
      <c r="AX3140" s="78"/>
      <c r="AY3140" s="78"/>
      <c r="AZ3140" s="78"/>
      <c r="BA3140" s="78"/>
      <c r="BB3140" s="78"/>
      <c r="BC3140" s="78"/>
      <c r="BD3140" s="78"/>
      <c r="BE3140" s="465"/>
      <c r="BF3140" s="165" t="str">
        <f t="shared" si="2389"/>
        <v>https://www.google.com/search?tbm=isch&amp;q=4%20G6</v>
      </c>
      <c r="BG3140" s="165" t="str">
        <f t="shared" si="2390"/>
        <v>1</v>
      </c>
      <c r="BH3140" s="65"/>
      <c r="BI3140" s="65"/>
      <c r="BJ3140" s="65"/>
      <c r="BK3140" s="65"/>
      <c r="BL3140" s="99"/>
      <c r="BM3140" s="99"/>
      <c r="BN3140" s="99"/>
    </row>
    <row r="3141" spans="1:66" s="51" customFormat="1" ht="16.5" thickBot="1" x14ac:dyDescent="0.3">
      <c r="A3141" s="705" t="s">
        <v>5496</v>
      </c>
      <c r="B3141" s="487"/>
      <c r="C3141" s="707"/>
      <c r="D3141" s="487"/>
      <c r="E3141" s="487"/>
      <c r="F3141" s="488"/>
      <c r="G3141" s="489"/>
      <c r="H3141" s="487"/>
      <c r="I3141" s="490"/>
      <c r="J3141" s="490"/>
      <c r="K3141" s="491"/>
      <c r="L3141" s="547"/>
      <c r="M3141" s="528"/>
      <c r="N3141" s="492"/>
      <c r="O3141" s="493"/>
      <c r="P3141" s="494"/>
      <c r="Q3141" s="492"/>
      <c r="R3141" s="492"/>
      <c r="S3141" s="495"/>
      <c r="T3141" s="102">
        <f t="shared" si="2378"/>
        <v>0</v>
      </c>
      <c r="U3141" s="78" t="str">
        <f>IF(NOT(ISNUMBER(G3141)), "", VLOOKUP(A3141,'Discount Lookup'!D:E,2,FALSE)*G3141)</f>
        <v/>
      </c>
      <c r="V3141" s="78" t="str">
        <f>IF(NOT(ISNUMBER(G3141)), "", VLOOKUP(A3141,'Discount Lookup'!G:H,2,FALSE)*G3141)</f>
        <v/>
      </c>
      <c r="W3141" s="102">
        <f t="shared" si="2379"/>
        <v>0</v>
      </c>
      <c r="X3141" s="102">
        <f t="shared" si="2380"/>
        <v>0</v>
      </c>
      <c r="Y3141" s="120" t="b">
        <f t="shared" si="2381"/>
        <v>0</v>
      </c>
      <c r="Z3141" s="117">
        <f t="shared" si="2382"/>
        <v>0</v>
      </c>
      <c r="AA3141" s="118"/>
      <c r="AB3141" s="118" t="str">
        <f t="shared" si="2383"/>
        <v/>
      </c>
      <c r="AC3141" s="712" t="str">
        <f>IF(AE3141="T2G","no charge",IF(AND(OR(PlanterYesMe="No",PlanterYesMe="N",PlanterYesMe="me"),H3141=""),"",IF(H3141="credit","NO install",IF(AND(K3141="",AE3141="me"),"EACH row",IF(AND(K3141="images",AE3141="me"),"EACH row",IF(D3141="","",IF(H3141="credit","",IF(AE3141="free","re-planting",IF(AE3141="me","   not ELP, by",IF(AND(OR(PlanterYesMe="Yes",PlanterYesMe="Y"),G3141&gt;0),(VLOOKUP(A3141,'Discount Lookup'!J:K,2)*G3141*(1-PlanterDiscount)*(1+PlanterDifficultyPercentage)),IF(AE3141="ELP",(VLOOKUP(A3141,'Discount Lookup'!J:K,2)*G3141*(1-PlanterDiscount)*(1+PlanterDifficultyPercentage)),IF(AE3141="free","re-planting",IF(G3141=0,"",IF(PlanterYesMe="",IF(AE3141="me","   not ELP, by",IF(AE3141="",IF(G3141&gt;0,(VLOOKUP(A3141,'Discount Lookup'!J:K,2)*G3141*(1-PlanterDiscount)*(1+PlanterDifficultyPercentage)),""),"")),"   not ELP, by"))))))))))))))</f>
        <v/>
      </c>
      <c r="AD3141" s="712"/>
      <c r="AE3141" s="513" t="str">
        <f t="shared" si="2384"/>
        <v/>
      </c>
      <c r="AF3141" s="713" t="str">
        <f t="shared" si="2385"/>
        <v/>
      </c>
      <c r="AG3141" s="713"/>
      <c r="AH3141" s="713"/>
      <c r="AI3141" s="112">
        <f>IF(H3141="credit",0,IF(AE3141="free",0,IF(AE3141="me",0,IF(G3141&gt;0,(VLOOKUP(A3141,'Discount Lookup'!J:K,2)*G3141),0))))</f>
        <v>0</v>
      </c>
      <c r="AJ3141" s="107" t="str">
        <f t="shared" ca="1" si="2386"/>
        <v/>
      </c>
      <c r="AK3141" s="714" t="str">
        <f t="shared" si="2387"/>
        <v/>
      </c>
      <c r="AL3141" s="714"/>
      <c r="AM3141" s="114" t="str">
        <f t="shared" si="2388"/>
        <v/>
      </c>
      <c r="AN3141" s="115"/>
      <c r="AO3141" s="116"/>
      <c r="AP3141" s="116"/>
      <c r="AQ3141" s="116"/>
      <c r="AR3141" s="116"/>
      <c r="AS3141" s="116"/>
      <c r="AT3141" s="116"/>
      <c r="AU3141" s="116"/>
      <c r="AV3141" s="78"/>
      <c r="AW3141" s="102"/>
      <c r="AX3141" s="78"/>
      <c r="AY3141" s="78"/>
      <c r="AZ3141" s="78"/>
      <c r="BA3141" s="78"/>
      <c r="BB3141" s="78"/>
      <c r="BC3141" s="78"/>
      <c r="BD3141" s="78"/>
      <c r="BE3141" s="465"/>
      <c r="BF3141" s="165" t="str">
        <f t="shared" si="2389"/>
        <v>https://www.google.com/search?tbm=isch&amp;q=moist%20sites%F0%9F%92%A7OK%2C%20Dwarf%20Black%20Mondo%20has%20very%20black%20foliage.%20Good%20grass%20substitute%2C%20as%20it%20tolerates%20foot%20traffic.%20Purple%20winter%20berries%20</v>
      </c>
      <c r="BG3141" s="165" t="str">
        <f t="shared" si="2390"/>
        <v>m</v>
      </c>
      <c r="BH3141" s="65"/>
      <c r="BI3141" s="65"/>
      <c r="BJ3141" s="65"/>
      <c r="BK3141" s="65"/>
      <c r="BL3141" s="99"/>
      <c r="BM3141" s="99"/>
      <c r="BN3141" s="99"/>
    </row>
    <row r="3142" spans="1:66" s="51" customFormat="1" ht="18" x14ac:dyDescent="0.25">
      <c r="A3142" s="507" t="s">
        <v>3707</v>
      </c>
      <c r="B3142" s="470"/>
      <c r="C3142" s="706"/>
      <c r="D3142" s="471" t="s">
        <v>3708</v>
      </c>
      <c r="E3142" s="472"/>
      <c r="F3142" s="472"/>
      <c r="G3142" s="472"/>
      <c r="H3142" s="622" t="s">
        <v>3709</v>
      </c>
      <c r="I3142" s="473" t="s">
        <v>3710</v>
      </c>
      <c r="J3142" s="472"/>
      <c r="K3142" s="472"/>
      <c r="L3142" s="561"/>
      <c r="M3142" s="698" t="s">
        <v>5246</v>
      </c>
      <c r="N3142" s="692" t="str">
        <f>IF(AND(ISTEXT($A3142), ISERROR($A3142+0)), HYPERLINK($BF3142, "Images"), "")</f>
        <v>Images</v>
      </c>
      <c r="O3142" s="694" t="s">
        <v>5247</v>
      </c>
      <c r="P3142" s="475"/>
      <c r="Q3142" s="476"/>
      <c r="R3142" s="476"/>
      <c r="S3142" s="477"/>
      <c r="T3142" s="102">
        <f t="shared" si="2378"/>
        <v>0</v>
      </c>
      <c r="U3142" s="78" t="str">
        <f>IF(NOT(ISNUMBER(G3142)), "", VLOOKUP(A3142,'Discount Lookup'!D:E,2,FALSE)*G3142)</f>
        <v/>
      </c>
      <c r="V3142" s="78" t="str">
        <f>IF(NOT(ISNUMBER(G3142)), "", VLOOKUP(A3142,'Discount Lookup'!G:H,2,FALSE)*G3142)</f>
        <v/>
      </c>
      <c r="W3142" s="102">
        <f t="shared" si="2379"/>
        <v>0</v>
      </c>
      <c r="X3142" s="102" t="str">
        <f t="shared" si="2380"/>
        <v>Pink-Lilac bloom</v>
      </c>
      <c r="Y3142" s="120" t="b">
        <f t="shared" si="2381"/>
        <v>0</v>
      </c>
      <c r="Z3142" s="117">
        <f t="shared" si="2382"/>
        <v>0</v>
      </c>
      <c r="AA3142" s="118"/>
      <c r="AB3142" s="118" t="str">
        <f t="shared" si="2383"/>
        <v/>
      </c>
      <c r="AC3142" s="712" t="str">
        <f>IF(AE3142="T2G","no charge",IF(AND(OR(PlanterYesMe="No",PlanterYesMe="N",PlanterYesMe="me"),H3142=""),"",IF(H3142="credit","NO install",IF(AND(K3142="",AE3142="me"),"EACH row",IF(AND(K3142="images",AE3142="me"),"EACH row",IF(D3142="","",IF(H3142="credit","",IF(AE3142="free","re-planting",IF(AE3142="me","   not ELP, by",IF(AND(OR(PlanterYesMe="Yes",PlanterYesMe="Y"),G3142&gt;0),(VLOOKUP(A3142,'Discount Lookup'!J:K,2)*G3142*(1-PlanterDiscount)*(1+PlanterDifficultyPercentage)),IF(AE3142="ELP",(VLOOKUP(A3142,'Discount Lookup'!J:K,2)*G3142*(1-PlanterDiscount)*(1+PlanterDifficultyPercentage)),IF(AE3142="free","re-planting",IF(G3142=0,"",IF(PlanterYesMe="",IF(AE3142="me","   not ELP, by",IF(AE3142="",IF(G3142&gt;0,(VLOOKUP(A3142,'Discount Lookup'!J:K,2)*G3142*(1-PlanterDiscount)*(1+PlanterDifficultyPercentage)),""),"")),"   not ELP, by"))))))))))))))</f>
        <v/>
      </c>
      <c r="AD3142" s="712"/>
      <c r="AE3142" s="513" t="str">
        <f t="shared" si="2384"/>
        <v/>
      </c>
      <c r="AF3142" s="713" t="str">
        <f t="shared" si="2385"/>
        <v/>
      </c>
      <c r="AG3142" s="713"/>
      <c r="AH3142" s="713"/>
      <c r="AI3142" s="112">
        <f>IF(H3142="credit",0,IF(AE3142="free",0,IF(AE3142="me",0,IF(G3142&gt;0,(VLOOKUP(A3142,'Discount Lookup'!J:K,2)*G3142),0))))</f>
        <v>0</v>
      </c>
      <c r="AJ3142" s="107" t="str">
        <f t="shared" ca="1" si="2386"/>
        <v/>
      </c>
      <c r="AK3142" s="714" t="str">
        <f t="shared" si="2387"/>
        <v/>
      </c>
      <c r="AL3142" s="714"/>
      <c r="AM3142" s="114" t="str">
        <f t="shared" si="2388"/>
        <v/>
      </c>
      <c r="AN3142" s="115"/>
      <c r="AO3142" s="116"/>
      <c r="AP3142" s="116"/>
      <c r="AQ3142" s="116"/>
      <c r="AR3142" s="116"/>
      <c r="AS3142" s="116"/>
      <c r="AT3142" s="116"/>
      <c r="AU3142" s="116"/>
      <c r="AV3142" s="78"/>
      <c r="AW3142" s="102"/>
      <c r="AX3142" s="78"/>
      <c r="AY3142" s="78"/>
      <c r="AZ3142" s="78"/>
      <c r="BA3142" s="78"/>
      <c r="BB3142" s="78"/>
      <c r="BC3142" s="78"/>
      <c r="BD3142" s="78"/>
      <c r="BE3142" s="465"/>
      <c r="BF3142" s="165" t="str">
        <f t="shared" si="2389"/>
        <v>https://www.google.com/search?tbm=isch&amp;q=Ophiopogon%20planiscapus%20%27Nigrescens%27%20Black%20Mondo%20Grass</v>
      </c>
      <c r="BG3142" s="165" t="str">
        <f t="shared" si="2390"/>
        <v>O</v>
      </c>
      <c r="BH3142" s="65"/>
      <c r="BI3142" s="65"/>
      <c r="BJ3142" s="65"/>
      <c r="BK3142" s="65"/>
      <c r="BL3142" s="99"/>
      <c r="BM3142" s="99"/>
      <c r="BN3142" s="99"/>
    </row>
    <row r="3143" spans="1:66" s="51" customFormat="1" ht="15.75" x14ac:dyDescent="0.25">
      <c r="A3143" s="478">
        <v>1</v>
      </c>
      <c r="B3143" s="479" t="s">
        <v>291</v>
      </c>
      <c r="C3143" s="480"/>
      <c r="D3143" s="481" t="s">
        <v>329</v>
      </c>
      <c r="E3143" s="482">
        <v>15.95</v>
      </c>
      <c r="F3143" s="483" t="s">
        <v>292</v>
      </c>
      <c r="G3143" s="484">
        <v>0</v>
      </c>
      <c r="H3143" s="688" t="str">
        <f>IF(G3143=0,"",IF(F3143="Buy",IF(G3143=1,"plant","plants"),IF(F3143&gt;0.01,"warranty","Error")))</f>
        <v/>
      </c>
      <c r="I3143" s="485">
        <f>IF(H3143="free",0,IF(H3143="credit",((E3143*(F3143))*G3143*-1),IF(F3143="Buy",(E3143*G3143),((E3143*(1-F3143))*G3143))))</f>
        <v>0</v>
      </c>
      <c r="J3143" s="485">
        <f>IF(H3143="warranty",0,(I3143*(_xlfn.SINGLE(SalesTaxPercentage))))</f>
        <v>0</v>
      </c>
      <c r="K3143" s="715">
        <f t="shared" ref="K3143" si="2411">I3143+J3143</f>
        <v>0</v>
      </c>
      <c r="L3143" s="715"/>
      <c r="M3143" s="689" t="str">
        <f ca="1">IF(AND(G3143&gt;0,E3143=0),"WARNING - no PRICE inserted",IF(H3143="free","FREE ~ no charge this plant",IF(H3143="credit",CONCATENATE("-$",ROUND(K3143*(1-_xlfn.SINGLE(T2GDiscount))*-1,2)," CREDIT after discount"),IF(_xlfn.SINGLE(T2GDiscount)=0,"",IF(G3143=0,"",IF(F3143="Buy",CONCATENATE("$",ROUND(K3143*(1-_xlfn.SINGLE(T2GDiscount)),2)," with ",(_xlfn.SINGLE(T2GDiscount)*100),"% discount"),CONCATENATE("$",ROUND(K3143*(1-_xlfn.SINGLE(T2GDiscount)),2)," with ",((_xlfn.SINGLE(T2GDiscount)*100+F3143*100)-(_xlfn.SINGLE(T2GDiscount)*100*F3143)),IF(F3143&gt;0,"% discounts",IF(_xlfn.SINGLE(NoWarrantyDiscount)&gt;0,"% discounts","% discount")))))))))</f>
        <v/>
      </c>
      <c r="N3143" s="690"/>
      <c r="O3143" s="486"/>
      <c r="P3143" s="486"/>
      <c r="Q3143" s="486"/>
      <c r="R3143" s="486"/>
      <c r="S3143" s="486"/>
      <c r="T3143" s="102">
        <f t="shared" si="2378"/>
        <v>0</v>
      </c>
      <c r="U3143" s="78">
        <f>IF(NOT(ISNUMBER(G3143)), "", VLOOKUP(A3143,'Discount Lookup'!D:E,2,FALSE)*G3143)</f>
        <v>0</v>
      </c>
      <c r="V3143" s="78">
        <f>IF(NOT(ISNUMBER(G3143)), "", VLOOKUP(A3143,'Discount Lookup'!G:H,2,FALSE)*G3143)</f>
        <v>0</v>
      </c>
      <c r="W3143" s="102">
        <f t="shared" si="2379"/>
        <v>0</v>
      </c>
      <c r="X3143" s="102">
        <f t="shared" si="2380"/>
        <v>0</v>
      </c>
      <c r="Y3143" s="120" t="b">
        <f t="shared" si="2381"/>
        <v>0</v>
      </c>
      <c r="Z3143" s="117">
        <f t="shared" si="2382"/>
        <v>0</v>
      </c>
      <c r="AA3143" s="118"/>
      <c r="AB3143" s="118" t="str">
        <f t="shared" si="2383"/>
        <v/>
      </c>
      <c r="AC3143" s="712" t="str">
        <f>IF(AE3143="T2G","no charge",IF(AND(OR(PlanterYesMe="No",PlanterYesMe="N",PlanterYesMe="me"),H3143=""),"",IF(H3143="credit","NO install",IF(AND(K3143="",AE3143="me"),"EACH row",IF(AND(K3143="images",AE3143="me"),"EACH row",IF(D3143="","",IF(H3143="credit","",IF(AE3143="free","re-planting",IF(AE3143="me","   not ELP, by",IF(AND(OR(PlanterYesMe="Yes",PlanterYesMe="Y"),G3143&gt;0),(VLOOKUP(A3143,'Discount Lookup'!J:K,2)*G3143*(1-PlanterDiscount)*(1+PlanterDifficultyPercentage)),IF(AE3143="ELP",(VLOOKUP(A3143,'Discount Lookup'!J:K,2)*G3143*(1-PlanterDiscount)*(1+PlanterDifficultyPercentage)),IF(AE3143="free","re-planting",IF(G3143=0,"",IF(PlanterYesMe="",IF(AE3143="me","   not ELP, by",IF(AE3143="",IF(G3143&gt;0,(VLOOKUP(A3143,'Discount Lookup'!J:K,2)*G3143*(1-PlanterDiscount)*(1+PlanterDifficultyPercentage)),""),"")),"   not ELP, by"))))))))))))))</f>
        <v/>
      </c>
      <c r="AD3143" s="712"/>
      <c r="AE3143" s="513" t="str">
        <f t="shared" si="2384"/>
        <v/>
      </c>
      <c r="AF3143" s="713" t="str">
        <f t="shared" si="2385"/>
        <v/>
      </c>
      <c r="AG3143" s="713"/>
      <c r="AH3143" s="713"/>
      <c r="AI3143" s="112">
        <f>IF(H3143="credit",0,IF(AE3143="free",0,IF(AE3143="me",0,IF(G3143&gt;0,(VLOOKUP(A3143,'Discount Lookup'!J:K,2)*G3143),0))))</f>
        <v>0</v>
      </c>
      <c r="AJ3143" s="107" t="str">
        <f t="shared" ca="1" si="2386"/>
        <v/>
      </c>
      <c r="AK3143" s="714" t="str">
        <f t="shared" si="2387"/>
        <v/>
      </c>
      <c r="AL3143" s="714"/>
      <c r="AM3143" s="114" t="str">
        <f t="shared" si="2388"/>
        <v/>
      </c>
      <c r="AN3143" s="115"/>
      <c r="AO3143" s="116"/>
      <c r="AP3143" s="116"/>
      <c r="AQ3143" s="116"/>
      <c r="AR3143" s="116"/>
      <c r="AS3143" s="116"/>
      <c r="AT3143" s="116"/>
      <c r="AU3143" s="116"/>
      <c r="AV3143" s="78"/>
      <c r="AW3143" s="102"/>
      <c r="AX3143" s="78"/>
      <c r="AY3143" s="78"/>
      <c r="AZ3143" s="78"/>
      <c r="BA3143" s="78"/>
      <c r="BB3143" s="78"/>
      <c r="BC3143" s="78"/>
      <c r="BD3143" s="78"/>
      <c r="BE3143" s="465"/>
      <c r="BF3143" s="165" t="str">
        <f t="shared" si="2389"/>
        <v>https://www.google.com/search?tbm=isch&amp;q=1%20G2</v>
      </c>
      <c r="BG3143" s="165" t="str">
        <f t="shared" si="2390"/>
        <v>O</v>
      </c>
      <c r="BH3143" s="65"/>
      <c r="BI3143" s="65"/>
      <c r="BJ3143" s="65"/>
      <c r="BK3143" s="65"/>
      <c r="BL3143" s="99"/>
      <c r="BM3143" s="99"/>
      <c r="BN3143" s="99"/>
    </row>
    <row r="3144" spans="1:66" s="51" customFormat="1" ht="15.75" x14ac:dyDescent="0.25">
      <c r="A3144" s="478">
        <v>1</v>
      </c>
      <c r="B3144" s="479" t="s">
        <v>291</v>
      </c>
      <c r="C3144" s="480" t="s">
        <v>4996</v>
      </c>
      <c r="D3144" s="481" t="s">
        <v>293</v>
      </c>
      <c r="E3144" s="482">
        <v>20.95</v>
      </c>
      <c r="F3144" s="483" t="s">
        <v>292</v>
      </c>
      <c r="G3144" s="484">
        <v>0</v>
      </c>
      <c r="H3144" s="688" t="str">
        <f>IF(G3144=0,"",IF(F3144="Buy",IF(G3144=1,"plant","plants"),IF(F3144&gt;0.01,"warranty","Error")))</f>
        <v/>
      </c>
      <c r="I3144" s="485">
        <f>IF(H3144="free",0,IF(H3144="credit",((E3144*(F3144))*G3144*-1),IF(F3144="Buy",(E3144*G3144),((E3144*(1-F3144))*G3144))))</f>
        <v>0</v>
      </c>
      <c r="J3144" s="485">
        <f>IF(H3144="warranty",0,(I3144*(_xlfn.SINGLE(SalesTaxPercentage))))</f>
        <v>0</v>
      </c>
      <c r="K3144" s="715">
        <f t="shared" ref="K3144" si="2412">I3144+J3144</f>
        <v>0</v>
      </c>
      <c r="L3144" s="715"/>
      <c r="M3144" s="689" t="str">
        <f ca="1">IF(AND(G3144&gt;0,E3144=0),"WARNING - no PRICE inserted",IF(H3144="free","FREE ~ no charge this plant",IF(H3144="credit",CONCATENATE("-$",ROUND(K3144*(1-_xlfn.SINGLE(T2GDiscount))*-1,2)," CREDIT after discount"),IF(_xlfn.SINGLE(T2GDiscount)=0,"",IF(G3144=0,"",IF(F3144="Buy",CONCATENATE("$",ROUND(K3144*(1-_xlfn.SINGLE(T2GDiscount)),2)," with ",(_xlfn.SINGLE(T2GDiscount)*100),"% discount"),CONCATENATE("$",ROUND(K3144*(1-_xlfn.SINGLE(T2GDiscount)),2)," with ",((_xlfn.SINGLE(T2GDiscount)*100+F3144*100)-(_xlfn.SINGLE(T2GDiscount)*100*F3144)),IF(F3144&gt;0,"% discounts",IF(_xlfn.SINGLE(NoWarrantyDiscount)&gt;0,"% discounts","% discount")))))))))</f>
        <v/>
      </c>
      <c r="N3144" s="690"/>
      <c r="O3144" s="486"/>
      <c r="P3144" s="486"/>
      <c r="Q3144" s="486"/>
      <c r="R3144" s="486"/>
      <c r="S3144" s="486"/>
      <c r="T3144" s="102">
        <f t="shared" si="2378"/>
        <v>0</v>
      </c>
      <c r="U3144" s="78">
        <f>IF(NOT(ISNUMBER(G3144)), "", VLOOKUP(A3144,'Discount Lookup'!D:E,2,FALSE)*G3144)</f>
        <v>0</v>
      </c>
      <c r="V3144" s="78">
        <f>IF(NOT(ISNUMBER(G3144)), "", VLOOKUP(A3144,'Discount Lookup'!G:H,2,FALSE)*G3144)</f>
        <v>0</v>
      </c>
      <c r="W3144" s="102">
        <f t="shared" si="2379"/>
        <v>0</v>
      </c>
      <c r="X3144" s="102">
        <f t="shared" si="2380"/>
        <v>0</v>
      </c>
      <c r="Y3144" s="120" t="b">
        <f t="shared" si="2381"/>
        <v>0</v>
      </c>
      <c r="Z3144" s="117">
        <f t="shared" si="2382"/>
        <v>0</v>
      </c>
      <c r="AA3144" s="118"/>
      <c r="AB3144" s="118" t="str">
        <f t="shared" si="2383"/>
        <v/>
      </c>
      <c r="AC3144" s="712" t="str">
        <f>IF(AE3144="T2G","no charge",IF(AND(OR(PlanterYesMe="No",PlanterYesMe="N",PlanterYesMe="me"),H3144=""),"",IF(H3144="credit","NO install",IF(AND(K3144="",AE3144="me"),"EACH row",IF(AND(K3144="images",AE3144="me"),"EACH row",IF(D3144="","",IF(H3144="credit","",IF(AE3144="free","re-planting",IF(AE3144="me","   not ELP, by",IF(AND(OR(PlanterYesMe="Yes",PlanterYesMe="Y"),G3144&gt;0),(VLOOKUP(A3144,'Discount Lookup'!J:K,2)*G3144*(1-PlanterDiscount)*(1+PlanterDifficultyPercentage)),IF(AE3144="ELP",(VLOOKUP(A3144,'Discount Lookup'!J:K,2)*G3144*(1-PlanterDiscount)*(1+PlanterDifficultyPercentage)),IF(AE3144="free","re-planting",IF(G3144=0,"",IF(PlanterYesMe="",IF(AE3144="me","   not ELP, by",IF(AE3144="",IF(G3144&gt;0,(VLOOKUP(A3144,'Discount Lookup'!J:K,2)*G3144*(1-PlanterDiscount)*(1+PlanterDifficultyPercentage)),""),"")),"   not ELP, by"))))))))))))))</f>
        <v/>
      </c>
      <c r="AD3144" s="712"/>
      <c r="AE3144" s="513" t="str">
        <f t="shared" si="2384"/>
        <v/>
      </c>
      <c r="AF3144" s="713" t="str">
        <f t="shared" si="2385"/>
        <v/>
      </c>
      <c r="AG3144" s="713"/>
      <c r="AH3144" s="713"/>
      <c r="AI3144" s="112">
        <f>IF(H3144="credit",0,IF(AE3144="free",0,IF(AE3144="me",0,IF(G3144&gt;0,(VLOOKUP(A3144,'Discount Lookup'!J:K,2)*G3144),0))))</f>
        <v>0</v>
      </c>
      <c r="AJ3144" s="107" t="str">
        <f t="shared" ca="1" si="2386"/>
        <v/>
      </c>
      <c r="AK3144" s="714" t="str">
        <f t="shared" si="2387"/>
        <v/>
      </c>
      <c r="AL3144" s="714"/>
      <c r="AM3144" s="114" t="str">
        <f t="shared" si="2388"/>
        <v/>
      </c>
      <c r="AN3144" s="115"/>
      <c r="AO3144" s="116"/>
      <c r="AP3144" s="116"/>
      <c r="AQ3144" s="116"/>
      <c r="AR3144" s="116"/>
      <c r="AS3144" s="116"/>
      <c r="AT3144" s="116"/>
      <c r="AU3144" s="116"/>
      <c r="AV3144" s="78"/>
      <c r="AW3144" s="102"/>
      <c r="AX3144" s="78"/>
      <c r="AY3144" s="78"/>
      <c r="AZ3144" s="78"/>
      <c r="BA3144" s="78"/>
      <c r="BB3144" s="78"/>
      <c r="BC3144" s="78"/>
      <c r="BD3144" s="78"/>
      <c r="BE3144" s="465"/>
      <c r="BF3144" s="165" t="str">
        <f t="shared" si="2389"/>
        <v>https://www.google.com/search?tbm=isch&amp;q=1%20G6</v>
      </c>
      <c r="BG3144" s="165" t="str">
        <f t="shared" si="2390"/>
        <v>O</v>
      </c>
      <c r="BH3144" s="65"/>
      <c r="BI3144" s="65"/>
      <c r="BJ3144" s="65"/>
      <c r="BK3144" s="65"/>
      <c r="BL3144" s="99"/>
      <c r="BM3144" s="99"/>
      <c r="BN3144" s="99"/>
    </row>
    <row r="3145" spans="1:66" s="51" customFormat="1" ht="15.75" x14ac:dyDescent="0.25">
      <c r="A3145" s="478">
        <v>2</v>
      </c>
      <c r="B3145" s="479" t="s">
        <v>291</v>
      </c>
      <c r="C3145" s="480" t="s">
        <v>3711</v>
      </c>
      <c r="D3145" s="481" t="s">
        <v>299</v>
      </c>
      <c r="E3145" s="482">
        <v>28.95</v>
      </c>
      <c r="F3145" s="483" t="s">
        <v>292</v>
      </c>
      <c r="G3145" s="484">
        <v>0</v>
      </c>
      <c r="H3145" s="688" t="str">
        <f>IF(G3145=0,"",IF(F3145="Buy",IF(G3145=1,"plant","plants"),IF(F3145&gt;0.01,"warranty","Error")))</f>
        <v/>
      </c>
      <c r="I3145" s="485">
        <f>IF(H3145="free",0,IF(H3145="credit",((E3145*(F3145))*G3145*-1),IF(F3145="Buy",(E3145*G3145),((E3145*(1-F3145))*G3145))))</f>
        <v>0</v>
      </c>
      <c r="J3145" s="485">
        <f>IF(H3145="warranty",0,(I3145*(_xlfn.SINGLE(SalesTaxPercentage))))</f>
        <v>0</v>
      </c>
      <c r="K3145" s="715">
        <f t="shared" ref="K3145" si="2413">I3145+J3145</f>
        <v>0</v>
      </c>
      <c r="L3145" s="715"/>
      <c r="M3145" s="689" t="str">
        <f ca="1">IF(AND(G3145&gt;0,E3145=0),"WARNING - no PRICE inserted",IF(H3145="free","FREE ~ no charge this plant",IF(H3145="credit",CONCATENATE("-$",ROUND(K3145*(1-_xlfn.SINGLE(T2GDiscount))*-1,2)," CREDIT after discount"),IF(_xlfn.SINGLE(T2GDiscount)=0,"",IF(G3145=0,"",IF(F3145="Buy",CONCATENATE("$",ROUND(K3145*(1-_xlfn.SINGLE(T2GDiscount)),2)," with ",(_xlfn.SINGLE(T2GDiscount)*100),"% discount"),CONCATENATE("$",ROUND(K3145*(1-_xlfn.SINGLE(T2GDiscount)),2)," with ",((_xlfn.SINGLE(T2GDiscount)*100+F3145*100)-(_xlfn.SINGLE(T2GDiscount)*100*F3145)),IF(F3145&gt;0,"% discounts",IF(_xlfn.SINGLE(NoWarrantyDiscount)&gt;0,"% discounts","% discount")))))))))</f>
        <v/>
      </c>
      <c r="N3145" s="690"/>
      <c r="O3145" s="486"/>
      <c r="P3145" s="486"/>
      <c r="Q3145" s="486"/>
      <c r="R3145" s="486"/>
      <c r="S3145" s="486"/>
      <c r="T3145" s="102">
        <f t="shared" si="2378"/>
        <v>0</v>
      </c>
      <c r="U3145" s="78">
        <f>IF(NOT(ISNUMBER(G3145)), "", VLOOKUP(A3145,'Discount Lookup'!D:E,2,FALSE)*G3145)</f>
        <v>0</v>
      </c>
      <c r="V3145" s="78">
        <f>IF(NOT(ISNUMBER(G3145)), "", VLOOKUP(A3145,'Discount Lookup'!G:H,2,FALSE)*G3145)</f>
        <v>0</v>
      </c>
      <c r="W3145" s="102">
        <f t="shared" si="2379"/>
        <v>0</v>
      </c>
      <c r="X3145" s="102">
        <f t="shared" si="2380"/>
        <v>0</v>
      </c>
      <c r="Y3145" s="120" t="b">
        <f t="shared" si="2381"/>
        <v>0</v>
      </c>
      <c r="Z3145" s="117">
        <f t="shared" si="2382"/>
        <v>0</v>
      </c>
      <c r="AA3145" s="118"/>
      <c r="AB3145" s="118" t="str">
        <f t="shared" si="2383"/>
        <v/>
      </c>
      <c r="AC3145" s="712" t="str">
        <f>IF(AE3145="T2G","no charge",IF(AND(OR(PlanterYesMe="No",PlanterYesMe="N",PlanterYesMe="me"),H3145=""),"",IF(H3145="credit","NO install",IF(AND(K3145="",AE3145="me"),"EACH row",IF(AND(K3145="images",AE3145="me"),"EACH row",IF(D3145="","",IF(H3145="credit","",IF(AE3145="free","re-planting",IF(AE3145="me","   not ELP, by",IF(AND(OR(PlanterYesMe="Yes",PlanterYesMe="Y"),G3145&gt;0),(VLOOKUP(A3145,'Discount Lookup'!J:K,2)*G3145*(1-PlanterDiscount)*(1+PlanterDifficultyPercentage)),IF(AE3145="ELP",(VLOOKUP(A3145,'Discount Lookup'!J:K,2)*G3145*(1-PlanterDiscount)*(1+PlanterDifficultyPercentage)),IF(AE3145="free","re-planting",IF(G3145=0,"",IF(PlanterYesMe="",IF(AE3145="me","   not ELP, by",IF(AE3145="",IF(G3145&gt;0,(VLOOKUP(A3145,'Discount Lookup'!J:K,2)*G3145*(1-PlanterDiscount)*(1+PlanterDifficultyPercentage)),""),"")),"   not ELP, by"))))))))))))))</f>
        <v/>
      </c>
      <c r="AD3145" s="712"/>
      <c r="AE3145" s="513" t="str">
        <f t="shared" si="2384"/>
        <v/>
      </c>
      <c r="AF3145" s="713" t="str">
        <f t="shared" si="2385"/>
        <v/>
      </c>
      <c r="AG3145" s="713"/>
      <c r="AH3145" s="713"/>
      <c r="AI3145" s="112">
        <f>IF(H3145="credit",0,IF(AE3145="free",0,IF(AE3145="me",0,IF(G3145&gt;0,(VLOOKUP(A3145,'Discount Lookup'!J:K,2)*G3145),0))))</f>
        <v>0</v>
      </c>
      <c r="AJ3145" s="107" t="str">
        <f t="shared" ca="1" si="2386"/>
        <v/>
      </c>
      <c r="AK3145" s="714" t="str">
        <f t="shared" si="2387"/>
        <v/>
      </c>
      <c r="AL3145" s="714"/>
      <c r="AM3145" s="114" t="str">
        <f t="shared" si="2388"/>
        <v/>
      </c>
      <c r="AN3145" s="115"/>
      <c r="AO3145" s="116"/>
      <c r="AP3145" s="116"/>
      <c r="AQ3145" s="116"/>
      <c r="AR3145" s="116"/>
      <c r="AS3145" s="116"/>
      <c r="AT3145" s="116"/>
      <c r="AU3145" s="116"/>
      <c r="AV3145" s="78"/>
      <c r="AW3145" s="102"/>
      <c r="AX3145" s="78"/>
      <c r="AY3145" s="78"/>
      <c r="AZ3145" s="78"/>
      <c r="BA3145" s="78"/>
      <c r="BB3145" s="78"/>
      <c r="BC3145" s="78"/>
      <c r="BD3145" s="78"/>
      <c r="BE3145" s="465"/>
      <c r="BF3145" s="165" t="str">
        <f t="shared" si="2389"/>
        <v>https://www.google.com/search?tbm=isch&amp;q=2%20G4</v>
      </c>
      <c r="BG3145" s="165" t="str">
        <f t="shared" si="2390"/>
        <v>O</v>
      </c>
      <c r="BH3145" s="65"/>
      <c r="BI3145" s="65"/>
      <c r="BJ3145" s="65"/>
      <c r="BK3145" s="65"/>
      <c r="BL3145" s="99"/>
      <c r="BM3145" s="99"/>
      <c r="BN3145" s="99"/>
    </row>
    <row r="3146" spans="1:66" s="51" customFormat="1" ht="15.75" x14ac:dyDescent="0.25">
      <c r="A3146" s="705" t="s">
        <v>5497</v>
      </c>
      <c r="B3146" s="487"/>
      <c r="C3146" s="707"/>
      <c r="D3146" s="487"/>
      <c r="E3146" s="487"/>
      <c r="F3146" s="488"/>
      <c r="G3146" s="489"/>
      <c r="H3146" s="487"/>
      <c r="I3146" s="490"/>
      <c r="J3146" s="490"/>
      <c r="K3146" s="491"/>
      <c r="L3146" s="547"/>
      <c r="M3146" s="528"/>
      <c r="N3146" s="492"/>
      <c r="O3146" s="493"/>
      <c r="P3146" s="494"/>
      <c r="Q3146" s="492"/>
      <c r="R3146" s="492"/>
      <c r="S3146" s="495"/>
      <c r="T3146" s="102">
        <f t="shared" si="2378"/>
        <v>0</v>
      </c>
      <c r="U3146" s="78" t="str">
        <f>IF(NOT(ISNUMBER(G3146)), "", VLOOKUP(A3146,'Discount Lookup'!D:E,2,FALSE)*G3146)</f>
        <v/>
      </c>
      <c r="V3146" s="78" t="str">
        <f>IF(NOT(ISNUMBER(G3146)), "", VLOOKUP(A3146,'Discount Lookup'!G:H,2,FALSE)*G3146)</f>
        <v/>
      </c>
      <c r="W3146" s="102">
        <f t="shared" si="2379"/>
        <v>0</v>
      </c>
      <c r="X3146" s="102">
        <f t="shared" si="2380"/>
        <v>0</v>
      </c>
      <c r="Y3146" s="120" t="b">
        <f t="shared" si="2381"/>
        <v>0</v>
      </c>
      <c r="Z3146" s="117">
        <f t="shared" si="2382"/>
        <v>0</v>
      </c>
      <c r="AA3146" s="118"/>
      <c r="AB3146" s="118" t="str">
        <f t="shared" si="2383"/>
        <v/>
      </c>
      <c r="AC3146" s="712" t="str">
        <f>IF(AE3146="T2G","no charge",IF(AND(OR(PlanterYesMe="No",PlanterYesMe="N",PlanterYesMe="me"),H3146=""),"",IF(H3146="credit","NO install",IF(AND(K3146="",AE3146="me"),"EACH row",IF(AND(K3146="images",AE3146="me"),"EACH row",IF(D3146="","",IF(H3146="credit","",IF(AE3146="free","re-planting",IF(AE3146="me","   not ELP, by",IF(AND(OR(PlanterYesMe="Yes",PlanterYesMe="Y"),G3146&gt;0),(VLOOKUP(A3146,'Discount Lookup'!J:K,2)*G3146*(1-PlanterDiscount)*(1+PlanterDifficultyPercentage)),IF(AE3146="ELP",(VLOOKUP(A3146,'Discount Lookup'!J:K,2)*G3146*(1-PlanterDiscount)*(1+PlanterDifficultyPercentage)),IF(AE3146="free","re-planting",IF(G3146=0,"",IF(PlanterYesMe="",IF(AE3146="me","   not ELP, by",IF(AE3146="",IF(G3146&gt;0,(VLOOKUP(A3146,'Discount Lookup'!J:K,2)*G3146*(1-PlanterDiscount)*(1+PlanterDifficultyPercentage)),""),"")),"   not ELP, by"))))))))))))))</f>
        <v/>
      </c>
      <c r="AD3146" s="712"/>
      <c r="AE3146" s="513" t="str">
        <f t="shared" si="2384"/>
        <v/>
      </c>
      <c r="AF3146" s="713" t="str">
        <f t="shared" si="2385"/>
        <v/>
      </c>
      <c r="AG3146" s="713"/>
      <c r="AH3146" s="713"/>
      <c r="AI3146" s="112">
        <f>IF(H3146="credit",0,IF(AE3146="free",0,IF(AE3146="me",0,IF(G3146&gt;0,(VLOOKUP(A3146,'Discount Lookup'!J:K,2)*G3146),0))))</f>
        <v>0</v>
      </c>
      <c r="AJ3146" s="107" t="str">
        <f t="shared" ca="1" si="2386"/>
        <v/>
      </c>
      <c r="AK3146" s="714" t="str">
        <f t="shared" si="2387"/>
        <v/>
      </c>
      <c r="AL3146" s="714"/>
      <c r="AM3146" s="114" t="str">
        <f t="shared" si="2388"/>
        <v/>
      </c>
      <c r="AN3146" s="115"/>
      <c r="AO3146" s="116"/>
      <c r="AP3146" s="116"/>
      <c r="AQ3146" s="116"/>
      <c r="AR3146" s="116"/>
      <c r="AS3146" s="116"/>
      <c r="AT3146" s="116"/>
      <c r="AU3146" s="116"/>
      <c r="AV3146" s="78"/>
      <c r="AW3146" s="102"/>
      <c r="AX3146" s="78"/>
      <c r="AY3146" s="78"/>
      <c r="AZ3146" s="78"/>
      <c r="BA3146" s="78"/>
      <c r="BB3146" s="78"/>
      <c r="BC3146" s="78"/>
      <c r="BD3146" s="78"/>
      <c r="BE3146" s="465"/>
      <c r="BF3146" s="165" t="str">
        <f t="shared" si="2389"/>
        <v>https://www.google.com/search?tbm=isch&amp;q=moist%20sites%F0%9F%92%A7OK%2C%20Black%20Mondo%20has%20blackest%20foliage%20of%20all%20perrenials.%20Grass%20substitute%2C%20as%20it%20tolerates%20foot%20traffic.%20Purple%20winter%20berries%20</v>
      </c>
      <c r="BG3146" s="165" t="str">
        <f t="shared" si="2390"/>
        <v>m</v>
      </c>
      <c r="BH3146" s="65"/>
      <c r="BI3146" s="65"/>
      <c r="BJ3146" s="65"/>
      <c r="BK3146" s="65"/>
      <c r="BL3146" s="99"/>
      <c r="BM3146" s="99"/>
      <c r="BN3146" s="99"/>
    </row>
    <row r="3147" spans="1:66" s="51" customFormat="1" ht="19.5" thickBot="1" x14ac:dyDescent="0.3">
      <c r="A3147" s="686" t="s">
        <v>636</v>
      </c>
      <c r="B3147" s="73"/>
      <c r="C3147" s="708"/>
      <c r="D3147" s="73"/>
      <c r="E3147" s="73"/>
      <c r="F3147" s="496"/>
      <c r="G3147" s="73"/>
      <c r="H3147" s="73"/>
      <c r="I3147" s="73"/>
      <c r="J3147" s="497" t="s">
        <v>357</v>
      </c>
      <c r="K3147" s="498"/>
      <c r="L3147" s="562"/>
      <c r="M3147" s="73"/>
      <c r="N3147"/>
      <c r="O3147"/>
      <c r="P3147"/>
      <c r="Q3147"/>
      <c r="R3147"/>
      <c r="S3147"/>
      <c r="T3147" s="102">
        <f t="shared" si="2378"/>
        <v>0</v>
      </c>
      <c r="U3147" s="78" t="str">
        <f>IF(NOT(ISNUMBER(G3147)), "", VLOOKUP(A3147,'Discount Lookup'!D:E,2,FALSE)*G3147)</f>
        <v/>
      </c>
      <c r="V3147" s="78" t="str">
        <f>IF(NOT(ISNUMBER(G3147)), "", VLOOKUP(A3147,'Discount Lookup'!G:H,2,FALSE)*G3147)</f>
        <v/>
      </c>
      <c r="W3147" s="102">
        <f t="shared" si="2379"/>
        <v>0</v>
      </c>
      <c r="X3147" s="102">
        <f t="shared" si="2380"/>
        <v>0</v>
      </c>
      <c r="Y3147" s="120" t="b">
        <f t="shared" si="2381"/>
        <v>0</v>
      </c>
      <c r="Z3147" s="117">
        <f t="shared" si="2382"/>
        <v>0</v>
      </c>
      <c r="AA3147" s="118"/>
      <c r="AB3147" s="118" t="str">
        <f t="shared" si="2383"/>
        <v/>
      </c>
      <c r="AC3147" s="712" t="str">
        <f>IF(AE3147="T2G","no charge",IF(AND(OR(PlanterYesMe="No",PlanterYesMe="N",PlanterYesMe="me"),H3147=""),"",IF(H3147="credit","NO install",IF(AND(K3147="",AE3147="me"),"EACH row",IF(AND(K3147="images",AE3147="me"),"EACH row",IF(D3147="","",IF(H3147="credit","",IF(AE3147="free","re-planting",IF(AE3147="me","   not ELP, by",IF(AND(OR(PlanterYesMe="Yes",PlanterYesMe="Y"),G3147&gt;0),(VLOOKUP(A3147,'Discount Lookup'!J:K,2)*G3147*(1-PlanterDiscount)*(1+PlanterDifficultyPercentage)),IF(AE3147="ELP",(VLOOKUP(A3147,'Discount Lookup'!J:K,2)*G3147*(1-PlanterDiscount)*(1+PlanterDifficultyPercentage)),IF(AE3147="free","re-planting",IF(G3147=0,"",IF(PlanterYesMe="",IF(AE3147="me","   not ELP, by",IF(AE3147="",IF(G3147&gt;0,(VLOOKUP(A3147,'Discount Lookup'!J:K,2)*G3147*(1-PlanterDiscount)*(1+PlanterDifficultyPercentage)),""),"")),"   not ELP, by"))))))))))))))</f>
        <v/>
      </c>
      <c r="AD3147" s="712"/>
      <c r="AE3147" s="513" t="str">
        <f t="shared" si="2384"/>
        <v/>
      </c>
      <c r="AF3147" s="713" t="str">
        <f t="shared" si="2385"/>
        <v/>
      </c>
      <c r="AG3147" s="713"/>
      <c r="AH3147" s="713"/>
      <c r="AI3147" s="112">
        <f>IF(H3147="credit",0,IF(AE3147="free",0,IF(AE3147="me",0,IF(G3147&gt;0,(VLOOKUP(A3147,'Discount Lookup'!J:K,2)*G3147),0))))</f>
        <v>0</v>
      </c>
      <c r="AJ3147" s="107" t="str">
        <f t="shared" ca="1" si="2386"/>
        <v/>
      </c>
      <c r="AK3147" s="714" t="str">
        <f t="shared" si="2387"/>
        <v/>
      </c>
      <c r="AL3147" s="714"/>
      <c r="AM3147" s="114" t="str">
        <f t="shared" si="2388"/>
        <v/>
      </c>
      <c r="AN3147" s="115"/>
      <c r="AO3147" s="116"/>
      <c r="AP3147" s="116"/>
      <c r="AQ3147" s="116"/>
      <c r="AR3147" s="116"/>
      <c r="AS3147" s="116"/>
      <c r="AT3147" s="116"/>
      <c r="AU3147" s="116"/>
      <c r="AV3147" s="78"/>
      <c r="AW3147" s="102"/>
      <c r="AX3147" s="78"/>
      <c r="AY3147" s="78"/>
      <c r="AZ3147" s="78"/>
      <c r="BA3147" s="78"/>
      <c r="BB3147" s="78"/>
      <c r="BC3147" s="78"/>
      <c r="BD3147" s="78"/>
      <c r="BE3147" s="465"/>
      <c r="BF3147" s="165" t="str">
        <f t="shared" si="2389"/>
        <v>https://www.google.com/search?tbm=isch&amp;q=Osmanthus%20%3D%20Tea%20Olive%20</v>
      </c>
      <c r="BG3147" s="165" t="str">
        <f t="shared" si="2390"/>
        <v>O</v>
      </c>
      <c r="BH3147" s="65"/>
      <c r="BI3147" s="65"/>
      <c r="BJ3147" s="65"/>
      <c r="BK3147" s="65"/>
      <c r="BL3147" s="99"/>
      <c r="BM3147" s="99"/>
      <c r="BN3147" s="99"/>
    </row>
    <row r="3148" spans="1:66" s="51" customFormat="1" ht="18" x14ac:dyDescent="0.25">
      <c r="A3148" s="507" t="s">
        <v>637</v>
      </c>
      <c r="B3148" s="470"/>
      <c r="C3148" s="706"/>
      <c r="D3148" s="471" t="s">
        <v>638</v>
      </c>
      <c r="E3148" s="472"/>
      <c r="F3148" s="472"/>
      <c r="G3148" s="472"/>
      <c r="H3148" s="622" t="s">
        <v>327</v>
      </c>
      <c r="I3148" s="473" t="s">
        <v>349</v>
      </c>
      <c r="J3148" s="472"/>
      <c r="K3148" s="472"/>
      <c r="L3148" s="561"/>
      <c r="M3148" s="698" t="s">
        <v>5246</v>
      </c>
      <c r="N3148" s="692" t="str">
        <f>IF(AND(ISTEXT($A3148), ISERROR($A3148+0)), HYPERLINK($BF3148, "Images"), "")</f>
        <v>Images</v>
      </c>
      <c r="O3148" s="694" t="s">
        <v>5244</v>
      </c>
      <c r="P3148" s="475"/>
      <c r="Q3148" s="476"/>
      <c r="R3148" s="476"/>
      <c r="S3148" s="477"/>
      <c r="T3148" s="102">
        <f t="shared" si="2378"/>
        <v>0</v>
      </c>
      <c r="U3148" s="78" t="str">
        <f>IF(NOT(ISNUMBER(G3148)), "", VLOOKUP(A3148,'Discount Lookup'!D:E,2,FALSE)*G3148)</f>
        <v/>
      </c>
      <c r="V3148" s="78" t="str">
        <f>IF(NOT(ISNUMBER(G3148)), "", VLOOKUP(A3148,'Discount Lookup'!G:H,2,FALSE)*G3148)</f>
        <v/>
      </c>
      <c r="W3148" s="102">
        <f t="shared" si="2379"/>
        <v>0</v>
      </c>
      <c r="X3148" s="102" t="str">
        <f t="shared" si="2380"/>
        <v>White bloom</v>
      </c>
      <c r="Y3148" s="120" t="b">
        <f t="shared" si="2381"/>
        <v>0</v>
      </c>
      <c r="Z3148" s="117">
        <f t="shared" si="2382"/>
        <v>0</v>
      </c>
      <c r="AA3148" s="118"/>
      <c r="AB3148" s="118" t="str">
        <f t="shared" si="2383"/>
        <v/>
      </c>
      <c r="AC3148" s="712" t="str">
        <f>IF(AE3148="T2G","no charge",IF(AND(OR(PlanterYesMe="No",PlanterYesMe="N",PlanterYesMe="me"),H3148=""),"",IF(H3148="credit","NO install",IF(AND(K3148="",AE3148="me"),"EACH row",IF(AND(K3148="images",AE3148="me"),"EACH row",IF(D3148="","",IF(H3148="credit","",IF(AE3148="free","re-planting",IF(AE3148="me","   not ELP, by",IF(AND(OR(PlanterYesMe="Yes",PlanterYesMe="Y"),G3148&gt;0),(VLOOKUP(A3148,'Discount Lookup'!J:K,2)*G3148*(1-PlanterDiscount)*(1+PlanterDifficultyPercentage)),IF(AE3148="ELP",(VLOOKUP(A3148,'Discount Lookup'!J:K,2)*G3148*(1-PlanterDiscount)*(1+PlanterDifficultyPercentage)),IF(AE3148="free","re-planting",IF(G3148=0,"",IF(PlanterYesMe="",IF(AE3148="me","   not ELP, by",IF(AE3148="",IF(G3148&gt;0,(VLOOKUP(A3148,'Discount Lookup'!J:K,2)*G3148*(1-PlanterDiscount)*(1+PlanterDifficultyPercentage)),""),"")),"   not ELP, by"))))))))))))))</f>
        <v/>
      </c>
      <c r="AD3148" s="712"/>
      <c r="AE3148" s="513" t="str">
        <f t="shared" si="2384"/>
        <v/>
      </c>
      <c r="AF3148" s="713" t="str">
        <f t="shared" si="2385"/>
        <v/>
      </c>
      <c r="AG3148" s="713"/>
      <c r="AH3148" s="713"/>
      <c r="AI3148" s="112">
        <f>IF(H3148="credit",0,IF(AE3148="free",0,IF(AE3148="me",0,IF(G3148&gt;0,(VLOOKUP(A3148,'Discount Lookup'!J:K,2)*G3148),0))))</f>
        <v>0</v>
      </c>
      <c r="AJ3148" s="107" t="str">
        <f t="shared" ca="1" si="2386"/>
        <v/>
      </c>
      <c r="AK3148" s="714" t="str">
        <f t="shared" si="2387"/>
        <v/>
      </c>
      <c r="AL3148" s="714"/>
      <c r="AM3148" s="114" t="str">
        <f t="shared" si="2388"/>
        <v/>
      </c>
      <c r="AN3148" s="115"/>
      <c r="AO3148" s="116"/>
      <c r="AP3148" s="116"/>
      <c r="AQ3148" s="116"/>
      <c r="AR3148" s="116"/>
      <c r="AS3148" s="116"/>
      <c r="AT3148" s="116"/>
      <c r="AU3148" s="116"/>
      <c r="AV3148" s="78"/>
      <c r="AW3148" s="102"/>
      <c r="AX3148" s="78"/>
      <c r="AY3148" s="78"/>
      <c r="AZ3148" s="78"/>
      <c r="BA3148" s="78"/>
      <c r="BB3148" s="78"/>
      <c r="BC3148" s="78"/>
      <c r="BD3148" s="78"/>
      <c r="BE3148" s="465"/>
      <c r="BF3148" s="165" t="str">
        <f t="shared" si="2389"/>
        <v>https://www.google.com/search?tbm=isch&amp;q=Osmanthus%20fragrans%20Fragrant%20Tea%20Olive</v>
      </c>
      <c r="BG3148" s="165" t="str">
        <f t="shared" si="2390"/>
        <v>O</v>
      </c>
      <c r="BH3148" s="65"/>
      <c r="BI3148" s="65"/>
      <c r="BJ3148" s="65"/>
      <c r="BK3148" s="65"/>
      <c r="BL3148" s="99"/>
      <c r="BM3148" s="99"/>
      <c r="BN3148" s="99"/>
    </row>
    <row r="3149" spans="1:66" s="51" customFormat="1" ht="15.75" x14ac:dyDescent="0.25">
      <c r="A3149" s="478">
        <v>3</v>
      </c>
      <c r="B3149" s="479" t="s">
        <v>291</v>
      </c>
      <c r="C3149" s="480"/>
      <c r="D3149" s="481" t="s">
        <v>310</v>
      </c>
      <c r="E3149" s="482">
        <v>25.95</v>
      </c>
      <c r="F3149" s="483" t="s">
        <v>292</v>
      </c>
      <c r="G3149" s="484">
        <v>0</v>
      </c>
      <c r="H3149" s="688" t="str">
        <f t="shared" ref="H3149:H3157" si="2414">IF(G3149=0,"",IF(F3149="Buy",IF(G3149=1,"plant","plants"),IF(F3149&gt;0.01,"warranty","Error")))</f>
        <v/>
      </c>
      <c r="I3149" s="485">
        <f t="shared" ref="I3149:I3157" si="2415">IF(H3149="free",0,IF(H3149="credit",((E3149*(F3149))*G3149*-1),IF(F3149="Buy",(E3149*G3149),((E3149*(1-F3149))*G3149))))</f>
        <v>0</v>
      </c>
      <c r="J3149" s="485">
        <f t="shared" ref="J3149:J3157" si="2416">IF(H3149="warranty",0,(I3149*(_xlfn.SINGLE(SalesTaxPercentage))))</f>
        <v>0</v>
      </c>
      <c r="K3149" s="715">
        <f t="shared" ref="K3149" si="2417">I3149+J3149</f>
        <v>0</v>
      </c>
      <c r="L3149" s="715"/>
      <c r="M3149" s="689" t="str">
        <f t="shared" ref="M3149:M3157" ca="1" si="2418">IF(AND(G3149&gt;0,E3149=0),"WARNING - no PRICE inserted",IF(H3149="free","FREE ~ no charge this plant",IF(H3149="credit",CONCATENATE("-$",ROUND(K3149*(1-_xlfn.SINGLE(T2GDiscount))*-1,2)," CREDIT after discount"),IF(_xlfn.SINGLE(T2GDiscount)=0,"",IF(G3149=0,"",IF(F3149="Buy",CONCATENATE("$",ROUND(K3149*(1-_xlfn.SINGLE(T2GDiscount)),2)," with ",(_xlfn.SINGLE(T2GDiscount)*100),"% discount"),CONCATENATE("$",ROUND(K3149*(1-_xlfn.SINGLE(T2GDiscount)),2)," with ",((_xlfn.SINGLE(T2GDiscount)*100+F3149*100)-(_xlfn.SINGLE(T2GDiscount)*100*F3149)),IF(F3149&gt;0,"% discounts",IF(_xlfn.SINGLE(NoWarrantyDiscount)&gt;0,"% discounts","% discount")))))))))</f>
        <v/>
      </c>
      <c r="N3149" s="690"/>
      <c r="O3149" s="486"/>
      <c r="P3149" s="486"/>
      <c r="Q3149" s="486"/>
      <c r="R3149" s="486"/>
      <c r="S3149" s="486"/>
      <c r="T3149" s="102">
        <f t="shared" si="2378"/>
        <v>0</v>
      </c>
      <c r="U3149" s="78">
        <f>IF(NOT(ISNUMBER(G3149)), "", VLOOKUP(A3149,'Discount Lookup'!D:E,2,FALSE)*G3149)</f>
        <v>0</v>
      </c>
      <c r="V3149" s="78">
        <f>IF(NOT(ISNUMBER(G3149)), "", VLOOKUP(A3149,'Discount Lookup'!G:H,2,FALSE)*G3149)</f>
        <v>0</v>
      </c>
      <c r="W3149" s="102">
        <f t="shared" si="2379"/>
        <v>0</v>
      </c>
      <c r="X3149" s="102">
        <f t="shared" si="2380"/>
        <v>0</v>
      </c>
      <c r="Y3149" s="120" t="b">
        <f t="shared" si="2381"/>
        <v>0</v>
      </c>
      <c r="Z3149" s="117">
        <f t="shared" si="2382"/>
        <v>0</v>
      </c>
      <c r="AA3149" s="118"/>
      <c r="AB3149" s="118" t="str">
        <f t="shared" si="2383"/>
        <v/>
      </c>
      <c r="AC3149" s="712" t="str">
        <f>IF(AE3149="T2G","no charge",IF(AND(OR(PlanterYesMe="No",PlanterYesMe="N",PlanterYesMe="me"),H3149=""),"",IF(H3149="credit","NO install",IF(AND(K3149="",AE3149="me"),"EACH row",IF(AND(K3149="images",AE3149="me"),"EACH row",IF(D3149="","",IF(H3149="credit","",IF(AE3149="free","re-planting",IF(AE3149="me","   not ELP, by",IF(AND(OR(PlanterYesMe="Yes",PlanterYesMe="Y"),G3149&gt;0),(VLOOKUP(A3149,'Discount Lookup'!J:K,2)*G3149*(1-PlanterDiscount)*(1+PlanterDifficultyPercentage)),IF(AE3149="ELP",(VLOOKUP(A3149,'Discount Lookup'!J:K,2)*G3149*(1-PlanterDiscount)*(1+PlanterDifficultyPercentage)),IF(AE3149="free","re-planting",IF(G3149=0,"",IF(PlanterYesMe="",IF(AE3149="me","   not ELP, by",IF(AE3149="",IF(G3149&gt;0,(VLOOKUP(A3149,'Discount Lookup'!J:K,2)*G3149*(1-PlanterDiscount)*(1+PlanterDifficultyPercentage)),""),"")),"   not ELP, by"))))))))))))))</f>
        <v/>
      </c>
      <c r="AD3149" s="712"/>
      <c r="AE3149" s="513" t="str">
        <f t="shared" si="2384"/>
        <v/>
      </c>
      <c r="AF3149" s="713" t="str">
        <f t="shared" si="2385"/>
        <v/>
      </c>
      <c r="AG3149" s="713"/>
      <c r="AH3149" s="713"/>
      <c r="AI3149" s="112">
        <f>IF(H3149="credit",0,IF(AE3149="free",0,IF(AE3149="me",0,IF(G3149&gt;0,(VLOOKUP(A3149,'Discount Lookup'!J:K,2)*G3149),0))))</f>
        <v>0</v>
      </c>
      <c r="AJ3149" s="107" t="str">
        <f t="shared" ca="1" si="2386"/>
        <v/>
      </c>
      <c r="AK3149" s="714" t="str">
        <f t="shared" si="2387"/>
        <v/>
      </c>
      <c r="AL3149" s="714"/>
      <c r="AM3149" s="114" t="str">
        <f t="shared" si="2388"/>
        <v/>
      </c>
      <c r="AN3149" s="115"/>
      <c r="AO3149" s="116"/>
      <c r="AP3149" s="116"/>
      <c r="AQ3149" s="116"/>
      <c r="AR3149" s="116"/>
      <c r="AS3149" s="116"/>
      <c r="AT3149" s="116"/>
      <c r="AU3149" s="116"/>
      <c r="AV3149" s="78"/>
      <c r="AW3149" s="102"/>
      <c r="AX3149" s="78"/>
      <c r="AY3149" s="78"/>
      <c r="AZ3149" s="78"/>
      <c r="BA3149" s="78"/>
      <c r="BB3149" s="78"/>
      <c r="BC3149" s="78"/>
      <c r="BD3149" s="78"/>
      <c r="BE3149" s="465"/>
      <c r="BF3149" s="165" t="str">
        <f t="shared" si="2389"/>
        <v>https://www.google.com/search?tbm=isch&amp;q=3%20G1</v>
      </c>
      <c r="BG3149" s="165" t="str">
        <f t="shared" si="2390"/>
        <v>O</v>
      </c>
      <c r="BH3149" s="65"/>
      <c r="BI3149" s="65"/>
      <c r="BJ3149" s="65"/>
      <c r="BK3149" s="65"/>
      <c r="BL3149" s="99"/>
      <c r="BM3149" s="99"/>
      <c r="BN3149" s="99"/>
    </row>
    <row r="3150" spans="1:66" s="51" customFormat="1" ht="15.75" x14ac:dyDescent="0.25">
      <c r="A3150" s="478">
        <v>3</v>
      </c>
      <c r="B3150" s="479" t="s">
        <v>291</v>
      </c>
      <c r="C3150" s="480" t="s">
        <v>915</v>
      </c>
      <c r="D3150" s="481" t="s">
        <v>329</v>
      </c>
      <c r="E3150" s="482">
        <v>26.95</v>
      </c>
      <c r="F3150" s="483" t="s">
        <v>292</v>
      </c>
      <c r="G3150" s="484">
        <v>0</v>
      </c>
      <c r="H3150" s="688" t="str">
        <f t="shared" si="2414"/>
        <v/>
      </c>
      <c r="I3150" s="485">
        <f t="shared" si="2415"/>
        <v>0</v>
      </c>
      <c r="J3150" s="485">
        <f t="shared" si="2416"/>
        <v>0</v>
      </c>
      <c r="K3150" s="715">
        <f t="shared" ref="K3150" si="2419">I3150+J3150</f>
        <v>0</v>
      </c>
      <c r="L3150" s="715"/>
      <c r="M3150" s="689" t="str">
        <f t="shared" ca="1" si="2418"/>
        <v/>
      </c>
      <c r="N3150" s="690"/>
      <c r="O3150" s="486"/>
      <c r="P3150" s="486"/>
      <c r="Q3150" s="486"/>
      <c r="R3150" s="486"/>
      <c r="S3150" s="486"/>
      <c r="T3150" s="102">
        <f t="shared" si="2378"/>
        <v>0</v>
      </c>
      <c r="U3150" s="78">
        <f>IF(NOT(ISNUMBER(G3150)), "", VLOOKUP(A3150,'Discount Lookup'!D:E,2,FALSE)*G3150)</f>
        <v>0</v>
      </c>
      <c r="V3150" s="78">
        <f>IF(NOT(ISNUMBER(G3150)), "", VLOOKUP(A3150,'Discount Lookup'!G:H,2,FALSE)*G3150)</f>
        <v>0</v>
      </c>
      <c r="W3150" s="102">
        <f t="shared" si="2379"/>
        <v>0</v>
      </c>
      <c r="X3150" s="102">
        <f t="shared" si="2380"/>
        <v>0</v>
      </c>
      <c r="Y3150" s="120" t="b">
        <f t="shared" si="2381"/>
        <v>0</v>
      </c>
      <c r="Z3150" s="117">
        <f t="shared" si="2382"/>
        <v>0</v>
      </c>
      <c r="AA3150" s="118"/>
      <c r="AB3150" s="118" t="str">
        <f t="shared" si="2383"/>
        <v/>
      </c>
      <c r="AC3150" s="712" t="str">
        <f>IF(AE3150="T2G","no charge",IF(AND(OR(PlanterYesMe="No",PlanterYesMe="N",PlanterYesMe="me"),H3150=""),"",IF(H3150="credit","NO install",IF(AND(K3150="",AE3150="me"),"EACH row",IF(AND(K3150="images",AE3150="me"),"EACH row",IF(D3150="","",IF(H3150="credit","",IF(AE3150="free","re-planting",IF(AE3150="me","   not ELP, by",IF(AND(OR(PlanterYesMe="Yes",PlanterYesMe="Y"),G3150&gt;0),(VLOOKUP(A3150,'Discount Lookup'!J:K,2)*G3150*(1-PlanterDiscount)*(1+PlanterDifficultyPercentage)),IF(AE3150="ELP",(VLOOKUP(A3150,'Discount Lookup'!J:K,2)*G3150*(1-PlanterDiscount)*(1+PlanterDifficultyPercentage)),IF(AE3150="free","re-planting",IF(G3150=0,"",IF(PlanterYesMe="",IF(AE3150="me","   not ELP, by",IF(AE3150="",IF(G3150&gt;0,(VLOOKUP(A3150,'Discount Lookup'!J:K,2)*G3150*(1-PlanterDiscount)*(1+PlanterDifficultyPercentage)),""),"")),"   not ELP, by"))))))))))))))</f>
        <v/>
      </c>
      <c r="AD3150" s="712"/>
      <c r="AE3150" s="513" t="str">
        <f t="shared" si="2384"/>
        <v/>
      </c>
      <c r="AF3150" s="713" t="str">
        <f t="shared" si="2385"/>
        <v/>
      </c>
      <c r="AG3150" s="713"/>
      <c r="AH3150" s="713"/>
      <c r="AI3150" s="112">
        <f>IF(H3150="credit",0,IF(AE3150="free",0,IF(AE3150="me",0,IF(G3150&gt;0,(VLOOKUP(A3150,'Discount Lookup'!J:K,2)*G3150),0))))</f>
        <v>0</v>
      </c>
      <c r="AJ3150" s="107" t="str">
        <f t="shared" ca="1" si="2386"/>
        <v/>
      </c>
      <c r="AK3150" s="714" t="str">
        <f t="shared" si="2387"/>
        <v/>
      </c>
      <c r="AL3150" s="714"/>
      <c r="AM3150" s="114" t="str">
        <f t="shared" si="2388"/>
        <v/>
      </c>
      <c r="AN3150" s="115"/>
      <c r="AO3150" s="116"/>
      <c r="AP3150" s="116"/>
      <c r="AQ3150" s="116"/>
      <c r="AR3150" s="116"/>
      <c r="AS3150" s="116"/>
      <c r="AT3150" s="116"/>
      <c r="AU3150" s="116"/>
      <c r="AV3150" s="78"/>
      <c r="AW3150" s="102"/>
      <c r="AX3150" s="78"/>
      <c r="AY3150" s="78"/>
      <c r="AZ3150" s="78"/>
      <c r="BA3150" s="78"/>
      <c r="BB3150" s="78"/>
      <c r="BC3150" s="78"/>
      <c r="BD3150" s="78"/>
      <c r="BE3150" s="465"/>
      <c r="BF3150" s="165" t="str">
        <f t="shared" si="2389"/>
        <v>https://www.google.com/search?tbm=isch&amp;q=3%20G2</v>
      </c>
      <c r="BG3150" s="165" t="str">
        <f t="shared" si="2390"/>
        <v>O</v>
      </c>
      <c r="BH3150" s="65"/>
      <c r="BI3150" s="65"/>
      <c r="BJ3150" s="65"/>
      <c r="BK3150" s="65"/>
      <c r="BL3150" s="99"/>
      <c r="BM3150" s="99"/>
      <c r="BN3150" s="99"/>
    </row>
    <row r="3151" spans="1:66" s="51" customFormat="1" ht="15.75" x14ac:dyDescent="0.25">
      <c r="A3151" s="478">
        <v>3</v>
      </c>
      <c r="B3151" s="479" t="s">
        <v>291</v>
      </c>
      <c r="C3151" s="480" t="s">
        <v>856</v>
      </c>
      <c r="D3151" s="481" t="s">
        <v>311</v>
      </c>
      <c r="E3151" s="482">
        <v>31.95</v>
      </c>
      <c r="F3151" s="483" t="s">
        <v>292</v>
      </c>
      <c r="G3151" s="484">
        <v>0</v>
      </c>
      <c r="H3151" s="688" t="str">
        <f t="shared" si="2414"/>
        <v/>
      </c>
      <c r="I3151" s="485">
        <f t="shared" si="2415"/>
        <v>0</v>
      </c>
      <c r="J3151" s="485">
        <f t="shared" si="2416"/>
        <v>0</v>
      </c>
      <c r="K3151" s="715">
        <f t="shared" ref="K3151" si="2420">I3151+J3151</f>
        <v>0</v>
      </c>
      <c r="L3151" s="715"/>
      <c r="M3151" s="689" t="str">
        <f t="shared" ca="1" si="2418"/>
        <v/>
      </c>
      <c r="N3151" s="690"/>
      <c r="O3151" s="486"/>
      <c r="P3151" s="486"/>
      <c r="Q3151" s="486"/>
      <c r="R3151" s="486"/>
      <c r="S3151" s="486"/>
      <c r="T3151" s="102">
        <f t="shared" si="2378"/>
        <v>0</v>
      </c>
      <c r="U3151" s="78">
        <f>IF(NOT(ISNUMBER(G3151)), "", VLOOKUP(A3151,'Discount Lookup'!D:E,2,FALSE)*G3151)</f>
        <v>0</v>
      </c>
      <c r="V3151" s="78">
        <f>IF(NOT(ISNUMBER(G3151)), "", VLOOKUP(A3151,'Discount Lookup'!G:H,2,FALSE)*G3151)</f>
        <v>0</v>
      </c>
      <c r="W3151" s="102">
        <f t="shared" si="2379"/>
        <v>0</v>
      </c>
      <c r="X3151" s="102">
        <f t="shared" si="2380"/>
        <v>0</v>
      </c>
      <c r="Y3151" s="120" t="b">
        <f t="shared" si="2381"/>
        <v>0</v>
      </c>
      <c r="Z3151" s="117">
        <f t="shared" si="2382"/>
        <v>0</v>
      </c>
      <c r="AA3151" s="118"/>
      <c r="AB3151" s="118" t="str">
        <f t="shared" si="2383"/>
        <v/>
      </c>
      <c r="AC3151" s="712" t="str">
        <f>IF(AE3151="T2G","no charge",IF(AND(OR(PlanterYesMe="No",PlanterYesMe="N",PlanterYesMe="me"),H3151=""),"",IF(H3151="credit","NO install",IF(AND(K3151="",AE3151="me"),"EACH row",IF(AND(K3151="images",AE3151="me"),"EACH row",IF(D3151="","",IF(H3151="credit","",IF(AE3151="free","re-planting",IF(AE3151="me","   not ELP, by",IF(AND(OR(PlanterYesMe="Yes",PlanterYesMe="Y"),G3151&gt;0),(VLOOKUP(A3151,'Discount Lookup'!J:K,2)*G3151*(1-PlanterDiscount)*(1+PlanterDifficultyPercentage)),IF(AE3151="ELP",(VLOOKUP(A3151,'Discount Lookup'!J:K,2)*G3151*(1-PlanterDiscount)*(1+PlanterDifficultyPercentage)),IF(AE3151="free","re-planting",IF(G3151=0,"",IF(PlanterYesMe="",IF(AE3151="me","   not ELP, by",IF(AE3151="",IF(G3151&gt;0,(VLOOKUP(A3151,'Discount Lookup'!J:K,2)*G3151*(1-PlanterDiscount)*(1+PlanterDifficultyPercentage)),""),"")),"   not ELP, by"))))))))))))))</f>
        <v/>
      </c>
      <c r="AD3151" s="712"/>
      <c r="AE3151" s="513" t="str">
        <f t="shared" si="2384"/>
        <v/>
      </c>
      <c r="AF3151" s="713" t="str">
        <f t="shared" si="2385"/>
        <v/>
      </c>
      <c r="AG3151" s="713"/>
      <c r="AH3151" s="713"/>
      <c r="AI3151" s="112">
        <f>IF(H3151="credit",0,IF(AE3151="free",0,IF(AE3151="me",0,IF(G3151&gt;0,(VLOOKUP(A3151,'Discount Lookup'!J:K,2)*G3151),0))))</f>
        <v>0</v>
      </c>
      <c r="AJ3151" s="107" t="str">
        <f t="shared" ca="1" si="2386"/>
        <v/>
      </c>
      <c r="AK3151" s="714" t="str">
        <f t="shared" si="2387"/>
        <v/>
      </c>
      <c r="AL3151" s="714"/>
      <c r="AM3151" s="114" t="str">
        <f t="shared" si="2388"/>
        <v/>
      </c>
      <c r="AN3151" s="115"/>
      <c r="AO3151" s="116"/>
      <c r="AP3151" s="116"/>
      <c r="AQ3151" s="116"/>
      <c r="AR3151" s="116"/>
      <c r="AS3151" s="116"/>
      <c r="AT3151" s="116"/>
      <c r="AU3151" s="116"/>
      <c r="AV3151" s="78"/>
      <c r="AW3151" s="102"/>
      <c r="AX3151" s="78"/>
      <c r="AY3151" s="78"/>
      <c r="AZ3151" s="78"/>
      <c r="BA3151" s="78"/>
      <c r="BB3151" s="78"/>
      <c r="BC3151" s="78"/>
      <c r="BD3151" s="78"/>
      <c r="BE3151" s="465"/>
      <c r="BF3151" s="165" t="str">
        <f t="shared" si="2389"/>
        <v>https://www.google.com/search?tbm=isch&amp;q=3%20G5</v>
      </c>
      <c r="BG3151" s="165" t="str">
        <f t="shared" si="2390"/>
        <v>O</v>
      </c>
      <c r="BH3151" s="65"/>
      <c r="BI3151" s="65"/>
      <c r="BJ3151" s="65"/>
      <c r="BK3151" s="65"/>
      <c r="BL3151" s="99"/>
      <c r="BM3151" s="99"/>
      <c r="BN3151" s="99"/>
    </row>
    <row r="3152" spans="1:66" s="51" customFormat="1" ht="15.75" x14ac:dyDescent="0.25">
      <c r="A3152" s="478">
        <v>7</v>
      </c>
      <c r="B3152" s="479" t="s">
        <v>291</v>
      </c>
      <c r="C3152" s="480" t="s">
        <v>639</v>
      </c>
      <c r="D3152" s="481" t="s">
        <v>309</v>
      </c>
      <c r="E3152" s="482">
        <v>56.95</v>
      </c>
      <c r="F3152" s="483" t="s">
        <v>292</v>
      </c>
      <c r="G3152" s="484">
        <v>0</v>
      </c>
      <c r="H3152" s="688" t="str">
        <f t="shared" si="2414"/>
        <v/>
      </c>
      <c r="I3152" s="485">
        <f t="shared" si="2415"/>
        <v>0</v>
      </c>
      <c r="J3152" s="485">
        <f t="shared" si="2416"/>
        <v>0</v>
      </c>
      <c r="K3152" s="715">
        <f t="shared" ref="K3152" si="2421">I3152+J3152</f>
        <v>0</v>
      </c>
      <c r="L3152" s="715"/>
      <c r="M3152" s="689" t="str">
        <f t="shared" ca="1" si="2418"/>
        <v/>
      </c>
      <c r="N3152" s="690"/>
      <c r="O3152" s="486"/>
      <c r="P3152" s="486"/>
      <c r="Q3152" s="486"/>
      <c r="R3152" s="486"/>
      <c r="S3152" s="486"/>
      <c r="T3152" s="102">
        <f t="shared" si="2378"/>
        <v>0</v>
      </c>
      <c r="U3152" s="78">
        <f>IF(NOT(ISNUMBER(G3152)), "", VLOOKUP(A3152,'Discount Lookup'!D:E,2,FALSE)*G3152)</f>
        <v>0</v>
      </c>
      <c r="V3152" s="78">
        <f>IF(NOT(ISNUMBER(G3152)), "", VLOOKUP(A3152,'Discount Lookup'!G:H,2,FALSE)*G3152)</f>
        <v>0</v>
      </c>
      <c r="W3152" s="102">
        <f t="shared" si="2379"/>
        <v>0</v>
      </c>
      <c r="X3152" s="102">
        <f t="shared" si="2380"/>
        <v>0</v>
      </c>
      <c r="Y3152" s="120" t="b">
        <f t="shared" si="2381"/>
        <v>0</v>
      </c>
      <c r="Z3152" s="117">
        <f t="shared" si="2382"/>
        <v>0</v>
      </c>
      <c r="AA3152" s="118"/>
      <c r="AB3152" s="118" t="str">
        <f t="shared" si="2383"/>
        <v/>
      </c>
      <c r="AC3152" s="712" t="str">
        <f>IF(AE3152="T2G","no charge",IF(AND(OR(PlanterYesMe="No",PlanterYesMe="N",PlanterYesMe="me"),H3152=""),"",IF(H3152="credit","NO install",IF(AND(K3152="",AE3152="me"),"EACH row",IF(AND(K3152="images",AE3152="me"),"EACH row",IF(D3152="","",IF(H3152="credit","",IF(AE3152="free","re-planting",IF(AE3152="me","   not ELP, by",IF(AND(OR(PlanterYesMe="Yes",PlanterYesMe="Y"),G3152&gt;0),(VLOOKUP(A3152,'Discount Lookup'!J:K,2)*G3152*(1-PlanterDiscount)*(1+PlanterDifficultyPercentage)),IF(AE3152="ELP",(VLOOKUP(A3152,'Discount Lookup'!J:K,2)*G3152*(1-PlanterDiscount)*(1+PlanterDifficultyPercentage)),IF(AE3152="free","re-planting",IF(G3152=0,"",IF(PlanterYesMe="",IF(AE3152="me","   not ELP, by",IF(AE3152="",IF(G3152&gt;0,(VLOOKUP(A3152,'Discount Lookup'!J:K,2)*G3152*(1-PlanterDiscount)*(1+PlanterDifficultyPercentage)),""),"")),"   not ELP, by"))))))))))))))</f>
        <v/>
      </c>
      <c r="AD3152" s="712"/>
      <c r="AE3152" s="513" t="str">
        <f t="shared" si="2384"/>
        <v/>
      </c>
      <c r="AF3152" s="713" t="str">
        <f t="shared" si="2385"/>
        <v/>
      </c>
      <c r="AG3152" s="713"/>
      <c r="AH3152" s="713"/>
      <c r="AI3152" s="112">
        <f>IF(H3152="credit",0,IF(AE3152="free",0,IF(AE3152="me",0,IF(G3152&gt;0,(VLOOKUP(A3152,'Discount Lookup'!J:K,2)*G3152),0))))</f>
        <v>0</v>
      </c>
      <c r="AJ3152" s="107" t="str">
        <f t="shared" ca="1" si="2386"/>
        <v/>
      </c>
      <c r="AK3152" s="714" t="str">
        <f t="shared" si="2387"/>
        <v/>
      </c>
      <c r="AL3152" s="714"/>
      <c r="AM3152" s="114" t="str">
        <f t="shared" si="2388"/>
        <v/>
      </c>
      <c r="AN3152" s="115"/>
      <c r="AO3152" s="116"/>
      <c r="AP3152" s="116"/>
      <c r="AQ3152" s="116"/>
      <c r="AR3152" s="116"/>
      <c r="AS3152" s="116"/>
      <c r="AT3152" s="116"/>
      <c r="AU3152" s="116"/>
      <c r="AV3152" s="78"/>
      <c r="AW3152" s="102"/>
      <c r="AX3152" s="78"/>
      <c r="AY3152" s="78"/>
      <c r="AZ3152" s="78"/>
      <c r="BA3152" s="78"/>
      <c r="BB3152" s="78"/>
      <c r="BC3152" s="78"/>
      <c r="BD3152" s="78"/>
      <c r="BE3152" s="465"/>
      <c r="BF3152" s="165" t="str">
        <f t="shared" si="2389"/>
        <v>https://www.google.com/search?tbm=isch&amp;q=7%20G3</v>
      </c>
      <c r="BG3152" s="165" t="str">
        <f t="shared" si="2390"/>
        <v>O</v>
      </c>
      <c r="BH3152" s="65"/>
      <c r="BI3152" s="65"/>
      <c r="BJ3152" s="65"/>
      <c r="BK3152" s="65"/>
      <c r="BL3152" s="99"/>
      <c r="BM3152" s="99"/>
      <c r="BN3152" s="99"/>
    </row>
    <row r="3153" spans="1:66" s="51" customFormat="1" ht="15.75" x14ac:dyDescent="0.25">
      <c r="A3153" s="478">
        <v>7</v>
      </c>
      <c r="B3153" s="479" t="s">
        <v>291</v>
      </c>
      <c r="C3153" s="480" t="s">
        <v>640</v>
      </c>
      <c r="D3153" s="481" t="s">
        <v>311</v>
      </c>
      <c r="E3153" s="482">
        <v>79.95</v>
      </c>
      <c r="F3153" s="483" t="s">
        <v>292</v>
      </c>
      <c r="G3153" s="484">
        <v>0</v>
      </c>
      <c r="H3153" s="688" t="str">
        <f t="shared" si="2414"/>
        <v/>
      </c>
      <c r="I3153" s="485">
        <f t="shared" si="2415"/>
        <v>0</v>
      </c>
      <c r="J3153" s="485">
        <f t="shared" si="2416"/>
        <v>0</v>
      </c>
      <c r="K3153" s="715">
        <f t="shared" ref="K3153" si="2422">I3153+J3153</f>
        <v>0</v>
      </c>
      <c r="L3153" s="715"/>
      <c r="M3153" s="689" t="str">
        <f t="shared" ca="1" si="2418"/>
        <v/>
      </c>
      <c r="N3153" s="690"/>
      <c r="O3153" s="486"/>
      <c r="P3153" s="486"/>
      <c r="Q3153" s="486"/>
      <c r="R3153" s="486"/>
      <c r="S3153" s="486"/>
      <c r="T3153" s="102">
        <f t="shared" si="2378"/>
        <v>0</v>
      </c>
      <c r="U3153" s="78">
        <f>IF(NOT(ISNUMBER(G3153)), "", VLOOKUP(A3153,'Discount Lookup'!D:E,2,FALSE)*G3153)</f>
        <v>0</v>
      </c>
      <c r="V3153" s="78">
        <f>IF(NOT(ISNUMBER(G3153)), "", VLOOKUP(A3153,'Discount Lookup'!G:H,2,FALSE)*G3153)</f>
        <v>0</v>
      </c>
      <c r="W3153" s="102">
        <f t="shared" si="2379"/>
        <v>0</v>
      </c>
      <c r="X3153" s="102">
        <f t="shared" si="2380"/>
        <v>0</v>
      </c>
      <c r="Y3153" s="120" t="b">
        <f t="shared" si="2381"/>
        <v>0</v>
      </c>
      <c r="Z3153" s="117">
        <f t="shared" si="2382"/>
        <v>0</v>
      </c>
      <c r="AA3153" s="118"/>
      <c r="AB3153" s="118" t="str">
        <f t="shared" si="2383"/>
        <v/>
      </c>
      <c r="AC3153" s="712" t="str">
        <f>IF(AE3153="T2G","no charge",IF(AND(OR(PlanterYesMe="No",PlanterYesMe="N",PlanterYesMe="me"),H3153=""),"",IF(H3153="credit","NO install",IF(AND(K3153="",AE3153="me"),"EACH row",IF(AND(K3153="images",AE3153="me"),"EACH row",IF(D3153="","",IF(H3153="credit","",IF(AE3153="free","re-planting",IF(AE3153="me","   not ELP, by",IF(AND(OR(PlanterYesMe="Yes",PlanterYesMe="Y"),G3153&gt;0),(VLOOKUP(A3153,'Discount Lookup'!J:K,2)*G3153*(1-PlanterDiscount)*(1+PlanterDifficultyPercentage)),IF(AE3153="ELP",(VLOOKUP(A3153,'Discount Lookup'!J:K,2)*G3153*(1-PlanterDiscount)*(1+PlanterDifficultyPercentage)),IF(AE3153="free","re-planting",IF(G3153=0,"",IF(PlanterYesMe="",IF(AE3153="me","   not ELP, by",IF(AE3153="",IF(G3153&gt;0,(VLOOKUP(A3153,'Discount Lookup'!J:K,2)*G3153*(1-PlanterDiscount)*(1+PlanterDifficultyPercentage)),""),"")),"   not ELP, by"))))))))))))))</f>
        <v/>
      </c>
      <c r="AD3153" s="712"/>
      <c r="AE3153" s="513" t="str">
        <f t="shared" si="2384"/>
        <v/>
      </c>
      <c r="AF3153" s="713" t="str">
        <f t="shared" si="2385"/>
        <v/>
      </c>
      <c r="AG3153" s="713"/>
      <c r="AH3153" s="713"/>
      <c r="AI3153" s="112">
        <f>IF(H3153="credit",0,IF(AE3153="free",0,IF(AE3153="me",0,IF(G3153&gt;0,(VLOOKUP(A3153,'Discount Lookup'!J:K,2)*G3153),0))))</f>
        <v>0</v>
      </c>
      <c r="AJ3153" s="107" t="str">
        <f t="shared" ca="1" si="2386"/>
        <v/>
      </c>
      <c r="AK3153" s="714" t="str">
        <f t="shared" si="2387"/>
        <v/>
      </c>
      <c r="AL3153" s="714"/>
      <c r="AM3153" s="114" t="str">
        <f t="shared" si="2388"/>
        <v/>
      </c>
      <c r="AN3153" s="115"/>
      <c r="AO3153" s="116"/>
      <c r="AP3153" s="116"/>
      <c r="AQ3153" s="116"/>
      <c r="AR3153" s="116"/>
      <c r="AS3153" s="116"/>
      <c r="AT3153" s="116"/>
      <c r="AU3153" s="116"/>
      <c r="AV3153" s="78"/>
      <c r="AW3153" s="102"/>
      <c r="AX3153" s="78"/>
      <c r="AY3153" s="78"/>
      <c r="AZ3153" s="78"/>
      <c r="BA3153" s="78"/>
      <c r="BB3153" s="78"/>
      <c r="BC3153" s="78"/>
      <c r="BD3153" s="78"/>
      <c r="BE3153" s="465"/>
      <c r="BF3153" s="165" t="str">
        <f t="shared" si="2389"/>
        <v>https://www.google.com/search?tbm=isch&amp;q=7%20G5</v>
      </c>
      <c r="BG3153" s="165" t="str">
        <f t="shared" si="2390"/>
        <v>O</v>
      </c>
      <c r="BH3153" s="65"/>
      <c r="BI3153" s="65"/>
      <c r="BJ3153" s="65"/>
      <c r="BK3153" s="65"/>
      <c r="BL3153" s="99"/>
      <c r="BM3153" s="99"/>
      <c r="BN3153" s="99"/>
    </row>
    <row r="3154" spans="1:66" s="51" customFormat="1" ht="15.75" x14ac:dyDescent="0.25">
      <c r="A3154" s="478">
        <v>7</v>
      </c>
      <c r="B3154" s="479" t="s">
        <v>291</v>
      </c>
      <c r="C3154" s="480" t="s">
        <v>986</v>
      </c>
      <c r="D3154" s="481" t="s">
        <v>299</v>
      </c>
      <c r="E3154" s="482">
        <v>86.95</v>
      </c>
      <c r="F3154" s="483" t="s">
        <v>292</v>
      </c>
      <c r="G3154" s="484">
        <v>0</v>
      </c>
      <c r="H3154" s="688" t="str">
        <f t="shared" si="2414"/>
        <v/>
      </c>
      <c r="I3154" s="485">
        <f t="shared" si="2415"/>
        <v>0</v>
      </c>
      <c r="J3154" s="485">
        <f t="shared" si="2416"/>
        <v>0</v>
      </c>
      <c r="K3154" s="715">
        <f t="shared" ref="K3154" si="2423">I3154+J3154</f>
        <v>0</v>
      </c>
      <c r="L3154" s="715"/>
      <c r="M3154" s="689" t="str">
        <f t="shared" ca="1" si="2418"/>
        <v/>
      </c>
      <c r="N3154" s="690"/>
      <c r="O3154" s="486"/>
      <c r="P3154" s="486"/>
      <c r="Q3154" s="486"/>
      <c r="R3154" s="486"/>
      <c r="S3154" s="486"/>
      <c r="T3154" s="102">
        <f t="shared" si="2378"/>
        <v>0</v>
      </c>
      <c r="U3154" s="78">
        <f>IF(NOT(ISNUMBER(G3154)), "", VLOOKUP(A3154,'Discount Lookup'!D:E,2,FALSE)*G3154)</f>
        <v>0</v>
      </c>
      <c r="V3154" s="78">
        <f>IF(NOT(ISNUMBER(G3154)), "", VLOOKUP(A3154,'Discount Lookup'!G:H,2,FALSE)*G3154)</f>
        <v>0</v>
      </c>
      <c r="W3154" s="102">
        <f t="shared" si="2379"/>
        <v>0</v>
      </c>
      <c r="X3154" s="102">
        <f t="shared" si="2380"/>
        <v>0</v>
      </c>
      <c r="Y3154" s="120" t="b">
        <f t="shared" si="2381"/>
        <v>0</v>
      </c>
      <c r="Z3154" s="117">
        <f t="shared" si="2382"/>
        <v>0</v>
      </c>
      <c r="AA3154" s="118"/>
      <c r="AB3154" s="118" t="str">
        <f t="shared" si="2383"/>
        <v/>
      </c>
      <c r="AC3154" s="712" t="str">
        <f>IF(AE3154="T2G","no charge",IF(AND(OR(PlanterYesMe="No",PlanterYesMe="N",PlanterYesMe="me"),H3154=""),"",IF(H3154="credit","NO install",IF(AND(K3154="",AE3154="me"),"EACH row",IF(AND(K3154="images",AE3154="me"),"EACH row",IF(D3154="","",IF(H3154="credit","",IF(AE3154="free","re-planting",IF(AE3154="me","   not ELP, by",IF(AND(OR(PlanterYesMe="Yes",PlanterYesMe="Y"),G3154&gt;0),(VLOOKUP(A3154,'Discount Lookup'!J:K,2)*G3154*(1-PlanterDiscount)*(1+PlanterDifficultyPercentage)),IF(AE3154="ELP",(VLOOKUP(A3154,'Discount Lookup'!J:K,2)*G3154*(1-PlanterDiscount)*(1+PlanterDifficultyPercentage)),IF(AE3154="free","re-planting",IF(G3154=0,"",IF(PlanterYesMe="",IF(AE3154="me","   not ELP, by",IF(AE3154="",IF(G3154&gt;0,(VLOOKUP(A3154,'Discount Lookup'!J:K,2)*G3154*(1-PlanterDiscount)*(1+PlanterDifficultyPercentage)),""),"")),"   not ELP, by"))))))))))))))</f>
        <v/>
      </c>
      <c r="AD3154" s="712"/>
      <c r="AE3154" s="513" t="str">
        <f t="shared" si="2384"/>
        <v/>
      </c>
      <c r="AF3154" s="713" t="str">
        <f t="shared" si="2385"/>
        <v/>
      </c>
      <c r="AG3154" s="713"/>
      <c r="AH3154" s="713"/>
      <c r="AI3154" s="112">
        <f>IF(H3154="credit",0,IF(AE3154="free",0,IF(AE3154="me",0,IF(G3154&gt;0,(VLOOKUP(A3154,'Discount Lookup'!J:K,2)*G3154),0))))</f>
        <v>0</v>
      </c>
      <c r="AJ3154" s="107" t="str">
        <f t="shared" ca="1" si="2386"/>
        <v/>
      </c>
      <c r="AK3154" s="714" t="str">
        <f t="shared" si="2387"/>
        <v/>
      </c>
      <c r="AL3154" s="714"/>
      <c r="AM3154" s="114" t="str">
        <f t="shared" si="2388"/>
        <v/>
      </c>
      <c r="AN3154" s="115"/>
      <c r="AO3154" s="116"/>
      <c r="AP3154" s="116"/>
      <c r="AQ3154" s="116"/>
      <c r="AR3154" s="116"/>
      <c r="AS3154" s="116"/>
      <c r="AT3154" s="116"/>
      <c r="AU3154" s="116"/>
      <c r="AV3154" s="78"/>
      <c r="AW3154" s="102"/>
      <c r="AX3154" s="78"/>
      <c r="AY3154" s="78"/>
      <c r="AZ3154" s="78"/>
      <c r="BA3154" s="78"/>
      <c r="BB3154" s="78"/>
      <c r="BC3154" s="78"/>
      <c r="BD3154" s="78"/>
      <c r="BE3154" s="465"/>
      <c r="BF3154" s="165" t="str">
        <f t="shared" si="2389"/>
        <v>https://www.google.com/search?tbm=isch&amp;q=7%20G4</v>
      </c>
      <c r="BG3154" s="165" t="str">
        <f t="shared" si="2390"/>
        <v>O</v>
      </c>
      <c r="BH3154" s="65"/>
      <c r="BI3154" s="65"/>
      <c r="BJ3154" s="65"/>
      <c r="BK3154" s="65"/>
      <c r="BL3154" s="99"/>
      <c r="BM3154" s="99"/>
      <c r="BN3154" s="99"/>
    </row>
    <row r="3155" spans="1:66" s="51" customFormat="1" ht="15.75" x14ac:dyDescent="0.25">
      <c r="A3155" s="478">
        <v>7</v>
      </c>
      <c r="B3155" s="479" t="s">
        <v>291</v>
      </c>
      <c r="C3155" s="480" t="s">
        <v>886</v>
      </c>
      <c r="D3155" s="481" t="s">
        <v>329</v>
      </c>
      <c r="E3155" s="482">
        <v>91.95</v>
      </c>
      <c r="F3155" s="483" t="s">
        <v>292</v>
      </c>
      <c r="G3155" s="484">
        <v>0</v>
      </c>
      <c r="H3155" s="688" t="str">
        <f t="shared" si="2414"/>
        <v/>
      </c>
      <c r="I3155" s="485">
        <f t="shared" si="2415"/>
        <v>0</v>
      </c>
      <c r="J3155" s="485">
        <f t="shared" si="2416"/>
        <v>0</v>
      </c>
      <c r="K3155" s="715">
        <f t="shared" ref="K3155" si="2424">I3155+J3155</f>
        <v>0</v>
      </c>
      <c r="L3155" s="715"/>
      <c r="M3155" s="689" t="str">
        <f t="shared" ca="1" si="2418"/>
        <v/>
      </c>
      <c r="N3155" s="690"/>
      <c r="O3155" s="486"/>
      <c r="P3155" s="486"/>
      <c r="Q3155" s="486"/>
      <c r="R3155" s="486"/>
      <c r="S3155" s="486"/>
      <c r="T3155" s="102">
        <f t="shared" si="2378"/>
        <v>0</v>
      </c>
      <c r="U3155" s="78">
        <f>IF(NOT(ISNUMBER(G3155)), "", VLOOKUP(A3155,'Discount Lookup'!D:E,2,FALSE)*G3155)</f>
        <v>0</v>
      </c>
      <c r="V3155" s="78">
        <f>IF(NOT(ISNUMBER(G3155)), "", VLOOKUP(A3155,'Discount Lookup'!G:H,2,FALSE)*G3155)</f>
        <v>0</v>
      </c>
      <c r="W3155" s="102">
        <f t="shared" si="2379"/>
        <v>0</v>
      </c>
      <c r="X3155" s="102">
        <f t="shared" si="2380"/>
        <v>0</v>
      </c>
      <c r="Y3155" s="120" t="b">
        <f t="shared" si="2381"/>
        <v>0</v>
      </c>
      <c r="Z3155" s="117">
        <f t="shared" si="2382"/>
        <v>0</v>
      </c>
      <c r="AA3155" s="118"/>
      <c r="AB3155" s="118" t="str">
        <f t="shared" si="2383"/>
        <v/>
      </c>
      <c r="AC3155" s="712" t="str">
        <f>IF(AE3155="T2G","no charge",IF(AND(OR(PlanterYesMe="No",PlanterYesMe="N",PlanterYesMe="me"),H3155=""),"",IF(H3155="credit","NO install",IF(AND(K3155="",AE3155="me"),"EACH row",IF(AND(K3155="images",AE3155="me"),"EACH row",IF(D3155="","",IF(H3155="credit","",IF(AE3155="free","re-planting",IF(AE3155="me","   not ELP, by",IF(AND(OR(PlanterYesMe="Yes",PlanterYesMe="Y"),G3155&gt;0),(VLOOKUP(A3155,'Discount Lookup'!J:K,2)*G3155*(1-PlanterDiscount)*(1+PlanterDifficultyPercentage)),IF(AE3155="ELP",(VLOOKUP(A3155,'Discount Lookup'!J:K,2)*G3155*(1-PlanterDiscount)*(1+PlanterDifficultyPercentage)),IF(AE3155="free","re-planting",IF(G3155=0,"",IF(PlanterYesMe="",IF(AE3155="me","   not ELP, by",IF(AE3155="",IF(G3155&gt;0,(VLOOKUP(A3155,'Discount Lookup'!J:K,2)*G3155*(1-PlanterDiscount)*(1+PlanterDifficultyPercentage)),""),"")),"   not ELP, by"))))))))))))))</f>
        <v/>
      </c>
      <c r="AD3155" s="712"/>
      <c r="AE3155" s="513" t="str">
        <f t="shared" si="2384"/>
        <v/>
      </c>
      <c r="AF3155" s="713" t="str">
        <f t="shared" si="2385"/>
        <v/>
      </c>
      <c r="AG3155" s="713"/>
      <c r="AH3155" s="713"/>
      <c r="AI3155" s="112">
        <f>IF(H3155="credit",0,IF(AE3155="free",0,IF(AE3155="me",0,IF(G3155&gt;0,(VLOOKUP(A3155,'Discount Lookup'!J:K,2)*G3155),0))))</f>
        <v>0</v>
      </c>
      <c r="AJ3155" s="107" t="str">
        <f t="shared" ca="1" si="2386"/>
        <v/>
      </c>
      <c r="AK3155" s="714" t="str">
        <f t="shared" si="2387"/>
        <v/>
      </c>
      <c r="AL3155" s="714"/>
      <c r="AM3155" s="114" t="str">
        <f t="shared" si="2388"/>
        <v/>
      </c>
      <c r="AN3155" s="115"/>
      <c r="AO3155" s="116"/>
      <c r="AP3155" s="116"/>
      <c r="AQ3155" s="116"/>
      <c r="AR3155" s="116"/>
      <c r="AS3155" s="116"/>
      <c r="AT3155" s="116"/>
      <c r="AU3155" s="116"/>
      <c r="AV3155" s="78"/>
      <c r="AW3155" s="102"/>
      <c r="AX3155" s="78"/>
      <c r="AY3155" s="78"/>
      <c r="AZ3155" s="78"/>
      <c r="BA3155" s="78"/>
      <c r="BB3155" s="78"/>
      <c r="BC3155" s="78"/>
      <c r="BD3155" s="78"/>
      <c r="BE3155" s="465"/>
      <c r="BF3155" s="165" t="str">
        <f t="shared" si="2389"/>
        <v>https://www.google.com/search?tbm=isch&amp;q=7%20G2</v>
      </c>
      <c r="BG3155" s="165" t="str">
        <f t="shared" si="2390"/>
        <v>O</v>
      </c>
      <c r="BH3155" s="65"/>
      <c r="BI3155" s="65"/>
      <c r="BJ3155" s="65"/>
      <c r="BK3155" s="65"/>
      <c r="BL3155" s="99"/>
      <c r="BM3155" s="99"/>
      <c r="BN3155" s="99"/>
    </row>
    <row r="3156" spans="1:66" s="51" customFormat="1" ht="15.75" x14ac:dyDescent="0.25">
      <c r="A3156" s="478">
        <v>10</v>
      </c>
      <c r="B3156" s="479" t="s">
        <v>291</v>
      </c>
      <c r="C3156" s="480" t="s">
        <v>4643</v>
      </c>
      <c r="D3156" s="481" t="s">
        <v>293</v>
      </c>
      <c r="E3156" s="482">
        <v>166.95</v>
      </c>
      <c r="F3156" s="483" t="s">
        <v>292</v>
      </c>
      <c r="G3156" s="484">
        <v>0</v>
      </c>
      <c r="H3156" s="688" t="str">
        <f t="shared" si="2414"/>
        <v/>
      </c>
      <c r="I3156" s="485">
        <f t="shared" si="2415"/>
        <v>0</v>
      </c>
      <c r="J3156" s="485">
        <f t="shared" si="2416"/>
        <v>0</v>
      </c>
      <c r="K3156" s="715">
        <f t="shared" ref="K3156" si="2425">I3156+J3156</f>
        <v>0</v>
      </c>
      <c r="L3156" s="715"/>
      <c r="M3156" s="689" t="str">
        <f t="shared" ca="1" si="2418"/>
        <v/>
      </c>
      <c r="N3156" s="690"/>
      <c r="O3156" s="486"/>
      <c r="P3156" s="486"/>
      <c r="Q3156" s="486"/>
      <c r="R3156" s="486"/>
      <c r="S3156" s="486"/>
      <c r="T3156" s="102">
        <f t="shared" ref="T3156:T3219" si="2426">E3156*G3156</f>
        <v>0</v>
      </c>
      <c r="U3156" s="78">
        <f>IF(NOT(ISNUMBER(G3156)), "", VLOOKUP(A3156,'Discount Lookup'!D:E,2,FALSE)*G3156)</f>
        <v>0</v>
      </c>
      <c r="V3156" s="78">
        <f>IF(NOT(ISNUMBER(G3156)), "", VLOOKUP(A3156,'Discount Lookup'!G:H,2,FALSE)*G3156)</f>
        <v>0</v>
      </c>
      <c r="W3156" s="102">
        <f t="shared" ref="W3156:W3219" si="2427">IF(H3156="credit",0,E3156*(SalesTaxPercentage)*G3156)</f>
        <v>0</v>
      </c>
      <c r="X3156" s="102">
        <f t="shared" ref="X3156:X3219" si="2428">I3156</f>
        <v>0</v>
      </c>
      <c r="Y3156" s="120" t="b">
        <f t="shared" ref="Y3156:Y3219" si="2429">IF(AE3156="T2G",0,IF(H3156="credit",0,IF(G3156&gt;0,IF(AE3156="me","",G3156))))</f>
        <v>0</v>
      </c>
      <c r="Z3156" s="117">
        <f t="shared" ref="Z3156:Z3219" si="2430">IF(H3156="credit",G3156,0)</f>
        <v>0</v>
      </c>
      <c r="AA3156" s="118"/>
      <c r="AB3156" s="118" t="str">
        <f t="shared" ref="AB3156:AB3219" si="2431">IF(AE3156="T2G","by Trees2Go",IF(H3156="credit","CREDIT only ~",IF(AND(K3156="",AE3156=OR(PlanterYesMe="No",PlanterYesMe="N",PlanterYesMe="me")),"not THIS line⇨",IF(AND(K3156="images",AE3156="me"),"not THIS line⇨",IF(H3156="credit","",IF(G3156=0,"",IF(AE3156="me","",IF(OR(PlanterYesMe="No",PlanterYesMe="N",PlanterYesMe="me"),"",IF(AE3156="free","warranty",IF(OR(PlanterYesMe="yes",PlanterYesMe="y"),"Edison install:","to install:"))))))))))</f>
        <v/>
      </c>
      <c r="AC3156" s="712" t="str">
        <f>IF(AE3156="T2G","no charge",IF(AND(OR(PlanterYesMe="No",PlanterYesMe="N",PlanterYesMe="me"),H3156=""),"",IF(H3156="credit","NO install",IF(AND(K3156="",AE3156="me"),"EACH row",IF(AND(K3156="images",AE3156="me"),"EACH row",IF(D3156="","",IF(H3156="credit","",IF(AE3156="free","re-planting",IF(AE3156="me","   not ELP, by",IF(AND(OR(PlanterYesMe="Yes",PlanterYesMe="Y"),G3156&gt;0),(VLOOKUP(A3156,'Discount Lookup'!J:K,2)*G3156*(1-PlanterDiscount)*(1+PlanterDifficultyPercentage)),IF(AE3156="ELP",(VLOOKUP(A3156,'Discount Lookup'!J:K,2)*G3156*(1-PlanterDiscount)*(1+PlanterDifficultyPercentage)),IF(AE3156="free","re-planting",IF(G3156=0,"",IF(PlanterYesMe="",IF(AE3156="me","   not ELP, by",IF(AE3156="",IF(G3156&gt;0,(VLOOKUP(A3156,'Discount Lookup'!J:K,2)*G3156*(1-PlanterDiscount)*(1+PlanterDifficultyPercentage)),""),"")),"   not ELP, by"))))))))))))))</f>
        <v/>
      </c>
      <c r="AD3156" s="712"/>
      <c r="AE3156" s="513" t="str">
        <f t="shared" ref="AE3156:AE3219" si="2432">IF(H3156="credit","",IF(G3156=0,"",IF(OR(PlanterYesMe="No",PlanterYesMe="N",PlanterYesMe="me"),"me",IF(H3156="warranty","free",IF(OR(PlanterYesMe="yes",PlanterYesMe="y"),"ELP","")))))</f>
        <v/>
      </c>
      <c r="AF3156" s="713" t="str">
        <f t="shared" ref="AF3156:AF3219" si="2433">IF(OR(PlanterYesMe="No",PlanterYesMe="N",PlanterYesMe="me"),"",IF(H3156="credit","",IF(G3156&gt;0,(CONCATENATE((G3156)," quantity, ",(A3156)," ",B3156)),"")))</f>
        <v/>
      </c>
      <c r="AG3156" s="713"/>
      <c r="AH3156" s="713"/>
      <c r="AI3156" s="112">
        <f>IF(H3156="credit",0,IF(AE3156="free",0,IF(AE3156="me",0,IF(G3156&gt;0,(VLOOKUP(A3156,'Discount Lookup'!J:K,2)*G3156),0))))</f>
        <v>0</v>
      </c>
      <c r="AJ3156" s="107" t="str">
        <f t="shared" ref="AJ3156:AJ3219" ca="1" si="2434">IF(AND(ISREF(H3156),H3156="credit"),"",IF(AND(AND(OFFSET(G3156,0,0)=0,OFFSET(G3156,1,0)&gt;0,ISNUMBER(OFFSET(AC3156,1,0)),OFFSET(AC3156,1,0)&gt;0),OR(PlanterYesMe="yes",PlanterYesMe="y")),"T2G+ELP=",IF(AND(OFFSET(G3156,0,0)=0,OFFSET(G3156,1,0)&gt;0,ISNUMBER(OFFSET(AC3156,1,0)),OFFSET(AC3156,1,0)&gt;0),"if T2G+ELP=",IF(AND(OFFSET(G3156,0,0)=0,OFFSET(G3156,1,0)&gt;0),"T2G Subtotal",IF(H3156="credit","",IF(G3156=0,"",IF(AE3156="free",(K3156*(1-T2GDiscount)),IF(OR(PlanterYesMe="No",PlanterYesMe="N",PlanterYesMe="me"),(K3156*(1-T2GDiscount)),IF(OR(AE3156="me",AE3156="T2G"),(K3156*(1-T2GDiscount)),(K3156*(1-T2GDiscount))+AC3156)))))))))</f>
        <v/>
      </c>
      <c r="AK3156" s="714" t="str">
        <f t="shared" ref="AK3156:AK3219" si="2435">IF(H3156="credit","",IF(G3156=0,"",IF(OR(AE3156="me",AE3156="T2G"),"  delivery-only",IF(OR(PlanterYesMe="No",PlanterYesMe="N",PlanterYesMe="me"),"  delivery-only",CONCATENATE(" $",ROUND(AJ3156/G3156,2)," each")))))</f>
        <v/>
      </c>
      <c r="AL3156" s="714"/>
      <c r="AM3156" s="114" t="str">
        <f t="shared" ref="AM3156:AM3219" si="2436">IF(H3156="credit","",IF(AE3156="free","      ~ discounts included, no tax or planting fee applies ~",IF(G3156=0,"",IF(OR(PlanterYesMe="No",PlanterYesMe="N",PlanterYesMe="me"),CONCATENATE(" $",ROUND(AJ3156/G3156,2)," per plant, with tax &amp; discount"),IF(OR(AE3156="me",AE3156="T2G"),CONCATENATE(" $",ROUND(AJ3156/G3156,2)," per plant, with tax &amp; discount"),CONCATENATE("= $",ROUND((K3156*(1-T2GDiscount))/G3156,2)," per plant + $",AC3156/G3156,(" per planting      ~ includes tax &amp; discounts ~")))))))</f>
        <v/>
      </c>
      <c r="AN3156" s="115"/>
      <c r="AO3156" s="116"/>
      <c r="AP3156" s="116"/>
      <c r="AQ3156" s="116"/>
      <c r="AR3156" s="116"/>
      <c r="AS3156" s="116"/>
      <c r="AT3156" s="116"/>
      <c r="AU3156" s="116"/>
      <c r="AV3156" s="78"/>
      <c r="AW3156" s="102"/>
      <c r="AX3156" s="78"/>
      <c r="AY3156" s="78"/>
      <c r="AZ3156" s="78"/>
      <c r="BA3156" s="78"/>
      <c r="BB3156" s="78"/>
      <c r="BC3156" s="78"/>
      <c r="BD3156" s="78"/>
      <c r="BE3156" s="465"/>
      <c r="BF3156" s="165" t="str">
        <f t="shared" ref="BF3156:BF3219" si="2437">"https://www.google.com/search?tbm=isch&amp;q=" &amp; _xlfn.ENCODEURL($A3156 &amp; " " &amp; $D3156)</f>
        <v>https://www.google.com/search?tbm=isch&amp;q=10%20G6</v>
      </c>
      <c r="BG3156" s="165" t="str">
        <f t="shared" ref="BG3156:BG3219" si="2438">IF(ISTEXT(A3156),LEFT(A3156,1),BG3155)</f>
        <v>O</v>
      </c>
      <c r="BH3156" s="65"/>
      <c r="BI3156" s="65"/>
      <c r="BJ3156" s="65"/>
      <c r="BK3156" s="65"/>
      <c r="BL3156" s="99"/>
      <c r="BM3156" s="99"/>
      <c r="BN3156" s="99"/>
    </row>
    <row r="3157" spans="1:66" s="51" customFormat="1" ht="15.75" x14ac:dyDescent="0.25">
      <c r="A3157" s="478">
        <v>20</v>
      </c>
      <c r="B3157" s="479" t="s">
        <v>291</v>
      </c>
      <c r="C3157" s="480" t="s">
        <v>970</v>
      </c>
      <c r="D3157" s="481" t="s">
        <v>299</v>
      </c>
      <c r="E3157" s="482">
        <v>206.95</v>
      </c>
      <c r="F3157" s="483" t="s">
        <v>292</v>
      </c>
      <c r="G3157" s="484">
        <v>0</v>
      </c>
      <c r="H3157" s="688" t="str">
        <f t="shared" si="2414"/>
        <v/>
      </c>
      <c r="I3157" s="485">
        <f t="shared" si="2415"/>
        <v>0</v>
      </c>
      <c r="J3157" s="485">
        <f t="shared" si="2416"/>
        <v>0</v>
      </c>
      <c r="K3157" s="715">
        <f t="shared" ref="K3157" si="2439">I3157+J3157</f>
        <v>0</v>
      </c>
      <c r="L3157" s="715"/>
      <c r="M3157" s="689" t="str">
        <f t="shared" ca="1" si="2418"/>
        <v/>
      </c>
      <c r="N3157" s="690"/>
      <c r="O3157" s="486"/>
      <c r="P3157" s="486"/>
      <c r="Q3157" s="486"/>
      <c r="R3157" s="486"/>
      <c r="S3157" s="486"/>
      <c r="T3157" s="102">
        <f t="shared" si="2426"/>
        <v>0</v>
      </c>
      <c r="U3157" s="78">
        <f>IF(NOT(ISNUMBER(G3157)), "", VLOOKUP(A3157,'Discount Lookup'!D:E,2,FALSE)*G3157)</f>
        <v>0</v>
      </c>
      <c r="V3157" s="78">
        <f>IF(NOT(ISNUMBER(G3157)), "", VLOOKUP(A3157,'Discount Lookup'!G:H,2,FALSE)*G3157)</f>
        <v>0</v>
      </c>
      <c r="W3157" s="102">
        <f t="shared" si="2427"/>
        <v>0</v>
      </c>
      <c r="X3157" s="102">
        <f t="shared" si="2428"/>
        <v>0</v>
      </c>
      <c r="Y3157" s="120" t="b">
        <f t="shared" si="2429"/>
        <v>0</v>
      </c>
      <c r="Z3157" s="117">
        <f t="shared" si="2430"/>
        <v>0</v>
      </c>
      <c r="AA3157" s="118"/>
      <c r="AB3157" s="118" t="str">
        <f t="shared" si="2431"/>
        <v/>
      </c>
      <c r="AC3157" s="712" t="str">
        <f>IF(AE3157="T2G","no charge",IF(AND(OR(PlanterYesMe="No",PlanterYesMe="N",PlanterYesMe="me"),H3157=""),"",IF(H3157="credit","NO install",IF(AND(K3157="",AE3157="me"),"EACH row",IF(AND(K3157="images",AE3157="me"),"EACH row",IF(D3157="","",IF(H3157="credit","",IF(AE3157="free","re-planting",IF(AE3157="me","   not ELP, by",IF(AND(OR(PlanterYesMe="Yes",PlanterYesMe="Y"),G3157&gt;0),(VLOOKUP(A3157,'Discount Lookup'!J:K,2)*G3157*(1-PlanterDiscount)*(1+PlanterDifficultyPercentage)),IF(AE3157="ELP",(VLOOKUP(A3157,'Discount Lookup'!J:K,2)*G3157*(1-PlanterDiscount)*(1+PlanterDifficultyPercentage)),IF(AE3157="free","re-planting",IF(G3157=0,"",IF(PlanterYesMe="",IF(AE3157="me","   not ELP, by",IF(AE3157="",IF(G3157&gt;0,(VLOOKUP(A3157,'Discount Lookup'!J:K,2)*G3157*(1-PlanterDiscount)*(1+PlanterDifficultyPercentage)),""),"")),"   not ELP, by"))))))))))))))</f>
        <v/>
      </c>
      <c r="AD3157" s="712"/>
      <c r="AE3157" s="513" t="str">
        <f t="shared" si="2432"/>
        <v/>
      </c>
      <c r="AF3157" s="713" t="str">
        <f t="shared" si="2433"/>
        <v/>
      </c>
      <c r="AG3157" s="713"/>
      <c r="AH3157" s="713"/>
      <c r="AI3157" s="112">
        <f>IF(H3157="credit",0,IF(AE3157="free",0,IF(AE3157="me",0,IF(G3157&gt;0,(VLOOKUP(A3157,'Discount Lookup'!J:K,2)*G3157),0))))</f>
        <v>0</v>
      </c>
      <c r="AJ3157" s="107" t="str">
        <f t="shared" ca="1" si="2434"/>
        <v/>
      </c>
      <c r="AK3157" s="714" t="str">
        <f t="shared" si="2435"/>
        <v/>
      </c>
      <c r="AL3157" s="714"/>
      <c r="AM3157" s="114" t="str">
        <f t="shared" si="2436"/>
        <v/>
      </c>
      <c r="AN3157" s="115"/>
      <c r="AO3157" s="116"/>
      <c r="AP3157" s="116"/>
      <c r="AQ3157" s="116"/>
      <c r="AR3157" s="116"/>
      <c r="AS3157" s="116"/>
      <c r="AT3157" s="116"/>
      <c r="AU3157" s="116"/>
      <c r="AV3157" s="78"/>
      <c r="AW3157" s="102"/>
      <c r="AX3157" s="78"/>
      <c r="AY3157" s="78"/>
      <c r="AZ3157" s="78"/>
      <c r="BA3157" s="78"/>
      <c r="BB3157" s="78"/>
      <c r="BC3157" s="78"/>
      <c r="BD3157" s="78"/>
      <c r="BE3157" s="465"/>
      <c r="BF3157" s="165" t="str">
        <f t="shared" si="2437"/>
        <v>https://www.google.com/search?tbm=isch&amp;q=20%20G4</v>
      </c>
      <c r="BG3157" s="165" t="str">
        <f t="shared" si="2438"/>
        <v>O</v>
      </c>
      <c r="BH3157" s="65"/>
      <c r="BI3157" s="65"/>
      <c r="BJ3157" s="65"/>
      <c r="BK3157" s="65"/>
      <c r="BL3157" s="99"/>
      <c r="BM3157" s="99"/>
      <c r="BN3157" s="99"/>
    </row>
    <row r="3158" spans="1:66" s="51" customFormat="1" ht="16.5" thickBot="1" x14ac:dyDescent="0.3">
      <c r="A3158" s="508" t="s">
        <v>641</v>
      </c>
      <c r="B3158" s="487"/>
      <c r="C3158" s="707"/>
      <c r="D3158" s="487"/>
      <c r="E3158" s="487"/>
      <c r="F3158" s="488"/>
      <c r="G3158" s="489"/>
      <c r="H3158" s="487"/>
      <c r="I3158" s="490"/>
      <c r="J3158" s="490"/>
      <c r="K3158" s="491"/>
      <c r="L3158" s="547"/>
      <c r="M3158" s="528"/>
      <c r="N3158" s="492"/>
      <c r="O3158" s="493"/>
      <c r="P3158" s="494"/>
      <c r="Q3158" s="492"/>
      <c r="R3158" s="492"/>
      <c r="S3158" s="495"/>
      <c r="T3158" s="102">
        <f t="shared" si="2426"/>
        <v>0</v>
      </c>
      <c r="U3158" s="78" t="str">
        <f>IF(NOT(ISNUMBER(G3158)), "", VLOOKUP(A3158,'Discount Lookup'!D:E,2,FALSE)*G3158)</f>
        <v/>
      </c>
      <c r="V3158" s="78" t="str">
        <f>IF(NOT(ISNUMBER(G3158)), "", VLOOKUP(A3158,'Discount Lookup'!G:H,2,FALSE)*G3158)</f>
        <v/>
      </c>
      <c r="W3158" s="102">
        <f t="shared" si="2427"/>
        <v>0</v>
      </c>
      <c r="X3158" s="102">
        <f t="shared" si="2428"/>
        <v>0</v>
      </c>
      <c r="Y3158" s="120" t="b">
        <f t="shared" si="2429"/>
        <v>0</v>
      </c>
      <c r="Z3158" s="117">
        <f t="shared" si="2430"/>
        <v>0</v>
      </c>
      <c r="AA3158" s="118"/>
      <c r="AB3158" s="118" t="str">
        <f t="shared" si="2431"/>
        <v/>
      </c>
      <c r="AC3158" s="712" t="str">
        <f>IF(AE3158="T2G","no charge",IF(AND(OR(PlanterYesMe="No",PlanterYesMe="N",PlanterYesMe="me"),H3158=""),"",IF(H3158="credit","NO install",IF(AND(K3158="",AE3158="me"),"EACH row",IF(AND(K3158="images",AE3158="me"),"EACH row",IF(D3158="","",IF(H3158="credit","",IF(AE3158="free","re-planting",IF(AE3158="me","   not ELP, by",IF(AND(OR(PlanterYesMe="Yes",PlanterYesMe="Y"),G3158&gt;0),(VLOOKUP(A3158,'Discount Lookup'!J:K,2)*G3158*(1-PlanterDiscount)*(1+PlanterDifficultyPercentage)),IF(AE3158="ELP",(VLOOKUP(A3158,'Discount Lookup'!J:K,2)*G3158*(1-PlanterDiscount)*(1+PlanterDifficultyPercentage)),IF(AE3158="free","re-planting",IF(G3158=0,"",IF(PlanterYesMe="",IF(AE3158="me","   not ELP, by",IF(AE3158="",IF(G3158&gt;0,(VLOOKUP(A3158,'Discount Lookup'!J:K,2)*G3158*(1-PlanterDiscount)*(1+PlanterDifficultyPercentage)),""),"")),"   not ELP, by"))))))))))))))</f>
        <v/>
      </c>
      <c r="AD3158" s="712"/>
      <c r="AE3158" s="513" t="str">
        <f t="shared" si="2432"/>
        <v/>
      </c>
      <c r="AF3158" s="713" t="str">
        <f t="shared" si="2433"/>
        <v/>
      </c>
      <c r="AG3158" s="713"/>
      <c r="AH3158" s="713"/>
      <c r="AI3158" s="112">
        <f>IF(H3158="credit",0,IF(AE3158="free",0,IF(AE3158="me",0,IF(G3158&gt;0,(VLOOKUP(A3158,'Discount Lookup'!J:K,2)*G3158),0))))</f>
        <v>0</v>
      </c>
      <c r="AJ3158" s="107" t="str">
        <f t="shared" ca="1" si="2434"/>
        <v/>
      </c>
      <c r="AK3158" s="714" t="str">
        <f t="shared" si="2435"/>
        <v/>
      </c>
      <c r="AL3158" s="714"/>
      <c r="AM3158" s="114" t="str">
        <f t="shared" si="2436"/>
        <v/>
      </c>
      <c r="AN3158" s="115"/>
      <c r="AO3158" s="116"/>
      <c r="AP3158" s="116"/>
      <c r="AQ3158" s="116"/>
      <c r="AR3158" s="116"/>
      <c r="AS3158" s="116"/>
      <c r="AT3158" s="116"/>
      <c r="AU3158" s="116"/>
      <c r="AV3158" s="78"/>
      <c r="AW3158" s="102"/>
      <c r="AX3158" s="78"/>
      <c r="AY3158" s="78"/>
      <c r="AZ3158" s="78"/>
      <c r="BA3158" s="78"/>
      <c r="BB3158" s="78"/>
      <c r="BC3158" s="78"/>
      <c r="BD3158" s="78"/>
      <c r="BE3158" s="465"/>
      <c r="BF3158" s="165" t="str">
        <f t="shared" si="2437"/>
        <v>https://www.google.com/search?tbm=isch&amp;q=Fragrant%20Tea%20Olive%20is%20very%20aromatic%2C%20starting%20with%20blooms%20in%20late%20winter%2C%20then%20sporadically%20over%20summer%20</v>
      </c>
      <c r="BG3158" s="165" t="str">
        <f t="shared" si="2438"/>
        <v>F</v>
      </c>
      <c r="BH3158" s="65"/>
      <c r="BI3158" s="65"/>
      <c r="BJ3158" s="65"/>
      <c r="BK3158" s="65"/>
      <c r="BL3158" s="99"/>
      <c r="BM3158" s="99"/>
      <c r="BN3158" s="99"/>
    </row>
    <row r="3159" spans="1:66" s="51" customFormat="1" ht="18" x14ac:dyDescent="0.25">
      <c r="A3159" s="507" t="s">
        <v>5084</v>
      </c>
      <c r="B3159" s="470"/>
      <c r="C3159" s="706"/>
      <c r="D3159" s="471" t="s">
        <v>5085</v>
      </c>
      <c r="E3159" s="472"/>
      <c r="F3159" s="472"/>
      <c r="G3159" s="472"/>
      <c r="H3159" s="622" t="s">
        <v>330</v>
      </c>
      <c r="I3159" s="473" t="s">
        <v>349</v>
      </c>
      <c r="J3159" s="472"/>
      <c r="K3159" s="472"/>
      <c r="L3159" s="561"/>
      <c r="M3159" s="698" t="s">
        <v>5246</v>
      </c>
      <c r="N3159" s="692" t="str">
        <f>IF(AND(ISTEXT($A3159), ISERROR($A3159+0)), HYPERLINK($BF3159, "Images"), "")</f>
        <v>Images</v>
      </c>
      <c r="O3159" s="694" t="s">
        <v>5244</v>
      </c>
      <c r="P3159" s="475"/>
      <c r="Q3159" s="476"/>
      <c r="R3159" s="476"/>
      <c r="S3159" s="477"/>
      <c r="T3159" s="102">
        <f t="shared" si="2426"/>
        <v>0</v>
      </c>
      <c r="U3159" s="78" t="str">
        <f>IF(NOT(ISNUMBER(G3159)), "", VLOOKUP(A3159,'Discount Lookup'!D:E,2,FALSE)*G3159)</f>
        <v/>
      </c>
      <c r="V3159" s="78" t="str">
        <f>IF(NOT(ISNUMBER(G3159)), "", VLOOKUP(A3159,'Discount Lookup'!G:H,2,FALSE)*G3159)</f>
        <v/>
      </c>
      <c r="W3159" s="102">
        <f t="shared" si="2427"/>
        <v>0</v>
      </c>
      <c r="X3159" s="102" t="str">
        <f t="shared" si="2428"/>
        <v>White bloom</v>
      </c>
      <c r="Y3159" s="120" t="b">
        <f t="shared" si="2429"/>
        <v>0</v>
      </c>
      <c r="Z3159" s="117">
        <f t="shared" si="2430"/>
        <v>0</v>
      </c>
      <c r="AA3159" s="118"/>
      <c r="AB3159" s="118" t="str">
        <f t="shared" si="2431"/>
        <v/>
      </c>
      <c r="AC3159" s="712" t="str">
        <f>IF(AE3159="T2G","no charge",IF(AND(OR(PlanterYesMe="No",PlanterYesMe="N",PlanterYesMe="me"),H3159=""),"",IF(H3159="credit","NO install",IF(AND(K3159="",AE3159="me"),"EACH row",IF(AND(K3159="images",AE3159="me"),"EACH row",IF(D3159="","",IF(H3159="credit","",IF(AE3159="free","re-planting",IF(AE3159="me","   not ELP, by",IF(AND(OR(PlanterYesMe="Yes",PlanterYesMe="Y"),G3159&gt;0),(VLOOKUP(A3159,'Discount Lookup'!J:K,2)*G3159*(1-PlanterDiscount)*(1+PlanterDifficultyPercentage)),IF(AE3159="ELP",(VLOOKUP(A3159,'Discount Lookup'!J:K,2)*G3159*(1-PlanterDiscount)*(1+PlanterDifficultyPercentage)),IF(AE3159="free","re-planting",IF(G3159=0,"",IF(PlanterYesMe="",IF(AE3159="me","   not ELP, by",IF(AE3159="",IF(G3159&gt;0,(VLOOKUP(A3159,'Discount Lookup'!J:K,2)*G3159*(1-PlanterDiscount)*(1+PlanterDifficultyPercentage)),""),"")),"   not ELP, by"))))))))))))))</f>
        <v/>
      </c>
      <c r="AD3159" s="712"/>
      <c r="AE3159" s="513" t="str">
        <f t="shared" si="2432"/>
        <v/>
      </c>
      <c r="AF3159" s="713" t="str">
        <f t="shared" si="2433"/>
        <v/>
      </c>
      <c r="AG3159" s="713"/>
      <c r="AH3159" s="713"/>
      <c r="AI3159" s="112">
        <f>IF(H3159="credit",0,IF(AE3159="free",0,IF(AE3159="me",0,IF(G3159&gt;0,(VLOOKUP(A3159,'Discount Lookup'!J:K,2)*G3159),0))))</f>
        <v>0</v>
      </c>
      <c r="AJ3159" s="107" t="str">
        <f t="shared" ca="1" si="2434"/>
        <v/>
      </c>
      <c r="AK3159" s="714" t="str">
        <f t="shared" si="2435"/>
        <v/>
      </c>
      <c r="AL3159" s="714"/>
      <c r="AM3159" s="114" t="str">
        <f t="shared" si="2436"/>
        <v/>
      </c>
      <c r="AN3159" s="115"/>
      <c r="AO3159" s="116"/>
      <c r="AP3159" s="116"/>
      <c r="AQ3159" s="116"/>
      <c r="AR3159" s="116"/>
      <c r="AS3159" s="116"/>
      <c r="AT3159" s="116"/>
      <c r="AU3159" s="116"/>
      <c r="AV3159" s="78"/>
      <c r="AW3159" s="102"/>
      <c r="AX3159" s="78"/>
      <c r="AY3159" s="78"/>
      <c r="AZ3159" s="78"/>
      <c r="BA3159" s="78"/>
      <c r="BB3159" s="78"/>
      <c r="BC3159" s="78"/>
      <c r="BD3159" s="78"/>
      <c r="BE3159" s="465"/>
      <c r="BF3159" s="165" t="str">
        <f t="shared" si="2437"/>
        <v>https://www.google.com/search?tbm=isch&amp;q=Osmanthus%20fragrans%20%27Quinnan%20Guifei%27%20Noble%20Lady%20Tea%20Olive</v>
      </c>
      <c r="BG3159" s="165" t="str">
        <f t="shared" si="2438"/>
        <v>O</v>
      </c>
      <c r="BH3159" s="65"/>
      <c r="BI3159" s="65"/>
      <c r="BJ3159" s="65"/>
      <c r="BK3159" s="65"/>
      <c r="BL3159" s="99"/>
      <c r="BM3159" s="99"/>
      <c r="BN3159" s="99"/>
    </row>
    <row r="3160" spans="1:66" s="51" customFormat="1" ht="15.75" x14ac:dyDescent="0.25">
      <c r="A3160" s="478">
        <v>7</v>
      </c>
      <c r="B3160" s="479" t="s">
        <v>291</v>
      </c>
      <c r="C3160" s="480" t="s">
        <v>5086</v>
      </c>
      <c r="D3160" s="481" t="s">
        <v>299</v>
      </c>
      <c r="E3160" s="482">
        <v>109.95</v>
      </c>
      <c r="F3160" s="483" t="s">
        <v>292</v>
      </c>
      <c r="G3160" s="484">
        <v>0</v>
      </c>
      <c r="H3160" s="688" t="str">
        <f>IF(G3160=0,"",IF(F3160="Buy",IF(G3160=1,"plant","plants"),IF(F3160&gt;0.01,"warranty","Error")))</f>
        <v/>
      </c>
      <c r="I3160" s="485">
        <f>IF(H3160="free",0,IF(H3160="credit",((E3160*(F3160))*G3160*-1),IF(F3160="Buy",(E3160*G3160),((E3160*(1-F3160))*G3160))))</f>
        <v>0</v>
      </c>
      <c r="J3160" s="485">
        <f>IF(H3160="warranty",0,(I3160*(_xlfn.SINGLE(SalesTaxPercentage))))</f>
        <v>0</v>
      </c>
      <c r="K3160" s="715">
        <f t="shared" ref="K3160" si="2440">I3160+J3160</f>
        <v>0</v>
      </c>
      <c r="L3160" s="715"/>
      <c r="M3160" s="689" t="str">
        <f ca="1">IF(AND(G3160&gt;0,E3160=0),"WARNING - no PRICE inserted",IF(H3160="free","FREE ~ no charge this plant",IF(H3160="credit",CONCATENATE("-$",ROUND(K3160*(1-_xlfn.SINGLE(T2GDiscount))*-1,2)," CREDIT after discount"),IF(_xlfn.SINGLE(T2GDiscount)=0,"",IF(G3160=0,"",IF(F3160="Buy",CONCATENATE("$",ROUND(K3160*(1-_xlfn.SINGLE(T2GDiscount)),2)," with ",(_xlfn.SINGLE(T2GDiscount)*100),"% discount"),CONCATENATE("$",ROUND(K3160*(1-_xlfn.SINGLE(T2GDiscount)),2)," with ",((_xlfn.SINGLE(T2GDiscount)*100+F3160*100)-(_xlfn.SINGLE(T2GDiscount)*100*F3160)),IF(F3160&gt;0,"% discounts",IF(_xlfn.SINGLE(NoWarrantyDiscount)&gt;0,"% discounts","% discount")))))))))</f>
        <v/>
      </c>
      <c r="N3160" s="690"/>
      <c r="O3160" s="486"/>
      <c r="P3160" s="486"/>
      <c r="Q3160" s="486"/>
      <c r="R3160" s="486"/>
      <c r="S3160" s="486"/>
      <c r="T3160" s="102">
        <f t="shared" si="2426"/>
        <v>0</v>
      </c>
      <c r="U3160" s="78">
        <f>IF(NOT(ISNUMBER(G3160)), "", VLOOKUP(A3160,'Discount Lookup'!D:E,2,FALSE)*G3160)</f>
        <v>0</v>
      </c>
      <c r="V3160" s="78">
        <f>IF(NOT(ISNUMBER(G3160)), "", VLOOKUP(A3160,'Discount Lookup'!G:H,2,FALSE)*G3160)</f>
        <v>0</v>
      </c>
      <c r="W3160" s="102">
        <f t="shared" si="2427"/>
        <v>0</v>
      </c>
      <c r="X3160" s="102">
        <f t="shared" si="2428"/>
        <v>0</v>
      </c>
      <c r="Y3160" s="120" t="b">
        <f t="shared" si="2429"/>
        <v>0</v>
      </c>
      <c r="Z3160" s="117">
        <f t="shared" si="2430"/>
        <v>0</v>
      </c>
      <c r="AA3160" s="118"/>
      <c r="AB3160" s="118" t="str">
        <f t="shared" si="2431"/>
        <v/>
      </c>
      <c r="AC3160" s="712" t="str">
        <f>IF(AE3160="T2G","no charge",IF(AND(OR(PlanterYesMe="No",PlanterYesMe="N",PlanterYesMe="me"),H3160=""),"",IF(H3160="credit","NO install",IF(AND(K3160="",AE3160="me"),"EACH row",IF(AND(K3160="images",AE3160="me"),"EACH row",IF(D3160="","",IF(H3160="credit","",IF(AE3160="free","re-planting",IF(AE3160="me","   not ELP, by",IF(AND(OR(PlanterYesMe="Yes",PlanterYesMe="Y"),G3160&gt;0),(VLOOKUP(A3160,'Discount Lookup'!J:K,2)*G3160*(1-PlanterDiscount)*(1+PlanterDifficultyPercentage)),IF(AE3160="ELP",(VLOOKUP(A3160,'Discount Lookup'!J:K,2)*G3160*(1-PlanterDiscount)*(1+PlanterDifficultyPercentage)),IF(AE3160="free","re-planting",IF(G3160=0,"",IF(PlanterYesMe="",IF(AE3160="me","   not ELP, by",IF(AE3160="",IF(G3160&gt;0,(VLOOKUP(A3160,'Discount Lookup'!J:K,2)*G3160*(1-PlanterDiscount)*(1+PlanterDifficultyPercentage)),""),"")),"   not ELP, by"))))))))))))))</f>
        <v/>
      </c>
      <c r="AD3160" s="712"/>
      <c r="AE3160" s="513" t="str">
        <f t="shared" si="2432"/>
        <v/>
      </c>
      <c r="AF3160" s="713" t="str">
        <f t="shared" si="2433"/>
        <v/>
      </c>
      <c r="AG3160" s="713"/>
      <c r="AH3160" s="713"/>
      <c r="AI3160" s="112">
        <f>IF(H3160="credit",0,IF(AE3160="free",0,IF(AE3160="me",0,IF(G3160&gt;0,(VLOOKUP(A3160,'Discount Lookup'!J:K,2)*G3160),0))))</f>
        <v>0</v>
      </c>
      <c r="AJ3160" s="107" t="str">
        <f t="shared" ca="1" si="2434"/>
        <v/>
      </c>
      <c r="AK3160" s="714" t="str">
        <f t="shared" si="2435"/>
        <v/>
      </c>
      <c r="AL3160" s="714"/>
      <c r="AM3160" s="114" t="str">
        <f t="shared" si="2436"/>
        <v/>
      </c>
      <c r="AN3160" s="115"/>
      <c r="AO3160" s="116"/>
      <c r="AP3160" s="116"/>
      <c r="AQ3160" s="116"/>
      <c r="AR3160" s="116"/>
      <c r="AS3160" s="116"/>
      <c r="AT3160" s="116"/>
      <c r="AU3160" s="116"/>
      <c r="AV3160" s="78"/>
      <c r="AW3160" s="102"/>
      <c r="AX3160" s="78"/>
      <c r="AY3160" s="78"/>
      <c r="AZ3160" s="78"/>
      <c r="BA3160" s="78"/>
      <c r="BB3160" s="78"/>
      <c r="BC3160" s="78"/>
      <c r="BD3160" s="78"/>
      <c r="BE3160" s="465"/>
      <c r="BF3160" s="165" t="str">
        <f t="shared" si="2437"/>
        <v>https://www.google.com/search?tbm=isch&amp;q=7%20G4</v>
      </c>
      <c r="BG3160" s="165" t="str">
        <f t="shared" si="2438"/>
        <v>O</v>
      </c>
      <c r="BH3160" s="65"/>
      <c r="BI3160" s="65"/>
      <c r="BJ3160" s="65"/>
      <c r="BK3160" s="65"/>
      <c r="BL3160" s="99"/>
      <c r="BM3160" s="99"/>
      <c r="BN3160" s="99"/>
    </row>
    <row r="3161" spans="1:66" s="51" customFormat="1" ht="16.5" thickBot="1" x14ac:dyDescent="0.3">
      <c r="A3161" s="508" t="s">
        <v>5087</v>
      </c>
      <c r="B3161" s="487"/>
      <c r="C3161" s="707"/>
      <c r="D3161" s="487"/>
      <c r="E3161" s="487"/>
      <c r="F3161" s="488"/>
      <c r="G3161" s="489"/>
      <c r="H3161" s="487"/>
      <c r="I3161" s="490"/>
      <c r="J3161" s="490"/>
      <c r="K3161" s="491"/>
      <c r="L3161" s="547"/>
      <c r="M3161" s="528"/>
      <c r="N3161" s="492"/>
      <c r="O3161" s="493"/>
      <c r="P3161" s="494"/>
      <c r="Q3161" s="492"/>
      <c r="R3161" s="492"/>
      <c r="S3161" s="699" t="s">
        <v>5259</v>
      </c>
      <c r="T3161" s="102">
        <f t="shared" si="2426"/>
        <v>0</v>
      </c>
      <c r="U3161" s="78" t="str">
        <f>IF(NOT(ISNUMBER(G3161)), "", VLOOKUP(A3161,'Discount Lookup'!D:E,2,FALSE)*G3161)</f>
        <v/>
      </c>
      <c r="V3161" s="78" t="str">
        <f>IF(NOT(ISNUMBER(G3161)), "", VLOOKUP(A3161,'Discount Lookup'!G:H,2,FALSE)*G3161)</f>
        <v/>
      </c>
      <c r="W3161" s="102">
        <f t="shared" si="2427"/>
        <v>0</v>
      </c>
      <c r="X3161" s="102">
        <f t="shared" si="2428"/>
        <v>0</v>
      </c>
      <c r="Y3161" s="120" t="b">
        <f t="shared" si="2429"/>
        <v>0</v>
      </c>
      <c r="Z3161" s="117">
        <f t="shared" si="2430"/>
        <v>0</v>
      </c>
      <c r="AA3161" s="118"/>
      <c r="AB3161" s="118" t="str">
        <f t="shared" si="2431"/>
        <v/>
      </c>
      <c r="AC3161" s="712" t="str">
        <f>IF(AE3161="T2G","no charge",IF(AND(OR(PlanterYesMe="No",PlanterYesMe="N",PlanterYesMe="me"),H3161=""),"",IF(H3161="credit","NO install",IF(AND(K3161="",AE3161="me"),"EACH row",IF(AND(K3161="images",AE3161="me"),"EACH row",IF(D3161="","",IF(H3161="credit","",IF(AE3161="free","re-planting",IF(AE3161="me","   not ELP, by",IF(AND(OR(PlanterYesMe="Yes",PlanterYesMe="Y"),G3161&gt;0),(VLOOKUP(A3161,'Discount Lookup'!J:K,2)*G3161*(1-PlanterDiscount)*(1+PlanterDifficultyPercentage)),IF(AE3161="ELP",(VLOOKUP(A3161,'Discount Lookup'!J:K,2)*G3161*(1-PlanterDiscount)*(1+PlanterDifficultyPercentage)),IF(AE3161="free","re-planting",IF(G3161=0,"",IF(PlanterYesMe="",IF(AE3161="me","   not ELP, by",IF(AE3161="",IF(G3161&gt;0,(VLOOKUP(A3161,'Discount Lookup'!J:K,2)*G3161*(1-PlanterDiscount)*(1+PlanterDifficultyPercentage)),""),"")),"   not ELP, by"))))))))))))))</f>
        <v/>
      </c>
      <c r="AD3161" s="712"/>
      <c r="AE3161" s="513" t="str">
        <f t="shared" si="2432"/>
        <v/>
      </c>
      <c r="AF3161" s="713" t="str">
        <f t="shared" si="2433"/>
        <v/>
      </c>
      <c r="AG3161" s="713"/>
      <c r="AH3161" s="713"/>
      <c r="AI3161" s="112">
        <f>IF(H3161="credit",0,IF(AE3161="free",0,IF(AE3161="me",0,IF(G3161&gt;0,(VLOOKUP(A3161,'Discount Lookup'!J:K,2)*G3161),0))))</f>
        <v>0</v>
      </c>
      <c r="AJ3161" s="107" t="str">
        <f t="shared" ca="1" si="2434"/>
        <v/>
      </c>
      <c r="AK3161" s="714" t="str">
        <f t="shared" si="2435"/>
        <v/>
      </c>
      <c r="AL3161" s="714"/>
      <c r="AM3161" s="114" t="str">
        <f t="shared" si="2436"/>
        <v/>
      </c>
      <c r="AN3161" s="115"/>
      <c r="AO3161" s="116"/>
      <c r="AP3161" s="116"/>
      <c r="AQ3161" s="116"/>
      <c r="AR3161" s="116"/>
      <c r="AS3161" s="116"/>
      <c r="AT3161" s="116"/>
      <c r="AU3161" s="116"/>
      <c r="AV3161" s="78"/>
      <c r="AW3161" s="102"/>
      <c r="AX3161" s="78"/>
      <c r="AY3161" s="78"/>
      <c r="AZ3161" s="78"/>
      <c r="BA3161" s="78"/>
      <c r="BB3161" s="78"/>
      <c r="BC3161" s="78"/>
      <c r="BD3161" s="78"/>
      <c r="BE3161" s="465"/>
      <c r="BF3161" s="165" t="str">
        <f t="shared" si="2437"/>
        <v>https://www.google.com/search?tbm=isch&amp;q=Noble%20Lady%20foliage%20flushes%20Deep%20Pink%2C%20then%20fades%20to%20Pale%20Pink%20and%20Creamy%20White%20before%20maturing%20to%20Green.%20Intensely%20fragrant%20blooms%20</v>
      </c>
      <c r="BG3161" s="165" t="str">
        <f t="shared" si="2438"/>
        <v>N</v>
      </c>
      <c r="BH3161" s="65"/>
      <c r="BI3161" s="65"/>
      <c r="BJ3161" s="65"/>
      <c r="BK3161" s="65"/>
      <c r="BL3161" s="99"/>
      <c r="BM3161" s="99"/>
      <c r="BN3161" s="99"/>
    </row>
    <row r="3162" spans="1:66" s="51" customFormat="1" ht="18" x14ac:dyDescent="0.25">
      <c r="A3162" s="507" t="s">
        <v>3712</v>
      </c>
      <c r="B3162" s="470"/>
      <c r="C3162" s="706"/>
      <c r="D3162" s="471" t="s">
        <v>3713</v>
      </c>
      <c r="E3162" s="472"/>
      <c r="F3162" s="472"/>
      <c r="G3162" s="472"/>
      <c r="H3162" s="622" t="s">
        <v>1217</v>
      </c>
      <c r="I3162" s="473" t="s">
        <v>349</v>
      </c>
      <c r="J3162" s="472"/>
      <c r="K3162" s="472"/>
      <c r="L3162" s="561"/>
      <c r="M3162" s="698" t="s">
        <v>5246</v>
      </c>
      <c r="N3162" s="692" t="str">
        <f>IF(AND(ISTEXT($A3162), ISERROR($A3162+0)), HYPERLINK($BF3162, "Images"), "")</f>
        <v>Images</v>
      </c>
      <c r="O3162" s="694" t="s">
        <v>5247</v>
      </c>
      <c r="P3162" s="475"/>
      <c r="Q3162" s="476"/>
      <c r="R3162" s="476"/>
      <c r="S3162" s="477"/>
      <c r="T3162" s="102">
        <f t="shared" si="2426"/>
        <v>0</v>
      </c>
      <c r="U3162" s="78" t="str">
        <f>IF(NOT(ISNUMBER(G3162)), "", VLOOKUP(A3162,'Discount Lookup'!D:E,2,FALSE)*G3162)</f>
        <v/>
      </c>
      <c r="V3162" s="78" t="str">
        <f>IF(NOT(ISNUMBER(G3162)), "", VLOOKUP(A3162,'Discount Lookup'!G:H,2,FALSE)*G3162)</f>
        <v/>
      </c>
      <c r="W3162" s="102">
        <f t="shared" si="2427"/>
        <v>0</v>
      </c>
      <c r="X3162" s="102" t="str">
        <f t="shared" si="2428"/>
        <v>White bloom</v>
      </c>
      <c r="Y3162" s="120" t="b">
        <f t="shared" si="2429"/>
        <v>0</v>
      </c>
      <c r="Z3162" s="117">
        <f t="shared" si="2430"/>
        <v>0</v>
      </c>
      <c r="AA3162" s="118"/>
      <c r="AB3162" s="118" t="str">
        <f t="shared" si="2431"/>
        <v/>
      </c>
      <c r="AC3162" s="712" t="str">
        <f>IF(AE3162="T2G","no charge",IF(AND(OR(PlanterYesMe="No",PlanterYesMe="N",PlanterYesMe="me"),H3162=""),"",IF(H3162="credit","NO install",IF(AND(K3162="",AE3162="me"),"EACH row",IF(AND(K3162="images",AE3162="me"),"EACH row",IF(D3162="","",IF(H3162="credit","",IF(AE3162="free","re-planting",IF(AE3162="me","   not ELP, by",IF(AND(OR(PlanterYesMe="Yes",PlanterYesMe="Y"),G3162&gt;0),(VLOOKUP(A3162,'Discount Lookup'!J:K,2)*G3162*(1-PlanterDiscount)*(1+PlanterDifficultyPercentage)),IF(AE3162="ELP",(VLOOKUP(A3162,'Discount Lookup'!J:K,2)*G3162*(1-PlanterDiscount)*(1+PlanterDifficultyPercentage)),IF(AE3162="free","re-planting",IF(G3162=0,"",IF(PlanterYesMe="",IF(AE3162="me","   not ELP, by",IF(AE3162="",IF(G3162&gt;0,(VLOOKUP(A3162,'Discount Lookup'!J:K,2)*G3162*(1-PlanterDiscount)*(1+PlanterDifficultyPercentage)),""),"")),"   not ELP, by"))))))))))))))</f>
        <v/>
      </c>
      <c r="AD3162" s="712"/>
      <c r="AE3162" s="513" t="str">
        <f t="shared" si="2432"/>
        <v/>
      </c>
      <c r="AF3162" s="713" t="str">
        <f t="shared" si="2433"/>
        <v/>
      </c>
      <c r="AG3162" s="713"/>
      <c r="AH3162" s="713"/>
      <c r="AI3162" s="112">
        <f>IF(H3162="credit",0,IF(AE3162="free",0,IF(AE3162="me",0,IF(G3162&gt;0,(VLOOKUP(A3162,'Discount Lookup'!J:K,2)*G3162),0))))</f>
        <v>0</v>
      </c>
      <c r="AJ3162" s="107" t="str">
        <f t="shared" ca="1" si="2434"/>
        <v/>
      </c>
      <c r="AK3162" s="714" t="str">
        <f t="shared" si="2435"/>
        <v/>
      </c>
      <c r="AL3162" s="714"/>
      <c r="AM3162" s="114" t="str">
        <f t="shared" si="2436"/>
        <v/>
      </c>
      <c r="AN3162" s="115"/>
      <c r="AO3162" s="116"/>
      <c r="AP3162" s="116"/>
      <c r="AQ3162" s="116"/>
      <c r="AR3162" s="116"/>
      <c r="AS3162" s="116"/>
      <c r="AT3162" s="116"/>
      <c r="AU3162" s="116"/>
      <c r="AV3162" s="78"/>
      <c r="AW3162" s="102"/>
      <c r="AX3162" s="78"/>
      <c r="AY3162" s="78"/>
      <c r="AZ3162" s="78"/>
      <c r="BA3162" s="78"/>
      <c r="BB3162" s="78"/>
      <c r="BC3162" s="78"/>
      <c r="BD3162" s="78"/>
      <c r="BE3162" s="465"/>
      <c r="BF3162" s="165" t="str">
        <f t="shared" si="2437"/>
        <v>https://www.google.com/search?tbm=isch&amp;q=Osmanthus%20heterophyllus%20%27Goshiki%27%20Goshiki%20Osmanthus</v>
      </c>
      <c r="BG3162" s="165" t="str">
        <f t="shared" si="2438"/>
        <v>O</v>
      </c>
      <c r="BH3162" s="65"/>
      <c r="BI3162" s="65"/>
      <c r="BJ3162" s="65"/>
      <c r="BK3162" s="65"/>
      <c r="BL3162" s="99"/>
      <c r="BM3162" s="99"/>
      <c r="BN3162" s="99"/>
    </row>
    <row r="3163" spans="1:66" s="51" customFormat="1" ht="15.75" x14ac:dyDescent="0.25">
      <c r="A3163" s="478">
        <v>3</v>
      </c>
      <c r="B3163" s="479" t="s">
        <v>291</v>
      </c>
      <c r="C3163" s="480" t="s">
        <v>3669</v>
      </c>
      <c r="D3163" s="481" t="s">
        <v>329</v>
      </c>
      <c r="E3163" s="482">
        <v>21.95</v>
      </c>
      <c r="F3163" s="483" t="s">
        <v>292</v>
      </c>
      <c r="G3163" s="484">
        <v>0</v>
      </c>
      <c r="H3163" s="688" t="str">
        <f t="shared" ref="H3163:H3171" si="2441">IF(G3163=0,"",IF(F3163="Buy",IF(G3163=1,"plant","plants"),IF(F3163&gt;0.01,"warranty","Error")))</f>
        <v/>
      </c>
      <c r="I3163" s="485">
        <f t="shared" ref="I3163:I3171" si="2442">IF(H3163="free",0,IF(H3163="credit",((E3163*(F3163))*G3163*-1),IF(F3163="Buy",(E3163*G3163),((E3163*(1-F3163))*G3163))))</f>
        <v>0</v>
      </c>
      <c r="J3163" s="485">
        <f t="shared" ref="J3163:J3171" si="2443">IF(H3163="warranty",0,(I3163*(_xlfn.SINGLE(SalesTaxPercentage))))</f>
        <v>0</v>
      </c>
      <c r="K3163" s="715">
        <f t="shared" ref="K3163" si="2444">I3163+J3163</f>
        <v>0</v>
      </c>
      <c r="L3163" s="715"/>
      <c r="M3163" s="689" t="str">
        <f t="shared" ref="M3163:M3171" ca="1" si="2445">IF(AND(G3163&gt;0,E3163=0),"WARNING - no PRICE inserted",IF(H3163="free","FREE ~ no charge this plant",IF(H3163="credit",CONCATENATE("-$",ROUND(K3163*(1-_xlfn.SINGLE(T2GDiscount))*-1,2)," CREDIT after discount"),IF(_xlfn.SINGLE(T2GDiscount)=0,"",IF(G3163=0,"",IF(F3163="Buy",CONCATENATE("$",ROUND(K3163*(1-_xlfn.SINGLE(T2GDiscount)),2)," with ",(_xlfn.SINGLE(T2GDiscount)*100),"% discount"),CONCATENATE("$",ROUND(K3163*(1-_xlfn.SINGLE(T2GDiscount)),2)," with ",((_xlfn.SINGLE(T2GDiscount)*100+F3163*100)-(_xlfn.SINGLE(T2GDiscount)*100*F3163)),IF(F3163&gt;0,"% discounts",IF(_xlfn.SINGLE(NoWarrantyDiscount)&gt;0,"% discounts","% discount")))))))))</f>
        <v/>
      </c>
      <c r="N3163" s="690"/>
      <c r="O3163" s="486"/>
      <c r="P3163" s="486"/>
      <c r="Q3163" s="486"/>
      <c r="R3163" s="486"/>
      <c r="S3163" s="486"/>
      <c r="T3163" s="102">
        <f t="shared" si="2426"/>
        <v>0</v>
      </c>
      <c r="U3163" s="78">
        <f>IF(NOT(ISNUMBER(G3163)), "", VLOOKUP(A3163,'Discount Lookup'!D:E,2,FALSE)*G3163)</f>
        <v>0</v>
      </c>
      <c r="V3163" s="78">
        <f>IF(NOT(ISNUMBER(G3163)), "", VLOOKUP(A3163,'Discount Lookup'!G:H,2,FALSE)*G3163)</f>
        <v>0</v>
      </c>
      <c r="W3163" s="102">
        <f t="shared" si="2427"/>
        <v>0</v>
      </c>
      <c r="X3163" s="102">
        <f t="shared" si="2428"/>
        <v>0</v>
      </c>
      <c r="Y3163" s="120" t="b">
        <f t="shared" si="2429"/>
        <v>0</v>
      </c>
      <c r="Z3163" s="117">
        <f t="shared" si="2430"/>
        <v>0</v>
      </c>
      <c r="AA3163" s="118"/>
      <c r="AB3163" s="118" t="str">
        <f t="shared" si="2431"/>
        <v/>
      </c>
      <c r="AC3163" s="712" t="str">
        <f>IF(AE3163="T2G","no charge",IF(AND(OR(PlanterYesMe="No",PlanterYesMe="N",PlanterYesMe="me"),H3163=""),"",IF(H3163="credit","NO install",IF(AND(K3163="",AE3163="me"),"EACH row",IF(AND(K3163="images",AE3163="me"),"EACH row",IF(D3163="","",IF(H3163="credit","",IF(AE3163="free","re-planting",IF(AE3163="me","   not ELP, by",IF(AND(OR(PlanterYesMe="Yes",PlanterYesMe="Y"),G3163&gt;0),(VLOOKUP(A3163,'Discount Lookup'!J:K,2)*G3163*(1-PlanterDiscount)*(1+PlanterDifficultyPercentage)),IF(AE3163="ELP",(VLOOKUP(A3163,'Discount Lookup'!J:K,2)*G3163*(1-PlanterDiscount)*(1+PlanterDifficultyPercentage)),IF(AE3163="free","re-planting",IF(G3163=0,"",IF(PlanterYesMe="",IF(AE3163="me","   not ELP, by",IF(AE3163="",IF(G3163&gt;0,(VLOOKUP(A3163,'Discount Lookup'!J:K,2)*G3163*(1-PlanterDiscount)*(1+PlanterDifficultyPercentage)),""),"")),"   not ELP, by"))))))))))))))</f>
        <v/>
      </c>
      <c r="AD3163" s="712"/>
      <c r="AE3163" s="513" t="str">
        <f t="shared" si="2432"/>
        <v/>
      </c>
      <c r="AF3163" s="713" t="str">
        <f t="shared" si="2433"/>
        <v/>
      </c>
      <c r="AG3163" s="713"/>
      <c r="AH3163" s="713"/>
      <c r="AI3163" s="112">
        <f>IF(H3163="credit",0,IF(AE3163="free",0,IF(AE3163="me",0,IF(G3163&gt;0,(VLOOKUP(A3163,'Discount Lookup'!J:K,2)*G3163),0))))</f>
        <v>0</v>
      </c>
      <c r="AJ3163" s="107" t="str">
        <f t="shared" ca="1" si="2434"/>
        <v/>
      </c>
      <c r="AK3163" s="714" t="str">
        <f t="shared" si="2435"/>
        <v/>
      </c>
      <c r="AL3163" s="714"/>
      <c r="AM3163" s="114" t="str">
        <f t="shared" si="2436"/>
        <v/>
      </c>
      <c r="AN3163" s="115"/>
      <c r="AO3163" s="116"/>
      <c r="AP3163" s="116"/>
      <c r="AQ3163" s="116"/>
      <c r="AR3163" s="116"/>
      <c r="AS3163" s="116"/>
      <c r="AT3163" s="116"/>
      <c r="AU3163" s="116"/>
      <c r="AV3163" s="78"/>
      <c r="AW3163" s="102"/>
      <c r="AX3163" s="78"/>
      <c r="AY3163" s="78"/>
      <c r="AZ3163" s="78"/>
      <c r="BA3163" s="78"/>
      <c r="BB3163" s="78"/>
      <c r="BC3163" s="78"/>
      <c r="BD3163" s="78"/>
      <c r="BE3163" s="465"/>
      <c r="BF3163" s="165" t="str">
        <f t="shared" si="2437"/>
        <v>https://www.google.com/search?tbm=isch&amp;q=3%20G2</v>
      </c>
      <c r="BG3163" s="165" t="str">
        <f t="shared" si="2438"/>
        <v>O</v>
      </c>
      <c r="BH3163" s="65"/>
      <c r="BI3163" s="65"/>
      <c r="BJ3163" s="65"/>
      <c r="BK3163" s="65"/>
      <c r="BL3163" s="99"/>
      <c r="BM3163" s="99"/>
      <c r="BN3163" s="99"/>
    </row>
    <row r="3164" spans="1:66" s="51" customFormat="1" ht="15.75" x14ac:dyDescent="0.25">
      <c r="A3164" s="478">
        <v>3</v>
      </c>
      <c r="B3164" s="479" t="s">
        <v>291</v>
      </c>
      <c r="C3164" s="480"/>
      <c r="D3164" s="481" t="s">
        <v>310</v>
      </c>
      <c r="E3164" s="482">
        <v>31.95</v>
      </c>
      <c r="F3164" s="483" t="s">
        <v>292</v>
      </c>
      <c r="G3164" s="484">
        <v>0</v>
      </c>
      <c r="H3164" s="688" t="str">
        <f t="shared" si="2441"/>
        <v/>
      </c>
      <c r="I3164" s="485">
        <f t="shared" si="2442"/>
        <v>0</v>
      </c>
      <c r="J3164" s="485">
        <f t="shared" si="2443"/>
        <v>0</v>
      </c>
      <c r="K3164" s="715">
        <f t="shared" ref="K3164" si="2446">I3164+J3164</f>
        <v>0</v>
      </c>
      <c r="L3164" s="715"/>
      <c r="M3164" s="689" t="str">
        <f t="shared" ca="1" si="2445"/>
        <v/>
      </c>
      <c r="N3164" s="690"/>
      <c r="O3164" s="486"/>
      <c r="P3164" s="486"/>
      <c r="Q3164" s="486"/>
      <c r="R3164" s="486"/>
      <c r="S3164" s="486"/>
      <c r="T3164" s="102">
        <f t="shared" si="2426"/>
        <v>0</v>
      </c>
      <c r="U3164" s="78">
        <f>IF(NOT(ISNUMBER(G3164)), "", VLOOKUP(A3164,'Discount Lookup'!D:E,2,FALSE)*G3164)</f>
        <v>0</v>
      </c>
      <c r="V3164" s="78">
        <f>IF(NOT(ISNUMBER(G3164)), "", VLOOKUP(A3164,'Discount Lookup'!G:H,2,FALSE)*G3164)</f>
        <v>0</v>
      </c>
      <c r="W3164" s="102">
        <f t="shared" si="2427"/>
        <v>0</v>
      </c>
      <c r="X3164" s="102">
        <f t="shared" si="2428"/>
        <v>0</v>
      </c>
      <c r="Y3164" s="120" t="b">
        <f t="shared" si="2429"/>
        <v>0</v>
      </c>
      <c r="Z3164" s="117">
        <f t="shared" si="2430"/>
        <v>0</v>
      </c>
      <c r="AA3164" s="118"/>
      <c r="AB3164" s="118" t="str">
        <f t="shared" si="2431"/>
        <v/>
      </c>
      <c r="AC3164" s="712" t="str">
        <f>IF(AE3164="T2G","no charge",IF(AND(OR(PlanterYesMe="No",PlanterYesMe="N",PlanterYesMe="me"),H3164=""),"",IF(H3164="credit","NO install",IF(AND(K3164="",AE3164="me"),"EACH row",IF(AND(K3164="images",AE3164="me"),"EACH row",IF(D3164="","",IF(H3164="credit","",IF(AE3164="free","re-planting",IF(AE3164="me","   not ELP, by",IF(AND(OR(PlanterYesMe="Yes",PlanterYesMe="Y"),G3164&gt;0),(VLOOKUP(A3164,'Discount Lookup'!J:K,2)*G3164*(1-PlanterDiscount)*(1+PlanterDifficultyPercentage)),IF(AE3164="ELP",(VLOOKUP(A3164,'Discount Lookup'!J:K,2)*G3164*(1-PlanterDiscount)*(1+PlanterDifficultyPercentage)),IF(AE3164="free","re-planting",IF(G3164=0,"",IF(PlanterYesMe="",IF(AE3164="me","   not ELP, by",IF(AE3164="",IF(G3164&gt;0,(VLOOKUP(A3164,'Discount Lookup'!J:K,2)*G3164*(1-PlanterDiscount)*(1+PlanterDifficultyPercentage)),""),"")),"   not ELP, by"))))))))))))))</f>
        <v/>
      </c>
      <c r="AD3164" s="712"/>
      <c r="AE3164" s="513" t="str">
        <f t="shared" si="2432"/>
        <v/>
      </c>
      <c r="AF3164" s="713" t="str">
        <f t="shared" si="2433"/>
        <v/>
      </c>
      <c r="AG3164" s="713"/>
      <c r="AH3164" s="713"/>
      <c r="AI3164" s="112">
        <f>IF(H3164="credit",0,IF(AE3164="free",0,IF(AE3164="me",0,IF(G3164&gt;0,(VLOOKUP(A3164,'Discount Lookup'!J:K,2)*G3164),0))))</f>
        <v>0</v>
      </c>
      <c r="AJ3164" s="107" t="str">
        <f t="shared" ca="1" si="2434"/>
        <v/>
      </c>
      <c r="AK3164" s="714" t="str">
        <f t="shared" si="2435"/>
        <v/>
      </c>
      <c r="AL3164" s="714"/>
      <c r="AM3164" s="114" t="str">
        <f t="shared" si="2436"/>
        <v/>
      </c>
      <c r="AN3164" s="115"/>
      <c r="AO3164" s="116"/>
      <c r="AP3164" s="116"/>
      <c r="AQ3164" s="116"/>
      <c r="AR3164" s="116"/>
      <c r="AS3164" s="116"/>
      <c r="AT3164" s="116"/>
      <c r="AU3164" s="116"/>
      <c r="AV3164" s="78"/>
      <c r="AW3164" s="102"/>
      <c r="AX3164" s="78"/>
      <c r="AY3164" s="78"/>
      <c r="AZ3164" s="78"/>
      <c r="BA3164" s="78"/>
      <c r="BB3164" s="78"/>
      <c r="BC3164" s="78"/>
      <c r="BD3164" s="78"/>
      <c r="BE3164" s="465"/>
      <c r="BF3164" s="165" t="str">
        <f t="shared" si="2437"/>
        <v>https://www.google.com/search?tbm=isch&amp;q=3%20G1</v>
      </c>
      <c r="BG3164" s="165" t="str">
        <f t="shared" si="2438"/>
        <v>O</v>
      </c>
      <c r="BH3164" s="65"/>
      <c r="BI3164" s="65"/>
      <c r="BJ3164" s="65"/>
      <c r="BK3164" s="65"/>
      <c r="BL3164" s="99"/>
      <c r="BM3164" s="99"/>
      <c r="BN3164" s="99"/>
    </row>
    <row r="3165" spans="1:66" s="51" customFormat="1" ht="27" x14ac:dyDescent="0.25">
      <c r="A3165" s="478">
        <v>3</v>
      </c>
      <c r="B3165" s="479" t="s">
        <v>291</v>
      </c>
      <c r="C3165" s="480" t="s">
        <v>3714</v>
      </c>
      <c r="D3165" s="481" t="s">
        <v>299</v>
      </c>
      <c r="E3165" s="482">
        <v>38.950000000000003</v>
      </c>
      <c r="F3165" s="483" t="s">
        <v>292</v>
      </c>
      <c r="G3165" s="484">
        <v>0</v>
      </c>
      <c r="H3165" s="688" t="str">
        <f t="shared" si="2441"/>
        <v/>
      </c>
      <c r="I3165" s="485">
        <f t="shared" si="2442"/>
        <v>0</v>
      </c>
      <c r="J3165" s="485">
        <f t="shared" si="2443"/>
        <v>0</v>
      </c>
      <c r="K3165" s="715">
        <f t="shared" ref="K3165" si="2447">I3165+J3165</f>
        <v>0</v>
      </c>
      <c r="L3165" s="715"/>
      <c r="M3165" s="689" t="str">
        <f t="shared" ca="1" si="2445"/>
        <v/>
      </c>
      <c r="N3165" s="690"/>
      <c r="O3165" s="486"/>
      <c r="P3165" s="486"/>
      <c r="Q3165" s="486"/>
      <c r="R3165" s="486"/>
      <c r="S3165" s="486"/>
      <c r="T3165" s="102">
        <f t="shared" si="2426"/>
        <v>0</v>
      </c>
      <c r="U3165" s="78">
        <f>IF(NOT(ISNUMBER(G3165)), "", VLOOKUP(A3165,'Discount Lookup'!D:E,2,FALSE)*G3165)</f>
        <v>0</v>
      </c>
      <c r="V3165" s="78">
        <f>IF(NOT(ISNUMBER(G3165)), "", VLOOKUP(A3165,'Discount Lookup'!G:H,2,FALSE)*G3165)</f>
        <v>0</v>
      </c>
      <c r="W3165" s="102">
        <f t="shared" si="2427"/>
        <v>0</v>
      </c>
      <c r="X3165" s="102">
        <f t="shared" si="2428"/>
        <v>0</v>
      </c>
      <c r="Y3165" s="120" t="b">
        <f t="shared" si="2429"/>
        <v>0</v>
      </c>
      <c r="Z3165" s="117">
        <f t="shared" si="2430"/>
        <v>0</v>
      </c>
      <c r="AA3165" s="118"/>
      <c r="AB3165" s="118" t="str">
        <f t="shared" si="2431"/>
        <v/>
      </c>
      <c r="AC3165" s="712" t="str">
        <f>IF(AE3165="T2G","no charge",IF(AND(OR(PlanterYesMe="No",PlanterYesMe="N",PlanterYesMe="me"),H3165=""),"",IF(H3165="credit","NO install",IF(AND(K3165="",AE3165="me"),"EACH row",IF(AND(K3165="images",AE3165="me"),"EACH row",IF(D3165="","",IF(H3165="credit","",IF(AE3165="free","re-planting",IF(AE3165="me","   not ELP, by",IF(AND(OR(PlanterYesMe="Yes",PlanterYesMe="Y"),G3165&gt;0),(VLOOKUP(A3165,'Discount Lookup'!J:K,2)*G3165*(1-PlanterDiscount)*(1+PlanterDifficultyPercentage)),IF(AE3165="ELP",(VLOOKUP(A3165,'Discount Lookup'!J:K,2)*G3165*(1-PlanterDiscount)*(1+PlanterDifficultyPercentage)),IF(AE3165="free","re-planting",IF(G3165=0,"",IF(PlanterYesMe="",IF(AE3165="me","   not ELP, by",IF(AE3165="",IF(G3165&gt;0,(VLOOKUP(A3165,'Discount Lookup'!J:K,2)*G3165*(1-PlanterDiscount)*(1+PlanterDifficultyPercentage)),""),"")),"   not ELP, by"))))))))))))))</f>
        <v/>
      </c>
      <c r="AD3165" s="712"/>
      <c r="AE3165" s="513" t="str">
        <f t="shared" si="2432"/>
        <v/>
      </c>
      <c r="AF3165" s="713" t="str">
        <f t="shared" si="2433"/>
        <v/>
      </c>
      <c r="AG3165" s="713"/>
      <c r="AH3165" s="713"/>
      <c r="AI3165" s="112">
        <f>IF(H3165="credit",0,IF(AE3165="free",0,IF(AE3165="me",0,IF(G3165&gt;0,(VLOOKUP(A3165,'Discount Lookup'!J:K,2)*G3165),0))))</f>
        <v>0</v>
      </c>
      <c r="AJ3165" s="107" t="str">
        <f t="shared" ca="1" si="2434"/>
        <v/>
      </c>
      <c r="AK3165" s="714" t="str">
        <f t="shared" si="2435"/>
        <v/>
      </c>
      <c r="AL3165" s="714"/>
      <c r="AM3165" s="114" t="str">
        <f t="shared" si="2436"/>
        <v/>
      </c>
      <c r="AN3165" s="115"/>
      <c r="AO3165" s="116"/>
      <c r="AP3165" s="116"/>
      <c r="AQ3165" s="116"/>
      <c r="AR3165" s="116"/>
      <c r="AS3165" s="116"/>
      <c r="AT3165" s="116"/>
      <c r="AU3165" s="116"/>
      <c r="AV3165" s="78"/>
      <c r="AW3165" s="102"/>
      <c r="AX3165" s="78"/>
      <c r="AY3165" s="78"/>
      <c r="AZ3165" s="78"/>
      <c r="BA3165" s="78"/>
      <c r="BB3165" s="78"/>
      <c r="BC3165" s="78"/>
      <c r="BD3165" s="78"/>
      <c r="BE3165" s="465"/>
      <c r="BF3165" s="165" t="str">
        <f t="shared" si="2437"/>
        <v>https://www.google.com/search?tbm=isch&amp;q=3%20G4</v>
      </c>
      <c r="BG3165" s="165" t="str">
        <f t="shared" si="2438"/>
        <v>O</v>
      </c>
      <c r="BH3165" s="65"/>
      <c r="BI3165" s="65"/>
      <c r="BJ3165" s="65"/>
      <c r="BK3165" s="65"/>
      <c r="BL3165" s="99"/>
      <c r="BM3165" s="99"/>
      <c r="BN3165" s="99"/>
    </row>
    <row r="3166" spans="1:66" s="51" customFormat="1" ht="15.75" x14ac:dyDescent="0.25">
      <c r="A3166" s="478">
        <v>3</v>
      </c>
      <c r="B3166" s="479" t="s">
        <v>291</v>
      </c>
      <c r="C3166" s="480" t="s">
        <v>1825</v>
      </c>
      <c r="D3166" s="481" t="s">
        <v>311</v>
      </c>
      <c r="E3166" s="482">
        <v>40.950000000000003</v>
      </c>
      <c r="F3166" s="483" t="s">
        <v>292</v>
      </c>
      <c r="G3166" s="484">
        <v>0</v>
      </c>
      <c r="H3166" s="688" t="str">
        <f t="shared" si="2441"/>
        <v/>
      </c>
      <c r="I3166" s="485">
        <f t="shared" si="2442"/>
        <v>0</v>
      </c>
      <c r="J3166" s="485">
        <f t="shared" si="2443"/>
        <v>0</v>
      </c>
      <c r="K3166" s="715">
        <f t="shared" ref="K3166" si="2448">I3166+J3166</f>
        <v>0</v>
      </c>
      <c r="L3166" s="715"/>
      <c r="M3166" s="689" t="str">
        <f t="shared" ca="1" si="2445"/>
        <v/>
      </c>
      <c r="N3166" s="690"/>
      <c r="O3166" s="486"/>
      <c r="P3166" s="486"/>
      <c r="Q3166" s="486"/>
      <c r="R3166" s="486"/>
      <c r="S3166" s="486"/>
      <c r="T3166" s="102">
        <f t="shared" si="2426"/>
        <v>0</v>
      </c>
      <c r="U3166" s="78">
        <f>IF(NOT(ISNUMBER(G3166)), "", VLOOKUP(A3166,'Discount Lookup'!D:E,2,FALSE)*G3166)</f>
        <v>0</v>
      </c>
      <c r="V3166" s="78">
        <f>IF(NOT(ISNUMBER(G3166)), "", VLOOKUP(A3166,'Discount Lookup'!G:H,2,FALSE)*G3166)</f>
        <v>0</v>
      </c>
      <c r="W3166" s="102">
        <f t="shared" si="2427"/>
        <v>0</v>
      </c>
      <c r="X3166" s="102">
        <f t="shared" si="2428"/>
        <v>0</v>
      </c>
      <c r="Y3166" s="120" t="b">
        <f t="shared" si="2429"/>
        <v>0</v>
      </c>
      <c r="Z3166" s="117">
        <f t="shared" si="2430"/>
        <v>0</v>
      </c>
      <c r="AA3166" s="118"/>
      <c r="AB3166" s="118" t="str">
        <f t="shared" si="2431"/>
        <v/>
      </c>
      <c r="AC3166" s="712" t="str">
        <f>IF(AE3166="T2G","no charge",IF(AND(OR(PlanterYesMe="No",PlanterYesMe="N",PlanterYesMe="me"),H3166=""),"",IF(H3166="credit","NO install",IF(AND(K3166="",AE3166="me"),"EACH row",IF(AND(K3166="images",AE3166="me"),"EACH row",IF(D3166="","",IF(H3166="credit","",IF(AE3166="free","re-planting",IF(AE3166="me","   not ELP, by",IF(AND(OR(PlanterYesMe="Yes",PlanterYesMe="Y"),G3166&gt;0),(VLOOKUP(A3166,'Discount Lookup'!J:K,2)*G3166*(1-PlanterDiscount)*(1+PlanterDifficultyPercentage)),IF(AE3166="ELP",(VLOOKUP(A3166,'Discount Lookup'!J:K,2)*G3166*(1-PlanterDiscount)*(1+PlanterDifficultyPercentage)),IF(AE3166="free","re-planting",IF(G3166=0,"",IF(PlanterYesMe="",IF(AE3166="me","   not ELP, by",IF(AE3166="",IF(G3166&gt;0,(VLOOKUP(A3166,'Discount Lookup'!J:K,2)*G3166*(1-PlanterDiscount)*(1+PlanterDifficultyPercentage)),""),"")),"   not ELP, by"))))))))))))))</f>
        <v/>
      </c>
      <c r="AD3166" s="712"/>
      <c r="AE3166" s="513" t="str">
        <f t="shared" si="2432"/>
        <v/>
      </c>
      <c r="AF3166" s="713" t="str">
        <f t="shared" si="2433"/>
        <v/>
      </c>
      <c r="AG3166" s="713"/>
      <c r="AH3166" s="713"/>
      <c r="AI3166" s="112">
        <f>IF(H3166="credit",0,IF(AE3166="free",0,IF(AE3166="me",0,IF(G3166&gt;0,(VLOOKUP(A3166,'Discount Lookup'!J:K,2)*G3166),0))))</f>
        <v>0</v>
      </c>
      <c r="AJ3166" s="107" t="str">
        <f t="shared" ca="1" si="2434"/>
        <v/>
      </c>
      <c r="AK3166" s="714" t="str">
        <f t="shared" si="2435"/>
        <v/>
      </c>
      <c r="AL3166" s="714"/>
      <c r="AM3166" s="114" t="str">
        <f t="shared" si="2436"/>
        <v/>
      </c>
      <c r="AN3166" s="115"/>
      <c r="AO3166" s="116"/>
      <c r="AP3166" s="116"/>
      <c r="AQ3166" s="116"/>
      <c r="AR3166" s="116"/>
      <c r="AS3166" s="116"/>
      <c r="AT3166" s="116"/>
      <c r="AU3166" s="116"/>
      <c r="AV3166" s="78"/>
      <c r="AW3166" s="102"/>
      <c r="AX3166" s="78"/>
      <c r="AY3166" s="78"/>
      <c r="AZ3166" s="78"/>
      <c r="BA3166" s="78"/>
      <c r="BB3166" s="78"/>
      <c r="BC3166" s="78"/>
      <c r="BD3166" s="78"/>
      <c r="BE3166" s="465"/>
      <c r="BF3166" s="165" t="str">
        <f t="shared" si="2437"/>
        <v>https://www.google.com/search?tbm=isch&amp;q=3%20G5</v>
      </c>
      <c r="BG3166" s="165" t="str">
        <f t="shared" si="2438"/>
        <v>O</v>
      </c>
      <c r="BH3166" s="65"/>
      <c r="BI3166" s="65"/>
      <c r="BJ3166" s="65"/>
      <c r="BK3166" s="65"/>
      <c r="BL3166" s="99"/>
      <c r="BM3166" s="99"/>
      <c r="BN3166" s="99"/>
    </row>
    <row r="3167" spans="1:66" s="51" customFormat="1" ht="15.75" x14ac:dyDescent="0.25">
      <c r="A3167" s="478">
        <v>7</v>
      </c>
      <c r="B3167" s="479" t="s">
        <v>291</v>
      </c>
      <c r="C3167" s="480" t="s">
        <v>5199</v>
      </c>
      <c r="D3167" s="481" t="s">
        <v>299</v>
      </c>
      <c r="E3167" s="482">
        <v>116.95</v>
      </c>
      <c r="F3167" s="483" t="s">
        <v>292</v>
      </c>
      <c r="G3167" s="484">
        <v>0</v>
      </c>
      <c r="H3167" s="688" t="str">
        <f t="shared" si="2441"/>
        <v/>
      </c>
      <c r="I3167" s="485">
        <f t="shared" si="2442"/>
        <v>0</v>
      </c>
      <c r="J3167" s="485">
        <f t="shared" si="2443"/>
        <v>0</v>
      </c>
      <c r="K3167" s="715">
        <f t="shared" ref="K3167" si="2449">I3167+J3167</f>
        <v>0</v>
      </c>
      <c r="L3167" s="715"/>
      <c r="M3167" s="689" t="str">
        <f t="shared" ca="1" si="2445"/>
        <v/>
      </c>
      <c r="N3167" s="690"/>
      <c r="O3167" s="486"/>
      <c r="P3167" s="486"/>
      <c r="Q3167" s="486"/>
      <c r="R3167" s="486"/>
      <c r="S3167" s="486"/>
      <c r="T3167" s="102">
        <f t="shared" si="2426"/>
        <v>0</v>
      </c>
      <c r="U3167" s="78">
        <f>IF(NOT(ISNUMBER(G3167)), "", VLOOKUP(A3167,'Discount Lookup'!D:E,2,FALSE)*G3167)</f>
        <v>0</v>
      </c>
      <c r="V3167" s="78">
        <f>IF(NOT(ISNUMBER(G3167)), "", VLOOKUP(A3167,'Discount Lookup'!G:H,2,FALSE)*G3167)</f>
        <v>0</v>
      </c>
      <c r="W3167" s="102">
        <f t="shared" si="2427"/>
        <v>0</v>
      </c>
      <c r="X3167" s="102">
        <f t="shared" si="2428"/>
        <v>0</v>
      </c>
      <c r="Y3167" s="120" t="b">
        <f t="shared" si="2429"/>
        <v>0</v>
      </c>
      <c r="Z3167" s="117">
        <f t="shared" si="2430"/>
        <v>0</v>
      </c>
      <c r="AA3167" s="118"/>
      <c r="AB3167" s="118" t="str">
        <f t="shared" si="2431"/>
        <v/>
      </c>
      <c r="AC3167" s="712" t="str">
        <f>IF(AE3167="T2G","no charge",IF(AND(OR(PlanterYesMe="No",PlanterYesMe="N",PlanterYesMe="me"),H3167=""),"",IF(H3167="credit","NO install",IF(AND(K3167="",AE3167="me"),"EACH row",IF(AND(K3167="images",AE3167="me"),"EACH row",IF(D3167="","",IF(H3167="credit","",IF(AE3167="free","re-planting",IF(AE3167="me","   not ELP, by",IF(AND(OR(PlanterYesMe="Yes",PlanterYesMe="Y"),G3167&gt;0),(VLOOKUP(A3167,'Discount Lookup'!J:K,2)*G3167*(1-PlanterDiscount)*(1+PlanterDifficultyPercentage)),IF(AE3167="ELP",(VLOOKUP(A3167,'Discount Lookup'!J:K,2)*G3167*(1-PlanterDiscount)*(1+PlanterDifficultyPercentage)),IF(AE3167="free","re-planting",IF(G3167=0,"",IF(PlanterYesMe="",IF(AE3167="me","   not ELP, by",IF(AE3167="",IF(G3167&gt;0,(VLOOKUP(A3167,'Discount Lookup'!J:K,2)*G3167*(1-PlanterDiscount)*(1+PlanterDifficultyPercentage)),""),"")),"   not ELP, by"))))))))))))))</f>
        <v/>
      </c>
      <c r="AD3167" s="712"/>
      <c r="AE3167" s="513" t="str">
        <f t="shared" si="2432"/>
        <v/>
      </c>
      <c r="AF3167" s="713" t="str">
        <f t="shared" si="2433"/>
        <v/>
      </c>
      <c r="AG3167" s="713"/>
      <c r="AH3167" s="713"/>
      <c r="AI3167" s="112">
        <f>IF(H3167="credit",0,IF(AE3167="free",0,IF(AE3167="me",0,IF(G3167&gt;0,(VLOOKUP(A3167,'Discount Lookup'!J:K,2)*G3167),0))))</f>
        <v>0</v>
      </c>
      <c r="AJ3167" s="107" t="str">
        <f t="shared" ca="1" si="2434"/>
        <v/>
      </c>
      <c r="AK3167" s="714" t="str">
        <f t="shared" si="2435"/>
        <v/>
      </c>
      <c r="AL3167" s="714"/>
      <c r="AM3167" s="114" t="str">
        <f t="shared" si="2436"/>
        <v/>
      </c>
      <c r="AN3167" s="115"/>
      <c r="AO3167" s="116"/>
      <c r="AP3167" s="116"/>
      <c r="AQ3167" s="116"/>
      <c r="AR3167" s="116"/>
      <c r="AS3167" s="116"/>
      <c r="AT3167" s="116"/>
      <c r="AU3167" s="116"/>
      <c r="AV3167" s="78"/>
      <c r="AW3167" s="102"/>
      <c r="AX3167" s="78"/>
      <c r="AY3167" s="78"/>
      <c r="AZ3167" s="78"/>
      <c r="BA3167" s="78"/>
      <c r="BB3167" s="78"/>
      <c r="BC3167" s="78"/>
      <c r="BD3167" s="78"/>
      <c r="BE3167" s="465"/>
      <c r="BF3167" s="165" t="str">
        <f t="shared" si="2437"/>
        <v>https://www.google.com/search?tbm=isch&amp;q=7%20G4</v>
      </c>
      <c r="BG3167" s="165" t="str">
        <f t="shared" si="2438"/>
        <v>O</v>
      </c>
      <c r="BH3167" s="65"/>
      <c r="BI3167" s="65"/>
      <c r="BJ3167" s="65"/>
      <c r="BK3167" s="65"/>
      <c r="BL3167" s="99"/>
      <c r="BM3167" s="99"/>
      <c r="BN3167" s="99"/>
    </row>
    <row r="3168" spans="1:66" s="51" customFormat="1" ht="15.75" x14ac:dyDescent="0.25">
      <c r="A3168" s="478">
        <v>7</v>
      </c>
      <c r="B3168" s="479" t="s">
        <v>291</v>
      </c>
      <c r="C3168" s="480" t="s">
        <v>3715</v>
      </c>
      <c r="D3168" s="481" t="s">
        <v>293</v>
      </c>
      <c r="E3168" s="482">
        <v>132.94999999999999</v>
      </c>
      <c r="F3168" s="483" t="s">
        <v>292</v>
      </c>
      <c r="G3168" s="484">
        <v>0</v>
      </c>
      <c r="H3168" s="688" t="str">
        <f t="shared" si="2441"/>
        <v/>
      </c>
      <c r="I3168" s="485">
        <f t="shared" si="2442"/>
        <v>0</v>
      </c>
      <c r="J3168" s="485">
        <f t="shared" si="2443"/>
        <v>0</v>
      </c>
      <c r="K3168" s="715">
        <f t="shared" ref="K3168" si="2450">I3168+J3168</f>
        <v>0</v>
      </c>
      <c r="L3168" s="715"/>
      <c r="M3168" s="689" t="str">
        <f t="shared" ca="1" si="2445"/>
        <v/>
      </c>
      <c r="N3168" s="690"/>
      <c r="O3168" s="486"/>
      <c r="P3168" s="486"/>
      <c r="Q3168" s="486"/>
      <c r="R3168" s="486"/>
      <c r="S3168" s="486"/>
      <c r="T3168" s="102">
        <f t="shared" si="2426"/>
        <v>0</v>
      </c>
      <c r="U3168" s="78">
        <f>IF(NOT(ISNUMBER(G3168)), "", VLOOKUP(A3168,'Discount Lookup'!D:E,2,FALSE)*G3168)</f>
        <v>0</v>
      </c>
      <c r="V3168" s="78">
        <f>IF(NOT(ISNUMBER(G3168)), "", VLOOKUP(A3168,'Discount Lookup'!G:H,2,FALSE)*G3168)</f>
        <v>0</v>
      </c>
      <c r="W3168" s="102">
        <f t="shared" si="2427"/>
        <v>0</v>
      </c>
      <c r="X3168" s="102">
        <f t="shared" si="2428"/>
        <v>0</v>
      </c>
      <c r="Y3168" s="120" t="b">
        <f t="shared" si="2429"/>
        <v>0</v>
      </c>
      <c r="Z3168" s="117">
        <f t="shared" si="2430"/>
        <v>0</v>
      </c>
      <c r="AA3168" s="118"/>
      <c r="AB3168" s="118" t="str">
        <f t="shared" si="2431"/>
        <v/>
      </c>
      <c r="AC3168" s="712" t="str">
        <f>IF(AE3168="T2G","no charge",IF(AND(OR(PlanterYesMe="No",PlanterYesMe="N",PlanterYesMe="me"),H3168=""),"",IF(H3168="credit","NO install",IF(AND(K3168="",AE3168="me"),"EACH row",IF(AND(K3168="images",AE3168="me"),"EACH row",IF(D3168="","",IF(H3168="credit","",IF(AE3168="free","re-planting",IF(AE3168="me","   not ELP, by",IF(AND(OR(PlanterYesMe="Yes",PlanterYesMe="Y"),G3168&gt;0),(VLOOKUP(A3168,'Discount Lookup'!J:K,2)*G3168*(1-PlanterDiscount)*(1+PlanterDifficultyPercentage)),IF(AE3168="ELP",(VLOOKUP(A3168,'Discount Lookup'!J:K,2)*G3168*(1-PlanterDiscount)*(1+PlanterDifficultyPercentage)),IF(AE3168="free","re-planting",IF(G3168=0,"",IF(PlanterYesMe="",IF(AE3168="me","   not ELP, by",IF(AE3168="",IF(G3168&gt;0,(VLOOKUP(A3168,'Discount Lookup'!J:K,2)*G3168*(1-PlanterDiscount)*(1+PlanterDifficultyPercentage)),""),"")),"   not ELP, by"))))))))))))))</f>
        <v/>
      </c>
      <c r="AD3168" s="712"/>
      <c r="AE3168" s="513" t="str">
        <f t="shared" si="2432"/>
        <v/>
      </c>
      <c r="AF3168" s="713" t="str">
        <f t="shared" si="2433"/>
        <v/>
      </c>
      <c r="AG3168" s="713"/>
      <c r="AH3168" s="713"/>
      <c r="AI3168" s="112">
        <f>IF(H3168="credit",0,IF(AE3168="free",0,IF(AE3168="me",0,IF(G3168&gt;0,(VLOOKUP(A3168,'Discount Lookup'!J:K,2)*G3168),0))))</f>
        <v>0</v>
      </c>
      <c r="AJ3168" s="107" t="str">
        <f t="shared" ca="1" si="2434"/>
        <v/>
      </c>
      <c r="AK3168" s="714" t="str">
        <f t="shared" si="2435"/>
        <v/>
      </c>
      <c r="AL3168" s="714"/>
      <c r="AM3168" s="114" t="str">
        <f t="shared" si="2436"/>
        <v/>
      </c>
      <c r="AN3168" s="115"/>
      <c r="AO3168" s="116"/>
      <c r="AP3168" s="116"/>
      <c r="AQ3168" s="116"/>
      <c r="AR3168" s="116"/>
      <c r="AS3168" s="116"/>
      <c r="AT3168" s="116"/>
      <c r="AU3168" s="116"/>
      <c r="AV3168" s="78"/>
      <c r="AW3168" s="102"/>
      <c r="AX3168" s="78"/>
      <c r="AY3168" s="78"/>
      <c r="AZ3168" s="78"/>
      <c r="BA3168" s="78"/>
      <c r="BB3168" s="78"/>
      <c r="BC3168" s="78"/>
      <c r="BD3168" s="78"/>
      <c r="BE3168" s="465"/>
      <c r="BF3168" s="165" t="str">
        <f t="shared" si="2437"/>
        <v>https://www.google.com/search?tbm=isch&amp;q=7%20G6</v>
      </c>
      <c r="BG3168" s="165" t="str">
        <f t="shared" si="2438"/>
        <v>O</v>
      </c>
      <c r="BH3168" s="65"/>
      <c r="BI3168" s="65"/>
      <c r="BJ3168" s="65"/>
      <c r="BK3168" s="65"/>
      <c r="BL3168" s="99"/>
      <c r="BM3168" s="99"/>
      <c r="BN3168" s="99"/>
    </row>
    <row r="3169" spans="1:66" s="51" customFormat="1" ht="15.75" x14ac:dyDescent="0.25">
      <c r="A3169" s="478">
        <v>15</v>
      </c>
      <c r="B3169" s="479" t="s">
        <v>291</v>
      </c>
      <c r="C3169" s="480" t="s">
        <v>2252</v>
      </c>
      <c r="D3169" s="481" t="s">
        <v>299</v>
      </c>
      <c r="E3169" s="482">
        <v>201.95</v>
      </c>
      <c r="F3169" s="483" t="s">
        <v>292</v>
      </c>
      <c r="G3169" s="484">
        <v>0</v>
      </c>
      <c r="H3169" s="688" t="str">
        <f t="shared" si="2441"/>
        <v/>
      </c>
      <c r="I3169" s="485">
        <f t="shared" si="2442"/>
        <v>0</v>
      </c>
      <c r="J3169" s="485">
        <f t="shared" si="2443"/>
        <v>0</v>
      </c>
      <c r="K3169" s="715">
        <f t="shared" ref="K3169" si="2451">I3169+J3169</f>
        <v>0</v>
      </c>
      <c r="L3169" s="715"/>
      <c r="M3169" s="689" t="str">
        <f t="shared" ca="1" si="2445"/>
        <v/>
      </c>
      <c r="N3169" s="690"/>
      <c r="O3169" s="486"/>
      <c r="P3169" s="486"/>
      <c r="Q3169" s="486"/>
      <c r="R3169" s="486"/>
      <c r="S3169" s="486"/>
      <c r="T3169" s="102">
        <f t="shared" si="2426"/>
        <v>0</v>
      </c>
      <c r="U3169" s="78">
        <f>IF(NOT(ISNUMBER(G3169)), "", VLOOKUP(A3169,'Discount Lookup'!D:E,2,FALSE)*G3169)</f>
        <v>0</v>
      </c>
      <c r="V3169" s="78">
        <f>IF(NOT(ISNUMBER(G3169)), "", VLOOKUP(A3169,'Discount Lookup'!G:H,2,FALSE)*G3169)</f>
        <v>0</v>
      </c>
      <c r="W3169" s="102">
        <f t="shared" si="2427"/>
        <v>0</v>
      </c>
      <c r="X3169" s="102">
        <f t="shared" si="2428"/>
        <v>0</v>
      </c>
      <c r="Y3169" s="120" t="b">
        <f t="shared" si="2429"/>
        <v>0</v>
      </c>
      <c r="Z3169" s="117">
        <f t="shared" si="2430"/>
        <v>0</v>
      </c>
      <c r="AA3169" s="118"/>
      <c r="AB3169" s="118" t="str">
        <f t="shared" si="2431"/>
        <v/>
      </c>
      <c r="AC3169" s="712" t="str">
        <f>IF(AE3169="T2G","no charge",IF(AND(OR(PlanterYesMe="No",PlanterYesMe="N",PlanterYesMe="me"),H3169=""),"",IF(H3169="credit","NO install",IF(AND(K3169="",AE3169="me"),"EACH row",IF(AND(K3169="images",AE3169="me"),"EACH row",IF(D3169="","",IF(H3169="credit","",IF(AE3169="free","re-planting",IF(AE3169="me","   not ELP, by",IF(AND(OR(PlanterYesMe="Yes",PlanterYesMe="Y"),G3169&gt;0),(VLOOKUP(A3169,'Discount Lookup'!J:K,2)*G3169*(1-PlanterDiscount)*(1+PlanterDifficultyPercentage)),IF(AE3169="ELP",(VLOOKUP(A3169,'Discount Lookup'!J:K,2)*G3169*(1-PlanterDiscount)*(1+PlanterDifficultyPercentage)),IF(AE3169="free","re-planting",IF(G3169=0,"",IF(PlanterYesMe="",IF(AE3169="me","   not ELP, by",IF(AE3169="",IF(G3169&gt;0,(VLOOKUP(A3169,'Discount Lookup'!J:K,2)*G3169*(1-PlanterDiscount)*(1+PlanterDifficultyPercentage)),""),"")),"   not ELP, by"))))))))))))))</f>
        <v/>
      </c>
      <c r="AD3169" s="712"/>
      <c r="AE3169" s="513" t="str">
        <f t="shared" si="2432"/>
        <v/>
      </c>
      <c r="AF3169" s="713" t="str">
        <f t="shared" si="2433"/>
        <v/>
      </c>
      <c r="AG3169" s="713"/>
      <c r="AH3169" s="713"/>
      <c r="AI3169" s="112">
        <f>IF(H3169="credit",0,IF(AE3169="free",0,IF(AE3169="me",0,IF(G3169&gt;0,(VLOOKUP(A3169,'Discount Lookup'!J:K,2)*G3169),0))))</f>
        <v>0</v>
      </c>
      <c r="AJ3169" s="107" t="str">
        <f t="shared" ca="1" si="2434"/>
        <v/>
      </c>
      <c r="AK3169" s="714" t="str">
        <f t="shared" si="2435"/>
        <v/>
      </c>
      <c r="AL3169" s="714"/>
      <c r="AM3169" s="114" t="str">
        <f t="shared" si="2436"/>
        <v/>
      </c>
      <c r="AN3169" s="115"/>
      <c r="AO3169" s="116"/>
      <c r="AP3169" s="116"/>
      <c r="AQ3169" s="116"/>
      <c r="AR3169" s="116"/>
      <c r="AS3169" s="116"/>
      <c r="AT3169" s="116"/>
      <c r="AU3169" s="116"/>
      <c r="AV3169" s="78"/>
      <c r="AW3169" s="102"/>
      <c r="AX3169" s="78"/>
      <c r="AY3169" s="78"/>
      <c r="AZ3169" s="78"/>
      <c r="BA3169" s="78"/>
      <c r="BB3169" s="78"/>
      <c r="BC3169" s="78"/>
      <c r="BD3169" s="78"/>
      <c r="BE3169" s="465"/>
      <c r="BF3169" s="165" t="str">
        <f t="shared" si="2437"/>
        <v>https://www.google.com/search?tbm=isch&amp;q=15%20G4</v>
      </c>
      <c r="BG3169" s="165" t="str">
        <f t="shared" si="2438"/>
        <v>O</v>
      </c>
      <c r="BH3169" s="65"/>
      <c r="BI3169" s="65"/>
      <c r="BJ3169" s="65"/>
      <c r="BK3169" s="65"/>
      <c r="BL3169" s="99"/>
      <c r="BM3169" s="99"/>
      <c r="BN3169" s="99"/>
    </row>
    <row r="3170" spans="1:66" s="51" customFormat="1" ht="15.75" x14ac:dyDescent="0.25">
      <c r="A3170" s="478">
        <v>15</v>
      </c>
      <c r="B3170" s="479" t="s">
        <v>291</v>
      </c>
      <c r="C3170" s="480" t="s">
        <v>3716</v>
      </c>
      <c r="D3170" s="481" t="s">
        <v>293</v>
      </c>
      <c r="E3170" s="482">
        <v>377.95</v>
      </c>
      <c r="F3170" s="483" t="s">
        <v>292</v>
      </c>
      <c r="G3170" s="484">
        <v>0</v>
      </c>
      <c r="H3170" s="688" t="str">
        <f t="shared" si="2441"/>
        <v/>
      </c>
      <c r="I3170" s="485">
        <f t="shared" si="2442"/>
        <v>0</v>
      </c>
      <c r="J3170" s="485">
        <f t="shared" si="2443"/>
        <v>0</v>
      </c>
      <c r="K3170" s="715">
        <f t="shared" ref="K3170" si="2452">I3170+J3170</f>
        <v>0</v>
      </c>
      <c r="L3170" s="715"/>
      <c r="M3170" s="689" t="str">
        <f t="shared" ca="1" si="2445"/>
        <v/>
      </c>
      <c r="N3170" s="690"/>
      <c r="O3170" s="486"/>
      <c r="P3170" s="486"/>
      <c r="Q3170" s="486"/>
      <c r="R3170" s="486"/>
      <c r="S3170" s="486"/>
      <c r="T3170" s="102">
        <f t="shared" si="2426"/>
        <v>0</v>
      </c>
      <c r="U3170" s="78">
        <f>IF(NOT(ISNUMBER(G3170)), "", VLOOKUP(A3170,'Discount Lookup'!D:E,2,FALSE)*G3170)</f>
        <v>0</v>
      </c>
      <c r="V3170" s="78">
        <f>IF(NOT(ISNUMBER(G3170)), "", VLOOKUP(A3170,'Discount Lookup'!G:H,2,FALSE)*G3170)</f>
        <v>0</v>
      </c>
      <c r="W3170" s="102">
        <f t="shared" si="2427"/>
        <v>0</v>
      </c>
      <c r="X3170" s="102">
        <f t="shared" si="2428"/>
        <v>0</v>
      </c>
      <c r="Y3170" s="120" t="b">
        <f t="shared" si="2429"/>
        <v>0</v>
      </c>
      <c r="Z3170" s="117">
        <f t="shared" si="2430"/>
        <v>0</v>
      </c>
      <c r="AA3170" s="118"/>
      <c r="AB3170" s="118" t="str">
        <f t="shared" si="2431"/>
        <v/>
      </c>
      <c r="AC3170" s="712" t="str">
        <f>IF(AE3170="T2G","no charge",IF(AND(OR(PlanterYesMe="No",PlanterYesMe="N",PlanterYesMe="me"),H3170=""),"",IF(H3170="credit","NO install",IF(AND(K3170="",AE3170="me"),"EACH row",IF(AND(K3170="images",AE3170="me"),"EACH row",IF(D3170="","",IF(H3170="credit","",IF(AE3170="free","re-planting",IF(AE3170="me","   not ELP, by",IF(AND(OR(PlanterYesMe="Yes",PlanterYesMe="Y"),G3170&gt;0),(VLOOKUP(A3170,'Discount Lookup'!J:K,2)*G3170*(1-PlanterDiscount)*(1+PlanterDifficultyPercentage)),IF(AE3170="ELP",(VLOOKUP(A3170,'Discount Lookup'!J:K,2)*G3170*(1-PlanterDiscount)*(1+PlanterDifficultyPercentage)),IF(AE3170="free","re-planting",IF(G3170=0,"",IF(PlanterYesMe="",IF(AE3170="me","   not ELP, by",IF(AE3170="",IF(G3170&gt;0,(VLOOKUP(A3170,'Discount Lookup'!J:K,2)*G3170*(1-PlanterDiscount)*(1+PlanterDifficultyPercentage)),""),"")),"   not ELP, by"))))))))))))))</f>
        <v/>
      </c>
      <c r="AD3170" s="712"/>
      <c r="AE3170" s="513" t="str">
        <f t="shared" si="2432"/>
        <v/>
      </c>
      <c r="AF3170" s="713" t="str">
        <f t="shared" si="2433"/>
        <v/>
      </c>
      <c r="AG3170" s="713"/>
      <c r="AH3170" s="713"/>
      <c r="AI3170" s="112">
        <f>IF(H3170="credit",0,IF(AE3170="free",0,IF(AE3170="me",0,IF(G3170&gt;0,(VLOOKUP(A3170,'Discount Lookup'!J:K,2)*G3170),0))))</f>
        <v>0</v>
      </c>
      <c r="AJ3170" s="107" t="str">
        <f t="shared" ca="1" si="2434"/>
        <v/>
      </c>
      <c r="AK3170" s="714" t="str">
        <f t="shared" si="2435"/>
        <v/>
      </c>
      <c r="AL3170" s="714"/>
      <c r="AM3170" s="114" t="str">
        <f t="shared" si="2436"/>
        <v/>
      </c>
      <c r="AN3170" s="115"/>
      <c r="AO3170" s="116"/>
      <c r="AP3170" s="116"/>
      <c r="AQ3170" s="116"/>
      <c r="AR3170" s="116"/>
      <c r="AS3170" s="116"/>
      <c r="AT3170" s="116"/>
      <c r="AU3170" s="116"/>
      <c r="AV3170" s="78"/>
      <c r="AW3170" s="102"/>
      <c r="AX3170" s="78"/>
      <c r="AY3170" s="78"/>
      <c r="AZ3170" s="78"/>
      <c r="BA3170" s="78"/>
      <c r="BB3170" s="78"/>
      <c r="BC3170" s="78"/>
      <c r="BD3170" s="78"/>
      <c r="BE3170" s="465"/>
      <c r="BF3170" s="165" t="str">
        <f t="shared" si="2437"/>
        <v>https://www.google.com/search?tbm=isch&amp;q=15%20G6</v>
      </c>
      <c r="BG3170" s="165" t="str">
        <f t="shared" si="2438"/>
        <v>O</v>
      </c>
      <c r="BH3170" s="65"/>
      <c r="BI3170" s="65"/>
      <c r="BJ3170" s="65"/>
      <c r="BK3170" s="65"/>
      <c r="BL3170" s="99"/>
      <c r="BM3170" s="99"/>
      <c r="BN3170" s="99"/>
    </row>
    <row r="3171" spans="1:66" s="51" customFormat="1" ht="27" x14ac:dyDescent="0.25">
      <c r="A3171" s="478">
        <v>45</v>
      </c>
      <c r="B3171" s="479" t="s">
        <v>291</v>
      </c>
      <c r="C3171" s="480" t="s">
        <v>3717</v>
      </c>
      <c r="D3171" s="481" t="s">
        <v>299</v>
      </c>
      <c r="E3171" s="482">
        <v>679.95</v>
      </c>
      <c r="F3171" s="483" t="s">
        <v>292</v>
      </c>
      <c r="G3171" s="484">
        <v>0</v>
      </c>
      <c r="H3171" s="688" t="str">
        <f t="shared" si="2441"/>
        <v/>
      </c>
      <c r="I3171" s="485">
        <f t="shared" si="2442"/>
        <v>0</v>
      </c>
      <c r="J3171" s="485">
        <f t="shared" si="2443"/>
        <v>0</v>
      </c>
      <c r="K3171" s="715">
        <f t="shared" ref="K3171" si="2453">I3171+J3171</f>
        <v>0</v>
      </c>
      <c r="L3171" s="715"/>
      <c r="M3171" s="689" t="str">
        <f t="shared" ca="1" si="2445"/>
        <v/>
      </c>
      <c r="N3171" s="690"/>
      <c r="O3171" s="486"/>
      <c r="P3171" s="486"/>
      <c r="Q3171" s="486"/>
      <c r="R3171" s="486"/>
      <c r="S3171" s="486"/>
      <c r="T3171" s="102">
        <f t="shared" si="2426"/>
        <v>0</v>
      </c>
      <c r="U3171" s="78">
        <f>IF(NOT(ISNUMBER(G3171)), "", VLOOKUP(A3171,'Discount Lookup'!D:E,2,FALSE)*G3171)</f>
        <v>0</v>
      </c>
      <c r="V3171" s="78">
        <f>IF(NOT(ISNUMBER(G3171)), "", VLOOKUP(A3171,'Discount Lookup'!G:H,2,FALSE)*G3171)</f>
        <v>0</v>
      </c>
      <c r="W3171" s="102">
        <f t="shared" si="2427"/>
        <v>0</v>
      </c>
      <c r="X3171" s="102">
        <f t="shared" si="2428"/>
        <v>0</v>
      </c>
      <c r="Y3171" s="120" t="b">
        <f t="shared" si="2429"/>
        <v>0</v>
      </c>
      <c r="Z3171" s="117">
        <f t="shared" si="2430"/>
        <v>0</v>
      </c>
      <c r="AA3171" s="118"/>
      <c r="AB3171" s="118" t="str">
        <f t="shared" si="2431"/>
        <v/>
      </c>
      <c r="AC3171" s="712" t="str">
        <f>IF(AE3171="T2G","no charge",IF(AND(OR(PlanterYesMe="No",PlanterYesMe="N",PlanterYesMe="me"),H3171=""),"",IF(H3171="credit","NO install",IF(AND(K3171="",AE3171="me"),"EACH row",IF(AND(K3171="images",AE3171="me"),"EACH row",IF(D3171="","",IF(H3171="credit","",IF(AE3171="free","re-planting",IF(AE3171="me","   not ELP, by",IF(AND(OR(PlanterYesMe="Yes",PlanterYesMe="Y"),G3171&gt;0),(VLOOKUP(A3171,'Discount Lookup'!J:K,2)*G3171*(1-PlanterDiscount)*(1+PlanterDifficultyPercentage)),IF(AE3171="ELP",(VLOOKUP(A3171,'Discount Lookup'!J:K,2)*G3171*(1-PlanterDiscount)*(1+PlanterDifficultyPercentage)),IF(AE3171="free","re-planting",IF(G3171=0,"",IF(PlanterYesMe="",IF(AE3171="me","   not ELP, by",IF(AE3171="",IF(G3171&gt;0,(VLOOKUP(A3171,'Discount Lookup'!J:K,2)*G3171*(1-PlanterDiscount)*(1+PlanterDifficultyPercentage)),""),"")),"   not ELP, by"))))))))))))))</f>
        <v/>
      </c>
      <c r="AD3171" s="712"/>
      <c r="AE3171" s="513" t="str">
        <f t="shared" si="2432"/>
        <v/>
      </c>
      <c r="AF3171" s="713" t="str">
        <f t="shared" si="2433"/>
        <v/>
      </c>
      <c r="AG3171" s="713"/>
      <c r="AH3171" s="713"/>
      <c r="AI3171" s="112">
        <f>IF(H3171="credit",0,IF(AE3171="free",0,IF(AE3171="me",0,IF(G3171&gt;0,(VLOOKUP(A3171,'Discount Lookup'!J:K,2)*G3171),0))))</f>
        <v>0</v>
      </c>
      <c r="AJ3171" s="107" t="str">
        <f t="shared" ca="1" si="2434"/>
        <v/>
      </c>
      <c r="AK3171" s="714" t="str">
        <f t="shared" si="2435"/>
        <v/>
      </c>
      <c r="AL3171" s="714"/>
      <c r="AM3171" s="114" t="str">
        <f t="shared" si="2436"/>
        <v/>
      </c>
      <c r="AN3171" s="115"/>
      <c r="AO3171" s="116"/>
      <c r="AP3171" s="116"/>
      <c r="AQ3171" s="116"/>
      <c r="AR3171" s="116"/>
      <c r="AS3171" s="116"/>
      <c r="AT3171" s="116"/>
      <c r="AU3171" s="116"/>
      <c r="AV3171" s="78"/>
      <c r="AW3171" s="102"/>
      <c r="AX3171" s="78"/>
      <c r="AY3171" s="78"/>
      <c r="AZ3171" s="78"/>
      <c r="BA3171" s="78"/>
      <c r="BB3171" s="78"/>
      <c r="BC3171" s="78"/>
      <c r="BD3171" s="78"/>
      <c r="BE3171" s="465"/>
      <c r="BF3171" s="165" t="str">
        <f t="shared" si="2437"/>
        <v>https://www.google.com/search?tbm=isch&amp;q=45%20G4</v>
      </c>
      <c r="BG3171" s="165" t="str">
        <f t="shared" si="2438"/>
        <v>O</v>
      </c>
      <c r="BH3171" s="65"/>
      <c r="BI3171" s="65"/>
      <c r="BJ3171" s="65"/>
      <c r="BK3171" s="65"/>
      <c r="BL3171" s="99"/>
      <c r="BM3171" s="99"/>
      <c r="BN3171" s="99"/>
    </row>
    <row r="3172" spans="1:66" s="51" customFormat="1" ht="16.5" thickBot="1" x14ac:dyDescent="0.3">
      <c r="A3172" s="508" t="s">
        <v>3718</v>
      </c>
      <c r="B3172" s="487"/>
      <c r="C3172" s="707"/>
      <c r="D3172" s="487"/>
      <c r="E3172" s="487"/>
      <c r="F3172" s="488"/>
      <c r="G3172" s="489"/>
      <c r="H3172" s="487"/>
      <c r="I3172" s="490"/>
      <c r="J3172" s="490"/>
      <c r="K3172" s="491"/>
      <c r="L3172" s="547"/>
      <c r="M3172" s="528"/>
      <c r="N3172" s="492"/>
      <c r="O3172" s="493"/>
      <c r="P3172" s="494"/>
      <c r="Q3172" s="492"/>
      <c r="R3172" s="492"/>
      <c r="S3172" s="495"/>
      <c r="T3172" s="102">
        <f t="shared" si="2426"/>
        <v>0</v>
      </c>
      <c r="U3172" s="78" t="str">
        <f>IF(NOT(ISNUMBER(G3172)), "", VLOOKUP(A3172,'Discount Lookup'!D:E,2,FALSE)*G3172)</f>
        <v/>
      </c>
      <c r="V3172" s="78" t="str">
        <f>IF(NOT(ISNUMBER(G3172)), "", VLOOKUP(A3172,'Discount Lookup'!G:H,2,FALSE)*G3172)</f>
        <v/>
      </c>
      <c r="W3172" s="102">
        <f t="shared" si="2427"/>
        <v>0</v>
      </c>
      <c r="X3172" s="102">
        <f t="shared" si="2428"/>
        <v>0</v>
      </c>
      <c r="Y3172" s="120" t="b">
        <f t="shared" si="2429"/>
        <v>0</v>
      </c>
      <c r="Z3172" s="117">
        <f t="shared" si="2430"/>
        <v>0</v>
      </c>
      <c r="AA3172" s="118"/>
      <c r="AB3172" s="118" t="str">
        <f t="shared" si="2431"/>
        <v/>
      </c>
      <c r="AC3172" s="712" t="str">
        <f>IF(AE3172="T2G","no charge",IF(AND(OR(PlanterYesMe="No",PlanterYesMe="N",PlanterYesMe="me"),H3172=""),"",IF(H3172="credit","NO install",IF(AND(K3172="",AE3172="me"),"EACH row",IF(AND(K3172="images",AE3172="me"),"EACH row",IF(D3172="","",IF(H3172="credit","",IF(AE3172="free","re-planting",IF(AE3172="me","   not ELP, by",IF(AND(OR(PlanterYesMe="Yes",PlanterYesMe="Y"),G3172&gt;0),(VLOOKUP(A3172,'Discount Lookup'!J:K,2)*G3172*(1-PlanterDiscount)*(1+PlanterDifficultyPercentage)),IF(AE3172="ELP",(VLOOKUP(A3172,'Discount Lookup'!J:K,2)*G3172*(1-PlanterDiscount)*(1+PlanterDifficultyPercentage)),IF(AE3172="free","re-planting",IF(G3172=0,"",IF(PlanterYesMe="",IF(AE3172="me","   not ELP, by",IF(AE3172="",IF(G3172&gt;0,(VLOOKUP(A3172,'Discount Lookup'!J:K,2)*G3172*(1-PlanterDiscount)*(1+PlanterDifficultyPercentage)),""),"")),"   not ELP, by"))))))))))))))</f>
        <v/>
      </c>
      <c r="AD3172" s="712"/>
      <c r="AE3172" s="513" t="str">
        <f t="shared" si="2432"/>
        <v/>
      </c>
      <c r="AF3172" s="713" t="str">
        <f t="shared" si="2433"/>
        <v/>
      </c>
      <c r="AG3172" s="713"/>
      <c r="AH3172" s="713"/>
      <c r="AI3172" s="112">
        <f>IF(H3172="credit",0,IF(AE3172="free",0,IF(AE3172="me",0,IF(G3172&gt;0,(VLOOKUP(A3172,'Discount Lookup'!J:K,2)*G3172),0))))</f>
        <v>0</v>
      </c>
      <c r="AJ3172" s="107" t="str">
        <f t="shared" ca="1" si="2434"/>
        <v/>
      </c>
      <c r="AK3172" s="714" t="str">
        <f t="shared" si="2435"/>
        <v/>
      </c>
      <c r="AL3172" s="714"/>
      <c r="AM3172" s="114" t="str">
        <f t="shared" si="2436"/>
        <v/>
      </c>
      <c r="AN3172" s="115"/>
      <c r="AO3172" s="116"/>
      <c r="AP3172" s="116"/>
      <c r="AQ3172" s="116"/>
      <c r="AR3172" s="116"/>
      <c r="AS3172" s="116"/>
      <c r="AT3172" s="116"/>
      <c r="AU3172" s="116"/>
      <c r="AV3172" s="78"/>
      <c r="AW3172" s="102"/>
      <c r="AX3172" s="78"/>
      <c r="AY3172" s="78"/>
      <c r="AZ3172" s="78"/>
      <c r="BA3172" s="78"/>
      <c r="BB3172" s="78"/>
      <c r="BC3172" s="78"/>
      <c r="BD3172" s="78"/>
      <c r="BE3172" s="465"/>
      <c r="BF3172" s="165" t="str">
        <f t="shared" si="2437"/>
        <v>https://www.google.com/search?tbm=isch&amp;q=Goshiki%20is%20Japanese%20for%20%275%20colors%27.%20Foliage%20emerges%20pink%2Fred%2C%20turns%20green%2C%20with%20white%2C%20gold%20and%20bronze%20variegation%20</v>
      </c>
      <c r="BG3172" s="165" t="str">
        <f t="shared" si="2438"/>
        <v>G</v>
      </c>
      <c r="BH3172" s="65"/>
      <c r="BI3172" s="65"/>
      <c r="BJ3172" s="65"/>
      <c r="BK3172" s="65"/>
      <c r="BL3172" s="99"/>
      <c r="BM3172" s="99"/>
      <c r="BN3172" s="99"/>
    </row>
    <row r="3173" spans="1:66" s="51" customFormat="1" ht="18" x14ac:dyDescent="0.25">
      <c r="A3173" s="507" t="s">
        <v>3719</v>
      </c>
      <c r="B3173" s="470"/>
      <c r="C3173" s="706"/>
      <c r="D3173" s="471" t="s">
        <v>3720</v>
      </c>
      <c r="E3173" s="472"/>
      <c r="F3173" s="472"/>
      <c r="G3173" s="472"/>
      <c r="H3173" s="622" t="s">
        <v>331</v>
      </c>
      <c r="I3173" s="473" t="s">
        <v>349</v>
      </c>
      <c r="J3173" s="472"/>
      <c r="K3173" s="472"/>
      <c r="L3173" s="561"/>
      <c r="M3173" s="698" t="s">
        <v>5246</v>
      </c>
      <c r="N3173" s="692" t="str">
        <f>IF(AND(ISTEXT($A3173), ISERROR($A3173+0)), HYPERLINK($BF3173, "Images"), "")</f>
        <v>Images</v>
      </c>
      <c r="O3173" s="694" t="s">
        <v>5244</v>
      </c>
      <c r="P3173" s="475"/>
      <c r="Q3173" s="476"/>
      <c r="R3173" s="476"/>
      <c r="S3173" s="477"/>
      <c r="T3173" s="102">
        <f t="shared" si="2426"/>
        <v>0</v>
      </c>
      <c r="U3173" s="78" t="str">
        <f>IF(NOT(ISNUMBER(G3173)), "", VLOOKUP(A3173,'Discount Lookup'!D:E,2,FALSE)*G3173)</f>
        <v/>
      </c>
      <c r="V3173" s="78" t="str">
        <f>IF(NOT(ISNUMBER(G3173)), "", VLOOKUP(A3173,'Discount Lookup'!G:H,2,FALSE)*G3173)</f>
        <v/>
      </c>
      <c r="W3173" s="102">
        <f t="shared" si="2427"/>
        <v>0</v>
      </c>
      <c r="X3173" s="102" t="str">
        <f t="shared" si="2428"/>
        <v>White bloom</v>
      </c>
      <c r="Y3173" s="120" t="b">
        <f t="shared" si="2429"/>
        <v>0</v>
      </c>
      <c r="Z3173" s="117">
        <f t="shared" si="2430"/>
        <v>0</v>
      </c>
      <c r="AA3173" s="118"/>
      <c r="AB3173" s="118" t="str">
        <f t="shared" si="2431"/>
        <v/>
      </c>
      <c r="AC3173" s="712" t="str">
        <f>IF(AE3173="T2G","no charge",IF(AND(OR(PlanterYesMe="No",PlanterYesMe="N",PlanterYesMe="me"),H3173=""),"",IF(H3173="credit","NO install",IF(AND(K3173="",AE3173="me"),"EACH row",IF(AND(K3173="images",AE3173="me"),"EACH row",IF(D3173="","",IF(H3173="credit","",IF(AE3173="free","re-planting",IF(AE3173="me","   not ELP, by",IF(AND(OR(PlanterYesMe="Yes",PlanterYesMe="Y"),G3173&gt;0),(VLOOKUP(A3173,'Discount Lookup'!J:K,2)*G3173*(1-PlanterDiscount)*(1+PlanterDifficultyPercentage)),IF(AE3173="ELP",(VLOOKUP(A3173,'Discount Lookup'!J:K,2)*G3173*(1-PlanterDiscount)*(1+PlanterDifficultyPercentage)),IF(AE3173="free","re-planting",IF(G3173=0,"",IF(PlanterYesMe="",IF(AE3173="me","   not ELP, by",IF(AE3173="",IF(G3173&gt;0,(VLOOKUP(A3173,'Discount Lookup'!J:K,2)*G3173*(1-PlanterDiscount)*(1+PlanterDifficultyPercentage)),""),"")),"   not ELP, by"))))))))))))))</f>
        <v/>
      </c>
      <c r="AD3173" s="712"/>
      <c r="AE3173" s="513" t="str">
        <f t="shared" si="2432"/>
        <v/>
      </c>
      <c r="AF3173" s="713" t="str">
        <f t="shared" si="2433"/>
        <v/>
      </c>
      <c r="AG3173" s="713"/>
      <c r="AH3173" s="713"/>
      <c r="AI3173" s="112">
        <f>IF(H3173="credit",0,IF(AE3173="free",0,IF(AE3173="me",0,IF(G3173&gt;0,(VLOOKUP(A3173,'Discount Lookup'!J:K,2)*G3173),0))))</f>
        <v>0</v>
      </c>
      <c r="AJ3173" s="107" t="str">
        <f t="shared" ca="1" si="2434"/>
        <v/>
      </c>
      <c r="AK3173" s="714" t="str">
        <f t="shared" si="2435"/>
        <v/>
      </c>
      <c r="AL3173" s="714"/>
      <c r="AM3173" s="114" t="str">
        <f t="shared" si="2436"/>
        <v/>
      </c>
      <c r="AN3173" s="115"/>
      <c r="AO3173" s="116"/>
      <c r="AP3173" s="116"/>
      <c r="AQ3173" s="116"/>
      <c r="AR3173" s="116"/>
      <c r="AS3173" s="116"/>
      <c r="AT3173" s="116"/>
      <c r="AU3173" s="116"/>
      <c r="AV3173" s="78"/>
      <c r="AW3173" s="102"/>
      <c r="AX3173" s="78"/>
      <c r="AY3173" s="78"/>
      <c r="AZ3173" s="78"/>
      <c r="BA3173" s="78"/>
      <c r="BB3173" s="78"/>
      <c r="BC3173" s="78"/>
      <c r="BD3173" s="78"/>
      <c r="BE3173" s="465"/>
      <c r="BF3173" s="165" t="str">
        <f t="shared" si="2437"/>
        <v>https://www.google.com/search?tbm=isch&amp;q=Osmanthus%20heterophyllus%20%27Gulftide%27%20Gulftide%20Osmanthus</v>
      </c>
      <c r="BG3173" s="165" t="str">
        <f t="shared" si="2438"/>
        <v>O</v>
      </c>
      <c r="BH3173" s="65"/>
      <c r="BI3173" s="65"/>
      <c r="BJ3173" s="65"/>
      <c r="BK3173" s="65"/>
      <c r="BL3173" s="99"/>
      <c r="BM3173" s="99"/>
      <c r="BN3173" s="99"/>
    </row>
    <row r="3174" spans="1:66" s="51" customFormat="1" ht="15.75" x14ac:dyDescent="0.25">
      <c r="A3174" s="478">
        <v>15</v>
      </c>
      <c r="B3174" s="479" t="s">
        <v>291</v>
      </c>
      <c r="C3174" s="480" t="s">
        <v>3721</v>
      </c>
      <c r="D3174" s="481" t="s">
        <v>293</v>
      </c>
      <c r="E3174" s="482">
        <v>238.95</v>
      </c>
      <c r="F3174" s="483" t="s">
        <v>292</v>
      </c>
      <c r="G3174" s="484">
        <v>0</v>
      </c>
      <c r="H3174" s="688" t="str">
        <f>IF(G3174=0,"",IF(F3174="Buy",IF(G3174=1,"plant","plants"),IF(F3174&gt;0.01,"warranty","Error")))</f>
        <v/>
      </c>
      <c r="I3174" s="485">
        <f>IF(H3174="free",0,IF(H3174="credit",((E3174*(F3174))*G3174*-1),IF(F3174="Buy",(E3174*G3174),((E3174*(1-F3174))*G3174))))</f>
        <v>0</v>
      </c>
      <c r="J3174" s="485">
        <f>IF(H3174="warranty",0,(I3174*(_xlfn.SINGLE(SalesTaxPercentage))))</f>
        <v>0</v>
      </c>
      <c r="K3174" s="715">
        <f t="shared" ref="K3174" si="2454">I3174+J3174</f>
        <v>0</v>
      </c>
      <c r="L3174" s="715"/>
      <c r="M3174" s="689" t="str">
        <f ca="1">IF(AND(G3174&gt;0,E3174=0),"WARNING - no PRICE inserted",IF(H3174="free","FREE ~ no charge this plant",IF(H3174="credit",CONCATENATE("-$",ROUND(K3174*(1-_xlfn.SINGLE(T2GDiscount))*-1,2)," CREDIT after discount"),IF(_xlfn.SINGLE(T2GDiscount)=0,"",IF(G3174=0,"",IF(F3174="Buy",CONCATENATE("$",ROUND(K3174*(1-_xlfn.SINGLE(T2GDiscount)),2)," with ",(_xlfn.SINGLE(T2GDiscount)*100),"% discount"),CONCATENATE("$",ROUND(K3174*(1-_xlfn.SINGLE(T2GDiscount)),2)," with ",((_xlfn.SINGLE(T2GDiscount)*100+F3174*100)-(_xlfn.SINGLE(T2GDiscount)*100*F3174)),IF(F3174&gt;0,"% discounts",IF(_xlfn.SINGLE(NoWarrantyDiscount)&gt;0,"% discounts","% discount")))))))))</f>
        <v/>
      </c>
      <c r="N3174" s="690"/>
      <c r="O3174" s="486"/>
      <c r="P3174" s="486"/>
      <c r="Q3174" s="486"/>
      <c r="R3174" s="486"/>
      <c r="S3174" s="486"/>
      <c r="T3174" s="102">
        <f t="shared" si="2426"/>
        <v>0</v>
      </c>
      <c r="U3174" s="78">
        <f>IF(NOT(ISNUMBER(G3174)), "", VLOOKUP(A3174,'Discount Lookup'!D:E,2,FALSE)*G3174)</f>
        <v>0</v>
      </c>
      <c r="V3174" s="78">
        <f>IF(NOT(ISNUMBER(G3174)), "", VLOOKUP(A3174,'Discount Lookup'!G:H,2,FALSE)*G3174)</f>
        <v>0</v>
      </c>
      <c r="W3174" s="102">
        <f t="shared" si="2427"/>
        <v>0</v>
      </c>
      <c r="X3174" s="102">
        <f t="shared" si="2428"/>
        <v>0</v>
      </c>
      <c r="Y3174" s="120" t="b">
        <f t="shared" si="2429"/>
        <v>0</v>
      </c>
      <c r="Z3174" s="117">
        <f t="shared" si="2430"/>
        <v>0</v>
      </c>
      <c r="AA3174" s="118"/>
      <c r="AB3174" s="118" t="str">
        <f t="shared" si="2431"/>
        <v/>
      </c>
      <c r="AC3174" s="712" t="str">
        <f>IF(AE3174="T2G","no charge",IF(AND(OR(PlanterYesMe="No",PlanterYesMe="N",PlanterYesMe="me"),H3174=""),"",IF(H3174="credit","NO install",IF(AND(K3174="",AE3174="me"),"EACH row",IF(AND(K3174="images",AE3174="me"),"EACH row",IF(D3174="","",IF(H3174="credit","",IF(AE3174="free","re-planting",IF(AE3174="me","   not ELP, by",IF(AND(OR(PlanterYesMe="Yes",PlanterYesMe="Y"),G3174&gt;0),(VLOOKUP(A3174,'Discount Lookup'!J:K,2)*G3174*(1-PlanterDiscount)*(1+PlanterDifficultyPercentage)),IF(AE3174="ELP",(VLOOKUP(A3174,'Discount Lookup'!J:K,2)*G3174*(1-PlanterDiscount)*(1+PlanterDifficultyPercentage)),IF(AE3174="free","re-planting",IF(G3174=0,"",IF(PlanterYesMe="",IF(AE3174="me","   not ELP, by",IF(AE3174="",IF(G3174&gt;0,(VLOOKUP(A3174,'Discount Lookup'!J:K,2)*G3174*(1-PlanterDiscount)*(1+PlanterDifficultyPercentage)),""),"")),"   not ELP, by"))))))))))))))</f>
        <v/>
      </c>
      <c r="AD3174" s="712"/>
      <c r="AE3174" s="513" t="str">
        <f t="shared" si="2432"/>
        <v/>
      </c>
      <c r="AF3174" s="713" t="str">
        <f t="shared" si="2433"/>
        <v/>
      </c>
      <c r="AG3174" s="713"/>
      <c r="AH3174" s="713"/>
      <c r="AI3174" s="112">
        <f>IF(H3174="credit",0,IF(AE3174="free",0,IF(AE3174="me",0,IF(G3174&gt;0,(VLOOKUP(A3174,'Discount Lookup'!J:K,2)*G3174),0))))</f>
        <v>0</v>
      </c>
      <c r="AJ3174" s="107" t="str">
        <f t="shared" ca="1" si="2434"/>
        <v/>
      </c>
      <c r="AK3174" s="714" t="str">
        <f t="shared" si="2435"/>
        <v/>
      </c>
      <c r="AL3174" s="714"/>
      <c r="AM3174" s="114" t="str">
        <f t="shared" si="2436"/>
        <v/>
      </c>
      <c r="AN3174" s="115"/>
      <c r="AO3174" s="116"/>
      <c r="AP3174" s="116"/>
      <c r="AQ3174" s="116"/>
      <c r="AR3174" s="116"/>
      <c r="AS3174" s="116"/>
      <c r="AT3174" s="116"/>
      <c r="AU3174" s="116"/>
      <c r="AV3174" s="78"/>
      <c r="AW3174" s="102"/>
      <c r="AX3174" s="78"/>
      <c r="AY3174" s="78"/>
      <c r="AZ3174" s="78"/>
      <c r="BA3174" s="78"/>
      <c r="BB3174" s="78"/>
      <c r="BC3174" s="78"/>
      <c r="BD3174" s="78"/>
      <c r="BE3174" s="465"/>
      <c r="BF3174" s="165" t="str">
        <f t="shared" si="2437"/>
        <v>https://www.google.com/search?tbm=isch&amp;q=15%20G6</v>
      </c>
      <c r="BG3174" s="165" t="str">
        <f t="shared" si="2438"/>
        <v>O</v>
      </c>
      <c r="BH3174" s="65"/>
      <c r="BI3174" s="65"/>
      <c r="BJ3174" s="65"/>
      <c r="BK3174" s="65"/>
      <c r="BL3174" s="99"/>
      <c r="BM3174" s="99"/>
      <c r="BN3174" s="99"/>
    </row>
    <row r="3175" spans="1:66" s="51" customFormat="1" ht="15.75" x14ac:dyDescent="0.25">
      <c r="A3175" s="478">
        <v>25</v>
      </c>
      <c r="B3175" s="479" t="s">
        <v>291</v>
      </c>
      <c r="C3175" s="480" t="s">
        <v>3722</v>
      </c>
      <c r="D3175" s="481" t="s">
        <v>293</v>
      </c>
      <c r="E3175" s="482">
        <v>428.95</v>
      </c>
      <c r="F3175" s="483" t="s">
        <v>292</v>
      </c>
      <c r="G3175" s="484">
        <v>0</v>
      </c>
      <c r="H3175" s="688" t="str">
        <f>IF(G3175=0,"",IF(F3175="Buy",IF(G3175=1,"plant","plants"),IF(F3175&gt;0.01,"warranty","Error")))</f>
        <v/>
      </c>
      <c r="I3175" s="485">
        <f>IF(H3175="free",0,IF(H3175="credit",((E3175*(F3175))*G3175*-1),IF(F3175="Buy",(E3175*G3175),((E3175*(1-F3175))*G3175))))</f>
        <v>0</v>
      </c>
      <c r="J3175" s="485">
        <f>IF(H3175="warranty",0,(I3175*(_xlfn.SINGLE(SalesTaxPercentage))))</f>
        <v>0</v>
      </c>
      <c r="K3175" s="715">
        <f t="shared" ref="K3175" si="2455">I3175+J3175</f>
        <v>0</v>
      </c>
      <c r="L3175" s="715"/>
      <c r="M3175" s="689" t="str">
        <f ca="1">IF(AND(G3175&gt;0,E3175=0),"WARNING - no PRICE inserted",IF(H3175="free","FREE ~ no charge this plant",IF(H3175="credit",CONCATENATE("-$",ROUND(K3175*(1-_xlfn.SINGLE(T2GDiscount))*-1,2)," CREDIT after discount"),IF(_xlfn.SINGLE(T2GDiscount)=0,"",IF(G3175=0,"",IF(F3175="Buy",CONCATENATE("$",ROUND(K3175*(1-_xlfn.SINGLE(T2GDiscount)),2)," with ",(_xlfn.SINGLE(T2GDiscount)*100),"% discount"),CONCATENATE("$",ROUND(K3175*(1-_xlfn.SINGLE(T2GDiscount)),2)," with ",((_xlfn.SINGLE(T2GDiscount)*100+F3175*100)-(_xlfn.SINGLE(T2GDiscount)*100*F3175)),IF(F3175&gt;0,"% discounts",IF(_xlfn.SINGLE(NoWarrantyDiscount)&gt;0,"% discounts","% discount")))))))))</f>
        <v/>
      </c>
      <c r="N3175" s="690"/>
      <c r="O3175" s="486"/>
      <c r="P3175" s="486"/>
      <c r="Q3175" s="486"/>
      <c r="R3175" s="486"/>
      <c r="S3175" s="486"/>
      <c r="T3175" s="102">
        <f t="shared" si="2426"/>
        <v>0</v>
      </c>
      <c r="U3175" s="78">
        <f>IF(NOT(ISNUMBER(G3175)), "", VLOOKUP(A3175,'Discount Lookup'!D:E,2,FALSE)*G3175)</f>
        <v>0</v>
      </c>
      <c r="V3175" s="78">
        <f>IF(NOT(ISNUMBER(G3175)), "", VLOOKUP(A3175,'Discount Lookup'!G:H,2,FALSE)*G3175)</f>
        <v>0</v>
      </c>
      <c r="W3175" s="102">
        <f t="shared" si="2427"/>
        <v>0</v>
      </c>
      <c r="X3175" s="102">
        <f t="shared" si="2428"/>
        <v>0</v>
      </c>
      <c r="Y3175" s="120" t="b">
        <f t="shared" si="2429"/>
        <v>0</v>
      </c>
      <c r="Z3175" s="117">
        <f t="shared" si="2430"/>
        <v>0</v>
      </c>
      <c r="AA3175" s="118"/>
      <c r="AB3175" s="118" t="str">
        <f t="shared" si="2431"/>
        <v/>
      </c>
      <c r="AC3175" s="712" t="str">
        <f>IF(AE3175="T2G","no charge",IF(AND(OR(PlanterYesMe="No",PlanterYesMe="N",PlanterYesMe="me"),H3175=""),"",IF(H3175="credit","NO install",IF(AND(K3175="",AE3175="me"),"EACH row",IF(AND(K3175="images",AE3175="me"),"EACH row",IF(D3175="","",IF(H3175="credit","",IF(AE3175="free","re-planting",IF(AE3175="me","   not ELP, by",IF(AND(OR(PlanterYesMe="Yes",PlanterYesMe="Y"),G3175&gt;0),(VLOOKUP(A3175,'Discount Lookup'!J:K,2)*G3175*(1-PlanterDiscount)*(1+PlanterDifficultyPercentage)),IF(AE3175="ELP",(VLOOKUP(A3175,'Discount Lookup'!J:K,2)*G3175*(1-PlanterDiscount)*(1+PlanterDifficultyPercentage)),IF(AE3175="free","re-planting",IF(G3175=0,"",IF(PlanterYesMe="",IF(AE3175="me","   not ELP, by",IF(AE3175="",IF(G3175&gt;0,(VLOOKUP(A3175,'Discount Lookup'!J:K,2)*G3175*(1-PlanterDiscount)*(1+PlanterDifficultyPercentage)),""),"")),"   not ELP, by"))))))))))))))</f>
        <v/>
      </c>
      <c r="AD3175" s="712"/>
      <c r="AE3175" s="513" t="str">
        <f t="shared" si="2432"/>
        <v/>
      </c>
      <c r="AF3175" s="713" t="str">
        <f t="shared" si="2433"/>
        <v/>
      </c>
      <c r="AG3175" s="713"/>
      <c r="AH3175" s="713"/>
      <c r="AI3175" s="112">
        <f>IF(H3175="credit",0,IF(AE3175="free",0,IF(AE3175="me",0,IF(G3175&gt;0,(VLOOKUP(A3175,'Discount Lookup'!J:K,2)*G3175),0))))</f>
        <v>0</v>
      </c>
      <c r="AJ3175" s="107" t="str">
        <f t="shared" ca="1" si="2434"/>
        <v/>
      </c>
      <c r="AK3175" s="714" t="str">
        <f t="shared" si="2435"/>
        <v/>
      </c>
      <c r="AL3175" s="714"/>
      <c r="AM3175" s="114" t="str">
        <f t="shared" si="2436"/>
        <v/>
      </c>
      <c r="AN3175" s="115"/>
      <c r="AO3175" s="116"/>
      <c r="AP3175" s="116"/>
      <c r="AQ3175" s="116"/>
      <c r="AR3175" s="116"/>
      <c r="AS3175" s="116"/>
      <c r="AT3175" s="116"/>
      <c r="AU3175" s="116"/>
      <c r="AV3175" s="78"/>
      <c r="AW3175" s="102"/>
      <c r="AX3175" s="78"/>
      <c r="AY3175" s="78"/>
      <c r="AZ3175" s="78"/>
      <c r="BA3175" s="78"/>
      <c r="BB3175" s="78"/>
      <c r="BC3175" s="78"/>
      <c r="BD3175" s="78"/>
      <c r="BE3175" s="465"/>
      <c r="BF3175" s="165" t="str">
        <f t="shared" si="2437"/>
        <v>https://www.google.com/search?tbm=isch&amp;q=25%20G6</v>
      </c>
      <c r="BG3175" s="165" t="str">
        <f t="shared" si="2438"/>
        <v>O</v>
      </c>
      <c r="BH3175" s="65"/>
      <c r="BI3175" s="65"/>
      <c r="BJ3175" s="65"/>
      <c r="BK3175" s="65"/>
      <c r="BL3175" s="99"/>
      <c r="BM3175" s="99"/>
      <c r="BN3175" s="99"/>
    </row>
    <row r="3176" spans="1:66" s="51" customFormat="1" ht="16.5" thickBot="1" x14ac:dyDescent="0.3">
      <c r="A3176" s="508" t="s">
        <v>3723</v>
      </c>
      <c r="B3176" s="487"/>
      <c r="C3176" s="707"/>
      <c r="D3176" s="487"/>
      <c r="E3176" s="487"/>
      <c r="F3176" s="488"/>
      <c r="G3176" s="489"/>
      <c r="H3176" s="487"/>
      <c r="I3176" s="490"/>
      <c r="J3176" s="490"/>
      <c r="K3176" s="491"/>
      <c r="L3176" s="547"/>
      <c r="M3176" s="528"/>
      <c r="N3176" s="492"/>
      <c r="O3176" s="493"/>
      <c r="P3176" s="494"/>
      <c r="Q3176" s="492"/>
      <c r="R3176" s="492"/>
      <c r="S3176" s="495"/>
      <c r="T3176" s="102">
        <f t="shared" si="2426"/>
        <v>0</v>
      </c>
      <c r="U3176" s="78" t="str">
        <f>IF(NOT(ISNUMBER(G3176)), "", VLOOKUP(A3176,'Discount Lookup'!D:E,2,FALSE)*G3176)</f>
        <v/>
      </c>
      <c r="V3176" s="78" t="str">
        <f>IF(NOT(ISNUMBER(G3176)), "", VLOOKUP(A3176,'Discount Lookup'!G:H,2,FALSE)*G3176)</f>
        <v/>
      </c>
      <c r="W3176" s="102">
        <f t="shared" si="2427"/>
        <v>0</v>
      </c>
      <c r="X3176" s="102">
        <f t="shared" si="2428"/>
        <v>0</v>
      </c>
      <c r="Y3176" s="120" t="b">
        <f t="shared" si="2429"/>
        <v>0</v>
      </c>
      <c r="Z3176" s="117">
        <f t="shared" si="2430"/>
        <v>0</v>
      </c>
      <c r="AA3176" s="118"/>
      <c r="AB3176" s="118" t="str">
        <f t="shared" si="2431"/>
        <v/>
      </c>
      <c r="AC3176" s="712" t="str">
        <f>IF(AE3176="T2G","no charge",IF(AND(OR(PlanterYesMe="No",PlanterYesMe="N",PlanterYesMe="me"),H3176=""),"",IF(H3176="credit","NO install",IF(AND(K3176="",AE3176="me"),"EACH row",IF(AND(K3176="images",AE3176="me"),"EACH row",IF(D3176="","",IF(H3176="credit","",IF(AE3176="free","re-planting",IF(AE3176="me","   not ELP, by",IF(AND(OR(PlanterYesMe="Yes",PlanterYesMe="Y"),G3176&gt;0),(VLOOKUP(A3176,'Discount Lookup'!J:K,2)*G3176*(1-PlanterDiscount)*(1+PlanterDifficultyPercentage)),IF(AE3176="ELP",(VLOOKUP(A3176,'Discount Lookup'!J:K,2)*G3176*(1-PlanterDiscount)*(1+PlanterDifficultyPercentage)),IF(AE3176="free","re-planting",IF(G3176=0,"",IF(PlanterYesMe="",IF(AE3176="me","   not ELP, by",IF(AE3176="",IF(G3176&gt;0,(VLOOKUP(A3176,'Discount Lookup'!J:K,2)*G3176*(1-PlanterDiscount)*(1+PlanterDifficultyPercentage)),""),"")),"   not ELP, by"))))))))))))))</f>
        <v/>
      </c>
      <c r="AD3176" s="712"/>
      <c r="AE3176" s="513" t="str">
        <f t="shared" si="2432"/>
        <v/>
      </c>
      <c r="AF3176" s="713" t="str">
        <f t="shared" si="2433"/>
        <v/>
      </c>
      <c r="AG3176" s="713"/>
      <c r="AH3176" s="713"/>
      <c r="AI3176" s="112">
        <f>IF(H3176="credit",0,IF(AE3176="free",0,IF(AE3176="me",0,IF(G3176&gt;0,(VLOOKUP(A3176,'Discount Lookup'!J:K,2)*G3176),0))))</f>
        <v>0</v>
      </c>
      <c r="AJ3176" s="107" t="str">
        <f t="shared" ca="1" si="2434"/>
        <v/>
      </c>
      <c r="AK3176" s="714" t="str">
        <f t="shared" si="2435"/>
        <v/>
      </c>
      <c r="AL3176" s="714"/>
      <c r="AM3176" s="114" t="str">
        <f t="shared" si="2436"/>
        <v/>
      </c>
      <c r="AN3176" s="115"/>
      <c r="AO3176" s="116"/>
      <c r="AP3176" s="116"/>
      <c r="AQ3176" s="116"/>
      <c r="AR3176" s="116"/>
      <c r="AS3176" s="116"/>
      <c r="AT3176" s="116"/>
      <c r="AU3176" s="116"/>
      <c r="AV3176" s="78"/>
      <c r="AW3176" s="102"/>
      <c r="AX3176" s="78"/>
      <c r="AY3176" s="78"/>
      <c r="AZ3176" s="78"/>
      <c r="BA3176" s="78"/>
      <c r="BB3176" s="78"/>
      <c r="BC3176" s="78"/>
      <c r="BD3176" s="78"/>
      <c r="BE3176" s="465"/>
      <c r="BF3176" s="165" t="str">
        <f t="shared" si="2437"/>
        <v>https://www.google.com/search?tbm=isch&amp;q=Gulftide%20has%20dense%2C%20spiney%20foliage%20that%20screens%20well.%20Small%20flowers%20are%20hard%20to%20see%20in%20fall%2C%20but%20rather%20fragrant%20</v>
      </c>
      <c r="BG3176" s="165" t="str">
        <f t="shared" si="2438"/>
        <v>G</v>
      </c>
      <c r="BH3176" s="65"/>
      <c r="BI3176" s="65"/>
      <c r="BJ3176" s="65"/>
      <c r="BK3176" s="65"/>
      <c r="BL3176" s="99"/>
      <c r="BM3176" s="99"/>
      <c r="BN3176" s="99"/>
    </row>
    <row r="3177" spans="1:66" s="51" customFormat="1" ht="18" x14ac:dyDescent="0.25">
      <c r="A3177" s="507" t="s">
        <v>3724</v>
      </c>
      <c r="B3177" s="470"/>
      <c r="C3177" s="706"/>
      <c r="D3177" s="471" t="s">
        <v>3725</v>
      </c>
      <c r="E3177" s="472"/>
      <c r="F3177" s="472"/>
      <c r="G3177" s="472"/>
      <c r="H3177" s="622" t="s">
        <v>1217</v>
      </c>
      <c r="I3177" s="473" t="s">
        <v>349</v>
      </c>
      <c r="J3177" s="472"/>
      <c r="K3177" s="472"/>
      <c r="L3177" s="561"/>
      <c r="M3177" s="698" t="s">
        <v>5246</v>
      </c>
      <c r="N3177" s="692" t="str">
        <f>IF(AND(ISTEXT($A3177), ISERROR($A3177+0)), HYPERLINK($BF3177, "Images"), "")</f>
        <v>Images</v>
      </c>
      <c r="O3177" s="694" t="s">
        <v>5247</v>
      </c>
      <c r="P3177" s="475"/>
      <c r="Q3177" s="476"/>
      <c r="R3177" s="476"/>
      <c r="S3177" s="477"/>
      <c r="T3177" s="102">
        <f t="shared" si="2426"/>
        <v>0</v>
      </c>
      <c r="U3177" s="78" t="str">
        <f>IF(NOT(ISNUMBER(G3177)), "", VLOOKUP(A3177,'Discount Lookup'!D:E,2,FALSE)*G3177)</f>
        <v/>
      </c>
      <c r="V3177" s="78" t="str">
        <f>IF(NOT(ISNUMBER(G3177)), "", VLOOKUP(A3177,'Discount Lookup'!G:H,2,FALSE)*G3177)</f>
        <v/>
      </c>
      <c r="W3177" s="102">
        <f t="shared" si="2427"/>
        <v>0</v>
      </c>
      <c r="X3177" s="102" t="str">
        <f t="shared" si="2428"/>
        <v>White bloom</v>
      </c>
      <c r="Y3177" s="120" t="b">
        <f t="shared" si="2429"/>
        <v>0</v>
      </c>
      <c r="Z3177" s="117">
        <f t="shared" si="2430"/>
        <v>0</v>
      </c>
      <c r="AA3177" s="118"/>
      <c r="AB3177" s="118" t="str">
        <f t="shared" si="2431"/>
        <v/>
      </c>
      <c r="AC3177" s="712" t="str">
        <f>IF(AE3177="T2G","no charge",IF(AND(OR(PlanterYesMe="No",PlanterYesMe="N",PlanterYesMe="me"),H3177=""),"",IF(H3177="credit","NO install",IF(AND(K3177="",AE3177="me"),"EACH row",IF(AND(K3177="images",AE3177="me"),"EACH row",IF(D3177="","",IF(H3177="credit","",IF(AE3177="free","re-planting",IF(AE3177="me","   not ELP, by",IF(AND(OR(PlanterYesMe="Yes",PlanterYesMe="Y"),G3177&gt;0),(VLOOKUP(A3177,'Discount Lookup'!J:K,2)*G3177*(1-PlanterDiscount)*(1+PlanterDifficultyPercentage)),IF(AE3177="ELP",(VLOOKUP(A3177,'Discount Lookup'!J:K,2)*G3177*(1-PlanterDiscount)*(1+PlanterDifficultyPercentage)),IF(AE3177="free","re-planting",IF(G3177=0,"",IF(PlanterYesMe="",IF(AE3177="me","   not ELP, by",IF(AE3177="",IF(G3177&gt;0,(VLOOKUP(A3177,'Discount Lookup'!J:K,2)*G3177*(1-PlanterDiscount)*(1+PlanterDifficultyPercentage)),""),"")),"   not ELP, by"))))))))))))))</f>
        <v/>
      </c>
      <c r="AD3177" s="712"/>
      <c r="AE3177" s="513" t="str">
        <f t="shared" si="2432"/>
        <v/>
      </c>
      <c r="AF3177" s="713" t="str">
        <f t="shared" si="2433"/>
        <v/>
      </c>
      <c r="AG3177" s="713"/>
      <c r="AH3177" s="713"/>
      <c r="AI3177" s="112">
        <f>IF(H3177="credit",0,IF(AE3177="free",0,IF(AE3177="me",0,IF(G3177&gt;0,(VLOOKUP(A3177,'Discount Lookup'!J:K,2)*G3177),0))))</f>
        <v>0</v>
      </c>
      <c r="AJ3177" s="107" t="str">
        <f t="shared" ca="1" si="2434"/>
        <v/>
      </c>
      <c r="AK3177" s="714" t="str">
        <f t="shared" si="2435"/>
        <v/>
      </c>
      <c r="AL3177" s="714"/>
      <c r="AM3177" s="114" t="str">
        <f t="shared" si="2436"/>
        <v/>
      </c>
      <c r="AN3177" s="115"/>
      <c r="AO3177" s="116"/>
      <c r="AP3177" s="116"/>
      <c r="AQ3177" s="116"/>
      <c r="AR3177" s="116"/>
      <c r="AS3177" s="116"/>
      <c r="AT3177" s="116"/>
      <c r="AU3177" s="116"/>
      <c r="AV3177" s="78"/>
      <c r="AW3177" s="102"/>
      <c r="AX3177" s="78"/>
      <c r="AY3177" s="78"/>
      <c r="AZ3177" s="78"/>
      <c r="BA3177" s="78"/>
      <c r="BB3177" s="78"/>
      <c r="BC3177" s="78"/>
      <c r="BD3177" s="78"/>
      <c r="BE3177" s="465"/>
      <c r="BF3177" s="165" t="str">
        <f t="shared" si="2437"/>
        <v>https://www.google.com/search?tbm=isch&amp;q=Osmanthus%20heterophyllus%20%27Kaori%20Hime%27%20PP%2312083%20Fragrant%20Princess%20Tea%20Olive</v>
      </c>
      <c r="BG3177" s="165" t="str">
        <f t="shared" si="2438"/>
        <v>O</v>
      </c>
      <c r="BH3177" s="65"/>
      <c r="BI3177" s="65"/>
      <c r="BJ3177" s="65"/>
      <c r="BK3177" s="65"/>
      <c r="BL3177" s="99"/>
      <c r="BM3177" s="99"/>
      <c r="BN3177" s="99"/>
    </row>
    <row r="3178" spans="1:66" s="51" customFormat="1" ht="15.75" x14ac:dyDescent="0.25">
      <c r="A3178" s="478">
        <v>1</v>
      </c>
      <c r="B3178" s="479" t="s">
        <v>291</v>
      </c>
      <c r="C3178" s="480"/>
      <c r="D3178" s="481" t="s">
        <v>311</v>
      </c>
      <c r="E3178" s="482">
        <v>11.95</v>
      </c>
      <c r="F3178" s="483" t="s">
        <v>292</v>
      </c>
      <c r="G3178" s="484">
        <v>0</v>
      </c>
      <c r="H3178" s="688" t="str">
        <f t="shared" ref="H3178:H3184" si="2456">IF(G3178=0,"",IF(F3178="Buy",IF(G3178=1,"plant","plants"),IF(F3178&gt;0.01,"warranty","Error")))</f>
        <v/>
      </c>
      <c r="I3178" s="485">
        <f t="shared" ref="I3178:I3184" si="2457">IF(H3178="free",0,IF(H3178="credit",((E3178*(F3178))*G3178*-1),IF(F3178="Buy",(E3178*G3178),((E3178*(1-F3178))*G3178))))</f>
        <v>0</v>
      </c>
      <c r="J3178" s="485">
        <f t="shared" ref="J3178:J3184" si="2458">IF(H3178="warranty",0,(I3178*(_xlfn.SINGLE(SalesTaxPercentage))))</f>
        <v>0</v>
      </c>
      <c r="K3178" s="715">
        <f t="shared" ref="K3178" si="2459">I3178+J3178</f>
        <v>0</v>
      </c>
      <c r="L3178" s="715"/>
      <c r="M3178" s="689" t="str">
        <f t="shared" ref="M3178:M3184" ca="1" si="2460">IF(AND(G3178&gt;0,E3178=0),"WARNING - no PRICE inserted",IF(H3178="free","FREE ~ no charge this plant",IF(H3178="credit",CONCATENATE("-$",ROUND(K3178*(1-_xlfn.SINGLE(T2GDiscount))*-1,2)," CREDIT after discount"),IF(_xlfn.SINGLE(T2GDiscount)=0,"",IF(G3178=0,"",IF(F3178="Buy",CONCATENATE("$",ROUND(K3178*(1-_xlfn.SINGLE(T2GDiscount)),2)," with ",(_xlfn.SINGLE(T2GDiscount)*100),"% discount"),CONCATENATE("$",ROUND(K3178*(1-_xlfn.SINGLE(T2GDiscount)),2)," with ",((_xlfn.SINGLE(T2GDiscount)*100+F3178*100)-(_xlfn.SINGLE(T2GDiscount)*100*F3178)),IF(F3178&gt;0,"% discounts",IF(_xlfn.SINGLE(NoWarrantyDiscount)&gt;0,"% discounts","% discount")))))))))</f>
        <v/>
      </c>
      <c r="N3178" s="690"/>
      <c r="O3178" s="486"/>
      <c r="P3178" s="486"/>
      <c r="Q3178" s="486"/>
      <c r="R3178" s="486"/>
      <c r="S3178" s="486"/>
      <c r="T3178" s="102">
        <f t="shared" si="2426"/>
        <v>0</v>
      </c>
      <c r="U3178" s="78">
        <f>IF(NOT(ISNUMBER(G3178)), "", VLOOKUP(A3178,'Discount Lookup'!D:E,2,FALSE)*G3178)</f>
        <v>0</v>
      </c>
      <c r="V3178" s="78">
        <f>IF(NOT(ISNUMBER(G3178)), "", VLOOKUP(A3178,'Discount Lookup'!G:H,2,FALSE)*G3178)</f>
        <v>0</v>
      </c>
      <c r="W3178" s="102">
        <f t="shared" si="2427"/>
        <v>0</v>
      </c>
      <c r="X3178" s="102">
        <f t="shared" si="2428"/>
        <v>0</v>
      </c>
      <c r="Y3178" s="120" t="b">
        <f t="shared" si="2429"/>
        <v>0</v>
      </c>
      <c r="Z3178" s="117">
        <f t="shared" si="2430"/>
        <v>0</v>
      </c>
      <c r="AA3178" s="118"/>
      <c r="AB3178" s="118" t="str">
        <f t="shared" si="2431"/>
        <v/>
      </c>
      <c r="AC3178" s="712" t="str">
        <f>IF(AE3178="T2G","no charge",IF(AND(OR(PlanterYesMe="No",PlanterYesMe="N",PlanterYesMe="me"),H3178=""),"",IF(H3178="credit","NO install",IF(AND(K3178="",AE3178="me"),"EACH row",IF(AND(K3178="images",AE3178="me"),"EACH row",IF(D3178="","",IF(H3178="credit","",IF(AE3178="free","re-planting",IF(AE3178="me","   not ELP, by",IF(AND(OR(PlanterYesMe="Yes",PlanterYesMe="Y"),G3178&gt;0),(VLOOKUP(A3178,'Discount Lookup'!J:K,2)*G3178*(1-PlanterDiscount)*(1+PlanterDifficultyPercentage)),IF(AE3178="ELP",(VLOOKUP(A3178,'Discount Lookup'!J:K,2)*G3178*(1-PlanterDiscount)*(1+PlanterDifficultyPercentage)),IF(AE3178="free","re-planting",IF(G3178=0,"",IF(PlanterYesMe="",IF(AE3178="me","   not ELP, by",IF(AE3178="",IF(G3178&gt;0,(VLOOKUP(A3178,'Discount Lookup'!J:K,2)*G3178*(1-PlanterDiscount)*(1+PlanterDifficultyPercentage)),""),"")),"   not ELP, by"))))))))))))))</f>
        <v/>
      </c>
      <c r="AD3178" s="712"/>
      <c r="AE3178" s="513" t="str">
        <f t="shared" si="2432"/>
        <v/>
      </c>
      <c r="AF3178" s="713" t="str">
        <f t="shared" si="2433"/>
        <v/>
      </c>
      <c r="AG3178" s="713"/>
      <c r="AH3178" s="713"/>
      <c r="AI3178" s="112">
        <f>IF(H3178="credit",0,IF(AE3178="free",0,IF(AE3178="me",0,IF(G3178&gt;0,(VLOOKUP(A3178,'Discount Lookup'!J:K,2)*G3178),0))))</f>
        <v>0</v>
      </c>
      <c r="AJ3178" s="107" t="str">
        <f t="shared" ca="1" si="2434"/>
        <v/>
      </c>
      <c r="AK3178" s="714" t="str">
        <f t="shared" si="2435"/>
        <v/>
      </c>
      <c r="AL3178" s="714"/>
      <c r="AM3178" s="114" t="str">
        <f t="shared" si="2436"/>
        <v/>
      </c>
      <c r="AN3178" s="115"/>
      <c r="AO3178" s="116"/>
      <c r="AP3178" s="116"/>
      <c r="AQ3178" s="116"/>
      <c r="AR3178" s="116"/>
      <c r="AS3178" s="116"/>
      <c r="AT3178" s="116"/>
      <c r="AU3178" s="116"/>
      <c r="AV3178" s="78"/>
      <c r="AW3178" s="102"/>
      <c r="AX3178" s="78"/>
      <c r="AY3178" s="78"/>
      <c r="AZ3178" s="78"/>
      <c r="BA3178" s="78"/>
      <c r="BB3178" s="78"/>
      <c r="BC3178" s="78"/>
      <c r="BD3178" s="78"/>
      <c r="BE3178" s="465"/>
      <c r="BF3178" s="165" t="str">
        <f t="shared" si="2437"/>
        <v>https://www.google.com/search?tbm=isch&amp;q=1%20G5</v>
      </c>
      <c r="BG3178" s="165" t="str">
        <f t="shared" si="2438"/>
        <v>O</v>
      </c>
      <c r="BH3178" s="65"/>
      <c r="BI3178" s="65"/>
      <c r="BJ3178" s="65"/>
      <c r="BK3178" s="65"/>
      <c r="BL3178" s="99"/>
      <c r="BM3178" s="99"/>
      <c r="BN3178" s="99"/>
    </row>
    <row r="3179" spans="1:66" s="51" customFormat="1" ht="15.75" x14ac:dyDescent="0.25">
      <c r="A3179" s="478">
        <v>3</v>
      </c>
      <c r="B3179" s="479" t="s">
        <v>291</v>
      </c>
      <c r="C3179" s="480"/>
      <c r="D3179" s="481" t="s">
        <v>310</v>
      </c>
      <c r="E3179" s="482">
        <v>33.950000000000003</v>
      </c>
      <c r="F3179" s="483" t="s">
        <v>292</v>
      </c>
      <c r="G3179" s="484">
        <v>0</v>
      </c>
      <c r="H3179" s="688" t="str">
        <f t="shared" si="2456"/>
        <v/>
      </c>
      <c r="I3179" s="485">
        <f t="shared" si="2457"/>
        <v>0</v>
      </c>
      <c r="J3179" s="485">
        <f t="shared" si="2458"/>
        <v>0</v>
      </c>
      <c r="K3179" s="715">
        <f t="shared" ref="K3179" si="2461">I3179+J3179</f>
        <v>0</v>
      </c>
      <c r="L3179" s="715"/>
      <c r="M3179" s="689" t="str">
        <f t="shared" ca="1" si="2460"/>
        <v/>
      </c>
      <c r="N3179" s="690"/>
      <c r="O3179" s="486"/>
      <c r="P3179" s="486"/>
      <c r="Q3179" s="486"/>
      <c r="R3179" s="486"/>
      <c r="S3179" s="486"/>
      <c r="T3179" s="102">
        <f t="shared" si="2426"/>
        <v>0</v>
      </c>
      <c r="U3179" s="78">
        <f>IF(NOT(ISNUMBER(G3179)), "", VLOOKUP(A3179,'Discount Lookup'!D:E,2,FALSE)*G3179)</f>
        <v>0</v>
      </c>
      <c r="V3179" s="78">
        <f>IF(NOT(ISNUMBER(G3179)), "", VLOOKUP(A3179,'Discount Lookup'!G:H,2,FALSE)*G3179)</f>
        <v>0</v>
      </c>
      <c r="W3179" s="102">
        <f t="shared" si="2427"/>
        <v>0</v>
      </c>
      <c r="X3179" s="102">
        <f t="shared" si="2428"/>
        <v>0</v>
      </c>
      <c r="Y3179" s="120" t="b">
        <f t="shared" si="2429"/>
        <v>0</v>
      </c>
      <c r="Z3179" s="117">
        <f t="shared" si="2430"/>
        <v>0</v>
      </c>
      <c r="AA3179" s="118"/>
      <c r="AB3179" s="118" t="str">
        <f t="shared" si="2431"/>
        <v/>
      </c>
      <c r="AC3179" s="712" t="str">
        <f>IF(AE3179="T2G","no charge",IF(AND(OR(PlanterYesMe="No",PlanterYesMe="N",PlanterYesMe="me"),H3179=""),"",IF(H3179="credit","NO install",IF(AND(K3179="",AE3179="me"),"EACH row",IF(AND(K3179="images",AE3179="me"),"EACH row",IF(D3179="","",IF(H3179="credit","",IF(AE3179="free","re-planting",IF(AE3179="me","   not ELP, by",IF(AND(OR(PlanterYesMe="Yes",PlanterYesMe="Y"),G3179&gt;0),(VLOOKUP(A3179,'Discount Lookup'!J:K,2)*G3179*(1-PlanterDiscount)*(1+PlanterDifficultyPercentage)),IF(AE3179="ELP",(VLOOKUP(A3179,'Discount Lookup'!J:K,2)*G3179*(1-PlanterDiscount)*(1+PlanterDifficultyPercentage)),IF(AE3179="free","re-planting",IF(G3179=0,"",IF(PlanterYesMe="",IF(AE3179="me","   not ELP, by",IF(AE3179="",IF(G3179&gt;0,(VLOOKUP(A3179,'Discount Lookup'!J:K,2)*G3179*(1-PlanterDiscount)*(1+PlanterDifficultyPercentage)),""),"")),"   not ELP, by"))))))))))))))</f>
        <v/>
      </c>
      <c r="AD3179" s="712"/>
      <c r="AE3179" s="513" t="str">
        <f t="shared" si="2432"/>
        <v/>
      </c>
      <c r="AF3179" s="713" t="str">
        <f t="shared" si="2433"/>
        <v/>
      </c>
      <c r="AG3179" s="713"/>
      <c r="AH3179" s="713"/>
      <c r="AI3179" s="112">
        <f>IF(H3179="credit",0,IF(AE3179="free",0,IF(AE3179="me",0,IF(G3179&gt;0,(VLOOKUP(A3179,'Discount Lookup'!J:K,2)*G3179),0))))</f>
        <v>0</v>
      </c>
      <c r="AJ3179" s="107" t="str">
        <f t="shared" ca="1" si="2434"/>
        <v/>
      </c>
      <c r="AK3179" s="714" t="str">
        <f t="shared" si="2435"/>
        <v/>
      </c>
      <c r="AL3179" s="714"/>
      <c r="AM3179" s="114" t="str">
        <f t="shared" si="2436"/>
        <v/>
      </c>
      <c r="AN3179" s="115"/>
      <c r="AO3179" s="116"/>
      <c r="AP3179" s="116"/>
      <c r="AQ3179" s="116"/>
      <c r="AR3179" s="116"/>
      <c r="AS3179" s="116"/>
      <c r="AT3179" s="116"/>
      <c r="AU3179" s="116"/>
      <c r="AV3179" s="78"/>
      <c r="AW3179" s="102"/>
      <c r="AX3179" s="78"/>
      <c r="AY3179" s="78"/>
      <c r="AZ3179" s="78"/>
      <c r="BA3179" s="78"/>
      <c r="BB3179" s="78"/>
      <c r="BC3179" s="78"/>
      <c r="BD3179" s="78"/>
      <c r="BE3179" s="465"/>
      <c r="BF3179" s="165" t="str">
        <f t="shared" si="2437"/>
        <v>https://www.google.com/search?tbm=isch&amp;q=3%20G1</v>
      </c>
      <c r="BG3179" s="165" t="str">
        <f t="shared" si="2438"/>
        <v>O</v>
      </c>
      <c r="BH3179" s="65"/>
      <c r="BI3179" s="65"/>
      <c r="BJ3179" s="65"/>
      <c r="BK3179" s="65"/>
      <c r="BL3179" s="99"/>
      <c r="BM3179" s="99"/>
      <c r="BN3179" s="99"/>
    </row>
    <row r="3180" spans="1:66" s="51" customFormat="1" ht="15.75" x14ac:dyDescent="0.25">
      <c r="A3180" s="478">
        <v>3</v>
      </c>
      <c r="B3180" s="479" t="s">
        <v>291</v>
      </c>
      <c r="C3180" s="480" t="s">
        <v>3726</v>
      </c>
      <c r="D3180" s="481" t="s">
        <v>299</v>
      </c>
      <c r="E3180" s="482">
        <v>35.950000000000003</v>
      </c>
      <c r="F3180" s="483" t="s">
        <v>292</v>
      </c>
      <c r="G3180" s="484">
        <v>0</v>
      </c>
      <c r="H3180" s="688" t="str">
        <f t="shared" si="2456"/>
        <v/>
      </c>
      <c r="I3180" s="485">
        <f t="shared" si="2457"/>
        <v>0</v>
      </c>
      <c r="J3180" s="485">
        <f t="shared" si="2458"/>
        <v>0</v>
      </c>
      <c r="K3180" s="715">
        <f t="shared" ref="K3180" si="2462">I3180+J3180</f>
        <v>0</v>
      </c>
      <c r="L3180" s="715"/>
      <c r="M3180" s="689" t="str">
        <f t="shared" ca="1" si="2460"/>
        <v/>
      </c>
      <c r="N3180" s="690"/>
      <c r="O3180" s="486"/>
      <c r="P3180" s="486"/>
      <c r="Q3180" s="486"/>
      <c r="R3180" s="486"/>
      <c r="S3180" s="486"/>
      <c r="T3180" s="102">
        <f t="shared" si="2426"/>
        <v>0</v>
      </c>
      <c r="U3180" s="78">
        <f>IF(NOT(ISNUMBER(G3180)), "", VLOOKUP(A3180,'Discount Lookup'!D:E,2,FALSE)*G3180)</f>
        <v>0</v>
      </c>
      <c r="V3180" s="78">
        <f>IF(NOT(ISNUMBER(G3180)), "", VLOOKUP(A3180,'Discount Lookup'!G:H,2,FALSE)*G3180)</f>
        <v>0</v>
      </c>
      <c r="W3180" s="102">
        <f t="shared" si="2427"/>
        <v>0</v>
      </c>
      <c r="X3180" s="102">
        <f t="shared" si="2428"/>
        <v>0</v>
      </c>
      <c r="Y3180" s="120" t="b">
        <f t="shared" si="2429"/>
        <v>0</v>
      </c>
      <c r="Z3180" s="117">
        <f t="shared" si="2430"/>
        <v>0</v>
      </c>
      <c r="AA3180" s="118"/>
      <c r="AB3180" s="118" t="str">
        <f t="shared" si="2431"/>
        <v/>
      </c>
      <c r="AC3180" s="712" t="str">
        <f>IF(AE3180="T2G","no charge",IF(AND(OR(PlanterYesMe="No",PlanterYesMe="N",PlanterYesMe="me"),H3180=""),"",IF(H3180="credit","NO install",IF(AND(K3180="",AE3180="me"),"EACH row",IF(AND(K3180="images",AE3180="me"),"EACH row",IF(D3180="","",IF(H3180="credit","",IF(AE3180="free","re-planting",IF(AE3180="me","   not ELP, by",IF(AND(OR(PlanterYesMe="Yes",PlanterYesMe="Y"),G3180&gt;0),(VLOOKUP(A3180,'Discount Lookup'!J:K,2)*G3180*(1-PlanterDiscount)*(1+PlanterDifficultyPercentage)),IF(AE3180="ELP",(VLOOKUP(A3180,'Discount Lookup'!J:K,2)*G3180*(1-PlanterDiscount)*(1+PlanterDifficultyPercentage)),IF(AE3180="free","re-planting",IF(G3180=0,"",IF(PlanterYesMe="",IF(AE3180="me","   not ELP, by",IF(AE3180="",IF(G3180&gt;0,(VLOOKUP(A3180,'Discount Lookup'!J:K,2)*G3180*(1-PlanterDiscount)*(1+PlanterDifficultyPercentage)),""),"")),"   not ELP, by"))))))))))))))</f>
        <v/>
      </c>
      <c r="AD3180" s="712"/>
      <c r="AE3180" s="513" t="str">
        <f t="shared" si="2432"/>
        <v/>
      </c>
      <c r="AF3180" s="713" t="str">
        <f t="shared" si="2433"/>
        <v/>
      </c>
      <c r="AG3180" s="713"/>
      <c r="AH3180" s="713"/>
      <c r="AI3180" s="112">
        <f>IF(H3180="credit",0,IF(AE3180="free",0,IF(AE3180="me",0,IF(G3180&gt;0,(VLOOKUP(A3180,'Discount Lookup'!J:K,2)*G3180),0))))</f>
        <v>0</v>
      </c>
      <c r="AJ3180" s="107" t="str">
        <f t="shared" ca="1" si="2434"/>
        <v/>
      </c>
      <c r="AK3180" s="714" t="str">
        <f t="shared" si="2435"/>
        <v/>
      </c>
      <c r="AL3180" s="714"/>
      <c r="AM3180" s="114" t="str">
        <f t="shared" si="2436"/>
        <v/>
      </c>
      <c r="AN3180" s="115"/>
      <c r="AO3180" s="116"/>
      <c r="AP3180" s="116"/>
      <c r="AQ3180" s="116"/>
      <c r="AR3180" s="116"/>
      <c r="AS3180" s="116"/>
      <c r="AT3180" s="116"/>
      <c r="AU3180" s="116"/>
      <c r="AV3180" s="78"/>
      <c r="AW3180" s="102"/>
      <c r="AX3180" s="78"/>
      <c r="AY3180" s="78"/>
      <c r="AZ3180" s="78"/>
      <c r="BA3180" s="78"/>
      <c r="BB3180" s="78"/>
      <c r="BC3180" s="78"/>
      <c r="BD3180" s="78"/>
      <c r="BE3180" s="465"/>
      <c r="BF3180" s="165" t="str">
        <f t="shared" si="2437"/>
        <v>https://www.google.com/search?tbm=isch&amp;q=3%20G4</v>
      </c>
      <c r="BG3180" s="165" t="str">
        <f t="shared" si="2438"/>
        <v>O</v>
      </c>
      <c r="BH3180" s="65"/>
      <c r="BI3180" s="65"/>
      <c r="BJ3180" s="65"/>
      <c r="BK3180" s="65"/>
      <c r="BL3180" s="99"/>
      <c r="BM3180" s="99"/>
      <c r="BN3180" s="99"/>
    </row>
    <row r="3181" spans="1:66" s="51" customFormat="1" ht="27" x14ac:dyDescent="0.25">
      <c r="A3181" s="478">
        <v>3</v>
      </c>
      <c r="B3181" s="479" t="s">
        <v>291</v>
      </c>
      <c r="C3181" s="480" t="s">
        <v>3727</v>
      </c>
      <c r="D3181" s="481" t="s">
        <v>311</v>
      </c>
      <c r="E3181" s="482">
        <v>35.950000000000003</v>
      </c>
      <c r="F3181" s="483" t="s">
        <v>292</v>
      </c>
      <c r="G3181" s="484">
        <v>0</v>
      </c>
      <c r="H3181" s="688" t="str">
        <f t="shared" si="2456"/>
        <v/>
      </c>
      <c r="I3181" s="485">
        <f t="shared" si="2457"/>
        <v>0</v>
      </c>
      <c r="J3181" s="485">
        <f t="shared" si="2458"/>
        <v>0</v>
      </c>
      <c r="K3181" s="715">
        <f t="shared" ref="K3181" si="2463">I3181+J3181</f>
        <v>0</v>
      </c>
      <c r="L3181" s="715"/>
      <c r="M3181" s="689" t="str">
        <f t="shared" ca="1" si="2460"/>
        <v/>
      </c>
      <c r="N3181" s="690"/>
      <c r="O3181" s="486"/>
      <c r="P3181" s="486"/>
      <c r="Q3181" s="486"/>
      <c r="R3181" s="486"/>
      <c r="S3181" s="486"/>
      <c r="T3181" s="102">
        <f t="shared" si="2426"/>
        <v>0</v>
      </c>
      <c r="U3181" s="78">
        <f>IF(NOT(ISNUMBER(G3181)), "", VLOOKUP(A3181,'Discount Lookup'!D:E,2,FALSE)*G3181)</f>
        <v>0</v>
      </c>
      <c r="V3181" s="78">
        <f>IF(NOT(ISNUMBER(G3181)), "", VLOOKUP(A3181,'Discount Lookup'!G:H,2,FALSE)*G3181)</f>
        <v>0</v>
      </c>
      <c r="W3181" s="102">
        <f t="shared" si="2427"/>
        <v>0</v>
      </c>
      <c r="X3181" s="102">
        <f t="shared" si="2428"/>
        <v>0</v>
      </c>
      <c r="Y3181" s="120" t="b">
        <f t="shared" si="2429"/>
        <v>0</v>
      </c>
      <c r="Z3181" s="117">
        <f t="shared" si="2430"/>
        <v>0</v>
      </c>
      <c r="AA3181" s="118"/>
      <c r="AB3181" s="118" t="str">
        <f t="shared" si="2431"/>
        <v/>
      </c>
      <c r="AC3181" s="712" t="str">
        <f>IF(AE3181="T2G","no charge",IF(AND(OR(PlanterYesMe="No",PlanterYesMe="N",PlanterYesMe="me"),H3181=""),"",IF(H3181="credit","NO install",IF(AND(K3181="",AE3181="me"),"EACH row",IF(AND(K3181="images",AE3181="me"),"EACH row",IF(D3181="","",IF(H3181="credit","",IF(AE3181="free","re-planting",IF(AE3181="me","   not ELP, by",IF(AND(OR(PlanterYesMe="Yes",PlanterYesMe="Y"),G3181&gt;0),(VLOOKUP(A3181,'Discount Lookup'!J:K,2)*G3181*(1-PlanterDiscount)*(1+PlanterDifficultyPercentage)),IF(AE3181="ELP",(VLOOKUP(A3181,'Discount Lookup'!J:K,2)*G3181*(1-PlanterDiscount)*(1+PlanterDifficultyPercentage)),IF(AE3181="free","re-planting",IF(G3181=0,"",IF(PlanterYesMe="",IF(AE3181="me","   not ELP, by",IF(AE3181="",IF(G3181&gt;0,(VLOOKUP(A3181,'Discount Lookup'!J:K,2)*G3181*(1-PlanterDiscount)*(1+PlanterDifficultyPercentage)),""),"")),"   not ELP, by"))))))))))))))</f>
        <v/>
      </c>
      <c r="AD3181" s="712"/>
      <c r="AE3181" s="513" t="str">
        <f t="shared" si="2432"/>
        <v/>
      </c>
      <c r="AF3181" s="713" t="str">
        <f t="shared" si="2433"/>
        <v/>
      </c>
      <c r="AG3181" s="713"/>
      <c r="AH3181" s="713"/>
      <c r="AI3181" s="112">
        <f>IF(H3181="credit",0,IF(AE3181="free",0,IF(AE3181="me",0,IF(G3181&gt;0,(VLOOKUP(A3181,'Discount Lookup'!J:K,2)*G3181),0))))</f>
        <v>0</v>
      </c>
      <c r="AJ3181" s="107" t="str">
        <f t="shared" ca="1" si="2434"/>
        <v/>
      </c>
      <c r="AK3181" s="714" t="str">
        <f t="shared" si="2435"/>
        <v/>
      </c>
      <c r="AL3181" s="714"/>
      <c r="AM3181" s="114" t="str">
        <f t="shared" si="2436"/>
        <v/>
      </c>
      <c r="AN3181" s="115"/>
      <c r="AO3181" s="116"/>
      <c r="AP3181" s="116"/>
      <c r="AQ3181" s="116"/>
      <c r="AR3181" s="116"/>
      <c r="AS3181" s="116"/>
      <c r="AT3181" s="116"/>
      <c r="AU3181" s="116"/>
      <c r="AV3181" s="78"/>
      <c r="AW3181" s="102"/>
      <c r="AX3181" s="78"/>
      <c r="AY3181" s="78"/>
      <c r="AZ3181" s="78"/>
      <c r="BA3181" s="78"/>
      <c r="BB3181" s="78"/>
      <c r="BC3181" s="78"/>
      <c r="BD3181" s="78"/>
      <c r="BE3181" s="465"/>
      <c r="BF3181" s="165" t="str">
        <f t="shared" si="2437"/>
        <v>https://www.google.com/search?tbm=isch&amp;q=3%20G5</v>
      </c>
      <c r="BG3181" s="165" t="str">
        <f t="shared" si="2438"/>
        <v>O</v>
      </c>
      <c r="BH3181" s="65"/>
      <c r="BI3181" s="65"/>
      <c r="BJ3181" s="65"/>
      <c r="BK3181" s="65"/>
      <c r="BL3181" s="99"/>
      <c r="BM3181" s="99"/>
      <c r="BN3181" s="99"/>
    </row>
    <row r="3182" spans="1:66" s="51" customFormat="1" ht="15.75" x14ac:dyDescent="0.25">
      <c r="A3182" s="478">
        <v>5</v>
      </c>
      <c r="B3182" s="479" t="s">
        <v>291</v>
      </c>
      <c r="C3182" s="480" t="s">
        <v>3728</v>
      </c>
      <c r="D3182" s="481" t="s">
        <v>309</v>
      </c>
      <c r="E3182" s="482">
        <v>54.95</v>
      </c>
      <c r="F3182" s="483" t="s">
        <v>292</v>
      </c>
      <c r="G3182" s="484">
        <v>0</v>
      </c>
      <c r="H3182" s="688" t="str">
        <f t="shared" si="2456"/>
        <v/>
      </c>
      <c r="I3182" s="485">
        <f t="shared" si="2457"/>
        <v>0</v>
      </c>
      <c r="J3182" s="485">
        <f t="shared" si="2458"/>
        <v>0</v>
      </c>
      <c r="K3182" s="715">
        <f t="shared" ref="K3182" si="2464">I3182+J3182</f>
        <v>0</v>
      </c>
      <c r="L3182" s="715"/>
      <c r="M3182" s="689" t="str">
        <f t="shared" ca="1" si="2460"/>
        <v/>
      </c>
      <c r="N3182" s="690"/>
      <c r="O3182" s="486"/>
      <c r="P3182" s="486"/>
      <c r="Q3182" s="486"/>
      <c r="R3182" s="486"/>
      <c r="S3182" s="486"/>
      <c r="T3182" s="102">
        <f t="shared" si="2426"/>
        <v>0</v>
      </c>
      <c r="U3182" s="78">
        <f>IF(NOT(ISNUMBER(G3182)), "", VLOOKUP(A3182,'Discount Lookup'!D:E,2,FALSE)*G3182)</f>
        <v>0</v>
      </c>
      <c r="V3182" s="78">
        <f>IF(NOT(ISNUMBER(G3182)), "", VLOOKUP(A3182,'Discount Lookup'!G:H,2,FALSE)*G3182)</f>
        <v>0</v>
      </c>
      <c r="W3182" s="102">
        <f t="shared" si="2427"/>
        <v>0</v>
      </c>
      <c r="X3182" s="102">
        <f t="shared" si="2428"/>
        <v>0</v>
      </c>
      <c r="Y3182" s="120" t="b">
        <f t="shared" si="2429"/>
        <v>0</v>
      </c>
      <c r="Z3182" s="117">
        <f t="shared" si="2430"/>
        <v>0</v>
      </c>
      <c r="AA3182" s="118"/>
      <c r="AB3182" s="118" t="str">
        <f t="shared" si="2431"/>
        <v/>
      </c>
      <c r="AC3182" s="712" t="str">
        <f>IF(AE3182="T2G","no charge",IF(AND(OR(PlanterYesMe="No",PlanterYesMe="N",PlanterYesMe="me"),H3182=""),"",IF(H3182="credit","NO install",IF(AND(K3182="",AE3182="me"),"EACH row",IF(AND(K3182="images",AE3182="me"),"EACH row",IF(D3182="","",IF(H3182="credit","",IF(AE3182="free","re-planting",IF(AE3182="me","   not ELP, by",IF(AND(OR(PlanterYesMe="Yes",PlanterYesMe="Y"),G3182&gt;0),(VLOOKUP(A3182,'Discount Lookup'!J:K,2)*G3182*(1-PlanterDiscount)*(1+PlanterDifficultyPercentage)),IF(AE3182="ELP",(VLOOKUP(A3182,'Discount Lookup'!J:K,2)*G3182*(1-PlanterDiscount)*(1+PlanterDifficultyPercentage)),IF(AE3182="free","re-planting",IF(G3182=0,"",IF(PlanterYesMe="",IF(AE3182="me","   not ELP, by",IF(AE3182="",IF(G3182&gt;0,(VLOOKUP(A3182,'Discount Lookup'!J:K,2)*G3182*(1-PlanterDiscount)*(1+PlanterDifficultyPercentage)),""),"")),"   not ELP, by"))))))))))))))</f>
        <v/>
      </c>
      <c r="AD3182" s="712"/>
      <c r="AE3182" s="513" t="str">
        <f t="shared" si="2432"/>
        <v/>
      </c>
      <c r="AF3182" s="713" t="str">
        <f t="shared" si="2433"/>
        <v/>
      </c>
      <c r="AG3182" s="713"/>
      <c r="AH3182" s="713"/>
      <c r="AI3182" s="112">
        <f>IF(H3182="credit",0,IF(AE3182="free",0,IF(AE3182="me",0,IF(G3182&gt;0,(VLOOKUP(A3182,'Discount Lookup'!J:K,2)*G3182),0))))</f>
        <v>0</v>
      </c>
      <c r="AJ3182" s="107" t="str">
        <f t="shared" ca="1" si="2434"/>
        <v/>
      </c>
      <c r="AK3182" s="714" t="str">
        <f t="shared" si="2435"/>
        <v/>
      </c>
      <c r="AL3182" s="714"/>
      <c r="AM3182" s="114" t="str">
        <f t="shared" si="2436"/>
        <v/>
      </c>
      <c r="AN3182" s="115"/>
      <c r="AO3182" s="116"/>
      <c r="AP3182" s="116"/>
      <c r="AQ3182" s="116"/>
      <c r="AR3182" s="116"/>
      <c r="AS3182" s="116"/>
      <c r="AT3182" s="116"/>
      <c r="AU3182" s="116"/>
      <c r="AV3182" s="78"/>
      <c r="AW3182" s="102"/>
      <c r="AX3182" s="78"/>
      <c r="AY3182" s="78"/>
      <c r="AZ3182" s="78"/>
      <c r="BA3182" s="78"/>
      <c r="BB3182" s="78"/>
      <c r="BC3182" s="78"/>
      <c r="BD3182" s="78"/>
      <c r="BE3182" s="465"/>
      <c r="BF3182" s="165" t="str">
        <f t="shared" si="2437"/>
        <v>https://www.google.com/search?tbm=isch&amp;q=5%20G3</v>
      </c>
      <c r="BG3182" s="165" t="str">
        <f t="shared" si="2438"/>
        <v>O</v>
      </c>
      <c r="BH3182" s="65"/>
      <c r="BI3182" s="65"/>
      <c r="BJ3182" s="65"/>
      <c r="BK3182" s="65"/>
      <c r="BL3182" s="99"/>
      <c r="BM3182" s="99"/>
      <c r="BN3182" s="99"/>
    </row>
    <row r="3183" spans="1:66" s="51" customFormat="1" ht="15.75" x14ac:dyDescent="0.25">
      <c r="A3183" s="478">
        <v>7</v>
      </c>
      <c r="B3183" s="479" t="s">
        <v>291</v>
      </c>
      <c r="C3183" s="480" t="s">
        <v>3729</v>
      </c>
      <c r="D3183" s="481" t="s">
        <v>299</v>
      </c>
      <c r="E3183" s="482">
        <v>86.95</v>
      </c>
      <c r="F3183" s="483" t="s">
        <v>292</v>
      </c>
      <c r="G3183" s="484">
        <v>0</v>
      </c>
      <c r="H3183" s="688" t="str">
        <f t="shared" si="2456"/>
        <v/>
      </c>
      <c r="I3183" s="485">
        <f t="shared" si="2457"/>
        <v>0</v>
      </c>
      <c r="J3183" s="485">
        <f t="shared" si="2458"/>
        <v>0</v>
      </c>
      <c r="K3183" s="715">
        <f t="shared" ref="K3183" si="2465">I3183+J3183</f>
        <v>0</v>
      </c>
      <c r="L3183" s="715"/>
      <c r="M3183" s="689" t="str">
        <f t="shared" ca="1" si="2460"/>
        <v/>
      </c>
      <c r="N3183" s="690"/>
      <c r="O3183" s="486"/>
      <c r="P3183" s="486"/>
      <c r="Q3183" s="486"/>
      <c r="R3183" s="486"/>
      <c r="S3183" s="486"/>
      <c r="T3183" s="102">
        <f t="shared" si="2426"/>
        <v>0</v>
      </c>
      <c r="U3183" s="78">
        <f>IF(NOT(ISNUMBER(G3183)), "", VLOOKUP(A3183,'Discount Lookup'!D:E,2,FALSE)*G3183)</f>
        <v>0</v>
      </c>
      <c r="V3183" s="78">
        <f>IF(NOT(ISNUMBER(G3183)), "", VLOOKUP(A3183,'Discount Lookup'!G:H,2,FALSE)*G3183)</f>
        <v>0</v>
      </c>
      <c r="W3183" s="102">
        <f t="shared" si="2427"/>
        <v>0</v>
      </c>
      <c r="X3183" s="102">
        <f t="shared" si="2428"/>
        <v>0</v>
      </c>
      <c r="Y3183" s="120" t="b">
        <f t="shared" si="2429"/>
        <v>0</v>
      </c>
      <c r="Z3183" s="117">
        <f t="shared" si="2430"/>
        <v>0</v>
      </c>
      <c r="AA3183" s="118"/>
      <c r="AB3183" s="118" t="str">
        <f t="shared" si="2431"/>
        <v/>
      </c>
      <c r="AC3183" s="712" t="str">
        <f>IF(AE3183="T2G","no charge",IF(AND(OR(PlanterYesMe="No",PlanterYesMe="N",PlanterYesMe="me"),H3183=""),"",IF(H3183="credit","NO install",IF(AND(K3183="",AE3183="me"),"EACH row",IF(AND(K3183="images",AE3183="me"),"EACH row",IF(D3183="","",IF(H3183="credit","",IF(AE3183="free","re-planting",IF(AE3183="me","   not ELP, by",IF(AND(OR(PlanterYesMe="Yes",PlanterYesMe="Y"),G3183&gt;0),(VLOOKUP(A3183,'Discount Lookup'!J:K,2)*G3183*(1-PlanterDiscount)*(1+PlanterDifficultyPercentage)),IF(AE3183="ELP",(VLOOKUP(A3183,'Discount Lookup'!J:K,2)*G3183*(1-PlanterDiscount)*(1+PlanterDifficultyPercentage)),IF(AE3183="free","re-planting",IF(G3183=0,"",IF(PlanterYesMe="",IF(AE3183="me","   not ELP, by",IF(AE3183="",IF(G3183&gt;0,(VLOOKUP(A3183,'Discount Lookup'!J:K,2)*G3183*(1-PlanterDiscount)*(1+PlanterDifficultyPercentage)),""),"")),"   not ELP, by"))))))))))))))</f>
        <v/>
      </c>
      <c r="AD3183" s="712"/>
      <c r="AE3183" s="513" t="str">
        <f t="shared" si="2432"/>
        <v/>
      </c>
      <c r="AF3183" s="713" t="str">
        <f t="shared" si="2433"/>
        <v/>
      </c>
      <c r="AG3183" s="713"/>
      <c r="AH3183" s="713"/>
      <c r="AI3183" s="112">
        <f>IF(H3183="credit",0,IF(AE3183="free",0,IF(AE3183="me",0,IF(G3183&gt;0,(VLOOKUP(A3183,'Discount Lookup'!J:K,2)*G3183),0))))</f>
        <v>0</v>
      </c>
      <c r="AJ3183" s="107" t="str">
        <f t="shared" ca="1" si="2434"/>
        <v/>
      </c>
      <c r="AK3183" s="714" t="str">
        <f t="shared" si="2435"/>
        <v/>
      </c>
      <c r="AL3183" s="714"/>
      <c r="AM3183" s="114" t="str">
        <f t="shared" si="2436"/>
        <v/>
      </c>
      <c r="AN3183" s="115"/>
      <c r="AO3183" s="116"/>
      <c r="AP3183" s="116"/>
      <c r="AQ3183" s="116"/>
      <c r="AR3183" s="116"/>
      <c r="AS3183" s="116"/>
      <c r="AT3183" s="116"/>
      <c r="AU3183" s="116"/>
      <c r="AV3183" s="78"/>
      <c r="AW3183" s="102"/>
      <c r="AX3183" s="78"/>
      <c r="AY3183" s="78"/>
      <c r="AZ3183" s="78"/>
      <c r="BA3183" s="78"/>
      <c r="BB3183" s="78"/>
      <c r="BC3183" s="78"/>
      <c r="BD3183" s="78"/>
      <c r="BE3183" s="465"/>
      <c r="BF3183" s="165" t="str">
        <f t="shared" si="2437"/>
        <v>https://www.google.com/search?tbm=isch&amp;q=7%20G4</v>
      </c>
      <c r="BG3183" s="165" t="str">
        <f t="shared" si="2438"/>
        <v>O</v>
      </c>
      <c r="BH3183" s="65"/>
      <c r="BI3183" s="65"/>
      <c r="BJ3183" s="65"/>
      <c r="BK3183" s="65"/>
      <c r="BL3183" s="99"/>
      <c r="BM3183" s="99"/>
      <c r="BN3183" s="99"/>
    </row>
    <row r="3184" spans="1:66" s="51" customFormat="1" ht="15.75" x14ac:dyDescent="0.25">
      <c r="A3184" s="478">
        <v>10</v>
      </c>
      <c r="B3184" s="479" t="s">
        <v>291</v>
      </c>
      <c r="C3184" s="480" t="s">
        <v>1707</v>
      </c>
      <c r="D3184" s="481" t="s">
        <v>299</v>
      </c>
      <c r="E3184" s="482">
        <v>160.94999999999999</v>
      </c>
      <c r="F3184" s="483" t="s">
        <v>292</v>
      </c>
      <c r="G3184" s="484">
        <v>0</v>
      </c>
      <c r="H3184" s="688" t="str">
        <f t="shared" si="2456"/>
        <v/>
      </c>
      <c r="I3184" s="485">
        <f t="shared" si="2457"/>
        <v>0</v>
      </c>
      <c r="J3184" s="485">
        <f t="shared" si="2458"/>
        <v>0</v>
      </c>
      <c r="K3184" s="715">
        <f t="shared" ref="K3184" si="2466">I3184+J3184</f>
        <v>0</v>
      </c>
      <c r="L3184" s="715"/>
      <c r="M3184" s="689" t="str">
        <f t="shared" ca="1" si="2460"/>
        <v/>
      </c>
      <c r="N3184" s="690"/>
      <c r="O3184" s="486"/>
      <c r="P3184" s="486"/>
      <c r="Q3184" s="486"/>
      <c r="R3184" s="486"/>
      <c r="S3184" s="486"/>
      <c r="T3184" s="102">
        <f t="shared" si="2426"/>
        <v>0</v>
      </c>
      <c r="U3184" s="78">
        <f>IF(NOT(ISNUMBER(G3184)), "", VLOOKUP(A3184,'Discount Lookup'!D:E,2,FALSE)*G3184)</f>
        <v>0</v>
      </c>
      <c r="V3184" s="78">
        <f>IF(NOT(ISNUMBER(G3184)), "", VLOOKUP(A3184,'Discount Lookup'!G:H,2,FALSE)*G3184)</f>
        <v>0</v>
      </c>
      <c r="W3184" s="102">
        <f t="shared" si="2427"/>
        <v>0</v>
      </c>
      <c r="X3184" s="102">
        <f t="shared" si="2428"/>
        <v>0</v>
      </c>
      <c r="Y3184" s="120" t="b">
        <f t="shared" si="2429"/>
        <v>0</v>
      </c>
      <c r="Z3184" s="117">
        <f t="shared" si="2430"/>
        <v>0</v>
      </c>
      <c r="AA3184" s="118"/>
      <c r="AB3184" s="118" t="str">
        <f t="shared" si="2431"/>
        <v/>
      </c>
      <c r="AC3184" s="712" t="str">
        <f>IF(AE3184="T2G","no charge",IF(AND(OR(PlanterYesMe="No",PlanterYesMe="N",PlanterYesMe="me"),H3184=""),"",IF(H3184="credit","NO install",IF(AND(K3184="",AE3184="me"),"EACH row",IF(AND(K3184="images",AE3184="me"),"EACH row",IF(D3184="","",IF(H3184="credit","",IF(AE3184="free","re-planting",IF(AE3184="me","   not ELP, by",IF(AND(OR(PlanterYesMe="Yes",PlanterYesMe="Y"),G3184&gt;0),(VLOOKUP(A3184,'Discount Lookup'!J:K,2)*G3184*(1-PlanterDiscount)*(1+PlanterDifficultyPercentage)),IF(AE3184="ELP",(VLOOKUP(A3184,'Discount Lookup'!J:K,2)*G3184*(1-PlanterDiscount)*(1+PlanterDifficultyPercentage)),IF(AE3184="free","re-planting",IF(G3184=0,"",IF(PlanterYesMe="",IF(AE3184="me","   not ELP, by",IF(AE3184="",IF(G3184&gt;0,(VLOOKUP(A3184,'Discount Lookup'!J:K,2)*G3184*(1-PlanterDiscount)*(1+PlanterDifficultyPercentage)),""),"")),"   not ELP, by"))))))))))))))</f>
        <v/>
      </c>
      <c r="AD3184" s="712"/>
      <c r="AE3184" s="513" t="str">
        <f t="shared" si="2432"/>
        <v/>
      </c>
      <c r="AF3184" s="713" t="str">
        <f t="shared" si="2433"/>
        <v/>
      </c>
      <c r="AG3184" s="713"/>
      <c r="AH3184" s="713"/>
      <c r="AI3184" s="112">
        <f>IF(H3184="credit",0,IF(AE3184="free",0,IF(AE3184="me",0,IF(G3184&gt;0,(VLOOKUP(A3184,'Discount Lookup'!J:K,2)*G3184),0))))</f>
        <v>0</v>
      </c>
      <c r="AJ3184" s="107" t="str">
        <f t="shared" ca="1" si="2434"/>
        <v/>
      </c>
      <c r="AK3184" s="714" t="str">
        <f t="shared" si="2435"/>
        <v/>
      </c>
      <c r="AL3184" s="714"/>
      <c r="AM3184" s="114" t="str">
        <f t="shared" si="2436"/>
        <v/>
      </c>
      <c r="AN3184" s="115"/>
      <c r="AO3184" s="116"/>
      <c r="AP3184" s="116"/>
      <c r="AQ3184" s="116"/>
      <c r="AR3184" s="116"/>
      <c r="AS3184" s="116"/>
      <c r="AT3184" s="116"/>
      <c r="AU3184" s="116"/>
      <c r="AV3184" s="78"/>
      <c r="AW3184" s="102"/>
      <c r="AX3184" s="78"/>
      <c r="AY3184" s="78"/>
      <c r="AZ3184" s="78"/>
      <c r="BA3184" s="78"/>
      <c r="BB3184" s="78"/>
      <c r="BC3184" s="78"/>
      <c r="BD3184" s="78"/>
      <c r="BE3184" s="465"/>
      <c r="BF3184" s="165" t="str">
        <f t="shared" si="2437"/>
        <v>https://www.google.com/search?tbm=isch&amp;q=10%20G4</v>
      </c>
      <c r="BG3184" s="165" t="str">
        <f t="shared" si="2438"/>
        <v>O</v>
      </c>
      <c r="BH3184" s="65"/>
      <c r="BI3184" s="65"/>
      <c r="BJ3184" s="65"/>
      <c r="BK3184" s="65"/>
      <c r="BL3184" s="99"/>
      <c r="BM3184" s="99"/>
      <c r="BN3184" s="99"/>
    </row>
    <row r="3185" spans="1:66" s="51" customFormat="1" ht="16.5" thickBot="1" x14ac:dyDescent="0.3">
      <c r="A3185" s="508" t="s">
        <v>3730</v>
      </c>
      <c r="B3185" s="487"/>
      <c r="C3185" s="707"/>
      <c r="D3185" s="487"/>
      <c r="E3185" s="487"/>
      <c r="F3185" s="488"/>
      <c r="G3185" s="489"/>
      <c r="H3185" s="487"/>
      <c r="I3185" s="490"/>
      <c r="J3185" s="490"/>
      <c r="K3185" s="491"/>
      <c r="L3185" s="547"/>
      <c r="M3185" s="528"/>
      <c r="N3185" s="492"/>
      <c r="O3185" s="493"/>
      <c r="P3185" s="494"/>
      <c r="Q3185" s="492"/>
      <c r="R3185" s="492"/>
      <c r="S3185" s="495"/>
      <c r="T3185" s="102">
        <f t="shared" si="2426"/>
        <v>0</v>
      </c>
      <c r="U3185" s="78" t="str">
        <f>IF(NOT(ISNUMBER(G3185)), "", VLOOKUP(A3185,'Discount Lookup'!D:E,2,FALSE)*G3185)</f>
        <v/>
      </c>
      <c r="V3185" s="78" t="str">
        <f>IF(NOT(ISNUMBER(G3185)), "", VLOOKUP(A3185,'Discount Lookup'!G:H,2,FALSE)*G3185)</f>
        <v/>
      </c>
      <c r="W3185" s="102">
        <f t="shared" si="2427"/>
        <v>0</v>
      </c>
      <c r="X3185" s="102">
        <f t="shared" si="2428"/>
        <v>0</v>
      </c>
      <c r="Y3185" s="120" t="b">
        <f t="shared" si="2429"/>
        <v>0</v>
      </c>
      <c r="Z3185" s="117">
        <f t="shared" si="2430"/>
        <v>0</v>
      </c>
      <c r="AA3185" s="118"/>
      <c r="AB3185" s="118" t="str">
        <f t="shared" si="2431"/>
        <v/>
      </c>
      <c r="AC3185" s="712" t="str">
        <f>IF(AE3185="T2G","no charge",IF(AND(OR(PlanterYesMe="No",PlanterYesMe="N",PlanterYesMe="me"),H3185=""),"",IF(H3185="credit","NO install",IF(AND(K3185="",AE3185="me"),"EACH row",IF(AND(K3185="images",AE3185="me"),"EACH row",IF(D3185="","",IF(H3185="credit","",IF(AE3185="free","re-planting",IF(AE3185="me","   not ELP, by",IF(AND(OR(PlanterYesMe="Yes",PlanterYesMe="Y"),G3185&gt;0),(VLOOKUP(A3185,'Discount Lookup'!J:K,2)*G3185*(1-PlanterDiscount)*(1+PlanterDifficultyPercentage)),IF(AE3185="ELP",(VLOOKUP(A3185,'Discount Lookup'!J:K,2)*G3185*(1-PlanterDiscount)*(1+PlanterDifficultyPercentage)),IF(AE3185="free","re-planting",IF(G3185=0,"",IF(PlanterYesMe="",IF(AE3185="me","   not ELP, by",IF(AE3185="",IF(G3185&gt;0,(VLOOKUP(A3185,'Discount Lookup'!J:K,2)*G3185*(1-PlanterDiscount)*(1+PlanterDifficultyPercentage)),""),"")),"   not ELP, by"))))))))))))))</f>
        <v/>
      </c>
      <c r="AD3185" s="712"/>
      <c r="AE3185" s="513" t="str">
        <f t="shared" si="2432"/>
        <v/>
      </c>
      <c r="AF3185" s="713" t="str">
        <f t="shared" si="2433"/>
        <v/>
      </c>
      <c r="AG3185" s="713"/>
      <c r="AH3185" s="713"/>
      <c r="AI3185" s="112">
        <f>IF(H3185="credit",0,IF(AE3185="free",0,IF(AE3185="me",0,IF(G3185&gt;0,(VLOOKUP(A3185,'Discount Lookup'!J:K,2)*G3185),0))))</f>
        <v>0</v>
      </c>
      <c r="AJ3185" s="107" t="str">
        <f t="shared" ca="1" si="2434"/>
        <v/>
      </c>
      <c r="AK3185" s="714" t="str">
        <f t="shared" si="2435"/>
        <v/>
      </c>
      <c r="AL3185" s="714"/>
      <c r="AM3185" s="114" t="str">
        <f t="shared" si="2436"/>
        <v/>
      </c>
      <c r="AN3185" s="115"/>
      <c r="AO3185" s="116"/>
      <c r="AP3185" s="116"/>
      <c r="AQ3185" s="116"/>
      <c r="AR3185" s="116"/>
      <c r="AS3185" s="116"/>
      <c r="AT3185" s="116"/>
      <c r="AU3185" s="116"/>
      <c r="AV3185" s="78"/>
      <c r="AW3185" s="102"/>
      <c r="AX3185" s="78"/>
      <c r="AY3185" s="78"/>
      <c r="AZ3185" s="78"/>
      <c r="BA3185" s="78"/>
      <c r="BB3185" s="78"/>
      <c r="BC3185" s="78"/>
      <c r="BD3185" s="78"/>
      <c r="BE3185" s="465"/>
      <c r="BF3185" s="165" t="str">
        <f t="shared" si="2437"/>
        <v>https://www.google.com/search?tbm=isch&amp;q=Fragrant%20Princess%20has%20%27intensly%27%20fragrant%20flowers%20in%20the%20fall.%20Will%20flower%20even%20as%20a%20tiny%20plant%20</v>
      </c>
      <c r="BG3185" s="165" t="str">
        <f t="shared" si="2438"/>
        <v>F</v>
      </c>
      <c r="BH3185" s="65"/>
      <c r="BI3185" s="65"/>
      <c r="BJ3185" s="65"/>
      <c r="BK3185" s="65"/>
      <c r="BL3185" s="99"/>
      <c r="BM3185" s="99"/>
      <c r="BN3185" s="99"/>
    </row>
    <row r="3186" spans="1:66" s="51" customFormat="1" ht="18" x14ac:dyDescent="0.25">
      <c r="A3186" s="507" t="s">
        <v>3731</v>
      </c>
      <c r="B3186" s="470"/>
      <c r="C3186" s="706"/>
      <c r="D3186" s="471" t="s">
        <v>3732</v>
      </c>
      <c r="E3186" s="472"/>
      <c r="F3186" s="472"/>
      <c r="G3186" s="472"/>
      <c r="H3186" s="622" t="s">
        <v>1246</v>
      </c>
      <c r="I3186" s="473" t="s">
        <v>349</v>
      </c>
      <c r="J3186" s="472"/>
      <c r="K3186" s="472"/>
      <c r="L3186" s="561"/>
      <c r="M3186" s="698" t="s">
        <v>5246</v>
      </c>
      <c r="N3186" s="692" t="str">
        <f>IF(AND(ISTEXT($A3186), ISERROR($A3186+0)), HYPERLINK($BF3186, "Images"), "")</f>
        <v>Images</v>
      </c>
      <c r="O3186" s="694" t="s">
        <v>5244</v>
      </c>
      <c r="P3186" s="475"/>
      <c r="Q3186" s="476"/>
      <c r="R3186" s="476"/>
      <c r="S3186" s="477"/>
      <c r="T3186" s="102">
        <f t="shared" si="2426"/>
        <v>0</v>
      </c>
      <c r="U3186" s="78" t="str">
        <f>IF(NOT(ISNUMBER(G3186)), "", VLOOKUP(A3186,'Discount Lookup'!D:E,2,FALSE)*G3186)</f>
        <v/>
      </c>
      <c r="V3186" s="78" t="str">
        <f>IF(NOT(ISNUMBER(G3186)), "", VLOOKUP(A3186,'Discount Lookup'!G:H,2,FALSE)*G3186)</f>
        <v/>
      </c>
      <c r="W3186" s="102">
        <f t="shared" si="2427"/>
        <v>0</v>
      </c>
      <c r="X3186" s="102" t="str">
        <f t="shared" si="2428"/>
        <v>White bloom</v>
      </c>
      <c r="Y3186" s="120" t="b">
        <f t="shared" si="2429"/>
        <v>0</v>
      </c>
      <c r="Z3186" s="117">
        <f t="shared" si="2430"/>
        <v>0</v>
      </c>
      <c r="AA3186" s="118"/>
      <c r="AB3186" s="118" t="str">
        <f t="shared" si="2431"/>
        <v/>
      </c>
      <c r="AC3186" s="712" t="str">
        <f>IF(AE3186="T2G","no charge",IF(AND(OR(PlanterYesMe="No",PlanterYesMe="N",PlanterYesMe="me"),H3186=""),"",IF(H3186="credit","NO install",IF(AND(K3186="",AE3186="me"),"EACH row",IF(AND(K3186="images",AE3186="me"),"EACH row",IF(D3186="","",IF(H3186="credit","",IF(AE3186="free","re-planting",IF(AE3186="me","   not ELP, by",IF(AND(OR(PlanterYesMe="Yes",PlanterYesMe="Y"),G3186&gt;0),(VLOOKUP(A3186,'Discount Lookup'!J:K,2)*G3186*(1-PlanterDiscount)*(1+PlanterDifficultyPercentage)),IF(AE3186="ELP",(VLOOKUP(A3186,'Discount Lookup'!J:K,2)*G3186*(1-PlanterDiscount)*(1+PlanterDifficultyPercentage)),IF(AE3186="free","re-planting",IF(G3186=0,"",IF(PlanterYesMe="",IF(AE3186="me","   not ELP, by",IF(AE3186="",IF(G3186&gt;0,(VLOOKUP(A3186,'Discount Lookup'!J:K,2)*G3186*(1-PlanterDiscount)*(1+PlanterDifficultyPercentage)),""),"")),"   not ELP, by"))))))))))))))</f>
        <v/>
      </c>
      <c r="AD3186" s="712"/>
      <c r="AE3186" s="513" t="str">
        <f t="shared" si="2432"/>
        <v/>
      </c>
      <c r="AF3186" s="713" t="str">
        <f t="shared" si="2433"/>
        <v/>
      </c>
      <c r="AG3186" s="713"/>
      <c r="AH3186" s="713"/>
      <c r="AI3186" s="112">
        <f>IF(H3186="credit",0,IF(AE3186="free",0,IF(AE3186="me",0,IF(G3186&gt;0,(VLOOKUP(A3186,'Discount Lookup'!J:K,2)*G3186),0))))</f>
        <v>0</v>
      </c>
      <c r="AJ3186" s="107" t="str">
        <f t="shared" ca="1" si="2434"/>
        <v/>
      </c>
      <c r="AK3186" s="714" t="str">
        <f t="shared" si="2435"/>
        <v/>
      </c>
      <c r="AL3186" s="714"/>
      <c r="AM3186" s="114" t="str">
        <f t="shared" si="2436"/>
        <v/>
      </c>
      <c r="AN3186" s="115"/>
      <c r="AO3186" s="116"/>
      <c r="AP3186" s="116"/>
      <c r="AQ3186" s="116"/>
      <c r="AR3186" s="116"/>
      <c r="AS3186" s="116"/>
      <c r="AT3186" s="116"/>
      <c r="AU3186" s="116"/>
      <c r="AV3186" s="78"/>
      <c r="AW3186" s="102"/>
      <c r="AX3186" s="78"/>
      <c r="AY3186" s="78"/>
      <c r="AZ3186" s="78"/>
      <c r="BA3186" s="78"/>
      <c r="BB3186" s="78"/>
      <c r="BC3186" s="78"/>
      <c r="BD3186" s="78"/>
      <c r="BE3186" s="465"/>
      <c r="BF3186" s="165" t="str">
        <f t="shared" si="2437"/>
        <v>https://www.google.com/search?tbm=isch&amp;q=Osmanthus%20heterophyllus%20%27Variegatus%27%20Variegated%20False%20Holly</v>
      </c>
      <c r="BG3186" s="165" t="str">
        <f t="shared" si="2438"/>
        <v>O</v>
      </c>
      <c r="BH3186" s="65"/>
      <c r="BI3186" s="65"/>
      <c r="BJ3186" s="65"/>
      <c r="BK3186" s="65"/>
      <c r="BL3186" s="99"/>
      <c r="BM3186" s="99"/>
      <c r="BN3186" s="99"/>
    </row>
    <row r="3187" spans="1:66" s="51" customFormat="1" ht="15.75" x14ac:dyDescent="0.25">
      <c r="A3187" s="478">
        <v>3</v>
      </c>
      <c r="B3187" s="479" t="s">
        <v>291</v>
      </c>
      <c r="C3187" s="480" t="s">
        <v>3733</v>
      </c>
      <c r="D3187" s="481" t="s">
        <v>309</v>
      </c>
      <c r="E3187" s="482">
        <v>26.95</v>
      </c>
      <c r="F3187" s="483" t="s">
        <v>292</v>
      </c>
      <c r="G3187" s="484">
        <v>0</v>
      </c>
      <c r="H3187" s="688" t="str">
        <f>IF(G3187=0,"",IF(F3187="Buy",IF(G3187=1,"plant","plants"),IF(F3187&gt;0.01,"warranty","Error")))</f>
        <v/>
      </c>
      <c r="I3187" s="485">
        <f>IF(H3187="free",0,IF(H3187="credit",((E3187*(F3187))*G3187*-1),IF(F3187="Buy",(E3187*G3187),((E3187*(1-F3187))*G3187))))</f>
        <v>0</v>
      </c>
      <c r="J3187" s="485">
        <f>IF(H3187="warranty",0,(I3187*(_xlfn.SINGLE(SalesTaxPercentage))))</f>
        <v>0</v>
      </c>
      <c r="K3187" s="715">
        <f t="shared" ref="K3187" si="2467">I3187+J3187</f>
        <v>0</v>
      </c>
      <c r="L3187" s="715"/>
      <c r="M3187" s="689" t="str">
        <f ca="1">IF(AND(G3187&gt;0,E3187=0),"WARNING - no PRICE inserted",IF(H3187="free","FREE ~ no charge this plant",IF(H3187="credit",CONCATENATE("-$",ROUND(K3187*(1-_xlfn.SINGLE(T2GDiscount))*-1,2)," CREDIT after discount"),IF(_xlfn.SINGLE(T2GDiscount)=0,"",IF(G3187=0,"",IF(F3187="Buy",CONCATENATE("$",ROUND(K3187*(1-_xlfn.SINGLE(T2GDiscount)),2)," with ",(_xlfn.SINGLE(T2GDiscount)*100),"% discount"),CONCATENATE("$",ROUND(K3187*(1-_xlfn.SINGLE(T2GDiscount)),2)," with ",((_xlfn.SINGLE(T2GDiscount)*100+F3187*100)-(_xlfn.SINGLE(T2GDiscount)*100*F3187)),IF(F3187&gt;0,"% discounts",IF(_xlfn.SINGLE(NoWarrantyDiscount)&gt;0,"% discounts","% discount")))))))))</f>
        <v/>
      </c>
      <c r="N3187" s="690"/>
      <c r="O3187" s="486"/>
      <c r="P3187" s="486"/>
      <c r="Q3187" s="486"/>
      <c r="R3187" s="486"/>
      <c r="S3187" s="486"/>
      <c r="T3187" s="102">
        <f t="shared" si="2426"/>
        <v>0</v>
      </c>
      <c r="U3187" s="78">
        <f>IF(NOT(ISNUMBER(G3187)), "", VLOOKUP(A3187,'Discount Lookup'!D:E,2,FALSE)*G3187)</f>
        <v>0</v>
      </c>
      <c r="V3187" s="78">
        <f>IF(NOT(ISNUMBER(G3187)), "", VLOOKUP(A3187,'Discount Lookup'!G:H,2,FALSE)*G3187)</f>
        <v>0</v>
      </c>
      <c r="W3187" s="102">
        <f t="shared" si="2427"/>
        <v>0</v>
      </c>
      <c r="X3187" s="102">
        <f t="shared" si="2428"/>
        <v>0</v>
      </c>
      <c r="Y3187" s="120" t="b">
        <f t="shared" si="2429"/>
        <v>0</v>
      </c>
      <c r="Z3187" s="117">
        <f t="shared" si="2430"/>
        <v>0</v>
      </c>
      <c r="AA3187" s="118"/>
      <c r="AB3187" s="118" t="str">
        <f t="shared" si="2431"/>
        <v/>
      </c>
      <c r="AC3187" s="712" t="str">
        <f>IF(AE3187="T2G","no charge",IF(AND(OR(PlanterYesMe="No",PlanterYesMe="N",PlanterYesMe="me"),H3187=""),"",IF(H3187="credit","NO install",IF(AND(K3187="",AE3187="me"),"EACH row",IF(AND(K3187="images",AE3187="me"),"EACH row",IF(D3187="","",IF(H3187="credit","",IF(AE3187="free","re-planting",IF(AE3187="me","   not ELP, by",IF(AND(OR(PlanterYesMe="Yes",PlanterYesMe="Y"),G3187&gt;0),(VLOOKUP(A3187,'Discount Lookup'!J:K,2)*G3187*(1-PlanterDiscount)*(1+PlanterDifficultyPercentage)),IF(AE3187="ELP",(VLOOKUP(A3187,'Discount Lookup'!J:K,2)*G3187*(1-PlanterDiscount)*(1+PlanterDifficultyPercentage)),IF(AE3187="free","re-planting",IF(G3187=0,"",IF(PlanterYesMe="",IF(AE3187="me","   not ELP, by",IF(AE3187="",IF(G3187&gt;0,(VLOOKUP(A3187,'Discount Lookup'!J:K,2)*G3187*(1-PlanterDiscount)*(1+PlanterDifficultyPercentage)),""),"")),"   not ELP, by"))))))))))))))</f>
        <v/>
      </c>
      <c r="AD3187" s="712"/>
      <c r="AE3187" s="513" t="str">
        <f t="shared" si="2432"/>
        <v/>
      </c>
      <c r="AF3187" s="713" t="str">
        <f t="shared" si="2433"/>
        <v/>
      </c>
      <c r="AG3187" s="713"/>
      <c r="AH3187" s="713"/>
      <c r="AI3187" s="112">
        <f>IF(H3187="credit",0,IF(AE3187="free",0,IF(AE3187="me",0,IF(G3187&gt;0,(VLOOKUP(A3187,'Discount Lookup'!J:K,2)*G3187),0))))</f>
        <v>0</v>
      </c>
      <c r="AJ3187" s="107" t="str">
        <f t="shared" ca="1" si="2434"/>
        <v/>
      </c>
      <c r="AK3187" s="714" t="str">
        <f t="shared" si="2435"/>
        <v/>
      </c>
      <c r="AL3187" s="714"/>
      <c r="AM3187" s="114" t="str">
        <f t="shared" si="2436"/>
        <v/>
      </c>
      <c r="AN3187" s="115"/>
      <c r="AO3187" s="116"/>
      <c r="AP3187" s="116"/>
      <c r="AQ3187" s="116"/>
      <c r="AR3187" s="116"/>
      <c r="AS3187" s="116"/>
      <c r="AT3187" s="116"/>
      <c r="AU3187" s="116"/>
      <c r="AV3187" s="78"/>
      <c r="AW3187" s="102"/>
      <c r="AX3187" s="78"/>
      <c r="AY3187" s="78"/>
      <c r="AZ3187" s="78"/>
      <c r="BA3187" s="78"/>
      <c r="BB3187" s="78"/>
      <c r="BC3187" s="78"/>
      <c r="BD3187" s="78"/>
      <c r="BE3187" s="465"/>
      <c r="BF3187" s="165" t="str">
        <f t="shared" si="2437"/>
        <v>https://www.google.com/search?tbm=isch&amp;q=3%20G3</v>
      </c>
      <c r="BG3187" s="165" t="str">
        <f t="shared" si="2438"/>
        <v>O</v>
      </c>
      <c r="BH3187" s="65"/>
      <c r="BI3187" s="65"/>
      <c r="BJ3187" s="65"/>
      <c r="BK3187" s="65"/>
      <c r="BL3187" s="99"/>
      <c r="BM3187" s="99"/>
      <c r="BN3187" s="99"/>
    </row>
    <row r="3188" spans="1:66" s="51" customFormat="1" ht="16.5" thickBot="1" x14ac:dyDescent="0.3">
      <c r="A3188" s="508" t="s">
        <v>3734</v>
      </c>
      <c r="B3188" s="487"/>
      <c r="C3188" s="707"/>
      <c r="D3188" s="487"/>
      <c r="E3188" s="487"/>
      <c r="F3188" s="488"/>
      <c r="G3188" s="489"/>
      <c r="H3188" s="487"/>
      <c r="I3188" s="490"/>
      <c r="J3188" s="490"/>
      <c r="K3188" s="491"/>
      <c r="L3188" s="547"/>
      <c r="M3188" s="528"/>
      <c r="N3188" s="492"/>
      <c r="O3188" s="493"/>
      <c r="P3188" s="494"/>
      <c r="Q3188" s="492"/>
      <c r="R3188" s="492"/>
      <c r="S3188" s="699" t="s">
        <v>5259</v>
      </c>
      <c r="T3188" s="102">
        <f t="shared" si="2426"/>
        <v>0</v>
      </c>
      <c r="U3188" s="78" t="str">
        <f>IF(NOT(ISNUMBER(G3188)), "", VLOOKUP(A3188,'Discount Lookup'!D:E,2,FALSE)*G3188)</f>
        <v/>
      </c>
      <c r="V3188" s="78" t="str">
        <f>IF(NOT(ISNUMBER(G3188)), "", VLOOKUP(A3188,'Discount Lookup'!G:H,2,FALSE)*G3188)</f>
        <v/>
      </c>
      <c r="W3188" s="102">
        <f t="shared" si="2427"/>
        <v>0</v>
      </c>
      <c r="X3188" s="102">
        <f t="shared" si="2428"/>
        <v>0</v>
      </c>
      <c r="Y3188" s="120" t="b">
        <f t="shared" si="2429"/>
        <v>0</v>
      </c>
      <c r="Z3188" s="117">
        <f t="shared" si="2430"/>
        <v>0</v>
      </c>
      <c r="AA3188" s="118"/>
      <c r="AB3188" s="118" t="str">
        <f t="shared" si="2431"/>
        <v/>
      </c>
      <c r="AC3188" s="712" t="str">
        <f>IF(AE3188="T2G","no charge",IF(AND(OR(PlanterYesMe="No",PlanterYesMe="N",PlanterYesMe="me"),H3188=""),"",IF(H3188="credit","NO install",IF(AND(K3188="",AE3188="me"),"EACH row",IF(AND(K3188="images",AE3188="me"),"EACH row",IF(D3188="","",IF(H3188="credit","",IF(AE3188="free","re-planting",IF(AE3188="me","   not ELP, by",IF(AND(OR(PlanterYesMe="Yes",PlanterYesMe="Y"),G3188&gt;0),(VLOOKUP(A3188,'Discount Lookup'!J:K,2)*G3188*(1-PlanterDiscount)*(1+PlanterDifficultyPercentage)),IF(AE3188="ELP",(VLOOKUP(A3188,'Discount Lookup'!J:K,2)*G3188*(1-PlanterDiscount)*(1+PlanterDifficultyPercentage)),IF(AE3188="free","re-planting",IF(G3188=0,"",IF(PlanterYesMe="",IF(AE3188="me","   not ELP, by",IF(AE3188="",IF(G3188&gt;0,(VLOOKUP(A3188,'Discount Lookup'!J:K,2)*G3188*(1-PlanterDiscount)*(1+PlanterDifficultyPercentage)),""),"")),"   not ELP, by"))))))))))))))</f>
        <v/>
      </c>
      <c r="AD3188" s="712"/>
      <c r="AE3188" s="513" t="str">
        <f t="shared" si="2432"/>
        <v/>
      </c>
      <c r="AF3188" s="713" t="str">
        <f t="shared" si="2433"/>
        <v/>
      </c>
      <c r="AG3188" s="713"/>
      <c r="AH3188" s="713"/>
      <c r="AI3188" s="112">
        <f>IF(H3188="credit",0,IF(AE3188="free",0,IF(AE3188="me",0,IF(G3188&gt;0,(VLOOKUP(A3188,'Discount Lookup'!J:K,2)*G3188),0))))</f>
        <v>0</v>
      </c>
      <c r="AJ3188" s="107" t="str">
        <f t="shared" ca="1" si="2434"/>
        <v/>
      </c>
      <c r="AK3188" s="714" t="str">
        <f t="shared" si="2435"/>
        <v/>
      </c>
      <c r="AL3188" s="714"/>
      <c r="AM3188" s="114" t="str">
        <f t="shared" si="2436"/>
        <v/>
      </c>
      <c r="AN3188" s="115"/>
      <c r="AO3188" s="116"/>
      <c r="AP3188" s="116"/>
      <c r="AQ3188" s="116"/>
      <c r="AR3188" s="116"/>
      <c r="AS3188" s="116"/>
      <c r="AT3188" s="116"/>
      <c r="AU3188" s="116"/>
      <c r="AV3188" s="78"/>
      <c r="AW3188" s="102"/>
      <c r="AX3188" s="78"/>
      <c r="AY3188" s="78"/>
      <c r="AZ3188" s="78"/>
      <c r="BA3188" s="78"/>
      <c r="BB3188" s="78"/>
      <c r="BC3188" s="78"/>
      <c r="BD3188" s="78"/>
      <c r="BE3188" s="465"/>
      <c r="BF3188" s="165" t="str">
        <f t="shared" si="2437"/>
        <v>https://www.google.com/search?tbm=isch&amp;q=Variegated%20False%20Holly%20features%20holly-like%20evergreen%20foliage%20edged%20in%20Creamy%20White%20and%20intensely%20fragrant%20flowers%20in%20fall%20</v>
      </c>
      <c r="BG3188" s="165" t="str">
        <f t="shared" si="2438"/>
        <v>V</v>
      </c>
      <c r="BH3188" s="65"/>
      <c r="BI3188" s="65"/>
      <c r="BJ3188" s="65"/>
      <c r="BK3188" s="65"/>
      <c r="BL3188" s="99"/>
      <c r="BM3188" s="99"/>
      <c r="BN3188" s="99"/>
    </row>
    <row r="3189" spans="1:66" s="51" customFormat="1" ht="18" x14ac:dyDescent="0.25">
      <c r="A3189" s="507" t="s">
        <v>642</v>
      </c>
      <c r="B3189" s="470"/>
      <c r="C3189" s="706"/>
      <c r="D3189" s="471" t="s">
        <v>643</v>
      </c>
      <c r="E3189" s="472"/>
      <c r="F3189" s="472"/>
      <c r="G3189" s="472"/>
      <c r="H3189" s="622" t="s">
        <v>585</v>
      </c>
      <c r="I3189" s="473" t="s">
        <v>349</v>
      </c>
      <c r="J3189" s="472"/>
      <c r="K3189" s="472"/>
      <c r="L3189" s="561"/>
      <c r="M3189" s="698" t="s">
        <v>5246</v>
      </c>
      <c r="N3189" s="692" t="str">
        <f>IF(AND(ISTEXT($A3189), ISERROR($A3189+0)), HYPERLINK($BF3189, "Images"), "")</f>
        <v>Images</v>
      </c>
      <c r="O3189" s="694" t="s">
        <v>5244</v>
      </c>
      <c r="P3189" s="475"/>
      <c r="Q3189" s="476"/>
      <c r="R3189" s="476"/>
      <c r="S3189" s="477"/>
      <c r="T3189" s="102">
        <f t="shared" si="2426"/>
        <v>0</v>
      </c>
      <c r="U3189" s="78" t="str">
        <f>IF(NOT(ISNUMBER(G3189)), "", VLOOKUP(A3189,'Discount Lookup'!D:E,2,FALSE)*G3189)</f>
        <v/>
      </c>
      <c r="V3189" s="78" t="str">
        <f>IF(NOT(ISNUMBER(G3189)), "", VLOOKUP(A3189,'Discount Lookup'!G:H,2,FALSE)*G3189)</f>
        <v/>
      </c>
      <c r="W3189" s="102">
        <f t="shared" si="2427"/>
        <v>0</v>
      </c>
      <c r="X3189" s="102" t="str">
        <f t="shared" si="2428"/>
        <v>White bloom</v>
      </c>
      <c r="Y3189" s="120" t="b">
        <f t="shared" si="2429"/>
        <v>0</v>
      </c>
      <c r="Z3189" s="117">
        <f t="shared" si="2430"/>
        <v>0</v>
      </c>
      <c r="AA3189" s="118"/>
      <c r="AB3189" s="118" t="str">
        <f t="shared" si="2431"/>
        <v/>
      </c>
      <c r="AC3189" s="712" t="str">
        <f>IF(AE3189="T2G","no charge",IF(AND(OR(PlanterYesMe="No",PlanterYesMe="N",PlanterYesMe="me"),H3189=""),"",IF(H3189="credit","NO install",IF(AND(K3189="",AE3189="me"),"EACH row",IF(AND(K3189="images",AE3189="me"),"EACH row",IF(D3189="","",IF(H3189="credit","",IF(AE3189="free","re-planting",IF(AE3189="me","   not ELP, by",IF(AND(OR(PlanterYesMe="Yes",PlanterYesMe="Y"),G3189&gt;0),(VLOOKUP(A3189,'Discount Lookup'!J:K,2)*G3189*(1-PlanterDiscount)*(1+PlanterDifficultyPercentage)),IF(AE3189="ELP",(VLOOKUP(A3189,'Discount Lookup'!J:K,2)*G3189*(1-PlanterDiscount)*(1+PlanterDifficultyPercentage)),IF(AE3189="free","re-planting",IF(G3189=0,"",IF(PlanterYesMe="",IF(AE3189="me","   not ELP, by",IF(AE3189="",IF(G3189&gt;0,(VLOOKUP(A3189,'Discount Lookup'!J:K,2)*G3189*(1-PlanterDiscount)*(1+PlanterDifficultyPercentage)),""),"")),"   not ELP, by"))))))))))))))</f>
        <v/>
      </c>
      <c r="AD3189" s="712"/>
      <c r="AE3189" s="513" t="str">
        <f t="shared" si="2432"/>
        <v/>
      </c>
      <c r="AF3189" s="713" t="str">
        <f t="shared" si="2433"/>
        <v/>
      </c>
      <c r="AG3189" s="713"/>
      <c r="AH3189" s="713"/>
      <c r="AI3189" s="112">
        <f>IF(H3189="credit",0,IF(AE3189="free",0,IF(AE3189="me",0,IF(G3189&gt;0,(VLOOKUP(A3189,'Discount Lookup'!J:K,2)*G3189),0))))</f>
        <v>0</v>
      </c>
      <c r="AJ3189" s="107" t="str">
        <f t="shared" ca="1" si="2434"/>
        <v/>
      </c>
      <c r="AK3189" s="714" t="str">
        <f t="shared" si="2435"/>
        <v/>
      </c>
      <c r="AL3189" s="714"/>
      <c r="AM3189" s="114" t="str">
        <f t="shared" si="2436"/>
        <v/>
      </c>
      <c r="AN3189" s="115"/>
      <c r="AO3189" s="116"/>
      <c r="AP3189" s="116"/>
      <c r="AQ3189" s="116"/>
      <c r="AR3189" s="116"/>
      <c r="AS3189" s="116"/>
      <c r="AT3189" s="116"/>
      <c r="AU3189" s="116"/>
      <c r="AV3189" s="78"/>
      <c r="AW3189" s="102"/>
      <c r="AX3189" s="78"/>
      <c r="AY3189" s="78"/>
      <c r="AZ3189" s="78"/>
      <c r="BA3189" s="78"/>
      <c r="BB3189" s="78"/>
      <c r="BC3189" s="78"/>
      <c r="BD3189" s="78"/>
      <c r="BE3189" s="465"/>
      <c r="BF3189" s="165" t="str">
        <f t="shared" si="2437"/>
        <v>https://www.google.com/search?tbm=isch&amp;q=Osmanthus%20x%20fortunei%20Fortune%27s%20Osmanthus</v>
      </c>
      <c r="BG3189" s="165" t="str">
        <f t="shared" si="2438"/>
        <v>O</v>
      </c>
      <c r="BH3189" s="65"/>
      <c r="BI3189" s="65"/>
      <c r="BJ3189" s="65"/>
      <c r="BK3189" s="65"/>
      <c r="BL3189" s="99"/>
      <c r="BM3189" s="99"/>
      <c r="BN3189" s="99"/>
    </row>
    <row r="3190" spans="1:66" s="51" customFormat="1" ht="15.75" x14ac:dyDescent="0.25">
      <c r="A3190" s="478">
        <v>3</v>
      </c>
      <c r="B3190" s="479" t="s">
        <v>291</v>
      </c>
      <c r="C3190" s="480"/>
      <c r="D3190" s="481" t="s">
        <v>310</v>
      </c>
      <c r="E3190" s="482">
        <v>25.95</v>
      </c>
      <c r="F3190" s="483" t="s">
        <v>292</v>
      </c>
      <c r="G3190" s="484">
        <v>0</v>
      </c>
      <c r="H3190" s="688" t="str">
        <f t="shared" ref="H3190:H3197" si="2468">IF(G3190=0,"",IF(F3190="Buy",IF(G3190=1,"plant","plants"),IF(F3190&gt;0.01,"warranty","Error")))</f>
        <v/>
      </c>
      <c r="I3190" s="485">
        <f t="shared" ref="I3190:I3197" si="2469">IF(H3190="free",0,IF(H3190="credit",((E3190*(F3190))*G3190*-1),IF(F3190="Buy",(E3190*G3190),((E3190*(1-F3190))*G3190))))</f>
        <v>0</v>
      </c>
      <c r="J3190" s="485">
        <f t="shared" ref="J3190:J3197" si="2470">IF(H3190="warranty",0,(I3190*(_xlfn.SINGLE(SalesTaxPercentage))))</f>
        <v>0</v>
      </c>
      <c r="K3190" s="715">
        <f t="shared" ref="K3190" si="2471">I3190+J3190</f>
        <v>0</v>
      </c>
      <c r="L3190" s="715"/>
      <c r="M3190" s="689" t="str">
        <f t="shared" ref="M3190:M3197" ca="1" si="2472">IF(AND(G3190&gt;0,E3190=0),"WARNING - no PRICE inserted",IF(H3190="free","FREE ~ no charge this plant",IF(H3190="credit",CONCATENATE("-$",ROUND(K3190*(1-_xlfn.SINGLE(T2GDiscount))*-1,2)," CREDIT after discount"),IF(_xlfn.SINGLE(T2GDiscount)=0,"",IF(G3190=0,"",IF(F3190="Buy",CONCATENATE("$",ROUND(K3190*(1-_xlfn.SINGLE(T2GDiscount)),2)," with ",(_xlfn.SINGLE(T2GDiscount)*100),"% discount"),CONCATENATE("$",ROUND(K3190*(1-_xlfn.SINGLE(T2GDiscount)),2)," with ",((_xlfn.SINGLE(T2GDiscount)*100+F3190*100)-(_xlfn.SINGLE(T2GDiscount)*100*F3190)),IF(F3190&gt;0,"% discounts",IF(_xlfn.SINGLE(NoWarrantyDiscount)&gt;0,"% discounts","% discount")))))))))</f>
        <v/>
      </c>
      <c r="N3190" s="690"/>
      <c r="O3190" s="486"/>
      <c r="P3190" s="486"/>
      <c r="Q3190" s="486"/>
      <c r="R3190" s="486"/>
      <c r="S3190" s="486"/>
      <c r="T3190" s="102">
        <f t="shared" si="2426"/>
        <v>0</v>
      </c>
      <c r="U3190" s="78">
        <f>IF(NOT(ISNUMBER(G3190)), "", VLOOKUP(A3190,'Discount Lookup'!D:E,2,FALSE)*G3190)</f>
        <v>0</v>
      </c>
      <c r="V3190" s="78">
        <f>IF(NOT(ISNUMBER(G3190)), "", VLOOKUP(A3190,'Discount Lookup'!G:H,2,FALSE)*G3190)</f>
        <v>0</v>
      </c>
      <c r="W3190" s="102">
        <f t="shared" si="2427"/>
        <v>0</v>
      </c>
      <c r="X3190" s="102">
        <f t="shared" si="2428"/>
        <v>0</v>
      </c>
      <c r="Y3190" s="120" t="b">
        <f t="shared" si="2429"/>
        <v>0</v>
      </c>
      <c r="Z3190" s="117">
        <f t="shared" si="2430"/>
        <v>0</v>
      </c>
      <c r="AA3190" s="118"/>
      <c r="AB3190" s="118" t="str">
        <f t="shared" si="2431"/>
        <v/>
      </c>
      <c r="AC3190" s="712" t="str">
        <f>IF(AE3190="T2G","no charge",IF(AND(OR(PlanterYesMe="No",PlanterYesMe="N",PlanterYesMe="me"),H3190=""),"",IF(H3190="credit","NO install",IF(AND(K3190="",AE3190="me"),"EACH row",IF(AND(K3190="images",AE3190="me"),"EACH row",IF(D3190="","",IF(H3190="credit","",IF(AE3190="free","re-planting",IF(AE3190="me","   not ELP, by",IF(AND(OR(PlanterYesMe="Yes",PlanterYesMe="Y"),G3190&gt;0),(VLOOKUP(A3190,'Discount Lookup'!J:K,2)*G3190*(1-PlanterDiscount)*(1+PlanterDifficultyPercentage)),IF(AE3190="ELP",(VLOOKUP(A3190,'Discount Lookup'!J:K,2)*G3190*(1-PlanterDiscount)*(1+PlanterDifficultyPercentage)),IF(AE3190="free","re-planting",IF(G3190=0,"",IF(PlanterYesMe="",IF(AE3190="me","   not ELP, by",IF(AE3190="",IF(G3190&gt;0,(VLOOKUP(A3190,'Discount Lookup'!J:K,2)*G3190*(1-PlanterDiscount)*(1+PlanterDifficultyPercentage)),""),"")),"   not ELP, by"))))))))))))))</f>
        <v/>
      </c>
      <c r="AD3190" s="712"/>
      <c r="AE3190" s="513" t="str">
        <f t="shared" si="2432"/>
        <v/>
      </c>
      <c r="AF3190" s="713" t="str">
        <f t="shared" si="2433"/>
        <v/>
      </c>
      <c r="AG3190" s="713"/>
      <c r="AH3190" s="713"/>
      <c r="AI3190" s="112">
        <f>IF(H3190="credit",0,IF(AE3190="free",0,IF(AE3190="me",0,IF(G3190&gt;0,(VLOOKUP(A3190,'Discount Lookup'!J:K,2)*G3190),0))))</f>
        <v>0</v>
      </c>
      <c r="AJ3190" s="107" t="str">
        <f t="shared" ca="1" si="2434"/>
        <v/>
      </c>
      <c r="AK3190" s="714" t="str">
        <f t="shared" si="2435"/>
        <v/>
      </c>
      <c r="AL3190" s="714"/>
      <c r="AM3190" s="114" t="str">
        <f t="shared" si="2436"/>
        <v/>
      </c>
      <c r="AN3190" s="115"/>
      <c r="AO3190" s="116"/>
      <c r="AP3190" s="116"/>
      <c r="AQ3190" s="116"/>
      <c r="AR3190" s="116"/>
      <c r="AS3190" s="116"/>
      <c r="AT3190" s="116"/>
      <c r="AU3190" s="116"/>
      <c r="AV3190" s="78"/>
      <c r="AW3190" s="102"/>
      <c r="AX3190" s="78"/>
      <c r="AY3190" s="78"/>
      <c r="AZ3190" s="78"/>
      <c r="BA3190" s="78"/>
      <c r="BB3190" s="78"/>
      <c r="BC3190" s="78"/>
      <c r="BD3190" s="78"/>
      <c r="BE3190" s="465"/>
      <c r="BF3190" s="165" t="str">
        <f t="shared" si="2437"/>
        <v>https://www.google.com/search?tbm=isch&amp;q=3%20G1</v>
      </c>
      <c r="BG3190" s="165" t="str">
        <f t="shared" si="2438"/>
        <v>O</v>
      </c>
      <c r="BH3190" s="65"/>
      <c r="BI3190" s="65"/>
      <c r="BJ3190" s="65"/>
      <c r="BK3190" s="65"/>
      <c r="BL3190" s="99"/>
      <c r="BM3190" s="99"/>
      <c r="BN3190" s="99"/>
    </row>
    <row r="3191" spans="1:66" s="51" customFormat="1" ht="15.75" x14ac:dyDescent="0.25">
      <c r="A3191" s="478">
        <v>3</v>
      </c>
      <c r="B3191" s="479" t="s">
        <v>291</v>
      </c>
      <c r="C3191" s="480" t="s">
        <v>857</v>
      </c>
      <c r="D3191" s="481" t="s">
        <v>311</v>
      </c>
      <c r="E3191" s="482">
        <v>30.95</v>
      </c>
      <c r="F3191" s="483" t="s">
        <v>292</v>
      </c>
      <c r="G3191" s="484">
        <v>0</v>
      </c>
      <c r="H3191" s="688" t="str">
        <f t="shared" si="2468"/>
        <v/>
      </c>
      <c r="I3191" s="485">
        <f t="shared" si="2469"/>
        <v>0</v>
      </c>
      <c r="J3191" s="485">
        <f t="shared" si="2470"/>
        <v>0</v>
      </c>
      <c r="K3191" s="715">
        <f t="shared" ref="K3191" si="2473">I3191+J3191</f>
        <v>0</v>
      </c>
      <c r="L3191" s="715"/>
      <c r="M3191" s="689" t="str">
        <f t="shared" ca="1" si="2472"/>
        <v/>
      </c>
      <c r="N3191" s="690"/>
      <c r="O3191" s="486"/>
      <c r="P3191" s="486"/>
      <c r="Q3191" s="486"/>
      <c r="R3191" s="486"/>
      <c r="S3191" s="486"/>
      <c r="T3191" s="102">
        <f t="shared" si="2426"/>
        <v>0</v>
      </c>
      <c r="U3191" s="78">
        <f>IF(NOT(ISNUMBER(G3191)), "", VLOOKUP(A3191,'Discount Lookup'!D:E,2,FALSE)*G3191)</f>
        <v>0</v>
      </c>
      <c r="V3191" s="78">
        <f>IF(NOT(ISNUMBER(G3191)), "", VLOOKUP(A3191,'Discount Lookup'!G:H,2,FALSE)*G3191)</f>
        <v>0</v>
      </c>
      <c r="W3191" s="102">
        <f t="shared" si="2427"/>
        <v>0</v>
      </c>
      <c r="X3191" s="102">
        <f t="shared" si="2428"/>
        <v>0</v>
      </c>
      <c r="Y3191" s="120" t="b">
        <f t="shared" si="2429"/>
        <v>0</v>
      </c>
      <c r="Z3191" s="117">
        <f t="shared" si="2430"/>
        <v>0</v>
      </c>
      <c r="AA3191" s="118"/>
      <c r="AB3191" s="118" t="str">
        <f t="shared" si="2431"/>
        <v/>
      </c>
      <c r="AC3191" s="712" t="str">
        <f>IF(AE3191="T2G","no charge",IF(AND(OR(PlanterYesMe="No",PlanterYesMe="N",PlanterYesMe="me"),H3191=""),"",IF(H3191="credit","NO install",IF(AND(K3191="",AE3191="me"),"EACH row",IF(AND(K3191="images",AE3191="me"),"EACH row",IF(D3191="","",IF(H3191="credit","",IF(AE3191="free","re-planting",IF(AE3191="me","   not ELP, by",IF(AND(OR(PlanterYesMe="Yes",PlanterYesMe="Y"),G3191&gt;0),(VLOOKUP(A3191,'Discount Lookup'!J:K,2)*G3191*(1-PlanterDiscount)*(1+PlanterDifficultyPercentage)),IF(AE3191="ELP",(VLOOKUP(A3191,'Discount Lookup'!J:K,2)*G3191*(1-PlanterDiscount)*(1+PlanterDifficultyPercentage)),IF(AE3191="free","re-planting",IF(G3191=0,"",IF(PlanterYesMe="",IF(AE3191="me","   not ELP, by",IF(AE3191="",IF(G3191&gt;0,(VLOOKUP(A3191,'Discount Lookup'!J:K,2)*G3191*(1-PlanterDiscount)*(1+PlanterDifficultyPercentage)),""),"")),"   not ELP, by"))))))))))))))</f>
        <v/>
      </c>
      <c r="AD3191" s="712"/>
      <c r="AE3191" s="513" t="str">
        <f t="shared" si="2432"/>
        <v/>
      </c>
      <c r="AF3191" s="713" t="str">
        <f t="shared" si="2433"/>
        <v/>
      </c>
      <c r="AG3191" s="713"/>
      <c r="AH3191" s="713"/>
      <c r="AI3191" s="112">
        <f>IF(H3191="credit",0,IF(AE3191="free",0,IF(AE3191="me",0,IF(G3191&gt;0,(VLOOKUP(A3191,'Discount Lookup'!J:K,2)*G3191),0))))</f>
        <v>0</v>
      </c>
      <c r="AJ3191" s="107" t="str">
        <f t="shared" ca="1" si="2434"/>
        <v/>
      </c>
      <c r="AK3191" s="714" t="str">
        <f t="shared" si="2435"/>
        <v/>
      </c>
      <c r="AL3191" s="714"/>
      <c r="AM3191" s="114" t="str">
        <f t="shared" si="2436"/>
        <v/>
      </c>
      <c r="AN3191" s="115"/>
      <c r="AO3191" s="116"/>
      <c r="AP3191" s="116"/>
      <c r="AQ3191" s="116"/>
      <c r="AR3191" s="116"/>
      <c r="AS3191" s="116"/>
      <c r="AT3191" s="116"/>
      <c r="AU3191" s="116"/>
      <c r="AV3191" s="78"/>
      <c r="AW3191" s="102"/>
      <c r="AX3191" s="78"/>
      <c r="AY3191" s="78"/>
      <c r="AZ3191" s="78"/>
      <c r="BA3191" s="78"/>
      <c r="BB3191" s="78"/>
      <c r="BC3191" s="78"/>
      <c r="BD3191" s="78"/>
      <c r="BE3191" s="465"/>
      <c r="BF3191" s="165" t="str">
        <f t="shared" si="2437"/>
        <v>https://www.google.com/search?tbm=isch&amp;q=3%20G5</v>
      </c>
      <c r="BG3191" s="165" t="str">
        <f t="shared" si="2438"/>
        <v>O</v>
      </c>
      <c r="BH3191" s="65"/>
      <c r="BI3191" s="65"/>
      <c r="BJ3191" s="65"/>
      <c r="BK3191" s="65"/>
      <c r="BL3191" s="99"/>
      <c r="BM3191" s="99"/>
      <c r="BN3191" s="99"/>
    </row>
    <row r="3192" spans="1:66" s="51" customFormat="1" ht="15.75" x14ac:dyDescent="0.25">
      <c r="A3192" s="478">
        <v>7</v>
      </c>
      <c r="B3192" s="479" t="s">
        <v>291</v>
      </c>
      <c r="C3192" s="480" t="s">
        <v>644</v>
      </c>
      <c r="D3192" s="481" t="s">
        <v>311</v>
      </c>
      <c r="E3192" s="482">
        <v>56.95</v>
      </c>
      <c r="F3192" s="483" t="s">
        <v>292</v>
      </c>
      <c r="G3192" s="484">
        <v>0</v>
      </c>
      <c r="H3192" s="688" t="str">
        <f t="shared" si="2468"/>
        <v/>
      </c>
      <c r="I3192" s="485">
        <f t="shared" si="2469"/>
        <v>0</v>
      </c>
      <c r="J3192" s="485">
        <f t="shared" si="2470"/>
        <v>0</v>
      </c>
      <c r="K3192" s="715">
        <f t="shared" ref="K3192" si="2474">I3192+J3192</f>
        <v>0</v>
      </c>
      <c r="L3192" s="715"/>
      <c r="M3192" s="689" t="str">
        <f t="shared" ca="1" si="2472"/>
        <v/>
      </c>
      <c r="N3192" s="690"/>
      <c r="O3192" s="486"/>
      <c r="P3192" s="486"/>
      <c r="Q3192" s="486"/>
      <c r="R3192" s="486"/>
      <c r="S3192" s="486"/>
      <c r="T3192" s="102">
        <f t="shared" si="2426"/>
        <v>0</v>
      </c>
      <c r="U3192" s="78">
        <f>IF(NOT(ISNUMBER(G3192)), "", VLOOKUP(A3192,'Discount Lookup'!D:E,2,FALSE)*G3192)</f>
        <v>0</v>
      </c>
      <c r="V3192" s="78">
        <f>IF(NOT(ISNUMBER(G3192)), "", VLOOKUP(A3192,'Discount Lookup'!G:H,2,FALSE)*G3192)</f>
        <v>0</v>
      </c>
      <c r="W3192" s="102">
        <f t="shared" si="2427"/>
        <v>0</v>
      </c>
      <c r="X3192" s="102">
        <f t="shared" si="2428"/>
        <v>0</v>
      </c>
      <c r="Y3192" s="120" t="b">
        <f t="shared" si="2429"/>
        <v>0</v>
      </c>
      <c r="Z3192" s="117">
        <f t="shared" si="2430"/>
        <v>0</v>
      </c>
      <c r="AA3192" s="118"/>
      <c r="AB3192" s="118" t="str">
        <f t="shared" si="2431"/>
        <v/>
      </c>
      <c r="AC3192" s="712" t="str">
        <f>IF(AE3192="T2G","no charge",IF(AND(OR(PlanterYesMe="No",PlanterYesMe="N",PlanterYesMe="me"),H3192=""),"",IF(H3192="credit","NO install",IF(AND(K3192="",AE3192="me"),"EACH row",IF(AND(K3192="images",AE3192="me"),"EACH row",IF(D3192="","",IF(H3192="credit","",IF(AE3192="free","re-planting",IF(AE3192="me","   not ELP, by",IF(AND(OR(PlanterYesMe="Yes",PlanterYesMe="Y"),G3192&gt;0),(VLOOKUP(A3192,'Discount Lookup'!J:K,2)*G3192*(1-PlanterDiscount)*(1+PlanterDifficultyPercentage)),IF(AE3192="ELP",(VLOOKUP(A3192,'Discount Lookup'!J:K,2)*G3192*(1-PlanterDiscount)*(1+PlanterDifficultyPercentage)),IF(AE3192="free","re-planting",IF(G3192=0,"",IF(PlanterYesMe="",IF(AE3192="me","   not ELP, by",IF(AE3192="",IF(G3192&gt;0,(VLOOKUP(A3192,'Discount Lookup'!J:K,2)*G3192*(1-PlanterDiscount)*(1+PlanterDifficultyPercentage)),""),"")),"   not ELP, by"))))))))))))))</f>
        <v/>
      </c>
      <c r="AD3192" s="712"/>
      <c r="AE3192" s="513" t="str">
        <f t="shared" si="2432"/>
        <v/>
      </c>
      <c r="AF3192" s="713" t="str">
        <f t="shared" si="2433"/>
        <v/>
      </c>
      <c r="AG3192" s="713"/>
      <c r="AH3192" s="713"/>
      <c r="AI3192" s="112">
        <f>IF(H3192="credit",0,IF(AE3192="free",0,IF(AE3192="me",0,IF(G3192&gt;0,(VLOOKUP(A3192,'Discount Lookup'!J:K,2)*G3192),0))))</f>
        <v>0</v>
      </c>
      <c r="AJ3192" s="107" t="str">
        <f t="shared" ca="1" si="2434"/>
        <v/>
      </c>
      <c r="AK3192" s="714" t="str">
        <f t="shared" si="2435"/>
        <v/>
      </c>
      <c r="AL3192" s="714"/>
      <c r="AM3192" s="114" t="str">
        <f t="shared" si="2436"/>
        <v/>
      </c>
      <c r="AN3192" s="115"/>
      <c r="AO3192" s="116"/>
      <c r="AP3192" s="116"/>
      <c r="AQ3192" s="116"/>
      <c r="AR3192" s="116"/>
      <c r="AS3192" s="116"/>
      <c r="AT3192" s="116"/>
      <c r="AU3192" s="116"/>
      <c r="AV3192" s="78"/>
      <c r="AW3192" s="102"/>
      <c r="AX3192" s="78"/>
      <c r="AY3192" s="78"/>
      <c r="AZ3192" s="78"/>
      <c r="BA3192" s="78"/>
      <c r="BB3192" s="78"/>
      <c r="BC3192" s="78"/>
      <c r="BD3192" s="78"/>
      <c r="BE3192" s="465"/>
      <c r="BF3192" s="165" t="str">
        <f t="shared" si="2437"/>
        <v>https://www.google.com/search?tbm=isch&amp;q=7%20G5</v>
      </c>
      <c r="BG3192" s="165" t="str">
        <f t="shared" si="2438"/>
        <v>O</v>
      </c>
      <c r="BH3192" s="65"/>
      <c r="BI3192" s="65"/>
      <c r="BJ3192" s="65"/>
      <c r="BK3192" s="65"/>
      <c r="BL3192" s="99"/>
      <c r="BM3192" s="99"/>
      <c r="BN3192" s="99"/>
    </row>
    <row r="3193" spans="1:66" s="51" customFormat="1" ht="15.75" x14ac:dyDescent="0.25">
      <c r="A3193" s="478">
        <v>7</v>
      </c>
      <c r="B3193" s="479" t="s">
        <v>291</v>
      </c>
      <c r="C3193" s="480"/>
      <c r="D3193" s="481" t="s">
        <v>310</v>
      </c>
      <c r="E3193" s="482">
        <v>62.95</v>
      </c>
      <c r="F3193" s="483" t="s">
        <v>292</v>
      </c>
      <c r="G3193" s="484">
        <v>0</v>
      </c>
      <c r="H3193" s="688" t="str">
        <f t="shared" si="2468"/>
        <v/>
      </c>
      <c r="I3193" s="485">
        <f t="shared" si="2469"/>
        <v>0</v>
      </c>
      <c r="J3193" s="485">
        <f t="shared" si="2470"/>
        <v>0</v>
      </c>
      <c r="K3193" s="715">
        <f t="shared" ref="K3193" si="2475">I3193+J3193</f>
        <v>0</v>
      </c>
      <c r="L3193" s="715"/>
      <c r="M3193" s="689" t="str">
        <f t="shared" ca="1" si="2472"/>
        <v/>
      </c>
      <c r="N3193" s="690"/>
      <c r="O3193" s="486"/>
      <c r="P3193" s="486"/>
      <c r="Q3193" s="486"/>
      <c r="R3193" s="486"/>
      <c r="S3193" s="486"/>
      <c r="T3193" s="102">
        <f t="shared" si="2426"/>
        <v>0</v>
      </c>
      <c r="U3193" s="78">
        <f>IF(NOT(ISNUMBER(G3193)), "", VLOOKUP(A3193,'Discount Lookup'!D:E,2,FALSE)*G3193)</f>
        <v>0</v>
      </c>
      <c r="V3193" s="78">
        <f>IF(NOT(ISNUMBER(G3193)), "", VLOOKUP(A3193,'Discount Lookup'!G:H,2,FALSE)*G3193)</f>
        <v>0</v>
      </c>
      <c r="W3193" s="102">
        <f t="shared" si="2427"/>
        <v>0</v>
      </c>
      <c r="X3193" s="102">
        <f t="shared" si="2428"/>
        <v>0</v>
      </c>
      <c r="Y3193" s="120" t="b">
        <f t="shared" si="2429"/>
        <v>0</v>
      </c>
      <c r="Z3193" s="117">
        <f t="shared" si="2430"/>
        <v>0</v>
      </c>
      <c r="AA3193" s="118"/>
      <c r="AB3193" s="118" t="str">
        <f t="shared" si="2431"/>
        <v/>
      </c>
      <c r="AC3193" s="712" t="str">
        <f>IF(AE3193="T2G","no charge",IF(AND(OR(PlanterYesMe="No",PlanterYesMe="N",PlanterYesMe="me"),H3193=""),"",IF(H3193="credit","NO install",IF(AND(K3193="",AE3193="me"),"EACH row",IF(AND(K3193="images",AE3193="me"),"EACH row",IF(D3193="","",IF(H3193="credit","",IF(AE3193="free","re-planting",IF(AE3193="me","   not ELP, by",IF(AND(OR(PlanterYesMe="Yes",PlanterYesMe="Y"),G3193&gt;0),(VLOOKUP(A3193,'Discount Lookup'!J:K,2)*G3193*(1-PlanterDiscount)*(1+PlanterDifficultyPercentage)),IF(AE3193="ELP",(VLOOKUP(A3193,'Discount Lookup'!J:K,2)*G3193*(1-PlanterDiscount)*(1+PlanterDifficultyPercentage)),IF(AE3193="free","re-planting",IF(G3193=0,"",IF(PlanterYesMe="",IF(AE3193="me","   not ELP, by",IF(AE3193="",IF(G3193&gt;0,(VLOOKUP(A3193,'Discount Lookup'!J:K,2)*G3193*(1-PlanterDiscount)*(1+PlanterDifficultyPercentage)),""),"")),"   not ELP, by"))))))))))))))</f>
        <v/>
      </c>
      <c r="AD3193" s="712"/>
      <c r="AE3193" s="513" t="str">
        <f t="shared" si="2432"/>
        <v/>
      </c>
      <c r="AF3193" s="713" t="str">
        <f t="shared" si="2433"/>
        <v/>
      </c>
      <c r="AG3193" s="713"/>
      <c r="AH3193" s="713"/>
      <c r="AI3193" s="112">
        <f>IF(H3193="credit",0,IF(AE3193="free",0,IF(AE3193="me",0,IF(G3193&gt;0,(VLOOKUP(A3193,'Discount Lookup'!J:K,2)*G3193),0))))</f>
        <v>0</v>
      </c>
      <c r="AJ3193" s="107" t="str">
        <f t="shared" ca="1" si="2434"/>
        <v/>
      </c>
      <c r="AK3193" s="714" t="str">
        <f t="shared" si="2435"/>
        <v/>
      </c>
      <c r="AL3193" s="714"/>
      <c r="AM3193" s="114" t="str">
        <f t="shared" si="2436"/>
        <v/>
      </c>
      <c r="AN3193" s="115"/>
      <c r="AO3193" s="116"/>
      <c r="AP3193" s="116"/>
      <c r="AQ3193" s="116"/>
      <c r="AR3193" s="116"/>
      <c r="AS3193" s="116"/>
      <c r="AT3193" s="116"/>
      <c r="AU3193" s="116"/>
      <c r="AV3193" s="78"/>
      <c r="AW3193" s="102"/>
      <c r="AX3193" s="78"/>
      <c r="AY3193" s="78"/>
      <c r="AZ3193" s="78"/>
      <c r="BA3193" s="78"/>
      <c r="BB3193" s="78"/>
      <c r="BC3193" s="78"/>
      <c r="BD3193" s="78"/>
      <c r="BE3193" s="465"/>
      <c r="BF3193" s="165" t="str">
        <f t="shared" si="2437"/>
        <v>https://www.google.com/search?tbm=isch&amp;q=7%20G1</v>
      </c>
      <c r="BG3193" s="165" t="str">
        <f t="shared" si="2438"/>
        <v>O</v>
      </c>
      <c r="BH3193" s="65"/>
      <c r="BI3193" s="65"/>
      <c r="BJ3193" s="65"/>
      <c r="BK3193" s="65"/>
      <c r="BL3193" s="99"/>
      <c r="BM3193" s="99"/>
      <c r="BN3193" s="99"/>
    </row>
    <row r="3194" spans="1:66" s="51" customFormat="1" ht="15.75" x14ac:dyDescent="0.25">
      <c r="A3194" s="478">
        <v>10</v>
      </c>
      <c r="B3194" s="479" t="s">
        <v>291</v>
      </c>
      <c r="C3194" s="480" t="s">
        <v>645</v>
      </c>
      <c r="D3194" s="481" t="s">
        <v>309</v>
      </c>
      <c r="E3194" s="482">
        <v>83.95</v>
      </c>
      <c r="F3194" s="483" t="s">
        <v>292</v>
      </c>
      <c r="G3194" s="484">
        <v>0</v>
      </c>
      <c r="H3194" s="688" t="str">
        <f t="shared" si="2468"/>
        <v/>
      </c>
      <c r="I3194" s="485">
        <f t="shared" si="2469"/>
        <v>0</v>
      </c>
      <c r="J3194" s="485">
        <f t="shared" si="2470"/>
        <v>0</v>
      </c>
      <c r="K3194" s="715">
        <f t="shared" ref="K3194" si="2476">I3194+J3194</f>
        <v>0</v>
      </c>
      <c r="L3194" s="715"/>
      <c r="M3194" s="689" t="str">
        <f t="shared" ca="1" si="2472"/>
        <v/>
      </c>
      <c r="N3194" s="690"/>
      <c r="O3194" s="486"/>
      <c r="P3194" s="486"/>
      <c r="Q3194" s="486"/>
      <c r="R3194" s="486"/>
      <c r="S3194" s="486"/>
      <c r="T3194" s="102">
        <f t="shared" si="2426"/>
        <v>0</v>
      </c>
      <c r="U3194" s="78">
        <f>IF(NOT(ISNUMBER(G3194)), "", VLOOKUP(A3194,'Discount Lookup'!D:E,2,FALSE)*G3194)</f>
        <v>0</v>
      </c>
      <c r="V3194" s="78">
        <f>IF(NOT(ISNUMBER(G3194)), "", VLOOKUP(A3194,'Discount Lookup'!G:H,2,FALSE)*G3194)</f>
        <v>0</v>
      </c>
      <c r="W3194" s="102">
        <f t="shared" si="2427"/>
        <v>0</v>
      </c>
      <c r="X3194" s="102">
        <f t="shared" si="2428"/>
        <v>0</v>
      </c>
      <c r="Y3194" s="120" t="b">
        <f t="shared" si="2429"/>
        <v>0</v>
      </c>
      <c r="Z3194" s="117">
        <f t="shared" si="2430"/>
        <v>0</v>
      </c>
      <c r="AA3194" s="118"/>
      <c r="AB3194" s="118" t="str">
        <f t="shared" si="2431"/>
        <v/>
      </c>
      <c r="AC3194" s="712" t="str">
        <f>IF(AE3194="T2G","no charge",IF(AND(OR(PlanterYesMe="No",PlanterYesMe="N",PlanterYesMe="me"),H3194=""),"",IF(H3194="credit","NO install",IF(AND(K3194="",AE3194="me"),"EACH row",IF(AND(K3194="images",AE3194="me"),"EACH row",IF(D3194="","",IF(H3194="credit","",IF(AE3194="free","re-planting",IF(AE3194="me","   not ELP, by",IF(AND(OR(PlanterYesMe="Yes",PlanterYesMe="Y"),G3194&gt;0),(VLOOKUP(A3194,'Discount Lookup'!J:K,2)*G3194*(1-PlanterDiscount)*(1+PlanterDifficultyPercentage)),IF(AE3194="ELP",(VLOOKUP(A3194,'Discount Lookup'!J:K,2)*G3194*(1-PlanterDiscount)*(1+PlanterDifficultyPercentage)),IF(AE3194="free","re-planting",IF(G3194=0,"",IF(PlanterYesMe="",IF(AE3194="me","   not ELP, by",IF(AE3194="",IF(G3194&gt;0,(VLOOKUP(A3194,'Discount Lookup'!J:K,2)*G3194*(1-PlanterDiscount)*(1+PlanterDifficultyPercentage)),""),"")),"   not ELP, by"))))))))))))))</f>
        <v/>
      </c>
      <c r="AD3194" s="712"/>
      <c r="AE3194" s="513" t="str">
        <f t="shared" si="2432"/>
        <v/>
      </c>
      <c r="AF3194" s="713" t="str">
        <f t="shared" si="2433"/>
        <v/>
      </c>
      <c r="AG3194" s="713"/>
      <c r="AH3194" s="713"/>
      <c r="AI3194" s="112">
        <f>IF(H3194="credit",0,IF(AE3194="free",0,IF(AE3194="me",0,IF(G3194&gt;0,(VLOOKUP(A3194,'Discount Lookup'!J:K,2)*G3194),0))))</f>
        <v>0</v>
      </c>
      <c r="AJ3194" s="107" t="str">
        <f t="shared" ca="1" si="2434"/>
        <v/>
      </c>
      <c r="AK3194" s="714" t="str">
        <f t="shared" si="2435"/>
        <v/>
      </c>
      <c r="AL3194" s="714"/>
      <c r="AM3194" s="114" t="str">
        <f t="shared" si="2436"/>
        <v/>
      </c>
      <c r="AN3194" s="115"/>
      <c r="AO3194" s="116"/>
      <c r="AP3194" s="116"/>
      <c r="AQ3194" s="116"/>
      <c r="AR3194" s="116"/>
      <c r="AS3194" s="116"/>
      <c r="AT3194" s="116"/>
      <c r="AU3194" s="116"/>
      <c r="AV3194" s="78"/>
      <c r="AW3194" s="102"/>
      <c r="AX3194" s="78"/>
      <c r="AY3194" s="78"/>
      <c r="AZ3194" s="78"/>
      <c r="BA3194" s="78"/>
      <c r="BB3194" s="78"/>
      <c r="BC3194" s="78"/>
      <c r="BD3194" s="78"/>
      <c r="BE3194" s="465"/>
      <c r="BF3194" s="165" t="str">
        <f t="shared" si="2437"/>
        <v>https://www.google.com/search?tbm=isch&amp;q=10%20G3</v>
      </c>
      <c r="BG3194" s="165" t="str">
        <f t="shared" si="2438"/>
        <v>O</v>
      </c>
      <c r="BH3194" s="65"/>
      <c r="BI3194" s="65"/>
      <c r="BJ3194" s="65"/>
      <c r="BK3194" s="65"/>
      <c r="BL3194" s="99"/>
      <c r="BM3194" s="99"/>
      <c r="BN3194" s="99"/>
    </row>
    <row r="3195" spans="1:66" s="51" customFormat="1" ht="15.75" x14ac:dyDescent="0.25">
      <c r="A3195" s="478">
        <v>15</v>
      </c>
      <c r="B3195" s="479" t="s">
        <v>291</v>
      </c>
      <c r="C3195" s="480" t="s">
        <v>796</v>
      </c>
      <c r="D3195" s="481" t="s">
        <v>311</v>
      </c>
      <c r="E3195" s="482">
        <v>148.94999999999999</v>
      </c>
      <c r="F3195" s="483" t="s">
        <v>292</v>
      </c>
      <c r="G3195" s="484">
        <v>0</v>
      </c>
      <c r="H3195" s="688" t="str">
        <f t="shared" si="2468"/>
        <v/>
      </c>
      <c r="I3195" s="485">
        <f t="shared" si="2469"/>
        <v>0</v>
      </c>
      <c r="J3195" s="485">
        <f t="shared" si="2470"/>
        <v>0</v>
      </c>
      <c r="K3195" s="715">
        <f t="shared" ref="K3195" si="2477">I3195+J3195</f>
        <v>0</v>
      </c>
      <c r="L3195" s="715"/>
      <c r="M3195" s="689" t="str">
        <f t="shared" ca="1" si="2472"/>
        <v/>
      </c>
      <c r="N3195" s="690"/>
      <c r="O3195" s="486"/>
      <c r="P3195" s="486"/>
      <c r="Q3195" s="486"/>
      <c r="R3195" s="486"/>
      <c r="S3195" s="486"/>
      <c r="T3195" s="102">
        <f t="shared" si="2426"/>
        <v>0</v>
      </c>
      <c r="U3195" s="78">
        <f>IF(NOT(ISNUMBER(G3195)), "", VLOOKUP(A3195,'Discount Lookup'!D:E,2,FALSE)*G3195)</f>
        <v>0</v>
      </c>
      <c r="V3195" s="78">
        <f>IF(NOT(ISNUMBER(G3195)), "", VLOOKUP(A3195,'Discount Lookup'!G:H,2,FALSE)*G3195)</f>
        <v>0</v>
      </c>
      <c r="W3195" s="102">
        <f t="shared" si="2427"/>
        <v>0</v>
      </c>
      <c r="X3195" s="102">
        <f t="shared" si="2428"/>
        <v>0</v>
      </c>
      <c r="Y3195" s="120" t="b">
        <f t="shared" si="2429"/>
        <v>0</v>
      </c>
      <c r="Z3195" s="117">
        <f t="shared" si="2430"/>
        <v>0</v>
      </c>
      <c r="AA3195" s="118"/>
      <c r="AB3195" s="118" t="str">
        <f t="shared" si="2431"/>
        <v/>
      </c>
      <c r="AC3195" s="712" t="str">
        <f>IF(AE3195="T2G","no charge",IF(AND(OR(PlanterYesMe="No",PlanterYesMe="N",PlanterYesMe="me"),H3195=""),"",IF(H3195="credit","NO install",IF(AND(K3195="",AE3195="me"),"EACH row",IF(AND(K3195="images",AE3195="me"),"EACH row",IF(D3195="","",IF(H3195="credit","",IF(AE3195="free","re-planting",IF(AE3195="me","   not ELP, by",IF(AND(OR(PlanterYesMe="Yes",PlanterYesMe="Y"),G3195&gt;0),(VLOOKUP(A3195,'Discount Lookup'!J:K,2)*G3195*(1-PlanterDiscount)*(1+PlanterDifficultyPercentage)),IF(AE3195="ELP",(VLOOKUP(A3195,'Discount Lookup'!J:K,2)*G3195*(1-PlanterDiscount)*(1+PlanterDifficultyPercentage)),IF(AE3195="free","re-planting",IF(G3195=0,"",IF(PlanterYesMe="",IF(AE3195="me","   not ELP, by",IF(AE3195="",IF(G3195&gt;0,(VLOOKUP(A3195,'Discount Lookup'!J:K,2)*G3195*(1-PlanterDiscount)*(1+PlanterDifficultyPercentage)),""),"")),"   not ELP, by"))))))))))))))</f>
        <v/>
      </c>
      <c r="AD3195" s="712"/>
      <c r="AE3195" s="513" t="str">
        <f t="shared" si="2432"/>
        <v/>
      </c>
      <c r="AF3195" s="713" t="str">
        <f t="shared" si="2433"/>
        <v/>
      </c>
      <c r="AG3195" s="713"/>
      <c r="AH3195" s="713"/>
      <c r="AI3195" s="112">
        <f>IF(H3195="credit",0,IF(AE3195="free",0,IF(AE3195="me",0,IF(G3195&gt;0,(VLOOKUP(A3195,'Discount Lookup'!J:K,2)*G3195),0))))</f>
        <v>0</v>
      </c>
      <c r="AJ3195" s="107" t="str">
        <f t="shared" ca="1" si="2434"/>
        <v/>
      </c>
      <c r="AK3195" s="714" t="str">
        <f t="shared" si="2435"/>
        <v/>
      </c>
      <c r="AL3195" s="714"/>
      <c r="AM3195" s="114" t="str">
        <f t="shared" si="2436"/>
        <v/>
      </c>
      <c r="AN3195" s="115"/>
      <c r="AO3195" s="116"/>
      <c r="AP3195" s="116"/>
      <c r="AQ3195" s="116"/>
      <c r="AR3195" s="116"/>
      <c r="AS3195" s="116"/>
      <c r="AT3195" s="116"/>
      <c r="AU3195" s="116"/>
      <c r="AV3195" s="78"/>
      <c r="AW3195" s="102"/>
      <c r="AX3195" s="78"/>
      <c r="AY3195" s="78"/>
      <c r="AZ3195" s="78"/>
      <c r="BA3195" s="78"/>
      <c r="BB3195" s="78"/>
      <c r="BC3195" s="78"/>
      <c r="BD3195" s="78"/>
      <c r="BE3195" s="465"/>
      <c r="BF3195" s="165" t="str">
        <f t="shared" si="2437"/>
        <v>https://www.google.com/search?tbm=isch&amp;q=15%20G5</v>
      </c>
      <c r="BG3195" s="165" t="str">
        <f t="shared" si="2438"/>
        <v>O</v>
      </c>
      <c r="BH3195" s="65"/>
      <c r="BI3195" s="65"/>
      <c r="BJ3195" s="65"/>
      <c r="BK3195" s="65"/>
      <c r="BL3195" s="99"/>
      <c r="BM3195" s="99"/>
      <c r="BN3195" s="99"/>
    </row>
    <row r="3196" spans="1:66" s="51" customFormat="1" ht="15.75" x14ac:dyDescent="0.25">
      <c r="A3196" s="478">
        <v>15</v>
      </c>
      <c r="B3196" s="479" t="s">
        <v>291</v>
      </c>
      <c r="C3196" s="480" t="s">
        <v>987</v>
      </c>
      <c r="D3196" s="481" t="s">
        <v>299</v>
      </c>
      <c r="E3196" s="482">
        <v>160.94999999999999</v>
      </c>
      <c r="F3196" s="483" t="s">
        <v>292</v>
      </c>
      <c r="G3196" s="484">
        <v>0</v>
      </c>
      <c r="H3196" s="688" t="str">
        <f t="shared" si="2468"/>
        <v/>
      </c>
      <c r="I3196" s="485">
        <f t="shared" si="2469"/>
        <v>0</v>
      </c>
      <c r="J3196" s="485">
        <f t="shared" si="2470"/>
        <v>0</v>
      </c>
      <c r="K3196" s="715">
        <f t="shared" ref="K3196" si="2478">I3196+J3196</f>
        <v>0</v>
      </c>
      <c r="L3196" s="715"/>
      <c r="M3196" s="689" t="str">
        <f t="shared" ca="1" si="2472"/>
        <v/>
      </c>
      <c r="N3196" s="690"/>
      <c r="O3196" s="486"/>
      <c r="P3196" s="486"/>
      <c r="Q3196" s="486"/>
      <c r="R3196" s="486"/>
      <c r="S3196" s="486"/>
      <c r="T3196" s="102">
        <f t="shared" si="2426"/>
        <v>0</v>
      </c>
      <c r="U3196" s="78">
        <f>IF(NOT(ISNUMBER(G3196)), "", VLOOKUP(A3196,'Discount Lookup'!D:E,2,FALSE)*G3196)</f>
        <v>0</v>
      </c>
      <c r="V3196" s="78">
        <f>IF(NOT(ISNUMBER(G3196)), "", VLOOKUP(A3196,'Discount Lookup'!G:H,2,FALSE)*G3196)</f>
        <v>0</v>
      </c>
      <c r="W3196" s="102">
        <f t="shared" si="2427"/>
        <v>0</v>
      </c>
      <c r="X3196" s="102">
        <f t="shared" si="2428"/>
        <v>0</v>
      </c>
      <c r="Y3196" s="120" t="b">
        <f t="shared" si="2429"/>
        <v>0</v>
      </c>
      <c r="Z3196" s="117">
        <f t="shared" si="2430"/>
        <v>0</v>
      </c>
      <c r="AA3196" s="118"/>
      <c r="AB3196" s="118" t="str">
        <f t="shared" si="2431"/>
        <v/>
      </c>
      <c r="AC3196" s="712" t="str">
        <f>IF(AE3196="T2G","no charge",IF(AND(OR(PlanterYesMe="No",PlanterYesMe="N",PlanterYesMe="me"),H3196=""),"",IF(H3196="credit","NO install",IF(AND(K3196="",AE3196="me"),"EACH row",IF(AND(K3196="images",AE3196="me"),"EACH row",IF(D3196="","",IF(H3196="credit","",IF(AE3196="free","re-planting",IF(AE3196="me","   not ELP, by",IF(AND(OR(PlanterYesMe="Yes",PlanterYesMe="Y"),G3196&gt;0),(VLOOKUP(A3196,'Discount Lookup'!J:K,2)*G3196*(1-PlanterDiscount)*(1+PlanterDifficultyPercentage)),IF(AE3196="ELP",(VLOOKUP(A3196,'Discount Lookup'!J:K,2)*G3196*(1-PlanterDiscount)*(1+PlanterDifficultyPercentage)),IF(AE3196="free","re-planting",IF(G3196=0,"",IF(PlanterYesMe="",IF(AE3196="me","   not ELP, by",IF(AE3196="",IF(G3196&gt;0,(VLOOKUP(A3196,'Discount Lookup'!J:K,2)*G3196*(1-PlanterDiscount)*(1+PlanterDifficultyPercentage)),""),"")),"   not ELP, by"))))))))))))))</f>
        <v/>
      </c>
      <c r="AD3196" s="712"/>
      <c r="AE3196" s="513" t="str">
        <f t="shared" si="2432"/>
        <v/>
      </c>
      <c r="AF3196" s="713" t="str">
        <f t="shared" si="2433"/>
        <v/>
      </c>
      <c r="AG3196" s="713"/>
      <c r="AH3196" s="713"/>
      <c r="AI3196" s="112">
        <f>IF(H3196="credit",0,IF(AE3196="free",0,IF(AE3196="me",0,IF(G3196&gt;0,(VLOOKUP(A3196,'Discount Lookup'!J:K,2)*G3196),0))))</f>
        <v>0</v>
      </c>
      <c r="AJ3196" s="107" t="str">
        <f t="shared" ca="1" si="2434"/>
        <v/>
      </c>
      <c r="AK3196" s="714" t="str">
        <f t="shared" si="2435"/>
        <v/>
      </c>
      <c r="AL3196" s="714"/>
      <c r="AM3196" s="114" t="str">
        <f t="shared" si="2436"/>
        <v/>
      </c>
      <c r="AN3196" s="115"/>
      <c r="AO3196" s="116"/>
      <c r="AP3196" s="116"/>
      <c r="AQ3196" s="116"/>
      <c r="AR3196" s="116"/>
      <c r="AS3196" s="116"/>
      <c r="AT3196" s="116"/>
      <c r="AU3196" s="116"/>
      <c r="AV3196" s="78"/>
      <c r="AW3196" s="102"/>
      <c r="AX3196" s="78"/>
      <c r="AY3196" s="78"/>
      <c r="AZ3196" s="78"/>
      <c r="BA3196" s="78"/>
      <c r="BB3196" s="78"/>
      <c r="BC3196" s="78"/>
      <c r="BD3196" s="78"/>
      <c r="BE3196" s="465"/>
      <c r="BF3196" s="165" t="str">
        <f t="shared" si="2437"/>
        <v>https://www.google.com/search?tbm=isch&amp;q=15%20G4</v>
      </c>
      <c r="BG3196" s="165" t="str">
        <f t="shared" si="2438"/>
        <v>O</v>
      </c>
      <c r="BH3196" s="65"/>
      <c r="BI3196" s="65"/>
      <c r="BJ3196" s="65"/>
      <c r="BK3196" s="65"/>
      <c r="BL3196" s="99"/>
      <c r="BM3196" s="99"/>
      <c r="BN3196" s="99"/>
    </row>
    <row r="3197" spans="1:66" s="51" customFormat="1" ht="15.75" x14ac:dyDescent="0.25">
      <c r="A3197" s="478">
        <v>15</v>
      </c>
      <c r="B3197" s="479" t="s">
        <v>291</v>
      </c>
      <c r="C3197" s="480" t="s">
        <v>4644</v>
      </c>
      <c r="D3197" s="481" t="s">
        <v>293</v>
      </c>
      <c r="E3197" s="482">
        <v>205.95</v>
      </c>
      <c r="F3197" s="483" t="s">
        <v>292</v>
      </c>
      <c r="G3197" s="484">
        <v>0</v>
      </c>
      <c r="H3197" s="688" t="str">
        <f t="shared" si="2468"/>
        <v/>
      </c>
      <c r="I3197" s="485">
        <f t="shared" si="2469"/>
        <v>0</v>
      </c>
      <c r="J3197" s="485">
        <f t="shared" si="2470"/>
        <v>0</v>
      </c>
      <c r="K3197" s="715">
        <f t="shared" ref="K3197" si="2479">I3197+J3197</f>
        <v>0</v>
      </c>
      <c r="L3197" s="715"/>
      <c r="M3197" s="689" t="str">
        <f t="shared" ca="1" si="2472"/>
        <v/>
      </c>
      <c r="N3197" s="690"/>
      <c r="O3197" s="486"/>
      <c r="P3197" s="486"/>
      <c r="Q3197" s="486"/>
      <c r="R3197" s="486"/>
      <c r="S3197" s="486"/>
      <c r="T3197" s="102">
        <f t="shared" si="2426"/>
        <v>0</v>
      </c>
      <c r="U3197" s="78">
        <f>IF(NOT(ISNUMBER(G3197)), "", VLOOKUP(A3197,'Discount Lookup'!D:E,2,FALSE)*G3197)</f>
        <v>0</v>
      </c>
      <c r="V3197" s="78">
        <f>IF(NOT(ISNUMBER(G3197)), "", VLOOKUP(A3197,'Discount Lookup'!G:H,2,FALSE)*G3197)</f>
        <v>0</v>
      </c>
      <c r="W3197" s="102">
        <f t="shared" si="2427"/>
        <v>0</v>
      </c>
      <c r="X3197" s="102">
        <f t="shared" si="2428"/>
        <v>0</v>
      </c>
      <c r="Y3197" s="120" t="b">
        <f t="shared" si="2429"/>
        <v>0</v>
      </c>
      <c r="Z3197" s="117">
        <f t="shared" si="2430"/>
        <v>0</v>
      </c>
      <c r="AA3197" s="118"/>
      <c r="AB3197" s="118" t="str">
        <f t="shared" si="2431"/>
        <v/>
      </c>
      <c r="AC3197" s="712" t="str">
        <f>IF(AE3197="T2G","no charge",IF(AND(OR(PlanterYesMe="No",PlanterYesMe="N",PlanterYesMe="me"),H3197=""),"",IF(H3197="credit","NO install",IF(AND(K3197="",AE3197="me"),"EACH row",IF(AND(K3197="images",AE3197="me"),"EACH row",IF(D3197="","",IF(H3197="credit","",IF(AE3197="free","re-planting",IF(AE3197="me","   not ELP, by",IF(AND(OR(PlanterYesMe="Yes",PlanterYesMe="Y"),G3197&gt;0),(VLOOKUP(A3197,'Discount Lookup'!J:K,2)*G3197*(1-PlanterDiscount)*(1+PlanterDifficultyPercentage)),IF(AE3197="ELP",(VLOOKUP(A3197,'Discount Lookup'!J:K,2)*G3197*(1-PlanterDiscount)*(1+PlanterDifficultyPercentage)),IF(AE3197="free","re-planting",IF(G3197=0,"",IF(PlanterYesMe="",IF(AE3197="me","   not ELP, by",IF(AE3197="",IF(G3197&gt;0,(VLOOKUP(A3197,'Discount Lookup'!J:K,2)*G3197*(1-PlanterDiscount)*(1+PlanterDifficultyPercentage)),""),"")),"   not ELP, by"))))))))))))))</f>
        <v/>
      </c>
      <c r="AD3197" s="712"/>
      <c r="AE3197" s="513" t="str">
        <f t="shared" si="2432"/>
        <v/>
      </c>
      <c r="AF3197" s="713" t="str">
        <f t="shared" si="2433"/>
        <v/>
      </c>
      <c r="AG3197" s="713"/>
      <c r="AH3197" s="713"/>
      <c r="AI3197" s="112">
        <f>IF(H3197="credit",0,IF(AE3197="free",0,IF(AE3197="me",0,IF(G3197&gt;0,(VLOOKUP(A3197,'Discount Lookup'!J:K,2)*G3197),0))))</f>
        <v>0</v>
      </c>
      <c r="AJ3197" s="107" t="str">
        <f t="shared" ca="1" si="2434"/>
        <v/>
      </c>
      <c r="AK3197" s="714" t="str">
        <f t="shared" si="2435"/>
        <v/>
      </c>
      <c r="AL3197" s="714"/>
      <c r="AM3197" s="114" t="str">
        <f t="shared" si="2436"/>
        <v/>
      </c>
      <c r="AN3197" s="115"/>
      <c r="AO3197" s="116"/>
      <c r="AP3197" s="116"/>
      <c r="AQ3197" s="116"/>
      <c r="AR3197" s="116"/>
      <c r="AS3197" s="116"/>
      <c r="AT3197" s="116"/>
      <c r="AU3197" s="116"/>
      <c r="AV3197" s="78"/>
      <c r="AW3197" s="102"/>
      <c r="AX3197" s="78"/>
      <c r="AY3197" s="78"/>
      <c r="AZ3197" s="78"/>
      <c r="BA3197" s="78"/>
      <c r="BB3197" s="78"/>
      <c r="BC3197" s="78"/>
      <c r="BD3197" s="78"/>
      <c r="BE3197" s="465"/>
      <c r="BF3197" s="165" t="str">
        <f t="shared" si="2437"/>
        <v>https://www.google.com/search?tbm=isch&amp;q=15%20G6</v>
      </c>
      <c r="BG3197" s="165" t="str">
        <f t="shared" si="2438"/>
        <v>O</v>
      </c>
      <c r="BH3197" s="65"/>
      <c r="BI3197" s="65"/>
      <c r="BJ3197" s="65"/>
      <c r="BK3197" s="65"/>
      <c r="BL3197" s="99"/>
      <c r="BM3197" s="99"/>
      <c r="BN3197" s="99"/>
    </row>
    <row r="3198" spans="1:66" s="51" customFormat="1" ht="16.5" thickBot="1" x14ac:dyDescent="0.3">
      <c r="A3198" s="508" t="s">
        <v>646</v>
      </c>
      <c r="B3198" s="487"/>
      <c r="C3198" s="707"/>
      <c r="D3198" s="487"/>
      <c r="E3198" s="487"/>
      <c r="F3198" s="488"/>
      <c r="G3198" s="489"/>
      <c r="H3198" s="487"/>
      <c r="I3198" s="490"/>
      <c r="J3198" s="490"/>
      <c r="K3198" s="491"/>
      <c r="L3198" s="547"/>
      <c r="M3198" s="528"/>
      <c r="N3198" s="492"/>
      <c r="O3198" s="493"/>
      <c r="P3198" s="494"/>
      <c r="Q3198" s="492"/>
      <c r="R3198" s="492"/>
      <c r="S3198" s="495"/>
      <c r="T3198" s="102">
        <f t="shared" si="2426"/>
        <v>0</v>
      </c>
      <c r="U3198" s="78" t="str">
        <f>IF(NOT(ISNUMBER(G3198)), "", VLOOKUP(A3198,'Discount Lookup'!D:E,2,FALSE)*G3198)</f>
        <v/>
      </c>
      <c r="V3198" s="78" t="str">
        <f>IF(NOT(ISNUMBER(G3198)), "", VLOOKUP(A3198,'Discount Lookup'!G:H,2,FALSE)*G3198)</f>
        <v/>
      </c>
      <c r="W3198" s="102">
        <f t="shared" si="2427"/>
        <v>0</v>
      </c>
      <c r="X3198" s="102">
        <f t="shared" si="2428"/>
        <v>0</v>
      </c>
      <c r="Y3198" s="120" t="b">
        <f t="shared" si="2429"/>
        <v>0</v>
      </c>
      <c r="Z3198" s="117">
        <f t="shared" si="2430"/>
        <v>0</v>
      </c>
      <c r="AA3198" s="118"/>
      <c r="AB3198" s="118" t="str">
        <f t="shared" si="2431"/>
        <v/>
      </c>
      <c r="AC3198" s="712" t="str">
        <f>IF(AE3198="T2G","no charge",IF(AND(OR(PlanterYesMe="No",PlanterYesMe="N",PlanterYesMe="me"),H3198=""),"",IF(H3198="credit","NO install",IF(AND(K3198="",AE3198="me"),"EACH row",IF(AND(K3198="images",AE3198="me"),"EACH row",IF(D3198="","",IF(H3198="credit","",IF(AE3198="free","re-planting",IF(AE3198="me","   not ELP, by",IF(AND(OR(PlanterYesMe="Yes",PlanterYesMe="Y"),G3198&gt;0),(VLOOKUP(A3198,'Discount Lookup'!J:K,2)*G3198*(1-PlanterDiscount)*(1+PlanterDifficultyPercentage)),IF(AE3198="ELP",(VLOOKUP(A3198,'Discount Lookup'!J:K,2)*G3198*(1-PlanterDiscount)*(1+PlanterDifficultyPercentage)),IF(AE3198="free","re-planting",IF(G3198=0,"",IF(PlanterYesMe="",IF(AE3198="me","   not ELP, by",IF(AE3198="",IF(G3198&gt;0,(VLOOKUP(A3198,'Discount Lookup'!J:K,2)*G3198*(1-PlanterDiscount)*(1+PlanterDifficultyPercentage)),""),"")),"   not ELP, by"))))))))))))))</f>
        <v/>
      </c>
      <c r="AD3198" s="712"/>
      <c r="AE3198" s="513" t="str">
        <f t="shared" si="2432"/>
        <v/>
      </c>
      <c r="AF3198" s="713" t="str">
        <f t="shared" si="2433"/>
        <v/>
      </c>
      <c r="AG3198" s="713"/>
      <c r="AH3198" s="713"/>
      <c r="AI3198" s="112">
        <f>IF(H3198="credit",0,IF(AE3198="free",0,IF(AE3198="me",0,IF(G3198&gt;0,(VLOOKUP(A3198,'Discount Lookup'!J:K,2)*G3198),0))))</f>
        <v>0</v>
      </c>
      <c r="AJ3198" s="107" t="str">
        <f t="shared" ca="1" si="2434"/>
        <v/>
      </c>
      <c r="AK3198" s="714" t="str">
        <f t="shared" si="2435"/>
        <v/>
      </c>
      <c r="AL3198" s="714"/>
      <c r="AM3198" s="114" t="str">
        <f t="shared" si="2436"/>
        <v/>
      </c>
      <c r="AN3198" s="115"/>
      <c r="AO3198" s="116"/>
      <c r="AP3198" s="116"/>
      <c r="AQ3198" s="116"/>
      <c r="AR3198" s="116"/>
      <c r="AS3198" s="116"/>
      <c r="AT3198" s="116"/>
      <c r="AU3198" s="116"/>
      <c r="AV3198" s="78"/>
      <c r="AW3198" s="102"/>
      <c r="AX3198" s="78"/>
      <c r="AY3198" s="78"/>
      <c r="AZ3198" s="78"/>
      <c r="BA3198" s="78"/>
      <c r="BB3198" s="78"/>
      <c r="BC3198" s="78"/>
      <c r="BD3198" s="78"/>
      <c r="BE3198" s="465"/>
      <c r="BF3198" s="165" t="str">
        <f t="shared" si="2437"/>
        <v>https://www.google.com/search?tbm=isch&amp;q=Fortune%27s%20is%20very%20aromatic%20in%20late%20summer.%20Toothed%20foliage.%20Drought%20and%20shade%20tolerant%20</v>
      </c>
      <c r="BG3198" s="165" t="str">
        <f t="shared" si="2438"/>
        <v>F</v>
      </c>
      <c r="BH3198" s="65"/>
      <c r="BI3198" s="65"/>
      <c r="BJ3198" s="65"/>
      <c r="BK3198" s="65"/>
      <c r="BL3198" s="99"/>
      <c r="BM3198" s="99"/>
      <c r="BN3198" s="99"/>
    </row>
    <row r="3199" spans="1:66" s="51" customFormat="1" ht="18" x14ac:dyDescent="0.25">
      <c r="A3199" s="507" t="s">
        <v>647</v>
      </c>
      <c r="B3199" s="470"/>
      <c r="C3199" s="706"/>
      <c r="D3199" s="471" t="s">
        <v>648</v>
      </c>
      <c r="E3199" s="472"/>
      <c r="F3199" s="472"/>
      <c r="G3199" s="472"/>
      <c r="H3199" s="622" t="s">
        <v>327</v>
      </c>
      <c r="I3199" s="473" t="s">
        <v>350</v>
      </c>
      <c r="J3199" s="472"/>
      <c r="K3199" s="472"/>
      <c r="L3199" s="561"/>
      <c r="M3199" s="698" t="s">
        <v>5246</v>
      </c>
      <c r="N3199" s="692" t="str">
        <f>IF(AND(ISTEXT($A3199), ISERROR($A3199+0)), HYPERLINK($BF3199, "Images"), "")</f>
        <v>Images</v>
      </c>
      <c r="O3199" s="694" t="s">
        <v>5244</v>
      </c>
      <c r="P3199" s="475"/>
      <c r="Q3199" s="476"/>
      <c r="R3199" s="476"/>
      <c r="S3199" s="477"/>
      <c r="T3199" s="102">
        <f t="shared" si="2426"/>
        <v>0</v>
      </c>
      <c r="U3199" s="78" t="str">
        <f>IF(NOT(ISNUMBER(G3199)), "", VLOOKUP(A3199,'Discount Lookup'!D:E,2,FALSE)*G3199)</f>
        <v/>
      </c>
      <c r="V3199" s="78" t="str">
        <f>IF(NOT(ISNUMBER(G3199)), "", VLOOKUP(A3199,'Discount Lookup'!G:H,2,FALSE)*G3199)</f>
        <v/>
      </c>
      <c r="W3199" s="102">
        <f t="shared" si="2427"/>
        <v>0</v>
      </c>
      <c r="X3199" s="102" t="str">
        <f t="shared" si="2428"/>
        <v>Creamy White bloom</v>
      </c>
      <c r="Y3199" s="120" t="b">
        <f t="shared" si="2429"/>
        <v>0</v>
      </c>
      <c r="Z3199" s="117">
        <f t="shared" si="2430"/>
        <v>0</v>
      </c>
      <c r="AA3199" s="118"/>
      <c r="AB3199" s="118" t="str">
        <f t="shared" si="2431"/>
        <v/>
      </c>
      <c r="AC3199" s="712" t="str">
        <f>IF(AE3199="T2G","no charge",IF(AND(OR(PlanterYesMe="No",PlanterYesMe="N",PlanterYesMe="me"),H3199=""),"",IF(H3199="credit","NO install",IF(AND(K3199="",AE3199="me"),"EACH row",IF(AND(K3199="images",AE3199="me"),"EACH row",IF(D3199="","",IF(H3199="credit","",IF(AE3199="free","re-planting",IF(AE3199="me","   not ELP, by",IF(AND(OR(PlanterYesMe="Yes",PlanterYesMe="Y"),G3199&gt;0),(VLOOKUP(A3199,'Discount Lookup'!J:K,2)*G3199*(1-PlanterDiscount)*(1+PlanterDifficultyPercentage)),IF(AE3199="ELP",(VLOOKUP(A3199,'Discount Lookup'!J:K,2)*G3199*(1-PlanterDiscount)*(1+PlanterDifficultyPercentage)),IF(AE3199="free","re-planting",IF(G3199=0,"",IF(PlanterYesMe="",IF(AE3199="me","   not ELP, by",IF(AE3199="",IF(G3199&gt;0,(VLOOKUP(A3199,'Discount Lookup'!J:K,2)*G3199*(1-PlanterDiscount)*(1+PlanterDifficultyPercentage)),""),"")),"   not ELP, by"))))))))))))))</f>
        <v/>
      </c>
      <c r="AD3199" s="712"/>
      <c r="AE3199" s="513" t="str">
        <f t="shared" si="2432"/>
        <v/>
      </c>
      <c r="AF3199" s="713" t="str">
        <f t="shared" si="2433"/>
        <v/>
      </c>
      <c r="AG3199" s="713"/>
      <c r="AH3199" s="713"/>
      <c r="AI3199" s="112">
        <f>IF(H3199="credit",0,IF(AE3199="free",0,IF(AE3199="me",0,IF(G3199&gt;0,(VLOOKUP(A3199,'Discount Lookup'!J:K,2)*G3199),0))))</f>
        <v>0</v>
      </c>
      <c r="AJ3199" s="107" t="str">
        <f t="shared" ca="1" si="2434"/>
        <v/>
      </c>
      <c r="AK3199" s="714" t="str">
        <f t="shared" si="2435"/>
        <v/>
      </c>
      <c r="AL3199" s="714"/>
      <c r="AM3199" s="114" t="str">
        <f t="shared" si="2436"/>
        <v/>
      </c>
      <c r="AN3199" s="115"/>
      <c r="AO3199" s="116"/>
      <c r="AP3199" s="116"/>
      <c r="AQ3199" s="116"/>
      <c r="AR3199" s="116"/>
      <c r="AS3199" s="116"/>
      <c r="AT3199" s="116"/>
      <c r="AU3199" s="116"/>
      <c r="AV3199" s="78"/>
      <c r="AW3199" s="102"/>
      <c r="AX3199" s="78"/>
      <c r="AY3199" s="78"/>
      <c r="AZ3199" s="78"/>
      <c r="BA3199" s="78"/>
      <c r="BB3199" s="78"/>
      <c r="BC3199" s="78"/>
      <c r="BD3199" s="78"/>
      <c r="BE3199" s="465"/>
      <c r="BF3199" s="165" t="str">
        <f t="shared" si="2437"/>
        <v>https://www.google.com/search?tbm=isch&amp;q=Osmanthus%20x%20fortunei%20%27Carl%20Wheeler%27%20Carl%20Wheeler%20Tea%20Olive</v>
      </c>
      <c r="BG3199" s="165" t="str">
        <f t="shared" si="2438"/>
        <v>O</v>
      </c>
      <c r="BH3199" s="65"/>
      <c r="BI3199" s="65"/>
      <c r="BJ3199" s="65"/>
      <c r="BK3199" s="65"/>
      <c r="BL3199" s="99"/>
      <c r="BM3199" s="99"/>
      <c r="BN3199" s="99"/>
    </row>
    <row r="3200" spans="1:66" s="51" customFormat="1" ht="15.75" x14ac:dyDescent="0.25">
      <c r="A3200" s="478">
        <v>7</v>
      </c>
      <c r="B3200" s="479" t="s">
        <v>291</v>
      </c>
      <c r="C3200" s="480" t="s">
        <v>988</v>
      </c>
      <c r="D3200" s="481" t="s">
        <v>299</v>
      </c>
      <c r="E3200" s="482">
        <v>86.95</v>
      </c>
      <c r="F3200" s="483" t="s">
        <v>292</v>
      </c>
      <c r="G3200" s="484">
        <v>0</v>
      </c>
      <c r="H3200" s="688" t="str">
        <f>IF(G3200=0,"",IF(F3200="Buy",IF(G3200=1,"plant","plants"),IF(F3200&gt;0.01,"warranty","Error")))</f>
        <v/>
      </c>
      <c r="I3200" s="485">
        <f>IF(H3200="free",0,IF(H3200="credit",((E3200*(F3200))*G3200*-1),IF(F3200="Buy",(E3200*G3200),((E3200*(1-F3200))*G3200))))</f>
        <v>0</v>
      </c>
      <c r="J3200" s="485">
        <f>IF(H3200="warranty",0,(I3200*(_xlfn.SINGLE(SalesTaxPercentage))))</f>
        <v>0</v>
      </c>
      <c r="K3200" s="715">
        <f t="shared" ref="K3200" si="2480">I3200+J3200</f>
        <v>0</v>
      </c>
      <c r="L3200" s="715"/>
      <c r="M3200" s="689" t="str">
        <f ca="1">IF(AND(G3200&gt;0,E3200=0),"WARNING - no PRICE inserted",IF(H3200="free","FREE ~ no charge this plant",IF(H3200="credit",CONCATENATE("-$",ROUND(K3200*(1-_xlfn.SINGLE(T2GDiscount))*-1,2)," CREDIT after discount"),IF(_xlfn.SINGLE(T2GDiscount)=0,"",IF(G3200=0,"",IF(F3200="Buy",CONCATENATE("$",ROUND(K3200*(1-_xlfn.SINGLE(T2GDiscount)),2)," with ",(_xlfn.SINGLE(T2GDiscount)*100),"% discount"),CONCATENATE("$",ROUND(K3200*(1-_xlfn.SINGLE(T2GDiscount)),2)," with ",((_xlfn.SINGLE(T2GDiscount)*100+F3200*100)-(_xlfn.SINGLE(T2GDiscount)*100*F3200)),IF(F3200&gt;0,"% discounts",IF(_xlfn.SINGLE(NoWarrantyDiscount)&gt;0,"% discounts","% discount")))))))))</f>
        <v/>
      </c>
      <c r="N3200" s="690"/>
      <c r="O3200" s="486"/>
      <c r="P3200" s="486"/>
      <c r="Q3200" s="486"/>
      <c r="R3200" s="486"/>
      <c r="S3200" s="486"/>
      <c r="T3200" s="102">
        <f t="shared" si="2426"/>
        <v>0</v>
      </c>
      <c r="U3200" s="78">
        <f>IF(NOT(ISNUMBER(G3200)), "", VLOOKUP(A3200,'Discount Lookup'!D:E,2,FALSE)*G3200)</f>
        <v>0</v>
      </c>
      <c r="V3200" s="78">
        <f>IF(NOT(ISNUMBER(G3200)), "", VLOOKUP(A3200,'Discount Lookup'!G:H,2,FALSE)*G3200)</f>
        <v>0</v>
      </c>
      <c r="W3200" s="102">
        <f t="shared" si="2427"/>
        <v>0</v>
      </c>
      <c r="X3200" s="102">
        <f t="shared" si="2428"/>
        <v>0</v>
      </c>
      <c r="Y3200" s="120" t="b">
        <f t="shared" si="2429"/>
        <v>0</v>
      </c>
      <c r="Z3200" s="117">
        <f t="shared" si="2430"/>
        <v>0</v>
      </c>
      <c r="AA3200" s="118"/>
      <c r="AB3200" s="118" t="str">
        <f t="shared" si="2431"/>
        <v/>
      </c>
      <c r="AC3200" s="712" t="str">
        <f>IF(AE3200="T2G","no charge",IF(AND(OR(PlanterYesMe="No",PlanterYesMe="N",PlanterYesMe="me"),H3200=""),"",IF(H3200="credit","NO install",IF(AND(K3200="",AE3200="me"),"EACH row",IF(AND(K3200="images",AE3200="me"),"EACH row",IF(D3200="","",IF(H3200="credit","",IF(AE3200="free","re-planting",IF(AE3200="me","   not ELP, by",IF(AND(OR(PlanterYesMe="Yes",PlanterYesMe="Y"),G3200&gt;0),(VLOOKUP(A3200,'Discount Lookup'!J:K,2)*G3200*(1-PlanterDiscount)*(1+PlanterDifficultyPercentage)),IF(AE3200="ELP",(VLOOKUP(A3200,'Discount Lookup'!J:K,2)*G3200*(1-PlanterDiscount)*(1+PlanterDifficultyPercentage)),IF(AE3200="free","re-planting",IF(G3200=0,"",IF(PlanterYesMe="",IF(AE3200="me","   not ELP, by",IF(AE3200="",IF(G3200&gt;0,(VLOOKUP(A3200,'Discount Lookup'!J:K,2)*G3200*(1-PlanterDiscount)*(1+PlanterDifficultyPercentage)),""),"")),"   not ELP, by"))))))))))))))</f>
        <v/>
      </c>
      <c r="AD3200" s="712"/>
      <c r="AE3200" s="513" t="str">
        <f t="shared" si="2432"/>
        <v/>
      </c>
      <c r="AF3200" s="713" t="str">
        <f t="shared" si="2433"/>
        <v/>
      </c>
      <c r="AG3200" s="713"/>
      <c r="AH3200" s="713"/>
      <c r="AI3200" s="112">
        <f>IF(H3200="credit",0,IF(AE3200="free",0,IF(AE3200="me",0,IF(G3200&gt;0,(VLOOKUP(A3200,'Discount Lookup'!J:K,2)*G3200),0))))</f>
        <v>0</v>
      </c>
      <c r="AJ3200" s="107" t="str">
        <f t="shared" ca="1" si="2434"/>
        <v/>
      </c>
      <c r="AK3200" s="714" t="str">
        <f t="shared" si="2435"/>
        <v/>
      </c>
      <c r="AL3200" s="714"/>
      <c r="AM3200" s="114" t="str">
        <f t="shared" si="2436"/>
        <v/>
      </c>
      <c r="AN3200" s="115"/>
      <c r="AO3200" s="116"/>
      <c r="AP3200" s="116"/>
      <c r="AQ3200" s="116"/>
      <c r="AR3200" s="116"/>
      <c r="AS3200" s="116"/>
      <c r="AT3200" s="116"/>
      <c r="AU3200" s="116"/>
      <c r="AV3200" s="78"/>
      <c r="AW3200" s="102"/>
      <c r="AX3200" s="78"/>
      <c r="AY3200" s="78"/>
      <c r="AZ3200" s="78"/>
      <c r="BA3200" s="78"/>
      <c r="BB3200" s="78"/>
      <c r="BC3200" s="78"/>
      <c r="BD3200" s="78"/>
      <c r="BE3200" s="465"/>
      <c r="BF3200" s="165" t="str">
        <f t="shared" si="2437"/>
        <v>https://www.google.com/search?tbm=isch&amp;q=7%20G4</v>
      </c>
      <c r="BG3200" s="165" t="str">
        <f t="shared" si="2438"/>
        <v>O</v>
      </c>
      <c r="BH3200" s="65"/>
      <c r="BI3200" s="65"/>
      <c r="BJ3200" s="65"/>
      <c r="BK3200" s="65"/>
      <c r="BL3200" s="99"/>
      <c r="BM3200" s="99"/>
      <c r="BN3200" s="99"/>
    </row>
    <row r="3201" spans="1:66" s="51" customFormat="1" ht="15.75" x14ac:dyDescent="0.25">
      <c r="A3201" s="478">
        <v>15</v>
      </c>
      <c r="B3201" s="479" t="s">
        <v>291</v>
      </c>
      <c r="C3201" s="480" t="s">
        <v>989</v>
      </c>
      <c r="D3201" s="481" t="s">
        <v>299</v>
      </c>
      <c r="E3201" s="482">
        <v>155.94999999999999</v>
      </c>
      <c r="F3201" s="483" t="s">
        <v>292</v>
      </c>
      <c r="G3201" s="484">
        <v>0</v>
      </c>
      <c r="H3201" s="688" t="str">
        <f>IF(G3201=0,"",IF(F3201="Buy",IF(G3201=1,"plant","plants"),IF(F3201&gt;0.01,"warranty","Error")))</f>
        <v/>
      </c>
      <c r="I3201" s="485">
        <f>IF(H3201="free",0,IF(H3201="credit",((E3201*(F3201))*G3201*-1),IF(F3201="Buy",(E3201*G3201),((E3201*(1-F3201))*G3201))))</f>
        <v>0</v>
      </c>
      <c r="J3201" s="485">
        <f>IF(H3201="warranty",0,(I3201*(_xlfn.SINGLE(SalesTaxPercentage))))</f>
        <v>0</v>
      </c>
      <c r="K3201" s="715">
        <f t="shared" ref="K3201" si="2481">I3201+J3201</f>
        <v>0</v>
      </c>
      <c r="L3201" s="715"/>
      <c r="M3201" s="689" t="str">
        <f ca="1">IF(AND(G3201&gt;0,E3201=0),"WARNING - no PRICE inserted",IF(H3201="free","FREE ~ no charge this plant",IF(H3201="credit",CONCATENATE("-$",ROUND(K3201*(1-_xlfn.SINGLE(T2GDiscount))*-1,2)," CREDIT after discount"),IF(_xlfn.SINGLE(T2GDiscount)=0,"",IF(G3201=0,"",IF(F3201="Buy",CONCATENATE("$",ROUND(K3201*(1-_xlfn.SINGLE(T2GDiscount)),2)," with ",(_xlfn.SINGLE(T2GDiscount)*100),"% discount"),CONCATENATE("$",ROUND(K3201*(1-_xlfn.SINGLE(T2GDiscount)),2)," with ",((_xlfn.SINGLE(T2GDiscount)*100+F3201*100)-(_xlfn.SINGLE(T2GDiscount)*100*F3201)),IF(F3201&gt;0,"% discounts",IF(_xlfn.SINGLE(NoWarrantyDiscount)&gt;0,"% discounts","% discount")))))))))</f>
        <v/>
      </c>
      <c r="N3201" s="690"/>
      <c r="O3201" s="486"/>
      <c r="P3201" s="486"/>
      <c r="Q3201" s="486"/>
      <c r="R3201" s="486"/>
      <c r="S3201" s="486"/>
      <c r="T3201" s="102">
        <f t="shared" si="2426"/>
        <v>0</v>
      </c>
      <c r="U3201" s="78">
        <f>IF(NOT(ISNUMBER(G3201)), "", VLOOKUP(A3201,'Discount Lookup'!D:E,2,FALSE)*G3201)</f>
        <v>0</v>
      </c>
      <c r="V3201" s="78">
        <f>IF(NOT(ISNUMBER(G3201)), "", VLOOKUP(A3201,'Discount Lookup'!G:H,2,FALSE)*G3201)</f>
        <v>0</v>
      </c>
      <c r="W3201" s="102">
        <f t="shared" si="2427"/>
        <v>0</v>
      </c>
      <c r="X3201" s="102">
        <f t="shared" si="2428"/>
        <v>0</v>
      </c>
      <c r="Y3201" s="120" t="b">
        <f t="shared" si="2429"/>
        <v>0</v>
      </c>
      <c r="Z3201" s="117">
        <f t="shared" si="2430"/>
        <v>0</v>
      </c>
      <c r="AA3201" s="118"/>
      <c r="AB3201" s="118" t="str">
        <f t="shared" si="2431"/>
        <v/>
      </c>
      <c r="AC3201" s="712" t="str">
        <f>IF(AE3201="T2G","no charge",IF(AND(OR(PlanterYesMe="No",PlanterYesMe="N",PlanterYesMe="me"),H3201=""),"",IF(H3201="credit","NO install",IF(AND(K3201="",AE3201="me"),"EACH row",IF(AND(K3201="images",AE3201="me"),"EACH row",IF(D3201="","",IF(H3201="credit","",IF(AE3201="free","re-planting",IF(AE3201="me","   not ELP, by",IF(AND(OR(PlanterYesMe="Yes",PlanterYesMe="Y"),G3201&gt;0),(VLOOKUP(A3201,'Discount Lookup'!J:K,2)*G3201*(1-PlanterDiscount)*(1+PlanterDifficultyPercentage)),IF(AE3201="ELP",(VLOOKUP(A3201,'Discount Lookup'!J:K,2)*G3201*(1-PlanterDiscount)*(1+PlanterDifficultyPercentage)),IF(AE3201="free","re-planting",IF(G3201=0,"",IF(PlanterYesMe="",IF(AE3201="me","   not ELP, by",IF(AE3201="",IF(G3201&gt;0,(VLOOKUP(A3201,'Discount Lookup'!J:K,2)*G3201*(1-PlanterDiscount)*(1+PlanterDifficultyPercentage)),""),"")),"   not ELP, by"))))))))))))))</f>
        <v/>
      </c>
      <c r="AD3201" s="712"/>
      <c r="AE3201" s="513" t="str">
        <f t="shared" si="2432"/>
        <v/>
      </c>
      <c r="AF3201" s="713" t="str">
        <f t="shared" si="2433"/>
        <v/>
      </c>
      <c r="AG3201" s="713"/>
      <c r="AH3201" s="713"/>
      <c r="AI3201" s="112">
        <f>IF(H3201="credit",0,IF(AE3201="free",0,IF(AE3201="me",0,IF(G3201&gt;0,(VLOOKUP(A3201,'Discount Lookup'!J:K,2)*G3201),0))))</f>
        <v>0</v>
      </c>
      <c r="AJ3201" s="107" t="str">
        <f t="shared" ca="1" si="2434"/>
        <v/>
      </c>
      <c r="AK3201" s="714" t="str">
        <f t="shared" si="2435"/>
        <v/>
      </c>
      <c r="AL3201" s="714"/>
      <c r="AM3201" s="114" t="str">
        <f t="shared" si="2436"/>
        <v/>
      </c>
      <c r="AN3201" s="115"/>
      <c r="AO3201" s="116"/>
      <c r="AP3201" s="116"/>
      <c r="AQ3201" s="116"/>
      <c r="AR3201" s="116"/>
      <c r="AS3201" s="116"/>
      <c r="AT3201" s="116"/>
      <c r="AU3201" s="116"/>
      <c r="AV3201" s="78"/>
      <c r="AW3201" s="102"/>
      <c r="AX3201" s="78"/>
      <c r="AY3201" s="78"/>
      <c r="AZ3201" s="78"/>
      <c r="BA3201" s="78"/>
      <c r="BB3201" s="78"/>
      <c r="BC3201" s="78"/>
      <c r="BD3201" s="78"/>
      <c r="BE3201" s="465"/>
      <c r="BF3201" s="165" t="str">
        <f t="shared" si="2437"/>
        <v>https://www.google.com/search?tbm=isch&amp;q=15%20G4</v>
      </c>
      <c r="BG3201" s="165" t="str">
        <f t="shared" si="2438"/>
        <v>O</v>
      </c>
      <c r="BH3201" s="65"/>
      <c r="BI3201" s="65"/>
      <c r="BJ3201" s="65"/>
      <c r="BK3201" s="65"/>
      <c r="BL3201" s="99"/>
      <c r="BM3201" s="99"/>
      <c r="BN3201" s="99"/>
    </row>
    <row r="3202" spans="1:66" s="51" customFormat="1" ht="17.25" thickBot="1" x14ac:dyDescent="0.3">
      <c r="A3202" s="508" t="s">
        <v>649</v>
      </c>
      <c r="B3202" s="487"/>
      <c r="C3202" s="707"/>
      <c r="D3202" s="487"/>
      <c r="E3202" s="487"/>
      <c r="F3202" s="488"/>
      <c r="G3202" s="489"/>
      <c r="H3202" s="487"/>
      <c r="I3202" s="490"/>
      <c r="J3202" s="490"/>
      <c r="K3202" s="491"/>
      <c r="L3202" s="547"/>
      <c r="M3202" s="528"/>
      <c r="N3202" s="492"/>
      <c r="O3202" s="493"/>
      <c r="P3202" s="494"/>
      <c r="Q3202" s="492"/>
      <c r="R3202" s="492"/>
      <c r="S3202" s="699" t="s">
        <v>5283</v>
      </c>
      <c r="T3202" s="102">
        <f t="shared" si="2426"/>
        <v>0</v>
      </c>
      <c r="U3202" s="78" t="str">
        <f>IF(NOT(ISNUMBER(G3202)), "", VLOOKUP(A3202,'Discount Lookup'!D:E,2,FALSE)*G3202)</f>
        <v/>
      </c>
      <c r="V3202" s="78" t="str">
        <f>IF(NOT(ISNUMBER(G3202)), "", VLOOKUP(A3202,'Discount Lookup'!G:H,2,FALSE)*G3202)</f>
        <v/>
      </c>
      <c r="W3202" s="102">
        <f t="shared" si="2427"/>
        <v>0</v>
      </c>
      <c r="X3202" s="102">
        <f t="shared" si="2428"/>
        <v>0</v>
      </c>
      <c r="Y3202" s="120" t="b">
        <f t="shared" si="2429"/>
        <v>0</v>
      </c>
      <c r="Z3202" s="117">
        <f t="shared" si="2430"/>
        <v>0</v>
      </c>
      <c r="AA3202" s="118"/>
      <c r="AB3202" s="118" t="str">
        <f t="shared" si="2431"/>
        <v/>
      </c>
      <c r="AC3202" s="712" t="str">
        <f>IF(AE3202="T2G","no charge",IF(AND(OR(PlanterYesMe="No",PlanterYesMe="N",PlanterYesMe="me"),H3202=""),"",IF(H3202="credit","NO install",IF(AND(K3202="",AE3202="me"),"EACH row",IF(AND(K3202="images",AE3202="me"),"EACH row",IF(D3202="","",IF(H3202="credit","",IF(AE3202="free","re-planting",IF(AE3202="me","   not ELP, by",IF(AND(OR(PlanterYesMe="Yes",PlanterYesMe="Y"),G3202&gt;0),(VLOOKUP(A3202,'Discount Lookup'!J:K,2)*G3202*(1-PlanterDiscount)*(1+PlanterDifficultyPercentage)),IF(AE3202="ELP",(VLOOKUP(A3202,'Discount Lookup'!J:K,2)*G3202*(1-PlanterDiscount)*(1+PlanterDifficultyPercentage)),IF(AE3202="free","re-planting",IF(G3202=0,"",IF(PlanterYesMe="",IF(AE3202="me","   not ELP, by",IF(AE3202="",IF(G3202&gt;0,(VLOOKUP(A3202,'Discount Lookup'!J:K,2)*G3202*(1-PlanterDiscount)*(1+PlanterDifficultyPercentage)),""),"")),"   not ELP, by"))))))))))))))</f>
        <v/>
      </c>
      <c r="AD3202" s="712"/>
      <c r="AE3202" s="513" t="str">
        <f t="shared" si="2432"/>
        <v/>
      </c>
      <c r="AF3202" s="713" t="str">
        <f t="shared" si="2433"/>
        <v/>
      </c>
      <c r="AG3202" s="713"/>
      <c r="AH3202" s="713"/>
      <c r="AI3202" s="112">
        <f>IF(H3202="credit",0,IF(AE3202="free",0,IF(AE3202="me",0,IF(G3202&gt;0,(VLOOKUP(A3202,'Discount Lookup'!J:K,2)*G3202),0))))</f>
        <v>0</v>
      </c>
      <c r="AJ3202" s="107" t="str">
        <f t="shared" ca="1" si="2434"/>
        <v/>
      </c>
      <c r="AK3202" s="714" t="str">
        <f t="shared" si="2435"/>
        <v/>
      </c>
      <c r="AL3202" s="714"/>
      <c r="AM3202" s="114" t="str">
        <f t="shared" si="2436"/>
        <v/>
      </c>
      <c r="AN3202" s="115"/>
      <c r="AO3202" s="116"/>
      <c r="AP3202" s="116"/>
      <c r="AQ3202" s="116"/>
      <c r="AR3202" s="116"/>
      <c r="AS3202" s="116"/>
      <c r="AT3202" s="116"/>
      <c r="AU3202" s="116"/>
      <c r="AV3202" s="78"/>
      <c r="AW3202" s="102"/>
      <c r="AX3202" s="78"/>
      <c r="AY3202" s="78"/>
      <c r="AZ3202" s="78"/>
      <c r="BA3202" s="78"/>
      <c r="BB3202" s="78"/>
      <c r="BC3202" s="78"/>
      <c r="BD3202" s="78"/>
      <c r="BE3202" s="465"/>
      <c r="BF3202" s="165" t="str">
        <f t="shared" si="2437"/>
        <v>https://www.google.com/search?tbm=isch&amp;q=Carl%20Wheeler%20is%20exceptionally%20more%20fragrant%2C%20and%2C%20more%20cold%20hardy%20thean%20other%20Tea%20Olive%20</v>
      </c>
      <c r="BG3202" s="165" t="str">
        <f t="shared" si="2438"/>
        <v>C</v>
      </c>
      <c r="BH3202" s="65"/>
      <c r="BI3202" s="65"/>
      <c r="BJ3202" s="65"/>
      <c r="BK3202" s="65"/>
      <c r="BL3202" s="99"/>
      <c r="BM3202" s="99"/>
      <c r="BN3202" s="99"/>
    </row>
    <row r="3203" spans="1:66" s="51" customFormat="1" ht="18" x14ac:dyDescent="0.25">
      <c r="A3203" s="507" t="s">
        <v>650</v>
      </c>
      <c r="B3203" s="470"/>
      <c r="C3203" s="706"/>
      <c r="D3203" s="471" t="s">
        <v>651</v>
      </c>
      <c r="E3203" s="472"/>
      <c r="F3203" s="472"/>
      <c r="G3203" s="472"/>
      <c r="H3203" s="622" t="s">
        <v>327</v>
      </c>
      <c r="I3203" s="473" t="s">
        <v>349</v>
      </c>
      <c r="J3203" s="472"/>
      <c r="K3203" s="472"/>
      <c r="L3203" s="561"/>
      <c r="M3203" s="698" t="s">
        <v>5243</v>
      </c>
      <c r="N3203" s="692" t="str">
        <f>IF(AND(ISTEXT($A3203), ISERROR($A3203+0)), HYPERLINK($BF3203, "Images"), "")</f>
        <v>Images</v>
      </c>
      <c r="O3203" s="694" t="s">
        <v>5244</v>
      </c>
      <c r="P3203" s="475"/>
      <c r="Q3203" s="476"/>
      <c r="R3203" s="476"/>
      <c r="S3203" s="477"/>
      <c r="T3203" s="102">
        <f t="shared" si="2426"/>
        <v>0</v>
      </c>
      <c r="U3203" s="78" t="str">
        <f>IF(NOT(ISNUMBER(G3203)), "", VLOOKUP(A3203,'Discount Lookup'!D:E,2,FALSE)*G3203)</f>
        <v/>
      </c>
      <c r="V3203" s="78" t="str">
        <f>IF(NOT(ISNUMBER(G3203)), "", VLOOKUP(A3203,'Discount Lookup'!G:H,2,FALSE)*G3203)</f>
        <v/>
      </c>
      <c r="W3203" s="102">
        <f t="shared" si="2427"/>
        <v>0</v>
      </c>
      <c r="X3203" s="102" t="str">
        <f t="shared" si="2428"/>
        <v>White bloom</v>
      </c>
      <c r="Y3203" s="120" t="b">
        <f t="shared" si="2429"/>
        <v>0</v>
      </c>
      <c r="Z3203" s="117">
        <f t="shared" si="2430"/>
        <v>0</v>
      </c>
      <c r="AA3203" s="118"/>
      <c r="AB3203" s="118" t="str">
        <f t="shared" si="2431"/>
        <v/>
      </c>
      <c r="AC3203" s="712" t="str">
        <f>IF(AE3203="T2G","no charge",IF(AND(OR(PlanterYesMe="No",PlanterYesMe="N",PlanterYesMe="me"),H3203=""),"",IF(H3203="credit","NO install",IF(AND(K3203="",AE3203="me"),"EACH row",IF(AND(K3203="images",AE3203="me"),"EACH row",IF(D3203="","",IF(H3203="credit","",IF(AE3203="free","re-planting",IF(AE3203="me","   not ELP, by",IF(AND(OR(PlanterYesMe="Yes",PlanterYesMe="Y"),G3203&gt;0),(VLOOKUP(A3203,'Discount Lookup'!J:K,2)*G3203*(1-PlanterDiscount)*(1+PlanterDifficultyPercentage)),IF(AE3203="ELP",(VLOOKUP(A3203,'Discount Lookup'!J:K,2)*G3203*(1-PlanterDiscount)*(1+PlanterDifficultyPercentage)),IF(AE3203="free","re-planting",IF(G3203=0,"",IF(PlanterYesMe="",IF(AE3203="me","   not ELP, by",IF(AE3203="",IF(G3203&gt;0,(VLOOKUP(A3203,'Discount Lookup'!J:K,2)*G3203*(1-PlanterDiscount)*(1+PlanterDifficultyPercentage)),""),"")),"   not ELP, by"))))))))))))))</f>
        <v/>
      </c>
      <c r="AD3203" s="712"/>
      <c r="AE3203" s="513" t="str">
        <f t="shared" si="2432"/>
        <v/>
      </c>
      <c r="AF3203" s="713" t="str">
        <f t="shared" si="2433"/>
        <v/>
      </c>
      <c r="AG3203" s="713"/>
      <c r="AH3203" s="713"/>
      <c r="AI3203" s="112">
        <f>IF(H3203="credit",0,IF(AE3203="free",0,IF(AE3203="me",0,IF(G3203&gt;0,(VLOOKUP(A3203,'Discount Lookup'!J:K,2)*G3203),0))))</f>
        <v>0</v>
      </c>
      <c r="AJ3203" s="107" t="str">
        <f t="shared" ca="1" si="2434"/>
        <v/>
      </c>
      <c r="AK3203" s="714" t="str">
        <f t="shared" si="2435"/>
        <v/>
      </c>
      <c r="AL3203" s="714"/>
      <c r="AM3203" s="114" t="str">
        <f t="shared" si="2436"/>
        <v/>
      </c>
      <c r="AN3203" s="115"/>
      <c r="AO3203" s="116"/>
      <c r="AP3203" s="116"/>
      <c r="AQ3203" s="116"/>
      <c r="AR3203" s="116"/>
      <c r="AS3203" s="116"/>
      <c r="AT3203" s="116"/>
      <c r="AU3203" s="116"/>
      <c r="AV3203" s="78"/>
      <c r="AW3203" s="102"/>
      <c r="AX3203" s="78"/>
      <c r="AY3203" s="78"/>
      <c r="AZ3203" s="78"/>
      <c r="BA3203" s="78"/>
      <c r="BB3203" s="78"/>
      <c r="BC3203" s="78"/>
      <c r="BD3203" s="78"/>
      <c r="BE3203" s="465"/>
      <c r="BF3203" s="165" t="str">
        <f t="shared" si="2437"/>
        <v>https://www.google.com/search?tbm=isch&amp;q=Osmanthus%20x%20fortunei%20%27Fruitlandii%27%20Fruitlandii%20Tea%20Olive</v>
      </c>
      <c r="BG3203" s="165" t="str">
        <f t="shared" si="2438"/>
        <v>O</v>
      </c>
      <c r="BH3203" s="65"/>
      <c r="BI3203" s="65"/>
      <c r="BJ3203" s="65"/>
      <c r="BK3203" s="65"/>
      <c r="BL3203" s="99"/>
      <c r="BM3203" s="99"/>
      <c r="BN3203" s="99"/>
    </row>
    <row r="3204" spans="1:66" s="51" customFormat="1" ht="15.75" x14ac:dyDescent="0.25">
      <c r="A3204" s="478">
        <v>7</v>
      </c>
      <c r="B3204" s="479" t="s">
        <v>291</v>
      </c>
      <c r="C3204" s="480" t="s">
        <v>990</v>
      </c>
      <c r="D3204" s="481" t="s">
        <v>299</v>
      </c>
      <c r="E3204" s="482">
        <v>86.95</v>
      </c>
      <c r="F3204" s="483" t="s">
        <v>292</v>
      </c>
      <c r="G3204" s="484">
        <v>0</v>
      </c>
      <c r="H3204" s="688" t="str">
        <f>IF(G3204=0,"",IF(F3204="Buy",IF(G3204=1,"plant","plants"),IF(F3204&gt;0.01,"warranty","Error")))</f>
        <v/>
      </c>
      <c r="I3204" s="485">
        <f>IF(H3204="free",0,IF(H3204="credit",((E3204*(F3204))*G3204*-1),IF(F3204="Buy",(E3204*G3204),((E3204*(1-F3204))*G3204))))</f>
        <v>0</v>
      </c>
      <c r="J3204" s="485">
        <f>IF(H3204="warranty",0,(I3204*(_xlfn.SINGLE(SalesTaxPercentage))))</f>
        <v>0</v>
      </c>
      <c r="K3204" s="715">
        <f t="shared" ref="K3204" si="2482">I3204+J3204</f>
        <v>0</v>
      </c>
      <c r="L3204" s="715"/>
      <c r="M3204" s="689" t="str">
        <f ca="1">IF(AND(G3204&gt;0,E3204=0),"WARNING - no PRICE inserted",IF(H3204="free","FREE ~ no charge this plant",IF(H3204="credit",CONCATENATE("-$",ROUND(K3204*(1-_xlfn.SINGLE(T2GDiscount))*-1,2)," CREDIT after discount"),IF(_xlfn.SINGLE(T2GDiscount)=0,"",IF(G3204=0,"",IF(F3204="Buy",CONCATENATE("$",ROUND(K3204*(1-_xlfn.SINGLE(T2GDiscount)),2)," with ",(_xlfn.SINGLE(T2GDiscount)*100),"% discount"),CONCATENATE("$",ROUND(K3204*(1-_xlfn.SINGLE(T2GDiscount)),2)," with ",((_xlfn.SINGLE(T2GDiscount)*100+F3204*100)-(_xlfn.SINGLE(T2GDiscount)*100*F3204)),IF(F3204&gt;0,"% discounts",IF(_xlfn.SINGLE(NoWarrantyDiscount)&gt;0,"% discounts","% discount")))))))))</f>
        <v/>
      </c>
      <c r="N3204" s="690"/>
      <c r="O3204" s="486"/>
      <c r="P3204" s="486"/>
      <c r="Q3204" s="486"/>
      <c r="R3204" s="486"/>
      <c r="S3204" s="486"/>
      <c r="T3204" s="102">
        <f t="shared" si="2426"/>
        <v>0</v>
      </c>
      <c r="U3204" s="78">
        <f>IF(NOT(ISNUMBER(G3204)), "", VLOOKUP(A3204,'Discount Lookup'!D:E,2,FALSE)*G3204)</f>
        <v>0</v>
      </c>
      <c r="V3204" s="78">
        <f>IF(NOT(ISNUMBER(G3204)), "", VLOOKUP(A3204,'Discount Lookup'!G:H,2,FALSE)*G3204)</f>
        <v>0</v>
      </c>
      <c r="W3204" s="102">
        <f t="shared" si="2427"/>
        <v>0</v>
      </c>
      <c r="X3204" s="102">
        <f t="shared" si="2428"/>
        <v>0</v>
      </c>
      <c r="Y3204" s="120" t="b">
        <f t="shared" si="2429"/>
        <v>0</v>
      </c>
      <c r="Z3204" s="117">
        <f t="shared" si="2430"/>
        <v>0</v>
      </c>
      <c r="AA3204" s="118"/>
      <c r="AB3204" s="118" t="str">
        <f t="shared" si="2431"/>
        <v/>
      </c>
      <c r="AC3204" s="712" t="str">
        <f>IF(AE3204="T2G","no charge",IF(AND(OR(PlanterYesMe="No",PlanterYesMe="N",PlanterYesMe="me"),H3204=""),"",IF(H3204="credit","NO install",IF(AND(K3204="",AE3204="me"),"EACH row",IF(AND(K3204="images",AE3204="me"),"EACH row",IF(D3204="","",IF(H3204="credit","",IF(AE3204="free","re-planting",IF(AE3204="me","   not ELP, by",IF(AND(OR(PlanterYesMe="Yes",PlanterYesMe="Y"),G3204&gt;0),(VLOOKUP(A3204,'Discount Lookup'!J:K,2)*G3204*(1-PlanterDiscount)*(1+PlanterDifficultyPercentage)),IF(AE3204="ELP",(VLOOKUP(A3204,'Discount Lookup'!J:K,2)*G3204*(1-PlanterDiscount)*(1+PlanterDifficultyPercentage)),IF(AE3204="free","re-planting",IF(G3204=0,"",IF(PlanterYesMe="",IF(AE3204="me","   not ELP, by",IF(AE3204="",IF(G3204&gt;0,(VLOOKUP(A3204,'Discount Lookup'!J:K,2)*G3204*(1-PlanterDiscount)*(1+PlanterDifficultyPercentage)),""),"")),"   not ELP, by"))))))))))))))</f>
        <v/>
      </c>
      <c r="AD3204" s="712"/>
      <c r="AE3204" s="513" t="str">
        <f t="shared" si="2432"/>
        <v/>
      </c>
      <c r="AF3204" s="713" t="str">
        <f t="shared" si="2433"/>
        <v/>
      </c>
      <c r="AG3204" s="713"/>
      <c r="AH3204" s="713"/>
      <c r="AI3204" s="112">
        <f>IF(H3204="credit",0,IF(AE3204="free",0,IF(AE3204="me",0,IF(G3204&gt;0,(VLOOKUP(A3204,'Discount Lookup'!J:K,2)*G3204),0))))</f>
        <v>0</v>
      </c>
      <c r="AJ3204" s="107" t="str">
        <f t="shared" ca="1" si="2434"/>
        <v/>
      </c>
      <c r="AK3204" s="714" t="str">
        <f t="shared" si="2435"/>
        <v/>
      </c>
      <c r="AL3204" s="714"/>
      <c r="AM3204" s="114" t="str">
        <f t="shared" si="2436"/>
        <v/>
      </c>
      <c r="AN3204" s="115"/>
      <c r="AO3204" s="116"/>
      <c r="AP3204" s="116"/>
      <c r="AQ3204" s="116"/>
      <c r="AR3204" s="116"/>
      <c r="AS3204" s="116"/>
      <c r="AT3204" s="116"/>
      <c r="AU3204" s="116"/>
      <c r="AV3204" s="78"/>
      <c r="AW3204" s="102"/>
      <c r="AX3204" s="78"/>
      <c r="AY3204" s="78"/>
      <c r="AZ3204" s="78"/>
      <c r="BA3204" s="78"/>
      <c r="BB3204" s="78"/>
      <c r="BC3204" s="78"/>
      <c r="BD3204" s="78"/>
      <c r="BE3204" s="465"/>
      <c r="BF3204" s="165" t="str">
        <f t="shared" si="2437"/>
        <v>https://www.google.com/search?tbm=isch&amp;q=7%20G4</v>
      </c>
      <c r="BG3204" s="165" t="str">
        <f t="shared" si="2438"/>
        <v>O</v>
      </c>
      <c r="BH3204" s="65"/>
      <c r="BI3204" s="65"/>
      <c r="BJ3204" s="65"/>
      <c r="BK3204" s="65"/>
      <c r="BL3204" s="99"/>
      <c r="BM3204" s="99"/>
      <c r="BN3204" s="99"/>
    </row>
    <row r="3205" spans="1:66" s="51" customFormat="1" ht="16.5" x14ac:dyDescent="0.25">
      <c r="A3205" s="508" t="s">
        <v>652</v>
      </c>
      <c r="B3205" s="487"/>
      <c r="C3205" s="707"/>
      <c r="D3205" s="487"/>
      <c r="E3205" s="487"/>
      <c r="F3205" s="488"/>
      <c r="G3205" s="489"/>
      <c r="H3205" s="487"/>
      <c r="I3205" s="490"/>
      <c r="J3205" s="490"/>
      <c r="K3205" s="491"/>
      <c r="L3205" s="547"/>
      <c r="M3205" s="528"/>
      <c r="N3205" s="492"/>
      <c r="O3205" s="493"/>
      <c r="P3205" s="494"/>
      <c r="Q3205" s="492"/>
      <c r="R3205" s="492"/>
      <c r="S3205" s="699" t="s">
        <v>5283</v>
      </c>
      <c r="T3205" s="102">
        <f t="shared" si="2426"/>
        <v>0</v>
      </c>
      <c r="U3205" s="78" t="str">
        <f>IF(NOT(ISNUMBER(G3205)), "", VLOOKUP(A3205,'Discount Lookup'!D:E,2,FALSE)*G3205)</f>
        <v/>
      </c>
      <c r="V3205" s="78" t="str">
        <f>IF(NOT(ISNUMBER(G3205)), "", VLOOKUP(A3205,'Discount Lookup'!G:H,2,FALSE)*G3205)</f>
        <v/>
      </c>
      <c r="W3205" s="102">
        <f t="shared" si="2427"/>
        <v>0</v>
      </c>
      <c r="X3205" s="102">
        <f t="shared" si="2428"/>
        <v>0</v>
      </c>
      <c r="Y3205" s="120" t="b">
        <f t="shared" si="2429"/>
        <v>0</v>
      </c>
      <c r="Z3205" s="117">
        <f t="shared" si="2430"/>
        <v>0</v>
      </c>
      <c r="AA3205" s="118"/>
      <c r="AB3205" s="118" t="str">
        <f t="shared" si="2431"/>
        <v/>
      </c>
      <c r="AC3205" s="712" t="str">
        <f>IF(AE3205="T2G","no charge",IF(AND(OR(PlanterYesMe="No",PlanterYesMe="N",PlanterYesMe="me"),H3205=""),"",IF(H3205="credit","NO install",IF(AND(K3205="",AE3205="me"),"EACH row",IF(AND(K3205="images",AE3205="me"),"EACH row",IF(D3205="","",IF(H3205="credit","",IF(AE3205="free","re-planting",IF(AE3205="me","   not ELP, by",IF(AND(OR(PlanterYesMe="Yes",PlanterYesMe="Y"),G3205&gt;0),(VLOOKUP(A3205,'Discount Lookup'!J:K,2)*G3205*(1-PlanterDiscount)*(1+PlanterDifficultyPercentage)),IF(AE3205="ELP",(VLOOKUP(A3205,'Discount Lookup'!J:K,2)*G3205*(1-PlanterDiscount)*(1+PlanterDifficultyPercentage)),IF(AE3205="free","re-planting",IF(G3205=0,"",IF(PlanterYesMe="",IF(AE3205="me","   not ELP, by",IF(AE3205="",IF(G3205&gt;0,(VLOOKUP(A3205,'Discount Lookup'!J:K,2)*G3205*(1-PlanterDiscount)*(1+PlanterDifficultyPercentage)),""),"")),"   not ELP, by"))))))))))))))</f>
        <v/>
      </c>
      <c r="AD3205" s="712"/>
      <c r="AE3205" s="513" t="str">
        <f t="shared" si="2432"/>
        <v/>
      </c>
      <c r="AF3205" s="713" t="str">
        <f t="shared" si="2433"/>
        <v/>
      </c>
      <c r="AG3205" s="713"/>
      <c r="AH3205" s="713"/>
      <c r="AI3205" s="112">
        <f>IF(H3205="credit",0,IF(AE3205="free",0,IF(AE3205="me",0,IF(G3205&gt;0,(VLOOKUP(A3205,'Discount Lookup'!J:K,2)*G3205),0))))</f>
        <v>0</v>
      </c>
      <c r="AJ3205" s="107" t="str">
        <f t="shared" ca="1" si="2434"/>
        <v/>
      </c>
      <c r="AK3205" s="714" t="str">
        <f t="shared" si="2435"/>
        <v/>
      </c>
      <c r="AL3205" s="714"/>
      <c r="AM3205" s="114" t="str">
        <f t="shared" si="2436"/>
        <v/>
      </c>
      <c r="AN3205" s="115"/>
      <c r="AO3205" s="116"/>
      <c r="AP3205" s="116"/>
      <c r="AQ3205" s="116"/>
      <c r="AR3205" s="116"/>
      <c r="AS3205" s="116"/>
      <c r="AT3205" s="116"/>
      <c r="AU3205" s="116"/>
      <c r="AV3205" s="78"/>
      <c r="AW3205" s="102"/>
      <c r="AX3205" s="78"/>
      <c r="AY3205" s="78"/>
      <c r="AZ3205" s="78"/>
      <c r="BA3205" s="78"/>
      <c r="BB3205" s="78"/>
      <c r="BC3205" s="78"/>
      <c r="BD3205" s="78"/>
      <c r="BE3205" s="465"/>
      <c r="BF3205" s="165" t="str">
        <f t="shared" si="2437"/>
        <v>https://www.google.com/search?tbm=isch&amp;q=Fruitlandii%20has%20abundant%20fall%20blooming%20fragrant%20flowers%20that%20perist%20into%20winter%20</v>
      </c>
      <c r="BG3205" s="165" t="str">
        <f t="shared" si="2438"/>
        <v>F</v>
      </c>
      <c r="BH3205" s="65"/>
      <c r="BI3205" s="65"/>
      <c r="BJ3205" s="65"/>
      <c r="BK3205" s="65"/>
      <c r="BL3205" s="99"/>
      <c r="BM3205" s="99"/>
      <c r="BN3205" s="99"/>
    </row>
    <row r="3206" spans="1:66" s="51" customFormat="1" ht="19.5" thickBot="1" x14ac:dyDescent="0.3">
      <c r="A3206" s="686" t="s">
        <v>653</v>
      </c>
      <c r="B3206" s="73"/>
      <c r="C3206" s="708"/>
      <c r="D3206" s="73"/>
      <c r="E3206" s="73"/>
      <c r="F3206" s="496"/>
      <c r="G3206" s="73"/>
      <c r="H3206" s="73"/>
      <c r="I3206" s="73"/>
      <c r="J3206" s="497" t="s">
        <v>357</v>
      </c>
      <c r="K3206" s="498"/>
      <c r="L3206" s="562"/>
      <c r="M3206" s="73"/>
      <c r="N3206"/>
      <c r="O3206"/>
      <c r="P3206"/>
      <c r="Q3206"/>
      <c r="R3206"/>
      <c r="S3206"/>
      <c r="T3206" s="102">
        <f t="shared" si="2426"/>
        <v>0</v>
      </c>
      <c r="U3206" s="78" t="str">
        <f>IF(NOT(ISNUMBER(G3206)), "", VLOOKUP(A3206,'Discount Lookup'!D:E,2,FALSE)*G3206)</f>
        <v/>
      </c>
      <c r="V3206" s="78" t="str">
        <f>IF(NOT(ISNUMBER(G3206)), "", VLOOKUP(A3206,'Discount Lookup'!G:H,2,FALSE)*G3206)</f>
        <v/>
      </c>
      <c r="W3206" s="102">
        <f t="shared" si="2427"/>
        <v>0</v>
      </c>
      <c r="X3206" s="102">
        <f t="shared" si="2428"/>
        <v>0</v>
      </c>
      <c r="Y3206" s="120" t="b">
        <f t="shared" si="2429"/>
        <v>0</v>
      </c>
      <c r="Z3206" s="117">
        <f t="shared" si="2430"/>
        <v>0</v>
      </c>
      <c r="AA3206" s="118"/>
      <c r="AB3206" s="118" t="str">
        <f t="shared" si="2431"/>
        <v/>
      </c>
      <c r="AC3206" s="712" t="str">
        <f>IF(AE3206="T2G","no charge",IF(AND(OR(PlanterYesMe="No",PlanterYesMe="N",PlanterYesMe="me"),H3206=""),"",IF(H3206="credit","NO install",IF(AND(K3206="",AE3206="me"),"EACH row",IF(AND(K3206="images",AE3206="me"),"EACH row",IF(D3206="","",IF(H3206="credit","",IF(AE3206="free","re-planting",IF(AE3206="me","   not ELP, by",IF(AND(OR(PlanterYesMe="Yes",PlanterYesMe="Y"),G3206&gt;0),(VLOOKUP(A3206,'Discount Lookup'!J:K,2)*G3206*(1-PlanterDiscount)*(1+PlanterDifficultyPercentage)),IF(AE3206="ELP",(VLOOKUP(A3206,'Discount Lookup'!J:K,2)*G3206*(1-PlanterDiscount)*(1+PlanterDifficultyPercentage)),IF(AE3206="free","re-planting",IF(G3206=0,"",IF(PlanterYesMe="",IF(AE3206="me","   not ELP, by",IF(AE3206="",IF(G3206&gt;0,(VLOOKUP(A3206,'Discount Lookup'!J:K,2)*G3206*(1-PlanterDiscount)*(1+PlanterDifficultyPercentage)),""),"")),"   not ELP, by"))))))))))))))</f>
        <v/>
      </c>
      <c r="AD3206" s="712"/>
      <c r="AE3206" s="513" t="str">
        <f t="shared" si="2432"/>
        <v/>
      </c>
      <c r="AF3206" s="713" t="str">
        <f t="shared" si="2433"/>
        <v/>
      </c>
      <c r="AG3206" s="713"/>
      <c r="AH3206" s="713"/>
      <c r="AI3206" s="112">
        <f>IF(H3206="credit",0,IF(AE3206="free",0,IF(AE3206="me",0,IF(G3206&gt;0,(VLOOKUP(A3206,'Discount Lookup'!J:K,2)*G3206),0))))</f>
        <v>0</v>
      </c>
      <c r="AJ3206" s="107" t="str">
        <f t="shared" ca="1" si="2434"/>
        <v/>
      </c>
      <c r="AK3206" s="714" t="str">
        <f t="shared" si="2435"/>
        <v/>
      </c>
      <c r="AL3206" s="714"/>
      <c r="AM3206" s="114" t="str">
        <f t="shared" si="2436"/>
        <v/>
      </c>
      <c r="AN3206" s="115"/>
      <c r="AO3206" s="116"/>
      <c r="AP3206" s="116"/>
      <c r="AQ3206" s="116"/>
      <c r="AR3206" s="116"/>
      <c r="AS3206" s="116"/>
      <c r="AT3206" s="116"/>
      <c r="AU3206" s="116"/>
      <c r="AV3206" s="78"/>
      <c r="AW3206" s="102"/>
      <c r="AX3206" s="78"/>
      <c r="AY3206" s="78"/>
      <c r="AZ3206" s="78"/>
      <c r="BA3206" s="78"/>
      <c r="BB3206" s="78"/>
      <c r="BC3206" s="78"/>
      <c r="BD3206" s="78"/>
      <c r="BE3206" s="465"/>
      <c r="BF3206" s="165" t="str">
        <f t="shared" si="2437"/>
        <v>https://www.google.com/search?tbm=isch&amp;q=Osmunda%20%3D%20Cinnamon%20Fern%20</v>
      </c>
      <c r="BG3206" s="165" t="str">
        <f t="shared" si="2438"/>
        <v>O</v>
      </c>
      <c r="BH3206" s="65"/>
      <c r="BI3206" s="65"/>
      <c r="BJ3206" s="65"/>
      <c r="BK3206" s="65"/>
      <c r="BL3206" s="99"/>
      <c r="BM3206" s="99"/>
      <c r="BN3206" s="99"/>
    </row>
    <row r="3207" spans="1:66" s="51" customFormat="1" ht="18" x14ac:dyDescent="0.25">
      <c r="A3207" s="623" t="s">
        <v>3735</v>
      </c>
      <c r="B3207" s="624"/>
      <c r="C3207" s="709"/>
      <c r="D3207" s="625" t="s">
        <v>3736</v>
      </c>
      <c r="E3207" s="626"/>
      <c r="F3207" s="626"/>
      <c r="G3207" s="626"/>
      <c r="H3207" s="622" t="s">
        <v>1071</v>
      </c>
      <c r="I3207" s="627" t="s">
        <v>4879</v>
      </c>
      <c r="J3207" s="628"/>
      <c r="K3207" s="628"/>
      <c r="L3207" s="629"/>
      <c r="M3207" s="702" t="s">
        <v>5256</v>
      </c>
      <c r="N3207" s="693" t="str">
        <f>IF(AND(ISTEXT($A3207), ISERROR($A3207+0)), HYPERLINK($BF3207, "Images"), "")</f>
        <v>Images</v>
      </c>
      <c r="O3207" s="695" t="s">
        <v>5244</v>
      </c>
      <c r="P3207" s="630"/>
      <c r="Q3207" s="631"/>
      <c r="R3207" s="632"/>
      <c r="S3207" s="633"/>
      <c r="T3207" s="102">
        <f t="shared" si="2426"/>
        <v>0</v>
      </c>
      <c r="U3207" s="78" t="str">
        <f>IF(NOT(ISNUMBER(G3207)), "", VLOOKUP(A3207,'Discount Lookup'!D:E,2,FALSE)*G3207)</f>
        <v/>
      </c>
      <c r="V3207" s="78" t="str">
        <f>IF(NOT(ISNUMBER(G3207)), "", VLOOKUP(A3207,'Discount Lookup'!G:H,2,FALSE)*G3207)</f>
        <v/>
      </c>
      <c r="W3207" s="102">
        <f t="shared" si="2427"/>
        <v>0</v>
      </c>
      <c r="X3207" s="102" t="str">
        <f t="shared" si="2428"/>
        <v>Green fronds</v>
      </c>
      <c r="Y3207" s="120" t="b">
        <f t="shared" si="2429"/>
        <v>0</v>
      </c>
      <c r="Z3207" s="117">
        <f t="shared" si="2430"/>
        <v>0</v>
      </c>
      <c r="AA3207" s="118"/>
      <c r="AB3207" s="118" t="str">
        <f t="shared" si="2431"/>
        <v/>
      </c>
      <c r="AC3207" s="712" t="str">
        <f>IF(AE3207="T2G","no charge",IF(AND(OR(PlanterYesMe="No",PlanterYesMe="N",PlanterYesMe="me"),H3207=""),"",IF(H3207="credit","NO install",IF(AND(K3207="",AE3207="me"),"EACH row",IF(AND(K3207="images",AE3207="me"),"EACH row",IF(D3207="","",IF(H3207="credit","",IF(AE3207="free","re-planting",IF(AE3207="me","   not ELP, by",IF(AND(OR(PlanterYesMe="Yes",PlanterYesMe="Y"),G3207&gt;0),(VLOOKUP(A3207,'Discount Lookup'!J:K,2)*G3207*(1-PlanterDiscount)*(1+PlanterDifficultyPercentage)),IF(AE3207="ELP",(VLOOKUP(A3207,'Discount Lookup'!J:K,2)*G3207*(1-PlanterDiscount)*(1+PlanterDifficultyPercentage)),IF(AE3207="free","re-planting",IF(G3207=0,"",IF(PlanterYesMe="",IF(AE3207="me","   not ELP, by",IF(AE3207="",IF(G3207&gt;0,(VLOOKUP(A3207,'Discount Lookup'!J:K,2)*G3207*(1-PlanterDiscount)*(1+PlanterDifficultyPercentage)),""),"")),"   not ELP, by"))))))))))))))</f>
        <v/>
      </c>
      <c r="AD3207" s="712"/>
      <c r="AE3207" s="513" t="str">
        <f t="shared" si="2432"/>
        <v/>
      </c>
      <c r="AF3207" s="713" t="str">
        <f t="shared" si="2433"/>
        <v/>
      </c>
      <c r="AG3207" s="713"/>
      <c r="AH3207" s="713"/>
      <c r="AI3207" s="112">
        <f>IF(H3207="credit",0,IF(AE3207="free",0,IF(AE3207="me",0,IF(G3207&gt;0,(VLOOKUP(A3207,'Discount Lookup'!J:K,2)*G3207),0))))</f>
        <v>0</v>
      </c>
      <c r="AJ3207" s="107" t="str">
        <f t="shared" ca="1" si="2434"/>
        <v/>
      </c>
      <c r="AK3207" s="714" t="str">
        <f t="shared" si="2435"/>
        <v/>
      </c>
      <c r="AL3207" s="714"/>
      <c r="AM3207" s="114" t="str">
        <f t="shared" si="2436"/>
        <v/>
      </c>
      <c r="AN3207" s="115"/>
      <c r="AO3207" s="116"/>
      <c r="AP3207" s="116"/>
      <c r="AQ3207" s="116"/>
      <c r="AR3207" s="116"/>
      <c r="AS3207" s="116"/>
      <c r="AT3207" s="116"/>
      <c r="AU3207" s="116"/>
      <c r="AV3207" s="78"/>
      <c r="AW3207" s="102"/>
      <c r="AX3207" s="78"/>
      <c r="AY3207" s="78"/>
      <c r="AZ3207" s="78"/>
      <c r="BA3207" s="78"/>
      <c r="BB3207" s="78"/>
      <c r="BC3207" s="78"/>
      <c r="BD3207" s="78"/>
      <c r="BE3207" s="465"/>
      <c r="BF3207" s="165" t="str">
        <f t="shared" si="2437"/>
        <v>https://www.google.com/search?tbm=isch&amp;q=Osmunda%20cinnamomea%20Cinnamon%20Fern</v>
      </c>
      <c r="BG3207" s="165" t="str">
        <f t="shared" si="2438"/>
        <v>O</v>
      </c>
      <c r="BH3207" s="65"/>
      <c r="BI3207" s="65"/>
      <c r="BJ3207" s="65"/>
      <c r="BK3207" s="65"/>
      <c r="BL3207" s="99"/>
      <c r="BM3207" s="99"/>
      <c r="BN3207" s="99"/>
    </row>
    <row r="3208" spans="1:66" s="51" customFormat="1" ht="15.75" x14ac:dyDescent="0.25">
      <c r="A3208" s="634">
        <v>1</v>
      </c>
      <c r="B3208" s="635" t="s">
        <v>291</v>
      </c>
      <c r="C3208" s="636"/>
      <c r="D3208" s="637" t="s">
        <v>329</v>
      </c>
      <c r="E3208" s="638">
        <v>11.95</v>
      </c>
      <c r="F3208" s="639" t="s">
        <v>292</v>
      </c>
      <c r="G3208" s="484">
        <v>0</v>
      </c>
      <c r="H3208" s="691" t="str">
        <f>IF(G3208=0,"",IF(F3208="Buy",IF(G3208=1,"plant","plants"),IF(F3208&gt;0.01,"warranty","Error")))</f>
        <v/>
      </c>
      <c r="I3208" s="640">
        <f>IF(H3208="free",0,IF(H3208="credit",((E3208*(F3208))*G3208*-1),IF(F3208="Buy",(E3208*G3208),((E3208*(1-F3208))*G3208))))</f>
        <v>0</v>
      </c>
      <c r="J3208" s="640">
        <f>IF(H3208="warranty",0,(I3208*(_xlfn.SINGLE(SalesTaxPercentage))))</f>
        <v>0</v>
      </c>
      <c r="K3208" s="716">
        <f t="shared" ref="K3208" si="2483">I3208+J3208</f>
        <v>0</v>
      </c>
      <c r="L3208" s="716"/>
      <c r="M3208" s="689" t="str">
        <f ca="1">IF(AND(G3208&gt;0,E3208=0),"WARNING - no PRICE inserted",IF(H3208="free","FREE ~ no charge this plant",IF(H3208="credit",CONCATENATE("-$",ROUND(K3208*(1-_xlfn.SINGLE(T2GDiscount))*-1,2)," CREDIT after discount"),IF(_xlfn.SINGLE(T2GDiscount)=0,"",IF(G3208=0,"",IF(F3208="Buy",CONCATENATE("$",ROUND(K3208*(1-_xlfn.SINGLE(T2GDiscount)),2)," with ",(_xlfn.SINGLE(T2GDiscount)*100),"% discount"),CONCATENATE("$",ROUND(K3208*(1-_xlfn.SINGLE(T2GDiscount)),2)," with ",((_xlfn.SINGLE(T2GDiscount)*100+F3208*100)-(_xlfn.SINGLE(T2GDiscount)*100*F3208)),IF(F3208&gt;0,"% discounts",IF(_xlfn.SINGLE(NoWarrantyDiscount)&gt;0,"% discounts","% discount")))))))))</f>
        <v/>
      </c>
      <c r="N3208" s="690"/>
      <c r="O3208" s="486"/>
      <c r="P3208" s="486"/>
      <c r="Q3208" s="486"/>
      <c r="R3208" s="486"/>
      <c r="S3208" s="486"/>
      <c r="T3208" s="102">
        <f t="shared" si="2426"/>
        <v>0</v>
      </c>
      <c r="U3208" s="78">
        <f>IF(NOT(ISNUMBER(G3208)), "", VLOOKUP(A3208,'Discount Lookup'!D:E,2,FALSE)*G3208)</f>
        <v>0</v>
      </c>
      <c r="V3208" s="78">
        <f>IF(NOT(ISNUMBER(G3208)), "", VLOOKUP(A3208,'Discount Lookup'!G:H,2,FALSE)*G3208)</f>
        <v>0</v>
      </c>
      <c r="W3208" s="102">
        <f t="shared" si="2427"/>
        <v>0</v>
      </c>
      <c r="X3208" s="102">
        <f t="shared" si="2428"/>
        <v>0</v>
      </c>
      <c r="Y3208" s="120" t="b">
        <f t="shared" si="2429"/>
        <v>0</v>
      </c>
      <c r="Z3208" s="117">
        <f t="shared" si="2430"/>
        <v>0</v>
      </c>
      <c r="AA3208" s="118"/>
      <c r="AB3208" s="118" t="str">
        <f t="shared" si="2431"/>
        <v/>
      </c>
      <c r="AC3208" s="712" t="str">
        <f>IF(AE3208="T2G","no charge",IF(AND(OR(PlanterYesMe="No",PlanterYesMe="N",PlanterYesMe="me"),H3208=""),"",IF(H3208="credit","NO install",IF(AND(K3208="",AE3208="me"),"EACH row",IF(AND(K3208="images",AE3208="me"),"EACH row",IF(D3208="","",IF(H3208="credit","",IF(AE3208="free","re-planting",IF(AE3208="me","   not ELP, by",IF(AND(OR(PlanterYesMe="Yes",PlanterYesMe="Y"),G3208&gt;0),(VLOOKUP(A3208,'Discount Lookup'!J:K,2)*G3208*(1-PlanterDiscount)*(1+PlanterDifficultyPercentage)),IF(AE3208="ELP",(VLOOKUP(A3208,'Discount Lookup'!J:K,2)*G3208*(1-PlanterDiscount)*(1+PlanterDifficultyPercentage)),IF(AE3208="free","re-planting",IF(G3208=0,"",IF(PlanterYesMe="",IF(AE3208="me","   not ELP, by",IF(AE3208="",IF(G3208&gt;0,(VLOOKUP(A3208,'Discount Lookup'!J:K,2)*G3208*(1-PlanterDiscount)*(1+PlanterDifficultyPercentage)),""),"")),"   not ELP, by"))))))))))))))</f>
        <v/>
      </c>
      <c r="AD3208" s="712"/>
      <c r="AE3208" s="513" t="str">
        <f t="shared" si="2432"/>
        <v/>
      </c>
      <c r="AF3208" s="713" t="str">
        <f t="shared" si="2433"/>
        <v/>
      </c>
      <c r="AG3208" s="713"/>
      <c r="AH3208" s="713"/>
      <c r="AI3208" s="112">
        <f>IF(H3208="credit",0,IF(AE3208="free",0,IF(AE3208="me",0,IF(G3208&gt;0,(VLOOKUP(A3208,'Discount Lookup'!J:K,2)*G3208),0))))</f>
        <v>0</v>
      </c>
      <c r="AJ3208" s="107" t="str">
        <f t="shared" ca="1" si="2434"/>
        <v/>
      </c>
      <c r="AK3208" s="714" t="str">
        <f t="shared" si="2435"/>
        <v/>
      </c>
      <c r="AL3208" s="714"/>
      <c r="AM3208" s="114" t="str">
        <f t="shared" si="2436"/>
        <v/>
      </c>
      <c r="AN3208" s="115"/>
      <c r="AO3208" s="116"/>
      <c r="AP3208" s="116"/>
      <c r="AQ3208" s="116"/>
      <c r="AR3208" s="116"/>
      <c r="AS3208" s="116"/>
      <c r="AT3208" s="116"/>
      <c r="AU3208" s="116"/>
      <c r="AV3208" s="78"/>
      <c r="AW3208" s="102"/>
      <c r="AX3208" s="78"/>
      <c r="AY3208" s="78"/>
      <c r="AZ3208" s="78"/>
      <c r="BA3208" s="78"/>
      <c r="BB3208" s="78"/>
      <c r="BC3208" s="78"/>
      <c r="BD3208" s="78"/>
      <c r="BE3208" s="465"/>
      <c r="BF3208" s="165" t="str">
        <f t="shared" si="2437"/>
        <v>https://www.google.com/search?tbm=isch&amp;q=1%20G2</v>
      </c>
      <c r="BG3208" s="165" t="str">
        <f t="shared" si="2438"/>
        <v>O</v>
      </c>
      <c r="BH3208" s="65"/>
      <c r="BI3208" s="65"/>
      <c r="BJ3208" s="65"/>
      <c r="BK3208" s="65"/>
      <c r="BL3208" s="99"/>
      <c r="BM3208" s="99"/>
      <c r="BN3208" s="99"/>
    </row>
    <row r="3209" spans="1:66" s="51" customFormat="1" ht="16.5" x14ac:dyDescent="0.25">
      <c r="A3209" s="704" t="s">
        <v>5498</v>
      </c>
      <c r="B3209" s="642"/>
      <c r="C3209" s="710"/>
      <c r="D3209" s="643"/>
      <c r="E3209" s="643"/>
      <c r="F3209" s="644"/>
      <c r="G3209" s="645"/>
      <c r="H3209" s="646"/>
      <c r="I3209" s="647"/>
      <c r="J3209" s="648"/>
      <c r="K3209" s="649"/>
      <c r="L3209" s="650"/>
      <c r="M3209" s="650"/>
      <c r="N3209" s="644"/>
      <c r="O3209" s="644"/>
      <c r="P3209" s="644"/>
      <c r="Q3209" s="644"/>
      <c r="R3209" s="644"/>
      <c r="S3209" s="701" t="s">
        <v>5250</v>
      </c>
      <c r="T3209" s="102">
        <f t="shared" si="2426"/>
        <v>0</v>
      </c>
      <c r="U3209" s="78" t="str">
        <f>IF(NOT(ISNUMBER(G3209)), "", VLOOKUP(A3209,'Discount Lookup'!D:E,2,FALSE)*G3209)</f>
        <v/>
      </c>
      <c r="V3209" s="78" t="str">
        <f>IF(NOT(ISNUMBER(G3209)), "", VLOOKUP(A3209,'Discount Lookup'!G:H,2,FALSE)*G3209)</f>
        <v/>
      </c>
      <c r="W3209" s="102">
        <f t="shared" si="2427"/>
        <v>0</v>
      </c>
      <c r="X3209" s="102">
        <f t="shared" si="2428"/>
        <v>0</v>
      </c>
      <c r="Y3209" s="120" t="b">
        <f t="shared" si="2429"/>
        <v>0</v>
      </c>
      <c r="Z3209" s="117">
        <f t="shared" si="2430"/>
        <v>0</v>
      </c>
      <c r="AA3209" s="118"/>
      <c r="AB3209" s="118" t="str">
        <f t="shared" si="2431"/>
        <v/>
      </c>
      <c r="AC3209" s="712" t="str">
        <f>IF(AE3209="T2G","no charge",IF(AND(OR(PlanterYesMe="No",PlanterYesMe="N",PlanterYesMe="me"),H3209=""),"",IF(H3209="credit","NO install",IF(AND(K3209="",AE3209="me"),"EACH row",IF(AND(K3209="images",AE3209="me"),"EACH row",IF(D3209="","",IF(H3209="credit","",IF(AE3209="free","re-planting",IF(AE3209="me","   not ELP, by",IF(AND(OR(PlanterYesMe="Yes",PlanterYesMe="Y"),G3209&gt;0),(VLOOKUP(A3209,'Discount Lookup'!J:K,2)*G3209*(1-PlanterDiscount)*(1+PlanterDifficultyPercentage)),IF(AE3209="ELP",(VLOOKUP(A3209,'Discount Lookup'!J:K,2)*G3209*(1-PlanterDiscount)*(1+PlanterDifficultyPercentage)),IF(AE3209="free","re-planting",IF(G3209=0,"",IF(PlanterYesMe="",IF(AE3209="me","   not ELP, by",IF(AE3209="",IF(G3209&gt;0,(VLOOKUP(A3209,'Discount Lookup'!J:K,2)*G3209*(1-PlanterDiscount)*(1+PlanterDifficultyPercentage)),""),"")),"   not ELP, by"))))))))))))))</f>
        <v/>
      </c>
      <c r="AD3209" s="712"/>
      <c r="AE3209" s="513" t="str">
        <f t="shared" si="2432"/>
        <v/>
      </c>
      <c r="AF3209" s="713" t="str">
        <f t="shared" si="2433"/>
        <v/>
      </c>
      <c r="AG3209" s="713"/>
      <c r="AH3209" s="713"/>
      <c r="AI3209" s="112">
        <f>IF(H3209="credit",0,IF(AE3209="free",0,IF(AE3209="me",0,IF(G3209&gt;0,(VLOOKUP(A3209,'Discount Lookup'!J:K,2)*G3209),0))))</f>
        <v>0</v>
      </c>
      <c r="AJ3209" s="107" t="str">
        <f t="shared" ca="1" si="2434"/>
        <v/>
      </c>
      <c r="AK3209" s="714" t="str">
        <f t="shared" si="2435"/>
        <v/>
      </c>
      <c r="AL3209" s="714"/>
      <c r="AM3209" s="114" t="str">
        <f t="shared" si="2436"/>
        <v/>
      </c>
      <c r="AN3209" s="115"/>
      <c r="AO3209" s="116"/>
      <c r="AP3209" s="116"/>
      <c r="AQ3209" s="116"/>
      <c r="AR3209" s="116"/>
      <c r="AS3209" s="116"/>
      <c r="AT3209" s="116"/>
      <c r="AU3209" s="116"/>
      <c r="AV3209" s="78"/>
      <c r="AW3209" s="102"/>
      <c r="AX3209" s="78"/>
      <c r="AY3209" s="78"/>
      <c r="AZ3209" s="78"/>
      <c r="BA3209" s="78"/>
      <c r="BB3209" s="78"/>
      <c r="BC3209" s="78"/>
      <c r="BD3209" s="78"/>
      <c r="BE3209" s="465"/>
      <c r="BF3209" s="165" t="str">
        <f t="shared" si="2437"/>
        <v>https://www.google.com/search?tbm=isch&amp;q=moist%20sites%F0%9F%92%A7GOOD%2C%20Cinnamon%20fern%20sends%20up%20striking%20Cinnamon-Brown%20fertile%20fronds%20among%20tall%20Green%20fronds%20in%20spring%20</v>
      </c>
      <c r="BG3209" s="165" t="str">
        <f t="shared" si="2438"/>
        <v>m</v>
      </c>
      <c r="BH3209" s="65"/>
      <c r="BI3209" s="65"/>
      <c r="BJ3209" s="65"/>
      <c r="BK3209" s="65"/>
      <c r="BL3209" s="99"/>
      <c r="BM3209" s="99"/>
      <c r="BN3209" s="99"/>
    </row>
    <row r="3210" spans="1:66" s="51" customFormat="1" ht="55.5" x14ac:dyDescent="0.25">
      <c r="A3210" s="520" t="s">
        <v>654</v>
      </c>
      <c r="B3210" s="501"/>
      <c r="C3210" s="502"/>
      <c r="D3210" s="502"/>
      <c r="E3210" s="502"/>
      <c r="F3210" s="502"/>
      <c r="G3210" s="502"/>
      <c r="H3210" s="502"/>
      <c r="I3210" s="502"/>
      <c r="J3210" s="502"/>
      <c r="K3210" s="509" t="s">
        <v>871</v>
      </c>
      <c r="L3210" s="503"/>
      <c r="M3210" s="563"/>
      <c r="N3210" s="504"/>
      <c r="O3210" s="504"/>
      <c r="P3210" s="504"/>
      <c r="Q3210" s="504"/>
      <c r="R3210" s="504"/>
      <c r="S3210" s="511" t="s">
        <v>1546</v>
      </c>
      <c r="T3210" s="102">
        <f t="shared" si="2426"/>
        <v>0</v>
      </c>
      <c r="U3210" s="78" t="str">
        <f>IF(NOT(ISNUMBER(G3210)), "", VLOOKUP(A3210,'Discount Lookup'!D:E,2,FALSE)*G3210)</f>
        <v/>
      </c>
      <c r="V3210" s="78" t="str">
        <f>IF(NOT(ISNUMBER(G3210)), "", VLOOKUP(A3210,'Discount Lookup'!G:H,2,FALSE)*G3210)</f>
        <v/>
      </c>
      <c r="W3210" s="102">
        <f t="shared" si="2427"/>
        <v>0</v>
      </c>
      <c r="X3210" s="102">
        <f t="shared" si="2428"/>
        <v>0</v>
      </c>
      <c r="Y3210" s="120" t="b">
        <f t="shared" si="2429"/>
        <v>0</v>
      </c>
      <c r="Z3210" s="117">
        <f t="shared" si="2430"/>
        <v>0</v>
      </c>
      <c r="AA3210" s="118"/>
      <c r="AB3210" s="118" t="str">
        <f t="shared" si="2431"/>
        <v/>
      </c>
      <c r="AC3210" s="712" t="str">
        <f>IF(AE3210="T2G","no charge",IF(AND(OR(PlanterYesMe="No",PlanterYesMe="N",PlanterYesMe="me"),H3210=""),"",IF(H3210="credit","NO install",IF(AND(K3210="",AE3210="me"),"EACH row",IF(AND(K3210="images",AE3210="me"),"EACH row",IF(D3210="","",IF(H3210="credit","",IF(AE3210="free","re-planting",IF(AE3210="me","   not ELP, by",IF(AND(OR(PlanterYesMe="Yes",PlanterYesMe="Y"),G3210&gt;0),(VLOOKUP(A3210,'Discount Lookup'!J:K,2)*G3210*(1-PlanterDiscount)*(1+PlanterDifficultyPercentage)),IF(AE3210="ELP",(VLOOKUP(A3210,'Discount Lookup'!J:K,2)*G3210*(1-PlanterDiscount)*(1+PlanterDifficultyPercentage)),IF(AE3210="free","re-planting",IF(G3210=0,"",IF(PlanterYesMe="",IF(AE3210="me","   not ELP, by",IF(AE3210="",IF(G3210&gt;0,(VLOOKUP(A3210,'Discount Lookup'!J:K,2)*G3210*(1-PlanterDiscount)*(1+PlanterDifficultyPercentage)),""),"")),"   not ELP, by"))))))))))))))</f>
        <v/>
      </c>
      <c r="AD3210" s="712"/>
      <c r="AE3210" s="513" t="str">
        <f t="shared" si="2432"/>
        <v/>
      </c>
      <c r="AF3210" s="713" t="str">
        <f t="shared" si="2433"/>
        <v/>
      </c>
      <c r="AG3210" s="713"/>
      <c r="AH3210" s="713"/>
      <c r="AI3210" s="112">
        <f>IF(H3210="credit",0,IF(AE3210="free",0,IF(AE3210="me",0,IF(G3210&gt;0,(VLOOKUP(A3210,'Discount Lookup'!J:K,2)*G3210),0))))</f>
        <v>0</v>
      </c>
      <c r="AJ3210" s="107" t="str">
        <f t="shared" ca="1" si="2434"/>
        <v/>
      </c>
      <c r="AK3210" s="714" t="str">
        <f t="shared" si="2435"/>
        <v/>
      </c>
      <c r="AL3210" s="714"/>
      <c r="AM3210" s="114" t="str">
        <f t="shared" si="2436"/>
        <v/>
      </c>
      <c r="AN3210" s="115"/>
      <c r="AO3210" s="116"/>
      <c r="AP3210" s="116"/>
      <c r="AQ3210" s="116"/>
      <c r="AR3210" s="116"/>
      <c r="AS3210" s="116"/>
      <c r="AT3210" s="116"/>
      <c r="AU3210" s="116"/>
      <c r="AV3210" s="78"/>
      <c r="AW3210" s="102"/>
      <c r="AX3210" s="78"/>
      <c r="AY3210" s="78"/>
      <c r="AZ3210" s="78"/>
      <c r="BA3210" s="78"/>
      <c r="BB3210" s="78"/>
      <c r="BC3210" s="78"/>
      <c r="BD3210" s="78"/>
      <c r="BE3210" s="465"/>
      <c r="BF3210" s="165" t="str">
        <f t="shared" si="2437"/>
        <v>https://www.google.com/search?tbm=isch&amp;q=P%20</v>
      </c>
      <c r="BG3210" s="165" t="str">
        <f t="shared" si="2438"/>
        <v>P</v>
      </c>
      <c r="BH3210" s="65"/>
      <c r="BI3210" s="65"/>
      <c r="BJ3210" s="65"/>
      <c r="BK3210" s="65"/>
      <c r="BL3210" s="99"/>
      <c r="BM3210" s="99"/>
      <c r="BN3210" s="99"/>
    </row>
    <row r="3211" spans="1:66" s="51" customFormat="1" ht="19.5" thickBot="1" x14ac:dyDescent="0.3">
      <c r="A3211" s="686" t="s">
        <v>655</v>
      </c>
      <c r="B3211" s="73"/>
      <c r="C3211" s="708"/>
      <c r="D3211" s="73"/>
      <c r="E3211" s="73"/>
      <c r="F3211" s="496"/>
      <c r="G3211" s="73"/>
      <c r="H3211" s="73"/>
      <c r="I3211" s="73"/>
      <c r="J3211" s="497" t="s">
        <v>357</v>
      </c>
      <c r="K3211" s="498"/>
      <c r="L3211" s="562"/>
      <c r="M3211" s="73"/>
      <c r="N3211"/>
      <c r="O3211"/>
      <c r="P3211"/>
      <c r="Q3211"/>
      <c r="R3211"/>
      <c r="S3211"/>
      <c r="T3211" s="102">
        <f t="shared" si="2426"/>
        <v>0</v>
      </c>
      <c r="U3211" s="78" t="str">
        <f>IF(NOT(ISNUMBER(G3211)), "", VLOOKUP(A3211,'Discount Lookup'!D:E,2,FALSE)*G3211)</f>
        <v/>
      </c>
      <c r="V3211" s="78" t="str">
        <f>IF(NOT(ISNUMBER(G3211)), "", VLOOKUP(A3211,'Discount Lookup'!G:H,2,FALSE)*G3211)</f>
        <v/>
      </c>
      <c r="W3211" s="102">
        <f t="shared" si="2427"/>
        <v>0</v>
      </c>
      <c r="X3211" s="102">
        <f t="shared" si="2428"/>
        <v>0</v>
      </c>
      <c r="Y3211" s="120" t="b">
        <f t="shared" si="2429"/>
        <v>0</v>
      </c>
      <c r="Z3211" s="117">
        <f t="shared" si="2430"/>
        <v>0</v>
      </c>
      <c r="AA3211" s="118"/>
      <c r="AB3211" s="118" t="str">
        <f t="shared" si="2431"/>
        <v/>
      </c>
      <c r="AC3211" s="712" t="str">
        <f>IF(AE3211="T2G","no charge",IF(AND(OR(PlanterYesMe="No",PlanterYesMe="N",PlanterYesMe="me"),H3211=""),"",IF(H3211="credit","NO install",IF(AND(K3211="",AE3211="me"),"EACH row",IF(AND(K3211="images",AE3211="me"),"EACH row",IF(D3211="","",IF(H3211="credit","",IF(AE3211="free","re-planting",IF(AE3211="me","   not ELP, by",IF(AND(OR(PlanterYesMe="Yes",PlanterYesMe="Y"),G3211&gt;0),(VLOOKUP(A3211,'Discount Lookup'!J:K,2)*G3211*(1-PlanterDiscount)*(1+PlanterDifficultyPercentage)),IF(AE3211="ELP",(VLOOKUP(A3211,'Discount Lookup'!J:K,2)*G3211*(1-PlanterDiscount)*(1+PlanterDifficultyPercentage)),IF(AE3211="free","re-planting",IF(G3211=0,"",IF(PlanterYesMe="",IF(AE3211="me","   not ELP, by",IF(AE3211="",IF(G3211&gt;0,(VLOOKUP(A3211,'Discount Lookup'!J:K,2)*G3211*(1-PlanterDiscount)*(1+PlanterDifficultyPercentage)),""),"")),"   not ELP, by"))))))))))))))</f>
        <v/>
      </c>
      <c r="AD3211" s="712"/>
      <c r="AE3211" s="513" t="str">
        <f t="shared" si="2432"/>
        <v/>
      </c>
      <c r="AF3211" s="713" t="str">
        <f t="shared" si="2433"/>
        <v/>
      </c>
      <c r="AG3211" s="713"/>
      <c r="AH3211" s="713"/>
      <c r="AI3211" s="112">
        <f>IF(H3211="credit",0,IF(AE3211="free",0,IF(AE3211="me",0,IF(G3211&gt;0,(VLOOKUP(A3211,'Discount Lookup'!J:K,2)*G3211),0))))</f>
        <v>0</v>
      </c>
      <c r="AJ3211" s="107" t="str">
        <f t="shared" ca="1" si="2434"/>
        <v/>
      </c>
      <c r="AK3211" s="714" t="str">
        <f t="shared" si="2435"/>
        <v/>
      </c>
      <c r="AL3211" s="714"/>
      <c r="AM3211" s="114" t="str">
        <f t="shared" si="2436"/>
        <v/>
      </c>
      <c r="AN3211" s="115"/>
      <c r="AO3211" s="116"/>
      <c r="AP3211" s="116"/>
      <c r="AQ3211" s="116"/>
      <c r="AR3211" s="116"/>
      <c r="AS3211" s="116"/>
      <c r="AT3211" s="116"/>
      <c r="AU3211" s="116"/>
      <c r="AV3211" s="78"/>
      <c r="AW3211" s="102"/>
      <c r="AX3211" s="78"/>
      <c r="AY3211" s="78"/>
      <c r="AZ3211" s="78"/>
      <c r="BA3211" s="78"/>
      <c r="BB3211" s="78"/>
      <c r="BC3211" s="78"/>
      <c r="BD3211" s="78"/>
      <c r="BE3211" s="465"/>
      <c r="BF3211" s="165" t="str">
        <f t="shared" si="2437"/>
        <v>https://www.google.com/search?tbm=isch&amp;q=Paeonia%20%3D%20Peony%20</v>
      </c>
      <c r="BG3211" s="165" t="str">
        <f t="shared" si="2438"/>
        <v>P</v>
      </c>
      <c r="BH3211" s="65"/>
      <c r="BI3211" s="65"/>
      <c r="BJ3211" s="65"/>
      <c r="BK3211" s="65"/>
      <c r="BL3211" s="99"/>
      <c r="BM3211" s="99"/>
      <c r="BN3211" s="99"/>
    </row>
    <row r="3212" spans="1:66" s="51" customFormat="1" ht="18" x14ac:dyDescent="0.25">
      <c r="A3212" s="623" t="s">
        <v>3737</v>
      </c>
      <c r="B3212" s="624"/>
      <c r="C3212" s="709"/>
      <c r="D3212" s="625" t="s">
        <v>3738</v>
      </c>
      <c r="E3212" s="626"/>
      <c r="F3212" s="626"/>
      <c r="G3212" s="626"/>
      <c r="H3212" s="622" t="s">
        <v>1088</v>
      </c>
      <c r="I3212" s="627" t="s">
        <v>2281</v>
      </c>
      <c r="J3212" s="628"/>
      <c r="K3212" s="628"/>
      <c r="L3212" s="629"/>
      <c r="M3212" s="700" t="s">
        <v>5241</v>
      </c>
      <c r="N3212" s="693" t="str">
        <f>IF(AND(ISTEXT($A3212), ISERROR($A3212+0)), HYPERLINK($BF3212, "Images"), "")</f>
        <v>Images</v>
      </c>
      <c r="O3212" s="695" t="s">
        <v>5247</v>
      </c>
      <c r="P3212" s="630"/>
      <c r="Q3212" s="631"/>
      <c r="R3212" s="632"/>
      <c r="S3212" s="633"/>
      <c r="T3212" s="102">
        <f t="shared" si="2426"/>
        <v>0</v>
      </c>
      <c r="U3212" s="78" t="str">
        <f>IF(NOT(ISNUMBER(G3212)), "", VLOOKUP(A3212,'Discount Lookup'!D:E,2,FALSE)*G3212)</f>
        <v/>
      </c>
      <c r="V3212" s="78" t="str">
        <f>IF(NOT(ISNUMBER(G3212)), "", VLOOKUP(A3212,'Discount Lookup'!G:H,2,FALSE)*G3212)</f>
        <v/>
      </c>
      <c r="W3212" s="102">
        <f t="shared" si="2427"/>
        <v>0</v>
      </c>
      <c r="X3212" s="102" t="str">
        <f t="shared" si="2428"/>
        <v>Lemon-Yellow bloom</v>
      </c>
      <c r="Y3212" s="120" t="b">
        <f t="shared" si="2429"/>
        <v>0</v>
      </c>
      <c r="Z3212" s="117">
        <f t="shared" si="2430"/>
        <v>0</v>
      </c>
      <c r="AA3212" s="118"/>
      <c r="AB3212" s="118" t="str">
        <f t="shared" si="2431"/>
        <v/>
      </c>
      <c r="AC3212" s="712" t="str">
        <f>IF(AE3212="T2G","no charge",IF(AND(OR(PlanterYesMe="No",PlanterYesMe="N",PlanterYesMe="me"),H3212=""),"",IF(H3212="credit","NO install",IF(AND(K3212="",AE3212="me"),"EACH row",IF(AND(K3212="images",AE3212="me"),"EACH row",IF(D3212="","",IF(H3212="credit","",IF(AE3212="free","re-planting",IF(AE3212="me","   not ELP, by",IF(AND(OR(PlanterYesMe="Yes",PlanterYesMe="Y"),G3212&gt;0),(VLOOKUP(A3212,'Discount Lookup'!J:K,2)*G3212*(1-PlanterDiscount)*(1+PlanterDifficultyPercentage)),IF(AE3212="ELP",(VLOOKUP(A3212,'Discount Lookup'!J:K,2)*G3212*(1-PlanterDiscount)*(1+PlanterDifficultyPercentage)),IF(AE3212="free","re-planting",IF(G3212=0,"",IF(PlanterYesMe="",IF(AE3212="me","   not ELP, by",IF(AE3212="",IF(G3212&gt;0,(VLOOKUP(A3212,'Discount Lookup'!J:K,2)*G3212*(1-PlanterDiscount)*(1+PlanterDifficultyPercentage)),""),"")),"   not ELP, by"))))))))))))))</f>
        <v/>
      </c>
      <c r="AD3212" s="712"/>
      <c r="AE3212" s="513" t="str">
        <f t="shared" si="2432"/>
        <v/>
      </c>
      <c r="AF3212" s="713" t="str">
        <f t="shared" si="2433"/>
        <v/>
      </c>
      <c r="AG3212" s="713"/>
      <c r="AH3212" s="713"/>
      <c r="AI3212" s="112">
        <f>IF(H3212="credit",0,IF(AE3212="free",0,IF(AE3212="me",0,IF(G3212&gt;0,(VLOOKUP(A3212,'Discount Lookup'!J:K,2)*G3212),0))))</f>
        <v>0</v>
      </c>
      <c r="AJ3212" s="107" t="str">
        <f t="shared" ca="1" si="2434"/>
        <v/>
      </c>
      <c r="AK3212" s="714" t="str">
        <f t="shared" si="2435"/>
        <v/>
      </c>
      <c r="AL3212" s="714"/>
      <c r="AM3212" s="114" t="str">
        <f t="shared" si="2436"/>
        <v/>
      </c>
      <c r="AN3212" s="115"/>
      <c r="AO3212" s="116"/>
      <c r="AP3212" s="116"/>
      <c r="AQ3212" s="116"/>
      <c r="AR3212" s="116"/>
      <c r="AS3212" s="116"/>
      <c r="AT3212" s="116"/>
      <c r="AU3212" s="116"/>
      <c r="AV3212" s="78"/>
      <c r="AW3212" s="102"/>
      <c r="AX3212" s="78"/>
      <c r="AY3212" s="78"/>
      <c r="AZ3212" s="78"/>
      <c r="BA3212" s="78"/>
      <c r="BB3212" s="78"/>
      <c r="BC3212" s="78"/>
      <c r="BD3212" s="78"/>
      <c r="BE3212" s="465"/>
      <c r="BF3212" s="165" t="str">
        <f t="shared" si="2437"/>
        <v>https://www.google.com/search?tbm=isch&amp;q=Paeonia%20%27Bartzella%27%20Bartzella%20Itoh%20Peony</v>
      </c>
      <c r="BG3212" s="165" t="str">
        <f t="shared" si="2438"/>
        <v>P</v>
      </c>
      <c r="BH3212" s="65"/>
      <c r="BI3212" s="65"/>
      <c r="BJ3212" s="65"/>
      <c r="BK3212" s="65"/>
      <c r="BL3212" s="99"/>
      <c r="BM3212" s="99"/>
      <c r="BN3212" s="99"/>
    </row>
    <row r="3213" spans="1:66" s="51" customFormat="1" ht="15.75" x14ac:dyDescent="0.25">
      <c r="A3213" s="634">
        <v>3</v>
      </c>
      <c r="B3213" s="635" t="s">
        <v>291</v>
      </c>
      <c r="C3213" s="636"/>
      <c r="D3213" s="637" t="s">
        <v>329</v>
      </c>
      <c r="E3213" s="638">
        <v>55.95</v>
      </c>
      <c r="F3213" s="639" t="s">
        <v>292</v>
      </c>
      <c r="G3213" s="484">
        <v>0</v>
      </c>
      <c r="H3213" s="691" t="str">
        <f>IF(G3213=0,"",IF(F3213="Buy",IF(G3213=1,"plant","plants"),IF(F3213&gt;0.01,"warranty","Error")))</f>
        <v/>
      </c>
      <c r="I3213" s="640">
        <f>IF(H3213="free",0,IF(H3213="credit",((E3213*(F3213))*G3213*-1),IF(F3213="Buy",(E3213*G3213),((E3213*(1-F3213))*G3213))))</f>
        <v>0</v>
      </c>
      <c r="J3213" s="640">
        <f>IF(H3213="warranty",0,(I3213*(_xlfn.SINGLE(SalesTaxPercentage))))</f>
        <v>0</v>
      </c>
      <c r="K3213" s="716">
        <f t="shared" ref="K3213" si="2484">I3213+J3213</f>
        <v>0</v>
      </c>
      <c r="L3213" s="716"/>
      <c r="M3213" s="689" t="str">
        <f ca="1">IF(AND(G3213&gt;0,E3213=0),"WARNING - no PRICE inserted",IF(H3213="free","FREE ~ no charge this plant",IF(H3213="credit",CONCATENATE("-$",ROUND(K3213*(1-_xlfn.SINGLE(T2GDiscount))*-1,2)," CREDIT after discount"),IF(_xlfn.SINGLE(T2GDiscount)=0,"",IF(G3213=0,"",IF(F3213="Buy",CONCATENATE("$",ROUND(K3213*(1-_xlfn.SINGLE(T2GDiscount)),2)," with ",(_xlfn.SINGLE(T2GDiscount)*100),"% discount"),CONCATENATE("$",ROUND(K3213*(1-_xlfn.SINGLE(T2GDiscount)),2)," with ",((_xlfn.SINGLE(T2GDiscount)*100+F3213*100)-(_xlfn.SINGLE(T2GDiscount)*100*F3213)),IF(F3213&gt;0,"% discounts",IF(_xlfn.SINGLE(NoWarrantyDiscount)&gt;0,"% discounts","% discount")))))))))</f>
        <v/>
      </c>
      <c r="N3213" s="690"/>
      <c r="O3213" s="486"/>
      <c r="P3213" s="486"/>
      <c r="Q3213" s="486"/>
      <c r="R3213" s="486"/>
      <c r="S3213" s="486"/>
      <c r="T3213" s="102">
        <f t="shared" si="2426"/>
        <v>0</v>
      </c>
      <c r="U3213" s="78">
        <f>IF(NOT(ISNUMBER(G3213)), "", VLOOKUP(A3213,'Discount Lookup'!D:E,2,FALSE)*G3213)</f>
        <v>0</v>
      </c>
      <c r="V3213" s="78">
        <f>IF(NOT(ISNUMBER(G3213)), "", VLOOKUP(A3213,'Discount Lookup'!G:H,2,FALSE)*G3213)</f>
        <v>0</v>
      </c>
      <c r="W3213" s="102">
        <f t="shared" si="2427"/>
        <v>0</v>
      </c>
      <c r="X3213" s="102">
        <f t="shared" si="2428"/>
        <v>0</v>
      </c>
      <c r="Y3213" s="120" t="b">
        <f t="shared" si="2429"/>
        <v>0</v>
      </c>
      <c r="Z3213" s="117">
        <f t="shared" si="2430"/>
        <v>0</v>
      </c>
      <c r="AA3213" s="118"/>
      <c r="AB3213" s="118" t="str">
        <f t="shared" si="2431"/>
        <v/>
      </c>
      <c r="AC3213" s="712" t="str">
        <f>IF(AE3213="T2G","no charge",IF(AND(OR(PlanterYesMe="No",PlanterYesMe="N",PlanterYesMe="me"),H3213=""),"",IF(H3213="credit","NO install",IF(AND(K3213="",AE3213="me"),"EACH row",IF(AND(K3213="images",AE3213="me"),"EACH row",IF(D3213="","",IF(H3213="credit","",IF(AE3213="free","re-planting",IF(AE3213="me","   not ELP, by",IF(AND(OR(PlanterYesMe="Yes",PlanterYesMe="Y"),G3213&gt;0),(VLOOKUP(A3213,'Discount Lookup'!J:K,2)*G3213*(1-PlanterDiscount)*(1+PlanterDifficultyPercentage)),IF(AE3213="ELP",(VLOOKUP(A3213,'Discount Lookup'!J:K,2)*G3213*(1-PlanterDiscount)*(1+PlanterDifficultyPercentage)),IF(AE3213="free","re-planting",IF(G3213=0,"",IF(PlanterYesMe="",IF(AE3213="me","   not ELP, by",IF(AE3213="",IF(G3213&gt;0,(VLOOKUP(A3213,'Discount Lookup'!J:K,2)*G3213*(1-PlanterDiscount)*(1+PlanterDifficultyPercentage)),""),"")),"   not ELP, by"))))))))))))))</f>
        <v/>
      </c>
      <c r="AD3213" s="712"/>
      <c r="AE3213" s="513" t="str">
        <f t="shared" si="2432"/>
        <v/>
      </c>
      <c r="AF3213" s="713" t="str">
        <f t="shared" si="2433"/>
        <v/>
      </c>
      <c r="AG3213" s="713"/>
      <c r="AH3213" s="713"/>
      <c r="AI3213" s="112">
        <f>IF(H3213="credit",0,IF(AE3213="free",0,IF(AE3213="me",0,IF(G3213&gt;0,(VLOOKUP(A3213,'Discount Lookup'!J:K,2)*G3213),0))))</f>
        <v>0</v>
      </c>
      <c r="AJ3213" s="107" t="str">
        <f t="shared" ca="1" si="2434"/>
        <v/>
      </c>
      <c r="AK3213" s="714" t="str">
        <f t="shared" si="2435"/>
        <v/>
      </c>
      <c r="AL3213" s="714"/>
      <c r="AM3213" s="114" t="str">
        <f t="shared" si="2436"/>
        <v/>
      </c>
      <c r="AN3213" s="115"/>
      <c r="AO3213" s="116"/>
      <c r="AP3213" s="116"/>
      <c r="AQ3213" s="116"/>
      <c r="AR3213" s="116"/>
      <c r="AS3213" s="116"/>
      <c r="AT3213" s="116"/>
      <c r="AU3213" s="116"/>
      <c r="AV3213" s="78"/>
      <c r="AW3213" s="102"/>
      <c r="AX3213" s="78"/>
      <c r="AY3213" s="78"/>
      <c r="AZ3213" s="78"/>
      <c r="BA3213" s="78"/>
      <c r="BB3213" s="78"/>
      <c r="BC3213" s="78"/>
      <c r="BD3213" s="78"/>
      <c r="BE3213" s="465"/>
      <c r="BF3213" s="165" t="str">
        <f t="shared" si="2437"/>
        <v>https://www.google.com/search?tbm=isch&amp;q=3%20G2</v>
      </c>
      <c r="BG3213" s="165" t="str">
        <f t="shared" si="2438"/>
        <v>P</v>
      </c>
      <c r="BH3213" s="65"/>
      <c r="BI3213" s="65"/>
      <c r="BJ3213" s="65"/>
      <c r="BK3213" s="65"/>
      <c r="BL3213" s="99"/>
      <c r="BM3213" s="99"/>
      <c r="BN3213" s="99"/>
    </row>
    <row r="3214" spans="1:66" s="51" customFormat="1" ht="17.25" thickBot="1" x14ac:dyDescent="0.3">
      <c r="A3214" s="641" t="s">
        <v>5232</v>
      </c>
      <c r="B3214" s="642"/>
      <c r="C3214" s="710"/>
      <c r="D3214" s="643"/>
      <c r="E3214" s="643"/>
      <c r="F3214" s="644"/>
      <c r="G3214" s="645"/>
      <c r="H3214" s="646"/>
      <c r="I3214" s="647"/>
      <c r="J3214" s="648"/>
      <c r="K3214" s="649"/>
      <c r="L3214" s="650"/>
      <c r="M3214" s="650"/>
      <c r="N3214" s="644"/>
      <c r="O3214" s="644"/>
      <c r="P3214" s="644"/>
      <c r="Q3214" s="644"/>
      <c r="R3214" s="644"/>
      <c r="S3214" s="701" t="s">
        <v>5297</v>
      </c>
      <c r="T3214" s="102">
        <f t="shared" si="2426"/>
        <v>0</v>
      </c>
      <c r="U3214" s="78" t="str">
        <f>IF(NOT(ISNUMBER(G3214)), "", VLOOKUP(A3214,'Discount Lookup'!D:E,2,FALSE)*G3214)</f>
        <v/>
      </c>
      <c r="V3214" s="78" t="str">
        <f>IF(NOT(ISNUMBER(G3214)), "", VLOOKUP(A3214,'Discount Lookup'!G:H,2,FALSE)*G3214)</f>
        <v/>
      </c>
      <c r="W3214" s="102">
        <f t="shared" si="2427"/>
        <v>0</v>
      </c>
      <c r="X3214" s="102">
        <f t="shared" si="2428"/>
        <v>0</v>
      </c>
      <c r="Y3214" s="120" t="b">
        <f t="shared" si="2429"/>
        <v>0</v>
      </c>
      <c r="Z3214" s="117">
        <f t="shared" si="2430"/>
        <v>0</v>
      </c>
      <c r="AA3214" s="118"/>
      <c r="AB3214" s="118" t="str">
        <f t="shared" si="2431"/>
        <v/>
      </c>
      <c r="AC3214" s="712" t="str">
        <f>IF(AE3214="T2G","no charge",IF(AND(OR(PlanterYesMe="No",PlanterYesMe="N",PlanterYesMe="me"),H3214=""),"",IF(H3214="credit","NO install",IF(AND(K3214="",AE3214="me"),"EACH row",IF(AND(K3214="images",AE3214="me"),"EACH row",IF(D3214="","",IF(H3214="credit","",IF(AE3214="free","re-planting",IF(AE3214="me","   not ELP, by",IF(AND(OR(PlanterYesMe="Yes",PlanterYesMe="Y"),G3214&gt;0),(VLOOKUP(A3214,'Discount Lookup'!J:K,2)*G3214*(1-PlanterDiscount)*(1+PlanterDifficultyPercentage)),IF(AE3214="ELP",(VLOOKUP(A3214,'Discount Lookup'!J:K,2)*G3214*(1-PlanterDiscount)*(1+PlanterDifficultyPercentage)),IF(AE3214="free","re-planting",IF(G3214=0,"",IF(PlanterYesMe="",IF(AE3214="me","   not ELP, by",IF(AE3214="",IF(G3214&gt;0,(VLOOKUP(A3214,'Discount Lookup'!J:K,2)*G3214*(1-PlanterDiscount)*(1+PlanterDifficultyPercentage)),""),"")),"   not ELP, by"))))))))))))))</f>
        <v/>
      </c>
      <c r="AD3214" s="712"/>
      <c r="AE3214" s="513" t="str">
        <f t="shared" si="2432"/>
        <v/>
      </c>
      <c r="AF3214" s="713" t="str">
        <f t="shared" si="2433"/>
        <v/>
      </c>
      <c r="AG3214" s="713"/>
      <c r="AH3214" s="713"/>
      <c r="AI3214" s="112">
        <f>IF(H3214="credit",0,IF(AE3214="free",0,IF(AE3214="me",0,IF(G3214&gt;0,(VLOOKUP(A3214,'Discount Lookup'!J:K,2)*G3214),0))))</f>
        <v>0</v>
      </c>
      <c r="AJ3214" s="107" t="str">
        <f t="shared" ca="1" si="2434"/>
        <v/>
      </c>
      <c r="AK3214" s="714" t="str">
        <f t="shared" si="2435"/>
        <v/>
      </c>
      <c r="AL3214" s="714"/>
      <c r="AM3214" s="114" t="str">
        <f t="shared" si="2436"/>
        <v/>
      </c>
      <c r="AN3214" s="115"/>
      <c r="AO3214" s="116"/>
      <c r="AP3214" s="116"/>
      <c r="AQ3214" s="116"/>
      <c r="AR3214" s="116"/>
      <c r="AS3214" s="116"/>
      <c r="AT3214" s="116"/>
      <c r="AU3214" s="116"/>
      <c r="AV3214" s="78"/>
      <c r="AW3214" s="102"/>
      <c r="AX3214" s="78"/>
      <c r="AY3214" s="78"/>
      <c r="AZ3214" s="78"/>
      <c r="BA3214" s="78"/>
      <c r="BB3214" s="78"/>
      <c r="BC3214" s="78"/>
      <c r="BD3214" s="78"/>
      <c r="BE3214" s="465"/>
      <c r="BF3214" s="165" t="str">
        <f t="shared" si="2437"/>
        <v>https://www.google.com/search?tbm=isch&amp;q=Bartzella%20has%20very%20large%2C%20semi-double%20to%20double%20flowers%20with%20a%20subtle%20Red%20flare%2C%20on%20strong%20stems%20that%20do%20not%20require%20staking.%20Vigorous%20growth%20</v>
      </c>
      <c r="BG3214" s="165" t="str">
        <f t="shared" si="2438"/>
        <v>B</v>
      </c>
      <c r="BH3214" s="65"/>
      <c r="BI3214" s="65"/>
      <c r="BJ3214" s="65"/>
      <c r="BK3214" s="65"/>
      <c r="BL3214" s="99"/>
      <c r="BM3214" s="99"/>
      <c r="BN3214" s="99"/>
    </row>
    <row r="3215" spans="1:66" s="51" customFormat="1" ht="18" x14ac:dyDescent="0.25">
      <c r="A3215" s="623" t="s">
        <v>3739</v>
      </c>
      <c r="B3215" s="624"/>
      <c r="C3215" s="709"/>
      <c r="D3215" s="625" t="s">
        <v>3740</v>
      </c>
      <c r="E3215" s="626"/>
      <c r="F3215" s="626"/>
      <c r="G3215" s="626"/>
      <c r="H3215" s="622" t="s">
        <v>1104</v>
      </c>
      <c r="I3215" s="627" t="s">
        <v>4880</v>
      </c>
      <c r="J3215" s="628"/>
      <c r="K3215" s="628"/>
      <c r="L3215" s="629"/>
      <c r="M3215" s="700" t="s">
        <v>5241</v>
      </c>
      <c r="N3215" s="693" t="str">
        <f>IF(AND(ISTEXT($A3215), ISERROR($A3215+0)), HYPERLINK($BF3215, "Images"), "")</f>
        <v>Images</v>
      </c>
      <c r="O3215" s="695" t="s">
        <v>5247</v>
      </c>
      <c r="P3215" s="630"/>
      <c r="Q3215" s="631"/>
      <c r="R3215" s="632"/>
      <c r="S3215" s="633"/>
      <c r="T3215" s="102">
        <f t="shared" si="2426"/>
        <v>0</v>
      </c>
      <c r="U3215" s="78" t="str">
        <f>IF(NOT(ISNUMBER(G3215)), "", VLOOKUP(A3215,'Discount Lookup'!D:E,2,FALSE)*G3215)</f>
        <v/>
      </c>
      <c r="V3215" s="78" t="str">
        <f>IF(NOT(ISNUMBER(G3215)), "", VLOOKUP(A3215,'Discount Lookup'!G:H,2,FALSE)*G3215)</f>
        <v/>
      </c>
      <c r="W3215" s="102">
        <f t="shared" si="2427"/>
        <v>0</v>
      </c>
      <c r="X3215" s="102" t="str">
        <f t="shared" si="2428"/>
        <v>Carmine-Red bloom</v>
      </c>
      <c r="Y3215" s="120" t="b">
        <f t="shared" si="2429"/>
        <v>0</v>
      </c>
      <c r="Z3215" s="117">
        <f t="shared" si="2430"/>
        <v>0</v>
      </c>
      <c r="AA3215" s="118"/>
      <c r="AB3215" s="118" t="str">
        <f t="shared" si="2431"/>
        <v/>
      </c>
      <c r="AC3215" s="712" t="str">
        <f>IF(AE3215="T2G","no charge",IF(AND(OR(PlanterYesMe="No",PlanterYesMe="N",PlanterYesMe="me"),H3215=""),"",IF(H3215="credit","NO install",IF(AND(K3215="",AE3215="me"),"EACH row",IF(AND(K3215="images",AE3215="me"),"EACH row",IF(D3215="","",IF(H3215="credit","",IF(AE3215="free","re-planting",IF(AE3215="me","   not ELP, by",IF(AND(OR(PlanterYesMe="Yes",PlanterYesMe="Y"),G3215&gt;0),(VLOOKUP(A3215,'Discount Lookup'!J:K,2)*G3215*(1-PlanterDiscount)*(1+PlanterDifficultyPercentage)),IF(AE3215="ELP",(VLOOKUP(A3215,'Discount Lookup'!J:K,2)*G3215*(1-PlanterDiscount)*(1+PlanterDifficultyPercentage)),IF(AE3215="free","re-planting",IF(G3215=0,"",IF(PlanterYesMe="",IF(AE3215="me","   not ELP, by",IF(AE3215="",IF(G3215&gt;0,(VLOOKUP(A3215,'Discount Lookup'!J:K,2)*G3215*(1-PlanterDiscount)*(1+PlanterDifficultyPercentage)),""),"")),"   not ELP, by"))))))))))))))</f>
        <v/>
      </c>
      <c r="AD3215" s="712"/>
      <c r="AE3215" s="513" t="str">
        <f t="shared" si="2432"/>
        <v/>
      </c>
      <c r="AF3215" s="713" t="str">
        <f t="shared" si="2433"/>
        <v/>
      </c>
      <c r="AG3215" s="713"/>
      <c r="AH3215" s="713"/>
      <c r="AI3215" s="112">
        <f>IF(H3215="credit",0,IF(AE3215="free",0,IF(AE3215="me",0,IF(G3215&gt;0,(VLOOKUP(A3215,'Discount Lookup'!J:K,2)*G3215),0))))</f>
        <v>0</v>
      </c>
      <c r="AJ3215" s="107" t="str">
        <f t="shared" ca="1" si="2434"/>
        <v/>
      </c>
      <c r="AK3215" s="714" t="str">
        <f t="shared" si="2435"/>
        <v/>
      </c>
      <c r="AL3215" s="714"/>
      <c r="AM3215" s="114" t="str">
        <f t="shared" si="2436"/>
        <v/>
      </c>
      <c r="AN3215" s="115"/>
      <c r="AO3215" s="116"/>
      <c r="AP3215" s="116"/>
      <c r="AQ3215" s="116"/>
      <c r="AR3215" s="116"/>
      <c r="AS3215" s="116"/>
      <c r="AT3215" s="116"/>
      <c r="AU3215" s="116"/>
      <c r="AV3215" s="78"/>
      <c r="AW3215" s="102"/>
      <c r="AX3215" s="78"/>
      <c r="AY3215" s="78"/>
      <c r="AZ3215" s="78"/>
      <c r="BA3215" s="78"/>
      <c r="BB3215" s="78"/>
      <c r="BC3215" s="78"/>
      <c r="BD3215" s="78"/>
      <c r="BE3215" s="465"/>
      <c r="BF3215" s="165" t="str">
        <f t="shared" si="2437"/>
        <v>https://www.google.com/search?tbm=isch&amp;q=Paeonia%20lactiflora%20%27Paladin%27%20Paladin%20Peony</v>
      </c>
      <c r="BG3215" s="165" t="str">
        <f t="shared" si="2438"/>
        <v>P</v>
      </c>
      <c r="BH3215" s="65"/>
      <c r="BI3215" s="65"/>
      <c r="BJ3215" s="65"/>
      <c r="BK3215" s="65"/>
      <c r="BL3215" s="99"/>
      <c r="BM3215" s="99"/>
      <c r="BN3215" s="99"/>
    </row>
    <row r="3216" spans="1:66" s="51" customFormat="1" ht="15.75" x14ac:dyDescent="0.25">
      <c r="A3216" s="634">
        <v>3</v>
      </c>
      <c r="B3216" s="635" t="s">
        <v>291</v>
      </c>
      <c r="C3216" s="636" t="s">
        <v>4997</v>
      </c>
      <c r="D3216" s="637" t="s">
        <v>293</v>
      </c>
      <c r="E3216" s="638">
        <v>65.95</v>
      </c>
      <c r="F3216" s="639" t="s">
        <v>292</v>
      </c>
      <c r="G3216" s="484">
        <v>0</v>
      </c>
      <c r="H3216" s="691" t="str">
        <f>IF(G3216=0,"",IF(F3216="Buy",IF(G3216=1,"plant","plants"),IF(F3216&gt;0.01,"warranty","Error")))</f>
        <v/>
      </c>
      <c r="I3216" s="640">
        <f>IF(H3216="free",0,IF(H3216="credit",((E3216*(F3216))*G3216*-1),IF(F3216="Buy",(E3216*G3216),((E3216*(1-F3216))*G3216))))</f>
        <v>0</v>
      </c>
      <c r="J3216" s="640">
        <f>IF(H3216="warranty",0,(I3216*(_xlfn.SINGLE(SalesTaxPercentage))))</f>
        <v>0</v>
      </c>
      <c r="K3216" s="716">
        <f t="shared" ref="K3216" si="2485">I3216+J3216</f>
        <v>0</v>
      </c>
      <c r="L3216" s="716"/>
      <c r="M3216" s="689" t="str">
        <f ca="1">IF(AND(G3216&gt;0,E3216=0),"WARNING - no PRICE inserted",IF(H3216="free","FREE ~ no charge this plant",IF(H3216="credit",CONCATENATE("-$",ROUND(K3216*(1-_xlfn.SINGLE(T2GDiscount))*-1,2)," CREDIT after discount"),IF(_xlfn.SINGLE(T2GDiscount)=0,"",IF(G3216=0,"",IF(F3216="Buy",CONCATENATE("$",ROUND(K3216*(1-_xlfn.SINGLE(T2GDiscount)),2)," with ",(_xlfn.SINGLE(T2GDiscount)*100),"% discount"),CONCATENATE("$",ROUND(K3216*(1-_xlfn.SINGLE(T2GDiscount)),2)," with ",((_xlfn.SINGLE(T2GDiscount)*100+F3216*100)-(_xlfn.SINGLE(T2GDiscount)*100*F3216)),IF(F3216&gt;0,"% discounts",IF(_xlfn.SINGLE(NoWarrantyDiscount)&gt;0,"% discounts","% discount")))))))))</f>
        <v/>
      </c>
      <c r="N3216" s="690"/>
      <c r="O3216" s="486"/>
      <c r="P3216" s="486"/>
      <c r="Q3216" s="486"/>
      <c r="R3216" s="486"/>
      <c r="S3216" s="486"/>
      <c r="T3216" s="102">
        <f t="shared" si="2426"/>
        <v>0</v>
      </c>
      <c r="U3216" s="78">
        <f>IF(NOT(ISNUMBER(G3216)), "", VLOOKUP(A3216,'Discount Lookup'!D:E,2,FALSE)*G3216)</f>
        <v>0</v>
      </c>
      <c r="V3216" s="78">
        <f>IF(NOT(ISNUMBER(G3216)), "", VLOOKUP(A3216,'Discount Lookup'!G:H,2,FALSE)*G3216)</f>
        <v>0</v>
      </c>
      <c r="W3216" s="102">
        <f t="shared" si="2427"/>
        <v>0</v>
      </c>
      <c r="X3216" s="102">
        <f t="shared" si="2428"/>
        <v>0</v>
      </c>
      <c r="Y3216" s="120" t="b">
        <f t="shared" si="2429"/>
        <v>0</v>
      </c>
      <c r="Z3216" s="117">
        <f t="shared" si="2430"/>
        <v>0</v>
      </c>
      <c r="AA3216" s="118"/>
      <c r="AB3216" s="118" t="str">
        <f t="shared" si="2431"/>
        <v/>
      </c>
      <c r="AC3216" s="712" t="str">
        <f>IF(AE3216="T2G","no charge",IF(AND(OR(PlanterYesMe="No",PlanterYesMe="N",PlanterYesMe="me"),H3216=""),"",IF(H3216="credit","NO install",IF(AND(K3216="",AE3216="me"),"EACH row",IF(AND(K3216="images",AE3216="me"),"EACH row",IF(D3216="","",IF(H3216="credit","",IF(AE3216="free","re-planting",IF(AE3216="me","   not ELP, by",IF(AND(OR(PlanterYesMe="Yes",PlanterYesMe="Y"),G3216&gt;0),(VLOOKUP(A3216,'Discount Lookup'!J:K,2)*G3216*(1-PlanterDiscount)*(1+PlanterDifficultyPercentage)),IF(AE3216="ELP",(VLOOKUP(A3216,'Discount Lookup'!J:K,2)*G3216*(1-PlanterDiscount)*(1+PlanterDifficultyPercentage)),IF(AE3216="free","re-planting",IF(G3216=0,"",IF(PlanterYesMe="",IF(AE3216="me","   not ELP, by",IF(AE3216="",IF(G3216&gt;0,(VLOOKUP(A3216,'Discount Lookup'!J:K,2)*G3216*(1-PlanterDiscount)*(1+PlanterDifficultyPercentage)),""),"")),"   not ELP, by"))))))))))))))</f>
        <v/>
      </c>
      <c r="AD3216" s="712"/>
      <c r="AE3216" s="513" t="str">
        <f t="shared" si="2432"/>
        <v/>
      </c>
      <c r="AF3216" s="713" t="str">
        <f t="shared" si="2433"/>
        <v/>
      </c>
      <c r="AG3216" s="713"/>
      <c r="AH3216" s="713"/>
      <c r="AI3216" s="112">
        <f>IF(H3216="credit",0,IF(AE3216="free",0,IF(AE3216="me",0,IF(G3216&gt;0,(VLOOKUP(A3216,'Discount Lookup'!J:K,2)*G3216),0))))</f>
        <v>0</v>
      </c>
      <c r="AJ3216" s="107" t="str">
        <f t="shared" ca="1" si="2434"/>
        <v/>
      </c>
      <c r="AK3216" s="714" t="str">
        <f t="shared" si="2435"/>
        <v/>
      </c>
      <c r="AL3216" s="714"/>
      <c r="AM3216" s="114" t="str">
        <f t="shared" si="2436"/>
        <v/>
      </c>
      <c r="AN3216" s="115"/>
      <c r="AO3216" s="116"/>
      <c r="AP3216" s="116"/>
      <c r="AQ3216" s="116"/>
      <c r="AR3216" s="116"/>
      <c r="AS3216" s="116"/>
      <c r="AT3216" s="116"/>
      <c r="AU3216" s="116"/>
      <c r="AV3216" s="78"/>
      <c r="AW3216" s="102"/>
      <c r="AX3216" s="78"/>
      <c r="AY3216" s="78"/>
      <c r="AZ3216" s="78"/>
      <c r="BA3216" s="78"/>
      <c r="BB3216" s="78"/>
      <c r="BC3216" s="78"/>
      <c r="BD3216" s="78"/>
      <c r="BE3216" s="465"/>
      <c r="BF3216" s="165" t="str">
        <f t="shared" si="2437"/>
        <v>https://www.google.com/search?tbm=isch&amp;q=3%20G6</v>
      </c>
      <c r="BG3216" s="165" t="str">
        <f t="shared" si="2438"/>
        <v>P</v>
      </c>
      <c r="BH3216" s="65"/>
      <c r="BI3216" s="65"/>
      <c r="BJ3216" s="65"/>
      <c r="BK3216" s="65"/>
      <c r="BL3216" s="99"/>
      <c r="BM3216" s="99"/>
      <c r="BN3216" s="99"/>
    </row>
    <row r="3217" spans="1:66" s="51" customFormat="1" ht="16.5" x14ac:dyDescent="0.25">
      <c r="A3217" s="641" t="s">
        <v>4881</v>
      </c>
      <c r="B3217" s="642"/>
      <c r="C3217" s="710"/>
      <c r="D3217" s="643"/>
      <c r="E3217" s="643"/>
      <c r="F3217" s="644"/>
      <c r="G3217" s="645"/>
      <c r="H3217" s="646"/>
      <c r="I3217" s="647"/>
      <c r="J3217" s="648"/>
      <c r="K3217" s="649"/>
      <c r="L3217" s="650"/>
      <c r="M3217" s="650"/>
      <c r="N3217" s="644"/>
      <c r="O3217" s="644"/>
      <c r="P3217" s="644"/>
      <c r="Q3217" s="644"/>
      <c r="R3217" s="644"/>
      <c r="S3217" s="701" t="s">
        <v>5297</v>
      </c>
      <c r="T3217" s="102">
        <f t="shared" si="2426"/>
        <v>0</v>
      </c>
      <c r="U3217" s="78" t="str">
        <f>IF(NOT(ISNUMBER(G3217)), "", VLOOKUP(A3217,'Discount Lookup'!D:E,2,FALSE)*G3217)</f>
        <v/>
      </c>
      <c r="V3217" s="78" t="str">
        <f>IF(NOT(ISNUMBER(G3217)), "", VLOOKUP(A3217,'Discount Lookup'!G:H,2,FALSE)*G3217)</f>
        <v/>
      </c>
      <c r="W3217" s="102">
        <f t="shared" si="2427"/>
        <v>0</v>
      </c>
      <c r="X3217" s="102">
        <f t="shared" si="2428"/>
        <v>0</v>
      </c>
      <c r="Y3217" s="120" t="b">
        <f t="shared" si="2429"/>
        <v>0</v>
      </c>
      <c r="Z3217" s="117">
        <f t="shared" si="2430"/>
        <v>0</v>
      </c>
      <c r="AA3217" s="118"/>
      <c r="AB3217" s="118" t="str">
        <f t="shared" si="2431"/>
        <v/>
      </c>
      <c r="AC3217" s="712" t="str">
        <f>IF(AE3217="T2G","no charge",IF(AND(OR(PlanterYesMe="No",PlanterYesMe="N",PlanterYesMe="me"),H3217=""),"",IF(H3217="credit","NO install",IF(AND(K3217="",AE3217="me"),"EACH row",IF(AND(K3217="images",AE3217="me"),"EACH row",IF(D3217="","",IF(H3217="credit","",IF(AE3217="free","re-planting",IF(AE3217="me","   not ELP, by",IF(AND(OR(PlanterYesMe="Yes",PlanterYesMe="Y"),G3217&gt;0),(VLOOKUP(A3217,'Discount Lookup'!J:K,2)*G3217*(1-PlanterDiscount)*(1+PlanterDifficultyPercentage)),IF(AE3217="ELP",(VLOOKUP(A3217,'Discount Lookup'!J:K,2)*G3217*(1-PlanterDiscount)*(1+PlanterDifficultyPercentage)),IF(AE3217="free","re-planting",IF(G3217=0,"",IF(PlanterYesMe="",IF(AE3217="me","   not ELP, by",IF(AE3217="",IF(G3217&gt;0,(VLOOKUP(A3217,'Discount Lookup'!J:K,2)*G3217*(1-PlanterDiscount)*(1+PlanterDifficultyPercentage)),""),"")),"   not ELP, by"))))))))))))))</f>
        <v/>
      </c>
      <c r="AD3217" s="712"/>
      <c r="AE3217" s="513" t="str">
        <f t="shared" si="2432"/>
        <v/>
      </c>
      <c r="AF3217" s="713" t="str">
        <f t="shared" si="2433"/>
        <v/>
      </c>
      <c r="AG3217" s="713"/>
      <c r="AH3217" s="713"/>
      <c r="AI3217" s="112">
        <f>IF(H3217="credit",0,IF(AE3217="free",0,IF(AE3217="me",0,IF(G3217&gt;0,(VLOOKUP(A3217,'Discount Lookup'!J:K,2)*G3217),0))))</f>
        <v>0</v>
      </c>
      <c r="AJ3217" s="107" t="str">
        <f t="shared" ca="1" si="2434"/>
        <v/>
      </c>
      <c r="AK3217" s="714" t="str">
        <f t="shared" si="2435"/>
        <v/>
      </c>
      <c r="AL3217" s="714"/>
      <c r="AM3217" s="114" t="str">
        <f t="shared" si="2436"/>
        <v/>
      </c>
      <c r="AN3217" s="115"/>
      <c r="AO3217" s="116"/>
      <c r="AP3217" s="116"/>
      <c r="AQ3217" s="116"/>
      <c r="AR3217" s="116"/>
      <c r="AS3217" s="116"/>
      <c r="AT3217" s="116"/>
      <c r="AU3217" s="116"/>
      <c r="AV3217" s="78"/>
      <c r="AW3217" s="102"/>
      <c r="AX3217" s="78"/>
      <c r="AY3217" s="78"/>
      <c r="AZ3217" s="78"/>
      <c r="BA3217" s="78"/>
      <c r="BB3217" s="78"/>
      <c r="BC3217" s="78"/>
      <c r="BD3217" s="78"/>
      <c r="BE3217" s="465"/>
      <c r="BF3217" s="165" t="str">
        <f t="shared" si="2437"/>
        <v>https://www.google.com/search?tbm=isch&amp;q=Paladin%20has%20large%2C%20fragrant%2C%20and%20stunning%20double%20blooms%20that%20stand%20out%20brilliantly%20in%20the%20late%20spring%20garden%20</v>
      </c>
      <c r="BG3217" s="165" t="str">
        <f t="shared" si="2438"/>
        <v>P</v>
      </c>
      <c r="BH3217" s="65"/>
      <c r="BI3217" s="65"/>
      <c r="BJ3217" s="65"/>
      <c r="BK3217" s="65"/>
      <c r="BL3217" s="99"/>
      <c r="BM3217" s="99"/>
      <c r="BN3217" s="99"/>
    </row>
    <row r="3218" spans="1:66" s="51" customFormat="1" ht="19.5" thickBot="1" x14ac:dyDescent="0.3">
      <c r="A3218" s="686" t="s">
        <v>656</v>
      </c>
      <c r="B3218" s="73"/>
      <c r="C3218" s="708"/>
      <c r="D3218" s="73"/>
      <c r="E3218" s="73"/>
      <c r="F3218" s="496"/>
      <c r="G3218" s="73"/>
      <c r="H3218" s="73"/>
      <c r="I3218" s="73"/>
      <c r="J3218" s="497" t="s">
        <v>357</v>
      </c>
      <c r="K3218" s="498"/>
      <c r="L3218" s="562"/>
      <c r="M3218" s="73"/>
      <c r="N3218"/>
      <c r="O3218"/>
      <c r="P3218"/>
      <c r="Q3218"/>
      <c r="R3218"/>
      <c r="S3218"/>
      <c r="T3218" s="102">
        <f t="shared" si="2426"/>
        <v>0</v>
      </c>
      <c r="U3218" s="78" t="str">
        <f>IF(NOT(ISNUMBER(G3218)), "", VLOOKUP(A3218,'Discount Lookup'!D:E,2,FALSE)*G3218)</f>
        <v/>
      </c>
      <c r="V3218" s="78" t="str">
        <f>IF(NOT(ISNUMBER(G3218)), "", VLOOKUP(A3218,'Discount Lookup'!G:H,2,FALSE)*G3218)</f>
        <v/>
      </c>
      <c r="W3218" s="102">
        <f t="shared" si="2427"/>
        <v>0</v>
      </c>
      <c r="X3218" s="102">
        <f t="shared" si="2428"/>
        <v>0</v>
      </c>
      <c r="Y3218" s="120" t="b">
        <f t="shared" si="2429"/>
        <v>0</v>
      </c>
      <c r="Z3218" s="117">
        <f t="shared" si="2430"/>
        <v>0</v>
      </c>
      <c r="AA3218" s="118"/>
      <c r="AB3218" s="118" t="str">
        <f t="shared" si="2431"/>
        <v/>
      </c>
      <c r="AC3218" s="712" t="str">
        <f>IF(AE3218="T2G","no charge",IF(AND(OR(PlanterYesMe="No",PlanterYesMe="N",PlanterYesMe="me"),H3218=""),"",IF(H3218="credit","NO install",IF(AND(K3218="",AE3218="me"),"EACH row",IF(AND(K3218="images",AE3218="me"),"EACH row",IF(D3218="","",IF(H3218="credit","",IF(AE3218="free","re-planting",IF(AE3218="me","   not ELP, by",IF(AND(OR(PlanterYesMe="Yes",PlanterYesMe="Y"),G3218&gt;0),(VLOOKUP(A3218,'Discount Lookup'!J:K,2)*G3218*(1-PlanterDiscount)*(1+PlanterDifficultyPercentage)),IF(AE3218="ELP",(VLOOKUP(A3218,'Discount Lookup'!J:K,2)*G3218*(1-PlanterDiscount)*(1+PlanterDifficultyPercentage)),IF(AE3218="free","re-planting",IF(G3218=0,"",IF(PlanterYesMe="",IF(AE3218="me","   not ELP, by",IF(AE3218="",IF(G3218&gt;0,(VLOOKUP(A3218,'Discount Lookup'!J:K,2)*G3218*(1-PlanterDiscount)*(1+PlanterDifficultyPercentage)),""),"")),"   not ELP, by"))))))))))))))</f>
        <v/>
      </c>
      <c r="AD3218" s="712"/>
      <c r="AE3218" s="513" t="str">
        <f t="shared" si="2432"/>
        <v/>
      </c>
      <c r="AF3218" s="713" t="str">
        <f t="shared" si="2433"/>
        <v/>
      </c>
      <c r="AG3218" s="713"/>
      <c r="AH3218" s="713"/>
      <c r="AI3218" s="112">
        <f>IF(H3218="credit",0,IF(AE3218="free",0,IF(AE3218="me",0,IF(G3218&gt;0,(VLOOKUP(A3218,'Discount Lookup'!J:K,2)*G3218),0))))</f>
        <v>0</v>
      </c>
      <c r="AJ3218" s="107" t="str">
        <f t="shared" ca="1" si="2434"/>
        <v/>
      </c>
      <c r="AK3218" s="714" t="str">
        <f t="shared" si="2435"/>
        <v/>
      </c>
      <c r="AL3218" s="714"/>
      <c r="AM3218" s="114" t="str">
        <f t="shared" si="2436"/>
        <v/>
      </c>
      <c r="AN3218" s="115"/>
      <c r="AO3218" s="116"/>
      <c r="AP3218" s="116"/>
      <c r="AQ3218" s="116"/>
      <c r="AR3218" s="116"/>
      <c r="AS3218" s="116"/>
      <c r="AT3218" s="116"/>
      <c r="AU3218" s="116"/>
      <c r="AV3218" s="78"/>
      <c r="AW3218" s="102"/>
      <c r="AX3218" s="78"/>
      <c r="AY3218" s="78"/>
      <c r="AZ3218" s="78"/>
      <c r="BA3218" s="78"/>
      <c r="BB3218" s="78"/>
      <c r="BC3218" s="78"/>
      <c r="BD3218" s="78"/>
      <c r="BE3218" s="465"/>
      <c r="BF3218" s="165" t="str">
        <f t="shared" si="2437"/>
        <v>https://www.google.com/search?tbm=isch&amp;q=Panicum%20%3D%20Switchgrass%20</v>
      </c>
      <c r="BG3218" s="165" t="str">
        <f t="shared" si="2438"/>
        <v>P</v>
      </c>
      <c r="BH3218" s="65"/>
      <c r="BI3218" s="65"/>
      <c r="BJ3218" s="65"/>
      <c r="BK3218" s="65"/>
      <c r="BL3218" s="99"/>
      <c r="BM3218" s="99"/>
      <c r="BN3218" s="99"/>
    </row>
    <row r="3219" spans="1:66" s="51" customFormat="1" ht="18" x14ac:dyDescent="0.25">
      <c r="A3219" s="623" t="s">
        <v>3741</v>
      </c>
      <c r="B3219" s="624"/>
      <c r="C3219" s="709"/>
      <c r="D3219" s="625" t="s">
        <v>3742</v>
      </c>
      <c r="E3219" s="626"/>
      <c r="F3219" s="626"/>
      <c r="G3219" s="626"/>
      <c r="H3219" s="622" t="s">
        <v>1126</v>
      </c>
      <c r="I3219" s="627" t="s">
        <v>3743</v>
      </c>
      <c r="J3219" s="628"/>
      <c r="K3219" s="628"/>
      <c r="L3219" s="629"/>
      <c r="M3219" s="700" t="s">
        <v>5241</v>
      </c>
      <c r="N3219" s="693" t="str">
        <f>IF(AND(ISTEXT($A3219), ISERROR($A3219+0)), HYPERLINK($BF3219, "Images"), "")</f>
        <v>Images</v>
      </c>
      <c r="O3219" s="695" t="s">
        <v>5244</v>
      </c>
      <c r="P3219" s="630"/>
      <c r="Q3219" s="631"/>
      <c r="R3219" s="632"/>
      <c r="S3219" s="633" t="s">
        <v>294</v>
      </c>
      <c r="T3219" s="102">
        <f t="shared" si="2426"/>
        <v>0</v>
      </c>
      <c r="U3219" s="78" t="str">
        <f>IF(NOT(ISNUMBER(G3219)), "", VLOOKUP(A3219,'Discount Lookup'!D:E,2,FALSE)*G3219)</f>
        <v/>
      </c>
      <c r="V3219" s="78" t="str">
        <f>IF(NOT(ISNUMBER(G3219)), "", VLOOKUP(A3219,'Discount Lookup'!G:H,2,FALSE)*G3219)</f>
        <v/>
      </c>
      <c r="W3219" s="102">
        <f t="shared" si="2427"/>
        <v>0</v>
      </c>
      <c r="X3219" s="102" t="str">
        <f t="shared" si="2428"/>
        <v>Metallic Blue-Green blades</v>
      </c>
      <c r="Y3219" s="120" t="b">
        <f t="shared" si="2429"/>
        <v>0</v>
      </c>
      <c r="Z3219" s="117">
        <f t="shared" si="2430"/>
        <v>0</v>
      </c>
      <c r="AA3219" s="118"/>
      <c r="AB3219" s="118" t="str">
        <f t="shared" si="2431"/>
        <v/>
      </c>
      <c r="AC3219" s="712" t="str">
        <f>IF(AE3219="T2G","no charge",IF(AND(OR(PlanterYesMe="No",PlanterYesMe="N",PlanterYesMe="me"),H3219=""),"",IF(H3219="credit","NO install",IF(AND(K3219="",AE3219="me"),"EACH row",IF(AND(K3219="images",AE3219="me"),"EACH row",IF(D3219="","",IF(H3219="credit","",IF(AE3219="free","re-planting",IF(AE3219="me","   not ELP, by",IF(AND(OR(PlanterYesMe="Yes",PlanterYesMe="Y"),G3219&gt;0),(VLOOKUP(A3219,'Discount Lookup'!J:K,2)*G3219*(1-PlanterDiscount)*(1+PlanterDifficultyPercentage)),IF(AE3219="ELP",(VLOOKUP(A3219,'Discount Lookup'!J:K,2)*G3219*(1-PlanterDiscount)*(1+PlanterDifficultyPercentage)),IF(AE3219="free","re-planting",IF(G3219=0,"",IF(PlanterYesMe="",IF(AE3219="me","   not ELP, by",IF(AE3219="",IF(G3219&gt;0,(VLOOKUP(A3219,'Discount Lookup'!J:K,2)*G3219*(1-PlanterDiscount)*(1+PlanterDifficultyPercentage)),""),"")),"   not ELP, by"))))))))))))))</f>
        <v/>
      </c>
      <c r="AD3219" s="712"/>
      <c r="AE3219" s="513" t="str">
        <f t="shared" si="2432"/>
        <v/>
      </c>
      <c r="AF3219" s="713" t="str">
        <f t="shared" si="2433"/>
        <v/>
      </c>
      <c r="AG3219" s="713"/>
      <c r="AH3219" s="713"/>
      <c r="AI3219" s="112">
        <f>IF(H3219="credit",0,IF(AE3219="free",0,IF(AE3219="me",0,IF(G3219&gt;0,(VLOOKUP(A3219,'Discount Lookup'!J:K,2)*G3219),0))))</f>
        <v>0</v>
      </c>
      <c r="AJ3219" s="107" t="str">
        <f t="shared" ca="1" si="2434"/>
        <v/>
      </c>
      <c r="AK3219" s="714" t="str">
        <f t="shared" si="2435"/>
        <v/>
      </c>
      <c r="AL3219" s="714"/>
      <c r="AM3219" s="114" t="str">
        <f t="shared" si="2436"/>
        <v/>
      </c>
      <c r="AN3219" s="115"/>
      <c r="AO3219" s="116"/>
      <c r="AP3219" s="116"/>
      <c r="AQ3219" s="116"/>
      <c r="AR3219" s="116"/>
      <c r="AS3219" s="116"/>
      <c r="AT3219" s="116"/>
      <c r="AU3219" s="116"/>
      <c r="AV3219" s="78"/>
      <c r="AW3219" s="102"/>
      <c r="AX3219" s="78"/>
      <c r="AY3219" s="78"/>
      <c r="AZ3219" s="78"/>
      <c r="BA3219" s="78"/>
      <c r="BB3219" s="78"/>
      <c r="BC3219" s="78"/>
      <c r="BD3219" s="78"/>
      <c r="BE3219" s="465"/>
      <c r="BF3219" s="165" t="str">
        <f t="shared" si="2437"/>
        <v>https://www.google.com/search?tbm=isch&amp;q=Panicum%20virgatum%20%27Heavy%20Metal%27%20Heavy%20Metal%20Switchgrass</v>
      </c>
      <c r="BG3219" s="165" t="str">
        <f t="shared" si="2438"/>
        <v>P</v>
      </c>
      <c r="BH3219" s="65"/>
      <c r="BI3219" s="65"/>
      <c r="BJ3219" s="65"/>
      <c r="BK3219" s="65"/>
      <c r="BL3219" s="99"/>
      <c r="BM3219" s="99"/>
      <c r="BN3219" s="99"/>
    </row>
    <row r="3220" spans="1:66" s="51" customFormat="1" ht="15.75" x14ac:dyDescent="0.25">
      <c r="A3220" s="634">
        <v>3</v>
      </c>
      <c r="B3220" s="635" t="s">
        <v>291</v>
      </c>
      <c r="C3220" s="636"/>
      <c r="D3220" s="637" t="s">
        <v>310</v>
      </c>
      <c r="E3220" s="638">
        <v>25.95</v>
      </c>
      <c r="F3220" s="639" t="s">
        <v>292</v>
      </c>
      <c r="G3220" s="484">
        <v>0</v>
      </c>
      <c r="H3220" s="691" t="str">
        <f>IF(G3220=0,"",IF(F3220="Buy",IF(G3220=1,"plant","plants"),IF(F3220&gt;0.01,"warranty","Error")))</f>
        <v/>
      </c>
      <c r="I3220" s="640">
        <f>IF(H3220="free",0,IF(H3220="credit",((E3220*(F3220))*G3220*-1),IF(F3220="Buy",(E3220*G3220),((E3220*(1-F3220))*G3220))))</f>
        <v>0</v>
      </c>
      <c r="J3220" s="640">
        <f>IF(H3220="warranty",0,(I3220*(_xlfn.SINGLE(SalesTaxPercentage))))</f>
        <v>0</v>
      </c>
      <c r="K3220" s="716">
        <f t="shared" ref="K3220" si="2486">I3220+J3220</f>
        <v>0</v>
      </c>
      <c r="L3220" s="716"/>
      <c r="M3220" s="689" t="str">
        <f ca="1">IF(AND(G3220&gt;0,E3220=0),"WARNING - no PRICE inserted",IF(H3220="free","FREE ~ no charge this plant",IF(H3220="credit",CONCATENATE("-$",ROUND(K3220*(1-_xlfn.SINGLE(T2GDiscount))*-1,2)," CREDIT after discount"),IF(_xlfn.SINGLE(T2GDiscount)=0,"",IF(G3220=0,"",IF(F3220="Buy",CONCATENATE("$",ROUND(K3220*(1-_xlfn.SINGLE(T2GDiscount)),2)," with ",(_xlfn.SINGLE(T2GDiscount)*100),"% discount"),CONCATENATE("$",ROUND(K3220*(1-_xlfn.SINGLE(T2GDiscount)),2)," with ",((_xlfn.SINGLE(T2GDiscount)*100+F3220*100)-(_xlfn.SINGLE(T2GDiscount)*100*F3220)),IF(F3220&gt;0,"% discounts",IF(_xlfn.SINGLE(NoWarrantyDiscount)&gt;0,"% discounts","% discount")))))))))</f>
        <v/>
      </c>
      <c r="N3220" s="690"/>
      <c r="O3220" s="486"/>
      <c r="P3220" s="486"/>
      <c r="Q3220" s="486"/>
      <c r="R3220" s="486"/>
      <c r="S3220" s="486"/>
      <c r="T3220" s="102">
        <f t="shared" ref="T3220:T3283" si="2487">E3220*G3220</f>
        <v>0</v>
      </c>
      <c r="U3220" s="78">
        <f>IF(NOT(ISNUMBER(G3220)), "", VLOOKUP(A3220,'Discount Lookup'!D:E,2,FALSE)*G3220)</f>
        <v>0</v>
      </c>
      <c r="V3220" s="78">
        <f>IF(NOT(ISNUMBER(G3220)), "", VLOOKUP(A3220,'Discount Lookup'!G:H,2,FALSE)*G3220)</f>
        <v>0</v>
      </c>
      <c r="W3220" s="102">
        <f t="shared" ref="W3220:W3283" si="2488">IF(H3220="credit",0,E3220*(SalesTaxPercentage)*G3220)</f>
        <v>0</v>
      </c>
      <c r="X3220" s="102">
        <f t="shared" ref="X3220:X3283" si="2489">I3220</f>
        <v>0</v>
      </c>
      <c r="Y3220" s="120" t="b">
        <f t="shared" ref="Y3220:Y3283" si="2490">IF(AE3220="T2G",0,IF(H3220="credit",0,IF(G3220&gt;0,IF(AE3220="me","",G3220))))</f>
        <v>0</v>
      </c>
      <c r="Z3220" s="117">
        <f t="shared" ref="Z3220:Z3283" si="2491">IF(H3220="credit",G3220,0)</f>
        <v>0</v>
      </c>
      <c r="AA3220" s="118"/>
      <c r="AB3220" s="118" t="str">
        <f t="shared" ref="AB3220:AB3283" si="2492">IF(AE3220="T2G","by Trees2Go",IF(H3220="credit","CREDIT only ~",IF(AND(K3220="",AE3220=OR(PlanterYesMe="No",PlanterYesMe="N",PlanterYesMe="me")),"not THIS line⇨",IF(AND(K3220="images",AE3220="me"),"not THIS line⇨",IF(H3220="credit","",IF(G3220=0,"",IF(AE3220="me","",IF(OR(PlanterYesMe="No",PlanterYesMe="N",PlanterYesMe="me"),"",IF(AE3220="free","warranty",IF(OR(PlanterYesMe="yes",PlanterYesMe="y"),"Edison install:","to install:"))))))))))</f>
        <v/>
      </c>
      <c r="AC3220" s="712" t="str">
        <f>IF(AE3220="T2G","no charge",IF(AND(OR(PlanterYesMe="No",PlanterYesMe="N",PlanterYesMe="me"),H3220=""),"",IF(H3220="credit","NO install",IF(AND(K3220="",AE3220="me"),"EACH row",IF(AND(K3220="images",AE3220="me"),"EACH row",IF(D3220="","",IF(H3220="credit","",IF(AE3220="free","re-planting",IF(AE3220="me","   not ELP, by",IF(AND(OR(PlanterYesMe="Yes",PlanterYesMe="Y"),G3220&gt;0),(VLOOKUP(A3220,'Discount Lookup'!J:K,2)*G3220*(1-PlanterDiscount)*(1+PlanterDifficultyPercentage)),IF(AE3220="ELP",(VLOOKUP(A3220,'Discount Lookup'!J:K,2)*G3220*(1-PlanterDiscount)*(1+PlanterDifficultyPercentage)),IF(AE3220="free","re-planting",IF(G3220=0,"",IF(PlanterYesMe="",IF(AE3220="me","   not ELP, by",IF(AE3220="",IF(G3220&gt;0,(VLOOKUP(A3220,'Discount Lookup'!J:K,2)*G3220*(1-PlanterDiscount)*(1+PlanterDifficultyPercentage)),""),"")),"   not ELP, by"))))))))))))))</f>
        <v/>
      </c>
      <c r="AD3220" s="712"/>
      <c r="AE3220" s="513" t="str">
        <f t="shared" ref="AE3220:AE3283" si="2493">IF(H3220="credit","",IF(G3220=0,"",IF(OR(PlanterYesMe="No",PlanterYesMe="N",PlanterYesMe="me"),"me",IF(H3220="warranty","free",IF(OR(PlanterYesMe="yes",PlanterYesMe="y"),"ELP","")))))</f>
        <v/>
      </c>
      <c r="AF3220" s="713" t="str">
        <f t="shared" ref="AF3220:AF3283" si="2494">IF(OR(PlanterYesMe="No",PlanterYesMe="N",PlanterYesMe="me"),"",IF(H3220="credit","",IF(G3220&gt;0,(CONCATENATE((G3220)," quantity, ",(A3220)," ",B3220)),"")))</f>
        <v/>
      </c>
      <c r="AG3220" s="713"/>
      <c r="AH3220" s="713"/>
      <c r="AI3220" s="112">
        <f>IF(H3220="credit",0,IF(AE3220="free",0,IF(AE3220="me",0,IF(G3220&gt;0,(VLOOKUP(A3220,'Discount Lookup'!J:K,2)*G3220),0))))</f>
        <v>0</v>
      </c>
      <c r="AJ3220" s="107" t="str">
        <f t="shared" ref="AJ3220:AJ3283" ca="1" si="2495">IF(AND(ISREF(H3220),H3220="credit"),"",IF(AND(AND(OFFSET(G3220,0,0)=0,OFFSET(G3220,1,0)&gt;0,ISNUMBER(OFFSET(AC3220,1,0)),OFFSET(AC3220,1,0)&gt;0),OR(PlanterYesMe="yes",PlanterYesMe="y")),"T2G+ELP=",IF(AND(OFFSET(G3220,0,0)=0,OFFSET(G3220,1,0)&gt;0,ISNUMBER(OFFSET(AC3220,1,0)),OFFSET(AC3220,1,0)&gt;0),"if T2G+ELP=",IF(AND(OFFSET(G3220,0,0)=0,OFFSET(G3220,1,0)&gt;0),"T2G Subtotal",IF(H3220="credit","",IF(G3220=0,"",IF(AE3220="free",(K3220*(1-T2GDiscount)),IF(OR(PlanterYesMe="No",PlanterYesMe="N",PlanterYesMe="me"),(K3220*(1-T2GDiscount)),IF(OR(AE3220="me",AE3220="T2G"),(K3220*(1-T2GDiscount)),(K3220*(1-T2GDiscount))+AC3220)))))))))</f>
        <v/>
      </c>
      <c r="AK3220" s="714" t="str">
        <f t="shared" ref="AK3220:AK3283" si="2496">IF(H3220="credit","",IF(G3220=0,"",IF(OR(AE3220="me",AE3220="T2G"),"  delivery-only",IF(OR(PlanterYesMe="No",PlanterYesMe="N",PlanterYesMe="me"),"  delivery-only",CONCATENATE(" $",ROUND(AJ3220/G3220,2)," each")))))</f>
        <v/>
      </c>
      <c r="AL3220" s="714"/>
      <c r="AM3220" s="114" t="str">
        <f t="shared" ref="AM3220:AM3283" si="2497">IF(H3220="credit","",IF(AE3220="free","      ~ discounts included, no tax or planting fee applies ~",IF(G3220=0,"",IF(OR(PlanterYesMe="No",PlanterYesMe="N",PlanterYesMe="me"),CONCATENATE(" $",ROUND(AJ3220/G3220,2)," per plant, with tax &amp; discount"),IF(OR(AE3220="me",AE3220="T2G"),CONCATENATE(" $",ROUND(AJ3220/G3220,2)," per plant, with tax &amp; discount"),CONCATENATE("= $",ROUND((K3220*(1-T2GDiscount))/G3220,2)," per plant + $",AC3220/G3220,(" per planting      ~ includes tax &amp; discounts ~")))))))</f>
        <v/>
      </c>
      <c r="AN3220" s="115"/>
      <c r="AO3220" s="116"/>
      <c r="AP3220" s="116"/>
      <c r="AQ3220" s="116"/>
      <c r="AR3220" s="116"/>
      <c r="AS3220" s="116"/>
      <c r="AT3220" s="116"/>
      <c r="AU3220" s="116"/>
      <c r="AV3220" s="78"/>
      <c r="AW3220" s="102"/>
      <c r="AX3220" s="78"/>
      <c r="AY3220" s="78"/>
      <c r="AZ3220" s="78"/>
      <c r="BA3220" s="78"/>
      <c r="BB3220" s="78"/>
      <c r="BC3220" s="78"/>
      <c r="BD3220" s="78"/>
      <c r="BE3220" s="465"/>
      <c r="BF3220" s="165" t="str">
        <f t="shared" ref="BF3220:BF3283" si="2498">"https://www.google.com/search?tbm=isch&amp;q=" &amp; _xlfn.ENCODEURL($A3220 &amp; " " &amp; $D3220)</f>
        <v>https://www.google.com/search?tbm=isch&amp;q=3%20G1</v>
      </c>
      <c r="BG3220" s="165" t="str">
        <f t="shared" ref="BG3220:BG3283" si="2499">IF(ISTEXT(A3220),LEFT(A3220,1),BG3219)</f>
        <v>P</v>
      </c>
      <c r="BH3220" s="65"/>
      <c r="BI3220" s="65"/>
      <c r="BJ3220" s="65"/>
      <c r="BK3220" s="65"/>
      <c r="BL3220" s="99"/>
      <c r="BM3220" s="99"/>
      <c r="BN3220" s="99"/>
    </row>
    <row r="3221" spans="1:66" s="51" customFormat="1" ht="17.25" thickBot="1" x14ac:dyDescent="0.3">
      <c r="A3221" s="704" t="s">
        <v>5499</v>
      </c>
      <c r="B3221" s="642"/>
      <c r="C3221" s="710"/>
      <c r="D3221" s="643"/>
      <c r="E3221" s="643"/>
      <c r="F3221" s="644"/>
      <c r="G3221" s="645"/>
      <c r="H3221" s="646"/>
      <c r="I3221" s="647"/>
      <c r="J3221" s="648"/>
      <c r="K3221" s="649"/>
      <c r="L3221" s="650"/>
      <c r="M3221" s="650"/>
      <c r="N3221" s="644"/>
      <c r="O3221" s="644"/>
      <c r="P3221" s="644"/>
      <c r="Q3221" s="644"/>
      <c r="R3221" s="644"/>
      <c r="S3221" s="701" t="s">
        <v>5272</v>
      </c>
      <c r="T3221" s="102">
        <f t="shared" si="2487"/>
        <v>0</v>
      </c>
      <c r="U3221" s="78" t="str">
        <f>IF(NOT(ISNUMBER(G3221)), "", VLOOKUP(A3221,'Discount Lookup'!D:E,2,FALSE)*G3221)</f>
        <v/>
      </c>
      <c r="V3221" s="78" t="str">
        <f>IF(NOT(ISNUMBER(G3221)), "", VLOOKUP(A3221,'Discount Lookup'!G:H,2,FALSE)*G3221)</f>
        <v/>
      </c>
      <c r="W3221" s="102">
        <f t="shared" si="2488"/>
        <v>0</v>
      </c>
      <c r="X3221" s="102">
        <f t="shared" si="2489"/>
        <v>0</v>
      </c>
      <c r="Y3221" s="120" t="b">
        <f t="shared" si="2490"/>
        <v>0</v>
      </c>
      <c r="Z3221" s="117">
        <f t="shared" si="2491"/>
        <v>0</v>
      </c>
      <c r="AA3221" s="118"/>
      <c r="AB3221" s="118" t="str">
        <f t="shared" si="2492"/>
        <v/>
      </c>
      <c r="AC3221" s="712" t="str">
        <f>IF(AE3221="T2G","no charge",IF(AND(OR(PlanterYesMe="No",PlanterYesMe="N",PlanterYesMe="me"),H3221=""),"",IF(H3221="credit","NO install",IF(AND(K3221="",AE3221="me"),"EACH row",IF(AND(K3221="images",AE3221="me"),"EACH row",IF(D3221="","",IF(H3221="credit","",IF(AE3221="free","re-planting",IF(AE3221="me","   not ELP, by",IF(AND(OR(PlanterYesMe="Yes",PlanterYesMe="Y"),G3221&gt;0),(VLOOKUP(A3221,'Discount Lookup'!J:K,2)*G3221*(1-PlanterDiscount)*(1+PlanterDifficultyPercentage)),IF(AE3221="ELP",(VLOOKUP(A3221,'Discount Lookup'!J:K,2)*G3221*(1-PlanterDiscount)*(1+PlanterDifficultyPercentage)),IF(AE3221="free","re-planting",IF(G3221=0,"",IF(PlanterYesMe="",IF(AE3221="me","   not ELP, by",IF(AE3221="",IF(G3221&gt;0,(VLOOKUP(A3221,'Discount Lookup'!J:K,2)*G3221*(1-PlanterDiscount)*(1+PlanterDifficultyPercentage)),""),"")),"   not ELP, by"))))))))))))))</f>
        <v/>
      </c>
      <c r="AD3221" s="712"/>
      <c r="AE3221" s="513" t="str">
        <f t="shared" si="2493"/>
        <v/>
      </c>
      <c r="AF3221" s="713" t="str">
        <f t="shared" si="2494"/>
        <v/>
      </c>
      <c r="AG3221" s="713"/>
      <c r="AH3221" s="713"/>
      <c r="AI3221" s="112">
        <f>IF(H3221="credit",0,IF(AE3221="free",0,IF(AE3221="me",0,IF(G3221&gt;0,(VLOOKUP(A3221,'Discount Lookup'!J:K,2)*G3221),0))))</f>
        <v>0</v>
      </c>
      <c r="AJ3221" s="107" t="str">
        <f t="shared" ca="1" si="2495"/>
        <v/>
      </c>
      <c r="AK3221" s="714" t="str">
        <f t="shared" si="2496"/>
        <v/>
      </c>
      <c r="AL3221" s="714"/>
      <c r="AM3221" s="114" t="str">
        <f t="shared" si="2497"/>
        <v/>
      </c>
      <c r="AN3221" s="115"/>
      <c r="AO3221" s="116"/>
      <c r="AP3221" s="116"/>
      <c r="AQ3221" s="116"/>
      <c r="AR3221" s="116"/>
      <c r="AS3221" s="116"/>
      <c r="AT3221" s="116"/>
      <c r="AU3221" s="116"/>
      <c r="AV3221" s="78"/>
      <c r="AW3221" s="102"/>
      <c r="AX3221" s="78"/>
      <c r="AY3221" s="78"/>
      <c r="AZ3221" s="78"/>
      <c r="BA3221" s="78"/>
      <c r="BB3221" s="78"/>
      <c r="BC3221" s="78"/>
      <c r="BD3221" s="78"/>
      <c r="BE3221" s="465"/>
      <c r="BF3221" s="165" t="str">
        <f t="shared" si="2498"/>
        <v>https://www.google.com/search?tbm=isch&amp;q=moist%20sites%F0%9F%92%A7GOOD%2C%20Heavy%20Metal%20has%20Pink-tinged%20panicles%20aging%20to%20beige.%20Blades%20turn%20Orange-Yellow%20in%20fall%2C%20then%20Tan-Beige%20</v>
      </c>
      <c r="BG3221" s="165" t="str">
        <f t="shared" si="2499"/>
        <v>m</v>
      </c>
      <c r="BH3221" s="65"/>
      <c r="BI3221" s="65"/>
      <c r="BJ3221" s="65"/>
      <c r="BK3221" s="65"/>
      <c r="BL3221" s="99"/>
      <c r="BM3221" s="99"/>
      <c r="BN3221" s="99"/>
    </row>
    <row r="3222" spans="1:66" s="51" customFormat="1" ht="18" x14ac:dyDescent="0.25">
      <c r="A3222" s="623" t="s">
        <v>3744</v>
      </c>
      <c r="B3222" s="624"/>
      <c r="C3222" s="709"/>
      <c r="D3222" s="625" t="s">
        <v>3745</v>
      </c>
      <c r="E3222" s="626"/>
      <c r="F3222" s="626"/>
      <c r="G3222" s="626"/>
      <c r="H3222" s="622" t="s">
        <v>1726</v>
      </c>
      <c r="I3222" s="627" t="s">
        <v>3746</v>
      </c>
      <c r="J3222" s="628"/>
      <c r="K3222" s="628"/>
      <c r="L3222" s="629"/>
      <c r="M3222" s="700" t="s">
        <v>5241</v>
      </c>
      <c r="N3222" s="693" t="str">
        <f>IF(AND(ISTEXT($A3222), ISERROR($A3222+0)), HYPERLINK($BF3222, "Images"), "")</f>
        <v>Images</v>
      </c>
      <c r="O3222" s="695" t="s">
        <v>5244</v>
      </c>
      <c r="P3222" s="630"/>
      <c r="Q3222" s="631"/>
      <c r="R3222" s="632"/>
      <c r="S3222" s="633" t="s">
        <v>294</v>
      </c>
      <c r="T3222" s="102">
        <f t="shared" si="2487"/>
        <v>0</v>
      </c>
      <c r="U3222" s="78" t="str">
        <f>IF(NOT(ISNUMBER(G3222)), "", VLOOKUP(A3222,'Discount Lookup'!D:E,2,FALSE)*G3222)</f>
        <v/>
      </c>
      <c r="V3222" s="78" t="str">
        <f>IF(NOT(ISNUMBER(G3222)), "", VLOOKUP(A3222,'Discount Lookup'!G:H,2,FALSE)*G3222)</f>
        <v/>
      </c>
      <c r="W3222" s="102">
        <f t="shared" si="2488"/>
        <v>0</v>
      </c>
      <c r="X3222" s="102" t="str">
        <f t="shared" si="2489"/>
        <v>Olive-Blue-Green blades</v>
      </c>
      <c r="Y3222" s="120" t="b">
        <f t="shared" si="2490"/>
        <v>0</v>
      </c>
      <c r="Z3222" s="117">
        <f t="shared" si="2491"/>
        <v>0</v>
      </c>
      <c r="AA3222" s="118"/>
      <c r="AB3222" s="118" t="str">
        <f t="shared" si="2492"/>
        <v/>
      </c>
      <c r="AC3222" s="712" t="str">
        <f>IF(AE3222="T2G","no charge",IF(AND(OR(PlanterYesMe="No",PlanterYesMe="N",PlanterYesMe="me"),H3222=""),"",IF(H3222="credit","NO install",IF(AND(K3222="",AE3222="me"),"EACH row",IF(AND(K3222="images",AE3222="me"),"EACH row",IF(D3222="","",IF(H3222="credit","",IF(AE3222="free","re-planting",IF(AE3222="me","   not ELP, by",IF(AND(OR(PlanterYesMe="Yes",PlanterYesMe="Y"),G3222&gt;0),(VLOOKUP(A3222,'Discount Lookup'!J:K,2)*G3222*(1-PlanterDiscount)*(1+PlanterDifficultyPercentage)),IF(AE3222="ELP",(VLOOKUP(A3222,'Discount Lookup'!J:K,2)*G3222*(1-PlanterDiscount)*(1+PlanterDifficultyPercentage)),IF(AE3222="free","re-planting",IF(G3222=0,"",IF(PlanterYesMe="",IF(AE3222="me","   not ELP, by",IF(AE3222="",IF(G3222&gt;0,(VLOOKUP(A3222,'Discount Lookup'!J:K,2)*G3222*(1-PlanterDiscount)*(1+PlanterDifficultyPercentage)),""),"")),"   not ELP, by"))))))))))))))</f>
        <v/>
      </c>
      <c r="AD3222" s="712"/>
      <c r="AE3222" s="513" t="str">
        <f t="shared" si="2493"/>
        <v/>
      </c>
      <c r="AF3222" s="713" t="str">
        <f t="shared" si="2494"/>
        <v/>
      </c>
      <c r="AG3222" s="713"/>
      <c r="AH3222" s="713"/>
      <c r="AI3222" s="112">
        <f>IF(H3222="credit",0,IF(AE3222="free",0,IF(AE3222="me",0,IF(G3222&gt;0,(VLOOKUP(A3222,'Discount Lookup'!J:K,2)*G3222),0))))</f>
        <v>0</v>
      </c>
      <c r="AJ3222" s="107" t="str">
        <f t="shared" ca="1" si="2495"/>
        <v/>
      </c>
      <c r="AK3222" s="714" t="str">
        <f t="shared" si="2496"/>
        <v/>
      </c>
      <c r="AL3222" s="714"/>
      <c r="AM3222" s="114" t="str">
        <f t="shared" si="2497"/>
        <v/>
      </c>
      <c r="AN3222" s="115"/>
      <c r="AO3222" s="116"/>
      <c r="AP3222" s="116"/>
      <c r="AQ3222" s="116"/>
      <c r="AR3222" s="116"/>
      <c r="AS3222" s="116"/>
      <c r="AT3222" s="116"/>
      <c r="AU3222" s="116"/>
      <c r="AV3222" s="78"/>
      <c r="AW3222" s="102"/>
      <c r="AX3222" s="78"/>
      <c r="AY3222" s="78"/>
      <c r="AZ3222" s="78"/>
      <c r="BA3222" s="78"/>
      <c r="BB3222" s="78"/>
      <c r="BC3222" s="78"/>
      <c r="BD3222" s="78"/>
      <c r="BE3222" s="465"/>
      <c r="BF3222" s="165" t="str">
        <f t="shared" si="2498"/>
        <v>https://www.google.com/search?tbm=isch&amp;q=Panicum%20virgatum%20%27Northwind%27%20Northwind%20Switchgrass</v>
      </c>
      <c r="BG3222" s="165" t="str">
        <f t="shared" si="2499"/>
        <v>P</v>
      </c>
      <c r="BH3222" s="65"/>
      <c r="BI3222" s="65"/>
      <c r="BJ3222" s="65"/>
      <c r="BK3222" s="65"/>
      <c r="BL3222" s="99"/>
      <c r="BM3222" s="99"/>
      <c r="BN3222" s="99"/>
    </row>
    <row r="3223" spans="1:66" s="51" customFormat="1" ht="15.75" x14ac:dyDescent="0.25">
      <c r="A3223" s="634">
        <v>3</v>
      </c>
      <c r="B3223" s="635" t="s">
        <v>291</v>
      </c>
      <c r="C3223" s="636" t="s">
        <v>4998</v>
      </c>
      <c r="D3223" s="637" t="s">
        <v>293</v>
      </c>
      <c r="E3223" s="638">
        <v>30.95</v>
      </c>
      <c r="F3223" s="639" t="s">
        <v>292</v>
      </c>
      <c r="G3223" s="484">
        <v>0</v>
      </c>
      <c r="H3223" s="691" t="str">
        <f>IF(G3223=0,"",IF(F3223="Buy",IF(G3223=1,"plant","plants"),IF(F3223&gt;0.01,"warranty","Error")))</f>
        <v/>
      </c>
      <c r="I3223" s="640">
        <f>IF(H3223="free",0,IF(H3223="credit",((E3223*(F3223))*G3223*-1),IF(F3223="Buy",(E3223*G3223),((E3223*(1-F3223))*G3223))))</f>
        <v>0</v>
      </c>
      <c r="J3223" s="640">
        <f>IF(H3223="warranty",0,(I3223*(_xlfn.SINGLE(SalesTaxPercentage))))</f>
        <v>0</v>
      </c>
      <c r="K3223" s="716">
        <f t="shared" ref="K3223" si="2500">I3223+J3223</f>
        <v>0</v>
      </c>
      <c r="L3223" s="716"/>
      <c r="M3223" s="689" t="str">
        <f ca="1">IF(AND(G3223&gt;0,E3223=0),"WARNING - no PRICE inserted",IF(H3223="free","FREE ~ no charge this plant",IF(H3223="credit",CONCATENATE("-$",ROUND(K3223*(1-_xlfn.SINGLE(T2GDiscount))*-1,2)," CREDIT after discount"),IF(_xlfn.SINGLE(T2GDiscount)=0,"",IF(G3223=0,"",IF(F3223="Buy",CONCATENATE("$",ROUND(K3223*(1-_xlfn.SINGLE(T2GDiscount)),2)," with ",(_xlfn.SINGLE(T2GDiscount)*100),"% discount"),CONCATENATE("$",ROUND(K3223*(1-_xlfn.SINGLE(T2GDiscount)),2)," with ",((_xlfn.SINGLE(T2GDiscount)*100+F3223*100)-(_xlfn.SINGLE(T2GDiscount)*100*F3223)),IF(F3223&gt;0,"% discounts",IF(_xlfn.SINGLE(NoWarrantyDiscount)&gt;0,"% discounts","% discount")))))))))</f>
        <v/>
      </c>
      <c r="N3223" s="690"/>
      <c r="O3223" s="486"/>
      <c r="P3223" s="486"/>
      <c r="Q3223" s="486"/>
      <c r="R3223" s="486"/>
      <c r="S3223" s="486"/>
      <c r="T3223" s="102">
        <f t="shared" si="2487"/>
        <v>0</v>
      </c>
      <c r="U3223" s="78">
        <f>IF(NOT(ISNUMBER(G3223)), "", VLOOKUP(A3223,'Discount Lookup'!D:E,2,FALSE)*G3223)</f>
        <v>0</v>
      </c>
      <c r="V3223" s="78">
        <f>IF(NOT(ISNUMBER(G3223)), "", VLOOKUP(A3223,'Discount Lookup'!G:H,2,FALSE)*G3223)</f>
        <v>0</v>
      </c>
      <c r="W3223" s="102">
        <f t="shared" si="2488"/>
        <v>0</v>
      </c>
      <c r="X3223" s="102">
        <f t="shared" si="2489"/>
        <v>0</v>
      </c>
      <c r="Y3223" s="120" t="b">
        <f t="shared" si="2490"/>
        <v>0</v>
      </c>
      <c r="Z3223" s="117">
        <f t="shared" si="2491"/>
        <v>0</v>
      </c>
      <c r="AA3223" s="118"/>
      <c r="AB3223" s="118" t="str">
        <f t="shared" si="2492"/>
        <v/>
      </c>
      <c r="AC3223" s="712" t="str">
        <f>IF(AE3223="T2G","no charge",IF(AND(OR(PlanterYesMe="No",PlanterYesMe="N",PlanterYesMe="me"),H3223=""),"",IF(H3223="credit","NO install",IF(AND(K3223="",AE3223="me"),"EACH row",IF(AND(K3223="images",AE3223="me"),"EACH row",IF(D3223="","",IF(H3223="credit","",IF(AE3223="free","re-planting",IF(AE3223="me","   not ELP, by",IF(AND(OR(PlanterYesMe="Yes",PlanterYesMe="Y"),G3223&gt;0),(VLOOKUP(A3223,'Discount Lookup'!J:K,2)*G3223*(1-PlanterDiscount)*(1+PlanterDifficultyPercentage)),IF(AE3223="ELP",(VLOOKUP(A3223,'Discount Lookup'!J:K,2)*G3223*(1-PlanterDiscount)*(1+PlanterDifficultyPercentage)),IF(AE3223="free","re-planting",IF(G3223=0,"",IF(PlanterYesMe="",IF(AE3223="me","   not ELP, by",IF(AE3223="",IF(G3223&gt;0,(VLOOKUP(A3223,'Discount Lookup'!J:K,2)*G3223*(1-PlanterDiscount)*(1+PlanterDifficultyPercentage)),""),"")),"   not ELP, by"))))))))))))))</f>
        <v/>
      </c>
      <c r="AD3223" s="712"/>
      <c r="AE3223" s="513" t="str">
        <f t="shared" si="2493"/>
        <v/>
      </c>
      <c r="AF3223" s="713" t="str">
        <f t="shared" si="2494"/>
        <v/>
      </c>
      <c r="AG3223" s="713"/>
      <c r="AH3223" s="713"/>
      <c r="AI3223" s="112">
        <f>IF(H3223="credit",0,IF(AE3223="free",0,IF(AE3223="me",0,IF(G3223&gt;0,(VLOOKUP(A3223,'Discount Lookup'!J:K,2)*G3223),0))))</f>
        <v>0</v>
      </c>
      <c r="AJ3223" s="107" t="str">
        <f t="shared" ca="1" si="2495"/>
        <v/>
      </c>
      <c r="AK3223" s="714" t="str">
        <f t="shared" si="2496"/>
        <v/>
      </c>
      <c r="AL3223" s="714"/>
      <c r="AM3223" s="114" t="str">
        <f t="shared" si="2497"/>
        <v/>
      </c>
      <c r="AN3223" s="115"/>
      <c r="AO3223" s="116"/>
      <c r="AP3223" s="116"/>
      <c r="AQ3223" s="116"/>
      <c r="AR3223" s="116"/>
      <c r="AS3223" s="116"/>
      <c r="AT3223" s="116"/>
      <c r="AU3223" s="116"/>
      <c r="AV3223" s="78"/>
      <c r="AW3223" s="102"/>
      <c r="AX3223" s="78"/>
      <c r="AY3223" s="78"/>
      <c r="AZ3223" s="78"/>
      <c r="BA3223" s="78"/>
      <c r="BB3223" s="78"/>
      <c r="BC3223" s="78"/>
      <c r="BD3223" s="78"/>
      <c r="BE3223" s="465"/>
      <c r="BF3223" s="165" t="str">
        <f t="shared" si="2498"/>
        <v>https://www.google.com/search?tbm=isch&amp;q=3%20G6</v>
      </c>
      <c r="BG3223" s="165" t="str">
        <f t="shared" si="2499"/>
        <v>P</v>
      </c>
      <c r="BH3223" s="65"/>
      <c r="BI3223" s="65"/>
      <c r="BJ3223" s="65"/>
      <c r="BK3223" s="65"/>
      <c r="BL3223" s="99"/>
      <c r="BM3223" s="99"/>
      <c r="BN3223" s="99"/>
    </row>
    <row r="3224" spans="1:66" s="51" customFormat="1" ht="15.75" x14ac:dyDescent="0.25">
      <c r="A3224" s="634">
        <v>3</v>
      </c>
      <c r="B3224" s="635" t="s">
        <v>291</v>
      </c>
      <c r="C3224" s="636" t="s">
        <v>4999</v>
      </c>
      <c r="D3224" s="637" t="s">
        <v>293</v>
      </c>
      <c r="E3224" s="638">
        <v>30.95</v>
      </c>
      <c r="F3224" s="639" t="s">
        <v>292</v>
      </c>
      <c r="G3224" s="484">
        <v>0</v>
      </c>
      <c r="H3224" s="691" t="str">
        <f>IF(G3224=0,"",IF(F3224="Buy",IF(G3224=1,"plant","plants"),IF(F3224&gt;0.01,"warranty","Error")))</f>
        <v/>
      </c>
      <c r="I3224" s="640">
        <f>IF(H3224="free",0,IF(H3224="credit",((E3224*(F3224))*G3224*-1),IF(F3224="Buy",(E3224*G3224),((E3224*(1-F3224))*G3224))))</f>
        <v>0</v>
      </c>
      <c r="J3224" s="640">
        <f>IF(H3224="warranty",0,(I3224*(_xlfn.SINGLE(SalesTaxPercentage))))</f>
        <v>0</v>
      </c>
      <c r="K3224" s="716">
        <f t="shared" ref="K3224" si="2501">I3224+J3224</f>
        <v>0</v>
      </c>
      <c r="L3224" s="716"/>
      <c r="M3224" s="689" t="str">
        <f ca="1">IF(AND(G3224&gt;0,E3224=0),"WARNING - no PRICE inserted",IF(H3224="free","FREE ~ no charge this plant",IF(H3224="credit",CONCATENATE("-$",ROUND(K3224*(1-_xlfn.SINGLE(T2GDiscount))*-1,2)," CREDIT after discount"),IF(_xlfn.SINGLE(T2GDiscount)=0,"",IF(G3224=0,"",IF(F3224="Buy",CONCATENATE("$",ROUND(K3224*(1-_xlfn.SINGLE(T2GDiscount)),2)," with ",(_xlfn.SINGLE(T2GDiscount)*100),"% discount"),CONCATENATE("$",ROUND(K3224*(1-_xlfn.SINGLE(T2GDiscount)),2)," with ",((_xlfn.SINGLE(T2GDiscount)*100+F3224*100)-(_xlfn.SINGLE(T2GDiscount)*100*F3224)),IF(F3224&gt;0,"% discounts",IF(_xlfn.SINGLE(NoWarrantyDiscount)&gt;0,"% discounts","% discount")))))))))</f>
        <v/>
      </c>
      <c r="N3224" s="690"/>
      <c r="O3224" s="486"/>
      <c r="P3224" s="486"/>
      <c r="Q3224" s="486"/>
      <c r="R3224" s="486"/>
      <c r="S3224" s="486"/>
      <c r="T3224" s="102">
        <f t="shared" si="2487"/>
        <v>0</v>
      </c>
      <c r="U3224" s="78">
        <f>IF(NOT(ISNUMBER(G3224)), "", VLOOKUP(A3224,'Discount Lookup'!D:E,2,FALSE)*G3224)</f>
        <v>0</v>
      </c>
      <c r="V3224" s="78">
        <f>IF(NOT(ISNUMBER(G3224)), "", VLOOKUP(A3224,'Discount Lookup'!G:H,2,FALSE)*G3224)</f>
        <v>0</v>
      </c>
      <c r="W3224" s="102">
        <f t="shared" si="2488"/>
        <v>0</v>
      </c>
      <c r="X3224" s="102">
        <f t="shared" si="2489"/>
        <v>0</v>
      </c>
      <c r="Y3224" s="120" t="b">
        <f t="shared" si="2490"/>
        <v>0</v>
      </c>
      <c r="Z3224" s="117">
        <f t="shared" si="2491"/>
        <v>0</v>
      </c>
      <c r="AA3224" s="118"/>
      <c r="AB3224" s="118" t="str">
        <f t="shared" si="2492"/>
        <v/>
      </c>
      <c r="AC3224" s="712" t="str">
        <f>IF(AE3224="T2G","no charge",IF(AND(OR(PlanterYesMe="No",PlanterYesMe="N",PlanterYesMe="me"),H3224=""),"",IF(H3224="credit","NO install",IF(AND(K3224="",AE3224="me"),"EACH row",IF(AND(K3224="images",AE3224="me"),"EACH row",IF(D3224="","",IF(H3224="credit","",IF(AE3224="free","re-planting",IF(AE3224="me","   not ELP, by",IF(AND(OR(PlanterYesMe="Yes",PlanterYesMe="Y"),G3224&gt;0),(VLOOKUP(A3224,'Discount Lookup'!J:K,2)*G3224*(1-PlanterDiscount)*(1+PlanterDifficultyPercentage)),IF(AE3224="ELP",(VLOOKUP(A3224,'Discount Lookup'!J:K,2)*G3224*(1-PlanterDiscount)*(1+PlanterDifficultyPercentage)),IF(AE3224="free","re-planting",IF(G3224=0,"",IF(PlanterYesMe="",IF(AE3224="me","   not ELP, by",IF(AE3224="",IF(G3224&gt;0,(VLOOKUP(A3224,'Discount Lookup'!J:K,2)*G3224*(1-PlanterDiscount)*(1+PlanterDifficultyPercentage)),""),"")),"   not ELP, by"))))))))))))))</f>
        <v/>
      </c>
      <c r="AD3224" s="712"/>
      <c r="AE3224" s="513" t="str">
        <f t="shared" si="2493"/>
        <v/>
      </c>
      <c r="AF3224" s="713" t="str">
        <f t="shared" si="2494"/>
        <v/>
      </c>
      <c r="AG3224" s="713"/>
      <c r="AH3224" s="713"/>
      <c r="AI3224" s="112">
        <f>IF(H3224="credit",0,IF(AE3224="free",0,IF(AE3224="me",0,IF(G3224&gt;0,(VLOOKUP(A3224,'Discount Lookup'!J:K,2)*G3224),0))))</f>
        <v>0</v>
      </c>
      <c r="AJ3224" s="107" t="str">
        <f t="shared" ca="1" si="2495"/>
        <v/>
      </c>
      <c r="AK3224" s="714" t="str">
        <f t="shared" si="2496"/>
        <v/>
      </c>
      <c r="AL3224" s="714"/>
      <c r="AM3224" s="114" t="str">
        <f t="shared" si="2497"/>
        <v/>
      </c>
      <c r="AN3224" s="115"/>
      <c r="AO3224" s="116"/>
      <c r="AP3224" s="116"/>
      <c r="AQ3224" s="116"/>
      <c r="AR3224" s="116"/>
      <c r="AS3224" s="116"/>
      <c r="AT3224" s="116"/>
      <c r="AU3224" s="116"/>
      <c r="AV3224" s="78"/>
      <c r="AW3224" s="102"/>
      <c r="AX3224" s="78"/>
      <c r="AY3224" s="78"/>
      <c r="AZ3224" s="78"/>
      <c r="BA3224" s="78"/>
      <c r="BB3224" s="78"/>
      <c r="BC3224" s="78"/>
      <c r="BD3224" s="78"/>
      <c r="BE3224" s="465"/>
      <c r="BF3224" s="165" t="str">
        <f t="shared" si="2498"/>
        <v>https://www.google.com/search?tbm=isch&amp;q=3%20G6</v>
      </c>
      <c r="BG3224" s="165" t="str">
        <f t="shared" si="2499"/>
        <v>P</v>
      </c>
      <c r="BH3224" s="65"/>
      <c r="BI3224" s="65"/>
      <c r="BJ3224" s="65"/>
      <c r="BK3224" s="65"/>
      <c r="BL3224" s="99"/>
      <c r="BM3224" s="99"/>
      <c r="BN3224" s="99"/>
    </row>
    <row r="3225" spans="1:66" s="51" customFormat="1" ht="17.25" thickBot="1" x14ac:dyDescent="0.3">
      <c r="A3225" s="704" t="s">
        <v>5500</v>
      </c>
      <c r="B3225" s="642"/>
      <c r="C3225" s="710"/>
      <c r="D3225" s="643"/>
      <c r="E3225" s="643"/>
      <c r="F3225" s="644"/>
      <c r="G3225" s="645"/>
      <c r="H3225" s="646"/>
      <c r="I3225" s="647"/>
      <c r="J3225" s="648"/>
      <c r="K3225" s="649"/>
      <c r="L3225" s="650"/>
      <c r="M3225" s="650"/>
      <c r="N3225" s="644"/>
      <c r="O3225" s="644"/>
      <c r="P3225" s="644"/>
      <c r="Q3225" s="644"/>
      <c r="R3225" s="644"/>
      <c r="S3225" s="701" t="s">
        <v>5272</v>
      </c>
      <c r="T3225" s="102">
        <f t="shared" si="2487"/>
        <v>0</v>
      </c>
      <c r="U3225" s="78" t="str">
        <f>IF(NOT(ISNUMBER(G3225)), "", VLOOKUP(A3225,'Discount Lookup'!D:E,2,FALSE)*G3225)</f>
        <v/>
      </c>
      <c r="V3225" s="78" t="str">
        <f>IF(NOT(ISNUMBER(G3225)), "", VLOOKUP(A3225,'Discount Lookup'!G:H,2,FALSE)*G3225)</f>
        <v/>
      </c>
      <c r="W3225" s="102">
        <f t="shared" si="2488"/>
        <v>0</v>
      </c>
      <c r="X3225" s="102">
        <f t="shared" si="2489"/>
        <v>0</v>
      </c>
      <c r="Y3225" s="120" t="b">
        <f t="shared" si="2490"/>
        <v>0</v>
      </c>
      <c r="Z3225" s="117">
        <f t="shared" si="2491"/>
        <v>0</v>
      </c>
      <c r="AA3225" s="118"/>
      <c r="AB3225" s="118" t="str">
        <f t="shared" si="2492"/>
        <v/>
      </c>
      <c r="AC3225" s="712" t="str">
        <f>IF(AE3225="T2G","no charge",IF(AND(OR(PlanterYesMe="No",PlanterYesMe="N",PlanterYesMe="me"),H3225=""),"",IF(H3225="credit","NO install",IF(AND(K3225="",AE3225="me"),"EACH row",IF(AND(K3225="images",AE3225="me"),"EACH row",IF(D3225="","",IF(H3225="credit","",IF(AE3225="free","re-planting",IF(AE3225="me","   not ELP, by",IF(AND(OR(PlanterYesMe="Yes",PlanterYesMe="Y"),G3225&gt;0),(VLOOKUP(A3225,'Discount Lookup'!J:K,2)*G3225*(1-PlanterDiscount)*(1+PlanterDifficultyPercentage)),IF(AE3225="ELP",(VLOOKUP(A3225,'Discount Lookup'!J:K,2)*G3225*(1-PlanterDiscount)*(1+PlanterDifficultyPercentage)),IF(AE3225="free","re-planting",IF(G3225=0,"",IF(PlanterYesMe="",IF(AE3225="me","   not ELP, by",IF(AE3225="",IF(G3225&gt;0,(VLOOKUP(A3225,'Discount Lookup'!J:K,2)*G3225*(1-PlanterDiscount)*(1+PlanterDifficultyPercentage)),""),"")),"   not ELP, by"))))))))))))))</f>
        <v/>
      </c>
      <c r="AD3225" s="712"/>
      <c r="AE3225" s="513" t="str">
        <f t="shared" si="2493"/>
        <v/>
      </c>
      <c r="AF3225" s="713" t="str">
        <f t="shared" si="2494"/>
        <v/>
      </c>
      <c r="AG3225" s="713"/>
      <c r="AH3225" s="713"/>
      <c r="AI3225" s="112">
        <f>IF(H3225="credit",0,IF(AE3225="free",0,IF(AE3225="me",0,IF(G3225&gt;0,(VLOOKUP(A3225,'Discount Lookup'!J:K,2)*G3225),0))))</f>
        <v>0</v>
      </c>
      <c r="AJ3225" s="107" t="str">
        <f t="shared" ca="1" si="2495"/>
        <v/>
      </c>
      <c r="AK3225" s="714" t="str">
        <f t="shared" si="2496"/>
        <v/>
      </c>
      <c r="AL3225" s="714"/>
      <c r="AM3225" s="114" t="str">
        <f t="shared" si="2497"/>
        <v/>
      </c>
      <c r="AN3225" s="115"/>
      <c r="AO3225" s="116"/>
      <c r="AP3225" s="116"/>
      <c r="AQ3225" s="116"/>
      <c r="AR3225" s="116"/>
      <c r="AS3225" s="116"/>
      <c r="AT3225" s="116"/>
      <c r="AU3225" s="116"/>
      <c r="AV3225" s="78"/>
      <c r="AW3225" s="102"/>
      <c r="AX3225" s="78"/>
      <c r="AY3225" s="78"/>
      <c r="AZ3225" s="78"/>
      <c r="BA3225" s="78"/>
      <c r="BB3225" s="78"/>
      <c r="BC3225" s="78"/>
      <c r="BD3225" s="78"/>
      <c r="BE3225" s="465"/>
      <c r="BF3225" s="165" t="str">
        <f t="shared" si="2498"/>
        <v>https://www.google.com/search?tbm=isch&amp;q=moist%20sites%F0%9F%92%A7GOOD%2C%20Northwind%20has%20airy%20Golden-Green%20panicles%20in%20late%20summer.%20Blades%20mature%20to%20Yellow-Tan%2C%20then%20Tan-Beige%20</v>
      </c>
      <c r="BG3225" s="165" t="str">
        <f t="shared" si="2499"/>
        <v>m</v>
      </c>
      <c r="BH3225" s="65"/>
      <c r="BI3225" s="65"/>
      <c r="BJ3225" s="65"/>
      <c r="BK3225" s="65"/>
      <c r="BL3225" s="99"/>
      <c r="BM3225" s="99"/>
      <c r="BN3225" s="99"/>
    </row>
    <row r="3226" spans="1:66" s="51" customFormat="1" ht="18" x14ac:dyDescent="0.25">
      <c r="A3226" s="623" t="s">
        <v>3747</v>
      </c>
      <c r="B3226" s="624"/>
      <c r="C3226" s="709"/>
      <c r="D3226" s="625" t="s">
        <v>3748</v>
      </c>
      <c r="E3226" s="626"/>
      <c r="F3226" s="626"/>
      <c r="G3226" s="626"/>
      <c r="H3226" s="622" t="s">
        <v>1126</v>
      </c>
      <c r="I3226" s="627" t="s">
        <v>3749</v>
      </c>
      <c r="J3226" s="628"/>
      <c r="K3226" s="628"/>
      <c r="L3226" s="629"/>
      <c r="M3226" s="700" t="s">
        <v>5241</v>
      </c>
      <c r="N3226" s="693" t="str">
        <f>IF(AND(ISTEXT($A3226), ISERROR($A3226+0)), HYPERLINK($BF3226, "Images"), "")</f>
        <v>Images</v>
      </c>
      <c r="O3226" s="695" t="s">
        <v>5244</v>
      </c>
      <c r="P3226" s="630"/>
      <c r="Q3226" s="631"/>
      <c r="R3226" s="632"/>
      <c r="S3226" s="633" t="s">
        <v>294</v>
      </c>
      <c r="T3226" s="102">
        <f t="shared" si="2487"/>
        <v>0</v>
      </c>
      <c r="U3226" s="78" t="str">
        <f>IF(NOT(ISNUMBER(G3226)), "", VLOOKUP(A3226,'Discount Lookup'!D:E,2,FALSE)*G3226)</f>
        <v/>
      </c>
      <c r="V3226" s="78" t="str">
        <f>IF(NOT(ISNUMBER(G3226)), "", VLOOKUP(A3226,'Discount Lookup'!G:H,2,FALSE)*G3226)</f>
        <v/>
      </c>
      <c r="W3226" s="102">
        <f t="shared" si="2488"/>
        <v>0</v>
      </c>
      <c r="X3226" s="102" t="str">
        <f t="shared" si="2489"/>
        <v>Blue-Green blades</v>
      </c>
      <c r="Y3226" s="120" t="b">
        <f t="shared" si="2490"/>
        <v>0</v>
      </c>
      <c r="Z3226" s="117">
        <f t="shared" si="2491"/>
        <v>0</v>
      </c>
      <c r="AA3226" s="118"/>
      <c r="AB3226" s="118" t="str">
        <f t="shared" si="2492"/>
        <v/>
      </c>
      <c r="AC3226" s="712" t="str">
        <f>IF(AE3226="T2G","no charge",IF(AND(OR(PlanterYesMe="No",PlanterYesMe="N",PlanterYesMe="me"),H3226=""),"",IF(H3226="credit","NO install",IF(AND(K3226="",AE3226="me"),"EACH row",IF(AND(K3226="images",AE3226="me"),"EACH row",IF(D3226="","",IF(H3226="credit","",IF(AE3226="free","re-planting",IF(AE3226="me","   not ELP, by",IF(AND(OR(PlanterYesMe="Yes",PlanterYesMe="Y"),G3226&gt;0),(VLOOKUP(A3226,'Discount Lookup'!J:K,2)*G3226*(1-PlanterDiscount)*(1+PlanterDifficultyPercentage)),IF(AE3226="ELP",(VLOOKUP(A3226,'Discount Lookup'!J:K,2)*G3226*(1-PlanterDiscount)*(1+PlanterDifficultyPercentage)),IF(AE3226="free","re-planting",IF(G3226=0,"",IF(PlanterYesMe="",IF(AE3226="me","   not ELP, by",IF(AE3226="",IF(G3226&gt;0,(VLOOKUP(A3226,'Discount Lookup'!J:K,2)*G3226*(1-PlanterDiscount)*(1+PlanterDifficultyPercentage)),""),"")),"   not ELP, by"))))))))))))))</f>
        <v/>
      </c>
      <c r="AD3226" s="712"/>
      <c r="AE3226" s="513" t="str">
        <f t="shared" si="2493"/>
        <v/>
      </c>
      <c r="AF3226" s="713" t="str">
        <f t="shared" si="2494"/>
        <v/>
      </c>
      <c r="AG3226" s="713"/>
      <c r="AH3226" s="713"/>
      <c r="AI3226" s="112">
        <f>IF(H3226="credit",0,IF(AE3226="free",0,IF(AE3226="me",0,IF(G3226&gt;0,(VLOOKUP(A3226,'Discount Lookup'!J:K,2)*G3226),0))))</f>
        <v>0</v>
      </c>
      <c r="AJ3226" s="107" t="str">
        <f t="shared" ca="1" si="2495"/>
        <v/>
      </c>
      <c r="AK3226" s="714" t="str">
        <f t="shared" si="2496"/>
        <v/>
      </c>
      <c r="AL3226" s="714"/>
      <c r="AM3226" s="114" t="str">
        <f t="shared" si="2497"/>
        <v/>
      </c>
      <c r="AN3226" s="115"/>
      <c r="AO3226" s="116"/>
      <c r="AP3226" s="116"/>
      <c r="AQ3226" s="116"/>
      <c r="AR3226" s="116"/>
      <c r="AS3226" s="116"/>
      <c r="AT3226" s="116"/>
      <c r="AU3226" s="116"/>
      <c r="AV3226" s="78"/>
      <c r="AW3226" s="102"/>
      <c r="AX3226" s="78"/>
      <c r="AY3226" s="78"/>
      <c r="AZ3226" s="78"/>
      <c r="BA3226" s="78"/>
      <c r="BB3226" s="78"/>
      <c r="BC3226" s="78"/>
      <c r="BD3226" s="78"/>
      <c r="BE3226" s="465"/>
      <c r="BF3226" s="165" t="str">
        <f t="shared" si="2498"/>
        <v>https://www.google.com/search?tbm=isch&amp;q=Panicum%20virgatum%20%27Red%20Flame%27%20PP%2335213%20Red%20Flame%20Switchgrass</v>
      </c>
      <c r="BG3226" s="165" t="str">
        <f t="shared" si="2499"/>
        <v>P</v>
      </c>
      <c r="BH3226" s="65"/>
      <c r="BI3226" s="65"/>
      <c r="BJ3226" s="65"/>
      <c r="BK3226" s="65"/>
      <c r="BL3226" s="99"/>
      <c r="BM3226" s="99"/>
      <c r="BN3226" s="99"/>
    </row>
    <row r="3227" spans="1:66" s="51" customFormat="1" ht="15.75" x14ac:dyDescent="0.25">
      <c r="A3227" s="634">
        <v>3</v>
      </c>
      <c r="B3227" s="635" t="s">
        <v>291</v>
      </c>
      <c r="C3227" s="636"/>
      <c r="D3227" s="637" t="s">
        <v>293</v>
      </c>
      <c r="E3227" s="638">
        <v>24.95</v>
      </c>
      <c r="F3227" s="639" t="s">
        <v>292</v>
      </c>
      <c r="G3227" s="484">
        <v>0</v>
      </c>
      <c r="H3227" s="691" t="str">
        <f>IF(G3227=0,"",IF(F3227="Buy",IF(G3227=1,"plant","plants"),IF(F3227&gt;0.01,"warranty","Error")))</f>
        <v/>
      </c>
      <c r="I3227" s="640">
        <f>IF(H3227="free",0,IF(H3227="credit",((E3227*(F3227))*G3227*-1),IF(F3227="Buy",(E3227*G3227),((E3227*(1-F3227))*G3227))))</f>
        <v>0</v>
      </c>
      <c r="J3227" s="640">
        <f>IF(H3227="warranty",0,(I3227*(_xlfn.SINGLE(SalesTaxPercentage))))</f>
        <v>0</v>
      </c>
      <c r="K3227" s="716">
        <f t="shared" ref="K3227" si="2502">I3227+J3227</f>
        <v>0</v>
      </c>
      <c r="L3227" s="716"/>
      <c r="M3227" s="689" t="str">
        <f ca="1">IF(AND(G3227&gt;0,E3227=0),"WARNING - no PRICE inserted",IF(H3227="free","FREE ~ no charge this plant",IF(H3227="credit",CONCATENATE("-$",ROUND(K3227*(1-_xlfn.SINGLE(T2GDiscount))*-1,2)," CREDIT after discount"),IF(_xlfn.SINGLE(T2GDiscount)=0,"",IF(G3227=0,"",IF(F3227="Buy",CONCATENATE("$",ROUND(K3227*(1-_xlfn.SINGLE(T2GDiscount)),2)," with ",(_xlfn.SINGLE(T2GDiscount)*100),"% discount"),CONCATENATE("$",ROUND(K3227*(1-_xlfn.SINGLE(T2GDiscount)),2)," with ",((_xlfn.SINGLE(T2GDiscount)*100+F3227*100)-(_xlfn.SINGLE(T2GDiscount)*100*F3227)),IF(F3227&gt;0,"% discounts",IF(_xlfn.SINGLE(NoWarrantyDiscount)&gt;0,"% discounts","% discount")))))))))</f>
        <v/>
      </c>
      <c r="N3227" s="690"/>
      <c r="O3227" s="486"/>
      <c r="P3227" s="486"/>
      <c r="Q3227" s="486"/>
      <c r="R3227" s="486"/>
      <c r="S3227" s="486"/>
      <c r="T3227" s="102">
        <f t="shared" si="2487"/>
        <v>0</v>
      </c>
      <c r="U3227" s="78">
        <f>IF(NOT(ISNUMBER(G3227)), "", VLOOKUP(A3227,'Discount Lookup'!D:E,2,FALSE)*G3227)</f>
        <v>0</v>
      </c>
      <c r="V3227" s="78">
        <f>IF(NOT(ISNUMBER(G3227)), "", VLOOKUP(A3227,'Discount Lookup'!G:H,2,FALSE)*G3227)</f>
        <v>0</v>
      </c>
      <c r="W3227" s="102">
        <f t="shared" si="2488"/>
        <v>0</v>
      </c>
      <c r="X3227" s="102">
        <f t="shared" si="2489"/>
        <v>0</v>
      </c>
      <c r="Y3227" s="120" t="b">
        <f t="shared" si="2490"/>
        <v>0</v>
      </c>
      <c r="Z3227" s="117">
        <f t="shared" si="2491"/>
        <v>0</v>
      </c>
      <c r="AA3227" s="118"/>
      <c r="AB3227" s="118" t="str">
        <f t="shared" si="2492"/>
        <v/>
      </c>
      <c r="AC3227" s="712" t="str">
        <f>IF(AE3227="T2G","no charge",IF(AND(OR(PlanterYesMe="No",PlanterYesMe="N",PlanterYesMe="me"),H3227=""),"",IF(H3227="credit","NO install",IF(AND(K3227="",AE3227="me"),"EACH row",IF(AND(K3227="images",AE3227="me"),"EACH row",IF(D3227="","",IF(H3227="credit","",IF(AE3227="free","re-planting",IF(AE3227="me","   not ELP, by",IF(AND(OR(PlanterYesMe="Yes",PlanterYesMe="Y"),G3227&gt;0),(VLOOKUP(A3227,'Discount Lookup'!J:K,2)*G3227*(1-PlanterDiscount)*(1+PlanterDifficultyPercentage)),IF(AE3227="ELP",(VLOOKUP(A3227,'Discount Lookup'!J:K,2)*G3227*(1-PlanterDiscount)*(1+PlanterDifficultyPercentage)),IF(AE3227="free","re-planting",IF(G3227=0,"",IF(PlanterYesMe="",IF(AE3227="me","   not ELP, by",IF(AE3227="",IF(G3227&gt;0,(VLOOKUP(A3227,'Discount Lookup'!J:K,2)*G3227*(1-PlanterDiscount)*(1+PlanterDifficultyPercentage)),""),"")),"   not ELP, by"))))))))))))))</f>
        <v/>
      </c>
      <c r="AD3227" s="712"/>
      <c r="AE3227" s="513" t="str">
        <f t="shared" si="2493"/>
        <v/>
      </c>
      <c r="AF3227" s="713" t="str">
        <f t="shared" si="2494"/>
        <v/>
      </c>
      <c r="AG3227" s="713"/>
      <c r="AH3227" s="713"/>
      <c r="AI3227" s="112">
        <f>IF(H3227="credit",0,IF(AE3227="free",0,IF(AE3227="me",0,IF(G3227&gt;0,(VLOOKUP(A3227,'Discount Lookup'!J:K,2)*G3227),0))))</f>
        <v>0</v>
      </c>
      <c r="AJ3227" s="107" t="str">
        <f t="shared" ca="1" si="2495"/>
        <v/>
      </c>
      <c r="AK3227" s="714" t="str">
        <f t="shared" si="2496"/>
        <v/>
      </c>
      <c r="AL3227" s="714"/>
      <c r="AM3227" s="114" t="str">
        <f t="shared" si="2497"/>
        <v/>
      </c>
      <c r="AN3227" s="115"/>
      <c r="AO3227" s="116"/>
      <c r="AP3227" s="116"/>
      <c r="AQ3227" s="116"/>
      <c r="AR3227" s="116"/>
      <c r="AS3227" s="116"/>
      <c r="AT3227" s="116"/>
      <c r="AU3227" s="116"/>
      <c r="AV3227" s="78"/>
      <c r="AW3227" s="102"/>
      <c r="AX3227" s="78"/>
      <c r="AY3227" s="78"/>
      <c r="AZ3227" s="78"/>
      <c r="BA3227" s="78"/>
      <c r="BB3227" s="78"/>
      <c r="BC3227" s="78"/>
      <c r="BD3227" s="78"/>
      <c r="BE3227" s="465"/>
      <c r="BF3227" s="165" t="str">
        <f t="shared" si="2498"/>
        <v>https://www.google.com/search?tbm=isch&amp;q=3%20G6</v>
      </c>
      <c r="BG3227" s="165" t="str">
        <f t="shared" si="2499"/>
        <v>P</v>
      </c>
      <c r="BH3227" s="65"/>
      <c r="BI3227" s="65"/>
      <c r="BJ3227" s="65"/>
      <c r="BK3227" s="65"/>
      <c r="BL3227" s="99"/>
      <c r="BM3227" s="99"/>
      <c r="BN3227" s="99"/>
    </row>
    <row r="3228" spans="1:66" s="51" customFormat="1" ht="17.25" thickBot="1" x14ac:dyDescent="0.3">
      <c r="A3228" s="704" t="s">
        <v>5501</v>
      </c>
      <c r="B3228" s="642"/>
      <c r="C3228" s="710"/>
      <c r="D3228" s="643"/>
      <c r="E3228" s="643"/>
      <c r="F3228" s="644"/>
      <c r="G3228" s="645"/>
      <c r="H3228" s="646"/>
      <c r="I3228" s="647"/>
      <c r="J3228" s="648"/>
      <c r="K3228" s="649"/>
      <c r="L3228" s="650"/>
      <c r="M3228" s="650"/>
      <c r="N3228" s="644"/>
      <c r="O3228" s="644"/>
      <c r="P3228" s="644"/>
      <c r="Q3228" s="644"/>
      <c r="R3228" s="644"/>
      <c r="S3228" s="701" t="s">
        <v>5272</v>
      </c>
      <c r="T3228" s="102">
        <f t="shared" si="2487"/>
        <v>0</v>
      </c>
      <c r="U3228" s="78" t="str">
        <f>IF(NOT(ISNUMBER(G3228)), "", VLOOKUP(A3228,'Discount Lookup'!D:E,2,FALSE)*G3228)</f>
        <v/>
      </c>
      <c r="V3228" s="78" t="str">
        <f>IF(NOT(ISNUMBER(G3228)), "", VLOOKUP(A3228,'Discount Lookup'!G:H,2,FALSE)*G3228)</f>
        <v/>
      </c>
      <c r="W3228" s="102">
        <f t="shared" si="2488"/>
        <v>0</v>
      </c>
      <c r="X3228" s="102">
        <f t="shared" si="2489"/>
        <v>0</v>
      </c>
      <c r="Y3228" s="120" t="b">
        <f t="shared" si="2490"/>
        <v>0</v>
      </c>
      <c r="Z3228" s="117">
        <f t="shared" si="2491"/>
        <v>0</v>
      </c>
      <c r="AA3228" s="118"/>
      <c r="AB3228" s="118" t="str">
        <f t="shared" si="2492"/>
        <v/>
      </c>
      <c r="AC3228" s="712" t="str">
        <f>IF(AE3228="T2G","no charge",IF(AND(OR(PlanterYesMe="No",PlanterYesMe="N",PlanterYesMe="me"),H3228=""),"",IF(H3228="credit","NO install",IF(AND(K3228="",AE3228="me"),"EACH row",IF(AND(K3228="images",AE3228="me"),"EACH row",IF(D3228="","",IF(H3228="credit","",IF(AE3228="free","re-planting",IF(AE3228="me","   not ELP, by",IF(AND(OR(PlanterYesMe="Yes",PlanterYesMe="Y"),G3228&gt;0),(VLOOKUP(A3228,'Discount Lookup'!J:K,2)*G3228*(1-PlanterDiscount)*(1+PlanterDifficultyPercentage)),IF(AE3228="ELP",(VLOOKUP(A3228,'Discount Lookup'!J:K,2)*G3228*(1-PlanterDiscount)*(1+PlanterDifficultyPercentage)),IF(AE3228="free","re-planting",IF(G3228=0,"",IF(PlanterYesMe="",IF(AE3228="me","   not ELP, by",IF(AE3228="",IF(G3228&gt;0,(VLOOKUP(A3228,'Discount Lookup'!J:K,2)*G3228*(1-PlanterDiscount)*(1+PlanterDifficultyPercentage)),""),"")),"   not ELP, by"))))))))))))))</f>
        <v/>
      </c>
      <c r="AD3228" s="712"/>
      <c r="AE3228" s="513" t="str">
        <f t="shared" si="2493"/>
        <v/>
      </c>
      <c r="AF3228" s="713" t="str">
        <f t="shared" si="2494"/>
        <v/>
      </c>
      <c r="AG3228" s="713"/>
      <c r="AH3228" s="713"/>
      <c r="AI3228" s="112">
        <f>IF(H3228="credit",0,IF(AE3228="free",0,IF(AE3228="me",0,IF(G3228&gt;0,(VLOOKUP(A3228,'Discount Lookup'!J:K,2)*G3228),0))))</f>
        <v>0</v>
      </c>
      <c r="AJ3228" s="107" t="str">
        <f t="shared" ca="1" si="2495"/>
        <v/>
      </c>
      <c r="AK3228" s="714" t="str">
        <f t="shared" si="2496"/>
        <v/>
      </c>
      <c r="AL3228" s="714"/>
      <c r="AM3228" s="114" t="str">
        <f t="shared" si="2497"/>
        <v/>
      </c>
      <c r="AN3228" s="115"/>
      <c r="AO3228" s="116"/>
      <c r="AP3228" s="116"/>
      <c r="AQ3228" s="116"/>
      <c r="AR3228" s="116"/>
      <c r="AS3228" s="116"/>
      <c r="AT3228" s="116"/>
      <c r="AU3228" s="116"/>
      <c r="AV3228" s="78"/>
      <c r="AW3228" s="102"/>
      <c r="AX3228" s="78"/>
      <c r="AY3228" s="78"/>
      <c r="AZ3228" s="78"/>
      <c r="BA3228" s="78"/>
      <c r="BB3228" s="78"/>
      <c r="BC3228" s="78"/>
      <c r="BD3228" s="78"/>
      <c r="BE3228" s="465"/>
      <c r="BF3228" s="165" t="str">
        <f t="shared" si="2498"/>
        <v>https://www.google.com/search?tbm=isch&amp;q=moist%20sites%F0%9F%92%A7GOOD%2C%20Red%20Flame%20blades%20turn%20Wine-Red%20by%20summer%E2%80%99s%20end%2C%20topped%20by%20airy%20Reddish%20panicles.%20Blades%20Tan%20in%20fall%20</v>
      </c>
      <c r="BG3228" s="165" t="str">
        <f t="shared" si="2499"/>
        <v>m</v>
      </c>
      <c r="BH3228" s="65"/>
      <c r="BI3228" s="65"/>
      <c r="BJ3228" s="65"/>
      <c r="BK3228" s="65"/>
      <c r="BL3228" s="99"/>
      <c r="BM3228" s="99"/>
      <c r="BN3228" s="99"/>
    </row>
    <row r="3229" spans="1:66" s="51" customFormat="1" ht="18" x14ac:dyDescent="0.25">
      <c r="A3229" s="623" t="s">
        <v>3750</v>
      </c>
      <c r="B3229" s="624"/>
      <c r="C3229" s="709"/>
      <c r="D3229" s="625" t="s">
        <v>3751</v>
      </c>
      <c r="E3229" s="626"/>
      <c r="F3229" s="626"/>
      <c r="G3229" s="626"/>
      <c r="H3229" s="622" t="s">
        <v>1126</v>
      </c>
      <c r="I3229" s="627" t="s">
        <v>3752</v>
      </c>
      <c r="J3229" s="628"/>
      <c r="K3229" s="628"/>
      <c r="L3229" s="629"/>
      <c r="M3229" s="700" t="s">
        <v>5241</v>
      </c>
      <c r="N3229" s="693" t="str">
        <f>IF(AND(ISTEXT($A3229), ISERROR($A3229+0)), HYPERLINK($BF3229, "Images"), "")</f>
        <v>Images</v>
      </c>
      <c r="O3229" s="695" t="s">
        <v>5244</v>
      </c>
      <c r="P3229" s="630"/>
      <c r="Q3229" s="631"/>
      <c r="R3229" s="632"/>
      <c r="S3229" s="633" t="s">
        <v>294</v>
      </c>
      <c r="T3229" s="102">
        <f t="shared" si="2487"/>
        <v>0</v>
      </c>
      <c r="U3229" s="78" t="str">
        <f>IF(NOT(ISNUMBER(G3229)), "", VLOOKUP(A3229,'Discount Lookup'!D:E,2,FALSE)*G3229)</f>
        <v/>
      </c>
      <c r="V3229" s="78" t="str">
        <f>IF(NOT(ISNUMBER(G3229)), "", VLOOKUP(A3229,'Discount Lookup'!G:H,2,FALSE)*G3229)</f>
        <v/>
      </c>
      <c r="W3229" s="102">
        <f t="shared" si="2488"/>
        <v>0</v>
      </c>
      <c r="X3229" s="102" t="str">
        <f t="shared" si="2489"/>
        <v>Steely blue-green blades, Red hue</v>
      </c>
      <c r="Y3229" s="120" t="b">
        <f t="shared" si="2490"/>
        <v>0</v>
      </c>
      <c r="Z3229" s="117">
        <f t="shared" si="2491"/>
        <v>0</v>
      </c>
      <c r="AA3229" s="118"/>
      <c r="AB3229" s="118" t="str">
        <f t="shared" si="2492"/>
        <v/>
      </c>
      <c r="AC3229" s="712" t="str">
        <f>IF(AE3229="T2G","no charge",IF(AND(OR(PlanterYesMe="No",PlanterYesMe="N",PlanterYesMe="me"),H3229=""),"",IF(H3229="credit","NO install",IF(AND(K3229="",AE3229="me"),"EACH row",IF(AND(K3229="images",AE3229="me"),"EACH row",IF(D3229="","",IF(H3229="credit","",IF(AE3229="free","re-planting",IF(AE3229="me","   not ELP, by",IF(AND(OR(PlanterYesMe="Yes",PlanterYesMe="Y"),G3229&gt;0),(VLOOKUP(A3229,'Discount Lookup'!J:K,2)*G3229*(1-PlanterDiscount)*(1+PlanterDifficultyPercentage)),IF(AE3229="ELP",(VLOOKUP(A3229,'Discount Lookup'!J:K,2)*G3229*(1-PlanterDiscount)*(1+PlanterDifficultyPercentage)),IF(AE3229="free","re-planting",IF(G3229=0,"",IF(PlanterYesMe="",IF(AE3229="me","   not ELP, by",IF(AE3229="",IF(G3229&gt;0,(VLOOKUP(A3229,'Discount Lookup'!J:K,2)*G3229*(1-PlanterDiscount)*(1+PlanterDifficultyPercentage)),""),"")),"   not ELP, by"))))))))))))))</f>
        <v/>
      </c>
      <c r="AD3229" s="712"/>
      <c r="AE3229" s="513" t="str">
        <f t="shared" si="2493"/>
        <v/>
      </c>
      <c r="AF3229" s="713" t="str">
        <f t="shared" si="2494"/>
        <v/>
      </c>
      <c r="AG3229" s="713"/>
      <c r="AH3229" s="713"/>
      <c r="AI3229" s="112">
        <f>IF(H3229="credit",0,IF(AE3229="free",0,IF(AE3229="me",0,IF(G3229&gt;0,(VLOOKUP(A3229,'Discount Lookup'!J:K,2)*G3229),0))))</f>
        <v>0</v>
      </c>
      <c r="AJ3229" s="107" t="str">
        <f t="shared" ca="1" si="2495"/>
        <v/>
      </c>
      <c r="AK3229" s="714" t="str">
        <f t="shared" si="2496"/>
        <v/>
      </c>
      <c r="AL3229" s="714"/>
      <c r="AM3229" s="114" t="str">
        <f t="shared" si="2497"/>
        <v/>
      </c>
      <c r="AN3229" s="115"/>
      <c r="AO3229" s="116"/>
      <c r="AP3229" s="116"/>
      <c r="AQ3229" s="116"/>
      <c r="AR3229" s="116"/>
      <c r="AS3229" s="116"/>
      <c r="AT3229" s="116"/>
      <c r="AU3229" s="116"/>
      <c r="AV3229" s="78"/>
      <c r="AW3229" s="102"/>
      <c r="AX3229" s="78"/>
      <c r="AY3229" s="78"/>
      <c r="AZ3229" s="78"/>
      <c r="BA3229" s="78"/>
      <c r="BB3229" s="78"/>
      <c r="BC3229" s="78"/>
      <c r="BD3229" s="78"/>
      <c r="BE3229" s="465"/>
      <c r="BF3229" s="165" t="str">
        <f t="shared" si="2498"/>
        <v>https://www.google.com/search?tbm=isch&amp;q=Panicum%20virgatum%20%27Shenandoah%27%20Shenandoah%20Switchgrass</v>
      </c>
      <c r="BG3229" s="165" t="str">
        <f t="shared" si="2499"/>
        <v>P</v>
      </c>
      <c r="BH3229" s="65"/>
      <c r="BI3229" s="65"/>
      <c r="BJ3229" s="65"/>
      <c r="BK3229" s="65"/>
      <c r="BL3229" s="99"/>
      <c r="BM3229" s="99"/>
      <c r="BN3229" s="99"/>
    </row>
    <row r="3230" spans="1:66" s="51" customFormat="1" ht="15.75" x14ac:dyDescent="0.25">
      <c r="A3230" s="634">
        <v>3</v>
      </c>
      <c r="B3230" s="635" t="s">
        <v>291</v>
      </c>
      <c r="C3230" s="636"/>
      <c r="D3230" s="637" t="s">
        <v>310</v>
      </c>
      <c r="E3230" s="638">
        <v>25.95</v>
      </c>
      <c r="F3230" s="639" t="s">
        <v>292</v>
      </c>
      <c r="G3230" s="484">
        <v>0</v>
      </c>
      <c r="H3230" s="691" t="str">
        <f>IF(G3230=0,"",IF(F3230="Buy",IF(G3230=1,"plant","plants"),IF(F3230&gt;0.01,"warranty","Error")))</f>
        <v/>
      </c>
      <c r="I3230" s="640">
        <f>IF(H3230="free",0,IF(H3230="credit",((E3230*(F3230))*G3230*-1),IF(F3230="Buy",(E3230*G3230),((E3230*(1-F3230))*G3230))))</f>
        <v>0</v>
      </c>
      <c r="J3230" s="640">
        <f>IF(H3230="warranty",0,(I3230*(_xlfn.SINGLE(SalesTaxPercentage))))</f>
        <v>0</v>
      </c>
      <c r="K3230" s="716">
        <f t="shared" ref="K3230" si="2503">I3230+J3230</f>
        <v>0</v>
      </c>
      <c r="L3230" s="716"/>
      <c r="M3230" s="689" t="str">
        <f ca="1">IF(AND(G3230&gt;0,E3230=0),"WARNING - no PRICE inserted",IF(H3230="free","FREE ~ no charge this plant",IF(H3230="credit",CONCATENATE("-$",ROUND(K3230*(1-_xlfn.SINGLE(T2GDiscount))*-1,2)," CREDIT after discount"),IF(_xlfn.SINGLE(T2GDiscount)=0,"",IF(G3230=0,"",IF(F3230="Buy",CONCATENATE("$",ROUND(K3230*(1-_xlfn.SINGLE(T2GDiscount)),2)," with ",(_xlfn.SINGLE(T2GDiscount)*100),"% discount"),CONCATENATE("$",ROUND(K3230*(1-_xlfn.SINGLE(T2GDiscount)),2)," with ",((_xlfn.SINGLE(T2GDiscount)*100+F3230*100)-(_xlfn.SINGLE(T2GDiscount)*100*F3230)),IF(F3230&gt;0,"% discounts",IF(_xlfn.SINGLE(NoWarrantyDiscount)&gt;0,"% discounts","% discount")))))))))</f>
        <v/>
      </c>
      <c r="N3230" s="690"/>
      <c r="O3230" s="486"/>
      <c r="P3230" s="486"/>
      <c r="Q3230" s="486"/>
      <c r="R3230" s="486"/>
      <c r="S3230" s="486"/>
      <c r="T3230" s="102">
        <f t="shared" si="2487"/>
        <v>0</v>
      </c>
      <c r="U3230" s="78">
        <f>IF(NOT(ISNUMBER(G3230)), "", VLOOKUP(A3230,'Discount Lookup'!D:E,2,FALSE)*G3230)</f>
        <v>0</v>
      </c>
      <c r="V3230" s="78">
        <f>IF(NOT(ISNUMBER(G3230)), "", VLOOKUP(A3230,'Discount Lookup'!G:H,2,FALSE)*G3230)</f>
        <v>0</v>
      </c>
      <c r="W3230" s="102">
        <f t="shared" si="2488"/>
        <v>0</v>
      </c>
      <c r="X3230" s="102">
        <f t="shared" si="2489"/>
        <v>0</v>
      </c>
      <c r="Y3230" s="120" t="b">
        <f t="shared" si="2490"/>
        <v>0</v>
      </c>
      <c r="Z3230" s="117">
        <f t="shared" si="2491"/>
        <v>0</v>
      </c>
      <c r="AA3230" s="118"/>
      <c r="AB3230" s="118" t="str">
        <f t="shared" si="2492"/>
        <v/>
      </c>
      <c r="AC3230" s="712" t="str">
        <f>IF(AE3230="T2G","no charge",IF(AND(OR(PlanterYesMe="No",PlanterYesMe="N",PlanterYesMe="me"),H3230=""),"",IF(H3230="credit","NO install",IF(AND(K3230="",AE3230="me"),"EACH row",IF(AND(K3230="images",AE3230="me"),"EACH row",IF(D3230="","",IF(H3230="credit","",IF(AE3230="free","re-planting",IF(AE3230="me","   not ELP, by",IF(AND(OR(PlanterYesMe="Yes",PlanterYesMe="Y"),G3230&gt;0),(VLOOKUP(A3230,'Discount Lookup'!J:K,2)*G3230*(1-PlanterDiscount)*(1+PlanterDifficultyPercentage)),IF(AE3230="ELP",(VLOOKUP(A3230,'Discount Lookup'!J:K,2)*G3230*(1-PlanterDiscount)*(1+PlanterDifficultyPercentage)),IF(AE3230="free","re-planting",IF(G3230=0,"",IF(PlanterYesMe="",IF(AE3230="me","   not ELP, by",IF(AE3230="",IF(G3230&gt;0,(VLOOKUP(A3230,'Discount Lookup'!J:K,2)*G3230*(1-PlanterDiscount)*(1+PlanterDifficultyPercentage)),""),"")),"   not ELP, by"))))))))))))))</f>
        <v/>
      </c>
      <c r="AD3230" s="712"/>
      <c r="AE3230" s="513" t="str">
        <f t="shared" si="2493"/>
        <v/>
      </c>
      <c r="AF3230" s="713" t="str">
        <f t="shared" si="2494"/>
        <v/>
      </c>
      <c r="AG3230" s="713"/>
      <c r="AH3230" s="713"/>
      <c r="AI3230" s="112">
        <f>IF(H3230="credit",0,IF(AE3230="free",0,IF(AE3230="me",0,IF(G3230&gt;0,(VLOOKUP(A3230,'Discount Lookup'!J:K,2)*G3230),0))))</f>
        <v>0</v>
      </c>
      <c r="AJ3230" s="107" t="str">
        <f t="shared" ca="1" si="2495"/>
        <v/>
      </c>
      <c r="AK3230" s="714" t="str">
        <f t="shared" si="2496"/>
        <v/>
      </c>
      <c r="AL3230" s="714"/>
      <c r="AM3230" s="114" t="str">
        <f t="shared" si="2497"/>
        <v/>
      </c>
      <c r="AN3230" s="115"/>
      <c r="AO3230" s="116"/>
      <c r="AP3230" s="116"/>
      <c r="AQ3230" s="116"/>
      <c r="AR3230" s="116"/>
      <c r="AS3230" s="116"/>
      <c r="AT3230" s="116"/>
      <c r="AU3230" s="116"/>
      <c r="AV3230" s="78"/>
      <c r="AW3230" s="102"/>
      <c r="AX3230" s="78"/>
      <c r="AY3230" s="78"/>
      <c r="AZ3230" s="78"/>
      <c r="BA3230" s="78"/>
      <c r="BB3230" s="78"/>
      <c r="BC3230" s="78"/>
      <c r="BD3230" s="78"/>
      <c r="BE3230" s="465"/>
      <c r="BF3230" s="165" t="str">
        <f t="shared" si="2498"/>
        <v>https://www.google.com/search?tbm=isch&amp;q=3%20G1</v>
      </c>
      <c r="BG3230" s="165" t="str">
        <f t="shared" si="2499"/>
        <v>P</v>
      </c>
      <c r="BH3230" s="65"/>
      <c r="BI3230" s="65"/>
      <c r="BJ3230" s="65"/>
      <c r="BK3230" s="65"/>
      <c r="BL3230" s="99"/>
      <c r="BM3230" s="99"/>
      <c r="BN3230" s="99"/>
    </row>
    <row r="3231" spans="1:66" s="51" customFormat="1" ht="15.75" x14ac:dyDescent="0.25">
      <c r="A3231" s="634">
        <v>3</v>
      </c>
      <c r="B3231" s="635" t="s">
        <v>291</v>
      </c>
      <c r="C3231" s="636"/>
      <c r="D3231" s="637" t="s">
        <v>329</v>
      </c>
      <c r="E3231" s="638">
        <v>25.95</v>
      </c>
      <c r="F3231" s="639" t="s">
        <v>292</v>
      </c>
      <c r="G3231" s="484">
        <v>0</v>
      </c>
      <c r="H3231" s="691" t="str">
        <f>IF(G3231=0,"",IF(F3231="Buy",IF(G3231=1,"plant","plants"),IF(F3231&gt;0.01,"warranty","Error")))</f>
        <v/>
      </c>
      <c r="I3231" s="640">
        <f>IF(H3231="free",0,IF(H3231="credit",((E3231*(F3231))*G3231*-1),IF(F3231="Buy",(E3231*G3231),((E3231*(1-F3231))*G3231))))</f>
        <v>0</v>
      </c>
      <c r="J3231" s="640">
        <f>IF(H3231="warranty",0,(I3231*(_xlfn.SINGLE(SalesTaxPercentage))))</f>
        <v>0</v>
      </c>
      <c r="K3231" s="716">
        <f t="shared" ref="K3231" si="2504">I3231+J3231</f>
        <v>0</v>
      </c>
      <c r="L3231" s="716"/>
      <c r="M3231" s="689" t="str">
        <f ca="1">IF(AND(G3231&gt;0,E3231=0),"WARNING - no PRICE inserted",IF(H3231="free","FREE ~ no charge this plant",IF(H3231="credit",CONCATENATE("-$",ROUND(K3231*(1-_xlfn.SINGLE(T2GDiscount))*-1,2)," CREDIT after discount"),IF(_xlfn.SINGLE(T2GDiscount)=0,"",IF(G3231=0,"",IF(F3231="Buy",CONCATENATE("$",ROUND(K3231*(1-_xlfn.SINGLE(T2GDiscount)),2)," with ",(_xlfn.SINGLE(T2GDiscount)*100),"% discount"),CONCATENATE("$",ROUND(K3231*(1-_xlfn.SINGLE(T2GDiscount)),2)," with ",((_xlfn.SINGLE(T2GDiscount)*100+F3231*100)-(_xlfn.SINGLE(T2GDiscount)*100*F3231)),IF(F3231&gt;0,"% discounts",IF(_xlfn.SINGLE(NoWarrantyDiscount)&gt;0,"% discounts","% discount")))))))))</f>
        <v/>
      </c>
      <c r="N3231" s="690"/>
      <c r="O3231" s="486"/>
      <c r="P3231" s="486"/>
      <c r="Q3231" s="486"/>
      <c r="R3231" s="486"/>
      <c r="S3231" s="486"/>
      <c r="T3231" s="102">
        <f t="shared" si="2487"/>
        <v>0</v>
      </c>
      <c r="U3231" s="78">
        <f>IF(NOT(ISNUMBER(G3231)), "", VLOOKUP(A3231,'Discount Lookup'!D:E,2,FALSE)*G3231)</f>
        <v>0</v>
      </c>
      <c r="V3231" s="78">
        <f>IF(NOT(ISNUMBER(G3231)), "", VLOOKUP(A3231,'Discount Lookup'!G:H,2,FALSE)*G3231)</f>
        <v>0</v>
      </c>
      <c r="W3231" s="102">
        <f t="shared" si="2488"/>
        <v>0</v>
      </c>
      <c r="X3231" s="102">
        <f t="shared" si="2489"/>
        <v>0</v>
      </c>
      <c r="Y3231" s="120" t="b">
        <f t="shared" si="2490"/>
        <v>0</v>
      </c>
      <c r="Z3231" s="117">
        <f t="shared" si="2491"/>
        <v>0</v>
      </c>
      <c r="AA3231" s="118"/>
      <c r="AB3231" s="118" t="str">
        <f t="shared" si="2492"/>
        <v/>
      </c>
      <c r="AC3231" s="712" t="str">
        <f>IF(AE3231="T2G","no charge",IF(AND(OR(PlanterYesMe="No",PlanterYesMe="N",PlanterYesMe="me"),H3231=""),"",IF(H3231="credit","NO install",IF(AND(K3231="",AE3231="me"),"EACH row",IF(AND(K3231="images",AE3231="me"),"EACH row",IF(D3231="","",IF(H3231="credit","",IF(AE3231="free","re-planting",IF(AE3231="me","   not ELP, by",IF(AND(OR(PlanterYesMe="Yes",PlanterYesMe="Y"),G3231&gt;0),(VLOOKUP(A3231,'Discount Lookup'!J:K,2)*G3231*(1-PlanterDiscount)*(1+PlanterDifficultyPercentage)),IF(AE3231="ELP",(VLOOKUP(A3231,'Discount Lookup'!J:K,2)*G3231*(1-PlanterDiscount)*(1+PlanterDifficultyPercentage)),IF(AE3231="free","re-planting",IF(G3231=0,"",IF(PlanterYesMe="",IF(AE3231="me","   not ELP, by",IF(AE3231="",IF(G3231&gt;0,(VLOOKUP(A3231,'Discount Lookup'!J:K,2)*G3231*(1-PlanterDiscount)*(1+PlanterDifficultyPercentage)),""),"")),"   not ELP, by"))))))))))))))</f>
        <v/>
      </c>
      <c r="AD3231" s="712"/>
      <c r="AE3231" s="513" t="str">
        <f t="shared" si="2493"/>
        <v/>
      </c>
      <c r="AF3231" s="713" t="str">
        <f t="shared" si="2494"/>
        <v/>
      </c>
      <c r="AG3231" s="713"/>
      <c r="AH3231" s="713"/>
      <c r="AI3231" s="112">
        <f>IF(H3231="credit",0,IF(AE3231="free",0,IF(AE3231="me",0,IF(G3231&gt;0,(VLOOKUP(A3231,'Discount Lookup'!J:K,2)*G3231),0))))</f>
        <v>0</v>
      </c>
      <c r="AJ3231" s="107" t="str">
        <f t="shared" ca="1" si="2495"/>
        <v/>
      </c>
      <c r="AK3231" s="714" t="str">
        <f t="shared" si="2496"/>
        <v/>
      </c>
      <c r="AL3231" s="714"/>
      <c r="AM3231" s="114" t="str">
        <f t="shared" si="2497"/>
        <v/>
      </c>
      <c r="AN3231" s="115"/>
      <c r="AO3231" s="116"/>
      <c r="AP3231" s="116"/>
      <c r="AQ3231" s="116"/>
      <c r="AR3231" s="116"/>
      <c r="AS3231" s="116"/>
      <c r="AT3231" s="116"/>
      <c r="AU3231" s="116"/>
      <c r="AV3231" s="78"/>
      <c r="AW3231" s="102"/>
      <c r="AX3231" s="78"/>
      <c r="AY3231" s="78"/>
      <c r="AZ3231" s="78"/>
      <c r="BA3231" s="78"/>
      <c r="BB3231" s="78"/>
      <c r="BC3231" s="78"/>
      <c r="BD3231" s="78"/>
      <c r="BE3231" s="465"/>
      <c r="BF3231" s="165" t="str">
        <f t="shared" si="2498"/>
        <v>https://www.google.com/search?tbm=isch&amp;q=3%20G2</v>
      </c>
      <c r="BG3231" s="165" t="str">
        <f t="shared" si="2499"/>
        <v>P</v>
      </c>
      <c r="BH3231" s="65"/>
      <c r="BI3231" s="65"/>
      <c r="BJ3231" s="65"/>
      <c r="BK3231" s="65"/>
      <c r="BL3231" s="99"/>
      <c r="BM3231" s="99"/>
      <c r="BN3231" s="99"/>
    </row>
    <row r="3232" spans="1:66" s="51" customFormat="1" ht="15.75" x14ac:dyDescent="0.25">
      <c r="A3232" s="634">
        <v>3</v>
      </c>
      <c r="B3232" s="635" t="s">
        <v>291</v>
      </c>
      <c r="C3232" s="636" t="s">
        <v>5000</v>
      </c>
      <c r="D3232" s="637" t="s">
        <v>293</v>
      </c>
      <c r="E3232" s="638">
        <v>30.95</v>
      </c>
      <c r="F3232" s="639" t="s">
        <v>292</v>
      </c>
      <c r="G3232" s="484">
        <v>0</v>
      </c>
      <c r="H3232" s="691" t="str">
        <f>IF(G3232=0,"",IF(F3232="Buy",IF(G3232=1,"plant","plants"),IF(F3232&gt;0.01,"warranty","Error")))</f>
        <v/>
      </c>
      <c r="I3232" s="640">
        <f>IF(H3232="free",0,IF(H3232="credit",((E3232*(F3232))*G3232*-1),IF(F3232="Buy",(E3232*G3232),((E3232*(1-F3232))*G3232))))</f>
        <v>0</v>
      </c>
      <c r="J3232" s="640">
        <f>IF(H3232="warranty",0,(I3232*(_xlfn.SINGLE(SalesTaxPercentage))))</f>
        <v>0</v>
      </c>
      <c r="K3232" s="716">
        <f t="shared" ref="K3232" si="2505">I3232+J3232</f>
        <v>0</v>
      </c>
      <c r="L3232" s="716"/>
      <c r="M3232" s="689" t="str">
        <f ca="1">IF(AND(G3232&gt;0,E3232=0),"WARNING - no PRICE inserted",IF(H3232="free","FREE ~ no charge this plant",IF(H3232="credit",CONCATENATE("-$",ROUND(K3232*(1-_xlfn.SINGLE(T2GDiscount))*-1,2)," CREDIT after discount"),IF(_xlfn.SINGLE(T2GDiscount)=0,"",IF(G3232=0,"",IF(F3232="Buy",CONCATENATE("$",ROUND(K3232*(1-_xlfn.SINGLE(T2GDiscount)),2)," with ",(_xlfn.SINGLE(T2GDiscount)*100),"% discount"),CONCATENATE("$",ROUND(K3232*(1-_xlfn.SINGLE(T2GDiscount)),2)," with ",((_xlfn.SINGLE(T2GDiscount)*100+F3232*100)-(_xlfn.SINGLE(T2GDiscount)*100*F3232)),IF(F3232&gt;0,"% discounts",IF(_xlfn.SINGLE(NoWarrantyDiscount)&gt;0,"% discounts","% discount")))))))))</f>
        <v/>
      </c>
      <c r="N3232" s="690"/>
      <c r="O3232" s="486"/>
      <c r="P3232" s="486"/>
      <c r="Q3232" s="486"/>
      <c r="R3232" s="486"/>
      <c r="S3232" s="486"/>
      <c r="T3232" s="102">
        <f t="shared" si="2487"/>
        <v>0</v>
      </c>
      <c r="U3232" s="78">
        <f>IF(NOT(ISNUMBER(G3232)), "", VLOOKUP(A3232,'Discount Lookup'!D:E,2,FALSE)*G3232)</f>
        <v>0</v>
      </c>
      <c r="V3232" s="78">
        <f>IF(NOT(ISNUMBER(G3232)), "", VLOOKUP(A3232,'Discount Lookup'!G:H,2,FALSE)*G3232)</f>
        <v>0</v>
      </c>
      <c r="W3232" s="102">
        <f t="shared" si="2488"/>
        <v>0</v>
      </c>
      <c r="X3232" s="102">
        <f t="shared" si="2489"/>
        <v>0</v>
      </c>
      <c r="Y3232" s="120" t="b">
        <f t="shared" si="2490"/>
        <v>0</v>
      </c>
      <c r="Z3232" s="117">
        <f t="shared" si="2491"/>
        <v>0</v>
      </c>
      <c r="AA3232" s="118"/>
      <c r="AB3232" s="118" t="str">
        <f t="shared" si="2492"/>
        <v/>
      </c>
      <c r="AC3232" s="712" t="str">
        <f>IF(AE3232="T2G","no charge",IF(AND(OR(PlanterYesMe="No",PlanterYesMe="N",PlanterYesMe="me"),H3232=""),"",IF(H3232="credit","NO install",IF(AND(K3232="",AE3232="me"),"EACH row",IF(AND(K3232="images",AE3232="me"),"EACH row",IF(D3232="","",IF(H3232="credit","",IF(AE3232="free","re-planting",IF(AE3232="me","   not ELP, by",IF(AND(OR(PlanterYesMe="Yes",PlanterYesMe="Y"),G3232&gt;0),(VLOOKUP(A3232,'Discount Lookup'!J:K,2)*G3232*(1-PlanterDiscount)*(1+PlanterDifficultyPercentage)),IF(AE3232="ELP",(VLOOKUP(A3232,'Discount Lookup'!J:K,2)*G3232*(1-PlanterDiscount)*(1+PlanterDifficultyPercentage)),IF(AE3232="free","re-planting",IF(G3232=0,"",IF(PlanterYesMe="",IF(AE3232="me","   not ELP, by",IF(AE3232="",IF(G3232&gt;0,(VLOOKUP(A3232,'Discount Lookup'!J:K,2)*G3232*(1-PlanterDiscount)*(1+PlanterDifficultyPercentage)),""),"")),"   not ELP, by"))))))))))))))</f>
        <v/>
      </c>
      <c r="AD3232" s="712"/>
      <c r="AE3232" s="513" t="str">
        <f t="shared" si="2493"/>
        <v/>
      </c>
      <c r="AF3232" s="713" t="str">
        <f t="shared" si="2494"/>
        <v/>
      </c>
      <c r="AG3232" s="713"/>
      <c r="AH3232" s="713"/>
      <c r="AI3232" s="112">
        <f>IF(H3232="credit",0,IF(AE3232="free",0,IF(AE3232="me",0,IF(G3232&gt;0,(VLOOKUP(A3232,'Discount Lookup'!J:K,2)*G3232),0))))</f>
        <v>0</v>
      </c>
      <c r="AJ3232" s="107" t="str">
        <f t="shared" ca="1" si="2495"/>
        <v/>
      </c>
      <c r="AK3232" s="714" t="str">
        <f t="shared" si="2496"/>
        <v/>
      </c>
      <c r="AL3232" s="714"/>
      <c r="AM3232" s="114" t="str">
        <f t="shared" si="2497"/>
        <v/>
      </c>
      <c r="AN3232" s="115"/>
      <c r="AO3232" s="116"/>
      <c r="AP3232" s="116"/>
      <c r="AQ3232" s="116"/>
      <c r="AR3232" s="116"/>
      <c r="AS3232" s="116"/>
      <c r="AT3232" s="116"/>
      <c r="AU3232" s="116"/>
      <c r="AV3232" s="78"/>
      <c r="AW3232" s="102"/>
      <c r="AX3232" s="78"/>
      <c r="AY3232" s="78"/>
      <c r="AZ3232" s="78"/>
      <c r="BA3232" s="78"/>
      <c r="BB3232" s="78"/>
      <c r="BC3232" s="78"/>
      <c r="BD3232" s="78"/>
      <c r="BE3232" s="465"/>
      <c r="BF3232" s="165" t="str">
        <f t="shared" si="2498"/>
        <v>https://www.google.com/search?tbm=isch&amp;q=3%20G6</v>
      </c>
      <c r="BG3232" s="165" t="str">
        <f t="shared" si="2499"/>
        <v>P</v>
      </c>
      <c r="BH3232" s="65"/>
      <c r="BI3232" s="65"/>
      <c r="BJ3232" s="65"/>
      <c r="BK3232" s="65"/>
      <c r="BL3232" s="99"/>
      <c r="BM3232" s="99"/>
      <c r="BN3232" s="99"/>
    </row>
    <row r="3233" spans="1:66" s="51" customFormat="1" ht="16.5" x14ac:dyDescent="0.25">
      <c r="A3233" s="704" t="s">
        <v>5502</v>
      </c>
      <c r="B3233" s="642"/>
      <c r="C3233" s="710"/>
      <c r="D3233" s="643"/>
      <c r="E3233" s="643"/>
      <c r="F3233" s="644"/>
      <c r="G3233" s="645"/>
      <c r="H3233" s="646"/>
      <c r="I3233" s="647"/>
      <c r="J3233" s="648"/>
      <c r="K3233" s="649"/>
      <c r="L3233" s="650"/>
      <c r="M3233" s="650"/>
      <c r="N3233" s="644"/>
      <c r="O3233" s="644"/>
      <c r="P3233" s="644"/>
      <c r="Q3233" s="644"/>
      <c r="R3233" s="644"/>
      <c r="S3233" s="701" t="s">
        <v>5272</v>
      </c>
      <c r="T3233" s="102">
        <f t="shared" si="2487"/>
        <v>0</v>
      </c>
      <c r="U3233" s="78" t="str">
        <f>IF(NOT(ISNUMBER(G3233)), "", VLOOKUP(A3233,'Discount Lookup'!D:E,2,FALSE)*G3233)</f>
        <v/>
      </c>
      <c r="V3233" s="78" t="str">
        <f>IF(NOT(ISNUMBER(G3233)), "", VLOOKUP(A3233,'Discount Lookup'!G:H,2,FALSE)*G3233)</f>
        <v/>
      </c>
      <c r="W3233" s="102">
        <f t="shared" si="2488"/>
        <v>0</v>
      </c>
      <c r="X3233" s="102">
        <f t="shared" si="2489"/>
        <v>0</v>
      </c>
      <c r="Y3233" s="120" t="b">
        <f t="shared" si="2490"/>
        <v>0</v>
      </c>
      <c r="Z3233" s="117">
        <f t="shared" si="2491"/>
        <v>0</v>
      </c>
      <c r="AA3233" s="118"/>
      <c r="AB3233" s="118" t="str">
        <f t="shared" si="2492"/>
        <v/>
      </c>
      <c r="AC3233" s="712" t="str">
        <f>IF(AE3233="T2G","no charge",IF(AND(OR(PlanterYesMe="No",PlanterYesMe="N",PlanterYesMe="me"),H3233=""),"",IF(H3233="credit","NO install",IF(AND(K3233="",AE3233="me"),"EACH row",IF(AND(K3233="images",AE3233="me"),"EACH row",IF(D3233="","",IF(H3233="credit","",IF(AE3233="free","re-planting",IF(AE3233="me","   not ELP, by",IF(AND(OR(PlanterYesMe="Yes",PlanterYesMe="Y"),G3233&gt;0),(VLOOKUP(A3233,'Discount Lookup'!J:K,2)*G3233*(1-PlanterDiscount)*(1+PlanterDifficultyPercentage)),IF(AE3233="ELP",(VLOOKUP(A3233,'Discount Lookup'!J:K,2)*G3233*(1-PlanterDiscount)*(1+PlanterDifficultyPercentage)),IF(AE3233="free","re-planting",IF(G3233=0,"",IF(PlanterYesMe="",IF(AE3233="me","   not ELP, by",IF(AE3233="",IF(G3233&gt;0,(VLOOKUP(A3233,'Discount Lookup'!J:K,2)*G3233*(1-PlanterDiscount)*(1+PlanterDifficultyPercentage)),""),"")),"   not ELP, by"))))))))))))))</f>
        <v/>
      </c>
      <c r="AD3233" s="712"/>
      <c r="AE3233" s="513" t="str">
        <f t="shared" si="2493"/>
        <v/>
      </c>
      <c r="AF3233" s="713" t="str">
        <f t="shared" si="2494"/>
        <v/>
      </c>
      <c r="AG3233" s="713"/>
      <c r="AH3233" s="713"/>
      <c r="AI3233" s="112">
        <f>IF(H3233="credit",0,IF(AE3233="free",0,IF(AE3233="me",0,IF(G3233&gt;0,(VLOOKUP(A3233,'Discount Lookup'!J:K,2)*G3233),0))))</f>
        <v>0</v>
      </c>
      <c r="AJ3233" s="107" t="str">
        <f t="shared" ca="1" si="2495"/>
        <v/>
      </c>
      <c r="AK3233" s="714" t="str">
        <f t="shared" si="2496"/>
        <v/>
      </c>
      <c r="AL3233" s="714"/>
      <c r="AM3233" s="114" t="str">
        <f t="shared" si="2497"/>
        <v/>
      </c>
      <c r="AN3233" s="115"/>
      <c r="AO3233" s="116"/>
      <c r="AP3233" s="116"/>
      <c r="AQ3233" s="116"/>
      <c r="AR3233" s="116"/>
      <c r="AS3233" s="116"/>
      <c r="AT3233" s="116"/>
      <c r="AU3233" s="116"/>
      <c r="AV3233" s="78"/>
      <c r="AW3233" s="102"/>
      <c r="AX3233" s="78"/>
      <c r="AY3233" s="78"/>
      <c r="AZ3233" s="78"/>
      <c r="BA3233" s="78"/>
      <c r="BB3233" s="78"/>
      <c r="BC3233" s="78"/>
      <c r="BD3233" s="78"/>
      <c r="BE3233" s="465"/>
      <c r="BF3233" s="165" t="str">
        <f t="shared" si="2498"/>
        <v>https://www.google.com/search?tbm=isch&amp;q=moist%20sites%F0%9F%92%A7GOOD%2C%20Shenandoah%20plumes%20Reddish-Pink.%20Blades%20turn%20Red-Burgundy%2C%20then%20Violet-Purple-Red%2C%20Beige%20into%20winter%20</v>
      </c>
      <c r="BG3233" s="165" t="str">
        <f t="shared" si="2499"/>
        <v>m</v>
      </c>
      <c r="BH3233" s="65"/>
      <c r="BI3233" s="65"/>
      <c r="BJ3233" s="65"/>
      <c r="BK3233" s="65"/>
      <c r="BL3233" s="99"/>
      <c r="BM3233" s="99"/>
      <c r="BN3233" s="99"/>
    </row>
    <row r="3234" spans="1:66" s="51" customFormat="1" ht="19.5" thickBot="1" x14ac:dyDescent="0.3">
      <c r="A3234" s="686" t="s">
        <v>657</v>
      </c>
      <c r="B3234" s="73"/>
      <c r="C3234" s="708"/>
      <c r="D3234" s="73"/>
      <c r="E3234" s="73"/>
      <c r="F3234" s="496"/>
      <c r="G3234" s="73"/>
      <c r="H3234" s="73"/>
      <c r="I3234" s="73"/>
      <c r="J3234" s="497" t="s">
        <v>357</v>
      </c>
      <c r="K3234" s="498"/>
      <c r="L3234" s="562"/>
      <c r="M3234" s="73"/>
      <c r="N3234"/>
      <c r="O3234"/>
      <c r="P3234"/>
      <c r="Q3234"/>
      <c r="R3234"/>
      <c r="S3234"/>
      <c r="T3234" s="102">
        <f t="shared" si="2487"/>
        <v>0</v>
      </c>
      <c r="U3234" s="78" t="str">
        <f>IF(NOT(ISNUMBER(G3234)), "", VLOOKUP(A3234,'Discount Lookup'!D:E,2,FALSE)*G3234)</f>
        <v/>
      </c>
      <c r="V3234" s="78" t="str">
        <f>IF(NOT(ISNUMBER(G3234)), "", VLOOKUP(A3234,'Discount Lookup'!G:H,2,FALSE)*G3234)</f>
        <v/>
      </c>
      <c r="W3234" s="102">
        <f t="shared" si="2488"/>
        <v>0</v>
      </c>
      <c r="X3234" s="102">
        <f t="shared" si="2489"/>
        <v>0</v>
      </c>
      <c r="Y3234" s="120" t="b">
        <f t="shared" si="2490"/>
        <v>0</v>
      </c>
      <c r="Z3234" s="117">
        <f t="shared" si="2491"/>
        <v>0</v>
      </c>
      <c r="AA3234" s="118"/>
      <c r="AB3234" s="118" t="str">
        <f t="shared" si="2492"/>
        <v/>
      </c>
      <c r="AC3234" s="712" t="str">
        <f>IF(AE3234="T2G","no charge",IF(AND(OR(PlanterYesMe="No",PlanterYesMe="N",PlanterYesMe="me"),H3234=""),"",IF(H3234="credit","NO install",IF(AND(K3234="",AE3234="me"),"EACH row",IF(AND(K3234="images",AE3234="me"),"EACH row",IF(D3234="","",IF(H3234="credit","",IF(AE3234="free","re-planting",IF(AE3234="me","   not ELP, by",IF(AND(OR(PlanterYesMe="Yes",PlanterYesMe="Y"),G3234&gt;0),(VLOOKUP(A3234,'Discount Lookup'!J:K,2)*G3234*(1-PlanterDiscount)*(1+PlanterDifficultyPercentage)),IF(AE3234="ELP",(VLOOKUP(A3234,'Discount Lookup'!J:K,2)*G3234*(1-PlanterDiscount)*(1+PlanterDifficultyPercentage)),IF(AE3234="free","re-planting",IF(G3234=0,"",IF(PlanterYesMe="",IF(AE3234="me","   not ELP, by",IF(AE3234="",IF(G3234&gt;0,(VLOOKUP(A3234,'Discount Lookup'!J:K,2)*G3234*(1-PlanterDiscount)*(1+PlanterDifficultyPercentage)),""),"")),"   not ELP, by"))))))))))))))</f>
        <v/>
      </c>
      <c r="AD3234" s="712"/>
      <c r="AE3234" s="513" t="str">
        <f t="shared" si="2493"/>
        <v/>
      </c>
      <c r="AF3234" s="713" t="str">
        <f t="shared" si="2494"/>
        <v/>
      </c>
      <c r="AG3234" s="713"/>
      <c r="AH3234" s="713"/>
      <c r="AI3234" s="112">
        <f>IF(H3234="credit",0,IF(AE3234="free",0,IF(AE3234="me",0,IF(G3234&gt;0,(VLOOKUP(A3234,'Discount Lookup'!J:K,2)*G3234),0))))</f>
        <v>0</v>
      </c>
      <c r="AJ3234" s="107" t="str">
        <f t="shared" ca="1" si="2495"/>
        <v/>
      </c>
      <c r="AK3234" s="714" t="str">
        <f t="shared" si="2496"/>
        <v/>
      </c>
      <c r="AL3234" s="714"/>
      <c r="AM3234" s="114" t="str">
        <f t="shared" si="2497"/>
        <v/>
      </c>
      <c r="AN3234" s="115"/>
      <c r="AO3234" s="116"/>
      <c r="AP3234" s="116"/>
      <c r="AQ3234" s="116"/>
      <c r="AR3234" s="116"/>
      <c r="AS3234" s="116"/>
      <c r="AT3234" s="116"/>
      <c r="AU3234" s="116"/>
      <c r="AV3234" s="78"/>
      <c r="AW3234" s="102"/>
      <c r="AX3234" s="78"/>
      <c r="AY3234" s="78"/>
      <c r="AZ3234" s="78"/>
      <c r="BA3234" s="78"/>
      <c r="BB3234" s="78"/>
      <c r="BC3234" s="78"/>
      <c r="BD3234" s="78"/>
      <c r="BE3234" s="465"/>
      <c r="BF3234" s="165" t="str">
        <f t="shared" si="2498"/>
        <v>https://www.google.com/search?tbm=isch&amp;q=Parrotia%20%3D%20Persian%20Ironwood%20</v>
      </c>
      <c r="BG3234" s="165" t="str">
        <f t="shared" si="2499"/>
        <v>P</v>
      </c>
      <c r="BH3234" s="65"/>
      <c r="BI3234" s="65"/>
      <c r="BJ3234" s="65"/>
      <c r="BK3234" s="65"/>
      <c r="BL3234" s="99"/>
      <c r="BM3234" s="99"/>
      <c r="BN3234" s="99"/>
    </row>
    <row r="3235" spans="1:66" s="51" customFormat="1" ht="18" x14ac:dyDescent="0.25">
      <c r="A3235" s="623" t="s">
        <v>3753</v>
      </c>
      <c r="B3235" s="624"/>
      <c r="C3235" s="709"/>
      <c r="D3235" s="625" t="s">
        <v>3754</v>
      </c>
      <c r="E3235" s="626"/>
      <c r="F3235" s="626"/>
      <c r="G3235" s="626"/>
      <c r="H3235" s="622" t="s">
        <v>1132</v>
      </c>
      <c r="I3235" s="627" t="s">
        <v>1788</v>
      </c>
      <c r="J3235" s="628"/>
      <c r="K3235" s="628"/>
      <c r="L3235" s="629"/>
      <c r="M3235" s="700" t="s">
        <v>5249</v>
      </c>
      <c r="N3235" s="693" t="str">
        <f>IF(AND(ISTEXT($A3235), ISERROR($A3235+0)), HYPERLINK($BF3235, "Images"), "")</f>
        <v>Images</v>
      </c>
      <c r="O3235" s="695" t="s">
        <v>5244</v>
      </c>
      <c r="P3235" s="630"/>
      <c r="Q3235" s="631"/>
      <c r="R3235" s="632"/>
      <c r="S3235" s="633"/>
      <c r="T3235" s="102">
        <f t="shared" si="2487"/>
        <v>0</v>
      </c>
      <c r="U3235" s="78" t="str">
        <f>IF(NOT(ISNUMBER(G3235)), "", VLOOKUP(A3235,'Discount Lookup'!D:E,2,FALSE)*G3235)</f>
        <v/>
      </c>
      <c r="V3235" s="78" t="str">
        <f>IF(NOT(ISNUMBER(G3235)), "", VLOOKUP(A3235,'Discount Lookup'!G:H,2,FALSE)*G3235)</f>
        <v/>
      </c>
      <c r="W3235" s="102">
        <f t="shared" si="2488"/>
        <v>0</v>
      </c>
      <c r="X3235" s="102" t="str">
        <f t="shared" si="2489"/>
        <v>Crimson-Red bloom</v>
      </c>
      <c r="Y3235" s="120" t="b">
        <f t="shared" si="2490"/>
        <v>0</v>
      </c>
      <c r="Z3235" s="117">
        <f t="shared" si="2491"/>
        <v>0</v>
      </c>
      <c r="AA3235" s="118"/>
      <c r="AB3235" s="118" t="str">
        <f t="shared" si="2492"/>
        <v/>
      </c>
      <c r="AC3235" s="712" t="str">
        <f>IF(AE3235="T2G","no charge",IF(AND(OR(PlanterYesMe="No",PlanterYesMe="N",PlanterYesMe="me"),H3235=""),"",IF(H3235="credit","NO install",IF(AND(K3235="",AE3235="me"),"EACH row",IF(AND(K3235="images",AE3235="me"),"EACH row",IF(D3235="","",IF(H3235="credit","",IF(AE3235="free","re-planting",IF(AE3235="me","   not ELP, by",IF(AND(OR(PlanterYesMe="Yes",PlanterYesMe="Y"),G3235&gt;0),(VLOOKUP(A3235,'Discount Lookup'!J:K,2)*G3235*(1-PlanterDiscount)*(1+PlanterDifficultyPercentage)),IF(AE3235="ELP",(VLOOKUP(A3235,'Discount Lookup'!J:K,2)*G3235*(1-PlanterDiscount)*(1+PlanterDifficultyPercentage)),IF(AE3235="free","re-planting",IF(G3235=0,"",IF(PlanterYesMe="",IF(AE3235="me","   not ELP, by",IF(AE3235="",IF(G3235&gt;0,(VLOOKUP(A3235,'Discount Lookup'!J:K,2)*G3235*(1-PlanterDiscount)*(1+PlanterDifficultyPercentage)),""),"")),"   not ELP, by"))))))))))))))</f>
        <v/>
      </c>
      <c r="AD3235" s="712"/>
      <c r="AE3235" s="513" t="str">
        <f t="shared" si="2493"/>
        <v/>
      </c>
      <c r="AF3235" s="713" t="str">
        <f t="shared" si="2494"/>
        <v/>
      </c>
      <c r="AG3235" s="713"/>
      <c r="AH3235" s="713"/>
      <c r="AI3235" s="112">
        <f>IF(H3235="credit",0,IF(AE3235="free",0,IF(AE3235="me",0,IF(G3235&gt;0,(VLOOKUP(A3235,'Discount Lookup'!J:K,2)*G3235),0))))</f>
        <v>0</v>
      </c>
      <c r="AJ3235" s="107" t="str">
        <f t="shared" ca="1" si="2495"/>
        <v/>
      </c>
      <c r="AK3235" s="714" t="str">
        <f t="shared" si="2496"/>
        <v/>
      </c>
      <c r="AL3235" s="714"/>
      <c r="AM3235" s="114" t="str">
        <f t="shared" si="2497"/>
        <v/>
      </c>
      <c r="AN3235" s="115"/>
      <c r="AO3235" s="116"/>
      <c r="AP3235" s="116"/>
      <c r="AQ3235" s="116"/>
      <c r="AR3235" s="116"/>
      <c r="AS3235" s="116"/>
      <c r="AT3235" s="116"/>
      <c r="AU3235" s="116"/>
      <c r="AV3235" s="78"/>
      <c r="AW3235" s="102"/>
      <c r="AX3235" s="78"/>
      <c r="AY3235" s="78"/>
      <c r="AZ3235" s="78"/>
      <c r="BA3235" s="78"/>
      <c r="BB3235" s="78"/>
      <c r="BC3235" s="78"/>
      <c r="BD3235" s="78"/>
      <c r="BE3235" s="465"/>
      <c r="BF3235" s="165" t="str">
        <f t="shared" si="2498"/>
        <v>https://www.google.com/search?tbm=isch&amp;q=Parrotia%20persica%20Persian%20Parrotia</v>
      </c>
      <c r="BG3235" s="165" t="str">
        <f t="shared" si="2499"/>
        <v>P</v>
      </c>
      <c r="BH3235" s="65"/>
      <c r="BI3235" s="65"/>
      <c r="BJ3235" s="65"/>
      <c r="BK3235" s="65"/>
      <c r="BL3235" s="99"/>
      <c r="BM3235" s="99"/>
      <c r="BN3235" s="99"/>
    </row>
    <row r="3236" spans="1:66" s="51" customFormat="1" ht="15.75" x14ac:dyDescent="0.25">
      <c r="A3236" s="634">
        <v>7</v>
      </c>
      <c r="B3236" s="635" t="s">
        <v>291</v>
      </c>
      <c r="C3236" s="636" t="s">
        <v>3755</v>
      </c>
      <c r="D3236" s="637" t="s">
        <v>299</v>
      </c>
      <c r="E3236" s="638">
        <v>125.95</v>
      </c>
      <c r="F3236" s="639" t="s">
        <v>292</v>
      </c>
      <c r="G3236" s="484">
        <v>0</v>
      </c>
      <c r="H3236" s="691" t="str">
        <f>IF(G3236=0,"",IF(F3236="Buy",IF(G3236=1,"plant","plants"),IF(F3236&gt;0.01,"warranty","Error")))</f>
        <v/>
      </c>
      <c r="I3236" s="640">
        <f>IF(H3236="free",0,IF(H3236="credit",((E3236*(F3236))*G3236*-1),IF(F3236="Buy",(E3236*G3236),((E3236*(1-F3236))*G3236))))</f>
        <v>0</v>
      </c>
      <c r="J3236" s="640">
        <f>IF(H3236="warranty",0,(I3236*(_xlfn.SINGLE(SalesTaxPercentage))))</f>
        <v>0</v>
      </c>
      <c r="K3236" s="716">
        <f t="shared" ref="K3236" si="2506">I3236+J3236</f>
        <v>0</v>
      </c>
      <c r="L3236" s="716"/>
      <c r="M3236" s="689" t="str">
        <f ca="1">IF(AND(G3236&gt;0,E3236=0),"WARNING - no PRICE inserted",IF(H3236="free","FREE ~ no charge this plant",IF(H3236="credit",CONCATENATE("-$",ROUND(K3236*(1-_xlfn.SINGLE(T2GDiscount))*-1,2)," CREDIT after discount"),IF(_xlfn.SINGLE(T2GDiscount)=0,"",IF(G3236=0,"",IF(F3236="Buy",CONCATENATE("$",ROUND(K3236*(1-_xlfn.SINGLE(T2GDiscount)),2)," with ",(_xlfn.SINGLE(T2GDiscount)*100),"% discount"),CONCATENATE("$",ROUND(K3236*(1-_xlfn.SINGLE(T2GDiscount)),2)," with ",((_xlfn.SINGLE(T2GDiscount)*100+F3236*100)-(_xlfn.SINGLE(T2GDiscount)*100*F3236)),IF(F3236&gt;0,"% discounts",IF(_xlfn.SINGLE(NoWarrantyDiscount)&gt;0,"% discounts","% discount")))))))))</f>
        <v/>
      </c>
      <c r="N3236" s="690"/>
      <c r="O3236" s="486"/>
      <c r="P3236" s="486"/>
      <c r="Q3236" s="486"/>
      <c r="R3236" s="486"/>
      <c r="S3236" s="486"/>
      <c r="T3236" s="102">
        <f t="shared" si="2487"/>
        <v>0</v>
      </c>
      <c r="U3236" s="78">
        <f>IF(NOT(ISNUMBER(G3236)), "", VLOOKUP(A3236,'Discount Lookup'!D:E,2,FALSE)*G3236)</f>
        <v>0</v>
      </c>
      <c r="V3236" s="78">
        <f>IF(NOT(ISNUMBER(G3236)), "", VLOOKUP(A3236,'Discount Lookup'!G:H,2,FALSE)*G3236)</f>
        <v>0</v>
      </c>
      <c r="W3236" s="102">
        <f t="shared" si="2488"/>
        <v>0</v>
      </c>
      <c r="X3236" s="102">
        <f t="shared" si="2489"/>
        <v>0</v>
      </c>
      <c r="Y3236" s="120" t="b">
        <f t="shared" si="2490"/>
        <v>0</v>
      </c>
      <c r="Z3236" s="117">
        <f t="shared" si="2491"/>
        <v>0</v>
      </c>
      <c r="AA3236" s="118"/>
      <c r="AB3236" s="118" t="str">
        <f t="shared" si="2492"/>
        <v/>
      </c>
      <c r="AC3236" s="712" t="str">
        <f>IF(AE3236="T2G","no charge",IF(AND(OR(PlanterYesMe="No",PlanterYesMe="N",PlanterYesMe="me"),H3236=""),"",IF(H3236="credit","NO install",IF(AND(K3236="",AE3236="me"),"EACH row",IF(AND(K3236="images",AE3236="me"),"EACH row",IF(D3236="","",IF(H3236="credit","",IF(AE3236="free","re-planting",IF(AE3236="me","   not ELP, by",IF(AND(OR(PlanterYesMe="Yes",PlanterYesMe="Y"),G3236&gt;0),(VLOOKUP(A3236,'Discount Lookup'!J:K,2)*G3236*(1-PlanterDiscount)*(1+PlanterDifficultyPercentage)),IF(AE3236="ELP",(VLOOKUP(A3236,'Discount Lookup'!J:K,2)*G3236*(1-PlanterDiscount)*(1+PlanterDifficultyPercentage)),IF(AE3236="free","re-planting",IF(G3236=0,"",IF(PlanterYesMe="",IF(AE3236="me","   not ELP, by",IF(AE3236="",IF(G3236&gt;0,(VLOOKUP(A3236,'Discount Lookup'!J:K,2)*G3236*(1-PlanterDiscount)*(1+PlanterDifficultyPercentage)),""),"")),"   not ELP, by"))))))))))))))</f>
        <v/>
      </c>
      <c r="AD3236" s="712"/>
      <c r="AE3236" s="513" t="str">
        <f t="shared" si="2493"/>
        <v/>
      </c>
      <c r="AF3236" s="713" t="str">
        <f t="shared" si="2494"/>
        <v/>
      </c>
      <c r="AG3236" s="713"/>
      <c r="AH3236" s="713"/>
      <c r="AI3236" s="112">
        <f>IF(H3236="credit",0,IF(AE3236="free",0,IF(AE3236="me",0,IF(G3236&gt;0,(VLOOKUP(A3236,'Discount Lookup'!J:K,2)*G3236),0))))</f>
        <v>0</v>
      </c>
      <c r="AJ3236" s="107" t="str">
        <f t="shared" ca="1" si="2495"/>
        <v/>
      </c>
      <c r="AK3236" s="714" t="str">
        <f t="shared" si="2496"/>
        <v/>
      </c>
      <c r="AL3236" s="714"/>
      <c r="AM3236" s="114" t="str">
        <f t="shared" si="2497"/>
        <v/>
      </c>
      <c r="AN3236" s="115"/>
      <c r="AO3236" s="116"/>
      <c r="AP3236" s="116"/>
      <c r="AQ3236" s="116"/>
      <c r="AR3236" s="116"/>
      <c r="AS3236" s="116"/>
      <c r="AT3236" s="116"/>
      <c r="AU3236" s="116"/>
      <c r="AV3236" s="78"/>
      <c r="AW3236" s="102"/>
      <c r="AX3236" s="78"/>
      <c r="AY3236" s="78"/>
      <c r="AZ3236" s="78"/>
      <c r="BA3236" s="78"/>
      <c r="BB3236" s="78"/>
      <c r="BC3236" s="78"/>
      <c r="BD3236" s="78"/>
      <c r="BE3236" s="465"/>
      <c r="BF3236" s="165" t="str">
        <f t="shared" si="2498"/>
        <v>https://www.google.com/search?tbm=isch&amp;q=7%20G4</v>
      </c>
      <c r="BG3236" s="165" t="str">
        <f t="shared" si="2499"/>
        <v>P</v>
      </c>
      <c r="BH3236" s="65"/>
      <c r="BI3236" s="65"/>
      <c r="BJ3236" s="65"/>
      <c r="BK3236" s="65"/>
      <c r="BL3236" s="99"/>
      <c r="BM3236" s="99"/>
      <c r="BN3236" s="99"/>
    </row>
    <row r="3237" spans="1:66" s="51" customFormat="1" ht="17.25" thickBot="1" x14ac:dyDescent="0.3">
      <c r="A3237" s="641" t="s">
        <v>3756</v>
      </c>
      <c r="B3237" s="642"/>
      <c r="C3237" s="710"/>
      <c r="D3237" s="643"/>
      <c r="E3237" s="643"/>
      <c r="F3237" s="644"/>
      <c r="G3237" s="645"/>
      <c r="H3237" s="646"/>
      <c r="I3237" s="647"/>
      <c r="J3237" s="648"/>
      <c r="K3237" s="649"/>
      <c r="L3237" s="650"/>
      <c r="M3237" s="650"/>
      <c r="N3237" s="644"/>
      <c r="O3237" s="644"/>
      <c r="P3237" s="644"/>
      <c r="Q3237" s="644"/>
      <c r="R3237" s="644"/>
      <c r="S3237" s="651"/>
      <c r="T3237" s="102">
        <f t="shared" si="2487"/>
        <v>0</v>
      </c>
      <c r="U3237" s="78" t="str">
        <f>IF(NOT(ISNUMBER(G3237)), "", VLOOKUP(A3237,'Discount Lookup'!D:E,2,FALSE)*G3237)</f>
        <v/>
      </c>
      <c r="V3237" s="78" t="str">
        <f>IF(NOT(ISNUMBER(G3237)), "", VLOOKUP(A3237,'Discount Lookup'!G:H,2,FALSE)*G3237)</f>
        <v/>
      </c>
      <c r="W3237" s="102">
        <f t="shared" si="2488"/>
        <v>0</v>
      </c>
      <c r="X3237" s="102">
        <f t="shared" si="2489"/>
        <v>0</v>
      </c>
      <c r="Y3237" s="120" t="b">
        <f t="shared" si="2490"/>
        <v>0</v>
      </c>
      <c r="Z3237" s="117">
        <f t="shared" si="2491"/>
        <v>0</v>
      </c>
      <c r="AA3237" s="118"/>
      <c r="AB3237" s="118" t="str">
        <f t="shared" si="2492"/>
        <v/>
      </c>
      <c r="AC3237" s="712" t="str">
        <f>IF(AE3237="T2G","no charge",IF(AND(OR(PlanterYesMe="No",PlanterYesMe="N",PlanterYesMe="me"),H3237=""),"",IF(H3237="credit","NO install",IF(AND(K3237="",AE3237="me"),"EACH row",IF(AND(K3237="images",AE3237="me"),"EACH row",IF(D3237="","",IF(H3237="credit","",IF(AE3237="free","re-planting",IF(AE3237="me","   not ELP, by",IF(AND(OR(PlanterYesMe="Yes",PlanterYesMe="Y"),G3237&gt;0),(VLOOKUP(A3237,'Discount Lookup'!J:K,2)*G3237*(1-PlanterDiscount)*(1+PlanterDifficultyPercentage)),IF(AE3237="ELP",(VLOOKUP(A3237,'Discount Lookup'!J:K,2)*G3237*(1-PlanterDiscount)*(1+PlanterDifficultyPercentage)),IF(AE3237="free","re-planting",IF(G3237=0,"",IF(PlanterYesMe="",IF(AE3237="me","   not ELP, by",IF(AE3237="",IF(G3237&gt;0,(VLOOKUP(A3237,'Discount Lookup'!J:K,2)*G3237*(1-PlanterDiscount)*(1+PlanterDifficultyPercentage)),""),"")),"   not ELP, by"))))))))))))))</f>
        <v/>
      </c>
      <c r="AD3237" s="712"/>
      <c r="AE3237" s="513" t="str">
        <f t="shared" si="2493"/>
        <v/>
      </c>
      <c r="AF3237" s="713" t="str">
        <f t="shared" si="2494"/>
        <v/>
      </c>
      <c r="AG3237" s="713"/>
      <c r="AH3237" s="713"/>
      <c r="AI3237" s="112">
        <f>IF(H3237="credit",0,IF(AE3237="free",0,IF(AE3237="me",0,IF(G3237&gt;0,(VLOOKUP(A3237,'Discount Lookup'!J:K,2)*G3237),0))))</f>
        <v>0</v>
      </c>
      <c r="AJ3237" s="107" t="str">
        <f t="shared" ca="1" si="2495"/>
        <v/>
      </c>
      <c r="AK3237" s="714" t="str">
        <f t="shared" si="2496"/>
        <v/>
      </c>
      <c r="AL3237" s="714"/>
      <c r="AM3237" s="114" t="str">
        <f t="shared" si="2497"/>
        <v/>
      </c>
      <c r="AN3237" s="115"/>
      <c r="AO3237" s="116"/>
      <c r="AP3237" s="116"/>
      <c r="AQ3237" s="116"/>
      <c r="AR3237" s="116"/>
      <c r="AS3237" s="116"/>
      <c r="AT3237" s="116"/>
      <c r="AU3237" s="116"/>
      <c r="AV3237" s="78"/>
      <c r="AW3237" s="102"/>
      <c r="AX3237" s="78"/>
      <c r="AY3237" s="78"/>
      <c r="AZ3237" s="78"/>
      <c r="BA3237" s="78"/>
      <c r="BB3237" s="78"/>
      <c r="BC3237" s="78"/>
      <c r="BD3237" s="78"/>
      <c r="BE3237" s="465"/>
      <c r="BF3237" s="165" t="str">
        <f t="shared" si="2498"/>
        <v>https://www.google.com/search?tbm=isch&amp;q=Persian%20Parrotia%20small%20flowers%20appear%20early.%20Foliage%20emerges%20Red-Purple%2C%20to%20summer%20Green%2C%20to%20vibrant%20Yellow-Orange-Burgundy%20in%20fall.%20Bark%20exfoliates%20nicely%20</v>
      </c>
      <c r="BG3237" s="165" t="str">
        <f t="shared" si="2499"/>
        <v>P</v>
      </c>
      <c r="BH3237" s="65"/>
      <c r="BI3237" s="65"/>
      <c r="BJ3237" s="65"/>
      <c r="BK3237" s="65"/>
      <c r="BL3237" s="99"/>
      <c r="BM3237" s="99"/>
      <c r="BN3237" s="99"/>
    </row>
    <row r="3238" spans="1:66" s="51" customFormat="1" ht="18" x14ac:dyDescent="0.25">
      <c r="A3238" s="623" t="s">
        <v>5088</v>
      </c>
      <c r="B3238" s="624"/>
      <c r="C3238" s="709"/>
      <c r="D3238" s="625" t="s">
        <v>5089</v>
      </c>
      <c r="E3238" s="626"/>
      <c r="F3238" s="626"/>
      <c r="G3238" s="626"/>
      <c r="H3238" s="622" t="s">
        <v>658</v>
      </c>
      <c r="I3238" s="627" t="s">
        <v>1738</v>
      </c>
      <c r="J3238" s="628"/>
      <c r="K3238" s="628"/>
      <c r="L3238" s="629"/>
      <c r="M3238" s="700" t="s">
        <v>5249</v>
      </c>
      <c r="N3238" s="693" t="str">
        <f>IF(AND(ISTEXT($A3238), ISERROR($A3238+0)), HYPERLINK($BF3238, "Images"), "")</f>
        <v>Images</v>
      </c>
      <c r="O3238" s="695" t="s">
        <v>5244</v>
      </c>
      <c r="P3238" s="630"/>
      <c r="Q3238" s="631"/>
      <c r="R3238" s="632"/>
      <c r="S3238" s="633"/>
      <c r="T3238" s="102">
        <f t="shared" si="2487"/>
        <v>0</v>
      </c>
      <c r="U3238" s="78" t="str">
        <f>IF(NOT(ISNUMBER(G3238)), "", VLOOKUP(A3238,'Discount Lookup'!D:E,2,FALSE)*G3238)</f>
        <v/>
      </c>
      <c r="V3238" s="78" t="str">
        <f>IF(NOT(ISNUMBER(G3238)), "", VLOOKUP(A3238,'Discount Lookup'!G:H,2,FALSE)*G3238)</f>
        <v/>
      </c>
      <c r="W3238" s="102">
        <f t="shared" si="2488"/>
        <v>0</v>
      </c>
      <c r="X3238" s="102" t="str">
        <f t="shared" si="2489"/>
        <v>Red bloom</v>
      </c>
      <c r="Y3238" s="120" t="b">
        <f t="shared" si="2490"/>
        <v>0</v>
      </c>
      <c r="Z3238" s="117">
        <f t="shared" si="2491"/>
        <v>0</v>
      </c>
      <c r="AA3238" s="118"/>
      <c r="AB3238" s="118" t="str">
        <f t="shared" si="2492"/>
        <v/>
      </c>
      <c r="AC3238" s="712" t="str">
        <f>IF(AE3238="T2G","no charge",IF(AND(OR(PlanterYesMe="No",PlanterYesMe="N",PlanterYesMe="me"),H3238=""),"",IF(H3238="credit","NO install",IF(AND(K3238="",AE3238="me"),"EACH row",IF(AND(K3238="images",AE3238="me"),"EACH row",IF(D3238="","",IF(H3238="credit","",IF(AE3238="free","re-planting",IF(AE3238="me","   not ELP, by",IF(AND(OR(PlanterYesMe="Yes",PlanterYesMe="Y"),G3238&gt;0),(VLOOKUP(A3238,'Discount Lookup'!J:K,2)*G3238*(1-PlanterDiscount)*(1+PlanterDifficultyPercentage)),IF(AE3238="ELP",(VLOOKUP(A3238,'Discount Lookup'!J:K,2)*G3238*(1-PlanterDiscount)*(1+PlanterDifficultyPercentage)),IF(AE3238="free","re-planting",IF(G3238=0,"",IF(PlanterYesMe="",IF(AE3238="me","   not ELP, by",IF(AE3238="",IF(G3238&gt;0,(VLOOKUP(A3238,'Discount Lookup'!J:K,2)*G3238*(1-PlanterDiscount)*(1+PlanterDifficultyPercentage)),""),"")),"   not ELP, by"))))))))))))))</f>
        <v/>
      </c>
      <c r="AD3238" s="712"/>
      <c r="AE3238" s="513" t="str">
        <f t="shared" si="2493"/>
        <v/>
      </c>
      <c r="AF3238" s="713" t="str">
        <f t="shared" si="2494"/>
        <v/>
      </c>
      <c r="AG3238" s="713"/>
      <c r="AH3238" s="713"/>
      <c r="AI3238" s="112">
        <f>IF(H3238="credit",0,IF(AE3238="free",0,IF(AE3238="me",0,IF(G3238&gt;0,(VLOOKUP(A3238,'Discount Lookup'!J:K,2)*G3238),0))))</f>
        <v>0</v>
      </c>
      <c r="AJ3238" s="107" t="str">
        <f t="shared" ca="1" si="2495"/>
        <v/>
      </c>
      <c r="AK3238" s="714" t="str">
        <f t="shared" si="2496"/>
        <v/>
      </c>
      <c r="AL3238" s="714"/>
      <c r="AM3238" s="114" t="str">
        <f t="shared" si="2497"/>
        <v/>
      </c>
      <c r="AN3238" s="115"/>
      <c r="AO3238" s="116"/>
      <c r="AP3238" s="116"/>
      <c r="AQ3238" s="116"/>
      <c r="AR3238" s="116"/>
      <c r="AS3238" s="116"/>
      <c r="AT3238" s="116"/>
      <c r="AU3238" s="116"/>
      <c r="AV3238" s="78"/>
      <c r="AW3238" s="102"/>
      <c r="AX3238" s="78"/>
      <c r="AY3238" s="78"/>
      <c r="AZ3238" s="78"/>
      <c r="BA3238" s="78"/>
      <c r="BB3238" s="78"/>
      <c r="BC3238" s="78"/>
      <c r="BD3238" s="78"/>
      <c r="BE3238" s="465"/>
      <c r="BF3238" s="165" t="str">
        <f t="shared" si="2498"/>
        <v>https://www.google.com/search?tbm=isch&amp;q=Parrotia%20persica%20%27Golden%20Bell%20Tower%27%20Golden%20Bell%20Tower%20Persian%20Parrotia</v>
      </c>
      <c r="BG3238" s="165" t="str">
        <f t="shared" si="2499"/>
        <v>P</v>
      </c>
      <c r="BH3238" s="65"/>
      <c r="BI3238" s="65"/>
      <c r="BJ3238" s="65"/>
      <c r="BK3238" s="65"/>
      <c r="BL3238" s="99"/>
      <c r="BM3238" s="99"/>
      <c r="BN3238" s="99"/>
    </row>
    <row r="3239" spans="1:66" s="51" customFormat="1" ht="15.75" x14ac:dyDescent="0.25">
      <c r="A3239" s="634">
        <v>7</v>
      </c>
      <c r="B3239" s="635" t="s">
        <v>291</v>
      </c>
      <c r="C3239" s="636" t="s">
        <v>5200</v>
      </c>
      <c r="D3239" s="637" t="s">
        <v>299</v>
      </c>
      <c r="E3239" s="638">
        <v>146.94999999999999</v>
      </c>
      <c r="F3239" s="639" t="s">
        <v>292</v>
      </c>
      <c r="G3239" s="484">
        <v>0</v>
      </c>
      <c r="H3239" s="691" t="str">
        <f>IF(G3239=0,"",IF(F3239="Buy",IF(G3239=1,"plant","plants"),IF(F3239&gt;0.01,"warranty","Error")))</f>
        <v/>
      </c>
      <c r="I3239" s="640">
        <f>IF(H3239="free",0,IF(H3239="credit",((E3239*(F3239))*G3239*-1),IF(F3239="Buy",(E3239*G3239),((E3239*(1-F3239))*G3239))))</f>
        <v>0</v>
      </c>
      <c r="J3239" s="640">
        <f>IF(H3239="warranty",0,(I3239*(_xlfn.SINGLE(SalesTaxPercentage))))</f>
        <v>0</v>
      </c>
      <c r="K3239" s="716">
        <f t="shared" ref="K3239" si="2507">I3239+J3239</f>
        <v>0</v>
      </c>
      <c r="L3239" s="716"/>
      <c r="M3239" s="689" t="str">
        <f ca="1">IF(AND(G3239&gt;0,E3239=0),"WARNING - no PRICE inserted",IF(H3239="free","FREE ~ no charge this plant",IF(H3239="credit",CONCATENATE("-$",ROUND(K3239*(1-_xlfn.SINGLE(T2GDiscount))*-1,2)," CREDIT after discount"),IF(_xlfn.SINGLE(T2GDiscount)=0,"",IF(G3239=0,"",IF(F3239="Buy",CONCATENATE("$",ROUND(K3239*(1-_xlfn.SINGLE(T2GDiscount)),2)," with ",(_xlfn.SINGLE(T2GDiscount)*100),"% discount"),CONCATENATE("$",ROUND(K3239*(1-_xlfn.SINGLE(T2GDiscount)),2)," with ",((_xlfn.SINGLE(T2GDiscount)*100+F3239*100)-(_xlfn.SINGLE(T2GDiscount)*100*F3239)),IF(F3239&gt;0,"% discounts",IF(_xlfn.SINGLE(NoWarrantyDiscount)&gt;0,"% discounts","% discount")))))))))</f>
        <v/>
      </c>
      <c r="N3239" s="690"/>
      <c r="O3239" s="486"/>
      <c r="P3239" s="486"/>
      <c r="Q3239" s="486"/>
      <c r="R3239" s="486"/>
      <c r="S3239" s="486"/>
      <c r="T3239" s="102">
        <f t="shared" si="2487"/>
        <v>0</v>
      </c>
      <c r="U3239" s="78">
        <f>IF(NOT(ISNUMBER(G3239)), "", VLOOKUP(A3239,'Discount Lookup'!D:E,2,FALSE)*G3239)</f>
        <v>0</v>
      </c>
      <c r="V3239" s="78">
        <f>IF(NOT(ISNUMBER(G3239)), "", VLOOKUP(A3239,'Discount Lookup'!G:H,2,FALSE)*G3239)</f>
        <v>0</v>
      </c>
      <c r="W3239" s="102">
        <f t="shared" si="2488"/>
        <v>0</v>
      </c>
      <c r="X3239" s="102">
        <f t="shared" si="2489"/>
        <v>0</v>
      </c>
      <c r="Y3239" s="120" t="b">
        <f t="shared" si="2490"/>
        <v>0</v>
      </c>
      <c r="Z3239" s="117">
        <f t="shared" si="2491"/>
        <v>0</v>
      </c>
      <c r="AA3239" s="118"/>
      <c r="AB3239" s="118" t="str">
        <f t="shared" si="2492"/>
        <v/>
      </c>
      <c r="AC3239" s="712" t="str">
        <f>IF(AE3239="T2G","no charge",IF(AND(OR(PlanterYesMe="No",PlanterYesMe="N",PlanterYesMe="me"),H3239=""),"",IF(H3239="credit","NO install",IF(AND(K3239="",AE3239="me"),"EACH row",IF(AND(K3239="images",AE3239="me"),"EACH row",IF(D3239="","",IF(H3239="credit","",IF(AE3239="free","re-planting",IF(AE3239="me","   not ELP, by",IF(AND(OR(PlanterYesMe="Yes",PlanterYesMe="Y"),G3239&gt;0),(VLOOKUP(A3239,'Discount Lookup'!J:K,2)*G3239*(1-PlanterDiscount)*(1+PlanterDifficultyPercentage)),IF(AE3239="ELP",(VLOOKUP(A3239,'Discount Lookup'!J:K,2)*G3239*(1-PlanterDiscount)*(1+PlanterDifficultyPercentage)),IF(AE3239="free","re-planting",IF(G3239=0,"",IF(PlanterYesMe="",IF(AE3239="me","   not ELP, by",IF(AE3239="",IF(G3239&gt;0,(VLOOKUP(A3239,'Discount Lookup'!J:K,2)*G3239*(1-PlanterDiscount)*(1+PlanterDifficultyPercentage)),""),"")),"   not ELP, by"))))))))))))))</f>
        <v/>
      </c>
      <c r="AD3239" s="712"/>
      <c r="AE3239" s="513" t="str">
        <f t="shared" si="2493"/>
        <v/>
      </c>
      <c r="AF3239" s="713" t="str">
        <f t="shared" si="2494"/>
        <v/>
      </c>
      <c r="AG3239" s="713"/>
      <c r="AH3239" s="713"/>
      <c r="AI3239" s="112">
        <f>IF(H3239="credit",0,IF(AE3239="free",0,IF(AE3239="me",0,IF(G3239&gt;0,(VLOOKUP(A3239,'Discount Lookup'!J:K,2)*G3239),0))))</f>
        <v>0</v>
      </c>
      <c r="AJ3239" s="107" t="str">
        <f t="shared" ca="1" si="2495"/>
        <v/>
      </c>
      <c r="AK3239" s="714" t="str">
        <f t="shared" si="2496"/>
        <v/>
      </c>
      <c r="AL3239" s="714"/>
      <c r="AM3239" s="114" t="str">
        <f t="shared" si="2497"/>
        <v/>
      </c>
      <c r="AN3239" s="115"/>
      <c r="AO3239" s="116"/>
      <c r="AP3239" s="116"/>
      <c r="AQ3239" s="116"/>
      <c r="AR3239" s="116"/>
      <c r="AS3239" s="116"/>
      <c r="AT3239" s="116"/>
      <c r="AU3239" s="116"/>
      <c r="AV3239" s="78"/>
      <c r="AW3239" s="102"/>
      <c r="AX3239" s="78"/>
      <c r="AY3239" s="78"/>
      <c r="AZ3239" s="78"/>
      <c r="BA3239" s="78"/>
      <c r="BB3239" s="78"/>
      <c r="BC3239" s="78"/>
      <c r="BD3239" s="78"/>
      <c r="BE3239" s="465"/>
      <c r="BF3239" s="165" t="str">
        <f t="shared" si="2498"/>
        <v>https://www.google.com/search?tbm=isch&amp;q=7%20G4</v>
      </c>
      <c r="BG3239" s="165" t="str">
        <f t="shared" si="2499"/>
        <v>P</v>
      </c>
      <c r="BH3239" s="65"/>
      <c r="BI3239" s="65"/>
      <c r="BJ3239" s="65"/>
      <c r="BK3239" s="65"/>
      <c r="BL3239" s="99"/>
      <c r="BM3239" s="99"/>
      <c r="BN3239" s="99"/>
    </row>
    <row r="3240" spans="1:66" s="51" customFormat="1" ht="17.25" thickBot="1" x14ac:dyDescent="0.3">
      <c r="A3240" s="641" t="s">
        <v>5090</v>
      </c>
      <c r="B3240" s="642"/>
      <c r="C3240" s="710"/>
      <c r="D3240" s="643"/>
      <c r="E3240" s="643"/>
      <c r="F3240" s="644"/>
      <c r="G3240" s="645"/>
      <c r="H3240" s="646"/>
      <c r="I3240" s="647"/>
      <c r="J3240" s="648"/>
      <c r="K3240" s="649"/>
      <c r="L3240" s="650"/>
      <c r="M3240" s="650"/>
      <c r="N3240" s="644"/>
      <c r="O3240" s="644"/>
      <c r="P3240" s="644"/>
      <c r="Q3240" s="644"/>
      <c r="R3240" s="644"/>
      <c r="S3240" s="651"/>
      <c r="T3240" s="102">
        <f t="shared" si="2487"/>
        <v>0</v>
      </c>
      <c r="U3240" s="78" t="str">
        <f>IF(NOT(ISNUMBER(G3240)), "", VLOOKUP(A3240,'Discount Lookup'!D:E,2,FALSE)*G3240)</f>
        <v/>
      </c>
      <c r="V3240" s="78" t="str">
        <f>IF(NOT(ISNUMBER(G3240)), "", VLOOKUP(A3240,'Discount Lookup'!G:H,2,FALSE)*G3240)</f>
        <v/>
      </c>
      <c r="W3240" s="102">
        <f t="shared" si="2488"/>
        <v>0</v>
      </c>
      <c r="X3240" s="102">
        <f t="shared" si="2489"/>
        <v>0</v>
      </c>
      <c r="Y3240" s="120" t="b">
        <f t="shared" si="2490"/>
        <v>0</v>
      </c>
      <c r="Z3240" s="117">
        <f t="shared" si="2491"/>
        <v>0</v>
      </c>
      <c r="AA3240" s="118"/>
      <c r="AB3240" s="118" t="str">
        <f t="shared" si="2492"/>
        <v/>
      </c>
      <c r="AC3240" s="712" t="str">
        <f>IF(AE3240="T2G","no charge",IF(AND(OR(PlanterYesMe="No",PlanterYesMe="N",PlanterYesMe="me"),H3240=""),"",IF(H3240="credit","NO install",IF(AND(K3240="",AE3240="me"),"EACH row",IF(AND(K3240="images",AE3240="me"),"EACH row",IF(D3240="","",IF(H3240="credit","",IF(AE3240="free","re-planting",IF(AE3240="me","   not ELP, by",IF(AND(OR(PlanterYesMe="Yes",PlanterYesMe="Y"),G3240&gt;0),(VLOOKUP(A3240,'Discount Lookup'!J:K,2)*G3240*(1-PlanterDiscount)*(1+PlanterDifficultyPercentage)),IF(AE3240="ELP",(VLOOKUP(A3240,'Discount Lookup'!J:K,2)*G3240*(1-PlanterDiscount)*(1+PlanterDifficultyPercentage)),IF(AE3240="free","re-planting",IF(G3240=0,"",IF(PlanterYesMe="",IF(AE3240="me","   not ELP, by",IF(AE3240="",IF(G3240&gt;0,(VLOOKUP(A3240,'Discount Lookup'!J:K,2)*G3240*(1-PlanterDiscount)*(1+PlanterDifficultyPercentage)),""),"")),"   not ELP, by"))))))))))))))</f>
        <v/>
      </c>
      <c r="AD3240" s="712"/>
      <c r="AE3240" s="513" t="str">
        <f t="shared" si="2493"/>
        <v/>
      </c>
      <c r="AF3240" s="713" t="str">
        <f t="shared" si="2494"/>
        <v/>
      </c>
      <c r="AG3240" s="713"/>
      <c r="AH3240" s="713"/>
      <c r="AI3240" s="112">
        <f>IF(H3240="credit",0,IF(AE3240="free",0,IF(AE3240="me",0,IF(G3240&gt;0,(VLOOKUP(A3240,'Discount Lookup'!J:K,2)*G3240),0))))</f>
        <v>0</v>
      </c>
      <c r="AJ3240" s="107" t="str">
        <f t="shared" ca="1" si="2495"/>
        <v/>
      </c>
      <c r="AK3240" s="714" t="str">
        <f t="shared" si="2496"/>
        <v/>
      </c>
      <c r="AL3240" s="714"/>
      <c r="AM3240" s="114" t="str">
        <f t="shared" si="2497"/>
        <v/>
      </c>
      <c r="AN3240" s="115"/>
      <c r="AO3240" s="116"/>
      <c r="AP3240" s="116"/>
      <c r="AQ3240" s="116"/>
      <c r="AR3240" s="116"/>
      <c r="AS3240" s="116"/>
      <c r="AT3240" s="116"/>
      <c r="AU3240" s="116"/>
      <c r="AV3240" s="78"/>
      <c r="AW3240" s="102"/>
      <c r="AX3240" s="78"/>
      <c r="AY3240" s="78"/>
      <c r="AZ3240" s="78"/>
      <c r="BA3240" s="78"/>
      <c r="BB3240" s="78"/>
      <c r="BC3240" s="78"/>
      <c r="BD3240" s="78"/>
      <c r="BE3240" s="465"/>
      <c r="BF3240" s="165" t="str">
        <f t="shared" si="2498"/>
        <v>https://www.google.com/search?tbm=isch&amp;q=Golden%20Bell%20Tower%20has%20a%20storm-resistant%20columnar%20form%2C%20exfoliating%20bark%20revealing%20Pink%20tones%2C%20and%20consistent%20Golden-Apricot%20fall%20color%20</v>
      </c>
      <c r="BG3240" s="165" t="str">
        <f t="shared" si="2499"/>
        <v>G</v>
      </c>
      <c r="BH3240" s="65"/>
      <c r="BI3240" s="65"/>
      <c r="BJ3240" s="65"/>
      <c r="BK3240" s="65"/>
      <c r="BL3240" s="99"/>
      <c r="BM3240" s="99"/>
      <c r="BN3240" s="99"/>
    </row>
    <row r="3241" spans="1:66" s="51" customFormat="1" ht="18" x14ac:dyDescent="0.25">
      <c r="A3241" s="623" t="s">
        <v>3757</v>
      </c>
      <c r="B3241" s="624"/>
      <c r="C3241" s="709"/>
      <c r="D3241" s="625" t="s">
        <v>5745</v>
      </c>
      <c r="E3241" s="626"/>
      <c r="F3241" s="626"/>
      <c r="G3241" s="626"/>
      <c r="H3241" s="622" t="s">
        <v>658</v>
      </c>
      <c r="I3241" s="627" t="s">
        <v>1738</v>
      </c>
      <c r="J3241" s="628"/>
      <c r="K3241" s="628"/>
      <c r="L3241" s="629"/>
      <c r="M3241" s="700" t="s">
        <v>5249</v>
      </c>
      <c r="N3241" s="693" t="str">
        <f>IF(AND(ISTEXT($A3241), ISERROR($A3241+0)), HYPERLINK($BF3241, "Images"), "")</f>
        <v>Images</v>
      </c>
      <c r="O3241" s="695" t="s">
        <v>5244</v>
      </c>
      <c r="P3241" s="630"/>
      <c r="Q3241" s="631"/>
      <c r="R3241" s="632"/>
      <c r="S3241" s="633"/>
      <c r="T3241" s="102">
        <f t="shared" si="2487"/>
        <v>0</v>
      </c>
      <c r="U3241" s="78" t="str">
        <f>IF(NOT(ISNUMBER(G3241)), "", VLOOKUP(A3241,'Discount Lookup'!D:E,2,FALSE)*G3241)</f>
        <v/>
      </c>
      <c r="V3241" s="78" t="str">
        <f>IF(NOT(ISNUMBER(G3241)), "", VLOOKUP(A3241,'Discount Lookup'!G:H,2,FALSE)*G3241)</f>
        <v/>
      </c>
      <c r="W3241" s="102">
        <f t="shared" si="2488"/>
        <v>0</v>
      </c>
      <c r="X3241" s="102" t="str">
        <f t="shared" si="2489"/>
        <v>Red bloom</v>
      </c>
      <c r="Y3241" s="120" t="b">
        <f t="shared" si="2490"/>
        <v>0</v>
      </c>
      <c r="Z3241" s="117">
        <f t="shared" si="2491"/>
        <v>0</v>
      </c>
      <c r="AA3241" s="118"/>
      <c r="AB3241" s="118" t="str">
        <f t="shared" si="2492"/>
        <v/>
      </c>
      <c r="AC3241" s="712" t="str">
        <f>IF(AE3241="T2G","no charge",IF(AND(OR(PlanterYesMe="No",PlanterYesMe="N",PlanterYesMe="me"),H3241=""),"",IF(H3241="credit","NO install",IF(AND(K3241="",AE3241="me"),"EACH row",IF(AND(K3241="images",AE3241="me"),"EACH row",IF(D3241="","",IF(H3241="credit","",IF(AE3241="free","re-planting",IF(AE3241="me","   not ELP, by",IF(AND(OR(PlanterYesMe="Yes",PlanterYesMe="Y"),G3241&gt;0),(VLOOKUP(A3241,'Discount Lookup'!J:K,2)*G3241*(1-PlanterDiscount)*(1+PlanterDifficultyPercentage)),IF(AE3241="ELP",(VLOOKUP(A3241,'Discount Lookup'!J:K,2)*G3241*(1-PlanterDiscount)*(1+PlanterDifficultyPercentage)),IF(AE3241="free","re-planting",IF(G3241=0,"",IF(PlanterYesMe="",IF(AE3241="me","   not ELP, by",IF(AE3241="",IF(G3241&gt;0,(VLOOKUP(A3241,'Discount Lookup'!J:K,2)*G3241*(1-PlanterDiscount)*(1+PlanterDifficultyPercentage)),""),"")),"   not ELP, by"))))))))))))))</f>
        <v/>
      </c>
      <c r="AD3241" s="712"/>
      <c r="AE3241" s="513" t="str">
        <f t="shared" si="2493"/>
        <v/>
      </c>
      <c r="AF3241" s="713" t="str">
        <f t="shared" si="2494"/>
        <v/>
      </c>
      <c r="AG3241" s="713"/>
      <c r="AH3241" s="713"/>
      <c r="AI3241" s="112">
        <f>IF(H3241="credit",0,IF(AE3241="free",0,IF(AE3241="me",0,IF(G3241&gt;0,(VLOOKUP(A3241,'Discount Lookup'!J:K,2)*G3241),0))))</f>
        <v>0</v>
      </c>
      <c r="AJ3241" s="107" t="str">
        <f t="shared" ca="1" si="2495"/>
        <v/>
      </c>
      <c r="AK3241" s="714" t="str">
        <f t="shared" si="2496"/>
        <v/>
      </c>
      <c r="AL3241" s="714"/>
      <c r="AM3241" s="114" t="str">
        <f t="shared" si="2497"/>
        <v/>
      </c>
      <c r="AN3241" s="115"/>
      <c r="AO3241" s="116"/>
      <c r="AP3241" s="116"/>
      <c r="AQ3241" s="116"/>
      <c r="AR3241" s="116"/>
      <c r="AS3241" s="116"/>
      <c r="AT3241" s="116"/>
      <c r="AU3241" s="116"/>
      <c r="AV3241" s="78"/>
      <c r="AW3241" s="102"/>
      <c r="AX3241" s="78"/>
      <c r="AY3241" s="78"/>
      <c r="AZ3241" s="78"/>
      <c r="BA3241" s="78"/>
      <c r="BB3241" s="78"/>
      <c r="BC3241" s="78"/>
      <c r="BD3241" s="78"/>
      <c r="BE3241" s="465"/>
      <c r="BF3241" s="165" t="str">
        <f t="shared" si="2498"/>
        <v>https://www.google.com/search?tbm=isch&amp;q=Parrotia%20persica%20%27JLColumnar%27%20PP%2324951%20Persian%20Spire%E2%84%A2%20Parrotia</v>
      </c>
      <c r="BG3241" s="165" t="str">
        <f t="shared" si="2499"/>
        <v>P</v>
      </c>
      <c r="BH3241" s="65"/>
      <c r="BI3241" s="65"/>
      <c r="BJ3241" s="65"/>
      <c r="BK3241" s="65"/>
      <c r="BL3241" s="99"/>
      <c r="BM3241" s="99"/>
      <c r="BN3241" s="99"/>
    </row>
    <row r="3242" spans="1:66" s="51" customFormat="1" ht="15.75" x14ac:dyDescent="0.25">
      <c r="A3242" s="634">
        <v>7</v>
      </c>
      <c r="B3242" s="635" t="s">
        <v>291</v>
      </c>
      <c r="C3242" s="636" t="s">
        <v>5201</v>
      </c>
      <c r="D3242" s="637" t="s">
        <v>299</v>
      </c>
      <c r="E3242" s="638">
        <v>146.94999999999999</v>
      </c>
      <c r="F3242" s="639" t="s">
        <v>292</v>
      </c>
      <c r="G3242" s="484">
        <v>0</v>
      </c>
      <c r="H3242" s="691" t="str">
        <f>IF(G3242=0,"",IF(F3242="Buy",IF(G3242=1,"plant","plants"),IF(F3242&gt;0.01,"warranty","Error")))</f>
        <v/>
      </c>
      <c r="I3242" s="640">
        <f>IF(H3242="free",0,IF(H3242="credit",((E3242*(F3242))*G3242*-1),IF(F3242="Buy",(E3242*G3242),((E3242*(1-F3242))*G3242))))</f>
        <v>0</v>
      </c>
      <c r="J3242" s="640">
        <f>IF(H3242="warranty",0,(I3242*(_xlfn.SINGLE(SalesTaxPercentage))))</f>
        <v>0</v>
      </c>
      <c r="K3242" s="716">
        <f t="shared" ref="K3242" si="2508">I3242+J3242</f>
        <v>0</v>
      </c>
      <c r="L3242" s="716"/>
      <c r="M3242" s="689" t="str">
        <f ca="1">IF(AND(G3242&gt;0,E3242=0),"WARNING - no PRICE inserted",IF(H3242="free","FREE ~ no charge this plant",IF(H3242="credit",CONCATENATE("-$",ROUND(K3242*(1-_xlfn.SINGLE(T2GDiscount))*-1,2)," CREDIT after discount"),IF(_xlfn.SINGLE(T2GDiscount)=0,"",IF(G3242=0,"",IF(F3242="Buy",CONCATENATE("$",ROUND(K3242*(1-_xlfn.SINGLE(T2GDiscount)),2)," with ",(_xlfn.SINGLE(T2GDiscount)*100),"% discount"),CONCATENATE("$",ROUND(K3242*(1-_xlfn.SINGLE(T2GDiscount)),2)," with ",((_xlfn.SINGLE(T2GDiscount)*100+F3242*100)-(_xlfn.SINGLE(T2GDiscount)*100*F3242)),IF(F3242&gt;0,"% discounts",IF(_xlfn.SINGLE(NoWarrantyDiscount)&gt;0,"% discounts","% discount")))))))))</f>
        <v/>
      </c>
      <c r="N3242" s="690"/>
      <c r="O3242" s="486"/>
      <c r="P3242" s="486"/>
      <c r="Q3242" s="486"/>
      <c r="R3242" s="486"/>
      <c r="S3242" s="486"/>
      <c r="T3242" s="102">
        <f t="shared" si="2487"/>
        <v>0</v>
      </c>
      <c r="U3242" s="78">
        <f>IF(NOT(ISNUMBER(G3242)), "", VLOOKUP(A3242,'Discount Lookup'!D:E,2,FALSE)*G3242)</f>
        <v>0</v>
      </c>
      <c r="V3242" s="78">
        <f>IF(NOT(ISNUMBER(G3242)), "", VLOOKUP(A3242,'Discount Lookup'!G:H,2,FALSE)*G3242)</f>
        <v>0</v>
      </c>
      <c r="W3242" s="102">
        <f t="shared" si="2488"/>
        <v>0</v>
      </c>
      <c r="X3242" s="102">
        <f t="shared" si="2489"/>
        <v>0</v>
      </c>
      <c r="Y3242" s="120" t="b">
        <f t="shared" si="2490"/>
        <v>0</v>
      </c>
      <c r="Z3242" s="117">
        <f t="shared" si="2491"/>
        <v>0</v>
      </c>
      <c r="AA3242" s="118"/>
      <c r="AB3242" s="118" t="str">
        <f t="shared" si="2492"/>
        <v/>
      </c>
      <c r="AC3242" s="712" t="str">
        <f>IF(AE3242="T2G","no charge",IF(AND(OR(PlanterYesMe="No",PlanterYesMe="N",PlanterYesMe="me"),H3242=""),"",IF(H3242="credit","NO install",IF(AND(K3242="",AE3242="me"),"EACH row",IF(AND(K3242="images",AE3242="me"),"EACH row",IF(D3242="","",IF(H3242="credit","",IF(AE3242="free","re-planting",IF(AE3242="me","   not ELP, by",IF(AND(OR(PlanterYesMe="Yes",PlanterYesMe="Y"),G3242&gt;0),(VLOOKUP(A3242,'Discount Lookup'!J:K,2)*G3242*(1-PlanterDiscount)*(1+PlanterDifficultyPercentage)),IF(AE3242="ELP",(VLOOKUP(A3242,'Discount Lookup'!J:K,2)*G3242*(1-PlanterDiscount)*(1+PlanterDifficultyPercentage)),IF(AE3242="free","re-planting",IF(G3242=0,"",IF(PlanterYesMe="",IF(AE3242="me","   not ELP, by",IF(AE3242="",IF(G3242&gt;0,(VLOOKUP(A3242,'Discount Lookup'!J:K,2)*G3242*(1-PlanterDiscount)*(1+PlanterDifficultyPercentage)),""),"")),"   not ELP, by"))))))))))))))</f>
        <v/>
      </c>
      <c r="AD3242" s="712"/>
      <c r="AE3242" s="513" t="str">
        <f t="shared" si="2493"/>
        <v/>
      </c>
      <c r="AF3242" s="713" t="str">
        <f t="shared" si="2494"/>
        <v/>
      </c>
      <c r="AG3242" s="713"/>
      <c r="AH3242" s="713"/>
      <c r="AI3242" s="112">
        <f>IF(H3242="credit",0,IF(AE3242="free",0,IF(AE3242="me",0,IF(G3242&gt;0,(VLOOKUP(A3242,'Discount Lookup'!J:K,2)*G3242),0))))</f>
        <v>0</v>
      </c>
      <c r="AJ3242" s="107" t="str">
        <f t="shared" ca="1" si="2495"/>
        <v/>
      </c>
      <c r="AK3242" s="714" t="str">
        <f t="shared" si="2496"/>
        <v/>
      </c>
      <c r="AL3242" s="714"/>
      <c r="AM3242" s="114" t="str">
        <f t="shared" si="2497"/>
        <v/>
      </c>
      <c r="AN3242" s="115"/>
      <c r="AO3242" s="116"/>
      <c r="AP3242" s="116"/>
      <c r="AQ3242" s="116"/>
      <c r="AR3242" s="116"/>
      <c r="AS3242" s="116"/>
      <c r="AT3242" s="116"/>
      <c r="AU3242" s="116"/>
      <c r="AV3242" s="78"/>
      <c r="AW3242" s="102"/>
      <c r="AX3242" s="78"/>
      <c r="AY3242" s="78"/>
      <c r="AZ3242" s="78"/>
      <c r="BA3242" s="78"/>
      <c r="BB3242" s="78"/>
      <c r="BC3242" s="78"/>
      <c r="BD3242" s="78"/>
      <c r="BE3242" s="465"/>
      <c r="BF3242" s="165" t="str">
        <f t="shared" si="2498"/>
        <v>https://www.google.com/search?tbm=isch&amp;q=7%20G4</v>
      </c>
      <c r="BG3242" s="165" t="str">
        <f t="shared" si="2499"/>
        <v>P</v>
      </c>
      <c r="BH3242" s="65"/>
      <c r="BI3242" s="65"/>
      <c r="BJ3242" s="65"/>
      <c r="BK3242" s="65"/>
      <c r="BL3242" s="99"/>
      <c r="BM3242" s="99"/>
      <c r="BN3242" s="99"/>
    </row>
    <row r="3243" spans="1:66" s="51" customFormat="1" ht="15.75" x14ac:dyDescent="0.25">
      <c r="A3243" s="634">
        <v>10</v>
      </c>
      <c r="B3243" s="635" t="s">
        <v>291</v>
      </c>
      <c r="C3243" s="636" t="s">
        <v>924</v>
      </c>
      <c r="D3243" s="637" t="s">
        <v>299</v>
      </c>
      <c r="E3243" s="638">
        <v>206.95</v>
      </c>
      <c r="F3243" s="639" t="s">
        <v>292</v>
      </c>
      <c r="G3243" s="484">
        <v>0</v>
      </c>
      <c r="H3243" s="691" t="str">
        <f>IF(G3243=0,"",IF(F3243="Buy",IF(G3243=1,"plant","plants"),IF(F3243&gt;0.01,"warranty","Error")))</f>
        <v/>
      </c>
      <c r="I3243" s="640">
        <f>IF(H3243="free",0,IF(H3243="credit",((E3243*(F3243))*G3243*-1),IF(F3243="Buy",(E3243*G3243),((E3243*(1-F3243))*G3243))))</f>
        <v>0</v>
      </c>
      <c r="J3243" s="640">
        <f>IF(H3243="warranty",0,(I3243*(_xlfn.SINGLE(SalesTaxPercentage))))</f>
        <v>0</v>
      </c>
      <c r="K3243" s="716">
        <f t="shared" ref="K3243" si="2509">I3243+J3243</f>
        <v>0</v>
      </c>
      <c r="L3243" s="716"/>
      <c r="M3243" s="689" t="str">
        <f ca="1">IF(AND(G3243&gt;0,E3243=0),"WARNING - no PRICE inserted",IF(H3243="free","FREE ~ no charge this plant",IF(H3243="credit",CONCATENATE("-$",ROUND(K3243*(1-_xlfn.SINGLE(T2GDiscount))*-1,2)," CREDIT after discount"),IF(_xlfn.SINGLE(T2GDiscount)=0,"",IF(G3243=0,"",IF(F3243="Buy",CONCATENATE("$",ROUND(K3243*(1-_xlfn.SINGLE(T2GDiscount)),2)," with ",(_xlfn.SINGLE(T2GDiscount)*100),"% discount"),CONCATENATE("$",ROUND(K3243*(1-_xlfn.SINGLE(T2GDiscount)),2)," with ",((_xlfn.SINGLE(T2GDiscount)*100+F3243*100)-(_xlfn.SINGLE(T2GDiscount)*100*F3243)),IF(F3243&gt;0,"% discounts",IF(_xlfn.SINGLE(NoWarrantyDiscount)&gt;0,"% discounts","% discount")))))))))</f>
        <v/>
      </c>
      <c r="N3243" s="690"/>
      <c r="O3243" s="486"/>
      <c r="P3243" s="486"/>
      <c r="Q3243" s="486"/>
      <c r="R3243" s="486"/>
      <c r="S3243" s="486"/>
      <c r="T3243" s="102">
        <f t="shared" si="2487"/>
        <v>0</v>
      </c>
      <c r="U3243" s="78">
        <f>IF(NOT(ISNUMBER(G3243)), "", VLOOKUP(A3243,'Discount Lookup'!D:E,2,FALSE)*G3243)</f>
        <v>0</v>
      </c>
      <c r="V3243" s="78">
        <f>IF(NOT(ISNUMBER(G3243)), "", VLOOKUP(A3243,'Discount Lookup'!G:H,2,FALSE)*G3243)</f>
        <v>0</v>
      </c>
      <c r="W3243" s="102">
        <f t="shared" si="2488"/>
        <v>0</v>
      </c>
      <c r="X3243" s="102">
        <f t="shared" si="2489"/>
        <v>0</v>
      </c>
      <c r="Y3243" s="120" t="b">
        <f t="shared" si="2490"/>
        <v>0</v>
      </c>
      <c r="Z3243" s="117">
        <f t="shared" si="2491"/>
        <v>0</v>
      </c>
      <c r="AA3243" s="118"/>
      <c r="AB3243" s="118" t="str">
        <f t="shared" si="2492"/>
        <v/>
      </c>
      <c r="AC3243" s="712" t="str">
        <f>IF(AE3243="T2G","no charge",IF(AND(OR(PlanterYesMe="No",PlanterYesMe="N",PlanterYesMe="me"),H3243=""),"",IF(H3243="credit","NO install",IF(AND(K3243="",AE3243="me"),"EACH row",IF(AND(K3243="images",AE3243="me"),"EACH row",IF(D3243="","",IF(H3243="credit","",IF(AE3243="free","re-planting",IF(AE3243="me","   not ELP, by",IF(AND(OR(PlanterYesMe="Yes",PlanterYesMe="Y"),G3243&gt;0),(VLOOKUP(A3243,'Discount Lookup'!J:K,2)*G3243*(1-PlanterDiscount)*(1+PlanterDifficultyPercentage)),IF(AE3243="ELP",(VLOOKUP(A3243,'Discount Lookup'!J:K,2)*G3243*(1-PlanterDiscount)*(1+PlanterDifficultyPercentage)),IF(AE3243="free","re-planting",IF(G3243=0,"",IF(PlanterYesMe="",IF(AE3243="me","   not ELP, by",IF(AE3243="",IF(G3243&gt;0,(VLOOKUP(A3243,'Discount Lookup'!J:K,2)*G3243*(1-PlanterDiscount)*(1+PlanterDifficultyPercentage)),""),"")),"   not ELP, by"))))))))))))))</f>
        <v/>
      </c>
      <c r="AD3243" s="712"/>
      <c r="AE3243" s="513" t="str">
        <f t="shared" si="2493"/>
        <v/>
      </c>
      <c r="AF3243" s="713" t="str">
        <f t="shared" si="2494"/>
        <v/>
      </c>
      <c r="AG3243" s="713"/>
      <c r="AH3243" s="713"/>
      <c r="AI3243" s="112">
        <f>IF(H3243="credit",0,IF(AE3243="free",0,IF(AE3243="me",0,IF(G3243&gt;0,(VLOOKUP(A3243,'Discount Lookup'!J:K,2)*G3243),0))))</f>
        <v>0</v>
      </c>
      <c r="AJ3243" s="107" t="str">
        <f t="shared" ca="1" si="2495"/>
        <v/>
      </c>
      <c r="AK3243" s="714" t="str">
        <f t="shared" si="2496"/>
        <v/>
      </c>
      <c r="AL3243" s="714"/>
      <c r="AM3243" s="114" t="str">
        <f t="shared" si="2497"/>
        <v/>
      </c>
      <c r="AN3243" s="115"/>
      <c r="AO3243" s="116"/>
      <c r="AP3243" s="116"/>
      <c r="AQ3243" s="116"/>
      <c r="AR3243" s="116"/>
      <c r="AS3243" s="116"/>
      <c r="AT3243" s="116"/>
      <c r="AU3243" s="116"/>
      <c r="AV3243" s="78"/>
      <c r="AW3243" s="102"/>
      <c r="AX3243" s="78"/>
      <c r="AY3243" s="78"/>
      <c r="AZ3243" s="78"/>
      <c r="BA3243" s="78"/>
      <c r="BB3243" s="78"/>
      <c r="BC3243" s="78"/>
      <c r="BD3243" s="78"/>
      <c r="BE3243" s="465"/>
      <c r="BF3243" s="165" t="str">
        <f t="shared" si="2498"/>
        <v>https://www.google.com/search?tbm=isch&amp;q=10%20G4</v>
      </c>
      <c r="BG3243" s="165" t="str">
        <f t="shared" si="2499"/>
        <v>P</v>
      </c>
      <c r="BH3243" s="65"/>
      <c r="BI3243" s="65"/>
      <c r="BJ3243" s="65"/>
      <c r="BK3243" s="65"/>
      <c r="BL3243" s="99"/>
      <c r="BM3243" s="99"/>
      <c r="BN3243" s="99"/>
    </row>
    <row r="3244" spans="1:66" s="51" customFormat="1" ht="15.75" x14ac:dyDescent="0.25">
      <c r="A3244" s="634">
        <v>15</v>
      </c>
      <c r="B3244" s="635" t="s">
        <v>291</v>
      </c>
      <c r="C3244" s="636" t="s">
        <v>3758</v>
      </c>
      <c r="D3244" s="637" t="s">
        <v>299</v>
      </c>
      <c r="E3244" s="638">
        <v>252.95</v>
      </c>
      <c r="F3244" s="639" t="s">
        <v>292</v>
      </c>
      <c r="G3244" s="484">
        <v>0</v>
      </c>
      <c r="H3244" s="691" t="str">
        <f>IF(G3244=0,"",IF(F3244="Buy",IF(G3244=1,"plant","plants"),IF(F3244&gt;0.01,"warranty","Error")))</f>
        <v/>
      </c>
      <c r="I3244" s="640">
        <f>IF(H3244="free",0,IF(H3244="credit",((E3244*(F3244))*G3244*-1),IF(F3244="Buy",(E3244*G3244),((E3244*(1-F3244))*G3244))))</f>
        <v>0</v>
      </c>
      <c r="J3244" s="640">
        <f>IF(H3244="warranty",0,(I3244*(_xlfn.SINGLE(SalesTaxPercentage))))</f>
        <v>0</v>
      </c>
      <c r="K3244" s="716">
        <f t="shared" ref="K3244" si="2510">I3244+J3244</f>
        <v>0</v>
      </c>
      <c r="L3244" s="716"/>
      <c r="M3244" s="689" t="str">
        <f ca="1">IF(AND(G3244&gt;0,E3244=0),"WARNING - no PRICE inserted",IF(H3244="free","FREE ~ no charge this plant",IF(H3244="credit",CONCATENATE("-$",ROUND(K3244*(1-_xlfn.SINGLE(T2GDiscount))*-1,2)," CREDIT after discount"),IF(_xlfn.SINGLE(T2GDiscount)=0,"",IF(G3244=0,"",IF(F3244="Buy",CONCATENATE("$",ROUND(K3244*(1-_xlfn.SINGLE(T2GDiscount)),2)," with ",(_xlfn.SINGLE(T2GDiscount)*100),"% discount"),CONCATENATE("$",ROUND(K3244*(1-_xlfn.SINGLE(T2GDiscount)),2)," with ",((_xlfn.SINGLE(T2GDiscount)*100+F3244*100)-(_xlfn.SINGLE(T2GDiscount)*100*F3244)),IF(F3244&gt;0,"% discounts",IF(_xlfn.SINGLE(NoWarrantyDiscount)&gt;0,"% discounts","% discount")))))))))</f>
        <v/>
      </c>
      <c r="N3244" s="690"/>
      <c r="O3244" s="486"/>
      <c r="P3244" s="486"/>
      <c r="Q3244" s="486"/>
      <c r="R3244" s="486"/>
      <c r="S3244" s="486"/>
      <c r="T3244" s="102">
        <f t="shared" si="2487"/>
        <v>0</v>
      </c>
      <c r="U3244" s="78">
        <f>IF(NOT(ISNUMBER(G3244)), "", VLOOKUP(A3244,'Discount Lookup'!D:E,2,FALSE)*G3244)</f>
        <v>0</v>
      </c>
      <c r="V3244" s="78">
        <f>IF(NOT(ISNUMBER(G3244)), "", VLOOKUP(A3244,'Discount Lookup'!G:H,2,FALSE)*G3244)</f>
        <v>0</v>
      </c>
      <c r="W3244" s="102">
        <f t="shared" si="2488"/>
        <v>0</v>
      </c>
      <c r="X3244" s="102">
        <f t="shared" si="2489"/>
        <v>0</v>
      </c>
      <c r="Y3244" s="120" t="b">
        <f t="shared" si="2490"/>
        <v>0</v>
      </c>
      <c r="Z3244" s="117">
        <f t="shared" si="2491"/>
        <v>0</v>
      </c>
      <c r="AA3244" s="118"/>
      <c r="AB3244" s="118" t="str">
        <f t="shared" si="2492"/>
        <v/>
      </c>
      <c r="AC3244" s="712" t="str">
        <f>IF(AE3244="T2G","no charge",IF(AND(OR(PlanterYesMe="No",PlanterYesMe="N",PlanterYesMe="me"),H3244=""),"",IF(H3244="credit","NO install",IF(AND(K3244="",AE3244="me"),"EACH row",IF(AND(K3244="images",AE3244="me"),"EACH row",IF(D3244="","",IF(H3244="credit","",IF(AE3244="free","re-planting",IF(AE3244="me","   not ELP, by",IF(AND(OR(PlanterYesMe="Yes",PlanterYesMe="Y"),G3244&gt;0),(VLOOKUP(A3244,'Discount Lookup'!J:K,2)*G3244*(1-PlanterDiscount)*(1+PlanterDifficultyPercentage)),IF(AE3244="ELP",(VLOOKUP(A3244,'Discount Lookup'!J:K,2)*G3244*(1-PlanterDiscount)*(1+PlanterDifficultyPercentage)),IF(AE3244="free","re-planting",IF(G3244=0,"",IF(PlanterYesMe="",IF(AE3244="me","   not ELP, by",IF(AE3244="",IF(G3244&gt;0,(VLOOKUP(A3244,'Discount Lookup'!J:K,2)*G3244*(1-PlanterDiscount)*(1+PlanterDifficultyPercentage)),""),"")),"   not ELP, by"))))))))))))))</f>
        <v/>
      </c>
      <c r="AD3244" s="712"/>
      <c r="AE3244" s="513" t="str">
        <f t="shared" si="2493"/>
        <v/>
      </c>
      <c r="AF3244" s="713" t="str">
        <f t="shared" si="2494"/>
        <v/>
      </c>
      <c r="AG3244" s="713"/>
      <c r="AH3244" s="713"/>
      <c r="AI3244" s="112">
        <f>IF(H3244="credit",0,IF(AE3244="free",0,IF(AE3244="me",0,IF(G3244&gt;0,(VLOOKUP(A3244,'Discount Lookup'!J:K,2)*G3244),0))))</f>
        <v>0</v>
      </c>
      <c r="AJ3244" s="107" t="str">
        <f t="shared" ca="1" si="2495"/>
        <v/>
      </c>
      <c r="AK3244" s="714" t="str">
        <f t="shared" si="2496"/>
        <v/>
      </c>
      <c r="AL3244" s="714"/>
      <c r="AM3244" s="114" t="str">
        <f t="shared" si="2497"/>
        <v/>
      </c>
      <c r="AN3244" s="115"/>
      <c r="AO3244" s="116"/>
      <c r="AP3244" s="116"/>
      <c r="AQ3244" s="116"/>
      <c r="AR3244" s="116"/>
      <c r="AS3244" s="116"/>
      <c r="AT3244" s="116"/>
      <c r="AU3244" s="116"/>
      <c r="AV3244" s="78"/>
      <c r="AW3244" s="102"/>
      <c r="AX3244" s="78"/>
      <c r="AY3244" s="78"/>
      <c r="AZ3244" s="78"/>
      <c r="BA3244" s="78"/>
      <c r="BB3244" s="78"/>
      <c r="BC3244" s="78"/>
      <c r="BD3244" s="78"/>
      <c r="BE3244" s="465"/>
      <c r="BF3244" s="165" t="str">
        <f t="shared" si="2498"/>
        <v>https://www.google.com/search?tbm=isch&amp;q=15%20G4</v>
      </c>
      <c r="BG3244" s="165" t="str">
        <f t="shared" si="2499"/>
        <v>P</v>
      </c>
      <c r="BH3244" s="65"/>
      <c r="BI3244" s="65"/>
      <c r="BJ3244" s="65"/>
      <c r="BK3244" s="65"/>
      <c r="BL3244" s="99"/>
      <c r="BM3244" s="99"/>
      <c r="BN3244" s="99"/>
    </row>
    <row r="3245" spans="1:66" s="51" customFormat="1" ht="17.25" thickBot="1" x14ac:dyDescent="0.3">
      <c r="A3245" s="641" t="s">
        <v>4780</v>
      </c>
      <c r="B3245" s="642"/>
      <c r="C3245" s="710"/>
      <c r="D3245" s="643"/>
      <c r="E3245" s="643"/>
      <c r="F3245" s="644"/>
      <c r="G3245" s="645"/>
      <c r="H3245" s="646"/>
      <c r="I3245" s="647"/>
      <c r="J3245" s="648"/>
      <c r="K3245" s="649"/>
      <c r="L3245" s="650"/>
      <c r="M3245" s="650"/>
      <c r="N3245" s="644"/>
      <c r="O3245" s="644"/>
      <c r="P3245" s="644"/>
      <c r="Q3245" s="644"/>
      <c r="R3245" s="644"/>
      <c r="S3245" s="651"/>
      <c r="T3245" s="102">
        <f t="shared" si="2487"/>
        <v>0</v>
      </c>
      <c r="U3245" s="78" t="str">
        <f>IF(NOT(ISNUMBER(G3245)), "", VLOOKUP(A3245,'Discount Lookup'!D:E,2,FALSE)*G3245)</f>
        <v/>
      </c>
      <c r="V3245" s="78" t="str">
        <f>IF(NOT(ISNUMBER(G3245)), "", VLOOKUP(A3245,'Discount Lookup'!G:H,2,FALSE)*G3245)</f>
        <v/>
      </c>
      <c r="W3245" s="102">
        <f t="shared" si="2488"/>
        <v>0</v>
      </c>
      <c r="X3245" s="102">
        <f t="shared" si="2489"/>
        <v>0</v>
      </c>
      <c r="Y3245" s="120" t="b">
        <f t="shared" si="2490"/>
        <v>0</v>
      </c>
      <c r="Z3245" s="117">
        <f t="shared" si="2491"/>
        <v>0</v>
      </c>
      <c r="AA3245" s="118"/>
      <c r="AB3245" s="118" t="str">
        <f t="shared" si="2492"/>
        <v/>
      </c>
      <c r="AC3245" s="712" t="str">
        <f>IF(AE3245="T2G","no charge",IF(AND(OR(PlanterYesMe="No",PlanterYesMe="N",PlanterYesMe="me"),H3245=""),"",IF(H3245="credit","NO install",IF(AND(K3245="",AE3245="me"),"EACH row",IF(AND(K3245="images",AE3245="me"),"EACH row",IF(D3245="","",IF(H3245="credit","",IF(AE3245="free","re-planting",IF(AE3245="me","   not ELP, by",IF(AND(OR(PlanterYesMe="Yes",PlanterYesMe="Y"),G3245&gt;0),(VLOOKUP(A3245,'Discount Lookup'!J:K,2)*G3245*(1-PlanterDiscount)*(1+PlanterDifficultyPercentage)),IF(AE3245="ELP",(VLOOKUP(A3245,'Discount Lookup'!J:K,2)*G3245*(1-PlanterDiscount)*(1+PlanterDifficultyPercentage)),IF(AE3245="free","re-planting",IF(G3245=0,"",IF(PlanterYesMe="",IF(AE3245="me","   not ELP, by",IF(AE3245="",IF(G3245&gt;0,(VLOOKUP(A3245,'Discount Lookup'!J:K,2)*G3245*(1-PlanterDiscount)*(1+PlanterDifficultyPercentage)),""),"")),"   not ELP, by"))))))))))))))</f>
        <v/>
      </c>
      <c r="AD3245" s="712"/>
      <c r="AE3245" s="513" t="str">
        <f t="shared" si="2493"/>
        <v/>
      </c>
      <c r="AF3245" s="713" t="str">
        <f t="shared" si="2494"/>
        <v/>
      </c>
      <c r="AG3245" s="713"/>
      <c r="AH3245" s="713"/>
      <c r="AI3245" s="112">
        <f>IF(H3245="credit",0,IF(AE3245="free",0,IF(AE3245="me",0,IF(G3245&gt;0,(VLOOKUP(A3245,'Discount Lookup'!J:K,2)*G3245),0))))</f>
        <v>0</v>
      </c>
      <c r="AJ3245" s="107" t="str">
        <f t="shared" ca="1" si="2495"/>
        <v/>
      </c>
      <c r="AK3245" s="714" t="str">
        <f t="shared" si="2496"/>
        <v/>
      </c>
      <c r="AL3245" s="714"/>
      <c r="AM3245" s="114" t="str">
        <f t="shared" si="2497"/>
        <v/>
      </c>
      <c r="AN3245" s="115"/>
      <c r="AO3245" s="116"/>
      <c r="AP3245" s="116"/>
      <c r="AQ3245" s="116"/>
      <c r="AR3245" s="116"/>
      <c r="AS3245" s="116"/>
      <c r="AT3245" s="116"/>
      <c r="AU3245" s="116"/>
      <c r="AV3245" s="78"/>
      <c r="AW3245" s="102"/>
      <c r="AX3245" s="78"/>
      <c r="AY3245" s="78"/>
      <c r="AZ3245" s="78"/>
      <c r="BA3245" s="78"/>
      <c r="BB3245" s="78"/>
      <c r="BC3245" s="78"/>
      <c r="BD3245" s="78"/>
      <c r="BE3245" s="465"/>
      <c r="BF3245" s="165" t="str">
        <f t="shared" si="2498"/>
        <v>https://www.google.com/search?tbm=isch&amp;q=Persian%20Spire%20small%20flowers%20appear%20early.%20Foliage%20emerges%20Purple-Green%2C%20turns%20Green-Burgundy%20edges%2C%20then%20Yellow-Orange-Red%20in%20fall.%20Bark%20exfoliates%20</v>
      </c>
      <c r="BG3245" s="165" t="str">
        <f t="shared" si="2499"/>
        <v>P</v>
      </c>
      <c r="BH3245" s="65"/>
      <c r="BI3245" s="65"/>
      <c r="BJ3245" s="65"/>
      <c r="BK3245" s="65"/>
      <c r="BL3245" s="99"/>
      <c r="BM3245" s="99"/>
      <c r="BN3245" s="99"/>
    </row>
    <row r="3246" spans="1:66" s="51" customFormat="1" ht="18" x14ac:dyDescent="0.25">
      <c r="A3246" s="623" t="s">
        <v>3759</v>
      </c>
      <c r="B3246" s="624"/>
      <c r="C3246" s="709"/>
      <c r="D3246" s="625" t="s">
        <v>3760</v>
      </c>
      <c r="E3246" s="626"/>
      <c r="F3246" s="626"/>
      <c r="G3246" s="626"/>
      <c r="H3246" s="622" t="s">
        <v>1302</v>
      </c>
      <c r="I3246" s="627" t="s">
        <v>3761</v>
      </c>
      <c r="J3246" s="628"/>
      <c r="K3246" s="628"/>
      <c r="L3246" s="629"/>
      <c r="M3246" s="700" t="s">
        <v>5249</v>
      </c>
      <c r="N3246" s="693" t="str">
        <f>IF(AND(ISTEXT($A3246), ISERROR($A3246+0)), HYPERLINK($BF3246, "Images"), "")</f>
        <v>Images</v>
      </c>
      <c r="O3246" s="695" t="s">
        <v>5247</v>
      </c>
      <c r="P3246" s="630"/>
      <c r="Q3246" s="631"/>
      <c r="R3246" s="632"/>
      <c r="S3246" s="633"/>
      <c r="T3246" s="102">
        <f t="shared" si="2487"/>
        <v>0</v>
      </c>
      <c r="U3246" s="78" t="str">
        <f>IF(NOT(ISNUMBER(G3246)), "", VLOOKUP(A3246,'Discount Lookup'!D:E,2,FALSE)*G3246)</f>
        <v/>
      </c>
      <c r="V3246" s="78" t="str">
        <f>IF(NOT(ISNUMBER(G3246)), "", VLOOKUP(A3246,'Discount Lookup'!G:H,2,FALSE)*G3246)</f>
        <v/>
      </c>
      <c r="W3246" s="102">
        <f t="shared" si="2488"/>
        <v>0</v>
      </c>
      <c r="X3246" s="102" t="str">
        <f t="shared" si="2489"/>
        <v>Small Red blooms</v>
      </c>
      <c r="Y3246" s="120" t="b">
        <f t="shared" si="2490"/>
        <v>0</v>
      </c>
      <c r="Z3246" s="117">
        <f t="shared" si="2491"/>
        <v>0</v>
      </c>
      <c r="AA3246" s="118"/>
      <c r="AB3246" s="118" t="str">
        <f t="shared" si="2492"/>
        <v/>
      </c>
      <c r="AC3246" s="712" t="str">
        <f>IF(AE3246="T2G","no charge",IF(AND(OR(PlanterYesMe="No",PlanterYesMe="N",PlanterYesMe="me"),H3246=""),"",IF(H3246="credit","NO install",IF(AND(K3246="",AE3246="me"),"EACH row",IF(AND(K3246="images",AE3246="me"),"EACH row",IF(D3246="","",IF(H3246="credit","",IF(AE3246="free","re-planting",IF(AE3246="me","   not ELP, by",IF(AND(OR(PlanterYesMe="Yes",PlanterYesMe="Y"),G3246&gt;0),(VLOOKUP(A3246,'Discount Lookup'!J:K,2)*G3246*(1-PlanterDiscount)*(1+PlanterDifficultyPercentage)),IF(AE3246="ELP",(VLOOKUP(A3246,'Discount Lookup'!J:K,2)*G3246*(1-PlanterDiscount)*(1+PlanterDifficultyPercentage)),IF(AE3246="free","re-planting",IF(G3246=0,"",IF(PlanterYesMe="",IF(AE3246="me","   not ELP, by",IF(AE3246="",IF(G3246&gt;0,(VLOOKUP(A3246,'Discount Lookup'!J:K,2)*G3246*(1-PlanterDiscount)*(1+PlanterDifficultyPercentage)),""),"")),"   not ELP, by"))))))))))))))</f>
        <v/>
      </c>
      <c r="AD3246" s="712"/>
      <c r="AE3246" s="513" t="str">
        <f t="shared" si="2493"/>
        <v/>
      </c>
      <c r="AF3246" s="713" t="str">
        <f t="shared" si="2494"/>
        <v/>
      </c>
      <c r="AG3246" s="713"/>
      <c r="AH3246" s="713"/>
      <c r="AI3246" s="112">
        <f>IF(H3246="credit",0,IF(AE3246="free",0,IF(AE3246="me",0,IF(G3246&gt;0,(VLOOKUP(A3246,'Discount Lookup'!J:K,2)*G3246),0))))</f>
        <v>0</v>
      </c>
      <c r="AJ3246" s="107" t="str">
        <f t="shared" ca="1" si="2495"/>
        <v/>
      </c>
      <c r="AK3246" s="714" t="str">
        <f t="shared" si="2496"/>
        <v/>
      </c>
      <c r="AL3246" s="714"/>
      <c r="AM3246" s="114" t="str">
        <f t="shared" si="2497"/>
        <v/>
      </c>
      <c r="AN3246" s="115"/>
      <c r="AO3246" s="116"/>
      <c r="AP3246" s="116"/>
      <c r="AQ3246" s="116"/>
      <c r="AR3246" s="116"/>
      <c r="AS3246" s="116"/>
      <c r="AT3246" s="116"/>
      <c r="AU3246" s="116"/>
      <c r="AV3246" s="78"/>
      <c r="AW3246" s="102"/>
      <c r="AX3246" s="78"/>
      <c r="AY3246" s="78"/>
      <c r="AZ3246" s="78"/>
      <c r="BA3246" s="78"/>
      <c r="BB3246" s="78"/>
      <c r="BC3246" s="78"/>
      <c r="BD3246" s="78"/>
      <c r="BE3246" s="465"/>
      <c r="BF3246" s="165" t="str">
        <f t="shared" si="2498"/>
        <v>https://www.google.com/search?tbm=isch&amp;q=Parrotia%20persica%20%27Pendula%27%20Weeping%20Persian%20Parrotia</v>
      </c>
      <c r="BG3246" s="165" t="str">
        <f t="shared" si="2499"/>
        <v>P</v>
      </c>
      <c r="BH3246" s="65"/>
      <c r="BI3246" s="65"/>
      <c r="BJ3246" s="65"/>
      <c r="BK3246" s="65"/>
      <c r="BL3246" s="99"/>
      <c r="BM3246" s="99"/>
      <c r="BN3246" s="99"/>
    </row>
    <row r="3247" spans="1:66" s="51" customFormat="1" ht="15.75" x14ac:dyDescent="0.25">
      <c r="A3247" s="634">
        <v>25</v>
      </c>
      <c r="B3247" s="635" t="s">
        <v>291</v>
      </c>
      <c r="C3247" s="636" t="s">
        <v>3762</v>
      </c>
      <c r="D3247" s="637" t="s">
        <v>299</v>
      </c>
      <c r="E3247" s="638">
        <v>341.95</v>
      </c>
      <c r="F3247" s="639" t="s">
        <v>292</v>
      </c>
      <c r="G3247" s="484">
        <v>0</v>
      </c>
      <c r="H3247" s="691" t="str">
        <f>IF(G3247=0,"",IF(F3247="Buy",IF(G3247=1,"plant","plants"),IF(F3247&gt;0.01,"warranty","Error")))</f>
        <v/>
      </c>
      <c r="I3247" s="640">
        <f>IF(H3247="free",0,IF(H3247="credit",((E3247*(F3247))*G3247*-1),IF(F3247="Buy",(E3247*G3247),((E3247*(1-F3247))*G3247))))</f>
        <v>0</v>
      </c>
      <c r="J3247" s="640">
        <f>IF(H3247="warranty",0,(I3247*(_xlfn.SINGLE(SalesTaxPercentage))))</f>
        <v>0</v>
      </c>
      <c r="K3247" s="716">
        <f t="shared" ref="K3247" si="2511">I3247+J3247</f>
        <v>0</v>
      </c>
      <c r="L3247" s="716"/>
      <c r="M3247" s="689" t="str">
        <f ca="1">IF(AND(G3247&gt;0,E3247=0),"WARNING - no PRICE inserted",IF(H3247="free","FREE ~ no charge this plant",IF(H3247="credit",CONCATENATE("-$",ROUND(K3247*(1-_xlfn.SINGLE(T2GDiscount))*-1,2)," CREDIT after discount"),IF(_xlfn.SINGLE(T2GDiscount)=0,"",IF(G3247=0,"",IF(F3247="Buy",CONCATENATE("$",ROUND(K3247*(1-_xlfn.SINGLE(T2GDiscount)),2)," with ",(_xlfn.SINGLE(T2GDiscount)*100),"% discount"),CONCATENATE("$",ROUND(K3247*(1-_xlfn.SINGLE(T2GDiscount)),2)," with ",((_xlfn.SINGLE(T2GDiscount)*100+F3247*100)-(_xlfn.SINGLE(T2GDiscount)*100*F3247)),IF(F3247&gt;0,"% discounts",IF(_xlfn.SINGLE(NoWarrantyDiscount)&gt;0,"% discounts","% discount")))))))))</f>
        <v/>
      </c>
      <c r="N3247" s="690"/>
      <c r="O3247" s="486"/>
      <c r="P3247" s="486"/>
      <c r="Q3247" s="486"/>
      <c r="R3247" s="486"/>
      <c r="S3247" s="486"/>
      <c r="T3247" s="102">
        <f t="shared" si="2487"/>
        <v>0</v>
      </c>
      <c r="U3247" s="78">
        <f>IF(NOT(ISNUMBER(G3247)), "", VLOOKUP(A3247,'Discount Lookup'!D:E,2,FALSE)*G3247)</f>
        <v>0</v>
      </c>
      <c r="V3247" s="78">
        <f>IF(NOT(ISNUMBER(G3247)), "", VLOOKUP(A3247,'Discount Lookup'!G:H,2,FALSE)*G3247)</f>
        <v>0</v>
      </c>
      <c r="W3247" s="102">
        <f t="shared" si="2488"/>
        <v>0</v>
      </c>
      <c r="X3247" s="102">
        <f t="shared" si="2489"/>
        <v>0</v>
      </c>
      <c r="Y3247" s="120" t="b">
        <f t="shared" si="2490"/>
        <v>0</v>
      </c>
      <c r="Z3247" s="117">
        <f t="shared" si="2491"/>
        <v>0</v>
      </c>
      <c r="AA3247" s="118"/>
      <c r="AB3247" s="118" t="str">
        <f t="shared" si="2492"/>
        <v/>
      </c>
      <c r="AC3247" s="712" t="str">
        <f>IF(AE3247="T2G","no charge",IF(AND(OR(PlanterYesMe="No",PlanterYesMe="N",PlanterYesMe="me"),H3247=""),"",IF(H3247="credit","NO install",IF(AND(K3247="",AE3247="me"),"EACH row",IF(AND(K3247="images",AE3247="me"),"EACH row",IF(D3247="","",IF(H3247="credit","",IF(AE3247="free","re-planting",IF(AE3247="me","   not ELP, by",IF(AND(OR(PlanterYesMe="Yes",PlanterYesMe="Y"),G3247&gt;0),(VLOOKUP(A3247,'Discount Lookup'!J:K,2)*G3247*(1-PlanterDiscount)*(1+PlanterDifficultyPercentage)),IF(AE3247="ELP",(VLOOKUP(A3247,'Discount Lookup'!J:K,2)*G3247*(1-PlanterDiscount)*(1+PlanterDifficultyPercentage)),IF(AE3247="free","re-planting",IF(G3247=0,"",IF(PlanterYesMe="",IF(AE3247="me","   not ELP, by",IF(AE3247="",IF(G3247&gt;0,(VLOOKUP(A3247,'Discount Lookup'!J:K,2)*G3247*(1-PlanterDiscount)*(1+PlanterDifficultyPercentage)),""),"")),"   not ELP, by"))))))))))))))</f>
        <v/>
      </c>
      <c r="AD3247" s="712"/>
      <c r="AE3247" s="513" t="str">
        <f t="shared" si="2493"/>
        <v/>
      </c>
      <c r="AF3247" s="713" t="str">
        <f t="shared" si="2494"/>
        <v/>
      </c>
      <c r="AG3247" s="713"/>
      <c r="AH3247" s="713"/>
      <c r="AI3247" s="112">
        <f>IF(H3247="credit",0,IF(AE3247="free",0,IF(AE3247="me",0,IF(G3247&gt;0,(VLOOKUP(A3247,'Discount Lookup'!J:K,2)*G3247),0))))</f>
        <v>0</v>
      </c>
      <c r="AJ3247" s="107" t="str">
        <f t="shared" ca="1" si="2495"/>
        <v/>
      </c>
      <c r="AK3247" s="714" t="str">
        <f t="shared" si="2496"/>
        <v/>
      </c>
      <c r="AL3247" s="714"/>
      <c r="AM3247" s="114" t="str">
        <f t="shared" si="2497"/>
        <v/>
      </c>
      <c r="AN3247" s="115"/>
      <c r="AO3247" s="116"/>
      <c r="AP3247" s="116"/>
      <c r="AQ3247" s="116"/>
      <c r="AR3247" s="116"/>
      <c r="AS3247" s="116"/>
      <c r="AT3247" s="116"/>
      <c r="AU3247" s="116"/>
      <c r="AV3247" s="78"/>
      <c r="AW3247" s="102"/>
      <c r="AX3247" s="78"/>
      <c r="AY3247" s="78"/>
      <c r="AZ3247" s="78"/>
      <c r="BA3247" s="78"/>
      <c r="BB3247" s="78"/>
      <c r="BC3247" s="78"/>
      <c r="BD3247" s="78"/>
      <c r="BE3247" s="465"/>
      <c r="BF3247" s="165" t="str">
        <f t="shared" si="2498"/>
        <v>https://www.google.com/search?tbm=isch&amp;q=25%20G4</v>
      </c>
      <c r="BG3247" s="165" t="str">
        <f t="shared" si="2499"/>
        <v>P</v>
      </c>
      <c r="BH3247" s="65"/>
      <c r="BI3247" s="65"/>
      <c r="BJ3247" s="65"/>
      <c r="BK3247" s="65"/>
      <c r="BL3247" s="99"/>
      <c r="BM3247" s="99"/>
      <c r="BN3247" s="99"/>
    </row>
    <row r="3248" spans="1:66" s="51" customFormat="1" ht="17.25" thickBot="1" x14ac:dyDescent="0.3">
      <c r="A3248" s="641" t="s">
        <v>3763</v>
      </c>
      <c r="B3248" s="642"/>
      <c r="C3248" s="710"/>
      <c r="D3248" s="643"/>
      <c r="E3248" s="643"/>
      <c r="F3248" s="644"/>
      <c r="G3248" s="645"/>
      <c r="H3248" s="646"/>
      <c r="I3248" s="647"/>
      <c r="J3248" s="648"/>
      <c r="K3248" s="649"/>
      <c r="L3248" s="650"/>
      <c r="M3248" s="650"/>
      <c r="N3248" s="644"/>
      <c r="O3248" s="644"/>
      <c r="P3248" s="644"/>
      <c r="Q3248" s="644"/>
      <c r="R3248" s="644"/>
      <c r="S3248" s="651"/>
      <c r="T3248" s="102">
        <f t="shared" si="2487"/>
        <v>0</v>
      </c>
      <c r="U3248" s="78" t="str">
        <f>IF(NOT(ISNUMBER(G3248)), "", VLOOKUP(A3248,'Discount Lookup'!D:E,2,FALSE)*G3248)</f>
        <v/>
      </c>
      <c r="V3248" s="78" t="str">
        <f>IF(NOT(ISNUMBER(G3248)), "", VLOOKUP(A3248,'Discount Lookup'!G:H,2,FALSE)*G3248)</f>
        <v/>
      </c>
      <c r="W3248" s="102">
        <f t="shared" si="2488"/>
        <v>0</v>
      </c>
      <c r="X3248" s="102">
        <f t="shared" si="2489"/>
        <v>0</v>
      </c>
      <c r="Y3248" s="120" t="b">
        <f t="shared" si="2490"/>
        <v>0</v>
      </c>
      <c r="Z3248" s="117">
        <f t="shared" si="2491"/>
        <v>0</v>
      </c>
      <c r="AA3248" s="118"/>
      <c r="AB3248" s="118" t="str">
        <f t="shared" si="2492"/>
        <v/>
      </c>
      <c r="AC3248" s="712" t="str">
        <f>IF(AE3248="T2G","no charge",IF(AND(OR(PlanterYesMe="No",PlanterYesMe="N",PlanterYesMe="me"),H3248=""),"",IF(H3248="credit","NO install",IF(AND(K3248="",AE3248="me"),"EACH row",IF(AND(K3248="images",AE3248="me"),"EACH row",IF(D3248="","",IF(H3248="credit","",IF(AE3248="free","re-planting",IF(AE3248="me","   not ELP, by",IF(AND(OR(PlanterYesMe="Yes",PlanterYesMe="Y"),G3248&gt;0),(VLOOKUP(A3248,'Discount Lookup'!J:K,2)*G3248*(1-PlanterDiscount)*(1+PlanterDifficultyPercentage)),IF(AE3248="ELP",(VLOOKUP(A3248,'Discount Lookup'!J:K,2)*G3248*(1-PlanterDiscount)*(1+PlanterDifficultyPercentage)),IF(AE3248="free","re-planting",IF(G3248=0,"",IF(PlanterYesMe="",IF(AE3248="me","   not ELP, by",IF(AE3248="",IF(G3248&gt;0,(VLOOKUP(A3248,'Discount Lookup'!J:K,2)*G3248*(1-PlanterDiscount)*(1+PlanterDifficultyPercentage)),""),"")),"   not ELP, by"))))))))))))))</f>
        <v/>
      </c>
      <c r="AD3248" s="712"/>
      <c r="AE3248" s="513" t="str">
        <f t="shared" si="2493"/>
        <v/>
      </c>
      <c r="AF3248" s="713" t="str">
        <f t="shared" si="2494"/>
        <v/>
      </c>
      <c r="AG3248" s="713"/>
      <c r="AH3248" s="713"/>
      <c r="AI3248" s="112">
        <f>IF(H3248="credit",0,IF(AE3248="free",0,IF(AE3248="me",0,IF(G3248&gt;0,(VLOOKUP(A3248,'Discount Lookup'!J:K,2)*G3248),0))))</f>
        <v>0</v>
      </c>
      <c r="AJ3248" s="107" t="str">
        <f t="shared" ca="1" si="2495"/>
        <v/>
      </c>
      <c r="AK3248" s="714" t="str">
        <f t="shared" si="2496"/>
        <v/>
      </c>
      <c r="AL3248" s="714"/>
      <c r="AM3248" s="114" t="str">
        <f t="shared" si="2497"/>
        <v/>
      </c>
      <c r="AN3248" s="115"/>
      <c r="AO3248" s="116"/>
      <c r="AP3248" s="116"/>
      <c r="AQ3248" s="116"/>
      <c r="AR3248" s="116"/>
      <c r="AS3248" s="116"/>
      <c r="AT3248" s="116"/>
      <c r="AU3248" s="116"/>
      <c r="AV3248" s="78"/>
      <c r="AW3248" s="102"/>
      <c r="AX3248" s="78"/>
      <c r="AY3248" s="78"/>
      <c r="AZ3248" s="78"/>
      <c r="BA3248" s="78"/>
      <c r="BB3248" s="78"/>
      <c r="BC3248" s="78"/>
      <c r="BD3248" s="78"/>
      <c r="BE3248" s="465"/>
      <c r="BF3248" s="165" t="str">
        <f t="shared" si="2498"/>
        <v>https://www.google.com/search?tbm=isch&amp;q=Weeping%20Persian%20Parrotia%20known%20for%20late%E2%80%91winter%20flowers%2C%20glowing%20fall%20foliage%2C%20and%20striking%20mosaic-patterned%20exfoliating%20bark%20</v>
      </c>
      <c r="BG3248" s="165" t="str">
        <f t="shared" si="2499"/>
        <v>W</v>
      </c>
      <c r="BH3248" s="65"/>
      <c r="BI3248" s="65"/>
      <c r="BJ3248" s="65"/>
      <c r="BK3248" s="65"/>
      <c r="BL3248" s="99"/>
      <c r="BM3248" s="99"/>
      <c r="BN3248" s="99"/>
    </row>
    <row r="3249" spans="1:66" s="51" customFormat="1" ht="18" x14ac:dyDescent="0.25">
      <c r="A3249" s="623" t="s">
        <v>3764</v>
      </c>
      <c r="B3249" s="624"/>
      <c r="C3249" s="709"/>
      <c r="D3249" s="625" t="s">
        <v>3765</v>
      </c>
      <c r="E3249" s="626"/>
      <c r="F3249" s="626"/>
      <c r="G3249" s="626"/>
      <c r="H3249" s="622" t="s">
        <v>3766</v>
      </c>
      <c r="I3249" s="627" t="s">
        <v>3761</v>
      </c>
      <c r="J3249" s="628"/>
      <c r="K3249" s="628"/>
      <c r="L3249" s="629"/>
      <c r="M3249" s="700" t="s">
        <v>5249</v>
      </c>
      <c r="N3249" s="693" t="str">
        <f>IF(AND(ISTEXT($A3249), ISERROR($A3249+0)), HYPERLINK($BF3249, "Images"), "")</f>
        <v>Images</v>
      </c>
      <c r="O3249" s="695" t="s">
        <v>5244</v>
      </c>
      <c r="P3249" s="630"/>
      <c r="Q3249" s="631"/>
      <c r="R3249" s="632"/>
      <c r="S3249" s="633"/>
      <c r="T3249" s="102">
        <f t="shared" si="2487"/>
        <v>0</v>
      </c>
      <c r="U3249" s="78" t="str">
        <f>IF(NOT(ISNUMBER(G3249)), "", VLOOKUP(A3249,'Discount Lookup'!D:E,2,FALSE)*G3249)</f>
        <v/>
      </c>
      <c r="V3249" s="78" t="str">
        <f>IF(NOT(ISNUMBER(G3249)), "", VLOOKUP(A3249,'Discount Lookup'!G:H,2,FALSE)*G3249)</f>
        <v/>
      </c>
      <c r="W3249" s="102">
        <f t="shared" si="2488"/>
        <v>0</v>
      </c>
      <c r="X3249" s="102" t="str">
        <f t="shared" si="2489"/>
        <v>Small Red blooms</v>
      </c>
      <c r="Y3249" s="120" t="b">
        <f t="shared" si="2490"/>
        <v>0</v>
      </c>
      <c r="Z3249" s="117">
        <f t="shared" si="2491"/>
        <v>0</v>
      </c>
      <c r="AA3249" s="118"/>
      <c r="AB3249" s="118" t="str">
        <f t="shared" si="2492"/>
        <v/>
      </c>
      <c r="AC3249" s="712" t="str">
        <f>IF(AE3249="T2G","no charge",IF(AND(OR(PlanterYesMe="No",PlanterYesMe="N",PlanterYesMe="me"),H3249=""),"",IF(H3249="credit","NO install",IF(AND(K3249="",AE3249="me"),"EACH row",IF(AND(K3249="images",AE3249="me"),"EACH row",IF(D3249="","",IF(H3249="credit","",IF(AE3249="free","re-planting",IF(AE3249="me","   not ELP, by",IF(AND(OR(PlanterYesMe="Yes",PlanterYesMe="Y"),G3249&gt;0),(VLOOKUP(A3249,'Discount Lookup'!J:K,2)*G3249*(1-PlanterDiscount)*(1+PlanterDifficultyPercentage)),IF(AE3249="ELP",(VLOOKUP(A3249,'Discount Lookup'!J:K,2)*G3249*(1-PlanterDiscount)*(1+PlanterDifficultyPercentage)),IF(AE3249="free","re-planting",IF(G3249=0,"",IF(PlanterYesMe="",IF(AE3249="me","   not ELP, by",IF(AE3249="",IF(G3249&gt;0,(VLOOKUP(A3249,'Discount Lookup'!J:K,2)*G3249*(1-PlanterDiscount)*(1+PlanterDifficultyPercentage)),""),"")),"   not ELP, by"))))))))))))))</f>
        <v/>
      </c>
      <c r="AD3249" s="712"/>
      <c r="AE3249" s="513" t="str">
        <f t="shared" si="2493"/>
        <v/>
      </c>
      <c r="AF3249" s="713" t="str">
        <f t="shared" si="2494"/>
        <v/>
      </c>
      <c r="AG3249" s="713"/>
      <c r="AH3249" s="713"/>
      <c r="AI3249" s="112">
        <f>IF(H3249="credit",0,IF(AE3249="free",0,IF(AE3249="me",0,IF(G3249&gt;0,(VLOOKUP(A3249,'Discount Lookup'!J:K,2)*G3249),0))))</f>
        <v>0</v>
      </c>
      <c r="AJ3249" s="107" t="str">
        <f t="shared" ca="1" si="2495"/>
        <v/>
      </c>
      <c r="AK3249" s="714" t="str">
        <f t="shared" si="2496"/>
        <v/>
      </c>
      <c r="AL3249" s="714"/>
      <c r="AM3249" s="114" t="str">
        <f t="shared" si="2497"/>
        <v/>
      </c>
      <c r="AN3249" s="115"/>
      <c r="AO3249" s="116"/>
      <c r="AP3249" s="116"/>
      <c r="AQ3249" s="116"/>
      <c r="AR3249" s="116"/>
      <c r="AS3249" s="116"/>
      <c r="AT3249" s="116"/>
      <c r="AU3249" s="116"/>
      <c r="AV3249" s="78"/>
      <c r="AW3249" s="102"/>
      <c r="AX3249" s="78"/>
      <c r="AY3249" s="78"/>
      <c r="AZ3249" s="78"/>
      <c r="BA3249" s="78"/>
      <c r="BB3249" s="78"/>
      <c r="BC3249" s="78"/>
      <c r="BD3249" s="78"/>
      <c r="BE3249" s="465"/>
      <c r="BF3249" s="165" t="str">
        <f t="shared" si="2498"/>
        <v>https://www.google.com/search?tbm=isch&amp;q=Parrotia%20persica%20%27Vanessa%27%20Vanessa%20Persian%20Parrotia</v>
      </c>
      <c r="BG3249" s="165" t="str">
        <f t="shared" si="2499"/>
        <v>P</v>
      </c>
      <c r="BH3249" s="65"/>
      <c r="BI3249" s="65"/>
      <c r="BJ3249" s="65"/>
      <c r="BK3249" s="65"/>
      <c r="BL3249" s="99"/>
      <c r="BM3249" s="99"/>
      <c r="BN3249" s="99"/>
    </row>
    <row r="3250" spans="1:66" s="51" customFormat="1" ht="15.75" x14ac:dyDescent="0.25">
      <c r="A3250" s="634">
        <v>7</v>
      </c>
      <c r="B3250" s="635" t="s">
        <v>291</v>
      </c>
      <c r="C3250" s="636" t="s">
        <v>4645</v>
      </c>
      <c r="D3250" s="637" t="s">
        <v>299</v>
      </c>
      <c r="E3250" s="638">
        <v>146.94999999999999</v>
      </c>
      <c r="F3250" s="639" t="s">
        <v>292</v>
      </c>
      <c r="G3250" s="484">
        <v>0</v>
      </c>
      <c r="H3250" s="691" t="str">
        <f>IF(G3250=0,"",IF(F3250="Buy",IF(G3250=1,"plant","plants"),IF(F3250&gt;0.01,"warranty","Error")))</f>
        <v/>
      </c>
      <c r="I3250" s="640">
        <f>IF(H3250="free",0,IF(H3250="credit",((E3250*(F3250))*G3250*-1),IF(F3250="Buy",(E3250*G3250),((E3250*(1-F3250))*G3250))))</f>
        <v>0</v>
      </c>
      <c r="J3250" s="640">
        <f>IF(H3250="warranty",0,(I3250*(_xlfn.SINGLE(SalesTaxPercentage))))</f>
        <v>0</v>
      </c>
      <c r="K3250" s="716">
        <f t="shared" ref="K3250" si="2512">I3250+J3250</f>
        <v>0</v>
      </c>
      <c r="L3250" s="716"/>
      <c r="M3250" s="689" t="str">
        <f ca="1">IF(AND(G3250&gt;0,E3250=0),"WARNING - no PRICE inserted",IF(H3250="free","FREE ~ no charge this plant",IF(H3250="credit",CONCATENATE("-$",ROUND(K3250*(1-_xlfn.SINGLE(T2GDiscount))*-1,2)," CREDIT after discount"),IF(_xlfn.SINGLE(T2GDiscount)=0,"",IF(G3250=0,"",IF(F3250="Buy",CONCATENATE("$",ROUND(K3250*(1-_xlfn.SINGLE(T2GDiscount)),2)," with ",(_xlfn.SINGLE(T2GDiscount)*100),"% discount"),CONCATENATE("$",ROUND(K3250*(1-_xlfn.SINGLE(T2GDiscount)),2)," with ",((_xlfn.SINGLE(T2GDiscount)*100+F3250*100)-(_xlfn.SINGLE(T2GDiscount)*100*F3250)),IF(F3250&gt;0,"% discounts",IF(_xlfn.SINGLE(NoWarrantyDiscount)&gt;0,"% discounts","% discount")))))))))</f>
        <v/>
      </c>
      <c r="N3250" s="690"/>
      <c r="O3250" s="486"/>
      <c r="P3250" s="486"/>
      <c r="Q3250" s="486"/>
      <c r="R3250" s="486"/>
      <c r="S3250" s="486"/>
      <c r="T3250" s="102">
        <f t="shared" si="2487"/>
        <v>0</v>
      </c>
      <c r="U3250" s="78">
        <f>IF(NOT(ISNUMBER(G3250)), "", VLOOKUP(A3250,'Discount Lookup'!D:E,2,FALSE)*G3250)</f>
        <v>0</v>
      </c>
      <c r="V3250" s="78">
        <f>IF(NOT(ISNUMBER(G3250)), "", VLOOKUP(A3250,'Discount Lookup'!G:H,2,FALSE)*G3250)</f>
        <v>0</v>
      </c>
      <c r="W3250" s="102">
        <f t="shared" si="2488"/>
        <v>0</v>
      </c>
      <c r="X3250" s="102">
        <f t="shared" si="2489"/>
        <v>0</v>
      </c>
      <c r="Y3250" s="120" t="b">
        <f t="shared" si="2490"/>
        <v>0</v>
      </c>
      <c r="Z3250" s="117">
        <f t="shared" si="2491"/>
        <v>0</v>
      </c>
      <c r="AA3250" s="118"/>
      <c r="AB3250" s="118" t="str">
        <f t="shared" si="2492"/>
        <v/>
      </c>
      <c r="AC3250" s="712" t="str">
        <f>IF(AE3250="T2G","no charge",IF(AND(OR(PlanterYesMe="No",PlanterYesMe="N",PlanterYesMe="me"),H3250=""),"",IF(H3250="credit","NO install",IF(AND(K3250="",AE3250="me"),"EACH row",IF(AND(K3250="images",AE3250="me"),"EACH row",IF(D3250="","",IF(H3250="credit","",IF(AE3250="free","re-planting",IF(AE3250="me","   not ELP, by",IF(AND(OR(PlanterYesMe="Yes",PlanterYesMe="Y"),G3250&gt;0),(VLOOKUP(A3250,'Discount Lookup'!J:K,2)*G3250*(1-PlanterDiscount)*(1+PlanterDifficultyPercentage)),IF(AE3250="ELP",(VLOOKUP(A3250,'Discount Lookup'!J:K,2)*G3250*(1-PlanterDiscount)*(1+PlanterDifficultyPercentage)),IF(AE3250="free","re-planting",IF(G3250=0,"",IF(PlanterYesMe="",IF(AE3250="me","   not ELP, by",IF(AE3250="",IF(G3250&gt;0,(VLOOKUP(A3250,'Discount Lookup'!J:K,2)*G3250*(1-PlanterDiscount)*(1+PlanterDifficultyPercentage)),""),"")),"   not ELP, by"))))))))))))))</f>
        <v/>
      </c>
      <c r="AD3250" s="712"/>
      <c r="AE3250" s="513" t="str">
        <f t="shared" si="2493"/>
        <v/>
      </c>
      <c r="AF3250" s="713" t="str">
        <f t="shared" si="2494"/>
        <v/>
      </c>
      <c r="AG3250" s="713"/>
      <c r="AH3250" s="713"/>
      <c r="AI3250" s="112">
        <f>IF(H3250="credit",0,IF(AE3250="free",0,IF(AE3250="me",0,IF(G3250&gt;0,(VLOOKUP(A3250,'Discount Lookup'!J:K,2)*G3250),0))))</f>
        <v>0</v>
      </c>
      <c r="AJ3250" s="107" t="str">
        <f t="shared" ca="1" si="2495"/>
        <v/>
      </c>
      <c r="AK3250" s="714" t="str">
        <f t="shared" si="2496"/>
        <v/>
      </c>
      <c r="AL3250" s="714"/>
      <c r="AM3250" s="114" t="str">
        <f t="shared" si="2497"/>
        <v/>
      </c>
      <c r="AN3250" s="115"/>
      <c r="AO3250" s="116"/>
      <c r="AP3250" s="116"/>
      <c r="AQ3250" s="116"/>
      <c r="AR3250" s="116"/>
      <c r="AS3250" s="116"/>
      <c r="AT3250" s="116"/>
      <c r="AU3250" s="116"/>
      <c r="AV3250" s="78"/>
      <c r="AW3250" s="102"/>
      <c r="AX3250" s="78"/>
      <c r="AY3250" s="78"/>
      <c r="AZ3250" s="78"/>
      <c r="BA3250" s="78"/>
      <c r="BB3250" s="78"/>
      <c r="BC3250" s="78"/>
      <c r="BD3250" s="78"/>
      <c r="BE3250" s="465"/>
      <c r="BF3250" s="165" t="str">
        <f t="shared" si="2498"/>
        <v>https://www.google.com/search?tbm=isch&amp;q=7%20G4</v>
      </c>
      <c r="BG3250" s="165" t="str">
        <f t="shared" si="2499"/>
        <v>P</v>
      </c>
      <c r="BH3250" s="65"/>
      <c r="BI3250" s="65"/>
      <c r="BJ3250" s="65"/>
      <c r="BK3250" s="65"/>
      <c r="BL3250" s="99"/>
      <c r="BM3250" s="99"/>
      <c r="BN3250" s="99"/>
    </row>
    <row r="3251" spans="1:66" s="51" customFormat="1" ht="27" x14ac:dyDescent="0.25">
      <c r="A3251" s="634">
        <v>15</v>
      </c>
      <c r="B3251" s="635" t="s">
        <v>291</v>
      </c>
      <c r="C3251" s="636" t="s">
        <v>3767</v>
      </c>
      <c r="D3251" s="637" t="s">
        <v>299</v>
      </c>
      <c r="E3251" s="638">
        <v>252.95</v>
      </c>
      <c r="F3251" s="639" t="s">
        <v>292</v>
      </c>
      <c r="G3251" s="484">
        <v>0</v>
      </c>
      <c r="H3251" s="691" t="str">
        <f>IF(G3251=0,"",IF(F3251="Buy",IF(G3251=1,"plant","plants"),IF(F3251&gt;0.01,"warranty","Error")))</f>
        <v/>
      </c>
      <c r="I3251" s="640">
        <f>IF(H3251="free",0,IF(H3251="credit",((E3251*(F3251))*G3251*-1),IF(F3251="Buy",(E3251*G3251),((E3251*(1-F3251))*G3251))))</f>
        <v>0</v>
      </c>
      <c r="J3251" s="640">
        <f>IF(H3251="warranty",0,(I3251*(_xlfn.SINGLE(SalesTaxPercentage))))</f>
        <v>0</v>
      </c>
      <c r="K3251" s="716">
        <f t="shared" ref="K3251" si="2513">I3251+J3251</f>
        <v>0</v>
      </c>
      <c r="L3251" s="716"/>
      <c r="M3251" s="689" t="str">
        <f ca="1">IF(AND(G3251&gt;0,E3251=0),"WARNING - no PRICE inserted",IF(H3251="free","FREE ~ no charge this plant",IF(H3251="credit",CONCATENATE("-$",ROUND(K3251*(1-_xlfn.SINGLE(T2GDiscount))*-1,2)," CREDIT after discount"),IF(_xlfn.SINGLE(T2GDiscount)=0,"",IF(G3251=0,"",IF(F3251="Buy",CONCATENATE("$",ROUND(K3251*(1-_xlfn.SINGLE(T2GDiscount)),2)," with ",(_xlfn.SINGLE(T2GDiscount)*100),"% discount"),CONCATENATE("$",ROUND(K3251*(1-_xlfn.SINGLE(T2GDiscount)),2)," with ",((_xlfn.SINGLE(T2GDiscount)*100+F3251*100)-(_xlfn.SINGLE(T2GDiscount)*100*F3251)),IF(F3251&gt;0,"% discounts",IF(_xlfn.SINGLE(NoWarrantyDiscount)&gt;0,"% discounts","% discount")))))))))</f>
        <v/>
      </c>
      <c r="N3251" s="690"/>
      <c r="O3251" s="486"/>
      <c r="P3251" s="486"/>
      <c r="Q3251" s="486"/>
      <c r="R3251" s="486"/>
      <c r="S3251" s="486"/>
      <c r="T3251" s="102">
        <f t="shared" si="2487"/>
        <v>0</v>
      </c>
      <c r="U3251" s="78">
        <f>IF(NOT(ISNUMBER(G3251)), "", VLOOKUP(A3251,'Discount Lookup'!D:E,2,FALSE)*G3251)</f>
        <v>0</v>
      </c>
      <c r="V3251" s="78">
        <f>IF(NOT(ISNUMBER(G3251)), "", VLOOKUP(A3251,'Discount Lookup'!G:H,2,FALSE)*G3251)</f>
        <v>0</v>
      </c>
      <c r="W3251" s="102">
        <f t="shared" si="2488"/>
        <v>0</v>
      </c>
      <c r="X3251" s="102">
        <f t="shared" si="2489"/>
        <v>0</v>
      </c>
      <c r="Y3251" s="120" t="b">
        <f t="shared" si="2490"/>
        <v>0</v>
      </c>
      <c r="Z3251" s="117">
        <f t="shared" si="2491"/>
        <v>0</v>
      </c>
      <c r="AA3251" s="118"/>
      <c r="AB3251" s="118" t="str">
        <f t="shared" si="2492"/>
        <v/>
      </c>
      <c r="AC3251" s="712" t="str">
        <f>IF(AE3251="T2G","no charge",IF(AND(OR(PlanterYesMe="No",PlanterYesMe="N",PlanterYesMe="me"),H3251=""),"",IF(H3251="credit","NO install",IF(AND(K3251="",AE3251="me"),"EACH row",IF(AND(K3251="images",AE3251="me"),"EACH row",IF(D3251="","",IF(H3251="credit","",IF(AE3251="free","re-planting",IF(AE3251="me","   not ELP, by",IF(AND(OR(PlanterYesMe="Yes",PlanterYesMe="Y"),G3251&gt;0),(VLOOKUP(A3251,'Discount Lookup'!J:K,2)*G3251*(1-PlanterDiscount)*(1+PlanterDifficultyPercentage)),IF(AE3251="ELP",(VLOOKUP(A3251,'Discount Lookup'!J:K,2)*G3251*(1-PlanterDiscount)*(1+PlanterDifficultyPercentage)),IF(AE3251="free","re-planting",IF(G3251=0,"",IF(PlanterYesMe="",IF(AE3251="me","   not ELP, by",IF(AE3251="",IF(G3251&gt;0,(VLOOKUP(A3251,'Discount Lookup'!J:K,2)*G3251*(1-PlanterDiscount)*(1+PlanterDifficultyPercentage)),""),"")),"   not ELP, by"))))))))))))))</f>
        <v/>
      </c>
      <c r="AD3251" s="712"/>
      <c r="AE3251" s="513" t="str">
        <f t="shared" si="2493"/>
        <v/>
      </c>
      <c r="AF3251" s="713" t="str">
        <f t="shared" si="2494"/>
        <v/>
      </c>
      <c r="AG3251" s="713"/>
      <c r="AH3251" s="713"/>
      <c r="AI3251" s="112">
        <f>IF(H3251="credit",0,IF(AE3251="free",0,IF(AE3251="me",0,IF(G3251&gt;0,(VLOOKUP(A3251,'Discount Lookup'!J:K,2)*G3251),0))))</f>
        <v>0</v>
      </c>
      <c r="AJ3251" s="107" t="str">
        <f t="shared" ca="1" si="2495"/>
        <v/>
      </c>
      <c r="AK3251" s="714" t="str">
        <f t="shared" si="2496"/>
        <v/>
      </c>
      <c r="AL3251" s="714"/>
      <c r="AM3251" s="114" t="str">
        <f t="shared" si="2497"/>
        <v/>
      </c>
      <c r="AN3251" s="115"/>
      <c r="AO3251" s="116"/>
      <c r="AP3251" s="116"/>
      <c r="AQ3251" s="116"/>
      <c r="AR3251" s="116"/>
      <c r="AS3251" s="116"/>
      <c r="AT3251" s="116"/>
      <c r="AU3251" s="116"/>
      <c r="AV3251" s="78"/>
      <c r="AW3251" s="102"/>
      <c r="AX3251" s="78"/>
      <c r="AY3251" s="78"/>
      <c r="AZ3251" s="78"/>
      <c r="BA3251" s="78"/>
      <c r="BB3251" s="78"/>
      <c r="BC3251" s="78"/>
      <c r="BD3251" s="78"/>
      <c r="BE3251" s="465"/>
      <c r="BF3251" s="165" t="str">
        <f t="shared" si="2498"/>
        <v>https://www.google.com/search?tbm=isch&amp;q=15%20G4</v>
      </c>
      <c r="BG3251" s="165" t="str">
        <f t="shared" si="2499"/>
        <v>P</v>
      </c>
      <c r="BH3251" s="65"/>
      <c r="BI3251" s="65"/>
      <c r="BJ3251" s="65"/>
      <c r="BK3251" s="65"/>
      <c r="BL3251" s="99"/>
      <c r="BM3251" s="99"/>
      <c r="BN3251" s="99"/>
    </row>
    <row r="3252" spans="1:66" s="51" customFormat="1" ht="16.5" x14ac:dyDescent="0.25">
      <c r="A3252" s="641" t="s">
        <v>3768</v>
      </c>
      <c r="B3252" s="642"/>
      <c r="C3252" s="710"/>
      <c r="D3252" s="643"/>
      <c r="E3252" s="643"/>
      <c r="F3252" s="644"/>
      <c r="G3252" s="645"/>
      <c r="H3252" s="646"/>
      <c r="I3252" s="647"/>
      <c r="J3252" s="648"/>
      <c r="K3252" s="649"/>
      <c r="L3252" s="650"/>
      <c r="M3252" s="650"/>
      <c r="N3252" s="644"/>
      <c r="O3252" s="644"/>
      <c r="P3252" s="644"/>
      <c r="Q3252" s="644"/>
      <c r="R3252" s="644"/>
      <c r="S3252" s="701" t="s">
        <v>5250</v>
      </c>
      <c r="T3252" s="102">
        <f t="shared" si="2487"/>
        <v>0</v>
      </c>
      <c r="U3252" s="78" t="str">
        <f>IF(NOT(ISNUMBER(G3252)), "", VLOOKUP(A3252,'Discount Lookup'!D:E,2,FALSE)*G3252)</f>
        <v/>
      </c>
      <c r="V3252" s="78" t="str">
        <f>IF(NOT(ISNUMBER(G3252)), "", VLOOKUP(A3252,'Discount Lookup'!G:H,2,FALSE)*G3252)</f>
        <v/>
      </c>
      <c r="W3252" s="102">
        <f t="shared" si="2488"/>
        <v>0</v>
      </c>
      <c r="X3252" s="102">
        <f t="shared" si="2489"/>
        <v>0</v>
      </c>
      <c r="Y3252" s="120" t="b">
        <f t="shared" si="2490"/>
        <v>0</v>
      </c>
      <c r="Z3252" s="117">
        <f t="shared" si="2491"/>
        <v>0</v>
      </c>
      <c r="AA3252" s="118"/>
      <c r="AB3252" s="118" t="str">
        <f t="shared" si="2492"/>
        <v/>
      </c>
      <c r="AC3252" s="712" t="str">
        <f>IF(AE3252="T2G","no charge",IF(AND(OR(PlanterYesMe="No",PlanterYesMe="N",PlanterYesMe="me"),H3252=""),"",IF(H3252="credit","NO install",IF(AND(K3252="",AE3252="me"),"EACH row",IF(AND(K3252="images",AE3252="me"),"EACH row",IF(D3252="","",IF(H3252="credit","",IF(AE3252="free","re-planting",IF(AE3252="me","   not ELP, by",IF(AND(OR(PlanterYesMe="Yes",PlanterYesMe="Y"),G3252&gt;0),(VLOOKUP(A3252,'Discount Lookup'!J:K,2)*G3252*(1-PlanterDiscount)*(1+PlanterDifficultyPercentage)),IF(AE3252="ELP",(VLOOKUP(A3252,'Discount Lookup'!J:K,2)*G3252*(1-PlanterDiscount)*(1+PlanterDifficultyPercentage)),IF(AE3252="free","re-planting",IF(G3252=0,"",IF(PlanterYesMe="",IF(AE3252="me","   not ELP, by",IF(AE3252="",IF(G3252&gt;0,(VLOOKUP(A3252,'Discount Lookup'!J:K,2)*G3252*(1-PlanterDiscount)*(1+PlanterDifficultyPercentage)),""),"")),"   not ELP, by"))))))))))))))</f>
        <v/>
      </c>
      <c r="AD3252" s="712"/>
      <c r="AE3252" s="513" t="str">
        <f t="shared" si="2493"/>
        <v/>
      </c>
      <c r="AF3252" s="713" t="str">
        <f t="shared" si="2494"/>
        <v/>
      </c>
      <c r="AG3252" s="713"/>
      <c r="AH3252" s="713"/>
      <c r="AI3252" s="112">
        <f>IF(H3252="credit",0,IF(AE3252="free",0,IF(AE3252="me",0,IF(G3252&gt;0,(VLOOKUP(A3252,'Discount Lookup'!J:K,2)*G3252),0))))</f>
        <v>0</v>
      </c>
      <c r="AJ3252" s="107" t="str">
        <f t="shared" ca="1" si="2495"/>
        <v/>
      </c>
      <c r="AK3252" s="714" t="str">
        <f t="shared" si="2496"/>
        <v/>
      </c>
      <c r="AL3252" s="714"/>
      <c r="AM3252" s="114" t="str">
        <f t="shared" si="2497"/>
        <v/>
      </c>
      <c r="AN3252" s="115"/>
      <c r="AO3252" s="116"/>
      <c r="AP3252" s="116"/>
      <c r="AQ3252" s="116"/>
      <c r="AR3252" s="116"/>
      <c r="AS3252" s="116"/>
      <c r="AT3252" s="116"/>
      <c r="AU3252" s="116"/>
      <c r="AV3252" s="78"/>
      <c r="AW3252" s="102"/>
      <c r="AX3252" s="78"/>
      <c r="AY3252" s="78"/>
      <c r="AZ3252" s="78"/>
      <c r="BA3252" s="78"/>
      <c r="BB3252" s="78"/>
      <c r="BC3252" s="78"/>
      <c r="BD3252" s="78"/>
      <c r="BE3252" s="465"/>
      <c r="BF3252" s="165" t="str">
        <f t="shared" si="2498"/>
        <v>https://www.google.com/search?tbm=isch&amp;q=Vanessa%20foliage%20emerges%20Reddish-Purple%2C%20then%20Green%20summer%2C%20then%20brilliant%20Yelow-Orange-Red%20in%20fall.%20Bark%20exfoliates%20Gray-Tan-Green%20</v>
      </c>
      <c r="BG3252" s="165" t="str">
        <f t="shared" si="2499"/>
        <v>V</v>
      </c>
      <c r="BH3252" s="65"/>
      <c r="BI3252" s="65"/>
      <c r="BJ3252" s="65"/>
      <c r="BK3252" s="65"/>
      <c r="BL3252" s="99"/>
      <c r="BM3252" s="99"/>
      <c r="BN3252" s="99"/>
    </row>
    <row r="3253" spans="1:66" s="51" customFormat="1" ht="19.5" thickBot="1" x14ac:dyDescent="0.3">
      <c r="A3253" s="686" t="s">
        <v>659</v>
      </c>
      <c r="B3253" s="73"/>
      <c r="C3253" s="708"/>
      <c r="D3253" s="73"/>
      <c r="E3253" s="73"/>
      <c r="F3253" s="496"/>
      <c r="G3253" s="73"/>
      <c r="H3253" s="73"/>
      <c r="I3253" s="73"/>
      <c r="J3253" s="497" t="s">
        <v>357</v>
      </c>
      <c r="K3253" s="498"/>
      <c r="L3253" s="562"/>
      <c r="M3253" s="73"/>
      <c r="N3253"/>
      <c r="O3253"/>
      <c r="P3253"/>
      <c r="Q3253"/>
      <c r="R3253"/>
      <c r="S3253"/>
      <c r="T3253" s="102">
        <f t="shared" si="2487"/>
        <v>0</v>
      </c>
      <c r="U3253" s="78" t="str">
        <f>IF(NOT(ISNUMBER(G3253)), "", VLOOKUP(A3253,'Discount Lookup'!D:E,2,FALSE)*G3253)</f>
        <v/>
      </c>
      <c r="V3253" s="78" t="str">
        <f>IF(NOT(ISNUMBER(G3253)), "", VLOOKUP(A3253,'Discount Lookup'!G:H,2,FALSE)*G3253)</f>
        <v/>
      </c>
      <c r="W3253" s="102">
        <f t="shared" si="2488"/>
        <v>0</v>
      </c>
      <c r="X3253" s="102">
        <f t="shared" si="2489"/>
        <v>0</v>
      </c>
      <c r="Y3253" s="120" t="b">
        <f t="shared" si="2490"/>
        <v>0</v>
      </c>
      <c r="Z3253" s="117">
        <f t="shared" si="2491"/>
        <v>0</v>
      </c>
      <c r="AA3253" s="118"/>
      <c r="AB3253" s="118" t="str">
        <f t="shared" si="2492"/>
        <v/>
      </c>
      <c r="AC3253" s="712" t="str">
        <f>IF(AE3253="T2G","no charge",IF(AND(OR(PlanterYesMe="No",PlanterYesMe="N",PlanterYesMe="me"),H3253=""),"",IF(H3253="credit","NO install",IF(AND(K3253="",AE3253="me"),"EACH row",IF(AND(K3253="images",AE3253="me"),"EACH row",IF(D3253="","",IF(H3253="credit","",IF(AE3253="free","re-planting",IF(AE3253="me","   not ELP, by",IF(AND(OR(PlanterYesMe="Yes",PlanterYesMe="Y"),G3253&gt;0),(VLOOKUP(A3253,'Discount Lookup'!J:K,2)*G3253*(1-PlanterDiscount)*(1+PlanterDifficultyPercentage)),IF(AE3253="ELP",(VLOOKUP(A3253,'Discount Lookup'!J:K,2)*G3253*(1-PlanterDiscount)*(1+PlanterDifficultyPercentage)),IF(AE3253="free","re-planting",IF(G3253=0,"",IF(PlanterYesMe="",IF(AE3253="me","   not ELP, by",IF(AE3253="",IF(G3253&gt;0,(VLOOKUP(A3253,'Discount Lookup'!J:K,2)*G3253*(1-PlanterDiscount)*(1+PlanterDifficultyPercentage)),""),"")),"   not ELP, by"))))))))))))))</f>
        <v/>
      </c>
      <c r="AD3253" s="712"/>
      <c r="AE3253" s="513" t="str">
        <f t="shared" si="2493"/>
        <v/>
      </c>
      <c r="AF3253" s="713" t="str">
        <f t="shared" si="2494"/>
        <v/>
      </c>
      <c r="AG3253" s="713"/>
      <c r="AH3253" s="713"/>
      <c r="AI3253" s="112">
        <f>IF(H3253="credit",0,IF(AE3253="free",0,IF(AE3253="me",0,IF(G3253&gt;0,(VLOOKUP(A3253,'Discount Lookup'!J:K,2)*G3253),0))))</f>
        <v>0</v>
      </c>
      <c r="AJ3253" s="107" t="str">
        <f t="shared" ca="1" si="2495"/>
        <v/>
      </c>
      <c r="AK3253" s="714" t="str">
        <f t="shared" si="2496"/>
        <v/>
      </c>
      <c r="AL3253" s="714"/>
      <c r="AM3253" s="114" t="str">
        <f t="shared" si="2497"/>
        <v/>
      </c>
      <c r="AN3253" s="115"/>
      <c r="AO3253" s="116"/>
      <c r="AP3253" s="116"/>
      <c r="AQ3253" s="116"/>
      <c r="AR3253" s="116"/>
      <c r="AS3253" s="116"/>
      <c r="AT3253" s="116"/>
      <c r="AU3253" s="116"/>
      <c r="AV3253" s="78"/>
      <c r="AW3253" s="102"/>
      <c r="AX3253" s="78"/>
      <c r="AY3253" s="78"/>
      <c r="AZ3253" s="78"/>
      <c r="BA3253" s="78"/>
      <c r="BB3253" s="78"/>
      <c r="BC3253" s="78"/>
      <c r="BD3253" s="78"/>
      <c r="BE3253" s="465"/>
      <c r="BF3253" s="165" t="str">
        <f t="shared" si="2498"/>
        <v>https://www.google.com/search?tbm=isch&amp;q=Pennisetum%20%3D%20Fountain%20Grass%20</v>
      </c>
      <c r="BG3253" s="165" t="str">
        <f t="shared" si="2499"/>
        <v>P</v>
      </c>
      <c r="BH3253" s="65"/>
      <c r="BI3253" s="65"/>
      <c r="BJ3253" s="65"/>
      <c r="BK3253" s="65"/>
      <c r="BL3253" s="99"/>
      <c r="BM3253" s="99"/>
      <c r="BN3253" s="99"/>
    </row>
    <row r="3254" spans="1:66" s="51" customFormat="1" ht="18" x14ac:dyDescent="0.25">
      <c r="A3254" s="623" t="s">
        <v>3769</v>
      </c>
      <c r="B3254" s="624"/>
      <c r="C3254" s="709"/>
      <c r="D3254" s="625" t="s">
        <v>3770</v>
      </c>
      <c r="E3254" s="626"/>
      <c r="F3254" s="626"/>
      <c r="G3254" s="626"/>
      <c r="H3254" s="622" t="s">
        <v>1071</v>
      </c>
      <c r="I3254" s="627" t="s">
        <v>3771</v>
      </c>
      <c r="J3254" s="628"/>
      <c r="K3254" s="628"/>
      <c r="L3254" s="629"/>
      <c r="M3254" s="700" t="s">
        <v>5241</v>
      </c>
      <c r="N3254" s="693" t="str">
        <f>IF(AND(ISTEXT($A3254), ISERROR($A3254+0)), HYPERLINK($BF3254, "Images"), "")</f>
        <v>Images</v>
      </c>
      <c r="O3254" s="695" t="s">
        <v>5244</v>
      </c>
      <c r="P3254" s="630"/>
      <c r="Q3254" s="631"/>
      <c r="R3254" s="632"/>
      <c r="S3254" s="633"/>
      <c r="T3254" s="102">
        <f t="shared" si="2487"/>
        <v>0</v>
      </c>
      <c r="U3254" s="78" t="str">
        <f>IF(NOT(ISNUMBER(G3254)), "", VLOOKUP(A3254,'Discount Lookup'!D:E,2,FALSE)*G3254)</f>
        <v/>
      </c>
      <c r="V3254" s="78" t="str">
        <f>IF(NOT(ISNUMBER(G3254)), "", VLOOKUP(A3254,'Discount Lookup'!G:H,2,FALSE)*G3254)</f>
        <v/>
      </c>
      <c r="W3254" s="102">
        <f t="shared" si="2488"/>
        <v>0</v>
      </c>
      <c r="X3254" s="102" t="str">
        <f t="shared" si="2489"/>
        <v>Green blades</v>
      </c>
      <c r="Y3254" s="120" t="b">
        <f t="shared" si="2490"/>
        <v>0</v>
      </c>
      <c r="Z3254" s="117">
        <f t="shared" si="2491"/>
        <v>0</v>
      </c>
      <c r="AA3254" s="118"/>
      <c r="AB3254" s="118" t="str">
        <f t="shared" si="2492"/>
        <v/>
      </c>
      <c r="AC3254" s="712" t="str">
        <f>IF(AE3254="T2G","no charge",IF(AND(OR(PlanterYesMe="No",PlanterYesMe="N",PlanterYesMe="me"),H3254=""),"",IF(H3254="credit","NO install",IF(AND(K3254="",AE3254="me"),"EACH row",IF(AND(K3254="images",AE3254="me"),"EACH row",IF(D3254="","",IF(H3254="credit","",IF(AE3254="free","re-planting",IF(AE3254="me","   not ELP, by",IF(AND(OR(PlanterYesMe="Yes",PlanterYesMe="Y"),G3254&gt;0),(VLOOKUP(A3254,'Discount Lookup'!J:K,2)*G3254*(1-PlanterDiscount)*(1+PlanterDifficultyPercentage)),IF(AE3254="ELP",(VLOOKUP(A3254,'Discount Lookup'!J:K,2)*G3254*(1-PlanterDiscount)*(1+PlanterDifficultyPercentage)),IF(AE3254="free","re-planting",IF(G3254=0,"",IF(PlanterYesMe="",IF(AE3254="me","   not ELP, by",IF(AE3254="",IF(G3254&gt;0,(VLOOKUP(A3254,'Discount Lookup'!J:K,2)*G3254*(1-PlanterDiscount)*(1+PlanterDifficultyPercentage)),""),"")),"   not ELP, by"))))))))))))))</f>
        <v/>
      </c>
      <c r="AD3254" s="712"/>
      <c r="AE3254" s="513" t="str">
        <f t="shared" si="2493"/>
        <v/>
      </c>
      <c r="AF3254" s="713" t="str">
        <f t="shared" si="2494"/>
        <v/>
      </c>
      <c r="AG3254" s="713"/>
      <c r="AH3254" s="713"/>
      <c r="AI3254" s="112">
        <f>IF(H3254="credit",0,IF(AE3254="free",0,IF(AE3254="me",0,IF(G3254&gt;0,(VLOOKUP(A3254,'Discount Lookup'!J:K,2)*G3254),0))))</f>
        <v>0</v>
      </c>
      <c r="AJ3254" s="107" t="str">
        <f t="shared" ca="1" si="2495"/>
        <v/>
      </c>
      <c r="AK3254" s="714" t="str">
        <f t="shared" si="2496"/>
        <v/>
      </c>
      <c r="AL3254" s="714"/>
      <c r="AM3254" s="114" t="str">
        <f t="shared" si="2497"/>
        <v/>
      </c>
      <c r="AN3254" s="115"/>
      <c r="AO3254" s="116"/>
      <c r="AP3254" s="116"/>
      <c r="AQ3254" s="116"/>
      <c r="AR3254" s="116"/>
      <c r="AS3254" s="116"/>
      <c r="AT3254" s="116"/>
      <c r="AU3254" s="116"/>
      <c r="AV3254" s="78"/>
      <c r="AW3254" s="102"/>
      <c r="AX3254" s="78"/>
      <c r="AY3254" s="78"/>
      <c r="AZ3254" s="78"/>
      <c r="BA3254" s="78"/>
      <c r="BB3254" s="78"/>
      <c r="BC3254" s="78"/>
      <c r="BD3254" s="78"/>
      <c r="BE3254" s="465"/>
      <c r="BF3254" s="165" t="str">
        <f t="shared" si="2498"/>
        <v>https://www.google.com/search?tbm=isch&amp;q=Pennisetum%20alopecuroides%20%27Cassian%27%20Cassian%20Fountain%20Grass</v>
      </c>
      <c r="BG3254" s="165" t="str">
        <f t="shared" si="2499"/>
        <v>P</v>
      </c>
      <c r="BH3254" s="65"/>
      <c r="BI3254" s="65"/>
      <c r="BJ3254" s="65"/>
      <c r="BK3254" s="65"/>
      <c r="BL3254" s="99"/>
      <c r="BM3254" s="99"/>
      <c r="BN3254" s="99"/>
    </row>
    <row r="3255" spans="1:66" s="51" customFormat="1" ht="15.75" x14ac:dyDescent="0.25">
      <c r="A3255" s="634">
        <v>1</v>
      </c>
      <c r="B3255" s="635" t="s">
        <v>291</v>
      </c>
      <c r="C3255" s="636"/>
      <c r="D3255" s="637" t="s">
        <v>329</v>
      </c>
      <c r="E3255" s="638">
        <v>13.95</v>
      </c>
      <c r="F3255" s="639" t="s">
        <v>292</v>
      </c>
      <c r="G3255" s="484">
        <v>0</v>
      </c>
      <c r="H3255" s="691" t="str">
        <f t="shared" ref="H3255:H3260" si="2514">IF(G3255=0,"",IF(F3255="Buy",IF(G3255=1,"plant","plants"),IF(F3255&gt;0.01,"warranty","Error")))</f>
        <v/>
      </c>
      <c r="I3255" s="640">
        <f t="shared" ref="I3255:I3260" si="2515">IF(H3255="free",0,IF(H3255="credit",((E3255*(F3255))*G3255*-1),IF(F3255="Buy",(E3255*G3255),((E3255*(1-F3255))*G3255))))</f>
        <v>0</v>
      </c>
      <c r="J3255" s="640">
        <f t="shared" ref="J3255:J3260" si="2516">IF(H3255="warranty",0,(I3255*(_xlfn.SINGLE(SalesTaxPercentage))))</f>
        <v>0</v>
      </c>
      <c r="K3255" s="716">
        <f t="shared" ref="K3255" si="2517">I3255+J3255</f>
        <v>0</v>
      </c>
      <c r="L3255" s="716"/>
      <c r="M3255" s="689" t="str">
        <f t="shared" ref="M3255:M3260" ca="1" si="2518">IF(AND(G3255&gt;0,E3255=0),"WARNING - no PRICE inserted",IF(H3255="free","FREE ~ no charge this plant",IF(H3255="credit",CONCATENATE("-$",ROUND(K3255*(1-_xlfn.SINGLE(T2GDiscount))*-1,2)," CREDIT after discount"),IF(_xlfn.SINGLE(T2GDiscount)=0,"",IF(G3255=0,"",IF(F3255="Buy",CONCATENATE("$",ROUND(K3255*(1-_xlfn.SINGLE(T2GDiscount)),2)," with ",(_xlfn.SINGLE(T2GDiscount)*100),"% discount"),CONCATENATE("$",ROUND(K3255*(1-_xlfn.SINGLE(T2GDiscount)),2)," with ",((_xlfn.SINGLE(T2GDiscount)*100+F3255*100)-(_xlfn.SINGLE(T2GDiscount)*100*F3255)),IF(F3255&gt;0,"% discounts",IF(_xlfn.SINGLE(NoWarrantyDiscount)&gt;0,"% discounts","% discount")))))))))</f>
        <v/>
      </c>
      <c r="N3255" s="690"/>
      <c r="O3255" s="486"/>
      <c r="P3255" s="486"/>
      <c r="Q3255" s="486"/>
      <c r="R3255" s="486"/>
      <c r="S3255" s="486"/>
      <c r="T3255" s="102">
        <f t="shared" si="2487"/>
        <v>0</v>
      </c>
      <c r="U3255" s="78">
        <f>IF(NOT(ISNUMBER(G3255)), "", VLOOKUP(A3255,'Discount Lookup'!D:E,2,FALSE)*G3255)</f>
        <v>0</v>
      </c>
      <c r="V3255" s="78">
        <f>IF(NOT(ISNUMBER(G3255)), "", VLOOKUP(A3255,'Discount Lookup'!G:H,2,FALSE)*G3255)</f>
        <v>0</v>
      </c>
      <c r="W3255" s="102">
        <f t="shared" si="2488"/>
        <v>0</v>
      </c>
      <c r="X3255" s="102">
        <f t="shared" si="2489"/>
        <v>0</v>
      </c>
      <c r="Y3255" s="120" t="b">
        <f t="shared" si="2490"/>
        <v>0</v>
      </c>
      <c r="Z3255" s="117">
        <f t="shared" si="2491"/>
        <v>0</v>
      </c>
      <c r="AA3255" s="118"/>
      <c r="AB3255" s="118" t="str">
        <f t="shared" si="2492"/>
        <v/>
      </c>
      <c r="AC3255" s="712" t="str">
        <f>IF(AE3255="T2G","no charge",IF(AND(OR(PlanterYesMe="No",PlanterYesMe="N",PlanterYesMe="me"),H3255=""),"",IF(H3255="credit","NO install",IF(AND(K3255="",AE3255="me"),"EACH row",IF(AND(K3255="images",AE3255="me"),"EACH row",IF(D3255="","",IF(H3255="credit","",IF(AE3255="free","re-planting",IF(AE3255="me","   not ELP, by",IF(AND(OR(PlanterYesMe="Yes",PlanterYesMe="Y"),G3255&gt;0),(VLOOKUP(A3255,'Discount Lookup'!J:K,2)*G3255*(1-PlanterDiscount)*(1+PlanterDifficultyPercentage)),IF(AE3255="ELP",(VLOOKUP(A3255,'Discount Lookup'!J:K,2)*G3255*(1-PlanterDiscount)*(1+PlanterDifficultyPercentage)),IF(AE3255="free","re-planting",IF(G3255=0,"",IF(PlanterYesMe="",IF(AE3255="me","   not ELP, by",IF(AE3255="",IF(G3255&gt;0,(VLOOKUP(A3255,'Discount Lookup'!J:K,2)*G3255*(1-PlanterDiscount)*(1+PlanterDifficultyPercentage)),""),"")),"   not ELP, by"))))))))))))))</f>
        <v/>
      </c>
      <c r="AD3255" s="712"/>
      <c r="AE3255" s="513" t="str">
        <f t="shared" si="2493"/>
        <v/>
      </c>
      <c r="AF3255" s="713" t="str">
        <f t="shared" si="2494"/>
        <v/>
      </c>
      <c r="AG3255" s="713"/>
      <c r="AH3255" s="713"/>
      <c r="AI3255" s="112">
        <f>IF(H3255="credit",0,IF(AE3255="free",0,IF(AE3255="me",0,IF(G3255&gt;0,(VLOOKUP(A3255,'Discount Lookup'!J:K,2)*G3255),0))))</f>
        <v>0</v>
      </c>
      <c r="AJ3255" s="107" t="str">
        <f t="shared" ca="1" si="2495"/>
        <v/>
      </c>
      <c r="AK3255" s="714" t="str">
        <f t="shared" si="2496"/>
        <v/>
      </c>
      <c r="AL3255" s="714"/>
      <c r="AM3255" s="114" t="str">
        <f t="shared" si="2497"/>
        <v/>
      </c>
      <c r="AN3255" s="115"/>
      <c r="AO3255" s="116"/>
      <c r="AP3255" s="116"/>
      <c r="AQ3255" s="116"/>
      <c r="AR3255" s="116"/>
      <c r="AS3255" s="116"/>
      <c r="AT3255" s="116"/>
      <c r="AU3255" s="116"/>
      <c r="AV3255" s="78"/>
      <c r="AW3255" s="102"/>
      <c r="AX3255" s="78"/>
      <c r="AY3255" s="78"/>
      <c r="AZ3255" s="78"/>
      <c r="BA3255" s="78"/>
      <c r="BB3255" s="78"/>
      <c r="BC3255" s="78"/>
      <c r="BD3255" s="78"/>
      <c r="BE3255" s="465"/>
      <c r="BF3255" s="165" t="str">
        <f t="shared" si="2498"/>
        <v>https://www.google.com/search?tbm=isch&amp;q=1%20G2</v>
      </c>
      <c r="BG3255" s="165" t="str">
        <f t="shared" si="2499"/>
        <v>P</v>
      </c>
      <c r="BH3255" s="65"/>
      <c r="BI3255" s="65"/>
      <c r="BJ3255" s="65"/>
      <c r="BK3255" s="65"/>
      <c r="BL3255" s="99"/>
      <c r="BM3255" s="99"/>
      <c r="BN3255" s="99"/>
    </row>
    <row r="3256" spans="1:66" s="51" customFormat="1" ht="15.75" x14ac:dyDescent="0.25">
      <c r="A3256" s="634">
        <v>3</v>
      </c>
      <c r="B3256" s="635" t="s">
        <v>291</v>
      </c>
      <c r="C3256" s="636" t="s">
        <v>3772</v>
      </c>
      <c r="D3256" s="637" t="s">
        <v>309</v>
      </c>
      <c r="E3256" s="638">
        <v>22.95</v>
      </c>
      <c r="F3256" s="639" t="s">
        <v>292</v>
      </c>
      <c r="G3256" s="484">
        <v>0</v>
      </c>
      <c r="H3256" s="691" t="str">
        <f t="shared" si="2514"/>
        <v/>
      </c>
      <c r="I3256" s="640">
        <f t="shared" si="2515"/>
        <v>0</v>
      </c>
      <c r="J3256" s="640">
        <f t="shared" si="2516"/>
        <v>0</v>
      </c>
      <c r="K3256" s="716">
        <f t="shared" ref="K3256" si="2519">I3256+J3256</f>
        <v>0</v>
      </c>
      <c r="L3256" s="716"/>
      <c r="M3256" s="689" t="str">
        <f t="shared" ca="1" si="2518"/>
        <v/>
      </c>
      <c r="N3256" s="690"/>
      <c r="O3256" s="486"/>
      <c r="P3256" s="486"/>
      <c r="Q3256" s="486"/>
      <c r="R3256" s="486"/>
      <c r="S3256" s="486"/>
      <c r="T3256" s="102">
        <f t="shared" si="2487"/>
        <v>0</v>
      </c>
      <c r="U3256" s="78">
        <f>IF(NOT(ISNUMBER(G3256)), "", VLOOKUP(A3256,'Discount Lookup'!D:E,2,FALSE)*G3256)</f>
        <v>0</v>
      </c>
      <c r="V3256" s="78">
        <f>IF(NOT(ISNUMBER(G3256)), "", VLOOKUP(A3256,'Discount Lookup'!G:H,2,FALSE)*G3256)</f>
        <v>0</v>
      </c>
      <c r="W3256" s="102">
        <f t="shared" si="2488"/>
        <v>0</v>
      </c>
      <c r="X3256" s="102">
        <f t="shared" si="2489"/>
        <v>0</v>
      </c>
      <c r="Y3256" s="120" t="b">
        <f t="shared" si="2490"/>
        <v>0</v>
      </c>
      <c r="Z3256" s="117">
        <f t="shared" si="2491"/>
        <v>0</v>
      </c>
      <c r="AA3256" s="118"/>
      <c r="AB3256" s="118" t="str">
        <f t="shared" si="2492"/>
        <v/>
      </c>
      <c r="AC3256" s="712" t="str">
        <f>IF(AE3256="T2G","no charge",IF(AND(OR(PlanterYesMe="No",PlanterYesMe="N",PlanterYesMe="me"),H3256=""),"",IF(H3256="credit","NO install",IF(AND(K3256="",AE3256="me"),"EACH row",IF(AND(K3256="images",AE3256="me"),"EACH row",IF(D3256="","",IF(H3256="credit","",IF(AE3256="free","re-planting",IF(AE3256="me","   not ELP, by",IF(AND(OR(PlanterYesMe="Yes",PlanterYesMe="Y"),G3256&gt;0),(VLOOKUP(A3256,'Discount Lookup'!J:K,2)*G3256*(1-PlanterDiscount)*(1+PlanterDifficultyPercentage)),IF(AE3256="ELP",(VLOOKUP(A3256,'Discount Lookup'!J:K,2)*G3256*(1-PlanterDiscount)*(1+PlanterDifficultyPercentage)),IF(AE3256="free","re-planting",IF(G3256=0,"",IF(PlanterYesMe="",IF(AE3256="me","   not ELP, by",IF(AE3256="",IF(G3256&gt;0,(VLOOKUP(A3256,'Discount Lookup'!J:K,2)*G3256*(1-PlanterDiscount)*(1+PlanterDifficultyPercentage)),""),"")),"   not ELP, by"))))))))))))))</f>
        <v/>
      </c>
      <c r="AD3256" s="712"/>
      <c r="AE3256" s="513" t="str">
        <f t="shared" si="2493"/>
        <v/>
      </c>
      <c r="AF3256" s="713" t="str">
        <f t="shared" si="2494"/>
        <v/>
      </c>
      <c r="AG3256" s="713"/>
      <c r="AH3256" s="713"/>
      <c r="AI3256" s="112">
        <f>IF(H3256="credit",0,IF(AE3256="free",0,IF(AE3256="me",0,IF(G3256&gt;0,(VLOOKUP(A3256,'Discount Lookup'!J:K,2)*G3256),0))))</f>
        <v>0</v>
      </c>
      <c r="AJ3256" s="107" t="str">
        <f t="shared" ca="1" si="2495"/>
        <v/>
      </c>
      <c r="AK3256" s="714" t="str">
        <f t="shared" si="2496"/>
        <v/>
      </c>
      <c r="AL3256" s="714"/>
      <c r="AM3256" s="114" t="str">
        <f t="shared" si="2497"/>
        <v/>
      </c>
      <c r="AN3256" s="115"/>
      <c r="AO3256" s="116"/>
      <c r="AP3256" s="116"/>
      <c r="AQ3256" s="116"/>
      <c r="AR3256" s="116"/>
      <c r="AS3256" s="116"/>
      <c r="AT3256" s="116"/>
      <c r="AU3256" s="116"/>
      <c r="AV3256" s="78"/>
      <c r="AW3256" s="102"/>
      <c r="AX3256" s="78"/>
      <c r="AY3256" s="78"/>
      <c r="AZ3256" s="78"/>
      <c r="BA3256" s="78"/>
      <c r="BB3256" s="78"/>
      <c r="BC3256" s="78"/>
      <c r="BD3256" s="78"/>
      <c r="BE3256" s="465"/>
      <c r="BF3256" s="165" t="str">
        <f t="shared" si="2498"/>
        <v>https://www.google.com/search?tbm=isch&amp;q=3%20G3</v>
      </c>
      <c r="BG3256" s="165" t="str">
        <f t="shared" si="2499"/>
        <v>P</v>
      </c>
      <c r="BH3256" s="65"/>
      <c r="BI3256" s="65"/>
      <c r="BJ3256" s="65"/>
      <c r="BK3256" s="65"/>
      <c r="BL3256" s="99"/>
      <c r="BM3256" s="99"/>
      <c r="BN3256" s="99"/>
    </row>
    <row r="3257" spans="1:66" s="51" customFormat="1" ht="15.75" x14ac:dyDescent="0.25">
      <c r="A3257" s="634">
        <v>3</v>
      </c>
      <c r="B3257" s="635" t="s">
        <v>291</v>
      </c>
      <c r="C3257" s="636"/>
      <c r="D3257" s="637" t="s">
        <v>310</v>
      </c>
      <c r="E3257" s="638">
        <v>25.95</v>
      </c>
      <c r="F3257" s="639" t="s">
        <v>292</v>
      </c>
      <c r="G3257" s="484">
        <v>0</v>
      </c>
      <c r="H3257" s="691" t="str">
        <f t="shared" si="2514"/>
        <v/>
      </c>
      <c r="I3257" s="640">
        <f t="shared" si="2515"/>
        <v>0</v>
      </c>
      <c r="J3257" s="640">
        <f t="shared" si="2516"/>
        <v>0</v>
      </c>
      <c r="K3257" s="716">
        <f t="shared" ref="K3257" si="2520">I3257+J3257</f>
        <v>0</v>
      </c>
      <c r="L3257" s="716"/>
      <c r="M3257" s="689" t="str">
        <f t="shared" ca="1" si="2518"/>
        <v/>
      </c>
      <c r="N3257" s="690"/>
      <c r="O3257" s="486"/>
      <c r="P3257" s="486"/>
      <c r="Q3257" s="486"/>
      <c r="R3257" s="486"/>
      <c r="S3257" s="486"/>
      <c r="T3257" s="102">
        <f t="shared" si="2487"/>
        <v>0</v>
      </c>
      <c r="U3257" s="78">
        <f>IF(NOT(ISNUMBER(G3257)), "", VLOOKUP(A3257,'Discount Lookup'!D:E,2,FALSE)*G3257)</f>
        <v>0</v>
      </c>
      <c r="V3257" s="78">
        <f>IF(NOT(ISNUMBER(G3257)), "", VLOOKUP(A3257,'Discount Lookup'!G:H,2,FALSE)*G3257)</f>
        <v>0</v>
      </c>
      <c r="W3257" s="102">
        <f t="shared" si="2488"/>
        <v>0</v>
      </c>
      <c r="X3257" s="102">
        <f t="shared" si="2489"/>
        <v>0</v>
      </c>
      <c r="Y3257" s="120" t="b">
        <f t="shared" si="2490"/>
        <v>0</v>
      </c>
      <c r="Z3257" s="117">
        <f t="shared" si="2491"/>
        <v>0</v>
      </c>
      <c r="AA3257" s="118"/>
      <c r="AB3257" s="118" t="str">
        <f t="shared" si="2492"/>
        <v/>
      </c>
      <c r="AC3257" s="712" t="str">
        <f>IF(AE3257="T2G","no charge",IF(AND(OR(PlanterYesMe="No",PlanterYesMe="N",PlanterYesMe="me"),H3257=""),"",IF(H3257="credit","NO install",IF(AND(K3257="",AE3257="me"),"EACH row",IF(AND(K3257="images",AE3257="me"),"EACH row",IF(D3257="","",IF(H3257="credit","",IF(AE3257="free","re-planting",IF(AE3257="me","   not ELP, by",IF(AND(OR(PlanterYesMe="Yes",PlanterYesMe="Y"),G3257&gt;0),(VLOOKUP(A3257,'Discount Lookup'!J:K,2)*G3257*(1-PlanterDiscount)*(1+PlanterDifficultyPercentage)),IF(AE3257="ELP",(VLOOKUP(A3257,'Discount Lookup'!J:K,2)*G3257*(1-PlanterDiscount)*(1+PlanterDifficultyPercentage)),IF(AE3257="free","re-planting",IF(G3257=0,"",IF(PlanterYesMe="",IF(AE3257="me","   not ELP, by",IF(AE3257="",IF(G3257&gt;0,(VLOOKUP(A3257,'Discount Lookup'!J:K,2)*G3257*(1-PlanterDiscount)*(1+PlanterDifficultyPercentage)),""),"")),"   not ELP, by"))))))))))))))</f>
        <v/>
      </c>
      <c r="AD3257" s="712"/>
      <c r="AE3257" s="513" t="str">
        <f t="shared" si="2493"/>
        <v/>
      </c>
      <c r="AF3257" s="713" t="str">
        <f t="shared" si="2494"/>
        <v/>
      </c>
      <c r="AG3257" s="713"/>
      <c r="AH3257" s="713"/>
      <c r="AI3257" s="112">
        <f>IF(H3257="credit",0,IF(AE3257="free",0,IF(AE3257="me",0,IF(G3257&gt;0,(VLOOKUP(A3257,'Discount Lookup'!J:K,2)*G3257),0))))</f>
        <v>0</v>
      </c>
      <c r="AJ3257" s="107" t="str">
        <f t="shared" ca="1" si="2495"/>
        <v/>
      </c>
      <c r="AK3257" s="714" t="str">
        <f t="shared" si="2496"/>
        <v/>
      </c>
      <c r="AL3257" s="714"/>
      <c r="AM3257" s="114" t="str">
        <f t="shared" si="2497"/>
        <v/>
      </c>
      <c r="AN3257" s="115"/>
      <c r="AO3257" s="116"/>
      <c r="AP3257" s="116"/>
      <c r="AQ3257" s="116"/>
      <c r="AR3257" s="116"/>
      <c r="AS3257" s="116"/>
      <c r="AT3257" s="116"/>
      <c r="AU3257" s="116"/>
      <c r="AV3257" s="78"/>
      <c r="AW3257" s="102"/>
      <c r="AX3257" s="78"/>
      <c r="AY3257" s="78"/>
      <c r="AZ3257" s="78"/>
      <c r="BA3257" s="78"/>
      <c r="BB3257" s="78"/>
      <c r="BC3257" s="78"/>
      <c r="BD3257" s="78"/>
      <c r="BE3257" s="465"/>
      <c r="BF3257" s="165" t="str">
        <f t="shared" si="2498"/>
        <v>https://www.google.com/search?tbm=isch&amp;q=3%20G1</v>
      </c>
      <c r="BG3257" s="165" t="str">
        <f t="shared" si="2499"/>
        <v>P</v>
      </c>
      <c r="BH3257" s="65"/>
      <c r="BI3257" s="65"/>
      <c r="BJ3257" s="65"/>
      <c r="BK3257" s="65"/>
      <c r="BL3257" s="99"/>
      <c r="BM3257" s="99"/>
      <c r="BN3257" s="99"/>
    </row>
    <row r="3258" spans="1:66" s="51" customFormat="1" ht="15.75" x14ac:dyDescent="0.25">
      <c r="A3258" s="634">
        <v>3</v>
      </c>
      <c r="B3258" s="635" t="s">
        <v>291</v>
      </c>
      <c r="C3258" s="636" t="s">
        <v>5001</v>
      </c>
      <c r="D3258" s="637" t="s">
        <v>293</v>
      </c>
      <c r="E3258" s="638">
        <v>30.95</v>
      </c>
      <c r="F3258" s="639" t="s">
        <v>292</v>
      </c>
      <c r="G3258" s="484">
        <v>0</v>
      </c>
      <c r="H3258" s="691" t="str">
        <f t="shared" si="2514"/>
        <v/>
      </c>
      <c r="I3258" s="640">
        <f t="shared" si="2515"/>
        <v>0</v>
      </c>
      <c r="J3258" s="640">
        <f t="shared" si="2516"/>
        <v>0</v>
      </c>
      <c r="K3258" s="716">
        <f t="shared" ref="K3258" si="2521">I3258+J3258</f>
        <v>0</v>
      </c>
      <c r="L3258" s="716"/>
      <c r="M3258" s="689" t="str">
        <f t="shared" ca="1" si="2518"/>
        <v/>
      </c>
      <c r="N3258" s="690"/>
      <c r="O3258" s="486"/>
      <c r="P3258" s="486"/>
      <c r="Q3258" s="486"/>
      <c r="R3258" s="486"/>
      <c r="S3258" s="486"/>
      <c r="T3258" s="102">
        <f t="shared" si="2487"/>
        <v>0</v>
      </c>
      <c r="U3258" s="78">
        <f>IF(NOT(ISNUMBER(G3258)), "", VLOOKUP(A3258,'Discount Lookup'!D:E,2,FALSE)*G3258)</f>
        <v>0</v>
      </c>
      <c r="V3258" s="78">
        <f>IF(NOT(ISNUMBER(G3258)), "", VLOOKUP(A3258,'Discount Lookup'!G:H,2,FALSE)*G3258)</f>
        <v>0</v>
      </c>
      <c r="W3258" s="102">
        <f t="shared" si="2488"/>
        <v>0</v>
      </c>
      <c r="X3258" s="102">
        <f t="shared" si="2489"/>
        <v>0</v>
      </c>
      <c r="Y3258" s="120" t="b">
        <f t="shared" si="2490"/>
        <v>0</v>
      </c>
      <c r="Z3258" s="117">
        <f t="shared" si="2491"/>
        <v>0</v>
      </c>
      <c r="AA3258" s="118"/>
      <c r="AB3258" s="118" t="str">
        <f t="shared" si="2492"/>
        <v/>
      </c>
      <c r="AC3258" s="712" t="str">
        <f>IF(AE3258="T2G","no charge",IF(AND(OR(PlanterYesMe="No",PlanterYesMe="N",PlanterYesMe="me"),H3258=""),"",IF(H3258="credit","NO install",IF(AND(K3258="",AE3258="me"),"EACH row",IF(AND(K3258="images",AE3258="me"),"EACH row",IF(D3258="","",IF(H3258="credit","",IF(AE3258="free","re-planting",IF(AE3258="me","   not ELP, by",IF(AND(OR(PlanterYesMe="Yes",PlanterYesMe="Y"),G3258&gt;0),(VLOOKUP(A3258,'Discount Lookup'!J:K,2)*G3258*(1-PlanterDiscount)*(1+PlanterDifficultyPercentage)),IF(AE3258="ELP",(VLOOKUP(A3258,'Discount Lookup'!J:K,2)*G3258*(1-PlanterDiscount)*(1+PlanterDifficultyPercentage)),IF(AE3258="free","re-planting",IF(G3258=0,"",IF(PlanterYesMe="",IF(AE3258="me","   not ELP, by",IF(AE3258="",IF(G3258&gt;0,(VLOOKUP(A3258,'Discount Lookup'!J:K,2)*G3258*(1-PlanterDiscount)*(1+PlanterDifficultyPercentage)),""),"")),"   not ELP, by"))))))))))))))</f>
        <v/>
      </c>
      <c r="AD3258" s="712"/>
      <c r="AE3258" s="513" t="str">
        <f t="shared" si="2493"/>
        <v/>
      </c>
      <c r="AF3258" s="713" t="str">
        <f t="shared" si="2494"/>
        <v/>
      </c>
      <c r="AG3258" s="713"/>
      <c r="AH3258" s="713"/>
      <c r="AI3258" s="112">
        <f>IF(H3258="credit",0,IF(AE3258="free",0,IF(AE3258="me",0,IF(G3258&gt;0,(VLOOKUP(A3258,'Discount Lookup'!J:K,2)*G3258),0))))</f>
        <v>0</v>
      </c>
      <c r="AJ3258" s="107" t="str">
        <f t="shared" ca="1" si="2495"/>
        <v/>
      </c>
      <c r="AK3258" s="714" t="str">
        <f t="shared" si="2496"/>
        <v/>
      </c>
      <c r="AL3258" s="714"/>
      <c r="AM3258" s="114" t="str">
        <f t="shared" si="2497"/>
        <v/>
      </c>
      <c r="AN3258" s="115"/>
      <c r="AO3258" s="116"/>
      <c r="AP3258" s="116"/>
      <c r="AQ3258" s="116"/>
      <c r="AR3258" s="116"/>
      <c r="AS3258" s="116"/>
      <c r="AT3258" s="116"/>
      <c r="AU3258" s="116"/>
      <c r="AV3258" s="78"/>
      <c r="AW3258" s="102"/>
      <c r="AX3258" s="78"/>
      <c r="AY3258" s="78"/>
      <c r="AZ3258" s="78"/>
      <c r="BA3258" s="78"/>
      <c r="BB3258" s="78"/>
      <c r="BC3258" s="78"/>
      <c r="BD3258" s="78"/>
      <c r="BE3258" s="465"/>
      <c r="BF3258" s="165" t="str">
        <f t="shared" si="2498"/>
        <v>https://www.google.com/search?tbm=isch&amp;q=3%20G6</v>
      </c>
      <c r="BG3258" s="165" t="str">
        <f t="shared" si="2499"/>
        <v>P</v>
      </c>
      <c r="BH3258" s="65"/>
      <c r="BI3258" s="65"/>
      <c r="BJ3258" s="65"/>
      <c r="BK3258" s="65"/>
      <c r="BL3258" s="99"/>
      <c r="BM3258" s="99"/>
      <c r="BN3258" s="99"/>
    </row>
    <row r="3259" spans="1:66" s="51" customFormat="1" ht="15.75" x14ac:dyDescent="0.25">
      <c r="A3259" s="634">
        <v>3</v>
      </c>
      <c r="B3259" s="635" t="s">
        <v>291</v>
      </c>
      <c r="C3259" s="636" t="s">
        <v>5002</v>
      </c>
      <c r="D3259" s="637" t="s">
        <v>293</v>
      </c>
      <c r="E3259" s="638">
        <v>30.95</v>
      </c>
      <c r="F3259" s="639" t="s">
        <v>292</v>
      </c>
      <c r="G3259" s="484">
        <v>0</v>
      </c>
      <c r="H3259" s="691" t="str">
        <f t="shared" si="2514"/>
        <v/>
      </c>
      <c r="I3259" s="640">
        <f t="shared" si="2515"/>
        <v>0</v>
      </c>
      <c r="J3259" s="640">
        <f t="shared" si="2516"/>
        <v>0</v>
      </c>
      <c r="K3259" s="716">
        <f t="shared" ref="K3259" si="2522">I3259+J3259</f>
        <v>0</v>
      </c>
      <c r="L3259" s="716"/>
      <c r="M3259" s="689" t="str">
        <f t="shared" ca="1" si="2518"/>
        <v/>
      </c>
      <c r="N3259" s="690"/>
      <c r="O3259" s="486"/>
      <c r="P3259" s="486"/>
      <c r="Q3259" s="486"/>
      <c r="R3259" s="486"/>
      <c r="S3259" s="486"/>
      <c r="T3259" s="102">
        <f t="shared" si="2487"/>
        <v>0</v>
      </c>
      <c r="U3259" s="78">
        <f>IF(NOT(ISNUMBER(G3259)), "", VLOOKUP(A3259,'Discount Lookup'!D:E,2,FALSE)*G3259)</f>
        <v>0</v>
      </c>
      <c r="V3259" s="78">
        <f>IF(NOT(ISNUMBER(G3259)), "", VLOOKUP(A3259,'Discount Lookup'!G:H,2,FALSE)*G3259)</f>
        <v>0</v>
      </c>
      <c r="W3259" s="102">
        <f t="shared" si="2488"/>
        <v>0</v>
      </c>
      <c r="X3259" s="102">
        <f t="shared" si="2489"/>
        <v>0</v>
      </c>
      <c r="Y3259" s="120" t="b">
        <f t="shared" si="2490"/>
        <v>0</v>
      </c>
      <c r="Z3259" s="117">
        <f t="shared" si="2491"/>
        <v>0</v>
      </c>
      <c r="AA3259" s="118"/>
      <c r="AB3259" s="118" t="str">
        <f t="shared" si="2492"/>
        <v/>
      </c>
      <c r="AC3259" s="712" t="str">
        <f>IF(AE3259="T2G","no charge",IF(AND(OR(PlanterYesMe="No",PlanterYesMe="N",PlanterYesMe="me"),H3259=""),"",IF(H3259="credit","NO install",IF(AND(K3259="",AE3259="me"),"EACH row",IF(AND(K3259="images",AE3259="me"),"EACH row",IF(D3259="","",IF(H3259="credit","",IF(AE3259="free","re-planting",IF(AE3259="me","   not ELP, by",IF(AND(OR(PlanterYesMe="Yes",PlanterYesMe="Y"),G3259&gt;0),(VLOOKUP(A3259,'Discount Lookup'!J:K,2)*G3259*(1-PlanterDiscount)*(1+PlanterDifficultyPercentage)),IF(AE3259="ELP",(VLOOKUP(A3259,'Discount Lookup'!J:K,2)*G3259*(1-PlanterDiscount)*(1+PlanterDifficultyPercentage)),IF(AE3259="free","re-planting",IF(G3259=0,"",IF(PlanterYesMe="",IF(AE3259="me","   not ELP, by",IF(AE3259="",IF(G3259&gt;0,(VLOOKUP(A3259,'Discount Lookup'!J:K,2)*G3259*(1-PlanterDiscount)*(1+PlanterDifficultyPercentage)),""),"")),"   not ELP, by"))))))))))))))</f>
        <v/>
      </c>
      <c r="AD3259" s="712"/>
      <c r="AE3259" s="513" t="str">
        <f t="shared" si="2493"/>
        <v/>
      </c>
      <c r="AF3259" s="713" t="str">
        <f t="shared" si="2494"/>
        <v/>
      </c>
      <c r="AG3259" s="713"/>
      <c r="AH3259" s="713"/>
      <c r="AI3259" s="112">
        <f>IF(H3259="credit",0,IF(AE3259="free",0,IF(AE3259="me",0,IF(G3259&gt;0,(VLOOKUP(A3259,'Discount Lookup'!J:K,2)*G3259),0))))</f>
        <v>0</v>
      </c>
      <c r="AJ3259" s="107" t="str">
        <f t="shared" ca="1" si="2495"/>
        <v/>
      </c>
      <c r="AK3259" s="714" t="str">
        <f t="shared" si="2496"/>
        <v/>
      </c>
      <c r="AL3259" s="714"/>
      <c r="AM3259" s="114" t="str">
        <f t="shared" si="2497"/>
        <v/>
      </c>
      <c r="AN3259" s="115"/>
      <c r="AO3259" s="116"/>
      <c r="AP3259" s="116"/>
      <c r="AQ3259" s="116"/>
      <c r="AR3259" s="116"/>
      <c r="AS3259" s="116"/>
      <c r="AT3259" s="116"/>
      <c r="AU3259" s="116"/>
      <c r="AV3259" s="78"/>
      <c r="AW3259" s="102"/>
      <c r="AX3259" s="78"/>
      <c r="AY3259" s="78"/>
      <c r="AZ3259" s="78"/>
      <c r="BA3259" s="78"/>
      <c r="BB3259" s="78"/>
      <c r="BC3259" s="78"/>
      <c r="BD3259" s="78"/>
      <c r="BE3259" s="465"/>
      <c r="BF3259" s="165" t="str">
        <f t="shared" si="2498"/>
        <v>https://www.google.com/search?tbm=isch&amp;q=3%20G6</v>
      </c>
      <c r="BG3259" s="165" t="str">
        <f t="shared" si="2499"/>
        <v>P</v>
      </c>
      <c r="BH3259" s="65"/>
      <c r="BI3259" s="65"/>
      <c r="BJ3259" s="65"/>
      <c r="BK3259" s="65"/>
      <c r="BL3259" s="99"/>
      <c r="BM3259" s="99"/>
      <c r="BN3259" s="99"/>
    </row>
    <row r="3260" spans="1:66" s="51" customFormat="1" ht="15.75" x14ac:dyDescent="0.25">
      <c r="A3260" s="634">
        <v>3</v>
      </c>
      <c r="B3260" s="635" t="s">
        <v>291</v>
      </c>
      <c r="C3260" s="636" t="s">
        <v>3173</v>
      </c>
      <c r="D3260" s="637" t="s">
        <v>311</v>
      </c>
      <c r="E3260" s="638">
        <v>33.950000000000003</v>
      </c>
      <c r="F3260" s="639" t="s">
        <v>292</v>
      </c>
      <c r="G3260" s="484">
        <v>0</v>
      </c>
      <c r="H3260" s="691" t="str">
        <f t="shared" si="2514"/>
        <v/>
      </c>
      <c r="I3260" s="640">
        <f t="shared" si="2515"/>
        <v>0</v>
      </c>
      <c r="J3260" s="640">
        <f t="shared" si="2516"/>
        <v>0</v>
      </c>
      <c r="K3260" s="716">
        <f t="shared" ref="K3260" si="2523">I3260+J3260</f>
        <v>0</v>
      </c>
      <c r="L3260" s="716"/>
      <c r="M3260" s="689" t="str">
        <f t="shared" ca="1" si="2518"/>
        <v/>
      </c>
      <c r="N3260" s="690"/>
      <c r="O3260" s="486"/>
      <c r="P3260" s="486"/>
      <c r="Q3260" s="486"/>
      <c r="R3260" s="486"/>
      <c r="S3260" s="486"/>
      <c r="T3260" s="102">
        <f t="shared" si="2487"/>
        <v>0</v>
      </c>
      <c r="U3260" s="78">
        <f>IF(NOT(ISNUMBER(G3260)), "", VLOOKUP(A3260,'Discount Lookup'!D:E,2,FALSE)*G3260)</f>
        <v>0</v>
      </c>
      <c r="V3260" s="78">
        <f>IF(NOT(ISNUMBER(G3260)), "", VLOOKUP(A3260,'Discount Lookup'!G:H,2,FALSE)*G3260)</f>
        <v>0</v>
      </c>
      <c r="W3260" s="102">
        <f t="shared" si="2488"/>
        <v>0</v>
      </c>
      <c r="X3260" s="102">
        <f t="shared" si="2489"/>
        <v>0</v>
      </c>
      <c r="Y3260" s="120" t="b">
        <f t="shared" si="2490"/>
        <v>0</v>
      </c>
      <c r="Z3260" s="117">
        <f t="shared" si="2491"/>
        <v>0</v>
      </c>
      <c r="AA3260" s="118"/>
      <c r="AB3260" s="118" t="str">
        <f t="shared" si="2492"/>
        <v/>
      </c>
      <c r="AC3260" s="712" t="str">
        <f>IF(AE3260="T2G","no charge",IF(AND(OR(PlanterYesMe="No",PlanterYesMe="N",PlanterYesMe="me"),H3260=""),"",IF(H3260="credit","NO install",IF(AND(K3260="",AE3260="me"),"EACH row",IF(AND(K3260="images",AE3260="me"),"EACH row",IF(D3260="","",IF(H3260="credit","",IF(AE3260="free","re-planting",IF(AE3260="me","   not ELP, by",IF(AND(OR(PlanterYesMe="Yes",PlanterYesMe="Y"),G3260&gt;0),(VLOOKUP(A3260,'Discount Lookup'!J:K,2)*G3260*(1-PlanterDiscount)*(1+PlanterDifficultyPercentage)),IF(AE3260="ELP",(VLOOKUP(A3260,'Discount Lookup'!J:K,2)*G3260*(1-PlanterDiscount)*(1+PlanterDifficultyPercentage)),IF(AE3260="free","re-planting",IF(G3260=0,"",IF(PlanterYesMe="",IF(AE3260="me","   not ELP, by",IF(AE3260="",IF(G3260&gt;0,(VLOOKUP(A3260,'Discount Lookup'!J:K,2)*G3260*(1-PlanterDiscount)*(1+PlanterDifficultyPercentage)),""),"")),"   not ELP, by"))))))))))))))</f>
        <v/>
      </c>
      <c r="AD3260" s="712"/>
      <c r="AE3260" s="513" t="str">
        <f t="shared" si="2493"/>
        <v/>
      </c>
      <c r="AF3260" s="713" t="str">
        <f t="shared" si="2494"/>
        <v/>
      </c>
      <c r="AG3260" s="713"/>
      <c r="AH3260" s="713"/>
      <c r="AI3260" s="112">
        <f>IF(H3260="credit",0,IF(AE3260="free",0,IF(AE3260="me",0,IF(G3260&gt;0,(VLOOKUP(A3260,'Discount Lookup'!J:K,2)*G3260),0))))</f>
        <v>0</v>
      </c>
      <c r="AJ3260" s="107" t="str">
        <f t="shared" ca="1" si="2495"/>
        <v/>
      </c>
      <c r="AK3260" s="714" t="str">
        <f t="shared" si="2496"/>
        <v/>
      </c>
      <c r="AL3260" s="714"/>
      <c r="AM3260" s="114" t="str">
        <f t="shared" si="2497"/>
        <v/>
      </c>
      <c r="AN3260" s="115"/>
      <c r="AO3260" s="116"/>
      <c r="AP3260" s="116"/>
      <c r="AQ3260" s="116"/>
      <c r="AR3260" s="116"/>
      <c r="AS3260" s="116"/>
      <c r="AT3260" s="116"/>
      <c r="AU3260" s="116"/>
      <c r="AV3260" s="78"/>
      <c r="AW3260" s="102"/>
      <c r="AX3260" s="78"/>
      <c r="AY3260" s="78"/>
      <c r="AZ3260" s="78"/>
      <c r="BA3260" s="78"/>
      <c r="BB3260" s="78"/>
      <c r="BC3260" s="78"/>
      <c r="BD3260" s="78"/>
      <c r="BE3260" s="465"/>
      <c r="BF3260" s="165" t="str">
        <f t="shared" si="2498"/>
        <v>https://www.google.com/search?tbm=isch&amp;q=3%20G5</v>
      </c>
      <c r="BG3260" s="165" t="str">
        <f t="shared" si="2499"/>
        <v>P</v>
      </c>
      <c r="BH3260" s="65"/>
      <c r="BI3260" s="65"/>
      <c r="BJ3260" s="65"/>
      <c r="BK3260" s="65"/>
      <c r="BL3260" s="99"/>
      <c r="BM3260" s="99"/>
      <c r="BN3260" s="99"/>
    </row>
    <row r="3261" spans="1:66" s="51" customFormat="1" ht="17.25" thickBot="1" x14ac:dyDescent="0.3">
      <c r="A3261" s="641" t="s">
        <v>3773</v>
      </c>
      <c r="B3261" s="642"/>
      <c r="C3261" s="710"/>
      <c r="D3261" s="643"/>
      <c r="E3261" s="643"/>
      <c r="F3261" s="644"/>
      <c r="G3261" s="645"/>
      <c r="H3261" s="646"/>
      <c r="I3261" s="647"/>
      <c r="J3261" s="648"/>
      <c r="K3261" s="649"/>
      <c r="L3261" s="650"/>
      <c r="M3261" s="650"/>
      <c r="N3261" s="644"/>
      <c r="O3261" s="644"/>
      <c r="P3261" s="644"/>
      <c r="Q3261" s="644"/>
      <c r="R3261" s="644"/>
      <c r="S3261" s="701" t="s">
        <v>5298</v>
      </c>
      <c r="T3261" s="102">
        <f t="shared" si="2487"/>
        <v>0</v>
      </c>
      <c r="U3261" s="78" t="str">
        <f>IF(NOT(ISNUMBER(G3261)), "", VLOOKUP(A3261,'Discount Lookup'!D:E,2,FALSE)*G3261)</f>
        <v/>
      </c>
      <c r="V3261" s="78" t="str">
        <f>IF(NOT(ISNUMBER(G3261)), "", VLOOKUP(A3261,'Discount Lookup'!G:H,2,FALSE)*G3261)</f>
        <v/>
      </c>
      <c r="W3261" s="102">
        <f t="shared" si="2488"/>
        <v>0</v>
      </c>
      <c r="X3261" s="102">
        <f t="shared" si="2489"/>
        <v>0</v>
      </c>
      <c r="Y3261" s="120" t="b">
        <f t="shared" si="2490"/>
        <v>0</v>
      </c>
      <c r="Z3261" s="117">
        <f t="shared" si="2491"/>
        <v>0</v>
      </c>
      <c r="AA3261" s="118"/>
      <c r="AB3261" s="118" t="str">
        <f t="shared" si="2492"/>
        <v/>
      </c>
      <c r="AC3261" s="712" t="str">
        <f>IF(AE3261="T2G","no charge",IF(AND(OR(PlanterYesMe="No",PlanterYesMe="N",PlanterYesMe="me"),H3261=""),"",IF(H3261="credit","NO install",IF(AND(K3261="",AE3261="me"),"EACH row",IF(AND(K3261="images",AE3261="me"),"EACH row",IF(D3261="","",IF(H3261="credit","",IF(AE3261="free","re-planting",IF(AE3261="me","   not ELP, by",IF(AND(OR(PlanterYesMe="Yes",PlanterYesMe="Y"),G3261&gt;0),(VLOOKUP(A3261,'Discount Lookup'!J:K,2)*G3261*(1-PlanterDiscount)*(1+PlanterDifficultyPercentage)),IF(AE3261="ELP",(VLOOKUP(A3261,'Discount Lookup'!J:K,2)*G3261*(1-PlanterDiscount)*(1+PlanterDifficultyPercentage)),IF(AE3261="free","re-planting",IF(G3261=0,"",IF(PlanterYesMe="",IF(AE3261="me","   not ELP, by",IF(AE3261="",IF(G3261&gt;0,(VLOOKUP(A3261,'Discount Lookup'!J:K,2)*G3261*(1-PlanterDiscount)*(1+PlanterDifficultyPercentage)),""),"")),"   not ELP, by"))))))))))))))</f>
        <v/>
      </c>
      <c r="AD3261" s="712"/>
      <c r="AE3261" s="513" t="str">
        <f t="shared" si="2493"/>
        <v/>
      </c>
      <c r="AF3261" s="713" t="str">
        <f t="shared" si="2494"/>
        <v/>
      </c>
      <c r="AG3261" s="713"/>
      <c r="AH3261" s="713"/>
      <c r="AI3261" s="112">
        <f>IF(H3261="credit",0,IF(AE3261="free",0,IF(AE3261="me",0,IF(G3261&gt;0,(VLOOKUP(A3261,'Discount Lookup'!J:K,2)*G3261),0))))</f>
        <v>0</v>
      </c>
      <c r="AJ3261" s="107" t="str">
        <f t="shared" ca="1" si="2495"/>
        <v/>
      </c>
      <c r="AK3261" s="714" t="str">
        <f t="shared" si="2496"/>
        <v/>
      </c>
      <c r="AL3261" s="714"/>
      <c r="AM3261" s="114" t="str">
        <f t="shared" si="2497"/>
        <v/>
      </c>
      <c r="AN3261" s="115"/>
      <c r="AO3261" s="116"/>
      <c r="AP3261" s="116"/>
      <c r="AQ3261" s="116"/>
      <c r="AR3261" s="116"/>
      <c r="AS3261" s="116"/>
      <c r="AT3261" s="116"/>
      <c r="AU3261" s="116"/>
      <c r="AV3261" s="78"/>
      <c r="AW3261" s="102"/>
      <c r="AX3261" s="78"/>
      <c r="AY3261" s="78"/>
      <c r="AZ3261" s="78"/>
      <c r="BA3261" s="78"/>
      <c r="BB3261" s="78"/>
      <c r="BC3261" s="78"/>
      <c r="BD3261" s="78"/>
      <c r="BE3261" s="465"/>
      <c r="BF3261" s="165" t="str">
        <f t="shared" si="2498"/>
        <v>https://www.google.com/search?tbm=isch&amp;q=Cassian%20Fountain%20has%20soft%20Creamy-Pink%20bottlebrush%20blooms.%20Gold-Red-Orange%20fall%20color%20turns%20Beige-Tan%20in%20winter%20</v>
      </c>
      <c r="BG3261" s="165" t="str">
        <f t="shared" si="2499"/>
        <v>C</v>
      </c>
      <c r="BH3261" s="65"/>
      <c r="BI3261" s="65"/>
      <c r="BJ3261" s="65"/>
      <c r="BK3261" s="65"/>
      <c r="BL3261" s="99"/>
      <c r="BM3261" s="99"/>
      <c r="BN3261" s="99"/>
    </row>
    <row r="3262" spans="1:66" s="51" customFormat="1" ht="18" x14ac:dyDescent="0.25">
      <c r="A3262" s="623" t="s">
        <v>3774</v>
      </c>
      <c r="B3262" s="624"/>
      <c r="C3262" s="709"/>
      <c r="D3262" s="625" t="s">
        <v>3775</v>
      </c>
      <c r="E3262" s="626"/>
      <c r="F3262" s="626"/>
      <c r="G3262" s="626"/>
      <c r="H3262" s="622" t="s">
        <v>1104</v>
      </c>
      <c r="I3262" s="627" t="s">
        <v>3771</v>
      </c>
      <c r="J3262" s="628"/>
      <c r="K3262" s="628"/>
      <c r="L3262" s="629"/>
      <c r="M3262" s="700" t="s">
        <v>5241</v>
      </c>
      <c r="N3262" s="693" t="str">
        <f>IF(AND(ISTEXT($A3262), ISERROR($A3262+0)), HYPERLINK($BF3262, "Images"), "")</f>
        <v>Images</v>
      </c>
      <c r="O3262" s="695" t="s">
        <v>5244</v>
      </c>
      <c r="P3262" s="630"/>
      <c r="Q3262" s="631"/>
      <c r="R3262" s="632"/>
      <c r="S3262" s="633"/>
      <c r="T3262" s="102">
        <f t="shared" si="2487"/>
        <v>0</v>
      </c>
      <c r="U3262" s="78" t="str">
        <f>IF(NOT(ISNUMBER(G3262)), "", VLOOKUP(A3262,'Discount Lookup'!D:E,2,FALSE)*G3262)</f>
        <v/>
      </c>
      <c r="V3262" s="78" t="str">
        <f>IF(NOT(ISNUMBER(G3262)), "", VLOOKUP(A3262,'Discount Lookup'!G:H,2,FALSE)*G3262)</f>
        <v/>
      </c>
      <c r="W3262" s="102">
        <f t="shared" si="2488"/>
        <v>0</v>
      </c>
      <c r="X3262" s="102" t="str">
        <f t="shared" si="2489"/>
        <v>Green blades</v>
      </c>
      <c r="Y3262" s="120" t="b">
        <f t="shared" si="2490"/>
        <v>0</v>
      </c>
      <c r="Z3262" s="117">
        <f t="shared" si="2491"/>
        <v>0</v>
      </c>
      <c r="AA3262" s="118"/>
      <c r="AB3262" s="118" t="str">
        <f t="shared" si="2492"/>
        <v/>
      </c>
      <c r="AC3262" s="712" t="str">
        <f>IF(AE3262="T2G","no charge",IF(AND(OR(PlanterYesMe="No",PlanterYesMe="N",PlanterYesMe="me"),H3262=""),"",IF(H3262="credit","NO install",IF(AND(K3262="",AE3262="me"),"EACH row",IF(AND(K3262="images",AE3262="me"),"EACH row",IF(D3262="","",IF(H3262="credit","",IF(AE3262="free","re-planting",IF(AE3262="me","   not ELP, by",IF(AND(OR(PlanterYesMe="Yes",PlanterYesMe="Y"),G3262&gt;0),(VLOOKUP(A3262,'Discount Lookup'!J:K,2)*G3262*(1-PlanterDiscount)*(1+PlanterDifficultyPercentage)),IF(AE3262="ELP",(VLOOKUP(A3262,'Discount Lookup'!J:K,2)*G3262*(1-PlanterDiscount)*(1+PlanterDifficultyPercentage)),IF(AE3262="free","re-planting",IF(G3262=0,"",IF(PlanterYesMe="",IF(AE3262="me","   not ELP, by",IF(AE3262="",IF(G3262&gt;0,(VLOOKUP(A3262,'Discount Lookup'!J:K,2)*G3262*(1-PlanterDiscount)*(1+PlanterDifficultyPercentage)),""),"")),"   not ELP, by"))))))))))))))</f>
        <v/>
      </c>
      <c r="AD3262" s="712"/>
      <c r="AE3262" s="513" t="str">
        <f t="shared" si="2493"/>
        <v/>
      </c>
      <c r="AF3262" s="713" t="str">
        <f t="shared" si="2494"/>
        <v/>
      </c>
      <c r="AG3262" s="713"/>
      <c r="AH3262" s="713"/>
      <c r="AI3262" s="112">
        <f>IF(H3262="credit",0,IF(AE3262="free",0,IF(AE3262="me",0,IF(G3262&gt;0,(VLOOKUP(A3262,'Discount Lookup'!J:K,2)*G3262),0))))</f>
        <v>0</v>
      </c>
      <c r="AJ3262" s="107" t="str">
        <f t="shared" ca="1" si="2495"/>
        <v/>
      </c>
      <c r="AK3262" s="714" t="str">
        <f t="shared" si="2496"/>
        <v/>
      </c>
      <c r="AL3262" s="714"/>
      <c r="AM3262" s="114" t="str">
        <f t="shared" si="2497"/>
        <v/>
      </c>
      <c r="AN3262" s="115"/>
      <c r="AO3262" s="116"/>
      <c r="AP3262" s="116"/>
      <c r="AQ3262" s="116"/>
      <c r="AR3262" s="116"/>
      <c r="AS3262" s="116"/>
      <c r="AT3262" s="116"/>
      <c r="AU3262" s="116"/>
      <c r="AV3262" s="78"/>
      <c r="AW3262" s="102"/>
      <c r="AX3262" s="78"/>
      <c r="AY3262" s="78"/>
      <c r="AZ3262" s="78"/>
      <c r="BA3262" s="78"/>
      <c r="BB3262" s="78"/>
      <c r="BC3262" s="78"/>
      <c r="BD3262" s="78"/>
      <c r="BE3262" s="465"/>
      <c r="BF3262" s="165" t="str">
        <f t="shared" si="2498"/>
        <v>https://www.google.com/search?tbm=isch&amp;q=Pennisetum%20alopecuroides%20%27Hameln%27%20Dwarf%20Fountain%20Grass</v>
      </c>
      <c r="BG3262" s="165" t="str">
        <f t="shared" si="2499"/>
        <v>P</v>
      </c>
      <c r="BH3262" s="65"/>
      <c r="BI3262" s="65"/>
      <c r="BJ3262" s="65"/>
      <c r="BK3262" s="65"/>
      <c r="BL3262" s="99"/>
      <c r="BM3262" s="99"/>
      <c r="BN3262" s="99"/>
    </row>
    <row r="3263" spans="1:66" s="51" customFormat="1" ht="15.75" x14ac:dyDescent="0.25">
      <c r="A3263" s="634">
        <v>3</v>
      </c>
      <c r="B3263" s="635" t="s">
        <v>291</v>
      </c>
      <c r="C3263" s="636"/>
      <c r="D3263" s="637" t="s">
        <v>310</v>
      </c>
      <c r="E3263" s="638">
        <v>25.95</v>
      </c>
      <c r="F3263" s="639" t="s">
        <v>292</v>
      </c>
      <c r="G3263" s="484">
        <v>0</v>
      </c>
      <c r="H3263" s="691" t="str">
        <f>IF(G3263=0,"",IF(F3263="Buy",IF(G3263=1,"plant","plants"),IF(F3263&gt;0.01,"warranty","Error")))</f>
        <v/>
      </c>
      <c r="I3263" s="640">
        <f>IF(H3263="free",0,IF(H3263="credit",((E3263*(F3263))*G3263*-1),IF(F3263="Buy",(E3263*G3263),((E3263*(1-F3263))*G3263))))</f>
        <v>0</v>
      </c>
      <c r="J3263" s="640">
        <f>IF(H3263="warranty",0,(I3263*(_xlfn.SINGLE(SalesTaxPercentage))))</f>
        <v>0</v>
      </c>
      <c r="K3263" s="716">
        <f t="shared" ref="K3263" si="2524">I3263+J3263</f>
        <v>0</v>
      </c>
      <c r="L3263" s="716"/>
      <c r="M3263" s="689" t="str">
        <f ca="1">IF(AND(G3263&gt;0,E3263=0),"WARNING - no PRICE inserted",IF(H3263="free","FREE ~ no charge this plant",IF(H3263="credit",CONCATENATE("-$",ROUND(K3263*(1-_xlfn.SINGLE(T2GDiscount))*-1,2)," CREDIT after discount"),IF(_xlfn.SINGLE(T2GDiscount)=0,"",IF(G3263=0,"",IF(F3263="Buy",CONCATENATE("$",ROUND(K3263*(1-_xlfn.SINGLE(T2GDiscount)),2)," with ",(_xlfn.SINGLE(T2GDiscount)*100),"% discount"),CONCATENATE("$",ROUND(K3263*(1-_xlfn.SINGLE(T2GDiscount)),2)," with ",((_xlfn.SINGLE(T2GDiscount)*100+F3263*100)-(_xlfn.SINGLE(T2GDiscount)*100*F3263)),IF(F3263&gt;0,"% discounts",IF(_xlfn.SINGLE(NoWarrantyDiscount)&gt;0,"% discounts","% discount")))))))))</f>
        <v/>
      </c>
      <c r="N3263" s="690"/>
      <c r="O3263" s="486"/>
      <c r="P3263" s="486"/>
      <c r="Q3263" s="486"/>
      <c r="R3263" s="486"/>
      <c r="S3263" s="486"/>
      <c r="T3263" s="102">
        <f t="shared" si="2487"/>
        <v>0</v>
      </c>
      <c r="U3263" s="78">
        <f>IF(NOT(ISNUMBER(G3263)), "", VLOOKUP(A3263,'Discount Lookup'!D:E,2,FALSE)*G3263)</f>
        <v>0</v>
      </c>
      <c r="V3263" s="78">
        <f>IF(NOT(ISNUMBER(G3263)), "", VLOOKUP(A3263,'Discount Lookup'!G:H,2,FALSE)*G3263)</f>
        <v>0</v>
      </c>
      <c r="W3263" s="102">
        <f t="shared" si="2488"/>
        <v>0</v>
      </c>
      <c r="X3263" s="102">
        <f t="shared" si="2489"/>
        <v>0</v>
      </c>
      <c r="Y3263" s="120" t="b">
        <f t="shared" si="2490"/>
        <v>0</v>
      </c>
      <c r="Z3263" s="117">
        <f t="shared" si="2491"/>
        <v>0</v>
      </c>
      <c r="AA3263" s="118"/>
      <c r="AB3263" s="118" t="str">
        <f t="shared" si="2492"/>
        <v/>
      </c>
      <c r="AC3263" s="712" t="str">
        <f>IF(AE3263="T2G","no charge",IF(AND(OR(PlanterYesMe="No",PlanterYesMe="N",PlanterYesMe="me"),H3263=""),"",IF(H3263="credit","NO install",IF(AND(K3263="",AE3263="me"),"EACH row",IF(AND(K3263="images",AE3263="me"),"EACH row",IF(D3263="","",IF(H3263="credit","",IF(AE3263="free","re-planting",IF(AE3263="me","   not ELP, by",IF(AND(OR(PlanterYesMe="Yes",PlanterYesMe="Y"),G3263&gt;0),(VLOOKUP(A3263,'Discount Lookup'!J:K,2)*G3263*(1-PlanterDiscount)*(1+PlanterDifficultyPercentage)),IF(AE3263="ELP",(VLOOKUP(A3263,'Discount Lookup'!J:K,2)*G3263*(1-PlanterDiscount)*(1+PlanterDifficultyPercentage)),IF(AE3263="free","re-planting",IF(G3263=0,"",IF(PlanterYesMe="",IF(AE3263="me","   not ELP, by",IF(AE3263="",IF(G3263&gt;0,(VLOOKUP(A3263,'Discount Lookup'!J:K,2)*G3263*(1-PlanterDiscount)*(1+PlanterDifficultyPercentage)),""),"")),"   not ELP, by"))))))))))))))</f>
        <v/>
      </c>
      <c r="AD3263" s="712"/>
      <c r="AE3263" s="513" t="str">
        <f t="shared" si="2493"/>
        <v/>
      </c>
      <c r="AF3263" s="713" t="str">
        <f t="shared" si="2494"/>
        <v/>
      </c>
      <c r="AG3263" s="713"/>
      <c r="AH3263" s="713"/>
      <c r="AI3263" s="112">
        <f>IF(H3263="credit",0,IF(AE3263="free",0,IF(AE3263="me",0,IF(G3263&gt;0,(VLOOKUP(A3263,'Discount Lookup'!J:K,2)*G3263),0))))</f>
        <v>0</v>
      </c>
      <c r="AJ3263" s="107" t="str">
        <f t="shared" ca="1" si="2495"/>
        <v/>
      </c>
      <c r="AK3263" s="714" t="str">
        <f t="shared" si="2496"/>
        <v/>
      </c>
      <c r="AL3263" s="714"/>
      <c r="AM3263" s="114" t="str">
        <f t="shared" si="2497"/>
        <v/>
      </c>
      <c r="AN3263" s="115"/>
      <c r="AO3263" s="116"/>
      <c r="AP3263" s="116"/>
      <c r="AQ3263" s="116"/>
      <c r="AR3263" s="116"/>
      <c r="AS3263" s="116"/>
      <c r="AT3263" s="116"/>
      <c r="AU3263" s="116"/>
      <c r="AV3263" s="78"/>
      <c r="AW3263" s="102"/>
      <c r="AX3263" s="78"/>
      <c r="AY3263" s="78"/>
      <c r="AZ3263" s="78"/>
      <c r="BA3263" s="78"/>
      <c r="BB3263" s="78"/>
      <c r="BC3263" s="78"/>
      <c r="BD3263" s="78"/>
      <c r="BE3263" s="465"/>
      <c r="BF3263" s="165" t="str">
        <f t="shared" si="2498"/>
        <v>https://www.google.com/search?tbm=isch&amp;q=3%20G1</v>
      </c>
      <c r="BG3263" s="165" t="str">
        <f t="shared" si="2499"/>
        <v>P</v>
      </c>
      <c r="BH3263" s="65"/>
      <c r="BI3263" s="65"/>
      <c r="BJ3263" s="65"/>
      <c r="BK3263" s="65"/>
      <c r="BL3263" s="99"/>
      <c r="BM3263" s="99"/>
      <c r="BN3263" s="99"/>
    </row>
    <row r="3264" spans="1:66" s="51" customFormat="1" ht="17.25" thickBot="1" x14ac:dyDescent="0.3">
      <c r="A3264" s="641" t="s">
        <v>3776</v>
      </c>
      <c r="B3264" s="642"/>
      <c r="C3264" s="710"/>
      <c r="D3264" s="643"/>
      <c r="E3264" s="643"/>
      <c r="F3264" s="644"/>
      <c r="G3264" s="645"/>
      <c r="H3264" s="646"/>
      <c r="I3264" s="647"/>
      <c r="J3264" s="648"/>
      <c r="K3264" s="649"/>
      <c r="L3264" s="650"/>
      <c r="M3264" s="650"/>
      <c r="N3264" s="644"/>
      <c r="O3264" s="644"/>
      <c r="P3264" s="644"/>
      <c r="Q3264" s="644"/>
      <c r="R3264" s="644"/>
      <c r="S3264" s="701" t="s">
        <v>5298</v>
      </c>
      <c r="T3264" s="102">
        <f t="shared" si="2487"/>
        <v>0</v>
      </c>
      <c r="U3264" s="78" t="str">
        <f>IF(NOT(ISNUMBER(G3264)), "", VLOOKUP(A3264,'Discount Lookup'!D:E,2,FALSE)*G3264)</f>
        <v/>
      </c>
      <c r="V3264" s="78" t="str">
        <f>IF(NOT(ISNUMBER(G3264)), "", VLOOKUP(A3264,'Discount Lookup'!G:H,2,FALSE)*G3264)</f>
        <v/>
      </c>
      <c r="W3264" s="102">
        <f t="shared" si="2488"/>
        <v>0</v>
      </c>
      <c r="X3264" s="102">
        <f t="shared" si="2489"/>
        <v>0</v>
      </c>
      <c r="Y3264" s="120" t="b">
        <f t="shared" si="2490"/>
        <v>0</v>
      </c>
      <c r="Z3264" s="117">
        <f t="shared" si="2491"/>
        <v>0</v>
      </c>
      <c r="AA3264" s="118"/>
      <c r="AB3264" s="118" t="str">
        <f t="shared" si="2492"/>
        <v/>
      </c>
      <c r="AC3264" s="712" t="str">
        <f>IF(AE3264="T2G","no charge",IF(AND(OR(PlanterYesMe="No",PlanterYesMe="N",PlanterYesMe="me"),H3264=""),"",IF(H3264="credit","NO install",IF(AND(K3264="",AE3264="me"),"EACH row",IF(AND(K3264="images",AE3264="me"),"EACH row",IF(D3264="","",IF(H3264="credit","",IF(AE3264="free","re-planting",IF(AE3264="me","   not ELP, by",IF(AND(OR(PlanterYesMe="Yes",PlanterYesMe="Y"),G3264&gt;0),(VLOOKUP(A3264,'Discount Lookup'!J:K,2)*G3264*(1-PlanterDiscount)*(1+PlanterDifficultyPercentage)),IF(AE3264="ELP",(VLOOKUP(A3264,'Discount Lookup'!J:K,2)*G3264*(1-PlanterDiscount)*(1+PlanterDifficultyPercentage)),IF(AE3264="free","re-planting",IF(G3264=0,"",IF(PlanterYesMe="",IF(AE3264="me","   not ELP, by",IF(AE3264="",IF(G3264&gt;0,(VLOOKUP(A3264,'Discount Lookup'!J:K,2)*G3264*(1-PlanterDiscount)*(1+PlanterDifficultyPercentage)),""),"")),"   not ELP, by"))))))))))))))</f>
        <v/>
      </c>
      <c r="AD3264" s="712"/>
      <c r="AE3264" s="513" t="str">
        <f t="shared" si="2493"/>
        <v/>
      </c>
      <c r="AF3264" s="713" t="str">
        <f t="shared" si="2494"/>
        <v/>
      </c>
      <c r="AG3264" s="713"/>
      <c r="AH3264" s="713"/>
      <c r="AI3264" s="112">
        <f>IF(H3264="credit",0,IF(AE3264="free",0,IF(AE3264="me",0,IF(G3264&gt;0,(VLOOKUP(A3264,'Discount Lookup'!J:K,2)*G3264),0))))</f>
        <v>0</v>
      </c>
      <c r="AJ3264" s="107" t="str">
        <f t="shared" ca="1" si="2495"/>
        <v/>
      </c>
      <c r="AK3264" s="714" t="str">
        <f t="shared" si="2496"/>
        <v/>
      </c>
      <c r="AL3264" s="714"/>
      <c r="AM3264" s="114" t="str">
        <f t="shared" si="2497"/>
        <v/>
      </c>
      <c r="AN3264" s="115"/>
      <c r="AO3264" s="116"/>
      <c r="AP3264" s="116"/>
      <c r="AQ3264" s="116"/>
      <c r="AR3264" s="116"/>
      <c r="AS3264" s="116"/>
      <c r="AT3264" s="116"/>
      <c r="AU3264" s="116"/>
      <c r="AV3264" s="78"/>
      <c r="AW3264" s="102"/>
      <c r="AX3264" s="78"/>
      <c r="AY3264" s="78"/>
      <c r="AZ3264" s="78"/>
      <c r="BA3264" s="78"/>
      <c r="BB3264" s="78"/>
      <c r="BC3264" s="78"/>
      <c r="BD3264" s="78"/>
      <c r="BE3264" s="465"/>
      <c r="BF3264" s="165" t="str">
        <f t="shared" si="2498"/>
        <v>https://www.google.com/search?tbm=isch&amp;q=Dwarf%20Fountain%20has%20arching%20Creamy-Tan-Pinkish%20Bottlebrush%20plumes.%20Blades%20turn%20Yellow-Orange%20in%20fall%2C%20then%20Tan-Beige%20</v>
      </c>
      <c r="BG3264" s="165" t="str">
        <f t="shared" si="2499"/>
        <v>D</v>
      </c>
      <c r="BH3264" s="65"/>
      <c r="BI3264" s="65"/>
      <c r="BJ3264" s="65"/>
      <c r="BK3264" s="65"/>
      <c r="BL3264" s="99"/>
      <c r="BM3264" s="99"/>
      <c r="BN3264" s="99"/>
    </row>
    <row r="3265" spans="1:66" s="51" customFormat="1" ht="18" x14ac:dyDescent="0.25">
      <c r="A3265" s="623" t="s">
        <v>3777</v>
      </c>
      <c r="B3265" s="624"/>
      <c r="C3265" s="709"/>
      <c r="D3265" s="625" t="s">
        <v>3778</v>
      </c>
      <c r="E3265" s="626"/>
      <c r="F3265" s="626"/>
      <c r="G3265" s="626"/>
      <c r="H3265" s="622" t="s">
        <v>4894</v>
      </c>
      <c r="I3265" s="627" t="s">
        <v>3771</v>
      </c>
      <c r="J3265" s="628"/>
      <c r="K3265" s="628"/>
      <c r="L3265" s="629"/>
      <c r="M3265" s="700" t="s">
        <v>5241</v>
      </c>
      <c r="N3265" s="693" t="str">
        <f>IF(AND(ISTEXT($A3265), ISERROR($A3265+0)), HYPERLINK($BF3265, "Images"), "")</f>
        <v>Images</v>
      </c>
      <c r="O3265" s="695" t="s">
        <v>5244</v>
      </c>
      <c r="P3265" s="630"/>
      <c r="Q3265" s="631"/>
      <c r="R3265" s="632"/>
      <c r="S3265" s="633"/>
      <c r="T3265" s="102">
        <f t="shared" si="2487"/>
        <v>0</v>
      </c>
      <c r="U3265" s="78" t="str">
        <f>IF(NOT(ISNUMBER(G3265)), "", VLOOKUP(A3265,'Discount Lookup'!D:E,2,FALSE)*G3265)</f>
        <v/>
      </c>
      <c r="V3265" s="78" t="str">
        <f>IF(NOT(ISNUMBER(G3265)), "", VLOOKUP(A3265,'Discount Lookup'!G:H,2,FALSE)*G3265)</f>
        <v/>
      </c>
      <c r="W3265" s="102">
        <f t="shared" si="2488"/>
        <v>0</v>
      </c>
      <c r="X3265" s="102" t="str">
        <f t="shared" si="2489"/>
        <v>Green blades</v>
      </c>
      <c r="Y3265" s="120" t="b">
        <f t="shared" si="2490"/>
        <v>0</v>
      </c>
      <c r="Z3265" s="117">
        <f t="shared" si="2491"/>
        <v>0</v>
      </c>
      <c r="AA3265" s="118"/>
      <c r="AB3265" s="118" t="str">
        <f t="shared" si="2492"/>
        <v/>
      </c>
      <c r="AC3265" s="712" t="str">
        <f>IF(AE3265="T2G","no charge",IF(AND(OR(PlanterYesMe="No",PlanterYesMe="N",PlanterYesMe="me"),H3265=""),"",IF(H3265="credit","NO install",IF(AND(K3265="",AE3265="me"),"EACH row",IF(AND(K3265="images",AE3265="me"),"EACH row",IF(D3265="","",IF(H3265="credit","",IF(AE3265="free","re-planting",IF(AE3265="me","   not ELP, by",IF(AND(OR(PlanterYesMe="Yes",PlanterYesMe="Y"),G3265&gt;0),(VLOOKUP(A3265,'Discount Lookup'!J:K,2)*G3265*(1-PlanterDiscount)*(1+PlanterDifficultyPercentage)),IF(AE3265="ELP",(VLOOKUP(A3265,'Discount Lookup'!J:K,2)*G3265*(1-PlanterDiscount)*(1+PlanterDifficultyPercentage)),IF(AE3265="free","re-planting",IF(G3265=0,"",IF(PlanterYesMe="",IF(AE3265="me","   not ELP, by",IF(AE3265="",IF(G3265&gt;0,(VLOOKUP(A3265,'Discount Lookup'!J:K,2)*G3265*(1-PlanterDiscount)*(1+PlanterDifficultyPercentage)),""),"")),"   not ELP, by"))))))))))))))</f>
        <v/>
      </c>
      <c r="AD3265" s="712"/>
      <c r="AE3265" s="513" t="str">
        <f t="shared" si="2493"/>
        <v/>
      </c>
      <c r="AF3265" s="713" t="str">
        <f t="shared" si="2494"/>
        <v/>
      </c>
      <c r="AG3265" s="713"/>
      <c r="AH3265" s="713"/>
      <c r="AI3265" s="112">
        <f>IF(H3265="credit",0,IF(AE3265="free",0,IF(AE3265="me",0,IF(G3265&gt;0,(VLOOKUP(A3265,'Discount Lookup'!J:K,2)*G3265),0))))</f>
        <v>0</v>
      </c>
      <c r="AJ3265" s="107" t="str">
        <f t="shared" ca="1" si="2495"/>
        <v/>
      </c>
      <c r="AK3265" s="714" t="str">
        <f t="shared" si="2496"/>
        <v/>
      </c>
      <c r="AL3265" s="714"/>
      <c r="AM3265" s="114" t="str">
        <f t="shared" si="2497"/>
        <v/>
      </c>
      <c r="AN3265" s="115"/>
      <c r="AO3265" s="116"/>
      <c r="AP3265" s="116"/>
      <c r="AQ3265" s="116"/>
      <c r="AR3265" s="116"/>
      <c r="AS3265" s="116"/>
      <c r="AT3265" s="116"/>
      <c r="AU3265" s="116"/>
      <c r="AV3265" s="78"/>
      <c r="AW3265" s="102"/>
      <c r="AX3265" s="78"/>
      <c r="AY3265" s="78"/>
      <c r="AZ3265" s="78"/>
      <c r="BA3265" s="78"/>
      <c r="BB3265" s="78"/>
      <c r="BC3265" s="78"/>
      <c r="BD3265" s="78"/>
      <c r="BE3265" s="465"/>
      <c r="BF3265" s="165" t="str">
        <f t="shared" si="2498"/>
        <v>https://www.google.com/search?tbm=isch&amp;q=Pennisetum%20alopecuroides%20%27Little%20Bunny%27%20Little%20Bunny%20Fountain%20Grass</v>
      </c>
      <c r="BG3265" s="165" t="str">
        <f t="shared" si="2499"/>
        <v>P</v>
      </c>
      <c r="BH3265" s="65"/>
      <c r="BI3265" s="65"/>
      <c r="BJ3265" s="65"/>
      <c r="BK3265" s="65"/>
      <c r="BL3265" s="99"/>
      <c r="BM3265" s="99"/>
      <c r="BN3265" s="99"/>
    </row>
    <row r="3266" spans="1:66" s="51" customFormat="1" ht="15.75" x14ac:dyDescent="0.25">
      <c r="A3266" s="634">
        <v>1</v>
      </c>
      <c r="B3266" s="635" t="s">
        <v>291</v>
      </c>
      <c r="C3266" s="636"/>
      <c r="D3266" s="637" t="s">
        <v>329</v>
      </c>
      <c r="E3266" s="638">
        <v>13.95</v>
      </c>
      <c r="F3266" s="639" t="s">
        <v>292</v>
      </c>
      <c r="G3266" s="484">
        <v>0</v>
      </c>
      <c r="H3266" s="691" t="str">
        <f>IF(G3266=0,"",IF(F3266="Buy",IF(G3266=1,"plant","plants"),IF(F3266&gt;0.01,"warranty","Error")))</f>
        <v/>
      </c>
      <c r="I3266" s="640">
        <f>IF(H3266="free",0,IF(H3266="credit",((E3266*(F3266))*G3266*-1),IF(F3266="Buy",(E3266*G3266),((E3266*(1-F3266))*G3266))))</f>
        <v>0</v>
      </c>
      <c r="J3266" s="640">
        <f>IF(H3266="warranty",0,(I3266*(_xlfn.SINGLE(SalesTaxPercentage))))</f>
        <v>0</v>
      </c>
      <c r="K3266" s="716">
        <f t="shared" ref="K3266" si="2525">I3266+J3266</f>
        <v>0</v>
      </c>
      <c r="L3266" s="716"/>
      <c r="M3266" s="689" t="str">
        <f ca="1">IF(AND(G3266&gt;0,E3266=0),"WARNING - no PRICE inserted",IF(H3266="free","FREE ~ no charge this plant",IF(H3266="credit",CONCATENATE("-$",ROUND(K3266*(1-_xlfn.SINGLE(T2GDiscount))*-1,2)," CREDIT after discount"),IF(_xlfn.SINGLE(T2GDiscount)=0,"",IF(G3266=0,"",IF(F3266="Buy",CONCATENATE("$",ROUND(K3266*(1-_xlfn.SINGLE(T2GDiscount)),2)," with ",(_xlfn.SINGLE(T2GDiscount)*100),"% discount"),CONCATENATE("$",ROUND(K3266*(1-_xlfn.SINGLE(T2GDiscount)),2)," with ",((_xlfn.SINGLE(T2GDiscount)*100+F3266*100)-(_xlfn.SINGLE(T2GDiscount)*100*F3266)),IF(F3266&gt;0,"% discounts",IF(_xlfn.SINGLE(NoWarrantyDiscount)&gt;0,"% discounts","% discount")))))))))</f>
        <v/>
      </c>
      <c r="N3266" s="690"/>
      <c r="O3266" s="486"/>
      <c r="P3266" s="486"/>
      <c r="Q3266" s="486"/>
      <c r="R3266" s="486"/>
      <c r="S3266" s="486"/>
      <c r="T3266" s="102">
        <f t="shared" si="2487"/>
        <v>0</v>
      </c>
      <c r="U3266" s="78">
        <f>IF(NOT(ISNUMBER(G3266)), "", VLOOKUP(A3266,'Discount Lookup'!D:E,2,FALSE)*G3266)</f>
        <v>0</v>
      </c>
      <c r="V3266" s="78">
        <f>IF(NOT(ISNUMBER(G3266)), "", VLOOKUP(A3266,'Discount Lookup'!G:H,2,FALSE)*G3266)</f>
        <v>0</v>
      </c>
      <c r="W3266" s="102">
        <f t="shared" si="2488"/>
        <v>0</v>
      </c>
      <c r="X3266" s="102">
        <f t="shared" si="2489"/>
        <v>0</v>
      </c>
      <c r="Y3266" s="120" t="b">
        <f t="shared" si="2490"/>
        <v>0</v>
      </c>
      <c r="Z3266" s="117">
        <f t="shared" si="2491"/>
        <v>0</v>
      </c>
      <c r="AA3266" s="118"/>
      <c r="AB3266" s="118" t="str">
        <f t="shared" si="2492"/>
        <v/>
      </c>
      <c r="AC3266" s="712" t="str">
        <f>IF(AE3266="T2G","no charge",IF(AND(OR(PlanterYesMe="No",PlanterYesMe="N",PlanterYesMe="me"),H3266=""),"",IF(H3266="credit","NO install",IF(AND(K3266="",AE3266="me"),"EACH row",IF(AND(K3266="images",AE3266="me"),"EACH row",IF(D3266="","",IF(H3266="credit","",IF(AE3266="free","re-planting",IF(AE3266="me","   not ELP, by",IF(AND(OR(PlanterYesMe="Yes",PlanterYesMe="Y"),G3266&gt;0),(VLOOKUP(A3266,'Discount Lookup'!J:K,2)*G3266*(1-PlanterDiscount)*(1+PlanterDifficultyPercentage)),IF(AE3266="ELP",(VLOOKUP(A3266,'Discount Lookup'!J:K,2)*G3266*(1-PlanterDiscount)*(1+PlanterDifficultyPercentage)),IF(AE3266="free","re-planting",IF(G3266=0,"",IF(PlanterYesMe="",IF(AE3266="me","   not ELP, by",IF(AE3266="",IF(G3266&gt;0,(VLOOKUP(A3266,'Discount Lookup'!J:K,2)*G3266*(1-PlanterDiscount)*(1+PlanterDifficultyPercentage)),""),"")),"   not ELP, by"))))))))))))))</f>
        <v/>
      </c>
      <c r="AD3266" s="712"/>
      <c r="AE3266" s="513" t="str">
        <f t="shared" si="2493"/>
        <v/>
      </c>
      <c r="AF3266" s="713" t="str">
        <f t="shared" si="2494"/>
        <v/>
      </c>
      <c r="AG3266" s="713"/>
      <c r="AH3266" s="713"/>
      <c r="AI3266" s="112">
        <f>IF(H3266="credit",0,IF(AE3266="free",0,IF(AE3266="me",0,IF(G3266&gt;0,(VLOOKUP(A3266,'Discount Lookup'!J:K,2)*G3266),0))))</f>
        <v>0</v>
      </c>
      <c r="AJ3266" s="107" t="str">
        <f t="shared" ca="1" si="2495"/>
        <v/>
      </c>
      <c r="AK3266" s="714" t="str">
        <f t="shared" si="2496"/>
        <v/>
      </c>
      <c r="AL3266" s="714"/>
      <c r="AM3266" s="114" t="str">
        <f t="shared" si="2497"/>
        <v/>
      </c>
      <c r="AN3266" s="115"/>
      <c r="AO3266" s="116"/>
      <c r="AP3266" s="116"/>
      <c r="AQ3266" s="116"/>
      <c r="AR3266" s="116"/>
      <c r="AS3266" s="116"/>
      <c r="AT3266" s="116"/>
      <c r="AU3266" s="116"/>
      <c r="AV3266" s="78"/>
      <c r="AW3266" s="102"/>
      <c r="AX3266" s="78"/>
      <c r="AY3266" s="78"/>
      <c r="AZ3266" s="78"/>
      <c r="BA3266" s="78"/>
      <c r="BB3266" s="78"/>
      <c r="BC3266" s="78"/>
      <c r="BD3266" s="78"/>
      <c r="BE3266" s="465"/>
      <c r="BF3266" s="165" t="str">
        <f t="shared" si="2498"/>
        <v>https://www.google.com/search?tbm=isch&amp;q=1%20G2</v>
      </c>
      <c r="BG3266" s="165" t="str">
        <f t="shared" si="2499"/>
        <v>P</v>
      </c>
      <c r="BH3266" s="65"/>
      <c r="BI3266" s="65"/>
      <c r="BJ3266" s="65"/>
      <c r="BK3266" s="65"/>
      <c r="BL3266" s="99"/>
      <c r="BM3266" s="99"/>
      <c r="BN3266" s="99"/>
    </row>
    <row r="3267" spans="1:66" s="51" customFormat="1" ht="15.75" x14ac:dyDescent="0.25">
      <c r="A3267" s="634">
        <v>3</v>
      </c>
      <c r="B3267" s="635" t="s">
        <v>291</v>
      </c>
      <c r="C3267" s="636"/>
      <c r="D3267" s="637" t="s">
        <v>310</v>
      </c>
      <c r="E3267" s="638">
        <v>25.95</v>
      </c>
      <c r="F3267" s="639" t="s">
        <v>292</v>
      </c>
      <c r="G3267" s="484">
        <v>0</v>
      </c>
      <c r="H3267" s="691" t="str">
        <f>IF(G3267=0,"",IF(F3267="Buy",IF(G3267=1,"plant","plants"),IF(F3267&gt;0.01,"warranty","Error")))</f>
        <v/>
      </c>
      <c r="I3267" s="640">
        <f>IF(H3267="free",0,IF(H3267="credit",((E3267*(F3267))*G3267*-1),IF(F3267="Buy",(E3267*G3267),((E3267*(1-F3267))*G3267))))</f>
        <v>0</v>
      </c>
      <c r="J3267" s="640">
        <f>IF(H3267="warranty",0,(I3267*(_xlfn.SINGLE(SalesTaxPercentage))))</f>
        <v>0</v>
      </c>
      <c r="K3267" s="716">
        <f t="shared" ref="K3267" si="2526">I3267+J3267</f>
        <v>0</v>
      </c>
      <c r="L3267" s="716"/>
      <c r="M3267" s="689" t="str">
        <f ca="1">IF(AND(G3267&gt;0,E3267=0),"WARNING - no PRICE inserted",IF(H3267="free","FREE ~ no charge this plant",IF(H3267="credit",CONCATENATE("-$",ROUND(K3267*(1-_xlfn.SINGLE(T2GDiscount))*-1,2)," CREDIT after discount"),IF(_xlfn.SINGLE(T2GDiscount)=0,"",IF(G3267=0,"",IF(F3267="Buy",CONCATENATE("$",ROUND(K3267*(1-_xlfn.SINGLE(T2GDiscount)),2)," with ",(_xlfn.SINGLE(T2GDiscount)*100),"% discount"),CONCATENATE("$",ROUND(K3267*(1-_xlfn.SINGLE(T2GDiscount)),2)," with ",((_xlfn.SINGLE(T2GDiscount)*100+F3267*100)-(_xlfn.SINGLE(T2GDiscount)*100*F3267)),IF(F3267&gt;0,"% discounts",IF(_xlfn.SINGLE(NoWarrantyDiscount)&gt;0,"% discounts","% discount")))))))))</f>
        <v/>
      </c>
      <c r="N3267" s="690"/>
      <c r="O3267" s="486"/>
      <c r="P3267" s="486"/>
      <c r="Q3267" s="486"/>
      <c r="R3267" s="486"/>
      <c r="S3267" s="486"/>
      <c r="T3267" s="102">
        <f t="shared" si="2487"/>
        <v>0</v>
      </c>
      <c r="U3267" s="78">
        <f>IF(NOT(ISNUMBER(G3267)), "", VLOOKUP(A3267,'Discount Lookup'!D:E,2,FALSE)*G3267)</f>
        <v>0</v>
      </c>
      <c r="V3267" s="78">
        <f>IF(NOT(ISNUMBER(G3267)), "", VLOOKUP(A3267,'Discount Lookup'!G:H,2,FALSE)*G3267)</f>
        <v>0</v>
      </c>
      <c r="W3267" s="102">
        <f t="shared" si="2488"/>
        <v>0</v>
      </c>
      <c r="X3267" s="102">
        <f t="shared" si="2489"/>
        <v>0</v>
      </c>
      <c r="Y3267" s="120" t="b">
        <f t="shared" si="2490"/>
        <v>0</v>
      </c>
      <c r="Z3267" s="117">
        <f t="shared" si="2491"/>
        <v>0</v>
      </c>
      <c r="AA3267" s="118"/>
      <c r="AB3267" s="118" t="str">
        <f t="shared" si="2492"/>
        <v/>
      </c>
      <c r="AC3267" s="712" t="str">
        <f>IF(AE3267="T2G","no charge",IF(AND(OR(PlanterYesMe="No",PlanterYesMe="N",PlanterYesMe="me"),H3267=""),"",IF(H3267="credit","NO install",IF(AND(K3267="",AE3267="me"),"EACH row",IF(AND(K3267="images",AE3267="me"),"EACH row",IF(D3267="","",IF(H3267="credit","",IF(AE3267="free","re-planting",IF(AE3267="me","   not ELP, by",IF(AND(OR(PlanterYesMe="Yes",PlanterYesMe="Y"),G3267&gt;0),(VLOOKUP(A3267,'Discount Lookup'!J:K,2)*G3267*(1-PlanterDiscount)*(1+PlanterDifficultyPercentage)),IF(AE3267="ELP",(VLOOKUP(A3267,'Discount Lookup'!J:K,2)*G3267*(1-PlanterDiscount)*(1+PlanterDifficultyPercentage)),IF(AE3267="free","re-planting",IF(G3267=0,"",IF(PlanterYesMe="",IF(AE3267="me","   not ELP, by",IF(AE3267="",IF(G3267&gt;0,(VLOOKUP(A3267,'Discount Lookup'!J:K,2)*G3267*(1-PlanterDiscount)*(1+PlanterDifficultyPercentage)),""),"")),"   not ELP, by"))))))))))))))</f>
        <v/>
      </c>
      <c r="AD3267" s="712"/>
      <c r="AE3267" s="513" t="str">
        <f t="shared" si="2493"/>
        <v/>
      </c>
      <c r="AF3267" s="713" t="str">
        <f t="shared" si="2494"/>
        <v/>
      </c>
      <c r="AG3267" s="713"/>
      <c r="AH3267" s="713"/>
      <c r="AI3267" s="112">
        <f>IF(H3267="credit",0,IF(AE3267="free",0,IF(AE3267="me",0,IF(G3267&gt;0,(VLOOKUP(A3267,'Discount Lookup'!J:K,2)*G3267),0))))</f>
        <v>0</v>
      </c>
      <c r="AJ3267" s="107" t="str">
        <f t="shared" ca="1" si="2495"/>
        <v/>
      </c>
      <c r="AK3267" s="714" t="str">
        <f t="shared" si="2496"/>
        <v/>
      </c>
      <c r="AL3267" s="714"/>
      <c r="AM3267" s="114" t="str">
        <f t="shared" si="2497"/>
        <v/>
      </c>
      <c r="AN3267" s="115"/>
      <c r="AO3267" s="116"/>
      <c r="AP3267" s="116"/>
      <c r="AQ3267" s="116"/>
      <c r="AR3267" s="116"/>
      <c r="AS3267" s="116"/>
      <c r="AT3267" s="116"/>
      <c r="AU3267" s="116"/>
      <c r="AV3267" s="78"/>
      <c r="AW3267" s="102"/>
      <c r="AX3267" s="78"/>
      <c r="AY3267" s="78"/>
      <c r="AZ3267" s="78"/>
      <c r="BA3267" s="78"/>
      <c r="BB3267" s="78"/>
      <c r="BC3267" s="78"/>
      <c r="BD3267" s="78"/>
      <c r="BE3267" s="465"/>
      <c r="BF3267" s="165" t="str">
        <f t="shared" si="2498"/>
        <v>https://www.google.com/search?tbm=isch&amp;q=3%20G1</v>
      </c>
      <c r="BG3267" s="165" t="str">
        <f t="shared" si="2499"/>
        <v>P</v>
      </c>
      <c r="BH3267" s="65"/>
      <c r="BI3267" s="65"/>
      <c r="BJ3267" s="65"/>
      <c r="BK3267" s="65"/>
      <c r="BL3267" s="99"/>
      <c r="BM3267" s="99"/>
      <c r="BN3267" s="99"/>
    </row>
    <row r="3268" spans="1:66" s="51" customFormat="1" ht="17.25" thickBot="1" x14ac:dyDescent="0.3">
      <c r="A3268" s="641" t="s">
        <v>3779</v>
      </c>
      <c r="B3268" s="642"/>
      <c r="C3268" s="710"/>
      <c r="D3268" s="643"/>
      <c r="E3268" s="643"/>
      <c r="F3268" s="644"/>
      <c r="G3268" s="645"/>
      <c r="H3268" s="646"/>
      <c r="I3268" s="647"/>
      <c r="J3268" s="648"/>
      <c r="K3268" s="649"/>
      <c r="L3268" s="650"/>
      <c r="M3268" s="650"/>
      <c r="N3268" s="644"/>
      <c r="O3268" s="644"/>
      <c r="P3268" s="644"/>
      <c r="Q3268" s="644"/>
      <c r="R3268" s="644"/>
      <c r="S3268" s="701" t="s">
        <v>5298</v>
      </c>
      <c r="T3268" s="102">
        <f t="shared" si="2487"/>
        <v>0</v>
      </c>
      <c r="U3268" s="78" t="str">
        <f>IF(NOT(ISNUMBER(G3268)), "", VLOOKUP(A3268,'Discount Lookup'!D:E,2,FALSE)*G3268)</f>
        <v/>
      </c>
      <c r="V3268" s="78" t="str">
        <f>IF(NOT(ISNUMBER(G3268)), "", VLOOKUP(A3268,'Discount Lookup'!G:H,2,FALSE)*G3268)</f>
        <v/>
      </c>
      <c r="W3268" s="102">
        <f t="shared" si="2488"/>
        <v>0</v>
      </c>
      <c r="X3268" s="102">
        <f t="shared" si="2489"/>
        <v>0</v>
      </c>
      <c r="Y3268" s="120" t="b">
        <f t="shared" si="2490"/>
        <v>0</v>
      </c>
      <c r="Z3268" s="117">
        <f t="shared" si="2491"/>
        <v>0</v>
      </c>
      <c r="AA3268" s="118"/>
      <c r="AB3268" s="118" t="str">
        <f t="shared" si="2492"/>
        <v/>
      </c>
      <c r="AC3268" s="712" t="str">
        <f>IF(AE3268="T2G","no charge",IF(AND(OR(PlanterYesMe="No",PlanterYesMe="N",PlanterYesMe="me"),H3268=""),"",IF(H3268="credit","NO install",IF(AND(K3268="",AE3268="me"),"EACH row",IF(AND(K3268="images",AE3268="me"),"EACH row",IF(D3268="","",IF(H3268="credit","",IF(AE3268="free","re-planting",IF(AE3268="me","   not ELP, by",IF(AND(OR(PlanterYesMe="Yes",PlanterYesMe="Y"),G3268&gt;0),(VLOOKUP(A3268,'Discount Lookup'!J:K,2)*G3268*(1-PlanterDiscount)*(1+PlanterDifficultyPercentage)),IF(AE3268="ELP",(VLOOKUP(A3268,'Discount Lookup'!J:K,2)*G3268*(1-PlanterDiscount)*(1+PlanterDifficultyPercentage)),IF(AE3268="free","re-planting",IF(G3268=0,"",IF(PlanterYesMe="",IF(AE3268="me","   not ELP, by",IF(AE3268="",IF(G3268&gt;0,(VLOOKUP(A3268,'Discount Lookup'!J:K,2)*G3268*(1-PlanterDiscount)*(1+PlanterDifficultyPercentage)),""),"")),"   not ELP, by"))))))))))))))</f>
        <v/>
      </c>
      <c r="AD3268" s="712"/>
      <c r="AE3268" s="513" t="str">
        <f t="shared" si="2493"/>
        <v/>
      </c>
      <c r="AF3268" s="713" t="str">
        <f t="shared" si="2494"/>
        <v/>
      </c>
      <c r="AG3268" s="713"/>
      <c r="AH3268" s="713"/>
      <c r="AI3268" s="112">
        <f>IF(H3268="credit",0,IF(AE3268="free",0,IF(AE3268="me",0,IF(G3268&gt;0,(VLOOKUP(A3268,'Discount Lookup'!J:K,2)*G3268),0))))</f>
        <v>0</v>
      </c>
      <c r="AJ3268" s="107" t="str">
        <f t="shared" ca="1" si="2495"/>
        <v/>
      </c>
      <c r="AK3268" s="714" t="str">
        <f t="shared" si="2496"/>
        <v/>
      </c>
      <c r="AL3268" s="714"/>
      <c r="AM3268" s="114" t="str">
        <f t="shared" si="2497"/>
        <v/>
      </c>
      <c r="AN3268" s="115"/>
      <c r="AO3268" s="116"/>
      <c r="AP3268" s="116"/>
      <c r="AQ3268" s="116"/>
      <c r="AR3268" s="116"/>
      <c r="AS3268" s="116"/>
      <c r="AT3268" s="116"/>
      <c r="AU3268" s="116"/>
      <c r="AV3268" s="78"/>
      <c r="AW3268" s="102"/>
      <c r="AX3268" s="78"/>
      <c r="AY3268" s="78"/>
      <c r="AZ3268" s="78"/>
      <c r="BA3268" s="78"/>
      <c r="BB3268" s="78"/>
      <c r="BC3268" s="78"/>
      <c r="BD3268" s="78"/>
      <c r="BE3268" s="465"/>
      <c r="BF3268" s="165" t="str">
        <f t="shared" si="2498"/>
        <v>https://www.google.com/search?tbm=isch&amp;q=Little%20Bunny%20has%20early%2C%20fluffy%2C%20Pale%20White%20to%20Tan%20bottlebrush-like%20plumes.%20Blades%20turn%20Yellow-Orange%2C%20then%20Tan-Beige%20in%20winter%20</v>
      </c>
      <c r="BG3268" s="165" t="str">
        <f t="shared" si="2499"/>
        <v>L</v>
      </c>
      <c r="BH3268" s="65"/>
      <c r="BI3268" s="65"/>
      <c r="BJ3268" s="65"/>
      <c r="BK3268" s="65"/>
      <c r="BL3268" s="99"/>
      <c r="BM3268" s="99"/>
      <c r="BN3268" s="99"/>
    </row>
    <row r="3269" spans="1:66" s="51" customFormat="1" ht="18" x14ac:dyDescent="0.25">
      <c r="A3269" s="623" t="s">
        <v>5233</v>
      </c>
      <c r="B3269" s="624"/>
      <c r="C3269" s="709"/>
      <c r="D3269" s="625" t="s">
        <v>5234</v>
      </c>
      <c r="E3269" s="626"/>
      <c r="F3269" s="626"/>
      <c r="G3269" s="626"/>
      <c r="H3269" s="622" t="s">
        <v>1126</v>
      </c>
      <c r="I3269" s="627" t="s">
        <v>5235</v>
      </c>
      <c r="J3269" s="628"/>
      <c r="K3269" s="628"/>
      <c r="L3269" s="629"/>
      <c r="M3269" s="700" t="s">
        <v>5241</v>
      </c>
      <c r="N3269" s="693" t="str">
        <f>IF(AND(ISTEXT($A3269), ISERROR($A3269+0)), HYPERLINK($BF3269, "Images"), "")</f>
        <v>Images</v>
      </c>
      <c r="O3269" s="695" t="s">
        <v>5244</v>
      </c>
      <c r="P3269" s="630"/>
      <c r="Q3269" s="631"/>
      <c r="R3269" s="632"/>
      <c r="S3269" s="633"/>
      <c r="T3269" s="102">
        <f t="shared" si="2487"/>
        <v>0</v>
      </c>
      <c r="U3269" s="78" t="str">
        <f>IF(NOT(ISNUMBER(G3269)), "", VLOOKUP(A3269,'Discount Lookup'!D:E,2,FALSE)*G3269)</f>
        <v/>
      </c>
      <c r="V3269" s="78" t="str">
        <f>IF(NOT(ISNUMBER(G3269)), "", VLOOKUP(A3269,'Discount Lookup'!G:H,2,FALSE)*G3269)</f>
        <v/>
      </c>
      <c r="W3269" s="102">
        <f t="shared" si="2488"/>
        <v>0</v>
      </c>
      <c r="X3269" s="102" t="str">
        <f t="shared" si="2489"/>
        <v>Burgundy-Purple blades</v>
      </c>
      <c r="Y3269" s="120" t="b">
        <f t="shared" si="2490"/>
        <v>0</v>
      </c>
      <c r="Z3269" s="117">
        <f t="shared" si="2491"/>
        <v>0</v>
      </c>
      <c r="AA3269" s="118"/>
      <c r="AB3269" s="118" t="str">
        <f t="shared" si="2492"/>
        <v/>
      </c>
      <c r="AC3269" s="712" t="str">
        <f>IF(AE3269="T2G","no charge",IF(AND(OR(PlanterYesMe="No",PlanterYesMe="N",PlanterYesMe="me"),H3269=""),"",IF(H3269="credit","NO install",IF(AND(K3269="",AE3269="me"),"EACH row",IF(AND(K3269="images",AE3269="me"),"EACH row",IF(D3269="","",IF(H3269="credit","",IF(AE3269="free","re-planting",IF(AE3269="me","   not ELP, by",IF(AND(OR(PlanterYesMe="Yes",PlanterYesMe="Y"),G3269&gt;0),(VLOOKUP(A3269,'Discount Lookup'!J:K,2)*G3269*(1-PlanterDiscount)*(1+PlanterDifficultyPercentage)),IF(AE3269="ELP",(VLOOKUP(A3269,'Discount Lookup'!J:K,2)*G3269*(1-PlanterDiscount)*(1+PlanterDifficultyPercentage)),IF(AE3269="free","re-planting",IF(G3269=0,"",IF(PlanterYesMe="",IF(AE3269="me","   not ELP, by",IF(AE3269="",IF(G3269&gt;0,(VLOOKUP(A3269,'Discount Lookup'!J:K,2)*G3269*(1-PlanterDiscount)*(1+PlanterDifficultyPercentage)),""),"")),"   not ELP, by"))))))))))))))</f>
        <v/>
      </c>
      <c r="AD3269" s="712"/>
      <c r="AE3269" s="513" t="str">
        <f t="shared" si="2493"/>
        <v/>
      </c>
      <c r="AF3269" s="713" t="str">
        <f t="shared" si="2494"/>
        <v/>
      </c>
      <c r="AG3269" s="713"/>
      <c r="AH3269" s="713"/>
      <c r="AI3269" s="112">
        <f>IF(H3269="credit",0,IF(AE3269="free",0,IF(AE3269="me",0,IF(G3269&gt;0,(VLOOKUP(A3269,'Discount Lookup'!J:K,2)*G3269),0))))</f>
        <v>0</v>
      </c>
      <c r="AJ3269" s="107" t="str">
        <f t="shared" ca="1" si="2495"/>
        <v/>
      </c>
      <c r="AK3269" s="714" t="str">
        <f t="shared" si="2496"/>
        <v/>
      </c>
      <c r="AL3269" s="714"/>
      <c r="AM3269" s="114" t="str">
        <f t="shared" si="2497"/>
        <v/>
      </c>
      <c r="AN3269" s="115"/>
      <c r="AO3269" s="116"/>
      <c r="AP3269" s="116"/>
      <c r="AQ3269" s="116"/>
      <c r="AR3269" s="116"/>
      <c r="AS3269" s="116"/>
      <c r="AT3269" s="116"/>
      <c r="AU3269" s="116"/>
      <c r="AV3269" s="78"/>
      <c r="AW3269" s="102"/>
      <c r="AX3269" s="78"/>
      <c r="AY3269" s="78"/>
      <c r="AZ3269" s="78"/>
      <c r="BA3269" s="78"/>
      <c r="BB3269" s="78"/>
      <c r="BC3269" s="78"/>
      <c r="BD3269" s="78"/>
      <c r="BE3269" s="465"/>
      <c r="BF3269" s="165" t="str">
        <f t="shared" si="2498"/>
        <v>https://www.google.com/search?tbm=isch&amp;q=Pennisetum%20hybrid%20%27Regal%20Princess%27%20PP%2325517%20Regal%20Princess%20Purple%20Fountain%20Grass</v>
      </c>
      <c r="BG3269" s="165" t="str">
        <f t="shared" si="2499"/>
        <v>P</v>
      </c>
      <c r="BH3269" s="65"/>
      <c r="BI3269" s="65"/>
      <c r="BJ3269" s="65"/>
      <c r="BK3269" s="65"/>
      <c r="BL3269" s="99"/>
      <c r="BM3269" s="99"/>
      <c r="BN3269" s="99"/>
    </row>
    <row r="3270" spans="1:66" s="51" customFormat="1" ht="15.75" x14ac:dyDescent="0.25">
      <c r="A3270" s="634">
        <v>3</v>
      </c>
      <c r="B3270" s="635" t="s">
        <v>291</v>
      </c>
      <c r="C3270" s="636"/>
      <c r="D3270" s="637" t="s">
        <v>310</v>
      </c>
      <c r="E3270" s="638">
        <v>25.95</v>
      </c>
      <c r="F3270" s="639" t="s">
        <v>292</v>
      </c>
      <c r="G3270" s="484">
        <v>0</v>
      </c>
      <c r="H3270" s="691" t="str">
        <f>IF(G3270=0,"",IF(F3270="Buy",IF(G3270=1,"plant","plants"),IF(F3270&gt;0.01,"warranty","Error")))</f>
        <v/>
      </c>
      <c r="I3270" s="640">
        <f>IF(H3270="free",0,IF(H3270="credit",((E3270*(F3270))*G3270*-1),IF(F3270="Buy",(E3270*G3270),((E3270*(1-F3270))*G3270))))</f>
        <v>0</v>
      </c>
      <c r="J3270" s="640">
        <f>IF(H3270="warranty",0,(I3270*(_xlfn.SINGLE(SalesTaxPercentage))))</f>
        <v>0</v>
      </c>
      <c r="K3270" s="716">
        <f t="shared" ref="K3270" si="2527">I3270+J3270</f>
        <v>0</v>
      </c>
      <c r="L3270" s="716"/>
      <c r="M3270" s="689" t="str">
        <f ca="1">IF(AND(G3270&gt;0,E3270=0),"WARNING - no PRICE inserted",IF(H3270="free","FREE ~ no charge this plant",IF(H3270="credit",CONCATENATE("-$",ROUND(K3270*(1-_xlfn.SINGLE(T2GDiscount))*-1,2)," CREDIT after discount"),IF(_xlfn.SINGLE(T2GDiscount)=0,"",IF(G3270=0,"",IF(F3270="Buy",CONCATENATE("$",ROUND(K3270*(1-_xlfn.SINGLE(T2GDiscount)),2)," with ",(_xlfn.SINGLE(T2GDiscount)*100),"% discount"),CONCATENATE("$",ROUND(K3270*(1-_xlfn.SINGLE(T2GDiscount)),2)," with ",((_xlfn.SINGLE(T2GDiscount)*100+F3270*100)-(_xlfn.SINGLE(T2GDiscount)*100*F3270)),IF(F3270&gt;0,"% discounts",IF(_xlfn.SINGLE(NoWarrantyDiscount)&gt;0,"% discounts","% discount")))))))))</f>
        <v/>
      </c>
      <c r="N3270" s="690"/>
      <c r="O3270" s="486"/>
      <c r="P3270" s="486"/>
      <c r="Q3270" s="486"/>
      <c r="R3270" s="486"/>
      <c r="S3270" s="486"/>
      <c r="T3270" s="102">
        <f t="shared" si="2487"/>
        <v>0</v>
      </c>
      <c r="U3270" s="78">
        <f>IF(NOT(ISNUMBER(G3270)), "", VLOOKUP(A3270,'Discount Lookup'!D:E,2,FALSE)*G3270)</f>
        <v>0</v>
      </c>
      <c r="V3270" s="78">
        <f>IF(NOT(ISNUMBER(G3270)), "", VLOOKUP(A3270,'Discount Lookup'!G:H,2,FALSE)*G3270)</f>
        <v>0</v>
      </c>
      <c r="W3270" s="102">
        <f t="shared" si="2488"/>
        <v>0</v>
      </c>
      <c r="X3270" s="102">
        <f t="shared" si="2489"/>
        <v>0</v>
      </c>
      <c r="Y3270" s="120" t="b">
        <f t="shared" si="2490"/>
        <v>0</v>
      </c>
      <c r="Z3270" s="117">
        <f t="shared" si="2491"/>
        <v>0</v>
      </c>
      <c r="AA3270" s="118"/>
      <c r="AB3270" s="118" t="str">
        <f t="shared" si="2492"/>
        <v/>
      </c>
      <c r="AC3270" s="712" t="str">
        <f>IF(AE3270="T2G","no charge",IF(AND(OR(PlanterYesMe="No",PlanterYesMe="N",PlanterYesMe="me"),H3270=""),"",IF(H3270="credit","NO install",IF(AND(K3270="",AE3270="me"),"EACH row",IF(AND(K3270="images",AE3270="me"),"EACH row",IF(D3270="","",IF(H3270="credit","",IF(AE3270="free","re-planting",IF(AE3270="me","   not ELP, by",IF(AND(OR(PlanterYesMe="Yes",PlanterYesMe="Y"),G3270&gt;0),(VLOOKUP(A3270,'Discount Lookup'!J:K,2)*G3270*(1-PlanterDiscount)*(1+PlanterDifficultyPercentage)),IF(AE3270="ELP",(VLOOKUP(A3270,'Discount Lookup'!J:K,2)*G3270*(1-PlanterDiscount)*(1+PlanterDifficultyPercentage)),IF(AE3270="free","re-planting",IF(G3270=0,"",IF(PlanterYesMe="",IF(AE3270="me","   not ELP, by",IF(AE3270="",IF(G3270&gt;0,(VLOOKUP(A3270,'Discount Lookup'!J:K,2)*G3270*(1-PlanterDiscount)*(1+PlanterDifficultyPercentage)),""),"")),"   not ELP, by"))))))))))))))</f>
        <v/>
      </c>
      <c r="AD3270" s="712"/>
      <c r="AE3270" s="513" t="str">
        <f t="shared" si="2493"/>
        <v/>
      </c>
      <c r="AF3270" s="713" t="str">
        <f t="shared" si="2494"/>
        <v/>
      </c>
      <c r="AG3270" s="713"/>
      <c r="AH3270" s="713"/>
      <c r="AI3270" s="112">
        <f>IF(H3270="credit",0,IF(AE3270="free",0,IF(AE3270="me",0,IF(G3270&gt;0,(VLOOKUP(A3270,'Discount Lookup'!J:K,2)*G3270),0))))</f>
        <v>0</v>
      </c>
      <c r="AJ3270" s="107" t="str">
        <f t="shared" ca="1" si="2495"/>
        <v/>
      </c>
      <c r="AK3270" s="714" t="str">
        <f t="shared" si="2496"/>
        <v/>
      </c>
      <c r="AL3270" s="714"/>
      <c r="AM3270" s="114" t="str">
        <f t="shared" si="2497"/>
        <v/>
      </c>
      <c r="AN3270" s="115"/>
      <c r="AO3270" s="116"/>
      <c r="AP3270" s="116"/>
      <c r="AQ3270" s="116"/>
      <c r="AR3270" s="116"/>
      <c r="AS3270" s="116"/>
      <c r="AT3270" s="116"/>
      <c r="AU3270" s="116"/>
      <c r="AV3270" s="78"/>
      <c r="AW3270" s="102"/>
      <c r="AX3270" s="78"/>
      <c r="AY3270" s="78"/>
      <c r="AZ3270" s="78"/>
      <c r="BA3270" s="78"/>
      <c r="BB3270" s="78"/>
      <c r="BC3270" s="78"/>
      <c r="BD3270" s="78"/>
      <c r="BE3270" s="465"/>
      <c r="BF3270" s="165" t="str">
        <f t="shared" si="2498"/>
        <v>https://www.google.com/search?tbm=isch&amp;q=3%20G1</v>
      </c>
      <c r="BG3270" s="165" t="str">
        <f t="shared" si="2499"/>
        <v>P</v>
      </c>
      <c r="BH3270" s="65"/>
      <c r="BI3270" s="65"/>
      <c r="BJ3270" s="65"/>
      <c r="BK3270" s="65"/>
      <c r="BL3270" s="99"/>
      <c r="BM3270" s="99"/>
      <c r="BN3270" s="99"/>
    </row>
    <row r="3271" spans="1:66" s="51" customFormat="1" ht="17.25" thickBot="1" x14ac:dyDescent="0.3">
      <c r="A3271" s="641" t="s">
        <v>5236</v>
      </c>
      <c r="B3271" s="642"/>
      <c r="C3271" s="710"/>
      <c r="D3271" s="643"/>
      <c r="E3271" s="643"/>
      <c r="F3271" s="644"/>
      <c r="G3271" s="645"/>
      <c r="H3271" s="646"/>
      <c r="I3271" s="647"/>
      <c r="J3271" s="648"/>
      <c r="K3271" s="649"/>
      <c r="L3271" s="650"/>
      <c r="M3271" s="650"/>
      <c r="N3271" s="644"/>
      <c r="O3271" s="644"/>
      <c r="P3271" s="644"/>
      <c r="Q3271" s="644"/>
      <c r="R3271" s="644"/>
      <c r="S3271" s="701" t="s">
        <v>5298</v>
      </c>
      <c r="T3271" s="102">
        <f t="shared" si="2487"/>
        <v>0</v>
      </c>
      <c r="U3271" s="78" t="str">
        <f>IF(NOT(ISNUMBER(G3271)), "", VLOOKUP(A3271,'Discount Lookup'!D:E,2,FALSE)*G3271)</f>
        <v/>
      </c>
      <c r="V3271" s="78" t="str">
        <f>IF(NOT(ISNUMBER(G3271)), "", VLOOKUP(A3271,'Discount Lookup'!G:H,2,FALSE)*G3271)</f>
        <v/>
      </c>
      <c r="W3271" s="102">
        <f t="shared" si="2488"/>
        <v>0</v>
      </c>
      <c r="X3271" s="102">
        <f t="shared" si="2489"/>
        <v>0</v>
      </c>
      <c r="Y3271" s="120" t="b">
        <f t="shared" si="2490"/>
        <v>0</v>
      </c>
      <c r="Z3271" s="117">
        <f t="shared" si="2491"/>
        <v>0</v>
      </c>
      <c r="AA3271" s="118"/>
      <c r="AB3271" s="118" t="str">
        <f t="shared" si="2492"/>
        <v/>
      </c>
      <c r="AC3271" s="712" t="str">
        <f>IF(AE3271="T2G","no charge",IF(AND(OR(PlanterYesMe="No",PlanterYesMe="N",PlanterYesMe="me"),H3271=""),"",IF(H3271="credit","NO install",IF(AND(K3271="",AE3271="me"),"EACH row",IF(AND(K3271="images",AE3271="me"),"EACH row",IF(D3271="","",IF(H3271="credit","",IF(AE3271="free","re-planting",IF(AE3271="me","   not ELP, by",IF(AND(OR(PlanterYesMe="Yes",PlanterYesMe="Y"),G3271&gt;0),(VLOOKUP(A3271,'Discount Lookup'!J:K,2)*G3271*(1-PlanterDiscount)*(1+PlanterDifficultyPercentage)),IF(AE3271="ELP",(VLOOKUP(A3271,'Discount Lookup'!J:K,2)*G3271*(1-PlanterDiscount)*(1+PlanterDifficultyPercentage)),IF(AE3271="free","re-planting",IF(G3271=0,"",IF(PlanterYesMe="",IF(AE3271="me","   not ELP, by",IF(AE3271="",IF(G3271&gt;0,(VLOOKUP(A3271,'Discount Lookup'!J:K,2)*G3271*(1-PlanterDiscount)*(1+PlanterDifficultyPercentage)),""),"")),"   not ELP, by"))))))))))))))</f>
        <v/>
      </c>
      <c r="AD3271" s="712"/>
      <c r="AE3271" s="513" t="str">
        <f t="shared" si="2493"/>
        <v/>
      </c>
      <c r="AF3271" s="713" t="str">
        <f t="shared" si="2494"/>
        <v/>
      </c>
      <c r="AG3271" s="713"/>
      <c r="AH3271" s="713"/>
      <c r="AI3271" s="112">
        <f>IF(H3271="credit",0,IF(AE3271="free",0,IF(AE3271="me",0,IF(G3271&gt;0,(VLOOKUP(A3271,'Discount Lookup'!J:K,2)*G3271),0))))</f>
        <v>0</v>
      </c>
      <c r="AJ3271" s="107" t="str">
        <f t="shared" ca="1" si="2495"/>
        <v/>
      </c>
      <c r="AK3271" s="714" t="str">
        <f t="shared" si="2496"/>
        <v/>
      </c>
      <c r="AL3271" s="714"/>
      <c r="AM3271" s="114" t="str">
        <f t="shared" si="2497"/>
        <v/>
      </c>
      <c r="AN3271" s="115"/>
      <c r="AO3271" s="116"/>
      <c r="AP3271" s="116"/>
      <c r="AQ3271" s="116"/>
      <c r="AR3271" s="116"/>
      <c r="AS3271" s="116"/>
      <c r="AT3271" s="116"/>
      <c r="AU3271" s="116"/>
      <c r="AV3271" s="78"/>
      <c r="AW3271" s="102"/>
      <c r="AX3271" s="78"/>
      <c r="AY3271" s="78"/>
      <c r="AZ3271" s="78"/>
      <c r="BA3271" s="78"/>
      <c r="BB3271" s="78"/>
      <c r="BC3271" s="78"/>
      <c r="BD3271" s="78"/>
      <c r="BE3271" s="465"/>
      <c r="BF3271" s="165" t="str">
        <f t="shared" si="2498"/>
        <v>https://www.google.com/search?tbm=isch&amp;q=Regal%20Princess%20has%20infrequent%20Rosy-Purple%20bottlebrush%20plumes.%20Thrives%20in%20heat%20and%20sun.%20Blades%20maintain%20Dark%20Purple%20tones%20into%20fall%20before%20dying%20back%20</v>
      </c>
      <c r="BG3271" s="165" t="str">
        <f t="shared" si="2499"/>
        <v>R</v>
      </c>
      <c r="BH3271" s="65"/>
      <c r="BI3271" s="65"/>
      <c r="BJ3271" s="65"/>
      <c r="BK3271" s="65"/>
      <c r="BL3271" s="99"/>
      <c r="BM3271" s="99"/>
      <c r="BN3271" s="99"/>
    </row>
    <row r="3272" spans="1:66" s="51" customFormat="1" ht="18" x14ac:dyDescent="0.25">
      <c r="A3272" s="623" t="s">
        <v>3780</v>
      </c>
      <c r="B3272" s="624"/>
      <c r="C3272" s="709"/>
      <c r="D3272" s="625" t="s">
        <v>3781</v>
      </c>
      <c r="E3272" s="626"/>
      <c r="F3272" s="626"/>
      <c r="G3272" s="626"/>
      <c r="H3272" s="622" t="s">
        <v>1071</v>
      </c>
      <c r="I3272" s="627" t="s">
        <v>3771</v>
      </c>
      <c r="J3272" s="628"/>
      <c r="K3272" s="628"/>
      <c r="L3272" s="629"/>
      <c r="M3272" s="700" t="s">
        <v>5241</v>
      </c>
      <c r="N3272" s="693" t="str">
        <f>IF(AND(ISTEXT($A3272), ISERROR($A3272+0)), HYPERLINK($BF3272, "Images"), "")</f>
        <v>Images</v>
      </c>
      <c r="O3272" s="695" t="s">
        <v>5244</v>
      </c>
      <c r="P3272" s="630"/>
      <c r="Q3272" s="631"/>
      <c r="R3272" s="632"/>
      <c r="S3272" s="633"/>
      <c r="T3272" s="102">
        <f t="shared" si="2487"/>
        <v>0</v>
      </c>
      <c r="U3272" s="78" t="str">
        <f>IF(NOT(ISNUMBER(G3272)), "", VLOOKUP(A3272,'Discount Lookup'!D:E,2,FALSE)*G3272)</f>
        <v/>
      </c>
      <c r="V3272" s="78" t="str">
        <f>IF(NOT(ISNUMBER(G3272)), "", VLOOKUP(A3272,'Discount Lookup'!G:H,2,FALSE)*G3272)</f>
        <v/>
      </c>
      <c r="W3272" s="102">
        <f t="shared" si="2488"/>
        <v>0</v>
      </c>
      <c r="X3272" s="102" t="str">
        <f t="shared" si="2489"/>
        <v>Green blades</v>
      </c>
      <c r="Y3272" s="120" t="b">
        <f t="shared" si="2490"/>
        <v>0</v>
      </c>
      <c r="Z3272" s="117">
        <f t="shared" si="2491"/>
        <v>0</v>
      </c>
      <c r="AA3272" s="118"/>
      <c r="AB3272" s="118" t="str">
        <f t="shared" si="2492"/>
        <v/>
      </c>
      <c r="AC3272" s="712" t="str">
        <f>IF(AE3272="T2G","no charge",IF(AND(OR(PlanterYesMe="No",PlanterYesMe="N",PlanterYesMe="me"),H3272=""),"",IF(H3272="credit","NO install",IF(AND(K3272="",AE3272="me"),"EACH row",IF(AND(K3272="images",AE3272="me"),"EACH row",IF(D3272="","",IF(H3272="credit","",IF(AE3272="free","re-planting",IF(AE3272="me","   not ELP, by",IF(AND(OR(PlanterYesMe="Yes",PlanterYesMe="Y"),G3272&gt;0),(VLOOKUP(A3272,'Discount Lookup'!J:K,2)*G3272*(1-PlanterDiscount)*(1+PlanterDifficultyPercentage)),IF(AE3272="ELP",(VLOOKUP(A3272,'Discount Lookup'!J:K,2)*G3272*(1-PlanterDiscount)*(1+PlanterDifficultyPercentage)),IF(AE3272="free","re-planting",IF(G3272=0,"",IF(PlanterYesMe="",IF(AE3272="me","   not ELP, by",IF(AE3272="",IF(G3272&gt;0,(VLOOKUP(A3272,'Discount Lookup'!J:K,2)*G3272*(1-PlanterDiscount)*(1+PlanterDifficultyPercentage)),""),"")),"   not ELP, by"))))))))))))))</f>
        <v/>
      </c>
      <c r="AD3272" s="712"/>
      <c r="AE3272" s="513" t="str">
        <f t="shared" si="2493"/>
        <v/>
      </c>
      <c r="AF3272" s="713" t="str">
        <f t="shared" si="2494"/>
        <v/>
      </c>
      <c r="AG3272" s="713"/>
      <c r="AH3272" s="713"/>
      <c r="AI3272" s="112">
        <f>IF(H3272="credit",0,IF(AE3272="free",0,IF(AE3272="me",0,IF(G3272&gt;0,(VLOOKUP(A3272,'Discount Lookup'!J:K,2)*G3272),0))))</f>
        <v>0</v>
      </c>
      <c r="AJ3272" s="107" t="str">
        <f t="shared" ca="1" si="2495"/>
        <v/>
      </c>
      <c r="AK3272" s="714" t="str">
        <f t="shared" si="2496"/>
        <v/>
      </c>
      <c r="AL3272" s="714"/>
      <c r="AM3272" s="114" t="str">
        <f t="shared" si="2497"/>
        <v/>
      </c>
      <c r="AN3272" s="115"/>
      <c r="AO3272" s="116"/>
      <c r="AP3272" s="116"/>
      <c r="AQ3272" s="116"/>
      <c r="AR3272" s="116"/>
      <c r="AS3272" s="116"/>
      <c r="AT3272" s="116"/>
      <c r="AU3272" s="116"/>
      <c r="AV3272" s="78"/>
      <c r="AW3272" s="102"/>
      <c r="AX3272" s="78"/>
      <c r="AY3272" s="78"/>
      <c r="AZ3272" s="78"/>
      <c r="BA3272" s="78"/>
      <c r="BB3272" s="78"/>
      <c r="BC3272" s="78"/>
      <c r="BD3272" s="78"/>
      <c r="BE3272" s="465"/>
      <c r="BF3272" s="165" t="str">
        <f t="shared" si="2498"/>
        <v>https://www.google.com/search?tbm=isch&amp;q=Pennisetum%20orientale%20%27Karley%20Rose%27%20PP%2312909%20Karley%20Rose%20Fountain%20Grass</v>
      </c>
      <c r="BG3272" s="165" t="str">
        <f t="shared" si="2499"/>
        <v>P</v>
      </c>
      <c r="BH3272" s="65"/>
      <c r="BI3272" s="65"/>
      <c r="BJ3272" s="65"/>
      <c r="BK3272" s="65"/>
      <c r="BL3272" s="99"/>
      <c r="BM3272" s="99"/>
      <c r="BN3272" s="99"/>
    </row>
    <row r="3273" spans="1:66" s="51" customFormat="1" ht="15.75" x14ac:dyDescent="0.25">
      <c r="A3273" s="634">
        <v>3</v>
      </c>
      <c r="B3273" s="635" t="s">
        <v>291</v>
      </c>
      <c r="C3273" s="636" t="s">
        <v>1779</v>
      </c>
      <c r="D3273" s="637" t="s">
        <v>309</v>
      </c>
      <c r="E3273" s="638">
        <v>22.95</v>
      </c>
      <c r="F3273" s="639" t="s">
        <v>292</v>
      </c>
      <c r="G3273" s="484">
        <v>0</v>
      </c>
      <c r="H3273" s="691" t="str">
        <f>IF(G3273=0,"",IF(F3273="Buy",IF(G3273=1,"plant","plants"),IF(F3273&gt;0.01,"warranty","Error")))</f>
        <v/>
      </c>
      <c r="I3273" s="640">
        <f>IF(H3273="free",0,IF(H3273="credit",((E3273*(F3273))*G3273*-1),IF(F3273="Buy",(E3273*G3273),((E3273*(1-F3273))*G3273))))</f>
        <v>0</v>
      </c>
      <c r="J3273" s="640">
        <f>IF(H3273="warranty",0,(I3273*(_xlfn.SINGLE(SalesTaxPercentage))))</f>
        <v>0</v>
      </c>
      <c r="K3273" s="716">
        <f t="shared" ref="K3273" si="2528">I3273+J3273</f>
        <v>0</v>
      </c>
      <c r="L3273" s="716"/>
      <c r="M3273" s="689" t="str">
        <f ca="1">IF(AND(G3273&gt;0,E3273=0),"WARNING - no PRICE inserted",IF(H3273="free","FREE ~ no charge this plant",IF(H3273="credit",CONCATENATE("-$",ROUND(K3273*(1-_xlfn.SINGLE(T2GDiscount))*-1,2)," CREDIT after discount"),IF(_xlfn.SINGLE(T2GDiscount)=0,"",IF(G3273=0,"",IF(F3273="Buy",CONCATENATE("$",ROUND(K3273*(1-_xlfn.SINGLE(T2GDiscount)),2)," with ",(_xlfn.SINGLE(T2GDiscount)*100),"% discount"),CONCATENATE("$",ROUND(K3273*(1-_xlfn.SINGLE(T2GDiscount)),2)," with ",((_xlfn.SINGLE(T2GDiscount)*100+F3273*100)-(_xlfn.SINGLE(T2GDiscount)*100*F3273)),IF(F3273&gt;0,"% discounts",IF(_xlfn.SINGLE(NoWarrantyDiscount)&gt;0,"% discounts","% discount")))))))))</f>
        <v/>
      </c>
      <c r="N3273" s="690"/>
      <c r="O3273" s="486"/>
      <c r="P3273" s="486"/>
      <c r="Q3273" s="486"/>
      <c r="R3273" s="486"/>
      <c r="S3273" s="486"/>
      <c r="T3273" s="102">
        <f t="shared" si="2487"/>
        <v>0</v>
      </c>
      <c r="U3273" s="78">
        <f>IF(NOT(ISNUMBER(G3273)), "", VLOOKUP(A3273,'Discount Lookup'!D:E,2,FALSE)*G3273)</f>
        <v>0</v>
      </c>
      <c r="V3273" s="78">
        <f>IF(NOT(ISNUMBER(G3273)), "", VLOOKUP(A3273,'Discount Lookup'!G:H,2,FALSE)*G3273)</f>
        <v>0</v>
      </c>
      <c r="W3273" s="102">
        <f t="shared" si="2488"/>
        <v>0</v>
      </c>
      <c r="X3273" s="102">
        <f t="shared" si="2489"/>
        <v>0</v>
      </c>
      <c r="Y3273" s="120" t="b">
        <f t="shared" si="2490"/>
        <v>0</v>
      </c>
      <c r="Z3273" s="117">
        <f t="shared" si="2491"/>
        <v>0</v>
      </c>
      <c r="AA3273" s="118"/>
      <c r="AB3273" s="118" t="str">
        <f t="shared" si="2492"/>
        <v/>
      </c>
      <c r="AC3273" s="712" t="str">
        <f>IF(AE3273="T2G","no charge",IF(AND(OR(PlanterYesMe="No",PlanterYesMe="N",PlanterYesMe="me"),H3273=""),"",IF(H3273="credit","NO install",IF(AND(K3273="",AE3273="me"),"EACH row",IF(AND(K3273="images",AE3273="me"),"EACH row",IF(D3273="","",IF(H3273="credit","",IF(AE3273="free","re-planting",IF(AE3273="me","   not ELP, by",IF(AND(OR(PlanterYesMe="Yes",PlanterYesMe="Y"),G3273&gt;0),(VLOOKUP(A3273,'Discount Lookup'!J:K,2)*G3273*(1-PlanterDiscount)*(1+PlanterDifficultyPercentage)),IF(AE3273="ELP",(VLOOKUP(A3273,'Discount Lookup'!J:K,2)*G3273*(1-PlanterDiscount)*(1+PlanterDifficultyPercentage)),IF(AE3273="free","re-planting",IF(G3273=0,"",IF(PlanterYesMe="",IF(AE3273="me","   not ELP, by",IF(AE3273="",IF(G3273&gt;0,(VLOOKUP(A3273,'Discount Lookup'!J:K,2)*G3273*(1-PlanterDiscount)*(1+PlanterDifficultyPercentage)),""),"")),"   not ELP, by"))))))))))))))</f>
        <v/>
      </c>
      <c r="AD3273" s="712"/>
      <c r="AE3273" s="513" t="str">
        <f t="shared" si="2493"/>
        <v/>
      </c>
      <c r="AF3273" s="713" t="str">
        <f t="shared" si="2494"/>
        <v/>
      </c>
      <c r="AG3273" s="713"/>
      <c r="AH3273" s="713"/>
      <c r="AI3273" s="112">
        <f>IF(H3273="credit",0,IF(AE3273="free",0,IF(AE3273="me",0,IF(G3273&gt;0,(VLOOKUP(A3273,'Discount Lookup'!J:K,2)*G3273),0))))</f>
        <v>0</v>
      </c>
      <c r="AJ3273" s="107" t="str">
        <f t="shared" ca="1" si="2495"/>
        <v/>
      </c>
      <c r="AK3273" s="714" t="str">
        <f t="shared" si="2496"/>
        <v/>
      </c>
      <c r="AL3273" s="714"/>
      <c r="AM3273" s="114" t="str">
        <f t="shared" si="2497"/>
        <v/>
      </c>
      <c r="AN3273" s="115"/>
      <c r="AO3273" s="116"/>
      <c r="AP3273" s="116"/>
      <c r="AQ3273" s="116"/>
      <c r="AR3273" s="116"/>
      <c r="AS3273" s="116"/>
      <c r="AT3273" s="116"/>
      <c r="AU3273" s="116"/>
      <c r="AV3273" s="78"/>
      <c r="AW3273" s="102"/>
      <c r="AX3273" s="78"/>
      <c r="AY3273" s="78"/>
      <c r="AZ3273" s="78"/>
      <c r="BA3273" s="78"/>
      <c r="BB3273" s="78"/>
      <c r="BC3273" s="78"/>
      <c r="BD3273" s="78"/>
      <c r="BE3273" s="465"/>
      <c r="BF3273" s="165" t="str">
        <f t="shared" si="2498"/>
        <v>https://www.google.com/search?tbm=isch&amp;q=3%20G3</v>
      </c>
      <c r="BG3273" s="165" t="str">
        <f t="shared" si="2499"/>
        <v>P</v>
      </c>
      <c r="BH3273" s="65"/>
      <c r="BI3273" s="65"/>
      <c r="BJ3273" s="65"/>
      <c r="BK3273" s="65"/>
      <c r="BL3273" s="99"/>
      <c r="BM3273" s="99"/>
      <c r="BN3273" s="99"/>
    </row>
    <row r="3274" spans="1:66" s="51" customFormat="1" ht="15.75" x14ac:dyDescent="0.25">
      <c r="A3274" s="634">
        <v>3</v>
      </c>
      <c r="B3274" s="635" t="s">
        <v>291</v>
      </c>
      <c r="C3274" s="636"/>
      <c r="D3274" s="637" t="s">
        <v>310</v>
      </c>
      <c r="E3274" s="638">
        <v>25.95</v>
      </c>
      <c r="F3274" s="639" t="s">
        <v>292</v>
      </c>
      <c r="G3274" s="484">
        <v>0</v>
      </c>
      <c r="H3274" s="691" t="str">
        <f>IF(G3274=0,"",IF(F3274="Buy",IF(G3274=1,"plant","plants"),IF(F3274&gt;0.01,"warranty","Error")))</f>
        <v/>
      </c>
      <c r="I3274" s="640">
        <f>IF(H3274="free",0,IF(H3274="credit",((E3274*(F3274))*G3274*-1),IF(F3274="Buy",(E3274*G3274),((E3274*(1-F3274))*G3274))))</f>
        <v>0</v>
      </c>
      <c r="J3274" s="640">
        <f>IF(H3274="warranty",0,(I3274*(_xlfn.SINGLE(SalesTaxPercentage))))</f>
        <v>0</v>
      </c>
      <c r="K3274" s="716">
        <f t="shared" ref="K3274" si="2529">I3274+J3274</f>
        <v>0</v>
      </c>
      <c r="L3274" s="716"/>
      <c r="M3274" s="689" t="str">
        <f ca="1">IF(AND(G3274&gt;0,E3274=0),"WARNING - no PRICE inserted",IF(H3274="free","FREE ~ no charge this plant",IF(H3274="credit",CONCATENATE("-$",ROUND(K3274*(1-_xlfn.SINGLE(T2GDiscount))*-1,2)," CREDIT after discount"),IF(_xlfn.SINGLE(T2GDiscount)=0,"",IF(G3274=0,"",IF(F3274="Buy",CONCATENATE("$",ROUND(K3274*(1-_xlfn.SINGLE(T2GDiscount)),2)," with ",(_xlfn.SINGLE(T2GDiscount)*100),"% discount"),CONCATENATE("$",ROUND(K3274*(1-_xlfn.SINGLE(T2GDiscount)),2)," with ",((_xlfn.SINGLE(T2GDiscount)*100+F3274*100)-(_xlfn.SINGLE(T2GDiscount)*100*F3274)),IF(F3274&gt;0,"% discounts",IF(_xlfn.SINGLE(NoWarrantyDiscount)&gt;0,"% discounts","% discount")))))))))</f>
        <v/>
      </c>
      <c r="N3274" s="690"/>
      <c r="O3274" s="486"/>
      <c r="P3274" s="486"/>
      <c r="Q3274" s="486"/>
      <c r="R3274" s="486"/>
      <c r="S3274" s="486"/>
      <c r="T3274" s="102">
        <f t="shared" si="2487"/>
        <v>0</v>
      </c>
      <c r="U3274" s="78">
        <f>IF(NOT(ISNUMBER(G3274)), "", VLOOKUP(A3274,'Discount Lookup'!D:E,2,FALSE)*G3274)</f>
        <v>0</v>
      </c>
      <c r="V3274" s="78">
        <f>IF(NOT(ISNUMBER(G3274)), "", VLOOKUP(A3274,'Discount Lookup'!G:H,2,FALSE)*G3274)</f>
        <v>0</v>
      </c>
      <c r="W3274" s="102">
        <f t="shared" si="2488"/>
        <v>0</v>
      </c>
      <c r="X3274" s="102">
        <f t="shared" si="2489"/>
        <v>0</v>
      </c>
      <c r="Y3274" s="120" t="b">
        <f t="shared" si="2490"/>
        <v>0</v>
      </c>
      <c r="Z3274" s="117">
        <f t="shared" si="2491"/>
        <v>0</v>
      </c>
      <c r="AA3274" s="118"/>
      <c r="AB3274" s="118" t="str">
        <f t="shared" si="2492"/>
        <v/>
      </c>
      <c r="AC3274" s="712" t="str">
        <f>IF(AE3274="T2G","no charge",IF(AND(OR(PlanterYesMe="No",PlanterYesMe="N",PlanterYesMe="me"),H3274=""),"",IF(H3274="credit","NO install",IF(AND(K3274="",AE3274="me"),"EACH row",IF(AND(K3274="images",AE3274="me"),"EACH row",IF(D3274="","",IF(H3274="credit","",IF(AE3274="free","re-planting",IF(AE3274="me","   not ELP, by",IF(AND(OR(PlanterYesMe="Yes",PlanterYesMe="Y"),G3274&gt;0),(VLOOKUP(A3274,'Discount Lookup'!J:K,2)*G3274*(1-PlanterDiscount)*(1+PlanterDifficultyPercentage)),IF(AE3274="ELP",(VLOOKUP(A3274,'Discount Lookup'!J:K,2)*G3274*(1-PlanterDiscount)*(1+PlanterDifficultyPercentage)),IF(AE3274="free","re-planting",IF(G3274=0,"",IF(PlanterYesMe="",IF(AE3274="me","   not ELP, by",IF(AE3274="",IF(G3274&gt;0,(VLOOKUP(A3274,'Discount Lookup'!J:K,2)*G3274*(1-PlanterDiscount)*(1+PlanterDifficultyPercentage)),""),"")),"   not ELP, by"))))))))))))))</f>
        <v/>
      </c>
      <c r="AD3274" s="712"/>
      <c r="AE3274" s="513" t="str">
        <f t="shared" si="2493"/>
        <v/>
      </c>
      <c r="AF3274" s="713" t="str">
        <f t="shared" si="2494"/>
        <v/>
      </c>
      <c r="AG3274" s="713"/>
      <c r="AH3274" s="713"/>
      <c r="AI3274" s="112">
        <f>IF(H3274="credit",0,IF(AE3274="free",0,IF(AE3274="me",0,IF(G3274&gt;0,(VLOOKUP(A3274,'Discount Lookup'!J:K,2)*G3274),0))))</f>
        <v>0</v>
      </c>
      <c r="AJ3274" s="107" t="str">
        <f t="shared" ca="1" si="2495"/>
        <v/>
      </c>
      <c r="AK3274" s="714" t="str">
        <f t="shared" si="2496"/>
        <v/>
      </c>
      <c r="AL3274" s="714"/>
      <c r="AM3274" s="114" t="str">
        <f t="shared" si="2497"/>
        <v/>
      </c>
      <c r="AN3274" s="115"/>
      <c r="AO3274" s="116"/>
      <c r="AP3274" s="116"/>
      <c r="AQ3274" s="116"/>
      <c r="AR3274" s="116"/>
      <c r="AS3274" s="116"/>
      <c r="AT3274" s="116"/>
      <c r="AU3274" s="116"/>
      <c r="AV3274" s="78"/>
      <c r="AW3274" s="102"/>
      <c r="AX3274" s="78"/>
      <c r="AY3274" s="78"/>
      <c r="AZ3274" s="78"/>
      <c r="BA3274" s="78"/>
      <c r="BB3274" s="78"/>
      <c r="BC3274" s="78"/>
      <c r="BD3274" s="78"/>
      <c r="BE3274" s="465"/>
      <c r="BF3274" s="165" t="str">
        <f t="shared" si="2498"/>
        <v>https://www.google.com/search?tbm=isch&amp;q=3%20G1</v>
      </c>
      <c r="BG3274" s="165" t="str">
        <f t="shared" si="2499"/>
        <v>P</v>
      </c>
      <c r="BH3274" s="65"/>
      <c r="BI3274" s="65"/>
      <c r="BJ3274" s="65"/>
      <c r="BK3274" s="65"/>
      <c r="BL3274" s="99"/>
      <c r="BM3274" s="99"/>
      <c r="BN3274" s="99"/>
    </row>
    <row r="3275" spans="1:66" s="51" customFormat="1" ht="27" x14ac:dyDescent="0.25">
      <c r="A3275" s="634">
        <v>3</v>
      </c>
      <c r="B3275" s="635" t="s">
        <v>291</v>
      </c>
      <c r="C3275" s="636" t="s">
        <v>5003</v>
      </c>
      <c r="D3275" s="637" t="s">
        <v>293</v>
      </c>
      <c r="E3275" s="638">
        <v>30.95</v>
      </c>
      <c r="F3275" s="639" t="s">
        <v>292</v>
      </c>
      <c r="G3275" s="484">
        <v>0</v>
      </c>
      <c r="H3275" s="691" t="str">
        <f>IF(G3275=0,"",IF(F3275="Buy",IF(G3275=1,"plant","plants"),IF(F3275&gt;0.01,"warranty","Error")))</f>
        <v/>
      </c>
      <c r="I3275" s="640">
        <f>IF(H3275="free",0,IF(H3275="credit",((E3275*(F3275))*G3275*-1),IF(F3275="Buy",(E3275*G3275),((E3275*(1-F3275))*G3275))))</f>
        <v>0</v>
      </c>
      <c r="J3275" s="640">
        <f>IF(H3275="warranty",0,(I3275*(_xlfn.SINGLE(SalesTaxPercentage))))</f>
        <v>0</v>
      </c>
      <c r="K3275" s="716">
        <f t="shared" ref="K3275" si="2530">I3275+J3275</f>
        <v>0</v>
      </c>
      <c r="L3275" s="716"/>
      <c r="M3275" s="689" t="str">
        <f ca="1">IF(AND(G3275&gt;0,E3275=0),"WARNING - no PRICE inserted",IF(H3275="free","FREE ~ no charge this plant",IF(H3275="credit",CONCATENATE("-$",ROUND(K3275*(1-_xlfn.SINGLE(T2GDiscount))*-1,2)," CREDIT after discount"),IF(_xlfn.SINGLE(T2GDiscount)=0,"",IF(G3275=0,"",IF(F3275="Buy",CONCATENATE("$",ROUND(K3275*(1-_xlfn.SINGLE(T2GDiscount)),2)," with ",(_xlfn.SINGLE(T2GDiscount)*100),"% discount"),CONCATENATE("$",ROUND(K3275*(1-_xlfn.SINGLE(T2GDiscount)),2)," with ",((_xlfn.SINGLE(T2GDiscount)*100+F3275*100)-(_xlfn.SINGLE(T2GDiscount)*100*F3275)),IF(F3275&gt;0,"% discounts",IF(_xlfn.SINGLE(NoWarrantyDiscount)&gt;0,"% discounts","% discount")))))))))</f>
        <v/>
      </c>
      <c r="N3275" s="690"/>
      <c r="O3275" s="486"/>
      <c r="P3275" s="486"/>
      <c r="Q3275" s="486"/>
      <c r="R3275" s="486"/>
      <c r="S3275" s="486"/>
      <c r="T3275" s="102">
        <f t="shared" si="2487"/>
        <v>0</v>
      </c>
      <c r="U3275" s="78">
        <f>IF(NOT(ISNUMBER(G3275)), "", VLOOKUP(A3275,'Discount Lookup'!D:E,2,FALSE)*G3275)</f>
        <v>0</v>
      </c>
      <c r="V3275" s="78">
        <f>IF(NOT(ISNUMBER(G3275)), "", VLOOKUP(A3275,'Discount Lookup'!G:H,2,FALSE)*G3275)</f>
        <v>0</v>
      </c>
      <c r="W3275" s="102">
        <f t="shared" si="2488"/>
        <v>0</v>
      </c>
      <c r="X3275" s="102">
        <f t="shared" si="2489"/>
        <v>0</v>
      </c>
      <c r="Y3275" s="120" t="b">
        <f t="shared" si="2490"/>
        <v>0</v>
      </c>
      <c r="Z3275" s="117">
        <f t="shared" si="2491"/>
        <v>0</v>
      </c>
      <c r="AA3275" s="118"/>
      <c r="AB3275" s="118" t="str">
        <f t="shared" si="2492"/>
        <v/>
      </c>
      <c r="AC3275" s="712" t="str">
        <f>IF(AE3275="T2G","no charge",IF(AND(OR(PlanterYesMe="No",PlanterYesMe="N",PlanterYesMe="me"),H3275=""),"",IF(H3275="credit","NO install",IF(AND(K3275="",AE3275="me"),"EACH row",IF(AND(K3275="images",AE3275="me"),"EACH row",IF(D3275="","",IF(H3275="credit","",IF(AE3275="free","re-planting",IF(AE3275="me","   not ELP, by",IF(AND(OR(PlanterYesMe="Yes",PlanterYesMe="Y"),G3275&gt;0),(VLOOKUP(A3275,'Discount Lookup'!J:K,2)*G3275*(1-PlanterDiscount)*(1+PlanterDifficultyPercentage)),IF(AE3275="ELP",(VLOOKUP(A3275,'Discount Lookup'!J:K,2)*G3275*(1-PlanterDiscount)*(1+PlanterDifficultyPercentage)),IF(AE3275="free","re-planting",IF(G3275=0,"",IF(PlanterYesMe="",IF(AE3275="me","   not ELP, by",IF(AE3275="",IF(G3275&gt;0,(VLOOKUP(A3275,'Discount Lookup'!J:K,2)*G3275*(1-PlanterDiscount)*(1+PlanterDifficultyPercentage)),""),"")),"   not ELP, by"))))))))))))))</f>
        <v/>
      </c>
      <c r="AD3275" s="712"/>
      <c r="AE3275" s="513" t="str">
        <f t="shared" si="2493"/>
        <v/>
      </c>
      <c r="AF3275" s="713" t="str">
        <f t="shared" si="2494"/>
        <v/>
      </c>
      <c r="AG3275" s="713"/>
      <c r="AH3275" s="713"/>
      <c r="AI3275" s="112">
        <f>IF(H3275="credit",0,IF(AE3275="free",0,IF(AE3275="me",0,IF(G3275&gt;0,(VLOOKUP(A3275,'Discount Lookup'!J:K,2)*G3275),0))))</f>
        <v>0</v>
      </c>
      <c r="AJ3275" s="107" t="str">
        <f t="shared" ca="1" si="2495"/>
        <v/>
      </c>
      <c r="AK3275" s="714" t="str">
        <f t="shared" si="2496"/>
        <v/>
      </c>
      <c r="AL3275" s="714"/>
      <c r="AM3275" s="114" t="str">
        <f t="shared" si="2497"/>
        <v/>
      </c>
      <c r="AN3275" s="115"/>
      <c r="AO3275" s="116"/>
      <c r="AP3275" s="116"/>
      <c r="AQ3275" s="116"/>
      <c r="AR3275" s="116"/>
      <c r="AS3275" s="116"/>
      <c r="AT3275" s="116"/>
      <c r="AU3275" s="116"/>
      <c r="AV3275" s="78"/>
      <c r="AW3275" s="102"/>
      <c r="AX3275" s="78"/>
      <c r="AY3275" s="78"/>
      <c r="AZ3275" s="78"/>
      <c r="BA3275" s="78"/>
      <c r="BB3275" s="78"/>
      <c r="BC3275" s="78"/>
      <c r="BD3275" s="78"/>
      <c r="BE3275" s="465"/>
      <c r="BF3275" s="165" t="str">
        <f t="shared" si="2498"/>
        <v>https://www.google.com/search?tbm=isch&amp;q=3%20G6</v>
      </c>
      <c r="BG3275" s="165" t="str">
        <f t="shared" si="2499"/>
        <v>P</v>
      </c>
      <c r="BH3275" s="65"/>
      <c r="BI3275" s="65"/>
      <c r="BJ3275" s="65"/>
      <c r="BK3275" s="65"/>
      <c r="BL3275" s="99"/>
      <c r="BM3275" s="99"/>
      <c r="BN3275" s="99"/>
    </row>
    <row r="3276" spans="1:66" s="51" customFormat="1" ht="27" x14ac:dyDescent="0.25">
      <c r="A3276" s="634">
        <v>3</v>
      </c>
      <c r="B3276" s="635" t="s">
        <v>291</v>
      </c>
      <c r="C3276" s="636" t="s">
        <v>5003</v>
      </c>
      <c r="D3276" s="637" t="s">
        <v>293</v>
      </c>
      <c r="E3276" s="638">
        <v>30.95</v>
      </c>
      <c r="F3276" s="639" t="s">
        <v>292</v>
      </c>
      <c r="G3276" s="484">
        <v>0</v>
      </c>
      <c r="H3276" s="691" t="str">
        <f>IF(G3276=0,"",IF(F3276="Buy",IF(G3276=1,"plant","plants"),IF(F3276&gt;0.01,"warranty","Error")))</f>
        <v/>
      </c>
      <c r="I3276" s="640">
        <f>IF(H3276="free",0,IF(H3276="credit",((E3276*(F3276))*G3276*-1),IF(F3276="Buy",(E3276*G3276),((E3276*(1-F3276))*G3276))))</f>
        <v>0</v>
      </c>
      <c r="J3276" s="640">
        <f>IF(H3276="warranty",0,(I3276*(_xlfn.SINGLE(SalesTaxPercentage))))</f>
        <v>0</v>
      </c>
      <c r="K3276" s="716">
        <f t="shared" ref="K3276" si="2531">I3276+J3276</f>
        <v>0</v>
      </c>
      <c r="L3276" s="716"/>
      <c r="M3276" s="689" t="str">
        <f ca="1">IF(AND(G3276&gt;0,E3276=0),"WARNING - no PRICE inserted",IF(H3276="free","FREE ~ no charge this plant",IF(H3276="credit",CONCATENATE("-$",ROUND(K3276*(1-_xlfn.SINGLE(T2GDiscount))*-1,2)," CREDIT after discount"),IF(_xlfn.SINGLE(T2GDiscount)=0,"",IF(G3276=0,"",IF(F3276="Buy",CONCATENATE("$",ROUND(K3276*(1-_xlfn.SINGLE(T2GDiscount)),2)," with ",(_xlfn.SINGLE(T2GDiscount)*100),"% discount"),CONCATENATE("$",ROUND(K3276*(1-_xlfn.SINGLE(T2GDiscount)),2)," with ",((_xlfn.SINGLE(T2GDiscount)*100+F3276*100)-(_xlfn.SINGLE(T2GDiscount)*100*F3276)),IF(F3276&gt;0,"% discounts",IF(_xlfn.SINGLE(NoWarrantyDiscount)&gt;0,"% discounts","% discount")))))))))</f>
        <v/>
      </c>
      <c r="N3276" s="690"/>
      <c r="O3276" s="486"/>
      <c r="P3276" s="486"/>
      <c r="Q3276" s="486"/>
      <c r="R3276" s="486"/>
      <c r="S3276" s="486"/>
      <c r="T3276" s="102">
        <f t="shared" si="2487"/>
        <v>0</v>
      </c>
      <c r="U3276" s="78">
        <f>IF(NOT(ISNUMBER(G3276)), "", VLOOKUP(A3276,'Discount Lookup'!D:E,2,FALSE)*G3276)</f>
        <v>0</v>
      </c>
      <c r="V3276" s="78">
        <f>IF(NOT(ISNUMBER(G3276)), "", VLOOKUP(A3276,'Discount Lookup'!G:H,2,FALSE)*G3276)</f>
        <v>0</v>
      </c>
      <c r="W3276" s="102">
        <f t="shared" si="2488"/>
        <v>0</v>
      </c>
      <c r="X3276" s="102">
        <f t="shared" si="2489"/>
        <v>0</v>
      </c>
      <c r="Y3276" s="120" t="b">
        <f t="shared" si="2490"/>
        <v>0</v>
      </c>
      <c r="Z3276" s="117">
        <f t="shared" si="2491"/>
        <v>0</v>
      </c>
      <c r="AA3276" s="118"/>
      <c r="AB3276" s="118" t="str">
        <f t="shared" si="2492"/>
        <v/>
      </c>
      <c r="AC3276" s="712" t="str">
        <f>IF(AE3276="T2G","no charge",IF(AND(OR(PlanterYesMe="No",PlanterYesMe="N",PlanterYesMe="me"),H3276=""),"",IF(H3276="credit","NO install",IF(AND(K3276="",AE3276="me"),"EACH row",IF(AND(K3276="images",AE3276="me"),"EACH row",IF(D3276="","",IF(H3276="credit","",IF(AE3276="free","re-planting",IF(AE3276="me","   not ELP, by",IF(AND(OR(PlanterYesMe="Yes",PlanterYesMe="Y"),G3276&gt;0),(VLOOKUP(A3276,'Discount Lookup'!J:K,2)*G3276*(1-PlanterDiscount)*(1+PlanterDifficultyPercentage)),IF(AE3276="ELP",(VLOOKUP(A3276,'Discount Lookup'!J:K,2)*G3276*(1-PlanterDiscount)*(1+PlanterDifficultyPercentage)),IF(AE3276="free","re-planting",IF(G3276=0,"",IF(PlanterYesMe="",IF(AE3276="me","   not ELP, by",IF(AE3276="",IF(G3276&gt;0,(VLOOKUP(A3276,'Discount Lookup'!J:K,2)*G3276*(1-PlanterDiscount)*(1+PlanterDifficultyPercentage)),""),"")),"   not ELP, by"))))))))))))))</f>
        <v/>
      </c>
      <c r="AD3276" s="712"/>
      <c r="AE3276" s="513" t="str">
        <f t="shared" si="2493"/>
        <v/>
      </c>
      <c r="AF3276" s="713" t="str">
        <f t="shared" si="2494"/>
        <v/>
      </c>
      <c r="AG3276" s="713"/>
      <c r="AH3276" s="713"/>
      <c r="AI3276" s="112">
        <f>IF(H3276="credit",0,IF(AE3276="free",0,IF(AE3276="me",0,IF(G3276&gt;0,(VLOOKUP(A3276,'Discount Lookup'!J:K,2)*G3276),0))))</f>
        <v>0</v>
      </c>
      <c r="AJ3276" s="107" t="str">
        <f t="shared" ca="1" si="2495"/>
        <v/>
      </c>
      <c r="AK3276" s="714" t="str">
        <f t="shared" si="2496"/>
        <v/>
      </c>
      <c r="AL3276" s="714"/>
      <c r="AM3276" s="114" t="str">
        <f t="shared" si="2497"/>
        <v/>
      </c>
      <c r="AN3276" s="115"/>
      <c r="AO3276" s="116"/>
      <c r="AP3276" s="116"/>
      <c r="AQ3276" s="116"/>
      <c r="AR3276" s="116"/>
      <c r="AS3276" s="116"/>
      <c r="AT3276" s="116"/>
      <c r="AU3276" s="116"/>
      <c r="AV3276" s="78"/>
      <c r="AW3276" s="102"/>
      <c r="AX3276" s="78"/>
      <c r="AY3276" s="78"/>
      <c r="AZ3276" s="78"/>
      <c r="BA3276" s="78"/>
      <c r="BB3276" s="78"/>
      <c r="BC3276" s="78"/>
      <c r="BD3276" s="78"/>
      <c r="BE3276" s="465"/>
      <c r="BF3276" s="165" t="str">
        <f t="shared" si="2498"/>
        <v>https://www.google.com/search?tbm=isch&amp;q=3%20G6</v>
      </c>
      <c r="BG3276" s="165" t="str">
        <f t="shared" si="2499"/>
        <v>P</v>
      </c>
      <c r="BH3276" s="65"/>
      <c r="BI3276" s="65"/>
      <c r="BJ3276" s="65"/>
      <c r="BK3276" s="65"/>
      <c r="BL3276" s="99"/>
      <c r="BM3276" s="99"/>
      <c r="BN3276" s="99"/>
    </row>
    <row r="3277" spans="1:66" s="51" customFormat="1" ht="17.25" thickBot="1" x14ac:dyDescent="0.3">
      <c r="A3277" s="641" t="s">
        <v>3782</v>
      </c>
      <c r="B3277" s="642"/>
      <c r="C3277" s="710"/>
      <c r="D3277" s="643"/>
      <c r="E3277" s="643"/>
      <c r="F3277" s="644"/>
      <c r="G3277" s="645"/>
      <c r="H3277" s="646"/>
      <c r="I3277" s="647"/>
      <c r="J3277" s="648"/>
      <c r="K3277" s="649"/>
      <c r="L3277" s="650"/>
      <c r="M3277" s="650"/>
      <c r="N3277" s="644"/>
      <c r="O3277" s="644"/>
      <c r="P3277" s="644"/>
      <c r="Q3277" s="644"/>
      <c r="R3277" s="644"/>
      <c r="S3277" s="701" t="s">
        <v>5298</v>
      </c>
      <c r="T3277" s="102">
        <f t="shared" si="2487"/>
        <v>0</v>
      </c>
      <c r="U3277" s="78" t="str">
        <f>IF(NOT(ISNUMBER(G3277)), "", VLOOKUP(A3277,'Discount Lookup'!D:E,2,FALSE)*G3277)</f>
        <v/>
      </c>
      <c r="V3277" s="78" t="str">
        <f>IF(NOT(ISNUMBER(G3277)), "", VLOOKUP(A3277,'Discount Lookup'!G:H,2,FALSE)*G3277)</f>
        <v/>
      </c>
      <c r="W3277" s="102">
        <f t="shared" si="2488"/>
        <v>0</v>
      </c>
      <c r="X3277" s="102">
        <f t="shared" si="2489"/>
        <v>0</v>
      </c>
      <c r="Y3277" s="120" t="b">
        <f t="shared" si="2490"/>
        <v>0</v>
      </c>
      <c r="Z3277" s="117">
        <f t="shared" si="2491"/>
        <v>0</v>
      </c>
      <c r="AA3277" s="118"/>
      <c r="AB3277" s="118" t="str">
        <f t="shared" si="2492"/>
        <v/>
      </c>
      <c r="AC3277" s="712" t="str">
        <f>IF(AE3277="T2G","no charge",IF(AND(OR(PlanterYesMe="No",PlanterYesMe="N",PlanterYesMe="me"),H3277=""),"",IF(H3277="credit","NO install",IF(AND(K3277="",AE3277="me"),"EACH row",IF(AND(K3277="images",AE3277="me"),"EACH row",IF(D3277="","",IF(H3277="credit","",IF(AE3277="free","re-planting",IF(AE3277="me","   not ELP, by",IF(AND(OR(PlanterYesMe="Yes",PlanterYesMe="Y"),G3277&gt;0),(VLOOKUP(A3277,'Discount Lookup'!J:K,2)*G3277*(1-PlanterDiscount)*(1+PlanterDifficultyPercentage)),IF(AE3277="ELP",(VLOOKUP(A3277,'Discount Lookup'!J:K,2)*G3277*(1-PlanterDiscount)*(1+PlanterDifficultyPercentage)),IF(AE3277="free","re-planting",IF(G3277=0,"",IF(PlanterYesMe="",IF(AE3277="me","   not ELP, by",IF(AE3277="",IF(G3277&gt;0,(VLOOKUP(A3277,'Discount Lookup'!J:K,2)*G3277*(1-PlanterDiscount)*(1+PlanterDifficultyPercentage)),""),"")),"   not ELP, by"))))))))))))))</f>
        <v/>
      </c>
      <c r="AD3277" s="712"/>
      <c r="AE3277" s="513" t="str">
        <f t="shared" si="2493"/>
        <v/>
      </c>
      <c r="AF3277" s="713" t="str">
        <f t="shared" si="2494"/>
        <v/>
      </c>
      <c r="AG3277" s="713"/>
      <c r="AH3277" s="713"/>
      <c r="AI3277" s="112">
        <f>IF(H3277="credit",0,IF(AE3277="free",0,IF(AE3277="me",0,IF(G3277&gt;0,(VLOOKUP(A3277,'Discount Lookup'!J:K,2)*G3277),0))))</f>
        <v>0</v>
      </c>
      <c r="AJ3277" s="107" t="str">
        <f t="shared" ca="1" si="2495"/>
        <v/>
      </c>
      <c r="AK3277" s="714" t="str">
        <f t="shared" si="2496"/>
        <v/>
      </c>
      <c r="AL3277" s="714"/>
      <c r="AM3277" s="114" t="str">
        <f t="shared" si="2497"/>
        <v/>
      </c>
      <c r="AN3277" s="115"/>
      <c r="AO3277" s="116"/>
      <c r="AP3277" s="116"/>
      <c r="AQ3277" s="116"/>
      <c r="AR3277" s="116"/>
      <c r="AS3277" s="116"/>
      <c r="AT3277" s="116"/>
      <c r="AU3277" s="116"/>
      <c r="AV3277" s="78"/>
      <c r="AW3277" s="102"/>
      <c r="AX3277" s="78"/>
      <c r="AY3277" s="78"/>
      <c r="AZ3277" s="78"/>
      <c r="BA3277" s="78"/>
      <c r="BB3277" s="78"/>
      <c r="BC3277" s="78"/>
      <c r="BD3277" s="78"/>
      <c r="BE3277" s="465"/>
      <c r="BF3277" s="165" t="str">
        <f t="shared" si="2498"/>
        <v>https://www.google.com/search?tbm=isch&amp;q=Karley%20Rose%20known%20for%20it%27s%20stunning%20Rose-Pink%20plumes.%20Blades%20turns%20Yellow-Bronze%20in%20fall%2C%20then%20Tan-Beige%20for%20winter%20</v>
      </c>
      <c r="BG3277" s="165" t="str">
        <f t="shared" si="2499"/>
        <v>K</v>
      </c>
      <c r="BH3277" s="65"/>
      <c r="BI3277" s="65"/>
      <c r="BJ3277" s="65"/>
      <c r="BK3277" s="65"/>
      <c r="BL3277" s="99"/>
      <c r="BM3277" s="99"/>
      <c r="BN3277" s="99"/>
    </row>
    <row r="3278" spans="1:66" s="51" customFormat="1" ht="18" x14ac:dyDescent="0.25">
      <c r="A3278" s="623" t="s">
        <v>5004</v>
      </c>
      <c r="B3278" s="624"/>
      <c r="C3278" s="709"/>
      <c r="D3278" s="625" t="s">
        <v>5005</v>
      </c>
      <c r="E3278" s="626"/>
      <c r="F3278" s="626"/>
      <c r="G3278" s="626"/>
      <c r="H3278" s="622" t="s">
        <v>1270</v>
      </c>
      <c r="I3278" s="627" t="s">
        <v>5006</v>
      </c>
      <c r="J3278" s="628"/>
      <c r="K3278" s="628"/>
      <c r="L3278" s="629"/>
      <c r="M3278" s="700" t="s">
        <v>5241</v>
      </c>
      <c r="N3278" s="693" t="str">
        <f>IF(AND(ISTEXT($A3278), ISERROR($A3278+0)), HYPERLINK($BF3278, "Images"), "")</f>
        <v>Images</v>
      </c>
      <c r="O3278" s="695" t="s">
        <v>5244</v>
      </c>
      <c r="P3278" s="630"/>
      <c r="Q3278" s="631"/>
      <c r="R3278" s="632"/>
      <c r="S3278" s="633"/>
      <c r="T3278" s="102">
        <f t="shared" si="2487"/>
        <v>0</v>
      </c>
      <c r="U3278" s="78" t="str">
        <f>IF(NOT(ISNUMBER(G3278)), "", VLOOKUP(A3278,'Discount Lookup'!D:E,2,FALSE)*G3278)</f>
        <v/>
      </c>
      <c r="V3278" s="78" t="str">
        <f>IF(NOT(ISNUMBER(G3278)), "", VLOOKUP(A3278,'Discount Lookup'!G:H,2,FALSE)*G3278)</f>
        <v/>
      </c>
      <c r="W3278" s="102">
        <f t="shared" si="2488"/>
        <v>0</v>
      </c>
      <c r="X3278" s="102" t="str">
        <f t="shared" si="2489"/>
        <v>Purple-Maroon blades</v>
      </c>
      <c r="Y3278" s="120" t="b">
        <f t="shared" si="2490"/>
        <v>0</v>
      </c>
      <c r="Z3278" s="117">
        <f t="shared" si="2491"/>
        <v>0</v>
      </c>
      <c r="AA3278" s="118"/>
      <c r="AB3278" s="118" t="str">
        <f t="shared" si="2492"/>
        <v/>
      </c>
      <c r="AC3278" s="712" t="str">
        <f>IF(AE3278="T2G","no charge",IF(AND(OR(PlanterYesMe="No",PlanterYesMe="N",PlanterYesMe="me"),H3278=""),"",IF(H3278="credit","NO install",IF(AND(K3278="",AE3278="me"),"EACH row",IF(AND(K3278="images",AE3278="me"),"EACH row",IF(D3278="","",IF(H3278="credit","",IF(AE3278="free","re-planting",IF(AE3278="me","   not ELP, by",IF(AND(OR(PlanterYesMe="Yes",PlanterYesMe="Y"),G3278&gt;0),(VLOOKUP(A3278,'Discount Lookup'!J:K,2)*G3278*(1-PlanterDiscount)*(1+PlanterDifficultyPercentage)),IF(AE3278="ELP",(VLOOKUP(A3278,'Discount Lookup'!J:K,2)*G3278*(1-PlanterDiscount)*(1+PlanterDifficultyPercentage)),IF(AE3278="free","re-planting",IF(G3278=0,"",IF(PlanterYesMe="",IF(AE3278="me","   not ELP, by",IF(AE3278="",IF(G3278&gt;0,(VLOOKUP(A3278,'Discount Lookup'!J:K,2)*G3278*(1-PlanterDiscount)*(1+PlanterDifficultyPercentage)),""),"")),"   not ELP, by"))))))))))))))</f>
        <v/>
      </c>
      <c r="AD3278" s="712"/>
      <c r="AE3278" s="513" t="str">
        <f t="shared" si="2493"/>
        <v/>
      </c>
      <c r="AF3278" s="713" t="str">
        <f t="shared" si="2494"/>
        <v/>
      </c>
      <c r="AG3278" s="713"/>
      <c r="AH3278" s="713"/>
      <c r="AI3278" s="112">
        <f>IF(H3278="credit",0,IF(AE3278="free",0,IF(AE3278="me",0,IF(G3278&gt;0,(VLOOKUP(A3278,'Discount Lookup'!J:K,2)*G3278),0))))</f>
        <v>0</v>
      </c>
      <c r="AJ3278" s="107" t="str">
        <f t="shared" ca="1" si="2495"/>
        <v/>
      </c>
      <c r="AK3278" s="714" t="str">
        <f t="shared" si="2496"/>
        <v/>
      </c>
      <c r="AL3278" s="714"/>
      <c r="AM3278" s="114" t="str">
        <f t="shared" si="2497"/>
        <v/>
      </c>
      <c r="AN3278" s="115"/>
      <c r="AO3278" s="116"/>
      <c r="AP3278" s="116"/>
      <c r="AQ3278" s="116"/>
      <c r="AR3278" s="116"/>
      <c r="AS3278" s="116"/>
      <c r="AT3278" s="116"/>
      <c r="AU3278" s="116"/>
      <c r="AV3278" s="78"/>
      <c r="AW3278" s="102"/>
      <c r="AX3278" s="78"/>
      <c r="AY3278" s="78"/>
      <c r="AZ3278" s="78"/>
      <c r="BA3278" s="78"/>
      <c r="BB3278" s="78"/>
      <c r="BC3278" s="78"/>
      <c r="BD3278" s="78"/>
      <c r="BE3278" s="465"/>
      <c r="BF3278" s="165" t="str">
        <f t="shared" si="2498"/>
        <v>https://www.google.com/search?tbm=isch&amp;q=Pennisetum%20purpureum%20%27Princesss%20Caroline%27%20PP%2321464%20Princess%20Carolina%20Purple%20Fountain%20Grass</v>
      </c>
      <c r="BG3278" s="165" t="str">
        <f t="shared" si="2499"/>
        <v>P</v>
      </c>
      <c r="BH3278" s="65"/>
      <c r="BI3278" s="65"/>
      <c r="BJ3278" s="65"/>
      <c r="BK3278" s="65"/>
      <c r="BL3278" s="99"/>
      <c r="BM3278" s="99"/>
      <c r="BN3278" s="99"/>
    </row>
    <row r="3279" spans="1:66" s="51" customFormat="1" ht="15.75" x14ac:dyDescent="0.25">
      <c r="A3279" s="634">
        <v>3</v>
      </c>
      <c r="B3279" s="635" t="s">
        <v>291</v>
      </c>
      <c r="C3279" s="636"/>
      <c r="D3279" s="637" t="s">
        <v>329</v>
      </c>
      <c r="E3279" s="638">
        <v>24.95</v>
      </c>
      <c r="F3279" s="639" t="s">
        <v>292</v>
      </c>
      <c r="G3279" s="484">
        <v>0</v>
      </c>
      <c r="H3279" s="691" t="str">
        <f>IF(G3279=0,"",IF(F3279="Buy",IF(G3279=1,"plant","plants"),IF(F3279&gt;0.01,"warranty","Error")))</f>
        <v/>
      </c>
      <c r="I3279" s="640">
        <f>IF(H3279="free",0,IF(H3279="credit",((E3279*(F3279))*G3279*-1),IF(F3279="Buy",(E3279*G3279),((E3279*(1-F3279))*G3279))))</f>
        <v>0</v>
      </c>
      <c r="J3279" s="640">
        <f>IF(H3279="warranty",0,(I3279*(_xlfn.SINGLE(SalesTaxPercentage))))</f>
        <v>0</v>
      </c>
      <c r="K3279" s="716">
        <f t="shared" ref="K3279" si="2532">I3279+J3279</f>
        <v>0</v>
      </c>
      <c r="L3279" s="716"/>
      <c r="M3279" s="689" t="str">
        <f ca="1">IF(AND(G3279&gt;0,E3279=0),"WARNING - no PRICE inserted",IF(H3279="free","FREE ~ no charge this plant",IF(H3279="credit",CONCATENATE("-$",ROUND(K3279*(1-_xlfn.SINGLE(T2GDiscount))*-1,2)," CREDIT after discount"),IF(_xlfn.SINGLE(T2GDiscount)=0,"",IF(G3279=0,"",IF(F3279="Buy",CONCATENATE("$",ROUND(K3279*(1-_xlfn.SINGLE(T2GDiscount)),2)," with ",(_xlfn.SINGLE(T2GDiscount)*100),"% discount"),CONCATENATE("$",ROUND(K3279*(1-_xlfn.SINGLE(T2GDiscount)),2)," with ",((_xlfn.SINGLE(T2GDiscount)*100+F3279*100)-(_xlfn.SINGLE(T2GDiscount)*100*F3279)),IF(F3279&gt;0,"% discounts",IF(_xlfn.SINGLE(NoWarrantyDiscount)&gt;0,"% discounts","% discount")))))))))</f>
        <v/>
      </c>
      <c r="N3279" s="690"/>
      <c r="O3279" s="486"/>
      <c r="P3279" s="486"/>
      <c r="Q3279" s="486"/>
      <c r="R3279" s="486"/>
      <c r="S3279" s="486"/>
      <c r="T3279" s="102">
        <f t="shared" si="2487"/>
        <v>0</v>
      </c>
      <c r="U3279" s="78">
        <f>IF(NOT(ISNUMBER(G3279)), "", VLOOKUP(A3279,'Discount Lookup'!D:E,2,FALSE)*G3279)</f>
        <v>0</v>
      </c>
      <c r="V3279" s="78">
        <f>IF(NOT(ISNUMBER(G3279)), "", VLOOKUP(A3279,'Discount Lookup'!G:H,2,FALSE)*G3279)</f>
        <v>0</v>
      </c>
      <c r="W3279" s="102">
        <f t="shared" si="2488"/>
        <v>0</v>
      </c>
      <c r="X3279" s="102">
        <f t="shared" si="2489"/>
        <v>0</v>
      </c>
      <c r="Y3279" s="120" t="b">
        <f t="shared" si="2490"/>
        <v>0</v>
      </c>
      <c r="Z3279" s="117">
        <f t="shared" si="2491"/>
        <v>0</v>
      </c>
      <c r="AA3279" s="118"/>
      <c r="AB3279" s="118" t="str">
        <f t="shared" si="2492"/>
        <v/>
      </c>
      <c r="AC3279" s="712" t="str">
        <f>IF(AE3279="T2G","no charge",IF(AND(OR(PlanterYesMe="No",PlanterYesMe="N",PlanterYesMe="me"),H3279=""),"",IF(H3279="credit","NO install",IF(AND(K3279="",AE3279="me"),"EACH row",IF(AND(K3279="images",AE3279="me"),"EACH row",IF(D3279="","",IF(H3279="credit","",IF(AE3279="free","re-planting",IF(AE3279="me","   not ELP, by",IF(AND(OR(PlanterYesMe="Yes",PlanterYesMe="Y"),G3279&gt;0),(VLOOKUP(A3279,'Discount Lookup'!J:K,2)*G3279*(1-PlanterDiscount)*(1+PlanterDifficultyPercentage)),IF(AE3279="ELP",(VLOOKUP(A3279,'Discount Lookup'!J:K,2)*G3279*(1-PlanterDiscount)*(1+PlanterDifficultyPercentage)),IF(AE3279="free","re-planting",IF(G3279=0,"",IF(PlanterYesMe="",IF(AE3279="me","   not ELP, by",IF(AE3279="",IF(G3279&gt;0,(VLOOKUP(A3279,'Discount Lookup'!J:K,2)*G3279*(1-PlanterDiscount)*(1+PlanterDifficultyPercentage)),""),"")),"   not ELP, by"))))))))))))))</f>
        <v/>
      </c>
      <c r="AD3279" s="712"/>
      <c r="AE3279" s="513" t="str">
        <f t="shared" si="2493"/>
        <v/>
      </c>
      <c r="AF3279" s="713" t="str">
        <f t="shared" si="2494"/>
        <v/>
      </c>
      <c r="AG3279" s="713"/>
      <c r="AH3279" s="713"/>
      <c r="AI3279" s="112">
        <f>IF(H3279="credit",0,IF(AE3279="free",0,IF(AE3279="me",0,IF(G3279&gt;0,(VLOOKUP(A3279,'Discount Lookup'!J:K,2)*G3279),0))))</f>
        <v>0</v>
      </c>
      <c r="AJ3279" s="107" t="str">
        <f t="shared" ca="1" si="2495"/>
        <v/>
      </c>
      <c r="AK3279" s="714" t="str">
        <f t="shared" si="2496"/>
        <v/>
      </c>
      <c r="AL3279" s="714"/>
      <c r="AM3279" s="114" t="str">
        <f t="shared" si="2497"/>
        <v/>
      </c>
      <c r="AN3279" s="115"/>
      <c r="AO3279" s="116"/>
      <c r="AP3279" s="116"/>
      <c r="AQ3279" s="116"/>
      <c r="AR3279" s="116"/>
      <c r="AS3279" s="116"/>
      <c r="AT3279" s="116"/>
      <c r="AU3279" s="116"/>
      <c r="AV3279" s="78"/>
      <c r="AW3279" s="102"/>
      <c r="AX3279" s="78"/>
      <c r="AY3279" s="78"/>
      <c r="AZ3279" s="78"/>
      <c r="BA3279" s="78"/>
      <c r="BB3279" s="78"/>
      <c r="BC3279" s="78"/>
      <c r="BD3279" s="78"/>
      <c r="BE3279" s="465"/>
      <c r="BF3279" s="165" t="str">
        <f t="shared" si="2498"/>
        <v>https://www.google.com/search?tbm=isch&amp;q=3%20G2</v>
      </c>
      <c r="BG3279" s="165" t="str">
        <f t="shared" si="2499"/>
        <v>P</v>
      </c>
      <c r="BH3279" s="65"/>
      <c r="BI3279" s="65"/>
      <c r="BJ3279" s="65"/>
      <c r="BK3279" s="65"/>
      <c r="BL3279" s="99"/>
      <c r="BM3279" s="99"/>
      <c r="BN3279" s="99"/>
    </row>
    <row r="3280" spans="1:66" s="51" customFormat="1" ht="16.5" x14ac:dyDescent="0.25">
      <c r="A3280" s="641" t="s">
        <v>5007</v>
      </c>
      <c r="B3280" s="642"/>
      <c r="C3280" s="710"/>
      <c r="D3280" s="643"/>
      <c r="E3280" s="643"/>
      <c r="F3280" s="644"/>
      <c r="G3280" s="645"/>
      <c r="H3280" s="646"/>
      <c r="I3280" s="647"/>
      <c r="J3280" s="648"/>
      <c r="K3280" s="649"/>
      <c r="L3280" s="650"/>
      <c r="M3280" s="650"/>
      <c r="N3280" s="644"/>
      <c r="O3280" s="644"/>
      <c r="P3280" s="644"/>
      <c r="Q3280" s="644"/>
      <c r="R3280" s="644"/>
      <c r="S3280" s="701" t="s">
        <v>5298</v>
      </c>
      <c r="T3280" s="102">
        <f t="shared" si="2487"/>
        <v>0</v>
      </c>
      <c r="U3280" s="78" t="str">
        <f>IF(NOT(ISNUMBER(G3280)), "", VLOOKUP(A3280,'Discount Lookup'!D:E,2,FALSE)*G3280)</f>
        <v/>
      </c>
      <c r="V3280" s="78" t="str">
        <f>IF(NOT(ISNUMBER(G3280)), "", VLOOKUP(A3280,'Discount Lookup'!G:H,2,FALSE)*G3280)</f>
        <v/>
      </c>
      <c r="W3280" s="102">
        <f t="shared" si="2488"/>
        <v>0</v>
      </c>
      <c r="X3280" s="102">
        <f t="shared" si="2489"/>
        <v>0</v>
      </c>
      <c r="Y3280" s="120" t="b">
        <f t="shared" si="2490"/>
        <v>0</v>
      </c>
      <c r="Z3280" s="117">
        <f t="shared" si="2491"/>
        <v>0</v>
      </c>
      <c r="AA3280" s="118"/>
      <c r="AB3280" s="118" t="str">
        <f t="shared" si="2492"/>
        <v/>
      </c>
      <c r="AC3280" s="712" t="str">
        <f>IF(AE3280="T2G","no charge",IF(AND(OR(PlanterYesMe="No",PlanterYesMe="N",PlanterYesMe="me"),H3280=""),"",IF(H3280="credit","NO install",IF(AND(K3280="",AE3280="me"),"EACH row",IF(AND(K3280="images",AE3280="me"),"EACH row",IF(D3280="","",IF(H3280="credit","",IF(AE3280="free","re-planting",IF(AE3280="me","   not ELP, by",IF(AND(OR(PlanterYesMe="Yes",PlanterYesMe="Y"),G3280&gt;0),(VLOOKUP(A3280,'Discount Lookup'!J:K,2)*G3280*(1-PlanterDiscount)*(1+PlanterDifficultyPercentage)),IF(AE3280="ELP",(VLOOKUP(A3280,'Discount Lookup'!J:K,2)*G3280*(1-PlanterDiscount)*(1+PlanterDifficultyPercentage)),IF(AE3280="free","re-planting",IF(G3280=0,"",IF(PlanterYesMe="",IF(AE3280="me","   not ELP, by",IF(AE3280="",IF(G3280&gt;0,(VLOOKUP(A3280,'Discount Lookup'!J:K,2)*G3280*(1-PlanterDiscount)*(1+PlanterDifficultyPercentage)),""),"")),"   not ELP, by"))))))))))))))</f>
        <v/>
      </c>
      <c r="AD3280" s="712"/>
      <c r="AE3280" s="513" t="str">
        <f t="shared" si="2493"/>
        <v/>
      </c>
      <c r="AF3280" s="713" t="str">
        <f t="shared" si="2494"/>
        <v/>
      </c>
      <c r="AG3280" s="713"/>
      <c r="AH3280" s="713"/>
      <c r="AI3280" s="112">
        <f>IF(H3280="credit",0,IF(AE3280="free",0,IF(AE3280="me",0,IF(G3280&gt;0,(VLOOKUP(A3280,'Discount Lookup'!J:K,2)*G3280),0))))</f>
        <v>0</v>
      </c>
      <c r="AJ3280" s="107" t="str">
        <f t="shared" ca="1" si="2495"/>
        <v/>
      </c>
      <c r="AK3280" s="714" t="str">
        <f t="shared" si="2496"/>
        <v/>
      </c>
      <c r="AL3280" s="714"/>
      <c r="AM3280" s="114" t="str">
        <f t="shared" si="2497"/>
        <v/>
      </c>
      <c r="AN3280" s="115"/>
      <c r="AO3280" s="116"/>
      <c r="AP3280" s="116"/>
      <c r="AQ3280" s="116"/>
      <c r="AR3280" s="116"/>
      <c r="AS3280" s="116"/>
      <c r="AT3280" s="116"/>
      <c r="AU3280" s="116"/>
      <c r="AV3280" s="78"/>
      <c r="AW3280" s="102"/>
      <c r="AX3280" s="78"/>
      <c r="AY3280" s="78"/>
      <c r="AZ3280" s="78"/>
      <c r="BA3280" s="78"/>
      <c r="BB3280" s="78"/>
      <c r="BC3280" s="78"/>
      <c r="BD3280" s="78"/>
      <c r="BE3280" s="465"/>
      <c r="BF3280" s="165" t="str">
        <f t="shared" si="2498"/>
        <v>https://www.google.com/search?tbm=isch&amp;q=Princess%20Caroline%20offers%20unrivaled%20texture%20and%20heat%20tolerance.%20Rare%2C%20Reddish%20blooms.%20Blade%20color%20deepens%20to%20Rich%20Burgundy-Purple%20in%20fall%20</v>
      </c>
      <c r="BG3280" s="165" t="str">
        <f t="shared" si="2499"/>
        <v>P</v>
      </c>
      <c r="BH3280" s="65"/>
      <c r="BI3280" s="65"/>
      <c r="BJ3280" s="65"/>
      <c r="BK3280" s="65"/>
      <c r="BL3280" s="99"/>
      <c r="BM3280" s="99"/>
      <c r="BN3280" s="99"/>
    </row>
    <row r="3281" spans="1:66" s="51" customFormat="1" ht="19.5" thickBot="1" x14ac:dyDescent="0.3">
      <c r="A3281" s="686" t="s">
        <v>660</v>
      </c>
      <c r="B3281" s="73"/>
      <c r="C3281" s="708"/>
      <c r="D3281" s="73"/>
      <c r="E3281" s="73"/>
      <c r="F3281" s="496"/>
      <c r="G3281" s="73"/>
      <c r="H3281" s="73"/>
      <c r="I3281" s="73"/>
      <c r="J3281" s="497" t="s">
        <v>357</v>
      </c>
      <c r="K3281" s="498"/>
      <c r="L3281" s="562"/>
      <c r="M3281" s="73"/>
      <c r="N3281"/>
      <c r="O3281"/>
      <c r="P3281"/>
      <c r="Q3281"/>
      <c r="R3281"/>
      <c r="S3281"/>
      <c r="T3281" s="102">
        <f t="shared" si="2487"/>
        <v>0</v>
      </c>
      <c r="U3281" s="78" t="str">
        <f>IF(NOT(ISNUMBER(G3281)), "", VLOOKUP(A3281,'Discount Lookup'!D:E,2,FALSE)*G3281)</f>
        <v/>
      </c>
      <c r="V3281" s="78" t="str">
        <f>IF(NOT(ISNUMBER(G3281)), "", VLOOKUP(A3281,'Discount Lookup'!G:H,2,FALSE)*G3281)</f>
        <v/>
      </c>
      <c r="W3281" s="102">
        <f t="shared" si="2488"/>
        <v>0</v>
      </c>
      <c r="X3281" s="102">
        <f t="shared" si="2489"/>
        <v>0</v>
      </c>
      <c r="Y3281" s="120" t="b">
        <f t="shared" si="2490"/>
        <v>0</v>
      </c>
      <c r="Z3281" s="117">
        <f t="shared" si="2491"/>
        <v>0</v>
      </c>
      <c r="AA3281" s="118"/>
      <c r="AB3281" s="118" t="str">
        <f t="shared" si="2492"/>
        <v/>
      </c>
      <c r="AC3281" s="712" t="str">
        <f>IF(AE3281="T2G","no charge",IF(AND(OR(PlanterYesMe="No",PlanterYesMe="N",PlanterYesMe="me"),H3281=""),"",IF(H3281="credit","NO install",IF(AND(K3281="",AE3281="me"),"EACH row",IF(AND(K3281="images",AE3281="me"),"EACH row",IF(D3281="","",IF(H3281="credit","",IF(AE3281="free","re-planting",IF(AE3281="me","   not ELP, by",IF(AND(OR(PlanterYesMe="Yes",PlanterYesMe="Y"),G3281&gt;0),(VLOOKUP(A3281,'Discount Lookup'!J:K,2)*G3281*(1-PlanterDiscount)*(1+PlanterDifficultyPercentage)),IF(AE3281="ELP",(VLOOKUP(A3281,'Discount Lookup'!J:K,2)*G3281*(1-PlanterDiscount)*(1+PlanterDifficultyPercentage)),IF(AE3281="free","re-planting",IF(G3281=0,"",IF(PlanterYesMe="",IF(AE3281="me","   not ELP, by",IF(AE3281="",IF(G3281&gt;0,(VLOOKUP(A3281,'Discount Lookup'!J:K,2)*G3281*(1-PlanterDiscount)*(1+PlanterDifficultyPercentage)),""),"")),"   not ELP, by"))))))))))))))</f>
        <v/>
      </c>
      <c r="AD3281" s="712"/>
      <c r="AE3281" s="513" t="str">
        <f t="shared" si="2493"/>
        <v/>
      </c>
      <c r="AF3281" s="713" t="str">
        <f t="shared" si="2494"/>
        <v/>
      </c>
      <c r="AG3281" s="713"/>
      <c r="AH3281" s="713"/>
      <c r="AI3281" s="112">
        <f>IF(H3281="credit",0,IF(AE3281="free",0,IF(AE3281="me",0,IF(G3281&gt;0,(VLOOKUP(A3281,'Discount Lookup'!J:K,2)*G3281),0))))</f>
        <v>0</v>
      </c>
      <c r="AJ3281" s="107" t="str">
        <f t="shared" ca="1" si="2495"/>
        <v/>
      </c>
      <c r="AK3281" s="714" t="str">
        <f t="shared" si="2496"/>
        <v/>
      </c>
      <c r="AL3281" s="714"/>
      <c r="AM3281" s="114" t="str">
        <f t="shared" si="2497"/>
        <v/>
      </c>
      <c r="AN3281" s="115"/>
      <c r="AO3281" s="116"/>
      <c r="AP3281" s="116"/>
      <c r="AQ3281" s="116"/>
      <c r="AR3281" s="116"/>
      <c r="AS3281" s="116"/>
      <c r="AT3281" s="116"/>
      <c r="AU3281" s="116"/>
      <c r="AV3281" s="78"/>
      <c r="AW3281" s="102"/>
      <c r="AX3281" s="78"/>
      <c r="AY3281" s="78"/>
      <c r="AZ3281" s="78"/>
      <c r="BA3281" s="78"/>
      <c r="BB3281" s="78"/>
      <c r="BC3281" s="78"/>
      <c r="BD3281" s="78"/>
      <c r="BE3281" s="465"/>
      <c r="BF3281" s="165" t="str">
        <f t="shared" si="2498"/>
        <v>https://www.google.com/search?tbm=isch&amp;q=Persea%20%3D%20Swamp%20Bay%20</v>
      </c>
      <c r="BG3281" s="165" t="str">
        <f t="shared" si="2499"/>
        <v>P</v>
      </c>
      <c r="BH3281" s="65"/>
      <c r="BI3281" s="65"/>
      <c r="BJ3281" s="65"/>
      <c r="BK3281" s="65"/>
      <c r="BL3281" s="99"/>
      <c r="BM3281" s="99"/>
      <c r="BN3281" s="99"/>
    </row>
    <row r="3282" spans="1:66" s="51" customFormat="1" ht="18" x14ac:dyDescent="0.25">
      <c r="A3282" s="507" t="s">
        <v>661</v>
      </c>
      <c r="B3282" s="470"/>
      <c r="C3282" s="706"/>
      <c r="D3282" s="471" t="s">
        <v>662</v>
      </c>
      <c r="E3282" s="472"/>
      <c r="F3282" s="472"/>
      <c r="G3282" s="472"/>
      <c r="H3282" s="622" t="s">
        <v>325</v>
      </c>
      <c r="I3282" s="473" t="s">
        <v>431</v>
      </c>
      <c r="J3282" s="472"/>
      <c r="K3282" s="472"/>
      <c r="L3282" s="561"/>
      <c r="M3282" s="698" t="s">
        <v>5246</v>
      </c>
      <c r="N3282" s="692" t="str">
        <f>IF(AND(ISTEXT($A3282), ISERROR($A3282+0)), HYPERLINK($BF3282, "Images"), "")</f>
        <v>Images</v>
      </c>
      <c r="O3282" s="694" t="s">
        <v>5264</v>
      </c>
      <c r="P3282" s="475"/>
      <c r="Q3282" s="476"/>
      <c r="R3282" s="476"/>
      <c r="S3282" s="477" t="s">
        <v>294</v>
      </c>
      <c r="T3282" s="102">
        <f t="shared" si="2487"/>
        <v>0</v>
      </c>
      <c r="U3282" s="78" t="str">
        <f>IF(NOT(ISNUMBER(G3282)), "", VLOOKUP(A3282,'Discount Lookup'!D:E,2,FALSE)*G3282)</f>
        <v/>
      </c>
      <c r="V3282" s="78" t="str">
        <f>IF(NOT(ISNUMBER(G3282)), "", VLOOKUP(A3282,'Discount Lookup'!G:H,2,FALSE)*G3282)</f>
        <v/>
      </c>
      <c r="W3282" s="102">
        <f t="shared" si="2488"/>
        <v>0</v>
      </c>
      <c r="X3282" s="102" t="str">
        <f t="shared" si="2489"/>
        <v>Dark Green foliage</v>
      </c>
      <c r="Y3282" s="120" t="b">
        <f t="shared" si="2490"/>
        <v>0</v>
      </c>
      <c r="Z3282" s="117">
        <f t="shared" si="2491"/>
        <v>0</v>
      </c>
      <c r="AA3282" s="118"/>
      <c r="AB3282" s="118" t="str">
        <f t="shared" si="2492"/>
        <v/>
      </c>
      <c r="AC3282" s="712" t="str">
        <f>IF(AE3282="T2G","no charge",IF(AND(OR(PlanterYesMe="No",PlanterYesMe="N",PlanterYesMe="me"),H3282=""),"",IF(H3282="credit","NO install",IF(AND(K3282="",AE3282="me"),"EACH row",IF(AND(K3282="images",AE3282="me"),"EACH row",IF(D3282="","",IF(H3282="credit","",IF(AE3282="free","re-planting",IF(AE3282="me","   not ELP, by",IF(AND(OR(PlanterYesMe="Yes",PlanterYesMe="Y"),G3282&gt;0),(VLOOKUP(A3282,'Discount Lookup'!J:K,2)*G3282*(1-PlanterDiscount)*(1+PlanterDifficultyPercentage)),IF(AE3282="ELP",(VLOOKUP(A3282,'Discount Lookup'!J:K,2)*G3282*(1-PlanterDiscount)*(1+PlanterDifficultyPercentage)),IF(AE3282="free","re-planting",IF(G3282=0,"",IF(PlanterYesMe="",IF(AE3282="me","   not ELP, by",IF(AE3282="",IF(G3282&gt;0,(VLOOKUP(A3282,'Discount Lookup'!J:K,2)*G3282*(1-PlanterDiscount)*(1+PlanterDifficultyPercentage)),""),"")),"   not ELP, by"))))))))))))))</f>
        <v/>
      </c>
      <c r="AD3282" s="712"/>
      <c r="AE3282" s="513" t="str">
        <f t="shared" si="2493"/>
        <v/>
      </c>
      <c r="AF3282" s="713" t="str">
        <f t="shared" si="2494"/>
        <v/>
      </c>
      <c r="AG3282" s="713"/>
      <c r="AH3282" s="713"/>
      <c r="AI3282" s="112">
        <f>IF(H3282="credit",0,IF(AE3282="free",0,IF(AE3282="me",0,IF(G3282&gt;0,(VLOOKUP(A3282,'Discount Lookup'!J:K,2)*G3282),0))))</f>
        <v>0</v>
      </c>
      <c r="AJ3282" s="107" t="str">
        <f t="shared" ca="1" si="2495"/>
        <v/>
      </c>
      <c r="AK3282" s="714" t="str">
        <f t="shared" si="2496"/>
        <v/>
      </c>
      <c r="AL3282" s="714"/>
      <c r="AM3282" s="114" t="str">
        <f t="shared" si="2497"/>
        <v/>
      </c>
      <c r="AN3282" s="115"/>
      <c r="AO3282" s="116"/>
      <c r="AP3282" s="116"/>
      <c r="AQ3282" s="116"/>
      <c r="AR3282" s="116"/>
      <c r="AS3282" s="116"/>
      <c r="AT3282" s="116"/>
      <c r="AU3282" s="116"/>
      <c r="AV3282" s="78"/>
      <c r="AW3282" s="102"/>
      <c r="AX3282" s="78"/>
      <c r="AY3282" s="78"/>
      <c r="AZ3282" s="78"/>
      <c r="BA3282" s="78"/>
      <c r="BB3282" s="78"/>
      <c r="BC3282" s="78"/>
      <c r="BD3282" s="78"/>
      <c r="BE3282" s="465"/>
      <c r="BF3282" s="165" t="str">
        <f t="shared" si="2498"/>
        <v>https://www.google.com/search?tbm=isch&amp;q=Persea%20palustris%20%27Hannah%20Creek%27%20Hannah%20Creek%20Swamp%20Bay%20Tree</v>
      </c>
      <c r="BG3282" s="165" t="str">
        <f t="shared" si="2499"/>
        <v>P</v>
      </c>
      <c r="BH3282" s="65"/>
      <c r="BI3282" s="65"/>
      <c r="BJ3282" s="65"/>
      <c r="BK3282" s="65"/>
      <c r="BL3282" s="99"/>
      <c r="BM3282" s="99"/>
      <c r="BN3282" s="99"/>
    </row>
    <row r="3283" spans="1:66" s="51" customFormat="1" ht="27" x14ac:dyDescent="0.25">
      <c r="A3283" s="478">
        <v>7</v>
      </c>
      <c r="B3283" s="479" t="s">
        <v>291</v>
      </c>
      <c r="C3283" s="480" t="s">
        <v>991</v>
      </c>
      <c r="D3283" s="481" t="s">
        <v>299</v>
      </c>
      <c r="E3283" s="482">
        <v>109.95</v>
      </c>
      <c r="F3283" s="483" t="s">
        <v>292</v>
      </c>
      <c r="G3283" s="484">
        <v>0</v>
      </c>
      <c r="H3283" s="688" t="str">
        <f>IF(G3283=0,"",IF(F3283="Buy",IF(G3283=1,"plant","plants"),IF(F3283&gt;0.01,"warranty","Error")))</f>
        <v/>
      </c>
      <c r="I3283" s="485">
        <f>IF(H3283="free",0,IF(H3283="credit",((E3283*(F3283))*G3283*-1),IF(F3283="Buy",(E3283*G3283),((E3283*(1-F3283))*G3283))))</f>
        <v>0</v>
      </c>
      <c r="J3283" s="485">
        <f>IF(H3283="warranty",0,(I3283*(_xlfn.SINGLE(SalesTaxPercentage))))</f>
        <v>0</v>
      </c>
      <c r="K3283" s="715">
        <f t="shared" ref="K3283" si="2533">I3283+J3283</f>
        <v>0</v>
      </c>
      <c r="L3283" s="715"/>
      <c r="M3283" s="689" t="str">
        <f ca="1">IF(AND(G3283&gt;0,E3283=0),"WARNING - no PRICE inserted",IF(H3283="free","FREE ~ no charge this plant",IF(H3283="credit",CONCATENATE("-$",ROUND(K3283*(1-_xlfn.SINGLE(T2GDiscount))*-1,2)," CREDIT after discount"),IF(_xlfn.SINGLE(T2GDiscount)=0,"",IF(G3283=0,"",IF(F3283="Buy",CONCATENATE("$",ROUND(K3283*(1-_xlfn.SINGLE(T2GDiscount)),2)," with ",(_xlfn.SINGLE(T2GDiscount)*100),"% discount"),CONCATENATE("$",ROUND(K3283*(1-_xlfn.SINGLE(T2GDiscount)),2)," with ",((_xlfn.SINGLE(T2GDiscount)*100+F3283*100)-(_xlfn.SINGLE(T2GDiscount)*100*F3283)),IF(F3283&gt;0,"% discounts",IF(_xlfn.SINGLE(NoWarrantyDiscount)&gt;0,"% discounts","% discount")))))))))</f>
        <v/>
      </c>
      <c r="N3283" s="690"/>
      <c r="O3283" s="486"/>
      <c r="P3283" s="486"/>
      <c r="Q3283" s="486"/>
      <c r="R3283" s="486"/>
      <c r="S3283" s="486"/>
      <c r="T3283" s="102">
        <f t="shared" si="2487"/>
        <v>0</v>
      </c>
      <c r="U3283" s="78">
        <f>IF(NOT(ISNUMBER(G3283)), "", VLOOKUP(A3283,'Discount Lookup'!D:E,2,FALSE)*G3283)</f>
        <v>0</v>
      </c>
      <c r="V3283" s="78">
        <f>IF(NOT(ISNUMBER(G3283)), "", VLOOKUP(A3283,'Discount Lookup'!G:H,2,FALSE)*G3283)</f>
        <v>0</v>
      </c>
      <c r="W3283" s="102">
        <f t="shared" si="2488"/>
        <v>0</v>
      </c>
      <c r="X3283" s="102">
        <f t="shared" si="2489"/>
        <v>0</v>
      </c>
      <c r="Y3283" s="120" t="b">
        <f t="shared" si="2490"/>
        <v>0</v>
      </c>
      <c r="Z3283" s="117">
        <f t="shared" si="2491"/>
        <v>0</v>
      </c>
      <c r="AA3283" s="118"/>
      <c r="AB3283" s="118" t="str">
        <f t="shared" si="2492"/>
        <v/>
      </c>
      <c r="AC3283" s="712" t="str">
        <f>IF(AE3283="T2G","no charge",IF(AND(OR(PlanterYesMe="No",PlanterYesMe="N",PlanterYesMe="me"),H3283=""),"",IF(H3283="credit","NO install",IF(AND(K3283="",AE3283="me"),"EACH row",IF(AND(K3283="images",AE3283="me"),"EACH row",IF(D3283="","",IF(H3283="credit","",IF(AE3283="free","re-planting",IF(AE3283="me","   not ELP, by",IF(AND(OR(PlanterYesMe="Yes",PlanterYesMe="Y"),G3283&gt;0),(VLOOKUP(A3283,'Discount Lookup'!J:K,2)*G3283*(1-PlanterDiscount)*(1+PlanterDifficultyPercentage)),IF(AE3283="ELP",(VLOOKUP(A3283,'Discount Lookup'!J:K,2)*G3283*(1-PlanterDiscount)*(1+PlanterDifficultyPercentage)),IF(AE3283="free","re-planting",IF(G3283=0,"",IF(PlanterYesMe="",IF(AE3283="me","   not ELP, by",IF(AE3283="",IF(G3283&gt;0,(VLOOKUP(A3283,'Discount Lookup'!J:K,2)*G3283*(1-PlanterDiscount)*(1+PlanterDifficultyPercentage)),""),"")),"   not ELP, by"))))))))))))))</f>
        <v/>
      </c>
      <c r="AD3283" s="712"/>
      <c r="AE3283" s="513" t="str">
        <f t="shared" si="2493"/>
        <v/>
      </c>
      <c r="AF3283" s="713" t="str">
        <f t="shared" si="2494"/>
        <v/>
      </c>
      <c r="AG3283" s="713"/>
      <c r="AH3283" s="713"/>
      <c r="AI3283" s="112">
        <f>IF(H3283="credit",0,IF(AE3283="free",0,IF(AE3283="me",0,IF(G3283&gt;0,(VLOOKUP(A3283,'Discount Lookup'!J:K,2)*G3283),0))))</f>
        <v>0</v>
      </c>
      <c r="AJ3283" s="107" t="str">
        <f t="shared" ca="1" si="2495"/>
        <v/>
      </c>
      <c r="AK3283" s="714" t="str">
        <f t="shared" si="2496"/>
        <v/>
      </c>
      <c r="AL3283" s="714"/>
      <c r="AM3283" s="114" t="str">
        <f t="shared" si="2497"/>
        <v/>
      </c>
      <c r="AN3283" s="115"/>
      <c r="AO3283" s="116"/>
      <c r="AP3283" s="116"/>
      <c r="AQ3283" s="116"/>
      <c r="AR3283" s="116"/>
      <c r="AS3283" s="116"/>
      <c r="AT3283" s="116"/>
      <c r="AU3283" s="116"/>
      <c r="AV3283" s="78"/>
      <c r="AW3283" s="102"/>
      <c r="AX3283" s="78"/>
      <c r="AY3283" s="78"/>
      <c r="AZ3283" s="78"/>
      <c r="BA3283" s="78"/>
      <c r="BB3283" s="78"/>
      <c r="BC3283" s="78"/>
      <c r="BD3283" s="78"/>
      <c r="BE3283" s="465"/>
      <c r="BF3283" s="165" t="str">
        <f t="shared" si="2498"/>
        <v>https://www.google.com/search?tbm=isch&amp;q=7%20G4</v>
      </c>
      <c r="BG3283" s="165" t="str">
        <f t="shared" si="2499"/>
        <v>P</v>
      </c>
      <c r="BH3283" s="65"/>
      <c r="BI3283" s="65"/>
      <c r="BJ3283" s="65"/>
      <c r="BK3283" s="65"/>
      <c r="BL3283" s="99"/>
      <c r="BM3283" s="99"/>
      <c r="BN3283" s="99"/>
    </row>
    <row r="3284" spans="1:66" s="51" customFormat="1" ht="16.5" x14ac:dyDescent="0.25">
      <c r="A3284" s="705" t="s">
        <v>5503</v>
      </c>
      <c r="B3284" s="487"/>
      <c r="C3284" s="707"/>
      <c r="D3284" s="487"/>
      <c r="E3284" s="487"/>
      <c r="F3284" s="488"/>
      <c r="G3284" s="489"/>
      <c r="H3284" s="487"/>
      <c r="I3284" s="490"/>
      <c r="J3284" s="490"/>
      <c r="K3284" s="491"/>
      <c r="L3284" s="547"/>
      <c r="M3284" s="528"/>
      <c r="N3284" s="492"/>
      <c r="O3284" s="493"/>
      <c r="P3284" s="494"/>
      <c r="Q3284" s="492"/>
      <c r="R3284" s="492"/>
      <c r="S3284" s="699" t="s">
        <v>5299</v>
      </c>
      <c r="T3284" s="102">
        <f t="shared" ref="T3284:T3347" si="2534">E3284*G3284</f>
        <v>0</v>
      </c>
      <c r="U3284" s="78" t="str">
        <f>IF(NOT(ISNUMBER(G3284)), "", VLOOKUP(A3284,'Discount Lookup'!D:E,2,FALSE)*G3284)</f>
        <v/>
      </c>
      <c r="V3284" s="78" t="str">
        <f>IF(NOT(ISNUMBER(G3284)), "", VLOOKUP(A3284,'Discount Lookup'!G:H,2,FALSE)*G3284)</f>
        <v/>
      </c>
      <c r="W3284" s="102">
        <f t="shared" ref="W3284:W3347" si="2535">IF(H3284="credit",0,E3284*(SalesTaxPercentage)*G3284)</f>
        <v>0</v>
      </c>
      <c r="X3284" s="102">
        <f t="shared" ref="X3284:X3347" si="2536">I3284</f>
        <v>0</v>
      </c>
      <c r="Y3284" s="120" t="b">
        <f t="shared" ref="Y3284:Y3347" si="2537">IF(AE3284="T2G",0,IF(H3284="credit",0,IF(G3284&gt;0,IF(AE3284="me","",G3284))))</f>
        <v>0</v>
      </c>
      <c r="Z3284" s="117">
        <f t="shared" ref="Z3284:Z3347" si="2538">IF(H3284="credit",G3284,0)</f>
        <v>0</v>
      </c>
      <c r="AA3284" s="118"/>
      <c r="AB3284" s="118" t="str">
        <f t="shared" ref="AB3284:AB3347" si="2539">IF(AE3284="T2G","by Trees2Go",IF(H3284="credit","CREDIT only ~",IF(AND(K3284="",AE3284=OR(PlanterYesMe="No",PlanterYesMe="N",PlanterYesMe="me")),"not THIS line⇨",IF(AND(K3284="images",AE3284="me"),"not THIS line⇨",IF(H3284="credit","",IF(G3284=0,"",IF(AE3284="me","",IF(OR(PlanterYesMe="No",PlanterYesMe="N",PlanterYesMe="me"),"",IF(AE3284="free","warranty",IF(OR(PlanterYesMe="yes",PlanterYesMe="y"),"Edison install:","to install:"))))))))))</f>
        <v/>
      </c>
      <c r="AC3284" s="712" t="str">
        <f>IF(AE3284="T2G","no charge",IF(AND(OR(PlanterYesMe="No",PlanterYesMe="N",PlanterYesMe="me"),H3284=""),"",IF(H3284="credit","NO install",IF(AND(K3284="",AE3284="me"),"EACH row",IF(AND(K3284="images",AE3284="me"),"EACH row",IF(D3284="","",IF(H3284="credit","",IF(AE3284="free","re-planting",IF(AE3284="me","   not ELP, by",IF(AND(OR(PlanterYesMe="Yes",PlanterYesMe="Y"),G3284&gt;0),(VLOOKUP(A3284,'Discount Lookup'!J:K,2)*G3284*(1-PlanterDiscount)*(1+PlanterDifficultyPercentage)),IF(AE3284="ELP",(VLOOKUP(A3284,'Discount Lookup'!J:K,2)*G3284*(1-PlanterDiscount)*(1+PlanterDifficultyPercentage)),IF(AE3284="free","re-planting",IF(G3284=0,"",IF(PlanterYesMe="",IF(AE3284="me","   not ELP, by",IF(AE3284="",IF(G3284&gt;0,(VLOOKUP(A3284,'Discount Lookup'!J:K,2)*G3284*(1-PlanterDiscount)*(1+PlanterDifficultyPercentage)),""),"")),"   not ELP, by"))))))))))))))</f>
        <v/>
      </c>
      <c r="AD3284" s="712"/>
      <c r="AE3284" s="513" t="str">
        <f t="shared" ref="AE3284:AE3347" si="2540">IF(H3284="credit","",IF(G3284=0,"",IF(OR(PlanterYesMe="No",PlanterYesMe="N",PlanterYesMe="me"),"me",IF(H3284="warranty","free",IF(OR(PlanterYesMe="yes",PlanterYesMe="y"),"ELP","")))))</f>
        <v/>
      </c>
      <c r="AF3284" s="713" t="str">
        <f t="shared" ref="AF3284:AF3347" si="2541">IF(OR(PlanterYesMe="No",PlanterYesMe="N",PlanterYesMe="me"),"",IF(H3284="credit","",IF(G3284&gt;0,(CONCATENATE((G3284)," quantity, ",(A3284)," ",B3284)),"")))</f>
        <v/>
      </c>
      <c r="AG3284" s="713"/>
      <c r="AH3284" s="713"/>
      <c r="AI3284" s="112">
        <f>IF(H3284="credit",0,IF(AE3284="free",0,IF(AE3284="me",0,IF(G3284&gt;0,(VLOOKUP(A3284,'Discount Lookup'!J:K,2)*G3284),0))))</f>
        <v>0</v>
      </c>
      <c r="AJ3284" s="107" t="str">
        <f t="shared" ref="AJ3284:AJ3347" ca="1" si="2542">IF(AND(ISREF(H3284),H3284="credit"),"",IF(AND(AND(OFFSET(G3284,0,0)=0,OFFSET(G3284,1,0)&gt;0,ISNUMBER(OFFSET(AC3284,1,0)),OFFSET(AC3284,1,0)&gt;0),OR(PlanterYesMe="yes",PlanterYesMe="y")),"T2G+ELP=",IF(AND(OFFSET(G3284,0,0)=0,OFFSET(G3284,1,0)&gt;0,ISNUMBER(OFFSET(AC3284,1,0)),OFFSET(AC3284,1,0)&gt;0),"if T2G+ELP=",IF(AND(OFFSET(G3284,0,0)=0,OFFSET(G3284,1,0)&gt;0),"T2G Subtotal",IF(H3284="credit","",IF(G3284=0,"",IF(AE3284="free",(K3284*(1-T2GDiscount)),IF(OR(PlanterYesMe="No",PlanterYesMe="N",PlanterYesMe="me"),(K3284*(1-T2GDiscount)),IF(OR(AE3284="me",AE3284="T2G"),(K3284*(1-T2GDiscount)),(K3284*(1-T2GDiscount))+AC3284)))))))))</f>
        <v/>
      </c>
      <c r="AK3284" s="714" t="str">
        <f t="shared" ref="AK3284:AK3347" si="2543">IF(H3284="credit","",IF(G3284=0,"",IF(OR(AE3284="me",AE3284="T2G"),"  delivery-only",IF(OR(PlanterYesMe="No",PlanterYesMe="N",PlanterYesMe="me"),"  delivery-only",CONCATENATE(" $",ROUND(AJ3284/G3284,2)," each")))))</f>
        <v/>
      </c>
      <c r="AL3284" s="714"/>
      <c r="AM3284" s="114" t="str">
        <f t="shared" ref="AM3284:AM3347" si="2544">IF(H3284="credit","",IF(AE3284="free","      ~ discounts included, no tax or planting fee applies ~",IF(G3284=0,"",IF(OR(PlanterYesMe="No",PlanterYesMe="N",PlanterYesMe="me"),CONCATENATE(" $",ROUND(AJ3284/G3284,2)," per plant, with tax &amp; discount"),IF(OR(AE3284="me",AE3284="T2G"),CONCATENATE(" $",ROUND(AJ3284/G3284,2)," per plant, with tax &amp; discount"),CONCATENATE("= $",ROUND((K3284*(1-T2GDiscount))/G3284,2)," per plant + $",AC3284/G3284,(" per planting      ~ includes tax &amp; discounts ~")))))))</f>
        <v/>
      </c>
      <c r="AN3284" s="115"/>
      <c r="AO3284" s="116"/>
      <c r="AP3284" s="116"/>
      <c r="AQ3284" s="116"/>
      <c r="AR3284" s="116"/>
      <c r="AS3284" s="116"/>
      <c r="AT3284" s="116"/>
      <c r="AU3284" s="116"/>
      <c r="AV3284" s="78"/>
      <c r="AW3284" s="102"/>
      <c r="AX3284" s="78"/>
      <c r="AY3284" s="78"/>
      <c r="AZ3284" s="78"/>
      <c r="BA3284" s="78"/>
      <c r="BB3284" s="78"/>
      <c r="BC3284" s="78"/>
      <c r="BD3284" s="78"/>
      <c r="BE3284" s="465"/>
      <c r="BF3284" s="165" t="str">
        <f t="shared" ref="BF3284:BF3347" si="2545">"https://www.google.com/search?tbm=isch&amp;q=" &amp; _xlfn.ENCODEURL($A3284 &amp; " " &amp; $D3284)</f>
        <v>https://www.google.com/search?tbm=isch&amp;q=wet%20sites%F0%9F%92%A7BEST%2C%20Hannah%20Creek%20aromatic%20foliage%20can%20substitute%20for%20bay%20leaf%20in%20cooking.%20Interesting%2C%20thick%2C%20furrowed%20bark%20</v>
      </c>
      <c r="BG3284" s="165" t="str">
        <f t="shared" ref="BG3284:BG3347" si="2546">IF(ISTEXT(A3284),LEFT(A3284,1),BG3283)</f>
        <v>w</v>
      </c>
      <c r="BH3284" s="65"/>
      <c r="BI3284" s="65"/>
      <c r="BJ3284" s="65"/>
      <c r="BK3284" s="65"/>
      <c r="BL3284" s="99"/>
      <c r="BM3284" s="99"/>
      <c r="BN3284" s="99"/>
    </row>
    <row r="3285" spans="1:66" s="51" customFormat="1" ht="19.5" thickBot="1" x14ac:dyDescent="0.3">
      <c r="A3285" s="686" t="s">
        <v>663</v>
      </c>
      <c r="B3285" s="73"/>
      <c r="C3285" s="708"/>
      <c r="D3285" s="73"/>
      <c r="E3285" s="73"/>
      <c r="F3285" s="496"/>
      <c r="G3285" s="73"/>
      <c r="H3285" s="73"/>
      <c r="I3285" s="73"/>
      <c r="J3285" s="497" t="s">
        <v>357</v>
      </c>
      <c r="K3285" s="498"/>
      <c r="L3285" s="562"/>
      <c r="M3285" s="73"/>
      <c r="N3285"/>
      <c r="O3285"/>
      <c r="P3285"/>
      <c r="Q3285"/>
      <c r="R3285"/>
      <c r="S3285"/>
      <c r="T3285" s="102">
        <f t="shared" si="2534"/>
        <v>0</v>
      </c>
      <c r="U3285" s="78" t="str">
        <f>IF(NOT(ISNUMBER(G3285)), "", VLOOKUP(A3285,'Discount Lookup'!D:E,2,FALSE)*G3285)</f>
        <v/>
      </c>
      <c r="V3285" s="78" t="str">
        <f>IF(NOT(ISNUMBER(G3285)), "", VLOOKUP(A3285,'Discount Lookup'!G:H,2,FALSE)*G3285)</f>
        <v/>
      </c>
      <c r="W3285" s="102">
        <f t="shared" si="2535"/>
        <v>0</v>
      </c>
      <c r="X3285" s="102">
        <f t="shared" si="2536"/>
        <v>0</v>
      </c>
      <c r="Y3285" s="120" t="b">
        <f t="shared" si="2537"/>
        <v>0</v>
      </c>
      <c r="Z3285" s="117">
        <f t="shared" si="2538"/>
        <v>0</v>
      </c>
      <c r="AA3285" s="118"/>
      <c r="AB3285" s="118" t="str">
        <f t="shared" si="2539"/>
        <v/>
      </c>
      <c r="AC3285" s="712" t="str">
        <f>IF(AE3285="T2G","no charge",IF(AND(OR(PlanterYesMe="No",PlanterYesMe="N",PlanterYesMe="me"),H3285=""),"",IF(H3285="credit","NO install",IF(AND(K3285="",AE3285="me"),"EACH row",IF(AND(K3285="images",AE3285="me"),"EACH row",IF(D3285="","",IF(H3285="credit","",IF(AE3285="free","re-planting",IF(AE3285="me","   not ELP, by",IF(AND(OR(PlanterYesMe="Yes",PlanterYesMe="Y"),G3285&gt;0),(VLOOKUP(A3285,'Discount Lookup'!J:K,2)*G3285*(1-PlanterDiscount)*(1+PlanterDifficultyPercentage)),IF(AE3285="ELP",(VLOOKUP(A3285,'Discount Lookup'!J:K,2)*G3285*(1-PlanterDiscount)*(1+PlanterDifficultyPercentage)),IF(AE3285="free","re-planting",IF(G3285=0,"",IF(PlanterYesMe="",IF(AE3285="me","   not ELP, by",IF(AE3285="",IF(G3285&gt;0,(VLOOKUP(A3285,'Discount Lookup'!J:K,2)*G3285*(1-PlanterDiscount)*(1+PlanterDifficultyPercentage)),""),"")),"   not ELP, by"))))))))))))))</f>
        <v/>
      </c>
      <c r="AD3285" s="712"/>
      <c r="AE3285" s="513" t="str">
        <f t="shared" si="2540"/>
        <v/>
      </c>
      <c r="AF3285" s="713" t="str">
        <f t="shared" si="2541"/>
        <v/>
      </c>
      <c r="AG3285" s="713"/>
      <c r="AH3285" s="713"/>
      <c r="AI3285" s="112">
        <f>IF(H3285="credit",0,IF(AE3285="free",0,IF(AE3285="me",0,IF(G3285&gt;0,(VLOOKUP(A3285,'Discount Lookup'!J:K,2)*G3285),0))))</f>
        <v>0</v>
      </c>
      <c r="AJ3285" s="107" t="str">
        <f t="shared" ca="1" si="2542"/>
        <v/>
      </c>
      <c r="AK3285" s="714" t="str">
        <f t="shared" si="2543"/>
        <v/>
      </c>
      <c r="AL3285" s="714"/>
      <c r="AM3285" s="114" t="str">
        <f t="shared" si="2544"/>
        <v/>
      </c>
      <c r="AN3285" s="115"/>
      <c r="AO3285" s="116"/>
      <c r="AP3285" s="116"/>
      <c r="AQ3285" s="116"/>
      <c r="AR3285" s="116"/>
      <c r="AS3285" s="116"/>
      <c r="AT3285" s="116"/>
      <c r="AU3285" s="116"/>
      <c r="AV3285" s="78"/>
      <c r="AW3285" s="102"/>
      <c r="AX3285" s="78"/>
      <c r="AY3285" s="78"/>
      <c r="AZ3285" s="78"/>
      <c r="BA3285" s="78"/>
      <c r="BB3285" s="78"/>
      <c r="BC3285" s="78"/>
      <c r="BD3285" s="78"/>
      <c r="BE3285" s="465"/>
      <c r="BF3285" s="165" t="str">
        <f t="shared" si="2545"/>
        <v>https://www.google.com/search?tbm=isch&amp;q=Phlox%20%3D%20Phlox%20</v>
      </c>
      <c r="BG3285" s="165" t="str">
        <f t="shared" si="2546"/>
        <v>P</v>
      </c>
      <c r="BH3285" s="65"/>
      <c r="BI3285" s="65"/>
      <c r="BJ3285" s="65"/>
      <c r="BK3285" s="65"/>
      <c r="BL3285" s="99"/>
      <c r="BM3285" s="99"/>
      <c r="BN3285" s="99"/>
    </row>
    <row r="3286" spans="1:66" s="51" customFormat="1" ht="18" x14ac:dyDescent="0.25">
      <c r="A3286" s="507" t="s">
        <v>3783</v>
      </c>
      <c r="B3286" s="470"/>
      <c r="C3286" s="706"/>
      <c r="D3286" s="471" t="s">
        <v>3784</v>
      </c>
      <c r="E3286" s="472"/>
      <c r="F3286" s="472"/>
      <c r="G3286" s="472"/>
      <c r="H3286" s="622" t="s">
        <v>3785</v>
      </c>
      <c r="I3286" s="473" t="s">
        <v>3786</v>
      </c>
      <c r="J3286" s="472"/>
      <c r="K3286" s="472"/>
      <c r="L3286" s="561"/>
      <c r="M3286" s="698" t="s">
        <v>5246</v>
      </c>
      <c r="N3286" s="692" t="str">
        <f>IF(AND(ISTEXT($A3286), ISERROR($A3286+0)), HYPERLINK($BF3286, "Images"), "")</f>
        <v>Images</v>
      </c>
      <c r="O3286" s="694" t="s">
        <v>5244</v>
      </c>
      <c r="P3286" s="475"/>
      <c r="Q3286" s="476"/>
      <c r="R3286" s="476"/>
      <c r="S3286" s="477" t="s">
        <v>294</v>
      </c>
      <c r="T3286" s="102">
        <f t="shared" si="2534"/>
        <v>0</v>
      </c>
      <c r="U3286" s="78" t="str">
        <f>IF(NOT(ISNUMBER(G3286)), "", VLOOKUP(A3286,'Discount Lookup'!D:E,2,FALSE)*G3286)</f>
        <v/>
      </c>
      <c r="V3286" s="78" t="str">
        <f>IF(NOT(ISNUMBER(G3286)), "", VLOOKUP(A3286,'Discount Lookup'!G:H,2,FALSE)*G3286)</f>
        <v/>
      </c>
      <c r="W3286" s="102">
        <f t="shared" si="2535"/>
        <v>0</v>
      </c>
      <c r="X3286" s="102" t="str">
        <f t="shared" si="2536"/>
        <v>Coral Pink bloom</v>
      </c>
      <c r="Y3286" s="120" t="b">
        <f t="shared" si="2537"/>
        <v>0</v>
      </c>
      <c r="Z3286" s="117">
        <f t="shared" si="2538"/>
        <v>0</v>
      </c>
      <c r="AA3286" s="118"/>
      <c r="AB3286" s="118" t="str">
        <f t="shared" si="2539"/>
        <v/>
      </c>
      <c r="AC3286" s="712" t="str">
        <f>IF(AE3286="T2G","no charge",IF(AND(OR(PlanterYesMe="No",PlanterYesMe="N",PlanterYesMe="me"),H3286=""),"",IF(H3286="credit","NO install",IF(AND(K3286="",AE3286="me"),"EACH row",IF(AND(K3286="images",AE3286="me"),"EACH row",IF(D3286="","",IF(H3286="credit","",IF(AE3286="free","re-planting",IF(AE3286="me","   not ELP, by",IF(AND(OR(PlanterYesMe="Yes",PlanterYesMe="Y"),G3286&gt;0),(VLOOKUP(A3286,'Discount Lookup'!J:K,2)*G3286*(1-PlanterDiscount)*(1+PlanterDifficultyPercentage)),IF(AE3286="ELP",(VLOOKUP(A3286,'Discount Lookup'!J:K,2)*G3286*(1-PlanterDiscount)*(1+PlanterDifficultyPercentage)),IF(AE3286="free","re-planting",IF(G3286=0,"",IF(PlanterYesMe="",IF(AE3286="me","   not ELP, by",IF(AE3286="",IF(G3286&gt;0,(VLOOKUP(A3286,'Discount Lookup'!J:K,2)*G3286*(1-PlanterDiscount)*(1+PlanterDifficultyPercentage)),""),"")),"   not ELP, by"))))))))))))))</f>
        <v/>
      </c>
      <c r="AD3286" s="712"/>
      <c r="AE3286" s="513" t="str">
        <f t="shared" si="2540"/>
        <v/>
      </c>
      <c r="AF3286" s="713" t="str">
        <f t="shared" si="2541"/>
        <v/>
      </c>
      <c r="AG3286" s="713"/>
      <c r="AH3286" s="713"/>
      <c r="AI3286" s="112">
        <f>IF(H3286="credit",0,IF(AE3286="free",0,IF(AE3286="me",0,IF(G3286&gt;0,(VLOOKUP(A3286,'Discount Lookup'!J:K,2)*G3286),0))))</f>
        <v>0</v>
      </c>
      <c r="AJ3286" s="107" t="str">
        <f t="shared" ca="1" si="2542"/>
        <v/>
      </c>
      <c r="AK3286" s="714" t="str">
        <f t="shared" si="2543"/>
        <v/>
      </c>
      <c r="AL3286" s="714"/>
      <c r="AM3286" s="114" t="str">
        <f t="shared" si="2544"/>
        <v/>
      </c>
      <c r="AN3286" s="115"/>
      <c r="AO3286" s="116"/>
      <c r="AP3286" s="116"/>
      <c r="AQ3286" s="116"/>
      <c r="AR3286" s="116"/>
      <c r="AS3286" s="116"/>
      <c r="AT3286" s="116"/>
      <c r="AU3286" s="116"/>
      <c r="AV3286" s="78"/>
      <c r="AW3286" s="102"/>
      <c r="AX3286" s="78"/>
      <c r="AY3286" s="78"/>
      <c r="AZ3286" s="78"/>
      <c r="BA3286" s="78"/>
      <c r="BB3286" s="78"/>
      <c r="BC3286" s="78"/>
      <c r="BD3286" s="78"/>
      <c r="BE3286" s="465"/>
      <c r="BF3286" s="165" t="str">
        <f t="shared" si="2545"/>
        <v>https://www.google.com/search?tbm=isch&amp;q=Phlox%20paniculata%20%27Glamour%20Girl%27%20PP%2325778%20Glamour%20Girl%20Phlox</v>
      </c>
      <c r="BG3286" s="165" t="str">
        <f t="shared" si="2546"/>
        <v>P</v>
      </c>
      <c r="BH3286" s="65"/>
      <c r="BI3286" s="65"/>
      <c r="BJ3286" s="65"/>
      <c r="BK3286" s="65"/>
      <c r="BL3286" s="99"/>
      <c r="BM3286" s="99"/>
      <c r="BN3286" s="99"/>
    </row>
    <row r="3287" spans="1:66" s="51" customFormat="1" ht="15.75" x14ac:dyDescent="0.25">
      <c r="A3287" s="478">
        <v>1</v>
      </c>
      <c r="B3287" s="479" t="s">
        <v>291</v>
      </c>
      <c r="C3287" s="480"/>
      <c r="D3287" s="481" t="s">
        <v>329</v>
      </c>
      <c r="E3287" s="482">
        <v>12.95</v>
      </c>
      <c r="F3287" s="483" t="s">
        <v>292</v>
      </c>
      <c r="G3287" s="484">
        <v>0</v>
      </c>
      <c r="H3287" s="688" t="str">
        <f>IF(G3287=0,"",IF(F3287="Buy",IF(G3287=1,"plant","plants"),IF(F3287&gt;0.01,"warranty","Error")))</f>
        <v/>
      </c>
      <c r="I3287" s="485">
        <f>IF(H3287="free",0,IF(H3287="credit",((E3287*(F3287))*G3287*-1),IF(F3287="Buy",(E3287*G3287),((E3287*(1-F3287))*G3287))))</f>
        <v>0</v>
      </c>
      <c r="J3287" s="485">
        <f>IF(H3287="warranty",0,(I3287*(_xlfn.SINGLE(SalesTaxPercentage))))</f>
        <v>0</v>
      </c>
      <c r="K3287" s="715">
        <f t="shared" ref="K3287" si="2547">I3287+J3287</f>
        <v>0</v>
      </c>
      <c r="L3287" s="715"/>
      <c r="M3287" s="689" t="str">
        <f ca="1">IF(AND(G3287&gt;0,E3287=0),"WARNING - no PRICE inserted",IF(H3287="free","FREE ~ no charge this plant",IF(H3287="credit",CONCATENATE("-$",ROUND(K3287*(1-_xlfn.SINGLE(T2GDiscount))*-1,2)," CREDIT after discount"),IF(_xlfn.SINGLE(T2GDiscount)=0,"",IF(G3287=0,"",IF(F3287="Buy",CONCATENATE("$",ROUND(K3287*(1-_xlfn.SINGLE(T2GDiscount)),2)," with ",(_xlfn.SINGLE(T2GDiscount)*100),"% discount"),CONCATENATE("$",ROUND(K3287*(1-_xlfn.SINGLE(T2GDiscount)),2)," with ",((_xlfn.SINGLE(T2GDiscount)*100+F3287*100)-(_xlfn.SINGLE(T2GDiscount)*100*F3287)),IF(F3287&gt;0,"% discounts",IF(_xlfn.SINGLE(NoWarrantyDiscount)&gt;0,"% discounts","% discount")))))))))</f>
        <v/>
      </c>
      <c r="N3287" s="690"/>
      <c r="O3287" s="486"/>
      <c r="P3287" s="486"/>
      <c r="Q3287" s="486"/>
      <c r="R3287" s="486"/>
      <c r="S3287" s="486"/>
      <c r="T3287" s="102">
        <f t="shared" si="2534"/>
        <v>0</v>
      </c>
      <c r="U3287" s="78">
        <f>IF(NOT(ISNUMBER(G3287)), "", VLOOKUP(A3287,'Discount Lookup'!D:E,2,FALSE)*G3287)</f>
        <v>0</v>
      </c>
      <c r="V3287" s="78">
        <f>IF(NOT(ISNUMBER(G3287)), "", VLOOKUP(A3287,'Discount Lookup'!G:H,2,FALSE)*G3287)</f>
        <v>0</v>
      </c>
      <c r="W3287" s="102">
        <f t="shared" si="2535"/>
        <v>0</v>
      </c>
      <c r="X3287" s="102">
        <f t="shared" si="2536"/>
        <v>0</v>
      </c>
      <c r="Y3287" s="120" t="b">
        <f t="shared" si="2537"/>
        <v>0</v>
      </c>
      <c r="Z3287" s="117">
        <f t="shared" si="2538"/>
        <v>0</v>
      </c>
      <c r="AA3287" s="118"/>
      <c r="AB3287" s="118" t="str">
        <f t="shared" si="2539"/>
        <v/>
      </c>
      <c r="AC3287" s="712" t="str">
        <f>IF(AE3287="T2G","no charge",IF(AND(OR(PlanterYesMe="No",PlanterYesMe="N",PlanterYesMe="me"),H3287=""),"",IF(H3287="credit","NO install",IF(AND(K3287="",AE3287="me"),"EACH row",IF(AND(K3287="images",AE3287="me"),"EACH row",IF(D3287="","",IF(H3287="credit","",IF(AE3287="free","re-planting",IF(AE3287="me","   not ELP, by",IF(AND(OR(PlanterYesMe="Yes",PlanterYesMe="Y"),G3287&gt;0),(VLOOKUP(A3287,'Discount Lookup'!J:K,2)*G3287*(1-PlanterDiscount)*(1+PlanterDifficultyPercentage)),IF(AE3287="ELP",(VLOOKUP(A3287,'Discount Lookup'!J:K,2)*G3287*(1-PlanterDiscount)*(1+PlanterDifficultyPercentage)),IF(AE3287="free","re-planting",IF(G3287=0,"",IF(PlanterYesMe="",IF(AE3287="me","   not ELP, by",IF(AE3287="",IF(G3287&gt;0,(VLOOKUP(A3287,'Discount Lookup'!J:K,2)*G3287*(1-PlanterDiscount)*(1+PlanterDifficultyPercentage)),""),"")),"   not ELP, by"))))))))))))))</f>
        <v/>
      </c>
      <c r="AD3287" s="712"/>
      <c r="AE3287" s="513" t="str">
        <f t="shared" si="2540"/>
        <v/>
      </c>
      <c r="AF3287" s="713" t="str">
        <f t="shared" si="2541"/>
        <v/>
      </c>
      <c r="AG3287" s="713"/>
      <c r="AH3287" s="713"/>
      <c r="AI3287" s="112">
        <f>IF(H3287="credit",0,IF(AE3287="free",0,IF(AE3287="me",0,IF(G3287&gt;0,(VLOOKUP(A3287,'Discount Lookup'!J:K,2)*G3287),0))))</f>
        <v>0</v>
      </c>
      <c r="AJ3287" s="107" t="str">
        <f t="shared" ca="1" si="2542"/>
        <v/>
      </c>
      <c r="AK3287" s="714" t="str">
        <f t="shared" si="2543"/>
        <v/>
      </c>
      <c r="AL3287" s="714"/>
      <c r="AM3287" s="114" t="str">
        <f t="shared" si="2544"/>
        <v/>
      </c>
      <c r="AN3287" s="115"/>
      <c r="AO3287" s="116"/>
      <c r="AP3287" s="116"/>
      <c r="AQ3287" s="116"/>
      <c r="AR3287" s="116"/>
      <c r="AS3287" s="116"/>
      <c r="AT3287" s="116"/>
      <c r="AU3287" s="116"/>
      <c r="AV3287" s="78"/>
      <c r="AW3287" s="102"/>
      <c r="AX3287" s="78"/>
      <c r="AY3287" s="78"/>
      <c r="AZ3287" s="78"/>
      <c r="BA3287" s="78"/>
      <c r="BB3287" s="78"/>
      <c r="BC3287" s="78"/>
      <c r="BD3287" s="78"/>
      <c r="BE3287" s="465"/>
      <c r="BF3287" s="165" t="str">
        <f t="shared" si="2545"/>
        <v>https://www.google.com/search?tbm=isch&amp;q=1%20G2</v>
      </c>
      <c r="BG3287" s="165" t="str">
        <f t="shared" si="2546"/>
        <v>P</v>
      </c>
      <c r="BH3287" s="65"/>
      <c r="BI3287" s="65"/>
      <c r="BJ3287" s="65"/>
      <c r="BK3287" s="65"/>
      <c r="BL3287" s="99"/>
      <c r="BM3287" s="99"/>
      <c r="BN3287" s="99"/>
    </row>
    <row r="3288" spans="1:66" s="51" customFormat="1" ht="17.25" thickBot="1" x14ac:dyDescent="0.3">
      <c r="A3288" s="705" t="s">
        <v>5504</v>
      </c>
      <c r="B3288" s="487"/>
      <c r="C3288" s="707"/>
      <c r="D3288" s="487"/>
      <c r="E3288" s="487"/>
      <c r="F3288" s="488"/>
      <c r="G3288" s="489"/>
      <c r="H3288" s="487"/>
      <c r="I3288" s="490"/>
      <c r="J3288" s="490"/>
      <c r="K3288" s="491"/>
      <c r="L3288" s="547"/>
      <c r="M3288" s="528"/>
      <c r="N3288" s="492"/>
      <c r="O3288" s="493"/>
      <c r="P3288" s="494"/>
      <c r="Q3288" s="492"/>
      <c r="R3288" s="492"/>
      <c r="S3288" s="699" t="s">
        <v>5300</v>
      </c>
      <c r="T3288" s="102">
        <f t="shared" si="2534"/>
        <v>0</v>
      </c>
      <c r="U3288" s="78" t="str">
        <f>IF(NOT(ISNUMBER(G3288)), "", VLOOKUP(A3288,'Discount Lookup'!D:E,2,FALSE)*G3288)</f>
        <v/>
      </c>
      <c r="V3288" s="78" t="str">
        <f>IF(NOT(ISNUMBER(G3288)), "", VLOOKUP(A3288,'Discount Lookup'!G:H,2,FALSE)*G3288)</f>
        <v/>
      </c>
      <c r="W3288" s="102">
        <f t="shared" si="2535"/>
        <v>0</v>
      </c>
      <c r="X3288" s="102">
        <f t="shared" si="2536"/>
        <v>0</v>
      </c>
      <c r="Y3288" s="120" t="b">
        <f t="shared" si="2537"/>
        <v>0</v>
      </c>
      <c r="Z3288" s="117">
        <f t="shared" si="2538"/>
        <v>0</v>
      </c>
      <c r="AA3288" s="118"/>
      <c r="AB3288" s="118" t="str">
        <f t="shared" si="2539"/>
        <v/>
      </c>
      <c r="AC3288" s="712" t="str">
        <f>IF(AE3288="T2G","no charge",IF(AND(OR(PlanterYesMe="No",PlanterYesMe="N",PlanterYesMe="me"),H3288=""),"",IF(H3288="credit","NO install",IF(AND(K3288="",AE3288="me"),"EACH row",IF(AND(K3288="images",AE3288="me"),"EACH row",IF(D3288="","",IF(H3288="credit","",IF(AE3288="free","re-planting",IF(AE3288="me","   not ELP, by",IF(AND(OR(PlanterYesMe="Yes",PlanterYesMe="Y"),G3288&gt;0),(VLOOKUP(A3288,'Discount Lookup'!J:K,2)*G3288*(1-PlanterDiscount)*(1+PlanterDifficultyPercentage)),IF(AE3288="ELP",(VLOOKUP(A3288,'Discount Lookup'!J:K,2)*G3288*(1-PlanterDiscount)*(1+PlanterDifficultyPercentage)),IF(AE3288="free","re-planting",IF(G3288=0,"",IF(PlanterYesMe="",IF(AE3288="me","   not ELP, by",IF(AE3288="",IF(G3288&gt;0,(VLOOKUP(A3288,'Discount Lookup'!J:K,2)*G3288*(1-PlanterDiscount)*(1+PlanterDifficultyPercentage)),""),"")),"   not ELP, by"))))))))))))))</f>
        <v/>
      </c>
      <c r="AD3288" s="712"/>
      <c r="AE3288" s="513" t="str">
        <f t="shared" si="2540"/>
        <v/>
      </c>
      <c r="AF3288" s="713" t="str">
        <f t="shared" si="2541"/>
        <v/>
      </c>
      <c r="AG3288" s="713"/>
      <c r="AH3288" s="713"/>
      <c r="AI3288" s="112">
        <f>IF(H3288="credit",0,IF(AE3288="free",0,IF(AE3288="me",0,IF(G3288&gt;0,(VLOOKUP(A3288,'Discount Lookup'!J:K,2)*G3288),0))))</f>
        <v>0</v>
      </c>
      <c r="AJ3288" s="107" t="str">
        <f t="shared" ca="1" si="2542"/>
        <v/>
      </c>
      <c r="AK3288" s="714" t="str">
        <f t="shared" si="2543"/>
        <v/>
      </c>
      <c r="AL3288" s="714"/>
      <c r="AM3288" s="114" t="str">
        <f t="shared" si="2544"/>
        <v/>
      </c>
      <c r="AN3288" s="115"/>
      <c r="AO3288" s="116"/>
      <c r="AP3288" s="116"/>
      <c r="AQ3288" s="116"/>
      <c r="AR3288" s="116"/>
      <c r="AS3288" s="116"/>
      <c r="AT3288" s="116"/>
      <c r="AU3288" s="116"/>
      <c r="AV3288" s="78"/>
      <c r="AW3288" s="102"/>
      <c r="AX3288" s="78"/>
      <c r="AY3288" s="78"/>
      <c r="AZ3288" s="78"/>
      <c r="BA3288" s="78"/>
      <c r="BB3288" s="78"/>
      <c r="BC3288" s="78"/>
      <c r="BD3288" s="78"/>
      <c r="BE3288" s="465"/>
      <c r="BF3288" s="165" t="str">
        <f t="shared" si="2545"/>
        <v>https://www.google.com/search?tbm=isch&amp;q=moist%20sites%F0%9F%92%A7GOOD%2C%20Glamour%20Girl%20blooms%20from%20mid%20spring%20to%20early%20summer%2C%20atop%20Dark%20Purple%20stems%20</v>
      </c>
      <c r="BG3288" s="165" t="str">
        <f t="shared" si="2546"/>
        <v>m</v>
      </c>
      <c r="BH3288" s="65"/>
      <c r="BI3288" s="65"/>
      <c r="BJ3288" s="65"/>
      <c r="BK3288" s="65"/>
      <c r="BL3288" s="99"/>
      <c r="BM3288" s="99"/>
      <c r="BN3288" s="99"/>
    </row>
    <row r="3289" spans="1:66" s="51" customFormat="1" ht="18" x14ac:dyDescent="0.25">
      <c r="A3289" s="507" t="s">
        <v>3787</v>
      </c>
      <c r="B3289" s="470"/>
      <c r="C3289" s="706"/>
      <c r="D3289" s="471" t="s">
        <v>3788</v>
      </c>
      <c r="E3289" s="472"/>
      <c r="F3289" s="472"/>
      <c r="G3289" s="472"/>
      <c r="H3289" s="622" t="s">
        <v>3785</v>
      </c>
      <c r="I3289" s="473" t="s">
        <v>1458</v>
      </c>
      <c r="J3289" s="472"/>
      <c r="K3289" s="472"/>
      <c r="L3289" s="561"/>
      <c r="M3289" s="698" t="s">
        <v>5246</v>
      </c>
      <c r="N3289" s="692" t="str">
        <f>IF(AND(ISTEXT($A3289), ISERROR($A3289+0)), HYPERLINK($BF3289, "Images"), "")</f>
        <v>Images</v>
      </c>
      <c r="O3289" s="694" t="s">
        <v>5244</v>
      </c>
      <c r="P3289" s="475"/>
      <c r="Q3289" s="476"/>
      <c r="R3289" s="476"/>
      <c r="S3289" s="477" t="s">
        <v>294</v>
      </c>
      <c r="T3289" s="102">
        <f t="shared" si="2534"/>
        <v>0</v>
      </c>
      <c r="U3289" s="78" t="str">
        <f>IF(NOT(ISNUMBER(G3289)), "", VLOOKUP(A3289,'Discount Lookup'!D:E,2,FALSE)*G3289)</f>
        <v/>
      </c>
      <c r="V3289" s="78" t="str">
        <f>IF(NOT(ISNUMBER(G3289)), "", VLOOKUP(A3289,'Discount Lookup'!G:H,2,FALSE)*G3289)</f>
        <v/>
      </c>
      <c r="W3289" s="102">
        <f t="shared" si="2535"/>
        <v>0</v>
      </c>
      <c r="X3289" s="102" t="str">
        <f t="shared" si="2536"/>
        <v>Pink bloom</v>
      </c>
      <c r="Y3289" s="120" t="b">
        <f t="shared" si="2537"/>
        <v>0</v>
      </c>
      <c r="Z3289" s="117">
        <f t="shared" si="2538"/>
        <v>0</v>
      </c>
      <c r="AA3289" s="118"/>
      <c r="AB3289" s="118" t="str">
        <f t="shared" si="2539"/>
        <v/>
      </c>
      <c r="AC3289" s="712" t="str">
        <f>IF(AE3289="T2G","no charge",IF(AND(OR(PlanterYesMe="No",PlanterYesMe="N",PlanterYesMe="me"),H3289=""),"",IF(H3289="credit","NO install",IF(AND(K3289="",AE3289="me"),"EACH row",IF(AND(K3289="images",AE3289="me"),"EACH row",IF(D3289="","",IF(H3289="credit","",IF(AE3289="free","re-planting",IF(AE3289="me","   not ELP, by",IF(AND(OR(PlanterYesMe="Yes",PlanterYesMe="Y"),G3289&gt;0),(VLOOKUP(A3289,'Discount Lookup'!J:K,2)*G3289*(1-PlanterDiscount)*(1+PlanterDifficultyPercentage)),IF(AE3289="ELP",(VLOOKUP(A3289,'Discount Lookup'!J:K,2)*G3289*(1-PlanterDiscount)*(1+PlanterDifficultyPercentage)),IF(AE3289="free","re-planting",IF(G3289=0,"",IF(PlanterYesMe="",IF(AE3289="me","   not ELP, by",IF(AE3289="",IF(G3289&gt;0,(VLOOKUP(A3289,'Discount Lookup'!J:K,2)*G3289*(1-PlanterDiscount)*(1+PlanterDifficultyPercentage)),""),"")),"   not ELP, by"))))))))))))))</f>
        <v/>
      </c>
      <c r="AD3289" s="712"/>
      <c r="AE3289" s="513" t="str">
        <f t="shared" si="2540"/>
        <v/>
      </c>
      <c r="AF3289" s="713" t="str">
        <f t="shared" si="2541"/>
        <v/>
      </c>
      <c r="AG3289" s="713"/>
      <c r="AH3289" s="713"/>
      <c r="AI3289" s="112">
        <f>IF(H3289="credit",0,IF(AE3289="free",0,IF(AE3289="me",0,IF(G3289&gt;0,(VLOOKUP(A3289,'Discount Lookup'!J:K,2)*G3289),0))))</f>
        <v>0</v>
      </c>
      <c r="AJ3289" s="107" t="str">
        <f t="shared" ca="1" si="2542"/>
        <v/>
      </c>
      <c r="AK3289" s="714" t="str">
        <f t="shared" si="2543"/>
        <v/>
      </c>
      <c r="AL3289" s="714"/>
      <c r="AM3289" s="114" t="str">
        <f t="shared" si="2544"/>
        <v/>
      </c>
      <c r="AN3289" s="115"/>
      <c r="AO3289" s="116"/>
      <c r="AP3289" s="116"/>
      <c r="AQ3289" s="116"/>
      <c r="AR3289" s="116"/>
      <c r="AS3289" s="116"/>
      <c r="AT3289" s="116"/>
      <c r="AU3289" s="116"/>
      <c r="AV3289" s="78"/>
      <c r="AW3289" s="102"/>
      <c r="AX3289" s="78"/>
      <c r="AY3289" s="78"/>
      <c r="AZ3289" s="78"/>
      <c r="BA3289" s="78"/>
      <c r="BB3289" s="78"/>
      <c r="BC3289" s="78"/>
      <c r="BD3289" s="78"/>
      <c r="BE3289" s="465"/>
      <c r="BF3289" s="165" t="str">
        <f t="shared" si="2545"/>
        <v>https://www.google.com/search?tbm=isch&amp;q=Phlox%20subulata%20%27Fort%20Hill%27%20Fort%20Hill%20Creeping%20Phlox</v>
      </c>
      <c r="BG3289" s="165" t="str">
        <f t="shared" si="2546"/>
        <v>P</v>
      </c>
      <c r="BH3289" s="65"/>
      <c r="BI3289" s="65"/>
      <c r="BJ3289" s="65"/>
      <c r="BK3289" s="65"/>
      <c r="BL3289" s="99"/>
      <c r="BM3289" s="99"/>
      <c r="BN3289" s="99"/>
    </row>
    <row r="3290" spans="1:66" s="51" customFormat="1" ht="15.75" x14ac:dyDescent="0.25">
      <c r="A3290" s="478">
        <v>1</v>
      </c>
      <c r="B3290" s="479" t="s">
        <v>291</v>
      </c>
      <c r="C3290" s="480" t="s">
        <v>5008</v>
      </c>
      <c r="D3290" s="481" t="s">
        <v>293</v>
      </c>
      <c r="E3290" s="482">
        <v>24.95</v>
      </c>
      <c r="F3290" s="483" t="s">
        <v>292</v>
      </c>
      <c r="G3290" s="484">
        <v>0</v>
      </c>
      <c r="H3290" s="688" t="str">
        <f>IF(G3290=0,"",IF(F3290="Buy",IF(G3290=1,"plant","plants"),IF(F3290&gt;0.01,"warranty","Error")))</f>
        <v/>
      </c>
      <c r="I3290" s="485">
        <f>IF(H3290="free",0,IF(H3290="credit",((E3290*(F3290))*G3290*-1),IF(F3290="Buy",(E3290*G3290),((E3290*(1-F3290))*G3290))))</f>
        <v>0</v>
      </c>
      <c r="J3290" s="485">
        <f>IF(H3290="warranty",0,(I3290*(_xlfn.SINGLE(SalesTaxPercentage))))</f>
        <v>0</v>
      </c>
      <c r="K3290" s="715">
        <f t="shared" ref="K3290" si="2548">I3290+J3290</f>
        <v>0</v>
      </c>
      <c r="L3290" s="715"/>
      <c r="M3290" s="689" t="str">
        <f ca="1">IF(AND(G3290&gt;0,E3290=0),"WARNING - no PRICE inserted",IF(H3290="free","FREE ~ no charge this plant",IF(H3290="credit",CONCATENATE("-$",ROUND(K3290*(1-_xlfn.SINGLE(T2GDiscount))*-1,2)," CREDIT after discount"),IF(_xlfn.SINGLE(T2GDiscount)=0,"",IF(G3290=0,"",IF(F3290="Buy",CONCATENATE("$",ROUND(K3290*(1-_xlfn.SINGLE(T2GDiscount)),2)," with ",(_xlfn.SINGLE(T2GDiscount)*100),"% discount"),CONCATENATE("$",ROUND(K3290*(1-_xlfn.SINGLE(T2GDiscount)),2)," with ",((_xlfn.SINGLE(T2GDiscount)*100+F3290*100)-(_xlfn.SINGLE(T2GDiscount)*100*F3290)),IF(F3290&gt;0,"% discounts",IF(_xlfn.SINGLE(NoWarrantyDiscount)&gt;0,"% discounts","% discount")))))))))</f>
        <v/>
      </c>
      <c r="N3290" s="690"/>
      <c r="O3290" s="486"/>
      <c r="P3290" s="486"/>
      <c r="Q3290" s="486"/>
      <c r="R3290" s="486"/>
      <c r="S3290" s="486"/>
      <c r="T3290" s="102">
        <f t="shared" si="2534"/>
        <v>0</v>
      </c>
      <c r="U3290" s="78">
        <f>IF(NOT(ISNUMBER(G3290)), "", VLOOKUP(A3290,'Discount Lookup'!D:E,2,FALSE)*G3290)</f>
        <v>0</v>
      </c>
      <c r="V3290" s="78">
        <f>IF(NOT(ISNUMBER(G3290)), "", VLOOKUP(A3290,'Discount Lookup'!G:H,2,FALSE)*G3290)</f>
        <v>0</v>
      </c>
      <c r="W3290" s="102">
        <f t="shared" si="2535"/>
        <v>0</v>
      </c>
      <c r="X3290" s="102">
        <f t="shared" si="2536"/>
        <v>0</v>
      </c>
      <c r="Y3290" s="120" t="b">
        <f t="shared" si="2537"/>
        <v>0</v>
      </c>
      <c r="Z3290" s="117">
        <f t="shared" si="2538"/>
        <v>0</v>
      </c>
      <c r="AA3290" s="118"/>
      <c r="AB3290" s="118" t="str">
        <f t="shared" si="2539"/>
        <v/>
      </c>
      <c r="AC3290" s="712" t="str">
        <f>IF(AE3290="T2G","no charge",IF(AND(OR(PlanterYesMe="No",PlanterYesMe="N",PlanterYesMe="me"),H3290=""),"",IF(H3290="credit","NO install",IF(AND(K3290="",AE3290="me"),"EACH row",IF(AND(K3290="images",AE3290="me"),"EACH row",IF(D3290="","",IF(H3290="credit","",IF(AE3290="free","re-planting",IF(AE3290="me","   not ELP, by",IF(AND(OR(PlanterYesMe="Yes",PlanterYesMe="Y"),G3290&gt;0),(VLOOKUP(A3290,'Discount Lookup'!J:K,2)*G3290*(1-PlanterDiscount)*(1+PlanterDifficultyPercentage)),IF(AE3290="ELP",(VLOOKUP(A3290,'Discount Lookup'!J:K,2)*G3290*(1-PlanterDiscount)*(1+PlanterDifficultyPercentage)),IF(AE3290="free","re-planting",IF(G3290=0,"",IF(PlanterYesMe="",IF(AE3290="me","   not ELP, by",IF(AE3290="",IF(G3290&gt;0,(VLOOKUP(A3290,'Discount Lookup'!J:K,2)*G3290*(1-PlanterDiscount)*(1+PlanterDifficultyPercentage)),""),"")),"   not ELP, by"))))))))))))))</f>
        <v/>
      </c>
      <c r="AD3290" s="712"/>
      <c r="AE3290" s="513" t="str">
        <f t="shared" si="2540"/>
        <v/>
      </c>
      <c r="AF3290" s="713" t="str">
        <f t="shared" si="2541"/>
        <v/>
      </c>
      <c r="AG3290" s="713"/>
      <c r="AH3290" s="713"/>
      <c r="AI3290" s="112">
        <f>IF(H3290="credit",0,IF(AE3290="free",0,IF(AE3290="me",0,IF(G3290&gt;0,(VLOOKUP(A3290,'Discount Lookup'!J:K,2)*G3290),0))))</f>
        <v>0</v>
      </c>
      <c r="AJ3290" s="107" t="str">
        <f t="shared" ca="1" si="2542"/>
        <v/>
      </c>
      <c r="AK3290" s="714" t="str">
        <f t="shared" si="2543"/>
        <v/>
      </c>
      <c r="AL3290" s="714"/>
      <c r="AM3290" s="114" t="str">
        <f t="shared" si="2544"/>
        <v/>
      </c>
      <c r="AN3290" s="115"/>
      <c r="AO3290" s="116"/>
      <c r="AP3290" s="116"/>
      <c r="AQ3290" s="116"/>
      <c r="AR3290" s="116"/>
      <c r="AS3290" s="116"/>
      <c r="AT3290" s="116"/>
      <c r="AU3290" s="116"/>
      <c r="AV3290" s="78"/>
      <c r="AW3290" s="102"/>
      <c r="AX3290" s="78"/>
      <c r="AY3290" s="78"/>
      <c r="AZ3290" s="78"/>
      <c r="BA3290" s="78"/>
      <c r="BB3290" s="78"/>
      <c r="BC3290" s="78"/>
      <c r="BD3290" s="78"/>
      <c r="BE3290" s="465"/>
      <c r="BF3290" s="165" t="str">
        <f t="shared" si="2545"/>
        <v>https://www.google.com/search?tbm=isch&amp;q=1%20G6</v>
      </c>
      <c r="BG3290" s="165" t="str">
        <f t="shared" si="2546"/>
        <v>P</v>
      </c>
      <c r="BH3290" s="65"/>
      <c r="BI3290" s="65"/>
      <c r="BJ3290" s="65"/>
      <c r="BK3290" s="65"/>
      <c r="BL3290" s="99"/>
      <c r="BM3290" s="99"/>
      <c r="BN3290" s="99"/>
    </row>
    <row r="3291" spans="1:66" s="51" customFormat="1" ht="17.25" thickBot="1" x14ac:dyDescent="0.3">
      <c r="A3291" s="508" t="s">
        <v>3789</v>
      </c>
      <c r="B3291" s="487"/>
      <c r="C3291" s="707"/>
      <c r="D3291" s="487"/>
      <c r="E3291" s="487"/>
      <c r="F3291" s="488"/>
      <c r="G3291" s="489"/>
      <c r="H3291" s="487"/>
      <c r="I3291" s="490"/>
      <c r="J3291" s="490"/>
      <c r="K3291" s="491"/>
      <c r="L3291" s="547"/>
      <c r="M3291" s="528"/>
      <c r="N3291" s="492"/>
      <c r="O3291" s="493"/>
      <c r="P3291" s="494"/>
      <c r="Q3291" s="492"/>
      <c r="R3291" s="492"/>
      <c r="S3291" s="699" t="s">
        <v>5300</v>
      </c>
      <c r="T3291" s="102">
        <f t="shared" si="2534"/>
        <v>0</v>
      </c>
      <c r="U3291" s="78" t="str">
        <f>IF(NOT(ISNUMBER(G3291)), "", VLOOKUP(A3291,'Discount Lookup'!D:E,2,FALSE)*G3291)</f>
        <v/>
      </c>
      <c r="V3291" s="78" t="str">
        <f>IF(NOT(ISNUMBER(G3291)), "", VLOOKUP(A3291,'Discount Lookup'!G:H,2,FALSE)*G3291)</f>
        <v/>
      </c>
      <c r="W3291" s="102">
        <f t="shared" si="2535"/>
        <v>0</v>
      </c>
      <c r="X3291" s="102">
        <f t="shared" si="2536"/>
        <v>0</v>
      </c>
      <c r="Y3291" s="120" t="b">
        <f t="shared" si="2537"/>
        <v>0</v>
      </c>
      <c r="Z3291" s="117">
        <f t="shared" si="2538"/>
        <v>0</v>
      </c>
      <c r="AA3291" s="118"/>
      <c r="AB3291" s="118" t="str">
        <f t="shared" si="2539"/>
        <v/>
      </c>
      <c r="AC3291" s="712" t="str">
        <f>IF(AE3291="T2G","no charge",IF(AND(OR(PlanterYesMe="No",PlanterYesMe="N",PlanterYesMe="me"),H3291=""),"",IF(H3291="credit","NO install",IF(AND(K3291="",AE3291="me"),"EACH row",IF(AND(K3291="images",AE3291="me"),"EACH row",IF(D3291="","",IF(H3291="credit","",IF(AE3291="free","re-planting",IF(AE3291="me","   not ELP, by",IF(AND(OR(PlanterYesMe="Yes",PlanterYesMe="Y"),G3291&gt;0),(VLOOKUP(A3291,'Discount Lookup'!J:K,2)*G3291*(1-PlanterDiscount)*(1+PlanterDifficultyPercentage)),IF(AE3291="ELP",(VLOOKUP(A3291,'Discount Lookup'!J:K,2)*G3291*(1-PlanterDiscount)*(1+PlanterDifficultyPercentage)),IF(AE3291="free","re-planting",IF(G3291=0,"",IF(PlanterYesMe="",IF(AE3291="me","   not ELP, by",IF(AE3291="",IF(G3291&gt;0,(VLOOKUP(A3291,'Discount Lookup'!J:K,2)*G3291*(1-PlanterDiscount)*(1+PlanterDifficultyPercentage)),""),"")),"   not ELP, by"))))))))))))))</f>
        <v/>
      </c>
      <c r="AD3291" s="712"/>
      <c r="AE3291" s="513" t="str">
        <f t="shared" si="2540"/>
        <v/>
      </c>
      <c r="AF3291" s="713" t="str">
        <f t="shared" si="2541"/>
        <v/>
      </c>
      <c r="AG3291" s="713"/>
      <c r="AH3291" s="713"/>
      <c r="AI3291" s="112">
        <f>IF(H3291="credit",0,IF(AE3291="free",0,IF(AE3291="me",0,IF(G3291&gt;0,(VLOOKUP(A3291,'Discount Lookup'!J:K,2)*G3291),0))))</f>
        <v>0</v>
      </c>
      <c r="AJ3291" s="107" t="str">
        <f t="shared" ca="1" si="2542"/>
        <v/>
      </c>
      <c r="AK3291" s="714" t="str">
        <f t="shared" si="2543"/>
        <v/>
      </c>
      <c r="AL3291" s="714"/>
      <c r="AM3291" s="114" t="str">
        <f t="shared" si="2544"/>
        <v/>
      </c>
      <c r="AN3291" s="115"/>
      <c r="AO3291" s="116"/>
      <c r="AP3291" s="116"/>
      <c r="AQ3291" s="116"/>
      <c r="AR3291" s="116"/>
      <c r="AS3291" s="116"/>
      <c r="AT3291" s="116"/>
      <c r="AU3291" s="116"/>
      <c r="AV3291" s="78"/>
      <c r="AW3291" s="102"/>
      <c r="AX3291" s="78"/>
      <c r="AY3291" s="78"/>
      <c r="AZ3291" s="78"/>
      <c r="BA3291" s="78"/>
      <c r="BB3291" s="78"/>
      <c r="BC3291" s="78"/>
      <c r="BD3291" s="78"/>
      <c r="BE3291" s="465"/>
      <c r="BF3291" s="165" t="str">
        <f t="shared" si="2545"/>
        <v>https://www.google.com/search?tbm=isch&amp;q=Fort%20Hill%20blooms%20from%20mid%20spring%20to%20early%20summer%2C%20atop%20bright%20green%2C%20needle-like%20foliage%20</v>
      </c>
      <c r="BG3291" s="165" t="str">
        <f t="shared" si="2546"/>
        <v>F</v>
      </c>
      <c r="BH3291" s="65"/>
      <c r="BI3291" s="65"/>
      <c r="BJ3291" s="65"/>
      <c r="BK3291" s="65"/>
      <c r="BL3291" s="99"/>
      <c r="BM3291" s="99"/>
      <c r="BN3291" s="99"/>
    </row>
    <row r="3292" spans="1:66" s="51" customFormat="1" ht="18" x14ac:dyDescent="0.25">
      <c r="A3292" s="507" t="s">
        <v>3790</v>
      </c>
      <c r="B3292" s="470"/>
      <c r="C3292" s="706"/>
      <c r="D3292" s="471" t="s">
        <v>3791</v>
      </c>
      <c r="E3292" s="472"/>
      <c r="F3292" s="472"/>
      <c r="G3292" s="472"/>
      <c r="H3292" s="622" t="s">
        <v>3792</v>
      </c>
      <c r="I3292" s="473" t="s">
        <v>3374</v>
      </c>
      <c r="J3292" s="472"/>
      <c r="K3292" s="472"/>
      <c r="L3292" s="561"/>
      <c r="M3292" s="698" t="s">
        <v>5240</v>
      </c>
      <c r="N3292" s="692" t="str">
        <f>IF(AND(ISTEXT($A3292), ISERROR($A3292+0)), HYPERLINK($BF3292, "Images"), "")</f>
        <v>Images</v>
      </c>
      <c r="O3292" s="694" t="s">
        <v>5264</v>
      </c>
      <c r="P3292" s="475"/>
      <c r="Q3292" s="476"/>
      <c r="R3292" s="476"/>
      <c r="S3292" s="477"/>
      <c r="T3292" s="102">
        <f t="shared" si="2534"/>
        <v>0</v>
      </c>
      <c r="U3292" s="78" t="str">
        <f>IF(NOT(ISNUMBER(G3292)), "", VLOOKUP(A3292,'Discount Lookup'!D:E,2,FALSE)*G3292)</f>
        <v/>
      </c>
      <c r="V3292" s="78" t="str">
        <f>IF(NOT(ISNUMBER(G3292)), "", VLOOKUP(A3292,'Discount Lookup'!G:H,2,FALSE)*G3292)</f>
        <v/>
      </c>
      <c r="W3292" s="102">
        <f t="shared" si="2535"/>
        <v>0</v>
      </c>
      <c r="X3292" s="102" t="str">
        <f t="shared" si="2536"/>
        <v>Violet-Purple bloom</v>
      </c>
      <c r="Y3292" s="120" t="b">
        <f t="shared" si="2537"/>
        <v>0</v>
      </c>
      <c r="Z3292" s="117">
        <f t="shared" si="2538"/>
        <v>0</v>
      </c>
      <c r="AA3292" s="118"/>
      <c r="AB3292" s="118" t="str">
        <f t="shared" si="2539"/>
        <v/>
      </c>
      <c r="AC3292" s="712" t="str">
        <f>IF(AE3292="T2G","no charge",IF(AND(OR(PlanterYesMe="No",PlanterYesMe="N",PlanterYesMe="me"),H3292=""),"",IF(H3292="credit","NO install",IF(AND(K3292="",AE3292="me"),"EACH row",IF(AND(K3292="images",AE3292="me"),"EACH row",IF(D3292="","",IF(H3292="credit","",IF(AE3292="free","re-planting",IF(AE3292="me","   not ELP, by",IF(AND(OR(PlanterYesMe="Yes",PlanterYesMe="Y"),G3292&gt;0),(VLOOKUP(A3292,'Discount Lookup'!J:K,2)*G3292*(1-PlanterDiscount)*(1+PlanterDifficultyPercentage)),IF(AE3292="ELP",(VLOOKUP(A3292,'Discount Lookup'!J:K,2)*G3292*(1-PlanterDiscount)*(1+PlanterDifficultyPercentage)),IF(AE3292="free","re-planting",IF(G3292=0,"",IF(PlanterYesMe="",IF(AE3292="me","   not ELP, by",IF(AE3292="",IF(G3292&gt;0,(VLOOKUP(A3292,'Discount Lookup'!J:K,2)*G3292*(1-PlanterDiscount)*(1+PlanterDifficultyPercentage)),""),"")),"   not ELP, by"))))))))))))))</f>
        <v/>
      </c>
      <c r="AD3292" s="712"/>
      <c r="AE3292" s="513" t="str">
        <f t="shared" si="2540"/>
        <v/>
      </c>
      <c r="AF3292" s="713" t="str">
        <f t="shared" si="2541"/>
        <v/>
      </c>
      <c r="AG3292" s="713"/>
      <c r="AH3292" s="713"/>
      <c r="AI3292" s="112">
        <f>IF(H3292="credit",0,IF(AE3292="free",0,IF(AE3292="me",0,IF(G3292&gt;0,(VLOOKUP(A3292,'Discount Lookup'!J:K,2)*G3292),0))))</f>
        <v>0</v>
      </c>
      <c r="AJ3292" s="107" t="str">
        <f t="shared" ca="1" si="2542"/>
        <v/>
      </c>
      <c r="AK3292" s="714" t="str">
        <f t="shared" si="2543"/>
        <v/>
      </c>
      <c r="AL3292" s="714"/>
      <c r="AM3292" s="114" t="str">
        <f t="shared" si="2544"/>
        <v/>
      </c>
      <c r="AN3292" s="115"/>
      <c r="AO3292" s="116"/>
      <c r="AP3292" s="116"/>
      <c r="AQ3292" s="116"/>
      <c r="AR3292" s="116"/>
      <c r="AS3292" s="116"/>
      <c r="AT3292" s="116"/>
      <c r="AU3292" s="116"/>
      <c r="AV3292" s="78"/>
      <c r="AW3292" s="102"/>
      <c r="AX3292" s="78"/>
      <c r="AY3292" s="78"/>
      <c r="AZ3292" s="78"/>
      <c r="BA3292" s="78"/>
      <c r="BB3292" s="78"/>
      <c r="BC3292" s="78"/>
      <c r="BD3292" s="78"/>
      <c r="BE3292" s="465"/>
      <c r="BF3292" s="165" t="str">
        <f t="shared" si="2545"/>
        <v>https://www.google.com/search?tbm=isch&amp;q=Phlox%20%27Violet%20Pinwheels%27%20PP%2325884%20Violet%20Pinwheels%20Creeping%20Phlox</v>
      </c>
      <c r="BG3292" s="165" t="str">
        <f t="shared" si="2546"/>
        <v>P</v>
      </c>
      <c r="BH3292" s="65"/>
      <c r="BI3292" s="65"/>
      <c r="BJ3292" s="65"/>
      <c r="BK3292" s="65"/>
      <c r="BL3292" s="99"/>
      <c r="BM3292" s="99"/>
      <c r="BN3292" s="99"/>
    </row>
    <row r="3293" spans="1:66" s="51" customFormat="1" ht="15.75" x14ac:dyDescent="0.25">
      <c r="A3293" s="478">
        <v>1</v>
      </c>
      <c r="B3293" s="479" t="s">
        <v>291</v>
      </c>
      <c r="C3293" s="480"/>
      <c r="D3293" s="481" t="s">
        <v>329</v>
      </c>
      <c r="E3293" s="482">
        <v>10.95</v>
      </c>
      <c r="F3293" s="483" t="s">
        <v>292</v>
      </c>
      <c r="G3293" s="484">
        <v>0</v>
      </c>
      <c r="H3293" s="688" t="str">
        <f>IF(G3293=0,"",IF(F3293="Buy",IF(G3293=1,"plant","plants"),IF(F3293&gt;0.01,"warranty","Error")))</f>
        <v/>
      </c>
      <c r="I3293" s="485">
        <f>IF(H3293="free",0,IF(H3293="credit",((E3293*(F3293))*G3293*-1),IF(F3293="Buy",(E3293*G3293),((E3293*(1-F3293))*G3293))))</f>
        <v>0</v>
      </c>
      <c r="J3293" s="485">
        <f>IF(H3293="warranty",0,(I3293*(_xlfn.SINGLE(SalesTaxPercentage))))</f>
        <v>0</v>
      </c>
      <c r="K3293" s="715">
        <f t="shared" ref="K3293" si="2549">I3293+J3293</f>
        <v>0</v>
      </c>
      <c r="L3293" s="715"/>
      <c r="M3293" s="689" t="str">
        <f ca="1">IF(AND(G3293&gt;0,E3293=0),"WARNING - no PRICE inserted",IF(H3293="free","FREE ~ no charge this plant",IF(H3293="credit",CONCATENATE("-$",ROUND(K3293*(1-_xlfn.SINGLE(T2GDiscount))*-1,2)," CREDIT after discount"),IF(_xlfn.SINGLE(T2GDiscount)=0,"",IF(G3293=0,"",IF(F3293="Buy",CONCATENATE("$",ROUND(K3293*(1-_xlfn.SINGLE(T2GDiscount)),2)," with ",(_xlfn.SINGLE(T2GDiscount)*100),"% discount"),CONCATENATE("$",ROUND(K3293*(1-_xlfn.SINGLE(T2GDiscount)),2)," with ",((_xlfn.SINGLE(T2GDiscount)*100+F3293*100)-(_xlfn.SINGLE(T2GDiscount)*100*F3293)),IF(F3293&gt;0,"% discounts",IF(_xlfn.SINGLE(NoWarrantyDiscount)&gt;0,"% discounts","% discount")))))))))</f>
        <v/>
      </c>
      <c r="N3293" s="690"/>
      <c r="O3293" s="486"/>
      <c r="P3293" s="486"/>
      <c r="Q3293" s="486"/>
      <c r="R3293" s="486"/>
      <c r="S3293" s="486"/>
      <c r="T3293" s="102">
        <f t="shared" si="2534"/>
        <v>0</v>
      </c>
      <c r="U3293" s="78">
        <f>IF(NOT(ISNUMBER(G3293)), "", VLOOKUP(A3293,'Discount Lookup'!D:E,2,FALSE)*G3293)</f>
        <v>0</v>
      </c>
      <c r="V3293" s="78">
        <f>IF(NOT(ISNUMBER(G3293)), "", VLOOKUP(A3293,'Discount Lookup'!G:H,2,FALSE)*G3293)</f>
        <v>0</v>
      </c>
      <c r="W3293" s="102">
        <f t="shared" si="2535"/>
        <v>0</v>
      </c>
      <c r="X3293" s="102">
        <f t="shared" si="2536"/>
        <v>0</v>
      </c>
      <c r="Y3293" s="120" t="b">
        <f t="shared" si="2537"/>
        <v>0</v>
      </c>
      <c r="Z3293" s="117">
        <f t="shared" si="2538"/>
        <v>0</v>
      </c>
      <c r="AA3293" s="118"/>
      <c r="AB3293" s="118" t="str">
        <f t="shared" si="2539"/>
        <v/>
      </c>
      <c r="AC3293" s="712" t="str">
        <f>IF(AE3293="T2G","no charge",IF(AND(OR(PlanterYesMe="No",PlanterYesMe="N",PlanterYesMe="me"),H3293=""),"",IF(H3293="credit","NO install",IF(AND(K3293="",AE3293="me"),"EACH row",IF(AND(K3293="images",AE3293="me"),"EACH row",IF(D3293="","",IF(H3293="credit","",IF(AE3293="free","re-planting",IF(AE3293="me","   not ELP, by",IF(AND(OR(PlanterYesMe="Yes",PlanterYesMe="Y"),G3293&gt;0),(VLOOKUP(A3293,'Discount Lookup'!J:K,2)*G3293*(1-PlanterDiscount)*(1+PlanterDifficultyPercentage)),IF(AE3293="ELP",(VLOOKUP(A3293,'Discount Lookup'!J:K,2)*G3293*(1-PlanterDiscount)*(1+PlanterDifficultyPercentage)),IF(AE3293="free","re-planting",IF(G3293=0,"",IF(PlanterYesMe="",IF(AE3293="me","   not ELP, by",IF(AE3293="",IF(G3293&gt;0,(VLOOKUP(A3293,'Discount Lookup'!J:K,2)*G3293*(1-PlanterDiscount)*(1+PlanterDifficultyPercentage)),""),"")),"   not ELP, by"))))))))))))))</f>
        <v/>
      </c>
      <c r="AD3293" s="712"/>
      <c r="AE3293" s="513" t="str">
        <f t="shared" si="2540"/>
        <v/>
      </c>
      <c r="AF3293" s="713" t="str">
        <f t="shared" si="2541"/>
        <v/>
      </c>
      <c r="AG3293" s="713"/>
      <c r="AH3293" s="713"/>
      <c r="AI3293" s="112">
        <f>IF(H3293="credit",0,IF(AE3293="free",0,IF(AE3293="me",0,IF(G3293&gt;0,(VLOOKUP(A3293,'Discount Lookup'!J:K,2)*G3293),0))))</f>
        <v>0</v>
      </c>
      <c r="AJ3293" s="107" t="str">
        <f t="shared" ca="1" si="2542"/>
        <v/>
      </c>
      <c r="AK3293" s="714" t="str">
        <f t="shared" si="2543"/>
        <v/>
      </c>
      <c r="AL3293" s="714"/>
      <c r="AM3293" s="114" t="str">
        <f t="shared" si="2544"/>
        <v/>
      </c>
      <c r="AN3293" s="115"/>
      <c r="AO3293" s="116"/>
      <c r="AP3293" s="116"/>
      <c r="AQ3293" s="116"/>
      <c r="AR3293" s="116"/>
      <c r="AS3293" s="116"/>
      <c r="AT3293" s="116"/>
      <c r="AU3293" s="116"/>
      <c r="AV3293" s="78"/>
      <c r="AW3293" s="102"/>
      <c r="AX3293" s="78"/>
      <c r="AY3293" s="78"/>
      <c r="AZ3293" s="78"/>
      <c r="BA3293" s="78"/>
      <c r="BB3293" s="78"/>
      <c r="BC3293" s="78"/>
      <c r="BD3293" s="78"/>
      <c r="BE3293" s="465"/>
      <c r="BF3293" s="165" t="str">
        <f t="shared" si="2545"/>
        <v>https://www.google.com/search?tbm=isch&amp;q=1%20G2</v>
      </c>
      <c r="BG3293" s="165" t="str">
        <f t="shared" si="2546"/>
        <v>P</v>
      </c>
      <c r="BH3293" s="65"/>
      <c r="BI3293" s="65"/>
      <c r="BJ3293" s="65"/>
      <c r="BK3293" s="65"/>
      <c r="BL3293" s="99"/>
      <c r="BM3293" s="99"/>
      <c r="BN3293" s="99"/>
    </row>
    <row r="3294" spans="1:66" s="51" customFormat="1" ht="16.5" x14ac:dyDescent="0.25">
      <c r="A3294" s="508" t="s">
        <v>3793</v>
      </c>
      <c r="B3294" s="487"/>
      <c r="C3294" s="707"/>
      <c r="D3294" s="487"/>
      <c r="E3294" s="487"/>
      <c r="F3294" s="488"/>
      <c r="G3294" s="489"/>
      <c r="H3294" s="487"/>
      <c r="I3294" s="490"/>
      <c r="J3294" s="490"/>
      <c r="K3294" s="491"/>
      <c r="L3294" s="547"/>
      <c r="M3294" s="528"/>
      <c r="N3294" s="492"/>
      <c r="O3294" s="493"/>
      <c r="P3294" s="494"/>
      <c r="Q3294" s="492"/>
      <c r="R3294" s="492"/>
      <c r="S3294" s="699" t="s">
        <v>5301</v>
      </c>
      <c r="T3294" s="102">
        <f t="shared" si="2534"/>
        <v>0</v>
      </c>
      <c r="U3294" s="78" t="str">
        <f>IF(NOT(ISNUMBER(G3294)), "", VLOOKUP(A3294,'Discount Lookup'!D:E,2,FALSE)*G3294)</f>
        <v/>
      </c>
      <c r="V3294" s="78" t="str">
        <f>IF(NOT(ISNUMBER(G3294)), "", VLOOKUP(A3294,'Discount Lookup'!G:H,2,FALSE)*G3294)</f>
        <v/>
      </c>
      <c r="W3294" s="102">
        <f t="shared" si="2535"/>
        <v>0</v>
      </c>
      <c r="X3294" s="102">
        <f t="shared" si="2536"/>
        <v>0</v>
      </c>
      <c r="Y3294" s="120" t="b">
        <f t="shared" si="2537"/>
        <v>0</v>
      </c>
      <c r="Z3294" s="117">
        <f t="shared" si="2538"/>
        <v>0</v>
      </c>
      <c r="AA3294" s="118"/>
      <c r="AB3294" s="118" t="str">
        <f t="shared" si="2539"/>
        <v/>
      </c>
      <c r="AC3294" s="712" t="str">
        <f>IF(AE3294="T2G","no charge",IF(AND(OR(PlanterYesMe="No",PlanterYesMe="N",PlanterYesMe="me"),H3294=""),"",IF(H3294="credit","NO install",IF(AND(K3294="",AE3294="me"),"EACH row",IF(AND(K3294="images",AE3294="me"),"EACH row",IF(D3294="","",IF(H3294="credit","",IF(AE3294="free","re-planting",IF(AE3294="me","   not ELP, by",IF(AND(OR(PlanterYesMe="Yes",PlanterYesMe="Y"),G3294&gt;0),(VLOOKUP(A3294,'Discount Lookup'!J:K,2)*G3294*(1-PlanterDiscount)*(1+PlanterDifficultyPercentage)),IF(AE3294="ELP",(VLOOKUP(A3294,'Discount Lookup'!J:K,2)*G3294*(1-PlanterDiscount)*(1+PlanterDifficultyPercentage)),IF(AE3294="free","re-planting",IF(G3294=0,"",IF(PlanterYesMe="",IF(AE3294="me","   not ELP, by",IF(AE3294="",IF(G3294&gt;0,(VLOOKUP(A3294,'Discount Lookup'!J:K,2)*G3294*(1-PlanterDiscount)*(1+PlanterDifficultyPercentage)),""),"")),"   not ELP, by"))))))))))))))</f>
        <v/>
      </c>
      <c r="AD3294" s="712"/>
      <c r="AE3294" s="513" t="str">
        <f t="shared" si="2540"/>
        <v/>
      </c>
      <c r="AF3294" s="713" t="str">
        <f t="shared" si="2541"/>
        <v/>
      </c>
      <c r="AG3294" s="713"/>
      <c r="AH3294" s="713"/>
      <c r="AI3294" s="112">
        <f>IF(H3294="credit",0,IF(AE3294="free",0,IF(AE3294="me",0,IF(G3294&gt;0,(VLOOKUP(A3294,'Discount Lookup'!J:K,2)*G3294),0))))</f>
        <v>0</v>
      </c>
      <c r="AJ3294" s="107" t="str">
        <f t="shared" ca="1" si="2542"/>
        <v/>
      </c>
      <c r="AK3294" s="714" t="str">
        <f t="shared" si="2543"/>
        <v/>
      </c>
      <c r="AL3294" s="714"/>
      <c r="AM3294" s="114" t="str">
        <f t="shared" si="2544"/>
        <v/>
      </c>
      <c r="AN3294" s="115"/>
      <c r="AO3294" s="116"/>
      <c r="AP3294" s="116"/>
      <c r="AQ3294" s="116"/>
      <c r="AR3294" s="116"/>
      <c r="AS3294" s="116"/>
      <c r="AT3294" s="116"/>
      <c r="AU3294" s="116"/>
      <c r="AV3294" s="78"/>
      <c r="AW3294" s="102"/>
      <c r="AX3294" s="78"/>
      <c r="AY3294" s="78"/>
      <c r="AZ3294" s="78"/>
      <c r="BA3294" s="78"/>
      <c r="BB3294" s="78"/>
      <c r="BC3294" s="78"/>
      <c r="BD3294" s="78"/>
      <c r="BE3294" s="465"/>
      <c r="BF3294" s="165" t="str">
        <f t="shared" si="2545"/>
        <v>https://www.google.com/search?tbm=isch&amp;q=Violet%20Pinwheels%20is%20notable%20for%20its%20vibrant%2C%20star-shaped%20flowers%20with%20distinct%2C%20%22pinwheel%22%20petals%20</v>
      </c>
      <c r="BG3294" s="165" t="str">
        <f t="shared" si="2546"/>
        <v>V</v>
      </c>
      <c r="BH3294" s="65"/>
      <c r="BI3294" s="65"/>
      <c r="BJ3294" s="65"/>
      <c r="BK3294" s="65"/>
      <c r="BL3294" s="99"/>
      <c r="BM3294" s="99"/>
      <c r="BN3294" s="99"/>
    </row>
    <row r="3295" spans="1:66" s="51" customFormat="1" ht="19.5" thickBot="1" x14ac:dyDescent="0.3">
      <c r="A3295" s="686" t="s">
        <v>4944</v>
      </c>
      <c r="B3295" s="73"/>
      <c r="C3295" s="708"/>
      <c r="D3295" s="73"/>
      <c r="E3295" s="73"/>
      <c r="F3295" s="496"/>
      <c r="G3295" s="73"/>
      <c r="H3295" s="73"/>
      <c r="I3295" s="73"/>
      <c r="J3295" s="497" t="s">
        <v>357</v>
      </c>
      <c r="K3295" s="498"/>
      <c r="L3295" s="562"/>
      <c r="M3295" s="73"/>
      <c r="N3295"/>
      <c r="O3295"/>
      <c r="P3295"/>
      <c r="Q3295"/>
      <c r="R3295"/>
      <c r="S3295"/>
      <c r="T3295" s="102">
        <f t="shared" si="2534"/>
        <v>0</v>
      </c>
      <c r="U3295" s="78" t="str">
        <f>IF(NOT(ISNUMBER(G3295)), "", VLOOKUP(A3295,'Discount Lookup'!D:E,2,FALSE)*G3295)</f>
        <v/>
      </c>
      <c r="V3295" s="78" t="str">
        <f>IF(NOT(ISNUMBER(G3295)), "", VLOOKUP(A3295,'Discount Lookup'!G:H,2,FALSE)*G3295)</f>
        <v/>
      </c>
      <c r="W3295" s="102">
        <f t="shared" si="2535"/>
        <v>0</v>
      </c>
      <c r="X3295" s="102">
        <f t="shared" si="2536"/>
        <v>0</v>
      </c>
      <c r="Y3295" s="120" t="b">
        <f t="shared" si="2537"/>
        <v>0</v>
      </c>
      <c r="Z3295" s="117">
        <f t="shared" si="2538"/>
        <v>0</v>
      </c>
      <c r="AA3295" s="118"/>
      <c r="AB3295" s="118" t="str">
        <f t="shared" si="2539"/>
        <v/>
      </c>
      <c r="AC3295" s="712" t="str">
        <f>IF(AE3295="T2G","no charge",IF(AND(OR(PlanterYesMe="No",PlanterYesMe="N",PlanterYesMe="me"),H3295=""),"",IF(H3295="credit","NO install",IF(AND(K3295="",AE3295="me"),"EACH row",IF(AND(K3295="images",AE3295="me"),"EACH row",IF(D3295="","",IF(H3295="credit","",IF(AE3295="free","re-planting",IF(AE3295="me","   not ELP, by",IF(AND(OR(PlanterYesMe="Yes",PlanterYesMe="Y"),G3295&gt;0),(VLOOKUP(A3295,'Discount Lookup'!J:K,2)*G3295*(1-PlanterDiscount)*(1+PlanterDifficultyPercentage)),IF(AE3295="ELP",(VLOOKUP(A3295,'Discount Lookup'!J:K,2)*G3295*(1-PlanterDiscount)*(1+PlanterDifficultyPercentage)),IF(AE3295="free","re-planting",IF(G3295=0,"",IF(PlanterYesMe="",IF(AE3295="me","   not ELP, by",IF(AE3295="",IF(G3295&gt;0,(VLOOKUP(A3295,'Discount Lookup'!J:K,2)*G3295*(1-PlanterDiscount)*(1+PlanterDifficultyPercentage)),""),"")),"   not ELP, by"))))))))))))))</f>
        <v/>
      </c>
      <c r="AD3295" s="712"/>
      <c r="AE3295" s="513" t="str">
        <f t="shared" si="2540"/>
        <v/>
      </c>
      <c r="AF3295" s="713" t="str">
        <f t="shared" si="2541"/>
        <v/>
      </c>
      <c r="AG3295" s="713"/>
      <c r="AH3295" s="713"/>
      <c r="AI3295" s="112">
        <f>IF(H3295="credit",0,IF(AE3295="free",0,IF(AE3295="me",0,IF(G3295&gt;0,(VLOOKUP(A3295,'Discount Lookup'!J:K,2)*G3295),0))))</f>
        <v>0</v>
      </c>
      <c r="AJ3295" s="107" t="str">
        <f t="shared" ca="1" si="2542"/>
        <v/>
      </c>
      <c r="AK3295" s="714" t="str">
        <f t="shared" si="2543"/>
        <v/>
      </c>
      <c r="AL3295" s="714"/>
      <c r="AM3295" s="114" t="str">
        <f t="shared" si="2544"/>
        <v/>
      </c>
      <c r="AN3295" s="115"/>
      <c r="AO3295" s="116"/>
      <c r="AP3295" s="116"/>
      <c r="AQ3295" s="116"/>
      <c r="AR3295" s="116"/>
      <c r="AS3295" s="116"/>
      <c r="AT3295" s="116"/>
      <c r="AU3295" s="116"/>
      <c r="AV3295" s="78"/>
      <c r="AW3295" s="102"/>
      <c r="AX3295" s="78"/>
      <c r="AY3295" s="78"/>
      <c r="AZ3295" s="78"/>
      <c r="BA3295" s="78"/>
      <c r="BB3295" s="78"/>
      <c r="BC3295" s="78"/>
      <c r="BD3295" s="78"/>
      <c r="BE3295" s="465"/>
      <c r="BF3295" s="165" t="str">
        <f t="shared" si="2545"/>
        <v>https://www.google.com/search?tbm=isch&amp;q=Phyllostachys%20%3D%201%20of%205%20Bamboo%20types%20%28fast%20runner%2C%20by%20rhizome%29%20</v>
      </c>
      <c r="BG3295" s="165" t="str">
        <f t="shared" si="2546"/>
        <v>P</v>
      </c>
      <c r="BH3295" s="65"/>
      <c r="BI3295" s="65"/>
      <c r="BJ3295" s="65"/>
      <c r="BK3295" s="65"/>
      <c r="BL3295" s="99"/>
      <c r="BM3295" s="99"/>
      <c r="BN3295" s="99"/>
    </row>
    <row r="3296" spans="1:66" s="51" customFormat="1" ht="18" x14ac:dyDescent="0.25">
      <c r="A3296" s="507" t="s">
        <v>3794</v>
      </c>
      <c r="B3296" s="470"/>
      <c r="C3296" s="706"/>
      <c r="D3296" s="471" t="s">
        <v>3795</v>
      </c>
      <c r="E3296" s="472"/>
      <c r="F3296" s="472"/>
      <c r="G3296" s="472"/>
      <c r="H3296" s="622" t="s">
        <v>3796</v>
      </c>
      <c r="I3296" s="473" t="s">
        <v>3797</v>
      </c>
      <c r="J3296" s="472"/>
      <c r="K3296" s="472"/>
      <c r="L3296" s="561"/>
      <c r="M3296" s="698" t="s">
        <v>5243</v>
      </c>
      <c r="N3296" s="692" t="str">
        <f>IF(AND(ISTEXT($A3296), ISERROR($A3296+0)), HYPERLINK($BF3296, "Images"), "")</f>
        <v>Images</v>
      </c>
      <c r="O3296" s="694" t="s">
        <v>5244</v>
      </c>
      <c r="P3296" s="475"/>
      <c r="Q3296" s="476"/>
      <c r="R3296" s="476"/>
      <c r="S3296" s="477"/>
      <c r="T3296" s="102">
        <f t="shared" si="2534"/>
        <v>0</v>
      </c>
      <c r="U3296" s="78" t="str">
        <f>IF(NOT(ISNUMBER(G3296)), "", VLOOKUP(A3296,'Discount Lookup'!D:E,2,FALSE)*G3296)</f>
        <v/>
      </c>
      <c r="V3296" s="78" t="str">
        <f>IF(NOT(ISNUMBER(G3296)), "", VLOOKUP(A3296,'Discount Lookup'!G:H,2,FALSE)*G3296)</f>
        <v/>
      </c>
      <c r="W3296" s="102">
        <f t="shared" si="2535"/>
        <v>0</v>
      </c>
      <c r="X3296" s="102" t="str">
        <f t="shared" si="2536"/>
        <v>Golden-Yellow culms</v>
      </c>
      <c r="Y3296" s="120" t="b">
        <f t="shared" si="2537"/>
        <v>0</v>
      </c>
      <c r="Z3296" s="117">
        <f t="shared" si="2538"/>
        <v>0</v>
      </c>
      <c r="AA3296" s="118"/>
      <c r="AB3296" s="118" t="str">
        <f t="shared" si="2539"/>
        <v/>
      </c>
      <c r="AC3296" s="712" t="str">
        <f>IF(AE3296="T2G","no charge",IF(AND(OR(PlanterYesMe="No",PlanterYesMe="N",PlanterYesMe="me"),H3296=""),"",IF(H3296="credit","NO install",IF(AND(K3296="",AE3296="me"),"EACH row",IF(AND(K3296="images",AE3296="me"),"EACH row",IF(D3296="","",IF(H3296="credit","",IF(AE3296="free","re-planting",IF(AE3296="me","   not ELP, by",IF(AND(OR(PlanterYesMe="Yes",PlanterYesMe="Y"),G3296&gt;0),(VLOOKUP(A3296,'Discount Lookup'!J:K,2)*G3296*(1-PlanterDiscount)*(1+PlanterDifficultyPercentage)),IF(AE3296="ELP",(VLOOKUP(A3296,'Discount Lookup'!J:K,2)*G3296*(1-PlanterDiscount)*(1+PlanterDifficultyPercentage)),IF(AE3296="free","re-planting",IF(G3296=0,"",IF(PlanterYesMe="",IF(AE3296="me","   not ELP, by",IF(AE3296="",IF(G3296&gt;0,(VLOOKUP(A3296,'Discount Lookup'!J:K,2)*G3296*(1-PlanterDiscount)*(1+PlanterDifficultyPercentage)),""),"")),"   not ELP, by"))))))))))))))</f>
        <v/>
      </c>
      <c r="AD3296" s="712"/>
      <c r="AE3296" s="513" t="str">
        <f t="shared" si="2540"/>
        <v/>
      </c>
      <c r="AF3296" s="713" t="str">
        <f t="shared" si="2541"/>
        <v/>
      </c>
      <c r="AG3296" s="713"/>
      <c r="AH3296" s="713"/>
      <c r="AI3296" s="112">
        <f>IF(H3296="credit",0,IF(AE3296="free",0,IF(AE3296="me",0,IF(G3296&gt;0,(VLOOKUP(A3296,'Discount Lookup'!J:K,2)*G3296),0))))</f>
        <v>0</v>
      </c>
      <c r="AJ3296" s="107" t="str">
        <f t="shared" ca="1" si="2542"/>
        <v/>
      </c>
      <c r="AK3296" s="714" t="str">
        <f t="shared" si="2543"/>
        <v/>
      </c>
      <c r="AL3296" s="714"/>
      <c r="AM3296" s="114" t="str">
        <f t="shared" si="2544"/>
        <v/>
      </c>
      <c r="AN3296" s="115"/>
      <c r="AO3296" s="116"/>
      <c r="AP3296" s="116"/>
      <c r="AQ3296" s="116"/>
      <c r="AR3296" s="116"/>
      <c r="AS3296" s="116"/>
      <c r="AT3296" s="116"/>
      <c r="AU3296" s="116"/>
      <c r="AV3296" s="78"/>
      <c r="AW3296" s="102"/>
      <c r="AX3296" s="78"/>
      <c r="AY3296" s="78"/>
      <c r="AZ3296" s="78"/>
      <c r="BA3296" s="78"/>
      <c r="BB3296" s="78"/>
      <c r="BC3296" s="78"/>
      <c r="BD3296" s="78"/>
      <c r="BE3296" s="465"/>
      <c r="BF3296" s="165" t="str">
        <f t="shared" si="2545"/>
        <v>https://www.google.com/search?tbm=isch&amp;q=Phyllostachys%20aurea%20Golden%20Bamboo</v>
      </c>
      <c r="BG3296" s="165" t="str">
        <f t="shared" si="2546"/>
        <v>P</v>
      </c>
      <c r="BH3296" s="65"/>
      <c r="BI3296" s="65"/>
      <c r="BJ3296" s="65"/>
      <c r="BK3296" s="65"/>
      <c r="BL3296" s="99"/>
      <c r="BM3296" s="99"/>
      <c r="BN3296" s="99"/>
    </row>
    <row r="3297" spans="1:66" s="51" customFormat="1" ht="15.75" x14ac:dyDescent="0.25">
      <c r="A3297" s="478">
        <v>15</v>
      </c>
      <c r="B3297" s="479" t="s">
        <v>291</v>
      </c>
      <c r="C3297" s="480" t="s">
        <v>3798</v>
      </c>
      <c r="D3297" s="481" t="s">
        <v>299</v>
      </c>
      <c r="E3297" s="482">
        <v>206.95</v>
      </c>
      <c r="F3297" s="483" t="s">
        <v>292</v>
      </c>
      <c r="G3297" s="484">
        <v>0</v>
      </c>
      <c r="H3297" s="688" t="str">
        <f>IF(G3297=0,"",IF(F3297="Buy",IF(G3297=1,"plant","plants"),IF(F3297&gt;0.01,"warranty","Error")))</f>
        <v/>
      </c>
      <c r="I3297" s="485">
        <f>IF(H3297="free",0,IF(H3297="credit",((E3297*(F3297))*G3297*-1),IF(F3297="Buy",(E3297*G3297),((E3297*(1-F3297))*G3297))))</f>
        <v>0</v>
      </c>
      <c r="J3297" s="485">
        <f>IF(H3297="warranty",0,(I3297*(_xlfn.SINGLE(SalesTaxPercentage))))</f>
        <v>0</v>
      </c>
      <c r="K3297" s="715">
        <f t="shared" ref="K3297" si="2550">I3297+J3297</f>
        <v>0</v>
      </c>
      <c r="L3297" s="715"/>
      <c r="M3297" s="689" t="str">
        <f ca="1">IF(AND(G3297&gt;0,E3297=0),"WARNING - no PRICE inserted",IF(H3297="free","FREE ~ no charge this plant",IF(H3297="credit",CONCATENATE("-$",ROUND(K3297*(1-_xlfn.SINGLE(T2GDiscount))*-1,2)," CREDIT after discount"),IF(_xlfn.SINGLE(T2GDiscount)=0,"",IF(G3297=0,"",IF(F3297="Buy",CONCATENATE("$",ROUND(K3297*(1-_xlfn.SINGLE(T2GDiscount)),2)," with ",(_xlfn.SINGLE(T2GDiscount)*100),"% discount"),CONCATENATE("$",ROUND(K3297*(1-_xlfn.SINGLE(T2GDiscount)),2)," with ",((_xlfn.SINGLE(T2GDiscount)*100+F3297*100)-(_xlfn.SINGLE(T2GDiscount)*100*F3297)),IF(F3297&gt;0,"% discounts",IF(_xlfn.SINGLE(NoWarrantyDiscount)&gt;0,"% discounts","% discount")))))))))</f>
        <v/>
      </c>
      <c r="N3297" s="690"/>
      <c r="O3297" s="486"/>
      <c r="P3297" s="486"/>
      <c r="Q3297" s="486"/>
      <c r="R3297" s="486"/>
      <c r="S3297" s="486"/>
      <c r="T3297" s="102">
        <f t="shared" si="2534"/>
        <v>0</v>
      </c>
      <c r="U3297" s="78">
        <f>IF(NOT(ISNUMBER(G3297)), "", VLOOKUP(A3297,'Discount Lookup'!D:E,2,FALSE)*G3297)</f>
        <v>0</v>
      </c>
      <c r="V3297" s="78">
        <f>IF(NOT(ISNUMBER(G3297)), "", VLOOKUP(A3297,'Discount Lookup'!G:H,2,FALSE)*G3297)</f>
        <v>0</v>
      </c>
      <c r="W3297" s="102">
        <f t="shared" si="2535"/>
        <v>0</v>
      </c>
      <c r="X3297" s="102">
        <f t="shared" si="2536"/>
        <v>0</v>
      </c>
      <c r="Y3297" s="120" t="b">
        <f t="shared" si="2537"/>
        <v>0</v>
      </c>
      <c r="Z3297" s="117">
        <f t="shared" si="2538"/>
        <v>0</v>
      </c>
      <c r="AA3297" s="118"/>
      <c r="AB3297" s="118" t="str">
        <f t="shared" si="2539"/>
        <v/>
      </c>
      <c r="AC3297" s="712" t="str">
        <f>IF(AE3297="T2G","no charge",IF(AND(OR(PlanterYesMe="No",PlanterYesMe="N",PlanterYesMe="me"),H3297=""),"",IF(H3297="credit","NO install",IF(AND(K3297="",AE3297="me"),"EACH row",IF(AND(K3297="images",AE3297="me"),"EACH row",IF(D3297="","",IF(H3297="credit","",IF(AE3297="free","re-planting",IF(AE3297="me","   not ELP, by",IF(AND(OR(PlanterYesMe="Yes",PlanterYesMe="Y"),G3297&gt;0),(VLOOKUP(A3297,'Discount Lookup'!J:K,2)*G3297*(1-PlanterDiscount)*(1+PlanterDifficultyPercentage)),IF(AE3297="ELP",(VLOOKUP(A3297,'Discount Lookup'!J:K,2)*G3297*(1-PlanterDiscount)*(1+PlanterDifficultyPercentage)),IF(AE3297="free","re-planting",IF(G3297=0,"",IF(PlanterYesMe="",IF(AE3297="me","   not ELP, by",IF(AE3297="",IF(G3297&gt;0,(VLOOKUP(A3297,'Discount Lookup'!J:K,2)*G3297*(1-PlanterDiscount)*(1+PlanterDifficultyPercentage)),""),"")),"   not ELP, by"))))))))))))))</f>
        <v/>
      </c>
      <c r="AD3297" s="712"/>
      <c r="AE3297" s="513" t="str">
        <f t="shared" si="2540"/>
        <v/>
      </c>
      <c r="AF3297" s="713" t="str">
        <f t="shared" si="2541"/>
        <v/>
      </c>
      <c r="AG3297" s="713"/>
      <c r="AH3297" s="713"/>
      <c r="AI3297" s="112">
        <f>IF(H3297="credit",0,IF(AE3297="free",0,IF(AE3297="me",0,IF(G3297&gt;0,(VLOOKUP(A3297,'Discount Lookup'!J:K,2)*G3297),0))))</f>
        <v>0</v>
      </c>
      <c r="AJ3297" s="107" t="str">
        <f t="shared" ca="1" si="2542"/>
        <v/>
      </c>
      <c r="AK3297" s="714" t="str">
        <f t="shared" si="2543"/>
        <v/>
      </c>
      <c r="AL3297" s="714"/>
      <c r="AM3297" s="114" t="str">
        <f t="shared" si="2544"/>
        <v/>
      </c>
      <c r="AN3297" s="115"/>
      <c r="AO3297" s="116"/>
      <c r="AP3297" s="116"/>
      <c r="AQ3297" s="116"/>
      <c r="AR3297" s="116"/>
      <c r="AS3297" s="116"/>
      <c r="AT3297" s="116"/>
      <c r="AU3297" s="116"/>
      <c r="AV3297" s="78"/>
      <c r="AW3297" s="102"/>
      <c r="AX3297" s="78"/>
      <c r="AY3297" s="78"/>
      <c r="AZ3297" s="78"/>
      <c r="BA3297" s="78"/>
      <c r="BB3297" s="78"/>
      <c r="BC3297" s="78"/>
      <c r="BD3297" s="78"/>
      <c r="BE3297" s="465"/>
      <c r="BF3297" s="165" t="str">
        <f t="shared" si="2545"/>
        <v>https://www.google.com/search?tbm=isch&amp;q=15%20G4</v>
      </c>
      <c r="BG3297" s="165" t="str">
        <f t="shared" si="2546"/>
        <v>P</v>
      </c>
      <c r="BH3297" s="65"/>
      <c r="BI3297" s="65"/>
      <c r="BJ3297" s="65"/>
      <c r="BK3297" s="65"/>
      <c r="BL3297" s="99"/>
      <c r="BM3297" s="99"/>
      <c r="BN3297" s="99"/>
    </row>
    <row r="3298" spans="1:66" s="51" customFormat="1" ht="16.5" thickBot="1" x14ac:dyDescent="0.3">
      <c r="A3298" s="705" t="s">
        <v>5505</v>
      </c>
      <c r="B3298" s="487"/>
      <c r="C3298" s="707"/>
      <c r="D3298" s="487"/>
      <c r="E3298" s="487"/>
      <c r="F3298" s="488"/>
      <c r="G3298" s="489"/>
      <c r="H3298" s="487"/>
      <c r="I3298" s="490"/>
      <c r="J3298" s="490"/>
      <c r="K3298" s="491"/>
      <c r="L3298" s="547"/>
      <c r="M3298" s="528"/>
      <c r="N3298" s="492"/>
      <c r="O3298" s="493"/>
      <c r="P3298" s="494"/>
      <c r="Q3298" s="492"/>
      <c r="R3298" s="492"/>
      <c r="S3298" s="495"/>
      <c r="T3298" s="102">
        <f t="shared" si="2534"/>
        <v>0</v>
      </c>
      <c r="U3298" s="78" t="str">
        <f>IF(NOT(ISNUMBER(G3298)), "", VLOOKUP(A3298,'Discount Lookup'!D:E,2,FALSE)*G3298)</f>
        <v/>
      </c>
      <c r="V3298" s="78" t="str">
        <f>IF(NOT(ISNUMBER(G3298)), "", VLOOKUP(A3298,'Discount Lookup'!G:H,2,FALSE)*G3298)</f>
        <v/>
      </c>
      <c r="W3298" s="102">
        <f t="shared" si="2535"/>
        <v>0</v>
      </c>
      <c r="X3298" s="102">
        <f t="shared" si="2536"/>
        <v>0</v>
      </c>
      <c r="Y3298" s="120" t="b">
        <f t="shared" si="2537"/>
        <v>0</v>
      </c>
      <c r="Z3298" s="117">
        <f t="shared" si="2538"/>
        <v>0</v>
      </c>
      <c r="AA3298" s="118"/>
      <c r="AB3298" s="118" t="str">
        <f t="shared" si="2539"/>
        <v/>
      </c>
      <c r="AC3298" s="712" t="str">
        <f>IF(AE3298="T2G","no charge",IF(AND(OR(PlanterYesMe="No",PlanterYesMe="N",PlanterYesMe="me"),H3298=""),"",IF(H3298="credit","NO install",IF(AND(K3298="",AE3298="me"),"EACH row",IF(AND(K3298="images",AE3298="me"),"EACH row",IF(D3298="","",IF(H3298="credit","",IF(AE3298="free","re-planting",IF(AE3298="me","   not ELP, by",IF(AND(OR(PlanterYesMe="Yes",PlanterYesMe="Y"),G3298&gt;0),(VLOOKUP(A3298,'Discount Lookup'!J:K,2)*G3298*(1-PlanterDiscount)*(1+PlanterDifficultyPercentage)),IF(AE3298="ELP",(VLOOKUP(A3298,'Discount Lookup'!J:K,2)*G3298*(1-PlanterDiscount)*(1+PlanterDifficultyPercentage)),IF(AE3298="free","re-planting",IF(G3298=0,"",IF(PlanterYesMe="",IF(AE3298="me","   not ELP, by",IF(AE3298="",IF(G3298&gt;0,(VLOOKUP(A3298,'Discount Lookup'!J:K,2)*G3298*(1-PlanterDiscount)*(1+PlanterDifficultyPercentage)),""),"")),"   not ELP, by"))))))))))))))</f>
        <v/>
      </c>
      <c r="AD3298" s="712"/>
      <c r="AE3298" s="513" t="str">
        <f t="shared" si="2540"/>
        <v/>
      </c>
      <c r="AF3298" s="713" t="str">
        <f t="shared" si="2541"/>
        <v/>
      </c>
      <c r="AG3298" s="713"/>
      <c r="AH3298" s="713"/>
      <c r="AI3298" s="112">
        <f>IF(H3298="credit",0,IF(AE3298="free",0,IF(AE3298="me",0,IF(G3298&gt;0,(VLOOKUP(A3298,'Discount Lookup'!J:K,2)*G3298),0))))</f>
        <v>0</v>
      </c>
      <c r="AJ3298" s="107" t="str">
        <f t="shared" ca="1" si="2542"/>
        <v/>
      </c>
      <c r="AK3298" s="714" t="str">
        <f t="shared" si="2543"/>
        <v/>
      </c>
      <c r="AL3298" s="714"/>
      <c r="AM3298" s="114" t="str">
        <f t="shared" si="2544"/>
        <v/>
      </c>
      <c r="AN3298" s="115"/>
      <c r="AO3298" s="116"/>
      <c r="AP3298" s="116"/>
      <c r="AQ3298" s="116"/>
      <c r="AR3298" s="116"/>
      <c r="AS3298" s="116"/>
      <c r="AT3298" s="116"/>
      <c r="AU3298" s="116"/>
      <c r="AV3298" s="78"/>
      <c r="AW3298" s="102"/>
      <c r="AX3298" s="78"/>
      <c r="AY3298" s="78"/>
      <c r="AZ3298" s="78"/>
      <c r="BA3298" s="78"/>
      <c r="BB3298" s="78"/>
      <c r="BC3298" s="78"/>
      <c r="BD3298" s="78"/>
      <c r="BE3298" s="465"/>
      <c r="BF3298" s="165" t="str">
        <f t="shared" si="2545"/>
        <v>https://www.google.com/search?tbm=isch&amp;q=moist%20sites%F0%9F%92%A7GOOD%2C%20Golden%20%28AKA%20%27Fishpole%27%29%20Bamboo%20is%20an%20aggressive%20running%20type%20-%20WARNING%20-%20plant%20in%20a%20restrained%20area%20or%20it%20will%20overwhelm%20</v>
      </c>
      <c r="BG3298" s="165" t="str">
        <f t="shared" si="2546"/>
        <v>m</v>
      </c>
      <c r="BH3298" s="65"/>
      <c r="BI3298" s="65"/>
      <c r="BJ3298" s="65"/>
      <c r="BK3298" s="65"/>
      <c r="BL3298" s="99"/>
      <c r="BM3298" s="99"/>
      <c r="BN3298" s="99"/>
    </row>
    <row r="3299" spans="1:66" s="51" customFormat="1" ht="18" x14ac:dyDescent="0.25">
      <c r="A3299" s="623" t="s">
        <v>3799</v>
      </c>
      <c r="B3299" s="624"/>
      <c r="C3299" s="709"/>
      <c r="D3299" s="625" t="s">
        <v>3800</v>
      </c>
      <c r="E3299" s="626"/>
      <c r="F3299" s="626"/>
      <c r="G3299" s="626"/>
      <c r="H3299" s="622" t="s">
        <v>3801</v>
      </c>
      <c r="I3299" s="627" t="s">
        <v>3802</v>
      </c>
      <c r="J3299" s="628"/>
      <c r="K3299" s="628"/>
      <c r="L3299" s="629"/>
      <c r="M3299" s="700" t="s">
        <v>5242</v>
      </c>
      <c r="N3299" s="693" t="str">
        <f>IF(AND(ISTEXT($A3299), ISERROR($A3299+0)), HYPERLINK($BF3299, "Images"), "")</f>
        <v>Images</v>
      </c>
      <c r="O3299" s="695" t="s">
        <v>5244</v>
      </c>
      <c r="P3299" s="630"/>
      <c r="Q3299" s="631"/>
      <c r="R3299" s="632"/>
      <c r="S3299" s="633"/>
      <c r="T3299" s="102">
        <f t="shared" si="2534"/>
        <v>0</v>
      </c>
      <c r="U3299" s="78" t="str">
        <f>IF(NOT(ISNUMBER(G3299)), "", VLOOKUP(A3299,'Discount Lookup'!D:E,2,FALSE)*G3299)</f>
        <v/>
      </c>
      <c r="V3299" s="78" t="str">
        <f>IF(NOT(ISNUMBER(G3299)), "", VLOOKUP(A3299,'Discount Lookup'!G:H,2,FALSE)*G3299)</f>
        <v/>
      </c>
      <c r="W3299" s="102">
        <f t="shared" si="2535"/>
        <v>0</v>
      </c>
      <c r="X3299" s="102" t="str">
        <f t="shared" si="2536"/>
        <v>Green culms age to Black</v>
      </c>
      <c r="Y3299" s="120" t="b">
        <f t="shared" si="2537"/>
        <v>0</v>
      </c>
      <c r="Z3299" s="117">
        <f t="shared" si="2538"/>
        <v>0</v>
      </c>
      <c r="AA3299" s="118"/>
      <c r="AB3299" s="118" t="str">
        <f t="shared" si="2539"/>
        <v/>
      </c>
      <c r="AC3299" s="712" t="str">
        <f>IF(AE3299="T2G","no charge",IF(AND(OR(PlanterYesMe="No",PlanterYesMe="N",PlanterYesMe="me"),H3299=""),"",IF(H3299="credit","NO install",IF(AND(K3299="",AE3299="me"),"EACH row",IF(AND(K3299="images",AE3299="me"),"EACH row",IF(D3299="","",IF(H3299="credit","",IF(AE3299="free","re-planting",IF(AE3299="me","   not ELP, by",IF(AND(OR(PlanterYesMe="Yes",PlanterYesMe="Y"),G3299&gt;0),(VLOOKUP(A3299,'Discount Lookup'!J:K,2)*G3299*(1-PlanterDiscount)*(1+PlanterDifficultyPercentage)),IF(AE3299="ELP",(VLOOKUP(A3299,'Discount Lookup'!J:K,2)*G3299*(1-PlanterDiscount)*(1+PlanterDifficultyPercentage)),IF(AE3299="free","re-planting",IF(G3299=0,"",IF(PlanterYesMe="",IF(AE3299="me","   not ELP, by",IF(AE3299="",IF(G3299&gt;0,(VLOOKUP(A3299,'Discount Lookup'!J:K,2)*G3299*(1-PlanterDiscount)*(1+PlanterDifficultyPercentage)),""),"")),"   not ELP, by"))))))))))))))</f>
        <v/>
      </c>
      <c r="AD3299" s="712"/>
      <c r="AE3299" s="513" t="str">
        <f t="shared" si="2540"/>
        <v/>
      </c>
      <c r="AF3299" s="713" t="str">
        <f t="shared" si="2541"/>
        <v/>
      </c>
      <c r="AG3299" s="713"/>
      <c r="AH3299" s="713"/>
      <c r="AI3299" s="112">
        <f>IF(H3299="credit",0,IF(AE3299="free",0,IF(AE3299="me",0,IF(G3299&gt;0,(VLOOKUP(A3299,'Discount Lookup'!J:K,2)*G3299),0))))</f>
        <v>0</v>
      </c>
      <c r="AJ3299" s="107" t="str">
        <f t="shared" ca="1" si="2542"/>
        <v/>
      </c>
      <c r="AK3299" s="714" t="str">
        <f t="shared" si="2543"/>
        <v/>
      </c>
      <c r="AL3299" s="714"/>
      <c r="AM3299" s="114" t="str">
        <f t="shared" si="2544"/>
        <v/>
      </c>
      <c r="AN3299" s="115"/>
      <c r="AO3299" s="116"/>
      <c r="AP3299" s="116"/>
      <c r="AQ3299" s="116"/>
      <c r="AR3299" s="116"/>
      <c r="AS3299" s="116"/>
      <c r="AT3299" s="116"/>
      <c r="AU3299" s="116"/>
      <c r="AV3299" s="78"/>
      <c r="AW3299" s="102"/>
      <c r="AX3299" s="78"/>
      <c r="AY3299" s="78"/>
      <c r="AZ3299" s="78"/>
      <c r="BA3299" s="78"/>
      <c r="BB3299" s="78"/>
      <c r="BC3299" s="78"/>
      <c r="BD3299" s="78"/>
      <c r="BE3299" s="465"/>
      <c r="BF3299" s="165" t="str">
        <f t="shared" si="2545"/>
        <v>https://www.google.com/search?tbm=isch&amp;q=Phyllostachys%20nigra%20Black%20Bamboo</v>
      </c>
      <c r="BG3299" s="165" t="str">
        <f t="shared" si="2546"/>
        <v>P</v>
      </c>
      <c r="BH3299" s="65"/>
      <c r="BI3299" s="65"/>
      <c r="BJ3299" s="65"/>
      <c r="BK3299" s="65"/>
      <c r="BL3299" s="99"/>
      <c r="BM3299" s="99"/>
      <c r="BN3299" s="99"/>
    </row>
    <row r="3300" spans="1:66" s="51" customFormat="1" ht="15.75" x14ac:dyDescent="0.25">
      <c r="A3300" s="634">
        <v>10</v>
      </c>
      <c r="B3300" s="635" t="s">
        <v>291</v>
      </c>
      <c r="C3300" s="636" t="s">
        <v>3803</v>
      </c>
      <c r="D3300" s="637" t="s">
        <v>299</v>
      </c>
      <c r="E3300" s="638">
        <v>293.95</v>
      </c>
      <c r="F3300" s="639" t="s">
        <v>292</v>
      </c>
      <c r="G3300" s="484">
        <v>0</v>
      </c>
      <c r="H3300" s="691" t="str">
        <f>IF(G3300=0,"",IF(F3300="Buy",IF(G3300=1,"plant","plants"),IF(F3300&gt;0.01,"warranty","Error")))</f>
        <v/>
      </c>
      <c r="I3300" s="640">
        <f>IF(H3300="free",0,IF(H3300="credit",((E3300*(F3300))*G3300*-1),IF(F3300="Buy",(E3300*G3300),((E3300*(1-F3300))*G3300))))</f>
        <v>0</v>
      </c>
      <c r="J3300" s="640">
        <f>IF(H3300="warranty",0,(I3300*(_xlfn.SINGLE(SalesTaxPercentage))))</f>
        <v>0</v>
      </c>
      <c r="K3300" s="716">
        <f t="shared" ref="K3300" si="2551">I3300+J3300</f>
        <v>0</v>
      </c>
      <c r="L3300" s="716"/>
      <c r="M3300" s="689" t="str">
        <f ca="1">IF(AND(G3300&gt;0,E3300=0),"WARNING - no PRICE inserted",IF(H3300="free","FREE ~ no charge this plant",IF(H3300="credit",CONCATENATE("-$",ROUND(K3300*(1-_xlfn.SINGLE(T2GDiscount))*-1,2)," CREDIT after discount"),IF(_xlfn.SINGLE(T2GDiscount)=0,"",IF(G3300=0,"",IF(F3300="Buy",CONCATENATE("$",ROUND(K3300*(1-_xlfn.SINGLE(T2GDiscount)),2)," with ",(_xlfn.SINGLE(T2GDiscount)*100),"% discount"),CONCATENATE("$",ROUND(K3300*(1-_xlfn.SINGLE(T2GDiscount)),2)," with ",((_xlfn.SINGLE(T2GDiscount)*100+F3300*100)-(_xlfn.SINGLE(T2GDiscount)*100*F3300)),IF(F3300&gt;0,"% discounts",IF(_xlfn.SINGLE(NoWarrantyDiscount)&gt;0,"% discounts","% discount")))))))))</f>
        <v/>
      </c>
      <c r="N3300" s="690"/>
      <c r="O3300" s="486"/>
      <c r="P3300" s="486"/>
      <c r="Q3300" s="486"/>
      <c r="R3300" s="486"/>
      <c r="S3300" s="486"/>
      <c r="T3300" s="102">
        <f t="shared" si="2534"/>
        <v>0</v>
      </c>
      <c r="U3300" s="78">
        <f>IF(NOT(ISNUMBER(G3300)), "", VLOOKUP(A3300,'Discount Lookup'!D:E,2,FALSE)*G3300)</f>
        <v>0</v>
      </c>
      <c r="V3300" s="78">
        <f>IF(NOT(ISNUMBER(G3300)), "", VLOOKUP(A3300,'Discount Lookup'!G:H,2,FALSE)*G3300)</f>
        <v>0</v>
      </c>
      <c r="W3300" s="102">
        <f t="shared" si="2535"/>
        <v>0</v>
      </c>
      <c r="X3300" s="102">
        <f t="shared" si="2536"/>
        <v>0</v>
      </c>
      <c r="Y3300" s="120" t="b">
        <f t="shared" si="2537"/>
        <v>0</v>
      </c>
      <c r="Z3300" s="117">
        <f t="shared" si="2538"/>
        <v>0</v>
      </c>
      <c r="AA3300" s="118"/>
      <c r="AB3300" s="118" t="str">
        <f t="shared" si="2539"/>
        <v/>
      </c>
      <c r="AC3300" s="712" t="str">
        <f>IF(AE3300="T2G","no charge",IF(AND(OR(PlanterYesMe="No",PlanterYesMe="N",PlanterYesMe="me"),H3300=""),"",IF(H3300="credit","NO install",IF(AND(K3300="",AE3300="me"),"EACH row",IF(AND(K3300="images",AE3300="me"),"EACH row",IF(D3300="","",IF(H3300="credit","",IF(AE3300="free","re-planting",IF(AE3300="me","   not ELP, by",IF(AND(OR(PlanterYesMe="Yes",PlanterYesMe="Y"),G3300&gt;0),(VLOOKUP(A3300,'Discount Lookup'!J:K,2)*G3300*(1-PlanterDiscount)*(1+PlanterDifficultyPercentage)),IF(AE3300="ELP",(VLOOKUP(A3300,'Discount Lookup'!J:K,2)*G3300*(1-PlanterDiscount)*(1+PlanterDifficultyPercentage)),IF(AE3300="free","re-planting",IF(G3300=0,"",IF(PlanterYesMe="",IF(AE3300="me","   not ELP, by",IF(AE3300="",IF(G3300&gt;0,(VLOOKUP(A3300,'Discount Lookup'!J:K,2)*G3300*(1-PlanterDiscount)*(1+PlanterDifficultyPercentage)),""),"")),"   not ELP, by"))))))))))))))</f>
        <v/>
      </c>
      <c r="AD3300" s="712"/>
      <c r="AE3300" s="513" t="str">
        <f t="shared" si="2540"/>
        <v/>
      </c>
      <c r="AF3300" s="713" t="str">
        <f t="shared" si="2541"/>
        <v/>
      </c>
      <c r="AG3300" s="713"/>
      <c r="AH3300" s="713"/>
      <c r="AI3300" s="112">
        <f>IF(H3300="credit",0,IF(AE3300="free",0,IF(AE3300="me",0,IF(G3300&gt;0,(VLOOKUP(A3300,'Discount Lookup'!J:K,2)*G3300),0))))</f>
        <v>0</v>
      </c>
      <c r="AJ3300" s="107" t="str">
        <f t="shared" ca="1" si="2542"/>
        <v/>
      </c>
      <c r="AK3300" s="714" t="str">
        <f t="shared" si="2543"/>
        <v/>
      </c>
      <c r="AL3300" s="714"/>
      <c r="AM3300" s="114" t="str">
        <f t="shared" si="2544"/>
        <v/>
      </c>
      <c r="AN3300" s="115"/>
      <c r="AO3300" s="116"/>
      <c r="AP3300" s="116"/>
      <c r="AQ3300" s="116"/>
      <c r="AR3300" s="116"/>
      <c r="AS3300" s="116"/>
      <c r="AT3300" s="116"/>
      <c r="AU3300" s="116"/>
      <c r="AV3300" s="78"/>
      <c r="AW3300" s="102"/>
      <c r="AX3300" s="78"/>
      <c r="AY3300" s="78"/>
      <c r="AZ3300" s="78"/>
      <c r="BA3300" s="78"/>
      <c r="BB3300" s="78"/>
      <c r="BC3300" s="78"/>
      <c r="BD3300" s="78"/>
      <c r="BE3300" s="465"/>
      <c r="BF3300" s="165" t="str">
        <f t="shared" si="2545"/>
        <v>https://www.google.com/search?tbm=isch&amp;q=10%20G4</v>
      </c>
      <c r="BG3300" s="165" t="str">
        <f t="shared" si="2546"/>
        <v>P</v>
      </c>
      <c r="BH3300" s="65"/>
      <c r="BI3300" s="65"/>
      <c r="BJ3300" s="65"/>
      <c r="BK3300" s="65"/>
      <c r="BL3300" s="99"/>
      <c r="BM3300" s="99"/>
      <c r="BN3300" s="99"/>
    </row>
    <row r="3301" spans="1:66" s="51" customFormat="1" ht="16.5" x14ac:dyDescent="0.25">
      <c r="A3301" s="704" t="s">
        <v>5506</v>
      </c>
      <c r="B3301" s="642"/>
      <c r="C3301" s="710"/>
      <c r="D3301" s="643"/>
      <c r="E3301" s="643"/>
      <c r="F3301" s="644"/>
      <c r="G3301" s="645"/>
      <c r="H3301" s="646"/>
      <c r="I3301" s="647"/>
      <c r="J3301" s="648"/>
      <c r="K3301" s="649"/>
      <c r="L3301" s="650"/>
      <c r="M3301" s="650"/>
      <c r="N3301" s="644"/>
      <c r="O3301" s="644"/>
      <c r="P3301" s="644"/>
      <c r="Q3301" s="644"/>
      <c r="R3301" s="644"/>
      <c r="S3301" s="651"/>
      <c r="T3301" s="102">
        <f t="shared" si="2534"/>
        <v>0</v>
      </c>
      <c r="U3301" s="78" t="str">
        <f>IF(NOT(ISNUMBER(G3301)), "", VLOOKUP(A3301,'Discount Lookup'!D:E,2,FALSE)*G3301)</f>
        <v/>
      </c>
      <c r="V3301" s="78" t="str">
        <f>IF(NOT(ISNUMBER(G3301)), "", VLOOKUP(A3301,'Discount Lookup'!G:H,2,FALSE)*G3301)</f>
        <v/>
      </c>
      <c r="W3301" s="102">
        <f t="shared" si="2535"/>
        <v>0</v>
      </c>
      <c r="X3301" s="102">
        <f t="shared" si="2536"/>
        <v>0</v>
      </c>
      <c r="Y3301" s="120" t="b">
        <f t="shared" si="2537"/>
        <v>0</v>
      </c>
      <c r="Z3301" s="117">
        <f t="shared" si="2538"/>
        <v>0</v>
      </c>
      <c r="AA3301" s="118"/>
      <c r="AB3301" s="118" t="str">
        <f t="shared" si="2539"/>
        <v/>
      </c>
      <c r="AC3301" s="712" t="str">
        <f>IF(AE3301="T2G","no charge",IF(AND(OR(PlanterYesMe="No",PlanterYesMe="N",PlanterYesMe="me"),H3301=""),"",IF(H3301="credit","NO install",IF(AND(K3301="",AE3301="me"),"EACH row",IF(AND(K3301="images",AE3301="me"),"EACH row",IF(D3301="","",IF(H3301="credit","",IF(AE3301="free","re-planting",IF(AE3301="me","   not ELP, by",IF(AND(OR(PlanterYesMe="Yes",PlanterYesMe="Y"),G3301&gt;0),(VLOOKUP(A3301,'Discount Lookup'!J:K,2)*G3301*(1-PlanterDiscount)*(1+PlanterDifficultyPercentage)),IF(AE3301="ELP",(VLOOKUP(A3301,'Discount Lookup'!J:K,2)*G3301*(1-PlanterDiscount)*(1+PlanterDifficultyPercentage)),IF(AE3301="free","re-planting",IF(G3301=0,"",IF(PlanterYesMe="",IF(AE3301="me","   not ELP, by",IF(AE3301="",IF(G3301&gt;0,(VLOOKUP(A3301,'Discount Lookup'!J:K,2)*G3301*(1-PlanterDiscount)*(1+PlanterDifficultyPercentage)),""),"")),"   not ELP, by"))))))))))))))</f>
        <v/>
      </c>
      <c r="AD3301" s="712"/>
      <c r="AE3301" s="513" t="str">
        <f t="shared" si="2540"/>
        <v/>
      </c>
      <c r="AF3301" s="713" t="str">
        <f t="shared" si="2541"/>
        <v/>
      </c>
      <c r="AG3301" s="713"/>
      <c r="AH3301" s="713"/>
      <c r="AI3301" s="112">
        <f>IF(H3301="credit",0,IF(AE3301="free",0,IF(AE3301="me",0,IF(G3301&gt;0,(VLOOKUP(A3301,'Discount Lookup'!J:K,2)*G3301),0))))</f>
        <v>0</v>
      </c>
      <c r="AJ3301" s="107" t="str">
        <f t="shared" ca="1" si="2542"/>
        <v/>
      </c>
      <c r="AK3301" s="714" t="str">
        <f t="shared" si="2543"/>
        <v/>
      </c>
      <c r="AL3301" s="714"/>
      <c r="AM3301" s="114" t="str">
        <f t="shared" si="2544"/>
        <v/>
      </c>
      <c r="AN3301" s="115"/>
      <c r="AO3301" s="116"/>
      <c r="AP3301" s="116"/>
      <c r="AQ3301" s="116"/>
      <c r="AR3301" s="116"/>
      <c r="AS3301" s="116"/>
      <c r="AT3301" s="116"/>
      <c r="AU3301" s="116"/>
      <c r="AV3301" s="78"/>
      <c r="AW3301" s="102"/>
      <c r="AX3301" s="78"/>
      <c r="AY3301" s="78"/>
      <c r="AZ3301" s="78"/>
      <c r="BA3301" s="78"/>
      <c r="BB3301" s="78"/>
      <c r="BC3301" s="78"/>
      <c r="BD3301" s="78"/>
      <c r="BE3301" s="465"/>
      <c r="BF3301" s="165" t="str">
        <f t="shared" si="2545"/>
        <v>https://www.google.com/search?tbm=isch&amp;q=moist%20sites%F0%9F%92%A7GOOD%2C%20Black%20Bamboo%20is%20a%20runner%20-%20needs%20containment.%20Green%20shoots%20turn%20Jet-Black%20in%201%20to%203%20years%20</v>
      </c>
      <c r="BG3301" s="165" t="str">
        <f t="shared" si="2546"/>
        <v>m</v>
      </c>
      <c r="BH3301" s="65"/>
      <c r="BI3301" s="65"/>
      <c r="BJ3301" s="65"/>
      <c r="BK3301" s="65"/>
      <c r="BL3301" s="99"/>
      <c r="BM3301" s="99"/>
      <c r="BN3301" s="99"/>
    </row>
    <row r="3302" spans="1:66" s="51" customFormat="1" ht="19.5" thickBot="1" x14ac:dyDescent="0.3">
      <c r="A3302" s="686" t="s">
        <v>664</v>
      </c>
      <c r="B3302" s="73"/>
      <c r="C3302" s="708"/>
      <c r="D3302" s="73"/>
      <c r="E3302" s="73"/>
      <c r="F3302" s="496"/>
      <c r="G3302" s="73"/>
      <c r="H3302" s="73"/>
      <c r="I3302" s="73"/>
      <c r="J3302" s="497" t="s">
        <v>357</v>
      </c>
      <c r="K3302" s="498"/>
      <c r="L3302" s="562"/>
      <c r="M3302" s="73"/>
      <c r="N3302"/>
      <c r="O3302"/>
      <c r="P3302"/>
      <c r="Q3302"/>
      <c r="R3302"/>
      <c r="S3302"/>
      <c r="T3302" s="102">
        <f t="shared" si="2534"/>
        <v>0</v>
      </c>
      <c r="U3302" s="78" t="str">
        <f>IF(NOT(ISNUMBER(G3302)), "", VLOOKUP(A3302,'Discount Lookup'!D:E,2,FALSE)*G3302)</f>
        <v/>
      </c>
      <c r="V3302" s="78" t="str">
        <f>IF(NOT(ISNUMBER(G3302)), "", VLOOKUP(A3302,'Discount Lookup'!G:H,2,FALSE)*G3302)</f>
        <v/>
      </c>
      <c r="W3302" s="102">
        <f t="shared" si="2535"/>
        <v>0</v>
      </c>
      <c r="X3302" s="102">
        <f t="shared" si="2536"/>
        <v>0</v>
      </c>
      <c r="Y3302" s="120" t="b">
        <f t="shared" si="2537"/>
        <v>0</v>
      </c>
      <c r="Z3302" s="117">
        <f t="shared" si="2538"/>
        <v>0</v>
      </c>
      <c r="AA3302" s="118"/>
      <c r="AB3302" s="118" t="str">
        <f t="shared" si="2539"/>
        <v/>
      </c>
      <c r="AC3302" s="712" t="str">
        <f>IF(AE3302="T2G","no charge",IF(AND(OR(PlanterYesMe="No",PlanterYesMe="N",PlanterYesMe="me"),H3302=""),"",IF(H3302="credit","NO install",IF(AND(K3302="",AE3302="me"),"EACH row",IF(AND(K3302="images",AE3302="me"),"EACH row",IF(D3302="","",IF(H3302="credit","",IF(AE3302="free","re-planting",IF(AE3302="me","   not ELP, by",IF(AND(OR(PlanterYesMe="Yes",PlanterYesMe="Y"),G3302&gt;0),(VLOOKUP(A3302,'Discount Lookup'!J:K,2)*G3302*(1-PlanterDiscount)*(1+PlanterDifficultyPercentage)),IF(AE3302="ELP",(VLOOKUP(A3302,'Discount Lookup'!J:K,2)*G3302*(1-PlanterDiscount)*(1+PlanterDifficultyPercentage)),IF(AE3302="free","re-planting",IF(G3302=0,"",IF(PlanterYesMe="",IF(AE3302="me","   not ELP, by",IF(AE3302="",IF(G3302&gt;0,(VLOOKUP(A3302,'Discount Lookup'!J:K,2)*G3302*(1-PlanterDiscount)*(1+PlanterDifficultyPercentage)),""),"")),"   not ELP, by"))))))))))))))</f>
        <v/>
      </c>
      <c r="AD3302" s="712"/>
      <c r="AE3302" s="513" t="str">
        <f t="shared" si="2540"/>
        <v/>
      </c>
      <c r="AF3302" s="713" t="str">
        <f t="shared" si="2541"/>
        <v/>
      </c>
      <c r="AG3302" s="713"/>
      <c r="AH3302" s="713"/>
      <c r="AI3302" s="112">
        <f>IF(H3302="credit",0,IF(AE3302="free",0,IF(AE3302="me",0,IF(G3302&gt;0,(VLOOKUP(A3302,'Discount Lookup'!J:K,2)*G3302),0))))</f>
        <v>0</v>
      </c>
      <c r="AJ3302" s="107" t="str">
        <f t="shared" ca="1" si="2542"/>
        <v/>
      </c>
      <c r="AK3302" s="714" t="str">
        <f t="shared" si="2543"/>
        <v/>
      </c>
      <c r="AL3302" s="714"/>
      <c r="AM3302" s="114" t="str">
        <f t="shared" si="2544"/>
        <v/>
      </c>
      <c r="AN3302" s="115"/>
      <c r="AO3302" s="116"/>
      <c r="AP3302" s="116"/>
      <c r="AQ3302" s="116"/>
      <c r="AR3302" s="116"/>
      <c r="AS3302" s="116"/>
      <c r="AT3302" s="116"/>
      <c r="AU3302" s="116"/>
      <c r="AV3302" s="78"/>
      <c r="AW3302" s="102"/>
      <c r="AX3302" s="78"/>
      <c r="AY3302" s="78"/>
      <c r="AZ3302" s="78"/>
      <c r="BA3302" s="78"/>
      <c r="BB3302" s="78"/>
      <c r="BC3302" s="78"/>
      <c r="BD3302" s="78"/>
      <c r="BE3302" s="465"/>
      <c r="BF3302" s="165" t="str">
        <f t="shared" si="2545"/>
        <v>https://www.google.com/search?tbm=isch&amp;q=Picea%20%3D%20Spruce%20</v>
      </c>
      <c r="BG3302" s="165" t="str">
        <f t="shared" si="2546"/>
        <v>P</v>
      </c>
      <c r="BH3302" s="65"/>
      <c r="BI3302" s="65"/>
      <c r="BJ3302" s="65"/>
      <c r="BK3302" s="65"/>
      <c r="BL3302" s="99"/>
      <c r="BM3302" s="99"/>
      <c r="BN3302" s="99"/>
    </row>
    <row r="3303" spans="1:66" s="51" customFormat="1" ht="18" x14ac:dyDescent="0.25">
      <c r="A3303" s="507" t="s">
        <v>665</v>
      </c>
      <c r="B3303" s="470"/>
      <c r="C3303" s="706"/>
      <c r="D3303" s="471" t="s">
        <v>666</v>
      </c>
      <c r="E3303" s="472"/>
      <c r="F3303" s="472"/>
      <c r="G3303" s="472"/>
      <c r="H3303" s="622" t="s">
        <v>667</v>
      </c>
      <c r="I3303" s="473" t="s">
        <v>668</v>
      </c>
      <c r="J3303" s="472"/>
      <c r="K3303" s="472"/>
      <c r="L3303" s="561"/>
      <c r="M3303" s="698" t="s">
        <v>5246</v>
      </c>
      <c r="N3303" s="692" t="str">
        <f>IF(AND(ISTEXT($A3303), ISERROR($A3303+0)), HYPERLINK($BF3303, "Images"), "")</f>
        <v>Images</v>
      </c>
      <c r="O3303" s="694" t="s">
        <v>5247</v>
      </c>
      <c r="P3303" s="475"/>
      <c r="Q3303" s="476"/>
      <c r="R3303" s="476"/>
      <c r="S3303" s="477"/>
      <c r="T3303" s="102">
        <f t="shared" si="2534"/>
        <v>0</v>
      </c>
      <c r="U3303" s="78" t="str">
        <f>IF(NOT(ISNUMBER(G3303)), "", VLOOKUP(A3303,'Discount Lookup'!D:E,2,FALSE)*G3303)</f>
        <v/>
      </c>
      <c r="V3303" s="78" t="str">
        <f>IF(NOT(ISNUMBER(G3303)), "", VLOOKUP(A3303,'Discount Lookup'!G:H,2,FALSE)*G3303)</f>
        <v/>
      </c>
      <c r="W3303" s="102">
        <f t="shared" si="2535"/>
        <v>0</v>
      </c>
      <c r="X3303" s="102" t="str">
        <f t="shared" si="2536"/>
        <v>Golden-Green needles</v>
      </c>
      <c r="Y3303" s="120" t="b">
        <f t="shared" si="2537"/>
        <v>0</v>
      </c>
      <c r="Z3303" s="117">
        <f t="shared" si="2538"/>
        <v>0</v>
      </c>
      <c r="AA3303" s="118"/>
      <c r="AB3303" s="118" t="str">
        <f t="shared" si="2539"/>
        <v/>
      </c>
      <c r="AC3303" s="712" t="str">
        <f>IF(AE3303="T2G","no charge",IF(AND(OR(PlanterYesMe="No",PlanterYesMe="N",PlanterYesMe="me"),H3303=""),"",IF(H3303="credit","NO install",IF(AND(K3303="",AE3303="me"),"EACH row",IF(AND(K3303="images",AE3303="me"),"EACH row",IF(D3303="","",IF(H3303="credit","",IF(AE3303="free","re-planting",IF(AE3303="me","   not ELP, by",IF(AND(OR(PlanterYesMe="Yes",PlanterYesMe="Y"),G3303&gt;0),(VLOOKUP(A3303,'Discount Lookup'!J:K,2)*G3303*(1-PlanterDiscount)*(1+PlanterDifficultyPercentage)),IF(AE3303="ELP",(VLOOKUP(A3303,'Discount Lookup'!J:K,2)*G3303*(1-PlanterDiscount)*(1+PlanterDifficultyPercentage)),IF(AE3303="free","re-planting",IF(G3303=0,"",IF(PlanterYesMe="",IF(AE3303="me","   not ELP, by",IF(AE3303="",IF(G3303&gt;0,(VLOOKUP(A3303,'Discount Lookup'!J:K,2)*G3303*(1-PlanterDiscount)*(1+PlanterDifficultyPercentage)),""),"")),"   not ELP, by"))))))))))))))</f>
        <v/>
      </c>
      <c r="AD3303" s="712"/>
      <c r="AE3303" s="513" t="str">
        <f t="shared" si="2540"/>
        <v/>
      </c>
      <c r="AF3303" s="713" t="str">
        <f t="shared" si="2541"/>
        <v/>
      </c>
      <c r="AG3303" s="713"/>
      <c r="AH3303" s="713"/>
      <c r="AI3303" s="112">
        <f>IF(H3303="credit",0,IF(AE3303="free",0,IF(AE3303="me",0,IF(G3303&gt;0,(VLOOKUP(A3303,'Discount Lookup'!J:K,2)*G3303),0))))</f>
        <v>0</v>
      </c>
      <c r="AJ3303" s="107" t="str">
        <f t="shared" ca="1" si="2542"/>
        <v/>
      </c>
      <c r="AK3303" s="714" t="str">
        <f t="shared" si="2543"/>
        <v/>
      </c>
      <c r="AL3303" s="714"/>
      <c r="AM3303" s="114" t="str">
        <f t="shared" si="2544"/>
        <v/>
      </c>
      <c r="AN3303" s="115"/>
      <c r="AO3303" s="116"/>
      <c r="AP3303" s="116"/>
      <c r="AQ3303" s="116"/>
      <c r="AR3303" s="116"/>
      <c r="AS3303" s="116"/>
      <c r="AT3303" s="116"/>
      <c r="AU3303" s="116"/>
      <c r="AV3303" s="78"/>
      <c r="AW3303" s="102"/>
      <c r="AX3303" s="78"/>
      <c r="AY3303" s="78"/>
      <c r="AZ3303" s="78"/>
      <c r="BA3303" s="78"/>
      <c r="BB3303" s="78"/>
      <c r="BC3303" s="78"/>
      <c r="BD3303" s="78"/>
      <c r="BE3303" s="465"/>
      <c r="BF3303" s="165" t="str">
        <f t="shared" si="2545"/>
        <v>https://www.google.com/search?tbm=isch&amp;q=Picea%20orientalis%20%27Skylands%27%20Skylands%20Oriental%20Spruce</v>
      </c>
      <c r="BG3303" s="165" t="str">
        <f t="shared" si="2546"/>
        <v>P</v>
      </c>
      <c r="BH3303" s="65"/>
      <c r="BI3303" s="65"/>
      <c r="BJ3303" s="65"/>
      <c r="BK3303" s="65"/>
      <c r="BL3303" s="99"/>
      <c r="BM3303" s="99"/>
      <c r="BN3303" s="99"/>
    </row>
    <row r="3304" spans="1:66" s="51" customFormat="1" ht="15.75" x14ac:dyDescent="0.25">
      <c r="A3304" s="478">
        <v>7</v>
      </c>
      <c r="B3304" s="479" t="s">
        <v>291</v>
      </c>
      <c r="C3304" s="480" t="s">
        <v>992</v>
      </c>
      <c r="D3304" s="481" t="s">
        <v>299</v>
      </c>
      <c r="E3304" s="482">
        <v>169.95</v>
      </c>
      <c r="F3304" s="483" t="s">
        <v>292</v>
      </c>
      <c r="G3304" s="484">
        <v>0</v>
      </c>
      <c r="H3304" s="688" t="str">
        <f>IF(G3304=0,"",IF(F3304="Buy",IF(G3304=1,"plant","plants"),IF(F3304&gt;0.01,"warranty","Error")))</f>
        <v/>
      </c>
      <c r="I3304" s="485">
        <f>IF(H3304="free",0,IF(H3304="credit",((E3304*(F3304))*G3304*-1),IF(F3304="Buy",(E3304*G3304),((E3304*(1-F3304))*G3304))))</f>
        <v>0</v>
      </c>
      <c r="J3304" s="485">
        <f>IF(H3304="warranty",0,(I3304*(_xlfn.SINGLE(SalesTaxPercentage))))</f>
        <v>0</v>
      </c>
      <c r="K3304" s="715">
        <f t="shared" ref="K3304" si="2552">I3304+J3304</f>
        <v>0</v>
      </c>
      <c r="L3304" s="715"/>
      <c r="M3304" s="689" t="str">
        <f ca="1">IF(AND(G3304&gt;0,E3304=0),"WARNING - no PRICE inserted",IF(H3304="free","FREE ~ no charge this plant",IF(H3304="credit",CONCATENATE("-$",ROUND(K3304*(1-_xlfn.SINGLE(T2GDiscount))*-1,2)," CREDIT after discount"),IF(_xlfn.SINGLE(T2GDiscount)=0,"",IF(G3304=0,"",IF(F3304="Buy",CONCATENATE("$",ROUND(K3304*(1-_xlfn.SINGLE(T2GDiscount)),2)," with ",(_xlfn.SINGLE(T2GDiscount)*100),"% discount"),CONCATENATE("$",ROUND(K3304*(1-_xlfn.SINGLE(T2GDiscount)),2)," with ",((_xlfn.SINGLE(T2GDiscount)*100+F3304*100)-(_xlfn.SINGLE(T2GDiscount)*100*F3304)),IF(F3304&gt;0,"% discounts",IF(_xlfn.SINGLE(NoWarrantyDiscount)&gt;0,"% discounts","% discount")))))))))</f>
        <v/>
      </c>
      <c r="N3304" s="690"/>
      <c r="O3304" s="486"/>
      <c r="P3304" s="486"/>
      <c r="Q3304" s="486"/>
      <c r="R3304" s="486"/>
      <c r="S3304" s="486"/>
      <c r="T3304" s="102">
        <f t="shared" si="2534"/>
        <v>0</v>
      </c>
      <c r="U3304" s="78">
        <f>IF(NOT(ISNUMBER(G3304)), "", VLOOKUP(A3304,'Discount Lookup'!D:E,2,FALSE)*G3304)</f>
        <v>0</v>
      </c>
      <c r="V3304" s="78">
        <f>IF(NOT(ISNUMBER(G3304)), "", VLOOKUP(A3304,'Discount Lookup'!G:H,2,FALSE)*G3304)</f>
        <v>0</v>
      </c>
      <c r="W3304" s="102">
        <f t="shared" si="2535"/>
        <v>0</v>
      </c>
      <c r="X3304" s="102">
        <f t="shared" si="2536"/>
        <v>0</v>
      </c>
      <c r="Y3304" s="120" t="b">
        <f t="shared" si="2537"/>
        <v>0</v>
      </c>
      <c r="Z3304" s="117">
        <f t="shared" si="2538"/>
        <v>0</v>
      </c>
      <c r="AA3304" s="118"/>
      <c r="AB3304" s="118" t="str">
        <f t="shared" si="2539"/>
        <v/>
      </c>
      <c r="AC3304" s="712" t="str">
        <f>IF(AE3304="T2G","no charge",IF(AND(OR(PlanterYesMe="No",PlanterYesMe="N",PlanterYesMe="me"),H3304=""),"",IF(H3304="credit","NO install",IF(AND(K3304="",AE3304="me"),"EACH row",IF(AND(K3304="images",AE3304="me"),"EACH row",IF(D3304="","",IF(H3304="credit","",IF(AE3304="free","re-planting",IF(AE3304="me","   not ELP, by",IF(AND(OR(PlanterYesMe="Yes",PlanterYesMe="Y"),G3304&gt;0),(VLOOKUP(A3304,'Discount Lookup'!J:K,2)*G3304*(1-PlanterDiscount)*(1+PlanterDifficultyPercentage)),IF(AE3304="ELP",(VLOOKUP(A3304,'Discount Lookup'!J:K,2)*G3304*(1-PlanterDiscount)*(1+PlanterDifficultyPercentage)),IF(AE3304="free","re-planting",IF(G3304=0,"",IF(PlanterYesMe="",IF(AE3304="me","   not ELP, by",IF(AE3304="",IF(G3304&gt;0,(VLOOKUP(A3304,'Discount Lookup'!J:K,2)*G3304*(1-PlanterDiscount)*(1+PlanterDifficultyPercentage)),""),"")),"   not ELP, by"))))))))))))))</f>
        <v/>
      </c>
      <c r="AD3304" s="712"/>
      <c r="AE3304" s="513" t="str">
        <f t="shared" si="2540"/>
        <v/>
      </c>
      <c r="AF3304" s="713" t="str">
        <f t="shared" si="2541"/>
        <v/>
      </c>
      <c r="AG3304" s="713"/>
      <c r="AH3304" s="713"/>
      <c r="AI3304" s="112">
        <f>IF(H3304="credit",0,IF(AE3304="free",0,IF(AE3304="me",0,IF(G3304&gt;0,(VLOOKUP(A3304,'Discount Lookup'!J:K,2)*G3304),0))))</f>
        <v>0</v>
      </c>
      <c r="AJ3304" s="107" t="str">
        <f t="shared" ca="1" si="2542"/>
        <v/>
      </c>
      <c r="AK3304" s="714" t="str">
        <f t="shared" si="2543"/>
        <v/>
      </c>
      <c r="AL3304" s="714"/>
      <c r="AM3304" s="114" t="str">
        <f t="shared" si="2544"/>
        <v/>
      </c>
      <c r="AN3304" s="115"/>
      <c r="AO3304" s="116"/>
      <c r="AP3304" s="116"/>
      <c r="AQ3304" s="116"/>
      <c r="AR3304" s="116"/>
      <c r="AS3304" s="116"/>
      <c r="AT3304" s="116"/>
      <c r="AU3304" s="116"/>
      <c r="AV3304" s="78"/>
      <c r="AW3304" s="102"/>
      <c r="AX3304" s="78"/>
      <c r="AY3304" s="78"/>
      <c r="AZ3304" s="78"/>
      <c r="BA3304" s="78"/>
      <c r="BB3304" s="78"/>
      <c r="BC3304" s="78"/>
      <c r="BD3304" s="78"/>
      <c r="BE3304" s="465"/>
      <c r="BF3304" s="165" t="str">
        <f t="shared" si="2545"/>
        <v>https://www.google.com/search?tbm=isch&amp;q=7%20G4</v>
      </c>
      <c r="BG3304" s="165" t="str">
        <f t="shared" si="2546"/>
        <v>P</v>
      </c>
      <c r="BH3304" s="65"/>
      <c r="BI3304" s="65"/>
      <c r="BJ3304" s="65"/>
      <c r="BK3304" s="65"/>
      <c r="BL3304" s="99"/>
      <c r="BM3304" s="99"/>
      <c r="BN3304" s="99"/>
    </row>
    <row r="3305" spans="1:66" s="51" customFormat="1" ht="15.75" x14ac:dyDescent="0.25">
      <c r="A3305" s="478">
        <v>15</v>
      </c>
      <c r="B3305" s="479" t="s">
        <v>291</v>
      </c>
      <c r="C3305" s="480" t="s">
        <v>993</v>
      </c>
      <c r="D3305" s="481" t="s">
        <v>299</v>
      </c>
      <c r="E3305" s="482">
        <v>316.95</v>
      </c>
      <c r="F3305" s="483" t="s">
        <v>292</v>
      </c>
      <c r="G3305" s="484">
        <v>0</v>
      </c>
      <c r="H3305" s="688" t="str">
        <f>IF(G3305=0,"",IF(F3305="Buy",IF(G3305=1,"plant","plants"),IF(F3305&gt;0.01,"warranty","Error")))</f>
        <v/>
      </c>
      <c r="I3305" s="485">
        <f>IF(H3305="free",0,IF(H3305="credit",((E3305*(F3305))*G3305*-1),IF(F3305="Buy",(E3305*G3305),((E3305*(1-F3305))*G3305))))</f>
        <v>0</v>
      </c>
      <c r="J3305" s="485">
        <f>IF(H3305="warranty",0,(I3305*(_xlfn.SINGLE(SalesTaxPercentage))))</f>
        <v>0</v>
      </c>
      <c r="K3305" s="715">
        <f t="shared" ref="K3305" si="2553">I3305+J3305</f>
        <v>0</v>
      </c>
      <c r="L3305" s="715"/>
      <c r="M3305" s="689" t="str">
        <f ca="1">IF(AND(G3305&gt;0,E3305=0),"WARNING - no PRICE inserted",IF(H3305="free","FREE ~ no charge this plant",IF(H3305="credit",CONCATENATE("-$",ROUND(K3305*(1-_xlfn.SINGLE(T2GDiscount))*-1,2)," CREDIT after discount"),IF(_xlfn.SINGLE(T2GDiscount)=0,"",IF(G3305=0,"",IF(F3305="Buy",CONCATENATE("$",ROUND(K3305*(1-_xlfn.SINGLE(T2GDiscount)),2)," with ",(_xlfn.SINGLE(T2GDiscount)*100),"% discount"),CONCATENATE("$",ROUND(K3305*(1-_xlfn.SINGLE(T2GDiscount)),2)," with ",((_xlfn.SINGLE(T2GDiscount)*100+F3305*100)-(_xlfn.SINGLE(T2GDiscount)*100*F3305)),IF(F3305&gt;0,"% discounts",IF(_xlfn.SINGLE(NoWarrantyDiscount)&gt;0,"% discounts","% discount")))))))))</f>
        <v/>
      </c>
      <c r="N3305" s="690"/>
      <c r="O3305" s="486"/>
      <c r="P3305" s="486"/>
      <c r="Q3305" s="486"/>
      <c r="R3305" s="486"/>
      <c r="S3305" s="486"/>
      <c r="T3305" s="102">
        <f t="shared" si="2534"/>
        <v>0</v>
      </c>
      <c r="U3305" s="78">
        <f>IF(NOT(ISNUMBER(G3305)), "", VLOOKUP(A3305,'Discount Lookup'!D:E,2,FALSE)*G3305)</f>
        <v>0</v>
      </c>
      <c r="V3305" s="78">
        <f>IF(NOT(ISNUMBER(G3305)), "", VLOOKUP(A3305,'Discount Lookup'!G:H,2,FALSE)*G3305)</f>
        <v>0</v>
      </c>
      <c r="W3305" s="102">
        <f t="shared" si="2535"/>
        <v>0</v>
      </c>
      <c r="X3305" s="102">
        <f t="shared" si="2536"/>
        <v>0</v>
      </c>
      <c r="Y3305" s="120" t="b">
        <f t="shared" si="2537"/>
        <v>0</v>
      </c>
      <c r="Z3305" s="117">
        <f t="shared" si="2538"/>
        <v>0</v>
      </c>
      <c r="AA3305" s="118"/>
      <c r="AB3305" s="118" t="str">
        <f t="shared" si="2539"/>
        <v/>
      </c>
      <c r="AC3305" s="712" t="str">
        <f>IF(AE3305="T2G","no charge",IF(AND(OR(PlanterYesMe="No",PlanterYesMe="N",PlanterYesMe="me"),H3305=""),"",IF(H3305="credit","NO install",IF(AND(K3305="",AE3305="me"),"EACH row",IF(AND(K3305="images",AE3305="me"),"EACH row",IF(D3305="","",IF(H3305="credit","",IF(AE3305="free","re-planting",IF(AE3305="me","   not ELP, by",IF(AND(OR(PlanterYesMe="Yes",PlanterYesMe="Y"),G3305&gt;0),(VLOOKUP(A3305,'Discount Lookup'!J:K,2)*G3305*(1-PlanterDiscount)*(1+PlanterDifficultyPercentage)),IF(AE3305="ELP",(VLOOKUP(A3305,'Discount Lookup'!J:K,2)*G3305*(1-PlanterDiscount)*(1+PlanterDifficultyPercentage)),IF(AE3305="free","re-planting",IF(G3305=0,"",IF(PlanterYesMe="",IF(AE3305="me","   not ELP, by",IF(AE3305="",IF(G3305&gt;0,(VLOOKUP(A3305,'Discount Lookup'!J:K,2)*G3305*(1-PlanterDiscount)*(1+PlanterDifficultyPercentage)),""),"")),"   not ELP, by"))))))))))))))</f>
        <v/>
      </c>
      <c r="AD3305" s="712"/>
      <c r="AE3305" s="513" t="str">
        <f t="shared" si="2540"/>
        <v/>
      </c>
      <c r="AF3305" s="713" t="str">
        <f t="shared" si="2541"/>
        <v/>
      </c>
      <c r="AG3305" s="713"/>
      <c r="AH3305" s="713"/>
      <c r="AI3305" s="112">
        <f>IF(H3305="credit",0,IF(AE3305="free",0,IF(AE3305="me",0,IF(G3305&gt;0,(VLOOKUP(A3305,'Discount Lookup'!J:K,2)*G3305),0))))</f>
        <v>0</v>
      </c>
      <c r="AJ3305" s="107" t="str">
        <f t="shared" ca="1" si="2542"/>
        <v/>
      </c>
      <c r="AK3305" s="714" t="str">
        <f t="shared" si="2543"/>
        <v/>
      </c>
      <c r="AL3305" s="714"/>
      <c r="AM3305" s="114" t="str">
        <f t="shared" si="2544"/>
        <v/>
      </c>
      <c r="AN3305" s="115"/>
      <c r="AO3305" s="116"/>
      <c r="AP3305" s="116"/>
      <c r="AQ3305" s="116"/>
      <c r="AR3305" s="116"/>
      <c r="AS3305" s="116"/>
      <c r="AT3305" s="116"/>
      <c r="AU3305" s="116"/>
      <c r="AV3305" s="78"/>
      <c r="AW3305" s="102"/>
      <c r="AX3305" s="78"/>
      <c r="AY3305" s="78"/>
      <c r="AZ3305" s="78"/>
      <c r="BA3305" s="78"/>
      <c r="BB3305" s="78"/>
      <c r="BC3305" s="78"/>
      <c r="BD3305" s="78"/>
      <c r="BE3305" s="465"/>
      <c r="BF3305" s="165" t="str">
        <f t="shared" si="2545"/>
        <v>https://www.google.com/search?tbm=isch&amp;q=15%20G4</v>
      </c>
      <c r="BG3305" s="165" t="str">
        <f t="shared" si="2546"/>
        <v>P</v>
      </c>
      <c r="BH3305" s="65"/>
      <c r="BI3305" s="65"/>
      <c r="BJ3305" s="65"/>
      <c r="BK3305" s="65"/>
      <c r="BL3305" s="99"/>
      <c r="BM3305" s="99"/>
      <c r="BN3305" s="99"/>
    </row>
    <row r="3306" spans="1:66" s="51" customFormat="1" ht="15.75" x14ac:dyDescent="0.25">
      <c r="A3306" s="508" t="s">
        <v>669</v>
      </c>
      <c r="B3306" s="487"/>
      <c r="C3306" s="707"/>
      <c r="D3306" s="487"/>
      <c r="E3306" s="487"/>
      <c r="F3306" s="488"/>
      <c r="G3306" s="489"/>
      <c r="H3306" s="487"/>
      <c r="I3306" s="490"/>
      <c r="J3306" s="490"/>
      <c r="K3306" s="491"/>
      <c r="L3306" s="547"/>
      <c r="M3306" s="528"/>
      <c r="N3306" s="492"/>
      <c r="O3306" s="493"/>
      <c r="P3306" s="494"/>
      <c r="Q3306" s="492"/>
      <c r="R3306" s="492"/>
      <c r="S3306" s="699" t="s">
        <v>5259</v>
      </c>
      <c r="T3306" s="102">
        <f t="shared" si="2534"/>
        <v>0</v>
      </c>
      <c r="U3306" s="78" t="str">
        <f>IF(NOT(ISNUMBER(G3306)), "", VLOOKUP(A3306,'Discount Lookup'!D:E,2,FALSE)*G3306)</f>
        <v/>
      </c>
      <c r="V3306" s="78" t="str">
        <f>IF(NOT(ISNUMBER(G3306)), "", VLOOKUP(A3306,'Discount Lookup'!G:H,2,FALSE)*G3306)</f>
        <v/>
      </c>
      <c r="W3306" s="102">
        <f t="shared" si="2535"/>
        <v>0</v>
      </c>
      <c r="X3306" s="102">
        <f t="shared" si="2536"/>
        <v>0</v>
      </c>
      <c r="Y3306" s="120" t="b">
        <f t="shared" si="2537"/>
        <v>0</v>
      </c>
      <c r="Z3306" s="117">
        <f t="shared" si="2538"/>
        <v>0</v>
      </c>
      <c r="AA3306" s="118"/>
      <c r="AB3306" s="118" t="str">
        <f t="shared" si="2539"/>
        <v/>
      </c>
      <c r="AC3306" s="712" t="str">
        <f>IF(AE3306="T2G","no charge",IF(AND(OR(PlanterYesMe="No",PlanterYesMe="N",PlanterYesMe="me"),H3306=""),"",IF(H3306="credit","NO install",IF(AND(K3306="",AE3306="me"),"EACH row",IF(AND(K3306="images",AE3306="me"),"EACH row",IF(D3306="","",IF(H3306="credit","",IF(AE3306="free","re-planting",IF(AE3306="me","   not ELP, by",IF(AND(OR(PlanterYesMe="Yes",PlanterYesMe="Y"),G3306&gt;0),(VLOOKUP(A3306,'Discount Lookup'!J:K,2)*G3306*(1-PlanterDiscount)*(1+PlanterDifficultyPercentage)),IF(AE3306="ELP",(VLOOKUP(A3306,'Discount Lookup'!J:K,2)*G3306*(1-PlanterDiscount)*(1+PlanterDifficultyPercentage)),IF(AE3306="free","re-planting",IF(G3306=0,"",IF(PlanterYesMe="",IF(AE3306="me","   not ELP, by",IF(AE3306="",IF(G3306&gt;0,(VLOOKUP(A3306,'Discount Lookup'!J:K,2)*G3306*(1-PlanterDiscount)*(1+PlanterDifficultyPercentage)),""),"")),"   not ELP, by"))))))))))))))</f>
        <v/>
      </c>
      <c r="AD3306" s="712"/>
      <c r="AE3306" s="513" t="str">
        <f t="shared" si="2540"/>
        <v/>
      </c>
      <c r="AF3306" s="713" t="str">
        <f t="shared" si="2541"/>
        <v/>
      </c>
      <c r="AG3306" s="713"/>
      <c r="AH3306" s="713"/>
      <c r="AI3306" s="112">
        <f>IF(H3306="credit",0,IF(AE3306="free",0,IF(AE3306="me",0,IF(G3306&gt;0,(VLOOKUP(A3306,'Discount Lookup'!J:K,2)*G3306),0))))</f>
        <v>0</v>
      </c>
      <c r="AJ3306" s="107" t="str">
        <f t="shared" ca="1" si="2542"/>
        <v/>
      </c>
      <c r="AK3306" s="714" t="str">
        <f t="shared" si="2543"/>
        <v/>
      </c>
      <c r="AL3306" s="714"/>
      <c r="AM3306" s="114" t="str">
        <f t="shared" si="2544"/>
        <v/>
      </c>
      <c r="AN3306" s="115"/>
      <c r="AO3306" s="116"/>
      <c r="AP3306" s="116"/>
      <c r="AQ3306" s="116"/>
      <c r="AR3306" s="116"/>
      <c r="AS3306" s="116"/>
      <c r="AT3306" s="116"/>
      <c r="AU3306" s="116"/>
      <c r="AV3306" s="78"/>
      <c r="AW3306" s="102"/>
      <c r="AX3306" s="78"/>
      <c r="AY3306" s="78"/>
      <c r="AZ3306" s="78"/>
      <c r="BA3306" s="78"/>
      <c r="BB3306" s="78"/>
      <c r="BC3306" s="78"/>
      <c r="BD3306" s="78"/>
      <c r="BE3306" s="465"/>
      <c r="BF3306" s="165" t="str">
        <f t="shared" si="2545"/>
        <v>https://www.google.com/search?tbm=isch&amp;q=Skyland%27s%20needles%20emerge%20a%20dramatic%20yellow-green%2C%20along%20with%20Red%20pollen%20cones%20and%20Purple%20seed%20cones.%20Grows%20fast%20for%20a%20Spruce%20</v>
      </c>
      <c r="BG3306" s="165" t="str">
        <f t="shared" si="2546"/>
        <v>S</v>
      </c>
      <c r="BH3306" s="65"/>
      <c r="BI3306" s="65"/>
      <c r="BJ3306" s="65"/>
      <c r="BK3306" s="65"/>
      <c r="BL3306" s="99"/>
      <c r="BM3306" s="99"/>
      <c r="BN3306" s="99"/>
    </row>
    <row r="3307" spans="1:66" s="51" customFormat="1" ht="19.5" thickBot="1" x14ac:dyDescent="0.3">
      <c r="A3307" s="686" t="s">
        <v>670</v>
      </c>
      <c r="B3307" s="73"/>
      <c r="C3307" s="708"/>
      <c r="D3307" s="73"/>
      <c r="E3307" s="73"/>
      <c r="F3307" s="496"/>
      <c r="G3307" s="73"/>
      <c r="H3307" s="73"/>
      <c r="I3307" s="73"/>
      <c r="J3307" s="497" t="s">
        <v>357</v>
      </c>
      <c r="K3307" s="498"/>
      <c r="L3307" s="562"/>
      <c r="M3307" s="73"/>
      <c r="N3307"/>
      <c r="O3307"/>
      <c r="P3307"/>
      <c r="Q3307"/>
      <c r="R3307"/>
      <c r="S3307"/>
      <c r="T3307" s="102">
        <f t="shared" si="2534"/>
        <v>0</v>
      </c>
      <c r="U3307" s="78" t="str">
        <f>IF(NOT(ISNUMBER(G3307)), "", VLOOKUP(A3307,'Discount Lookup'!D:E,2,FALSE)*G3307)</f>
        <v/>
      </c>
      <c r="V3307" s="78" t="str">
        <f>IF(NOT(ISNUMBER(G3307)), "", VLOOKUP(A3307,'Discount Lookup'!G:H,2,FALSE)*G3307)</f>
        <v/>
      </c>
      <c r="W3307" s="102">
        <f t="shared" si="2535"/>
        <v>0</v>
      </c>
      <c r="X3307" s="102">
        <f t="shared" si="2536"/>
        <v>0</v>
      </c>
      <c r="Y3307" s="120" t="b">
        <f t="shared" si="2537"/>
        <v>0</v>
      </c>
      <c r="Z3307" s="117">
        <f t="shared" si="2538"/>
        <v>0</v>
      </c>
      <c r="AA3307" s="118"/>
      <c r="AB3307" s="118" t="str">
        <f t="shared" si="2539"/>
        <v/>
      </c>
      <c r="AC3307" s="712" t="str">
        <f>IF(AE3307="T2G","no charge",IF(AND(OR(PlanterYesMe="No",PlanterYesMe="N",PlanterYesMe="me"),H3307=""),"",IF(H3307="credit","NO install",IF(AND(K3307="",AE3307="me"),"EACH row",IF(AND(K3307="images",AE3307="me"),"EACH row",IF(D3307="","",IF(H3307="credit","",IF(AE3307="free","re-planting",IF(AE3307="me","   not ELP, by",IF(AND(OR(PlanterYesMe="Yes",PlanterYesMe="Y"),G3307&gt;0),(VLOOKUP(A3307,'Discount Lookup'!J:K,2)*G3307*(1-PlanterDiscount)*(1+PlanterDifficultyPercentage)),IF(AE3307="ELP",(VLOOKUP(A3307,'Discount Lookup'!J:K,2)*G3307*(1-PlanterDiscount)*(1+PlanterDifficultyPercentage)),IF(AE3307="free","re-planting",IF(G3307=0,"",IF(PlanterYesMe="",IF(AE3307="me","   not ELP, by",IF(AE3307="",IF(G3307&gt;0,(VLOOKUP(A3307,'Discount Lookup'!J:K,2)*G3307*(1-PlanterDiscount)*(1+PlanterDifficultyPercentage)),""),"")),"   not ELP, by"))))))))))))))</f>
        <v/>
      </c>
      <c r="AD3307" s="712"/>
      <c r="AE3307" s="513" t="str">
        <f t="shared" si="2540"/>
        <v/>
      </c>
      <c r="AF3307" s="713" t="str">
        <f t="shared" si="2541"/>
        <v/>
      </c>
      <c r="AG3307" s="713"/>
      <c r="AH3307" s="713"/>
      <c r="AI3307" s="112">
        <f>IF(H3307="credit",0,IF(AE3307="free",0,IF(AE3307="me",0,IF(G3307&gt;0,(VLOOKUP(A3307,'Discount Lookup'!J:K,2)*G3307),0))))</f>
        <v>0</v>
      </c>
      <c r="AJ3307" s="107" t="str">
        <f t="shared" ca="1" si="2542"/>
        <v/>
      </c>
      <c r="AK3307" s="714" t="str">
        <f t="shared" si="2543"/>
        <v/>
      </c>
      <c r="AL3307" s="714"/>
      <c r="AM3307" s="114" t="str">
        <f t="shared" si="2544"/>
        <v/>
      </c>
      <c r="AN3307" s="115"/>
      <c r="AO3307" s="116"/>
      <c r="AP3307" s="116"/>
      <c r="AQ3307" s="116"/>
      <c r="AR3307" s="116"/>
      <c r="AS3307" s="116"/>
      <c r="AT3307" s="116"/>
      <c r="AU3307" s="116"/>
      <c r="AV3307" s="78"/>
      <c r="AW3307" s="102"/>
      <c r="AX3307" s="78"/>
      <c r="AY3307" s="78"/>
      <c r="AZ3307" s="78"/>
      <c r="BA3307" s="78"/>
      <c r="BB3307" s="78"/>
      <c r="BC3307" s="78"/>
      <c r="BD3307" s="78"/>
      <c r="BE3307" s="465"/>
      <c r="BF3307" s="165" t="str">
        <f t="shared" si="2545"/>
        <v>https://www.google.com/search?tbm=isch&amp;q=Pieris%20%3D%20Andromeda%20</v>
      </c>
      <c r="BG3307" s="165" t="str">
        <f t="shared" si="2546"/>
        <v>P</v>
      </c>
      <c r="BH3307" s="65"/>
      <c r="BI3307" s="65"/>
      <c r="BJ3307" s="65"/>
      <c r="BK3307" s="65"/>
      <c r="BL3307" s="99"/>
      <c r="BM3307" s="99"/>
      <c r="BN3307" s="99"/>
    </row>
    <row r="3308" spans="1:66" s="51" customFormat="1" ht="18" x14ac:dyDescent="0.25">
      <c r="A3308" s="507" t="s">
        <v>3804</v>
      </c>
      <c r="B3308" s="470"/>
      <c r="C3308" s="706"/>
      <c r="D3308" s="471" t="s">
        <v>3805</v>
      </c>
      <c r="E3308" s="472"/>
      <c r="F3308" s="472"/>
      <c r="G3308" s="472"/>
      <c r="H3308" s="622" t="s">
        <v>1270</v>
      </c>
      <c r="I3308" s="473" t="s">
        <v>349</v>
      </c>
      <c r="J3308" s="472"/>
      <c r="K3308" s="472"/>
      <c r="L3308" s="561"/>
      <c r="M3308" s="698" t="s">
        <v>5243</v>
      </c>
      <c r="N3308" s="692" t="str">
        <f>IF(AND(ISTEXT($A3308), ISERROR($A3308+0)), HYPERLINK($BF3308, "Images"), "")</f>
        <v>Images</v>
      </c>
      <c r="O3308" s="694" t="s">
        <v>5244</v>
      </c>
      <c r="P3308" s="475"/>
      <c r="Q3308" s="476"/>
      <c r="R3308" s="476"/>
      <c r="S3308" s="477"/>
      <c r="T3308" s="102">
        <f t="shared" si="2534"/>
        <v>0</v>
      </c>
      <c r="U3308" s="78" t="str">
        <f>IF(NOT(ISNUMBER(G3308)), "", VLOOKUP(A3308,'Discount Lookup'!D:E,2,FALSE)*G3308)</f>
        <v/>
      </c>
      <c r="V3308" s="78" t="str">
        <f>IF(NOT(ISNUMBER(G3308)), "", VLOOKUP(A3308,'Discount Lookup'!G:H,2,FALSE)*G3308)</f>
        <v/>
      </c>
      <c r="W3308" s="102">
        <f t="shared" si="2535"/>
        <v>0</v>
      </c>
      <c r="X3308" s="102" t="str">
        <f t="shared" si="2536"/>
        <v>White bloom</v>
      </c>
      <c r="Y3308" s="120" t="b">
        <f t="shared" si="2537"/>
        <v>0</v>
      </c>
      <c r="Z3308" s="117">
        <f t="shared" si="2538"/>
        <v>0</v>
      </c>
      <c r="AA3308" s="118"/>
      <c r="AB3308" s="118" t="str">
        <f t="shared" si="2539"/>
        <v/>
      </c>
      <c r="AC3308" s="712" t="str">
        <f>IF(AE3308="T2G","no charge",IF(AND(OR(PlanterYesMe="No",PlanterYesMe="N",PlanterYesMe="me"),H3308=""),"",IF(H3308="credit","NO install",IF(AND(K3308="",AE3308="me"),"EACH row",IF(AND(K3308="images",AE3308="me"),"EACH row",IF(D3308="","",IF(H3308="credit","",IF(AE3308="free","re-planting",IF(AE3308="me","   not ELP, by",IF(AND(OR(PlanterYesMe="Yes",PlanterYesMe="Y"),G3308&gt;0),(VLOOKUP(A3308,'Discount Lookup'!J:K,2)*G3308*(1-PlanterDiscount)*(1+PlanterDifficultyPercentage)),IF(AE3308="ELP",(VLOOKUP(A3308,'Discount Lookup'!J:K,2)*G3308*(1-PlanterDiscount)*(1+PlanterDifficultyPercentage)),IF(AE3308="free","re-planting",IF(G3308=0,"",IF(PlanterYesMe="",IF(AE3308="me","   not ELP, by",IF(AE3308="",IF(G3308&gt;0,(VLOOKUP(A3308,'Discount Lookup'!J:K,2)*G3308*(1-PlanterDiscount)*(1+PlanterDifficultyPercentage)),""),"")),"   not ELP, by"))))))))))))))</f>
        <v/>
      </c>
      <c r="AD3308" s="712"/>
      <c r="AE3308" s="513" t="str">
        <f t="shared" si="2540"/>
        <v/>
      </c>
      <c r="AF3308" s="713" t="str">
        <f t="shared" si="2541"/>
        <v/>
      </c>
      <c r="AG3308" s="713"/>
      <c r="AH3308" s="713"/>
      <c r="AI3308" s="112">
        <f>IF(H3308="credit",0,IF(AE3308="free",0,IF(AE3308="me",0,IF(G3308&gt;0,(VLOOKUP(A3308,'Discount Lookup'!J:K,2)*G3308),0))))</f>
        <v>0</v>
      </c>
      <c r="AJ3308" s="107" t="str">
        <f t="shared" ca="1" si="2542"/>
        <v/>
      </c>
      <c r="AK3308" s="714" t="str">
        <f t="shared" si="2543"/>
        <v/>
      </c>
      <c r="AL3308" s="714"/>
      <c r="AM3308" s="114" t="str">
        <f t="shared" si="2544"/>
        <v/>
      </c>
      <c r="AN3308" s="115"/>
      <c r="AO3308" s="116"/>
      <c r="AP3308" s="116"/>
      <c r="AQ3308" s="116"/>
      <c r="AR3308" s="116"/>
      <c r="AS3308" s="116"/>
      <c r="AT3308" s="116"/>
      <c r="AU3308" s="116"/>
      <c r="AV3308" s="78"/>
      <c r="AW3308" s="102"/>
      <c r="AX3308" s="78"/>
      <c r="AY3308" s="78"/>
      <c r="AZ3308" s="78"/>
      <c r="BA3308" s="78"/>
      <c r="BB3308" s="78"/>
      <c r="BC3308" s="78"/>
      <c r="BD3308" s="78"/>
      <c r="BE3308" s="465"/>
      <c r="BF3308" s="165" t="str">
        <f t="shared" si="2545"/>
        <v>https://www.google.com/search?tbm=isch&amp;q=Pieris%20japonica%20%27Planow%27%20Mountain%20Snow%20Japanese%20Pieris</v>
      </c>
      <c r="BG3308" s="165" t="str">
        <f t="shared" si="2546"/>
        <v>P</v>
      </c>
      <c r="BH3308" s="65"/>
      <c r="BI3308" s="65"/>
      <c r="BJ3308" s="65"/>
      <c r="BK3308" s="65"/>
      <c r="BL3308" s="99"/>
      <c r="BM3308" s="99"/>
      <c r="BN3308" s="99"/>
    </row>
    <row r="3309" spans="1:66" s="51" customFormat="1" ht="15.75" x14ac:dyDescent="0.25">
      <c r="A3309" s="478">
        <v>3</v>
      </c>
      <c r="B3309" s="479" t="s">
        <v>291</v>
      </c>
      <c r="C3309" s="480" t="s">
        <v>1561</v>
      </c>
      <c r="D3309" s="481" t="s">
        <v>309</v>
      </c>
      <c r="E3309" s="482">
        <v>35.950000000000003</v>
      </c>
      <c r="F3309" s="483" t="s">
        <v>292</v>
      </c>
      <c r="G3309" s="484">
        <v>0</v>
      </c>
      <c r="H3309" s="688" t="str">
        <f>IF(G3309=0,"",IF(F3309="Buy",IF(G3309=1,"plant","plants"),IF(F3309&gt;0.01,"warranty","Error")))</f>
        <v/>
      </c>
      <c r="I3309" s="485">
        <f>IF(H3309="free",0,IF(H3309="credit",((E3309*(F3309))*G3309*-1),IF(F3309="Buy",(E3309*G3309),((E3309*(1-F3309))*G3309))))</f>
        <v>0</v>
      </c>
      <c r="J3309" s="485">
        <f>IF(H3309="warranty",0,(I3309*(_xlfn.SINGLE(SalesTaxPercentage))))</f>
        <v>0</v>
      </c>
      <c r="K3309" s="715">
        <f t="shared" ref="K3309" si="2554">I3309+J3309</f>
        <v>0</v>
      </c>
      <c r="L3309" s="715"/>
      <c r="M3309" s="689" t="str">
        <f ca="1">IF(AND(G3309&gt;0,E3309=0),"WARNING - no PRICE inserted",IF(H3309="free","FREE ~ no charge this plant",IF(H3309="credit",CONCATENATE("-$",ROUND(K3309*(1-_xlfn.SINGLE(T2GDiscount))*-1,2)," CREDIT after discount"),IF(_xlfn.SINGLE(T2GDiscount)=0,"",IF(G3309=0,"",IF(F3309="Buy",CONCATENATE("$",ROUND(K3309*(1-_xlfn.SINGLE(T2GDiscount)),2)," with ",(_xlfn.SINGLE(T2GDiscount)*100),"% discount"),CONCATENATE("$",ROUND(K3309*(1-_xlfn.SINGLE(T2GDiscount)),2)," with ",((_xlfn.SINGLE(T2GDiscount)*100+F3309*100)-(_xlfn.SINGLE(T2GDiscount)*100*F3309)),IF(F3309&gt;0,"% discounts",IF(_xlfn.SINGLE(NoWarrantyDiscount)&gt;0,"% discounts","% discount")))))))))</f>
        <v/>
      </c>
      <c r="N3309" s="690"/>
      <c r="O3309" s="486"/>
      <c r="P3309" s="486"/>
      <c r="Q3309" s="486"/>
      <c r="R3309" s="486"/>
      <c r="S3309" s="486"/>
      <c r="T3309" s="102">
        <f t="shared" si="2534"/>
        <v>0</v>
      </c>
      <c r="U3309" s="78">
        <f>IF(NOT(ISNUMBER(G3309)), "", VLOOKUP(A3309,'Discount Lookup'!D:E,2,FALSE)*G3309)</f>
        <v>0</v>
      </c>
      <c r="V3309" s="78">
        <f>IF(NOT(ISNUMBER(G3309)), "", VLOOKUP(A3309,'Discount Lookup'!G:H,2,FALSE)*G3309)</f>
        <v>0</v>
      </c>
      <c r="W3309" s="102">
        <f t="shared" si="2535"/>
        <v>0</v>
      </c>
      <c r="X3309" s="102">
        <f t="shared" si="2536"/>
        <v>0</v>
      </c>
      <c r="Y3309" s="120" t="b">
        <f t="shared" si="2537"/>
        <v>0</v>
      </c>
      <c r="Z3309" s="117">
        <f t="shared" si="2538"/>
        <v>0</v>
      </c>
      <c r="AA3309" s="118"/>
      <c r="AB3309" s="118" t="str">
        <f t="shared" si="2539"/>
        <v/>
      </c>
      <c r="AC3309" s="712" t="str">
        <f>IF(AE3309="T2G","no charge",IF(AND(OR(PlanterYesMe="No",PlanterYesMe="N",PlanterYesMe="me"),H3309=""),"",IF(H3309="credit","NO install",IF(AND(K3309="",AE3309="me"),"EACH row",IF(AND(K3309="images",AE3309="me"),"EACH row",IF(D3309="","",IF(H3309="credit","",IF(AE3309="free","re-planting",IF(AE3309="me","   not ELP, by",IF(AND(OR(PlanterYesMe="Yes",PlanterYesMe="Y"),G3309&gt;0),(VLOOKUP(A3309,'Discount Lookup'!J:K,2)*G3309*(1-PlanterDiscount)*(1+PlanterDifficultyPercentage)),IF(AE3309="ELP",(VLOOKUP(A3309,'Discount Lookup'!J:K,2)*G3309*(1-PlanterDiscount)*(1+PlanterDifficultyPercentage)),IF(AE3309="free","re-planting",IF(G3309=0,"",IF(PlanterYesMe="",IF(AE3309="me","   not ELP, by",IF(AE3309="",IF(G3309&gt;0,(VLOOKUP(A3309,'Discount Lookup'!J:K,2)*G3309*(1-PlanterDiscount)*(1+PlanterDifficultyPercentage)),""),"")),"   not ELP, by"))))))))))))))</f>
        <v/>
      </c>
      <c r="AD3309" s="712"/>
      <c r="AE3309" s="513" t="str">
        <f t="shared" si="2540"/>
        <v/>
      </c>
      <c r="AF3309" s="713" t="str">
        <f t="shared" si="2541"/>
        <v/>
      </c>
      <c r="AG3309" s="713"/>
      <c r="AH3309" s="713"/>
      <c r="AI3309" s="112">
        <f>IF(H3309="credit",0,IF(AE3309="free",0,IF(AE3309="me",0,IF(G3309&gt;0,(VLOOKUP(A3309,'Discount Lookup'!J:K,2)*G3309),0))))</f>
        <v>0</v>
      </c>
      <c r="AJ3309" s="107" t="str">
        <f t="shared" ca="1" si="2542"/>
        <v/>
      </c>
      <c r="AK3309" s="714" t="str">
        <f t="shared" si="2543"/>
        <v/>
      </c>
      <c r="AL3309" s="714"/>
      <c r="AM3309" s="114" t="str">
        <f t="shared" si="2544"/>
        <v/>
      </c>
      <c r="AN3309" s="115"/>
      <c r="AO3309" s="116"/>
      <c r="AP3309" s="116"/>
      <c r="AQ3309" s="116"/>
      <c r="AR3309" s="116"/>
      <c r="AS3309" s="116"/>
      <c r="AT3309" s="116"/>
      <c r="AU3309" s="116"/>
      <c r="AV3309" s="78"/>
      <c r="AW3309" s="102"/>
      <c r="AX3309" s="78"/>
      <c r="AY3309" s="78"/>
      <c r="AZ3309" s="78"/>
      <c r="BA3309" s="78"/>
      <c r="BB3309" s="78"/>
      <c r="BC3309" s="78"/>
      <c r="BD3309" s="78"/>
      <c r="BE3309" s="465"/>
      <c r="BF3309" s="165" t="str">
        <f t="shared" si="2545"/>
        <v>https://www.google.com/search?tbm=isch&amp;q=3%20G3</v>
      </c>
      <c r="BG3309" s="165" t="str">
        <f t="shared" si="2546"/>
        <v>P</v>
      </c>
      <c r="BH3309" s="65"/>
      <c r="BI3309" s="65"/>
      <c r="BJ3309" s="65"/>
      <c r="BK3309" s="65"/>
      <c r="BL3309" s="99"/>
      <c r="BM3309" s="99"/>
      <c r="BN3309" s="99"/>
    </row>
    <row r="3310" spans="1:66" s="51" customFormat="1" ht="17.25" thickBot="1" x14ac:dyDescent="0.3">
      <c r="A3310" s="705" t="s">
        <v>5507</v>
      </c>
      <c r="B3310" s="487"/>
      <c r="C3310" s="707"/>
      <c r="D3310" s="487"/>
      <c r="E3310" s="487"/>
      <c r="F3310" s="488"/>
      <c r="G3310" s="489"/>
      <c r="H3310" s="487"/>
      <c r="I3310" s="490"/>
      <c r="J3310" s="490"/>
      <c r="K3310" s="491"/>
      <c r="L3310" s="547"/>
      <c r="M3310" s="528"/>
      <c r="N3310" s="492"/>
      <c r="O3310" s="493"/>
      <c r="P3310" s="494"/>
      <c r="Q3310" s="492"/>
      <c r="R3310" s="492"/>
      <c r="S3310" s="699" t="s">
        <v>5275</v>
      </c>
      <c r="T3310" s="102">
        <f t="shared" si="2534"/>
        <v>0</v>
      </c>
      <c r="U3310" s="78" t="str">
        <f>IF(NOT(ISNUMBER(G3310)), "", VLOOKUP(A3310,'Discount Lookup'!D:E,2,FALSE)*G3310)</f>
        <v/>
      </c>
      <c r="V3310" s="78" t="str">
        <f>IF(NOT(ISNUMBER(G3310)), "", VLOOKUP(A3310,'Discount Lookup'!G:H,2,FALSE)*G3310)</f>
        <v/>
      </c>
      <c r="W3310" s="102">
        <f t="shared" si="2535"/>
        <v>0</v>
      </c>
      <c r="X3310" s="102">
        <f t="shared" si="2536"/>
        <v>0</v>
      </c>
      <c r="Y3310" s="120" t="b">
        <f t="shared" si="2537"/>
        <v>0</v>
      </c>
      <c r="Z3310" s="117">
        <f t="shared" si="2538"/>
        <v>0</v>
      </c>
      <c r="AA3310" s="118"/>
      <c r="AB3310" s="118" t="str">
        <f t="shared" si="2539"/>
        <v/>
      </c>
      <c r="AC3310" s="712" t="str">
        <f>IF(AE3310="T2G","no charge",IF(AND(OR(PlanterYesMe="No",PlanterYesMe="N",PlanterYesMe="me"),H3310=""),"",IF(H3310="credit","NO install",IF(AND(K3310="",AE3310="me"),"EACH row",IF(AND(K3310="images",AE3310="me"),"EACH row",IF(D3310="","",IF(H3310="credit","",IF(AE3310="free","re-planting",IF(AE3310="me","   not ELP, by",IF(AND(OR(PlanterYesMe="Yes",PlanterYesMe="Y"),G3310&gt;0),(VLOOKUP(A3310,'Discount Lookup'!J:K,2)*G3310*(1-PlanterDiscount)*(1+PlanterDifficultyPercentage)),IF(AE3310="ELP",(VLOOKUP(A3310,'Discount Lookup'!J:K,2)*G3310*(1-PlanterDiscount)*(1+PlanterDifficultyPercentage)),IF(AE3310="free","re-planting",IF(G3310=0,"",IF(PlanterYesMe="",IF(AE3310="me","   not ELP, by",IF(AE3310="",IF(G3310&gt;0,(VLOOKUP(A3310,'Discount Lookup'!J:K,2)*G3310*(1-PlanterDiscount)*(1+PlanterDifficultyPercentage)),""),"")),"   not ELP, by"))))))))))))))</f>
        <v/>
      </c>
      <c r="AD3310" s="712"/>
      <c r="AE3310" s="513" t="str">
        <f t="shared" si="2540"/>
        <v/>
      </c>
      <c r="AF3310" s="713" t="str">
        <f t="shared" si="2541"/>
        <v/>
      </c>
      <c r="AG3310" s="713"/>
      <c r="AH3310" s="713"/>
      <c r="AI3310" s="112">
        <f>IF(H3310="credit",0,IF(AE3310="free",0,IF(AE3310="me",0,IF(G3310&gt;0,(VLOOKUP(A3310,'Discount Lookup'!J:K,2)*G3310),0))))</f>
        <v>0</v>
      </c>
      <c r="AJ3310" s="107" t="str">
        <f t="shared" ca="1" si="2542"/>
        <v/>
      </c>
      <c r="AK3310" s="714" t="str">
        <f t="shared" si="2543"/>
        <v/>
      </c>
      <c r="AL3310" s="714"/>
      <c r="AM3310" s="114" t="str">
        <f t="shared" si="2544"/>
        <v/>
      </c>
      <c r="AN3310" s="115"/>
      <c r="AO3310" s="116"/>
      <c r="AP3310" s="116"/>
      <c r="AQ3310" s="116"/>
      <c r="AR3310" s="116"/>
      <c r="AS3310" s="116"/>
      <c r="AT3310" s="116"/>
      <c r="AU3310" s="116"/>
      <c r="AV3310" s="78"/>
      <c r="AW3310" s="102"/>
      <c r="AX3310" s="78"/>
      <c r="AY3310" s="78"/>
      <c r="AZ3310" s="78"/>
      <c r="BA3310" s="78"/>
      <c r="BB3310" s="78"/>
      <c r="BC3310" s="78"/>
      <c r="BD3310" s="78"/>
      <c r="BE3310" s="465"/>
      <c r="BF3310" s="165" t="str">
        <f t="shared" si="2545"/>
        <v>https://www.google.com/search?tbm=isch&amp;q=moist%20sites%F0%9F%92%A7GOOD%2C%20Mountain%20Snow%20most%20cold%2Fheat%20tolerant%20Pieris.%20Bell-shaped%20flowers%20on%20pendulous%20branches%20</v>
      </c>
      <c r="BG3310" s="165" t="str">
        <f t="shared" si="2546"/>
        <v>m</v>
      </c>
      <c r="BH3310" s="65"/>
      <c r="BI3310" s="65"/>
      <c r="BJ3310" s="65"/>
      <c r="BK3310" s="65"/>
      <c r="BL3310" s="99"/>
      <c r="BM3310" s="99"/>
      <c r="BN3310" s="99"/>
    </row>
    <row r="3311" spans="1:66" s="51" customFormat="1" ht="18" x14ac:dyDescent="0.25">
      <c r="A3311" s="507" t="s">
        <v>3806</v>
      </c>
      <c r="B3311" s="470"/>
      <c r="C3311" s="706"/>
      <c r="D3311" s="471" t="s">
        <v>3807</v>
      </c>
      <c r="E3311" s="472"/>
      <c r="F3311" s="472"/>
      <c r="G3311" s="472"/>
      <c r="H3311" s="622" t="s">
        <v>1270</v>
      </c>
      <c r="I3311" s="473" t="s">
        <v>350</v>
      </c>
      <c r="J3311" s="472"/>
      <c r="K3311" s="472"/>
      <c r="L3311" s="561"/>
      <c r="M3311" s="703" t="s">
        <v>5260</v>
      </c>
      <c r="N3311" s="692" t="str">
        <f>IF(AND(ISTEXT($A3311), ISERROR($A3311+0)), HYPERLINK($BF3311, "Images"), "")</f>
        <v>Images</v>
      </c>
      <c r="O3311" s="694" t="s">
        <v>5244</v>
      </c>
      <c r="P3311" s="475"/>
      <c r="Q3311" s="476"/>
      <c r="R3311" s="476"/>
      <c r="S3311" s="477"/>
      <c r="T3311" s="102">
        <f t="shared" si="2534"/>
        <v>0</v>
      </c>
      <c r="U3311" s="78" t="str">
        <f>IF(NOT(ISNUMBER(G3311)), "", VLOOKUP(A3311,'Discount Lookup'!D:E,2,FALSE)*G3311)</f>
        <v/>
      </c>
      <c r="V3311" s="78" t="str">
        <f>IF(NOT(ISNUMBER(G3311)), "", VLOOKUP(A3311,'Discount Lookup'!G:H,2,FALSE)*G3311)</f>
        <v/>
      </c>
      <c r="W3311" s="102">
        <f t="shared" si="2535"/>
        <v>0</v>
      </c>
      <c r="X3311" s="102" t="str">
        <f t="shared" si="2536"/>
        <v>Creamy White bloom</v>
      </c>
      <c r="Y3311" s="120" t="b">
        <f t="shared" si="2537"/>
        <v>0</v>
      </c>
      <c r="Z3311" s="117">
        <f t="shared" si="2538"/>
        <v>0</v>
      </c>
      <c r="AA3311" s="118"/>
      <c r="AB3311" s="118" t="str">
        <f t="shared" si="2539"/>
        <v/>
      </c>
      <c r="AC3311" s="712" t="str">
        <f>IF(AE3311="T2G","no charge",IF(AND(OR(PlanterYesMe="No",PlanterYesMe="N",PlanterYesMe="me"),H3311=""),"",IF(H3311="credit","NO install",IF(AND(K3311="",AE3311="me"),"EACH row",IF(AND(K3311="images",AE3311="me"),"EACH row",IF(D3311="","",IF(H3311="credit","",IF(AE3311="free","re-planting",IF(AE3311="me","   not ELP, by",IF(AND(OR(PlanterYesMe="Yes",PlanterYesMe="Y"),G3311&gt;0),(VLOOKUP(A3311,'Discount Lookup'!J:K,2)*G3311*(1-PlanterDiscount)*(1+PlanterDifficultyPercentage)),IF(AE3311="ELP",(VLOOKUP(A3311,'Discount Lookup'!J:K,2)*G3311*(1-PlanterDiscount)*(1+PlanterDifficultyPercentage)),IF(AE3311="free","re-planting",IF(G3311=0,"",IF(PlanterYesMe="",IF(AE3311="me","   not ELP, by",IF(AE3311="",IF(G3311&gt;0,(VLOOKUP(A3311,'Discount Lookup'!J:K,2)*G3311*(1-PlanterDiscount)*(1+PlanterDifficultyPercentage)),""),"")),"   not ELP, by"))))))))))))))</f>
        <v/>
      </c>
      <c r="AD3311" s="712"/>
      <c r="AE3311" s="513" t="str">
        <f t="shared" si="2540"/>
        <v/>
      </c>
      <c r="AF3311" s="713" t="str">
        <f t="shared" si="2541"/>
        <v/>
      </c>
      <c r="AG3311" s="713"/>
      <c r="AH3311" s="713"/>
      <c r="AI3311" s="112">
        <f>IF(H3311="credit",0,IF(AE3311="free",0,IF(AE3311="me",0,IF(G3311&gt;0,(VLOOKUP(A3311,'Discount Lookup'!J:K,2)*G3311),0))))</f>
        <v>0</v>
      </c>
      <c r="AJ3311" s="107" t="str">
        <f t="shared" ca="1" si="2542"/>
        <v/>
      </c>
      <c r="AK3311" s="714" t="str">
        <f t="shared" si="2543"/>
        <v/>
      </c>
      <c r="AL3311" s="714"/>
      <c r="AM3311" s="114" t="str">
        <f t="shared" si="2544"/>
        <v/>
      </c>
      <c r="AN3311" s="115"/>
      <c r="AO3311" s="116"/>
      <c r="AP3311" s="116"/>
      <c r="AQ3311" s="116"/>
      <c r="AR3311" s="116"/>
      <c r="AS3311" s="116"/>
      <c r="AT3311" s="116"/>
      <c r="AU3311" s="116"/>
      <c r="AV3311" s="78"/>
      <c r="AW3311" s="102"/>
      <c r="AX3311" s="78"/>
      <c r="AY3311" s="78"/>
      <c r="AZ3311" s="78"/>
      <c r="BA3311" s="78"/>
      <c r="BB3311" s="78"/>
      <c r="BC3311" s="78"/>
      <c r="BD3311" s="78"/>
      <c r="BE3311" s="465"/>
      <c r="BF3311" s="165" t="str">
        <f t="shared" si="2545"/>
        <v>https://www.google.com/search?tbm=isch&amp;q=Pieris%20japonica%20%27Temple%20Bells%27%20Temple%20Bells%20Pieris</v>
      </c>
      <c r="BG3311" s="165" t="str">
        <f t="shared" si="2546"/>
        <v>P</v>
      </c>
      <c r="BH3311" s="65"/>
      <c r="BI3311" s="65"/>
      <c r="BJ3311" s="65"/>
      <c r="BK3311" s="65"/>
      <c r="BL3311" s="99"/>
      <c r="BM3311" s="99"/>
      <c r="BN3311" s="99"/>
    </row>
    <row r="3312" spans="1:66" s="51" customFormat="1" ht="15.75" x14ac:dyDescent="0.25">
      <c r="A3312" s="478">
        <v>7</v>
      </c>
      <c r="B3312" s="479" t="s">
        <v>291</v>
      </c>
      <c r="C3312" s="480" t="s">
        <v>2625</v>
      </c>
      <c r="D3312" s="481" t="s">
        <v>299</v>
      </c>
      <c r="E3312" s="482">
        <v>91.95</v>
      </c>
      <c r="F3312" s="483" t="s">
        <v>292</v>
      </c>
      <c r="G3312" s="484">
        <v>0</v>
      </c>
      <c r="H3312" s="688" t="str">
        <f>IF(G3312=0,"",IF(F3312="Buy",IF(G3312=1,"plant","plants"),IF(F3312&gt;0.01,"warranty","Error")))</f>
        <v/>
      </c>
      <c r="I3312" s="485">
        <f>IF(H3312="free",0,IF(H3312="credit",((E3312*(F3312))*G3312*-1),IF(F3312="Buy",(E3312*G3312),((E3312*(1-F3312))*G3312))))</f>
        <v>0</v>
      </c>
      <c r="J3312" s="485">
        <f>IF(H3312="warranty",0,(I3312*(_xlfn.SINGLE(SalesTaxPercentage))))</f>
        <v>0</v>
      </c>
      <c r="K3312" s="715">
        <f t="shared" ref="K3312" si="2555">I3312+J3312</f>
        <v>0</v>
      </c>
      <c r="L3312" s="715"/>
      <c r="M3312" s="689" t="str">
        <f ca="1">IF(AND(G3312&gt;0,E3312=0),"WARNING - no PRICE inserted",IF(H3312="free","FREE ~ no charge this plant",IF(H3312="credit",CONCATENATE("-$",ROUND(K3312*(1-_xlfn.SINGLE(T2GDiscount))*-1,2)," CREDIT after discount"),IF(_xlfn.SINGLE(T2GDiscount)=0,"",IF(G3312=0,"",IF(F3312="Buy",CONCATENATE("$",ROUND(K3312*(1-_xlfn.SINGLE(T2GDiscount)),2)," with ",(_xlfn.SINGLE(T2GDiscount)*100),"% discount"),CONCATENATE("$",ROUND(K3312*(1-_xlfn.SINGLE(T2GDiscount)),2)," with ",((_xlfn.SINGLE(T2GDiscount)*100+F3312*100)-(_xlfn.SINGLE(T2GDiscount)*100*F3312)),IF(F3312&gt;0,"% discounts",IF(_xlfn.SINGLE(NoWarrantyDiscount)&gt;0,"% discounts","% discount")))))))))</f>
        <v/>
      </c>
      <c r="N3312" s="690"/>
      <c r="O3312" s="486"/>
      <c r="P3312" s="486"/>
      <c r="Q3312" s="486"/>
      <c r="R3312" s="486"/>
      <c r="S3312" s="486"/>
      <c r="T3312" s="102">
        <f t="shared" si="2534"/>
        <v>0</v>
      </c>
      <c r="U3312" s="78">
        <f>IF(NOT(ISNUMBER(G3312)), "", VLOOKUP(A3312,'Discount Lookup'!D:E,2,FALSE)*G3312)</f>
        <v>0</v>
      </c>
      <c r="V3312" s="78">
        <f>IF(NOT(ISNUMBER(G3312)), "", VLOOKUP(A3312,'Discount Lookup'!G:H,2,FALSE)*G3312)</f>
        <v>0</v>
      </c>
      <c r="W3312" s="102">
        <f t="shared" si="2535"/>
        <v>0</v>
      </c>
      <c r="X3312" s="102">
        <f t="shared" si="2536"/>
        <v>0</v>
      </c>
      <c r="Y3312" s="120" t="b">
        <f t="shared" si="2537"/>
        <v>0</v>
      </c>
      <c r="Z3312" s="117">
        <f t="shared" si="2538"/>
        <v>0</v>
      </c>
      <c r="AA3312" s="118"/>
      <c r="AB3312" s="118" t="str">
        <f t="shared" si="2539"/>
        <v/>
      </c>
      <c r="AC3312" s="712" t="str">
        <f>IF(AE3312="T2G","no charge",IF(AND(OR(PlanterYesMe="No",PlanterYesMe="N",PlanterYesMe="me"),H3312=""),"",IF(H3312="credit","NO install",IF(AND(K3312="",AE3312="me"),"EACH row",IF(AND(K3312="images",AE3312="me"),"EACH row",IF(D3312="","",IF(H3312="credit","",IF(AE3312="free","re-planting",IF(AE3312="me","   not ELP, by",IF(AND(OR(PlanterYesMe="Yes",PlanterYesMe="Y"),G3312&gt;0),(VLOOKUP(A3312,'Discount Lookup'!J:K,2)*G3312*(1-PlanterDiscount)*(1+PlanterDifficultyPercentage)),IF(AE3312="ELP",(VLOOKUP(A3312,'Discount Lookup'!J:K,2)*G3312*(1-PlanterDiscount)*(1+PlanterDifficultyPercentage)),IF(AE3312="free","re-planting",IF(G3312=0,"",IF(PlanterYesMe="",IF(AE3312="me","   not ELP, by",IF(AE3312="",IF(G3312&gt;0,(VLOOKUP(A3312,'Discount Lookup'!J:K,2)*G3312*(1-PlanterDiscount)*(1+PlanterDifficultyPercentage)),""),"")),"   not ELP, by"))))))))))))))</f>
        <v/>
      </c>
      <c r="AD3312" s="712"/>
      <c r="AE3312" s="513" t="str">
        <f t="shared" si="2540"/>
        <v/>
      </c>
      <c r="AF3312" s="713" t="str">
        <f t="shared" si="2541"/>
        <v/>
      </c>
      <c r="AG3312" s="713"/>
      <c r="AH3312" s="713"/>
      <c r="AI3312" s="112">
        <f>IF(H3312="credit",0,IF(AE3312="free",0,IF(AE3312="me",0,IF(G3312&gt;0,(VLOOKUP(A3312,'Discount Lookup'!J:K,2)*G3312),0))))</f>
        <v>0</v>
      </c>
      <c r="AJ3312" s="107" t="str">
        <f t="shared" ca="1" si="2542"/>
        <v/>
      </c>
      <c r="AK3312" s="714" t="str">
        <f t="shared" si="2543"/>
        <v/>
      </c>
      <c r="AL3312" s="714"/>
      <c r="AM3312" s="114" t="str">
        <f t="shared" si="2544"/>
        <v/>
      </c>
      <c r="AN3312" s="115"/>
      <c r="AO3312" s="116"/>
      <c r="AP3312" s="116"/>
      <c r="AQ3312" s="116"/>
      <c r="AR3312" s="116"/>
      <c r="AS3312" s="116"/>
      <c r="AT3312" s="116"/>
      <c r="AU3312" s="116"/>
      <c r="AV3312" s="78"/>
      <c r="AW3312" s="102"/>
      <c r="AX3312" s="78"/>
      <c r="AY3312" s="78"/>
      <c r="AZ3312" s="78"/>
      <c r="BA3312" s="78"/>
      <c r="BB3312" s="78"/>
      <c r="BC3312" s="78"/>
      <c r="BD3312" s="78"/>
      <c r="BE3312" s="465"/>
      <c r="BF3312" s="165" t="str">
        <f t="shared" si="2545"/>
        <v>https://www.google.com/search?tbm=isch&amp;q=7%20G4</v>
      </c>
      <c r="BG3312" s="165" t="str">
        <f t="shared" si="2546"/>
        <v>P</v>
      </c>
      <c r="BH3312" s="65"/>
      <c r="BI3312" s="65"/>
      <c r="BJ3312" s="65"/>
      <c r="BK3312" s="65"/>
      <c r="BL3312" s="99"/>
      <c r="BM3312" s="99"/>
      <c r="BN3312" s="99"/>
    </row>
    <row r="3313" spans="1:66" s="51" customFormat="1" ht="16.5" x14ac:dyDescent="0.25">
      <c r="A3313" s="705" t="s">
        <v>5508</v>
      </c>
      <c r="B3313" s="487"/>
      <c r="C3313" s="707"/>
      <c r="D3313" s="487"/>
      <c r="E3313" s="487"/>
      <c r="F3313" s="488"/>
      <c r="G3313" s="489"/>
      <c r="H3313" s="487"/>
      <c r="I3313" s="490"/>
      <c r="J3313" s="490"/>
      <c r="K3313" s="491"/>
      <c r="L3313" s="547"/>
      <c r="M3313" s="528"/>
      <c r="N3313" s="492"/>
      <c r="O3313" s="493"/>
      <c r="P3313" s="494"/>
      <c r="Q3313" s="492"/>
      <c r="R3313" s="492"/>
      <c r="S3313" s="699" t="s">
        <v>5268</v>
      </c>
      <c r="T3313" s="102">
        <f t="shared" si="2534"/>
        <v>0</v>
      </c>
      <c r="U3313" s="78" t="str">
        <f>IF(NOT(ISNUMBER(G3313)), "", VLOOKUP(A3313,'Discount Lookup'!D:E,2,FALSE)*G3313)</f>
        <v/>
      </c>
      <c r="V3313" s="78" t="str">
        <f>IF(NOT(ISNUMBER(G3313)), "", VLOOKUP(A3313,'Discount Lookup'!G:H,2,FALSE)*G3313)</f>
        <v/>
      </c>
      <c r="W3313" s="102">
        <f t="shared" si="2535"/>
        <v>0</v>
      </c>
      <c r="X3313" s="102">
        <f t="shared" si="2536"/>
        <v>0</v>
      </c>
      <c r="Y3313" s="120" t="b">
        <f t="shared" si="2537"/>
        <v>0</v>
      </c>
      <c r="Z3313" s="117">
        <f t="shared" si="2538"/>
        <v>0</v>
      </c>
      <c r="AA3313" s="118"/>
      <c r="AB3313" s="118" t="str">
        <f t="shared" si="2539"/>
        <v/>
      </c>
      <c r="AC3313" s="712" t="str">
        <f>IF(AE3313="T2G","no charge",IF(AND(OR(PlanterYesMe="No",PlanterYesMe="N",PlanterYesMe="me"),H3313=""),"",IF(H3313="credit","NO install",IF(AND(K3313="",AE3313="me"),"EACH row",IF(AND(K3313="images",AE3313="me"),"EACH row",IF(D3313="","",IF(H3313="credit","",IF(AE3313="free","re-planting",IF(AE3313="me","   not ELP, by",IF(AND(OR(PlanterYesMe="Yes",PlanterYesMe="Y"),G3313&gt;0),(VLOOKUP(A3313,'Discount Lookup'!J:K,2)*G3313*(1-PlanterDiscount)*(1+PlanterDifficultyPercentage)),IF(AE3313="ELP",(VLOOKUP(A3313,'Discount Lookup'!J:K,2)*G3313*(1-PlanterDiscount)*(1+PlanterDifficultyPercentage)),IF(AE3313="free","re-planting",IF(G3313=0,"",IF(PlanterYesMe="",IF(AE3313="me","   not ELP, by",IF(AE3313="",IF(G3313&gt;0,(VLOOKUP(A3313,'Discount Lookup'!J:K,2)*G3313*(1-PlanterDiscount)*(1+PlanterDifficultyPercentage)),""),"")),"   not ELP, by"))))))))))))))</f>
        <v/>
      </c>
      <c r="AD3313" s="712"/>
      <c r="AE3313" s="513" t="str">
        <f t="shared" si="2540"/>
        <v/>
      </c>
      <c r="AF3313" s="713" t="str">
        <f t="shared" si="2541"/>
        <v/>
      </c>
      <c r="AG3313" s="713"/>
      <c r="AH3313" s="713"/>
      <c r="AI3313" s="112">
        <f>IF(H3313="credit",0,IF(AE3313="free",0,IF(AE3313="me",0,IF(G3313&gt;0,(VLOOKUP(A3313,'Discount Lookup'!J:K,2)*G3313),0))))</f>
        <v>0</v>
      </c>
      <c r="AJ3313" s="107" t="str">
        <f t="shared" ca="1" si="2542"/>
        <v/>
      </c>
      <c r="AK3313" s="714" t="str">
        <f t="shared" si="2543"/>
        <v/>
      </c>
      <c r="AL3313" s="714"/>
      <c r="AM3313" s="114" t="str">
        <f t="shared" si="2544"/>
        <v/>
      </c>
      <c r="AN3313" s="115"/>
      <c r="AO3313" s="116"/>
      <c r="AP3313" s="116"/>
      <c r="AQ3313" s="116"/>
      <c r="AR3313" s="116"/>
      <c r="AS3313" s="116"/>
      <c r="AT3313" s="116"/>
      <c r="AU3313" s="116"/>
      <c r="AV3313" s="78"/>
      <c r="AW3313" s="102"/>
      <c r="AX3313" s="78"/>
      <c r="AY3313" s="78"/>
      <c r="AZ3313" s="78"/>
      <c r="BA3313" s="78"/>
      <c r="BB3313" s="78"/>
      <c r="BC3313" s="78"/>
      <c r="BD3313" s="78"/>
      <c r="BE3313" s="465"/>
      <c r="BF3313" s="165" t="str">
        <f t="shared" si="2545"/>
        <v>https://www.google.com/search?tbm=isch&amp;q=moist%20sites%F0%9F%92%A7GOOD%2C%20Temple%20Bells%27%20fragrant%20flowers%20emerge%20late%20winter%20to%20early%20spring%20</v>
      </c>
      <c r="BG3313" s="165" t="str">
        <f t="shared" si="2546"/>
        <v>m</v>
      </c>
      <c r="BH3313" s="65"/>
      <c r="BI3313" s="65"/>
      <c r="BJ3313" s="65"/>
      <c r="BK3313" s="65"/>
      <c r="BL3313" s="99"/>
      <c r="BM3313" s="99"/>
      <c r="BN3313" s="99"/>
    </row>
    <row r="3314" spans="1:66" s="51" customFormat="1" ht="19.5" thickBot="1" x14ac:dyDescent="0.3">
      <c r="A3314" s="686" t="s">
        <v>671</v>
      </c>
      <c r="B3314" s="73"/>
      <c r="C3314" s="708"/>
      <c r="D3314" s="73"/>
      <c r="E3314" s="73"/>
      <c r="F3314" s="496"/>
      <c r="G3314" s="73"/>
      <c r="H3314" s="73"/>
      <c r="I3314" s="73"/>
      <c r="J3314" s="497" t="s">
        <v>357</v>
      </c>
      <c r="K3314" s="498"/>
      <c r="L3314" s="562"/>
      <c r="M3314" s="73"/>
      <c r="N3314"/>
      <c r="O3314"/>
      <c r="P3314"/>
      <c r="Q3314"/>
      <c r="R3314"/>
      <c r="S3314"/>
      <c r="T3314" s="102">
        <f t="shared" si="2534"/>
        <v>0</v>
      </c>
      <c r="U3314" s="78" t="str">
        <f>IF(NOT(ISNUMBER(G3314)), "", VLOOKUP(A3314,'Discount Lookup'!D:E,2,FALSE)*G3314)</f>
        <v/>
      </c>
      <c r="V3314" s="78" t="str">
        <f>IF(NOT(ISNUMBER(G3314)), "", VLOOKUP(A3314,'Discount Lookup'!G:H,2,FALSE)*G3314)</f>
        <v/>
      </c>
      <c r="W3314" s="102">
        <f t="shared" si="2535"/>
        <v>0</v>
      </c>
      <c r="X3314" s="102">
        <f t="shared" si="2536"/>
        <v>0</v>
      </c>
      <c r="Y3314" s="120" t="b">
        <f t="shared" si="2537"/>
        <v>0</v>
      </c>
      <c r="Z3314" s="117">
        <f t="shared" si="2538"/>
        <v>0</v>
      </c>
      <c r="AA3314" s="118"/>
      <c r="AB3314" s="118" t="str">
        <f t="shared" si="2539"/>
        <v/>
      </c>
      <c r="AC3314" s="712" t="str">
        <f>IF(AE3314="T2G","no charge",IF(AND(OR(PlanterYesMe="No",PlanterYesMe="N",PlanterYesMe="me"),H3314=""),"",IF(H3314="credit","NO install",IF(AND(K3314="",AE3314="me"),"EACH row",IF(AND(K3314="images",AE3314="me"),"EACH row",IF(D3314="","",IF(H3314="credit","",IF(AE3314="free","re-planting",IF(AE3314="me","   not ELP, by",IF(AND(OR(PlanterYesMe="Yes",PlanterYesMe="Y"),G3314&gt;0),(VLOOKUP(A3314,'Discount Lookup'!J:K,2)*G3314*(1-PlanterDiscount)*(1+PlanterDifficultyPercentage)),IF(AE3314="ELP",(VLOOKUP(A3314,'Discount Lookup'!J:K,2)*G3314*(1-PlanterDiscount)*(1+PlanterDifficultyPercentage)),IF(AE3314="free","re-planting",IF(G3314=0,"",IF(PlanterYesMe="",IF(AE3314="me","   not ELP, by",IF(AE3314="",IF(G3314&gt;0,(VLOOKUP(A3314,'Discount Lookup'!J:K,2)*G3314*(1-PlanterDiscount)*(1+PlanterDifficultyPercentage)),""),"")),"   not ELP, by"))))))))))))))</f>
        <v/>
      </c>
      <c r="AD3314" s="712"/>
      <c r="AE3314" s="513" t="str">
        <f t="shared" si="2540"/>
        <v/>
      </c>
      <c r="AF3314" s="713" t="str">
        <f t="shared" si="2541"/>
        <v/>
      </c>
      <c r="AG3314" s="713"/>
      <c r="AH3314" s="713"/>
      <c r="AI3314" s="112">
        <f>IF(H3314="credit",0,IF(AE3314="free",0,IF(AE3314="me",0,IF(G3314&gt;0,(VLOOKUP(A3314,'Discount Lookup'!J:K,2)*G3314),0))))</f>
        <v>0</v>
      </c>
      <c r="AJ3314" s="107" t="str">
        <f t="shared" ca="1" si="2542"/>
        <v/>
      </c>
      <c r="AK3314" s="714" t="str">
        <f t="shared" si="2543"/>
        <v/>
      </c>
      <c r="AL3314" s="714"/>
      <c r="AM3314" s="114" t="str">
        <f t="shared" si="2544"/>
        <v/>
      </c>
      <c r="AN3314" s="115"/>
      <c r="AO3314" s="116"/>
      <c r="AP3314" s="116"/>
      <c r="AQ3314" s="116"/>
      <c r="AR3314" s="116"/>
      <c r="AS3314" s="116"/>
      <c r="AT3314" s="116"/>
      <c r="AU3314" s="116"/>
      <c r="AV3314" s="78"/>
      <c r="AW3314" s="102"/>
      <c r="AX3314" s="78"/>
      <c r="AY3314" s="78"/>
      <c r="AZ3314" s="78"/>
      <c r="BA3314" s="78"/>
      <c r="BB3314" s="78"/>
      <c r="BC3314" s="78"/>
      <c r="BD3314" s="78"/>
      <c r="BE3314" s="465"/>
      <c r="BF3314" s="165" t="str">
        <f t="shared" si="2545"/>
        <v>https://www.google.com/search?tbm=isch&amp;q=Pinus%20%3D%20Pine%20</v>
      </c>
      <c r="BG3314" s="165" t="str">
        <f t="shared" si="2546"/>
        <v>P</v>
      </c>
      <c r="BH3314" s="65"/>
      <c r="BI3314" s="65"/>
      <c r="BJ3314" s="65"/>
      <c r="BK3314" s="65"/>
      <c r="BL3314" s="99"/>
      <c r="BM3314" s="99"/>
      <c r="BN3314" s="99"/>
    </row>
    <row r="3315" spans="1:66" s="51" customFormat="1" ht="18" x14ac:dyDescent="0.25">
      <c r="A3315" s="507" t="s">
        <v>672</v>
      </c>
      <c r="B3315" s="470"/>
      <c r="C3315" s="706"/>
      <c r="D3315" s="471" t="s">
        <v>673</v>
      </c>
      <c r="E3315" s="472"/>
      <c r="F3315" s="472"/>
      <c r="G3315" s="472"/>
      <c r="H3315" s="622" t="s">
        <v>327</v>
      </c>
      <c r="I3315" s="473" t="s">
        <v>674</v>
      </c>
      <c r="J3315" s="472"/>
      <c r="K3315" s="472"/>
      <c r="L3315" s="561"/>
      <c r="M3315" s="698" t="s">
        <v>5240</v>
      </c>
      <c r="N3315" s="692" t="str">
        <f>IF(AND(ISTEXT($A3315), ISERROR($A3315+0)), HYPERLINK($BF3315, "Images"), "")</f>
        <v>Images</v>
      </c>
      <c r="O3315" s="694" t="s">
        <v>5247</v>
      </c>
      <c r="P3315" s="475"/>
      <c r="Q3315" s="476"/>
      <c r="R3315" s="476"/>
      <c r="S3315" s="477"/>
      <c r="T3315" s="102">
        <f t="shared" si="2534"/>
        <v>0</v>
      </c>
      <c r="U3315" s="78" t="str">
        <f>IF(NOT(ISNUMBER(G3315)), "", VLOOKUP(A3315,'Discount Lookup'!D:E,2,FALSE)*G3315)</f>
        <v/>
      </c>
      <c r="V3315" s="78" t="str">
        <f>IF(NOT(ISNUMBER(G3315)), "", VLOOKUP(A3315,'Discount Lookup'!G:H,2,FALSE)*G3315)</f>
        <v/>
      </c>
      <c r="W3315" s="102">
        <f t="shared" si="2535"/>
        <v>0</v>
      </c>
      <c r="X3315" s="102" t="str">
        <f t="shared" si="2536"/>
        <v>Variegated needles</v>
      </c>
      <c r="Y3315" s="120" t="b">
        <f t="shared" si="2537"/>
        <v>0</v>
      </c>
      <c r="Z3315" s="117">
        <f t="shared" si="2538"/>
        <v>0</v>
      </c>
      <c r="AA3315" s="118"/>
      <c r="AB3315" s="118" t="str">
        <f t="shared" si="2539"/>
        <v/>
      </c>
      <c r="AC3315" s="712" t="str">
        <f>IF(AE3315="T2G","no charge",IF(AND(OR(PlanterYesMe="No",PlanterYesMe="N",PlanterYesMe="me"),H3315=""),"",IF(H3315="credit","NO install",IF(AND(K3315="",AE3315="me"),"EACH row",IF(AND(K3315="images",AE3315="me"),"EACH row",IF(D3315="","",IF(H3315="credit","",IF(AE3315="free","re-planting",IF(AE3315="me","   not ELP, by",IF(AND(OR(PlanterYesMe="Yes",PlanterYesMe="Y"),G3315&gt;0),(VLOOKUP(A3315,'Discount Lookup'!J:K,2)*G3315*(1-PlanterDiscount)*(1+PlanterDifficultyPercentage)),IF(AE3315="ELP",(VLOOKUP(A3315,'Discount Lookup'!J:K,2)*G3315*(1-PlanterDiscount)*(1+PlanterDifficultyPercentage)),IF(AE3315="free","re-planting",IF(G3315=0,"",IF(PlanterYesMe="",IF(AE3315="me","   not ELP, by",IF(AE3315="",IF(G3315&gt;0,(VLOOKUP(A3315,'Discount Lookup'!J:K,2)*G3315*(1-PlanterDiscount)*(1+PlanterDifficultyPercentage)),""),"")),"   not ELP, by"))))))))))))))</f>
        <v/>
      </c>
      <c r="AD3315" s="712"/>
      <c r="AE3315" s="513" t="str">
        <f t="shared" si="2540"/>
        <v/>
      </c>
      <c r="AF3315" s="713" t="str">
        <f t="shared" si="2541"/>
        <v/>
      </c>
      <c r="AG3315" s="713"/>
      <c r="AH3315" s="713"/>
      <c r="AI3315" s="112">
        <f>IF(H3315="credit",0,IF(AE3315="free",0,IF(AE3315="me",0,IF(G3315&gt;0,(VLOOKUP(A3315,'Discount Lookup'!J:K,2)*G3315),0))))</f>
        <v>0</v>
      </c>
      <c r="AJ3315" s="107" t="str">
        <f t="shared" ca="1" si="2542"/>
        <v/>
      </c>
      <c r="AK3315" s="714" t="str">
        <f t="shared" si="2543"/>
        <v/>
      </c>
      <c r="AL3315" s="714"/>
      <c r="AM3315" s="114" t="str">
        <f t="shared" si="2544"/>
        <v/>
      </c>
      <c r="AN3315" s="115"/>
      <c r="AO3315" s="116"/>
      <c r="AP3315" s="116"/>
      <c r="AQ3315" s="116"/>
      <c r="AR3315" s="116"/>
      <c r="AS3315" s="116"/>
      <c r="AT3315" s="116"/>
      <c r="AU3315" s="116"/>
      <c r="AV3315" s="78"/>
      <c r="AW3315" s="102"/>
      <c r="AX3315" s="78"/>
      <c r="AY3315" s="78"/>
      <c r="AZ3315" s="78"/>
      <c r="BA3315" s="78"/>
      <c r="BB3315" s="78"/>
      <c r="BC3315" s="78"/>
      <c r="BD3315" s="78"/>
      <c r="BE3315" s="465"/>
      <c r="BF3315" s="165" t="str">
        <f t="shared" si="2545"/>
        <v>https://www.google.com/search?tbm=isch&amp;q=Pinus%20densiflora%20%27Burke%27s%20Red%20Variegated%27%20Burke%27s%20Red%20Pine</v>
      </c>
      <c r="BG3315" s="165" t="str">
        <f t="shared" si="2546"/>
        <v>P</v>
      </c>
      <c r="BH3315" s="65"/>
      <c r="BI3315" s="65"/>
      <c r="BJ3315" s="65"/>
      <c r="BK3315" s="65"/>
      <c r="BL3315" s="99"/>
      <c r="BM3315" s="99"/>
      <c r="BN3315" s="99"/>
    </row>
    <row r="3316" spans="1:66" s="51" customFormat="1" ht="15.75" x14ac:dyDescent="0.25">
      <c r="A3316" s="478">
        <v>7</v>
      </c>
      <c r="B3316" s="479" t="s">
        <v>291</v>
      </c>
      <c r="C3316" s="480" t="s">
        <v>994</v>
      </c>
      <c r="D3316" s="481" t="s">
        <v>299</v>
      </c>
      <c r="E3316" s="482">
        <v>270.95</v>
      </c>
      <c r="F3316" s="483" t="s">
        <v>292</v>
      </c>
      <c r="G3316" s="484">
        <v>0</v>
      </c>
      <c r="H3316" s="688" t="str">
        <f>IF(G3316=0,"",IF(F3316="Buy",IF(G3316=1,"plant","plants"),IF(F3316&gt;0.01,"warranty","Error")))</f>
        <v/>
      </c>
      <c r="I3316" s="485">
        <f>IF(H3316="free",0,IF(H3316="credit",((E3316*(F3316))*G3316*-1),IF(F3316="Buy",(E3316*G3316),((E3316*(1-F3316))*G3316))))</f>
        <v>0</v>
      </c>
      <c r="J3316" s="485">
        <f>IF(H3316="warranty",0,(I3316*(_xlfn.SINGLE(SalesTaxPercentage))))</f>
        <v>0</v>
      </c>
      <c r="K3316" s="715">
        <f t="shared" ref="K3316" si="2556">I3316+J3316</f>
        <v>0</v>
      </c>
      <c r="L3316" s="715"/>
      <c r="M3316" s="689" t="str">
        <f ca="1">IF(AND(G3316&gt;0,E3316=0),"WARNING - no PRICE inserted",IF(H3316="free","FREE ~ no charge this plant",IF(H3316="credit",CONCATENATE("-$",ROUND(K3316*(1-_xlfn.SINGLE(T2GDiscount))*-1,2)," CREDIT after discount"),IF(_xlfn.SINGLE(T2GDiscount)=0,"",IF(G3316=0,"",IF(F3316="Buy",CONCATENATE("$",ROUND(K3316*(1-_xlfn.SINGLE(T2GDiscount)),2)," with ",(_xlfn.SINGLE(T2GDiscount)*100),"% discount"),CONCATENATE("$",ROUND(K3316*(1-_xlfn.SINGLE(T2GDiscount)),2)," with ",((_xlfn.SINGLE(T2GDiscount)*100+F3316*100)-(_xlfn.SINGLE(T2GDiscount)*100*F3316)),IF(F3316&gt;0,"% discounts",IF(_xlfn.SINGLE(NoWarrantyDiscount)&gt;0,"% discounts","% discount")))))))))</f>
        <v/>
      </c>
      <c r="N3316" s="690"/>
      <c r="O3316" s="486"/>
      <c r="P3316" s="486"/>
      <c r="Q3316" s="486"/>
      <c r="R3316" s="486"/>
      <c r="S3316" s="486"/>
      <c r="T3316" s="102">
        <f t="shared" si="2534"/>
        <v>0</v>
      </c>
      <c r="U3316" s="78">
        <f>IF(NOT(ISNUMBER(G3316)), "", VLOOKUP(A3316,'Discount Lookup'!D:E,2,FALSE)*G3316)</f>
        <v>0</v>
      </c>
      <c r="V3316" s="78">
        <f>IF(NOT(ISNUMBER(G3316)), "", VLOOKUP(A3316,'Discount Lookup'!G:H,2,FALSE)*G3316)</f>
        <v>0</v>
      </c>
      <c r="W3316" s="102">
        <f t="shared" si="2535"/>
        <v>0</v>
      </c>
      <c r="X3316" s="102">
        <f t="shared" si="2536"/>
        <v>0</v>
      </c>
      <c r="Y3316" s="120" t="b">
        <f t="shared" si="2537"/>
        <v>0</v>
      </c>
      <c r="Z3316" s="117">
        <f t="shared" si="2538"/>
        <v>0</v>
      </c>
      <c r="AA3316" s="118"/>
      <c r="AB3316" s="118" t="str">
        <f t="shared" si="2539"/>
        <v/>
      </c>
      <c r="AC3316" s="712" t="str">
        <f>IF(AE3316="T2G","no charge",IF(AND(OR(PlanterYesMe="No",PlanterYesMe="N",PlanterYesMe="me"),H3316=""),"",IF(H3316="credit","NO install",IF(AND(K3316="",AE3316="me"),"EACH row",IF(AND(K3316="images",AE3316="me"),"EACH row",IF(D3316="","",IF(H3316="credit","",IF(AE3316="free","re-planting",IF(AE3316="me","   not ELP, by",IF(AND(OR(PlanterYesMe="Yes",PlanterYesMe="Y"),G3316&gt;0),(VLOOKUP(A3316,'Discount Lookup'!J:K,2)*G3316*(1-PlanterDiscount)*(1+PlanterDifficultyPercentage)),IF(AE3316="ELP",(VLOOKUP(A3316,'Discount Lookup'!J:K,2)*G3316*(1-PlanterDiscount)*(1+PlanterDifficultyPercentage)),IF(AE3316="free","re-planting",IF(G3316=0,"",IF(PlanterYesMe="",IF(AE3316="me","   not ELP, by",IF(AE3316="",IF(G3316&gt;0,(VLOOKUP(A3316,'Discount Lookup'!J:K,2)*G3316*(1-PlanterDiscount)*(1+PlanterDifficultyPercentage)),""),"")),"   not ELP, by"))))))))))))))</f>
        <v/>
      </c>
      <c r="AD3316" s="712"/>
      <c r="AE3316" s="513" t="str">
        <f t="shared" si="2540"/>
        <v/>
      </c>
      <c r="AF3316" s="713" t="str">
        <f t="shared" si="2541"/>
        <v/>
      </c>
      <c r="AG3316" s="713"/>
      <c r="AH3316" s="713"/>
      <c r="AI3316" s="112">
        <f>IF(H3316="credit",0,IF(AE3316="free",0,IF(AE3316="me",0,IF(G3316&gt;0,(VLOOKUP(A3316,'Discount Lookup'!J:K,2)*G3316),0))))</f>
        <v>0</v>
      </c>
      <c r="AJ3316" s="107" t="str">
        <f t="shared" ca="1" si="2542"/>
        <v/>
      </c>
      <c r="AK3316" s="714" t="str">
        <f t="shared" si="2543"/>
        <v/>
      </c>
      <c r="AL3316" s="714"/>
      <c r="AM3316" s="114" t="str">
        <f t="shared" si="2544"/>
        <v/>
      </c>
      <c r="AN3316" s="115"/>
      <c r="AO3316" s="116"/>
      <c r="AP3316" s="116"/>
      <c r="AQ3316" s="116"/>
      <c r="AR3316" s="116"/>
      <c r="AS3316" s="116"/>
      <c r="AT3316" s="116"/>
      <c r="AU3316" s="116"/>
      <c r="AV3316" s="78"/>
      <c r="AW3316" s="102"/>
      <c r="AX3316" s="78"/>
      <c r="AY3316" s="78"/>
      <c r="AZ3316" s="78"/>
      <c r="BA3316" s="78"/>
      <c r="BB3316" s="78"/>
      <c r="BC3316" s="78"/>
      <c r="BD3316" s="78"/>
      <c r="BE3316" s="465"/>
      <c r="BF3316" s="165" t="str">
        <f t="shared" si="2545"/>
        <v>https://www.google.com/search?tbm=isch&amp;q=7%20G4</v>
      </c>
      <c r="BG3316" s="165" t="str">
        <f t="shared" si="2546"/>
        <v>P</v>
      </c>
      <c r="BH3316" s="65"/>
      <c r="BI3316" s="65"/>
      <c r="BJ3316" s="65"/>
      <c r="BK3316" s="65"/>
      <c r="BL3316" s="99"/>
      <c r="BM3316" s="99"/>
      <c r="BN3316" s="99"/>
    </row>
    <row r="3317" spans="1:66" s="51" customFormat="1" ht="15.75" x14ac:dyDescent="0.25">
      <c r="A3317" s="478">
        <v>15</v>
      </c>
      <c r="B3317" s="479" t="s">
        <v>291</v>
      </c>
      <c r="C3317" s="480" t="s">
        <v>995</v>
      </c>
      <c r="D3317" s="481" t="s">
        <v>299</v>
      </c>
      <c r="E3317" s="482">
        <v>422.95</v>
      </c>
      <c r="F3317" s="483" t="s">
        <v>292</v>
      </c>
      <c r="G3317" s="484">
        <v>0</v>
      </c>
      <c r="H3317" s="688" t="str">
        <f>IF(G3317=0,"",IF(F3317="Buy",IF(G3317=1,"plant","plants"),IF(F3317&gt;0.01,"warranty","Error")))</f>
        <v/>
      </c>
      <c r="I3317" s="485">
        <f>IF(H3317="free",0,IF(H3317="credit",((E3317*(F3317))*G3317*-1),IF(F3317="Buy",(E3317*G3317),((E3317*(1-F3317))*G3317))))</f>
        <v>0</v>
      </c>
      <c r="J3317" s="485">
        <f>IF(H3317="warranty",0,(I3317*(_xlfn.SINGLE(SalesTaxPercentage))))</f>
        <v>0</v>
      </c>
      <c r="K3317" s="715">
        <f t="shared" ref="K3317" si="2557">I3317+J3317</f>
        <v>0</v>
      </c>
      <c r="L3317" s="715"/>
      <c r="M3317" s="689" t="str">
        <f ca="1">IF(AND(G3317&gt;0,E3317=0),"WARNING - no PRICE inserted",IF(H3317="free","FREE ~ no charge this plant",IF(H3317="credit",CONCATENATE("-$",ROUND(K3317*(1-_xlfn.SINGLE(T2GDiscount))*-1,2)," CREDIT after discount"),IF(_xlfn.SINGLE(T2GDiscount)=0,"",IF(G3317=0,"",IF(F3317="Buy",CONCATENATE("$",ROUND(K3317*(1-_xlfn.SINGLE(T2GDiscount)),2)," with ",(_xlfn.SINGLE(T2GDiscount)*100),"% discount"),CONCATENATE("$",ROUND(K3317*(1-_xlfn.SINGLE(T2GDiscount)),2)," with ",((_xlfn.SINGLE(T2GDiscount)*100+F3317*100)-(_xlfn.SINGLE(T2GDiscount)*100*F3317)),IF(F3317&gt;0,"% discounts",IF(_xlfn.SINGLE(NoWarrantyDiscount)&gt;0,"% discounts","% discount")))))))))</f>
        <v/>
      </c>
      <c r="N3317" s="690"/>
      <c r="O3317" s="486"/>
      <c r="P3317" s="486"/>
      <c r="Q3317" s="486"/>
      <c r="R3317" s="486"/>
      <c r="S3317" s="486"/>
      <c r="T3317" s="102">
        <f t="shared" si="2534"/>
        <v>0</v>
      </c>
      <c r="U3317" s="78">
        <f>IF(NOT(ISNUMBER(G3317)), "", VLOOKUP(A3317,'Discount Lookup'!D:E,2,FALSE)*G3317)</f>
        <v>0</v>
      </c>
      <c r="V3317" s="78">
        <f>IF(NOT(ISNUMBER(G3317)), "", VLOOKUP(A3317,'Discount Lookup'!G:H,2,FALSE)*G3317)</f>
        <v>0</v>
      </c>
      <c r="W3317" s="102">
        <f t="shared" si="2535"/>
        <v>0</v>
      </c>
      <c r="X3317" s="102">
        <f t="shared" si="2536"/>
        <v>0</v>
      </c>
      <c r="Y3317" s="120" t="b">
        <f t="shared" si="2537"/>
        <v>0</v>
      </c>
      <c r="Z3317" s="117">
        <f t="shared" si="2538"/>
        <v>0</v>
      </c>
      <c r="AA3317" s="118"/>
      <c r="AB3317" s="118" t="str">
        <f t="shared" si="2539"/>
        <v/>
      </c>
      <c r="AC3317" s="712" t="str">
        <f>IF(AE3317="T2G","no charge",IF(AND(OR(PlanterYesMe="No",PlanterYesMe="N",PlanterYesMe="me"),H3317=""),"",IF(H3317="credit","NO install",IF(AND(K3317="",AE3317="me"),"EACH row",IF(AND(K3317="images",AE3317="me"),"EACH row",IF(D3317="","",IF(H3317="credit","",IF(AE3317="free","re-planting",IF(AE3317="me","   not ELP, by",IF(AND(OR(PlanterYesMe="Yes",PlanterYesMe="Y"),G3317&gt;0),(VLOOKUP(A3317,'Discount Lookup'!J:K,2)*G3317*(1-PlanterDiscount)*(1+PlanterDifficultyPercentage)),IF(AE3317="ELP",(VLOOKUP(A3317,'Discount Lookup'!J:K,2)*G3317*(1-PlanterDiscount)*(1+PlanterDifficultyPercentage)),IF(AE3317="free","re-planting",IF(G3317=0,"",IF(PlanterYesMe="",IF(AE3317="me","   not ELP, by",IF(AE3317="",IF(G3317&gt;0,(VLOOKUP(A3317,'Discount Lookup'!J:K,2)*G3317*(1-PlanterDiscount)*(1+PlanterDifficultyPercentage)),""),"")),"   not ELP, by"))))))))))))))</f>
        <v/>
      </c>
      <c r="AD3317" s="712"/>
      <c r="AE3317" s="513" t="str">
        <f t="shared" si="2540"/>
        <v/>
      </c>
      <c r="AF3317" s="713" t="str">
        <f t="shared" si="2541"/>
        <v/>
      </c>
      <c r="AG3317" s="713"/>
      <c r="AH3317" s="713"/>
      <c r="AI3317" s="112">
        <f>IF(H3317="credit",0,IF(AE3317="free",0,IF(AE3317="me",0,IF(G3317&gt;0,(VLOOKUP(A3317,'Discount Lookup'!J:K,2)*G3317),0))))</f>
        <v>0</v>
      </c>
      <c r="AJ3317" s="107" t="str">
        <f t="shared" ca="1" si="2542"/>
        <v/>
      </c>
      <c r="AK3317" s="714" t="str">
        <f t="shared" si="2543"/>
        <v/>
      </c>
      <c r="AL3317" s="714"/>
      <c r="AM3317" s="114" t="str">
        <f t="shared" si="2544"/>
        <v/>
      </c>
      <c r="AN3317" s="115"/>
      <c r="AO3317" s="116"/>
      <c r="AP3317" s="116"/>
      <c r="AQ3317" s="116"/>
      <c r="AR3317" s="116"/>
      <c r="AS3317" s="116"/>
      <c r="AT3317" s="116"/>
      <c r="AU3317" s="116"/>
      <c r="AV3317" s="78"/>
      <c r="AW3317" s="102"/>
      <c r="AX3317" s="78"/>
      <c r="AY3317" s="78"/>
      <c r="AZ3317" s="78"/>
      <c r="BA3317" s="78"/>
      <c r="BB3317" s="78"/>
      <c r="BC3317" s="78"/>
      <c r="BD3317" s="78"/>
      <c r="BE3317" s="465"/>
      <c r="BF3317" s="165" t="str">
        <f t="shared" si="2545"/>
        <v>https://www.google.com/search?tbm=isch&amp;q=15%20G4</v>
      </c>
      <c r="BG3317" s="165" t="str">
        <f t="shared" si="2546"/>
        <v>P</v>
      </c>
      <c r="BH3317" s="65"/>
      <c r="BI3317" s="65"/>
      <c r="BJ3317" s="65"/>
      <c r="BK3317" s="65"/>
      <c r="BL3317" s="99"/>
      <c r="BM3317" s="99"/>
      <c r="BN3317" s="99"/>
    </row>
    <row r="3318" spans="1:66" s="51" customFormat="1" ht="17.25" thickBot="1" x14ac:dyDescent="0.3">
      <c r="A3318" s="508" t="s">
        <v>675</v>
      </c>
      <c r="B3318" s="487"/>
      <c r="C3318" s="707"/>
      <c r="D3318" s="487"/>
      <c r="E3318" s="487"/>
      <c r="F3318" s="488"/>
      <c r="G3318" s="489"/>
      <c r="H3318" s="487"/>
      <c r="I3318" s="490"/>
      <c r="J3318" s="490"/>
      <c r="K3318" s="491"/>
      <c r="L3318" s="547"/>
      <c r="M3318" s="528"/>
      <c r="N3318" s="492"/>
      <c r="O3318" s="493"/>
      <c r="P3318" s="494"/>
      <c r="Q3318" s="492"/>
      <c r="R3318" s="492"/>
      <c r="S3318" s="699" t="s">
        <v>5268</v>
      </c>
      <c r="T3318" s="102">
        <f t="shared" si="2534"/>
        <v>0</v>
      </c>
      <c r="U3318" s="78" t="str">
        <f>IF(NOT(ISNUMBER(G3318)), "", VLOOKUP(A3318,'Discount Lookup'!D:E,2,FALSE)*G3318)</f>
        <v/>
      </c>
      <c r="V3318" s="78" t="str">
        <f>IF(NOT(ISNUMBER(G3318)), "", VLOOKUP(A3318,'Discount Lookup'!G:H,2,FALSE)*G3318)</f>
        <v/>
      </c>
      <c r="W3318" s="102">
        <f t="shared" si="2535"/>
        <v>0</v>
      </c>
      <c r="X3318" s="102">
        <f t="shared" si="2536"/>
        <v>0</v>
      </c>
      <c r="Y3318" s="120" t="b">
        <f t="shared" si="2537"/>
        <v>0</v>
      </c>
      <c r="Z3318" s="117">
        <f t="shared" si="2538"/>
        <v>0</v>
      </c>
      <c r="AA3318" s="118"/>
      <c r="AB3318" s="118" t="str">
        <f t="shared" si="2539"/>
        <v/>
      </c>
      <c r="AC3318" s="712" t="str">
        <f>IF(AE3318="T2G","no charge",IF(AND(OR(PlanterYesMe="No",PlanterYesMe="N",PlanterYesMe="me"),H3318=""),"",IF(H3318="credit","NO install",IF(AND(K3318="",AE3318="me"),"EACH row",IF(AND(K3318="images",AE3318="me"),"EACH row",IF(D3318="","",IF(H3318="credit","",IF(AE3318="free","re-planting",IF(AE3318="me","   not ELP, by",IF(AND(OR(PlanterYesMe="Yes",PlanterYesMe="Y"),G3318&gt;0),(VLOOKUP(A3318,'Discount Lookup'!J:K,2)*G3318*(1-PlanterDiscount)*(1+PlanterDifficultyPercentage)),IF(AE3318="ELP",(VLOOKUP(A3318,'Discount Lookup'!J:K,2)*G3318*(1-PlanterDiscount)*(1+PlanterDifficultyPercentage)),IF(AE3318="free","re-planting",IF(G3318=0,"",IF(PlanterYesMe="",IF(AE3318="me","   not ELP, by",IF(AE3318="",IF(G3318&gt;0,(VLOOKUP(A3318,'Discount Lookup'!J:K,2)*G3318*(1-PlanterDiscount)*(1+PlanterDifficultyPercentage)),""),"")),"   not ELP, by"))))))))))))))</f>
        <v/>
      </c>
      <c r="AD3318" s="712"/>
      <c r="AE3318" s="513" t="str">
        <f t="shared" si="2540"/>
        <v/>
      </c>
      <c r="AF3318" s="713" t="str">
        <f t="shared" si="2541"/>
        <v/>
      </c>
      <c r="AG3318" s="713"/>
      <c r="AH3318" s="713"/>
      <c r="AI3318" s="112">
        <f>IF(H3318="credit",0,IF(AE3318="free",0,IF(AE3318="me",0,IF(G3318&gt;0,(VLOOKUP(A3318,'Discount Lookup'!J:K,2)*G3318),0))))</f>
        <v>0</v>
      </c>
      <c r="AJ3318" s="107" t="str">
        <f t="shared" ca="1" si="2542"/>
        <v/>
      </c>
      <c r="AK3318" s="714" t="str">
        <f t="shared" si="2543"/>
        <v/>
      </c>
      <c r="AL3318" s="714"/>
      <c r="AM3318" s="114" t="str">
        <f t="shared" si="2544"/>
        <v/>
      </c>
      <c r="AN3318" s="115"/>
      <c r="AO3318" s="116"/>
      <c r="AP3318" s="116"/>
      <c r="AQ3318" s="116"/>
      <c r="AR3318" s="116"/>
      <c r="AS3318" s="116"/>
      <c r="AT3318" s="116"/>
      <c r="AU3318" s="116"/>
      <c r="AV3318" s="78"/>
      <c r="AW3318" s="102"/>
      <c r="AX3318" s="78"/>
      <c r="AY3318" s="78"/>
      <c r="AZ3318" s="78"/>
      <c r="BA3318" s="78"/>
      <c r="BB3318" s="78"/>
      <c r="BC3318" s="78"/>
      <c r="BD3318" s="78"/>
      <c r="BE3318" s="465"/>
      <c r="BF3318" s="165" t="str">
        <f t="shared" si="2545"/>
        <v>https://www.google.com/search?tbm=isch&amp;q=Burke%27s%20is%20a%20rare%20Pine%20with%20Red%2C%20Pink%2C%20and%20Creamy%20White%20bands%20in%20needles.%20Great%20winter%20interest.%20</v>
      </c>
      <c r="BG3318" s="165" t="str">
        <f t="shared" si="2546"/>
        <v>B</v>
      </c>
      <c r="BH3318" s="65"/>
      <c r="BI3318" s="65"/>
      <c r="BJ3318" s="65"/>
      <c r="BK3318" s="65"/>
      <c r="BL3318" s="99"/>
      <c r="BM3318" s="99"/>
      <c r="BN3318" s="99"/>
    </row>
    <row r="3319" spans="1:66" s="51" customFormat="1" ht="18" x14ac:dyDescent="0.25">
      <c r="A3319" s="507" t="s">
        <v>676</v>
      </c>
      <c r="B3319" s="470"/>
      <c r="C3319" s="706"/>
      <c r="D3319" s="471" t="s">
        <v>677</v>
      </c>
      <c r="E3319" s="472"/>
      <c r="F3319" s="472"/>
      <c r="G3319" s="472"/>
      <c r="H3319" s="622" t="s">
        <v>480</v>
      </c>
      <c r="I3319" s="473" t="s">
        <v>674</v>
      </c>
      <c r="J3319" s="472"/>
      <c r="K3319" s="472"/>
      <c r="L3319" s="561"/>
      <c r="M3319" s="698" t="s">
        <v>5246</v>
      </c>
      <c r="N3319" s="692" t="str">
        <f>IF(AND(ISTEXT($A3319), ISERROR($A3319+0)), HYPERLINK($BF3319, "Images"), "")</f>
        <v>Images</v>
      </c>
      <c r="O3319" s="694" t="s">
        <v>5247</v>
      </c>
      <c r="P3319" s="475"/>
      <c r="Q3319" s="476"/>
      <c r="R3319" s="476"/>
      <c r="S3319" s="477"/>
      <c r="T3319" s="102">
        <f t="shared" si="2534"/>
        <v>0</v>
      </c>
      <c r="U3319" s="78" t="str">
        <f>IF(NOT(ISNUMBER(G3319)), "", VLOOKUP(A3319,'Discount Lookup'!D:E,2,FALSE)*G3319)</f>
        <v/>
      </c>
      <c r="V3319" s="78" t="str">
        <f>IF(NOT(ISNUMBER(G3319)), "", VLOOKUP(A3319,'Discount Lookup'!G:H,2,FALSE)*G3319)</f>
        <v/>
      </c>
      <c r="W3319" s="102">
        <f t="shared" si="2535"/>
        <v>0</v>
      </c>
      <c r="X3319" s="102" t="str">
        <f t="shared" si="2536"/>
        <v>Variegated needles</v>
      </c>
      <c r="Y3319" s="120" t="b">
        <f t="shared" si="2537"/>
        <v>0</v>
      </c>
      <c r="Z3319" s="117">
        <f t="shared" si="2538"/>
        <v>0</v>
      </c>
      <c r="AA3319" s="118"/>
      <c r="AB3319" s="118" t="str">
        <f t="shared" si="2539"/>
        <v/>
      </c>
      <c r="AC3319" s="712" t="str">
        <f>IF(AE3319="T2G","no charge",IF(AND(OR(PlanterYesMe="No",PlanterYesMe="N",PlanterYesMe="me"),H3319=""),"",IF(H3319="credit","NO install",IF(AND(K3319="",AE3319="me"),"EACH row",IF(AND(K3319="images",AE3319="me"),"EACH row",IF(D3319="","",IF(H3319="credit","",IF(AE3319="free","re-planting",IF(AE3319="me","   not ELP, by",IF(AND(OR(PlanterYesMe="Yes",PlanterYesMe="Y"),G3319&gt;0),(VLOOKUP(A3319,'Discount Lookup'!J:K,2)*G3319*(1-PlanterDiscount)*(1+PlanterDifficultyPercentage)),IF(AE3319="ELP",(VLOOKUP(A3319,'Discount Lookup'!J:K,2)*G3319*(1-PlanterDiscount)*(1+PlanterDifficultyPercentage)),IF(AE3319="free","re-planting",IF(G3319=0,"",IF(PlanterYesMe="",IF(AE3319="me","   not ELP, by",IF(AE3319="",IF(G3319&gt;0,(VLOOKUP(A3319,'Discount Lookup'!J:K,2)*G3319*(1-PlanterDiscount)*(1+PlanterDifficultyPercentage)),""),"")),"   not ELP, by"))))))))))))))</f>
        <v/>
      </c>
      <c r="AD3319" s="712"/>
      <c r="AE3319" s="513" t="str">
        <f t="shared" si="2540"/>
        <v/>
      </c>
      <c r="AF3319" s="713" t="str">
        <f t="shared" si="2541"/>
        <v/>
      </c>
      <c r="AG3319" s="713"/>
      <c r="AH3319" s="713"/>
      <c r="AI3319" s="112">
        <f>IF(H3319="credit",0,IF(AE3319="free",0,IF(AE3319="me",0,IF(G3319&gt;0,(VLOOKUP(A3319,'Discount Lookup'!J:K,2)*G3319),0))))</f>
        <v>0</v>
      </c>
      <c r="AJ3319" s="107" t="str">
        <f t="shared" ca="1" si="2542"/>
        <v/>
      </c>
      <c r="AK3319" s="714" t="str">
        <f t="shared" si="2543"/>
        <v/>
      </c>
      <c r="AL3319" s="714"/>
      <c r="AM3319" s="114" t="str">
        <f t="shared" si="2544"/>
        <v/>
      </c>
      <c r="AN3319" s="115"/>
      <c r="AO3319" s="116"/>
      <c r="AP3319" s="116"/>
      <c r="AQ3319" s="116"/>
      <c r="AR3319" s="116"/>
      <c r="AS3319" s="116"/>
      <c r="AT3319" s="116"/>
      <c r="AU3319" s="116"/>
      <c r="AV3319" s="78"/>
      <c r="AW3319" s="102"/>
      <c r="AX3319" s="78"/>
      <c r="AY3319" s="78"/>
      <c r="AZ3319" s="78"/>
      <c r="BA3319" s="78"/>
      <c r="BB3319" s="78"/>
      <c r="BC3319" s="78"/>
      <c r="BD3319" s="78"/>
      <c r="BE3319" s="465"/>
      <c r="BF3319" s="165" t="str">
        <f t="shared" si="2545"/>
        <v>https://www.google.com/search?tbm=isch&amp;q=Pinus%20koraiensis%20%27Oculis%20Draconis%27%20Dragon%20Eye%20Korean%20Pine</v>
      </c>
      <c r="BG3319" s="165" t="str">
        <f t="shared" si="2546"/>
        <v>P</v>
      </c>
      <c r="BH3319" s="65"/>
      <c r="BI3319" s="65"/>
      <c r="BJ3319" s="65"/>
      <c r="BK3319" s="65"/>
      <c r="BL3319" s="99"/>
      <c r="BM3319" s="99"/>
      <c r="BN3319" s="99"/>
    </row>
    <row r="3320" spans="1:66" s="51" customFormat="1" ht="15.75" x14ac:dyDescent="0.25">
      <c r="A3320" s="478">
        <v>20</v>
      </c>
      <c r="B3320" s="479" t="s">
        <v>291</v>
      </c>
      <c r="C3320" s="480" t="s">
        <v>5227</v>
      </c>
      <c r="D3320" s="481" t="s">
        <v>299</v>
      </c>
      <c r="E3320" s="482">
        <v>422.95</v>
      </c>
      <c r="F3320" s="483" t="s">
        <v>292</v>
      </c>
      <c r="G3320" s="484">
        <v>0</v>
      </c>
      <c r="H3320" s="688" t="str">
        <f>IF(G3320=0,"",IF(F3320="Buy",IF(G3320=1,"plant","plants"),IF(F3320&gt;0.01,"warranty","Error")))</f>
        <v/>
      </c>
      <c r="I3320" s="485">
        <f>IF(H3320="free",0,IF(H3320="credit",((E3320*(F3320))*G3320*-1),IF(F3320="Buy",(E3320*G3320),((E3320*(1-F3320))*G3320))))</f>
        <v>0</v>
      </c>
      <c r="J3320" s="485">
        <f>IF(H3320="warranty",0,(I3320*(_xlfn.SINGLE(SalesTaxPercentage))))</f>
        <v>0</v>
      </c>
      <c r="K3320" s="715">
        <f t="shared" ref="K3320" si="2558">I3320+J3320</f>
        <v>0</v>
      </c>
      <c r="L3320" s="715"/>
      <c r="M3320" s="689" t="str">
        <f ca="1">IF(AND(G3320&gt;0,E3320=0),"WARNING - no PRICE inserted",IF(H3320="free","FREE ~ no charge this plant",IF(H3320="credit",CONCATENATE("-$",ROUND(K3320*(1-_xlfn.SINGLE(T2GDiscount))*-1,2)," CREDIT after discount"),IF(_xlfn.SINGLE(T2GDiscount)=0,"",IF(G3320=0,"",IF(F3320="Buy",CONCATENATE("$",ROUND(K3320*(1-_xlfn.SINGLE(T2GDiscount)),2)," with ",(_xlfn.SINGLE(T2GDiscount)*100),"% discount"),CONCATENATE("$",ROUND(K3320*(1-_xlfn.SINGLE(T2GDiscount)),2)," with ",((_xlfn.SINGLE(T2GDiscount)*100+F3320*100)-(_xlfn.SINGLE(T2GDiscount)*100*F3320)),IF(F3320&gt;0,"% discounts",IF(_xlfn.SINGLE(NoWarrantyDiscount)&gt;0,"% discounts","% discount")))))))))</f>
        <v/>
      </c>
      <c r="N3320" s="690"/>
      <c r="O3320" s="486"/>
      <c r="P3320" s="486"/>
      <c r="Q3320" s="486"/>
      <c r="R3320" s="486"/>
      <c r="S3320" s="486"/>
      <c r="T3320" s="102">
        <f t="shared" si="2534"/>
        <v>0</v>
      </c>
      <c r="U3320" s="78">
        <f>IF(NOT(ISNUMBER(G3320)), "", VLOOKUP(A3320,'Discount Lookup'!D:E,2,FALSE)*G3320)</f>
        <v>0</v>
      </c>
      <c r="V3320" s="78">
        <f>IF(NOT(ISNUMBER(G3320)), "", VLOOKUP(A3320,'Discount Lookup'!G:H,2,FALSE)*G3320)</f>
        <v>0</v>
      </c>
      <c r="W3320" s="102">
        <f t="shared" si="2535"/>
        <v>0</v>
      </c>
      <c r="X3320" s="102">
        <f t="shared" si="2536"/>
        <v>0</v>
      </c>
      <c r="Y3320" s="120" t="b">
        <f t="shared" si="2537"/>
        <v>0</v>
      </c>
      <c r="Z3320" s="117">
        <f t="shared" si="2538"/>
        <v>0</v>
      </c>
      <c r="AA3320" s="118"/>
      <c r="AB3320" s="118" t="str">
        <f t="shared" si="2539"/>
        <v/>
      </c>
      <c r="AC3320" s="712" t="str">
        <f>IF(AE3320="T2G","no charge",IF(AND(OR(PlanterYesMe="No",PlanterYesMe="N",PlanterYesMe="me"),H3320=""),"",IF(H3320="credit","NO install",IF(AND(K3320="",AE3320="me"),"EACH row",IF(AND(K3320="images",AE3320="me"),"EACH row",IF(D3320="","",IF(H3320="credit","",IF(AE3320="free","re-planting",IF(AE3320="me","   not ELP, by",IF(AND(OR(PlanterYesMe="Yes",PlanterYesMe="Y"),G3320&gt;0),(VLOOKUP(A3320,'Discount Lookup'!J:K,2)*G3320*(1-PlanterDiscount)*(1+PlanterDifficultyPercentage)),IF(AE3320="ELP",(VLOOKUP(A3320,'Discount Lookup'!J:K,2)*G3320*(1-PlanterDiscount)*(1+PlanterDifficultyPercentage)),IF(AE3320="free","re-planting",IF(G3320=0,"",IF(PlanterYesMe="",IF(AE3320="me","   not ELP, by",IF(AE3320="",IF(G3320&gt;0,(VLOOKUP(A3320,'Discount Lookup'!J:K,2)*G3320*(1-PlanterDiscount)*(1+PlanterDifficultyPercentage)),""),"")),"   not ELP, by"))))))))))))))</f>
        <v/>
      </c>
      <c r="AD3320" s="712"/>
      <c r="AE3320" s="513" t="str">
        <f t="shared" si="2540"/>
        <v/>
      </c>
      <c r="AF3320" s="713" t="str">
        <f t="shared" si="2541"/>
        <v/>
      </c>
      <c r="AG3320" s="713"/>
      <c r="AH3320" s="713"/>
      <c r="AI3320" s="112">
        <f>IF(H3320="credit",0,IF(AE3320="free",0,IF(AE3320="me",0,IF(G3320&gt;0,(VLOOKUP(A3320,'Discount Lookup'!J:K,2)*G3320),0))))</f>
        <v>0</v>
      </c>
      <c r="AJ3320" s="107" t="str">
        <f t="shared" ca="1" si="2542"/>
        <v/>
      </c>
      <c r="AK3320" s="714" t="str">
        <f t="shared" si="2543"/>
        <v/>
      </c>
      <c r="AL3320" s="714"/>
      <c r="AM3320" s="114" t="str">
        <f t="shared" si="2544"/>
        <v/>
      </c>
      <c r="AN3320" s="115"/>
      <c r="AO3320" s="116"/>
      <c r="AP3320" s="116"/>
      <c r="AQ3320" s="116"/>
      <c r="AR3320" s="116"/>
      <c r="AS3320" s="116"/>
      <c r="AT3320" s="116"/>
      <c r="AU3320" s="116"/>
      <c r="AV3320" s="78"/>
      <c r="AW3320" s="102"/>
      <c r="AX3320" s="78"/>
      <c r="AY3320" s="78"/>
      <c r="AZ3320" s="78"/>
      <c r="BA3320" s="78"/>
      <c r="BB3320" s="78"/>
      <c r="BC3320" s="78"/>
      <c r="BD3320" s="78"/>
      <c r="BE3320" s="465"/>
      <c r="BF3320" s="165" t="str">
        <f t="shared" si="2545"/>
        <v>https://www.google.com/search?tbm=isch&amp;q=20%20G4</v>
      </c>
      <c r="BG3320" s="165" t="str">
        <f t="shared" si="2546"/>
        <v>P</v>
      </c>
      <c r="BH3320" s="65"/>
      <c r="BI3320" s="65"/>
      <c r="BJ3320" s="65"/>
      <c r="BK3320" s="65"/>
      <c r="BL3320" s="99"/>
      <c r="BM3320" s="99"/>
      <c r="BN3320" s="99"/>
    </row>
    <row r="3321" spans="1:66" s="51" customFormat="1" ht="17.25" thickBot="1" x14ac:dyDescent="0.3">
      <c r="A3321" s="508" t="s">
        <v>678</v>
      </c>
      <c r="B3321" s="487"/>
      <c r="C3321" s="707"/>
      <c r="D3321" s="487"/>
      <c r="E3321" s="487"/>
      <c r="F3321" s="488"/>
      <c r="G3321" s="489"/>
      <c r="H3321" s="487"/>
      <c r="I3321" s="490"/>
      <c r="J3321" s="490"/>
      <c r="K3321" s="491"/>
      <c r="L3321" s="547"/>
      <c r="M3321" s="528"/>
      <c r="N3321" s="492"/>
      <c r="O3321" s="493"/>
      <c r="P3321" s="494"/>
      <c r="Q3321" s="492"/>
      <c r="R3321" s="492"/>
      <c r="S3321" s="699" t="s">
        <v>5268</v>
      </c>
      <c r="T3321" s="102">
        <f t="shared" si="2534"/>
        <v>0</v>
      </c>
      <c r="U3321" s="78" t="str">
        <f>IF(NOT(ISNUMBER(G3321)), "", VLOOKUP(A3321,'Discount Lookup'!D:E,2,FALSE)*G3321)</f>
        <v/>
      </c>
      <c r="V3321" s="78" t="str">
        <f>IF(NOT(ISNUMBER(G3321)), "", VLOOKUP(A3321,'Discount Lookup'!G:H,2,FALSE)*G3321)</f>
        <v/>
      </c>
      <c r="W3321" s="102">
        <f t="shared" si="2535"/>
        <v>0</v>
      </c>
      <c r="X3321" s="102">
        <f t="shared" si="2536"/>
        <v>0</v>
      </c>
      <c r="Y3321" s="120" t="b">
        <f t="shared" si="2537"/>
        <v>0</v>
      </c>
      <c r="Z3321" s="117">
        <f t="shared" si="2538"/>
        <v>0</v>
      </c>
      <c r="AA3321" s="118"/>
      <c r="AB3321" s="118" t="str">
        <f t="shared" si="2539"/>
        <v/>
      </c>
      <c r="AC3321" s="712" t="str">
        <f>IF(AE3321="T2G","no charge",IF(AND(OR(PlanterYesMe="No",PlanterYesMe="N",PlanterYesMe="me"),H3321=""),"",IF(H3321="credit","NO install",IF(AND(K3321="",AE3321="me"),"EACH row",IF(AND(K3321="images",AE3321="me"),"EACH row",IF(D3321="","",IF(H3321="credit","",IF(AE3321="free","re-planting",IF(AE3321="me","   not ELP, by",IF(AND(OR(PlanterYesMe="Yes",PlanterYesMe="Y"),G3321&gt;0),(VLOOKUP(A3321,'Discount Lookup'!J:K,2)*G3321*(1-PlanterDiscount)*(1+PlanterDifficultyPercentage)),IF(AE3321="ELP",(VLOOKUP(A3321,'Discount Lookup'!J:K,2)*G3321*(1-PlanterDiscount)*(1+PlanterDifficultyPercentage)),IF(AE3321="free","re-planting",IF(G3321=0,"",IF(PlanterYesMe="",IF(AE3321="me","   not ELP, by",IF(AE3321="",IF(G3321&gt;0,(VLOOKUP(A3321,'Discount Lookup'!J:K,2)*G3321*(1-PlanterDiscount)*(1+PlanterDifficultyPercentage)),""),"")),"   not ELP, by"))))))))))))))</f>
        <v/>
      </c>
      <c r="AD3321" s="712"/>
      <c r="AE3321" s="513" t="str">
        <f t="shared" si="2540"/>
        <v/>
      </c>
      <c r="AF3321" s="713" t="str">
        <f t="shared" si="2541"/>
        <v/>
      </c>
      <c r="AG3321" s="713"/>
      <c r="AH3321" s="713"/>
      <c r="AI3321" s="112">
        <f>IF(H3321="credit",0,IF(AE3321="free",0,IF(AE3321="me",0,IF(G3321&gt;0,(VLOOKUP(A3321,'Discount Lookup'!J:K,2)*G3321),0))))</f>
        <v>0</v>
      </c>
      <c r="AJ3321" s="107" t="str">
        <f t="shared" ca="1" si="2542"/>
        <v/>
      </c>
      <c r="AK3321" s="714" t="str">
        <f t="shared" si="2543"/>
        <v/>
      </c>
      <c r="AL3321" s="714"/>
      <c r="AM3321" s="114" t="str">
        <f t="shared" si="2544"/>
        <v/>
      </c>
      <c r="AN3321" s="115"/>
      <c r="AO3321" s="116"/>
      <c r="AP3321" s="116"/>
      <c r="AQ3321" s="116"/>
      <c r="AR3321" s="116"/>
      <c r="AS3321" s="116"/>
      <c r="AT3321" s="116"/>
      <c r="AU3321" s="116"/>
      <c r="AV3321" s="78"/>
      <c r="AW3321" s="102"/>
      <c r="AX3321" s="78"/>
      <c r="AY3321" s="78"/>
      <c r="AZ3321" s="78"/>
      <c r="BA3321" s="78"/>
      <c r="BB3321" s="78"/>
      <c r="BC3321" s="78"/>
      <c r="BD3321" s="78"/>
      <c r="BE3321" s="465"/>
      <c r="BF3321" s="165" t="str">
        <f t="shared" si="2545"/>
        <v>https://www.google.com/search?tbm=isch&amp;q=Dragon%20Eye%20named%20for%20the%20Blue-Green%20needles%20banded%20with%20Creamy%20Yellow%2C%20creating%20a%20%22dragon%27s%3Deye%22%20effect%20</v>
      </c>
      <c r="BG3321" s="165" t="str">
        <f t="shared" si="2546"/>
        <v>D</v>
      </c>
      <c r="BH3321" s="65"/>
      <c r="BI3321" s="65"/>
      <c r="BJ3321" s="65"/>
      <c r="BK3321" s="65"/>
      <c r="BL3321" s="99"/>
      <c r="BM3321" s="99"/>
      <c r="BN3321" s="99"/>
    </row>
    <row r="3322" spans="1:66" s="51" customFormat="1" ht="18" x14ac:dyDescent="0.25">
      <c r="A3322" s="507" t="s">
        <v>3808</v>
      </c>
      <c r="B3322" s="470"/>
      <c r="C3322" s="706"/>
      <c r="D3322" s="471" t="s">
        <v>3809</v>
      </c>
      <c r="E3322" s="472"/>
      <c r="F3322" s="472"/>
      <c r="G3322" s="472"/>
      <c r="H3322" s="622" t="s">
        <v>3810</v>
      </c>
      <c r="I3322" s="473" t="s">
        <v>679</v>
      </c>
      <c r="J3322" s="472"/>
      <c r="K3322" s="472"/>
      <c r="L3322" s="561"/>
      <c r="M3322" s="698" t="s">
        <v>5240</v>
      </c>
      <c r="N3322" s="692" t="str">
        <f>IF(AND(ISTEXT($A3322), ISERROR($A3322+0)), HYPERLINK($BF3322, "Images"), "")</f>
        <v>Images</v>
      </c>
      <c r="O3322" s="694" t="s">
        <v>5244</v>
      </c>
      <c r="P3322" s="475"/>
      <c r="Q3322" s="476"/>
      <c r="R3322" s="476"/>
      <c r="S3322" s="477"/>
      <c r="T3322" s="102">
        <f t="shared" si="2534"/>
        <v>0</v>
      </c>
      <c r="U3322" s="78" t="str">
        <f>IF(NOT(ISNUMBER(G3322)), "", VLOOKUP(A3322,'Discount Lookup'!D:E,2,FALSE)*G3322)</f>
        <v/>
      </c>
      <c r="V3322" s="78" t="str">
        <f>IF(NOT(ISNUMBER(G3322)), "", VLOOKUP(A3322,'Discount Lookup'!G:H,2,FALSE)*G3322)</f>
        <v/>
      </c>
      <c r="W3322" s="102">
        <f t="shared" si="2535"/>
        <v>0</v>
      </c>
      <c r="X3322" s="102" t="str">
        <f t="shared" si="2536"/>
        <v>Dark Green needles</v>
      </c>
      <c r="Y3322" s="120" t="b">
        <f t="shared" si="2537"/>
        <v>0</v>
      </c>
      <c r="Z3322" s="117">
        <f t="shared" si="2538"/>
        <v>0</v>
      </c>
      <c r="AA3322" s="118"/>
      <c r="AB3322" s="118" t="str">
        <f t="shared" si="2539"/>
        <v/>
      </c>
      <c r="AC3322" s="712" t="str">
        <f>IF(AE3322="T2G","no charge",IF(AND(OR(PlanterYesMe="No",PlanterYesMe="N",PlanterYesMe="me"),H3322=""),"",IF(H3322="credit","NO install",IF(AND(K3322="",AE3322="me"),"EACH row",IF(AND(K3322="images",AE3322="me"),"EACH row",IF(D3322="","",IF(H3322="credit","",IF(AE3322="free","re-planting",IF(AE3322="me","   not ELP, by",IF(AND(OR(PlanterYesMe="Yes",PlanterYesMe="Y"),G3322&gt;0),(VLOOKUP(A3322,'Discount Lookup'!J:K,2)*G3322*(1-PlanterDiscount)*(1+PlanterDifficultyPercentage)),IF(AE3322="ELP",(VLOOKUP(A3322,'Discount Lookup'!J:K,2)*G3322*(1-PlanterDiscount)*(1+PlanterDifficultyPercentage)),IF(AE3322="free","re-planting",IF(G3322=0,"",IF(PlanterYesMe="",IF(AE3322="me","   not ELP, by",IF(AE3322="",IF(G3322&gt;0,(VLOOKUP(A3322,'Discount Lookup'!J:K,2)*G3322*(1-PlanterDiscount)*(1+PlanterDifficultyPercentage)),""),"")),"   not ELP, by"))))))))))))))</f>
        <v/>
      </c>
      <c r="AD3322" s="712"/>
      <c r="AE3322" s="513" t="str">
        <f t="shared" si="2540"/>
        <v/>
      </c>
      <c r="AF3322" s="713" t="str">
        <f t="shared" si="2541"/>
        <v/>
      </c>
      <c r="AG3322" s="713"/>
      <c r="AH3322" s="713"/>
      <c r="AI3322" s="112">
        <f>IF(H3322="credit",0,IF(AE3322="free",0,IF(AE3322="me",0,IF(G3322&gt;0,(VLOOKUP(A3322,'Discount Lookup'!J:K,2)*G3322),0))))</f>
        <v>0</v>
      </c>
      <c r="AJ3322" s="107" t="str">
        <f t="shared" ca="1" si="2542"/>
        <v/>
      </c>
      <c r="AK3322" s="714" t="str">
        <f t="shared" si="2543"/>
        <v/>
      </c>
      <c r="AL3322" s="714"/>
      <c r="AM3322" s="114" t="str">
        <f t="shared" si="2544"/>
        <v/>
      </c>
      <c r="AN3322" s="115"/>
      <c r="AO3322" s="116"/>
      <c r="AP3322" s="116"/>
      <c r="AQ3322" s="116"/>
      <c r="AR3322" s="116"/>
      <c r="AS3322" s="116"/>
      <c r="AT3322" s="116"/>
      <c r="AU3322" s="116"/>
      <c r="AV3322" s="78"/>
      <c r="AW3322" s="102"/>
      <c r="AX3322" s="78"/>
      <c r="AY3322" s="78"/>
      <c r="AZ3322" s="78"/>
      <c r="BA3322" s="78"/>
      <c r="BB3322" s="78"/>
      <c r="BC3322" s="78"/>
      <c r="BD3322" s="78"/>
      <c r="BE3322" s="465"/>
      <c r="BF3322" s="165" t="str">
        <f t="shared" si="2545"/>
        <v>https://www.google.com/search?tbm=isch&amp;q=Pinus%20mugo%20var.%20pumilio%20Mugo%20Pine</v>
      </c>
      <c r="BG3322" s="165" t="str">
        <f t="shared" si="2546"/>
        <v>P</v>
      </c>
      <c r="BH3322" s="65"/>
      <c r="BI3322" s="65"/>
      <c r="BJ3322" s="65"/>
      <c r="BK3322" s="65"/>
      <c r="BL3322" s="99"/>
      <c r="BM3322" s="99"/>
      <c r="BN3322" s="99"/>
    </row>
    <row r="3323" spans="1:66" s="51" customFormat="1" ht="15.75" x14ac:dyDescent="0.25">
      <c r="A3323" s="478">
        <v>3</v>
      </c>
      <c r="B3323" s="479" t="s">
        <v>291</v>
      </c>
      <c r="C3323" s="480" t="s">
        <v>3811</v>
      </c>
      <c r="D3323" s="481" t="s">
        <v>329</v>
      </c>
      <c r="E3323" s="482">
        <v>38.950000000000003</v>
      </c>
      <c r="F3323" s="483" t="s">
        <v>292</v>
      </c>
      <c r="G3323" s="484">
        <v>0</v>
      </c>
      <c r="H3323" s="688" t="str">
        <f>IF(G3323=0,"",IF(F3323="Buy",IF(G3323=1,"plant","plants"),IF(F3323&gt;0.01,"warranty","Error")))</f>
        <v/>
      </c>
      <c r="I3323" s="485">
        <f>IF(H3323="free",0,IF(H3323="credit",((E3323*(F3323))*G3323*-1),IF(F3323="Buy",(E3323*G3323),((E3323*(1-F3323))*G3323))))</f>
        <v>0</v>
      </c>
      <c r="J3323" s="485">
        <f>IF(H3323="warranty",0,(I3323*(_xlfn.SINGLE(SalesTaxPercentage))))</f>
        <v>0</v>
      </c>
      <c r="K3323" s="715">
        <f t="shared" ref="K3323" si="2559">I3323+J3323</f>
        <v>0</v>
      </c>
      <c r="L3323" s="715"/>
      <c r="M3323" s="689" t="str">
        <f ca="1">IF(AND(G3323&gt;0,E3323=0),"WARNING - no PRICE inserted",IF(H3323="free","FREE ~ no charge this plant",IF(H3323="credit",CONCATENATE("-$",ROUND(K3323*(1-_xlfn.SINGLE(T2GDiscount))*-1,2)," CREDIT after discount"),IF(_xlfn.SINGLE(T2GDiscount)=0,"",IF(G3323=0,"",IF(F3323="Buy",CONCATENATE("$",ROUND(K3323*(1-_xlfn.SINGLE(T2GDiscount)),2)," with ",(_xlfn.SINGLE(T2GDiscount)*100),"% discount"),CONCATENATE("$",ROUND(K3323*(1-_xlfn.SINGLE(T2GDiscount)),2)," with ",((_xlfn.SINGLE(T2GDiscount)*100+F3323*100)-(_xlfn.SINGLE(T2GDiscount)*100*F3323)),IF(F3323&gt;0,"% discounts",IF(_xlfn.SINGLE(NoWarrantyDiscount)&gt;0,"% discounts","% discount")))))))))</f>
        <v/>
      </c>
      <c r="N3323" s="690"/>
      <c r="O3323" s="486"/>
      <c r="P3323" s="486"/>
      <c r="Q3323" s="486"/>
      <c r="R3323" s="486"/>
      <c r="S3323" s="486"/>
      <c r="T3323" s="102">
        <f t="shared" si="2534"/>
        <v>0</v>
      </c>
      <c r="U3323" s="78">
        <f>IF(NOT(ISNUMBER(G3323)), "", VLOOKUP(A3323,'Discount Lookup'!D:E,2,FALSE)*G3323)</f>
        <v>0</v>
      </c>
      <c r="V3323" s="78">
        <f>IF(NOT(ISNUMBER(G3323)), "", VLOOKUP(A3323,'Discount Lookup'!G:H,2,FALSE)*G3323)</f>
        <v>0</v>
      </c>
      <c r="W3323" s="102">
        <f t="shared" si="2535"/>
        <v>0</v>
      </c>
      <c r="X3323" s="102">
        <f t="shared" si="2536"/>
        <v>0</v>
      </c>
      <c r="Y3323" s="120" t="b">
        <f t="shared" si="2537"/>
        <v>0</v>
      </c>
      <c r="Z3323" s="117">
        <f t="shared" si="2538"/>
        <v>0</v>
      </c>
      <c r="AA3323" s="118"/>
      <c r="AB3323" s="118" t="str">
        <f t="shared" si="2539"/>
        <v/>
      </c>
      <c r="AC3323" s="712" t="str">
        <f>IF(AE3323="T2G","no charge",IF(AND(OR(PlanterYesMe="No",PlanterYesMe="N",PlanterYesMe="me"),H3323=""),"",IF(H3323="credit","NO install",IF(AND(K3323="",AE3323="me"),"EACH row",IF(AND(K3323="images",AE3323="me"),"EACH row",IF(D3323="","",IF(H3323="credit","",IF(AE3323="free","re-planting",IF(AE3323="me","   not ELP, by",IF(AND(OR(PlanterYesMe="Yes",PlanterYesMe="Y"),G3323&gt;0),(VLOOKUP(A3323,'Discount Lookup'!J:K,2)*G3323*(1-PlanterDiscount)*(1+PlanterDifficultyPercentage)),IF(AE3323="ELP",(VLOOKUP(A3323,'Discount Lookup'!J:K,2)*G3323*(1-PlanterDiscount)*(1+PlanterDifficultyPercentage)),IF(AE3323="free","re-planting",IF(G3323=0,"",IF(PlanterYesMe="",IF(AE3323="me","   not ELP, by",IF(AE3323="",IF(G3323&gt;0,(VLOOKUP(A3323,'Discount Lookup'!J:K,2)*G3323*(1-PlanterDiscount)*(1+PlanterDifficultyPercentage)),""),"")),"   not ELP, by"))))))))))))))</f>
        <v/>
      </c>
      <c r="AD3323" s="712"/>
      <c r="AE3323" s="513" t="str">
        <f t="shared" si="2540"/>
        <v/>
      </c>
      <c r="AF3323" s="713" t="str">
        <f t="shared" si="2541"/>
        <v/>
      </c>
      <c r="AG3323" s="713"/>
      <c r="AH3323" s="713"/>
      <c r="AI3323" s="112">
        <f>IF(H3323="credit",0,IF(AE3323="free",0,IF(AE3323="me",0,IF(G3323&gt;0,(VLOOKUP(A3323,'Discount Lookup'!J:K,2)*G3323),0))))</f>
        <v>0</v>
      </c>
      <c r="AJ3323" s="107" t="str">
        <f t="shared" ca="1" si="2542"/>
        <v/>
      </c>
      <c r="AK3323" s="714" t="str">
        <f t="shared" si="2543"/>
        <v/>
      </c>
      <c r="AL3323" s="714"/>
      <c r="AM3323" s="114" t="str">
        <f t="shared" si="2544"/>
        <v/>
      </c>
      <c r="AN3323" s="115"/>
      <c r="AO3323" s="116"/>
      <c r="AP3323" s="116"/>
      <c r="AQ3323" s="116"/>
      <c r="AR3323" s="116"/>
      <c r="AS3323" s="116"/>
      <c r="AT3323" s="116"/>
      <c r="AU3323" s="116"/>
      <c r="AV3323" s="78"/>
      <c r="AW3323" s="102"/>
      <c r="AX3323" s="78"/>
      <c r="AY3323" s="78"/>
      <c r="AZ3323" s="78"/>
      <c r="BA3323" s="78"/>
      <c r="BB3323" s="78"/>
      <c r="BC3323" s="78"/>
      <c r="BD3323" s="78"/>
      <c r="BE3323" s="465"/>
      <c r="BF3323" s="165" t="str">
        <f t="shared" si="2545"/>
        <v>https://www.google.com/search?tbm=isch&amp;q=3%20G2</v>
      </c>
      <c r="BG3323" s="165" t="str">
        <f t="shared" si="2546"/>
        <v>P</v>
      </c>
      <c r="BH3323" s="65"/>
      <c r="BI3323" s="65"/>
      <c r="BJ3323" s="65"/>
      <c r="BK3323" s="65"/>
      <c r="BL3323" s="99"/>
      <c r="BM3323" s="99"/>
      <c r="BN3323" s="99"/>
    </row>
    <row r="3324" spans="1:66" s="51" customFormat="1" ht="17.25" thickBot="1" x14ac:dyDescent="0.3">
      <c r="A3324" s="508" t="s">
        <v>3812</v>
      </c>
      <c r="B3324" s="487"/>
      <c r="C3324" s="707"/>
      <c r="D3324" s="487"/>
      <c r="E3324" s="487"/>
      <c r="F3324" s="488"/>
      <c r="G3324" s="489"/>
      <c r="H3324" s="487"/>
      <c r="I3324" s="490"/>
      <c r="J3324" s="490"/>
      <c r="K3324" s="491"/>
      <c r="L3324" s="547"/>
      <c r="M3324" s="528"/>
      <c r="N3324" s="492"/>
      <c r="O3324" s="493"/>
      <c r="P3324" s="494"/>
      <c r="Q3324" s="492"/>
      <c r="R3324" s="492"/>
      <c r="S3324" s="699" t="s">
        <v>5280</v>
      </c>
      <c r="T3324" s="102">
        <f t="shared" si="2534"/>
        <v>0</v>
      </c>
      <c r="U3324" s="78" t="str">
        <f>IF(NOT(ISNUMBER(G3324)), "", VLOOKUP(A3324,'Discount Lookup'!D:E,2,FALSE)*G3324)</f>
        <v/>
      </c>
      <c r="V3324" s="78" t="str">
        <f>IF(NOT(ISNUMBER(G3324)), "", VLOOKUP(A3324,'Discount Lookup'!G:H,2,FALSE)*G3324)</f>
        <v/>
      </c>
      <c r="W3324" s="102">
        <f t="shared" si="2535"/>
        <v>0</v>
      </c>
      <c r="X3324" s="102">
        <f t="shared" si="2536"/>
        <v>0</v>
      </c>
      <c r="Y3324" s="120" t="b">
        <f t="shared" si="2537"/>
        <v>0</v>
      </c>
      <c r="Z3324" s="117">
        <f t="shared" si="2538"/>
        <v>0</v>
      </c>
      <c r="AA3324" s="118"/>
      <c r="AB3324" s="118" t="str">
        <f t="shared" si="2539"/>
        <v/>
      </c>
      <c r="AC3324" s="712" t="str">
        <f>IF(AE3324="T2G","no charge",IF(AND(OR(PlanterYesMe="No",PlanterYesMe="N",PlanterYesMe="me"),H3324=""),"",IF(H3324="credit","NO install",IF(AND(K3324="",AE3324="me"),"EACH row",IF(AND(K3324="images",AE3324="me"),"EACH row",IF(D3324="","",IF(H3324="credit","",IF(AE3324="free","re-planting",IF(AE3324="me","   not ELP, by",IF(AND(OR(PlanterYesMe="Yes",PlanterYesMe="Y"),G3324&gt;0),(VLOOKUP(A3324,'Discount Lookup'!J:K,2)*G3324*(1-PlanterDiscount)*(1+PlanterDifficultyPercentage)),IF(AE3324="ELP",(VLOOKUP(A3324,'Discount Lookup'!J:K,2)*G3324*(1-PlanterDiscount)*(1+PlanterDifficultyPercentage)),IF(AE3324="free","re-planting",IF(G3324=0,"",IF(PlanterYesMe="",IF(AE3324="me","   not ELP, by",IF(AE3324="",IF(G3324&gt;0,(VLOOKUP(A3324,'Discount Lookup'!J:K,2)*G3324*(1-PlanterDiscount)*(1+PlanterDifficultyPercentage)),""),"")),"   not ELP, by"))))))))))))))</f>
        <v/>
      </c>
      <c r="AD3324" s="712"/>
      <c r="AE3324" s="513" t="str">
        <f t="shared" si="2540"/>
        <v/>
      </c>
      <c r="AF3324" s="713" t="str">
        <f t="shared" si="2541"/>
        <v/>
      </c>
      <c r="AG3324" s="713"/>
      <c r="AH3324" s="713"/>
      <c r="AI3324" s="112">
        <f>IF(H3324="credit",0,IF(AE3324="free",0,IF(AE3324="me",0,IF(G3324&gt;0,(VLOOKUP(A3324,'Discount Lookup'!J:K,2)*G3324),0))))</f>
        <v>0</v>
      </c>
      <c r="AJ3324" s="107" t="str">
        <f t="shared" ca="1" si="2542"/>
        <v/>
      </c>
      <c r="AK3324" s="714" t="str">
        <f t="shared" si="2543"/>
        <v/>
      </c>
      <c r="AL3324" s="714"/>
      <c r="AM3324" s="114" t="str">
        <f t="shared" si="2544"/>
        <v/>
      </c>
      <c r="AN3324" s="115"/>
      <c r="AO3324" s="116"/>
      <c r="AP3324" s="116"/>
      <c r="AQ3324" s="116"/>
      <c r="AR3324" s="116"/>
      <c r="AS3324" s="116"/>
      <c r="AT3324" s="116"/>
      <c r="AU3324" s="116"/>
      <c r="AV3324" s="78"/>
      <c r="AW3324" s="102"/>
      <c r="AX3324" s="78"/>
      <c r="AY3324" s="78"/>
      <c r="AZ3324" s="78"/>
      <c r="BA3324" s="78"/>
      <c r="BB3324" s="78"/>
      <c r="BC3324" s="78"/>
      <c r="BD3324" s="78"/>
      <c r="BE3324" s="465"/>
      <c r="BF3324" s="165" t="str">
        <f t="shared" si="2545"/>
        <v>https://www.google.com/search?tbm=isch&amp;q=Mugo%20is%20very%20durable%20and%20tolerant%20of%20cold%2C%20wind%2C%20and%20urban%20pollution%20</v>
      </c>
      <c r="BG3324" s="165" t="str">
        <f t="shared" si="2546"/>
        <v>M</v>
      </c>
      <c r="BH3324" s="65"/>
      <c r="BI3324" s="65"/>
      <c r="BJ3324" s="65"/>
      <c r="BK3324" s="65"/>
      <c r="BL3324" s="99"/>
      <c r="BM3324" s="99"/>
      <c r="BN3324" s="99"/>
    </row>
    <row r="3325" spans="1:66" s="51" customFormat="1" ht="18" x14ac:dyDescent="0.25">
      <c r="A3325" s="507" t="s">
        <v>680</v>
      </c>
      <c r="B3325" s="470"/>
      <c r="C3325" s="706"/>
      <c r="D3325" s="471" t="s">
        <v>681</v>
      </c>
      <c r="E3325" s="472"/>
      <c r="F3325" s="472"/>
      <c r="G3325" s="472"/>
      <c r="H3325" s="622" t="s">
        <v>682</v>
      </c>
      <c r="I3325" s="473" t="s">
        <v>683</v>
      </c>
      <c r="J3325" s="472"/>
      <c r="K3325" s="472"/>
      <c r="L3325" s="561"/>
      <c r="M3325" s="698" t="s">
        <v>5240</v>
      </c>
      <c r="N3325" s="692" t="str">
        <f>IF(AND(ISTEXT($A3325), ISERROR($A3325+0)), HYPERLINK($BF3325, "Images"), "")</f>
        <v>Images</v>
      </c>
      <c r="O3325" s="694" t="s">
        <v>5247</v>
      </c>
      <c r="P3325" s="475"/>
      <c r="Q3325" s="476"/>
      <c r="R3325" s="476"/>
      <c r="S3325" s="477" t="s">
        <v>294</v>
      </c>
      <c r="T3325" s="102">
        <f t="shared" si="2534"/>
        <v>0</v>
      </c>
      <c r="U3325" s="78" t="str">
        <f>IF(NOT(ISNUMBER(G3325)), "", VLOOKUP(A3325,'Discount Lookup'!D:E,2,FALSE)*G3325)</f>
        <v/>
      </c>
      <c r="V3325" s="78" t="str">
        <f>IF(NOT(ISNUMBER(G3325)), "", VLOOKUP(A3325,'Discount Lookup'!G:H,2,FALSE)*G3325)</f>
        <v/>
      </c>
      <c r="W3325" s="102">
        <f t="shared" si="2535"/>
        <v>0</v>
      </c>
      <c r="X3325" s="102" t="str">
        <f t="shared" si="2536"/>
        <v>Green needles</v>
      </c>
      <c r="Y3325" s="120" t="b">
        <f t="shared" si="2537"/>
        <v>0</v>
      </c>
      <c r="Z3325" s="117">
        <f t="shared" si="2538"/>
        <v>0</v>
      </c>
      <c r="AA3325" s="118"/>
      <c r="AB3325" s="118" t="str">
        <f t="shared" si="2539"/>
        <v/>
      </c>
      <c r="AC3325" s="712" t="str">
        <f>IF(AE3325="T2G","no charge",IF(AND(OR(PlanterYesMe="No",PlanterYesMe="N",PlanterYesMe="me"),H3325=""),"",IF(H3325="credit","NO install",IF(AND(K3325="",AE3325="me"),"EACH row",IF(AND(K3325="images",AE3325="me"),"EACH row",IF(D3325="","",IF(H3325="credit","",IF(AE3325="free","re-planting",IF(AE3325="me","   not ELP, by",IF(AND(OR(PlanterYesMe="Yes",PlanterYesMe="Y"),G3325&gt;0),(VLOOKUP(A3325,'Discount Lookup'!J:K,2)*G3325*(1-PlanterDiscount)*(1+PlanterDifficultyPercentage)),IF(AE3325="ELP",(VLOOKUP(A3325,'Discount Lookup'!J:K,2)*G3325*(1-PlanterDiscount)*(1+PlanterDifficultyPercentage)),IF(AE3325="free","re-planting",IF(G3325=0,"",IF(PlanterYesMe="",IF(AE3325="me","   not ELP, by",IF(AE3325="",IF(G3325&gt;0,(VLOOKUP(A3325,'Discount Lookup'!J:K,2)*G3325*(1-PlanterDiscount)*(1+PlanterDifficultyPercentage)),""),"")),"   not ELP, by"))))))))))))))</f>
        <v/>
      </c>
      <c r="AD3325" s="712"/>
      <c r="AE3325" s="513" t="str">
        <f t="shared" si="2540"/>
        <v/>
      </c>
      <c r="AF3325" s="713" t="str">
        <f t="shared" si="2541"/>
        <v/>
      </c>
      <c r="AG3325" s="713"/>
      <c r="AH3325" s="713"/>
      <c r="AI3325" s="112">
        <f>IF(H3325="credit",0,IF(AE3325="free",0,IF(AE3325="me",0,IF(G3325&gt;0,(VLOOKUP(A3325,'Discount Lookup'!J:K,2)*G3325),0))))</f>
        <v>0</v>
      </c>
      <c r="AJ3325" s="107" t="str">
        <f t="shared" ca="1" si="2542"/>
        <v/>
      </c>
      <c r="AK3325" s="714" t="str">
        <f t="shared" si="2543"/>
        <v/>
      </c>
      <c r="AL3325" s="714"/>
      <c r="AM3325" s="114" t="str">
        <f t="shared" si="2544"/>
        <v/>
      </c>
      <c r="AN3325" s="115"/>
      <c r="AO3325" s="116"/>
      <c r="AP3325" s="116"/>
      <c r="AQ3325" s="116"/>
      <c r="AR3325" s="116"/>
      <c r="AS3325" s="116"/>
      <c r="AT3325" s="116"/>
      <c r="AU3325" s="116"/>
      <c r="AV3325" s="78"/>
      <c r="AW3325" s="102"/>
      <c r="AX3325" s="78"/>
      <c r="AY3325" s="78"/>
      <c r="AZ3325" s="78"/>
      <c r="BA3325" s="78"/>
      <c r="BB3325" s="78"/>
      <c r="BC3325" s="78"/>
      <c r="BD3325" s="78"/>
      <c r="BE3325" s="465"/>
      <c r="BF3325" s="165" t="str">
        <f t="shared" si="2545"/>
        <v>https://www.google.com/search?tbm=isch&amp;q=Pinus%20palustris%20Longleaf%20Pine</v>
      </c>
      <c r="BG3325" s="165" t="str">
        <f t="shared" si="2546"/>
        <v>P</v>
      </c>
      <c r="BH3325" s="65"/>
      <c r="BI3325" s="65"/>
      <c r="BJ3325" s="65"/>
      <c r="BK3325" s="65"/>
      <c r="BL3325" s="99"/>
      <c r="BM3325" s="99"/>
      <c r="BN3325" s="99"/>
    </row>
    <row r="3326" spans="1:66" s="51" customFormat="1" ht="15.75" x14ac:dyDescent="0.25">
      <c r="A3326" s="478">
        <v>7</v>
      </c>
      <c r="B3326" s="479" t="s">
        <v>291</v>
      </c>
      <c r="C3326" s="480" t="s">
        <v>916</v>
      </c>
      <c r="D3326" s="481" t="s">
        <v>311</v>
      </c>
      <c r="E3326" s="482">
        <v>68.95</v>
      </c>
      <c r="F3326" s="483" t="s">
        <v>292</v>
      </c>
      <c r="G3326" s="484">
        <v>0</v>
      </c>
      <c r="H3326" s="688" t="str">
        <f>IF(G3326=0,"",IF(F3326="Buy",IF(G3326=1,"plant","plants"),IF(F3326&gt;0.01,"warranty","Error")))</f>
        <v/>
      </c>
      <c r="I3326" s="485">
        <f>IF(H3326="free",0,IF(H3326="credit",((E3326*(F3326))*G3326*-1),IF(F3326="Buy",(E3326*G3326),((E3326*(1-F3326))*G3326))))</f>
        <v>0</v>
      </c>
      <c r="J3326" s="485">
        <f>IF(H3326="warranty",0,(I3326*(_xlfn.SINGLE(SalesTaxPercentage))))</f>
        <v>0</v>
      </c>
      <c r="K3326" s="715">
        <f t="shared" ref="K3326" si="2560">I3326+J3326</f>
        <v>0</v>
      </c>
      <c r="L3326" s="715"/>
      <c r="M3326" s="689" t="str">
        <f ca="1">IF(AND(G3326&gt;0,E3326=0),"WARNING - no PRICE inserted",IF(H3326="free","FREE ~ no charge this plant",IF(H3326="credit",CONCATENATE("-$",ROUND(K3326*(1-_xlfn.SINGLE(T2GDiscount))*-1,2)," CREDIT after discount"),IF(_xlfn.SINGLE(T2GDiscount)=0,"",IF(G3326=0,"",IF(F3326="Buy",CONCATENATE("$",ROUND(K3326*(1-_xlfn.SINGLE(T2GDiscount)),2)," with ",(_xlfn.SINGLE(T2GDiscount)*100),"% discount"),CONCATENATE("$",ROUND(K3326*(1-_xlfn.SINGLE(T2GDiscount)),2)," with ",((_xlfn.SINGLE(T2GDiscount)*100+F3326*100)-(_xlfn.SINGLE(T2GDiscount)*100*F3326)),IF(F3326&gt;0,"% discounts",IF(_xlfn.SINGLE(NoWarrantyDiscount)&gt;0,"% discounts","% discount")))))))))</f>
        <v/>
      </c>
      <c r="N3326" s="690"/>
      <c r="O3326" s="486"/>
      <c r="P3326" s="486"/>
      <c r="Q3326" s="486"/>
      <c r="R3326" s="486"/>
      <c r="S3326" s="486"/>
      <c r="T3326" s="102">
        <f t="shared" si="2534"/>
        <v>0</v>
      </c>
      <c r="U3326" s="78">
        <f>IF(NOT(ISNUMBER(G3326)), "", VLOOKUP(A3326,'Discount Lookup'!D:E,2,FALSE)*G3326)</f>
        <v>0</v>
      </c>
      <c r="V3326" s="78">
        <f>IF(NOT(ISNUMBER(G3326)), "", VLOOKUP(A3326,'Discount Lookup'!G:H,2,FALSE)*G3326)</f>
        <v>0</v>
      </c>
      <c r="W3326" s="102">
        <f t="shared" si="2535"/>
        <v>0</v>
      </c>
      <c r="X3326" s="102">
        <f t="shared" si="2536"/>
        <v>0</v>
      </c>
      <c r="Y3326" s="120" t="b">
        <f t="shared" si="2537"/>
        <v>0</v>
      </c>
      <c r="Z3326" s="117">
        <f t="shared" si="2538"/>
        <v>0</v>
      </c>
      <c r="AA3326" s="118"/>
      <c r="AB3326" s="118" t="str">
        <f t="shared" si="2539"/>
        <v/>
      </c>
      <c r="AC3326" s="712" t="str">
        <f>IF(AE3326="T2G","no charge",IF(AND(OR(PlanterYesMe="No",PlanterYesMe="N",PlanterYesMe="me"),H3326=""),"",IF(H3326="credit","NO install",IF(AND(K3326="",AE3326="me"),"EACH row",IF(AND(K3326="images",AE3326="me"),"EACH row",IF(D3326="","",IF(H3326="credit","",IF(AE3326="free","re-planting",IF(AE3326="me","   not ELP, by",IF(AND(OR(PlanterYesMe="Yes",PlanterYesMe="Y"),G3326&gt;0),(VLOOKUP(A3326,'Discount Lookup'!J:K,2)*G3326*(1-PlanterDiscount)*(1+PlanterDifficultyPercentage)),IF(AE3326="ELP",(VLOOKUP(A3326,'Discount Lookup'!J:K,2)*G3326*(1-PlanterDiscount)*(1+PlanterDifficultyPercentage)),IF(AE3326="free","re-planting",IF(G3326=0,"",IF(PlanterYesMe="",IF(AE3326="me","   not ELP, by",IF(AE3326="",IF(G3326&gt;0,(VLOOKUP(A3326,'Discount Lookup'!J:K,2)*G3326*(1-PlanterDiscount)*(1+PlanterDifficultyPercentage)),""),"")),"   not ELP, by"))))))))))))))</f>
        <v/>
      </c>
      <c r="AD3326" s="712"/>
      <c r="AE3326" s="513" t="str">
        <f t="shared" si="2540"/>
        <v/>
      </c>
      <c r="AF3326" s="713" t="str">
        <f t="shared" si="2541"/>
        <v/>
      </c>
      <c r="AG3326" s="713"/>
      <c r="AH3326" s="713"/>
      <c r="AI3326" s="112">
        <f>IF(H3326="credit",0,IF(AE3326="free",0,IF(AE3326="me",0,IF(G3326&gt;0,(VLOOKUP(A3326,'Discount Lookup'!J:K,2)*G3326),0))))</f>
        <v>0</v>
      </c>
      <c r="AJ3326" s="107" t="str">
        <f t="shared" ca="1" si="2542"/>
        <v/>
      </c>
      <c r="AK3326" s="714" t="str">
        <f t="shared" si="2543"/>
        <v/>
      </c>
      <c r="AL3326" s="714"/>
      <c r="AM3326" s="114" t="str">
        <f t="shared" si="2544"/>
        <v/>
      </c>
      <c r="AN3326" s="115"/>
      <c r="AO3326" s="116"/>
      <c r="AP3326" s="116"/>
      <c r="AQ3326" s="116"/>
      <c r="AR3326" s="116"/>
      <c r="AS3326" s="116"/>
      <c r="AT3326" s="116"/>
      <c r="AU3326" s="116"/>
      <c r="AV3326" s="78"/>
      <c r="AW3326" s="102"/>
      <c r="AX3326" s="78"/>
      <c r="AY3326" s="78"/>
      <c r="AZ3326" s="78"/>
      <c r="BA3326" s="78"/>
      <c r="BB3326" s="78"/>
      <c r="BC3326" s="78"/>
      <c r="BD3326" s="78"/>
      <c r="BE3326" s="465"/>
      <c r="BF3326" s="165" t="str">
        <f t="shared" si="2545"/>
        <v>https://www.google.com/search?tbm=isch&amp;q=7%20G5</v>
      </c>
      <c r="BG3326" s="165" t="str">
        <f t="shared" si="2546"/>
        <v>P</v>
      </c>
      <c r="BH3326" s="65"/>
      <c r="BI3326" s="65"/>
      <c r="BJ3326" s="65"/>
      <c r="BK3326" s="65"/>
      <c r="BL3326" s="99"/>
      <c r="BM3326" s="99"/>
      <c r="BN3326" s="99"/>
    </row>
    <row r="3327" spans="1:66" s="51" customFormat="1" ht="17.25" thickBot="1" x14ac:dyDescent="0.3">
      <c r="A3327" s="508" t="s">
        <v>684</v>
      </c>
      <c r="B3327" s="487"/>
      <c r="C3327" s="707"/>
      <c r="D3327" s="487"/>
      <c r="E3327" s="487"/>
      <c r="F3327" s="488"/>
      <c r="G3327" s="489"/>
      <c r="H3327" s="487"/>
      <c r="I3327" s="490"/>
      <c r="J3327" s="490"/>
      <c r="K3327" s="491"/>
      <c r="L3327" s="547"/>
      <c r="M3327" s="528"/>
      <c r="N3327" s="492"/>
      <c r="O3327" s="493"/>
      <c r="P3327" s="494"/>
      <c r="Q3327" s="492"/>
      <c r="R3327" s="492"/>
      <c r="S3327" s="699" t="s">
        <v>5288</v>
      </c>
      <c r="T3327" s="102">
        <f t="shared" si="2534"/>
        <v>0</v>
      </c>
      <c r="U3327" s="78" t="str">
        <f>IF(NOT(ISNUMBER(G3327)), "", VLOOKUP(A3327,'Discount Lookup'!D:E,2,FALSE)*G3327)</f>
        <v/>
      </c>
      <c r="V3327" s="78" t="str">
        <f>IF(NOT(ISNUMBER(G3327)), "", VLOOKUP(A3327,'Discount Lookup'!G:H,2,FALSE)*G3327)</f>
        <v/>
      </c>
      <c r="W3327" s="102">
        <f t="shared" si="2535"/>
        <v>0</v>
      </c>
      <c r="X3327" s="102">
        <f t="shared" si="2536"/>
        <v>0</v>
      </c>
      <c r="Y3327" s="120" t="b">
        <f t="shared" si="2537"/>
        <v>0</v>
      </c>
      <c r="Z3327" s="117">
        <f t="shared" si="2538"/>
        <v>0</v>
      </c>
      <c r="AA3327" s="118"/>
      <c r="AB3327" s="118" t="str">
        <f t="shared" si="2539"/>
        <v/>
      </c>
      <c r="AC3327" s="712" t="str">
        <f>IF(AE3327="T2G","no charge",IF(AND(OR(PlanterYesMe="No",PlanterYesMe="N",PlanterYesMe="me"),H3327=""),"",IF(H3327="credit","NO install",IF(AND(K3327="",AE3327="me"),"EACH row",IF(AND(K3327="images",AE3327="me"),"EACH row",IF(D3327="","",IF(H3327="credit","",IF(AE3327="free","re-planting",IF(AE3327="me","   not ELP, by",IF(AND(OR(PlanterYesMe="Yes",PlanterYesMe="Y"),G3327&gt;0),(VLOOKUP(A3327,'Discount Lookup'!J:K,2)*G3327*(1-PlanterDiscount)*(1+PlanterDifficultyPercentage)),IF(AE3327="ELP",(VLOOKUP(A3327,'Discount Lookup'!J:K,2)*G3327*(1-PlanterDiscount)*(1+PlanterDifficultyPercentage)),IF(AE3327="free","re-planting",IF(G3327=0,"",IF(PlanterYesMe="",IF(AE3327="me","   not ELP, by",IF(AE3327="",IF(G3327&gt;0,(VLOOKUP(A3327,'Discount Lookup'!J:K,2)*G3327*(1-PlanterDiscount)*(1+PlanterDifficultyPercentage)),""),"")),"   not ELP, by"))))))))))))))</f>
        <v/>
      </c>
      <c r="AD3327" s="712"/>
      <c r="AE3327" s="513" t="str">
        <f t="shared" si="2540"/>
        <v/>
      </c>
      <c r="AF3327" s="713" t="str">
        <f t="shared" si="2541"/>
        <v/>
      </c>
      <c r="AG3327" s="713"/>
      <c r="AH3327" s="713"/>
      <c r="AI3327" s="112">
        <f>IF(H3327="credit",0,IF(AE3327="free",0,IF(AE3327="me",0,IF(G3327&gt;0,(VLOOKUP(A3327,'Discount Lookup'!J:K,2)*G3327),0))))</f>
        <v>0</v>
      </c>
      <c r="AJ3327" s="107" t="str">
        <f t="shared" ca="1" si="2542"/>
        <v/>
      </c>
      <c r="AK3327" s="714" t="str">
        <f t="shared" si="2543"/>
        <v/>
      </c>
      <c r="AL3327" s="714"/>
      <c r="AM3327" s="114" t="str">
        <f t="shared" si="2544"/>
        <v/>
      </c>
      <c r="AN3327" s="115"/>
      <c r="AO3327" s="116"/>
      <c r="AP3327" s="116"/>
      <c r="AQ3327" s="116"/>
      <c r="AR3327" s="116"/>
      <c r="AS3327" s="116"/>
      <c r="AT3327" s="116"/>
      <c r="AU3327" s="116"/>
      <c r="AV3327" s="78"/>
      <c r="AW3327" s="102"/>
      <c r="AX3327" s="78"/>
      <c r="AY3327" s="78"/>
      <c r="AZ3327" s="78"/>
      <c r="BA3327" s="78"/>
      <c r="BB3327" s="78"/>
      <c r="BC3327" s="78"/>
      <c r="BD3327" s="78"/>
      <c r="BE3327" s="465"/>
      <c r="BF3327" s="165" t="str">
        <f t="shared" si="2545"/>
        <v>https://www.google.com/search?tbm=isch&amp;q=Longleaf%20is%20state%20tree%20of%20NC%20%28Dogwood%20is%20state%20flower%29.%20Cones%20are%20the%20largest%20of%20any%20Pine%20around%20here%20</v>
      </c>
      <c r="BG3327" s="165" t="str">
        <f t="shared" si="2546"/>
        <v>L</v>
      </c>
      <c r="BH3327" s="65"/>
      <c r="BI3327" s="65"/>
      <c r="BJ3327" s="65"/>
      <c r="BK3327" s="65"/>
      <c r="BL3327" s="99"/>
      <c r="BM3327" s="99"/>
      <c r="BN3327" s="99"/>
    </row>
    <row r="3328" spans="1:66" s="51" customFormat="1" ht="18" x14ac:dyDescent="0.25">
      <c r="A3328" s="507" t="s">
        <v>685</v>
      </c>
      <c r="B3328" s="470"/>
      <c r="C3328" s="706"/>
      <c r="D3328" s="471" t="s">
        <v>686</v>
      </c>
      <c r="E3328" s="472"/>
      <c r="F3328" s="472"/>
      <c r="G3328" s="472"/>
      <c r="H3328" s="622" t="s">
        <v>344</v>
      </c>
      <c r="I3328" s="473" t="s">
        <v>683</v>
      </c>
      <c r="J3328" s="472"/>
      <c r="K3328" s="472"/>
      <c r="L3328" s="561"/>
      <c r="M3328" s="698" t="s">
        <v>5240</v>
      </c>
      <c r="N3328" s="692" t="str">
        <f>IF(AND(ISTEXT($A3328), ISERROR($A3328+0)), HYPERLINK($BF3328, "Images"), "")</f>
        <v>Images</v>
      </c>
      <c r="O3328" s="694" t="s">
        <v>5247</v>
      </c>
      <c r="P3328" s="475"/>
      <c r="Q3328" s="476"/>
      <c r="R3328" s="476"/>
      <c r="S3328" s="477" t="s">
        <v>294</v>
      </c>
      <c r="T3328" s="102">
        <f t="shared" si="2534"/>
        <v>0</v>
      </c>
      <c r="U3328" s="78" t="str">
        <f>IF(NOT(ISNUMBER(G3328)), "", VLOOKUP(A3328,'Discount Lookup'!D:E,2,FALSE)*G3328)</f>
        <v/>
      </c>
      <c r="V3328" s="78" t="str">
        <f>IF(NOT(ISNUMBER(G3328)), "", VLOOKUP(A3328,'Discount Lookup'!G:H,2,FALSE)*G3328)</f>
        <v/>
      </c>
      <c r="W3328" s="102">
        <f t="shared" si="2535"/>
        <v>0</v>
      </c>
      <c r="X3328" s="102" t="str">
        <f t="shared" si="2536"/>
        <v>Green needles</v>
      </c>
      <c r="Y3328" s="120" t="b">
        <f t="shared" si="2537"/>
        <v>0</v>
      </c>
      <c r="Z3328" s="117">
        <f t="shared" si="2538"/>
        <v>0</v>
      </c>
      <c r="AA3328" s="118"/>
      <c r="AB3328" s="118" t="str">
        <f t="shared" si="2539"/>
        <v/>
      </c>
      <c r="AC3328" s="712" t="str">
        <f>IF(AE3328="T2G","no charge",IF(AND(OR(PlanterYesMe="No",PlanterYesMe="N",PlanterYesMe="me"),H3328=""),"",IF(H3328="credit","NO install",IF(AND(K3328="",AE3328="me"),"EACH row",IF(AND(K3328="images",AE3328="me"),"EACH row",IF(D3328="","",IF(H3328="credit","",IF(AE3328="free","re-planting",IF(AE3328="me","   not ELP, by",IF(AND(OR(PlanterYesMe="Yes",PlanterYesMe="Y"),G3328&gt;0),(VLOOKUP(A3328,'Discount Lookup'!J:K,2)*G3328*(1-PlanterDiscount)*(1+PlanterDifficultyPercentage)),IF(AE3328="ELP",(VLOOKUP(A3328,'Discount Lookup'!J:K,2)*G3328*(1-PlanterDiscount)*(1+PlanterDifficultyPercentage)),IF(AE3328="free","re-planting",IF(G3328=0,"",IF(PlanterYesMe="",IF(AE3328="me","   not ELP, by",IF(AE3328="",IF(G3328&gt;0,(VLOOKUP(A3328,'Discount Lookup'!J:K,2)*G3328*(1-PlanterDiscount)*(1+PlanterDifficultyPercentage)),""),"")),"   not ELP, by"))))))))))))))</f>
        <v/>
      </c>
      <c r="AD3328" s="712"/>
      <c r="AE3328" s="513" t="str">
        <f t="shared" si="2540"/>
        <v/>
      </c>
      <c r="AF3328" s="713" t="str">
        <f t="shared" si="2541"/>
        <v/>
      </c>
      <c r="AG3328" s="713"/>
      <c r="AH3328" s="713"/>
      <c r="AI3328" s="112">
        <f>IF(H3328="credit",0,IF(AE3328="free",0,IF(AE3328="me",0,IF(G3328&gt;0,(VLOOKUP(A3328,'Discount Lookup'!J:K,2)*G3328),0))))</f>
        <v>0</v>
      </c>
      <c r="AJ3328" s="107" t="str">
        <f t="shared" ca="1" si="2542"/>
        <v/>
      </c>
      <c r="AK3328" s="714" t="str">
        <f t="shared" si="2543"/>
        <v/>
      </c>
      <c r="AL3328" s="714"/>
      <c r="AM3328" s="114" t="str">
        <f t="shared" si="2544"/>
        <v/>
      </c>
      <c r="AN3328" s="115"/>
      <c r="AO3328" s="116"/>
      <c r="AP3328" s="116"/>
      <c r="AQ3328" s="116"/>
      <c r="AR3328" s="116"/>
      <c r="AS3328" s="116"/>
      <c r="AT3328" s="116"/>
      <c r="AU3328" s="116"/>
      <c r="AV3328" s="78"/>
      <c r="AW3328" s="102"/>
      <c r="AX3328" s="78"/>
      <c r="AY3328" s="78"/>
      <c r="AZ3328" s="78"/>
      <c r="BA3328" s="78"/>
      <c r="BB3328" s="78"/>
      <c r="BC3328" s="78"/>
      <c r="BD3328" s="78"/>
      <c r="BE3328" s="465"/>
      <c r="BF3328" s="165" t="str">
        <f t="shared" si="2545"/>
        <v>https://www.google.com/search?tbm=isch&amp;q=Pinus%20taeda%20Loblolly%20Pine</v>
      </c>
      <c r="BG3328" s="165" t="str">
        <f t="shared" si="2546"/>
        <v>P</v>
      </c>
      <c r="BH3328" s="65"/>
      <c r="BI3328" s="65"/>
      <c r="BJ3328" s="65"/>
      <c r="BK3328" s="65"/>
      <c r="BL3328" s="99"/>
      <c r="BM3328" s="99"/>
      <c r="BN3328" s="99"/>
    </row>
    <row r="3329" spans="1:66" s="51" customFormat="1" ht="15.75" x14ac:dyDescent="0.25">
      <c r="A3329" s="478">
        <v>7</v>
      </c>
      <c r="B3329" s="479" t="s">
        <v>291</v>
      </c>
      <c r="C3329" s="480" t="s">
        <v>923</v>
      </c>
      <c r="D3329" s="481" t="s">
        <v>299</v>
      </c>
      <c r="E3329" s="482">
        <v>86.95</v>
      </c>
      <c r="F3329" s="483" t="s">
        <v>292</v>
      </c>
      <c r="G3329" s="484">
        <v>0</v>
      </c>
      <c r="H3329" s="688" t="str">
        <f>IF(G3329=0,"",IF(F3329="Buy",IF(G3329=1,"plant","plants"),IF(F3329&gt;0.01,"warranty","Error")))</f>
        <v/>
      </c>
      <c r="I3329" s="485">
        <f>IF(H3329="free",0,IF(H3329="credit",((E3329*(F3329))*G3329*-1),IF(F3329="Buy",(E3329*G3329),((E3329*(1-F3329))*G3329))))</f>
        <v>0</v>
      </c>
      <c r="J3329" s="485">
        <f>IF(H3329="warranty",0,(I3329*(_xlfn.SINGLE(SalesTaxPercentage))))</f>
        <v>0</v>
      </c>
      <c r="K3329" s="715">
        <f t="shared" ref="K3329" si="2561">I3329+J3329</f>
        <v>0</v>
      </c>
      <c r="L3329" s="715"/>
      <c r="M3329" s="689" t="str">
        <f ca="1">IF(AND(G3329&gt;0,E3329=0),"WARNING - no PRICE inserted",IF(H3329="free","FREE ~ no charge this plant",IF(H3329="credit",CONCATENATE("-$",ROUND(K3329*(1-_xlfn.SINGLE(T2GDiscount))*-1,2)," CREDIT after discount"),IF(_xlfn.SINGLE(T2GDiscount)=0,"",IF(G3329=0,"",IF(F3329="Buy",CONCATENATE("$",ROUND(K3329*(1-_xlfn.SINGLE(T2GDiscount)),2)," with ",(_xlfn.SINGLE(T2GDiscount)*100),"% discount"),CONCATENATE("$",ROUND(K3329*(1-_xlfn.SINGLE(T2GDiscount)),2)," with ",((_xlfn.SINGLE(T2GDiscount)*100+F3329*100)-(_xlfn.SINGLE(T2GDiscount)*100*F3329)),IF(F3329&gt;0,"% discounts",IF(_xlfn.SINGLE(NoWarrantyDiscount)&gt;0,"% discounts","% discount")))))))))</f>
        <v/>
      </c>
      <c r="N3329" s="690"/>
      <c r="O3329" s="486"/>
      <c r="P3329" s="486"/>
      <c r="Q3329" s="486"/>
      <c r="R3329" s="486"/>
      <c r="S3329" s="486"/>
      <c r="T3329" s="102">
        <f t="shared" si="2534"/>
        <v>0</v>
      </c>
      <c r="U3329" s="78">
        <f>IF(NOT(ISNUMBER(G3329)), "", VLOOKUP(A3329,'Discount Lookup'!D:E,2,FALSE)*G3329)</f>
        <v>0</v>
      </c>
      <c r="V3329" s="78">
        <f>IF(NOT(ISNUMBER(G3329)), "", VLOOKUP(A3329,'Discount Lookup'!G:H,2,FALSE)*G3329)</f>
        <v>0</v>
      </c>
      <c r="W3329" s="102">
        <f t="shared" si="2535"/>
        <v>0</v>
      </c>
      <c r="X3329" s="102">
        <f t="shared" si="2536"/>
        <v>0</v>
      </c>
      <c r="Y3329" s="120" t="b">
        <f t="shared" si="2537"/>
        <v>0</v>
      </c>
      <c r="Z3329" s="117">
        <f t="shared" si="2538"/>
        <v>0</v>
      </c>
      <c r="AA3329" s="118"/>
      <c r="AB3329" s="118" t="str">
        <f t="shared" si="2539"/>
        <v/>
      </c>
      <c r="AC3329" s="712" t="str">
        <f>IF(AE3329="T2G","no charge",IF(AND(OR(PlanterYesMe="No",PlanterYesMe="N",PlanterYesMe="me"),H3329=""),"",IF(H3329="credit","NO install",IF(AND(K3329="",AE3329="me"),"EACH row",IF(AND(K3329="images",AE3329="me"),"EACH row",IF(D3329="","",IF(H3329="credit","",IF(AE3329="free","re-planting",IF(AE3329="me","   not ELP, by",IF(AND(OR(PlanterYesMe="Yes",PlanterYesMe="Y"),G3329&gt;0),(VLOOKUP(A3329,'Discount Lookup'!J:K,2)*G3329*(1-PlanterDiscount)*(1+PlanterDifficultyPercentage)),IF(AE3329="ELP",(VLOOKUP(A3329,'Discount Lookup'!J:K,2)*G3329*(1-PlanterDiscount)*(1+PlanterDifficultyPercentage)),IF(AE3329="free","re-planting",IF(G3329=0,"",IF(PlanterYesMe="",IF(AE3329="me","   not ELP, by",IF(AE3329="",IF(G3329&gt;0,(VLOOKUP(A3329,'Discount Lookup'!J:K,2)*G3329*(1-PlanterDiscount)*(1+PlanterDifficultyPercentage)),""),"")),"   not ELP, by"))))))))))))))</f>
        <v/>
      </c>
      <c r="AD3329" s="712"/>
      <c r="AE3329" s="513" t="str">
        <f t="shared" si="2540"/>
        <v/>
      </c>
      <c r="AF3329" s="713" t="str">
        <f t="shared" si="2541"/>
        <v/>
      </c>
      <c r="AG3329" s="713"/>
      <c r="AH3329" s="713"/>
      <c r="AI3329" s="112">
        <f>IF(H3329="credit",0,IF(AE3329="free",0,IF(AE3329="me",0,IF(G3329&gt;0,(VLOOKUP(A3329,'Discount Lookup'!J:K,2)*G3329),0))))</f>
        <v>0</v>
      </c>
      <c r="AJ3329" s="107" t="str">
        <f t="shared" ca="1" si="2542"/>
        <v/>
      </c>
      <c r="AK3329" s="714" t="str">
        <f t="shared" si="2543"/>
        <v/>
      </c>
      <c r="AL3329" s="714"/>
      <c r="AM3329" s="114" t="str">
        <f t="shared" si="2544"/>
        <v/>
      </c>
      <c r="AN3329" s="115"/>
      <c r="AO3329" s="116"/>
      <c r="AP3329" s="116"/>
      <c r="AQ3329" s="116"/>
      <c r="AR3329" s="116"/>
      <c r="AS3329" s="116"/>
      <c r="AT3329" s="116"/>
      <c r="AU3329" s="116"/>
      <c r="AV3329" s="78"/>
      <c r="AW3329" s="102"/>
      <c r="AX3329" s="78"/>
      <c r="AY3329" s="78"/>
      <c r="AZ3329" s="78"/>
      <c r="BA3329" s="78"/>
      <c r="BB3329" s="78"/>
      <c r="BC3329" s="78"/>
      <c r="BD3329" s="78"/>
      <c r="BE3329" s="465"/>
      <c r="BF3329" s="165" t="str">
        <f t="shared" si="2545"/>
        <v>https://www.google.com/search?tbm=isch&amp;q=7%20G4</v>
      </c>
      <c r="BG3329" s="165" t="str">
        <f t="shared" si="2546"/>
        <v>P</v>
      </c>
      <c r="BH3329" s="65"/>
      <c r="BI3329" s="65"/>
      <c r="BJ3329" s="65"/>
      <c r="BK3329" s="65"/>
      <c r="BL3329" s="99"/>
      <c r="BM3329" s="99"/>
      <c r="BN3329" s="99"/>
    </row>
    <row r="3330" spans="1:66" s="51" customFormat="1" ht="15.75" x14ac:dyDescent="0.25">
      <c r="A3330" s="478">
        <v>15</v>
      </c>
      <c r="B3330" s="479" t="s">
        <v>291</v>
      </c>
      <c r="C3330" s="480" t="s">
        <v>858</v>
      </c>
      <c r="D3330" s="481" t="s">
        <v>311</v>
      </c>
      <c r="E3330" s="482">
        <v>155.94999999999999</v>
      </c>
      <c r="F3330" s="483" t="s">
        <v>292</v>
      </c>
      <c r="G3330" s="484">
        <v>0</v>
      </c>
      <c r="H3330" s="688" t="str">
        <f>IF(G3330=0,"",IF(F3330="Buy",IF(G3330=1,"plant","plants"),IF(F3330&gt;0.01,"warranty","Error")))</f>
        <v/>
      </c>
      <c r="I3330" s="485">
        <f>IF(H3330="free",0,IF(H3330="credit",((E3330*(F3330))*G3330*-1),IF(F3330="Buy",(E3330*G3330),((E3330*(1-F3330))*G3330))))</f>
        <v>0</v>
      </c>
      <c r="J3330" s="485">
        <f>IF(H3330="warranty",0,(I3330*(_xlfn.SINGLE(SalesTaxPercentage))))</f>
        <v>0</v>
      </c>
      <c r="K3330" s="715">
        <f t="shared" ref="K3330" si="2562">I3330+J3330</f>
        <v>0</v>
      </c>
      <c r="L3330" s="715"/>
      <c r="M3330" s="689" t="str">
        <f ca="1">IF(AND(G3330&gt;0,E3330=0),"WARNING - no PRICE inserted",IF(H3330="free","FREE ~ no charge this plant",IF(H3330="credit",CONCATENATE("-$",ROUND(K3330*(1-_xlfn.SINGLE(T2GDiscount))*-1,2)," CREDIT after discount"),IF(_xlfn.SINGLE(T2GDiscount)=0,"",IF(G3330=0,"",IF(F3330="Buy",CONCATENATE("$",ROUND(K3330*(1-_xlfn.SINGLE(T2GDiscount)),2)," with ",(_xlfn.SINGLE(T2GDiscount)*100),"% discount"),CONCATENATE("$",ROUND(K3330*(1-_xlfn.SINGLE(T2GDiscount)),2)," with ",((_xlfn.SINGLE(T2GDiscount)*100+F3330*100)-(_xlfn.SINGLE(T2GDiscount)*100*F3330)),IF(F3330&gt;0,"% discounts",IF(_xlfn.SINGLE(NoWarrantyDiscount)&gt;0,"% discounts","% discount")))))))))</f>
        <v/>
      </c>
      <c r="N3330" s="690"/>
      <c r="O3330" s="486"/>
      <c r="P3330" s="486"/>
      <c r="Q3330" s="486"/>
      <c r="R3330" s="486"/>
      <c r="S3330" s="486"/>
      <c r="T3330" s="102">
        <f t="shared" si="2534"/>
        <v>0</v>
      </c>
      <c r="U3330" s="78">
        <f>IF(NOT(ISNUMBER(G3330)), "", VLOOKUP(A3330,'Discount Lookup'!D:E,2,FALSE)*G3330)</f>
        <v>0</v>
      </c>
      <c r="V3330" s="78">
        <f>IF(NOT(ISNUMBER(G3330)), "", VLOOKUP(A3330,'Discount Lookup'!G:H,2,FALSE)*G3330)</f>
        <v>0</v>
      </c>
      <c r="W3330" s="102">
        <f t="shared" si="2535"/>
        <v>0</v>
      </c>
      <c r="X3330" s="102">
        <f t="shared" si="2536"/>
        <v>0</v>
      </c>
      <c r="Y3330" s="120" t="b">
        <f t="shared" si="2537"/>
        <v>0</v>
      </c>
      <c r="Z3330" s="117">
        <f t="shared" si="2538"/>
        <v>0</v>
      </c>
      <c r="AA3330" s="118"/>
      <c r="AB3330" s="118" t="str">
        <f t="shared" si="2539"/>
        <v/>
      </c>
      <c r="AC3330" s="712" t="str">
        <f>IF(AE3330="T2G","no charge",IF(AND(OR(PlanterYesMe="No",PlanterYesMe="N",PlanterYesMe="me"),H3330=""),"",IF(H3330="credit","NO install",IF(AND(K3330="",AE3330="me"),"EACH row",IF(AND(K3330="images",AE3330="me"),"EACH row",IF(D3330="","",IF(H3330="credit","",IF(AE3330="free","re-planting",IF(AE3330="me","   not ELP, by",IF(AND(OR(PlanterYesMe="Yes",PlanterYesMe="Y"),G3330&gt;0),(VLOOKUP(A3330,'Discount Lookup'!J:K,2)*G3330*(1-PlanterDiscount)*(1+PlanterDifficultyPercentage)),IF(AE3330="ELP",(VLOOKUP(A3330,'Discount Lookup'!J:K,2)*G3330*(1-PlanterDiscount)*(1+PlanterDifficultyPercentage)),IF(AE3330="free","re-planting",IF(G3330=0,"",IF(PlanterYesMe="",IF(AE3330="me","   not ELP, by",IF(AE3330="",IF(G3330&gt;0,(VLOOKUP(A3330,'Discount Lookup'!J:K,2)*G3330*(1-PlanterDiscount)*(1+PlanterDifficultyPercentage)),""),"")),"   not ELP, by"))))))))))))))</f>
        <v/>
      </c>
      <c r="AD3330" s="712"/>
      <c r="AE3330" s="513" t="str">
        <f t="shared" si="2540"/>
        <v/>
      </c>
      <c r="AF3330" s="713" t="str">
        <f t="shared" si="2541"/>
        <v/>
      </c>
      <c r="AG3330" s="713"/>
      <c r="AH3330" s="713"/>
      <c r="AI3330" s="112">
        <f>IF(H3330="credit",0,IF(AE3330="free",0,IF(AE3330="me",0,IF(G3330&gt;0,(VLOOKUP(A3330,'Discount Lookup'!J:K,2)*G3330),0))))</f>
        <v>0</v>
      </c>
      <c r="AJ3330" s="107" t="str">
        <f t="shared" ca="1" si="2542"/>
        <v/>
      </c>
      <c r="AK3330" s="714" t="str">
        <f t="shared" si="2543"/>
        <v/>
      </c>
      <c r="AL3330" s="714"/>
      <c r="AM3330" s="114" t="str">
        <f t="shared" si="2544"/>
        <v/>
      </c>
      <c r="AN3330" s="115"/>
      <c r="AO3330" s="116"/>
      <c r="AP3330" s="116"/>
      <c r="AQ3330" s="116"/>
      <c r="AR3330" s="116"/>
      <c r="AS3330" s="116"/>
      <c r="AT3330" s="116"/>
      <c r="AU3330" s="116"/>
      <c r="AV3330" s="78"/>
      <c r="AW3330" s="102"/>
      <c r="AX3330" s="78"/>
      <c r="AY3330" s="78"/>
      <c r="AZ3330" s="78"/>
      <c r="BA3330" s="78"/>
      <c r="BB3330" s="78"/>
      <c r="BC3330" s="78"/>
      <c r="BD3330" s="78"/>
      <c r="BE3330" s="465"/>
      <c r="BF3330" s="165" t="str">
        <f t="shared" si="2545"/>
        <v>https://www.google.com/search?tbm=isch&amp;q=15%20G5</v>
      </c>
      <c r="BG3330" s="165" t="str">
        <f t="shared" si="2546"/>
        <v>P</v>
      </c>
      <c r="BH3330" s="65"/>
      <c r="BI3330" s="65"/>
      <c r="BJ3330" s="65"/>
      <c r="BK3330" s="65"/>
      <c r="BL3330" s="99"/>
      <c r="BM3330" s="99"/>
      <c r="BN3330" s="99"/>
    </row>
    <row r="3331" spans="1:66" s="51" customFormat="1" ht="17.25" thickBot="1" x14ac:dyDescent="0.3">
      <c r="A3331" s="705" t="s">
        <v>5509</v>
      </c>
      <c r="B3331" s="487"/>
      <c r="C3331" s="707"/>
      <c r="D3331" s="487"/>
      <c r="E3331" s="487"/>
      <c r="F3331" s="488"/>
      <c r="G3331" s="489"/>
      <c r="H3331" s="487"/>
      <c r="I3331" s="490"/>
      <c r="J3331" s="490"/>
      <c r="K3331" s="491"/>
      <c r="L3331" s="547"/>
      <c r="M3331" s="528"/>
      <c r="N3331" s="492"/>
      <c r="O3331" s="493"/>
      <c r="P3331" s="494"/>
      <c r="Q3331" s="492"/>
      <c r="R3331" s="492"/>
      <c r="S3331" s="699" t="s">
        <v>5288</v>
      </c>
      <c r="T3331" s="102">
        <f t="shared" si="2534"/>
        <v>0</v>
      </c>
      <c r="U3331" s="78" t="str">
        <f>IF(NOT(ISNUMBER(G3331)), "", VLOOKUP(A3331,'Discount Lookup'!D:E,2,FALSE)*G3331)</f>
        <v/>
      </c>
      <c r="V3331" s="78" t="str">
        <f>IF(NOT(ISNUMBER(G3331)), "", VLOOKUP(A3331,'Discount Lookup'!G:H,2,FALSE)*G3331)</f>
        <v/>
      </c>
      <c r="W3331" s="102">
        <f t="shared" si="2535"/>
        <v>0</v>
      </c>
      <c r="X3331" s="102">
        <f t="shared" si="2536"/>
        <v>0</v>
      </c>
      <c r="Y3331" s="120" t="b">
        <f t="shared" si="2537"/>
        <v>0</v>
      </c>
      <c r="Z3331" s="117">
        <f t="shared" si="2538"/>
        <v>0</v>
      </c>
      <c r="AA3331" s="118"/>
      <c r="AB3331" s="118" t="str">
        <f t="shared" si="2539"/>
        <v/>
      </c>
      <c r="AC3331" s="712" t="str">
        <f>IF(AE3331="T2G","no charge",IF(AND(OR(PlanterYesMe="No",PlanterYesMe="N",PlanterYesMe="me"),H3331=""),"",IF(H3331="credit","NO install",IF(AND(K3331="",AE3331="me"),"EACH row",IF(AND(K3331="images",AE3331="me"),"EACH row",IF(D3331="","",IF(H3331="credit","",IF(AE3331="free","re-planting",IF(AE3331="me","   not ELP, by",IF(AND(OR(PlanterYesMe="Yes",PlanterYesMe="Y"),G3331&gt;0),(VLOOKUP(A3331,'Discount Lookup'!J:K,2)*G3331*(1-PlanterDiscount)*(1+PlanterDifficultyPercentage)),IF(AE3331="ELP",(VLOOKUP(A3331,'Discount Lookup'!J:K,2)*G3331*(1-PlanterDiscount)*(1+PlanterDifficultyPercentage)),IF(AE3331="free","re-planting",IF(G3331=0,"",IF(PlanterYesMe="",IF(AE3331="me","   not ELP, by",IF(AE3331="",IF(G3331&gt;0,(VLOOKUP(A3331,'Discount Lookup'!J:K,2)*G3331*(1-PlanterDiscount)*(1+PlanterDifficultyPercentage)),""),"")),"   not ELP, by"))))))))))))))</f>
        <v/>
      </c>
      <c r="AD3331" s="712"/>
      <c r="AE3331" s="513" t="str">
        <f t="shared" si="2540"/>
        <v/>
      </c>
      <c r="AF3331" s="713" t="str">
        <f t="shared" si="2541"/>
        <v/>
      </c>
      <c r="AG3331" s="713"/>
      <c r="AH3331" s="713"/>
      <c r="AI3331" s="112">
        <f>IF(H3331="credit",0,IF(AE3331="free",0,IF(AE3331="me",0,IF(G3331&gt;0,(VLOOKUP(A3331,'Discount Lookup'!J:K,2)*G3331),0))))</f>
        <v>0</v>
      </c>
      <c r="AJ3331" s="107" t="str">
        <f t="shared" ca="1" si="2542"/>
        <v/>
      </c>
      <c r="AK3331" s="714" t="str">
        <f t="shared" si="2543"/>
        <v/>
      </c>
      <c r="AL3331" s="714"/>
      <c r="AM3331" s="114" t="str">
        <f t="shared" si="2544"/>
        <v/>
      </c>
      <c r="AN3331" s="115"/>
      <c r="AO3331" s="116"/>
      <c r="AP3331" s="116"/>
      <c r="AQ3331" s="116"/>
      <c r="AR3331" s="116"/>
      <c r="AS3331" s="116"/>
      <c r="AT3331" s="116"/>
      <c r="AU3331" s="116"/>
      <c r="AV3331" s="78"/>
      <c r="AW3331" s="102"/>
      <c r="AX3331" s="78"/>
      <c r="AY3331" s="78"/>
      <c r="AZ3331" s="78"/>
      <c r="BA3331" s="78"/>
      <c r="BB3331" s="78"/>
      <c r="BC3331" s="78"/>
      <c r="BD3331" s="78"/>
      <c r="BE3331" s="465"/>
      <c r="BF3331" s="165" t="str">
        <f t="shared" si="2545"/>
        <v>https://www.google.com/search?tbm=isch&amp;q=moist%20sites%F0%9F%92%A7OK%2C%20Loblolly%20is%20a%20rare%20Pine%20that%20tolerates%20wet%2C%20clay%20soils.%20Also%20tolerates%20drier%20soils%20</v>
      </c>
      <c r="BG3331" s="165" t="str">
        <f t="shared" si="2546"/>
        <v>m</v>
      </c>
      <c r="BH3331" s="65"/>
      <c r="BI3331" s="65"/>
      <c r="BJ3331" s="65"/>
      <c r="BK3331" s="65"/>
      <c r="BL3331" s="99"/>
      <c r="BM3331" s="99"/>
      <c r="BN3331" s="99"/>
    </row>
    <row r="3332" spans="1:66" s="51" customFormat="1" ht="18" x14ac:dyDescent="0.25">
      <c r="A3332" s="507" t="s">
        <v>687</v>
      </c>
      <c r="B3332" s="470"/>
      <c r="C3332" s="706"/>
      <c r="D3332" s="471" t="s">
        <v>688</v>
      </c>
      <c r="E3332" s="472"/>
      <c r="F3332" s="472"/>
      <c r="G3332" s="472"/>
      <c r="H3332" s="622" t="s">
        <v>689</v>
      </c>
      <c r="I3332" s="473" t="s">
        <v>679</v>
      </c>
      <c r="J3332" s="472"/>
      <c r="K3332" s="472"/>
      <c r="L3332" s="561"/>
      <c r="M3332" s="698" t="s">
        <v>5240</v>
      </c>
      <c r="N3332" s="692" t="str">
        <f>IF(AND(ISTEXT($A3332), ISERROR($A3332+0)), HYPERLINK($BF3332, "Images"), "")</f>
        <v>Images</v>
      </c>
      <c r="O3332" s="694" t="s">
        <v>5244</v>
      </c>
      <c r="P3332" s="475"/>
      <c r="Q3332" s="476"/>
      <c r="R3332" s="476"/>
      <c r="S3332" s="477"/>
      <c r="T3332" s="102">
        <f t="shared" si="2534"/>
        <v>0</v>
      </c>
      <c r="U3332" s="78" t="str">
        <f>IF(NOT(ISNUMBER(G3332)), "", VLOOKUP(A3332,'Discount Lookup'!D:E,2,FALSE)*G3332)</f>
        <v/>
      </c>
      <c r="V3332" s="78" t="str">
        <f>IF(NOT(ISNUMBER(G3332)), "", VLOOKUP(A3332,'Discount Lookup'!G:H,2,FALSE)*G3332)</f>
        <v/>
      </c>
      <c r="W3332" s="102">
        <f t="shared" si="2535"/>
        <v>0</v>
      </c>
      <c r="X3332" s="102" t="str">
        <f t="shared" si="2536"/>
        <v>Dark Green needles</v>
      </c>
      <c r="Y3332" s="120" t="b">
        <f t="shared" si="2537"/>
        <v>0</v>
      </c>
      <c r="Z3332" s="117">
        <f t="shared" si="2538"/>
        <v>0</v>
      </c>
      <c r="AA3332" s="118"/>
      <c r="AB3332" s="118" t="str">
        <f t="shared" si="2539"/>
        <v/>
      </c>
      <c r="AC3332" s="712" t="str">
        <f>IF(AE3332="T2G","no charge",IF(AND(OR(PlanterYesMe="No",PlanterYesMe="N",PlanterYesMe="me"),H3332=""),"",IF(H3332="credit","NO install",IF(AND(K3332="",AE3332="me"),"EACH row",IF(AND(K3332="images",AE3332="me"),"EACH row",IF(D3332="","",IF(H3332="credit","",IF(AE3332="free","re-planting",IF(AE3332="me","   not ELP, by",IF(AND(OR(PlanterYesMe="Yes",PlanterYesMe="Y"),G3332&gt;0),(VLOOKUP(A3332,'Discount Lookup'!J:K,2)*G3332*(1-PlanterDiscount)*(1+PlanterDifficultyPercentage)),IF(AE3332="ELP",(VLOOKUP(A3332,'Discount Lookup'!J:K,2)*G3332*(1-PlanterDiscount)*(1+PlanterDifficultyPercentage)),IF(AE3332="free","re-planting",IF(G3332=0,"",IF(PlanterYesMe="",IF(AE3332="me","   not ELP, by",IF(AE3332="",IF(G3332&gt;0,(VLOOKUP(A3332,'Discount Lookup'!J:K,2)*G3332*(1-PlanterDiscount)*(1+PlanterDifficultyPercentage)),""),"")),"   not ELP, by"))))))))))))))</f>
        <v/>
      </c>
      <c r="AD3332" s="712"/>
      <c r="AE3332" s="513" t="str">
        <f t="shared" si="2540"/>
        <v/>
      </c>
      <c r="AF3332" s="713" t="str">
        <f t="shared" si="2541"/>
        <v/>
      </c>
      <c r="AG3332" s="713"/>
      <c r="AH3332" s="713"/>
      <c r="AI3332" s="112">
        <f>IF(H3332="credit",0,IF(AE3332="free",0,IF(AE3332="me",0,IF(G3332&gt;0,(VLOOKUP(A3332,'Discount Lookup'!J:K,2)*G3332),0))))</f>
        <v>0</v>
      </c>
      <c r="AJ3332" s="107" t="str">
        <f t="shared" ca="1" si="2542"/>
        <v/>
      </c>
      <c r="AK3332" s="714" t="str">
        <f t="shared" si="2543"/>
        <v/>
      </c>
      <c r="AL3332" s="714"/>
      <c r="AM3332" s="114" t="str">
        <f t="shared" si="2544"/>
        <v/>
      </c>
      <c r="AN3332" s="115"/>
      <c r="AO3332" s="116"/>
      <c r="AP3332" s="116"/>
      <c r="AQ3332" s="116"/>
      <c r="AR3332" s="116"/>
      <c r="AS3332" s="116"/>
      <c r="AT3332" s="116"/>
      <c r="AU3332" s="116"/>
      <c r="AV3332" s="78"/>
      <c r="AW3332" s="102"/>
      <c r="AX3332" s="78"/>
      <c r="AY3332" s="78"/>
      <c r="AZ3332" s="78"/>
      <c r="BA3332" s="78"/>
      <c r="BB3332" s="78"/>
      <c r="BC3332" s="78"/>
      <c r="BD3332" s="78"/>
      <c r="BE3332" s="465"/>
      <c r="BF3332" s="165" t="str">
        <f t="shared" si="2545"/>
        <v>https://www.google.com/search?tbm=isch&amp;q=Pinus%20thunbergii%20Japanese%20Black%20Pine</v>
      </c>
      <c r="BG3332" s="165" t="str">
        <f t="shared" si="2546"/>
        <v>P</v>
      </c>
      <c r="BH3332" s="65"/>
      <c r="BI3332" s="65"/>
      <c r="BJ3332" s="65"/>
      <c r="BK3332" s="65"/>
      <c r="BL3332" s="99"/>
      <c r="BM3332" s="99"/>
      <c r="BN3332" s="99"/>
    </row>
    <row r="3333" spans="1:66" s="51" customFormat="1" ht="27" x14ac:dyDescent="0.25">
      <c r="A3333" s="478">
        <v>7</v>
      </c>
      <c r="B3333" s="479" t="s">
        <v>291</v>
      </c>
      <c r="C3333" s="480" t="s">
        <v>996</v>
      </c>
      <c r="D3333" s="481" t="s">
        <v>299</v>
      </c>
      <c r="E3333" s="482">
        <v>102.95</v>
      </c>
      <c r="F3333" s="483" t="s">
        <v>292</v>
      </c>
      <c r="G3333" s="484">
        <v>0</v>
      </c>
      <c r="H3333" s="688" t="str">
        <f>IF(G3333=0,"",IF(F3333="Buy",IF(G3333=1,"plant","plants"),IF(F3333&gt;0.01,"warranty","Error")))</f>
        <v/>
      </c>
      <c r="I3333" s="485">
        <f>IF(H3333="free",0,IF(H3333="credit",((E3333*(F3333))*G3333*-1),IF(F3333="Buy",(E3333*G3333),((E3333*(1-F3333))*G3333))))</f>
        <v>0</v>
      </c>
      <c r="J3333" s="485">
        <f>IF(H3333="warranty",0,(I3333*(_xlfn.SINGLE(SalesTaxPercentage))))</f>
        <v>0</v>
      </c>
      <c r="K3333" s="715">
        <f t="shared" ref="K3333" si="2563">I3333+J3333</f>
        <v>0</v>
      </c>
      <c r="L3333" s="715"/>
      <c r="M3333" s="689" t="str">
        <f ca="1">IF(AND(G3333&gt;0,E3333=0),"WARNING - no PRICE inserted",IF(H3333="free","FREE ~ no charge this plant",IF(H3333="credit",CONCATENATE("-$",ROUND(K3333*(1-_xlfn.SINGLE(T2GDiscount))*-1,2)," CREDIT after discount"),IF(_xlfn.SINGLE(T2GDiscount)=0,"",IF(G3333=0,"",IF(F3333="Buy",CONCATENATE("$",ROUND(K3333*(1-_xlfn.SINGLE(T2GDiscount)),2)," with ",(_xlfn.SINGLE(T2GDiscount)*100),"% discount"),CONCATENATE("$",ROUND(K3333*(1-_xlfn.SINGLE(T2GDiscount)),2)," with ",((_xlfn.SINGLE(T2GDiscount)*100+F3333*100)-(_xlfn.SINGLE(T2GDiscount)*100*F3333)),IF(F3333&gt;0,"% discounts",IF(_xlfn.SINGLE(NoWarrantyDiscount)&gt;0,"% discounts","% discount")))))))))</f>
        <v/>
      </c>
      <c r="N3333" s="690"/>
      <c r="O3333" s="486"/>
      <c r="P3333" s="486"/>
      <c r="Q3333" s="486"/>
      <c r="R3333" s="486"/>
      <c r="S3333" s="486"/>
      <c r="T3333" s="102">
        <f t="shared" si="2534"/>
        <v>0</v>
      </c>
      <c r="U3333" s="78">
        <f>IF(NOT(ISNUMBER(G3333)), "", VLOOKUP(A3333,'Discount Lookup'!D:E,2,FALSE)*G3333)</f>
        <v>0</v>
      </c>
      <c r="V3333" s="78">
        <f>IF(NOT(ISNUMBER(G3333)), "", VLOOKUP(A3333,'Discount Lookup'!G:H,2,FALSE)*G3333)</f>
        <v>0</v>
      </c>
      <c r="W3333" s="102">
        <f t="shared" si="2535"/>
        <v>0</v>
      </c>
      <c r="X3333" s="102">
        <f t="shared" si="2536"/>
        <v>0</v>
      </c>
      <c r="Y3333" s="120" t="b">
        <f t="shared" si="2537"/>
        <v>0</v>
      </c>
      <c r="Z3333" s="117">
        <f t="shared" si="2538"/>
        <v>0</v>
      </c>
      <c r="AA3333" s="118"/>
      <c r="AB3333" s="118" t="str">
        <f t="shared" si="2539"/>
        <v/>
      </c>
      <c r="AC3333" s="712" t="str">
        <f>IF(AE3333="T2G","no charge",IF(AND(OR(PlanterYesMe="No",PlanterYesMe="N",PlanterYesMe="me"),H3333=""),"",IF(H3333="credit","NO install",IF(AND(K3333="",AE3333="me"),"EACH row",IF(AND(K3333="images",AE3333="me"),"EACH row",IF(D3333="","",IF(H3333="credit","",IF(AE3333="free","re-planting",IF(AE3333="me","   not ELP, by",IF(AND(OR(PlanterYesMe="Yes",PlanterYesMe="Y"),G3333&gt;0),(VLOOKUP(A3333,'Discount Lookup'!J:K,2)*G3333*(1-PlanterDiscount)*(1+PlanterDifficultyPercentage)),IF(AE3333="ELP",(VLOOKUP(A3333,'Discount Lookup'!J:K,2)*G3333*(1-PlanterDiscount)*(1+PlanterDifficultyPercentage)),IF(AE3333="free","re-planting",IF(G3333=0,"",IF(PlanterYesMe="",IF(AE3333="me","   not ELP, by",IF(AE3333="",IF(G3333&gt;0,(VLOOKUP(A3333,'Discount Lookup'!J:K,2)*G3333*(1-PlanterDiscount)*(1+PlanterDifficultyPercentage)),""),"")),"   not ELP, by"))))))))))))))</f>
        <v/>
      </c>
      <c r="AD3333" s="712"/>
      <c r="AE3333" s="513" t="str">
        <f t="shared" si="2540"/>
        <v/>
      </c>
      <c r="AF3333" s="713" t="str">
        <f t="shared" si="2541"/>
        <v/>
      </c>
      <c r="AG3333" s="713"/>
      <c r="AH3333" s="713"/>
      <c r="AI3333" s="112">
        <f>IF(H3333="credit",0,IF(AE3333="free",0,IF(AE3333="me",0,IF(G3333&gt;0,(VLOOKUP(A3333,'Discount Lookup'!J:K,2)*G3333),0))))</f>
        <v>0</v>
      </c>
      <c r="AJ3333" s="107" t="str">
        <f t="shared" ca="1" si="2542"/>
        <v/>
      </c>
      <c r="AK3333" s="714" t="str">
        <f t="shared" si="2543"/>
        <v/>
      </c>
      <c r="AL3333" s="714"/>
      <c r="AM3333" s="114" t="str">
        <f t="shared" si="2544"/>
        <v/>
      </c>
      <c r="AN3333" s="115"/>
      <c r="AO3333" s="116"/>
      <c r="AP3333" s="116"/>
      <c r="AQ3333" s="116"/>
      <c r="AR3333" s="116"/>
      <c r="AS3333" s="116"/>
      <c r="AT3333" s="116"/>
      <c r="AU3333" s="116"/>
      <c r="AV3333" s="78"/>
      <c r="AW3333" s="102"/>
      <c r="AX3333" s="78"/>
      <c r="AY3333" s="78"/>
      <c r="AZ3333" s="78"/>
      <c r="BA3333" s="78"/>
      <c r="BB3333" s="78"/>
      <c r="BC3333" s="78"/>
      <c r="BD3333" s="78"/>
      <c r="BE3333" s="465"/>
      <c r="BF3333" s="165" t="str">
        <f t="shared" si="2545"/>
        <v>https://www.google.com/search?tbm=isch&amp;q=7%20G4</v>
      </c>
      <c r="BG3333" s="165" t="str">
        <f t="shared" si="2546"/>
        <v>P</v>
      </c>
      <c r="BH3333" s="65"/>
      <c r="BI3333" s="65"/>
      <c r="BJ3333" s="65"/>
      <c r="BK3333" s="65"/>
      <c r="BL3333" s="99"/>
      <c r="BM3333" s="99"/>
      <c r="BN3333" s="99"/>
    </row>
    <row r="3334" spans="1:66" s="51" customFormat="1" ht="27" x14ac:dyDescent="0.25">
      <c r="A3334" s="478">
        <v>15</v>
      </c>
      <c r="B3334" s="479" t="s">
        <v>291</v>
      </c>
      <c r="C3334" s="480" t="s">
        <v>997</v>
      </c>
      <c r="D3334" s="481" t="s">
        <v>299</v>
      </c>
      <c r="E3334" s="482">
        <v>183.95</v>
      </c>
      <c r="F3334" s="483" t="s">
        <v>292</v>
      </c>
      <c r="G3334" s="484">
        <v>0</v>
      </c>
      <c r="H3334" s="688" t="str">
        <f>IF(G3334=0,"",IF(F3334="Buy",IF(G3334=1,"plant","plants"),IF(F3334&gt;0.01,"warranty","Error")))</f>
        <v/>
      </c>
      <c r="I3334" s="485">
        <f>IF(H3334="free",0,IF(H3334="credit",((E3334*(F3334))*G3334*-1),IF(F3334="Buy",(E3334*G3334),((E3334*(1-F3334))*G3334))))</f>
        <v>0</v>
      </c>
      <c r="J3334" s="485">
        <f>IF(H3334="warranty",0,(I3334*(_xlfn.SINGLE(SalesTaxPercentage))))</f>
        <v>0</v>
      </c>
      <c r="K3334" s="715">
        <f t="shared" ref="K3334" si="2564">I3334+J3334</f>
        <v>0</v>
      </c>
      <c r="L3334" s="715"/>
      <c r="M3334" s="689" t="str">
        <f ca="1">IF(AND(G3334&gt;0,E3334=0),"WARNING - no PRICE inserted",IF(H3334="free","FREE ~ no charge this plant",IF(H3334="credit",CONCATENATE("-$",ROUND(K3334*(1-_xlfn.SINGLE(T2GDiscount))*-1,2)," CREDIT after discount"),IF(_xlfn.SINGLE(T2GDiscount)=0,"",IF(G3334=0,"",IF(F3334="Buy",CONCATENATE("$",ROUND(K3334*(1-_xlfn.SINGLE(T2GDiscount)),2)," with ",(_xlfn.SINGLE(T2GDiscount)*100),"% discount"),CONCATENATE("$",ROUND(K3334*(1-_xlfn.SINGLE(T2GDiscount)),2)," with ",((_xlfn.SINGLE(T2GDiscount)*100+F3334*100)-(_xlfn.SINGLE(T2GDiscount)*100*F3334)),IF(F3334&gt;0,"% discounts",IF(_xlfn.SINGLE(NoWarrantyDiscount)&gt;0,"% discounts","% discount")))))))))</f>
        <v/>
      </c>
      <c r="N3334" s="690"/>
      <c r="O3334" s="486"/>
      <c r="P3334" s="486"/>
      <c r="Q3334" s="486"/>
      <c r="R3334" s="486"/>
      <c r="S3334" s="486"/>
      <c r="T3334" s="102">
        <f t="shared" si="2534"/>
        <v>0</v>
      </c>
      <c r="U3334" s="78">
        <f>IF(NOT(ISNUMBER(G3334)), "", VLOOKUP(A3334,'Discount Lookup'!D:E,2,FALSE)*G3334)</f>
        <v>0</v>
      </c>
      <c r="V3334" s="78">
        <f>IF(NOT(ISNUMBER(G3334)), "", VLOOKUP(A3334,'Discount Lookup'!G:H,2,FALSE)*G3334)</f>
        <v>0</v>
      </c>
      <c r="W3334" s="102">
        <f t="shared" si="2535"/>
        <v>0</v>
      </c>
      <c r="X3334" s="102">
        <f t="shared" si="2536"/>
        <v>0</v>
      </c>
      <c r="Y3334" s="120" t="b">
        <f t="shared" si="2537"/>
        <v>0</v>
      </c>
      <c r="Z3334" s="117">
        <f t="shared" si="2538"/>
        <v>0</v>
      </c>
      <c r="AA3334" s="118"/>
      <c r="AB3334" s="118" t="str">
        <f t="shared" si="2539"/>
        <v/>
      </c>
      <c r="AC3334" s="712" t="str">
        <f>IF(AE3334="T2G","no charge",IF(AND(OR(PlanterYesMe="No",PlanterYesMe="N",PlanterYesMe="me"),H3334=""),"",IF(H3334="credit","NO install",IF(AND(K3334="",AE3334="me"),"EACH row",IF(AND(K3334="images",AE3334="me"),"EACH row",IF(D3334="","",IF(H3334="credit","",IF(AE3334="free","re-planting",IF(AE3334="me","   not ELP, by",IF(AND(OR(PlanterYesMe="Yes",PlanterYesMe="Y"),G3334&gt;0),(VLOOKUP(A3334,'Discount Lookup'!J:K,2)*G3334*(1-PlanterDiscount)*(1+PlanterDifficultyPercentage)),IF(AE3334="ELP",(VLOOKUP(A3334,'Discount Lookup'!J:K,2)*G3334*(1-PlanterDiscount)*(1+PlanterDifficultyPercentage)),IF(AE3334="free","re-planting",IF(G3334=0,"",IF(PlanterYesMe="",IF(AE3334="me","   not ELP, by",IF(AE3334="",IF(G3334&gt;0,(VLOOKUP(A3334,'Discount Lookup'!J:K,2)*G3334*(1-PlanterDiscount)*(1+PlanterDifficultyPercentage)),""),"")),"   not ELP, by"))))))))))))))</f>
        <v/>
      </c>
      <c r="AD3334" s="712"/>
      <c r="AE3334" s="513" t="str">
        <f t="shared" si="2540"/>
        <v/>
      </c>
      <c r="AF3334" s="713" t="str">
        <f t="shared" si="2541"/>
        <v/>
      </c>
      <c r="AG3334" s="713"/>
      <c r="AH3334" s="713"/>
      <c r="AI3334" s="112">
        <f>IF(H3334="credit",0,IF(AE3334="free",0,IF(AE3334="me",0,IF(G3334&gt;0,(VLOOKUP(A3334,'Discount Lookup'!J:K,2)*G3334),0))))</f>
        <v>0</v>
      </c>
      <c r="AJ3334" s="107" t="str">
        <f t="shared" ca="1" si="2542"/>
        <v/>
      </c>
      <c r="AK3334" s="714" t="str">
        <f t="shared" si="2543"/>
        <v/>
      </c>
      <c r="AL3334" s="714"/>
      <c r="AM3334" s="114" t="str">
        <f t="shared" si="2544"/>
        <v/>
      </c>
      <c r="AN3334" s="115"/>
      <c r="AO3334" s="116"/>
      <c r="AP3334" s="116"/>
      <c r="AQ3334" s="116"/>
      <c r="AR3334" s="116"/>
      <c r="AS3334" s="116"/>
      <c r="AT3334" s="116"/>
      <c r="AU3334" s="116"/>
      <c r="AV3334" s="78"/>
      <c r="AW3334" s="102"/>
      <c r="AX3334" s="78"/>
      <c r="AY3334" s="78"/>
      <c r="AZ3334" s="78"/>
      <c r="BA3334" s="78"/>
      <c r="BB3334" s="78"/>
      <c r="BC3334" s="78"/>
      <c r="BD3334" s="78"/>
      <c r="BE3334" s="465"/>
      <c r="BF3334" s="165" t="str">
        <f t="shared" si="2545"/>
        <v>https://www.google.com/search?tbm=isch&amp;q=15%20G4</v>
      </c>
      <c r="BG3334" s="165" t="str">
        <f t="shared" si="2546"/>
        <v>P</v>
      </c>
      <c r="BH3334" s="65"/>
      <c r="BI3334" s="65"/>
      <c r="BJ3334" s="65"/>
      <c r="BK3334" s="65"/>
      <c r="BL3334" s="99"/>
      <c r="BM3334" s="99"/>
      <c r="BN3334" s="99"/>
    </row>
    <row r="3335" spans="1:66" s="51" customFormat="1" ht="17.25" thickBot="1" x14ac:dyDescent="0.3">
      <c r="A3335" s="508" t="s">
        <v>690</v>
      </c>
      <c r="B3335" s="487"/>
      <c r="C3335" s="707"/>
      <c r="D3335" s="487"/>
      <c r="E3335" s="487"/>
      <c r="F3335" s="488"/>
      <c r="G3335" s="489"/>
      <c r="H3335" s="487"/>
      <c r="I3335" s="490"/>
      <c r="J3335" s="490"/>
      <c r="K3335" s="491"/>
      <c r="L3335" s="547"/>
      <c r="M3335" s="528"/>
      <c r="N3335" s="492"/>
      <c r="O3335" s="493"/>
      <c r="P3335" s="494"/>
      <c r="Q3335" s="492"/>
      <c r="R3335" s="492"/>
      <c r="S3335" s="699" t="s">
        <v>5288</v>
      </c>
      <c r="T3335" s="102">
        <f t="shared" si="2534"/>
        <v>0</v>
      </c>
      <c r="U3335" s="78" t="str">
        <f>IF(NOT(ISNUMBER(G3335)), "", VLOOKUP(A3335,'Discount Lookup'!D:E,2,FALSE)*G3335)</f>
        <v/>
      </c>
      <c r="V3335" s="78" t="str">
        <f>IF(NOT(ISNUMBER(G3335)), "", VLOOKUP(A3335,'Discount Lookup'!G:H,2,FALSE)*G3335)</f>
        <v/>
      </c>
      <c r="W3335" s="102">
        <f t="shared" si="2535"/>
        <v>0</v>
      </c>
      <c r="X3335" s="102">
        <f t="shared" si="2536"/>
        <v>0</v>
      </c>
      <c r="Y3335" s="120" t="b">
        <f t="shared" si="2537"/>
        <v>0</v>
      </c>
      <c r="Z3335" s="117">
        <f t="shared" si="2538"/>
        <v>0</v>
      </c>
      <c r="AA3335" s="118"/>
      <c r="AB3335" s="118" t="str">
        <f t="shared" si="2539"/>
        <v/>
      </c>
      <c r="AC3335" s="712" t="str">
        <f>IF(AE3335="T2G","no charge",IF(AND(OR(PlanterYesMe="No",PlanterYesMe="N",PlanterYesMe="me"),H3335=""),"",IF(H3335="credit","NO install",IF(AND(K3335="",AE3335="me"),"EACH row",IF(AND(K3335="images",AE3335="me"),"EACH row",IF(D3335="","",IF(H3335="credit","",IF(AE3335="free","re-planting",IF(AE3335="me","   not ELP, by",IF(AND(OR(PlanterYesMe="Yes",PlanterYesMe="Y"),G3335&gt;0),(VLOOKUP(A3335,'Discount Lookup'!J:K,2)*G3335*(1-PlanterDiscount)*(1+PlanterDifficultyPercentage)),IF(AE3335="ELP",(VLOOKUP(A3335,'Discount Lookup'!J:K,2)*G3335*(1-PlanterDiscount)*(1+PlanterDifficultyPercentage)),IF(AE3335="free","re-planting",IF(G3335=0,"",IF(PlanterYesMe="",IF(AE3335="me","   not ELP, by",IF(AE3335="",IF(G3335&gt;0,(VLOOKUP(A3335,'Discount Lookup'!J:K,2)*G3335*(1-PlanterDiscount)*(1+PlanterDifficultyPercentage)),""),"")),"   not ELP, by"))))))))))))))</f>
        <v/>
      </c>
      <c r="AD3335" s="712"/>
      <c r="AE3335" s="513" t="str">
        <f t="shared" si="2540"/>
        <v/>
      </c>
      <c r="AF3335" s="713" t="str">
        <f t="shared" si="2541"/>
        <v/>
      </c>
      <c r="AG3335" s="713"/>
      <c r="AH3335" s="713"/>
      <c r="AI3335" s="112">
        <f>IF(H3335="credit",0,IF(AE3335="free",0,IF(AE3335="me",0,IF(G3335&gt;0,(VLOOKUP(A3335,'Discount Lookup'!J:K,2)*G3335),0))))</f>
        <v>0</v>
      </c>
      <c r="AJ3335" s="107" t="str">
        <f t="shared" ca="1" si="2542"/>
        <v/>
      </c>
      <c r="AK3335" s="714" t="str">
        <f t="shared" si="2543"/>
        <v/>
      </c>
      <c r="AL3335" s="714"/>
      <c r="AM3335" s="114" t="str">
        <f t="shared" si="2544"/>
        <v/>
      </c>
      <c r="AN3335" s="115"/>
      <c r="AO3335" s="116"/>
      <c r="AP3335" s="116"/>
      <c r="AQ3335" s="116"/>
      <c r="AR3335" s="116"/>
      <c r="AS3335" s="116"/>
      <c r="AT3335" s="116"/>
      <c r="AU3335" s="116"/>
      <c r="AV3335" s="78"/>
      <c r="AW3335" s="102"/>
      <c r="AX3335" s="78"/>
      <c r="AY3335" s="78"/>
      <c r="AZ3335" s="78"/>
      <c r="BA3335" s="78"/>
      <c r="BB3335" s="78"/>
      <c r="BC3335" s="78"/>
      <c r="BD3335" s="78"/>
      <c r="BE3335" s="465"/>
      <c r="BF3335" s="165" t="str">
        <f t="shared" si="2545"/>
        <v>https://www.google.com/search?tbm=isch&amp;q=Japanese%20Black%20Pine%20is%20more%20irregular%20in%20form%20than%20other%20fine%2C%20making%20it%20a%20nice%20specimen%20or%20bonsai%20</v>
      </c>
      <c r="BG3335" s="165" t="str">
        <f t="shared" si="2546"/>
        <v>J</v>
      </c>
      <c r="BH3335" s="65"/>
      <c r="BI3335" s="65"/>
      <c r="BJ3335" s="65"/>
      <c r="BK3335" s="65"/>
      <c r="BL3335" s="99"/>
      <c r="BM3335" s="99"/>
      <c r="BN3335" s="99"/>
    </row>
    <row r="3336" spans="1:66" s="51" customFormat="1" ht="18" x14ac:dyDescent="0.25">
      <c r="A3336" s="507" t="s">
        <v>691</v>
      </c>
      <c r="B3336" s="470"/>
      <c r="C3336" s="706"/>
      <c r="D3336" s="471" t="s">
        <v>692</v>
      </c>
      <c r="E3336" s="472"/>
      <c r="F3336" s="472"/>
      <c r="G3336" s="472"/>
      <c r="H3336" s="622" t="s">
        <v>333</v>
      </c>
      <c r="I3336" s="473" t="s">
        <v>693</v>
      </c>
      <c r="J3336" s="472"/>
      <c r="K3336" s="472"/>
      <c r="L3336" s="561"/>
      <c r="M3336" s="698" t="s">
        <v>5240</v>
      </c>
      <c r="N3336" s="692" t="str">
        <f>IF(AND(ISTEXT($A3336), ISERROR($A3336+0)), HYPERLINK($BF3336, "Images"), "")</f>
        <v>Images</v>
      </c>
      <c r="O3336" s="694" t="s">
        <v>5244</v>
      </c>
      <c r="P3336" s="475"/>
      <c r="Q3336" s="476"/>
      <c r="R3336" s="476"/>
      <c r="S3336" s="477"/>
      <c r="T3336" s="102">
        <f t="shared" si="2534"/>
        <v>0</v>
      </c>
      <c r="U3336" s="78" t="str">
        <f>IF(NOT(ISNUMBER(G3336)), "", VLOOKUP(A3336,'Discount Lookup'!D:E,2,FALSE)*G3336)</f>
        <v/>
      </c>
      <c r="V3336" s="78" t="str">
        <f>IF(NOT(ISNUMBER(G3336)), "", VLOOKUP(A3336,'Discount Lookup'!G:H,2,FALSE)*G3336)</f>
        <v/>
      </c>
      <c r="W3336" s="102">
        <f t="shared" si="2535"/>
        <v>0</v>
      </c>
      <c r="X3336" s="102" t="str">
        <f t="shared" si="2536"/>
        <v>Deep Green needles</v>
      </c>
      <c r="Y3336" s="120" t="b">
        <f t="shared" si="2537"/>
        <v>0</v>
      </c>
      <c r="Z3336" s="117">
        <f t="shared" si="2538"/>
        <v>0</v>
      </c>
      <c r="AA3336" s="118"/>
      <c r="AB3336" s="118" t="str">
        <f t="shared" si="2539"/>
        <v/>
      </c>
      <c r="AC3336" s="712" t="str">
        <f>IF(AE3336="T2G","no charge",IF(AND(OR(PlanterYesMe="No",PlanterYesMe="N",PlanterYesMe="me"),H3336=""),"",IF(H3336="credit","NO install",IF(AND(K3336="",AE3336="me"),"EACH row",IF(AND(K3336="images",AE3336="me"),"EACH row",IF(D3336="","",IF(H3336="credit","",IF(AE3336="free","re-planting",IF(AE3336="me","   not ELP, by",IF(AND(OR(PlanterYesMe="Yes",PlanterYesMe="Y"),G3336&gt;0),(VLOOKUP(A3336,'Discount Lookup'!J:K,2)*G3336*(1-PlanterDiscount)*(1+PlanterDifficultyPercentage)),IF(AE3336="ELP",(VLOOKUP(A3336,'Discount Lookup'!J:K,2)*G3336*(1-PlanterDiscount)*(1+PlanterDifficultyPercentage)),IF(AE3336="free","re-planting",IF(G3336=0,"",IF(PlanterYesMe="",IF(AE3336="me","   not ELP, by",IF(AE3336="",IF(G3336&gt;0,(VLOOKUP(A3336,'Discount Lookup'!J:K,2)*G3336*(1-PlanterDiscount)*(1+PlanterDifficultyPercentage)),""),"")),"   not ELP, by"))))))))))))))</f>
        <v/>
      </c>
      <c r="AD3336" s="712"/>
      <c r="AE3336" s="513" t="str">
        <f t="shared" si="2540"/>
        <v/>
      </c>
      <c r="AF3336" s="713" t="str">
        <f t="shared" si="2541"/>
        <v/>
      </c>
      <c r="AG3336" s="713"/>
      <c r="AH3336" s="713"/>
      <c r="AI3336" s="112">
        <f>IF(H3336="credit",0,IF(AE3336="free",0,IF(AE3336="me",0,IF(G3336&gt;0,(VLOOKUP(A3336,'Discount Lookup'!J:K,2)*G3336),0))))</f>
        <v>0</v>
      </c>
      <c r="AJ3336" s="107" t="str">
        <f t="shared" ca="1" si="2542"/>
        <v/>
      </c>
      <c r="AK3336" s="714" t="str">
        <f t="shared" si="2543"/>
        <v/>
      </c>
      <c r="AL3336" s="714"/>
      <c r="AM3336" s="114" t="str">
        <f t="shared" si="2544"/>
        <v/>
      </c>
      <c r="AN3336" s="115"/>
      <c r="AO3336" s="116"/>
      <c r="AP3336" s="116"/>
      <c r="AQ3336" s="116"/>
      <c r="AR3336" s="116"/>
      <c r="AS3336" s="116"/>
      <c r="AT3336" s="116"/>
      <c r="AU3336" s="116"/>
      <c r="AV3336" s="78"/>
      <c r="AW3336" s="102"/>
      <c r="AX3336" s="78"/>
      <c r="AY3336" s="78"/>
      <c r="AZ3336" s="78"/>
      <c r="BA3336" s="78"/>
      <c r="BB3336" s="78"/>
      <c r="BC3336" s="78"/>
      <c r="BD3336" s="78"/>
      <c r="BE3336" s="465"/>
      <c r="BF3336" s="165" t="str">
        <f t="shared" si="2545"/>
        <v>https://www.google.com/search?tbm=isch&amp;q=Pinus%20thunbergii%20%27Thunderhead%27%20Thunderhead%20Japanese%20Black%20Pine</v>
      </c>
      <c r="BG3336" s="165" t="str">
        <f t="shared" si="2546"/>
        <v>P</v>
      </c>
      <c r="BH3336" s="65"/>
      <c r="BI3336" s="65"/>
      <c r="BJ3336" s="65"/>
      <c r="BK3336" s="65"/>
      <c r="BL3336" s="99"/>
      <c r="BM3336" s="99"/>
      <c r="BN3336" s="99"/>
    </row>
    <row r="3337" spans="1:66" s="51" customFormat="1" ht="27" x14ac:dyDescent="0.25">
      <c r="A3337" s="478">
        <v>10</v>
      </c>
      <c r="B3337" s="479" t="s">
        <v>291</v>
      </c>
      <c r="C3337" s="480" t="s">
        <v>998</v>
      </c>
      <c r="D3337" s="481" t="s">
        <v>299</v>
      </c>
      <c r="E3337" s="482">
        <v>256.95</v>
      </c>
      <c r="F3337" s="483" t="s">
        <v>292</v>
      </c>
      <c r="G3337" s="484">
        <v>0</v>
      </c>
      <c r="H3337" s="688" t="str">
        <f>IF(G3337=0,"",IF(F3337="Buy",IF(G3337=1,"plant","plants"),IF(F3337&gt;0.01,"warranty","Error")))</f>
        <v/>
      </c>
      <c r="I3337" s="485">
        <f>IF(H3337="free",0,IF(H3337="credit",((E3337*(F3337))*G3337*-1),IF(F3337="Buy",(E3337*G3337),((E3337*(1-F3337))*G3337))))</f>
        <v>0</v>
      </c>
      <c r="J3337" s="485">
        <f>IF(H3337="warranty",0,(I3337*(_xlfn.SINGLE(SalesTaxPercentage))))</f>
        <v>0</v>
      </c>
      <c r="K3337" s="715">
        <f t="shared" ref="K3337" si="2565">I3337+J3337</f>
        <v>0</v>
      </c>
      <c r="L3337" s="715"/>
      <c r="M3337" s="689" t="str">
        <f ca="1">IF(AND(G3337&gt;0,E3337=0),"WARNING - no PRICE inserted",IF(H3337="free","FREE ~ no charge this plant",IF(H3337="credit",CONCATENATE("-$",ROUND(K3337*(1-_xlfn.SINGLE(T2GDiscount))*-1,2)," CREDIT after discount"),IF(_xlfn.SINGLE(T2GDiscount)=0,"",IF(G3337=0,"",IF(F3337="Buy",CONCATENATE("$",ROUND(K3337*(1-_xlfn.SINGLE(T2GDiscount)),2)," with ",(_xlfn.SINGLE(T2GDiscount)*100),"% discount"),CONCATENATE("$",ROUND(K3337*(1-_xlfn.SINGLE(T2GDiscount)),2)," with ",((_xlfn.SINGLE(T2GDiscount)*100+F3337*100)-(_xlfn.SINGLE(T2GDiscount)*100*F3337)),IF(F3337&gt;0,"% discounts",IF(_xlfn.SINGLE(NoWarrantyDiscount)&gt;0,"% discounts","% discount")))))))))</f>
        <v/>
      </c>
      <c r="N3337" s="690"/>
      <c r="O3337" s="486"/>
      <c r="P3337" s="486"/>
      <c r="Q3337" s="486"/>
      <c r="R3337" s="486"/>
      <c r="S3337" s="486"/>
      <c r="T3337" s="102">
        <f t="shared" si="2534"/>
        <v>0</v>
      </c>
      <c r="U3337" s="78">
        <f>IF(NOT(ISNUMBER(G3337)), "", VLOOKUP(A3337,'Discount Lookup'!D:E,2,FALSE)*G3337)</f>
        <v>0</v>
      </c>
      <c r="V3337" s="78">
        <f>IF(NOT(ISNUMBER(G3337)), "", VLOOKUP(A3337,'Discount Lookup'!G:H,2,FALSE)*G3337)</f>
        <v>0</v>
      </c>
      <c r="W3337" s="102">
        <f t="shared" si="2535"/>
        <v>0</v>
      </c>
      <c r="X3337" s="102">
        <f t="shared" si="2536"/>
        <v>0</v>
      </c>
      <c r="Y3337" s="120" t="b">
        <f t="shared" si="2537"/>
        <v>0</v>
      </c>
      <c r="Z3337" s="117">
        <f t="shared" si="2538"/>
        <v>0</v>
      </c>
      <c r="AA3337" s="118"/>
      <c r="AB3337" s="118" t="str">
        <f t="shared" si="2539"/>
        <v/>
      </c>
      <c r="AC3337" s="712" t="str">
        <f>IF(AE3337="T2G","no charge",IF(AND(OR(PlanterYesMe="No",PlanterYesMe="N",PlanterYesMe="me"),H3337=""),"",IF(H3337="credit","NO install",IF(AND(K3337="",AE3337="me"),"EACH row",IF(AND(K3337="images",AE3337="me"),"EACH row",IF(D3337="","",IF(H3337="credit","",IF(AE3337="free","re-planting",IF(AE3337="me","   not ELP, by",IF(AND(OR(PlanterYesMe="Yes",PlanterYesMe="Y"),G3337&gt;0),(VLOOKUP(A3337,'Discount Lookup'!J:K,2)*G3337*(1-PlanterDiscount)*(1+PlanterDifficultyPercentage)),IF(AE3337="ELP",(VLOOKUP(A3337,'Discount Lookup'!J:K,2)*G3337*(1-PlanterDiscount)*(1+PlanterDifficultyPercentage)),IF(AE3337="free","re-planting",IF(G3337=0,"",IF(PlanterYesMe="",IF(AE3337="me","   not ELP, by",IF(AE3337="",IF(G3337&gt;0,(VLOOKUP(A3337,'Discount Lookup'!J:K,2)*G3337*(1-PlanterDiscount)*(1+PlanterDifficultyPercentage)),""),"")),"   not ELP, by"))))))))))))))</f>
        <v/>
      </c>
      <c r="AD3337" s="712"/>
      <c r="AE3337" s="513" t="str">
        <f t="shared" si="2540"/>
        <v/>
      </c>
      <c r="AF3337" s="713" t="str">
        <f t="shared" si="2541"/>
        <v/>
      </c>
      <c r="AG3337" s="713"/>
      <c r="AH3337" s="713"/>
      <c r="AI3337" s="112">
        <f>IF(H3337="credit",0,IF(AE3337="free",0,IF(AE3337="me",0,IF(G3337&gt;0,(VLOOKUP(A3337,'Discount Lookup'!J:K,2)*G3337),0))))</f>
        <v>0</v>
      </c>
      <c r="AJ3337" s="107" t="str">
        <f t="shared" ca="1" si="2542"/>
        <v/>
      </c>
      <c r="AK3337" s="714" t="str">
        <f t="shared" si="2543"/>
        <v/>
      </c>
      <c r="AL3337" s="714"/>
      <c r="AM3337" s="114" t="str">
        <f t="shared" si="2544"/>
        <v/>
      </c>
      <c r="AN3337" s="115"/>
      <c r="AO3337" s="116"/>
      <c r="AP3337" s="116"/>
      <c r="AQ3337" s="116"/>
      <c r="AR3337" s="116"/>
      <c r="AS3337" s="116"/>
      <c r="AT3337" s="116"/>
      <c r="AU3337" s="116"/>
      <c r="AV3337" s="78"/>
      <c r="AW3337" s="102"/>
      <c r="AX3337" s="78"/>
      <c r="AY3337" s="78"/>
      <c r="AZ3337" s="78"/>
      <c r="BA3337" s="78"/>
      <c r="BB3337" s="78"/>
      <c r="BC3337" s="78"/>
      <c r="BD3337" s="78"/>
      <c r="BE3337" s="465"/>
      <c r="BF3337" s="165" t="str">
        <f t="shared" si="2545"/>
        <v>https://www.google.com/search?tbm=isch&amp;q=10%20G4</v>
      </c>
      <c r="BG3337" s="165" t="str">
        <f t="shared" si="2546"/>
        <v>P</v>
      </c>
      <c r="BH3337" s="65"/>
      <c r="BI3337" s="65"/>
      <c r="BJ3337" s="65"/>
      <c r="BK3337" s="65"/>
      <c r="BL3337" s="99"/>
      <c r="BM3337" s="99"/>
      <c r="BN3337" s="99"/>
    </row>
    <row r="3338" spans="1:66" s="51" customFormat="1" ht="15.75" x14ac:dyDescent="0.25">
      <c r="A3338" s="478">
        <v>25</v>
      </c>
      <c r="B3338" s="479" t="s">
        <v>291</v>
      </c>
      <c r="C3338" s="480" t="s">
        <v>999</v>
      </c>
      <c r="D3338" s="481" t="s">
        <v>299</v>
      </c>
      <c r="E3338" s="482">
        <v>665.95</v>
      </c>
      <c r="F3338" s="483" t="s">
        <v>292</v>
      </c>
      <c r="G3338" s="484">
        <v>0</v>
      </c>
      <c r="H3338" s="688" t="str">
        <f>IF(G3338=0,"",IF(F3338="Buy",IF(G3338=1,"plant","plants"),IF(F3338&gt;0.01,"warranty","Error")))</f>
        <v/>
      </c>
      <c r="I3338" s="485">
        <f>IF(H3338="free",0,IF(H3338="credit",((E3338*(F3338))*G3338*-1),IF(F3338="Buy",(E3338*G3338),((E3338*(1-F3338))*G3338))))</f>
        <v>0</v>
      </c>
      <c r="J3338" s="485">
        <f>IF(H3338="warranty",0,(I3338*(_xlfn.SINGLE(SalesTaxPercentage))))</f>
        <v>0</v>
      </c>
      <c r="K3338" s="715">
        <f t="shared" ref="K3338" si="2566">I3338+J3338</f>
        <v>0</v>
      </c>
      <c r="L3338" s="715"/>
      <c r="M3338" s="689" t="str">
        <f ca="1">IF(AND(G3338&gt;0,E3338=0),"WARNING - no PRICE inserted",IF(H3338="free","FREE ~ no charge this plant",IF(H3338="credit",CONCATENATE("-$",ROUND(K3338*(1-_xlfn.SINGLE(T2GDiscount))*-1,2)," CREDIT after discount"),IF(_xlfn.SINGLE(T2GDiscount)=0,"",IF(G3338=0,"",IF(F3338="Buy",CONCATENATE("$",ROUND(K3338*(1-_xlfn.SINGLE(T2GDiscount)),2)," with ",(_xlfn.SINGLE(T2GDiscount)*100),"% discount"),CONCATENATE("$",ROUND(K3338*(1-_xlfn.SINGLE(T2GDiscount)),2)," with ",((_xlfn.SINGLE(T2GDiscount)*100+F3338*100)-(_xlfn.SINGLE(T2GDiscount)*100*F3338)),IF(F3338&gt;0,"% discounts",IF(_xlfn.SINGLE(NoWarrantyDiscount)&gt;0,"% discounts","% discount")))))))))</f>
        <v/>
      </c>
      <c r="N3338" s="690"/>
      <c r="O3338" s="486"/>
      <c r="P3338" s="486"/>
      <c r="Q3338" s="486"/>
      <c r="R3338" s="486"/>
      <c r="S3338" s="486"/>
      <c r="T3338" s="102">
        <f t="shared" si="2534"/>
        <v>0</v>
      </c>
      <c r="U3338" s="78">
        <f>IF(NOT(ISNUMBER(G3338)), "", VLOOKUP(A3338,'Discount Lookup'!D:E,2,FALSE)*G3338)</f>
        <v>0</v>
      </c>
      <c r="V3338" s="78">
        <f>IF(NOT(ISNUMBER(G3338)), "", VLOOKUP(A3338,'Discount Lookup'!G:H,2,FALSE)*G3338)</f>
        <v>0</v>
      </c>
      <c r="W3338" s="102">
        <f t="shared" si="2535"/>
        <v>0</v>
      </c>
      <c r="X3338" s="102">
        <f t="shared" si="2536"/>
        <v>0</v>
      </c>
      <c r="Y3338" s="120" t="b">
        <f t="shared" si="2537"/>
        <v>0</v>
      </c>
      <c r="Z3338" s="117">
        <f t="shared" si="2538"/>
        <v>0</v>
      </c>
      <c r="AA3338" s="118"/>
      <c r="AB3338" s="118" t="str">
        <f t="shared" si="2539"/>
        <v/>
      </c>
      <c r="AC3338" s="712" t="str">
        <f>IF(AE3338="T2G","no charge",IF(AND(OR(PlanterYesMe="No",PlanterYesMe="N",PlanterYesMe="me"),H3338=""),"",IF(H3338="credit","NO install",IF(AND(K3338="",AE3338="me"),"EACH row",IF(AND(K3338="images",AE3338="me"),"EACH row",IF(D3338="","",IF(H3338="credit","",IF(AE3338="free","re-planting",IF(AE3338="me","   not ELP, by",IF(AND(OR(PlanterYesMe="Yes",PlanterYesMe="Y"),G3338&gt;0),(VLOOKUP(A3338,'Discount Lookup'!J:K,2)*G3338*(1-PlanterDiscount)*(1+PlanterDifficultyPercentage)),IF(AE3338="ELP",(VLOOKUP(A3338,'Discount Lookup'!J:K,2)*G3338*(1-PlanterDiscount)*(1+PlanterDifficultyPercentage)),IF(AE3338="free","re-planting",IF(G3338=0,"",IF(PlanterYesMe="",IF(AE3338="me","   not ELP, by",IF(AE3338="",IF(G3338&gt;0,(VLOOKUP(A3338,'Discount Lookup'!J:K,2)*G3338*(1-PlanterDiscount)*(1+PlanterDifficultyPercentage)),""),"")),"   not ELP, by"))))))))))))))</f>
        <v/>
      </c>
      <c r="AD3338" s="712"/>
      <c r="AE3338" s="513" t="str">
        <f t="shared" si="2540"/>
        <v/>
      </c>
      <c r="AF3338" s="713" t="str">
        <f t="shared" si="2541"/>
        <v/>
      </c>
      <c r="AG3338" s="713"/>
      <c r="AH3338" s="713"/>
      <c r="AI3338" s="112">
        <f>IF(H3338="credit",0,IF(AE3338="free",0,IF(AE3338="me",0,IF(G3338&gt;0,(VLOOKUP(A3338,'Discount Lookup'!J:K,2)*G3338),0))))</f>
        <v>0</v>
      </c>
      <c r="AJ3338" s="107" t="str">
        <f t="shared" ca="1" si="2542"/>
        <v/>
      </c>
      <c r="AK3338" s="714" t="str">
        <f t="shared" si="2543"/>
        <v/>
      </c>
      <c r="AL3338" s="714"/>
      <c r="AM3338" s="114" t="str">
        <f t="shared" si="2544"/>
        <v/>
      </c>
      <c r="AN3338" s="115"/>
      <c r="AO3338" s="116"/>
      <c r="AP3338" s="116"/>
      <c r="AQ3338" s="116"/>
      <c r="AR3338" s="116"/>
      <c r="AS3338" s="116"/>
      <c r="AT3338" s="116"/>
      <c r="AU3338" s="116"/>
      <c r="AV3338" s="78"/>
      <c r="AW3338" s="102"/>
      <c r="AX3338" s="78"/>
      <c r="AY3338" s="78"/>
      <c r="AZ3338" s="78"/>
      <c r="BA3338" s="78"/>
      <c r="BB3338" s="78"/>
      <c r="BC3338" s="78"/>
      <c r="BD3338" s="78"/>
      <c r="BE3338" s="465"/>
      <c r="BF3338" s="165" t="str">
        <f t="shared" si="2545"/>
        <v>https://www.google.com/search?tbm=isch&amp;q=25%20G4</v>
      </c>
      <c r="BG3338" s="165" t="str">
        <f t="shared" si="2546"/>
        <v>P</v>
      </c>
      <c r="BH3338" s="65"/>
      <c r="BI3338" s="65"/>
      <c r="BJ3338" s="65"/>
      <c r="BK3338" s="65"/>
      <c r="BL3338" s="99"/>
      <c r="BM3338" s="99"/>
      <c r="BN3338" s="99"/>
    </row>
    <row r="3339" spans="1:66" s="51" customFormat="1" ht="17.25" thickBot="1" x14ac:dyDescent="0.3">
      <c r="A3339" s="508" t="s">
        <v>694</v>
      </c>
      <c r="B3339" s="487"/>
      <c r="C3339" s="707"/>
      <c r="D3339" s="487"/>
      <c r="E3339" s="487"/>
      <c r="F3339" s="488"/>
      <c r="G3339" s="489"/>
      <c r="H3339" s="487"/>
      <c r="I3339" s="490"/>
      <c r="J3339" s="490"/>
      <c r="K3339" s="491"/>
      <c r="L3339" s="547"/>
      <c r="M3339" s="528"/>
      <c r="N3339" s="492"/>
      <c r="O3339" s="493"/>
      <c r="P3339" s="494"/>
      <c r="Q3339" s="492"/>
      <c r="R3339" s="492"/>
      <c r="S3339" s="699" t="s">
        <v>5290</v>
      </c>
      <c r="T3339" s="102">
        <f t="shared" si="2534"/>
        <v>0</v>
      </c>
      <c r="U3339" s="78" t="str">
        <f>IF(NOT(ISNUMBER(G3339)), "", VLOOKUP(A3339,'Discount Lookup'!D:E,2,FALSE)*G3339)</f>
        <v/>
      </c>
      <c r="V3339" s="78" t="str">
        <f>IF(NOT(ISNUMBER(G3339)), "", VLOOKUP(A3339,'Discount Lookup'!G:H,2,FALSE)*G3339)</f>
        <v/>
      </c>
      <c r="W3339" s="102">
        <f t="shared" si="2535"/>
        <v>0</v>
      </c>
      <c r="X3339" s="102">
        <f t="shared" si="2536"/>
        <v>0</v>
      </c>
      <c r="Y3339" s="120" t="b">
        <f t="shared" si="2537"/>
        <v>0</v>
      </c>
      <c r="Z3339" s="117">
        <f t="shared" si="2538"/>
        <v>0</v>
      </c>
      <c r="AA3339" s="118"/>
      <c r="AB3339" s="118" t="str">
        <f t="shared" si="2539"/>
        <v/>
      </c>
      <c r="AC3339" s="712" t="str">
        <f>IF(AE3339="T2G","no charge",IF(AND(OR(PlanterYesMe="No",PlanterYesMe="N",PlanterYesMe="me"),H3339=""),"",IF(H3339="credit","NO install",IF(AND(K3339="",AE3339="me"),"EACH row",IF(AND(K3339="images",AE3339="me"),"EACH row",IF(D3339="","",IF(H3339="credit","",IF(AE3339="free","re-planting",IF(AE3339="me","   not ELP, by",IF(AND(OR(PlanterYesMe="Yes",PlanterYesMe="Y"),G3339&gt;0),(VLOOKUP(A3339,'Discount Lookup'!J:K,2)*G3339*(1-PlanterDiscount)*(1+PlanterDifficultyPercentage)),IF(AE3339="ELP",(VLOOKUP(A3339,'Discount Lookup'!J:K,2)*G3339*(1-PlanterDiscount)*(1+PlanterDifficultyPercentage)),IF(AE3339="free","re-planting",IF(G3339=0,"",IF(PlanterYesMe="",IF(AE3339="me","   not ELP, by",IF(AE3339="",IF(G3339&gt;0,(VLOOKUP(A3339,'Discount Lookup'!J:K,2)*G3339*(1-PlanterDiscount)*(1+PlanterDifficultyPercentage)),""),"")),"   not ELP, by"))))))))))))))</f>
        <v/>
      </c>
      <c r="AD3339" s="712"/>
      <c r="AE3339" s="513" t="str">
        <f t="shared" si="2540"/>
        <v/>
      </c>
      <c r="AF3339" s="713" t="str">
        <f t="shared" si="2541"/>
        <v/>
      </c>
      <c r="AG3339" s="713"/>
      <c r="AH3339" s="713"/>
      <c r="AI3339" s="112">
        <f>IF(H3339="credit",0,IF(AE3339="free",0,IF(AE3339="me",0,IF(G3339&gt;0,(VLOOKUP(A3339,'Discount Lookup'!J:K,2)*G3339),0))))</f>
        <v>0</v>
      </c>
      <c r="AJ3339" s="107" t="str">
        <f t="shared" ca="1" si="2542"/>
        <v/>
      </c>
      <c r="AK3339" s="714" t="str">
        <f t="shared" si="2543"/>
        <v/>
      </c>
      <c r="AL3339" s="714"/>
      <c r="AM3339" s="114" t="str">
        <f t="shared" si="2544"/>
        <v/>
      </c>
      <c r="AN3339" s="115"/>
      <c r="AO3339" s="116"/>
      <c r="AP3339" s="116"/>
      <c r="AQ3339" s="116"/>
      <c r="AR3339" s="116"/>
      <c r="AS3339" s="116"/>
      <c r="AT3339" s="116"/>
      <c r="AU3339" s="116"/>
      <c r="AV3339" s="78"/>
      <c r="AW3339" s="102"/>
      <c r="AX3339" s="78"/>
      <c r="AY3339" s="78"/>
      <c r="AZ3339" s="78"/>
      <c r="BA3339" s="78"/>
      <c r="BB3339" s="78"/>
      <c r="BC3339" s="78"/>
      <c r="BD3339" s="78"/>
      <c r="BE3339" s="465"/>
      <c r="BF3339" s="165" t="str">
        <f t="shared" si="2545"/>
        <v>https://www.google.com/search?tbm=isch&amp;q=Thunderhead%20is%20grown%20for%20it%27s%20dramatic%20appearance%2C%20looking%20%27windswept%27%20even%20in%20non-windy%20areas%20</v>
      </c>
      <c r="BG3339" s="165" t="str">
        <f t="shared" si="2546"/>
        <v>T</v>
      </c>
      <c r="BH3339" s="65"/>
      <c r="BI3339" s="65"/>
      <c r="BJ3339" s="65"/>
      <c r="BK3339" s="65"/>
      <c r="BL3339" s="99"/>
      <c r="BM3339" s="99"/>
      <c r="BN3339" s="99"/>
    </row>
    <row r="3340" spans="1:66" s="51" customFormat="1" ht="18" x14ac:dyDescent="0.25">
      <c r="A3340" s="507" t="s">
        <v>695</v>
      </c>
      <c r="B3340" s="470"/>
      <c r="C3340" s="706"/>
      <c r="D3340" s="471" t="s">
        <v>696</v>
      </c>
      <c r="E3340" s="472"/>
      <c r="F3340" s="472"/>
      <c r="G3340" s="472"/>
      <c r="H3340" s="622" t="s">
        <v>476</v>
      </c>
      <c r="I3340" s="473" t="s">
        <v>679</v>
      </c>
      <c r="J3340" s="472"/>
      <c r="K3340" s="472"/>
      <c r="L3340" s="561"/>
      <c r="M3340" s="698" t="s">
        <v>5240</v>
      </c>
      <c r="N3340" s="692" t="str">
        <f>IF(AND(ISTEXT($A3340), ISERROR($A3340+0)), HYPERLINK($BF3340, "Images"), "")</f>
        <v>Images</v>
      </c>
      <c r="O3340" s="694" t="s">
        <v>5247</v>
      </c>
      <c r="P3340" s="475"/>
      <c r="Q3340" s="476"/>
      <c r="R3340" s="476"/>
      <c r="S3340" s="477" t="s">
        <v>294</v>
      </c>
      <c r="T3340" s="102">
        <f t="shared" si="2534"/>
        <v>0</v>
      </c>
      <c r="U3340" s="78" t="str">
        <f>IF(NOT(ISNUMBER(G3340)), "", VLOOKUP(A3340,'Discount Lookup'!D:E,2,FALSE)*G3340)</f>
        <v/>
      </c>
      <c r="V3340" s="78" t="str">
        <f>IF(NOT(ISNUMBER(G3340)), "", VLOOKUP(A3340,'Discount Lookup'!G:H,2,FALSE)*G3340)</f>
        <v/>
      </c>
      <c r="W3340" s="102">
        <f t="shared" si="2535"/>
        <v>0</v>
      </c>
      <c r="X3340" s="102" t="str">
        <f t="shared" si="2536"/>
        <v>Dark Green needles</v>
      </c>
      <c r="Y3340" s="120" t="b">
        <f t="shared" si="2537"/>
        <v>0</v>
      </c>
      <c r="Z3340" s="117">
        <f t="shared" si="2538"/>
        <v>0</v>
      </c>
      <c r="AA3340" s="118"/>
      <c r="AB3340" s="118" t="str">
        <f t="shared" si="2539"/>
        <v/>
      </c>
      <c r="AC3340" s="712" t="str">
        <f>IF(AE3340="T2G","no charge",IF(AND(OR(PlanterYesMe="No",PlanterYesMe="N",PlanterYesMe="me"),H3340=""),"",IF(H3340="credit","NO install",IF(AND(K3340="",AE3340="me"),"EACH row",IF(AND(K3340="images",AE3340="me"),"EACH row",IF(D3340="","",IF(H3340="credit","",IF(AE3340="free","re-planting",IF(AE3340="me","   not ELP, by",IF(AND(OR(PlanterYesMe="Yes",PlanterYesMe="Y"),G3340&gt;0),(VLOOKUP(A3340,'Discount Lookup'!J:K,2)*G3340*(1-PlanterDiscount)*(1+PlanterDifficultyPercentage)),IF(AE3340="ELP",(VLOOKUP(A3340,'Discount Lookup'!J:K,2)*G3340*(1-PlanterDiscount)*(1+PlanterDifficultyPercentage)),IF(AE3340="free","re-planting",IF(G3340=0,"",IF(PlanterYesMe="",IF(AE3340="me","   not ELP, by",IF(AE3340="",IF(G3340&gt;0,(VLOOKUP(A3340,'Discount Lookup'!J:K,2)*G3340*(1-PlanterDiscount)*(1+PlanterDifficultyPercentage)),""),"")),"   not ELP, by"))))))))))))))</f>
        <v/>
      </c>
      <c r="AD3340" s="712"/>
      <c r="AE3340" s="513" t="str">
        <f t="shared" si="2540"/>
        <v/>
      </c>
      <c r="AF3340" s="713" t="str">
        <f t="shared" si="2541"/>
        <v/>
      </c>
      <c r="AG3340" s="713"/>
      <c r="AH3340" s="713"/>
      <c r="AI3340" s="112">
        <f>IF(H3340="credit",0,IF(AE3340="free",0,IF(AE3340="me",0,IF(G3340&gt;0,(VLOOKUP(A3340,'Discount Lookup'!J:K,2)*G3340),0))))</f>
        <v>0</v>
      </c>
      <c r="AJ3340" s="107" t="str">
        <f t="shared" ca="1" si="2542"/>
        <v/>
      </c>
      <c r="AK3340" s="714" t="str">
        <f t="shared" si="2543"/>
        <v/>
      </c>
      <c r="AL3340" s="714"/>
      <c r="AM3340" s="114" t="str">
        <f t="shared" si="2544"/>
        <v/>
      </c>
      <c r="AN3340" s="115"/>
      <c r="AO3340" s="116"/>
      <c r="AP3340" s="116"/>
      <c r="AQ3340" s="116"/>
      <c r="AR3340" s="116"/>
      <c r="AS3340" s="116"/>
      <c r="AT3340" s="116"/>
      <c r="AU3340" s="116"/>
      <c r="AV3340" s="78"/>
      <c r="AW3340" s="102"/>
      <c r="AX3340" s="78"/>
      <c r="AY3340" s="78"/>
      <c r="AZ3340" s="78"/>
      <c r="BA3340" s="78"/>
      <c r="BB3340" s="78"/>
      <c r="BC3340" s="78"/>
      <c r="BD3340" s="78"/>
      <c r="BE3340" s="465"/>
      <c r="BF3340" s="165" t="str">
        <f t="shared" si="2545"/>
        <v>https://www.google.com/search?tbm=isch&amp;q=Pinus%20virginiana%20Virginia%20Pine</v>
      </c>
      <c r="BG3340" s="165" t="str">
        <f t="shared" si="2546"/>
        <v>P</v>
      </c>
      <c r="BH3340" s="65"/>
      <c r="BI3340" s="65"/>
      <c r="BJ3340" s="65"/>
      <c r="BK3340" s="65"/>
      <c r="BL3340" s="99"/>
      <c r="BM3340" s="99"/>
      <c r="BN3340" s="99"/>
    </row>
    <row r="3341" spans="1:66" s="51" customFormat="1" ht="15.75" x14ac:dyDescent="0.25">
      <c r="A3341" s="478">
        <v>7</v>
      </c>
      <c r="B3341" s="479" t="s">
        <v>291</v>
      </c>
      <c r="C3341" s="480" t="s">
        <v>1000</v>
      </c>
      <c r="D3341" s="481" t="s">
        <v>299</v>
      </c>
      <c r="E3341" s="482">
        <v>100.95</v>
      </c>
      <c r="F3341" s="483" t="s">
        <v>292</v>
      </c>
      <c r="G3341" s="484">
        <v>0</v>
      </c>
      <c r="H3341" s="688" t="str">
        <f>IF(G3341=0,"",IF(F3341="Buy",IF(G3341=1,"plant","plants"),IF(F3341&gt;0.01,"warranty","Error")))</f>
        <v/>
      </c>
      <c r="I3341" s="485">
        <f>IF(H3341="free",0,IF(H3341="credit",((E3341*(F3341))*G3341*-1),IF(F3341="Buy",(E3341*G3341),((E3341*(1-F3341))*G3341))))</f>
        <v>0</v>
      </c>
      <c r="J3341" s="485">
        <f>IF(H3341="warranty",0,(I3341*(_xlfn.SINGLE(SalesTaxPercentage))))</f>
        <v>0</v>
      </c>
      <c r="K3341" s="715">
        <f t="shared" ref="K3341" si="2567">I3341+J3341</f>
        <v>0</v>
      </c>
      <c r="L3341" s="715"/>
      <c r="M3341" s="689" t="str">
        <f ca="1">IF(AND(G3341&gt;0,E3341=0),"WARNING - no PRICE inserted",IF(H3341="free","FREE ~ no charge this plant",IF(H3341="credit",CONCATENATE("-$",ROUND(K3341*(1-_xlfn.SINGLE(T2GDiscount))*-1,2)," CREDIT after discount"),IF(_xlfn.SINGLE(T2GDiscount)=0,"",IF(G3341=0,"",IF(F3341="Buy",CONCATENATE("$",ROUND(K3341*(1-_xlfn.SINGLE(T2GDiscount)),2)," with ",(_xlfn.SINGLE(T2GDiscount)*100),"% discount"),CONCATENATE("$",ROUND(K3341*(1-_xlfn.SINGLE(T2GDiscount)),2)," with ",((_xlfn.SINGLE(T2GDiscount)*100+F3341*100)-(_xlfn.SINGLE(T2GDiscount)*100*F3341)),IF(F3341&gt;0,"% discounts",IF(_xlfn.SINGLE(NoWarrantyDiscount)&gt;0,"% discounts","% discount")))))))))</f>
        <v/>
      </c>
      <c r="N3341" s="690"/>
      <c r="O3341" s="486"/>
      <c r="P3341" s="486"/>
      <c r="Q3341" s="486"/>
      <c r="R3341" s="486"/>
      <c r="S3341" s="486"/>
      <c r="T3341" s="102">
        <f t="shared" si="2534"/>
        <v>0</v>
      </c>
      <c r="U3341" s="78">
        <f>IF(NOT(ISNUMBER(G3341)), "", VLOOKUP(A3341,'Discount Lookup'!D:E,2,FALSE)*G3341)</f>
        <v>0</v>
      </c>
      <c r="V3341" s="78">
        <f>IF(NOT(ISNUMBER(G3341)), "", VLOOKUP(A3341,'Discount Lookup'!G:H,2,FALSE)*G3341)</f>
        <v>0</v>
      </c>
      <c r="W3341" s="102">
        <f t="shared" si="2535"/>
        <v>0</v>
      </c>
      <c r="X3341" s="102">
        <f t="shared" si="2536"/>
        <v>0</v>
      </c>
      <c r="Y3341" s="120" t="b">
        <f t="shared" si="2537"/>
        <v>0</v>
      </c>
      <c r="Z3341" s="117">
        <f t="shared" si="2538"/>
        <v>0</v>
      </c>
      <c r="AA3341" s="118"/>
      <c r="AB3341" s="118" t="str">
        <f t="shared" si="2539"/>
        <v/>
      </c>
      <c r="AC3341" s="712" t="str">
        <f>IF(AE3341="T2G","no charge",IF(AND(OR(PlanterYesMe="No",PlanterYesMe="N",PlanterYesMe="me"),H3341=""),"",IF(H3341="credit","NO install",IF(AND(K3341="",AE3341="me"),"EACH row",IF(AND(K3341="images",AE3341="me"),"EACH row",IF(D3341="","",IF(H3341="credit","",IF(AE3341="free","re-planting",IF(AE3341="me","   not ELP, by",IF(AND(OR(PlanterYesMe="Yes",PlanterYesMe="Y"),G3341&gt;0),(VLOOKUP(A3341,'Discount Lookup'!J:K,2)*G3341*(1-PlanterDiscount)*(1+PlanterDifficultyPercentage)),IF(AE3341="ELP",(VLOOKUP(A3341,'Discount Lookup'!J:K,2)*G3341*(1-PlanterDiscount)*(1+PlanterDifficultyPercentage)),IF(AE3341="free","re-planting",IF(G3341=0,"",IF(PlanterYesMe="",IF(AE3341="me","   not ELP, by",IF(AE3341="",IF(G3341&gt;0,(VLOOKUP(A3341,'Discount Lookup'!J:K,2)*G3341*(1-PlanterDiscount)*(1+PlanterDifficultyPercentage)),""),"")),"   not ELP, by"))))))))))))))</f>
        <v/>
      </c>
      <c r="AD3341" s="712"/>
      <c r="AE3341" s="513" t="str">
        <f t="shared" si="2540"/>
        <v/>
      </c>
      <c r="AF3341" s="713" t="str">
        <f t="shared" si="2541"/>
        <v/>
      </c>
      <c r="AG3341" s="713"/>
      <c r="AH3341" s="713"/>
      <c r="AI3341" s="112">
        <f>IF(H3341="credit",0,IF(AE3341="free",0,IF(AE3341="me",0,IF(G3341&gt;0,(VLOOKUP(A3341,'Discount Lookup'!J:K,2)*G3341),0))))</f>
        <v>0</v>
      </c>
      <c r="AJ3341" s="107" t="str">
        <f t="shared" ca="1" si="2542"/>
        <v/>
      </c>
      <c r="AK3341" s="714" t="str">
        <f t="shared" si="2543"/>
        <v/>
      </c>
      <c r="AL3341" s="714"/>
      <c r="AM3341" s="114" t="str">
        <f t="shared" si="2544"/>
        <v/>
      </c>
      <c r="AN3341" s="115"/>
      <c r="AO3341" s="116"/>
      <c r="AP3341" s="116"/>
      <c r="AQ3341" s="116"/>
      <c r="AR3341" s="116"/>
      <c r="AS3341" s="116"/>
      <c r="AT3341" s="116"/>
      <c r="AU3341" s="116"/>
      <c r="AV3341" s="78"/>
      <c r="AW3341" s="102"/>
      <c r="AX3341" s="78"/>
      <c r="AY3341" s="78"/>
      <c r="AZ3341" s="78"/>
      <c r="BA3341" s="78"/>
      <c r="BB3341" s="78"/>
      <c r="BC3341" s="78"/>
      <c r="BD3341" s="78"/>
      <c r="BE3341" s="465"/>
      <c r="BF3341" s="165" t="str">
        <f t="shared" si="2545"/>
        <v>https://www.google.com/search?tbm=isch&amp;q=7%20G4</v>
      </c>
      <c r="BG3341" s="165" t="str">
        <f t="shared" si="2546"/>
        <v>P</v>
      </c>
      <c r="BH3341" s="65"/>
      <c r="BI3341" s="65"/>
      <c r="BJ3341" s="65"/>
      <c r="BK3341" s="65"/>
      <c r="BL3341" s="99"/>
      <c r="BM3341" s="99"/>
      <c r="BN3341" s="99"/>
    </row>
    <row r="3342" spans="1:66" s="51" customFormat="1" ht="27" x14ac:dyDescent="0.25">
      <c r="A3342" s="478">
        <v>15</v>
      </c>
      <c r="B3342" s="479" t="s">
        <v>291</v>
      </c>
      <c r="C3342" s="480" t="s">
        <v>1001</v>
      </c>
      <c r="D3342" s="481" t="s">
        <v>299</v>
      </c>
      <c r="E3342" s="482">
        <v>178.95</v>
      </c>
      <c r="F3342" s="483" t="s">
        <v>292</v>
      </c>
      <c r="G3342" s="484">
        <v>0</v>
      </c>
      <c r="H3342" s="688" t="str">
        <f>IF(G3342=0,"",IF(F3342="Buy",IF(G3342=1,"plant","plants"),IF(F3342&gt;0.01,"warranty","Error")))</f>
        <v/>
      </c>
      <c r="I3342" s="485">
        <f>IF(H3342="free",0,IF(H3342="credit",((E3342*(F3342))*G3342*-1),IF(F3342="Buy",(E3342*G3342),((E3342*(1-F3342))*G3342))))</f>
        <v>0</v>
      </c>
      <c r="J3342" s="485">
        <f>IF(H3342="warranty",0,(I3342*(_xlfn.SINGLE(SalesTaxPercentage))))</f>
        <v>0</v>
      </c>
      <c r="K3342" s="715">
        <f t="shared" ref="K3342" si="2568">I3342+J3342</f>
        <v>0</v>
      </c>
      <c r="L3342" s="715"/>
      <c r="M3342" s="689" t="str">
        <f ca="1">IF(AND(G3342&gt;0,E3342=0),"WARNING - no PRICE inserted",IF(H3342="free","FREE ~ no charge this plant",IF(H3342="credit",CONCATENATE("-$",ROUND(K3342*(1-_xlfn.SINGLE(T2GDiscount))*-1,2)," CREDIT after discount"),IF(_xlfn.SINGLE(T2GDiscount)=0,"",IF(G3342=0,"",IF(F3342="Buy",CONCATENATE("$",ROUND(K3342*(1-_xlfn.SINGLE(T2GDiscount)),2)," with ",(_xlfn.SINGLE(T2GDiscount)*100),"% discount"),CONCATENATE("$",ROUND(K3342*(1-_xlfn.SINGLE(T2GDiscount)),2)," with ",((_xlfn.SINGLE(T2GDiscount)*100+F3342*100)-(_xlfn.SINGLE(T2GDiscount)*100*F3342)),IF(F3342&gt;0,"% discounts",IF(_xlfn.SINGLE(NoWarrantyDiscount)&gt;0,"% discounts","% discount")))))))))</f>
        <v/>
      </c>
      <c r="N3342" s="690"/>
      <c r="O3342" s="486"/>
      <c r="P3342" s="486"/>
      <c r="Q3342" s="486"/>
      <c r="R3342" s="486"/>
      <c r="S3342" s="486"/>
      <c r="T3342" s="102">
        <f t="shared" si="2534"/>
        <v>0</v>
      </c>
      <c r="U3342" s="78">
        <f>IF(NOT(ISNUMBER(G3342)), "", VLOOKUP(A3342,'Discount Lookup'!D:E,2,FALSE)*G3342)</f>
        <v>0</v>
      </c>
      <c r="V3342" s="78">
        <f>IF(NOT(ISNUMBER(G3342)), "", VLOOKUP(A3342,'Discount Lookup'!G:H,2,FALSE)*G3342)</f>
        <v>0</v>
      </c>
      <c r="W3342" s="102">
        <f t="shared" si="2535"/>
        <v>0</v>
      </c>
      <c r="X3342" s="102">
        <f t="shared" si="2536"/>
        <v>0</v>
      </c>
      <c r="Y3342" s="120" t="b">
        <f t="shared" si="2537"/>
        <v>0</v>
      </c>
      <c r="Z3342" s="117">
        <f t="shared" si="2538"/>
        <v>0</v>
      </c>
      <c r="AA3342" s="118"/>
      <c r="AB3342" s="118" t="str">
        <f t="shared" si="2539"/>
        <v/>
      </c>
      <c r="AC3342" s="712" t="str">
        <f>IF(AE3342="T2G","no charge",IF(AND(OR(PlanterYesMe="No",PlanterYesMe="N",PlanterYesMe="me"),H3342=""),"",IF(H3342="credit","NO install",IF(AND(K3342="",AE3342="me"),"EACH row",IF(AND(K3342="images",AE3342="me"),"EACH row",IF(D3342="","",IF(H3342="credit","",IF(AE3342="free","re-planting",IF(AE3342="me","   not ELP, by",IF(AND(OR(PlanterYesMe="Yes",PlanterYesMe="Y"),G3342&gt;0),(VLOOKUP(A3342,'Discount Lookup'!J:K,2)*G3342*(1-PlanterDiscount)*(1+PlanterDifficultyPercentage)),IF(AE3342="ELP",(VLOOKUP(A3342,'Discount Lookup'!J:K,2)*G3342*(1-PlanterDiscount)*(1+PlanterDifficultyPercentage)),IF(AE3342="free","re-planting",IF(G3342=0,"",IF(PlanterYesMe="",IF(AE3342="me","   not ELP, by",IF(AE3342="",IF(G3342&gt;0,(VLOOKUP(A3342,'Discount Lookup'!J:K,2)*G3342*(1-PlanterDiscount)*(1+PlanterDifficultyPercentage)),""),"")),"   not ELP, by"))))))))))))))</f>
        <v/>
      </c>
      <c r="AD3342" s="712"/>
      <c r="AE3342" s="513" t="str">
        <f t="shared" si="2540"/>
        <v/>
      </c>
      <c r="AF3342" s="713" t="str">
        <f t="shared" si="2541"/>
        <v/>
      </c>
      <c r="AG3342" s="713"/>
      <c r="AH3342" s="713"/>
      <c r="AI3342" s="112">
        <f>IF(H3342="credit",0,IF(AE3342="free",0,IF(AE3342="me",0,IF(G3342&gt;0,(VLOOKUP(A3342,'Discount Lookup'!J:K,2)*G3342),0))))</f>
        <v>0</v>
      </c>
      <c r="AJ3342" s="107" t="str">
        <f t="shared" ca="1" si="2542"/>
        <v/>
      </c>
      <c r="AK3342" s="714" t="str">
        <f t="shared" si="2543"/>
        <v/>
      </c>
      <c r="AL3342" s="714"/>
      <c r="AM3342" s="114" t="str">
        <f t="shared" si="2544"/>
        <v/>
      </c>
      <c r="AN3342" s="115"/>
      <c r="AO3342" s="116"/>
      <c r="AP3342" s="116"/>
      <c r="AQ3342" s="116"/>
      <c r="AR3342" s="116"/>
      <c r="AS3342" s="116"/>
      <c r="AT3342" s="116"/>
      <c r="AU3342" s="116"/>
      <c r="AV3342" s="78"/>
      <c r="AW3342" s="102"/>
      <c r="AX3342" s="78"/>
      <c r="AY3342" s="78"/>
      <c r="AZ3342" s="78"/>
      <c r="BA3342" s="78"/>
      <c r="BB3342" s="78"/>
      <c r="BC3342" s="78"/>
      <c r="BD3342" s="78"/>
      <c r="BE3342" s="465"/>
      <c r="BF3342" s="165" t="str">
        <f t="shared" si="2545"/>
        <v>https://www.google.com/search?tbm=isch&amp;q=15%20G4</v>
      </c>
      <c r="BG3342" s="165" t="str">
        <f t="shared" si="2546"/>
        <v>P</v>
      </c>
      <c r="BH3342" s="65"/>
      <c r="BI3342" s="65"/>
      <c r="BJ3342" s="65"/>
      <c r="BK3342" s="65"/>
      <c r="BL3342" s="99"/>
      <c r="BM3342" s="99"/>
      <c r="BN3342" s="99"/>
    </row>
    <row r="3343" spans="1:66" s="51" customFormat="1" ht="16.5" x14ac:dyDescent="0.25">
      <c r="A3343" s="508" t="s">
        <v>697</v>
      </c>
      <c r="B3343" s="487"/>
      <c r="C3343" s="707"/>
      <c r="D3343" s="487"/>
      <c r="E3343" s="487"/>
      <c r="F3343" s="488"/>
      <c r="G3343" s="489"/>
      <c r="H3343" s="487"/>
      <c r="I3343" s="490"/>
      <c r="J3343" s="490"/>
      <c r="K3343" s="491"/>
      <c r="L3343" s="547"/>
      <c r="M3343" s="528"/>
      <c r="N3343" s="492"/>
      <c r="O3343" s="493"/>
      <c r="P3343" s="494"/>
      <c r="Q3343" s="492"/>
      <c r="R3343" s="492"/>
      <c r="S3343" s="699" t="s">
        <v>5290</v>
      </c>
      <c r="T3343" s="102">
        <f t="shared" si="2534"/>
        <v>0</v>
      </c>
      <c r="U3343" s="78" t="str">
        <f>IF(NOT(ISNUMBER(G3343)), "", VLOOKUP(A3343,'Discount Lookup'!D:E,2,FALSE)*G3343)</f>
        <v/>
      </c>
      <c r="V3343" s="78" t="str">
        <f>IF(NOT(ISNUMBER(G3343)), "", VLOOKUP(A3343,'Discount Lookup'!G:H,2,FALSE)*G3343)</f>
        <v/>
      </c>
      <c r="W3343" s="102">
        <f t="shared" si="2535"/>
        <v>0</v>
      </c>
      <c r="X3343" s="102">
        <f t="shared" si="2536"/>
        <v>0</v>
      </c>
      <c r="Y3343" s="120" t="b">
        <f t="shared" si="2537"/>
        <v>0</v>
      </c>
      <c r="Z3343" s="117">
        <f t="shared" si="2538"/>
        <v>0</v>
      </c>
      <c r="AA3343" s="118"/>
      <c r="AB3343" s="118" t="str">
        <f t="shared" si="2539"/>
        <v/>
      </c>
      <c r="AC3343" s="712" t="str">
        <f>IF(AE3343="T2G","no charge",IF(AND(OR(PlanterYesMe="No",PlanterYesMe="N",PlanterYesMe="me"),H3343=""),"",IF(H3343="credit","NO install",IF(AND(K3343="",AE3343="me"),"EACH row",IF(AND(K3343="images",AE3343="me"),"EACH row",IF(D3343="","",IF(H3343="credit","",IF(AE3343="free","re-planting",IF(AE3343="me","   not ELP, by",IF(AND(OR(PlanterYesMe="Yes",PlanterYesMe="Y"),G3343&gt;0),(VLOOKUP(A3343,'Discount Lookup'!J:K,2)*G3343*(1-PlanterDiscount)*(1+PlanterDifficultyPercentage)),IF(AE3343="ELP",(VLOOKUP(A3343,'Discount Lookup'!J:K,2)*G3343*(1-PlanterDiscount)*(1+PlanterDifficultyPercentage)),IF(AE3343="free","re-planting",IF(G3343=0,"",IF(PlanterYesMe="",IF(AE3343="me","   not ELP, by",IF(AE3343="",IF(G3343&gt;0,(VLOOKUP(A3343,'Discount Lookup'!J:K,2)*G3343*(1-PlanterDiscount)*(1+PlanterDifficultyPercentage)),""),"")),"   not ELP, by"))))))))))))))</f>
        <v/>
      </c>
      <c r="AD3343" s="712"/>
      <c r="AE3343" s="513" t="str">
        <f t="shared" si="2540"/>
        <v/>
      </c>
      <c r="AF3343" s="713" t="str">
        <f t="shared" si="2541"/>
        <v/>
      </c>
      <c r="AG3343" s="713"/>
      <c r="AH3343" s="713"/>
      <c r="AI3343" s="112">
        <f>IF(H3343="credit",0,IF(AE3343="free",0,IF(AE3343="me",0,IF(G3343&gt;0,(VLOOKUP(A3343,'Discount Lookup'!J:K,2)*G3343),0))))</f>
        <v>0</v>
      </c>
      <c r="AJ3343" s="107" t="str">
        <f t="shared" ca="1" si="2542"/>
        <v/>
      </c>
      <c r="AK3343" s="714" t="str">
        <f t="shared" si="2543"/>
        <v/>
      </c>
      <c r="AL3343" s="714"/>
      <c r="AM3343" s="114" t="str">
        <f t="shared" si="2544"/>
        <v/>
      </c>
      <c r="AN3343" s="115"/>
      <c r="AO3343" s="116"/>
      <c r="AP3343" s="116"/>
      <c r="AQ3343" s="116"/>
      <c r="AR3343" s="116"/>
      <c r="AS3343" s="116"/>
      <c r="AT3343" s="116"/>
      <c r="AU3343" s="116"/>
      <c r="AV3343" s="78"/>
      <c r="AW3343" s="102"/>
      <c r="AX3343" s="78"/>
      <c r="AY3343" s="78"/>
      <c r="AZ3343" s="78"/>
      <c r="BA3343" s="78"/>
      <c r="BB3343" s="78"/>
      <c r="BC3343" s="78"/>
      <c r="BD3343" s="78"/>
      <c r="BE3343" s="465"/>
      <c r="BF3343" s="165" t="str">
        <f t="shared" si="2545"/>
        <v>https://www.google.com/search?tbm=isch&amp;q=Virginiana%20Pine%20sports%20a%20%27rough%27%20appearance%2C%20with%20short%2C%20twisted%20needles.%20Tolerates%20poor%20soils%20</v>
      </c>
      <c r="BG3343" s="165" t="str">
        <f t="shared" si="2546"/>
        <v>V</v>
      </c>
      <c r="BH3343" s="65"/>
      <c r="BI3343" s="65"/>
      <c r="BJ3343" s="65"/>
      <c r="BK3343" s="65"/>
      <c r="BL3343" s="99"/>
      <c r="BM3343" s="99"/>
      <c r="BN3343" s="99"/>
    </row>
    <row r="3344" spans="1:66" s="51" customFormat="1" ht="19.5" thickBot="1" x14ac:dyDescent="0.3">
      <c r="A3344" s="686" t="s">
        <v>698</v>
      </c>
      <c r="B3344" s="73"/>
      <c r="C3344" s="708"/>
      <c r="D3344" s="73"/>
      <c r="E3344" s="73"/>
      <c r="F3344" s="496"/>
      <c r="G3344" s="73"/>
      <c r="H3344" s="73"/>
      <c r="I3344" s="73"/>
      <c r="J3344" s="497" t="s">
        <v>357</v>
      </c>
      <c r="K3344" s="498"/>
      <c r="L3344" s="562"/>
      <c r="M3344" s="73"/>
      <c r="N3344"/>
      <c r="O3344"/>
      <c r="P3344"/>
      <c r="Q3344"/>
      <c r="R3344"/>
      <c r="S3344"/>
      <c r="T3344" s="102">
        <f t="shared" si="2534"/>
        <v>0</v>
      </c>
      <c r="U3344" s="78" t="str">
        <f>IF(NOT(ISNUMBER(G3344)), "", VLOOKUP(A3344,'Discount Lookup'!D:E,2,FALSE)*G3344)</f>
        <v/>
      </c>
      <c r="V3344" s="78" t="str">
        <f>IF(NOT(ISNUMBER(G3344)), "", VLOOKUP(A3344,'Discount Lookup'!G:H,2,FALSE)*G3344)</f>
        <v/>
      </c>
      <c r="W3344" s="102">
        <f t="shared" si="2535"/>
        <v>0</v>
      </c>
      <c r="X3344" s="102">
        <f t="shared" si="2536"/>
        <v>0</v>
      </c>
      <c r="Y3344" s="120" t="b">
        <f t="shared" si="2537"/>
        <v>0</v>
      </c>
      <c r="Z3344" s="117">
        <f t="shared" si="2538"/>
        <v>0</v>
      </c>
      <c r="AA3344" s="118"/>
      <c r="AB3344" s="118" t="str">
        <f t="shared" si="2539"/>
        <v/>
      </c>
      <c r="AC3344" s="712" t="str">
        <f>IF(AE3344="T2G","no charge",IF(AND(OR(PlanterYesMe="No",PlanterYesMe="N",PlanterYesMe="me"),H3344=""),"",IF(H3344="credit","NO install",IF(AND(K3344="",AE3344="me"),"EACH row",IF(AND(K3344="images",AE3344="me"),"EACH row",IF(D3344="","",IF(H3344="credit","",IF(AE3344="free","re-planting",IF(AE3344="me","   not ELP, by",IF(AND(OR(PlanterYesMe="Yes",PlanterYesMe="Y"),G3344&gt;0),(VLOOKUP(A3344,'Discount Lookup'!J:K,2)*G3344*(1-PlanterDiscount)*(1+PlanterDifficultyPercentage)),IF(AE3344="ELP",(VLOOKUP(A3344,'Discount Lookup'!J:K,2)*G3344*(1-PlanterDiscount)*(1+PlanterDifficultyPercentage)),IF(AE3344="free","re-planting",IF(G3344=0,"",IF(PlanterYesMe="",IF(AE3344="me","   not ELP, by",IF(AE3344="",IF(G3344&gt;0,(VLOOKUP(A3344,'Discount Lookup'!J:K,2)*G3344*(1-PlanterDiscount)*(1+PlanterDifficultyPercentage)),""),"")),"   not ELP, by"))))))))))))))</f>
        <v/>
      </c>
      <c r="AD3344" s="712"/>
      <c r="AE3344" s="513" t="str">
        <f t="shared" si="2540"/>
        <v/>
      </c>
      <c r="AF3344" s="713" t="str">
        <f t="shared" si="2541"/>
        <v/>
      </c>
      <c r="AG3344" s="713"/>
      <c r="AH3344" s="713"/>
      <c r="AI3344" s="112">
        <f>IF(H3344="credit",0,IF(AE3344="free",0,IF(AE3344="me",0,IF(G3344&gt;0,(VLOOKUP(A3344,'Discount Lookup'!J:K,2)*G3344),0))))</f>
        <v>0</v>
      </c>
      <c r="AJ3344" s="107" t="str">
        <f t="shared" ca="1" si="2542"/>
        <v/>
      </c>
      <c r="AK3344" s="714" t="str">
        <f t="shared" si="2543"/>
        <v/>
      </c>
      <c r="AL3344" s="714"/>
      <c r="AM3344" s="114" t="str">
        <f t="shared" si="2544"/>
        <v/>
      </c>
      <c r="AN3344" s="115"/>
      <c r="AO3344" s="116"/>
      <c r="AP3344" s="116"/>
      <c r="AQ3344" s="116"/>
      <c r="AR3344" s="116"/>
      <c r="AS3344" s="116"/>
      <c r="AT3344" s="116"/>
      <c r="AU3344" s="116"/>
      <c r="AV3344" s="78"/>
      <c r="AW3344" s="102"/>
      <c r="AX3344" s="78"/>
      <c r="AY3344" s="78"/>
      <c r="AZ3344" s="78"/>
      <c r="BA3344" s="78"/>
      <c r="BB3344" s="78"/>
      <c r="BC3344" s="78"/>
      <c r="BD3344" s="78"/>
      <c r="BE3344" s="465"/>
      <c r="BF3344" s="165" t="str">
        <f t="shared" si="2545"/>
        <v>https://www.google.com/search?tbm=isch&amp;q=Pistachia%20%3D%20Pistachio%20</v>
      </c>
      <c r="BG3344" s="165" t="str">
        <f t="shared" si="2546"/>
        <v>P</v>
      </c>
      <c r="BH3344" s="65"/>
      <c r="BI3344" s="65"/>
      <c r="BJ3344" s="65"/>
      <c r="BK3344" s="65"/>
      <c r="BL3344" s="99"/>
      <c r="BM3344" s="99"/>
      <c r="BN3344" s="99"/>
    </row>
    <row r="3345" spans="1:66" s="51" customFormat="1" ht="18" x14ac:dyDescent="0.25">
      <c r="A3345" s="623" t="s">
        <v>3813</v>
      </c>
      <c r="B3345" s="624"/>
      <c r="C3345" s="709"/>
      <c r="D3345" s="625" t="s">
        <v>3814</v>
      </c>
      <c r="E3345" s="626"/>
      <c r="F3345" s="626"/>
      <c r="G3345" s="626"/>
      <c r="H3345" s="622" t="s">
        <v>3815</v>
      </c>
      <c r="I3345" s="627" t="s">
        <v>431</v>
      </c>
      <c r="J3345" s="628"/>
      <c r="K3345" s="628"/>
      <c r="L3345" s="629"/>
      <c r="M3345" s="700" t="s">
        <v>5241</v>
      </c>
      <c r="N3345" s="693" t="str">
        <f>IF(AND(ISTEXT($A3345), ISERROR($A3345+0)), HYPERLINK($BF3345, "Images"), "")</f>
        <v>Images</v>
      </c>
      <c r="O3345" s="695" t="s">
        <v>5247</v>
      </c>
      <c r="P3345" s="630"/>
      <c r="Q3345" s="631"/>
      <c r="R3345" s="632"/>
      <c r="S3345" s="633"/>
      <c r="T3345" s="102">
        <f t="shared" si="2534"/>
        <v>0</v>
      </c>
      <c r="U3345" s="78" t="str">
        <f>IF(NOT(ISNUMBER(G3345)), "", VLOOKUP(A3345,'Discount Lookup'!D:E,2,FALSE)*G3345)</f>
        <v/>
      </c>
      <c r="V3345" s="78" t="str">
        <f>IF(NOT(ISNUMBER(G3345)), "", VLOOKUP(A3345,'Discount Lookup'!G:H,2,FALSE)*G3345)</f>
        <v/>
      </c>
      <c r="W3345" s="102">
        <f t="shared" si="2535"/>
        <v>0</v>
      </c>
      <c r="X3345" s="102" t="str">
        <f t="shared" si="2536"/>
        <v>Dark Green foliage</v>
      </c>
      <c r="Y3345" s="120" t="b">
        <f t="shared" si="2537"/>
        <v>0</v>
      </c>
      <c r="Z3345" s="117">
        <f t="shared" si="2538"/>
        <v>0</v>
      </c>
      <c r="AA3345" s="118"/>
      <c r="AB3345" s="118" t="str">
        <f t="shared" si="2539"/>
        <v/>
      </c>
      <c r="AC3345" s="712" t="str">
        <f>IF(AE3345="T2G","no charge",IF(AND(OR(PlanterYesMe="No",PlanterYesMe="N",PlanterYesMe="me"),H3345=""),"",IF(H3345="credit","NO install",IF(AND(K3345="",AE3345="me"),"EACH row",IF(AND(K3345="images",AE3345="me"),"EACH row",IF(D3345="","",IF(H3345="credit","",IF(AE3345="free","re-planting",IF(AE3345="me","   not ELP, by",IF(AND(OR(PlanterYesMe="Yes",PlanterYesMe="Y"),G3345&gt;0),(VLOOKUP(A3345,'Discount Lookup'!J:K,2)*G3345*(1-PlanterDiscount)*(1+PlanterDifficultyPercentage)),IF(AE3345="ELP",(VLOOKUP(A3345,'Discount Lookup'!J:K,2)*G3345*(1-PlanterDiscount)*(1+PlanterDifficultyPercentage)),IF(AE3345="free","re-planting",IF(G3345=0,"",IF(PlanterYesMe="",IF(AE3345="me","   not ELP, by",IF(AE3345="",IF(G3345&gt;0,(VLOOKUP(A3345,'Discount Lookup'!J:K,2)*G3345*(1-PlanterDiscount)*(1+PlanterDifficultyPercentage)),""),"")),"   not ELP, by"))))))))))))))</f>
        <v/>
      </c>
      <c r="AD3345" s="712"/>
      <c r="AE3345" s="513" t="str">
        <f t="shared" si="2540"/>
        <v/>
      </c>
      <c r="AF3345" s="713" t="str">
        <f t="shared" si="2541"/>
        <v/>
      </c>
      <c r="AG3345" s="713"/>
      <c r="AH3345" s="713"/>
      <c r="AI3345" s="112">
        <f>IF(H3345="credit",0,IF(AE3345="free",0,IF(AE3345="me",0,IF(G3345&gt;0,(VLOOKUP(A3345,'Discount Lookup'!J:K,2)*G3345),0))))</f>
        <v>0</v>
      </c>
      <c r="AJ3345" s="107" t="str">
        <f t="shared" ca="1" si="2542"/>
        <v/>
      </c>
      <c r="AK3345" s="714" t="str">
        <f t="shared" si="2543"/>
        <v/>
      </c>
      <c r="AL3345" s="714"/>
      <c r="AM3345" s="114" t="str">
        <f t="shared" si="2544"/>
        <v/>
      </c>
      <c r="AN3345" s="115"/>
      <c r="AO3345" s="116"/>
      <c r="AP3345" s="116"/>
      <c r="AQ3345" s="116"/>
      <c r="AR3345" s="116"/>
      <c r="AS3345" s="116"/>
      <c r="AT3345" s="116"/>
      <c r="AU3345" s="116"/>
      <c r="AV3345" s="78"/>
      <c r="AW3345" s="102"/>
      <c r="AX3345" s="78"/>
      <c r="AY3345" s="78"/>
      <c r="AZ3345" s="78"/>
      <c r="BA3345" s="78"/>
      <c r="BB3345" s="78"/>
      <c r="BC3345" s="78"/>
      <c r="BD3345" s="78"/>
      <c r="BE3345" s="465"/>
      <c r="BF3345" s="165" t="str">
        <f t="shared" si="2545"/>
        <v>https://www.google.com/search?tbm=isch&amp;q=Pistacia%20chinensis%20Chinese%20Pistachio</v>
      </c>
      <c r="BG3345" s="165" t="str">
        <f t="shared" si="2546"/>
        <v>P</v>
      </c>
      <c r="BH3345" s="65"/>
      <c r="BI3345" s="65"/>
      <c r="BJ3345" s="65"/>
      <c r="BK3345" s="65"/>
      <c r="BL3345" s="99"/>
      <c r="BM3345" s="99"/>
      <c r="BN3345" s="99"/>
    </row>
    <row r="3346" spans="1:66" s="51" customFormat="1" ht="27" x14ac:dyDescent="0.25">
      <c r="A3346" s="634">
        <v>15</v>
      </c>
      <c r="B3346" s="635" t="s">
        <v>291</v>
      </c>
      <c r="C3346" s="636" t="s">
        <v>4781</v>
      </c>
      <c r="D3346" s="637" t="s">
        <v>299</v>
      </c>
      <c r="E3346" s="638">
        <v>160.94999999999999</v>
      </c>
      <c r="F3346" s="639" t="s">
        <v>292</v>
      </c>
      <c r="G3346" s="484">
        <v>0</v>
      </c>
      <c r="H3346" s="691" t="str">
        <f>IF(G3346=0,"",IF(F3346="Buy",IF(G3346=1,"plant","plants"),IF(F3346&gt;0.01,"warranty","Error")))</f>
        <v/>
      </c>
      <c r="I3346" s="640">
        <f>IF(H3346="free",0,IF(H3346="credit",((E3346*(F3346))*G3346*-1),IF(F3346="Buy",(E3346*G3346),((E3346*(1-F3346))*G3346))))</f>
        <v>0</v>
      </c>
      <c r="J3346" s="640">
        <f>IF(H3346="warranty",0,(I3346*(_xlfn.SINGLE(SalesTaxPercentage))))</f>
        <v>0</v>
      </c>
      <c r="K3346" s="716">
        <f t="shared" ref="K3346" si="2569">I3346+J3346</f>
        <v>0</v>
      </c>
      <c r="L3346" s="716"/>
      <c r="M3346" s="689" t="str">
        <f ca="1">IF(AND(G3346&gt;0,E3346=0),"WARNING - no PRICE inserted",IF(H3346="free","FREE ~ no charge this plant",IF(H3346="credit",CONCATENATE("-$",ROUND(K3346*(1-_xlfn.SINGLE(T2GDiscount))*-1,2)," CREDIT after discount"),IF(_xlfn.SINGLE(T2GDiscount)=0,"",IF(G3346=0,"",IF(F3346="Buy",CONCATENATE("$",ROUND(K3346*(1-_xlfn.SINGLE(T2GDiscount)),2)," with ",(_xlfn.SINGLE(T2GDiscount)*100),"% discount"),CONCATENATE("$",ROUND(K3346*(1-_xlfn.SINGLE(T2GDiscount)),2)," with ",((_xlfn.SINGLE(T2GDiscount)*100+F3346*100)-(_xlfn.SINGLE(T2GDiscount)*100*F3346)),IF(F3346&gt;0,"% discounts",IF(_xlfn.SINGLE(NoWarrantyDiscount)&gt;0,"% discounts","% discount")))))))))</f>
        <v/>
      </c>
      <c r="N3346" s="690"/>
      <c r="O3346" s="486"/>
      <c r="P3346" s="486"/>
      <c r="Q3346" s="486"/>
      <c r="R3346" s="486"/>
      <c r="S3346" s="486"/>
      <c r="T3346" s="102">
        <f t="shared" si="2534"/>
        <v>0</v>
      </c>
      <c r="U3346" s="78">
        <f>IF(NOT(ISNUMBER(G3346)), "", VLOOKUP(A3346,'Discount Lookup'!D:E,2,FALSE)*G3346)</f>
        <v>0</v>
      </c>
      <c r="V3346" s="78">
        <f>IF(NOT(ISNUMBER(G3346)), "", VLOOKUP(A3346,'Discount Lookup'!G:H,2,FALSE)*G3346)</f>
        <v>0</v>
      </c>
      <c r="W3346" s="102">
        <f t="shared" si="2535"/>
        <v>0</v>
      </c>
      <c r="X3346" s="102">
        <f t="shared" si="2536"/>
        <v>0</v>
      </c>
      <c r="Y3346" s="120" t="b">
        <f t="shared" si="2537"/>
        <v>0</v>
      </c>
      <c r="Z3346" s="117">
        <f t="shared" si="2538"/>
        <v>0</v>
      </c>
      <c r="AA3346" s="118"/>
      <c r="AB3346" s="118" t="str">
        <f t="shared" si="2539"/>
        <v/>
      </c>
      <c r="AC3346" s="712" t="str">
        <f>IF(AE3346="T2G","no charge",IF(AND(OR(PlanterYesMe="No",PlanterYesMe="N",PlanterYesMe="me"),H3346=""),"",IF(H3346="credit","NO install",IF(AND(K3346="",AE3346="me"),"EACH row",IF(AND(K3346="images",AE3346="me"),"EACH row",IF(D3346="","",IF(H3346="credit","",IF(AE3346="free","re-planting",IF(AE3346="me","   not ELP, by",IF(AND(OR(PlanterYesMe="Yes",PlanterYesMe="Y"),G3346&gt;0),(VLOOKUP(A3346,'Discount Lookup'!J:K,2)*G3346*(1-PlanterDiscount)*(1+PlanterDifficultyPercentage)),IF(AE3346="ELP",(VLOOKUP(A3346,'Discount Lookup'!J:K,2)*G3346*(1-PlanterDiscount)*(1+PlanterDifficultyPercentage)),IF(AE3346="free","re-planting",IF(G3346=0,"",IF(PlanterYesMe="",IF(AE3346="me","   not ELP, by",IF(AE3346="",IF(G3346&gt;0,(VLOOKUP(A3346,'Discount Lookup'!J:K,2)*G3346*(1-PlanterDiscount)*(1+PlanterDifficultyPercentage)),""),"")),"   not ELP, by"))))))))))))))</f>
        <v/>
      </c>
      <c r="AD3346" s="712"/>
      <c r="AE3346" s="513" t="str">
        <f t="shared" si="2540"/>
        <v/>
      </c>
      <c r="AF3346" s="713" t="str">
        <f t="shared" si="2541"/>
        <v/>
      </c>
      <c r="AG3346" s="713"/>
      <c r="AH3346" s="713"/>
      <c r="AI3346" s="112">
        <f>IF(H3346="credit",0,IF(AE3346="free",0,IF(AE3346="me",0,IF(G3346&gt;0,(VLOOKUP(A3346,'Discount Lookup'!J:K,2)*G3346),0))))</f>
        <v>0</v>
      </c>
      <c r="AJ3346" s="107" t="str">
        <f t="shared" ca="1" si="2542"/>
        <v/>
      </c>
      <c r="AK3346" s="714" t="str">
        <f t="shared" si="2543"/>
        <v/>
      </c>
      <c r="AL3346" s="714"/>
      <c r="AM3346" s="114" t="str">
        <f t="shared" si="2544"/>
        <v/>
      </c>
      <c r="AN3346" s="115"/>
      <c r="AO3346" s="116"/>
      <c r="AP3346" s="116"/>
      <c r="AQ3346" s="116"/>
      <c r="AR3346" s="116"/>
      <c r="AS3346" s="116"/>
      <c r="AT3346" s="116"/>
      <c r="AU3346" s="116"/>
      <c r="AV3346" s="78"/>
      <c r="AW3346" s="102"/>
      <c r="AX3346" s="78"/>
      <c r="AY3346" s="78"/>
      <c r="AZ3346" s="78"/>
      <c r="BA3346" s="78"/>
      <c r="BB3346" s="78"/>
      <c r="BC3346" s="78"/>
      <c r="BD3346" s="78"/>
      <c r="BE3346" s="465"/>
      <c r="BF3346" s="165" t="str">
        <f t="shared" si="2545"/>
        <v>https://www.google.com/search?tbm=isch&amp;q=15%20G4</v>
      </c>
      <c r="BG3346" s="165" t="str">
        <f t="shared" si="2546"/>
        <v>P</v>
      </c>
      <c r="BH3346" s="65"/>
      <c r="BI3346" s="65"/>
      <c r="BJ3346" s="65"/>
      <c r="BK3346" s="65"/>
      <c r="BL3346" s="99"/>
      <c r="BM3346" s="99"/>
      <c r="BN3346" s="99"/>
    </row>
    <row r="3347" spans="1:66" s="51" customFormat="1" ht="15.75" x14ac:dyDescent="0.25">
      <c r="A3347" s="634">
        <v>15</v>
      </c>
      <c r="B3347" s="635" t="s">
        <v>291</v>
      </c>
      <c r="C3347" s="636" t="s">
        <v>3816</v>
      </c>
      <c r="D3347" s="637" t="s">
        <v>311</v>
      </c>
      <c r="E3347" s="638">
        <v>171.95</v>
      </c>
      <c r="F3347" s="639" t="s">
        <v>292</v>
      </c>
      <c r="G3347" s="484">
        <v>0</v>
      </c>
      <c r="H3347" s="691" t="str">
        <f>IF(G3347=0,"",IF(F3347="Buy",IF(G3347=1,"plant","plants"),IF(F3347&gt;0.01,"warranty","Error")))</f>
        <v/>
      </c>
      <c r="I3347" s="640">
        <f>IF(H3347="free",0,IF(H3347="credit",((E3347*(F3347))*G3347*-1),IF(F3347="Buy",(E3347*G3347),((E3347*(1-F3347))*G3347))))</f>
        <v>0</v>
      </c>
      <c r="J3347" s="640">
        <f>IF(H3347="warranty",0,(I3347*(_xlfn.SINGLE(SalesTaxPercentage))))</f>
        <v>0</v>
      </c>
      <c r="K3347" s="716">
        <f t="shared" ref="K3347" si="2570">I3347+J3347</f>
        <v>0</v>
      </c>
      <c r="L3347" s="716"/>
      <c r="M3347" s="689" t="str">
        <f ca="1">IF(AND(G3347&gt;0,E3347=0),"WARNING - no PRICE inserted",IF(H3347="free","FREE ~ no charge this plant",IF(H3347="credit",CONCATENATE("-$",ROUND(K3347*(1-_xlfn.SINGLE(T2GDiscount))*-1,2)," CREDIT after discount"),IF(_xlfn.SINGLE(T2GDiscount)=0,"",IF(G3347=0,"",IF(F3347="Buy",CONCATENATE("$",ROUND(K3347*(1-_xlfn.SINGLE(T2GDiscount)),2)," with ",(_xlfn.SINGLE(T2GDiscount)*100),"% discount"),CONCATENATE("$",ROUND(K3347*(1-_xlfn.SINGLE(T2GDiscount)),2)," with ",((_xlfn.SINGLE(T2GDiscount)*100+F3347*100)-(_xlfn.SINGLE(T2GDiscount)*100*F3347)),IF(F3347&gt;0,"% discounts",IF(_xlfn.SINGLE(NoWarrantyDiscount)&gt;0,"% discounts","% discount")))))))))</f>
        <v/>
      </c>
      <c r="N3347" s="690"/>
      <c r="O3347" s="486"/>
      <c r="P3347" s="486"/>
      <c r="Q3347" s="486"/>
      <c r="R3347" s="486"/>
      <c r="S3347" s="486"/>
      <c r="T3347" s="102">
        <f t="shared" si="2534"/>
        <v>0</v>
      </c>
      <c r="U3347" s="78">
        <f>IF(NOT(ISNUMBER(G3347)), "", VLOOKUP(A3347,'Discount Lookup'!D:E,2,FALSE)*G3347)</f>
        <v>0</v>
      </c>
      <c r="V3347" s="78">
        <f>IF(NOT(ISNUMBER(G3347)), "", VLOOKUP(A3347,'Discount Lookup'!G:H,2,FALSE)*G3347)</f>
        <v>0</v>
      </c>
      <c r="W3347" s="102">
        <f t="shared" si="2535"/>
        <v>0</v>
      </c>
      <c r="X3347" s="102">
        <f t="shared" si="2536"/>
        <v>0</v>
      </c>
      <c r="Y3347" s="120" t="b">
        <f t="shared" si="2537"/>
        <v>0</v>
      </c>
      <c r="Z3347" s="117">
        <f t="shared" si="2538"/>
        <v>0</v>
      </c>
      <c r="AA3347" s="118"/>
      <c r="AB3347" s="118" t="str">
        <f t="shared" si="2539"/>
        <v/>
      </c>
      <c r="AC3347" s="712" t="str">
        <f>IF(AE3347="T2G","no charge",IF(AND(OR(PlanterYesMe="No",PlanterYesMe="N",PlanterYesMe="me"),H3347=""),"",IF(H3347="credit","NO install",IF(AND(K3347="",AE3347="me"),"EACH row",IF(AND(K3347="images",AE3347="me"),"EACH row",IF(D3347="","",IF(H3347="credit","",IF(AE3347="free","re-planting",IF(AE3347="me","   not ELP, by",IF(AND(OR(PlanterYesMe="Yes",PlanterYesMe="Y"),G3347&gt;0),(VLOOKUP(A3347,'Discount Lookup'!J:K,2)*G3347*(1-PlanterDiscount)*(1+PlanterDifficultyPercentage)),IF(AE3347="ELP",(VLOOKUP(A3347,'Discount Lookup'!J:K,2)*G3347*(1-PlanterDiscount)*(1+PlanterDifficultyPercentage)),IF(AE3347="free","re-planting",IF(G3347=0,"",IF(PlanterYesMe="",IF(AE3347="me","   not ELP, by",IF(AE3347="",IF(G3347&gt;0,(VLOOKUP(A3347,'Discount Lookup'!J:K,2)*G3347*(1-PlanterDiscount)*(1+PlanterDifficultyPercentage)),""),"")),"   not ELP, by"))))))))))))))</f>
        <v/>
      </c>
      <c r="AD3347" s="712"/>
      <c r="AE3347" s="513" t="str">
        <f t="shared" si="2540"/>
        <v/>
      </c>
      <c r="AF3347" s="713" t="str">
        <f t="shared" si="2541"/>
        <v/>
      </c>
      <c r="AG3347" s="713"/>
      <c r="AH3347" s="713"/>
      <c r="AI3347" s="112">
        <f>IF(H3347="credit",0,IF(AE3347="free",0,IF(AE3347="me",0,IF(G3347&gt;0,(VLOOKUP(A3347,'Discount Lookup'!J:K,2)*G3347),0))))</f>
        <v>0</v>
      </c>
      <c r="AJ3347" s="107" t="str">
        <f t="shared" ca="1" si="2542"/>
        <v/>
      </c>
      <c r="AK3347" s="714" t="str">
        <f t="shared" si="2543"/>
        <v/>
      </c>
      <c r="AL3347" s="714"/>
      <c r="AM3347" s="114" t="str">
        <f t="shared" si="2544"/>
        <v/>
      </c>
      <c r="AN3347" s="115"/>
      <c r="AO3347" s="116"/>
      <c r="AP3347" s="116"/>
      <c r="AQ3347" s="116"/>
      <c r="AR3347" s="116"/>
      <c r="AS3347" s="116"/>
      <c r="AT3347" s="116"/>
      <c r="AU3347" s="116"/>
      <c r="AV3347" s="78"/>
      <c r="AW3347" s="102"/>
      <c r="AX3347" s="78"/>
      <c r="AY3347" s="78"/>
      <c r="AZ3347" s="78"/>
      <c r="BA3347" s="78"/>
      <c r="BB3347" s="78"/>
      <c r="BC3347" s="78"/>
      <c r="BD3347" s="78"/>
      <c r="BE3347" s="465"/>
      <c r="BF3347" s="165" t="str">
        <f t="shared" si="2545"/>
        <v>https://www.google.com/search?tbm=isch&amp;q=15%20G5</v>
      </c>
      <c r="BG3347" s="165" t="str">
        <f t="shared" si="2546"/>
        <v>P</v>
      </c>
      <c r="BH3347" s="65"/>
      <c r="BI3347" s="65"/>
      <c r="BJ3347" s="65"/>
      <c r="BK3347" s="65"/>
      <c r="BL3347" s="99"/>
      <c r="BM3347" s="99"/>
      <c r="BN3347" s="99"/>
    </row>
    <row r="3348" spans="1:66" s="51" customFormat="1" ht="16.5" x14ac:dyDescent="0.25">
      <c r="A3348" s="641" t="s">
        <v>3817</v>
      </c>
      <c r="B3348" s="642"/>
      <c r="C3348" s="710"/>
      <c r="D3348" s="643"/>
      <c r="E3348" s="643"/>
      <c r="F3348" s="644"/>
      <c r="G3348" s="645"/>
      <c r="H3348" s="646"/>
      <c r="I3348" s="647"/>
      <c r="J3348" s="648"/>
      <c r="K3348" s="649"/>
      <c r="L3348" s="650"/>
      <c r="M3348" s="650"/>
      <c r="N3348" s="644"/>
      <c r="O3348" s="644"/>
      <c r="P3348" s="644"/>
      <c r="Q3348" s="644"/>
      <c r="R3348" s="644"/>
      <c r="S3348" s="651"/>
      <c r="T3348" s="102">
        <f t="shared" ref="T3348:T3411" si="2571">E3348*G3348</f>
        <v>0</v>
      </c>
      <c r="U3348" s="78" t="str">
        <f>IF(NOT(ISNUMBER(G3348)), "", VLOOKUP(A3348,'Discount Lookup'!D:E,2,FALSE)*G3348)</f>
        <v/>
      </c>
      <c r="V3348" s="78" t="str">
        <f>IF(NOT(ISNUMBER(G3348)), "", VLOOKUP(A3348,'Discount Lookup'!G:H,2,FALSE)*G3348)</f>
        <v/>
      </c>
      <c r="W3348" s="102">
        <f t="shared" ref="W3348:W3411" si="2572">IF(H3348="credit",0,E3348*(SalesTaxPercentage)*G3348)</f>
        <v>0</v>
      </c>
      <c r="X3348" s="102">
        <f t="shared" ref="X3348:X3411" si="2573">I3348</f>
        <v>0</v>
      </c>
      <c r="Y3348" s="120" t="b">
        <f t="shared" ref="Y3348:Y3411" si="2574">IF(AE3348="T2G",0,IF(H3348="credit",0,IF(G3348&gt;0,IF(AE3348="me","",G3348))))</f>
        <v>0</v>
      </c>
      <c r="Z3348" s="117">
        <f t="shared" ref="Z3348:Z3411" si="2575">IF(H3348="credit",G3348,0)</f>
        <v>0</v>
      </c>
      <c r="AA3348" s="118"/>
      <c r="AB3348" s="118" t="str">
        <f t="shared" ref="AB3348:AB3411" si="2576">IF(AE3348="T2G","by Trees2Go",IF(H3348="credit","CREDIT only ~",IF(AND(K3348="",AE3348=OR(PlanterYesMe="No",PlanterYesMe="N",PlanterYesMe="me")),"not THIS line⇨",IF(AND(K3348="images",AE3348="me"),"not THIS line⇨",IF(H3348="credit","",IF(G3348=0,"",IF(AE3348="me","",IF(OR(PlanterYesMe="No",PlanterYesMe="N",PlanterYesMe="me"),"",IF(AE3348="free","warranty",IF(OR(PlanterYesMe="yes",PlanterYesMe="y"),"Edison install:","to install:"))))))))))</f>
        <v/>
      </c>
      <c r="AC3348" s="712" t="str">
        <f>IF(AE3348="T2G","no charge",IF(AND(OR(PlanterYesMe="No",PlanterYesMe="N",PlanterYesMe="me"),H3348=""),"",IF(H3348="credit","NO install",IF(AND(K3348="",AE3348="me"),"EACH row",IF(AND(K3348="images",AE3348="me"),"EACH row",IF(D3348="","",IF(H3348="credit","",IF(AE3348="free","re-planting",IF(AE3348="me","   not ELP, by",IF(AND(OR(PlanterYesMe="Yes",PlanterYesMe="Y"),G3348&gt;0),(VLOOKUP(A3348,'Discount Lookup'!J:K,2)*G3348*(1-PlanterDiscount)*(1+PlanterDifficultyPercentage)),IF(AE3348="ELP",(VLOOKUP(A3348,'Discount Lookup'!J:K,2)*G3348*(1-PlanterDiscount)*(1+PlanterDifficultyPercentage)),IF(AE3348="free","re-planting",IF(G3348=0,"",IF(PlanterYesMe="",IF(AE3348="me","   not ELP, by",IF(AE3348="",IF(G3348&gt;0,(VLOOKUP(A3348,'Discount Lookup'!J:K,2)*G3348*(1-PlanterDiscount)*(1+PlanterDifficultyPercentage)),""),"")),"   not ELP, by"))))))))))))))</f>
        <v/>
      </c>
      <c r="AD3348" s="712"/>
      <c r="AE3348" s="513" t="str">
        <f t="shared" ref="AE3348:AE3411" si="2577">IF(H3348="credit","",IF(G3348=0,"",IF(OR(PlanterYesMe="No",PlanterYesMe="N",PlanterYesMe="me"),"me",IF(H3348="warranty","free",IF(OR(PlanterYesMe="yes",PlanterYesMe="y"),"ELP","")))))</f>
        <v/>
      </c>
      <c r="AF3348" s="713" t="str">
        <f t="shared" ref="AF3348:AF3411" si="2578">IF(OR(PlanterYesMe="No",PlanterYesMe="N",PlanterYesMe="me"),"",IF(H3348="credit","",IF(G3348&gt;0,(CONCATENATE((G3348)," quantity, ",(A3348)," ",B3348)),"")))</f>
        <v/>
      </c>
      <c r="AG3348" s="713"/>
      <c r="AH3348" s="713"/>
      <c r="AI3348" s="112">
        <f>IF(H3348="credit",0,IF(AE3348="free",0,IF(AE3348="me",0,IF(G3348&gt;0,(VLOOKUP(A3348,'Discount Lookup'!J:K,2)*G3348),0))))</f>
        <v>0</v>
      </c>
      <c r="AJ3348" s="107" t="str">
        <f t="shared" ref="AJ3348:AJ3411" ca="1" si="2579">IF(AND(ISREF(H3348),H3348="credit"),"",IF(AND(AND(OFFSET(G3348,0,0)=0,OFFSET(G3348,1,0)&gt;0,ISNUMBER(OFFSET(AC3348,1,0)),OFFSET(AC3348,1,0)&gt;0),OR(PlanterYesMe="yes",PlanterYesMe="y")),"T2G+ELP=",IF(AND(OFFSET(G3348,0,0)=0,OFFSET(G3348,1,0)&gt;0,ISNUMBER(OFFSET(AC3348,1,0)),OFFSET(AC3348,1,0)&gt;0),"if T2G+ELP=",IF(AND(OFFSET(G3348,0,0)=0,OFFSET(G3348,1,0)&gt;0),"T2G Subtotal",IF(H3348="credit","",IF(G3348=0,"",IF(AE3348="free",(K3348*(1-T2GDiscount)),IF(OR(PlanterYesMe="No",PlanterYesMe="N",PlanterYesMe="me"),(K3348*(1-T2GDiscount)),IF(OR(AE3348="me",AE3348="T2G"),(K3348*(1-T2GDiscount)),(K3348*(1-T2GDiscount))+AC3348)))))))))</f>
        <v/>
      </c>
      <c r="AK3348" s="714" t="str">
        <f t="shared" ref="AK3348:AK3411" si="2580">IF(H3348="credit","",IF(G3348=0,"",IF(OR(AE3348="me",AE3348="T2G"),"  delivery-only",IF(OR(PlanterYesMe="No",PlanterYesMe="N",PlanterYesMe="me"),"  delivery-only",CONCATENATE(" $",ROUND(AJ3348/G3348,2)," each")))))</f>
        <v/>
      </c>
      <c r="AL3348" s="714"/>
      <c r="AM3348" s="114" t="str">
        <f t="shared" ref="AM3348:AM3411" si="2581">IF(H3348="credit","",IF(AE3348="free","      ~ discounts included, no tax or planting fee applies ~",IF(G3348=0,"",IF(OR(PlanterYesMe="No",PlanterYesMe="N",PlanterYesMe="me"),CONCATENATE(" $",ROUND(AJ3348/G3348,2)," per plant, with tax &amp; discount"),IF(OR(AE3348="me",AE3348="T2G"),CONCATENATE(" $",ROUND(AJ3348/G3348,2)," per plant, with tax &amp; discount"),CONCATENATE("= $",ROUND((K3348*(1-T2GDiscount))/G3348,2)," per plant + $",AC3348/G3348,(" per planting      ~ includes tax &amp; discounts ~")))))))</f>
        <v/>
      </c>
      <c r="AN3348" s="115"/>
      <c r="AO3348" s="116"/>
      <c r="AP3348" s="116"/>
      <c r="AQ3348" s="116"/>
      <c r="AR3348" s="116"/>
      <c r="AS3348" s="116"/>
      <c r="AT3348" s="116"/>
      <c r="AU3348" s="116"/>
      <c r="AV3348" s="78"/>
      <c r="AW3348" s="102"/>
      <c r="AX3348" s="78"/>
      <c r="AY3348" s="78"/>
      <c r="AZ3348" s="78"/>
      <c r="BA3348" s="78"/>
      <c r="BB3348" s="78"/>
      <c r="BC3348" s="78"/>
      <c r="BD3348" s="78"/>
      <c r="BE3348" s="465"/>
      <c r="BF3348" s="165" t="str">
        <f t="shared" ref="BF3348:BF3411" si="2582">"https://www.google.com/search?tbm=isch&amp;q=" &amp; _xlfn.ENCODEURL($A3348 &amp; " " &amp; $D3348)</f>
        <v>https://www.google.com/search?tbm=isch&amp;q=Chinese%20Pistachio%20is%20gawky%20to%20start%2C%20but%20matures%20to%20a%20gorgeous%2C%20tough%20tree.%20Orange-Crimson%20fall.%20Tap%20root%20</v>
      </c>
      <c r="BG3348" s="165" t="str">
        <f t="shared" ref="BG3348:BG3411" si="2583">IF(ISTEXT(A3348),LEFT(A3348,1),BG3347)</f>
        <v>C</v>
      </c>
      <c r="BH3348" s="65"/>
      <c r="BI3348" s="65"/>
      <c r="BJ3348" s="65"/>
      <c r="BK3348" s="65"/>
      <c r="BL3348" s="99"/>
      <c r="BM3348" s="99"/>
      <c r="BN3348" s="99"/>
    </row>
    <row r="3349" spans="1:66" s="51" customFormat="1" ht="19.5" thickBot="1" x14ac:dyDescent="0.3">
      <c r="A3349" s="686" t="s">
        <v>699</v>
      </c>
      <c r="B3349" s="73"/>
      <c r="C3349" s="708"/>
      <c r="D3349" s="73"/>
      <c r="E3349" s="73"/>
      <c r="F3349" s="496"/>
      <c r="G3349" s="73"/>
      <c r="H3349" s="73"/>
      <c r="I3349" s="73"/>
      <c r="J3349" s="497" t="s">
        <v>357</v>
      </c>
      <c r="K3349" s="498"/>
      <c r="L3349" s="562"/>
      <c r="M3349" s="73"/>
      <c r="N3349"/>
      <c r="O3349"/>
      <c r="P3349"/>
      <c r="Q3349"/>
      <c r="R3349"/>
      <c r="S3349"/>
      <c r="T3349" s="102">
        <f t="shared" si="2571"/>
        <v>0</v>
      </c>
      <c r="U3349" s="78" t="str">
        <f>IF(NOT(ISNUMBER(G3349)), "", VLOOKUP(A3349,'Discount Lookup'!D:E,2,FALSE)*G3349)</f>
        <v/>
      </c>
      <c r="V3349" s="78" t="str">
        <f>IF(NOT(ISNUMBER(G3349)), "", VLOOKUP(A3349,'Discount Lookup'!G:H,2,FALSE)*G3349)</f>
        <v/>
      </c>
      <c r="W3349" s="102">
        <f t="shared" si="2572"/>
        <v>0</v>
      </c>
      <c r="X3349" s="102">
        <f t="shared" si="2573"/>
        <v>0</v>
      </c>
      <c r="Y3349" s="120" t="b">
        <f t="shared" si="2574"/>
        <v>0</v>
      </c>
      <c r="Z3349" s="117">
        <f t="shared" si="2575"/>
        <v>0</v>
      </c>
      <c r="AA3349" s="118"/>
      <c r="AB3349" s="118" t="str">
        <f t="shared" si="2576"/>
        <v/>
      </c>
      <c r="AC3349" s="712" t="str">
        <f>IF(AE3349="T2G","no charge",IF(AND(OR(PlanterYesMe="No",PlanterYesMe="N",PlanterYesMe="me"),H3349=""),"",IF(H3349="credit","NO install",IF(AND(K3349="",AE3349="me"),"EACH row",IF(AND(K3349="images",AE3349="me"),"EACH row",IF(D3349="","",IF(H3349="credit","",IF(AE3349="free","re-planting",IF(AE3349="me","   not ELP, by",IF(AND(OR(PlanterYesMe="Yes",PlanterYesMe="Y"),G3349&gt;0),(VLOOKUP(A3349,'Discount Lookup'!J:K,2)*G3349*(1-PlanterDiscount)*(1+PlanterDifficultyPercentage)),IF(AE3349="ELP",(VLOOKUP(A3349,'Discount Lookup'!J:K,2)*G3349*(1-PlanterDiscount)*(1+PlanterDifficultyPercentage)),IF(AE3349="free","re-planting",IF(G3349=0,"",IF(PlanterYesMe="",IF(AE3349="me","   not ELP, by",IF(AE3349="",IF(G3349&gt;0,(VLOOKUP(A3349,'Discount Lookup'!J:K,2)*G3349*(1-PlanterDiscount)*(1+PlanterDifficultyPercentage)),""),"")),"   not ELP, by"))))))))))))))</f>
        <v/>
      </c>
      <c r="AD3349" s="712"/>
      <c r="AE3349" s="513" t="str">
        <f t="shared" si="2577"/>
        <v/>
      </c>
      <c r="AF3349" s="713" t="str">
        <f t="shared" si="2578"/>
        <v/>
      </c>
      <c r="AG3349" s="713"/>
      <c r="AH3349" s="713"/>
      <c r="AI3349" s="112">
        <f>IF(H3349="credit",0,IF(AE3349="free",0,IF(AE3349="me",0,IF(G3349&gt;0,(VLOOKUP(A3349,'Discount Lookup'!J:K,2)*G3349),0))))</f>
        <v>0</v>
      </c>
      <c r="AJ3349" s="107" t="str">
        <f t="shared" ca="1" si="2579"/>
        <v/>
      </c>
      <c r="AK3349" s="714" t="str">
        <f t="shared" si="2580"/>
        <v/>
      </c>
      <c r="AL3349" s="714"/>
      <c r="AM3349" s="114" t="str">
        <f t="shared" si="2581"/>
        <v/>
      </c>
      <c r="AN3349" s="115"/>
      <c r="AO3349" s="116"/>
      <c r="AP3349" s="116"/>
      <c r="AQ3349" s="116"/>
      <c r="AR3349" s="116"/>
      <c r="AS3349" s="116"/>
      <c r="AT3349" s="116"/>
      <c r="AU3349" s="116"/>
      <c r="AV3349" s="78"/>
      <c r="AW3349" s="102"/>
      <c r="AX3349" s="78"/>
      <c r="AY3349" s="78"/>
      <c r="AZ3349" s="78"/>
      <c r="BA3349" s="78"/>
      <c r="BB3349" s="78"/>
      <c r="BC3349" s="78"/>
      <c r="BD3349" s="78"/>
      <c r="BE3349" s="465"/>
      <c r="BF3349" s="165" t="str">
        <f t="shared" si="2582"/>
        <v>https://www.google.com/search?tbm=isch&amp;q=Pittosporum%20%3D%20Pittosporum%20</v>
      </c>
      <c r="BG3349" s="165" t="str">
        <f t="shared" si="2583"/>
        <v>P</v>
      </c>
      <c r="BH3349" s="65"/>
      <c r="BI3349" s="65"/>
      <c r="BJ3349" s="65"/>
      <c r="BK3349" s="65"/>
      <c r="BL3349" s="99"/>
      <c r="BM3349" s="99"/>
      <c r="BN3349" s="99"/>
    </row>
    <row r="3350" spans="1:66" s="51" customFormat="1" ht="18" x14ac:dyDescent="0.25">
      <c r="A3350" s="507" t="s">
        <v>3818</v>
      </c>
      <c r="B3350" s="470"/>
      <c r="C3350" s="706"/>
      <c r="D3350" s="471" t="s">
        <v>5746</v>
      </c>
      <c r="E3350" s="472"/>
      <c r="F3350" s="472"/>
      <c r="G3350" s="472"/>
      <c r="H3350" s="622" t="s">
        <v>1104</v>
      </c>
      <c r="I3350" s="473" t="s">
        <v>1678</v>
      </c>
      <c r="J3350" s="472"/>
      <c r="K3350" s="472"/>
      <c r="L3350" s="561"/>
      <c r="M3350" s="703" t="s">
        <v>5260</v>
      </c>
      <c r="N3350" s="692" t="str">
        <f>IF(AND(ISTEXT($A3350), ISERROR($A3350+0)), HYPERLINK($BF3350, "Images"), "")</f>
        <v>Images</v>
      </c>
      <c r="O3350" s="694" t="s">
        <v>5244</v>
      </c>
      <c r="P3350" s="475"/>
      <c r="Q3350" s="476"/>
      <c r="R3350" s="476"/>
      <c r="S3350" s="477"/>
      <c r="T3350" s="102">
        <f t="shared" si="2571"/>
        <v>0</v>
      </c>
      <c r="U3350" s="78" t="str">
        <f>IF(NOT(ISNUMBER(G3350)), "", VLOOKUP(A3350,'Discount Lookup'!D:E,2,FALSE)*G3350)</f>
        <v/>
      </c>
      <c r="V3350" s="78" t="str">
        <f>IF(NOT(ISNUMBER(G3350)), "", VLOOKUP(A3350,'Discount Lookup'!G:H,2,FALSE)*G3350)</f>
        <v/>
      </c>
      <c r="W3350" s="102">
        <f t="shared" si="2572"/>
        <v>0</v>
      </c>
      <c r="X3350" s="102" t="str">
        <f t="shared" si="2573"/>
        <v>Green &amp; Yellow foliage</v>
      </c>
      <c r="Y3350" s="120" t="b">
        <f t="shared" si="2574"/>
        <v>0</v>
      </c>
      <c r="Z3350" s="117">
        <f t="shared" si="2575"/>
        <v>0</v>
      </c>
      <c r="AA3350" s="118"/>
      <c r="AB3350" s="118" t="str">
        <f t="shared" si="2576"/>
        <v/>
      </c>
      <c r="AC3350" s="712" t="str">
        <f>IF(AE3350="T2G","no charge",IF(AND(OR(PlanterYesMe="No",PlanterYesMe="N",PlanterYesMe="me"),H3350=""),"",IF(H3350="credit","NO install",IF(AND(K3350="",AE3350="me"),"EACH row",IF(AND(K3350="images",AE3350="me"),"EACH row",IF(D3350="","",IF(H3350="credit","",IF(AE3350="free","re-planting",IF(AE3350="me","   not ELP, by",IF(AND(OR(PlanterYesMe="Yes",PlanterYesMe="Y"),G3350&gt;0),(VLOOKUP(A3350,'Discount Lookup'!J:K,2)*G3350*(1-PlanterDiscount)*(1+PlanterDifficultyPercentage)),IF(AE3350="ELP",(VLOOKUP(A3350,'Discount Lookup'!J:K,2)*G3350*(1-PlanterDiscount)*(1+PlanterDifficultyPercentage)),IF(AE3350="free","re-planting",IF(G3350=0,"",IF(PlanterYesMe="",IF(AE3350="me","   not ELP, by",IF(AE3350="",IF(G3350&gt;0,(VLOOKUP(A3350,'Discount Lookup'!J:K,2)*G3350*(1-PlanterDiscount)*(1+PlanterDifficultyPercentage)),""),"")),"   not ELP, by"))))))))))))))</f>
        <v/>
      </c>
      <c r="AD3350" s="712"/>
      <c r="AE3350" s="513" t="str">
        <f t="shared" si="2577"/>
        <v/>
      </c>
      <c r="AF3350" s="713" t="str">
        <f t="shared" si="2578"/>
        <v/>
      </c>
      <c r="AG3350" s="713"/>
      <c r="AH3350" s="713"/>
      <c r="AI3350" s="112">
        <f>IF(H3350="credit",0,IF(AE3350="free",0,IF(AE3350="me",0,IF(G3350&gt;0,(VLOOKUP(A3350,'Discount Lookup'!J:K,2)*G3350),0))))</f>
        <v>0</v>
      </c>
      <c r="AJ3350" s="107" t="str">
        <f t="shared" ca="1" si="2579"/>
        <v/>
      </c>
      <c r="AK3350" s="714" t="str">
        <f t="shared" si="2580"/>
        <v/>
      </c>
      <c r="AL3350" s="714"/>
      <c r="AM3350" s="114" t="str">
        <f t="shared" si="2581"/>
        <v/>
      </c>
      <c r="AN3350" s="115"/>
      <c r="AO3350" s="116"/>
      <c r="AP3350" s="116"/>
      <c r="AQ3350" s="116"/>
      <c r="AR3350" s="116"/>
      <c r="AS3350" s="116"/>
      <c r="AT3350" s="116"/>
      <c r="AU3350" s="116"/>
      <c r="AV3350" s="78"/>
      <c r="AW3350" s="102"/>
      <c r="AX3350" s="78"/>
      <c r="AY3350" s="78"/>
      <c r="AZ3350" s="78"/>
      <c r="BA3350" s="78"/>
      <c r="BB3350" s="78"/>
      <c r="BC3350" s="78"/>
      <c r="BD3350" s="78"/>
      <c r="BE3350" s="465"/>
      <c r="BF3350" s="165" t="str">
        <f t="shared" si="2582"/>
        <v>https://www.google.com/search?tbm=isch&amp;q=Pittosporum%20tobira%20%27CNI%20Three%27%20PP%2316188%20Mojo%C2%AE%20Pittosporum</v>
      </c>
      <c r="BG3350" s="165" t="str">
        <f t="shared" si="2583"/>
        <v>P</v>
      </c>
      <c r="BH3350" s="65"/>
      <c r="BI3350" s="65"/>
      <c r="BJ3350" s="65"/>
      <c r="BK3350" s="65"/>
      <c r="BL3350" s="99"/>
      <c r="BM3350" s="99"/>
      <c r="BN3350" s="99"/>
    </row>
    <row r="3351" spans="1:66" s="51" customFormat="1" ht="15.75" x14ac:dyDescent="0.25">
      <c r="A3351" s="478">
        <v>1</v>
      </c>
      <c r="B3351" s="479" t="s">
        <v>291</v>
      </c>
      <c r="C3351" s="480" t="s">
        <v>3819</v>
      </c>
      <c r="D3351" s="481" t="s">
        <v>329</v>
      </c>
      <c r="E3351" s="482">
        <v>33.950000000000003</v>
      </c>
      <c r="F3351" s="483" t="s">
        <v>292</v>
      </c>
      <c r="G3351" s="484">
        <v>0</v>
      </c>
      <c r="H3351" s="688" t="str">
        <f>IF(G3351=0,"",IF(F3351="Buy",IF(G3351=1,"plant","plants"),IF(F3351&gt;0.01,"warranty","Error")))</f>
        <v/>
      </c>
      <c r="I3351" s="485">
        <f>IF(H3351="free",0,IF(H3351="credit",((E3351*(F3351))*G3351*-1),IF(F3351="Buy",(E3351*G3351),((E3351*(1-F3351))*G3351))))</f>
        <v>0</v>
      </c>
      <c r="J3351" s="485">
        <f>IF(H3351="warranty",0,(I3351*(_xlfn.SINGLE(SalesTaxPercentage))))</f>
        <v>0</v>
      </c>
      <c r="K3351" s="715">
        <f t="shared" ref="K3351" si="2584">I3351+J3351</f>
        <v>0</v>
      </c>
      <c r="L3351" s="715"/>
      <c r="M3351" s="689" t="str">
        <f ca="1">IF(AND(G3351&gt;0,E3351=0),"WARNING - no PRICE inserted",IF(H3351="free","FREE ~ no charge this plant",IF(H3351="credit",CONCATENATE("-$",ROUND(K3351*(1-_xlfn.SINGLE(T2GDiscount))*-1,2)," CREDIT after discount"),IF(_xlfn.SINGLE(T2GDiscount)=0,"",IF(G3351=0,"",IF(F3351="Buy",CONCATENATE("$",ROUND(K3351*(1-_xlfn.SINGLE(T2GDiscount)),2)," with ",(_xlfn.SINGLE(T2GDiscount)*100),"% discount"),CONCATENATE("$",ROUND(K3351*(1-_xlfn.SINGLE(T2GDiscount)),2)," with ",((_xlfn.SINGLE(T2GDiscount)*100+F3351*100)-(_xlfn.SINGLE(T2GDiscount)*100*F3351)),IF(F3351&gt;0,"% discounts",IF(_xlfn.SINGLE(NoWarrantyDiscount)&gt;0,"% discounts","% discount")))))))))</f>
        <v/>
      </c>
      <c r="N3351" s="690"/>
      <c r="O3351" s="486"/>
      <c r="P3351" s="486"/>
      <c r="Q3351" s="486"/>
      <c r="R3351" s="486"/>
      <c r="S3351" s="486"/>
      <c r="T3351" s="102">
        <f t="shared" si="2571"/>
        <v>0</v>
      </c>
      <c r="U3351" s="78">
        <f>IF(NOT(ISNUMBER(G3351)), "", VLOOKUP(A3351,'Discount Lookup'!D:E,2,FALSE)*G3351)</f>
        <v>0</v>
      </c>
      <c r="V3351" s="78">
        <f>IF(NOT(ISNUMBER(G3351)), "", VLOOKUP(A3351,'Discount Lookup'!G:H,2,FALSE)*G3351)</f>
        <v>0</v>
      </c>
      <c r="W3351" s="102">
        <f t="shared" si="2572"/>
        <v>0</v>
      </c>
      <c r="X3351" s="102">
        <f t="shared" si="2573"/>
        <v>0</v>
      </c>
      <c r="Y3351" s="120" t="b">
        <f t="shared" si="2574"/>
        <v>0</v>
      </c>
      <c r="Z3351" s="117">
        <f t="shared" si="2575"/>
        <v>0</v>
      </c>
      <c r="AA3351" s="118"/>
      <c r="AB3351" s="118" t="str">
        <f t="shared" si="2576"/>
        <v/>
      </c>
      <c r="AC3351" s="712" t="str">
        <f>IF(AE3351="T2G","no charge",IF(AND(OR(PlanterYesMe="No",PlanterYesMe="N",PlanterYesMe="me"),H3351=""),"",IF(H3351="credit","NO install",IF(AND(K3351="",AE3351="me"),"EACH row",IF(AND(K3351="images",AE3351="me"),"EACH row",IF(D3351="","",IF(H3351="credit","",IF(AE3351="free","re-planting",IF(AE3351="me","   not ELP, by",IF(AND(OR(PlanterYesMe="Yes",PlanterYesMe="Y"),G3351&gt;0),(VLOOKUP(A3351,'Discount Lookup'!J:K,2)*G3351*(1-PlanterDiscount)*(1+PlanterDifficultyPercentage)),IF(AE3351="ELP",(VLOOKUP(A3351,'Discount Lookup'!J:K,2)*G3351*(1-PlanterDiscount)*(1+PlanterDifficultyPercentage)),IF(AE3351="free","re-planting",IF(G3351=0,"",IF(PlanterYesMe="",IF(AE3351="me","   not ELP, by",IF(AE3351="",IF(G3351&gt;0,(VLOOKUP(A3351,'Discount Lookup'!J:K,2)*G3351*(1-PlanterDiscount)*(1+PlanterDifficultyPercentage)),""),"")),"   not ELP, by"))))))))))))))</f>
        <v/>
      </c>
      <c r="AD3351" s="712"/>
      <c r="AE3351" s="513" t="str">
        <f t="shared" si="2577"/>
        <v/>
      </c>
      <c r="AF3351" s="713" t="str">
        <f t="shared" si="2578"/>
        <v/>
      </c>
      <c r="AG3351" s="713"/>
      <c r="AH3351" s="713"/>
      <c r="AI3351" s="112">
        <f>IF(H3351="credit",0,IF(AE3351="free",0,IF(AE3351="me",0,IF(G3351&gt;0,(VLOOKUP(A3351,'Discount Lookup'!J:K,2)*G3351),0))))</f>
        <v>0</v>
      </c>
      <c r="AJ3351" s="107" t="str">
        <f t="shared" ca="1" si="2579"/>
        <v/>
      </c>
      <c r="AK3351" s="714" t="str">
        <f t="shared" si="2580"/>
        <v/>
      </c>
      <c r="AL3351" s="714"/>
      <c r="AM3351" s="114" t="str">
        <f t="shared" si="2581"/>
        <v/>
      </c>
      <c r="AN3351" s="115"/>
      <c r="AO3351" s="116"/>
      <c r="AP3351" s="116"/>
      <c r="AQ3351" s="116"/>
      <c r="AR3351" s="116"/>
      <c r="AS3351" s="116"/>
      <c r="AT3351" s="116"/>
      <c r="AU3351" s="116"/>
      <c r="AV3351" s="78"/>
      <c r="AW3351" s="102"/>
      <c r="AX3351" s="78"/>
      <c r="AY3351" s="78"/>
      <c r="AZ3351" s="78"/>
      <c r="BA3351" s="78"/>
      <c r="BB3351" s="78"/>
      <c r="BC3351" s="78"/>
      <c r="BD3351" s="78"/>
      <c r="BE3351" s="465"/>
      <c r="BF3351" s="165" t="str">
        <f t="shared" si="2582"/>
        <v>https://www.google.com/search?tbm=isch&amp;q=1%20G2</v>
      </c>
      <c r="BG3351" s="165" t="str">
        <f t="shared" si="2583"/>
        <v>P</v>
      </c>
      <c r="BH3351" s="65"/>
      <c r="BI3351" s="65"/>
      <c r="BJ3351" s="65"/>
      <c r="BK3351" s="65"/>
      <c r="BL3351" s="99"/>
      <c r="BM3351" s="99"/>
      <c r="BN3351" s="99"/>
    </row>
    <row r="3352" spans="1:66" s="51" customFormat="1" ht="15.75" x14ac:dyDescent="0.25">
      <c r="A3352" s="508" t="s">
        <v>4782</v>
      </c>
      <c r="B3352" s="487"/>
      <c r="C3352" s="707"/>
      <c r="D3352" s="487"/>
      <c r="E3352" s="487"/>
      <c r="F3352" s="488"/>
      <c r="G3352" s="489"/>
      <c r="H3352" s="487"/>
      <c r="I3352" s="490"/>
      <c r="J3352" s="490"/>
      <c r="K3352" s="491"/>
      <c r="L3352" s="547"/>
      <c r="M3352" s="528"/>
      <c r="N3352" s="492"/>
      <c r="O3352" s="493"/>
      <c r="P3352" s="494"/>
      <c r="Q3352" s="492"/>
      <c r="R3352" s="492"/>
      <c r="S3352" s="699" t="s">
        <v>5259</v>
      </c>
      <c r="T3352" s="102">
        <f t="shared" si="2571"/>
        <v>0</v>
      </c>
      <c r="U3352" s="78" t="str">
        <f>IF(NOT(ISNUMBER(G3352)), "", VLOOKUP(A3352,'Discount Lookup'!D:E,2,FALSE)*G3352)</f>
        <v/>
      </c>
      <c r="V3352" s="78" t="str">
        <f>IF(NOT(ISNUMBER(G3352)), "", VLOOKUP(A3352,'Discount Lookup'!G:H,2,FALSE)*G3352)</f>
        <v/>
      </c>
      <c r="W3352" s="102">
        <f t="shared" si="2572"/>
        <v>0</v>
      </c>
      <c r="X3352" s="102">
        <f t="shared" si="2573"/>
        <v>0</v>
      </c>
      <c r="Y3352" s="120" t="b">
        <f t="shared" si="2574"/>
        <v>0</v>
      </c>
      <c r="Z3352" s="117">
        <f t="shared" si="2575"/>
        <v>0</v>
      </c>
      <c r="AA3352" s="118"/>
      <c r="AB3352" s="118" t="str">
        <f t="shared" si="2576"/>
        <v/>
      </c>
      <c r="AC3352" s="712" t="str">
        <f>IF(AE3352="T2G","no charge",IF(AND(OR(PlanterYesMe="No",PlanterYesMe="N",PlanterYesMe="me"),H3352=""),"",IF(H3352="credit","NO install",IF(AND(K3352="",AE3352="me"),"EACH row",IF(AND(K3352="images",AE3352="me"),"EACH row",IF(D3352="","",IF(H3352="credit","",IF(AE3352="free","re-planting",IF(AE3352="me","   not ELP, by",IF(AND(OR(PlanterYesMe="Yes",PlanterYesMe="Y"),G3352&gt;0),(VLOOKUP(A3352,'Discount Lookup'!J:K,2)*G3352*(1-PlanterDiscount)*(1+PlanterDifficultyPercentage)),IF(AE3352="ELP",(VLOOKUP(A3352,'Discount Lookup'!J:K,2)*G3352*(1-PlanterDiscount)*(1+PlanterDifficultyPercentage)),IF(AE3352="free","re-planting",IF(G3352=0,"",IF(PlanterYesMe="",IF(AE3352="me","   not ELP, by",IF(AE3352="",IF(G3352&gt;0,(VLOOKUP(A3352,'Discount Lookup'!J:K,2)*G3352*(1-PlanterDiscount)*(1+PlanterDifficultyPercentage)),""),"")),"   not ELP, by"))))))))))))))</f>
        <v/>
      </c>
      <c r="AD3352" s="712"/>
      <c r="AE3352" s="513" t="str">
        <f t="shared" si="2577"/>
        <v/>
      </c>
      <c r="AF3352" s="713" t="str">
        <f t="shared" si="2578"/>
        <v/>
      </c>
      <c r="AG3352" s="713"/>
      <c r="AH3352" s="713"/>
      <c r="AI3352" s="112">
        <f>IF(H3352="credit",0,IF(AE3352="free",0,IF(AE3352="me",0,IF(G3352&gt;0,(VLOOKUP(A3352,'Discount Lookup'!J:K,2)*G3352),0))))</f>
        <v>0</v>
      </c>
      <c r="AJ3352" s="107" t="str">
        <f t="shared" ca="1" si="2579"/>
        <v/>
      </c>
      <c r="AK3352" s="714" t="str">
        <f t="shared" si="2580"/>
        <v/>
      </c>
      <c r="AL3352" s="714"/>
      <c r="AM3352" s="114" t="str">
        <f t="shared" si="2581"/>
        <v/>
      </c>
      <c r="AN3352" s="115"/>
      <c r="AO3352" s="116"/>
      <c r="AP3352" s="116"/>
      <c r="AQ3352" s="116"/>
      <c r="AR3352" s="116"/>
      <c r="AS3352" s="116"/>
      <c r="AT3352" s="116"/>
      <c r="AU3352" s="116"/>
      <c r="AV3352" s="78"/>
      <c r="AW3352" s="102"/>
      <c r="AX3352" s="78"/>
      <c r="AY3352" s="78"/>
      <c r="AZ3352" s="78"/>
      <c r="BA3352" s="78"/>
      <c r="BB3352" s="78"/>
      <c r="BC3352" s="78"/>
      <c r="BD3352" s="78"/>
      <c r="BE3352" s="465"/>
      <c r="BF3352" s="165" t="str">
        <f t="shared" si="2582"/>
        <v>https://www.google.com/search?tbm=isch&amp;q=Mojo%20dense%2C%20variegated%20foliage%20adds%20a%20consistent%20splash%20of%20color.%20Fragrant%20Creamy-White%20spring%20blooms%20smell%20like%20Orange%20blossoms%20</v>
      </c>
      <c r="BG3352" s="165" t="str">
        <f t="shared" si="2583"/>
        <v>M</v>
      </c>
      <c r="BH3352" s="65"/>
      <c r="BI3352" s="65"/>
      <c r="BJ3352" s="65"/>
      <c r="BK3352" s="65"/>
      <c r="BL3352" s="99"/>
      <c r="BM3352" s="99"/>
      <c r="BN3352" s="99"/>
    </row>
    <row r="3353" spans="1:66" s="51" customFormat="1" ht="19.5" thickBot="1" x14ac:dyDescent="0.3">
      <c r="A3353" s="686" t="s">
        <v>4945</v>
      </c>
      <c r="B3353" s="73"/>
      <c r="C3353" s="708"/>
      <c r="D3353" s="73"/>
      <c r="E3353" s="73"/>
      <c r="F3353" s="496"/>
      <c r="G3353" s="73"/>
      <c r="H3353" s="73"/>
      <c r="I3353" s="73"/>
      <c r="J3353" s="497" t="s">
        <v>357</v>
      </c>
      <c r="K3353" s="498"/>
      <c r="L3353" s="562"/>
      <c r="M3353" s="73"/>
      <c r="N3353"/>
      <c r="O3353"/>
      <c r="P3353"/>
      <c r="Q3353"/>
      <c r="R3353"/>
      <c r="S3353"/>
      <c r="T3353" s="102">
        <f t="shared" si="2571"/>
        <v>0</v>
      </c>
      <c r="U3353" s="78" t="str">
        <f>IF(NOT(ISNUMBER(G3353)), "", VLOOKUP(A3353,'Discount Lookup'!D:E,2,FALSE)*G3353)</f>
        <v/>
      </c>
      <c r="V3353" s="78" t="str">
        <f>IF(NOT(ISNUMBER(G3353)), "", VLOOKUP(A3353,'Discount Lookup'!G:H,2,FALSE)*G3353)</f>
        <v/>
      </c>
      <c r="W3353" s="102">
        <f t="shared" si="2572"/>
        <v>0</v>
      </c>
      <c r="X3353" s="102">
        <f t="shared" si="2573"/>
        <v>0</v>
      </c>
      <c r="Y3353" s="120" t="b">
        <f t="shared" si="2574"/>
        <v>0</v>
      </c>
      <c r="Z3353" s="117">
        <f t="shared" si="2575"/>
        <v>0</v>
      </c>
      <c r="AA3353" s="118"/>
      <c r="AB3353" s="118" t="str">
        <f t="shared" si="2576"/>
        <v/>
      </c>
      <c r="AC3353" s="712" t="str">
        <f>IF(AE3353="T2G","no charge",IF(AND(OR(PlanterYesMe="No",PlanterYesMe="N",PlanterYesMe="me"),H3353=""),"",IF(H3353="credit","NO install",IF(AND(K3353="",AE3353="me"),"EACH row",IF(AND(K3353="images",AE3353="me"),"EACH row",IF(D3353="","",IF(H3353="credit","",IF(AE3353="free","re-planting",IF(AE3353="me","   not ELP, by",IF(AND(OR(PlanterYesMe="Yes",PlanterYesMe="Y"),G3353&gt;0),(VLOOKUP(A3353,'Discount Lookup'!J:K,2)*G3353*(1-PlanterDiscount)*(1+PlanterDifficultyPercentage)),IF(AE3353="ELP",(VLOOKUP(A3353,'Discount Lookup'!J:K,2)*G3353*(1-PlanterDiscount)*(1+PlanterDifficultyPercentage)),IF(AE3353="free","re-planting",IF(G3353=0,"",IF(PlanterYesMe="",IF(AE3353="me","   not ELP, by",IF(AE3353="",IF(G3353&gt;0,(VLOOKUP(A3353,'Discount Lookup'!J:K,2)*G3353*(1-PlanterDiscount)*(1+PlanterDifficultyPercentage)),""),"")),"   not ELP, by"))))))))))))))</f>
        <v/>
      </c>
      <c r="AD3353" s="712"/>
      <c r="AE3353" s="513" t="str">
        <f t="shared" si="2577"/>
        <v/>
      </c>
      <c r="AF3353" s="713" t="str">
        <f t="shared" si="2578"/>
        <v/>
      </c>
      <c r="AG3353" s="713"/>
      <c r="AH3353" s="713"/>
      <c r="AI3353" s="112">
        <f>IF(H3353="credit",0,IF(AE3353="free",0,IF(AE3353="me",0,IF(G3353&gt;0,(VLOOKUP(A3353,'Discount Lookup'!J:K,2)*G3353),0))))</f>
        <v>0</v>
      </c>
      <c r="AJ3353" s="107" t="str">
        <f t="shared" ca="1" si="2579"/>
        <v/>
      </c>
      <c r="AK3353" s="714" t="str">
        <f t="shared" si="2580"/>
        <v/>
      </c>
      <c r="AL3353" s="714"/>
      <c r="AM3353" s="114" t="str">
        <f t="shared" si="2581"/>
        <v/>
      </c>
      <c r="AN3353" s="115"/>
      <c r="AO3353" s="116"/>
      <c r="AP3353" s="116"/>
      <c r="AQ3353" s="116"/>
      <c r="AR3353" s="116"/>
      <c r="AS3353" s="116"/>
      <c r="AT3353" s="116"/>
      <c r="AU3353" s="116"/>
      <c r="AV3353" s="78"/>
      <c r="AW3353" s="102"/>
      <c r="AX3353" s="78"/>
      <c r="AY3353" s="78"/>
      <c r="AZ3353" s="78"/>
      <c r="BA3353" s="78"/>
      <c r="BB3353" s="78"/>
      <c r="BC3353" s="78"/>
      <c r="BD3353" s="78"/>
      <c r="BE3353" s="465"/>
      <c r="BF3353" s="165" t="str">
        <f t="shared" si="2582"/>
        <v>https://www.google.com/search?tbm=isch&amp;q=Podocarpus%20%3D%20Podocarpus%20%28aka%20%22Shrub%20Yew%22%29%20</v>
      </c>
      <c r="BG3353" s="165" t="str">
        <f t="shared" si="2583"/>
        <v>P</v>
      </c>
      <c r="BH3353" s="65"/>
      <c r="BI3353" s="65"/>
      <c r="BJ3353" s="65"/>
      <c r="BK3353" s="65"/>
      <c r="BL3353" s="99"/>
      <c r="BM3353" s="99"/>
      <c r="BN3353" s="99"/>
    </row>
    <row r="3354" spans="1:66" s="51" customFormat="1" ht="18" x14ac:dyDescent="0.25">
      <c r="A3354" s="507" t="s">
        <v>3820</v>
      </c>
      <c r="B3354" s="470"/>
      <c r="C3354" s="706"/>
      <c r="D3354" s="471" t="s">
        <v>3821</v>
      </c>
      <c r="E3354" s="472"/>
      <c r="F3354" s="472"/>
      <c r="G3354" s="472"/>
      <c r="H3354" s="622" t="s">
        <v>340</v>
      </c>
      <c r="I3354" s="473" t="s">
        <v>431</v>
      </c>
      <c r="J3354" s="472"/>
      <c r="K3354" s="472"/>
      <c r="L3354" s="561"/>
      <c r="M3354" s="698" t="s">
        <v>5246</v>
      </c>
      <c r="N3354" s="692" t="str">
        <f>IF(AND(ISTEXT($A3354), ISERROR($A3354+0)), HYPERLINK($BF3354, "Images"), "")</f>
        <v>Images</v>
      </c>
      <c r="O3354" s="694" t="s">
        <v>5244</v>
      </c>
      <c r="P3354" s="475"/>
      <c r="Q3354" s="476"/>
      <c r="R3354" s="476"/>
      <c r="S3354" s="477"/>
      <c r="T3354" s="102">
        <f t="shared" si="2571"/>
        <v>0</v>
      </c>
      <c r="U3354" s="78" t="str">
        <f>IF(NOT(ISNUMBER(G3354)), "", VLOOKUP(A3354,'Discount Lookup'!D:E,2,FALSE)*G3354)</f>
        <v/>
      </c>
      <c r="V3354" s="78" t="str">
        <f>IF(NOT(ISNUMBER(G3354)), "", VLOOKUP(A3354,'Discount Lookup'!G:H,2,FALSE)*G3354)</f>
        <v/>
      </c>
      <c r="W3354" s="102">
        <f t="shared" si="2572"/>
        <v>0</v>
      </c>
      <c r="X3354" s="102" t="str">
        <f t="shared" si="2573"/>
        <v>Dark Green foliage</v>
      </c>
      <c r="Y3354" s="120" t="b">
        <f t="shared" si="2574"/>
        <v>0</v>
      </c>
      <c r="Z3354" s="117">
        <f t="shared" si="2575"/>
        <v>0</v>
      </c>
      <c r="AA3354" s="118"/>
      <c r="AB3354" s="118" t="str">
        <f t="shared" si="2576"/>
        <v/>
      </c>
      <c r="AC3354" s="712" t="str">
        <f>IF(AE3354="T2G","no charge",IF(AND(OR(PlanterYesMe="No",PlanterYesMe="N",PlanterYesMe="me"),H3354=""),"",IF(H3354="credit","NO install",IF(AND(K3354="",AE3354="me"),"EACH row",IF(AND(K3354="images",AE3354="me"),"EACH row",IF(D3354="","",IF(H3354="credit","",IF(AE3354="free","re-planting",IF(AE3354="me","   not ELP, by",IF(AND(OR(PlanterYesMe="Yes",PlanterYesMe="Y"),G3354&gt;0),(VLOOKUP(A3354,'Discount Lookup'!J:K,2)*G3354*(1-PlanterDiscount)*(1+PlanterDifficultyPercentage)),IF(AE3354="ELP",(VLOOKUP(A3354,'Discount Lookup'!J:K,2)*G3354*(1-PlanterDiscount)*(1+PlanterDifficultyPercentage)),IF(AE3354="free","re-planting",IF(G3354=0,"",IF(PlanterYesMe="",IF(AE3354="me","   not ELP, by",IF(AE3354="",IF(G3354&gt;0,(VLOOKUP(A3354,'Discount Lookup'!J:K,2)*G3354*(1-PlanterDiscount)*(1+PlanterDifficultyPercentage)),""),"")),"   not ELP, by"))))))))))))))</f>
        <v/>
      </c>
      <c r="AD3354" s="712"/>
      <c r="AE3354" s="513" t="str">
        <f t="shared" si="2577"/>
        <v/>
      </c>
      <c r="AF3354" s="713" t="str">
        <f t="shared" si="2578"/>
        <v/>
      </c>
      <c r="AG3354" s="713"/>
      <c r="AH3354" s="713"/>
      <c r="AI3354" s="112">
        <f>IF(H3354="credit",0,IF(AE3354="free",0,IF(AE3354="me",0,IF(G3354&gt;0,(VLOOKUP(A3354,'Discount Lookup'!J:K,2)*G3354),0))))</f>
        <v>0</v>
      </c>
      <c r="AJ3354" s="107" t="str">
        <f t="shared" ca="1" si="2579"/>
        <v/>
      </c>
      <c r="AK3354" s="714" t="str">
        <f t="shared" si="2580"/>
        <v/>
      </c>
      <c r="AL3354" s="714"/>
      <c r="AM3354" s="114" t="str">
        <f t="shared" si="2581"/>
        <v/>
      </c>
      <c r="AN3354" s="115"/>
      <c r="AO3354" s="116"/>
      <c r="AP3354" s="116"/>
      <c r="AQ3354" s="116"/>
      <c r="AR3354" s="116"/>
      <c r="AS3354" s="116"/>
      <c r="AT3354" s="116"/>
      <c r="AU3354" s="116"/>
      <c r="AV3354" s="78"/>
      <c r="AW3354" s="102"/>
      <c r="AX3354" s="78"/>
      <c r="AY3354" s="78"/>
      <c r="AZ3354" s="78"/>
      <c r="BA3354" s="78"/>
      <c r="BB3354" s="78"/>
      <c r="BC3354" s="78"/>
      <c r="BD3354" s="78"/>
      <c r="BE3354" s="465"/>
      <c r="BF3354" s="165" t="str">
        <f t="shared" si="2582"/>
        <v>https://www.google.com/search?tbm=isch&amp;q=Podocarpus%20macrophyllus%20%27Maki%27%20Maki%20Podocarpus</v>
      </c>
      <c r="BG3354" s="165" t="str">
        <f t="shared" si="2583"/>
        <v>P</v>
      </c>
      <c r="BH3354" s="65"/>
      <c r="BI3354" s="65"/>
      <c r="BJ3354" s="65"/>
      <c r="BK3354" s="65"/>
      <c r="BL3354" s="99"/>
      <c r="BM3354" s="99"/>
      <c r="BN3354" s="99"/>
    </row>
    <row r="3355" spans="1:66" s="51" customFormat="1" ht="15.75" x14ac:dyDescent="0.25">
      <c r="A3355" s="478">
        <v>3</v>
      </c>
      <c r="B3355" s="479" t="s">
        <v>291</v>
      </c>
      <c r="C3355" s="480" t="s">
        <v>4646</v>
      </c>
      <c r="D3355" s="481" t="s">
        <v>329</v>
      </c>
      <c r="E3355" s="482">
        <v>22.95</v>
      </c>
      <c r="F3355" s="483" t="s">
        <v>292</v>
      </c>
      <c r="G3355" s="484">
        <v>0</v>
      </c>
      <c r="H3355" s="688" t="str">
        <f>IF(G3355=0,"",IF(F3355="Buy",IF(G3355=1,"plant","plants"),IF(F3355&gt;0.01,"warranty","Error")))</f>
        <v/>
      </c>
      <c r="I3355" s="485">
        <f>IF(H3355="free",0,IF(H3355="credit",((E3355*(F3355))*G3355*-1),IF(F3355="Buy",(E3355*G3355),((E3355*(1-F3355))*G3355))))</f>
        <v>0</v>
      </c>
      <c r="J3355" s="485">
        <f>IF(H3355="warranty",0,(I3355*(_xlfn.SINGLE(SalesTaxPercentage))))</f>
        <v>0</v>
      </c>
      <c r="K3355" s="715">
        <f t="shared" ref="K3355" si="2585">I3355+J3355</f>
        <v>0</v>
      </c>
      <c r="L3355" s="715"/>
      <c r="M3355" s="689" t="str">
        <f ca="1">IF(AND(G3355&gt;0,E3355=0),"WARNING - no PRICE inserted",IF(H3355="free","FREE ~ no charge this plant",IF(H3355="credit",CONCATENATE("-$",ROUND(K3355*(1-_xlfn.SINGLE(T2GDiscount))*-1,2)," CREDIT after discount"),IF(_xlfn.SINGLE(T2GDiscount)=0,"",IF(G3355=0,"",IF(F3355="Buy",CONCATENATE("$",ROUND(K3355*(1-_xlfn.SINGLE(T2GDiscount)),2)," with ",(_xlfn.SINGLE(T2GDiscount)*100),"% discount"),CONCATENATE("$",ROUND(K3355*(1-_xlfn.SINGLE(T2GDiscount)),2)," with ",((_xlfn.SINGLE(T2GDiscount)*100+F3355*100)-(_xlfn.SINGLE(T2GDiscount)*100*F3355)),IF(F3355&gt;0,"% discounts",IF(_xlfn.SINGLE(NoWarrantyDiscount)&gt;0,"% discounts","% discount")))))))))</f>
        <v/>
      </c>
      <c r="N3355" s="690"/>
      <c r="O3355" s="486"/>
      <c r="P3355" s="486"/>
      <c r="Q3355" s="486"/>
      <c r="R3355" s="486"/>
      <c r="S3355" s="486"/>
      <c r="T3355" s="102">
        <f t="shared" si="2571"/>
        <v>0</v>
      </c>
      <c r="U3355" s="78">
        <f>IF(NOT(ISNUMBER(G3355)), "", VLOOKUP(A3355,'Discount Lookup'!D:E,2,FALSE)*G3355)</f>
        <v>0</v>
      </c>
      <c r="V3355" s="78">
        <f>IF(NOT(ISNUMBER(G3355)), "", VLOOKUP(A3355,'Discount Lookup'!G:H,2,FALSE)*G3355)</f>
        <v>0</v>
      </c>
      <c r="W3355" s="102">
        <f t="shared" si="2572"/>
        <v>0</v>
      </c>
      <c r="X3355" s="102">
        <f t="shared" si="2573"/>
        <v>0</v>
      </c>
      <c r="Y3355" s="120" t="b">
        <f t="shared" si="2574"/>
        <v>0</v>
      </c>
      <c r="Z3355" s="117">
        <f t="shared" si="2575"/>
        <v>0</v>
      </c>
      <c r="AA3355" s="118"/>
      <c r="AB3355" s="118" t="str">
        <f t="shared" si="2576"/>
        <v/>
      </c>
      <c r="AC3355" s="712" t="str">
        <f>IF(AE3355="T2G","no charge",IF(AND(OR(PlanterYesMe="No",PlanterYesMe="N",PlanterYesMe="me"),H3355=""),"",IF(H3355="credit","NO install",IF(AND(K3355="",AE3355="me"),"EACH row",IF(AND(K3355="images",AE3355="me"),"EACH row",IF(D3355="","",IF(H3355="credit","",IF(AE3355="free","re-planting",IF(AE3355="me","   not ELP, by",IF(AND(OR(PlanterYesMe="Yes",PlanterYesMe="Y"),G3355&gt;0),(VLOOKUP(A3355,'Discount Lookup'!J:K,2)*G3355*(1-PlanterDiscount)*(1+PlanterDifficultyPercentage)),IF(AE3355="ELP",(VLOOKUP(A3355,'Discount Lookup'!J:K,2)*G3355*(1-PlanterDiscount)*(1+PlanterDifficultyPercentage)),IF(AE3355="free","re-planting",IF(G3355=0,"",IF(PlanterYesMe="",IF(AE3355="me","   not ELP, by",IF(AE3355="",IF(G3355&gt;0,(VLOOKUP(A3355,'Discount Lookup'!J:K,2)*G3355*(1-PlanterDiscount)*(1+PlanterDifficultyPercentage)),""),"")),"   not ELP, by"))))))))))))))</f>
        <v/>
      </c>
      <c r="AD3355" s="712"/>
      <c r="AE3355" s="513" t="str">
        <f t="shared" si="2577"/>
        <v/>
      </c>
      <c r="AF3355" s="713" t="str">
        <f t="shared" si="2578"/>
        <v/>
      </c>
      <c r="AG3355" s="713"/>
      <c r="AH3355" s="713"/>
      <c r="AI3355" s="112">
        <f>IF(H3355="credit",0,IF(AE3355="free",0,IF(AE3355="me",0,IF(G3355&gt;0,(VLOOKUP(A3355,'Discount Lookup'!J:K,2)*G3355),0))))</f>
        <v>0</v>
      </c>
      <c r="AJ3355" s="107" t="str">
        <f t="shared" ca="1" si="2579"/>
        <v/>
      </c>
      <c r="AK3355" s="714" t="str">
        <f t="shared" si="2580"/>
        <v/>
      </c>
      <c r="AL3355" s="714"/>
      <c r="AM3355" s="114" t="str">
        <f t="shared" si="2581"/>
        <v/>
      </c>
      <c r="AN3355" s="115"/>
      <c r="AO3355" s="116"/>
      <c r="AP3355" s="116"/>
      <c r="AQ3355" s="116"/>
      <c r="AR3355" s="116"/>
      <c r="AS3355" s="116"/>
      <c r="AT3355" s="116"/>
      <c r="AU3355" s="116"/>
      <c r="AV3355" s="78"/>
      <c r="AW3355" s="102"/>
      <c r="AX3355" s="78"/>
      <c r="AY3355" s="78"/>
      <c r="AZ3355" s="78"/>
      <c r="BA3355" s="78"/>
      <c r="BB3355" s="78"/>
      <c r="BC3355" s="78"/>
      <c r="BD3355" s="78"/>
      <c r="BE3355" s="465"/>
      <c r="BF3355" s="165" t="str">
        <f t="shared" si="2582"/>
        <v>https://www.google.com/search?tbm=isch&amp;q=3%20G2</v>
      </c>
      <c r="BG3355" s="165" t="str">
        <f t="shared" si="2583"/>
        <v>P</v>
      </c>
      <c r="BH3355" s="65"/>
      <c r="BI3355" s="65"/>
      <c r="BJ3355" s="65"/>
      <c r="BK3355" s="65"/>
      <c r="BL3355" s="99"/>
      <c r="BM3355" s="99"/>
      <c r="BN3355" s="99"/>
    </row>
    <row r="3356" spans="1:66" s="51" customFormat="1" ht="15.75" x14ac:dyDescent="0.25">
      <c r="A3356" s="478">
        <v>15</v>
      </c>
      <c r="B3356" s="479" t="s">
        <v>291</v>
      </c>
      <c r="C3356" s="480" t="s">
        <v>4647</v>
      </c>
      <c r="D3356" s="481" t="s">
        <v>293</v>
      </c>
      <c r="E3356" s="482">
        <v>173.95</v>
      </c>
      <c r="F3356" s="483" t="s">
        <v>292</v>
      </c>
      <c r="G3356" s="484">
        <v>0</v>
      </c>
      <c r="H3356" s="688" t="str">
        <f>IF(G3356=0,"",IF(F3356="Buy",IF(G3356=1,"plant","plants"),IF(F3356&gt;0.01,"warranty","Error")))</f>
        <v/>
      </c>
      <c r="I3356" s="485">
        <f>IF(H3356="free",0,IF(H3356="credit",((E3356*(F3356))*G3356*-1),IF(F3356="Buy",(E3356*G3356),((E3356*(1-F3356))*G3356))))</f>
        <v>0</v>
      </c>
      <c r="J3356" s="485">
        <f>IF(H3356="warranty",0,(I3356*(_xlfn.SINGLE(SalesTaxPercentage))))</f>
        <v>0</v>
      </c>
      <c r="K3356" s="715">
        <f t="shared" ref="K3356" si="2586">I3356+J3356</f>
        <v>0</v>
      </c>
      <c r="L3356" s="715"/>
      <c r="M3356" s="689" t="str">
        <f ca="1">IF(AND(G3356&gt;0,E3356=0),"WARNING - no PRICE inserted",IF(H3356="free","FREE ~ no charge this plant",IF(H3356="credit",CONCATENATE("-$",ROUND(K3356*(1-_xlfn.SINGLE(T2GDiscount))*-1,2)," CREDIT after discount"),IF(_xlfn.SINGLE(T2GDiscount)=0,"",IF(G3356=0,"",IF(F3356="Buy",CONCATENATE("$",ROUND(K3356*(1-_xlfn.SINGLE(T2GDiscount)),2)," with ",(_xlfn.SINGLE(T2GDiscount)*100),"% discount"),CONCATENATE("$",ROUND(K3356*(1-_xlfn.SINGLE(T2GDiscount)),2)," with ",((_xlfn.SINGLE(T2GDiscount)*100+F3356*100)-(_xlfn.SINGLE(T2GDiscount)*100*F3356)),IF(F3356&gt;0,"% discounts",IF(_xlfn.SINGLE(NoWarrantyDiscount)&gt;0,"% discounts","% discount")))))))))</f>
        <v/>
      </c>
      <c r="N3356" s="690"/>
      <c r="O3356" s="486"/>
      <c r="P3356" s="486"/>
      <c r="Q3356" s="486"/>
      <c r="R3356" s="486"/>
      <c r="S3356" s="486"/>
      <c r="T3356" s="102">
        <f t="shared" si="2571"/>
        <v>0</v>
      </c>
      <c r="U3356" s="78">
        <f>IF(NOT(ISNUMBER(G3356)), "", VLOOKUP(A3356,'Discount Lookup'!D:E,2,FALSE)*G3356)</f>
        <v>0</v>
      </c>
      <c r="V3356" s="78">
        <f>IF(NOT(ISNUMBER(G3356)), "", VLOOKUP(A3356,'Discount Lookup'!G:H,2,FALSE)*G3356)</f>
        <v>0</v>
      </c>
      <c r="W3356" s="102">
        <f t="shared" si="2572"/>
        <v>0</v>
      </c>
      <c r="X3356" s="102">
        <f t="shared" si="2573"/>
        <v>0</v>
      </c>
      <c r="Y3356" s="120" t="b">
        <f t="shared" si="2574"/>
        <v>0</v>
      </c>
      <c r="Z3356" s="117">
        <f t="shared" si="2575"/>
        <v>0</v>
      </c>
      <c r="AA3356" s="118"/>
      <c r="AB3356" s="118" t="str">
        <f t="shared" si="2576"/>
        <v/>
      </c>
      <c r="AC3356" s="712" t="str">
        <f>IF(AE3356="T2G","no charge",IF(AND(OR(PlanterYesMe="No",PlanterYesMe="N",PlanterYesMe="me"),H3356=""),"",IF(H3356="credit","NO install",IF(AND(K3356="",AE3356="me"),"EACH row",IF(AND(K3356="images",AE3356="me"),"EACH row",IF(D3356="","",IF(H3356="credit","",IF(AE3356="free","re-planting",IF(AE3356="me","   not ELP, by",IF(AND(OR(PlanterYesMe="Yes",PlanterYesMe="Y"),G3356&gt;0),(VLOOKUP(A3356,'Discount Lookup'!J:K,2)*G3356*(1-PlanterDiscount)*(1+PlanterDifficultyPercentage)),IF(AE3356="ELP",(VLOOKUP(A3356,'Discount Lookup'!J:K,2)*G3356*(1-PlanterDiscount)*(1+PlanterDifficultyPercentage)),IF(AE3356="free","re-planting",IF(G3356=0,"",IF(PlanterYesMe="",IF(AE3356="me","   not ELP, by",IF(AE3356="",IF(G3356&gt;0,(VLOOKUP(A3356,'Discount Lookup'!J:K,2)*G3356*(1-PlanterDiscount)*(1+PlanterDifficultyPercentage)),""),"")),"   not ELP, by"))))))))))))))</f>
        <v/>
      </c>
      <c r="AD3356" s="712"/>
      <c r="AE3356" s="513" t="str">
        <f t="shared" si="2577"/>
        <v/>
      </c>
      <c r="AF3356" s="713" t="str">
        <f t="shared" si="2578"/>
        <v/>
      </c>
      <c r="AG3356" s="713"/>
      <c r="AH3356" s="713"/>
      <c r="AI3356" s="112">
        <f>IF(H3356="credit",0,IF(AE3356="free",0,IF(AE3356="me",0,IF(G3356&gt;0,(VLOOKUP(A3356,'Discount Lookup'!J:K,2)*G3356),0))))</f>
        <v>0</v>
      </c>
      <c r="AJ3356" s="107" t="str">
        <f t="shared" ca="1" si="2579"/>
        <v/>
      </c>
      <c r="AK3356" s="714" t="str">
        <f t="shared" si="2580"/>
        <v/>
      </c>
      <c r="AL3356" s="714"/>
      <c r="AM3356" s="114" t="str">
        <f t="shared" si="2581"/>
        <v/>
      </c>
      <c r="AN3356" s="115"/>
      <c r="AO3356" s="116"/>
      <c r="AP3356" s="116"/>
      <c r="AQ3356" s="116"/>
      <c r="AR3356" s="116"/>
      <c r="AS3356" s="116"/>
      <c r="AT3356" s="116"/>
      <c r="AU3356" s="116"/>
      <c r="AV3356" s="78"/>
      <c r="AW3356" s="102"/>
      <c r="AX3356" s="78"/>
      <c r="AY3356" s="78"/>
      <c r="AZ3356" s="78"/>
      <c r="BA3356" s="78"/>
      <c r="BB3356" s="78"/>
      <c r="BC3356" s="78"/>
      <c r="BD3356" s="78"/>
      <c r="BE3356" s="465"/>
      <c r="BF3356" s="165" t="str">
        <f t="shared" si="2582"/>
        <v>https://www.google.com/search?tbm=isch&amp;q=15%20G6</v>
      </c>
      <c r="BG3356" s="165" t="str">
        <f t="shared" si="2583"/>
        <v>P</v>
      </c>
      <c r="BH3356" s="65"/>
      <c r="BI3356" s="65"/>
      <c r="BJ3356" s="65"/>
      <c r="BK3356" s="65"/>
      <c r="BL3356" s="99"/>
      <c r="BM3356" s="99"/>
      <c r="BN3356" s="99"/>
    </row>
    <row r="3357" spans="1:66" s="51" customFormat="1" ht="16.5" thickBot="1" x14ac:dyDescent="0.3">
      <c r="A3357" s="508" t="s">
        <v>3822</v>
      </c>
      <c r="B3357" s="487"/>
      <c r="C3357" s="707"/>
      <c r="D3357" s="487"/>
      <c r="E3357" s="487"/>
      <c r="F3357" s="488"/>
      <c r="G3357" s="489"/>
      <c r="H3357" s="487"/>
      <c r="I3357" s="490"/>
      <c r="J3357" s="490"/>
      <c r="K3357" s="491"/>
      <c r="L3357" s="547"/>
      <c r="M3357" s="528"/>
      <c r="N3357" s="492"/>
      <c r="O3357" s="493"/>
      <c r="P3357" s="494"/>
      <c r="Q3357" s="492"/>
      <c r="R3357" s="492"/>
      <c r="S3357" s="495"/>
      <c r="T3357" s="102">
        <f t="shared" si="2571"/>
        <v>0</v>
      </c>
      <c r="U3357" s="78" t="str">
        <f>IF(NOT(ISNUMBER(G3357)), "", VLOOKUP(A3357,'Discount Lookup'!D:E,2,FALSE)*G3357)</f>
        <v/>
      </c>
      <c r="V3357" s="78" t="str">
        <f>IF(NOT(ISNUMBER(G3357)), "", VLOOKUP(A3357,'Discount Lookup'!G:H,2,FALSE)*G3357)</f>
        <v/>
      </c>
      <c r="W3357" s="102">
        <f t="shared" si="2572"/>
        <v>0</v>
      </c>
      <c r="X3357" s="102">
        <f t="shared" si="2573"/>
        <v>0</v>
      </c>
      <c r="Y3357" s="120" t="b">
        <f t="shared" si="2574"/>
        <v>0</v>
      </c>
      <c r="Z3357" s="117">
        <f t="shared" si="2575"/>
        <v>0</v>
      </c>
      <c r="AA3357" s="118"/>
      <c r="AB3357" s="118" t="str">
        <f t="shared" si="2576"/>
        <v/>
      </c>
      <c r="AC3357" s="712" t="str">
        <f>IF(AE3357="T2G","no charge",IF(AND(OR(PlanterYesMe="No",PlanterYesMe="N",PlanterYesMe="me"),H3357=""),"",IF(H3357="credit","NO install",IF(AND(K3357="",AE3357="me"),"EACH row",IF(AND(K3357="images",AE3357="me"),"EACH row",IF(D3357="","",IF(H3357="credit","",IF(AE3357="free","re-planting",IF(AE3357="me","   not ELP, by",IF(AND(OR(PlanterYesMe="Yes",PlanterYesMe="Y"),G3357&gt;0),(VLOOKUP(A3357,'Discount Lookup'!J:K,2)*G3357*(1-PlanterDiscount)*(1+PlanterDifficultyPercentage)),IF(AE3357="ELP",(VLOOKUP(A3357,'Discount Lookup'!J:K,2)*G3357*(1-PlanterDiscount)*(1+PlanterDifficultyPercentage)),IF(AE3357="free","re-planting",IF(G3357=0,"",IF(PlanterYesMe="",IF(AE3357="me","   not ELP, by",IF(AE3357="",IF(G3357&gt;0,(VLOOKUP(A3357,'Discount Lookup'!J:K,2)*G3357*(1-PlanterDiscount)*(1+PlanterDifficultyPercentage)),""),"")),"   not ELP, by"))))))))))))))</f>
        <v/>
      </c>
      <c r="AD3357" s="712"/>
      <c r="AE3357" s="513" t="str">
        <f t="shared" si="2577"/>
        <v/>
      </c>
      <c r="AF3357" s="713" t="str">
        <f t="shared" si="2578"/>
        <v/>
      </c>
      <c r="AG3357" s="713"/>
      <c r="AH3357" s="713"/>
      <c r="AI3357" s="112">
        <f>IF(H3357="credit",0,IF(AE3357="free",0,IF(AE3357="me",0,IF(G3357&gt;0,(VLOOKUP(A3357,'Discount Lookup'!J:K,2)*G3357),0))))</f>
        <v>0</v>
      </c>
      <c r="AJ3357" s="107" t="str">
        <f t="shared" ca="1" si="2579"/>
        <v/>
      </c>
      <c r="AK3357" s="714" t="str">
        <f t="shared" si="2580"/>
        <v/>
      </c>
      <c r="AL3357" s="714"/>
      <c r="AM3357" s="114" t="str">
        <f t="shared" si="2581"/>
        <v/>
      </c>
      <c r="AN3357" s="115"/>
      <c r="AO3357" s="116"/>
      <c r="AP3357" s="116"/>
      <c r="AQ3357" s="116"/>
      <c r="AR3357" s="116"/>
      <c r="AS3357" s="116"/>
      <c r="AT3357" s="116"/>
      <c r="AU3357" s="116"/>
      <c r="AV3357" s="78"/>
      <c r="AW3357" s="102"/>
      <c r="AX3357" s="78"/>
      <c r="AY3357" s="78"/>
      <c r="AZ3357" s="78"/>
      <c r="BA3357" s="78"/>
      <c r="BB3357" s="78"/>
      <c r="BC3357" s="78"/>
      <c r="BD3357" s="78"/>
      <c r="BE3357" s="465"/>
      <c r="BF3357" s="165" t="str">
        <f t="shared" si="2582"/>
        <v>https://www.google.com/search?tbm=isch&amp;q=Maki%20is%20dense%2C%20upright%2C%20and%20drought%20tolerant.%20Needle-like%20foliage%20is%20fragrant%20when%20crushed.%20Smooth%20Gray-Brown%20bark%20lightly%20fissures%20with%20age%20</v>
      </c>
      <c r="BG3357" s="165" t="str">
        <f t="shared" si="2583"/>
        <v>M</v>
      </c>
      <c r="BH3357" s="65"/>
      <c r="BI3357" s="65"/>
      <c r="BJ3357" s="65"/>
      <c r="BK3357" s="65"/>
      <c r="BL3357" s="99"/>
      <c r="BM3357" s="99"/>
      <c r="BN3357" s="99"/>
    </row>
    <row r="3358" spans="1:66" s="51" customFormat="1" ht="18" x14ac:dyDescent="0.25">
      <c r="A3358" s="507" t="s">
        <v>3823</v>
      </c>
      <c r="B3358" s="470"/>
      <c r="C3358" s="706"/>
      <c r="D3358" s="471" t="s">
        <v>5747</v>
      </c>
      <c r="E3358" s="472"/>
      <c r="F3358" s="472"/>
      <c r="G3358" s="472"/>
      <c r="H3358" s="622" t="s">
        <v>1704</v>
      </c>
      <c r="I3358" s="473" t="s">
        <v>3824</v>
      </c>
      <c r="J3358" s="472"/>
      <c r="K3358" s="472"/>
      <c r="L3358" s="561"/>
      <c r="M3358" s="698" t="s">
        <v>5246</v>
      </c>
      <c r="N3358" s="692" t="str">
        <f>IF(AND(ISTEXT($A3358), ISERROR($A3358+0)), HYPERLINK($BF3358, "Images"), "")</f>
        <v>Images</v>
      </c>
      <c r="O3358" s="694" t="s">
        <v>5244</v>
      </c>
      <c r="P3358" s="475"/>
      <c r="Q3358" s="476"/>
      <c r="R3358" s="476"/>
      <c r="S3358" s="477"/>
      <c r="T3358" s="102">
        <f t="shared" si="2571"/>
        <v>0</v>
      </c>
      <c r="U3358" s="78" t="str">
        <f>IF(NOT(ISNUMBER(G3358)), "", VLOOKUP(A3358,'Discount Lookup'!D:E,2,FALSE)*G3358)</f>
        <v/>
      </c>
      <c r="V3358" s="78" t="str">
        <f>IF(NOT(ISNUMBER(G3358)), "", VLOOKUP(A3358,'Discount Lookup'!G:H,2,FALSE)*G3358)</f>
        <v/>
      </c>
      <c r="W3358" s="102">
        <f t="shared" si="2572"/>
        <v>0</v>
      </c>
      <c r="X3358" s="102" t="str">
        <f t="shared" si="2573"/>
        <v>Green &amp; White foliage</v>
      </c>
      <c r="Y3358" s="120" t="b">
        <f t="shared" si="2574"/>
        <v>0</v>
      </c>
      <c r="Z3358" s="117">
        <f t="shared" si="2575"/>
        <v>0</v>
      </c>
      <c r="AA3358" s="118"/>
      <c r="AB3358" s="118" t="str">
        <f t="shared" si="2576"/>
        <v/>
      </c>
      <c r="AC3358" s="712" t="str">
        <f>IF(AE3358="T2G","no charge",IF(AND(OR(PlanterYesMe="No",PlanterYesMe="N",PlanterYesMe="me"),H3358=""),"",IF(H3358="credit","NO install",IF(AND(K3358="",AE3358="me"),"EACH row",IF(AND(K3358="images",AE3358="me"),"EACH row",IF(D3358="","",IF(H3358="credit","",IF(AE3358="free","re-planting",IF(AE3358="me","   not ELP, by",IF(AND(OR(PlanterYesMe="Yes",PlanterYesMe="Y"),G3358&gt;0),(VLOOKUP(A3358,'Discount Lookup'!J:K,2)*G3358*(1-PlanterDiscount)*(1+PlanterDifficultyPercentage)),IF(AE3358="ELP",(VLOOKUP(A3358,'Discount Lookup'!J:K,2)*G3358*(1-PlanterDiscount)*(1+PlanterDifficultyPercentage)),IF(AE3358="free","re-planting",IF(G3358=0,"",IF(PlanterYesMe="",IF(AE3358="me","   not ELP, by",IF(AE3358="",IF(G3358&gt;0,(VLOOKUP(A3358,'Discount Lookup'!J:K,2)*G3358*(1-PlanterDiscount)*(1+PlanterDifficultyPercentage)),""),"")),"   not ELP, by"))))))))))))))</f>
        <v/>
      </c>
      <c r="AD3358" s="712"/>
      <c r="AE3358" s="513" t="str">
        <f t="shared" si="2577"/>
        <v/>
      </c>
      <c r="AF3358" s="713" t="str">
        <f t="shared" si="2578"/>
        <v/>
      </c>
      <c r="AG3358" s="713"/>
      <c r="AH3358" s="713"/>
      <c r="AI3358" s="112">
        <f>IF(H3358="credit",0,IF(AE3358="free",0,IF(AE3358="me",0,IF(G3358&gt;0,(VLOOKUP(A3358,'Discount Lookup'!J:K,2)*G3358),0))))</f>
        <v>0</v>
      </c>
      <c r="AJ3358" s="107" t="str">
        <f t="shared" ca="1" si="2579"/>
        <v/>
      </c>
      <c r="AK3358" s="714" t="str">
        <f t="shared" si="2580"/>
        <v/>
      </c>
      <c r="AL3358" s="714"/>
      <c r="AM3358" s="114" t="str">
        <f t="shared" si="2581"/>
        <v/>
      </c>
      <c r="AN3358" s="115"/>
      <c r="AO3358" s="116"/>
      <c r="AP3358" s="116"/>
      <c r="AQ3358" s="116"/>
      <c r="AR3358" s="116"/>
      <c r="AS3358" s="116"/>
      <c r="AT3358" s="116"/>
      <c r="AU3358" s="116"/>
      <c r="AV3358" s="78"/>
      <c r="AW3358" s="102"/>
      <c r="AX3358" s="78"/>
      <c r="AY3358" s="78"/>
      <c r="AZ3358" s="78"/>
      <c r="BA3358" s="78"/>
      <c r="BB3358" s="78"/>
      <c r="BC3358" s="78"/>
      <c r="BD3358" s="78"/>
      <c r="BE3358" s="465"/>
      <c r="BF3358" s="165" t="str">
        <f t="shared" si="2582"/>
        <v>https://www.google.com/search?tbm=isch&amp;q=Podocarpus%20macrophyllus%20%27Miu%27%20PP%2328582%20Roman%20Candle%E2%84%A2%20Podocarpus</v>
      </c>
      <c r="BG3358" s="165" t="str">
        <f t="shared" si="2583"/>
        <v>P</v>
      </c>
      <c r="BH3358" s="65"/>
      <c r="BI3358" s="65"/>
      <c r="BJ3358" s="65"/>
      <c r="BK3358" s="65"/>
      <c r="BL3358" s="99"/>
      <c r="BM3358" s="99"/>
      <c r="BN3358" s="99"/>
    </row>
    <row r="3359" spans="1:66" s="51" customFormat="1" ht="15.75" x14ac:dyDescent="0.25">
      <c r="A3359" s="478">
        <v>1</v>
      </c>
      <c r="B3359" s="479" t="s">
        <v>291</v>
      </c>
      <c r="C3359" s="480" t="s">
        <v>2865</v>
      </c>
      <c r="D3359" s="481" t="s">
        <v>329</v>
      </c>
      <c r="E3359" s="482">
        <v>34.950000000000003</v>
      </c>
      <c r="F3359" s="483" t="s">
        <v>292</v>
      </c>
      <c r="G3359" s="484">
        <v>0</v>
      </c>
      <c r="H3359" s="688" t="str">
        <f>IF(G3359=0,"",IF(F3359="Buy",IF(G3359=1,"plant","plants"),IF(F3359&gt;0.01,"warranty","Error")))</f>
        <v/>
      </c>
      <c r="I3359" s="485">
        <f>IF(H3359="free",0,IF(H3359="credit",((E3359*(F3359))*G3359*-1),IF(F3359="Buy",(E3359*G3359),((E3359*(1-F3359))*G3359))))</f>
        <v>0</v>
      </c>
      <c r="J3359" s="485">
        <f>IF(H3359="warranty",0,(I3359*(_xlfn.SINGLE(SalesTaxPercentage))))</f>
        <v>0</v>
      </c>
      <c r="K3359" s="715">
        <f t="shared" ref="K3359" si="2587">I3359+J3359</f>
        <v>0</v>
      </c>
      <c r="L3359" s="715"/>
      <c r="M3359" s="689" t="str">
        <f ca="1">IF(AND(G3359&gt;0,E3359=0),"WARNING - no PRICE inserted",IF(H3359="free","FREE ~ no charge this plant",IF(H3359="credit",CONCATENATE("-$",ROUND(K3359*(1-_xlfn.SINGLE(T2GDiscount))*-1,2)," CREDIT after discount"),IF(_xlfn.SINGLE(T2GDiscount)=0,"",IF(G3359=0,"",IF(F3359="Buy",CONCATENATE("$",ROUND(K3359*(1-_xlfn.SINGLE(T2GDiscount)),2)," with ",(_xlfn.SINGLE(T2GDiscount)*100),"% discount"),CONCATENATE("$",ROUND(K3359*(1-_xlfn.SINGLE(T2GDiscount)),2)," with ",((_xlfn.SINGLE(T2GDiscount)*100+F3359*100)-(_xlfn.SINGLE(T2GDiscount)*100*F3359)),IF(F3359&gt;0,"% discounts",IF(_xlfn.SINGLE(NoWarrantyDiscount)&gt;0,"% discounts","% discount")))))))))</f>
        <v/>
      </c>
      <c r="N3359" s="690"/>
      <c r="O3359" s="486"/>
      <c r="P3359" s="486"/>
      <c r="Q3359" s="486"/>
      <c r="R3359" s="486"/>
      <c r="S3359" s="486"/>
      <c r="T3359" s="102">
        <f t="shared" si="2571"/>
        <v>0</v>
      </c>
      <c r="U3359" s="78">
        <f>IF(NOT(ISNUMBER(G3359)), "", VLOOKUP(A3359,'Discount Lookup'!D:E,2,FALSE)*G3359)</f>
        <v>0</v>
      </c>
      <c r="V3359" s="78">
        <f>IF(NOT(ISNUMBER(G3359)), "", VLOOKUP(A3359,'Discount Lookup'!G:H,2,FALSE)*G3359)</f>
        <v>0</v>
      </c>
      <c r="W3359" s="102">
        <f t="shared" si="2572"/>
        <v>0</v>
      </c>
      <c r="X3359" s="102">
        <f t="shared" si="2573"/>
        <v>0</v>
      </c>
      <c r="Y3359" s="120" t="b">
        <f t="shared" si="2574"/>
        <v>0</v>
      </c>
      <c r="Z3359" s="117">
        <f t="shared" si="2575"/>
        <v>0</v>
      </c>
      <c r="AA3359" s="118"/>
      <c r="AB3359" s="118" t="str">
        <f t="shared" si="2576"/>
        <v/>
      </c>
      <c r="AC3359" s="712" t="str">
        <f>IF(AE3359="T2G","no charge",IF(AND(OR(PlanterYesMe="No",PlanterYesMe="N",PlanterYesMe="me"),H3359=""),"",IF(H3359="credit","NO install",IF(AND(K3359="",AE3359="me"),"EACH row",IF(AND(K3359="images",AE3359="me"),"EACH row",IF(D3359="","",IF(H3359="credit","",IF(AE3359="free","re-planting",IF(AE3359="me","   not ELP, by",IF(AND(OR(PlanterYesMe="Yes",PlanterYesMe="Y"),G3359&gt;0),(VLOOKUP(A3359,'Discount Lookup'!J:K,2)*G3359*(1-PlanterDiscount)*(1+PlanterDifficultyPercentage)),IF(AE3359="ELP",(VLOOKUP(A3359,'Discount Lookup'!J:K,2)*G3359*(1-PlanterDiscount)*(1+PlanterDifficultyPercentage)),IF(AE3359="free","re-planting",IF(G3359=0,"",IF(PlanterYesMe="",IF(AE3359="me","   not ELP, by",IF(AE3359="",IF(G3359&gt;0,(VLOOKUP(A3359,'Discount Lookup'!J:K,2)*G3359*(1-PlanterDiscount)*(1+PlanterDifficultyPercentage)),""),"")),"   not ELP, by"))))))))))))))</f>
        <v/>
      </c>
      <c r="AD3359" s="712"/>
      <c r="AE3359" s="513" t="str">
        <f t="shared" si="2577"/>
        <v/>
      </c>
      <c r="AF3359" s="713" t="str">
        <f t="shared" si="2578"/>
        <v/>
      </c>
      <c r="AG3359" s="713"/>
      <c r="AH3359" s="713"/>
      <c r="AI3359" s="112">
        <f>IF(H3359="credit",0,IF(AE3359="free",0,IF(AE3359="me",0,IF(G3359&gt;0,(VLOOKUP(A3359,'Discount Lookup'!J:K,2)*G3359),0))))</f>
        <v>0</v>
      </c>
      <c r="AJ3359" s="107" t="str">
        <f t="shared" ca="1" si="2579"/>
        <v/>
      </c>
      <c r="AK3359" s="714" t="str">
        <f t="shared" si="2580"/>
        <v/>
      </c>
      <c r="AL3359" s="714"/>
      <c r="AM3359" s="114" t="str">
        <f t="shared" si="2581"/>
        <v/>
      </c>
      <c r="AN3359" s="115"/>
      <c r="AO3359" s="116"/>
      <c r="AP3359" s="116"/>
      <c r="AQ3359" s="116"/>
      <c r="AR3359" s="116"/>
      <c r="AS3359" s="116"/>
      <c r="AT3359" s="116"/>
      <c r="AU3359" s="116"/>
      <c r="AV3359" s="78"/>
      <c r="AW3359" s="102"/>
      <c r="AX3359" s="78"/>
      <c r="AY3359" s="78"/>
      <c r="AZ3359" s="78"/>
      <c r="BA3359" s="78"/>
      <c r="BB3359" s="78"/>
      <c r="BC3359" s="78"/>
      <c r="BD3359" s="78"/>
      <c r="BE3359" s="465"/>
      <c r="BF3359" s="165" t="str">
        <f t="shared" si="2582"/>
        <v>https://www.google.com/search?tbm=isch&amp;q=1%20G2</v>
      </c>
      <c r="BG3359" s="165" t="str">
        <f t="shared" si="2583"/>
        <v>P</v>
      </c>
      <c r="BH3359" s="65"/>
      <c r="BI3359" s="65"/>
      <c r="BJ3359" s="65"/>
      <c r="BK3359" s="65"/>
      <c r="BL3359" s="99"/>
      <c r="BM3359" s="99"/>
      <c r="BN3359" s="99"/>
    </row>
    <row r="3360" spans="1:66" s="51" customFormat="1" ht="15.75" x14ac:dyDescent="0.25">
      <c r="A3360" s="478">
        <v>3</v>
      </c>
      <c r="B3360" s="479" t="s">
        <v>291</v>
      </c>
      <c r="C3360" s="480" t="s">
        <v>5202</v>
      </c>
      <c r="D3360" s="481" t="s">
        <v>299</v>
      </c>
      <c r="E3360" s="482">
        <v>40.950000000000003</v>
      </c>
      <c r="F3360" s="483" t="s">
        <v>292</v>
      </c>
      <c r="G3360" s="484">
        <v>0</v>
      </c>
      <c r="H3360" s="688" t="str">
        <f>IF(G3360=0,"",IF(F3360="Buy",IF(G3360=1,"plant","plants"),IF(F3360&gt;0.01,"warranty","Error")))</f>
        <v/>
      </c>
      <c r="I3360" s="485">
        <f>IF(H3360="free",0,IF(H3360="credit",((E3360*(F3360))*G3360*-1),IF(F3360="Buy",(E3360*G3360),((E3360*(1-F3360))*G3360))))</f>
        <v>0</v>
      </c>
      <c r="J3360" s="485">
        <f>IF(H3360="warranty",0,(I3360*(_xlfn.SINGLE(SalesTaxPercentage))))</f>
        <v>0</v>
      </c>
      <c r="K3360" s="715">
        <f t="shared" ref="K3360" si="2588">I3360+J3360</f>
        <v>0</v>
      </c>
      <c r="L3360" s="715"/>
      <c r="M3360" s="689" t="str">
        <f ca="1">IF(AND(G3360&gt;0,E3360=0),"WARNING - no PRICE inserted",IF(H3360="free","FREE ~ no charge this plant",IF(H3360="credit",CONCATENATE("-$",ROUND(K3360*(1-_xlfn.SINGLE(T2GDiscount))*-1,2)," CREDIT after discount"),IF(_xlfn.SINGLE(T2GDiscount)=0,"",IF(G3360=0,"",IF(F3360="Buy",CONCATENATE("$",ROUND(K3360*(1-_xlfn.SINGLE(T2GDiscount)),2)," with ",(_xlfn.SINGLE(T2GDiscount)*100),"% discount"),CONCATENATE("$",ROUND(K3360*(1-_xlfn.SINGLE(T2GDiscount)),2)," with ",((_xlfn.SINGLE(T2GDiscount)*100+F3360*100)-(_xlfn.SINGLE(T2GDiscount)*100*F3360)),IF(F3360&gt;0,"% discounts",IF(_xlfn.SINGLE(NoWarrantyDiscount)&gt;0,"% discounts","% discount")))))))))</f>
        <v/>
      </c>
      <c r="N3360" s="690"/>
      <c r="O3360" s="486"/>
      <c r="P3360" s="486"/>
      <c r="Q3360" s="486"/>
      <c r="R3360" s="486"/>
      <c r="S3360" s="486"/>
      <c r="T3360" s="102">
        <f t="shared" si="2571"/>
        <v>0</v>
      </c>
      <c r="U3360" s="78">
        <f>IF(NOT(ISNUMBER(G3360)), "", VLOOKUP(A3360,'Discount Lookup'!D:E,2,FALSE)*G3360)</f>
        <v>0</v>
      </c>
      <c r="V3360" s="78">
        <f>IF(NOT(ISNUMBER(G3360)), "", VLOOKUP(A3360,'Discount Lookup'!G:H,2,FALSE)*G3360)</f>
        <v>0</v>
      </c>
      <c r="W3360" s="102">
        <f t="shared" si="2572"/>
        <v>0</v>
      </c>
      <c r="X3360" s="102">
        <f t="shared" si="2573"/>
        <v>0</v>
      </c>
      <c r="Y3360" s="120" t="b">
        <f t="shared" si="2574"/>
        <v>0</v>
      </c>
      <c r="Z3360" s="117">
        <f t="shared" si="2575"/>
        <v>0</v>
      </c>
      <c r="AA3360" s="118"/>
      <c r="AB3360" s="118" t="str">
        <f t="shared" si="2576"/>
        <v/>
      </c>
      <c r="AC3360" s="712" t="str">
        <f>IF(AE3360="T2G","no charge",IF(AND(OR(PlanterYesMe="No",PlanterYesMe="N",PlanterYesMe="me"),H3360=""),"",IF(H3360="credit","NO install",IF(AND(K3360="",AE3360="me"),"EACH row",IF(AND(K3360="images",AE3360="me"),"EACH row",IF(D3360="","",IF(H3360="credit","",IF(AE3360="free","re-planting",IF(AE3360="me","   not ELP, by",IF(AND(OR(PlanterYesMe="Yes",PlanterYesMe="Y"),G3360&gt;0),(VLOOKUP(A3360,'Discount Lookup'!J:K,2)*G3360*(1-PlanterDiscount)*(1+PlanterDifficultyPercentage)),IF(AE3360="ELP",(VLOOKUP(A3360,'Discount Lookup'!J:K,2)*G3360*(1-PlanterDiscount)*(1+PlanterDifficultyPercentage)),IF(AE3360="free","re-planting",IF(G3360=0,"",IF(PlanterYesMe="",IF(AE3360="me","   not ELP, by",IF(AE3360="",IF(G3360&gt;0,(VLOOKUP(A3360,'Discount Lookup'!J:K,2)*G3360*(1-PlanterDiscount)*(1+PlanterDifficultyPercentage)),""),"")),"   not ELP, by"))))))))))))))</f>
        <v/>
      </c>
      <c r="AD3360" s="712"/>
      <c r="AE3360" s="513" t="str">
        <f t="shared" si="2577"/>
        <v/>
      </c>
      <c r="AF3360" s="713" t="str">
        <f t="shared" si="2578"/>
        <v/>
      </c>
      <c r="AG3360" s="713"/>
      <c r="AH3360" s="713"/>
      <c r="AI3360" s="112">
        <f>IF(H3360="credit",0,IF(AE3360="free",0,IF(AE3360="me",0,IF(G3360&gt;0,(VLOOKUP(A3360,'Discount Lookup'!J:K,2)*G3360),0))))</f>
        <v>0</v>
      </c>
      <c r="AJ3360" s="107" t="str">
        <f t="shared" ca="1" si="2579"/>
        <v/>
      </c>
      <c r="AK3360" s="714" t="str">
        <f t="shared" si="2580"/>
        <v/>
      </c>
      <c r="AL3360" s="714"/>
      <c r="AM3360" s="114" t="str">
        <f t="shared" si="2581"/>
        <v/>
      </c>
      <c r="AN3360" s="115"/>
      <c r="AO3360" s="116"/>
      <c r="AP3360" s="116"/>
      <c r="AQ3360" s="116"/>
      <c r="AR3360" s="116"/>
      <c r="AS3360" s="116"/>
      <c r="AT3360" s="116"/>
      <c r="AU3360" s="116"/>
      <c r="AV3360" s="78"/>
      <c r="AW3360" s="102"/>
      <c r="AX3360" s="78"/>
      <c r="AY3360" s="78"/>
      <c r="AZ3360" s="78"/>
      <c r="BA3360" s="78"/>
      <c r="BB3360" s="78"/>
      <c r="BC3360" s="78"/>
      <c r="BD3360" s="78"/>
      <c r="BE3360" s="465"/>
      <c r="BF3360" s="165" t="str">
        <f t="shared" si="2582"/>
        <v>https://www.google.com/search?tbm=isch&amp;q=3%20G4</v>
      </c>
      <c r="BG3360" s="165" t="str">
        <f t="shared" si="2583"/>
        <v>P</v>
      </c>
      <c r="BH3360" s="65"/>
      <c r="BI3360" s="65"/>
      <c r="BJ3360" s="65"/>
      <c r="BK3360" s="65"/>
      <c r="BL3360" s="99"/>
      <c r="BM3360" s="99"/>
      <c r="BN3360" s="99"/>
    </row>
    <row r="3361" spans="1:66" s="51" customFormat="1" ht="15.75" x14ac:dyDescent="0.25">
      <c r="A3361" s="508" t="s">
        <v>4783</v>
      </c>
      <c r="B3361" s="487"/>
      <c r="C3361" s="707"/>
      <c r="D3361" s="487"/>
      <c r="E3361" s="487"/>
      <c r="F3361" s="488"/>
      <c r="G3361" s="489"/>
      <c r="H3361" s="487"/>
      <c r="I3361" s="490"/>
      <c r="J3361" s="490"/>
      <c r="K3361" s="491"/>
      <c r="L3361" s="547"/>
      <c r="M3361" s="528"/>
      <c r="N3361" s="492"/>
      <c r="O3361" s="493"/>
      <c r="P3361" s="494"/>
      <c r="Q3361" s="492"/>
      <c r="R3361" s="492"/>
      <c r="S3361" s="495"/>
      <c r="T3361" s="102">
        <f t="shared" si="2571"/>
        <v>0</v>
      </c>
      <c r="U3361" s="78" t="str">
        <f>IF(NOT(ISNUMBER(G3361)), "", VLOOKUP(A3361,'Discount Lookup'!D:E,2,FALSE)*G3361)</f>
        <v/>
      </c>
      <c r="V3361" s="78" t="str">
        <f>IF(NOT(ISNUMBER(G3361)), "", VLOOKUP(A3361,'Discount Lookup'!G:H,2,FALSE)*G3361)</f>
        <v/>
      </c>
      <c r="W3361" s="102">
        <f t="shared" si="2572"/>
        <v>0</v>
      </c>
      <c r="X3361" s="102">
        <f t="shared" si="2573"/>
        <v>0</v>
      </c>
      <c r="Y3361" s="120" t="b">
        <f t="shared" si="2574"/>
        <v>0</v>
      </c>
      <c r="Z3361" s="117">
        <f t="shared" si="2575"/>
        <v>0</v>
      </c>
      <c r="AA3361" s="118"/>
      <c r="AB3361" s="118" t="str">
        <f t="shared" si="2576"/>
        <v/>
      </c>
      <c r="AC3361" s="712" t="str">
        <f>IF(AE3361="T2G","no charge",IF(AND(OR(PlanterYesMe="No",PlanterYesMe="N",PlanterYesMe="me"),H3361=""),"",IF(H3361="credit","NO install",IF(AND(K3361="",AE3361="me"),"EACH row",IF(AND(K3361="images",AE3361="me"),"EACH row",IF(D3361="","",IF(H3361="credit","",IF(AE3361="free","re-planting",IF(AE3361="me","   not ELP, by",IF(AND(OR(PlanterYesMe="Yes",PlanterYesMe="Y"),G3361&gt;0),(VLOOKUP(A3361,'Discount Lookup'!J:K,2)*G3361*(1-PlanterDiscount)*(1+PlanterDifficultyPercentage)),IF(AE3361="ELP",(VLOOKUP(A3361,'Discount Lookup'!J:K,2)*G3361*(1-PlanterDiscount)*(1+PlanterDifficultyPercentage)),IF(AE3361="free","re-planting",IF(G3361=0,"",IF(PlanterYesMe="",IF(AE3361="me","   not ELP, by",IF(AE3361="",IF(G3361&gt;0,(VLOOKUP(A3361,'Discount Lookup'!J:K,2)*G3361*(1-PlanterDiscount)*(1+PlanterDifficultyPercentage)),""),"")),"   not ELP, by"))))))))))))))</f>
        <v/>
      </c>
      <c r="AD3361" s="712"/>
      <c r="AE3361" s="513" t="str">
        <f t="shared" si="2577"/>
        <v/>
      </c>
      <c r="AF3361" s="713" t="str">
        <f t="shared" si="2578"/>
        <v/>
      </c>
      <c r="AG3361" s="713"/>
      <c r="AH3361" s="713"/>
      <c r="AI3361" s="112">
        <f>IF(H3361="credit",0,IF(AE3361="free",0,IF(AE3361="me",0,IF(G3361&gt;0,(VLOOKUP(A3361,'Discount Lookup'!J:K,2)*G3361),0))))</f>
        <v>0</v>
      </c>
      <c r="AJ3361" s="107" t="str">
        <f t="shared" ca="1" si="2579"/>
        <v/>
      </c>
      <c r="AK3361" s="714" t="str">
        <f t="shared" si="2580"/>
        <v/>
      </c>
      <c r="AL3361" s="714"/>
      <c r="AM3361" s="114" t="str">
        <f t="shared" si="2581"/>
        <v/>
      </c>
      <c r="AN3361" s="115"/>
      <c r="AO3361" s="116"/>
      <c r="AP3361" s="116"/>
      <c r="AQ3361" s="116"/>
      <c r="AR3361" s="116"/>
      <c r="AS3361" s="116"/>
      <c r="AT3361" s="116"/>
      <c r="AU3361" s="116"/>
      <c r="AV3361" s="78"/>
      <c r="AW3361" s="102"/>
      <c r="AX3361" s="78"/>
      <c r="AY3361" s="78"/>
      <c r="AZ3361" s="78"/>
      <c r="BA3361" s="78"/>
      <c r="BB3361" s="78"/>
      <c r="BC3361" s="78"/>
      <c r="BD3361" s="78"/>
      <c r="BE3361" s="465"/>
      <c r="BF3361" s="165" t="str">
        <f t="shared" si="2582"/>
        <v>https://www.google.com/search?tbm=isch&amp;q=Roman%20Candle%20has%20a%20striking%20upright%20form%20and%20brilliant%20Creamy-White%20new%20growth%20that%20contrasts%20beautifully%20against%20mature%20Green%20foliage%20</v>
      </c>
      <c r="BG3361" s="165" t="str">
        <f t="shared" si="2583"/>
        <v>R</v>
      </c>
      <c r="BH3361" s="65"/>
      <c r="BI3361" s="65"/>
      <c r="BJ3361" s="65"/>
      <c r="BK3361" s="65"/>
      <c r="BL3361" s="99"/>
      <c r="BM3361" s="99"/>
      <c r="BN3361" s="99"/>
    </row>
    <row r="3362" spans="1:66" s="51" customFormat="1" ht="19.5" thickBot="1" x14ac:dyDescent="0.3">
      <c r="A3362" s="686" t="s">
        <v>701</v>
      </c>
      <c r="B3362" s="73"/>
      <c r="C3362" s="708"/>
      <c r="D3362" s="73"/>
      <c r="E3362" s="73"/>
      <c r="F3362" s="496"/>
      <c r="G3362" s="73"/>
      <c r="H3362" s="73"/>
      <c r="I3362" s="73"/>
      <c r="J3362" s="497" t="s">
        <v>357</v>
      </c>
      <c r="K3362" s="498"/>
      <c r="L3362" s="562"/>
      <c r="M3362" s="73"/>
      <c r="N3362"/>
      <c r="O3362"/>
      <c r="P3362"/>
      <c r="Q3362"/>
      <c r="R3362"/>
      <c r="S3362"/>
      <c r="T3362" s="102">
        <f t="shared" si="2571"/>
        <v>0</v>
      </c>
      <c r="U3362" s="78" t="str">
        <f>IF(NOT(ISNUMBER(G3362)), "", VLOOKUP(A3362,'Discount Lookup'!D:E,2,FALSE)*G3362)</f>
        <v/>
      </c>
      <c r="V3362" s="78" t="str">
        <f>IF(NOT(ISNUMBER(G3362)), "", VLOOKUP(A3362,'Discount Lookup'!G:H,2,FALSE)*G3362)</f>
        <v/>
      </c>
      <c r="W3362" s="102">
        <f t="shared" si="2572"/>
        <v>0</v>
      </c>
      <c r="X3362" s="102">
        <f t="shared" si="2573"/>
        <v>0</v>
      </c>
      <c r="Y3362" s="120" t="b">
        <f t="shared" si="2574"/>
        <v>0</v>
      </c>
      <c r="Z3362" s="117">
        <f t="shared" si="2575"/>
        <v>0</v>
      </c>
      <c r="AA3362" s="118"/>
      <c r="AB3362" s="118" t="str">
        <f t="shared" si="2576"/>
        <v/>
      </c>
      <c r="AC3362" s="712" t="str">
        <f>IF(AE3362="T2G","no charge",IF(AND(OR(PlanterYesMe="No",PlanterYesMe="N",PlanterYesMe="me"),H3362=""),"",IF(H3362="credit","NO install",IF(AND(K3362="",AE3362="me"),"EACH row",IF(AND(K3362="images",AE3362="me"),"EACH row",IF(D3362="","",IF(H3362="credit","",IF(AE3362="free","re-planting",IF(AE3362="me","   not ELP, by",IF(AND(OR(PlanterYesMe="Yes",PlanterYesMe="Y"),G3362&gt;0),(VLOOKUP(A3362,'Discount Lookup'!J:K,2)*G3362*(1-PlanterDiscount)*(1+PlanterDifficultyPercentage)),IF(AE3362="ELP",(VLOOKUP(A3362,'Discount Lookup'!J:K,2)*G3362*(1-PlanterDiscount)*(1+PlanterDifficultyPercentage)),IF(AE3362="free","re-planting",IF(G3362=0,"",IF(PlanterYesMe="",IF(AE3362="me","   not ELP, by",IF(AE3362="",IF(G3362&gt;0,(VLOOKUP(A3362,'Discount Lookup'!J:K,2)*G3362*(1-PlanterDiscount)*(1+PlanterDifficultyPercentage)),""),"")),"   not ELP, by"))))))))))))))</f>
        <v/>
      </c>
      <c r="AD3362" s="712"/>
      <c r="AE3362" s="513" t="str">
        <f t="shared" si="2577"/>
        <v/>
      </c>
      <c r="AF3362" s="713" t="str">
        <f t="shared" si="2578"/>
        <v/>
      </c>
      <c r="AG3362" s="713"/>
      <c r="AH3362" s="713"/>
      <c r="AI3362" s="112">
        <f>IF(H3362="credit",0,IF(AE3362="free",0,IF(AE3362="me",0,IF(G3362&gt;0,(VLOOKUP(A3362,'Discount Lookup'!J:K,2)*G3362),0))))</f>
        <v>0</v>
      </c>
      <c r="AJ3362" s="107" t="str">
        <f t="shared" ca="1" si="2579"/>
        <v/>
      </c>
      <c r="AK3362" s="714" t="str">
        <f t="shared" si="2580"/>
        <v/>
      </c>
      <c r="AL3362" s="714"/>
      <c r="AM3362" s="114" t="str">
        <f t="shared" si="2581"/>
        <v/>
      </c>
      <c r="AN3362" s="115"/>
      <c r="AO3362" s="116"/>
      <c r="AP3362" s="116"/>
      <c r="AQ3362" s="116"/>
      <c r="AR3362" s="116"/>
      <c r="AS3362" s="116"/>
      <c r="AT3362" s="116"/>
      <c r="AU3362" s="116"/>
      <c r="AV3362" s="78"/>
      <c r="AW3362" s="102"/>
      <c r="AX3362" s="78"/>
      <c r="AY3362" s="78"/>
      <c r="AZ3362" s="78"/>
      <c r="BA3362" s="78"/>
      <c r="BB3362" s="78"/>
      <c r="BC3362" s="78"/>
      <c r="BD3362" s="78"/>
      <c r="BE3362" s="465"/>
      <c r="BF3362" s="165" t="str">
        <f t="shared" si="2582"/>
        <v>https://www.google.com/search?tbm=isch&amp;q=Poliothyrsis%20%3D%20Chinese%20Pearlbloom%20</v>
      </c>
      <c r="BG3362" s="165" t="str">
        <f t="shared" si="2583"/>
        <v>P</v>
      </c>
      <c r="BH3362" s="65"/>
      <c r="BI3362" s="65"/>
      <c r="BJ3362" s="65"/>
      <c r="BK3362" s="65"/>
      <c r="BL3362" s="99"/>
      <c r="BM3362" s="99"/>
      <c r="BN3362" s="99"/>
    </row>
    <row r="3363" spans="1:66" s="51" customFormat="1" ht="18" x14ac:dyDescent="0.25">
      <c r="A3363" s="623" t="s">
        <v>3825</v>
      </c>
      <c r="B3363" s="624"/>
      <c r="C3363" s="709"/>
      <c r="D3363" s="625" t="s">
        <v>3826</v>
      </c>
      <c r="E3363" s="626"/>
      <c r="F3363" s="626"/>
      <c r="G3363" s="626"/>
      <c r="H3363" s="622" t="s">
        <v>1390</v>
      </c>
      <c r="I3363" s="627" t="s">
        <v>350</v>
      </c>
      <c r="J3363" s="628"/>
      <c r="K3363" s="628"/>
      <c r="L3363" s="629"/>
      <c r="M3363" s="700" t="s">
        <v>5249</v>
      </c>
      <c r="N3363" s="693" t="str">
        <f>IF(AND(ISTEXT($A3363), ISERROR($A3363+0)), HYPERLINK($BF3363, "Images"), "")</f>
        <v>Images</v>
      </c>
      <c r="O3363" s="695" t="s">
        <v>5247</v>
      </c>
      <c r="P3363" s="630"/>
      <c r="Q3363" s="631"/>
      <c r="R3363" s="632"/>
      <c r="S3363" s="633"/>
      <c r="T3363" s="102">
        <f t="shared" si="2571"/>
        <v>0</v>
      </c>
      <c r="U3363" s="78" t="str">
        <f>IF(NOT(ISNUMBER(G3363)), "", VLOOKUP(A3363,'Discount Lookup'!D:E,2,FALSE)*G3363)</f>
        <v/>
      </c>
      <c r="V3363" s="78" t="str">
        <f>IF(NOT(ISNUMBER(G3363)), "", VLOOKUP(A3363,'Discount Lookup'!G:H,2,FALSE)*G3363)</f>
        <v/>
      </c>
      <c r="W3363" s="102">
        <f t="shared" si="2572"/>
        <v>0</v>
      </c>
      <c r="X3363" s="102" t="str">
        <f t="shared" si="2573"/>
        <v>Creamy White bloom</v>
      </c>
      <c r="Y3363" s="120" t="b">
        <f t="shared" si="2574"/>
        <v>0</v>
      </c>
      <c r="Z3363" s="117">
        <f t="shared" si="2575"/>
        <v>0</v>
      </c>
      <c r="AA3363" s="118"/>
      <c r="AB3363" s="118" t="str">
        <f t="shared" si="2576"/>
        <v/>
      </c>
      <c r="AC3363" s="712" t="str">
        <f>IF(AE3363="T2G","no charge",IF(AND(OR(PlanterYesMe="No",PlanterYesMe="N",PlanterYesMe="me"),H3363=""),"",IF(H3363="credit","NO install",IF(AND(K3363="",AE3363="me"),"EACH row",IF(AND(K3363="images",AE3363="me"),"EACH row",IF(D3363="","",IF(H3363="credit","",IF(AE3363="free","re-planting",IF(AE3363="me","   not ELP, by",IF(AND(OR(PlanterYesMe="Yes",PlanterYesMe="Y"),G3363&gt;0),(VLOOKUP(A3363,'Discount Lookup'!J:K,2)*G3363*(1-PlanterDiscount)*(1+PlanterDifficultyPercentage)),IF(AE3363="ELP",(VLOOKUP(A3363,'Discount Lookup'!J:K,2)*G3363*(1-PlanterDiscount)*(1+PlanterDifficultyPercentage)),IF(AE3363="free","re-planting",IF(G3363=0,"",IF(PlanterYesMe="",IF(AE3363="me","   not ELP, by",IF(AE3363="",IF(G3363&gt;0,(VLOOKUP(A3363,'Discount Lookup'!J:K,2)*G3363*(1-PlanterDiscount)*(1+PlanterDifficultyPercentage)),""),"")),"   not ELP, by"))))))))))))))</f>
        <v/>
      </c>
      <c r="AD3363" s="712"/>
      <c r="AE3363" s="513" t="str">
        <f t="shared" si="2577"/>
        <v/>
      </c>
      <c r="AF3363" s="713" t="str">
        <f t="shared" si="2578"/>
        <v/>
      </c>
      <c r="AG3363" s="713"/>
      <c r="AH3363" s="713"/>
      <c r="AI3363" s="112">
        <f>IF(H3363="credit",0,IF(AE3363="free",0,IF(AE3363="me",0,IF(G3363&gt;0,(VLOOKUP(A3363,'Discount Lookup'!J:K,2)*G3363),0))))</f>
        <v>0</v>
      </c>
      <c r="AJ3363" s="107" t="str">
        <f t="shared" ca="1" si="2579"/>
        <v/>
      </c>
      <c r="AK3363" s="714" t="str">
        <f t="shared" si="2580"/>
        <v/>
      </c>
      <c r="AL3363" s="714"/>
      <c r="AM3363" s="114" t="str">
        <f t="shared" si="2581"/>
        <v/>
      </c>
      <c r="AN3363" s="115"/>
      <c r="AO3363" s="116"/>
      <c r="AP3363" s="116"/>
      <c r="AQ3363" s="116"/>
      <c r="AR3363" s="116"/>
      <c r="AS3363" s="116"/>
      <c r="AT3363" s="116"/>
      <c r="AU3363" s="116"/>
      <c r="AV3363" s="78"/>
      <c r="AW3363" s="102"/>
      <c r="AX3363" s="78"/>
      <c r="AY3363" s="78"/>
      <c r="AZ3363" s="78"/>
      <c r="BA3363" s="78"/>
      <c r="BB3363" s="78"/>
      <c r="BC3363" s="78"/>
      <c r="BD3363" s="78"/>
      <c r="BE3363" s="465"/>
      <c r="BF3363" s="165" t="str">
        <f t="shared" si="2582"/>
        <v>https://www.google.com/search?tbm=isch&amp;q=Poliothyrsis%20sinensis%20Chinese%20Pearlbloom</v>
      </c>
      <c r="BG3363" s="165" t="str">
        <f t="shared" si="2583"/>
        <v>P</v>
      </c>
      <c r="BH3363" s="65"/>
      <c r="BI3363" s="65"/>
      <c r="BJ3363" s="65"/>
      <c r="BK3363" s="65"/>
      <c r="BL3363" s="99"/>
      <c r="BM3363" s="99"/>
      <c r="BN3363" s="99"/>
    </row>
    <row r="3364" spans="1:66" s="51" customFormat="1" ht="15.75" x14ac:dyDescent="0.25">
      <c r="A3364" s="634">
        <v>25</v>
      </c>
      <c r="B3364" s="635" t="s">
        <v>291</v>
      </c>
      <c r="C3364" s="636" t="s">
        <v>3827</v>
      </c>
      <c r="D3364" s="637" t="s">
        <v>299</v>
      </c>
      <c r="E3364" s="638">
        <v>401.95</v>
      </c>
      <c r="F3364" s="639" t="s">
        <v>292</v>
      </c>
      <c r="G3364" s="484">
        <v>0</v>
      </c>
      <c r="H3364" s="691" t="str">
        <f>IF(G3364=0,"",IF(F3364="Buy",IF(G3364=1,"plant","plants"),IF(F3364&gt;0.01,"warranty","Error")))</f>
        <v/>
      </c>
      <c r="I3364" s="640">
        <f>IF(H3364="free",0,IF(H3364="credit",((E3364*(F3364))*G3364*-1),IF(F3364="Buy",(E3364*G3364),((E3364*(1-F3364))*G3364))))</f>
        <v>0</v>
      </c>
      <c r="J3364" s="640">
        <f>IF(H3364="warranty",0,(I3364*(_xlfn.SINGLE(SalesTaxPercentage))))</f>
        <v>0</v>
      </c>
      <c r="K3364" s="716">
        <f t="shared" ref="K3364" si="2589">I3364+J3364</f>
        <v>0</v>
      </c>
      <c r="L3364" s="716"/>
      <c r="M3364" s="689" t="str">
        <f ca="1">IF(AND(G3364&gt;0,E3364=0),"WARNING - no PRICE inserted",IF(H3364="free","FREE ~ no charge this plant",IF(H3364="credit",CONCATENATE("-$",ROUND(K3364*(1-_xlfn.SINGLE(T2GDiscount))*-1,2)," CREDIT after discount"),IF(_xlfn.SINGLE(T2GDiscount)=0,"",IF(G3364=0,"",IF(F3364="Buy",CONCATENATE("$",ROUND(K3364*(1-_xlfn.SINGLE(T2GDiscount)),2)," with ",(_xlfn.SINGLE(T2GDiscount)*100),"% discount"),CONCATENATE("$",ROUND(K3364*(1-_xlfn.SINGLE(T2GDiscount)),2)," with ",((_xlfn.SINGLE(T2GDiscount)*100+F3364*100)-(_xlfn.SINGLE(T2GDiscount)*100*F3364)),IF(F3364&gt;0,"% discounts",IF(_xlfn.SINGLE(NoWarrantyDiscount)&gt;0,"% discounts","% discount")))))))))</f>
        <v/>
      </c>
      <c r="N3364" s="690"/>
      <c r="O3364" s="486"/>
      <c r="P3364" s="486"/>
      <c r="Q3364" s="486"/>
      <c r="R3364" s="486"/>
      <c r="S3364" s="486"/>
      <c r="T3364" s="102">
        <f t="shared" si="2571"/>
        <v>0</v>
      </c>
      <c r="U3364" s="78">
        <f>IF(NOT(ISNUMBER(G3364)), "", VLOOKUP(A3364,'Discount Lookup'!D:E,2,FALSE)*G3364)</f>
        <v>0</v>
      </c>
      <c r="V3364" s="78">
        <f>IF(NOT(ISNUMBER(G3364)), "", VLOOKUP(A3364,'Discount Lookup'!G:H,2,FALSE)*G3364)</f>
        <v>0</v>
      </c>
      <c r="W3364" s="102">
        <f t="shared" si="2572"/>
        <v>0</v>
      </c>
      <c r="X3364" s="102">
        <f t="shared" si="2573"/>
        <v>0</v>
      </c>
      <c r="Y3364" s="120" t="b">
        <f t="shared" si="2574"/>
        <v>0</v>
      </c>
      <c r="Z3364" s="117">
        <f t="shared" si="2575"/>
        <v>0</v>
      </c>
      <c r="AA3364" s="118"/>
      <c r="AB3364" s="118" t="str">
        <f t="shared" si="2576"/>
        <v/>
      </c>
      <c r="AC3364" s="712" t="str">
        <f>IF(AE3364="T2G","no charge",IF(AND(OR(PlanterYesMe="No",PlanterYesMe="N",PlanterYesMe="me"),H3364=""),"",IF(H3364="credit","NO install",IF(AND(K3364="",AE3364="me"),"EACH row",IF(AND(K3364="images",AE3364="me"),"EACH row",IF(D3364="","",IF(H3364="credit","",IF(AE3364="free","re-planting",IF(AE3364="me","   not ELP, by",IF(AND(OR(PlanterYesMe="Yes",PlanterYesMe="Y"),G3364&gt;0),(VLOOKUP(A3364,'Discount Lookup'!J:K,2)*G3364*(1-PlanterDiscount)*(1+PlanterDifficultyPercentage)),IF(AE3364="ELP",(VLOOKUP(A3364,'Discount Lookup'!J:K,2)*G3364*(1-PlanterDiscount)*(1+PlanterDifficultyPercentage)),IF(AE3364="free","re-planting",IF(G3364=0,"",IF(PlanterYesMe="",IF(AE3364="me","   not ELP, by",IF(AE3364="",IF(G3364&gt;0,(VLOOKUP(A3364,'Discount Lookup'!J:K,2)*G3364*(1-PlanterDiscount)*(1+PlanterDifficultyPercentage)),""),"")),"   not ELP, by"))))))))))))))</f>
        <v/>
      </c>
      <c r="AD3364" s="712"/>
      <c r="AE3364" s="513" t="str">
        <f t="shared" si="2577"/>
        <v/>
      </c>
      <c r="AF3364" s="713" t="str">
        <f t="shared" si="2578"/>
        <v/>
      </c>
      <c r="AG3364" s="713"/>
      <c r="AH3364" s="713"/>
      <c r="AI3364" s="112">
        <f>IF(H3364="credit",0,IF(AE3364="free",0,IF(AE3364="me",0,IF(G3364&gt;0,(VLOOKUP(A3364,'Discount Lookup'!J:K,2)*G3364),0))))</f>
        <v>0</v>
      </c>
      <c r="AJ3364" s="107" t="str">
        <f t="shared" ca="1" si="2579"/>
        <v/>
      </c>
      <c r="AK3364" s="714" t="str">
        <f t="shared" si="2580"/>
        <v/>
      </c>
      <c r="AL3364" s="714"/>
      <c r="AM3364" s="114" t="str">
        <f t="shared" si="2581"/>
        <v/>
      </c>
      <c r="AN3364" s="115"/>
      <c r="AO3364" s="116"/>
      <c r="AP3364" s="116"/>
      <c r="AQ3364" s="116"/>
      <c r="AR3364" s="116"/>
      <c r="AS3364" s="116"/>
      <c r="AT3364" s="116"/>
      <c r="AU3364" s="116"/>
      <c r="AV3364" s="78"/>
      <c r="AW3364" s="102"/>
      <c r="AX3364" s="78"/>
      <c r="AY3364" s="78"/>
      <c r="AZ3364" s="78"/>
      <c r="BA3364" s="78"/>
      <c r="BB3364" s="78"/>
      <c r="BC3364" s="78"/>
      <c r="BD3364" s="78"/>
      <c r="BE3364" s="465"/>
      <c r="BF3364" s="165" t="str">
        <f t="shared" si="2582"/>
        <v>https://www.google.com/search?tbm=isch&amp;q=25%20G4</v>
      </c>
      <c r="BG3364" s="165" t="str">
        <f t="shared" si="2583"/>
        <v>P</v>
      </c>
      <c r="BH3364" s="65"/>
      <c r="BI3364" s="65"/>
      <c r="BJ3364" s="65"/>
      <c r="BK3364" s="65"/>
      <c r="BL3364" s="99"/>
      <c r="BM3364" s="99"/>
      <c r="BN3364" s="99"/>
    </row>
    <row r="3365" spans="1:66" s="51" customFormat="1" ht="16.5" x14ac:dyDescent="0.25">
      <c r="A3365" s="641" t="s">
        <v>3828</v>
      </c>
      <c r="B3365" s="642"/>
      <c r="C3365" s="710"/>
      <c r="D3365" s="643"/>
      <c r="E3365" s="643"/>
      <c r="F3365" s="644"/>
      <c r="G3365" s="645"/>
      <c r="H3365" s="646"/>
      <c r="I3365" s="647"/>
      <c r="J3365" s="648"/>
      <c r="K3365" s="649"/>
      <c r="L3365" s="650"/>
      <c r="M3365" s="650"/>
      <c r="N3365" s="644"/>
      <c r="O3365" s="644"/>
      <c r="P3365" s="644"/>
      <c r="Q3365" s="644"/>
      <c r="R3365" s="644"/>
      <c r="S3365" s="701" t="s">
        <v>5267</v>
      </c>
      <c r="T3365" s="102">
        <f t="shared" si="2571"/>
        <v>0</v>
      </c>
      <c r="U3365" s="78" t="str">
        <f>IF(NOT(ISNUMBER(G3365)), "", VLOOKUP(A3365,'Discount Lookup'!D:E,2,FALSE)*G3365)</f>
        <v/>
      </c>
      <c r="V3365" s="78" t="str">
        <f>IF(NOT(ISNUMBER(G3365)), "", VLOOKUP(A3365,'Discount Lookup'!G:H,2,FALSE)*G3365)</f>
        <v/>
      </c>
      <c r="W3365" s="102">
        <f t="shared" si="2572"/>
        <v>0</v>
      </c>
      <c r="X3365" s="102">
        <f t="shared" si="2573"/>
        <v>0</v>
      </c>
      <c r="Y3365" s="120" t="b">
        <f t="shared" si="2574"/>
        <v>0</v>
      </c>
      <c r="Z3365" s="117">
        <f t="shared" si="2575"/>
        <v>0</v>
      </c>
      <c r="AA3365" s="118"/>
      <c r="AB3365" s="118" t="str">
        <f t="shared" si="2576"/>
        <v/>
      </c>
      <c r="AC3365" s="712" t="str">
        <f>IF(AE3365="T2G","no charge",IF(AND(OR(PlanterYesMe="No",PlanterYesMe="N",PlanterYesMe="me"),H3365=""),"",IF(H3365="credit","NO install",IF(AND(K3365="",AE3365="me"),"EACH row",IF(AND(K3365="images",AE3365="me"),"EACH row",IF(D3365="","",IF(H3365="credit","",IF(AE3365="free","re-planting",IF(AE3365="me","   not ELP, by",IF(AND(OR(PlanterYesMe="Yes",PlanterYesMe="Y"),G3365&gt;0),(VLOOKUP(A3365,'Discount Lookup'!J:K,2)*G3365*(1-PlanterDiscount)*(1+PlanterDifficultyPercentage)),IF(AE3365="ELP",(VLOOKUP(A3365,'Discount Lookup'!J:K,2)*G3365*(1-PlanterDiscount)*(1+PlanterDifficultyPercentage)),IF(AE3365="free","re-planting",IF(G3365=0,"",IF(PlanterYesMe="",IF(AE3365="me","   not ELP, by",IF(AE3365="",IF(G3365&gt;0,(VLOOKUP(A3365,'Discount Lookup'!J:K,2)*G3365*(1-PlanterDiscount)*(1+PlanterDifficultyPercentage)),""),"")),"   not ELP, by"))))))))))))))</f>
        <v/>
      </c>
      <c r="AD3365" s="712"/>
      <c r="AE3365" s="513" t="str">
        <f t="shared" si="2577"/>
        <v/>
      </c>
      <c r="AF3365" s="713" t="str">
        <f t="shared" si="2578"/>
        <v/>
      </c>
      <c r="AG3365" s="713"/>
      <c r="AH3365" s="713"/>
      <c r="AI3365" s="112">
        <f>IF(H3365="credit",0,IF(AE3365="free",0,IF(AE3365="me",0,IF(G3365&gt;0,(VLOOKUP(A3365,'Discount Lookup'!J:K,2)*G3365),0))))</f>
        <v>0</v>
      </c>
      <c r="AJ3365" s="107" t="str">
        <f t="shared" ca="1" si="2579"/>
        <v/>
      </c>
      <c r="AK3365" s="714" t="str">
        <f t="shared" si="2580"/>
        <v/>
      </c>
      <c r="AL3365" s="714"/>
      <c r="AM3365" s="114" t="str">
        <f t="shared" si="2581"/>
        <v/>
      </c>
      <c r="AN3365" s="115"/>
      <c r="AO3365" s="116"/>
      <c r="AP3365" s="116"/>
      <c r="AQ3365" s="116"/>
      <c r="AR3365" s="116"/>
      <c r="AS3365" s="116"/>
      <c r="AT3365" s="116"/>
      <c r="AU3365" s="116"/>
      <c r="AV3365" s="78"/>
      <c r="AW3365" s="102"/>
      <c r="AX3365" s="78"/>
      <c r="AY3365" s="78"/>
      <c r="AZ3365" s="78"/>
      <c r="BA3365" s="78"/>
      <c r="BB3365" s="78"/>
      <c r="BC3365" s="78"/>
      <c r="BD3365" s="78"/>
      <c r="BE3365" s="465"/>
      <c r="BF3365" s="165" t="str">
        <f t="shared" si="2582"/>
        <v>https://www.google.com/search?tbm=isch&amp;q=Chinese%20Pearlbloom%20valued%20for%20it%27s%20late-summer%20blooms%20%28resembling%20pearls%29%2C%20when%20other%20plants%20are%20done.%20Bark%20exfoliates%20</v>
      </c>
      <c r="BG3365" s="165" t="str">
        <f t="shared" si="2583"/>
        <v>C</v>
      </c>
      <c r="BH3365" s="65"/>
      <c r="BI3365" s="65"/>
      <c r="BJ3365" s="65"/>
      <c r="BK3365" s="65"/>
      <c r="BL3365" s="99"/>
      <c r="BM3365" s="99"/>
      <c r="BN3365" s="99"/>
    </row>
    <row r="3366" spans="1:66" s="51" customFormat="1" ht="19.5" thickBot="1" x14ac:dyDescent="0.3">
      <c r="A3366" s="686" t="s">
        <v>702</v>
      </c>
      <c r="B3366" s="73"/>
      <c r="C3366" s="708"/>
      <c r="D3366" s="73"/>
      <c r="E3366" s="73"/>
      <c r="F3366" s="496"/>
      <c r="G3366" s="73"/>
      <c r="H3366" s="73"/>
      <c r="I3366" s="73"/>
      <c r="J3366" s="497" t="s">
        <v>357</v>
      </c>
      <c r="K3366" s="498"/>
      <c r="L3366" s="562"/>
      <c r="M3366" s="73"/>
      <c r="N3366"/>
      <c r="O3366"/>
      <c r="P3366"/>
      <c r="Q3366"/>
      <c r="R3366"/>
      <c r="S3366"/>
      <c r="T3366" s="102">
        <f t="shared" si="2571"/>
        <v>0</v>
      </c>
      <c r="U3366" s="78" t="str">
        <f>IF(NOT(ISNUMBER(G3366)), "", VLOOKUP(A3366,'Discount Lookup'!D:E,2,FALSE)*G3366)</f>
        <v/>
      </c>
      <c r="V3366" s="78" t="str">
        <f>IF(NOT(ISNUMBER(G3366)), "", VLOOKUP(A3366,'Discount Lookup'!G:H,2,FALSE)*G3366)</f>
        <v/>
      </c>
      <c r="W3366" s="102">
        <f t="shared" si="2572"/>
        <v>0</v>
      </c>
      <c r="X3366" s="102">
        <f t="shared" si="2573"/>
        <v>0</v>
      </c>
      <c r="Y3366" s="120" t="b">
        <f t="shared" si="2574"/>
        <v>0</v>
      </c>
      <c r="Z3366" s="117">
        <f t="shared" si="2575"/>
        <v>0</v>
      </c>
      <c r="AA3366" s="118"/>
      <c r="AB3366" s="118" t="str">
        <f t="shared" si="2576"/>
        <v/>
      </c>
      <c r="AC3366" s="712" t="str">
        <f>IF(AE3366="T2G","no charge",IF(AND(OR(PlanterYesMe="No",PlanterYesMe="N",PlanterYesMe="me"),H3366=""),"",IF(H3366="credit","NO install",IF(AND(K3366="",AE3366="me"),"EACH row",IF(AND(K3366="images",AE3366="me"),"EACH row",IF(D3366="","",IF(H3366="credit","",IF(AE3366="free","re-planting",IF(AE3366="me","   not ELP, by",IF(AND(OR(PlanterYesMe="Yes",PlanterYesMe="Y"),G3366&gt;0),(VLOOKUP(A3366,'Discount Lookup'!J:K,2)*G3366*(1-PlanterDiscount)*(1+PlanterDifficultyPercentage)),IF(AE3366="ELP",(VLOOKUP(A3366,'Discount Lookup'!J:K,2)*G3366*(1-PlanterDiscount)*(1+PlanterDifficultyPercentage)),IF(AE3366="free","re-planting",IF(G3366=0,"",IF(PlanterYesMe="",IF(AE3366="me","   not ELP, by",IF(AE3366="",IF(G3366&gt;0,(VLOOKUP(A3366,'Discount Lookup'!J:K,2)*G3366*(1-PlanterDiscount)*(1+PlanterDifficultyPercentage)),""),"")),"   not ELP, by"))))))))))))))</f>
        <v/>
      </c>
      <c r="AD3366" s="712"/>
      <c r="AE3366" s="513" t="str">
        <f t="shared" si="2577"/>
        <v/>
      </c>
      <c r="AF3366" s="713" t="str">
        <f t="shared" si="2578"/>
        <v/>
      </c>
      <c r="AG3366" s="713"/>
      <c r="AH3366" s="713"/>
      <c r="AI3366" s="112">
        <f>IF(H3366="credit",0,IF(AE3366="free",0,IF(AE3366="me",0,IF(G3366&gt;0,(VLOOKUP(A3366,'Discount Lookup'!J:K,2)*G3366),0))))</f>
        <v>0</v>
      </c>
      <c r="AJ3366" s="107" t="str">
        <f t="shared" ca="1" si="2579"/>
        <v/>
      </c>
      <c r="AK3366" s="714" t="str">
        <f t="shared" si="2580"/>
        <v/>
      </c>
      <c r="AL3366" s="714"/>
      <c r="AM3366" s="114" t="str">
        <f t="shared" si="2581"/>
        <v/>
      </c>
      <c r="AN3366" s="115"/>
      <c r="AO3366" s="116"/>
      <c r="AP3366" s="116"/>
      <c r="AQ3366" s="116"/>
      <c r="AR3366" s="116"/>
      <c r="AS3366" s="116"/>
      <c r="AT3366" s="116"/>
      <c r="AU3366" s="116"/>
      <c r="AV3366" s="78"/>
      <c r="AW3366" s="102"/>
      <c r="AX3366" s="78"/>
      <c r="AY3366" s="78"/>
      <c r="AZ3366" s="78"/>
      <c r="BA3366" s="78"/>
      <c r="BB3366" s="78"/>
      <c r="BC3366" s="78"/>
      <c r="BD3366" s="78"/>
      <c r="BE3366" s="465"/>
      <c r="BF3366" s="165" t="str">
        <f t="shared" si="2582"/>
        <v>https://www.google.com/search?tbm=isch&amp;q=Polygonatum%20%3D%20Solomon%27s%20Seal%20</v>
      </c>
      <c r="BG3366" s="165" t="str">
        <f t="shared" si="2583"/>
        <v>P</v>
      </c>
      <c r="BH3366" s="65"/>
      <c r="BI3366" s="65"/>
      <c r="BJ3366" s="65"/>
      <c r="BK3366" s="65"/>
      <c r="BL3366" s="99"/>
      <c r="BM3366" s="99"/>
      <c r="BN3366" s="99"/>
    </row>
    <row r="3367" spans="1:66" s="51" customFormat="1" ht="18" x14ac:dyDescent="0.25">
      <c r="A3367" s="623" t="s">
        <v>3829</v>
      </c>
      <c r="B3367" s="624"/>
      <c r="C3367" s="709"/>
      <c r="D3367" s="625" t="s">
        <v>3830</v>
      </c>
      <c r="E3367" s="626"/>
      <c r="F3367" s="626"/>
      <c r="G3367" s="626"/>
      <c r="H3367" s="622" t="s">
        <v>1516</v>
      </c>
      <c r="I3367" s="627" t="s">
        <v>4928</v>
      </c>
      <c r="J3367" s="628"/>
      <c r="K3367" s="628"/>
      <c r="L3367" s="629"/>
      <c r="M3367" s="702" t="s">
        <v>5256</v>
      </c>
      <c r="N3367" s="693" t="str">
        <f>IF(AND(ISTEXT($A3367), ISERROR($A3367+0)), HYPERLINK($BF3367, "Images"), "")</f>
        <v>Images</v>
      </c>
      <c r="O3367" s="695" t="s">
        <v>5244</v>
      </c>
      <c r="P3367" s="630"/>
      <c r="Q3367" s="631"/>
      <c r="R3367" s="632"/>
      <c r="S3367" s="633"/>
      <c r="T3367" s="102">
        <f t="shared" si="2571"/>
        <v>0</v>
      </c>
      <c r="U3367" s="78" t="str">
        <f>IF(NOT(ISNUMBER(G3367)), "", VLOOKUP(A3367,'Discount Lookup'!D:E,2,FALSE)*G3367)</f>
        <v/>
      </c>
      <c r="V3367" s="78" t="str">
        <f>IF(NOT(ISNUMBER(G3367)), "", VLOOKUP(A3367,'Discount Lookup'!G:H,2,FALSE)*G3367)</f>
        <v/>
      </c>
      <c r="W3367" s="102">
        <f t="shared" si="2572"/>
        <v>0</v>
      </c>
      <c r="X3367" s="102" t="str">
        <f t="shared" si="2573"/>
        <v>White bloom, Green tips</v>
      </c>
      <c r="Y3367" s="120" t="b">
        <f t="shared" si="2574"/>
        <v>0</v>
      </c>
      <c r="Z3367" s="117">
        <f t="shared" si="2575"/>
        <v>0</v>
      </c>
      <c r="AA3367" s="118"/>
      <c r="AB3367" s="118" t="str">
        <f t="shared" si="2576"/>
        <v/>
      </c>
      <c r="AC3367" s="712" t="str">
        <f>IF(AE3367="T2G","no charge",IF(AND(OR(PlanterYesMe="No",PlanterYesMe="N",PlanterYesMe="me"),H3367=""),"",IF(H3367="credit","NO install",IF(AND(K3367="",AE3367="me"),"EACH row",IF(AND(K3367="images",AE3367="me"),"EACH row",IF(D3367="","",IF(H3367="credit","",IF(AE3367="free","re-planting",IF(AE3367="me","   not ELP, by",IF(AND(OR(PlanterYesMe="Yes",PlanterYesMe="Y"),G3367&gt;0),(VLOOKUP(A3367,'Discount Lookup'!J:K,2)*G3367*(1-PlanterDiscount)*(1+PlanterDifficultyPercentage)),IF(AE3367="ELP",(VLOOKUP(A3367,'Discount Lookup'!J:K,2)*G3367*(1-PlanterDiscount)*(1+PlanterDifficultyPercentage)),IF(AE3367="free","re-planting",IF(G3367=0,"",IF(PlanterYesMe="",IF(AE3367="me","   not ELP, by",IF(AE3367="",IF(G3367&gt;0,(VLOOKUP(A3367,'Discount Lookup'!J:K,2)*G3367*(1-PlanterDiscount)*(1+PlanterDifficultyPercentage)),""),"")),"   not ELP, by"))))))))))))))</f>
        <v/>
      </c>
      <c r="AD3367" s="712"/>
      <c r="AE3367" s="513" t="str">
        <f t="shared" si="2577"/>
        <v/>
      </c>
      <c r="AF3367" s="713" t="str">
        <f t="shared" si="2578"/>
        <v/>
      </c>
      <c r="AG3367" s="713"/>
      <c r="AH3367" s="713"/>
      <c r="AI3367" s="112">
        <f>IF(H3367="credit",0,IF(AE3367="free",0,IF(AE3367="me",0,IF(G3367&gt;0,(VLOOKUP(A3367,'Discount Lookup'!J:K,2)*G3367),0))))</f>
        <v>0</v>
      </c>
      <c r="AJ3367" s="107" t="str">
        <f t="shared" ca="1" si="2579"/>
        <v/>
      </c>
      <c r="AK3367" s="714" t="str">
        <f t="shared" si="2580"/>
        <v/>
      </c>
      <c r="AL3367" s="714"/>
      <c r="AM3367" s="114" t="str">
        <f t="shared" si="2581"/>
        <v/>
      </c>
      <c r="AN3367" s="115"/>
      <c r="AO3367" s="116"/>
      <c r="AP3367" s="116"/>
      <c r="AQ3367" s="116"/>
      <c r="AR3367" s="116"/>
      <c r="AS3367" s="116"/>
      <c r="AT3367" s="116"/>
      <c r="AU3367" s="116"/>
      <c r="AV3367" s="78"/>
      <c r="AW3367" s="102"/>
      <c r="AX3367" s="78"/>
      <c r="AY3367" s="78"/>
      <c r="AZ3367" s="78"/>
      <c r="BA3367" s="78"/>
      <c r="BB3367" s="78"/>
      <c r="BC3367" s="78"/>
      <c r="BD3367" s="78"/>
      <c r="BE3367" s="465"/>
      <c r="BF3367" s="165" t="str">
        <f t="shared" si="2582"/>
        <v>https://www.google.com/search?tbm=isch&amp;q=Polygonatum%20odoratum%20var.%20pluriflorum%20%27Variegatum%27%20Variegated%20Solomon%27s%20Seal</v>
      </c>
      <c r="BG3367" s="165" t="str">
        <f t="shared" si="2583"/>
        <v>P</v>
      </c>
      <c r="BH3367" s="65"/>
      <c r="BI3367" s="65"/>
      <c r="BJ3367" s="65"/>
      <c r="BK3367" s="65"/>
      <c r="BL3367" s="99"/>
      <c r="BM3367" s="99"/>
      <c r="BN3367" s="99"/>
    </row>
    <row r="3368" spans="1:66" s="51" customFormat="1" ht="15.75" x14ac:dyDescent="0.25">
      <c r="A3368" s="634">
        <v>1</v>
      </c>
      <c r="B3368" s="635" t="s">
        <v>291</v>
      </c>
      <c r="C3368" s="636" t="s">
        <v>5009</v>
      </c>
      <c r="D3368" s="637" t="s">
        <v>293</v>
      </c>
      <c r="E3368" s="638">
        <v>21.95</v>
      </c>
      <c r="F3368" s="639" t="s">
        <v>292</v>
      </c>
      <c r="G3368" s="484">
        <v>0</v>
      </c>
      <c r="H3368" s="691" t="str">
        <f>IF(G3368=0,"",IF(F3368="Buy",IF(G3368=1,"plant","plants"),IF(F3368&gt;0.01,"warranty","Error")))</f>
        <v/>
      </c>
      <c r="I3368" s="640">
        <f>IF(H3368="free",0,IF(H3368="credit",((E3368*(F3368))*G3368*-1),IF(F3368="Buy",(E3368*G3368),((E3368*(1-F3368))*G3368))))</f>
        <v>0</v>
      </c>
      <c r="J3368" s="640">
        <f>IF(H3368="warranty",0,(I3368*(_xlfn.SINGLE(SalesTaxPercentage))))</f>
        <v>0</v>
      </c>
      <c r="K3368" s="716">
        <f t="shared" ref="K3368" si="2590">I3368+J3368</f>
        <v>0</v>
      </c>
      <c r="L3368" s="716"/>
      <c r="M3368" s="689" t="str">
        <f ca="1">IF(AND(G3368&gt;0,E3368=0),"WARNING - no PRICE inserted",IF(H3368="free","FREE ~ no charge this plant",IF(H3368="credit",CONCATENATE("-$",ROUND(K3368*(1-_xlfn.SINGLE(T2GDiscount))*-1,2)," CREDIT after discount"),IF(_xlfn.SINGLE(T2GDiscount)=0,"",IF(G3368=0,"",IF(F3368="Buy",CONCATENATE("$",ROUND(K3368*(1-_xlfn.SINGLE(T2GDiscount)),2)," with ",(_xlfn.SINGLE(T2GDiscount)*100),"% discount"),CONCATENATE("$",ROUND(K3368*(1-_xlfn.SINGLE(T2GDiscount)),2)," with ",((_xlfn.SINGLE(T2GDiscount)*100+F3368*100)-(_xlfn.SINGLE(T2GDiscount)*100*F3368)),IF(F3368&gt;0,"% discounts",IF(_xlfn.SINGLE(NoWarrantyDiscount)&gt;0,"% discounts","% discount")))))))))</f>
        <v/>
      </c>
      <c r="N3368" s="690"/>
      <c r="O3368" s="486"/>
      <c r="P3368" s="486"/>
      <c r="Q3368" s="486"/>
      <c r="R3368" s="486"/>
      <c r="S3368" s="486"/>
      <c r="T3368" s="102">
        <f t="shared" si="2571"/>
        <v>0</v>
      </c>
      <c r="U3368" s="78">
        <f>IF(NOT(ISNUMBER(G3368)), "", VLOOKUP(A3368,'Discount Lookup'!D:E,2,FALSE)*G3368)</f>
        <v>0</v>
      </c>
      <c r="V3368" s="78">
        <f>IF(NOT(ISNUMBER(G3368)), "", VLOOKUP(A3368,'Discount Lookup'!G:H,2,FALSE)*G3368)</f>
        <v>0</v>
      </c>
      <c r="W3368" s="102">
        <f t="shared" si="2572"/>
        <v>0</v>
      </c>
      <c r="X3368" s="102">
        <f t="shared" si="2573"/>
        <v>0</v>
      </c>
      <c r="Y3368" s="120" t="b">
        <f t="shared" si="2574"/>
        <v>0</v>
      </c>
      <c r="Z3368" s="117">
        <f t="shared" si="2575"/>
        <v>0</v>
      </c>
      <c r="AA3368" s="118"/>
      <c r="AB3368" s="118" t="str">
        <f t="shared" si="2576"/>
        <v/>
      </c>
      <c r="AC3368" s="712" t="str">
        <f>IF(AE3368="T2G","no charge",IF(AND(OR(PlanterYesMe="No",PlanterYesMe="N",PlanterYesMe="me"),H3368=""),"",IF(H3368="credit","NO install",IF(AND(K3368="",AE3368="me"),"EACH row",IF(AND(K3368="images",AE3368="me"),"EACH row",IF(D3368="","",IF(H3368="credit","",IF(AE3368="free","re-planting",IF(AE3368="me","   not ELP, by",IF(AND(OR(PlanterYesMe="Yes",PlanterYesMe="Y"),G3368&gt;0),(VLOOKUP(A3368,'Discount Lookup'!J:K,2)*G3368*(1-PlanterDiscount)*(1+PlanterDifficultyPercentage)),IF(AE3368="ELP",(VLOOKUP(A3368,'Discount Lookup'!J:K,2)*G3368*(1-PlanterDiscount)*(1+PlanterDifficultyPercentage)),IF(AE3368="free","re-planting",IF(G3368=0,"",IF(PlanterYesMe="",IF(AE3368="me","   not ELP, by",IF(AE3368="",IF(G3368&gt;0,(VLOOKUP(A3368,'Discount Lookup'!J:K,2)*G3368*(1-PlanterDiscount)*(1+PlanterDifficultyPercentage)),""),"")),"   not ELP, by"))))))))))))))</f>
        <v/>
      </c>
      <c r="AD3368" s="712"/>
      <c r="AE3368" s="513" t="str">
        <f t="shared" si="2577"/>
        <v/>
      </c>
      <c r="AF3368" s="713" t="str">
        <f t="shared" si="2578"/>
        <v/>
      </c>
      <c r="AG3368" s="713"/>
      <c r="AH3368" s="713"/>
      <c r="AI3368" s="112">
        <f>IF(H3368="credit",0,IF(AE3368="free",0,IF(AE3368="me",0,IF(G3368&gt;0,(VLOOKUP(A3368,'Discount Lookup'!J:K,2)*G3368),0))))</f>
        <v>0</v>
      </c>
      <c r="AJ3368" s="107" t="str">
        <f t="shared" ca="1" si="2579"/>
        <v/>
      </c>
      <c r="AK3368" s="714" t="str">
        <f t="shared" si="2580"/>
        <v/>
      </c>
      <c r="AL3368" s="714"/>
      <c r="AM3368" s="114" t="str">
        <f t="shared" si="2581"/>
        <v/>
      </c>
      <c r="AN3368" s="115"/>
      <c r="AO3368" s="116"/>
      <c r="AP3368" s="116"/>
      <c r="AQ3368" s="116"/>
      <c r="AR3368" s="116"/>
      <c r="AS3368" s="116"/>
      <c r="AT3368" s="116"/>
      <c r="AU3368" s="116"/>
      <c r="AV3368" s="78"/>
      <c r="AW3368" s="102"/>
      <c r="AX3368" s="78"/>
      <c r="AY3368" s="78"/>
      <c r="AZ3368" s="78"/>
      <c r="BA3368" s="78"/>
      <c r="BB3368" s="78"/>
      <c r="BC3368" s="78"/>
      <c r="BD3368" s="78"/>
      <c r="BE3368" s="465"/>
      <c r="BF3368" s="165" t="str">
        <f t="shared" si="2582"/>
        <v>https://www.google.com/search?tbm=isch&amp;q=1%20G6</v>
      </c>
      <c r="BG3368" s="165" t="str">
        <f t="shared" si="2583"/>
        <v>P</v>
      </c>
      <c r="BH3368" s="65"/>
      <c r="BI3368" s="65"/>
      <c r="BJ3368" s="65"/>
      <c r="BK3368" s="65"/>
      <c r="BL3368" s="99"/>
      <c r="BM3368" s="99"/>
      <c r="BN3368" s="99"/>
    </row>
    <row r="3369" spans="1:66" s="51" customFormat="1" ht="27" x14ac:dyDescent="0.25">
      <c r="A3369" s="634">
        <v>2</v>
      </c>
      <c r="B3369" s="635" t="s">
        <v>291</v>
      </c>
      <c r="C3369" s="636" t="s">
        <v>5010</v>
      </c>
      <c r="D3369" s="637" t="s">
        <v>299</v>
      </c>
      <c r="E3369" s="638">
        <v>30.95</v>
      </c>
      <c r="F3369" s="639" t="s">
        <v>292</v>
      </c>
      <c r="G3369" s="484">
        <v>0</v>
      </c>
      <c r="H3369" s="691" t="str">
        <f>IF(G3369=0,"",IF(F3369="Buy",IF(G3369=1,"plant","plants"),IF(F3369&gt;0.01,"warranty","Error")))</f>
        <v/>
      </c>
      <c r="I3369" s="640">
        <f>IF(H3369="free",0,IF(H3369="credit",((E3369*(F3369))*G3369*-1),IF(F3369="Buy",(E3369*G3369),((E3369*(1-F3369))*G3369))))</f>
        <v>0</v>
      </c>
      <c r="J3369" s="640">
        <f>IF(H3369="warranty",0,(I3369*(_xlfn.SINGLE(SalesTaxPercentage))))</f>
        <v>0</v>
      </c>
      <c r="K3369" s="716">
        <f t="shared" ref="K3369" si="2591">I3369+J3369</f>
        <v>0</v>
      </c>
      <c r="L3369" s="716"/>
      <c r="M3369" s="689" t="str">
        <f ca="1">IF(AND(G3369&gt;0,E3369=0),"WARNING - no PRICE inserted",IF(H3369="free","FREE ~ no charge this plant",IF(H3369="credit",CONCATENATE("-$",ROUND(K3369*(1-_xlfn.SINGLE(T2GDiscount))*-1,2)," CREDIT after discount"),IF(_xlfn.SINGLE(T2GDiscount)=0,"",IF(G3369=0,"",IF(F3369="Buy",CONCATENATE("$",ROUND(K3369*(1-_xlfn.SINGLE(T2GDiscount)),2)," with ",(_xlfn.SINGLE(T2GDiscount)*100),"% discount"),CONCATENATE("$",ROUND(K3369*(1-_xlfn.SINGLE(T2GDiscount)),2)," with ",((_xlfn.SINGLE(T2GDiscount)*100+F3369*100)-(_xlfn.SINGLE(T2GDiscount)*100*F3369)),IF(F3369&gt;0,"% discounts",IF(_xlfn.SINGLE(NoWarrantyDiscount)&gt;0,"% discounts","% discount")))))))))</f>
        <v/>
      </c>
      <c r="N3369" s="690"/>
      <c r="O3369" s="486"/>
      <c r="P3369" s="486"/>
      <c r="Q3369" s="486"/>
      <c r="R3369" s="486"/>
      <c r="S3369" s="486"/>
      <c r="T3369" s="102">
        <f t="shared" si="2571"/>
        <v>0</v>
      </c>
      <c r="U3369" s="78">
        <f>IF(NOT(ISNUMBER(G3369)), "", VLOOKUP(A3369,'Discount Lookup'!D:E,2,FALSE)*G3369)</f>
        <v>0</v>
      </c>
      <c r="V3369" s="78">
        <f>IF(NOT(ISNUMBER(G3369)), "", VLOOKUP(A3369,'Discount Lookup'!G:H,2,FALSE)*G3369)</f>
        <v>0</v>
      </c>
      <c r="W3369" s="102">
        <f t="shared" si="2572"/>
        <v>0</v>
      </c>
      <c r="X3369" s="102">
        <f t="shared" si="2573"/>
        <v>0</v>
      </c>
      <c r="Y3369" s="120" t="b">
        <f t="shared" si="2574"/>
        <v>0</v>
      </c>
      <c r="Z3369" s="117">
        <f t="shared" si="2575"/>
        <v>0</v>
      </c>
      <c r="AA3369" s="118"/>
      <c r="AB3369" s="118" t="str">
        <f t="shared" si="2576"/>
        <v/>
      </c>
      <c r="AC3369" s="712" t="str">
        <f>IF(AE3369="T2G","no charge",IF(AND(OR(PlanterYesMe="No",PlanterYesMe="N",PlanterYesMe="me"),H3369=""),"",IF(H3369="credit","NO install",IF(AND(K3369="",AE3369="me"),"EACH row",IF(AND(K3369="images",AE3369="me"),"EACH row",IF(D3369="","",IF(H3369="credit","",IF(AE3369="free","re-planting",IF(AE3369="me","   not ELP, by",IF(AND(OR(PlanterYesMe="Yes",PlanterYesMe="Y"),G3369&gt;0),(VLOOKUP(A3369,'Discount Lookup'!J:K,2)*G3369*(1-PlanterDiscount)*(1+PlanterDifficultyPercentage)),IF(AE3369="ELP",(VLOOKUP(A3369,'Discount Lookup'!J:K,2)*G3369*(1-PlanterDiscount)*(1+PlanterDifficultyPercentage)),IF(AE3369="free","re-planting",IF(G3369=0,"",IF(PlanterYesMe="",IF(AE3369="me","   not ELP, by",IF(AE3369="",IF(G3369&gt;0,(VLOOKUP(A3369,'Discount Lookup'!J:K,2)*G3369*(1-PlanterDiscount)*(1+PlanterDifficultyPercentage)),""),"")),"   not ELP, by"))))))))))))))</f>
        <v/>
      </c>
      <c r="AD3369" s="712"/>
      <c r="AE3369" s="513" t="str">
        <f t="shared" si="2577"/>
        <v/>
      </c>
      <c r="AF3369" s="713" t="str">
        <f t="shared" si="2578"/>
        <v/>
      </c>
      <c r="AG3369" s="713"/>
      <c r="AH3369" s="713"/>
      <c r="AI3369" s="112">
        <f>IF(H3369="credit",0,IF(AE3369="free",0,IF(AE3369="me",0,IF(G3369&gt;0,(VLOOKUP(A3369,'Discount Lookup'!J:K,2)*G3369),0))))</f>
        <v>0</v>
      </c>
      <c r="AJ3369" s="107" t="str">
        <f t="shared" ca="1" si="2579"/>
        <v/>
      </c>
      <c r="AK3369" s="714" t="str">
        <f t="shared" si="2580"/>
        <v/>
      </c>
      <c r="AL3369" s="714"/>
      <c r="AM3369" s="114" t="str">
        <f t="shared" si="2581"/>
        <v/>
      </c>
      <c r="AN3369" s="115"/>
      <c r="AO3369" s="116"/>
      <c r="AP3369" s="116"/>
      <c r="AQ3369" s="116"/>
      <c r="AR3369" s="116"/>
      <c r="AS3369" s="116"/>
      <c r="AT3369" s="116"/>
      <c r="AU3369" s="116"/>
      <c r="AV3369" s="78"/>
      <c r="AW3369" s="102"/>
      <c r="AX3369" s="78"/>
      <c r="AY3369" s="78"/>
      <c r="AZ3369" s="78"/>
      <c r="BA3369" s="78"/>
      <c r="BB3369" s="78"/>
      <c r="BC3369" s="78"/>
      <c r="BD3369" s="78"/>
      <c r="BE3369" s="465"/>
      <c r="BF3369" s="165" t="str">
        <f t="shared" si="2582"/>
        <v>https://www.google.com/search?tbm=isch&amp;q=2%20G4</v>
      </c>
      <c r="BG3369" s="165" t="str">
        <f t="shared" si="2583"/>
        <v>P</v>
      </c>
      <c r="BH3369" s="65"/>
      <c r="BI3369" s="65"/>
      <c r="BJ3369" s="65"/>
      <c r="BK3369" s="65"/>
      <c r="BL3369" s="99"/>
      <c r="BM3369" s="99"/>
      <c r="BN3369" s="99"/>
    </row>
    <row r="3370" spans="1:66" s="51" customFormat="1" ht="16.5" x14ac:dyDescent="0.25">
      <c r="A3370" s="704" t="s">
        <v>5510</v>
      </c>
      <c r="B3370" s="642"/>
      <c r="C3370" s="710"/>
      <c r="D3370" s="643"/>
      <c r="E3370" s="643"/>
      <c r="F3370" s="644"/>
      <c r="G3370" s="645"/>
      <c r="H3370" s="646"/>
      <c r="I3370" s="647"/>
      <c r="J3370" s="648"/>
      <c r="K3370" s="649"/>
      <c r="L3370" s="650"/>
      <c r="M3370" s="650"/>
      <c r="N3370" s="644"/>
      <c r="O3370" s="644"/>
      <c r="P3370" s="644"/>
      <c r="Q3370" s="644"/>
      <c r="R3370" s="644"/>
      <c r="S3370" s="701" t="s">
        <v>5272</v>
      </c>
      <c r="T3370" s="102">
        <f t="shared" si="2571"/>
        <v>0</v>
      </c>
      <c r="U3370" s="78" t="str">
        <f>IF(NOT(ISNUMBER(G3370)), "", VLOOKUP(A3370,'Discount Lookup'!D:E,2,FALSE)*G3370)</f>
        <v/>
      </c>
      <c r="V3370" s="78" t="str">
        <f>IF(NOT(ISNUMBER(G3370)), "", VLOOKUP(A3370,'Discount Lookup'!G:H,2,FALSE)*G3370)</f>
        <v/>
      </c>
      <c r="W3370" s="102">
        <f t="shared" si="2572"/>
        <v>0</v>
      </c>
      <c r="X3370" s="102">
        <f t="shared" si="2573"/>
        <v>0</v>
      </c>
      <c r="Y3370" s="120" t="b">
        <f t="shared" si="2574"/>
        <v>0</v>
      </c>
      <c r="Z3370" s="117">
        <f t="shared" si="2575"/>
        <v>0</v>
      </c>
      <c r="AA3370" s="118"/>
      <c r="AB3370" s="118" t="str">
        <f t="shared" si="2576"/>
        <v/>
      </c>
      <c r="AC3370" s="712" t="str">
        <f>IF(AE3370="T2G","no charge",IF(AND(OR(PlanterYesMe="No",PlanterYesMe="N",PlanterYesMe="me"),H3370=""),"",IF(H3370="credit","NO install",IF(AND(K3370="",AE3370="me"),"EACH row",IF(AND(K3370="images",AE3370="me"),"EACH row",IF(D3370="","",IF(H3370="credit","",IF(AE3370="free","re-planting",IF(AE3370="me","   not ELP, by",IF(AND(OR(PlanterYesMe="Yes",PlanterYesMe="Y"),G3370&gt;0),(VLOOKUP(A3370,'Discount Lookup'!J:K,2)*G3370*(1-PlanterDiscount)*(1+PlanterDifficultyPercentage)),IF(AE3370="ELP",(VLOOKUP(A3370,'Discount Lookup'!J:K,2)*G3370*(1-PlanterDiscount)*(1+PlanterDifficultyPercentage)),IF(AE3370="free","re-planting",IF(G3370=0,"",IF(PlanterYesMe="",IF(AE3370="me","   not ELP, by",IF(AE3370="",IF(G3370&gt;0,(VLOOKUP(A3370,'Discount Lookup'!J:K,2)*G3370*(1-PlanterDiscount)*(1+PlanterDifficultyPercentage)),""),"")),"   not ELP, by"))))))))))))))</f>
        <v/>
      </c>
      <c r="AD3370" s="712"/>
      <c r="AE3370" s="513" t="str">
        <f t="shared" si="2577"/>
        <v/>
      </c>
      <c r="AF3370" s="713" t="str">
        <f t="shared" si="2578"/>
        <v/>
      </c>
      <c r="AG3370" s="713"/>
      <c r="AH3370" s="713"/>
      <c r="AI3370" s="112">
        <f>IF(H3370="credit",0,IF(AE3370="free",0,IF(AE3370="me",0,IF(G3370&gt;0,(VLOOKUP(A3370,'Discount Lookup'!J:K,2)*G3370),0))))</f>
        <v>0</v>
      </c>
      <c r="AJ3370" s="107" t="str">
        <f t="shared" ca="1" si="2579"/>
        <v/>
      </c>
      <c r="AK3370" s="714" t="str">
        <f t="shared" si="2580"/>
        <v/>
      </c>
      <c r="AL3370" s="714"/>
      <c r="AM3370" s="114" t="str">
        <f t="shared" si="2581"/>
        <v/>
      </c>
      <c r="AN3370" s="115"/>
      <c r="AO3370" s="116"/>
      <c r="AP3370" s="116"/>
      <c r="AQ3370" s="116"/>
      <c r="AR3370" s="116"/>
      <c r="AS3370" s="116"/>
      <c r="AT3370" s="116"/>
      <c r="AU3370" s="116"/>
      <c r="AV3370" s="78"/>
      <c r="AW3370" s="102"/>
      <c r="AX3370" s="78"/>
      <c r="AY3370" s="78"/>
      <c r="AZ3370" s="78"/>
      <c r="BA3370" s="78"/>
      <c r="BB3370" s="78"/>
      <c r="BC3370" s="78"/>
      <c r="BD3370" s="78"/>
      <c r="BE3370" s="465"/>
      <c r="BF3370" s="165" t="str">
        <f t="shared" si="2582"/>
        <v>https://www.google.com/search?tbm=isch&amp;q=moist%20sites%F0%9F%92%A7GOOD%2C%20Variegated%20Solomon%E2%80%99s%20Seal%20has%20graceful%20arching%20stems%2C%20Creamy-edged%20foliage%2C%20and%20dangling%2C%20fragrant%20spring%20flowers%2C%20followed%20by%20Blue-Black%20berries%20</v>
      </c>
      <c r="BG3370" s="165" t="str">
        <f t="shared" si="2583"/>
        <v>m</v>
      </c>
      <c r="BH3370" s="65"/>
      <c r="BI3370" s="65"/>
      <c r="BJ3370" s="65"/>
      <c r="BK3370" s="65"/>
      <c r="BL3370" s="99"/>
      <c r="BM3370" s="99"/>
      <c r="BN3370" s="99"/>
    </row>
    <row r="3371" spans="1:66" s="51" customFormat="1" ht="19.5" thickBot="1" x14ac:dyDescent="0.3">
      <c r="A3371" s="686" t="s">
        <v>703</v>
      </c>
      <c r="B3371" s="73"/>
      <c r="C3371" s="708"/>
      <c r="D3371" s="73"/>
      <c r="E3371" s="73"/>
      <c r="F3371" s="496"/>
      <c r="G3371" s="73"/>
      <c r="H3371" s="73"/>
      <c r="I3371" s="73"/>
      <c r="J3371" s="497" t="s">
        <v>357</v>
      </c>
      <c r="K3371" s="498"/>
      <c r="L3371" s="562"/>
      <c r="M3371" s="73"/>
      <c r="N3371"/>
      <c r="O3371"/>
      <c r="P3371"/>
      <c r="Q3371"/>
      <c r="R3371"/>
      <c r="S3371"/>
      <c r="T3371" s="102">
        <f t="shared" si="2571"/>
        <v>0</v>
      </c>
      <c r="U3371" s="78" t="str">
        <f>IF(NOT(ISNUMBER(G3371)), "", VLOOKUP(A3371,'Discount Lookup'!D:E,2,FALSE)*G3371)</f>
        <v/>
      </c>
      <c r="V3371" s="78" t="str">
        <f>IF(NOT(ISNUMBER(G3371)), "", VLOOKUP(A3371,'Discount Lookup'!G:H,2,FALSE)*G3371)</f>
        <v/>
      </c>
      <c r="W3371" s="102">
        <f t="shared" si="2572"/>
        <v>0</v>
      </c>
      <c r="X3371" s="102">
        <f t="shared" si="2573"/>
        <v>0</v>
      </c>
      <c r="Y3371" s="120" t="b">
        <f t="shared" si="2574"/>
        <v>0</v>
      </c>
      <c r="Z3371" s="117">
        <f t="shared" si="2575"/>
        <v>0</v>
      </c>
      <c r="AA3371" s="118"/>
      <c r="AB3371" s="118" t="str">
        <f t="shared" si="2576"/>
        <v/>
      </c>
      <c r="AC3371" s="712" t="str">
        <f>IF(AE3371="T2G","no charge",IF(AND(OR(PlanterYesMe="No",PlanterYesMe="N",PlanterYesMe="me"),H3371=""),"",IF(H3371="credit","NO install",IF(AND(K3371="",AE3371="me"),"EACH row",IF(AND(K3371="images",AE3371="me"),"EACH row",IF(D3371="","",IF(H3371="credit","",IF(AE3371="free","re-planting",IF(AE3371="me","   not ELP, by",IF(AND(OR(PlanterYesMe="Yes",PlanterYesMe="Y"),G3371&gt;0),(VLOOKUP(A3371,'Discount Lookup'!J:K,2)*G3371*(1-PlanterDiscount)*(1+PlanterDifficultyPercentage)),IF(AE3371="ELP",(VLOOKUP(A3371,'Discount Lookup'!J:K,2)*G3371*(1-PlanterDiscount)*(1+PlanterDifficultyPercentage)),IF(AE3371="free","re-planting",IF(G3371=0,"",IF(PlanterYesMe="",IF(AE3371="me","   not ELP, by",IF(AE3371="",IF(G3371&gt;0,(VLOOKUP(A3371,'Discount Lookup'!J:K,2)*G3371*(1-PlanterDiscount)*(1+PlanterDifficultyPercentage)),""),"")),"   not ELP, by"))))))))))))))</f>
        <v/>
      </c>
      <c r="AD3371" s="712"/>
      <c r="AE3371" s="513" t="str">
        <f t="shared" si="2577"/>
        <v/>
      </c>
      <c r="AF3371" s="713" t="str">
        <f t="shared" si="2578"/>
        <v/>
      </c>
      <c r="AG3371" s="713"/>
      <c r="AH3371" s="713"/>
      <c r="AI3371" s="112">
        <f>IF(H3371="credit",0,IF(AE3371="free",0,IF(AE3371="me",0,IF(G3371&gt;0,(VLOOKUP(A3371,'Discount Lookup'!J:K,2)*G3371),0))))</f>
        <v>0</v>
      </c>
      <c r="AJ3371" s="107" t="str">
        <f t="shared" ca="1" si="2579"/>
        <v/>
      </c>
      <c r="AK3371" s="714" t="str">
        <f t="shared" si="2580"/>
        <v/>
      </c>
      <c r="AL3371" s="714"/>
      <c r="AM3371" s="114" t="str">
        <f t="shared" si="2581"/>
        <v/>
      </c>
      <c r="AN3371" s="115"/>
      <c r="AO3371" s="116"/>
      <c r="AP3371" s="116"/>
      <c r="AQ3371" s="116"/>
      <c r="AR3371" s="116"/>
      <c r="AS3371" s="116"/>
      <c r="AT3371" s="116"/>
      <c r="AU3371" s="116"/>
      <c r="AV3371" s="78"/>
      <c r="AW3371" s="102"/>
      <c r="AX3371" s="78"/>
      <c r="AY3371" s="78"/>
      <c r="AZ3371" s="78"/>
      <c r="BA3371" s="78"/>
      <c r="BB3371" s="78"/>
      <c r="BC3371" s="78"/>
      <c r="BD3371" s="78"/>
      <c r="BE3371" s="465"/>
      <c r="BF3371" s="165" t="str">
        <f t="shared" si="2582"/>
        <v>https://www.google.com/search?tbm=isch&amp;q=Polystichum%20%3D%20Painted%20Fern%20</v>
      </c>
      <c r="BG3371" s="165" t="str">
        <f t="shared" si="2583"/>
        <v>P</v>
      </c>
      <c r="BH3371" s="65"/>
      <c r="BI3371" s="65"/>
      <c r="BJ3371" s="65"/>
      <c r="BK3371" s="65"/>
      <c r="BL3371" s="99"/>
      <c r="BM3371" s="99"/>
      <c r="BN3371" s="99"/>
    </row>
    <row r="3372" spans="1:66" s="51" customFormat="1" ht="18" x14ac:dyDescent="0.25">
      <c r="A3372" s="507" t="s">
        <v>3831</v>
      </c>
      <c r="B3372" s="470"/>
      <c r="C3372" s="706"/>
      <c r="D3372" s="471" t="s">
        <v>3832</v>
      </c>
      <c r="E3372" s="472"/>
      <c r="F3372" s="472"/>
      <c r="G3372" s="472"/>
      <c r="H3372" s="622" t="s">
        <v>1439</v>
      </c>
      <c r="I3372" s="473" t="s">
        <v>2463</v>
      </c>
      <c r="J3372" s="472"/>
      <c r="K3372" s="472"/>
      <c r="L3372" s="561"/>
      <c r="M3372" s="703" t="s">
        <v>5260</v>
      </c>
      <c r="N3372" s="692" t="str">
        <f>IF(AND(ISTEXT($A3372), ISERROR($A3372+0)), HYPERLINK($BF3372, "Images"), "")</f>
        <v>Images</v>
      </c>
      <c r="O3372" s="694" t="s">
        <v>5244</v>
      </c>
      <c r="P3372" s="475"/>
      <c r="Q3372" s="476"/>
      <c r="R3372" s="476"/>
      <c r="S3372" s="477"/>
      <c r="T3372" s="102">
        <f t="shared" si="2571"/>
        <v>0</v>
      </c>
      <c r="U3372" s="78" t="str">
        <f>IF(NOT(ISNUMBER(G3372)), "", VLOOKUP(A3372,'Discount Lookup'!D:E,2,FALSE)*G3372)</f>
        <v/>
      </c>
      <c r="V3372" s="78" t="str">
        <f>IF(NOT(ISNUMBER(G3372)), "", VLOOKUP(A3372,'Discount Lookup'!G:H,2,FALSE)*G3372)</f>
        <v/>
      </c>
      <c r="W3372" s="102">
        <f t="shared" si="2572"/>
        <v>0</v>
      </c>
      <c r="X3372" s="102" t="str">
        <f t="shared" si="2573"/>
        <v>Dark Green fronds</v>
      </c>
      <c r="Y3372" s="120" t="b">
        <f t="shared" si="2574"/>
        <v>0</v>
      </c>
      <c r="Z3372" s="117">
        <f t="shared" si="2575"/>
        <v>0</v>
      </c>
      <c r="AA3372" s="118"/>
      <c r="AB3372" s="118" t="str">
        <f t="shared" si="2576"/>
        <v/>
      </c>
      <c r="AC3372" s="712" t="str">
        <f>IF(AE3372="T2G","no charge",IF(AND(OR(PlanterYesMe="No",PlanterYesMe="N",PlanterYesMe="me"),H3372=""),"",IF(H3372="credit","NO install",IF(AND(K3372="",AE3372="me"),"EACH row",IF(AND(K3372="images",AE3372="me"),"EACH row",IF(D3372="","",IF(H3372="credit","",IF(AE3372="free","re-planting",IF(AE3372="me","   not ELP, by",IF(AND(OR(PlanterYesMe="Yes",PlanterYesMe="Y"),G3372&gt;0),(VLOOKUP(A3372,'Discount Lookup'!J:K,2)*G3372*(1-PlanterDiscount)*(1+PlanterDifficultyPercentage)),IF(AE3372="ELP",(VLOOKUP(A3372,'Discount Lookup'!J:K,2)*G3372*(1-PlanterDiscount)*(1+PlanterDifficultyPercentage)),IF(AE3372="free","re-planting",IF(G3372=0,"",IF(PlanterYesMe="",IF(AE3372="me","   not ELP, by",IF(AE3372="",IF(G3372&gt;0,(VLOOKUP(A3372,'Discount Lookup'!J:K,2)*G3372*(1-PlanterDiscount)*(1+PlanterDifficultyPercentage)),""),"")),"   not ELP, by"))))))))))))))</f>
        <v/>
      </c>
      <c r="AD3372" s="712"/>
      <c r="AE3372" s="513" t="str">
        <f t="shared" si="2577"/>
        <v/>
      </c>
      <c r="AF3372" s="713" t="str">
        <f t="shared" si="2578"/>
        <v/>
      </c>
      <c r="AG3372" s="713"/>
      <c r="AH3372" s="713"/>
      <c r="AI3372" s="112">
        <f>IF(H3372="credit",0,IF(AE3372="free",0,IF(AE3372="me",0,IF(G3372&gt;0,(VLOOKUP(A3372,'Discount Lookup'!J:K,2)*G3372),0))))</f>
        <v>0</v>
      </c>
      <c r="AJ3372" s="107" t="str">
        <f t="shared" ca="1" si="2579"/>
        <v/>
      </c>
      <c r="AK3372" s="714" t="str">
        <f t="shared" si="2580"/>
        <v/>
      </c>
      <c r="AL3372" s="714"/>
      <c r="AM3372" s="114" t="str">
        <f t="shared" si="2581"/>
        <v/>
      </c>
      <c r="AN3372" s="115"/>
      <c r="AO3372" s="116"/>
      <c r="AP3372" s="116"/>
      <c r="AQ3372" s="116"/>
      <c r="AR3372" s="116"/>
      <c r="AS3372" s="116"/>
      <c r="AT3372" s="116"/>
      <c r="AU3372" s="116"/>
      <c r="AV3372" s="78"/>
      <c r="AW3372" s="102"/>
      <c r="AX3372" s="78"/>
      <c r="AY3372" s="78"/>
      <c r="AZ3372" s="78"/>
      <c r="BA3372" s="78"/>
      <c r="BB3372" s="78"/>
      <c r="BC3372" s="78"/>
      <c r="BD3372" s="78"/>
      <c r="BE3372" s="465"/>
      <c r="BF3372" s="165" t="str">
        <f t="shared" si="2582"/>
        <v>https://www.google.com/search?tbm=isch&amp;q=Polystichum%20polyblepharum%20Tassel%20Fern</v>
      </c>
      <c r="BG3372" s="165" t="str">
        <f t="shared" si="2583"/>
        <v>P</v>
      </c>
      <c r="BH3372" s="65"/>
      <c r="BI3372" s="65"/>
      <c r="BJ3372" s="65"/>
      <c r="BK3372" s="65"/>
      <c r="BL3372" s="99"/>
      <c r="BM3372" s="99"/>
      <c r="BN3372" s="99"/>
    </row>
    <row r="3373" spans="1:66" s="51" customFormat="1" ht="15.75" x14ac:dyDescent="0.25">
      <c r="A3373" s="478">
        <v>1</v>
      </c>
      <c r="B3373" s="479" t="s">
        <v>291</v>
      </c>
      <c r="C3373" s="480"/>
      <c r="D3373" s="481" t="s">
        <v>329</v>
      </c>
      <c r="E3373" s="482">
        <v>13.95</v>
      </c>
      <c r="F3373" s="483" t="s">
        <v>292</v>
      </c>
      <c r="G3373" s="484">
        <v>0</v>
      </c>
      <c r="H3373" s="688" t="str">
        <f>IF(G3373=0,"",IF(F3373="Buy",IF(G3373=1,"plant","plants"),IF(F3373&gt;0.01,"warranty","Error")))</f>
        <v/>
      </c>
      <c r="I3373" s="485">
        <f>IF(H3373="free",0,IF(H3373="credit",((E3373*(F3373))*G3373*-1),IF(F3373="Buy",(E3373*G3373),((E3373*(1-F3373))*G3373))))</f>
        <v>0</v>
      </c>
      <c r="J3373" s="485">
        <f>IF(H3373="warranty",0,(I3373*(_xlfn.SINGLE(SalesTaxPercentage))))</f>
        <v>0</v>
      </c>
      <c r="K3373" s="715">
        <f t="shared" ref="K3373" si="2592">I3373+J3373</f>
        <v>0</v>
      </c>
      <c r="L3373" s="715"/>
      <c r="M3373" s="689" t="str">
        <f ca="1">IF(AND(G3373&gt;0,E3373=0),"WARNING - no PRICE inserted",IF(H3373="free","FREE ~ no charge this plant",IF(H3373="credit",CONCATENATE("-$",ROUND(K3373*(1-_xlfn.SINGLE(T2GDiscount))*-1,2)," CREDIT after discount"),IF(_xlfn.SINGLE(T2GDiscount)=0,"",IF(G3373=0,"",IF(F3373="Buy",CONCATENATE("$",ROUND(K3373*(1-_xlfn.SINGLE(T2GDiscount)),2)," with ",(_xlfn.SINGLE(T2GDiscount)*100),"% discount"),CONCATENATE("$",ROUND(K3373*(1-_xlfn.SINGLE(T2GDiscount)),2)," with ",((_xlfn.SINGLE(T2GDiscount)*100+F3373*100)-(_xlfn.SINGLE(T2GDiscount)*100*F3373)),IF(F3373&gt;0,"% discounts",IF(_xlfn.SINGLE(NoWarrantyDiscount)&gt;0,"% discounts","% discount")))))))))</f>
        <v/>
      </c>
      <c r="N3373" s="690"/>
      <c r="O3373" s="486"/>
      <c r="P3373" s="486"/>
      <c r="Q3373" s="486"/>
      <c r="R3373" s="486"/>
      <c r="S3373" s="486"/>
      <c r="T3373" s="102">
        <f t="shared" si="2571"/>
        <v>0</v>
      </c>
      <c r="U3373" s="78">
        <f>IF(NOT(ISNUMBER(G3373)), "", VLOOKUP(A3373,'Discount Lookup'!D:E,2,FALSE)*G3373)</f>
        <v>0</v>
      </c>
      <c r="V3373" s="78">
        <f>IF(NOT(ISNUMBER(G3373)), "", VLOOKUP(A3373,'Discount Lookup'!G:H,2,FALSE)*G3373)</f>
        <v>0</v>
      </c>
      <c r="W3373" s="102">
        <f t="shared" si="2572"/>
        <v>0</v>
      </c>
      <c r="X3373" s="102">
        <f t="shared" si="2573"/>
        <v>0</v>
      </c>
      <c r="Y3373" s="120" t="b">
        <f t="shared" si="2574"/>
        <v>0</v>
      </c>
      <c r="Z3373" s="117">
        <f t="shared" si="2575"/>
        <v>0</v>
      </c>
      <c r="AA3373" s="118"/>
      <c r="AB3373" s="118" t="str">
        <f t="shared" si="2576"/>
        <v/>
      </c>
      <c r="AC3373" s="712" t="str">
        <f>IF(AE3373="T2G","no charge",IF(AND(OR(PlanterYesMe="No",PlanterYesMe="N",PlanterYesMe="me"),H3373=""),"",IF(H3373="credit","NO install",IF(AND(K3373="",AE3373="me"),"EACH row",IF(AND(K3373="images",AE3373="me"),"EACH row",IF(D3373="","",IF(H3373="credit","",IF(AE3373="free","re-planting",IF(AE3373="me","   not ELP, by",IF(AND(OR(PlanterYesMe="Yes",PlanterYesMe="Y"),G3373&gt;0),(VLOOKUP(A3373,'Discount Lookup'!J:K,2)*G3373*(1-PlanterDiscount)*(1+PlanterDifficultyPercentage)),IF(AE3373="ELP",(VLOOKUP(A3373,'Discount Lookup'!J:K,2)*G3373*(1-PlanterDiscount)*(1+PlanterDifficultyPercentage)),IF(AE3373="free","re-planting",IF(G3373=0,"",IF(PlanterYesMe="",IF(AE3373="me","   not ELP, by",IF(AE3373="",IF(G3373&gt;0,(VLOOKUP(A3373,'Discount Lookup'!J:K,2)*G3373*(1-PlanterDiscount)*(1+PlanterDifficultyPercentage)),""),"")),"   not ELP, by"))))))))))))))</f>
        <v/>
      </c>
      <c r="AD3373" s="712"/>
      <c r="AE3373" s="513" t="str">
        <f t="shared" si="2577"/>
        <v/>
      </c>
      <c r="AF3373" s="713" t="str">
        <f t="shared" si="2578"/>
        <v/>
      </c>
      <c r="AG3373" s="713"/>
      <c r="AH3373" s="713"/>
      <c r="AI3373" s="112">
        <f>IF(H3373="credit",0,IF(AE3373="free",0,IF(AE3373="me",0,IF(G3373&gt;0,(VLOOKUP(A3373,'Discount Lookup'!J:K,2)*G3373),0))))</f>
        <v>0</v>
      </c>
      <c r="AJ3373" s="107" t="str">
        <f t="shared" ca="1" si="2579"/>
        <v/>
      </c>
      <c r="AK3373" s="714" t="str">
        <f t="shared" si="2580"/>
        <v/>
      </c>
      <c r="AL3373" s="714"/>
      <c r="AM3373" s="114" t="str">
        <f t="shared" si="2581"/>
        <v/>
      </c>
      <c r="AN3373" s="115"/>
      <c r="AO3373" s="116"/>
      <c r="AP3373" s="116"/>
      <c r="AQ3373" s="116"/>
      <c r="AR3373" s="116"/>
      <c r="AS3373" s="116"/>
      <c r="AT3373" s="116"/>
      <c r="AU3373" s="116"/>
      <c r="AV3373" s="78"/>
      <c r="AW3373" s="102"/>
      <c r="AX3373" s="78"/>
      <c r="AY3373" s="78"/>
      <c r="AZ3373" s="78"/>
      <c r="BA3373" s="78"/>
      <c r="BB3373" s="78"/>
      <c r="BC3373" s="78"/>
      <c r="BD3373" s="78"/>
      <c r="BE3373" s="465"/>
      <c r="BF3373" s="165" t="str">
        <f t="shared" si="2582"/>
        <v>https://www.google.com/search?tbm=isch&amp;q=1%20G2</v>
      </c>
      <c r="BG3373" s="165" t="str">
        <f t="shared" si="2583"/>
        <v>P</v>
      </c>
      <c r="BH3373" s="65"/>
      <c r="BI3373" s="65"/>
      <c r="BJ3373" s="65"/>
      <c r="BK3373" s="65"/>
      <c r="BL3373" s="99"/>
      <c r="BM3373" s="99"/>
      <c r="BN3373" s="99"/>
    </row>
    <row r="3374" spans="1:66" s="51" customFormat="1" ht="15.75" x14ac:dyDescent="0.25">
      <c r="A3374" s="705" t="s">
        <v>5511</v>
      </c>
      <c r="B3374" s="487"/>
      <c r="C3374" s="707"/>
      <c r="D3374" s="487"/>
      <c r="E3374" s="487"/>
      <c r="F3374" s="488"/>
      <c r="G3374" s="489"/>
      <c r="H3374" s="487"/>
      <c r="I3374" s="490"/>
      <c r="J3374" s="490"/>
      <c r="K3374" s="491"/>
      <c r="L3374" s="547"/>
      <c r="M3374" s="528"/>
      <c r="N3374" s="492"/>
      <c r="O3374" s="493"/>
      <c r="P3374" s="494"/>
      <c r="Q3374" s="492"/>
      <c r="R3374" s="492"/>
      <c r="S3374" s="699" t="s">
        <v>5259</v>
      </c>
      <c r="T3374" s="102">
        <f t="shared" si="2571"/>
        <v>0</v>
      </c>
      <c r="U3374" s="78" t="str">
        <f>IF(NOT(ISNUMBER(G3374)), "", VLOOKUP(A3374,'Discount Lookup'!D:E,2,FALSE)*G3374)</f>
        <v/>
      </c>
      <c r="V3374" s="78" t="str">
        <f>IF(NOT(ISNUMBER(G3374)), "", VLOOKUP(A3374,'Discount Lookup'!G:H,2,FALSE)*G3374)</f>
        <v/>
      </c>
      <c r="W3374" s="102">
        <f t="shared" si="2572"/>
        <v>0</v>
      </c>
      <c r="X3374" s="102">
        <f t="shared" si="2573"/>
        <v>0</v>
      </c>
      <c r="Y3374" s="120" t="b">
        <f t="shared" si="2574"/>
        <v>0</v>
      </c>
      <c r="Z3374" s="117">
        <f t="shared" si="2575"/>
        <v>0</v>
      </c>
      <c r="AA3374" s="118"/>
      <c r="AB3374" s="118" t="str">
        <f t="shared" si="2576"/>
        <v/>
      </c>
      <c r="AC3374" s="712" t="str">
        <f>IF(AE3374="T2G","no charge",IF(AND(OR(PlanterYesMe="No",PlanterYesMe="N",PlanterYesMe="me"),H3374=""),"",IF(H3374="credit","NO install",IF(AND(K3374="",AE3374="me"),"EACH row",IF(AND(K3374="images",AE3374="me"),"EACH row",IF(D3374="","",IF(H3374="credit","",IF(AE3374="free","re-planting",IF(AE3374="me","   not ELP, by",IF(AND(OR(PlanterYesMe="Yes",PlanterYesMe="Y"),G3374&gt;0),(VLOOKUP(A3374,'Discount Lookup'!J:K,2)*G3374*(1-PlanterDiscount)*(1+PlanterDifficultyPercentage)),IF(AE3374="ELP",(VLOOKUP(A3374,'Discount Lookup'!J:K,2)*G3374*(1-PlanterDiscount)*(1+PlanterDifficultyPercentage)),IF(AE3374="free","re-planting",IF(G3374=0,"",IF(PlanterYesMe="",IF(AE3374="me","   not ELP, by",IF(AE3374="",IF(G3374&gt;0,(VLOOKUP(A3374,'Discount Lookup'!J:K,2)*G3374*(1-PlanterDiscount)*(1+PlanterDifficultyPercentage)),""),"")),"   not ELP, by"))))))))))))))</f>
        <v/>
      </c>
      <c r="AD3374" s="712"/>
      <c r="AE3374" s="513" t="str">
        <f t="shared" si="2577"/>
        <v/>
      </c>
      <c r="AF3374" s="713" t="str">
        <f t="shared" si="2578"/>
        <v/>
      </c>
      <c r="AG3374" s="713"/>
      <c r="AH3374" s="713"/>
      <c r="AI3374" s="112">
        <f>IF(H3374="credit",0,IF(AE3374="free",0,IF(AE3374="me",0,IF(G3374&gt;0,(VLOOKUP(A3374,'Discount Lookup'!J:K,2)*G3374),0))))</f>
        <v>0</v>
      </c>
      <c r="AJ3374" s="107" t="str">
        <f t="shared" ca="1" si="2579"/>
        <v/>
      </c>
      <c r="AK3374" s="714" t="str">
        <f t="shared" si="2580"/>
        <v/>
      </c>
      <c r="AL3374" s="714"/>
      <c r="AM3374" s="114" t="str">
        <f t="shared" si="2581"/>
        <v/>
      </c>
      <c r="AN3374" s="115"/>
      <c r="AO3374" s="116"/>
      <c r="AP3374" s="116"/>
      <c r="AQ3374" s="116"/>
      <c r="AR3374" s="116"/>
      <c r="AS3374" s="116"/>
      <c r="AT3374" s="116"/>
      <c r="AU3374" s="116"/>
      <c r="AV3374" s="78"/>
      <c r="AW3374" s="102"/>
      <c r="AX3374" s="78"/>
      <c r="AY3374" s="78"/>
      <c r="AZ3374" s="78"/>
      <c r="BA3374" s="78"/>
      <c r="BB3374" s="78"/>
      <c r="BC3374" s="78"/>
      <c r="BD3374" s="78"/>
      <c r="BE3374" s="465"/>
      <c r="BF3374" s="165" t="str">
        <f t="shared" si="2582"/>
        <v>https://www.google.com/search?tbm=isch&amp;q=moist%20sites%F0%9F%92%A7GOOD%2C%20Tassel%20stayss%20lush%20%26%20Dark%20Green%20year-round.%20Named%20for%20backward-flipping%20new%20fronds%2C%20resembling%20a%20tassel%20</v>
      </c>
      <c r="BG3374" s="165" t="str">
        <f t="shared" si="2583"/>
        <v>m</v>
      </c>
      <c r="BH3374" s="65"/>
      <c r="BI3374" s="65"/>
      <c r="BJ3374" s="65"/>
      <c r="BK3374" s="65"/>
      <c r="BL3374" s="99"/>
      <c r="BM3374" s="99"/>
      <c r="BN3374" s="99"/>
    </row>
    <row r="3375" spans="1:66" s="51" customFormat="1" ht="19.5" thickBot="1" x14ac:dyDescent="0.3">
      <c r="A3375" s="686" t="s">
        <v>704</v>
      </c>
      <c r="B3375" s="73"/>
      <c r="C3375" s="708"/>
      <c r="D3375" s="73"/>
      <c r="E3375" s="73"/>
      <c r="F3375" s="496"/>
      <c r="G3375" s="73"/>
      <c r="H3375" s="73"/>
      <c r="I3375" s="73"/>
      <c r="J3375" s="497" t="s">
        <v>357</v>
      </c>
      <c r="K3375" s="498"/>
      <c r="L3375" s="562"/>
      <c r="M3375" s="73"/>
      <c r="N3375"/>
      <c r="O3375"/>
      <c r="P3375"/>
      <c r="Q3375"/>
      <c r="R3375"/>
      <c r="S3375"/>
      <c r="T3375" s="102">
        <f t="shared" si="2571"/>
        <v>0</v>
      </c>
      <c r="U3375" s="78" t="str">
        <f>IF(NOT(ISNUMBER(G3375)), "", VLOOKUP(A3375,'Discount Lookup'!D:E,2,FALSE)*G3375)</f>
        <v/>
      </c>
      <c r="V3375" s="78" t="str">
        <f>IF(NOT(ISNUMBER(G3375)), "", VLOOKUP(A3375,'Discount Lookup'!G:H,2,FALSE)*G3375)</f>
        <v/>
      </c>
      <c r="W3375" s="102">
        <f t="shared" si="2572"/>
        <v>0</v>
      </c>
      <c r="X3375" s="102">
        <f t="shared" si="2573"/>
        <v>0</v>
      </c>
      <c r="Y3375" s="120" t="b">
        <f t="shared" si="2574"/>
        <v>0</v>
      </c>
      <c r="Z3375" s="117">
        <f t="shared" si="2575"/>
        <v>0</v>
      </c>
      <c r="AA3375" s="118"/>
      <c r="AB3375" s="118" t="str">
        <f t="shared" si="2576"/>
        <v/>
      </c>
      <c r="AC3375" s="712" t="str">
        <f>IF(AE3375="T2G","no charge",IF(AND(OR(PlanterYesMe="No",PlanterYesMe="N",PlanterYesMe="me"),H3375=""),"",IF(H3375="credit","NO install",IF(AND(K3375="",AE3375="me"),"EACH row",IF(AND(K3375="images",AE3375="me"),"EACH row",IF(D3375="","",IF(H3375="credit","",IF(AE3375="free","re-planting",IF(AE3375="me","   not ELP, by",IF(AND(OR(PlanterYesMe="Yes",PlanterYesMe="Y"),G3375&gt;0),(VLOOKUP(A3375,'Discount Lookup'!J:K,2)*G3375*(1-PlanterDiscount)*(1+PlanterDifficultyPercentage)),IF(AE3375="ELP",(VLOOKUP(A3375,'Discount Lookup'!J:K,2)*G3375*(1-PlanterDiscount)*(1+PlanterDifficultyPercentage)),IF(AE3375="free","re-planting",IF(G3375=0,"",IF(PlanterYesMe="",IF(AE3375="me","   not ELP, by",IF(AE3375="",IF(G3375&gt;0,(VLOOKUP(A3375,'Discount Lookup'!J:K,2)*G3375*(1-PlanterDiscount)*(1+PlanterDifficultyPercentage)),""),"")),"   not ELP, by"))))))))))))))</f>
        <v/>
      </c>
      <c r="AD3375" s="712"/>
      <c r="AE3375" s="513" t="str">
        <f t="shared" si="2577"/>
        <v/>
      </c>
      <c r="AF3375" s="713" t="str">
        <f t="shared" si="2578"/>
        <v/>
      </c>
      <c r="AG3375" s="713"/>
      <c r="AH3375" s="713"/>
      <c r="AI3375" s="112">
        <f>IF(H3375="credit",0,IF(AE3375="free",0,IF(AE3375="me",0,IF(G3375&gt;0,(VLOOKUP(A3375,'Discount Lookup'!J:K,2)*G3375),0))))</f>
        <v>0</v>
      </c>
      <c r="AJ3375" s="107" t="str">
        <f t="shared" ca="1" si="2579"/>
        <v/>
      </c>
      <c r="AK3375" s="714" t="str">
        <f t="shared" si="2580"/>
        <v/>
      </c>
      <c r="AL3375" s="714"/>
      <c r="AM3375" s="114" t="str">
        <f t="shared" si="2581"/>
        <v/>
      </c>
      <c r="AN3375" s="115"/>
      <c r="AO3375" s="116"/>
      <c r="AP3375" s="116"/>
      <c r="AQ3375" s="116"/>
      <c r="AR3375" s="116"/>
      <c r="AS3375" s="116"/>
      <c r="AT3375" s="116"/>
      <c r="AU3375" s="116"/>
      <c r="AV3375" s="78"/>
      <c r="AW3375" s="102"/>
      <c r="AX3375" s="78"/>
      <c r="AY3375" s="78"/>
      <c r="AZ3375" s="78"/>
      <c r="BA3375" s="78"/>
      <c r="BB3375" s="78"/>
      <c r="BC3375" s="78"/>
      <c r="BD3375" s="78"/>
      <c r="BE3375" s="465"/>
      <c r="BF3375" s="165" t="str">
        <f t="shared" si="2582"/>
        <v>https://www.google.com/search?tbm=isch&amp;q=Prunus%20%3D%20Apricot%2C%20Cherry%2C%20Peach%2C%20and%20Plum%20</v>
      </c>
      <c r="BG3375" s="165" t="str">
        <f t="shared" si="2583"/>
        <v>P</v>
      </c>
      <c r="BH3375" s="65"/>
      <c r="BI3375" s="65"/>
      <c r="BJ3375" s="65"/>
      <c r="BK3375" s="65"/>
      <c r="BL3375" s="99"/>
      <c r="BM3375" s="99"/>
      <c r="BN3375" s="99"/>
    </row>
    <row r="3376" spans="1:66" s="51" customFormat="1" ht="18" x14ac:dyDescent="0.25">
      <c r="A3376" s="623" t="s">
        <v>3833</v>
      </c>
      <c r="B3376" s="624"/>
      <c r="C3376" s="709"/>
      <c r="D3376" s="625" t="s">
        <v>3834</v>
      </c>
      <c r="E3376" s="626"/>
      <c r="F3376" s="626"/>
      <c r="G3376" s="626"/>
      <c r="H3376" s="622" t="s">
        <v>1158</v>
      </c>
      <c r="I3376" s="627" t="s">
        <v>1458</v>
      </c>
      <c r="J3376" s="628"/>
      <c r="K3376" s="628"/>
      <c r="L3376" s="629"/>
      <c r="M3376" s="700" t="s">
        <v>5249</v>
      </c>
      <c r="N3376" s="693" t="str">
        <f>IF(AND(ISTEXT($A3376), ISERROR($A3376+0)), HYPERLINK($BF3376, "Images"), "")</f>
        <v>Images</v>
      </c>
      <c r="O3376" s="695" t="s">
        <v>5286</v>
      </c>
      <c r="P3376" s="630"/>
      <c r="Q3376" s="631"/>
      <c r="R3376" s="632"/>
      <c r="S3376" s="633"/>
      <c r="T3376" s="102">
        <f t="shared" si="2571"/>
        <v>0</v>
      </c>
      <c r="U3376" s="78" t="str">
        <f>IF(NOT(ISNUMBER(G3376)), "", VLOOKUP(A3376,'Discount Lookup'!D:E,2,FALSE)*G3376)</f>
        <v/>
      </c>
      <c r="V3376" s="78" t="str">
        <f>IF(NOT(ISNUMBER(G3376)), "", VLOOKUP(A3376,'Discount Lookup'!G:H,2,FALSE)*G3376)</f>
        <v/>
      </c>
      <c r="W3376" s="102">
        <f t="shared" si="2572"/>
        <v>0</v>
      </c>
      <c r="X3376" s="102" t="str">
        <f t="shared" si="2573"/>
        <v>Pink bloom</v>
      </c>
      <c r="Y3376" s="120" t="b">
        <f t="shared" si="2574"/>
        <v>0</v>
      </c>
      <c r="Z3376" s="117">
        <f t="shared" si="2575"/>
        <v>0</v>
      </c>
      <c r="AA3376" s="118"/>
      <c r="AB3376" s="118" t="str">
        <f t="shared" si="2576"/>
        <v/>
      </c>
      <c r="AC3376" s="712" t="str">
        <f>IF(AE3376="T2G","no charge",IF(AND(OR(PlanterYesMe="No",PlanterYesMe="N",PlanterYesMe="me"),H3376=""),"",IF(H3376="credit","NO install",IF(AND(K3376="",AE3376="me"),"EACH row",IF(AND(K3376="images",AE3376="me"),"EACH row",IF(D3376="","",IF(H3376="credit","",IF(AE3376="free","re-planting",IF(AE3376="me","   not ELP, by",IF(AND(OR(PlanterYesMe="Yes",PlanterYesMe="Y"),G3376&gt;0),(VLOOKUP(A3376,'Discount Lookup'!J:K,2)*G3376*(1-PlanterDiscount)*(1+PlanterDifficultyPercentage)),IF(AE3376="ELP",(VLOOKUP(A3376,'Discount Lookup'!J:K,2)*G3376*(1-PlanterDiscount)*(1+PlanterDifficultyPercentage)),IF(AE3376="free","re-planting",IF(G3376=0,"",IF(PlanterYesMe="",IF(AE3376="me","   not ELP, by",IF(AE3376="",IF(G3376&gt;0,(VLOOKUP(A3376,'Discount Lookup'!J:K,2)*G3376*(1-PlanterDiscount)*(1+PlanterDifficultyPercentage)),""),"")),"   not ELP, by"))))))))))))))</f>
        <v/>
      </c>
      <c r="AD3376" s="712"/>
      <c r="AE3376" s="513" t="str">
        <f t="shared" si="2577"/>
        <v/>
      </c>
      <c r="AF3376" s="713" t="str">
        <f t="shared" si="2578"/>
        <v/>
      </c>
      <c r="AG3376" s="713"/>
      <c r="AH3376" s="713"/>
      <c r="AI3376" s="112">
        <f>IF(H3376="credit",0,IF(AE3376="free",0,IF(AE3376="me",0,IF(G3376&gt;0,(VLOOKUP(A3376,'Discount Lookup'!J:K,2)*G3376),0))))</f>
        <v>0</v>
      </c>
      <c r="AJ3376" s="107" t="str">
        <f t="shared" ca="1" si="2579"/>
        <v/>
      </c>
      <c r="AK3376" s="714" t="str">
        <f t="shared" si="2580"/>
        <v/>
      </c>
      <c r="AL3376" s="714"/>
      <c r="AM3376" s="114" t="str">
        <f t="shared" si="2581"/>
        <v/>
      </c>
      <c r="AN3376" s="115"/>
      <c r="AO3376" s="116"/>
      <c r="AP3376" s="116"/>
      <c r="AQ3376" s="116"/>
      <c r="AR3376" s="116"/>
      <c r="AS3376" s="116"/>
      <c r="AT3376" s="116"/>
      <c r="AU3376" s="116"/>
      <c r="AV3376" s="78"/>
      <c r="AW3376" s="102"/>
      <c r="AX3376" s="78"/>
      <c r="AY3376" s="78"/>
      <c r="AZ3376" s="78"/>
      <c r="BA3376" s="78"/>
      <c r="BB3376" s="78"/>
      <c r="BC3376" s="78"/>
      <c r="BD3376" s="78"/>
      <c r="BE3376" s="465"/>
      <c r="BF3376" s="165" t="str">
        <f t="shared" si="2582"/>
        <v>https://www.google.com/search?tbm=isch&amp;q=Prunus%20cerasifera%20%27Krauter%20Vesuvius%27%20Krauter%20Vesuvius%20Purple%20Leaf%20Plum</v>
      </c>
      <c r="BG3376" s="165" t="str">
        <f t="shared" si="2583"/>
        <v>P</v>
      </c>
      <c r="BH3376" s="65"/>
      <c r="BI3376" s="65"/>
      <c r="BJ3376" s="65"/>
      <c r="BK3376" s="65"/>
      <c r="BL3376" s="99"/>
      <c r="BM3376" s="99"/>
      <c r="BN3376" s="99"/>
    </row>
    <row r="3377" spans="1:66" s="51" customFormat="1" ht="15.75" x14ac:dyDescent="0.25">
      <c r="A3377" s="634">
        <v>7</v>
      </c>
      <c r="B3377" s="635" t="s">
        <v>291</v>
      </c>
      <c r="C3377" s="636" t="s">
        <v>4170</v>
      </c>
      <c r="D3377" s="637" t="s">
        <v>299</v>
      </c>
      <c r="E3377" s="638">
        <v>102.95</v>
      </c>
      <c r="F3377" s="639" t="s">
        <v>292</v>
      </c>
      <c r="G3377" s="484">
        <v>0</v>
      </c>
      <c r="H3377" s="691" t="str">
        <f>IF(G3377=0,"",IF(F3377="Buy",IF(G3377=1,"plant","plants"),IF(F3377&gt;0.01,"warranty","Error")))</f>
        <v/>
      </c>
      <c r="I3377" s="640">
        <f>IF(H3377="free",0,IF(H3377="credit",((E3377*(F3377))*G3377*-1),IF(F3377="Buy",(E3377*G3377),((E3377*(1-F3377))*G3377))))</f>
        <v>0</v>
      </c>
      <c r="J3377" s="640">
        <f>IF(H3377="warranty",0,(I3377*(_xlfn.SINGLE(SalesTaxPercentage))))</f>
        <v>0</v>
      </c>
      <c r="K3377" s="716">
        <f t="shared" ref="K3377" si="2593">I3377+J3377</f>
        <v>0</v>
      </c>
      <c r="L3377" s="716"/>
      <c r="M3377" s="689" t="str">
        <f ca="1">IF(AND(G3377&gt;0,E3377=0),"WARNING - no PRICE inserted",IF(H3377="free","FREE ~ no charge this plant",IF(H3377="credit",CONCATENATE("-$",ROUND(K3377*(1-_xlfn.SINGLE(T2GDiscount))*-1,2)," CREDIT after discount"),IF(_xlfn.SINGLE(T2GDiscount)=0,"",IF(G3377=0,"",IF(F3377="Buy",CONCATENATE("$",ROUND(K3377*(1-_xlfn.SINGLE(T2GDiscount)),2)," with ",(_xlfn.SINGLE(T2GDiscount)*100),"% discount"),CONCATENATE("$",ROUND(K3377*(1-_xlfn.SINGLE(T2GDiscount)),2)," with ",((_xlfn.SINGLE(T2GDiscount)*100+F3377*100)-(_xlfn.SINGLE(T2GDiscount)*100*F3377)),IF(F3377&gt;0,"% discounts",IF(_xlfn.SINGLE(NoWarrantyDiscount)&gt;0,"% discounts","% discount")))))))))</f>
        <v/>
      </c>
      <c r="N3377" s="690"/>
      <c r="O3377" s="486"/>
      <c r="P3377" s="486"/>
      <c r="Q3377" s="486"/>
      <c r="R3377" s="486"/>
      <c r="S3377" s="486"/>
      <c r="T3377" s="102">
        <f t="shared" si="2571"/>
        <v>0</v>
      </c>
      <c r="U3377" s="78">
        <f>IF(NOT(ISNUMBER(G3377)), "", VLOOKUP(A3377,'Discount Lookup'!D:E,2,FALSE)*G3377)</f>
        <v>0</v>
      </c>
      <c r="V3377" s="78">
        <f>IF(NOT(ISNUMBER(G3377)), "", VLOOKUP(A3377,'Discount Lookup'!G:H,2,FALSE)*G3377)</f>
        <v>0</v>
      </c>
      <c r="W3377" s="102">
        <f t="shared" si="2572"/>
        <v>0</v>
      </c>
      <c r="X3377" s="102">
        <f t="shared" si="2573"/>
        <v>0</v>
      </c>
      <c r="Y3377" s="120" t="b">
        <f t="shared" si="2574"/>
        <v>0</v>
      </c>
      <c r="Z3377" s="117">
        <f t="shared" si="2575"/>
        <v>0</v>
      </c>
      <c r="AA3377" s="118"/>
      <c r="AB3377" s="118" t="str">
        <f t="shared" si="2576"/>
        <v/>
      </c>
      <c r="AC3377" s="712" t="str">
        <f>IF(AE3377="T2G","no charge",IF(AND(OR(PlanterYesMe="No",PlanterYesMe="N",PlanterYesMe="me"),H3377=""),"",IF(H3377="credit","NO install",IF(AND(K3377="",AE3377="me"),"EACH row",IF(AND(K3377="images",AE3377="me"),"EACH row",IF(D3377="","",IF(H3377="credit","",IF(AE3377="free","re-planting",IF(AE3377="me","   not ELP, by",IF(AND(OR(PlanterYesMe="Yes",PlanterYesMe="Y"),G3377&gt;0),(VLOOKUP(A3377,'Discount Lookup'!J:K,2)*G3377*(1-PlanterDiscount)*(1+PlanterDifficultyPercentage)),IF(AE3377="ELP",(VLOOKUP(A3377,'Discount Lookup'!J:K,2)*G3377*(1-PlanterDiscount)*(1+PlanterDifficultyPercentage)),IF(AE3377="free","re-planting",IF(G3377=0,"",IF(PlanterYesMe="",IF(AE3377="me","   not ELP, by",IF(AE3377="",IF(G3377&gt;0,(VLOOKUP(A3377,'Discount Lookup'!J:K,2)*G3377*(1-PlanterDiscount)*(1+PlanterDifficultyPercentage)),""),"")),"   not ELP, by"))))))))))))))</f>
        <v/>
      </c>
      <c r="AD3377" s="712"/>
      <c r="AE3377" s="513" t="str">
        <f t="shared" si="2577"/>
        <v/>
      </c>
      <c r="AF3377" s="713" t="str">
        <f t="shared" si="2578"/>
        <v/>
      </c>
      <c r="AG3377" s="713"/>
      <c r="AH3377" s="713"/>
      <c r="AI3377" s="112">
        <f>IF(H3377="credit",0,IF(AE3377="free",0,IF(AE3377="me",0,IF(G3377&gt;0,(VLOOKUP(A3377,'Discount Lookup'!J:K,2)*G3377),0))))</f>
        <v>0</v>
      </c>
      <c r="AJ3377" s="107" t="str">
        <f t="shared" ca="1" si="2579"/>
        <v/>
      </c>
      <c r="AK3377" s="714" t="str">
        <f t="shared" si="2580"/>
        <v/>
      </c>
      <c r="AL3377" s="714"/>
      <c r="AM3377" s="114" t="str">
        <f t="shared" si="2581"/>
        <v/>
      </c>
      <c r="AN3377" s="115"/>
      <c r="AO3377" s="116"/>
      <c r="AP3377" s="116"/>
      <c r="AQ3377" s="116"/>
      <c r="AR3377" s="116"/>
      <c r="AS3377" s="116"/>
      <c r="AT3377" s="116"/>
      <c r="AU3377" s="116"/>
      <c r="AV3377" s="78"/>
      <c r="AW3377" s="102"/>
      <c r="AX3377" s="78"/>
      <c r="AY3377" s="78"/>
      <c r="AZ3377" s="78"/>
      <c r="BA3377" s="78"/>
      <c r="BB3377" s="78"/>
      <c r="BC3377" s="78"/>
      <c r="BD3377" s="78"/>
      <c r="BE3377" s="465"/>
      <c r="BF3377" s="165" t="str">
        <f t="shared" si="2582"/>
        <v>https://www.google.com/search?tbm=isch&amp;q=7%20G4</v>
      </c>
      <c r="BG3377" s="165" t="str">
        <f t="shared" si="2583"/>
        <v>P</v>
      </c>
      <c r="BH3377" s="65"/>
      <c r="BI3377" s="65"/>
      <c r="BJ3377" s="65"/>
      <c r="BK3377" s="65"/>
      <c r="BL3377" s="99"/>
      <c r="BM3377" s="99"/>
      <c r="BN3377" s="99"/>
    </row>
    <row r="3378" spans="1:66" s="51" customFormat="1" ht="15.75" x14ac:dyDescent="0.25">
      <c r="A3378" s="634">
        <v>10</v>
      </c>
      <c r="B3378" s="635" t="s">
        <v>291</v>
      </c>
      <c r="C3378" s="636" t="s">
        <v>3835</v>
      </c>
      <c r="D3378" s="637" t="s">
        <v>299</v>
      </c>
      <c r="E3378" s="638">
        <v>137.94999999999999</v>
      </c>
      <c r="F3378" s="639" t="s">
        <v>292</v>
      </c>
      <c r="G3378" s="484">
        <v>0</v>
      </c>
      <c r="H3378" s="691" t="str">
        <f>IF(G3378=0,"",IF(F3378="Buy",IF(G3378=1,"plant","plants"),IF(F3378&gt;0.01,"warranty","Error")))</f>
        <v/>
      </c>
      <c r="I3378" s="640">
        <f>IF(H3378="free",0,IF(H3378="credit",((E3378*(F3378))*G3378*-1),IF(F3378="Buy",(E3378*G3378),((E3378*(1-F3378))*G3378))))</f>
        <v>0</v>
      </c>
      <c r="J3378" s="640">
        <f>IF(H3378="warranty",0,(I3378*(_xlfn.SINGLE(SalesTaxPercentage))))</f>
        <v>0</v>
      </c>
      <c r="K3378" s="716">
        <f t="shared" ref="K3378" si="2594">I3378+J3378</f>
        <v>0</v>
      </c>
      <c r="L3378" s="716"/>
      <c r="M3378" s="689" t="str">
        <f ca="1">IF(AND(G3378&gt;0,E3378=0),"WARNING - no PRICE inserted",IF(H3378="free","FREE ~ no charge this plant",IF(H3378="credit",CONCATENATE("-$",ROUND(K3378*(1-_xlfn.SINGLE(T2GDiscount))*-1,2)," CREDIT after discount"),IF(_xlfn.SINGLE(T2GDiscount)=0,"",IF(G3378=0,"",IF(F3378="Buy",CONCATENATE("$",ROUND(K3378*(1-_xlfn.SINGLE(T2GDiscount)),2)," with ",(_xlfn.SINGLE(T2GDiscount)*100),"% discount"),CONCATENATE("$",ROUND(K3378*(1-_xlfn.SINGLE(T2GDiscount)),2)," with ",((_xlfn.SINGLE(T2GDiscount)*100+F3378*100)-(_xlfn.SINGLE(T2GDiscount)*100*F3378)),IF(F3378&gt;0,"% discounts",IF(_xlfn.SINGLE(NoWarrantyDiscount)&gt;0,"% discounts","% discount")))))))))</f>
        <v/>
      </c>
      <c r="N3378" s="690"/>
      <c r="O3378" s="486"/>
      <c r="P3378" s="486"/>
      <c r="Q3378" s="486"/>
      <c r="R3378" s="486"/>
      <c r="S3378" s="486"/>
      <c r="T3378" s="102">
        <f t="shared" si="2571"/>
        <v>0</v>
      </c>
      <c r="U3378" s="78">
        <f>IF(NOT(ISNUMBER(G3378)), "", VLOOKUP(A3378,'Discount Lookup'!D:E,2,FALSE)*G3378)</f>
        <v>0</v>
      </c>
      <c r="V3378" s="78">
        <f>IF(NOT(ISNUMBER(G3378)), "", VLOOKUP(A3378,'Discount Lookup'!G:H,2,FALSE)*G3378)</f>
        <v>0</v>
      </c>
      <c r="W3378" s="102">
        <f t="shared" si="2572"/>
        <v>0</v>
      </c>
      <c r="X3378" s="102">
        <f t="shared" si="2573"/>
        <v>0</v>
      </c>
      <c r="Y3378" s="120" t="b">
        <f t="shared" si="2574"/>
        <v>0</v>
      </c>
      <c r="Z3378" s="117">
        <f t="shared" si="2575"/>
        <v>0</v>
      </c>
      <c r="AA3378" s="118"/>
      <c r="AB3378" s="118" t="str">
        <f t="shared" si="2576"/>
        <v/>
      </c>
      <c r="AC3378" s="712" t="str">
        <f>IF(AE3378="T2G","no charge",IF(AND(OR(PlanterYesMe="No",PlanterYesMe="N",PlanterYesMe="me"),H3378=""),"",IF(H3378="credit","NO install",IF(AND(K3378="",AE3378="me"),"EACH row",IF(AND(K3378="images",AE3378="me"),"EACH row",IF(D3378="","",IF(H3378="credit","",IF(AE3378="free","re-planting",IF(AE3378="me","   not ELP, by",IF(AND(OR(PlanterYesMe="Yes",PlanterYesMe="Y"),G3378&gt;0),(VLOOKUP(A3378,'Discount Lookup'!J:K,2)*G3378*(1-PlanterDiscount)*(1+PlanterDifficultyPercentage)),IF(AE3378="ELP",(VLOOKUP(A3378,'Discount Lookup'!J:K,2)*G3378*(1-PlanterDiscount)*(1+PlanterDifficultyPercentage)),IF(AE3378="free","re-planting",IF(G3378=0,"",IF(PlanterYesMe="",IF(AE3378="me","   not ELP, by",IF(AE3378="",IF(G3378&gt;0,(VLOOKUP(A3378,'Discount Lookup'!J:K,2)*G3378*(1-PlanterDiscount)*(1+PlanterDifficultyPercentage)),""),"")),"   not ELP, by"))))))))))))))</f>
        <v/>
      </c>
      <c r="AD3378" s="712"/>
      <c r="AE3378" s="513" t="str">
        <f t="shared" si="2577"/>
        <v/>
      </c>
      <c r="AF3378" s="713" t="str">
        <f t="shared" si="2578"/>
        <v/>
      </c>
      <c r="AG3378" s="713"/>
      <c r="AH3378" s="713"/>
      <c r="AI3378" s="112">
        <f>IF(H3378="credit",0,IF(AE3378="free",0,IF(AE3378="me",0,IF(G3378&gt;0,(VLOOKUP(A3378,'Discount Lookup'!J:K,2)*G3378),0))))</f>
        <v>0</v>
      </c>
      <c r="AJ3378" s="107" t="str">
        <f t="shared" ca="1" si="2579"/>
        <v/>
      </c>
      <c r="AK3378" s="714" t="str">
        <f t="shared" si="2580"/>
        <v/>
      </c>
      <c r="AL3378" s="714"/>
      <c r="AM3378" s="114" t="str">
        <f t="shared" si="2581"/>
        <v/>
      </c>
      <c r="AN3378" s="115"/>
      <c r="AO3378" s="116"/>
      <c r="AP3378" s="116"/>
      <c r="AQ3378" s="116"/>
      <c r="AR3378" s="116"/>
      <c r="AS3378" s="116"/>
      <c r="AT3378" s="116"/>
      <c r="AU3378" s="116"/>
      <c r="AV3378" s="78"/>
      <c r="AW3378" s="102"/>
      <c r="AX3378" s="78"/>
      <c r="AY3378" s="78"/>
      <c r="AZ3378" s="78"/>
      <c r="BA3378" s="78"/>
      <c r="BB3378" s="78"/>
      <c r="BC3378" s="78"/>
      <c r="BD3378" s="78"/>
      <c r="BE3378" s="465"/>
      <c r="BF3378" s="165" t="str">
        <f t="shared" si="2582"/>
        <v>https://www.google.com/search?tbm=isch&amp;q=10%20G4</v>
      </c>
      <c r="BG3378" s="165" t="str">
        <f t="shared" si="2583"/>
        <v>P</v>
      </c>
      <c r="BH3378" s="65"/>
      <c r="BI3378" s="65"/>
      <c r="BJ3378" s="65"/>
      <c r="BK3378" s="65"/>
      <c r="BL3378" s="99"/>
      <c r="BM3378" s="99"/>
      <c r="BN3378" s="99"/>
    </row>
    <row r="3379" spans="1:66" s="51" customFormat="1" ht="15.75" x14ac:dyDescent="0.25">
      <c r="A3379" s="634">
        <v>15</v>
      </c>
      <c r="B3379" s="635" t="s">
        <v>291</v>
      </c>
      <c r="C3379" s="636" t="s">
        <v>14</v>
      </c>
      <c r="D3379" s="637" t="s">
        <v>329</v>
      </c>
      <c r="E3379" s="638">
        <v>146.94999999999999</v>
      </c>
      <c r="F3379" s="639" t="s">
        <v>292</v>
      </c>
      <c r="G3379" s="484">
        <v>0</v>
      </c>
      <c r="H3379" s="691" t="str">
        <f>IF(G3379=0,"",IF(F3379="Buy",IF(G3379=1,"plant","plants"),IF(F3379&gt;0.01,"warranty","Error")))</f>
        <v/>
      </c>
      <c r="I3379" s="640">
        <f>IF(H3379="free",0,IF(H3379="credit",((E3379*(F3379))*G3379*-1),IF(F3379="Buy",(E3379*G3379),((E3379*(1-F3379))*G3379))))</f>
        <v>0</v>
      </c>
      <c r="J3379" s="640">
        <f>IF(H3379="warranty",0,(I3379*(_xlfn.SINGLE(SalesTaxPercentage))))</f>
        <v>0</v>
      </c>
      <c r="K3379" s="716">
        <f t="shared" ref="K3379" si="2595">I3379+J3379</f>
        <v>0</v>
      </c>
      <c r="L3379" s="716"/>
      <c r="M3379" s="689" t="str">
        <f ca="1">IF(AND(G3379&gt;0,E3379=0),"WARNING - no PRICE inserted",IF(H3379="free","FREE ~ no charge this plant",IF(H3379="credit",CONCATENATE("-$",ROUND(K3379*(1-_xlfn.SINGLE(T2GDiscount))*-1,2)," CREDIT after discount"),IF(_xlfn.SINGLE(T2GDiscount)=0,"",IF(G3379=0,"",IF(F3379="Buy",CONCATENATE("$",ROUND(K3379*(1-_xlfn.SINGLE(T2GDiscount)),2)," with ",(_xlfn.SINGLE(T2GDiscount)*100),"% discount"),CONCATENATE("$",ROUND(K3379*(1-_xlfn.SINGLE(T2GDiscount)),2)," with ",((_xlfn.SINGLE(T2GDiscount)*100+F3379*100)-(_xlfn.SINGLE(T2GDiscount)*100*F3379)),IF(F3379&gt;0,"% discounts",IF(_xlfn.SINGLE(NoWarrantyDiscount)&gt;0,"% discounts","% discount")))))))))</f>
        <v/>
      </c>
      <c r="N3379" s="690"/>
      <c r="O3379" s="486"/>
      <c r="P3379" s="486"/>
      <c r="Q3379" s="486"/>
      <c r="R3379" s="486"/>
      <c r="S3379" s="486"/>
      <c r="T3379" s="102">
        <f t="shared" si="2571"/>
        <v>0</v>
      </c>
      <c r="U3379" s="78">
        <f>IF(NOT(ISNUMBER(G3379)), "", VLOOKUP(A3379,'Discount Lookup'!D:E,2,FALSE)*G3379)</f>
        <v>0</v>
      </c>
      <c r="V3379" s="78">
        <f>IF(NOT(ISNUMBER(G3379)), "", VLOOKUP(A3379,'Discount Lookup'!G:H,2,FALSE)*G3379)</f>
        <v>0</v>
      </c>
      <c r="W3379" s="102">
        <f t="shared" si="2572"/>
        <v>0</v>
      </c>
      <c r="X3379" s="102">
        <f t="shared" si="2573"/>
        <v>0</v>
      </c>
      <c r="Y3379" s="120" t="b">
        <f t="shared" si="2574"/>
        <v>0</v>
      </c>
      <c r="Z3379" s="117">
        <f t="shared" si="2575"/>
        <v>0</v>
      </c>
      <c r="AA3379" s="118"/>
      <c r="AB3379" s="118" t="str">
        <f t="shared" si="2576"/>
        <v/>
      </c>
      <c r="AC3379" s="712" t="str">
        <f>IF(AE3379="T2G","no charge",IF(AND(OR(PlanterYesMe="No",PlanterYesMe="N",PlanterYesMe="me"),H3379=""),"",IF(H3379="credit","NO install",IF(AND(K3379="",AE3379="me"),"EACH row",IF(AND(K3379="images",AE3379="me"),"EACH row",IF(D3379="","",IF(H3379="credit","",IF(AE3379="free","re-planting",IF(AE3379="me","   not ELP, by",IF(AND(OR(PlanterYesMe="Yes",PlanterYesMe="Y"),G3379&gt;0),(VLOOKUP(A3379,'Discount Lookup'!J:K,2)*G3379*(1-PlanterDiscount)*(1+PlanterDifficultyPercentage)),IF(AE3379="ELP",(VLOOKUP(A3379,'Discount Lookup'!J:K,2)*G3379*(1-PlanterDiscount)*(1+PlanterDifficultyPercentage)),IF(AE3379="free","re-planting",IF(G3379=0,"",IF(PlanterYesMe="",IF(AE3379="me","   not ELP, by",IF(AE3379="",IF(G3379&gt;0,(VLOOKUP(A3379,'Discount Lookup'!J:K,2)*G3379*(1-PlanterDiscount)*(1+PlanterDifficultyPercentage)),""),"")),"   not ELP, by"))))))))))))))</f>
        <v/>
      </c>
      <c r="AD3379" s="712"/>
      <c r="AE3379" s="513" t="str">
        <f t="shared" si="2577"/>
        <v/>
      </c>
      <c r="AF3379" s="713" t="str">
        <f t="shared" si="2578"/>
        <v/>
      </c>
      <c r="AG3379" s="713"/>
      <c r="AH3379" s="713"/>
      <c r="AI3379" s="112">
        <f>IF(H3379="credit",0,IF(AE3379="free",0,IF(AE3379="me",0,IF(G3379&gt;0,(VLOOKUP(A3379,'Discount Lookup'!J:K,2)*G3379),0))))</f>
        <v>0</v>
      </c>
      <c r="AJ3379" s="107" t="str">
        <f t="shared" ca="1" si="2579"/>
        <v/>
      </c>
      <c r="AK3379" s="714" t="str">
        <f t="shared" si="2580"/>
        <v/>
      </c>
      <c r="AL3379" s="714"/>
      <c r="AM3379" s="114" t="str">
        <f t="shared" si="2581"/>
        <v/>
      </c>
      <c r="AN3379" s="115"/>
      <c r="AO3379" s="116"/>
      <c r="AP3379" s="116"/>
      <c r="AQ3379" s="116"/>
      <c r="AR3379" s="116"/>
      <c r="AS3379" s="116"/>
      <c r="AT3379" s="116"/>
      <c r="AU3379" s="116"/>
      <c r="AV3379" s="78"/>
      <c r="AW3379" s="102"/>
      <c r="AX3379" s="78"/>
      <c r="AY3379" s="78"/>
      <c r="AZ3379" s="78"/>
      <c r="BA3379" s="78"/>
      <c r="BB3379" s="78"/>
      <c r="BC3379" s="78"/>
      <c r="BD3379" s="78"/>
      <c r="BE3379" s="465"/>
      <c r="BF3379" s="165" t="str">
        <f t="shared" si="2582"/>
        <v>https://www.google.com/search?tbm=isch&amp;q=15%20G2</v>
      </c>
      <c r="BG3379" s="165" t="str">
        <f t="shared" si="2583"/>
        <v>P</v>
      </c>
      <c r="BH3379" s="65"/>
      <c r="BI3379" s="65"/>
      <c r="BJ3379" s="65"/>
      <c r="BK3379" s="65"/>
      <c r="BL3379" s="99"/>
      <c r="BM3379" s="99"/>
      <c r="BN3379" s="99"/>
    </row>
    <row r="3380" spans="1:66" s="51" customFormat="1" ht="27" x14ac:dyDescent="0.25">
      <c r="A3380" s="634">
        <v>15</v>
      </c>
      <c r="B3380" s="635" t="s">
        <v>291</v>
      </c>
      <c r="C3380" s="636" t="s">
        <v>3836</v>
      </c>
      <c r="D3380" s="637" t="s">
        <v>299</v>
      </c>
      <c r="E3380" s="638">
        <v>169.95</v>
      </c>
      <c r="F3380" s="639" t="s">
        <v>292</v>
      </c>
      <c r="G3380" s="484">
        <v>0</v>
      </c>
      <c r="H3380" s="691" t="str">
        <f>IF(G3380=0,"",IF(F3380="Buy",IF(G3380=1,"plant","plants"),IF(F3380&gt;0.01,"warranty","Error")))</f>
        <v/>
      </c>
      <c r="I3380" s="640">
        <f>IF(H3380="free",0,IF(H3380="credit",((E3380*(F3380))*G3380*-1),IF(F3380="Buy",(E3380*G3380),((E3380*(1-F3380))*G3380))))</f>
        <v>0</v>
      </c>
      <c r="J3380" s="640">
        <f>IF(H3380="warranty",0,(I3380*(_xlfn.SINGLE(SalesTaxPercentage))))</f>
        <v>0</v>
      </c>
      <c r="K3380" s="716">
        <f t="shared" ref="K3380" si="2596">I3380+J3380</f>
        <v>0</v>
      </c>
      <c r="L3380" s="716"/>
      <c r="M3380" s="689" t="str">
        <f ca="1">IF(AND(G3380&gt;0,E3380=0),"WARNING - no PRICE inserted",IF(H3380="free","FREE ~ no charge this plant",IF(H3380="credit",CONCATENATE("-$",ROUND(K3380*(1-_xlfn.SINGLE(T2GDiscount))*-1,2)," CREDIT after discount"),IF(_xlfn.SINGLE(T2GDiscount)=0,"",IF(G3380=0,"",IF(F3380="Buy",CONCATENATE("$",ROUND(K3380*(1-_xlfn.SINGLE(T2GDiscount)),2)," with ",(_xlfn.SINGLE(T2GDiscount)*100),"% discount"),CONCATENATE("$",ROUND(K3380*(1-_xlfn.SINGLE(T2GDiscount)),2)," with ",((_xlfn.SINGLE(T2GDiscount)*100+F3380*100)-(_xlfn.SINGLE(T2GDiscount)*100*F3380)),IF(F3380&gt;0,"% discounts",IF(_xlfn.SINGLE(NoWarrantyDiscount)&gt;0,"% discounts","% discount")))))))))</f>
        <v/>
      </c>
      <c r="N3380" s="690"/>
      <c r="O3380" s="486"/>
      <c r="P3380" s="486"/>
      <c r="Q3380" s="486"/>
      <c r="R3380" s="486"/>
      <c r="S3380" s="486"/>
      <c r="T3380" s="102">
        <f t="shared" si="2571"/>
        <v>0</v>
      </c>
      <c r="U3380" s="78">
        <f>IF(NOT(ISNUMBER(G3380)), "", VLOOKUP(A3380,'Discount Lookup'!D:E,2,FALSE)*G3380)</f>
        <v>0</v>
      </c>
      <c r="V3380" s="78">
        <f>IF(NOT(ISNUMBER(G3380)), "", VLOOKUP(A3380,'Discount Lookup'!G:H,2,FALSE)*G3380)</f>
        <v>0</v>
      </c>
      <c r="W3380" s="102">
        <f t="shared" si="2572"/>
        <v>0</v>
      </c>
      <c r="X3380" s="102">
        <f t="shared" si="2573"/>
        <v>0</v>
      </c>
      <c r="Y3380" s="120" t="b">
        <f t="shared" si="2574"/>
        <v>0</v>
      </c>
      <c r="Z3380" s="117">
        <f t="shared" si="2575"/>
        <v>0</v>
      </c>
      <c r="AA3380" s="118"/>
      <c r="AB3380" s="118" t="str">
        <f t="shared" si="2576"/>
        <v/>
      </c>
      <c r="AC3380" s="712" t="str">
        <f>IF(AE3380="T2G","no charge",IF(AND(OR(PlanterYesMe="No",PlanterYesMe="N",PlanterYesMe="me"),H3380=""),"",IF(H3380="credit","NO install",IF(AND(K3380="",AE3380="me"),"EACH row",IF(AND(K3380="images",AE3380="me"),"EACH row",IF(D3380="","",IF(H3380="credit","",IF(AE3380="free","re-planting",IF(AE3380="me","   not ELP, by",IF(AND(OR(PlanterYesMe="Yes",PlanterYesMe="Y"),G3380&gt;0),(VLOOKUP(A3380,'Discount Lookup'!J:K,2)*G3380*(1-PlanterDiscount)*(1+PlanterDifficultyPercentage)),IF(AE3380="ELP",(VLOOKUP(A3380,'Discount Lookup'!J:K,2)*G3380*(1-PlanterDiscount)*(1+PlanterDifficultyPercentage)),IF(AE3380="free","re-planting",IF(G3380=0,"",IF(PlanterYesMe="",IF(AE3380="me","   not ELP, by",IF(AE3380="",IF(G3380&gt;0,(VLOOKUP(A3380,'Discount Lookup'!J:K,2)*G3380*(1-PlanterDiscount)*(1+PlanterDifficultyPercentage)),""),"")),"   not ELP, by"))))))))))))))</f>
        <v/>
      </c>
      <c r="AD3380" s="712"/>
      <c r="AE3380" s="513" t="str">
        <f t="shared" si="2577"/>
        <v/>
      </c>
      <c r="AF3380" s="713" t="str">
        <f t="shared" si="2578"/>
        <v/>
      </c>
      <c r="AG3380" s="713"/>
      <c r="AH3380" s="713"/>
      <c r="AI3380" s="112">
        <f>IF(H3380="credit",0,IF(AE3380="free",0,IF(AE3380="me",0,IF(G3380&gt;0,(VLOOKUP(A3380,'Discount Lookup'!J:K,2)*G3380),0))))</f>
        <v>0</v>
      </c>
      <c r="AJ3380" s="107" t="str">
        <f t="shared" ca="1" si="2579"/>
        <v/>
      </c>
      <c r="AK3380" s="714" t="str">
        <f t="shared" si="2580"/>
        <v/>
      </c>
      <c r="AL3380" s="714"/>
      <c r="AM3380" s="114" t="str">
        <f t="shared" si="2581"/>
        <v/>
      </c>
      <c r="AN3380" s="115"/>
      <c r="AO3380" s="116"/>
      <c r="AP3380" s="116"/>
      <c r="AQ3380" s="116"/>
      <c r="AR3380" s="116"/>
      <c r="AS3380" s="116"/>
      <c r="AT3380" s="116"/>
      <c r="AU3380" s="116"/>
      <c r="AV3380" s="78"/>
      <c r="AW3380" s="102"/>
      <c r="AX3380" s="78"/>
      <c r="AY3380" s="78"/>
      <c r="AZ3380" s="78"/>
      <c r="BA3380" s="78"/>
      <c r="BB3380" s="78"/>
      <c r="BC3380" s="78"/>
      <c r="BD3380" s="78"/>
      <c r="BE3380" s="465"/>
      <c r="BF3380" s="165" t="str">
        <f t="shared" si="2582"/>
        <v>https://www.google.com/search?tbm=isch&amp;q=15%20G4</v>
      </c>
      <c r="BG3380" s="165" t="str">
        <f t="shared" si="2583"/>
        <v>P</v>
      </c>
      <c r="BH3380" s="65"/>
      <c r="BI3380" s="65"/>
      <c r="BJ3380" s="65"/>
      <c r="BK3380" s="65"/>
      <c r="BL3380" s="99"/>
      <c r="BM3380" s="99"/>
      <c r="BN3380" s="99"/>
    </row>
    <row r="3381" spans="1:66" s="51" customFormat="1" ht="15.75" x14ac:dyDescent="0.25">
      <c r="A3381" s="634">
        <v>20</v>
      </c>
      <c r="B3381" s="635" t="s">
        <v>291</v>
      </c>
      <c r="C3381" s="636" t="s">
        <v>3837</v>
      </c>
      <c r="D3381" s="637" t="s">
        <v>299</v>
      </c>
      <c r="E3381" s="638">
        <v>206.95</v>
      </c>
      <c r="F3381" s="639" t="s">
        <v>292</v>
      </c>
      <c r="G3381" s="484">
        <v>0</v>
      </c>
      <c r="H3381" s="691" t="str">
        <f>IF(G3381=0,"",IF(F3381="Buy",IF(G3381=1,"plant","plants"),IF(F3381&gt;0.01,"warranty","Error")))</f>
        <v/>
      </c>
      <c r="I3381" s="640">
        <f>IF(H3381="free",0,IF(H3381="credit",((E3381*(F3381))*G3381*-1),IF(F3381="Buy",(E3381*G3381),((E3381*(1-F3381))*G3381))))</f>
        <v>0</v>
      </c>
      <c r="J3381" s="640">
        <f>IF(H3381="warranty",0,(I3381*(_xlfn.SINGLE(SalesTaxPercentage))))</f>
        <v>0</v>
      </c>
      <c r="K3381" s="716">
        <f t="shared" ref="K3381" si="2597">I3381+J3381</f>
        <v>0</v>
      </c>
      <c r="L3381" s="716"/>
      <c r="M3381" s="689" t="str">
        <f ca="1">IF(AND(G3381&gt;0,E3381=0),"WARNING - no PRICE inserted",IF(H3381="free","FREE ~ no charge this plant",IF(H3381="credit",CONCATENATE("-$",ROUND(K3381*(1-_xlfn.SINGLE(T2GDiscount))*-1,2)," CREDIT after discount"),IF(_xlfn.SINGLE(T2GDiscount)=0,"",IF(G3381=0,"",IF(F3381="Buy",CONCATENATE("$",ROUND(K3381*(1-_xlfn.SINGLE(T2GDiscount)),2)," with ",(_xlfn.SINGLE(T2GDiscount)*100),"% discount"),CONCATENATE("$",ROUND(K3381*(1-_xlfn.SINGLE(T2GDiscount)),2)," with ",((_xlfn.SINGLE(T2GDiscount)*100+F3381*100)-(_xlfn.SINGLE(T2GDiscount)*100*F3381)),IF(F3381&gt;0,"% discounts",IF(_xlfn.SINGLE(NoWarrantyDiscount)&gt;0,"% discounts","% discount")))))))))</f>
        <v/>
      </c>
      <c r="N3381" s="690"/>
      <c r="O3381" s="486"/>
      <c r="P3381" s="486"/>
      <c r="Q3381" s="486"/>
      <c r="R3381" s="486"/>
      <c r="S3381" s="486"/>
      <c r="T3381" s="102">
        <f t="shared" si="2571"/>
        <v>0</v>
      </c>
      <c r="U3381" s="78">
        <f>IF(NOT(ISNUMBER(G3381)), "", VLOOKUP(A3381,'Discount Lookup'!D:E,2,FALSE)*G3381)</f>
        <v>0</v>
      </c>
      <c r="V3381" s="78">
        <f>IF(NOT(ISNUMBER(G3381)), "", VLOOKUP(A3381,'Discount Lookup'!G:H,2,FALSE)*G3381)</f>
        <v>0</v>
      </c>
      <c r="W3381" s="102">
        <f t="shared" si="2572"/>
        <v>0</v>
      </c>
      <c r="X3381" s="102">
        <f t="shared" si="2573"/>
        <v>0</v>
      </c>
      <c r="Y3381" s="120" t="b">
        <f t="shared" si="2574"/>
        <v>0</v>
      </c>
      <c r="Z3381" s="117">
        <f t="shared" si="2575"/>
        <v>0</v>
      </c>
      <c r="AA3381" s="118"/>
      <c r="AB3381" s="118" t="str">
        <f t="shared" si="2576"/>
        <v/>
      </c>
      <c r="AC3381" s="712" t="str">
        <f>IF(AE3381="T2G","no charge",IF(AND(OR(PlanterYesMe="No",PlanterYesMe="N",PlanterYesMe="me"),H3381=""),"",IF(H3381="credit","NO install",IF(AND(K3381="",AE3381="me"),"EACH row",IF(AND(K3381="images",AE3381="me"),"EACH row",IF(D3381="","",IF(H3381="credit","",IF(AE3381="free","re-planting",IF(AE3381="me","   not ELP, by",IF(AND(OR(PlanterYesMe="Yes",PlanterYesMe="Y"),G3381&gt;0),(VLOOKUP(A3381,'Discount Lookup'!J:K,2)*G3381*(1-PlanterDiscount)*(1+PlanterDifficultyPercentage)),IF(AE3381="ELP",(VLOOKUP(A3381,'Discount Lookup'!J:K,2)*G3381*(1-PlanterDiscount)*(1+PlanterDifficultyPercentage)),IF(AE3381="free","re-planting",IF(G3381=0,"",IF(PlanterYesMe="",IF(AE3381="me","   not ELP, by",IF(AE3381="",IF(G3381&gt;0,(VLOOKUP(A3381,'Discount Lookup'!J:K,2)*G3381*(1-PlanterDiscount)*(1+PlanterDifficultyPercentage)),""),"")),"   not ELP, by"))))))))))))))</f>
        <v/>
      </c>
      <c r="AD3381" s="712"/>
      <c r="AE3381" s="513" t="str">
        <f t="shared" si="2577"/>
        <v/>
      </c>
      <c r="AF3381" s="713" t="str">
        <f t="shared" si="2578"/>
        <v/>
      </c>
      <c r="AG3381" s="713"/>
      <c r="AH3381" s="713"/>
      <c r="AI3381" s="112">
        <f>IF(H3381="credit",0,IF(AE3381="free",0,IF(AE3381="me",0,IF(G3381&gt;0,(VLOOKUP(A3381,'Discount Lookup'!J:K,2)*G3381),0))))</f>
        <v>0</v>
      </c>
      <c r="AJ3381" s="107" t="str">
        <f t="shared" ca="1" si="2579"/>
        <v/>
      </c>
      <c r="AK3381" s="714" t="str">
        <f t="shared" si="2580"/>
        <v/>
      </c>
      <c r="AL3381" s="714"/>
      <c r="AM3381" s="114" t="str">
        <f t="shared" si="2581"/>
        <v/>
      </c>
      <c r="AN3381" s="115"/>
      <c r="AO3381" s="116"/>
      <c r="AP3381" s="116"/>
      <c r="AQ3381" s="116"/>
      <c r="AR3381" s="116"/>
      <c r="AS3381" s="116"/>
      <c r="AT3381" s="116"/>
      <c r="AU3381" s="116"/>
      <c r="AV3381" s="78"/>
      <c r="AW3381" s="102"/>
      <c r="AX3381" s="78"/>
      <c r="AY3381" s="78"/>
      <c r="AZ3381" s="78"/>
      <c r="BA3381" s="78"/>
      <c r="BB3381" s="78"/>
      <c r="BC3381" s="78"/>
      <c r="BD3381" s="78"/>
      <c r="BE3381" s="465"/>
      <c r="BF3381" s="165" t="str">
        <f t="shared" si="2582"/>
        <v>https://www.google.com/search?tbm=isch&amp;q=20%20G4</v>
      </c>
      <c r="BG3381" s="165" t="str">
        <f t="shared" si="2583"/>
        <v>P</v>
      </c>
      <c r="BH3381" s="65"/>
      <c r="BI3381" s="65"/>
      <c r="BJ3381" s="65"/>
      <c r="BK3381" s="65"/>
      <c r="BL3381" s="99"/>
      <c r="BM3381" s="99"/>
      <c r="BN3381" s="99"/>
    </row>
    <row r="3382" spans="1:66" s="51" customFormat="1" ht="17.25" thickBot="1" x14ac:dyDescent="0.3">
      <c r="A3382" s="641" t="s">
        <v>3838</v>
      </c>
      <c r="B3382" s="642"/>
      <c r="C3382" s="710"/>
      <c r="D3382" s="643"/>
      <c r="E3382" s="643"/>
      <c r="F3382" s="644"/>
      <c r="G3382" s="645"/>
      <c r="H3382" s="646"/>
      <c r="I3382" s="647"/>
      <c r="J3382" s="648"/>
      <c r="K3382" s="649"/>
      <c r="L3382" s="650"/>
      <c r="M3382" s="650"/>
      <c r="N3382" s="644"/>
      <c r="O3382" s="644"/>
      <c r="P3382" s="644"/>
      <c r="Q3382" s="644"/>
      <c r="R3382" s="644"/>
      <c r="S3382" s="701" t="s">
        <v>5251</v>
      </c>
      <c r="T3382" s="102">
        <f t="shared" si="2571"/>
        <v>0</v>
      </c>
      <c r="U3382" s="78" t="str">
        <f>IF(NOT(ISNUMBER(G3382)), "", VLOOKUP(A3382,'Discount Lookup'!D:E,2,FALSE)*G3382)</f>
        <v/>
      </c>
      <c r="V3382" s="78" t="str">
        <f>IF(NOT(ISNUMBER(G3382)), "", VLOOKUP(A3382,'Discount Lookup'!G:H,2,FALSE)*G3382)</f>
        <v/>
      </c>
      <c r="W3382" s="102">
        <f t="shared" si="2572"/>
        <v>0</v>
      </c>
      <c r="X3382" s="102">
        <f t="shared" si="2573"/>
        <v>0</v>
      </c>
      <c r="Y3382" s="120" t="b">
        <f t="shared" si="2574"/>
        <v>0</v>
      </c>
      <c r="Z3382" s="117">
        <f t="shared" si="2575"/>
        <v>0</v>
      </c>
      <c r="AA3382" s="118"/>
      <c r="AB3382" s="118" t="str">
        <f t="shared" si="2576"/>
        <v/>
      </c>
      <c r="AC3382" s="712" t="str">
        <f>IF(AE3382="T2G","no charge",IF(AND(OR(PlanterYesMe="No",PlanterYesMe="N",PlanterYesMe="me"),H3382=""),"",IF(H3382="credit","NO install",IF(AND(K3382="",AE3382="me"),"EACH row",IF(AND(K3382="images",AE3382="me"),"EACH row",IF(D3382="","",IF(H3382="credit","",IF(AE3382="free","re-planting",IF(AE3382="me","   not ELP, by",IF(AND(OR(PlanterYesMe="Yes",PlanterYesMe="Y"),G3382&gt;0),(VLOOKUP(A3382,'Discount Lookup'!J:K,2)*G3382*(1-PlanterDiscount)*(1+PlanterDifficultyPercentage)),IF(AE3382="ELP",(VLOOKUP(A3382,'Discount Lookup'!J:K,2)*G3382*(1-PlanterDiscount)*(1+PlanterDifficultyPercentage)),IF(AE3382="free","re-planting",IF(G3382=0,"",IF(PlanterYesMe="",IF(AE3382="me","   not ELP, by",IF(AE3382="",IF(G3382&gt;0,(VLOOKUP(A3382,'Discount Lookup'!J:K,2)*G3382*(1-PlanterDiscount)*(1+PlanterDifficultyPercentage)),""),"")),"   not ELP, by"))))))))))))))</f>
        <v/>
      </c>
      <c r="AD3382" s="712"/>
      <c r="AE3382" s="513" t="str">
        <f t="shared" si="2577"/>
        <v/>
      </c>
      <c r="AF3382" s="713" t="str">
        <f t="shared" si="2578"/>
        <v/>
      </c>
      <c r="AG3382" s="713"/>
      <c r="AH3382" s="713"/>
      <c r="AI3382" s="112">
        <f>IF(H3382="credit",0,IF(AE3382="free",0,IF(AE3382="me",0,IF(G3382&gt;0,(VLOOKUP(A3382,'Discount Lookup'!J:K,2)*G3382),0))))</f>
        <v>0</v>
      </c>
      <c r="AJ3382" s="107" t="str">
        <f t="shared" ca="1" si="2579"/>
        <v/>
      </c>
      <c r="AK3382" s="714" t="str">
        <f t="shared" si="2580"/>
        <v/>
      </c>
      <c r="AL3382" s="714"/>
      <c r="AM3382" s="114" t="str">
        <f t="shared" si="2581"/>
        <v/>
      </c>
      <c r="AN3382" s="115"/>
      <c r="AO3382" s="116"/>
      <c r="AP3382" s="116"/>
      <c r="AQ3382" s="116"/>
      <c r="AR3382" s="116"/>
      <c r="AS3382" s="116"/>
      <c r="AT3382" s="116"/>
      <c r="AU3382" s="116"/>
      <c r="AV3382" s="78"/>
      <c r="AW3382" s="102"/>
      <c r="AX3382" s="78"/>
      <c r="AY3382" s="78"/>
      <c r="AZ3382" s="78"/>
      <c r="BA3382" s="78"/>
      <c r="BB3382" s="78"/>
      <c r="BC3382" s="78"/>
      <c r="BD3382" s="78"/>
      <c r="BE3382" s="465"/>
      <c r="BF3382" s="165" t="str">
        <f t="shared" si="2582"/>
        <v>https://www.google.com/search?tbm=isch&amp;q=Krauter%20Vesuvius%20is%20the%20most%20colorful%20of%20plums%2C%20with%20a%20Dark%20Purple%20bloom-black%20summer%20foliage.%20May%20produce%20small%20fruit%20</v>
      </c>
      <c r="BG3382" s="165" t="str">
        <f t="shared" si="2583"/>
        <v>K</v>
      </c>
      <c r="BH3382" s="65"/>
      <c r="BI3382" s="65"/>
      <c r="BJ3382" s="65"/>
      <c r="BK3382" s="65"/>
      <c r="BL3382" s="99"/>
      <c r="BM3382" s="99"/>
      <c r="BN3382" s="99"/>
    </row>
    <row r="3383" spans="1:66" s="51" customFormat="1" ht="18" x14ac:dyDescent="0.25">
      <c r="A3383" s="623" t="s">
        <v>3839</v>
      </c>
      <c r="B3383" s="624"/>
      <c r="C3383" s="709"/>
      <c r="D3383" s="625" t="s">
        <v>3840</v>
      </c>
      <c r="E3383" s="626"/>
      <c r="F3383" s="626"/>
      <c r="G3383" s="626"/>
      <c r="H3383" s="622" t="s">
        <v>480</v>
      </c>
      <c r="I3383" s="627" t="s">
        <v>3841</v>
      </c>
      <c r="J3383" s="628"/>
      <c r="K3383" s="628"/>
      <c r="L3383" s="629"/>
      <c r="M3383" s="700" t="s">
        <v>5241</v>
      </c>
      <c r="N3383" s="693" t="str">
        <f>IF(AND(ISTEXT($A3383), ISERROR($A3383+0)), HYPERLINK($BF3383, "Images"), "")</f>
        <v>Images</v>
      </c>
      <c r="O3383" s="695" t="s">
        <v>5286</v>
      </c>
      <c r="P3383" s="630"/>
      <c r="Q3383" s="631"/>
      <c r="R3383" s="632"/>
      <c r="S3383" s="633"/>
      <c r="T3383" s="102">
        <f t="shared" si="2571"/>
        <v>0</v>
      </c>
      <c r="U3383" s="78" t="str">
        <f>IF(NOT(ISNUMBER(G3383)), "", VLOOKUP(A3383,'Discount Lookup'!D:E,2,FALSE)*G3383)</f>
        <v/>
      </c>
      <c r="V3383" s="78" t="str">
        <f>IF(NOT(ISNUMBER(G3383)), "", VLOOKUP(A3383,'Discount Lookup'!G:H,2,FALSE)*G3383)</f>
        <v/>
      </c>
      <c r="W3383" s="102">
        <f t="shared" si="2572"/>
        <v>0</v>
      </c>
      <c r="X3383" s="102" t="str">
        <f t="shared" si="2573"/>
        <v>Rose Pink bloom</v>
      </c>
      <c r="Y3383" s="120" t="b">
        <f t="shared" si="2574"/>
        <v>0</v>
      </c>
      <c r="Z3383" s="117">
        <f t="shared" si="2575"/>
        <v>0</v>
      </c>
      <c r="AA3383" s="118"/>
      <c r="AB3383" s="118" t="str">
        <f t="shared" si="2576"/>
        <v/>
      </c>
      <c r="AC3383" s="712" t="str">
        <f>IF(AE3383="T2G","no charge",IF(AND(OR(PlanterYesMe="No",PlanterYesMe="N",PlanterYesMe="me"),H3383=""),"",IF(H3383="credit","NO install",IF(AND(K3383="",AE3383="me"),"EACH row",IF(AND(K3383="images",AE3383="me"),"EACH row",IF(D3383="","",IF(H3383="credit","",IF(AE3383="free","re-planting",IF(AE3383="me","   not ELP, by",IF(AND(OR(PlanterYesMe="Yes",PlanterYesMe="Y"),G3383&gt;0),(VLOOKUP(A3383,'Discount Lookup'!J:K,2)*G3383*(1-PlanterDiscount)*(1+PlanterDifficultyPercentage)),IF(AE3383="ELP",(VLOOKUP(A3383,'Discount Lookup'!J:K,2)*G3383*(1-PlanterDiscount)*(1+PlanterDifficultyPercentage)),IF(AE3383="free","re-planting",IF(G3383=0,"",IF(PlanterYesMe="",IF(AE3383="me","   not ELP, by",IF(AE3383="",IF(G3383&gt;0,(VLOOKUP(A3383,'Discount Lookup'!J:K,2)*G3383*(1-PlanterDiscount)*(1+PlanterDifficultyPercentage)),""),"")),"   not ELP, by"))))))))))))))</f>
        <v/>
      </c>
      <c r="AD3383" s="712"/>
      <c r="AE3383" s="513" t="str">
        <f t="shared" si="2577"/>
        <v/>
      </c>
      <c r="AF3383" s="713" t="str">
        <f t="shared" si="2578"/>
        <v/>
      </c>
      <c r="AG3383" s="713"/>
      <c r="AH3383" s="713"/>
      <c r="AI3383" s="112">
        <f>IF(H3383="credit",0,IF(AE3383="free",0,IF(AE3383="me",0,IF(G3383&gt;0,(VLOOKUP(A3383,'Discount Lookup'!J:K,2)*G3383),0))))</f>
        <v>0</v>
      </c>
      <c r="AJ3383" s="107" t="str">
        <f t="shared" ca="1" si="2579"/>
        <v/>
      </c>
      <c r="AK3383" s="714" t="str">
        <f t="shared" si="2580"/>
        <v/>
      </c>
      <c r="AL3383" s="714"/>
      <c r="AM3383" s="114" t="str">
        <f t="shared" si="2581"/>
        <v/>
      </c>
      <c r="AN3383" s="115"/>
      <c r="AO3383" s="116"/>
      <c r="AP3383" s="116"/>
      <c r="AQ3383" s="116"/>
      <c r="AR3383" s="116"/>
      <c r="AS3383" s="116"/>
      <c r="AT3383" s="116"/>
      <c r="AU3383" s="116"/>
      <c r="AV3383" s="78"/>
      <c r="AW3383" s="102"/>
      <c r="AX3383" s="78"/>
      <c r="AY3383" s="78"/>
      <c r="AZ3383" s="78"/>
      <c r="BA3383" s="78"/>
      <c r="BB3383" s="78"/>
      <c r="BC3383" s="78"/>
      <c r="BD3383" s="78"/>
      <c r="BE3383" s="465"/>
      <c r="BF3383" s="165" t="str">
        <f t="shared" si="2582"/>
        <v>https://www.google.com/search?tbm=isch&amp;q=Prunus%20%27First%20Lady%27%20First%20Lady%20Flowering%20Cherry</v>
      </c>
      <c r="BG3383" s="165" t="str">
        <f t="shared" si="2583"/>
        <v>P</v>
      </c>
      <c r="BH3383" s="65"/>
      <c r="BI3383" s="65"/>
      <c r="BJ3383" s="65"/>
      <c r="BK3383" s="65"/>
      <c r="BL3383" s="99"/>
      <c r="BM3383" s="99"/>
      <c r="BN3383" s="99"/>
    </row>
    <row r="3384" spans="1:66" s="51" customFormat="1" ht="15.75" x14ac:dyDescent="0.25">
      <c r="A3384" s="634">
        <v>15</v>
      </c>
      <c r="B3384" s="635" t="s">
        <v>291</v>
      </c>
      <c r="C3384" s="636" t="s">
        <v>5203</v>
      </c>
      <c r="D3384" s="637" t="s">
        <v>299</v>
      </c>
      <c r="E3384" s="638">
        <v>169.95</v>
      </c>
      <c r="F3384" s="639" t="s">
        <v>292</v>
      </c>
      <c r="G3384" s="484">
        <v>0</v>
      </c>
      <c r="H3384" s="691" t="str">
        <f>IF(G3384=0,"",IF(F3384="Buy",IF(G3384=1,"plant","plants"),IF(F3384&gt;0.01,"warranty","Error")))</f>
        <v/>
      </c>
      <c r="I3384" s="640">
        <f>IF(H3384="free",0,IF(H3384="credit",((E3384*(F3384))*G3384*-1),IF(F3384="Buy",(E3384*G3384),((E3384*(1-F3384))*G3384))))</f>
        <v>0</v>
      </c>
      <c r="J3384" s="640">
        <f>IF(H3384="warranty",0,(I3384*(_xlfn.SINGLE(SalesTaxPercentage))))</f>
        <v>0</v>
      </c>
      <c r="K3384" s="716">
        <f t="shared" ref="K3384" si="2598">I3384+J3384</f>
        <v>0</v>
      </c>
      <c r="L3384" s="716"/>
      <c r="M3384" s="689" t="str">
        <f ca="1">IF(AND(G3384&gt;0,E3384=0),"WARNING - no PRICE inserted",IF(H3384="free","FREE ~ no charge this plant",IF(H3384="credit",CONCATENATE("-$",ROUND(K3384*(1-_xlfn.SINGLE(T2GDiscount))*-1,2)," CREDIT after discount"),IF(_xlfn.SINGLE(T2GDiscount)=0,"",IF(G3384=0,"",IF(F3384="Buy",CONCATENATE("$",ROUND(K3384*(1-_xlfn.SINGLE(T2GDiscount)),2)," with ",(_xlfn.SINGLE(T2GDiscount)*100),"% discount"),CONCATENATE("$",ROUND(K3384*(1-_xlfn.SINGLE(T2GDiscount)),2)," with ",((_xlfn.SINGLE(T2GDiscount)*100+F3384*100)-(_xlfn.SINGLE(T2GDiscount)*100*F3384)),IF(F3384&gt;0,"% discounts",IF(_xlfn.SINGLE(NoWarrantyDiscount)&gt;0,"% discounts","% discount")))))))))</f>
        <v/>
      </c>
      <c r="N3384" s="690"/>
      <c r="O3384" s="486"/>
      <c r="P3384" s="486"/>
      <c r="Q3384" s="486"/>
      <c r="R3384" s="486"/>
      <c r="S3384" s="486"/>
      <c r="T3384" s="102">
        <f t="shared" si="2571"/>
        <v>0</v>
      </c>
      <c r="U3384" s="78">
        <f>IF(NOT(ISNUMBER(G3384)), "", VLOOKUP(A3384,'Discount Lookup'!D:E,2,FALSE)*G3384)</f>
        <v>0</v>
      </c>
      <c r="V3384" s="78">
        <f>IF(NOT(ISNUMBER(G3384)), "", VLOOKUP(A3384,'Discount Lookup'!G:H,2,FALSE)*G3384)</f>
        <v>0</v>
      </c>
      <c r="W3384" s="102">
        <f t="shared" si="2572"/>
        <v>0</v>
      </c>
      <c r="X3384" s="102">
        <f t="shared" si="2573"/>
        <v>0</v>
      </c>
      <c r="Y3384" s="120" t="b">
        <f t="shared" si="2574"/>
        <v>0</v>
      </c>
      <c r="Z3384" s="117">
        <f t="shared" si="2575"/>
        <v>0</v>
      </c>
      <c r="AA3384" s="118"/>
      <c r="AB3384" s="118" t="str">
        <f t="shared" si="2576"/>
        <v/>
      </c>
      <c r="AC3384" s="712" t="str">
        <f>IF(AE3384="T2G","no charge",IF(AND(OR(PlanterYesMe="No",PlanterYesMe="N",PlanterYesMe="me"),H3384=""),"",IF(H3384="credit","NO install",IF(AND(K3384="",AE3384="me"),"EACH row",IF(AND(K3384="images",AE3384="me"),"EACH row",IF(D3384="","",IF(H3384="credit","",IF(AE3384="free","re-planting",IF(AE3384="me","   not ELP, by",IF(AND(OR(PlanterYesMe="Yes",PlanterYesMe="Y"),G3384&gt;0),(VLOOKUP(A3384,'Discount Lookup'!J:K,2)*G3384*(1-PlanterDiscount)*(1+PlanterDifficultyPercentage)),IF(AE3384="ELP",(VLOOKUP(A3384,'Discount Lookup'!J:K,2)*G3384*(1-PlanterDiscount)*(1+PlanterDifficultyPercentage)),IF(AE3384="free","re-planting",IF(G3384=0,"",IF(PlanterYesMe="",IF(AE3384="me","   not ELP, by",IF(AE3384="",IF(G3384&gt;0,(VLOOKUP(A3384,'Discount Lookup'!J:K,2)*G3384*(1-PlanterDiscount)*(1+PlanterDifficultyPercentage)),""),"")),"   not ELP, by"))))))))))))))</f>
        <v/>
      </c>
      <c r="AD3384" s="712"/>
      <c r="AE3384" s="513" t="str">
        <f t="shared" si="2577"/>
        <v/>
      </c>
      <c r="AF3384" s="713" t="str">
        <f t="shared" si="2578"/>
        <v/>
      </c>
      <c r="AG3384" s="713"/>
      <c r="AH3384" s="713"/>
      <c r="AI3384" s="112">
        <f>IF(H3384="credit",0,IF(AE3384="free",0,IF(AE3384="me",0,IF(G3384&gt;0,(VLOOKUP(A3384,'Discount Lookup'!J:K,2)*G3384),0))))</f>
        <v>0</v>
      </c>
      <c r="AJ3384" s="107" t="str">
        <f t="shared" ca="1" si="2579"/>
        <v/>
      </c>
      <c r="AK3384" s="714" t="str">
        <f t="shared" si="2580"/>
        <v/>
      </c>
      <c r="AL3384" s="714"/>
      <c r="AM3384" s="114" t="str">
        <f t="shared" si="2581"/>
        <v/>
      </c>
      <c r="AN3384" s="115"/>
      <c r="AO3384" s="116"/>
      <c r="AP3384" s="116"/>
      <c r="AQ3384" s="116"/>
      <c r="AR3384" s="116"/>
      <c r="AS3384" s="116"/>
      <c r="AT3384" s="116"/>
      <c r="AU3384" s="116"/>
      <c r="AV3384" s="78"/>
      <c r="AW3384" s="102"/>
      <c r="AX3384" s="78"/>
      <c r="AY3384" s="78"/>
      <c r="AZ3384" s="78"/>
      <c r="BA3384" s="78"/>
      <c r="BB3384" s="78"/>
      <c r="BC3384" s="78"/>
      <c r="BD3384" s="78"/>
      <c r="BE3384" s="465"/>
      <c r="BF3384" s="165" t="str">
        <f t="shared" si="2582"/>
        <v>https://www.google.com/search?tbm=isch&amp;q=15%20G4</v>
      </c>
      <c r="BG3384" s="165" t="str">
        <f t="shared" si="2583"/>
        <v>P</v>
      </c>
      <c r="BH3384" s="65"/>
      <c r="BI3384" s="65"/>
      <c r="BJ3384" s="65"/>
      <c r="BK3384" s="65"/>
      <c r="BL3384" s="99"/>
      <c r="BM3384" s="99"/>
      <c r="BN3384" s="99"/>
    </row>
    <row r="3385" spans="1:66" s="51" customFormat="1" ht="15.75" x14ac:dyDescent="0.25">
      <c r="A3385" s="634">
        <v>15</v>
      </c>
      <c r="B3385" s="635" t="s">
        <v>291</v>
      </c>
      <c r="C3385" s="636" t="s">
        <v>3842</v>
      </c>
      <c r="D3385" s="637" t="s">
        <v>293</v>
      </c>
      <c r="E3385" s="638">
        <v>299.95</v>
      </c>
      <c r="F3385" s="639" t="s">
        <v>292</v>
      </c>
      <c r="G3385" s="484">
        <v>0</v>
      </c>
      <c r="H3385" s="691" t="str">
        <f>IF(G3385=0,"",IF(F3385="Buy",IF(G3385=1,"plant","plants"),IF(F3385&gt;0.01,"warranty","Error")))</f>
        <v/>
      </c>
      <c r="I3385" s="640">
        <f>IF(H3385="free",0,IF(H3385="credit",((E3385*(F3385))*G3385*-1),IF(F3385="Buy",(E3385*G3385),((E3385*(1-F3385))*G3385))))</f>
        <v>0</v>
      </c>
      <c r="J3385" s="640">
        <f>IF(H3385="warranty",0,(I3385*(_xlfn.SINGLE(SalesTaxPercentage))))</f>
        <v>0</v>
      </c>
      <c r="K3385" s="716">
        <f t="shared" ref="K3385" si="2599">I3385+J3385</f>
        <v>0</v>
      </c>
      <c r="L3385" s="716"/>
      <c r="M3385" s="689" t="str">
        <f ca="1">IF(AND(G3385&gt;0,E3385=0),"WARNING - no PRICE inserted",IF(H3385="free","FREE ~ no charge this plant",IF(H3385="credit",CONCATENATE("-$",ROUND(K3385*(1-_xlfn.SINGLE(T2GDiscount))*-1,2)," CREDIT after discount"),IF(_xlfn.SINGLE(T2GDiscount)=0,"",IF(G3385=0,"",IF(F3385="Buy",CONCATENATE("$",ROUND(K3385*(1-_xlfn.SINGLE(T2GDiscount)),2)," with ",(_xlfn.SINGLE(T2GDiscount)*100),"% discount"),CONCATENATE("$",ROUND(K3385*(1-_xlfn.SINGLE(T2GDiscount)),2)," with ",((_xlfn.SINGLE(T2GDiscount)*100+F3385*100)-(_xlfn.SINGLE(T2GDiscount)*100*F3385)),IF(F3385&gt;0,"% discounts",IF(_xlfn.SINGLE(NoWarrantyDiscount)&gt;0,"% discounts","% discount")))))))))</f>
        <v/>
      </c>
      <c r="N3385" s="690"/>
      <c r="O3385" s="486"/>
      <c r="P3385" s="486"/>
      <c r="Q3385" s="486"/>
      <c r="R3385" s="486"/>
      <c r="S3385" s="486"/>
      <c r="T3385" s="102">
        <f t="shared" si="2571"/>
        <v>0</v>
      </c>
      <c r="U3385" s="78">
        <f>IF(NOT(ISNUMBER(G3385)), "", VLOOKUP(A3385,'Discount Lookup'!D:E,2,FALSE)*G3385)</f>
        <v>0</v>
      </c>
      <c r="V3385" s="78">
        <f>IF(NOT(ISNUMBER(G3385)), "", VLOOKUP(A3385,'Discount Lookup'!G:H,2,FALSE)*G3385)</f>
        <v>0</v>
      </c>
      <c r="W3385" s="102">
        <f t="shared" si="2572"/>
        <v>0</v>
      </c>
      <c r="X3385" s="102">
        <f t="shared" si="2573"/>
        <v>0</v>
      </c>
      <c r="Y3385" s="120" t="b">
        <f t="shared" si="2574"/>
        <v>0</v>
      </c>
      <c r="Z3385" s="117">
        <f t="shared" si="2575"/>
        <v>0</v>
      </c>
      <c r="AA3385" s="118"/>
      <c r="AB3385" s="118" t="str">
        <f t="shared" si="2576"/>
        <v/>
      </c>
      <c r="AC3385" s="712" t="str">
        <f>IF(AE3385="T2G","no charge",IF(AND(OR(PlanterYesMe="No",PlanterYesMe="N",PlanterYesMe="me"),H3385=""),"",IF(H3385="credit","NO install",IF(AND(K3385="",AE3385="me"),"EACH row",IF(AND(K3385="images",AE3385="me"),"EACH row",IF(D3385="","",IF(H3385="credit","",IF(AE3385="free","re-planting",IF(AE3385="me","   not ELP, by",IF(AND(OR(PlanterYesMe="Yes",PlanterYesMe="Y"),G3385&gt;0),(VLOOKUP(A3385,'Discount Lookup'!J:K,2)*G3385*(1-PlanterDiscount)*(1+PlanterDifficultyPercentage)),IF(AE3385="ELP",(VLOOKUP(A3385,'Discount Lookup'!J:K,2)*G3385*(1-PlanterDiscount)*(1+PlanterDifficultyPercentage)),IF(AE3385="free","re-planting",IF(G3385=0,"",IF(PlanterYesMe="",IF(AE3385="me","   not ELP, by",IF(AE3385="",IF(G3385&gt;0,(VLOOKUP(A3385,'Discount Lookup'!J:K,2)*G3385*(1-PlanterDiscount)*(1+PlanterDifficultyPercentage)),""),"")),"   not ELP, by"))))))))))))))</f>
        <v/>
      </c>
      <c r="AD3385" s="712"/>
      <c r="AE3385" s="513" t="str">
        <f t="shared" si="2577"/>
        <v/>
      </c>
      <c r="AF3385" s="713" t="str">
        <f t="shared" si="2578"/>
        <v/>
      </c>
      <c r="AG3385" s="713"/>
      <c r="AH3385" s="713"/>
      <c r="AI3385" s="112">
        <f>IF(H3385="credit",0,IF(AE3385="free",0,IF(AE3385="me",0,IF(G3385&gt;0,(VLOOKUP(A3385,'Discount Lookup'!J:K,2)*G3385),0))))</f>
        <v>0</v>
      </c>
      <c r="AJ3385" s="107" t="str">
        <f t="shared" ca="1" si="2579"/>
        <v/>
      </c>
      <c r="AK3385" s="714" t="str">
        <f t="shared" si="2580"/>
        <v/>
      </c>
      <c r="AL3385" s="714"/>
      <c r="AM3385" s="114" t="str">
        <f t="shared" si="2581"/>
        <v/>
      </c>
      <c r="AN3385" s="115"/>
      <c r="AO3385" s="116"/>
      <c r="AP3385" s="116"/>
      <c r="AQ3385" s="116"/>
      <c r="AR3385" s="116"/>
      <c r="AS3385" s="116"/>
      <c r="AT3385" s="116"/>
      <c r="AU3385" s="116"/>
      <c r="AV3385" s="78"/>
      <c r="AW3385" s="102"/>
      <c r="AX3385" s="78"/>
      <c r="AY3385" s="78"/>
      <c r="AZ3385" s="78"/>
      <c r="BA3385" s="78"/>
      <c r="BB3385" s="78"/>
      <c r="BC3385" s="78"/>
      <c r="BD3385" s="78"/>
      <c r="BE3385" s="465"/>
      <c r="BF3385" s="165" t="str">
        <f t="shared" si="2582"/>
        <v>https://www.google.com/search?tbm=isch&amp;q=15%20G6</v>
      </c>
      <c r="BG3385" s="165" t="str">
        <f t="shared" si="2583"/>
        <v>P</v>
      </c>
      <c r="BH3385" s="65"/>
      <c r="BI3385" s="65"/>
      <c r="BJ3385" s="65"/>
      <c r="BK3385" s="65"/>
      <c r="BL3385" s="99"/>
      <c r="BM3385" s="99"/>
      <c r="BN3385" s="99"/>
    </row>
    <row r="3386" spans="1:66" s="51" customFormat="1" ht="17.25" thickBot="1" x14ac:dyDescent="0.3">
      <c r="A3386" s="641" t="s">
        <v>3843</v>
      </c>
      <c r="B3386" s="642"/>
      <c r="C3386" s="710"/>
      <c r="D3386" s="643"/>
      <c r="E3386" s="643"/>
      <c r="F3386" s="644"/>
      <c r="G3386" s="645"/>
      <c r="H3386" s="646"/>
      <c r="I3386" s="647"/>
      <c r="J3386" s="648"/>
      <c r="K3386" s="649"/>
      <c r="L3386" s="650"/>
      <c r="M3386" s="650"/>
      <c r="N3386" s="644"/>
      <c r="O3386" s="644"/>
      <c r="P3386" s="644"/>
      <c r="Q3386" s="644"/>
      <c r="R3386" s="644"/>
      <c r="S3386" s="701" t="s">
        <v>5253</v>
      </c>
      <c r="T3386" s="102">
        <f t="shared" si="2571"/>
        <v>0</v>
      </c>
      <c r="U3386" s="78" t="str">
        <f>IF(NOT(ISNUMBER(G3386)), "", VLOOKUP(A3386,'Discount Lookup'!D:E,2,FALSE)*G3386)</f>
        <v/>
      </c>
      <c r="V3386" s="78" t="str">
        <f>IF(NOT(ISNUMBER(G3386)), "", VLOOKUP(A3386,'Discount Lookup'!G:H,2,FALSE)*G3386)</f>
        <v/>
      </c>
      <c r="W3386" s="102">
        <f t="shared" si="2572"/>
        <v>0</v>
      </c>
      <c r="X3386" s="102">
        <f t="shared" si="2573"/>
        <v>0</v>
      </c>
      <c r="Y3386" s="120" t="b">
        <f t="shared" si="2574"/>
        <v>0</v>
      </c>
      <c r="Z3386" s="117">
        <f t="shared" si="2575"/>
        <v>0</v>
      </c>
      <c r="AA3386" s="118"/>
      <c r="AB3386" s="118" t="str">
        <f t="shared" si="2576"/>
        <v/>
      </c>
      <c r="AC3386" s="712" t="str">
        <f>IF(AE3386="T2G","no charge",IF(AND(OR(PlanterYesMe="No",PlanterYesMe="N",PlanterYesMe="me"),H3386=""),"",IF(H3386="credit","NO install",IF(AND(K3386="",AE3386="me"),"EACH row",IF(AND(K3386="images",AE3386="me"),"EACH row",IF(D3386="","",IF(H3386="credit","",IF(AE3386="free","re-planting",IF(AE3386="me","   not ELP, by",IF(AND(OR(PlanterYesMe="Yes",PlanterYesMe="Y"),G3386&gt;0),(VLOOKUP(A3386,'Discount Lookup'!J:K,2)*G3386*(1-PlanterDiscount)*(1+PlanterDifficultyPercentage)),IF(AE3386="ELP",(VLOOKUP(A3386,'Discount Lookup'!J:K,2)*G3386*(1-PlanterDiscount)*(1+PlanterDifficultyPercentage)),IF(AE3386="free","re-planting",IF(G3386=0,"",IF(PlanterYesMe="",IF(AE3386="me","   not ELP, by",IF(AE3386="",IF(G3386&gt;0,(VLOOKUP(A3386,'Discount Lookup'!J:K,2)*G3386*(1-PlanterDiscount)*(1+PlanterDifficultyPercentage)),""),"")),"   not ELP, by"))))))))))))))</f>
        <v/>
      </c>
      <c r="AD3386" s="712"/>
      <c r="AE3386" s="513" t="str">
        <f t="shared" si="2577"/>
        <v/>
      </c>
      <c r="AF3386" s="713" t="str">
        <f t="shared" si="2578"/>
        <v/>
      </c>
      <c r="AG3386" s="713"/>
      <c r="AH3386" s="713"/>
      <c r="AI3386" s="112">
        <f>IF(H3386="credit",0,IF(AE3386="free",0,IF(AE3386="me",0,IF(G3386&gt;0,(VLOOKUP(A3386,'Discount Lookup'!J:K,2)*G3386),0))))</f>
        <v>0</v>
      </c>
      <c r="AJ3386" s="107" t="str">
        <f t="shared" ca="1" si="2579"/>
        <v/>
      </c>
      <c r="AK3386" s="714" t="str">
        <f t="shared" si="2580"/>
        <v/>
      </c>
      <c r="AL3386" s="714"/>
      <c r="AM3386" s="114" t="str">
        <f t="shared" si="2581"/>
        <v/>
      </c>
      <c r="AN3386" s="115"/>
      <c r="AO3386" s="116"/>
      <c r="AP3386" s="116"/>
      <c r="AQ3386" s="116"/>
      <c r="AR3386" s="116"/>
      <c r="AS3386" s="116"/>
      <c r="AT3386" s="116"/>
      <c r="AU3386" s="116"/>
      <c r="AV3386" s="78"/>
      <c r="AW3386" s="102"/>
      <c r="AX3386" s="78"/>
      <c r="AY3386" s="78"/>
      <c r="AZ3386" s="78"/>
      <c r="BA3386" s="78"/>
      <c r="BB3386" s="78"/>
      <c r="BC3386" s="78"/>
      <c r="BD3386" s="78"/>
      <c r="BE3386" s="465"/>
      <c r="BF3386" s="165" t="str">
        <f t="shared" si="2582"/>
        <v>https://www.google.com/search?tbm=isch&amp;q=First%20Lady%20has%20abundant%20flowers%2C%20cold-hardiness%2C%20and%20an%20upright%2C%20narrow%20form%20that%20fits%20anywhere%20</v>
      </c>
      <c r="BG3386" s="165" t="str">
        <f t="shared" si="2583"/>
        <v>F</v>
      </c>
      <c r="BH3386" s="65"/>
      <c r="BI3386" s="65"/>
      <c r="BJ3386" s="65"/>
      <c r="BK3386" s="65"/>
      <c r="BL3386" s="99"/>
      <c r="BM3386" s="99"/>
      <c r="BN3386" s="99"/>
    </row>
    <row r="3387" spans="1:66" s="51" customFormat="1" ht="18" x14ac:dyDescent="0.25">
      <c r="A3387" s="623" t="s">
        <v>3844</v>
      </c>
      <c r="B3387" s="624"/>
      <c r="C3387" s="709"/>
      <c r="D3387" s="625" t="s">
        <v>3845</v>
      </c>
      <c r="E3387" s="626"/>
      <c r="F3387" s="626"/>
      <c r="G3387" s="626"/>
      <c r="H3387" s="622" t="s">
        <v>1270</v>
      </c>
      <c r="I3387" s="627" t="s">
        <v>1783</v>
      </c>
      <c r="J3387" s="628"/>
      <c r="K3387" s="628"/>
      <c r="L3387" s="629"/>
      <c r="M3387" s="700" t="s">
        <v>5249</v>
      </c>
      <c r="N3387" s="693" t="str">
        <f>IF(AND(ISTEXT($A3387), ISERROR($A3387+0)), HYPERLINK($BF3387, "Images"), "")</f>
        <v>Images</v>
      </c>
      <c r="O3387" s="695" t="s">
        <v>5264</v>
      </c>
      <c r="P3387" s="630"/>
      <c r="Q3387" s="631"/>
      <c r="R3387" s="632"/>
      <c r="S3387" s="633"/>
      <c r="T3387" s="102">
        <f t="shared" si="2571"/>
        <v>0</v>
      </c>
      <c r="U3387" s="78" t="str">
        <f>IF(NOT(ISNUMBER(G3387)), "", VLOOKUP(A3387,'Discount Lookup'!D:E,2,FALSE)*G3387)</f>
        <v/>
      </c>
      <c r="V3387" s="78" t="str">
        <f>IF(NOT(ISNUMBER(G3387)), "", VLOOKUP(A3387,'Discount Lookup'!G:H,2,FALSE)*G3387)</f>
        <v/>
      </c>
      <c r="W3387" s="102">
        <f t="shared" si="2572"/>
        <v>0</v>
      </c>
      <c r="X3387" s="102" t="str">
        <f t="shared" si="2573"/>
        <v>Soft Pink bloom</v>
      </c>
      <c r="Y3387" s="120" t="b">
        <f t="shared" si="2574"/>
        <v>0</v>
      </c>
      <c r="Z3387" s="117">
        <f t="shared" si="2575"/>
        <v>0</v>
      </c>
      <c r="AA3387" s="118"/>
      <c r="AB3387" s="118" t="str">
        <f t="shared" si="2576"/>
        <v/>
      </c>
      <c r="AC3387" s="712" t="str">
        <f>IF(AE3387="T2G","no charge",IF(AND(OR(PlanterYesMe="No",PlanterYesMe="N",PlanterYesMe="me"),H3387=""),"",IF(H3387="credit","NO install",IF(AND(K3387="",AE3387="me"),"EACH row",IF(AND(K3387="images",AE3387="me"),"EACH row",IF(D3387="","",IF(H3387="credit","",IF(AE3387="free","re-planting",IF(AE3387="me","   not ELP, by",IF(AND(OR(PlanterYesMe="Yes",PlanterYesMe="Y"),G3387&gt;0),(VLOOKUP(A3387,'Discount Lookup'!J:K,2)*G3387*(1-PlanterDiscount)*(1+PlanterDifficultyPercentage)),IF(AE3387="ELP",(VLOOKUP(A3387,'Discount Lookup'!J:K,2)*G3387*(1-PlanterDiscount)*(1+PlanterDifficultyPercentage)),IF(AE3387="free","re-planting",IF(G3387=0,"",IF(PlanterYesMe="",IF(AE3387="me","   not ELP, by",IF(AE3387="",IF(G3387&gt;0,(VLOOKUP(A3387,'Discount Lookup'!J:K,2)*G3387*(1-PlanterDiscount)*(1+PlanterDifficultyPercentage)),""),"")),"   not ELP, by"))))))))))))))</f>
        <v/>
      </c>
      <c r="AD3387" s="712"/>
      <c r="AE3387" s="513" t="str">
        <f t="shared" si="2577"/>
        <v/>
      </c>
      <c r="AF3387" s="713" t="str">
        <f t="shared" si="2578"/>
        <v/>
      </c>
      <c r="AG3387" s="713"/>
      <c r="AH3387" s="713"/>
      <c r="AI3387" s="112">
        <f>IF(H3387="credit",0,IF(AE3387="free",0,IF(AE3387="me",0,IF(G3387&gt;0,(VLOOKUP(A3387,'Discount Lookup'!J:K,2)*G3387),0))))</f>
        <v>0</v>
      </c>
      <c r="AJ3387" s="107" t="str">
        <f t="shared" ca="1" si="2579"/>
        <v/>
      </c>
      <c r="AK3387" s="714" t="str">
        <f t="shared" si="2580"/>
        <v/>
      </c>
      <c r="AL3387" s="714"/>
      <c r="AM3387" s="114" t="str">
        <f t="shared" si="2581"/>
        <v/>
      </c>
      <c r="AN3387" s="115"/>
      <c r="AO3387" s="116"/>
      <c r="AP3387" s="116"/>
      <c r="AQ3387" s="116"/>
      <c r="AR3387" s="116"/>
      <c r="AS3387" s="116"/>
      <c r="AT3387" s="116"/>
      <c r="AU3387" s="116"/>
      <c r="AV3387" s="78"/>
      <c r="AW3387" s="102"/>
      <c r="AX3387" s="78"/>
      <c r="AY3387" s="78"/>
      <c r="AZ3387" s="78"/>
      <c r="BA3387" s="78"/>
      <c r="BB3387" s="78"/>
      <c r="BC3387" s="78"/>
      <c r="BD3387" s="78"/>
      <c r="BE3387" s="465"/>
      <c r="BF3387" s="165" t="str">
        <f t="shared" si="2582"/>
        <v>https://www.google.com/search?tbm=isch&amp;q=Prunus%20glandulosa%20%27Rosea%27%20Dwarf%20Flowering%20Almond</v>
      </c>
      <c r="BG3387" s="165" t="str">
        <f t="shared" si="2583"/>
        <v>P</v>
      </c>
      <c r="BH3387" s="65"/>
      <c r="BI3387" s="65"/>
      <c r="BJ3387" s="65"/>
      <c r="BK3387" s="65"/>
      <c r="BL3387" s="99"/>
      <c r="BM3387" s="99"/>
      <c r="BN3387" s="99"/>
    </row>
    <row r="3388" spans="1:66" s="51" customFormat="1" ht="15.75" x14ac:dyDescent="0.25">
      <c r="A3388" s="634">
        <v>3</v>
      </c>
      <c r="B3388" s="635" t="s">
        <v>291</v>
      </c>
      <c r="C3388" s="636"/>
      <c r="D3388" s="637" t="s">
        <v>310</v>
      </c>
      <c r="E3388" s="638">
        <v>25.95</v>
      </c>
      <c r="F3388" s="639" t="s">
        <v>292</v>
      </c>
      <c r="G3388" s="484">
        <v>0</v>
      </c>
      <c r="H3388" s="691" t="str">
        <f>IF(G3388=0,"",IF(F3388="Buy",IF(G3388=1,"plant","plants"),IF(F3388&gt;0.01,"warranty","Error")))</f>
        <v/>
      </c>
      <c r="I3388" s="640">
        <f>IF(H3388="free",0,IF(H3388="credit",((E3388*(F3388))*G3388*-1),IF(F3388="Buy",(E3388*G3388),((E3388*(1-F3388))*G3388))))</f>
        <v>0</v>
      </c>
      <c r="J3388" s="640">
        <f>IF(H3388="warranty",0,(I3388*(_xlfn.SINGLE(SalesTaxPercentage))))</f>
        <v>0</v>
      </c>
      <c r="K3388" s="716">
        <f t="shared" ref="K3388" si="2600">I3388+J3388</f>
        <v>0</v>
      </c>
      <c r="L3388" s="716"/>
      <c r="M3388" s="689" t="str">
        <f ca="1">IF(AND(G3388&gt;0,E3388=0),"WARNING - no PRICE inserted",IF(H3388="free","FREE ~ no charge this plant",IF(H3388="credit",CONCATENATE("-$",ROUND(K3388*(1-_xlfn.SINGLE(T2GDiscount))*-1,2)," CREDIT after discount"),IF(_xlfn.SINGLE(T2GDiscount)=0,"",IF(G3388=0,"",IF(F3388="Buy",CONCATENATE("$",ROUND(K3388*(1-_xlfn.SINGLE(T2GDiscount)),2)," with ",(_xlfn.SINGLE(T2GDiscount)*100),"% discount"),CONCATENATE("$",ROUND(K3388*(1-_xlfn.SINGLE(T2GDiscount)),2)," with ",((_xlfn.SINGLE(T2GDiscount)*100+F3388*100)-(_xlfn.SINGLE(T2GDiscount)*100*F3388)),IF(F3388&gt;0,"% discounts",IF(_xlfn.SINGLE(NoWarrantyDiscount)&gt;0,"% discounts","% discount")))))))))</f>
        <v/>
      </c>
      <c r="N3388" s="690"/>
      <c r="O3388" s="486"/>
      <c r="P3388" s="486"/>
      <c r="Q3388" s="486"/>
      <c r="R3388" s="486"/>
      <c r="S3388" s="486"/>
      <c r="T3388" s="102">
        <f t="shared" si="2571"/>
        <v>0</v>
      </c>
      <c r="U3388" s="78">
        <f>IF(NOT(ISNUMBER(G3388)), "", VLOOKUP(A3388,'Discount Lookup'!D:E,2,FALSE)*G3388)</f>
        <v>0</v>
      </c>
      <c r="V3388" s="78">
        <f>IF(NOT(ISNUMBER(G3388)), "", VLOOKUP(A3388,'Discount Lookup'!G:H,2,FALSE)*G3388)</f>
        <v>0</v>
      </c>
      <c r="W3388" s="102">
        <f t="shared" si="2572"/>
        <v>0</v>
      </c>
      <c r="X3388" s="102">
        <f t="shared" si="2573"/>
        <v>0</v>
      </c>
      <c r="Y3388" s="120" t="b">
        <f t="shared" si="2574"/>
        <v>0</v>
      </c>
      <c r="Z3388" s="117">
        <f t="shared" si="2575"/>
        <v>0</v>
      </c>
      <c r="AA3388" s="118"/>
      <c r="AB3388" s="118" t="str">
        <f t="shared" si="2576"/>
        <v/>
      </c>
      <c r="AC3388" s="712" t="str">
        <f>IF(AE3388="T2G","no charge",IF(AND(OR(PlanterYesMe="No",PlanterYesMe="N",PlanterYesMe="me"),H3388=""),"",IF(H3388="credit","NO install",IF(AND(K3388="",AE3388="me"),"EACH row",IF(AND(K3388="images",AE3388="me"),"EACH row",IF(D3388="","",IF(H3388="credit","",IF(AE3388="free","re-planting",IF(AE3388="me","   not ELP, by",IF(AND(OR(PlanterYesMe="Yes",PlanterYesMe="Y"),G3388&gt;0),(VLOOKUP(A3388,'Discount Lookup'!J:K,2)*G3388*(1-PlanterDiscount)*(1+PlanterDifficultyPercentage)),IF(AE3388="ELP",(VLOOKUP(A3388,'Discount Lookup'!J:K,2)*G3388*(1-PlanterDiscount)*(1+PlanterDifficultyPercentage)),IF(AE3388="free","re-planting",IF(G3388=0,"",IF(PlanterYesMe="",IF(AE3388="me","   not ELP, by",IF(AE3388="",IF(G3388&gt;0,(VLOOKUP(A3388,'Discount Lookup'!J:K,2)*G3388*(1-PlanterDiscount)*(1+PlanterDifficultyPercentage)),""),"")),"   not ELP, by"))))))))))))))</f>
        <v/>
      </c>
      <c r="AD3388" s="712"/>
      <c r="AE3388" s="513" t="str">
        <f t="shared" si="2577"/>
        <v/>
      </c>
      <c r="AF3388" s="713" t="str">
        <f t="shared" si="2578"/>
        <v/>
      </c>
      <c r="AG3388" s="713"/>
      <c r="AH3388" s="713"/>
      <c r="AI3388" s="112">
        <f>IF(H3388="credit",0,IF(AE3388="free",0,IF(AE3388="me",0,IF(G3388&gt;0,(VLOOKUP(A3388,'Discount Lookup'!J:K,2)*G3388),0))))</f>
        <v>0</v>
      </c>
      <c r="AJ3388" s="107" t="str">
        <f t="shared" ca="1" si="2579"/>
        <v/>
      </c>
      <c r="AK3388" s="714" t="str">
        <f t="shared" si="2580"/>
        <v/>
      </c>
      <c r="AL3388" s="714"/>
      <c r="AM3388" s="114" t="str">
        <f t="shared" si="2581"/>
        <v/>
      </c>
      <c r="AN3388" s="115"/>
      <c r="AO3388" s="116"/>
      <c r="AP3388" s="116"/>
      <c r="AQ3388" s="116"/>
      <c r="AR3388" s="116"/>
      <c r="AS3388" s="116"/>
      <c r="AT3388" s="116"/>
      <c r="AU3388" s="116"/>
      <c r="AV3388" s="78"/>
      <c r="AW3388" s="102"/>
      <c r="AX3388" s="78"/>
      <c r="AY3388" s="78"/>
      <c r="AZ3388" s="78"/>
      <c r="BA3388" s="78"/>
      <c r="BB3388" s="78"/>
      <c r="BC3388" s="78"/>
      <c r="BD3388" s="78"/>
      <c r="BE3388" s="465"/>
      <c r="BF3388" s="165" t="str">
        <f t="shared" si="2582"/>
        <v>https://www.google.com/search?tbm=isch&amp;q=3%20G1</v>
      </c>
      <c r="BG3388" s="165" t="str">
        <f t="shared" si="2583"/>
        <v>P</v>
      </c>
      <c r="BH3388" s="65"/>
      <c r="BI3388" s="65"/>
      <c r="BJ3388" s="65"/>
      <c r="BK3388" s="65"/>
      <c r="BL3388" s="99"/>
      <c r="BM3388" s="99"/>
      <c r="BN3388" s="99"/>
    </row>
    <row r="3389" spans="1:66" s="51" customFormat="1" ht="17.25" thickBot="1" x14ac:dyDescent="0.3">
      <c r="A3389" s="704" t="s">
        <v>5512</v>
      </c>
      <c r="B3389" s="642"/>
      <c r="C3389" s="710"/>
      <c r="D3389" s="643"/>
      <c r="E3389" s="643"/>
      <c r="F3389" s="644"/>
      <c r="G3389" s="645"/>
      <c r="H3389" s="646"/>
      <c r="I3389" s="647"/>
      <c r="J3389" s="648"/>
      <c r="K3389" s="649"/>
      <c r="L3389" s="650"/>
      <c r="M3389" s="650"/>
      <c r="N3389" s="644"/>
      <c r="O3389" s="644"/>
      <c r="P3389" s="644"/>
      <c r="Q3389" s="644"/>
      <c r="R3389" s="644"/>
      <c r="S3389" s="651"/>
      <c r="T3389" s="102">
        <f t="shared" si="2571"/>
        <v>0</v>
      </c>
      <c r="U3389" s="78" t="str">
        <f>IF(NOT(ISNUMBER(G3389)), "", VLOOKUP(A3389,'Discount Lookup'!D:E,2,FALSE)*G3389)</f>
        <v/>
      </c>
      <c r="V3389" s="78" t="str">
        <f>IF(NOT(ISNUMBER(G3389)), "", VLOOKUP(A3389,'Discount Lookup'!G:H,2,FALSE)*G3389)</f>
        <v/>
      </c>
      <c r="W3389" s="102">
        <f t="shared" si="2572"/>
        <v>0</v>
      </c>
      <c r="X3389" s="102">
        <f t="shared" si="2573"/>
        <v>0</v>
      </c>
      <c r="Y3389" s="120" t="b">
        <f t="shared" si="2574"/>
        <v>0</v>
      </c>
      <c r="Z3389" s="117">
        <f t="shared" si="2575"/>
        <v>0</v>
      </c>
      <c r="AA3389" s="118"/>
      <c r="AB3389" s="118" t="str">
        <f t="shared" si="2576"/>
        <v/>
      </c>
      <c r="AC3389" s="712" t="str">
        <f>IF(AE3389="T2G","no charge",IF(AND(OR(PlanterYesMe="No",PlanterYesMe="N",PlanterYesMe="me"),H3389=""),"",IF(H3389="credit","NO install",IF(AND(K3389="",AE3389="me"),"EACH row",IF(AND(K3389="images",AE3389="me"),"EACH row",IF(D3389="","",IF(H3389="credit","",IF(AE3389="free","re-planting",IF(AE3389="me","   not ELP, by",IF(AND(OR(PlanterYesMe="Yes",PlanterYesMe="Y"),G3389&gt;0),(VLOOKUP(A3389,'Discount Lookup'!J:K,2)*G3389*(1-PlanterDiscount)*(1+PlanterDifficultyPercentage)),IF(AE3389="ELP",(VLOOKUP(A3389,'Discount Lookup'!J:K,2)*G3389*(1-PlanterDiscount)*(1+PlanterDifficultyPercentage)),IF(AE3389="free","re-planting",IF(G3389=0,"",IF(PlanterYesMe="",IF(AE3389="me","   not ELP, by",IF(AE3389="",IF(G3389&gt;0,(VLOOKUP(A3389,'Discount Lookup'!J:K,2)*G3389*(1-PlanterDiscount)*(1+PlanterDifficultyPercentage)),""),"")),"   not ELP, by"))))))))))))))</f>
        <v/>
      </c>
      <c r="AD3389" s="712"/>
      <c r="AE3389" s="513" t="str">
        <f t="shared" si="2577"/>
        <v/>
      </c>
      <c r="AF3389" s="713" t="str">
        <f t="shared" si="2578"/>
        <v/>
      </c>
      <c r="AG3389" s="713"/>
      <c r="AH3389" s="713"/>
      <c r="AI3389" s="112">
        <f>IF(H3389="credit",0,IF(AE3389="free",0,IF(AE3389="me",0,IF(G3389&gt;0,(VLOOKUP(A3389,'Discount Lookup'!J:K,2)*G3389),0))))</f>
        <v>0</v>
      </c>
      <c r="AJ3389" s="107" t="str">
        <f t="shared" ca="1" si="2579"/>
        <v/>
      </c>
      <c r="AK3389" s="714" t="str">
        <f t="shared" si="2580"/>
        <v/>
      </c>
      <c r="AL3389" s="714"/>
      <c r="AM3389" s="114" t="str">
        <f t="shared" si="2581"/>
        <v/>
      </c>
      <c r="AN3389" s="115"/>
      <c r="AO3389" s="116"/>
      <c r="AP3389" s="116"/>
      <c r="AQ3389" s="116"/>
      <c r="AR3389" s="116"/>
      <c r="AS3389" s="116"/>
      <c r="AT3389" s="116"/>
      <c r="AU3389" s="116"/>
      <c r="AV3389" s="78"/>
      <c r="AW3389" s="102"/>
      <c r="AX3389" s="78"/>
      <c r="AY3389" s="78"/>
      <c r="AZ3389" s="78"/>
      <c r="BA3389" s="78"/>
      <c r="BB3389" s="78"/>
      <c r="BC3389" s="78"/>
      <c r="BD3389" s="78"/>
      <c r="BE3389" s="465"/>
      <c r="BF3389" s="165" t="str">
        <f t="shared" si="2582"/>
        <v>https://www.google.com/search?tbm=isch&amp;q=moist%20sites%F0%9F%92%A7OK%2C%20Dwarf%20Flowering%20Almond%20is%20notable%20for%20its%20profusion%20of%20delicate%20carnation-like%2C%20double%20flowers%20that%20appear%20on%20bare%20stems%20in%20early%20spring.%20Green%20foliage%20</v>
      </c>
      <c r="BG3389" s="165" t="str">
        <f t="shared" si="2583"/>
        <v>m</v>
      </c>
      <c r="BH3389" s="65"/>
      <c r="BI3389" s="65"/>
      <c r="BJ3389" s="65"/>
      <c r="BK3389" s="65"/>
      <c r="BL3389" s="99"/>
      <c r="BM3389" s="99"/>
      <c r="BN3389" s="99"/>
    </row>
    <row r="3390" spans="1:66" s="51" customFormat="1" ht="18" x14ac:dyDescent="0.25">
      <c r="A3390" s="507" t="s">
        <v>3846</v>
      </c>
      <c r="B3390" s="470"/>
      <c r="C3390" s="706"/>
      <c r="D3390" s="471" t="s">
        <v>3847</v>
      </c>
      <c r="E3390" s="472"/>
      <c r="F3390" s="472"/>
      <c r="G3390" s="472"/>
      <c r="H3390" s="622" t="s">
        <v>1246</v>
      </c>
      <c r="I3390" s="473" t="s">
        <v>350</v>
      </c>
      <c r="J3390" s="472"/>
      <c r="K3390" s="472"/>
      <c r="L3390" s="561"/>
      <c r="M3390" s="698" t="s">
        <v>5246</v>
      </c>
      <c r="N3390" s="692" t="str">
        <f>IF(AND(ISTEXT($A3390), ISERROR($A3390+0)), HYPERLINK($BF3390, "Images"), "")</f>
        <v>Images</v>
      </c>
      <c r="O3390" s="694" t="s">
        <v>5247</v>
      </c>
      <c r="P3390" s="475"/>
      <c r="Q3390" s="476"/>
      <c r="R3390" s="476"/>
      <c r="S3390" s="477"/>
      <c r="T3390" s="102">
        <f t="shared" si="2571"/>
        <v>0</v>
      </c>
      <c r="U3390" s="78" t="str">
        <f>IF(NOT(ISNUMBER(G3390)), "", VLOOKUP(A3390,'Discount Lookup'!D:E,2,FALSE)*G3390)</f>
        <v/>
      </c>
      <c r="V3390" s="78" t="str">
        <f>IF(NOT(ISNUMBER(G3390)), "", VLOOKUP(A3390,'Discount Lookup'!G:H,2,FALSE)*G3390)</f>
        <v/>
      </c>
      <c r="W3390" s="102">
        <f t="shared" si="2572"/>
        <v>0</v>
      </c>
      <c r="X3390" s="102" t="str">
        <f t="shared" si="2573"/>
        <v>Creamy White bloom</v>
      </c>
      <c r="Y3390" s="120" t="b">
        <f t="shared" si="2574"/>
        <v>0</v>
      </c>
      <c r="Z3390" s="117">
        <f t="shared" si="2575"/>
        <v>0</v>
      </c>
      <c r="AA3390" s="118"/>
      <c r="AB3390" s="118" t="str">
        <f t="shared" si="2576"/>
        <v/>
      </c>
      <c r="AC3390" s="712" t="str">
        <f>IF(AE3390="T2G","no charge",IF(AND(OR(PlanterYesMe="No",PlanterYesMe="N",PlanterYesMe="me"),H3390=""),"",IF(H3390="credit","NO install",IF(AND(K3390="",AE3390="me"),"EACH row",IF(AND(K3390="images",AE3390="me"),"EACH row",IF(D3390="","",IF(H3390="credit","",IF(AE3390="free","re-planting",IF(AE3390="me","   not ELP, by",IF(AND(OR(PlanterYesMe="Yes",PlanterYesMe="Y"),G3390&gt;0),(VLOOKUP(A3390,'Discount Lookup'!J:K,2)*G3390*(1-PlanterDiscount)*(1+PlanterDifficultyPercentage)),IF(AE3390="ELP",(VLOOKUP(A3390,'Discount Lookup'!J:K,2)*G3390*(1-PlanterDiscount)*(1+PlanterDifficultyPercentage)),IF(AE3390="free","re-planting",IF(G3390=0,"",IF(PlanterYesMe="",IF(AE3390="me","   not ELP, by",IF(AE3390="",IF(G3390&gt;0,(VLOOKUP(A3390,'Discount Lookup'!J:K,2)*G3390*(1-PlanterDiscount)*(1+PlanterDifficultyPercentage)),""),"")),"   not ELP, by"))))))))))))))</f>
        <v/>
      </c>
      <c r="AD3390" s="712"/>
      <c r="AE3390" s="513" t="str">
        <f t="shared" si="2577"/>
        <v/>
      </c>
      <c r="AF3390" s="713" t="str">
        <f t="shared" si="2578"/>
        <v/>
      </c>
      <c r="AG3390" s="713"/>
      <c r="AH3390" s="713"/>
      <c r="AI3390" s="112">
        <f>IF(H3390="credit",0,IF(AE3390="free",0,IF(AE3390="me",0,IF(G3390&gt;0,(VLOOKUP(A3390,'Discount Lookup'!J:K,2)*G3390),0))))</f>
        <v>0</v>
      </c>
      <c r="AJ3390" s="107" t="str">
        <f t="shared" ca="1" si="2579"/>
        <v/>
      </c>
      <c r="AK3390" s="714" t="str">
        <f t="shared" si="2580"/>
        <v/>
      </c>
      <c r="AL3390" s="714"/>
      <c r="AM3390" s="114" t="str">
        <f t="shared" si="2581"/>
        <v/>
      </c>
      <c r="AN3390" s="115"/>
      <c r="AO3390" s="116"/>
      <c r="AP3390" s="116"/>
      <c r="AQ3390" s="116"/>
      <c r="AR3390" s="116"/>
      <c r="AS3390" s="116"/>
      <c r="AT3390" s="116"/>
      <c r="AU3390" s="116"/>
      <c r="AV3390" s="78"/>
      <c r="AW3390" s="102"/>
      <c r="AX3390" s="78"/>
      <c r="AY3390" s="78"/>
      <c r="AZ3390" s="78"/>
      <c r="BA3390" s="78"/>
      <c r="BB3390" s="78"/>
      <c r="BC3390" s="78"/>
      <c r="BD3390" s="78"/>
      <c r="BE3390" s="465"/>
      <c r="BF3390" s="165" t="str">
        <f t="shared" si="2582"/>
        <v>https://www.google.com/search?tbm=isch&amp;q=Prunus%20laurocerasus%20%27Schipkaensis%27%20Skip%20Laurel</v>
      </c>
      <c r="BG3390" s="165" t="str">
        <f t="shared" si="2583"/>
        <v>P</v>
      </c>
      <c r="BH3390" s="65"/>
      <c r="BI3390" s="65"/>
      <c r="BJ3390" s="65"/>
      <c r="BK3390" s="65"/>
      <c r="BL3390" s="99"/>
      <c r="BM3390" s="99"/>
      <c r="BN3390" s="99"/>
    </row>
    <row r="3391" spans="1:66" s="51" customFormat="1" ht="15.75" x14ac:dyDescent="0.25">
      <c r="A3391" s="478">
        <v>7</v>
      </c>
      <c r="B3391" s="479" t="s">
        <v>291</v>
      </c>
      <c r="C3391" s="480" t="s">
        <v>3848</v>
      </c>
      <c r="D3391" s="481" t="s">
        <v>293</v>
      </c>
      <c r="E3391" s="482">
        <v>124.95</v>
      </c>
      <c r="F3391" s="483" t="s">
        <v>292</v>
      </c>
      <c r="G3391" s="484">
        <v>0</v>
      </c>
      <c r="H3391" s="688" t="str">
        <f>IF(G3391=0,"",IF(F3391="Buy",IF(G3391=1,"plant","plants"),IF(F3391&gt;0.01,"warranty","Error")))</f>
        <v/>
      </c>
      <c r="I3391" s="485">
        <f>IF(H3391="free",0,IF(H3391="credit",((E3391*(F3391))*G3391*-1),IF(F3391="Buy",(E3391*G3391),((E3391*(1-F3391))*G3391))))</f>
        <v>0</v>
      </c>
      <c r="J3391" s="485">
        <f>IF(H3391="warranty",0,(I3391*(_xlfn.SINGLE(SalesTaxPercentage))))</f>
        <v>0</v>
      </c>
      <c r="K3391" s="715">
        <f t="shared" ref="K3391" si="2601">I3391+J3391</f>
        <v>0</v>
      </c>
      <c r="L3391" s="715"/>
      <c r="M3391" s="689" t="str">
        <f ca="1">IF(AND(G3391&gt;0,E3391=0),"WARNING - no PRICE inserted",IF(H3391="free","FREE ~ no charge this plant",IF(H3391="credit",CONCATENATE("-$",ROUND(K3391*(1-_xlfn.SINGLE(T2GDiscount))*-1,2)," CREDIT after discount"),IF(_xlfn.SINGLE(T2GDiscount)=0,"",IF(G3391=0,"",IF(F3391="Buy",CONCATENATE("$",ROUND(K3391*(1-_xlfn.SINGLE(T2GDiscount)),2)," with ",(_xlfn.SINGLE(T2GDiscount)*100),"% discount"),CONCATENATE("$",ROUND(K3391*(1-_xlfn.SINGLE(T2GDiscount)),2)," with ",((_xlfn.SINGLE(T2GDiscount)*100+F3391*100)-(_xlfn.SINGLE(T2GDiscount)*100*F3391)),IF(F3391&gt;0,"% discounts",IF(_xlfn.SINGLE(NoWarrantyDiscount)&gt;0,"% discounts","% discount")))))))))</f>
        <v/>
      </c>
      <c r="N3391" s="690"/>
      <c r="O3391" s="486"/>
      <c r="P3391" s="486"/>
      <c r="Q3391" s="486"/>
      <c r="R3391" s="486"/>
      <c r="S3391" s="486"/>
      <c r="T3391" s="102">
        <f t="shared" si="2571"/>
        <v>0</v>
      </c>
      <c r="U3391" s="78">
        <f>IF(NOT(ISNUMBER(G3391)), "", VLOOKUP(A3391,'Discount Lookup'!D:E,2,FALSE)*G3391)</f>
        <v>0</v>
      </c>
      <c r="V3391" s="78">
        <f>IF(NOT(ISNUMBER(G3391)), "", VLOOKUP(A3391,'Discount Lookup'!G:H,2,FALSE)*G3391)</f>
        <v>0</v>
      </c>
      <c r="W3391" s="102">
        <f t="shared" si="2572"/>
        <v>0</v>
      </c>
      <c r="X3391" s="102">
        <f t="shared" si="2573"/>
        <v>0</v>
      </c>
      <c r="Y3391" s="120" t="b">
        <f t="shared" si="2574"/>
        <v>0</v>
      </c>
      <c r="Z3391" s="117">
        <f t="shared" si="2575"/>
        <v>0</v>
      </c>
      <c r="AA3391" s="118"/>
      <c r="AB3391" s="118" t="str">
        <f t="shared" si="2576"/>
        <v/>
      </c>
      <c r="AC3391" s="712" t="str">
        <f>IF(AE3391="T2G","no charge",IF(AND(OR(PlanterYesMe="No",PlanterYesMe="N",PlanterYesMe="me"),H3391=""),"",IF(H3391="credit","NO install",IF(AND(K3391="",AE3391="me"),"EACH row",IF(AND(K3391="images",AE3391="me"),"EACH row",IF(D3391="","",IF(H3391="credit","",IF(AE3391="free","re-planting",IF(AE3391="me","   not ELP, by",IF(AND(OR(PlanterYesMe="Yes",PlanterYesMe="Y"),G3391&gt;0),(VLOOKUP(A3391,'Discount Lookup'!J:K,2)*G3391*(1-PlanterDiscount)*(1+PlanterDifficultyPercentage)),IF(AE3391="ELP",(VLOOKUP(A3391,'Discount Lookup'!J:K,2)*G3391*(1-PlanterDiscount)*(1+PlanterDifficultyPercentage)),IF(AE3391="free","re-planting",IF(G3391=0,"",IF(PlanterYesMe="",IF(AE3391="me","   not ELP, by",IF(AE3391="",IF(G3391&gt;0,(VLOOKUP(A3391,'Discount Lookup'!J:K,2)*G3391*(1-PlanterDiscount)*(1+PlanterDifficultyPercentage)),""),"")),"   not ELP, by"))))))))))))))</f>
        <v/>
      </c>
      <c r="AD3391" s="712"/>
      <c r="AE3391" s="513" t="str">
        <f t="shared" si="2577"/>
        <v/>
      </c>
      <c r="AF3391" s="713" t="str">
        <f t="shared" si="2578"/>
        <v/>
      </c>
      <c r="AG3391" s="713"/>
      <c r="AH3391" s="713"/>
      <c r="AI3391" s="112">
        <f>IF(H3391="credit",0,IF(AE3391="free",0,IF(AE3391="me",0,IF(G3391&gt;0,(VLOOKUP(A3391,'Discount Lookup'!J:K,2)*G3391),0))))</f>
        <v>0</v>
      </c>
      <c r="AJ3391" s="107" t="str">
        <f t="shared" ca="1" si="2579"/>
        <v/>
      </c>
      <c r="AK3391" s="714" t="str">
        <f t="shared" si="2580"/>
        <v/>
      </c>
      <c r="AL3391" s="714"/>
      <c r="AM3391" s="114" t="str">
        <f t="shared" si="2581"/>
        <v/>
      </c>
      <c r="AN3391" s="115"/>
      <c r="AO3391" s="116"/>
      <c r="AP3391" s="116"/>
      <c r="AQ3391" s="116"/>
      <c r="AR3391" s="116"/>
      <c r="AS3391" s="116"/>
      <c r="AT3391" s="116"/>
      <c r="AU3391" s="116"/>
      <c r="AV3391" s="78"/>
      <c r="AW3391" s="102"/>
      <c r="AX3391" s="78"/>
      <c r="AY3391" s="78"/>
      <c r="AZ3391" s="78"/>
      <c r="BA3391" s="78"/>
      <c r="BB3391" s="78"/>
      <c r="BC3391" s="78"/>
      <c r="BD3391" s="78"/>
      <c r="BE3391" s="465"/>
      <c r="BF3391" s="165" t="str">
        <f t="shared" si="2582"/>
        <v>https://www.google.com/search?tbm=isch&amp;q=7%20G6</v>
      </c>
      <c r="BG3391" s="165" t="str">
        <f t="shared" si="2583"/>
        <v>P</v>
      </c>
      <c r="BH3391" s="65"/>
      <c r="BI3391" s="65"/>
      <c r="BJ3391" s="65"/>
      <c r="BK3391" s="65"/>
      <c r="BL3391" s="99"/>
      <c r="BM3391" s="99"/>
      <c r="BN3391" s="99"/>
    </row>
    <row r="3392" spans="1:66" s="51" customFormat="1" ht="15.75" x14ac:dyDescent="0.25">
      <c r="A3392" s="478">
        <v>7</v>
      </c>
      <c r="B3392" s="479" t="s">
        <v>291</v>
      </c>
      <c r="C3392" s="480" t="s">
        <v>3849</v>
      </c>
      <c r="D3392" s="481" t="s">
        <v>299</v>
      </c>
      <c r="E3392" s="482">
        <v>137.94999999999999</v>
      </c>
      <c r="F3392" s="483" t="s">
        <v>292</v>
      </c>
      <c r="G3392" s="484">
        <v>0</v>
      </c>
      <c r="H3392" s="688" t="str">
        <f>IF(G3392=0,"",IF(F3392="Buy",IF(G3392=1,"plant","plants"),IF(F3392&gt;0.01,"warranty","Error")))</f>
        <v/>
      </c>
      <c r="I3392" s="485">
        <f>IF(H3392="free",0,IF(H3392="credit",((E3392*(F3392))*G3392*-1),IF(F3392="Buy",(E3392*G3392),((E3392*(1-F3392))*G3392))))</f>
        <v>0</v>
      </c>
      <c r="J3392" s="485">
        <f>IF(H3392="warranty",0,(I3392*(_xlfn.SINGLE(SalesTaxPercentage))))</f>
        <v>0</v>
      </c>
      <c r="K3392" s="715">
        <f t="shared" ref="K3392" si="2602">I3392+J3392</f>
        <v>0</v>
      </c>
      <c r="L3392" s="715"/>
      <c r="M3392" s="689" t="str">
        <f ca="1">IF(AND(G3392&gt;0,E3392=0),"WARNING - no PRICE inserted",IF(H3392="free","FREE ~ no charge this plant",IF(H3392="credit",CONCATENATE("-$",ROUND(K3392*(1-_xlfn.SINGLE(T2GDiscount))*-1,2)," CREDIT after discount"),IF(_xlfn.SINGLE(T2GDiscount)=0,"",IF(G3392=0,"",IF(F3392="Buy",CONCATENATE("$",ROUND(K3392*(1-_xlfn.SINGLE(T2GDiscount)),2)," with ",(_xlfn.SINGLE(T2GDiscount)*100),"% discount"),CONCATENATE("$",ROUND(K3392*(1-_xlfn.SINGLE(T2GDiscount)),2)," with ",((_xlfn.SINGLE(T2GDiscount)*100+F3392*100)-(_xlfn.SINGLE(T2GDiscount)*100*F3392)),IF(F3392&gt;0,"% discounts",IF(_xlfn.SINGLE(NoWarrantyDiscount)&gt;0,"% discounts","% discount")))))))))</f>
        <v/>
      </c>
      <c r="N3392" s="690"/>
      <c r="O3392" s="486"/>
      <c r="P3392" s="486"/>
      <c r="Q3392" s="486"/>
      <c r="R3392" s="486"/>
      <c r="S3392" s="486"/>
      <c r="T3392" s="102">
        <f t="shared" si="2571"/>
        <v>0</v>
      </c>
      <c r="U3392" s="78">
        <f>IF(NOT(ISNUMBER(G3392)), "", VLOOKUP(A3392,'Discount Lookup'!D:E,2,FALSE)*G3392)</f>
        <v>0</v>
      </c>
      <c r="V3392" s="78">
        <f>IF(NOT(ISNUMBER(G3392)), "", VLOOKUP(A3392,'Discount Lookup'!G:H,2,FALSE)*G3392)</f>
        <v>0</v>
      </c>
      <c r="W3392" s="102">
        <f t="shared" si="2572"/>
        <v>0</v>
      </c>
      <c r="X3392" s="102">
        <f t="shared" si="2573"/>
        <v>0</v>
      </c>
      <c r="Y3392" s="120" t="b">
        <f t="shared" si="2574"/>
        <v>0</v>
      </c>
      <c r="Z3392" s="117">
        <f t="shared" si="2575"/>
        <v>0</v>
      </c>
      <c r="AA3392" s="118"/>
      <c r="AB3392" s="118" t="str">
        <f t="shared" si="2576"/>
        <v/>
      </c>
      <c r="AC3392" s="712" t="str">
        <f>IF(AE3392="T2G","no charge",IF(AND(OR(PlanterYesMe="No",PlanterYesMe="N",PlanterYesMe="me"),H3392=""),"",IF(H3392="credit","NO install",IF(AND(K3392="",AE3392="me"),"EACH row",IF(AND(K3392="images",AE3392="me"),"EACH row",IF(D3392="","",IF(H3392="credit","",IF(AE3392="free","re-planting",IF(AE3392="me","   not ELP, by",IF(AND(OR(PlanterYesMe="Yes",PlanterYesMe="Y"),G3392&gt;0),(VLOOKUP(A3392,'Discount Lookup'!J:K,2)*G3392*(1-PlanterDiscount)*(1+PlanterDifficultyPercentage)),IF(AE3392="ELP",(VLOOKUP(A3392,'Discount Lookup'!J:K,2)*G3392*(1-PlanterDiscount)*(1+PlanterDifficultyPercentage)),IF(AE3392="free","re-planting",IF(G3392=0,"",IF(PlanterYesMe="",IF(AE3392="me","   not ELP, by",IF(AE3392="",IF(G3392&gt;0,(VLOOKUP(A3392,'Discount Lookup'!J:K,2)*G3392*(1-PlanterDiscount)*(1+PlanterDifficultyPercentage)),""),"")),"   not ELP, by"))))))))))))))</f>
        <v/>
      </c>
      <c r="AD3392" s="712"/>
      <c r="AE3392" s="513" t="str">
        <f t="shared" si="2577"/>
        <v/>
      </c>
      <c r="AF3392" s="713" t="str">
        <f t="shared" si="2578"/>
        <v/>
      </c>
      <c r="AG3392" s="713"/>
      <c r="AH3392" s="713"/>
      <c r="AI3392" s="112">
        <f>IF(H3392="credit",0,IF(AE3392="free",0,IF(AE3392="me",0,IF(G3392&gt;0,(VLOOKUP(A3392,'Discount Lookup'!J:K,2)*G3392),0))))</f>
        <v>0</v>
      </c>
      <c r="AJ3392" s="107" t="str">
        <f t="shared" ca="1" si="2579"/>
        <v/>
      </c>
      <c r="AK3392" s="714" t="str">
        <f t="shared" si="2580"/>
        <v/>
      </c>
      <c r="AL3392" s="714"/>
      <c r="AM3392" s="114" t="str">
        <f t="shared" si="2581"/>
        <v/>
      </c>
      <c r="AN3392" s="115"/>
      <c r="AO3392" s="116"/>
      <c r="AP3392" s="116"/>
      <c r="AQ3392" s="116"/>
      <c r="AR3392" s="116"/>
      <c r="AS3392" s="116"/>
      <c r="AT3392" s="116"/>
      <c r="AU3392" s="116"/>
      <c r="AV3392" s="78"/>
      <c r="AW3392" s="102"/>
      <c r="AX3392" s="78"/>
      <c r="AY3392" s="78"/>
      <c r="AZ3392" s="78"/>
      <c r="BA3392" s="78"/>
      <c r="BB3392" s="78"/>
      <c r="BC3392" s="78"/>
      <c r="BD3392" s="78"/>
      <c r="BE3392" s="465"/>
      <c r="BF3392" s="165" t="str">
        <f t="shared" si="2582"/>
        <v>https://www.google.com/search?tbm=isch&amp;q=7%20G4</v>
      </c>
      <c r="BG3392" s="165" t="str">
        <f t="shared" si="2583"/>
        <v>P</v>
      </c>
      <c r="BH3392" s="65"/>
      <c r="BI3392" s="65"/>
      <c r="BJ3392" s="65"/>
      <c r="BK3392" s="65"/>
      <c r="BL3392" s="99"/>
      <c r="BM3392" s="99"/>
      <c r="BN3392" s="99"/>
    </row>
    <row r="3393" spans="1:66" s="51" customFormat="1" ht="15.75" x14ac:dyDescent="0.25">
      <c r="A3393" s="478">
        <v>10</v>
      </c>
      <c r="B3393" s="479" t="s">
        <v>291</v>
      </c>
      <c r="C3393" s="480" t="s">
        <v>3850</v>
      </c>
      <c r="D3393" s="481" t="s">
        <v>329</v>
      </c>
      <c r="E3393" s="482">
        <v>175.95</v>
      </c>
      <c r="F3393" s="483" t="s">
        <v>292</v>
      </c>
      <c r="G3393" s="484">
        <v>0</v>
      </c>
      <c r="H3393" s="688" t="str">
        <f>IF(G3393=0,"",IF(F3393="Buy",IF(G3393=1,"plant","plants"),IF(F3393&gt;0.01,"warranty","Error")))</f>
        <v/>
      </c>
      <c r="I3393" s="485">
        <f>IF(H3393="free",0,IF(H3393="credit",((E3393*(F3393))*G3393*-1),IF(F3393="Buy",(E3393*G3393),((E3393*(1-F3393))*G3393))))</f>
        <v>0</v>
      </c>
      <c r="J3393" s="485">
        <f>IF(H3393="warranty",0,(I3393*(_xlfn.SINGLE(SalesTaxPercentage))))</f>
        <v>0</v>
      </c>
      <c r="K3393" s="715">
        <f t="shared" ref="K3393" si="2603">I3393+J3393</f>
        <v>0</v>
      </c>
      <c r="L3393" s="715"/>
      <c r="M3393" s="689" t="str">
        <f ca="1">IF(AND(G3393&gt;0,E3393=0),"WARNING - no PRICE inserted",IF(H3393="free","FREE ~ no charge this plant",IF(H3393="credit",CONCATENATE("-$",ROUND(K3393*(1-_xlfn.SINGLE(T2GDiscount))*-1,2)," CREDIT after discount"),IF(_xlfn.SINGLE(T2GDiscount)=0,"",IF(G3393=0,"",IF(F3393="Buy",CONCATENATE("$",ROUND(K3393*(1-_xlfn.SINGLE(T2GDiscount)),2)," with ",(_xlfn.SINGLE(T2GDiscount)*100),"% discount"),CONCATENATE("$",ROUND(K3393*(1-_xlfn.SINGLE(T2GDiscount)),2)," with ",((_xlfn.SINGLE(T2GDiscount)*100+F3393*100)-(_xlfn.SINGLE(T2GDiscount)*100*F3393)),IF(F3393&gt;0,"% discounts",IF(_xlfn.SINGLE(NoWarrantyDiscount)&gt;0,"% discounts","% discount")))))))))</f>
        <v/>
      </c>
      <c r="N3393" s="690"/>
      <c r="O3393" s="486"/>
      <c r="P3393" s="486"/>
      <c r="Q3393" s="486"/>
      <c r="R3393" s="486"/>
      <c r="S3393" s="486"/>
      <c r="T3393" s="102">
        <f t="shared" si="2571"/>
        <v>0</v>
      </c>
      <c r="U3393" s="78">
        <f>IF(NOT(ISNUMBER(G3393)), "", VLOOKUP(A3393,'Discount Lookup'!D:E,2,FALSE)*G3393)</f>
        <v>0</v>
      </c>
      <c r="V3393" s="78">
        <f>IF(NOT(ISNUMBER(G3393)), "", VLOOKUP(A3393,'Discount Lookup'!G:H,2,FALSE)*G3393)</f>
        <v>0</v>
      </c>
      <c r="W3393" s="102">
        <f t="shared" si="2572"/>
        <v>0</v>
      </c>
      <c r="X3393" s="102">
        <f t="shared" si="2573"/>
        <v>0</v>
      </c>
      <c r="Y3393" s="120" t="b">
        <f t="shared" si="2574"/>
        <v>0</v>
      </c>
      <c r="Z3393" s="117">
        <f t="shared" si="2575"/>
        <v>0</v>
      </c>
      <c r="AA3393" s="118"/>
      <c r="AB3393" s="118" t="str">
        <f t="shared" si="2576"/>
        <v/>
      </c>
      <c r="AC3393" s="712" t="str">
        <f>IF(AE3393="T2G","no charge",IF(AND(OR(PlanterYesMe="No",PlanterYesMe="N",PlanterYesMe="me"),H3393=""),"",IF(H3393="credit","NO install",IF(AND(K3393="",AE3393="me"),"EACH row",IF(AND(K3393="images",AE3393="me"),"EACH row",IF(D3393="","",IF(H3393="credit","",IF(AE3393="free","re-planting",IF(AE3393="me","   not ELP, by",IF(AND(OR(PlanterYesMe="Yes",PlanterYesMe="Y"),G3393&gt;0),(VLOOKUP(A3393,'Discount Lookup'!J:K,2)*G3393*(1-PlanterDiscount)*(1+PlanterDifficultyPercentage)),IF(AE3393="ELP",(VLOOKUP(A3393,'Discount Lookup'!J:K,2)*G3393*(1-PlanterDiscount)*(1+PlanterDifficultyPercentage)),IF(AE3393="free","re-planting",IF(G3393=0,"",IF(PlanterYesMe="",IF(AE3393="me","   not ELP, by",IF(AE3393="",IF(G3393&gt;0,(VLOOKUP(A3393,'Discount Lookup'!J:K,2)*G3393*(1-PlanterDiscount)*(1+PlanterDifficultyPercentage)),""),"")),"   not ELP, by"))))))))))))))</f>
        <v/>
      </c>
      <c r="AD3393" s="712"/>
      <c r="AE3393" s="513" t="str">
        <f t="shared" si="2577"/>
        <v/>
      </c>
      <c r="AF3393" s="713" t="str">
        <f t="shared" si="2578"/>
        <v/>
      </c>
      <c r="AG3393" s="713"/>
      <c r="AH3393" s="713"/>
      <c r="AI3393" s="112">
        <f>IF(H3393="credit",0,IF(AE3393="free",0,IF(AE3393="me",0,IF(G3393&gt;0,(VLOOKUP(A3393,'Discount Lookup'!J:K,2)*G3393),0))))</f>
        <v>0</v>
      </c>
      <c r="AJ3393" s="107" t="str">
        <f t="shared" ca="1" si="2579"/>
        <v/>
      </c>
      <c r="AK3393" s="714" t="str">
        <f t="shared" si="2580"/>
        <v/>
      </c>
      <c r="AL3393" s="714"/>
      <c r="AM3393" s="114" t="str">
        <f t="shared" si="2581"/>
        <v/>
      </c>
      <c r="AN3393" s="115"/>
      <c r="AO3393" s="116"/>
      <c r="AP3393" s="116"/>
      <c r="AQ3393" s="116"/>
      <c r="AR3393" s="116"/>
      <c r="AS3393" s="116"/>
      <c r="AT3393" s="116"/>
      <c r="AU3393" s="116"/>
      <c r="AV3393" s="78"/>
      <c r="AW3393" s="102"/>
      <c r="AX3393" s="78"/>
      <c r="AY3393" s="78"/>
      <c r="AZ3393" s="78"/>
      <c r="BA3393" s="78"/>
      <c r="BB3393" s="78"/>
      <c r="BC3393" s="78"/>
      <c r="BD3393" s="78"/>
      <c r="BE3393" s="465"/>
      <c r="BF3393" s="165" t="str">
        <f t="shared" si="2582"/>
        <v>https://www.google.com/search?tbm=isch&amp;q=10%20G2</v>
      </c>
      <c r="BG3393" s="165" t="str">
        <f t="shared" si="2583"/>
        <v>P</v>
      </c>
      <c r="BH3393" s="65"/>
      <c r="BI3393" s="65"/>
      <c r="BJ3393" s="65"/>
      <c r="BK3393" s="65"/>
      <c r="BL3393" s="99"/>
      <c r="BM3393" s="99"/>
      <c r="BN3393" s="99"/>
    </row>
    <row r="3394" spans="1:66" s="51" customFormat="1" ht="15.75" x14ac:dyDescent="0.25">
      <c r="A3394" s="478">
        <v>25</v>
      </c>
      <c r="B3394" s="479" t="s">
        <v>291</v>
      </c>
      <c r="C3394" s="480" t="s">
        <v>3851</v>
      </c>
      <c r="D3394" s="481" t="s">
        <v>299</v>
      </c>
      <c r="E3394" s="482">
        <v>334.95</v>
      </c>
      <c r="F3394" s="483" t="s">
        <v>292</v>
      </c>
      <c r="G3394" s="484">
        <v>0</v>
      </c>
      <c r="H3394" s="688" t="str">
        <f>IF(G3394=0,"",IF(F3394="Buy",IF(G3394=1,"plant","plants"),IF(F3394&gt;0.01,"warranty","Error")))</f>
        <v/>
      </c>
      <c r="I3394" s="485">
        <f>IF(H3394="free",0,IF(H3394="credit",((E3394*(F3394))*G3394*-1),IF(F3394="Buy",(E3394*G3394),((E3394*(1-F3394))*G3394))))</f>
        <v>0</v>
      </c>
      <c r="J3394" s="485">
        <f>IF(H3394="warranty",0,(I3394*(_xlfn.SINGLE(SalesTaxPercentage))))</f>
        <v>0</v>
      </c>
      <c r="K3394" s="715">
        <f t="shared" ref="K3394" si="2604">I3394+J3394</f>
        <v>0</v>
      </c>
      <c r="L3394" s="715"/>
      <c r="M3394" s="689" t="str">
        <f ca="1">IF(AND(G3394&gt;0,E3394=0),"WARNING - no PRICE inserted",IF(H3394="free","FREE ~ no charge this plant",IF(H3394="credit",CONCATENATE("-$",ROUND(K3394*(1-_xlfn.SINGLE(T2GDiscount))*-1,2)," CREDIT after discount"),IF(_xlfn.SINGLE(T2GDiscount)=0,"",IF(G3394=0,"",IF(F3394="Buy",CONCATENATE("$",ROUND(K3394*(1-_xlfn.SINGLE(T2GDiscount)),2)," with ",(_xlfn.SINGLE(T2GDiscount)*100),"% discount"),CONCATENATE("$",ROUND(K3394*(1-_xlfn.SINGLE(T2GDiscount)),2)," with ",((_xlfn.SINGLE(T2GDiscount)*100+F3394*100)-(_xlfn.SINGLE(T2GDiscount)*100*F3394)),IF(F3394&gt;0,"% discounts",IF(_xlfn.SINGLE(NoWarrantyDiscount)&gt;0,"% discounts","% discount")))))))))</f>
        <v/>
      </c>
      <c r="N3394" s="690"/>
      <c r="O3394" s="486"/>
      <c r="P3394" s="486"/>
      <c r="Q3394" s="486"/>
      <c r="R3394" s="486"/>
      <c r="S3394" s="486"/>
      <c r="T3394" s="102">
        <f t="shared" si="2571"/>
        <v>0</v>
      </c>
      <c r="U3394" s="78">
        <f>IF(NOT(ISNUMBER(G3394)), "", VLOOKUP(A3394,'Discount Lookup'!D:E,2,FALSE)*G3394)</f>
        <v>0</v>
      </c>
      <c r="V3394" s="78">
        <f>IF(NOT(ISNUMBER(G3394)), "", VLOOKUP(A3394,'Discount Lookup'!G:H,2,FALSE)*G3394)</f>
        <v>0</v>
      </c>
      <c r="W3394" s="102">
        <f t="shared" si="2572"/>
        <v>0</v>
      </c>
      <c r="X3394" s="102">
        <f t="shared" si="2573"/>
        <v>0</v>
      </c>
      <c r="Y3394" s="120" t="b">
        <f t="shared" si="2574"/>
        <v>0</v>
      </c>
      <c r="Z3394" s="117">
        <f t="shared" si="2575"/>
        <v>0</v>
      </c>
      <c r="AA3394" s="118"/>
      <c r="AB3394" s="118" t="str">
        <f t="shared" si="2576"/>
        <v/>
      </c>
      <c r="AC3394" s="712" t="str">
        <f>IF(AE3394="T2G","no charge",IF(AND(OR(PlanterYesMe="No",PlanterYesMe="N",PlanterYesMe="me"),H3394=""),"",IF(H3394="credit","NO install",IF(AND(K3394="",AE3394="me"),"EACH row",IF(AND(K3394="images",AE3394="me"),"EACH row",IF(D3394="","",IF(H3394="credit","",IF(AE3394="free","re-planting",IF(AE3394="me","   not ELP, by",IF(AND(OR(PlanterYesMe="Yes",PlanterYesMe="Y"),G3394&gt;0),(VLOOKUP(A3394,'Discount Lookup'!J:K,2)*G3394*(1-PlanterDiscount)*(1+PlanterDifficultyPercentage)),IF(AE3394="ELP",(VLOOKUP(A3394,'Discount Lookup'!J:K,2)*G3394*(1-PlanterDiscount)*(1+PlanterDifficultyPercentage)),IF(AE3394="free","re-planting",IF(G3394=0,"",IF(PlanterYesMe="",IF(AE3394="me","   not ELP, by",IF(AE3394="",IF(G3394&gt;0,(VLOOKUP(A3394,'Discount Lookup'!J:K,2)*G3394*(1-PlanterDiscount)*(1+PlanterDifficultyPercentage)),""),"")),"   not ELP, by"))))))))))))))</f>
        <v/>
      </c>
      <c r="AD3394" s="712"/>
      <c r="AE3394" s="513" t="str">
        <f t="shared" si="2577"/>
        <v/>
      </c>
      <c r="AF3394" s="713" t="str">
        <f t="shared" si="2578"/>
        <v/>
      </c>
      <c r="AG3394" s="713"/>
      <c r="AH3394" s="713"/>
      <c r="AI3394" s="112">
        <f>IF(H3394="credit",0,IF(AE3394="free",0,IF(AE3394="me",0,IF(G3394&gt;0,(VLOOKUP(A3394,'Discount Lookup'!J:K,2)*G3394),0))))</f>
        <v>0</v>
      </c>
      <c r="AJ3394" s="107" t="str">
        <f t="shared" ca="1" si="2579"/>
        <v/>
      </c>
      <c r="AK3394" s="714" t="str">
        <f t="shared" si="2580"/>
        <v/>
      </c>
      <c r="AL3394" s="714"/>
      <c r="AM3394" s="114" t="str">
        <f t="shared" si="2581"/>
        <v/>
      </c>
      <c r="AN3394" s="115"/>
      <c r="AO3394" s="116"/>
      <c r="AP3394" s="116"/>
      <c r="AQ3394" s="116"/>
      <c r="AR3394" s="116"/>
      <c r="AS3394" s="116"/>
      <c r="AT3394" s="116"/>
      <c r="AU3394" s="116"/>
      <c r="AV3394" s="78"/>
      <c r="AW3394" s="102"/>
      <c r="AX3394" s="78"/>
      <c r="AY3394" s="78"/>
      <c r="AZ3394" s="78"/>
      <c r="BA3394" s="78"/>
      <c r="BB3394" s="78"/>
      <c r="BC3394" s="78"/>
      <c r="BD3394" s="78"/>
      <c r="BE3394" s="465"/>
      <c r="BF3394" s="165" t="str">
        <f t="shared" si="2582"/>
        <v>https://www.google.com/search?tbm=isch&amp;q=25%20G4</v>
      </c>
      <c r="BG3394" s="165" t="str">
        <f t="shared" si="2583"/>
        <v>P</v>
      </c>
      <c r="BH3394" s="65"/>
      <c r="BI3394" s="65"/>
      <c r="BJ3394" s="65"/>
      <c r="BK3394" s="65"/>
      <c r="BL3394" s="99"/>
      <c r="BM3394" s="99"/>
      <c r="BN3394" s="99"/>
    </row>
    <row r="3395" spans="1:66" s="51" customFormat="1" ht="17.25" thickBot="1" x14ac:dyDescent="0.3">
      <c r="A3395" s="705" t="s">
        <v>5513</v>
      </c>
      <c r="B3395" s="487"/>
      <c r="C3395" s="707"/>
      <c r="D3395" s="487"/>
      <c r="E3395" s="487"/>
      <c r="F3395" s="488"/>
      <c r="G3395" s="489"/>
      <c r="H3395" s="487"/>
      <c r="I3395" s="490"/>
      <c r="J3395" s="490"/>
      <c r="K3395" s="491"/>
      <c r="L3395" s="547"/>
      <c r="M3395" s="528"/>
      <c r="N3395" s="492"/>
      <c r="O3395" s="493"/>
      <c r="P3395" s="494"/>
      <c r="Q3395" s="492"/>
      <c r="R3395" s="492"/>
      <c r="S3395" s="699" t="s">
        <v>5275</v>
      </c>
      <c r="T3395" s="102">
        <f t="shared" si="2571"/>
        <v>0</v>
      </c>
      <c r="U3395" s="78" t="str">
        <f>IF(NOT(ISNUMBER(G3395)), "", VLOOKUP(A3395,'Discount Lookup'!D:E,2,FALSE)*G3395)</f>
        <v/>
      </c>
      <c r="V3395" s="78" t="str">
        <f>IF(NOT(ISNUMBER(G3395)), "", VLOOKUP(A3395,'Discount Lookup'!G:H,2,FALSE)*G3395)</f>
        <v/>
      </c>
      <c r="W3395" s="102">
        <f t="shared" si="2572"/>
        <v>0</v>
      </c>
      <c r="X3395" s="102">
        <f t="shared" si="2573"/>
        <v>0</v>
      </c>
      <c r="Y3395" s="120" t="b">
        <f t="shared" si="2574"/>
        <v>0</v>
      </c>
      <c r="Z3395" s="117">
        <f t="shared" si="2575"/>
        <v>0</v>
      </c>
      <c r="AA3395" s="118"/>
      <c r="AB3395" s="118" t="str">
        <f t="shared" si="2576"/>
        <v/>
      </c>
      <c r="AC3395" s="712" t="str">
        <f>IF(AE3395="T2G","no charge",IF(AND(OR(PlanterYesMe="No",PlanterYesMe="N",PlanterYesMe="me"),H3395=""),"",IF(H3395="credit","NO install",IF(AND(K3395="",AE3395="me"),"EACH row",IF(AND(K3395="images",AE3395="me"),"EACH row",IF(D3395="","",IF(H3395="credit","",IF(AE3395="free","re-planting",IF(AE3395="me","   not ELP, by",IF(AND(OR(PlanterYesMe="Yes",PlanterYesMe="Y"),G3395&gt;0),(VLOOKUP(A3395,'Discount Lookup'!J:K,2)*G3395*(1-PlanterDiscount)*(1+PlanterDifficultyPercentage)),IF(AE3395="ELP",(VLOOKUP(A3395,'Discount Lookup'!J:K,2)*G3395*(1-PlanterDiscount)*(1+PlanterDifficultyPercentage)),IF(AE3395="free","re-planting",IF(G3395=0,"",IF(PlanterYesMe="",IF(AE3395="me","   not ELP, by",IF(AE3395="",IF(G3395&gt;0,(VLOOKUP(A3395,'Discount Lookup'!J:K,2)*G3395*(1-PlanterDiscount)*(1+PlanterDifficultyPercentage)),""),"")),"   not ELP, by"))))))))))))))</f>
        <v/>
      </c>
      <c r="AD3395" s="712"/>
      <c r="AE3395" s="513" t="str">
        <f t="shared" si="2577"/>
        <v/>
      </c>
      <c r="AF3395" s="713" t="str">
        <f t="shared" si="2578"/>
        <v/>
      </c>
      <c r="AG3395" s="713"/>
      <c r="AH3395" s="713"/>
      <c r="AI3395" s="112">
        <f>IF(H3395="credit",0,IF(AE3395="free",0,IF(AE3395="me",0,IF(G3395&gt;0,(VLOOKUP(A3395,'Discount Lookup'!J:K,2)*G3395),0))))</f>
        <v>0</v>
      </c>
      <c r="AJ3395" s="107" t="str">
        <f t="shared" ca="1" si="2579"/>
        <v/>
      </c>
      <c r="AK3395" s="714" t="str">
        <f t="shared" si="2580"/>
        <v/>
      </c>
      <c r="AL3395" s="714"/>
      <c r="AM3395" s="114" t="str">
        <f t="shared" si="2581"/>
        <v/>
      </c>
      <c r="AN3395" s="115"/>
      <c r="AO3395" s="116"/>
      <c r="AP3395" s="116"/>
      <c r="AQ3395" s="116"/>
      <c r="AR3395" s="116"/>
      <c r="AS3395" s="116"/>
      <c r="AT3395" s="116"/>
      <c r="AU3395" s="116"/>
      <c r="AV3395" s="78"/>
      <c r="AW3395" s="102"/>
      <c r="AX3395" s="78"/>
      <c r="AY3395" s="78"/>
      <c r="AZ3395" s="78"/>
      <c r="BA3395" s="78"/>
      <c r="BB3395" s="78"/>
      <c r="BC3395" s="78"/>
      <c r="BD3395" s="78"/>
      <c r="BE3395" s="465"/>
      <c r="BF3395" s="165" t="str">
        <f t="shared" si="2582"/>
        <v>https://www.google.com/search?tbm=isch&amp;q=moist%20sites%F0%9F%92%A7OK%2C%20Skip%20foliage%20is%20dark%20green%20on%20top%2C%20light%20green%20on%20bottom.%20Fragrant%20flowers%20are%20followed%20by%20small%20black%20drupes%20</v>
      </c>
      <c r="BG3395" s="165" t="str">
        <f t="shared" si="2583"/>
        <v>m</v>
      </c>
      <c r="BH3395" s="65"/>
      <c r="BI3395" s="65"/>
      <c r="BJ3395" s="65"/>
      <c r="BK3395" s="65"/>
      <c r="BL3395" s="99"/>
      <c r="BM3395" s="99"/>
      <c r="BN3395" s="99"/>
    </row>
    <row r="3396" spans="1:66" s="51" customFormat="1" ht="18" x14ac:dyDescent="0.25">
      <c r="A3396" s="623" t="s">
        <v>5091</v>
      </c>
      <c r="B3396" s="624"/>
      <c r="C3396" s="709"/>
      <c r="D3396" s="625" t="s">
        <v>5092</v>
      </c>
      <c r="E3396" s="626"/>
      <c r="F3396" s="626"/>
      <c r="G3396" s="626"/>
      <c r="H3396" s="622" t="s">
        <v>333</v>
      </c>
      <c r="I3396" s="627" t="s">
        <v>1837</v>
      </c>
      <c r="J3396" s="628"/>
      <c r="K3396" s="628"/>
      <c r="L3396" s="629"/>
      <c r="M3396" s="700" t="s">
        <v>5249</v>
      </c>
      <c r="N3396" s="693" t="str">
        <f>IF(AND(ISTEXT($A3396), ISERROR($A3396+0)), HYPERLINK($BF3396, "Images"), "")</f>
        <v>Images</v>
      </c>
      <c r="O3396" s="695" t="s">
        <v>5264</v>
      </c>
      <c r="P3396" s="630"/>
      <c r="Q3396" s="631"/>
      <c r="R3396" s="632"/>
      <c r="S3396" s="633"/>
      <c r="T3396" s="102">
        <f t="shared" si="2571"/>
        <v>0</v>
      </c>
      <c r="U3396" s="78" t="str">
        <f>IF(NOT(ISNUMBER(G3396)), "", VLOOKUP(A3396,'Discount Lookup'!D:E,2,FALSE)*G3396)</f>
        <v/>
      </c>
      <c r="V3396" s="78" t="str">
        <f>IF(NOT(ISNUMBER(G3396)), "", VLOOKUP(A3396,'Discount Lookup'!G:H,2,FALSE)*G3396)</f>
        <v/>
      </c>
      <c r="W3396" s="102">
        <f t="shared" si="2572"/>
        <v>0</v>
      </c>
      <c r="X3396" s="102" t="str">
        <f t="shared" si="2573"/>
        <v>Rose-Pink bloom</v>
      </c>
      <c r="Y3396" s="120" t="b">
        <f t="shared" si="2574"/>
        <v>0</v>
      </c>
      <c r="Z3396" s="117">
        <f t="shared" si="2575"/>
        <v>0</v>
      </c>
      <c r="AA3396" s="118"/>
      <c r="AB3396" s="118" t="str">
        <f t="shared" si="2576"/>
        <v/>
      </c>
      <c r="AC3396" s="712" t="str">
        <f>IF(AE3396="T2G","no charge",IF(AND(OR(PlanterYesMe="No",PlanterYesMe="N",PlanterYesMe="me"),H3396=""),"",IF(H3396="credit","NO install",IF(AND(K3396="",AE3396="me"),"EACH row",IF(AND(K3396="images",AE3396="me"),"EACH row",IF(D3396="","",IF(H3396="credit","",IF(AE3396="free","re-planting",IF(AE3396="me","   not ELP, by",IF(AND(OR(PlanterYesMe="Yes",PlanterYesMe="Y"),G3396&gt;0),(VLOOKUP(A3396,'Discount Lookup'!J:K,2)*G3396*(1-PlanterDiscount)*(1+PlanterDifficultyPercentage)),IF(AE3396="ELP",(VLOOKUP(A3396,'Discount Lookup'!J:K,2)*G3396*(1-PlanterDiscount)*(1+PlanterDifficultyPercentage)),IF(AE3396="free","re-planting",IF(G3396=0,"",IF(PlanterYesMe="",IF(AE3396="me","   not ELP, by",IF(AE3396="",IF(G3396&gt;0,(VLOOKUP(A3396,'Discount Lookup'!J:K,2)*G3396*(1-PlanterDiscount)*(1+PlanterDifficultyPercentage)),""),"")),"   not ELP, by"))))))))))))))</f>
        <v/>
      </c>
      <c r="AD3396" s="712"/>
      <c r="AE3396" s="513" t="str">
        <f t="shared" si="2577"/>
        <v/>
      </c>
      <c r="AF3396" s="713" t="str">
        <f t="shared" si="2578"/>
        <v/>
      </c>
      <c r="AG3396" s="713"/>
      <c r="AH3396" s="713"/>
      <c r="AI3396" s="112">
        <f>IF(H3396="credit",0,IF(AE3396="free",0,IF(AE3396="me",0,IF(G3396&gt;0,(VLOOKUP(A3396,'Discount Lookup'!J:K,2)*G3396),0))))</f>
        <v>0</v>
      </c>
      <c r="AJ3396" s="107" t="str">
        <f t="shared" ca="1" si="2579"/>
        <v/>
      </c>
      <c r="AK3396" s="714" t="str">
        <f t="shared" si="2580"/>
        <v/>
      </c>
      <c r="AL3396" s="714"/>
      <c r="AM3396" s="114" t="str">
        <f t="shared" si="2581"/>
        <v/>
      </c>
      <c r="AN3396" s="115"/>
      <c r="AO3396" s="116"/>
      <c r="AP3396" s="116"/>
      <c r="AQ3396" s="116"/>
      <c r="AR3396" s="116"/>
      <c r="AS3396" s="116"/>
      <c r="AT3396" s="116"/>
      <c r="AU3396" s="116"/>
      <c r="AV3396" s="78"/>
      <c r="AW3396" s="102"/>
      <c r="AX3396" s="78"/>
      <c r="AY3396" s="78"/>
      <c r="AZ3396" s="78"/>
      <c r="BA3396" s="78"/>
      <c r="BB3396" s="78"/>
      <c r="BC3396" s="78"/>
      <c r="BD3396" s="78"/>
      <c r="BE3396" s="465"/>
      <c r="BF3396" s="165" t="str">
        <f t="shared" si="2582"/>
        <v>https://www.google.com/search?tbm=isch&amp;q=Prunus%20mume%20%27Bonita%27%20Bonita%20Flowering%20Apricot</v>
      </c>
      <c r="BG3396" s="165" t="str">
        <f t="shared" si="2583"/>
        <v>P</v>
      </c>
      <c r="BH3396" s="65"/>
      <c r="BI3396" s="65"/>
      <c r="BJ3396" s="65"/>
      <c r="BK3396" s="65"/>
      <c r="BL3396" s="99"/>
      <c r="BM3396" s="99"/>
      <c r="BN3396" s="99"/>
    </row>
    <row r="3397" spans="1:66" s="51" customFormat="1" ht="15.75" x14ac:dyDescent="0.25">
      <c r="A3397" s="634">
        <v>10</v>
      </c>
      <c r="B3397" s="635" t="s">
        <v>291</v>
      </c>
      <c r="C3397" s="636" t="s">
        <v>5093</v>
      </c>
      <c r="D3397" s="637" t="s">
        <v>299</v>
      </c>
      <c r="E3397" s="638">
        <v>146.94999999999999</v>
      </c>
      <c r="F3397" s="639" t="s">
        <v>292</v>
      </c>
      <c r="G3397" s="484">
        <v>0</v>
      </c>
      <c r="H3397" s="691" t="str">
        <f>IF(G3397=0,"",IF(F3397="Buy",IF(G3397=1,"plant","plants"),IF(F3397&gt;0.01,"warranty","Error")))</f>
        <v/>
      </c>
      <c r="I3397" s="640">
        <f>IF(H3397="free",0,IF(H3397="credit",((E3397*(F3397))*G3397*-1),IF(F3397="Buy",(E3397*G3397),((E3397*(1-F3397))*G3397))))</f>
        <v>0</v>
      </c>
      <c r="J3397" s="640">
        <f>IF(H3397="warranty",0,(I3397*(_xlfn.SINGLE(SalesTaxPercentage))))</f>
        <v>0</v>
      </c>
      <c r="K3397" s="716">
        <f t="shared" ref="K3397" si="2605">I3397+J3397</f>
        <v>0</v>
      </c>
      <c r="L3397" s="716"/>
      <c r="M3397" s="689" t="str">
        <f ca="1">IF(AND(G3397&gt;0,E3397=0),"WARNING - no PRICE inserted",IF(H3397="free","FREE ~ no charge this plant",IF(H3397="credit",CONCATENATE("-$",ROUND(K3397*(1-_xlfn.SINGLE(T2GDiscount))*-1,2)," CREDIT after discount"),IF(_xlfn.SINGLE(T2GDiscount)=0,"",IF(G3397=0,"",IF(F3397="Buy",CONCATENATE("$",ROUND(K3397*(1-_xlfn.SINGLE(T2GDiscount)),2)," with ",(_xlfn.SINGLE(T2GDiscount)*100),"% discount"),CONCATENATE("$",ROUND(K3397*(1-_xlfn.SINGLE(T2GDiscount)),2)," with ",((_xlfn.SINGLE(T2GDiscount)*100+F3397*100)-(_xlfn.SINGLE(T2GDiscount)*100*F3397)),IF(F3397&gt;0,"% discounts",IF(_xlfn.SINGLE(NoWarrantyDiscount)&gt;0,"% discounts","% discount")))))))))</f>
        <v/>
      </c>
      <c r="N3397" s="690"/>
      <c r="O3397" s="486"/>
      <c r="P3397" s="486"/>
      <c r="Q3397" s="486"/>
      <c r="R3397" s="486"/>
      <c r="S3397" s="486"/>
      <c r="T3397" s="102">
        <f t="shared" si="2571"/>
        <v>0</v>
      </c>
      <c r="U3397" s="78">
        <f>IF(NOT(ISNUMBER(G3397)), "", VLOOKUP(A3397,'Discount Lookup'!D:E,2,FALSE)*G3397)</f>
        <v>0</v>
      </c>
      <c r="V3397" s="78">
        <f>IF(NOT(ISNUMBER(G3397)), "", VLOOKUP(A3397,'Discount Lookup'!G:H,2,FALSE)*G3397)</f>
        <v>0</v>
      </c>
      <c r="W3397" s="102">
        <f t="shared" si="2572"/>
        <v>0</v>
      </c>
      <c r="X3397" s="102">
        <f t="shared" si="2573"/>
        <v>0</v>
      </c>
      <c r="Y3397" s="120" t="b">
        <f t="shared" si="2574"/>
        <v>0</v>
      </c>
      <c r="Z3397" s="117">
        <f t="shared" si="2575"/>
        <v>0</v>
      </c>
      <c r="AA3397" s="118"/>
      <c r="AB3397" s="118" t="str">
        <f t="shared" si="2576"/>
        <v/>
      </c>
      <c r="AC3397" s="712" t="str">
        <f>IF(AE3397="T2G","no charge",IF(AND(OR(PlanterYesMe="No",PlanterYesMe="N",PlanterYesMe="me"),H3397=""),"",IF(H3397="credit","NO install",IF(AND(K3397="",AE3397="me"),"EACH row",IF(AND(K3397="images",AE3397="me"),"EACH row",IF(D3397="","",IF(H3397="credit","",IF(AE3397="free","re-planting",IF(AE3397="me","   not ELP, by",IF(AND(OR(PlanterYesMe="Yes",PlanterYesMe="Y"),G3397&gt;0),(VLOOKUP(A3397,'Discount Lookup'!J:K,2)*G3397*(1-PlanterDiscount)*(1+PlanterDifficultyPercentage)),IF(AE3397="ELP",(VLOOKUP(A3397,'Discount Lookup'!J:K,2)*G3397*(1-PlanterDiscount)*(1+PlanterDifficultyPercentage)),IF(AE3397="free","re-planting",IF(G3397=0,"",IF(PlanterYesMe="",IF(AE3397="me","   not ELP, by",IF(AE3397="",IF(G3397&gt;0,(VLOOKUP(A3397,'Discount Lookup'!J:K,2)*G3397*(1-PlanterDiscount)*(1+PlanterDifficultyPercentage)),""),"")),"   not ELP, by"))))))))))))))</f>
        <v/>
      </c>
      <c r="AD3397" s="712"/>
      <c r="AE3397" s="513" t="str">
        <f t="shared" si="2577"/>
        <v/>
      </c>
      <c r="AF3397" s="713" t="str">
        <f t="shared" si="2578"/>
        <v/>
      </c>
      <c r="AG3397" s="713"/>
      <c r="AH3397" s="713"/>
      <c r="AI3397" s="112">
        <f>IF(H3397="credit",0,IF(AE3397="free",0,IF(AE3397="me",0,IF(G3397&gt;0,(VLOOKUP(A3397,'Discount Lookup'!J:K,2)*G3397),0))))</f>
        <v>0</v>
      </c>
      <c r="AJ3397" s="107" t="str">
        <f t="shared" ca="1" si="2579"/>
        <v/>
      </c>
      <c r="AK3397" s="714" t="str">
        <f t="shared" si="2580"/>
        <v/>
      </c>
      <c r="AL3397" s="714"/>
      <c r="AM3397" s="114" t="str">
        <f t="shared" si="2581"/>
        <v/>
      </c>
      <c r="AN3397" s="115"/>
      <c r="AO3397" s="116"/>
      <c r="AP3397" s="116"/>
      <c r="AQ3397" s="116"/>
      <c r="AR3397" s="116"/>
      <c r="AS3397" s="116"/>
      <c r="AT3397" s="116"/>
      <c r="AU3397" s="116"/>
      <c r="AV3397" s="78"/>
      <c r="AW3397" s="102"/>
      <c r="AX3397" s="78"/>
      <c r="AY3397" s="78"/>
      <c r="AZ3397" s="78"/>
      <c r="BA3397" s="78"/>
      <c r="BB3397" s="78"/>
      <c r="BC3397" s="78"/>
      <c r="BD3397" s="78"/>
      <c r="BE3397" s="465"/>
      <c r="BF3397" s="165" t="str">
        <f t="shared" si="2582"/>
        <v>https://www.google.com/search?tbm=isch&amp;q=10%20G4</v>
      </c>
      <c r="BG3397" s="165" t="str">
        <f t="shared" si="2583"/>
        <v>P</v>
      </c>
      <c r="BH3397" s="65"/>
      <c r="BI3397" s="65"/>
      <c r="BJ3397" s="65"/>
      <c r="BK3397" s="65"/>
      <c r="BL3397" s="99"/>
      <c r="BM3397" s="99"/>
      <c r="BN3397" s="99"/>
    </row>
    <row r="3398" spans="1:66" s="51" customFormat="1" ht="17.25" thickBot="1" x14ac:dyDescent="0.3">
      <c r="A3398" s="641" t="s">
        <v>5094</v>
      </c>
      <c r="B3398" s="642"/>
      <c r="C3398" s="710"/>
      <c r="D3398" s="643"/>
      <c r="E3398" s="643"/>
      <c r="F3398" s="644"/>
      <c r="G3398" s="645"/>
      <c r="H3398" s="646"/>
      <c r="I3398" s="647"/>
      <c r="J3398" s="648"/>
      <c r="K3398" s="649"/>
      <c r="L3398" s="650"/>
      <c r="M3398" s="650"/>
      <c r="N3398" s="644"/>
      <c r="O3398" s="644"/>
      <c r="P3398" s="644"/>
      <c r="Q3398" s="644"/>
      <c r="R3398" s="644"/>
      <c r="S3398" s="651"/>
      <c r="T3398" s="102">
        <f t="shared" si="2571"/>
        <v>0</v>
      </c>
      <c r="U3398" s="78" t="str">
        <f>IF(NOT(ISNUMBER(G3398)), "", VLOOKUP(A3398,'Discount Lookup'!D:E,2,FALSE)*G3398)</f>
        <v/>
      </c>
      <c r="V3398" s="78" t="str">
        <f>IF(NOT(ISNUMBER(G3398)), "", VLOOKUP(A3398,'Discount Lookup'!G:H,2,FALSE)*G3398)</f>
        <v/>
      </c>
      <c r="W3398" s="102">
        <f t="shared" si="2572"/>
        <v>0</v>
      </c>
      <c r="X3398" s="102">
        <f t="shared" si="2573"/>
        <v>0</v>
      </c>
      <c r="Y3398" s="120" t="b">
        <f t="shared" si="2574"/>
        <v>0</v>
      </c>
      <c r="Z3398" s="117">
        <f t="shared" si="2575"/>
        <v>0</v>
      </c>
      <c r="AA3398" s="118"/>
      <c r="AB3398" s="118" t="str">
        <f t="shared" si="2576"/>
        <v/>
      </c>
      <c r="AC3398" s="712" t="str">
        <f>IF(AE3398="T2G","no charge",IF(AND(OR(PlanterYesMe="No",PlanterYesMe="N",PlanterYesMe="me"),H3398=""),"",IF(H3398="credit","NO install",IF(AND(K3398="",AE3398="me"),"EACH row",IF(AND(K3398="images",AE3398="me"),"EACH row",IF(D3398="","",IF(H3398="credit","",IF(AE3398="free","re-planting",IF(AE3398="me","   not ELP, by",IF(AND(OR(PlanterYesMe="Yes",PlanterYesMe="Y"),G3398&gt;0),(VLOOKUP(A3398,'Discount Lookup'!J:K,2)*G3398*(1-PlanterDiscount)*(1+PlanterDifficultyPercentage)),IF(AE3398="ELP",(VLOOKUP(A3398,'Discount Lookup'!J:K,2)*G3398*(1-PlanterDiscount)*(1+PlanterDifficultyPercentage)),IF(AE3398="free","re-planting",IF(G3398=0,"",IF(PlanterYesMe="",IF(AE3398="me","   not ELP, by",IF(AE3398="",IF(G3398&gt;0,(VLOOKUP(A3398,'Discount Lookup'!J:K,2)*G3398*(1-PlanterDiscount)*(1+PlanterDifficultyPercentage)),""),"")),"   not ELP, by"))))))))))))))</f>
        <v/>
      </c>
      <c r="AD3398" s="712"/>
      <c r="AE3398" s="513" t="str">
        <f t="shared" si="2577"/>
        <v/>
      </c>
      <c r="AF3398" s="713" t="str">
        <f t="shared" si="2578"/>
        <v/>
      </c>
      <c r="AG3398" s="713"/>
      <c r="AH3398" s="713"/>
      <c r="AI3398" s="112">
        <f>IF(H3398="credit",0,IF(AE3398="free",0,IF(AE3398="me",0,IF(G3398&gt;0,(VLOOKUP(A3398,'Discount Lookup'!J:K,2)*G3398),0))))</f>
        <v>0</v>
      </c>
      <c r="AJ3398" s="107" t="str">
        <f t="shared" ca="1" si="2579"/>
        <v/>
      </c>
      <c r="AK3398" s="714" t="str">
        <f t="shared" si="2580"/>
        <v/>
      </c>
      <c r="AL3398" s="714"/>
      <c r="AM3398" s="114" t="str">
        <f t="shared" si="2581"/>
        <v/>
      </c>
      <c r="AN3398" s="115"/>
      <c r="AO3398" s="116"/>
      <c r="AP3398" s="116"/>
      <c r="AQ3398" s="116"/>
      <c r="AR3398" s="116"/>
      <c r="AS3398" s="116"/>
      <c r="AT3398" s="116"/>
      <c r="AU3398" s="116"/>
      <c r="AV3398" s="78"/>
      <c r="AW3398" s="102"/>
      <c r="AX3398" s="78"/>
      <c r="AY3398" s="78"/>
      <c r="AZ3398" s="78"/>
      <c r="BA3398" s="78"/>
      <c r="BB3398" s="78"/>
      <c r="BC3398" s="78"/>
      <c r="BD3398" s="78"/>
      <c r="BE3398" s="465"/>
      <c r="BF3398" s="165" t="str">
        <f t="shared" si="2582"/>
        <v>https://www.google.com/search?tbm=isch&amp;q=Bonita%20is%20valued%20for%20its%20delicate%20and%20highly%20fragrant%20flowers%20that%20appear%20on%20bare%20branches%20in%20late%20winter.%20Yellow%20to%20Orange%20fall%20foliage%20</v>
      </c>
      <c r="BG3398" s="165" t="str">
        <f t="shared" si="2583"/>
        <v>B</v>
      </c>
      <c r="BH3398" s="65"/>
      <c r="BI3398" s="65"/>
      <c r="BJ3398" s="65"/>
      <c r="BK3398" s="65"/>
      <c r="BL3398" s="99"/>
      <c r="BM3398" s="99"/>
      <c r="BN3398" s="99"/>
    </row>
    <row r="3399" spans="1:66" s="51" customFormat="1" ht="18" x14ac:dyDescent="0.25">
      <c r="A3399" s="623" t="s">
        <v>3852</v>
      </c>
      <c r="B3399" s="624"/>
      <c r="C3399" s="709"/>
      <c r="D3399" s="625" t="s">
        <v>3853</v>
      </c>
      <c r="E3399" s="626"/>
      <c r="F3399" s="626"/>
      <c r="G3399" s="626"/>
      <c r="H3399" s="622" t="s">
        <v>1174</v>
      </c>
      <c r="I3399" s="627" t="s">
        <v>1837</v>
      </c>
      <c r="J3399" s="628"/>
      <c r="K3399" s="628"/>
      <c r="L3399" s="629"/>
      <c r="M3399" s="700" t="s">
        <v>5249</v>
      </c>
      <c r="N3399" s="693" t="str">
        <f>IF(AND(ISTEXT($A3399), ISERROR($A3399+0)), HYPERLINK($BF3399, "Images"), "")</f>
        <v>Images</v>
      </c>
      <c r="O3399" s="695" t="s">
        <v>5247</v>
      </c>
      <c r="P3399" s="630"/>
      <c r="Q3399" s="631"/>
      <c r="R3399" s="632"/>
      <c r="S3399" s="633"/>
      <c r="T3399" s="102">
        <f t="shared" si="2571"/>
        <v>0</v>
      </c>
      <c r="U3399" s="78" t="str">
        <f>IF(NOT(ISNUMBER(G3399)), "", VLOOKUP(A3399,'Discount Lookup'!D:E,2,FALSE)*G3399)</f>
        <v/>
      </c>
      <c r="V3399" s="78" t="str">
        <f>IF(NOT(ISNUMBER(G3399)), "", VLOOKUP(A3399,'Discount Lookup'!G:H,2,FALSE)*G3399)</f>
        <v/>
      </c>
      <c r="W3399" s="102">
        <f t="shared" si="2572"/>
        <v>0</v>
      </c>
      <c r="X3399" s="102" t="str">
        <f t="shared" si="2573"/>
        <v>Rose-Pink bloom</v>
      </c>
      <c r="Y3399" s="120" t="b">
        <f t="shared" si="2574"/>
        <v>0</v>
      </c>
      <c r="Z3399" s="117">
        <f t="shared" si="2575"/>
        <v>0</v>
      </c>
      <c r="AA3399" s="118"/>
      <c r="AB3399" s="118" t="str">
        <f t="shared" si="2576"/>
        <v/>
      </c>
      <c r="AC3399" s="712" t="str">
        <f>IF(AE3399="T2G","no charge",IF(AND(OR(PlanterYesMe="No",PlanterYesMe="N",PlanterYesMe="me"),H3399=""),"",IF(H3399="credit","NO install",IF(AND(K3399="",AE3399="me"),"EACH row",IF(AND(K3399="images",AE3399="me"),"EACH row",IF(D3399="","",IF(H3399="credit","",IF(AE3399="free","re-planting",IF(AE3399="me","   not ELP, by",IF(AND(OR(PlanterYesMe="Yes",PlanterYesMe="Y"),G3399&gt;0),(VLOOKUP(A3399,'Discount Lookup'!J:K,2)*G3399*(1-PlanterDiscount)*(1+PlanterDifficultyPercentage)),IF(AE3399="ELP",(VLOOKUP(A3399,'Discount Lookup'!J:K,2)*G3399*(1-PlanterDiscount)*(1+PlanterDifficultyPercentage)),IF(AE3399="free","re-planting",IF(G3399=0,"",IF(PlanterYesMe="",IF(AE3399="me","   not ELP, by",IF(AE3399="",IF(G3399&gt;0,(VLOOKUP(A3399,'Discount Lookup'!J:K,2)*G3399*(1-PlanterDiscount)*(1+PlanterDifficultyPercentage)),""),"")),"   not ELP, by"))))))))))))))</f>
        <v/>
      </c>
      <c r="AD3399" s="712"/>
      <c r="AE3399" s="513" t="str">
        <f t="shared" si="2577"/>
        <v/>
      </c>
      <c r="AF3399" s="713" t="str">
        <f t="shared" si="2578"/>
        <v/>
      </c>
      <c r="AG3399" s="713"/>
      <c r="AH3399" s="713"/>
      <c r="AI3399" s="112">
        <f>IF(H3399="credit",0,IF(AE3399="free",0,IF(AE3399="me",0,IF(G3399&gt;0,(VLOOKUP(A3399,'Discount Lookup'!J:K,2)*G3399),0))))</f>
        <v>0</v>
      </c>
      <c r="AJ3399" s="107" t="str">
        <f t="shared" ca="1" si="2579"/>
        <v/>
      </c>
      <c r="AK3399" s="714" t="str">
        <f t="shared" si="2580"/>
        <v/>
      </c>
      <c r="AL3399" s="714"/>
      <c r="AM3399" s="114" t="str">
        <f t="shared" si="2581"/>
        <v/>
      </c>
      <c r="AN3399" s="115"/>
      <c r="AO3399" s="116"/>
      <c r="AP3399" s="116"/>
      <c r="AQ3399" s="116"/>
      <c r="AR3399" s="116"/>
      <c r="AS3399" s="116"/>
      <c r="AT3399" s="116"/>
      <c r="AU3399" s="116"/>
      <c r="AV3399" s="78"/>
      <c r="AW3399" s="102"/>
      <c r="AX3399" s="78"/>
      <c r="AY3399" s="78"/>
      <c r="AZ3399" s="78"/>
      <c r="BA3399" s="78"/>
      <c r="BB3399" s="78"/>
      <c r="BC3399" s="78"/>
      <c r="BD3399" s="78"/>
      <c r="BE3399" s="465"/>
      <c r="BF3399" s="165" t="str">
        <f t="shared" si="2582"/>
        <v>https://www.google.com/search?tbm=isch&amp;q=Prunus%20mume%20%27Kobai%27%20Kobai%20Flowering%20Apricot</v>
      </c>
      <c r="BG3399" s="165" t="str">
        <f t="shared" si="2583"/>
        <v>P</v>
      </c>
      <c r="BH3399" s="65"/>
      <c r="BI3399" s="65"/>
      <c r="BJ3399" s="65"/>
      <c r="BK3399" s="65"/>
      <c r="BL3399" s="99"/>
      <c r="BM3399" s="99"/>
      <c r="BN3399" s="99"/>
    </row>
    <row r="3400" spans="1:66" s="51" customFormat="1" ht="15.75" x14ac:dyDescent="0.25">
      <c r="A3400" s="634">
        <v>7</v>
      </c>
      <c r="B3400" s="635" t="s">
        <v>291</v>
      </c>
      <c r="C3400" s="636" t="s">
        <v>3854</v>
      </c>
      <c r="D3400" s="637" t="s">
        <v>299</v>
      </c>
      <c r="E3400" s="638">
        <v>109.95</v>
      </c>
      <c r="F3400" s="639" t="s">
        <v>292</v>
      </c>
      <c r="G3400" s="484">
        <v>0</v>
      </c>
      <c r="H3400" s="691" t="str">
        <f>IF(G3400=0,"",IF(F3400="Buy",IF(G3400=1,"plant","plants"),IF(F3400&gt;0.01,"warranty","Error")))</f>
        <v/>
      </c>
      <c r="I3400" s="640">
        <f>IF(H3400="free",0,IF(H3400="credit",((E3400*(F3400))*G3400*-1),IF(F3400="Buy",(E3400*G3400),((E3400*(1-F3400))*G3400))))</f>
        <v>0</v>
      </c>
      <c r="J3400" s="640">
        <f>IF(H3400="warranty",0,(I3400*(_xlfn.SINGLE(SalesTaxPercentage))))</f>
        <v>0</v>
      </c>
      <c r="K3400" s="716">
        <f t="shared" ref="K3400" si="2606">I3400+J3400</f>
        <v>0</v>
      </c>
      <c r="L3400" s="716"/>
      <c r="M3400" s="689" t="str">
        <f ca="1">IF(AND(G3400&gt;0,E3400=0),"WARNING - no PRICE inserted",IF(H3400="free","FREE ~ no charge this plant",IF(H3400="credit",CONCATENATE("-$",ROUND(K3400*(1-_xlfn.SINGLE(T2GDiscount))*-1,2)," CREDIT after discount"),IF(_xlfn.SINGLE(T2GDiscount)=0,"",IF(G3400=0,"",IF(F3400="Buy",CONCATENATE("$",ROUND(K3400*(1-_xlfn.SINGLE(T2GDiscount)),2)," with ",(_xlfn.SINGLE(T2GDiscount)*100),"% discount"),CONCATENATE("$",ROUND(K3400*(1-_xlfn.SINGLE(T2GDiscount)),2)," with ",((_xlfn.SINGLE(T2GDiscount)*100+F3400*100)-(_xlfn.SINGLE(T2GDiscount)*100*F3400)),IF(F3400&gt;0,"% discounts",IF(_xlfn.SINGLE(NoWarrantyDiscount)&gt;0,"% discounts","% discount")))))))))</f>
        <v/>
      </c>
      <c r="N3400" s="690"/>
      <c r="O3400" s="486"/>
      <c r="P3400" s="486"/>
      <c r="Q3400" s="486"/>
      <c r="R3400" s="486"/>
      <c r="S3400" s="486"/>
      <c r="T3400" s="102">
        <f t="shared" si="2571"/>
        <v>0</v>
      </c>
      <c r="U3400" s="78">
        <f>IF(NOT(ISNUMBER(G3400)), "", VLOOKUP(A3400,'Discount Lookup'!D:E,2,FALSE)*G3400)</f>
        <v>0</v>
      </c>
      <c r="V3400" s="78">
        <f>IF(NOT(ISNUMBER(G3400)), "", VLOOKUP(A3400,'Discount Lookup'!G:H,2,FALSE)*G3400)</f>
        <v>0</v>
      </c>
      <c r="W3400" s="102">
        <f t="shared" si="2572"/>
        <v>0</v>
      </c>
      <c r="X3400" s="102">
        <f t="shared" si="2573"/>
        <v>0</v>
      </c>
      <c r="Y3400" s="120" t="b">
        <f t="shared" si="2574"/>
        <v>0</v>
      </c>
      <c r="Z3400" s="117">
        <f t="shared" si="2575"/>
        <v>0</v>
      </c>
      <c r="AA3400" s="118"/>
      <c r="AB3400" s="118" t="str">
        <f t="shared" si="2576"/>
        <v/>
      </c>
      <c r="AC3400" s="712" t="str">
        <f>IF(AE3400="T2G","no charge",IF(AND(OR(PlanterYesMe="No",PlanterYesMe="N",PlanterYesMe="me"),H3400=""),"",IF(H3400="credit","NO install",IF(AND(K3400="",AE3400="me"),"EACH row",IF(AND(K3400="images",AE3400="me"),"EACH row",IF(D3400="","",IF(H3400="credit","",IF(AE3400="free","re-planting",IF(AE3400="me","   not ELP, by",IF(AND(OR(PlanterYesMe="Yes",PlanterYesMe="Y"),G3400&gt;0),(VLOOKUP(A3400,'Discount Lookup'!J:K,2)*G3400*(1-PlanterDiscount)*(1+PlanterDifficultyPercentage)),IF(AE3400="ELP",(VLOOKUP(A3400,'Discount Lookup'!J:K,2)*G3400*(1-PlanterDiscount)*(1+PlanterDifficultyPercentage)),IF(AE3400="free","re-planting",IF(G3400=0,"",IF(PlanterYesMe="",IF(AE3400="me","   not ELP, by",IF(AE3400="",IF(G3400&gt;0,(VLOOKUP(A3400,'Discount Lookup'!J:K,2)*G3400*(1-PlanterDiscount)*(1+PlanterDifficultyPercentage)),""),"")),"   not ELP, by"))))))))))))))</f>
        <v/>
      </c>
      <c r="AD3400" s="712"/>
      <c r="AE3400" s="513" t="str">
        <f t="shared" si="2577"/>
        <v/>
      </c>
      <c r="AF3400" s="713" t="str">
        <f t="shared" si="2578"/>
        <v/>
      </c>
      <c r="AG3400" s="713"/>
      <c r="AH3400" s="713"/>
      <c r="AI3400" s="112">
        <f>IF(H3400="credit",0,IF(AE3400="free",0,IF(AE3400="me",0,IF(G3400&gt;0,(VLOOKUP(A3400,'Discount Lookup'!J:K,2)*G3400),0))))</f>
        <v>0</v>
      </c>
      <c r="AJ3400" s="107" t="str">
        <f t="shared" ca="1" si="2579"/>
        <v/>
      </c>
      <c r="AK3400" s="714" t="str">
        <f t="shared" si="2580"/>
        <v/>
      </c>
      <c r="AL3400" s="714"/>
      <c r="AM3400" s="114" t="str">
        <f t="shared" si="2581"/>
        <v/>
      </c>
      <c r="AN3400" s="115"/>
      <c r="AO3400" s="116"/>
      <c r="AP3400" s="116"/>
      <c r="AQ3400" s="116"/>
      <c r="AR3400" s="116"/>
      <c r="AS3400" s="116"/>
      <c r="AT3400" s="116"/>
      <c r="AU3400" s="116"/>
      <c r="AV3400" s="78"/>
      <c r="AW3400" s="102"/>
      <c r="AX3400" s="78"/>
      <c r="AY3400" s="78"/>
      <c r="AZ3400" s="78"/>
      <c r="BA3400" s="78"/>
      <c r="BB3400" s="78"/>
      <c r="BC3400" s="78"/>
      <c r="BD3400" s="78"/>
      <c r="BE3400" s="465"/>
      <c r="BF3400" s="165" t="str">
        <f t="shared" si="2582"/>
        <v>https://www.google.com/search?tbm=isch&amp;q=7%20G4</v>
      </c>
      <c r="BG3400" s="165" t="str">
        <f t="shared" si="2583"/>
        <v>P</v>
      </c>
      <c r="BH3400" s="65"/>
      <c r="BI3400" s="65"/>
      <c r="BJ3400" s="65"/>
      <c r="BK3400" s="65"/>
      <c r="BL3400" s="99"/>
      <c r="BM3400" s="99"/>
      <c r="BN3400" s="99"/>
    </row>
    <row r="3401" spans="1:66" s="51" customFormat="1" ht="15.75" x14ac:dyDescent="0.25">
      <c r="A3401" s="634">
        <v>95</v>
      </c>
      <c r="B3401" s="635" t="s">
        <v>291</v>
      </c>
      <c r="C3401" s="636" t="s">
        <v>3855</v>
      </c>
      <c r="D3401" s="637" t="s">
        <v>299</v>
      </c>
      <c r="E3401" s="638">
        <v>1263.95</v>
      </c>
      <c r="F3401" s="639" t="s">
        <v>292</v>
      </c>
      <c r="G3401" s="484">
        <v>0</v>
      </c>
      <c r="H3401" s="691" t="str">
        <f>IF(G3401=0,"",IF(F3401="Buy",IF(G3401=1,"plant","plants"),IF(F3401&gt;0.01,"warranty","Error")))</f>
        <v/>
      </c>
      <c r="I3401" s="640">
        <f>IF(H3401="free",0,IF(H3401="credit",((E3401*(F3401))*G3401*-1),IF(F3401="Buy",(E3401*G3401),((E3401*(1-F3401))*G3401))))</f>
        <v>0</v>
      </c>
      <c r="J3401" s="640">
        <f>IF(H3401="warranty",0,(I3401*(_xlfn.SINGLE(SalesTaxPercentage))))</f>
        <v>0</v>
      </c>
      <c r="K3401" s="716">
        <f t="shared" ref="K3401" si="2607">I3401+J3401</f>
        <v>0</v>
      </c>
      <c r="L3401" s="716"/>
      <c r="M3401" s="689" t="str">
        <f ca="1">IF(AND(G3401&gt;0,E3401=0),"WARNING - no PRICE inserted",IF(H3401="free","FREE ~ no charge this plant",IF(H3401="credit",CONCATENATE("-$",ROUND(K3401*(1-_xlfn.SINGLE(T2GDiscount))*-1,2)," CREDIT after discount"),IF(_xlfn.SINGLE(T2GDiscount)=0,"",IF(G3401=0,"",IF(F3401="Buy",CONCATENATE("$",ROUND(K3401*(1-_xlfn.SINGLE(T2GDiscount)),2)," with ",(_xlfn.SINGLE(T2GDiscount)*100),"% discount"),CONCATENATE("$",ROUND(K3401*(1-_xlfn.SINGLE(T2GDiscount)),2)," with ",((_xlfn.SINGLE(T2GDiscount)*100+F3401*100)-(_xlfn.SINGLE(T2GDiscount)*100*F3401)),IF(F3401&gt;0,"% discounts",IF(_xlfn.SINGLE(NoWarrantyDiscount)&gt;0,"% discounts","% discount")))))))))</f>
        <v/>
      </c>
      <c r="N3401" s="690"/>
      <c r="O3401" s="486"/>
      <c r="P3401" s="486"/>
      <c r="Q3401" s="486"/>
      <c r="R3401" s="486"/>
      <c r="S3401" s="486"/>
      <c r="T3401" s="102">
        <f t="shared" si="2571"/>
        <v>0</v>
      </c>
      <c r="U3401" s="78">
        <f>IF(NOT(ISNUMBER(G3401)), "", VLOOKUP(A3401,'Discount Lookup'!D:E,2,FALSE)*G3401)</f>
        <v>0</v>
      </c>
      <c r="V3401" s="78">
        <f>IF(NOT(ISNUMBER(G3401)), "", VLOOKUP(A3401,'Discount Lookup'!G:H,2,FALSE)*G3401)</f>
        <v>0</v>
      </c>
      <c r="W3401" s="102">
        <f t="shared" si="2572"/>
        <v>0</v>
      </c>
      <c r="X3401" s="102">
        <f t="shared" si="2573"/>
        <v>0</v>
      </c>
      <c r="Y3401" s="120" t="b">
        <f t="shared" si="2574"/>
        <v>0</v>
      </c>
      <c r="Z3401" s="117">
        <f t="shared" si="2575"/>
        <v>0</v>
      </c>
      <c r="AA3401" s="118"/>
      <c r="AB3401" s="118" t="str">
        <f t="shared" si="2576"/>
        <v/>
      </c>
      <c r="AC3401" s="712" t="str">
        <f>IF(AE3401="T2G","no charge",IF(AND(OR(PlanterYesMe="No",PlanterYesMe="N",PlanterYesMe="me"),H3401=""),"",IF(H3401="credit","NO install",IF(AND(K3401="",AE3401="me"),"EACH row",IF(AND(K3401="images",AE3401="me"),"EACH row",IF(D3401="","",IF(H3401="credit","",IF(AE3401="free","re-planting",IF(AE3401="me","   not ELP, by",IF(AND(OR(PlanterYesMe="Yes",PlanterYesMe="Y"),G3401&gt;0),(VLOOKUP(A3401,'Discount Lookup'!J:K,2)*G3401*(1-PlanterDiscount)*(1+PlanterDifficultyPercentage)),IF(AE3401="ELP",(VLOOKUP(A3401,'Discount Lookup'!J:K,2)*G3401*(1-PlanterDiscount)*(1+PlanterDifficultyPercentage)),IF(AE3401="free","re-planting",IF(G3401=0,"",IF(PlanterYesMe="",IF(AE3401="me","   not ELP, by",IF(AE3401="",IF(G3401&gt;0,(VLOOKUP(A3401,'Discount Lookup'!J:K,2)*G3401*(1-PlanterDiscount)*(1+PlanterDifficultyPercentage)),""),"")),"   not ELP, by"))))))))))))))</f>
        <v/>
      </c>
      <c r="AD3401" s="712"/>
      <c r="AE3401" s="513" t="str">
        <f t="shared" si="2577"/>
        <v/>
      </c>
      <c r="AF3401" s="713" t="str">
        <f t="shared" si="2578"/>
        <v/>
      </c>
      <c r="AG3401" s="713"/>
      <c r="AH3401" s="713"/>
      <c r="AI3401" s="112">
        <f>IF(H3401="credit",0,IF(AE3401="free",0,IF(AE3401="me",0,IF(G3401&gt;0,(VLOOKUP(A3401,'Discount Lookup'!J:K,2)*G3401),0))))</f>
        <v>0</v>
      </c>
      <c r="AJ3401" s="107" t="str">
        <f t="shared" ca="1" si="2579"/>
        <v/>
      </c>
      <c r="AK3401" s="714" t="str">
        <f t="shared" si="2580"/>
        <v/>
      </c>
      <c r="AL3401" s="714"/>
      <c r="AM3401" s="114" t="str">
        <f t="shared" si="2581"/>
        <v/>
      </c>
      <c r="AN3401" s="115"/>
      <c r="AO3401" s="116"/>
      <c r="AP3401" s="116"/>
      <c r="AQ3401" s="116"/>
      <c r="AR3401" s="116"/>
      <c r="AS3401" s="116"/>
      <c r="AT3401" s="116"/>
      <c r="AU3401" s="116"/>
      <c r="AV3401" s="78"/>
      <c r="AW3401" s="102"/>
      <c r="AX3401" s="78"/>
      <c r="AY3401" s="78"/>
      <c r="AZ3401" s="78"/>
      <c r="BA3401" s="78"/>
      <c r="BB3401" s="78"/>
      <c r="BC3401" s="78"/>
      <c r="BD3401" s="78"/>
      <c r="BE3401" s="465"/>
      <c r="BF3401" s="165" t="str">
        <f t="shared" si="2582"/>
        <v>https://www.google.com/search?tbm=isch&amp;q=95%20G4</v>
      </c>
      <c r="BG3401" s="165" t="str">
        <f t="shared" si="2583"/>
        <v>P</v>
      </c>
      <c r="BH3401" s="65"/>
      <c r="BI3401" s="65"/>
      <c r="BJ3401" s="65"/>
      <c r="BK3401" s="65"/>
      <c r="BL3401" s="99"/>
      <c r="BM3401" s="99"/>
      <c r="BN3401" s="99"/>
    </row>
    <row r="3402" spans="1:66" s="51" customFormat="1" ht="17.25" thickBot="1" x14ac:dyDescent="0.3">
      <c r="A3402" s="641" t="s">
        <v>3856</v>
      </c>
      <c r="B3402" s="642"/>
      <c r="C3402" s="710"/>
      <c r="D3402" s="643"/>
      <c r="E3402" s="643"/>
      <c r="F3402" s="644"/>
      <c r="G3402" s="645"/>
      <c r="H3402" s="646"/>
      <c r="I3402" s="647"/>
      <c r="J3402" s="648"/>
      <c r="K3402" s="649"/>
      <c r="L3402" s="650"/>
      <c r="M3402" s="650"/>
      <c r="N3402" s="644"/>
      <c r="O3402" s="644"/>
      <c r="P3402" s="644"/>
      <c r="Q3402" s="644"/>
      <c r="R3402" s="644"/>
      <c r="S3402" s="651"/>
      <c r="T3402" s="102">
        <f t="shared" si="2571"/>
        <v>0</v>
      </c>
      <c r="U3402" s="78" t="str">
        <f>IF(NOT(ISNUMBER(G3402)), "", VLOOKUP(A3402,'Discount Lookup'!D:E,2,FALSE)*G3402)</f>
        <v/>
      </c>
      <c r="V3402" s="78" t="str">
        <f>IF(NOT(ISNUMBER(G3402)), "", VLOOKUP(A3402,'Discount Lookup'!G:H,2,FALSE)*G3402)</f>
        <v/>
      </c>
      <c r="W3402" s="102">
        <f t="shared" si="2572"/>
        <v>0</v>
      </c>
      <c r="X3402" s="102">
        <f t="shared" si="2573"/>
        <v>0</v>
      </c>
      <c r="Y3402" s="120" t="b">
        <f t="shared" si="2574"/>
        <v>0</v>
      </c>
      <c r="Z3402" s="117">
        <f t="shared" si="2575"/>
        <v>0</v>
      </c>
      <c r="AA3402" s="118"/>
      <c r="AB3402" s="118" t="str">
        <f t="shared" si="2576"/>
        <v/>
      </c>
      <c r="AC3402" s="712" t="str">
        <f>IF(AE3402="T2G","no charge",IF(AND(OR(PlanterYesMe="No",PlanterYesMe="N",PlanterYesMe="me"),H3402=""),"",IF(H3402="credit","NO install",IF(AND(K3402="",AE3402="me"),"EACH row",IF(AND(K3402="images",AE3402="me"),"EACH row",IF(D3402="","",IF(H3402="credit","",IF(AE3402="free","re-planting",IF(AE3402="me","   not ELP, by",IF(AND(OR(PlanterYesMe="Yes",PlanterYesMe="Y"),G3402&gt;0),(VLOOKUP(A3402,'Discount Lookup'!J:K,2)*G3402*(1-PlanterDiscount)*(1+PlanterDifficultyPercentage)),IF(AE3402="ELP",(VLOOKUP(A3402,'Discount Lookup'!J:K,2)*G3402*(1-PlanterDiscount)*(1+PlanterDifficultyPercentage)),IF(AE3402="free","re-planting",IF(G3402=0,"",IF(PlanterYesMe="",IF(AE3402="me","   not ELP, by",IF(AE3402="",IF(G3402&gt;0,(VLOOKUP(A3402,'Discount Lookup'!J:K,2)*G3402*(1-PlanterDiscount)*(1+PlanterDifficultyPercentage)),""),"")),"   not ELP, by"))))))))))))))</f>
        <v/>
      </c>
      <c r="AD3402" s="712"/>
      <c r="AE3402" s="513" t="str">
        <f t="shared" si="2577"/>
        <v/>
      </c>
      <c r="AF3402" s="713" t="str">
        <f t="shared" si="2578"/>
        <v/>
      </c>
      <c r="AG3402" s="713"/>
      <c r="AH3402" s="713"/>
      <c r="AI3402" s="112">
        <f>IF(H3402="credit",0,IF(AE3402="free",0,IF(AE3402="me",0,IF(G3402&gt;0,(VLOOKUP(A3402,'Discount Lookup'!J:K,2)*G3402),0))))</f>
        <v>0</v>
      </c>
      <c r="AJ3402" s="107" t="str">
        <f t="shared" ca="1" si="2579"/>
        <v/>
      </c>
      <c r="AK3402" s="714" t="str">
        <f t="shared" si="2580"/>
        <v/>
      </c>
      <c r="AL3402" s="714"/>
      <c r="AM3402" s="114" t="str">
        <f t="shared" si="2581"/>
        <v/>
      </c>
      <c r="AN3402" s="115"/>
      <c r="AO3402" s="116"/>
      <c r="AP3402" s="116"/>
      <c r="AQ3402" s="116"/>
      <c r="AR3402" s="116"/>
      <c r="AS3402" s="116"/>
      <c r="AT3402" s="116"/>
      <c r="AU3402" s="116"/>
      <c r="AV3402" s="78"/>
      <c r="AW3402" s="102"/>
      <c r="AX3402" s="78"/>
      <c r="AY3402" s="78"/>
      <c r="AZ3402" s="78"/>
      <c r="BA3402" s="78"/>
      <c r="BB3402" s="78"/>
      <c r="BC3402" s="78"/>
      <c r="BD3402" s="78"/>
      <c r="BE3402" s="465"/>
      <c r="BF3402" s="165" t="str">
        <f t="shared" si="2582"/>
        <v>https://www.google.com/search?tbm=isch&amp;q=Kobai%27s%20fragrant%2C%20long-lasting%20blooms%20appear%20as%20early%20as%20January%2C%20even%20in%20freezing%20weather.%20Fruit%20inedible%20</v>
      </c>
      <c r="BG3402" s="165" t="str">
        <f t="shared" si="2583"/>
        <v>K</v>
      </c>
      <c r="BH3402" s="65"/>
      <c r="BI3402" s="65"/>
      <c r="BJ3402" s="65"/>
      <c r="BK3402" s="65"/>
      <c r="BL3402" s="99"/>
      <c r="BM3402" s="99"/>
      <c r="BN3402" s="99"/>
    </row>
    <row r="3403" spans="1:66" s="51" customFormat="1" ht="18" x14ac:dyDescent="0.25">
      <c r="A3403" s="623" t="s">
        <v>3857</v>
      </c>
      <c r="B3403" s="624"/>
      <c r="C3403" s="709"/>
      <c r="D3403" s="625" t="s">
        <v>3858</v>
      </c>
      <c r="E3403" s="626"/>
      <c r="F3403" s="626"/>
      <c r="G3403" s="626"/>
      <c r="H3403" s="622" t="s">
        <v>1174</v>
      </c>
      <c r="I3403" s="627" t="s">
        <v>1837</v>
      </c>
      <c r="J3403" s="628"/>
      <c r="K3403" s="628"/>
      <c r="L3403" s="629"/>
      <c r="M3403" s="700" t="s">
        <v>5249</v>
      </c>
      <c r="N3403" s="693" t="str">
        <f>IF(AND(ISTEXT($A3403), ISERROR($A3403+0)), HYPERLINK($BF3403, "Images"), "")</f>
        <v>Images</v>
      </c>
      <c r="O3403" s="695" t="s">
        <v>5247</v>
      </c>
      <c r="P3403" s="630"/>
      <c r="Q3403" s="631"/>
      <c r="R3403" s="632"/>
      <c r="S3403" s="633"/>
      <c r="T3403" s="102">
        <f t="shared" si="2571"/>
        <v>0</v>
      </c>
      <c r="U3403" s="78" t="str">
        <f>IF(NOT(ISNUMBER(G3403)), "", VLOOKUP(A3403,'Discount Lookup'!D:E,2,FALSE)*G3403)</f>
        <v/>
      </c>
      <c r="V3403" s="78" t="str">
        <f>IF(NOT(ISNUMBER(G3403)), "", VLOOKUP(A3403,'Discount Lookup'!G:H,2,FALSE)*G3403)</f>
        <v/>
      </c>
      <c r="W3403" s="102">
        <f t="shared" si="2572"/>
        <v>0</v>
      </c>
      <c r="X3403" s="102" t="str">
        <f t="shared" si="2573"/>
        <v>Rose-Pink bloom</v>
      </c>
      <c r="Y3403" s="120" t="b">
        <f t="shared" si="2574"/>
        <v>0</v>
      </c>
      <c r="Z3403" s="117">
        <f t="shared" si="2575"/>
        <v>0</v>
      </c>
      <c r="AA3403" s="118"/>
      <c r="AB3403" s="118" t="str">
        <f t="shared" si="2576"/>
        <v/>
      </c>
      <c r="AC3403" s="712" t="str">
        <f>IF(AE3403="T2G","no charge",IF(AND(OR(PlanterYesMe="No",PlanterYesMe="N",PlanterYesMe="me"),H3403=""),"",IF(H3403="credit","NO install",IF(AND(K3403="",AE3403="me"),"EACH row",IF(AND(K3403="images",AE3403="me"),"EACH row",IF(D3403="","",IF(H3403="credit","",IF(AE3403="free","re-planting",IF(AE3403="me","   not ELP, by",IF(AND(OR(PlanterYesMe="Yes",PlanterYesMe="Y"),G3403&gt;0),(VLOOKUP(A3403,'Discount Lookup'!J:K,2)*G3403*(1-PlanterDiscount)*(1+PlanterDifficultyPercentage)),IF(AE3403="ELP",(VLOOKUP(A3403,'Discount Lookup'!J:K,2)*G3403*(1-PlanterDiscount)*(1+PlanterDifficultyPercentage)),IF(AE3403="free","re-planting",IF(G3403=0,"",IF(PlanterYesMe="",IF(AE3403="me","   not ELP, by",IF(AE3403="",IF(G3403&gt;0,(VLOOKUP(A3403,'Discount Lookup'!J:K,2)*G3403*(1-PlanterDiscount)*(1+PlanterDifficultyPercentage)),""),"")),"   not ELP, by"))))))))))))))</f>
        <v/>
      </c>
      <c r="AD3403" s="712"/>
      <c r="AE3403" s="513" t="str">
        <f t="shared" si="2577"/>
        <v/>
      </c>
      <c r="AF3403" s="713" t="str">
        <f t="shared" si="2578"/>
        <v/>
      </c>
      <c r="AG3403" s="713"/>
      <c r="AH3403" s="713"/>
      <c r="AI3403" s="112">
        <f>IF(H3403="credit",0,IF(AE3403="free",0,IF(AE3403="me",0,IF(G3403&gt;0,(VLOOKUP(A3403,'Discount Lookup'!J:K,2)*G3403),0))))</f>
        <v>0</v>
      </c>
      <c r="AJ3403" s="107" t="str">
        <f t="shared" ca="1" si="2579"/>
        <v/>
      </c>
      <c r="AK3403" s="714" t="str">
        <f t="shared" si="2580"/>
        <v/>
      </c>
      <c r="AL3403" s="714"/>
      <c r="AM3403" s="114" t="str">
        <f t="shared" si="2581"/>
        <v/>
      </c>
      <c r="AN3403" s="115"/>
      <c r="AO3403" s="116"/>
      <c r="AP3403" s="116"/>
      <c r="AQ3403" s="116"/>
      <c r="AR3403" s="116"/>
      <c r="AS3403" s="116"/>
      <c r="AT3403" s="116"/>
      <c r="AU3403" s="116"/>
      <c r="AV3403" s="78"/>
      <c r="AW3403" s="102"/>
      <c r="AX3403" s="78"/>
      <c r="AY3403" s="78"/>
      <c r="AZ3403" s="78"/>
      <c r="BA3403" s="78"/>
      <c r="BB3403" s="78"/>
      <c r="BC3403" s="78"/>
      <c r="BD3403" s="78"/>
      <c r="BE3403" s="465"/>
      <c r="BF3403" s="165" t="str">
        <f t="shared" si="2582"/>
        <v>https://www.google.com/search?tbm=isch&amp;q=Prunus%20mume%20%27Peggy%20Clarke%27%20Peggy%20Clarke%20Apricot</v>
      </c>
      <c r="BG3403" s="165" t="str">
        <f t="shared" si="2583"/>
        <v>P</v>
      </c>
      <c r="BH3403" s="65"/>
      <c r="BI3403" s="65"/>
      <c r="BJ3403" s="65"/>
      <c r="BK3403" s="65"/>
      <c r="BL3403" s="99"/>
      <c r="BM3403" s="99"/>
      <c r="BN3403" s="99"/>
    </row>
    <row r="3404" spans="1:66" s="51" customFormat="1" ht="15.75" x14ac:dyDescent="0.25">
      <c r="A3404" s="634">
        <v>7</v>
      </c>
      <c r="B3404" s="635" t="s">
        <v>291</v>
      </c>
      <c r="C3404" s="636" t="s">
        <v>3859</v>
      </c>
      <c r="D3404" s="637" t="s">
        <v>299</v>
      </c>
      <c r="E3404" s="638">
        <v>109.95</v>
      </c>
      <c r="F3404" s="639" t="s">
        <v>292</v>
      </c>
      <c r="G3404" s="484">
        <v>0</v>
      </c>
      <c r="H3404" s="691" t="str">
        <f>IF(G3404=0,"",IF(F3404="Buy",IF(G3404=1,"plant","plants"),IF(F3404&gt;0.01,"warranty","Error")))</f>
        <v/>
      </c>
      <c r="I3404" s="640">
        <f>IF(H3404="free",0,IF(H3404="credit",((E3404*(F3404))*G3404*-1),IF(F3404="Buy",(E3404*G3404),((E3404*(1-F3404))*G3404))))</f>
        <v>0</v>
      </c>
      <c r="J3404" s="640">
        <f>IF(H3404="warranty",0,(I3404*(_xlfn.SINGLE(SalesTaxPercentage))))</f>
        <v>0</v>
      </c>
      <c r="K3404" s="716">
        <f t="shared" ref="K3404" si="2608">I3404+J3404</f>
        <v>0</v>
      </c>
      <c r="L3404" s="716"/>
      <c r="M3404" s="689" t="str">
        <f ca="1">IF(AND(G3404&gt;0,E3404=0),"WARNING - no PRICE inserted",IF(H3404="free","FREE ~ no charge this plant",IF(H3404="credit",CONCATENATE("-$",ROUND(K3404*(1-_xlfn.SINGLE(T2GDiscount))*-1,2)," CREDIT after discount"),IF(_xlfn.SINGLE(T2GDiscount)=0,"",IF(G3404=0,"",IF(F3404="Buy",CONCATENATE("$",ROUND(K3404*(1-_xlfn.SINGLE(T2GDiscount)),2)," with ",(_xlfn.SINGLE(T2GDiscount)*100),"% discount"),CONCATENATE("$",ROUND(K3404*(1-_xlfn.SINGLE(T2GDiscount)),2)," with ",((_xlfn.SINGLE(T2GDiscount)*100+F3404*100)-(_xlfn.SINGLE(T2GDiscount)*100*F3404)),IF(F3404&gt;0,"% discounts",IF(_xlfn.SINGLE(NoWarrantyDiscount)&gt;0,"% discounts","% discount")))))))))</f>
        <v/>
      </c>
      <c r="N3404" s="690"/>
      <c r="O3404" s="486"/>
      <c r="P3404" s="486"/>
      <c r="Q3404" s="486"/>
      <c r="R3404" s="486"/>
      <c r="S3404" s="486"/>
      <c r="T3404" s="102">
        <f t="shared" si="2571"/>
        <v>0</v>
      </c>
      <c r="U3404" s="78">
        <f>IF(NOT(ISNUMBER(G3404)), "", VLOOKUP(A3404,'Discount Lookup'!D:E,2,FALSE)*G3404)</f>
        <v>0</v>
      </c>
      <c r="V3404" s="78">
        <f>IF(NOT(ISNUMBER(G3404)), "", VLOOKUP(A3404,'Discount Lookup'!G:H,2,FALSE)*G3404)</f>
        <v>0</v>
      </c>
      <c r="W3404" s="102">
        <f t="shared" si="2572"/>
        <v>0</v>
      </c>
      <c r="X3404" s="102">
        <f t="shared" si="2573"/>
        <v>0</v>
      </c>
      <c r="Y3404" s="120" t="b">
        <f t="shared" si="2574"/>
        <v>0</v>
      </c>
      <c r="Z3404" s="117">
        <f t="shared" si="2575"/>
        <v>0</v>
      </c>
      <c r="AA3404" s="118"/>
      <c r="AB3404" s="118" t="str">
        <f t="shared" si="2576"/>
        <v/>
      </c>
      <c r="AC3404" s="712" t="str">
        <f>IF(AE3404="T2G","no charge",IF(AND(OR(PlanterYesMe="No",PlanterYesMe="N",PlanterYesMe="me"),H3404=""),"",IF(H3404="credit","NO install",IF(AND(K3404="",AE3404="me"),"EACH row",IF(AND(K3404="images",AE3404="me"),"EACH row",IF(D3404="","",IF(H3404="credit","",IF(AE3404="free","re-planting",IF(AE3404="me","   not ELP, by",IF(AND(OR(PlanterYesMe="Yes",PlanterYesMe="Y"),G3404&gt;0),(VLOOKUP(A3404,'Discount Lookup'!J:K,2)*G3404*(1-PlanterDiscount)*(1+PlanterDifficultyPercentage)),IF(AE3404="ELP",(VLOOKUP(A3404,'Discount Lookup'!J:K,2)*G3404*(1-PlanterDiscount)*(1+PlanterDifficultyPercentage)),IF(AE3404="free","re-planting",IF(G3404=0,"",IF(PlanterYesMe="",IF(AE3404="me","   not ELP, by",IF(AE3404="",IF(G3404&gt;0,(VLOOKUP(A3404,'Discount Lookup'!J:K,2)*G3404*(1-PlanterDiscount)*(1+PlanterDifficultyPercentage)),""),"")),"   not ELP, by"))))))))))))))</f>
        <v/>
      </c>
      <c r="AD3404" s="712"/>
      <c r="AE3404" s="513" t="str">
        <f t="shared" si="2577"/>
        <v/>
      </c>
      <c r="AF3404" s="713" t="str">
        <f t="shared" si="2578"/>
        <v/>
      </c>
      <c r="AG3404" s="713"/>
      <c r="AH3404" s="713"/>
      <c r="AI3404" s="112">
        <f>IF(H3404="credit",0,IF(AE3404="free",0,IF(AE3404="me",0,IF(G3404&gt;0,(VLOOKUP(A3404,'Discount Lookup'!J:K,2)*G3404),0))))</f>
        <v>0</v>
      </c>
      <c r="AJ3404" s="107" t="str">
        <f t="shared" ca="1" si="2579"/>
        <v/>
      </c>
      <c r="AK3404" s="714" t="str">
        <f t="shared" si="2580"/>
        <v/>
      </c>
      <c r="AL3404" s="714"/>
      <c r="AM3404" s="114" t="str">
        <f t="shared" si="2581"/>
        <v/>
      </c>
      <c r="AN3404" s="115"/>
      <c r="AO3404" s="116"/>
      <c r="AP3404" s="116"/>
      <c r="AQ3404" s="116"/>
      <c r="AR3404" s="116"/>
      <c r="AS3404" s="116"/>
      <c r="AT3404" s="116"/>
      <c r="AU3404" s="116"/>
      <c r="AV3404" s="78"/>
      <c r="AW3404" s="102"/>
      <c r="AX3404" s="78"/>
      <c r="AY3404" s="78"/>
      <c r="AZ3404" s="78"/>
      <c r="BA3404" s="78"/>
      <c r="BB3404" s="78"/>
      <c r="BC3404" s="78"/>
      <c r="BD3404" s="78"/>
      <c r="BE3404" s="465"/>
      <c r="BF3404" s="165" t="str">
        <f t="shared" si="2582"/>
        <v>https://www.google.com/search?tbm=isch&amp;q=7%20G4</v>
      </c>
      <c r="BG3404" s="165" t="str">
        <f t="shared" si="2583"/>
        <v>P</v>
      </c>
      <c r="BH3404" s="65"/>
      <c r="BI3404" s="65"/>
      <c r="BJ3404" s="65"/>
      <c r="BK3404" s="65"/>
      <c r="BL3404" s="99"/>
      <c r="BM3404" s="99"/>
      <c r="BN3404" s="99"/>
    </row>
    <row r="3405" spans="1:66" s="51" customFormat="1" ht="15.75" x14ac:dyDescent="0.25">
      <c r="A3405" s="634">
        <v>10</v>
      </c>
      <c r="B3405" s="635" t="s">
        <v>291</v>
      </c>
      <c r="C3405" s="636" t="s">
        <v>3860</v>
      </c>
      <c r="D3405" s="637" t="s">
        <v>299</v>
      </c>
      <c r="E3405" s="638">
        <v>146.94999999999999</v>
      </c>
      <c r="F3405" s="639" t="s">
        <v>292</v>
      </c>
      <c r="G3405" s="484">
        <v>0</v>
      </c>
      <c r="H3405" s="691" t="str">
        <f>IF(G3405=0,"",IF(F3405="Buy",IF(G3405=1,"plant","plants"),IF(F3405&gt;0.01,"warranty","Error")))</f>
        <v/>
      </c>
      <c r="I3405" s="640">
        <f>IF(H3405="free",0,IF(H3405="credit",((E3405*(F3405))*G3405*-1),IF(F3405="Buy",(E3405*G3405),((E3405*(1-F3405))*G3405))))</f>
        <v>0</v>
      </c>
      <c r="J3405" s="640">
        <f>IF(H3405="warranty",0,(I3405*(_xlfn.SINGLE(SalesTaxPercentage))))</f>
        <v>0</v>
      </c>
      <c r="K3405" s="716">
        <f t="shared" ref="K3405" si="2609">I3405+J3405</f>
        <v>0</v>
      </c>
      <c r="L3405" s="716"/>
      <c r="M3405" s="689" t="str">
        <f ca="1">IF(AND(G3405&gt;0,E3405=0),"WARNING - no PRICE inserted",IF(H3405="free","FREE ~ no charge this plant",IF(H3405="credit",CONCATENATE("-$",ROUND(K3405*(1-_xlfn.SINGLE(T2GDiscount))*-1,2)," CREDIT after discount"),IF(_xlfn.SINGLE(T2GDiscount)=0,"",IF(G3405=0,"",IF(F3405="Buy",CONCATENATE("$",ROUND(K3405*(1-_xlfn.SINGLE(T2GDiscount)),2)," with ",(_xlfn.SINGLE(T2GDiscount)*100),"% discount"),CONCATENATE("$",ROUND(K3405*(1-_xlfn.SINGLE(T2GDiscount)),2)," with ",((_xlfn.SINGLE(T2GDiscount)*100+F3405*100)-(_xlfn.SINGLE(T2GDiscount)*100*F3405)),IF(F3405&gt;0,"% discounts",IF(_xlfn.SINGLE(NoWarrantyDiscount)&gt;0,"% discounts","% discount")))))))))</f>
        <v/>
      </c>
      <c r="N3405" s="690"/>
      <c r="O3405" s="486"/>
      <c r="P3405" s="486"/>
      <c r="Q3405" s="486"/>
      <c r="R3405" s="486"/>
      <c r="S3405" s="486"/>
      <c r="T3405" s="102">
        <f t="shared" si="2571"/>
        <v>0</v>
      </c>
      <c r="U3405" s="78">
        <f>IF(NOT(ISNUMBER(G3405)), "", VLOOKUP(A3405,'Discount Lookup'!D:E,2,FALSE)*G3405)</f>
        <v>0</v>
      </c>
      <c r="V3405" s="78">
        <f>IF(NOT(ISNUMBER(G3405)), "", VLOOKUP(A3405,'Discount Lookup'!G:H,2,FALSE)*G3405)</f>
        <v>0</v>
      </c>
      <c r="W3405" s="102">
        <f t="shared" si="2572"/>
        <v>0</v>
      </c>
      <c r="X3405" s="102">
        <f t="shared" si="2573"/>
        <v>0</v>
      </c>
      <c r="Y3405" s="120" t="b">
        <f t="shared" si="2574"/>
        <v>0</v>
      </c>
      <c r="Z3405" s="117">
        <f t="shared" si="2575"/>
        <v>0</v>
      </c>
      <c r="AA3405" s="118"/>
      <c r="AB3405" s="118" t="str">
        <f t="shared" si="2576"/>
        <v/>
      </c>
      <c r="AC3405" s="712" t="str">
        <f>IF(AE3405="T2G","no charge",IF(AND(OR(PlanterYesMe="No",PlanterYesMe="N",PlanterYesMe="me"),H3405=""),"",IF(H3405="credit","NO install",IF(AND(K3405="",AE3405="me"),"EACH row",IF(AND(K3405="images",AE3405="me"),"EACH row",IF(D3405="","",IF(H3405="credit","",IF(AE3405="free","re-planting",IF(AE3405="me","   not ELP, by",IF(AND(OR(PlanterYesMe="Yes",PlanterYesMe="Y"),G3405&gt;0),(VLOOKUP(A3405,'Discount Lookup'!J:K,2)*G3405*(1-PlanterDiscount)*(1+PlanterDifficultyPercentage)),IF(AE3405="ELP",(VLOOKUP(A3405,'Discount Lookup'!J:K,2)*G3405*(1-PlanterDiscount)*(1+PlanterDifficultyPercentage)),IF(AE3405="free","re-planting",IF(G3405=0,"",IF(PlanterYesMe="",IF(AE3405="me","   not ELP, by",IF(AE3405="",IF(G3405&gt;0,(VLOOKUP(A3405,'Discount Lookup'!J:K,2)*G3405*(1-PlanterDiscount)*(1+PlanterDifficultyPercentage)),""),"")),"   not ELP, by"))))))))))))))</f>
        <v/>
      </c>
      <c r="AD3405" s="712"/>
      <c r="AE3405" s="513" t="str">
        <f t="shared" si="2577"/>
        <v/>
      </c>
      <c r="AF3405" s="713" t="str">
        <f t="shared" si="2578"/>
        <v/>
      </c>
      <c r="AG3405" s="713"/>
      <c r="AH3405" s="713"/>
      <c r="AI3405" s="112">
        <f>IF(H3405="credit",0,IF(AE3405="free",0,IF(AE3405="me",0,IF(G3405&gt;0,(VLOOKUP(A3405,'Discount Lookup'!J:K,2)*G3405),0))))</f>
        <v>0</v>
      </c>
      <c r="AJ3405" s="107" t="str">
        <f t="shared" ca="1" si="2579"/>
        <v/>
      </c>
      <c r="AK3405" s="714" t="str">
        <f t="shared" si="2580"/>
        <v/>
      </c>
      <c r="AL3405" s="714"/>
      <c r="AM3405" s="114" t="str">
        <f t="shared" si="2581"/>
        <v/>
      </c>
      <c r="AN3405" s="115"/>
      <c r="AO3405" s="116"/>
      <c r="AP3405" s="116"/>
      <c r="AQ3405" s="116"/>
      <c r="AR3405" s="116"/>
      <c r="AS3405" s="116"/>
      <c r="AT3405" s="116"/>
      <c r="AU3405" s="116"/>
      <c r="AV3405" s="78"/>
      <c r="AW3405" s="102"/>
      <c r="AX3405" s="78"/>
      <c r="AY3405" s="78"/>
      <c r="AZ3405" s="78"/>
      <c r="BA3405" s="78"/>
      <c r="BB3405" s="78"/>
      <c r="BC3405" s="78"/>
      <c r="BD3405" s="78"/>
      <c r="BE3405" s="465"/>
      <c r="BF3405" s="165" t="str">
        <f t="shared" si="2582"/>
        <v>https://www.google.com/search?tbm=isch&amp;q=10%20G4</v>
      </c>
      <c r="BG3405" s="165" t="str">
        <f t="shared" si="2583"/>
        <v>P</v>
      </c>
      <c r="BH3405" s="65"/>
      <c r="BI3405" s="65"/>
      <c r="BJ3405" s="65"/>
      <c r="BK3405" s="65"/>
      <c r="BL3405" s="99"/>
      <c r="BM3405" s="99"/>
      <c r="BN3405" s="99"/>
    </row>
    <row r="3406" spans="1:66" s="51" customFormat="1" ht="15.75" x14ac:dyDescent="0.25">
      <c r="A3406" s="634">
        <v>15</v>
      </c>
      <c r="B3406" s="635" t="s">
        <v>291</v>
      </c>
      <c r="C3406" s="636" t="s">
        <v>3861</v>
      </c>
      <c r="D3406" s="637" t="s">
        <v>293</v>
      </c>
      <c r="E3406" s="638">
        <v>299.95</v>
      </c>
      <c r="F3406" s="639" t="s">
        <v>292</v>
      </c>
      <c r="G3406" s="484">
        <v>0</v>
      </c>
      <c r="H3406" s="691" t="str">
        <f>IF(G3406=0,"",IF(F3406="Buy",IF(G3406=1,"plant","plants"),IF(F3406&gt;0.01,"warranty","Error")))</f>
        <v/>
      </c>
      <c r="I3406" s="640">
        <f>IF(H3406="free",0,IF(H3406="credit",((E3406*(F3406))*G3406*-1),IF(F3406="Buy",(E3406*G3406),((E3406*(1-F3406))*G3406))))</f>
        <v>0</v>
      </c>
      <c r="J3406" s="640">
        <f>IF(H3406="warranty",0,(I3406*(_xlfn.SINGLE(SalesTaxPercentage))))</f>
        <v>0</v>
      </c>
      <c r="K3406" s="716">
        <f t="shared" ref="K3406" si="2610">I3406+J3406</f>
        <v>0</v>
      </c>
      <c r="L3406" s="716"/>
      <c r="M3406" s="689" t="str">
        <f ca="1">IF(AND(G3406&gt;0,E3406=0),"WARNING - no PRICE inserted",IF(H3406="free","FREE ~ no charge this plant",IF(H3406="credit",CONCATENATE("-$",ROUND(K3406*(1-_xlfn.SINGLE(T2GDiscount))*-1,2)," CREDIT after discount"),IF(_xlfn.SINGLE(T2GDiscount)=0,"",IF(G3406=0,"",IF(F3406="Buy",CONCATENATE("$",ROUND(K3406*(1-_xlfn.SINGLE(T2GDiscount)),2)," with ",(_xlfn.SINGLE(T2GDiscount)*100),"% discount"),CONCATENATE("$",ROUND(K3406*(1-_xlfn.SINGLE(T2GDiscount)),2)," with ",((_xlfn.SINGLE(T2GDiscount)*100+F3406*100)-(_xlfn.SINGLE(T2GDiscount)*100*F3406)),IF(F3406&gt;0,"% discounts",IF(_xlfn.SINGLE(NoWarrantyDiscount)&gt;0,"% discounts","% discount")))))))))</f>
        <v/>
      </c>
      <c r="N3406" s="690"/>
      <c r="O3406" s="486"/>
      <c r="P3406" s="486"/>
      <c r="Q3406" s="486"/>
      <c r="R3406" s="486"/>
      <c r="S3406" s="486"/>
      <c r="T3406" s="102">
        <f t="shared" si="2571"/>
        <v>0</v>
      </c>
      <c r="U3406" s="78">
        <f>IF(NOT(ISNUMBER(G3406)), "", VLOOKUP(A3406,'Discount Lookup'!D:E,2,FALSE)*G3406)</f>
        <v>0</v>
      </c>
      <c r="V3406" s="78">
        <f>IF(NOT(ISNUMBER(G3406)), "", VLOOKUP(A3406,'Discount Lookup'!G:H,2,FALSE)*G3406)</f>
        <v>0</v>
      </c>
      <c r="W3406" s="102">
        <f t="shared" si="2572"/>
        <v>0</v>
      </c>
      <c r="X3406" s="102">
        <f t="shared" si="2573"/>
        <v>0</v>
      </c>
      <c r="Y3406" s="120" t="b">
        <f t="shared" si="2574"/>
        <v>0</v>
      </c>
      <c r="Z3406" s="117">
        <f t="shared" si="2575"/>
        <v>0</v>
      </c>
      <c r="AA3406" s="118"/>
      <c r="AB3406" s="118" t="str">
        <f t="shared" si="2576"/>
        <v/>
      </c>
      <c r="AC3406" s="712" t="str">
        <f>IF(AE3406="T2G","no charge",IF(AND(OR(PlanterYesMe="No",PlanterYesMe="N",PlanterYesMe="me"),H3406=""),"",IF(H3406="credit","NO install",IF(AND(K3406="",AE3406="me"),"EACH row",IF(AND(K3406="images",AE3406="me"),"EACH row",IF(D3406="","",IF(H3406="credit","",IF(AE3406="free","re-planting",IF(AE3406="me","   not ELP, by",IF(AND(OR(PlanterYesMe="Yes",PlanterYesMe="Y"),G3406&gt;0),(VLOOKUP(A3406,'Discount Lookup'!J:K,2)*G3406*(1-PlanterDiscount)*(1+PlanterDifficultyPercentage)),IF(AE3406="ELP",(VLOOKUP(A3406,'Discount Lookup'!J:K,2)*G3406*(1-PlanterDiscount)*(1+PlanterDifficultyPercentage)),IF(AE3406="free","re-planting",IF(G3406=0,"",IF(PlanterYesMe="",IF(AE3406="me","   not ELP, by",IF(AE3406="",IF(G3406&gt;0,(VLOOKUP(A3406,'Discount Lookup'!J:K,2)*G3406*(1-PlanterDiscount)*(1+PlanterDifficultyPercentage)),""),"")),"   not ELP, by"))))))))))))))</f>
        <v/>
      </c>
      <c r="AD3406" s="712"/>
      <c r="AE3406" s="513" t="str">
        <f t="shared" si="2577"/>
        <v/>
      </c>
      <c r="AF3406" s="713" t="str">
        <f t="shared" si="2578"/>
        <v/>
      </c>
      <c r="AG3406" s="713"/>
      <c r="AH3406" s="713"/>
      <c r="AI3406" s="112">
        <f>IF(H3406="credit",0,IF(AE3406="free",0,IF(AE3406="me",0,IF(G3406&gt;0,(VLOOKUP(A3406,'Discount Lookup'!J:K,2)*G3406),0))))</f>
        <v>0</v>
      </c>
      <c r="AJ3406" s="107" t="str">
        <f t="shared" ca="1" si="2579"/>
        <v/>
      </c>
      <c r="AK3406" s="714" t="str">
        <f t="shared" si="2580"/>
        <v/>
      </c>
      <c r="AL3406" s="714"/>
      <c r="AM3406" s="114" t="str">
        <f t="shared" si="2581"/>
        <v/>
      </c>
      <c r="AN3406" s="115"/>
      <c r="AO3406" s="116"/>
      <c r="AP3406" s="116"/>
      <c r="AQ3406" s="116"/>
      <c r="AR3406" s="116"/>
      <c r="AS3406" s="116"/>
      <c r="AT3406" s="116"/>
      <c r="AU3406" s="116"/>
      <c r="AV3406" s="78"/>
      <c r="AW3406" s="102"/>
      <c r="AX3406" s="78"/>
      <c r="AY3406" s="78"/>
      <c r="AZ3406" s="78"/>
      <c r="BA3406" s="78"/>
      <c r="BB3406" s="78"/>
      <c r="BC3406" s="78"/>
      <c r="BD3406" s="78"/>
      <c r="BE3406" s="465"/>
      <c r="BF3406" s="165" t="str">
        <f t="shared" si="2582"/>
        <v>https://www.google.com/search?tbm=isch&amp;q=15%20G6</v>
      </c>
      <c r="BG3406" s="165" t="str">
        <f t="shared" si="2583"/>
        <v>P</v>
      </c>
      <c r="BH3406" s="65"/>
      <c r="BI3406" s="65"/>
      <c r="BJ3406" s="65"/>
      <c r="BK3406" s="65"/>
      <c r="BL3406" s="99"/>
      <c r="BM3406" s="99"/>
      <c r="BN3406" s="99"/>
    </row>
    <row r="3407" spans="1:66" s="51" customFormat="1" ht="15.75" x14ac:dyDescent="0.25">
      <c r="A3407" s="634">
        <v>95</v>
      </c>
      <c r="B3407" s="635" t="s">
        <v>291</v>
      </c>
      <c r="C3407" s="636" t="s">
        <v>3862</v>
      </c>
      <c r="D3407" s="637" t="s">
        <v>299</v>
      </c>
      <c r="E3407" s="638">
        <v>1263.95</v>
      </c>
      <c r="F3407" s="639" t="s">
        <v>292</v>
      </c>
      <c r="G3407" s="484">
        <v>0</v>
      </c>
      <c r="H3407" s="691" t="str">
        <f>IF(G3407=0,"",IF(F3407="Buy",IF(G3407=1,"plant","plants"),IF(F3407&gt;0.01,"warranty","Error")))</f>
        <v/>
      </c>
      <c r="I3407" s="640">
        <f>IF(H3407="free",0,IF(H3407="credit",((E3407*(F3407))*G3407*-1),IF(F3407="Buy",(E3407*G3407),((E3407*(1-F3407))*G3407))))</f>
        <v>0</v>
      </c>
      <c r="J3407" s="640">
        <f>IF(H3407="warranty",0,(I3407*(_xlfn.SINGLE(SalesTaxPercentage))))</f>
        <v>0</v>
      </c>
      <c r="K3407" s="716">
        <f t="shared" ref="K3407" si="2611">I3407+J3407</f>
        <v>0</v>
      </c>
      <c r="L3407" s="716"/>
      <c r="M3407" s="689" t="str">
        <f ca="1">IF(AND(G3407&gt;0,E3407=0),"WARNING - no PRICE inserted",IF(H3407="free","FREE ~ no charge this plant",IF(H3407="credit",CONCATENATE("-$",ROUND(K3407*(1-_xlfn.SINGLE(T2GDiscount))*-1,2)," CREDIT after discount"),IF(_xlfn.SINGLE(T2GDiscount)=0,"",IF(G3407=0,"",IF(F3407="Buy",CONCATENATE("$",ROUND(K3407*(1-_xlfn.SINGLE(T2GDiscount)),2)," with ",(_xlfn.SINGLE(T2GDiscount)*100),"% discount"),CONCATENATE("$",ROUND(K3407*(1-_xlfn.SINGLE(T2GDiscount)),2)," with ",((_xlfn.SINGLE(T2GDiscount)*100+F3407*100)-(_xlfn.SINGLE(T2GDiscount)*100*F3407)),IF(F3407&gt;0,"% discounts",IF(_xlfn.SINGLE(NoWarrantyDiscount)&gt;0,"% discounts","% discount")))))))))</f>
        <v/>
      </c>
      <c r="N3407" s="690"/>
      <c r="O3407" s="486"/>
      <c r="P3407" s="486"/>
      <c r="Q3407" s="486"/>
      <c r="R3407" s="486"/>
      <c r="S3407" s="486"/>
      <c r="T3407" s="102">
        <f t="shared" si="2571"/>
        <v>0</v>
      </c>
      <c r="U3407" s="78">
        <f>IF(NOT(ISNUMBER(G3407)), "", VLOOKUP(A3407,'Discount Lookup'!D:E,2,FALSE)*G3407)</f>
        <v>0</v>
      </c>
      <c r="V3407" s="78">
        <f>IF(NOT(ISNUMBER(G3407)), "", VLOOKUP(A3407,'Discount Lookup'!G:H,2,FALSE)*G3407)</f>
        <v>0</v>
      </c>
      <c r="W3407" s="102">
        <f t="shared" si="2572"/>
        <v>0</v>
      </c>
      <c r="X3407" s="102">
        <f t="shared" si="2573"/>
        <v>0</v>
      </c>
      <c r="Y3407" s="120" t="b">
        <f t="shared" si="2574"/>
        <v>0</v>
      </c>
      <c r="Z3407" s="117">
        <f t="shared" si="2575"/>
        <v>0</v>
      </c>
      <c r="AA3407" s="118"/>
      <c r="AB3407" s="118" t="str">
        <f t="shared" si="2576"/>
        <v/>
      </c>
      <c r="AC3407" s="712" t="str">
        <f>IF(AE3407="T2G","no charge",IF(AND(OR(PlanterYesMe="No",PlanterYesMe="N",PlanterYesMe="me"),H3407=""),"",IF(H3407="credit","NO install",IF(AND(K3407="",AE3407="me"),"EACH row",IF(AND(K3407="images",AE3407="me"),"EACH row",IF(D3407="","",IF(H3407="credit","",IF(AE3407="free","re-planting",IF(AE3407="me","   not ELP, by",IF(AND(OR(PlanterYesMe="Yes",PlanterYesMe="Y"),G3407&gt;0),(VLOOKUP(A3407,'Discount Lookup'!J:K,2)*G3407*(1-PlanterDiscount)*(1+PlanterDifficultyPercentage)),IF(AE3407="ELP",(VLOOKUP(A3407,'Discount Lookup'!J:K,2)*G3407*(1-PlanterDiscount)*(1+PlanterDifficultyPercentage)),IF(AE3407="free","re-planting",IF(G3407=0,"",IF(PlanterYesMe="",IF(AE3407="me","   not ELP, by",IF(AE3407="",IF(G3407&gt;0,(VLOOKUP(A3407,'Discount Lookup'!J:K,2)*G3407*(1-PlanterDiscount)*(1+PlanterDifficultyPercentage)),""),"")),"   not ELP, by"))))))))))))))</f>
        <v/>
      </c>
      <c r="AD3407" s="712"/>
      <c r="AE3407" s="513" t="str">
        <f t="shared" si="2577"/>
        <v/>
      </c>
      <c r="AF3407" s="713" t="str">
        <f t="shared" si="2578"/>
        <v/>
      </c>
      <c r="AG3407" s="713"/>
      <c r="AH3407" s="713"/>
      <c r="AI3407" s="112">
        <f>IF(H3407="credit",0,IF(AE3407="free",0,IF(AE3407="me",0,IF(G3407&gt;0,(VLOOKUP(A3407,'Discount Lookup'!J:K,2)*G3407),0))))</f>
        <v>0</v>
      </c>
      <c r="AJ3407" s="107" t="str">
        <f t="shared" ca="1" si="2579"/>
        <v/>
      </c>
      <c r="AK3407" s="714" t="str">
        <f t="shared" si="2580"/>
        <v/>
      </c>
      <c r="AL3407" s="714"/>
      <c r="AM3407" s="114" t="str">
        <f t="shared" si="2581"/>
        <v/>
      </c>
      <c r="AN3407" s="115"/>
      <c r="AO3407" s="116"/>
      <c r="AP3407" s="116"/>
      <c r="AQ3407" s="116"/>
      <c r="AR3407" s="116"/>
      <c r="AS3407" s="116"/>
      <c r="AT3407" s="116"/>
      <c r="AU3407" s="116"/>
      <c r="AV3407" s="78"/>
      <c r="AW3407" s="102"/>
      <c r="AX3407" s="78"/>
      <c r="AY3407" s="78"/>
      <c r="AZ3407" s="78"/>
      <c r="BA3407" s="78"/>
      <c r="BB3407" s="78"/>
      <c r="BC3407" s="78"/>
      <c r="BD3407" s="78"/>
      <c r="BE3407" s="465"/>
      <c r="BF3407" s="165" t="str">
        <f t="shared" si="2582"/>
        <v>https://www.google.com/search?tbm=isch&amp;q=95%20G4</v>
      </c>
      <c r="BG3407" s="165" t="str">
        <f t="shared" si="2583"/>
        <v>P</v>
      </c>
      <c r="BH3407" s="65"/>
      <c r="BI3407" s="65"/>
      <c r="BJ3407" s="65"/>
      <c r="BK3407" s="65"/>
      <c r="BL3407" s="99"/>
      <c r="BM3407" s="99"/>
      <c r="BN3407" s="99"/>
    </row>
    <row r="3408" spans="1:66" s="51" customFormat="1" ht="17.25" thickBot="1" x14ac:dyDescent="0.3">
      <c r="A3408" s="641" t="s">
        <v>5095</v>
      </c>
      <c r="B3408" s="642"/>
      <c r="C3408" s="710"/>
      <c r="D3408" s="643"/>
      <c r="E3408" s="643"/>
      <c r="F3408" s="644"/>
      <c r="G3408" s="645"/>
      <c r="H3408" s="646"/>
      <c r="I3408" s="647"/>
      <c r="J3408" s="648"/>
      <c r="K3408" s="649"/>
      <c r="L3408" s="650"/>
      <c r="M3408" s="650"/>
      <c r="N3408" s="644"/>
      <c r="O3408" s="644"/>
      <c r="P3408" s="644"/>
      <c r="Q3408" s="644"/>
      <c r="R3408" s="644"/>
      <c r="S3408" s="701" t="s">
        <v>5251</v>
      </c>
      <c r="T3408" s="102">
        <f t="shared" si="2571"/>
        <v>0</v>
      </c>
      <c r="U3408" s="78" t="str">
        <f>IF(NOT(ISNUMBER(G3408)), "", VLOOKUP(A3408,'Discount Lookup'!D:E,2,FALSE)*G3408)</f>
        <v/>
      </c>
      <c r="V3408" s="78" t="str">
        <f>IF(NOT(ISNUMBER(G3408)), "", VLOOKUP(A3408,'Discount Lookup'!G:H,2,FALSE)*G3408)</f>
        <v/>
      </c>
      <c r="W3408" s="102">
        <f t="shared" si="2572"/>
        <v>0</v>
      </c>
      <c r="X3408" s="102">
        <f t="shared" si="2573"/>
        <v>0</v>
      </c>
      <c r="Y3408" s="120" t="b">
        <f t="shared" si="2574"/>
        <v>0</v>
      </c>
      <c r="Z3408" s="117">
        <f t="shared" si="2575"/>
        <v>0</v>
      </c>
      <c r="AA3408" s="118"/>
      <c r="AB3408" s="118" t="str">
        <f t="shared" si="2576"/>
        <v/>
      </c>
      <c r="AC3408" s="712" t="str">
        <f>IF(AE3408="T2G","no charge",IF(AND(OR(PlanterYesMe="No",PlanterYesMe="N",PlanterYesMe="me"),H3408=""),"",IF(H3408="credit","NO install",IF(AND(K3408="",AE3408="me"),"EACH row",IF(AND(K3408="images",AE3408="me"),"EACH row",IF(D3408="","",IF(H3408="credit","",IF(AE3408="free","re-planting",IF(AE3408="me","   not ELP, by",IF(AND(OR(PlanterYesMe="Yes",PlanterYesMe="Y"),G3408&gt;0),(VLOOKUP(A3408,'Discount Lookup'!J:K,2)*G3408*(1-PlanterDiscount)*(1+PlanterDifficultyPercentage)),IF(AE3408="ELP",(VLOOKUP(A3408,'Discount Lookup'!J:K,2)*G3408*(1-PlanterDiscount)*(1+PlanterDifficultyPercentage)),IF(AE3408="free","re-planting",IF(G3408=0,"",IF(PlanterYesMe="",IF(AE3408="me","   not ELP, by",IF(AE3408="",IF(G3408&gt;0,(VLOOKUP(A3408,'Discount Lookup'!J:K,2)*G3408*(1-PlanterDiscount)*(1+PlanterDifficultyPercentage)),""),"")),"   not ELP, by"))))))))))))))</f>
        <v/>
      </c>
      <c r="AD3408" s="712"/>
      <c r="AE3408" s="513" t="str">
        <f t="shared" si="2577"/>
        <v/>
      </c>
      <c r="AF3408" s="713" t="str">
        <f t="shared" si="2578"/>
        <v/>
      </c>
      <c r="AG3408" s="713"/>
      <c r="AH3408" s="713"/>
      <c r="AI3408" s="112">
        <f>IF(H3408="credit",0,IF(AE3408="free",0,IF(AE3408="me",0,IF(G3408&gt;0,(VLOOKUP(A3408,'Discount Lookup'!J:K,2)*G3408),0))))</f>
        <v>0</v>
      </c>
      <c r="AJ3408" s="107" t="str">
        <f t="shared" ca="1" si="2579"/>
        <v/>
      </c>
      <c r="AK3408" s="714" t="str">
        <f t="shared" si="2580"/>
        <v/>
      </c>
      <c r="AL3408" s="714"/>
      <c r="AM3408" s="114" t="str">
        <f t="shared" si="2581"/>
        <v/>
      </c>
      <c r="AN3408" s="115"/>
      <c r="AO3408" s="116"/>
      <c r="AP3408" s="116"/>
      <c r="AQ3408" s="116"/>
      <c r="AR3408" s="116"/>
      <c r="AS3408" s="116"/>
      <c r="AT3408" s="116"/>
      <c r="AU3408" s="116"/>
      <c r="AV3408" s="78"/>
      <c r="AW3408" s="102"/>
      <c r="AX3408" s="78"/>
      <c r="AY3408" s="78"/>
      <c r="AZ3408" s="78"/>
      <c r="BA3408" s="78"/>
      <c r="BB3408" s="78"/>
      <c r="BC3408" s="78"/>
      <c r="BD3408" s="78"/>
      <c r="BE3408" s="465"/>
      <c r="BF3408" s="165" t="str">
        <f t="shared" si="2582"/>
        <v>https://www.google.com/search?tbm=isch&amp;q=Peggy%20Clarke%20known%20for%20spectacular%20and%20early%20winter%20bloom%2C%20one%20of%20the%20first%20trees%20to%20flower.%20Sweet%20clove-like%20fragrance.%20Fruit%20is%20quite%20bitter%20</v>
      </c>
      <c r="BG3408" s="165" t="str">
        <f t="shared" si="2583"/>
        <v>P</v>
      </c>
      <c r="BH3408" s="65"/>
      <c r="BI3408" s="65"/>
      <c r="BJ3408" s="65"/>
      <c r="BK3408" s="65"/>
      <c r="BL3408" s="99"/>
      <c r="BM3408" s="99"/>
      <c r="BN3408" s="99"/>
    </row>
    <row r="3409" spans="1:66" s="51" customFormat="1" ht="18" x14ac:dyDescent="0.25">
      <c r="A3409" s="623" t="s">
        <v>5096</v>
      </c>
      <c r="B3409" s="624"/>
      <c r="C3409" s="709"/>
      <c r="D3409" s="625" t="s">
        <v>5097</v>
      </c>
      <c r="E3409" s="626"/>
      <c r="F3409" s="626"/>
      <c r="G3409" s="626"/>
      <c r="H3409" s="622" t="s">
        <v>3586</v>
      </c>
      <c r="I3409" s="627" t="s">
        <v>2309</v>
      </c>
      <c r="J3409" s="628"/>
      <c r="K3409" s="628"/>
      <c r="L3409" s="629"/>
      <c r="M3409" s="700" t="s">
        <v>5249</v>
      </c>
      <c r="N3409" s="693" t="str">
        <f>IF(AND(ISTEXT($A3409), ISERROR($A3409+0)), HYPERLINK($BF3409, "Images"), "")</f>
        <v>Images</v>
      </c>
      <c r="O3409" s="695" t="s">
        <v>5264</v>
      </c>
      <c r="P3409" s="630"/>
      <c r="Q3409" s="631"/>
      <c r="R3409" s="632"/>
      <c r="S3409" s="633"/>
      <c r="T3409" s="102">
        <f t="shared" si="2571"/>
        <v>0</v>
      </c>
      <c r="U3409" s="78" t="str">
        <f>IF(NOT(ISNUMBER(G3409)), "", VLOOKUP(A3409,'Discount Lookup'!D:E,2,FALSE)*G3409)</f>
        <v/>
      </c>
      <c r="V3409" s="78" t="str">
        <f>IF(NOT(ISNUMBER(G3409)), "", VLOOKUP(A3409,'Discount Lookup'!G:H,2,FALSE)*G3409)</f>
        <v/>
      </c>
      <c r="W3409" s="102">
        <f t="shared" si="2572"/>
        <v>0</v>
      </c>
      <c r="X3409" s="102" t="str">
        <f t="shared" si="2573"/>
        <v>Rosy Pink bloom</v>
      </c>
      <c r="Y3409" s="120" t="b">
        <f t="shared" si="2574"/>
        <v>0</v>
      </c>
      <c r="Z3409" s="117">
        <f t="shared" si="2575"/>
        <v>0</v>
      </c>
      <c r="AA3409" s="118"/>
      <c r="AB3409" s="118" t="str">
        <f t="shared" si="2576"/>
        <v/>
      </c>
      <c r="AC3409" s="712" t="str">
        <f>IF(AE3409="T2G","no charge",IF(AND(OR(PlanterYesMe="No",PlanterYesMe="N",PlanterYesMe="me"),H3409=""),"",IF(H3409="credit","NO install",IF(AND(K3409="",AE3409="me"),"EACH row",IF(AND(K3409="images",AE3409="me"),"EACH row",IF(D3409="","",IF(H3409="credit","",IF(AE3409="free","re-planting",IF(AE3409="me","   not ELP, by",IF(AND(OR(PlanterYesMe="Yes",PlanterYesMe="Y"),G3409&gt;0),(VLOOKUP(A3409,'Discount Lookup'!J:K,2)*G3409*(1-PlanterDiscount)*(1+PlanterDifficultyPercentage)),IF(AE3409="ELP",(VLOOKUP(A3409,'Discount Lookup'!J:K,2)*G3409*(1-PlanterDiscount)*(1+PlanterDifficultyPercentage)),IF(AE3409="free","re-planting",IF(G3409=0,"",IF(PlanterYesMe="",IF(AE3409="me","   not ELP, by",IF(AE3409="",IF(G3409&gt;0,(VLOOKUP(A3409,'Discount Lookup'!J:K,2)*G3409*(1-PlanterDiscount)*(1+PlanterDifficultyPercentage)),""),"")),"   not ELP, by"))))))))))))))</f>
        <v/>
      </c>
      <c r="AD3409" s="712"/>
      <c r="AE3409" s="513" t="str">
        <f t="shared" si="2577"/>
        <v/>
      </c>
      <c r="AF3409" s="713" t="str">
        <f t="shared" si="2578"/>
        <v/>
      </c>
      <c r="AG3409" s="713"/>
      <c r="AH3409" s="713"/>
      <c r="AI3409" s="112">
        <f>IF(H3409="credit",0,IF(AE3409="free",0,IF(AE3409="me",0,IF(G3409&gt;0,(VLOOKUP(A3409,'Discount Lookup'!J:K,2)*G3409),0))))</f>
        <v>0</v>
      </c>
      <c r="AJ3409" s="107" t="str">
        <f t="shared" ca="1" si="2579"/>
        <v/>
      </c>
      <c r="AK3409" s="714" t="str">
        <f t="shared" si="2580"/>
        <v/>
      </c>
      <c r="AL3409" s="714"/>
      <c r="AM3409" s="114" t="str">
        <f t="shared" si="2581"/>
        <v/>
      </c>
      <c r="AN3409" s="115"/>
      <c r="AO3409" s="116"/>
      <c r="AP3409" s="116"/>
      <c r="AQ3409" s="116"/>
      <c r="AR3409" s="116"/>
      <c r="AS3409" s="116"/>
      <c r="AT3409" s="116"/>
      <c r="AU3409" s="116"/>
      <c r="AV3409" s="78"/>
      <c r="AW3409" s="102"/>
      <c r="AX3409" s="78"/>
      <c r="AY3409" s="78"/>
      <c r="AZ3409" s="78"/>
      <c r="BA3409" s="78"/>
      <c r="BB3409" s="78"/>
      <c r="BC3409" s="78"/>
      <c r="BD3409" s="78"/>
      <c r="BE3409" s="465"/>
      <c r="BF3409" s="165" t="str">
        <f t="shared" si="2582"/>
        <v>https://www.google.com/search?tbm=isch&amp;q=Prunus%20mume%20%27Yuh-Hwa%27%20Yuh-Hwa%20Japanese%20Apricot</v>
      </c>
      <c r="BG3409" s="165" t="str">
        <f t="shared" si="2583"/>
        <v>P</v>
      </c>
      <c r="BH3409" s="65"/>
      <c r="BI3409" s="65"/>
      <c r="BJ3409" s="65"/>
      <c r="BK3409" s="65"/>
      <c r="BL3409" s="99"/>
      <c r="BM3409" s="99"/>
      <c r="BN3409" s="99"/>
    </row>
    <row r="3410" spans="1:66" s="51" customFormat="1" ht="15.75" x14ac:dyDescent="0.25">
      <c r="A3410" s="634">
        <v>7</v>
      </c>
      <c r="B3410" s="635" t="s">
        <v>291</v>
      </c>
      <c r="C3410" s="636" t="s">
        <v>5204</v>
      </c>
      <c r="D3410" s="637" t="s">
        <v>299</v>
      </c>
      <c r="E3410" s="638">
        <v>109.95</v>
      </c>
      <c r="F3410" s="639" t="s">
        <v>292</v>
      </c>
      <c r="G3410" s="484">
        <v>0</v>
      </c>
      <c r="H3410" s="691" t="str">
        <f>IF(G3410=0,"",IF(F3410="Buy",IF(G3410=1,"plant","plants"),IF(F3410&gt;0.01,"warranty","Error")))</f>
        <v/>
      </c>
      <c r="I3410" s="640">
        <f>IF(H3410="free",0,IF(H3410="credit",((E3410*(F3410))*G3410*-1),IF(F3410="Buy",(E3410*G3410),((E3410*(1-F3410))*G3410))))</f>
        <v>0</v>
      </c>
      <c r="J3410" s="640">
        <f>IF(H3410="warranty",0,(I3410*(_xlfn.SINGLE(SalesTaxPercentage))))</f>
        <v>0</v>
      </c>
      <c r="K3410" s="716">
        <f t="shared" ref="K3410" si="2612">I3410+J3410</f>
        <v>0</v>
      </c>
      <c r="L3410" s="716"/>
      <c r="M3410" s="689" t="str">
        <f ca="1">IF(AND(G3410&gt;0,E3410=0),"WARNING - no PRICE inserted",IF(H3410="free","FREE ~ no charge this plant",IF(H3410="credit",CONCATENATE("-$",ROUND(K3410*(1-_xlfn.SINGLE(T2GDiscount))*-1,2)," CREDIT after discount"),IF(_xlfn.SINGLE(T2GDiscount)=0,"",IF(G3410=0,"",IF(F3410="Buy",CONCATENATE("$",ROUND(K3410*(1-_xlfn.SINGLE(T2GDiscount)),2)," with ",(_xlfn.SINGLE(T2GDiscount)*100),"% discount"),CONCATENATE("$",ROUND(K3410*(1-_xlfn.SINGLE(T2GDiscount)),2)," with ",((_xlfn.SINGLE(T2GDiscount)*100+F3410*100)-(_xlfn.SINGLE(T2GDiscount)*100*F3410)),IF(F3410&gt;0,"% discounts",IF(_xlfn.SINGLE(NoWarrantyDiscount)&gt;0,"% discounts","% discount")))))))))</f>
        <v/>
      </c>
      <c r="N3410" s="690"/>
      <c r="O3410" s="486"/>
      <c r="P3410" s="486"/>
      <c r="Q3410" s="486"/>
      <c r="R3410" s="486"/>
      <c r="S3410" s="486"/>
      <c r="T3410" s="102">
        <f t="shared" si="2571"/>
        <v>0</v>
      </c>
      <c r="U3410" s="78">
        <f>IF(NOT(ISNUMBER(G3410)), "", VLOOKUP(A3410,'Discount Lookup'!D:E,2,FALSE)*G3410)</f>
        <v>0</v>
      </c>
      <c r="V3410" s="78">
        <f>IF(NOT(ISNUMBER(G3410)), "", VLOOKUP(A3410,'Discount Lookup'!G:H,2,FALSE)*G3410)</f>
        <v>0</v>
      </c>
      <c r="W3410" s="102">
        <f t="shared" si="2572"/>
        <v>0</v>
      </c>
      <c r="X3410" s="102">
        <f t="shared" si="2573"/>
        <v>0</v>
      </c>
      <c r="Y3410" s="120" t="b">
        <f t="shared" si="2574"/>
        <v>0</v>
      </c>
      <c r="Z3410" s="117">
        <f t="shared" si="2575"/>
        <v>0</v>
      </c>
      <c r="AA3410" s="118"/>
      <c r="AB3410" s="118" t="str">
        <f t="shared" si="2576"/>
        <v/>
      </c>
      <c r="AC3410" s="712" t="str">
        <f>IF(AE3410="T2G","no charge",IF(AND(OR(PlanterYesMe="No",PlanterYesMe="N",PlanterYesMe="me"),H3410=""),"",IF(H3410="credit","NO install",IF(AND(K3410="",AE3410="me"),"EACH row",IF(AND(K3410="images",AE3410="me"),"EACH row",IF(D3410="","",IF(H3410="credit","",IF(AE3410="free","re-planting",IF(AE3410="me","   not ELP, by",IF(AND(OR(PlanterYesMe="Yes",PlanterYesMe="Y"),G3410&gt;0),(VLOOKUP(A3410,'Discount Lookup'!J:K,2)*G3410*(1-PlanterDiscount)*(1+PlanterDifficultyPercentage)),IF(AE3410="ELP",(VLOOKUP(A3410,'Discount Lookup'!J:K,2)*G3410*(1-PlanterDiscount)*(1+PlanterDifficultyPercentage)),IF(AE3410="free","re-planting",IF(G3410=0,"",IF(PlanterYesMe="",IF(AE3410="me","   not ELP, by",IF(AE3410="",IF(G3410&gt;0,(VLOOKUP(A3410,'Discount Lookup'!J:K,2)*G3410*(1-PlanterDiscount)*(1+PlanterDifficultyPercentage)),""),"")),"   not ELP, by"))))))))))))))</f>
        <v/>
      </c>
      <c r="AD3410" s="712"/>
      <c r="AE3410" s="513" t="str">
        <f t="shared" si="2577"/>
        <v/>
      </c>
      <c r="AF3410" s="713" t="str">
        <f t="shared" si="2578"/>
        <v/>
      </c>
      <c r="AG3410" s="713"/>
      <c r="AH3410" s="713"/>
      <c r="AI3410" s="112">
        <f>IF(H3410="credit",0,IF(AE3410="free",0,IF(AE3410="me",0,IF(G3410&gt;0,(VLOOKUP(A3410,'Discount Lookup'!J:K,2)*G3410),0))))</f>
        <v>0</v>
      </c>
      <c r="AJ3410" s="107" t="str">
        <f t="shared" ca="1" si="2579"/>
        <v/>
      </c>
      <c r="AK3410" s="714" t="str">
        <f t="shared" si="2580"/>
        <v/>
      </c>
      <c r="AL3410" s="714"/>
      <c r="AM3410" s="114" t="str">
        <f t="shared" si="2581"/>
        <v/>
      </c>
      <c r="AN3410" s="115"/>
      <c r="AO3410" s="116"/>
      <c r="AP3410" s="116"/>
      <c r="AQ3410" s="116"/>
      <c r="AR3410" s="116"/>
      <c r="AS3410" s="116"/>
      <c r="AT3410" s="116"/>
      <c r="AU3410" s="116"/>
      <c r="AV3410" s="78"/>
      <c r="AW3410" s="102"/>
      <c r="AX3410" s="78"/>
      <c r="AY3410" s="78"/>
      <c r="AZ3410" s="78"/>
      <c r="BA3410" s="78"/>
      <c r="BB3410" s="78"/>
      <c r="BC3410" s="78"/>
      <c r="BD3410" s="78"/>
      <c r="BE3410" s="465"/>
      <c r="BF3410" s="165" t="str">
        <f t="shared" si="2582"/>
        <v>https://www.google.com/search?tbm=isch&amp;q=7%20G4</v>
      </c>
      <c r="BG3410" s="165" t="str">
        <f t="shared" si="2583"/>
        <v>P</v>
      </c>
      <c r="BH3410" s="65"/>
      <c r="BI3410" s="65"/>
      <c r="BJ3410" s="65"/>
      <c r="BK3410" s="65"/>
      <c r="BL3410" s="99"/>
      <c r="BM3410" s="99"/>
      <c r="BN3410" s="99"/>
    </row>
    <row r="3411" spans="1:66" s="51" customFormat="1" ht="15.75" x14ac:dyDescent="0.25">
      <c r="A3411" s="634">
        <v>10</v>
      </c>
      <c r="B3411" s="635" t="s">
        <v>291</v>
      </c>
      <c r="C3411" s="636" t="s">
        <v>5098</v>
      </c>
      <c r="D3411" s="637" t="s">
        <v>299</v>
      </c>
      <c r="E3411" s="638">
        <v>155.94999999999999</v>
      </c>
      <c r="F3411" s="639" t="s">
        <v>292</v>
      </c>
      <c r="G3411" s="484">
        <v>0</v>
      </c>
      <c r="H3411" s="691" t="str">
        <f>IF(G3411=0,"",IF(F3411="Buy",IF(G3411=1,"plant","plants"),IF(F3411&gt;0.01,"warranty","Error")))</f>
        <v/>
      </c>
      <c r="I3411" s="640">
        <f>IF(H3411="free",0,IF(H3411="credit",((E3411*(F3411))*G3411*-1),IF(F3411="Buy",(E3411*G3411),((E3411*(1-F3411))*G3411))))</f>
        <v>0</v>
      </c>
      <c r="J3411" s="640">
        <f>IF(H3411="warranty",0,(I3411*(_xlfn.SINGLE(SalesTaxPercentage))))</f>
        <v>0</v>
      </c>
      <c r="K3411" s="716">
        <f t="shared" ref="K3411" si="2613">I3411+J3411</f>
        <v>0</v>
      </c>
      <c r="L3411" s="716"/>
      <c r="M3411" s="689" t="str">
        <f ca="1">IF(AND(G3411&gt;0,E3411=0),"WARNING - no PRICE inserted",IF(H3411="free","FREE ~ no charge this plant",IF(H3411="credit",CONCATENATE("-$",ROUND(K3411*(1-_xlfn.SINGLE(T2GDiscount))*-1,2)," CREDIT after discount"),IF(_xlfn.SINGLE(T2GDiscount)=0,"",IF(G3411=0,"",IF(F3411="Buy",CONCATENATE("$",ROUND(K3411*(1-_xlfn.SINGLE(T2GDiscount)),2)," with ",(_xlfn.SINGLE(T2GDiscount)*100),"% discount"),CONCATENATE("$",ROUND(K3411*(1-_xlfn.SINGLE(T2GDiscount)),2)," with ",((_xlfn.SINGLE(T2GDiscount)*100+F3411*100)-(_xlfn.SINGLE(T2GDiscount)*100*F3411)),IF(F3411&gt;0,"% discounts",IF(_xlfn.SINGLE(NoWarrantyDiscount)&gt;0,"% discounts","% discount")))))))))</f>
        <v/>
      </c>
      <c r="N3411" s="690"/>
      <c r="O3411" s="486"/>
      <c r="P3411" s="486"/>
      <c r="Q3411" s="486"/>
      <c r="R3411" s="486"/>
      <c r="S3411" s="486"/>
      <c r="T3411" s="102">
        <f t="shared" si="2571"/>
        <v>0</v>
      </c>
      <c r="U3411" s="78">
        <f>IF(NOT(ISNUMBER(G3411)), "", VLOOKUP(A3411,'Discount Lookup'!D:E,2,FALSE)*G3411)</f>
        <v>0</v>
      </c>
      <c r="V3411" s="78">
        <f>IF(NOT(ISNUMBER(G3411)), "", VLOOKUP(A3411,'Discount Lookup'!G:H,2,FALSE)*G3411)</f>
        <v>0</v>
      </c>
      <c r="W3411" s="102">
        <f t="shared" si="2572"/>
        <v>0</v>
      </c>
      <c r="X3411" s="102">
        <f t="shared" si="2573"/>
        <v>0</v>
      </c>
      <c r="Y3411" s="120" t="b">
        <f t="shared" si="2574"/>
        <v>0</v>
      </c>
      <c r="Z3411" s="117">
        <f t="shared" si="2575"/>
        <v>0</v>
      </c>
      <c r="AA3411" s="118"/>
      <c r="AB3411" s="118" t="str">
        <f t="shared" si="2576"/>
        <v/>
      </c>
      <c r="AC3411" s="712" t="str">
        <f>IF(AE3411="T2G","no charge",IF(AND(OR(PlanterYesMe="No",PlanterYesMe="N",PlanterYesMe="me"),H3411=""),"",IF(H3411="credit","NO install",IF(AND(K3411="",AE3411="me"),"EACH row",IF(AND(K3411="images",AE3411="me"),"EACH row",IF(D3411="","",IF(H3411="credit","",IF(AE3411="free","re-planting",IF(AE3411="me","   not ELP, by",IF(AND(OR(PlanterYesMe="Yes",PlanterYesMe="Y"),G3411&gt;0),(VLOOKUP(A3411,'Discount Lookup'!J:K,2)*G3411*(1-PlanterDiscount)*(1+PlanterDifficultyPercentage)),IF(AE3411="ELP",(VLOOKUP(A3411,'Discount Lookup'!J:K,2)*G3411*(1-PlanterDiscount)*(1+PlanterDifficultyPercentage)),IF(AE3411="free","re-planting",IF(G3411=0,"",IF(PlanterYesMe="",IF(AE3411="me","   not ELP, by",IF(AE3411="",IF(G3411&gt;0,(VLOOKUP(A3411,'Discount Lookup'!J:K,2)*G3411*(1-PlanterDiscount)*(1+PlanterDifficultyPercentage)),""),"")),"   not ELP, by"))))))))))))))</f>
        <v/>
      </c>
      <c r="AD3411" s="712"/>
      <c r="AE3411" s="513" t="str">
        <f t="shared" si="2577"/>
        <v/>
      </c>
      <c r="AF3411" s="713" t="str">
        <f t="shared" si="2578"/>
        <v/>
      </c>
      <c r="AG3411" s="713"/>
      <c r="AH3411" s="713"/>
      <c r="AI3411" s="112">
        <f>IF(H3411="credit",0,IF(AE3411="free",0,IF(AE3411="me",0,IF(G3411&gt;0,(VLOOKUP(A3411,'Discount Lookup'!J:K,2)*G3411),0))))</f>
        <v>0</v>
      </c>
      <c r="AJ3411" s="107" t="str">
        <f t="shared" ca="1" si="2579"/>
        <v/>
      </c>
      <c r="AK3411" s="714" t="str">
        <f t="shared" si="2580"/>
        <v/>
      </c>
      <c r="AL3411" s="714"/>
      <c r="AM3411" s="114" t="str">
        <f t="shared" si="2581"/>
        <v/>
      </c>
      <c r="AN3411" s="115"/>
      <c r="AO3411" s="116"/>
      <c r="AP3411" s="116"/>
      <c r="AQ3411" s="116"/>
      <c r="AR3411" s="116"/>
      <c r="AS3411" s="116"/>
      <c r="AT3411" s="116"/>
      <c r="AU3411" s="116"/>
      <c r="AV3411" s="78"/>
      <c r="AW3411" s="102"/>
      <c r="AX3411" s="78"/>
      <c r="AY3411" s="78"/>
      <c r="AZ3411" s="78"/>
      <c r="BA3411" s="78"/>
      <c r="BB3411" s="78"/>
      <c r="BC3411" s="78"/>
      <c r="BD3411" s="78"/>
      <c r="BE3411" s="465"/>
      <c r="BF3411" s="165" t="str">
        <f t="shared" si="2582"/>
        <v>https://www.google.com/search?tbm=isch&amp;q=10%20G4</v>
      </c>
      <c r="BG3411" s="165" t="str">
        <f t="shared" si="2583"/>
        <v>P</v>
      </c>
      <c r="BH3411" s="65"/>
      <c r="BI3411" s="65"/>
      <c r="BJ3411" s="65"/>
      <c r="BK3411" s="65"/>
      <c r="BL3411" s="99"/>
      <c r="BM3411" s="99"/>
      <c r="BN3411" s="99"/>
    </row>
    <row r="3412" spans="1:66" s="51" customFormat="1" ht="17.25" thickBot="1" x14ac:dyDescent="0.3">
      <c r="A3412" s="641" t="s">
        <v>5099</v>
      </c>
      <c r="B3412" s="642"/>
      <c r="C3412" s="710"/>
      <c r="D3412" s="643"/>
      <c r="E3412" s="643"/>
      <c r="F3412" s="644"/>
      <c r="G3412" s="645"/>
      <c r="H3412" s="646"/>
      <c r="I3412" s="647"/>
      <c r="J3412" s="648"/>
      <c r="K3412" s="649"/>
      <c r="L3412" s="650"/>
      <c r="M3412" s="650"/>
      <c r="N3412" s="644"/>
      <c r="O3412" s="644"/>
      <c r="P3412" s="644"/>
      <c r="Q3412" s="644"/>
      <c r="R3412" s="644"/>
      <c r="S3412" s="651"/>
      <c r="T3412" s="102">
        <f t="shared" ref="T3412:T3475" si="2614">E3412*G3412</f>
        <v>0</v>
      </c>
      <c r="U3412" s="78" t="str">
        <f>IF(NOT(ISNUMBER(G3412)), "", VLOOKUP(A3412,'Discount Lookup'!D:E,2,FALSE)*G3412)</f>
        <v/>
      </c>
      <c r="V3412" s="78" t="str">
        <f>IF(NOT(ISNUMBER(G3412)), "", VLOOKUP(A3412,'Discount Lookup'!G:H,2,FALSE)*G3412)</f>
        <v/>
      </c>
      <c r="W3412" s="102">
        <f t="shared" ref="W3412:W3475" si="2615">IF(H3412="credit",0,E3412*(SalesTaxPercentage)*G3412)</f>
        <v>0</v>
      </c>
      <c r="X3412" s="102">
        <f t="shared" ref="X3412:X3475" si="2616">I3412</f>
        <v>0</v>
      </c>
      <c r="Y3412" s="120" t="b">
        <f t="shared" ref="Y3412:Y3475" si="2617">IF(AE3412="T2G",0,IF(H3412="credit",0,IF(G3412&gt;0,IF(AE3412="me","",G3412))))</f>
        <v>0</v>
      </c>
      <c r="Z3412" s="117">
        <f t="shared" ref="Z3412:Z3475" si="2618">IF(H3412="credit",G3412,0)</f>
        <v>0</v>
      </c>
      <c r="AA3412" s="118"/>
      <c r="AB3412" s="118" t="str">
        <f t="shared" ref="AB3412:AB3475" si="2619">IF(AE3412="T2G","by Trees2Go",IF(H3412="credit","CREDIT only ~",IF(AND(K3412="",AE3412=OR(PlanterYesMe="No",PlanterYesMe="N",PlanterYesMe="me")),"not THIS line⇨",IF(AND(K3412="images",AE3412="me"),"not THIS line⇨",IF(H3412="credit","",IF(G3412=0,"",IF(AE3412="me","",IF(OR(PlanterYesMe="No",PlanterYesMe="N",PlanterYesMe="me"),"",IF(AE3412="free","warranty",IF(OR(PlanterYesMe="yes",PlanterYesMe="y"),"Edison install:","to install:"))))))))))</f>
        <v/>
      </c>
      <c r="AC3412" s="712" t="str">
        <f>IF(AE3412="T2G","no charge",IF(AND(OR(PlanterYesMe="No",PlanterYesMe="N",PlanterYesMe="me"),H3412=""),"",IF(H3412="credit","NO install",IF(AND(K3412="",AE3412="me"),"EACH row",IF(AND(K3412="images",AE3412="me"),"EACH row",IF(D3412="","",IF(H3412="credit","",IF(AE3412="free","re-planting",IF(AE3412="me","   not ELP, by",IF(AND(OR(PlanterYesMe="Yes",PlanterYesMe="Y"),G3412&gt;0),(VLOOKUP(A3412,'Discount Lookup'!J:K,2)*G3412*(1-PlanterDiscount)*(1+PlanterDifficultyPercentage)),IF(AE3412="ELP",(VLOOKUP(A3412,'Discount Lookup'!J:K,2)*G3412*(1-PlanterDiscount)*(1+PlanterDifficultyPercentage)),IF(AE3412="free","re-planting",IF(G3412=0,"",IF(PlanterYesMe="",IF(AE3412="me","   not ELP, by",IF(AE3412="",IF(G3412&gt;0,(VLOOKUP(A3412,'Discount Lookup'!J:K,2)*G3412*(1-PlanterDiscount)*(1+PlanterDifficultyPercentage)),""),"")),"   not ELP, by"))))))))))))))</f>
        <v/>
      </c>
      <c r="AD3412" s="712"/>
      <c r="AE3412" s="513" t="str">
        <f t="shared" ref="AE3412:AE3475" si="2620">IF(H3412="credit","",IF(G3412=0,"",IF(OR(PlanterYesMe="No",PlanterYesMe="N",PlanterYesMe="me"),"me",IF(H3412="warranty","free",IF(OR(PlanterYesMe="yes",PlanterYesMe="y"),"ELP","")))))</f>
        <v/>
      </c>
      <c r="AF3412" s="713" t="str">
        <f t="shared" ref="AF3412:AF3475" si="2621">IF(OR(PlanterYesMe="No",PlanterYesMe="N",PlanterYesMe="me"),"",IF(H3412="credit","",IF(G3412&gt;0,(CONCATENATE((G3412)," quantity, ",(A3412)," ",B3412)),"")))</f>
        <v/>
      </c>
      <c r="AG3412" s="713"/>
      <c r="AH3412" s="713"/>
      <c r="AI3412" s="112">
        <f>IF(H3412="credit",0,IF(AE3412="free",0,IF(AE3412="me",0,IF(G3412&gt;0,(VLOOKUP(A3412,'Discount Lookup'!J:K,2)*G3412),0))))</f>
        <v>0</v>
      </c>
      <c r="AJ3412" s="107" t="str">
        <f t="shared" ref="AJ3412:AJ3475" ca="1" si="2622">IF(AND(ISREF(H3412),H3412="credit"),"",IF(AND(AND(OFFSET(G3412,0,0)=0,OFFSET(G3412,1,0)&gt;0,ISNUMBER(OFFSET(AC3412,1,0)),OFFSET(AC3412,1,0)&gt;0),OR(PlanterYesMe="yes",PlanterYesMe="y")),"T2G+ELP=",IF(AND(OFFSET(G3412,0,0)=0,OFFSET(G3412,1,0)&gt;0,ISNUMBER(OFFSET(AC3412,1,0)),OFFSET(AC3412,1,0)&gt;0),"if T2G+ELP=",IF(AND(OFFSET(G3412,0,0)=0,OFFSET(G3412,1,0)&gt;0),"T2G Subtotal",IF(H3412="credit","",IF(G3412=0,"",IF(AE3412="free",(K3412*(1-T2GDiscount)),IF(OR(PlanterYesMe="No",PlanterYesMe="N",PlanterYesMe="me"),(K3412*(1-T2GDiscount)),IF(OR(AE3412="me",AE3412="T2G"),(K3412*(1-T2GDiscount)),(K3412*(1-T2GDiscount))+AC3412)))))))))</f>
        <v/>
      </c>
      <c r="AK3412" s="714" t="str">
        <f t="shared" ref="AK3412:AK3475" si="2623">IF(H3412="credit","",IF(G3412=0,"",IF(OR(AE3412="me",AE3412="T2G"),"  delivery-only",IF(OR(PlanterYesMe="No",PlanterYesMe="N",PlanterYesMe="me"),"  delivery-only",CONCATENATE(" $",ROUND(AJ3412/G3412,2)," each")))))</f>
        <v/>
      </c>
      <c r="AL3412" s="714"/>
      <c r="AM3412" s="114" t="str">
        <f t="shared" ref="AM3412:AM3475" si="2624">IF(H3412="credit","",IF(AE3412="free","      ~ discounts included, no tax or planting fee applies ~",IF(G3412=0,"",IF(OR(PlanterYesMe="No",PlanterYesMe="N",PlanterYesMe="me"),CONCATENATE(" $",ROUND(AJ3412/G3412,2)," per plant, with tax &amp; discount"),IF(OR(AE3412="me",AE3412="T2G"),CONCATENATE(" $",ROUND(AJ3412/G3412,2)," per plant, with tax &amp; discount"),CONCATENATE("= $",ROUND((K3412*(1-T2GDiscount))/G3412,2)," per plant + $",AC3412/G3412,(" per planting      ~ includes tax &amp; discounts ~")))))))</f>
        <v/>
      </c>
      <c r="AN3412" s="115"/>
      <c r="AO3412" s="116"/>
      <c r="AP3412" s="116"/>
      <c r="AQ3412" s="116"/>
      <c r="AR3412" s="116"/>
      <c r="AS3412" s="116"/>
      <c r="AT3412" s="116"/>
      <c r="AU3412" s="116"/>
      <c r="AV3412" s="78"/>
      <c r="AW3412" s="102"/>
      <c r="AX3412" s="78"/>
      <c r="AY3412" s="78"/>
      <c r="AZ3412" s="78"/>
      <c r="BA3412" s="78"/>
      <c r="BB3412" s="78"/>
      <c r="BC3412" s="78"/>
      <c r="BD3412" s="78"/>
      <c r="BE3412" s="465"/>
      <c r="BF3412" s="165" t="str">
        <f t="shared" ref="BF3412:BF3475" si="2625">"https://www.google.com/search?tbm=isch&amp;q=" &amp; _xlfn.ENCODEURL($A3412 &amp; " " &amp; $D3412)</f>
        <v>https://www.google.com/search?tbm=isch&amp;q=Yuh-Hwa%20brings%20rich%20fragrance%20and%20Rosy%20double%20blossoms%20on%20bare%20branches%20in%20late%20winter%20</v>
      </c>
      <c r="BG3412" s="165" t="str">
        <f t="shared" ref="BG3412:BG3475" si="2626">IF(ISTEXT(A3412),LEFT(A3412,1),BG3411)</f>
        <v>Y</v>
      </c>
      <c r="BH3412" s="65"/>
      <c r="BI3412" s="65"/>
      <c r="BJ3412" s="65"/>
      <c r="BK3412" s="65"/>
      <c r="BL3412" s="99"/>
      <c r="BM3412" s="99"/>
      <c r="BN3412" s="99"/>
    </row>
    <row r="3413" spans="1:66" s="51" customFormat="1" ht="18" x14ac:dyDescent="0.25">
      <c r="A3413" s="623" t="s">
        <v>3863</v>
      </c>
      <c r="B3413" s="624"/>
      <c r="C3413" s="709"/>
      <c r="D3413" s="625" t="s">
        <v>5748</v>
      </c>
      <c r="E3413" s="626"/>
      <c r="F3413" s="626"/>
      <c r="G3413" s="626"/>
      <c r="H3413" s="622" t="s">
        <v>3864</v>
      </c>
      <c r="I3413" s="627" t="s">
        <v>2405</v>
      </c>
      <c r="J3413" s="628"/>
      <c r="K3413" s="628"/>
      <c r="L3413" s="629"/>
      <c r="M3413" s="700" t="s">
        <v>5241</v>
      </c>
      <c r="N3413" s="693" t="str">
        <f>IF(AND(ISTEXT($A3413), ISERROR($A3413+0)), HYPERLINK($BF3413, "Images"), "")</f>
        <v>Images</v>
      </c>
      <c r="O3413" s="695" t="s">
        <v>5286</v>
      </c>
      <c r="P3413" s="630"/>
      <c r="Q3413" s="631"/>
      <c r="R3413" s="632"/>
      <c r="S3413" s="633"/>
      <c r="T3413" s="102">
        <f t="shared" si="2614"/>
        <v>0</v>
      </c>
      <c r="U3413" s="78" t="str">
        <f>IF(NOT(ISNUMBER(G3413)), "", VLOOKUP(A3413,'Discount Lookup'!D:E,2,FALSE)*G3413)</f>
        <v/>
      </c>
      <c r="V3413" s="78" t="str">
        <f>IF(NOT(ISNUMBER(G3413)), "", VLOOKUP(A3413,'Discount Lookup'!G:H,2,FALSE)*G3413)</f>
        <v/>
      </c>
      <c r="W3413" s="102">
        <f t="shared" si="2615"/>
        <v>0</v>
      </c>
      <c r="X3413" s="102" t="str">
        <f t="shared" si="2616"/>
        <v>Bright Pink bloom</v>
      </c>
      <c r="Y3413" s="120" t="b">
        <f t="shared" si="2617"/>
        <v>0</v>
      </c>
      <c r="Z3413" s="117">
        <f t="shared" si="2618"/>
        <v>0</v>
      </c>
      <c r="AA3413" s="118"/>
      <c r="AB3413" s="118" t="str">
        <f t="shared" si="2619"/>
        <v/>
      </c>
      <c r="AC3413" s="712" t="str">
        <f>IF(AE3413="T2G","no charge",IF(AND(OR(PlanterYesMe="No",PlanterYesMe="N",PlanterYesMe="me"),H3413=""),"",IF(H3413="credit","NO install",IF(AND(K3413="",AE3413="me"),"EACH row",IF(AND(K3413="images",AE3413="me"),"EACH row",IF(D3413="","",IF(H3413="credit","",IF(AE3413="free","re-planting",IF(AE3413="me","   not ELP, by",IF(AND(OR(PlanterYesMe="Yes",PlanterYesMe="Y"),G3413&gt;0),(VLOOKUP(A3413,'Discount Lookup'!J:K,2)*G3413*(1-PlanterDiscount)*(1+PlanterDifficultyPercentage)),IF(AE3413="ELP",(VLOOKUP(A3413,'Discount Lookup'!J:K,2)*G3413*(1-PlanterDiscount)*(1+PlanterDifficultyPercentage)),IF(AE3413="free","re-planting",IF(G3413=0,"",IF(PlanterYesMe="",IF(AE3413="me","   not ELP, by",IF(AE3413="",IF(G3413&gt;0,(VLOOKUP(A3413,'Discount Lookup'!J:K,2)*G3413*(1-PlanterDiscount)*(1+PlanterDifficultyPercentage)),""),"")),"   not ELP, by"))))))))))))))</f>
        <v/>
      </c>
      <c r="AD3413" s="712"/>
      <c r="AE3413" s="513" t="str">
        <f t="shared" si="2620"/>
        <v/>
      </c>
      <c r="AF3413" s="713" t="str">
        <f t="shared" si="2621"/>
        <v/>
      </c>
      <c r="AG3413" s="713"/>
      <c r="AH3413" s="713"/>
      <c r="AI3413" s="112">
        <f>IF(H3413="credit",0,IF(AE3413="free",0,IF(AE3413="me",0,IF(G3413&gt;0,(VLOOKUP(A3413,'Discount Lookup'!J:K,2)*G3413),0))))</f>
        <v>0</v>
      </c>
      <c r="AJ3413" s="107" t="str">
        <f t="shared" ca="1" si="2622"/>
        <v/>
      </c>
      <c r="AK3413" s="714" t="str">
        <f t="shared" si="2623"/>
        <v/>
      </c>
      <c r="AL3413" s="714"/>
      <c r="AM3413" s="114" t="str">
        <f t="shared" si="2624"/>
        <v/>
      </c>
      <c r="AN3413" s="115"/>
      <c r="AO3413" s="116"/>
      <c r="AP3413" s="116"/>
      <c r="AQ3413" s="116"/>
      <c r="AR3413" s="116"/>
      <c r="AS3413" s="116"/>
      <c r="AT3413" s="116"/>
      <c r="AU3413" s="116"/>
      <c r="AV3413" s="78"/>
      <c r="AW3413" s="102"/>
      <c r="AX3413" s="78"/>
      <c r="AY3413" s="78"/>
      <c r="AZ3413" s="78"/>
      <c r="BA3413" s="78"/>
      <c r="BB3413" s="78"/>
      <c r="BC3413" s="78"/>
      <c r="BD3413" s="78"/>
      <c r="BE3413" s="465"/>
      <c r="BF3413" s="165" t="str">
        <f t="shared" si="2625"/>
        <v>https://www.google.com/search?tbm=isch&amp;q=Prunus%20%27NCPH1%27%20PP%2327579%20Pink%20Cascade%C2%AE%20Flowering%20Cherry</v>
      </c>
      <c r="BG3413" s="165" t="str">
        <f t="shared" si="2626"/>
        <v>P</v>
      </c>
      <c r="BH3413" s="65"/>
      <c r="BI3413" s="65"/>
      <c r="BJ3413" s="65"/>
      <c r="BK3413" s="65"/>
      <c r="BL3413" s="99"/>
      <c r="BM3413" s="99"/>
      <c r="BN3413" s="99"/>
    </row>
    <row r="3414" spans="1:66" s="51" customFormat="1" ht="15.75" x14ac:dyDescent="0.25">
      <c r="A3414" s="634">
        <v>7</v>
      </c>
      <c r="B3414" s="635" t="s">
        <v>291</v>
      </c>
      <c r="C3414" s="636" t="s">
        <v>3865</v>
      </c>
      <c r="D3414" s="637" t="s">
        <v>299</v>
      </c>
      <c r="E3414" s="638">
        <v>111.95</v>
      </c>
      <c r="F3414" s="639" t="s">
        <v>292</v>
      </c>
      <c r="G3414" s="484">
        <v>0</v>
      </c>
      <c r="H3414" s="691" t="str">
        <f>IF(G3414=0,"",IF(F3414="Buy",IF(G3414=1,"plant","plants"),IF(F3414&gt;0.01,"warranty","Error")))</f>
        <v/>
      </c>
      <c r="I3414" s="640">
        <f>IF(H3414="free",0,IF(H3414="credit",((E3414*(F3414))*G3414*-1),IF(F3414="Buy",(E3414*G3414),((E3414*(1-F3414))*G3414))))</f>
        <v>0</v>
      </c>
      <c r="J3414" s="640">
        <f>IF(H3414="warranty",0,(I3414*(_xlfn.SINGLE(SalesTaxPercentage))))</f>
        <v>0</v>
      </c>
      <c r="K3414" s="716">
        <f t="shared" ref="K3414" si="2627">I3414+J3414</f>
        <v>0</v>
      </c>
      <c r="L3414" s="716"/>
      <c r="M3414" s="689" t="str">
        <f ca="1">IF(AND(G3414&gt;0,E3414=0),"WARNING - no PRICE inserted",IF(H3414="free","FREE ~ no charge this plant",IF(H3414="credit",CONCATENATE("-$",ROUND(K3414*(1-_xlfn.SINGLE(T2GDiscount))*-1,2)," CREDIT after discount"),IF(_xlfn.SINGLE(T2GDiscount)=0,"",IF(G3414=0,"",IF(F3414="Buy",CONCATENATE("$",ROUND(K3414*(1-_xlfn.SINGLE(T2GDiscount)),2)," with ",(_xlfn.SINGLE(T2GDiscount)*100),"% discount"),CONCATENATE("$",ROUND(K3414*(1-_xlfn.SINGLE(T2GDiscount)),2)," with ",((_xlfn.SINGLE(T2GDiscount)*100+F3414*100)-(_xlfn.SINGLE(T2GDiscount)*100*F3414)),IF(F3414&gt;0,"% discounts",IF(_xlfn.SINGLE(NoWarrantyDiscount)&gt;0,"% discounts","% discount")))))))))</f>
        <v/>
      </c>
      <c r="N3414" s="690"/>
      <c r="O3414" s="486"/>
      <c r="P3414" s="486"/>
      <c r="Q3414" s="486"/>
      <c r="R3414" s="486"/>
      <c r="S3414" s="486"/>
      <c r="T3414" s="102">
        <f t="shared" si="2614"/>
        <v>0</v>
      </c>
      <c r="U3414" s="78">
        <f>IF(NOT(ISNUMBER(G3414)), "", VLOOKUP(A3414,'Discount Lookup'!D:E,2,FALSE)*G3414)</f>
        <v>0</v>
      </c>
      <c r="V3414" s="78">
        <f>IF(NOT(ISNUMBER(G3414)), "", VLOOKUP(A3414,'Discount Lookup'!G:H,2,FALSE)*G3414)</f>
        <v>0</v>
      </c>
      <c r="W3414" s="102">
        <f t="shared" si="2615"/>
        <v>0</v>
      </c>
      <c r="X3414" s="102">
        <f t="shared" si="2616"/>
        <v>0</v>
      </c>
      <c r="Y3414" s="120" t="b">
        <f t="shared" si="2617"/>
        <v>0</v>
      </c>
      <c r="Z3414" s="117">
        <f t="shared" si="2618"/>
        <v>0</v>
      </c>
      <c r="AA3414" s="118"/>
      <c r="AB3414" s="118" t="str">
        <f t="shared" si="2619"/>
        <v/>
      </c>
      <c r="AC3414" s="712" t="str">
        <f>IF(AE3414="T2G","no charge",IF(AND(OR(PlanterYesMe="No",PlanterYesMe="N",PlanterYesMe="me"),H3414=""),"",IF(H3414="credit","NO install",IF(AND(K3414="",AE3414="me"),"EACH row",IF(AND(K3414="images",AE3414="me"),"EACH row",IF(D3414="","",IF(H3414="credit","",IF(AE3414="free","re-planting",IF(AE3414="me","   not ELP, by",IF(AND(OR(PlanterYesMe="Yes",PlanterYesMe="Y"),G3414&gt;0),(VLOOKUP(A3414,'Discount Lookup'!J:K,2)*G3414*(1-PlanterDiscount)*(1+PlanterDifficultyPercentage)),IF(AE3414="ELP",(VLOOKUP(A3414,'Discount Lookup'!J:K,2)*G3414*(1-PlanterDiscount)*(1+PlanterDifficultyPercentage)),IF(AE3414="free","re-planting",IF(G3414=0,"",IF(PlanterYesMe="",IF(AE3414="me","   not ELP, by",IF(AE3414="",IF(G3414&gt;0,(VLOOKUP(A3414,'Discount Lookup'!J:K,2)*G3414*(1-PlanterDiscount)*(1+PlanterDifficultyPercentage)),""),"")),"   not ELP, by"))))))))))))))</f>
        <v/>
      </c>
      <c r="AD3414" s="712"/>
      <c r="AE3414" s="513" t="str">
        <f t="shared" si="2620"/>
        <v/>
      </c>
      <c r="AF3414" s="713" t="str">
        <f t="shared" si="2621"/>
        <v/>
      </c>
      <c r="AG3414" s="713"/>
      <c r="AH3414" s="713"/>
      <c r="AI3414" s="112">
        <f>IF(H3414="credit",0,IF(AE3414="free",0,IF(AE3414="me",0,IF(G3414&gt;0,(VLOOKUP(A3414,'Discount Lookup'!J:K,2)*G3414),0))))</f>
        <v>0</v>
      </c>
      <c r="AJ3414" s="107" t="str">
        <f t="shared" ca="1" si="2622"/>
        <v/>
      </c>
      <c r="AK3414" s="714" t="str">
        <f t="shared" si="2623"/>
        <v/>
      </c>
      <c r="AL3414" s="714"/>
      <c r="AM3414" s="114" t="str">
        <f t="shared" si="2624"/>
        <v/>
      </c>
      <c r="AN3414" s="115"/>
      <c r="AO3414" s="116"/>
      <c r="AP3414" s="116"/>
      <c r="AQ3414" s="116"/>
      <c r="AR3414" s="116"/>
      <c r="AS3414" s="116"/>
      <c r="AT3414" s="116"/>
      <c r="AU3414" s="116"/>
      <c r="AV3414" s="78"/>
      <c r="AW3414" s="102"/>
      <c r="AX3414" s="78"/>
      <c r="AY3414" s="78"/>
      <c r="AZ3414" s="78"/>
      <c r="BA3414" s="78"/>
      <c r="BB3414" s="78"/>
      <c r="BC3414" s="78"/>
      <c r="BD3414" s="78"/>
      <c r="BE3414" s="465"/>
      <c r="BF3414" s="165" t="str">
        <f t="shared" si="2625"/>
        <v>https://www.google.com/search?tbm=isch&amp;q=7%20G4</v>
      </c>
      <c r="BG3414" s="165" t="str">
        <f t="shared" si="2626"/>
        <v>P</v>
      </c>
      <c r="BH3414" s="65"/>
      <c r="BI3414" s="65"/>
      <c r="BJ3414" s="65"/>
      <c r="BK3414" s="65"/>
      <c r="BL3414" s="99"/>
      <c r="BM3414" s="99"/>
      <c r="BN3414" s="99"/>
    </row>
    <row r="3415" spans="1:66" s="51" customFormat="1" ht="27" x14ac:dyDescent="0.25">
      <c r="A3415" s="634">
        <v>10</v>
      </c>
      <c r="B3415" s="635" t="s">
        <v>291</v>
      </c>
      <c r="C3415" s="636" t="s">
        <v>3866</v>
      </c>
      <c r="D3415" s="637" t="s">
        <v>299</v>
      </c>
      <c r="E3415" s="638">
        <v>169.95</v>
      </c>
      <c r="F3415" s="639" t="s">
        <v>292</v>
      </c>
      <c r="G3415" s="484">
        <v>0</v>
      </c>
      <c r="H3415" s="691" t="str">
        <f>IF(G3415=0,"",IF(F3415="Buy",IF(G3415=1,"plant","plants"),IF(F3415&gt;0.01,"warranty","Error")))</f>
        <v/>
      </c>
      <c r="I3415" s="640">
        <f>IF(H3415="free",0,IF(H3415="credit",((E3415*(F3415))*G3415*-1),IF(F3415="Buy",(E3415*G3415),((E3415*(1-F3415))*G3415))))</f>
        <v>0</v>
      </c>
      <c r="J3415" s="640">
        <f>IF(H3415="warranty",0,(I3415*(_xlfn.SINGLE(SalesTaxPercentage))))</f>
        <v>0</v>
      </c>
      <c r="K3415" s="716">
        <f t="shared" ref="K3415" si="2628">I3415+J3415</f>
        <v>0</v>
      </c>
      <c r="L3415" s="716"/>
      <c r="M3415" s="689" t="str">
        <f ca="1">IF(AND(G3415&gt;0,E3415=0),"WARNING - no PRICE inserted",IF(H3415="free","FREE ~ no charge this plant",IF(H3415="credit",CONCATENATE("-$",ROUND(K3415*(1-_xlfn.SINGLE(T2GDiscount))*-1,2)," CREDIT after discount"),IF(_xlfn.SINGLE(T2GDiscount)=0,"",IF(G3415=0,"",IF(F3415="Buy",CONCATENATE("$",ROUND(K3415*(1-_xlfn.SINGLE(T2GDiscount)),2)," with ",(_xlfn.SINGLE(T2GDiscount)*100),"% discount"),CONCATENATE("$",ROUND(K3415*(1-_xlfn.SINGLE(T2GDiscount)),2)," with ",((_xlfn.SINGLE(T2GDiscount)*100+F3415*100)-(_xlfn.SINGLE(T2GDiscount)*100*F3415)),IF(F3415&gt;0,"% discounts",IF(_xlfn.SINGLE(NoWarrantyDiscount)&gt;0,"% discounts","% discount")))))))))</f>
        <v/>
      </c>
      <c r="N3415" s="690"/>
      <c r="O3415" s="486"/>
      <c r="P3415" s="486"/>
      <c r="Q3415" s="486"/>
      <c r="R3415" s="486"/>
      <c r="S3415" s="486"/>
      <c r="T3415" s="102">
        <f t="shared" si="2614"/>
        <v>0</v>
      </c>
      <c r="U3415" s="78">
        <f>IF(NOT(ISNUMBER(G3415)), "", VLOOKUP(A3415,'Discount Lookup'!D:E,2,FALSE)*G3415)</f>
        <v>0</v>
      </c>
      <c r="V3415" s="78">
        <f>IF(NOT(ISNUMBER(G3415)), "", VLOOKUP(A3415,'Discount Lookup'!G:H,2,FALSE)*G3415)</f>
        <v>0</v>
      </c>
      <c r="W3415" s="102">
        <f t="shared" si="2615"/>
        <v>0</v>
      </c>
      <c r="X3415" s="102">
        <f t="shared" si="2616"/>
        <v>0</v>
      </c>
      <c r="Y3415" s="120" t="b">
        <f t="shared" si="2617"/>
        <v>0</v>
      </c>
      <c r="Z3415" s="117">
        <f t="shared" si="2618"/>
        <v>0</v>
      </c>
      <c r="AA3415" s="118"/>
      <c r="AB3415" s="118" t="str">
        <f t="shared" si="2619"/>
        <v/>
      </c>
      <c r="AC3415" s="712" t="str">
        <f>IF(AE3415="T2G","no charge",IF(AND(OR(PlanterYesMe="No",PlanterYesMe="N",PlanterYesMe="me"),H3415=""),"",IF(H3415="credit","NO install",IF(AND(K3415="",AE3415="me"),"EACH row",IF(AND(K3415="images",AE3415="me"),"EACH row",IF(D3415="","",IF(H3415="credit","",IF(AE3415="free","re-planting",IF(AE3415="me","   not ELP, by",IF(AND(OR(PlanterYesMe="Yes",PlanterYesMe="Y"),G3415&gt;0),(VLOOKUP(A3415,'Discount Lookup'!J:K,2)*G3415*(1-PlanterDiscount)*(1+PlanterDifficultyPercentage)),IF(AE3415="ELP",(VLOOKUP(A3415,'Discount Lookup'!J:K,2)*G3415*(1-PlanterDiscount)*(1+PlanterDifficultyPercentage)),IF(AE3415="free","re-planting",IF(G3415=0,"",IF(PlanterYesMe="",IF(AE3415="me","   not ELP, by",IF(AE3415="",IF(G3415&gt;0,(VLOOKUP(A3415,'Discount Lookup'!J:K,2)*G3415*(1-PlanterDiscount)*(1+PlanterDifficultyPercentage)),""),"")),"   not ELP, by"))))))))))))))</f>
        <v/>
      </c>
      <c r="AD3415" s="712"/>
      <c r="AE3415" s="513" t="str">
        <f t="shared" si="2620"/>
        <v/>
      </c>
      <c r="AF3415" s="713" t="str">
        <f t="shared" si="2621"/>
        <v/>
      </c>
      <c r="AG3415" s="713"/>
      <c r="AH3415" s="713"/>
      <c r="AI3415" s="112">
        <f>IF(H3415="credit",0,IF(AE3415="free",0,IF(AE3415="me",0,IF(G3415&gt;0,(VLOOKUP(A3415,'Discount Lookup'!J:K,2)*G3415),0))))</f>
        <v>0</v>
      </c>
      <c r="AJ3415" s="107" t="str">
        <f t="shared" ca="1" si="2622"/>
        <v/>
      </c>
      <c r="AK3415" s="714" t="str">
        <f t="shared" si="2623"/>
        <v/>
      </c>
      <c r="AL3415" s="714"/>
      <c r="AM3415" s="114" t="str">
        <f t="shared" si="2624"/>
        <v/>
      </c>
      <c r="AN3415" s="115"/>
      <c r="AO3415" s="116"/>
      <c r="AP3415" s="116"/>
      <c r="AQ3415" s="116"/>
      <c r="AR3415" s="116"/>
      <c r="AS3415" s="116"/>
      <c r="AT3415" s="116"/>
      <c r="AU3415" s="116"/>
      <c r="AV3415" s="78"/>
      <c r="AW3415" s="102"/>
      <c r="AX3415" s="78"/>
      <c r="AY3415" s="78"/>
      <c r="AZ3415" s="78"/>
      <c r="BA3415" s="78"/>
      <c r="BB3415" s="78"/>
      <c r="BC3415" s="78"/>
      <c r="BD3415" s="78"/>
      <c r="BE3415" s="465"/>
      <c r="BF3415" s="165" t="str">
        <f t="shared" si="2625"/>
        <v>https://www.google.com/search?tbm=isch&amp;q=10%20G4</v>
      </c>
      <c r="BG3415" s="165" t="str">
        <f t="shared" si="2626"/>
        <v>P</v>
      </c>
      <c r="BH3415" s="65"/>
      <c r="BI3415" s="65"/>
      <c r="BJ3415" s="65"/>
      <c r="BK3415" s="65"/>
      <c r="BL3415" s="99"/>
      <c r="BM3415" s="99"/>
      <c r="BN3415" s="99"/>
    </row>
    <row r="3416" spans="1:66" s="51" customFormat="1" ht="15.75" x14ac:dyDescent="0.25">
      <c r="A3416" s="634">
        <v>15</v>
      </c>
      <c r="B3416" s="635" t="s">
        <v>291</v>
      </c>
      <c r="C3416" s="636" t="s">
        <v>5205</v>
      </c>
      <c r="D3416" s="637" t="s">
        <v>299</v>
      </c>
      <c r="E3416" s="638">
        <v>215.95</v>
      </c>
      <c r="F3416" s="639" t="s">
        <v>292</v>
      </c>
      <c r="G3416" s="484">
        <v>0</v>
      </c>
      <c r="H3416" s="691" t="str">
        <f>IF(G3416=0,"",IF(F3416="Buy",IF(G3416=1,"plant","plants"),IF(F3416&gt;0.01,"warranty","Error")))</f>
        <v/>
      </c>
      <c r="I3416" s="640">
        <f>IF(H3416="free",0,IF(H3416="credit",((E3416*(F3416))*G3416*-1),IF(F3416="Buy",(E3416*G3416),((E3416*(1-F3416))*G3416))))</f>
        <v>0</v>
      </c>
      <c r="J3416" s="640">
        <f>IF(H3416="warranty",0,(I3416*(_xlfn.SINGLE(SalesTaxPercentage))))</f>
        <v>0</v>
      </c>
      <c r="K3416" s="716">
        <f t="shared" ref="K3416" si="2629">I3416+J3416</f>
        <v>0</v>
      </c>
      <c r="L3416" s="716"/>
      <c r="M3416" s="689" t="str">
        <f ca="1">IF(AND(G3416&gt;0,E3416=0),"WARNING - no PRICE inserted",IF(H3416="free","FREE ~ no charge this plant",IF(H3416="credit",CONCATENATE("-$",ROUND(K3416*(1-_xlfn.SINGLE(T2GDiscount))*-1,2)," CREDIT after discount"),IF(_xlfn.SINGLE(T2GDiscount)=0,"",IF(G3416=0,"",IF(F3416="Buy",CONCATENATE("$",ROUND(K3416*(1-_xlfn.SINGLE(T2GDiscount)),2)," with ",(_xlfn.SINGLE(T2GDiscount)*100),"% discount"),CONCATENATE("$",ROUND(K3416*(1-_xlfn.SINGLE(T2GDiscount)),2)," with ",((_xlfn.SINGLE(T2GDiscount)*100+F3416*100)-(_xlfn.SINGLE(T2GDiscount)*100*F3416)),IF(F3416&gt;0,"% discounts",IF(_xlfn.SINGLE(NoWarrantyDiscount)&gt;0,"% discounts","% discount")))))))))</f>
        <v/>
      </c>
      <c r="N3416" s="690"/>
      <c r="O3416" s="486"/>
      <c r="P3416" s="486"/>
      <c r="Q3416" s="486"/>
      <c r="R3416" s="486"/>
      <c r="S3416" s="486"/>
      <c r="T3416" s="102">
        <f t="shared" si="2614"/>
        <v>0</v>
      </c>
      <c r="U3416" s="78">
        <f>IF(NOT(ISNUMBER(G3416)), "", VLOOKUP(A3416,'Discount Lookup'!D:E,2,FALSE)*G3416)</f>
        <v>0</v>
      </c>
      <c r="V3416" s="78">
        <f>IF(NOT(ISNUMBER(G3416)), "", VLOOKUP(A3416,'Discount Lookup'!G:H,2,FALSE)*G3416)</f>
        <v>0</v>
      </c>
      <c r="W3416" s="102">
        <f t="shared" si="2615"/>
        <v>0</v>
      </c>
      <c r="X3416" s="102">
        <f t="shared" si="2616"/>
        <v>0</v>
      </c>
      <c r="Y3416" s="120" t="b">
        <f t="shared" si="2617"/>
        <v>0</v>
      </c>
      <c r="Z3416" s="117">
        <f t="shared" si="2618"/>
        <v>0</v>
      </c>
      <c r="AA3416" s="118"/>
      <c r="AB3416" s="118" t="str">
        <f t="shared" si="2619"/>
        <v/>
      </c>
      <c r="AC3416" s="712" t="str">
        <f>IF(AE3416="T2G","no charge",IF(AND(OR(PlanterYesMe="No",PlanterYesMe="N",PlanterYesMe="me"),H3416=""),"",IF(H3416="credit","NO install",IF(AND(K3416="",AE3416="me"),"EACH row",IF(AND(K3416="images",AE3416="me"),"EACH row",IF(D3416="","",IF(H3416="credit","",IF(AE3416="free","re-planting",IF(AE3416="me","   not ELP, by",IF(AND(OR(PlanterYesMe="Yes",PlanterYesMe="Y"),G3416&gt;0),(VLOOKUP(A3416,'Discount Lookup'!J:K,2)*G3416*(1-PlanterDiscount)*(1+PlanterDifficultyPercentage)),IF(AE3416="ELP",(VLOOKUP(A3416,'Discount Lookup'!J:K,2)*G3416*(1-PlanterDiscount)*(1+PlanterDifficultyPercentage)),IF(AE3416="free","re-planting",IF(G3416=0,"",IF(PlanterYesMe="",IF(AE3416="me","   not ELP, by",IF(AE3416="",IF(G3416&gt;0,(VLOOKUP(A3416,'Discount Lookup'!J:K,2)*G3416*(1-PlanterDiscount)*(1+PlanterDifficultyPercentage)),""),"")),"   not ELP, by"))))))))))))))</f>
        <v/>
      </c>
      <c r="AD3416" s="712"/>
      <c r="AE3416" s="513" t="str">
        <f t="shared" si="2620"/>
        <v/>
      </c>
      <c r="AF3416" s="713" t="str">
        <f t="shared" si="2621"/>
        <v/>
      </c>
      <c r="AG3416" s="713"/>
      <c r="AH3416" s="713"/>
      <c r="AI3416" s="112">
        <f>IF(H3416="credit",0,IF(AE3416="free",0,IF(AE3416="me",0,IF(G3416&gt;0,(VLOOKUP(A3416,'Discount Lookup'!J:K,2)*G3416),0))))</f>
        <v>0</v>
      </c>
      <c r="AJ3416" s="107" t="str">
        <f t="shared" ca="1" si="2622"/>
        <v/>
      </c>
      <c r="AK3416" s="714" t="str">
        <f t="shared" si="2623"/>
        <v/>
      </c>
      <c r="AL3416" s="714"/>
      <c r="AM3416" s="114" t="str">
        <f t="shared" si="2624"/>
        <v/>
      </c>
      <c r="AN3416" s="115"/>
      <c r="AO3416" s="116"/>
      <c r="AP3416" s="116"/>
      <c r="AQ3416" s="116"/>
      <c r="AR3416" s="116"/>
      <c r="AS3416" s="116"/>
      <c r="AT3416" s="116"/>
      <c r="AU3416" s="116"/>
      <c r="AV3416" s="78"/>
      <c r="AW3416" s="102"/>
      <c r="AX3416" s="78"/>
      <c r="AY3416" s="78"/>
      <c r="AZ3416" s="78"/>
      <c r="BA3416" s="78"/>
      <c r="BB3416" s="78"/>
      <c r="BC3416" s="78"/>
      <c r="BD3416" s="78"/>
      <c r="BE3416" s="465"/>
      <c r="BF3416" s="165" t="str">
        <f t="shared" si="2625"/>
        <v>https://www.google.com/search?tbm=isch&amp;q=15%20G4</v>
      </c>
      <c r="BG3416" s="165" t="str">
        <f t="shared" si="2626"/>
        <v>P</v>
      </c>
      <c r="BH3416" s="65"/>
      <c r="BI3416" s="65"/>
      <c r="BJ3416" s="65"/>
      <c r="BK3416" s="65"/>
      <c r="BL3416" s="99"/>
      <c r="BM3416" s="99"/>
      <c r="BN3416" s="99"/>
    </row>
    <row r="3417" spans="1:66" s="51" customFormat="1" ht="17.25" thickBot="1" x14ac:dyDescent="0.3">
      <c r="A3417" s="641" t="s">
        <v>4784</v>
      </c>
      <c r="B3417" s="642"/>
      <c r="C3417" s="710"/>
      <c r="D3417" s="643"/>
      <c r="E3417" s="643"/>
      <c r="F3417" s="644"/>
      <c r="G3417" s="645"/>
      <c r="H3417" s="646"/>
      <c r="I3417" s="647"/>
      <c r="J3417" s="648"/>
      <c r="K3417" s="649"/>
      <c r="L3417" s="650"/>
      <c r="M3417" s="650"/>
      <c r="N3417" s="644"/>
      <c r="O3417" s="644"/>
      <c r="P3417" s="644"/>
      <c r="Q3417" s="644"/>
      <c r="R3417" s="644"/>
      <c r="S3417" s="701" t="s">
        <v>5251</v>
      </c>
      <c r="T3417" s="102">
        <f t="shared" si="2614"/>
        <v>0</v>
      </c>
      <c r="U3417" s="78" t="str">
        <f>IF(NOT(ISNUMBER(G3417)), "", VLOOKUP(A3417,'Discount Lookup'!D:E,2,FALSE)*G3417)</f>
        <v/>
      </c>
      <c r="V3417" s="78" t="str">
        <f>IF(NOT(ISNUMBER(G3417)), "", VLOOKUP(A3417,'Discount Lookup'!G:H,2,FALSE)*G3417)</f>
        <v/>
      </c>
      <c r="W3417" s="102">
        <f t="shared" si="2615"/>
        <v>0</v>
      </c>
      <c r="X3417" s="102">
        <f t="shared" si="2616"/>
        <v>0</v>
      </c>
      <c r="Y3417" s="120" t="b">
        <f t="shared" si="2617"/>
        <v>0</v>
      </c>
      <c r="Z3417" s="117">
        <f t="shared" si="2618"/>
        <v>0</v>
      </c>
      <c r="AA3417" s="118"/>
      <c r="AB3417" s="118" t="str">
        <f t="shared" si="2619"/>
        <v/>
      </c>
      <c r="AC3417" s="712" t="str">
        <f>IF(AE3417="T2G","no charge",IF(AND(OR(PlanterYesMe="No",PlanterYesMe="N",PlanterYesMe="me"),H3417=""),"",IF(H3417="credit","NO install",IF(AND(K3417="",AE3417="me"),"EACH row",IF(AND(K3417="images",AE3417="me"),"EACH row",IF(D3417="","",IF(H3417="credit","",IF(AE3417="free","re-planting",IF(AE3417="me","   not ELP, by",IF(AND(OR(PlanterYesMe="Yes",PlanterYesMe="Y"),G3417&gt;0),(VLOOKUP(A3417,'Discount Lookup'!J:K,2)*G3417*(1-PlanterDiscount)*(1+PlanterDifficultyPercentage)),IF(AE3417="ELP",(VLOOKUP(A3417,'Discount Lookup'!J:K,2)*G3417*(1-PlanterDiscount)*(1+PlanterDifficultyPercentage)),IF(AE3417="free","re-planting",IF(G3417=0,"",IF(PlanterYesMe="",IF(AE3417="me","   not ELP, by",IF(AE3417="",IF(G3417&gt;0,(VLOOKUP(A3417,'Discount Lookup'!J:K,2)*G3417*(1-PlanterDiscount)*(1+PlanterDifficultyPercentage)),""),"")),"   not ELP, by"))))))))))))))</f>
        <v/>
      </c>
      <c r="AD3417" s="712"/>
      <c r="AE3417" s="513" t="str">
        <f t="shared" si="2620"/>
        <v/>
      </c>
      <c r="AF3417" s="713" t="str">
        <f t="shared" si="2621"/>
        <v/>
      </c>
      <c r="AG3417" s="713"/>
      <c r="AH3417" s="713"/>
      <c r="AI3417" s="112">
        <f>IF(H3417="credit",0,IF(AE3417="free",0,IF(AE3417="me",0,IF(G3417&gt;0,(VLOOKUP(A3417,'Discount Lookup'!J:K,2)*G3417),0))))</f>
        <v>0</v>
      </c>
      <c r="AJ3417" s="107" t="str">
        <f t="shared" ca="1" si="2622"/>
        <v/>
      </c>
      <c r="AK3417" s="714" t="str">
        <f t="shared" si="2623"/>
        <v/>
      </c>
      <c r="AL3417" s="714"/>
      <c r="AM3417" s="114" t="str">
        <f t="shared" si="2624"/>
        <v/>
      </c>
      <c r="AN3417" s="115"/>
      <c r="AO3417" s="116"/>
      <c r="AP3417" s="116"/>
      <c r="AQ3417" s="116"/>
      <c r="AR3417" s="116"/>
      <c r="AS3417" s="116"/>
      <c r="AT3417" s="116"/>
      <c r="AU3417" s="116"/>
      <c r="AV3417" s="78"/>
      <c r="AW3417" s="102"/>
      <c r="AX3417" s="78"/>
      <c r="AY3417" s="78"/>
      <c r="AZ3417" s="78"/>
      <c r="BA3417" s="78"/>
      <c r="BB3417" s="78"/>
      <c r="BC3417" s="78"/>
      <c r="BD3417" s="78"/>
      <c r="BE3417" s="465"/>
      <c r="BF3417" s="165" t="str">
        <f t="shared" si="2625"/>
        <v>https://www.google.com/search?tbm=isch&amp;q=Pink%20Cascade%20enchants%20with%20its%20waterfall-like%20pink%20blooms%20and%20graceful%20weeping%20form.%20Foliage%20turns%20Red-Gold%20in%20fall%20</v>
      </c>
      <c r="BG3417" s="165" t="str">
        <f t="shared" si="2626"/>
        <v>P</v>
      </c>
      <c r="BH3417" s="65"/>
      <c r="BI3417" s="65"/>
      <c r="BJ3417" s="65"/>
      <c r="BK3417" s="65"/>
      <c r="BL3417" s="99"/>
      <c r="BM3417" s="99"/>
      <c r="BN3417" s="99"/>
    </row>
    <row r="3418" spans="1:66" s="51" customFormat="1" ht="18" x14ac:dyDescent="0.25">
      <c r="A3418" s="623" t="s">
        <v>3867</v>
      </c>
      <c r="B3418" s="624"/>
      <c r="C3418" s="709"/>
      <c r="D3418" s="625" t="s">
        <v>3868</v>
      </c>
      <c r="E3418" s="626"/>
      <c r="F3418" s="626"/>
      <c r="G3418" s="626"/>
      <c r="H3418" s="622" t="s">
        <v>577</v>
      </c>
      <c r="I3418" s="627" t="s">
        <v>1458</v>
      </c>
      <c r="J3418" s="628"/>
      <c r="K3418" s="628"/>
      <c r="L3418" s="629"/>
      <c r="M3418" s="700" t="s">
        <v>5241</v>
      </c>
      <c r="N3418" s="693" t="str">
        <f>IF(AND(ISTEXT($A3418), ISERROR($A3418+0)), HYPERLINK($BF3418, "Images"), "")</f>
        <v>Images</v>
      </c>
      <c r="O3418" s="695" t="s">
        <v>5264</v>
      </c>
      <c r="P3418" s="630"/>
      <c r="Q3418" s="631"/>
      <c r="R3418" s="632"/>
      <c r="S3418" s="633"/>
      <c r="T3418" s="102">
        <f t="shared" si="2614"/>
        <v>0</v>
      </c>
      <c r="U3418" s="78" t="str">
        <f>IF(NOT(ISNUMBER(G3418)), "", VLOOKUP(A3418,'Discount Lookup'!D:E,2,FALSE)*G3418)</f>
        <v/>
      </c>
      <c r="V3418" s="78" t="str">
        <f>IF(NOT(ISNUMBER(G3418)), "", VLOOKUP(A3418,'Discount Lookup'!G:H,2,FALSE)*G3418)</f>
        <v/>
      </c>
      <c r="W3418" s="102">
        <f t="shared" si="2615"/>
        <v>0</v>
      </c>
      <c r="X3418" s="102" t="str">
        <f t="shared" si="2616"/>
        <v>Pink bloom</v>
      </c>
      <c r="Y3418" s="120" t="b">
        <f t="shared" si="2617"/>
        <v>0</v>
      </c>
      <c r="Z3418" s="117">
        <f t="shared" si="2618"/>
        <v>0</v>
      </c>
      <c r="AA3418" s="118"/>
      <c r="AB3418" s="118" t="str">
        <f t="shared" si="2619"/>
        <v/>
      </c>
      <c r="AC3418" s="712" t="str">
        <f>IF(AE3418="T2G","no charge",IF(AND(OR(PlanterYesMe="No",PlanterYesMe="N",PlanterYesMe="me"),H3418=""),"",IF(H3418="credit","NO install",IF(AND(K3418="",AE3418="me"),"EACH row",IF(AND(K3418="images",AE3418="me"),"EACH row",IF(D3418="","",IF(H3418="credit","",IF(AE3418="free","re-planting",IF(AE3418="me","   not ELP, by",IF(AND(OR(PlanterYesMe="Yes",PlanterYesMe="Y"),G3418&gt;0),(VLOOKUP(A3418,'Discount Lookup'!J:K,2)*G3418*(1-PlanterDiscount)*(1+PlanterDifficultyPercentage)),IF(AE3418="ELP",(VLOOKUP(A3418,'Discount Lookup'!J:K,2)*G3418*(1-PlanterDiscount)*(1+PlanterDifficultyPercentage)),IF(AE3418="free","re-planting",IF(G3418=0,"",IF(PlanterYesMe="",IF(AE3418="me","   not ELP, by",IF(AE3418="",IF(G3418&gt;0,(VLOOKUP(A3418,'Discount Lookup'!J:K,2)*G3418*(1-PlanterDiscount)*(1+PlanterDifficultyPercentage)),""),"")),"   not ELP, by"))))))))))))))</f>
        <v/>
      </c>
      <c r="AD3418" s="712"/>
      <c r="AE3418" s="513" t="str">
        <f t="shared" si="2620"/>
        <v/>
      </c>
      <c r="AF3418" s="713" t="str">
        <f t="shared" si="2621"/>
        <v/>
      </c>
      <c r="AG3418" s="713"/>
      <c r="AH3418" s="713"/>
      <c r="AI3418" s="112">
        <f>IF(H3418="credit",0,IF(AE3418="free",0,IF(AE3418="me",0,IF(G3418&gt;0,(VLOOKUP(A3418,'Discount Lookup'!J:K,2)*G3418),0))))</f>
        <v>0</v>
      </c>
      <c r="AJ3418" s="107" t="str">
        <f t="shared" ca="1" si="2622"/>
        <v/>
      </c>
      <c r="AK3418" s="714" t="str">
        <f t="shared" si="2623"/>
        <v/>
      </c>
      <c r="AL3418" s="714"/>
      <c r="AM3418" s="114" t="str">
        <f t="shared" si="2624"/>
        <v/>
      </c>
      <c r="AN3418" s="115"/>
      <c r="AO3418" s="116"/>
      <c r="AP3418" s="116"/>
      <c r="AQ3418" s="116"/>
      <c r="AR3418" s="116"/>
      <c r="AS3418" s="116"/>
      <c r="AT3418" s="116"/>
      <c r="AU3418" s="116"/>
      <c r="AV3418" s="78"/>
      <c r="AW3418" s="102"/>
      <c r="AX3418" s="78"/>
      <c r="AY3418" s="78"/>
      <c r="AZ3418" s="78"/>
      <c r="BA3418" s="78"/>
      <c r="BB3418" s="78"/>
      <c r="BC3418" s="78"/>
      <c r="BD3418" s="78"/>
      <c r="BE3418" s="465"/>
      <c r="BF3418" s="165" t="str">
        <f t="shared" si="2625"/>
        <v>https://www.google.com/search?tbm=isch&amp;q=Prunus%20persica%20%27Corinthian%20Pink%27%20Corinthian%20Pink%20Flowering%20Peach</v>
      </c>
      <c r="BG3418" s="165" t="str">
        <f t="shared" si="2626"/>
        <v>P</v>
      </c>
      <c r="BH3418" s="65"/>
      <c r="BI3418" s="65"/>
      <c r="BJ3418" s="65"/>
      <c r="BK3418" s="65"/>
      <c r="BL3418" s="99"/>
      <c r="BM3418" s="99"/>
      <c r="BN3418" s="99"/>
    </row>
    <row r="3419" spans="1:66" s="51" customFormat="1" ht="15.75" x14ac:dyDescent="0.25">
      <c r="A3419" s="634">
        <v>7</v>
      </c>
      <c r="B3419" s="635" t="s">
        <v>291</v>
      </c>
      <c r="C3419" s="636" t="s">
        <v>3588</v>
      </c>
      <c r="D3419" s="637" t="s">
        <v>299</v>
      </c>
      <c r="E3419" s="638">
        <v>102.95</v>
      </c>
      <c r="F3419" s="639" t="s">
        <v>292</v>
      </c>
      <c r="G3419" s="484">
        <v>0</v>
      </c>
      <c r="H3419" s="691" t="str">
        <f>IF(G3419=0,"",IF(F3419="Buy",IF(G3419=1,"plant","plants"),IF(F3419&gt;0.01,"warranty","Error")))</f>
        <v/>
      </c>
      <c r="I3419" s="640">
        <f>IF(H3419="free",0,IF(H3419="credit",((E3419*(F3419))*G3419*-1),IF(F3419="Buy",(E3419*G3419),((E3419*(1-F3419))*G3419))))</f>
        <v>0</v>
      </c>
      <c r="J3419" s="640">
        <f>IF(H3419="warranty",0,(I3419*(_xlfn.SINGLE(SalesTaxPercentage))))</f>
        <v>0</v>
      </c>
      <c r="K3419" s="716">
        <f t="shared" ref="K3419" si="2630">I3419+J3419</f>
        <v>0</v>
      </c>
      <c r="L3419" s="716"/>
      <c r="M3419" s="689" t="str">
        <f ca="1">IF(AND(G3419&gt;0,E3419=0),"WARNING - no PRICE inserted",IF(H3419="free","FREE ~ no charge this plant",IF(H3419="credit",CONCATENATE("-$",ROUND(K3419*(1-_xlfn.SINGLE(T2GDiscount))*-1,2)," CREDIT after discount"),IF(_xlfn.SINGLE(T2GDiscount)=0,"",IF(G3419=0,"",IF(F3419="Buy",CONCATENATE("$",ROUND(K3419*(1-_xlfn.SINGLE(T2GDiscount)),2)," with ",(_xlfn.SINGLE(T2GDiscount)*100),"% discount"),CONCATENATE("$",ROUND(K3419*(1-_xlfn.SINGLE(T2GDiscount)),2)," with ",((_xlfn.SINGLE(T2GDiscount)*100+F3419*100)-(_xlfn.SINGLE(T2GDiscount)*100*F3419)),IF(F3419&gt;0,"% discounts",IF(_xlfn.SINGLE(NoWarrantyDiscount)&gt;0,"% discounts","% discount")))))))))</f>
        <v/>
      </c>
      <c r="N3419" s="690"/>
      <c r="O3419" s="486"/>
      <c r="P3419" s="486"/>
      <c r="Q3419" s="486"/>
      <c r="R3419" s="486"/>
      <c r="S3419" s="486"/>
      <c r="T3419" s="102">
        <f t="shared" si="2614"/>
        <v>0</v>
      </c>
      <c r="U3419" s="78">
        <f>IF(NOT(ISNUMBER(G3419)), "", VLOOKUP(A3419,'Discount Lookup'!D:E,2,FALSE)*G3419)</f>
        <v>0</v>
      </c>
      <c r="V3419" s="78">
        <f>IF(NOT(ISNUMBER(G3419)), "", VLOOKUP(A3419,'Discount Lookup'!G:H,2,FALSE)*G3419)</f>
        <v>0</v>
      </c>
      <c r="W3419" s="102">
        <f t="shared" si="2615"/>
        <v>0</v>
      </c>
      <c r="X3419" s="102">
        <f t="shared" si="2616"/>
        <v>0</v>
      </c>
      <c r="Y3419" s="120" t="b">
        <f t="shared" si="2617"/>
        <v>0</v>
      </c>
      <c r="Z3419" s="117">
        <f t="shared" si="2618"/>
        <v>0</v>
      </c>
      <c r="AA3419" s="118"/>
      <c r="AB3419" s="118" t="str">
        <f t="shared" si="2619"/>
        <v/>
      </c>
      <c r="AC3419" s="712" t="str">
        <f>IF(AE3419="T2G","no charge",IF(AND(OR(PlanterYesMe="No",PlanterYesMe="N",PlanterYesMe="me"),H3419=""),"",IF(H3419="credit","NO install",IF(AND(K3419="",AE3419="me"),"EACH row",IF(AND(K3419="images",AE3419="me"),"EACH row",IF(D3419="","",IF(H3419="credit","",IF(AE3419="free","re-planting",IF(AE3419="me","   not ELP, by",IF(AND(OR(PlanterYesMe="Yes",PlanterYesMe="Y"),G3419&gt;0),(VLOOKUP(A3419,'Discount Lookup'!J:K,2)*G3419*(1-PlanterDiscount)*(1+PlanterDifficultyPercentage)),IF(AE3419="ELP",(VLOOKUP(A3419,'Discount Lookup'!J:K,2)*G3419*(1-PlanterDiscount)*(1+PlanterDifficultyPercentage)),IF(AE3419="free","re-planting",IF(G3419=0,"",IF(PlanterYesMe="",IF(AE3419="me","   not ELP, by",IF(AE3419="",IF(G3419&gt;0,(VLOOKUP(A3419,'Discount Lookup'!J:K,2)*G3419*(1-PlanterDiscount)*(1+PlanterDifficultyPercentage)),""),"")),"   not ELP, by"))))))))))))))</f>
        <v/>
      </c>
      <c r="AD3419" s="712"/>
      <c r="AE3419" s="513" t="str">
        <f t="shared" si="2620"/>
        <v/>
      </c>
      <c r="AF3419" s="713" t="str">
        <f t="shared" si="2621"/>
        <v/>
      </c>
      <c r="AG3419" s="713"/>
      <c r="AH3419" s="713"/>
      <c r="AI3419" s="112">
        <f>IF(H3419="credit",0,IF(AE3419="free",0,IF(AE3419="me",0,IF(G3419&gt;0,(VLOOKUP(A3419,'Discount Lookup'!J:K,2)*G3419),0))))</f>
        <v>0</v>
      </c>
      <c r="AJ3419" s="107" t="str">
        <f t="shared" ca="1" si="2622"/>
        <v/>
      </c>
      <c r="AK3419" s="714" t="str">
        <f t="shared" si="2623"/>
        <v/>
      </c>
      <c r="AL3419" s="714"/>
      <c r="AM3419" s="114" t="str">
        <f t="shared" si="2624"/>
        <v/>
      </c>
      <c r="AN3419" s="115"/>
      <c r="AO3419" s="116"/>
      <c r="AP3419" s="116"/>
      <c r="AQ3419" s="116"/>
      <c r="AR3419" s="116"/>
      <c r="AS3419" s="116"/>
      <c r="AT3419" s="116"/>
      <c r="AU3419" s="116"/>
      <c r="AV3419" s="78"/>
      <c r="AW3419" s="102"/>
      <c r="AX3419" s="78"/>
      <c r="AY3419" s="78"/>
      <c r="AZ3419" s="78"/>
      <c r="BA3419" s="78"/>
      <c r="BB3419" s="78"/>
      <c r="BC3419" s="78"/>
      <c r="BD3419" s="78"/>
      <c r="BE3419" s="465"/>
      <c r="BF3419" s="165" t="str">
        <f t="shared" si="2625"/>
        <v>https://www.google.com/search?tbm=isch&amp;q=7%20G4</v>
      </c>
      <c r="BG3419" s="165" t="str">
        <f t="shared" si="2626"/>
        <v>P</v>
      </c>
      <c r="BH3419" s="65"/>
      <c r="BI3419" s="65"/>
      <c r="BJ3419" s="65"/>
      <c r="BK3419" s="65"/>
      <c r="BL3419" s="99"/>
      <c r="BM3419" s="99"/>
      <c r="BN3419" s="99"/>
    </row>
    <row r="3420" spans="1:66" s="51" customFormat="1" ht="17.25" thickBot="1" x14ac:dyDescent="0.3">
      <c r="A3420" s="641" t="s">
        <v>3869</v>
      </c>
      <c r="B3420" s="642"/>
      <c r="C3420" s="710"/>
      <c r="D3420" s="643"/>
      <c r="E3420" s="643"/>
      <c r="F3420" s="644"/>
      <c r="G3420" s="645"/>
      <c r="H3420" s="646"/>
      <c r="I3420" s="647"/>
      <c r="J3420" s="648"/>
      <c r="K3420" s="649"/>
      <c r="L3420" s="650"/>
      <c r="M3420" s="650"/>
      <c r="N3420" s="644"/>
      <c r="O3420" s="644"/>
      <c r="P3420" s="644"/>
      <c r="Q3420" s="644"/>
      <c r="R3420" s="644"/>
      <c r="S3420" s="701" t="s">
        <v>5253</v>
      </c>
      <c r="T3420" s="102">
        <f t="shared" si="2614"/>
        <v>0</v>
      </c>
      <c r="U3420" s="78" t="str">
        <f>IF(NOT(ISNUMBER(G3420)), "", VLOOKUP(A3420,'Discount Lookup'!D:E,2,FALSE)*G3420)</f>
        <v/>
      </c>
      <c r="V3420" s="78" t="str">
        <f>IF(NOT(ISNUMBER(G3420)), "", VLOOKUP(A3420,'Discount Lookup'!G:H,2,FALSE)*G3420)</f>
        <v/>
      </c>
      <c r="W3420" s="102">
        <f t="shared" si="2615"/>
        <v>0</v>
      </c>
      <c r="X3420" s="102">
        <f t="shared" si="2616"/>
        <v>0</v>
      </c>
      <c r="Y3420" s="120" t="b">
        <f t="shared" si="2617"/>
        <v>0</v>
      </c>
      <c r="Z3420" s="117">
        <f t="shared" si="2618"/>
        <v>0</v>
      </c>
      <c r="AA3420" s="118"/>
      <c r="AB3420" s="118" t="str">
        <f t="shared" si="2619"/>
        <v/>
      </c>
      <c r="AC3420" s="712" t="str">
        <f>IF(AE3420="T2G","no charge",IF(AND(OR(PlanterYesMe="No",PlanterYesMe="N",PlanterYesMe="me"),H3420=""),"",IF(H3420="credit","NO install",IF(AND(K3420="",AE3420="me"),"EACH row",IF(AND(K3420="images",AE3420="me"),"EACH row",IF(D3420="","",IF(H3420="credit","",IF(AE3420="free","re-planting",IF(AE3420="me","   not ELP, by",IF(AND(OR(PlanterYesMe="Yes",PlanterYesMe="Y"),G3420&gt;0),(VLOOKUP(A3420,'Discount Lookup'!J:K,2)*G3420*(1-PlanterDiscount)*(1+PlanterDifficultyPercentage)),IF(AE3420="ELP",(VLOOKUP(A3420,'Discount Lookup'!J:K,2)*G3420*(1-PlanterDiscount)*(1+PlanterDifficultyPercentage)),IF(AE3420="free","re-planting",IF(G3420=0,"",IF(PlanterYesMe="",IF(AE3420="me","   not ELP, by",IF(AE3420="",IF(G3420&gt;0,(VLOOKUP(A3420,'Discount Lookup'!J:K,2)*G3420*(1-PlanterDiscount)*(1+PlanterDifficultyPercentage)),""),"")),"   not ELP, by"))))))))))))))</f>
        <v/>
      </c>
      <c r="AD3420" s="712"/>
      <c r="AE3420" s="513" t="str">
        <f t="shared" si="2620"/>
        <v/>
      </c>
      <c r="AF3420" s="713" t="str">
        <f t="shared" si="2621"/>
        <v/>
      </c>
      <c r="AG3420" s="713"/>
      <c r="AH3420" s="713"/>
      <c r="AI3420" s="112">
        <f>IF(H3420="credit",0,IF(AE3420="free",0,IF(AE3420="me",0,IF(G3420&gt;0,(VLOOKUP(A3420,'Discount Lookup'!J:K,2)*G3420),0))))</f>
        <v>0</v>
      </c>
      <c r="AJ3420" s="107" t="str">
        <f t="shared" ca="1" si="2622"/>
        <v/>
      </c>
      <c r="AK3420" s="714" t="str">
        <f t="shared" si="2623"/>
        <v/>
      </c>
      <c r="AL3420" s="714"/>
      <c r="AM3420" s="114" t="str">
        <f t="shared" si="2624"/>
        <v/>
      </c>
      <c r="AN3420" s="115"/>
      <c r="AO3420" s="116"/>
      <c r="AP3420" s="116"/>
      <c r="AQ3420" s="116"/>
      <c r="AR3420" s="116"/>
      <c r="AS3420" s="116"/>
      <c r="AT3420" s="116"/>
      <c r="AU3420" s="116"/>
      <c r="AV3420" s="78"/>
      <c r="AW3420" s="102"/>
      <c r="AX3420" s="78"/>
      <c r="AY3420" s="78"/>
      <c r="AZ3420" s="78"/>
      <c r="BA3420" s="78"/>
      <c r="BB3420" s="78"/>
      <c r="BC3420" s="78"/>
      <c r="BD3420" s="78"/>
      <c r="BE3420" s="465"/>
      <c r="BF3420" s="165" t="str">
        <f t="shared" si="2625"/>
        <v>https://www.google.com/search?tbm=isch&amp;q=Corinthian%20Pink%20has%20Purple%20foliage%20in%20a%20tight%2C%20upright%20columnr%20form.%20Non-edible%20fruit%20good%20for%20wildlife%20</v>
      </c>
      <c r="BG3420" s="165" t="str">
        <f t="shared" si="2626"/>
        <v>C</v>
      </c>
      <c r="BH3420" s="65"/>
      <c r="BI3420" s="65"/>
      <c r="BJ3420" s="65"/>
      <c r="BK3420" s="65"/>
      <c r="BL3420" s="99"/>
      <c r="BM3420" s="99"/>
      <c r="BN3420" s="99"/>
    </row>
    <row r="3421" spans="1:66" s="51" customFormat="1" ht="18" x14ac:dyDescent="0.25">
      <c r="A3421" s="623" t="s">
        <v>3870</v>
      </c>
      <c r="B3421" s="624"/>
      <c r="C3421" s="709"/>
      <c r="D3421" s="625" t="s">
        <v>3871</v>
      </c>
      <c r="E3421" s="626"/>
      <c r="F3421" s="626"/>
      <c r="G3421" s="626"/>
      <c r="H3421" s="622" t="s">
        <v>658</v>
      </c>
      <c r="I3421" s="627" t="s">
        <v>1097</v>
      </c>
      <c r="J3421" s="628"/>
      <c r="K3421" s="628"/>
      <c r="L3421" s="629"/>
      <c r="M3421" s="700" t="s">
        <v>5241</v>
      </c>
      <c r="N3421" s="693" t="str">
        <f>IF(AND(ISTEXT($A3421), ISERROR($A3421+0)), HYPERLINK($BF3421, "Images"), "")</f>
        <v>Images</v>
      </c>
      <c r="O3421" s="695" t="s">
        <v>5286</v>
      </c>
      <c r="P3421" s="630"/>
      <c r="Q3421" s="631"/>
      <c r="R3421" s="632"/>
      <c r="S3421" s="633"/>
      <c r="T3421" s="102">
        <f t="shared" si="2614"/>
        <v>0</v>
      </c>
      <c r="U3421" s="78" t="str">
        <f>IF(NOT(ISNUMBER(G3421)), "", VLOOKUP(A3421,'Discount Lookup'!D:E,2,FALSE)*G3421)</f>
        <v/>
      </c>
      <c r="V3421" s="78" t="str">
        <f>IF(NOT(ISNUMBER(G3421)), "", VLOOKUP(A3421,'Discount Lookup'!G:H,2,FALSE)*G3421)</f>
        <v/>
      </c>
      <c r="W3421" s="102">
        <f t="shared" si="2615"/>
        <v>0</v>
      </c>
      <c r="X3421" s="102" t="str">
        <f t="shared" si="2616"/>
        <v>White bloom, Pink buds</v>
      </c>
      <c r="Y3421" s="120" t="b">
        <f t="shared" si="2617"/>
        <v>0</v>
      </c>
      <c r="Z3421" s="117">
        <f t="shared" si="2618"/>
        <v>0</v>
      </c>
      <c r="AA3421" s="118"/>
      <c r="AB3421" s="118" t="str">
        <f t="shared" si="2619"/>
        <v/>
      </c>
      <c r="AC3421" s="712" t="str">
        <f>IF(AE3421="T2G","no charge",IF(AND(OR(PlanterYesMe="No",PlanterYesMe="N",PlanterYesMe="me"),H3421=""),"",IF(H3421="credit","NO install",IF(AND(K3421="",AE3421="me"),"EACH row",IF(AND(K3421="images",AE3421="me"),"EACH row",IF(D3421="","",IF(H3421="credit","",IF(AE3421="free","re-planting",IF(AE3421="me","   not ELP, by",IF(AND(OR(PlanterYesMe="Yes",PlanterYesMe="Y"),G3421&gt;0),(VLOOKUP(A3421,'Discount Lookup'!J:K,2)*G3421*(1-PlanterDiscount)*(1+PlanterDifficultyPercentage)),IF(AE3421="ELP",(VLOOKUP(A3421,'Discount Lookup'!J:K,2)*G3421*(1-PlanterDiscount)*(1+PlanterDifficultyPercentage)),IF(AE3421="free","re-planting",IF(G3421=0,"",IF(PlanterYesMe="",IF(AE3421="me","   not ELP, by",IF(AE3421="",IF(G3421&gt;0,(VLOOKUP(A3421,'Discount Lookup'!J:K,2)*G3421*(1-PlanterDiscount)*(1+PlanterDifficultyPercentage)),""),"")),"   not ELP, by"))))))))))))))</f>
        <v/>
      </c>
      <c r="AD3421" s="712"/>
      <c r="AE3421" s="513" t="str">
        <f t="shared" si="2620"/>
        <v/>
      </c>
      <c r="AF3421" s="713" t="str">
        <f t="shared" si="2621"/>
        <v/>
      </c>
      <c r="AG3421" s="713"/>
      <c r="AH3421" s="713"/>
      <c r="AI3421" s="112">
        <f>IF(H3421="credit",0,IF(AE3421="free",0,IF(AE3421="me",0,IF(G3421&gt;0,(VLOOKUP(A3421,'Discount Lookup'!J:K,2)*G3421),0))))</f>
        <v>0</v>
      </c>
      <c r="AJ3421" s="107" t="str">
        <f t="shared" ca="1" si="2622"/>
        <v/>
      </c>
      <c r="AK3421" s="714" t="str">
        <f t="shared" si="2623"/>
        <v/>
      </c>
      <c r="AL3421" s="714"/>
      <c r="AM3421" s="114" t="str">
        <f t="shared" si="2624"/>
        <v/>
      </c>
      <c r="AN3421" s="115"/>
      <c r="AO3421" s="116"/>
      <c r="AP3421" s="116"/>
      <c r="AQ3421" s="116"/>
      <c r="AR3421" s="116"/>
      <c r="AS3421" s="116"/>
      <c r="AT3421" s="116"/>
      <c r="AU3421" s="116"/>
      <c r="AV3421" s="78"/>
      <c r="AW3421" s="102"/>
      <c r="AX3421" s="78"/>
      <c r="AY3421" s="78"/>
      <c r="AZ3421" s="78"/>
      <c r="BA3421" s="78"/>
      <c r="BB3421" s="78"/>
      <c r="BC3421" s="78"/>
      <c r="BD3421" s="78"/>
      <c r="BE3421" s="465"/>
      <c r="BF3421" s="165" t="str">
        <f t="shared" si="2625"/>
        <v>https://www.google.com/search?tbm=isch&amp;q=Prunus%20persica%20%27Corinthian%20White%27%20PP%2311493%20Corinthian%20White%20Flowering%20Peach</v>
      </c>
      <c r="BG3421" s="165" t="str">
        <f t="shared" si="2626"/>
        <v>P</v>
      </c>
      <c r="BH3421" s="65"/>
      <c r="BI3421" s="65"/>
      <c r="BJ3421" s="65"/>
      <c r="BK3421" s="65"/>
      <c r="BL3421" s="99"/>
      <c r="BM3421" s="99"/>
      <c r="BN3421" s="99"/>
    </row>
    <row r="3422" spans="1:66" s="51" customFormat="1" ht="15.75" x14ac:dyDescent="0.25">
      <c r="A3422" s="634">
        <v>7</v>
      </c>
      <c r="B3422" s="635" t="s">
        <v>291</v>
      </c>
      <c r="C3422" s="636" t="s">
        <v>3872</v>
      </c>
      <c r="D3422" s="637" t="s">
        <v>299</v>
      </c>
      <c r="E3422" s="638">
        <v>102.95</v>
      </c>
      <c r="F3422" s="639" t="s">
        <v>292</v>
      </c>
      <c r="G3422" s="484">
        <v>0</v>
      </c>
      <c r="H3422" s="691" t="str">
        <f>IF(G3422=0,"",IF(F3422="Buy",IF(G3422=1,"plant","plants"),IF(F3422&gt;0.01,"warranty","Error")))</f>
        <v/>
      </c>
      <c r="I3422" s="640">
        <f>IF(H3422="free",0,IF(H3422="credit",((E3422*(F3422))*G3422*-1),IF(F3422="Buy",(E3422*G3422),((E3422*(1-F3422))*G3422))))</f>
        <v>0</v>
      </c>
      <c r="J3422" s="640">
        <f>IF(H3422="warranty",0,(I3422*(_xlfn.SINGLE(SalesTaxPercentage))))</f>
        <v>0</v>
      </c>
      <c r="K3422" s="716">
        <f t="shared" ref="K3422" si="2631">I3422+J3422</f>
        <v>0</v>
      </c>
      <c r="L3422" s="716"/>
      <c r="M3422" s="689" t="str">
        <f ca="1">IF(AND(G3422&gt;0,E3422=0),"WARNING - no PRICE inserted",IF(H3422="free","FREE ~ no charge this plant",IF(H3422="credit",CONCATENATE("-$",ROUND(K3422*(1-_xlfn.SINGLE(T2GDiscount))*-1,2)," CREDIT after discount"),IF(_xlfn.SINGLE(T2GDiscount)=0,"",IF(G3422=0,"",IF(F3422="Buy",CONCATENATE("$",ROUND(K3422*(1-_xlfn.SINGLE(T2GDiscount)),2)," with ",(_xlfn.SINGLE(T2GDiscount)*100),"% discount"),CONCATENATE("$",ROUND(K3422*(1-_xlfn.SINGLE(T2GDiscount)),2)," with ",((_xlfn.SINGLE(T2GDiscount)*100+F3422*100)-(_xlfn.SINGLE(T2GDiscount)*100*F3422)),IF(F3422&gt;0,"% discounts",IF(_xlfn.SINGLE(NoWarrantyDiscount)&gt;0,"% discounts","% discount")))))))))</f>
        <v/>
      </c>
      <c r="N3422" s="690"/>
      <c r="O3422" s="486"/>
      <c r="P3422" s="486"/>
      <c r="Q3422" s="486"/>
      <c r="R3422" s="486"/>
      <c r="S3422" s="486"/>
      <c r="T3422" s="102">
        <f t="shared" si="2614"/>
        <v>0</v>
      </c>
      <c r="U3422" s="78">
        <f>IF(NOT(ISNUMBER(G3422)), "", VLOOKUP(A3422,'Discount Lookup'!D:E,2,FALSE)*G3422)</f>
        <v>0</v>
      </c>
      <c r="V3422" s="78">
        <f>IF(NOT(ISNUMBER(G3422)), "", VLOOKUP(A3422,'Discount Lookup'!G:H,2,FALSE)*G3422)</f>
        <v>0</v>
      </c>
      <c r="W3422" s="102">
        <f t="shared" si="2615"/>
        <v>0</v>
      </c>
      <c r="X3422" s="102">
        <f t="shared" si="2616"/>
        <v>0</v>
      </c>
      <c r="Y3422" s="120" t="b">
        <f t="shared" si="2617"/>
        <v>0</v>
      </c>
      <c r="Z3422" s="117">
        <f t="shared" si="2618"/>
        <v>0</v>
      </c>
      <c r="AA3422" s="118"/>
      <c r="AB3422" s="118" t="str">
        <f t="shared" si="2619"/>
        <v/>
      </c>
      <c r="AC3422" s="712" t="str">
        <f>IF(AE3422="T2G","no charge",IF(AND(OR(PlanterYesMe="No",PlanterYesMe="N",PlanterYesMe="me"),H3422=""),"",IF(H3422="credit","NO install",IF(AND(K3422="",AE3422="me"),"EACH row",IF(AND(K3422="images",AE3422="me"),"EACH row",IF(D3422="","",IF(H3422="credit","",IF(AE3422="free","re-planting",IF(AE3422="me","   not ELP, by",IF(AND(OR(PlanterYesMe="Yes",PlanterYesMe="Y"),G3422&gt;0),(VLOOKUP(A3422,'Discount Lookup'!J:K,2)*G3422*(1-PlanterDiscount)*(1+PlanterDifficultyPercentage)),IF(AE3422="ELP",(VLOOKUP(A3422,'Discount Lookup'!J:K,2)*G3422*(1-PlanterDiscount)*(1+PlanterDifficultyPercentage)),IF(AE3422="free","re-planting",IF(G3422=0,"",IF(PlanterYesMe="",IF(AE3422="me","   not ELP, by",IF(AE3422="",IF(G3422&gt;0,(VLOOKUP(A3422,'Discount Lookup'!J:K,2)*G3422*(1-PlanterDiscount)*(1+PlanterDifficultyPercentage)),""),"")),"   not ELP, by"))))))))))))))</f>
        <v/>
      </c>
      <c r="AD3422" s="712"/>
      <c r="AE3422" s="513" t="str">
        <f t="shared" si="2620"/>
        <v/>
      </c>
      <c r="AF3422" s="713" t="str">
        <f t="shared" si="2621"/>
        <v/>
      </c>
      <c r="AG3422" s="713"/>
      <c r="AH3422" s="713"/>
      <c r="AI3422" s="112">
        <f>IF(H3422="credit",0,IF(AE3422="free",0,IF(AE3422="me",0,IF(G3422&gt;0,(VLOOKUP(A3422,'Discount Lookup'!J:K,2)*G3422),0))))</f>
        <v>0</v>
      </c>
      <c r="AJ3422" s="107" t="str">
        <f t="shared" ca="1" si="2622"/>
        <v/>
      </c>
      <c r="AK3422" s="714" t="str">
        <f t="shared" si="2623"/>
        <v/>
      </c>
      <c r="AL3422" s="714"/>
      <c r="AM3422" s="114" t="str">
        <f t="shared" si="2624"/>
        <v/>
      </c>
      <c r="AN3422" s="115"/>
      <c r="AO3422" s="116"/>
      <c r="AP3422" s="116"/>
      <c r="AQ3422" s="116"/>
      <c r="AR3422" s="116"/>
      <c r="AS3422" s="116"/>
      <c r="AT3422" s="116"/>
      <c r="AU3422" s="116"/>
      <c r="AV3422" s="78"/>
      <c r="AW3422" s="102"/>
      <c r="AX3422" s="78"/>
      <c r="AY3422" s="78"/>
      <c r="AZ3422" s="78"/>
      <c r="BA3422" s="78"/>
      <c r="BB3422" s="78"/>
      <c r="BC3422" s="78"/>
      <c r="BD3422" s="78"/>
      <c r="BE3422" s="465"/>
      <c r="BF3422" s="165" t="str">
        <f t="shared" si="2625"/>
        <v>https://www.google.com/search?tbm=isch&amp;q=7%20G4</v>
      </c>
      <c r="BG3422" s="165" t="str">
        <f t="shared" si="2626"/>
        <v>P</v>
      </c>
      <c r="BH3422" s="65"/>
      <c r="BI3422" s="65"/>
      <c r="BJ3422" s="65"/>
      <c r="BK3422" s="65"/>
      <c r="BL3422" s="99"/>
      <c r="BM3422" s="99"/>
      <c r="BN3422" s="99"/>
    </row>
    <row r="3423" spans="1:66" s="51" customFormat="1" ht="17.25" thickBot="1" x14ac:dyDescent="0.3">
      <c r="A3423" s="704" t="s">
        <v>5514</v>
      </c>
      <c r="B3423" s="642"/>
      <c r="C3423" s="710"/>
      <c r="D3423" s="643"/>
      <c r="E3423" s="643"/>
      <c r="F3423" s="644"/>
      <c r="G3423" s="645"/>
      <c r="H3423" s="646"/>
      <c r="I3423" s="647"/>
      <c r="J3423" s="648"/>
      <c r="K3423" s="649"/>
      <c r="L3423" s="650"/>
      <c r="M3423" s="650"/>
      <c r="N3423" s="644"/>
      <c r="O3423" s="644"/>
      <c r="P3423" s="644"/>
      <c r="Q3423" s="644"/>
      <c r="R3423" s="644"/>
      <c r="S3423" s="701" t="s">
        <v>5253</v>
      </c>
      <c r="T3423" s="102">
        <f t="shared" si="2614"/>
        <v>0</v>
      </c>
      <c r="U3423" s="78" t="str">
        <f>IF(NOT(ISNUMBER(G3423)), "", VLOOKUP(A3423,'Discount Lookup'!D:E,2,FALSE)*G3423)</f>
        <v/>
      </c>
      <c r="V3423" s="78" t="str">
        <f>IF(NOT(ISNUMBER(G3423)), "", VLOOKUP(A3423,'Discount Lookup'!G:H,2,FALSE)*G3423)</f>
        <v/>
      </c>
      <c r="W3423" s="102">
        <f t="shared" si="2615"/>
        <v>0</v>
      </c>
      <c r="X3423" s="102">
        <f t="shared" si="2616"/>
        <v>0</v>
      </c>
      <c r="Y3423" s="120" t="b">
        <f t="shared" si="2617"/>
        <v>0</v>
      </c>
      <c r="Z3423" s="117">
        <f t="shared" si="2618"/>
        <v>0</v>
      </c>
      <c r="AA3423" s="118"/>
      <c r="AB3423" s="118" t="str">
        <f t="shared" si="2619"/>
        <v/>
      </c>
      <c r="AC3423" s="712" t="str">
        <f>IF(AE3423="T2G","no charge",IF(AND(OR(PlanterYesMe="No",PlanterYesMe="N",PlanterYesMe="me"),H3423=""),"",IF(H3423="credit","NO install",IF(AND(K3423="",AE3423="me"),"EACH row",IF(AND(K3423="images",AE3423="me"),"EACH row",IF(D3423="","",IF(H3423="credit","",IF(AE3423="free","re-planting",IF(AE3423="me","   not ELP, by",IF(AND(OR(PlanterYesMe="Yes",PlanterYesMe="Y"),G3423&gt;0),(VLOOKUP(A3423,'Discount Lookup'!J:K,2)*G3423*(1-PlanterDiscount)*(1+PlanterDifficultyPercentage)),IF(AE3423="ELP",(VLOOKUP(A3423,'Discount Lookup'!J:K,2)*G3423*(1-PlanterDiscount)*(1+PlanterDifficultyPercentage)),IF(AE3423="free","re-planting",IF(G3423=0,"",IF(PlanterYesMe="",IF(AE3423="me","   not ELP, by",IF(AE3423="",IF(G3423&gt;0,(VLOOKUP(A3423,'Discount Lookup'!J:K,2)*G3423*(1-PlanterDiscount)*(1+PlanterDifficultyPercentage)),""),"")),"   not ELP, by"))))))))))))))</f>
        <v/>
      </c>
      <c r="AD3423" s="712"/>
      <c r="AE3423" s="513" t="str">
        <f t="shared" si="2620"/>
        <v/>
      </c>
      <c r="AF3423" s="713" t="str">
        <f t="shared" si="2621"/>
        <v/>
      </c>
      <c r="AG3423" s="713"/>
      <c r="AH3423" s="713"/>
      <c r="AI3423" s="112">
        <f>IF(H3423="credit",0,IF(AE3423="free",0,IF(AE3423="me",0,IF(G3423&gt;0,(VLOOKUP(A3423,'Discount Lookup'!J:K,2)*G3423),0))))</f>
        <v>0</v>
      </c>
      <c r="AJ3423" s="107" t="str">
        <f t="shared" ca="1" si="2622"/>
        <v/>
      </c>
      <c r="AK3423" s="714" t="str">
        <f t="shared" si="2623"/>
        <v/>
      </c>
      <c r="AL3423" s="714"/>
      <c r="AM3423" s="114" t="str">
        <f t="shared" si="2624"/>
        <v/>
      </c>
      <c r="AN3423" s="115"/>
      <c r="AO3423" s="116"/>
      <c r="AP3423" s="116"/>
      <c r="AQ3423" s="116"/>
      <c r="AR3423" s="116"/>
      <c r="AS3423" s="116"/>
      <c r="AT3423" s="116"/>
      <c r="AU3423" s="116"/>
      <c r="AV3423" s="78"/>
      <c r="AW3423" s="102"/>
      <c r="AX3423" s="78"/>
      <c r="AY3423" s="78"/>
      <c r="AZ3423" s="78"/>
      <c r="BA3423" s="78"/>
      <c r="BB3423" s="78"/>
      <c r="BC3423" s="78"/>
      <c r="BD3423" s="78"/>
      <c r="BE3423" s="465"/>
      <c r="BF3423" s="165" t="str">
        <f t="shared" si="2625"/>
        <v>https://www.google.com/search?tbm=isch&amp;q=moist%20sites%F0%9F%92%A7GOOD%2C%20Corinthian%20White%20is%20notable%20for%20its%20very%20narrow%2C%20upright%20columnar%20form.%20%20Green%20foliage%20turns%20Yellow%20in%20fall%20</v>
      </c>
      <c r="BG3423" s="165" t="str">
        <f t="shared" si="2626"/>
        <v>m</v>
      </c>
      <c r="BH3423" s="65"/>
      <c r="BI3423" s="65"/>
      <c r="BJ3423" s="65"/>
      <c r="BK3423" s="65"/>
      <c r="BL3423" s="99"/>
      <c r="BM3423" s="99"/>
      <c r="BN3423" s="99"/>
    </row>
    <row r="3424" spans="1:66" s="51" customFormat="1" ht="18" x14ac:dyDescent="0.25">
      <c r="A3424" s="623" t="s">
        <v>3873</v>
      </c>
      <c r="B3424" s="624"/>
      <c r="C3424" s="709"/>
      <c r="D3424" s="625" t="s">
        <v>5749</v>
      </c>
      <c r="E3424" s="626"/>
      <c r="F3424" s="626"/>
      <c r="G3424" s="626"/>
      <c r="H3424" s="622" t="s">
        <v>1082</v>
      </c>
      <c r="I3424" s="627" t="s">
        <v>3232</v>
      </c>
      <c r="J3424" s="628"/>
      <c r="K3424" s="628"/>
      <c r="L3424" s="629"/>
      <c r="M3424" s="700" t="s">
        <v>5241</v>
      </c>
      <c r="N3424" s="693" t="str">
        <f>IF(AND(ISTEXT($A3424), ISERROR($A3424+0)), HYPERLINK($BF3424, "Images"), "")</f>
        <v>Images</v>
      </c>
      <c r="O3424" s="695" t="s">
        <v>5286</v>
      </c>
      <c r="P3424" s="630"/>
      <c r="Q3424" s="631"/>
      <c r="R3424" s="632"/>
      <c r="S3424" s="633"/>
      <c r="T3424" s="102">
        <f t="shared" si="2614"/>
        <v>0</v>
      </c>
      <c r="U3424" s="78" t="str">
        <f>IF(NOT(ISNUMBER(G3424)), "", VLOOKUP(A3424,'Discount Lookup'!D:E,2,FALSE)*G3424)</f>
        <v/>
      </c>
      <c r="V3424" s="78" t="str">
        <f>IF(NOT(ISNUMBER(G3424)), "", VLOOKUP(A3424,'Discount Lookup'!G:H,2,FALSE)*G3424)</f>
        <v/>
      </c>
      <c r="W3424" s="102">
        <f t="shared" si="2615"/>
        <v>0</v>
      </c>
      <c r="X3424" s="102" t="str">
        <f t="shared" si="2616"/>
        <v>Dark Pink bloom</v>
      </c>
      <c r="Y3424" s="120" t="b">
        <f t="shared" si="2617"/>
        <v>0</v>
      </c>
      <c r="Z3424" s="117">
        <f t="shared" si="2618"/>
        <v>0</v>
      </c>
      <c r="AA3424" s="118"/>
      <c r="AB3424" s="118" t="str">
        <f t="shared" si="2619"/>
        <v/>
      </c>
      <c r="AC3424" s="712" t="str">
        <f>IF(AE3424="T2G","no charge",IF(AND(OR(PlanterYesMe="No",PlanterYesMe="N",PlanterYesMe="me"),H3424=""),"",IF(H3424="credit","NO install",IF(AND(K3424="",AE3424="me"),"EACH row",IF(AND(K3424="images",AE3424="me"),"EACH row",IF(D3424="","",IF(H3424="credit","",IF(AE3424="free","re-planting",IF(AE3424="me","   not ELP, by",IF(AND(OR(PlanterYesMe="Yes",PlanterYesMe="Y"),G3424&gt;0),(VLOOKUP(A3424,'Discount Lookup'!J:K,2)*G3424*(1-PlanterDiscount)*(1+PlanterDifficultyPercentage)),IF(AE3424="ELP",(VLOOKUP(A3424,'Discount Lookup'!J:K,2)*G3424*(1-PlanterDiscount)*(1+PlanterDifficultyPercentage)),IF(AE3424="free","re-planting",IF(G3424=0,"",IF(PlanterYesMe="",IF(AE3424="me","   not ELP, by",IF(AE3424="",IF(G3424&gt;0,(VLOOKUP(A3424,'Discount Lookup'!J:K,2)*G3424*(1-PlanterDiscount)*(1+PlanterDifficultyPercentage)),""),"")),"   not ELP, by"))))))))))))))</f>
        <v/>
      </c>
      <c r="AD3424" s="712"/>
      <c r="AE3424" s="513" t="str">
        <f t="shared" si="2620"/>
        <v/>
      </c>
      <c r="AF3424" s="713" t="str">
        <f t="shared" si="2621"/>
        <v/>
      </c>
      <c r="AG3424" s="713"/>
      <c r="AH3424" s="713"/>
      <c r="AI3424" s="112">
        <f>IF(H3424="credit",0,IF(AE3424="free",0,IF(AE3424="me",0,IF(G3424&gt;0,(VLOOKUP(A3424,'Discount Lookup'!J:K,2)*G3424),0))))</f>
        <v>0</v>
      </c>
      <c r="AJ3424" s="107" t="str">
        <f t="shared" ca="1" si="2622"/>
        <v/>
      </c>
      <c r="AK3424" s="714" t="str">
        <f t="shared" si="2623"/>
        <v/>
      </c>
      <c r="AL3424" s="714"/>
      <c r="AM3424" s="114" t="str">
        <f t="shared" si="2624"/>
        <v/>
      </c>
      <c r="AN3424" s="115"/>
      <c r="AO3424" s="116"/>
      <c r="AP3424" s="116"/>
      <c r="AQ3424" s="116"/>
      <c r="AR3424" s="116"/>
      <c r="AS3424" s="116"/>
      <c r="AT3424" s="116"/>
      <c r="AU3424" s="116"/>
      <c r="AV3424" s="78"/>
      <c r="AW3424" s="102"/>
      <c r="AX3424" s="78"/>
      <c r="AY3424" s="78"/>
      <c r="AZ3424" s="78"/>
      <c r="BA3424" s="78"/>
      <c r="BB3424" s="78"/>
      <c r="BC3424" s="78"/>
      <c r="BD3424" s="78"/>
      <c r="BE3424" s="465"/>
      <c r="BF3424" s="165" t="str">
        <f t="shared" si="2625"/>
        <v>https://www.google.com/search?tbm=isch&amp;q=Prunus%20persica%20%27NC%20Peach-6%27%20PP%2334261%20Ruby%20Ruffle%C2%AE%20Patio%20Peach</v>
      </c>
      <c r="BG3424" s="165" t="str">
        <f t="shared" si="2626"/>
        <v>P</v>
      </c>
      <c r="BH3424" s="65"/>
      <c r="BI3424" s="65"/>
      <c r="BJ3424" s="65"/>
      <c r="BK3424" s="65"/>
      <c r="BL3424" s="99"/>
      <c r="BM3424" s="99"/>
      <c r="BN3424" s="99"/>
    </row>
    <row r="3425" spans="1:66" s="51" customFormat="1" ht="27" x14ac:dyDescent="0.25">
      <c r="A3425" s="634">
        <v>7</v>
      </c>
      <c r="B3425" s="635" t="s">
        <v>291</v>
      </c>
      <c r="C3425" s="636" t="s">
        <v>3874</v>
      </c>
      <c r="D3425" s="637" t="s">
        <v>299</v>
      </c>
      <c r="E3425" s="638">
        <v>104.95</v>
      </c>
      <c r="F3425" s="639" t="s">
        <v>292</v>
      </c>
      <c r="G3425" s="484">
        <v>0</v>
      </c>
      <c r="H3425" s="691" t="str">
        <f>IF(G3425=0,"",IF(F3425="Buy",IF(G3425=1,"plant","plants"),IF(F3425&gt;0.01,"warranty","Error")))</f>
        <v/>
      </c>
      <c r="I3425" s="640">
        <f>IF(H3425="free",0,IF(H3425="credit",((E3425*(F3425))*G3425*-1),IF(F3425="Buy",(E3425*G3425),((E3425*(1-F3425))*G3425))))</f>
        <v>0</v>
      </c>
      <c r="J3425" s="640">
        <f>IF(H3425="warranty",0,(I3425*(_xlfn.SINGLE(SalesTaxPercentage))))</f>
        <v>0</v>
      </c>
      <c r="K3425" s="716">
        <f t="shared" ref="K3425" si="2632">I3425+J3425</f>
        <v>0</v>
      </c>
      <c r="L3425" s="716"/>
      <c r="M3425" s="689" t="str">
        <f ca="1">IF(AND(G3425&gt;0,E3425=0),"WARNING - no PRICE inserted",IF(H3425="free","FREE ~ no charge this plant",IF(H3425="credit",CONCATENATE("-$",ROUND(K3425*(1-_xlfn.SINGLE(T2GDiscount))*-1,2)," CREDIT after discount"),IF(_xlfn.SINGLE(T2GDiscount)=0,"",IF(G3425=0,"",IF(F3425="Buy",CONCATENATE("$",ROUND(K3425*(1-_xlfn.SINGLE(T2GDiscount)),2)," with ",(_xlfn.SINGLE(T2GDiscount)*100),"% discount"),CONCATENATE("$",ROUND(K3425*(1-_xlfn.SINGLE(T2GDiscount)),2)," with ",((_xlfn.SINGLE(T2GDiscount)*100+F3425*100)-(_xlfn.SINGLE(T2GDiscount)*100*F3425)),IF(F3425&gt;0,"% discounts",IF(_xlfn.SINGLE(NoWarrantyDiscount)&gt;0,"% discounts","% discount")))))))))</f>
        <v/>
      </c>
      <c r="N3425" s="690"/>
      <c r="O3425" s="486"/>
      <c r="P3425" s="486"/>
      <c r="Q3425" s="486"/>
      <c r="R3425" s="486"/>
      <c r="S3425" s="486"/>
      <c r="T3425" s="102">
        <f t="shared" si="2614"/>
        <v>0</v>
      </c>
      <c r="U3425" s="78">
        <f>IF(NOT(ISNUMBER(G3425)), "", VLOOKUP(A3425,'Discount Lookup'!D:E,2,FALSE)*G3425)</f>
        <v>0</v>
      </c>
      <c r="V3425" s="78">
        <f>IF(NOT(ISNUMBER(G3425)), "", VLOOKUP(A3425,'Discount Lookup'!G:H,2,FALSE)*G3425)</f>
        <v>0</v>
      </c>
      <c r="W3425" s="102">
        <f t="shared" si="2615"/>
        <v>0</v>
      </c>
      <c r="X3425" s="102">
        <f t="shared" si="2616"/>
        <v>0</v>
      </c>
      <c r="Y3425" s="120" t="b">
        <f t="shared" si="2617"/>
        <v>0</v>
      </c>
      <c r="Z3425" s="117">
        <f t="shared" si="2618"/>
        <v>0</v>
      </c>
      <c r="AA3425" s="118"/>
      <c r="AB3425" s="118" t="str">
        <f t="shared" si="2619"/>
        <v/>
      </c>
      <c r="AC3425" s="712" t="str">
        <f>IF(AE3425="T2G","no charge",IF(AND(OR(PlanterYesMe="No",PlanterYesMe="N",PlanterYesMe="me"),H3425=""),"",IF(H3425="credit","NO install",IF(AND(K3425="",AE3425="me"),"EACH row",IF(AND(K3425="images",AE3425="me"),"EACH row",IF(D3425="","",IF(H3425="credit","",IF(AE3425="free","re-planting",IF(AE3425="me","   not ELP, by",IF(AND(OR(PlanterYesMe="Yes",PlanterYesMe="Y"),G3425&gt;0),(VLOOKUP(A3425,'Discount Lookup'!J:K,2)*G3425*(1-PlanterDiscount)*(1+PlanterDifficultyPercentage)),IF(AE3425="ELP",(VLOOKUP(A3425,'Discount Lookup'!J:K,2)*G3425*(1-PlanterDiscount)*(1+PlanterDifficultyPercentage)),IF(AE3425="free","re-planting",IF(G3425=0,"",IF(PlanterYesMe="",IF(AE3425="me","   not ELP, by",IF(AE3425="",IF(G3425&gt;0,(VLOOKUP(A3425,'Discount Lookup'!J:K,2)*G3425*(1-PlanterDiscount)*(1+PlanterDifficultyPercentage)),""),"")),"   not ELP, by"))))))))))))))</f>
        <v/>
      </c>
      <c r="AD3425" s="712"/>
      <c r="AE3425" s="513" t="str">
        <f t="shared" si="2620"/>
        <v/>
      </c>
      <c r="AF3425" s="713" t="str">
        <f t="shared" si="2621"/>
        <v/>
      </c>
      <c r="AG3425" s="713"/>
      <c r="AH3425" s="713"/>
      <c r="AI3425" s="112">
        <f>IF(H3425="credit",0,IF(AE3425="free",0,IF(AE3425="me",0,IF(G3425&gt;0,(VLOOKUP(A3425,'Discount Lookup'!J:K,2)*G3425),0))))</f>
        <v>0</v>
      </c>
      <c r="AJ3425" s="107" t="str">
        <f t="shared" ca="1" si="2622"/>
        <v/>
      </c>
      <c r="AK3425" s="714" t="str">
        <f t="shared" si="2623"/>
        <v/>
      </c>
      <c r="AL3425" s="714"/>
      <c r="AM3425" s="114" t="str">
        <f t="shared" si="2624"/>
        <v/>
      </c>
      <c r="AN3425" s="115"/>
      <c r="AO3425" s="116"/>
      <c r="AP3425" s="116"/>
      <c r="AQ3425" s="116"/>
      <c r="AR3425" s="116"/>
      <c r="AS3425" s="116"/>
      <c r="AT3425" s="116"/>
      <c r="AU3425" s="116"/>
      <c r="AV3425" s="78"/>
      <c r="AW3425" s="102"/>
      <c r="AX3425" s="78"/>
      <c r="AY3425" s="78"/>
      <c r="AZ3425" s="78"/>
      <c r="BA3425" s="78"/>
      <c r="BB3425" s="78"/>
      <c r="BC3425" s="78"/>
      <c r="BD3425" s="78"/>
      <c r="BE3425" s="465"/>
      <c r="BF3425" s="165" t="str">
        <f t="shared" si="2625"/>
        <v>https://www.google.com/search?tbm=isch&amp;q=7%20G4</v>
      </c>
      <c r="BG3425" s="165" t="str">
        <f t="shared" si="2626"/>
        <v>P</v>
      </c>
      <c r="BH3425" s="65"/>
      <c r="BI3425" s="65"/>
      <c r="BJ3425" s="65"/>
      <c r="BK3425" s="65"/>
      <c r="BL3425" s="99"/>
      <c r="BM3425" s="99"/>
      <c r="BN3425" s="99"/>
    </row>
    <row r="3426" spans="1:66" s="51" customFormat="1" ht="17.25" thickBot="1" x14ac:dyDescent="0.3">
      <c r="A3426" s="641" t="s">
        <v>3875</v>
      </c>
      <c r="B3426" s="642"/>
      <c r="C3426" s="710"/>
      <c r="D3426" s="643"/>
      <c r="E3426" s="643"/>
      <c r="F3426" s="644"/>
      <c r="G3426" s="645"/>
      <c r="H3426" s="646"/>
      <c r="I3426" s="647"/>
      <c r="J3426" s="648"/>
      <c r="K3426" s="649"/>
      <c r="L3426" s="650"/>
      <c r="M3426" s="650"/>
      <c r="N3426" s="644"/>
      <c r="O3426" s="644"/>
      <c r="P3426" s="644"/>
      <c r="Q3426" s="644"/>
      <c r="R3426" s="644"/>
      <c r="S3426" s="651"/>
      <c r="T3426" s="102">
        <f t="shared" si="2614"/>
        <v>0</v>
      </c>
      <c r="U3426" s="78" t="str">
        <f>IF(NOT(ISNUMBER(G3426)), "", VLOOKUP(A3426,'Discount Lookup'!D:E,2,FALSE)*G3426)</f>
        <v/>
      </c>
      <c r="V3426" s="78" t="str">
        <f>IF(NOT(ISNUMBER(G3426)), "", VLOOKUP(A3426,'Discount Lookup'!G:H,2,FALSE)*G3426)</f>
        <v/>
      </c>
      <c r="W3426" s="102">
        <f t="shared" si="2615"/>
        <v>0</v>
      </c>
      <c r="X3426" s="102">
        <f t="shared" si="2616"/>
        <v>0</v>
      </c>
      <c r="Y3426" s="120" t="b">
        <f t="shared" si="2617"/>
        <v>0</v>
      </c>
      <c r="Z3426" s="117">
        <f t="shared" si="2618"/>
        <v>0</v>
      </c>
      <c r="AA3426" s="118"/>
      <c r="AB3426" s="118" t="str">
        <f t="shared" si="2619"/>
        <v/>
      </c>
      <c r="AC3426" s="712" t="str">
        <f>IF(AE3426="T2G","no charge",IF(AND(OR(PlanterYesMe="No",PlanterYesMe="N",PlanterYesMe="me"),H3426=""),"",IF(H3426="credit","NO install",IF(AND(K3426="",AE3426="me"),"EACH row",IF(AND(K3426="images",AE3426="me"),"EACH row",IF(D3426="","",IF(H3426="credit","",IF(AE3426="free","re-planting",IF(AE3426="me","   not ELP, by",IF(AND(OR(PlanterYesMe="Yes",PlanterYesMe="Y"),G3426&gt;0),(VLOOKUP(A3426,'Discount Lookup'!J:K,2)*G3426*(1-PlanterDiscount)*(1+PlanterDifficultyPercentage)),IF(AE3426="ELP",(VLOOKUP(A3426,'Discount Lookup'!J:K,2)*G3426*(1-PlanterDiscount)*(1+PlanterDifficultyPercentage)),IF(AE3426="free","re-planting",IF(G3426=0,"",IF(PlanterYesMe="",IF(AE3426="me","   not ELP, by",IF(AE3426="",IF(G3426&gt;0,(VLOOKUP(A3426,'Discount Lookup'!J:K,2)*G3426*(1-PlanterDiscount)*(1+PlanterDifficultyPercentage)),""),"")),"   not ELP, by"))))))))))))))</f>
        <v/>
      </c>
      <c r="AD3426" s="712"/>
      <c r="AE3426" s="513" t="str">
        <f t="shared" si="2620"/>
        <v/>
      </c>
      <c r="AF3426" s="713" t="str">
        <f t="shared" si="2621"/>
        <v/>
      </c>
      <c r="AG3426" s="713"/>
      <c r="AH3426" s="713"/>
      <c r="AI3426" s="112">
        <f>IF(H3426="credit",0,IF(AE3426="free",0,IF(AE3426="me",0,IF(G3426&gt;0,(VLOOKUP(A3426,'Discount Lookup'!J:K,2)*G3426),0))))</f>
        <v>0</v>
      </c>
      <c r="AJ3426" s="107" t="str">
        <f t="shared" ca="1" si="2622"/>
        <v/>
      </c>
      <c r="AK3426" s="714" t="str">
        <f t="shared" si="2623"/>
        <v/>
      </c>
      <c r="AL3426" s="714"/>
      <c r="AM3426" s="114" t="str">
        <f t="shared" si="2624"/>
        <v/>
      </c>
      <c r="AN3426" s="115"/>
      <c r="AO3426" s="116"/>
      <c r="AP3426" s="116"/>
      <c r="AQ3426" s="116"/>
      <c r="AR3426" s="116"/>
      <c r="AS3426" s="116"/>
      <c r="AT3426" s="116"/>
      <c r="AU3426" s="116"/>
      <c r="AV3426" s="78"/>
      <c r="AW3426" s="102"/>
      <c r="AX3426" s="78"/>
      <c r="AY3426" s="78"/>
      <c r="AZ3426" s="78"/>
      <c r="BA3426" s="78"/>
      <c r="BB3426" s="78"/>
      <c r="BC3426" s="78"/>
      <c r="BD3426" s="78"/>
      <c r="BE3426" s="465"/>
      <c r="BF3426" s="165" t="str">
        <f t="shared" si="2625"/>
        <v>https://www.google.com/search?tbm=isch&amp;q=Ruby%20Ruffle%20developed%20at%20JC%20Raulston%20Arboretum.%20Burgundy%20foliage%20with%20wavy%20edges.%20Self-pollinating%20</v>
      </c>
      <c r="BG3426" s="165" t="str">
        <f t="shared" si="2626"/>
        <v>R</v>
      </c>
      <c r="BH3426" s="65"/>
      <c r="BI3426" s="65"/>
      <c r="BJ3426" s="65"/>
      <c r="BK3426" s="65"/>
      <c r="BL3426" s="99"/>
      <c r="BM3426" s="99"/>
      <c r="BN3426" s="99"/>
    </row>
    <row r="3427" spans="1:66" s="51" customFormat="1" ht="18" x14ac:dyDescent="0.25">
      <c r="A3427" s="623" t="s">
        <v>3876</v>
      </c>
      <c r="B3427" s="624"/>
      <c r="C3427" s="709"/>
      <c r="D3427" s="625" t="s">
        <v>3877</v>
      </c>
      <c r="E3427" s="626"/>
      <c r="F3427" s="626"/>
      <c r="G3427" s="626"/>
      <c r="H3427" s="622" t="s">
        <v>1158</v>
      </c>
      <c r="I3427" s="627" t="s">
        <v>349</v>
      </c>
      <c r="J3427" s="628"/>
      <c r="K3427" s="628"/>
      <c r="L3427" s="629"/>
      <c r="M3427" s="700" t="s">
        <v>5249</v>
      </c>
      <c r="N3427" s="693" t="str">
        <f>IF(AND(ISTEXT($A3427), ISERROR($A3427+0)), HYPERLINK($BF3427, "Images"), "")</f>
        <v>Images</v>
      </c>
      <c r="O3427" s="695" t="s">
        <v>5247</v>
      </c>
      <c r="P3427" s="630"/>
      <c r="Q3427" s="631"/>
      <c r="R3427" s="632"/>
      <c r="S3427" s="633"/>
      <c r="T3427" s="102">
        <f t="shared" si="2614"/>
        <v>0</v>
      </c>
      <c r="U3427" s="78" t="str">
        <f>IF(NOT(ISNUMBER(G3427)), "", VLOOKUP(A3427,'Discount Lookup'!D:E,2,FALSE)*G3427)</f>
        <v/>
      </c>
      <c r="V3427" s="78" t="str">
        <f>IF(NOT(ISNUMBER(G3427)), "", VLOOKUP(A3427,'Discount Lookup'!G:H,2,FALSE)*G3427)</f>
        <v/>
      </c>
      <c r="W3427" s="102">
        <f t="shared" si="2615"/>
        <v>0</v>
      </c>
      <c r="X3427" s="102" t="str">
        <f t="shared" si="2616"/>
        <v>White bloom</v>
      </c>
      <c r="Y3427" s="120" t="b">
        <f t="shared" si="2617"/>
        <v>0</v>
      </c>
      <c r="Z3427" s="117">
        <f t="shared" si="2618"/>
        <v>0</v>
      </c>
      <c r="AA3427" s="118"/>
      <c r="AB3427" s="118" t="str">
        <f t="shared" si="2619"/>
        <v/>
      </c>
      <c r="AC3427" s="712" t="str">
        <f>IF(AE3427="T2G","no charge",IF(AND(OR(PlanterYesMe="No",PlanterYesMe="N",PlanterYesMe="me"),H3427=""),"",IF(H3427="credit","NO install",IF(AND(K3427="",AE3427="me"),"EACH row",IF(AND(K3427="images",AE3427="me"),"EACH row",IF(D3427="","",IF(H3427="credit","",IF(AE3427="free","re-planting",IF(AE3427="me","   not ELP, by",IF(AND(OR(PlanterYesMe="Yes",PlanterYesMe="Y"),G3427&gt;0),(VLOOKUP(A3427,'Discount Lookup'!J:K,2)*G3427*(1-PlanterDiscount)*(1+PlanterDifficultyPercentage)),IF(AE3427="ELP",(VLOOKUP(A3427,'Discount Lookup'!J:K,2)*G3427*(1-PlanterDiscount)*(1+PlanterDifficultyPercentage)),IF(AE3427="free","re-planting",IF(G3427=0,"",IF(PlanterYesMe="",IF(AE3427="me","   not ELP, by",IF(AE3427="",IF(G3427&gt;0,(VLOOKUP(A3427,'Discount Lookup'!J:K,2)*G3427*(1-PlanterDiscount)*(1+PlanterDifficultyPercentage)),""),"")),"   not ELP, by"))))))))))))))</f>
        <v/>
      </c>
      <c r="AD3427" s="712"/>
      <c r="AE3427" s="513" t="str">
        <f t="shared" si="2620"/>
        <v/>
      </c>
      <c r="AF3427" s="713" t="str">
        <f t="shared" si="2621"/>
        <v/>
      </c>
      <c r="AG3427" s="713"/>
      <c r="AH3427" s="713"/>
      <c r="AI3427" s="112">
        <f>IF(H3427="credit",0,IF(AE3427="free",0,IF(AE3427="me",0,IF(G3427&gt;0,(VLOOKUP(A3427,'Discount Lookup'!J:K,2)*G3427),0))))</f>
        <v>0</v>
      </c>
      <c r="AJ3427" s="107" t="str">
        <f t="shared" ca="1" si="2622"/>
        <v/>
      </c>
      <c r="AK3427" s="714" t="str">
        <f t="shared" si="2623"/>
        <v/>
      </c>
      <c r="AL3427" s="714"/>
      <c r="AM3427" s="114" t="str">
        <f t="shared" si="2624"/>
        <v/>
      </c>
      <c r="AN3427" s="115"/>
      <c r="AO3427" s="116"/>
      <c r="AP3427" s="116"/>
      <c r="AQ3427" s="116"/>
      <c r="AR3427" s="116"/>
      <c r="AS3427" s="116"/>
      <c r="AT3427" s="116"/>
      <c r="AU3427" s="116"/>
      <c r="AV3427" s="78"/>
      <c r="AW3427" s="102"/>
      <c r="AX3427" s="78"/>
      <c r="AY3427" s="78"/>
      <c r="AZ3427" s="78"/>
      <c r="BA3427" s="78"/>
      <c r="BB3427" s="78"/>
      <c r="BC3427" s="78"/>
      <c r="BD3427" s="78"/>
      <c r="BE3427" s="465"/>
      <c r="BF3427" s="165" t="str">
        <f t="shared" si="2625"/>
        <v>https://www.google.com/search?tbm=isch&amp;q=Prunus%20serrulata%20%27Snow%20Goose%27%20Snow%20Goose%20Cherry</v>
      </c>
      <c r="BG3427" s="165" t="str">
        <f t="shared" si="2626"/>
        <v>P</v>
      </c>
      <c r="BH3427" s="65"/>
      <c r="BI3427" s="65"/>
      <c r="BJ3427" s="65"/>
      <c r="BK3427" s="65"/>
      <c r="BL3427" s="99"/>
      <c r="BM3427" s="99"/>
      <c r="BN3427" s="99"/>
    </row>
    <row r="3428" spans="1:66" s="51" customFormat="1" ht="15.75" x14ac:dyDescent="0.25">
      <c r="A3428" s="634">
        <v>7</v>
      </c>
      <c r="B3428" s="635" t="s">
        <v>291</v>
      </c>
      <c r="C3428" s="636" t="s">
        <v>3878</v>
      </c>
      <c r="D3428" s="637" t="s">
        <v>299</v>
      </c>
      <c r="E3428" s="638">
        <v>102.95</v>
      </c>
      <c r="F3428" s="639" t="s">
        <v>292</v>
      </c>
      <c r="G3428" s="484">
        <v>0</v>
      </c>
      <c r="H3428" s="691" t="str">
        <f>IF(G3428=0,"",IF(F3428="Buy",IF(G3428=1,"plant","plants"),IF(F3428&gt;0.01,"warranty","Error")))</f>
        <v/>
      </c>
      <c r="I3428" s="640">
        <f>IF(H3428="free",0,IF(H3428="credit",((E3428*(F3428))*G3428*-1),IF(F3428="Buy",(E3428*G3428),((E3428*(1-F3428))*G3428))))</f>
        <v>0</v>
      </c>
      <c r="J3428" s="640">
        <f>IF(H3428="warranty",0,(I3428*(_xlfn.SINGLE(SalesTaxPercentage))))</f>
        <v>0</v>
      </c>
      <c r="K3428" s="716">
        <f t="shared" ref="K3428" si="2633">I3428+J3428</f>
        <v>0</v>
      </c>
      <c r="L3428" s="716"/>
      <c r="M3428" s="689" t="str">
        <f ca="1">IF(AND(G3428&gt;0,E3428=0),"WARNING - no PRICE inserted",IF(H3428="free","FREE ~ no charge this plant",IF(H3428="credit",CONCATENATE("-$",ROUND(K3428*(1-_xlfn.SINGLE(T2GDiscount))*-1,2)," CREDIT after discount"),IF(_xlfn.SINGLE(T2GDiscount)=0,"",IF(G3428=0,"",IF(F3428="Buy",CONCATENATE("$",ROUND(K3428*(1-_xlfn.SINGLE(T2GDiscount)),2)," with ",(_xlfn.SINGLE(T2GDiscount)*100),"% discount"),CONCATENATE("$",ROUND(K3428*(1-_xlfn.SINGLE(T2GDiscount)),2)," with ",((_xlfn.SINGLE(T2GDiscount)*100+F3428*100)-(_xlfn.SINGLE(T2GDiscount)*100*F3428)),IF(F3428&gt;0,"% discounts",IF(_xlfn.SINGLE(NoWarrantyDiscount)&gt;0,"% discounts","% discount")))))))))</f>
        <v/>
      </c>
      <c r="N3428" s="690"/>
      <c r="O3428" s="486"/>
      <c r="P3428" s="486"/>
      <c r="Q3428" s="486"/>
      <c r="R3428" s="486"/>
      <c r="S3428" s="486"/>
      <c r="T3428" s="102">
        <f t="shared" si="2614"/>
        <v>0</v>
      </c>
      <c r="U3428" s="78">
        <f>IF(NOT(ISNUMBER(G3428)), "", VLOOKUP(A3428,'Discount Lookup'!D:E,2,FALSE)*G3428)</f>
        <v>0</v>
      </c>
      <c r="V3428" s="78">
        <f>IF(NOT(ISNUMBER(G3428)), "", VLOOKUP(A3428,'Discount Lookup'!G:H,2,FALSE)*G3428)</f>
        <v>0</v>
      </c>
      <c r="W3428" s="102">
        <f t="shared" si="2615"/>
        <v>0</v>
      </c>
      <c r="X3428" s="102">
        <f t="shared" si="2616"/>
        <v>0</v>
      </c>
      <c r="Y3428" s="120" t="b">
        <f t="shared" si="2617"/>
        <v>0</v>
      </c>
      <c r="Z3428" s="117">
        <f t="shared" si="2618"/>
        <v>0</v>
      </c>
      <c r="AA3428" s="118"/>
      <c r="AB3428" s="118" t="str">
        <f t="shared" si="2619"/>
        <v/>
      </c>
      <c r="AC3428" s="712" t="str">
        <f>IF(AE3428="T2G","no charge",IF(AND(OR(PlanterYesMe="No",PlanterYesMe="N",PlanterYesMe="me"),H3428=""),"",IF(H3428="credit","NO install",IF(AND(K3428="",AE3428="me"),"EACH row",IF(AND(K3428="images",AE3428="me"),"EACH row",IF(D3428="","",IF(H3428="credit","",IF(AE3428="free","re-planting",IF(AE3428="me","   not ELP, by",IF(AND(OR(PlanterYesMe="Yes",PlanterYesMe="Y"),G3428&gt;0),(VLOOKUP(A3428,'Discount Lookup'!J:K,2)*G3428*(1-PlanterDiscount)*(1+PlanterDifficultyPercentage)),IF(AE3428="ELP",(VLOOKUP(A3428,'Discount Lookup'!J:K,2)*G3428*(1-PlanterDiscount)*(1+PlanterDifficultyPercentage)),IF(AE3428="free","re-planting",IF(G3428=0,"",IF(PlanterYesMe="",IF(AE3428="me","   not ELP, by",IF(AE3428="",IF(G3428&gt;0,(VLOOKUP(A3428,'Discount Lookup'!J:K,2)*G3428*(1-PlanterDiscount)*(1+PlanterDifficultyPercentage)),""),"")),"   not ELP, by"))))))))))))))</f>
        <v/>
      </c>
      <c r="AD3428" s="712"/>
      <c r="AE3428" s="513" t="str">
        <f t="shared" si="2620"/>
        <v/>
      </c>
      <c r="AF3428" s="713" t="str">
        <f t="shared" si="2621"/>
        <v/>
      </c>
      <c r="AG3428" s="713"/>
      <c r="AH3428" s="713"/>
      <c r="AI3428" s="112">
        <f>IF(H3428="credit",0,IF(AE3428="free",0,IF(AE3428="me",0,IF(G3428&gt;0,(VLOOKUP(A3428,'Discount Lookup'!J:K,2)*G3428),0))))</f>
        <v>0</v>
      </c>
      <c r="AJ3428" s="107" t="str">
        <f t="shared" ca="1" si="2622"/>
        <v/>
      </c>
      <c r="AK3428" s="714" t="str">
        <f t="shared" si="2623"/>
        <v/>
      </c>
      <c r="AL3428" s="714"/>
      <c r="AM3428" s="114" t="str">
        <f t="shared" si="2624"/>
        <v/>
      </c>
      <c r="AN3428" s="115"/>
      <c r="AO3428" s="116"/>
      <c r="AP3428" s="116"/>
      <c r="AQ3428" s="116"/>
      <c r="AR3428" s="116"/>
      <c r="AS3428" s="116"/>
      <c r="AT3428" s="116"/>
      <c r="AU3428" s="116"/>
      <c r="AV3428" s="78"/>
      <c r="AW3428" s="102"/>
      <c r="AX3428" s="78"/>
      <c r="AY3428" s="78"/>
      <c r="AZ3428" s="78"/>
      <c r="BA3428" s="78"/>
      <c r="BB3428" s="78"/>
      <c r="BC3428" s="78"/>
      <c r="BD3428" s="78"/>
      <c r="BE3428" s="465"/>
      <c r="BF3428" s="165" t="str">
        <f t="shared" si="2625"/>
        <v>https://www.google.com/search?tbm=isch&amp;q=7%20G4</v>
      </c>
      <c r="BG3428" s="165" t="str">
        <f t="shared" si="2626"/>
        <v>P</v>
      </c>
      <c r="BH3428" s="65"/>
      <c r="BI3428" s="65"/>
      <c r="BJ3428" s="65"/>
      <c r="BK3428" s="65"/>
      <c r="BL3428" s="99"/>
      <c r="BM3428" s="99"/>
      <c r="BN3428" s="99"/>
    </row>
    <row r="3429" spans="1:66" s="51" customFormat="1" ht="15.75" x14ac:dyDescent="0.25">
      <c r="A3429" s="634">
        <v>15</v>
      </c>
      <c r="B3429" s="635" t="s">
        <v>291</v>
      </c>
      <c r="C3429" s="636" t="s">
        <v>1241</v>
      </c>
      <c r="D3429" s="637" t="s">
        <v>299</v>
      </c>
      <c r="E3429" s="638">
        <v>178.95</v>
      </c>
      <c r="F3429" s="639" t="s">
        <v>292</v>
      </c>
      <c r="G3429" s="484">
        <v>0</v>
      </c>
      <c r="H3429" s="691" t="str">
        <f>IF(G3429=0,"",IF(F3429="Buy",IF(G3429=1,"plant","plants"),IF(F3429&gt;0.01,"warranty","Error")))</f>
        <v/>
      </c>
      <c r="I3429" s="640">
        <f>IF(H3429="free",0,IF(H3429="credit",((E3429*(F3429))*G3429*-1),IF(F3429="Buy",(E3429*G3429),((E3429*(1-F3429))*G3429))))</f>
        <v>0</v>
      </c>
      <c r="J3429" s="640">
        <f>IF(H3429="warranty",0,(I3429*(_xlfn.SINGLE(SalesTaxPercentage))))</f>
        <v>0</v>
      </c>
      <c r="K3429" s="716">
        <f t="shared" ref="K3429" si="2634">I3429+J3429</f>
        <v>0</v>
      </c>
      <c r="L3429" s="716"/>
      <c r="M3429" s="689" t="str">
        <f ca="1">IF(AND(G3429&gt;0,E3429=0),"WARNING - no PRICE inserted",IF(H3429="free","FREE ~ no charge this plant",IF(H3429="credit",CONCATENATE("-$",ROUND(K3429*(1-_xlfn.SINGLE(T2GDiscount))*-1,2)," CREDIT after discount"),IF(_xlfn.SINGLE(T2GDiscount)=0,"",IF(G3429=0,"",IF(F3429="Buy",CONCATENATE("$",ROUND(K3429*(1-_xlfn.SINGLE(T2GDiscount)),2)," with ",(_xlfn.SINGLE(T2GDiscount)*100),"% discount"),CONCATENATE("$",ROUND(K3429*(1-_xlfn.SINGLE(T2GDiscount)),2)," with ",((_xlfn.SINGLE(T2GDiscount)*100+F3429*100)-(_xlfn.SINGLE(T2GDiscount)*100*F3429)),IF(F3429&gt;0,"% discounts",IF(_xlfn.SINGLE(NoWarrantyDiscount)&gt;0,"% discounts","% discount")))))))))</f>
        <v/>
      </c>
      <c r="N3429" s="690"/>
      <c r="O3429" s="486"/>
      <c r="P3429" s="486"/>
      <c r="Q3429" s="486"/>
      <c r="R3429" s="486"/>
      <c r="S3429" s="486"/>
      <c r="T3429" s="102">
        <f t="shared" si="2614"/>
        <v>0</v>
      </c>
      <c r="U3429" s="78">
        <f>IF(NOT(ISNUMBER(G3429)), "", VLOOKUP(A3429,'Discount Lookup'!D:E,2,FALSE)*G3429)</f>
        <v>0</v>
      </c>
      <c r="V3429" s="78">
        <f>IF(NOT(ISNUMBER(G3429)), "", VLOOKUP(A3429,'Discount Lookup'!G:H,2,FALSE)*G3429)</f>
        <v>0</v>
      </c>
      <c r="W3429" s="102">
        <f t="shared" si="2615"/>
        <v>0</v>
      </c>
      <c r="X3429" s="102">
        <f t="shared" si="2616"/>
        <v>0</v>
      </c>
      <c r="Y3429" s="120" t="b">
        <f t="shared" si="2617"/>
        <v>0</v>
      </c>
      <c r="Z3429" s="117">
        <f t="shared" si="2618"/>
        <v>0</v>
      </c>
      <c r="AA3429" s="118"/>
      <c r="AB3429" s="118" t="str">
        <f t="shared" si="2619"/>
        <v/>
      </c>
      <c r="AC3429" s="712" t="str">
        <f>IF(AE3429="T2G","no charge",IF(AND(OR(PlanterYesMe="No",PlanterYesMe="N",PlanterYesMe="me"),H3429=""),"",IF(H3429="credit","NO install",IF(AND(K3429="",AE3429="me"),"EACH row",IF(AND(K3429="images",AE3429="me"),"EACH row",IF(D3429="","",IF(H3429="credit","",IF(AE3429="free","re-planting",IF(AE3429="me","   not ELP, by",IF(AND(OR(PlanterYesMe="Yes",PlanterYesMe="Y"),G3429&gt;0),(VLOOKUP(A3429,'Discount Lookup'!J:K,2)*G3429*(1-PlanterDiscount)*(1+PlanterDifficultyPercentage)),IF(AE3429="ELP",(VLOOKUP(A3429,'Discount Lookup'!J:K,2)*G3429*(1-PlanterDiscount)*(1+PlanterDifficultyPercentage)),IF(AE3429="free","re-planting",IF(G3429=0,"",IF(PlanterYesMe="",IF(AE3429="me","   not ELP, by",IF(AE3429="",IF(G3429&gt;0,(VLOOKUP(A3429,'Discount Lookup'!J:K,2)*G3429*(1-PlanterDiscount)*(1+PlanterDifficultyPercentage)),""),"")),"   not ELP, by"))))))))))))))</f>
        <v/>
      </c>
      <c r="AD3429" s="712"/>
      <c r="AE3429" s="513" t="str">
        <f t="shared" si="2620"/>
        <v/>
      </c>
      <c r="AF3429" s="713" t="str">
        <f t="shared" si="2621"/>
        <v/>
      </c>
      <c r="AG3429" s="713"/>
      <c r="AH3429" s="713"/>
      <c r="AI3429" s="112">
        <f>IF(H3429="credit",0,IF(AE3429="free",0,IF(AE3429="me",0,IF(G3429&gt;0,(VLOOKUP(A3429,'Discount Lookup'!J:K,2)*G3429),0))))</f>
        <v>0</v>
      </c>
      <c r="AJ3429" s="107" t="str">
        <f t="shared" ca="1" si="2622"/>
        <v/>
      </c>
      <c r="AK3429" s="714" t="str">
        <f t="shared" si="2623"/>
        <v/>
      </c>
      <c r="AL3429" s="714"/>
      <c r="AM3429" s="114" t="str">
        <f t="shared" si="2624"/>
        <v/>
      </c>
      <c r="AN3429" s="115"/>
      <c r="AO3429" s="116"/>
      <c r="AP3429" s="116"/>
      <c r="AQ3429" s="116"/>
      <c r="AR3429" s="116"/>
      <c r="AS3429" s="116"/>
      <c r="AT3429" s="116"/>
      <c r="AU3429" s="116"/>
      <c r="AV3429" s="78"/>
      <c r="AW3429" s="102"/>
      <c r="AX3429" s="78"/>
      <c r="AY3429" s="78"/>
      <c r="AZ3429" s="78"/>
      <c r="BA3429" s="78"/>
      <c r="BB3429" s="78"/>
      <c r="BC3429" s="78"/>
      <c r="BD3429" s="78"/>
      <c r="BE3429" s="465"/>
      <c r="BF3429" s="165" t="str">
        <f t="shared" si="2625"/>
        <v>https://www.google.com/search?tbm=isch&amp;q=15%20G4</v>
      </c>
      <c r="BG3429" s="165" t="str">
        <f t="shared" si="2626"/>
        <v>P</v>
      </c>
      <c r="BH3429" s="65"/>
      <c r="BI3429" s="65"/>
      <c r="BJ3429" s="65"/>
      <c r="BK3429" s="65"/>
      <c r="BL3429" s="99"/>
      <c r="BM3429" s="99"/>
      <c r="BN3429" s="99"/>
    </row>
    <row r="3430" spans="1:66" s="51" customFormat="1" ht="15.75" x14ac:dyDescent="0.25">
      <c r="A3430" s="634">
        <v>15</v>
      </c>
      <c r="B3430" s="635" t="s">
        <v>291</v>
      </c>
      <c r="C3430" s="636" t="s">
        <v>3879</v>
      </c>
      <c r="D3430" s="637" t="s">
        <v>293</v>
      </c>
      <c r="E3430" s="638">
        <v>299.95</v>
      </c>
      <c r="F3430" s="639" t="s">
        <v>292</v>
      </c>
      <c r="G3430" s="484">
        <v>0</v>
      </c>
      <c r="H3430" s="691" t="str">
        <f>IF(G3430=0,"",IF(F3430="Buy",IF(G3430=1,"plant","plants"),IF(F3430&gt;0.01,"warranty","Error")))</f>
        <v/>
      </c>
      <c r="I3430" s="640">
        <f>IF(H3430="free",0,IF(H3430="credit",((E3430*(F3430))*G3430*-1),IF(F3430="Buy",(E3430*G3430),((E3430*(1-F3430))*G3430))))</f>
        <v>0</v>
      </c>
      <c r="J3430" s="640">
        <f>IF(H3430="warranty",0,(I3430*(_xlfn.SINGLE(SalesTaxPercentage))))</f>
        <v>0</v>
      </c>
      <c r="K3430" s="716">
        <f t="shared" ref="K3430" si="2635">I3430+J3430</f>
        <v>0</v>
      </c>
      <c r="L3430" s="716"/>
      <c r="M3430" s="689" t="str">
        <f ca="1">IF(AND(G3430&gt;0,E3430=0),"WARNING - no PRICE inserted",IF(H3430="free","FREE ~ no charge this plant",IF(H3430="credit",CONCATENATE("-$",ROUND(K3430*(1-_xlfn.SINGLE(T2GDiscount))*-1,2)," CREDIT after discount"),IF(_xlfn.SINGLE(T2GDiscount)=0,"",IF(G3430=0,"",IF(F3430="Buy",CONCATENATE("$",ROUND(K3430*(1-_xlfn.SINGLE(T2GDiscount)),2)," with ",(_xlfn.SINGLE(T2GDiscount)*100),"% discount"),CONCATENATE("$",ROUND(K3430*(1-_xlfn.SINGLE(T2GDiscount)),2)," with ",((_xlfn.SINGLE(T2GDiscount)*100+F3430*100)-(_xlfn.SINGLE(T2GDiscount)*100*F3430)),IF(F3430&gt;0,"% discounts",IF(_xlfn.SINGLE(NoWarrantyDiscount)&gt;0,"% discounts","% discount")))))))))</f>
        <v/>
      </c>
      <c r="N3430" s="690"/>
      <c r="O3430" s="486"/>
      <c r="P3430" s="486"/>
      <c r="Q3430" s="486"/>
      <c r="R3430" s="486"/>
      <c r="S3430" s="486"/>
      <c r="T3430" s="102">
        <f t="shared" si="2614"/>
        <v>0</v>
      </c>
      <c r="U3430" s="78">
        <f>IF(NOT(ISNUMBER(G3430)), "", VLOOKUP(A3430,'Discount Lookup'!D:E,2,FALSE)*G3430)</f>
        <v>0</v>
      </c>
      <c r="V3430" s="78">
        <f>IF(NOT(ISNUMBER(G3430)), "", VLOOKUP(A3430,'Discount Lookup'!G:H,2,FALSE)*G3430)</f>
        <v>0</v>
      </c>
      <c r="W3430" s="102">
        <f t="shared" si="2615"/>
        <v>0</v>
      </c>
      <c r="X3430" s="102">
        <f t="shared" si="2616"/>
        <v>0</v>
      </c>
      <c r="Y3430" s="120" t="b">
        <f t="shared" si="2617"/>
        <v>0</v>
      </c>
      <c r="Z3430" s="117">
        <f t="shared" si="2618"/>
        <v>0</v>
      </c>
      <c r="AA3430" s="118"/>
      <c r="AB3430" s="118" t="str">
        <f t="shared" si="2619"/>
        <v/>
      </c>
      <c r="AC3430" s="712" t="str">
        <f>IF(AE3430="T2G","no charge",IF(AND(OR(PlanterYesMe="No",PlanterYesMe="N",PlanterYesMe="me"),H3430=""),"",IF(H3430="credit","NO install",IF(AND(K3430="",AE3430="me"),"EACH row",IF(AND(K3430="images",AE3430="me"),"EACH row",IF(D3430="","",IF(H3430="credit","",IF(AE3430="free","re-planting",IF(AE3430="me","   not ELP, by",IF(AND(OR(PlanterYesMe="Yes",PlanterYesMe="Y"),G3430&gt;0),(VLOOKUP(A3430,'Discount Lookup'!J:K,2)*G3430*(1-PlanterDiscount)*(1+PlanterDifficultyPercentage)),IF(AE3430="ELP",(VLOOKUP(A3430,'Discount Lookup'!J:K,2)*G3430*(1-PlanterDiscount)*(1+PlanterDifficultyPercentage)),IF(AE3430="free","re-planting",IF(G3430=0,"",IF(PlanterYesMe="",IF(AE3430="me","   not ELP, by",IF(AE3430="",IF(G3430&gt;0,(VLOOKUP(A3430,'Discount Lookup'!J:K,2)*G3430*(1-PlanterDiscount)*(1+PlanterDifficultyPercentage)),""),"")),"   not ELP, by"))))))))))))))</f>
        <v/>
      </c>
      <c r="AD3430" s="712"/>
      <c r="AE3430" s="513" t="str">
        <f t="shared" si="2620"/>
        <v/>
      </c>
      <c r="AF3430" s="713" t="str">
        <f t="shared" si="2621"/>
        <v/>
      </c>
      <c r="AG3430" s="713"/>
      <c r="AH3430" s="713"/>
      <c r="AI3430" s="112">
        <f>IF(H3430="credit",0,IF(AE3430="free",0,IF(AE3430="me",0,IF(G3430&gt;0,(VLOOKUP(A3430,'Discount Lookup'!J:K,2)*G3430),0))))</f>
        <v>0</v>
      </c>
      <c r="AJ3430" s="107" t="str">
        <f t="shared" ca="1" si="2622"/>
        <v/>
      </c>
      <c r="AK3430" s="714" t="str">
        <f t="shared" si="2623"/>
        <v/>
      </c>
      <c r="AL3430" s="714"/>
      <c r="AM3430" s="114" t="str">
        <f t="shared" si="2624"/>
        <v/>
      </c>
      <c r="AN3430" s="115"/>
      <c r="AO3430" s="116"/>
      <c r="AP3430" s="116"/>
      <c r="AQ3430" s="116"/>
      <c r="AR3430" s="116"/>
      <c r="AS3430" s="116"/>
      <c r="AT3430" s="116"/>
      <c r="AU3430" s="116"/>
      <c r="AV3430" s="78"/>
      <c r="AW3430" s="102"/>
      <c r="AX3430" s="78"/>
      <c r="AY3430" s="78"/>
      <c r="AZ3430" s="78"/>
      <c r="BA3430" s="78"/>
      <c r="BB3430" s="78"/>
      <c r="BC3430" s="78"/>
      <c r="BD3430" s="78"/>
      <c r="BE3430" s="465"/>
      <c r="BF3430" s="165" t="str">
        <f t="shared" si="2625"/>
        <v>https://www.google.com/search?tbm=isch&amp;q=15%20G6</v>
      </c>
      <c r="BG3430" s="165" t="str">
        <f t="shared" si="2626"/>
        <v>P</v>
      </c>
      <c r="BH3430" s="65"/>
      <c r="BI3430" s="65"/>
      <c r="BJ3430" s="65"/>
      <c r="BK3430" s="65"/>
      <c r="BL3430" s="99"/>
      <c r="BM3430" s="99"/>
      <c r="BN3430" s="99"/>
    </row>
    <row r="3431" spans="1:66" s="51" customFormat="1" ht="17.25" thickBot="1" x14ac:dyDescent="0.3">
      <c r="A3431" s="641" t="s">
        <v>3880</v>
      </c>
      <c r="B3431" s="642"/>
      <c r="C3431" s="710"/>
      <c r="D3431" s="643"/>
      <c r="E3431" s="643"/>
      <c r="F3431" s="644"/>
      <c r="G3431" s="645"/>
      <c r="H3431" s="646"/>
      <c r="I3431" s="647"/>
      <c r="J3431" s="648"/>
      <c r="K3431" s="649"/>
      <c r="L3431" s="650"/>
      <c r="M3431" s="650"/>
      <c r="N3431" s="644"/>
      <c r="O3431" s="644"/>
      <c r="P3431" s="644"/>
      <c r="Q3431" s="644"/>
      <c r="R3431" s="644"/>
      <c r="S3431" s="701" t="s">
        <v>5253</v>
      </c>
      <c r="T3431" s="102">
        <f t="shared" si="2614"/>
        <v>0</v>
      </c>
      <c r="U3431" s="78" t="str">
        <f>IF(NOT(ISNUMBER(G3431)), "", VLOOKUP(A3431,'Discount Lookup'!D:E,2,FALSE)*G3431)</f>
        <v/>
      </c>
      <c r="V3431" s="78" t="str">
        <f>IF(NOT(ISNUMBER(G3431)), "", VLOOKUP(A3431,'Discount Lookup'!G:H,2,FALSE)*G3431)</f>
        <v/>
      </c>
      <c r="W3431" s="102">
        <f t="shared" si="2615"/>
        <v>0</v>
      </c>
      <c r="X3431" s="102">
        <f t="shared" si="2616"/>
        <v>0</v>
      </c>
      <c r="Y3431" s="120" t="b">
        <f t="shared" si="2617"/>
        <v>0</v>
      </c>
      <c r="Z3431" s="117">
        <f t="shared" si="2618"/>
        <v>0</v>
      </c>
      <c r="AA3431" s="118"/>
      <c r="AB3431" s="118" t="str">
        <f t="shared" si="2619"/>
        <v/>
      </c>
      <c r="AC3431" s="712" t="str">
        <f>IF(AE3431="T2G","no charge",IF(AND(OR(PlanterYesMe="No",PlanterYesMe="N",PlanterYesMe="me"),H3431=""),"",IF(H3431="credit","NO install",IF(AND(K3431="",AE3431="me"),"EACH row",IF(AND(K3431="images",AE3431="me"),"EACH row",IF(D3431="","",IF(H3431="credit","",IF(AE3431="free","re-planting",IF(AE3431="me","   not ELP, by",IF(AND(OR(PlanterYesMe="Yes",PlanterYesMe="Y"),G3431&gt;0),(VLOOKUP(A3431,'Discount Lookup'!J:K,2)*G3431*(1-PlanterDiscount)*(1+PlanterDifficultyPercentage)),IF(AE3431="ELP",(VLOOKUP(A3431,'Discount Lookup'!J:K,2)*G3431*(1-PlanterDiscount)*(1+PlanterDifficultyPercentage)),IF(AE3431="free","re-planting",IF(G3431=0,"",IF(PlanterYesMe="",IF(AE3431="me","   not ELP, by",IF(AE3431="",IF(G3431&gt;0,(VLOOKUP(A3431,'Discount Lookup'!J:K,2)*G3431*(1-PlanterDiscount)*(1+PlanterDifficultyPercentage)),""),"")),"   not ELP, by"))))))))))))))</f>
        <v/>
      </c>
      <c r="AD3431" s="712"/>
      <c r="AE3431" s="513" t="str">
        <f t="shared" si="2620"/>
        <v/>
      </c>
      <c r="AF3431" s="713" t="str">
        <f t="shared" si="2621"/>
        <v/>
      </c>
      <c r="AG3431" s="713"/>
      <c r="AH3431" s="713"/>
      <c r="AI3431" s="112">
        <f>IF(H3431="credit",0,IF(AE3431="free",0,IF(AE3431="me",0,IF(G3431&gt;0,(VLOOKUP(A3431,'Discount Lookup'!J:K,2)*G3431),0))))</f>
        <v>0</v>
      </c>
      <c r="AJ3431" s="107" t="str">
        <f t="shared" ca="1" si="2622"/>
        <v/>
      </c>
      <c r="AK3431" s="714" t="str">
        <f t="shared" si="2623"/>
        <v/>
      </c>
      <c r="AL3431" s="714"/>
      <c r="AM3431" s="114" t="str">
        <f t="shared" si="2624"/>
        <v/>
      </c>
      <c r="AN3431" s="115"/>
      <c r="AO3431" s="116"/>
      <c r="AP3431" s="116"/>
      <c r="AQ3431" s="116"/>
      <c r="AR3431" s="116"/>
      <c r="AS3431" s="116"/>
      <c r="AT3431" s="116"/>
      <c r="AU3431" s="116"/>
      <c r="AV3431" s="78"/>
      <c r="AW3431" s="102"/>
      <c r="AX3431" s="78"/>
      <c r="AY3431" s="78"/>
      <c r="AZ3431" s="78"/>
      <c r="BA3431" s="78"/>
      <c r="BB3431" s="78"/>
      <c r="BC3431" s="78"/>
      <c r="BD3431" s="78"/>
      <c r="BE3431" s="465"/>
      <c r="BF3431" s="165" t="str">
        <f t="shared" si="2625"/>
        <v>https://www.google.com/search?tbm=isch&amp;q=Snow%20Goose%20bark%20is%20coppery%20red%20and%20peels.%20Dark%20foliage.%20Fast%20growing.%20Finest%20blooms%20in%20full%20sun%20</v>
      </c>
      <c r="BG3431" s="165" t="str">
        <f t="shared" si="2626"/>
        <v>S</v>
      </c>
      <c r="BH3431" s="65"/>
      <c r="BI3431" s="65"/>
      <c r="BJ3431" s="65"/>
      <c r="BK3431" s="65"/>
      <c r="BL3431" s="99"/>
      <c r="BM3431" s="99"/>
      <c r="BN3431" s="99"/>
    </row>
    <row r="3432" spans="1:66" s="51" customFormat="1" ht="18" x14ac:dyDescent="0.25">
      <c r="A3432" s="623" t="s">
        <v>3881</v>
      </c>
      <c r="B3432" s="624"/>
      <c r="C3432" s="709"/>
      <c r="D3432" s="625" t="s">
        <v>3882</v>
      </c>
      <c r="E3432" s="626"/>
      <c r="F3432" s="626"/>
      <c r="G3432" s="626"/>
      <c r="H3432" s="622" t="s">
        <v>1163</v>
      </c>
      <c r="I3432" s="627" t="s">
        <v>1837</v>
      </c>
      <c r="J3432" s="628"/>
      <c r="K3432" s="628"/>
      <c r="L3432" s="629"/>
      <c r="M3432" s="700" t="s">
        <v>5241</v>
      </c>
      <c r="N3432" s="693" t="str">
        <f>IF(AND(ISTEXT($A3432), ISERROR($A3432+0)), HYPERLINK($BF3432, "Images"), "")</f>
        <v>Images</v>
      </c>
      <c r="O3432" s="695" t="s">
        <v>5286</v>
      </c>
      <c r="P3432" s="630"/>
      <c r="Q3432" s="631"/>
      <c r="R3432" s="632"/>
      <c r="S3432" s="633"/>
      <c r="T3432" s="102">
        <f t="shared" si="2614"/>
        <v>0</v>
      </c>
      <c r="U3432" s="78" t="str">
        <f>IF(NOT(ISNUMBER(G3432)), "", VLOOKUP(A3432,'Discount Lookup'!D:E,2,FALSE)*G3432)</f>
        <v/>
      </c>
      <c r="V3432" s="78" t="str">
        <f>IF(NOT(ISNUMBER(G3432)), "", VLOOKUP(A3432,'Discount Lookup'!G:H,2,FALSE)*G3432)</f>
        <v/>
      </c>
      <c r="W3432" s="102">
        <f t="shared" si="2615"/>
        <v>0</v>
      </c>
      <c r="X3432" s="102" t="str">
        <f t="shared" si="2616"/>
        <v>Rose-Pink bloom</v>
      </c>
      <c r="Y3432" s="120" t="b">
        <f t="shared" si="2617"/>
        <v>0</v>
      </c>
      <c r="Z3432" s="117">
        <f t="shared" si="2618"/>
        <v>0</v>
      </c>
      <c r="AA3432" s="118"/>
      <c r="AB3432" s="118" t="str">
        <f t="shared" si="2619"/>
        <v/>
      </c>
      <c r="AC3432" s="712" t="str">
        <f>IF(AE3432="T2G","no charge",IF(AND(OR(PlanterYesMe="No",PlanterYesMe="N",PlanterYesMe="me"),H3432=""),"",IF(H3432="credit","NO install",IF(AND(K3432="",AE3432="me"),"EACH row",IF(AND(K3432="images",AE3432="me"),"EACH row",IF(D3432="","",IF(H3432="credit","",IF(AE3432="free","re-planting",IF(AE3432="me","   not ELP, by",IF(AND(OR(PlanterYesMe="Yes",PlanterYesMe="Y"),G3432&gt;0),(VLOOKUP(A3432,'Discount Lookup'!J:K,2)*G3432*(1-PlanterDiscount)*(1+PlanterDifficultyPercentage)),IF(AE3432="ELP",(VLOOKUP(A3432,'Discount Lookup'!J:K,2)*G3432*(1-PlanterDiscount)*(1+PlanterDifficultyPercentage)),IF(AE3432="free","re-planting",IF(G3432=0,"",IF(PlanterYesMe="",IF(AE3432="me","   not ELP, by",IF(AE3432="",IF(G3432&gt;0,(VLOOKUP(A3432,'Discount Lookup'!J:K,2)*G3432*(1-PlanterDiscount)*(1+PlanterDifficultyPercentage)),""),"")),"   not ELP, by"))))))))))))))</f>
        <v/>
      </c>
      <c r="AD3432" s="712"/>
      <c r="AE3432" s="513" t="str">
        <f t="shared" si="2620"/>
        <v/>
      </c>
      <c r="AF3432" s="713" t="str">
        <f t="shared" si="2621"/>
        <v/>
      </c>
      <c r="AG3432" s="713"/>
      <c r="AH3432" s="713"/>
      <c r="AI3432" s="112">
        <f>IF(H3432="credit",0,IF(AE3432="free",0,IF(AE3432="me",0,IF(G3432&gt;0,(VLOOKUP(A3432,'Discount Lookup'!J:K,2)*G3432),0))))</f>
        <v>0</v>
      </c>
      <c r="AJ3432" s="107" t="str">
        <f t="shared" ca="1" si="2622"/>
        <v/>
      </c>
      <c r="AK3432" s="714" t="str">
        <f t="shared" si="2623"/>
        <v/>
      </c>
      <c r="AL3432" s="714"/>
      <c r="AM3432" s="114" t="str">
        <f t="shared" si="2624"/>
        <v/>
      </c>
      <c r="AN3432" s="115"/>
      <c r="AO3432" s="116"/>
      <c r="AP3432" s="116"/>
      <c r="AQ3432" s="116"/>
      <c r="AR3432" s="116"/>
      <c r="AS3432" s="116"/>
      <c r="AT3432" s="116"/>
      <c r="AU3432" s="116"/>
      <c r="AV3432" s="78"/>
      <c r="AW3432" s="102"/>
      <c r="AX3432" s="78"/>
      <c r="AY3432" s="78"/>
      <c r="AZ3432" s="78"/>
      <c r="BA3432" s="78"/>
      <c r="BB3432" s="78"/>
      <c r="BC3432" s="78"/>
      <c r="BD3432" s="78"/>
      <c r="BE3432" s="465"/>
      <c r="BF3432" s="165" t="str">
        <f t="shared" si="2625"/>
        <v>https://www.google.com/search?tbm=isch&amp;q=Prunus%20subhirtella%20%27Pendula%20Plena%20Rosea%27%20Double%20Pink%20Weeping%20Cherry</v>
      </c>
      <c r="BG3432" s="165" t="str">
        <f t="shared" si="2626"/>
        <v>P</v>
      </c>
      <c r="BH3432" s="65"/>
      <c r="BI3432" s="65"/>
      <c r="BJ3432" s="65"/>
      <c r="BK3432" s="65"/>
      <c r="BL3432" s="99"/>
      <c r="BM3432" s="99"/>
      <c r="BN3432" s="99"/>
    </row>
    <row r="3433" spans="1:66" s="51" customFormat="1" ht="15.75" x14ac:dyDescent="0.25">
      <c r="A3433" s="634">
        <v>15</v>
      </c>
      <c r="B3433" s="635" t="s">
        <v>291</v>
      </c>
      <c r="C3433" s="636" t="s">
        <v>1253</v>
      </c>
      <c r="D3433" s="637" t="s">
        <v>329</v>
      </c>
      <c r="E3433" s="638">
        <v>175.95</v>
      </c>
      <c r="F3433" s="639" t="s">
        <v>292</v>
      </c>
      <c r="G3433" s="484">
        <v>0</v>
      </c>
      <c r="H3433" s="691" t="str">
        <f>IF(G3433=0,"",IF(F3433="Buy",IF(G3433=1,"plant","plants"),IF(F3433&gt;0.01,"warranty","Error")))</f>
        <v/>
      </c>
      <c r="I3433" s="640">
        <f>IF(H3433="free",0,IF(H3433="credit",((E3433*(F3433))*G3433*-1),IF(F3433="Buy",(E3433*G3433),((E3433*(1-F3433))*G3433))))</f>
        <v>0</v>
      </c>
      <c r="J3433" s="640">
        <f>IF(H3433="warranty",0,(I3433*(_xlfn.SINGLE(SalesTaxPercentage))))</f>
        <v>0</v>
      </c>
      <c r="K3433" s="716">
        <f t="shared" ref="K3433" si="2636">I3433+J3433</f>
        <v>0</v>
      </c>
      <c r="L3433" s="716"/>
      <c r="M3433" s="689" t="str">
        <f ca="1">IF(AND(G3433&gt;0,E3433=0),"WARNING - no PRICE inserted",IF(H3433="free","FREE ~ no charge this plant",IF(H3433="credit",CONCATENATE("-$",ROUND(K3433*(1-_xlfn.SINGLE(T2GDiscount))*-1,2)," CREDIT after discount"),IF(_xlfn.SINGLE(T2GDiscount)=0,"",IF(G3433=0,"",IF(F3433="Buy",CONCATENATE("$",ROUND(K3433*(1-_xlfn.SINGLE(T2GDiscount)),2)," with ",(_xlfn.SINGLE(T2GDiscount)*100),"% discount"),CONCATENATE("$",ROUND(K3433*(1-_xlfn.SINGLE(T2GDiscount)),2)," with ",((_xlfn.SINGLE(T2GDiscount)*100+F3433*100)-(_xlfn.SINGLE(T2GDiscount)*100*F3433)),IF(F3433&gt;0,"% discounts",IF(_xlfn.SINGLE(NoWarrantyDiscount)&gt;0,"% discounts","% discount")))))))))</f>
        <v/>
      </c>
      <c r="N3433" s="690"/>
      <c r="O3433" s="486"/>
      <c r="P3433" s="486"/>
      <c r="Q3433" s="486"/>
      <c r="R3433" s="486"/>
      <c r="S3433" s="486"/>
      <c r="T3433" s="102">
        <f t="shared" si="2614"/>
        <v>0</v>
      </c>
      <c r="U3433" s="78">
        <f>IF(NOT(ISNUMBER(G3433)), "", VLOOKUP(A3433,'Discount Lookup'!D:E,2,FALSE)*G3433)</f>
        <v>0</v>
      </c>
      <c r="V3433" s="78">
        <f>IF(NOT(ISNUMBER(G3433)), "", VLOOKUP(A3433,'Discount Lookup'!G:H,2,FALSE)*G3433)</f>
        <v>0</v>
      </c>
      <c r="W3433" s="102">
        <f t="shared" si="2615"/>
        <v>0</v>
      </c>
      <c r="X3433" s="102">
        <f t="shared" si="2616"/>
        <v>0</v>
      </c>
      <c r="Y3433" s="120" t="b">
        <f t="shared" si="2617"/>
        <v>0</v>
      </c>
      <c r="Z3433" s="117">
        <f t="shared" si="2618"/>
        <v>0</v>
      </c>
      <c r="AA3433" s="118"/>
      <c r="AB3433" s="118" t="str">
        <f t="shared" si="2619"/>
        <v/>
      </c>
      <c r="AC3433" s="712" t="str">
        <f>IF(AE3433="T2G","no charge",IF(AND(OR(PlanterYesMe="No",PlanterYesMe="N",PlanterYesMe="me"),H3433=""),"",IF(H3433="credit","NO install",IF(AND(K3433="",AE3433="me"),"EACH row",IF(AND(K3433="images",AE3433="me"),"EACH row",IF(D3433="","",IF(H3433="credit","",IF(AE3433="free","re-planting",IF(AE3433="me","   not ELP, by",IF(AND(OR(PlanterYesMe="Yes",PlanterYesMe="Y"),G3433&gt;0),(VLOOKUP(A3433,'Discount Lookup'!J:K,2)*G3433*(1-PlanterDiscount)*(1+PlanterDifficultyPercentage)),IF(AE3433="ELP",(VLOOKUP(A3433,'Discount Lookup'!J:K,2)*G3433*(1-PlanterDiscount)*(1+PlanterDifficultyPercentage)),IF(AE3433="free","re-planting",IF(G3433=0,"",IF(PlanterYesMe="",IF(AE3433="me","   not ELP, by",IF(AE3433="",IF(G3433&gt;0,(VLOOKUP(A3433,'Discount Lookup'!J:K,2)*G3433*(1-PlanterDiscount)*(1+PlanterDifficultyPercentage)),""),"")),"   not ELP, by"))))))))))))))</f>
        <v/>
      </c>
      <c r="AD3433" s="712"/>
      <c r="AE3433" s="513" t="str">
        <f t="shared" si="2620"/>
        <v/>
      </c>
      <c r="AF3433" s="713" t="str">
        <f t="shared" si="2621"/>
        <v/>
      </c>
      <c r="AG3433" s="713"/>
      <c r="AH3433" s="713"/>
      <c r="AI3433" s="112">
        <f>IF(H3433="credit",0,IF(AE3433="free",0,IF(AE3433="me",0,IF(G3433&gt;0,(VLOOKUP(A3433,'Discount Lookup'!J:K,2)*G3433),0))))</f>
        <v>0</v>
      </c>
      <c r="AJ3433" s="107" t="str">
        <f t="shared" ca="1" si="2622"/>
        <v/>
      </c>
      <c r="AK3433" s="714" t="str">
        <f t="shared" si="2623"/>
        <v/>
      </c>
      <c r="AL3433" s="714"/>
      <c r="AM3433" s="114" t="str">
        <f t="shared" si="2624"/>
        <v/>
      </c>
      <c r="AN3433" s="115"/>
      <c r="AO3433" s="116"/>
      <c r="AP3433" s="116"/>
      <c r="AQ3433" s="116"/>
      <c r="AR3433" s="116"/>
      <c r="AS3433" s="116"/>
      <c r="AT3433" s="116"/>
      <c r="AU3433" s="116"/>
      <c r="AV3433" s="78"/>
      <c r="AW3433" s="102"/>
      <c r="AX3433" s="78"/>
      <c r="AY3433" s="78"/>
      <c r="AZ3433" s="78"/>
      <c r="BA3433" s="78"/>
      <c r="BB3433" s="78"/>
      <c r="BC3433" s="78"/>
      <c r="BD3433" s="78"/>
      <c r="BE3433" s="465"/>
      <c r="BF3433" s="165" t="str">
        <f t="shared" si="2625"/>
        <v>https://www.google.com/search?tbm=isch&amp;q=15%20G2</v>
      </c>
      <c r="BG3433" s="165" t="str">
        <f t="shared" si="2626"/>
        <v>P</v>
      </c>
      <c r="BH3433" s="65"/>
      <c r="BI3433" s="65"/>
      <c r="BJ3433" s="65"/>
      <c r="BK3433" s="65"/>
      <c r="BL3433" s="99"/>
      <c r="BM3433" s="99"/>
      <c r="BN3433" s="99"/>
    </row>
    <row r="3434" spans="1:66" s="51" customFormat="1" ht="17.25" thickBot="1" x14ac:dyDescent="0.3">
      <c r="A3434" s="641" t="s">
        <v>3883</v>
      </c>
      <c r="B3434" s="642"/>
      <c r="C3434" s="710"/>
      <c r="D3434" s="643"/>
      <c r="E3434" s="643"/>
      <c r="F3434" s="644"/>
      <c r="G3434" s="645"/>
      <c r="H3434" s="646"/>
      <c r="I3434" s="647"/>
      <c r="J3434" s="648"/>
      <c r="K3434" s="649"/>
      <c r="L3434" s="650"/>
      <c r="M3434" s="650"/>
      <c r="N3434" s="644"/>
      <c r="O3434" s="644"/>
      <c r="P3434" s="644"/>
      <c r="Q3434" s="644"/>
      <c r="R3434" s="644"/>
      <c r="S3434" s="701" t="s">
        <v>5251</v>
      </c>
      <c r="T3434" s="102">
        <f t="shared" si="2614"/>
        <v>0</v>
      </c>
      <c r="U3434" s="78" t="str">
        <f>IF(NOT(ISNUMBER(G3434)), "", VLOOKUP(A3434,'Discount Lookup'!D:E,2,FALSE)*G3434)</f>
        <v/>
      </c>
      <c r="V3434" s="78" t="str">
        <f>IF(NOT(ISNUMBER(G3434)), "", VLOOKUP(A3434,'Discount Lookup'!G:H,2,FALSE)*G3434)</f>
        <v/>
      </c>
      <c r="W3434" s="102">
        <f t="shared" si="2615"/>
        <v>0</v>
      </c>
      <c r="X3434" s="102">
        <f t="shared" si="2616"/>
        <v>0</v>
      </c>
      <c r="Y3434" s="120" t="b">
        <f t="shared" si="2617"/>
        <v>0</v>
      </c>
      <c r="Z3434" s="117">
        <f t="shared" si="2618"/>
        <v>0</v>
      </c>
      <c r="AA3434" s="118"/>
      <c r="AB3434" s="118" t="str">
        <f t="shared" si="2619"/>
        <v/>
      </c>
      <c r="AC3434" s="712" t="str">
        <f>IF(AE3434="T2G","no charge",IF(AND(OR(PlanterYesMe="No",PlanterYesMe="N",PlanterYesMe="me"),H3434=""),"",IF(H3434="credit","NO install",IF(AND(K3434="",AE3434="me"),"EACH row",IF(AND(K3434="images",AE3434="me"),"EACH row",IF(D3434="","",IF(H3434="credit","",IF(AE3434="free","re-planting",IF(AE3434="me","   not ELP, by",IF(AND(OR(PlanterYesMe="Yes",PlanterYesMe="Y"),G3434&gt;0),(VLOOKUP(A3434,'Discount Lookup'!J:K,2)*G3434*(1-PlanterDiscount)*(1+PlanterDifficultyPercentage)),IF(AE3434="ELP",(VLOOKUP(A3434,'Discount Lookup'!J:K,2)*G3434*(1-PlanterDiscount)*(1+PlanterDifficultyPercentage)),IF(AE3434="free","re-planting",IF(G3434=0,"",IF(PlanterYesMe="",IF(AE3434="me","   not ELP, by",IF(AE3434="",IF(G3434&gt;0,(VLOOKUP(A3434,'Discount Lookup'!J:K,2)*G3434*(1-PlanterDiscount)*(1+PlanterDifficultyPercentage)),""),"")),"   not ELP, by"))))))))))))))</f>
        <v/>
      </c>
      <c r="AD3434" s="712"/>
      <c r="AE3434" s="513" t="str">
        <f t="shared" si="2620"/>
        <v/>
      </c>
      <c r="AF3434" s="713" t="str">
        <f t="shared" si="2621"/>
        <v/>
      </c>
      <c r="AG3434" s="713"/>
      <c r="AH3434" s="713"/>
      <c r="AI3434" s="112">
        <f>IF(H3434="credit",0,IF(AE3434="free",0,IF(AE3434="me",0,IF(G3434&gt;0,(VLOOKUP(A3434,'Discount Lookup'!J:K,2)*G3434),0))))</f>
        <v>0</v>
      </c>
      <c r="AJ3434" s="107" t="str">
        <f t="shared" ca="1" si="2622"/>
        <v/>
      </c>
      <c r="AK3434" s="714" t="str">
        <f t="shared" si="2623"/>
        <v/>
      </c>
      <c r="AL3434" s="714"/>
      <c r="AM3434" s="114" t="str">
        <f t="shared" si="2624"/>
        <v/>
      </c>
      <c r="AN3434" s="115"/>
      <c r="AO3434" s="116"/>
      <c r="AP3434" s="116"/>
      <c r="AQ3434" s="116"/>
      <c r="AR3434" s="116"/>
      <c r="AS3434" s="116"/>
      <c r="AT3434" s="116"/>
      <c r="AU3434" s="116"/>
      <c r="AV3434" s="78"/>
      <c r="AW3434" s="102"/>
      <c r="AX3434" s="78"/>
      <c r="AY3434" s="78"/>
      <c r="AZ3434" s="78"/>
      <c r="BA3434" s="78"/>
      <c r="BB3434" s="78"/>
      <c r="BC3434" s="78"/>
      <c r="BD3434" s="78"/>
      <c r="BE3434" s="465"/>
      <c r="BF3434" s="165" t="str">
        <f t="shared" si="2625"/>
        <v>https://www.google.com/search?tbm=isch&amp;q=Pink%20Double%20blooms%20later%20%28escaping%20frost%29%20and%20longer%20than%20other%20weeping%20Cherry%20</v>
      </c>
      <c r="BG3434" s="165" t="str">
        <f t="shared" si="2626"/>
        <v>P</v>
      </c>
      <c r="BH3434" s="65"/>
      <c r="BI3434" s="65"/>
      <c r="BJ3434" s="65"/>
      <c r="BK3434" s="65"/>
      <c r="BL3434" s="99"/>
      <c r="BM3434" s="99"/>
      <c r="BN3434" s="99"/>
    </row>
    <row r="3435" spans="1:66" s="51" customFormat="1" ht="18" x14ac:dyDescent="0.25">
      <c r="A3435" s="623" t="s">
        <v>3884</v>
      </c>
      <c r="B3435" s="624"/>
      <c r="C3435" s="709"/>
      <c r="D3435" s="625" t="s">
        <v>3885</v>
      </c>
      <c r="E3435" s="626"/>
      <c r="F3435" s="626"/>
      <c r="G3435" s="626"/>
      <c r="H3435" s="622" t="s">
        <v>1158</v>
      </c>
      <c r="I3435" s="627" t="s">
        <v>1458</v>
      </c>
      <c r="J3435" s="628"/>
      <c r="K3435" s="628"/>
      <c r="L3435" s="629"/>
      <c r="M3435" s="700" t="s">
        <v>5241</v>
      </c>
      <c r="N3435" s="693" t="str">
        <f>IF(AND(ISTEXT($A3435), ISERROR($A3435+0)), HYPERLINK($BF3435, "Images"), "")</f>
        <v>Images</v>
      </c>
      <c r="O3435" s="695" t="s">
        <v>5247</v>
      </c>
      <c r="P3435" s="630"/>
      <c r="Q3435" s="631"/>
      <c r="R3435" s="632"/>
      <c r="S3435" s="633"/>
      <c r="T3435" s="102">
        <f t="shared" si="2614"/>
        <v>0</v>
      </c>
      <c r="U3435" s="78" t="str">
        <f>IF(NOT(ISNUMBER(G3435)), "", VLOOKUP(A3435,'Discount Lookup'!D:E,2,FALSE)*G3435)</f>
        <v/>
      </c>
      <c r="V3435" s="78" t="str">
        <f>IF(NOT(ISNUMBER(G3435)), "", VLOOKUP(A3435,'Discount Lookup'!G:H,2,FALSE)*G3435)</f>
        <v/>
      </c>
      <c r="W3435" s="102">
        <f t="shared" si="2615"/>
        <v>0</v>
      </c>
      <c r="X3435" s="102" t="str">
        <f t="shared" si="2616"/>
        <v>Pink bloom</v>
      </c>
      <c r="Y3435" s="120" t="b">
        <f t="shared" si="2617"/>
        <v>0</v>
      </c>
      <c r="Z3435" s="117">
        <f t="shared" si="2618"/>
        <v>0</v>
      </c>
      <c r="AA3435" s="118"/>
      <c r="AB3435" s="118" t="str">
        <f t="shared" si="2619"/>
        <v/>
      </c>
      <c r="AC3435" s="712" t="str">
        <f>IF(AE3435="T2G","no charge",IF(AND(OR(PlanterYesMe="No",PlanterYesMe="N",PlanterYesMe="me"),H3435=""),"",IF(H3435="credit","NO install",IF(AND(K3435="",AE3435="me"),"EACH row",IF(AND(K3435="images",AE3435="me"),"EACH row",IF(D3435="","",IF(H3435="credit","",IF(AE3435="free","re-planting",IF(AE3435="me","   not ELP, by",IF(AND(OR(PlanterYesMe="Yes",PlanterYesMe="Y"),G3435&gt;0),(VLOOKUP(A3435,'Discount Lookup'!J:K,2)*G3435*(1-PlanterDiscount)*(1+PlanterDifficultyPercentage)),IF(AE3435="ELP",(VLOOKUP(A3435,'Discount Lookup'!J:K,2)*G3435*(1-PlanterDiscount)*(1+PlanterDifficultyPercentage)),IF(AE3435="free","re-planting",IF(G3435=0,"",IF(PlanterYesMe="",IF(AE3435="me","   not ELP, by",IF(AE3435="",IF(G3435&gt;0,(VLOOKUP(A3435,'Discount Lookup'!J:K,2)*G3435*(1-PlanterDiscount)*(1+PlanterDifficultyPercentage)),""),"")),"   not ELP, by"))))))))))))))</f>
        <v/>
      </c>
      <c r="AD3435" s="712"/>
      <c r="AE3435" s="513" t="str">
        <f t="shared" si="2620"/>
        <v/>
      </c>
      <c r="AF3435" s="713" t="str">
        <f t="shared" si="2621"/>
        <v/>
      </c>
      <c r="AG3435" s="713"/>
      <c r="AH3435" s="713"/>
      <c r="AI3435" s="112">
        <f>IF(H3435="credit",0,IF(AE3435="free",0,IF(AE3435="me",0,IF(G3435&gt;0,(VLOOKUP(A3435,'Discount Lookup'!J:K,2)*G3435),0))))</f>
        <v>0</v>
      </c>
      <c r="AJ3435" s="107" t="str">
        <f t="shared" ca="1" si="2622"/>
        <v/>
      </c>
      <c r="AK3435" s="714" t="str">
        <f t="shared" si="2623"/>
        <v/>
      </c>
      <c r="AL3435" s="714"/>
      <c r="AM3435" s="114" t="str">
        <f t="shared" si="2624"/>
        <v/>
      </c>
      <c r="AN3435" s="115"/>
      <c r="AO3435" s="116"/>
      <c r="AP3435" s="116"/>
      <c r="AQ3435" s="116"/>
      <c r="AR3435" s="116"/>
      <c r="AS3435" s="116"/>
      <c r="AT3435" s="116"/>
      <c r="AU3435" s="116"/>
      <c r="AV3435" s="78"/>
      <c r="AW3435" s="102"/>
      <c r="AX3435" s="78"/>
      <c r="AY3435" s="78"/>
      <c r="AZ3435" s="78"/>
      <c r="BA3435" s="78"/>
      <c r="BB3435" s="78"/>
      <c r="BC3435" s="78"/>
      <c r="BD3435" s="78"/>
      <c r="BE3435" s="465"/>
      <c r="BF3435" s="165" t="str">
        <f t="shared" si="2625"/>
        <v>https://www.google.com/search?tbm=isch&amp;q=Prunus%20x%20incamp%20%27Okame%27%20Okame%20Cherry</v>
      </c>
      <c r="BG3435" s="165" t="str">
        <f t="shared" si="2626"/>
        <v>P</v>
      </c>
      <c r="BH3435" s="65"/>
      <c r="BI3435" s="65"/>
      <c r="BJ3435" s="65"/>
      <c r="BK3435" s="65"/>
      <c r="BL3435" s="99"/>
      <c r="BM3435" s="99"/>
      <c r="BN3435" s="99"/>
    </row>
    <row r="3436" spans="1:66" s="51" customFormat="1" ht="15.75" x14ac:dyDescent="0.25">
      <c r="A3436" s="634">
        <v>7</v>
      </c>
      <c r="B3436" s="635" t="s">
        <v>291</v>
      </c>
      <c r="C3436" s="636" t="s">
        <v>2678</v>
      </c>
      <c r="D3436" s="637" t="s">
        <v>299</v>
      </c>
      <c r="E3436" s="638">
        <v>104.95</v>
      </c>
      <c r="F3436" s="639" t="s">
        <v>292</v>
      </c>
      <c r="G3436" s="484">
        <v>0</v>
      </c>
      <c r="H3436" s="691" t="str">
        <f>IF(G3436=0,"",IF(F3436="Buy",IF(G3436=1,"plant","plants"),IF(F3436&gt;0.01,"warranty","Error")))</f>
        <v/>
      </c>
      <c r="I3436" s="640">
        <f>IF(H3436="free",0,IF(H3436="credit",((E3436*(F3436))*G3436*-1),IF(F3436="Buy",(E3436*G3436),((E3436*(1-F3436))*G3436))))</f>
        <v>0</v>
      </c>
      <c r="J3436" s="640">
        <f>IF(H3436="warranty",0,(I3436*(_xlfn.SINGLE(SalesTaxPercentage))))</f>
        <v>0</v>
      </c>
      <c r="K3436" s="716">
        <f t="shared" ref="K3436" si="2637">I3436+J3436</f>
        <v>0</v>
      </c>
      <c r="L3436" s="716"/>
      <c r="M3436" s="689" t="str">
        <f ca="1">IF(AND(G3436&gt;0,E3436=0),"WARNING - no PRICE inserted",IF(H3436="free","FREE ~ no charge this plant",IF(H3436="credit",CONCATENATE("-$",ROUND(K3436*(1-_xlfn.SINGLE(T2GDiscount))*-1,2)," CREDIT after discount"),IF(_xlfn.SINGLE(T2GDiscount)=0,"",IF(G3436=0,"",IF(F3436="Buy",CONCATENATE("$",ROUND(K3436*(1-_xlfn.SINGLE(T2GDiscount)),2)," with ",(_xlfn.SINGLE(T2GDiscount)*100),"% discount"),CONCATENATE("$",ROUND(K3436*(1-_xlfn.SINGLE(T2GDiscount)),2)," with ",((_xlfn.SINGLE(T2GDiscount)*100+F3436*100)-(_xlfn.SINGLE(T2GDiscount)*100*F3436)),IF(F3436&gt;0,"% discounts",IF(_xlfn.SINGLE(NoWarrantyDiscount)&gt;0,"% discounts","% discount")))))))))</f>
        <v/>
      </c>
      <c r="N3436" s="690"/>
      <c r="O3436" s="486"/>
      <c r="P3436" s="486"/>
      <c r="Q3436" s="486"/>
      <c r="R3436" s="486"/>
      <c r="S3436" s="486"/>
      <c r="T3436" s="102">
        <f t="shared" si="2614"/>
        <v>0</v>
      </c>
      <c r="U3436" s="78">
        <f>IF(NOT(ISNUMBER(G3436)), "", VLOOKUP(A3436,'Discount Lookup'!D:E,2,FALSE)*G3436)</f>
        <v>0</v>
      </c>
      <c r="V3436" s="78">
        <f>IF(NOT(ISNUMBER(G3436)), "", VLOOKUP(A3436,'Discount Lookup'!G:H,2,FALSE)*G3436)</f>
        <v>0</v>
      </c>
      <c r="W3436" s="102">
        <f t="shared" si="2615"/>
        <v>0</v>
      </c>
      <c r="X3436" s="102">
        <f t="shared" si="2616"/>
        <v>0</v>
      </c>
      <c r="Y3436" s="120" t="b">
        <f t="shared" si="2617"/>
        <v>0</v>
      </c>
      <c r="Z3436" s="117">
        <f t="shared" si="2618"/>
        <v>0</v>
      </c>
      <c r="AA3436" s="118"/>
      <c r="AB3436" s="118" t="str">
        <f t="shared" si="2619"/>
        <v/>
      </c>
      <c r="AC3436" s="712" t="str">
        <f>IF(AE3436="T2G","no charge",IF(AND(OR(PlanterYesMe="No",PlanterYesMe="N",PlanterYesMe="me"),H3436=""),"",IF(H3436="credit","NO install",IF(AND(K3436="",AE3436="me"),"EACH row",IF(AND(K3436="images",AE3436="me"),"EACH row",IF(D3436="","",IF(H3436="credit","",IF(AE3436="free","re-planting",IF(AE3436="me","   not ELP, by",IF(AND(OR(PlanterYesMe="Yes",PlanterYesMe="Y"),G3436&gt;0),(VLOOKUP(A3436,'Discount Lookup'!J:K,2)*G3436*(1-PlanterDiscount)*(1+PlanterDifficultyPercentage)),IF(AE3436="ELP",(VLOOKUP(A3436,'Discount Lookup'!J:K,2)*G3436*(1-PlanterDiscount)*(1+PlanterDifficultyPercentage)),IF(AE3436="free","re-planting",IF(G3436=0,"",IF(PlanterYesMe="",IF(AE3436="me","   not ELP, by",IF(AE3436="",IF(G3436&gt;0,(VLOOKUP(A3436,'Discount Lookup'!J:K,2)*G3436*(1-PlanterDiscount)*(1+PlanterDifficultyPercentage)),""),"")),"   not ELP, by"))))))))))))))</f>
        <v/>
      </c>
      <c r="AD3436" s="712"/>
      <c r="AE3436" s="513" t="str">
        <f t="shared" si="2620"/>
        <v/>
      </c>
      <c r="AF3436" s="713" t="str">
        <f t="shared" si="2621"/>
        <v/>
      </c>
      <c r="AG3436" s="713"/>
      <c r="AH3436" s="713"/>
      <c r="AI3436" s="112">
        <f>IF(H3436="credit",0,IF(AE3436="free",0,IF(AE3436="me",0,IF(G3436&gt;0,(VLOOKUP(A3436,'Discount Lookup'!J:K,2)*G3436),0))))</f>
        <v>0</v>
      </c>
      <c r="AJ3436" s="107" t="str">
        <f t="shared" ca="1" si="2622"/>
        <v/>
      </c>
      <c r="AK3436" s="714" t="str">
        <f t="shared" si="2623"/>
        <v/>
      </c>
      <c r="AL3436" s="714"/>
      <c r="AM3436" s="114" t="str">
        <f t="shared" si="2624"/>
        <v/>
      </c>
      <c r="AN3436" s="115"/>
      <c r="AO3436" s="116"/>
      <c r="AP3436" s="116"/>
      <c r="AQ3436" s="116"/>
      <c r="AR3436" s="116"/>
      <c r="AS3436" s="116"/>
      <c r="AT3436" s="116"/>
      <c r="AU3436" s="116"/>
      <c r="AV3436" s="78"/>
      <c r="AW3436" s="102"/>
      <c r="AX3436" s="78"/>
      <c r="AY3436" s="78"/>
      <c r="AZ3436" s="78"/>
      <c r="BA3436" s="78"/>
      <c r="BB3436" s="78"/>
      <c r="BC3436" s="78"/>
      <c r="BD3436" s="78"/>
      <c r="BE3436" s="465"/>
      <c r="BF3436" s="165" t="str">
        <f t="shared" si="2625"/>
        <v>https://www.google.com/search?tbm=isch&amp;q=7%20G4</v>
      </c>
      <c r="BG3436" s="165" t="str">
        <f t="shared" si="2626"/>
        <v>P</v>
      </c>
      <c r="BH3436" s="65"/>
      <c r="BI3436" s="65"/>
      <c r="BJ3436" s="65"/>
      <c r="BK3436" s="65"/>
      <c r="BL3436" s="99"/>
      <c r="BM3436" s="99"/>
      <c r="BN3436" s="99"/>
    </row>
    <row r="3437" spans="1:66" s="51" customFormat="1" ht="15.75" x14ac:dyDescent="0.25">
      <c r="A3437" s="634">
        <v>7</v>
      </c>
      <c r="B3437" s="635" t="s">
        <v>291</v>
      </c>
      <c r="C3437" s="636" t="s">
        <v>1253</v>
      </c>
      <c r="D3437" s="637" t="s">
        <v>329</v>
      </c>
      <c r="E3437" s="638">
        <v>111.95</v>
      </c>
      <c r="F3437" s="639" t="s">
        <v>292</v>
      </c>
      <c r="G3437" s="484">
        <v>0</v>
      </c>
      <c r="H3437" s="691" t="str">
        <f>IF(G3437=0,"",IF(F3437="Buy",IF(G3437=1,"plant","plants"),IF(F3437&gt;0.01,"warranty","Error")))</f>
        <v/>
      </c>
      <c r="I3437" s="640">
        <f>IF(H3437="free",0,IF(H3437="credit",((E3437*(F3437))*G3437*-1),IF(F3437="Buy",(E3437*G3437),((E3437*(1-F3437))*G3437))))</f>
        <v>0</v>
      </c>
      <c r="J3437" s="640">
        <f>IF(H3437="warranty",0,(I3437*(_xlfn.SINGLE(SalesTaxPercentage))))</f>
        <v>0</v>
      </c>
      <c r="K3437" s="716">
        <f t="shared" ref="K3437" si="2638">I3437+J3437</f>
        <v>0</v>
      </c>
      <c r="L3437" s="716"/>
      <c r="M3437" s="689" t="str">
        <f ca="1">IF(AND(G3437&gt;0,E3437=0),"WARNING - no PRICE inserted",IF(H3437="free","FREE ~ no charge this plant",IF(H3437="credit",CONCATENATE("-$",ROUND(K3437*(1-_xlfn.SINGLE(T2GDiscount))*-1,2)," CREDIT after discount"),IF(_xlfn.SINGLE(T2GDiscount)=0,"",IF(G3437=0,"",IF(F3437="Buy",CONCATENATE("$",ROUND(K3437*(1-_xlfn.SINGLE(T2GDiscount)),2)," with ",(_xlfn.SINGLE(T2GDiscount)*100),"% discount"),CONCATENATE("$",ROUND(K3437*(1-_xlfn.SINGLE(T2GDiscount)),2)," with ",((_xlfn.SINGLE(T2GDiscount)*100+F3437*100)-(_xlfn.SINGLE(T2GDiscount)*100*F3437)),IF(F3437&gt;0,"% discounts",IF(_xlfn.SINGLE(NoWarrantyDiscount)&gt;0,"% discounts","% discount")))))))))</f>
        <v/>
      </c>
      <c r="N3437" s="690"/>
      <c r="O3437" s="486"/>
      <c r="P3437" s="486"/>
      <c r="Q3437" s="486"/>
      <c r="R3437" s="486"/>
      <c r="S3437" s="486"/>
      <c r="T3437" s="102">
        <f t="shared" si="2614"/>
        <v>0</v>
      </c>
      <c r="U3437" s="78">
        <f>IF(NOT(ISNUMBER(G3437)), "", VLOOKUP(A3437,'Discount Lookup'!D:E,2,FALSE)*G3437)</f>
        <v>0</v>
      </c>
      <c r="V3437" s="78">
        <f>IF(NOT(ISNUMBER(G3437)), "", VLOOKUP(A3437,'Discount Lookup'!G:H,2,FALSE)*G3437)</f>
        <v>0</v>
      </c>
      <c r="W3437" s="102">
        <f t="shared" si="2615"/>
        <v>0</v>
      </c>
      <c r="X3437" s="102">
        <f t="shared" si="2616"/>
        <v>0</v>
      </c>
      <c r="Y3437" s="120" t="b">
        <f t="shared" si="2617"/>
        <v>0</v>
      </c>
      <c r="Z3437" s="117">
        <f t="shared" si="2618"/>
        <v>0</v>
      </c>
      <c r="AA3437" s="118"/>
      <c r="AB3437" s="118" t="str">
        <f t="shared" si="2619"/>
        <v/>
      </c>
      <c r="AC3437" s="712" t="str">
        <f>IF(AE3437="T2G","no charge",IF(AND(OR(PlanterYesMe="No",PlanterYesMe="N",PlanterYesMe="me"),H3437=""),"",IF(H3437="credit","NO install",IF(AND(K3437="",AE3437="me"),"EACH row",IF(AND(K3437="images",AE3437="me"),"EACH row",IF(D3437="","",IF(H3437="credit","",IF(AE3437="free","re-planting",IF(AE3437="me","   not ELP, by",IF(AND(OR(PlanterYesMe="Yes",PlanterYesMe="Y"),G3437&gt;0),(VLOOKUP(A3437,'Discount Lookup'!J:K,2)*G3437*(1-PlanterDiscount)*(1+PlanterDifficultyPercentage)),IF(AE3437="ELP",(VLOOKUP(A3437,'Discount Lookup'!J:K,2)*G3437*(1-PlanterDiscount)*(1+PlanterDifficultyPercentage)),IF(AE3437="free","re-planting",IF(G3437=0,"",IF(PlanterYesMe="",IF(AE3437="me","   not ELP, by",IF(AE3437="",IF(G3437&gt;0,(VLOOKUP(A3437,'Discount Lookup'!J:K,2)*G3437*(1-PlanterDiscount)*(1+PlanterDifficultyPercentage)),""),"")),"   not ELP, by"))))))))))))))</f>
        <v/>
      </c>
      <c r="AD3437" s="712"/>
      <c r="AE3437" s="513" t="str">
        <f t="shared" si="2620"/>
        <v/>
      </c>
      <c r="AF3437" s="713" t="str">
        <f t="shared" si="2621"/>
        <v/>
      </c>
      <c r="AG3437" s="713"/>
      <c r="AH3437" s="713"/>
      <c r="AI3437" s="112">
        <f>IF(H3437="credit",0,IF(AE3437="free",0,IF(AE3437="me",0,IF(G3437&gt;0,(VLOOKUP(A3437,'Discount Lookup'!J:K,2)*G3437),0))))</f>
        <v>0</v>
      </c>
      <c r="AJ3437" s="107" t="str">
        <f t="shared" ca="1" si="2622"/>
        <v/>
      </c>
      <c r="AK3437" s="714" t="str">
        <f t="shared" si="2623"/>
        <v/>
      </c>
      <c r="AL3437" s="714"/>
      <c r="AM3437" s="114" t="str">
        <f t="shared" si="2624"/>
        <v/>
      </c>
      <c r="AN3437" s="115"/>
      <c r="AO3437" s="116"/>
      <c r="AP3437" s="116"/>
      <c r="AQ3437" s="116"/>
      <c r="AR3437" s="116"/>
      <c r="AS3437" s="116"/>
      <c r="AT3437" s="116"/>
      <c r="AU3437" s="116"/>
      <c r="AV3437" s="78"/>
      <c r="AW3437" s="102"/>
      <c r="AX3437" s="78"/>
      <c r="AY3437" s="78"/>
      <c r="AZ3437" s="78"/>
      <c r="BA3437" s="78"/>
      <c r="BB3437" s="78"/>
      <c r="BC3437" s="78"/>
      <c r="BD3437" s="78"/>
      <c r="BE3437" s="465"/>
      <c r="BF3437" s="165" t="str">
        <f t="shared" si="2625"/>
        <v>https://www.google.com/search?tbm=isch&amp;q=7%20G2</v>
      </c>
      <c r="BG3437" s="165" t="str">
        <f t="shared" si="2626"/>
        <v>P</v>
      </c>
      <c r="BH3437" s="65"/>
      <c r="BI3437" s="65"/>
      <c r="BJ3437" s="65"/>
      <c r="BK3437" s="65"/>
      <c r="BL3437" s="99"/>
      <c r="BM3437" s="99"/>
      <c r="BN3437" s="99"/>
    </row>
    <row r="3438" spans="1:66" s="51" customFormat="1" ht="15.75" x14ac:dyDescent="0.25">
      <c r="A3438" s="634">
        <v>15</v>
      </c>
      <c r="B3438" s="635" t="s">
        <v>291</v>
      </c>
      <c r="C3438" s="636" t="s">
        <v>3886</v>
      </c>
      <c r="D3438" s="637" t="s">
        <v>293</v>
      </c>
      <c r="E3438" s="638">
        <v>200.95</v>
      </c>
      <c r="F3438" s="639" t="s">
        <v>292</v>
      </c>
      <c r="G3438" s="484">
        <v>0</v>
      </c>
      <c r="H3438" s="691" t="str">
        <f>IF(G3438=0,"",IF(F3438="Buy",IF(G3438=1,"plant","plants"),IF(F3438&gt;0.01,"warranty","Error")))</f>
        <v/>
      </c>
      <c r="I3438" s="640">
        <f>IF(H3438="free",0,IF(H3438="credit",((E3438*(F3438))*G3438*-1),IF(F3438="Buy",(E3438*G3438),((E3438*(1-F3438))*G3438))))</f>
        <v>0</v>
      </c>
      <c r="J3438" s="640">
        <f>IF(H3438="warranty",0,(I3438*(_xlfn.SINGLE(SalesTaxPercentage))))</f>
        <v>0</v>
      </c>
      <c r="K3438" s="716">
        <f t="shared" ref="K3438" si="2639">I3438+J3438</f>
        <v>0</v>
      </c>
      <c r="L3438" s="716"/>
      <c r="M3438" s="689" t="str">
        <f ca="1">IF(AND(G3438&gt;0,E3438=0),"WARNING - no PRICE inserted",IF(H3438="free","FREE ~ no charge this plant",IF(H3438="credit",CONCATENATE("-$",ROUND(K3438*(1-_xlfn.SINGLE(T2GDiscount))*-1,2)," CREDIT after discount"),IF(_xlfn.SINGLE(T2GDiscount)=0,"",IF(G3438=0,"",IF(F3438="Buy",CONCATENATE("$",ROUND(K3438*(1-_xlfn.SINGLE(T2GDiscount)),2)," with ",(_xlfn.SINGLE(T2GDiscount)*100),"% discount"),CONCATENATE("$",ROUND(K3438*(1-_xlfn.SINGLE(T2GDiscount)),2)," with ",((_xlfn.SINGLE(T2GDiscount)*100+F3438*100)-(_xlfn.SINGLE(T2GDiscount)*100*F3438)),IF(F3438&gt;0,"% discounts",IF(_xlfn.SINGLE(NoWarrantyDiscount)&gt;0,"% discounts","% discount")))))))))</f>
        <v/>
      </c>
      <c r="N3438" s="690"/>
      <c r="O3438" s="486"/>
      <c r="P3438" s="486"/>
      <c r="Q3438" s="486"/>
      <c r="R3438" s="486"/>
      <c r="S3438" s="486"/>
      <c r="T3438" s="102">
        <f t="shared" si="2614"/>
        <v>0</v>
      </c>
      <c r="U3438" s="78">
        <f>IF(NOT(ISNUMBER(G3438)), "", VLOOKUP(A3438,'Discount Lookup'!D:E,2,FALSE)*G3438)</f>
        <v>0</v>
      </c>
      <c r="V3438" s="78">
        <f>IF(NOT(ISNUMBER(G3438)), "", VLOOKUP(A3438,'Discount Lookup'!G:H,2,FALSE)*G3438)</f>
        <v>0</v>
      </c>
      <c r="W3438" s="102">
        <f t="shared" si="2615"/>
        <v>0</v>
      </c>
      <c r="X3438" s="102">
        <f t="shared" si="2616"/>
        <v>0</v>
      </c>
      <c r="Y3438" s="120" t="b">
        <f t="shared" si="2617"/>
        <v>0</v>
      </c>
      <c r="Z3438" s="117">
        <f t="shared" si="2618"/>
        <v>0</v>
      </c>
      <c r="AA3438" s="118"/>
      <c r="AB3438" s="118" t="str">
        <f t="shared" si="2619"/>
        <v/>
      </c>
      <c r="AC3438" s="712" t="str">
        <f>IF(AE3438="T2G","no charge",IF(AND(OR(PlanterYesMe="No",PlanterYesMe="N",PlanterYesMe="me"),H3438=""),"",IF(H3438="credit","NO install",IF(AND(K3438="",AE3438="me"),"EACH row",IF(AND(K3438="images",AE3438="me"),"EACH row",IF(D3438="","",IF(H3438="credit","",IF(AE3438="free","re-planting",IF(AE3438="me","   not ELP, by",IF(AND(OR(PlanterYesMe="Yes",PlanterYesMe="Y"),G3438&gt;0),(VLOOKUP(A3438,'Discount Lookup'!J:K,2)*G3438*(1-PlanterDiscount)*(1+PlanterDifficultyPercentage)),IF(AE3438="ELP",(VLOOKUP(A3438,'Discount Lookup'!J:K,2)*G3438*(1-PlanterDiscount)*(1+PlanterDifficultyPercentage)),IF(AE3438="free","re-planting",IF(G3438=0,"",IF(PlanterYesMe="",IF(AE3438="me","   not ELP, by",IF(AE3438="",IF(G3438&gt;0,(VLOOKUP(A3438,'Discount Lookup'!J:K,2)*G3438*(1-PlanterDiscount)*(1+PlanterDifficultyPercentage)),""),"")),"   not ELP, by"))))))))))))))</f>
        <v/>
      </c>
      <c r="AD3438" s="712"/>
      <c r="AE3438" s="513" t="str">
        <f t="shared" si="2620"/>
        <v/>
      </c>
      <c r="AF3438" s="713" t="str">
        <f t="shared" si="2621"/>
        <v/>
      </c>
      <c r="AG3438" s="713"/>
      <c r="AH3438" s="713"/>
      <c r="AI3438" s="112">
        <f>IF(H3438="credit",0,IF(AE3438="free",0,IF(AE3438="me",0,IF(G3438&gt;0,(VLOOKUP(A3438,'Discount Lookup'!J:K,2)*G3438),0))))</f>
        <v>0</v>
      </c>
      <c r="AJ3438" s="107" t="str">
        <f t="shared" ca="1" si="2622"/>
        <v/>
      </c>
      <c r="AK3438" s="714" t="str">
        <f t="shared" si="2623"/>
        <v/>
      </c>
      <c r="AL3438" s="714"/>
      <c r="AM3438" s="114" t="str">
        <f t="shared" si="2624"/>
        <v/>
      </c>
      <c r="AN3438" s="115"/>
      <c r="AO3438" s="116"/>
      <c r="AP3438" s="116"/>
      <c r="AQ3438" s="116"/>
      <c r="AR3438" s="116"/>
      <c r="AS3438" s="116"/>
      <c r="AT3438" s="116"/>
      <c r="AU3438" s="116"/>
      <c r="AV3438" s="78"/>
      <c r="AW3438" s="102"/>
      <c r="AX3438" s="78"/>
      <c r="AY3438" s="78"/>
      <c r="AZ3438" s="78"/>
      <c r="BA3438" s="78"/>
      <c r="BB3438" s="78"/>
      <c r="BC3438" s="78"/>
      <c r="BD3438" s="78"/>
      <c r="BE3438" s="465"/>
      <c r="BF3438" s="165" t="str">
        <f t="shared" si="2625"/>
        <v>https://www.google.com/search?tbm=isch&amp;q=15%20G6</v>
      </c>
      <c r="BG3438" s="165" t="str">
        <f t="shared" si="2626"/>
        <v>P</v>
      </c>
      <c r="BH3438" s="65"/>
      <c r="BI3438" s="65"/>
      <c r="BJ3438" s="65"/>
      <c r="BK3438" s="65"/>
      <c r="BL3438" s="99"/>
      <c r="BM3438" s="99"/>
      <c r="BN3438" s="99"/>
    </row>
    <row r="3439" spans="1:66" s="51" customFormat="1" ht="15.75" x14ac:dyDescent="0.25">
      <c r="A3439" s="634">
        <v>25</v>
      </c>
      <c r="B3439" s="635" t="s">
        <v>291</v>
      </c>
      <c r="C3439" s="636" t="s">
        <v>3887</v>
      </c>
      <c r="D3439" s="637" t="s">
        <v>293</v>
      </c>
      <c r="E3439" s="638">
        <v>257.95</v>
      </c>
      <c r="F3439" s="639" t="s">
        <v>292</v>
      </c>
      <c r="G3439" s="484">
        <v>0</v>
      </c>
      <c r="H3439" s="691" t="str">
        <f>IF(G3439=0,"",IF(F3439="Buy",IF(G3439=1,"plant","plants"),IF(F3439&gt;0.01,"warranty","Error")))</f>
        <v/>
      </c>
      <c r="I3439" s="640">
        <f>IF(H3439="free",0,IF(H3439="credit",((E3439*(F3439))*G3439*-1),IF(F3439="Buy",(E3439*G3439),((E3439*(1-F3439))*G3439))))</f>
        <v>0</v>
      </c>
      <c r="J3439" s="640">
        <f>IF(H3439="warranty",0,(I3439*(_xlfn.SINGLE(SalesTaxPercentage))))</f>
        <v>0</v>
      </c>
      <c r="K3439" s="716">
        <f t="shared" ref="K3439" si="2640">I3439+J3439</f>
        <v>0</v>
      </c>
      <c r="L3439" s="716"/>
      <c r="M3439" s="689" t="str">
        <f ca="1">IF(AND(G3439&gt;0,E3439=0),"WARNING - no PRICE inserted",IF(H3439="free","FREE ~ no charge this plant",IF(H3439="credit",CONCATENATE("-$",ROUND(K3439*(1-_xlfn.SINGLE(T2GDiscount))*-1,2)," CREDIT after discount"),IF(_xlfn.SINGLE(T2GDiscount)=0,"",IF(G3439=0,"",IF(F3439="Buy",CONCATENATE("$",ROUND(K3439*(1-_xlfn.SINGLE(T2GDiscount)),2)," with ",(_xlfn.SINGLE(T2GDiscount)*100),"% discount"),CONCATENATE("$",ROUND(K3439*(1-_xlfn.SINGLE(T2GDiscount)),2)," with ",((_xlfn.SINGLE(T2GDiscount)*100+F3439*100)-(_xlfn.SINGLE(T2GDiscount)*100*F3439)),IF(F3439&gt;0,"% discounts",IF(_xlfn.SINGLE(NoWarrantyDiscount)&gt;0,"% discounts","% discount")))))))))</f>
        <v/>
      </c>
      <c r="N3439" s="690"/>
      <c r="O3439" s="486"/>
      <c r="P3439" s="486"/>
      <c r="Q3439" s="486"/>
      <c r="R3439" s="486"/>
      <c r="S3439" s="486"/>
      <c r="T3439" s="102">
        <f t="shared" si="2614"/>
        <v>0</v>
      </c>
      <c r="U3439" s="78">
        <f>IF(NOT(ISNUMBER(G3439)), "", VLOOKUP(A3439,'Discount Lookup'!D:E,2,FALSE)*G3439)</f>
        <v>0</v>
      </c>
      <c r="V3439" s="78">
        <f>IF(NOT(ISNUMBER(G3439)), "", VLOOKUP(A3439,'Discount Lookup'!G:H,2,FALSE)*G3439)</f>
        <v>0</v>
      </c>
      <c r="W3439" s="102">
        <f t="shared" si="2615"/>
        <v>0</v>
      </c>
      <c r="X3439" s="102">
        <f t="shared" si="2616"/>
        <v>0</v>
      </c>
      <c r="Y3439" s="120" t="b">
        <f t="shared" si="2617"/>
        <v>0</v>
      </c>
      <c r="Z3439" s="117">
        <f t="shared" si="2618"/>
        <v>0</v>
      </c>
      <c r="AA3439" s="118"/>
      <c r="AB3439" s="118" t="str">
        <f t="shared" si="2619"/>
        <v/>
      </c>
      <c r="AC3439" s="712" t="str">
        <f>IF(AE3439="T2G","no charge",IF(AND(OR(PlanterYesMe="No",PlanterYesMe="N",PlanterYesMe="me"),H3439=""),"",IF(H3439="credit","NO install",IF(AND(K3439="",AE3439="me"),"EACH row",IF(AND(K3439="images",AE3439="me"),"EACH row",IF(D3439="","",IF(H3439="credit","",IF(AE3439="free","re-planting",IF(AE3439="me","   not ELP, by",IF(AND(OR(PlanterYesMe="Yes",PlanterYesMe="Y"),G3439&gt;0),(VLOOKUP(A3439,'Discount Lookup'!J:K,2)*G3439*(1-PlanterDiscount)*(1+PlanterDifficultyPercentage)),IF(AE3439="ELP",(VLOOKUP(A3439,'Discount Lookup'!J:K,2)*G3439*(1-PlanterDiscount)*(1+PlanterDifficultyPercentage)),IF(AE3439="free","re-planting",IF(G3439=0,"",IF(PlanterYesMe="",IF(AE3439="me","   not ELP, by",IF(AE3439="",IF(G3439&gt;0,(VLOOKUP(A3439,'Discount Lookup'!J:K,2)*G3439*(1-PlanterDiscount)*(1+PlanterDifficultyPercentage)),""),"")),"   not ELP, by"))))))))))))))</f>
        <v/>
      </c>
      <c r="AD3439" s="712"/>
      <c r="AE3439" s="513" t="str">
        <f t="shared" si="2620"/>
        <v/>
      </c>
      <c r="AF3439" s="713" t="str">
        <f t="shared" si="2621"/>
        <v/>
      </c>
      <c r="AG3439" s="713"/>
      <c r="AH3439" s="713"/>
      <c r="AI3439" s="112">
        <f>IF(H3439="credit",0,IF(AE3439="free",0,IF(AE3439="me",0,IF(G3439&gt;0,(VLOOKUP(A3439,'Discount Lookup'!J:K,2)*G3439),0))))</f>
        <v>0</v>
      </c>
      <c r="AJ3439" s="107" t="str">
        <f t="shared" ca="1" si="2622"/>
        <v/>
      </c>
      <c r="AK3439" s="714" t="str">
        <f t="shared" si="2623"/>
        <v/>
      </c>
      <c r="AL3439" s="714"/>
      <c r="AM3439" s="114" t="str">
        <f t="shared" si="2624"/>
        <v/>
      </c>
      <c r="AN3439" s="115"/>
      <c r="AO3439" s="116"/>
      <c r="AP3439" s="116"/>
      <c r="AQ3439" s="116"/>
      <c r="AR3439" s="116"/>
      <c r="AS3439" s="116"/>
      <c r="AT3439" s="116"/>
      <c r="AU3439" s="116"/>
      <c r="AV3439" s="78"/>
      <c r="AW3439" s="102"/>
      <c r="AX3439" s="78"/>
      <c r="AY3439" s="78"/>
      <c r="AZ3439" s="78"/>
      <c r="BA3439" s="78"/>
      <c r="BB3439" s="78"/>
      <c r="BC3439" s="78"/>
      <c r="BD3439" s="78"/>
      <c r="BE3439" s="465"/>
      <c r="BF3439" s="165" t="str">
        <f t="shared" si="2625"/>
        <v>https://www.google.com/search?tbm=isch&amp;q=25%20G6</v>
      </c>
      <c r="BG3439" s="165" t="str">
        <f t="shared" si="2626"/>
        <v>P</v>
      </c>
      <c r="BH3439" s="65"/>
      <c r="BI3439" s="65"/>
      <c r="BJ3439" s="65"/>
      <c r="BK3439" s="65"/>
      <c r="BL3439" s="99"/>
      <c r="BM3439" s="99"/>
      <c r="BN3439" s="99"/>
    </row>
    <row r="3440" spans="1:66" s="51" customFormat="1" ht="15.75" x14ac:dyDescent="0.25">
      <c r="A3440" s="634">
        <v>25</v>
      </c>
      <c r="B3440" s="635" t="s">
        <v>291</v>
      </c>
      <c r="C3440" s="636" t="s">
        <v>5206</v>
      </c>
      <c r="D3440" s="637" t="s">
        <v>299</v>
      </c>
      <c r="E3440" s="638">
        <v>325.95</v>
      </c>
      <c r="F3440" s="639" t="s">
        <v>292</v>
      </c>
      <c r="G3440" s="484">
        <v>0</v>
      </c>
      <c r="H3440" s="691" t="str">
        <f>IF(G3440=0,"",IF(F3440="Buy",IF(G3440=1,"plant","plants"),IF(F3440&gt;0.01,"warranty","Error")))</f>
        <v/>
      </c>
      <c r="I3440" s="640">
        <f>IF(H3440="free",0,IF(H3440="credit",((E3440*(F3440))*G3440*-1),IF(F3440="Buy",(E3440*G3440),((E3440*(1-F3440))*G3440))))</f>
        <v>0</v>
      </c>
      <c r="J3440" s="640">
        <f>IF(H3440="warranty",0,(I3440*(_xlfn.SINGLE(SalesTaxPercentage))))</f>
        <v>0</v>
      </c>
      <c r="K3440" s="716">
        <f t="shared" ref="K3440" si="2641">I3440+J3440</f>
        <v>0</v>
      </c>
      <c r="L3440" s="716"/>
      <c r="M3440" s="689" t="str">
        <f ca="1">IF(AND(G3440&gt;0,E3440=0),"WARNING - no PRICE inserted",IF(H3440="free","FREE ~ no charge this plant",IF(H3440="credit",CONCATENATE("-$",ROUND(K3440*(1-_xlfn.SINGLE(T2GDiscount))*-1,2)," CREDIT after discount"),IF(_xlfn.SINGLE(T2GDiscount)=0,"",IF(G3440=0,"",IF(F3440="Buy",CONCATENATE("$",ROUND(K3440*(1-_xlfn.SINGLE(T2GDiscount)),2)," with ",(_xlfn.SINGLE(T2GDiscount)*100),"% discount"),CONCATENATE("$",ROUND(K3440*(1-_xlfn.SINGLE(T2GDiscount)),2)," with ",((_xlfn.SINGLE(T2GDiscount)*100+F3440*100)-(_xlfn.SINGLE(T2GDiscount)*100*F3440)),IF(F3440&gt;0,"% discounts",IF(_xlfn.SINGLE(NoWarrantyDiscount)&gt;0,"% discounts","% discount")))))))))</f>
        <v/>
      </c>
      <c r="N3440" s="690"/>
      <c r="O3440" s="486"/>
      <c r="P3440" s="486"/>
      <c r="Q3440" s="486"/>
      <c r="R3440" s="486"/>
      <c r="S3440" s="486"/>
      <c r="T3440" s="102">
        <f t="shared" si="2614"/>
        <v>0</v>
      </c>
      <c r="U3440" s="78">
        <f>IF(NOT(ISNUMBER(G3440)), "", VLOOKUP(A3440,'Discount Lookup'!D:E,2,FALSE)*G3440)</f>
        <v>0</v>
      </c>
      <c r="V3440" s="78">
        <f>IF(NOT(ISNUMBER(G3440)), "", VLOOKUP(A3440,'Discount Lookup'!G:H,2,FALSE)*G3440)</f>
        <v>0</v>
      </c>
      <c r="W3440" s="102">
        <f t="shared" si="2615"/>
        <v>0</v>
      </c>
      <c r="X3440" s="102">
        <f t="shared" si="2616"/>
        <v>0</v>
      </c>
      <c r="Y3440" s="120" t="b">
        <f t="shared" si="2617"/>
        <v>0</v>
      </c>
      <c r="Z3440" s="117">
        <f t="shared" si="2618"/>
        <v>0</v>
      </c>
      <c r="AA3440" s="118"/>
      <c r="AB3440" s="118" t="str">
        <f t="shared" si="2619"/>
        <v/>
      </c>
      <c r="AC3440" s="712" t="str">
        <f>IF(AE3440="T2G","no charge",IF(AND(OR(PlanterYesMe="No",PlanterYesMe="N",PlanterYesMe="me"),H3440=""),"",IF(H3440="credit","NO install",IF(AND(K3440="",AE3440="me"),"EACH row",IF(AND(K3440="images",AE3440="me"),"EACH row",IF(D3440="","",IF(H3440="credit","",IF(AE3440="free","re-planting",IF(AE3440="me","   not ELP, by",IF(AND(OR(PlanterYesMe="Yes",PlanterYesMe="Y"),G3440&gt;0),(VLOOKUP(A3440,'Discount Lookup'!J:K,2)*G3440*(1-PlanterDiscount)*(1+PlanterDifficultyPercentage)),IF(AE3440="ELP",(VLOOKUP(A3440,'Discount Lookup'!J:K,2)*G3440*(1-PlanterDiscount)*(1+PlanterDifficultyPercentage)),IF(AE3440="free","re-planting",IF(G3440=0,"",IF(PlanterYesMe="",IF(AE3440="me","   not ELP, by",IF(AE3440="",IF(G3440&gt;0,(VLOOKUP(A3440,'Discount Lookup'!J:K,2)*G3440*(1-PlanterDiscount)*(1+PlanterDifficultyPercentage)),""),"")),"   not ELP, by"))))))))))))))</f>
        <v/>
      </c>
      <c r="AD3440" s="712"/>
      <c r="AE3440" s="513" t="str">
        <f t="shared" si="2620"/>
        <v/>
      </c>
      <c r="AF3440" s="713" t="str">
        <f t="shared" si="2621"/>
        <v/>
      </c>
      <c r="AG3440" s="713"/>
      <c r="AH3440" s="713"/>
      <c r="AI3440" s="112">
        <f>IF(H3440="credit",0,IF(AE3440="free",0,IF(AE3440="me",0,IF(G3440&gt;0,(VLOOKUP(A3440,'Discount Lookup'!J:K,2)*G3440),0))))</f>
        <v>0</v>
      </c>
      <c r="AJ3440" s="107" t="str">
        <f t="shared" ca="1" si="2622"/>
        <v/>
      </c>
      <c r="AK3440" s="714" t="str">
        <f t="shared" si="2623"/>
        <v/>
      </c>
      <c r="AL3440" s="714"/>
      <c r="AM3440" s="114" t="str">
        <f t="shared" si="2624"/>
        <v/>
      </c>
      <c r="AN3440" s="115"/>
      <c r="AO3440" s="116"/>
      <c r="AP3440" s="116"/>
      <c r="AQ3440" s="116"/>
      <c r="AR3440" s="116"/>
      <c r="AS3440" s="116"/>
      <c r="AT3440" s="116"/>
      <c r="AU3440" s="116"/>
      <c r="AV3440" s="78"/>
      <c r="AW3440" s="102"/>
      <c r="AX3440" s="78"/>
      <c r="AY3440" s="78"/>
      <c r="AZ3440" s="78"/>
      <c r="BA3440" s="78"/>
      <c r="BB3440" s="78"/>
      <c r="BC3440" s="78"/>
      <c r="BD3440" s="78"/>
      <c r="BE3440" s="465"/>
      <c r="BF3440" s="165" t="str">
        <f t="shared" si="2625"/>
        <v>https://www.google.com/search?tbm=isch&amp;q=25%20G4</v>
      </c>
      <c r="BG3440" s="165" t="str">
        <f t="shared" si="2626"/>
        <v>P</v>
      </c>
      <c r="BH3440" s="65"/>
      <c r="BI3440" s="65"/>
      <c r="BJ3440" s="65"/>
      <c r="BK3440" s="65"/>
      <c r="BL3440" s="99"/>
      <c r="BM3440" s="99"/>
      <c r="BN3440" s="99"/>
    </row>
    <row r="3441" spans="1:66" s="51" customFormat="1" ht="17.25" thickBot="1" x14ac:dyDescent="0.3">
      <c r="A3441" s="641" t="s">
        <v>3888</v>
      </c>
      <c r="B3441" s="642"/>
      <c r="C3441" s="710"/>
      <c r="D3441" s="643"/>
      <c r="E3441" s="643"/>
      <c r="F3441" s="644"/>
      <c r="G3441" s="645"/>
      <c r="H3441" s="646"/>
      <c r="I3441" s="647"/>
      <c r="J3441" s="648"/>
      <c r="K3441" s="649"/>
      <c r="L3441" s="650"/>
      <c r="M3441" s="650"/>
      <c r="N3441" s="644"/>
      <c r="O3441" s="644"/>
      <c r="P3441" s="644"/>
      <c r="Q3441" s="644"/>
      <c r="R3441" s="644"/>
      <c r="S3441" s="701" t="s">
        <v>5253</v>
      </c>
      <c r="T3441" s="102">
        <f t="shared" si="2614"/>
        <v>0</v>
      </c>
      <c r="U3441" s="78" t="str">
        <f>IF(NOT(ISNUMBER(G3441)), "", VLOOKUP(A3441,'Discount Lookup'!D:E,2,FALSE)*G3441)</f>
        <v/>
      </c>
      <c r="V3441" s="78" t="str">
        <f>IF(NOT(ISNUMBER(G3441)), "", VLOOKUP(A3441,'Discount Lookup'!G:H,2,FALSE)*G3441)</f>
        <v/>
      </c>
      <c r="W3441" s="102">
        <f t="shared" si="2615"/>
        <v>0</v>
      </c>
      <c r="X3441" s="102">
        <f t="shared" si="2616"/>
        <v>0</v>
      </c>
      <c r="Y3441" s="120" t="b">
        <f t="shared" si="2617"/>
        <v>0</v>
      </c>
      <c r="Z3441" s="117">
        <f t="shared" si="2618"/>
        <v>0</v>
      </c>
      <c r="AA3441" s="118"/>
      <c r="AB3441" s="118" t="str">
        <f t="shared" si="2619"/>
        <v/>
      </c>
      <c r="AC3441" s="712" t="str">
        <f>IF(AE3441="T2G","no charge",IF(AND(OR(PlanterYesMe="No",PlanterYesMe="N",PlanterYesMe="me"),H3441=""),"",IF(H3441="credit","NO install",IF(AND(K3441="",AE3441="me"),"EACH row",IF(AND(K3441="images",AE3441="me"),"EACH row",IF(D3441="","",IF(H3441="credit","",IF(AE3441="free","re-planting",IF(AE3441="me","   not ELP, by",IF(AND(OR(PlanterYesMe="Yes",PlanterYesMe="Y"),G3441&gt;0),(VLOOKUP(A3441,'Discount Lookup'!J:K,2)*G3441*(1-PlanterDiscount)*(1+PlanterDifficultyPercentage)),IF(AE3441="ELP",(VLOOKUP(A3441,'Discount Lookup'!J:K,2)*G3441*(1-PlanterDiscount)*(1+PlanterDifficultyPercentage)),IF(AE3441="free","re-planting",IF(G3441=0,"",IF(PlanterYesMe="",IF(AE3441="me","   not ELP, by",IF(AE3441="",IF(G3441&gt;0,(VLOOKUP(A3441,'Discount Lookup'!J:K,2)*G3441*(1-PlanterDiscount)*(1+PlanterDifficultyPercentage)),""),"")),"   not ELP, by"))))))))))))))</f>
        <v/>
      </c>
      <c r="AD3441" s="712"/>
      <c r="AE3441" s="513" t="str">
        <f t="shared" si="2620"/>
        <v/>
      </c>
      <c r="AF3441" s="713" t="str">
        <f t="shared" si="2621"/>
        <v/>
      </c>
      <c r="AG3441" s="713"/>
      <c r="AH3441" s="713"/>
      <c r="AI3441" s="112">
        <f>IF(H3441="credit",0,IF(AE3441="free",0,IF(AE3441="me",0,IF(G3441&gt;0,(VLOOKUP(A3441,'Discount Lookup'!J:K,2)*G3441),0))))</f>
        <v>0</v>
      </c>
      <c r="AJ3441" s="107" t="str">
        <f t="shared" ca="1" si="2622"/>
        <v/>
      </c>
      <c r="AK3441" s="714" t="str">
        <f t="shared" si="2623"/>
        <v/>
      </c>
      <c r="AL3441" s="714"/>
      <c r="AM3441" s="114" t="str">
        <f t="shared" si="2624"/>
        <v/>
      </c>
      <c r="AN3441" s="115"/>
      <c r="AO3441" s="116"/>
      <c r="AP3441" s="116"/>
      <c r="AQ3441" s="116"/>
      <c r="AR3441" s="116"/>
      <c r="AS3441" s="116"/>
      <c r="AT3441" s="116"/>
      <c r="AU3441" s="116"/>
      <c r="AV3441" s="78"/>
      <c r="AW3441" s="102"/>
      <c r="AX3441" s="78"/>
      <c r="AY3441" s="78"/>
      <c r="AZ3441" s="78"/>
      <c r="BA3441" s="78"/>
      <c r="BB3441" s="78"/>
      <c r="BC3441" s="78"/>
      <c r="BD3441" s="78"/>
      <c r="BE3441" s="465"/>
      <c r="BF3441" s="165" t="str">
        <f t="shared" si="2625"/>
        <v>https://www.google.com/search?tbm=isch&amp;q=Okame%20bloom%20early%20spring.%20Mild%20fragrance.%20Nice%20winter%20structure.%20A%20Washington%2C%20D.C.%20tree%20%28with%20%27Yoshino%27%29%20</v>
      </c>
      <c r="BG3441" s="165" t="str">
        <f t="shared" si="2626"/>
        <v>O</v>
      </c>
      <c r="BH3441" s="65"/>
      <c r="BI3441" s="65"/>
      <c r="BJ3441" s="65"/>
      <c r="BK3441" s="65"/>
      <c r="BL3441" s="99"/>
      <c r="BM3441" s="99"/>
      <c r="BN3441" s="99"/>
    </row>
    <row r="3442" spans="1:66" s="51" customFormat="1" ht="18" x14ac:dyDescent="0.25">
      <c r="A3442" s="623" t="s">
        <v>3889</v>
      </c>
      <c r="B3442" s="624"/>
      <c r="C3442" s="709"/>
      <c r="D3442" s="625" t="s">
        <v>3890</v>
      </c>
      <c r="E3442" s="626"/>
      <c r="F3442" s="626"/>
      <c r="G3442" s="626"/>
      <c r="H3442" s="622" t="s">
        <v>1506</v>
      </c>
      <c r="I3442" s="627" t="s">
        <v>1077</v>
      </c>
      <c r="J3442" s="628"/>
      <c r="K3442" s="628"/>
      <c r="L3442" s="629"/>
      <c r="M3442" s="700" t="s">
        <v>5249</v>
      </c>
      <c r="N3442" s="693" t="str">
        <f>IF(AND(ISTEXT($A3442), ISERROR($A3442+0)), HYPERLINK($BF3442, "Images"), "")</f>
        <v>Images</v>
      </c>
      <c r="O3442" s="695" t="s">
        <v>5286</v>
      </c>
      <c r="P3442" s="630"/>
      <c r="Q3442" s="631"/>
      <c r="R3442" s="632"/>
      <c r="S3442" s="633"/>
      <c r="T3442" s="102">
        <f t="shared" si="2614"/>
        <v>0</v>
      </c>
      <c r="U3442" s="78" t="str">
        <f>IF(NOT(ISNUMBER(G3442)), "", VLOOKUP(A3442,'Discount Lookup'!D:E,2,FALSE)*G3442)</f>
        <v/>
      </c>
      <c r="V3442" s="78" t="str">
        <f>IF(NOT(ISNUMBER(G3442)), "", VLOOKUP(A3442,'Discount Lookup'!G:H,2,FALSE)*G3442)</f>
        <v/>
      </c>
      <c r="W3442" s="102">
        <f t="shared" si="2615"/>
        <v>0</v>
      </c>
      <c r="X3442" s="102" t="str">
        <f t="shared" si="2616"/>
        <v>Pink to White bloom</v>
      </c>
      <c r="Y3442" s="120" t="b">
        <f t="shared" si="2617"/>
        <v>0</v>
      </c>
      <c r="Z3442" s="117">
        <f t="shared" si="2618"/>
        <v>0</v>
      </c>
      <c r="AA3442" s="118"/>
      <c r="AB3442" s="118" t="str">
        <f t="shared" si="2619"/>
        <v/>
      </c>
      <c r="AC3442" s="712" t="str">
        <f>IF(AE3442="T2G","no charge",IF(AND(OR(PlanterYesMe="No",PlanterYesMe="N",PlanterYesMe="me"),H3442=""),"",IF(H3442="credit","NO install",IF(AND(K3442="",AE3442="me"),"EACH row",IF(AND(K3442="images",AE3442="me"),"EACH row",IF(D3442="","",IF(H3442="credit","",IF(AE3442="free","re-planting",IF(AE3442="me","   not ELP, by",IF(AND(OR(PlanterYesMe="Yes",PlanterYesMe="Y"),G3442&gt;0),(VLOOKUP(A3442,'Discount Lookup'!J:K,2)*G3442*(1-PlanterDiscount)*(1+PlanterDifficultyPercentage)),IF(AE3442="ELP",(VLOOKUP(A3442,'Discount Lookup'!J:K,2)*G3442*(1-PlanterDiscount)*(1+PlanterDifficultyPercentage)),IF(AE3442="free","re-planting",IF(G3442=0,"",IF(PlanterYesMe="",IF(AE3442="me","   not ELP, by",IF(AE3442="",IF(G3442&gt;0,(VLOOKUP(A3442,'Discount Lookup'!J:K,2)*G3442*(1-PlanterDiscount)*(1+PlanterDifficultyPercentage)),""),"")),"   not ELP, by"))))))))))))))</f>
        <v/>
      </c>
      <c r="AD3442" s="712"/>
      <c r="AE3442" s="513" t="str">
        <f t="shared" si="2620"/>
        <v/>
      </c>
      <c r="AF3442" s="713" t="str">
        <f t="shared" si="2621"/>
        <v/>
      </c>
      <c r="AG3442" s="713"/>
      <c r="AH3442" s="713"/>
      <c r="AI3442" s="112">
        <f>IF(H3442="credit",0,IF(AE3442="free",0,IF(AE3442="me",0,IF(G3442&gt;0,(VLOOKUP(A3442,'Discount Lookup'!J:K,2)*G3442),0))))</f>
        <v>0</v>
      </c>
      <c r="AJ3442" s="107" t="str">
        <f t="shared" ca="1" si="2622"/>
        <v/>
      </c>
      <c r="AK3442" s="714" t="str">
        <f t="shared" si="2623"/>
        <v/>
      </c>
      <c r="AL3442" s="714"/>
      <c r="AM3442" s="114" t="str">
        <f t="shared" si="2624"/>
        <v/>
      </c>
      <c r="AN3442" s="115"/>
      <c r="AO3442" s="116"/>
      <c r="AP3442" s="116"/>
      <c r="AQ3442" s="116"/>
      <c r="AR3442" s="116"/>
      <c r="AS3442" s="116"/>
      <c r="AT3442" s="116"/>
      <c r="AU3442" s="116"/>
      <c r="AV3442" s="78"/>
      <c r="AW3442" s="102"/>
      <c r="AX3442" s="78"/>
      <c r="AY3442" s="78"/>
      <c r="AZ3442" s="78"/>
      <c r="BA3442" s="78"/>
      <c r="BB3442" s="78"/>
      <c r="BC3442" s="78"/>
      <c r="BD3442" s="78"/>
      <c r="BE3442" s="465"/>
      <c r="BF3442" s="165" t="str">
        <f t="shared" si="2625"/>
        <v>https://www.google.com/search?tbm=isch&amp;q=Prunus%20x%20subhirtella%20%27Autumnalis%27%20Autumnalis%20Higan%20Cherry</v>
      </c>
      <c r="BG3442" s="165" t="str">
        <f t="shared" si="2626"/>
        <v>P</v>
      </c>
      <c r="BH3442" s="65"/>
      <c r="BI3442" s="65"/>
      <c r="BJ3442" s="65"/>
      <c r="BK3442" s="65"/>
      <c r="BL3442" s="99"/>
      <c r="BM3442" s="99"/>
      <c r="BN3442" s="99"/>
    </row>
    <row r="3443" spans="1:66" s="51" customFormat="1" ht="15.75" x14ac:dyDescent="0.25">
      <c r="A3443" s="634">
        <v>7</v>
      </c>
      <c r="B3443" s="635" t="s">
        <v>291</v>
      </c>
      <c r="C3443" s="636" t="s">
        <v>3891</v>
      </c>
      <c r="D3443" s="637" t="s">
        <v>299</v>
      </c>
      <c r="E3443" s="638">
        <v>102.95</v>
      </c>
      <c r="F3443" s="639" t="s">
        <v>292</v>
      </c>
      <c r="G3443" s="484">
        <v>0</v>
      </c>
      <c r="H3443" s="691" t="str">
        <f>IF(G3443=0,"",IF(F3443="Buy",IF(G3443=1,"plant","plants"),IF(F3443&gt;0.01,"warranty","Error")))</f>
        <v/>
      </c>
      <c r="I3443" s="640">
        <f>IF(H3443="free",0,IF(H3443="credit",((E3443*(F3443))*G3443*-1),IF(F3443="Buy",(E3443*G3443),((E3443*(1-F3443))*G3443))))</f>
        <v>0</v>
      </c>
      <c r="J3443" s="640">
        <f>IF(H3443="warranty",0,(I3443*(_xlfn.SINGLE(SalesTaxPercentage))))</f>
        <v>0</v>
      </c>
      <c r="K3443" s="716">
        <f t="shared" ref="K3443" si="2642">I3443+J3443</f>
        <v>0</v>
      </c>
      <c r="L3443" s="716"/>
      <c r="M3443" s="689" t="str">
        <f ca="1">IF(AND(G3443&gt;0,E3443=0),"WARNING - no PRICE inserted",IF(H3443="free","FREE ~ no charge this plant",IF(H3443="credit",CONCATENATE("-$",ROUND(K3443*(1-_xlfn.SINGLE(T2GDiscount))*-1,2)," CREDIT after discount"),IF(_xlfn.SINGLE(T2GDiscount)=0,"",IF(G3443=0,"",IF(F3443="Buy",CONCATENATE("$",ROUND(K3443*(1-_xlfn.SINGLE(T2GDiscount)),2)," with ",(_xlfn.SINGLE(T2GDiscount)*100),"% discount"),CONCATENATE("$",ROUND(K3443*(1-_xlfn.SINGLE(T2GDiscount)),2)," with ",((_xlfn.SINGLE(T2GDiscount)*100+F3443*100)-(_xlfn.SINGLE(T2GDiscount)*100*F3443)),IF(F3443&gt;0,"% discounts",IF(_xlfn.SINGLE(NoWarrantyDiscount)&gt;0,"% discounts","% discount")))))))))</f>
        <v/>
      </c>
      <c r="N3443" s="690"/>
      <c r="O3443" s="486"/>
      <c r="P3443" s="486"/>
      <c r="Q3443" s="486"/>
      <c r="R3443" s="486"/>
      <c r="S3443" s="486"/>
      <c r="T3443" s="102">
        <f t="shared" si="2614"/>
        <v>0</v>
      </c>
      <c r="U3443" s="78">
        <f>IF(NOT(ISNUMBER(G3443)), "", VLOOKUP(A3443,'Discount Lookup'!D:E,2,FALSE)*G3443)</f>
        <v>0</v>
      </c>
      <c r="V3443" s="78">
        <f>IF(NOT(ISNUMBER(G3443)), "", VLOOKUP(A3443,'Discount Lookup'!G:H,2,FALSE)*G3443)</f>
        <v>0</v>
      </c>
      <c r="W3443" s="102">
        <f t="shared" si="2615"/>
        <v>0</v>
      </c>
      <c r="X3443" s="102">
        <f t="shared" si="2616"/>
        <v>0</v>
      </c>
      <c r="Y3443" s="120" t="b">
        <f t="shared" si="2617"/>
        <v>0</v>
      </c>
      <c r="Z3443" s="117">
        <f t="shared" si="2618"/>
        <v>0</v>
      </c>
      <c r="AA3443" s="118"/>
      <c r="AB3443" s="118" t="str">
        <f t="shared" si="2619"/>
        <v/>
      </c>
      <c r="AC3443" s="712" t="str">
        <f>IF(AE3443="T2G","no charge",IF(AND(OR(PlanterYesMe="No",PlanterYesMe="N",PlanterYesMe="me"),H3443=""),"",IF(H3443="credit","NO install",IF(AND(K3443="",AE3443="me"),"EACH row",IF(AND(K3443="images",AE3443="me"),"EACH row",IF(D3443="","",IF(H3443="credit","",IF(AE3443="free","re-planting",IF(AE3443="me","   not ELP, by",IF(AND(OR(PlanterYesMe="Yes",PlanterYesMe="Y"),G3443&gt;0),(VLOOKUP(A3443,'Discount Lookup'!J:K,2)*G3443*(1-PlanterDiscount)*(1+PlanterDifficultyPercentage)),IF(AE3443="ELP",(VLOOKUP(A3443,'Discount Lookup'!J:K,2)*G3443*(1-PlanterDiscount)*(1+PlanterDifficultyPercentage)),IF(AE3443="free","re-planting",IF(G3443=0,"",IF(PlanterYesMe="",IF(AE3443="me","   not ELP, by",IF(AE3443="",IF(G3443&gt;0,(VLOOKUP(A3443,'Discount Lookup'!J:K,2)*G3443*(1-PlanterDiscount)*(1+PlanterDifficultyPercentage)),""),"")),"   not ELP, by"))))))))))))))</f>
        <v/>
      </c>
      <c r="AD3443" s="712"/>
      <c r="AE3443" s="513" t="str">
        <f t="shared" si="2620"/>
        <v/>
      </c>
      <c r="AF3443" s="713" t="str">
        <f t="shared" si="2621"/>
        <v/>
      </c>
      <c r="AG3443" s="713"/>
      <c r="AH3443" s="713"/>
      <c r="AI3443" s="112">
        <f>IF(H3443="credit",0,IF(AE3443="free",0,IF(AE3443="me",0,IF(G3443&gt;0,(VLOOKUP(A3443,'Discount Lookup'!J:K,2)*G3443),0))))</f>
        <v>0</v>
      </c>
      <c r="AJ3443" s="107" t="str">
        <f t="shared" ca="1" si="2622"/>
        <v/>
      </c>
      <c r="AK3443" s="714" t="str">
        <f t="shared" si="2623"/>
        <v/>
      </c>
      <c r="AL3443" s="714"/>
      <c r="AM3443" s="114" t="str">
        <f t="shared" si="2624"/>
        <v/>
      </c>
      <c r="AN3443" s="115"/>
      <c r="AO3443" s="116"/>
      <c r="AP3443" s="116"/>
      <c r="AQ3443" s="116"/>
      <c r="AR3443" s="116"/>
      <c r="AS3443" s="116"/>
      <c r="AT3443" s="116"/>
      <c r="AU3443" s="116"/>
      <c r="AV3443" s="78"/>
      <c r="AW3443" s="102"/>
      <c r="AX3443" s="78"/>
      <c r="AY3443" s="78"/>
      <c r="AZ3443" s="78"/>
      <c r="BA3443" s="78"/>
      <c r="BB3443" s="78"/>
      <c r="BC3443" s="78"/>
      <c r="BD3443" s="78"/>
      <c r="BE3443" s="465"/>
      <c r="BF3443" s="165" t="str">
        <f t="shared" si="2625"/>
        <v>https://www.google.com/search?tbm=isch&amp;q=7%20G4</v>
      </c>
      <c r="BG3443" s="165" t="str">
        <f t="shared" si="2626"/>
        <v>P</v>
      </c>
      <c r="BH3443" s="65"/>
      <c r="BI3443" s="65"/>
      <c r="BJ3443" s="65"/>
      <c r="BK3443" s="65"/>
      <c r="BL3443" s="99"/>
      <c r="BM3443" s="99"/>
      <c r="BN3443" s="99"/>
    </row>
    <row r="3444" spans="1:66" s="51" customFormat="1" ht="15.75" x14ac:dyDescent="0.25">
      <c r="A3444" s="634">
        <v>15</v>
      </c>
      <c r="B3444" s="635" t="s">
        <v>291</v>
      </c>
      <c r="C3444" s="636" t="s">
        <v>3892</v>
      </c>
      <c r="D3444" s="637" t="s">
        <v>299</v>
      </c>
      <c r="E3444" s="638">
        <v>178.95</v>
      </c>
      <c r="F3444" s="639" t="s">
        <v>292</v>
      </c>
      <c r="G3444" s="484">
        <v>0</v>
      </c>
      <c r="H3444" s="691" t="str">
        <f>IF(G3444=0,"",IF(F3444="Buy",IF(G3444=1,"plant","plants"),IF(F3444&gt;0.01,"warranty","Error")))</f>
        <v/>
      </c>
      <c r="I3444" s="640">
        <f>IF(H3444="free",0,IF(H3444="credit",((E3444*(F3444))*G3444*-1),IF(F3444="Buy",(E3444*G3444),((E3444*(1-F3444))*G3444))))</f>
        <v>0</v>
      </c>
      <c r="J3444" s="640">
        <f>IF(H3444="warranty",0,(I3444*(_xlfn.SINGLE(SalesTaxPercentage))))</f>
        <v>0</v>
      </c>
      <c r="K3444" s="716">
        <f t="shared" ref="K3444" si="2643">I3444+J3444</f>
        <v>0</v>
      </c>
      <c r="L3444" s="716"/>
      <c r="M3444" s="689" t="str">
        <f ca="1">IF(AND(G3444&gt;0,E3444=0),"WARNING - no PRICE inserted",IF(H3444="free","FREE ~ no charge this plant",IF(H3444="credit",CONCATENATE("-$",ROUND(K3444*(1-_xlfn.SINGLE(T2GDiscount))*-1,2)," CREDIT after discount"),IF(_xlfn.SINGLE(T2GDiscount)=0,"",IF(G3444=0,"",IF(F3444="Buy",CONCATENATE("$",ROUND(K3444*(1-_xlfn.SINGLE(T2GDiscount)),2)," with ",(_xlfn.SINGLE(T2GDiscount)*100),"% discount"),CONCATENATE("$",ROUND(K3444*(1-_xlfn.SINGLE(T2GDiscount)),2)," with ",((_xlfn.SINGLE(T2GDiscount)*100+F3444*100)-(_xlfn.SINGLE(T2GDiscount)*100*F3444)),IF(F3444&gt;0,"% discounts",IF(_xlfn.SINGLE(NoWarrantyDiscount)&gt;0,"% discounts","% discount")))))))))</f>
        <v/>
      </c>
      <c r="N3444" s="690"/>
      <c r="O3444" s="486"/>
      <c r="P3444" s="486"/>
      <c r="Q3444" s="486"/>
      <c r="R3444" s="486"/>
      <c r="S3444" s="486"/>
      <c r="T3444" s="102">
        <f t="shared" si="2614"/>
        <v>0</v>
      </c>
      <c r="U3444" s="78">
        <f>IF(NOT(ISNUMBER(G3444)), "", VLOOKUP(A3444,'Discount Lookup'!D:E,2,FALSE)*G3444)</f>
        <v>0</v>
      </c>
      <c r="V3444" s="78">
        <f>IF(NOT(ISNUMBER(G3444)), "", VLOOKUP(A3444,'Discount Lookup'!G:H,2,FALSE)*G3444)</f>
        <v>0</v>
      </c>
      <c r="W3444" s="102">
        <f t="shared" si="2615"/>
        <v>0</v>
      </c>
      <c r="X3444" s="102">
        <f t="shared" si="2616"/>
        <v>0</v>
      </c>
      <c r="Y3444" s="120" t="b">
        <f t="shared" si="2617"/>
        <v>0</v>
      </c>
      <c r="Z3444" s="117">
        <f t="shared" si="2618"/>
        <v>0</v>
      </c>
      <c r="AA3444" s="118"/>
      <c r="AB3444" s="118" t="str">
        <f t="shared" si="2619"/>
        <v/>
      </c>
      <c r="AC3444" s="712" t="str">
        <f>IF(AE3444="T2G","no charge",IF(AND(OR(PlanterYesMe="No",PlanterYesMe="N",PlanterYesMe="me"),H3444=""),"",IF(H3444="credit","NO install",IF(AND(K3444="",AE3444="me"),"EACH row",IF(AND(K3444="images",AE3444="me"),"EACH row",IF(D3444="","",IF(H3444="credit","",IF(AE3444="free","re-planting",IF(AE3444="me","   not ELP, by",IF(AND(OR(PlanterYesMe="Yes",PlanterYesMe="Y"),G3444&gt;0),(VLOOKUP(A3444,'Discount Lookup'!J:K,2)*G3444*(1-PlanterDiscount)*(1+PlanterDifficultyPercentage)),IF(AE3444="ELP",(VLOOKUP(A3444,'Discount Lookup'!J:K,2)*G3444*(1-PlanterDiscount)*(1+PlanterDifficultyPercentage)),IF(AE3444="free","re-planting",IF(G3444=0,"",IF(PlanterYesMe="",IF(AE3444="me","   not ELP, by",IF(AE3444="",IF(G3444&gt;0,(VLOOKUP(A3444,'Discount Lookup'!J:K,2)*G3444*(1-PlanterDiscount)*(1+PlanterDifficultyPercentage)),""),"")),"   not ELP, by"))))))))))))))</f>
        <v/>
      </c>
      <c r="AD3444" s="712"/>
      <c r="AE3444" s="513" t="str">
        <f t="shared" si="2620"/>
        <v/>
      </c>
      <c r="AF3444" s="713" t="str">
        <f t="shared" si="2621"/>
        <v/>
      </c>
      <c r="AG3444" s="713"/>
      <c r="AH3444" s="713"/>
      <c r="AI3444" s="112">
        <f>IF(H3444="credit",0,IF(AE3444="free",0,IF(AE3444="me",0,IF(G3444&gt;0,(VLOOKUP(A3444,'Discount Lookup'!J:K,2)*G3444),0))))</f>
        <v>0</v>
      </c>
      <c r="AJ3444" s="107" t="str">
        <f t="shared" ca="1" si="2622"/>
        <v/>
      </c>
      <c r="AK3444" s="714" t="str">
        <f t="shared" si="2623"/>
        <v/>
      </c>
      <c r="AL3444" s="714"/>
      <c r="AM3444" s="114" t="str">
        <f t="shared" si="2624"/>
        <v/>
      </c>
      <c r="AN3444" s="115"/>
      <c r="AO3444" s="116"/>
      <c r="AP3444" s="116"/>
      <c r="AQ3444" s="116"/>
      <c r="AR3444" s="116"/>
      <c r="AS3444" s="116"/>
      <c r="AT3444" s="116"/>
      <c r="AU3444" s="116"/>
      <c r="AV3444" s="78"/>
      <c r="AW3444" s="102"/>
      <c r="AX3444" s="78"/>
      <c r="AY3444" s="78"/>
      <c r="AZ3444" s="78"/>
      <c r="BA3444" s="78"/>
      <c r="BB3444" s="78"/>
      <c r="BC3444" s="78"/>
      <c r="BD3444" s="78"/>
      <c r="BE3444" s="465"/>
      <c r="BF3444" s="165" t="str">
        <f t="shared" si="2625"/>
        <v>https://www.google.com/search?tbm=isch&amp;q=15%20G4</v>
      </c>
      <c r="BG3444" s="165" t="str">
        <f t="shared" si="2626"/>
        <v>P</v>
      </c>
      <c r="BH3444" s="65"/>
      <c r="BI3444" s="65"/>
      <c r="BJ3444" s="65"/>
      <c r="BK3444" s="65"/>
      <c r="BL3444" s="99"/>
      <c r="BM3444" s="99"/>
      <c r="BN3444" s="99"/>
    </row>
    <row r="3445" spans="1:66" s="51" customFormat="1" ht="17.25" thickBot="1" x14ac:dyDescent="0.3">
      <c r="A3445" s="641" t="s">
        <v>3893</v>
      </c>
      <c r="B3445" s="642"/>
      <c r="C3445" s="710"/>
      <c r="D3445" s="643"/>
      <c r="E3445" s="643"/>
      <c r="F3445" s="644"/>
      <c r="G3445" s="645"/>
      <c r="H3445" s="646"/>
      <c r="I3445" s="647"/>
      <c r="J3445" s="648"/>
      <c r="K3445" s="649"/>
      <c r="L3445" s="650"/>
      <c r="M3445" s="650"/>
      <c r="N3445" s="644"/>
      <c r="O3445" s="644"/>
      <c r="P3445" s="644"/>
      <c r="Q3445" s="644"/>
      <c r="R3445" s="644"/>
      <c r="S3445" s="701" t="s">
        <v>5251</v>
      </c>
      <c r="T3445" s="102">
        <f t="shared" si="2614"/>
        <v>0</v>
      </c>
      <c r="U3445" s="78" t="str">
        <f>IF(NOT(ISNUMBER(G3445)), "", VLOOKUP(A3445,'Discount Lookup'!D:E,2,FALSE)*G3445)</f>
        <v/>
      </c>
      <c r="V3445" s="78" t="str">
        <f>IF(NOT(ISNUMBER(G3445)), "", VLOOKUP(A3445,'Discount Lookup'!G:H,2,FALSE)*G3445)</f>
        <v/>
      </c>
      <c r="W3445" s="102">
        <f t="shared" si="2615"/>
        <v>0</v>
      </c>
      <c r="X3445" s="102">
        <f t="shared" si="2616"/>
        <v>0</v>
      </c>
      <c r="Y3445" s="120" t="b">
        <f t="shared" si="2617"/>
        <v>0</v>
      </c>
      <c r="Z3445" s="117">
        <f t="shared" si="2618"/>
        <v>0</v>
      </c>
      <c r="AA3445" s="118"/>
      <c r="AB3445" s="118" t="str">
        <f t="shared" si="2619"/>
        <v/>
      </c>
      <c r="AC3445" s="712" t="str">
        <f>IF(AE3445="T2G","no charge",IF(AND(OR(PlanterYesMe="No",PlanterYesMe="N",PlanterYesMe="me"),H3445=""),"",IF(H3445="credit","NO install",IF(AND(K3445="",AE3445="me"),"EACH row",IF(AND(K3445="images",AE3445="me"),"EACH row",IF(D3445="","",IF(H3445="credit","",IF(AE3445="free","re-planting",IF(AE3445="me","   not ELP, by",IF(AND(OR(PlanterYesMe="Yes",PlanterYesMe="Y"),G3445&gt;0),(VLOOKUP(A3445,'Discount Lookup'!J:K,2)*G3445*(1-PlanterDiscount)*(1+PlanterDifficultyPercentage)),IF(AE3445="ELP",(VLOOKUP(A3445,'Discount Lookup'!J:K,2)*G3445*(1-PlanterDiscount)*(1+PlanterDifficultyPercentage)),IF(AE3445="free","re-planting",IF(G3445=0,"",IF(PlanterYesMe="",IF(AE3445="me","   not ELP, by",IF(AE3445="",IF(G3445&gt;0,(VLOOKUP(A3445,'Discount Lookup'!J:K,2)*G3445*(1-PlanterDiscount)*(1+PlanterDifficultyPercentage)),""),"")),"   not ELP, by"))))))))))))))</f>
        <v/>
      </c>
      <c r="AD3445" s="712"/>
      <c r="AE3445" s="513" t="str">
        <f t="shared" si="2620"/>
        <v/>
      </c>
      <c r="AF3445" s="713" t="str">
        <f t="shared" si="2621"/>
        <v/>
      </c>
      <c r="AG3445" s="713"/>
      <c r="AH3445" s="713"/>
      <c r="AI3445" s="112">
        <f>IF(H3445="credit",0,IF(AE3445="free",0,IF(AE3445="me",0,IF(G3445&gt;0,(VLOOKUP(A3445,'Discount Lookup'!J:K,2)*G3445),0))))</f>
        <v>0</v>
      </c>
      <c r="AJ3445" s="107" t="str">
        <f t="shared" ca="1" si="2622"/>
        <v/>
      </c>
      <c r="AK3445" s="714" t="str">
        <f t="shared" si="2623"/>
        <v/>
      </c>
      <c r="AL3445" s="714"/>
      <c r="AM3445" s="114" t="str">
        <f t="shared" si="2624"/>
        <v/>
      </c>
      <c r="AN3445" s="115"/>
      <c r="AO3445" s="116"/>
      <c r="AP3445" s="116"/>
      <c r="AQ3445" s="116"/>
      <c r="AR3445" s="116"/>
      <c r="AS3445" s="116"/>
      <c r="AT3445" s="116"/>
      <c r="AU3445" s="116"/>
      <c r="AV3445" s="78"/>
      <c r="AW3445" s="102"/>
      <c r="AX3445" s="78"/>
      <c r="AY3445" s="78"/>
      <c r="AZ3445" s="78"/>
      <c r="BA3445" s="78"/>
      <c r="BB3445" s="78"/>
      <c r="BC3445" s="78"/>
      <c r="BD3445" s="78"/>
      <c r="BE3445" s="465"/>
      <c r="BF3445" s="165" t="str">
        <f t="shared" si="2625"/>
        <v>https://www.google.com/search?tbm=isch&amp;q=Autumnalis%20known%20for%20mutilple%20blooms%20-%20in%20spring%2C%20and%20in%20mild%20winters.%20Long-lived%20among%20Cheery%2C%20will%20weep%20with%20old%20age%20</v>
      </c>
      <c r="BG3445" s="165" t="str">
        <f t="shared" si="2626"/>
        <v>A</v>
      </c>
      <c r="BH3445" s="65"/>
      <c r="BI3445" s="65"/>
      <c r="BJ3445" s="65"/>
      <c r="BK3445" s="65"/>
      <c r="BL3445" s="99"/>
      <c r="BM3445" s="99"/>
      <c r="BN3445" s="99"/>
    </row>
    <row r="3446" spans="1:66" s="51" customFormat="1" ht="18" x14ac:dyDescent="0.25">
      <c r="A3446" s="623" t="s">
        <v>3894</v>
      </c>
      <c r="B3446" s="624"/>
      <c r="C3446" s="709"/>
      <c r="D3446" s="625" t="s">
        <v>5750</v>
      </c>
      <c r="E3446" s="626"/>
      <c r="F3446" s="626"/>
      <c r="G3446" s="626"/>
      <c r="H3446" s="622" t="s">
        <v>347</v>
      </c>
      <c r="I3446" s="627" t="s">
        <v>349</v>
      </c>
      <c r="J3446" s="628"/>
      <c r="K3446" s="628"/>
      <c r="L3446" s="629"/>
      <c r="M3446" s="700" t="s">
        <v>5241</v>
      </c>
      <c r="N3446" s="693" t="str">
        <f>IF(AND(ISTEXT($A3446), ISERROR($A3446+0)), HYPERLINK($BF3446, "Images"), "")</f>
        <v>Images</v>
      </c>
      <c r="O3446" s="695" t="s">
        <v>5286</v>
      </c>
      <c r="P3446" s="630"/>
      <c r="Q3446" s="631"/>
      <c r="R3446" s="632"/>
      <c r="S3446" s="633"/>
      <c r="T3446" s="102">
        <f t="shared" si="2614"/>
        <v>0</v>
      </c>
      <c r="U3446" s="78" t="str">
        <f>IF(NOT(ISNUMBER(G3446)), "", VLOOKUP(A3446,'Discount Lookup'!D:E,2,FALSE)*G3446)</f>
        <v/>
      </c>
      <c r="V3446" s="78" t="str">
        <f>IF(NOT(ISNUMBER(G3446)), "", VLOOKUP(A3446,'Discount Lookup'!G:H,2,FALSE)*G3446)</f>
        <v/>
      </c>
      <c r="W3446" s="102">
        <f t="shared" si="2615"/>
        <v>0</v>
      </c>
      <c r="X3446" s="102" t="str">
        <f t="shared" si="2616"/>
        <v>White bloom</v>
      </c>
      <c r="Y3446" s="120" t="b">
        <f t="shared" si="2617"/>
        <v>0</v>
      </c>
      <c r="Z3446" s="117">
        <f t="shared" si="2618"/>
        <v>0</v>
      </c>
      <c r="AA3446" s="118"/>
      <c r="AB3446" s="118" t="str">
        <f t="shared" si="2619"/>
        <v/>
      </c>
      <c r="AC3446" s="712" t="str">
        <f>IF(AE3446="T2G","no charge",IF(AND(OR(PlanterYesMe="No",PlanterYesMe="N",PlanterYesMe="me"),H3446=""),"",IF(H3446="credit","NO install",IF(AND(K3446="",AE3446="me"),"EACH row",IF(AND(K3446="images",AE3446="me"),"EACH row",IF(D3446="","",IF(H3446="credit","",IF(AE3446="free","re-planting",IF(AE3446="me","   not ELP, by",IF(AND(OR(PlanterYesMe="Yes",PlanterYesMe="Y"),G3446&gt;0),(VLOOKUP(A3446,'Discount Lookup'!J:K,2)*G3446*(1-PlanterDiscount)*(1+PlanterDifficultyPercentage)),IF(AE3446="ELP",(VLOOKUP(A3446,'Discount Lookup'!J:K,2)*G3446*(1-PlanterDiscount)*(1+PlanterDifficultyPercentage)),IF(AE3446="free","re-planting",IF(G3446=0,"",IF(PlanterYesMe="",IF(AE3446="me","   not ELP, by",IF(AE3446="",IF(G3446&gt;0,(VLOOKUP(A3446,'Discount Lookup'!J:K,2)*G3446*(1-PlanterDiscount)*(1+PlanterDifficultyPercentage)),""),"")),"   not ELP, by"))))))))))))))</f>
        <v/>
      </c>
      <c r="AD3446" s="712"/>
      <c r="AE3446" s="513" t="str">
        <f t="shared" si="2620"/>
        <v/>
      </c>
      <c r="AF3446" s="713" t="str">
        <f t="shared" si="2621"/>
        <v/>
      </c>
      <c r="AG3446" s="713"/>
      <c r="AH3446" s="713"/>
      <c r="AI3446" s="112">
        <f>IF(H3446="credit",0,IF(AE3446="free",0,IF(AE3446="me",0,IF(G3446&gt;0,(VLOOKUP(A3446,'Discount Lookup'!J:K,2)*G3446),0))))</f>
        <v>0</v>
      </c>
      <c r="AJ3446" s="107" t="str">
        <f t="shared" ca="1" si="2622"/>
        <v/>
      </c>
      <c r="AK3446" s="714" t="str">
        <f t="shared" si="2623"/>
        <v/>
      </c>
      <c r="AL3446" s="714"/>
      <c r="AM3446" s="114" t="str">
        <f t="shared" si="2624"/>
        <v/>
      </c>
      <c r="AN3446" s="115"/>
      <c r="AO3446" s="116"/>
      <c r="AP3446" s="116"/>
      <c r="AQ3446" s="116"/>
      <c r="AR3446" s="116"/>
      <c r="AS3446" s="116"/>
      <c r="AT3446" s="116"/>
      <c r="AU3446" s="116"/>
      <c r="AV3446" s="78"/>
      <c r="AW3446" s="102"/>
      <c r="AX3446" s="78"/>
      <c r="AY3446" s="78"/>
      <c r="AZ3446" s="78"/>
      <c r="BA3446" s="78"/>
      <c r="BB3446" s="78"/>
      <c r="BC3446" s="78"/>
      <c r="BD3446" s="78"/>
      <c r="BE3446" s="465"/>
      <c r="BF3446" s="165" t="str">
        <f t="shared" si="2625"/>
        <v>https://www.google.com/search?tbm=isch&amp;q=Prunus%20x%20subhirtella%20%27Snofozam%27%20PP%236739Exp.%20Snow%20Fountains%C2%AE%20Weeping%20Cherry</v>
      </c>
      <c r="BG3446" s="165" t="str">
        <f t="shared" si="2626"/>
        <v>P</v>
      </c>
      <c r="BH3446" s="65"/>
      <c r="BI3446" s="65"/>
      <c r="BJ3446" s="65"/>
      <c r="BK3446" s="65"/>
      <c r="BL3446" s="99"/>
      <c r="BM3446" s="99"/>
      <c r="BN3446" s="99"/>
    </row>
    <row r="3447" spans="1:66" s="51" customFormat="1" ht="15.75" x14ac:dyDescent="0.25">
      <c r="A3447" s="634">
        <v>7</v>
      </c>
      <c r="B3447" s="635" t="s">
        <v>291</v>
      </c>
      <c r="C3447" s="636" t="s">
        <v>3895</v>
      </c>
      <c r="D3447" s="637" t="s">
        <v>299</v>
      </c>
      <c r="E3447" s="638">
        <v>111.95</v>
      </c>
      <c r="F3447" s="639" t="s">
        <v>292</v>
      </c>
      <c r="G3447" s="484">
        <v>0</v>
      </c>
      <c r="H3447" s="691" t="str">
        <f>IF(G3447=0,"",IF(F3447="Buy",IF(G3447=1,"plant","plants"),IF(F3447&gt;0.01,"warranty","Error")))</f>
        <v/>
      </c>
      <c r="I3447" s="640">
        <f>IF(H3447="free",0,IF(H3447="credit",((E3447*(F3447))*G3447*-1),IF(F3447="Buy",(E3447*G3447),((E3447*(1-F3447))*G3447))))</f>
        <v>0</v>
      </c>
      <c r="J3447" s="640">
        <f>IF(H3447="warranty",0,(I3447*(_xlfn.SINGLE(SalesTaxPercentage))))</f>
        <v>0</v>
      </c>
      <c r="K3447" s="716">
        <f t="shared" ref="K3447" si="2644">I3447+J3447</f>
        <v>0</v>
      </c>
      <c r="L3447" s="716"/>
      <c r="M3447" s="689" t="str">
        <f ca="1">IF(AND(G3447&gt;0,E3447=0),"WARNING - no PRICE inserted",IF(H3447="free","FREE ~ no charge this plant",IF(H3447="credit",CONCATENATE("-$",ROUND(K3447*(1-_xlfn.SINGLE(T2GDiscount))*-1,2)," CREDIT after discount"),IF(_xlfn.SINGLE(T2GDiscount)=0,"",IF(G3447=0,"",IF(F3447="Buy",CONCATENATE("$",ROUND(K3447*(1-_xlfn.SINGLE(T2GDiscount)),2)," with ",(_xlfn.SINGLE(T2GDiscount)*100),"% discount"),CONCATENATE("$",ROUND(K3447*(1-_xlfn.SINGLE(T2GDiscount)),2)," with ",((_xlfn.SINGLE(T2GDiscount)*100+F3447*100)-(_xlfn.SINGLE(T2GDiscount)*100*F3447)),IF(F3447&gt;0,"% discounts",IF(_xlfn.SINGLE(NoWarrantyDiscount)&gt;0,"% discounts","% discount")))))))))</f>
        <v/>
      </c>
      <c r="N3447" s="690"/>
      <c r="O3447" s="486"/>
      <c r="P3447" s="486"/>
      <c r="Q3447" s="486"/>
      <c r="R3447" s="486"/>
      <c r="S3447" s="486"/>
      <c r="T3447" s="102">
        <f t="shared" si="2614"/>
        <v>0</v>
      </c>
      <c r="U3447" s="78">
        <f>IF(NOT(ISNUMBER(G3447)), "", VLOOKUP(A3447,'Discount Lookup'!D:E,2,FALSE)*G3447)</f>
        <v>0</v>
      </c>
      <c r="V3447" s="78">
        <f>IF(NOT(ISNUMBER(G3447)), "", VLOOKUP(A3447,'Discount Lookup'!G:H,2,FALSE)*G3447)</f>
        <v>0</v>
      </c>
      <c r="W3447" s="102">
        <f t="shared" si="2615"/>
        <v>0</v>
      </c>
      <c r="X3447" s="102">
        <f t="shared" si="2616"/>
        <v>0</v>
      </c>
      <c r="Y3447" s="120" t="b">
        <f t="shared" si="2617"/>
        <v>0</v>
      </c>
      <c r="Z3447" s="117">
        <f t="shared" si="2618"/>
        <v>0</v>
      </c>
      <c r="AA3447" s="118"/>
      <c r="AB3447" s="118" t="str">
        <f t="shared" si="2619"/>
        <v/>
      </c>
      <c r="AC3447" s="712" t="str">
        <f>IF(AE3447="T2G","no charge",IF(AND(OR(PlanterYesMe="No",PlanterYesMe="N",PlanterYesMe="me"),H3447=""),"",IF(H3447="credit","NO install",IF(AND(K3447="",AE3447="me"),"EACH row",IF(AND(K3447="images",AE3447="me"),"EACH row",IF(D3447="","",IF(H3447="credit","",IF(AE3447="free","re-planting",IF(AE3447="me","   not ELP, by",IF(AND(OR(PlanterYesMe="Yes",PlanterYesMe="Y"),G3447&gt;0),(VLOOKUP(A3447,'Discount Lookup'!J:K,2)*G3447*(1-PlanterDiscount)*(1+PlanterDifficultyPercentage)),IF(AE3447="ELP",(VLOOKUP(A3447,'Discount Lookup'!J:K,2)*G3447*(1-PlanterDiscount)*(1+PlanterDifficultyPercentage)),IF(AE3447="free","re-planting",IF(G3447=0,"",IF(PlanterYesMe="",IF(AE3447="me","   not ELP, by",IF(AE3447="",IF(G3447&gt;0,(VLOOKUP(A3447,'Discount Lookup'!J:K,2)*G3447*(1-PlanterDiscount)*(1+PlanterDifficultyPercentage)),""),"")),"   not ELP, by"))))))))))))))</f>
        <v/>
      </c>
      <c r="AD3447" s="712"/>
      <c r="AE3447" s="513" t="str">
        <f t="shared" si="2620"/>
        <v/>
      </c>
      <c r="AF3447" s="713" t="str">
        <f t="shared" si="2621"/>
        <v/>
      </c>
      <c r="AG3447" s="713"/>
      <c r="AH3447" s="713"/>
      <c r="AI3447" s="112">
        <f>IF(H3447="credit",0,IF(AE3447="free",0,IF(AE3447="me",0,IF(G3447&gt;0,(VLOOKUP(A3447,'Discount Lookup'!J:K,2)*G3447),0))))</f>
        <v>0</v>
      </c>
      <c r="AJ3447" s="107" t="str">
        <f t="shared" ca="1" si="2622"/>
        <v/>
      </c>
      <c r="AK3447" s="714" t="str">
        <f t="shared" si="2623"/>
        <v/>
      </c>
      <c r="AL3447" s="714"/>
      <c r="AM3447" s="114" t="str">
        <f t="shared" si="2624"/>
        <v/>
      </c>
      <c r="AN3447" s="115"/>
      <c r="AO3447" s="116"/>
      <c r="AP3447" s="116"/>
      <c r="AQ3447" s="116"/>
      <c r="AR3447" s="116"/>
      <c r="AS3447" s="116"/>
      <c r="AT3447" s="116"/>
      <c r="AU3447" s="116"/>
      <c r="AV3447" s="78"/>
      <c r="AW3447" s="102"/>
      <c r="AX3447" s="78"/>
      <c r="AY3447" s="78"/>
      <c r="AZ3447" s="78"/>
      <c r="BA3447" s="78"/>
      <c r="BB3447" s="78"/>
      <c r="BC3447" s="78"/>
      <c r="BD3447" s="78"/>
      <c r="BE3447" s="465"/>
      <c r="BF3447" s="165" t="str">
        <f t="shared" si="2625"/>
        <v>https://www.google.com/search?tbm=isch&amp;q=7%20G4</v>
      </c>
      <c r="BG3447" s="165" t="str">
        <f t="shared" si="2626"/>
        <v>P</v>
      </c>
      <c r="BH3447" s="65"/>
      <c r="BI3447" s="65"/>
      <c r="BJ3447" s="65"/>
      <c r="BK3447" s="65"/>
      <c r="BL3447" s="99"/>
      <c r="BM3447" s="99"/>
      <c r="BN3447" s="99"/>
    </row>
    <row r="3448" spans="1:66" s="51" customFormat="1" ht="15.75" x14ac:dyDescent="0.25">
      <c r="A3448" s="634">
        <v>15</v>
      </c>
      <c r="B3448" s="635" t="s">
        <v>291</v>
      </c>
      <c r="C3448" s="636" t="s">
        <v>1253</v>
      </c>
      <c r="D3448" s="637" t="s">
        <v>329</v>
      </c>
      <c r="E3448" s="638">
        <v>175.95</v>
      </c>
      <c r="F3448" s="639" t="s">
        <v>292</v>
      </c>
      <c r="G3448" s="484">
        <v>0</v>
      </c>
      <c r="H3448" s="691" t="str">
        <f>IF(G3448=0,"",IF(F3448="Buy",IF(G3448=1,"plant","plants"),IF(F3448&gt;0.01,"warranty","Error")))</f>
        <v/>
      </c>
      <c r="I3448" s="640">
        <f>IF(H3448="free",0,IF(H3448="credit",((E3448*(F3448))*G3448*-1),IF(F3448="Buy",(E3448*G3448),((E3448*(1-F3448))*G3448))))</f>
        <v>0</v>
      </c>
      <c r="J3448" s="640">
        <f>IF(H3448="warranty",0,(I3448*(_xlfn.SINGLE(SalesTaxPercentage))))</f>
        <v>0</v>
      </c>
      <c r="K3448" s="716">
        <f t="shared" ref="K3448" si="2645">I3448+J3448</f>
        <v>0</v>
      </c>
      <c r="L3448" s="716"/>
      <c r="M3448" s="689" t="str">
        <f ca="1">IF(AND(G3448&gt;0,E3448=0),"WARNING - no PRICE inserted",IF(H3448="free","FREE ~ no charge this plant",IF(H3448="credit",CONCATENATE("-$",ROUND(K3448*(1-_xlfn.SINGLE(T2GDiscount))*-1,2)," CREDIT after discount"),IF(_xlfn.SINGLE(T2GDiscount)=0,"",IF(G3448=0,"",IF(F3448="Buy",CONCATENATE("$",ROUND(K3448*(1-_xlfn.SINGLE(T2GDiscount)),2)," with ",(_xlfn.SINGLE(T2GDiscount)*100),"% discount"),CONCATENATE("$",ROUND(K3448*(1-_xlfn.SINGLE(T2GDiscount)),2)," with ",((_xlfn.SINGLE(T2GDiscount)*100+F3448*100)-(_xlfn.SINGLE(T2GDiscount)*100*F3448)),IF(F3448&gt;0,"% discounts",IF(_xlfn.SINGLE(NoWarrantyDiscount)&gt;0,"% discounts","% discount")))))))))</f>
        <v/>
      </c>
      <c r="N3448" s="690"/>
      <c r="O3448" s="486"/>
      <c r="P3448" s="486"/>
      <c r="Q3448" s="486"/>
      <c r="R3448" s="486"/>
      <c r="S3448" s="486"/>
      <c r="T3448" s="102">
        <f t="shared" si="2614"/>
        <v>0</v>
      </c>
      <c r="U3448" s="78">
        <f>IF(NOT(ISNUMBER(G3448)), "", VLOOKUP(A3448,'Discount Lookup'!D:E,2,FALSE)*G3448)</f>
        <v>0</v>
      </c>
      <c r="V3448" s="78">
        <f>IF(NOT(ISNUMBER(G3448)), "", VLOOKUP(A3448,'Discount Lookup'!G:H,2,FALSE)*G3448)</f>
        <v>0</v>
      </c>
      <c r="W3448" s="102">
        <f t="shared" si="2615"/>
        <v>0</v>
      </c>
      <c r="X3448" s="102">
        <f t="shared" si="2616"/>
        <v>0</v>
      </c>
      <c r="Y3448" s="120" t="b">
        <f t="shared" si="2617"/>
        <v>0</v>
      </c>
      <c r="Z3448" s="117">
        <f t="shared" si="2618"/>
        <v>0</v>
      </c>
      <c r="AA3448" s="118"/>
      <c r="AB3448" s="118" t="str">
        <f t="shared" si="2619"/>
        <v/>
      </c>
      <c r="AC3448" s="712" t="str">
        <f>IF(AE3448="T2G","no charge",IF(AND(OR(PlanterYesMe="No",PlanterYesMe="N",PlanterYesMe="me"),H3448=""),"",IF(H3448="credit","NO install",IF(AND(K3448="",AE3448="me"),"EACH row",IF(AND(K3448="images",AE3448="me"),"EACH row",IF(D3448="","",IF(H3448="credit","",IF(AE3448="free","re-planting",IF(AE3448="me","   not ELP, by",IF(AND(OR(PlanterYesMe="Yes",PlanterYesMe="Y"),G3448&gt;0),(VLOOKUP(A3448,'Discount Lookup'!J:K,2)*G3448*(1-PlanterDiscount)*(1+PlanterDifficultyPercentage)),IF(AE3448="ELP",(VLOOKUP(A3448,'Discount Lookup'!J:K,2)*G3448*(1-PlanterDiscount)*(1+PlanterDifficultyPercentage)),IF(AE3448="free","re-planting",IF(G3448=0,"",IF(PlanterYesMe="",IF(AE3448="me","   not ELP, by",IF(AE3448="",IF(G3448&gt;0,(VLOOKUP(A3448,'Discount Lookup'!J:K,2)*G3448*(1-PlanterDiscount)*(1+PlanterDifficultyPercentage)),""),"")),"   not ELP, by"))))))))))))))</f>
        <v/>
      </c>
      <c r="AD3448" s="712"/>
      <c r="AE3448" s="513" t="str">
        <f t="shared" si="2620"/>
        <v/>
      </c>
      <c r="AF3448" s="713" t="str">
        <f t="shared" si="2621"/>
        <v/>
      </c>
      <c r="AG3448" s="713"/>
      <c r="AH3448" s="713"/>
      <c r="AI3448" s="112">
        <f>IF(H3448="credit",0,IF(AE3448="free",0,IF(AE3448="me",0,IF(G3448&gt;0,(VLOOKUP(A3448,'Discount Lookup'!J:K,2)*G3448),0))))</f>
        <v>0</v>
      </c>
      <c r="AJ3448" s="107" t="str">
        <f t="shared" ca="1" si="2622"/>
        <v/>
      </c>
      <c r="AK3448" s="714" t="str">
        <f t="shared" si="2623"/>
        <v/>
      </c>
      <c r="AL3448" s="714"/>
      <c r="AM3448" s="114" t="str">
        <f t="shared" si="2624"/>
        <v/>
      </c>
      <c r="AN3448" s="115"/>
      <c r="AO3448" s="116"/>
      <c r="AP3448" s="116"/>
      <c r="AQ3448" s="116"/>
      <c r="AR3448" s="116"/>
      <c r="AS3448" s="116"/>
      <c r="AT3448" s="116"/>
      <c r="AU3448" s="116"/>
      <c r="AV3448" s="78"/>
      <c r="AW3448" s="102"/>
      <c r="AX3448" s="78"/>
      <c r="AY3448" s="78"/>
      <c r="AZ3448" s="78"/>
      <c r="BA3448" s="78"/>
      <c r="BB3448" s="78"/>
      <c r="BC3448" s="78"/>
      <c r="BD3448" s="78"/>
      <c r="BE3448" s="465"/>
      <c r="BF3448" s="165" t="str">
        <f t="shared" si="2625"/>
        <v>https://www.google.com/search?tbm=isch&amp;q=15%20G2</v>
      </c>
      <c r="BG3448" s="165" t="str">
        <f t="shared" si="2626"/>
        <v>P</v>
      </c>
      <c r="BH3448" s="65"/>
      <c r="BI3448" s="65"/>
      <c r="BJ3448" s="65"/>
      <c r="BK3448" s="65"/>
      <c r="BL3448" s="99"/>
      <c r="BM3448" s="99"/>
      <c r="BN3448" s="99"/>
    </row>
    <row r="3449" spans="1:66" s="51" customFormat="1" ht="27" x14ac:dyDescent="0.25">
      <c r="A3449" s="634">
        <v>10</v>
      </c>
      <c r="B3449" s="635" t="s">
        <v>291</v>
      </c>
      <c r="C3449" s="636" t="s">
        <v>3896</v>
      </c>
      <c r="D3449" s="637" t="s">
        <v>299</v>
      </c>
      <c r="E3449" s="638">
        <v>194.95</v>
      </c>
      <c r="F3449" s="639" t="s">
        <v>292</v>
      </c>
      <c r="G3449" s="484">
        <v>0</v>
      </c>
      <c r="H3449" s="691" t="str">
        <f>IF(G3449=0,"",IF(F3449="Buy",IF(G3449=1,"plant","plants"),IF(F3449&gt;0.01,"warranty","Error")))</f>
        <v/>
      </c>
      <c r="I3449" s="640">
        <f>IF(H3449="free",0,IF(H3449="credit",((E3449*(F3449))*G3449*-1),IF(F3449="Buy",(E3449*G3449),((E3449*(1-F3449))*G3449))))</f>
        <v>0</v>
      </c>
      <c r="J3449" s="640">
        <f>IF(H3449="warranty",0,(I3449*(_xlfn.SINGLE(SalesTaxPercentage))))</f>
        <v>0</v>
      </c>
      <c r="K3449" s="716">
        <f t="shared" ref="K3449" si="2646">I3449+J3449</f>
        <v>0</v>
      </c>
      <c r="L3449" s="716"/>
      <c r="M3449" s="689" t="str">
        <f ca="1">IF(AND(G3449&gt;0,E3449=0),"WARNING - no PRICE inserted",IF(H3449="free","FREE ~ no charge this plant",IF(H3449="credit",CONCATENATE("-$",ROUND(K3449*(1-_xlfn.SINGLE(T2GDiscount))*-1,2)," CREDIT after discount"),IF(_xlfn.SINGLE(T2GDiscount)=0,"",IF(G3449=0,"",IF(F3449="Buy",CONCATENATE("$",ROUND(K3449*(1-_xlfn.SINGLE(T2GDiscount)),2)," with ",(_xlfn.SINGLE(T2GDiscount)*100),"% discount"),CONCATENATE("$",ROUND(K3449*(1-_xlfn.SINGLE(T2GDiscount)),2)," with ",((_xlfn.SINGLE(T2GDiscount)*100+F3449*100)-(_xlfn.SINGLE(T2GDiscount)*100*F3449)),IF(F3449&gt;0,"% discounts",IF(_xlfn.SINGLE(NoWarrantyDiscount)&gt;0,"% discounts","% discount")))))))))</f>
        <v/>
      </c>
      <c r="N3449" s="690"/>
      <c r="O3449" s="486"/>
      <c r="P3449" s="486"/>
      <c r="Q3449" s="486"/>
      <c r="R3449" s="486"/>
      <c r="S3449" s="486"/>
      <c r="T3449" s="102">
        <f t="shared" si="2614"/>
        <v>0</v>
      </c>
      <c r="U3449" s="78">
        <f>IF(NOT(ISNUMBER(G3449)), "", VLOOKUP(A3449,'Discount Lookup'!D:E,2,FALSE)*G3449)</f>
        <v>0</v>
      </c>
      <c r="V3449" s="78">
        <f>IF(NOT(ISNUMBER(G3449)), "", VLOOKUP(A3449,'Discount Lookup'!G:H,2,FALSE)*G3449)</f>
        <v>0</v>
      </c>
      <c r="W3449" s="102">
        <f t="shared" si="2615"/>
        <v>0</v>
      </c>
      <c r="X3449" s="102">
        <f t="shared" si="2616"/>
        <v>0</v>
      </c>
      <c r="Y3449" s="120" t="b">
        <f t="shared" si="2617"/>
        <v>0</v>
      </c>
      <c r="Z3449" s="117">
        <f t="shared" si="2618"/>
        <v>0</v>
      </c>
      <c r="AA3449" s="118"/>
      <c r="AB3449" s="118" t="str">
        <f t="shared" si="2619"/>
        <v/>
      </c>
      <c r="AC3449" s="712" t="str">
        <f>IF(AE3449="T2G","no charge",IF(AND(OR(PlanterYesMe="No",PlanterYesMe="N",PlanterYesMe="me"),H3449=""),"",IF(H3449="credit","NO install",IF(AND(K3449="",AE3449="me"),"EACH row",IF(AND(K3449="images",AE3449="me"),"EACH row",IF(D3449="","",IF(H3449="credit","",IF(AE3449="free","re-planting",IF(AE3449="me","   not ELP, by",IF(AND(OR(PlanterYesMe="Yes",PlanterYesMe="Y"),G3449&gt;0),(VLOOKUP(A3449,'Discount Lookup'!J:K,2)*G3449*(1-PlanterDiscount)*(1+PlanterDifficultyPercentage)),IF(AE3449="ELP",(VLOOKUP(A3449,'Discount Lookup'!J:K,2)*G3449*(1-PlanterDiscount)*(1+PlanterDifficultyPercentage)),IF(AE3449="free","re-planting",IF(G3449=0,"",IF(PlanterYesMe="",IF(AE3449="me","   not ELP, by",IF(AE3449="",IF(G3449&gt;0,(VLOOKUP(A3449,'Discount Lookup'!J:K,2)*G3449*(1-PlanterDiscount)*(1+PlanterDifficultyPercentage)),""),"")),"   not ELP, by"))))))))))))))</f>
        <v/>
      </c>
      <c r="AD3449" s="712"/>
      <c r="AE3449" s="513" t="str">
        <f t="shared" si="2620"/>
        <v/>
      </c>
      <c r="AF3449" s="713" t="str">
        <f t="shared" si="2621"/>
        <v/>
      </c>
      <c r="AG3449" s="713"/>
      <c r="AH3449" s="713"/>
      <c r="AI3449" s="112">
        <f>IF(H3449="credit",0,IF(AE3449="free",0,IF(AE3449="me",0,IF(G3449&gt;0,(VLOOKUP(A3449,'Discount Lookup'!J:K,2)*G3449),0))))</f>
        <v>0</v>
      </c>
      <c r="AJ3449" s="107" t="str">
        <f t="shared" ca="1" si="2622"/>
        <v/>
      </c>
      <c r="AK3449" s="714" t="str">
        <f t="shared" si="2623"/>
        <v/>
      </c>
      <c r="AL3449" s="714"/>
      <c r="AM3449" s="114" t="str">
        <f t="shared" si="2624"/>
        <v/>
      </c>
      <c r="AN3449" s="115"/>
      <c r="AO3449" s="116"/>
      <c r="AP3449" s="116"/>
      <c r="AQ3449" s="116"/>
      <c r="AR3449" s="116"/>
      <c r="AS3449" s="116"/>
      <c r="AT3449" s="116"/>
      <c r="AU3449" s="116"/>
      <c r="AV3449" s="78"/>
      <c r="AW3449" s="102"/>
      <c r="AX3449" s="78"/>
      <c r="AY3449" s="78"/>
      <c r="AZ3449" s="78"/>
      <c r="BA3449" s="78"/>
      <c r="BB3449" s="78"/>
      <c r="BC3449" s="78"/>
      <c r="BD3449" s="78"/>
      <c r="BE3449" s="465"/>
      <c r="BF3449" s="165" t="str">
        <f t="shared" si="2625"/>
        <v>https://www.google.com/search?tbm=isch&amp;q=10%20G4</v>
      </c>
      <c r="BG3449" s="165" t="str">
        <f t="shared" si="2626"/>
        <v>P</v>
      </c>
      <c r="BH3449" s="65"/>
      <c r="BI3449" s="65"/>
      <c r="BJ3449" s="65"/>
      <c r="BK3449" s="65"/>
      <c r="BL3449" s="99"/>
      <c r="BM3449" s="99"/>
      <c r="BN3449" s="99"/>
    </row>
    <row r="3450" spans="1:66" s="51" customFormat="1" ht="27" x14ac:dyDescent="0.25">
      <c r="A3450" s="634">
        <v>15</v>
      </c>
      <c r="B3450" s="635" t="s">
        <v>291</v>
      </c>
      <c r="C3450" s="636" t="s">
        <v>3897</v>
      </c>
      <c r="D3450" s="637" t="s">
        <v>299</v>
      </c>
      <c r="E3450" s="638">
        <v>219.95</v>
      </c>
      <c r="F3450" s="639" t="s">
        <v>292</v>
      </c>
      <c r="G3450" s="484">
        <v>0</v>
      </c>
      <c r="H3450" s="691" t="str">
        <f>IF(G3450=0,"",IF(F3450="Buy",IF(G3450=1,"plant","plants"),IF(F3450&gt;0.01,"warranty","Error")))</f>
        <v/>
      </c>
      <c r="I3450" s="640">
        <f>IF(H3450="free",0,IF(H3450="credit",((E3450*(F3450))*G3450*-1),IF(F3450="Buy",(E3450*G3450),((E3450*(1-F3450))*G3450))))</f>
        <v>0</v>
      </c>
      <c r="J3450" s="640">
        <f>IF(H3450="warranty",0,(I3450*(_xlfn.SINGLE(SalesTaxPercentage))))</f>
        <v>0</v>
      </c>
      <c r="K3450" s="716">
        <f t="shared" ref="K3450" si="2647">I3450+J3450</f>
        <v>0</v>
      </c>
      <c r="L3450" s="716"/>
      <c r="M3450" s="689" t="str">
        <f ca="1">IF(AND(G3450&gt;0,E3450=0),"WARNING - no PRICE inserted",IF(H3450="free","FREE ~ no charge this plant",IF(H3450="credit",CONCATENATE("-$",ROUND(K3450*(1-_xlfn.SINGLE(T2GDiscount))*-1,2)," CREDIT after discount"),IF(_xlfn.SINGLE(T2GDiscount)=0,"",IF(G3450=0,"",IF(F3450="Buy",CONCATENATE("$",ROUND(K3450*(1-_xlfn.SINGLE(T2GDiscount)),2)," with ",(_xlfn.SINGLE(T2GDiscount)*100),"% discount"),CONCATENATE("$",ROUND(K3450*(1-_xlfn.SINGLE(T2GDiscount)),2)," with ",((_xlfn.SINGLE(T2GDiscount)*100+F3450*100)-(_xlfn.SINGLE(T2GDiscount)*100*F3450)),IF(F3450&gt;0,"% discounts",IF(_xlfn.SINGLE(NoWarrantyDiscount)&gt;0,"% discounts","% discount")))))))))</f>
        <v/>
      </c>
      <c r="N3450" s="690"/>
      <c r="O3450" s="486"/>
      <c r="P3450" s="486"/>
      <c r="Q3450" s="486"/>
      <c r="R3450" s="486"/>
      <c r="S3450" s="486"/>
      <c r="T3450" s="102">
        <f t="shared" si="2614"/>
        <v>0</v>
      </c>
      <c r="U3450" s="78">
        <f>IF(NOT(ISNUMBER(G3450)), "", VLOOKUP(A3450,'Discount Lookup'!D:E,2,FALSE)*G3450)</f>
        <v>0</v>
      </c>
      <c r="V3450" s="78">
        <f>IF(NOT(ISNUMBER(G3450)), "", VLOOKUP(A3450,'Discount Lookup'!G:H,2,FALSE)*G3450)</f>
        <v>0</v>
      </c>
      <c r="W3450" s="102">
        <f t="shared" si="2615"/>
        <v>0</v>
      </c>
      <c r="X3450" s="102">
        <f t="shared" si="2616"/>
        <v>0</v>
      </c>
      <c r="Y3450" s="120" t="b">
        <f t="shared" si="2617"/>
        <v>0</v>
      </c>
      <c r="Z3450" s="117">
        <f t="shared" si="2618"/>
        <v>0</v>
      </c>
      <c r="AA3450" s="118"/>
      <c r="AB3450" s="118" t="str">
        <f t="shared" si="2619"/>
        <v/>
      </c>
      <c r="AC3450" s="712" t="str">
        <f>IF(AE3450="T2G","no charge",IF(AND(OR(PlanterYesMe="No",PlanterYesMe="N",PlanterYesMe="me"),H3450=""),"",IF(H3450="credit","NO install",IF(AND(K3450="",AE3450="me"),"EACH row",IF(AND(K3450="images",AE3450="me"),"EACH row",IF(D3450="","",IF(H3450="credit","",IF(AE3450="free","re-planting",IF(AE3450="me","   not ELP, by",IF(AND(OR(PlanterYesMe="Yes",PlanterYesMe="Y"),G3450&gt;0),(VLOOKUP(A3450,'Discount Lookup'!J:K,2)*G3450*(1-PlanterDiscount)*(1+PlanterDifficultyPercentage)),IF(AE3450="ELP",(VLOOKUP(A3450,'Discount Lookup'!J:K,2)*G3450*(1-PlanterDiscount)*(1+PlanterDifficultyPercentage)),IF(AE3450="free","re-planting",IF(G3450=0,"",IF(PlanterYesMe="",IF(AE3450="me","   not ELP, by",IF(AE3450="",IF(G3450&gt;0,(VLOOKUP(A3450,'Discount Lookup'!J:K,2)*G3450*(1-PlanterDiscount)*(1+PlanterDifficultyPercentage)),""),"")),"   not ELP, by"))))))))))))))</f>
        <v/>
      </c>
      <c r="AD3450" s="712"/>
      <c r="AE3450" s="513" t="str">
        <f t="shared" si="2620"/>
        <v/>
      </c>
      <c r="AF3450" s="713" t="str">
        <f t="shared" si="2621"/>
        <v/>
      </c>
      <c r="AG3450" s="713"/>
      <c r="AH3450" s="713"/>
      <c r="AI3450" s="112">
        <f>IF(H3450="credit",0,IF(AE3450="free",0,IF(AE3450="me",0,IF(G3450&gt;0,(VLOOKUP(A3450,'Discount Lookup'!J:K,2)*G3450),0))))</f>
        <v>0</v>
      </c>
      <c r="AJ3450" s="107" t="str">
        <f t="shared" ca="1" si="2622"/>
        <v/>
      </c>
      <c r="AK3450" s="714" t="str">
        <f t="shared" si="2623"/>
        <v/>
      </c>
      <c r="AL3450" s="714"/>
      <c r="AM3450" s="114" t="str">
        <f t="shared" si="2624"/>
        <v/>
      </c>
      <c r="AN3450" s="115"/>
      <c r="AO3450" s="116"/>
      <c r="AP3450" s="116"/>
      <c r="AQ3450" s="116"/>
      <c r="AR3450" s="116"/>
      <c r="AS3450" s="116"/>
      <c r="AT3450" s="116"/>
      <c r="AU3450" s="116"/>
      <c r="AV3450" s="78"/>
      <c r="AW3450" s="102"/>
      <c r="AX3450" s="78"/>
      <c r="AY3450" s="78"/>
      <c r="AZ3450" s="78"/>
      <c r="BA3450" s="78"/>
      <c r="BB3450" s="78"/>
      <c r="BC3450" s="78"/>
      <c r="BD3450" s="78"/>
      <c r="BE3450" s="465"/>
      <c r="BF3450" s="165" t="str">
        <f t="shared" si="2625"/>
        <v>https://www.google.com/search?tbm=isch&amp;q=15%20G4</v>
      </c>
      <c r="BG3450" s="165" t="str">
        <f t="shared" si="2626"/>
        <v>P</v>
      </c>
      <c r="BH3450" s="65"/>
      <c r="BI3450" s="65"/>
      <c r="BJ3450" s="65"/>
      <c r="BK3450" s="65"/>
      <c r="BL3450" s="99"/>
      <c r="BM3450" s="99"/>
      <c r="BN3450" s="99"/>
    </row>
    <row r="3451" spans="1:66" s="51" customFormat="1" ht="27" x14ac:dyDescent="0.25">
      <c r="A3451" s="634">
        <v>15</v>
      </c>
      <c r="B3451" s="635" t="s">
        <v>291</v>
      </c>
      <c r="C3451" s="636" t="s">
        <v>3898</v>
      </c>
      <c r="D3451" s="637" t="s">
        <v>299</v>
      </c>
      <c r="E3451" s="638">
        <v>263.95</v>
      </c>
      <c r="F3451" s="639" t="s">
        <v>292</v>
      </c>
      <c r="G3451" s="484">
        <v>0</v>
      </c>
      <c r="H3451" s="691" t="str">
        <f>IF(G3451=0,"",IF(F3451="Buy",IF(G3451=1,"plant","plants"),IF(F3451&gt;0.01,"warranty","Error")))</f>
        <v/>
      </c>
      <c r="I3451" s="640">
        <f>IF(H3451="free",0,IF(H3451="credit",((E3451*(F3451))*G3451*-1),IF(F3451="Buy",(E3451*G3451),((E3451*(1-F3451))*G3451))))</f>
        <v>0</v>
      </c>
      <c r="J3451" s="640">
        <f>IF(H3451="warranty",0,(I3451*(_xlfn.SINGLE(SalesTaxPercentage))))</f>
        <v>0</v>
      </c>
      <c r="K3451" s="716">
        <f t="shared" ref="K3451" si="2648">I3451+J3451</f>
        <v>0</v>
      </c>
      <c r="L3451" s="716"/>
      <c r="M3451" s="689" t="str">
        <f ca="1">IF(AND(G3451&gt;0,E3451=0),"WARNING - no PRICE inserted",IF(H3451="free","FREE ~ no charge this plant",IF(H3451="credit",CONCATENATE("-$",ROUND(K3451*(1-_xlfn.SINGLE(T2GDiscount))*-1,2)," CREDIT after discount"),IF(_xlfn.SINGLE(T2GDiscount)=0,"",IF(G3451=0,"",IF(F3451="Buy",CONCATENATE("$",ROUND(K3451*(1-_xlfn.SINGLE(T2GDiscount)),2)," with ",(_xlfn.SINGLE(T2GDiscount)*100),"% discount"),CONCATENATE("$",ROUND(K3451*(1-_xlfn.SINGLE(T2GDiscount)),2)," with ",((_xlfn.SINGLE(T2GDiscount)*100+F3451*100)-(_xlfn.SINGLE(T2GDiscount)*100*F3451)),IF(F3451&gt;0,"% discounts",IF(_xlfn.SINGLE(NoWarrantyDiscount)&gt;0,"% discounts","% discount")))))))))</f>
        <v/>
      </c>
      <c r="N3451" s="690"/>
      <c r="O3451" s="486"/>
      <c r="P3451" s="486"/>
      <c r="Q3451" s="486"/>
      <c r="R3451" s="486"/>
      <c r="S3451" s="486"/>
      <c r="T3451" s="102">
        <f t="shared" si="2614"/>
        <v>0</v>
      </c>
      <c r="U3451" s="78">
        <f>IF(NOT(ISNUMBER(G3451)), "", VLOOKUP(A3451,'Discount Lookup'!D:E,2,FALSE)*G3451)</f>
        <v>0</v>
      </c>
      <c r="V3451" s="78">
        <f>IF(NOT(ISNUMBER(G3451)), "", VLOOKUP(A3451,'Discount Lookup'!G:H,2,FALSE)*G3451)</f>
        <v>0</v>
      </c>
      <c r="W3451" s="102">
        <f t="shared" si="2615"/>
        <v>0</v>
      </c>
      <c r="X3451" s="102">
        <f t="shared" si="2616"/>
        <v>0</v>
      </c>
      <c r="Y3451" s="120" t="b">
        <f t="shared" si="2617"/>
        <v>0</v>
      </c>
      <c r="Z3451" s="117">
        <f t="shared" si="2618"/>
        <v>0</v>
      </c>
      <c r="AA3451" s="118"/>
      <c r="AB3451" s="118" t="str">
        <f t="shared" si="2619"/>
        <v/>
      </c>
      <c r="AC3451" s="712" t="str">
        <f>IF(AE3451="T2G","no charge",IF(AND(OR(PlanterYesMe="No",PlanterYesMe="N",PlanterYesMe="me"),H3451=""),"",IF(H3451="credit","NO install",IF(AND(K3451="",AE3451="me"),"EACH row",IF(AND(K3451="images",AE3451="me"),"EACH row",IF(D3451="","",IF(H3451="credit","",IF(AE3451="free","re-planting",IF(AE3451="me","   not ELP, by",IF(AND(OR(PlanterYesMe="Yes",PlanterYesMe="Y"),G3451&gt;0),(VLOOKUP(A3451,'Discount Lookup'!J:K,2)*G3451*(1-PlanterDiscount)*(1+PlanterDifficultyPercentage)),IF(AE3451="ELP",(VLOOKUP(A3451,'Discount Lookup'!J:K,2)*G3451*(1-PlanterDiscount)*(1+PlanterDifficultyPercentage)),IF(AE3451="free","re-planting",IF(G3451=0,"",IF(PlanterYesMe="",IF(AE3451="me","   not ELP, by",IF(AE3451="",IF(G3451&gt;0,(VLOOKUP(A3451,'Discount Lookup'!J:K,2)*G3451*(1-PlanterDiscount)*(1+PlanterDifficultyPercentage)),""),"")),"   not ELP, by"))))))))))))))</f>
        <v/>
      </c>
      <c r="AD3451" s="712"/>
      <c r="AE3451" s="513" t="str">
        <f t="shared" si="2620"/>
        <v/>
      </c>
      <c r="AF3451" s="713" t="str">
        <f t="shared" si="2621"/>
        <v/>
      </c>
      <c r="AG3451" s="713"/>
      <c r="AH3451" s="713"/>
      <c r="AI3451" s="112">
        <f>IF(H3451="credit",0,IF(AE3451="free",0,IF(AE3451="me",0,IF(G3451&gt;0,(VLOOKUP(A3451,'Discount Lookup'!J:K,2)*G3451),0))))</f>
        <v>0</v>
      </c>
      <c r="AJ3451" s="107" t="str">
        <f t="shared" ca="1" si="2622"/>
        <v/>
      </c>
      <c r="AK3451" s="714" t="str">
        <f t="shared" si="2623"/>
        <v/>
      </c>
      <c r="AL3451" s="714"/>
      <c r="AM3451" s="114" t="str">
        <f t="shared" si="2624"/>
        <v/>
      </c>
      <c r="AN3451" s="115"/>
      <c r="AO3451" s="116"/>
      <c r="AP3451" s="116"/>
      <c r="AQ3451" s="116"/>
      <c r="AR3451" s="116"/>
      <c r="AS3451" s="116"/>
      <c r="AT3451" s="116"/>
      <c r="AU3451" s="116"/>
      <c r="AV3451" s="78"/>
      <c r="AW3451" s="102"/>
      <c r="AX3451" s="78"/>
      <c r="AY3451" s="78"/>
      <c r="AZ3451" s="78"/>
      <c r="BA3451" s="78"/>
      <c r="BB3451" s="78"/>
      <c r="BC3451" s="78"/>
      <c r="BD3451" s="78"/>
      <c r="BE3451" s="465"/>
      <c r="BF3451" s="165" t="str">
        <f t="shared" si="2625"/>
        <v>https://www.google.com/search?tbm=isch&amp;q=15%20G4</v>
      </c>
      <c r="BG3451" s="165" t="str">
        <f t="shared" si="2626"/>
        <v>P</v>
      </c>
      <c r="BH3451" s="65"/>
      <c r="BI3451" s="65"/>
      <c r="BJ3451" s="65"/>
      <c r="BK3451" s="65"/>
      <c r="BL3451" s="99"/>
      <c r="BM3451" s="99"/>
      <c r="BN3451" s="99"/>
    </row>
    <row r="3452" spans="1:66" s="51" customFormat="1" ht="17.25" thickBot="1" x14ac:dyDescent="0.3">
      <c r="A3452" s="641" t="s">
        <v>3899</v>
      </c>
      <c r="B3452" s="642"/>
      <c r="C3452" s="710"/>
      <c r="D3452" s="643"/>
      <c r="E3452" s="643"/>
      <c r="F3452" s="644"/>
      <c r="G3452" s="645"/>
      <c r="H3452" s="646"/>
      <c r="I3452" s="647"/>
      <c r="J3452" s="648"/>
      <c r="K3452" s="649"/>
      <c r="L3452" s="650"/>
      <c r="M3452" s="650"/>
      <c r="N3452" s="644"/>
      <c r="O3452" s="644"/>
      <c r="P3452" s="644"/>
      <c r="Q3452" s="644"/>
      <c r="R3452" s="644"/>
      <c r="S3452" s="701" t="s">
        <v>5251</v>
      </c>
      <c r="T3452" s="102">
        <f t="shared" si="2614"/>
        <v>0</v>
      </c>
      <c r="U3452" s="78" t="str">
        <f>IF(NOT(ISNUMBER(G3452)), "", VLOOKUP(A3452,'Discount Lookup'!D:E,2,FALSE)*G3452)</f>
        <v/>
      </c>
      <c r="V3452" s="78" t="str">
        <f>IF(NOT(ISNUMBER(G3452)), "", VLOOKUP(A3452,'Discount Lookup'!G:H,2,FALSE)*G3452)</f>
        <v/>
      </c>
      <c r="W3452" s="102">
        <f t="shared" si="2615"/>
        <v>0</v>
      </c>
      <c r="X3452" s="102">
        <f t="shared" si="2616"/>
        <v>0</v>
      </c>
      <c r="Y3452" s="120" t="b">
        <f t="shared" si="2617"/>
        <v>0</v>
      </c>
      <c r="Z3452" s="117">
        <f t="shared" si="2618"/>
        <v>0</v>
      </c>
      <c r="AA3452" s="118"/>
      <c r="AB3452" s="118" t="str">
        <f t="shared" si="2619"/>
        <v/>
      </c>
      <c r="AC3452" s="712" t="str">
        <f>IF(AE3452="T2G","no charge",IF(AND(OR(PlanterYesMe="No",PlanterYesMe="N",PlanterYesMe="me"),H3452=""),"",IF(H3452="credit","NO install",IF(AND(K3452="",AE3452="me"),"EACH row",IF(AND(K3452="images",AE3452="me"),"EACH row",IF(D3452="","",IF(H3452="credit","",IF(AE3452="free","re-planting",IF(AE3452="me","   not ELP, by",IF(AND(OR(PlanterYesMe="Yes",PlanterYesMe="Y"),G3452&gt;0),(VLOOKUP(A3452,'Discount Lookup'!J:K,2)*G3452*(1-PlanterDiscount)*(1+PlanterDifficultyPercentage)),IF(AE3452="ELP",(VLOOKUP(A3452,'Discount Lookup'!J:K,2)*G3452*(1-PlanterDiscount)*(1+PlanterDifficultyPercentage)),IF(AE3452="free","re-planting",IF(G3452=0,"",IF(PlanterYesMe="",IF(AE3452="me","   not ELP, by",IF(AE3452="",IF(G3452&gt;0,(VLOOKUP(A3452,'Discount Lookup'!J:K,2)*G3452*(1-PlanterDiscount)*(1+PlanterDifficultyPercentage)),""),"")),"   not ELP, by"))))))))))))))</f>
        <v/>
      </c>
      <c r="AD3452" s="712"/>
      <c r="AE3452" s="513" t="str">
        <f t="shared" si="2620"/>
        <v/>
      </c>
      <c r="AF3452" s="713" t="str">
        <f t="shared" si="2621"/>
        <v/>
      </c>
      <c r="AG3452" s="713"/>
      <c r="AH3452" s="713"/>
      <c r="AI3452" s="112">
        <f>IF(H3452="credit",0,IF(AE3452="free",0,IF(AE3452="me",0,IF(G3452&gt;0,(VLOOKUP(A3452,'Discount Lookup'!J:K,2)*G3452),0))))</f>
        <v>0</v>
      </c>
      <c r="AJ3452" s="107" t="str">
        <f t="shared" ca="1" si="2622"/>
        <v/>
      </c>
      <c r="AK3452" s="714" t="str">
        <f t="shared" si="2623"/>
        <v/>
      </c>
      <c r="AL3452" s="714"/>
      <c r="AM3452" s="114" t="str">
        <f t="shared" si="2624"/>
        <v/>
      </c>
      <c r="AN3452" s="115"/>
      <c r="AO3452" s="116"/>
      <c r="AP3452" s="116"/>
      <c r="AQ3452" s="116"/>
      <c r="AR3452" s="116"/>
      <c r="AS3452" s="116"/>
      <c r="AT3452" s="116"/>
      <c r="AU3452" s="116"/>
      <c r="AV3452" s="78"/>
      <c r="AW3452" s="102"/>
      <c r="AX3452" s="78"/>
      <c r="AY3452" s="78"/>
      <c r="AZ3452" s="78"/>
      <c r="BA3452" s="78"/>
      <c r="BB3452" s="78"/>
      <c r="BC3452" s="78"/>
      <c r="BD3452" s="78"/>
      <c r="BE3452" s="465"/>
      <c r="BF3452" s="165" t="str">
        <f t="shared" si="2625"/>
        <v>https://www.google.com/search?tbm=isch&amp;q=Snow%20Fountains%20starts%20with%20fragrant%20flowers%20on%20pink%20buds%2C%20then%20dark%20green%20foliage%2C%20turning-yellow%20to%20orange%20in%20fall%20</v>
      </c>
      <c r="BG3452" s="165" t="str">
        <f t="shared" si="2626"/>
        <v>S</v>
      </c>
      <c r="BH3452" s="65"/>
      <c r="BI3452" s="65"/>
      <c r="BJ3452" s="65"/>
      <c r="BK3452" s="65"/>
      <c r="BL3452" s="99"/>
      <c r="BM3452" s="99"/>
      <c r="BN3452" s="99"/>
    </row>
    <row r="3453" spans="1:66" s="51" customFormat="1" ht="18" x14ac:dyDescent="0.25">
      <c r="A3453" s="623" t="s">
        <v>3900</v>
      </c>
      <c r="B3453" s="624"/>
      <c r="C3453" s="709"/>
      <c r="D3453" s="625" t="s">
        <v>3901</v>
      </c>
      <c r="E3453" s="626"/>
      <c r="F3453" s="626"/>
      <c r="G3453" s="626"/>
      <c r="H3453" s="622" t="s">
        <v>343</v>
      </c>
      <c r="I3453" s="627" t="s">
        <v>3902</v>
      </c>
      <c r="J3453" s="628"/>
      <c r="K3453" s="628"/>
      <c r="L3453" s="629"/>
      <c r="M3453" s="700" t="s">
        <v>5241</v>
      </c>
      <c r="N3453" s="693" t="str">
        <f>IF(AND(ISTEXT($A3453), ISERROR($A3453+0)), HYPERLINK($BF3453, "Images"), "")</f>
        <v>Images</v>
      </c>
      <c r="O3453" s="695" t="s">
        <v>5286</v>
      </c>
      <c r="P3453" s="630"/>
      <c r="Q3453" s="631"/>
      <c r="R3453" s="632"/>
      <c r="S3453" s="633"/>
      <c r="T3453" s="102">
        <f t="shared" si="2614"/>
        <v>0</v>
      </c>
      <c r="U3453" s="78" t="str">
        <f>IF(NOT(ISNUMBER(G3453)), "", VLOOKUP(A3453,'Discount Lookup'!D:E,2,FALSE)*G3453)</f>
        <v/>
      </c>
      <c r="V3453" s="78" t="str">
        <f>IF(NOT(ISNUMBER(G3453)), "", VLOOKUP(A3453,'Discount Lookup'!G:H,2,FALSE)*G3453)</f>
        <v/>
      </c>
      <c r="W3453" s="102">
        <f t="shared" si="2615"/>
        <v>0</v>
      </c>
      <c r="X3453" s="102" t="str">
        <f t="shared" si="2616"/>
        <v>White to Pink bloom</v>
      </c>
      <c r="Y3453" s="120" t="b">
        <f t="shared" si="2617"/>
        <v>0</v>
      </c>
      <c r="Z3453" s="117">
        <f t="shared" si="2618"/>
        <v>0</v>
      </c>
      <c r="AA3453" s="118"/>
      <c r="AB3453" s="118" t="str">
        <f t="shared" si="2619"/>
        <v/>
      </c>
      <c r="AC3453" s="712" t="str">
        <f>IF(AE3453="T2G","no charge",IF(AND(OR(PlanterYesMe="No",PlanterYesMe="N",PlanterYesMe="me"),H3453=""),"",IF(H3453="credit","NO install",IF(AND(K3453="",AE3453="me"),"EACH row",IF(AND(K3453="images",AE3453="me"),"EACH row",IF(D3453="","",IF(H3453="credit","",IF(AE3453="free","re-planting",IF(AE3453="me","   not ELP, by",IF(AND(OR(PlanterYesMe="Yes",PlanterYesMe="Y"),G3453&gt;0),(VLOOKUP(A3453,'Discount Lookup'!J:K,2)*G3453*(1-PlanterDiscount)*(1+PlanterDifficultyPercentage)),IF(AE3453="ELP",(VLOOKUP(A3453,'Discount Lookup'!J:K,2)*G3453*(1-PlanterDiscount)*(1+PlanterDifficultyPercentage)),IF(AE3453="free","re-planting",IF(G3453=0,"",IF(PlanterYesMe="",IF(AE3453="me","   not ELP, by",IF(AE3453="",IF(G3453&gt;0,(VLOOKUP(A3453,'Discount Lookup'!J:K,2)*G3453*(1-PlanterDiscount)*(1+PlanterDifficultyPercentage)),""),"")),"   not ELP, by"))))))))))))))</f>
        <v/>
      </c>
      <c r="AD3453" s="712"/>
      <c r="AE3453" s="513" t="str">
        <f t="shared" si="2620"/>
        <v/>
      </c>
      <c r="AF3453" s="713" t="str">
        <f t="shared" si="2621"/>
        <v/>
      </c>
      <c r="AG3453" s="713"/>
      <c r="AH3453" s="713"/>
      <c r="AI3453" s="112">
        <f>IF(H3453="credit",0,IF(AE3453="free",0,IF(AE3453="me",0,IF(G3453&gt;0,(VLOOKUP(A3453,'Discount Lookup'!J:K,2)*G3453),0))))</f>
        <v>0</v>
      </c>
      <c r="AJ3453" s="107" t="str">
        <f t="shared" ca="1" si="2622"/>
        <v/>
      </c>
      <c r="AK3453" s="714" t="str">
        <f t="shared" si="2623"/>
        <v/>
      </c>
      <c r="AL3453" s="714"/>
      <c r="AM3453" s="114" t="str">
        <f t="shared" si="2624"/>
        <v/>
      </c>
      <c r="AN3453" s="115"/>
      <c r="AO3453" s="116"/>
      <c r="AP3453" s="116"/>
      <c r="AQ3453" s="116"/>
      <c r="AR3453" s="116"/>
      <c r="AS3453" s="116"/>
      <c r="AT3453" s="116"/>
      <c r="AU3453" s="116"/>
      <c r="AV3453" s="78"/>
      <c r="AW3453" s="102"/>
      <c r="AX3453" s="78"/>
      <c r="AY3453" s="78"/>
      <c r="AZ3453" s="78"/>
      <c r="BA3453" s="78"/>
      <c r="BB3453" s="78"/>
      <c r="BC3453" s="78"/>
      <c r="BD3453" s="78"/>
      <c r="BE3453" s="465"/>
      <c r="BF3453" s="165" t="str">
        <f t="shared" si="2625"/>
        <v>https://www.google.com/search?tbm=isch&amp;q=Prunus%20x%20yedoensis%20Yoshino%20Cherry</v>
      </c>
      <c r="BG3453" s="165" t="str">
        <f t="shared" si="2626"/>
        <v>P</v>
      </c>
      <c r="BH3453" s="65"/>
      <c r="BI3453" s="65"/>
      <c r="BJ3453" s="65"/>
      <c r="BK3453" s="65"/>
      <c r="BL3453" s="99"/>
      <c r="BM3453" s="99"/>
      <c r="BN3453" s="99"/>
    </row>
    <row r="3454" spans="1:66" s="51" customFormat="1" ht="15.75" x14ac:dyDescent="0.25">
      <c r="A3454" s="634">
        <v>7</v>
      </c>
      <c r="B3454" s="635" t="s">
        <v>291</v>
      </c>
      <c r="C3454" s="636" t="s">
        <v>1253</v>
      </c>
      <c r="D3454" s="637" t="s">
        <v>329</v>
      </c>
      <c r="E3454" s="638">
        <v>85.95</v>
      </c>
      <c r="F3454" s="639" t="s">
        <v>292</v>
      </c>
      <c r="G3454" s="484">
        <v>0</v>
      </c>
      <c r="H3454" s="691" t="str">
        <f>IF(G3454=0,"",IF(F3454="Buy",IF(G3454=1,"plant","plants"),IF(F3454&gt;0.01,"warranty","Error")))</f>
        <v/>
      </c>
      <c r="I3454" s="640">
        <f>IF(H3454="free",0,IF(H3454="credit",((E3454*(F3454))*G3454*-1),IF(F3454="Buy",(E3454*G3454),((E3454*(1-F3454))*G3454))))</f>
        <v>0</v>
      </c>
      <c r="J3454" s="640">
        <f>IF(H3454="warranty",0,(I3454*(_xlfn.SINGLE(SalesTaxPercentage))))</f>
        <v>0</v>
      </c>
      <c r="K3454" s="716">
        <f t="shared" ref="K3454" si="2649">I3454+J3454</f>
        <v>0</v>
      </c>
      <c r="L3454" s="716"/>
      <c r="M3454" s="689" t="str">
        <f ca="1">IF(AND(G3454&gt;0,E3454=0),"WARNING - no PRICE inserted",IF(H3454="free","FREE ~ no charge this plant",IF(H3454="credit",CONCATENATE("-$",ROUND(K3454*(1-_xlfn.SINGLE(T2GDiscount))*-1,2)," CREDIT after discount"),IF(_xlfn.SINGLE(T2GDiscount)=0,"",IF(G3454=0,"",IF(F3454="Buy",CONCATENATE("$",ROUND(K3454*(1-_xlfn.SINGLE(T2GDiscount)),2)," with ",(_xlfn.SINGLE(T2GDiscount)*100),"% discount"),CONCATENATE("$",ROUND(K3454*(1-_xlfn.SINGLE(T2GDiscount)),2)," with ",((_xlfn.SINGLE(T2GDiscount)*100+F3454*100)-(_xlfn.SINGLE(T2GDiscount)*100*F3454)),IF(F3454&gt;0,"% discounts",IF(_xlfn.SINGLE(NoWarrantyDiscount)&gt;0,"% discounts","% discount")))))))))</f>
        <v/>
      </c>
      <c r="N3454" s="690"/>
      <c r="O3454" s="486"/>
      <c r="P3454" s="486"/>
      <c r="Q3454" s="486"/>
      <c r="R3454" s="486"/>
      <c r="S3454" s="486"/>
      <c r="T3454" s="102">
        <f t="shared" si="2614"/>
        <v>0</v>
      </c>
      <c r="U3454" s="78">
        <f>IF(NOT(ISNUMBER(G3454)), "", VLOOKUP(A3454,'Discount Lookup'!D:E,2,FALSE)*G3454)</f>
        <v>0</v>
      </c>
      <c r="V3454" s="78">
        <f>IF(NOT(ISNUMBER(G3454)), "", VLOOKUP(A3454,'Discount Lookup'!G:H,2,FALSE)*G3454)</f>
        <v>0</v>
      </c>
      <c r="W3454" s="102">
        <f t="shared" si="2615"/>
        <v>0</v>
      </c>
      <c r="X3454" s="102">
        <f t="shared" si="2616"/>
        <v>0</v>
      </c>
      <c r="Y3454" s="120" t="b">
        <f t="shared" si="2617"/>
        <v>0</v>
      </c>
      <c r="Z3454" s="117">
        <f t="shared" si="2618"/>
        <v>0</v>
      </c>
      <c r="AA3454" s="118"/>
      <c r="AB3454" s="118" t="str">
        <f t="shared" si="2619"/>
        <v/>
      </c>
      <c r="AC3454" s="712" t="str">
        <f>IF(AE3454="T2G","no charge",IF(AND(OR(PlanterYesMe="No",PlanterYesMe="N",PlanterYesMe="me"),H3454=""),"",IF(H3454="credit","NO install",IF(AND(K3454="",AE3454="me"),"EACH row",IF(AND(K3454="images",AE3454="me"),"EACH row",IF(D3454="","",IF(H3454="credit","",IF(AE3454="free","re-planting",IF(AE3454="me","   not ELP, by",IF(AND(OR(PlanterYesMe="Yes",PlanterYesMe="Y"),G3454&gt;0),(VLOOKUP(A3454,'Discount Lookup'!J:K,2)*G3454*(1-PlanterDiscount)*(1+PlanterDifficultyPercentage)),IF(AE3454="ELP",(VLOOKUP(A3454,'Discount Lookup'!J:K,2)*G3454*(1-PlanterDiscount)*(1+PlanterDifficultyPercentage)),IF(AE3454="free","re-planting",IF(G3454=0,"",IF(PlanterYesMe="",IF(AE3454="me","   not ELP, by",IF(AE3454="",IF(G3454&gt;0,(VLOOKUP(A3454,'Discount Lookup'!J:K,2)*G3454*(1-PlanterDiscount)*(1+PlanterDifficultyPercentage)),""),"")),"   not ELP, by"))))))))))))))</f>
        <v/>
      </c>
      <c r="AD3454" s="712"/>
      <c r="AE3454" s="513" t="str">
        <f t="shared" si="2620"/>
        <v/>
      </c>
      <c r="AF3454" s="713" t="str">
        <f t="shared" si="2621"/>
        <v/>
      </c>
      <c r="AG3454" s="713"/>
      <c r="AH3454" s="713"/>
      <c r="AI3454" s="112">
        <f>IF(H3454="credit",0,IF(AE3454="free",0,IF(AE3454="me",0,IF(G3454&gt;0,(VLOOKUP(A3454,'Discount Lookup'!J:K,2)*G3454),0))))</f>
        <v>0</v>
      </c>
      <c r="AJ3454" s="107" t="str">
        <f t="shared" ca="1" si="2622"/>
        <v/>
      </c>
      <c r="AK3454" s="714" t="str">
        <f t="shared" si="2623"/>
        <v/>
      </c>
      <c r="AL3454" s="714"/>
      <c r="AM3454" s="114" t="str">
        <f t="shared" si="2624"/>
        <v/>
      </c>
      <c r="AN3454" s="115"/>
      <c r="AO3454" s="116"/>
      <c r="AP3454" s="116"/>
      <c r="AQ3454" s="116"/>
      <c r="AR3454" s="116"/>
      <c r="AS3454" s="116"/>
      <c r="AT3454" s="116"/>
      <c r="AU3454" s="116"/>
      <c r="AV3454" s="78"/>
      <c r="AW3454" s="102"/>
      <c r="AX3454" s="78"/>
      <c r="AY3454" s="78"/>
      <c r="AZ3454" s="78"/>
      <c r="BA3454" s="78"/>
      <c r="BB3454" s="78"/>
      <c r="BC3454" s="78"/>
      <c r="BD3454" s="78"/>
      <c r="BE3454" s="465"/>
      <c r="BF3454" s="165" t="str">
        <f t="shared" si="2625"/>
        <v>https://www.google.com/search?tbm=isch&amp;q=7%20G2</v>
      </c>
      <c r="BG3454" s="165" t="str">
        <f t="shared" si="2626"/>
        <v>P</v>
      </c>
      <c r="BH3454" s="65"/>
      <c r="BI3454" s="65"/>
      <c r="BJ3454" s="65"/>
      <c r="BK3454" s="65"/>
      <c r="BL3454" s="99"/>
      <c r="BM3454" s="99"/>
      <c r="BN3454" s="99"/>
    </row>
    <row r="3455" spans="1:66" s="51" customFormat="1" ht="15.75" x14ac:dyDescent="0.25">
      <c r="A3455" s="634">
        <v>7</v>
      </c>
      <c r="B3455" s="635" t="s">
        <v>291</v>
      </c>
      <c r="C3455" s="636" t="s">
        <v>3903</v>
      </c>
      <c r="D3455" s="637" t="s">
        <v>299</v>
      </c>
      <c r="E3455" s="638">
        <v>102.95</v>
      </c>
      <c r="F3455" s="639" t="s">
        <v>292</v>
      </c>
      <c r="G3455" s="484">
        <v>0</v>
      </c>
      <c r="H3455" s="691" t="str">
        <f>IF(G3455=0,"",IF(F3455="Buy",IF(G3455=1,"plant","plants"),IF(F3455&gt;0.01,"warranty","Error")))</f>
        <v/>
      </c>
      <c r="I3455" s="640">
        <f>IF(H3455="free",0,IF(H3455="credit",((E3455*(F3455))*G3455*-1),IF(F3455="Buy",(E3455*G3455),((E3455*(1-F3455))*G3455))))</f>
        <v>0</v>
      </c>
      <c r="J3455" s="640">
        <f>IF(H3455="warranty",0,(I3455*(_xlfn.SINGLE(SalesTaxPercentage))))</f>
        <v>0</v>
      </c>
      <c r="K3455" s="716">
        <f t="shared" ref="K3455" si="2650">I3455+J3455</f>
        <v>0</v>
      </c>
      <c r="L3455" s="716"/>
      <c r="M3455" s="689" t="str">
        <f ca="1">IF(AND(G3455&gt;0,E3455=0),"WARNING - no PRICE inserted",IF(H3455="free","FREE ~ no charge this plant",IF(H3455="credit",CONCATENATE("-$",ROUND(K3455*(1-_xlfn.SINGLE(T2GDiscount))*-1,2)," CREDIT after discount"),IF(_xlfn.SINGLE(T2GDiscount)=0,"",IF(G3455=0,"",IF(F3455="Buy",CONCATENATE("$",ROUND(K3455*(1-_xlfn.SINGLE(T2GDiscount)),2)," with ",(_xlfn.SINGLE(T2GDiscount)*100),"% discount"),CONCATENATE("$",ROUND(K3455*(1-_xlfn.SINGLE(T2GDiscount)),2)," with ",((_xlfn.SINGLE(T2GDiscount)*100+F3455*100)-(_xlfn.SINGLE(T2GDiscount)*100*F3455)),IF(F3455&gt;0,"% discounts",IF(_xlfn.SINGLE(NoWarrantyDiscount)&gt;0,"% discounts","% discount")))))))))</f>
        <v/>
      </c>
      <c r="N3455" s="690"/>
      <c r="O3455" s="486"/>
      <c r="P3455" s="486"/>
      <c r="Q3455" s="486"/>
      <c r="R3455" s="486"/>
      <c r="S3455" s="486"/>
      <c r="T3455" s="102">
        <f t="shared" si="2614"/>
        <v>0</v>
      </c>
      <c r="U3455" s="78">
        <f>IF(NOT(ISNUMBER(G3455)), "", VLOOKUP(A3455,'Discount Lookup'!D:E,2,FALSE)*G3455)</f>
        <v>0</v>
      </c>
      <c r="V3455" s="78">
        <f>IF(NOT(ISNUMBER(G3455)), "", VLOOKUP(A3455,'Discount Lookup'!G:H,2,FALSE)*G3455)</f>
        <v>0</v>
      </c>
      <c r="W3455" s="102">
        <f t="shared" si="2615"/>
        <v>0</v>
      </c>
      <c r="X3455" s="102">
        <f t="shared" si="2616"/>
        <v>0</v>
      </c>
      <c r="Y3455" s="120" t="b">
        <f t="shared" si="2617"/>
        <v>0</v>
      </c>
      <c r="Z3455" s="117">
        <f t="shared" si="2618"/>
        <v>0</v>
      </c>
      <c r="AA3455" s="118"/>
      <c r="AB3455" s="118" t="str">
        <f t="shared" si="2619"/>
        <v/>
      </c>
      <c r="AC3455" s="712" t="str">
        <f>IF(AE3455="T2G","no charge",IF(AND(OR(PlanterYesMe="No",PlanterYesMe="N",PlanterYesMe="me"),H3455=""),"",IF(H3455="credit","NO install",IF(AND(K3455="",AE3455="me"),"EACH row",IF(AND(K3455="images",AE3455="me"),"EACH row",IF(D3455="","",IF(H3455="credit","",IF(AE3455="free","re-planting",IF(AE3455="me","   not ELP, by",IF(AND(OR(PlanterYesMe="Yes",PlanterYesMe="Y"),G3455&gt;0),(VLOOKUP(A3455,'Discount Lookup'!J:K,2)*G3455*(1-PlanterDiscount)*(1+PlanterDifficultyPercentage)),IF(AE3455="ELP",(VLOOKUP(A3455,'Discount Lookup'!J:K,2)*G3455*(1-PlanterDiscount)*(1+PlanterDifficultyPercentage)),IF(AE3455="free","re-planting",IF(G3455=0,"",IF(PlanterYesMe="",IF(AE3455="me","   not ELP, by",IF(AE3455="",IF(G3455&gt;0,(VLOOKUP(A3455,'Discount Lookup'!J:K,2)*G3455*(1-PlanterDiscount)*(1+PlanterDifficultyPercentage)),""),"")),"   not ELP, by"))))))))))))))</f>
        <v/>
      </c>
      <c r="AD3455" s="712"/>
      <c r="AE3455" s="513" t="str">
        <f t="shared" si="2620"/>
        <v/>
      </c>
      <c r="AF3455" s="713" t="str">
        <f t="shared" si="2621"/>
        <v/>
      </c>
      <c r="AG3455" s="713"/>
      <c r="AH3455" s="713"/>
      <c r="AI3455" s="112">
        <f>IF(H3455="credit",0,IF(AE3455="free",0,IF(AE3455="me",0,IF(G3455&gt;0,(VLOOKUP(A3455,'Discount Lookup'!J:K,2)*G3455),0))))</f>
        <v>0</v>
      </c>
      <c r="AJ3455" s="107" t="str">
        <f t="shared" ca="1" si="2622"/>
        <v/>
      </c>
      <c r="AK3455" s="714" t="str">
        <f t="shared" si="2623"/>
        <v/>
      </c>
      <c r="AL3455" s="714"/>
      <c r="AM3455" s="114" t="str">
        <f t="shared" si="2624"/>
        <v/>
      </c>
      <c r="AN3455" s="115"/>
      <c r="AO3455" s="116"/>
      <c r="AP3455" s="116"/>
      <c r="AQ3455" s="116"/>
      <c r="AR3455" s="116"/>
      <c r="AS3455" s="116"/>
      <c r="AT3455" s="116"/>
      <c r="AU3455" s="116"/>
      <c r="AV3455" s="78"/>
      <c r="AW3455" s="102"/>
      <c r="AX3455" s="78"/>
      <c r="AY3455" s="78"/>
      <c r="AZ3455" s="78"/>
      <c r="BA3455" s="78"/>
      <c r="BB3455" s="78"/>
      <c r="BC3455" s="78"/>
      <c r="BD3455" s="78"/>
      <c r="BE3455" s="465"/>
      <c r="BF3455" s="165" t="str">
        <f t="shared" si="2625"/>
        <v>https://www.google.com/search?tbm=isch&amp;q=7%20G4</v>
      </c>
      <c r="BG3455" s="165" t="str">
        <f t="shared" si="2626"/>
        <v>P</v>
      </c>
      <c r="BH3455" s="65"/>
      <c r="BI3455" s="65"/>
      <c r="BJ3455" s="65"/>
      <c r="BK3455" s="65"/>
      <c r="BL3455" s="99"/>
      <c r="BM3455" s="99"/>
      <c r="BN3455" s="99"/>
    </row>
    <row r="3456" spans="1:66" s="51" customFormat="1" ht="15.75" x14ac:dyDescent="0.25">
      <c r="A3456" s="634">
        <v>10</v>
      </c>
      <c r="B3456" s="635" t="s">
        <v>291</v>
      </c>
      <c r="C3456" s="636" t="s">
        <v>5207</v>
      </c>
      <c r="D3456" s="637" t="s">
        <v>299</v>
      </c>
      <c r="E3456" s="638">
        <v>146.94999999999999</v>
      </c>
      <c r="F3456" s="639" t="s">
        <v>292</v>
      </c>
      <c r="G3456" s="484">
        <v>0</v>
      </c>
      <c r="H3456" s="691" t="str">
        <f>IF(G3456=0,"",IF(F3456="Buy",IF(G3456=1,"plant","plants"),IF(F3456&gt;0.01,"warranty","Error")))</f>
        <v/>
      </c>
      <c r="I3456" s="640">
        <f>IF(H3456="free",0,IF(H3456="credit",((E3456*(F3456))*G3456*-1),IF(F3456="Buy",(E3456*G3456),((E3456*(1-F3456))*G3456))))</f>
        <v>0</v>
      </c>
      <c r="J3456" s="640">
        <f>IF(H3456="warranty",0,(I3456*(_xlfn.SINGLE(SalesTaxPercentage))))</f>
        <v>0</v>
      </c>
      <c r="K3456" s="716">
        <f t="shared" ref="K3456" si="2651">I3456+J3456</f>
        <v>0</v>
      </c>
      <c r="L3456" s="716"/>
      <c r="M3456" s="689" t="str">
        <f ca="1">IF(AND(G3456&gt;0,E3456=0),"WARNING - no PRICE inserted",IF(H3456="free","FREE ~ no charge this plant",IF(H3456="credit",CONCATENATE("-$",ROUND(K3456*(1-_xlfn.SINGLE(T2GDiscount))*-1,2)," CREDIT after discount"),IF(_xlfn.SINGLE(T2GDiscount)=0,"",IF(G3456=0,"",IF(F3456="Buy",CONCATENATE("$",ROUND(K3456*(1-_xlfn.SINGLE(T2GDiscount)),2)," with ",(_xlfn.SINGLE(T2GDiscount)*100),"% discount"),CONCATENATE("$",ROUND(K3456*(1-_xlfn.SINGLE(T2GDiscount)),2)," with ",((_xlfn.SINGLE(T2GDiscount)*100+F3456*100)-(_xlfn.SINGLE(T2GDiscount)*100*F3456)),IF(F3456&gt;0,"% discounts",IF(_xlfn.SINGLE(NoWarrantyDiscount)&gt;0,"% discounts","% discount")))))))))</f>
        <v/>
      </c>
      <c r="N3456" s="690"/>
      <c r="O3456" s="486"/>
      <c r="P3456" s="486"/>
      <c r="Q3456" s="486"/>
      <c r="R3456" s="486"/>
      <c r="S3456" s="486"/>
      <c r="T3456" s="102">
        <f t="shared" si="2614"/>
        <v>0</v>
      </c>
      <c r="U3456" s="78">
        <f>IF(NOT(ISNUMBER(G3456)), "", VLOOKUP(A3456,'Discount Lookup'!D:E,2,FALSE)*G3456)</f>
        <v>0</v>
      </c>
      <c r="V3456" s="78">
        <f>IF(NOT(ISNUMBER(G3456)), "", VLOOKUP(A3456,'Discount Lookup'!G:H,2,FALSE)*G3456)</f>
        <v>0</v>
      </c>
      <c r="W3456" s="102">
        <f t="shared" si="2615"/>
        <v>0</v>
      </c>
      <c r="X3456" s="102">
        <f t="shared" si="2616"/>
        <v>0</v>
      </c>
      <c r="Y3456" s="120" t="b">
        <f t="shared" si="2617"/>
        <v>0</v>
      </c>
      <c r="Z3456" s="117">
        <f t="shared" si="2618"/>
        <v>0</v>
      </c>
      <c r="AA3456" s="118"/>
      <c r="AB3456" s="118" t="str">
        <f t="shared" si="2619"/>
        <v/>
      </c>
      <c r="AC3456" s="712" t="str">
        <f>IF(AE3456="T2G","no charge",IF(AND(OR(PlanterYesMe="No",PlanterYesMe="N",PlanterYesMe="me"),H3456=""),"",IF(H3456="credit","NO install",IF(AND(K3456="",AE3456="me"),"EACH row",IF(AND(K3456="images",AE3456="me"),"EACH row",IF(D3456="","",IF(H3456="credit","",IF(AE3456="free","re-planting",IF(AE3456="me","   not ELP, by",IF(AND(OR(PlanterYesMe="Yes",PlanterYesMe="Y"),G3456&gt;0),(VLOOKUP(A3456,'Discount Lookup'!J:K,2)*G3456*(1-PlanterDiscount)*(1+PlanterDifficultyPercentage)),IF(AE3456="ELP",(VLOOKUP(A3456,'Discount Lookup'!J:K,2)*G3456*(1-PlanterDiscount)*(1+PlanterDifficultyPercentage)),IF(AE3456="free","re-planting",IF(G3456=0,"",IF(PlanterYesMe="",IF(AE3456="me","   not ELP, by",IF(AE3456="",IF(G3456&gt;0,(VLOOKUP(A3456,'Discount Lookup'!J:K,2)*G3456*(1-PlanterDiscount)*(1+PlanterDifficultyPercentage)),""),"")),"   not ELP, by"))))))))))))))</f>
        <v/>
      </c>
      <c r="AD3456" s="712"/>
      <c r="AE3456" s="513" t="str">
        <f t="shared" si="2620"/>
        <v/>
      </c>
      <c r="AF3456" s="713" t="str">
        <f t="shared" si="2621"/>
        <v/>
      </c>
      <c r="AG3456" s="713"/>
      <c r="AH3456" s="713"/>
      <c r="AI3456" s="112">
        <f>IF(H3456="credit",0,IF(AE3456="free",0,IF(AE3456="me",0,IF(G3456&gt;0,(VLOOKUP(A3456,'Discount Lookup'!J:K,2)*G3456),0))))</f>
        <v>0</v>
      </c>
      <c r="AJ3456" s="107" t="str">
        <f t="shared" ca="1" si="2622"/>
        <v/>
      </c>
      <c r="AK3456" s="714" t="str">
        <f t="shared" si="2623"/>
        <v/>
      </c>
      <c r="AL3456" s="714"/>
      <c r="AM3456" s="114" t="str">
        <f t="shared" si="2624"/>
        <v/>
      </c>
      <c r="AN3456" s="115"/>
      <c r="AO3456" s="116"/>
      <c r="AP3456" s="116"/>
      <c r="AQ3456" s="116"/>
      <c r="AR3456" s="116"/>
      <c r="AS3456" s="116"/>
      <c r="AT3456" s="116"/>
      <c r="AU3456" s="116"/>
      <c r="AV3456" s="78"/>
      <c r="AW3456" s="102"/>
      <c r="AX3456" s="78"/>
      <c r="AY3456" s="78"/>
      <c r="AZ3456" s="78"/>
      <c r="BA3456" s="78"/>
      <c r="BB3456" s="78"/>
      <c r="BC3456" s="78"/>
      <c r="BD3456" s="78"/>
      <c r="BE3456" s="465"/>
      <c r="BF3456" s="165" t="str">
        <f t="shared" si="2625"/>
        <v>https://www.google.com/search?tbm=isch&amp;q=10%20G4</v>
      </c>
      <c r="BG3456" s="165" t="str">
        <f t="shared" si="2626"/>
        <v>P</v>
      </c>
      <c r="BH3456" s="65"/>
      <c r="BI3456" s="65"/>
      <c r="BJ3456" s="65"/>
      <c r="BK3456" s="65"/>
      <c r="BL3456" s="99"/>
      <c r="BM3456" s="99"/>
      <c r="BN3456" s="99"/>
    </row>
    <row r="3457" spans="1:66" s="51" customFormat="1" ht="15.75" x14ac:dyDescent="0.25">
      <c r="A3457" s="634">
        <v>15</v>
      </c>
      <c r="B3457" s="635" t="s">
        <v>291</v>
      </c>
      <c r="C3457" s="636" t="s">
        <v>924</v>
      </c>
      <c r="D3457" s="637" t="s">
        <v>299</v>
      </c>
      <c r="E3457" s="638">
        <v>178.95</v>
      </c>
      <c r="F3457" s="639" t="s">
        <v>292</v>
      </c>
      <c r="G3457" s="484">
        <v>0</v>
      </c>
      <c r="H3457" s="691" t="str">
        <f>IF(G3457=0,"",IF(F3457="Buy",IF(G3457=1,"plant","plants"),IF(F3457&gt;0.01,"warranty","Error")))</f>
        <v/>
      </c>
      <c r="I3457" s="640">
        <f>IF(H3457="free",0,IF(H3457="credit",((E3457*(F3457))*G3457*-1),IF(F3457="Buy",(E3457*G3457),((E3457*(1-F3457))*G3457))))</f>
        <v>0</v>
      </c>
      <c r="J3457" s="640">
        <f>IF(H3457="warranty",0,(I3457*(_xlfn.SINGLE(SalesTaxPercentage))))</f>
        <v>0</v>
      </c>
      <c r="K3457" s="716">
        <f t="shared" ref="K3457" si="2652">I3457+J3457</f>
        <v>0</v>
      </c>
      <c r="L3457" s="716"/>
      <c r="M3457" s="689" t="str">
        <f ca="1">IF(AND(G3457&gt;0,E3457=0),"WARNING - no PRICE inserted",IF(H3457="free","FREE ~ no charge this plant",IF(H3457="credit",CONCATENATE("-$",ROUND(K3457*(1-_xlfn.SINGLE(T2GDiscount))*-1,2)," CREDIT after discount"),IF(_xlfn.SINGLE(T2GDiscount)=0,"",IF(G3457=0,"",IF(F3457="Buy",CONCATENATE("$",ROUND(K3457*(1-_xlfn.SINGLE(T2GDiscount)),2)," with ",(_xlfn.SINGLE(T2GDiscount)*100),"% discount"),CONCATENATE("$",ROUND(K3457*(1-_xlfn.SINGLE(T2GDiscount)),2)," with ",((_xlfn.SINGLE(T2GDiscount)*100+F3457*100)-(_xlfn.SINGLE(T2GDiscount)*100*F3457)),IF(F3457&gt;0,"% discounts",IF(_xlfn.SINGLE(NoWarrantyDiscount)&gt;0,"% discounts","% discount")))))))))</f>
        <v/>
      </c>
      <c r="N3457" s="690"/>
      <c r="O3457" s="486"/>
      <c r="P3457" s="486"/>
      <c r="Q3457" s="486"/>
      <c r="R3457" s="486"/>
      <c r="S3457" s="486"/>
      <c r="T3457" s="102">
        <f t="shared" si="2614"/>
        <v>0</v>
      </c>
      <c r="U3457" s="78">
        <f>IF(NOT(ISNUMBER(G3457)), "", VLOOKUP(A3457,'Discount Lookup'!D:E,2,FALSE)*G3457)</f>
        <v>0</v>
      </c>
      <c r="V3457" s="78">
        <f>IF(NOT(ISNUMBER(G3457)), "", VLOOKUP(A3457,'Discount Lookup'!G:H,2,FALSE)*G3457)</f>
        <v>0</v>
      </c>
      <c r="W3457" s="102">
        <f t="shared" si="2615"/>
        <v>0</v>
      </c>
      <c r="X3457" s="102">
        <f t="shared" si="2616"/>
        <v>0</v>
      </c>
      <c r="Y3457" s="120" t="b">
        <f t="shared" si="2617"/>
        <v>0</v>
      </c>
      <c r="Z3457" s="117">
        <f t="shared" si="2618"/>
        <v>0</v>
      </c>
      <c r="AA3457" s="118"/>
      <c r="AB3457" s="118" t="str">
        <f t="shared" si="2619"/>
        <v/>
      </c>
      <c r="AC3457" s="712" t="str">
        <f>IF(AE3457="T2G","no charge",IF(AND(OR(PlanterYesMe="No",PlanterYesMe="N",PlanterYesMe="me"),H3457=""),"",IF(H3457="credit","NO install",IF(AND(K3457="",AE3457="me"),"EACH row",IF(AND(K3457="images",AE3457="me"),"EACH row",IF(D3457="","",IF(H3457="credit","",IF(AE3457="free","re-planting",IF(AE3457="me","   not ELP, by",IF(AND(OR(PlanterYesMe="Yes",PlanterYesMe="Y"),G3457&gt;0),(VLOOKUP(A3457,'Discount Lookup'!J:K,2)*G3457*(1-PlanterDiscount)*(1+PlanterDifficultyPercentage)),IF(AE3457="ELP",(VLOOKUP(A3457,'Discount Lookup'!J:K,2)*G3457*(1-PlanterDiscount)*(1+PlanterDifficultyPercentage)),IF(AE3457="free","re-planting",IF(G3457=0,"",IF(PlanterYesMe="",IF(AE3457="me","   not ELP, by",IF(AE3457="",IF(G3457&gt;0,(VLOOKUP(A3457,'Discount Lookup'!J:K,2)*G3457*(1-PlanterDiscount)*(1+PlanterDifficultyPercentage)),""),"")),"   not ELP, by"))))))))))))))</f>
        <v/>
      </c>
      <c r="AD3457" s="712"/>
      <c r="AE3457" s="513" t="str">
        <f t="shared" si="2620"/>
        <v/>
      </c>
      <c r="AF3457" s="713" t="str">
        <f t="shared" si="2621"/>
        <v/>
      </c>
      <c r="AG3457" s="713"/>
      <c r="AH3457" s="713"/>
      <c r="AI3457" s="112">
        <f>IF(H3457="credit",0,IF(AE3457="free",0,IF(AE3457="me",0,IF(G3457&gt;0,(VLOOKUP(A3457,'Discount Lookup'!J:K,2)*G3457),0))))</f>
        <v>0</v>
      </c>
      <c r="AJ3457" s="107" t="str">
        <f t="shared" ca="1" si="2622"/>
        <v/>
      </c>
      <c r="AK3457" s="714" t="str">
        <f t="shared" si="2623"/>
        <v/>
      </c>
      <c r="AL3457" s="714"/>
      <c r="AM3457" s="114" t="str">
        <f t="shared" si="2624"/>
        <v/>
      </c>
      <c r="AN3457" s="115"/>
      <c r="AO3457" s="116"/>
      <c r="AP3457" s="116"/>
      <c r="AQ3457" s="116"/>
      <c r="AR3457" s="116"/>
      <c r="AS3457" s="116"/>
      <c r="AT3457" s="116"/>
      <c r="AU3457" s="116"/>
      <c r="AV3457" s="78"/>
      <c r="AW3457" s="102"/>
      <c r="AX3457" s="78"/>
      <c r="AY3457" s="78"/>
      <c r="AZ3457" s="78"/>
      <c r="BA3457" s="78"/>
      <c r="BB3457" s="78"/>
      <c r="BC3457" s="78"/>
      <c r="BD3457" s="78"/>
      <c r="BE3457" s="465"/>
      <c r="BF3457" s="165" t="str">
        <f t="shared" si="2625"/>
        <v>https://www.google.com/search?tbm=isch&amp;q=15%20G4</v>
      </c>
      <c r="BG3457" s="165" t="str">
        <f t="shared" si="2626"/>
        <v>P</v>
      </c>
      <c r="BH3457" s="65"/>
      <c r="BI3457" s="65"/>
      <c r="BJ3457" s="65"/>
      <c r="BK3457" s="65"/>
      <c r="BL3457" s="99"/>
      <c r="BM3457" s="99"/>
      <c r="BN3457" s="99"/>
    </row>
    <row r="3458" spans="1:66" s="51" customFormat="1" ht="17.25" thickBot="1" x14ac:dyDescent="0.3">
      <c r="A3458" s="641" t="s">
        <v>3904</v>
      </c>
      <c r="B3458" s="642"/>
      <c r="C3458" s="710"/>
      <c r="D3458" s="643"/>
      <c r="E3458" s="643"/>
      <c r="F3458" s="644"/>
      <c r="G3458" s="645"/>
      <c r="H3458" s="646"/>
      <c r="I3458" s="647"/>
      <c r="J3458" s="648"/>
      <c r="K3458" s="649"/>
      <c r="L3458" s="650"/>
      <c r="M3458" s="650"/>
      <c r="N3458" s="644"/>
      <c r="O3458" s="644"/>
      <c r="P3458" s="644"/>
      <c r="Q3458" s="644"/>
      <c r="R3458" s="644"/>
      <c r="S3458" s="701" t="s">
        <v>5253</v>
      </c>
      <c r="T3458" s="102">
        <f t="shared" si="2614"/>
        <v>0</v>
      </c>
      <c r="U3458" s="78" t="str">
        <f>IF(NOT(ISNUMBER(G3458)), "", VLOOKUP(A3458,'Discount Lookup'!D:E,2,FALSE)*G3458)</f>
        <v/>
      </c>
      <c r="V3458" s="78" t="str">
        <f>IF(NOT(ISNUMBER(G3458)), "", VLOOKUP(A3458,'Discount Lookup'!G:H,2,FALSE)*G3458)</f>
        <v/>
      </c>
      <c r="W3458" s="102">
        <f t="shared" si="2615"/>
        <v>0</v>
      </c>
      <c r="X3458" s="102">
        <f t="shared" si="2616"/>
        <v>0</v>
      </c>
      <c r="Y3458" s="120" t="b">
        <f t="shared" si="2617"/>
        <v>0</v>
      </c>
      <c r="Z3458" s="117">
        <f t="shared" si="2618"/>
        <v>0</v>
      </c>
      <c r="AA3458" s="118"/>
      <c r="AB3458" s="118" t="str">
        <f t="shared" si="2619"/>
        <v/>
      </c>
      <c r="AC3458" s="712" t="str">
        <f>IF(AE3458="T2G","no charge",IF(AND(OR(PlanterYesMe="No",PlanterYesMe="N",PlanterYesMe="me"),H3458=""),"",IF(H3458="credit","NO install",IF(AND(K3458="",AE3458="me"),"EACH row",IF(AND(K3458="images",AE3458="me"),"EACH row",IF(D3458="","",IF(H3458="credit","",IF(AE3458="free","re-planting",IF(AE3458="me","   not ELP, by",IF(AND(OR(PlanterYesMe="Yes",PlanterYesMe="Y"),G3458&gt;0),(VLOOKUP(A3458,'Discount Lookup'!J:K,2)*G3458*(1-PlanterDiscount)*(1+PlanterDifficultyPercentage)),IF(AE3458="ELP",(VLOOKUP(A3458,'Discount Lookup'!J:K,2)*G3458*(1-PlanterDiscount)*(1+PlanterDifficultyPercentage)),IF(AE3458="free","re-planting",IF(G3458=0,"",IF(PlanterYesMe="",IF(AE3458="me","   not ELP, by",IF(AE3458="",IF(G3458&gt;0,(VLOOKUP(A3458,'Discount Lookup'!J:K,2)*G3458*(1-PlanterDiscount)*(1+PlanterDifficultyPercentage)),""),"")),"   not ELP, by"))))))))))))))</f>
        <v/>
      </c>
      <c r="AD3458" s="712"/>
      <c r="AE3458" s="513" t="str">
        <f t="shared" si="2620"/>
        <v/>
      </c>
      <c r="AF3458" s="713" t="str">
        <f t="shared" si="2621"/>
        <v/>
      </c>
      <c r="AG3458" s="713"/>
      <c r="AH3458" s="713"/>
      <c r="AI3458" s="112">
        <f>IF(H3458="credit",0,IF(AE3458="free",0,IF(AE3458="me",0,IF(G3458&gt;0,(VLOOKUP(A3458,'Discount Lookup'!J:K,2)*G3458),0))))</f>
        <v>0</v>
      </c>
      <c r="AJ3458" s="107" t="str">
        <f t="shared" ca="1" si="2622"/>
        <v/>
      </c>
      <c r="AK3458" s="714" t="str">
        <f t="shared" si="2623"/>
        <v/>
      </c>
      <c r="AL3458" s="714"/>
      <c r="AM3458" s="114" t="str">
        <f t="shared" si="2624"/>
        <v/>
      </c>
      <c r="AN3458" s="115"/>
      <c r="AO3458" s="116"/>
      <c r="AP3458" s="116"/>
      <c r="AQ3458" s="116"/>
      <c r="AR3458" s="116"/>
      <c r="AS3458" s="116"/>
      <c r="AT3458" s="116"/>
      <c r="AU3458" s="116"/>
      <c r="AV3458" s="78"/>
      <c r="AW3458" s="102"/>
      <c r="AX3458" s="78"/>
      <c r="AY3458" s="78"/>
      <c r="AZ3458" s="78"/>
      <c r="BA3458" s="78"/>
      <c r="BB3458" s="78"/>
      <c r="BC3458" s="78"/>
      <c r="BD3458" s="78"/>
      <c r="BE3458" s="465"/>
      <c r="BF3458" s="165" t="str">
        <f t="shared" si="2625"/>
        <v>https://www.google.com/search?tbm=isch&amp;q=Yoshino%20bloom%20early%20spring.%20Nice%20winter%20structure.%20Washington%2C%20D.C.%20tree%20%28with%20%27Okame%27%29%20</v>
      </c>
      <c r="BG3458" s="165" t="str">
        <f t="shared" si="2626"/>
        <v>Y</v>
      </c>
      <c r="BH3458" s="65"/>
      <c r="BI3458" s="65"/>
      <c r="BJ3458" s="65"/>
      <c r="BK3458" s="65"/>
      <c r="BL3458" s="99"/>
      <c r="BM3458" s="99"/>
      <c r="BN3458" s="99"/>
    </row>
    <row r="3459" spans="1:66" s="51" customFormat="1" ht="18" x14ac:dyDescent="0.25">
      <c r="A3459" s="623" t="s">
        <v>3905</v>
      </c>
      <c r="B3459" s="624"/>
      <c r="C3459" s="709"/>
      <c r="D3459" s="625" t="s">
        <v>3906</v>
      </c>
      <c r="E3459" s="626"/>
      <c r="F3459" s="626"/>
      <c r="G3459" s="626"/>
      <c r="H3459" s="622" t="s">
        <v>3907</v>
      </c>
      <c r="I3459" s="627" t="s">
        <v>3908</v>
      </c>
      <c r="J3459" s="628"/>
      <c r="K3459" s="628"/>
      <c r="L3459" s="629"/>
      <c r="M3459" s="700" t="s">
        <v>5241</v>
      </c>
      <c r="N3459" s="693" t="str">
        <f>IF(AND(ISTEXT($A3459), ISERROR($A3459+0)), HYPERLINK($BF3459, "Images"), "")</f>
        <v>Images</v>
      </c>
      <c r="O3459" s="695" t="s">
        <v>5286</v>
      </c>
      <c r="P3459" s="630"/>
      <c r="Q3459" s="631"/>
      <c r="R3459" s="632"/>
      <c r="S3459" s="633"/>
      <c r="T3459" s="102">
        <f t="shared" si="2614"/>
        <v>0</v>
      </c>
      <c r="U3459" s="78" t="str">
        <f>IF(NOT(ISNUMBER(G3459)), "", VLOOKUP(A3459,'Discount Lookup'!D:E,2,FALSE)*G3459)</f>
        <v/>
      </c>
      <c r="V3459" s="78" t="str">
        <f>IF(NOT(ISNUMBER(G3459)), "", VLOOKUP(A3459,'Discount Lookup'!G:H,2,FALSE)*G3459)</f>
        <v/>
      </c>
      <c r="W3459" s="102">
        <f t="shared" si="2615"/>
        <v>0</v>
      </c>
      <c r="X3459" s="102" t="str">
        <f t="shared" si="2616"/>
        <v>Soft Pink to White bloom</v>
      </c>
      <c r="Y3459" s="120" t="b">
        <f t="shared" si="2617"/>
        <v>0</v>
      </c>
      <c r="Z3459" s="117">
        <f t="shared" si="2618"/>
        <v>0</v>
      </c>
      <c r="AA3459" s="118"/>
      <c r="AB3459" s="118" t="str">
        <f t="shared" si="2619"/>
        <v/>
      </c>
      <c r="AC3459" s="712" t="str">
        <f>IF(AE3459="T2G","no charge",IF(AND(OR(PlanterYesMe="No",PlanterYesMe="N",PlanterYesMe="me"),H3459=""),"",IF(H3459="credit","NO install",IF(AND(K3459="",AE3459="me"),"EACH row",IF(AND(K3459="images",AE3459="me"),"EACH row",IF(D3459="","",IF(H3459="credit","",IF(AE3459="free","re-planting",IF(AE3459="me","   not ELP, by",IF(AND(OR(PlanterYesMe="Yes",PlanterYesMe="Y"),G3459&gt;0),(VLOOKUP(A3459,'Discount Lookup'!J:K,2)*G3459*(1-PlanterDiscount)*(1+PlanterDifficultyPercentage)),IF(AE3459="ELP",(VLOOKUP(A3459,'Discount Lookup'!J:K,2)*G3459*(1-PlanterDiscount)*(1+PlanterDifficultyPercentage)),IF(AE3459="free","re-planting",IF(G3459=0,"",IF(PlanterYesMe="",IF(AE3459="me","   not ELP, by",IF(AE3459="",IF(G3459&gt;0,(VLOOKUP(A3459,'Discount Lookup'!J:K,2)*G3459*(1-PlanterDiscount)*(1+PlanterDifficultyPercentage)),""),"")),"   not ELP, by"))))))))))))))</f>
        <v/>
      </c>
      <c r="AD3459" s="712"/>
      <c r="AE3459" s="513" t="str">
        <f t="shared" si="2620"/>
        <v/>
      </c>
      <c r="AF3459" s="713" t="str">
        <f t="shared" si="2621"/>
        <v/>
      </c>
      <c r="AG3459" s="713"/>
      <c r="AH3459" s="713"/>
      <c r="AI3459" s="112">
        <f>IF(H3459="credit",0,IF(AE3459="free",0,IF(AE3459="me",0,IF(G3459&gt;0,(VLOOKUP(A3459,'Discount Lookup'!J:K,2)*G3459),0))))</f>
        <v>0</v>
      </c>
      <c r="AJ3459" s="107" t="str">
        <f t="shared" ca="1" si="2622"/>
        <v/>
      </c>
      <c r="AK3459" s="714" t="str">
        <f t="shared" si="2623"/>
        <v/>
      </c>
      <c r="AL3459" s="714"/>
      <c r="AM3459" s="114" t="str">
        <f t="shared" si="2624"/>
        <v/>
      </c>
      <c r="AN3459" s="115"/>
      <c r="AO3459" s="116"/>
      <c r="AP3459" s="116"/>
      <c r="AQ3459" s="116"/>
      <c r="AR3459" s="116"/>
      <c r="AS3459" s="116"/>
      <c r="AT3459" s="116"/>
      <c r="AU3459" s="116"/>
      <c r="AV3459" s="78"/>
      <c r="AW3459" s="102"/>
      <c r="AX3459" s="78"/>
      <c r="AY3459" s="78"/>
      <c r="AZ3459" s="78"/>
      <c r="BA3459" s="78"/>
      <c r="BB3459" s="78"/>
      <c r="BC3459" s="78"/>
      <c r="BD3459" s="78"/>
      <c r="BE3459" s="465"/>
      <c r="BF3459" s="165" t="str">
        <f t="shared" si="2625"/>
        <v>https://www.google.com/search?tbm=isch&amp;q=Prunus%20x%20yedoensis%20%27Akebono%27%20Akebono%20Yoshino%20Cherry</v>
      </c>
      <c r="BG3459" s="165" t="str">
        <f t="shared" si="2626"/>
        <v>P</v>
      </c>
      <c r="BH3459" s="65"/>
      <c r="BI3459" s="65"/>
      <c r="BJ3459" s="65"/>
      <c r="BK3459" s="65"/>
      <c r="BL3459" s="99"/>
      <c r="BM3459" s="99"/>
      <c r="BN3459" s="99"/>
    </row>
    <row r="3460" spans="1:66" s="51" customFormat="1" ht="15.75" x14ac:dyDescent="0.25">
      <c r="A3460" s="634">
        <v>15</v>
      </c>
      <c r="B3460" s="635" t="s">
        <v>291</v>
      </c>
      <c r="C3460" s="636" t="s">
        <v>3909</v>
      </c>
      <c r="D3460" s="637" t="s">
        <v>293</v>
      </c>
      <c r="E3460" s="638">
        <v>200.95</v>
      </c>
      <c r="F3460" s="639" t="s">
        <v>292</v>
      </c>
      <c r="G3460" s="484">
        <v>0</v>
      </c>
      <c r="H3460" s="691" t="str">
        <f>IF(G3460=0,"",IF(F3460="Buy",IF(G3460=1,"plant","plants"),IF(F3460&gt;0.01,"warranty","Error")))</f>
        <v/>
      </c>
      <c r="I3460" s="640">
        <f>IF(H3460="free",0,IF(H3460="credit",((E3460*(F3460))*G3460*-1),IF(F3460="Buy",(E3460*G3460),((E3460*(1-F3460))*G3460))))</f>
        <v>0</v>
      </c>
      <c r="J3460" s="640">
        <f>IF(H3460="warranty",0,(I3460*(_xlfn.SINGLE(SalesTaxPercentage))))</f>
        <v>0</v>
      </c>
      <c r="K3460" s="716">
        <f t="shared" ref="K3460" si="2653">I3460+J3460</f>
        <v>0</v>
      </c>
      <c r="L3460" s="716"/>
      <c r="M3460" s="689" t="str">
        <f ca="1">IF(AND(G3460&gt;0,E3460=0),"WARNING - no PRICE inserted",IF(H3460="free","FREE ~ no charge this plant",IF(H3460="credit",CONCATENATE("-$",ROUND(K3460*(1-_xlfn.SINGLE(T2GDiscount))*-1,2)," CREDIT after discount"),IF(_xlfn.SINGLE(T2GDiscount)=0,"",IF(G3460=0,"",IF(F3460="Buy",CONCATENATE("$",ROUND(K3460*(1-_xlfn.SINGLE(T2GDiscount)),2)," with ",(_xlfn.SINGLE(T2GDiscount)*100),"% discount"),CONCATENATE("$",ROUND(K3460*(1-_xlfn.SINGLE(T2GDiscount)),2)," with ",((_xlfn.SINGLE(T2GDiscount)*100+F3460*100)-(_xlfn.SINGLE(T2GDiscount)*100*F3460)),IF(F3460&gt;0,"% discounts",IF(_xlfn.SINGLE(NoWarrantyDiscount)&gt;0,"% discounts","% discount")))))))))</f>
        <v/>
      </c>
      <c r="N3460" s="690"/>
      <c r="O3460" s="486"/>
      <c r="P3460" s="486"/>
      <c r="Q3460" s="486"/>
      <c r="R3460" s="486"/>
      <c r="S3460" s="486"/>
      <c r="T3460" s="102">
        <f t="shared" si="2614"/>
        <v>0</v>
      </c>
      <c r="U3460" s="78">
        <f>IF(NOT(ISNUMBER(G3460)), "", VLOOKUP(A3460,'Discount Lookup'!D:E,2,FALSE)*G3460)</f>
        <v>0</v>
      </c>
      <c r="V3460" s="78">
        <f>IF(NOT(ISNUMBER(G3460)), "", VLOOKUP(A3460,'Discount Lookup'!G:H,2,FALSE)*G3460)</f>
        <v>0</v>
      </c>
      <c r="W3460" s="102">
        <f t="shared" si="2615"/>
        <v>0</v>
      </c>
      <c r="X3460" s="102">
        <f t="shared" si="2616"/>
        <v>0</v>
      </c>
      <c r="Y3460" s="120" t="b">
        <f t="shared" si="2617"/>
        <v>0</v>
      </c>
      <c r="Z3460" s="117">
        <f t="shared" si="2618"/>
        <v>0</v>
      </c>
      <c r="AA3460" s="118"/>
      <c r="AB3460" s="118" t="str">
        <f t="shared" si="2619"/>
        <v/>
      </c>
      <c r="AC3460" s="712" t="str">
        <f>IF(AE3460="T2G","no charge",IF(AND(OR(PlanterYesMe="No",PlanterYesMe="N",PlanterYesMe="me"),H3460=""),"",IF(H3460="credit","NO install",IF(AND(K3460="",AE3460="me"),"EACH row",IF(AND(K3460="images",AE3460="me"),"EACH row",IF(D3460="","",IF(H3460="credit","",IF(AE3460="free","re-planting",IF(AE3460="me","   not ELP, by",IF(AND(OR(PlanterYesMe="Yes",PlanterYesMe="Y"),G3460&gt;0),(VLOOKUP(A3460,'Discount Lookup'!J:K,2)*G3460*(1-PlanterDiscount)*(1+PlanterDifficultyPercentage)),IF(AE3460="ELP",(VLOOKUP(A3460,'Discount Lookup'!J:K,2)*G3460*(1-PlanterDiscount)*(1+PlanterDifficultyPercentage)),IF(AE3460="free","re-planting",IF(G3460=0,"",IF(PlanterYesMe="",IF(AE3460="me","   not ELP, by",IF(AE3460="",IF(G3460&gt;0,(VLOOKUP(A3460,'Discount Lookup'!J:K,2)*G3460*(1-PlanterDiscount)*(1+PlanterDifficultyPercentage)),""),"")),"   not ELP, by"))))))))))))))</f>
        <v/>
      </c>
      <c r="AD3460" s="712"/>
      <c r="AE3460" s="513" t="str">
        <f t="shared" si="2620"/>
        <v/>
      </c>
      <c r="AF3460" s="713" t="str">
        <f t="shared" si="2621"/>
        <v/>
      </c>
      <c r="AG3460" s="713"/>
      <c r="AH3460" s="713"/>
      <c r="AI3460" s="112">
        <f>IF(H3460="credit",0,IF(AE3460="free",0,IF(AE3460="me",0,IF(G3460&gt;0,(VLOOKUP(A3460,'Discount Lookup'!J:K,2)*G3460),0))))</f>
        <v>0</v>
      </c>
      <c r="AJ3460" s="107" t="str">
        <f t="shared" ca="1" si="2622"/>
        <v/>
      </c>
      <c r="AK3460" s="714" t="str">
        <f t="shared" si="2623"/>
        <v/>
      </c>
      <c r="AL3460" s="714"/>
      <c r="AM3460" s="114" t="str">
        <f t="shared" si="2624"/>
        <v/>
      </c>
      <c r="AN3460" s="115"/>
      <c r="AO3460" s="116"/>
      <c r="AP3460" s="116"/>
      <c r="AQ3460" s="116"/>
      <c r="AR3460" s="116"/>
      <c r="AS3460" s="116"/>
      <c r="AT3460" s="116"/>
      <c r="AU3460" s="116"/>
      <c r="AV3460" s="78"/>
      <c r="AW3460" s="102"/>
      <c r="AX3460" s="78"/>
      <c r="AY3460" s="78"/>
      <c r="AZ3460" s="78"/>
      <c r="BA3460" s="78"/>
      <c r="BB3460" s="78"/>
      <c r="BC3460" s="78"/>
      <c r="BD3460" s="78"/>
      <c r="BE3460" s="465"/>
      <c r="BF3460" s="165" t="str">
        <f t="shared" si="2625"/>
        <v>https://www.google.com/search?tbm=isch&amp;q=15%20G6</v>
      </c>
      <c r="BG3460" s="165" t="str">
        <f t="shared" si="2626"/>
        <v>P</v>
      </c>
      <c r="BH3460" s="65"/>
      <c r="BI3460" s="65"/>
      <c r="BJ3460" s="65"/>
      <c r="BK3460" s="65"/>
      <c r="BL3460" s="99"/>
      <c r="BM3460" s="99"/>
      <c r="BN3460" s="99"/>
    </row>
    <row r="3461" spans="1:66" s="51" customFormat="1" ht="16.5" x14ac:dyDescent="0.25">
      <c r="A3461" s="641" t="s">
        <v>3910</v>
      </c>
      <c r="B3461" s="642"/>
      <c r="C3461" s="710"/>
      <c r="D3461" s="643"/>
      <c r="E3461" s="643"/>
      <c r="F3461" s="644"/>
      <c r="G3461" s="645"/>
      <c r="H3461" s="646"/>
      <c r="I3461" s="647"/>
      <c r="J3461" s="648"/>
      <c r="K3461" s="649"/>
      <c r="L3461" s="650"/>
      <c r="M3461" s="650"/>
      <c r="N3461" s="644"/>
      <c r="O3461" s="644"/>
      <c r="P3461" s="644"/>
      <c r="Q3461" s="644"/>
      <c r="R3461" s="644"/>
      <c r="S3461" s="701" t="s">
        <v>5251</v>
      </c>
      <c r="T3461" s="102">
        <f t="shared" si="2614"/>
        <v>0</v>
      </c>
      <c r="U3461" s="78" t="str">
        <f>IF(NOT(ISNUMBER(G3461)), "", VLOOKUP(A3461,'Discount Lookup'!D:E,2,FALSE)*G3461)</f>
        <v/>
      </c>
      <c r="V3461" s="78" t="str">
        <f>IF(NOT(ISNUMBER(G3461)), "", VLOOKUP(A3461,'Discount Lookup'!G:H,2,FALSE)*G3461)</f>
        <v/>
      </c>
      <c r="W3461" s="102">
        <f t="shared" si="2615"/>
        <v>0</v>
      </c>
      <c r="X3461" s="102">
        <f t="shared" si="2616"/>
        <v>0</v>
      </c>
      <c r="Y3461" s="120" t="b">
        <f t="shared" si="2617"/>
        <v>0</v>
      </c>
      <c r="Z3461" s="117">
        <f t="shared" si="2618"/>
        <v>0</v>
      </c>
      <c r="AA3461" s="118"/>
      <c r="AB3461" s="118" t="str">
        <f t="shared" si="2619"/>
        <v/>
      </c>
      <c r="AC3461" s="712" t="str">
        <f>IF(AE3461="T2G","no charge",IF(AND(OR(PlanterYesMe="No",PlanterYesMe="N",PlanterYesMe="me"),H3461=""),"",IF(H3461="credit","NO install",IF(AND(K3461="",AE3461="me"),"EACH row",IF(AND(K3461="images",AE3461="me"),"EACH row",IF(D3461="","",IF(H3461="credit","",IF(AE3461="free","re-planting",IF(AE3461="me","   not ELP, by",IF(AND(OR(PlanterYesMe="Yes",PlanterYesMe="Y"),G3461&gt;0),(VLOOKUP(A3461,'Discount Lookup'!J:K,2)*G3461*(1-PlanterDiscount)*(1+PlanterDifficultyPercentage)),IF(AE3461="ELP",(VLOOKUP(A3461,'Discount Lookup'!J:K,2)*G3461*(1-PlanterDiscount)*(1+PlanterDifficultyPercentage)),IF(AE3461="free","re-planting",IF(G3461=0,"",IF(PlanterYesMe="",IF(AE3461="me","   not ELP, by",IF(AE3461="",IF(G3461&gt;0,(VLOOKUP(A3461,'Discount Lookup'!J:K,2)*G3461*(1-PlanterDiscount)*(1+PlanterDifficultyPercentage)),""),"")),"   not ELP, by"))))))))))))))</f>
        <v/>
      </c>
      <c r="AD3461" s="712"/>
      <c r="AE3461" s="513" t="str">
        <f t="shared" si="2620"/>
        <v/>
      </c>
      <c r="AF3461" s="713" t="str">
        <f t="shared" si="2621"/>
        <v/>
      </c>
      <c r="AG3461" s="713"/>
      <c r="AH3461" s="713"/>
      <c r="AI3461" s="112">
        <f>IF(H3461="credit",0,IF(AE3461="free",0,IF(AE3461="me",0,IF(G3461&gt;0,(VLOOKUP(A3461,'Discount Lookup'!J:K,2)*G3461),0))))</f>
        <v>0</v>
      </c>
      <c r="AJ3461" s="107" t="str">
        <f t="shared" ca="1" si="2622"/>
        <v/>
      </c>
      <c r="AK3461" s="714" t="str">
        <f t="shared" si="2623"/>
        <v/>
      </c>
      <c r="AL3461" s="714"/>
      <c r="AM3461" s="114" t="str">
        <f t="shared" si="2624"/>
        <v/>
      </c>
      <c r="AN3461" s="115"/>
      <c r="AO3461" s="116"/>
      <c r="AP3461" s="116"/>
      <c r="AQ3461" s="116"/>
      <c r="AR3461" s="116"/>
      <c r="AS3461" s="116"/>
      <c r="AT3461" s="116"/>
      <c r="AU3461" s="116"/>
      <c r="AV3461" s="78"/>
      <c r="AW3461" s="102"/>
      <c r="AX3461" s="78"/>
      <c r="AY3461" s="78"/>
      <c r="AZ3461" s="78"/>
      <c r="BA3461" s="78"/>
      <c r="BB3461" s="78"/>
      <c r="BC3461" s="78"/>
      <c r="BD3461" s="78"/>
      <c r="BE3461" s="465"/>
      <c r="BF3461" s="165" t="str">
        <f t="shared" si="2625"/>
        <v>https://www.google.com/search?tbm=isch&amp;q=Akebono%20known%20for%20especially%20nice%20bloom%20in%20early%20spring.%20Fast%20grower.%20Name%20means%20%22Daybreak%22%20in%20Japanese%20</v>
      </c>
      <c r="BG3461" s="165" t="str">
        <f t="shared" si="2626"/>
        <v>A</v>
      </c>
      <c r="BH3461" s="65"/>
      <c r="BI3461" s="65"/>
      <c r="BJ3461" s="65"/>
      <c r="BK3461" s="65"/>
      <c r="BL3461" s="99"/>
      <c r="BM3461" s="99"/>
      <c r="BN3461" s="99"/>
    </row>
    <row r="3462" spans="1:66" s="51" customFormat="1" ht="19.5" thickBot="1" x14ac:dyDescent="0.3">
      <c r="A3462" s="686" t="s">
        <v>705</v>
      </c>
      <c r="B3462" s="73"/>
      <c r="C3462" s="708"/>
      <c r="D3462" s="73"/>
      <c r="E3462" s="73"/>
      <c r="F3462" s="496"/>
      <c r="G3462" s="73"/>
      <c r="H3462" s="73"/>
      <c r="I3462" s="73"/>
      <c r="J3462" s="497" t="s">
        <v>357</v>
      </c>
      <c r="K3462" s="498"/>
      <c r="L3462" s="562"/>
      <c r="M3462" s="73"/>
      <c r="N3462"/>
      <c r="O3462"/>
      <c r="P3462"/>
      <c r="Q3462"/>
      <c r="R3462"/>
      <c r="S3462"/>
      <c r="T3462" s="102">
        <f t="shared" si="2614"/>
        <v>0</v>
      </c>
      <c r="U3462" s="78" t="str">
        <f>IF(NOT(ISNUMBER(G3462)), "", VLOOKUP(A3462,'Discount Lookup'!D:E,2,FALSE)*G3462)</f>
        <v/>
      </c>
      <c r="V3462" s="78" t="str">
        <f>IF(NOT(ISNUMBER(G3462)), "", VLOOKUP(A3462,'Discount Lookup'!G:H,2,FALSE)*G3462)</f>
        <v/>
      </c>
      <c r="W3462" s="102">
        <f t="shared" si="2615"/>
        <v>0</v>
      </c>
      <c r="X3462" s="102">
        <f t="shared" si="2616"/>
        <v>0</v>
      </c>
      <c r="Y3462" s="120" t="b">
        <f t="shared" si="2617"/>
        <v>0</v>
      </c>
      <c r="Z3462" s="117">
        <f t="shared" si="2618"/>
        <v>0</v>
      </c>
      <c r="AA3462" s="118"/>
      <c r="AB3462" s="118" t="str">
        <f t="shared" si="2619"/>
        <v/>
      </c>
      <c r="AC3462" s="712" t="str">
        <f>IF(AE3462="T2G","no charge",IF(AND(OR(PlanterYesMe="No",PlanterYesMe="N",PlanterYesMe="me"),H3462=""),"",IF(H3462="credit","NO install",IF(AND(K3462="",AE3462="me"),"EACH row",IF(AND(K3462="images",AE3462="me"),"EACH row",IF(D3462="","",IF(H3462="credit","",IF(AE3462="free","re-planting",IF(AE3462="me","   not ELP, by",IF(AND(OR(PlanterYesMe="Yes",PlanterYesMe="Y"),G3462&gt;0),(VLOOKUP(A3462,'Discount Lookup'!J:K,2)*G3462*(1-PlanterDiscount)*(1+PlanterDifficultyPercentage)),IF(AE3462="ELP",(VLOOKUP(A3462,'Discount Lookup'!J:K,2)*G3462*(1-PlanterDiscount)*(1+PlanterDifficultyPercentage)),IF(AE3462="free","re-planting",IF(G3462=0,"",IF(PlanterYesMe="",IF(AE3462="me","   not ELP, by",IF(AE3462="",IF(G3462&gt;0,(VLOOKUP(A3462,'Discount Lookup'!J:K,2)*G3462*(1-PlanterDiscount)*(1+PlanterDifficultyPercentage)),""),"")),"   not ELP, by"))))))))))))))</f>
        <v/>
      </c>
      <c r="AD3462" s="712"/>
      <c r="AE3462" s="513" t="str">
        <f t="shared" si="2620"/>
        <v/>
      </c>
      <c r="AF3462" s="713" t="str">
        <f t="shared" si="2621"/>
        <v/>
      </c>
      <c r="AG3462" s="713"/>
      <c r="AH3462" s="713"/>
      <c r="AI3462" s="112">
        <f>IF(H3462="credit",0,IF(AE3462="free",0,IF(AE3462="me",0,IF(G3462&gt;0,(VLOOKUP(A3462,'Discount Lookup'!J:K,2)*G3462),0))))</f>
        <v>0</v>
      </c>
      <c r="AJ3462" s="107" t="str">
        <f t="shared" ca="1" si="2622"/>
        <v/>
      </c>
      <c r="AK3462" s="714" t="str">
        <f t="shared" si="2623"/>
        <v/>
      </c>
      <c r="AL3462" s="714"/>
      <c r="AM3462" s="114" t="str">
        <f t="shared" si="2624"/>
        <v/>
      </c>
      <c r="AN3462" s="115"/>
      <c r="AO3462" s="116"/>
      <c r="AP3462" s="116"/>
      <c r="AQ3462" s="116"/>
      <c r="AR3462" s="116"/>
      <c r="AS3462" s="116"/>
      <c r="AT3462" s="116"/>
      <c r="AU3462" s="116"/>
      <c r="AV3462" s="78"/>
      <c r="AW3462" s="102"/>
      <c r="AX3462" s="78"/>
      <c r="AY3462" s="78"/>
      <c r="AZ3462" s="78"/>
      <c r="BA3462" s="78"/>
      <c r="BB3462" s="78"/>
      <c r="BC3462" s="78"/>
      <c r="BD3462" s="78"/>
      <c r="BE3462" s="465"/>
      <c r="BF3462" s="165" t="str">
        <f t="shared" si="2625"/>
        <v>https://www.google.com/search?tbm=isch&amp;q=Pseudolarix%20%3D%20Golden%20Larch%20</v>
      </c>
      <c r="BG3462" s="165" t="str">
        <f t="shared" si="2626"/>
        <v>P</v>
      </c>
      <c r="BH3462" s="65"/>
      <c r="BI3462" s="65"/>
      <c r="BJ3462" s="65"/>
      <c r="BK3462" s="65"/>
      <c r="BL3462" s="99"/>
      <c r="BM3462" s="99"/>
      <c r="BN3462" s="99"/>
    </row>
    <row r="3463" spans="1:66" s="51" customFormat="1" ht="18" x14ac:dyDescent="0.25">
      <c r="A3463" s="623" t="s">
        <v>3911</v>
      </c>
      <c r="B3463" s="624"/>
      <c r="C3463" s="709"/>
      <c r="D3463" s="625" t="s">
        <v>3912</v>
      </c>
      <c r="E3463" s="626"/>
      <c r="F3463" s="626"/>
      <c r="G3463" s="626"/>
      <c r="H3463" s="622" t="s">
        <v>476</v>
      </c>
      <c r="I3463" s="627" t="s">
        <v>3913</v>
      </c>
      <c r="J3463" s="628"/>
      <c r="K3463" s="628"/>
      <c r="L3463" s="629"/>
      <c r="M3463" s="700" t="s">
        <v>5241</v>
      </c>
      <c r="N3463" s="693" t="str">
        <f>IF(AND(ISTEXT($A3463), ISERROR($A3463+0)), HYPERLINK($BF3463, "Images"), "")</f>
        <v>Images</v>
      </c>
      <c r="O3463" s="695" t="s">
        <v>5247</v>
      </c>
      <c r="P3463" s="630"/>
      <c r="Q3463" s="631"/>
      <c r="R3463" s="632"/>
      <c r="S3463" s="633"/>
      <c r="T3463" s="102">
        <f t="shared" si="2614"/>
        <v>0</v>
      </c>
      <c r="U3463" s="78" t="str">
        <f>IF(NOT(ISNUMBER(G3463)), "", VLOOKUP(A3463,'Discount Lookup'!D:E,2,FALSE)*G3463)</f>
        <v/>
      </c>
      <c r="V3463" s="78" t="str">
        <f>IF(NOT(ISNUMBER(G3463)), "", VLOOKUP(A3463,'Discount Lookup'!G:H,2,FALSE)*G3463)</f>
        <v/>
      </c>
      <c r="W3463" s="102">
        <f t="shared" si="2615"/>
        <v>0</v>
      </c>
      <c r="X3463" s="102" t="str">
        <f t="shared" si="2616"/>
        <v>Bright Green needles</v>
      </c>
      <c r="Y3463" s="120" t="b">
        <f t="shared" si="2617"/>
        <v>0</v>
      </c>
      <c r="Z3463" s="117">
        <f t="shared" si="2618"/>
        <v>0</v>
      </c>
      <c r="AA3463" s="118"/>
      <c r="AB3463" s="118" t="str">
        <f t="shared" si="2619"/>
        <v/>
      </c>
      <c r="AC3463" s="712" t="str">
        <f>IF(AE3463="T2G","no charge",IF(AND(OR(PlanterYesMe="No",PlanterYesMe="N",PlanterYesMe="me"),H3463=""),"",IF(H3463="credit","NO install",IF(AND(K3463="",AE3463="me"),"EACH row",IF(AND(K3463="images",AE3463="me"),"EACH row",IF(D3463="","",IF(H3463="credit","",IF(AE3463="free","re-planting",IF(AE3463="me","   not ELP, by",IF(AND(OR(PlanterYesMe="Yes",PlanterYesMe="Y"),G3463&gt;0),(VLOOKUP(A3463,'Discount Lookup'!J:K,2)*G3463*(1-PlanterDiscount)*(1+PlanterDifficultyPercentage)),IF(AE3463="ELP",(VLOOKUP(A3463,'Discount Lookup'!J:K,2)*G3463*(1-PlanterDiscount)*(1+PlanterDifficultyPercentage)),IF(AE3463="free","re-planting",IF(G3463=0,"",IF(PlanterYesMe="",IF(AE3463="me","   not ELP, by",IF(AE3463="",IF(G3463&gt;0,(VLOOKUP(A3463,'Discount Lookup'!J:K,2)*G3463*(1-PlanterDiscount)*(1+PlanterDifficultyPercentage)),""),"")),"   not ELP, by"))))))))))))))</f>
        <v/>
      </c>
      <c r="AD3463" s="712"/>
      <c r="AE3463" s="513" t="str">
        <f t="shared" si="2620"/>
        <v/>
      </c>
      <c r="AF3463" s="713" t="str">
        <f t="shared" si="2621"/>
        <v/>
      </c>
      <c r="AG3463" s="713"/>
      <c r="AH3463" s="713"/>
      <c r="AI3463" s="112">
        <f>IF(H3463="credit",0,IF(AE3463="free",0,IF(AE3463="me",0,IF(G3463&gt;0,(VLOOKUP(A3463,'Discount Lookup'!J:K,2)*G3463),0))))</f>
        <v>0</v>
      </c>
      <c r="AJ3463" s="107" t="str">
        <f t="shared" ca="1" si="2622"/>
        <v/>
      </c>
      <c r="AK3463" s="714" t="str">
        <f t="shared" si="2623"/>
        <v/>
      </c>
      <c r="AL3463" s="714"/>
      <c r="AM3463" s="114" t="str">
        <f t="shared" si="2624"/>
        <v/>
      </c>
      <c r="AN3463" s="115"/>
      <c r="AO3463" s="116"/>
      <c r="AP3463" s="116"/>
      <c r="AQ3463" s="116"/>
      <c r="AR3463" s="116"/>
      <c r="AS3463" s="116"/>
      <c r="AT3463" s="116"/>
      <c r="AU3463" s="116"/>
      <c r="AV3463" s="78"/>
      <c r="AW3463" s="102"/>
      <c r="AX3463" s="78"/>
      <c r="AY3463" s="78"/>
      <c r="AZ3463" s="78"/>
      <c r="BA3463" s="78"/>
      <c r="BB3463" s="78"/>
      <c r="BC3463" s="78"/>
      <c r="BD3463" s="78"/>
      <c r="BE3463" s="465"/>
      <c r="BF3463" s="165" t="str">
        <f t="shared" si="2625"/>
        <v>https://www.google.com/search?tbm=isch&amp;q=Pseudolarix%20amabilis%20Golden%20Larch</v>
      </c>
      <c r="BG3463" s="165" t="str">
        <f t="shared" si="2626"/>
        <v>P</v>
      </c>
      <c r="BH3463" s="65"/>
      <c r="BI3463" s="65"/>
      <c r="BJ3463" s="65"/>
      <c r="BK3463" s="65"/>
      <c r="BL3463" s="99"/>
      <c r="BM3463" s="99"/>
      <c r="BN3463" s="99"/>
    </row>
    <row r="3464" spans="1:66" s="51" customFormat="1" ht="15.75" x14ac:dyDescent="0.25">
      <c r="A3464" s="634">
        <v>10</v>
      </c>
      <c r="B3464" s="635" t="s">
        <v>291</v>
      </c>
      <c r="C3464" s="636" t="s">
        <v>1235</v>
      </c>
      <c r="D3464" s="637" t="s">
        <v>299</v>
      </c>
      <c r="E3464" s="638">
        <v>155.94999999999999</v>
      </c>
      <c r="F3464" s="639" t="s">
        <v>292</v>
      </c>
      <c r="G3464" s="484">
        <v>0</v>
      </c>
      <c r="H3464" s="691" t="str">
        <f>IF(G3464=0,"",IF(F3464="Buy",IF(G3464=1,"plant","plants"),IF(F3464&gt;0.01,"warranty","Error")))</f>
        <v/>
      </c>
      <c r="I3464" s="640">
        <f>IF(H3464="free",0,IF(H3464="credit",((E3464*(F3464))*G3464*-1),IF(F3464="Buy",(E3464*G3464),((E3464*(1-F3464))*G3464))))</f>
        <v>0</v>
      </c>
      <c r="J3464" s="640">
        <f>IF(H3464="warranty",0,(I3464*(_xlfn.SINGLE(SalesTaxPercentage))))</f>
        <v>0</v>
      </c>
      <c r="K3464" s="716">
        <f t="shared" ref="K3464" si="2654">I3464+J3464</f>
        <v>0</v>
      </c>
      <c r="L3464" s="716"/>
      <c r="M3464" s="689" t="str">
        <f ca="1">IF(AND(G3464&gt;0,E3464=0),"WARNING - no PRICE inserted",IF(H3464="free","FREE ~ no charge this plant",IF(H3464="credit",CONCATENATE("-$",ROUND(K3464*(1-_xlfn.SINGLE(T2GDiscount))*-1,2)," CREDIT after discount"),IF(_xlfn.SINGLE(T2GDiscount)=0,"",IF(G3464=0,"",IF(F3464="Buy",CONCATENATE("$",ROUND(K3464*(1-_xlfn.SINGLE(T2GDiscount)),2)," with ",(_xlfn.SINGLE(T2GDiscount)*100),"% discount"),CONCATENATE("$",ROUND(K3464*(1-_xlfn.SINGLE(T2GDiscount)),2)," with ",((_xlfn.SINGLE(T2GDiscount)*100+F3464*100)-(_xlfn.SINGLE(T2GDiscount)*100*F3464)),IF(F3464&gt;0,"% discounts",IF(_xlfn.SINGLE(NoWarrantyDiscount)&gt;0,"% discounts","% discount")))))))))</f>
        <v/>
      </c>
      <c r="N3464" s="690"/>
      <c r="O3464" s="486"/>
      <c r="P3464" s="486"/>
      <c r="Q3464" s="486"/>
      <c r="R3464" s="486"/>
      <c r="S3464" s="486"/>
      <c r="T3464" s="102">
        <f t="shared" si="2614"/>
        <v>0</v>
      </c>
      <c r="U3464" s="78">
        <f>IF(NOT(ISNUMBER(G3464)), "", VLOOKUP(A3464,'Discount Lookup'!D:E,2,FALSE)*G3464)</f>
        <v>0</v>
      </c>
      <c r="V3464" s="78">
        <f>IF(NOT(ISNUMBER(G3464)), "", VLOOKUP(A3464,'Discount Lookup'!G:H,2,FALSE)*G3464)</f>
        <v>0</v>
      </c>
      <c r="W3464" s="102">
        <f t="shared" si="2615"/>
        <v>0</v>
      </c>
      <c r="X3464" s="102">
        <f t="shared" si="2616"/>
        <v>0</v>
      </c>
      <c r="Y3464" s="120" t="b">
        <f t="shared" si="2617"/>
        <v>0</v>
      </c>
      <c r="Z3464" s="117">
        <f t="shared" si="2618"/>
        <v>0</v>
      </c>
      <c r="AA3464" s="118"/>
      <c r="AB3464" s="118" t="str">
        <f t="shared" si="2619"/>
        <v/>
      </c>
      <c r="AC3464" s="712" t="str">
        <f>IF(AE3464="T2G","no charge",IF(AND(OR(PlanterYesMe="No",PlanterYesMe="N",PlanterYesMe="me"),H3464=""),"",IF(H3464="credit","NO install",IF(AND(K3464="",AE3464="me"),"EACH row",IF(AND(K3464="images",AE3464="me"),"EACH row",IF(D3464="","",IF(H3464="credit","",IF(AE3464="free","re-planting",IF(AE3464="me","   not ELP, by",IF(AND(OR(PlanterYesMe="Yes",PlanterYesMe="Y"),G3464&gt;0),(VLOOKUP(A3464,'Discount Lookup'!J:K,2)*G3464*(1-PlanterDiscount)*(1+PlanterDifficultyPercentage)),IF(AE3464="ELP",(VLOOKUP(A3464,'Discount Lookup'!J:K,2)*G3464*(1-PlanterDiscount)*(1+PlanterDifficultyPercentage)),IF(AE3464="free","re-planting",IF(G3464=0,"",IF(PlanterYesMe="",IF(AE3464="me","   not ELP, by",IF(AE3464="",IF(G3464&gt;0,(VLOOKUP(A3464,'Discount Lookup'!J:K,2)*G3464*(1-PlanterDiscount)*(1+PlanterDifficultyPercentage)),""),"")),"   not ELP, by"))))))))))))))</f>
        <v/>
      </c>
      <c r="AD3464" s="712"/>
      <c r="AE3464" s="513" t="str">
        <f t="shared" si="2620"/>
        <v/>
      </c>
      <c r="AF3464" s="713" t="str">
        <f t="shared" si="2621"/>
        <v/>
      </c>
      <c r="AG3464" s="713"/>
      <c r="AH3464" s="713"/>
      <c r="AI3464" s="112">
        <f>IF(H3464="credit",0,IF(AE3464="free",0,IF(AE3464="me",0,IF(G3464&gt;0,(VLOOKUP(A3464,'Discount Lookup'!J:K,2)*G3464),0))))</f>
        <v>0</v>
      </c>
      <c r="AJ3464" s="107" t="str">
        <f t="shared" ca="1" si="2622"/>
        <v/>
      </c>
      <c r="AK3464" s="714" t="str">
        <f t="shared" si="2623"/>
        <v/>
      </c>
      <c r="AL3464" s="714"/>
      <c r="AM3464" s="114" t="str">
        <f t="shared" si="2624"/>
        <v/>
      </c>
      <c r="AN3464" s="115"/>
      <c r="AO3464" s="116"/>
      <c r="AP3464" s="116"/>
      <c r="AQ3464" s="116"/>
      <c r="AR3464" s="116"/>
      <c r="AS3464" s="116"/>
      <c r="AT3464" s="116"/>
      <c r="AU3464" s="116"/>
      <c r="AV3464" s="78"/>
      <c r="AW3464" s="102"/>
      <c r="AX3464" s="78"/>
      <c r="AY3464" s="78"/>
      <c r="AZ3464" s="78"/>
      <c r="BA3464" s="78"/>
      <c r="BB3464" s="78"/>
      <c r="BC3464" s="78"/>
      <c r="BD3464" s="78"/>
      <c r="BE3464" s="465"/>
      <c r="BF3464" s="165" t="str">
        <f t="shared" si="2625"/>
        <v>https://www.google.com/search?tbm=isch&amp;q=10%20G4</v>
      </c>
      <c r="BG3464" s="165" t="str">
        <f t="shared" si="2626"/>
        <v>P</v>
      </c>
      <c r="BH3464" s="65"/>
      <c r="BI3464" s="65"/>
      <c r="BJ3464" s="65"/>
      <c r="BK3464" s="65"/>
      <c r="BL3464" s="99"/>
      <c r="BM3464" s="99"/>
      <c r="BN3464" s="99"/>
    </row>
    <row r="3465" spans="1:66" s="51" customFormat="1" ht="15.75" x14ac:dyDescent="0.25">
      <c r="A3465" s="634">
        <v>15</v>
      </c>
      <c r="B3465" s="635" t="s">
        <v>291</v>
      </c>
      <c r="C3465" s="636" t="s">
        <v>1235</v>
      </c>
      <c r="D3465" s="637" t="s">
        <v>299</v>
      </c>
      <c r="E3465" s="638">
        <v>206.95</v>
      </c>
      <c r="F3465" s="639" t="s">
        <v>292</v>
      </c>
      <c r="G3465" s="484">
        <v>0</v>
      </c>
      <c r="H3465" s="691" t="str">
        <f>IF(G3465=0,"",IF(F3465="Buy",IF(G3465=1,"plant","plants"),IF(F3465&gt;0.01,"warranty","Error")))</f>
        <v/>
      </c>
      <c r="I3465" s="640">
        <f>IF(H3465="free",0,IF(H3465="credit",((E3465*(F3465))*G3465*-1),IF(F3465="Buy",(E3465*G3465),((E3465*(1-F3465))*G3465))))</f>
        <v>0</v>
      </c>
      <c r="J3465" s="640">
        <f>IF(H3465="warranty",0,(I3465*(_xlfn.SINGLE(SalesTaxPercentage))))</f>
        <v>0</v>
      </c>
      <c r="K3465" s="716">
        <f t="shared" ref="K3465" si="2655">I3465+J3465</f>
        <v>0</v>
      </c>
      <c r="L3465" s="716"/>
      <c r="M3465" s="689" t="str">
        <f ca="1">IF(AND(G3465&gt;0,E3465=0),"WARNING - no PRICE inserted",IF(H3465="free","FREE ~ no charge this plant",IF(H3465="credit",CONCATENATE("-$",ROUND(K3465*(1-_xlfn.SINGLE(T2GDiscount))*-1,2)," CREDIT after discount"),IF(_xlfn.SINGLE(T2GDiscount)=0,"",IF(G3465=0,"",IF(F3465="Buy",CONCATENATE("$",ROUND(K3465*(1-_xlfn.SINGLE(T2GDiscount)),2)," with ",(_xlfn.SINGLE(T2GDiscount)*100),"% discount"),CONCATENATE("$",ROUND(K3465*(1-_xlfn.SINGLE(T2GDiscount)),2)," with ",((_xlfn.SINGLE(T2GDiscount)*100+F3465*100)-(_xlfn.SINGLE(T2GDiscount)*100*F3465)),IF(F3465&gt;0,"% discounts",IF(_xlfn.SINGLE(NoWarrantyDiscount)&gt;0,"% discounts","% discount")))))))))</f>
        <v/>
      </c>
      <c r="N3465" s="690"/>
      <c r="O3465" s="486"/>
      <c r="P3465" s="486"/>
      <c r="Q3465" s="486"/>
      <c r="R3465" s="486"/>
      <c r="S3465" s="486"/>
      <c r="T3465" s="102">
        <f t="shared" si="2614"/>
        <v>0</v>
      </c>
      <c r="U3465" s="78">
        <f>IF(NOT(ISNUMBER(G3465)), "", VLOOKUP(A3465,'Discount Lookup'!D:E,2,FALSE)*G3465)</f>
        <v>0</v>
      </c>
      <c r="V3465" s="78">
        <f>IF(NOT(ISNUMBER(G3465)), "", VLOOKUP(A3465,'Discount Lookup'!G:H,2,FALSE)*G3465)</f>
        <v>0</v>
      </c>
      <c r="W3465" s="102">
        <f t="shared" si="2615"/>
        <v>0</v>
      </c>
      <c r="X3465" s="102">
        <f t="shared" si="2616"/>
        <v>0</v>
      </c>
      <c r="Y3465" s="120" t="b">
        <f t="shared" si="2617"/>
        <v>0</v>
      </c>
      <c r="Z3465" s="117">
        <f t="shared" si="2618"/>
        <v>0</v>
      </c>
      <c r="AA3465" s="118"/>
      <c r="AB3465" s="118" t="str">
        <f t="shared" si="2619"/>
        <v/>
      </c>
      <c r="AC3465" s="712" t="str">
        <f>IF(AE3465="T2G","no charge",IF(AND(OR(PlanterYesMe="No",PlanterYesMe="N",PlanterYesMe="me"),H3465=""),"",IF(H3465="credit","NO install",IF(AND(K3465="",AE3465="me"),"EACH row",IF(AND(K3465="images",AE3465="me"),"EACH row",IF(D3465="","",IF(H3465="credit","",IF(AE3465="free","re-planting",IF(AE3465="me","   not ELP, by",IF(AND(OR(PlanterYesMe="Yes",PlanterYesMe="Y"),G3465&gt;0),(VLOOKUP(A3465,'Discount Lookup'!J:K,2)*G3465*(1-PlanterDiscount)*(1+PlanterDifficultyPercentage)),IF(AE3465="ELP",(VLOOKUP(A3465,'Discount Lookup'!J:K,2)*G3465*(1-PlanterDiscount)*(1+PlanterDifficultyPercentage)),IF(AE3465="free","re-planting",IF(G3465=0,"",IF(PlanterYesMe="",IF(AE3465="me","   not ELP, by",IF(AE3465="",IF(G3465&gt;0,(VLOOKUP(A3465,'Discount Lookup'!J:K,2)*G3465*(1-PlanterDiscount)*(1+PlanterDifficultyPercentage)),""),"")),"   not ELP, by"))))))))))))))</f>
        <v/>
      </c>
      <c r="AD3465" s="712"/>
      <c r="AE3465" s="513" t="str">
        <f t="shared" si="2620"/>
        <v/>
      </c>
      <c r="AF3465" s="713" t="str">
        <f t="shared" si="2621"/>
        <v/>
      </c>
      <c r="AG3465" s="713"/>
      <c r="AH3465" s="713"/>
      <c r="AI3465" s="112">
        <f>IF(H3465="credit",0,IF(AE3465="free",0,IF(AE3465="me",0,IF(G3465&gt;0,(VLOOKUP(A3465,'Discount Lookup'!J:K,2)*G3465),0))))</f>
        <v>0</v>
      </c>
      <c r="AJ3465" s="107" t="str">
        <f t="shared" ca="1" si="2622"/>
        <v/>
      </c>
      <c r="AK3465" s="714" t="str">
        <f t="shared" si="2623"/>
        <v/>
      </c>
      <c r="AL3465" s="714"/>
      <c r="AM3465" s="114" t="str">
        <f t="shared" si="2624"/>
        <v/>
      </c>
      <c r="AN3465" s="115"/>
      <c r="AO3465" s="116"/>
      <c r="AP3465" s="116"/>
      <c r="AQ3465" s="116"/>
      <c r="AR3465" s="116"/>
      <c r="AS3465" s="116"/>
      <c r="AT3465" s="116"/>
      <c r="AU3465" s="116"/>
      <c r="AV3465" s="78"/>
      <c r="AW3465" s="102"/>
      <c r="AX3465" s="78"/>
      <c r="AY3465" s="78"/>
      <c r="AZ3465" s="78"/>
      <c r="BA3465" s="78"/>
      <c r="BB3465" s="78"/>
      <c r="BC3465" s="78"/>
      <c r="BD3465" s="78"/>
      <c r="BE3465" s="465"/>
      <c r="BF3465" s="165" t="str">
        <f t="shared" si="2625"/>
        <v>https://www.google.com/search?tbm=isch&amp;q=15%20G4</v>
      </c>
      <c r="BG3465" s="165" t="str">
        <f t="shared" si="2626"/>
        <v>P</v>
      </c>
      <c r="BH3465" s="65"/>
      <c r="BI3465" s="65"/>
      <c r="BJ3465" s="65"/>
      <c r="BK3465" s="65"/>
      <c r="BL3465" s="99"/>
      <c r="BM3465" s="99"/>
      <c r="BN3465" s="99"/>
    </row>
    <row r="3466" spans="1:66" s="51" customFormat="1" ht="15.75" x14ac:dyDescent="0.25">
      <c r="A3466" s="634">
        <v>65</v>
      </c>
      <c r="B3466" s="635" t="s">
        <v>291</v>
      </c>
      <c r="C3466" s="636" t="s">
        <v>3914</v>
      </c>
      <c r="D3466" s="637" t="s">
        <v>299</v>
      </c>
      <c r="E3466" s="638">
        <v>1004.95</v>
      </c>
      <c r="F3466" s="639" t="s">
        <v>292</v>
      </c>
      <c r="G3466" s="484">
        <v>0</v>
      </c>
      <c r="H3466" s="691" t="str">
        <f>IF(G3466=0,"",IF(F3466="Buy",IF(G3466=1,"plant","plants"),IF(F3466&gt;0.01,"warranty","Error")))</f>
        <v/>
      </c>
      <c r="I3466" s="640">
        <f>IF(H3466="free",0,IF(H3466="credit",((E3466*(F3466))*G3466*-1),IF(F3466="Buy",(E3466*G3466),((E3466*(1-F3466))*G3466))))</f>
        <v>0</v>
      </c>
      <c r="J3466" s="640">
        <f>IF(H3466="warranty",0,(I3466*(_xlfn.SINGLE(SalesTaxPercentage))))</f>
        <v>0</v>
      </c>
      <c r="K3466" s="716">
        <f t="shared" ref="K3466" si="2656">I3466+J3466</f>
        <v>0</v>
      </c>
      <c r="L3466" s="716"/>
      <c r="M3466" s="689" t="str">
        <f ca="1">IF(AND(G3466&gt;0,E3466=0),"WARNING - no PRICE inserted",IF(H3466="free","FREE ~ no charge this plant",IF(H3466="credit",CONCATENATE("-$",ROUND(K3466*(1-_xlfn.SINGLE(T2GDiscount))*-1,2)," CREDIT after discount"),IF(_xlfn.SINGLE(T2GDiscount)=0,"",IF(G3466=0,"",IF(F3466="Buy",CONCATENATE("$",ROUND(K3466*(1-_xlfn.SINGLE(T2GDiscount)),2)," with ",(_xlfn.SINGLE(T2GDiscount)*100),"% discount"),CONCATENATE("$",ROUND(K3466*(1-_xlfn.SINGLE(T2GDiscount)),2)," with ",((_xlfn.SINGLE(T2GDiscount)*100+F3466*100)-(_xlfn.SINGLE(T2GDiscount)*100*F3466)),IF(F3466&gt;0,"% discounts",IF(_xlfn.SINGLE(NoWarrantyDiscount)&gt;0,"% discounts","% discount")))))))))</f>
        <v/>
      </c>
      <c r="N3466" s="690"/>
      <c r="O3466" s="486"/>
      <c r="P3466" s="486"/>
      <c r="Q3466" s="486"/>
      <c r="R3466" s="486"/>
      <c r="S3466" s="486"/>
      <c r="T3466" s="102">
        <f t="shared" si="2614"/>
        <v>0</v>
      </c>
      <c r="U3466" s="78">
        <f>IF(NOT(ISNUMBER(G3466)), "", VLOOKUP(A3466,'Discount Lookup'!D:E,2,FALSE)*G3466)</f>
        <v>0</v>
      </c>
      <c r="V3466" s="78">
        <f>IF(NOT(ISNUMBER(G3466)), "", VLOOKUP(A3466,'Discount Lookup'!G:H,2,FALSE)*G3466)</f>
        <v>0</v>
      </c>
      <c r="W3466" s="102">
        <f t="shared" si="2615"/>
        <v>0</v>
      </c>
      <c r="X3466" s="102">
        <f t="shared" si="2616"/>
        <v>0</v>
      </c>
      <c r="Y3466" s="120" t="b">
        <f t="shared" si="2617"/>
        <v>0</v>
      </c>
      <c r="Z3466" s="117">
        <f t="shared" si="2618"/>
        <v>0</v>
      </c>
      <c r="AA3466" s="118"/>
      <c r="AB3466" s="118" t="str">
        <f t="shared" si="2619"/>
        <v/>
      </c>
      <c r="AC3466" s="712" t="str">
        <f>IF(AE3466="T2G","no charge",IF(AND(OR(PlanterYesMe="No",PlanterYesMe="N",PlanterYesMe="me"),H3466=""),"",IF(H3466="credit","NO install",IF(AND(K3466="",AE3466="me"),"EACH row",IF(AND(K3466="images",AE3466="me"),"EACH row",IF(D3466="","",IF(H3466="credit","",IF(AE3466="free","re-planting",IF(AE3466="me","   not ELP, by",IF(AND(OR(PlanterYesMe="Yes",PlanterYesMe="Y"),G3466&gt;0),(VLOOKUP(A3466,'Discount Lookup'!J:K,2)*G3466*(1-PlanterDiscount)*(1+PlanterDifficultyPercentage)),IF(AE3466="ELP",(VLOOKUP(A3466,'Discount Lookup'!J:K,2)*G3466*(1-PlanterDiscount)*(1+PlanterDifficultyPercentage)),IF(AE3466="free","re-planting",IF(G3466=0,"",IF(PlanterYesMe="",IF(AE3466="me","   not ELP, by",IF(AE3466="",IF(G3466&gt;0,(VLOOKUP(A3466,'Discount Lookup'!J:K,2)*G3466*(1-PlanterDiscount)*(1+PlanterDifficultyPercentage)),""),"")),"   not ELP, by"))))))))))))))</f>
        <v/>
      </c>
      <c r="AD3466" s="712"/>
      <c r="AE3466" s="513" t="str">
        <f t="shared" si="2620"/>
        <v/>
      </c>
      <c r="AF3466" s="713" t="str">
        <f t="shared" si="2621"/>
        <v/>
      </c>
      <c r="AG3466" s="713"/>
      <c r="AH3466" s="713"/>
      <c r="AI3466" s="112">
        <f>IF(H3466="credit",0,IF(AE3466="free",0,IF(AE3466="me",0,IF(G3466&gt;0,(VLOOKUP(A3466,'Discount Lookup'!J:K,2)*G3466),0))))</f>
        <v>0</v>
      </c>
      <c r="AJ3466" s="107" t="str">
        <f t="shared" ca="1" si="2622"/>
        <v/>
      </c>
      <c r="AK3466" s="714" t="str">
        <f t="shared" si="2623"/>
        <v/>
      </c>
      <c r="AL3466" s="714"/>
      <c r="AM3466" s="114" t="str">
        <f t="shared" si="2624"/>
        <v/>
      </c>
      <c r="AN3466" s="115"/>
      <c r="AO3466" s="116"/>
      <c r="AP3466" s="116"/>
      <c r="AQ3466" s="116"/>
      <c r="AR3466" s="116"/>
      <c r="AS3466" s="116"/>
      <c r="AT3466" s="116"/>
      <c r="AU3466" s="116"/>
      <c r="AV3466" s="78"/>
      <c r="AW3466" s="102"/>
      <c r="AX3466" s="78"/>
      <c r="AY3466" s="78"/>
      <c r="AZ3466" s="78"/>
      <c r="BA3466" s="78"/>
      <c r="BB3466" s="78"/>
      <c r="BC3466" s="78"/>
      <c r="BD3466" s="78"/>
      <c r="BE3466" s="465"/>
      <c r="BF3466" s="165" t="str">
        <f t="shared" si="2625"/>
        <v>https://www.google.com/search?tbm=isch&amp;q=65%20G4</v>
      </c>
      <c r="BG3466" s="165" t="str">
        <f t="shared" si="2626"/>
        <v>P</v>
      </c>
      <c r="BH3466" s="65"/>
      <c r="BI3466" s="65"/>
      <c r="BJ3466" s="65"/>
      <c r="BK3466" s="65"/>
      <c r="BL3466" s="99"/>
      <c r="BM3466" s="99"/>
      <c r="BN3466" s="99"/>
    </row>
    <row r="3467" spans="1:66" s="51" customFormat="1" ht="16.5" x14ac:dyDescent="0.25">
      <c r="A3467" s="704" t="s">
        <v>5515</v>
      </c>
      <c r="B3467" s="642"/>
      <c r="C3467" s="710"/>
      <c r="D3467" s="643"/>
      <c r="E3467" s="643"/>
      <c r="F3467" s="644"/>
      <c r="G3467" s="645"/>
      <c r="H3467" s="646"/>
      <c r="I3467" s="647"/>
      <c r="J3467" s="648"/>
      <c r="K3467" s="649"/>
      <c r="L3467" s="650"/>
      <c r="M3467" s="650"/>
      <c r="N3467" s="644"/>
      <c r="O3467" s="644"/>
      <c r="P3467" s="644"/>
      <c r="Q3467" s="644"/>
      <c r="R3467" s="644"/>
      <c r="S3467" s="651"/>
      <c r="T3467" s="102">
        <f t="shared" si="2614"/>
        <v>0</v>
      </c>
      <c r="U3467" s="78" t="str">
        <f>IF(NOT(ISNUMBER(G3467)), "", VLOOKUP(A3467,'Discount Lookup'!D:E,2,FALSE)*G3467)</f>
        <v/>
      </c>
      <c r="V3467" s="78" t="str">
        <f>IF(NOT(ISNUMBER(G3467)), "", VLOOKUP(A3467,'Discount Lookup'!G:H,2,FALSE)*G3467)</f>
        <v/>
      </c>
      <c r="W3467" s="102">
        <f t="shared" si="2615"/>
        <v>0</v>
      </c>
      <c r="X3467" s="102">
        <f t="shared" si="2616"/>
        <v>0</v>
      </c>
      <c r="Y3467" s="120" t="b">
        <f t="shared" si="2617"/>
        <v>0</v>
      </c>
      <c r="Z3467" s="117">
        <f t="shared" si="2618"/>
        <v>0</v>
      </c>
      <c r="AA3467" s="118"/>
      <c r="AB3467" s="118" t="str">
        <f t="shared" si="2619"/>
        <v/>
      </c>
      <c r="AC3467" s="712" t="str">
        <f>IF(AE3467="T2G","no charge",IF(AND(OR(PlanterYesMe="No",PlanterYesMe="N",PlanterYesMe="me"),H3467=""),"",IF(H3467="credit","NO install",IF(AND(K3467="",AE3467="me"),"EACH row",IF(AND(K3467="images",AE3467="me"),"EACH row",IF(D3467="","",IF(H3467="credit","",IF(AE3467="free","re-planting",IF(AE3467="me","   not ELP, by",IF(AND(OR(PlanterYesMe="Yes",PlanterYesMe="Y"),G3467&gt;0),(VLOOKUP(A3467,'Discount Lookup'!J:K,2)*G3467*(1-PlanterDiscount)*(1+PlanterDifficultyPercentage)),IF(AE3467="ELP",(VLOOKUP(A3467,'Discount Lookup'!J:K,2)*G3467*(1-PlanterDiscount)*(1+PlanterDifficultyPercentage)),IF(AE3467="free","re-planting",IF(G3467=0,"",IF(PlanterYesMe="",IF(AE3467="me","   not ELP, by",IF(AE3467="",IF(G3467&gt;0,(VLOOKUP(A3467,'Discount Lookup'!J:K,2)*G3467*(1-PlanterDiscount)*(1+PlanterDifficultyPercentage)),""),"")),"   not ELP, by"))))))))))))))</f>
        <v/>
      </c>
      <c r="AD3467" s="712"/>
      <c r="AE3467" s="513" t="str">
        <f t="shared" si="2620"/>
        <v/>
      </c>
      <c r="AF3467" s="713" t="str">
        <f t="shared" si="2621"/>
        <v/>
      </c>
      <c r="AG3467" s="713"/>
      <c r="AH3467" s="713"/>
      <c r="AI3467" s="112">
        <f>IF(H3467="credit",0,IF(AE3467="free",0,IF(AE3467="me",0,IF(G3467&gt;0,(VLOOKUP(A3467,'Discount Lookup'!J:K,2)*G3467),0))))</f>
        <v>0</v>
      </c>
      <c r="AJ3467" s="107" t="str">
        <f t="shared" ca="1" si="2622"/>
        <v/>
      </c>
      <c r="AK3467" s="714" t="str">
        <f t="shared" si="2623"/>
        <v/>
      </c>
      <c r="AL3467" s="714"/>
      <c r="AM3467" s="114" t="str">
        <f t="shared" si="2624"/>
        <v/>
      </c>
      <c r="AN3467" s="115"/>
      <c r="AO3467" s="116"/>
      <c r="AP3467" s="116"/>
      <c r="AQ3467" s="116"/>
      <c r="AR3467" s="116"/>
      <c r="AS3467" s="116"/>
      <c r="AT3467" s="116"/>
      <c r="AU3467" s="116"/>
      <c r="AV3467" s="78"/>
      <c r="AW3467" s="102"/>
      <c r="AX3467" s="78"/>
      <c r="AY3467" s="78"/>
      <c r="AZ3467" s="78"/>
      <c r="BA3467" s="78"/>
      <c r="BB3467" s="78"/>
      <c r="BC3467" s="78"/>
      <c r="BD3467" s="78"/>
      <c r="BE3467" s="465"/>
      <c r="BF3467" s="165" t="str">
        <f t="shared" si="2625"/>
        <v>https://www.google.com/search?tbm=isch&amp;q=moist%20sites%F0%9F%92%A7GOOD%2C%20Golden%20Larch%20named%20for%20it%27s%20brilliant%20fall%20color.%20Soft%2C%20feathery%20needles.%20Less%20tolerant%20of%20pollution%20than%20other%20conifers%20</v>
      </c>
      <c r="BG3467" s="165" t="str">
        <f t="shared" si="2626"/>
        <v>m</v>
      </c>
      <c r="BH3467" s="65"/>
      <c r="BI3467" s="65"/>
      <c r="BJ3467" s="65"/>
      <c r="BK3467" s="65"/>
      <c r="BL3467" s="99"/>
      <c r="BM3467" s="99"/>
      <c r="BN3467" s="99"/>
    </row>
    <row r="3468" spans="1:66" s="51" customFormat="1" ht="19.5" thickBot="1" x14ac:dyDescent="0.3">
      <c r="A3468" s="686" t="s">
        <v>706</v>
      </c>
      <c r="B3468" s="73"/>
      <c r="C3468" s="708"/>
      <c r="D3468" s="73"/>
      <c r="E3468" s="73"/>
      <c r="F3468" s="496"/>
      <c r="G3468" s="73"/>
      <c r="H3468" s="73"/>
      <c r="I3468" s="73"/>
      <c r="J3468" s="497" t="s">
        <v>357</v>
      </c>
      <c r="K3468" s="498"/>
      <c r="L3468" s="562"/>
      <c r="M3468" s="73"/>
      <c r="N3468"/>
      <c r="O3468"/>
      <c r="P3468"/>
      <c r="Q3468"/>
      <c r="R3468"/>
      <c r="S3468"/>
      <c r="T3468" s="102">
        <f t="shared" si="2614"/>
        <v>0</v>
      </c>
      <c r="U3468" s="78" t="str">
        <f>IF(NOT(ISNUMBER(G3468)), "", VLOOKUP(A3468,'Discount Lookup'!D:E,2,FALSE)*G3468)</f>
        <v/>
      </c>
      <c r="V3468" s="78" t="str">
        <f>IF(NOT(ISNUMBER(G3468)), "", VLOOKUP(A3468,'Discount Lookup'!G:H,2,FALSE)*G3468)</f>
        <v/>
      </c>
      <c r="W3468" s="102">
        <f t="shared" si="2615"/>
        <v>0</v>
      </c>
      <c r="X3468" s="102">
        <f t="shared" si="2616"/>
        <v>0</v>
      </c>
      <c r="Y3468" s="120" t="b">
        <f t="shared" si="2617"/>
        <v>0</v>
      </c>
      <c r="Z3468" s="117">
        <f t="shared" si="2618"/>
        <v>0</v>
      </c>
      <c r="AA3468" s="118"/>
      <c r="AB3468" s="118" t="str">
        <f t="shared" si="2619"/>
        <v/>
      </c>
      <c r="AC3468" s="712" t="str">
        <f>IF(AE3468="T2G","no charge",IF(AND(OR(PlanterYesMe="No",PlanterYesMe="N",PlanterYesMe="me"),H3468=""),"",IF(H3468="credit","NO install",IF(AND(K3468="",AE3468="me"),"EACH row",IF(AND(K3468="images",AE3468="me"),"EACH row",IF(D3468="","",IF(H3468="credit","",IF(AE3468="free","re-planting",IF(AE3468="me","   not ELP, by",IF(AND(OR(PlanterYesMe="Yes",PlanterYesMe="Y"),G3468&gt;0),(VLOOKUP(A3468,'Discount Lookup'!J:K,2)*G3468*(1-PlanterDiscount)*(1+PlanterDifficultyPercentage)),IF(AE3468="ELP",(VLOOKUP(A3468,'Discount Lookup'!J:K,2)*G3468*(1-PlanterDiscount)*(1+PlanterDifficultyPercentage)),IF(AE3468="free","re-planting",IF(G3468=0,"",IF(PlanterYesMe="",IF(AE3468="me","   not ELP, by",IF(AE3468="",IF(G3468&gt;0,(VLOOKUP(A3468,'Discount Lookup'!J:K,2)*G3468*(1-PlanterDiscount)*(1+PlanterDifficultyPercentage)),""),"")),"   not ELP, by"))))))))))))))</f>
        <v/>
      </c>
      <c r="AD3468" s="712"/>
      <c r="AE3468" s="513" t="str">
        <f t="shared" si="2620"/>
        <v/>
      </c>
      <c r="AF3468" s="713" t="str">
        <f t="shared" si="2621"/>
        <v/>
      </c>
      <c r="AG3468" s="713"/>
      <c r="AH3468" s="713"/>
      <c r="AI3468" s="112">
        <f>IF(H3468="credit",0,IF(AE3468="free",0,IF(AE3468="me",0,IF(G3468&gt;0,(VLOOKUP(A3468,'Discount Lookup'!J:K,2)*G3468),0))))</f>
        <v>0</v>
      </c>
      <c r="AJ3468" s="107" t="str">
        <f t="shared" ca="1" si="2622"/>
        <v/>
      </c>
      <c r="AK3468" s="714" t="str">
        <f t="shared" si="2623"/>
        <v/>
      </c>
      <c r="AL3468" s="714"/>
      <c r="AM3468" s="114" t="str">
        <f t="shared" si="2624"/>
        <v/>
      </c>
      <c r="AN3468" s="115"/>
      <c r="AO3468" s="116"/>
      <c r="AP3468" s="116"/>
      <c r="AQ3468" s="116"/>
      <c r="AR3468" s="116"/>
      <c r="AS3468" s="116"/>
      <c r="AT3468" s="116"/>
      <c r="AU3468" s="116"/>
      <c r="AV3468" s="78"/>
      <c r="AW3468" s="102"/>
      <c r="AX3468" s="78"/>
      <c r="AY3468" s="78"/>
      <c r="AZ3468" s="78"/>
      <c r="BA3468" s="78"/>
      <c r="BB3468" s="78"/>
      <c r="BC3468" s="78"/>
      <c r="BD3468" s="78"/>
      <c r="BE3468" s="465"/>
      <c r="BF3468" s="165" t="str">
        <f t="shared" si="2625"/>
        <v>https://www.google.com/search?tbm=isch&amp;q=Punica%20%3D%20Pomegranate%20</v>
      </c>
      <c r="BG3468" s="165" t="str">
        <f t="shared" si="2626"/>
        <v>P</v>
      </c>
      <c r="BH3468" s="65"/>
      <c r="BI3468" s="65"/>
      <c r="BJ3468" s="65"/>
      <c r="BK3468" s="65"/>
      <c r="BL3468" s="99"/>
      <c r="BM3468" s="99"/>
      <c r="BN3468" s="99"/>
    </row>
    <row r="3469" spans="1:66" s="51" customFormat="1" ht="18" x14ac:dyDescent="0.25">
      <c r="A3469" s="623" t="s">
        <v>3915</v>
      </c>
      <c r="B3469" s="624"/>
      <c r="C3469" s="709"/>
      <c r="D3469" s="625" t="s">
        <v>3916</v>
      </c>
      <c r="E3469" s="626"/>
      <c r="F3469" s="626"/>
      <c r="G3469" s="626"/>
      <c r="H3469" s="622" t="s">
        <v>327</v>
      </c>
      <c r="I3469" s="627" t="s">
        <v>1909</v>
      </c>
      <c r="J3469" s="628"/>
      <c r="K3469" s="628"/>
      <c r="L3469" s="629"/>
      <c r="M3469" s="700" t="s">
        <v>5241</v>
      </c>
      <c r="N3469" s="693" t="str">
        <f>IF(AND(ISTEXT($A3469), ISERROR($A3469+0)), HYPERLINK($BF3469, "Images"), "")</f>
        <v>Images</v>
      </c>
      <c r="O3469" s="695" t="s">
        <v>5244</v>
      </c>
      <c r="P3469" s="630"/>
      <c r="Q3469" s="631"/>
      <c r="R3469" s="632"/>
      <c r="S3469" s="633"/>
      <c r="T3469" s="102">
        <f t="shared" si="2614"/>
        <v>0</v>
      </c>
      <c r="U3469" s="78" t="str">
        <f>IF(NOT(ISNUMBER(G3469)), "", VLOOKUP(A3469,'Discount Lookup'!D:E,2,FALSE)*G3469)</f>
        <v/>
      </c>
      <c r="V3469" s="78" t="str">
        <f>IF(NOT(ISNUMBER(G3469)), "", VLOOKUP(A3469,'Discount Lookup'!G:H,2,FALSE)*G3469)</f>
        <v/>
      </c>
      <c r="W3469" s="102">
        <f t="shared" si="2615"/>
        <v>0</v>
      </c>
      <c r="X3469" s="102" t="str">
        <f t="shared" si="2616"/>
        <v>Orange bloom</v>
      </c>
      <c r="Y3469" s="120" t="b">
        <f t="shared" si="2617"/>
        <v>0</v>
      </c>
      <c r="Z3469" s="117">
        <f t="shared" si="2618"/>
        <v>0</v>
      </c>
      <c r="AA3469" s="118"/>
      <c r="AB3469" s="118" t="str">
        <f t="shared" si="2619"/>
        <v/>
      </c>
      <c r="AC3469" s="712" t="str">
        <f>IF(AE3469="T2G","no charge",IF(AND(OR(PlanterYesMe="No",PlanterYesMe="N",PlanterYesMe="me"),H3469=""),"",IF(H3469="credit","NO install",IF(AND(K3469="",AE3469="me"),"EACH row",IF(AND(K3469="images",AE3469="me"),"EACH row",IF(D3469="","",IF(H3469="credit","",IF(AE3469="free","re-planting",IF(AE3469="me","   not ELP, by",IF(AND(OR(PlanterYesMe="Yes",PlanterYesMe="Y"),G3469&gt;0),(VLOOKUP(A3469,'Discount Lookup'!J:K,2)*G3469*(1-PlanterDiscount)*(1+PlanterDifficultyPercentage)),IF(AE3469="ELP",(VLOOKUP(A3469,'Discount Lookup'!J:K,2)*G3469*(1-PlanterDiscount)*(1+PlanterDifficultyPercentage)),IF(AE3469="free","re-planting",IF(G3469=0,"",IF(PlanterYesMe="",IF(AE3469="me","   not ELP, by",IF(AE3469="",IF(G3469&gt;0,(VLOOKUP(A3469,'Discount Lookup'!J:K,2)*G3469*(1-PlanterDiscount)*(1+PlanterDifficultyPercentage)),""),"")),"   not ELP, by"))))))))))))))</f>
        <v/>
      </c>
      <c r="AD3469" s="712"/>
      <c r="AE3469" s="513" t="str">
        <f t="shared" si="2620"/>
        <v/>
      </c>
      <c r="AF3469" s="713" t="str">
        <f t="shared" si="2621"/>
        <v/>
      </c>
      <c r="AG3469" s="713"/>
      <c r="AH3469" s="713"/>
      <c r="AI3469" s="112">
        <f>IF(H3469="credit",0,IF(AE3469="free",0,IF(AE3469="me",0,IF(G3469&gt;0,(VLOOKUP(A3469,'Discount Lookup'!J:K,2)*G3469),0))))</f>
        <v>0</v>
      </c>
      <c r="AJ3469" s="107" t="str">
        <f t="shared" ca="1" si="2622"/>
        <v/>
      </c>
      <c r="AK3469" s="714" t="str">
        <f t="shared" si="2623"/>
        <v/>
      </c>
      <c r="AL3469" s="714"/>
      <c r="AM3469" s="114" t="str">
        <f t="shared" si="2624"/>
        <v/>
      </c>
      <c r="AN3469" s="115"/>
      <c r="AO3469" s="116"/>
      <c r="AP3469" s="116"/>
      <c r="AQ3469" s="116"/>
      <c r="AR3469" s="116"/>
      <c r="AS3469" s="116"/>
      <c r="AT3469" s="116"/>
      <c r="AU3469" s="116"/>
      <c r="AV3469" s="78"/>
      <c r="AW3469" s="102"/>
      <c r="AX3469" s="78"/>
      <c r="AY3469" s="78"/>
      <c r="AZ3469" s="78"/>
      <c r="BA3469" s="78"/>
      <c r="BB3469" s="78"/>
      <c r="BC3469" s="78"/>
      <c r="BD3469" s="78"/>
      <c r="BE3469" s="465"/>
      <c r="BF3469" s="165" t="str">
        <f t="shared" si="2625"/>
        <v>https://www.google.com/search?tbm=isch&amp;q=Punica%20granatum%20Pomegranate</v>
      </c>
      <c r="BG3469" s="165" t="str">
        <f t="shared" si="2626"/>
        <v>P</v>
      </c>
      <c r="BH3469" s="65"/>
      <c r="BI3469" s="65"/>
      <c r="BJ3469" s="65"/>
      <c r="BK3469" s="65"/>
      <c r="BL3469" s="99"/>
      <c r="BM3469" s="99"/>
      <c r="BN3469" s="99"/>
    </row>
    <row r="3470" spans="1:66" s="51" customFormat="1" ht="15.75" x14ac:dyDescent="0.25">
      <c r="A3470" s="634">
        <v>3</v>
      </c>
      <c r="B3470" s="635" t="s">
        <v>291</v>
      </c>
      <c r="C3470" s="636"/>
      <c r="D3470" s="637" t="s">
        <v>329</v>
      </c>
      <c r="E3470" s="638">
        <v>30.95</v>
      </c>
      <c r="F3470" s="639" t="s">
        <v>292</v>
      </c>
      <c r="G3470" s="484">
        <v>0</v>
      </c>
      <c r="H3470" s="691" t="str">
        <f>IF(G3470=0,"",IF(F3470="Buy",IF(G3470=1,"plant","plants"),IF(F3470&gt;0.01,"warranty","Error")))</f>
        <v/>
      </c>
      <c r="I3470" s="640">
        <f>IF(H3470="free",0,IF(H3470="credit",((E3470*(F3470))*G3470*-1),IF(F3470="Buy",(E3470*G3470),((E3470*(1-F3470))*G3470))))</f>
        <v>0</v>
      </c>
      <c r="J3470" s="640">
        <f>IF(H3470="warranty",0,(I3470*(_xlfn.SINGLE(SalesTaxPercentage))))</f>
        <v>0</v>
      </c>
      <c r="K3470" s="716">
        <f t="shared" ref="K3470" si="2657">I3470+J3470</f>
        <v>0</v>
      </c>
      <c r="L3470" s="716"/>
      <c r="M3470" s="689" t="str">
        <f ca="1">IF(AND(G3470&gt;0,E3470=0),"WARNING - no PRICE inserted",IF(H3470="free","FREE ~ no charge this plant",IF(H3470="credit",CONCATENATE("-$",ROUND(K3470*(1-_xlfn.SINGLE(T2GDiscount))*-1,2)," CREDIT after discount"),IF(_xlfn.SINGLE(T2GDiscount)=0,"",IF(G3470=0,"",IF(F3470="Buy",CONCATENATE("$",ROUND(K3470*(1-_xlfn.SINGLE(T2GDiscount)),2)," with ",(_xlfn.SINGLE(T2GDiscount)*100),"% discount"),CONCATENATE("$",ROUND(K3470*(1-_xlfn.SINGLE(T2GDiscount)),2)," with ",((_xlfn.SINGLE(T2GDiscount)*100+F3470*100)-(_xlfn.SINGLE(T2GDiscount)*100*F3470)),IF(F3470&gt;0,"% discounts",IF(_xlfn.SINGLE(NoWarrantyDiscount)&gt;0,"% discounts","% discount")))))))))</f>
        <v/>
      </c>
      <c r="N3470" s="690"/>
      <c r="O3470" s="486"/>
      <c r="P3470" s="486"/>
      <c r="Q3470" s="486"/>
      <c r="R3470" s="486"/>
      <c r="S3470" s="486"/>
      <c r="T3470" s="102">
        <f t="shared" si="2614"/>
        <v>0</v>
      </c>
      <c r="U3470" s="78">
        <f>IF(NOT(ISNUMBER(G3470)), "", VLOOKUP(A3470,'Discount Lookup'!D:E,2,FALSE)*G3470)</f>
        <v>0</v>
      </c>
      <c r="V3470" s="78">
        <f>IF(NOT(ISNUMBER(G3470)), "", VLOOKUP(A3470,'Discount Lookup'!G:H,2,FALSE)*G3470)</f>
        <v>0</v>
      </c>
      <c r="W3470" s="102">
        <f t="shared" si="2615"/>
        <v>0</v>
      </c>
      <c r="X3470" s="102">
        <f t="shared" si="2616"/>
        <v>0</v>
      </c>
      <c r="Y3470" s="120" t="b">
        <f t="shared" si="2617"/>
        <v>0</v>
      </c>
      <c r="Z3470" s="117">
        <f t="shared" si="2618"/>
        <v>0</v>
      </c>
      <c r="AA3470" s="118"/>
      <c r="AB3470" s="118" t="str">
        <f t="shared" si="2619"/>
        <v/>
      </c>
      <c r="AC3470" s="712" t="str">
        <f>IF(AE3470="T2G","no charge",IF(AND(OR(PlanterYesMe="No",PlanterYesMe="N",PlanterYesMe="me"),H3470=""),"",IF(H3470="credit","NO install",IF(AND(K3470="",AE3470="me"),"EACH row",IF(AND(K3470="images",AE3470="me"),"EACH row",IF(D3470="","",IF(H3470="credit","",IF(AE3470="free","re-planting",IF(AE3470="me","   not ELP, by",IF(AND(OR(PlanterYesMe="Yes",PlanterYesMe="Y"),G3470&gt;0),(VLOOKUP(A3470,'Discount Lookup'!J:K,2)*G3470*(1-PlanterDiscount)*(1+PlanterDifficultyPercentage)),IF(AE3470="ELP",(VLOOKUP(A3470,'Discount Lookup'!J:K,2)*G3470*(1-PlanterDiscount)*(1+PlanterDifficultyPercentage)),IF(AE3470="free","re-planting",IF(G3470=0,"",IF(PlanterYesMe="",IF(AE3470="me","   not ELP, by",IF(AE3470="",IF(G3470&gt;0,(VLOOKUP(A3470,'Discount Lookup'!J:K,2)*G3470*(1-PlanterDiscount)*(1+PlanterDifficultyPercentage)),""),"")),"   not ELP, by"))))))))))))))</f>
        <v/>
      </c>
      <c r="AD3470" s="712"/>
      <c r="AE3470" s="513" t="str">
        <f t="shared" si="2620"/>
        <v/>
      </c>
      <c r="AF3470" s="713" t="str">
        <f t="shared" si="2621"/>
        <v/>
      </c>
      <c r="AG3470" s="713"/>
      <c r="AH3470" s="713"/>
      <c r="AI3470" s="112">
        <f>IF(H3470="credit",0,IF(AE3470="free",0,IF(AE3470="me",0,IF(G3470&gt;0,(VLOOKUP(A3470,'Discount Lookup'!J:K,2)*G3470),0))))</f>
        <v>0</v>
      </c>
      <c r="AJ3470" s="107" t="str">
        <f t="shared" ca="1" si="2622"/>
        <v/>
      </c>
      <c r="AK3470" s="714" t="str">
        <f t="shared" si="2623"/>
        <v/>
      </c>
      <c r="AL3470" s="714"/>
      <c r="AM3470" s="114" t="str">
        <f t="shared" si="2624"/>
        <v/>
      </c>
      <c r="AN3470" s="115"/>
      <c r="AO3470" s="116"/>
      <c r="AP3470" s="116"/>
      <c r="AQ3470" s="116"/>
      <c r="AR3470" s="116"/>
      <c r="AS3470" s="116"/>
      <c r="AT3470" s="116"/>
      <c r="AU3470" s="116"/>
      <c r="AV3470" s="78"/>
      <c r="AW3470" s="102"/>
      <c r="AX3470" s="78"/>
      <c r="AY3470" s="78"/>
      <c r="AZ3470" s="78"/>
      <c r="BA3470" s="78"/>
      <c r="BB3470" s="78"/>
      <c r="BC3470" s="78"/>
      <c r="BD3470" s="78"/>
      <c r="BE3470" s="465"/>
      <c r="BF3470" s="165" t="str">
        <f t="shared" si="2625"/>
        <v>https://www.google.com/search?tbm=isch&amp;q=3%20G2</v>
      </c>
      <c r="BG3470" s="165" t="str">
        <f t="shared" si="2626"/>
        <v>P</v>
      </c>
      <c r="BH3470" s="65"/>
      <c r="BI3470" s="65"/>
      <c r="BJ3470" s="65"/>
      <c r="BK3470" s="65"/>
      <c r="BL3470" s="99"/>
      <c r="BM3470" s="99"/>
      <c r="BN3470" s="99"/>
    </row>
    <row r="3471" spans="1:66" s="51" customFormat="1" ht="16.5" x14ac:dyDescent="0.25">
      <c r="A3471" s="641" t="s">
        <v>3917</v>
      </c>
      <c r="B3471" s="642"/>
      <c r="C3471" s="710"/>
      <c r="D3471" s="643"/>
      <c r="E3471" s="643"/>
      <c r="F3471" s="644"/>
      <c r="G3471" s="645"/>
      <c r="H3471" s="646"/>
      <c r="I3471" s="647"/>
      <c r="J3471" s="648"/>
      <c r="K3471" s="649"/>
      <c r="L3471" s="650"/>
      <c r="M3471" s="650"/>
      <c r="N3471" s="644"/>
      <c r="O3471" s="644"/>
      <c r="P3471" s="644"/>
      <c r="Q3471" s="644"/>
      <c r="R3471" s="644"/>
      <c r="S3471" s="701" t="s">
        <v>5251</v>
      </c>
      <c r="T3471" s="102">
        <f t="shared" si="2614"/>
        <v>0</v>
      </c>
      <c r="U3471" s="78" t="str">
        <f>IF(NOT(ISNUMBER(G3471)), "", VLOOKUP(A3471,'Discount Lookup'!D:E,2,FALSE)*G3471)</f>
        <v/>
      </c>
      <c r="V3471" s="78" t="str">
        <f>IF(NOT(ISNUMBER(G3471)), "", VLOOKUP(A3471,'Discount Lookup'!G:H,2,FALSE)*G3471)</f>
        <v/>
      </c>
      <c r="W3471" s="102">
        <f t="shared" si="2615"/>
        <v>0</v>
      </c>
      <c r="X3471" s="102">
        <f t="shared" si="2616"/>
        <v>0</v>
      </c>
      <c r="Y3471" s="120" t="b">
        <f t="shared" si="2617"/>
        <v>0</v>
      </c>
      <c r="Z3471" s="117">
        <f t="shared" si="2618"/>
        <v>0</v>
      </c>
      <c r="AA3471" s="118"/>
      <c r="AB3471" s="118" t="str">
        <f t="shared" si="2619"/>
        <v/>
      </c>
      <c r="AC3471" s="712" t="str">
        <f>IF(AE3471="T2G","no charge",IF(AND(OR(PlanterYesMe="No",PlanterYesMe="N",PlanterYesMe="me"),H3471=""),"",IF(H3471="credit","NO install",IF(AND(K3471="",AE3471="me"),"EACH row",IF(AND(K3471="images",AE3471="me"),"EACH row",IF(D3471="","",IF(H3471="credit","",IF(AE3471="free","re-planting",IF(AE3471="me","   not ELP, by",IF(AND(OR(PlanterYesMe="Yes",PlanterYesMe="Y"),G3471&gt;0),(VLOOKUP(A3471,'Discount Lookup'!J:K,2)*G3471*(1-PlanterDiscount)*(1+PlanterDifficultyPercentage)),IF(AE3471="ELP",(VLOOKUP(A3471,'Discount Lookup'!J:K,2)*G3471*(1-PlanterDiscount)*(1+PlanterDifficultyPercentage)),IF(AE3471="free","re-planting",IF(G3471=0,"",IF(PlanterYesMe="",IF(AE3471="me","   not ELP, by",IF(AE3471="",IF(G3471&gt;0,(VLOOKUP(A3471,'Discount Lookup'!J:K,2)*G3471*(1-PlanterDiscount)*(1+PlanterDifficultyPercentage)),""),"")),"   not ELP, by"))))))))))))))</f>
        <v/>
      </c>
      <c r="AD3471" s="712"/>
      <c r="AE3471" s="513" t="str">
        <f t="shared" si="2620"/>
        <v/>
      </c>
      <c r="AF3471" s="713" t="str">
        <f t="shared" si="2621"/>
        <v/>
      </c>
      <c r="AG3471" s="713"/>
      <c r="AH3471" s="713"/>
      <c r="AI3471" s="112">
        <f>IF(H3471="credit",0,IF(AE3471="free",0,IF(AE3471="me",0,IF(G3471&gt;0,(VLOOKUP(A3471,'Discount Lookup'!J:K,2)*G3471),0))))</f>
        <v>0</v>
      </c>
      <c r="AJ3471" s="107" t="str">
        <f t="shared" ca="1" si="2622"/>
        <v/>
      </c>
      <c r="AK3471" s="714" t="str">
        <f t="shared" si="2623"/>
        <v/>
      </c>
      <c r="AL3471" s="714"/>
      <c r="AM3471" s="114" t="str">
        <f t="shared" si="2624"/>
        <v/>
      </c>
      <c r="AN3471" s="115"/>
      <c r="AO3471" s="116"/>
      <c r="AP3471" s="116"/>
      <c r="AQ3471" s="116"/>
      <c r="AR3471" s="116"/>
      <c r="AS3471" s="116"/>
      <c r="AT3471" s="116"/>
      <c r="AU3471" s="116"/>
      <c r="AV3471" s="78"/>
      <c r="AW3471" s="102"/>
      <c r="AX3471" s="78"/>
      <c r="AY3471" s="78"/>
      <c r="AZ3471" s="78"/>
      <c r="BA3471" s="78"/>
      <c r="BB3471" s="78"/>
      <c r="BC3471" s="78"/>
      <c r="BD3471" s="78"/>
      <c r="BE3471" s="465"/>
      <c r="BF3471" s="165" t="str">
        <f t="shared" si="2625"/>
        <v>https://www.google.com/search?tbm=isch&amp;q=Pomegrnate%20may%20stay%20evergreen%20in%20warmer%20climates.%20Self-pollinates%2C%20but%20better%20with%20cross-pollination%20</v>
      </c>
      <c r="BG3471" s="165" t="str">
        <f t="shared" si="2626"/>
        <v>P</v>
      </c>
      <c r="BH3471" s="65"/>
      <c r="BI3471" s="65"/>
      <c r="BJ3471" s="65"/>
      <c r="BK3471" s="65"/>
      <c r="BL3471" s="99"/>
      <c r="BM3471" s="99"/>
      <c r="BN3471" s="99"/>
    </row>
    <row r="3472" spans="1:66" s="51" customFormat="1" ht="55.5" x14ac:dyDescent="0.25">
      <c r="A3472" s="520" t="s">
        <v>707</v>
      </c>
      <c r="B3472" s="501"/>
      <c r="C3472" s="502"/>
      <c r="D3472" s="502"/>
      <c r="E3472" s="502"/>
      <c r="F3472" s="502"/>
      <c r="G3472" s="502"/>
      <c r="H3472" s="502"/>
      <c r="I3472" s="502"/>
      <c r="J3472" s="502"/>
      <c r="K3472" s="509" t="s">
        <v>871</v>
      </c>
      <c r="L3472" s="503"/>
      <c r="M3472" s="563"/>
      <c r="N3472" s="504"/>
      <c r="O3472" s="504"/>
      <c r="P3472" s="504"/>
      <c r="Q3472" s="504"/>
      <c r="R3472" s="504"/>
      <c r="S3472" s="511" t="s">
        <v>1546</v>
      </c>
      <c r="T3472" s="102">
        <f t="shared" si="2614"/>
        <v>0</v>
      </c>
      <c r="U3472" s="78" t="str">
        <f>IF(NOT(ISNUMBER(G3472)), "", VLOOKUP(A3472,'Discount Lookup'!D:E,2,FALSE)*G3472)</f>
        <v/>
      </c>
      <c r="V3472" s="78" t="str">
        <f>IF(NOT(ISNUMBER(G3472)), "", VLOOKUP(A3472,'Discount Lookup'!G:H,2,FALSE)*G3472)</f>
        <v/>
      </c>
      <c r="W3472" s="102">
        <f t="shared" si="2615"/>
        <v>0</v>
      </c>
      <c r="X3472" s="102">
        <f t="shared" si="2616"/>
        <v>0</v>
      </c>
      <c r="Y3472" s="120" t="b">
        <f t="shared" si="2617"/>
        <v>0</v>
      </c>
      <c r="Z3472" s="117">
        <f t="shared" si="2618"/>
        <v>0</v>
      </c>
      <c r="AA3472" s="118"/>
      <c r="AB3472" s="118" t="str">
        <f t="shared" si="2619"/>
        <v/>
      </c>
      <c r="AC3472" s="712" t="str">
        <f>IF(AE3472="T2G","no charge",IF(AND(OR(PlanterYesMe="No",PlanterYesMe="N",PlanterYesMe="me"),H3472=""),"",IF(H3472="credit","NO install",IF(AND(K3472="",AE3472="me"),"EACH row",IF(AND(K3472="images",AE3472="me"),"EACH row",IF(D3472="","",IF(H3472="credit","",IF(AE3472="free","re-planting",IF(AE3472="me","   not ELP, by",IF(AND(OR(PlanterYesMe="Yes",PlanterYesMe="Y"),G3472&gt;0),(VLOOKUP(A3472,'Discount Lookup'!J:K,2)*G3472*(1-PlanterDiscount)*(1+PlanterDifficultyPercentage)),IF(AE3472="ELP",(VLOOKUP(A3472,'Discount Lookup'!J:K,2)*G3472*(1-PlanterDiscount)*(1+PlanterDifficultyPercentage)),IF(AE3472="free","re-planting",IF(G3472=0,"",IF(PlanterYesMe="",IF(AE3472="me","   not ELP, by",IF(AE3472="",IF(G3472&gt;0,(VLOOKUP(A3472,'Discount Lookup'!J:K,2)*G3472*(1-PlanterDiscount)*(1+PlanterDifficultyPercentage)),""),"")),"   not ELP, by"))))))))))))))</f>
        <v/>
      </c>
      <c r="AD3472" s="712"/>
      <c r="AE3472" s="513" t="str">
        <f t="shared" si="2620"/>
        <v/>
      </c>
      <c r="AF3472" s="713" t="str">
        <f t="shared" si="2621"/>
        <v/>
      </c>
      <c r="AG3472" s="713"/>
      <c r="AH3472" s="713"/>
      <c r="AI3472" s="112">
        <f>IF(H3472="credit",0,IF(AE3472="free",0,IF(AE3472="me",0,IF(G3472&gt;0,(VLOOKUP(A3472,'Discount Lookup'!J:K,2)*G3472),0))))</f>
        <v>0</v>
      </c>
      <c r="AJ3472" s="107" t="str">
        <f t="shared" ca="1" si="2622"/>
        <v/>
      </c>
      <c r="AK3472" s="714" t="str">
        <f t="shared" si="2623"/>
        <v/>
      </c>
      <c r="AL3472" s="714"/>
      <c r="AM3472" s="114" t="str">
        <f t="shared" si="2624"/>
        <v/>
      </c>
      <c r="AN3472" s="115"/>
      <c r="AO3472" s="116"/>
      <c r="AP3472" s="116"/>
      <c r="AQ3472" s="116"/>
      <c r="AR3472" s="116"/>
      <c r="AS3472" s="116"/>
      <c r="AT3472" s="116"/>
      <c r="AU3472" s="116"/>
      <c r="AV3472" s="78"/>
      <c r="AW3472" s="102"/>
      <c r="AX3472" s="78"/>
      <c r="AY3472" s="78"/>
      <c r="AZ3472" s="78"/>
      <c r="BA3472" s="78"/>
      <c r="BB3472" s="78"/>
      <c r="BC3472" s="78"/>
      <c r="BD3472" s="78"/>
      <c r="BE3472" s="465"/>
      <c r="BF3472" s="165" t="str">
        <f t="shared" si="2625"/>
        <v>https://www.google.com/search?tbm=isch&amp;q=Q%20</v>
      </c>
      <c r="BG3472" s="165" t="str">
        <f t="shared" si="2626"/>
        <v>Q</v>
      </c>
      <c r="BH3472" s="65"/>
      <c r="BI3472" s="65"/>
      <c r="BJ3472" s="65"/>
      <c r="BK3472" s="65"/>
      <c r="BL3472" s="99"/>
      <c r="BM3472" s="99"/>
      <c r="BN3472" s="99"/>
    </row>
    <row r="3473" spans="1:66" s="51" customFormat="1" ht="19.5" thickBot="1" x14ac:dyDescent="0.3">
      <c r="A3473" s="686" t="s">
        <v>708</v>
      </c>
      <c r="B3473" s="73"/>
      <c r="C3473" s="708"/>
      <c r="D3473" s="73"/>
      <c r="E3473" s="73"/>
      <c r="F3473" s="496"/>
      <c r="G3473" s="73"/>
      <c r="H3473" s="73"/>
      <c r="I3473" s="73"/>
      <c r="J3473" s="497" t="s">
        <v>357</v>
      </c>
      <c r="K3473" s="498"/>
      <c r="L3473" s="562"/>
      <c r="M3473" s="73"/>
      <c r="N3473"/>
      <c r="O3473"/>
      <c r="P3473"/>
      <c r="Q3473"/>
      <c r="R3473"/>
      <c r="S3473"/>
      <c r="T3473" s="102">
        <f t="shared" si="2614"/>
        <v>0</v>
      </c>
      <c r="U3473" s="78" t="str">
        <f>IF(NOT(ISNUMBER(G3473)), "", VLOOKUP(A3473,'Discount Lookup'!D:E,2,FALSE)*G3473)</f>
        <v/>
      </c>
      <c r="V3473" s="78" t="str">
        <f>IF(NOT(ISNUMBER(G3473)), "", VLOOKUP(A3473,'Discount Lookup'!G:H,2,FALSE)*G3473)</f>
        <v/>
      </c>
      <c r="W3473" s="102">
        <f t="shared" si="2615"/>
        <v>0</v>
      </c>
      <c r="X3473" s="102">
        <f t="shared" si="2616"/>
        <v>0</v>
      </c>
      <c r="Y3473" s="120" t="b">
        <f t="shared" si="2617"/>
        <v>0</v>
      </c>
      <c r="Z3473" s="117">
        <f t="shared" si="2618"/>
        <v>0</v>
      </c>
      <c r="AA3473" s="118"/>
      <c r="AB3473" s="118" t="str">
        <f t="shared" si="2619"/>
        <v/>
      </c>
      <c r="AC3473" s="712" t="str">
        <f>IF(AE3473="T2G","no charge",IF(AND(OR(PlanterYesMe="No",PlanterYesMe="N",PlanterYesMe="me"),H3473=""),"",IF(H3473="credit","NO install",IF(AND(K3473="",AE3473="me"),"EACH row",IF(AND(K3473="images",AE3473="me"),"EACH row",IF(D3473="","",IF(H3473="credit","",IF(AE3473="free","re-planting",IF(AE3473="me","   not ELP, by",IF(AND(OR(PlanterYesMe="Yes",PlanterYesMe="Y"),G3473&gt;0),(VLOOKUP(A3473,'Discount Lookup'!J:K,2)*G3473*(1-PlanterDiscount)*(1+PlanterDifficultyPercentage)),IF(AE3473="ELP",(VLOOKUP(A3473,'Discount Lookup'!J:K,2)*G3473*(1-PlanterDiscount)*(1+PlanterDifficultyPercentage)),IF(AE3473="free","re-planting",IF(G3473=0,"",IF(PlanterYesMe="",IF(AE3473="me","   not ELP, by",IF(AE3473="",IF(G3473&gt;0,(VLOOKUP(A3473,'Discount Lookup'!J:K,2)*G3473*(1-PlanterDiscount)*(1+PlanterDifficultyPercentage)),""),"")),"   not ELP, by"))))))))))))))</f>
        <v/>
      </c>
      <c r="AD3473" s="712"/>
      <c r="AE3473" s="513" t="str">
        <f t="shared" si="2620"/>
        <v/>
      </c>
      <c r="AF3473" s="713" t="str">
        <f t="shared" si="2621"/>
        <v/>
      </c>
      <c r="AG3473" s="713"/>
      <c r="AH3473" s="713"/>
      <c r="AI3473" s="112">
        <f>IF(H3473="credit",0,IF(AE3473="free",0,IF(AE3473="me",0,IF(G3473&gt;0,(VLOOKUP(A3473,'Discount Lookup'!J:K,2)*G3473),0))))</f>
        <v>0</v>
      </c>
      <c r="AJ3473" s="107" t="str">
        <f t="shared" ca="1" si="2622"/>
        <v/>
      </c>
      <c r="AK3473" s="714" t="str">
        <f t="shared" si="2623"/>
        <v/>
      </c>
      <c r="AL3473" s="714"/>
      <c r="AM3473" s="114" t="str">
        <f t="shared" si="2624"/>
        <v/>
      </c>
      <c r="AN3473" s="115"/>
      <c r="AO3473" s="116"/>
      <c r="AP3473" s="116"/>
      <c r="AQ3473" s="116"/>
      <c r="AR3473" s="116"/>
      <c r="AS3473" s="116"/>
      <c r="AT3473" s="116"/>
      <c r="AU3473" s="116"/>
      <c r="AV3473" s="78"/>
      <c r="AW3473" s="102"/>
      <c r="AX3473" s="78"/>
      <c r="AY3473" s="78"/>
      <c r="AZ3473" s="78"/>
      <c r="BA3473" s="78"/>
      <c r="BB3473" s="78"/>
      <c r="BC3473" s="78"/>
      <c r="BD3473" s="78"/>
      <c r="BE3473" s="465"/>
      <c r="BF3473" s="165" t="str">
        <f t="shared" si="2625"/>
        <v>https://www.google.com/search?tbm=isch&amp;q=Quercus%20%3D%20Oak%20</v>
      </c>
      <c r="BG3473" s="165" t="str">
        <f t="shared" si="2626"/>
        <v>Q</v>
      </c>
      <c r="BH3473" s="65"/>
      <c r="BI3473" s="65"/>
      <c r="BJ3473" s="65"/>
      <c r="BK3473" s="65"/>
      <c r="BL3473" s="99"/>
      <c r="BM3473" s="99"/>
      <c r="BN3473" s="99"/>
    </row>
    <row r="3474" spans="1:66" s="51" customFormat="1" ht="18" x14ac:dyDescent="0.25">
      <c r="A3474" s="623" t="s">
        <v>3918</v>
      </c>
      <c r="B3474" s="624"/>
      <c r="C3474" s="709"/>
      <c r="D3474" s="625" t="s">
        <v>3919</v>
      </c>
      <c r="E3474" s="626"/>
      <c r="F3474" s="626"/>
      <c r="G3474" s="626"/>
      <c r="H3474" s="622" t="s">
        <v>3920</v>
      </c>
      <c r="I3474" s="627" t="s">
        <v>431</v>
      </c>
      <c r="J3474" s="628"/>
      <c r="K3474" s="628"/>
      <c r="L3474" s="629"/>
      <c r="M3474" s="700" t="s">
        <v>5241</v>
      </c>
      <c r="N3474" s="693" t="str">
        <f>IF(AND(ISTEXT($A3474), ISERROR($A3474+0)), HYPERLINK($BF3474, "Images"), "")</f>
        <v>Images</v>
      </c>
      <c r="O3474" s="695" t="s">
        <v>5264</v>
      </c>
      <c r="P3474" s="630"/>
      <c r="Q3474" s="631"/>
      <c r="R3474" s="632"/>
      <c r="S3474" s="633" t="s">
        <v>294</v>
      </c>
      <c r="T3474" s="102">
        <f t="shared" si="2614"/>
        <v>0</v>
      </c>
      <c r="U3474" s="78" t="str">
        <f>IF(NOT(ISNUMBER(G3474)), "", VLOOKUP(A3474,'Discount Lookup'!D:E,2,FALSE)*G3474)</f>
        <v/>
      </c>
      <c r="V3474" s="78" t="str">
        <f>IF(NOT(ISNUMBER(G3474)), "", VLOOKUP(A3474,'Discount Lookup'!G:H,2,FALSE)*G3474)</f>
        <v/>
      </c>
      <c r="W3474" s="102">
        <f t="shared" si="2615"/>
        <v>0</v>
      </c>
      <c r="X3474" s="102" t="str">
        <f t="shared" si="2616"/>
        <v>Dark Green foliage</v>
      </c>
      <c r="Y3474" s="120" t="b">
        <f t="shared" si="2617"/>
        <v>0</v>
      </c>
      <c r="Z3474" s="117">
        <f t="shared" si="2618"/>
        <v>0</v>
      </c>
      <c r="AA3474" s="118"/>
      <c r="AB3474" s="118" t="str">
        <f t="shared" si="2619"/>
        <v/>
      </c>
      <c r="AC3474" s="712" t="str">
        <f>IF(AE3474="T2G","no charge",IF(AND(OR(PlanterYesMe="No",PlanterYesMe="N",PlanterYesMe="me"),H3474=""),"",IF(H3474="credit","NO install",IF(AND(K3474="",AE3474="me"),"EACH row",IF(AND(K3474="images",AE3474="me"),"EACH row",IF(D3474="","",IF(H3474="credit","",IF(AE3474="free","re-planting",IF(AE3474="me","   not ELP, by",IF(AND(OR(PlanterYesMe="Yes",PlanterYesMe="Y"),G3474&gt;0),(VLOOKUP(A3474,'Discount Lookup'!J:K,2)*G3474*(1-PlanterDiscount)*(1+PlanterDifficultyPercentage)),IF(AE3474="ELP",(VLOOKUP(A3474,'Discount Lookup'!J:K,2)*G3474*(1-PlanterDiscount)*(1+PlanterDifficultyPercentage)),IF(AE3474="free","re-planting",IF(G3474=0,"",IF(PlanterYesMe="",IF(AE3474="me","   not ELP, by",IF(AE3474="",IF(G3474&gt;0,(VLOOKUP(A3474,'Discount Lookup'!J:K,2)*G3474*(1-PlanterDiscount)*(1+PlanterDifficultyPercentage)),""),"")),"   not ELP, by"))))))))))))))</f>
        <v/>
      </c>
      <c r="AD3474" s="712"/>
      <c r="AE3474" s="513" t="str">
        <f t="shared" si="2620"/>
        <v/>
      </c>
      <c r="AF3474" s="713" t="str">
        <f t="shared" si="2621"/>
        <v/>
      </c>
      <c r="AG3474" s="713"/>
      <c r="AH3474" s="713"/>
      <c r="AI3474" s="112">
        <f>IF(H3474="credit",0,IF(AE3474="free",0,IF(AE3474="me",0,IF(G3474&gt;0,(VLOOKUP(A3474,'Discount Lookup'!J:K,2)*G3474),0))))</f>
        <v>0</v>
      </c>
      <c r="AJ3474" s="107" t="str">
        <f t="shared" ca="1" si="2622"/>
        <v/>
      </c>
      <c r="AK3474" s="714" t="str">
        <f t="shared" si="2623"/>
        <v/>
      </c>
      <c r="AL3474" s="714"/>
      <c r="AM3474" s="114" t="str">
        <f t="shared" si="2624"/>
        <v/>
      </c>
      <c r="AN3474" s="115"/>
      <c r="AO3474" s="116"/>
      <c r="AP3474" s="116"/>
      <c r="AQ3474" s="116"/>
      <c r="AR3474" s="116"/>
      <c r="AS3474" s="116"/>
      <c r="AT3474" s="116"/>
      <c r="AU3474" s="116"/>
      <c r="AV3474" s="78"/>
      <c r="AW3474" s="102"/>
      <c r="AX3474" s="78"/>
      <c r="AY3474" s="78"/>
      <c r="AZ3474" s="78"/>
      <c r="BA3474" s="78"/>
      <c r="BB3474" s="78"/>
      <c r="BC3474" s="78"/>
      <c r="BD3474" s="78"/>
      <c r="BE3474" s="465"/>
      <c r="BF3474" s="165" t="str">
        <f t="shared" si="2625"/>
        <v>https://www.google.com/search?tbm=isch&amp;q=Quercus%20alba%20White%20Oak</v>
      </c>
      <c r="BG3474" s="165" t="str">
        <f t="shared" si="2626"/>
        <v>Q</v>
      </c>
      <c r="BH3474" s="65"/>
      <c r="BI3474" s="65"/>
      <c r="BJ3474" s="65"/>
      <c r="BK3474" s="65"/>
      <c r="BL3474" s="99"/>
      <c r="BM3474" s="99"/>
      <c r="BN3474" s="99"/>
    </row>
    <row r="3475" spans="1:66" s="51" customFormat="1" ht="15.75" x14ac:dyDescent="0.25">
      <c r="A3475" s="634">
        <v>7</v>
      </c>
      <c r="B3475" s="635" t="s">
        <v>291</v>
      </c>
      <c r="C3475" s="636" t="s">
        <v>3921</v>
      </c>
      <c r="D3475" s="637" t="s">
        <v>299</v>
      </c>
      <c r="E3475" s="638">
        <v>109.95</v>
      </c>
      <c r="F3475" s="639" t="s">
        <v>292</v>
      </c>
      <c r="G3475" s="484">
        <v>0</v>
      </c>
      <c r="H3475" s="691" t="str">
        <f>IF(G3475=0,"",IF(F3475="Buy",IF(G3475=1,"plant","plants"),IF(F3475&gt;0.01,"warranty","Error")))</f>
        <v/>
      </c>
      <c r="I3475" s="640">
        <f>IF(H3475="free",0,IF(H3475="credit",((E3475*(F3475))*G3475*-1),IF(F3475="Buy",(E3475*G3475),((E3475*(1-F3475))*G3475))))</f>
        <v>0</v>
      </c>
      <c r="J3475" s="640">
        <f>IF(H3475="warranty",0,(I3475*(_xlfn.SINGLE(SalesTaxPercentage))))</f>
        <v>0</v>
      </c>
      <c r="K3475" s="716">
        <f t="shared" ref="K3475" si="2658">I3475+J3475</f>
        <v>0</v>
      </c>
      <c r="L3475" s="716"/>
      <c r="M3475" s="689" t="str">
        <f ca="1">IF(AND(G3475&gt;0,E3475=0),"WARNING - no PRICE inserted",IF(H3475="free","FREE ~ no charge this plant",IF(H3475="credit",CONCATENATE("-$",ROUND(K3475*(1-_xlfn.SINGLE(T2GDiscount))*-1,2)," CREDIT after discount"),IF(_xlfn.SINGLE(T2GDiscount)=0,"",IF(G3475=0,"",IF(F3475="Buy",CONCATENATE("$",ROUND(K3475*(1-_xlfn.SINGLE(T2GDiscount)),2)," with ",(_xlfn.SINGLE(T2GDiscount)*100),"% discount"),CONCATENATE("$",ROUND(K3475*(1-_xlfn.SINGLE(T2GDiscount)),2)," with ",((_xlfn.SINGLE(T2GDiscount)*100+F3475*100)-(_xlfn.SINGLE(T2GDiscount)*100*F3475)),IF(F3475&gt;0,"% discounts",IF(_xlfn.SINGLE(NoWarrantyDiscount)&gt;0,"% discounts","% discount")))))))))</f>
        <v/>
      </c>
      <c r="N3475" s="690"/>
      <c r="O3475" s="486"/>
      <c r="P3475" s="486"/>
      <c r="Q3475" s="486"/>
      <c r="R3475" s="486"/>
      <c r="S3475" s="486"/>
      <c r="T3475" s="102">
        <f t="shared" si="2614"/>
        <v>0</v>
      </c>
      <c r="U3475" s="78">
        <f>IF(NOT(ISNUMBER(G3475)), "", VLOOKUP(A3475,'Discount Lookup'!D:E,2,FALSE)*G3475)</f>
        <v>0</v>
      </c>
      <c r="V3475" s="78">
        <f>IF(NOT(ISNUMBER(G3475)), "", VLOOKUP(A3475,'Discount Lookup'!G:H,2,FALSE)*G3475)</f>
        <v>0</v>
      </c>
      <c r="W3475" s="102">
        <f t="shared" si="2615"/>
        <v>0</v>
      </c>
      <c r="X3475" s="102">
        <f t="shared" si="2616"/>
        <v>0</v>
      </c>
      <c r="Y3475" s="120" t="b">
        <f t="shared" si="2617"/>
        <v>0</v>
      </c>
      <c r="Z3475" s="117">
        <f t="shared" si="2618"/>
        <v>0</v>
      </c>
      <c r="AA3475" s="118"/>
      <c r="AB3475" s="118" t="str">
        <f t="shared" si="2619"/>
        <v/>
      </c>
      <c r="AC3475" s="712" t="str">
        <f>IF(AE3475="T2G","no charge",IF(AND(OR(PlanterYesMe="No",PlanterYesMe="N",PlanterYesMe="me"),H3475=""),"",IF(H3475="credit","NO install",IF(AND(K3475="",AE3475="me"),"EACH row",IF(AND(K3475="images",AE3475="me"),"EACH row",IF(D3475="","",IF(H3475="credit","",IF(AE3475="free","re-planting",IF(AE3475="me","   not ELP, by",IF(AND(OR(PlanterYesMe="Yes",PlanterYesMe="Y"),G3475&gt;0),(VLOOKUP(A3475,'Discount Lookup'!J:K,2)*G3475*(1-PlanterDiscount)*(1+PlanterDifficultyPercentage)),IF(AE3475="ELP",(VLOOKUP(A3475,'Discount Lookup'!J:K,2)*G3475*(1-PlanterDiscount)*(1+PlanterDifficultyPercentage)),IF(AE3475="free","re-planting",IF(G3475=0,"",IF(PlanterYesMe="",IF(AE3475="me","   not ELP, by",IF(AE3475="",IF(G3475&gt;0,(VLOOKUP(A3475,'Discount Lookup'!J:K,2)*G3475*(1-PlanterDiscount)*(1+PlanterDifficultyPercentage)),""),"")),"   not ELP, by"))))))))))))))</f>
        <v/>
      </c>
      <c r="AD3475" s="712"/>
      <c r="AE3475" s="513" t="str">
        <f t="shared" si="2620"/>
        <v/>
      </c>
      <c r="AF3475" s="713" t="str">
        <f t="shared" si="2621"/>
        <v/>
      </c>
      <c r="AG3475" s="713"/>
      <c r="AH3475" s="713"/>
      <c r="AI3475" s="112">
        <f>IF(H3475="credit",0,IF(AE3475="free",0,IF(AE3475="me",0,IF(G3475&gt;0,(VLOOKUP(A3475,'Discount Lookup'!J:K,2)*G3475),0))))</f>
        <v>0</v>
      </c>
      <c r="AJ3475" s="107" t="str">
        <f t="shared" ca="1" si="2622"/>
        <v/>
      </c>
      <c r="AK3475" s="714" t="str">
        <f t="shared" si="2623"/>
        <v/>
      </c>
      <c r="AL3475" s="714"/>
      <c r="AM3475" s="114" t="str">
        <f t="shared" si="2624"/>
        <v/>
      </c>
      <c r="AN3475" s="115"/>
      <c r="AO3475" s="116"/>
      <c r="AP3475" s="116"/>
      <c r="AQ3475" s="116"/>
      <c r="AR3475" s="116"/>
      <c r="AS3475" s="116"/>
      <c r="AT3475" s="116"/>
      <c r="AU3475" s="116"/>
      <c r="AV3475" s="78"/>
      <c r="AW3475" s="102"/>
      <c r="AX3475" s="78"/>
      <c r="AY3475" s="78"/>
      <c r="AZ3475" s="78"/>
      <c r="BA3475" s="78"/>
      <c r="BB3475" s="78"/>
      <c r="BC3475" s="78"/>
      <c r="BD3475" s="78"/>
      <c r="BE3475" s="465"/>
      <c r="BF3475" s="165" t="str">
        <f t="shared" si="2625"/>
        <v>https://www.google.com/search?tbm=isch&amp;q=7%20G4</v>
      </c>
      <c r="BG3475" s="165" t="str">
        <f t="shared" si="2626"/>
        <v>Q</v>
      </c>
      <c r="BH3475" s="65"/>
      <c r="BI3475" s="65"/>
      <c r="BJ3475" s="65"/>
      <c r="BK3475" s="65"/>
      <c r="BL3475" s="99"/>
      <c r="BM3475" s="99"/>
      <c r="BN3475" s="99"/>
    </row>
    <row r="3476" spans="1:66" s="51" customFormat="1" ht="27" x14ac:dyDescent="0.25">
      <c r="A3476" s="634">
        <v>15</v>
      </c>
      <c r="B3476" s="635" t="s">
        <v>291</v>
      </c>
      <c r="C3476" s="636" t="s">
        <v>3922</v>
      </c>
      <c r="D3476" s="637" t="s">
        <v>299</v>
      </c>
      <c r="E3476" s="638">
        <v>173.95</v>
      </c>
      <c r="F3476" s="639" t="s">
        <v>292</v>
      </c>
      <c r="G3476" s="484">
        <v>0</v>
      </c>
      <c r="H3476" s="691" t="str">
        <f>IF(G3476=0,"",IF(F3476="Buy",IF(G3476=1,"plant","plants"),IF(F3476&gt;0.01,"warranty","Error")))</f>
        <v/>
      </c>
      <c r="I3476" s="640">
        <f>IF(H3476="free",0,IF(H3476="credit",((E3476*(F3476))*G3476*-1),IF(F3476="Buy",(E3476*G3476),((E3476*(1-F3476))*G3476))))</f>
        <v>0</v>
      </c>
      <c r="J3476" s="640">
        <f>IF(H3476="warranty",0,(I3476*(_xlfn.SINGLE(SalesTaxPercentage))))</f>
        <v>0</v>
      </c>
      <c r="K3476" s="716">
        <f t="shared" ref="K3476" si="2659">I3476+J3476</f>
        <v>0</v>
      </c>
      <c r="L3476" s="716"/>
      <c r="M3476" s="689" t="str">
        <f ca="1">IF(AND(G3476&gt;0,E3476=0),"WARNING - no PRICE inserted",IF(H3476="free","FREE ~ no charge this plant",IF(H3476="credit",CONCATENATE("-$",ROUND(K3476*(1-_xlfn.SINGLE(T2GDiscount))*-1,2)," CREDIT after discount"),IF(_xlfn.SINGLE(T2GDiscount)=0,"",IF(G3476=0,"",IF(F3476="Buy",CONCATENATE("$",ROUND(K3476*(1-_xlfn.SINGLE(T2GDiscount)),2)," with ",(_xlfn.SINGLE(T2GDiscount)*100),"% discount"),CONCATENATE("$",ROUND(K3476*(1-_xlfn.SINGLE(T2GDiscount)),2)," with ",((_xlfn.SINGLE(T2GDiscount)*100+F3476*100)-(_xlfn.SINGLE(T2GDiscount)*100*F3476)),IF(F3476&gt;0,"% discounts",IF(_xlfn.SINGLE(NoWarrantyDiscount)&gt;0,"% discounts","% discount")))))))))</f>
        <v/>
      </c>
      <c r="N3476" s="690"/>
      <c r="O3476" s="486"/>
      <c r="P3476" s="486"/>
      <c r="Q3476" s="486"/>
      <c r="R3476" s="486"/>
      <c r="S3476" s="486"/>
      <c r="T3476" s="102">
        <f t="shared" ref="T3476:T3539" si="2660">E3476*G3476</f>
        <v>0</v>
      </c>
      <c r="U3476" s="78">
        <f>IF(NOT(ISNUMBER(G3476)), "", VLOOKUP(A3476,'Discount Lookup'!D:E,2,FALSE)*G3476)</f>
        <v>0</v>
      </c>
      <c r="V3476" s="78">
        <f>IF(NOT(ISNUMBER(G3476)), "", VLOOKUP(A3476,'Discount Lookup'!G:H,2,FALSE)*G3476)</f>
        <v>0</v>
      </c>
      <c r="W3476" s="102">
        <f t="shared" ref="W3476:W3539" si="2661">IF(H3476="credit",0,E3476*(SalesTaxPercentage)*G3476)</f>
        <v>0</v>
      </c>
      <c r="X3476" s="102">
        <f t="shared" ref="X3476:X3539" si="2662">I3476</f>
        <v>0</v>
      </c>
      <c r="Y3476" s="120" t="b">
        <f t="shared" ref="Y3476:Y3539" si="2663">IF(AE3476="T2G",0,IF(H3476="credit",0,IF(G3476&gt;0,IF(AE3476="me","",G3476))))</f>
        <v>0</v>
      </c>
      <c r="Z3476" s="117">
        <f t="shared" ref="Z3476:Z3539" si="2664">IF(H3476="credit",G3476,0)</f>
        <v>0</v>
      </c>
      <c r="AA3476" s="118"/>
      <c r="AB3476" s="118" t="str">
        <f t="shared" ref="AB3476:AB3539" si="2665">IF(AE3476="T2G","by Trees2Go",IF(H3476="credit","CREDIT only ~",IF(AND(K3476="",AE3476=OR(PlanterYesMe="No",PlanterYesMe="N",PlanterYesMe="me")),"not THIS line⇨",IF(AND(K3476="images",AE3476="me"),"not THIS line⇨",IF(H3476="credit","",IF(G3476=0,"",IF(AE3476="me","",IF(OR(PlanterYesMe="No",PlanterYesMe="N",PlanterYesMe="me"),"",IF(AE3476="free","warranty",IF(OR(PlanterYesMe="yes",PlanterYesMe="y"),"Edison install:","to install:"))))))))))</f>
        <v/>
      </c>
      <c r="AC3476" s="712" t="str">
        <f>IF(AE3476="T2G","no charge",IF(AND(OR(PlanterYesMe="No",PlanterYesMe="N",PlanterYesMe="me"),H3476=""),"",IF(H3476="credit","NO install",IF(AND(K3476="",AE3476="me"),"EACH row",IF(AND(K3476="images",AE3476="me"),"EACH row",IF(D3476="","",IF(H3476="credit","",IF(AE3476="free","re-planting",IF(AE3476="me","   not ELP, by",IF(AND(OR(PlanterYesMe="Yes",PlanterYesMe="Y"),G3476&gt;0),(VLOOKUP(A3476,'Discount Lookup'!J:K,2)*G3476*(1-PlanterDiscount)*(1+PlanterDifficultyPercentage)),IF(AE3476="ELP",(VLOOKUP(A3476,'Discount Lookup'!J:K,2)*G3476*(1-PlanterDiscount)*(1+PlanterDifficultyPercentage)),IF(AE3476="free","re-planting",IF(G3476=0,"",IF(PlanterYesMe="",IF(AE3476="me","   not ELP, by",IF(AE3476="",IF(G3476&gt;0,(VLOOKUP(A3476,'Discount Lookup'!J:K,2)*G3476*(1-PlanterDiscount)*(1+PlanterDifficultyPercentage)),""),"")),"   not ELP, by"))))))))))))))</f>
        <v/>
      </c>
      <c r="AD3476" s="712"/>
      <c r="AE3476" s="513" t="str">
        <f t="shared" ref="AE3476:AE3539" si="2666">IF(H3476="credit","",IF(G3476=0,"",IF(OR(PlanterYesMe="No",PlanterYesMe="N",PlanterYesMe="me"),"me",IF(H3476="warranty","free",IF(OR(PlanterYesMe="yes",PlanterYesMe="y"),"ELP","")))))</f>
        <v/>
      </c>
      <c r="AF3476" s="713" t="str">
        <f t="shared" ref="AF3476:AF3539" si="2667">IF(OR(PlanterYesMe="No",PlanterYesMe="N",PlanterYesMe="me"),"",IF(H3476="credit","",IF(G3476&gt;0,(CONCATENATE((G3476)," quantity, ",(A3476)," ",B3476)),"")))</f>
        <v/>
      </c>
      <c r="AG3476" s="713"/>
      <c r="AH3476" s="713"/>
      <c r="AI3476" s="112">
        <f>IF(H3476="credit",0,IF(AE3476="free",0,IF(AE3476="me",0,IF(G3476&gt;0,(VLOOKUP(A3476,'Discount Lookup'!J:K,2)*G3476),0))))</f>
        <v>0</v>
      </c>
      <c r="AJ3476" s="107" t="str">
        <f t="shared" ref="AJ3476:AJ3539" ca="1" si="2668">IF(AND(ISREF(H3476),H3476="credit"),"",IF(AND(AND(OFFSET(G3476,0,0)=0,OFFSET(G3476,1,0)&gt;0,ISNUMBER(OFFSET(AC3476,1,0)),OFFSET(AC3476,1,0)&gt;0),OR(PlanterYesMe="yes",PlanterYesMe="y")),"T2G+ELP=",IF(AND(OFFSET(G3476,0,0)=0,OFFSET(G3476,1,0)&gt;0,ISNUMBER(OFFSET(AC3476,1,0)),OFFSET(AC3476,1,0)&gt;0),"if T2G+ELP=",IF(AND(OFFSET(G3476,0,0)=0,OFFSET(G3476,1,0)&gt;0),"T2G Subtotal",IF(H3476="credit","",IF(G3476=0,"",IF(AE3476="free",(K3476*(1-T2GDiscount)),IF(OR(PlanterYesMe="No",PlanterYesMe="N",PlanterYesMe="me"),(K3476*(1-T2GDiscount)),IF(OR(AE3476="me",AE3476="T2G"),(K3476*(1-T2GDiscount)),(K3476*(1-T2GDiscount))+AC3476)))))))))</f>
        <v/>
      </c>
      <c r="AK3476" s="714" t="str">
        <f t="shared" ref="AK3476:AK3539" si="2669">IF(H3476="credit","",IF(G3476=0,"",IF(OR(AE3476="me",AE3476="T2G"),"  delivery-only",IF(OR(PlanterYesMe="No",PlanterYesMe="N",PlanterYesMe="me"),"  delivery-only",CONCATENATE(" $",ROUND(AJ3476/G3476,2)," each")))))</f>
        <v/>
      </c>
      <c r="AL3476" s="714"/>
      <c r="AM3476" s="114" t="str">
        <f t="shared" ref="AM3476:AM3539" si="2670">IF(H3476="credit","",IF(AE3476="free","      ~ discounts included, no tax or planting fee applies ~",IF(G3476=0,"",IF(OR(PlanterYesMe="No",PlanterYesMe="N",PlanterYesMe="me"),CONCATENATE(" $",ROUND(AJ3476/G3476,2)," per plant, with tax &amp; discount"),IF(OR(AE3476="me",AE3476="T2G"),CONCATENATE(" $",ROUND(AJ3476/G3476,2)," per plant, with tax &amp; discount"),CONCATENATE("= $",ROUND((K3476*(1-T2GDiscount))/G3476,2)," per plant + $",AC3476/G3476,(" per planting      ~ includes tax &amp; discounts ~")))))))</f>
        <v/>
      </c>
      <c r="AN3476" s="115"/>
      <c r="AO3476" s="116"/>
      <c r="AP3476" s="116"/>
      <c r="AQ3476" s="116"/>
      <c r="AR3476" s="116"/>
      <c r="AS3476" s="116"/>
      <c r="AT3476" s="116"/>
      <c r="AU3476" s="116"/>
      <c r="AV3476" s="78"/>
      <c r="AW3476" s="102"/>
      <c r="AX3476" s="78"/>
      <c r="AY3476" s="78"/>
      <c r="AZ3476" s="78"/>
      <c r="BA3476" s="78"/>
      <c r="BB3476" s="78"/>
      <c r="BC3476" s="78"/>
      <c r="BD3476" s="78"/>
      <c r="BE3476" s="465"/>
      <c r="BF3476" s="165" t="str">
        <f t="shared" ref="BF3476:BF3539" si="2671">"https://www.google.com/search?tbm=isch&amp;q=" &amp; _xlfn.ENCODEURL($A3476 &amp; " " &amp; $D3476)</f>
        <v>https://www.google.com/search?tbm=isch&amp;q=15%20G4</v>
      </c>
      <c r="BG3476" s="165" t="str">
        <f t="shared" ref="BG3476:BG3539" si="2672">IF(ISTEXT(A3476),LEFT(A3476,1),BG3475)</f>
        <v>Q</v>
      </c>
      <c r="BH3476" s="65"/>
      <c r="BI3476" s="65"/>
      <c r="BJ3476" s="65"/>
      <c r="BK3476" s="65"/>
      <c r="BL3476" s="99"/>
      <c r="BM3476" s="99"/>
      <c r="BN3476" s="99"/>
    </row>
    <row r="3477" spans="1:66" s="51" customFormat="1" ht="15.75" x14ac:dyDescent="0.25">
      <c r="A3477" s="634">
        <v>25</v>
      </c>
      <c r="B3477" s="635" t="s">
        <v>291</v>
      </c>
      <c r="C3477" s="636" t="s">
        <v>3923</v>
      </c>
      <c r="D3477" s="637" t="s">
        <v>299</v>
      </c>
      <c r="E3477" s="638">
        <v>311.95</v>
      </c>
      <c r="F3477" s="639" t="s">
        <v>292</v>
      </c>
      <c r="G3477" s="484">
        <v>0</v>
      </c>
      <c r="H3477" s="691" t="str">
        <f>IF(G3477=0,"",IF(F3477="Buy",IF(G3477=1,"plant","plants"),IF(F3477&gt;0.01,"warranty","Error")))</f>
        <v/>
      </c>
      <c r="I3477" s="640">
        <f>IF(H3477="free",0,IF(H3477="credit",((E3477*(F3477))*G3477*-1),IF(F3477="Buy",(E3477*G3477),((E3477*(1-F3477))*G3477))))</f>
        <v>0</v>
      </c>
      <c r="J3477" s="640">
        <f>IF(H3477="warranty",0,(I3477*(_xlfn.SINGLE(SalesTaxPercentage))))</f>
        <v>0</v>
      </c>
      <c r="K3477" s="716">
        <f t="shared" ref="K3477" si="2673">I3477+J3477</f>
        <v>0</v>
      </c>
      <c r="L3477" s="716"/>
      <c r="M3477" s="689" t="str">
        <f ca="1">IF(AND(G3477&gt;0,E3477=0),"WARNING - no PRICE inserted",IF(H3477="free","FREE ~ no charge this plant",IF(H3477="credit",CONCATENATE("-$",ROUND(K3477*(1-_xlfn.SINGLE(T2GDiscount))*-1,2)," CREDIT after discount"),IF(_xlfn.SINGLE(T2GDiscount)=0,"",IF(G3477=0,"",IF(F3477="Buy",CONCATENATE("$",ROUND(K3477*(1-_xlfn.SINGLE(T2GDiscount)),2)," with ",(_xlfn.SINGLE(T2GDiscount)*100),"% discount"),CONCATENATE("$",ROUND(K3477*(1-_xlfn.SINGLE(T2GDiscount)),2)," with ",((_xlfn.SINGLE(T2GDiscount)*100+F3477*100)-(_xlfn.SINGLE(T2GDiscount)*100*F3477)),IF(F3477&gt;0,"% discounts",IF(_xlfn.SINGLE(NoWarrantyDiscount)&gt;0,"% discounts","% discount")))))))))</f>
        <v/>
      </c>
      <c r="N3477" s="690"/>
      <c r="O3477" s="486"/>
      <c r="P3477" s="486"/>
      <c r="Q3477" s="486"/>
      <c r="R3477" s="486"/>
      <c r="S3477" s="486"/>
      <c r="T3477" s="102">
        <f t="shared" si="2660"/>
        <v>0</v>
      </c>
      <c r="U3477" s="78">
        <f>IF(NOT(ISNUMBER(G3477)), "", VLOOKUP(A3477,'Discount Lookup'!D:E,2,FALSE)*G3477)</f>
        <v>0</v>
      </c>
      <c r="V3477" s="78">
        <f>IF(NOT(ISNUMBER(G3477)), "", VLOOKUP(A3477,'Discount Lookup'!G:H,2,FALSE)*G3477)</f>
        <v>0</v>
      </c>
      <c r="W3477" s="102">
        <f t="shared" si="2661"/>
        <v>0</v>
      </c>
      <c r="X3477" s="102">
        <f t="shared" si="2662"/>
        <v>0</v>
      </c>
      <c r="Y3477" s="120" t="b">
        <f t="shared" si="2663"/>
        <v>0</v>
      </c>
      <c r="Z3477" s="117">
        <f t="shared" si="2664"/>
        <v>0</v>
      </c>
      <c r="AA3477" s="118"/>
      <c r="AB3477" s="118" t="str">
        <f t="shared" si="2665"/>
        <v/>
      </c>
      <c r="AC3477" s="712" t="str">
        <f>IF(AE3477="T2G","no charge",IF(AND(OR(PlanterYesMe="No",PlanterYesMe="N",PlanterYesMe="me"),H3477=""),"",IF(H3477="credit","NO install",IF(AND(K3477="",AE3477="me"),"EACH row",IF(AND(K3477="images",AE3477="me"),"EACH row",IF(D3477="","",IF(H3477="credit","",IF(AE3477="free","re-planting",IF(AE3477="me","   not ELP, by",IF(AND(OR(PlanterYesMe="Yes",PlanterYesMe="Y"),G3477&gt;0),(VLOOKUP(A3477,'Discount Lookup'!J:K,2)*G3477*(1-PlanterDiscount)*(1+PlanterDifficultyPercentage)),IF(AE3477="ELP",(VLOOKUP(A3477,'Discount Lookup'!J:K,2)*G3477*(1-PlanterDiscount)*(1+PlanterDifficultyPercentage)),IF(AE3477="free","re-planting",IF(G3477=0,"",IF(PlanterYesMe="",IF(AE3477="me","   not ELP, by",IF(AE3477="",IF(G3477&gt;0,(VLOOKUP(A3477,'Discount Lookup'!J:K,2)*G3477*(1-PlanterDiscount)*(1+PlanterDifficultyPercentage)),""),"")),"   not ELP, by"))))))))))))))</f>
        <v/>
      </c>
      <c r="AD3477" s="712"/>
      <c r="AE3477" s="513" t="str">
        <f t="shared" si="2666"/>
        <v/>
      </c>
      <c r="AF3477" s="713" t="str">
        <f t="shared" si="2667"/>
        <v/>
      </c>
      <c r="AG3477" s="713"/>
      <c r="AH3477" s="713"/>
      <c r="AI3477" s="112">
        <f>IF(H3477="credit",0,IF(AE3477="free",0,IF(AE3477="me",0,IF(G3477&gt;0,(VLOOKUP(A3477,'Discount Lookup'!J:K,2)*G3477),0))))</f>
        <v>0</v>
      </c>
      <c r="AJ3477" s="107" t="str">
        <f t="shared" ca="1" si="2668"/>
        <v/>
      </c>
      <c r="AK3477" s="714" t="str">
        <f t="shared" si="2669"/>
        <v/>
      </c>
      <c r="AL3477" s="714"/>
      <c r="AM3477" s="114" t="str">
        <f t="shared" si="2670"/>
        <v/>
      </c>
      <c r="AN3477" s="115"/>
      <c r="AO3477" s="116"/>
      <c r="AP3477" s="116"/>
      <c r="AQ3477" s="116"/>
      <c r="AR3477" s="116"/>
      <c r="AS3477" s="116"/>
      <c r="AT3477" s="116"/>
      <c r="AU3477" s="116"/>
      <c r="AV3477" s="78"/>
      <c r="AW3477" s="102"/>
      <c r="AX3477" s="78"/>
      <c r="AY3477" s="78"/>
      <c r="AZ3477" s="78"/>
      <c r="BA3477" s="78"/>
      <c r="BB3477" s="78"/>
      <c r="BC3477" s="78"/>
      <c r="BD3477" s="78"/>
      <c r="BE3477" s="465"/>
      <c r="BF3477" s="165" t="str">
        <f t="shared" si="2671"/>
        <v>https://www.google.com/search?tbm=isch&amp;q=25%20G4</v>
      </c>
      <c r="BG3477" s="165" t="str">
        <f t="shared" si="2672"/>
        <v>Q</v>
      </c>
      <c r="BH3477" s="65"/>
      <c r="BI3477" s="65"/>
      <c r="BJ3477" s="65"/>
      <c r="BK3477" s="65"/>
      <c r="BL3477" s="99"/>
      <c r="BM3477" s="99"/>
      <c r="BN3477" s="99"/>
    </row>
    <row r="3478" spans="1:66" s="51" customFormat="1" ht="17.25" thickBot="1" x14ac:dyDescent="0.3">
      <c r="A3478" s="641" t="s">
        <v>3924</v>
      </c>
      <c r="B3478" s="642"/>
      <c r="C3478" s="710"/>
      <c r="D3478" s="643"/>
      <c r="E3478" s="643"/>
      <c r="F3478" s="644"/>
      <c r="G3478" s="645"/>
      <c r="H3478" s="646"/>
      <c r="I3478" s="647"/>
      <c r="J3478" s="648"/>
      <c r="K3478" s="649"/>
      <c r="L3478" s="650"/>
      <c r="M3478" s="650"/>
      <c r="N3478" s="644"/>
      <c r="O3478" s="644"/>
      <c r="P3478" s="644"/>
      <c r="Q3478" s="644"/>
      <c r="R3478" s="644"/>
      <c r="S3478" s="701" t="s">
        <v>5253</v>
      </c>
      <c r="T3478" s="102">
        <f t="shared" si="2660"/>
        <v>0</v>
      </c>
      <c r="U3478" s="78" t="str">
        <f>IF(NOT(ISNUMBER(G3478)), "", VLOOKUP(A3478,'Discount Lookup'!D:E,2,FALSE)*G3478)</f>
        <v/>
      </c>
      <c r="V3478" s="78" t="str">
        <f>IF(NOT(ISNUMBER(G3478)), "", VLOOKUP(A3478,'Discount Lookup'!G:H,2,FALSE)*G3478)</f>
        <v/>
      </c>
      <c r="W3478" s="102">
        <f t="shared" si="2661"/>
        <v>0</v>
      </c>
      <c r="X3478" s="102">
        <f t="shared" si="2662"/>
        <v>0</v>
      </c>
      <c r="Y3478" s="120" t="b">
        <f t="shared" si="2663"/>
        <v>0</v>
      </c>
      <c r="Z3478" s="117">
        <f t="shared" si="2664"/>
        <v>0</v>
      </c>
      <c r="AA3478" s="118"/>
      <c r="AB3478" s="118" t="str">
        <f t="shared" si="2665"/>
        <v/>
      </c>
      <c r="AC3478" s="712" t="str">
        <f>IF(AE3478="T2G","no charge",IF(AND(OR(PlanterYesMe="No",PlanterYesMe="N",PlanterYesMe="me"),H3478=""),"",IF(H3478="credit","NO install",IF(AND(K3478="",AE3478="me"),"EACH row",IF(AND(K3478="images",AE3478="me"),"EACH row",IF(D3478="","",IF(H3478="credit","",IF(AE3478="free","re-planting",IF(AE3478="me","   not ELP, by",IF(AND(OR(PlanterYesMe="Yes",PlanterYesMe="Y"),G3478&gt;0),(VLOOKUP(A3478,'Discount Lookup'!J:K,2)*G3478*(1-PlanterDiscount)*(1+PlanterDifficultyPercentage)),IF(AE3478="ELP",(VLOOKUP(A3478,'Discount Lookup'!J:K,2)*G3478*(1-PlanterDiscount)*(1+PlanterDifficultyPercentage)),IF(AE3478="free","re-planting",IF(G3478=0,"",IF(PlanterYesMe="",IF(AE3478="me","   not ELP, by",IF(AE3478="",IF(G3478&gt;0,(VLOOKUP(A3478,'Discount Lookup'!J:K,2)*G3478*(1-PlanterDiscount)*(1+PlanterDifficultyPercentage)),""),"")),"   not ELP, by"))))))))))))))</f>
        <v/>
      </c>
      <c r="AD3478" s="712"/>
      <c r="AE3478" s="513" t="str">
        <f t="shared" si="2666"/>
        <v/>
      </c>
      <c r="AF3478" s="713" t="str">
        <f t="shared" si="2667"/>
        <v/>
      </c>
      <c r="AG3478" s="713"/>
      <c r="AH3478" s="713"/>
      <c r="AI3478" s="112">
        <f>IF(H3478="credit",0,IF(AE3478="free",0,IF(AE3478="me",0,IF(G3478&gt;0,(VLOOKUP(A3478,'Discount Lookup'!J:K,2)*G3478),0))))</f>
        <v>0</v>
      </c>
      <c r="AJ3478" s="107" t="str">
        <f t="shared" ca="1" si="2668"/>
        <v/>
      </c>
      <c r="AK3478" s="714" t="str">
        <f t="shared" si="2669"/>
        <v/>
      </c>
      <c r="AL3478" s="714"/>
      <c r="AM3478" s="114" t="str">
        <f t="shared" si="2670"/>
        <v/>
      </c>
      <c r="AN3478" s="115"/>
      <c r="AO3478" s="116"/>
      <c r="AP3478" s="116"/>
      <c r="AQ3478" s="116"/>
      <c r="AR3478" s="116"/>
      <c r="AS3478" s="116"/>
      <c r="AT3478" s="116"/>
      <c r="AU3478" s="116"/>
      <c r="AV3478" s="78"/>
      <c r="AW3478" s="102"/>
      <c r="AX3478" s="78"/>
      <c r="AY3478" s="78"/>
      <c r="AZ3478" s="78"/>
      <c r="BA3478" s="78"/>
      <c r="BB3478" s="78"/>
      <c r="BC3478" s="78"/>
      <c r="BD3478" s="78"/>
      <c r="BE3478" s="465"/>
      <c r="BF3478" s="165" t="str">
        <f t="shared" si="2671"/>
        <v>https://www.google.com/search?tbm=isch&amp;q=White%20Oak%20have%20very%20few%20surface%20roots%2C%20making%20it%20better%20for%20lawns%20%28except%20for%20the%20acorns%21%29.%20Long-lived%2C%20up%20to%20500%20years%20</v>
      </c>
      <c r="BG3478" s="165" t="str">
        <f t="shared" si="2672"/>
        <v>W</v>
      </c>
      <c r="BH3478" s="65"/>
      <c r="BI3478" s="65"/>
      <c r="BJ3478" s="65"/>
      <c r="BK3478" s="65"/>
      <c r="BL3478" s="99"/>
      <c r="BM3478" s="99"/>
      <c r="BN3478" s="99"/>
    </row>
    <row r="3479" spans="1:66" s="51" customFormat="1" ht="18" x14ac:dyDescent="0.25">
      <c r="A3479" s="623" t="s">
        <v>3925</v>
      </c>
      <c r="B3479" s="624"/>
      <c r="C3479" s="709"/>
      <c r="D3479" s="625" t="s">
        <v>3926</v>
      </c>
      <c r="E3479" s="626"/>
      <c r="F3479" s="626"/>
      <c r="G3479" s="626"/>
      <c r="H3479" s="622" t="s">
        <v>3927</v>
      </c>
      <c r="I3479" s="627" t="s">
        <v>431</v>
      </c>
      <c r="J3479" s="628"/>
      <c r="K3479" s="628"/>
      <c r="L3479" s="629"/>
      <c r="M3479" s="700" t="s">
        <v>5241</v>
      </c>
      <c r="N3479" s="693" t="str">
        <f>IF(AND(ISTEXT($A3479), ISERROR($A3479+0)), HYPERLINK($BF3479, "Images"), "")</f>
        <v>Images</v>
      </c>
      <c r="O3479" s="695" t="s">
        <v>5264</v>
      </c>
      <c r="P3479" s="630"/>
      <c r="Q3479" s="631"/>
      <c r="R3479" s="632"/>
      <c r="S3479" s="633" t="s">
        <v>294</v>
      </c>
      <c r="T3479" s="102">
        <f t="shared" si="2660"/>
        <v>0</v>
      </c>
      <c r="U3479" s="78" t="str">
        <f>IF(NOT(ISNUMBER(G3479)), "", VLOOKUP(A3479,'Discount Lookup'!D:E,2,FALSE)*G3479)</f>
        <v/>
      </c>
      <c r="V3479" s="78" t="str">
        <f>IF(NOT(ISNUMBER(G3479)), "", VLOOKUP(A3479,'Discount Lookup'!G:H,2,FALSE)*G3479)</f>
        <v/>
      </c>
      <c r="W3479" s="102">
        <f t="shared" si="2661"/>
        <v>0</v>
      </c>
      <c r="X3479" s="102" t="str">
        <f t="shared" si="2662"/>
        <v>Dark Green foliage</v>
      </c>
      <c r="Y3479" s="120" t="b">
        <f t="shared" si="2663"/>
        <v>0</v>
      </c>
      <c r="Z3479" s="117">
        <f t="shared" si="2664"/>
        <v>0</v>
      </c>
      <c r="AA3479" s="118"/>
      <c r="AB3479" s="118" t="str">
        <f t="shared" si="2665"/>
        <v/>
      </c>
      <c r="AC3479" s="712" t="str">
        <f>IF(AE3479="T2G","no charge",IF(AND(OR(PlanterYesMe="No",PlanterYesMe="N",PlanterYesMe="me"),H3479=""),"",IF(H3479="credit","NO install",IF(AND(K3479="",AE3479="me"),"EACH row",IF(AND(K3479="images",AE3479="me"),"EACH row",IF(D3479="","",IF(H3479="credit","",IF(AE3479="free","re-planting",IF(AE3479="me","   not ELP, by",IF(AND(OR(PlanterYesMe="Yes",PlanterYesMe="Y"),G3479&gt;0),(VLOOKUP(A3479,'Discount Lookup'!J:K,2)*G3479*(1-PlanterDiscount)*(1+PlanterDifficultyPercentage)),IF(AE3479="ELP",(VLOOKUP(A3479,'Discount Lookup'!J:K,2)*G3479*(1-PlanterDiscount)*(1+PlanterDifficultyPercentage)),IF(AE3479="free","re-planting",IF(G3479=0,"",IF(PlanterYesMe="",IF(AE3479="me","   not ELP, by",IF(AE3479="",IF(G3479&gt;0,(VLOOKUP(A3479,'Discount Lookup'!J:K,2)*G3479*(1-PlanterDiscount)*(1+PlanterDifficultyPercentage)),""),"")),"   not ELP, by"))))))))))))))</f>
        <v/>
      </c>
      <c r="AD3479" s="712"/>
      <c r="AE3479" s="513" t="str">
        <f t="shared" si="2666"/>
        <v/>
      </c>
      <c r="AF3479" s="713" t="str">
        <f t="shared" si="2667"/>
        <v/>
      </c>
      <c r="AG3479" s="713"/>
      <c r="AH3479" s="713"/>
      <c r="AI3479" s="112">
        <f>IF(H3479="credit",0,IF(AE3479="free",0,IF(AE3479="me",0,IF(G3479&gt;0,(VLOOKUP(A3479,'Discount Lookup'!J:K,2)*G3479),0))))</f>
        <v>0</v>
      </c>
      <c r="AJ3479" s="107" t="str">
        <f t="shared" ca="1" si="2668"/>
        <v/>
      </c>
      <c r="AK3479" s="714" t="str">
        <f t="shared" si="2669"/>
        <v/>
      </c>
      <c r="AL3479" s="714"/>
      <c r="AM3479" s="114" t="str">
        <f t="shared" si="2670"/>
        <v/>
      </c>
      <c r="AN3479" s="115"/>
      <c r="AO3479" s="116"/>
      <c r="AP3479" s="116"/>
      <c r="AQ3479" s="116"/>
      <c r="AR3479" s="116"/>
      <c r="AS3479" s="116"/>
      <c r="AT3479" s="116"/>
      <c r="AU3479" s="116"/>
      <c r="AV3479" s="78"/>
      <c r="AW3479" s="102"/>
      <c r="AX3479" s="78"/>
      <c r="AY3479" s="78"/>
      <c r="AZ3479" s="78"/>
      <c r="BA3479" s="78"/>
      <c r="BB3479" s="78"/>
      <c r="BC3479" s="78"/>
      <c r="BD3479" s="78"/>
      <c r="BE3479" s="465"/>
      <c r="BF3479" s="165" t="str">
        <f t="shared" si="2671"/>
        <v>https://www.google.com/search?tbm=isch&amp;q=Quercus%20bicolor%20Swamp%20White%20Oak</v>
      </c>
      <c r="BG3479" s="165" t="str">
        <f t="shared" si="2672"/>
        <v>Q</v>
      </c>
      <c r="BH3479" s="65"/>
      <c r="BI3479" s="65"/>
      <c r="BJ3479" s="65"/>
      <c r="BK3479" s="65"/>
      <c r="BL3479" s="99"/>
      <c r="BM3479" s="99"/>
      <c r="BN3479" s="99"/>
    </row>
    <row r="3480" spans="1:66" s="51" customFormat="1" ht="15.75" x14ac:dyDescent="0.25">
      <c r="A3480" s="634">
        <v>7</v>
      </c>
      <c r="B3480" s="635" t="s">
        <v>291</v>
      </c>
      <c r="C3480" s="636" t="s">
        <v>3928</v>
      </c>
      <c r="D3480" s="637" t="s">
        <v>299</v>
      </c>
      <c r="E3480" s="638">
        <v>100.95</v>
      </c>
      <c r="F3480" s="639" t="s">
        <v>292</v>
      </c>
      <c r="G3480" s="484">
        <v>0</v>
      </c>
      <c r="H3480" s="691" t="str">
        <f>IF(G3480=0,"",IF(F3480="Buy",IF(G3480=1,"plant","plants"),IF(F3480&gt;0.01,"warranty","Error")))</f>
        <v/>
      </c>
      <c r="I3480" s="640">
        <f>IF(H3480="free",0,IF(H3480="credit",((E3480*(F3480))*G3480*-1),IF(F3480="Buy",(E3480*G3480),((E3480*(1-F3480))*G3480))))</f>
        <v>0</v>
      </c>
      <c r="J3480" s="640">
        <f>IF(H3480="warranty",0,(I3480*(_xlfn.SINGLE(SalesTaxPercentage))))</f>
        <v>0</v>
      </c>
      <c r="K3480" s="716">
        <f t="shared" ref="K3480" si="2674">I3480+J3480</f>
        <v>0</v>
      </c>
      <c r="L3480" s="716"/>
      <c r="M3480" s="689" t="str">
        <f ca="1">IF(AND(G3480&gt;0,E3480=0),"WARNING - no PRICE inserted",IF(H3480="free","FREE ~ no charge this plant",IF(H3480="credit",CONCATENATE("-$",ROUND(K3480*(1-_xlfn.SINGLE(T2GDiscount))*-1,2)," CREDIT after discount"),IF(_xlfn.SINGLE(T2GDiscount)=0,"",IF(G3480=0,"",IF(F3480="Buy",CONCATENATE("$",ROUND(K3480*(1-_xlfn.SINGLE(T2GDiscount)),2)," with ",(_xlfn.SINGLE(T2GDiscount)*100),"% discount"),CONCATENATE("$",ROUND(K3480*(1-_xlfn.SINGLE(T2GDiscount)),2)," with ",((_xlfn.SINGLE(T2GDiscount)*100+F3480*100)-(_xlfn.SINGLE(T2GDiscount)*100*F3480)),IF(F3480&gt;0,"% discounts",IF(_xlfn.SINGLE(NoWarrantyDiscount)&gt;0,"% discounts","% discount")))))))))</f>
        <v/>
      </c>
      <c r="N3480" s="690"/>
      <c r="O3480" s="486"/>
      <c r="P3480" s="486"/>
      <c r="Q3480" s="486"/>
      <c r="R3480" s="486"/>
      <c r="S3480" s="486"/>
      <c r="T3480" s="102">
        <f t="shared" si="2660"/>
        <v>0</v>
      </c>
      <c r="U3480" s="78">
        <f>IF(NOT(ISNUMBER(G3480)), "", VLOOKUP(A3480,'Discount Lookup'!D:E,2,FALSE)*G3480)</f>
        <v>0</v>
      </c>
      <c r="V3480" s="78">
        <f>IF(NOT(ISNUMBER(G3480)), "", VLOOKUP(A3480,'Discount Lookup'!G:H,2,FALSE)*G3480)</f>
        <v>0</v>
      </c>
      <c r="W3480" s="102">
        <f t="shared" si="2661"/>
        <v>0</v>
      </c>
      <c r="X3480" s="102">
        <f t="shared" si="2662"/>
        <v>0</v>
      </c>
      <c r="Y3480" s="120" t="b">
        <f t="shared" si="2663"/>
        <v>0</v>
      </c>
      <c r="Z3480" s="117">
        <f t="shared" si="2664"/>
        <v>0</v>
      </c>
      <c r="AA3480" s="118"/>
      <c r="AB3480" s="118" t="str">
        <f t="shared" si="2665"/>
        <v/>
      </c>
      <c r="AC3480" s="712" t="str">
        <f>IF(AE3480="T2G","no charge",IF(AND(OR(PlanterYesMe="No",PlanterYesMe="N",PlanterYesMe="me"),H3480=""),"",IF(H3480="credit","NO install",IF(AND(K3480="",AE3480="me"),"EACH row",IF(AND(K3480="images",AE3480="me"),"EACH row",IF(D3480="","",IF(H3480="credit","",IF(AE3480="free","re-planting",IF(AE3480="me","   not ELP, by",IF(AND(OR(PlanterYesMe="Yes",PlanterYesMe="Y"),G3480&gt;0),(VLOOKUP(A3480,'Discount Lookup'!J:K,2)*G3480*(1-PlanterDiscount)*(1+PlanterDifficultyPercentage)),IF(AE3480="ELP",(VLOOKUP(A3480,'Discount Lookup'!J:K,2)*G3480*(1-PlanterDiscount)*(1+PlanterDifficultyPercentage)),IF(AE3480="free","re-planting",IF(G3480=0,"",IF(PlanterYesMe="",IF(AE3480="me","   not ELP, by",IF(AE3480="",IF(G3480&gt;0,(VLOOKUP(A3480,'Discount Lookup'!J:K,2)*G3480*(1-PlanterDiscount)*(1+PlanterDifficultyPercentage)),""),"")),"   not ELP, by"))))))))))))))</f>
        <v/>
      </c>
      <c r="AD3480" s="712"/>
      <c r="AE3480" s="513" t="str">
        <f t="shared" si="2666"/>
        <v/>
      </c>
      <c r="AF3480" s="713" t="str">
        <f t="shared" si="2667"/>
        <v/>
      </c>
      <c r="AG3480" s="713"/>
      <c r="AH3480" s="713"/>
      <c r="AI3480" s="112">
        <f>IF(H3480="credit",0,IF(AE3480="free",0,IF(AE3480="me",0,IF(G3480&gt;0,(VLOOKUP(A3480,'Discount Lookup'!J:K,2)*G3480),0))))</f>
        <v>0</v>
      </c>
      <c r="AJ3480" s="107" t="str">
        <f t="shared" ca="1" si="2668"/>
        <v/>
      </c>
      <c r="AK3480" s="714" t="str">
        <f t="shared" si="2669"/>
        <v/>
      </c>
      <c r="AL3480" s="714"/>
      <c r="AM3480" s="114" t="str">
        <f t="shared" si="2670"/>
        <v/>
      </c>
      <c r="AN3480" s="115"/>
      <c r="AO3480" s="116"/>
      <c r="AP3480" s="116"/>
      <c r="AQ3480" s="116"/>
      <c r="AR3480" s="116"/>
      <c r="AS3480" s="116"/>
      <c r="AT3480" s="116"/>
      <c r="AU3480" s="116"/>
      <c r="AV3480" s="78"/>
      <c r="AW3480" s="102"/>
      <c r="AX3480" s="78"/>
      <c r="AY3480" s="78"/>
      <c r="AZ3480" s="78"/>
      <c r="BA3480" s="78"/>
      <c r="BB3480" s="78"/>
      <c r="BC3480" s="78"/>
      <c r="BD3480" s="78"/>
      <c r="BE3480" s="465"/>
      <c r="BF3480" s="165" t="str">
        <f t="shared" si="2671"/>
        <v>https://www.google.com/search?tbm=isch&amp;q=7%20G4</v>
      </c>
      <c r="BG3480" s="165" t="str">
        <f t="shared" si="2672"/>
        <v>Q</v>
      </c>
      <c r="BH3480" s="65"/>
      <c r="BI3480" s="65"/>
      <c r="BJ3480" s="65"/>
      <c r="BK3480" s="65"/>
      <c r="BL3480" s="99"/>
      <c r="BM3480" s="99"/>
      <c r="BN3480" s="99"/>
    </row>
    <row r="3481" spans="1:66" s="51" customFormat="1" ht="27" x14ac:dyDescent="0.25">
      <c r="A3481" s="634">
        <v>15</v>
      </c>
      <c r="B3481" s="635" t="s">
        <v>291</v>
      </c>
      <c r="C3481" s="636" t="s">
        <v>3929</v>
      </c>
      <c r="D3481" s="637" t="s">
        <v>299</v>
      </c>
      <c r="E3481" s="638">
        <v>178.95</v>
      </c>
      <c r="F3481" s="639" t="s">
        <v>292</v>
      </c>
      <c r="G3481" s="484">
        <v>0</v>
      </c>
      <c r="H3481" s="691" t="str">
        <f>IF(G3481=0,"",IF(F3481="Buy",IF(G3481=1,"plant","plants"),IF(F3481&gt;0.01,"warranty","Error")))</f>
        <v/>
      </c>
      <c r="I3481" s="640">
        <f>IF(H3481="free",0,IF(H3481="credit",((E3481*(F3481))*G3481*-1),IF(F3481="Buy",(E3481*G3481),((E3481*(1-F3481))*G3481))))</f>
        <v>0</v>
      </c>
      <c r="J3481" s="640">
        <f>IF(H3481="warranty",0,(I3481*(_xlfn.SINGLE(SalesTaxPercentage))))</f>
        <v>0</v>
      </c>
      <c r="K3481" s="716">
        <f t="shared" ref="K3481" si="2675">I3481+J3481</f>
        <v>0</v>
      </c>
      <c r="L3481" s="716"/>
      <c r="M3481" s="689" t="str">
        <f ca="1">IF(AND(G3481&gt;0,E3481=0),"WARNING - no PRICE inserted",IF(H3481="free","FREE ~ no charge this plant",IF(H3481="credit",CONCATENATE("-$",ROUND(K3481*(1-_xlfn.SINGLE(T2GDiscount))*-1,2)," CREDIT after discount"),IF(_xlfn.SINGLE(T2GDiscount)=0,"",IF(G3481=0,"",IF(F3481="Buy",CONCATENATE("$",ROUND(K3481*(1-_xlfn.SINGLE(T2GDiscount)),2)," with ",(_xlfn.SINGLE(T2GDiscount)*100),"% discount"),CONCATENATE("$",ROUND(K3481*(1-_xlfn.SINGLE(T2GDiscount)),2)," with ",((_xlfn.SINGLE(T2GDiscount)*100+F3481*100)-(_xlfn.SINGLE(T2GDiscount)*100*F3481)),IF(F3481&gt;0,"% discounts",IF(_xlfn.SINGLE(NoWarrantyDiscount)&gt;0,"% discounts","% discount")))))))))</f>
        <v/>
      </c>
      <c r="N3481" s="690"/>
      <c r="O3481" s="486"/>
      <c r="P3481" s="486"/>
      <c r="Q3481" s="486"/>
      <c r="R3481" s="486"/>
      <c r="S3481" s="486"/>
      <c r="T3481" s="102">
        <f t="shared" si="2660"/>
        <v>0</v>
      </c>
      <c r="U3481" s="78">
        <f>IF(NOT(ISNUMBER(G3481)), "", VLOOKUP(A3481,'Discount Lookup'!D:E,2,FALSE)*G3481)</f>
        <v>0</v>
      </c>
      <c r="V3481" s="78">
        <f>IF(NOT(ISNUMBER(G3481)), "", VLOOKUP(A3481,'Discount Lookup'!G:H,2,FALSE)*G3481)</f>
        <v>0</v>
      </c>
      <c r="W3481" s="102">
        <f t="shared" si="2661"/>
        <v>0</v>
      </c>
      <c r="X3481" s="102">
        <f t="shared" si="2662"/>
        <v>0</v>
      </c>
      <c r="Y3481" s="120" t="b">
        <f t="shared" si="2663"/>
        <v>0</v>
      </c>
      <c r="Z3481" s="117">
        <f t="shared" si="2664"/>
        <v>0</v>
      </c>
      <c r="AA3481" s="118"/>
      <c r="AB3481" s="118" t="str">
        <f t="shared" si="2665"/>
        <v/>
      </c>
      <c r="AC3481" s="712" t="str">
        <f>IF(AE3481="T2G","no charge",IF(AND(OR(PlanterYesMe="No",PlanterYesMe="N",PlanterYesMe="me"),H3481=""),"",IF(H3481="credit","NO install",IF(AND(K3481="",AE3481="me"),"EACH row",IF(AND(K3481="images",AE3481="me"),"EACH row",IF(D3481="","",IF(H3481="credit","",IF(AE3481="free","re-planting",IF(AE3481="me","   not ELP, by",IF(AND(OR(PlanterYesMe="Yes",PlanterYesMe="Y"),G3481&gt;0),(VLOOKUP(A3481,'Discount Lookup'!J:K,2)*G3481*(1-PlanterDiscount)*(1+PlanterDifficultyPercentage)),IF(AE3481="ELP",(VLOOKUP(A3481,'Discount Lookup'!J:K,2)*G3481*(1-PlanterDiscount)*(1+PlanterDifficultyPercentage)),IF(AE3481="free","re-planting",IF(G3481=0,"",IF(PlanterYesMe="",IF(AE3481="me","   not ELP, by",IF(AE3481="",IF(G3481&gt;0,(VLOOKUP(A3481,'Discount Lookup'!J:K,2)*G3481*(1-PlanterDiscount)*(1+PlanterDifficultyPercentage)),""),"")),"   not ELP, by"))))))))))))))</f>
        <v/>
      </c>
      <c r="AD3481" s="712"/>
      <c r="AE3481" s="513" t="str">
        <f t="shared" si="2666"/>
        <v/>
      </c>
      <c r="AF3481" s="713" t="str">
        <f t="shared" si="2667"/>
        <v/>
      </c>
      <c r="AG3481" s="713"/>
      <c r="AH3481" s="713"/>
      <c r="AI3481" s="112">
        <f>IF(H3481="credit",0,IF(AE3481="free",0,IF(AE3481="me",0,IF(G3481&gt;0,(VLOOKUP(A3481,'Discount Lookup'!J:K,2)*G3481),0))))</f>
        <v>0</v>
      </c>
      <c r="AJ3481" s="107" t="str">
        <f t="shared" ca="1" si="2668"/>
        <v/>
      </c>
      <c r="AK3481" s="714" t="str">
        <f t="shared" si="2669"/>
        <v/>
      </c>
      <c r="AL3481" s="714"/>
      <c r="AM3481" s="114" t="str">
        <f t="shared" si="2670"/>
        <v/>
      </c>
      <c r="AN3481" s="115"/>
      <c r="AO3481" s="116"/>
      <c r="AP3481" s="116"/>
      <c r="AQ3481" s="116"/>
      <c r="AR3481" s="116"/>
      <c r="AS3481" s="116"/>
      <c r="AT3481" s="116"/>
      <c r="AU3481" s="116"/>
      <c r="AV3481" s="78"/>
      <c r="AW3481" s="102"/>
      <c r="AX3481" s="78"/>
      <c r="AY3481" s="78"/>
      <c r="AZ3481" s="78"/>
      <c r="BA3481" s="78"/>
      <c r="BB3481" s="78"/>
      <c r="BC3481" s="78"/>
      <c r="BD3481" s="78"/>
      <c r="BE3481" s="465"/>
      <c r="BF3481" s="165" t="str">
        <f t="shared" si="2671"/>
        <v>https://www.google.com/search?tbm=isch&amp;q=15%20G4</v>
      </c>
      <c r="BG3481" s="165" t="str">
        <f t="shared" si="2672"/>
        <v>Q</v>
      </c>
      <c r="BH3481" s="65"/>
      <c r="BI3481" s="65"/>
      <c r="BJ3481" s="65"/>
      <c r="BK3481" s="65"/>
      <c r="BL3481" s="99"/>
      <c r="BM3481" s="99"/>
      <c r="BN3481" s="99"/>
    </row>
    <row r="3482" spans="1:66" s="51" customFormat="1" ht="17.25" thickBot="1" x14ac:dyDescent="0.3">
      <c r="A3482" s="704" t="s">
        <v>5516</v>
      </c>
      <c r="B3482" s="642"/>
      <c r="C3482" s="710"/>
      <c r="D3482" s="643"/>
      <c r="E3482" s="643"/>
      <c r="F3482" s="644"/>
      <c r="G3482" s="645"/>
      <c r="H3482" s="646"/>
      <c r="I3482" s="647"/>
      <c r="J3482" s="648"/>
      <c r="K3482" s="649"/>
      <c r="L3482" s="650"/>
      <c r="M3482" s="650"/>
      <c r="N3482" s="644"/>
      <c r="O3482" s="644"/>
      <c r="P3482" s="644"/>
      <c r="Q3482" s="644"/>
      <c r="R3482" s="644"/>
      <c r="S3482" s="701" t="s">
        <v>5253</v>
      </c>
      <c r="T3482" s="102">
        <f t="shared" si="2660"/>
        <v>0</v>
      </c>
      <c r="U3482" s="78" t="str">
        <f>IF(NOT(ISNUMBER(G3482)), "", VLOOKUP(A3482,'Discount Lookup'!D:E,2,FALSE)*G3482)</f>
        <v/>
      </c>
      <c r="V3482" s="78" t="str">
        <f>IF(NOT(ISNUMBER(G3482)), "", VLOOKUP(A3482,'Discount Lookup'!G:H,2,FALSE)*G3482)</f>
        <v/>
      </c>
      <c r="W3482" s="102">
        <f t="shared" si="2661"/>
        <v>0</v>
      </c>
      <c r="X3482" s="102">
        <f t="shared" si="2662"/>
        <v>0</v>
      </c>
      <c r="Y3482" s="120" t="b">
        <f t="shared" si="2663"/>
        <v>0</v>
      </c>
      <c r="Z3482" s="117">
        <f t="shared" si="2664"/>
        <v>0</v>
      </c>
      <c r="AA3482" s="118"/>
      <c r="AB3482" s="118" t="str">
        <f t="shared" si="2665"/>
        <v/>
      </c>
      <c r="AC3482" s="712" t="str">
        <f>IF(AE3482="T2G","no charge",IF(AND(OR(PlanterYesMe="No",PlanterYesMe="N",PlanterYesMe="me"),H3482=""),"",IF(H3482="credit","NO install",IF(AND(K3482="",AE3482="me"),"EACH row",IF(AND(K3482="images",AE3482="me"),"EACH row",IF(D3482="","",IF(H3482="credit","",IF(AE3482="free","re-planting",IF(AE3482="me","   not ELP, by",IF(AND(OR(PlanterYesMe="Yes",PlanterYesMe="Y"),G3482&gt;0),(VLOOKUP(A3482,'Discount Lookup'!J:K,2)*G3482*(1-PlanterDiscount)*(1+PlanterDifficultyPercentage)),IF(AE3482="ELP",(VLOOKUP(A3482,'Discount Lookup'!J:K,2)*G3482*(1-PlanterDiscount)*(1+PlanterDifficultyPercentage)),IF(AE3482="free","re-planting",IF(G3482=0,"",IF(PlanterYesMe="",IF(AE3482="me","   not ELP, by",IF(AE3482="",IF(G3482&gt;0,(VLOOKUP(A3482,'Discount Lookup'!J:K,2)*G3482*(1-PlanterDiscount)*(1+PlanterDifficultyPercentage)),""),"")),"   not ELP, by"))))))))))))))</f>
        <v/>
      </c>
      <c r="AD3482" s="712"/>
      <c r="AE3482" s="513" t="str">
        <f t="shared" si="2666"/>
        <v/>
      </c>
      <c r="AF3482" s="713" t="str">
        <f t="shared" si="2667"/>
        <v/>
      </c>
      <c r="AG3482" s="713"/>
      <c r="AH3482" s="713"/>
      <c r="AI3482" s="112">
        <f>IF(H3482="credit",0,IF(AE3482="free",0,IF(AE3482="me",0,IF(G3482&gt;0,(VLOOKUP(A3482,'Discount Lookup'!J:K,2)*G3482),0))))</f>
        <v>0</v>
      </c>
      <c r="AJ3482" s="107" t="str">
        <f t="shared" ca="1" si="2668"/>
        <v/>
      </c>
      <c r="AK3482" s="714" t="str">
        <f t="shared" si="2669"/>
        <v/>
      </c>
      <c r="AL3482" s="714"/>
      <c r="AM3482" s="114" t="str">
        <f t="shared" si="2670"/>
        <v/>
      </c>
      <c r="AN3482" s="115"/>
      <c r="AO3482" s="116"/>
      <c r="AP3482" s="116"/>
      <c r="AQ3482" s="116"/>
      <c r="AR3482" s="116"/>
      <c r="AS3482" s="116"/>
      <c r="AT3482" s="116"/>
      <c r="AU3482" s="116"/>
      <c r="AV3482" s="78"/>
      <c r="AW3482" s="102"/>
      <c r="AX3482" s="78"/>
      <c r="AY3482" s="78"/>
      <c r="AZ3482" s="78"/>
      <c r="BA3482" s="78"/>
      <c r="BB3482" s="78"/>
      <c r="BC3482" s="78"/>
      <c r="BD3482" s="78"/>
      <c r="BE3482" s="465"/>
      <c r="BF3482" s="165" t="str">
        <f t="shared" si="2671"/>
        <v>https://www.google.com/search?tbm=isch&amp;q=wet%20sites%F0%9F%92%A7GOOD%2C%20Swamp%20White%20Oak%20has%20few%20surface%20roots%2C%20making%20it%20good%20for%20lawns%20%28except%20for%20acorns%21%29.%20Yellow%20to%20Russet-Red%20fall%20foliage%20</v>
      </c>
      <c r="BG3482" s="165" t="str">
        <f t="shared" si="2672"/>
        <v>w</v>
      </c>
      <c r="BH3482" s="65"/>
      <c r="BI3482" s="65"/>
      <c r="BJ3482" s="65"/>
      <c r="BK3482" s="65"/>
      <c r="BL3482" s="99"/>
      <c r="BM3482" s="99"/>
      <c r="BN3482" s="99"/>
    </row>
    <row r="3483" spans="1:66" s="51" customFormat="1" ht="18" x14ac:dyDescent="0.25">
      <c r="A3483" s="507" t="s">
        <v>709</v>
      </c>
      <c r="B3483" s="470"/>
      <c r="C3483" s="706"/>
      <c r="D3483" s="471" t="s">
        <v>710</v>
      </c>
      <c r="E3483" s="472"/>
      <c r="F3483" s="472"/>
      <c r="G3483" s="472"/>
      <c r="H3483" s="622" t="s">
        <v>711</v>
      </c>
      <c r="I3483" s="473" t="s">
        <v>431</v>
      </c>
      <c r="J3483" s="472"/>
      <c r="K3483" s="472"/>
      <c r="L3483" s="561"/>
      <c r="M3483" s="698" t="s">
        <v>5246</v>
      </c>
      <c r="N3483" s="692" t="str">
        <f>IF(AND(ISTEXT($A3483), ISERROR($A3483+0)), HYPERLINK($BF3483, "Images"), "")</f>
        <v>Images</v>
      </c>
      <c r="O3483" s="694" t="s">
        <v>5247</v>
      </c>
      <c r="P3483" s="475"/>
      <c r="Q3483" s="476"/>
      <c r="R3483" s="476"/>
      <c r="S3483" s="477"/>
      <c r="T3483" s="102">
        <f t="shared" si="2660"/>
        <v>0</v>
      </c>
      <c r="U3483" s="78" t="str">
        <f>IF(NOT(ISNUMBER(G3483)), "", VLOOKUP(A3483,'Discount Lookup'!D:E,2,FALSE)*G3483)</f>
        <v/>
      </c>
      <c r="V3483" s="78" t="str">
        <f>IF(NOT(ISNUMBER(G3483)), "", VLOOKUP(A3483,'Discount Lookup'!G:H,2,FALSE)*G3483)</f>
        <v/>
      </c>
      <c r="W3483" s="102">
        <f t="shared" si="2661"/>
        <v>0</v>
      </c>
      <c r="X3483" s="102" t="str">
        <f t="shared" si="2662"/>
        <v>Dark Green foliage</v>
      </c>
      <c r="Y3483" s="120" t="b">
        <f t="shared" si="2663"/>
        <v>0</v>
      </c>
      <c r="Z3483" s="117">
        <f t="shared" si="2664"/>
        <v>0</v>
      </c>
      <c r="AA3483" s="118"/>
      <c r="AB3483" s="118" t="str">
        <f t="shared" si="2665"/>
        <v/>
      </c>
      <c r="AC3483" s="712" t="str">
        <f>IF(AE3483="T2G","no charge",IF(AND(OR(PlanterYesMe="No",PlanterYesMe="N",PlanterYesMe="me"),H3483=""),"",IF(H3483="credit","NO install",IF(AND(K3483="",AE3483="me"),"EACH row",IF(AND(K3483="images",AE3483="me"),"EACH row",IF(D3483="","",IF(H3483="credit","",IF(AE3483="free","re-planting",IF(AE3483="me","   not ELP, by",IF(AND(OR(PlanterYesMe="Yes",PlanterYesMe="Y"),G3483&gt;0),(VLOOKUP(A3483,'Discount Lookup'!J:K,2)*G3483*(1-PlanterDiscount)*(1+PlanterDifficultyPercentage)),IF(AE3483="ELP",(VLOOKUP(A3483,'Discount Lookup'!J:K,2)*G3483*(1-PlanterDiscount)*(1+PlanterDifficultyPercentage)),IF(AE3483="free","re-planting",IF(G3483=0,"",IF(PlanterYesMe="",IF(AE3483="me","   not ELP, by",IF(AE3483="",IF(G3483&gt;0,(VLOOKUP(A3483,'Discount Lookup'!J:K,2)*G3483*(1-PlanterDiscount)*(1+PlanterDifficultyPercentage)),""),"")),"   not ELP, by"))))))))))))))</f>
        <v/>
      </c>
      <c r="AD3483" s="712"/>
      <c r="AE3483" s="513" t="str">
        <f t="shared" si="2666"/>
        <v/>
      </c>
      <c r="AF3483" s="713" t="str">
        <f t="shared" si="2667"/>
        <v/>
      </c>
      <c r="AG3483" s="713"/>
      <c r="AH3483" s="713"/>
      <c r="AI3483" s="112">
        <f>IF(H3483="credit",0,IF(AE3483="free",0,IF(AE3483="me",0,IF(G3483&gt;0,(VLOOKUP(A3483,'Discount Lookup'!J:K,2)*G3483),0))))</f>
        <v>0</v>
      </c>
      <c r="AJ3483" s="107" t="str">
        <f t="shared" ca="1" si="2668"/>
        <v/>
      </c>
      <c r="AK3483" s="714" t="str">
        <f t="shared" si="2669"/>
        <v/>
      </c>
      <c r="AL3483" s="714"/>
      <c r="AM3483" s="114" t="str">
        <f t="shared" si="2670"/>
        <v/>
      </c>
      <c r="AN3483" s="115"/>
      <c r="AO3483" s="116"/>
      <c r="AP3483" s="116"/>
      <c r="AQ3483" s="116"/>
      <c r="AR3483" s="116"/>
      <c r="AS3483" s="116"/>
      <c r="AT3483" s="116"/>
      <c r="AU3483" s="116"/>
      <c r="AV3483" s="78"/>
      <c r="AW3483" s="102"/>
      <c r="AX3483" s="78"/>
      <c r="AY3483" s="78"/>
      <c r="AZ3483" s="78"/>
      <c r="BA3483" s="78"/>
      <c r="BB3483" s="78"/>
      <c r="BC3483" s="78"/>
      <c r="BD3483" s="78"/>
      <c r="BE3483" s="465"/>
      <c r="BF3483" s="165" t="str">
        <f t="shared" si="2671"/>
        <v>https://www.google.com/search?tbm=isch&amp;q=Quercus%20ilex%20Holly%20Oak</v>
      </c>
      <c r="BG3483" s="165" t="str">
        <f t="shared" si="2672"/>
        <v>Q</v>
      </c>
      <c r="BH3483" s="65"/>
      <c r="BI3483" s="65"/>
      <c r="BJ3483" s="65"/>
      <c r="BK3483" s="65"/>
      <c r="BL3483" s="99"/>
      <c r="BM3483" s="99"/>
      <c r="BN3483" s="99"/>
    </row>
    <row r="3484" spans="1:66" s="51" customFormat="1" ht="15.75" x14ac:dyDescent="0.25">
      <c r="A3484" s="478">
        <v>10</v>
      </c>
      <c r="B3484" s="479" t="s">
        <v>291</v>
      </c>
      <c r="C3484" s="480" t="s">
        <v>1002</v>
      </c>
      <c r="D3484" s="481" t="s">
        <v>299</v>
      </c>
      <c r="E3484" s="482">
        <v>148.94999999999999</v>
      </c>
      <c r="F3484" s="483" t="s">
        <v>292</v>
      </c>
      <c r="G3484" s="484">
        <v>0</v>
      </c>
      <c r="H3484" s="688" t="str">
        <f>IF(G3484=0,"",IF(F3484="Buy",IF(G3484=1,"plant","plants"),IF(F3484&gt;0.01,"warranty","Error")))</f>
        <v/>
      </c>
      <c r="I3484" s="485">
        <f>IF(H3484="free",0,IF(H3484="credit",((E3484*(F3484))*G3484*-1),IF(F3484="Buy",(E3484*G3484),((E3484*(1-F3484))*G3484))))</f>
        <v>0</v>
      </c>
      <c r="J3484" s="485">
        <f>IF(H3484="warranty",0,(I3484*(_xlfn.SINGLE(SalesTaxPercentage))))</f>
        <v>0</v>
      </c>
      <c r="K3484" s="715">
        <f t="shared" ref="K3484" si="2676">I3484+J3484</f>
        <v>0</v>
      </c>
      <c r="L3484" s="715"/>
      <c r="M3484" s="689" t="str">
        <f ca="1">IF(AND(G3484&gt;0,E3484=0),"WARNING - no PRICE inserted",IF(H3484="free","FREE ~ no charge this plant",IF(H3484="credit",CONCATENATE("-$",ROUND(K3484*(1-_xlfn.SINGLE(T2GDiscount))*-1,2)," CREDIT after discount"),IF(_xlfn.SINGLE(T2GDiscount)=0,"",IF(G3484=0,"",IF(F3484="Buy",CONCATENATE("$",ROUND(K3484*(1-_xlfn.SINGLE(T2GDiscount)),2)," with ",(_xlfn.SINGLE(T2GDiscount)*100),"% discount"),CONCATENATE("$",ROUND(K3484*(1-_xlfn.SINGLE(T2GDiscount)),2)," with ",((_xlfn.SINGLE(T2GDiscount)*100+F3484*100)-(_xlfn.SINGLE(T2GDiscount)*100*F3484)),IF(F3484&gt;0,"% discounts",IF(_xlfn.SINGLE(NoWarrantyDiscount)&gt;0,"% discounts","% discount")))))))))</f>
        <v/>
      </c>
      <c r="N3484" s="690"/>
      <c r="O3484" s="486"/>
      <c r="P3484" s="486"/>
      <c r="Q3484" s="486"/>
      <c r="R3484" s="486"/>
      <c r="S3484" s="486"/>
      <c r="T3484" s="102">
        <f t="shared" si="2660"/>
        <v>0</v>
      </c>
      <c r="U3484" s="78">
        <f>IF(NOT(ISNUMBER(G3484)), "", VLOOKUP(A3484,'Discount Lookup'!D:E,2,FALSE)*G3484)</f>
        <v>0</v>
      </c>
      <c r="V3484" s="78">
        <f>IF(NOT(ISNUMBER(G3484)), "", VLOOKUP(A3484,'Discount Lookup'!G:H,2,FALSE)*G3484)</f>
        <v>0</v>
      </c>
      <c r="W3484" s="102">
        <f t="shared" si="2661"/>
        <v>0</v>
      </c>
      <c r="X3484" s="102">
        <f t="shared" si="2662"/>
        <v>0</v>
      </c>
      <c r="Y3484" s="120" t="b">
        <f t="shared" si="2663"/>
        <v>0</v>
      </c>
      <c r="Z3484" s="117">
        <f t="shared" si="2664"/>
        <v>0</v>
      </c>
      <c r="AA3484" s="118"/>
      <c r="AB3484" s="118" t="str">
        <f t="shared" si="2665"/>
        <v/>
      </c>
      <c r="AC3484" s="712" t="str">
        <f>IF(AE3484="T2G","no charge",IF(AND(OR(PlanterYesMe="No",PlanterYesMe="N",PlanterYesMe="me"),H3484=""),"",IF(H3484="credit","NO install",IF(AND(K3484="",AE3484="me"),"EACH row",IF(AND(K3484="images",AE3484="me"),"EACH row",IF(D3484="","",IF(H3484="credit","",IF(AE3484="free","re-planting",IF(AE3484="me","   not ELP, by",IF(AND(OR(PlanterYesMe="Yes",PlanterYesMe="Y"),G3484&gt;0),(VLOOKUP(A3484,'Discount Lookup'!J:K,2)*G3484*(1-PlanterDiscount)*(1+PlanterDifficultyPercentage)),IF(AE3484="ELP",(VLOOKUP(A3484,'Discount Lookup'!J:K,2)*G3484*(1-PlanterDiscount)*(1+PlanterDifficultyPercentage)),IF(AE3484="free","re-planting",IF(G3484=0,"",IF(PlanterYesMe="",IF(AE3484="me","   not ELP, by",IF(AE3484="",IF(G3484&gt;0,(VLOOKUP(A3484,'Discount Lookup'!J:K,2)*G3484*(1-PlanterDiscount)*(1+PlanterDifficultyPercentage)),""),"")),"   not ELP, by"))))))))))))))</f>
        <v/>
      </c>
      <c r="AD3484" s="712"/>
      <c r="AE3484" s="513" t="str">
        <f t="shared" si="2666"/>
        <v/>
      </c>
      <c r="AF3484" s="713" t="str">
        <f t="shared" si="2667"/>
        <v/>
      </c>
      <c r="AG3484" s="713"/>
      <c r="AH3484" s="713"/>
      <c r="AI3484" s="112">
        <f>IF(H3484="credit",0,IF(AE3484="free",0,IF(AE3484="me",0,IF(G3484&gt;0,(VLOOKUP(A3484,'Discount Lookup'!J:K,2)*G3484),0))))</f>
        <v>0</v>
      </c>
      <c r="AJ3484" s="107" t="str">
        <f t="shared" ca="1" si="2668"/>
        <v/>
      </c>
      <c r="AK3484" s="714" t="str">
        <f t="shared" si="2669"/>
        <v/>
      </c>
      <c r="AL3484" s="714"/>
      <c r="AM3484" s="114" t="str">
        <f t="shared" si="2670"/>
        <v/>
      </c>
      <c r="AN3484" s="115"/>
      <c r="AO3484" s="116"/>
      <c r="AP3484" s="116"/>
      <c r="AQ3484" s="116"/>
      <c r="AR3484" s="116"/>
      <c r="AS3484" s="116"/>
      <c r="AT3484" s="116"/>
      <c r="AU3484" s="116"/>
      <c r="AV3484" s="78"/>
      <c r="AW3484" s="102"/>
      <c r="AX3484" s="78"/>
      <c r="AY3484" s="78"/>
      <c r="AZ3484" s="78"/>
      <c r="BA3484" s="78"/>
      <c r="BB3484" s="78"/>
      <c r="BC3484" s="78"/>
      <c r="BD3484" s="78"/>
      <c r="BE3484" s="465"/>
      <c r="BF3484" s="165" t="str">
        <f t="shared" si="2671"/>
        <v>https://www.google.com/search?tbm=isch&amp;q=10%20G4</v>
      </c>
      <c r="BG3484" s="165" t="str">
        <f t="shared" si="2672"/>
        <v>Q</v>
      </c>
      <c r="BH3484" s="65"/>
      <c r="BI3484" s="65"/>
      <c r="BJ3484" s="65"/>
      <c r="BK3484" s="65"/>
      <c r="BL3484" s="99"/>
      <c r="BM3484" s="99"/>
      <c r="BN3484" s="99"/>
    </row>
    <row r="3485" spans="1:66" s="51" customFormat="1" ht="17.25" thickBot="1" x14ac:dyDescent="0.3">
      <c r="A3485" s="508" t="s">
        <v>712</v>
      </c>
      <c r="B3485" s="487"/>
      <c r="C3485" s="707"/>
      <c r="D3485" s="487"/>
      <c r="E3485" s="487"/>
      <c r="F3485" s="488"/>
      <c r="G3485" s="489"/>
      <c r="H3485" s="487"/>
      <c r="I3485" s="490"/>
      <c r="J3485" s="490"/>
      <c r="K3485" s="491"/>
      <c r="L3485" s="547"/>
      <c r="M3485" s="528"/>
      <c r="N3485" s="492"/>
      <c r="O3485" s="493"/>
      <c r="P3485" s="494"/>
      <c r="Q3485" s="492"/>
      <c r="R3485" s="492"/>
      <c r="S3485" s="699" t="s">
        <v>5288</v>
      </c>
      <c r="T3485" s="102">
        <f t="shared" si="2660"/>
        <v>0</v>
      </c>
      <c r="U3485" s="78" t="str">
        <f>IF(NOT(ISNUMBER(G3485)), "", VLOOKUP(A3485,'Discount Lookup'!D:E,2,FALSE)*G3485)</f>
        <v/>
      </c>
      <c r="V3485" s="78" t="str">
        <f>IF(NOT(ISNUMBER(G3485)), "", VLOOKUP(A3485,'Discount Lookup'!G:H,2,FALSE)*G3485)</f>
        <v/>
      </c>
      <c r="W3485" s="102">
        <f t="shared" si="2661"/>
        <v>0</v>
      </c>
      <c r="X3485" s="102">
        <f t="shared" si="2662"/>
        <v>0</v>
      </c>
      <c r="Y3485" s="120" t="b">
        <f t="shared" si="2663"/>
        <v>0</v>
      </c>
      <c r="Z3485" s="117">
        <f t="shared" si="2664"/>
        <v>0</v>
      </c>
      <c r="AA3485" s="118"/>
      <c r="AB3485" s="118" t="str">
        <f t="shared" si="2665"/>
        <v/>
      </c>
      <c r="AC3485" s="712" t="str">
        <f>IF(AE3485="T2G","no charge",IF(AND(OR(PlanterYesMe="No",PlanterYesMe="N",PlanterYesMe="me"),H3485=""),"",IF(H3485="credit","NO install",IF(AND(K3485="",AE3485="me"),"EACH row",IF(AND(K3485="images",AE3485="me"),"EACH row",IF(D3485="","",IF(H3485="credit","",IF(AE3485="free","re-planting",IF(AE3485="me","   not ELP, by",IF(AND(OR(PlanterYesMe="Yes",PlanterYesMe="Y"),G3485&gt;0),(VLOOKUP(A3485,'Discount Lookup'!J:K,2)*G3485*(1-PlanterDiscount)*(1+PlanterDifficultyPercentage)),IF(AE3485="ELP",(VLOOKUP(A3485,'Discount Lookup'!J:K,2)*G3485*(1-PlanterDiscount)*(1+PlanterDifficultyPercentage)),IF(AE3485="free","re-planting",IF(G3485=0,"",IF(PlanterYesMe="",IF(AE3485="me","   not ELP, by",IF(AE3485="",IF(G3485&gt;0,(VLOOKUP(A3485,'Discount Lookup'!J:K,2)*G3485*(1-PlanterDiscount)*(1+PlanterDifficultyPercentage)),""),"")),"   not ELP, by"))))))))))))))</f>
        <v/>
      </c>
      <c r="AD3485" s="712"/>
      <c r="AE3485" s="513" t="str">
        <f t="shared" si="2666"/>
        <v/>
      </c>
      <c r="AF3485" s="713" t="str">
        <f t="shared" si="2667"/>
        <v/>
      </c>
      <c r="AG3485" s="713"/>
      <c r="AH3485" s="713"/>
      <c r="AI3485" s="112">
        <f>IF(H3485="credit",0,IF(AE3485="free",0,IF(AE3485="me",0,IF(G3485&gt;0,(VLOOKUP(A3485,'Discount Lookup'!J:K,2)*G3485),0))))</f>
        <v>0</v>
      </c>
      <c r="AJ3485" s="107" t="str">
        <f t="shared" ca="1" si="2668"/>
        <v/>
      </c>
      <c r="AK3485" s="714" t="str">
        <f t="shared" si="2669"/>
        <v/>
      </c>
      <c r="AL3485" s="714"/>
      <c r="AM3485" s="114" t="str">
        <f t="shared" si="2670"/>
        <v/>
      </c>
      <c r="AN3485" s="115"/>
      <c r="AO3485" s="116"/>
      <c r="AP3485" s="116"/>
      <c r="AQ3485" s="116"/>
      <c r="AR3485" s="116"/>
      <c r="AS3485" s="116"/>
      <c r="AT3485" s="116"/>
      <c r="AU3485" s="116"/>
      <c r="AV3485" s="78"/>
      <c r="AW3485" s="102"/>
      <c r="AX3485" s="78"/>
      <c r="AY3485" s="78"/>
      <c r="AZ3485" s="78"/>
      <c r="BA3485" s="78"/>
      <c r="BB3485" s="78"/>
      <c r="BC3485" s="78"/>
      <c r="BD3485" s="78"/>
      <c r="BE3485" s="465"/>
      <c r="BF3485" s="165" t="str">
        <f t="shared" si="2671"/>
        <v>https://www.google.com/search?tbm=isch&amp;q=Holly%20Oak%20named%20for%20foliage%20resembling%20Holly.%20Highly%20tolerant%20of%20poor%20growing%20conditions.%20Very%20long%20lived%20</v>
      </c>
      <c r="BG3485" s="165" t="str">
        <f t="shared" si="2672"/>
        <v>H</v>
      </c>
      <c r="BH3485" s="65"/>
      <c r="BI3485" s="65"/>
      <c r="BJ3485" s="65"/>
      <c r="BK3485" s="65"/>
      <c r="BL3485" s="99"/>
      <c r="BM3485" s="99"/>
      <c r="BN3485" s="99"/>
    </row>
    <row r="3486" spans="1:66" s="51" customFormat="1" ht="18" x14ac:dyDescent="0.25">
      <c r="A3486" s="623" t="s">
        <v>3930</v>
      </c>
      <c r="B3486" s="624"/>
      <c r="C3486" s="709"/>
      <c r="D3486" s="625" t="s">
        <v>3931</v>
      </c>
      <c r="E3486" s="626"/>
      <c r="F3486" s="626"/>
      <c r="G3486" s="626"/>
      <c r="H3486" s="622" t="s">
        <v>711</v>
      </c>
      <c r="I3486" s="627" t="s">
        <v>431</v>
      </c>
      <c r="J3486" s="628"/>
      <c r="K3486" s="628"/>
      <c r="L3486" s="629"/>
      <c r="M3486" s="700" t="s">
        <v>5241</v>
      </c>
      <c r="N3486" s="693" t="str">
        <f>IF(AND(ISTEXT($A3486), ISERROR($A3486+0)), HYPERLINK($BF3486, "Images"), "")</f>
        <v>Images</v>
      </c>
      <c r="O3486" s="695" t="s">
        <v>5264</v>
      </c>
      <c r="P3486" s="630"/>
      <c r="Q3486" s="631"/>
      <c r="R3486" s="632"/>
      <c r="S3486" s="633" t="s">
        <v>294</v>
      </c>
      <c r="T3486" s="102">
        <f t="shared" si="2660"/>
        <v>0</v>
      </c>
      <c r="U3486" s="78" t="str">
        <f>IF(NOT(ISNUMBER(G3486)), "", VLOOKUP(A3486,'Discount Lookup'!D:E,2,FALSE)*G3486)</f>
        <v/>
      </c>
      <c r="V3486" s="78" t="str">
        <f>IF(NOT(ISNUMBER(G3486)), "", VLOOKUP(A3486,'Discount Lookup'!G:H,2,FALSE)*G3486)</f>
        <v/>
      </c>
      <c r="W3486" s="102">
        <f t="shared" si="2661"/>
        <v>0</v>
      </c>
      <c r="X3486" s="102" t="str">
        <f t="shared" si="2662"/>
        <v>Dark Green foliage</v>
      </c>
      <c r="Y3486" s="120" t="b">
        <f t="shared" si="2663"/>
        <v>0</v>
      </c>
      <c r="Z3486" s="117">
        <f t="shared" si="2664"/>
        <v>0</v>
      </c>
      <c r="AA3486" s="118"/>
      <c r="AB3486" s="118" t="str">
        <f t="shared" si="2665"/>
        <v/>
      </c>
      <c r="AC3486" s="712" t="str">
        <f>IF(AE3486="T2G","no charge",IF(AND(OR(PlanterYesMe="No",PlanterYesMe="N",PlanterYesMe="me"),H3486=""),"",IF(H3486="credit","NO install",IF(AND(K3486="",AE3486="me"),"EACH row",IF(AND(K3486="images",AE3486="me"),"EACH row",IF(D3486="","",IF(H3486="credit","",IF(AE3486="free","re-planting",IF(AE3486="me","   not ELP, by",IF(AND(OR(PlanterYesMe="Yes",PlanterYesMe="Y"),G3486&gt;0),(VLOOKUP(A3486,'Discount Lookup'!J:K,2)*G3486*(1-PlanterDiscount)*(1+PlanterDifficultyPercentage)),IF(AE3486="ELP",(VLOOKUP(A3486,'Discount Lookup'!J:K,2)*G3486*(1-PlanterDiscount)*(1+PlanterDifficultyPercentage)),IF(AE3486="free","re-planting",IF(G3486=0,"",IF(PlanterYesMe="",IF(AE3486="me","   not ELP, by",IF(AE3486="",IF(G3486&gt;0,(VLOOKUP(A3486,'Discount Lookup'!J:K,2)*G3486*(1-PlanterDiscount)*(1+PlanterDifficultyPercentage)),""),"")),"   not ELP, by"))))))))))))))</f>
        <v/>
      </c>
      <c r="AD3486" s="712"/>
      <c r="AE3486" s="513" t="str">
        <f t="shared" si="2666"/>
        <v/>
      </c>
      <c r="AF3486" s="713" t="str">
        <f t="shared" si="2667"/>
        <v/>
      </c>
      <c r="AG3486" s="713"/>
      <c r="AH3486" s="713"/>
      <c r="AI3486" s="112">
        <f>IF(H3486="credit",0,IF(AE3486="free",0,IF(AE3486="me",0,IF(G3486&gt;0,(VLOOKUP(A3486,'Discount Lookup'!J:K,2)*G3486),0))))</f>
        <v>0</v>
      </c>
      <c r="AJ3486" s="107" t="str">
        <f t="shared" ca="1" si="2668"/>
        <v/>
      </c>
      <c r="AK3486" s="714" t="str">
        <f t="shared" si="2669"/>
        <v/>
      </c>
      <c r="AL3486" s="714"/>
      <c r="AM3486" s="114" t="str">
        <f t="shared" si="2670"/>
        <v/>
      </c>
      <c r="AN3486" s="115"/>
      <c r="AO3486" s="116"/>
      <c r="AP3486" s="116"/>
      <c r="AQ3486" s="116"/>
      <c r="AR3486" s="116"/>
      <c r="AS3486" s="116"/>
      <c r="AT3486" s="116"/>
      <c r="AU3486" s="116"/>
      <c r="AV3486" s="78"/>
      <c r="AW3486" s="102"/>
      <c r="AX3486" s="78"/>
      <c r="AY3486" s="78"/>
      <c r="AZ3486" s="78"/>
      <c r="BA3486" s="78"/>
      <c r="BB3486" s="78"/>
      <c r="BC3486" s="78"/>
      <c r="BD3486" s="78"/>
      <c r="BE3486" s="465"/>
      <c r="BF3486" s="165" t="str">
        <f t="shared" si="2671"/>
        <v>https://www.google.com/search?tbm=isch&amp;q=Quercus%20lyrata%20Overcup%20Oak</v>
      </c>
      <c r="BG3486" s="165" t="str">
        <f t="shared" si="2672"/>
        <v>Q</v>
      </c>
      <c r="BH3486" s="65"/>
      <c r="BI3486" s="65"/>
      <c r="BJ3486" s="65"/>
      <c r="BK3486" s="65"/>
      <c r="BL3486" s="99"/>
      <c r="BM3486" s="99"/>
      <c r="BN3486" s="99"/>
    </row>
    <row r="3487" spans="1:66" s="51" customFormat="1" ht="15.75" x14ac:dyDescent="0.25">
      <c r="A3487" s="634">
        <v>15</v>
      </c>
      <c r="B3487" s="635" t="s">
        <v>291</v>
      </c>
      <c r="C3487" s="636" t="s">
        <v>3932</v>
      </c>
      <c r="D3487" s="637" t="s">
        <v>299</v>
      </c>
      <c r="E3487" s="638">
        <v>169.95</v>
      </c>
      <c r="F3487" s="639" t="s">
        <v>292</v>
      </c>
      <c r="G3487" s="484">
        <v>0</v>
      </c>
      <c r="H3487" s="691" t="str">
        <f>IF(G3487=0,"",IF(F3487="Buy",IF(G3487=1,"plant","plants"),IF(F3487&gt;0.01,"warranty","Error")))</f>
        <v/>
      </c>
      <c r="I3487" s="640">
        <f>IF(H3487="free",0,IF(H3487="credit",((E3487*(F3487))*G3487*-1),IF(F3487="Buy",(E3487*G3487),((E3487*(1-F3487))*G3487))))</f>
        <v>0</v>
      </c>
      <c r="J3487" s="640">
        <f>IF(H3487="warranty",0,(I3487*(_xlfn.SINGLE(SalesTaxPercentage))))</f>
        <v>0</v>
      </c>
      <c r="K3487" s="716">
        <f t="shared" ref="K3487" si="2677">I3487+J3487</f>
        <v>0</v>
      </c>
      <c r="L3487" s="716"/>
      <c r="M3487" s="689" t="str">
        <f ca="1">IF(AND(G3487&gt;0,E3487=0),"WARNING - no PRICE inserted",IF(H3487="free","FREE ~ no charge this plant",IF(H3487="credit",CONCATENATE("-$",ROUND(K3487*(1-_xlfn.SINGLE(T2GDiscount))*-1,2)," CREDIT after discount"),IF(_xlfn.SINGLE(T2GDiscount)=0,"",IF(G3487=0,"",IF(F3487="Buy",CONCATENATE("$",ROUND(K3487*(1-_xlfn.SINGLE(T2GDiscount)),2)," with ",(_xlfn.SINGLE(T2GDiscount)*100),"% discount"),CONCATENATE("$",ROUND(K3487*(1-_xlfn.SINGLE(T2GDiscount)),2)," with ",((_xlfn.SINGLE(T2GDiscount)*100+F3487*100)-(_xlfn.SINGLE(T2GDiscount)*100*F3487)),IF(F3487&gt;0,"% discounts",IF(_xlfn.SINGLE(NoWarrantyDiscount)&gt;0,"% discounts","% discount")))))))))</f>
        <v/>
      </c>
      <c r="N3487" s="690"/>
      <c r="O3487" s="486"/>
      <c r="P3487" s="486"/>
      <c r="Q3487" s="486"/>
      <c r="R3487" s="486"/>
      <c r="S3487" s="486"/>
      <c r="T3487" s="102">
        <f t="shared" si="2660"/>
        <v>0</v>
      </c>
      <c r="U3487" s="78">
        <f>IF(NOT(ISNUMBER(G3487)), "", VLOOKUP(A3487,'Discount Lookup'!D:E,2,FALSE)*G3487)</f>
        <v>0</v>
      </c>
      <c r="V3487" s="78">
        <f>IF(NOT(ISNUMBER(G3487)), "", VLOOKUP(A3487,'Discount Lookup'!G:H,2,FALSE)*G3487)</f>
        <v>0</v>
      </c>
      <c r="W3487" s="102">
        <f t="shared" si="2661"/>
        <v>0</v>
      </c>
      <c r="X3487" s="102">
        <f t="shared" si="2662"/>
        <v>0</v>
      </c>
      <c r="Y3487" s="120" t="b">
        <f t="shared" si="2663"/>
        <v>0</v>
      </c>
      <c r="Z3487" s="117">
        <f t="shared" si="2664"/>
        <v>0</v>
      </c>
      <c r="AA3487" s="118"/>
      <c r="AB3487" s="118" t="str">
        <f t="shared" si="2665"/>
        <v/>
      </c>
      <c r="AC3487" s="712" t="str">
        <f>IF(AE3487="T2G","no charge",IF(AND(OR(PlanterYesMe="No",PlanterYesMe="N",PlanterYesMe="me"),H3487=""),"",IF(H3487="credit","NO install",IF(AND(K3487="",AE3487="me"),"EACH row",IF(AND(K3487="images",AE3487="me"),"EACH row",IF(D3487="","",IF(H3487="credit","",IF(AE3487="free","re-planting",IF(AE3487="me","   not ELP, by",IF(AND(OR(PlanterYesMe="Yes",PlanterYesMe="Y"),G3487&gt;0),(VLOOKUP(A3487,'Discount Lookup'!J:K,2)*G3487*(1-PlanterDiscount)*(1+PlanterDifficultyPercentage)),IF(AE3487="ELP",(VLOOKUP(A3487,'Discount Lookup'!J:K,2)*G3487*(1-PlanterDiscount)*(1+PlanterDifficultyPercentage)),IF(AE3487="free","re-planting",IF(G3487=0,"",IF(PlanterYesMe="",IF(AE3487="me","   not ELP, by",IF(AE3487="",IF(G3487&gt;0,(VLOOKUP(A3487,'Discount Lookup'!J:K,2)*G3487*(1-PlanterDiscount)*(1+PlanterDifficultyPercentage)),""),"")),"   not ELP, by"))))))))))))))</f>
        <v/>
      </c>
      <c r="AD3487" s="712"/>
      <c r="AE3487" s="513" t="str">
        <f t="shared" si="2666"/>
        <v/>
      </c>
      <c r="AF3487" s="713" t="str">
        <f t="shared" si="2667"/>
        <v/>
      </c>
      <c r="AG3487" s="713"/>
      <c r="AH3487" s="713"/>
      <c r="AI3487" s="112">
        <f>IF(H3487="credit",0,IF(AE3487="free",0,IF(AE3487="me",0,IF(G3487&gt;0,(VLOOKUP(A3487,'Discount Lookup'!J:K,2)*G3487),0))))</f>
        <v>0</v>
      </c>
      <c r="AJ3487" s="107" t="str">
        <f t="shared" ca="1" si="2668"/>
        <v/>
      </c>
      <c r="AK3487" s="714" t="str">
        <f t="shared" si="2669"/>
        <v/>
      </c>
      <c r="AL3487" s="714"/>
      <c r="AM3487" s="114" t="str">
        <f t="shared" si="2670"/>
        <v/>
      </c>
      <c r="AN3487" s="115"/>
      <c r="AO3487" s="116"/>
      <c r="AP3487" s="116"/>
      <c r="AQ3487" s="116"/>
      <c r="AR3487" s="116"/>
      <c r="AS3487" s="116"/>
      <c r="AT3487" s="116"/>
      <c r="AU3487" s="116"/>
      <c r="AV3487" s="78"/>
      <c r="AW3487" s="102"/>
      <c r="AX3487" s="78"/>
      <c r="AY3487" s="78"/>
      <c r="AZ3487" s="78"/>
      <c r="BA3487" s="78"/>
      <c r="BB3487" s="78"/>
      <c r="BC3487" s="78"/>
      <c r="BD3487" s="78"/>
      <c r="BE3487" s="465"/>
      <c r="BF3487" s="165" t="str">
        <f t="shared" si="2671"/>
        <v>https://www.google.com/search?tbm=isch&amp;q=15%20G4</v>
      </c>
      <c r="BG3487" s="165" t="str">
        <f t="shared" si="2672"/>
        <v>Q</v>
      </c>
      <c r="BH3487" s="65"/>
      <c r="BI3487" s="65"/>
      <c r="BJ3487" s="65"/>
      <c r="BK3487" s="65"/>
      <c r="BL3487" s="99"/>
      <c r="BM3487" s="99"/>
      <c r="BN3487" s="99"/>
    </row>
    <row r="3488" spans="1:66" s="51" customFormat="1" ht="15.75" x14ac:dyDescent="0.25">
      <c r="A3488" s="634">
        <v>25</v>
      </c>
      <c r="B3488" s="635" t="s">
        <v>291</v>
      </c>
      <c r="C3488" s="636" t="s">
        <v>3933</v>
      </c>
      <c r="D3488" s="637" t="s">
        <v>293</v>
      </c>
      <c r="E3488" s="638">
        <v>299.95</v>
      </c>
      <c r="F3488" s="639" t="s">
        <v>292</v>
      </c>
      <c r="G3488" s="484">
        <v>0</v>
      </c>
      <c r="H3488" s="691" t="str">
        <f>IF(G3488=0,"",IF(F3488="Buy",IF(G3488=1,"plant","plants"),IF(F3488&gt;0.01,"warranty","Error")))</f>
        <v/>
      </c>
      <c r="I3488" s="640">
        <f>IF(H3488="free",0,IF(H3488="credit",((E3488*(F3488))*G3488*-1),IF(F3488="Buy",(E3488*G3488),((E3488*(1-F3488))*G3488))))</f>
        <v>0</v>
      </c>
      <c r="J3488" s="640">
        <f>IF(H3488="warranty",0,(I3488*(_xlfn.SINGLE(SalesTaxPercentage))))</f>
        <v>0</v>
      </c>
      <c r="K3488" s="716">
        <f t="shared" ref="K3488" si="2678">I3488+J3488</f>
        <v>0</v>
      </c>
      <c r="L3488" s="716"/>
      <c r="M3488" s="689" t="str">
        <f ca="1">IF(AND(G3488&gt;0,E3488=0),"WARNING - no PRICE inserted",IF(H3488="free","FREE ~ no charge this plant",IF(H3488="credit",CONCATENATE("-$",ROUND(K3488*(1-_xlfn.SINGLE(T2GDiscount))*-1,2)," CREDIT after discount"),IF(_xlfn.SINGLE(T2GDiscount)=0,"",IF(G3488=0,"",IF(F3488="Buy",CONCATENATE("$",ROUND(K3488*(1-_xlfn.SINGLE(T2GDiscount)),2)," with ",(_xlfn.SINGLE(T2GDiscount)*100),"% discount"),CONCATENATE("$",ROUND(K3488*(1-_xlfn.SINGLE(T2GDiscount)),2)," with ",((_xlfn.SINGLE(T2GDiscount)*100+F3488*100)-(_xlfn.SINGLE(T2GDiscount)*100*F3488)),IF(F3488&gt;0,"% discounts",IF(_xlfn.SINGLE(NoWarrantyDiscount)&gt;0,"% discounts","% discount")))))))))</f>
        <v/>
      </c>
      <c r="N3488" s="690"/>
      <c r="O3488" s="486"/>
      <c r="P3488" s="486"/>
      <c r="Q3488" s="486"/>
      <c r="R3488" s="486"/>
      <c r="S3488" s="486"/>
      <c r="T3488" s="102">
        <f t="shared" si="2660"/>
        <v>0</v>
      </c>
      <c r="U3488" s="78">
        <f>IF(NOT(ISNUMBER(G3488)), "", VLOOKUP(A3488,'Discount Lookup'!D:E,2,FALSE)*G3488)</f>
        <v>0</v>
      </c>
      <c r="V3488" s="78">
        <f>IF(NOT(ISNUMBER(G3488)), "", VLOOKUP(A3488,'Discount Lookup'!G:H,2,FALSE)*G3488)</f>
        <v>0</v>
      </c>
      <c r="W3488" s="102">
        <f t="shared" si="2661"/>
        <v>0</v>
      </c>
      <c r="X3488" s="102">
        <f t="shared" si="2662"/>
        <v>0</v>
      </c>
      <c r="Y3488" s="120" t="b">
        <f t="shared" si="2663"/>
        <v>0</v>
      </c>
      <c r="Z3488" s="117">
        <f t="shared" si="2664"/>
        <v>0</v>
      </c>
      <c r="AA3488" s="118"/>
      <c r="AB3488" s="118" t="str">
        <f t="shared" si="2665"/>
        <v/>
      </c>
      <c r="AC3488" s="712" t="str">
        <f>IF(AE3488="T2G","no charge",IF(AND(OR(PlanterYesMe="No",PlanterYesMe="N",PlanterYesMe="me"),H3488=""),"",IF(H3488="credit","NO install",IF(AND(K3488="",AE3488="me"),"EACH row",IF(AND(K3488="images",AE3488="me"),"EACH row",IF(D3488="","",IF(H3488="credit","",IF(AE3488="free","re-planting",IF(AE3488="me","   not ELP, by",IF(AND(OR(PlanterYesMe="Yes",PlanterYesMe="Y"),G3488&gt;0),(VLOOKUP(A3488,'Discount Lookup'!J:K,2)*G3488*(1-PlanterDiscount)*(1+PlanterDifficultyPercentage)),IF(AE3488="ELP",(VLOOKUP(A3488,'Discount Lookup'!J:K,2)*G3488*(1-PlanterDiscount)*(1+PlanterDifficultyPercentage)),IF(AE3488="free","re-planting",IF(G3488=0,"",IF(PlanterYesMe="",IF(AE3488="me","   not ELP, by",IF(AE3488="",IF(G3488&gt;0,(VLOOKUP(A3488,'Discount Lookup'!J:K,2)*G3488*(1-PlanterDiscount)*(1+PlanterDifficultyPercentage)),""),"")),"   not ELP, by"))))))))))))))</f>
        <v/>
      </c>
      <c r="AD3488" s="712"/>
      <c r="AE3488" s="513" t="str">
        <f t="shared" si="2666"/>
        <v/>
      </c>
      <c r="AF3488" s="713" t="str">
        <f t="shared" si="2667"/>
        <v/>
      </c>
      <c r="AG3488" s="713"/>
      <c r="AH3488" s="713"/>
      <c r="AI3488" s="112">
        <f>IF(H3488="credit",0,IF(AE3488="free",0,IF(AE3488="me",0,IF(G3488&gt;0,(VLOOKUP(A3488,'Discount Lookup'!J:K,2)*G3488),0))))</f>
        <v>0</v>
      </c>
      <c r="AJ3488" s="107" t="str">
        <f t="shared" ca="1" si="2668"/>
        <v/>
      </c>
      <c r="AK3488" s="714" t="str">
        <f t="shared" si="2669"/>
        <v/>
      </c>
      <c r="AL3488" s="714"/>
      <c r="AM3488" s="114" t="str">
        <f t="shared" si="2670"/>
        <v/>
      </c>
      <c r="AN3488" s="115"/>
      <c r="AO3488" s="116"/>
      <c r="AP3488" s="116"/>
      <c r="AQ3488" s="116"/>
      <c r="AR3488" s="116"/>
      <c r="AS3488" s="116"/>
      <c r="AT3488" s="116"/>
      <c r="AU3488" s="116"/>
      <c r="AV3488" s="78"/>
      <c r="AW3488" s="102"/>
      <c r="AX3488" s="78"/>
      <c r="AY3488" s="78"/>
      <c r="AZ3488" s="78"/>
      <c r="BA3488" s="78"/>
      <c r="BB3488" s="78"/>
      <c r="BC3488" s="78"/>
      <c r="BD3488" s="78"/>
      <c r="BE3488" s="465"/>
      <c r="BF3488" s="165" t="str">
        <f t="shared" si="2671"/>
        <v>https://www.google.com/search?tbm=isch&amp;q=25%20G6</v>
      </c>
      <c r="BG3488" s="165" t="str">
        <f t="shared" si="2672"/>
        <v>Q</v>
      </c>
      <c r="BH3488" s="65"/>
      <c r="BI3488" s="65"/>
      <c r="BJ3488" s="65"/>
      <c r="BK3488" s="65"/>
      <c r="BL3488" s="99"/>
      <c r="BM3488" s="99"/>
      <c r="BN3488" s="99"/>
    </row>
    <row r="3489" spans="1:66" s="51" customFormat="1" ht="17.25" thickBot="1" x14ac:dyDescent="0.3">
      <c r="A3489" s="704" t="s">
        <v>5517</v>
      </c>
      <c r="B3489" s="642"/>
      <c r="C3489" s="710"/>
      <c r="D3489" s="643"/>
      <c r="E3489" s="643"/>
      <c r="F3489" s="644"/>
      <c r="G3489" s="645"/>
      <c r="H3489" s="646"/>
      <c r="I3489" s="647"/>
      <c r="J3489" s="648"/>
      <c r="K3489" s="649"/>
      <c r="L3489" s="650"/>
      <c r="M3489" s="650"/>
      <c r="N3489" s="644"/>
      <c r="O3489" s="644"/>
      <c r="P3489" s="644"/>
      <c r="Q3489" s="644"/>
      <c r="R3489" s="644"/>
      <c r="S3489" s="701" t="s">
        <v>5253</v>
      </c>
      <c r="T3489" s="102">
        <f t="shared" si="2660"/>
        <v>0</v>
      </c>
      <c r="U3489" s="78" t="str">
        <f>IF(NOT(ISNUMBER(G3489)), "", VLOOKUP(A3489,'Discount Lookup'!D:E,2,FALSE)*G3489)</f>
        <v/>
      </c>
      <c r="V3489" s="78" t="str">
        <f>IF(NOT(ISNUMBER(G3489)), "", VLOOKUP(A3489,'Discount Lookup'!G:H,2,FALSE)*G3489)</f>
        <v/>
      </c>
      <c r="W3489" s="102">
        <f t="shared" si="2661"/>
        <v>0</v>
      </c>
      <c r="X3489" s="102">
        <f t="shared" si="2662"/>
        <v>0</v>
      </c>
      <c r="Y3489" s="120" t="b">
        <f t="shared" si="2663"/>
        <v>0</v>
      </c>
      <c r="Z3489" s="117">
        <f t="shared" si="2664"/>
        <v>0</v>
      </c>
      <c r="AA3489" s="118"/>
      <c r="AB3489" s="118" t="str">
        <f t="shared" si="2665"/>
        <v/>
      </c>
      <c r="AC3489" s="712" t="str">
        <f>IF(AE3489="T2G","no charge",IF(AND(OR(PlanterYesMe="No",PlanterYesMe="N",PlanterYesMe="me"),H3489=""),"",IF(H3489="credit","NO install",IF(AND(K3489="",AE3489="me"),"EACH row",IF(AND(K3489="images",AE3489="me"),"EACH row",IF(D3489="","",IF(H3489="credit","",IF(AE3489="free","re-planting",IF(AE3489="me","   not ELP, by",IF(AND(OR(PlanterYesMe="Yes",PlanterYesMe="Y"),G3489&gt;0),(VLOOKUP(A3489,'Discount Lookup'!J:K,2)*G3489*(1-PlanterDiscount)*(1+PlanterDifficultyPercentage)),IF(AE3489="ELP",(VLOOKUP(A3489,'Discount Lookup'!J:K,2)*G3489*(1-PlanterDiscount)*(1+PlanterDifficultyPercentage)),IF(AE3489="free","re-planting",IF(G3489=0,"",IF(PlanterYesMe="",IF(AE3489="me","   not ELP, by",IF(AE3489="",IF(G3489&gt;0,(VLOOKUP(A3489,'Discount Lookup'!J:K,2)*G3489*(1-PlanterDiscount)*(1+PlanterDifficultyPercentage)),""),"")),"   not ELP, by"))))))))))))))</f>
        <v/>
      </c>
      <c r="AD3489" s="712"/>
      <c r="AE3489" s="513" t="str">
        <f t="shared" si="2666"/>
        <v/>
      </c>
      <c r="AF3489" s="713" t="str">
        <f t="shared" si="2667"/>
        <v/>
      </c>
      <c r="AG3489" s="713"/>
      <c r="AH3489" s="713"/>
      <c r="AI3489" s="112">
        <f>IF(H3489="credit",0,IF(AE3489="free",0,IF(AE3489="me",0,IF(G3489&gt;0,(VLOOKUP(A3489,'Discount Lookup'!J:K,2)*G3489),0))))</f>
        <v>0</v>
      </c>
      <c r="AJ3489" s="107" t="str">
        <f t="shared" ca="1" si="2668"/>
        <v/>
      </c>
      <c r="AK3489" s="714" t="str">
        <f t="shared" si="2669"/>
        <v/>
      </c>
      <c r="AL3489" s="714"/>
      <c r="AM3489" s="114" t="str">
        <f t="shared" si="2670"/>
        <v/>
      </c>
      <c r="AN3489" s="115"/>
      <c r="AO3489" s="116"/>
      <c r="AP3489" s="116"/>
      <c r="AQ3489" s="116"/>
      <c r="AR3489" s="116"/>
      <c r="AS3489" s="116"/>
      <c r="AT3489" s="116"/>
      <c r="AU3489" s="116"/>
      <c r="AV3489" s="78"/>
      <c r="AW3489" s="102"/>
      <c r="AX3489" s="78"/>
      <c r="AY3489" s="78"/>
      <c r="AZ3489" s="78"/>
      <c r="BA3489" s="78"/>
      <c r="BB3489" s="78"/>
      <c r="BC3489" s="78"/>
      <c r="BD3489" s="78"/>
      <c r="BE3489" s="465"/>
      <c r="BF3489" s="165" t="str">
        <f t="shared" si="2671"/>
        <v>https://www.google.com/search?tbm=isch&amp;q=wet%20sites%F0%9F%92%A7BEST%2C%20Overcup%20is%20named%20for%20the%20bur-like%20acorn%20cup%20enclosing%20most%20of%20the%20nut.%20Yellow-Orange-Red%20fall%20foliage%20</v>
      </c>
      <c r="BG3489" s="165" t="str">
        <f t="shared" si="2672"/>
        <v>w</v>
      </c>
      <c r="BH3489" s="65"/>
      <c r="BI3489" s="65"/>
      <c r="BJ3489" s="65"/>
      <c r="BK3489" s="65"/>
      <c r="BL3489" s="99"/>
      <c r="BM3489" s="99"/>
      <c r="BN3489" s="99"/>
    </row>
    <row r="3490" spans="1:66" s="51" customFormat="1" ht="18" x14ac:dyDescent="0.25">
      <c r="A3490" s="623" t="s">
        <v>3934</v>
      </c>
      <c r="B3490" s="624"/>
      <c r="C3490" s="709"/>
      <c r="D3490" s="625" t="s">
        <v>3935</v>
      </c>
      <c r="E3490" s="626"/>
      <c r="F3490" s="626"/>
      <c r="G3490" s="626"/>
      <c r="H3490" s="622" t="s">
        <v>2510</v>
      </c>
      <c r="I3490" s="627" t="s">
        <v>431</v>
      </c>
      <c r="J3490" s="628"/>
      <c r="K3490" s="628"/>
      <c r="L3490" s="629"/>
      <c r="M3490" s="700" t="s">
        <v>5241</v>
      </c>
      <c r="N3490" s="693" t="str">
        <f>IF(AND(ISTEXT($A3490), ISERROR($A3490+0)), HYPERLINK($BF3490, "Images"), "")</f>
        <v>Images</v>
      </c>
      <c r="O3490" s="695" t="s">
        <v>5264</v>
      </c>
      <c r="P3490" s="630"/>
      <c r="Q3490" s="631"/>
      <c r="R3490" s="632"/>
      <c r="S3490" s="633" t="s">
        <v>294</v>
      </c>
      <c r="T3490" s="102">
        <f t="shared" si="2660"/>
        <v>0</v>
      </c>
      <c r="U3490" s="78" t="str">
        <f>IF(NOT(ISNUMBER(G3490)), "", VLOOKUP(A3490,'Discount Lookup'!D:E,2,FALSE)*G3490)</f>
        <v/>
      </c>
      <c r="V3490" s="78" t="str">
        <f>IF(NOT(ISNUMBER(G3490)), "", VLOOKUP(A3490,'Discount Lookup'!G:H,2,FALSE)*G3490)</f>
        <v/>
      </c>
      <c r="W3490" s="102">
        <f t="shared" si="2661"/>
        <v>0</v>
      </c>
      <c r="X3490" s="102" t="str">
        <f t="shared" si="2662"/>
        <v>Dark Green foliage</v>
      </c>
      <c r="Y3490" s="120" t="b">
        <f t="shared" si="2663"/>
        <v>0</v>
      </c>
      <c r="Z3490" s="117">
        <f t="shared" si="2664"/>
        <v>0</v>
      </c>
      <c r="AA3490" s="118"/>
      <c r="AB3490" s="118" t="str">
        <f t="shared" si="2665"/>
        <v/>
      </c>
      <c r="AC3490" s="712" t="str">
        <f>IF(AE3490="T2G","no charge",IF(AND(OR(PlanterYesMe="No",PlanterYesMe="N",PlanterYesMe="me"),H3490=""),"",IF(H3490="credit","NO install",IF(AND(K3490="",AE3490="me"),"EACH row",IF(AND(K3490="images",AE3490="me"),"EACH row",IF(D3490="","",IF(H3490="credit","",IF(AE3490="free","re-planting",IF(AE3490="me","   not ELP, by",IF(AND(OR(PlanterYesMe="Yes",PlanterYesMe="Y"),G3490&gt;0),(VLOOKUP(A3490,'Discount Lookup'!J:K,2)*G3490*(1-PlanterDiscount)*(1+PlanterDifficultyPercentage)),IF(AE3490="ELP",(VLOOKUP(A3490,'Discount Lookup'!J:K,2)*G3490*(1-PlanterDiscount)*(1+PlanterDifficultyPercentage)),IF(AE3490="free","re-planting",IF(G3490=0,"",IF(PlanterYesMe="",IF(AE3490="me","   not ELP, by",IF(AE3490="",IF(G3490&gt;0,(VLOOKUP(A3490,'Discount Lookup'!J:K,2)*G3490*(1-PlanterDiscount)*(1+PlanterDifficultyPercentage)),""),"")),"   not ELP, by"))))))))))))))</f>
        <v/>
      </c>
      <c r="AD3490" s="712"/>
      <c r="AE3490" s="513" t="str">
        <f t="shared" si="2666"/>
        <v/>
      </c>
      <c r="AF3490" s="713" t="str">
        <f t="shared" si="2667"/>
        <v/>
      </c>
      <c r="AG3490" s="713"/>
      <c r="AH3490" s="713"/>
      <c r="AI3490" s="112">
        <f>IF(H3490="credit",0,IF(AE3490="free",0,IF(AE3490="me",0,IF(G3490&gt;0,(VLOOKUP(A3490,'Discount Lookup'!J:K,2)*G3490),0))))</f>
        <v>0</v>
      </c>
      <c r="AJ3490" s="107" t="str">
        <f t="shared" ca="1" si="2668"/>
        <v/>
      </c>
      <c r="AK3490" s="714" t="str">
        <f t="shared" si="2669"/>
        <v/>
      </c>
      <c r="AL3490" s="714"/>
      <c r="AM3490" s="114" t="str">
        <f t="shared" si="2670"/>
        <v/>
      </c>
      <c r="AN3490" s="115"/>
      <c r="AO3490" s="116"/>
      <c r="AP3490" s="116"/>
      <c r="AQ3490" s="116"/>
      <c r="AR3490" s="116"/>
      <c r="AS3490" s="116"/>
      <c r="AT3490" s="116"/>
      <c r="AU3490" s="116"/>
      <c r="AV3490" s="78"/>
      <c r="AW3490" s="102"/>
      <c r="AX3490" s="78"/>
      <c r="AY3490" s="78"/>
      <c r="AZ3490" s="78"/>
      <c r="BA3490" s="78"/>
      <c r="BB3490" s="78"/>
      <c r="BC3490" s="78"/>
      <c r="BD3490" s="78"/>
      <c r="BE3490" s="465"/>
      <c r="BF3490" s="165" t="str">
        <f t="shared" si="2671"/>
        <v>https://www.google.com/search?tbm=isch&amp;q=Quercus%20nuttallii%20Nuttall%20Oak</v>
      </c>
      <c r="BG3490" s="165" t="str">
        <f t="shared" si="2672"/>
        <v>Q</v>
      </c>
      <c r="BH3490" s="65"/>
      <c r="BI3490" s="65"/>
      <c r="BJ3490" s="65"/>
      <c r="BK3490" s="65"/>
      <c r="BL3490" s="99"/>
      <c r="BM3490" s="99"/>
      <c r="BN3490" s="99"/>
    </row>
    <row r="3491" spans="1:66" s="51" customFormat="1" ht="15.75" x14ac:dyDescent="0.25">
      <c r="A3491" s="634">
        <v>15</v>
      </c>
      <c r="B3491" s="635" t="s">
        <v>291</v>
      </c>
      <c r="C3491" s="636" t="s">
        <v>3936</v>
      </c>
      <c r="D3491" s="637" t="s">
        <v>299</v>
      </c>
      <c r="E3491" s="638">
        <v>169.95</v>
      </c>
      <c r="F3491" s="639" t="s">
        <v>292</v>
      </c>
      <c r="G3491" s="484">
        <v>0</v>
      </c>
      <c r="H3491" s="691" t="str">
        <f>IF(G3491=0,"",IF(F3491="Buy",IF(G3491=1,"plant","plants"),IF(F3491&gt;0.01,"warranty","Error")))</f>
        <v/>
      </c>
      <c r="I3491" s="640">
        <f>IF(H3491="free",0,IF(H3491="credit",((E3491*(F3491))*G3491*-1),IF(F3491="Buy",(E3491*G3491),((E3491*(1-F3491))*G3491))))</f>
        <v>0</v>
      </c>
      <c r="J3491" s="640">
        <f>IF(H3491="warranty",0,(I3491*(_xlfn.SINGLE(SalesTaxPercentage))))</f>
        <v>0</v>
      </c>
      <c r="K3491" s="716">
        <f t="shared" ref="K3491" si="2679">I3491+J3491</f>
        <v>0</v>
      </c>
      <c r="L3491" s="716"/>
      <c r="M3491" s="689" t="str">
        <f ca="1">IF(AND(G3491&gt;0,E3491=0),"WARNING - no PRICE inserted",IF(H3491="free","FREE ~ no charge this plant",IF(H3491="credit",CONCATENATE("-$",ROUND(K3491*(1-_xlfn.SINGLE(T2GDiscount))*-1,2)," CREDIT after discount"),IF(_xlfn.SINGLE(T2GDiscount)=0,"",IF(G3491=0,"",IF(F3491="Buy",CONCATENATE("$",ROUND(K3491*(1-_xlfn.SINGLE(T2GDiscount)),2)," with ",(_xlfn.SINGLE(T2GDiscount)*100),"% discount"),CONCATENATE("$",ROUND(K3491*(1-_xlfn.SINGLE(T2GDiscount)),2)," with ",((_xlfn.SINGLE(T2GDiscount)*100+F3491*100)-(_xlfn.SINGLE(T2GDiscount)*100*F3491)),IF(F3491&gt;0,"% discounts",IF(_xlfn.SINGLE(NoWarrantyDiscount)&gt;0,"% discounts","% discount")))))))))</f>
        <v/>
      </c>
      <c r="N3491" s="690"/>
      <c r="O3491" s="486"/>
      <c r="P3491" s="486"/>
      <c r="Q3491" s="486"/>
      <c r="R3491" s="486"/>
      <c r="S3491" s="486"/>
      <c r="T3491" s="102">
        <f t="shared" si="2660"/>
        <v>0</v>
      </c>
      <c r="U3491" s="78">
        <f>IF(NOT(ISNUMBER(G3491)), "", VLOOKUP(A3491,'Discount Lookup'!D:E,2,FALSE)*G3491)</f>
        <v>0</v>
      </c>
      <c r="V3491" s="78">
        <f>IF(NOT(ISNUMBER(G3491)), "", VLOOKUP(A3491,'Discount Lookup'!G:H,2,FALSE)*G3491)</f>
        <v>0</v>
      </c>
      <c r="W3491" s="102">
        <f t="shared" si="2661"/>
        <v>0</v>
      </c>
      <c r="X3491" s="102">
        <f t="shared" si="2662"/>
        <v>0</v>
      </c>
      <c r="Y3491" s="120" t="b">
        <f t="shared" si="2663"/>
        <v>0</v>
      </c>
      <c r="Z3491" s="117">
        <f t="shared" si="2664"/>
        <v>0</v>
      </c>
      <c r="AA3491" s="118"/>
      <c r="AB3491" s="118" t="str">
        <f t="shared" si="2665"/>
        <v/>
      </c>
      <c r="AC3491" s="712" t="str">
        <f>IF(AE3491="T2G","no charge",IF(AND(OR(PlanterYesMe="No",PlanterYesMe="N",PlanterYesMe="me"),H3491=""),"",IF(H3491="credit","NO install",IF(AND(K3491="",AE3491="me"),"EACH row",IF(AND(K3491="images",AE3491="me"),"EACH row",IF(D3491="","",IF(H3491="credit","",IF(AE3491="free","re-planting",IF(AE3491="me","   not ELP, by",IF(AND(OR(PlanterYesMe="Yes",PlanterYesMe="Y"),G3491&gt;0),(VLOOKUP(A3491,'Discount Lookup'!J:K,2)*G3491*(1-PlanterDiscount)*(1+PlanterDifficultyPercentage)),IF(AE3491="ELP",(VLOOKUP(A3491,'Discount Lookup'!J:K,2)*G3491*(1-PlanterDiscount)*(1+PlanterDifficultyPercentage)),IF(AE3491="free","re-planting",IF(G3491=0,"",IF(PlanterYesMe="",IF(AE3491="me","   not ELP, by",IF(AE3491="",IF(G3491&gt;0,(VLOOKUP(A3491,'Discount Lookup'!J:K,2)*G3491*(1-PlanterDiscount)*(1+PlanterDifficultyPercentage)),""),"")),"   not ELP, by"))))))))))))))</f>
        <v/>
      </c>
      <c r="AD3491" s="712"/>
      <c r="AE3491" s="513" t="str">
        <f t="shared" si="2666"/>
        <v/>
      </c>
      <c r="AF3491" s="713" t="str">
        <f t="shared" si="2667"/>
        <v/>
      </c>
      <c r="AG3491" s="713"/>
      <c r="AH3491" s="713"/>
      <c r="AI3491" s="112">
        <f>IF(H3491="credit",0,IF(AE3491="free",0,IF(AE3491="me",0,IF(G3491&gt;0,(VLOOKUP(A3491,'Discount Lookup'!J:K,2)*G3491),0))))</f>
        <v>0</v>
      </c>
      <c r="AJ3491" s="107" t="str">
        <f t="shared" ca="1" si="2668"/>
        <v/>
      </c>
      <c r="AK3491" s="714" t="str">
        <f t="shared" si="2669"/>
        <v/>
      </c>
      <c r="AL3491" s="714"/>
      <c r="AM3491" s="114" t="str">
        <f t="shared" si="2670"/>
        <v/>
      </c>
      <c r="AN3491" s="115"/>
      <c r="AO3491" s="116"/>
      <c r="AP3491" s="116"/>
      <c r="AQ3491" s="116"/>
      <c r="AR3491" s="116"/>
      <c r="AS3491" s="116"/>
      <c r="AT3491" s="116"/>
      <c r="AU3491" s="116"/>
      <c r="AV3491" s="78"/>
      <c r="AW3491" s="102"/>
      <c r="AX3491" s="78"/>
      <c r="AY3491" s="78"/>
      <c r="AZ3491" s="78"/>
      <c r="BA3491" s="78"/>
      <c r="BB3491" s="78"/>
      <c r="BC3491" s="78"/>
      <c r="BD3491" s="78"/>
      <c r="BE3491" s="465"/>
      <c r="BF3491" s="165" t="str">
        <f t="shared" si="2671"/>
        <v>https://www.google.com/search?tbm=isch&amp;q=15%20G4</v>
      </c>
      <c r="BG3491" s="165" t="str">
        <f t="shared" si="2672"/>
        <v>Q</v>
      </c>
      <c r="BH3491" s="65"/>
      <c r="BI3491" s="65"/>
      <c r="BJ3491" s="65"/>
      <c r="BK3491" s="65"/>
      <c r="BL3491" s="99"/>
      <c r="BM3491" s="99"/>
      <c r="BN3491" s="99"/>
    </row>
    <row r="3492" spans="1:66" s="51" customFormat="1" ht="15.75" x14ac:dyDescent="0.25">
      <c r="A3492" s="634">
        <v>25</v>
      </c>
      <c r="B3492" s="635" t="s">
        <v>291</v>
      </c>
      <c r="C3492" s="636" t="s">
        <v>3937</v>
      </c>
      <c r="D3492" s="637" t="s">
        <v>299</v>
      </c>
      <c r="E3492" s="638">
        <v>339.95</v>
      </c>
      <c r="F3492" s="639" t="s">
        <v>292</v>
      </c>
      <c r="G3492" s="484">
        <v>0</v>
      </c>
      <c r="H3492" s="691" t="str">
        <f>IF(G3492=0,"",IF(F3492="Buy",IF(G3492=1,"plant","plants"),IF(F3492&gt;0.01,"warranty","Error")))</f>
        <v/>
      </c>
      <c r="I3492" s="640">
        <f>IF(H3492="free",0,IF(H3492="credit",((E3492*(F3492))*G3492*-1),IF(F3492="Buy",(E3492*G3492),((E3492*(1-F3492))*G3492))))</f>
        <v>0</v>
      </c>
      <c r="J3492" s="640">
        <f>IF(H3492="warranty",0,(I3492*(_xlfn.SINGLE(SalesTaxPercentage))))</f>
        <v>0</v>
      </c>
      <c r="K3492" s="716">
        <f t="shared" ref="K3492" si="2680">I3492+J3492</f>
        <v>0</v>
      </c>
      <c r="L3492" s="716"/>
      <c r="M3492" s="689" t="str">
        <f ca="1">IF(AND(G3492&gt;0,E3492=0),"WARNING - no PRICE inserted",IF(H3492="free","FREE ~ no charge this plant",IF(H3492="credit",CONCATENATE("-$",ROUND(K3492*(1-_xlfn.SINGLE(T2GDiscount))*-1,2)," CREDIT after discount"),IF(_xlfn.SINGLE(T2GDiscount)=0,"",IF(G3492=0,"",IF(F3492="Buy",CONCATENATE("$",ROUND(K3492*(1-_xlfn.SINGLE(T2GDiscount)),2)," with ",(_xlfn.SINGLE(T2GDiscount)*100),"% discount"),CONCATENATE("$",ROUND(K3492*(1-_xlfn.SINGLE(T2GDiscount)),2)," with ",((_xlfn.SINGLE(T2GDiscount)*100+F3492*100)-(_xlfn.SINGLE(T2GDiscount)*100*F3492)),IF(F3492&gt;0,"% discounts",IF(_xlfn.SINGLE(NoWarrantyDiscount)&gt;0,"% discounts","% discount")))))))))</f>
        <v/>
      </c>
      <c r="N3492" s="690"/>
      <c r="O3492" s="486"/>
      <c r="P3492" s="486"/>
      <c r="Q3492" s="486"/>
      <c r="R3492" s="486"/>
      <c r="S3492" s="486"/>
      <c r="T3492" s="102">
        <f t="shared" si="2660"/>
        <v>0</v>
      </c>
      <c r="U3492" s="78">
        <f>IF(NOT(ISNUMBER(G3492)), "", VLOOKUP(A3492,'Discount Lookup'!D:E,2,FALSE)*G3492)</f>
        <v>0</v>
      </c>
      <c r="V3492" s="78">
        <f>IF(NOT(ISNUMBER(G3492)), "", VLOOKUP(A3492,'Discount Lookup'!G:H,2,FALSE)*G3492)</f>
        <v>0</v>
      </c>
      <c r="W3492" s="102">
        <f t="shared" si="2661"/>
        <v>0</v>
      </c>
      <c r="X3492" s="102">
        <f t="shared" si="2662"/>
        <v>0</v>
      </c>
      <c r="Y3492" s="120" t="b">
        <f t="shared" si="2663"/>
        <v>0</v>
      </c>
      <c r="Z3492" s="117">
        <f t="shared" si="2664"/>
        <v>0</v>
      </c>
      <c r="AA3492" s="118"/>
      <c r="AB3492" s="118" t="str">
        <f t="shared" si="2665"/>
        <v/>
      </c>
      <c r="AC3492" s="712" t="str">
        <f>IF(AE3492="T2G","no charge",IF(AND(OR(PlanterYesMe="No",PlanterYesMe="N",PlanterYesMe="me"),H3492=""),"",IF(H3492="credit","NO install",IF(AND(K3492="",AE3492="me"),"EACH row",IF(AND(K3492="images",AE3492="me"),"EACH row",IF(D3492="","",IF(H3492="credit","",IF(AE3492="free","re-planting",IF(AE3492="me","   not ELP, by",IF(AND(OR(PlanterYesMe="Yes",PlanterYesMe="Y"),G3492&gt;0),(VLOOKUP(A3492,'Discount Lookup'!J:K,2)*G3492*(1-PlanterDiscount)*(1+PlanterDifficultyPercentage)),IF(AE3492="ELP",(VLOOKUP(A3492,'Discount Lookup'!J:K,2)*G3492*(1-PlanterDiscount)*(1+PlanterDifficultyPercentage)),IF(AE3492="free","re-planting",IF(G3492=0,"",IF(PlanterYesMe="",IF(AE3492="me","   not ELP, by",IF(AE3492="",IF(G3492&gt;0,(VLOOKUP(A3492,'Discount Lookup'!J:K,2)*G3492*(1-PlanterDiscount)*(1+PlanterDifficultyPercentage)),""),"")),"   not ELP, by"))))))))))))))</f>
        <v/>
      </c>
      <c r="AD3492" s="712"/>
      <c r="AE3492" s="513" t="str">
        <f t="shared" si="2666"/>
        <v/>
      </c>
      <c r="AF3492" s="713" t="str">
        <f t="shared" si="2667"/>
        <v/>
      </c>
      <c r="AG3492" s="713"/>
      <c r="AH3492" s="713"/>
      <c r="AI3492" s="112">
        <f>IF(H3492="credit",0,IF(AE3492="free",0,IF(AE3492="me",0,IF(G3492&gt;0,(VLOOKUP(A3492,'Discount Lookup'!J:K,2)*G3492),0))))</f>
        <v>0</v>
      </c>
      <c r="AJ3492" s="107" t="str">
        <f t="shared" ca="1" si="2668"/>
        <v/>
      </c>
      <c r="AK3492" s="714" t="str">
        <f t="shared" si="2669"/>
        <v/>
      </c>
      <c r="AL3492" s="714"/>
      <c r="AM3492" s="114" t="str">
        <f t="shared" si="2670"/>
        <v/>
      </c>
      <c r="AN3492" s="115"/>
      <c r="AO3492" s="116"/>
      <c r="AP3492" s="116"/>
      <c r="AQ3492" s="116"/>
      <c r="AR3492" s="116"/>
      <c r="AS3492" s="116"/>
      <c r="AT3492" s="116"/>
      <c r="AU3492" s="116"/>
      <c r="AV3492" s="78"/>
      <c r="AW3492" s="102"/>
      <c r="AX3492" s="78"/>
      <c r="AY3492" s="78"/>
      <c r="AZ3492" s="78"/>
      <c r="BA3492" s="78"/>
      <c r="BB3492" s="78"/>
      <c r="BC3492" s="78"/>
      <c r="BD3492" s="78"/>
      <c r="BE3492" s="465"/>
      <c r="BF3492" s="165" t="str">
        <f t="shared" si="2671"/>
        <v>https://www.google.com/search?tbm=isch&amp;q=25%20G4</v>
      </c>
      <c r="BG3492" s="165" t="str">
        <f t="shared" si="2672"/>
        <v>Q</v>
      </c>
      <c r="BH3492" s="65"/>
      <c r="BI3492" s="65"/>
      <c r="BJ3492" s="65"/>
      <c r="BK3492" s="65"/>
      <c r="BL3492" s="99"/>
      <c r="BM3492" s="99"/>
      <c r="BN3492" s="99"/>
    </row>
    <row r="3493" spans="1:66" s="51" customFormat="1" ht="17.25" thickBot="1" x14ac:dyDescent="0.3">
      <c r="A3493" s="704" t="s">
        <v>5518</v>
      </c>
      <c r="B3493" s="642"/>
      <c r="C3493" s="710"/>
      <c r="D3493" s="643"/>
      <c r="E3493" s="643"/>
      <c r="F3493" s="644"/>
      <c r="G3493" s="645"/>
      <c r="H3493" s="646"/>
      <c r="I3493" s="647"/>
      <c r="J3493" s="648"/>
      <c r="K3493" s="649"/>
      <c r="L3493" s="650"/>
      <c r="M3493" s="650"/>
      <c r="N3493" s="644"/>
      <c r="O3493" s="644"/>
      <c r="P3493" s="644"/>
      <c r="Q3493" s="644"/>
      <c r="R3493" s="644"/>
      <c r="S3493" s="701" t="s">
        <v>5253</v>
      </c>
      <c r="T3493" s="102">
        <f t="shared" si="2660"/>
        <v>0</v>
      </c>
      <c r="U3493" s="78" t="str">
        <f>IF(NOT(ISNUMBER(G3493)), "", VLOOKUP(A3493,'Discount Lookup'!D:E,2,FALSE)*G3493)</f>
        <v/>
      </c>
      <c r="V3493" s="78" t="str">
        <f>IF(NOT(ISNUMBER(G3493)), "", VLOOKUP(A3493,'Discount Lookup'!G:H,2,FALSE)*G3493)</f>
        <v/>
      </c>
      <c r="W3493" s="102">
        <f t="shared" si="2661"/>
        <v>0</v>
      </c>
      <c r="X3493" s="102">
        <f t="shared" si="2662"/>
        <v>0</v>
      </c>
      <c r="Y3493" s="120" t="b">
        <f t="shared" si="2663"/>
        <v>0</v>
      </c>
      <c r="Z3493" s="117">
        <f t="shared" si="2664"/>
        <v>0</v>
      </c>
      <c r="AA3493" s="118"/>
      <c r="AB3493" s="118" t="str">
        <f t="shared" si="2665"/>
        <v/>
      </c>
      <c r="AC3493" s="712" t="str">
        <f>IF(AE3493="T2G","no charge",IF(AND(OR(PlanterYesMe="No",PlanterYesMe="N",PlanterYesMe="me"),H3493=""),"",IF(H3493="credit","NO install",IF(AND(K3493="",AE3493="me"),"EACH row",IF(AND(K3493="images",AE3493="me"),"EACH row",IF(D3493="","",IF(H3493="credit","",IF(AE3493="free","re-planting",IF(AE3493="me","   not ELP, by",IF(AND(OR(PlanterYesMe="Yes",PlanterYesMe="Y"),G3493&gt;0),(VLOOKUP(A3493,'Discount Lookup'!J:K,2)*G3493*(1-PlanterDiscount)*(1+PlanterDifficultyPercentage)),IF(AE3493="ELP",(VLOOKUP(A3493,'Discount Lookup'!J:K,2)*G3493*(1-PlanterDiscount)*(1+PlanterDifficultyPercentage)),IF(AE3493="free","re-planting",IF(G3493=0,"",IF(PlanterYesMe="",IF(AE3493="me","   not ELP, by",IF(AE3493="",IF(G3493&gt;0,(VLOOKUP(A3493,'Discount Lookup'!J:K,2)*G3493*(1-PlanterDiscount)*(1+PlanterDifficultyPercentage)),""),"")),"   not ELP, by"))))))))))))))</f>
        <v/>
      </c>
      <c r="AD3493" s="712"/>
      <c r="AE3493" s="513" t="str">
        <f t="shared" si="2666"/>
        <v/>
      </c>
      <c r="AF3493" s="713" t="str">
        <f t="shared" si="2667"/>
        <v/>
      </c>
      <c r="AG3493" s="713"/>
      <c r="AH3493" s="713"/>
      <c r="AI3493" s="112">
        <f>IF(H3493="credit",0,IF(AE3493="free",0,IF(AE3493="me",0,IF(G3493&gt;0,(VLOOKUP(A3493,'Discount Lookup'!J:K,2)*G3493),0))))</f>
        <v>0</v>
      </c>
      <c r="AJ3493" s="107" t="str">
        <f t="shared" ca="1" si="2668"/>
        <v/>
      </c>
      <c r="AK3493" s="714" t="str">
        <f t="shared" si="2669"/>
        <v/>
      </c>
      <c r="AL3493" s="714"/>
      <c r="AM3493" s="114" t="str">
        <f t="shared" si="2670"/>
        <v/>
      </c>
      <c r="AN3493" s="115"/>
      <c r="AO3493" s="116"/>
      <c r="AP3493" s="116"/>
      <c r="AQ3493" s="116"/>
      <c r="AR3493" s="116"/>
      <c r="AS3493" s="116"/>
      <c r="AT3493" s="116"/>
      <c r="AU3493" s="116"/>
      <c r="AV3493" s="78"/>
      <c r="AW3493" s="102"/>
      <c r="AX3493" s="78"/>
      <c r="AY3493" s="78"/>
      <c r="AZ3493" s="78"/>
      <c r="BA3493" s="78"/>
      <c r="BB3493" s="78"/>
      <c r="BC3493" s="78"/>
      <c r="BD3493" s="78"/>
      <c r="BE3493" s="465"/>
      <c r="BF3493" s="165" t="str">
        <f t="shared" si="2671"/>
        <v>https://www.google.com/search?tbm=isch&amp;q=wet%20sites%F0%9F%92%A7GOOD%2C%20Nuttall%20is%20a%20dull%2C%20but%20versatile%20tree%2C%20tolerating%20a%20wide%20variety%20of%20soils%20%26%20growing%20conditions.%20Red%20to%20Crimson%20fall%20foliage%20</v>
      </c>
      <c r="BG3493" s="165" t="str">
        <f t="shared" si="2672"/>
        <v>w</v>
      </c>
      <c r="BH3493" s="65"/>
      <c r="BI3493" s="65"/>
      <c r="BJ3493" s="65"/>
      <c r="BK3493" s="65"/>
      <c r="BL3493" s="99"/>
      <c r="BM3493" s="99"/>
      <c r="BN3493" s="99"/>
    </row>
    <row r="3494" spans="1:66" s="51" customFormat="1" ht="18" x14ac:dyDescent="0.25">
      <c r="A3494" s="623" t="s">
        <v>3938</v>
      </c>
      <c r="B3494" s="624"/>
      <c r="C3494" s="709"/>
      <c r="D3494" s="625" t="s">
        <v>3939</v>
      </c>
      <c r="E3494" s="626"/>
      <c r="F3494" s="626"/>
      <c r="G3494" s="626"/>
      <c r="H3494" s="622" t="s">
        <v>344</v>
      </c>
      <c r="I3494" s="627" t="s">
        <v>432</v>
      </c>
      <c r="J3494" s="628"/>
      <c r="K3494" s="628"/>
      <c r="L3494" s="629"/>
      <c r="M3494" s="700" t="s">
        <v>5241</v>
      </c>
      <c r="N3494" s="693" t="str">
        <f>IF(AND(ISTEXT($A3494), ISERROR($A3494+0)), HYPERLINK($BF3494, "Images"), "")</f>
        <v>Images</v>
      </c>
      <c r="O3494" s="695" t="s">
        <v>5264</v>
      </c>
      <c r="P3494" s="630"/>
      <c r="Q3494" s="631"/>
      <c r="R3494" s="632"/>
      <c r="S3494" s="633" t="s">
        <v>294</v>
      </c>
      <c r="T3494" s="102">
        <f t="shared" si="2660"/>
        <v>0</v>
      </c>
      <c r="U3494" s="78" t="str">
        <f>IF(NOT(ISNUMBER(G3494)), "", VLOOKUP(A3494,'Discount Lookup'!D:E,2,FALSE)*G3494)</f>
        <v/>
      </c>
      <c r="V3494" s="78" t="str">
        <f>IF(NOT(ISNUMBER(G3494)), "", VLOOKUP(A3494,'Discount Lookup'!G:H,2,FALSE)*G3494)</f>
        <v/>
      </c>
      <c r="W3494" s="102">
        <f t="shared" si="2661"/>
        <v>0</v>
      </c>
      <c r="X3494" s="102" t="str">
        <f t="shared" si="2662"/>
        <v>Green foliage</v>
      </c>
      <c r="Y3494" s="120" t="b">
        <f t="shared" si="2663"/>
        <v>0</v>
      </c>
      <c r="Z3494" s="117">
        <f t="shared" si="2664"/>
        <v>0</v>
      </c>
      <c r="AA3494" s="118"/>
      <c r="AB3494" s="118" t="str">
        <f t="shared" si="2665"/>
        <v/>
      </c>
      <c r="AC3494" s="712" t="str">
        <f>IF(AE3494="T2G","no charge",IF(AND(OR(PlanterYesMe="No",PlanterYesMe="N",PlanterYesMe="me"),H3494=""),"",IF(H3494="credit","NO install",IF(AND(K3494="",AE3494="me"),"EACH row",IF(AND(K3494="images",AE3494="me"),"EACH row",IF(D3494="","",IF(H3494="credit","",IF(AE3494="free","re-planting",IF(AE3494="me","   not ELP, by",IF(AND(OR(PlanterYesMe="Yes",PlanterYesMe="Y"),G3494&gt;0),(VLOOKUP(A3494,'Discount Lookup'!J:K,2)*G3494*(1-PlanterDiscount)*(1+PlanterDifficultyPercentage)),IF(AE3494="ELP",(VLOOKUP(A3494,'Discount Lookup'!J:K,2)*G3494*(1-PlanterDiscount)*(1+PlanterDifficultyPercentage)),IF(AE3494="free","re-planting",IF(G3494=0,"",IF(PlanterYesMe="",IF(AE3494="me","   not ELP, by",IF(AE3494="",IF(G3494&gt;0,(VLOOKUP(A3494,'Discount Lookup'!J:K,2)*G3494*(1-PlanterDiscount)*(1+PlanterDifficultyPercentage)),""),"")),"   not ELP, by"))))))))))))))</f>
        <v/>
      </c>
      <c r="AD3494" s="712"/>
      <c r="AE3494" s="513" t="str">
        <f t="shared" si="2666"/>
        <v/>
      </c>
      <c r="AF3494" s="713" t="str">
        <f t="shared" si="2667"/>
        <v/>
      </c>
      <c r="AG3494" s="713"/>
      <c r="AH3494" s="713"/>
      <c r="AI3494" s="112">
        <f>IF(H3494="credit",0,IF(AE3494="free",0,IF(AE3494="me",0,IF(G3494&gt;0,(VLOOKUP(A3494,'Discount Lookup'!J:K,2)*G3494),0))))</f>
        <v>0</v>
      </c>
      <c r="AJ3494" s="107" t="str">
        <f t="shared" ca="1" si="2668"/>
        <v/>
      </c>
      <c r="AK3494" s="714" t="str">
        <f t="shared" si="2669"/>
        <v/>
      </c>
      <c r="AL3494" s="714"/>
      <c r="AM3494" s="114" t="str">
        <f t="shared" si="2670"/>
        <v/>
      </c>
      <c r="AN3494" s="115"/>
      <c r="AO3494" s="116"/>
      <c r="AP3494" s="116"/>
      <c r="AQ3494" s="116"/>
      <c r="AR3494" s="116"/>
      <c r="AS3494" s="116"/>
      <c r="AT3494" s="116"/>
      <c r="AU3494" s="116"/>
      <c r="AV3494" s="78"/>
      <c r="AW3494" s="102"/>
      <c r="AX3494" s="78"/>
      <c r="AY3494" s="78"/>
      <c r="AZ3494" s="78"/>
      <c r="BA3494" s="78"/>
      <c r="BB3494" s="78"/>
      <c r="BC3494" s="78"/>
      <c r="BD3494" s="78"/>
      <c r="BE3494" s="465"/>
      <c r="BF3494" s="165" t="str">
        <f t="shared" si="2671"/>
        <v>https://www.google.com/search?tbm=isch&amp;q=Quercus%20palustris%20Pin%20Oak</v>
      </c>
      <c r="BG3494" s="165" t="str">
        <f t="shared" si="2672"/>
        <v>Q</v>
      </c>
      <c r="BH3494" s="65"/>
      <c r="BI3494" s="65"/>
      <c r="BJ3494" s="65"/>
      <c r="BK3494" s="65"/>
      <c r="BL3494" s="99"/>
      <c r="BM3494" s="99"/>
      <c r="BN3494" s="99"/>
    </row>
    <row r="3495" spans="1:66" s="51" customFormat="1" ht="15.75" x14ac:dyDescent="0.25">
      <c r="A3495" s="634">
        <v>25</v>
      </c>
      <c r="B3495" s="635" t="s">
        <v>291</v>
      </c>
      <c r="C3495" s="636" t="s">
        <v>3940</v>
      </c>
      <c r="D3495" s="637" t="s">
        <v>293</v>
      </c>
      <c r="E3495" s="638">
        <v>299.95</v>
      </c>
      <c r="F3495" s="639" t="s">
        <v>292</v>
      </c>
      <c r="G3495" s="484">
        <v>0</v>
      </c>
      <c r="H3495" s="691" t="str">
        <f>IF(G3495=0,"",IF(F3495="Buy",IF(G3495=1,"plant","plants"),IF(F3495&gt;0.01,"warranty","Error")))</f>
        <v/>
      </c>
      <c r="I3495" s="640">
        <f>IF(H3495="free",0,IF(H3495="credit",((E3495*(F3495))*G3495*-1),IF(F3495="Buy",(E3495*G3495),((E3495*(1-F3495))*G3495))))</f>
        <v>0</v>
      </c>
      <c r="J3495" s="640">
        <f>IF(H3495="warranty",0,(I3495*(_xlfn.SINGLE(SalesTaxPercentage))))</f>
        <v>0</v>
      </c>
      <c r="K3495" s="716">
        <f t="shared" ref="K3495" si="2681">I3495+J3495</f>
        <v>0</v>
      </c>
      <c r="L3495" s="716"/>
      <c r="M3495" s="689" t="str">
        <f ca="1">IF(AND(G3495&gt;0,E3495=0),"WARNING - no PRICE inserted",IF(H3495="free","FREE ~ no charge this plant",IF(H3495="credit",CONCATENATE("-$",ROUND(K3495*(1-_xlfn.SINGLE(T2GDiscount))*-1,2)," CREDIT after discount"),IF(_xlfn.SINGLE(T2GDiscount)=0,"",IF(G3495=0,"",IF(F3495="Buy",CONCATENATE("$",ROUND(K3495*(1-_xlfn.SINGLE(T2GDiscount)),2)," with ",(_xlfn.SINGLE(T2GDiscount)*100),"% discount"),CONCATENATE("$",ROUND(K3495*(1-_xlfn.SINGLE(T2GDiscount)),2)," with ",((_xlfn.SINGLE(T2GDiscount)*100+F3495*100)-(_xlfn.SINGLE(T2GDiscount)*100*F3495)),IF(F3495&gt;0,"% discounts",IF(_xlfn.SINGLE(NoWarrantyDiscount)&gt;0,"% discounts","% discount")))))))))</f>
        <v/>
      </c>
      <c r="N3495" s="690"/>
      <c r="O3495" s="486"/>
      <c r="P3495" s="486"/>
      <c r="Q3495" s="486"/>
      <c r="R3495" s="486"/>
      <c r="S3495" s="486"/>
      <c r="T3495" s="102">
        <f t="shared" si="2660"/>
        <v>0</v>
      </c>
      <c r="U3495" s="78">
        <f>IF(NOT(ISNUMBER(G3495)), "", VLOOKUP(A3495,'Discount Lookup'!D:E,2,FALSE)*G3495)</f>
        <v>0</v>
      </c>
      <c r="V3495" s="78">
        <f>IF(NOT(ISNUMBER(G3495)), "", VLOOKUP(A3495,'Discount Lookup'!G:H,2,FALSE)*G3495)</f>
        <v>0</v>
      </c>
      <c r="W3495" s="102">
        <f t="shared" si="2661"/>
        <v>0</v>
      </c>
      <c r="X3495" s="102">
        <f t="shared" si="2662"/>
        <v>0</v>
      </c>
      <c r="Y3495" s="120" t="b">
        <f t="shared" si="2663"/>
        <v>0</v>
      </c>
      <c r="Z3495" s="117">
        <f t="shared" si="2664"/>
        <v>0</v>
      </c>
      <c r="AA3495" s="118"/>
      <c r="AB3495" s="118" t="str">
        <f t="shared" si="2665"/>
        <v/>
      </c>
      <c r="AC3495" s="712" t="str">
        <f>IF(AE3495="T2G","no charge",IF(AND(OR(PlanterYesMe="No",PlanterYesMe="N",PlanterYesMe="me"),H3495=""),"",IF(H3495="credit","NO install",IF(AND(K3495="",AE3495="me"),"EACH row",IF(AND(K3495="images",AE3495="me"),"EACH row",IF(D3495="","",IF(H3495="credit","",IF(AE3495="free","re-planting",IF(AE3495="me","   not ELP, by",IF(AND(OR(PlanterYesMe="Yes",PlanterYesMe="Y"),G3495&gt;0),(VLOOKUP(A3495,'Discount Lookup'!J:K,2)*G3495*(1-PlanterDiscount)*(1+PlanterDifficultyPercentage)),IF(AE3495="ELP",(VLOOKUP(A3495,'Discount Lookup'!J:K,2)*G3495*(1-PlanterDiscount)*(1+PlanterDifficultyPercentage)),IF(AE3495="free","re-planting",IF(G3495=0,"",IF(PlanterYesMe="",IF(AE3495="me","   not ELP, by",IF(AE3495="",IF(G3495&gt;0,(VLOOKUP(A3495,'Discount Lookup'!J:K,2)*G3495*(1-PlanterDiscount)*(1+PlanterDifficultyPercentage)),""),"")),"   not ELP, by"))))))))))))))</f>
        <v/>
      </c>
      <c r="AD3495" s="712"/>
      <c r="AE3495" s="513" t="str">
        <f t="shared" si="2666"/>
        <v/>
      </c>
      <c r="AF3495" s="713" t="str">
        <f t="shared" si="2667"/>
        <v/>
      </c>
      <c r="AG3495" s="713"/>
      <c r="AH3495" s="713"/>
      <c r="AI3495" s="112">
        <f>IF(H3495="credit",0,IF(AE3495="free",0,IF(AE3495="me",0,IF(G3495&gt;0,(VLOOKUP(A3495,'Discount Lookup'!J:K,2)*G3495),0))))</f>
        <v>0</v>
      </c>
      <c r="AJ3495" s="107" t="str">
        <f t="shared" ca="1" si="2668"/>
        <v/>
      </c>
      <c r="AK3495" s="714" t="str">
        <f t="shared" si="2669"/>
        <v/>
      </c>
      <c r="AL3495" s="714"/>
      <c r="AM3495" s="114" t="str">
        <f t="shared" si="2670"/>
        <v/>
      </c>
      <c r="AN3495" s="115"/>
      <c r="AO3495" s="116"/>
      <c r="AP3495" s="116"/>
      <c r="AQ3495" s="116"/>
      <c r="AR3495" s="116"/>
      <c r="AS3495" s="116"/>
      <c r="AT3495" s="116"/>
      <c r="AU3495" s="116"/>
      <c r="AV3495" s="78"/>
      <c r="AW3495" s="102"/>
      <c r="AX3495" s="78"/>
      <c r="AY3495" s="78"/>
      <c r="AZ3495" s="78"/>
      <c r="BA3495" s="78"/>
      <c r="BB3495" s="78"/>
      <c r="BC3495" s="78"/>
      <c r="BD3495" s="78"/>
      <c r="BE3495" s="465"/>
      <c r="BF3495" s="165" t="str">
        <f t="shared" si="2671"/>
        <v>https://www.google.com/search?tbm=isch&amp;q=25%20G6</v>
      </c>
      <c r="BG3495" s="165" t="str">
        <f t="shared" si="2672"/>
        <v>Q</v>
      </c>
      <c r="BH3495" s="65"/>
      <c r="BI3495" s="65"/>
      <c r="BJ3495" s="65"/>
      <c r="BK3495" s="65"/>
      <c r="BL3495" s="99"/>
      <c r="BM3495" s="99"/>
      <c r="BN3495" s="99"/>
    </row>
    <row r="3496" spans="1:66" s="51" customFormat="1" ht="17.25" thickBot="1" x14ac:dyDescent="0.3">
      <c r="A3496" s="704" t="s">
        <v>5519</v>
      </c>
      <c r="B3496" s="642"/>
      <c r="C3496" s="710"/>
      <c r="D3496" s="643"/>
      <c r="E3496" s="643"/>
      <c r="F3496" s="644"/>
      <c r="G3496" s="645"/>
      <c r="H3496" s="646"/>
      <c r="I3496" s="647"/>
      <c r="J3496" s="648"/>
      <c r="K3496" s="649"/>
      <c r="L3496" s="650"/>
      <c r="M3496" s="650"/>
      <c r="N3496" s="644"/>
      <c r="O3496" s="644"/>
      <c r="P3496" s="644"/>
      <c r="Q3496" s="644"/>
      <c r="R3496" s="644"/>
      <c r="S3496" s="701" t="s">
        <v>5253</v>
      </c>
      <c r="T3496" s="102">
        <f t="shared" si="2660"/>
        <v>0</v>
      </c>
      <c r="U3496" s="78" t="str">
        <f>IF(NOT(ISNUMBER(G3496)), "", VLOOKUP(A3496,'Discount Lookup'!D:E,2,FALSE)*G3496)</f>
        <v/>
      </c>
      <c r="V3496" s="78" t="str">
        <f>IF(NOT(ISNUMBER(G3496)), "", VLOOKUP(A3496,'Discount Lookup'!G:H,2,FALSE)*G3496)</f>
        <v/>
      </c>
      <c r="W3496" s="102">
        <f t="shared" si="2661"/>
        <v>0</v>
      </c>
      <c r="X3496" s="102">
        <f t="shared" si="2662"/>
        <v>0</v>
      </c>
      <c r="Y3496" s="120" t="b">
        <f t="shared" si="2663"/>
        <v>0</v>
      </c>
      <c r="Z3496" s="117">
        <f t="shared" si="2664"/>
        <v>0</v>
      </c>
      <c r="AA3496" s="118"/>
      <c r="AB3496" s="118" t="str">
        <f t="shared" si="2665"/>
        <v/>
      </c>
      <c r="AC3496" s="712" t="str">
        <f>IF(AE3496="T2G","no charge",IF(AND(OR(PlanterYesMe="No",PlanterYesMe="N",PlanterYesMe="me"),H3496=""),"",IF(H3496="credit","NO install",IF(AND(K3496="",AE3496="me"),"EACH row",IF(AND(K3496="images",AE3496="me"),"EACH row",IF(D3496="","",IF(H3496="credit","",IF(AE3496="free","re-planting",IF(AE3496="me","   not ELP, by",IF(AND(OR(PlanterYesMe="Yes",PlanterYesMe="Y"),G3496&gt;0),(VLOOKUP(A3496,'Discount Lookup'!J:K,2)*G3496*(1-PlanterDiscount)*(1+PlanterDifficultyPercentage)),IF(AE3496="ELP",(VLOOKUP(A3496,'Discount Lookup'!J:K,2)*G3496*(1-PlanterDiscount)*(1+PlanterDifficultyPercentage)),IF(AE3496="free","re-planting",IF(G3496=0,"",IF(PlanterYesMe="",IF(AE3496="me","   not ELP, by",IF(AE3496="",IF(G3496&gt;0,(VLOOKUP(A3496,'Discount Lookup'!J:K,2)*G3496*(1-PlanterDiscount)*(1+PlanterDifficultyPercentage)),""),"")),"   not ELP, by"))))))))))))))</f>
        <v/>
      </c>
      <c r="AD3496" s="712"/>
      <c r="AE3496" s="513" t="str">
        <f t="shared" si="2666"/>
        <v/>
      </c>
      <c r="AF3496" s="713" t="str">
        <f t="shared" si="2667"/>
        <v/>
      </c>
      <c r="AG3496" s="713"/>
      <c r="AH3496" s="713"/>
      <c r="AI3496" s="112">
        <f>IF(H3496="credit",0,IF(AE3496="free",0,IF(AE3496="me",0,IF(G3496&gt;0,(VLOOKUP(A3496,'Discount Lookup'!J:K,2)*G3496),0))))</f>
        <v>0</v>
      </c>
      <c r="AJ3496" s="107" t="str">
        <f t="shared" ca="1" si="2668"/>
        <v/>
      </c>
      <c r="AK3496" s="714" t="str">
        <f t="shared" si="2669"/>
        <v/>
      </c>
      <c r="AL3496" s="714"/>
      <c r="AM3496" s="114" t="str">
        <f t="shared" si="2670"/>
        <v/>
      </c>
      <c r="AN3496" s="115"/>
      <c r="AO3496" s="116"/>
      <c r="AP3496" s="116"/>
      <c r="AQ3496" s="116"/>
      <c r="AR3496" s="116"/>
      <c r="AS3496" s="116"/>
      <c r="AT3496" s="116"/>
      <c r="AU3496" s="116"/>
      <c r="AV3496" s="78"/>
      <c r="AW3496" s="102"/>
      <c r="AX3496" s="78"/>
      <c r="AY3496" s="78"/>
      <c r="AZ3496" s="78"/>
      <c r="BA3496" s="78"/>
      <c r="BB3496" s="78"/>
      <c r="BC3496" s="78"/>
      <c r="BD3496" s="78"/>
      <c r="BE3496" s="465"/>
      <c r="BF3496" s="165" t="str">
        <f t="shared" si="2671"/>
        <v>https://www.google.com/search?tbm=isch&amp;q=wet%20sites%F0%9F%92%A7GOOD%2C%20Pin%20Oak%20named%20for%20broken%20branch%20stubs%2C%20not%20leaf%20shape%20%28do%20not%20confuse%20with%20Willow%20Oak%29.%20Red-Bronze-Brown%20in%20fall%20</v>
      </c>
      <c r="BG3496" s="165" t="str">
        <f t="shared" si="2672"/>
        <v>w</v>
      </c>
      <c r="BH3496" s="65"/>
      <c r="BI3496" s="65"/>
      <c r="BJ3496" s="65"/>
      <c r="BK3496" s="65"/>
      <c r="BL3496" s="99"/>
      <c r="BM3496" s="99"/>
      <c r="BN3496" s="99"/>
    </row>
    <row r="3497" spans="1:66" s="51" customFormat="1" ht="18" x14ac:dyDescent="0.25">
      <c r="A3497" s="623" t="s">
        <v>3941</v>
      </c>
      <c r="B3497" s="624"/>
      <c r="C3497" s="709"/>
      <c r="D3497" s="625" t="s">
        <v>3942</v>
      </c>
      <c r="E3497" s="626"/>
      <c r="F3497" s="626"/>
      <c r="G3497" s="626"/>
      <c r="H3497" s="622" t="s">
        <v>711</v>
      </c>
      <c r="I3497" s="627" t="s">
        <v>433</v>
      </c>
      <c r="J3497" s="628"/>
      <c r="K3497" s="628"/>
      <c r="L3497" s="629"/>
      <c r="M3497" s="700" t="s">
        <v>5241</v>
      </c>
      <c r="N3497" s="693" t="str">
        <f>IF(AND(ISTEXT($A3497), ISERROR($A3497+0)), HYPERLINK($BF3497, "Images"), "")</f>
        <v>Images</v>
      </c>
      <c r="O3497" s="695" t="s">
        <v>5264</v>
      </c>
      <c r="P3497" s="630"/>
      <c r="Q3497" s="631"/>
      <c r="R3497" s="632"/>
      <c r="S3497" s="633" t="s">
        <v>294</v>
      </c>
      <c r="T3497" s="102">
        <f t="shared" si="2660"/>
        <v>0</v>
      </c>
      <c r="U3497" s="78" t="str">
        <f>IF(NOT(ISNUMBER(G3497)), "", VLOOKUP(A3497,'Discount Lookup'!D:E,2,FALSE)*G3497)</f>
        <v/>
      </c>
      <c r="V3497" s="78" t="str">
        <f>IF(NOT(ISNUMBER(G3497)), "", VLOOKUP(A3497,'Discount Lookup'!G:H,2,FALSE)*G3497)</f>
        <v/>
      </c>
      <c r="W3497" s="102">
        <f t="shared" si="2661"/>
        <v>0</v>
      </c>
      <c r="X3497" s="102" t="str">
        <f t="shared" si="2662"/>
        <v>Bright Green foliage</v>
      </c>
      <c r="Y3497" s="120" t="b">
        <f t="shared" si="2663"/>
        <v>0</v>
      </c>
      <c r="Z3497" s="117">
        <f t="shared" si="2664"/>
        <v>0</v>
      </c>
      <c r="AA3497" s="118"/>
      <c r="AB3497" s="118" t="str">
        <f t="shared" si="2665"/>
        <v/>
      </c>
      <c r="AC3497" s="712" t="str">
        <f>IF(AE3497="T2G","no charge",IF(AND(OR(PlanterYesMe="No",PlanterYesMe="N",PlanterYesMe="me"),H3497=""),"",IF(H3497="credit","NO install",IF(AND(K3497="",AE3497="me"),"EACH row",IF(AND(K3497="images",AE3497="me"),"EACH row",IF(D3497="","",IF(H3497="credit","",IF(AE3497="free","re-planting",IF(AE3497="me","   not ELP, by",IF(AND(OR(PlanterYesMe="Yes",PlanterYesMe="Y"),G3497&gt;0),(VLOOKUP(A3497,'Discount Lookup'!J:K,2)*G3497*(1-PlanterDiscount)*(1+PlanterDifficultyPercentage)),IF(AE3497="ELP",(VLOOKUP(A3497,'Discount Lookup'!J:K,2)*G3497*(1-PlanterDiscount)*(1+PlanterDifficultyPercentage)),IF(AE3497="free","re-planting",IF(G3497=0,"",IF(PlanterYesMe="",IF(AE3497="me","   not ELP, by",IF(AE3497="",IF(G3497&gt;0,(VLOOKUP(A3497,'Discount Lookup'!J:K,2)*G3497*(1-PlanterDiscount)*(1+PlanterDifficultyPercentage)),""),"")),"   not ELP, by"))))))))))))))</f>
        <v/>
      </c>
      <c r="AD3497" s="712"/>
      <c r="AE3497" s="513" t="str">
        <f t="shared" si="2666"/>
        <v/>
      </c>
      <c r="AF3497" s="713" t="str">
        <f t="shared" si="2667"/>
        <v/>
      </c>
      <c r="AG3497" s="713"/>
      <c r="AH3497" s="713"/>
      <c r="AI3497" s="112">
        <f>IF(H3497="credit",0,IF(AE3497="free",0,IF(AE3497="me",0,IF(G3497&gt;0,(VLOOKUP(A3497,'Discount Lookup'!J:K,2)*G3497),0))))</f>
        <v>0</v>
      </c>
      <c r="AJ3497" s="107" t="str">
        <f t="shared" ca="1" si="2668"/>
        <v/>
      </c>
      <c r="AK3497" s="714" t="str">
        <f t="shared" si="2669"/>
        <v/>
      </c>
      <c r="AL3497" s="714"/>
      <c r="AM3497" s="114" t="str">
        <f t="shared" si="2670"/>
        <v/>
      </c>
      <c r="AN3497" s="115"/>
      <c r="AO3497" s="116"/>
      <c r="AP3497" s="116"/>
      <c r="AQ3497" s="116"/>
      <c r="AR3497" s="116"/>
      <c r="AS3497" s="116"/>
      <c r="AT3497" s="116"/>
      <c r="AU3497" s="116"/>
      <c r="AV3497" s="78"/>
      <c r="AW3497" s="102"/>
      <c r="AX3497" s="78"/>
      <c r="AY3497" s="78"/>
      <c r="AZ3497" s="78"/>
      <c r="BA3497" s="78"/>
      <c r="BB3497" s="78"/>
      <c r="BC3497" s="78"/>
      <c r="BD3497" s="78"/>
      <c r="BE3497" s="465"/>
      <c r="BF3497" s="165" t="str">
        <f t="shared" si="2671"/>
        <v>https://www.google.com/search?tbm=isch&amp;q=Quercus%20phellos%20Willow%20Oak</v>
      </c>
      <c r="BG3497" s="165" t="str">
        <f t="shared" si="2672"/>
        <v>Q</v>
      </c>
      <c r="BH3497" s="65"/>
      <c r="BI3497" s="65"/>
      <c r="BJ3497" s="65"/>
      <c r="BK3497" s="65"/>
      <c r="BL3497" s="99"/>
      <c r="BM3497" s="99"/>
      <c r="BN3497" s="99"/>
    </row>
    <row r="3498" spans="1:66" s="51" customFormat="1" ht="15.75" x14ac:dyDescent="0.25">
      <c r="A3498" s="634">
        <v>7</v>
      </c>
      <c r="B3498" s="635" t="s">
        <v>291</v>
      </c>
      <c r="C3498" s="636" t="s">
        <v>3928</v>
      </c>
      <c r="D3498" s="637" t="s">
        <v>299</v>
      </c>
      <c r="E3498" s="638">
        <v>100.95</v>
      </c>
      <c r="F3498" s="639" t="s">
        <v>292</v>
      </c>
      <c r="G3498" s="484">
        <v>0</v>
      </c>
      <c r="H3498" s="691" t="str">
        <f>IF(G3498=0,"",IF(F3498="Buy",IF(G3498=1,"plant","plants"),IF(F3498&gt;0.01,"warranty","Error")))</f>
        <v/>
      </c>
      <c r="I3498" s="640">
        <f>IF(H3498="free",0,IF(H3498="credit",((E3498*(F3498))*G3498*-1),IF(F3498="Buy",(E3498*G3498),((E3498*(1-F3498))*G3498))))</f>
        <v>0</v>
      </c>
      <c r="J3498" s="640">
        <f>IF(H3498="warranty",0,(I3498*(_xlfn.SINGLE(SalesTaxPercentage))))</f>
        <v>0</v>
      </c>
      <c r="K3498" s="716">
        <f t="shared" ref="K3498" si="2682">I3498+J3498</f>
        <v>0</v>
      </c>
      <c r="L3498" s="716"/>
      <c r="M3498" s="689" t="str">
        <f ca="1">IF(AND(G3498&gt;0,E3498=0),"WARNING - no PRICE inserted",IF(H3498="free","FREE ~ no charge this plant",IF(H3498="credit",CONCATENATE("-$",ROUND(K3498*(1-_xlfn.SINGLE(T2GDiscount))*-1,2)," CREDIT after discount"),IF(_xlfn.SINGLE(T2GDiscount)=0,"",IF(G3498=0,"",IF(F3498="Buy",CONCATENATE("$",ROUND(K3498*(1-_xlfn.SINGLE(T2GDiscount)),2)," with ",(_xlfn.SINGLE(T2GDiscount)*100),"% discount"),CONCATENATE("$",ROUND(K3498*(1-_xlfn.SINGLE(T2GDiscount)),2)," with ",((_xlfn.SINGLE(T2GDiscount)*100+F3498*100)-(_xlfn.SINGLE(T2GDiscount)*100*F3498)),IF(F3498&gt;0,"% discounts",IF(_xlfn.SINGLE(NoWarrantyDiscount)&gt;0,"% discounts","% discount")))))))))</f>
        <v/>
      </c>
      <c r="N3498" s="690"/>
      <c r="O3498" s="486"/>
      <c r="P3498" s="486"/>
      <c r="Q3498" s="486"/>
      <c r="R3498" s="486"/>
      <c r="S3498" s="486"/>
      <c r="T3498" s="102">
        <f t="shared" si="2660"/>
        <v>0</v>
      </c>
      <c r="U3498" s="78">
        <f>IF(NOT(ISNUMBER(G3498)), "", VLOOKUP(A3498,'Discount Lookup'!D:E,2,FALSE)*G3498)</f>
        <v>0</v>
      </c>
      <c r="V3498" s="78">
        <f>IF(NOT(ISNUMBER(G3498)), "", VLOOKUP(A3498,'Discount Lookup'!G:H,2,FALSE)*G3498)</f>
        <v>0</v>
      </c>
      <c r="W3498" s="102">
        <f t="shared" si="2661"/>
        <v>0</v>
      </c>
      <c r="X3498" s="102">
        <f t="shared" si="2662"/>
        <v>0</v>
      </c>
      <c r="Y3498" s="120" t="b">
        <f t="shared" si="2663"/>
        <v>0</v>
      </c>
      <c r="Z3498" s="117">
        <f t="shared" si="2664"/>
        <v>0</v>
      </c>
      <c r="AA3498" s="118"/>
      <c r="AB3498" s="118" t="str">
        <f t="shared" si="2665"/>
        <v/>
      </c>
      <c r="AC3498" s="712" t="str">
        <f>IF(AE3498="T2G","no charge",IF(AND(OR(PlanterYesMe="No",PlanterYesMe="N",PlanterYesMe="me"),H3498=""),"",IF(H3498="credit","NO install",IF(AND(K3498="",AE3498="me"),"EACH row",IF(AND(K3498="images",AE3498="me"),"EACH row",IF(D3498="","",IF(H3498="credit","",IF(AE3498="free","re-planting",IF(AE3498="me","   not ELP, by",IF(AND(OR(PlanterYesMe="Yes",PlanterYesMe="Y"),G3498&gt;0),(VLOOKUP(A3498,'Discount Lookup'!J:K,2)*G3498*(1-PlanterDiscount)*(1+PlanterDifficultyPercentage)),IF(AE3498="ELP",(VLOOKUP(A3498,'Discount Lookup'!J:K,2)*G3498*(1-PlanterDiscount)*(1+PlanterDifficultyPercentage)),IF(AE3498="free","re-planting",IF(G3498=0,"",IF(PlanterYesMe="",IF(AE3498="me","   not ELP, by",IF(AE3498="",IF(G3498&gt;0,(VLOOKUP(A3498,'Discount Lookup'!J:K,2)*G3498*(1-PlanterDiscount)*(1+PlanterDifficultyPercentage)),""),"")),"   not ELP, by"))))))))))))))</f>
        <v/>
      </c>
      <c r="AD3498" s="712"/>
      <c r="AE3498" s="513" t="str">
        <f t="shared" si="2666"/>
        <v/>
      </c>
      <c r="AF3498" s="713" t="str">
        <f t="shared" si="2667"/>
        <v/>
      </c>
      <c r="AG3498" s="713"/>
      <c r="AH3498" s="713"/>
      <c r="AI3498" s="112">
        <f>IF(H3498="credit",0,IF(AE3498="free",0,IF(AE3498="me",0,IF(G3498&gt;0,(VLOOKUP(A3498,'Discount Lookup'!J:K,2)*G3498),0))))</f>
        <v>0</v>
      </c>
      <c r="AJ3498" s="107" t="str">
        <f t="shared" ca="1" si="2668"/>
        <v/>
      </c>
      <c r="AK3498" s="714" t="str">
        <f t="shared" si="2669"/>
        <v/>
      </c>
      <c r="AL3498" s="714"/>
      <c r="AM3498" s="114" t="str">
        <f t="shared" si="2670"/>
        <v/>
      </c>
      <c r="AN3498" s="115"/>
      <c r="AO3498" s="116"/>
      <c r="AP3498" s="116"/>
      <c r="AQ3498" s="116"/>
      <c r="AR3498" s="116"/>
      <c r="AS3498" s="116"/>
      <c r="AT3498" s="116"/>
      <c r="AU3498" s="116"/>
      <c r="AV3498" s="78"/>
      <c r="AW3498" s="102"/>
      <c r="AX3498" s="78"/>
      <c r="AY3498" s="78"/>
      <c r="AZ3498" s="78"/>
      <c r="BA3498" s="78"/>
      <c r="BB3498" s="78"/>
      <c r="BC3498" s="78"/>
      <c r="BD3498" s="78"/>
      <c r="BE3498" s="465"/>
      <c r="BF3498" s="165" t="str">
        <f t="shared" si="2671"/>
        <v>https://www.google.com/search?tbm=isch&amp;q=7%20G4</v>
      </c>
      <c r="BG3498" s="165" t="str">
        <f t="shared" si="2672"/>
        <v>Q</v>
      </c>
      <c r="BH3498" s="65"/>
      <c r="BI3498" s="65"/>
      <c r="BJ3498" s="65"/>
      <c r="BK3498" s="65"/>
      <c r="BL3498" s="99"/>
      <c r="BM3498" s="99"/>
      <c r="BN3498" s="99"/>
    </row>
    <row r="3499" spans="1:66" s="51" customFormat="1" ht="15.75" x14ac:dyDescent="0.25">
      <c r="A3499" s="634">
        <v>15</v>
      </c>
      <c r="B3499" s="635" t="s">
        <v>291</v>
      </c>
      <c r="C3499" s="636" t="s">
        <v>3943</v>
      </c>
      <c r="D3499" s="637" t="s">
        <v>299</v>
      </c>
      <c r="E3499" s="638">
        <v>169.95</v>
      </c>
      <c r="F3499" s="639" t="s">
        <v>292</v>
      </c>
      <c r="G3499" s="484">
        <v>0</v>
      </c>
      <c r="H3499" s="691" t="str">
        <f>IF(G3499=0,"",IF(F3499="Buy",IF(G3499=1,"plant","plants"),IF(F3499&gt;0.01,"warranty","Error")))</f>
        <v/>
      </c>
      <c r="I3499" s="640">
        <f>IF(H3499="free",0,IF(H3499="credit",((E3499*(F3499))*G3499*-1),IF(F3499="Buy",(E3499*G3499),((E3499*(1-F3499))*G3499))))</f>
        <v>0</v>
      </c>
      <c r="J3499" s="640">
        <f>IF(H3499="warranty",0,(I3499*(_xlfn.SINGLE(SalesTaxPercentage))))</f>
        <v>0</v>
      </c>
      <c r="K3499" s="716">
        <f t="shared" ref="K3499" si="2683">I3499+J3499</f>
        <v>0</v>
      </c>
      <c r="L3499" s="716"/>
      <c r="M3499" s="689" t="str">
        <f ca="1">IF(AND(G3499&gt;0,E3499=0),"WARNING - no PRICE inserted",IF(H3499="free","FREE ~ no charge this plant",IF(H3499="credit",CONCATENATE("-$",ROUND(K3499*(1-_xlfn.SINGLE(T2GDiscount))*-1,2)," CREDIT after discount"),IF(_xlfn.SINGLE(T2GDiscount)=0,"",IF(G3499=0,"",IF(F3499="Buy",CONCATENATE("$",ROUND(K3499*(1-_xlfn.SINGLE(T2GDiscount)),2)," with ",(_xlfn.SINGLE(T2GDiscount)*100),"% discount"),CONCATENATE("$",ROUND(K3499*(1-_xlfn.SINGLE(T2GDiscount)),2)," with ",((_xlfn.SINGLE(T2GDiscount)*100+F3499*100)-(_xlfn.SINGLE(T2GDiscount)*100*F3499)),IF(F3499&gt;0,"% discounts",IF(_xlfn.SINGLE(NoWarrantyDiscount)&gt;0,"% discounts","% discount")))))))))</f>
        <v/>
      </c>
      <c r="N3499" s="690"/>
      <c r="O3499" s="486"/>
      <c r="P3499" s="486"/>
      <c r="Q3499" s="486"/>
      <c r="R3499" s="486"/>
      <c r="S3499" s="486"/>
      <c r="T3499" s="102">
        <f t="shared" si="2660"/>
        <v>0</v>
      </c>
      <c r="U3499" s="78">
        <f>IF(NOT(ISNUMBER(G3499)), "", VLOOKUP(A3499,'Discount Lookup'!D:E,2,FALSE)*G3499)</f>
        <v>0</v>
      </c>
      <c r="V3499" s="78">
        <f>IF(NOT(ISNUMBER(G3499)), "", VLOOKUP(A3499,'Discount Lookup'!G:H,2,FALSE)*G3499)</f>
        <v>0</v>
      </c>
      <c r="W3499" s="102">
        <f t="shared" si="2661"/>
        <v>0</v>
      </c>
      <c r="X3499" s="102">
        <f t="shared" si="2662"/>
        <v>0</v>
      </c>
      <c r="Y3499" s="120" t="b">
        <f t="shared" si="2663"/>
        <v>0</v>
      </c>
      <c r="Z3499" s="117">
        <f t="shared" si="2664"/>
        <v>0</v>
      </c>
      <c r="AA3499" s="118"/>
      <c r="AB3499" s="118" t="str">
        <f t="shared" si="2665"/>
        <v/>
      </c>
      <c r="AC3499" s="712" t="str">
        <f>IF(AE3499="T2G","no charge",IF(AND(OR(PlanterYesMe="No",PlanterYesMe="N",PlanterYesMe="me"),H3499=""),"",IF(H3499="credit","NO install",IF(AND(K3499="",AE3499="me"),"EACH row",IF(AND(K3499="images",AE3499="me"),"EACH row",IF(D3499="","",IF(H3499="credit","",IF(AE3499="free","re-planting",IF(AE3499="me","   not ELP, by",IF(AND(OR(PlanterYesMe="Yes",PlanterYesMe="Y"),G3499&gt;0),(VLOOKUP(A3499,'Discount Lookup'!J:K,2)*G3499*(1-PlanterDiscount)*(1+PlanterDifficultyPercentage)),IF(AE3499="ELP",(VLOOKUP(A3499,'Discount Lookup'!J:K,2)*G3499*(1-PlanterDiscount)*(1+PlanterDifficultyPercentage)),IF(AE3499="free","re-planting",IF(G3499=0,"",IF(PlanterYesMe="",IF(AE3499="me","   not ELP, by",IF(AE3499="",IF(G3499&gt;0,(VLOOKUP(A3499,'Discount Lookup'!J:K,2)*G3499*(1-PlanterDiscount)*(1+PlanterDifficultyPercentage)),""),"")),"   not ELP, by"))))))))))))))</f>
        <v/>
      </c>
      <c r="AD3499" s="712"/>
      <c r="AE3499" s="513" t="str">
        <f t="shared" si="2666"/>
        <v/>
      </c>
      <c r="AF3499" s="713" t="str">
        <f t="shared" si="2667"/>
        <v/>
      </c>
      <c r="AG3499" s="713"/>
      <c r="AH3499" s="713"/>
      <c r="AI3499" s="112">
        <f>IF(H3499="credit",0,IF(AE3499="free",0,IF(AE3499="me",0,IF(G3499&gt;0,(VLOOKUP(A3499,'Discount Lookup'!J:K,2)*G3499),0))))</f>
        <v>0</v>
      </c>
      <c r="AJ3499" s="107" t="str">
        <f t="shared" ca="1" si="2668"/>
        <v/>
      </c>
      <c r="AK3499" s="714" t="str">
        <f t="shared" si="2669"/>
        <v/>
      </c>
      <c r="AL3499" s="714"/>
      <c r="AM3499" s="114" t="str">
        <f t="shared" si="2670"/>
        <v/>
      </c>
      <c r="AN3499" s="115"/>
      <c r="AO3499" s="116"/>
      <c r="AP3499" s="116"/>
      <c r="AQ3499" s="116"/>
      <c r="AR3499" s="116"/>
      <c r="AS3499" s="116"/>
      <c r="AT3499" s="116"/>
      <c r="AU3499" s="116"/>
      <c r="AV3499" s="78"/>
      <c r="AW3499" s="102"/>
      <c r="AX3499" s="78"/>
      <c r="AY3499" s="78"/>
      <c r="AZ3499" s="78"/>
      <c r="BA3499" s="78"/>
      <c r="BB3499" s="78"/>
      <c r="BC3499" s="78"/>
      <c r="BD3499" s="78"/>
      <c r="BE3499" s="465"/>
      <c r="BF3499" s="165" t="str">
        <f t="shared" si="2671"/>
        <v>https://www.google.com/search?tbm=isch&amp;q=15%20G4</v>
      </c>
      <c r="BG3499" s="165" t="str">
        <f t="shared" si="2672"/>
        <v>Q</v>
      </c>
      <c r="BH3499" s="65"/>
      <c r="BI3499" s="65"/>
      <c r="BJ3499" s="65"/>
      <c r="BK3499" s="65"/>
      <c r="BL3499" s="99"/>
      <c r="BM3499" s="99"/>
      <c r="BN3499" s="99"/>
    </row>
    <row r="3500" spans="1:66" s="51" customFormat="1" ht="15.75" x14ac:dyDescent="0.25">
      <c r="A3500" s="634">
        <v>25</v>
      </c>
      <c r="B3500" s="635" t="s">
        <v>291</v>
      </c>
      <c r="C3500" s="636" t="s">
        <v>3944</v>
      </c>
      <c r="D3500" s="637" t="s">
        <v>293</v>
      </c>
      <c r="E3500" s="638">
        <v>299.95</v>
      </c>
      <c r="F3500" s="639" t="s">
        <v>292</v>
      </c>
      <c r="G3500" s="484">
        <v>0</v>
      </c>
      <c r="H3500" s="691" t="str">
        <f>IF(G3500=0,"",IF(F3500="Buy",IF(G3500=1,"plant","plants"),IF(F3500&gt;0.01,"warranty","Error")))</f>
        <v/>
      </c>
      <c r="I3500" s="640">
        <f>IF(H3500="free",0,IF(H3500="credit",((E3500*(F3500))*G3500*-1),IF(F3500="Buy",(E3500*G3500),((E3500*(1-F3500))*G3500))))</f>
        <v>0</v>
      </c>
      <c r="J3500" s="640">
        <f>IF(H3500="warranty",0,(I3500*(_xlfn.SINGLE(SalesTaxPercentage))))</f>
        <v>0</v>
      </c>
      <c r="K3500" s="716">
        <f t="shared" ref="K3500" si="2684">I3500+J3500</f>
        <v>0</v>
      </c>
      <c r="L3500" s="716"/>
      <c r="M3500" s="689" t="str">
        <f ca="1">IF(AND(G3500&gt;0,E3500=0),"WARNING - no PRICE inserted",IF(H3500="free","FREE ~ no charge this plant",IF(H3500="credit",CONCATENATE("-$",ROUND(K3500*(1-_xlfn.SINGLE(T2GDiscount))*-1,2)," CREDIT after discount"),IF(_xlfn.SINGLE(T2GDiscount)=0,"",IF(G3500=0,"",IF(F3500="Buy",CONCATENATE("$",ROUND(K3500*(1-_xlfn.SINGLE(T2GDiscount)),2)," with ",(_xlfn.SINGLE(T2GDiscount)*100),"% discount"),CONCATENATE("$",ROUND(K3500*(1-_xlfn.SINGLE(T2GDiscount)),2)," with ",((_xlfn.SINGLE(T2GDiscount)*100+F3500*100)-(_xlfn.SINGLE(T2GDiscount)*100*F3500)),IF(F3500&gt;0,"% discounts",IF(_xlfn.SINGLE(NoWarrantyDiscount)&gt;0,"% discounts","% discount")))))))))</f>
        <v/>
      </c>
      <c r="N3500" s="690"/>
      <c r="O3500" s="486"/>
      <c r="P3500" s="486"/>
      <c r="Q3500" s="486"/>
      <c r="R3500" s="486"/>
      <c r="S3500" s="486"/>
      <c r="T3500" s="102">
        <f t="shared" si="2660"/>
        <v>0</v>
      </c>
      <c r="U3500" s="78">
        <f>IF(NOT(ISNUMBER(G3500)), "", VLOOKUP(A3500,'Discount Lookup'!D:E,2,FALSE)*G3500)</f>
        <v>0</v>
      </c>
      <c r="V3500" s="78">
        <f>IF(NOT(ISNUMBER(G3500)), "", VLOOKUP(A3500,'Discount Lookup'!G:H,2,FALSE)*G3500)</f>
        <v>0</v>
      </c>
      <c r="W3500" s="102">
        <f t="shared" si="2661"/>
        <v>0</v>
      </c>
      <c r="X3500" s="102">
        <f t="shared" si="2662"/>
        <v>0</v>
      </c>
      <c r="Y3500" s="120" t="b">
        <f t="shared" si="2663"/>
        <v>0</v>
      </c>
      <c r="Z3500" s="117">
        <f t="shared" si="2664"/>
        <v>0</v>
      </c>
      <c r="AA3500" s="118"/>
      <c r="AB3500" s="118" t="str">
        <f t="shared" si="2665"/>
        <v/>
      </c>
      <c r="AC3500" s="712" t="str">
        <f>IF(AE3500="T2G","no charge",IF(AND(OR(PlanterYesMe="No",PlanterYesMe="N",PlanterYesMe="me"),H3500=""),"",IF(H3500="credit","NO install",IF(AND(K3500="",AE3500="me"),"EACH row",IF(AND(K3500="images",AE3500="me"),"EACH row",IF(D3500="","",IF(H3500="credit","",IF(AE3500="free","re-planting",IF(AE3500="me","   not ELP, by",IF(AND(OR(PlanterYesMe="Yes",PlanterYesMe="Y"),G3500&gt;0),(VLOOKUP(A3500,'Discount Lookup'!J:K,2)*G3500*(1-PlanterDiscount)*(1+PlanterDifficultyPercentage)),IF(AE3500="ELP",(VLOOKUP(A3500,'Discount Lookup'!J:K,2)*G3500*(1-PlanterDiscount)*(1+PlanterDifficultyPercentage)),IF(AE3500="free","re-planting",IF(G3500=0,"",IF(PlanterYesMe="",IF(AE3500="me","   not ELP, by",IF(AE3500="",IF(G3500&gt;0,(VLOOKUP(A3500,'Discount Lookup'!J:K,2)*G3500*(1-PlanterDiscount)*(1+PlanterDifficultyPercentage)),""),"")),"   not ELP, by"))))))))))))))</f>
        <v/>
      </c>
      <c r="AD3500" s="712"/>
      <c r="AE3500" s="513" t="str">
        <f t="shared" si="2666"/>
        <v/>
      </c>
      <c r="AF3500" s="713" t="str">
        <f t="shared" si="2667"/>
        <v/>
      </c>
      <c r="AG3500" s="713"/>
      <c r="AH3500" s="713"/>
      <c r="AI3500" s="112">
        <f>IF(H3500="credit",0,IF(AE3500="free",0,IF(AE3500="me",0,IF(G3500&gt;0,(VLOOKUP(A3500,'Discount Lookup'!J:K,2)*G3500),0))))</f>
        <v>0</v>
      </c>
      <c r="AJ3500" s="107" t="str">
        <f t="shared" ca="1" si="2668"/>
        <v/>
      </c>
      <c r="AK3500" s="714" t="str">
        <f t="shared" si="2669"/>
        <v/>
      </c>
      <c r="AL3500" s="714"/>
      <c r="AM3500" s="114" t="str">
        <f t="shared" si="2670"/>
        <v/>
      </c>
      <c r="AN3500" s="115"/>
      <c r="AO3500" s="116"/>
      <c r="AP3500" s="116"/>
      <c r="AQ3500" s="116"/>
      <c r="AR3500" s="116"/>
      <c r="AS3500" s="116"/>
      <c r="AT3500" s="116"/>
      <c r="AU3500" s="116"/>
      <c r="AV3500" s="78"/>
      <c r="AW3500" s="102"/>
      <c r="AX3500" s="78"/>
      <c r="AY3500" s="78"/>
      <c r="AZ3500" s="78"/>
      <c r="BA3500" s="78"/>
      <c r="BB3500" s="78"/>
      <c r="BC3500" s="78"/>
      <c r="BD3500" s="78"/>
      <c r="BE3500" s="465"/>
      <c r="BF3500" s="165" t="str">
        <f t="shared" si="2671"/>
        <v>https://www.google.com/search?tbm=isch&amp;q=25%20G6</v>
      </c>
      <c r="BG3500" s="165" t="str">
        <f t="shared" si="2672"/>
        <v>Q</v>
      </c>
      <c r="BH3500" s="65"/>
      <c r="BI3500" s="65"/>
      <c r="BJ3500" s="65"/>
      <c r="BK3500" s="65"/>
      <c r="BL3500" s="99"/>
      <c r="BM3500" s="99"/>
      <c r="BN3500" s="99"/>
    </row>
    <row r="3501" spans="1:66" s="51" customFormat="1" ht="15.75" x14ac:dyDescent="0.25">
      <c r="A3501" s="634">
        <v>25</v>
      </c>
      <c r="B3501" s="635" t="s">
        <v>291</v>
      </c>
      <c r="C3501" s="636" t="s">
        <v>3945</v>
      </c>
      <c r="D3501" s="637" t="s">
        <v>299</v>
      </c>
      <c r="E3501" s="638">
        <v>339.95</v>
      </c>
      <c r="F3501" s="639" t="s">
        <v>292</v>
      </c>
      <c r="G3501" s="484">
        <v>0</v>
      </c>
      <c r="H3501" s="691" t="str">
        <f>IF(G3501=0,"",IF(F3501="Buy",IF(G3501=1,"plant","plants"),IF(F3501&gt;0.01,"warranty","Error")))</f>
        <v/>
      </c>
      <c r="I3501" s="640">
        <f>IF(H3501="free",0,IF(H3501="credit",((E3501*(F3501))*G3501*-1),IF(F3501="Buy",(E3501*G3501),((E3501*(1-F3501))*G3501))))</f>
        <v>0</v>
      </c>
      <c r="J3501" s="640">
        <f>IF(H3501="warranty",0,(I3501*(_xlfn.SINGLE(SalesTaxPercentage))))</f>
        <v>0</v>
      </c>
      <c r="K3501" s="716">
        <f t="shared" ref="K3501" si="2685">I3501+J3501</f>
        <v>0</v>
      </c>
      <c r="L3501" s="716"/>
      <c r="M3501" s="689" t="str">
        <f ca="1">IF(AND(G3501&gt;0,E3501=0),"WARNING - no PRICE inserted",IF(H3501="free","FREE ~ no charge this plant",IF(H3501="credit",CONCATENATE("-$",ROUND(K3501*(1-_xlfn.SINGLE(T2GDiscount))*-1,2)," CREDIT after discount"),IF(_xlfn.SINGLE(T2GDiscount)=0,"",IF(G3501=0,"",IF(F3501="Buy",CONCATENATE("$",ROUND(K3501*(1-_xlfn.SINGLE(T2GDiscount)),2)," with ",(_xlfn.SINGLE(T2GDiscount)*100),"% discount"),CONCATENATE("$",ROUND(K3501*(1-_xlfn.SINGLE(T2GDiscount)),2)," with ",((_xlfn.SINGLE(T2GDiscount)*100+F3501*100)-(_xlfn.SINGLE(T2GDiscount)*100*F3501)),IF(F3501&gt;0,"% discounts",IF(_xlfn.SINGLE(NoWarrantyDiscount)&gt;0,"% discounts","% discount")))))))))</f>
        <v/>
      </c>
      <c r="N3501" s="690"/>
      <c r="O3501" s="486"/>
      <c r="P3501" s="486"/>
      <c r="Q3501" s="486"/>
      <c r="R3501" s="486"/>
      <c r="S3501" s="486"/>
      <c r="T3501" s="102">
        <f t="shared" si="2660"/>
        <v>0</v>
      </c>
      <c r="U3501" s="78">
        <f>IF(NOT(ISNUMBER(G3501)), "", VLOOKUP(A3501,'Discount Lookup'!D:E,2,FALSE)*G3501)</f>
        <v>0</v>
      </c>
      <c r="V3501" s="78">
        <f>IF(NOT(ISNUMBER(G3501)), "", VLOOKUP(A3501,'Discount Lookup'!G:H,2,FALSE)*G3501)</f>
        <v>0</v>
      </c>
      <c r="W3501" s="102">
        <f t="shared" si="2661"/>
        <v>0</v>
      </c>
      <c r="X3501" s="102">
        <f t="shared" si="2662"/>
        <v>0</v>
      </c>
      <c r="Y3501" s="120" t="b">
        <f t="shared" si="2663"/>
        <v>0</v>
      </c>
      <c r="Z3501" s="117">
        <f t="shared" si="2664"/>
        <v>0</v>
      </c>
      <c r="AA3501" s="118"/>
      <c r="AB3501" s="118" t="str">
        <f t="shared" si="2665"/>
        <v/>
      </c>
      <c r="AC3501" s="712" t="str">
        <f>IF(AE3501="T2G","no charge",IF(AND(OR(PlanterYesMe="No",PlanterYesMe="N",PlanterYesMe="me"),H3501=""),"",IF(H3501="credit","NO install",IF(AND(K3501="",AE3501="me"),"EACH row",IF(AND(K3501="images",AE3501="me"),"EACH row",IF(D3501="","",IF(H3501="credit","",IF(AE3501="free","re-planting",IF(AE3501="me","   not ELP, by",IF(AND(OR(PlanterYesMe="Yes",PlanterYesMe="Y"),G3501&gt;0),(VLOOKUP(A3501,'Discount Lookup'!J:K,2)*G3501*(1-PlanterDiscount)*(1+PlanterDifficultyPercentage)),IF(AE3501="ELP",(VLOOKUP(A3501,'Discount Lookup'!J:K,2)*G3501*(1-PlanterDiscount)*(1+PlanterDifficultyPercentage)),IF(AE3501="free","re-planting",IF(G3501=0,"",IF(PlanterYesMe="",IF(AE3501="me","   not ELP, by",IF(AE3501="",IF(G3501&gt;0,(VLOOKUP(A3501,'Discount Lookup'!J:K,2)*G3501*(1-PlanterDiscount)*(1+PlanterDifficultyPercentage)),""),"")),"   not ELP, by"))))))))))))))</f>
        <v/>
      </c>
      <c r="AD3501" s="712"/>
      <c r="AE3501" s="513" t="str">
        <f t="shared" si="2666"/>
        <v/>
      </c>
      <c r="AF3501" s="713" t="str">
        <f t="shared" si="2667"/>
        <v/>
      </c>
      <c r="AG3501" s="713"/>
      <c r="AH3501" s="713"/>
      <c r="AI3501" s="112">
        <f>IF(H3501="credit",0,IF(AE3501="free",0,IF(AE3501="me",0,IF(G3501&gt;0,(VLOOKUP(A3501,'Discount Lookup'!J:K,2)*G3501),0))))</f>
        <v>0</v>
      </c>
      <c r="AJ3501" s="107" t="str">
        <f t="shared" ca="1" si="2668"/>
        <v/>
      </c>
      <c r="AK3501" s="714" t="str">
        <f t="shared" si="2669"/>
        <v/>
      </c>
      <c r="AL3501" s="714"/>
      <c r="AM3501" s="114" t="str">
        <f t="shared" si="2670"/>
        <v/>
      </c>
      <c r="AN3501" s="115"/>
      <c r="AO3501" s="116"/>
      <c r="AP3501" s="116"/>
      <c r="AQ3501" s="116"/>
      <c r="AR3501" s="116"/>
      <c r="AS3501" s="116"/>
      <c r="AT3501" s="116"/>
      <c r="AU3501" s="116"/>
      <c r="AV3501" s="78"/>
      <c r="AW3501" s="102"/>
      <c r="AX3501" s="78"/>
      <c r="AY3501" s="78"/>
      <c r="AZ3501" s="78"/>
      <c r="BA3501" s="78"/>
      <c r="BB3501" s="78"/>
      <c r="BC3501" s="78"/>
      <c r="BD3501" s="78"/>
      <c r="BE3501" s="465"/>
      <c r="BF3501" s="165" t="str">
        <f t="shared" si="2671"/>
        <v>https://www.google.com/search?tbm=isch&amp;q=25%20G4</v>
      </c>
      <c r="BG3501" s="165" t="str">
        <f t="shared" si="2672"/>
        <v>Q</v>
      </c>
      <c r="BH3501" s="65"/>
      <c r="BI3501" s="65"/>
      <c r="BJ3501" s="65"/>
      <c r="BK3501" s="65"/>
      <c r="BL3501" s="99"/>
      <c r="BM3501" s="99"/>
      <c r="BN3501" s="99"/>
    </row>
    <row r="3502" spans="1:66" s="51" customFormat="1" ht="17.25" thickBot="1" x14ac:dyDescent="0.3">
      <c r="A3502" s="704" t="s">
        <v>5520</v>
      </c>
      <c r="B3502" s="642"/>
      <c r="C3502" s="710"/>
      <c r="D3502" s="643"/>
      <c r="E3502" s="643"/>
      <c r="F3502" s="644"/>
      <c r="G3502" s="645"/>
      <c r="H3502" s="646"/>
      <c r="I3502" s="647"/>
      <c r="J3502" s="648"/>
      <c r="K3502" s="649"/>
      <c r="L3502" s="650"/>
      <c r="M3502" s="650"/>
      <c r="N3502" s="644"/>
      <c r="O3502" s="644"/>
      <c r="P3502" s="644"/>
      <c r="Q3502" s="644"/>
      <c r="R3502" s="644"/>
      <c r="S3502" s="701" t="s">
        <v>5253</v>
      </c>
      <c r="T3502" s="102">
        <f t="shared" si="2660"/>
        <v>0</v>
      </c>
      <c r="U3502" s="78" t="str">
        <f>IF(NOT(ISNUMBER(G3502)), "", VLOOKUP(A3502,'Discount Lookup'!D:E,2,FALSE)*G3502)</f>
        <v/>
      </c>
      <c r="V3502" s="78" t="str">
        <f>IF(NOT(ISNUMBER(G3502)), "", VLOOKUP(A3502,'Discount Lookup'!G:H,2,FALSE)*G3502)</f>
        <v/>
      </c>
      <c r="W3502" s="102">
        <f t="shared" si="2661"/>
        <v>0</v>
      </c>
      <c r="X3502" s="102">
        <f t="shared" si="2662"/>
        <v>0</v>
      </c>
      <c r="Y3502" s="120" t="b">
        <f t="shared" si="2663"/>
        <v>0</v>
      </c>
      <c r="Z3502" s="117">
        <f t="shared" si="2664"/>
        <v>0</v>
      </c>
      <c r="AA3502" s="118"/>
      <c r="AB3502" s="118" t="str">
        <f t="shared" si="2665"/>
        <v/>
      </c>
      <c r="AC3502" s="712" t="str">
        <f>IF(AE3502="T2G","no charge",IF(AND(OR(PlanterYesMe="No",PlanterYesMe="N",PlanterYesMe="me"),H3502=""),"",IF(H3502="credit","NO install",IF(AND(K3502="",AE3502="me"),"EACH row",IF(AND(K3502="images",AE3502="me"),"EACH row",IF(D3502="","",IF(H3502="credit","",IF(AE3502="free","re-planting",IF(AE3502="me","   not ELP, by",IF(AND(OR(PlanterYesMe="Yes",PlanterYesMe="Y"),G3502&gt;0),(VLOOKUP(A3502,'Discount Lookup'!J:K,2)*G3502*(1-PlanterDiscount)*(1+PlanterDifficultyPercentage)),IF(AE3502="ELP",(VLOOKUP(A3502,'Discount Lookup'!J:K,2)*G3502*(1-PlanterDiscount)*(1+PlanterDifficultyPercentage)),IF(AE3502="free","re-planting",IF(G3502=0,"",IF(PlanterYesMe="",IF(AE3502="me","   not ELP, by",IF(AE3502="",IF(G3502&gt;0,(VLOOKUP(A3502,'Discount Lookup'!J:K,2)*G3502*(1-PlanterDiscount)*(1+PlanterDifficultyPercentage)),""),"")),"   not ELP, by"))))))))))))))</f>
        <v/>
      </c>
      <c r="AD3502" s="712"/>
      <c r="AE3502" s="513" t="str">
        <f t="shared" si="2666"/>
        <v/>
      </c>
      <c r="AF3502" s="713" t="str">
        <f t="shared" si="2667"/>
        <v/>
      </c>
      <c r="AG3502" s="713"/>
      <c r="AH3502" s="713"/>
      <c r="AI3502" s="112">
        <f>IF(H3502="credit",0,IF(AE3502="free",0,IF(AE3502="me",0,IF(G3502&gt;0,(VLOOKUP(A3502,'Discount Lookup'!J:K,2)*G3502),0))))</f>
        <v>0</v>
      </c>
      <c r="AJ3502" s="107" t="str">
        <f t="shared" ca="1" si="2668"/>
        <v/>
      </c>
      <c r="AK3502" s="714" t="str">
        <f t="shared" si="2669"/>
        <v/>
      </c>
      <c r="AL3502" s="714"/>
      <c r="AM3502" s="114" t="str">
        <f t="shared" si="2670"/>
        <v/>
      </c>
      <c r="AN3502" s="115"/>
      <c r="AO3502" s="116"/>
      <c r="AP3502" s="116"/>
      <c r="AQ3502" s="116"/>
      <c r="AR3502" s="116"/>
      <c r="AS3502" s="116"/>
      <c r="AT3502" s="116"/>
      <c r="AU3502" s="116"/>
      <c r="AV3502" s="78"/>
      <c r="AW3502" s="102"/>
      <c r="AX3502" s="78"/>
      <c r="AY3502" s="78"/>
      <c r="AZ3502" s="78"/>
      <c r="BA3502" s="78"/>
      <c r="BB3502" s="78"/>
      <c r="BC3502" s="78"/>
      <c r="BD3502" s="78"/>
      <c r="BE3502" s="465"/>
      <c r="BF3502" s="165" t="str">
        <f t="shared" si="2671"/>
        <v>https://www.google.com/search?tbm=isch&amp;q=wet%20sites%F0%9F%92%A7GOOD%2C%20Willow%20Oak%20named%20for%20it%27s%20willow-like%20leaves%20%28do%20not%20confuse%20with%20Pin%20Oak%29.%20Yellow%20to%20Copper-Brown%20fall%20foliage%20</v>
      </c>
      <c r="BG3502" s="165" t="str">
        <f t="shared" si="2672"/>
        <v>w</v>
      </c>
      <c r="BH3502" s="65"/>
      <c r="BI3502" s="65"/>
      <c r="BJ3502" s="65"/>
      <c r="BK3502" s="65"/>
      <c r="BL3502" s="99"/>
      <c r="BM3502" s="99"/>
      <c r="BN3502" s="99"/>
    </row>
    <row r="3503" spans="1:66" s="51" customFormat="1" ht="18" x14ac:dyDescent="0.25">
      <c r="A3503" s="623" t="s">
        <v>3946</v>
      </c>
      <c r="B3503" s="624"/>
      <c r="C3503" s="709"/>
      <c r="D3503" s="625" t="s">
        <v>3947</v>
      </c>
      <c r="E3503" s="626"/>
      <c r="F3503" s="626"/>
      <c r="G3503" s="626"/>
      <c r="H3503" s="622" t="s">
        <v>3948</v>
      </c>
      <c r="I3503" s="627" t="s">
        <v>431</v>
      </c>
      <c r="J3503" s="628"/>
      <c r="K3503" s="628"/>
      <c r="L3503" s="629"/>
      <c r="M3503" s="700" t="s">
        <v>5241</v>
      </c>
      <c r="N3503" s="693" t="str">
        <f>IF(AND(ISTEXT($A3503), ISERROR($A3503+0)), HYPERLINK($BF3503, "Images"), "")</f>
        <v>Images</v>
      </c>
      <c r="O3503" s="695" t="s">
        <v>5264</v>
      </c>
      <c r="P3503" s="630"/>
      <c r="Q3503" s="631"/>
      <c r="R3503" s="632"/>
      <c r="S3503" s="633" t="s">
        <v>294</v>
      </c>
      <c r="T3503" s="102">
        <f t="shared" si="2660"/>
        <v>0</v>
      </c>
      <c r="U3503" s="78" t="str">
        <f>IF(NOT(ISNUMBER(G3503)), "", VLOOKUP(A3503,'Discount Lookup'!D:E,2,FALSE)*G3503)</f>
        <v/>
      </c>
      <c r="V3503" s="78" t="str">
        <f>IF(NOT(ISNUMBER(G3503)), "", VLOOKUP(A3503,'Discount Lookup'!G:H,2,FALSE)*G3503)</f>
        <v/>
      </c>
      <c r="W3503" s="102">
        <f t="shared" si="2661"/>
        <v>0</v>
      </c>
      <c r="X3503" s="102" t="str">
        <f t="shared" si="2662"/>
        <v>Dark Green foliage</v>
      </c>
      <c r="Y3503" s="120" t="b">
        <f t="shared" si="2663"/>
        <v>0</v>
      </c>
      <c r="Z3503" s="117">
        <f t="shared" si="2664"/>
        <v>0</v>
      </c>
      <c r="AA3503" s="118"/>
      <c r="AB3503" s="118" t="str">
        <f t="shared" si="2665"/>
        <v/>
      </c>
      <c r="AC3503" s="712" t="str">
        <f>IF(AE3503="T2G","no charge",IF(AND(OR(PlanterYesMe="No",PlanterYesMe="N",PlanterYesMe="me"),H3503=""),"",IF(H3503="credit","NO install",IF(AND(K3503="",AE3503="me"),"EACH row",IF(AND(K3503="images",AE3503="me"),"EACH row",IF(D3503="","",IF(H3503="credit","",IF(AE3503="free","re-planting",IF(AE3503="me","   not ELP, by",IF(AND(OR(PlanterYesMe="Yes",PlanterYesMe="Y"),G3503&gt;0),(VLOOKUP(A3503,'Discount Lookup'!J:K,2)*G3503*(1-PlanterDiscount)*(1+PlanterDifficultyPercentage)),IF(AE3503="ELP",(VLOOKUP(A3503,'Discount Lookup'!J:K,2)*G3503*(1-PlanterDiscount)*(1+PlanterDifficultyPercentage)),IF(AE3503="free","re-planting",IF(G3503=0,"",IF(PlanterYesMe="",IF(AE3503="me","   not ELP, by",IF(AE3503="",IF(G3503&gt;0,(VLOOKUP(A3503,'Discount Lookup'!J:K,2)*G3503*(1-PlanterDiscount)*(1+PlanterDifficultyPercentage)),""),"")),"   not ELP, by"))))))))))))))</f>
        <v/>
      </c>
      <c r="AD3503" s="712"/>
      <c r="AE3503" s="513" t="str">
        <f t="shared" si="2666"/>
        <v/>
      </c>
      <c r="AF3503" s="713" t="str">
        <f t="shared" si="2667"/>
        <v/>
      </c>
      <c r="AG3503" s="713"/>
      <c r="AH3503" s="713"/>
      <c r="AI3503" s="112">
        <f>IF(H3503="credit",0,IF(AE3503="free",0,IF(AE3503="me",0,IF(G3503&gt;0,(VLOOKUP(A3503,'Discount Lookup'!J:K,2)*G3503),0))))</f>
        <v>0</v>
      </c>
      <c r="AJ3503" s="107" t="str">
        <f t="shared" ca="1" si="2668"/>
        <v/>
      </c>
      <c r="AK3503" s="714" t="str">
        <f t="shared" si="2669"/>
        <v/>
      </c>
      <c r="AL3503" s="714"/>
      <c r="AM3503" s="114" t="str">
        <f t="shared" si="2670"/>
        <v/>
      </c>
      <c r="AN3503" s="115"/>
      <c r="AO3503" s="116"/>
      <c r="AP3503" s="116"/>
      <c r="AQ3503" s="116"/>
      <c r="AR3503" s="116"/>
      <c r="AS3503" s="116"/>
      <c r="AT3503" s="116"/>
      <c r="AU3503" s="116"/>
      <c r="AV3503" s="78"/>
      <c r="AW3503" s="102"/>
      <c r="AX3503" s="78"/>
      <c r="AY3503" s="78"/>
      <c r="AZ3503" s="78"/>
      <c r="BA3503" s="78"/>
      <c r="BB3503" s="78"/>
      <c r="BC3503" s="78"/>
      <c r="BD3503" s="78"/>
      <c r="BE3503" s="465"/>
      <c r="BF3503" s="165" t="str">
        <f t="shared" si="2671"/>
        <v>https://www.google.com/search?tbm=isch&amp;q=Quercus%20rubra%20Northern%20Red%20Oak</v>
      </c>
      <c r="BG3503" s="165" t="str">
        <f t="shared" si="2672"/>
        <v>Q</v>
      </c>
      <c r="BH3503" s="65"/>
      <c r="BI3503" s="65"/>
      <c r="BJ3503" s="65"/>
      <c r="BK3503" s="65"/>
      <c r="BL3503" s="99"/>
      <c r="BM3503" s="99"/>
      <c r="BN3503" s="99"/>
    </row>
    <row r="3504" spans="1:66" s="51" customFormat="1" ht="15.75" x14ac:dyDescent="0.25">
      <c r="A3504" s="634">
        <v>25</v>
      </c>
      <c r="B3504" s="635" t="s">
        <v>291</v>
      </c>
      <c r="C3504" s="636" t="s">
        <v>3949</v>
      </c>
      <c r="D3504" s="637" t="s">
        <v>299</v>
      </c>
      <c r="E3504" s="638">
        <v>309.95</v>
      </c>
      <c r="F3504" s="639" t="s">
        <v>292</v>
      </c>
      <c r="G3504" s="484">
        <v>0</v>
      </c>
      <c r="H3504" s="691" t="str">
        <f>IF(G3504=0,"",IF(F3504="Buy",IF(G3504=1,"plant","plants"),IF(F3504&gt;0.01,"warranty","Error")))</f>
        <v/>
      </c>
      <c r="I3504" s="640">
        <f>IF(H3504="free",0,IF(H3504="credit",((E3504*(F3504))*G3504*-1),IF(F3504="Buy",(E3504*G3504),((E3504*(1-F3504))*G3504))))</f>
        <v>0</v>
      </c>
      <c r="J3504" s="640">
        <f>IF(H3504="warranty",0,(I3504*(_xlfn.SINGLE(SalesTaxPercentage))))</f>
        <v>0</v>
      </c>
      <c r="K3504" s="716">
        <f t="shared" ref="K3504" si="2686">I3504+J3504</f>
        <v>0</v>
      </c>
      <c r="L3504" s="716"/>
      <c r="M3504" s="689" t="str">
        <f ca="1">IF(AND(G3504&gt;0,E3504=0),"WARNING - no PRICE inserted",IF(H3504="free","FREE ~ no charge this plant",IF(H3504="credit",CONCATENATE("-$",ROUND(K3504*(1-_xlfn.SINGLE(T2GDiscount))*-1,2)," CREDIT after discount"),IF(_xlfn.SINGLE(T2GDiscount)=0,"",IF(G3504=0,"",IF(F3504="Buy",CONCATENATE("$",ROUND(K3504*(1-_xlfn.SINGLE(T2GDiscount)),2)," with ",(_xlfn.SINGLE(T2GDiscount)*100),"% discount"),CONCATENATE("$",ROUND(K3504*(1-_xlfn.SINGLE(T2GDiscount)),2)," with ",((_xlfn.SINGLE(T2GDiscount)*100+F3504*100)-(_xlfn.SINGLE(T2GDiscount)*100*F3504)),IF(F3504&gt;0,"% discounts",IF(_xlfn.SINGLE(NoWarrantyDiscount)&gt;0,"% discounts","% discount")))))))))</f>
        <v/>
      </c>
      <c r="N3504" s="690"/>
      <c r="O3504" s="486"/>
      <c r="P3504" s="486"/>
      <c r="Q3504" s="486"/>
      <c r="R3504" s="486"/>
      <c r="S3504" s="486"/>
      <c r="T3504" s="102">
        <f t="shared" si="2660"/>
        <v>0</v>
      </c>
      <c r="U3504" s="78">
        <f>IF(NOT(ISNUMBER(G3504)), "", VLOOKUP(A3504,'Discount Lookup'!D:E,2,FALSE)*G3504)</f>
        <v>0</v>
      </c>
      <c r="V3504" s="78">
        <f>IF(NOT(ISNUMBER(G3504)), "", VLOOKUP(A3504,'Discount Lookup'!G:H,2,FALSE)*G3504)</f>
        <v>0</v>
      </c>
      <c r="W3504" s="102">
        <f t="shared" si="2661"/>
        <v>0</v>
      </c>
      <c r="X3504" s="102">
        <f t="shared" si="2662"/>
        <v>0</v>
      </c>
      <c r="Y3504" s="120" t="b">
        <f t="shared" si="2663"/>
        <v>0</v>
      </c>
      <c r="Z3504" s="117">
        <f t="shared" si="2664"/>
        <v>0</v>
      </c>
      <c r="AA3504" s="118"/>
      <c r="AB3504" s="118" t="str">
        <f t="shared" si="2665"/>
        <v/>
      </c>
      <c r="AC3504" s="712" t="str">
        <f>IF(AE3504="T2G","no charge",IF(AND(OR(PlanterYesMe="No",PlanterYesMe="N",PlanterYesMe="me"),H3504=""),"",IF(H3504="credit","NO install",IF(AND(K3504="",AE3504="me"),"EACH row",IF(AND(K3504="images",AE3504="me"),"EACH row",IF(D3504="","",IF(H3504="credit","",IF(AE3504="free","re-planting",IF(AE3504="me","   not ELP, by",IF(AND(OR(PlanterYesMe="Yes",PlanterYesMe="Y"),G3504&gt;0),(VLOOKUP(A3504,'Discount Lookup'!J:K,2)*G3504*(1-PlanterDiscount)*(1+PlanterDifficultyPercentage)),IF(AE3504="ELP",(VLOOKUP(A3504,'Discount Lookup'!J:K,2)*G3504*(1-PlanterDiscount)*(1+PlanterDifficultyPercentage)),IF(AE3504="free","re-planting",IF(G3504=0,"",IF(PlanterYesMe="",IF(AE3504="me","   not ELP, by",IF(AE3504="",IF(G3504&gt;0,(VLOOKUP(A3504,'Discount Lookup'!J:K,2)*G3504*(1-PlanterDiscount)*(1+PlanterDifficultyPercentage)),""),"")),"   not ELP, by"))))))))))))))</f>
        <v/>
      </c>
      <c r="AD3504" s="712"/>
      <c r="AE3504" s="513" t="str">
        <f t="shared" si="2666"/>
        <v/>
      </c>
      <c r="AF3504" s="713" t="str">
        <f t="shared" si="2667"/>
        <v/>
      </c>
      <c r="AG3504" s="713"/>
      <c r="AH3504" s="713"/>
      <c r="AI3504" s="112">
        <f>IF(H3504="credit",0,IF(AE3504="free",0,IF(AE3504="me",0,IF(G3504&gt;0,(VLOOKUP(A3504,'Discount Lookup'!J:K,2)*G3504),0))))</f>
        <v>0</v>
      </c>
      <c r="AJ3504" s="107" t="str">
        <f t="shared" ca="1" si="2668"/>
        <v/>
      </c>
      <c r="AK3504" s="714" t="str">
        <f t="shared" si="2669"/>
        <v/>
      </c>
      <c r="AL3504" s="714"/>
      <c r="AM3504" s="114" t="str">
        <f t="shared" si="2670"/>
        <v/>
      </c>
      <c r="AN3504" s="115"/>
      <c r="AO3504" s="116"/>
      <c r="AP3504" s="116"/>
      <c r="AQ3504" s="116"/>
      <c r="AR3504" s="116"/>
      <c r="AS3504" s="116"/>
      <c r="AT3504" s="116"/>
      <c r="AU3504" s="116"/>
      <c r="AV3504" s="78"/>
      <c r="AW3504" s="102"/>
      <c r="AX3504" s="78"/>
      <c r="AY3504" s="78"/>
      <c r="AZ3504" s="78"/>
      <c r="BA3504" s="78"/>
      <c r="BB3504" s="78"/>
      <c r="BC3504" s="78"/>
      <c r="BD3504" s="78"/>
      <c r="BE3504" s="465"/>
      <c r="BF3504" s="165" t="str">
        <f t="shared" si="2671"/>
        <v>https://www.google.com/search?tbm=isch&amp;q=25%20G4</v>
      </c>
      <c r="BG3504" s="165" t="str">
        <f t="shared" si="2672"/>
        <v>Q</v>
      </c>
      <c r="BH3504" s="65"/>
      <c r="BI3504" s="65"/>
      <c r="BJ3504" s="65"/>
      <c r="BK3504" s="65"/>
      <c r="BL3504" s="99"/>
      <c r="BM3504" s="99"/>
      <c r="BN3504" s="99"/>
    </row>
    <row r="3505" spans="1:66" s="51" customFormat="1" ht="17.25" thickBot="1" x14ac:dyDescent="0.3">
      <c r="A3505" s="641" t="s">
        <v>3950</v>
      </c>
      <c r="B3505" s="642"/>
      <c r="C3505" s="710"/>
      <c r="D3505" s="643"/>
      <c r="E3505" s="643"/>
      <c r="F3505" s="644"/>
      <c r="G3505" s="645"/>
      <c r="H3505" s="646"/>
      <c r="I3505" s="647"/>
      <c r="J3505" s="648"/>
      <c r="K3505" s="649"/>
      <c r="L3505" s="650"/>
      <c r="M3505" s="650"/>
      <c r="N3505" s="644"/>
      <c r="O3505" s="644"/>
      <c r="P3505" s="644"/>
      <c r="Q3505" s="644"/>
      <c r="R3505" s="644"/>
      <c r="S3505" s="701" t="s">
        <v>5253</v>
      </c>
      <c r="T3505" s="102">
        <f t="shared" si="2660"/>
        <v>0</v>
      </c>
      <c r="U3505" s="78" t="str">
        <f>IF(NOT(ISNUMBER(G3505)), "", VLOOKUP(A3505,'Discount Lookup'!D:E,2,FALSE)*G3505)</f>
        <v/>
      </c>
      <c r="V3505" s="78" t="str">
        <f>IF(NOT(ISNUMBER(G3505)), "", VLOOKUP(A3505,'Discount Lookup'!G:H,2,FALSE)*G3505)</f>
        <v/>
      </c>
      <c r="W3505" s="102">
        <f t="shared" si="2661"/>
        <v>0</v>
      </c>
      <c r="X3505" s="102">
        <f t="shared" si="2662"/>
        <v>0</v>
      </c>
      <c r="Y3505" s="120" t="b">
        <f t="shared" si="2663"/>
        <v>0</v>
      </c>
      <c r="Z3505" s="117">
        <f t="shared" si="2664"/>
        <v>0</v>
      </c>
      <c r="AA3505" s="118"/>
      <c r="AB3505" s="118" t="str">
        <f t="shared" si="2665"/>
        <v/>
      </c>
      <c r="AC3505" s="712" t="str">
        <f>IF(AE3505="T2G","no charge",IF(AND(OR(PlanterYesMe="No",PlanterYesMe="N",PlanterYesMe="me"),H3505=""),"",IF(H3505="credit","NO install",IF(AND(K3505="",AE3505="me"),"EACH row",IF(AND(K3505="images",AE3505="me"),"EACH row",IF(D3505="","",IF(H3505="credit","",IF(AE3505="free","re-planting",IF(AE3505="me","   not ELP, by",IF(AND(OR(PlanterYesMe="Yes",PlanterYesMe="Y"),G3505&gt;0),(VLOOKUP(A3505,'Discount Lookup'!J:K,2)*G3505*(1-PlanterDiscount)*(1+PlanterDifficultyPercentage)),IF(AE3505="ELP",(VLOOKUP(A3505,'Discount Lookup'!J:K,2)*G3505*(1-PlanterDiscount)*(1+PlanterDifficultyPercentage)),IF(AE3505="free","re-planting",IF(G3505=0,"",IF(PlanterYesMe="",IF(AE3505="me","   not ELP, by",IF(AE3505="",IF(G3505&gt;0,(VLOOKUP(A3505,'Discount Lookup'!J:K,2)*G3505*(1-PlanterDiscount)*(1+PlanterDifficultyPercentage)),""),"")),"   not ELP, by"))))))))))))))</f>
        <v/>
      </c>
      <c r="AD3505" s="712"/>
      <c r="AE3505" s="513" t="str">
        <f t="shared" si="2666"/>
        <v/>
      </c>
      <c r="AF3505" s="713" t="str">
        <f t="shared" si="2667"/>
        <v/>
      </c>
      <c r="AG3505" s="713"/>
      <c r="AH3505" s="713"/>
      <c r="AI3505" s="112">
        <f>IF(H3505="credit",0,IF(AE3505="free",0,IF(AE3505="me",0,IF(G3505&gt;0,(VLOOKUP(A3505,'Discount Lookup'!J:K,2)*G3505),0))))</f>
        <v>0</v>
      </c>
      <c r="AJ3505" s="107" t="str">
        <f t="shared" ca="1" si="2668"/>
        <v/>
      </c>
      <c r="AK3505" s="714" t="str">
        <f t="shared" si="2669"/>
        <v/>
      </c>
      <c r="AL3505" s="714"/>
      <c r="AM3505" s="114" t="str">
        <f t="shared" si="2670"/>
        <v/>
      </c>
      <c r="AN3505" s="115"/>
      <c r="AO3505" s="116"/>
      <c r="AP3505" s="116"/>
      <c r="AQ3505" s="116"/>
      <c r="AR3505" s="116"/>
      <c r="AS3505" s="116"/>
      <c r="AT3505" s="116"/>
      <c r="AU3505" s="116"/>
      <c r="AV3505" s="78"/>
      <c r="AW3505" s="102"/>
      <c r="AX3505" s="78"/>
      <c r="AY3505" s="78"/>
      <c r="AZ3505" s="78"/>
      <c r="BA3505" s="78"/>
      <c r="BB3505" s="78"/>
      <c r="BC3505" s="78"/>
      <c r="BD3505" s="78"/>
      <c r="BE3505" s="465"/>
      <c r="BF3505" s="165" t="str">
        <f t="shared" si="2671"/>
        <v>https://www.google.com/search?tbm=isch&amp;q=Northern%20Red%20Oak%20is%20a%20durable%20legacy%20tree%2C%20possibly%20living%20over%20200%20years.%20Fast%20growing%2C%20for%20an%20Oak.%20Red%20to%20Russet%20fall%20color%20</v>
      </c>
      <c r="BG3505" s="165" t="str">
        <f t="shared" si="2672"/>
        <v>N</v>
      </c>
      <c r="BH3505" s="65"/>
      <c r="BI3505" s="65"/>
      <c r="BJ3505" s="65"/>
      <c r="BK3505" s="65"/>
      <c r="BL3505" s="99"/>
      <c r="BM3505" s="99"/>
      <c r="BN3505" s="99"/>
    </row>
    <row r="3506" spans="1:66" s="51" customFormat="1" ht="18" x14ac:dyDescent="0.25">
      <c r="A3506" s="623" t="s">
        <v>3951</v>
      </c>
      <c r="B3506" s="624"/>
      <c r="C3506" s="709"/>
      <c r="D3506" s="625" t="s">
        <v>3952</v>
      </c>
      <c r="E3506" s="626"/>
      <c r="F3506" s="626"/>
      <c r="G3506" s="626"/>
      <c r="H3506" s="622" t="s">
        <v>3953</v>
      </c>
      <c r="I3506" s="627" t="s">
        <v>431</v>
      </c>
      <c r="J3506" s="628"/>
      <c r="K3506" s="628"/>
      <c r="L3506" s="629"/>
      <c r="M3506" s="700" t="s">
        <v>5241</v>
      </c>
      <c r="N3506" s="693" t="str">
        <f>IF(AND(ISTEXT($A3506), ISERROR($A3506+0)), HYPERLINK($BF3506, "Images"), "")</f>
        <v>Images</v>
      </c>
      <c r="O3506" s="695" t="s">
        <v>5264</v>
      </c>
      <c r="P3506" s="630"/>
      <c r="Q3506" s="631"/>
      <c r="R3506" s="632"/>
      <c r="S3506" s="633" t="s">
        <v>294</v>
      </c>
      <c r="T3506" s="102">
        <f t="shared" si="2660"/>
        <v>0</v>
      </c>
      <c r="U3506" s="78" t="str">
        <f>IF(NOT(ISNUMBER(G3506)), "", VLOOKUP(A3506,'Discount Lookup'!D:E,2,FALSE)*G3506)</f>
        <v/>
      </c>
      <c r="V3506" s="78" t="str">
        <f>IF(NOT(ISNUMBER(G3506)), "", VLOOKUP(A3506,'Discount Lookup'!G:H,2,FALSE)*G3506)</f>
        <v/>
      </c>
      <c r="W3506" s="102">
        <f t="shared" si="2661"/>
        <v>0</v>
      </c>
      <c r="X3506" s="102" t="str">
        <f t="shared" si="2662"/>
        <v>Dark Green foliage</v>
      </c>
      <c r="Y3506" s="120" t="b">
        <f t="shared" si="2663"/>
        <v>0</v>
      </c>
      <c r="Z3506" s="117">
        <f t="shared" si="2664"/>
        <v>0</v>
      </c>
      <c r="AA3506" s="118"/>
      <c r="AB3506" s="118" t="str">
        <f t="shared" si="2665"/>
        <v/>
      </c>
      <c r="AC3506" s="712" t="str">
        <f>IF(AE3506="T2G","no charge",IF(AND(OR(PlanterYesMe="No",PlanterYesMe="N",PlanterYesMe="me"),H3506=""),"",IF(H3506="credit","NO install",IF(AND(K3506="",AE3506="me"),"EACH row",IF(AND(K3506="images",AE3506="me"),"EACH row",IF(D3506="","",IF(H3506="credit","",IF(AE3506="free","re-planting",IF(AE3506="me","   not ELP, by",IF(AND(OR(PlanterYesMe="Yes",PlanterYesMe="Y"),G3506&gt;0),(VLOOKUP(A3506,'Discount Lookup'!J:K,2)*G3506*(1-PlanterDiscount)*(1+PlanterDifficultyPercentage)),IF(AE3506="ELP",(VLOOKUP(A3506,'Discount Lookup'!J:K,2)*G3506*(1-PlanterDiscount)*(1+PlanterDifficultyPercentage)),IF(AE3506="free","re-planting",IF(G3506=0,"",IF(PlanterYesMe="",IF(AE3506="me","   not ELP, by",IF(AE3506="",IF(G3506&gt;0,(VLOOKUP(A3506,'Discount Lookup'!J:K,2)*G3506*(1-PlanterDiscount)*(1+PlanterDifficultyPercentage)),""),"")),"   not ELP, by"))))))))))))))</f>
        <v/>
      </c>
      <c r="AD3506" s="712"/>
      <c r="AE3506" s="513" t="str">
        <f t="shared" si="2666"/>
        <v/>
      </c>
      <c r="AF3506" s="713" t="str">
        <f t="shared" si="2667"/>
        <v/>
      </c>
      <c r="AG3506" s="713"/>
      <c r="AH3506" s="713"/>
      <c r="AI3506" s="112">
        <f>IF(H3506="credit",0,IF(AE3506="free",0,IF(AE3506="me",0,IF(G3506&gt;0,(VLOOKUP(A3506,'Discount Lookup'!J:K,2)*G3506),0))))</f>
        <v>0</v>
      </c>
      <c r="AJ3506" s="107" t="str">
        <f t="shared" ca="1" si="2668"/>
        <v/>
      </c>
      <c r="AK3506" s="714" t="str">
        <f t="shared" si="2669"/>
        <v/>
      </c>
      <c r="AL3506" s="714"/>
      <c r="AM3506" s="114" t="str">
        <f t="shared" si="2670"/>
        <v/>
      </c>
      <c r="AN3506" s="115"/>
      <c r="AO3506" s="116"/>
      <c r="AP3506" s="116"/>
      <c r="AQ3506" s="116"/>
      <c r="AR3506" s="116"/>
      <c r="AS3506" s="116"/>
      <c r="AT3506" s="116"/>
      <c r="AU3506" s="116"/>
      <c r="AV3506" s="78"/>
      <c r="AW3506" s="102"/>
      <c r="AX3506" s="78"/>
      <c r="AY3506" s="78"/>
      <c r="AZ3506" s="78"/>
      <c r="BA3506" s="78"/>
      <c r="BB3506" s="78"/>
      <c r="BC3506" s="78"/>
      <c r="BD3506" s="78"/>
      <c r="BE3506" s="465"/>
      <c r="BF3506" s="165" t="str">
        <f t="shared" si="2671"/>
        <v>https://www.google.com/search?tbm=isch&amp;q=Quercus%20shumardii%20Shumard%20Oak</v>
      </c>
      <c r="BG3506" s="165" t="str">
        <f t="shared" si="2672"/>
        <v>Q</v>
      </c>
      <c r="BH3506" s="65"/>
      <c r="BI3506" s="65"/>
      <c r="BJ3506" s="65"/>
      <c r="BK3506" s="65"/>
      <c r="BL3506" s="99"/>
      <c r="BM3506" s="99"/>
      <c r="BN3506" s="99"/>
    </row>
    <row r="3507" spans="1:66" s="51" customFormat="1" ht="27" x14ac:dyDescent="0.25">
      <c r="A3507" s="634">
        <v>15</v>
      </c>
      <c r="B3507" s="635" t="s">
        <v>291</v>
      </c>
      <c r="C3507" s="636" t="s">
        <v>3954</v>
      </c>
      <c r="D3507" s="637" t="s">
        <v>299</v>
      </c>
      <c r="E3507" s="638">
        <v>164.95</v>
      </c>
      <c r="F3507" s="639" t="s">
        <v>292</v>
      </c>
      <c r="G3507" s="484">
        <v>0</v>
      </c>
      <c r="H3507" s="691" t="str">
        <f>IF(G3507=0,"",IF(F3507="Buy",IF(G3507=1,"plant","plants"),IF(F3507&gt;0.01,"warranty","Error")))</f>
        <v/>
      </c>
      <c r="I3507" s="640">
        <f>IF(H3507="free",0,IF(H3507="credit",((E3507*(F3507))*G3507*-1),IF(F3507="Buy",(E3507*G3507),((E3507*(1-F3507))*G3507))))</f>
        <v>0</v>
      </c>
      <c r="J3507" s="640">
        <f>IF(H3507="warranty",0,(I3507*(_xlfn.SINGLE(SalesTaxPercentage))))</f>
        <v>0</v>
      </c>
      <c r="K3507" s="716">
        <f t="shared" ref="K3507" si="2687">I3507+J3507</f>
        <v>0</v>
      </c>
      <c r="L3507" s="716"/>
      <c r="M3507" s="689" t="str">
        <f ca="1">IF(AND(G3507&gt;0,E3507=0),"WARNING - no PRICE inserted",IF(H3507="free","FREE ~ no charge this plant",IF(H3507="credit",CONCATENATE("-$",ROUND(K3507*(1-_xlfn.SINGLE(T2GDiscount))*-1,2)," CREDIT after discount"),IF(_xlfn.SINGLE(T2GDiscount)=0,"",IF(G3507=0,"",IF(F3507="Buy",CONCATENATE("$",ROUND(K3507*(1-_xlfn.SINGLE(T2GDiscount)),2)," with ",(_xlfn.SINGLE(T2GDiscount)*100),"% discount"),CONCATENATE("$",ROUND(K3507*(1-_xlfn.SINGLE(T2GDiscount)),2)," with ",((_xlfn.SINGLE(T2GDiscount)*100+F3507*100)-(_xlfn.SINGLE(T2GDiscount)*100*F3507)),IF(F3507&gt;0,"% discounts",IF(_xlfn.SINGLE(NoWarrantyDiscount)&gt;0,"% discounts","% discount")))))))))</f>
        <v/>
      </c>
      <c r="N3507" s="690"/>
      <c r="O3507" s="486"/>
      <c r="P3507" s="486"/>
      <c r="Q3507" s="486"/>
      <c r="R3507" s="486"/>
      <c r="S3507" s="486"/>
      <c r="T3507" s="102">
        <f t="shared" si="2660"/>
        <v>0</v>
      </c>
      <c r="U3507" s="78">
        <f>IF(NOT(ISNUMBER(G3507)), "", VLOOKUP(A3507,'Discount Lookup'!D:E,2,FALSE)*G3507)</f>
        <v>0</v>
      </c>
      <c r="V3507" s="78">
        <f>IF(NOT(ISNUMBER(G3507)), "", VLOOKUP(A3507,'Discount Lookup'!G:H,2,FALSE)*G3507)</f>
        <v>0</v>
      </c>
      <c r="W3507" s="102">
        <f t="shared" si="2661"/>
        <v>0</v>
      </c>
      <c r="X3507" s="102">
        <f t="shared" si="2662"/>
        <v>0</v>
      </c>
      <c r="Y3507" s="120" t="b">
        <f t="shared" si="2663"/>
        <v>0</v>
      </c>
      <c r="Z3507" s="117">
        <f t="shared" si="2664"/>
        <v>0</v>
      </c>
      <c r="AA3507" s="118"/>
      <c r="AB3507" s="118" t="str">
        <f t="shared" si="2665"/>
        <v/>
      </c>
      <c r="AC3507" s="712" t="str">
        <f>IF(AE3507="T2G","no charge",IF(AND(OR(PlanterYesMe="No",PlanterYesMe="N",PlanterYesMe="me"),H3507=""),"",IF(H3507="credit","NO install",IF(AND(K3507="",AE3507="me"),"EACH row",IF(AND(K3507="images",AE3507="me"),"EACH row",IF(D3507="","",IF(H3507="credit","",IF(AE3507="free","re-planting",IF(AE3507="me","   not ELP, by",IF(AND(OR(PlanterYesMe="Yes",PlanterYesMe="Y"),G3507&gt;0),(VLOOKUP(A3507,'Discount Lookup'!J:K,2)*G3507*(1-PlanterDiscount)*(1+PlanterDifficultyPercentage)),IF(AE3507="ELP",(VLOOKUP(A3507,'Discount Lookup'!J:K,2)*G3507*(1-PlanterDiscount)*(1+PlanterDifficultyPercentage)),IF(AE3507="free","re-planting",IF(G3507=0,"",IF(PlanterYesMe="",IF(AE3507="me","   not ELP, by",IF(AE3507="",IF(G3507&gt;0,(VLOOKUP(A3507,'Discount Lookup'!J:K,2)*G3507*(1-PlanterDiscount)*(1+PlanterDifficultyPercentage)),""),"")),"   not ELP, by"))))))))))))))</f>
        <v/>
      </c>
      <c r="AD3507" s="712"/>
      <c r="AE3507" s="513" t="str">
        <f t="shared" si="2666"/>
        <v/>
      </c>
      <c r="AF3507" s="713" t="str">
        <f t="shared" si="2667"/>
        <v/>
      </c>
      <c r="AG3507" s="713"/>
      <c r="AH3507" s="713"/>
      <c r="AI3507" s="112">
        <f>IF(H3507="credit",0,IF(AE3507="free",0,IF(AE3507="me",0,IF(G3507&gt;0,(VLOOKUP(A3507,'Discount Lookup'!J:K,2)*G3507),0))))</f>
        <v>0</v>
      </c>
      <c r="AJ3507" s="107" t="str">
        <f t="shared" ca="1" si="2668"/>
        <v/>
      </c>
      <c r="AK3507" s="714" t="str">
        <f t="shared" si="2669"/>
        <v/>
      </c>
      <c r="AL3507" s="714"/>
      <c r="AM3507" s="114" t="str">
        <f t="shared" si="2670"/>
        <v/>
      </c>
      <c r="AN3507" s="115"/>
      <c r="AO3507" s="116"/>
      <c r="AP3507" s="116"/>
      <c r="AQ3507" s="116"/>
      <c r="AR3507" s="116"/>
      <c r="AS3507" s="116"/>
      <c r="AT3507" s="116"/>
      <c r="AU3507" s="116"/>
      <c r="AV3507" s="78"/>
      <c r="AW3507" s="102"/>
      <c r="AX3507" s="78"/>
      <c r="AY3507" s="78"/>
      <c r="AZ3507" s="78"/>
      <c r="BA3507" s="78"/>
      <c r="BB3507" s="78"/>
      <c r="BC3507" s="78"/>
      <c r="BD3507" s="78"/>
      <c r="BE3507" s="465"/>
      <c r="BF3507" s="165" t="str">
        <f t="shared" si="2671"/>
        <v>https://www.google.com/search?tbm=isch&amp;q=15%20G4</v>
      </c>
      <c r="BG3507" s="165" t="str">
        <f t="shared" si="2672"/>
        <v>Q</v>
      </c>
      <c r="BH3507" s="65"/>
      <c r="BI3507" s="65"/>
      <c r="BJ3507" s="65"/>
      <c r="BK3507" s="65"/>
      <c r="BL3507" s="99"/>
      <c r="BM3507" s="99"/>
      <c r="BN3507" s="99"/>
    </row>
    <row r="3508" spans="1:66" s="51" customFormat="1" ht="17.25" thickBot="1" x14ac:dyDescent="0.3">
      <c r="A3508" s="704" t="s">
        <v>5521</v>
      </c>
      <c r="B3508" s="642"/>
      <c r="C3508" s="710"/>
      <c r="D3508" s="643"/>
      <c r="E3508" s="643"/>
      <c r="F3508" s="644"/>
      <c r="G3508" s="645"/>
      <c r="H3508" s="646"/>
      <c r="I3508" s="647"/>
      <c r="J3508" s="648"/>
      <c r="K3508" s="649"/>
      <c r="L3508" s="650"/>
      <c r="M3508" s="650"/>
      <c r="N3508" s="644"/>
      <c r="O3508" s="644"/>
      <c r="P3508" s="644"/>
      <c r="Q3508" s="644"/>
      <c r="R3508" s="644"/>
      <c r="S3508" s="701" t="s">
        <v>5253</v>
      </c>
      <c r="T3508" s="102">
        <f t="shared" si="2660"/>
        <v>0</v>
      </c>
      <c r="U3508" s="78" t="str">
        <f>IF(NOT(ISNUMBER(G3508)), "", VLOOKUP(A3508,'Discount Lookup'!D:E,2,FALSE)*G3508)</f>
        <v/>
      </c>
      <c r="V3508" s="78" t="str">
        <f>IF(NOT(ISNUMBER(G3508)), "", VLOOKUP(A3508,'Discount Lookup'!G:H,2,FALSE)*G3508)</f>
        <v/>
      </c>
      <c r="W3508" s="102">
        <f t="shared" si="2661"/>
        <v>0</v>
      </c>
      <c r="X3508" s="102">
        <f t="shared" si="2662"/>
        <v>0</v>
      </c>
      <c r="Y3508" s="120" t="b">
        <f t="shared" si="2663"/>
        <v>0</v>
      </c>
      <c r="Z3508" s="117">
        <f t="shared" si="2664"/>
        <v>0</v>
      </c>
      <c r="AA3508" s="118"/>
      <c r="AB3508" s="118" t="str">
        <f t="shared" si="2665"/>
        <v/>
      </c>
      <c r="AC3508" s="712" t="str">
        <f>IF(AE3508="T2G","no charge",IF(AND(OR(PlanterYesMe="No",PlanterYesMe="N",PlanterYesMe="me"),H3508=""),"",IF(H3508="credit","NO install",IF(AND(K3508="",AE3508="me"),"EACH row",IF(AND(K3508="images",AE3508="me"),"EACH row",IF(D3508="","",IF(H3508="credit","",IF(AE3508="free","re-planting",IF(AE3508="me","   not ELP, by",IF(AND(OR(PlanterYesMe="Yes",PlanterYesMe="Y"),G3508&gt;0),(VLOOKUP(A3508,'Discount Lookup'!J:K,2)*G3508*(1-PlanterDiscount)*(1+PlanterDifficultyPercentage)),IF(AE3508="ELP",(VLOOKUP(A3508,'Discount Lookup'!J:K,2)*G3508*(1-PlanterDiscount)*(1+PlanterDifficultyPercentage)),IF(AE3508="free","re-planting",IF(G3508=0,"",IF(PlanterYesMe="",IF(AE3508="me","   not ELP, by",IF(AE3508="",IF(G3508&gt;0,(VLOOKUP(A3508,'Discount Lookup'!J:K,2)*G3508*(1-PlanterDiscount)*(1+PlanterDifficultyPercentage)),""),"")),"   not ELP, by"))))))))))))))</f>
        <v/>
      </c>
      <c r="AD3508" s="712"/>
      <c r="AE3508" s="513" t="str">
        <f t="shared" si="2666"/>
        <v/>
      </c>
      <c r="AF3508" s="713" t="str">
        <f t="shared" si="2667"/>
        <v/>
      </c>
      <c r="AG3508" s="713"/>
      <c r="AH3508" s="713"/>
      <c r="AI3508" s="112">
        <f>IF(H3508="credit",0,IF(AE3508="free",0,IF(AE3508="me",0,IF(G3508&gt;0,(VLOOKUP(A3508,'Discount Lookup'!J:K,2)*G3508),0))))</f>
        <v>0</v>
      </c>
      <c r="AJ3508" s="107" t="str">
        <f t="shared" ca="1" si="2668"/>
        <v/>
      </c>
      <c r="AK3508" s="714" t="str">
        <f t="shared" si="2669"/>
        <v/>
      </c>
      <c r="AL3508" s="714"/>
      <c r="AM3508" s="114" t="str">
        <f t="shared" si="2670"/>
        <v/>
      </c>
      <c r="AN3508" s="115"/>
      <c r="AO3508" s="116"/>
      <c r="AP3508" s="116"/>
      <c r="AQ3508" s="116"/>
      <c r="AR3508" s="116"/>
      <c r="AS3508" s="116"/>
      <c r="AT3508" s="116"/>
      <c r="AU3508" s="116"/>
      <c r="AV3508" s="78"/>
      <c r="AW3508" s="102"/>
      <c r="AX3508" s="78"/>
      <c r="AY3508" s="78"/>
      <c r="AZ3508" s="78"/>
      <c r="BA3508" s="78"/>
      <c r="BB3508" s="78"/>
      <c r="BC3508" s="78"/>
      <c r="BD3508" s="78"/>
      <c r="BE3508" s="465"/>
      <c r="BF3508" s="165" t="str">
        <f t="shared" si="2671"/>
        <v>https://www.google.com/search?tbm=isch&amp;q=wet%20sites%F0%9F%92%A7OK%2C%20Shumard%20is%20fast%20growing%2C%20tolerant%20of%20poor%20conditions%2C%20and%20has%20great%20Red-Orange%20fall%20color.%20Acorns%20take%2025%20years%20to%20appear%20</v>
      </c>
      <c r="BG3508" s="165" t="str">
        <f t="shared" si="2672"/>
        <v>w</v>
      </c>
      <c r="BH3508" s="65"/>
      <c r="BI3508" s="65"/>
      <c r="BJ3508" s="65"/>
      <c r="BK3508" s="65"/>
      <c r="BL3508" s="99"/>
      <c r="BM3508" s="99"/>
      <c r="BN3508" s="99"/>
    </row>
    <row r="3509" spans="1:66" s="51" customFormat="1" ht="18" x14ac:dyDescent="0.25">
      <c r="A3509" s="507" t="s">
        <v>713</v>
      </c>
      <c r="B3509" s="470"/>
      <c r="C3509" s="706"/>
      <c r="D3509" s="471" t="s">
        <v>714</v>
      </c>
      <c r="E3509" s="472"/>
      <c r="F3509" s="472"/>
      <c r="G3509" s="472"/>
      <c r="H3509" s="622" t="s">
        <v>715</v>
      </c>
      <c r="I3509" s="473" t="s">
        <v>431</v>
      </c>
      <c r="J3509" s="472"/>
      <c r="K3509" s="472"/>
      <c r="L3509" s="561"/>
      <c r="M3509" s="698" t="s">
        <v>5246</v>
      </c>
      <c r="N3509" s="692" t="str">
        <f>IF(AND(ISTEXT($A3509), ISERROR($A3509+0)), HYPERLINK($BF3509, "Images"), "")</f>
        <v>Images</v>
      </c>
      <c r="O3509" s="694" t="s">
        <v>5244</v>
      </c>
      <c r="P3509" s="475"/>
      <c r="Q3509" s="476"/>
      <c r="R3509" s="476"/>
      <c r="S3509" s="477" t="s">
        <v>294</v>
      </c>
      <c r="T3509" s="102">
        <f t="shared" si="2660"/>
        <v>0</v>
      </c>
      <c r="U3509" s="78" t="str">
        <f>IF(NOT(ISNUMBER(G3509)), "", VLOOKUP(A3509,'Discount Lookup'!D:E,2,FALSE)*G3509)</f>
        <v/>
      </c>
      <c r="V3509" s="78" t="str">
        <f>IF(NOT(ISNUMBER(G3509)), "", VLOOKUP(A3509,'Discount Lookup'!G:H,2,FALSE)*G3509)</f>
        <v/>
      </c>
      <c r="W3509" s="102">
        <f t="shared" si="2661"/>
        <v>0</v>
      </c>
      <c r="X3509" s="102" t="str">
        <f t="shared" si="2662"/>
        <v>Dark Green foliage</v>
      </c>
      <c r="Y3509" s="120" t="b">
        <f t="shared" si="2663"/>
        <v>0</v>
      </c>
      <c r="Z3509" s="117">
        <f t="shared" si="2664"/>
        <v>0</v>
      </c>
      <c r="AA3509" s="118"/>
      <c r="AB3509" s="118" t="str">
        <f t="shared" si="2665"/>
        <v/>
      </c>
      <c r="AC3509" s="712" t="str">
        <f>IF(AE3509="T2G","no charge",IF(AND(OR(PlanterYesMe="No",PlanterYesMe="N",PlanterYesMe="me"),H3509=""),"",IF(H3509="credit","NO install",IF(AND(K3509="",AE3509="me"),"EACH row",IF(AND(K3509="images",AE3509="me"),"EACH row",IF(D3509="","",IF(H3509="credit","",IF(AE3509="free","re-planting",IF(AE3509="me","   not ELP, by",IF(AND(OR(PlanterYesMe="Yes",PlanterYesMe="Y"),G3509&gt;0),(VLOOKUP(A3509,'Discount Lookup'!J:K,2)*G3509*(1-PlanterDiscount)*(1+PlanterDifficultyPercentage)),IF(AE3509="ELP",(VLOOKUP(A3509,'Discount Lookup'!J:K,2)*G3509*(1-PlanterDiscount)*(1+PlanterDifficultyPercentage)),IF(AE3509="free","re-planting",IF(G3509=0,"",IF(PlanterYesMe="",IF(AE3509="me","   not ELP, by",IF(AE3509="",IF(G3509&gt;0,(VLOOKUP(A3509,'Discount Lookup'!J:K,2)*G3509*(1-PlanterDiscount)*(1+PlanterDifficultyPercentage)),""),"")),"   not ELP, by"))))))))))))))</f>
        <v/>
      </c>
      <c r="AD3509" s="712"/>
      <c r="AE3509" s="513" t="str">
        <f t="shared" si="2666"/>
        <v/>
      </c>
      <c r="AF3509" s="713" t="str">
        <f t="shared" si="2667"/>
        <v/>
      </c>
      <c r="AG3509" s="713"/>
      <c r="AH3509" s="713"/>
      <c r="AI3509" s="112">
        <f>IF(H3509="credit",0,IF(AE3509="free",0,IF(AE3509="me",0,IF(G3509&gt;0,(VLOOKUP(A3509,'Discount Lookup'!J:K,2)*G3509),0))))</f>
        <v>0</v>
      </c>
      <c r="AJ3509" s="107" t="str">
        <f t="shared" ca="1" si="2668"/>
        <v/>
      </c>
      <c r="AK3509" s="714" t="str">
        <f t="shared" si="2669"/>
        <v/>
      </c>
      <c r="AL3509" s="714"/>
      <c r="AM3509" s="114" t="str">
        <f t="shared" si="2670"/>
        <v/>
      </c>
      <c r="AN3509" s="115"/>
      <c r="AO3509" s="116"/>
      <c r="AP3509" s="116"/>
      <c r="AQ3509" s="116"/>
      <c r="AR3509" s="116"/>
      <c r="AS3509" s="116"/>
      <c r="AT3509" s="116"/>
      <c r="AU3509" s="116"/>
      <c r="AV3509" s="78"/>
      <c r="AW3509" s="102"/>
      <c r="AX3509" s="78"/>
      <c r="AY3509" s="78"/>
      <c r="AZ3509" s="78"/>
      <c r="BA3509" s="78"/>
      <c r="BB3509" s="78"/>
      <c r="BC3509" s="78"/>
      <c r="BD3509" s="78"/>
      <c r="BE3509" s="465"/>
      <c r="BF3509" s="165" t="str">
        <f t="shared" si="2671"/>
        <v>https://www.google.com/search?tbm=isch&amp;q=Quercus%20virginiana%20Southern%20Live%20Oak</v>
      </c>
      <c r="BG3509" s="165" t="str">
        <f t="shared" si="2672"/>
        <v>Q</v>
      </c>
      <c r="BH3509" s="65"/>
      <c r="BI3509" s="65"/>
      <c r="BJ3509" s="65"/>
      <c r="BK3509" s="65"/>
      <c r="BL3509" s="99"/>
      <c r="BM3509" s="99"/>
      <c r="BN3509" s="99"/>
    </row>
    <row r="3510" spans="1:66" s="51" customFormat="1" ht="15.75" x14ac:dyDescent="0.25">
      <c r="A3510" s="478">
        <v>7</v>
      </c>
      <c r="B3510" s="479" t="s">
        <v>291</v>
      </c>
      <c r="C3510" s="480" t="s">
        <v>1003</v>
      </c>
      <c r="D3510" s="481" t="s">
        <v>299</v>
      </c>
      <c r="E3510" s="482">
        <v>104.95</v>
      </c>
      <c r="F3510" s="483" t="s">
        <v>292</v>
      </c>
      <c r="G3510" s="484">
        <v>0</v>
      </c>
      <c r="H3510" s="688" t="str">
        <f>IF(G3510=0,"",IF(F3510="Buy",IF(G3510=1,"plant","plants"),IF(F3510&gt;0.01,"warranty","Error")))</f>
        <v/>
      </c>
      <c r="I3510" s="485">
        <f>IF(H3510="free",0,IF(H3510="credit",((E3510*(F3510))*G3510*-1),IF(F3510="Buy",(E3510*G3510),((E3510*(1-F3510))*G3510))))</f>
        <v>0</v>
      </c>
      <c r="J3510" s="485">
        <f>IF(H3510="warranty",0,(I3510*(_xlfn.SINGLE(SalesTaxPercentage))))</f>
        <v>0</v>
      </c>
      <c r="K3510" s="715">
        <f t="shared" ref="K3510" si="2688">I3510+J3510</f>
        <v>0</v>
      </c>
      <c r="L3510" s="715"/>
      <c r="M3510" s="689" t="str">
        <f ca="1">IF(AND(G3510&gt;0,E3510=0),"WARNING - no PRICE inserted",IF(H3510="free","FREE ~ no charge this plant",IF(H3510="credit",CONCATENATE("-$",ROUND(K3510*(1-_xlfn.SINGLE(T2GDiscount))*-1,2)," CREDIT after discount"),IF(_xlfn.SINGLE(T2GDiscount)=0,"",IF(G3510=0,"",IF(F3510="Buy",CONCATENATE("$",ROUND(K3510*(1-_xlfn.SINGLE(T2GDiscount)),2)," with ",(_xlfn.SINGLE(T2GDiscount)*100),"% discount"),CONCATENATE("$",ROUND(K3510*(1-_xlfn.SINGLE(T2GDiscount)),2)," with ",((_xlfn.SINGLE(T2GDiscount)*100+F3510*100)-(_xlfn.SINGLE(T2GDiscount)*100*F3510)),IF(F3510&gt;0,"% discounts",IF(_xlfn.SINGLE(NoWarrantyDiscount)&gt;0,"% discounts","% discount")))))))))</f>
        <v/>
      </c>
      <c r="N3510" s="690"/>
      <c r="O3510" s="486"/>
      <c r="P3510" s="486"/>
      <c r="Q3510" s="486"/>
      <c r="R3510" s="486"/>
      <c r="S3510" s="486"/>
      <c r="T3510" s="102">
        <f t="shared" si="2660"/>
        <v>0</v>
      </c>
      <c r="U3510" s="78">
        <f>IF(NOT(ISNUMBER(G3510)), "", VLOOKUP(A3510,'Discount Lookup'!D:E,2,FALSE)*G3510)</f>
        <v>0</v>
      </c>
      <c r="V3510" s="78">
        <f>IF(NOT(ISNUMBER(G3510)), "", VLOOKUP(A3510,'Discount Lookup'!G:H,2,FALSE)*G3510)</f>
        <v>0</v>
      </c>
      <c r="W3510" s="102">
        <f t="shared" si="2661"/>
        <v>0</v>
      </c>
      <c r="X3510" s="102">
        <f t="shared" si="2662"/>
        <v>0</v>
      </c>
      <c r="Y3510" s="120" t="b">
        <f t="shared" si="2663"/>
        <v>0</v>
      </c>
      <c r="Z3510" s="117">
        <f t="shared" si="2664"/>
        <v>0</v>
      </c>
      <c r="AA3510" s="118"/>
      <c r="AB3510" s="118" t="str">
        <f t="shared" si="2665"/>
        <v/>
      </c>
      <c r="AC3510" s="712" t="str">
        <f>IF(AE3510="T2G","no charge",IF(AND(OR(PlanterYesMe="No",PlanterYesMe="N",PlanterYesMe="me"),H3510=""),"",IF(H3510="credit","NO install",IF(AND(K3510="",AE3510="me"),"EACH row",IF(AND(K3510="images",AE3510="me"),"EACH row",IF(D3510="","",IF(H3510="credit","",IF(AE3510="free","re-planting",IF(AE3510="me","   not ELP, by",IF(AND(OR(PlanterYesMe="Yes",PlanterYesMe="Y"),G3510&gt;0),(VLOOKUP(A3510,'Discount Lookup'!J:K,2)*G3510*(1-PlanterDiscount)*(1+PlanterDifficultyPercentage)),IF(AE3510="ELP",(VLOOKUP(A3510,'Discount Lookup'!J:K,2)*G3510*(1-PlanterDiscount)*(1+PlanterDifficultyPercentage)),IF(AE3510="free","re-planting",IF(G3510=0,"",IF(PlanterYesMe="",IF(AE3510="me","   not ELP, by",IF(AE3510="",IF(G3510&gt;0,(VLOOKUP(A3510,'Discount Lookup'!J:K,2)*G3510*(1-PlanterDiscount)*(1+PlanterDifficultyPercentage)),""),"")),"   not ELP, by"))))))))))))))</f>
        <v/>
      </c>
      <c r="AD3510" s="712"/>
      <c r="AE3510" s="513" t="str">
        <f t="shared" si="2666"/>
        <v/>
      </c>
      <c r="AF3510" s="713" t="str">
        <f t="shared" si="2667"/>
        <v/>
      </c>
      <c r="AG3510" s="713"/>
      <c r="AH3510" s="713"/>
      <c r="AI3510" s="112">
        <f>IF(H3510="credit",0,IF(AE3510="free",0,IF(AE3510="me",0,IF(G3510&gt;0,(VLOOKUP(A3510,'Discount Lookup'!J:K,2)*G3510),0))))</f>
        <v>0</v>
      </c>
      <c r="AJ3510" s="107" t="str">
        <f t="shared" ca="1" si="2668"/>
        <v/>
      </c>
      <c r="AK3510" s="714" t="str">
        <f t="shared" si="2669"/>
        <v/>
      </c>
      <c r="AL3510" s="714"/>
      <c r="AM3510" s="114" t="str">
        <f t="shared" si="2670"/>
        <v/>
      </c>
      <c r="AN3510" s="115"/>
      <c r="AO3510" s="116"/>
      <c r="AP3510" s="116"/>
      <c r="AQ3510" s="116"/>
      <c r="AR3510" s="116"/>
      <c r="AS3510" s="116"/>
      <c r="AT3510" s="116"/>
      <c r="AU3510" s="116"/>
      <c r="AV3510" s="78"/>
      <c r="AW3510" s="102"/>
      <c r="AX3510" s="78"/>
      <c r="AY3510" s="78"/>
      <c r="AZ3510" s="78"/>
      <c r="BA3510" s="78"/>
      <c r="BB3510" s="78"/>
      <c r="BC3510" s="78"/>
      <c r="BD3510" s="78"/>
      <c r="BE3510" s="465"/>
      <c r="BF3510" s="165" t="str">
        <f t="shared" si="2671"/>
        <v>https://www.google.com/search?tbm=isch&amp;q=7%20G4</v>
      </c>
      <c r="BG3510" s="165" t="str">
        <f t="shared" si="2672"/>
        <v>Q</v>
      </c>
      <c r="BH3510" s="65"/>
      <c r="BI3510" s="65"/>
      <c r="BJ3510" s="65"/>
      <c r="BK3510" s="65"/>
      <c r="BL3510" s="99"/>
      <c r="BM3510" s="99"/>
      <c r="BN3510" s="99"/>
    </row>
    <row r="3511" spans="1:66" s="51" customFormat="1" ht="17.25" thickBot="1" x14ac:dyDescent="0.3">
      <c r="A3511" s="705" t="s">
        <v>5522</v>
      </c>
      <c r="B3511" s="487"/>
      <c r="C3511" s="707"/>
      <c r="D3511" s="487"/>
      <c r="E3511" s="487"/>
      <c r="F3511" s="488"/>
      <c r="G3511" s="489"/>
      <c r="H3511" s="487"/>
      <c r="I3511" s="490"/>
      <c r="J3511" s="490"/>
      <c r="K3511" s="491"/>
      <c r="L3511" s="547"/>
      <c r="M3511" s="528"/>
      <c r="N3511" s="492"/>
      <c r="O3511" s="493"/>
      <c r="P3511" s="494"/>
      <c r="Q3511" s="492"/>
      <c r="R3511" s="492"/>
      <c r="S3511" s="699" t="s">
        <v>5302</v>
      </c>
      <c r="T3511" s="102">
        <f t="shared" si="2660"/>
        <v>0</v>
      </c>
      <c r="U3511" s="78" t="str">
        <f>IF(NOT(ISNUMBER(G3511)), "", VLOOKUP(A3511,'Discount Lookup'!D:E,2,FALSE)*G3511)</f>
        <v/>
      </c>
      <c r="V3511" s="78" t="str">
        <f>IF(NOT(ISNUMBER(G3511)), "", VLOOKUP(A3511,'Discount Lookup'!G:H,2,FALSE)*G3511)</f>
        <v/>
      </c>
      <c r="W3511" s="102">
        <f t="shared" si="2661"/>
        <v>0</v>
      </c>
      <c r="X3511" s="102">
        <f t="shared" si="2662"/>
        <v>0</v>
      </c>
      <c r="Y3511" s="120" t="b">
        <f t="shared" si="2663"/>
        <v>0</v>
      </c>
      <c r="Z3511" s="117">
        <f t="shared" si="2664"/>
        <v>0</v>
      </c>
      <c r="AA3511" s="118"/>
      <c r="AB3511" s="118" t="str">
        <f t="shared" si="2665"/>
        <v/>
      </c>
      <c r="AC3511" s="712" t="str">
        <f>IF(AE3511="T2G","no charge",IF(AND(OR(PlanterYesMe="No",PlanterYesMe="N",PlanterYesMe="me"),H3511=""),"",IF(H3511="credit","NO install",IF(AND(K3511="",AE3511="me"),"EACH row",IF(AND(K3511="images",AE3511="me"),"EACH row",IF(D3511="","",IF(H3511="credit","",IF(AE3511="free","re-planting",IF(AE3511="me","   not ELP, by",IF(AND(OR(PlanterYesMe="Yes",PlanterYesMe="Y"),G3511&gt;0),(VLOOKUP(A3511,'Discount Lookup'!J:K,2)*G3511*(1-PlanterDiscount)*(1+PlanterDifficultyPercentage)),IF(AE3511="ELP",(VLOOKUP(A3511,'Discount Lookup'!J:K,2)*G3511*(1-PlanterDiscount)*(1+PlanterDifficultyPercentage)),IF(AE3511="free","re-planting",IF(G3511=0,"",IF(PlanterYesMe="",IF(AE3511="me","   not ELP, by",IF(AE3511="",IF(G3511&gt;0,(VLOOKUP(A3511,'Discount Lookup'!J:K,2)*G3511*(1-PlanterDiscount)*(1+PlanterDifficultyPercentage)),""),"")),"   not ELP, by"))))))))))))))</f>
        <v/>
      </c>
      <c r="AD3511" s="712"/>
      <c r="AE3511" s="513" t="str">
        <f t="shared" si="2666"/>
        <v/>
      </c>
      <c r="AF3511" s="713" t="str">
        <f t="shared" si="2667"/>
        <v/>
      </c>
      <c r="AG3511" s="713"/>
      <c r="AH3511" s="713"/>
      <c r="AI3511" s="112">
        <f>IF(H3511="credit",0,IF(AE3511="free",0,IF(AE3511="me",0,IF(G3511&gt;0,(VLOOKUP(A3511,'Discount Lookup'!J:K,2)*G3511),0))))</f>
        <v>0</v>
      </c>
      <c r="AJ3511" s="107" t="str">
        <f t="shared" ca="1" si="2668"/>
        <v/>
      </c>
      <c r="AK3511" s="714" t="str">
        <f t="shared" si="2669"/>
        <v/>
      </c>
      <c r="AL3511" s="714"/>
      <c r="AM3511" s="114" t="str">
        <f t="shared" si="2670"/>
        <v/>
      </c>
      <c r="AN3511" s="115"/>
      <c r="AO3511" s="116"/>
      <c r="AP3511" s="116"/>
      <c r="AQ3511" s="116"/>
      <c r="AR3511" s="116"/>
      <c r="AS3511" s="116"/>
      <c r="AT3511" s="116"/>
      <c r="AU3511" s="116"/>
      <c r="AV3511" s="78"/>
      <c r="AW3511" s="102"/>
      <c r="AX3511" s="78"/>
      <c r="AY3511" s="78"/>
      <c r="AZ3511" s="78"/>
      <c r="BA3511" s="78"/>
      <c r="BB3511" s="78"/>
      <c r="BC3511" s="78"/>
      <c r="BD3511" s="78"/>
      <c r="BE3511" s="465"/>
      <c r="BF3511" s="165" t="str">
        <f t="shared" si="2671"/>
        <v>https://www.google.com/search?tbm=isch&amp;q=moist%20sites%F0%9F%92%A7OK%2C%20Southern%20Live%20Oak%20may%20lose%20foliage%20in%20cold%20winter.%20Often%20grows%20Spanish%20moss%20%28safe%20for%20tree%29.%20Long%20lived%20</v>
      </c>
      <c r="BG3511" s="165" t="str">
        <f t="shared" si="2672"/>
        <v>m</v>
      </c>
      <c r="BH3511" s="65"/>
      <c r="BI3511" s="65"/>
      <c r="BJ3511" s="65"/>
      <c r="BK3511" s="65"/>
      <c r="BL3511" s="99"/>
      <c r="BM3511" s="99"/>
      <c r="BN3511" s="99"/>
    </row>
    <row r="3512" spans="1:66" s="51" customFormat="1" ht="18" x14ac:dyDescent="0.25">
      <c r="A3512" s="623" t="s">
        <v>3955</v>
      </c>
      <c r="B3512" s="624"/>
      <c r="C3512" s="709"/>
      <c r="D3512" s="625" t="s">
        <v>5751</v>
      </c>
      <c r="E3512" s="626"/>
      <c r="F3512" s="626"/>
      <c r="G3512" s="626"/>
      <c r="H3512" s="622" t="s">
        <v>3956</v>
      </c>
      <c r="I3512" s="627" t="s">
        <v>431</v>
      </c>
      <c r="J3512" s="628"/>
      <c r="K3512" s="628"/>
      <c r="L3512" s="629"/>
      <c r="M3512" s="700" t="s">
        <v>5241</v>
      </c>
      <c r="N3512" s="693" t="str">
        <f>IF(AND(ISTEXT($A3512), ISERROR($A3512+0)), HYPERLINK($BF3512, "Images"), "")</f>
        <v>Images</v>
      </c>
      <c r="O3512" s="695" t="s">
        <v>5264</v>
      </c>
      <c r="P3512" s="630"/>
      <c r="Q3512" s="631"/>
      <c r="R3512" s="632"/>
      <c r="S3512" s="633"/>
      <c r="T3512" s="102">
        <f t="shared" si="2660"/>
        <v>0</v>
      </c>
      <c r="U3512" s="78" t="str">
        <f>IF(NOT(ISNUMBER(G3512)), "", VLOOKUP(A3512,'Discount Lookup'!D:E,2,FALSE)*G3512)</f>
        <v/>
      </c>
      <c r="V3512" s="78" t="str">
        <f>IF(NOT(ISNUMBER(G3512)), "", VLOOKUP(A3512,'Discount Lookup'!G:H,2,FALSE)*G3512)</f>
        <v/>
      </c>
      <c r="W3512" s="102">
        <f t="shared" si="2661"/>
        <v>0</v>
      </c>
      <c r="X3512" s="102" t="str">
        <f t="shared" si="2662"/>
        <v>Dark Green foliage</v>
      </c>
      <c r="Y3512" s="120" t="b">
        <f t="shared" si="2663"/>
        <v>0</v>
      </c>
      <c r="Z3512" s="117">
        <f t="shared" si="2664"/>
        <v>0</v>
      </c>
      <c r="AA3512" s="118"/>
      <c r="AB3512" s="118" t="str">
        <f t="shared" si="2665"/>
        <v/>
      </c>
      <c r="AC3512" s="712" t="str">
        <f>IF(AE3512="T2G","no charge",IF(AND(OR(PlanterYesMe="No",PlanterYesMe="N",PlanterYesMe="me"),H3512=""),"",IF(H3512="credit","NO install",IF(AND(K3512="",AE3512="me"),"EACH row",IF(AND(K3512="images",AE3512="me"),"EACH row",IF(D3512="","",IF(H3512="credit","",IF(AE3512="free","re-planting",IF(AE3512="me","   not ELP, by",IF(AND(OR(PlanterYesMe="Yes",PlanterYesMe="Y"),G3512&gt;0),(VLOOKUP(A3512,'Discount Lookup'!J:K,2)*G3512*(1-PlanterDiscount)*(1+PlanterDifficultyPercentage)),IF(AE3512="ELP",(VLOOKUP(A3512,'Discount Lookup'!J:K,2)*G3512*(1-PlanterDiscount)*(1+PlanterDifficultyPercentage)),IF(AE3512="free","re-planting",IF(G3512=0,"",IF(PlanterYesMe="",IF(AE3512="me","   not ELP, by",IF(AE3512="",IF(G3512&gt;0,(VLOOKUP(A3512,'Discount Lookup'!J:K,2)*G3512*(1-PlanterDiscount)*(1+PlanterDifficultyPercentage)),""),"")),"   not ELP, by"))))))))))))))</f>
        <v/>
      </c>
      <c r="AD3512" s="712"/>
      <c r="AE3512" s="513" t="str">
        <f t="shared" si="2666"/>
        <v/>
      </c>
      <c r="AF3512" s="713" t="str">
        <f t="shared" si="2667"/>
        <v/>
      </c>
      <c r="AG3512" s="713"/>
      <c r="AH3512" s="713"/>
      <c r="AI3512" s="112">
        <f>IF(H3512="credit",0,IF(AE3512="free",0,IF(AE3512="me",0,IF(G3512&gt;0,(VLOOKUP(A3512,'Discount Lookup'!J:K,2)*G3512),0))))</f>
        <v>0</v>
      </c>
      <c r="AJ3512" s="107" t="str">
        <f t="shared" ca="1" si="2668"/>
        <v/>
      </c>
      <c r="AK3512" s="714" t="str">
        <f t="shared" si="2669"/>
        <v/>
      </c>
      <c r="AL3512" s="714"/>
      <c r="AM3512" s="114" t="str">
        <f t="shared" si="2670"/>
        <v/>
      </c>
      <c r="AN3512" s="115"/>
      <c r="AO3512" s="116"/>
      <c r="AP3512" s="116"/>
      <c r="AQ3512" s="116"/>
      <c r="AR3512" s="116"/>
      <c r="AS3512" s="116"/>
      <c r="AT3512" s="116"/>
      <c r="AU3512" s="116"/>
      <c r="AV3512" s="78"/>
      <c r="AW3512" s="102"/>
      <c r="AX3512" s="78"/>
      <c r="AY3512" s="78"/>
      <c r="AZ3512" s="78"/>
      <c r="BA3512" s="78"/>
      <c r="BB3512" s="78"/>
      <c r="BC3512" s="78"/>
      <c r="BD3512" s="78"/>
      <c r="BE3512" s="465"/>
      <c r="BF3512" s="165" t="str">
        <f t="shared" si="2671"/>
        <v>https://www.google.com/search?tbm=isch&amp;q=Quercus%20x%20warei%20%27Long%27%20PP%2312673%20Regal%20Prince%E2%84%A2%20Oak</v>
      </c>
      <c r="BG3512" s="165" t="str">
        <f t="shared" si="2672"/>
        <v>Q</v>
      </c>
      <c r="BH3512" s="65"/>
      <c r="BI3512" s="65"/>
      <c r="BJ3512" s="65"/>
      <c r="BK3512" s="65"/>
      <c r="BL3512" s="99"/>
      <c r="BM3512" s="99"/>
      <c r="BN3512" s="99"/>
    </row>
    <row r="3513" spans="1:66" s="51" customFormat="1" ht="15.75" x14ac:dyDescent="0.25">
      <c r="A3513" s="634">
        <v>7</v>
      </c>
      <c r="B3513" s="635" t="s">
        <v>291</v>
      </c>
      <c r="C3513" s="636" t="s">
        <v>3957</v>
      </c>
      <c r="D3513" s="637" t="s">
        <v>299</v>
      </c>
      <c r="E3513" s="638">
        <v>127.95</v>
      </c>
      <c r="F3513" s="639" t="s">
        <v>292</v>
      </c>
      <c r="G3513" s="484">
        <v>0</v>
      </c>
      <c r="H3513" s="691" t="str">
        <f>IF(G3513=0,"",IF(F3513="Buy",IF(G3513=1,"plant","plants"),IF(F3513&gt;0.01,"warranty","Error")))</f>
        <v/>
      </c>
      <c r="I3513" s="640">
        <f>IF(H3513="free",0,IF(H3513="credit",((E3513*(F3513))*G3513*-1),IF(F3513="Buy",(E3513*G3513),((E3513*(1-F3513))*G3513))))</f>
        <v>0</v>
      </c>
      <c r="J3513" s="640">
        <f>IF(H3513="warranty",0,(I3513*(_xlfn.SINGLE(SalesTaxPercentage))))</f>
        <v>0</v>
      </c>
      <c r="K3513" s="716">
        <f t="shared" ref="K3513" si="2689">I3513+J3513</f>
        <v>0</v>
      </c>
      <c r="L3513" s="716"/>
      <c r="M3513" s="689" t="str">
        <f ca="1">IF(AND(G3513&gt;0,E3513=0),"WARNING - no PRICE inserted",IF(H3513="free","FREE ~ no charge this plant",IF(H3513="credit",CONCATENATE("-$",ROUND(K3513*(1-_xlfn.SINGLE(T2GDiscount))*-1,2)," CREDIT after discount"),IF(_xlfn.SINGLE(T2GDiscount)=0,"",IF(G3513=0,"",IF(F3513="Buy",CONCATENATE("$",ROUND(K3513*(1-_xlfn.SINGLE(T2GDiscount)),2)," with ",(_xlfn.SINGLE(T2GDiscount)*100),"% discount"),CONCATENATE("$",ROUND(K3513*(1-_xlfn.SINGLE(T2GDiscount)),2)," with ",((_xlfn.SINGLE(T2GDiscount)*100+F3513*100)-(_xlfn.SINGLE(T2GDiscount)*100*F3513)),IF(F3513&gt;0,"% discounts",IF(_xlfn.SINGLE(NoWarrantyDiscount)&gt;0,"% discounts","% discount")))))))))</f>
        <v/>
      </c>
      <c r="N3513" s="690"/>
      <c r="O3513" s="486"/>
      <c r="P3513" s="486"/>
      <c r="Q3513" s="486"/>
      <c r="R3513" s="486"/>
      <c r="S3513" s="486"/>
      <c r="T3513" s="102">
        <f t="shared" si="2660"/>
        <v>0</v>
      </c>
      <c r="U3513" s="78">
        <f>IF(NOT(ISNUMBER(G3513)), "", VLOOKUP(A3513,'Discount Lookup'!D:E,2,FALSE)*G3513)</f>
        <v>0</v>
      </c>
      <c r="V3513" s="78">
        <f>IF(NOT(ISNUMBER(G3513)), "", VLOOKUP(A3513,'Discount Lookup'!G:H,2,FALSE)*G3513)</f>
        <v>0</v>
      </c>
      <c r="W3513" s="102">
        <f t="shared" si="2661"/>
        <v>0</v>
      </c>
      <c r="X3513" s="102">
        <f t="shared" si="2662"/>
        <v>0</v>
      </c>
      <c r="Y3513" s="120" t="b">
        <f t="shared" si="2663"/>
        <v>0</v>
      </c>
      <c r="Z3513" s="117">
        <f t="shared" si="2664"/>
        <v>0</v>
      </c>
      <c r="AA3513" s="118"/>
      <c r="AB3513" s="118" t="str">
        <f t="shared" si="2665"/>
        <v/>
      </c>
      <c r="AC3513" s="712" t="str">
        <f>IF(AE3513="T2G","no charge",IF(AND(OR(PlanterYesMe="No",PlanterYesMe="N",PlanterYesMe="me"),H3513=""),"",IF(H3513="credit","NO install",IF(AND(K3513="",AE3513="me"),"EACH row",IF(AND(K3513="images",AE3513="me"),"EACH row",IF(D3513="","",IF(H3513="credit","",IF(AE3513="free","re-planting",IF(AE3513="me","   not ELP, by",IF(AND(OR(PlanterYesMe="Yes",PlanterYesMe="Y"),G3513&gt;0),(VLOOKUP(A3513,'Discount Lookup'!J:K,2)*G3513*(1-PlanterDiscount)*(1+PlanterDifficultyPercentage)),IF(AE3513="ELP",(VLOOKUP(A3513,'Discount Lookup'!J:K,2)*G3513*(1-PlanterDiscount)*(1+PlanterDifficultyPercentage)),IF(AE3513="free","re-planting",IF(G3513=0,"",IF(PlanterYesMe="",IF(AE3513="me","   not ELP, by",IF(AE3513="",IF(G3513&gt;0,(VLOOKUP(A3513,'Discount Lookup'!J:K,2)*G3513*(1-PlanterDiscount)*(1+PlanterDifficultyPercentage)),""),"")),"   not ELP, by"))))))))))))))</f>
        <v/>
      </c>
      <c r="AD3513" s="712"/>
      <c r="AE3513" s="513" t="str">
        <f t="shared" si="2666"/>
        <v/>
      </c>
      <c r="AF3513" s="713" t="str">
        <f t="shared" si="2667"/>
        <v/>
      </c>
      <c r="AG3513" s="713"/>
      <c r="AH3513" s="713"/>
      <c r="AI3513" s="112">
        <f>IF(H3513="credit",0,IF(AE3513="free",0,IF(AE3513="me",0,IF(G3513&gt;0,(VLOOKUP(A3513,'Discount Lookup'!J:K,2)*G3513),0))))</f>
        <v>0</v>
      </c>
      <c r="AJ3513" s="107" t="str">
        <f t="shared" ca="1" si="2668"/>
        <v/>
      </c>
      <c r="AK3513" s="714" t="str">
        <f t="shared" si="2669"/>
        <v/>
      </c>
      <c r="AL3513" s="714"/>
      <c r="AM3513" s="114" t="str">
        <f t="shared" si="2670"/>
        <v/>
      </c>
      <c r="AN3513" s="115"/>
      <c r="AO3513" s="116"/>
      <c r="AP3513" s="116"/>
      <c r="AQ3513" s="116"/>
      <c r="AR3513" s="116"/>
      <c r="AS3513" s="116"/>
      <c r="AT3513" s="116"/>
      <c r="AU3513" s="116"/>
      <c r="AV3513" s="78"/>
      <c r="AW3513" s="102"/>
      <c r="AX3513" s="78"/>
      <c r="AY3513" s="78"/>
      <c r="AZ3513" s="78"/>
      <c r="BA3513" s="78"/>
      <c r="BB3513" s="78"/>
      <c r="BC3513" s="78"/>
      <c r="BD3513" s="78"/>
      <c r="BE3513" s="465"/>
      <c r="BF3513" s="165" t="str">
        <f t="shared" si="2671"/>
        <v>https://www.google.com/search?tbm=isch&amp;q=7%20G4</v>
      </c>
      <c r="BG3513" s="165" t="str">
        <f t="shared" si="2672"/>
        <v>Q</v>
      </c>
      <c r="BH3513" s="65"/>
      <c r="BI3513" s="65"/>
      <c r="BJ3513" s="65"/>
      <c r="BK3513" s="65"/>
      <c r="BL3513" s="99"/>
      <c r="BM3513" s="99"/>
      <c r="BN3513" s="99"/>
    </row>
    <row r="3514" spans="1:66" s="51" customFormat="1" ht="15.75" x14ac:dyDescent="0.25">
      <c r="A3514" s="634">
        <v>25</v>
      </c>
      <c r="B3514" s="635" t="s">
        <v>291</v>
      </c>
      <c r="C3514" s="636" t="s">
        <v>3958</v>
      </c>
      <c r="D3514" s="637" t="s">
        <v>299</v>
      </c>
      <c r="E3514" s="638">
        <v>339.95</v>
      </c>
      <c r="F3514" s="639" t="s">
        <v>292</v>
      </c>
      <c r="G3514" s="484">
        <v>0</v>
      </c>
      <c r="H3514" s="691" t="str">
        <f>IF(G3514=0,"",IF(F3514="Buy",IF(G3514=1,"plant","plants"),IF(F3514&gt;0.01,"warranty","Error")))</f>
        <v/>
      </c>
      <c r="I3514" s="640">
        <f>IF(H3514="free",0,IF(H3514="credit",((E3514*(F3514))*G3514*-1),IF(F3514="Buy",(E3514*G3514),((E3514*(1-F3514))*G3514))))</f>
        <v>0</v>
      </c>
      <c r="J3514" s="640">
        <f>IF(H3514="warranty",0,(I3514*(_xlfn.SINGLE(SalesTaxPercentage))))</f>
        <v>0</v>
      </c>
      <c r="K3514" s="716">
        <f t="shared" ref="K3514" si="2690">I3514+J3514</f>
        <v>0</v>
      </c>
      <c r="L3514" s="716"/>
      <c r="M3514" s="689" t="str">
        <f ca="1">IF(AND(G3514&gt;0,E3514=0),"WARNING - no PRICE inserted",IF(H3514="free","FREE ~ no charge this plant",IF(H3514="credit",CONCATENATE("-$",ROUND(K3514*(1-_xlfn.SINGLE(T2GDiscount))*-1,2)," CREDIT after discount"),IF(_xlfn.SINGLE(T2GDiscount)=0,"",IF(G3514=0,"",IF(F3514="Buy",CONCATENATE("$",ROUND(K3514*(1-_xlfn.SINGLE(T2GDiscount)),2)," with ",(_xlfn.SINGLE(T2GDiscount)*100),"% discount"),CONCATENATE("$",ROUND(K3514*(1-_xlfn.SINGLE(T2GDiscount)),2)," with ",((_xlfn.SINGLE(T2GDiscount)*100+F3514*100)-(_xlfn.SINGLE(T2GDiscount)*100*F3514)),IF(F3514&gt;0,"% discounts",IF(_xlfn.SINGLE(NoWarrantyDiscount)&gt;0,"% discounts","% discount")))))))))</f>
        <v/>
      </c>
      <c r="N3514" s="690"/>
      <c r="O3514" s="486"/>
      <c r="P3514" s="486"/>
      <c r="Q3514" s="486"/>
      <c r="R3514" s="486"/>
      <c r="S3514" s="486"/>
      <c r="T3514" s="102">
        <f t="shared" si="2660"/>
        <v>0</v>
      </c>
      <c r="U3514" s="78">
        <f>IF(NOT(ISNUMBER(G3514)), "", VLOOKUP(A3514,'Discount Lookup'!D:E,2,FALSE)*G3514)</f>
        <v>0</v>
      </c>
      <c r="V3514" s="78">
        <f>IF(NOT(ISNUMBER(G3514)), "", VLOOKUP(A3514,'Discount Lookup'!G:H,2,FALSE)*G3514)</f>
        <v>0</v>
      </c>
      <c r="W3514" s="102">
        <f t="shared" si="2661"/>
        <v>0</v>
      </c>
      <c r="X3514" s="102">
        <f t="shared" si="2662"/>
        <v>0</v>
      </c>
      <c r="Y3514" s="120" t="b">
        <f t="shared" si="2663"/>
        <v>0</v>
      </c>
      <c r="Z3514" s="117">
        <f t="shared" si="2664"/>
        <v>0</v>
      </c>
      <c r="AA3514" s="118"/>
      <c r="AB3514" s="118" t="str">
        <f t="shared" si="2665"/>
        <v/>
      </c>
      <c r="AC3514" s="712" t="str">
        <f>IF(AE3514="T2G","no charge",IF(AND(OR(PlanterYesMe="No",PlanterYesMe="N",PlanterYesMe="me"),H3514=""),"",IF(H3514="credit","NO install",IF(AND(K3514="",AE3514="me"),"EACH row",IF(AND(K3514="images",AE3514="me"),"EACH row",IF(D3514="","",IF(H3514="credit","",IF(AE3514="free","re-planting",IF(AE3514="me","   not ELP, by",IF(AND(OR(PlanterYesMe="Yes",PlanterYesMe="Y"),G3514&gt;0),(VLOOKUP(A3514,'Discount Lookup'!J:K,2)*G3514*(1-PlanterDiscount)*(1+PlanterDifficultyPercentage)),IF(AE3514="ELP",(VLOOKUP(A3514,'Discount Lookup'!J:K,2)*G3514*(1-PlanterDiscount)*(1+PlanterDifficultyPercentage)),IF(AE3514="free","re-planting",IF(G3514=0,"",IF(PlanterYesMe="",IF(AE3514="me","   not ELP, by",IF(AE3514="",IF(G3514&gt;0,(VLOOKUP(A3514,'Discount Lookup'!J:K,2)*G3514*(1-PlanterDiscount)*(1+PlanterDifficultyPercentage)),""),"")),"   not ELP, by"))))))))))))))</f>
        <v/>
      </c>
      <c r="AD3514" s="712"/>
      <c r="AE3514" s="513" t="str">
        <f t="shared" si="2666"/>
        <v/>
      </c>
      <c r="AF3514" s="713" t="str">
        <f t="shared" si="2667"/>
        <v/>
      </c>
      <c r="AG3514" s="713"/>
      <c r="AH3514" s="713"/>
      <c r="AI3514" s="112">
        <f>IF(H3514="credit",0,IF(AE3514="free",0,IF(AE3514="me",0,IF(G3514&gt;0,(VLOOKUP(A3514,'Discount Lookup'!J:K,2)*G3514),0))))</f>
        <v>0</v>
      </c>
      <c r="AJ3514" s="107" t="str">
        <f t="shared" ca="1" si="2668"/>
        <v/>
      </c>
      <c r="AK3514" s="714" t="str">
        <f t="shared" si="2669"/>
        <v/>
      </c>
      <c r="AL3514" s="714"/>
      <c r="AM3514" s="114" t="str">
        <f t="shared" si="2670"/>
        <v/>
      </c>
      <c r="AN3514" s="115"/>
      <c r="AO3514" s="116"/>
      <c r="AP3514" s="116"/>
      <c r="AQ3514" s="116"/>
      <c r="AR3514" s="116"/>
      <c r="AS3514" s="116"/>
      <c r="AT3514" s="116"/>
      <c r="AU3514" s="116"/>
      <c r="AV3514" s="78"/>
      <c r="AW3514" s="102"/>
      <c r="AX3514" s="78"/>
      <c r="AY3514" s="78"/>
      <c r="AZ3514" s="78"/>
      <c r="BA3514" s="78"/>
      <c r="BB3514" s="78"/>
      <c r="BC3514" s="78"/>
      <c r="BD3514" s="78"/>
      <c r="BE3514" s="465"/>
      <c r="BF3514" s="165" t="str">
        <f t="shared" si="2671"/>
        <v>https://www.google.com/search?tbm=isch&amp;q=25%20G4</v>
      </c>
      <c r="BG3514" s="165" t="str">
        <f t="shared" si="2672"/>
        <v>Q</v>
      </c>
      <c r="BH3514" s="65"/>
      <c r="BI3514" s="65"/>
      <c r="BJ3514" s="65"/>
      <c r="BK3514" s="65"/>
      <c r="BL3514" s="99"/>
      <c r="BM3514" s="99"/>
      <c r="BN3514" s="99"/>
    </row>
    <row r="3515" spans="1:66" s="51" customFormat="1" ht="16.5" x14ac:dyDescent="0.25">
      <c r="A3515" s="704" t="s">
        <v>5523</v>
      </c>
      <c r="B3515" s="642"/>
      <c r="C3515" s="710"/>
      <c r="D3515" s="643"/>
      <c r="E3515" s="643"/>
      <c r="F3515" s="644"/>
      <c r="G3515" s="645"/>
      <c r="H3515" s="646"/>
      <c r="I3515" s="647"/>
      <c r="J3515" s="648"/>
      <c r="K3515" s="649"/>
      <c r="L3515" s="650"/>
      <c r="M3515" s="650"/>
      <c r="N3515" s="644"/>
      <c r="O3515" s="644"/>
      <c r="P3515" s="644"/>
      <c r="Q3515" s="644"/>
      <c r="R3515" s="644"/>
      <c r="S3515" s="701" t="s">
        <v>5253</v>
      </c>
      <c r="T3515" s="102">
        <f t="shared" si="2660"/>
        <v>0</v>
      </c>
      <c r="U3515" s="78" t="str">
        <f>IF(NOT(ISNUMBER(G3515)), "", VLOOKUP(A3515,'Discount Lookup'!D:E,2,FALSE)*G3515)</f>
        <v/>
      </c>
      <c r="V3515" s="78" t="str">
        <f>IF(NOT(ISNUMBER(G3515)), "", VLOOKUP(A3515,'Discount Lookup'!G:H,2,FALSE)*G3515)</f>
        <v/>
      </c>
      <c r="W3515" s="102">
        <f t="shared" si="2661"/>
        <v>0</v>
      </c>
      <c r="X3515" s="102">
        <f t="shared" si="2662"/>
        <v>0</v>
      </c>
      <c r="Y3515" s="120" t="b">
        <f t="shared" si="2663"/>
        <v>0</v>
      </c>
      <c r="Z3515" s="117">
        <f t="shared" si="2664"/>
        <v>0</v>
      </c>
      <c r="AA3515" s="118"/>
      <c r="AB3515" s="118" t="str">
        <f t="shared" si="2665"/>
        <v/>
      </c>
      <c r="AC3515" s="712" t="str">
        <f>IF(AE3515="T2G","no charge",IF(AND(OR(PlanterYesMe="No",PlanterYesMe="N",PlanterYesMe="me"),H3515=""),"",IF(H3515="credit","NO install",IF(AND(K3515="",AE3515="me"),"EACH row",IF(AND(K3515="images",AE3515="me"),"EACH row",IF(D3515="","",IF(H3515="credit","",IF(AE3515="free","re-planting",IF(AE3515="me","   not ELP, by",IF(AND(OR(PlanterYesMe="Yes",PlanterYesMe="Y"),G3515&gt;0),(VLOOKUP(A3515,'Discount Lookup'!J:K,2)*G3515*(1-PlanterDiscount)*(1+PlanterDifficultyPercentage)),IF(AE3515="ELP",(VLOOKUP(A3515,'Discount Lookup'!J:K,2)*G3515*(1-PlanterDiscount)*(1+PlanterDifficultyPercentage)),IF(AE3515="free","re-planting",IF(G3515=0,"",IF(PlanterYesMe="",IF(AE3515="me","   not ELP, by",IF(AE3515="",IF(G3515&gt;0,(VLOOKUP(A3515,'Discount Lookup'!J:K,2)*G3515*(1-PlanterDiscount)*(1+PlanterDifficultyPercentage)),""),"")),"   not ELP, by"))))))))))))))</f>
        <v/>
      </c>
      <c r="AD3515" s="712"/>
      <c r="AE3515" s="513" t="str">
        <f t="shared" si="2666"/>
        <v/>
      </c>
      <c r="AF3515" s="713" t="str">
        <f t="shared" si="2667"/>
        <v/>
      </c>
      <c r="AG3515" s="713"/>
      <c r="AH3515" s="713"/>
      <c r="AI3515" s="112">
        <f>IF(H3515="credit",0,IF(AE3515="free",0,IF(AE3515="me",0,IF(G3515&gt;0,(VLOOKUP(A3515,'Discount Lookup'!J:K,2)*G3515),0))))</f>
        <v>0</v>
      </c>
      <c r="AJ3515" s="107" t="str">
        <f t="shared" ca="1" si="2668"/>
        <v/>
      </c>
      <c r="AK3515" s="714" t="str">
        <f t="shared" si="2669"/>
        <v/>
      </c>
      <c r="AL3515" s="714"/>
      <c r="AM3515" s="114" t="str">
        <f t="shared" si="2670"/>
        <v/>
      </c>
      <c r="AN3515" s="115"/>
      <c r="AO3515" s="116"/>
      <c r="AP3515" s="116"/>
      <c r="AQ3515" s="116"/>
      <c r="AR3515" s="116"/>
      <c r="AS3515" s="116"/>
      <c r="AT3515" s="116"/>
      <c r="AU3515" s="116"/>
      <c r="AV3515" s="78"/>
      <c r="AW3515" s="102"/>
      <c r="AX3515" s="78"/>
      <c r="AY3515" s="78"/>
      <c r="AZ3515" s="78"/>
      <c r="BA3515" s="78"/>
      <c r="BB3515" s="78"/>
      <c r="BC3515" s="78"/>
      <c r="BD3515" s="78"/>
      <c r="BE3515" s="465"/>
      <c r="BF3515" s="165" t="str">
        <f t="shared" si="2671"/>
        <v>https://www.google.com/search?tbm=isch&amp;q=moist%20sites%F0%9F%92%A7GOOD%2C%20Regal%20Prince%20is%20a%20cross%20of%20English%20Oak%20%26%20Swamp%20White%20Oak.%20Strong%20central%20leader.%20Golden%20Bronze%20fall%20foliage%20</v>
      </c>
      <c r="BG3515" s="165" t="str">
        <f t="shared" si="2672"/>
        <v>m</v>
      </c>
      <c r="BH3515" s="65"/>
      <c r="BI3515" s="65"/>
      <c r="BJ3515" s="65"/>
      <c r="BK3515" s="65"/>
      <c r="BL3515" s="99"/>
      <c r="BM3515" s="99"/>
      <c r="BN3515" s="99"/>
    </row>
    <row r="3516" spans="1:66" s="51" customFormat="1" ht="55.5" x14ac:dyDescent="0.25">
      <c r="A3516" s="520" t="s">
        <v>716</v>
      </c>
      <c r="B3516" s="501"/>
      <c r="C3516" s="502"/>
      <c r="D3516" s="502"/>
      <c r="E3516" s="502"/>
      <c r="F3516" s="502"/>
      <c r="G3516" s="502"/>
      <c r="H3516" s="502"/>
      <c r="I3516" s="502"/>
      <c r="J3516" s="502"/>
      <c r="K3516" s="509" t="s">
        <v>871</v>
      </c>
      <c r="L3516" s="503"/>
      <c r="M3516" s="563"/>
      <c r="N3516" s="504"/>
      <c r="O3516" s="504"/>
      <c r="P3516" s="504"/>
      <c r="Q3516" s="504"/>
      <c r="R3516" s="504"/>
      <c r="S3516" s="511" t="s">
        <v>1546</v>
      </c>
      <c r="T3516" s="102">
        <f t="shared" si="2660"/>
        <v>0</v>
      </c>
      <c r="U3516" s="78" t="str">
        <f>IF(NOT(ISNUMBER(G3516)), "", VLOOKUP(A3516,'Discount Lookup'!D:E,2,FALSE)*G3516)</f>
        <v/>
      </c>
      <c r="V3516" s="78" t="str">
        <f>IF(NOT(ISNUMBER(G3516)), "", VLOOKUP(A3516,'Discount Lookup'!G:H,2,FALSE)*G3516)</f>
        <v/>
      </c>
      <c r="W3516" s="102">
        <f t="shared" si="2661"/>
        <v>0</v>
      </c>
      <c r="X3516" s="102">
        <f t="shared" si="2662"/>
        <v>0</v>
      </c>
      <c r="Y3516" s="120" t="b">
        <f t="shared" si="2663"/>
        <v>0</v>
      </c>
      <c r="Z3516" s="117">
        <f t="shared" si="2664"/>
        <v>0</v>
      </c>
      <c r="AA3516" s="118"/>
      <c r="AB3516" s="118" t="str">
        <f t="shared" si="2665"/>
        <v/>
      </c>
      <c r="AC3516" s="712" t="str">
        <f>IF(AE3516="T2G","no charge",IF(AND(OR(PlanterYesMe="No",PlanterYesMe="N",PlanterYesMe="me"),H3516=""),"",IF(H3516="credit","NO install",IF(AND(K3516="",AE3516="me"),"EACH row",IF(AND(K3516="images",AE3516="me"),"EACH row",IF(D3516="","",IF(H3516="credit","",IF(AE3516="free","re-planting",IF(AE3516="me","   not ELP, by",IF(AND(OR(PlanterYesMe="Yes",PlanterYesMe="Y"),G3516&gt;0),(VLOOKUP(A3516,'Discount Lookup'!J:K,2)*G3516*(1-PlanterDiscount)*(1+PlanterDifficultyPercentage)),IF(AE3516="ELP",(VLOOKUP(A3516,'Discount Lookup'!J:K,2)*G3516*(1-PlanterDiscount)*(1+PlanterDifficultyPercentage)),IF(AE3516="free","re-planting",IF(G3516=0,"",IF(PlanterYesMe="",IF(AE3516="me","   not ELP, by",IF(AE3516="",IF(G3516&gt;0,(VLOOKUP(A3516,'Discount Lookup'!J:K,2)*G3516*(1-PlanterDiscount)*(1+PlanterDifficultyPercentage)),""),"")),"   not ELP, by"))))))))))))))</f>
        <v/>
      </c>
      <c r="AD3516" s="712"/>
      <c r="AE3516" s="513" t="str">
        <f t="shared" si="2666"/>
        <v/>
      </c>
      <c r="AF3516" s="713" t="str">
        <f t="shared" si="2667"/>
        <v/>
      </c>
      <c r="AG3516" s="713"/>
      <c r="AH3516" s="713"/>
      <c r="AI3516" s="112">
        <f>IF(H3516="credit",0,IF(AE3516="free",0,IF(AE3516="me",0,IF(G3516&gt;0,(VLOOKUP(A3516,'Discount Lookup'!J:K,2)*G3516),0))))</f>
        <v>0</v>
      </c>
      <c r="AJ3516" s="107" t="str">
        <f t="shared" ca="1" si="2668"/>
        <v/>
      </c>
      <c r="AK3516" s="714" t="str">
        <f t="shared" si="2669"/>
        <v/>
      </c>
      <c r="AL3516" s="714"/>
      <c r="AM3516" s="114" t="str">
        <f t="shared" si="2670"/>
        <v/>
      </c>
      <c r="AN3516" s="115"/>
      <c r="AO3516" s="116"/>
      <c r="AP3516" s="116"/>
      <c r="AQ3516" s="116"/>
      <c r="AR3516" s="116"/>
      <c r="AS3516" s="116"/>
      <c r="AT3516" s="116"/>
      <c r="AU3516" s="116"/>
      <c r="AV3516" s="78"/>
      <c r="AW3516" s="102"/>
      <c r="AX3516" s="78"/>
      <c r="AY3516" s="78"/>
      <c r="AZ3516" s="78"/>
      <c r="BA3516" s="78"/>
      <c r="BB3516" s="78"/>
      <c r="BC3516" s="78"/>
      <c r="BD3516" s="78"/>
      <c r="BE3516" s="465"/>
      <c r="BF3516" s="165" t="str">
        <f t="shared" si="2671"/>
        <v>https://www.google.com/search?tbm=isch&amp;q=R%20</v>
      </c>
      <c r="BG3516" s="165" t="str">
        <f t="shared" si="2672"/>
        <v>R</v>
      </c>
      <c r="BH3516" s="65"/>
      <c r="BI3516" s="65"/>
      <c r="BJ3516" s="65"/>
      <c r="BK3516" s="65"/>
      <c r="BL3516" s="99"/>
      <c r="BM3516" s="99"/>
      <c r="BN3516" s="99"/>
    </row>
    <row r="3517" spans="1:66" s="51" customFormat="1" ht="19.5" thickBot="1" x14ac:dyDescent="0.3">
      <c r="A3517" s="686" t="s">
        <v>717</v>
      </c>
      <c r="B3517" s="73"/>
      <c r="C3517" s="708"/>
      <c r="D3517" s="73"/>
      <c r="E3517" s="73"/>
      <c r="F3517" s="496"/>
      <c r="G3517" s="73"/>
      <c r="H3517" s="73"/>
      <c r="I3517" s="73"/>
      <c r="J3517" s="497" t="s">
        <v>357</v>
      </c>
      <c r="K3517" s="498"/>
      <c r="L3517" s="562"/>
      <c r="M3517" s="73"/>
      <c r="N3517"/>
      <c r="O3517"/>
      <c r="P3517"/>
      <c r="Q3517"/>
      <c r="R3517"/>
      <c r="S3517"/>
      <c r="T3517" s="102">
        <f t="shared" si="2660"/>
        <v>0</v>
      </c>
      <c r="U3517" s="78" t="str">
        <f>IF(NOT(ISNUMBER(G3517)), "", VLOOKUP(A3517,'Discount Lookup'!D:E,2,FALSE)*G3517)</f>
        <v/>
      </c>
      <c r="V3517" s="78" t="str">
        <f>IF(NOT(ISNUMBER(G3517)), "", VLOOKUP(A3517,'Discount Lookup'!G:H,2,FALSE)*G3517)</f>
        <v/>
      </c>
      <c r="W3517" s="102">
        <f t="shared" si="2661"/>
        <v>0</v>
      </c>
      <c r="X3517" s="102">
        <f t="shared" si="2662"/>
        <v>0</v>
      </c>
      <c r="Y3517" s="120" t="b">
        <f t="shared" si="2663"/>
        <v>0</v>
      </c>
      <c r="Z3517" s="117">
        <f t="shared" si="2664"/>
        <v>0</v>
      </c>
      <c r="AA3517" s="118"/>
      <c r="AB3517" s="118" t="str">
        <f t="shared" si="2665"/>
        <v/>
      </c>
      <c r="AC3517" s="712" t="str">
        <f>IF(AE3517="T2G","no charge",IF(AND(OR(PlanterYesMe="No",PlanterYesMe="N",PlanterYesMe="me"),H3517=""),"",IF(H3517="credit","NO install",IF(AND(K3517="",AE3517="me"),"EACH row",IF(AND(K3517="images",AE3517="me"),"EACH row",IF(D3517="","",IF(H3517="credit","",IF(AE3517="free","re-planting",IF(AE3517="me","   not ELP, by",IF(AND(OR(PlanterYesMe="Yes",PlanterYesMe="Y"),G3517&gt;0),(VLOOKUP(A3517,'Discount Lookup'!J:K,2)*G3517*(1-PlanterDiscount)*(1+PlanterDifficultyPercentage)),IF(AE3517="ELP",(VLOOKUP(A3517,'Discount Lookup'!J:K,2)*G3517*(1-PlanterDiscount)*(1+PlanterDifficultyPercentage)),IF(AE3517="free","re-planting",IF(G3517=0,"",IF(PlanterYesMe="",IF(AE3517="me","   not ELP, by",IF(AE3517="",IF(G3517&gt;0,(VLOOKUP(A3517,'Discount Lookup'!J:K,2)*G3517*(1-PlanterDiscount)*(1+PlanterDifficultyPercentage)),""),"")),"   not ELP, by"))))))))))))))</f>
        <v/>
      </c>
      <c r="AD3517" s="712"/>
      <c r="AE3517" s="513" t="str">
        <f t="shared" si="2666"/>
        <v/>
      </c>
      <c r="AF3517" s="713" t="str">
        <f t="shared" si="2667"/>
        <v/>
      </c>
      <c r="AG3517" s="713"/>
      <c r="AH3517" s="713"/>
      <c r="AI3517" s="112">
        <f>IF(H3517="credit",0,IF(AE3517="free",0,IF(AE3517="me",0,IF(G3517&gt;0,(VLOOKUP(A3517,'Discount Lookup'!J:K,2)*G3517),0))))</f>
        <v>0</v>
      </c>
      <c r="AJ3517" s="107" t="str">
        <f t="shared" ca="1" si="2668"/>
        <v/>
      </c>
      <c r="AK3517" s="714" t="str">
        <f t="shared" si="2669"/>
        <v/>
      </c>
      <c r="AL3517" s="714"/>
      <c r="AM3517" s="114" t="str">
        <f t="shared" si="2670"/>
        <v/>
      </c>
      <c r="AN3517" s="115"/>
      <c r="AO3517" s="116"/>
      <c r="AP3517" s="116"/>
      <c r="AQ3517" s="116"/>
      <c r="AR3517" s="116"/>
      <c r="AS3517" s="116"/>
      <c r="AT3517" s="116"/>
      <c r="AU3517" s="116"/>
      <c r="AV3517" s="78"/>
      <c r="AW3517" s="102"/>
      <c r="AX3517" s="78"/>
      <c r="AY3517" s="78"/>
      <c r="AZ3517" s="78"/>
      <c r="BA3517" s="78"/>
      <c r="BB3517" s="78"/>
      <c r="BC3517" s="78"/>
      <c r="BD3517" s="78"/>
      <c r="BE3517" s="465"/>
      <c r="BF3517" s="165" t="str">
        <f t="shared" si="2671"/>
        <v>https://www.google.com/search?tbm=isch&amp;q=Rhod.%20%3D%20Azalea%20</v>
      </c>
      <c r="BG3517" s="165" t="str">
        <f t="shared" si="2672"/>
        <v>R</v>
      </c>
      <c r="BH3517" s="65"/>
      <c r="BI3517" s="65"/>
      <c r="BJ3517" s="65"/>
      <c r="BK3517" s="65"/>
      <c r="BL3517" s="99"/>
      <c r="BM3517" s="99"/>
      <c r="BN3517" s="99"/>
    </row>
    <row r="3518" spans="1:66" s="51" customFormat="1" ht="18" x14ac:dyDescent="0.25">
      <c r="A3518" s="507" t="s">
        <v>3959</v>
      </c>
      <c r="B3518" s="470"/>
      <c r="C3518" s="706"/>
      <c r="D3518" s="471" t="s">
        <v>3960</v>
      </c>
      <c r="E3518" s="472"/>
      <c r="F3518" s="472"/>
      <c r="G3518" s="472"/>
      <c r="H3518" s="622" t="s">
        <v>1082</v>
      </c>
      <c r="I3518" s="473" t="s">
        <v>3961</v>
      </c>
      <c r="J3518" s="472"/>
      <c r="K3518" s="472"/>
      <c r="L3518" s="561"/>
      <c r="M3518" s="703" t="s">
        <v>5260</v>
      </c>
      <c r="N3518" s="692" t="str">
        <f>IF(AND(ISTEXT($A3518), ISERROR($A3518+0)), HYPERLINK($BF3518, "Images"), "")</f>
        <v>Images</v>
      </c>
      <c r="O3518" s="694" t="s">
        <v>5264</v>
      </c>
      <c r="P3518" s="475"/>
      <c r="Q3518" s="476"/>
      <c r="R3518" s="476"/>
      <c r="S3518" s="477"/>
      <c r="T3518" s="102">
        <f t="shared" si="2660"/>
        <v>0</v>
      </c>
      <c r="U3518" s="78" t="str">
        <f>IF(NOT(ISNUMBER(G3518)), "", VLOOKUP(A3518,'Discount Lookup'!D:E,2,FALSE)*G3518)</f>
        <v/>
      </c>
      <c r="V3518" s="78" t="str">
        <f>IF(NOT(ISNUMBER(G3518)), "", VLOOKUP(A3518,'Discount Lookup'!G:H,2,FALSE)*G3518)</f>
        <v/>
      </c>
      <c r="W3518" s="102">
        <f t="shared" si="2661"/>
        <v>0</v>
      </c>
      <c r="X3518" s="102" t="str">
        <f t="shared" si="2662"/>
        <v>rich Pink bloom</v>
      </c>
      <c r="Y3518" s="120" t="b">
        <f t="shared" si="2663"/>
        <v>0</v>
      </c>
      <c r="Z3518" s="117">
        <f t="shared" si="2664"/>
        <v>0</v>
      </c>
      <c r="AA3518" s="118"/>
      <c r="AB3518" s="118" t="str">
        <f t="shared" si="2665"/>
        <v/>
      </c>
      <c r="AC3518" s="712" t="str">
        <f>IF(AE3518="T2G","no charge",IF(AND(OR(PlanterYesMe="No",PlanterYesMe="N",PlanterYesMe="me"),H3518=""),"",IF(H3518="credit","NO install",IF(AND(K3518="",AE3518="me"),"EACH row",IF(AND(K3518="images",AE3518="me"),"EACH row",IF(D3518="","",IF(H3518="credit","",IF(AE3518="free","re-planting",IF(AE3518="me","   not ELP, by",IF(AND(OR(PlanterYesMe="Yes",PlanterYesMe="Y"),G3518&gt;0),(VLOOKUP(A3518,'Discount Lookup'!J:K,2)*G3518*(1-PlanterDiscount)*(1+PlanterDifficultyPercentage)),IF(AE3518="ELP",(VLOOKUP(A3518,'Discount Lookup'!J:K,2)*G3518*(1-PlanterDiscount)*(1+PlanterDifficultyPercentage)),IF(AE3518="free","re-planting",IF(G3518=0,"",IF(PlanterYesMe="",IF(AE3518="me","   not ELP, by",IF(AE3518="",IF(G3518&gt;0,(VLOOKUP(A3518,'Discount Lookup'!J:K,2)*G3518*(1-PlanterDiscount)*(1+PlanterDifficultyPercentage)),""),"")),"   not ELP, by"))))))))))))))</f>
        <v/>
      </c>
      <c r="AD3518" s="712"/>
      <c r="AE3518" s="513" t="str">
        <f t="shared" si="2666"/>
        <v/>
      </c>
      <c r="AF3518" s="713" t="str">
        <f t="shared" si="2667"/>
        <v/>
      </c>
      <c r="AG3518" s="713"/>
      <c r="AH3518" s="713"/>
      <c r="AI3518" s="112">
        <f>IF(H3518="credit",0,IF(AE3518="free",0,IF(AE3518="me",0,IF(G3518&gt;0,(VLOOKUP(A3518,'Discount Lookup'!J:K,2)*G3518),0))))</f>
        <v>0</v>
      </c>
      <c r="AJ3518" s="107" t="str">
        <f t="shared" ca="1" si="2668"/>
        <v/>
      </c>
      <c r="AK3518" s="714" t="str">
        <f t="shared" si="2669"/>
        <v/>
      </c>
      <c r="AL3518" s="714"/>
      <c r="AM3518" s="114" t="str">
        <f t="shared" si="2670"/>
        <v/>
      </c>
      <c r="AN3518" s="115"/>
      <c r="AO3518" s="116"/>
      <c r="AP3518" s="116"/>
      <c r="AQ3518" s="116"/>
      <c r="AR3518" s="116"/>
      <c r="AS3518" s="116"/>
      <c r="AT3518" s="116"/>
      <c r="AU3518" s="116"/>
      <c r="AV3518" s="78"/>
      <c r="AW3518" s="102"/>
      <c r="AX3518" s="78"/>
      <c r="AY3518" s="78"/>
      <c r="AZ3518" s="78"/>
      <c r="BA3518" s="78"/>
      <c r="BB3518" s="78"/>
      <c r="BC3518" s="78"/>
      <c r="BD3518" s="78"/>
      <c r="BE3518" s="465"/>
      <c r="BF3518" s="165" t="str">
        <f t="shared" si="2671"/>
        <v>https://www.google.com/search?tbm=isch&amp;q=Rhod.%20%27Carror%27%20Carror%20Azalea</v>
      </c>
      <c r="BG3518" s="165" t="str">
        <f t="shared" si="2672"/>
        <v>R</v>
      </c>
      <c r="BH3518" s="65"/>
      <c r="BI3518" s="65"/>
      <c r="BJ3518" s="65"/>
      <c r="BK3518" s="65"/>
      <c r="BL3518" s="99"/>
      <c r="BM3518" s="99"/>
      <c r="BN3518" s="99"/>
    </row>
    <row r="3519" spans="1:66" s="51" customFormat="1" ht="15.75" x14ac:dyDescent="0.25">
      <c r="A3519" s="478">
        <v>3</v>
      </c>
      <c r="B3519" s="479" t="s">
        <v>291</v>
      </c>
      <c r="C3519" s="480" t="s">
        <v>10</v>
      </c>
      <c r="D3519" s="481" t="s">
        <v>310</v>
      </c>
      <c r="E3519" s="482">
        <v>25.95</v>
      </c>
      <c r="F3519" s="483" t="s">
        <v>292</v>
      </c>
      <c r="G3519" s="484">
        <v>0</v>
      </c>
      <c r="H3519" s="688" t="str">
        <f>IF(G3519=0,"",IF(F3519="Buy",IF(G3519=1,"plant","plants"),IF(F3519&gt;0.01,"warranty","Error")))</f>
        <v/>
      </c>
      <c r="I3519" s="485">
        <f>IF(H3519="free",0,IF(H3519="credit",((E3519*(F3519))*G3519*-1),IF(F3519="Buy",(E3519*G3519),((E3519*(1-F3519))*G3519))))</f>
        <v>0</v>
      </c>
      <c r="J3519" s="485">
        <f>IF(H3519="warranty",0,(I3519*(_xlfn.SINGLE(SalesTaxPercentage))))</f>
        <v>0</v>
      </c>
      <c r="K3519" s="715">
        <f t="shared" ref="K3519" si="2691">I3519+J3519</f>
        <v>0</v>
      </c>
      <c r="L3519" s="715"/>
      <c r="M3519" s="689" t="str">
        <f ca="1">IF(AND(G3519&gt;0,E3519=0),"WARNING - no PRICE inserted",IF(H3519="free","FREE ~ no charge this plant",IF(H3519="credit",CONCATENATE("-$",ROUND(K3519*(1-_xlfn.SINGLE(T2GDiscount))*-1,2)," CREDIT after discount"),IF(_xlfn.SINGLE(T2GDiscount)=0,"",IF(G3519=0,"",IF(F3519="Buy",CONCATENATE("$",ROUND(K3519*(1-_xlfn.SINGLE(T2GDiscount)),2)," with ",(_xlfn.SINGLE(T2GDiscount)*100),"% discount"),CONCATENATE("$",ROUND(K3519*(1-_xlfn.SINGLE(T2GDiscount)),2)," with ",((_xlfn.SINGLE(T2GDiscount)*100+F3519*100)-(_xlfn.SINGLE(T2GDiscount)*100*F3519)),IF(F3519&gt;0,"% discounts",IF(_xlfn.SINGLE(NoWarrantyDiscount)&gt;0,"% discounts","% discount")))))))))</f>
        <v/>
      </c>
      <c r="N3519" s="690"/>
      <c r="O3519" s="486"/>
      <c r="P3519" s="486"/>
      <c r="Q3519" s="486"/>
      <c r="R3519" s="486"/>
      <c r="S3519" s="486"/>
      <c r="T3519" s="102">
        <f t="shared" si="2660"/>
        <v>0</v>
      </c>
      <c r="U3519" s="78">
        <f>IF(NOT(ISNUMBER(G3519)), "", VLOOKUP(A3519,'Discount Lookup'!D:E,2,FALSE)*G3519)</f>
        <v>0</v>
      </c>
      <c r="V3519" s="78">
        <f>IF(NOT(ISNUMBER(G3519)), "", VLOOKUP(A3519,'Discount Lookup'!G:H,2,FALSE)*G3519)</f>
        <v>0</v>
      </c>
      <c r="W3519" s="102">
        <f t="shared" si="2661"/>
        <v>0</v>
      </c>
      <c r="X3519" s="102">
        <f t="shared" si="2662"/>
        <v>0</v>
      </c>
      <c r="Y3519" s="120" t="b">
        <f t="shared" si="2663"/>
        <v>0</v>
      </c>
      <c r="Z3519" s="117">
        <f t="shared" si="2664"/>
        <v>0</v>
      </c>
      <c r="AA3519" s="118"/>
      <c r="AB3519" s="118" t="str">
        <f t="shared" si="2665"/>
        <v/>
      </c>
      <c r="AC3519" s="712" t="str">
        <f>IF(AE3519="T2G","no charge",IF(AND(OR(PlanterYesMe="No",PlanterYesMe="N",PlanterYesMe="me"),H3519=""),"",IF(H3519="credit","NO install",IF(AND(K3519="",AE3519="me"),"EACH row",IF(AND(K3519="images",AE3519="me"),"EACH row",IF(D3519="","",IF(H3519="credit","",IF(AE3519="free","re-planting",IF(AE3519="me","   not ELP, by",IF(AND(OR(PlanterYesMe="Yes",PlanterYesMe="Y"),G3519&gt;0),(VLOOKUP(A3519,'Discount Lookup'!J:K,2)*G3519*(1-PlanterDiscount)*(1+PlanterDifficultyPercentage)),IF(AE3519="ELP",(VLOOKUP(A3519,'Discount Lookup'!J:K,2)*G3519*(1-PlanterDiscount)*(1+PlanterDifficultyPercentage)),IF(AE3519="free","re-planting",IF(G3519=0,"",IF(PlanterYesMe="",IF(AE3519="me","   not ELP, by",IF(AE3519="",IF(G3519&gt;0,(VLOOKUP(A3519,'Discount Lookup'!J:K,2)*G3519*(1-PlanterDiscount)*(1+PlanterDifficultyPercentage)),""),"")),"   not ELP, by"))))))))))))))</f>
        <v/>
      </c>
      <c r="AD3519" s="712"/>
      <c r="AE3519" s="513" t="str">
        <f t="shared" si="2666"/>
        <v/>
      </c>
      <c r="AF3519" s="713" t="str">
        <f t="shared" si="2667"/>
        <v/>
      </c>
      <c r="AG3519" s="713"/>
      <c r="AH3519" s="713"/>
      <c r="AI3519" s="112">
        <f>IF(H3519="credit",0,IF(AE3519="free",0,IF(AE3519="me",0,IF(G3519&gt;0,(VLOOKUP(A3519,'Discount Lookup'!J:K,2)*G3519),0))))</f>
        <v>0</v>
      </c>
      <c r="AJ3519" s="107" t="str">
        <f t="shared" ca="1" si="2668"/>
        <v/>
      </c>
      <c r="AK3519" s="714" t="str">
        <f t="shared" si="2669"/>
        <v/>
      </c>
      <c r="AL3519" s="714"/>
      <c r="AM3519" s="114" t="str">
        <f t="shared" si="2670"/>
        <v/>
      </c>
      <c r="AN3519" s="115"/>
      <c r="AO3519" s="116"/>
      <c r="AP3519" s="116"/>
      <c r="AQ3519" s="116"/>
      <c r="AR3519" s="116"/>
      <c r="AS3519" s="116"/>
      <c r="AT3519" s="116"/>
      <c r="AU3519" s="116"/>
      <c r="AV3519" s="78"/>
      <c r="AW3519" s="102"/>
      <c r="AX3519" s="78"/>
      <c r="AY3519" s="78"/>
      <c r="AZ3519" s="78"/>
      <c r="BA3519" s="78"/>
      <c r="BB3519" s="78"/>
      <c r="BC3519" s="78"/>
      <c r="BD3519" s="78"/>
      <c r="BE3519" s="465"/>
      <c r="BF3519" s="165" t="str">
        <f t="shared" si="2671"/>
        <v>https://www.google.com/search?tbm=isch&amp;q=3%20G1</v>
      </c>
      <c r="BG3519" s="165" t="str">
        <f t="shared" si="2672"/>
        <v>R</v>
      </c>
      <c r="BH3519" s="65"/>
      <c r="BI3519" s="65"/>
      <c r="BJ3519" s="65"/>
      <c r="BK3519" s="65"/>
      <c r="BL3519" s="99"/>
      <c r="BM3519" s="99"/>
      <c r="BN3519" s="99"/>
    </row>
    <row r="3520" spans="1:66" s="51" customFormat="1" ht="17.25" thickBot="1" x14ac:dyDescent="0.3">
      <c r="A3520" s="508" t="s">
        <v>3962</v>
      </c>
      <c r="B3520" s="487"/>
      <c r="C3520" s="707"/>
      <c r="D3520" s="487"/>
      <c r="E3520" s="487"/>
      <c r="F3520" s="488"/>
      <c r="G3520" s="489"/>
      <c r="H3520" s="487"/>
      <c r="I3520" s="490"/>
      <c r="J3520" s="490"/>
      <c r="K3520" s="491"/>
      <c r="L3520" s="547"/>
      <c r="M3520" s="528"/>
      <c r="N3520" s="492"/>
      <c r="O3520" s="493"/>
      <c r="P3520" s="494"/>
      <c r="Q3520" s="492"/>
      <c r="R3520" s="492"/>
      <c r="S3520" s="699" t="s">
        <v>5248</v>
      </c>
      <c r="T3520" s="102">
        <f t="shared" si="2660"/>
        <v>0</v>
      </c>
      <c r="U3520" s="78" t="str">
        <f>IF(NOT(ISNUMBER(G3520)), "", VLOOKUP(A3520,'Discount Lookup'!D:E,2,FALSE)*G3520)</f>
        <v/>
      </c>
      <c r="V3520" s="78" t="str">
        <f>IF(NOT(ISNUMBER(G3520)), "", VLOOKUP(A3520,'Discount Lookup'!G:H,2,FALSE)*G3520)</f>
        <v/>
      </c>
      <c r="W3520" s="102">
        <f t="shared" si="2661"/>
        <v>0</v>
      </c>
      <c r="X3520" s="102">
        <f t="shared" si="2662"/>
        <v>0</v>
      </c>
      <c r="Y3520" s="120" t="b">
        <f t="shared" si="2663"/>
        <v>0</v>
      </c>
      <c r="Z3520" s="117">
        <f t="shared" si="2664"/>
        <v>0</v>
      </c>
      <c r="AA3520" s="118"/>
      <c r="AB3520" s="118" t="str">
        <f t="shared" si="2665"/>
        <v/>
      </c>
      <c r="AC3520" s="712" t="str">
        <f>IF(AE3520="T2G","no charge",IF(AND(OR(PlanterYesMe="No",PlanterYesMe="N",PlanterYesMe="me"),H3520=""),"",IF(H3520="credit","NO install",IF(AND(K3520="",AE3520="me"),"EACH row",IF(AND(K3520="images",AE3520="me"),"EACH row",IF(D3520="","",IF(H3520="credit","",IF(AE3520="free","re-planting",IF(AE3520="me","   not ELP, by",IF(AND(OR(PlanterYesMe="Yes",PlanterYesMe="Y"),G3520&gt;0),(VLOOKUP(A3520,'Discount Lookup'!J:K,2)*G3520*(1-PlanterDiscount)*(1+PlanterDifficultyPercentage)),IF(AE3520="ELP",(VLOOKUP(A3520,'Discount Lookup'!J:K,2)*G3520*(1-PlanterDiscount)*(1+PlanterDifficultyPercentage)),IF(AE3520="free","re-planting",IF(G3520=0,"",IF(PlanterYesMe="",IF(AE3520="me","   not ELP, by",IF(AE3520="",IF(G3520&gt;0,(VLOOKUP(A3520,'Discount Lookup'!J:K,2)*G3520*(1-PlanterDiscount)*(1+PlanterDifficultyPercentage)),""),"")),"   not ELP, by"))))))))))))))</f>
        <v/>
      </c>
      <c r="AD3520" s="712"/>
      <c r="AE3520" s="513" t="str">
        <f t="shared" si="2666"/>
        <v/>
      </c>
      <c r="AF3520" s="713" t="str">
        <f t="shared" si="2667"/>
        <v/>
      </c>
      <c r="AG3520" s="713"/>
      <c r="AH3520" s="713"/>
      <c r="AI3520" s="112">
        <f>IF(H3520="credit",0,IF(AE3520="free",0,IF(AE3520="me",0,IF(G3520&gt;0,(VLOOKUP(A3520,'Discount Lookup'!J:K,2)*G3520),0))))</f>
        <v>0</v>
      </c>
      <c r="AJ3520" s="107" t="str">
        <f t="shared" ca="1" si="2668"/>
        <v/>
      </c>
      <c r="AK3520" s="714" t="str">
        <f t="shared" si="2669"/>
        <v/>
      </c>
      <c r="AL3520" s="714"/>
      <c r="AM3520" s="114" t="str">
        <f t="shared" si="2670"/>
        <v/>
      </c>
      <c r="AN3520" s="115"/>
      <c r="AO3520" s="116"/>
      <c r="AP3520" s="116"/>
      <c r="AQ3520" s="116"/>
      <c r="AR3520" s="116"/>
      <c r="AS3520" s="116"/>
      <c r="AT3520" s="116"/>
      <c r="AU3520" s="116"/>
      <c r="AV3520" s="78"/>
      <c r="AW3520" s="102"/>
      <c r="AX3520" s="78"/>
      <c r="AY3520" s="78"/>
      <c r="AZ3520" s="78"/>
      <c r="BA3520" s="78"/>
      <c r="BB3520" s="78"/>
      <c r="BC3520" s="78"/>
      <c r="BD3520" s="78"/>
      <c r="BE3520" s="465"/>
      <c r="BF3520" s="165" t="str">
        <f t="shared" si="2671"/>
        <v>https://www.google.com/search?tbm=isch&amp;q=Carror%20is%20a%20hardy%20and%20disease-resistant%20hybrid%20noted%20for%20its%20heavy%20spring%20bloom%20of%20semi-double%20flowers.%20Bred%20at%20NCSU%20</v>
      </c>
      <c r="BG3520" s="165" t="str">
        <f t="shared" si="2672"/>
        <v>C</v>
      </c>
      <c r="BH3520" s="65"/>
      <c r="BI3520" s="65"/>
      <c r="BJ3520" s="65"/>
      <c r="BK3520" s="65"/>
      <c r="BL3520" s="99"/>
      <c r="BM3520" s="99"/>
      <c r="BN3520" s="99"/>
    </row>
    <row r="3521" spans="1:66" s="51" customFormat="1" ht="18" x14ac:dyDescent="0.25">
      <c r="A3521" s="507" t="s">
        <v>3963</v>
      </c>
      <c r="B3521" s="470"/>
      <c r="C3521" s="706"/>
      <c r="D3521" s="471" t="s">
        <v>3964</v>
      </c>
      <c r="E3521" s="472"/>
      <c r="F3521" s="472"/>
      <c r="G3521" s="472"/>
      <c r="H3521" s="622" t="s">
        <v>1528</v>
      </c>
      <c r="I3521" s="473" t="s">
        <v>3965</v>
      </c>
      <c r="J3521" s="472"/>
      <c r="K3521" s="472"/>
      <c r="L3521" s="561"/>
      <c r="M3521" s="698" t="s">
        <v>5246</v>
      </c>
      <c r="N3521" s="692" t="str">
        <f>IF(AND(ISTEXT($A3521), ISERROR($A3521+0)), HYPERLINK($BF3521, "Images"), "")</f>
        <v>Images</v>
      </c>
      <c r="O3521" s="694" t="s">
        <v>5264</v>
      </c>
      <c r="P3521" s="475"/>
      <c r="Q3521" s="476"/>
      <c r="R3521" s="476"/>
      <c r="S3521" s="477"/>
      <c r="T3521" s="102">
        <f t="shared" si="2660"/>
        <v>0</v>
      </c>
      <c r="U3521" s="78" t="str">
        <f>IF(NOT(ISNUMBER(G3521)), "", VLOOKUP(A3521,'Discount Lookup'!D:E,2,FALSE)*G3521)</f>
        <v/>
      </c>
      <c r="V3521" s="78" t="str">
        <f>IF(NOT(ISNUMBER(G3521)), "", VLOOKUP(A3521,'Discount Lookup'!G:H,2,FALSE)*G3521)</f>
        <v/>
      </c>
      <c r="W3521" s="102">
        <f t="shared" si="2661"/>
        <v>0</v>
      </c>
      <c r="X3521" s="102" t="str">
        <f t="shared" si="2662"/>
        <v>Pink buds open to White</v>
      </c>
      <c r="Y3521" s="120" t="b">
        <f t="shared" si="2663"/>
        <v>0</v>
      </c>
      <c r="Z3521" s="117">
        <f t="shared" si="2664"/>
        <v>0</v>
      </c>
      <c r="AA3521" s="118"/>
      <c r="AB3521" s="118" t="str">
        <f t="shared" si="2665"/>
        <v/>
      </c>
      <c r="AC3521" s="712" t="str">
        <f>IF(AE3521="T2G","no charge",IF(AND(OR(PlanterYesMe="No",PlanterYesMe="N",PlanterYesMe="me"),H3521=""),"",IF(H3521="credit","NO install",IF(AND(K3521="",AE3521="me"),"EACH row",IF(AND(K3521="images",AE3521="me"),"EACH row",IF(D3521="","",IF(H3521="credit","",IF(AE3521="free","re-planting",IF(AE3521="me","   not ELP, by",IF(AND(OR(PlanterYesMe="Yes",PlanterYesMe="Y"),G3521&gt;0),(VLOOKUP(A3521,'Discount Lookup'!J:K,2)*G3521*(1-PlanterDiscount)*(1+PlanterDifficultyPercentage)),IF(AE3521="ELP",(VLOOKUP(A3521,'Discount Lookup'!J:K,2)*G3521*(1-PlanterDiscount)*(1+PlanterDifficultyPercentage)),IF(AE3521="free","re-planting",IF(G3521=0,"",IF(PlanterYesMe="",IF(AE3521="me","   not ELP, by",IF(AE3521="",IF(G3521&gt;0,(VLOOKUP(A3521,'Discount Lookup'!J:K,2)*G3521*(1-PlanterDiscount)*(1+PlanterDifficultyPercentage)),""),"")),"   not ELP, by"))))))))))))))</f>
        <v/>
      </c>
      <c r="AD3521" s="712"/>
      <c r="AE3521" s="513" t="str">
        <f t="shared" si="2666"/>
        <v/>
      </c>
      <c r="AF3521" s="713" t="str">
        <f t="shared" si="2667"/>
        <v/>
      </c>
      <c r="AG3521" s="713"/>
      <c r="AH3521" s="713"/>
      <c r="AI3521" s="112">
        <f>IF(H3521="credit",0,IF(AE3521="free",0,IF(AE3521="me",0,IF(G3521&gt;0,(VLOOKUP(A3521,'Discount Lookup'!J:K,2)*G3521),0))))</f>
        <v>0</v>
      </c>
      <c r="AJ3521" s="107" t="str">
        <f t="shared" ca="1" si="2668"/>
        <v/>
      </c>
      <c r="AK3521" s="714" t="str">
        <f t="shared" si="2669"/>
        <v/>
      </c>
      <c r="AL3521" s="714"/>
      <c r="AM3521" s="114" t="str">
        <f t="shared" si="2670"/>
        <v/>
      </c>
      <c r="AN3521" s="115"/>
      <c r="AO3521" s="116"/>
      <c r="AP3521" s="116"/>
      <c r="AQ3521" s="116"/>
      <c r="AR3521" s="116"/>
      <c r="AS3521" s="116"/>
      <c r="AT3521" s="116"/>
      <c r="AU3521" s="116"/>
      <c r="AV3521" s="78"/>
      <c r="AW3521" s="102"/>
      <c r="AX3521" s="78"/>
      <c r="AY3521" s="78"/>
      <c r="AZ3521" s="78"/>
      <c r="BA3521" s="78"/>
      <c r="BB3521" s="78"/>
      <c r="BC3521" s="78"/>
      <c r="BD3521" s="78"/>
      <c r="BE3521" s="465"/>
      <c r="BF3521" s="165" t="str">
        <f t="shared" si="2671"/>
        <v>https://www.google.com/search?tbm=isch&amp;q=Rhod.%20%27Charles%20Loomis%27%20Charles%20Loomis%27%20Rhododendron</v>
      </c>
      <c r="BG3521" s="165" t="str">
        <f t="shared" si="2672"/>
        <v>R</v>
      </c>
      <c r="BH3521" s="65"/>
      <c r="BI3521" s="65"/>
      <c r="BJ3521" s="65"/>
      <c r="BK3521" s="65"/>
      <c r="BL3521" s="99"/>
      <c r="BM3521" s="99"/>
      <c r="BN3521" s="99"/>
    </row>
    <row r="3522" spans="1:66" s="51" customFormat="1" ht="15.75" x14ac:dyDescent="0.25">
      <c r="A3522" s="478">
        <v>7</v>
      </c>
      <c r="B3522" s="479" t="s">
        <v>291</v>
      </c>
      <c r="C3522" s="480" t="s">
        <v>3966</v>
      </c>
      <c r="D3522" s="481" t="s">
        <v>293</v>
      </c>
      <c r="E3522" s="482">
        <v>158.94999999999999</v>
      </c>
      <c r="F3522" s="483" t="s">
        <v>292</v>
      </c>
      <c r="G3522" s="484">
        <v>0</v>
      </c>
      <c r="H3522" s="688" t="str">
        <f>IF(G3522=0,"",IF(F3522="Buy",IF(G3522=1,"plant","plants"),IF(F3522&gt;0.01,"warranty","Error")))</f>
        <v/>
      </c>
      <c r="I3522" s="485">
        <f>IF(H3522="free",0,IF(H3522="credit",((E3522*(F3522))*G3522*-1),IF(F3522="Buy",(E3522*G3522),((E3522*(1-F3522))*G3522))))</f>
        <v>0</v>
      </c>
      <c r="J3522" s="485">
        <f>IF(H3522="warranty",0,(I3522*(_xlfn.SINGLE(SalesTaxPercentage))))</f>
        <v>0</v>
      </c>
      <c r="K3522" s="715">
        <f t="shared" ref="K3522" si="2692">I3522+J3522</f>
        <v>0</v>
      </c>
      <c r="L3522" s="715"/>
      <c r="M3522" s="689" t="str">
        <f ca="1">IF(AND(G3522&gt;0,E3522=0),"WARNING - no PRICE inserted",IF(H3522="free","FREE ~ no charge this plant",IF(H3522="credit",CONCATENATE("-$",ROUND(K3522*(1-_xlfn.SINGLE(T2GDiscount))*-1,2)," CREDIT after discount"),IF(_xlfn.SINGLE(T2GDiscount)=0,"",IF(G3522=0,"",IF(F3522="Buy",CONCATENATE("$",ROUND(K3522*(1-_xlfn.SINGLE(T2GDiscount)),2)," with ",(_xlfn.SINGLE(T2GDiscount)*100),"% discount"),CONCATENATE("$",ROUND(K3522*(1-_xlfn.SINGLE(T2GDiscount)),2)," with ",((_xlfn.SINGLE(T2GDiscount)*100+F3522*100)-(_xlfn.SINGLE(T2GDiscount)*100*F3522)),IF(F3522&gt;0,"% discounts",IF(_xlfn.SINGLE(NoWarrantyDiscount)&gt;0,"% discounts","% discount")))))))))</f>
        <v/>
      </c>
      <c r="N3522" s="690"/>
      <c r="O3522" s="486"/>
      <c r="P3522" s="486"/>
      <c r="Q3522" s="486"/>
      <c r="R3522" s="486"/>
      <c r="S3522" s="486"/>
      <c r="T3522" s="102">
        <f t="shared" si="2660"/>
        <v>0</v>
      </c>
      <c r="U3522" s="78">
        <f>IF(NOT(ISNUMBER(G3522)), "", VLOOKUP(A3522,'Discount Lookup'!D:E,2,FALSE)*G3522)</f>
        <v>0</v>
      </c>
      <c r="V3522" s="78">
        <f>IF(NOT(ISNUMBER(G3522)), "", VLOOKUP(A3522,'Discount Lookup'!G:H,2,FALSE)*G3522)</f>
        <v>0</v>
      </c>
      <c r="W3522" s="102">
        <f t="shared" si="2661"/>
        <v>0</v>
      </c>
      <c r="X3522" s="102">
        <f t="shared" si="2662"/>
        <v>0</v>
      </c>
      <c r="Y3522" s="120" t="b">
        <f t="shared" si="2663"/>
        <v>0</v>
      </c>
      <c r="Z3522" s="117">
        <f t="shared" si="2664"/>
        <v>0</v>
      </c>
      <c r="AA3522" s="118"/>
      <c r="AB3522" s="118" t="str">
        <f t="shared" si="2665"/>
        <v/>
      </c>
      <c r="AC3522" s="712" t="str">
        <f>IF(AE3522="T2G","no charge",IF(AND(OR(PlanterYesMe="No",PlanterYesMe="N",PlanterYesMe="me"),H3522=""),"",IF(H3522="credit","NO install",IF(AND(K3522="",AE3522="me"),"EACH row",IF(AND(K3522="images",AE3522="me"),"EACH row",IF(D3522="","",IF(H3522="credit","",IF(AE3522="free","re-planting",IF(AE3522="me","   not ELP, by",IF(AND(OR(PlanterYesMe="Yes",PlanterYesMe="Y"),G3522&gt;0),(VLOOKUP(A3522,'Discount Lookup'!J:K,2)*G3522*(1-PlanterDiscount)*(1+PlanterDifficultyPercentage)),IF(AE3522="ELP",(VLOOKUP(A3522,'Discount Lookup'!J:K,2)*G3522*(1-PlanterDiscount)*(1+PlanterDifficultyPercentage)),IF(AE3522="free","re-planting",IF(G3522=0,"",IF(PlanterYesMe="",IF(AE3522="me","   not ELP, by",IF(AE3522="",IF(G3522&gt;0,(VLOOKUP(A3522,'Discount Lookup'!J:K,2)*G3522*(1-PlanterDiscount)*(1+PlanterDifficultyPercentage)),""),"")),"   not ELP, by"))))))))))))))</f>
        <v/>
      </c>
      <c r="AD3522" s="712"/>
      <c r="AE3522" s="513" t="str">
        <f t="shared" si="2666"/>
        <v/>
      </c>
      <c r="AF3522" s="713" t="str">
        <f t="shared" si="2667"/>
        <v/>
      </c>
      <c r="AG3522" s="713"/>
      <c r="AH3522" s="713"/>
      <c r="AI3522" s="112">
        <f>IF(H3522="credit",0,IF(AE3522="free",0,IF(AE3522="me",0,IF(G3522&gt;0,(VLOOKUP(A3522,'Discount Lookup'!J:K,2)*G3522),0))))</f>
        <v>0</v>
      </c>
      <c r="AJ3522" s="107" t="str">
        <f t="shared" ca="1" si="2668"/>
        <v/>
      </c>
      <c r="AK3522" s="714" t="str">
        <f t="shared" si="2669"/>
        <v/>
      </c>
      <c r="AL3522" s="714"/>
      <c r="AM3522" s="114" t="str">
        <f t="shared" si="2670"/>
        <v/>
      </c>
      <c r="AN3522" s="115"/>
      <c r="AO3522" s="116"/>
      <c r="AP3522" s="116"/>
      <c r="AQ3522" s="116"/>
      <c r="AR3522" s="116"/>
      <c r="AS3522" s="116"/>
      <c r="AT3522" s="116"/>
      <c r="AU3522" s="116"/>
      <c r="AV3522" s="78"/>
      <c r="AW3522" s="102"/>
      <c r="AX3522" s="78"/>
      <c r="AY3522" s="78"/>
      <c r="AZ3522" s="78"/>
      <c r="BA3522" s="78"/>
      <c r="BB3522" s="78"/>
      <c r="BC3522" s="78"/>
      <c r="BD3522" s="78"/>
      <c r="BE3522" s="465"/>
      <c r="BF3522" s="165" t="str">
        <f t="shared" si="2671"/>
        <v>https://www.google.com/search?tbm=isch&amp;q=7%20G6</v>
      </c>
      <c r="BG3522" s="165" t="str">
        <f t="shared" si="2672"/>
        <v>R</v>
      </c>
      <c r="BH3522" s="65"/>
      <c r="BI3522" s="65"/>
      <c r="BJ3522" s="65"/>
      <c r="BK3522" s="65"/>
      <c r="BL3522" s="99"/>
      <c r="BM3522" s="99"/>
      <c r="BN3522" s="99"/>
    </row>
    <row r="3523" spans="1:66" s="51" customFormat="1" ht="17.25" thickBot="1" x14ac:dyDescent="0.3">
      <c r="A3523" s="508" t="s">
        <v>3967</v>
      </c>
      <c r="B3523" s="487"/>
      <c r="C3523" s="707"/>
      <c r="D3523" s="487"/>
      <c r="E3523" s="487"/>
      <c r="F3523" s="488"/>
      <c r="G3523" s="489"/>
      <c r="H3523" s="487"/>
      <c r="I3523" s="490"/>
      <c r="J3523" s="490"/>
      <c r="K3523" s="491"/>
      <c r="L3523" s="547"/>
      <c r="M3523" s="528"/>
      <c r="N3523" s="492"/>
      <c r="O3523" s="493"/>
      <c r="P3523" s="494"/>
      <c r="Q3523" s="492"/>
      <c r="R3523" s="492"/>
      <c r="S3523" s="699" t="s">
        <v>5248</v>
      </c>
      <c r="T3523" s="102">
        <f t="shared" si="2660"/>
        <v>0</v>
      </c>
      <c r="U3523" s="78" t="str">
        <f>IF(NOT(ISNUMBER(G3523)), "", VLOOKUP(A3523,'Discount Lookup'!D:E,2,FALSE)*G3523)</f>
        <v/>
      </c>
      <c r="V3523" s="78" t="str">
        <f>IF(NOT(ISNUMBER(G3523)), "", VLOOKUP(A3523,'Discount Lookup'!G:H,2,FALSE)*G3523)</f>
        <v/>
      </c>
      <c r="W3523" s="102">
        <f t="shared" si="2661"/>
        <v>0</v>
      </c>
      <c r="X3523" s="102">
        <f t="shared" si="2662"/>
        <v>0</v>
      </c>
      <c r="Y3523" s="120" t="b">
        <f t="shared" si="2663"/>
        <v>0</v>
      </c>
      <c r="Z3523" s="117">
        <f t="shared" si="2664"/>
        <v>0</v>
      </c>
      <c r="AA3523" s="118"/>
      <c r="AB3523" s="118" t="str">
        <f t="shared" si="2665"/>
        <v/>
      </c>
      <c r="AC3523" s="712" t="str">
        <f>IF(AE3523="T2G","no charge",IF(AND(OR(PlanterYesMe="No",PlanterYesMe="N",PlanterYesMe="me"),H3523=""),"",IF(H3523="credit","NO install",IF(AND(K3523="",AE3523="me"),"EACH row",IF(AND(K3523="images",AE3523="me"),"EACH row",IF(D3523="","",IF(H3523="credit","",IF(AE3523="free","re-planting",IF(AE3523="me","   not ELP, by",IF(AND(OR(PlanterYesMe="Yes",PlanterYesMe="Y"),G3523&gt;0),(VLOOKUP(A3523,'Discount Lookup'!J:K,2)*G3523*(1-PlanterDiscount)*(1+PlanterDifficultyPercentage)),IF(AE3523="ELP",(VLOOKUP(A3523,'Discount Lookup'!J:K,2)*G3523*(1-PlanterDiscount)*(1+PlanterDifficultyPercentage)),IF(AE3523="free","re-planting",IF(G3523=0,"",IF(PlanterYesMe="",IF(AE3523="me","   not ELP, by",IF(AE3523="",IF(G3523&gt;0,(VLOOKUP(A3523,'Discount Lookup'!J:K,2)*G3523*(1-PlanterDiscount)*(1+PlanterDifficultyPercentage)),""),"")),"   not ELP, by"))))))))))))))</f>
        <v/>
      </c>
      <c r="AD3523" s="712"/>
      <c r="AE3523" s="513" t="str">
        <f t="shared" si="2666"/>
        <v/>
      </c>
      <c r="AF3523" s="713" t="str">
        <f t="shared" si="2667"/>
        <v/>
      </c>
      <c r="AG3523" s="713"/>
      <c r="AH3523" s="713"/>
      <c r="AI3523" s="112">
        <f>IF(H3523="credit",0,IF(AE3523="free",0,IF(AE3523="me",0,IF(G3523&gt;0,(VLOOKUP(A3523,'Discount Lookup'!J:K,2)*G3523),0))))</f>
        <v>0</v>
      </c>
      <c r="AJ3523" s="107" t="str">
        <f t="shared" ca="1" si="2668"/>
        <v/>
      </c>
      <c r="AK3523" s="714" t="str">
        <f t="shared" si="2669"/>
        <v/>
      </c>
      <c r="AL3523" s="714"/>
      <c r="AM3523" s="114" t="str">
        <f t="shared" si="2670"/>
        <v/>
      </c>
      <c r="AN3523" s="115"/>
      <c r="AO3523" s="116"/>
      <c r="AP3523" s="116"/>
      <c r="AQ3523" s="116"/>
      <c r="AR3523" s="116"/>
      <c r="AS3523" s="116"/>
      <c r="AT3523" s="116"/>
      <c r="AU3523" s="116"/>
      <c r="AV3523" s="78"/>
      <c r="AW3523" s="102"/>
      <c r="AX3523" s="78"/>
      <c r="AY3523" s="78"/>
      <c r="AZ3523" s="78"/>
      <c r="BA3523" s="78"/>
      <c r="BB3523" s="78"/>
      <c r="BC3523" s="78"/>
      <c r="BD3523" s="78"/>
      <c r="BE3523" s="465"/>
      <c r="BF3523" s="165" t="str">
        <f t="shared" si="2671"/>
        <v>https://www.google.com/search?tbm=isch&amp;q=Charles%20Loomis%27%20is%20exceptionally%20heat-%20and%20sun-tolerant%2C%20able%20to%20thrive%20in%20Southern%20climates%20</v>
      </c>
      <c r="BG3523" s="165" t="str">
        <f t="shared" si="2672"/>
        <v>C</v>
      </c>
      <c r="BH3523" s="65"/>
      <c r="BI3523" s="65"/>
      <c r="BJ3523" s="65"/>
      <c r="BK3523" s="65"/>
      <c r="BL3523" s="99"/>
      <c r="BM3523" s="99"/>
      <c r="BN3523" s="99"/>
    </row>
    <row r="3524" spans="1:66" s="51" customFormat="1" ht="18" x14ac:dyDescent="0.25">
      <c r="A3524" s="507" t="s">
        <v>3968</v>
      </c>
      <c r="B3524" s="470"/>
      <c r="C3524" s="706"/>
      <c r="D3524" s="471" t="s">
        <v>3969</v>
      </c>
      <c r="E3524" s="472"/>
      <c r="F3524" s="472"/>
      <c r="G3524" s="472"/>
      <c r="H3524" s="622" t="s">
        <v>1124</v>
      </c>
      <c r="I3524" s="473" t="s">
        <v>3970</v>
      </c>
      <c r="J3524" s="472"/>
      <c r="K3524" s="472"/>
      <c r="L3524" s="561"/>
      <c r="M3524" s="703" t="s">
        <v>5274</v>
      </c>
      <c r="N3524" s="692" t="str">
        <f>IF(AND(ISTEXT($A3524), ISERROR($A3524+0)), HYPERLINK($BF3524, "Images"), "")</f>
        <v>Images</v>
      </c>
      <c r="O3524" s="694" t="s">
        <v>5264</v>
      </c>
      <c r="P3524" s="475"/>
      <c r="Q3524" s="476"/>
      <c r="R3524" s="476"/>
      <c r="S3524" s="477"/>
      <c r="T3524" s="102">
        <f t="shared" si="2660"/>
        <v>0</v>
      </c>
      <c r="U3524" s="78" t="str">
        <f>IF(NOT(ISNUMBER(G3524)), "", VLOOKUP(A3524,'Discount Lookup'!D:E,2,FALSE)*G3524)</f>
        <v/>
      </c>
      <c r="V3524" s="78" t="str">
        <f>IF(NOT(ISNUMBER(G3524)), "", VLOOKUP(A3524,'Discount Lookup'!G:H,2,FALSE)*G3524)</f>
        <v/>
      </c>
      <c r="W3524" s="102">
        <f t="shared" si="2661"/>
        <v>0</v>
      </c>
      <c r="X3524" s="102" t="str">
        <f t="shared" si="2662"/>
        <v>pure White bloom</v>
      </c>
      <c r="Y3524" s="120" t="b">
        <f t="shared" si="2663"/>
        <v>0</v>
      </c>
      <c r="Z3524" s="117">
        <f t="shared" si="2664"/>
        <v>0</v>
      </c>
      <c r="AA3524" s="118"/>
      <c r="AB3524" s="118" t="str">
        <f t="shared" si="2665"/>
        <v/>
      </c>
      <c r="AC3524" s="712" t="str">
        <f>IF(AE3524="T2G","no charge",IF(AND(OR(PlanterYesMe="No",PlanterYesMe="N",PlanterYesMe="me"),H3524=""),"",IF(H3524="credit","NO install",IF(AND(K3524="",AE3524="me"),"EACH row",IF(AND(K3524="images",AE3524="me"),"EACH row",IF(D3524="","",IF(H3524="credit","",IF(AE3524="free","re-planting",IF(AE3524="me","   not ELP, by",IF(AND(OR(PlanterYesMe="Yes",PlanterYesMe="Y"),G3524&gt;0),(VLOOKUP(A3524,'Discount Lookup'!J:K,2)*G3524*(1-PlanterDiscount)*(1+PlanterDifficultyPercentage)),IF(AE3524="ELP",(VLOOKUP(A3524,'Discount Lookup'!J:K,2)*G3524*(1-PlanterDiscount)*(1+PlanterDifficultyPercentage)),IF(AE3524="free","re-planting",IF(G3524=0,"",IF(PlanterYesMe="",IF(AE3524="me","   not ELP, by",IF(AE3524="",IF(G3524&gt;0,(VLOOKUP(A3524,'Discount Lookup'!J:K,2)*G3524*(1-PlanterDiscount)*(1+PlanterDifficultyPercentage)),""),"")),"   not ELP, by"))))))))))))))</f>
        <v/>
      </c>
      <c r="AD3524" s="712"/>
      <c r="AE3524" s="513" t="str">
        <f t="shared" si="2666"/>
        <v/>
      </c>
      <c r="AF3524" s="713" t="str">
        <f t="shared" si="2667"/>
        <v/>
      </c>
      <c r="AG3524" s="713"/>
      <c r="AH3524" s="713"/>
      <c r="AI3524" s="112">
        <f>IF(H3524="credit",0,IF(AE3524="free",0,IF(AE3524="me",0,IF(G3524&gt;0,(VLOOKUP(A3524,'Discount Lookup'!J:K,2)*G3524),0))))</f>
        <v>0</v>
      </c>
      <c r="AJ3524" s="107" t="str">
        <f t="shared" ca="1" si="2668"/>
        <v/>
      </c>
      <c r="AK3524" s="714" t="str">
        <f t="shared" si="2669"/>
        <v/>
      </c>
      <c r="AL3524" s="714"/>
      <c r="AM3524" s="114" t="str">
        <f t="shared" si="2670"/>
        <v/>
      </c>
      <c r="AN3524" s="115"/>
      <c r="AO3524" s="116"/>
      <c r="AP3524" s="116"/>
      <c r="AQ3524" s="116"/>
      <c r="AR3524" s="116"/>
      <c r="AS3524" s="116"/>
      <c r="AT3524" s="116"/>
      <c r="AU3524" s="116"/>
      <c r="AV3524" s="78"/>
      <c r="AW3524" s="102"/>
      <c r="AX3524" s="78"/>
      <c r="AY3524" s="78"/>
      <c r="AZ3524" s="78"/>
      <c r="BA3524" s="78"/>
      <c r="BB3524" s="78"/>
      <c r="BC3524" s="78"/>
      <c r="BD3524" s="78"/>
      <c r="BE3524" s="465"/>
      <c r="BF3524" s="165" t="str">
        <f t="shared" si="2671"/>
        <v>https://www.google.com/search?tbm=isch&amp;q=Rhod.%20%27Delaware%20Valley%20White%27%20Delaware%20Valley%20White%20Azalea</v>
      </c>
      <c r="BG3524" s="165" t="str">
        <f t="shared" si="2672"/>
        <v>R</v>
      </c>
      <c r="BH3524" s="65"/>
      <c r="BI3524" s="65"/>
      <c r="BJ3524" s="65"/>
      <c r="BK3524" s="65"/>
      <c r="BL3524" s="99"/>
      <c r="BM3524" s="99"/>
      <c r="BN3524" s="99"/>
    </row>
    <row r="3525" spans="1:66" s="51" customFormat="1" ht="15.75" x14ac:dyDescent="0.25">
      <c r="A3525" s="478">
        <v>3</v>
      </c>
      <c r="B3525" s="479" t="s">
        <v>291</v>
      </c>
      <c r="C3525" s="480"/>
      <c r="D3525" s="481" t="s">
        <v>310</v>
      </c>
      <c r="E3525" s="482">
        <v>25.95</v>
      </c>
      <c r="F3525" s="483" t="s">
        <v>292</v>
      </c>
      <c r="G3525" s="484">
        <v>0</v>
      </c>
      <c r="H3525" s="688" t="str">
        <f>IF(G3525=0,"",IF(F3525="Buy",IF(G3525=1,"plant","plants"),IF(F3525&gt;0.01,"warranty","Error")))</f>
        <v/>
      </c>
      <c r="I3525" s="485">
        <f>IF(H3525="free",0,IF(H3525="credit",((E3525*(F3525))*G3525*-1),IF(F3525="Buy",(E3525*G3525),((E3525*(1-F3525))*G3525))))</f>
        <v>0</v>
      </c>
      <c r="J3525" s="485">
        <f>IF(H3525="warranty",0,(I3525*(_xlfn.SINGLE(SalesTaxPercentage))))</f>
        <v>0</v>
      </c>
      <c r="K3525" s="715">
        <f t="shared" ref="K3525" si="2693">I3525+J3525</f>
        <v>0</v>
      </c>
      <c r="L3525" s="715"/>
      <c r="M3525" s="689" t="str">
        <f ca="1">IF(AND(G3525&gt;0,E3525=0),"WARNING - no PRICE inserted",IF(H3525="free","FREE ~ no charge this plant",IF(H3525="credit",CONCATENATE("-$",ROUND(K3525*(1-_xlfn.SINGLE(T2GDiscount))*-1,2)," CREDIT after discount"),IF(_xlfn.SINGLE(T2GDiscount)=0,"",IF(G3525=0,"",IF(F3525="Buy",CONCATENATE("$",ROUND(K3525*(1-_xlfn.SINGLE(T2GDiscount)),2)," with ",(_xlfn.SINGLE(T2GDiscount)*100),"% discount"),CONCATENATE("$",ROUND(K3525*(1-_xlfn.SINGLE(T2GDiscount)),2)," with ",((_xlfn.SINGLE(T2GDiscount)*100+F3525*100)-(_xlfn.SINGLE(T2GDiscount)*100*F3525)),IF(F3525&gt;0,"% discounts",IF(_xlfn.SINGLE(NoWarrantyDiscount)&gt;0,"% discounts","% discount")))))))))</f>
        <v/>
      </c>
      <c r="N3525" s="690"/>
      <c r="O3525" s="486"/>
      <c r="P3525" s="486"/>
      <c r="Q3525" s="486"/>
      <c r="R3525" s="486"/>
      <c r="S3525" s="486"/>
      <c r="T3525" s="102">
        <f t="shared" si="2660"/>
        <v>0</v>
      </c>
      <c r="U3525" s="78">
        <f>IF(NOT(ISNUMBER(G3525)), "", VLOOKUP(A3525,'Discount Lookup'!D:E,2,FALSE)*G3525)</f>
        <v>0</v>
      </c>
      <c r="V3525" s="78">
        <f>IF(NOT(ISNUMBER(G3525)), "", VLOOKUP(A3525,'Discount Lookup'!G:H,2,FALSE)*G3525)</f>
        <v>0</v>
      </c>
      <c r="W3525" s="102">
        <f t="shared" si="2661"/>
        <v>0</v>
      </c>
      <c r="X3525" s="102">
        <f t="shared" si="2662"/>
        <v>0</v>
      </c>
      <c r="Y3525" s="120" t="b">
        <f t="shared" si="2663"/>
        <v>0</v>
      </c>
      <c r="Z3525" s="117">
        <f t="shared" si="2664"/>
        <v>0</v>
      </c>
      <c r="AA3525" s="118"/>
      <c r="AB3525" s="118" t="str">
        <f t="shared" si="2665"/>
        <v/>
      </c>
      <c r="AC3525" s="712" t="str">
        <f>IF(AE3525="T2G","no charge",IF(AND(OR(PlanterYesMe="No",PlanterYesMe="N",PlanterYesMe="me"),H3525=""),"",IF(H3525="credit","NO install",IF(AND(K3525="",AE3525="me"),"EACH row",IF(AND(K3525="images",AE3525="me"),"EACH row",IF(D3525="","",IF(H3525="credit","",IF(AE3525="free","re-planting",IF(AE3525="me","   not ELP, by",IF(AND(OR(PlanterYesMe="Yes",PlanterYesMe="Y"),G3525&gt;0),(VLOOKUP(A3525,'Discount Lookup'!J:K,2)*G3525*(1-PlanterDiscount)*(1+PlanterDifficultyPercentage)),IF(AE3525="ELP",(VLOOKUP(A3525,'Discount Lookup'!J:K,2)*G3525*(1-PlanterDiscount)*(1+PlanterDifficultyPercentage)),IF(AE3525="free","re-planting",IF(G3525=0,"",IF(PlanterYesMe="",IF(AE3525="me","   not ELP, by",IF(AE3525="",IF(G3525&gt;0,(VLOOKUP(A3525,'Discount Lookup'!J:K,2)*G3525*(1-PlanterDiscount)*(1+PlanterDifficultyPercentage)),""),"")),"   not ELP, by"))))))))))))))</f>
        <v/>
      </c>
      <c r="AD3525" s="712"/>
      <c r="AE3525" s="513" t="str">
        <f t="shared" si="2666"/>
        <v/>
      </c>
      <c r="AF3525" s="713" t="str">
        <f t="shared" si="2667"/>
        <v/>
      </c>
      <c r="AG3525" s="713"/>
      <c r="AH3525" s="713"/>
      <c r="AI3525" s="112">
        <f>IF(H3525="credit",0,IF(AE3525="free",0,IF(AE3525="me",0,IF(G3525&gt;0,(VLOOKUP(A3525,'Discount Lookup'!J:K,2)*G3525),0))))</f>
        <v>0</v>
      </c>
      <c r="AJ3525" s="107" t="str">
        <f t="shared" ca="1" si="2668"/>
        <v/>
      </c>
      <c r="AK3525" s="714" t="str">
        <f t="shared" si="2669"/>
        <v/>
      </c>
      <c r="AL3525" s="714"/>
      <c r="AM3525" s="114" t="str">
        <f t="shared" si="2670"/>
        <v/>
      </c>
      <c r="AN3525" s="115"/>
      <c r="AO3525" s="116"/>
      <c r="AP3525" s="116"/>
      <c r="AQ3525" s="116"/>
      <c r="AR3525" s="116"/>
      <c r="AS3525" s="116"/>
      <c r="AT3525" s="116"/>
      <c r="AU3525" s="116"/>
      <c r="AV3525" s="78"/>
      <c r="AW3525" s="102"/>
      <c r="AX3525" s="78"/>
      <c r="AY3525" s="78"/>
      <c r="AZ3525" s="78"/>
      <c r="BA3525" s="78"/>
      <c r="BB3525" s="78"/>
      <c r="BC3525" s="78"/>
      <c r="BD3525" s="78"/>
      <c r="BE3525" s="465"/>
      <c r="BF3525" s="165" t="str">
        <f t="shared" si="2671"/>
        <v>https://www.google.com/search?tbm=isch&amp;q=3%20G1</v>
      </c>
      <c r="BG3525" s="165" t="str">
        <f t="shared" si="2672"/>
        <v>R</v>
      </c>
      <c r="BH3525" s="65"/>
      <c r="BI3525" s="65"/>
      <c r="BJ3525" s="65"/>
      <c r="BK3525" s="65"/>
      <c r="BL3525" s="99"/>
      <c r="BM3525" s="99"/>
      <c r="BN3525" s="99"/>
    </row>
    <row r="3526" spans="1:66" s="51" customFormat="1" ht="17.25" thickBot="1" x14ac:dyDescent="0.3">
      <c r="A3526" s="508" t="s">
        <v>3971</v>
      </c>
      <c r="B3526" s="487"/>
      <c r="C3526" s="707"/>
      <c r="D3526" s="487"/>
      <c r="E3526" s="487"/>
      <c r="F3526" s="488"/>
      <c r="G3526" s="489"/>
      <c r="H3526" s="487"/>
      <c r="I3526" s="490"/>
      <c r="J3526" s="490"/>
      <c r="K3526" s="491"/>
      <c r="L3526" s="547"/>
      <c r="M3526" s="528"/>
      <c r="N3526" s="492"/>
      <c r="O3526" s="493"/>
      <c r="P3526" s="494"/>
      <c r="Q3526" s="492"/>
      <c r="R3526" s="492"/>
      <c r="S3526" s="699" t="s">
        <v>5276</v>
      </c>
      <c r="T3526" s="102">
        <f t="shared" si="2660"/>
        <v>0</v>
      </c>
      <c r="U3526" s="78" t="str">
        <f>IF(NOT(ISNUMBER(G3526)), "", VLOOKUP(A3526,'Discount Lookup'!D:E,2,FALSE)*G3526)</f>
        <v/>
      </c>
      <c r="V3526" s="78" t="str">
        <f>IF(NOT(ISNUMBER(G3526)), "", VLOOKUP(A3526,'Discount Lookup'!G:H,2,FALSE)*G3526)</f>
        <v/>
      </c>
      <c r="W3526" s="102">
        <f t="shared" si="2661"/>
        <v>0</v>
      </c>
      <c r="X3526" s="102">
        <f t="shared" si="2662"/>
        <v>0</v>
      </c>
      <c r="Y3526" s="120" t="b">
        <f t="shared" si="2663"/>
        <v>0</v>
      </c>
      <c r="Z3526" s="117">
        <f t="shared" si="2664"/>
        <v>0</v>
      </c>
      <c r="AA3526" s="118"/>
      <c r="AB3526" s="118" t="str">
        <f t="shared" si="2665"/>
        <v/>
      </c>
      <c r="AC3526" s="712" t="str">
        <f>IF(AE3526="T2G","no charge",IF(AND(OR(PlanterYesMe="No",PlanterYesMe="N",PlanterYesMe="me"),H3526=""),"",IF(H3526="credit","NO install",IF(AND(K3526="",AE3526="me"),"EACH row",IF(AND(K3526="images",AE3526="me"),"EACH row",IF(D3526="","",IF(H3526="credit","",IF(AE3526="free","re-planting",IF(AE3526="me","   not ELP, by",IF(AND(OR(PlanterYesMe="Yes",PlanterYesMe="Y"),G3526&gt;0),(VLOOKUP(A3526,'Discount Lookup'!J:K,2)*G3526*(1-PlanterDiscount)*(1+PlanterDifficultyPercentage)),IF(AE3526="ELP",(VLOOKUP(A3526,'Discount Lookup'!J:K,2)*G3526*(1-PlanterDiscount)*(1+PlanterDifficultyPercentage)),IF(AE3526="free","re-planting",IF(G3526=0,"",IF(PlanterYesMe="",IF(AE3526="me","   not ELP, by",IF(AE3526="",IF(G3526&gt;0,(VLOOKUP(A3526,'Discount Lookup'!J:K,2)*G3526*(1-PlanterDiscount)*(1+PlanterDifficultyPercentage)),""),"")),"   not ELP, by"))))))))))))))</f>
        <v/>
      </c>
      <c r="AD3526" s="712"/>
      <c r="AE3526" s="513" t="str">
        <f t="shared" si="2666"/>
        <v/>
      </c>
      <c r="AF3526" s="713" t="str">
        <f t="shared" si="2667"/>
        <v/>
      </c>
      <c r="AG3526" s="713"/>
      <c r="AH3526" s="713"/>
      <c r="AI3526" s="112">
        <f>IF(H3526="credit",0,IF(AE3526="free",0,IF(AE3526="me",0,IF(G3526&gt;0,(VLOOKUP(A3526,'Discount Lookup'!J:K,2)*G3526),0))))</f>
        <v>0</v>
      </c>
      <c r="AJ3526" s="107" t="str">
        <f t="shared" ca="1" si="2668"/>
        <v/>
      </c>
      <c r="AK3526" s="714" t="str">
        <f t="shared" si="2669"/>
        <v/>
      </c>
      <c r="AL3526" s="714"/>
      <c r="AM3526" s="114" t="str">
        <f t="shared" si="2670"/>
        <v/>
      </c>
      <c r="AN3526" s="115"/>
      <c r="AO3526" s="116"/>
      <c r="AP3526" s="116"/>
      <c r="AQ3526" s="116"/>
      <c r="AR3526" s="116"/>
      <c r="AS3526" s="116"/>
      <c r="AT3526" s="116"/>
      <c r="AU3526" s="116"/>
      <c r="AV3526" s="78"/>
      <c r="AW3526" s="102"/>
      <c r="AX3526" s="78"/>
      <c r="AY3526" s="78"/>
      <c r="AZ3526" s="78"/>
      <c r="BA3526" s="78"/>
      <c r="BB3526" s="78"/>
      <c r="BC3526" s="78"/>
      <c r="BD3526" s="78"/>
      <c r="BE3526" s="465"/>
      <c r="BF3526" s="165" t="str">
        <f t="shared" si="2671"/>
        <v>https://www.google.com/search?tbm=isch&amp;q=Delaware%20Valley%20White%20Azalea%20offers%20pristine%20spring%20blooms%20and%20attractive%20green%20foliage%20</v>
      </c>
      <c r="BG3526" s="165" t="str">
        <f t="shared" si="2672"/>
        <v>D</v>
      </c>
      <c r="BH3526" s="65"/>
      <c r="BI3526" s="65"/>
      <c r="BJ3526" s="65"/>
      <c r="BK3526" s="65"/>
      <c r="BL3526" s="99"/>
      <c r="BM3526" s="99"/>
      <c r="BN3526" s="99"/>
    </row>
    <row r="3527" spans="1:66" s="51" customFormat="1" ht="18" x14ac:dyDescent="0.25">
      <c r="A3527" s="507" t="s">
        <v>5752</v>
      </c>
      <c r="B3527" s="470"/>
      <c r="C3527" s="706"/>
      <c r="D3527" s="471" t="s">
        <v>5753</v>
      </c>
      <c r="E3527" s="472"/>
      <c r="F3527" s="472"/>
      <c r="G3527" s="472"/>
      <c r="H3527" s="622" t="s">
        <v>3972</v>
      </c>
      <c r="I3527" s="473" t="s">
        <v>3202</v>
      </c>
      <c r="J3527" s="472"/>
      <c r="K3527" s="472"/>
      <c r="L3527" s="561"/>
      <c r="M3527" s="698" t="s">
        <v>5246</v>
      </c>
      <c r="N3527" s="692" t="str">
        <f>IF(AND(ISTEXT($A3527), ISERROR($A3527+0)), HYPERLINK($BF3527, "Images"), "")</f>
        <v>Images</v>
      </c>
      <c r="O3527" s="694" t="s">
        <v>5264</v>
      </c>
      <c r="P3527" s="475"/>
      <c r="Q3527" s="476"/>
      <c r="R3527" s="476"/>
      <c r="S3527" s="477"/>
      <c r="T3527" s="102">
        <f t="shared" si="2660"/>
        <v>0</v>
      </c>
      <c r="U3527" s="78" t="str">
        <f>IF(NOT(ISNUMBER(G3527)), "", VLOOKUP(A3527,'Discount Lookup'!D:E,2,FALSE)*G3527)</f>
        <v/>
      </c>
      <c r="V3527" s="78" t="str">
        <f>IF(NOT(ISNUMBER(G3527)), "", VLOOKUP(A3527,'Discount Lookup'!G:H,2,FALSE)*G3527)</f>
        <v/>
      </c>
      <c r="W3527" s="102">
        <f t="shared" si="2661"/>
        <v>0</v>
      </c>
      <c r="X3527" s="102" t="str">
        <f t="shared" si="2662"/>
        <v>Magenta Pink bloom</v>
      </c>
      <c r="Y3527" s="120" t="b">
        <f t="shared" si="2663"/>
        <v>0</v>
      </c>
      <c r="Z3527" s="117">
        <f t="shared" si="2664"/>
        <v>0</v>
      </c>
      <c r="AA3527" s="118"/>
      <c r="AB3527" s="118" t="str">
        <f t="shared" si="2665"/>
        <v/>
      </c>
      <c r="AC3527" s="712" t="str">
        <f>IF(AE3527="T2G","no charge",IF(AND(OR(PlanterYesMe="No",PlanterYesMe="N",PlanterYesMe="me"),H3527=""),"",IF(H3527="credit","NO install",IF(AND(K3527="",AE3527="me"),"EACH row",IF(AND(K3527="images",AE3527="me"),"EACH row",IF(D3527="","",IF(H3527="credit","",IF(AE3527="free","re-planting",IF(AE3527="me","   not ELP, by",IF(AND(OR(PlanterYesMe="Yes",PlanterYesMe="Y"),G3527&gt;0),(VLOOKUP(A3527,'Discount Lookup'!J:K,2)*G3527*(1-PlanterDiscount)*(1+PlanterDifficultyPercentage)),IF(AE3527="ELP",(VLOOKUP(A3527,'Discount Lookup'!J:K,2)*G3527*(1-PlanterDiscount)*(1+PlanterDifficultyPercentage)),IF(AE3527="free","re-planting",IF(G3527=0,"",IF(PlanterYesMe="",IF(AE3527="me","   not ELP, by",IF(AE3527="",IF(G3527&gt;0,(VLOOKUP(A3527,'Discount Lookup'!J:K,2)*G3527*(1-PlanterDiscount)*(1+PlanterDifficultyPercentage)),""),"")),"   not ELP, by"))))))))))))))</f>
        <v/>
      </c>
      <c r="AD3527" s="712"/>
      <c r="AE3527" s="513" t="str">
        <f t="shared" si="2666"/>
        <v/>
      </c>
      <c r="AF3527" s="713" t="str">
        <f t="shared" si="2667"/>
        <v/>
      </c>
      <c r="AG3527" s="713"/>
      <c r="AH3527" s="713"/>
      <c r="AI3527" s="112">
        <f>IF(H3527="credit",0,IF(AE3527="free",0,IF(AE3527="me",0,IF(G3527&gt;0,(VLOOKUP(A3527,'Discount Lookup'!J:K,2)*G3527),0))))</f>
        <v>0</v>
      </c>
      <c r="AJ3527" s="107" t="str">
        <f t="shared" ca="1" si="2668"/>
        <v/>
      </c>
      <c r="AK3527" s="714" t="str">
        <f t="shared" si="2669"/>
        <v/>
      </c>
      <c r="AL3527" s="714"/>
      <c r="AM3527" s="114" t="str">
        <f t="shared" si="2670"/>
        <v/>
      </c>
      <c r="AN3527" s="115"/>
      <c r="AO3527" s="116"/>
      <c r="AP3527" s="116"/>
      <c r="AQ3527" s="116"/>
      <c r="AR3527" s="116"/>
      <c r="AS3527" s="116"/>
      <c r="AT3527" s="116"/>
      <c r="AU3527" s="116"/>
      <c r="AV3527" s="78"/>
      <c r="AW3527" s="102"/>
      <c r="AX3527" s="78"/>
      <c r="AY3527" s="78"/>
      <c r="AZ3527" s="78"/>
      <c r="BA3527" s="78"/>
      <c r="BB3527" s="78"/>
      <c r="BC3527" s="78"/>
      <c r="BD3527" s="78"/>
      <c r="BE3527" s="465"/>
      <c r="BF3527" s="165" t="str">
        <f t="shared" si="2671"/>
        <v>https://www.google.com/search?tbm=isch&amp;q=Rhod.%20Encore%C2%AE%20%27Conlea%27%20PP%2310438%20Autumn%20Rouge%C2%AE%20Encore%C2%AE%20Azalea</v>
      </c>
      <c r="BG3527" s="165" t="str">
        <f t="shared" si="2672"/>
        <v>R</v>
      </c>
      <c r="BH3527" s="65"/>
      <c r="BI3527" s="65"/>
      <c r="BJ3527" s="65"/>
      <c r="BK3527" s="65"/>
      <c r="BL3527" s="99"/>
      <c r="BM3527" s="99"/>
      <c r="BN3527" s="99"/>
    </row>
    <row r="3528" spans="1:66" s="51" customFormat="1" ht="15.75" x14ac:dyDescent="0.25">
      <c r="A3528" s="478">
        <v>3</v>
      </c>
      <c r="B3528" s="479" t="s">
        <v>291</v>
      </c>
      <c r="C3528" s="480" t="s">
        <v>3973</v>
      </c>
      <c r="D3528" s="481" t="s">
        <v>329</v>
      </c>
      <c r="E3528" s="482">
        <v>29.95</v>
      </c>
      <c r="F3528" s="483" t="s">
        <v>292</v>
      </c>
      <c r="G3528" s="484">
        <v>0</v>
      </c>
      <c r="H3528" s="688" t="str">
        <f>IF(G3528=0,"",IF(F3528="Buy",IF(G3528=1,"plant","plants"),IF(F3528&gt;0.01,"warranty","Error")))</f>
        <v/>
      </c>
      <c r="I3528" s="485">
        <f>IF(H3528="free",0,IF(H3528="credit",((E3528*(F3528))*G3528*-1),IF(F3528="Buy",(E3528*G3528),((E3528*(1-F3528))*G3528))))</f>
        <v>0</v>
      </c>
      <c r="J3528" s="485">
        <f>IF(H3528="warranty",0,(I3528*(_xlfn.SINGLE(SalesTaxPercentage))))</f>
        <v>0</v>
      </c>
      <c r="K3528" s="715">
        <f t="shared" ref="K3528" si="2694">I3528+J3528</f>
        <v>0</v>
      </c>
      <c r="L3528" s="715"/>
      <c r="M3528" s="689" t="str">
        <f ca="1">IF(AND(G3528&gt;0,E3528=0),"WARNING - no PRICE inserted",IF(H3528="free","FREE ~ no charge this plant",IF(H3528="credit",CONCATENATE("-$",ROUND(K3528*(1-_xlfn.SINGLE(T2GDiscount))*-1,2)," CREDIT after discount"),IF(_xlfn.SINGLE(T2GDiscount)=0,"",IF(G3528=0,"",IF(F3528="Buy",CONCATENATE("$",ROUND(K3528*(1-_xlfn.SINGLE(T2GDiscount)),2)," with ",(_xlfn.SINGLE(T2GDiscount)*100),"% discount"),CONCATENATE("$",ROUND(K3528*(1-_xlfn.SINGLE(T2GDiscount)),2)," with ",((_xlfn.SINGLE(T2GDiscount)*100+F3528*100)-(_xlfn.SINGLE(T2GDiscount)*100*F3528)),IF(F3528&gt;0,"% discounts",IF(_xlfn.SINGLE(NoWarrantyDiscount)&gt;0,"% discounts","% discount")))))))))</f>
        <v/>
      </c>
      <c r="N3528" s="690"/>
      <c r="O3528" s="486"/>
      <c r="P3528" s="486"/>
      <c r="Q3528" s="486"/>
      <c r="R3528" s="486"/>
      <c r="S3528" s="486"/>
      <c r="T3528" s="102">
        <f t="shared" si="2660"/>
        <v>0</v>
      </c>
      <c r="U3528" s="78">
        <f>IF(NOT(ISNUMBER(G3528)), "", VLOOKUP(A3528,'Discount Lookup'!D:E,2,FALSE)*G3528)</f>
        <v>0</v>
      </c>
      <c r="V3528" s="78">
        <f>IF(NOT(ISNUMBER(G3528)), "", VLOOKUP(A3528,'Discount Lookup'!G:H,2,FALSE)*G3528)</f>
        <v>0</v>
      </c>
      <c r="W3528" s="102">
        <f t="shared" si="2661"/>
        <v>0</v>
      </c>
      <c r="X3528" s="102">
        <f t="shared" si="2662"/>
        <v>0</v>
      </c>
      <c r="Y3528" s="120" t="b">
        <f t="shared" si="2663"/>
        <v>0</v>
      </c>
      <c r="Z3528" s="117">
        <f t="shared" si="2664"/>
        <v>0</v>
      </c>
      <c r="AA3528" s="118"/>
      <c r="AB3528" s="118" t="str">
        <f t="shared" si="2665"/>
        <v/>
      </c>
      <c r="AC3528" s="712" t="str">
        <f>IF(AE3528="T2G","no charge",IF(AND(OR(PlanterYesMe="No",PlanterYesMe="N",PlanterYesMe="me"),H3528=""),"",IF(H3528="credit","NO install",IF(AND(K3528="",AE3528="me"),"EACH row",IF(AND(K3528="images",AE3528="me"),"EACH row",IF(D3528="","",IF(H3528="credit","",IF(AE3528="free","re-planting",IF(AE3528="me","   not ELP, by",IF(AND(OR(PlanterYesMe="Yes",PlanterYesMe="Y"),G3528&gt;0),(VLOOKUP(A3528,'Discount Lookup'!J:K,2)*G3528*(1-PlanterDiscount)*(1+PlanterDifficultyPercentage)),IF(AE3528="ELP",(VLOOKUP(A3528,'Discount Lookup'!J:K,2)*G3528*(1-PlanterDiscount)*(1+PlanterDifficultyPercentage)),IF(AE3528="free","re-planting",IF(G3528=0,"",IF(PlanterYesMe="",IF(AE3528="me","   not ELP, by",IF(AE3528="",IF(G3528&gt;0,(VLOOKUP(A3528,'Discount Lookup'!J:K,2)*G3528*(1-PlanterDiscount)*(1+PlanterDifficultyPercentage)),""),"")),"   not ELP, by"))))))))))))))</f>
        <v/>
      </c>
      <c r="AD3528" s="712"/>
      <c r="AE3528" s="513" t="str">
        <f t="shared" si="2666"/>
        <v/>
      </c>
      <c r="AF3528" s="713" t="str">
        <f t="shared" si="2667"/>
        <v/>
      </c>
      <c r="AG3528" s="713"/>
      <c r="AH3528" s="713"/>
      <c r="AI3528" s="112">
        <f>IF(H3528="credit",0,IF(AE3528="free",0,IF(AE3528="me",0,IF(G3528&gt;0,(VLOOKUP(A3528,'Discount Lookup'!J:K,2)*G3528),0))))</f>
        <v>0</v>
      </c>
      <c r="AJ3528" s="107" t="str">
        <f t="shared" ca="1" si="2668"/>
        <v/>
      </c>
      <c r="AK3528" s="714" t="str">
        <f t="shared" si="2669"/>
        <v/>
      </c>
      <c r="AL3528" s="714"/>
      <c r="AM3528" s="114" t="str">
        <f t="shared" si="2670"/>
        <v/>
      </c>
      <c r="AN3528" s="115"/>
      <c r="AO3528" s="116"/>
      <c r="AP3528" s="116"/>
      <c r="AQ3528" s="116"/>
      <c r="AR3528" s="116"/>
      <c r="AS3528" s="116"/>
      <c r="AT3528" s="116"/>
      <c r="AU3528" s="116"/>
      <c r="AV3528" s="78"/>
      <c r="AW3528" s="102"/>
      <c r="AX3528" s="78"/>
      <c r="AY3528" s="78"/>
      <c r="AZ3528" s="78"/>
      <c r="BA3528" s="78"/>
      <c r="BB3528" s="78"/>
      <c r="BC3528" s="78"/>
      <c r="BD3528" s="78"/>
      <c r="BE3528" s="465"/>
      <c r="BF3528" s="165" t="str">
        <f t="shared" si="2671"/>
        <v>https://www.google.com/search?tbm=isch&amp;q=3%20G2</v>
      </c>
      <c r="BG3528" s="165" t="str">
        <f t="shared" si="2672"/>
        <v>R</v>
      </c>
      <c r="BH3528" s="65"/>
      <c r="BI3528" s="65"/>
      <c r="BJ3528" s="65"/>
      <c r="BK3528" s="65"/>
      <c r="BL3528" s="99"/>
      <c r="BM3528" s="99"/>
      <c r="BN3528" s="99"/>
    </row>
    <row r="3529" spans="1:66" s="51" customFormat="1" ht="17.25" thickBot="1" x14ac:dyDescent="0.3">
      <c r="A3529" s="508" t="s">
        <v>3974</v>
      </c>
      <c r="B3529" s="487"/>
      <c r="C3529" s="707"/>
      <c r="D3529" s="487"/>
      <c r="E3529" s="487"/>
      <c r="F3529" s="488"/>
      <c r="G3529" s="489"/>
      <c r="H3529" s="487"/>
      <c r="I3529" s="490"/>
      <c r="J3529" s="490"/>
      <c r="K3529" s="491"/>
      <c r="L3529" s="547"/>
      <c r="M3529" s="528"/>
      <c r="N3529" s="492"/>
      <c r="O3529" s="493"/>
      <c r="P3529" s="494"/>
      <c r="Q3529" s="492"/>
      <c r="R3529" s="492"/>
      <c r="S3529" s="699" t="s">
        <v>5248</v>
      </c>
      <c r="T3529" s="102">
        <f t="shared" si="2660"/>
        <v>0</v>
      </c>
      <c r="U3529" s="78" t="str">
        <f>IF(NOT(ISNUMBER(G3529)), "", VLOOKUP(A3529,'Discount Lookup'!D:E,2,FALSE)*G3529)</f>
        <v/>
      </c>
      <c r="V3529" s="78" t="str">
        <f>IF(NOT(ISNUMBER(G3529)), "", VLOOKUP(A3529,'Discount Lookup'!G:H,2,FALSE)*G3529)</f>
        <v/>
      </c>
      <c r="W3529" s="102">
        <f t="shared" si="2661"/>
        <v>0</v>
      </c>
      <c r="X3529" s="102">
        <f t="shared" si="2662"/>
        <v>0</v>
      </c>
      <c r="Y3529" s="120" t="b">
        <f t="shared" si="2663"/>
        <v>0</v>
      </c>
      <c r="Z3529" s="117">
        <f t="shared" si="2664"/>
        <v>0</v>
      </c>
      <c r="AA3529" s="118"/>
      <c r="AB3529" s="118" t="str">
        <f t="shared" si="2665"/>
        <v/>
      </c>
      <c r="AC3529" s="712" t="str">
        <f>IF(AE3529="T2G","no charge",IF(AND(OR(PlanterYesMe="No",PlanterYesMe="N",PlanterYesMe="me"),H3529=""),"",IF(H3529="credit","NO install",IF(AND(K3529="",AE3529="me"),"EACH row",IF(AND(K3529="images",AE3529="me"),"EACH row",IF(D3529="","",IF(H3529="credit","",IF(AE3529="free","re-planting",IF(AE3529="me","   not ELP, by",IF(AND(OR(PlanterYesMe="Yes",PlanterYesMe="Y"),G3529&gt;0),(VLOOKUP(A3529,'Discount Lookup'!J:K,2)*G3529*(1-PlanterDiscount)*(1+PlanterDifficultyPercentage)),IF(AE3529="ELP",(VLOOKUP(A3529,'Discount Lookup'!J:K,2)*G3529*(1-PlanterDiscount)*(1+PlanterDifficultyPercentage)),IF(AE3529="free","re-planting",IF(G3529=0,"",IF(PlanterYesMe="",IF(AE3529="me","   not ELP, by",IF(AE3529="",IF(G3529&gt;0,(VLOOKUP(A3529,'Discount Lookup'!J:K,2)*G3529*(1-PlanterDiscount)*(1+PlanterDifficultyPercentage)),""),"")),"   not ELP, by"))))))))))))))</f>
        <v/>
      </c>
      <c r="AD3529" s="712"/>
      <c r="AE3529" s="513" t="str">
        <f t="shared" si="2666"/>
        <v/>
      </c>
      <c r="AF3529" s="713" t="str">
        <f t="shared" si="2667"/>
        <v/>
      </c>
      <c r="AG3529" s="713"/>
      <c r="AH3529" s="713"/>
      <c r="AI3529" s="112">
        <f>IF(H3529="credit",0,IF(AE3529="free",0,IF(AE3529="me",0,IF(G3529&gt;0,(VLOOKUP(A3529,'Discount Lookup'!J:K,2)*G3529),0))))</f>
        <v>0</v>
      </c>
      <c r="AJ3529" s="107" t="str">
        <f t="shared" ca="1" si="2668"/>
        <v/>
      </c>
      <c r="AK3529" s="714" t="str">
        <f t="shared" si="2669"/>
        <v/>
      </c>
      <c r="AL3529" s="714"/>
      <c r="AM3529" s="114" t="str">
        <f t="shared" si="2670"/>
        <v/>
      </c>
      <c r="AN3529" s="115"/>
      <c r="AO3529" s="116"/>
      <c r="AP3529" s="116"/>
      <c r="AQ3529" s="116"/>
      <c r="AR3529" s="116"/>
      <c r="AS3529" s="116"/>
      <c r="AT3529" s="116"/>
      <c r="AU3529" s="116"/>
      <c r="AV3529" s="78"/>
      <c r="AW3529" s="102"/>
      <c r="AX3529" s="78"/>
      <c r="AY3529" s="78"/>
      <c r="AZ3529" s="78"/>
      <c r="BA3529" s="78"/>
      <c r="BB3529" s="78"/>
      <c r="BC3529" s="78"/>
      <c r="BD3529" s="78"/>
      <c r="BE3529" s="465"/>
      <c r="BF3529" s="165" t="str">
        <f t="shared" si="2671"/>
        <v>https://www.google.com/search?tbm=isch&amp;q=All%20Encores%20are%20repeat%20bloomers%2C%20in%20spring%2C%20late%20summer%2C%20and%20fall.%20Dark%20Green%20foliage%2C%20with%20a%20Reddish-Bronzy%20winter%20cast%20</v>
      </c>
      <c r="BG3529" s="165" t="str">
        <f t="shared" si="2672"/>
        <v>A</v>
      </c>
      <c r="BH3529" s="65"/>
      <c r="BI3529" s="65"/>
      <c r="BJ3529" s="65"/>
      <c r="BK3529" s="65"/>
      <c r="BL3529" s="99"/>
      <c r="BM3529" s="99"/>
      <c r="BN3529" s="99"/>
    </row>
    <row r="3530" spans="1:66" s="51" customFormat="1" ht="18" x14ac:dyDescent="0.25">
      <c r="A3530" s="507" t="s">
        <v>5754</v>
      </c>
      <c r="B3530" s="470"/>
      <c r="C3530" s="706"/>
      <c r="D3530" s="471" t="s">
        <v>5755</v>
      </c>
      <c r="E3530" s="472"/>
      <c r="F3530" s="472"/>
      <c r="G3530" s="472"/>
      <c r="H3530" s="622" t="s">
        <v>3975</v>
      </c>
      <c r="I3530" s="473" t="s">
        <v>3976</v>
      </c>
      <c r="J3530" s="472"/>
      <c r="K3530" s="472"/>
      <c r="L3530" s="561"/>
      <c r="M3530" s="698" t="s">
        <v>5246</v>
      </c>
      <c r="N3530" s="692" t="str">
        <f>IF(AND(ISTEXT($A3530), ISERROR($A3530+0)), HYPERLINK($BF3530, "Images"), "")</f>
        <v>Images</v>
      </c>
      <c r="O3530" s="694" t="s">
        <v>5264</v>
      </c>
      <c r="P3530" s="475"/>
      <c r="Q3530" s="476"/>
      <c r="R3530" s="476"/>
      <c r="S3530" s="477"/>
      <c r="T3530" s="102">
        <f t="shared" si="2660"/>
        <v>0</v>
      </c>
      <c r="U3530" s="78" t="str">
        <f>IF(NOT(ISNUMBER(G3530)), "", VLOOKUP(A3530,'Discount Lookup'!D:E,2,FALSE)*G3530)</f>
        <v/>
      </c>
      <c r="V3530" s="78" t="str">
        <f>IF(NOT(ISNUMBER(G3530)), "", VLOOKUP(A3530,'Discount Lookup'!G:H,2,FALSE)*G3530)</f>
        <v/>
      </c>
      <c r="W3530" s="102">
        <f t="shared" si="2661"/>
        <v>0</v>
      </c>
      <c r="X3530" s="102" t="str">
        <f t="shared" si="2662"/>
        <v>Reddish-Orange bloom</v>
      </c>
      <c r="Y3530" s="120" t="b">
        <f t="shared" si="2663"/>
        <v>0</v>
      </c>
      <c r="Z3530" s="117">
        <f t="shared" si="2664"/>
        <v>0</v>
      </c>
      <c r="AA3530" s="118"/>
      <c r="AB3530" s="118" t="str">
        <f t="shared" si="2665"/>
        <v/>
      </c>
      <c r="AC3530" s="712" t="str">
        <f>IF(AE3530="T2G","no charge",IF(AND(OR(PlanterYesMe="No",PlanterYesMe="N",PlanterYesMe="me"),H3530=""),"",IF(H3530="credit","NO install",IF(AND(K3530="",AE3530="me"),"EACH row",IF(AND(K3530="images",AE3530="me"),"EACH row",IF(D3530="","",IF(H3530="credit","",IF(AE3530="free","re-planting",IF(AE3530="me","   not ELP, by",IF(AND(OR(PlanterYesMe="Yes",PlanterYesMe="Y"),G3530&gt;0),(VLOOKUP(A3530,'Discount Lookup'!J:K,2)*G3530*(1-PlanterDiscount)*(1+PlanterDifficultyPercentage)),IF(AE3530="ELP",(VLOOKUP(A3530,'Discount Lookup'!J:K,2)*G3530*(1-PlanterDiscount)*(1+PlanterDifficultyPercentage)),IF(AE3530="free","re-planting",IF(G3530=0,"",IF(PlanterYesMe="",IF(AE3530="me","   not ELP, by",IF(AE3530="",IF(G3530&gt;0,(VLOOKUP(A3530,'Discount Lookup'!J:K,2)*G3530*(1-PlanterDiscount)*(1+PlanterDifficultyPercentage)),""),"")),"   not ELP, by"))))))))))))))</f>
        <v/>
      </c>
      <c r="AD3530" s="712"/>
      <c r="AE3530" s="513" t="str">
        <f t="shared" si="2666"/>
        <v/>
      </c>
      <c r="AF3530" s="713" t="str">
        <f t="shared" si="2667"/>
        <v/>
      </c>
      <c r="AG3530" s="713"/>
      <c r="AH3530" s="713"/>
      <c r="AI3530" s="112">
        <f>IF(H3530="credit",0,IF(AE3530="free",0,IF(AE3530="me",0,IF(G3530&gt;0,(VLOOKUP(A3530,'Discount Lookup'!J:K,2)*G3530),0))))</f>
        <v>0</v>
      </c>
      <c r="AJ3530" s="107" t="str">
        <f t="shared" ca="1" si="2668"/>
        <v/>
      </c>
      <c r="AK3530" s="714" t="str">
        <f t="shared" si="2669"/>
        <v/>
      </c>
      <c r="AL3530" s="714"/>
      <c r="AM3530" s="114" t="str">
        <f t="shared" si="2670"/>
        <v/>
      </c>
      <c r="AN3530" s="115"/>
      <c r="AO3530" s="116"/>
      <c r="AP3530" s="116"/>
      <c r="AQ3530" s="116"/>
      <c r="AR3530" s="116"/>
      <c r="AS3530" s="116"/>
      <c r="AT3530" s="116"/>
      <c r="AU3530" s="116"/>
      <c r="AV3530" s="78"/>
      <c r="AW3530" s="102"/>
      <c r="AX3530" s="78"/>
      <c r="AY3530" s="78"/>
      <c r="AZ3530" s="78"/>
      <c r="BA3530" s="78"/>
      <c r="BB3530" s="78"/>
      <c r="BC3530" s="78"/>
      <c r="BD3530" s="78"/>
      <c r="BE3530" s="465"/>
      <c r="BF3530" s="165" t="str">
        <f t="shared" si="2671"/>
        <v>https://www.google.com/search?tbm=isch&amp;q=Rhod.%20Encore%C2%AE%20%27Conleb%27%20PP%2310581%20Autumn%20Embers%C2%AE%20Encore%C2%AE%20Azalea</v>
      </c>
      <c r="BG3530" s="165" t="str">
        <f t="shared" si="2672"/>
        <v>R</v>
      </c>
      <c r="BH3530" s="65"/>
      <c r="BI3530" s="65"/>
      <c r="BJ3530" s="65"/>
      <c r="BK3530" s="65"/>
      <c r="BL3530" s="99"/>
      <c r="BM3530" s="99"/>
      <c r="BN3530" s="99"/>
    </row>
    <row r="3531" spans="1:66" s="51" customFormat="1" ht="15.75" x14ac:dyDescent="0.25">
      <c r="A3531" s="478">
        <v>3</v>
      </c>
      <c r="B3531" s="479" t="s">
        <v>291</v>
      </c>
      <c r="C3531" s="480" t="s">
        <v>3977</v>
      </c>
      <c r="D3531" s="481" t="s">
        <v>329</v>
      </c>
      <c r="E3531" s="482">
        <v>29.95</v>
      </c>
      <c r="F3531" s="483" t="s">
        <v>292</v>
      </c>
      <c r="G3531" s="484">
        <v>0</v>
      </c>
      <c r="H3531" s="688" t="str">
        <f>IF(G3531=0,"",IF(F3531="Buy",IF(G3531=1,"plant","plants"),IF(F3531&gt;0.01,"warranty","Error")))</f>
        <v/>
      </c>
      <c r="I3531" s="485">
        <f>IF(H3531="free",0,IF(H3531="credit",((E3531*(F3531))*G3531*-1),IF(F3531="Buy",(E3531*G3531),((E3531*(1-F3531))*G3531))))</f>
        <v>0</v>
      </c>
      <c r="J3531" s="485">
        <f>IF(H3531="warranty",0,(I3531*(_xlfn.SINGLE(SalesTaxPercentage))))</f>
        <v>0</v>
      </c>
      <c r="K3531" s="715">
        <f t="shared" ref="K3531" si="2695">I3531+J3531</f>
        <v>0</v>
      </c>
      <c r="L3531" s="715"/>
      <c r="M3531" s="689" t="str">
        <f ca="1">IF(AND(G3531&gt;0,E3531=0),"WARNING - no PRICE inserted",IF(H3531="free","FREE ~ no charge this plant",IF(H3531="credit",CONCATENATE("-$",ROUND(K3531*(1-_xlfn.SINGLE(T2GDiscount))*-1,2)," CREDIT after discount"),IF(_xlfn.SINGLE(T2GDiscount)=0,"",IF(G3531=0,"",IF(F3531="Buy",CONCATENATE("$",ROUND(K3531*(1-_xlfn.SINGLE(T2GDiscount)),2)," with ",(_xlfn.SINGLE(T2GDiscount)*100),"% discount"),CONCATENATE("$",ROUND(K3531*(1-_xlfn.SINGLE(T2GDiscount)),2)," with ",((_xlfn.SINGLE(T2GDiscount)*100+F3531*100)-(_xlfn.SINGLE(T2GDiscount)*100*F3531)),IF(F3531&gt;0,"% discounts",IF(_xlfn.SINGLE(NoWarrantyDiscount)&gt;0,"% discounts","% discount")))))))))</f>
        <v/>
      </c>
      <c r="N3531" s="690"/>
      <c r="O3531" s="486"/>
      <c r="P3531" s="486"/>
      <c r="Q3531" s="486"/>
      <c r="R3531" s="486"/>
      <c r="S3531" s="486"/>
      <c r="T3531" s="102">
        <f t="shared" si="2660"/>
        <v>0</v>
      </c>
      <c r="U3531" s="78">
        <f>IF(NOT(ISNUMBER(G3531)), "", VLOOKUP(A3531,'Discount Lookup'!D:E,2,FALSE)*G3531)</f>
        <v>0</v>
      </c>
      <c r="V3531" s="78">
        <f>IF(NOT(ISNUMBER(G3531)), "", VLOOKUP(A3531,'Discount Lookup'!G:H,2,FALSE)*G3531)</f>
        <v>0</v>
      </c>
      <c r="W3531" s="102">
        <f t="shared" si="2661"/>
        <v>0</v>
      </c>
      <c r="X3531" s="102">
        <f t="shared" si="2662"/>
        <v>0</v>
      </c>
      <c r="Y3531" s="120" t="b">
        <f t="shared" si="2663"/>
        <v>0</v>
      </c>
      <c r="Z3531" s="117">
        <f t="shared" si="2664"/>
        <v>0</v>
      </c>
      <c r="AA3531" s="118"/>
      <c r="AB3531" s="118" t="str">
        <f t="shared" si="2665"/>
        <v/>
      </c>
      <c r="AC3531" s="712" t="str">
        <f>IF(AE3531="T2G","no charge",IF(AND(OR(PlanterYesMe="No",PlanterYesMe="N",PlanterYesMe="me"),H3531=""),"",IF(H3531="credit","NO install",IF(AND(K3531="",AE3531="me"),"EACH row",IF(AND(K3531="images",AE3531="me"),"EACH row",IF(D3531="","",IF(H3531="credit","",IF(AE3531="free","re-planting",IF(AE3531="me","   not ELP, by",IF(AND(OR(PlanterYesMe="Yes",PlanterYesMe="Y"),G3531&gt;0),(VLOOKUP(A3531,'Discount Lookup'!J:K,2)*G3531*(1-PlanterDiscount)*(1+PlanterDifficultyPercentage)),IF(AE3531="ELP",(VLOOKUP(A3531,'Discount Lookup'!J:K,2)*G3531*(1-PlanterDiscount)*(1+PlanterDifficultyPercentage)),IF(AE3531="free","re-planting",IF(G3531=0,"",IF(PlanterYesMe="",IF(AE3531="me","   not ELP, by",IF(AE3531="",IF(G3531&gt;0,(VLOOKUP(A3531,'Discount Lookup'!J:K,2)*G3531*(1-PlanterDiscount)*(1+PlanterDifficultyPercentage)),""),"")),"   not ELP, by"))))))))))))))</f>
        <v/>
      </c>
      <c r="AD3531" s="712"/>
      <c r="AE3531" s="513" t="str">
        <f t="shared" si="2666"/>
        <v/>
      </c>
      <c r="AF3531" s="713" t="str">
        <f t="shared" si="2667"/>
        <v/>
      </c>
      <c r="AG3531" s="713"/>
      <c r="AH3531" s="713"/>
      <c r="AI3531" s="112">
        <f>IF(H3531="credit",0,IF(AE3531="free",0,IF(AE3531="me",0,IF(G3531&gt;0,(VLOOKUP(A3531,'Discount Lookup'!J:K,2)*G3531),0))))</f>
        <v>0</v>
      </c>
      <c r="AJ3531" s="107" t="str">
        <f t="shared" ca="1" si="2668"/>
        <v/>
      </c>
      <c r="AK3531" s="714" t="str">
        <f t="shared" si="2669"/>
        <v/>
      </c>
      <c r="AL3531" s="714"/>
      <c r="AM3531" s="114" t="str">
        <f t="shared" si="2670"/>
        <v/>
      </c>
      <c r="AN3531" s="115"/>
      <c r="AO3531" s="116"/>
      <c r="AP3531" s="116"/>
      <c r="AQ3531" s="116"/>
      <c r="AR3531" s="116"/>
      <c r="AS3531" s="116"/>
      <c r="AT3531" s="116"/>
      <c r="AU3531" s="116"/>
      <c r="AV3531" s="78"/>
      <c r="AW3531" s="102"/>
      <c r="AX3531" s="78"/>
      <c r="AY3531" s="78"/>
      <c r="AZ3531" s="78"/>
      <c r="BA3531" s="78"/>
      <c r="BB3531" s="78"/>
      <c r="BC3531" s="78"/>
      <c r="BD3531" s="78"/>
      <c r="BE3531" s="465"/>
      <c r="BF3531" s="165" t="str">
        <f t="shared" si="2671"/>
        <v>https://www.google.com/search?tbm=isch&amp;q=3%20G2</v>
      </c>
      <c r="BG3531" s="165" t="str">
        <f t="shared" si="2672"/>
        <v>R</v>
      </c>
      <c r="BH3531" s="65"/>
      <c r="BI3531" s="65"/>
      <c r="BJ3531" s="65"/>
      <c r="BK3531" s="65"/>
      <c r="BL3531" s="99"/>
      <c r="BM3531" s="99"/>
      <c r="BN3531" s="99"/>
    </row>
    <row r="3532" spans="1:66" s="51" customFormat="1" ht="17.25" thickBot="1" x14ac:dyDescent="0.3">
      <c r="A3532" s="508" t="s">
        <v>3974</v>
      </c>
      <c r="B3532" s="487"/>
      <c r="C3532" s="707"/>
      <c r="D3532" s="487"/>
      <c r="E3532" s="487"/>
      <c r="F3532" s="488"/>
      <c r="G3532" s="489"/>
      <c r="H3532" s="487"/>
      <c r="I3532" s="490"/>
      <c r="J3532" s="490"/>
      <c r="K3532" s="491"/>
      <c r="L3532" s="547"/>
      <c r="M3532" s="528"/>
      <c r="N3532" s="492"/>
      <c r="O3532" s="493"/>
      <c r="P3532" s="494"/>
      <c r="Q3532" s="492"/>
      <c r="R3532" s="492"/>
      <c r="S3532" s="699" t="s">
        <v>5248</v>
      </c>
      <c r="T3532" s="102">
        <f t="shared" si="2660"/>
        <v>0</v>
      </c>
      <c r="U3532" s="78" t="str">
        <f>IF(NOT(ISNUMBER(G3532)), "", VLOOKUP(A3532,'Discount Lookup'!D:E,2,FALSE)*G3532)</f>
        <v/>
      </c>
      <c r="V3532" s="78" t="str">
        <f>IF(NOT(ISNUMBER(G3532)), "", VLOOKUP(A3532,'Discount Lookup'!G:H,2,FALSE)*G3532)</f>
        <v/>
      </c>
      <c r="W3532" s="102">
        <f t="shared" si="2661"/>
        <v>0</v>
      </c>
      <c r="X3532" s="102">
        <f t="shared" si="2662"/>
        <v>0</v>
      </c>
      <c r="Y3532" s="120" t="b">
        <f t="shared" si="2663"/>
        <v>0</v>
      </c>
      <c r="Z3532" s="117">
        <f t="shared" si="2664"/>
        <v>0</v>
      </c>
      <c r="AA3532" s="118"/>
      <c r="AB3532" s="118" t="str">
        <f t="shared" si="2665"/>
        <v/>
      </c>
      <c r="AC3532" s="712" t="str">
        <f>IF(AE3532="T2G","no charge",IF(AND(OR(PlanterYesMe="No",PlanterYesMe="N",PlanterYesMe="me"),H3532=""),"",IF(H3532="credit","NO install",IF(AND(K3532="",AE3532="me"),"EACH row",IF(AND(K3532="images",AE3532="me"),"EACH row",IF(D3532="","",IF(H3532="credit","",IF(AE3532="free","re-planting",IF(AE3532="me","   not ELP, by",IF(AND(OR(PlanterYesMe="Yes",PlanterYesMe="Y"),G3532&gt;0),(VLOOKUP(A3532,'Discount Lookup'!J:K,2)*G3532*(1-PlanterDiscount)*(1+PlanterDifficultyPercentage)),IF(AE3532="ELP",(VLOOKUP(A3532,'Discount Lookup'!J:K,2)*G3532*(1-PlanterDiscount)*(1+PlanterDifficultyPercentage)),IF(AE3532="free","re-planting",IF(G3532=0,"",IF(PlanterYesMe="",IF(AE3532="me","   not ELP, by",IF(AE3532="",IF(G3532&gt;0,(VLOOKUP(A3532,'Discount Lookup'!J:K,2)*G3532*(1-PlanterDiscount)*(1+PlanterDifficultyPercentage)),""),"")),"   not ELP, by"))))))))))))))</f>
        <v/>
      </c>
      <c r="AD3532" s="712"/>
      <c r="AE3532" s="513" t="str">
        <f t="shared" si="2666"/>
        <v/>
      </c>
      <c r="AF3532" s="713" t="str">
        <f t="shared" si="2667"/>
        <v/>
      </c>
      <c r="AG3532" s="713"/>
      <c r="AH3532" s="713"/>
      <c r="AI3532" s="112">
        <f>IF(H3532="credit",0,IF(AE3532="free",0,IF(AE3532="me",0,IF(G3532&gt;0,(VLOOKUP(A3532,'Discount Lookup'!J:K,2)*G3532),0))))</f>
        <v>0</v>
      </c>
      <c r="AJ3532" s="107" t="str">
        <f t="shared" ca="1" si="2668"/>
        <v/>
      </c>
      <c r="AK3532" s="714" t="str">
        <f t="shared" si="2669"/>
        <v/>
      </c>
      <c r="AL3532" s="714"/>
      <c r="AM3532" s="114" t="str">
        <f t="shared" si="2670"/>
        <v/>
      </c>
      <c r="AN3532" s="115"/>
      <c r="AO3532" s="116"/>
      <c r="AP3532" s="116"/>
      <c r="AQ3532" s="116"/>
      <c r="AR3532" s="116"/>
      <c r="AS3532" s="116"/>
      <c r="AT3532" s="116"/>
      <c r="AU3532" s="116"/>
      <c r="AV3532" s="78"/>
      <c r="AW3532" s="102"/>
      <c r="AX3532" s="78"/>
      <c r="AY3532" s="78"/>
      <c r="AZ3532" s="78"/>
      <c r="BA3532" s="78"/>
      <c r="BB3532" s="78"/>
      <c r="BC3532" s="78"/>
      <c r="BD3532" s="78"/>
      <c r="BE3532" s="465"/>
      <c r="BF3532" s="165" t="str">
        <f t="shared" si="2671"/>
        <v>https://www.google.com/search?tbm=isch&amp;q=All%20Encores%20are%20repeat%20bloomers%2C%20in%20spring%2C%20late%20summer%2C%20and%20fall.%20Dark%20Green%20foliage%2C%20with%20a%20Reddish-Bronzy%20winter%20cast%20</v>
      </c>
      <c r="BG3532" s="165" t="str">
        <f t="shared" si="2672"/>
        <v>A</v>
      </c>
      <c r="BH3532" s="65"/>
      <c r="BI3532" s="65"/>
      <c r="BJ3532" s="65"/>
      <c r="BK3532" s="65"/>
      <c r="BL3532" s="99"/>
      <c r="BM3532" s="99"/>
      <c r="BN3532" s="99"/>
    </row>
    <row r="3533" spans="1:66" s="51" customFormat="1" ht="18" x14ac:dyDescent="0.25">
      <c r="A3533" s="507" t="s">
        <v>5756</v>
      </c>
      <c r="B3533" s="470"/>
      <c r="C3533" s="706"/>
      <c r="D3533" s="471" t="s">
        <v>5757</v>
      </c>
      <c r="E3533" s="472"/>
      <c r="F3533" s="472"/>
      <c r="G3533" s="472"/>
      <c r="H3533" s="622" t="s">
        <v>3978</v>
      </c>
      <c r="I3533" s="473" t="s">
        <v>3979</v>
      </c>
      <c r="J3533" s="472"/>
      <c r="K3533" s="472"/>
      <c r="L3533" s="561"/>
      <c r="M3533" s="698" t="s">
        <v>5246</v>
      </c>
      <c r="N3533" s="692" t="str">
        <f>IF(AND(ISTEXT($A3533), ISERROR($A3533+0)), HYPERLINK($BF3533, "Images"), "")</f>
        <v>Images</v>
      </c>
      <c r="O3533" s="694" t="s">
        <v>5264</v>
      </c>
      <c r="P3533" s="475"/>
      <c r="Q3533" s="476"/>
      <c r="R3533" s="476"/>
      <c r="S3533" s="477"/>
      <c r="T3533" s="102">
        <f t="shared" si="2660"/>
        <v>0</v>
      </c>
      <c r="U3533" s="78" t="str">
        <f>IF(NOT(ISNUMBER(G3533)), "", VLOOKUP(A3533,'Discount Lookup'!D:E,2,FALSE)*G3533)</f>
        <v/>
      </c>
      <c r="V3533" s="78" t="str">
        <f>IF(NOT(ISNUMBER(G3533)), "", VLOOKUP(A3533,'Discount Lookup'!G:H,2,FALSE)*G3533)</f>
        <v/>
      </c>
      <c r="W3533" s="102">
        <f t="shared" si="2661"/>
        <v>0</v>
      </c>
      <c r="X3533" s="102" t="str">
        <f t="shared" si="2662"/>
        <v>Royal Purple bloom</v>
      </c>
      <c r="Y3533" s="120" t="b">
        <f t="shared" si="2663"/>
        <v>0</v>
      </c>
      <c r="Z3533" s="117">
        <f t="shared" si="2664"/>
        <v>0</v>
      </c>
      <c r="AA3533" s="118"/>
      <c r="AB3533" s="118" t="str">
        <f t="shared" si="2665"/>
        <v/>
      </c>
      <c r="AC3533" s="712" t="str">
        <f>IF(AE3533="T2G","no charge",IF(AND(OR(PlanterYesMe="No",PlanterYesMe="N",PlanterYesMe="me"),H3533=""),"",IF(H3533="credit","NO install",IF(AND(K3533="",AE3533="me"),"EACH row",IF(AND(K3533="images",AE3533="me"),"EACH row",IF(D3533="","",IF(H3533="credit","",IF(AE3533="free","re-planting",IF(AE3533="me","   not ELP, by",IF(AND(OR(PlanterYesMe="Yes",PlanterYesMe="Y"),G3533&gt;0),(VLOOKUP(A3533,'Discount Lookup'!J:K,2)*G3533*(1-PlanterDiscount)*(1+PlanterDifficultyPercentage)),IF(AE3533="ELP",(VLOOKUP(A3533,'Discount Lookup'!J:K,2)*G3533*(1-PlanterDiscount)*(1+PlanterDifficultyPercentage)),IF(AE3533="free","re-planting",IF(G3533=0,"",IF(PlanterYesMe="",IF(AE3533="me","   not ELP, by",IF(AE3533="",IF(G3533&gt;0,(VLOOKUP(A3533,'Discount Lookup'!J:K,2)*G3533*(1-PlanterDiscount)*(1+PlanterDifficultyPercentage)),""),"")),"   not ELP, by"))))))))))))))</f>
        <v/>
      </c>
      <c r="AD3533" s="712"/>
      <c r="AE3533" s="513" t="str">
        <f t="shared" si="2666"/>
        <v/>
      </c>
      <c r="AF3533" s="713" t="str">
        <f t="shared" si="2667"/>
        <v/>
      </c>
      <c r="AG3533" s="713"/>
      <c r="AH3533" s="713"/>
      <c r="AI3533" s="112">
        <f>IF(H3533="credit",0,IF(AE3533="free",0,IF(AE3533="me",0,IF(G3533&gt;0,(VLOOKUP(A3533,'Discount Lookup'!J:K,2)*G3533),0))))</f>
        <v>0</v>
      </c>
      <c r="AJ3533" s="107" t="str">
        <f t="shared" ca="1" si="2668"/>
        <v/>
      </c>
      <c r="AK3533" s="714" t="str">
        <f t="shared" si="2669"/>
        <v/>
      </c>
      <c r="AL3533" s="714"/>
      <c r="AM3533" s="114" t="str">
        <f t="shared" si="2670"/>
        <v/>
      </c>
      <c r="AN3533" s="115"/>
      <c r="AO3533" s="116"/>
      <c r="AP3533" s="116"/>
      <c r="AQ3533" s="116"/>
      <c r="AR3533" s="116"/>
      <c r="AS3533" s="116"/>
      <c r="AT3533" s="116"/>
      <c r="AU3533" s="116"/>
      <c r="AV3533" s="78"/>
      <c r="AW3533" s="102"/>
      <c r="AX3533" s="78"/>
      <c r="AY3533" s="78"/>
      <c r="AZ3533" s="78"/>
      <c r="BA3533" s="78"/>
      <c r="BB3533" s="78"/>
      <c r="BC3533" s="78"/>
      <c r="BD3533" s="78"/>
      <c r="BE3533" s="465"/>
      <c r="BF3533" s="165" t="str">
        <f t="shared" si="2671"/>
        <v>https://www.google.com/search?tbm=isch&amp;q=Rhod.%20Encore%C2%AE%20%27Conlec%27%20PP%2310580%20Autumn%20Royalty%C2%AE%20Encore%C2%AE%20Azalea</v>
      </c>
      <c r="BG3533" s="165" t="str">
        <f t="shared" si="2672"/>
        <v>R</v>
      </c>
      <c r="BH3533" s="65"/>
      <c r="BI3533" s="65"/>
      <c r="BJ3533" s="65"/>
      <c r="BK3533" s="65"/>
      <c r="BL3533" s="99"/>
      <c r="BM3533" s="99"/>
      <c r="BN3533" s="99"/>
    </row>
    <row r="3534" spans="1:66" s="51" customFormat="1" ht="15.75" x14ac:dyDescent="0.25">
      <c r="A3534" s="478">
        <v>3</v>
      </c>
      <c r="B3534" s="479" t="s">
        <v>291</v>
      </c>
      <c r="C3534" s="480" t="s">
        <v>3980</v>
      </c>
      <c r="D3534" s="481" t="s">
        <v>329</v>
      </c>
      <c r="E3534" s="482">
        <v>29.95</v>
      </c>
      <c r="F3534" s="483" t="s">
        <v>292</v>
      </c>
      <c r="G3534" s="484">
        <v>0</v>
      </c>
      <c r="H3534" s="688" t="str">
        <f>IF(G3534=0,"",IF(F3534="Buy",IF(G3534=1,"plant","plants"),IF(F3534&gt;0.01,"warranty","Error")))</f>
        <v/>
      </c>
      <c r="I3534" s="485">
        <f>IF(H3534="free",0,IF(H3534="credit",((E3534*(F3534))*G3534*-1),IF(F3534="Buy",(E3534*G3534),((E3534*(1-F3534))*G3534))))</f>
        <v>0</v>
      </c>
      <c r="J3534" s="485">
        <f>IF(H3534="warranty",0,(I3534*(_xlfn.SINGLE(SalesTaxPercentage))))</f>
        <v>0</v>
      </c>
      <c r="K3534" s="715">
        <f t="shared" ref="K3534" si="2696">I3534+J3534</f>
        <v>0</v>
      </c>
      <c r="L3534" s="715"/>
      <c r="M3534" s="689" t="str">
        <f ca="1">IF(AND(G3534&gt;0,E3534=0),"WARNING - no PRICE inserted",IF(H3534="free","FREE ~ no charge this plant",IF(H3534="credit",CONCATENATE("-$",ROUND(K3534*(1-_xlfn.SINGLE(T2GDiscount))*-1,2)," CREDIT after discount"),IF(_xlfn.SINGLE(T2GDiscount)=0,"",IF(G3534=0,"",IF(F3534="Buy",CONCATENATE("$",ROUND(K3534*(1-_xlfn.SINGLE(T2GDiscount)),2)," with ",(_xlfn.SINGLE(T2GDiscount)*100),"% discount"),CONCATENATE("$",ROUND(K3534*(1-_xlfn.SINGLE(T2GDiscount)),2)," with ",((_xlfn.SINGLE(T2GDiscount)*100+F3534*100)-(_xlfn.SINGLE(T2GDiscount)*100*F3534)),IF(F3534&gt;0,"% discounts",IF(_xlfn.SINGLE(NoWarrantyDiscount)&gt;0,"% discounts","% discount")))))))))</f>
        <v/>
      </c>
      <c r="N3534" s="690"/>
      <c r="O3534" s="486"/>
      <c r="P3534" s="486"/>
      <c r="Q3534" s="486"/>
      <c r="R3534" s="486"/>
      <c r="S3534" s="486"/>
      <c r="T3534" s="102">
        <f t="shared" si="2660"/>
        <v>0</v>
      </c>
      <c r="U3534" s="78">
        <f>IF(NOT(ISNUMBER(G3534)), "", VLOOKUP(A3534,'Discount Lookup'!D:E,2,FALSE)*G3534)</f>
        <v>0</v>
      </c>
      <c r="V3534" s="78">
        <f>IF(NOT(ISNUMBER(G3534)), "", VLOOKUP(A3534,'Discount Lookup'!G:H,2,FALSE)*G3534)</f>
        <v>0</v>
      </c>
      <c r="W3534" s="102">
        <f t="shared" si="2661"/>
        <v>0</v>
      </c>
      <c r="X3534" s="102">
        <f t="shared" si="2662"/>
        <v>0</v>
      </c>
      <c r="Y3534" s="120" t="b">
        <f t="shared" si="2663"/>
        <v>0</v>
      </c>
      <c r="Z3534" s="117">
        <f t="shared" si="2664"/>
        <v>0</v>
      </c>
      <c r="AA3534" s="118"/>
      <c r="AB3534" s="118" t="str">
        <f t="shared" si="2665"/>
        <v/>
      </c>
      <c r="AC3534" s="712" t="str">
        <f>IF(AE3534="T2G","no charge",IF(AND(OR(PlanterYesMe="No",PlanterYesMe="N",PlanterYesMe="me"),H3534=""),"",IF(H3534="credit","NO install",IF(AND(K3534="",AE3534="me"),"EACH row",IF(AND(K3534="images",AE3534="me"),"EACH row",IF(D3534="","",IF(H3534="credit","",IF(AE3534="free","re-planting",IF(AE3534="me","   not ELP, by",IF(AND(OR(PlanterYesMe="Yes",PlanterYesMe="Y"),G3534&gt;0),(VLOOKUP(A3534,'Discount Lookup'!J:K,2)*G3534*(1-PlanterDiscount)*(1+PlanterDifficultyPercentage)),IF(AE3534="ELP",(VLOOKUP(A3534,'Discount Lookup'!J:K,2)*G3534*(1-PlanterDiscount)*(1+PlanterDifficultyPercentage)),IF(AE3534="free","re-planting",IF(G3534=0,"",IF(PlanterYesMe="",IF(AE3534="me","   not ELP, by",IF(AE3534="",IF(G3534&gt;0,(VLOOKUP(A3534,'Discount Lookup'!J:K,2)*G3534*(1-PlanterDiscount)*(1+PlanterDifficultyPercentage)),""),"")),"   not ELP, by"))))))))))))))</f>
        <v/>
      </c>
      <c r="AD3534" s="712"/>
      <c r="AE3534" s="513" t="str">
        <f t="shared" si="2666"/>
        <v/>
      </c>
      <c r="AF3534" s="713" t="str">
        <f t="shared" si="2667"/>
        <v/>
      </c>
      <c r="AG3534" s="713"/>
      <c r="AH3534" s="713"/>
      <c r="AI3534" s="112">
        <f>IF(H3534="credit",0,IF(AE3534="free",0,IF(AE3534="me",0,IF(G3534&gt;0,(VLOOKUP(A3534,'Discount Lookup'!J:K,2)*G3534),0))))</f>
        <v>0</v>
      </c>
      <c r="AJ3534" s="107" t="str">
        <f t="shared" ca="1" si="2668"/>
        <v/>
      </c>
      <c r="AK3534" s="714" t="str">
        <f t="shared" si="2669"/>
        <v/>
      </c>
      <c r="AL3534" s="714"/>
      <c r="AM3534" s="114" t="str">
        <f t="shared" si="2670"/>
        <v/>
      </c>
      <c r="AN3534" s="115"/>
      <c r="AO3534" s="116"/>
      <c r="AP3534" s="116"/>
      <c r="AQ3534" s="116"/>
      <c r="AR3534" s="116"/>
      <c r="AS3534" s="116"/>
      <c r="AT3534" s="116"/>
      <c r="AU3534" s="116"/>
      <c r="AV3534" s="78"/>
      <c r="AW3534" s="102"/>
      <c r="AX3534" s="78"/>
      <c r="AY3534" s="78"/>
      <c r="AZ3534" s="78"/>
      <c r="BA3534" s="78"/>
      <c r="BB3534" s="78"/>
      <c r="BC3534" s="78"/>
      <c r="BD3534" s="78"/>
      <c r="BE3534" s="465"/>
      <c r="BF3534" s="165" t="str">
        <f t="shared" si="2671"/>
        <v>https://www.google.com/search?tbm=isch&amp;q=3%20G2</v>
      </c>
      <c r="BG3534" s="165" t="str">
        <f t="shared" si="2672"/>
        <v>R</v>
      </c>
      <c r="BH3534" s="65"/>
      <c r="BI3534" s="65"/>
      <c r="BJ3534" s="65"/>
      <c r="BK3534" s="65"/>
      <c r="BL3534" s="99"/>
      <c r="BM3534" s="99"/>
      <c r="BN3534" s="99"/>
    </row>
    <row r="3535" spans="1:66" s="51" customFormat="1" ht="17.25" thickBot="1" x14ac:dyDescent="0.3">
      <c r="A3535" s="508" t="s">
        <v>3974</v>
      </c>
      <c r="B3535" s="487"/>
      <c r="C3535" s="707"/>
      <c r="D3535" s="487"/>
      <c r="E3535" s="487"/>
      <c r="F3535" s="488"/>
      <c r="G3535" s="489"/>
      <c r="H3535" s="487"/>
      <c r="I3535" s="490"/>
      <c r="J3535" s="490"/>
      <c r="K3535" s="491"/>
      <c r="L3535" s="547"/>
      <c r="M3535" s="528"/>
      <c r="N3535" s="492"/>
      <c r="O3535" s="493"/>
      <c r="P3535" s="494"/>
      <c r="Q3535" s="492"/>
      <c r="R3535" s="492"/>
      <c r="S3535" s="699" t="s">
        <v>5248</v>
      </c>
      <c r="T3535" s="102">
        <f t="shared" si="2660"/>
        <v>0</v>
      </c>
      <c r="U3535" s="78" t="str">
        <f>IF(NOT(ISNUMBER(G3535)), "", VLOOKUP(A3535,'Discount Lookup'!D:E,2,FALSE)*G3535)</f>
        <v/>
      </c>
      <c r="V3535" s="78" t="str">
        <f>IF(NOT(ISNUMBER(G3535)), "", VLOOKUP(A3535,'Discount Lookup'!G:H,2,FALSE)*G3535)</f>
        <v/>
      </c>
      <c r="W3535" s="102">
        <f t="shared" si="2661"/>
        <v>0</v>
      </c>
      <c r="X3535" s="102">
        <f t="shared" si="2662"/>
        <v>0</v>
      </c>
      <c r="Y3535" s="120" t="b">
        <f t="shared" si="2663"/>
        <v>0</v>
      </c>
      <c r="Z3535" s="117">
        <f t="shared" si="2664"/>
        <v>0</v>
      </c>
      <c r="AA3535" s="118"/>
      <c r="AB3535" s="118" t="str">
        <f t="shared" si="2665"/>
        <v/>
      </c>
      <c r="AC3535" s="712" t="str">
        <f>IF(AE3535="T2G","no charge",IF(AND(OR(PlanterYesMe="No",PlanterYesMe="N",PlanterYesMe="me"),H3535=""),"",IF(H3535="credit","NO install",IF(AND(K3535="",AE3535="me"),"EACH row",IF(AND(K3535="images",AE3535="me"),"EACH row",IF(D3535="","",IF(H3535="credit","",IF(AE3535="free","re-planting",IF(AE3535="me","   not ELP, by",IF(AND(OR(PlanterYesMe="Yes",PlanterYesMe="Y"),G3535&gt;0),(VLOOKUP(A3535,'Discount Lookup'!J:K,2)*G3535*(1-PlanterDiscount)*(1+PlanterDifficultyPercentage)),IF(AE3535="ELP",(VLOOKUP(A3535,'Discount Lookup'!J:K,2)*G3535*(1-PlanterDiscount)*(1+PlanterDifficultyPercentage)),IF(AE3535="free","re-planting",IF(G3535=0,"",IF(PlanterYesMe="",IF(AE3535="me","   not ELP, by",IF(AE3535="",IF(G3535&gt;0,(VLOOKUP(A3535,'Discount Lookup'!J:K,2)*G3535*(1-PlanterDiscount)*(1+PlanterDifficultyPercentage)),""),"")),"   not ELP, by"))))))))))))))</f>
        <v/>
      </c>
      <c r="AD3535" s="712"/>
      <c r="AE3535" s="513" t="str">
        <f t="shared" si="2666"/>
        <v/>
      </c>
      <c r="AF3535" s="713" t="str">
        <f t="shared" si="2667"/>
        <v/>
      </c>
      <c r="AG3535" s="713"/>
      <c r="AH3535" s="713"/>
      <c r="AI3535" s="112">
        <f>IF(H3535="credit",0,IF(AE3535="free",0,IF(AE3535="me",0,IF(G3535&gt;0,(VLOOKUP(A3535,'Discount Lookup'!J:K,2)*G3535),0))))</f>
        <v>0</v>
      </c>
      <c r="AJ3535" s="107" t="str">
        <f t="shared" ca="1" si="2668"/>
        <v/>
      </c>
      <c r="AK3535" s="714" t="str">
        <f t="shared" si="2669"/>
        <v/>
      </c>
      <c r="AL3535" s="714"/>
      <c r="AM3535" s="114" t="str">
        <f t="shared" si="2670"/>
        <v/>
      </c>
      <c r="AN3535" s="115"/>
      <c r="AO3535" s="116"/>
      <c r="AP3535" s="116"/>
      <c r="AQ3535" s="116"/>
      <c r="AR3535" s="116"/>
      <c r="AS3535" s="116"/>
      <c r="AT3535" s="116"/>
      <c r="AU3535" s="116"/>
      <c r="AV3535" s="78"/>
      <c r="AW3535" s="102"/>
      <c r="AX3535" s="78"/>
      <c r="AY3535" s="78"/>
      <c r="AZ3535" s="78"/>
      <c r="BA3535" s="78"/>
      <c r="BB3535" s="78"/>
      <c r="BC3535" s="78"/>
      <c r="BD3535" s="78"/>
      <c r="BE3535" s="465"/>
      <c r="BF3535" s="165" t="str">
        <f t="shared" si="2671"/>
        <v>https://www.google.com/search?tbm=isch&amp;q=All%20Encores%20are%20repeat%20bloomers%2C%20in%20spring%2C%20late%20summer%2C%20and%20fall.%20Dark%20Green%20foliage%2C%20with%20a%20Reddish-Bronzy%20winter%20cast%20</v>
      </c>
      <c r="BG3535" s="165" t="str">
        <f t="shared" si="2672"/>
        <v>A</v>
      </c>
      <c r="BH3535" s="65"/>
      <c r="BI3535" s="65"/>
      <c r="BJ3535" s="65"/>
      <c r="BK3535" s="65"/>
      <c r="BL3535" s="99"/>
      <c r="BM3535" s="99"/>
      <c r="BN3535" s="99"/>
    </row>
    <row r="3536" spans="1:66" s="51" customFormat="1" ht="18" x14ac:dyDescent="0.25">
      <c r="A3536" s="507" t="s">
        <v>5758</v>
      </c>
      <c r="B3536" s="470"/>
      <c r="C3536" s="706"/>
      <c r="D3536" s="471" t="s">
        <v>5759</v>
      </c>
      <c r="E3536" s="472"/>
      <c r="F3536" s="472"/>
      <c r="G3536" s="472"/>
      <c r="H3536" s="622" t="s">
        <v>3981</v>
      </c>
      <c r="I3536" s="473" t="s">
        <v>3982</v>
      </c>
      <c r="J3536" s="472"/>
      <c r="K3536" s="472"/>
      <c r="L3536" s="561"/>
      <c r="M3536" s="698" t="s">
        <v>5246</v>
      </c>
      <c r="N3536" s="692" t="str">
        <f>IF(AND(ISTEXT($A3536), ISERROR($A3536+0)), HYPERLINK($BF3536, "Images"), "")</f>
        <v>Images</v>
      </c>
      <c r="O3536" s="694" t="s">
        <v>5264</v>
      </c>
      <c r="P3536" s="475"/>
      <c r="Q3536" s="476"/>
      <c r="R3536" s="476"/>
      <c r="S3536" s="477"/>
      <c r="T3536" s="102">
        <f t="shared" si="2660"/>
        <v>0</v>
      </c>
      <c r="U3536" s="78" t="str">
        <f>IF(NOT(ISNUMBER(G3536)), "", VLOOKUP(A3536,'Discount Lookup'!D:E,2,FALSE)*G3536)</f>
        <v/>
      </c>
      <c r="V3536" s="78" t="str">
        <f>IF(NOT(ISNUMBER(G3536)), "", VLOOKUP(A3536,'Discount Lookup'!G:H,2,FALSE)*G3536)</f>
        <v/>
      </c>
      <c r="W3536" s="102">
        <f t="shared" si="2661"/>
        <v>0</v>
      </c>
      <c r="X3536" s="102" t="str">
        <f t="shared" si="2662"/>
        <v>Coral Pink, Fuchsia center</v>
      </c>
      <c r="Y3536" s="120" t="b">
        <f t="shared" si="2663"/>
        <v>0</v>
      </c>
      <c r="Z3536" s="117">
        <f t="shared" si="2664"/>
        <v>0</v>
      </c>
      <c r="AA3536" s="118"/>
      <c r="AB3536" s="118" t="str">
        <f t="shared" si="2665"/>
        <v/>
      </c>
      <c r="AC3536" s="712" t="str">
        <f>IF(AE3536="T2G","no charge",IF(AND(OR(PlanterYesMe="No",PlanterYesMe="N",PlanterYesMe="me"),H3536=""),"",IF(H3536="credit","NO install",IF(AND(K3536="",AE3536="me"),"EACH row",IF(AND(K3536="images",AE3536="me"),"EACH row",IF(D3536="","",IF(H3536="credit","",IF(AE3536="free","re-planting",IF(AE3536="me","   not ELP, by",IF(AND(OR(PlanterYesMe="Yes",PlanterYesMe="Y"),G3536&gt;0),(VLOOKUP(A3536,'Discount Lookup'!J:K,2)*G3536*(1-PlanterDiscount)*(1+PlanterDifficultyPercentage)),IF(AE3536="ELP",(VLOOKUP(A3536,'Discount Lookup'!J:K,2)*G3536*(1-PlanterDiscount)*(1+PlanterDifficultyPercentage)),IF(AE3536="free","re-planting",IF(G3536=0,"",IF(PlanterYesMe="",IF(AE3536="me","   not ELP, by",IF(AE3536="",IF(G3536&gt;0,(VLOOKUP(A3536,'Discount Lookup'!J:K,2)*G3536*(1-PlanterDiscount)*(1+PlanterDifficultyPercentage)),""),"")),"   not ELP, by"))))))))))))))</f>
        <v/>
      </c>
      <c r="AD3536" s="712"/>
      <c r="AE3536" s="513" t="str">
        <f t="shared" si="2666"/>
        <v/>
      </c>
      <c r="AF3536" s="713" t="str">
        <f t="shared" si="2667"/>
        <v/>
      </c>
      <c r="AG3536" s="713"/>
      <c r="AH3536" s="713"/>
      <c r="AI3536" s="112">
        <f>IF(H3536="credit",0,IF(AE3536="free",0,IF(AE3536="me",0,IF(G3536&gt;0,(VLOOKUP(A3536,'Discount Lookup'!J:K,2)*G3536),0))))</f>
        <v>0</v>
      </c>
      <c r="AJ3536" s="107" t="str">
        <f t="shared" ca="1" si="2668"/>
        <v/>
      </c>
      <c r="AK3536" s="714" t="str">
        <f t="shared" si="2669"/>
        <v/>
      </c>
      <c r="AL3536" s="714"/>
      <c r="AM3536" s="114" t="str">
        <f t="shared" si="2670"/>
        <v/>
      </c>
      <c r="AN3536" s="115"/>
      <c r="AO3536" s="116"/>
      <c r="AP3536" s="116"/>
      <c r="AQ3536" s="116"/>
      <c r="AR3536" s="116"/>
      <c r="AS3536" s="116"/>
      <c r="AT3536" s="116"/>
      <c r="AU3536" s="116"/>
      <c r="AV3536" s="78"/>
      <c r="AW3536" s="102"/>
      <c r="AX3536" s="78"/>
      <c r="AY3536" s="78"/>
      <c r="AZ3536" s="78"/>
      <c r="BA3536" s="78"/>
      <c r="BB3536" s="78"/>
      <c r="BC3536" s="78"/>
      <c r="BD3536" s="78"/>
      <c r="BE3536" s="465"/>
      <c r="BF3536" s="165" t="str">
        <f t="shared" si="2671"/>
        <v>https://www.google.com/search?tbm=isch&amp;q=Rhod.%20Encore%C2%AE%20%27Conled%27%20PP%2310568%20Autumn%20Coral%C2%AE%20Encore%C2%AE%20Azalea</v>
      </c>
      <c r="BG3536" s="165" t="str">
        <f t="shared" si="2672"/>
        <v>R</v>
      </c>
      <c r="BH3536" s="65"/>
      <c r="BI3536" s="65"/>
      <c r="BJ3536" s="65"/>
      <c r="BK3536" s="65"/>
      <c r="BL3536" s="99"/>
      <c r="BM3536" s="99"/>
      <c r="BN3536" s="99"/>
    </row>
    <row r="3537" spans="1:66" s="51" customFormat="1" ht="15.75" x14ac:dyDescent="0.25">
      <c r="A3537" s="478">
        <v>3</v>
      </c>
      <c r="B3537" s="479" t="s">
        <v>291</v>
      </c>
      <c r="C3537" s="480" t="s">
        <v>5011</v>
      </c>
      <c r="D3537" s="481" t="s">
        <v>329</v>
      </c>
      <c r="E3537" s="482">
        <v>29.95</v>
      </c>
      <c r="F3537" s="483" t="s">
        <v>292</v>
      </c>
      <c r="G3537" s="484">
        <v>0</v>
      </c>
      <c r="H3537" s="688" t="str">
        <f>IF(G3537=0,"",IF(F3537="Buy",IF(G3537=1,"plant","plants"),IF(F3537&gt;0.01,"warranty","Error")))</f>
        <v/>
      </c>
      <c r="I3537" s="485">
        <f>IF(H3537="free",0,IF(H3537="credit",((E3537*(F3537))*G3537*-1),IF(F3537="Buy",(E3537*G3537),((E3537*(1-F3537))*G3537))))</f>
        <v>0</v>
      </c>
      <c r="J3537" s="485">
        <f>IF(H3537="warranty",0,(I3537*(_xlfn.SINGLE(SalesTaxPercentage))))</f>
        <v>0</v>
      </c>
      <c r="K3537" s="715">
        <f t="shared" ref="K3537" si="2697">I3537+J3537</f>
        <v>0</v>
      </c>
      <c r="L3537" s="715"/>
      <c r="M3537" s="689" t="str">
        <f ca="1">IF(AND(G3537&gt;0,E3537=0),"WARNING - no PRICE inserted",IF(H3537="free","FREE ~ no charge this plant",IF(H3537="credit",CONCATENATE("-$",ROUND(K3537*(1-_xlfn.SINGLE(T2GDiscount))*-1,2)," CREDIT after discount"),IF(_xlfn.SINGLE(T2GDiscount)=0,"",IF(G3537=0,"",IF(F3537="Buy",CONCATENATE("$",ROUND(K3537*(1-_xlfn.SINGLE(T2GDiscount)),2)," with ",(_xlfn.SINGLE(T2GDiscount)*100),"% discount"),CONCATENATE("$",ROUND(K3537*(1-_xlfn.SINGLE(T2GDiscount)),2)," with ",((_xlfn.SINGLE(T2GDiscount)*100+F3537*100)-(_xlfn.SINGLE(T2GDiscount)*100*F3537)),IF(F3537&gt;0,"% discounts",IF(_xlfn.SINGLE(NoWarrantyDiscount)&gt;0,"% discounts","% discount")))))))))</f>
        <v/>
      </c>
      <c r="N3537" s="690"/>
      <c r="O3537" s="486"/>
      <c r="P3537" s="486"/>
      <c r="Q3537" s="486"/>
      <c r="R3537" s="486"/>
      <c r="S3537" s="486"/>
      <c r="T3537" s="102">
        <f t="shared" si="2660"/>
        <v>0</v>
      </c>
      <c r="U3537" s="78">
        <f>IF(NOT(ISNUMBER(G3537)), "", VLOOKUP(A3537,'Discount Lookup'!D:E,2,FALSE)*G3537)</f>
        <v>0</v>
      </c>
      <c r="V3537" s="78">
        <f>IF(NOT(ISNUMBER(G3537)), "", VLOOKUP(A3537,'Discount Lookup'!G:H,2,FALSE)*G3537)</f>
        <v>0</v>
      </c>
      <c r="W3537" s="102">
        <f t="shared" si="2661"/>
        <v>0</v>
      </c>
      <c r="X3537" s="102">
        <f t="shared" si="2662"/>
        <v>0</v>
      </c>
      <c r="Y3537" s="120" t="b">
        <f t="shared" si="2663"/>
        <v>0</v>
      </c>
      <c r="Z3537" s="117">
        <f t="shared" si="2664"/>
        <v>0</v>
      </c>
      <c r="AA3537" s="118"/>
      <c r="AB3537" s="118" t="str">
        <f t="shared" si="2665"/>
        <v/>
      </c>
      <c r="AC3537" s="712" t="str">
        <f>IF(AE3537="T2G","no charge",IF(AND(OR(PlanterYesMe="No",PlanterYesMe="N",PlanterYesMe="me"),H3537=""),"",IF(H3537="credit","NO install",IF(AND(K3537="",AE3537="me"),"EACH row",IF(AND(K3537="images",AE3537="me"),"EACH row",IF(D3537="","",IF(H3537="credit","",IF(AE3537="free","re-planting",IF(AE3537="me","   not ELP, by",IF(AND(OR(PlanterYesMe="Yes",PlanterYesMe="Y"),G3537&gt;0),(VLOOKUP(A3537,'Discount Lookup'!J:K,2)*G3537*(1-PlanterDiscount)*(1+PlanterDifficultyPercentage)),IF(AE3537="ELP",(VLOOKUP(A3537,'Discount Lookup'!J:K,2)*G3537*(1-PlanterDiscount)*(1+PlanterDifficultyPercentage)),IF(AE3537="free","re-planting",IF(G3537=0,"",IF(PlanterYesMe="",IF(AE3537="me","   not ELP, by",IF(AE3537="",IF(G3537&gt;0,(VLOOKUP(A3537,'Discount Lookup'!J:K,2)*G3537*(1-PlanterDiscount)*(1+PlanterDifficultyPercentage)),""),"")),"   not ELP, by"))))))))))))))</f>
        <v/>
      </c>
      <c r="AD3537" s="712"/>
      <c r="AE3537" s="513" t="str">
        <f t="shared" si="2666"/>
        <v/>
      </c>
      <c r="AF3537" s="713" t="str">
        <f t="shared" si="2667"/>
        <v/>
      </c>
      <c r="AG3537" s="713"/>
      <c r="AH3537" s="713"/>
      <c r="AI3537" s="112">
        <f>IF(H3537="credit",0,IF(AE3537="free",0,IF(AE3537="me",0,IF(G3537&gt;0,(VLOOKUP(A3537,'Discount Lookup'!J:K,2)*G3537),0))))</f>
        <v>0</v>
      </c>
      <c r="AJ3537" s="107" t="str">
        <f t="shared" ca="1" si="2668"/>
        <v/>
      </c>
      <c r="AK3537" s="714" t="str">
        <f t="shared" si="2669"/>
        <v/>
      </c>
      <c r="AL3537" s="714"/>
      <c r="AM3537" s="114" t="str">
        <f t="shared" si="2670"/>
        <v/>
      </c>
      <c r="AN3537" s="115"/>
      <c r="AO3537" s="116"/>
      <c r="AP3537" s="116"/>
      <c r="AQ3537" s="116"/>
      <c r="AR3537" s="116"/>
      <c r="AS3537" s="116"/>
      <c r="AT3537" s="116"/>
      <c r="AU3537" s="116"/>
      <c r="AV3537" s="78"/>
      <c r="AW3537" s="102"/>
      <c r="AX3537" s="78"/>
      <c r="AY3537" s="78"/>
      <c r="AZ3537" s="78"/>
      <c r="BA3537" s="78"/>
      <c r="BB3537" s="78"/>
      <c r="BC3537" s="78"/>
      <c r="BD3537" s="78"/>
      <c r="BE3537" s="465"/>
      <c r="BF3537" s="165" t="str">
        <f t="shared" si="2671"/>
        <v>https://www.google.com/search?tbm=isch&amp;q=3%20G2</v>
      </c>
      <c r="BG3537" s="165" t="str">
        <f t="shared" si="2672"/>
        <v>R</v>
      </c>
      <c r="BH3537" s="65"/>
      <c r="BI3537" s="65"/>
      <c r="BJ3537" s="65"/>
      <c r="BK3537" s="65"/>
      <c r="BL3537" s="99"/>
      <c r="BM3537" s="99"/>
      <c r="BN3537" s="99"/>
    </row>
    <row r="3538" spans="1:66" s="51" customFormat="1" ht="17.25" thickBot="1" x14ac:dyDescent="0.3">
      <c r="A3538" s="508" t="s">
        <v>3974</v>
      </c>
      <c r="B3538" s="487"/>
      <c r="C3538" s="707"/>
      <c r="D3538" s="487"/>
      <c r="E3538" s="487"/>
      <c r="F3538" s="488"/>
      <c r="G3538" s="489"/>
      <c r="H3538" s="487"/>
      <c r="I3538" s="490"/>
      <c r="J3538" s="490"/>
      <c r="K3538" s="491"/>
      <c r="L3538" s="547"/>
      <c r="M3538" s="528"/>
      <c r="N3538" s="492"/>
      <c r="O3538" s="493"/>
      <c r="P3538" s="494"/>
      <c r="Q3538" s="492"/>
      <c r="R3538" s="492"/>
      <c r="S3538" s="699" t="s">
        <v>5248</v>
      </c>
      <c r="T3538" s="102">
        <f t="shared" si="2660"/>
        <v>0</v>
      </c>
      <c r="U3538" s="78" t="str">
        <f>IF(NOT(ISNUMBER(G3538)), "", VLOOKUP(A3538,'Discount Lookup'!D:E,2,FALSE)*G3538)</f>
        <v/>
      </c>
      <c r="V3538" s="78" t="str">
        <f>IF(NOT(ISNUMBER(G3538)), "", VLOOKUP(A3538,'Discount Lookup'!G:H,2,FALSE)*G3538)</f>
        <v/>
      </c>
      <c r="W3538" s="102">
        <f t="shared" si="2661"/>
        <v>0</v>
      </c>
      <c r="X3538" s="102">
        <f t="shared" si="2662"/>
        <v>0</v>
      </c>
      <c r="Y3538" s="120" t="b">
        <f t="shared" si="2663"/>
        <v>0</v>
      </c>
      <c r="Z3538" s="117">
        <f t="shared" si="2664"/>
        <v>0</v>
      </c>
      <c r="AA3538" s="118"/>
      <c r="AB3538" s="118" t="str">
        <f t="shared" si="2665"/>
        <v/>
      </c>
      <c r="AC3538" s="712" t="str">
        <f>IF(AE3538="T2G","no charge",IF(AND(OR(PlanterYesMe="No",PlanterYesMe="N",PlanterYesMe="me"),H3538=""),"",IF(H3538="credit","NO install",IF(AND(K3538="",AE3538="me"),"EACH row",IF(AND(K3538="images",AE3538="me"),"EACH row",IF(D3538="","",IF(H3538="credit","",IF(AE3538="free","re-planting",IF(AE3538="me","   not ELP, by",IF(AND(OR(PlanterYesMe="Yes",PlanterYesMe="Y"),G3538&gt;0),(VLOOKUP(A3538,'Discount Lookup'!J:K,2)*G3538*(1-PlanterDiscount)*(1+PlanterDifficultyPercentage)),IF(AE3538="ELP",(VLOOKUP(A3538,'Discount Lookup'!J:K,2)*G3538*(1-PlanterDiscount)*(1+PlanterDifficultyPercentage)),IF(AE3538="free","re-planting",IF(G3538=0,"",IF(PlanterYesMe="",IF(AE3538="me","   not ELP, by",IF(AE3538="",IF(G3538&gt;0,(VLOOKUP(A3538,'Discount Lookup'!J:K,2)*G3538*(1-PlanterDiscount)*(1+PlanterDifficultyPercentage)),""),"")),"   not ELP, by"))))))))))))))</f>
        <v/>
      </c>
      <c r="AD3538" s="712"/>
      <c r="AE3538" s="513" t="str">
        <f t="shared" si="2666"/>
        <v/>
      </c>
      <c r="AF3538" s="713" t="str">
        <f t="shared" si="2667"/>
        <v/>
      </c>
      <c r="AG3538" s="713"/>
      <c r="AH3538" s="713"/>
      <c r="AI3538" s="112">
        <f>IF(H3538="credit",0,IF(AE3538="free",0,IF(AE3538="me",0,IF(G3538&gt;0,(VLOOKUP(A3538,'Discount Lookup'!J:K,2)*G3538),0))))</f>
        <v>0</v>
      </c>
      <c r="AJ3538" s="107" t="str">
        <f t="shared" ca="1" si="2668"/>
        <v/>
      </c>
      <c r="AK3538" s="714" t="str">
        <f t="shared" si="2669"/>
        <v/>
      </c>
      <c r="AL3538" s="714"/>
      <c r="AM3538" s="114" t="str">
        <f t="shared" si="2670"/>
        <v/>
      </c>
      <c r="AN3538" s="115"/>
      <c r="AO3538" s="116"/>
      <c r="AP3538" s="116"/>
      <c r="AQ3538" s="116"/>
      <c r="AR3538" s="116"/>
      <c r="AS3538" s="116"/>
      <c r="AT3538" s="116"/>
      <c r="AU3538" s="116"/>
      <c r="AV3538" s="78"/>
      <c r="AW3538" s="102"/>
      <c r="AX3538" s="78"/>
      <c r="AY3538" s="78"/>
      <c r="AZ3538" s="78"/>
      <c r="BA3538" s="78"/>
      <c r="BB3538" s="78"/>
      <c r="BC3538" s="78"/>
      <c r="BD3538" s="78"/>
      <c r="BE3538" s="465"/>
      <c r="BF3538" s="165" t="str">
        <f t="shared" si="2671"/>
        <v>https://www.google.com/search?tbm=isch&amp;q=All%20Encores%20are%20repeat%20bloomers%2C%20in%20spring%2C%20late%20summer%2C%20and%20fall.%20Dark%20Green%20foliage%2C%20with%20a%20Reddish-Bronzy%20winter%20cast%20</v>
      </c>
      <c r="BG3538" s="165" t="str">
        <f t="shared" si="2672"/>
        <v>A</v>
      </c>
      <c r="BH3538" s="65"/>
      <c r="BI3538" s="65"/>
      <c r="BJ3538" s="65"/>
      <c r="BK3538" s="65"/>
      <c r="BL3538" s="99"/>
      <c r="BM3538" s="99"/>
      <c r="BN3538" s="99"/>
    </row>
    <row r="3539" spans="1:66" s="51" customFormat="1" ht="18" x14ac:dyDescent="0.25">
      <c r="A3539" s="507" t="s">
        <v>5760</v>
      </c>
      <c r="B3539" s="470"/>
      <c r="C3539" s="706"/>
      <c r="D3539" s="471" t="s">
        <v>5761</v>
      </c>
      <c r="E3539" s="472"/>
      <c r="F3539" s="472"/>
      <c r="G3539" s="472"/>
      <c r="H3539" s="622" t="s">
        <v>1124</v>
      </c>
      <c r="I3539" s="473" t="s">
        <v>3983</v>
      </c>
      <c r="J3539" s="472"/>
      <c r="K3539" s="472"/>
      <c r="L3539" s="561"/>
      <c r="M3539" s="698" t="s">
        <v>5246</v>
      </c>
      <c r="N3539" s="692" t="str">
        <f>IF(AND(ISTEXT($A3539), ISERROR($A3539+0)), HYPERLINK($BF3539, "Images"), "")</f>
        <v>Images</v>
      </c>
      <c r="O3539" s="694" t="s">
        <v>5264</v>
      </c>
      <c r="P3539" s="475"/>
      <c r="Q3539" s="476"/>
      <c r="R3539" s="476"/>
      <c r="S3539" s="477"/>
      <c r="T3539" s="102">
        <f t="shared" si="2660"/>
        <v>0</v>
      </c>
      <c r="U3539" s="78" t="str">
        <f>IF(NOT(ISNUMBER(G3539)), "", VLOOKUP(A3539,'Discount Lookup'!D:E,2,FALSE)*G3539)</f>
        <v/>
      </c>
      <c r="V3539" s="78" t="str">
        <f>IF(NOT(ISNUMBER(G3539)), "", VLOOKUP(A3539,'Discount Lookup'!G:H,2,FALSE)*G3539)</f>
        <v/>
      </c>
      <c r="W3539" s="102">
        <f t="shared" si="2661"/>
        <v>0</v>
      </c>
      <c r="X3539" s="102" t="str">
        <f t="shared" si="2662"/>
        <v>Lavender-Purple bloom</v>
      </c>
      <c r="Y3539" s="120" t="b">
        <f t="shared" si="2663"/>
        <v>0</v>
      </c>
      <c r="Z3539" s="117">
        <f t="shared" si="2664"/>
        <v>0</v>
      </c>
      <c r="AA3539" s="118"/>
      <c r="AB3539" s="118" t="str">
        <f t="shared" si="2665"/>
        <v/>
      </c>
      <c r="AC3539" s="712" t="str">
        <f>IF(AE3539="T2G","no charge",IF(AND(OR(PlanterYesMe="No",PlanterYesMe="N",PlanterYesMe="me"),H3539=""),"",IF(H3539="credit","NO install",IF(AND(K3539="",AE3539="me"),"EACH row",IF(AND(K3539="images",AE3539="me"),"EACH row",IF(D3539="","",IF(H3539="credit","",IF(AE3539="free","re-planting",IF(AE3539="me","   not ELP, by",IF(AND(OR(PlanterYesMe="Yes",PlanterYesMe="Y"),G3539&gt;0),(VLOOKUP(A3539,'Discount Lookup'!J:K,2)*G3539*(1-PlanterDiscount)*(1+PlanterDifficultyPercentage)),IF(AE3539="ELP",(VLOOKUP(A3539,'Discount Lookup'!J:K,2)*G3539*(1-PlanterDiscount)*(1+PlanterDifficultyPercentage)),IF(AE3539="free","re-planting",IF(G3539=0,"",IF(PlanterYesMe="",IF(AE3539="me","   not ELP, by",IF(AE3539="",IF(G3539&gt;0,(VLOOKUP(A3539,'Discount Lookup'!J:K,2)*G3539*(1-PlanterDiscount)*(1+PlanterDifficultyPercentage)),""),"")),"   not ELP, by"))))))))))))))</f>
        <v/>
      </c>
      <c r="AD3539" s="712"/>
      <c r="AE3539" s="513" t="str">
        <f t="shared" si="2666"/>
        <v/>
      </c>
      <c r="AF3539" s="713" t="str">
        <f t="shared" si="2667"/>
        <v/>
      </c>
      <c r="AG3539" s="713"/>
      <c r="AH3539" s="713"/>
      <c r="AI3539" s="112">
        <f>IF(H3539="credit",0,IF(AE3539="free",0,IF(AE3539="me",0,IF(G3539&gt;0,(VLOOKUP(A3539,'Discount Lookup'!J:K,2)*G3539),0))))</f>
        <v>0</v>
      </c>
      <c r="AJ3539" s="107" t="str">
        <f t="shared" ca="1" si="2668"/>
        <v/>
      </c>
      <c r="AK3539" s="714" t="str">
        <f t="shared" si="2669"/>
        <v/>
      </c>
      <c r="AL3539" s="714"/>
      <c r="AM3539" s="114" t="str">
        <f t="shared" si="2670"/>
        <v/>
      </c>
      <c r="AN3539" s="115"/>
      <c r="AO3539" s="116"/>
      <c r="AP3539" s="116"/>
      <c r="AQ3539" s="116"/>
      <c r="AR3539" s="116"/>
      <c r="AS3539" s="116"/>
      <c r="AT3539" s="116"/>
      <c r="AU3539" s="116"/>
      <c r="AV3539" s="78"/>
      <c r="AW3539" s="102"/>
      <c r="AX3539" s="78"/>
      <c r="AY3539" s="78"/>
      <c r="AZ3539" s="78"/>
      <c r="BA3539" s="78"/>
      <c r="BB3539" s="78"/>
      <c r="BC3539" s="78"/>
      <c r="BD3539" s="78"/>
      <c r="BE3539" s="465"/>
      <c r="BF3539" s="165" t="str">
        <f t="shared" si="2671"/>
        <v>https://www.google.com/search?tbm=isch&amp;q=Rhod.%20Encore%C2%AE%20%27Conlee%27%20PP%2310567%20Autumn%20Amethyst%C2%AE%20Encore%C2%AE%20Azalea</v>
      </c>
      <c r="BG3539" s="165" t="str">
        <f t="shared" si="2672"/>
        <v>R</v>
      </c>
      <c r="BH3539" s="65"/>
      <c r="BI3539" s="65"/>
      <c r="BJ3539" s="65"/>
      <c r="BK3539" s="65"/>
      <c r="BL3539" s="99"/>
      <c r="BM3539" s="99"/>
      <c r="BN3539" s="99"/>
    </row>
    <row r="3540" spans="1:66" s="51" customFormat="1" ht="15.75" x14ac:dyDescent="0.25">
      <c r="A3540" s="478">
        <v>3</v>
      </c>
      <c r="B3540" s="479" t="s">
        <v>291</v>
      </c>
      <c r="C3540" s="480" t="s">
        <v>337</v>
      </c>
      <c r="D3540" s="481" t="s">
        <v>329</v>
      </c>
      <c r="E3540" s="482">
        <v>29.95</v>
      </c>
      <c r="F3540" s="483" t="s">
        <v>292</v>
      </c>
      <c r="G3540" s="484">
        <v>0</v>
      </c>
      <c r="H3540" s="688" t="str">
        <f>IF(G3540=0,"",IF(F3540="Buy",IF(G3540=1,"plant","plants"),IF(F3540&gt;0.01,"warranty","Error")))</f>
        <v/>
      </c>
      <c r="I3540" s="485">
        <f>IF(H3540="free",0,IF(H3540="credit",((E3540*(F3540))*G3540*-1),IF(F3540="Buy",(E3540*G3540),((E3540*(1-F3540))*G3540))))</f>
        <v>0</v>
      </c>
      <c r="J3540" s="485">
        <f>IF(H3540="warranty",0,(I3540*(_xlfn.SINGLE(SalesTaxPercentage))))</f>
        <v>0</v>
      </c>
      <c r="K3540" s="715">
        <f t="shared" ref="K3540" si="2698">I3540+J3540</f>
        <v>0</v>
      </c>
      <c r="L3540" s="715"/>
      <c r="M3540" s="689" t="str">
        <f ca="1">IF(AND(G3540&gt;0,E3540=0),"WARNING - no PRICE inserted",IF(H3540="free","FREE ~ no charge this plant",IF(H3540="credit",CONCATENATE("-$",ROUND(K3540*(1-_xlfn.SINGLE(T2GDiscount))*-1,2)," CREDIT after discount"),IF(_xlfn.SINGLE(T2GDiscount)=0,"",IF(G3540=0,"",IF(F3540="Buy",CONCATENATE("$",ROUND(K3540*(1-_xlfn.SINGLE(T2GDiscount)),2)," with ",(_xlfn.SINGLE(T2GDiscount)*100),"% discount"),CONCATENATE("$",ROUND(K3540*(1-_xlfn.SINGLE(T2GDiscount)),2)," with ",((_xlfn.SINGLE(T2GDiscount)*100+F3540*100)-(_xlfn.SINGLE(T2GDiscount)*100*F3540)),IF(F3540&gt;0,"% discounts",IF(_xlfn.SINGLE(NoWarrantyDiscount)&gt;0,"% discounts","% discount")))))))))</f>
        <v/>
      </c>
      <c r="N3540" s="690"/>
      <c r="O3540" s="486"/>
      <c r="P3540" s="486"/>
      <c r="Q3540" s="486"/>
      <c r="R3540" s="486"/>
      <c r="S3540" s="486"/>
      <c r="T3540" s="102">
        <f t="shared" ref="T3540:T3603" si="2699">E3540*G3540</f>
        <v>0</v>
      </c>
      <c r="U3540" s="78">
        <f>IF(NOT(ISNUMBER(G3540)), "", VLOOKUP(A3540,'Discount Lookup'!D:E,2,FALSE)*G3540)</f>
        <v>0</v>
      </c>
      <c r="V3540" s="78">
        <f>IF(NOT(ISNUMBER(G3540)), "", VLOOKUP(A3540,'Discount Lookup'!G:H,2,FALSE)*G3540)</f>
        <v>0</v>
      </c>
      <c r="W3540" s="102">
        <f t="shared" ref="W3540:W3603" si="2700">IF(H3540="credit",0,E3540*(SalesTaxPercentage)*G3540)</f>
        <v>0</v>
      </c>
      <c r="X3540" s="102">
        <f t="shared" ref="X3540:X3603" si="2701">I3540</f>
        <v>0</v>
      </c>
      <c r="Y3540" s="120" t="b">
        <f t="shared" ref="Y3540:Y3603" si="2702">IF(AE3540="T2G",0,IF(H3540="credit",0,IF(G3540&gt;0,IF(AE3540="me","",G3540))))</f>
        <v>0</v>
      </c>
      <c r="Z3540" s="117">
        <f t="shared" ref="Z3540:Z3603" si="2703">IF(H3540="credit",G3540,0)</f>
        <v>0</v>
      </c>
      <c r="AA3540" s="118"/>
      <c r="AB3540" s="118" t="str">
        <f t="shared" ref="AB3540:AB3603" si="2704">IF(AE3540="T2G","by Trees2Go",IF(H3540="credit","CREDIT only ~",IF(AND(K3540="",AE3540=OR(PlanterYesMe="No",PlanterYesMe="N",PlanterYesMe="me")),"not THIS line⇨",IF(AND(K3540="images",AE3540="me"),"not THIS line⇨",IF(H3540="credit","",IF(G3540=0,"",IF(AE3540="me","",IF(OR(PlanterYesMe="No",PlanterYesMe="N",PlanterYesMe="me"),"",IF(AE3540="free","warranty",IF(OR(PlanterYesMe="yes",PlanterYesMe="y"),"Edison install:","to install:"))))))))))</f>
        <v/>
      </c>
      <c r="AC3540" s="712" t="str">
        <f>IF(AE3540="T2G","no charge",IF(AND(OR(PlanterYesMe="No",PlanterYesMe="N",PlanterYesMe="me"),H3540=""),"",IF(H3540="credit","NO install",IF(AND(K3540="",AE3540="me"),"EACH row",IF(AND(K3540="images",AE3540="me"),"EACH row",IF(D3540="","",IF(H3540="credit","",IF(AE3540="free","re-planting",IF(AE3540="me","   not ELP, by",IF(AND(OR(PlanterYesMe="Yes",PlanterYesMe="Y"),G3540&gt;0),(VLOOKUP(A3540,'Discount Lookup'!J:K,2)*G3540*(1-PlanterDiscount)*(1+PlanterDifficultyPercentage)),IF(AE3540="ELP",(VLOOKUP(A3540,'Discount Lookup'!J:K,2)*G3540*(1-PlanterDiscount)*(1+PlanterDifficultyPercentage)),IF(AE3540="free","re-planting",IF(G3540=0,"",IF(PlanterYesMe="",IF(AE3540="me","   not ELP, by",IF(AE3540="",IF(G3540&gt;0,(VLOOKUP(A3540,'Discount Lookup'!J:K,2)*G3540*(1-PlanterDiscount)*(1+PlanterDifficultyPercentage)),""),"")),"   not ELP, by"))))))))))))))</f>
        <v/>
      </c>
      <c r="AD3540" s="712"/>
      <c r="AE3540" s="513" t="str">
        <f t="shared" ref="AE3540:AE3603" si="2705">IF(H3540="credit","",IF(G3540=0,"",IF(OR(PlanterYesMe="No",PlanterYesMe="N",PlanterYesMe="me"),"me",IF(H3540="warranty","free",IF(OR(PlanterYesMe="yes",PlanterYesMe="y"),"ELP","")))))</f>
        <v/>
      </c>
      <c r="AF3540" s="713" t="str">
        <f t="shared" ref="AF3540:AF3603" si="2706">IF(OR(PlanterYesMe="No",PlanterYesMe="N",PlanterYesMe="me"),"",IF(H3540="credit","",IF(G3540&gt;0,(CONCATENATE((G3540)," quantity, ",(A3540)," ",B3540)),"")))</f>
        <v/>
      </c>
      <c r="AG3540" s="713"/>
      <c r="AH3540" s="713"/>
      <c r="AI3540" s="112">
        <f>IF(H3540="credit",0,IF(AE3540="free",0,IF(AE3540="me",0,IF(G3540&gt;0,(VLOOKUP(A3540,'Discount Lookup'!J:K,2)*G3540),0))))</f>
        <v>0</v>
      </c>
      <c r="AJ3540" s="107" t="str">
        <f t="shared" ref="AJ3540:AJ3603" ca="1" si="2707">IF(AND(ISREF(H3540),H3540="credit"),"",IF(AND(AND(OFFSET(G3540,0,0)=0,OFFSET(G3540,1,0)&gt;0,ISNUMBER(OFFSET(AC3540,1,0)),OFFSET(AC3540,1,0)&gt;0),OR(PlanterYesMe="yes",PlanterYesMe="y")),"T2G+ELP=",IF(AND(OFFSET(G3540,0,0)=0,OFFSET(G3540,1,0)&gt;0,ISNUMBER(OFFSET(AC3540,1,0)),OFFSET(AC3540,1,0)&gt;0),"if T2G+ELP=",IF(AND(OFFSET(G3540,0,0)=0,OFFSET(G3540,1,0)&gt;0),"T2G Subtotal",IF(H3540="credit","",IF(G3540=0,"",IF(AE3540="free",(K3540*(1-T2GDiscount)),IF(OR(PlanterYesMe="No",PlanterYesMe="N",PlanterYesMe="me"),(K3540*(1-T2GDiscount)),IF(OR(AE3540="me",AE3540="T2G"),(K3540*(1-T2GDiscount)),(K3540*(1-T2GDiscount))+AC3540)))))))))</f>
        <v/>
      </c>
      <c r="AK3540" s="714" t="str">
        <f t="shared" ref="AK3540:AK3603" si="2708">IF(H3540="credit","",IF(G3540=0,"",IF(OR(AE3540="me",AE3540="T2G"),"  delivery-only",IF(OR(PlanterYesMe="No",PlanterYesMe="N",PlanterYesMe="me"),"  delivery-only",CONCATENATE(" $",ROUND(AJ3540/G3540,2)," each")))))</f>
        <v/>
      </c>
      <c r="AL3540" s="714"/>
      <c r="AM3540" s="114" t="str">
        <f t="shared" ref="AM3540:AM3603" si="2709">IF(H3540="credit","",IF(AE3540="free","      ~ discounts included, no tax or planting fee applies ~",IF(G3540=0,"",IF(OR(PlanterYesMe="No",PlanterYesMe="N",PlanterYesMe="me"),CONCATENATE(" $",ROUND(AJ3540/G3540,2)," per plant, with tax &amp; discount"),IF(OR(AE3540="me",AE3540="T2G"),CONCATENATE(" $",ROUND(AJ3540/G3540,2)," per plant, with tax &amp; discount"),CONCATENATE("= $",ROUND((K3540*(1-T2GDiscount))/G3540,2)," per plant + $",AC3540/G3540,(" per planting      ~ includes tax &amp; discounts ~")))))))</f>
        <v/>
      </c>
      <c r="AN3540" s="115"/>
      <c r="AO3540" s="116"/>
      <c r="AP3540" s="116"/>
      <c r="AQ3540" s="116"/>
      <c r="AR3540" s="116"/>
      <c r="AS3540" s="116"/>
      <c r="AT3540" s="116"/>
      <c r="AU3540" s="116"/>
      <c r="AV3540" s="78"/>
      <c r="AW3540" s="102"/>
      <c r="AX3540" s="78"/>
      <c r="AY3540" s="78"/>
      <c r="AZ3540" s="78"/>
      <c r="BA3540" s="78"/>
      <c r="BB3540" s="78"/>
      <c r="BC3540" s="78"/>
      <c r="BD3540" s="78"/>
      <c r="BE3540" s="465"/>
      <c r="BF3540" s="165" t="str">
        <f t="shared" ref="BF3540:BF3603" si="2710">"https://www.google.com/search?tbm=isch&amp;q=" &amp; _xlfn.ENCODEURL($A3540 &amp; " " &amp; $D3540)</f>
        <v>https://www.google.com/search?tbm=isch&amp;q=3%20G2</v>
      </c>
      <c r="BG3540" s="165" t="str">
        <f t="shared" ref="BG3540:BG3603" si="2711">IF(ISTEXT(A3540),LEFT(A3540,1),BG3539)</f>
        <v>R</v>
      </c>
      <c r="BH3540" s="65"/>
      <c r="BI3540" s="65"/>
      <c r="BJ3540" s="65"/>
      <c r="BK3540" s="65"/>
      <c r="BL3540" s="99"/>
      <c r="BM3540" s="99"/>
      <c r="BN3540" s="99"/>
    </row>
    <row r="3541" spans="1:66" s="51" customFormat="1" ht="17.25" thickBot="1" x14ac:dyDescent="0.3">
      <c r="A3541" s="508" t="s">
        <v>3974</v>
      </c>
      <c r="B3541" s="487"/>
      <c r="C3541" s="707"/>
      <c r="D3541" s="487"/>
      <c r="E3541" s="487"/>
      <c r="F3541" s="488"/>
      <c r="G3541" s="489"/>
      <c r="H3541" s="487"/>
      <c r="I3541" s="490"/>
      <c r="J3541" s="490"/>
      <c r="K3541" s="491"/>
      <c r="L3541" s="547"/>
      <c r="M3541" s="528"/>
      <c r="N3541" s="492"/>
      <c r="O3541" s="493"/>
      <c r="P3541" s="494"/>
      <c r="Q3541" s="492"/>
      <c r="R3541" s="492"/>
      <c r="S3541" s="699" t="s">
        <v>5248</v>
      </c>
      <c r="T3541" s="102">
        <f t="shared" si="2699"/>
        <v>0</v>
      </c>
      <c r="U3541" s="78" t="str">
        <f>IF(NOT(ISNUMBER(G3541)), "", VLOOKUP(A3541,'Discount Lookup'!D:E,2,FALSE)*G3541)</f>
        <v/>
      </c>
      <c r="V3541" s="78" t="str">
        <f>IF(NOT(ISNUMBER(G3541)), "", VLOOKUP(A3541,'Discount Lookup'!G:H,2,FALSE)*G3541)</f>
        <v/>
      </c>
      <c r="W3541" s="102">
        <f t="shared" si="2700"/>
        <v>0</v>
      </c>
      <c r="X3541" s="102">
        <f t="shared" si="2701"/>
        <v>0</v>
      </c>
      <c r="Y3541" s="120" t="b">
        <f t="shared" si="2702"/>
        <v>0</v>
      </c>
      <c r="Z3541" s="117">
        <f t="shared" si="2703"/>
        <v>0</v>
      </c>
      <c r="AA3541" s="118"/>
      <c r="AB3541" s="118" t="str">
        <f t="shared" si="2704"/>
        <v/>
      </c>
      <c r="AC3541" s="712" t="str">
        <f>IF(AE3541="T2G","no charge",IF(AND(OR(PlanterYesMe="No",PlanterYesMe="N",PlanterYesMe="me"),H3541=""),"",IF(H3541="credit","NO install",IF(AND(K3541="",AE3541="me"),"EACH row",IF(AND(K3541="images",AE3541="me"),"EACH row",IF(D3541="","",IF(H3541="credit","",IF(AE3541="free","re-planting",IF(AE3541="me","   not ELP, by",IF(AND(OR(PlanterYesMe="Yes",PlanterYesMe="Y"),G3541&gt;0),(VLOOKUP(A3541,'Discount Lookup'!J:K,2)*G3541*(1-PlanterDiscount)*(1+PlanterDifficultyPercentage)),IF(AE3541="ELP",(VLOOKUP(A3541,'Discount Lookup'!J:K,2)*G3541*(1-PlanterDiscount)*(1+PlanterDifficultyPercentage)),IF(AE3541="free","re-planting",IF(G3541=0,"",IF(PlanterYesMe="",IF(AE3541="me","   not ELP, by",IF(AE3541="",IF(G3541&gt;0,(VLOOKUP(A3541,'Discount Lookup'!J:K,2)*G3541*(1-PlanterDiscount)*(1+PlanterDifficultyPercentage)),""),"")),"   not ELP, by"))))))))))))))</f>
        <v/>
      </c>
      <c r="AD3541" s="712"/>
      <c r="AE3541" s="513" t="str">
        <f t="shared" si="2705"/>
        <v/>
      </c>
      <c r="AF3541" s="713" t="str">
        <f t="shared" si="2706"/>
        <v/>
      </c>
      <c r="AG3541" s="713"/>
      <c r="AH3541" s="713"/>
      <c r="AI3541" s="112">
        <f>IF(H3541="credit",0,IF(AE3541="free",0,IF(AE3541="me",0,IF(G3541&gt;0,(VLOOKUP(A3541,'Discount Lookup'!J:K,2)*G3541),0))))</f>
        <v>0</v>
      </c>
      <c r="AJ3541" s="107" t="str">
        <f t="shared" ca="1" si="2707"/>
        <v/>
      </c>
      <c r="AK3541" s="714" t="str">
        <f t="shared" si="2708"/>
        <v/>
      </c>
      <c r="AL3541" s="714"/>
      <c r="AM3541" s="114" t="str">
        <f t="shared" si="2709"/>
        <v/>
      </c>
      <c r="AN3541" s="115"/>
      <c r="AO3541" s="116"/>
      <c r="AP3541" s="116"/>
      <c r="AQ3541" s="116"/>
      <c r="AR3541" s="116"/>
      <c r="AS3541" s="116"/>
      <c r="AT3541" s="116"/>
      <c r="AU3541" s="116"/>
      <c r="AV3541" s="78"/>
      <c r="AW3541" s="102"/>
      <c r="AX3541" s="78"/>
      <c r="AY3541" s="78"/>
      <c r="AZ3541" s="78"/>
      <c r="BA3541" s="78"/>
      <c r="BB3541" s="78"/>
      <c r="BC3541" s="78"/>
      <c r="BD3541" s="78"/>
      <c r="BE3541" s="465"/>
      <c r="BF3541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41" s="165" t="str">
        <f t="shared" si="2711"/>
        <v>A</v>
      </c>
      <c r="BH3541" s="65"/>
      <c r="BI3541" s="65"/>
      <c r="BJ3541" s="65"/>
      <c r="BK3541" s="65"/>
      <c r="BL3541" s="99"/>
      <c r="BM3541" s="99"/>
      <c r="BN3541" s="99"/>
    </row>
    <row r="3542" spans="1:66" s="51" customFormat="1" ht="18" x14ac:dyDescent="0.25">
      <c r="A3542" s="507" t="s">
        <v>5762</v>
      </c>
      <c r="B3542" s="470"/>
      <c r="C3542" s="706"/>
      <c r="D3542" s="471" t="s">
        <v>5763</v>
      </c>
      <c r="E3542" s="472"/>
      <c r="F3542" s="472"/>
      <c r="G3542" s="472"/>
      <c r="H3542" s="622" t="s">
        <v>3975</v>
      </c>
      <c r="I3542" s="473" t="s">
        <v>2030</v>
      </c>
      <c r="J3542" s="472"/>
      <c r="K3542" s="472"/>
      <c r="L3542" s="561"/>
      <c r="M3542" s="698" t="s">
        <v>5246</v>
      </c>
      <c r="N3542" s="692" t="str">
        <f>IF(AND(ISTEXT($A3542), ISERROR($A3542+0)), HYPERLINK($BF3542, "Images"), "")</f>
        <v>Images</v>
      </c>
      <c r="O3542" s="694" t="s">
        <v>5264</v>
      </c>
      <c r="P3542" s="475"/>
      <c r="Q3542" s="476"/>
      <c r="R3542" s="476"/>
      <c r="S3542" s="477"/>
      <c r="T3542" s="102">
        <f t="shared" si="2699"/>
        <v>0</v>
      </c>
      <c r="U3542" s="78" t="str">
        <f>IF(NOT(ISNUMBER(G3542)), "", VLOOKUP(A3542,'Discount Lookup'!D:E,2,FALSE)*G3542)</f>
        <v/>
      </c>
      <c r="V3542" s="78" t="str">
        <f>IF(NOT(ISNUMBER(G3542)), "", VLOOKUP(A3542,'Discount Lookup'!G:H,2,FALSE)*G3542)</f>
        <v/>
      </c>
      <c r="W3542" s="102">
        <f t="shared" si="2700"/>
        <v>0</v>
      </c>
      <c r="X3542" s="102" t="str">
        <f t="shared" si="2701"/>
        <v>Rosy-Pink bloom</v>
      </c>
      <c r="Y3542" s="120" t="b">
        <f t="shared" si="2702"/>
        <v>0</v>
      </c>
      <c r="Z3542" s="117">
        <f t="shared" si="2703"/>
        <v>0</v>
      </c>
      <c r="AA3542" s="118"/>
      <c r="AB3542" s="118" t="str">
        <f t="shared" si="2704"/>
        <v/>
      </c>
      <c r="AC3542" s="712" t="str">
        <f>IF(AE3542="T2G","no charge",IF(AND(OR(PlanterYesMe="No",PlanterYesMe="N",PlanterYesMe="me"),H3542=""),"",IF(H3542="credit","NO install",IF(AND(K3542="",AE3542="me"),"EACH row",IF(AND(K3542="images",AE3542="me"),"EACH row",IF(D3542="","",IF(H3542="credit","",IF(AE3542="free","re-planting",IF(AE3542="me","   not ELP, by",IF(AND(OR(PlanterYesMe="Yes",PlanterYesMe="Y"),G3542&gt;0),(VLOOKUP(A3542,'Discount Lookup'!J:K,2)*G3542*(1-PlanterDiscount)*(1+PlanterDifficultyPercentage)),IF(AE3542="ELP",(VLOOKUP(A3542,'Discount Lookup'!J:K,2)*G3542*(1-PlanterDiscount)*(1+PlanterDifficultyPercentage)),IF(AE3542="free","re-planting",IF(G3542=0,"",IF(PlanterYesMe="",IF(AE3542="me","   not ELP, by",IF(AE3542="",IF(G3542&gt;0,(VLOOKUP(A3542,'Discount Lookup'!J:K,2)*G3542*(1-PlanterDiscount)*(1+PlanterDifficultyPercentage)),""),"")),"   not ELP, by"))))))))))))))</f>
        <v/>
      </c>
      <c r="AD3542" s="712"/>
      <c r="AE3542" s="513" t="str">
        <f t="shared" si="2705"/>
        <v/>
      </c>
      <c r="AF3542" s="713" t="str">
        <f t="shared" si="2706"/>
        <v/>
      </c>
      <c r="AG3542" s="713"/>
      <c r="AH3542" s="713"/>
      <c r="AI3542" s="112">
        <f>IF(H3542="credit",0,IF(AE3542="free",0,IF(AE3542="me",0,IF(G3542&gt;0,(VLOOKUP(A3542,'Discount Lookup'!J:K,2)*G3542),0))))</f>
        <v>0</v>
      </c>
      <c r="AJ3542" s="107" t="str">
        <f t="shared" ca="1" si="2707"/>
        <v/>
      </c>
      <c r="AK3542" s="714" t="str">
        <f t="shared" si="2708"/>
        <v/>
      </c>
      <c r="AL3542" s="714"/>
      <c r="AM3542" s="114" t="str">
        <f t="shared" si="2709"/>
        <v/>
      </c>
      <c r="AN3542" s="115"/>
      <c r="AO3542" s="116"/>
      <c r="AP3542" s="116"/>
      <c r="AQ3542" s="116"/>
      <c r="AR3542" s="116"/>
      <c r="AS3542" s="116"/>
      <c r="AT3542" s="116"/>
      <c r="AU3542" s="116"/>
      <c r="AV3542" s="78"/>
      <c r="AW3542" s="102"/>
      <c r="AX3542" s="78"/>
      <c r="AY3542" s="78"/>
      <c r="AZ3542" s="78"/>
      <c r="BA3542" s="78"/>
      <c r="BB3542" s="78"/>
      <c r="BC3542" s="78"/>
      <c r="BD3542" s="78"/>
      <c r="BE3542" s="465"/>
      <c r="BF3542" s="165" t="str">
        <f t="shared" si="2710"/>
        <v>https://www.google.com/search?tbm=isch&amp;q=Rhod.%20Encore%C2%AE%20%27Conlef%27%20PP%2310579%20Autumn%20Cheer%C2%AE%20Encore%C2%AE%20Azalea</v>
      </c>
      <c r="BG3542" s="165" t="str">
        <f t="shared" si="2711"/>
        <v>R</v>
      </c>
      <c r="BH3542" s="65"/>
      <c r="BI3542" s="65"/>
      <c r="BJ3542" s="65"/>
      <c r="BK3542" s="65"/>
      <c r="BL3542" s="99"/>
      <c r="BM3542" s="99"/>
      <c r="BN3542" s="99"/>
    </row>
    <row r="3543" spans="1:66" s="51" customFormat="1" ht="15.75" x14ac:dyDescent="0.25">
      <c r="A3543" s="478">
        <v>3</v>
      </c>
      <c r="B3543" s="479" t="s">
        <v>291</v>
      </c>
      <c r="C3543" s="480" t="s">
        <v>1120</v>
      </c>
      <c r="D3543" s="481" t="s">
        <v>329</v>
      </c>
      <c r="E3543" s="482">
        <v>29.95</v>
      </c>
      <c r="F3543" s="483" t="s">
        <v>292</v>
      </c>
      <c r="G3543" s="484">
        <v>0</v>
      </c>
      <c r="H3543" s="688" t="str">
        <f>IF(G3543=0,"",IF(F3543="Buy",IF(G3543=1,"plant","plants"),IF(F3543&gt;0.01,"warranty","Error")))</f>
        <v/>
      </c>
      <c r="I3543" s="485">
        <f>IF(H3543="free",0,IF(H3543="credit",((E3543*(F3543))*G3543*-1),IF(F3543="Buy",(E3543*G3543),((E3543*(1-F3543))*G3543))))</f>
        <v>0</v>
      </c>
      <c r="J3543" s="485">
        <f>IF(H3543="warranty",0,(I3543*(_xlfn.SINGLE(SalesTaxPercentage))))</f>
        <v>0</v>
      </c>
      <c r="K3543" s="715">
        <f t="shared" ref="K3543" si="2712">I3543+J3543</f>
        <v>0</v>
      </c>
      <c r="L3543" s="715"/>
      <c r="M3543" s="689" t="str">
        <f ca="1">IF(AND(G3543&gt;0,E3543=0),"WARNING - no PRICE inserted",IF(H3543="free","FREE ~ no charge this plant",IF(H3543="credit",CONCATENATE("-$",ROUND(K3543*(1-_xlfn.SINGLE(T2GDiscount))*-1,2)," CREDIT after discount"),IF(_xlfn.SINGLE(T2GDiscount)=0,"",IF(G3543=0,"",IF(F3543="Buy",CONCATENATE("$",ROUND(K3543*(1-_xlfn.SINGLE(T2GDiscount)),2)," with ",(_xlfn.SINGLE(T2GDiscount)*100),"% discount"),CONCATENATE("$",ROUND(K3543*(1-_xlfn.SINGLE(T2GDiscount)),2)," with ",((_xlfn.SINGLE(T2GDiscount)*100+F3543*100)-(_xlfn.SINGLE(T2GDiscount)*100*F3543)),IF(F3543&gt;0,"% discounts",IF(_xlfn.SINGLE(NoWarrantyDiscount)&gt;0,"% discounts","% discount")))))))))</f>
        <v/>
      </c>
      <c r="N3543" s="690"/>
      <c r="O3543" s="486"/>
      <c r="P3543" s="486"/>
      <c r="Q3543" s="486"/>
      <c r="R3543" s="486"/>
      <c r="S3543" s="486"/>
      <c r="T3543" s="102">
        <f t="shared" si="2699"/>
        <v>0</v>
      </c>
      <c r="U3543" s="78">
        <f>IF(NOT(ISNUMBER(G3543)), "", VLOOKUP(A3543,'Discount Lookup'!D:E,2,FALSE)*G3543)</f>
        <v>0</v>
      </c>
      <c r="V3543" s="78">
        <f>IF(NOT(ISNUMBER(G3543)), "", VLOOKUP(A3543,'Discount Lookup'!G:H,2,FALSE)*G3543)</f>
        <v>0</v>
      </c>
      <c r="W3543" s="102">
        <f t="shared" si="2700"/>
        <v>0</v>
      </c>
      <c r="X3543" s="102">
        <f t="shared" si="2701"/>
        <v>0</v>
      </c>
      <c r="Y3543" s="120" t="b">
        <f t="shared" si="2702"/>
        <v>0</v>
      </c>
      <c r="Z3543" s="117">
        <f t="shared" si="2703"/>
        <v>0</v>
      </c>
      <c r="AA3543" s="118"/>
      <c r="AB3543" s="118" t="str">
        <f t="shared" si="2704"/>
        <v/>
      </c>
      <c r="AC3543" s="712" t="str">
        <f>IF(AE3543="T2G","no charge",IF(AND(OR(PlanterYesMe="No",PlanterYesMe="N",PlanterYesMe="me"),H3543=""),"",IF(H3543="credit","NO install",IF(AND(K3543="",AE3543="me"),"EACH row",IF(AND(K3543="images",AE3543="me"),"EACH row",IF(D3543="","",IF(H3543="credit","",IF(AE3543="free","re-planting",IF(AE3543="me","   not ELP, by",IF(AND(OR(PlanterYesMe="Yes",PlanterYesMe="Y"),G3543&gt;0),(VLOOKUP(A3543,'Discount Lookup'!J:K,2)*G3543*(1-PlanterDiscount)*(1+PlanterDifficultyPercentage)),IF(AE3543="ELP",(VLOOKUP(A3543,'Discount Lookup'!J:K,2)*G3543*(1-PlanterDiscount)*(1+PlanterDifficultyPercentage)),IF(AE3543="free","re-planting",IF(G3543=0,"",IF(PlanterYesMe="",IF(AE3543="me","   not ELP, by",IF(AE3543="",IF(G3543&gt;0,(VLOOKUP(A3543,'Discount Lookup'!J:K,2)*G3543*(1-PlanterDiscount)*(1+PlanterDifficultyPercentage)),""),"")),"   not ELP, by"))))))))))))))</f>
        <v/>
      </c>
      <c r="AD3543" s="712"/>
      <c r="AE3543" s="513" t="str">
        <f t="shared" si="2705"/>
        <v/>
      </c>
      <c r="AF3543" s="713" t="str">
        <f t="shared" si="2706"/>
        <v/>
      </c>
      <c r="AG3543" s="713"/>
      <c r="AH3543" s="713"/>
      <c r="AI3543" s="112">
        <f>IF(H3543="credit",0,IF(AE3543="free",0,IF(AE3543="me",0,IF(G3543&gt;0,(VLOOKUP(A3543,'Discount Lookup'!J:K,2)*G3543),0))))</f>
        <v>0</v>
      </c>
      <c r="AJ3543" s="107" t="str">
        <f t="shared" ca="1" si="2707"/>
        <v/>
      </c>
      <c r="AK3543" s="714" t="str">
        <f t="shared" si="2708"/>
        <v/>
      </c>
      <c r="AL3543" s="714"/>
      <c r="AM3543" s="114" t="str">
        <f t="shared" si="2709"/>
        <v/>
      </c>
      <c r="AN3543" s="115"/>
      <c r="AO3543" s="116"/>
      <c r="AP3543" s="116"/>
      <c r="AQ3543" s="116"/>
      <c r="AR3543" s="116"/>
      <c r="AS3543" s="116"/>
      <c r="AT3543" s="116"/>
      <c r="AU3543" s="116"/>
      <c r="AV3543" s="78"/>
      <c r="AW3543" s="102"/>
      <c r="AX3543" s="78"/>
      <c r="AY3543" s="78"/>
      <c r="AZ3543" s="78"/>
      <c r="BA3543" s="78"/>
      <c r="BB3543" s="78"/>
      <c r="BC3543" s="78"/>
      <c r="BD3543" s="78"/>
      <c r="BE3543" s="465"/>
      <c r="BF3543" s="165" t="str">
        <f t="shared" si="2710"/>
        <v>https://www.google.com/search?tbm=isch&amp;q=3%20G2</v>
      </c>
      <c r="BG3543" s="165" t="str">
        <f t="shared" si="2711"/>
        <v>R</v>
      </c>
      <c r="BH3543" s="65"/>
      <c r="BI3543" s="65"/>
      <c r="BJ3543" s="65"/>
      <c r="BK3543" s="65"/>
      <c r="BL3543" s="99"/>
      <c r="BM3543" s="99"/>
      <c r="BN3543" s="99"/>
    </row>
    <row r="3544" spans="1:66" s="51" customFormat="1" ht="17.25" thickBot="1" x14ac:dyDescent="0.3">
      <c r="A3544" s="508" t="s">
        <v>3974</v>
      </c>
      <c r="B3544" s="487"/>
      <c r="C3544" s="707"/>
      <c r="D3544" s="487"/>
      <c r="E3544" s="487"/>
      <c r="F3544" s="488"/>
      <c r="G3544" s="489"/>
      <c r="H3544" s="487"/>
      <c r="I3544" s="490"/>
      <c r="J3544" s="490"/>
      <c r="K3544" s="491"/>
      <c r="L3544" s="547"/>
      <c r="M3544" s="528"/>
      <c r="N3544" s="492"/>
      <c r="O3544" s="493"/>
      <c r="P3544" s="494"/>
      <c r="Q3544" s="492"/>
      <c r="R3544" s="492"/>
      <c r="S3544" s="699" t="s">
        <v>5248</v>
      </c>
      <c r="T3544" s="102">
        <f t="shared" si="2699"/>
        <v>0</v>
      </c>
      <c r="U3544" s="78" t="str">
        <f>IF(NOT(ISNUMBER(G3544)), "", VLOOKUP(A3544,'Discount Lookup'!D:E,2,FALSE)*G3544)</f>
        <v/>
      </c>
      <c r="V3544" s="78" t="str">
        <f>IF(NOT(ISNUMBER(G3544)), "", VLOOKUP(A3544,'Discount Lookup'!G:H,2,FALSE)*G3544)</f>
        <v/>
      </c>
      <c r="W3544" s="102">
        <f t="shared" si="2700"/>
        <v>0</v>
      </c>
      <c r="X3544" s="102">
        <f t="shared" si="2701"/>
        <v>0</v>
      </c>
      <c r="Y3544" s="120" t="b">
        <f t="shared" si="2702"/>
        <v>0</v>
      </c>
      <c r="Z3544" s="117">
        <f t="shared" si="2703"/>
        <v>0</v>
      </c>
      <c r="AA3544" s="118"/>
      <c r="AB3544" s="118" t="str">
        <f t="shared" si="2704"/>
        <v/>
      </c>
      <c r="AC3544" s="712" t="str">
        <f>IF(AE3544="T2G","no charge",IF(AND(OR(PlanterYesMe="No",PlanterYesMe="N",PlanterYesMe="me"),H3544=""),"",IF(H3544="credit","NO install",IF(AND(K3544="",AE3544="me"),"EACH row",IF(AND(K3544="images",AE3544="me"),"EACH row",IF(D3544="","",IF(H3544="credit","",IF(AE3544="free","re-planting",IF(AE3544="me","   not ELP, by",IF(AND(OR(PlanterYesMe="Yes",PlanterYesMe="Y"),G3544&gt;0),(VLOOKUP(A3544,'Discount Lookup'!J:K,2)*G3544*(1-PlanterDiscount)*(1+PlanterDifficultyPercentage)),IF(AE3544="ELP",(VLOOKUP(A3544,'Discount Lookup'!J:K,2)*G3544*(1-PlanterDiscount)*(1+PlanterDifficultyPercentage)),IF(AE3544="free","re-planting",IF(G3544=0,"",IF(PlanterYesMe="",IF(AE3544="me","   not ELP, by",IF(AE3544="",IF(G3544&gt;0,(VLOOKUP(A3544,'Discount Lookup'!J:K,2)*G3544*(1-PlanterDiscount)*(1+PlanterDifficultyPercentage)),""),"")),"   not ELP, by"))))))))))))))</f>
        <v/>
      </c>
      <c r="AD3544" s="712"/>
      <c r="AE3544" s="513" t="str">
        <f t="shared" si="2705"/>
        <v/>
      </c>
      <c r="AF3544" s="713" t="str">
        <f t="shared" si="2706"/>
        <v/>
      </c>
      <c r="AG3544" s="713"/>
      <c r="AH3544" s="713"/>
      <c r="AI3544" s="112">
        <f>IF(H3544="credit",0,IF(AE3544="free",0,IF(AE3544="me",0,IF(G3544&gt;0,(VLOOKUP(A3544,'Discount Lookup'!J:K,2)*G3544),0))))</f>
        <v>0</v>
      </c>
      <c r="AJ3544" s="107" t="str">
        <f t="shared" ca="1" si="2707"/>
        <v/>
      </c>
      <c r="AK3544" s="714" t="str">
        <f t="shared" si="2708"/>
        <v/>
      </c>
      <c r="AL3544" s="714"/>
      <c r="AM3544" s="114" t="str">
        <f t="shared" si="2709"/>
        <v/>
      </c>
      <c r="AN3544" s="115"/>
      <c r="AO3544" s="116"/>
      <c r="AP3544" s="116"/>
      <c r="AQ3544" s="116"/>
      <c r="AR3544" s="116"/>
      <c r="AS3544" s="116"/>
      <c r="AT3544" s="116"/>
      <c r="AU3544" s="116"/>
      <c r="AV3544" s="78"/>
      <c r="AW3544" s="102"/>
      <c r="AX3544" s="78"/>
      <c r="AY3544" s="78"/>
      <c r="AZ3544" s="78"/>
      <c r="BA3544" s="78"/>
      <c r="BB3544" s="78"/>
      <c r="BC3544" s="78"/>
      <c r="BD3544" s="78"/>
      <c r="BE3544" s="465"/>
      <c r="BF3544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44" s="165" t="str">
        <f t="shared" si="2711"/>
        <v>A</v>
      </c>
      <c r="BH3544" s="65"/>
      <c r="BI3544" s="65"/>
      <c r="BJ3544" s="65"/>
      <c r="BK3544" s="65"/>
      <c r="BL3544" s="99"/>
      <c r="BM3544" s="99"/>
      <c r="BN3544" s="99"/>
    </row>
    <row r="3545" spans="1:66" s="51" customFormat="1" ht="18" x14ac:dyDescent="0.25">
      <c r="A3545" s="507" t="s">
        <v>5764</v>
      </c>
      <c r="B3545" s="470"/>
      <c r="C3545" s="706"/>
      <c r="D3545" s="471" t="s">
        <v>5765</v>
      </c>
      <c r="E3545" s="472"/>
      <c r="F3545" s="472"/>
      <c r="G3545" s="472"/>
      <c r="H3545" s="622" t="s">
        <v>3978</v>
      </c>
      <c r="I3545" s="473" t="s">
        <v>3984</v>
      </c>
      <c r="J3545" s="472"/>
      <c r="K3545" s="472"/>
      <c r="L3545" s="561"/>
      <c r="M3545" s="698" t="s">
        <v>5246</v>
      </c>
      <c r="N3545" s="692" t="str">
        <f>IF(AND(ISTEXT($A3545), ISERROR($A3545+0)), HYPERLINK($BF3545, "Images"), "")</f>
        <v>Images</v>
      </c>
      <c r="O3545" s="694" t="s">
        <v>5264</v>
      </c>
      <c r="P3545" s="475"/>
      <c r="Q3545" s="476"/>
      <c r="R3545" s="476"/>
      <c r="S3545" s="477"/>
      <c r="T3545" s="102">
        <f t="shared" si="2699"/>
        <v>0</v>
      </c>
      <c r="U3545" s="78" t="str">
        <f>IF(NOT(ISNUMBER(G3545)), "", VLOOKUP(A3545,'Discount Lookup'!D:E,2,FALSE)*G3545)</f>
        <v/>
      </c>
      <c r="V3545" s="78" t="str">
        <f>IF(NOT(ISNUMBER(G3545)), "", VLOOKUP(A3545,'Discount Lookup'!G:H,2,FALSE)*G3545)</f>
        <v/>
      </c>
      <c r="W3545" s="102">
        <f t="shared" si="2700"/>
        <v>0</v>
      </c>
      <c r="X3545" s="102" t="str">
        <f t="shared" si="2701"/>
        <v>White +Purple stripes</v>
      </c>
      <c r="Y3545" s="120" t="b">
        <f t="shared" si="2702"/>
        <v>0</v>
      </c>
      <c r="Z3545" s="117">
        <f t="shared" si="2703"/>
        <v>0</v>
      </c>
      <c r="AA3545" s="118"/>
      <c r="AB3545" s="118" t="str">
        <f t="shared" si="2704"/>
        <v/>
      </c>
      <c r="AC3545" s="712" t="str">
        <f>IF(AE3545="T2G","no charge",IF(AND(OR(PlanterYesMe="No",PlanterYesMe="N",PlanterYesMe="me"),H3545=""),"",IF(H3545="credit","NO install",IF(AND(K3545="",AE3545="me"),"EACH row",IF(AND(K3545="images",AE3545="me"),"EACH row",IF(D3545="","",IF(H3545="credit","",IF(AE3545="free","re-planting",IF(AE3545="me","   not ELP, by",IF(AND(OR(PlanterYesMe="Yes",PlanterYesMe="Y"),G3545&gt;0),(VLOOKUP(A3545,'Discount Lookup'!J:K,2)*G3545*(1-PlanterDiscount)*(1+PlanterDifficultyPercentage)),IF(AE3545="ELP",(VLOOKUP(A3545,'Discount Lookup'!J:K,2)*G3545*(1-PlanterDiscount)*(1+PlanterDifficultyPercentage)),IF(AE3545="free","re-planting",IF(G3545=0,"",IF(PlanterYesMe="",IF(AE3545="me","   not ELP, by",IF(AE3545="",IF(G3545&gt;0,(VLOOKUP(A3545,'Discount Lookup'!J:K,2)*G3545*(1-PlanterDiscount)*(1+PlanterDifficultyPercentage)),""),"")),"   not ELP, by"))))))))))))))</f>
        <v/>
      </c>
      <c r="AD3545" s="712"/>
      <c r="AE3545" s="513" t="str">
        <f t="shared" si="2705"/>
        <v/>
      </c>
      <c r="AF3545" s="713" t="str">
        <f t="shared" si="2706"/>
        <v/>
      </c>
      <c r="AG3545" s="713"/>
      <c r="AH3545" s="713"/>
      <c r="AI3545" s="112">
        <f>IF(H3545="credit",0,IF(AE3545="free",0,IF(AE3545="me",0,IF(G3545&gt;0,(VLOOKUP(A3545,'Discount Lookup'!J:K,2)*G3545),0))))</f>
        <v>0</v>
      </c>
      <c r="AJ3545" s="107" t="str">
        <f t="shared" ca="1" si="2707"/>
        <v/>
      </c>
      <c r="AK3545" s="714" t="str">
        <f t="shared" si="2708"/>
        <v/>
      </c>
      <c r="AL3545" s="714"/>
      <c r="AM3545" s="114" t="str">
        <f t="shared" si="2709"/>
        <v/>
      </c>
      <c r="AN3545" s="115"/>
      <c r="AO3545" s="116"/>
      <c r="AP3545" s="116"/>
      <c r="AQ3545" s="116"/>
      <c r="AR3545" s="116"/>
      <c r="AS3545" s="116"/>
      <c r="AT3545" s="116"/>
      <c r="AU3545" s="116"/>
      <c r="AV3545" s="78"/>
      <c r="AW3545" s="102"/>
      <c r="AX3545" s="78"/>
      <c r="AY3545" s="78"/>
      <c r="AZ3545" s="78"/>
      <c r="BA3545" s="78"/>
      <c r="BB3545" s="78"/>
      <c r="BC3545" s="78"/>
      <c r="BD3545" s="78"/>
      <c r="BE3545" s="465"/>
      <c r="BF3545" s="165" t="str">
        <f t="shared" si="2710"/>
        <v>https://www.google.com/search?tbm=isch&amp;q=Rhod.%20Encore%C2%AE%20%27Conlep%27%20PP%2312133%20Autumn%20Twist%C2%AE%20Encore%C2%AE%20Azalea</v>
      </c>
      <c r="BG3545" s="165" t="str">
        <f t="shared" si="2711"/>
        <v>R</v>
      </c>
      <c r="BH3545" s="65"/>
      <c r="BI3545" s="65"/>
      <c r="BJ3545" s="65"/>
      <c r="BK3545" s="65"/>
      <c r="BL3545" s="99"/>
      <c r="BM3545" s="99"/>
      <c r="BN3545" s="99"/>
    </row>
    <row r="3546" spans="1:66" s="51" customFormat="1" ht="15.75" x14ac:dyDescent="0.25">
      <c r="A3546" s="478">
        <v>3</v>
      </c>
      <c r="B3546" s="479" t="s">
        <v>291</v>
      </c>
      <c r="C3546" s="480" t="s">
        <v>2819</v>
      </c>
      <c r="D3546" s="481" t="s">
        <v>329</v>
      </c>
      <c r="E3546" s="482">
        <v>29.95</v>
      </c>
      <c r="F3546" s="483" t="s">
        <v>292</v>
      </c>
      <c r="G3546" s="484">
        <v>0</v>
      </c>
      <c r="H3546" s="688" t="str">
        <f>IF(G3546=0,"",IF(F3546="Buy",IF(G3546=1,"plant","plants"),IF(F3546&gt;0.01,"warranty","Error")))</f>
        <v/>
      </c>
      <c r="I3546" s="485">
        <f>IF(H3546="free",0,IF(H3546="credit",((E3546*(F3546))*G3546*-1),IF(F3546="Buy",(E3546*G3546),((E3546*(1-F3546))*G3546))))</f>
        <v>0</v>
      </c>
      <c r="J3546" s="485">
        <f>IF(H3546="warranty",0,(I3546*(_xlfn.SINGLE(SalesTaxPercentage))))</f>
        <v>0</v>
      </c>
      <c r="K3546" s="715">
        <f t="shared" ref="K3546" si="2713">I3546+J3546</f>
        <v>0</v>
      </c>
      <c r="L3546" s="715"/>
      <c r="M3546" s="689" t="str">
        <f ca="1">IF(AND(G3546&gt;0,E3546=0),"WARNING - no PRICE inserted",IF(H3546="free","FREE ~ no charge this plant",IF(H3546="credit",CONCATENATE("-$",ROUND(K3546*(1-_xlfn.SINGLE(T2GDiscount))*-1,2)," CREDIT after discount"),IF(_xlfn.SINGLE(T2GDiscount)=0,"",IF(G3546=0,"",IF(F3546="Buy",CONCATENATE("$",ROUND(K3546*(1-_xlfn.SINGLE(T2GDiscount)),2)," with ",(_xlfn.SINGLE(T2GDiscount)*100),"% discount"),CONCATENATE("$",ROUND(K3546*(1-_xlfn.SINGLE(T2GDiscount)),2)," with ",((_xlfn.SINGLE(T2GDiscount)*100+F3546*100)-(_xlfn.SINGLE(T2GDiscount)*100*F3546)),IF(F3546&gt;0,"% discounts",IF(_xlfn.SINGLE(NoWarrantyDiscount)&gt;0,"% discounts","% discount")))))))))</f>
        <v/>
      </c>
      <c r="N3546" s="690"/>
      <c r="O3546" s="486"/>
      <c r="P3546" s="486"/>
      <c r="Q3546" s="486"/>
      <c r="R3546" s="486"/>
      <c r="S3546" s="486"/>
      <c r="T3546" s="102">
        <f t="shared" si="2699"/>
        <v>0</v>
      </c>
      <c r="U3546" s="78">
        <f>IF(NOT(ISNUMBER(G3546)), "", VLOOKUP(A3546,'Discount Lookup'!D:E,2,FALSE)*G3546)</f>
        <v>0</v>
      </c>
      <c r="V3546" s="78">
        <f>IF(NOT(ISNUMBER(G3546)), "", VLOOKUP(A3546,'Discount Lookup'!G:H,2,FALSE)*G3546)</f>
        <v>0</v>
      </c>
      <c r="W3546" s="102">
        <f t="shared" si="2700"/>
        <v>0</v>
      </c>
      <c r="X3546" s="102">
        <f t="shared" si="2701"/>
        <v>0</v>
      </c>
      <c r="Y3546" s="120" t="b">
        <f t="shared" si="2702"/>
        <v>0</v>
      </c>
      <c r="Z3546" s="117">
        <f t="shared" si="2703"/>
        <v>0</v>
      </c>
      <c r="AA3546" s="118"/>
      <c r="AB3546" s="118" t="str">
        <f t="shared" si="2704"/>
        <v/>
      </c>
      <c r="AC3546" s="712" t="str">
        <f>IF(AE3546="T2G","no charge",IF(AND(OR(PlanterYesMe="No",PlanterYesMe="N",PlanterYesMe="me"),H3546=""),"",IF(H3546="credit","NO install",IF(AND(K3546="",AE3546="me"),"EACH row",IF(AND(K3546="images",AE3546="me"),"EACH row",IF(D3546="","",IF(H3546="credit","",IF(AE3546="free","re-planting",IF(AE3546="me","   not ELP, by",IF(AND(OR(PlanterYesMe="Yes",PlanterYesMe="Y"),G3546&gt;0),(VLOOKUP(A3546,'Discount Lookup'!J:K,2)*G3546*(1-PlanterDiscount)*(1+PlanterDifficultyPercentage)),IF(AE3546="ELP",(VLOOKUP(A3546,'Discount Lookup'!J:K,2)*G3546*(1-PlanterDiscount)*(1+PlanterDifficultyPercentage)),IF(AE3546="free","re-planting",IF(G3546=0,"",IF(PlanterYesMe="",IF(AE3546="me","   not ELP, by",IF(AE3546="",IF(G3546&gt;0,(VLOOKUP(A3546,'Discount Lookup'!J:K,2)*G3546*(1-PlanterDiscount)*(1+PlanterDifficultyPercentage)),""),"")),"   not ELP, by"))))))))))))))</f>
        <v/>
      </c>
      <c r="AD3546" s="712"/>
      <c r="AE3546" s="513" t="str">
        <f t="shared" si="2705"/>
        <v/>
      </c>
      <c r="AF3546" s="713" t="str">
        <f t="shared" si="2706"/>
        <v/>
      </c>
      <c r="AG3546" s="713"/>
      <c r="AH3546" s="713"/>
      <c r="AI3546" s="112">
        <f>IF(H3546="credit",0,IF(AE3546="free",0,IF(AE3546="me",0,IF(G3546&gt;0,(VLOOKUP(A3546,'Discount Lookup'!J:K,2)*G3546),0))))</f>
        <v>0</v>
      </c>
      <c r="AJ3546" s="107" t="str">
        <f t="shared" ca="1" si="2707"/>
        <v/>
      </c>
      <c r="AK3546" s="714" t="str">
        <f t="shared" si="2708"/>
        <v/>
      </c>
      <c r="AL3546" s="714"/>
      <c r="AM3546" s="114" t="str">
        <f t="shared" si="2709"/>
        <v/>
      </c>
      <c r="AN3546" s="115"/>
      <c r="AO3546" s="116"/>
      <c r="AP3546" s="116"/>
      <c r="AQ3546" s="116"/>
      <c r="AR3546" s="116"/>
      <c r="AS3546" s="116"/>
      <c r="AT3546" s="116"/>
      <c r="AU3546" s="116"/>
      <c r="AV3546" s="78"/>
      <c r="AW3546" s="102"/>
      <c r="AX3546" s="78"/>
      <c r="AY3546" s="78"/>
      <c r="AZ3546" s="78"/>
      <c r="BA3546" s="78"/>
      <c r="BB3546" s="78"/>
      <c r="BC3546" s="78"/>
      <c r="BD3546" s="78"/>
      <c r="BE3546" s="465"/>
      <c r="BF3546" s="165" t="str">
        <f t="shared" si="2710"/>
        <v>https://www.google.com/search?tbm=isch&amp;q=3%20G2</v>
      </c>
      <c r="BG3546" s="165" t="str">
        <f t="shared" si="2711"/>
        <v>R</v>
      </c>
      <c r="BH3546" s="65"/>
      <c r="BI3546" s="65"/>
      <c r="BJ3546" s="65"/>
      <c r="BK3546" s="65"/>
      <c r="BL3546" s="99"/>
      <c r="BM3546" s="99"/>
      <c r="BN3546" s="99"/>
    </row>
    <row r="3547" spans="1:66" s="51" customFormat="1" ht="17.25" thickBot="1" x14ac:dyDescent="0.3">
      <c r="A3547" s="508" t="s">
        <v>3974</v>
      </c>
      <c r="B3547" s="487"/>
      <c r="C3547" s="707"/>
      <c r="D3547" s="487"/>
      <c r="E3547" s="487"/>
      <c r="F3547" s="488"/>
      <c r="G3547" s="489"/>
      <c r="H3547" s="487"/>
      <c r="I3547" s="490"/>
      <c r="J3547" s="490"/>
      <c r="K3547" s="491"/>
      <c r="L3547" s="547"/>
      <c r="M3547" s="528"/>
      <c r="N3547" s="492"/>
      <c r="O3547" s="493"/>
      <c r="P3547" s="494"/>
      <c r="Q3547" s="492"/>
      <c r="R3547" s="492"/>
      <c r="S3547" s="699" t="s">
        <v>5248</v>
      </c>
      <c r="T3547" s="102">
        <f t="shared" si="2699"/>
        <v>0</v>
      </c>
      <c r="U3547" s="78" t="str">
        <f>IF(NOT(ISNUMBER(G3547)), "", VLOOKUP(A3547,'Discount Lookup'!D:E,2,FALSE)*G3547)</f>
        <v/>
      </c>
      <c r="V3547" s="78" t="str">
        <f>IF(NOT(ISNUMBER(G3547)), "", VLOOKUP(A3547,'Discount Lookup'!G:H,2,FALSE)*G3547)</f>
        <v/>
      </c>
      <c r="W3547" s="102">
        <f t="shared" si="2700"/>
        <v>0</v>
      </c>
      <c r="X3547" s="102">
        <f t="shared" si="2701"/>
        <v>0</v>
      </c>
      <c r="Y3547" s="120" t="b">
        <f t="shared" si="2702"/>
        <v>0</v>
      </c>
      <c r="Z3547" s="117">
        <f t="shared" si="2703"/>
        <v>0</v>
      </c>
      <c r="AA3547" s="118"/>
      <c r="AB3547" s="118" t="str">
        <f t="shared" si="2704"/>
        <v/>
      </c>
      <c r="AC3547" s="712" t="str">
        <f>IF(AE3547="T2G","no charge",IF(AND(OR(PlanterYesMe="No",PlanterYesMe="N",PlanterYesMe="me"),H3547=""),"",IF(H3547="credit","NO install",IF(AND(K3547="",AE3547="me"),"EACH row",IF(AND(K3547="images",AE3547="me"),"EACH row",IF(D3547="","",IF(H3547="credit","",IF(AE3547="free","re-planting",IF(AE3547="me","   not ELP, by",IF(AND(OR(PlanterYesMe="Yes",PlanterYesMe="Y"),G3547&gt;0),(VLOOKUP(A3547,'Discount Lookup'!J:K,2)*G3547*(1-PlanterDiscount)*(1+PlanterDifficultyPercentage)),IF(AE3547="ELP",(VLOOKUP(A3547,'Discount Lookup'!J:K,2)*G3547*(1-PlanterDiscount)*(1+PlanterDifficultyPercentage)),IF(AE3547="free","re-planting",IF(G3547=0,"",IF(PlanterYesMe="",IF(AE3547="me","   not ELP, by",IF(AE3547="",IF(G3547&gt;0,(VLOOKUP(A3547,'Discount Lookup'!J:K,2)*G3547*(1-PlanterDiscount)*(1+PlanterDifficultyPercentage)),""),"")),"   not ELP, by"))))))))))))))</f>
        <v/>
      </c>
      <c r="AD3547" s="712"/>
      <c r="AE3547" s="513" t="str">
        <f t="shared" si="2705"/>
        <v/>
      </c>
      <c r="AF3547" s="713" t="str">
        <f t="shared" si="2706"/>
        <v/>
      </c>
      <c r="AG3547" s="713"/>
      <c r="AH3547" s="713"/>
      <c r="AI3547" s="112">
        <f>IF(H3547="credit",0,IF(AE3547="free",0,IF(AE3547="me",0,IF(G3547&gt;0,(VLOOKUP(A3547,'Discount Lookup'!J:K,2)*G3547),0))))</f>
        <v>0</v>
      </c>
      <c r="AJ3547" s="107" t="str">
        <f t="shared" ca="1" si="2707"/>
        <v/>
      </c>
      <c r="AK3547" s="714" t="str">
        <f t="shared" si="2708"/>
        <v/>
      </c>
      <c r="AL3547" s="714"/>
      <c r="AM3547" s="114" t="str">
        <f t="shared" si="2709"/>
        <v/>
      </c>
      <c r="AN3547" s="115"/>
      <c r="AO3547" s="116"/>
      <c r="AP3547" s="116"/>
      <c r="AQ3547" s="116"/>
      <c r="AR3547" s="116"/>
      <c r="AS3547" s="116"/>
      <c r="AT3547" s="116"/>
      <c r="AU3547" s="116"/>
      <c r="AV3547" s="78"/>
      <c r="AW3547" s="102"/>
      <c r="AX3547" s="78"/>
      <c r="AY3547" s="78"/>
      <c r="AZ3547" s="78"/>
      <c r="BA3547" s="78"/>
      <c r="BB3547" s="78"/>
      <c r="BC3547" s="78"/>
      <c r="BD3547" s="78"/>
      <c r="BE3547" s="465"/>
      <c r="BF3547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47" s="165" t="str">
        <f t="shared" si="2711"/>
        <v>A</v>
      </c>
      <c r="BH3547" s="65"/>
      <c r="BI3547" s="65"/>
      <c r="BJ3547" s="65"/>
      <c r="BK3547" s="65"/>
      <c r="BL3547" s="99"/>
      <c r="BM3547" s="99"/>
      <c r="BN3547" s="99"/>
    </row>
    <row r="3548" spans="1:66" s="51" customFormat="1" ht="18" x14ac:dyDescent="0.25">
      <c r="A3548" s="507" t="s">
        <v>5766</v>
      </c>
      <c r="B3548" s="470"/>
      <c r="C3548" s="706"/>
      <c r="D3548" s="471" t="s">
        <v>5767</v>
      </c>
      <c r="E3548" s="472"/>
      <c r="F3548" s="472"/>
      <c r="G3548" s="472"/>
      <c r="H3548" s="622" t="s">
        <v>1071</v>
      </c>
      <c r="I3548" s="473" t="s">
        <v>3985</v>
      </c>
      <c r="J3548" s="472"/>
      <c r="K3548" s="472"/>
      <c r="L3548" s="561"/>
      <c r="M3548" s="698" t="s">
        <v>5246</v>
      </c>
      <c r="N3548" s="692" t="str">
        <f>IF(AND(ISTEXT($A3548), ISERROR($A3548+0)), HYPERLINK($BF3548, "Images"), "")</f>
        <v>Images</v>
      </c>
      <c r="O3548" s="694" t="s">
        <v>5264</v>
      </c>
      <c r="P3548" s="475"/>
      <c r="Q3548" s="476"/>
      <c r="R3548" s="476"/>
      <c r="S3548" s="477"/>
      <c r="T3548" s="102">
        <f t="shared" si="2699"/>
        <v>0</v>
      </c>
      <c r="U3548" s="78" t="str">
        <f>IF(NOT(ISNUMBER(G3548)), "", VLOOKUP(A3548,'Discount Lookup'!D:E,2,FALSE)*G3548)</f>
        <v/>
      </c>
      <c r="V3548" s="78" t="str">
        <f>IF(NOT(ISNUMBER(G3548)), "", VLOOKUP(A3548,'Discount Lookup'!G:H,2,FALSE)*G3548)</f>
        <v/>
      </c>
      <c r="W3548" s="102">
        <f t="shared" si="2700"/>
        <v>0</v>
      </c>
      <c r="X3548" s="102" t="str">
        <f t="shared" si="2701"/>
        <v>Pink +dark Pink freckles</v>
      </c>
      <c r="Y3548" s="120" t="b">
        <f t="shared" si="2702"/>
        <v>0</v>
      </c>
      <c r="Z3548" s="117">
        <f t="shared" si="2703"/>
        <v>0</v>
      </c>
      <c r="AA3548" s="118"/>
      <c r="AB3548" s="118" t="str">
        <f t="shared" si="2704"/>
        <v/>
      </c>
      <c r="AC3548" s="712" t="str">
        <f>IF(AE3548="T2G","no charge",IF(AND(OR(PlanterYesMe="No",PlanterYesMe="N",PlanterYesMe="me"),H3548=""),"",IF(H3548="credit","NO install",IF(AND(K3548="",AE3548="me"),"EACH row",IF(AND(K3548="images",AE3548="me"),"EACH row",IF(D3548="","",IF(H3548="credit","",IF(AE3548="free","re-planting",IF(AE3548="me","   not ELP, by",IF(AND(OR(PlanterYesMe="Yes",PlanterYesMe="Y"),G3548&gt;0),(VLOOKUP(A3548,'Discount Lookup'!J:K,2)*G3548*(1-PlanterDiscount)*(1+PlanterDifficultyPercentage)),IF(AE3548="ELP",(VLOOKUP(A3548,'Discount Lookup'!J:K,2)*G3548*(1-PlanterDiscount)*(1+PlanterDifficultyPercentage)),IF(AE3548="free","re-planting",IF(G3548=0,"",IF(PlanterYesMe="",IF(AE3548="me","   not ELP, by",IF(AE3548="",IF(G3548&gt;0,(VLOOKUP(A3548,'Discount Lookup'!J:K,2)*G3548*(1-PlanterDiscount)*(1+PlanterDifficultyPercentage)),""),"")),"   not ELP, by"))))))))))))))</f>
        <v/>
      </c>
      <c r="AD3548" s="712"/>
      <c r="AE3548" s="513" t="str">
        <f t="shared" si="2705"/>
        <v/>
      </c>
      <c r="AF3548" s="713" t="str">
        <f t="shared" si="2706"/>
        <v/>
      </c>
      <c r="AG3548" s="713"/>
      <c r="AH3548" s="713"/>
      <c r="AI3548" s="112">
        <f>IF(H3548="credit",0,IF(AE3548="free",0,IF(AE3548="me",0,IF(G3548&gt;0,(VLOOKUP(A3548,'Discount Lookup'!J:K,2)*G3548),0))))</f>
        <v>0</v>
      </c>
      <c r="AJ3548" s="107" t="str">
        <f t="shared" ca="1" si="2707"/>
        <v/>
      </c>
      <c r="AK3548" s="714" t="str">
        <f t="shared" si="2708"/>
        <v/>
      </c>
      <c r="AL3548" s="714"/>
      <c r="AM3548" s="114" t="str">
        <f t="shared" si="2709"/>
        <v/>
      </c>
      <c r="AN3548" s="115"/>
      <c r="AO3548" s="116"/>
      <c r="AP3548" s="116"/>
      <c r="AQ3548" s="116"/>
      <c r="AR3548" s="116"/>
      <c r="AS3548" s="116"/>
      <c r="AT3548" s="116"/>
      <c r="AU3548" s="116"/>
      <c r="AV3548" s="78"/>
      <c r="AW3548" s="102"/>
      <c r="AX3548" s="78"/>
      <c r="AY3548" s="78"/>
      <c r="AZ3548" s="78"/>
      <c r="BA3548" s="78"/>
      <c r="BB3548" s="78"/>
      <c r="BC3548" s="78"/>
      <c r="BD3548" s="78"/>
      <c r="BE3548" s="465"/>
      <c r="BF3548" s="165" t="str">
        <f t="shared" si="2710"/>
        <v>https://www.google.com/search?tbm=isch&amp;q=Rhod.%20Encore%C2%AE%20%27Conles%27%20PP%2312109%20Autumn%20Empress%E2%84%A2%20Encore%C2%AE%20Azalea</v>
      </c>
      <c r="BG3548" s="165" t="str">
        <f t="shared" si="2711"/>
        <v>R</v>
      </c>
      <c r="BH3548" s="65"/>
      <c r="BI3548" s="65"/>
      <c r="BJ3548" s="65"/>
      <c r="BK3548" s="65"/>
      <c r="BL3548" s="99"/>
      <c r="BM3548" s="99"/>
      <c r="BN3548" s="99"/>
    </row>
    <row r="3549" spans="1:66" s="51" customFormat="1" ht="15.75" x14ac:dyDescent="0.25">
      <c r="A3549" s="478">
        <v>3</v>
      </c>
      <c r="B3549" s="479" t="s">
        <v>291</v>
      </c>
      <c r="C3549" s="480" t="s">
        <v>2835</v>
      </c>
      <c r="D3549" s="481" t="s">
        <v>329</v>
      </c>
      <c r="E3549" s="482">
        <v>29.95</v>
      </c>
      <c r="F3549" s="483" t="s">
        <v>292</v>
      </c>
      <c r="G3549" s="484">
        <v>0</v>
      </c>
      <c r="H3549" s="688" t="str">
        <f>IF(G3549=0,"",IF(F3549="Buy",IF(G3549=1,"plant","plants"),IF(F3549&gt;0.01,"warranty","Error")))</f>
        <v/>
      </c>
      <c r="I3549" s="485">
        <f>IF(H3549="free",0,IF(H3549="credit",((E3549*(F3549))*G3549*-1),IF(F3549="Buy",(E3549*G3549),((E3549*(1-F3549))*G3549))))</f>
        <v>0</v>
      </c>
      <c r="J3549" s="485">
        <f>IF(H3549="warranty",0,(I3549*(_xlfn.SINGLE(SalesTaxPercentage))))</f>
        <v>0</v>
      </c>
      <c r="K3549" s="715">
        <f t="shared" ref="K3549" si="2714">I3549+J3549</f>
        <v>0</v>
      </c>
      <c r="L3549" s="715"/>
      <c r="M3549" s="689" t="str">
        <f ca="1">IF(AND(G3549&gt;0,E3549=0),"WARNING - no PRICE inserted",IF(H3549="free","FREE ~ no charge this plant",IF(H3549="credit",CONCATENATE("-$",ROUND(K3549*(1-_xlfn.SINGLE(T2GDiscount))*-1,2)," CREDIT after discount"),IF(_xlfn.SINGLE(T2GDiscount)=0,"",IF(G3549=0,"",IF(F3549="Buy",CONCATENATE("$",ROUND(K3549*(1-_xlfn.SINGLE(T2GDiscount)),2)," with ",(_xlfn.SINGLE(T2GDiscount)*100),"% discount"),CONCATENATE("$",ROUND(K3549*(1-_xlfn.SINGLE(T2GDiscount)),2)," with ",((_xlfn.SINGLE(T2GDiscount)*100+F3549*100)-(_xlfn.SINGLE(T2GDiscount)*100*F3549)),IF(F3549&gt;0,"% discounts",IF(_xlfn.SINGLE(NoWarrantyDiscount)&gt;0,"% discounts","% discount")))))))))</f>
        <v/>
      </c>
      <c r="N3549" s="690"/>
      <c r="O3549" s="486"/>
      <c r="P3549" s="486"/>
      <c r="Q3549" s="486"/>
      <c r="R3549" s="486"/>
      <c r="S3549" s="486"/>
      <c r="T3549" s="102">
        <f t="shared" si="2699"/>
        <v>0</v>
      </c>
      <c r="U3549" s="78">
        <f>IF(NOT(ISNUMBER(G3549)), "", VLOOKUP(A3549,'Discount Lookup'!D:E,2,FALSE)*G3549)</f>
        <v>0</v>
      </c>
      <c r="V3549" s="78">
        <f>IF(NOT(ISNUMBER(G3549)), "", VLOOKUP(A3549,'Discount Lookup'!G:H,2,FALSE)*G3549)</f>
        <v>0</v>
      </c>
      <c r="W3549" s="102">
        <f t="shared" si="2700"/>
        <v>0</v>
      </c>
      <c r="X3549" s="102">
        <f t="shared" si="2701"/>
        <v>0</v>
      </c>
      <c r="Y3549" s="120" t="b">
        <f t="shared" si="2702"/>
        <v>0</v>
      </c>
      <c r="Z3549" s="117">
        <f t="shared" si="2703"/>
        <v>0</v>
      </c>
      <c r="AA3549" s="118"/>
      <c r="AB3549" s="118" t="str">
        <f t="shared" si="2704"/>
        <v/>
      </c>
      <c r="AC3549" s="712" t="str">
        <f>IF(AE3549="T2G","no charge",IF(AND(OR(PlanterYesMe="No",PlanterYesMe="N",PlanterYesMe="me"),H3549=""),"",IF(H3549="credit","NO install",IF(AND(K3549="",AE3549="me"),"EACH row",IF(AND(K3549="images",AE3549="me"),"EACH row",IF(D3549="","",IF(H3549="credit","",IF(AE3549="free","re-planting",IF(AE3549="me","   not ELP, by",IF(AND(OR(PlanterYesMe="Yes",PlanterYesMe="Y"),G3549&gt;0),(VLOOKUP(A3549,'Discount Lookup'!J:K,2)*G3549*(1-PlanterDiscount)*(1+PlanterDifficultyPercentage)),IF(AE3549="ELP",(VLOOKUP(A3549,'Discount Lookup'!J:K,2)*G3549*(1-PlanterDiscount)*(1+PlanterDifficultyPercentage)),IF(AE3549="free","re-planting",IF(G3549=0,"",IF(PlanterYesMe="",IF(AE3549="me","   not ELP, by",IF(AE3549="",IF(G3549&gt;0,(VLOOKUP(A3549,'Discount Lookup'!J:K,2)*G3549*(1-PlanterDiscount)*(1+PlanterDifficultyPercentage)),""),"")),"   not ELP, by"))))))))))))))</f>
        <v/>
      </c>
      <c r="AD3549" s="712"/>
      <c r="AE3549" s="513" t="str">
        <f t="shared" si="2705"/>
        <v/>
      </c>
      <c r="AF3549" s="713" t="str">
        <f t="shared" si="2706"/>
        <v/>
      </c>
      <c r="AG3549" s="713"/>
      <c r="AH3549" s="713"/>
      <c r="AI3549" s="112">
        <f>IF(H3549="credit",0,IF(AE3549="free",0,IF(AE3549="me",0,IF(G3549&gt;0,(VLOOKUP(A3549,'Discount Lookup'!J:K,2)*G3549),0))))</f>
        <v>0</v>
      </c>
      <c r="AJ3549" s="107" t="str">
        <f t="shared" ca="1" si="2707"/>
        <v/>
      </c>
      <c r="AK3549" s="714" t="str">
        <f t="shared" si="2708"/>
        <v/>
      </c>
      <c r="AL3549" s="714"/>
      <c r="AM3549" s="114" t="str">
        <f t="shared" si="2709"/>
        <v/>
      </c>
      <c r="AN3549" s="115"/>
      <c r="AO3549" s="116"/>
      <c r="AP3549" s="116"/>
      <c r="AQ3549" s="116"/>
      <c r="AR3549" s="116"/>
      <c r="AS3549" s="116"/>
      <c r="AT3549" s="116"/>
      <c r="AU3549" s="116"/>
      <c r="AV3549" s="78"/>
      <c r="AW3549" s="102"/>
      <c r="AX3549" s="78"/>
      <c r="AY3549" s="78"/>
      <c r="AZ3549" s="78"/>
      <c r="BA3549" s="78"/>
      <c r="BB3549" s="78"/>
      <c r="BC3549" s="78"/>
      <c r="BD3549" s="78"/>
      <c r="BE3549" s="465"/>
      <c r="BF3549" s="165" t="str">
        <f t="shared" si="2710"/>
        <v>https://www.google.com/search?tbm=isch&amp;q=3%20G2</v>
      </c>
      <c r="BG3549" s="165" t="str">
        <f t="shared" si="2711"/>
        <v>R</v>
      </c>
      <c r="BH3549" s="65"/>
      <c r="BI3549" s="65"/>
      <c r="BJ3549" s="65"/>
      <c r="BK3549" s="65"/>
      <c r="BL3549" s="99"/>
      <c r="BM3549" s="99"/>
      <c r="BN3549" s="99"/>
    </row>
    <row r="3550" spans="1:66" s="51" customFormat="1" ht="17.25" thickBot="1" x14ac:dyDescent="0.3">
      <c r="A3550" s="508" t="s">
        <v>3974</v>
      </c>
      <c r="B3550" s="487"/>
      <c r="C3550" s="707"/>
      <c r="D3550" s="487"/>
      <c r="E3550" s="487"/>
      <c r="F3550" s="488"/>
      <c r="G3550" s="489"/>
      <c r="H3550" s="487"/>
      <c r="I3550" s="490"/>
      <c r="J3550" s="490"/>
      <c r="K3550" s="491"/>
      <c r="L3550" s="547"/>
      <c r="M3550" s="528"/>
      <c r="N3550" s="492"/>
      <c r="O3550" s="493"/>
      <c r="P3550" s="494"/>
      <c r="Q3550" s="492"/>
      <c r="R3550" s="492"/>
      <c r="S3550" s="699" t="s">
        <v>5248</v>
      </c>
      <c r="T3550" s="102">
        <f t="shared" si="2699"/>
        <v>0</v>
      </c>
      <c r="U3550" s="78" t="str">
        <f>IF(NOT(ISNUMBER(G3550)), "", VLOOKUP(A3550,'Discount Lookup'!D:E,2,FALSE)*G3550)</f>
        <v/>
      </c>
      <c r="V3550" s="78" t="str">
        <f>IF(NOT(ISNUMBER(G3550)), "", VLOOKUP(A3550,'Discount Lookup'!G:H,2,FALSE)*G3550)</f>
        <v/>
      </c>
      <c r="W3550" s="102">
        <f t="shared" si="2700"/>
        <v>0</v>
      </c>
      <c r="X3550" s="102">
        <f t="shared" si="2701"/>
        <v>0</v>
      </c>
      <c r="Y3550" s="120" t="b">
        <f t="shared" si="2702"/>
        <v>0</v>
      </c>
      <c r="Z3550" s="117">
        <f t="shared" si="2703"/>
        <v>0</v>
      </c>
      <c r="AA3550" s="118"/>
      <c r="AB3550" s="118" t="str">
        <f t="shared" si="2704"/>
        <v/>
      </c>
      <c r="AC3550" s="712" t="str">
        <f>IF(AE3550="T2G","no charge",IF(AND(OR(PlanterYesMe="No",PlanterYesMe="N",PlanterYesMe="me"),H3550=""),"",IF(H3550="credit","NO install",IF(AND(K3550="",AE3550="me"),"EACH row",IF(AND(K3550="images",AE3550="me"),"EACH row",IF(D3550="","",IF(H3550="credit","",IF(AE3550="free","re-planting",IF(AE3550="me","   not ELP, by",IF(AND(OR(PlanterYesMe="Yes",PlanterYesMe="Y"),G3550&gt;0),(VLOOKUP(A3550,'Discount Lookup'!J:K,2)*G3550*(1-PlanterDiscount)*(1+PlanterDifficultyPercentage)),IF(AE3550="ELP",(VLOOKUP(A3550,'Discount Lookup'!J:K,2)*G3550*(1-PlanterDiscount)*(1+PlanterDifficultyPercentage)),IF(AE3550="free","re-planting",IF(G3550=0,"",IF(PlanterYesMe="",IF(AE3550="me","   not ELP, by",IF(AE3550="",IF(G3550&gt;0,(VLOOKUP(A3550,'Discount Lookup'!J:K,2)*G3550*(1-PlanterDiscount)*(1+PlanterDifficultyPercentage)),""),"")),"   not ELP, by"))))))))))))))</f>
        <v/>
      </c>
      <c r="AD3550" s="712"/>
      <c r="AE3550" s="513" t="str">
        <f t="shared" si="2705"/>
        <v/>
      </c>
      <c r="AF3550" s="713" t="str">
        <f t="shared" si="2706"/>
        <v/>
      </c>
      <c r="AG3550" s="713"/>
      <c r="AH3550" s="713"/>
      <c r="AI3550" s="112">
        <f>IF(H3550="credit",0,IF(AE3550="free",0,IF(AE3550="me",0,IF(G3550&gt;0,(VLOOKUP(A3550,'Discount Lookup'!J:K,2)*G3550),0))))</f>
        <v>0</v>
      </c>
      <c r="AJ3550" s="107" t="str">
        <f t="shared" ca="1" si="2707"/>
        <v/>
      </c>
      <c r="AK3550" s="714" t="str">
        <f t="shared" si="2708"/>
        <v/>
      </c>
      <c r="AL3550" s="714"/>
      <c r="AM3550" s="114" t="str">
        <f t="shared" si="2709"/>
        <v/>
      </c>
      <c r="AN3550" s="115"/>
      <c r="AO3550" s="116"/>
      <c r="AP3550" s="116"/>
      <c r="AQ3550" s="116"/>
      <c r="AR3550" s="116"/>
      <c r="AS3550" s="116"/>
      <c r="AT3550" s="116"/>
      <c r="AU3550" s="116"/>
      <c r="AV3550" s="78"/>
      <c r="AW3550" s="102"/>
      <c r="AX3550" s="78"/>
      <c r="AY3550" s="78"/>
      <c r="AZ3550" s="78"/>
      <c r="BA3550" s="78"/>
      <c r="BB3550" s="78"/>
      <c r="BC3550" s="78"/>
      <c r="BD3550" s="78"/>
      <c r="BE3550" s="465"/>
      <c r="BF3550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50" s="165" t="str">
        <f t="shared" si="2711"/>
        <v>A</v>
      </c>
      <c r="BH3550" s="65"/>
      <c r="BI3550" s="65"/>
      <c r="BJ3550" s="65"/>
      <c r="BK3550" s="65"/>
      <c r="BL3550" s="99"/>
      <c r="BM3550" s="99"/>
      <c r="BN3550" s="99"/>
    </row>
    <row r="3551" spans="1:66" s="51" customFormat="1" ht="18" x14ac:dyDescent="0.25">
      <c r="A3551" s="507" t="s">
        <v>5768</v>
      </c>
      <c r="B3551" s="470"/>
      <c r="C3551" s="706"/>
      <c r="D3551" s="471" t="s">
        <v>5769</v>
      </c>
      <c r="E3551" s="472"/>
      <c r="F3551" s="472"/>
      <c r="G3551" s="472"/>
      <c r="H3551" s="622" t="s">
        <v>3975</v>
      </c>
      <c r="I3551" s="473" t="s">
        <v>3986</v>
      </c>
      <c r="J3551" s="472"/>
      <c r="K3551" s="472"/>
      <c r="L3551" s="561"/>
      <c r="M3551" s="698" t="s">
        <v>5246</v>
      </c>
      <c r="N3551" s="692" t="str">
        <f>IF(AND(ISTEXT($A3551), ISERROR($A3551+0)), HYPERLINK($BF3551, "Images"), "")</f>
        <v>Images</v>
      </c>
      <c r="O3551" s="694" t="s">
        <v>5264</v>
      </c>
      <c r="P3551" s="475"/>
      <c r="Q3551" s="476"/>
      <c r="R3551" s="476"/>
      <c r="S3551" s="477"/>
      <c r="T3551" s="102">
        <f t="shared" si="2699"/>
        <v>0</v>
      </c>
      <c r="U3551" s="78" t="str">
        <f>IF(NOT(ISNUMBER(G3551)), "", VLOOKUP(A3551,'Discount Lookup'!D:E,2,FALSE)*G3551)</f>
        <v/>
      </c>
      <c r="V3551" s="78" t="str">
        <f>IF(NOT(ISNUMBER(G3551)), "", VLOOKUP(A3551,'Discount Lookup'!G:H,2,FALSE)*G3551)</f>
        <v/>
      </c>
      <c r="W3551" s="102">
        <f t="shared" si="2700"/>
        <v>0</v>
      </c>
      <c r="X3551" s="102" t="str">
        <f t="shared" si="2701"/>
        <v>Pink +dark Pink throat</v>
      </c>
      <c r="Y3551" s="120" t="b">
        <f t="shared" si="2702"/>
        <v>0</v>
      </c>
      <c r="Z3551" s="117">
        <f t="shared" si="2703"/>
        <v>0</v>
      </c>
      <c r="AA3551" s="118"/>
      <c r="AB3551" s="118" t="str">
        <f t="shared" si="2704"/>
        <v/>
      </c>
      <c r="AC3551" s="712" t="str">
        <f>IF(AE3551="T2G","no charge",IF(AND(OR(PlanterYesMe="No",PlanterYesMe="N",PlanterYesMe="me"),H3551=""),"",IF(H3551="credit","NO install",IF(AND(K3551="",AE3551="me"),"EACH row",IF(AND(K3551="images",AE3551="me"),"EACH row",IF(D3551="","",IF(H3551="credit","",IF(AE3551="free","re-planting",IF(AE3551="me","   not ELP, by",IF(AND(OR(PlanterYesMe="Yes",PlanterYesMe="Y"),G3551&gt;0),(VLOOKUP(A3551,'Discount Lookup'!J:K,2)*G3551*(1-PlanterDiscount)*(1+PlanterDifficultyPercentage)),IF(AE3551="ELP",(VLOOKUP(A3551,'Discount Lookup'!J:K,2)*G3551*(1-PlanterDiscount)*(1+PlanterDifficultyPercentage)),IF(AE3551="free","re-planting",IF(G3551=0,"",IF(PlanterYesMe="",IF(AE3551="me","   not ELP, by",IF(AE3551="",IF(G3551&gt;0,(VLOOKUP(A3551,'Discount Lookup'!J:K,2)*G3551*(1-PlanterDiscount)*(1+PlanterDifficultyPercentage)),""),"")),"   not ELP, by"))))))))))))))</f>
        <v/>
      </c>
      <c r="AD3551" s="712"/>
      <c r="AE3551" s="513" t="str">
        <f t="shared" si="2705"/>
        <v/>
      </c>
      <c r="AF3551" s="713" t="str">
        <f t="shared" si="2706"/>
        <v/>
      </c>
      <c r="AG3551" s="713"/>
      <c r="AH3551" s="713"/>
      <c r="AI3551" s="112">
        <f>IF(H3551="credit",0,IF(AE3551="free",0,IF(AE3551="me",0,IF(G3551&gt;0,(VLOOKUP(A3551,'Discount Lookup'!J:K,2)*G3551),0))))</f>
        <v>0</v>
      </c>
      <c r="AJ3551" s="107" t="str">
        <f t="shared" ca="1" si="2707"/>
        <v/>
      </c>
      <c r="AK3551" s="714" t="str">
        <f t="shared" si="2708"/>
        <v/>
      </c>
      <c r="AL3551" s="714"/>
      <c r="AM3551" s="114" t="str">
        <f t="shared" si="2709"/>
        <v/>
      </c>
      <c r="AN3551" s="115"/>
      <c r="AO3551" s="116"/>
      <c r="AP3551" s="116"/>
      <c r="AQ3551" s="116"/>
      <c r="AR3551" s="116"/>
      <c r="AS3551" s="116"/>
      <c r="AT3551" s="116"/>
      <c r="AU3551" s="116"/>
      <c r="AV3551" s="78"/>
      <c r="AW3551" s="102"/>
      <c r="AX3551" s="78"/>
      <c r="AY3551" s="78"/>
      <c r="AZ3551" s="78"/>
      <c r="BA3551" s="78"/>
      <c r="BB3551" s="78"/>
      <c r="BC3551" s="78"/>
      <c r="BD3551" s="78"/>
      <c r="BE3551" s="465"/>
      <c r="BF3551" s="165" t="str">
        <f t="shared" si="2710"/>
        <v>https://www.google.com/search?tbm=isch&amp;q=Rhod.%20Encore%C2%AE%20%27Conlet%27%20PP%2312111%20Autumn%20Carnival%C2%AE%20Encore%C2%AE%20Azalea</v>
      </c>
      <c r="BG3551" s="165" t="str">
        <f t="shared" si="2711"/>
        <v>R</v>
      </c>
      <c r="BH3551" s="65"/>
      <c r="BI3551" s="65"/>
      <c r="BJ3551" s="65"/>
      <c r="BK3551" s="65"/>
      <c r="BL3551" s="99"/>
      <c r="BM3551" s="99"/>
      <c r="BN3551" s="99"/>
    </row>
    <row r="3552" spans="1:66" s="51" customFormat="1" ht="15.75" x14ac:dyDescent="0.25">
      <c r="A3552" s="478">
        <v>3</v>
      </c>
      <c r="B3552" s="479" t="s">
        <v>291</v>
      </c>
      <c r="C3552" s="480" t="s">
        <v>3987</v>
      </c>
      <c r="D3552" s="481" t="s">
        <v>329</v>
      </c>
      <c r="E3552" s="482">
        <v>29.95</v>
      </c>
      <c r="F3552" s="483" t="s">
        <v>292</v>
      </c>
      <c r="G3552" s="484">
        <v>0</v>
      </c>
      <c r="H3552" s="688" t="str">
        <f>IF(G3552=0,"",IF(F3552="Buy",IF(G3552=1,"plant","plants"),IF(F3552&gt;0.01,"warranty","Error")))</f>
        <v/>
      </c>
      <c r="I3552" s="485">
        <f>IF(H3552="free",0,IF(H3552="credit",((E3552*(F3552))*G3552*-1),IF(F3552="Buy",(E3552*G3552),((E3552*(1-F3552))*G3552))))</f>
        <v>0</v>
      </c>
      <c r="J3552" s="485">
        <f>IF(H3552="warranty",0,(I3552*(_xlfn.SINGLE(SalesTaxPercentage))))</f>
        <v>0</v>
      </c>
      <c r="K3552" s="715">
        <f t="shared" ref="K3552" si="2715">I3552+J3552</f>
        <v>0</v>
      </c>
      <c r="L3552" s="715"/>
      <c r="M3552" s="689" t="str">
        <f ca="1">IF(AND(G3552&gt;0,E3552=0),"WARNING - no PRICE inserted",IF(H3552="free","FREE ~ no charge this plant",IF(H3552="credit",CONCATENATE("-$",ROUND(K3552*(1-_xlfn.SINGLE(T2GDiscount))*-1,2)," CREDIT after discount"),IF(_xlfn.SINGLE(T2GDiscount)=0,"",IF(G3552=0,"",IF(F3552="Buy",CONCATENATE("$",ROUND(K3552*(1-_xlfn.SINGLE(T2GDiscount)),2)," with ",(_xlfn.SINGLE(T2GDiscount)*100),"% discount"),CONCATENATE("$",ROUND(K3552*(1-_xlfn.SINGLE(T2GDiscount)),2)," with ",((_xlfn.SINGLE(T2GDiscount)*100+F3552*100)-(_xlfn.SINGLE(T2GDiscount)*100*F3552)),IF(F3552&gt;0,"% discounts",IF(_xlfn.SINGLE(NoWarrantyDiscount)&gt;0,"% discounts","% discount")))))))))</f>
        <v/>
      </c>
      <c r="N3552" s="690"/>
      <c r="O3552" s="486"/>
      <c r="P3552" s="486"/>
      <c r="Q3552" s="486"/>
      <c r="R3552" s="486"/>
      <c r="S3552" s="486"/>
      <c r="T3552" s="102">
        <f t="shared" si="2699"/>
        <v>0</v>
      </c>
      <c r="U3552" s="78">
        <f>IF(NOT(ISNUMBER(G3552)), "", VLOOKUP(A3552,'Discount Lookup'!D:E,2,FALSE)*G3552)</f>
        <v>0</v>
      </c>
      <c r="V3552" s="78">
        <f>IF(NOT(ISNUMBER(G3552)), "", VLOOKUP(A3552,'Discount Lookup'!G:H,2,FALSE)*G3552)</f>
        <v>0</v>
      </c>
      <c r="W3552" s="102">
        <f t="shared" si="2700"/>
        <v>0</v>
      </c>
      <c r="X3552" s="102">
        <f t="shared" si="2701"/>
        <v>0</v>
      </c>
      <c r="Y3552" s="120" t="b">
        <f t="shared" si="2702"/>
        <v>0</v>
      </c>
      <c r="Z3552" s="117">
        <f t="shared" si="2703"/>
        <v>0</v>
      </c>
      <c r="AA3552" s="118"/>
      <c r="AB3552" s="118" t="str">
        <f t="shared" si="2704"/>
        <v/>
      </c>
      <c r="AC3552" s="712" t="str">
        <f>IF(AE3552="T2G","no charge",IF(AND(OR(PlanterYesMe="No",PlanterYesMe="N",PlanterYesMe="me"),H3552=""),"",IF(H3552="credit","NO install",IF(AND(K3552="",AE3552="me"),"EACH row",IF(AND(K3552="images",AE3552="me"),"EACH row",IF(D3552="","",IF(H3552="credit","",IF(AE3552="free","re-planting",IF(AE3552="me","   not ELP, by",IF(AND(OR(PlanterYesMe="Yes",PlanterYesMe="Y"),G3552&gt;0),(VLOOKUP(A3552,'Discount Lookup'!J:K,2)*G3552*(1-PlanterDiscount)*(1+PlanterDifficultyPercentage)),IF(AE3552="ELP",(VLOOKUP(A3552,'Discount Lookup'!J:K,2)*G3552*(1-PlanterDiscount)*(1+PlanterDifficultyPercentage)),IF(AE3552="free","re-planting",IF(G3552=0,"",IF(PlanterYesMe="",IF(AE3552="me","   not ELP, by",IF(AE3552="",IF(G3552&gt;0,(VLOOKUP(A3552,'Discount Lookup'!J:K,2)*G3552*(1-PlanterDiscount)*(1+PlanterDifficultyPercentage)),""),"")),"   not ELP, by"))))))))))))))</f>
        <v/>
      </c>
      <c r="AD3552" s="712"/>
      <c r="AE3552" s="513" t="str">
        <f t="shared" si="2705"/>
        <v/>
      </c>
      <c r="AF3552" s="713" t="str">
        <f t="shared" si="2706"/>
        <v/>
      </c>
      <c r="AG3552" s="713"/>
      <c r="AH3552" s="713"/>
      <c r="AI3552" s="112">
        <f>IF(H3552="credit",0,IF(AE3552="free",0,IF(AE3552="me",0,IF(G3552&gt;0,(VLOOKUP(A3552,'Discount Lookup'!J:K,2)*G3552),0))))</f>
        <v>0</v>
      </c>
      <c r="AJ3552" s="107" t="str">
        <f t="shared" ca="1" si="2707"/>
        <v/>
      </c>
      <c r="AK3552" s="714" t="str">
        <f t="shared" si="2708"/>
        <v/>
      </c>
      <c r="AL3552" s="714"/>
      <c r="AM3552" s="114" t="str">
        <f t="shared" si="2709"/>
        <v/>
      </c>
      <c r="AN3552" s="115"/>
      <c r="AO3552" s="116"/>
      <c r="AP3552" s="116"/>
      <c r="AQ3552" s="116"/>
      <c r="AR3552" s="116"/>
      <c r="AS3552" s="116"/>
      <c r="AT3552" s="116"/>
      <c r="AU3552" s="116"/>
      <c r="AV3552" s="78"/>
      <c r="AW3552" s="102"/>
      <c r="AX3552" s="78"/>
      <c r="AY3552" s="78"/>
      <c r="AZ3552" s="78"/>
      <c r="BA3552" s="78"/>
      <c r="BB3552" s="78"/>
      <c r="BC3552" s="78"/>
      <c r="BD3552" s="78"/>
      <c r="BE3552" s="465"/>
      <c r="BF3552" s="165" t="str">
        <f t="shared" si="2710"/>
        <v>https://www.google.com/search?tbm=isch&amp;q=3%20G2</v>
      </c>
      <c r="BG3552" s="165" t="str">
        <f t="shared" si="2711"/>
        <v>R</v>
      </c>
      <c r="BH3552" s="65"/>
      <c r="BI3552" s="65"/>
      <c r="BJ3552" s="65"/>
      <c r="BK3552" s="65"/>
      <c r="BL3552" s="99"/>
      <c r="BM3552" s="99"/>
      <c r="BN3552" s="99"/>
    </row>
    <row r="3553" spans="1:66" s="51" customFormat="1" ht="17.25" thickBot="1" x14ac:dyDescent="0.3">
      <c r="A3553" s="508" t="s">
        <v>3974</v>
      </c>
      <c r="B3553" s="487"/>
      <c r="C3553" s="707"/>
      <c r="D3553" s="487"/>
      <c r="E3553" s="487"/>
      <c r="F3553" s="488"/>
      <c r="G3553" s="489"/>
      <c r="H3553" s="487"/>
      <c r="I3553" s="490"/>
      <c r="J3553" s="490"/>
      <c r="K3553" s="491"/>
      <c r="L3553" s="547"/>
      <c r="M3553" s="528"/>
      <c r="N3553" s="492"/>
      <c r="O3553" s="493"/>
      <c r="P3553" s="494"/>
      <c r="Q3553" s="492"/>
      <c r="R3553" s="492"/>
      <c r="S3553" s="699" t="s">
        <v>5248</v>
      </c>
      <c r="T3553" s="102">
        <f t="shared" si="2699"/>
        <v>0</v>
      </c>
      <c r="U3553" s="78" t="str">
        <f>IF(NOT(ISNUMBER(G3553)), "", VLOOKUP(A3553,'Discount Lookup'!D:E,2,FALSE)*G3553)</f>
        <v/>
      </c>
      <c r="V3553" s="78" t="str">
        <f>IF(NOT(ISNUMBER(G3553)), "", VLOOKUP(A3553,'Discount Lookup'!G:H,2,FALSE)*G3553)</f>
        <v/>
      </c>
      <c r="W3553" s="102">
        <f t="shared" si="2700"/>
        <v>0</v>
      </c>
      <c r="X3553" s="102">
        <f t="shared" si="2701"/>
        <v>0</v>
      </c>
      <c r="Y3553" s="120" t="b">
        <f t="shared" si="2702"/>
        <v>0</v>
      </c>
      <c r="Z3553" s="117">
        <f t="shared" si="2703"/>
        <v>0</v>
      </c>
      <c r="AA3553" s="118"/>
      <c r="AB3553" s="118" t="str">
        <f t="shared" si="2704"/>
        <v/>
      </c>
      <c r="AC3553" s="712" t="str">
        <f>IF(AE3553="T2G","no charge",IF(AND(OR(PlanterYesMe="No",PlanterYesMe="N",PlanterYesMe="me"),H3553=""),"",IF(H3553="credit","NO install",IF(AND(K3553="",AE3553="me"),"EACH row",IF(AND(K3553="images",AE3553="me"),"EACH row",IF(D3553="","",IF(H3553="credit","",IF(AE3553="free","re-planting",IF(AE3553="me","   not ELP, by",IF(AND(OR(PlanterYesMe="Yes",PlanterYesMe="Y"),G3553&gt;0),(VLOOKUP(A3553,'Discount Lookup'!J:K,2)*G3553*(1-PlanterDiscount)*(1+PlanterDifficultyPercentage)),IF(AE3553="ELP",(VLOOKUP(A3553,'Discount Lookup'!J:K,2)*G3553*(1-PlanterDiscount)*(1+PlanterDifficultyPercentage)),IF(AE3553="free","re-planting",IF(G3553=0,"",IF(PlanterYesMe="",IF(AE3553="me","   not ELP, by",IF(AE3553="",IF(G3553&gt;0,(VLOOKUP(A3553,'Discount Lookup'!J:K,2)*G3553*(1-PlanterDiscount)*(1+PlanterDifficultyPercentage)),""),"")),"   not ELP, by"))))))))))))))</f>
        <v/>
      </c>
      <c r="AD3553" s="712"/>
      <c r="AE3553" s="513" t="str">
        <f t="shared" si="2705"/>
        <v/>
      </c>
      <c r="AF3553" s="713" t="str">
        <f t="shared" si="2706"/>
        <v/>
      </c>
      <c r="AG3553" s="713"/>
      <c r="AH3553" s="713"/>
      <c r="AI3553" s="112">
        <f>IF(H3553="credit",0,IF(AE3553="free",0,IF(AE3553="me",0,IF(G3553&gt;0,(VLOOKUP(A3553,'Discount Lookup'!J:K,2)*G3553),0))))</f>
        <v>0</v>
      </c>
      <c r="AJ3553" s="107" t="str">
        <f t="shared" ca="1" si="2707"/>
        <v/>
      </c>
      <c r="AK3553" s="714" t="str">
        <f t="shared" si="2708"/>
        <v/>
      </c>
      <c r="AL3553" s="714"/>
      <c r="AM3553" s="114" t="str">
        <f t="shared" si="2709"/>
        <v/>
      </c>
      <c r="AN3553" s="115"/>
      <c r="AO3553" s="116"/>
      <c r="AP3553" s="116"/>
      <c r="AQ3553" s="116"/>
      <c r="AR3553" s="116"/>
      <c r="AS3553" s="116"/>
      <c r="AT3553" s="116"/>
      <c r="AU3553" s="116"/>
      <c r="AV3553" s="78"/>
      <c r="AW3553" s="102"/>
      <c r="AX3553" s="78"/>
      <c r="AY3553" s="78"/>
      <c r="AZ3553" s="78"/>
      <c r="BA3553" s="78"/>
      <c r="BB3553" s="78"/>
      <c r="BC3553" s="78"/>
      <c r="BD3553" s="78"/>
      <c r="BE3553" s="465"/>
      <c r="BF3553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53" s="165" t="str">
        <f t="shared" si="2711"/>
        <v>A</v>
      </c>
      <c r="BH3553" s="65"/>
      <c r="BI3553" s="65"/>
      <c r="BJ3553" s="65"/>
      <c r="BK3553" s="65"/>
      <c r="BL3553" s="99"/>
      <c r="BM3553" s="99"/>
      <c r="BN3553" s="99"/>
    </row>
    <row r="3554" spans="1:66" s="51" customFormat="1" ht="18" x14ac:dyDescent="0.25">
      <c r="A3554" s="507" t="s">
        <v>5770</v>
      </c>
      <c r="B3554" s="470"/>
      <c r="C3554" s="706"/>
      <c r="D3554" s="471" t="s">
        <v>5771</v>
      </c>
      <c r="E3554" s="472"/>
      <c r="F3554" s="472"/>
      <c r="G3554" s="472"/>
      <c r="H3554" s="622" t="s">
        <v>3978</v>
      </c>
      <c r="I3554" s="473" t="s">
        <v>5208</v>
      </c>
      <c r="J3554" s="472"/>
      <c r="K3554" s="472"/>
      <c r="L3554" s="561"/>
      <c r="M3554" s="698" t="s">
        <v>5246</v>
      </c>
      <c r="N3554" s="692" t="str">
        <f>IF(AND(ISTEXT($A3554), ISERROR($A3554+0)), HYPERLINK($BF3554, "Images"), "")</f>
        <v>Images</v>
      </c>
      <c r="O3554" s="694" t="s">
        <v>5264</v>
      </c>
      <c r="P3554" s="475"/>
      <c r="Q3554" s="476"/>
      <c r="R3554" s="476"/>
      <c r="S3554" s="477"/>
      <c r="T3554" s="102">
        <f t="shared" si="2699"/>
        <v>0</v>
      </c>
      <c r="U3554" s="78" t="str">
        <f>IF(NOT(ISNUMBER(G3554)), "", VLOOKUP(A3554,'Discount Lookup'!D:E,2,FALSE)*G3554)</f>
        <v/>
      </c>
      <c r="V3554" s="78" t="str">
        <f>IF(NOT(ISNUMBER(G3554)), "", VLOOKUP(A3554,'Discount Lookup'!G:H,2,FALSE)*G3554)</f>
        <v/>
      </c>
      <c r="W3554" s="102">
        <f t="shared" si="2700"/>
        <v>0</v>
      </c>
      <c r="X3554" s="102" t="str">
        <f t="shared" si="2701"/>
        <v>Soft Pink</v>
      </c>
      <c r="Y3554" s="120" t="b">
        <f t="shared" si="2702"/>
        <v>0</v>
      </c>
      <c r="Z3554" s="117">
        <f t="shared" si="2703"/>
        <v>0</v>
      </c>
      <c r="AA3554" s="118"/>
      <c r="AB3554" s="118" t="str">
        <f t="shared" si="2704"/>
        <v/>
      </c>
      <c r="AC3554" s="712" t="str">
        <f>IF(AE3554="T2G","no charge",IF(AND(OR(PlanterYesMe="No",PlanterYesMe="N",PlanterYesMe="me"),H3554=""),"",IF(H3554="credit","NO install",IF(AND(K3554="",AE3554="me"),"EACH row",IF(AND(K3554="images",AE3554="me"),"EACH row",IF(D3554="","",IF(H3554="credit","",IF(AE3554="free","re-planting",IF(AE3554="me","   not ELP, by",IF(AND(OR(PlanterYesMe="Yes",PlanterYesMe="Y"),G3554&gt;0),(VLOOKUP(A3554,'Discount Lookup'!J:K,2)*G3554*(1-PlanterDiscount)*(1+PlanterDifficultyPercentage)),IF(AE3554="ELP",(VLOOKUP(A3554,'Discount Lookup'!J:K,2)*G3554*(1-PlanterDiscount)*(1+PlanterDifficultyPercentage)),IF(AE3554="free","re-planting",IF(G3554=0,"",IF(PlanterYesMe="",IF(AE3554="me","   not ELP, by",IF(AE3554="",IF(G3554&gt;0,(VLOOKUP(A3554,'Discount Lookup'!J:K,2)*G3554*(1-PlanterDiscount)*(1+PlanterDifficultyPercentage)),""),"")),"   not ELP, by"))))))))))))))</f>
        <v/>
      </c>
      <c r="AD3554" s="712"/>
      <c r="AE3554" s="513" t="str">
        <f t="shared" si="2705"/>
        <v/>
      </c>
      <c r="AF3554" s="713" t="str">
        <f t="shared" si="2706"/>
        <v/>
      </c>
      <c r="AG3554" s="713"/>
      <c r="AH3554" s="713"/>
      <c r="AI3554" s="112">
        <f>IF(H3554="credit",0,IF(AE3554="free",0,IF(AE3554="me",0,IF(G3554&gt;0,(VLOOKUP(A3554,'Discount Lookup'!J:K,2)*G3554),0))))</f>
        <v>0</v>
      </c>
      <c r="AJ3554" s="107" t="str">
        <f t="shared" ca="1" si="2707"/>
        <v/>
      </c>
      <c r="AK3554" s="714" t="str">
        <f t="shared" si="2708"/>
        <v/>
      </c>
      <c r="AL3554" s="714"/>
      <c r="AM3554" s="114" t="str">
        <f t="shared" si="2709"/>
        <v/>
      </c>
      <c r="AN3554" s="115"/>
      <c r="AO3554" s="116"/>
      <c r="AP3554" s="116"/>
      <c r="AQ3554" s="116"/>
      <c r="AR3554" s="116"/>
      <c r="AS3554" s="116"/>
      <c r="AT3554" s="116"/>
      <c r="AU3554" s="116"/>
      <c r="AV3554" s="78"/>
      <c r="AW3554" s="102"/>
      <c r="AX3554" s="78"/>
      <c r="AY3554" s="78"/>
      <c r="AZ3554" s="78"/>
      <c r="BA3554" s="78"/>
      <c r="BB3554" s="78"/>
      <c r="BC3554" s="78"/>
      <c r="BD3554" s="78"/>
      <c r="BE3554" s="465"/>
      <c r="BF3554" s="165" t="str">
        <f t="shared" si="2710"/>
        <v>https://www.google.com/search?tbm=isch&amp;q=Rhod.%20Encore%C2%AE%20%27Roblec%27%20PP%2315339%20Autumn%20Carnation%C2%AE%20Encore%C2%AE%20Azalea</v>
      </c>
      <c r="BG3554" s="165" t="str">
        <f t="shared" si="2711"/>
        <v>R</v>
      </c>
      <c r="BH3554" s="65"/>
      <c r="BI3554" s="65"/>
      <c r="BJ3554" s="65"/>
      <c r="BK3554" s="65"/>
      <c r="BL3554" s="99"/>
      <c r="BM3554" s="99"/>
      <c r="BN3554" s="99"/>
    </row>
    <row r="3555" spans="1:66" s="51" customFormat="1" ht="15.75" x14ac:dyDescent="0.25">
      <c r="A3555" s="478">
        <v>3</v>
      </c>
      <c r="B3555" s="479" t="s">
        <v>291</v>
      </c>
      <c r="C3555" s="480" t="s">
        <v>345</v>
      </c>
      <c r="D3555" s="481" t="s">
        <v>329</v>
      </c>
      <c r="E3555" s="482">
        <v>29.95</v>
      </c>
      <c r="F3555" s="483" t="s">
        <v>292</v>
      </c>
      <c r="G3555" s="484">
        <v>0</v>
      </c>
      <c r="H3555" s="688" t="str">
        <f>IF(G3555=0,"",IF(F3555="Buy",IF(G3555=1,"plant","plants"),IF(F3555&gt;0.01,"warranty","Error")))</f>
        <v/>
      </c>
      <c r="I3555" s="485">
        <f>IF(H3555="free",0,IF(H3555="credit",((E3555*(F3555))*G3555*-1),IF(F3555="Buy",(E3555*G3555),((E3555*(1-F3555))*G3555))))</f>
        <v>0</v>
      </c>
      <c r="J3555" s="485">
        <f>IF(H3555="warranty",0,(I3555*(_xlfn.SINGLE(SalesTaxPercentage))))</f>
        <v>0</v>
      </c>
      <c r="K3555" s="715">
        <f t="shared" ref="K3555" si="2716">I3555+J3555</f>
        <v>0</v>
      </c>
      <c r="L3555" s="715"/>
      <c r="M3555" s="689" t="str">
        <f ca="1">IF(AND(G3555&gt;0,E3555=0),"WARNING - no PRICE inserted",IF(H3555="free","FREE ~ no charge this plant",IF(H3555="credit",CONCATENATE("-$",ROUND(K3555*(1-_xlfn.SINGLE(T2GDiscount))*-1,2)," CREDIT after discount"),IF(_xlfn.SINGLE(T2GDiscount)=0,"",IF(G3555=0,"",IF(F3555="Buy",CONCATENATE("$",ROUND(K3555*(1-_xlfn.SINGLE(T2GDiscount)),2)," with ",(_xlfn.SINGLE(T2GDiscount)*100),"% discount"),CONCATENATE("$",ROUND(K3555*(1-_xlfn.SINGLE(T2GDiscount)),2)," with ",((_xlfn.SINGLE(T2GDiscount)*100+F3555*100)-(_xlfn.SINGLE(T2GDiscount)*100*F3555)),IF(F3555&gt;0,"% discounts",IF(_xlfn.SINGLE(NoWarrantyDiscount)&gt;0,"% discounts","% discount")))))))))</f>
        <v/>
      </c>
      <c r="N3555" s="690"/>
      <c r="O3555" s="486"/>
      <c r="P3555" s="486"/>
      <c r="Q3555" s="486"/>
      <c r="R3555" s="486"/>
      <c r="S3555" s="486"/>
      <c r="T3555" s="102">
        <f t="shared" si="2699"/>
        <v>0</v>
      </c>
      <c r="U3555" s="78">
        <f>IF(NOT(ISNUMBER(G3555)), "", VLOOKUP(A3555,'Discount Lookup'!D:E,2,FALSE)*G3555)</f>
        <v>0</v>
      </c>
      <c r="V3555" s="78">
        <f>IF(NOT(ISNUMBER(G3555)), "", VLOOKUP(A3555,'Discount Lookup'!G:H,2,FALSE)*G3555)</f>
        <v>0</v>
      </c>
      <c r="W3555" s="102">
        <f t="shared" si="2700"/>
        <v>0</v>
      </c>
      <c r="X3555" s="102">
        <f t="shared" si="2701"/>
        <v>0</v>
      </c>
      <c r="Y3555" s="120" t="b">
        <f t="shared" si="2702"/>
        <v>0</v>
      </c>
      <c r="Z3555" s="117">
        <f t="shared" si="2703"/>
        <v>0</v>
      </c>
      <c r="AA3555" s="118"/>
      <c r="AB3555" s="118" t="str">
        <f t="shared" si="2704"/>
        <v/>
      </c>
      <c r="AC3555" s="712" t="str">
        <f>IF(AE3555="T2G","no charge",IF(AND(OR(PlanterYesMe="No",PlanterYesMe="N",PlanterYesMe="me"),H3555=""),"",IF(H3555="credit","NO install",IF(AND(K3555="",AE3555="me"),"EACH row",IF(AND(K3555="images",AE3555="me"),"EACH row",IF(D3555="","",IF(H3555="credit","",IF(AE3555="free","re-planting",IF(AE3555="me","   not ELP, by",IF(AND(OR(PlanterYesMe="Yes",PlanterYesMe="Y"),G3555&gt;0),(VLOOKUP(A3555,'Discount Lookup'!J:K,2)*G3555*(1-PlanterDiscount)*(1+PlanterDifficultyPercentage)),IF(AE3555="ELP",(VLOOKUP(A3555,'Discount Lookup'!J:K,2)*G3555*(1-PlanterDiscount)*(1+PlanterDifficultyPercentage)),IF(AE3555="free","re-planting",IF(G3555=0,"",IF(PlanterYesMe="",IF(AE3555="me","   not ELP, by",IF(AE3555="",IF(G3555&gt;0,(VLOOKUP(A3555,'Discount Lookup'!J:K,2)*G3555*(1-PlanterDiscount)*(1+PlanterDifficultyPercentage)),""),"")),"   not ELP, by"))))))))))))))</f>
        <v/>
      </c>
      <c r="AD3555" s="712"/>
      <c r="AE3555" s="513" t="str">
        <f t="shared" si="2705"/>
        <v/>
      </c>
      <c r="AF3555" s="713" t="str">
        <f t="shared" si="2706"/>
        <v/>
      </c>
      <c r="AG3555" s="713"/>
      <c r="AH3555" s="713"/>
      <c r="AI3555" s="112">
        <f>IF(H3555="credit",0,IF(AE3555="free",0,IF(AE3555="me",0,IF(G3555&gt;0,(VLOOKUP(A3555,'Discount Lookup'!J:K,2)*G3555),0))))</f>
        <v>0</v>
      </c>
      <c r="AJ3555" s="107" t="str">
        <f t="shared" ca="1" si="2707"/>
        <v/>
      </c>
      <c r="AK3555" s="714" t="str">
        <f t="shared" si="2708"/>
        <v/>
      </c>
      <c r="AL3555" s="714"/>
      <c r="AM3555" s="114" t="str">
        <f t="shared" si="2709"/>
        <v/>
      </c>
      <c r="AN3555" s="115"/>
      <c r="AO3555" s="116"/>
      <c r="AP3555" s="116"/>
      <c r="AQ3555" s="116"/>
      <c r="AR3555" s="116"/>
      <c r="AS3555" s="116"/>
      <c r="AT3555" s="116"/>
      <c r="AU3555" s="116"/>
      <c r="AV3555" s="78"/>
      <c r="AW3555" s="102"/>
      <c r="AX3555" s="78"/>
      <c r="AY3555" s="78"/>
      <c r="AZ3555" s="78"/>
      <c r="BA3555" s="78"/>
      <c r="BB3555" s="78"/>
      <c r="BC3555" s="78"/>
      <c r="BD3555" s="78"/>
      <c r="BE3555" s="465"/>
      <c r="BF3555" s="165" t="str">
        <f t="shared" si="2710"/>
        <v>https://www.google.com/search?tbm=isch&amp;q=3%20G2</v>
      </c>
      <c r="BG3555" s="165" t="str">
        <f t="shared" si="2711"/>
        <v>R</v>
      </c>
      <c r="BH3555" s="65"/>
      <c r="BI3555" s="65"/>
      <c r="BJ3555" s="65"/>
      <c r="BK3555" s="65"/>
      <c r="BL3555" s="99"/>
      <c r="BM3555" s="99"/>
      <c r="BN3555" s="99"/>
    </row>
    <row r="3556" spans="1:66" s="51" customFormat="1" ht="17.25" thickBot="1" x14ac:dyDescent="0.3">
      <c r="A3556" s="508" t="s">
        <v>3974</v>
      </c>
      <c r="B3556" s="487"/>
      <c r="C3556" s="707"/>
      <c r="D3556" s="487"/>
      <c r="E3556" s="487"/>
      <c r="F3556" s="488"/>
      <c r="G3556" s="489"/>
      <c r="H3556" s="487"/>
      <c r="I3556" s="490"/>
      <c r="J3556" s="490"/>
      <c r="K3556" s="491"/>
      <c r="L3556" s="547"/>
      <c r="M3556" s="528"/>
      <c r="N3556" s="492"/>
      <c r="O3556" s="493"/>
      <c r="P3556" s="494"/>
      <c r="Q3556" s="492"/>
      <c r="R3556" s="492"/>
      <c r="S3556" s="699" t="s">
        <v>5248</v>
      </c>
      <c r="T3556" s="102">
        <f t="shared" si="2699"/>
        <v>0</v>
      </c>
      <c r="U3556" s="78" t="str">
        <f>IF(NOT(ISNUMBER(G3556)), "", VLOOKUP(A3556,'Discount Lookup'!D:E,2,FALSE)*G3556)</f>
        <v/>
      </c>
      <c r="V3556" s="78" t="str">
        <f>IF(NOT(ISNUMBER(G3556)), "", VLOOKUP(A3556,'Discount Lookup'!G:H,2,FALSE)*G3556)</f>
        <v/>
      </c>
      <c r="W3556" s="102">
        <f t="shared" si="2700"/>
        <v>0</v>
      </c>
      <c r="X3556" s="102">
        <f t="shared" si="2701"/>
        <v>0</v>
      </c>
      <c r="Y3556" s="120" t="b">
        <f t="shared" si="2702"/>
        <v>0</v>
      </c>
      <c r="Z3556" s="117">
        <f t="shared" si="2703"/>
        <v>0</v>
      </c>
      <c r="AA3556" s="118"/>
      <c r="AB3556" s="118" t="str">
        <f t="shared" si="2704"/>
        <v/>
      </c>
      <c r="AC3556" s="712" t="str">
        <f>IF(AE3556="T2G","no charge",IF(AND(OR(PlanterYesMe="No",PlanterYesMe="N",PlanterYesMe="me"),H3556=""),"",IF(H3556="credit","NO install",IF(AND(K3556="",AE3556="me"),"EACH row",IF(AND(K3556="images",AE3556="me"),"EACH row",IF(D3556="","",IF(H3556="credit","",IF(AE3556="free","re-planting",IF(AE3556="me","   not ELP, by",IF(AND(OR(PlanterYesMe="Yes",PlanterYesMe="Y"),G3556&gt;0),(VLOOKUP(A3556,'Discount Lookup'!J:K,2)*G3556*(1-PlanterDiscount)*(1+PlanterDifficultyPercentage)),IF(AE3556="ELP",(VLOOKUP(A3556,'Discount Lookup'!J:K,2)*G3556*(1-PlanterDiscount)*(1+PlanterDifficultyPercentage)),IF(AE3556="free","re-planting",IF(G3556=0,"",IF(PlanterYesMe="",IF(AE3556="me","   not ELP, by",IF(AE3556="",IF(G3556&gt;0,(VLOOKUP(A3556,'Discount Lookup'!J:K,2)*G3556*(1-PlanterDiscount)*(1+PlanterDifficultyPercentage)),""),"")),"   not ELP, by"))))))))))))))</f>
        <v/>
      </c>
      <c r="AD3556" s="712"/>
      <c r="AE3556" s="513" t="str">
        <f t="shared" si="2705"/>
        <v/>
      </c>
      <c r="AF3556" s="713" t="str">
        <f t="shared" si="2706"/>
        <v/>
      </c>
      <c r="AG3556" s="713"/>
      <c r="AH3556" s="713"/>
      <c r="AI3556" s="112">
        <f>IF(H3556="credit",0,IF(AE3556="free",0,IF(AE3556="me",0,IF(G3556&gt;0,(VLOOKUP(A3556,'Discount Lookup'!J:K,2)*G3556),0))))</f>
        <v>0</v>
      </c>
      <c r="AJ3556" s="107" t="str">
        <f t="shared" ca="1" si="2707"/>
        <v/>
      </c>
      <c r="AK3556" s="714" t="str">
        <f t="shared" si="2708"/>
        <v/>
      </c>
      <c r="AL3556" s="714"/>
      <c r="AM3556" s="114" t="str">
        <f t="shared" si="2709"/>
        <v/>
      </c>
      <c r="AN3556" s="115"/>
      <c r="AO3556" s="116"/>
      <c r="AP3556" s="116"/>
      <c r="AQ3556" s="116"/>
      <c r="AR3556" s="116"/>
      <c r="AS3556" s="116"/>
      <c r="AT3556" s="116"/>
      <c r="AU3556" s="116"/>
      <c r="AV3556" s="78"/>
      <c r="AW3556" s="102"/>
      <c r="AX3556" s="78"/>
      <c r="AY3556" s="78"/>
      <c r="AZ3556" s="78"/>
      <c r="BA3556" s="78"/>
      <c r="BB3556" s="78"/>
      <c r="BC3556" s="78"/>
      <c r="BD3556" s="78"/>
      <c r="BE3556" s="465"/>
      <c r="BF3556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56" s="165" t="str">
        <f t="shared" si="2711"/>
        <v>A</v>
      </c>
      <c r="BH3556" s="65"/>
      <c r="BI3556" s="65"/>
      <c r="BJ3556" s="65"/>
      <c r="BK3556" s="65"/>
      <c r="BL3556" s="99"/>
      <c r="BM3556" s="99"/>
      <c r="BN3556" s="99"/>
    </row>
    <row r="3557" spans="1:66" s="51" customFormat="1" ht="18" x14ac:dyDescent="0.25">
      <c r="A3557" s="507" t="s">
        <v>5772</v>
      </c>
      <c r="B3557" s="470"/>
      <c r="C3557" s="706"/>
      <c r="D3557" s="471" t="s">
        <v>5773</v>
      </c>
      <c r="E3557" s="472"/>
      <c r="F3557" s="472"/>
      <c r="G3557" s="472"/>
      <c r="H3557" s="622" t="s">
        <v>3981</v>
      </c>
      <c r="I3557" s="473" t="s">
        <v>3988</v>
      </c>
      <c r="J3557" s="472"/>
      <c r="K3557" s="472"/>
      <c r="L3557" s="561"/>
      <c r="M3557" s="698" t="s">
        <v>5246</v>
      </c>
      <c r="N3557" s="692" t="str">
        <f>IF(AND(ISTEXT($A3557), ISERROR($A3557+0)), HYPERLINK($BF3557, "Images"), "")</f>
        <v>Images</v>
      </c>
      <c r="O3557" s="694" t="s">
        <v>5264</v>
      </c>
      <c r="P3557" s="475"/>
      <c r="Q3557" s="476"/>
      <c r="R3557" s="476"/>
      <c r="S3557" s="477"/>
      <c r="T3557" s="102">
        <f t="shared" si="2699"/>
        <v>0</v>
      </c>
      <c r="U3557" s="78" t="str">
        <f>IF(NOT(ISNUMBER(G3557)), "", VLOOKUP(A3557,'Discount Lookup'!D:E,2,FALSE)*G3557)</f>
        <v/>
      </c>
      <c r="V3557" s="78" t="str">
        <f>IF(NOT(ISNUMBER(G3557)), "", VLOOKUP(A3557,'Discount Lookup'!G:H,2,FALSE)*G3557)</f>
        <v/>
      </c>
      <c r="W3557" s="102">
        <f t="shared" si="2700"/>
        <v>0</v>
      </c>
      <c r="X3557" s="102" t="str">
        <f t="shared" si="2701"/>
        <v>pale Pink +dark Pink throat</v>
      </c>
      <c r="Y3557" s="120" t="b">
        <f t="shared" si="2702"/>
        <v>0</v>
      </c>
      <c r="Z3557" s="117">
        <f t="shared" si="2703"/>
        <v>0</v>
      </c>
      <c r="AA3557" s="118"/>
      <c r="AB3557" s="118" t="str">
        <f t="shared" si="2704"/>
        <v/>
      </c>
      <c r="AC3557" s="712" t="str">
        <f>IF(AE3557="T2G","no charge",IF(AND(OR(PlanterYesMe="No",PlanterYesMe="N",PlanterYesMe="me"),H3557=""),"",IF(H3557="credit","NO install",IF(AND(K3557="",AE3557="me"),"EACH row",IF(AND(K3557="images",AE3557="me"),"EACH row",IF(D3557="","",IF(H3557="credit","",IF(AE3557="free","re-planting",IF(AE3557="me","   not ELP, by",IF(AND(OR(PlanterYesMe="Yes",PlanterYesMe="Y"),G3557&gt;0),(VLOOKUP(A3557,'Discount Lookup'!J:K,2)*G3557*(1-PlanterDiscount)*(1+PlanterDifficultyPercentage)),IF(AE3557="ELP",(VLOOKUP(A3557,'Discount Lookup'!J:K,2)*G3557*(1-PlanterDiscount)*(1+PlanterDifficultyPercentage)),IF(AE3557="free","re-planting",IF(G3557=0,"",IF(PlanterYesMe="",IF(AE3557="me","   not ELP, by",IF(AE3557="",IF(G3557&gt;0,(VLOOKUP(A3557,'Discount Lookup'!J:K,2)*G3557*(1-PlanterDiscount)*(1+PlanterDifficultyPercentage)),""),"")),"   not ELP, by"))))))))))))))</f>
        <v/>
      </c>
      <c r="AD3557" s="712"/>
      <c r="AE3557" s="513" t="str">
        <f t="shared" si="2705"/>
        <v/>
      </c>
      <c r="AF3557" s="713" t="str">
        <f t="shared" si="2706"/>
        <v/>
      </c>
      <c r="AG3557" s="713"/>
      <c r="AH3557" s="713"/>
      <c r="AI3557" s="112">
        <f>IF(H3557="credit",0,IF(AE3557="free",0,IF(AE3557="me",0,IF(G3557&gt;0,(VLOOKUP(A3557,'Discount Lookup'!J:K,2)*G3557),0))))</f>
        <v>0</v>
      </c>
      <c r="AJ3557" s="107" t="str">
        <f t="shared" ca="1" si="2707"/>
        <v/>
      </c>
      <c r="AK3557" s="714" t="str">
        <f t="shared" si="2708"/>
        <v/>
      </c>
      <c r="AL3557" s="714"/>
      <c r="AM3557" s="114" t="str">
        <f t="shared" si="2709"/>
        <v/>
      </c>
      <c r="AN3557" s="115"/>
      <c r="AO3557" s="116"/>
      <c r="AP3557" s="116"/>
      <c r="AQ3557" s="116"/>
      <c r="AR3557" s="116"/>
      <c r="AS3557" s="116"/>
      <c r="AT3557" s="116"/>
      <c r="AU3557" s="116"/>
      <c r="AV3557" s="78"/>
      <c r="AW3557" s="102"/>
      <c r="AX3557" s="78"/>
      <c r="AY3557" s="78"/>
      <c r="AZ3557" s="78"/>
      <c r="BA3557" s="78"/>
      <c r="BB3557" s="78"/>
      <c r="BC3557" s="78"/>
      <c r="BD3557" s="78"/>
      <c r="BE3557" s="465"/>
      <c r="BF3557" s="165" t="str">
        <f t="shared" si="2710"/>
        <v>https://www.google.com/search?tbm=isch&amp;q=Rhod.%20Encore%C2%AE%20%27Robled%27%20PP%2315862%20Autumn%20Chiffon%E2%84%A2%20Encore%C2%AE%20Azalea</v>
      </c>
      <c r="BG3557" s="165" t="str">
        <f t="shared" si="2711"/>
        <v>R</v>
      </c>
      <c r="BH3557" s="65"/>
      <c r="BI3557" s="65"/>
      <c r="BJ3557" s="65"/>
      <c r="BK3557" s="65"/>
      <c r="BL3557" s="99"/>
      <c r="BM3557" s="99"/>
      <c r="BN3557" s="99"/>
    </row>
    <row r="3558" spans="1:66" s="51" customFormat="1" ht="27" x14ac:dyDescent="0.25">
      <c r="A3558" s="478">
        <v>3</v>
      </c>
      <c r="B3558" s="479" t="s">
        <v>291</v>
      </c>
      <c r="C3558" s="480" t="s">
        <v>3989</v>
      </c>
      <c r="D3558" s="481" t="s">
        <v>329</v>
      </c>
      <c r="E3558" s="482">
        <v>29.95</v>
      </c>
      <c r="F3558" s="483" t="s">
        <v>292</v>
      </c>
      <c r="G3558" s="484">
        <v>0</v>
      </c>
      <c r="H3558" s="688" t="str">
        <f>IF(G3558=0,"",IF(F3558="Buy",IF(G3558=1,"plant","plants"),IF(F3558&gt;0.01,"warranty","Error")))</f>
        <v/>
      </c>
      <c r="I3558" s="485">
        <f>IF(H3558="free",0,IF(H3558="credit",((E3558*(F3558))*G3558*-1),IF(F3558="Buy",(E3558*G3558),((E3558*(1-F3558))*G3558))))</f>
        <v>0</v>
      </c>
      <c r="J3558" s="485">
        <f>IF(H3558="warranty",0,(I3558*(_xlfn.SINGLE(SalesTaxPercentage))))</f>
        <v>0</v>
      </c>
      <c r="K3558" s="715">
        <f t="shared" ref="K3558" si="2717">I3558+J3558</f>
        <v>0</v>
      </c>
      <c r="L3558" s="715"/>
      <c r="M3558" s="689" t="str">
        <f ca="1">IF(AND(G3558&gt;0,E3558=0),"WARNING - no PRICE inserted",IF(H3558="free","FREE ~ no charge this plant",IF(H3558="credit",CONCATENATE("-$",ROUND(K3558*(1-_xlfn.SINGLE(T2GDiscount))*-1,2)," CREDIT after discount"),IF(_xlfn.SINGLE(T2GDiscount)=0,"",IF(G3558=0,"",IF(F3558="Buy",CONCATENATE("$",ROUND(K3558*(1-_xlfn.SINGLE(T2GDiscount)),2)," with ",(_xlfn.SINGLE(T2GDiscount)*100),"% discount"),CONCATENATE("$",ROUND(K3558*(1-_xlfn.SINGLE(T2GDiscount)),2)," with ",((_xlfn.SINGLE(T2GDiscount)*100+F3558*100)-(_xlfn.SINGLE(T2GDiscount)*100*F3558)),IF(F3558&gt;0,"% discounts",IF(_xlfn.SINGLE(NoWarrantyDiscount)&gt;0,"% discounts","% discount")))))))))</f>
        <v/>
      </c>
      <c r="N3558" s="690"/>
      <c r="O3558" s="486"/>
      <c r="P3558" s="486"/>
      <c r="Q3558" s="486"/>
      <c r="R3558" s="486"/>
      <c r="S3558" s="486"/>
      <c r="T3558" s="102">
        <f t="shared" si="2699"/>
        <v>0</v>
      </c>
      <c r="U3558" s="78">
        <f>IF(NOT(ISNUMBER(G3558)), "", VLOOKUP(A3558,'Discount Lookup'!D:E,2,FALSE)*G3558)</f>
        <v>0</v>
      </c>
      <c r="V3558" s="78">
        <f>IF(NOT(ISNUMBER(G3558)), "", VLOOKUP(A3558,'Discount Lookup'!G:H,2,FALSE)*G3558)</f>
        <v>0</v>
      </c>
      <c r="W3558" s="102">
        <f t="shared" si="2700"/>
        <v>0</v>
      </c>
      <c r="X3558" s="102">
        <f t="shared" si="2701"/>
        <v>0</v>
      </c>
      <c r="Y3558" s="120" t="b">
        <f t="shared" si="2702"/>
        <v>0</v>
      </c>
      <c r="Z3558" s="117">
        <f t="shared" si="2703"/>
        <v>0</v>
      </c>
      <c r="AA3558" s="118"/>
      <c r="AB3558" s="118" t="str">
        <f t="shared" si="2704"/>
        <v/>
      </c>
      <c r="AC3558" s="712" t="str">
        <f>IF(AE3558="T2G","no charge",IF(AND(OR(PlanterYesMe="No",PlanterYesMe="N",PlanterYesMe="me"),H3558=""),"",IF(H3558="credit","NO install",IF(AND(K3558="",AE3558="me"),"EACH row",IF(AND(K3558="images",AE3558="me"),"EACH row",IF(D3558="","",IF(H3558="credit","",IF(AE3558="free","re-planting",IF(AE3558="me","   not ELP, by",IF(AND(OR(PlanterYesMe="Yes",PlanterYesMe="Y"),G3558&gt;0),(VLOOKUP(A3558,'Discount Lookup'!J:K,2)*G3558*(1-PlanterDiscount)*(1+PlanterDifficultyPercentage)),IF(AE3558="ELP",(VLOOKUP(A3558,'Discount Lookup'!J:K,2)*G3558*(1-PlanterDiscount)*(1+PlanterDifficultyPercentage)),IF(AE3558="free","re-planting",IF(G3558=0,"",IF(PlanterYesMe="",IF(AE3558="me","   not ELP, by",IF(AE3558="",IF(G3558&gt;0,(VLOOKUP(A3558,'Discount Lookup'!J:K,2)*G3558*(1-PlanterDiscount)*(1+PlanterDifficultyPercentage)),""),"")),"   not ELP, by"))))))))))))))</f>
        <v/>
      </c>
      <c r="AD3558" s="712"/>
      <c r="AE3558" s="513" t="str">
        <f t="shared" si="2705"/>
        <v/>
      </c>
      <c r="AF3558" s="713" t="str">
        <f t="shared" si="2706"/>
        <v/>
      </c>
      <c r="AG3558" s="713"/>
      <c r="AH3558" s="713"/>
      <c r="AI3558" s="112">
        <f>IF(H3558="credit",0,IF(AE3558="free",0,IF(AE3558="me",0,IF(G3558&gt;0,(VLOOKUP(A3558,'Discount Lookup'!J:K,2)*G3558),0))))</f>
        <v>0</v>
      </c>
      <c r="AJ3558" s="107" t="str">
        <f t="shared" ca="1" si="2707"/>
        <v/>
      </c>
      <c r="AK3558" s="714" t="str">
        <f t="shared" si="2708"/>
        <v/>
      </c>
      <c r="AL3558" s="714"/>
      <c r="AM3558" s="114" t="str">
        <f t="shared" si="2709"/>
        <v/>
      </c>
      <c r="AN3558" s="115"/>
      <c r="AO3558" s="116"/>
      <c r="AP3558" s="116"/>
      <c r="AQ3558" s="116"/>
      <c r="AR3558" s="116"/>
      <c r="AS3558" s="116"/>
      <c r="AT3558" s="116"/>
      <c r="AU3558" s="116"/>
      <c r="AV3558" s="78"/>
      <c r="AW3558" s="102"/>
      <c r="AX3558" s="78"/>
      <c r="AY3558" s="78"/>
      <c r="AZ3558" s="78"/>
      <c r="BA3558" s="78"/>
      <c r="BB3558" s="78"/>
      <c r="BC3558" s="78"/>
      <c r="BD3558" s="78"/>
      <c r="BE3558" s="465"/>
      <c r="BF3558" s="165" t="str">
        <f t="shared" si="2710"/>
        <v>https://www.google.com/search?tbm=isch&amp;q=3%20G2</v>
      </c>
      <c r="BG3558" s="165" t="str">
        <f t="shared" si="2711"/>
        <v>R</v>
      </c>
      <c r="BH3558" s="65"/>
      <c r="BI3558" s="65"/>
      <c r="BJ3558" s="65"/>
      <c r="BK3558" s="65"/>
      <c r="BL3558" s="99"/>
      <c r="BM3558" s="99"/>
      <c r="BN3558" s="99"/>
    </row>
    <row r="3559" spans="1:66" s="51" customFormat="1" ht="17.25" thickBot="1" x14ac:dyDescent="0.3">
      <c r="A3559" s="508" t="s">
        <v>3974</v>
      </c>
      <c r="B3559" s="487"/>
      <c r="C3559" s="707"/>
      <c r="D3559" s="487"/>
      <c r="E3559" s="487"/>
      <c r="F3559" s="488"/>
      <c r="G3559" s="489"/>
      <c r="H3559" s="487"/>
      <c r="I3559" s="490"/>
      <c r="J3559" s="490"/>
      <c r="K3559" s="491"/>
      <c r="L3559" s="547"/>
      <c r="M3559" s="528"/>
      <c r="N3559" s="492"/>
      <c r="O3559" s="493"/>
      <c r="P3559" s="494"/>
      <c r="Q3559" s="492"/>
      <c r="R3559" s="492"/>
      <c r="S3559" s="699" t="s">
        <v>5248</v>
      </c>
      <c r="T3559" s="102">
        <f t="shared" si="2699"/>
        <v>0</v>
      </c>
      <c r="U3559" s="78" t="str">
        <f>IF(NOT(ISNUMBER(G3559)), "", VLOOKUP(A3559,'Discount Lookup'!D:E,2,FALSE)*G3559)</f>
        <v/>
      </c>
      <c r="V3559" s="78" t="str">
        <f>IF(NOT(ISNUMBER(G3559)), "", VLOOKUP(A3559,'Discount Lookup'!G:H,2,FALSE)*G3559)</f>
        <v/>
      </c>
      <c r="W3559" s="102">
        <f t="shared" si="2700"/>
        <v>0</v>
      </c>
      <c r="X3559" s="102">
        <f t="shared" si="2701"/>
        <v>0</v>
      </c>
      <c r="Y3559" s="120" t="b">
        <f t="shared" si="2702"/>
        <v>0</v>
      </c>
      <c r="Z3559" s="117">
        <f t="shared" si="2703"/>
        <v>0</v>
      </c>
      <c r="AA3559" s="118"/>
      <c r="AB3559" s="118" t="str">
        <f t="shared" si="2704"/>
        <v/>
      </c>
      <c r="AC3559" s="712" t="str">
        <f>IF(AE3559="T2G","no charge",IF(AND(OR(PlanterYesMe="No",PlanterYesMe="N",PlanterYesMe="me"),H3559=""),"",IF(H3559="credit","NO install",IF(AND(K3559="",AE3559="me"),"EACH row",IF(AND(K3559="images",AE3559="me"),"EACH row",IF(D3559="","",IF(H3559="credit","",IF(AE3559="free","re-planting",IF(AE3559="me","   not ELP, by",IF(AND(OR(PlanterYesMe="Yes",PlanterYesMe="Y"),G3559&gt;0),(VLOOKUP(A3559,'Discount Lookup'!J:K,2)*G3559*(1-PlanterDiscount)*(1+PlanterDifficultyPercentage)),IF(AE3559="ELP",(VLOOKUP(A3559,'Discount Lookup'!J:K,2)*G3559*(1-PlanterDiscount)*(1+PlanterDifficultyPercentage)),IF(AE3559="free","re-planting",IF(G3559=0,"",IF(PlanterYesMe="",IF(AE3559="me","   not ELP, by",IF(AE3559="",IF(G3559&gt;0,(VLOOKUP(A3559,'Discount Lookup'!J:K,2)*G3559*(1-PlanterDiscount)*(1+PlanterDifficultyPercentage)),""),"")),"   not ELP, by"))))))))))))))</f>
        <v/>
      </c>
      <c r="AD3559" s="712"/>
      <c r="AE3559" s="513" t="str">
        <f t="shared" si="2705"/>
        <v/>
      </c>
      <c r="AF3559" s="713" t="str">
        <f t="shared" si="2706"/>
        <v/>
      </c>
      <c r="AG3559" s="713"/>
      <c r="AH3559" s="713"/>
      <c r="AI3559" s="112">
        <f>IF(H3559="credit",0,IF(AE3559="free",0,IF(AE3559="me",0,IF(G3559&gt;0,(VLOOKUP(A3559,'Discount Lookup'!J:K,2)*G3559),0))))</f>
        <v>0</v>
      </c>
      <c r="AJ3559" s="107" t="str">
        <f t="shared" ca="1" si="2707"/>
        <v/>
      </c>
      <c r="AK3559" s="714" t="str">
        <f t="shared" si="2708"/>
        <v/>
      </c>
      <c r="AL3559" s="714"/>
      <c r="AM3559" s="114" t="str">
        <f t="shared" si="2709"/>
        <v/>
      </c>
      <c r="AN3559" s="115"/>
      <c r="AO3559" s="116"/>
      <c r="AP3559" s="116"/>
      <c r="AQ3559" s="116"/>
      <c r="AR3559" s="116"/>
      <c r="AS3559" s="116"/>
      <c r="AT3559" s="116"/>
      <c r="AU3559" s="116"/>
      <c r="AV3559" s="78"/>
      <c r="AW3559" s="102"/>
      <c r="AX3559" s="78"/>
      <c r="AY3559" s="78"/>
      <c r="AZ3559" s="78"/>
      <c r="BA3559" s="78"/>
      <c r="BB3559" s="78"/>
      <c r="BC3559" s="78"/>
      <c r="BD3559" s="78"/>
      <c r="BE3559" s="465"/>
      <c r="BF3559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59" s="165" t="str">
        <f t="shared" si="2711"/>
        <v>A</v>
      </c>
      <c r="BH3559" s="65"/>
      <c r="BI3559" s="65"/>
      <c r="BJ3559" s="65"/>
      <c r="BK3559" s="65"/>
      <c r="BL3559" s="99"/>
      <c r="BM3559" s="99"/>
      <c r="BN3559" s="99"/>
    </row>
    <row r="3560" spans="1:66" s="51" customFormat="1" ht="18" x14ac:dyDescent="0.25">
      <c r="A3560" s="507" t="s">
        <v>5774</v>
      </c>
      <c r="B3560" s="470"/>
      <c r="C3560" s="706"/>
      <c r="D3560" s="471" t="s">
        <v>5775</v>
      </c>
      <c r="E3560" s="472"/>
      <c r="F3560" s="472"/>
      <c r="G3560" s="472"/>
      <c r="H3560" s="622" t="s">
        <v>3978</v>
      </c>
      <c r="I3560" s="473" t="s">
        <v>2038</v>
      </c>
      <c r="J3560" s="472"/>
      <c r="K3560" s="472"/>
      <c r="L3560" s="561"/>
      <c r="M3560" s="698" t="s">
        <v>5246</v>
      </c>
      <c r="N3560" s="692" t="str">
        <f>IF(AND(ISTEXT($A3560), ISERROR($A3560+0)), HYPERLINK($BF3560, "Images"), "")</f>
        <v>Images</v>
      </c>
      <c r="O3560" s="694" t="s">
        <v>5264</v>
      </c>
      <c r="P3560" s="475"/>
      <c r="Q3560" s="476"/>
      <c r="R3560" s="476"/>
      <c r="S3560" s="477"/>
      <c r="T3560" s="102">
        <f t="shared" si="2699"/>
        <v>0</v>
      </c>
      <c r="U3560" s="78" t="str">
        <f>IF(NOT(ISNUMBER(G3560)), "", VLOOKUP(A3560,'Discount Lookup'!D:E,2,FALSE)*G3560)</f>
        <v/>
      </c>
      <c r="V3560" s="78" t="str">
        <f>IF(NOT(ISNUMBER(G3560)), "", VLOOKUP(A3560,'Discount Lookup'!G:H,2,FALSE)*G3560)</f>
        <v/>
      </c>
      <c r="W3560" s="102">
        <f t="shared" si="2700"/>
        <v>0</v>
      </c>
      <c r="X3560" s="102" t="str">
        <f t="shared" si="2701"/>
        <v>Magenta-Pink bloom</v>
      </c>
      <c r="Y3560" s="120" t="b">
        <f t="shared" si="2702"/>
        <v>0</v>
      </c>
      <c r="Z3560" s="117">
        <f t="shared" si="2703"/>
        <v>0</v>
      </c>
      <c r="AA3560" s="118"/>
      <c r="AB3560" s="118" t="str">
        <f t="shared" si="2704"/>
        <v/>
      </c>
      <c r="AC3560" s="712" t="str">
        <f>IF(AE3560="T2G","no charge",IF(AND(OR(PlanterYesMe="No",PlanterYesMe="N",PlanterYesMe="me"),H3560=""),"",IF(H3560="credit","NO install",IF(AND(K3560="",AE3560="me"),"EACH row",IF(AND(K3560="images",AE3560="me"),"EACH row",IF(D3560="","",IF(H3560="credit","",IF(AE3560="free","re-planting",IF(AE3560="me","   not ELP, by",IF(AND(OR(PlanterYesMe="Yes",PlanterYesMe="Y"),G3560&gt;0),(VLOOKUP(A3560,'Discount Lookup'!J:K,2)*G3560*(1-PlanterDiscount)*(1+PlanterDifficultyPercentage)),IF(AE3560="ELP",(VLOOKUP(A3560,'Discount Lookup'!J:K,2)*G3560*(1-PlanterDiscount)*(1+PlanterDifficultyPercentage)),IF(AE3560="free","re-planting",IF(G3560=0,"",IF(PlanterYesMe="",IF(AE3560="me","   not ELP, by",IF(AE3560="",IF(G3560&gt;0,(VLOOKUP(A3560,'Discount Lookup'!J:K,2)*G3560*(1-PlanterDiscount)*(1+PlanterDifficultyPercentage)),""),"")),"   not ELP, by"))))))))))))))</f>
        <v/>
      </c>
      <c r="AD3560" s="712"/>
      <c r="AE3560" s="513" t="str">
        <f t="shared" si="2705"/>
        <v/>
      </c>
      <c r="AF3560" s="713" t="str">
        <f t="shared" si="2706"/>
        <v/>
      </c>
      <c r="AG3560" s="713"/>
      <c r="AH3560" s="713"/>
      <c r="AI3560" s="112">
        <f>IF(H3560="credit",0,IF(AE3560="free",0,IF(AE3560="me",0,IF(G3560&gt;0,(VLOOKUP(A3560,'Discount Lookup'!J:K,2)*G3560),0))))</f>
        <v>0</v>
      </c>
      <c r="AJ3560" s="107" t="str">
        <f t="shared" ca="1" si="2707"/>
        <v/>
      </c>
      <c r="AK3560" s="714" t="str">
        <f t="shared" si="2708"/>
        <v/>
      </c>
      <c r="AL3560" s="714"/>
      <c r="AM3560" s="114" t="str">
        <f t="shared" si="2709"/>
        <v/>
      </c>
      <c r="AN3560" s="115"/>
      <c r="AO3560" s="116"/>
      <c r="AP3560" s="116"/>
      <c r="AQ3560" s="116"/>
      <c r="AR3560" s="116"/>
      <c r="AS3560" s="116"/>
      <c r="AT3560" s="116"/>
      <c r="AU3560" s="116"/>
      <c r="AV3560" s="78"/>
      <c r="AW3560" s="102"/>
      <c r="AX3560" s="78"/>
      <c r="AY3560" s="78"/>
      <c r="AZ3560" s="78"/>
      <c r="BA3560" s="78"/>
      <c r="BB3560" s="78"/>
      <c r="BC3560" s="78"/>
      <c r="BD3560" s="78"/>
      <c r="BE3560" s="465"/>
      <c r="BF3560" s="165" t="str">
        <f t="shared" si="2710"/>
        <v>https://www.google.com/search?tbm=isch&amp;q=Rhod.%20Encore%C2%AE%20%27Roblee%27%20PP%2315077%20Autumn%20Sangria%C2%AE%20Encore%C2%AE%20Azalea</v>
      </c>
      <c r="BG3560" s="165" t="str">
        <f t="shared" si="2711"/>
        <v>R</v>
      </c>
      <c r="BH3560" s="65"/>
      <c r="BI3560" s="65"/>
      <c r="BJ3560" s="65"/>
      <c r="BK3560" s="65"/>
      <c r="BL3560" s="99"/>
      <c r="BM3560" s="99"/>
      <c r="BN3560" s="99"/>
    </row>
    <row r="3561" spans="1:66" s="51" customFormat="1" ht="15.75" x14ac:dyDescent="0.25">
      <c r="A3561" s="478">
        <v>3</v>
      </c>
      <c r="B3561" s="479" t="s">
        <v>291</v>
      </c>
      <c r="C3561" s="480" t="s">
        <v>700</v>
      </c>
      <c r="D3561" s="481" t="s">
        <v>329</v>
      </c>
      <c r="E3561" s="482">
        <v>29.95</v>
      </c>
      <c r="F3561" s="483" t="s">
        <v>292</v>
      </c>
      <c r="G3561" s="484">
        <v>0</v>
      </c>
      <c r="H3561" s="688" t="str">
        <f>IF(G3561=0,"",IF(F3561="Buy",IF(G3561=1,"plant","plants"),IF(F3561&gt;0.01,"warranty","Error")))</f>
        <v/>
      </c>
      <c r="I3561" s="485">
        <f>IF(H3561="free",0,IF(H3561="credit",((E3561*(F3561))*G3561*-1),IF(F3561="Buy",(E3561*G3561),((E3561*(1-F3561))*G3561))))</f>
        <v>0</v>
      </c>
      <c r="J3561" s="485">
        <f>IF(H3561="warranty",0,(I3561*(_xlfn.SINGLE(SalesTaxPercentage))))</f>
        <v>0</v>
      </c>
      <c r="K3561" s="715">
        <f t="shared" ref="K3561" si="2718">I3561+J3561</f>
        <v>0</v>
      </c>
      <c r="L3561" s="715"/>
      <c r="M3561" s="689" t="str">
        <f ca="1">IF(AND(G3561&gt;0,E3561=0),"WARNING - no PRICE inserted",IF(H3561="free","FREE ~ no charge this plant",IF(H3561="credit",CONCATENATE("-$",ROUND(K3561*(1-_xlfn.SINGLE(T2GDiscount))*-1,2)," CREDIT after discount"),IF(_xlfn.SINGLE(T2GDiscount)=0,"",IF(G3561=0,"",IF(F3561="Buy",CONCATENATE("$",ROUND(K3561*(1-_xlfn.SINGLE(T2GDiscount)),2)," with ",(_xlfn.SINGLE(T2GDiscount)*100),"% discount"),CONCATENATE("$",ROUND(K3561*(1-_xlfn.SINGLE(T2GDiscount)),2)," with ",((_xlfn.SINGLE(T2GDiscount)*100+F3561*100)-(_xlfn.SINGLE(T2GDiscount)*100*F3561)),IF(F3561&gt;0,"% discounts",IF(_xlfn.SINGLE(NoWarrantyDiscount)&gt;0,"% discounts","% discount")))))))))</f>
        <v/>
      </c>
      <c r="N3561" s="690"/>
      <c r="O3561" s="486"/>
      <c r="P3561" s="486"/>
      <c r="Q3561" s="486"/>
      <c r="R3561" s="486"/>
      <c r="S3561" s="486"/>
      <c r="T3561" s="102">
        <f t="shared" si="2699"/>
        <v>0</v>
      </c>
      <c r="U3561" s="78">
        <f>IF(NOT(ISNUMBER(G3561)), "", VLOOKUP(A3561,'Discount Lookup'!D:E,2,FALSE)*G3561)</f>
        <v>0</v>
      </c>
      <c r="V3561" s="78">
        <f>IF(NOT(ISNUMBER(G3561)), "", VLOOKUP(A3561,'Discount Lookup'!G:H,2,FALSE)*G3561)</f>
        <v>0</v>
      </c>
      <c r="W3561" s="102">
        <f t="shared" si="2700"/>
        <v>0</v>
      </c>
      <c r="X3561" s="102">
        <f t="shared" si="2701"/>
        <v>0</v>
      </c>
      <c r="Y3561" s="120" t="b">
        <f t="shared" si="2702"/>
        <v>0</v>
      </c>
      <c r="Z3561" s="117">
        <f t="shared" si="2703"/>
        <v>0</v>
      </c>
      <c r="AA3561" s="118"/>
      <c r="AB3561" s="118" t="str">
        <f t="shared" si="2704"/>
        <v/>
      </c>
      <c r="AC3561" s="712" t="str">
        <f>IF(AE3561="T2G","no charge",IF(AND(OR(PlanterYesMe="No",PlanterYesMe="N",PlanterYesMe="me"),H3561=""),"",IF(H3561="credit","NO install",IF(AND(K3561="",AE3561="me"),"EACH row",IF(AND(K3561="images",AE3561="me"),"EACH row",IF(D3561="","",IF(H3561="credit","",IF(AE3561="free","re-planting",IF(AE3561="me","   not ELP, by",IF(AND(OR(PlanterYesMe="Yes",PlanterYesMe="Y"),G3561&gt;0),(VLOOKUP(A3561,'Discount Lookup'!J:K,2)*G3561*(1-PlanterDiscount)*(1+PlanterDifficultyPercentage)),IF(AE3561="ELP",(VLOOKUP(A3561,'Discount Lookup'!J:K,2)*G3561*(1-PlanterDiscount)*(1+PlanterDifficultyPercentage)),IF(AE3561="free","re-planting",IF(G3561=0,"",IF(PlanterYesMe="",IF(AE3561="me","   not ELP, by",IF(AE3561="",IF(G3561&gt;0,(VLOOKUP(A3561,'Discount Lookup'!J:K,2)*G3561*(1-PlanterDiscount)*(1+PlanterDifficultyPercentage)),""),"")),"   not ELP, by"))))))))))))))</f>
        <v/>
      </c>
      <c r="AD3561" s="712"/>
      <c r="AE3561" s="513" t="str">
        <f t="shared" si="2705"/>
        <v/>
      </c>
      <c r="AF3561" s="713" t="str">
        <f t="shared" si="2706"/>
        <v/>
      </c>
      <c r="AG3561" s="713"/>
      <c r="AH3561" s="713"/>
      <c r="AI3561" s="112">
        <f>IF(H3561="credit",0,IF(AE3561="free",0,IF(AE3561="me",0,IF(G3561&gt;0,(VLOOKUP(A3561,'Discount Lookup'!J:K,2)*G3561),0))))</f>
        <v>0</v>
      </c>
      <c r="AJ3561" s="107" t="str">
        <f t="shared" ca="1" si="2707"/>
        <v/>
      </c>
      <c r="AK3561" s="714" t="str">
        <f t="shared" si="2708"/>
        <v/>
      </c>
      <c r="AL3561" s="714"/>
      <c r="AM3561" s="114" t="str">
        <f t="shared" si="2709"/>
        <v/>
      </c>
      <c r="AN3561" s="115"/>
      <c r="AO3561" s="116"/>
      <c r="AP3561" s="116"/>
      <c r="AQ3561" s="116"/>
      <c r="AR3561" s="116"/>
      <c r="AS3561" s="116"/>
      <c r="AT3561" s="116"/>
      <c r="AU3561" s="116"/>
      <c r="AV3561" s="78"/>
      <c r="AW3561" s="102"/>
      <c r="AX3561" s="78"/>
      <c r="AY3561" s="78"/>
      <c r="AZ3561" s="78"/>
      <c r="BA3561" s="78"/>
      <c r="BB3561" s="78"/>
      <c r="BC3561" s="78"/>
      <c r="BD3561" s="78"/>
      <c r="BE3561" s="465"/>
      <c r="BF3561" s="165" t="str">
        <f t="shared" si="2710"/>
        <v>https://www.google.com/search?tbm=isch&amp;q=3%20G2</v>
      </c>
      <c r="BG3561" s="165" t="str">
        <f t="shared" si="2711"/>
        <v>R</v>
      </c>
      <c r="BH3561" s="65"/>
      <c r="BI3561" s="65"/>
      <c r="BJ3561" s="65"/>
      <c r="BK3561" s="65"/>
      <c r="BL3561" s="99"/>
      <c r="BM3561" s="99"/>
      <c r="BN3561" s="99"/>
    </row>
    <row r="3562" spans="1:66" s="51" customFormat="1" ht="17.25" thickBot="1" x14ac:dyDescent="0.3">
      <c r="A3562" s="508" t="s">
        <v>3974</v>
      </c>
      <c r="B3562" s="487"/>
      <c r="C3562" s="707"/>
      <c r="D3562" s="487"/>
      <c r="E3562" s="487"/>
      <c r="F3562" s="488"/>
      <c r="G3562" s="489"/>
      <c r="H3562" s="487"/>
      <c r="I3562" s="490"/>
      <c r="J3562" s="490"/>
      <c r="K3562" s="491"/>
      <c r="L3562" s="547"/>
      <c r="M3562" s="528"/>
      <c r="N3562" s="492"/>
      <c r="O3562" s="493"/>
      <c r="P3562" s="494"/>
      <c r="Q3562" s="492"/>
      <c r="R3562" s="492"/>
      <c r="S3562" s="699" t="s">
        <v>5248</v>
      </c>
      <c r="T3562" s="102">
        <f t="shared" si="2699"/>
        <v>0</v>
      </c>
      <c r="U3562" s="78" t="str">
        <f>IF(NOT(ISNUMBER(G3562)), "", VLOOKUP(A3562,'Discount Lookup'!D:E,2,FALSE)*G3562)</f>
        <v/>
      </c>
      <c r="V3562" s="78" t="str">
        <f>IF(NOT(ISNUMBER(G3562)), "", VLOOKUP(A3562,'Discount Lookup'!G:H,2,FALSE)*G3562)</f>
        <v/>
      </c>
      <c r="W3562" s="102">
        <f t="shared" si="2700"/>
        <v>0</v>
      </c>
      <c r="X3562" s="102">
        <f t="shared" si="2701"/>
        <v>0</v>
      </c>
      <c r="Y3562" s="120" t="b">
        <f t="shared" si="2702"/>
        <v>0</v>
      </c>
      <c r="Z3562" s="117">
        <f t="shared" si="2703"/>
        <v>0</v>
      </c>
      <c r="AA3562" s="118"/>
      <c r="AB3562" s="118" t="str">
        <f t="shared" si="2704"/>
        <v/>
      </c>
      <c r="AC3562" s="712" t="str">
        <f>IF(AE3562="T2G","no charge",IF(AND(OR(PlanterYesMe="No",PlanterYesMe="N",PlanterYesMe="me"),H3562=""),"",IF(H3562="credit","NO install",IF(AND(K3562="",AE3562="me"),"EACH row",IF(AND(K3562="images",AE3562="me"),"EACH row",IF(D3562="","",IF(H3562="credit","",IF(AE3562="free","re-planting",IF(AE3562="me","   not ELP, by",IF(AND(OR(PlanterYesMe="Yes",PlanterYesMe="Y"),G3562&gt;0),(VLOOKUP(A3562,'Discount Lookup'!J:K,2)*G3562*(1-PlanterDiscount)*(1+PlanterDifficultyPercentage)),IF(AE3562="ELP",(VLOOKUP(A3562,'Discount Lookup'!J:K,2)*G3562*(1-PlanterDiscount)*(1+PlanterDifficultyPercentage)),IF(AE3562="free","re-planting",IF(G3562=0,"",IF(PlanterYesMe="",IF(AE3562="me","   not ELP, by",IF(AE3562="",IF(G3562&gt;0,(VLOOKUP(A3562,'Discount Lookup'!J:K,2)*G3562*(1-PlanterDiscount)*(1+PlanterDifficultyPercentage)),""),"")),"   not ELP, by"))))))))))))))</f>
        <v/>
      </c>
      <c r="AD3562" s="712"/>
      <c r="AE3562" s="513" t="str">
        <f t="shared" si="2705"/>
        <v/>
      </c>
      <c r="AF3562" s="713" t="str">
        <f t="shared" si="2706"/>
        <v/>
      </c>
      <c r="AG3562" s="713"/>
      <c r="AH3562" s="713"/>
      <c r="AI3562" s="112">
        <f>IF(H3562="credit",0,IF(AE3562="free",0,IF(AE3562="me",0,IF(G3562&gt;0,(VLOOKUP(A3562,'Discount Lookup'!J:K,2)*G3562),0))))</f>
        <v>0</v>
      </c>
      <c r="AJ3562" s="107" t="str">
        <f t="shared" ca="1" si="2707"/>
        <v/>
      </c>
      <c r="AK3562" s="714" t="str">
        <f t="shared" si="2708"/>
        <v/>
      </c>
      <c r="AL3562" s="714"/>
      <c r="AM3562" s="114" t="str">
        <f t="shared" si="2709"/>
        <v/>
      </c>
      <c r="AN3562" s="115"/>
      <c r="AO3562" s="116"/>
      <c r="AP3562" s="116"/>
      <c r="AQ3562" s="116"/>
      <c r="AR3562" s="116"/>
      <c r="AS3562" s="116"/>
      <c r="AT3562" s="116"/>
      <c r="AU3562" s="116"/>
      <c r="AV3562" s="78"/>
      <c r="AW3562" s="102"/>
      <c r="AX3562" s="78"/>
      <c r="AY3562" s="78"/>
      <c r="AZ3562" s="78"/>
      <c r="BA3562" s="78"/>
      <c r="BB3562" s="78"/>
      <c r="BC3562" s="78"/>
      <c r="BD3562" s="78"/>
      <c r="BE3562" s="465"/>
      <c r="BF3562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62" s="165" t="str">
        <f t="shared" si="2711"/>
        <v>A</v>
      </c>
      <c r="BH3562" s="65"/>
      <c r="BI3562" s="65"/>
      <c r="BJ3562" s="65"/>
      <c r="BK3562" s="65"/>
      <c r="BL3562" s="99"/>
      <c r="BM3562" s="99"/>
      <c r="BN3562" s="99"/>
    </row>
    <row r="3563" spans="1:66" s="51" customFormat="1" ht="18" x14ac:dyDescent="0.25">
      <c r="A3563" s="507" t="s">
        <v>5776</v>
      </c>
      <c r="B3563" s="470"/>
      <c r="C3563" s="706"/>
      <c r="D3563" s="471" t="s">
        <v>5777</v>
      </c>
      <c r="E3563" s="472"/>
      <c r="F3563" s="472"/>
      <c r="G3563" s="472"/>
      <c r="H3563" s="622" t="s">
        <v>3990</v>
      </c>
      <c r="I3563" s="473" t="s">
        <v>718</v>
      </c>
      <c r="J3563" s="472"/>
      <c r="K3563" s="472"/>
      <c r="L3563" s="561"/>
      <c r="M3563" s="698" t="s">
        <v>5246</v>
      </c>
      <c r="N3563" s="692" t="str">
        <f>IF(AND(ISTEXT($A3563), ISERROR($A3563+0)), HYPERLINK($BF3563, "Images"), "")</f>
        <v>Images</v>
      </c>
      <c r="O3563" s="694" t="s">
        <v>5264</v>
      </c>
      <c r="P3563" s="475"/>
      <c r="Q3563" s="476"/>
      <c r="R3563" s="476"/>
      <c r="S3563" s="477"/>
      <c r="T3563" s="102">
        <f t="shared" si="2699"/>
        <v>0</v>
      </c>
      <c r="U3563" s="78" t="str">
        <f>IF(NOT(ISNUMBER(G3563)), "", VLOOKUP(A3563,'Discount Lookup'!D:E,2,FALSE)*G3563)</f>
        <v/>
      </c>
      <c r="V3563" s="78" t="str">
        <f>IF(NOT(ISNUMBER(G3563)), "", VLOOKUP(A3563,'Discount Lookup'!G:H,2,FALSE)*G3563)</f>
        <v/>
      </c>
      <c r="W3563" s="102">
        <f t="shared" si="2700"/>
        <v>0</v>
      </c>
      <c r="X3563" s="102" t="str">
        <f t="shared" si="2701"/>
        <v>Fuchsia-Pink bloom</v>
      </c>
      <c r="Y3563" s="120" t="b">
        <f t="shared" si="2702"/>
        <v>0</v>
      </c>
      <c r="Z3563" s="117">
        <f t="shared" si="2703"/>
        <v>0</v>
      </c>
      <c r="AA3563" s="118"/>
      <c r="AB3563" s="118" t="str">
        <f t="shared" si="2704"/>
        <v/>
      </c>
      <c r="AC3563" s="712" t="str">
        <f>IF(AE3563="T2G","no charge",IF(AND(OR(PlanterYesMe="No",PlanterYesMe="N",PlanterYesMe="me"),H3563=""),"",IF(H3563="credit","NO install",IF(AND(K3563="",AE3563="me"),"EACH row",IF(AND(K3563="images",AE3563="me"),"EACH row",IF(D3563="","",IF(H3563="credit","",IF(AE3563="free","re-planting",IF(AE3563="me","   not ELP, by",IF(AND(OR(PlanterYesMe="Yes",PlanterYesMe="Y"),G3563&gt;0),(VLOOKUP(A3563,'Discount Lookup'!J:K,2)*G3563*(1-PlanterDiscount)*(1+PlanterDifficultyPercentage)),IF(AE3563="ELP",(VLOOKUP(A3563,'Discount Lookup'!J:K,2)*G3563*(1-PlanterDiscount)*(1+PlanterDifficultyPercentage)),IF(AE3563="free","re-planting",IF(G3563=0,"",IF(PlanterYesMe="",IF(AE3563="me","   not ELP, by",IF(AE3563="",IF(G3563&gt;0,(VLOOKUP(A3563,'Discount Lookup'!J:K,2)*G3563*(1-PlanterDiscount)*(1+PlanterDifficultyPercentage)),""),"")),"   not ELP, by"))))))))))))))</f>
        <v/>
      </c>
      <c r="AD3563" s="712"/>
      <c r="AE3563" s="513" t="str">
        <f t="shared" si="2705"/>
        <v/>
      </c>
      <c r="AF3563" s="713" t="str">
        <f t="shared" si="2706"/>
        <v/>
      </c>
      <c r="AG3563" s="713"/>
      <c r="AH3563" s="713"/>
      <c r="AI3563" s="112">
        <f>IF(H3563="credit",0,IF(AE3563="free",0,IF(AE3563="me",0,IF(G3563&gt;0,(VLOOKUP(A3563,'Discount Lookup'!J:K,2)*G3563),0))))</f>
        <v>0</v>
      </c>
      <c r="AJ3563" s="107" t="str">
        <f t="shared" ca="1" si="2707"/>
        <v/>
      </c>
      <c r="AK3563" s="714" t="str">
        <f t="shared" si="2708"/>
        <v/>
      </c>
      <c r="AL3563" s="714"/>
      <c r="AM3563" s="114" t="str">
        <f t="shared" si="2709"/>
        <v/>
      </c>
      <c r="AN3563" s="115"/>
      <c r="AO3563" s="116"/>
      <c r="AP3563" s="116"/>
      <c r="AQ3563" s="116"/>
      <c r="AR3563" s="116"/>
      <c r="AS3563" s="116"/>
      <c r="AT3563" s="116"/>
      <c r="AU3563" s="116"/>
      <c r="AV3563" s="78"/>
      <c r="AW3563" s="102"/>
      <c r="AX3563" s="78"/>
      <c r="AY3563" s="78"/>
      <c r="AZ3563" s="78"/>
      <c r="BA3563" s="78"/>
      <c r="BB3563" s="78"/>
      <c r="BC3563" s="78"/>
      <c r="BD3563" s="78"/>
      <c r="BE3563" s="465"/>
      <c r="BF3563" s="165" t="str">
        <f t="shared" si="2710"/>
        <v>https://www.google.com/search?tbm=isch&amp;q=Rhod.%20Encore%C2%AE%20%27Roblef%27%20PP%2316184%20Autumn%20Sundance%E2%84%A2%20Encore%C2%AE%20Azalea</v>
      </c>
      <c r="BG3563" s="165" t="str">
        <f t="shared" si="2711"/>
        <v>R</v>
      </c>
      <c r="BH3563" s="65"/>
      <c r="BI3563" s="65"/>
      <c r="BJ3563" s="65"/>
      <c r="BK3563" s="65"/>
      <c r="BL3563" s="99"/>
      <c r="BM3563" s="99"/>
      <c r="BN3563" s="99"/>
    </row>
    <row r="3564" spans="1:66" s="51" customFormat="1" ht="15.75" x14ac:dyDescent="0.25">
      <c r="A3564" s="478">
        <v>3</v>
      </c>
      <c r="B3564" s="479" t="s">
        <v>291</v>
      </c>
      <c r="C3564" s="480" t="s">
        <v>3991</v>
      </c>
      <c r="D3564" s="481" t="s">
        <v>329</v>
      </c>
      <c r="E3564" s="482">
        <v>29.95</v>
      </c>
      <c r="F3564" s="483" t="s">
        <v>292</v>
      </c>
      <c r="G3564" s="484">
        <v>0</v>
      </c>
      <c r="H3564" s="688" t="str">
        <f>IF(G3564=0,"",IF(F3564="Buy",IF(G3564=1,"plant","plants"),IF(F3564&gt;0.01,"warranty","Error")))</f>
        <v/>
      </c>
      <c r="I3564" s="485">
        <f>IF(H3564="free",0,IF(H3564="credit",((E3564*(F3564))*G3564*-1),IF(F3564="Buy",(E3564*G3564),((E3564*(1-F3564))*G3564))))</f>
        <v>0</v>
      </c>
      <c r="J3564" s="485">
        <f>IF(H3564="warranty",0,(I3564*(_xlfn.SINGLE(SalesTaxPercentage))))</f>
        <v>0</v>
      </c>
      <c r="K3564" s="715">
        <f t="shared" ref="K3564" si="2719">I3564+J3564</f>
        <v>0</v>
      </c>
      <c r="L3564" s="715"/>
      <c r="M3564" s="689" t="str">
        <f ca="1">IF(AND(G3564&gt;0,E3564=0),"WARNING - no PRICE inserted",IF(H3564="free","FREE ~ no charge this plant",IF(H3564="credit",CONCATENATE("-$",ROUND(K3564*(1-_xlfn.SINGLE(T2GDiscount))*-1,2)," CREDIT after discount"),IF(_xlfn.SINGLE(T2GDiscount)=0,"",IF(G3564=0,"",IF(F3564="Buy",CONCATENATE("$",ROUND(K3564*(1-_xlfn.SINGLE(T2GDiscount)),2)," with ",(_xlfn.SINGLE(T2GDiscount)*100),"% discount"),CONCATENATE("$",ROUND(K3564*(1-_xlfn.SINGLE(T2GDiscount)),2)," with ",((_xlfn.SINGLE(T2GDiscount)*100+F3564*100)-(_xlfn.SINGLE(T2GDiscount)*100*F3564)),IF(F3564&gt;0,"% discounts",IF(_xlfn.SINGLE(NoWarrantyDiscount)&gt;0,"% discounts","% discount")))))))))</f>
        <v/>
      </c>
      <c r="N3564" s="690"/>
      <c r="O3564" s="486"/>
      <c r="P3564" s="486"/>
      <c r="Q3564" s="486"/>
      <c r="R3564" s="486"/>
      <c r="S3564" s="486"/>
      <c r="T3564" s="102">
        <f t="shared" si="2699"/>
        <v>0</v>
      </c>
      <c r="U3564" s="78">
        <f>IF(NOT(ISNUMBER(G3564)), "", VLOOKUP(A3564,'Discount Lookup'!D:E,2,FALSE)*G3564)</f>
        <v>0</v>
      </c>
      <c r="V3564" s="78">
        <f>IF(NOT(ISNUMBER(G3564)), "", VLOOKUP(A3564,'Discount Lookup'!G:H,2,FALSE)*G3564)</f>
        <v>0</v>
      </c>
      <c r="W3564" s="102">
        <f t="shared" si="2700"/>
        <v>0</v>
      </c>
      <c r="X3564" s="102">
        <f t="shared" si="2701"/>
        <v>0</v>
      </c>
      <c r="Y3564" s="120" t="b">
        <f t="shared" si="2702"/>
        <v>0</v>
      </c>
      <c r="Z3564" s="117">
        <f t="shared" si="2703"/>
        <v>0</v>
      </c>
      <c r="AA3564" s="118"/>
      <c r="AB3564" s="118" t="str">
        <f t="shared" si="2704"/>
        <v/>
      </c>
      <c r="AC3564" s="712" t="str">
        <f>IF(AE3564="T2G","no charge",IF(AND(OR(PlanterYesMe="No",PlanterYesMe="N",PlanterYesMe="me"),H3564=""),"",IF(H3564="credit","NO install",IF(AND(K3564="",AE3564="me"),"EACH row",IF(AND(K3564="images",AE3564="me"),"EACH row",IF(D3564="","",IF(H3564="credit","",IF(AE3564="free","re-planting",IF(AE3564="me","   not ELP, by",IF(AND(OR(PlanterYesMe="Yes",PlanterYesMe="Y"),G3564&gt;0),(VLOOKUP(A3564,'Discount Lookup'!J:K,2)*G3564*(1-PlanterDiscount)*(1+PlanterDifficultyPercentage)),IF(AE3564="ELP",(VLOOKUP(A3564,'Discount Lookup'!J:K,2)*G3564*(1-PlanterDiscount)*(1+PlanterDifficultyPercentage)),IF(AE3564="free","re-planting",IF(G3564=0,"",IF(PlanterYesMe="",IF(AE3564="me","   not ELP, by",IF(AE3564="",IF(G3564&gt;0,(VLOOKUP(A3564,'Discount Lookup'!J:K,2)*G3564*(1-PlanterDiscount)*(1+PlanterDifficultyPercentage)),""),"")),"   not ELP, by"))))))))))))))</f>
        <v/>
      </c>
      <c r="AD3564" s="712"/>
      <c r="AE3564" s="513" t="str">
        <f t="shared" si="2705"/>
        <v/>
      </c>
      <c r="AF3564" s="713" t="str">
        <f t="shared" si="2706"/>
        <v/>
      </c>
      <c r="AG3564" s="713"/>
      <c r="AH3564" s="713"/>
      <c r="AI3564" s="112">
        <f>IF(H3564="credit",0,IF(AE3564="free",0,IF(AE3564="me",0,IF(G3564&gt;0,(VLOOKUP(A3564,'Discount Lookup'!J:K,2)*G3564),0))))</f>
        <v>0</v>
      </c>
      <c r="AJ3564" s="107" t="str">
        <f t="shared" ca="1" si="2707"/>
        <v/>
      </c>
      <c r="AK3564" s="714" t="str">
        <f t="shared" si="2708"/>
        <v/>
      </c>
      <c r="AL3564" s="714"/>
      <c r="AM3564" s="114" t="str">
        <f t="shared" si="2709"/>
        <v/>
      </c>
      <c r="AN3564" s="115"/>
      <c r="AO3564" s="116"/>
      <c r="AP3564" s="116"/>
      <c r="AQ3564" s="116"/>
      <c r="AR3564" s="116"/>
      <c r="AS3564" s="116"/>
      <c r="AT3564" s="116"/>
      <c r="AU3564" s="116"/>
      <c r="AV3564" s="78"/>
      <c r="AW3564" s="102"/>
      <c r="AX3564" s="78"/>
      <c r="AY3564" s="78"/>
      <c r="AZ3564" s="78"/>
      <c r="BA3564" s="78"/>
      <c r="BB3564" s="78"/>
      <c r="BC3564" s="78"/>
      <c r="BD3564" s="78"/>
      <c r="BE3564" s="465"/>
      <c r="BF3564" s="165" t="str">
        <f t="shared" si="2710"/>
        <v>https://www.google.com/search?tbm=isch&amp;q=3%20G2</v>
      </c>
      <c r="BG3564" s="165" t="str">
        <f t="shared" si="2711"/>
        <v>R</v>
      </c>
      <c r="BH3564" s="65"/>
      <c r="BI3564" s="65"/>
      <c r="BJ3564" s="65"/>
      <c r="BK3564" s="65"/>
      <c r="BL3564" s="99"/>
      <c r="BM3564" s="99"/>
      <c r="BN3564" s="99"/>
    </row>
    <row r="3565" spans="1:66" s="51" customFormat="1" ht="17.25" thickBot="1" x14ac:dyDescent="0.3">
      <c r="A3565" s="508" t="s">
        <v>3974</v>
      </c>
      <c r="B3565" s="487"/>
      <c r="C3565" s="707"/>
      <c r="D3565" s="487"/>
      <c r="E3565" s="487"/>
      <c r="F3565" s="488"/>
      <c r="G3565" s="489"/>
      <c r="H3565" s="487"/>
      <c r="I3565" s="490"/>
      <c r="J3565" s="490"/>
      <c r="K3565" s="491"/>
      <c r="L3565" s="547"/>
      <c r="M3565" s="528"/>
      <c r="N3565" s="492"/>
      <c r="O3565" s="493"/>
      <c r="P3565" s="494"/>
      <c r="Q3565" s="492"/>
      <c r="R3565" s="492"/>
      <c r="S3565" s="699" t="s">
        <v>5248</v>
      </c>
      <c r="T3565" s="102">
        <f t="shared" si="2699"/>
        <v>0</v>
      </c>
      <c r="U3565" s="78" t="str">
        <f>IF(NOT(ISNUMBER(G3565)), "", VLOOKUP(A3565,'Discount Lookup'!D:E,2,FALSE)*G3565)</f>
        <v/>
      </c>
      <c r="V3565" s="78" t="str">
        <f>IF(NOT(ISNUMBER(G3565)), "", VLOOKUP(A3565,'Discount Lookup'!G:H,2,FALSE)*G3565)</f>
        <v/>
      </c>
      <c r="W3565" s="102">
        <f t="shared" si="2700"/>
        <v>0</v>
      </c>
      <c r="X3565" s="102">
        <f t="shared" si="2701"/>
        <v>0</v>
      </c>
      <c r="Y3565" s="120" t="b">
        <f t="shared" si="2702"/>
        <v>0</v>
      </c>
      <c r="Z3565" s="117">
        <f t="shared" si="2703"/>
        <v>0</v>
      </c>
      <c r="AA3565" s="118"/>
      <c r="AB3565" s="118" t="str">
        <f t="shared" si="2704"/>
        <v/>
      </c>
      <c r="AC3565" s="712" t="str">
        <f>IF(AE3565="T2G","no charge",IF(AND(OR(PlanterYesMe="No",PlanterYesMe="N",PlanterYesMe="me"),H3565=""),"",IF(H3565="credit","NO install",IF(AND(K3565="",AE3565="me"),"EACH row",IF(AND(K3565="images",AE3565="me"),"EACH row",IF(D3565="","",IF(H3565="credit","",IF(AE3565="free","re-planting",IF(AE3565="me","   not ELP, by",IF(AND(OR(PlanterYesMe="Yes",PlanterYesMe="Y"),G3565&gt;0),(VLOOKUP(A3565,'Discount Lookup'!J:K,2)*G3565*(1-PlanterDiscount)*(1+PlanterDifficultyPercentage)),IF(AE3565="ELP",(VLOOKUP(A3565,'Discount Lookup'!J:K,2)*G3565*(1-PlanterDiscount)*(1+PlanterDifficultyPercentage)),IF(AE3565="free","re-planting",IF(G3565=0,"",IF(PlanterYesMe="",IF(AE3565="me","   not ELP, by",IF(AE3565="",IF(G3565&gt;0,(VLOOKUP(A3565,'Discount Lookup'!J:K,2)*G3565*(1-PlanterDiscount)*(1+PlanterDifficultyPercentage)),""),"")),"   not ELP, by"))))))))))))))</f>
        <v/>
      </c>
      <c r="AD3565" s="712"/>
      <c r="AE3565" s="513" t="str">
        <f t="shared" si="2705"/>
        <v/>
      </c>
      <c r="AF3565" s="713" t="str">
        <f t="shared" si="2706"/>
        <v/>
      </c>
      <c r="AG3565" s="713"/>
      <c r="AH3565" s="713"/>
      <c r="AI3565" s="112">
        <f>IF(H3565="credit",0,IF(AE3565="free",0,IF(AE3565="me",0,IF(G3565&gt;0,(VLOOKUP(A3565,'Discount Lookup'!J:K,2)*G3565),0))))</f>
        <v>0</v>
      </c>
      <c r="AJ3565" s="107" t="str">
        <f t="shared" ca="1" si="2707"/>
        <v/>
      </c>
      <c r="AK3565" s="714" t="str">
        <f t="shared" si="2708"/>
        <v/>
      </c>
      <c r="AL3565" s="714"/>
      <c r="AM3565" s="114" t="str">
        <f t="shared" si="2709"/>
        <v/>
      </c>
      <c r="AN3565" s="115"/>
      <c r="AO3565" s="116"/>
      <c r="AP3565" s="116"/>
      <c r="AQ3565" s="116"/>
      <c r="AR3565" s="116"/>
      <c r="AS3565" s="116"/>
      <c r="AT3565" s="116"/>
      <c r="AU3565" s="116"/>
      <c r="AV3565" s="78"/>
      <c r="AW3565" s="102"/>
      <c r="AX3565" s="78"/>
      <c r="AY3565" s="78"/>
      <c r="AZ3565" s="78"/>
      <c r="BA3565" s="78"/>
      <c r="BB3565" s="78"/>
      <c r="BC3565" s="78"/>
      <c r="BD3565" s="78"/>
      <c r="BE3565" s="465"/>
      <c r="BF3565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65" s="165" t="str">
        <f t="shared" si="2711"/>
        <v>A</v>
      </c>
      <c r="BH3565" s="65"/>
      <c r="BI3565" s="65"/>
      <c r="BJ3565" s="65"/>
      <c r="BK3565" s="65"/>
      <c r="BL3565" s="99"/>
      <c r="BM3565" s="99"/>
      <c r="BN3565" s="99"/>
    </row>
    <row r="3566" spans="1:66" s="51" customFormat="1" ht="18" x14ac:dyDescent="0.25">
      <c r="A3566" s="507" t="s">
        <v>5778</v>
      </c>
      <c r="B3566" s="470"/>
      <c r="C3566" s="706"/>
      <c r="D3566" s="471" t="s">
        <v>5779</v>
      </c>
      <c r="E3566" s="472"/>
      <c r="F3566" s="472"/>
      <c r="G3566" s="472"/>
      <c r="H3566" s="622" t="s">
        <v>1104</v>
      </c>
      <c r="I3566" s="473" t="s">
        <v>3970</v>
      </c>
      <c r="J3566" s="472"/>
      <c r="K3566" s="472"/>
      <c r="L3566" s="561"/>
      <c r="M3566" s="698" t="s">
        <v>5246</v>
      </c>
      <c r="N3566" s="692" t="str">
        <f>IF(AND(ISTEXT($A3566), ISERROR($A3566+0)), HYPERLINK($BF3566, "Images"), "")</f>
        <v>Images</v>
      </c>
      <c r="O3566" s="694" t="s">
        <v>5264</v>
      </c>
      <c r="P3566" s="475"/>
      <c r="Q3566" s="476"/>
      <c r="R3566" s="476"/>
      <c r="S3566" s="477"/>
      <c r="T3566" s="102">
        <f t="shared" si="2699"/>
        <v>0</v>
      </c>
      <c r="U3566" s="78" t="str">
        <f>IF(NOT(ISNUMBER(G3566)), "", VLOOKUP(A3566,'Discount Lookup'!D:E,2,FALSE)*G3566)</f>
        <v/>
      </c>
      <c r="V3566" s="78" t="str">
        <f>IF(NOT(ISNUMBER(G3566)), "", VLOOKUP(A3566,'Discount Lookup'!G:H,2,FALSE)*G3566)</f>
        <v/>
      </c>
      <c r="W3566" s="102">
        <f t="shared" si="2700"/>
        <v>0</v>
      </c>
      <c r="X3566" s="102" t="str">
        <f t="shared" si="2701"/>
        <v>pure White bloom</v>
      </c>
      <c r="Y3566" s="120" t="b">
        <f t="shared" si="2702"/>
        <v>0</v>
      </c>
      <c r="Z3566" s="117">
        <f t="shared" si="2703"/>
        <v>0</v>
      </c>
      <c r="AA3566" s="118"/>
      <c r="AB3566" s="118" t="str">
        <f t="shared" si="2704"/>
        <v/>
      </c>
      <c r="AC3566" s="712" t="str">
        <f>IF(AE3566="T2G","no charge",IF(AND(OR(PlanterYesMe="No",PlanterYesMe="N",PlanterYesMe="me"),H3566=""),"",IF(H3566="credit","NO install",IF(AND(K3566="",AE3566="me"),"EACH row",IF(AND(K3566="images",AE3566="me"),"EACH row",IF(D3566="","",IF(H3566="credit","",IF(AE3566="free","re-planting",IF(AE3566="me","   not ELP, by",IF(AND(OR(PlanterYesMe="Yes",PlanterYesMe="Y"),G3566&gt;0),(VLOOKUP(A3566,'Discount Lookup'!J:K,2)*G3566*(1-PlanterDiscount)*(1+PlanterDifficultyPercentage)),IF(AE3566="ELP",(VLOOKUP(A3566,'Discount Lookup'!J:K,2)*G3566*(1-PlanterDiscount)*(1+PlanterDifficultyPercentage)),IF(AE3566="free","re-planting",IF(G3566=0,"",IF(PlanterYesMe="",IF(AE3566="me","   not ELP, by",IF(AE3566="",IF(G3566&gt;0,(VLOOKUP(A3566,'Discount Lookup'!J:K,2)*G3566*(1-PlanterDiscount)*(1+PlanterDifficultyPercentage)),""),"")),"   not ELP, by"))))))))))))))</f>
        <v/>
      </c>
      <c r="AD3566" s="712"/>
      <c r="AE3566" s="513" t="str">
        <f t="shared" si="2705"/>
        <v/>
      </c>
      <c r="AF3566" s="713" t="str">
        <f t="shared" si="2706"/>
        <v/>
      </c>
      <c r="AG3566" s="713"/>
      <c r="AH3566" s="713"/>
      <c r="AI3566" s="112">
        <f>IF(H3566="credit",0,IF(AE3566="free",0,IF(AE3566="me",0,IF(G3566&gt;0,(VLOOKUP(A3566,'Discount Lookup'!J:K,2)*G3566),0))))</f>
        <v>0</v>
      </c>
      <c r="AJ3566" s="107" t="str">
        <f t="shared" ca="1" si="2707"/>
        <v/>
      </c>
      <c r="AK3566" s="714" t="str">
        <f t="shared" si="2708"/>
        <v/>
      </c>
      <c r="AL3566" s="714"/>
      <c r="AM3566" s="114" t="str">
        <f t="shared" si="2709"/>
        <v/>
      </c>
      <c r="AN3566" s="115"/>
      <c r="AO3566" s="116"/>
      <c r="AP3566" s="116"/>
      <c r="AQ3566" s="116"/>
      <c r="AR3566" s="116"/>
      <c r="AS3566" s="116"/>
      <c r="AT3566" s="116"/>
      <c r="AU3566" s="116"/>
      <c r="AV3566" s="78"/>
      <c r="AW3566" s="102"/>
      <c r="AX3566" s="78"/>
      <c r="AY3566" s="78"/>
      <c r="AZ3566" s="78"/>
      <c r="BA3566" s="78"/>
      <c r="BB3566" s="78"/>
      <c r="BC3566" s="78"/>
      <c r="BD3566" s="78"/>
      <c r="BE3566" s="465"/>
      <c r="BF3566" s="165" t="str">
        <f t="shared" si="2710"/>
        <v>https://www.google.com/search?tbm=isch&amp;q=Rhod.%20Encore%C2%AE%20%27Robleg%27%20PP%2315227%20Autumn%20Angel%C2%AE%20Encore%C2%AE%20Azalea</v>
      </c>
      <c r="BG3566" s="165" t="str">
        <f t="shared" si="2711"/>
        <v>R</v>
      </c>
      <c r="BH3566" s="65"/>
      <c r="BI3566" s="65"/>
      <c r="BJ3566" s="65"/>
      <c r="BK3566" s="65"/>
      <c r="BL3566" s="99"/>
      <c r="BM3566" s="99"/>
      <c r="BN3566" s="99"/>
    </row>
    <row r="3567" spans="1:66" s="51" customFormat="1" ht="15.75" x14ac:dyDescent="0.25">
      <c r="A3567" s="478">
        <v>3</v>
      </c>
      <c r="B3567" s="479" t="s">
        <v>291</v>
      </c>
      <c r="C3567" s="480" t="s">
        <v>3409</v>
      </c>
      <c r="D3567" s="481" t="s">
        <v>329</v>
      </c>
      <c r="E3567" s="482">
        <v>29.95</v>
      </c>
      <c r="F3567" s="483" t="s">
        <v>292</v>
      </c>
      <c r="G3567" s="484">
        <v>0</v>
      </c>
      <c r="H3567" s="688" t="str">
        <f>IF(G3567=0,"",IF(F3567="Buy",IF(G3567=1,"plant","plants"),IF(F3567&gt;0.01,"warranty","Error")))</f>
        <v/>
      </c>
      <c r="I3567" s="485">
        <f>IF(H3567="free",0,IF(H3567="credit",((E3567*(F3567))*G3567*-1),IF(F3567="Buy",(E3567*G3567),((E3567*(1-F3567))*G3567))))</f>
        <v>0</v>
      </c>
      <c r="J3567" s="485">
        <f>IF(H3567="warranty",0,(I3567*(_xlfn.SINGLE(SalesTaxPercentage))))</f>
        <v>0</v>
      </c>
      <c r="K3567" s="715">
        <f t="shared" ref="K3567" si="2720">I3567+J3567</f>
        <v>0</v>
      </c>
      <c r="L3567" s="715"/>
      <c r="M3567" s="689" t="str">
        <f ca="1">IF(AND(G3567&gt;0,E3567=0),"WARNING - no PRICE inserted",IF(H3567="free","FREE ~ no charge this plant",IF(H3567="credit",CONCATENATE("-$",ROUND(K3567*(1-_xlfn.SINGLE(T2GDiscount))*-1,2)," CREDIT after discount"),IF(_xlfn.SINGLE(T2GDiscount)=0,"",IF(G3567=0,"",IF(F3567="Buy",CONCATENATE("$",ROUND(K3567*(1-_xlfn.SINGLE(T2GDiscount)),2)," with ",(_xlfn.SINGLE(T2GDiscount)*100),"% discount"),CONCATENATE("$",ROUND(K3567*(1-_xlfn.SINGLE(T2GDiscount)),2)," with ",((_xlfn.SINGLE(T2GDiscount)*100+F3567*100)-(_xlfn.SINGLE(T2GDiscount)*100*F3567)),IF(F3567&gt;0,"% discounts",IF(_xlfn.SINGLE(NoWarrantyDiscount)&gt;0,"% discounts","% discount")))))))))</f>
        <v/>
      </c>
      <c r="N3567" s="690"/>
      <c r="O3567" s="486"/>
      <c r="P3567" s="486"/>
      <c r="Q3567" s="486"/>
      <c r="R3567" s="486"/>
      <c r="S3567" s="486"/>
      <c r="T3567" s="102">
        <f t="shared" si="2699"/>
        <v>0</v>
      </c>
      <c r="U3567" s="78">
        <f>IF(NOT(ISNUMBER(G3567)), "", VLOOKUP(A3567,'Discount Lookup'!D:E,2,FALSE)*G3567)</f>
        <v>0</v>
      </c>
      <c r="V3567" s="78">
        <f>IF(NOT(ISNUMBER(G3567)), "", VLOOKUP(A3567,'Discount Lookup'!G:H,2,FALSE)*G3567)</f>
        <v>0</v>
      </c>
      <c r="W3567" s="102">
        <f t="shared" si="2700"/>
        <v>0</v>
      </c>
      <c r="X3567" s="102">
        <f t="shared" si="2701"/>
        <v>0</v>
      </c>
      <c r="Y3567" s="120" t="b">
        <f t="shared" si="2702"/>
        <v>0</v>
      </c>
      <c r="Z3567" s="117">
        <f t="shared" si="2703"/>
        <v>0</v>
      </c>
      <c r="AA3567" s="118"/>
      <c r="AB3567" s="118" t="str">
        <f t="shared" si="2704"/>
        <v/>
      </c>
      <c r="AC3567" s="712" t="str">
        <f>IF(AE3567="T2G","no charge",IF(AND(OR(PlanterYesMe="No",PlanterYesMe="N",PlanterYesMe="me"),H3567=""),"",IF(H3567="credit","NO install",IF(AND(K3567="",AE3567="me"),"EACH row",IF(AND(K3567="images",AE3567="me"),"EACH row",IF(D3567="","",IF(H3567="credit","",IF(AE3567="free","re-planting",IF(AE3567="me","   not ELP, by",IF(AND(OR(PlanterYesMe="Yes",PlanterYesMe="Y"),G3567&gt;0),(VLOOKUP(A3567,'Discount Lookup'!J:K,2)*G3567*(1-PlanterDiscount)*(1+PlanterDifficultyPercentage)),IF(AE3567="ELP",(VLOOKUP(A3567,'Discount Lookup'!J:K,2)*G3567*(1-PlanterDiscount)*(1+PlanterDifficultyPercentage)),IF(AE3567="free","re-planting",IF(G3567=0,"",IF(PlanterYesMe="",IF(AE3567="me","   not ELP, by",IF(AE3567="",IF(G3567&gt;0,(VLOOKUP(A3567,'Discount Lookup'!J:K,2)*G3567*(1-PlanterDiscount)*(1+PlanterDifficultyPercentage)),""),"")),"   not ELP, by"))))))))))))))</f>
        <v/>
      </c>
      <c r="AD3567" s="712"/>
      <c r="AE3567" s="513" t="str">
        <f t="shared" si="2705"/>
        <v/>
      </c>
      <c r="AF3567" s="713" t="str">
        <f t="shared" si="2706"/>
        <v/>
      </c>
      <c r="AG3567" s="713"/>
      <c r="AH3567" s="713"/>
      <c r="AI3567" s="112">
        <f>IF(H3567="credit",0,IF(AE3567="free",0,IF(AE3567="me",0,IF(G3567&gt;0,(VLOOKUP(A3567,'Discount Lookup'!J:K,2)*G3567),0))))</f>
        <v>0</v>
      </c>
      <c r="AJ3567" s="107" t="str">
        <f t="shared" ca="1" si="2707"/>
        <v/>
      </c>
      <c r="AK3567" s="714" t="str">
        <f t="shared" si="2708"/>
        <v/>
      </c>
      <c r="AL3567" s="714"/>
      <c r="AM3567" s="114" t="str">
        <f t="shared" si="2709"/>
        <v/>
      </c>
      <c r="AN3567" s="115"/>
      <c r="AO3567" s="116"/>
      <c r="AP3567" s="116"/>
      <c r="AQ3567" s="116"/>
      <c r="AR3567" s="116"/>
      <c r="AS3567" s="116"/>
      <c r="AT3567" s="116"/>
      <c r="AU3567" s="116"/>
      <c r="AV3567" s="78"/>
      <c r="AW3567" s="102"/>
      <c r="AX3567" s="78"/>
      <c r="AY3567" s="78"/>
      <c r="AZ3567" s="78"/>
      <c r="BA3567" s="78"/>
      <c r="BB3567" s="78"/>
      <c r="BC3567" s="78"/>
      <c r="BD3567" s="78"/>
      <c r="BE3567" s="465"/>
      <c r="BF3567" s="165" t="str">
        <f t="shared" si="2710"/>
        <v>https://www.google.com/search?tbm=isch&amp;q=3%20G2</v>
      </c>
      <c r="BG3567" s="165" t="str">
        <f t="shared" si="2711"/>
        <v>R</v>
      </c>
      <c r="BH3567" s="65"/>
      <c r="BI3567" s="65"/>
      <c r="BJ3567" s="65"/>
      <c r="BK3567" s="65"/>
      <c r="BL3567" s="99"/>
      <c r="BM3567" s="99"/>
      <c r="BN3567" s="99"/>
    </row>
    <row r="3568" spans="1:66" s="51" customFormat="1" ht="17.25" thickBot="1" x14ac:dyDescent="0.3">
      <c r="A3568" s="508" t="s">
        <v>3974</v>
      </c>
      <c r="B3568" s="487"/>
      <c r="C3568" s="707"/>
      <c r="D3568" s="487"/>
      <c r="E3568" s="487"/>
      <c r="F3568" s="488"/>
      <c r="G3568" s="489"/>
      <c r="H3568" s="487"/>
      <c r="I3568" s="490"/>
      <c r="J3568" s="490"/>
      <c r="K3568" s="491"/>
      <c r="L3568" s="547"/>
      <c r="M3568" s="528"/>
      <c r="N3568" s="492"/>
      <c r="O3568" s="493"/>
      <c r="P3568" s="494"/>
      <c r="Q3568" s="492"/>
      <c r="R3568" s="492"/>
      <c r="S3568" s="699" t="s">
        <v>5248</v>
      </c>
      <c r="T3568" s="102">
        <f t="shared" si="2699"/>
        <v>0</v>
      </c>
      <c r="U3568" s="78" t="str">
        <f>IF(NOT(ISNUMBER(G3568)), "", VLOOKUP(A3568,'Discount Lookup'!D:E,2,FALSE)*G3568)</f>
        <v/>
      </c>
      <c r="V3568" s="78" t="str">
        <f>IF(NOT(ISNUMBER(G3568)), "", VLOOKUP(A3568,'Discount Lookup'!G:H,2,FALSE)*G3568)</f>
        <v/>
      </c>
      <c r="W3568" s="102">
        <f t="shared" si="2700"/>
        <v>0</v>
      </c>
      <c r="X3568" s="102">
        <f t="shared" si="2701"/>
        <v>0</v>
      </c>
      <c r="Y3568" s="120" t="b">
        <f t="shared" si="2702"/>
        <v>0</v>
      </c>
      <c r="Z3568" s="117">
        <f t="shared" si="2703"/>
        <v>0</v>
      </c>
      <c r="AA3568" s="118"/>
      <c r="AB3568" s="118" t="str">
        <f t="shared" si="2704"/>
        <v/>
      </c>
      <c r="AC3568" s="712" t="str">
        <f>IF(AE3568="T2G","no charge",IF(AND(OR(PlanterYesMe="No",PlanterYesMe="N",PlanterYesMe="me"),H3568=""),"",IF(H3568="credit","NO install",IF(AND(K3568="",AE3568="me"),"EACH row",IF(AND(K3568="images",AE3568="me"),"EACH row",IF(D3568="","",IF(H3568="credit","",IF(AE3568="free","re-planting",IF(AE3568="me","   not ELP, by",IF(AND(OR(PlanterYesMe="Yes",PlanterYesMe="Y"),G3568&gt;0),(VLOOKUP(A3568,'Discount Lookup'!J:K,2)*G3568*(1-PlanterDiscount)*(1+PlanterDifficultyPercentage)),IF(AE3568="ELP",(VLOOKUP(A3568,'Discount Lookup'!J:K,2)*G3568*(1-PlanterDiscount)*(1+PlanterDifficultyPercentage)),IF(AE3568="free","re-planting",IF(G3568=0,"",IF(PlanterYesMe="",IF(AE3568="me","   not ELP, by",IF(AE3568="",IF(G3568&gt;0,(VLOOKUP(A3568,'Discount Lookup'!J:K,2)*G3568*(1-PlanterDiscount)*(1+PlanterDifficultyPercentage)),""),"")),"   not ELP, by"))))))))))))))</f>
        <v/>
      </c>
      <c r="AD3568" s="712"/>
      <c r="AE3568" s="513" t="str">
        <f t="shared" si="2705"/>
        <v/>
      </c>
      <c r="AF3568" s="713" t="str">
        <f t="shared" si="2706"/>
        <v/>
      </c>
      <c r="AG3568" s="713"/>
      <c r="AH3568" s="713"/>
      <c r="AI3568" s="112">
        <f>IF(H3568="credit",0,IF(AE3568="free",0,IF(AE3568="me",0,IF(G3568&gt;0,(VLOOKUP(A3568,'Discount Lookup'!J:K,2)*G3568),0))))</f>
        <v>0</v>
      </c>
      <c r="AJ3568" s="107" t="str">
        <f t="shared" ca="1" si="2707"/>
        <v/>
      </c>
      <c r="AK3568" s="714" t="str">
        <f t="shared" si="2708"/>
        <v/>
      </c>
      <c r="AL3568" s="714"/>
      <c r="AM3568" s="114" t="str">
        <f t="shared" si="2709"/>
        <v/>
      </c>
      <c r="AN3568" s="115"/>
      <c r="AO3568" s="116"/>
      <c r="AP3568" s="116"/>
      <c r="AQ3568" s="116"/>
      <c r="AR3568" s="116"/>
      <c r="AS3568" s="116"/>
      <c r="AT3568" s="116"/>
      <c r="AU3568" s="116"/>
      <c r="AV3568" s="78"/>
      <c r="AW3568" s="102"/>
      <c r="AX3568" s="78"/>
      <c r="AY3568" s="78"/>
      <c r="AZ3568" s="78"/>
      <c r="BA3568" s="78"/>
      <c r="BB3568" s="78"/>
      <c r="BC3568" s="78"/>
      <c r="BD3568" s="78"/>
      <c r="BE3568" s="465"/>
      <c r="BF3568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68" s="165" t="str">
        <f t="shared" si="2711"/>
        <v>A</v>
      </c>
      <c r="BH3568" s="65"/>
      <c r="BI3568" s="65"/>
      <c r="BJ3568" s="65"/>
      <c r="BK3568" s="65"/>
      <c r="BL3568" s="99"/>
      <c r="BM3568" s="99"/>
      <c r="BN3568" s="99"/>
    </row>
    <row r="3569" spans="1:66" s="51" customFormat="1" ht="18" x14ac:dyDescent="0.25">
      <c r="A3569" s="507" t="s">
        <v>5780</v>
      </c>
      <c r="B3569" s="470"/>
      <c r="C3569" s="706"/>
      <c r="D3569" s="471" t="s">
        <v>5781</v>
      </c>
      <c r="E3569" s="472"/>
      <c r="F3569" s="472"/>
      <c r="G3569" s="472"/>
      <c r="H3569" s="622" t="s">
        <v>3975</v>
      </c>
      <c r="I3569" s="473" t="s">
        <v>3983</v>
      </c>
      <c r="J3569" s="472"/>
      <c r="K3569" s="472"/>
      <c r="L3569" s="561"/>
      <c r="M3569" s="698" t="s">
        <v>5246</v>
      </c>
      <c r="N3569" s="692" t="str">
        <f>IF(AND(ISTEXT($A3569), ISERROR($A3569+0)), HYPERLINK($BF3569, "Images"), "")</f>
        <v>Images</v>
      </c>
      <c r="O3569" s="694" t="s">
        <v>5264</v>
      </c>
      <c r="P3569" s="475"/>
      <c r="Q3569" s="476"/>
      <c r="R3569" s="476"/>
      <c r="S3569" s="477"/>
      <c r="T3569" s="102">
        <f t="shared" si="2699"/>
        <v>0</v>
      </c>
      <c r="U3569" s="78" t="str">
        <f>IF(NOT(ISNUMBER(G3569)), "", VLOOKUP(A3569,'Discount Lookup'!D:E,2,FALSE)*G3569)</f>
        <v/>
      </c>
      <c r="V3569" s="78" t="str">
        <f>IF(NOT(ISNUMBER(G3569)), "", VLOOKUP(A3569,'Discount Lookup'!G:H,2,FALSE)*G3569)</f>
        <v/>
      </c>
      <c r="W3569" s="102">
        <f t="shared" si="2700"/>
        <v>0</v>
      </c>
      <c r="X3569" s="102" t="str">
        <f t="shared" si="2701"/>
        <v>Lavender-Purple bloom</v>
      </c>
      <c r="Y3569" s="120" t="b">
        <f t="shared" si="2702"/>
        <v>0</v>
      </c>
      <c r="Z3569" s="117">
        <f t="shared" si="2703"/>
        <v>0</v>
      </c>
      <c r="AA3569" s="118"/>
      <c r="AB3569" s="118" t="str">
        <f t="shared" si="2704"/>
        <v/>
      </c>
      <c r="AC3569" s="712" t="str">
        <f>IF(AE3569="T2G","no charge",IF(AND(OR(PlanterYesMe="No",PlanterYesMe="N",PlanterYesMe="me"),H3569=""),"",IF(H3569="credit","NO install",IF(AND(K3569="",AE3569="me"),"EACH row",IF(AND(K3569="images",AE3569="me"),"EACH row",IF(D3569="","",IF(H3569="credit","",IF(AE3569="free","re-planting",IF(AE3569="me","   not ELP, by",IF(AND(OR(PlanterYesMe="Yes",PlanterYesMe="Y"),G3569&gt;0),(VLOOKUP(A3569,'Discount Lookup'!J:K,2)*G3569*(1-PlanterDiscount)*(1+PlanterDifficultyPercentage)),IF(AE3569="ELP",(VLOOKUP(A3569,'Discount Lookup'!J:K,2)*G3569*(1-PlanterDiscount)*(1+PlanterDifficultyPercentage)),IF(AE3569="free","re-planting",IF(G3569=0,"",IF(PlanterYesMe="",IF(AE3569="me","   not ELP, by",IF(AE3569="",IF(G3569&gt;0,(VLOOKUP(A3569,'Discount Lookup'!J:K,2)*G3569*(1-PlanterDiscount)*(1+PlanterDifficultyPercentage)),""),"")),"   not ELP, by"))))))))))))))</f>
        <v/>
      </c>
      <c r="AD3569" s="712"/>
      <c r="AE3569" s="513" t="str">
        <f t="shared" si="2705"/>
        <v/>
      </c>
      <c r="AF3569" s="713" t="str">
        <f t="shared" si="2706"/>
        <v/>
      </c>
      <c r="AG3569" s="713"/>
      <c r="AH3569" s="713"/>
      <c r="AI3569" s="112">
        <f>IF(H3569="credit",0,IF(AE3569="free",0,IF(AE3569="me",0,IF(G3569&gt;0,(VLOOKUP(A3569,'Discount Lookup'!J:K,2)*G3569),0))))</f>
        <v>0</v>
      </c>
      <c r="AJ3569" s="107" t="str">
        <f t="shared" ca="1" si="2707"/>
        <v/>
      </c>
      <c r="AK3569" s="714" t="str">
        <f t="shared" si="2708"/>
        <v/>
      </c>
      <c r="AL3569" s="714"/>
      <c r="AM3569" s="114" t="str">
        <f t="shared" si="2709"/>
        <v/>
      </c>
      <c r="AN3569" s="115"/>
      <c r="AO3569" s="116"/>
      <c r="AP3569" s="116"/>
      <c r="AQ3569" s="116"/>
      <c r="AR3569" s="116"/>
      <c r="AS3569" s="116"/>
      <c r="AT3569" s="116"/>
      <c r="AU3569" s="116"/>
      <c r="AV3569" s="78"/>
      <c r="AW3569" s="102"/>
      <c r="AX3569" s="78"/>
      <c r="AY3569" s="78"/>
      <c r="AZ3569" s="78"/>
      <c r="BA3569" s="78"/>
      <c r="BB3569" s="78"/>
      <c r="BC3569" s="78"/>
      <c r="BD3569" s="78"/>
      <c r="BE3569" s="465"/>
      <c r="BF3569" s="165" t="str">
        <f t="shared" si="2710"/>
        <v>https://www.google.com/search?tbm=isch&amp;q=Rhod.%20Encore%C2%AE%20%27Robles%27%20PP%2322762%20Autumn%20Lilac%C2%AE%20Encore%C2%AE%20Azalea</v>
      </c>
      <c r="BG3569" s="165" t="str">
        <f t="shared" si="2711"/>
        <v>R</v>
      </c>
      <c r="BH3569" s="65"/>
      <c r="BI3569" s="65"/>
      <c r="BJ3569" s="65"/>
      <c r="BK3569" s="65"/>
      <c r="BL3569" s="99"/>
      <c r="BM3569" s="99"/>
      <c r="BN3569" s="99"/>
    </row>
    <row r="3570" spans="1:66" s="51" customFormat="1" ht="15.75" x14ac:dyDescent="0.25">
      <c r="A3570" s="478">
        <v>3</v>
      </c>
      <c r="B3570" s="479" t="s">
        <v>291</v>
      </c>
      <c r="C3570" s="480" t="s">
        <v>1871</v>
      </c>
      <c r="D3570" s="481" t="s">
        <v>329</v>
      </c>
      <c r="E3570" s="482">
        <v>29.95</v>
      </c>
      <c r="F3570" s="483" t="s">
        <v>292</v>
      </c>
      <c r="G3570" s="484">
        <v>0</v>
      </c>
      <c r="H3570" s="688" t="str">
        <f>IF(G3570=0,"",IF(F3570="Buy",IF(G3570=1,"plant","plants"),IF(F3570&gt;0.01,"warranty","Error")))</f>
        <v/>
      </c>
      <c r="I3570" s="485">
        <f>IF(H3570="free",0,IF(H3570="credit",((E3570*(F3570))*G3570*-1),IF(F3570="Buy",(E3570*G3570),((E3570*(1-F3570))*G3570))))</f>
        <v>0</v>
      </c>
      <c r="J3570" s="485">
        <f>IF(H3570="warranty",0,(I3570*(_xlfn.SINGLE(SalesTaxPercentage))))</f>
        <v>0</v>
      </c>
      <c r="K3570" s="715">
        <f t="shared" ref="K3570" si="2721">I3570+J3570</f>
        <v>0</v>
      </c>
      <c r="L3570" s="715"/>
      <c r="M3570" s="689" t="str">
        <f ca="1">IF(AND(G3570&gt;0,E3570=0),"WARNING - no PRICE inserted",IF(H3570="free","FREE ~ no charge this plant",IF(H3570="credit",CONCATENATE("-$",ROUND(K3570*(1-_xlfn.SINGLE(T2GDiscount))*-1,2)," CREDIT after discount"),IF(_xlfn.SINGLE(T2GDiscount)=0,"",IF(G3570=0,"",IF(F3570="Buy",CONCATENATE("$",ROUND(K3570*(1-_xlfn.SINGLE(T2GDiscount)),2)," with ",(_xlfn.SINGLE(T2GDiscount)*100),"% discount"),CONCATENATE("$",ROUND(K3570*(1-_xlfn.SINGLE(T2GDiscount)),2)," with ",((_xlfn.SINGLE(T2GDiscount)*100+F3570*100)-(_xlfn.SINGLE(T2GDiscount)*100*F3570)),IF(F3570&gt;0,"% discounts",IF(_xlfn.SINGLE(NoWarrantyDiscount)&gt;0,"% discounts","% discount")))))))))</f>
        <v/>
      </c>
      <c r="N3570" s="690"/>
      <c r="O3570" s="486"/>
      <c r="P3570" s="486"/>
      <c r="Q3570" s="486"/>
      <c r="R3570" s="486"/>
      <c r="S3570" s="486"/>
      <c r="T3570" s="102">
        <f t="shared" si="2699"/>
        <v>0</v>
      </c>
      <c r="U3570" s="78">
        <f>IF(NOT(ISNUMBER(G3570)), "", VLOOKUP(A3570,'Discount Lookup'!D:E,2,FALSE)*G3570)</f>
        <v>0</v>
      </c>
      <c r="V3570" s="78">
        <f>IF(NOT(ISNUMBER(G3570)), "", VLOOKUP(A3570,'Discount Lookup'!G:H,2,FALSE)*G3570)</f>
        <v>0</v>
      </c>
      <c r="W3570" s="102">
        <f t="shared" si="2700"/>
        <v>0</v>
      </c>
      <c r="X3570" s="102">
        <f t="shared" si="2701"/>
        <v>0</v>
      </c>
      <c r="Y3570" s="120" t="b">
        <f t="shared" si="2702"/>
        <v>0</v>
      </c>
      <c r="Z3570" s="117">
        <f t="shared" si="2703"/>
        <v>0</v>
      </c>
      <c r="AA3570" s="118"/>
      <c r="AB3570" s="118" t="str">
        <f t="shared" si="2704"/>
        <v/>
      </c>
      <c r="AC3570" s="712" t="str">
        <f>IF(AE3570="T2G","no charge",IF(AND(OR(PlanterYesMe="No",PlanterYesMe="N",PlanterYesMe="me"),H3570=""),"",IF(H3570="credit","NO install",IF(AND(K3570="",AE3570="me"),"EACH row",IF(AND(K3570="images",AE3570="me"),"EACH row",IF(D3570="","",IF(H3570="credit","",IF(AE3570="free","re-planting",IF(AE3570="me","   not ELP, by",IF(AND(OR(PlanterYesMe="Yes",PlanterYesMe="Y"),G3570&gt;0),(VLOOKUP(A3570,'Discount Lookup'!J:K,2)*G3570*(1-PlanterDiscount)*(1+PlanterDifficultyPercentage)),IF(AE3570="ELP",(VLOOKUP(A3570,'Discount Lookup'!J:K,2)*G3570*(1-PlanterDiscount)*(1+PlanterDifficultyPercentage)),IF(AE3570="free","re-planting",IF(G3570=0,"",IF(PlanterYesMe="",IF(AE3570="me","   not ELP, by",IF(AE3570="",IF(G3570&gt;0,(VLOOKUP(A3570,'Discount Lookup'!J:K,2)*G3570*(1-PlanterDiscount)*(1+PlanterDifficultyPercentage)),""),"")),"   not ELP, by"))))))))))))))</f>
        <v/>
      </c>
      <c r="AD3570" s="712"/>
      <c r="AE3570" s="513" t="str">
        <f t="shared" si="2705"/>
        <v/>
      </c>
      <c r="AF3570" s="713" t="str">
        <f t="shared" si="2706"/>
        <v/>
      </c>
      <c r="AG3570" s="713"/>
      <c r="AH3570" s="713"/>
      <c r="AI3570" s="112">
        <f>IF(H3570="credit",0,IF(AE3570="free",0,IF(AE3570="me",0,IF(G3570&gt;0,(VLOOKUP(A3570,'Discount Lookup'!J:K,2)*G3570),0))))</f>
        <v>0</v>
      </c>
      <c r="AJ3570" s="107" t="str">
        <f t="shared" ca="1" si="2707"/>
        <v/>
      </c>
      <c r="AK3570" s="714" t="str">
        <f t="shared" si="2708"/>
        <v/>
      </c>
      <c r="AL3570" s="714"/>
      <c r="AM3570" s="114" t="str">
        <f t="shared" si="2709"/>
        <v/>
      </c>
      <c r="AN3570" s="115"/>
      <c r="AO3570" s="116"/>
      <c r="AP3570" s="116"/>
      <c r="AQ3570" s="116"/>
      <c r="AR3570" s="116"/>
      <c r="AS3570" s="116"/>
      <c r="AT3570" s="116"/>
      <c r="AU3570" s="116"/>
      <c r="AV3570" s="78"/>
      <c r="AW3570" s="102"/>
      <c r="AX3570" s="78"/>
      <c r="AY3570" s="78"/>
      <c r="AZ3570" s="78"/>
      <c r="BA3570" s="78"/>
      <c r="BB3570" s="78"/>
      <c r="BC3570" s="78"/>
      <c r="BD3570" s="78"/>
      <c r="BE3570" s="465"/>
      <c r="BF3570" s="165" t="str">
        <f t="shared" si="2710"/>
        <v>https://www.google.com/search?tbm=isch&amp;q=3%20G2</v>
      </c>
      <c r="BG3570" s="165" t="str">
        <f t="shared" si="2711"/>
        <v>R</v>
      </c>
      <c r="BH3570" s="65"/>
      <c r="BI3570" s="65"/>
      <c r="BJ3570" s="65"/>
      <c r="BK3570" s="65"/>
      <c r="BL3570" s="99"/>
      <c r="BM3570" s="99"/>
      <c r="BN3570" s="99"/>
    </row>
    <row r="3571" spans="1:66" s="51" customFormat="1" ht="17.25" thickBot="1" x14ac:dyDescent="0.3">
      <c r="A3571" s="508" t="s">
        <v>3974</v>
      </c>
      <c r="B3571" s="487"/>
      <c r="C3571" s="707"/>
      <c r="D3571" s="487"/>
      <c r="E3571" s="487"/>
      <c r="F3571" s="488"/>
      <c r="G3571" s="489"/>
      <c r="H3571" s="487"/>
      <c r="I3571" s="490"/>
      <c r="J3571" s="490"/>
      <c r="K3571" s="491"/>
      <c r="L3571" s="547"/>
      <c r="M3571" s="528"/>
      <c r="N3571" s="492"/>
      <c r="O3571" s="493"/>
      <c r="P3571" s="494"/>
      <c r="Q3571" s="492"/>
      <c r="R3571" s="492"/>
      <c r="S3571" s="699" t="s">
        <v>5248</v>
      </c>
      <c r="T3571" s="102">
        <f t="shared" si="2699"/>
        <v>0</v>
      </c>
      <c r="U3571" s="78" t="str">
        <f>IF(NOT(ISNUMBER(G3571)), "", VLOOKUP(A3571,'Discount Lookup'!D:E,2,FALSE)*G3571)</f>
        <v/>
      </c>
      <c r="V3571" s="78" t="str">
        <f>IF(NOT(ISNUMBER(G3571)), "", VLOOKUP(A3571,'Discount Lookup'!G:H,2,FALSE)*G3571)</f>
        <v/>
      </c>
      <c r="W3571" s="102">
        <f t="shared" si="2700"/>
        <v>0</v>
      </c>
      <c r="X3571" s="102">
        <f t="shared" si="2701"/>
        <v>0</v>
      </c>
      <c r="Y3571" s="120" t="b">
        <f t="shared" si="2702"/>
        <v>0</v>
      </c>
      <c r="Z3571" s="117">
        <f t="shared" si="2703"/>
        <v>0</v>
      </c>
      <c r="AA3571" s="118"/>
      <c r="AB3571" s="118" t="str">
        <f t="shared" si="2704"/>
        <v/>
      </c>
      <c r="AC3571" s="712" t="str">
        <f>IF(AE3571="T2G","no charge",IF(AND(OR(PlanterYesMe="No",PlanterYesMe="N",PlanterYesMe="me"),H3571=""),"",IF(H3571="credit","NO install",IF(AND(K3571="",AE3571="me"),"EACH row",IF(AND(K3571="images",AE3571="me"),"EACH row",IF(D3571="","",IF(H3571="credit","",IF(AE3571="free","re-planting",IF(AE3571="me","   not ELP, by",IF(AND(OR(PlanterYesMe="Yes",PlanterYesMe="Y"),G3571&gt;0),(VLOOKUP(A3571,'Discount Lookup'!J:K,2)*G3571*(1-PlanterDiscount)*(1+PlanterDifficultyPercentage)),IF(AE3571="ELP",(VLOOKUP(A3571,'Discount Lookup'!J:K,2)*G3571*(1-PlanterDiscount)*(1+PlanterDifficultyPercentage)),IF(AE3571="free","re-planting",IF(G3571=0,"",IF(PlanterYesMe="",IF(AE3571="me","   not ELP, by",IF(AE3571="",IF(G3571&gt;0,(VLOOKUP(A3571,'Discount Lookup'!J:K,2)*G3571*(1-PlanterDiscount)*(1+PlanterDifficultyPercentage)),""),"")),"   not ELP, by"))))))))))))))</f>
        <v/>
      </c>
      <c r="AD3571" s="712"/>
      <c r="AE3571" s="513" t="str">
        <f t="shared" si="2705"/>
        <v/>
      </c>
      <c r="AF3571" s="713" t="str">
        <f t="shared" si="2706"/>
        <v/>
      </c>
      <c r="AG3571" s="713"/>
      <c r="AH3571" s="713"/>
      <c r="AI3571" s="112">
        <f>IF(H3571="credit",0,IF(AE3571="free",0,IF(AE3571="me",0,IF(G3571&gt;0,(VLOOKUP(A3571,'Discount Lookup'!J:K,2)*G3571),0))))</f>
        <v>0</v>
      </c>
      <c r="AJ3571" s="107" t="str">
        <f t="shared" ca="1" si="2707"/>
        <v/>
      </c>
      <c r="AK3571" s="714" t="str">
        <f t="shared" si="2708"/>
        <v/>
      </c>
      <c r="AL3571" s="714"/>
      <c r="AM3571" s="114" t="str">
        <f t="shared" si="2709"/>
        <v/>
      </c>
      <c r="AN3571" s="115"/>
      <c r="AO3571" s="116"/>
      <c r="AP3571" s="116"/>
      <c r="AQ3571" s="116"/>
      <c r="AR3571" s="116"/>
      <c r="AS3571" s="116"/>
      <c r="AT3571" s="116"/>
      <c r="AU3571" s="116"/>
      <c r="AV3571" s="78"/>
      <c r="AW3571" s="102"/>
      <c r="AX3571" s="78"/>
      <c r="AY3571" s="78"/>
      <c r="AZ3571" s="78"/>
      <c r="BA3571" s="78"/>
      <c r="BB3571" s="78"/>
      <c r="BC3571" s="78"/>
      <c r="BD3571" s="78"/>
      <c r="BE3571" s="465"/>
      <c r="BF3571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71" s="165" t="str">
        <f t="shared" si="2711"/>
        <v>A</v>
      </c>
      <c r="BH3571" s="65"/>
      <c r="BI3571" s="65"/>
      <c r="BJ3571" s="65"/>
      <c r="BK3571" s="65"/>
      <c r="BL3571" s="99"/>
      <c r="BM3571" s="99"/>
      <c r="BN3571" s="99"/>
    </row>
    <row r="3572" spans="1:66" s="51" customFormat="1" ht="18" x14ac:dyDescent="0.25">
      <c r="A3572" s="507" t="s">
        <v>5782</v>
      </c>
      <c r="B3572" s="470"/>
      <c r="C3572" s="706"/>
      <c r="D3572" s="471" t="s">
        <v>5783</v>
      </c>
      <c r="E3572" s="472"/>
      <c r="F3572" s="472"/>
      <c r="G3572" s="472"/>
      <c r="H3572" s="622" t="s">
        <v>3981</v>
      </c>
      <c r="I3572" s="473" t="s">
        <v>3992</v>
      </c>
      <c r="J3572" s="472"/>
      <c r="K3572" s="472"/>
      <c r="L3572" s="561"/>
      <c r="M3572" s="698" t="s">
        <v>5246</v>
      </c>
      <c r="N3572" s="692" t="str">
        <f>IF(AND(ISTEXT($A3572), ISERROR($A3572+0)), HYPERLINK($BF3572, "Images"), "")</f>
        <v>Images</v>
      </c>
      <c r="O3572" s="694" t="s">
        <v>5264</v>
      </c>
      <c r="P3572" s="475"/>
      <c r="Q3572" s="476"/>
      <c r="R3572" s="476"/>
      <c r="S3572" s="477"/>
      <c r="T3572" s="102">
        <f t="shared" si="2699"/>
        <v>0</v>
      </c>
      <c r="U3572" s="78" t="str">
        <f>IF(NOT(ISNUMBER(G3572)), "", VLOOKUP(A3572,'Discount Lookup'!D:E,2,FALSE)*G3572)</f>
        <v/>
      </c>
      <c r="V3572" s="78" t="str">
        <f>IF(NOT(ISNUMBER(G3572)), "", VLOOKUP(A3572,'Discount Lookup'!G:H,2,FALSE)*G3572)</f>
        <v/>
      </c>
      <c r="W3572" s="102">
        <f t="shared" si="2700"/>
        <v>0</v>
      </c>
      <c r="X3572" s="102" t="str">
        <f t="shared" si="2701"/>
        <v>pure White, Yellow throat</v>
      </c>
      <c r="Y3572" s="120" t="b">
        <f t="shared" si="2702"/>
        <v>0</v>
      </c>
      <c r="Z3572" s="117">
        <f t="shared" si="2703"/>
        <v>0</v>
      </c>
      <c r="AA3572" s="118"/>
      <c r="AB3572" s="118" t="str">
        <f t="shared" si="2704"/>
        <v/>
      </c>
      <c r="AC3572" s="712" t="str">
        <f>IF(AE3572="T2G","no charge",IF(AND(OR(PlanterYesMe="No",PlanterYesMe="N",PlanterYesMe="me"),H3572=""),"",IF(H3572="credit","NO install",IF(AND(K3572="",AE3572="me"),"EACH row",IF(AND(K3572="images",AE3572="me"),"EACH row",IF(D3572="","",IF(H3572="credit","",IF(AE3572="free","re-planting",IF(AE3572="me","   not ELP, by",IF(AND(OR(PlanterYesMe="Yes",PlanterYesMe="Y"),G3572&gt;0),(VLOOKUP(A3572,'Discount Lookup'!J:K,2)*G3572*(1-PlanterDiscount)*(1+PlanterDifficultyPercentage)),IF(AE3572="ELP",(VLOOKUP(A3572,'Discount Lookup'!J:K,2)*G3572*(1-PlanterDiscount)*(1+PlanterDifficultyPercentage)),IF(AE3572="free","re-planting",IF(G3572=0,"",IF(PlanterYesMe="",IF(AE3572="me","   not ELP, by",IF(AE3572="",IF(G3572&gt;0,(VLOOKUP(A3572,'Discount Lookup'!J:K,2)*G3572*(1-PlanterDiscount)*(1+PlanterDifficultyPercentage)),""),"")),"   not ELP, by"))))))))))))))</f>
        <v/>
      </c>
      <c r="AD3572" s="712"/>
      <c r="AE3572" s="513" t="str">
        <f t="shared" si="2705"/>
        <v/>
      </c>
      <c r="AF3572" s="713" t="str">
        <f t="shared" si="2706"/>
        <v/>
      </c>
      <c r="AG3572" s="713"/>
      <c r="AH3572" s="713"/>
      <c r="AI3572" s="112">
        <f>IF(H3572="credit",0,IF(AE3572="free",0,IF(AE3572="me",0,IF(G3572&gt;0,(VLOOKUP(A3572,'Discount Lookup'!J:K,2)*G3572),0))))</f>
        <v>0</v>
      </c>
      <c r="AJ3572" s="107" t="str">
        <f t="shared" ca="1" si="2707"/>
        <v/>
      </c>
      <c r="AK3572" s="714" t="str">
        <f t="shared" si="2708"/>
        <v/>
      </c>
      <c r="AL3572" s="714"/>
      <c r="AM3572" s="114" t="str">
        <f t="shared" si="2709"/>
        <v/>
      </c>
      <c r="AN3572" s="115"/>
      <c r="AO3572" s="116"/>
      <c r="AP3572" s="116"/>
      <c r="AQ3572" s="116"/>
      <c r="AR3572" s="116"/>
      <c r="AS3572" s="116"/>
      <c r="AT3572" s="116"/>
      <c r="AU3572" s="116"/>
      <c r="AV3572" s="78"/>
      <c r="AW3572" s="102"/>
      <c r="AX3572" s="78"/>
      <c r="AY3572" s="78"/>
      <c r="AZ3572" s="78"/>
      <c r="BA3572" s="78"/>
      <c r="BB3572" s="78"/>
      <c r="BC3572" s="78"/>
      <c r="BD3572" s="78"/>
      <c r="BE3572" s="465"/>
      <c r="BF3572" s="165" t="str">
        <f t="shared" si="2710"/>
        <v>https://www.google.com/search?tbm=isch&amp;q=Rhod.%20Encore%C2%AE%20%27Roblev%27%20PP%2325046%20Autumn%20Ivory%C2%AE%20Encore%C2%AE%20Azalea</v>
      </c>
      <c r="BG3572" s="165" t="str">
        <f t="shared" si="2711"/>
        <v>R</v>
      </c>
      <c r="BH3572" s="65"/>
      <c r="BI3572" s="65"/>
      <c r="BJ3572" s="65"/>
      <c r="BK3572" s="65"/>
      <c r="BL3572" s="99"/>
      <c r="BM3572" s="99"/>
      <c r="BN3572" s="99"/>
    </row>
    <row r="3573" spans="1:66" s="51" customFormat="1" ht="15.75" x14ac:dyDescent="0.25">
      <c r="A3573" s="478">
        <v>3</v>
      </c>
      <c r="B3573" s="479" t="s">
        <v>291</v>
      </c>
      <c r="C3573" s="480" t="s">
        <v>3993</v>
      </c>
      <c r="D3573" s="481" t="s">
        <v>329</v>
      </c>
      <c r="E3573" s="482">
        <v>29.95</v>
      </c>
      <c r="F3573" s="483" t="s">
        <v>292</v>
      </c>
      <c r="G3573" s="484">
        <v>0</v>
      </c>
      <c r="H3573" s="688" t="str">
        <f>IF(G3573=0,"",IF(F3573="Buy",IF(G3573=1,"plant","plants"),IF(F3573&gt;0.01,"warranty","Error")))</f>
        <v/>
      </c>
      <c r="I3573" s="485">
        <f>IF(H3573="free",0,IF(H3573="credit",((E3573*(F3573))*G3573*-1),IF(F3573="Buy",(E3573*G3573),((E3573*(1-F3573))*G3573))))</f>
        <v>0</v>
      </c>
      <c r="J3573" s="485">
        <f>IF(H3573="warranty",0,(I3573*(_xlfn.SINGLE(SalesTaxPercentage))))</f>
        <v>0</v>
      </c>
      <c r="K3573" s="715">
        <f t="shared" ref="K3573" si="2722">I3573+J3573</f>
        <v>0</v>
      </c>
      <c r="L3573" s="715"/>
      <c r="M3573" s="689" t="str">
        <f ca="1">IF(AND(G3573&gt;0,E3573=0),"WARNING - no PRICE inserted",IF(H3573="free","FREE ~ no charge this plant",IF(H3573="credit",CONCATENATE("-$",ROUND(K3573*(1-_xlfn.SINGLE(T2GDiscount))*-1,2)," CREDIT after discount"),IF(_xlfn.SINGLE(T2GDiscount)=0,"",IF(G3573=0,"",IF(F3573="Buy",CONCATENATE("$",ROUND(K3573*(1-_xlfn.SINGLE(T2GDiscount)),2)," with ",(_xlfn.SINGLE(T2GDiscount)*100),"% discount"),CONCATENATE("$",ROUND(K3573*(1-_xlfn.SINGLE(T2GDiscount)),2)," with ",((_xlfn.SINGLE(T2GDiscount)*100+F3573*100)-(_xlfn.SINGLE(T2GDiscount)*100*F3573)),IF(F3573&gt;0,"% discounts",IF(_xlfn.SINGLE(NoWarrantyDiscount)&gt;0,"% discounts","% discount")))))))))</f>
        <v/>
      </c>
      <c r="N3573" s="690"/>
      <c r="O3573" s="486"/>
      <c r="P3573" s="486"/>
      <c r="Q3573" s="486"/>
      <c r="R3573" s="486"/>
      <c r="S3573" s="486"/>
      <c r="T3573" s="102">
        <f t="shared" si="2699"/>
        <v>0</v>
      </c>
      <c r="U3573" s="78">
        <f>IF(NOT(ISNUMBER(G3573)), "", VLOOKUP(A3573,'Discount Lookup'!D:E,2,FALSE)*G3573)</f>
        <v>0</v>
      </c>
      <c r="V3573" s="78">
        <f>IF(NOT(ISNUMBER(G3573)), "", VLOOKUP(A3573,'Discount Lookup'!G:H,2,FALSE)*G3573)</f>
        <v>0</v>
      </c>
      <c r="W3573" s="102">
        <f t="shared" si="2700"/>
        <v>0</v>
      </c>
      <c r="X3573" s="102">
        <f t="shared" si="2701"/>
        <v>0</v>
      </c>
      <c r="Y3573" s="120" t="b">
        <f t="shared" si="2702"/>
        <v>0</v>
      </c>
      <c r="Z3573" s="117">
        <f t="shared" si="2703"/>
        <v>0</v>
      </c>
      <c r="AA3573" s="118"/>
      <c r="AB3573" s="118" t="str">
        <f t="shared" si="2704"/>
        <v/>
      </c>
      <c r="AC3573" s="712" t="str">
        <f>IF(AE3573="T2G","no charge",IF(AND(OR(PlanterYesMe="No",PlanterYesMe="N",PlanterYesMe="me"),H3573=""),"",IF(H3573="credit","NO install",IF(AND(K3573="",AE3573="me"),"EACH row",IF(AND(K3573="images",AE3573="me"),"EACH row",IF(D3573="","",IF(H3573="credit","",IF(AE3573="free","re-planting",IF(AE3573="me","   not ELP, by",IF(AND(OR(PlanterYesMe="Yes",PlanterYesMe="Y"),G3573&gt;0),(VLOOKUP(A3573,'Discount Lookup'!J:K,2)*G3573*(1-PlanterDiscount)*(1+PlanterDifficultyPercentage)),IF(AE3573="ELP",(VLOOKUP(A3573,'Discount Lookup'!J:K,2)*G3573*(1-PlanterDiscount)*(1+PlanterDifficultyPercentage)),IF(AE3573="free","re-planting",IF(G3573=0,"",IF(PlanterYesMe="",IF(AE3573="me","   not ELP, by",IF(AE3573="",IF(G3573&gt;0,(VLOOKUP(A3573,'Discount Lookup'!J:K,2)*G3573*(1-PlanterDiscount)*(1+PlanterDifficultyPercentage)),""),"")),"   not ELP, by"))))))))))))))</f>
        <v/>
      </c>
      <c r="AD3573" s="712"/>
      <c r="AE3573" s="513" t="str">
        <f t="shared" si="2705"/>
        <v/>
      </c>
      <c r="AF3573" s="713" t="str">
        <f t="shared" si="2706"/>
        <v/>
      </c>
      <c r="AG3573" s="713"/>
      <c r="AH3573" s="713"/>
      <c r="AI3573" s="112">
        <f>IF(H3573="credit",0,IF(AE3573="free",0,IF(AE3573="me",0,IF(G3573&gt;0,(VLOOKUP(A3573,'Discount Lookup'!J:K,2)*G3573),0))))</f>
        <v>0</v>
      </c>
      <c r="AJ3573" s="107" t="str">
        <f t="shared" ca="1" si="2707"/>
        <v/>
      </c>
      <c r="AK3573" s="714" t="str">
        <f t="shared" si="2708"/>
        <v/>
      </c>
      <c r="AL3573" s="714"/>
      <c r="AM3573" s="114" t="str">
        <f t="shared" si="2709"/>
        <v/>
      </c>
      <c r="AN3573" s="115"/>
      <c r="AO3573" s="116"/>
      <c r="AP3573" s="116"/>
      <c r="AQ3573" s="116"/>
      <c r="AR3573" s="116"/>
      <c r="AS3573" s="116"/>
      <c r="AT3573" s="116"/>
      <c r="AU3573" s="116"/>
      <c r="AV3573" s="78"/>
      <c r="AW3573" s="102"/>
      <c r="AX3573" s="78"/>
      <c r="AY3573" s="78"/>
      <c r="AZ3573" s="78"/>
      <c r="BA3573" s="78"/>
      <c r="BB3573" s="78"/>
      <c r="BC3573" s="78"/>
      <c r="BD3573" s="78"/>
      <c r="BE3573" s="465"/>
      <c r="BF3573" s="165" t="str">
        <f t="shared" si="2710"/>
        <v>https://www.google.com/search?tbm=isch&amp;q=3%20G2</v>
      </c>
      <c r="BG3573" s="165" t="str">
        <f t="shared" si="2711"/>
        <v>R</v>
      </c>
      <c r="BH3573" s="65"/>
      <c r="BI3573" s="65"/>
      <c r="BJ3573" s="65"/>
      <c r="BK3573" s="65"/>
      <c r="BL3573" s="99"/>
      <c r="BM3573" s="99"/>
      <c r="BN3573" s="99"/>
    </row>
    <row r="3574" spans="1:66" s="51" customFormat="1" ht="17.25" thickBot="1" x14ac:dyDescent="0.3">
      <c r="A3574" s="508" t="s">
        <v>3974</v>
      </c>
      <c r="B3574" s="487"/>
      <c r="C3574" s="707"/>
      <c r="D3574" s="487"/>
      <c r="E3574" s="487"/>
      <c r="F3574" s="488"/>
      <c r="G3574" s="489"/>
      <c r="H3574" s="487"/>
      <c r="I3574" s="490"/>
      <c r="J3574" s="490"/>
      <c r="K3574" s="491"/>
      <c r="L3574" s="547"/>
      <c r="M3574" s="528"/>
      <c r="N3574" s="492"/>
      <c r="O3574" s="493"/>
      <c r="P3574" s="494"/>
      <c r="Q3574" s="492"/>
      <c r="R3574" s="492"/>
      <c r="S3574" s="699" t="s">
        <v>5248</v>
      </c>
      <c r="T3574" s="102">
        <f t="shared" si="2699"/>
        <v>0</v>
      </c>
      <c r="U3574" s="78" t="str">
        <f>IF(NOT(ISNUMBER(G3574)), "", VLOOKUP(A3574,'Discount Lookup'!D:E,2,FALSE)*G3574)</f>
        <v/>
      </c>
      <c r="V3574" s="78" t="str">
        <f>IF(NOT(ISNUMBER(G3574)), "", VLOOKUP(A3574,'Discount Lookup'!G:H,2,FALSE)*G3574)</f>
        <v/>
      </c>
      <c r="W3574" s="102">
        <f t="shared" si="2700"/>
        <v>0</v>
      </c>
      <c r="X3574" s="102">
        <f t="shared" si="2701"/>
        <v>0</v>
      </c>
      <c r="Y3574" s="120" t="b">
        <f t="shared" si="2702"/>
        <v>0</v>
      </c>
      <c r="Z3574" s="117">
        <f t="shared" si="2703"/>
        <v>0</v>
      </c>
      <c r="AA3574" s="118"/>
      <c r="AB3574" s="118" t="str">
        <f t="shared" si="2704"/>
        <v/>
      </c>
      <c r="AC3574" s="712" t="str">
        <f>IF(AE3574="T2G","no charge",IF(AND(OR(PlanterYesMe="No",PlanterYesMe="N",PlanterYesMe="me"),H3574=""),"",IF(H3574="credit","NO install",IF(AND(K3574="",AE3574="me"),"EACH row",IF(AND(K3574="images",AE3574="me"),"EACH row",IF(D3574="","",IF(H3574="credit","",IF(AE3574="free","re-planting",IF(AE3574="me","   not ELP, by",IF(AND(OR(PlanterYesMe="Yes",PlanterYesMe="Y"),G3574&gt;0),(VLOOKUP(A3574,'Discount Lookup'!J:K,2)*G3574*(1-PlanterDiscount)*(1+PlanterDifficultyPercentage)),IF(AE3574="ELP",(VLOOKUP(A3574,'Discount Lookup'!J:K,2)*G3574*(1-PlanterDiscount)*(1+PlanterDifficultyPercentage)),IF(AE3574="free","re-planting",IF(G3574=0,"",IF(PlanterYesMe="",IF(AE3574="me","   not ELP, by",IF(AE3574="",IF(G3574&gt;0,(VLOOKUP(A3574,'Discount Lookup'!J:K,2)*G3574*(1-PlanterDiscount)*(1+PlanterDifficultyPercentage)),""),"")),"   not ELP, by"))))))))))))))</f>
        <v/>
      </c>
      <c r="AD3574" s="712"/>
      <c r="AE3574" s="513" t="str">
        <f t="shared" si="2705"/>
        <v/>
      </c>
      <c r="AF3574" s="713" t="str">
        <f t="shared" si="2706"/>
        <v/>
      </c>
      <c r="AG3574" s="713"/>
      <c r="AH3574" s="713"/>
      <c r="AI3574" s="112">
        <f>IF(H3574="credit",0,IF(AE3574="free",0,IF(AE3574="me",0,IF(G3574&gt;0,(VLOOKUP(A3574,'Discount Lookup'!J:K,2)*G3574),0))))</f>
        <v>0</v>
      </c>
      <c r="AJ3574" s="107" t="str">
        <f t="shared" ca="1" si="2707"/>
        <v/>
      </c>
      <c r="AK3574" s="714" t="str">
        <f t="shared" si="2708"/>
        <v/>
      </c>
      <c r="AL3574" s="714"/>
      <c r="AM3574" s="114" t="str">
        <f t="shared" si="2709"/>
        <v/>
      </c>
      <c r="AN3574" s="115"/>
      <c r="AO3574" s="116"/>
      <c r="AP3574" s="116"/>
      <c r="AQ3574" s="116"/>
      <c r="AR3574" s="116"/>
      <c r="AS3574" s="116"/>
      <c r="AT3574" s="116"/>
      <c r="AU3574" s="116"/>
      <c r="AV3574" s="78"/>
      <c r="AW3574" s="102"/>
      <c r="AX3574" s="78"/>
      <c r="AY3574" s="78"/>
      <c r="AZ3574" s="78"/>
      <c r="BA3574" s="78"/>
      <c r="BB3574" s="78"/>
      <c r="BC3574" s="78"/>
      <c r="BD3574" s="78"/>
      <c r="BE3574" s="465"/>
      <c r="BF3574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74" s="165" t="str">
        <f t="shared" si="2711"/>
        <v>A</v>
      </c>
      <c r="BH3574" s="65"/>
      <c r="BI3574" s="65"/>
      <c r="BJ3574" s="65"/>
      <c r="BK3574" s="65"/>
      <c r="BL3574" s="99"/>
      <c r="BM3574" s="99"/>
      <c r="BN3574" s="99"/>
    </row>
    <row r="3575" spans="1:66" s="51" customFormat="1" ht="18" x14ac:dyDescent="0.25">
      <c r="A3575" s="507" t="s">
        <v>5784</v>
      </c>
      <c r="B3575" s="470"/>
      <c r="C3575" s="706"/>
      <c r="D3575" s="471" t="s">
        <v>5785</v>
      </c>
      <c r="E3575" s="472"/>
      <c r="F3575" s="472"/>
      <c r="G3575" s="472"/>
      <c r="H3575" s="622" t="s">
        <v>3978</v>
      </c>
      <c r="I3575" s="473" t="s">
        <v>3994</v>
      </c>
      <c r="J3575" s="472"/>
      <c r="K3575" s="472"/>
      <c r="L3575" s="561"/>
      <c r="M3575" s="698" t="s">
        <v>5246</v>
      </c>
      <c r="N3575" s="692" t="str">
        <f>IF(AND(ISTEXT($A3575), ISERROR($A3575+0)), HYPERLINK($BF3575, "Images"), "")</f>
        <v>Images</v>
      </c>
      <c r="O3575" s="694" t="s">
        <v>5264</v>
      </c>
      <c r="P3575" s="475"/>
      <c r="Q3575" s="476"/>
      <c r="R3575" s="476"/>
      <c r="S3575" s="477"/>
      <c r="T3575" s="102">
        <f t="shared" si="2699"/>
        <v>0</v>
      </c>
      <c r="U3575" s="78" t="str">
        <f>IF(NOT(ISNUMBER(G3575)), "", VLOOKUP(A3575,'Discount Lookup'!D:E,2,FALSE)*G3575)</f>
        <v/>
      </c>
      <c r="V3575" s="78" t="str">
        <f>IF(NOT(ISNUMBER(G3575)), "", VLOOKUP(A3575,'Discount Lookup'!G:H,2,FALSE)*G3575)</f>
        <v/>
      </c>
      <c r="W3575" s="102">
        <f t="shared" si="2700"/>
        <v>0</v>
      </c>
      <c r="X3575" s="102" t="str">
        <f t="shared" si="2701"/>
        <v>White, rare Purple stripes</v>
      </c>
      <c r="Y3575" s="120" t="b">
        <f t="shared" si="2702"/>
        <v>0</v>
      </c>
      <c r="Z3575" s="117">
        <f t="shared" si="2703"/>
        <v>0</v>
      </c>
      <c r="AA3575" s="118"/>
      <c r="AB3575" s="118" t="str">
        <f t="shared" si="2704"/>
        <v/>
      </c>
      <c r="AC3575" s="712" t="str">
        <f>IF(AE3575="T2G","no charge",IF(AND(OR(PlanterYesMe="No",PlanterYesMe="N",PlanterYesMe="me"),H3575=""),"",IF(H3575="credit","NO install",IF(AND(K3575="",AE3575="me"),"EACH row",IF(AND(K3575="images",AE3575="me"),"EACH row",IF(D3575="","",IF(H3575="credit","",IF(AE3575="free","re-planting",IF(AE3575="me","   not ELP, by",IF(AND(OR(PlanterYesMe="Yes",PlanterYesMe="Y"),G3575&gt;0),(VLOOKUP(A3575,'Discount Lookup'!J:K,2)*G3575*(1-PlanterDiscount)*(1+PlanterDifficultyPercentage)),IF(AE3575="ELP",(VLOOKUP(A3575,'Discount Lookup'!J:K,2)*G3575*(1-PlanterDiscount)*(1+PlanterDifficultyPercentage)),IF(AE3575="free","re-planting",IF(G3575=0,"",IF(PlanterYesMe="",IF(AE3575="me","   not ELP, by",IF(AE3575="",IF(G3575&gt;0,(VLOOKUP(A3575,'Discount Lookup'!J:K,2)*G3575*(1-PlanterDiscount)*(1+PlanterDifficultyPercentage)),""),"")),"   not ELP, by"))))))))))))))</f>
        <v/>
      </c>
      <c r="AD3575" s="712"/>
      <c r="AE3575" s="513" t="str">
        <f t="shared" si="2705"/>
        <v/>
      </c>
      <c r="AF3575" s="713" t="str">
        <f t="shared" si="2706"/>
        <v/>
      </c>
      <c r="AG3575" s="713"/>
      <c r="AH3575" s="713"/>
      <c r="AI3575" s="112">
        <f>IF(H3575="credit",0,IF(AE3575="free",0,IF(AE3575="me",0,IF(G3575&gt;0,(VLOOKUP(A3575,'Discount Lookup'!J:K,2)*G3575),0))))</f>
        <v>0</v>
      </c>
      <c r="AJ3575" s="107" t="str">
        <f t="shared" ca="1" si="2707"/>
        <v/>
      </c>
      <c r="AK3575" s="714" t="str">
        <f t="shared" si="2708"/>
        <v/>
      </c>
      <c r="AL3575" s="714"/>
      <c r="AM3575" s="114" t="str">
        <f t="shared" si="2709"/>
        <v/>
      </c>
      <c r="AN3575" s="115"/>
      <c r="AO3575" s="116"/>
      <c r="AP3575" s="116"/>
      <c r="AQ3575" s="116"/>
      <c r="AR3575" s="116"/>
      <c r="AS3575" s="116"/>
      <c r="AT3575" s="116"/>
      <c r="AU3575" s="116"/>
      <c r="AV3575" s="78"/>
      <c r="AW3575" s="102"/>
      <c r="AX3575" s="78"/>
      <c r="AY3575" s="78"/>
      <c r="AZ3575" s="78"/>
      <c r="BA3575" s="78"/>
      <c r="BB3575" s="78"/>
      <c r="BC3575" s="78"/>
      <c r="BD3575" s="78"/>
      <c r="BE3575" s="465"/>
      <c r="BF3575" s="165" t="str">
        <f t="shared" si="2710"/>
        <v>https://www.google.com/search?tbm=isch&amp;q=Rhod.%20Encore%C2%AE%20%27Roblex%27%20PP%2325073%20Autumn%20Lily%C2%AE%20Encore%C2%AE%20Azalea</v>
      </c>
      <c r="BG3575" s="165" t="str">
        <f t="shared" si="2711"/>
        <v>R</v>
      </c>
      <c r="BH3575" s="65"/>
      <c r="BI3575" s="65"/>
      <c r="BJ3575" s="65"/>
      <c r="BK3575" s="65"/>
      <c r="BL3575" s="99"/>
      <c r="BM3575" s="99"/>
      <c r="BN3575" s="99"/>
    </row>
    <row r="3576" spans="1:66" s="51" customFormat="1" ht="15.75" x14ac:dyDescent="0.25">
      <c r="A3576" s="478">
        <v>3</v>
      </c>
      <c r="B3576" s="479" t="s">
        <v>291</v>
      </c>
      <c r="C3576" s="480" t="s">
        <v>3995</v>
      </c>
      <c r="D3576" s="481" t="s">
        <v>329</v>
      </c>
      <c r="E3576" s="482">
        <v>29.95</v>
      </c>
      <c r="F3576" s="483" t="s">
        <v>292</v>
      </c>
      <c r="G3576" s="484">
        <v>0</v>
      </c>
      <c r="H3576" s="688" t="str">
        <f>IF(G3576=0,"",IF(F3576="Buy",IF(G3576=1,"plant","plants"),IF(F3576&gt;0.01,"warranty","Error")))</f>
        <v/>
      </c>
      <c r="I3576" s="485">
        <f>IF(H3576="free",0,IF(H3576="credit",((E3576*(F3576))*G3576*-1),IF(F3576="Buy",(E3576*G3576),((E3576*(1-F3576))*G3576))))</f>
        <v>0</v>
      </c>
      <c r="J3576" s="485">
        <f>IF(H3576="warranty",0,(I3576*(_xlfn.SINGLE(SalesTaxPercentage))))</f>
        <v>0</v>
      </c>
      <c r="K3576" s="715">
        <f t="shared" ref="K3576" si="2723">I3576+J3576</f>
        <v>0</v>
      </c>
      <c r="L3576" s="715"/>
      <c r="M3576" s="689" t="str">
        <f ca="1">IF(AND(G3576&gt;0,E3576=0),"WARNING - no PRICE inserted",IF(H3576="free","FREE ~ no charge this plant",IF(H3576="credit",CONCATENATE("-$",ROUND(K3576*(1-_xlfn.SINGLE(T2GDiscount))*-1,2)," CREDIT after discount"),IF(_xlfn.SINGLE(T2GDiscount)=0,"",IF(G3576=0,"",IF(F3576="Buy",CONCATENATE("$",ROUND(K3576*(1-_xlfn.SINGLE(T2GDiscount)),2)," with ",(_xlfn.SINGLE(T2GDiscount)*100),"% discount"),CONCATENATE("$",ROUND(K3576*(1-_xlfn.SINGLE(T2GDiscount)),2)," with ",((_xlfn.SINGLE(T2GDiscount)*100+F3576*100)-(_xlfn.SINGLE(T2GDiscount)*100*F3576)),IF(F3576&gt;0,"% discounts",IF(_xlfn.SINGLE(NoWarrantyDiscount)&gt;0,"% discounts","% discount")))))))))</f>
        <v/>
      </c>
      <c r="N3576" s="690"/>
      <c r="O3576" s="486"/>
      <c r="P3576" s="486"/>
      <c r="Q3576" s="486"/>
      <c r="R3576" s="486"/>
      <c r="S3576" s="486"/>
      <c r="T3576" s="102">
        <f t="shared" si="2699"/>
        <v>0</v>
      </c>
      <c r="U3576" s="78">
        <f>IF(NOT(ISNUMBER(G3576)), "", VLOOKUP(A3576,'Discount Lookup'!D:E,2,FALSE)*G3576)</f>
        <v>0</v>
      </c>
      <c r="V3576" s="78">
        <f>IF(NOT(ISNUMBER(G3576)), "", VLOOKUP(A3576,'Discount Lookup'!G:H,2,FALSE)*G3576)</f>
        <v>0</v>
      </c>
      <c r="W3576" s="102">
        <f t="shared" si="2700"/>
        <v>0</v>
      </c>
      <c r="X3576" s="102">
        <f t="shared" si="2701"/>
        <v>0</v>
      </c>
      <c r="Y3576" s="120" t="b">
        <f t="shared" si="2702"/>
        <v>0</v>
      </c>
      <c r="Z3576" s="117">
        <f t="shared" si="2703"/>
        <v>0</v>
      </c>
      <c r="AA3576" s="118"/>
      <c r="AB3576" s="118" t="str">
        <f t="shared" si="2704"/>
        <v/>
      </c>
      <c r="AC3576" s="712" t="str">
        <f>IF(AE3576="T2G","no charge",IF(AND(OR(PlanterYesMe="No",PlanterYesMe="N",PlanterYesMe="me"),H3576=""),"",IF(H3576="credit","NO install",IF(AND(K3576="",AE3576="me"),"EACH row",IF(AND(K3576="images",AE3576="me"),"EACH row",IF(D3576="","",IF(H3576="credit","",IF(AE3576="free","re-planting",IF(AE3576="me","   not ELP, by",IF(AND(OR(PlanterYesMe="Yes",PlanterYesMe="Y"),G3576&gt;0),(VLOOKUP(A3576,'Discount Lookup'!J:K,2)*G3576*(1-PlanterDiscount)*(1+PlanterDifficultyPercentage)),IF(AE3576="ELP",(VLOOKUP(A3576,'Discount Lookup'!J:K,2)*G3576*(1-PlanterDiscount)*(1+PlanterDifficultyPercentage)),IF(AE3576="free","re-planting",IF(G3576=0,"",IF(PlanterYesMe="",IF(AE3576="me","   not ELP, by",IF(AE3576="",IF(G3576&gt;0,(VLOOKUP(A3576,'Discount Lookup'!J:K,2)*G3576*(1-PlanterDiscount)*(1+PlanterDifficultyPercentage)),""),"")),"   not ELP, by"))))))))))))))</f>
        <v/>
      </c>
      <c r="AD3576" s="712"/>
      <c r="AE3576" s="513" t="str">
        <f t="shared" si="2705"/>
        <v/>
      </c>
      <c r="AF3576" s="713" t="str">
        <f t="shared" si="2706"/>
        <v/>
      </c>
      <c r="AG3576" s="713"/>
      <c r="AH3576" s="713"/>
      <c r="AI3576" s="112">
        <f>IF(H3576="credit",0,IF(AE3576="free",0,IF(AE3576="me",0,IF(G3576&gt;0,(VLOOKUP(A3576,'Discount Lookup'!J:K,2)*G3576),0))))</f>
        <v>0</v>
      </c>
      <c r="AJ3576" s="107" t="str">
        <f t="shared" ca="1" si="2707"/>
        <v/>
      </c>
      <c r="AK3576" s="714" t="str">
        <f t="shared" si="2708"/>
        <v/>
      </c>
      <c r="AL3576" s="714"/>
      <c r="AM3576" s="114" t="str">
        <f t="shared" si="2709"/>
        <v/>
      </c>
      <c r="AN3576" s="115"/>
      <c r="AO3576" s="116"/>
      <c r="AP3576" s="116"/>
      <c r="AQ3576" s="116"/>
      <c r="AR3576" s="116"/>
      <c r="AS3576" s="116"/>
      <c r="AT3576" s="116"/>
      <c r="AU3576" s="116"/>
      <c r="AV3576" s="78"/>
      <c r="AW3576" s="102"/>
      <c r="AX3576" s="78"/>
      <c r="AY3576" s="78"/>
      <c r="AZ3576" s="78"/>
      <c r="BA3576" s="78"/>
      <c r="BB3576" s="78"/>
      <c r="BC3576" s="78"/>
      <c r="BD3576" s="78"/>
      <c r="BE3576" s="465"/>
      <c r="BF3576" s="165" t="str">
        <f t="shared" si="2710"/>
        <v>https://www.google.com/search?tbm=isch&amp;q=3%20G2</v>
      </c>
      <c r="BG3576" s="165" t="str">
        <f t="shared" si="2711"/>
        <v>R</v>
      </c>
      <c r="BH3576" s="65"/>
      <c r="BI3576" s="65"/>
      <c r="BJ3576" s="65"/>
      <c r="BK3576" s="65"/>
      <c r="BL3576" s="99"/>
      <c r="BM3576" s="99"/>
      <c r="BN3576" s="99"/>
    </row>
    <row r="3577" spans="1:66" s="51" customFormat="1" ht="17.25" thickBot="1" x14ac:dyDescent="0.3">
      <c r="A3577" s="508" t="s">
        <v>3974</v>
      </c>
      <c r="B3577" s="487"/>
      <c r="C3577" s="707"/>
      <c r="D3577" s="487"/>
      <c r="E3577" s="487"/>
      <c r="F3577" s="488"/>
      <c r="G3577" s="489"/>
      <c r="H3577" s="487"/>
      <c r="I3577" s="490"/>
      <c r="J3577" s="490"/>
      <c r="K3577" s="491"/>
      <c r="L3577" s="547"/>
      <c r="M3577" s="528"/>
      <c r="N3577" s="492"/>
      <c r="O3577" s="493"/>
      <c r="P3577" s="494"/>
      <c r="Q3577" s="492"/>
      <c r="R3577" s="492"/>
      <c r="S3577" s="699" t="s">
        <v>5248</v>
      </c>
      <c r="T3577" s="102">
        <f t="shared" si="2699"/>
        <v>0</v>
      </c>
      <c r="U3577" s="78" t="str">
        <f>IF(NOT(ISNUMBER(G3577)), "", VLOOKUP(A3577,'Discount Lookup'!D:E,2,FALSE)*G3577)</f>
        <v/>
      </c>
      <c r="V3577" s="78" t="str">
        <f>IF(NOT(ISNUMBER(G3577)), "", VLOOKUP(A3577,'Discount Lookup'!G:H,2,FALSE)*G3577)</f>
        <v/>
      </c>
      <c r="W3577" s="102">
        <f t="shared" si="2700"/>
        <v>0</v>
      </c>
      <c r="X3577" s="102">
        <f t="shared" si="2701"/>
        <v>0</v>
      </c>
      <c r="Y3577" s="120" t="b">
        <f t="shared" si="2702"/>
        <v>0</v>
      </c>
      <c r="Z3577" s="117">
        <f t="shared" si="2703"/>
        <v>0</v>
      </c>
      <c r="AA3577" s="118"/>
      <c r="AB3577" s="118" t="str">
        <f t="shared" si="2704"/>
        <v/>
      </c>
      <c r="AC3577" s="712" t="str">
        <f>IF(AE3577="T2G","no charge",IF(AND(OR(PlanterYesMe="No",PlanterYesMe="N",PlanterYesMe="me"),H3577=""),"",IF(H3577="credit","NO install",IF(AND(K3577="",AE3577="me"),"EACH row",IF(AND(K3577="images",AE3577="me"),"EACH row",IF(D3577="","",IF(H3577="credit","",IF(AE3577="free","re-planting",IF(AE3577="me","   not ELP, by",IF(AND(OR(PlanterYesMe="Yes",PlanterYesMe="Y"),G3577&gt;0),(VLOOKUP(A3577,'Discount Lookup'!J:K,2)*G3577*(1-PlanterDiscount)*(1+PlanterDifficultyPercentage)),IF(AE3577="ELP",(VLOOKUP(A3577,'Discount Lookup'!J:K,2)*G3577*(1-PlanterDiscount)*(1+PlanterDifficultyPercentage)),IF(AE3577="free","re-planting",IF(G3577=0,"",IF(PlanterYesMe="",IF(AE3577="me","   not ELP, by",IF(AE3577="",IF(G3577&gt;0,(VLOOKUP(A3577,'Discount Lookup'!J:K,2)*G3577*(1-PlanterDiscount)*(1+PlanterDifficultyPercentage)),""),"")),"   not ELP, by"))))))))))))))</f>
        <v/>
      </c>
      <c r="AD3577" s="712"/>
      <c r="AE3577" s="513" t="str">
        <f t="shared" si="2705"/>
        <v/>
      </c>
      <c r="AF3577" s="713" t="str">
        <f t="shared" si="2706"/>
        <v/>
      </c>
      <c r="AG3577" s="713"/>
      <c r="AH3577" s="713"/>
      <c r="AI3577" s="112">
        <f>IF(H3577="credit",0,IF(AE3577="free",0,IF(AE3577="me",0,IF(G3577&gt;0,(VLOOKUP(A3577,'Discount Lookup'!J:K,2)*G3577),0))))</f>
        <v>0</v>
      </c>
      <c r="AJ3577" s="107" t="str">
        <f t="shared" ca="1" si="2707"/>
        <v/>
      </c>
      <c r="AK3577" s="714" t="str">
        <f t="shared" si="2708"/>
        <v/>
      </c>
      <c r="AL3577" s="714"/>
      <c r="AM3577" s="114" t="str">
        <f t="shared" si="2709"/>
        <v/>
      </c>
      <c r="AN3577" s="115"/>
      <c r="AO3577" s="116"/>
      <c r="AP3577" s="116"/>
      <c r="AQ3577" s="116"/>
      <c r="AR3577" s="116"/>
      <c r="AS3577" s="116"/>
      <c r="AT3577" s="116"/>
      <c r="AU3577" s="116"/>
      <c r="AV3577" s="78"/>
      <c r="AW3577" s="102"/>
      <c r="AX3577" s="78"/>
      <c r="AY3577" s="78"/>
      <c r="AZ3577" s="78"/>
      <c r="BA3577" s="78"/>
      <c r="BB3577" s="78"/>
      <c r="BC3577" s="78"/>
      <c r="BD3577" s="78"/>
      <c r="BE3577" s="465"/>
      <c r="BF3577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77" s="165" t="str">
        <f t="shared" si="2711"/>
        <v>A</v>
      </c>
      <c r="BH3577" s="65"/>
      <c r="BI3577" s="65"/>
      <c r="BJ3577" s="65"/>
      <c r="BK3577" s="65"/>
      <c r="BL3577" s="99"/>
      <c r="BM3577" s="99"/>
      <c r="BN3577" s="99"/>
    </row>
    <row r="3578" spans="1:66" s="51" customFormat="1" ht="18" x14ac:dyDescent="0.25">
      <c r="A3578" s="507" t="s">
        <v>5786</v>
      </c>
      <c r="B3578" s="470"/>
      <c r="C3578" s="706"/>
      <c r="D3578" s="471" t="s">
        <v>5787</v>
      </c>
      <c r="E3578" s="472"/>
      <c r="F3578" s="472"/>
      <c r="G3578" s="472"/>
      <c r="H3578" s="622" t="s">
        <v>3981</v>
      </c>
      <c r="I3578" s="473" t="s">
        <v>3996</v>
      </c>
      <c r="J3578" s="472"/>
      <c r="K3578" s="472"/>
      <c r="L3578" s="561"/>
      <c r="M3578" s="698" t="s">
        <v>5246</v>
      </c>
      <c r="N3578" s="692" t="str">
        <f>IF(AND(ISTEXT($A3578), ISERROR($A3578+0)), HYPERLINK($BF3578, "Images"), "")</f>
        <v>Images</v>
      </c>
      <c r="O3578" s="694" t="s">
        <v>5264</v>
      </c>
      <c r="P3578" s="475"/>
      <c r="Q3578" s="476"/>
      <c r="R3578" s="476"/>
      <c r="S3578" s="477"/>
      <c r="T3578" s="102">
        <f t="shared" si="2699"/>
        <v>0</v>
      </c>
      <c r="U3578" s="78" t="str">
        <f>IF(NOT(ISNUMBER(G3578)), "", VLOOKUP(A3578,'Discount Lookup'!D:E,2,FALSE)*G3578)</f>
        <v/>
      </c>
      <c r="V3578" s="78" t="str">
        <f>IF(NOT(ISNUMBER(G3578)), "", VLOOKUP(A3578,'Discount Lookup'!G:H,2,FALSE)*G3578)</f>
        <v/>
      </c>
      <c r="W3578" s="102">
        <f t="shared" si="2700"/>
        <v>0</v>
      </c>
      <c r="X3578" s="102" t="str">
        <f t="shared" si="2701"/>
        <v>true Red bloom</v>
      </c>
      <c r="Y3578" s="120" t="b">
        <f t="shared" si="2702"/>
        <v>0</v>
      </c>
      <c r="Z3578" s="117">
        <f t="shared" si="2703"/>
        <v>0</v>
      </c>
      <c r="AA3578" s="118"/>
      <c r="AB3578" s="118" t="str">
        <f t="shared" si="2704"/>
        <v/>
      </c>
      <c r="AC3578" s="712" t="str">
        <f>IF(AE3578="T2G","no charge",IF(AND(OR(PlanterYesMe="No",PlanterYesMe="N",PlanterYesMe="me"),H3578=""),"",IF(H3578="credit","NO install",IF(AND(K3578="",AE3578="me"),"EACH row",IF(AND(K3578="images",AE3578="me"),"EACH row",IF(D3578="","",IF(H3578="credit","",IF(AE3578="free","re-planting",IF(AE3578="me","   not ELP, by",IF(AND(OR(PlanterYesMe="Yes",PlanterYesMe="Y"),G3578&gt;0),(VLOOKUP(A3578,'Discount Lookup'!J:K,2)*G3578*(1-PlanterDiscount)*(1+PlanterDifficultyPercentage)),IF(AE3578="ELP",(VLOOKUP(A3578,'Discount Lookup'!J:K,2)*G3578*(1-PlanterDiscount)*(1+PlanterDifficultyPercentage)),IF(AE3578="free","re-planting",IF(G3578=0,"",IF(PlanterYesMe="",IF(AE3578="me","   not ELP, by",IF(AE3578="",IF(G3578&gt;0,(VLOOKUP(A3578,'Discount Lookup'!J:K,2)*G3578*(1-PlanterDiscount)*(1+PlanterDifficultyPercentage)),""),"")),"   not ELP, by"))))))))))))))</f>
        <v/>
      </c>
      <c r="AD3578" s="712"/>
      <c r="AE3578" s="513" t="str">
        <f t="shared" si="2705"/>
        <v/>
      </c>
      <c r="AF3578" s="713" t="str">
        <f t="shared" si="2706"/>
        <v/>
      </c>
      <c r="AG3578" s="713"/>
      <c r="AH3578" s="713"/>
      <c r="AI3578" s="112">
        <f>IF(H3578="credit",0,IF(AE3578="free",0,IF(AE3578="me",0,IF(G3578&gt;0,(VLOOKUP(A3578,'Discount Lookup'!J:K,2)*G3578),0))))</f>
        <v>0</v>
      </c>
      <c r="AJ3578" s="107" t="str">
        <f t="shared" ca="1" si="2707"/>
        <v/>
      </c>
      <c r="AK3578" s="714" t="str">
        <f t="shared" si="2708"/>
        <v/>
      </c>
      <c r="AL3578" s="714"/>
      <c r="AM3578" s="114" t="str">
        <f t="shared" si="2709"/>
        <v/>
      </c>
      <c r="AN3578" s="115"/>
      <c r="AO3578" s="116"/>
      <c r="AP3578" s="116"/>
      <c r="AQ3578" s="116"/>
      <c r="AR3578" s="116"/>
      <c r="AS3578" s="116"/>
      <c r="AT3578" s="116"/>
      <c r="AU3578" s="116"/>
      <c r="AV3578" s="78"/>
      <c r="AW3578" s="102"/>
      <c r="AX3578" s="78"/>
      <c r="AY3578" s="78"/>
      <c r="AZ3578" s="78"/>
      <c r="BA3578" s="78"/>
      <c r="BB3578" s="78"/>
      <c r="BC3578" s="78"/>
      <c r="BD3578" s="78"/>
      <c r="BE3578" s="465"/>
      <c r="BF3578" s="165" t="str">
        <f t="shared" si="2710"/>
        <v>https://www.google.com/search?tbm=isch&amp;q=Rhod.%20Encore%C2%AE%20%27Roblez%27%20PP%2328279%20Autumn%20Fire%C2%AE%20Encore%C2%AE%20Azalea</v>
      </c>
      <c r="BG3578" s="165" t="str">
        <f t="shared" si="2711"/>
        <v>R</v>
      </c>
      <c r="BH3578" s="65"/>
      <c r="BI3578" s="65"/>
      <c r="BJ3578" s="65"/>
      <c r="BK3578" s="65"/>
      <c r="BL3578" s="99"/>
      <c r="BM3578" s="99"/>
      <c r="BN3578" s="99"/>
    </row>
    <row r="3579" spans="1:66" s="51" customFormat="1" ht="15.75" x14ac:dyDescent="0.25">
      <c r="A3579" s="478">
        <v>3</v>
      </c>
      <c r="B3579" s="479" t="s">
        <v>291</v>
      </c>
      <c r="C3579" s="480"/>
      <c r="D3579" s="481" t="s">
        <v>329</v>
      </c>
      <c r="E3579" s="482">
        <v>29.95</v>
      </c>
      <c r="F3579" s="483" t="s">
        <v>292</v>
      </c>
      <c r="G3579" s="484">
        <v>0</v>
      </c>
      <c r="H3579" s="688" t="str">
        <f>IF(G3579=0,"",IF(F3579="Buy",IF(G3579=1,"plant","plants"),IF(F3579&gt;0.01,"warranty","Error")))</f>
        <v/>
      </c>
      <c r="I3579" s="485">
        <f>IF(H3579="free",0,IF(H3579="credit",((E3579*(F3579))*G3579*-1),IF(F3579="Buy",(E3579*G3579),((E3579*(1-F3579))*G3579))))</f>
        <v>0</v>
      </c>
      <c r="J3579" s="485">
        <f>IF(H3579="warranty",0,(I3579*(_xlfn.SINGLE(SalesTaxPercentage))))</f>
        <v>0</v>
      </c>
      <c r="K3579" s="715">
        <f t="shared" ref="K3579" si="2724">I3579+J3579</f>
        <v>0</v>
      </c>
      <c r="L3579" s="715"/>
      <c r="M3579" s="689" t="str">
        <f ca="1">IF(AND(G3579&gt;0,E3579=0),"WARNING - no PRICE inserted",IF(H3579="free","FREE ~ no charge this plant",IF(H3579="credit",CONCATENATE("-$",ROUND(K3579*(1-_xlfn.SINGLE(T2GDiscount))*-1,2)," CREDIT after discount"),IF(_xlfn.SINGLE(T2GDiscount)=0,"",IF(G3579=0,"",IF(F3579="Buy",CONCATENATE("$",ROUND(K3579*(1-_xlfn.SINGLE(T2GDiscount)),2)," with ",(_xlfn.SINGLE(T2GDiscount)*100),"% discount"),CONCATENATE("$",ROUND(K3579*(1-_xlfn.SINGLE(T2GDiscount)),2)," with ",((_xlfn.SINGLE(T2GDiscount)*100+F3579*100)-(_xlfn.SINGLE(T2GDiscount)*100*F3579)),IF(F3579&gt;0,"% discounts",IF(_xlfn.SINGLE(NoWarrantyDiscount)&gt;0,"% discounts","% discount")))))))))</f>
        <v/>
      </c>
      <c r="N3579" s="690"/>
      <c r="O3579" s="486"/>
      <c r="P3579" s="486"/>
      <c r="Q3579" s="486"/>
      <c r="R3579" s="486"/>
      <c r="S3579" s="486"/>
      <c r="T3579" s="102">
        <f t="shared" si="2699"/>
        <v>0</v>
      </c>
      <c r="U3579" s="78">
        <f>IF(NOT(ISNUMBER(G3579)), "", VLOOKUP(A3579,'Discount Lookup'!D:E,2,FALSE)*G3579)</f>
        <v>0</v>
      </c>
      <c r="V3579" s="78">
        <f>IF(NOT(ISNUMBER(G3579)), "", VLOOKUP(A3579,'Discount Lookup'!G:H,2,FALSE)*G3579)</f>
        <v>0</v>
      </c>
      <c r="W3579" s="102">
        <f t="shared" si="2700"/>
        <v>0</v>
      </c>
      <c r="X3579" s="102">
        <f t="shared" si="2701"/>
        <v>0</v>
      </c>
      <c r="Y3579" s="120" t="b">
        <f t="shared" si="2702"/>
        <v>0</v>
      </c>
      <c r="Z3579" s="117">
        <f t="shared" si="2703"/>
        <v>0</v>
      </c>
      <c r="AA3579" s="118"/>
      <c r="AB3579" s="118" t="str">
        <f t="shared" si="2704"/>
        <v/>
      </c>
      <c r="AC3579" s="712" t="str">
        <f>IF(AE3579="T2G","no charge",IF(AND(OR(PlanterYesMe="No",PlanterYesMe="N",PlanterYesMe="me"),H3579=""),"",IF(H3579="credit","NO install",IF(AND(K3579="",AE3579="me"),"EACH row",IF(AND(K3579="images",AE3579="me"),"EACH row",IF(D3579="","",IF(H3579="credit","",IF(AE3579="free","re-planting",IF(AE3579="me","   not ELP, by",IF(AND(OR(PlanterYesMe="Yes",PlanterYesMe="Y"),G3579&gt;0),(VLOOKUP(A3579,'Discount Lookup'!J:K,2)*G3579*(1-PlanterDiscount)*(1+PlanterDifficultyPercentage)),IF(AE3579="ELP",(VLOOKUP(A3579,'Discount Lookup'!J:K,2)*G3579*(1-PlanterDiscount)*(1+PlanterDifficultyPercentage)),IF(AE3579="free","re-planting",IF(G3579=0,"",IF(PlanterYesMe="",IF(AE3579="me","   not ELP, by",IF(AE3579="",IF(G3579&gt;0,(VLOOKUP(A3579,'Discount Lookup'!J:K,2)*G3579*(1-PlanterDiscount)*(1+PlanterDifficultyPercentage)),""),"")),"   not ELP, by"))))))))))))))</f>
        <v/>
      </c>
      <c r="AD3579" s="712"/>
      <c r="AE3579" s="513" t="str">
        <f t="shared" si="2705"/>
        <v/>
      </c>
      <c r="AF3579" s="713" t="str">
        <f t="shared" si="2706"/>
        <v/>
      </c>
      <c r="AG3579" s="713"/>
      <c r="AH3579" s="713"/>
      <c r="AI3579" s="112">
        <f>IF(H3579="credit",0,IF(AE3579="free",0,IF(AE3579="me",0,IF(G3579&gt;0,(VLOOKUP(A3579,'Discount Lookup'!J:K,2)*G3579),0))))</f>
        <v>0</v>
      </c>
      <c r="AJ3579" s="107" t="str">
        <f t="shared" ca="1" si="2707"/>
        <v/>
      </c>
      <c r="AK3579" s="714" t="str">
        <f t="shared" si="2708"/>
        <v/>
      </c>
      <c r="AL3579" s="714"/>
      <c r="AM3579" s="114" t="str">
        <f t="shared" si="2709"/>
        <v/>
      </c>
      <c r="AN3579" s="115"/>
      <c r="AO3579" s="116"/>
      <c r="AP3579" s="116"/>
      <c r="AQ3579" s="116"/>
      <c r="AR3579" s="116"/>
      <c r="AS3579" s="116"/>
      <c r="AT3579" s="116"/>
      <c r="AU3579" s="116"/>
      <c r="AV3579" s="78"/>
      <c r="AW3579" s="102"/>
      <c r="AX3579" s="78"/>
      <c r="AY3579" s="78"/>
      <c r="AZ3579" s="78"/>
      <c r="BA3579" s="78"/>
      <c r="BB3579" s="78"/>
      <c r="BC3579" s="78"/>
      <c r="BD3579" s="78"/>
      <c r="BE3579" s="465"/>
      <c r="BF3579" s="165" t="str">
        <f t="shared" si="2710"/>
        <v>https://www.google.com/search?tbm=isch&amp;q=3%20G2</v>
      </c>
      <c r="BG3579" s="165" t="str">
        <f t="shared" si="2711"/>
        <v>R</v>
      </c>
      <c r="BH3579" s="65"/>
      <c r="BI3579" s="65"/>
      <c r="BJ3579" s="65"/>
      <c r="BK3579" s="65"/>
      <c r="BL3579" s="99"/>
      <c r="BM3579" s="99"/>
      <c r="BN3579" s="99"/>
    </row>
    <row r="3580" spans="1:66" s="51" customFormat="1" ht="17.25" thickBot="1" x14ac:dyDescent="0.3">
      <c r="A3580" s="508" t="s">
        <v>3974</v>
      </c>
      <c r="B3580" s="487"/>
      <c r="C3580" s="707"/>
      <c r="D3580" s="487"/>
      <c r="E3580" s="487"/>
      <c r="F3580" s="488"/>
      <c r="G3580" s="489"/>
      <c r="H3580" s="487"/>
      <c r="I3580" s="490"/>
      <c r="J3580" s="490"/>
      <c r="K3580" s="491"/>
      <c r="L3580" s="547"/>
      <c r="M3580" s="528"/>
      <c r="N3580" s="492"/>
      <c r="O3580" s="493"/>
      <c r="P3580" s="494"/>
      <c r="Q3580" s="492"/>
      <c r="R3580" s="492"/>
      <c r="S3580" s="699" t="s">
        <v>5248</v>
      </c>
      <c r="T3580" s="102">
        <f t="shared" si="2699"/>
        <v>0</v>
      </c>
      <c r="U3580" s="78" t="str">
        <f>IF(NOT(ISNUMBER(G3580)), "", VLOOKUP(A3580,'Discount Lookup'!D:E,2,FALSE)*G3580)</f>
        <v/>
      </c>
      <c r="V3580" s="78" t="str">
        <f>IF(NOT(ISNUMBER(G3580)), "", VLOOKUP(A3580,'Discount Lookup'!G:H,2,FALSE)*G3580)</f>
        <v/>
      </c>
      <c r="W3580" s="102">
        <f t="shared" si="2700"/>
        <v>0</v>
      </c>
      <c r="X3580" s="102">
        <f t="shared" si="2701"/>
        <v>0</v>
      </c>
      <c r="Y3580" s="120" t="b">
        <f t="shared" si="2702"/>
        <v>0</v>
      </c>
      <c r="Z3580" s="117">
        <f t="shared" si="2703"/>
        <v>0</v>
      </c>
      <c r="AA3580" s="118"/>
      <c r="AB3580" s="118" t="str">
        <f t="shared" si="2704"/>
        <v/>
      </c>
      <c r="AC3580" s="712" t="str">
        <f>IF(AE3580="T2G","no charge",IF(AND(OR(PlanterYesMe="No",PlanterYesMe="N",PlanterYesMe="me"),H3580=""),"",IF(H3580="credit","NO install",IF(AND(K3580="",AE3580="me"),"EACH row",IF(AND(K3580="images",AE3580="me"),"EACH row",IF(D3580="","",IF(H3580="credit","",IF(AE3580="free","re-planting",IF(AE3580="me","   not ELP, by",IF(AND(OR(PlanterYesMe="Yes",PlanterYesMe="Y"),G3580&gt;0),(VLOOKUP(A3580,'Discount Lookup'!J:K,2)*G3580*(1-PlanterDiscount)*(1+PlanterDifficultyPercentage)),IF(AE3580="ELP",(VLOOKUP(A3580,'Discount Lookup'!J:K,2)*G3580*(1-PlanterDiscount)*(1+PlanterDifficultyPercentage)),IF(AE3580="free","re-planting",IF(G3580=0,"",IF(PlanterYesMe="",IF(AE3580="me","   not ELP, by",IF(AE3580="",IF(G3580&gt;0,(VLOOKUP(A3580,'Discount Lookup'!J:K,2)*G3580*(1-PlanterDiscount)*(1+PlanterDifficultyPercentage)),""),"")),"   not ELP, by"))))))))))))))</f>
        <v/>
      </c>
      <c r="AD3580" s="712"/>
      <c r="AE3580" s="513" t="str">
        <f t="shared" si="2705"/>
        <v/>
      </c>
      <c r="AF3580" s="713" t="str">
        <f t="shared" si="2706"/>
        <v/>
      </c>
      <c r="AG3580" s="713"/>
      <c r="AH3580" s="713"/>
      <c r="AI3580" s="112">
        <f>IF(H3580="credit",0,IF(AE3580="free",0,IF(AE3580="me",0,IF(G3580&gt;0,(VLOOKUP(A3580,'Discount Lookup'!J:K,2)*G3580),0))))</f>
        <v>0</v>
      </c>
      <c r="AJ3580" s="107" t="str">
        <f t="shared" ca="1" si="2707"/>
        <v/>
      </c>
      <c r="AK3580" s="714" t="str">
        <f t="shared" si="2708"/>
        <v/>
      </c>
      <c r="AL3580" s="714"/>
      <c r="AM3580" s="114" t="str">
        <f t="shared" si="2709"/>
        <v/>
      </c>
      <c r="AN3580" s="115"/>
      <c r="AO3580" s="116"/>
      <c r="AP3580" s="116"/>
      <c r="AQ3580" s="116"/>
      <c r="AR3580" s="116"/>
      <c r="AS3580" s="116"/>
      <c r="AT3580" s="116"/>
      <c r="AU3580" s="116"/>
      <c r="AV3580" s="78"/>
      <c r="AW3580" s="102"/>
      <c r="AX3580" s="78"/>
      <c r="AY3580" s="78"/>
      <c r="AZ3580" s="78"/>
      <c r="BA3580" s="78"/>
      <c r="BB3580" s="78"/>
      <c r="BC3580" s="78"/>
      <c r="BD3580" s="78"/>
      <c r="BE3580" s="465"/>
      <c r="BF3580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80" s="165" t="str">
        <f t="shared" si="2711"/>
        <v>A</v>
      </c>
      <c r="BH3580" s="65"/>
      <c r="BI3580" s="65"/>
      <c r="BJ3580" s="65"/>
      <c r="BK3580" s="65"/>
      <c r="BL3580" s="99"/>
      <c r="BM3580" s="99"/>
      <c r="BN3580" s="99"/>
    </row>
    <row r="3581" spans="1:66" s="51" customFormat="1" ht="18" x14ac:dyDescent="0.25">
      <c r="A3581" s="507" t="s">
        <v>5788</v>
      </c>
      <c r="B3581" s="470"/>
      <c r="C3581" s="706"/>
      <c r="D3581" s="471" t="s">
        <v>5789</v>
      </c>
      <c r="E3581" s="472"/>
      <c r="F3581" s="472"/>
      <c r="G3581" s="472"/>
      <c r="H3581" s="622" t="s">
        <v>3975</v>
      </c>
      <c r="I3581" s="473" t="s">
        <v>3997</v>
      </c>
      <c r="J3581" s="472"/>
      <c r="K3581" s="472"/>
      <c r="L3581" s="561"/>
      <c r="M3581" s="698" t="s">
        <v>5246</v>
      </c>
      <c r="N3581" s="692" t="str">
        <f>IF(AND(ISTEXT($A3581), ISERROR($A3581+0)), HYPERLINK($BF3581, "Images"), "")</f>
        <v>Images</v>
      </c>
      <c r="O3581" s="694" t="s">
        <v>5264</v>
      </c>
      <c r="P3581" s="475"/>
      <c r="Q3581" s="476"/>
      <c r="R3581" s="476"/>
      <c r="S3581" s="477"/>
      <c r="T3581" s="102">
        <f t="shared" si="2699"/>
        <v>0</v>
      </c>
      <c r="U3581" s="78" t="str">
        <f>IF(NOT(ISNUMBER(G3581)), "", VLOOKUP(A3581,'Discount Lookup'!D:E,2,FALSE)*G3581)</f>
        <v/>
      </c>
      <c r="V3581" s="78" t="str">
        <f>IF(NOT(ISNUMBER(G3581)), "", VLOOKUP(A3581,'Discount Lookup'!G:H,2,FALSE)*G3581)</f>
        <v/>
      </c>
      <c r="W3581" s="102">
        <f t="shared" si="2700"/>
        <v>0</v>
      </c>
      <c r="X3581" s="102" t="str">
        <f t="shared" si="2701"/>
        <v>bright Red bloom</v>
      </c>
      <c r="Y3581" s="120" t="b">
        <f t="shared" si="2702"/>
        <v>0</v>
      </c>
      <c r="Z3581" s="117">
        <f t="shared" si="2703"/>
        <v>0</v>
      </c>
      <c r="AA3581" s="118"/>
      <c r="AB3581" s="118" t="str">
        <f t="shared" si="2704"/>
        <v/>
      </c>
      <c r="AC3581" s="712" t="str">
        <f>IF(AE3581="T2G","no charge",IF(AND(OR(PlanterYesMe="No",PlanterYesMe="N",PlanterYesMe="me"),H3581=""),"",IF(H3581="credit","NO install",IF(AND(K3581="",AE3581="me"),"EACH row",IF(AND(K3581="images",AE3581="me"),"EACH row",IF(D3581="","",IF(H3581="credit","",IF(AE3581="free","re-planting",IF(AE3581="me","   not ELP, by",IF(AND(OR(PlanterYesMe="Yes",PlanterYesMe="Y"),G3581&gt;0),(VLOOKUP(A3581,'Discount Lookup'!J:K,2)*G3581*(1-PlanterDiscount)*(1+PlanterDifficultyPercentage)),IF(AE3581="ELP",(VLOOKUP(A3581,'Discount Lookup'!J:K,2)*G3581*(1-PlanterDiscount)*(1+PlanterDifficultyPercentage)),IF(AE3581="free","re-planting",IF(G3581=0,"",IF(PlanterYesMe="",IF(AE3581="me","   not ELP, by",IF(AE3581="",IF(G3581&gt;0,(VLOOKUP(A3581,'Discount Lookup'!J:K,2)*G3581*(1-PlanterDiscount)*(1+PlanterDifficultyPercentage)),""),"")),"   not ELP, by"))))))))))))))</f>
        <v/>
      </c>
      <c r="AD3581" s="712"/>
      <c r="AE3581" s="513" t="str">
        <f t="shared" si="2705"/>
        <v/>
      </c>
      <c r="AF3581" s="713" t="str">
        <f t="shared" si="2706"/>
        <v/>
      </c>
      <c r="AG3581" s="713"/>
      <c r="AH3581" s="713"/>
      <c r="AI3581" s="112">
        <f>IF(H3581="credit",0,IF(AE3581="free",0,IF(AE3581="me",0,IF(G3581&gt;0,(VLOOKUP(A3581,'Discount Lookup'!J:K,2)*G3581),0))))</f>
        <v>0</v>
      </c>
      <c r="AJ3581" s="107" t="str">
        <f t="shared" ca="1" si="2707"/>
        <v/>
      </c>
      <c r="AK3581" s="714" t="str">
        <f t="shared" si="2708"/>
        <v/>
      </c>
      <c r="AL3581" s="714"/>
      <c r="AM3581" s="114" t="str">
        <f t="shared" si="2709"/>
        <v/>
      </c>
      <c r="AN3581" s="115"/>
      <c r="AO3581" s="116"/>
      <c r="AP3581" s="116"/>
      <c r="AQ3581" s="116"/>
      <c r="AR3581" s="116"/>
      <c r="AS3581" s="116"/>
      <c r="AT3581" s="116"/>
      <c r="AU3581" s="116"/>
      <c r="AV3581" s="78"/>
      <c r="AW3581" s="102"/>
      <c r="AX3581" s="78"/>
      <c r="AY3581" s="78"/>
      <c r="AZ3581" s="78"/>
      <c r="BA3581" s="78"/>
      <c r="BB3581" s="78"/>
      <c r="BC3581" s="78"/>
      <c r="BD3581" s="78"/>
      <c r="BE3581" s="465"/>
      <c r="BF3581" s="165" t="str">
        <f t="shared" si="2710"/>
        <v>https://www.google.com/search?tbm=isch&amp;q=Rhod.%20Encore%C2%AE%20%27Robleza%27%20PP%2329770%20Autumn%20Bonfire%C2%AE%20Encore%C2%AE%20Azalea</v>
      </c>
      <c r="BG3581" s="165" t="str">
        <f t="shared" si="2711"/>
        <v>R</v>
      </c>
      <c r="BH3581" s="65"/>
      <c r="BI3581" s="65"/>
      <c r="BJ3581" s="65"/>
      <c r="BK3581" s="65"/>
      <c r="BL3581" s="99"/>
      <c r="BM3581" s="99"/>
      <c r="BN3581" s="99"/>
    </row>
    <row r="3582" spans="1:66" s="51" customFormat="1" ht="15.75" x14ac:dyDescent="0.25">
      <c r="A3582" s="478">
        <v>3</v>
      </c>
      <c r="B3582" s="479" t="s">
        <v>291</v>
      </c>
      <c r="C3582" s="480" t="s">
        <v>3998</v>
      </c>
      <c r="D3582" s="481" t="s">
        <v>329</v>
      </c>
      <c r="E3582" s="482">
        <v>29.95</v>
      </c>
      <c r="F3582" s="483" t="s">
        <v>292</v>
      </c>
      <c r="G3582" s="484">
        <v>0</v>
      </c>
      <c r="H3582" s="688" t="str">
        <f>IF(G3582=0,"",IF(F3582="Buy",IF(G3582=1,"plant","plants"),IF(F3582&gt;0.01,"warranty","Error")))</f>
        <v/>
      </c>
      <c r="I3582" s="485">
        <f>IF(H3582="free",0,IF(H3582="credit",((E3582*(F3582))*G3582*-1),IF(F3582="Buy",(E3582*G3582),((E3582*(1-F3582))*G3582))))</f>
        <v>0</v>
      </c>
      <c r="J3582" s="485">
        <f>IF(H3582="warranty",0,(I3582*(_xlfn.SINGLE(SalesTaxPercentage))))</f>
        <v>0</v>
      </c>
      <c r="K3582" s="715">
        <f t="shared" ref="K3582" si="2725">I3582+J3582</f>
        <v>0</v>
      </c>
      <c r="L3582" s="715"/>
      <c r="M3582" s="689" t="str">
        <f ca="1">IF(AND(G3582&gt;0,E3582=0),"WARNING - no PRICE inserted",IF(H3582="free","FREE ~ no charge this plant",IF(H3582="credit",CONCATENATE("-$",ROUND(K3582*(1-_xlfn.SINGLE(T2GDiscount))*-1,2)," CREDIT after discount"),IF(_xlfn.SINGLE(T2GDiscount)=0,"",IF(G3582=0,"",IF(F3582="Buy",CONCATENATE("$",ROUND(K3582*(1-_xlfn.SINGLE(T2GDiscount)),2)," with ",(_xlfn.SINGLE(T2GDiscount)*100),"% discount"),CONCATENATE("$",ROUND(K3582*(1-_xlfn.SINGLE(T2GDiscount)),2)," with ",((_xlfn.SINGLE(T2GDiscount)*100+F3582*100)-(_xlfn.SINGLE(T2GDiscount)*100*F3582)),IF(F3582&gt;0,"% discounts",IF(_xlfn.SINGLE(NoWarrantyDiscount)&gt;0,"% discounts","% discount")))))))))</f>
        <v/>
      </c>
      <c r="N3582" s="690"/>
      <c r="O3582" s="486"/>
      <c r="P3582" s="486"/>
      <c r="Q3582" s="486"/>
      <c r="R3582" s="486"/>
      <c r="S3582" s="486"/>
      <c r="T3582" s="102">
        <f t="shared" si="2699"/>
        <v>0</v>
      </c>
      <c r="U3582" s="78">
        <f>IF(NOT(ISNUMBER(G3582)), "", VLOOKUP(A3582,'Discount Lookup'!D:E,2,FALSE)*G3582)</f>
        <v>0</v>
      </c>
      <c r="V3582" s="78">
        <f>IF(NOT(ISNUMBER(G3582)), "", VLOOKUP(A3582,'Discount Lookup'!G:H,2,FALSE)*G3582)</f>
        <v>0</v>
      </c>
      <c r="W3582" s="102">
        <f t="shared" si="2700"/>
        <v>0</v>
      </c>
      <c r="X3582" s="102">
        <f t="shared" si="2701"/>
        <v>0</v>
      </c>
      <c r="Y3582" s="120" t="b">
        <f t="shared" si="2702"/>
        <v>0</v>
      </c>
      <c r="Z3582" s="117">
        <f t="shared" si="2703"/>
        <v>0</v>
      </c>
      <c r="AA3582" s="118"/>
      <c r="AB3582" s="118" t="str">
        <f t="shared" si="2704"/>
        <v/>
      </c>
      <c r="AC3582" s="712" t="str">
        <f>IF(AE3582="T2G","no charge",IF(AND(OR(PlanterYesMe="No",PlanterYesMe="N",PlanterYesMe="me"),H3582=""),"",IF(H3582="credit","NO install",IF(AND(K3582="",AE3582="me"),"EACH row",IF(AND(K3582="images",AE3582="me"),"EACH row",IF(D3582="","",IF(H3582="credit","",IF(AE3582="free","re-planting",IF(AE3582="me","   not ELP, by",IF(AND(OR(PlanterYesMe="Yes",PlanterYesMe="Y"),G3582&gt;0),(VLOOKUP(A3582,'Discount Lookup'!J:K,2)*G3582*(1-PlanterDiscount)*(1+PlanterDifficultyPercentage)),IF(AE3582="ELP",(VLOOKUP(A3582,'Discount Lookup'!J:K,2)*G3582*(1-PlanterDiscount)*(1+PlanterDifficultyPercentage)),IF(AE3582="free","re-planting",IF(G3582=0,"",IF(PlanterYesMe="",IF(AE3582="me","   not ELP, by",IF(AE3582="",IF(G3582&gt;0,(VLOOKUP(A3582,'Discount Lookup'!J:K,2)*G3582*(1-PlanterDiscount)*(1+PlanterDifficultyPercentage)),""),"")),"   not ELP, by"))))))))))))))</f>
        <v/>
      </c>
      <c r="AD3582" s="712"/>
      <c r="AE3582" s="513" t="str">
        <f t="shared" si="2705"/>
        <v/>
      </c>
      <c r="AF3582" s="713" t="str">
        <f t="shared" si="2706"/>
        <v/>
      </c>
      <c r="AG3582" s="713"/>
      <c r="AH3582" s="713"/>
      <c r="AI3582" s="112">
        <f>IF(H3582="credit",0,IF(AE3582="free",0,IF(AE3582="me",0,IF(G3582&gt;0,(VLOOKUP(A3582,'Discount Lookup'!J:K,2)*G3582),0))))</f>
        <v>0</v>
      </c>
      <c r="AJ3582" s="107" t="str">
        <f t="shared" ca="1" si="2707"/>
        <v/>
      </c>
      <c r="AK3582" s="714" t="str">
        <f t="shared" si="2708"/>
        <v/>
      </c>
      <c r="AL3582" s="714"/>
      <c r="AM3582" s="114" t="str">
        <f t="shared" si="2709"/>
        <v/>
      </c>
      <c r="AN3582" s="115"/>
      <c r="AO3582" s="116"/>
      <c r="AP3582" s="116"/>
      <c r="AQ3582" s="116"/>
      <c r="AR3582" s="116"/>
      <c r="AS3582" s="116"/>
      <c r="AT3582" s="116"/>
      <c r="AU3582" s="116"/>
      <c r="AV3582" s="78"/>
      <c r="AW3582" s="102"/>
      <c r="AX3582" s="78"/>
      <c r="AY3582" s="78"/>
      <c r="AZ3582" s="78"/>
      <c r="BA3582" s="78"/>
      <c r="BB3582" s="78"/>
      <c r="BC3582" s="78"/>
      <c r="BD3582" s="78"/>
      <c r="BE3582" s="465"/>
      <c r="BF3582" s="165" t="str">
        <f t="shared" si="2710"/>
        <v>https://www.google.com/search?tbm=isch&amp;q=3%20G2</v>
      </c>
      <c r="BG3582" s="165" t="str">
        <f t="shared" si="2711"/>
        <v>R</v>
      </c>
      <c r="BH3582" s="65"/>
      <c r="BI3582" s="65"/>
      <c r="BJ3582" s="65"/>
      <c r="BK3582" s="65"/>
      <c r="BL3582" s="99"/>
      <c r="BM3582" s="99"/>
      <c r="BN3582" s="99"/>
    </row>
    <row r="3583" spans="1:66" s="51" customFormat="1" ht="17.25" thickBot="1" x14ac:dyDescent="0.3">
      <c r="A3583" s="508" t="s">
        <v>3974</v>
      </c>
      <c r="B3583" s="487"/>
      <c r="C3583" s="707"/>
      <c r="D3583" s="487"/>
      <c r="E3583" s="487"/>
      <c r="F3583" s="488"/>
      <c r="G3583" s="489"/>
      <c r="H3583" s="487"/>
      <c r="I3583" s="490"/>
      <c r="J3583" s="490"/>
      <c r="K3583" s="491"/>
      <c r="L3583" s="547"/>
      <c r="M3583" s="528"/>
      <c r="N3583" s="492"/>
      <c r="O3583" s="493"/>
      <c r="P3583" s="494"/>
      <c r="Q3583" s="492"/>
      <c r="R3583" s="492"/>
      <c r="S3583" s="699" t="s">
        <v>5248</v>
      </c>
      <c r="T3583" s="102">
        <f t="shared" si="2699"/>
        <v>0</v>
      </c>
      <c r="U3583" s="78" t="str">
        <f>IF(NOT(ISNUMBER(G3583)), "", VLOOKUP(A3583,'Discount Lookup'!D:E,2,FALSE)*G3583)</f>
        <v/>
      </c>
      <c r="V3583" s="78" t="str">
        <f>IF(NOT(ISNUMBER(G3583)), "", VLOOKUP(A3583,'Discount Lookup'!G:H,2,FALSE)*G3583)</f>
        <v/>
      </c>
      <c r="W3583" s="102">
        <f t="shared" si="2700"/>
        <v>0</v>
      </c>
      <c r="X3583" s="102">
        <f t="shared" si="2701"/>
        <v>0</v>
      </c>
      <c r="Y3583" s="120" t="b">
        <f t="shared" si="2702"/>
        <v>0</v>
      </c>
      <c r="Z3583" s="117">
        <f t="shared" si="2703"/>
        <v>0</v>
      </c>
      <c r="AA3583" s="118"/>
      <c r="AB3583" s="118" t="str">
        <f t="shared" si="2704"/>
        <v/>
      </c>
      <c r="AC3583" s="712" t="str">
        <f>IF(AE3583="T2G","no charge",IF(AND(OR(PlanterYesMe="No",PlanterYesMe="N",PlanterYesMe="me"),H3583=""),"",IF(H3583="credit","NO install",IF(AND(K3583="",AE3583="me"),"EACH row",IF(AND(K3583="images",AE3583="me"),"EACH row",IF(D3583="","",IF(H3583="credit","",IF(AE3583="free","re-planting",IF(AE3583="me","   not ELP, by",IF(AND(OR(PlanterYesMe="Yes",PlanterYesMe="Y"),G3583&gt;0),(VLOOKUP(A3583,'Discount Lookup'!J:K,2)*G3583*(1-PlanterDiscount)*(1+PlanterDifficultyPercentage)),IF(AE3583="ELP",(VLOOKUP(A3583,'Discount Lookup'!J:K,2)*G3583*(1-PlanterDiscount)*(1+PlanterDifficultyPercentage)),IF(AE3583="free","re-planting",IF(G3583=0,"",IF(PlanterYesMe="",IF(AE3583="me","   not ELP, by",IF(AE3583="",IF(G3583&gt;0,(VLOOKUP(A3583,'Discount Lookup'!J:K,2)*G3583*(1-PlanterDiscount)*(1+PlanterDifficultyPercentage)),""),"")),"   not ELP, by"))))))))))))))</f>
        <v/>
      </c>
      <c r="AD3583" s="712"/>
      <c r="AE3583" s="513" t="str">
        <f t="shared" si="2705"/>
        <v/>
      </c>
      <c r="AF3583" s="713" t="str">
        <f t="shared" si="2706"/>
        <v/>
      </c>
      <c r="AG3583" s="713"/>
      <c r="AH3583" s="713"/>
      <c r="AI3583" s="112">
        <f>IF(H3583="credit",0,IF(AE3583="free",0,IF(AE3583="me",0,IF(G3583&gt;0,(VLOOKUP(A3583,'Discount Lookup'!J:K,2)*G3583),0))))</f>
        <v>0</v>
      </c>
      <c r="AJ3583" s="107" t="str">
        <f t="shared" ca="1" si="2707"/>
        <v/>
      </c>
      <c r="AK3583" s="714" t="str">
        <f t="shared" si="2708"/>
        <v/>
      </c>
      <c r="AL3583" s="714"/>
      <c r="AM3583" s="114" t="str">
        <f t="shared" si="2709"/>
        <v/>
      </c>
      <c r="AN3583" s="115"/>
      <c r="AO3583" s="116"/>
      <c r="AP3583" s="116"/>
      <c r="AQ3583" s="116"/>
      <c r="AR3583" s="116"/>
      <c r="AS3583" s="116"/>
      <c r="AT3583" s="116"/>
      <c r="AU3583" s="116"/>
      <c r="AV3583" s="78"/>
      <c r="AW3583" s="102"/>
      <c r="AX3583" s="78"/>
      <c r="AY3583" s="78"/>
      <c r="AZ3583" s="78"/>
      <c r="BA3583" s="78"/>
      <c r="BB3583" s="78"/>
      <c r="BC3583" s="78"/>
      <c r="BD3583" s="78"/>
      <c r="BE3583" s="465"/>
      <c r="BF3583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83" s="165" t="str">
        <f t="shared" si="2711"/>
        <v>A</v>
      </c>
      <c r="BH3583" s="65"/>
      <c r="BI3583" s="65"/>
      <c r="BJ3583" s="65"/>
      <c r="BK3583" s="65"/>
      <c r="BL3583" s="99"/>
      <c r="BM3583" s="99"/>
      <c r="BN3583" s="99"/>
    </row>
    <row r="3584" spans="1:66" s="51" customFormat="1" ht="18" x14ac:dyDescent="0.25">
      <c r="A3584" s="507" t="s">
        <v>5790</v>
      </c>
      <c r="B3584" s="470"/>
      <c r="C3584" s="706"/>
      <c r="D3584" s="471" t="s">
        <v>5791</v>
      </c>
      <c r="E3584" s="472"/>
      <c r="F3584" s="472"/>
      <c r="G3584" s="472"/>
      <c r="H3584" s="622" t="s">
        <v>3975</v>
      </c>
      <c r="I3584" s="473" t="s">
        <v>1191</v>
      </c>
      <c r="J3584" s="472"/>
      <c r="K3584" s="472"/>
      <c r="L3584" s="561"/>
      <c r="M3584" s="698" t="s">
        <v>5246</v>
      </c>
      <c r="N3584" s="692" t="str">
        <f>IF(AND(ISTEXT($A3584), ISERROR($A3584+0)), HYPERLINK($BF3584, "Images"), "")</f>
        <v>Images</v>
      </c>
      <c r="O3584" s="694" t="s">
        <v>5264</v>
      </c>
      <c r="P3584" s="475"/>
      <c r="Q3584" s="476"/>
      <c r="R3584" s="476"/>
      <c r="S3584" s="477"/>
      <c r="T3584" s="102">
        <f t="shared" si="2699"/>
        <v>0</v>
      </c>
      <c r="U3584" s="78" t="str">
        <f>IF(NOT(ISNUMBER(G3584)), "", VLOOKUP(A3584,'Discount Lookup'!D:E,2,FALSE)*G3584)</f>
        <v/>
      </c>
      <c r="V3584" s="78" t="str">
        <f>IF(NOT(ISNUMBER(G3584)), "", VLOOKUP(A3584,'Discount Lookup'!G:H,2,FALSE)*G3584)</f>
        <v/>
      </c>
      <c r="W3584" s="102">
        <f t="shared" si="2700"/>
        <v>0</v>
      </c>
      <c r="X3584" s="102" t="str">
        <f t="shared" si="2701"/>
        <v>Reddish-Purple bloom</v>
      </c>
      <c r="Y3584" s="120" t="b">
        <f t="shared" si="2702"/>
        <v>0</v>
      </c>
      <c r="Z3584" s="117">
        <f t="shared" si="2703"/>
        <v>0</v>
      </c>
      <c r="AA3584" s="118"/>
      <c r="AB3584" s="118" t="str">
        <f t="shared" si="2704"/>
        <v/>
      </c>
      <c r="AC3584" s="712" t="str">
        <f>IF(AE3584="T2G","no charge",IF(AND(OR(PlanterYesMe="No",PlanterYesMe="N",PlanterYesMe="me"),H3584=""),"",IF(H3584="credit","NO install",IF(AND(K3584="",AE3584="me"),"EACH row",IF(AND(K3584="images",AE3584="me"),"EACH row",IF(D3584="","",IF(H3584="credit","",IF(AE3584="free","re-planting",IF(AE3584="me","   not ELP, by",IF(AND(OR(PlanterYesMe="Yes",PlanterYesMe="Y"),G3584&gt;0),(VLOOKUP(A3584,'Discount Lookup'!J:K,2)*G3584*(1-PlanterDiscount)*(1+PlanterDifficultyPercentage)),IF(AE3584="ELP",(VLOOKUP(A3584,'Discount Lookup'!J:K,2)*G3584*(1-PlanterDiscount)*(1+PlanterDifficultyPercentage)),IF(AE3584="free","re-planting",IF(G3584=0,"",IF(PlanterYesMe="",IF(AE3584="me","   not ELP, by",IF(AE3584="",IF(G3584&gt;0,(VLOOKUP(A3584,'Discount Lookup'!J:K,2)*G3584*(1-PlanterDiscount)*(1+PlanterDifficultyPercentage)),""),"")),"   not ELP, by"))))))))))))))</f>
        <v/>
      </c>
      <c r="AD3584" s="712"/>
      <c r="AE3584" s="513" t="str">
        <f t="shared" si="2705"/>
        <v/>
      </c>
      <c r="AF3584" s="713" t="str">
        <f t="shared" si="2706"/>
        <v/>
      </c>
      <c r="AG3584" s="713"/>
      <c r="AH3584" s="713"/>
      <c r="AI3584" s="112">
        <f>IF(H3584="credit",0,IF(AE3584="free",0,IF(AE3584="me",0,IF(G3584&gt;0,(VLOOKUP(A3584,'Discount Lookup'!J:K,2)*G3584),0))))</f>
        <v>0</v>
      </c>
      <c r="AJ3584" s="107" t="str">
        <f t="shared" ca="1" si="2707"/>
        <v/>
      </c>
      <c r="AK3584" s="714" t="str">
        <f t="shared" si="2708"/>
        <v/>
      </c>
      <c r="AL3584" s="714"/>
      <c r="AM3584" s="114" t="str">
        <f t="shared" si="2709"/>
        <v/>
      </c>
      <c r="AN3584" s="115"/>
      <c r="AO3584" s="116"/>
      <c r="AP3584" s="116"/>
      <c r="AQ3584" s="116"/>
      <c r="AR3584" s="116"/>
      <c r="AS3584" s="116"/>
      <c r="AT3584" s="116"/>
      <c r="AU3584" s="116"/>
      <c r="AV3584" s="78"/>
      <c r="AW3584" s="102"/>
      <c r="AX3584" s="78"/>
      <c r="AY3584" s="78"/>
      <c r="AZ3584" s="78"/>
      <c r="BA3584" s="78"/>
      <c r="BB3584" s="78"/>
      <c r="BC3584" s="78"/>
      <c r="BD3584" s="78"/>
      <c r="BE3584" s="465"/>
      <c r="BF3584" s="165" t="str">
        <f t="shared" si="2710"/>
        <v>https://www.google.com/search?tbm=isch&amp;q=Rhod.%20Encore%C2%AE%20%27Roblezd%27%20PP%2332967%20Autumn%20Majesty%C2%AE%20Encore%C2%AE%20Azalea</v>
      </c>
      <c r="BG3584" s="165" t="str">
        <f t="shared" si="2711"/>
        <v>R</v>
      </c>
      <c r="BH3584" s="65"/>
      <c r="BI3584" s="65"/>
      <c r="BJ3584" s="65"/>
      <c r="BK3584" s="65"/>
      <c r="BL3584" s="99"/>
      <c r="BM3584" s="99"/>
      <c r="BN3584" s="99"/>
    </row>
    <row r="3585" spans="1:66" s="51" customFormat="1" ht="15.75" x14ac:dyDescent="0.25">
      <c r="A3585" s="478">
        <v>3</v>
      </c>
      <c r="B3585" s="479" t="s">
        <v>291</v>
      </c>
      <c r="C3585" s="480" t="s">
        <v>2809</v>
      </c>
      <c r="D3585" s="481" t="s">
        <v>329</v>
      </c>
      <c r="E3585" s="482">
        <v>29.95</v>
      </c>
      <c r="F3585" s="483" t="s">
        <v>292</v>
      </c>
      <c r="G3585" s="484">
        <v>0</v>
      </c>
      <c r="H3585" s="688" t="str">
        <f>IF(G3585=0,"",IF(F3585="Buy",IF(G3585=1,"plant","plants"),IF(F3585&gt;0.01,"warranty","Error")))</f>
        <v/>
      </c>
      <c r="I3585" s="485">
        <f>IF(H3585="free",0,IF(H3585="credit",((E3585*(F3585))*G3585*-1),IF(F3585="Buy",(E3585*G3585),((E3585*(1-F3585))*G3585))))</f>
        <v>0</v>
      </c>
      <c r="J3585" s="485">
        <f>IF(H3585="warranty",0,(I3585*(_xlfn.SINGLE(SalesTaxPercentage))))</f>
        <v>0</v>
      </c>
      <c r="K3585" s="715">
        <f t="shared" ref="K3585" si="2726">I3585+J3585</f>
        <v>0</v>
      </c>
      <c r="L3585" s="715"/>
      <c r="M3585" s="689" t="str">
        <f ca="1">IF(AND(G3585&gt;0,E3585=0),"WARNING - no PRICE inserted",IF(H3585="free","FREE ~ no charge this plant",IF(H3585="credit",CONCATENATE("-$",ROUND(K3585*(1-_xlfn.SINGLE(T2GDiscount))*-1,2)," CREDIT after discount"),IF(_xlfn.SINGLE(T2GDiscount)=0,"",IF(G3585=0,"",IF(F3585="Buy",CONCATENATE("$",ROUND(K3585*(1-_xlfn.SINGLE(T2GDiscount)),2)," with ",(_xlfn.SINGLE(T2GDiscount)*100),"% discount"),CONCATENATE("$",ROUND(K3585*(1-_xlfn.SINGLE(T2GDiscount)),2)," with ",((_xlfn.SINGLE(T2GDiscount)*100+F3585*100)-(_xlfn.SINGLE(T2GDiscount)*100*F3585)),IF(F3585&gt;0,"% discounts",IF(_xlfn.SINGLE(NoWarrantyDiscount)&gt;0,"% discounts","% discount")))))))))</f>
        <v/>
      </c>
      <c r="N3585" s="690"/>
      <c r="O3585" s="486"/>
      <c r="P3585" s="486"/>
      <c r="Q3585" s="486"/>
      <c r="R3585" s="486"/>
      <c r="S3585" s="486"/>
      <c r="T3585" s="102">
        <f t="shared" si="2699"/>
        <v>0</v>
      </c>
      <c r="U3585" s="78">
        <f>IF(NOT(ISNUMBER(G3585)), "", VLOOKUP(A3585,'Discount Lookup'!D:E,2,FALSE)*G3585)</f>
        <v>0</v>
      </c>
      <c r="V3585" s="78">
        <f>IF(NOT(ISNUMBER(G3585)), "", VLOOKUP(A3585,'Discount Lookup'!G:H,2,FALSE)*G3585)</f>
        <v>0</v>
      </c>
      <c r="W3585" s="102">
        <f t="shared" si="2700"/>
        <v>0</v>
      </c>
      <c r="X3585" s="102">
        <f t="shared" si="2701"/>
        <v>0</v>
      </c>
      <c r="Y3585" s="120" t="b">
        <f t="shared" si="2702"/>
        <v>0</v>
      </c>
      <c r="Z3585" s="117">
        <f t="shared" si="2703"/>
        <v>0</v>
      </c>
      <c r="AA3585" s="118"/>
      <c r="AB3585" s="118" t="str">
        <f t="shared" si="2704"/>
        <v/>
      </c>
      <c r="AC3585" s="712" t="str">
        <f>IF(AE3585="T2G","no charge",IF(AND(OR(PlanterYesMe="No",PlanterYesMe="N",PlanterYesMe="me"),H3585=""),"",IF(H3585="credit","NO install",IF(AND(K3585="",AE3585="me"),"EACH row",IF(AND(K3585="images",AE3585="me"),"EACH row",IF(D3585="","",IF(H3585="credit","",IF(AE3585="free","re-planting",IF(AE3585="me","   not ELP, by",IF(AND(OR(PlanterYesMe="Yes",PlanterYesMe="Y"),G3585&gt;0),(VLOOKUP(A3585,'Discount Lookup'!J:K,2)*G3585*(1-PlanterDiscount)*(1+PlanterDifficultyPercentage)),IF(AE3585="ELP",(VLOOKUP(A3585,'Discount Lookup'!J:K,2)*G3585*(1-PlanterDiscount)*(1+PlanterDifficultyPercentage)),IF(AE3585="free","re-planting",IF(G3585=0,"",IF(PlanterYesMe="",IF(AE3585="me","   not ELP, by",IF(AE3585="",IF(G3585&gt;0,(VLOOKUP(A3585,'Discount Lookup'!J:K,2)*G3585*(1-PlanterDiscount)*(1+PlanterDifficultyPercentage)),""),"")),"   not ELP, by"))))))))))))))</f>
        <v/>
      </c>
      <c r="AD3585" s="712"/>
      <c r="AE3585" s="513" t="str">
        <f t="shared" si="2705"/>
        <v/>
      </c>
      <c r="AF3585" s="713" t="str">
        <f t="shared" si="2706"/>
        <v/>
      </c>
      <c r="AG3585" s="713"/>
      <c r="AH3585" s="713"/>
      <c r="AI3585" s="112">
        <f>IF(H3585="credit",0,IF(AE3585="free",0,IF(AE3585="me",0,IF(G3585&gt;0,(VLOOKUP(A3585,'Discount Lookup'!J:K,2)*G3585),0))))</f>
        <v>0</v>
      </c>
      <c r="AJ3585" s="107" t="str">
        <f t="shared" ca="1" si="2707"/>
        <v/>
      </c>
      <c r="AK3585" s="714" t="str">
        <f t="shared" si="2708"/>
        <v/>
      </c>
      <c r="AL3585" s="714"/>
      <c r="AM3585" s="114" t="str">
        <f t="shared" si="2709"/>
        <v/>
      </c>
      <c r="AN3585" s="115"/>
      <c r="AO3585" s="116"/>
      <c r="AP3585" s="116"/>
      <c r="AQ3585" s="116"/>
      <c r="AR3585" s="116"/>
      <c r="AS3585" s="116"/>
      <c r="AT3585" s="116"/>
      <c r="AU3585" s="116"/>
      <c r="AV3585" s="78"/>
      <c r="AW3585" s="102"/>
      <c r="AX3585" s="78"/>
      <c r="AY3585" s="78"/>
      <c r="AZ3585" s="78"/>
      <c r="BA3585" s="78"/>
      <c r="BB3585" s="78"/>
      <c r="BC3585" s="78"/>
      <c r="BD3585" s="78"/>
      <c r="BE3585" s="465"/>
      <c r="BF3585" s="165" t="str">
        <f t="shared" si="2710"/>
        <v>https://www.google.com/search?tbm=isch&amp;q=3%20G2</v>
      </c>
      <c r="BG3585" s="165" t="str">
        <f t="shared" si="2711"/>
        <v>R</v>
      </c>
      <c r="BH3585" s="65"/>
      <c r="BI3585" s="65"/>
      <c r="BJ3585" s="65"/>
      <c r="BK3585" s="65"/>
      <c r="BL3585" s="99"/>
      <c r="BM3585" s="99"/>
      <c r="BN3585" s="99"/>
    </row>
    <row r="3586" spans="1:66" s="51" customFormat="1" ht="17.25" thickBot="1" x14ac:dyDescent="0.3">
      <c r="A3586" s="508" t="s">
        <v>3974</v>
      </c>
      <c r="B3586" s="487"/>
      <c r="C3586" s="707"/>
      <c r="D3586" s="487"/>
      <c r="E3586" s="487"/>
      <c r="F3586" s="488"/>
      <c r="G3586" s="489"/>
      <c r="H3586" s="487"/>
      <c r="I3586" s="490"/>
      <c r="J3586" s="490"/>
      <c r="K3586" s="491"/>
      <c r="L3586" s="547"/>
      <c r="M3586" s="528"/>
      <c r="N3586" s="492"/>
      <c r="O3586" s="493"/>
      <c r="P3586" s="494"/>
      <c r="Q3586" s="492"/>
      <c r="R3586" s="492"/>
      <c r="S3586" s="699" t="s">
        <v>5248</v>
      </c>
      <c r="T3586" s="102">
        <f t="shared" si="2699"/>
        <v>0</v>
      </c>
      <c r="U3586" s="78" t="str">
        <f>IF(NOT(ISNUMBER(G3586)), "", VLOOKUP(A3586,'Discount Lookup'!D:E,2,FALSE)*G3586)</f>
        <v/>
      </c>
      <c r="V3586" s="78" t="str">
        <f>IF(NOT(ISNUMBER(G3586)), "", VLOOKUP(A3586,'Discount Lookup'!G:H,2,FALSE)*G3586)</f>
        <v/>
      </c>
      <c r="W3586" s="102">
        <f t="shared" si="2700"/>
        <v>0</v>
      </c>
      <c r="X3586" s="102">
        <f t="shared" si="2701"/>
        <v>0</v>
      </c>
      <c r="Y3586" s="120" t="b">
        <f t="shared" si="2702"/>
        <v>0</v>
      </c>
      <c r="Z3586" s="117">
        <f t="shared" si="2703"/>
        <v>0</v>
      </c>
      <c r="AA3586" s="118"/>
      <c r="AB3586" s="118" t="str">
        <f t="shared" si="2704"/>
        <v/>
      </c>
      <c r="AC3586" s="712" t="str">
        <f>IF(AE3586="T2G","no charge",IF(AND(OR(PlanterYesMe="No",PlanterYesMe="N",PlanterYesMe="me"),H3586=""),"",IF(H3586="credit","NO install",IF(AND(K3586="",AE3586="me"),"EACH row",IF(AND(K3586="images",AE3586="me"),"EACH row",IF(D3586="","",IF(H3586="credit","",IF(AE3586="free","re-planting",IF(AE3586="me","   not ELP, by",IF(AND(OR(PlanterYesMe="Yes",PlanterYesMe="Y"),G3586&gt;0),(VLOOKUP(A3586,'Discount Lookup'!J:K,2)*G3586*(1-PlanterDiscount)*(1+PlanterDifficultyPercentage)),IF(AE3586="ELP",(VLOOKUP(A3586,'Discount Lookup'!J:K,2)*G3586*(1-PlanterDiscount)*(1+PlanterDifficultyPercentage)),IF(AE3586="free","re-planting",IF(G3586=0,"",IF(PlanterYesMe="",IF(AE3586="me","   not ELP, by",IF(AE3586="",IF(G3586&gt;0,(VLOOKUP(A3586,'Discount Lookup'!J:K,2)*G3586*(1-PlanterDiscount)*(1+PlanterDifficultyPercentage)),""),"")),"   not ELP, by"))))))))))))))</f>
        <v/>
      </c>
      <c r="AD3586" s="712"/>
      <c r="AE3586" s="513" t="str">
        <f t="shared" si="2705"/>
        <v/>
      </c>
      <c r="AF3586" s="713" t="str">
        <f t="shared" si="2706"/>
        <v/>
      </c>
      <c r="AG3586" s="713"/>
      <c r="AH3586" s="713"/>
      <c r="AI3586" s="112">
        <f>IF(H3586="credit",0,IF(AE3586="free",0,IF(AE3586="me",0,IF(G3586&gt;0,(VLOOKUP(A3586,'Discount Lookup'!J:K,2)*G3586),0))))</f>
        <v>0</v>
      </c>
      <c r="AJ3586" s="107" t="str">
        <f t="shared" ca="1" si="2707"/>
        <v/>
      </c>
      <c r="AK3586" s="714" t="str">
        <f t="shared" si="2708"/>
        <v/>
      </c>
      <c r="AL3586" s="714"/>
      <c r="AM3586" s="114" t="str">
        <f t="shared" si="2709"/>
        <v/>
      </c>
      <c r="AN3586" s="115"/>
      <c r="AO3586" s="116"/>
      <c r="AP3586" s="116"/>
      <c r="AQ3586" s="116"/>
      <c r="AR3586" s="116"/>
      <c r="AS3586" s="116"/>
      <c r="AT3586" s="116"/>
      <c r="AU3586" s="116"/>
      <c r="AV3586" s="78"/>
      <c r="AW3586" s="102"/>
      <c r="AX3586" s="78"/>
      <c r="AY3586" s="78"/>
      <c r="AZ3586" s="78"/>
      <c r="BA3586" s="78"/>
      <c r="BB3586" s="78"/>
      <c r="BC3586" s="78"/>
      <c r="BD3586" s="78"/>
      <c r="BE3586" s="465"/>
      <c r="BF3586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86" s="165" t="str">
        <f t="shared" si="2711"/>
        <v>A</v>
      </c>
      <c r="BH3586" s="65"/>
      <c r="BI3586" s="65"/>
      <c r="BJ3586" s="65"/>
      <c r="BK3586" s="65"/>
      <c r="BL3586" s="99"/>
      <c r="BM3586" s="99"/>
      <c r="BN3586" s="99"/>
    </row>
    <row r="3587" spans="1:66" s="51" customFormat="1" ht="18" x14ac:dyDescent="0.25">
      <c r="A3587" s="507" t="s">
        <v>5792</v>
      </c>
      <c r="B3587" s="470"/>
      <c r="C3587" s="706"/>
      <c r="D3587" s="471" t="s">
        <v>5793</v>
      </c>
      <c r="E3587" s="472"/>
      <c r="F3587" s="472"/>
      <c r="G3587" s="472"/>
      <c r="H3587" s="622" t="s">
        <v>3975</v>
      </c>
      <c r="I3587" s="473" t="s">
        <v>3999</v>
      </c>
      <c r="J3587" s="472"/>
      <c r="K3587" s="472"/>
      <c r="L3587" s="561"/>
      <c r="M3587" s="698" t="s">
        <v>5246</v>
      </c>
      <c r="N3587" s="692" t="str">
        <f>IF(AND(ISTEXT($A3587), ISERROR($A3587+0)), HYPERLINK($BF3587, "Images"), "")</f>
        <v>Images</v>
      </c>
      <c r="O3587" s="694" t="s">
        <v>5264</v>
      </c>
      <c r="P3587" s="475"/>
      <c r="Q3587" s="476"/>
      <c r="R3587" s="476"/>
      <c r="S3587" s="477"/>
      <c r="T3587" s="102">
        <f t="shared" si="2699"/>
        <v>0</v>
      </c>
      <c r="U3587" s="78" t="str">
        <f>IF(NOT(ISNUMBER(G3587)), "", VLOOKUP(A3587,'Discount Lookup'!D:E,2,FALSE)*G3587)</f>
        <v/>
      </c>
      <c r="V3587" s="78" t="str">
        <f>IF(NOT(ISNUMBER(G3587)), "", VLOOKUP(A3587,'Discount Lookup'!G:H,2,FALSE)*G3587)</f>
        <v/>
      </c>
      <c r="W3587" s="102">
        <f t="shared" si="2700"/>
        <v>0</v>
      </c>
      <c r="X3587" s="102" t="str">
        <f t="shared" si="2701"/>
        <v>Coral-Pink, White margins</v>
      </c>
      <c r="Y3587" s="120" t="b">
        <f t="shared" si="2702"/>
        <v>0</v>
      </c>
      <c r="Z3587" s="117">
        <f t="shared" si="2703"/>
        <v>0</v>
      </c>
      <c r="AA3587" s="118"/>
      <c r="AB3587" s="118" t="str">
        <f t="shared" si="2704"/>
        <v/>
      </c>
      <c r="AC3587" s="712" t="str">
        <f>IF(AE3587="T2G","no charge",IF(AND(OR(PlanterYesMe="No",PlanterYesMe="N",PlanterYesMe="me"),H3587=""),"",IF(H3587="credit","NO install",IF(AND(K3587="",AE3587="me"),"EACH row",IF(AND(K3587="images",AE3587="me"),"EACH row",IF(D3587="","",IF(H3587="credit","",IF(AE3587="free","re-planting",IF(AE3587="me","   not ELP, by",IF(AND(OR(PlanterYesMe="Yes",PlanterYesMe="Y"),G3587&gt;0),(VLOOKUP(A3587,'Discount Lookup'!J:K,2)*G3587*(1-PlanterDiscount)*(1+PlanterDifficultyPercentage)),IF(AE3587="ELP",(VLOOKUP(A3587,'Discount Lookup'!J:K,2)*G3587*(1-PlanterDiscount)*(1+PlanterDifficultyPercentage)),IF(AE3587="free","re-planting",IF(G3587=0,"",IF(PlanterYesMe="",IF(AE3587="me","   not ELP, by",IF(AE3587="",IF(G3587&gt;0,(VLOOKUP(A3587,'Discount Lookup'!J:K,2)*G3587*(1-PlanterDiscount)*(1+PlanterDifficultyPercentage)),""),"")),"   not ELP, by"))))))))))))))</f>
        <v/>
      </c>
      <c r="AD3587" s="712"/>
      <c r="AE3587" s="513" t="str">
        <f t="shared" si="2705"/>
        <v/>
      </c>
      <c r="AF3587" s="713" t="str">
        <f t="shared" si="2706"/>
        <v/>
      </c>
      <c r="AG3587" s="713"/>
      <c r="AH3587" s="713"/>
      <c r="AI3587" s="112">
        <f>IF(H3587="credit",0,IF(AE3587="free",0,IF(AE3587="me",0,IF(G3587&gt;0,(VLOOKUP(A3587,'Discount Lookup'!J:K,2)*G3587),0))))</f>
        <v>0</v>
      </c>
      <c r="AJ3587" s="107" t="str">
        <f t="shared" ca="1" si="2707"/>
        <v/>
      </c>
      <c r="AK3587" s="714" t="str">
        <f t="shared" si="2708"/>
        <v/>
      </c>
      <c r="AL3587" s="714"/>
      <c r="AM3587" s="114" t="str">
        <f t="shared" si="2709"/>
        <v/>
      </c>
      <c r="AN3587" s="115"/>
      <c r="AO3587" s="116"/>
      <c r="AP3587" s="116"/>
      <c r="AQ3587" s="116"/>
      <c r="AR3587" s="116"/>
      <c r="AS3587" s="116"/>
      <c r="AT3587" s="116"/>
      <c r="AU3587" s="116"/>
      <c r="AV3587" s="78"/>
      <c r="AW3587" s="102"/>
      <c r="AX3587" s="78"/>
      <c r="AY3587" s="78"/>
      <c r="AZ3587" s="78"/>
      <c r="BA3587" s="78"/>
      <c r="BB3587" s="78"/>
      <c r="BC3587" s="78"/>
      <c r="BD3587" s="78"/>
      <c r="BE3587" s="465"/>
      <c r="BF3587" s="165" t="str">
        <f t="shared" si="2710"/>
        <v>https://www.google.com/search?tbm=isch&amp;q=Rhod.%20Encore%C2%AE%20%27Robleze%27%20PP%2332506%20Autumn%20Starburst%C2%AE%20Encore%C2%AE%20Azalea</v>
      </c>
      <c r="BG3587" s="165" t="str">
        <f t="shared" si="2711"/>
        <v>R</v>
      </c>
      <c r="BH3587" s="65"/>
      <c r="BI3587" s="65"/>
      <c r="BJ3587" s="65"/>
      <c r="BK3587" s="65"/>
      <c r="BL3587" s="99"/>
      <c r="BM3587" s="99"/>
      <c r="BN3587" s="99"/>
    </row>
    <row r="3588" spans="1:66" s="51" customFormat="1" ht="15.75" x14ac:dyDescent="0.25">
      <c r="A3588" s="478">
        <v>3</v>
      </c>
      <c r="B3588" s="479" t="s">
        <v>291</v>
      </c>
      <c r="C3588" s="480" t="s">
        <v>4000</v>
      </c>
      <c r="D3588" s="481" t="s">
        <v>329</v>
      </c>
      <c r="E3588" s="482">
        <v>29.95</v>
      </c>
      <c r="F3588" s="483" t="s">
        <v>292</v>
      </c>
      <c r="G3588" s="484">
        <v>0</v>
      </c>
      <c r="H3588" s="688" t="str">
        <f>IF(G3588=0,"",IF(F3588="Buy",IF(G3588=1,"plant","plants"),IF(F3588&gt;0.01,"warranty","Error")))</f>
        <v/>
      </c>
      <c r="I3588" s="485">
        <f>IF(H3588="free",0,IF(H3588="credit",((E3588*(F3588))*G3588*-1),IF(F3588="Buy",(E3588*G3588),((E3588*(1-F3588))*G3588))))</f>
        <v>0</v>
      </c>
      <c r="J3588" s="485">
        <f>IF(H3588="warranty",0,(I3588*(_xlfn.SINGLE(SalesTaxPercentage))))</f>
        <v>0</v>
      </c>
      <c r="K3588" s="715">
        <f t="shared" ref="K3588" si="2727">I3588+J3588</f>
        <v>0</v>
      </c>
      <c r="L3588" s="715"/>
      <c r="M3588" s="689" t="str">
        <f ca="1">IF(AND(G3588&gt;0,E3588=0),"WARNING - no PRICE inserted",IF(H3588="free","FREE ~ no charge this plant",IF(H3588="credit",CONCATENATE("-$",ROUND(K3588*(1-_xlfn.SINGLE(T2GDiscount))*-1,2)," CREDIT after discount"),IF(_xlfn.SINGLE(T2GDiscount)=0,"",IF(G3588=0,"",IF(F3588="Buy",CONCATENATE("$",ROUND(K3588*(1-_xlfn.SINGLE(T2GDiscount)),2)," with ",(_xlfn.SINGLE(T2GDiscount)*100),"% discount"),CONCATENATE("$",ROUND(K3588*(1-_xlfn.SINGLE(T2GDiscount)),2)," with ",((_xlfn.SINGLE(T2GDiscount)*100+F3588*100)-(_xlfn.SINGLE(T2GDiscount)*100*F3588)),IF(F3588&gt;0,"% discounts",IF(_xlfn.SINGLE(NoWarrantyDiscount)&gt;0,"% discounts","% discount")))))))))</f>
        <v/>
      </c>
      <c r="N3588" s="690"/>
      <c r="O3588" s="486"/>
      <c r="P3588" s="486"/>
      <c r="Q3588" s="486"/>
      <c r="R3588" s="486"/>
      <c r="S3588" s="486"/>
      <c r="T3588" s="102">
        <f t="shared" si="2699"/>
        <v>0</v>
      </c>
      <c r="U3588" s="78">
        <f>IF(NOT(ISNUMBER(G3588)), "", VLOOKUP(A3588,'Discount Lookup'!D:E,2,FALSE)*G3588)</f>
        <v>0</v>
      </c>
      <c r="V3588" s="78">
        <f>IF(NOT(ISNUMBER(G3588)), "", VLOOKUP(A3588,'Discount Lookup'!G:H,2,FALSE)*G3588)</f>
        <v>0</v>
      </c>
      <c r="W3588" s="102">
        <f t="shared" si="2700"/>
        <v>0</v>
      </c>
      <c r="X3588" s="102">
        <f t="shared" si="2701"/>
        <v>0</v>
      </c>
      <c r="Y3588" s="120" t="b">
        <f t="shared" si="2702"/>
        <v>0</v>
      </c>
      <c r="Z3588" s="117">
        <f t="shared" si="2703"/>
        <v>0</v>
      </c>
      <c r="AA3588" s="118"/>
      <c r="AB3588" s="118" t="str">
        <f t="shared" si="2704"/>
        <v/>
      </c>
      <c r="AC3588" s="712" t="str">
        <f>IF(AE3588="T2G","no charge",IF(AND(OR(PlanterYesMe="No",PlanterYesMe="N",PlanterYesMe="me"),H3588=""),"",IF(H3588="credit","NO install",IF(AND(K3588="",AE3588="me"),"EACH row",IF(AND(K3588="images",AE3588="me"),"EACH row",IF(D3588="","",IF(H3588="credit","",IF(AE3588="free","re-planting",IF(AE3588="me","   not ELP, by",IF(AND(OR(PlanterYesMe="Yes",PlanterYesMe="Y"),G3588&gt;0),(VLOOKUP(A3588,'Discount Lookup'!J:K,2)*G3588*(1-PlanterDiscount)*(1+PlanterDifficultyPercentage)),IF(AE3588="ELP",(VLOOKUP(A3588,'Discount Lookup'!J:K,2)*G3588*(1-PlanterDiscount)*(1+PlanterDifficultyPercentage)),IF(AE3588="free","re-planting",IF(G3588=0,"",IF(PlanterYesMe="",IF(AE3588="me","   not ELP, by",IF(AE3588="",IF(G3588&gt;0,(VLOOKUP(A3588,'Discount Lookup'!J:K,2)*G3588*(1-PlanterDiscount)*(1+PlanterDifficultyPercentage)),""),"")),"   not ELP, by"))))))))))))))</f>
        <v/>
      </c>
      <c r="AD3588" s="712"/>
      <c r="AE3588" s="513" t="str">
        <f t="shared" si="2705"/>
        <v/>
      </c>
      <c r="AF3588" s="713" t="str">
        <f t="shared" si="2706"/>
        <v/>
      </c>
      <c r="AG3588" s="713"/>
      <c r="AH3588" s="713"/>
      <c r="AI3588" s="112">
        <f>IF(H3588="credit",0,IF(AE3588="free",0,IF(AE3588="me",0,IF(G3588&gt;0,(VLOOKUP(A3588,'Discount Lookup'!J:K,2)*G3588),0))))</f>
        <v>0</v>
      </c>
      <c r="AJ3588" s="107" t="str">
        <f t="shared" ca="1" si="2707"/>
        <v/>
      </c>
      <c r="AK3588" s="714" t="str">
        <f t="shared" si="2708"/>
        <v/>
      </c>
      <c r="AL3588" s="714"/>
      <c r="AM3588" s="114" t="str">
        <f t="shared" si="2709"/>
        <v/>
      </c>
      <c r="AN3588" s="115"/>
      <c r="AO3588" s="116"/>
      <c r="AP3588" s="116"/>
      <c r="AQ3588" s="116"/>
      <c r="AR3588" s="116"/>
      <c r="AS3588" s="116"/>
      <c r="AT3588" s="116"/>
      <c r="AU3588" s="116"/>
      <c r="AV3588" s="78"/>
      <c r="AW3588" s="102"/>
      <c r="AX3588" s="78"/>
      <c r="AY3588" s="78"/>
      <c r="AZ3588" s="78"/>
      <c r="BA3588" s="78"/>
      <c r="BB3588" s="78"/>
      <c r="BC3588" s="78"/>
      <c r="BD3588" s="78"/>
      <c r="BE3588" s="465"/>
      <c r="BF3588" s="165" t="str">
        <f t="shared" si="2710"/>
        <v>https://www.google.com/search?tbm=isch&amp;q=3%20G2</v>
      </c>
      <c r="BG3588" s="165" t="str">
        <f t="shared" si="2711"/>
        <v>R</v>
      </c>
      <c r="BH3588" s="65"/>
      <c r="BI3588" s="65"/>
      <c r="BJ3588" s="65"/>
      <c r="BK3588" s="65"/>
      <c r="BL3588" s="99"/>
      <c r="BM3588" s="99"/>
      <c r="BN3588" s="99"/>
    </row>
    <row r="3589" spans="1:66" s="51" customFormat="1" ht="17.25" thickBot="1" x14ac:dyDescent="0.3">
      <c r="A3589" s="508" t="s">
        <v>3974</v>
      </c>
      <c r="B3589" s="487"/>
      <c r="C3589" s="707"/>
      <c r="D3589" s="487"/>
      <c r="E3589" s="487"/>
      <c r="F3589" s="488"/>
      <c r="G3589" s="489"/>
      <c r="H3589" s="487"/>
      <c r="I3589" s="490"/>
      <c r="J3589" s="490"/>
      <c r="K3589" s="491"/>
      <c r="L3589" s="547"/>
      <c r="M3589" s="528"/>
      <c r="N3589" s="492"/>
      <c r="O3589" s="493"/>
      <c r="P3589" s="494"/>
      <c r="Q3589" s="492"/>
      <c r="R3589" s="492"/>
      <c r="S3589" s="699" t="s">
        <v>5248</v>
      </c>
      <c r="T3589" s="102">
        <f t="shared" si="2699"/>
        <v>0</v>
      </c>
      <c r="U3589" s="78" t="str">
        <f>IF(NOT(ISNUMBER(G3589)), "", VLOOKUP(A3589,'Discount Lookup'!D:E,2,FALSE)*G3589)</f>
        <v/>
      </c>
      <c r="V3589" s="78" t="str">
        <f>IF(NOT(ISNUMBER(G3589)), "", VLOOKUP(A3589,'Discount Lookup'!G:H,2,FALSE)*G3589)</f>
        <v/>
      </c>
      <c r="W3589" s="102">
        <f t="shared" si="2700"/>
        <v>0</v>
      </c>
      <c r="X3589" s="102">
        <f t="shared" si="2701"/>
        <v>0</v>
      </c>
      <c r="Y3589" s="120" t="b">
        <f t="shared" si="2702"/>
        <v>0</v>
      </c>
      <c r="Z3589" s="117">
        <f t="shared" si="2703"/>
        <v>0</v>
      </c>
      <c r="AA3589" s="118"/>
      <c r="AB3589" s="118" t="str">
        <f t="shared" si="2704"/>
        <v/>
      </c>
      <c r="AC3589" s="712" t="str">
        <f>IF(AE3589="T2G","no charge",IF(AND(OR(PlanterYesMe="No",PlanterYesMe="N",PlanterYesMe="me"),H3589=""),"",IF(H3589="credit","NO install",IF(AND(K3589="",AE3589="me"),"EACH row",IF(AND(K3589="images",AE3589="me"),"EACH row",IF(D3589="","",IF(H3589="credit","",IF(AE3589="free","re-planting",IF(AE3589="me","   not ELP, by",IF(AND(OR(PlanterYesMe="Yes",PlanterYesMe="Y"),G3589&gt;0),(VLOOKUP(A3589,'Discount Lookup'!J:K,2)*G3589*(1-PlanterDiscount)*(1+PlanterDifficultyPercentage)),IF(AE3589="ELP",(VLOOKUP(A3589,'Discount Lookup'!J:K,2)*G3589*(1-PlanterDiscount)*(1+PlanterDifficultyPercentage)),IF(AE3589="free","re-planting",IF(G3589=0,"",IF(PlanterYesMe="",IF(AE3589="me","   not ELP, by",IF(AE3589="",IF(G3589&gt;0,(VLOOKUP(A3589,'Discount Lookup'!J:K,2)*G3589*(1-PlanterDiscount)*(1+PlanterDifficultyPercentage)),""),"")),"   not ELP, by"))))))))))))))</f>
        <v/>
      </c>
      <c r="AD3589" s="712"/>
      <c r="AE3589" s="513" t="str">
        <f t="shared" si="2705"/>
        <v/>
      </c>
      <c r="AF3589" s="713" t="str">
        <f t="shared" si="2706"/>
        <v/>
      </c>
      <c r="AG3589" s="713"/>
      <c r="AH3589" s="713"/>
      <c r="AI3589" s="112">
        <f>IF(H3589="credit",0,IF(AE3589="free",0,IF(AE3589="me",0,IF(G3589&gt;0,(VLOOKUP(A3589,'Discount Lookup'!J:K,2)*G3589),0))))</f>
        <v>0</v>
      </c>
      <c r="AJ3589" s="107" t="str">
        <f t="shared" ca="1" si="2707"/>
        <v/>
      </c>
      <c r="AK3589" s="714" t="str">
        <f t="shared" si="2708"/>
        <v/>
      </c>
      <c r="AL3589" s="714"/>
      <c r="AM3589" s="114" t="str">
        <f t="shared" si="2709"/>
        <v/>
      </c>
      <c r="AN3589" s="115"/>
      <c r="AO3589" s="116"/>
      <c r="AP3589" s="116"/>
      <c r="AQ3589" s="116"/>
      <c r="AR3589" s="116"/>
      <c r="AS3589" s="116"/>
      <c r="AT3589" s="116"/>
      <c r="AU3589" s="116"/>
      <c r="AV3589" s="78"/>
      <c r="AW3589" s="102"/>
      <c r="AX3589" s="78"/>
      <c r="AY3589" s="78"/>
      <c r="AZ3589" s="78"/>
      <c r="BA3589" s="78"/>
      <c r="BB3589" s="78"/>
      <c r="BC3589" s="78"/>
      <c r="BD3589" s="78"/>
      <c r="BE3589" s="465"/>
      <c r="BF3589" s="165" t="str">
        <f t="shared" si="2710"/>
        <v>https://www.google.com/search?tbm=isch&amp;q=All%20Encores%20are%20repeat%20bloomers%2C%20in%20spring%2C%20late%20summer%2C%20and%20fall.%20Dark%20Green%20foliage%2C%20with%20a%20Reddish-Bronzy%20winter%20cast%20</v>
      </c>
      <c r="BG3589" s="165" t="str">
        <f t="shared" si="2711"/>
        <v>A</v>
      </c>
      <c r="BH3589" s="65"/>
      <c r="BI3589" s="65"/>
      <c r="BJ3589" s="65"/>
      <c r="BK3589" s="65"/>
      <c r="BL3589" s="99"/>
      <c r="BM3589" s="99"/>
      <c r="BN3589" s="99"/>
    </row>
    <row r="3590" spans="1:66" s="51" customFormat="1" ht="18" x14ac:dyDescent="0.25">
      <c r="A3590" s="507" t="s">
        <v>4001</v>
      </c>
      <c r="B3590" s="470"/>
      <c r="C3590" s="706"/>
      <c r="D3590" s="471" t="s">
        <v>4002</v>
      </c>
      <c r="E3590" s="472"/>
      <c r="F3590" s="472"/>
      <c r="G3590" s="472"/>
      <c r="H3590" s="622" t="s">
        <v>1439</v>
      </c>
      <c r="I3590" s="473" t="s">
        <v>4003</v>
      </c>
      <c r="J3590" s="472"/>
      <c r="K3590" s="472"/>
      <c r="L3590" s="561"/>
      <c r="M3590" s="698" t="s">
        <v>5246</v>
      </c>
      <c r="N3590" s="692" t="str">
        <f>IF(AND(ISTEXT($A3590), ISERROR($A3590+0)), HYPERLINK($BF3590, "Images"), "")</f>
        <v>Images</v>
      </c>
      <c r="O3590" s="694" t="s">
        <v>5264</v>
      </c>
      <c r="P3590" s="475"/>
      <c r="Q3590" s="476"/>
      <c r="R3590" s="476"/>
      <c r="S3590" s="477"/>
      <c r="T3590" s="102">
        <f t="shared" si="2699"/>
        <v>0</v>
      </c>
      <c r="U3590" s="78" t="str">
        <f>IF(NOT(ISNUMBER(G3590)), "", VLOOKUP(A3590,'Discount Lookup'!D:E,2,FALSE)*G3590)</f>
        <v/>
      </c>
      <c r="V3590" s="78" t="str">
        <f>IF(NOT(ISNUMBER(G3590)), "", VLOOKUP(A3590,'Discount Lookup'!G:H,2,FALSE)*G3590)</f>
        <v/>
      </c>
      <c r="W3590" s="102">
        <f t="shared" si="2700"/>
        <v>0</v>
      </c>
      <c r="X3590" s="102" t="str">
        <f t="shared" si="2701"/>
        <v>light Pink bloom</v>
      </c>
      <c r="Y3590" s="120" t="b">
        <f t="shared" si="2702"/>
        <v>0</v>
      </c>
      <c r="Z3590" s="117">
        <f t="shared" si="2703"/>
        <v>0</v>
      </c>
      <c r="AA3590" s="118"/>
      <c r="AB3590" s="118" t="str">
        <f t="shared" si="2704"/>
        <v/>
      </c>
      <c r="AC3590" s="712" t="str">
        <f>IF(AE3590="T2G","no charge",IF(AND(OR(PlanterYesMe="No",PlanterYesMe="N",PlanterYesMe="me"),H3590=""),"",IF(H3590="credit","NO install",IF(AND(K3590="",AE3590="me"),"EACH row",IF(AND(K3590="images",AE3590="me"),"EACH row",IF(D3590="","",IF(H3590="credit","",IF(AE3590="free","re-planting",IF(AE3590="me","   not ELP, by",IF(AND(OR(PlanterYesMe="Yes",PlanterYesMe="Y"),G3590&gt;0),(VLOOKUP(A3590,'Discount Lookup'!J:K,2)*G3590*(1-PlanterDiscount)*(1+PlanterDifficultyPercentage)),IF(AE3590="ELP",(VLOOKUP(A3590,'Discount Lookup'!J:K,2)*G3590*(1-PlanterDiscount)*(1+PlanterDifficultyPercentage)),IF(AE3590="free","re-planting",IF(G3590=0,"",IF(PlanterYesMe="",IF(AE3590="me","   not ELP, by",IF(AE3590="",IF(G3590&gt;0,(VLOOKUP(A3590,'Discount Lookup'!J:K,2)*G3590*(1-PlanterDiscount)*(1+PlanterDifficultyPercentage)),""),"")),"   not ELP, by"))))))))))))))</f>
        <v/>
      </c>
      <c r="AD3590" s="712"/>
      <c r="AE3590" s="513" t="str">
        <f t="shared" si="2705"/>
        <v/>
      </c>
      <c r="AF3590" s="713" t="str">
        <f t="shared" si="2706"/>
        <v/>
      </c>
      <c r="AG3590" s="713"/>
      <c r="AH3590" s="713"/>
      <c r="AI3590" s="112">
        <f>IF(H3590="credit",0,IF(AE3590="free",0,IF(AE3590="me",0,IF(G3590&gt;0,(VLOOKUP(A3590,'Discount Lookup'!J:K,2)*G3590),0))))</f>
        <v>0</v>
      </c>
      <c r="AJ3590" s="107" t="str">
        <f t="shared" ca="1" si="2707"/>
        <v/>
      </c>
      <c r="AK3590" s="714" t="str">
        <f t="shared" si="2708"/>
        <v/>
      </c>
      <c r="AL3590" s="714"/>
      <c r="AM3590" s="114" t="str">
        <f t="shared" si="2709"/>
        <v/>
      </c>
      <c r="AN3590" s="115"/>
      <c r="AO3590" s="116"/>
      <c r="AP3590" s="116"/>
      <c r="AQ3590" s="116"/>
      <c r="AR3590" s="116"/>
      <c r="AS3590" s="116"/>
      <c r="AT3590" s="116"/>
      <c r="AU3590" s="116"/>
      <c r="AV3590" s="78"/>
      <c r="AW3590" s="102"/>
      <c r="AX3590" s="78"/>
      <c r="AY3590" s="78"/>
      <c r="AZ3590" s="78"/>
      <c r="BA3590" s="78"/>
      <c r="BB3590" s="78"/>
      <c r="BC3590" s="78"/>
      <c r="BD3590" s="78"/>
      <c r="BE3590" s="465"/>
      <c r="BF3590" s="165" t="str">
        <f t="shared" si="2710"/>
        <v>https://www.google.com/search?tbm=isch&amp;q=Rhod.%20eriocarpum%20%27Gumpo%20Pink%27%20Pink%20Gumpo%20Azalea</v>
      </c>
      <c r="BG3590" s="165" t="str">
        <f t="shared" si="2711"/>
        <v>R</v>
      </c>
      <c r="BH3590" s="65"/>
      <c r="BI3590" s="65"/>
      <c r="BJ3590" s="65"/>
      <c r="BK3590" s="65"/>
      <c r="BL3590" s="99"/>
      <c r="BM3590" s="99"/>
      <c r="BN3590" s="99"/>
    </row>
    <row r="3591" spans="1:66" s="51" customFormat="1" ht="15.75" x14ac:dyDescent="0.25">
      <c r="A3591" s="478">
        <v>3</v>
      </c>
      <c r="B3591" s="479" t="s">
        <v>291</v>
      </c>
      <c r="C3591" s="480" t="s">
        <v>4004</v>
      </c>
      <c r="D3591" s="481" t="s">
        <v>329</v>
      </c>
      <c r="E3591" s="482">
        <v>24.95</v>
      </c>
      <c r="F3591" s="483" t="s">
        <v>292</v>
      </c>
      <c r="G3591" s="484">
        <v>0</v>
      </c>
      <c r="H3591" s="688" t="str">
        <f>IF(G3591=0,"",IF(F3591="Buy",IF(G3591=1,"plant","plants"),IF(F3591&gt;0.01,"warranty","Error")))</f>
        <v/>
      </c>
      <c r="I3591" s="485">
        <f>IF(H3591="free",0,IF(H3591="credit",((E3591*(F3591))*G3591*-1),IF(F3591="Buy",(E3591*G3591),((E3591*(1-F3591))*G3591))))</f>
        <v>0</v>
      </c>
      <c r="J3591" s="485">
        <f>IF(H3591="warranty",0,(I3591*(_xlfn.SINGLE(SalesTaxPercentage))))</f>
        <v>0</v>
      </c>
      <c r="K3591" s="715">
        <f t="shared" ref="K3591" si="2728">I3591+J3591</f>
        <v>0</v>
      </c>
      <c r="L3591" s="715"/>
      <c r="M3591" s="689" t="str">
        <f ca="1">IF(AND(G3591&gt;0,E3591=0),"WARNING - no PRICE inserted",IF(H3591="free","FREE ~ no charge this plant",IF(H3591="credit",CONCATENATE("-$",ROUND(K3591*(1-_xlfn.SINGLE(T2GDiscount))*-1,2)," CREDIT after discount"),IF(_xlfn.SINGLE(T2GDiscount)=0,"",IF(G3591=0,"",IF(F3591="Buy",CONCATENATE("$",ROUND(K3591*(1-_xlfn.SINGLE(T2GDiscount)),2)," with ",(_xlfn.SINGLE(T2GDiscount)*100),"% discount"),CONCATENATE("$",ROUND(K3591*(1-_xlfn.SINGLE(T2GDiscount)),2)," with ",((_xlfn.SINGLE(T2GDiscount)*100+F3591*100)-(_xlfn.SINGLE(T2GDiscount)*100*F3591)),IF(F3591&gt;0,"% discounts",IF(_xlfn.SINGLE(NoWarrantyDiscount)&gt;0,"% discounts","% discount")))))))))</f>
        <v/>
      </c>
      <c r="N3591" s="690"/>
      <c r="O3591" s="486"/>
      <c r="P3591" s="486"/>
      <c r="Q3591" s="486"/>
      <c r="R3591" s="486"/>
      <c r="S3591" s="486"/>
      <c r="T3591" s="102">
        <f t="shared" si="2699"/>
        <v>0</v>
      </c>
      <c r="U3591" s="78">
        <f>IF(NOT(ISNUMBER(G3591)), "", VLOOKUP(A3591,'Discount Lookup'!D:E,2,FALSE)*G3591)</f>
        <v>0</v>
      </c>
      <c r="V3591" s="78">
        <f>IF(NOT(ISNUMBER(G3591)), "", VLOOKUP(A3591,'Discount Lookup'!G:H,2,FALSE)*G3591)</f>
        <v>0</v>
      </c>
      <c r="W3591" s="102">
        <f t="shared" si="2700"/>
        <v>0</v>
      </c>
      <c r="X3591" s="102">
        <f t="shared" si="2701"/>
        <v>0</v>
      </c>
      <c r="Y3591" s="120" t="b">
        <f t="shared" si="2702"/>
        <v>0</v>
      </c>
      <c r="Z3591" s="117">
        <f t="shared" si="2703"/>
        <v>0</v>
      </c>
      <c r="AA3591" s="118"/>
      <c r="AB3591" s="118" t="str">
        <f t="shared" si="2704"/>
        <v/>
      </c>
      <c r="AC3591" s="712" t="str">
        <f>IF(AE3591="T2G","no charge",IF(AND(OR(PlanterYesMe="No",PlanterYesMe="N",PlanterYesMe="me"),H3591=""),"",IF(H3591="credit","NO install",IF(AND(K3591="",AE3591="me"),"EACH row",IF(AND(K3591="images",AE3591="me"),"EACH row",IF(D3591="","",IF(H3591="credit","",IF(AE3591="free","re-planting",IF(AE3591="me","   not ELP, by",IF(AND(OR(PlanterYesMe="Yes",PlanterYesMe="Y"),G3591&gt;0),(VLOOKUP(A3591,'Discount Lookup'!J:K,2)*G3591*(1-PlanterDiscount)*(1+PlanterDifficultyPercentage)),IF(AE3591="ELP",(VLOOKUP(A3591,'Discount Lookup'!J:K,2)*G3591*(1-PlanterDiscount)*(1+PlanterDifficultyPercentage)),IF(AE3591="free","re-planting",IF(G3591=0,"",IF(PlanterYesMe="",IF(AE3591="me","   not ELP, by",IF(AE3591="",IF(G3591&gt;0,(VLOOKUP(A3591,'Discount Lookup'!J:K,2)*G3591*(1-PlanterDiscount)*(1+PlanterDifficultyPercentage)),""),"")),"   not ELP, by"))))))))))))))</f>
        <v/>
      </c>
      <c r="AD3591" s="712"/>
      <c r="AE3591" s="513" t="str">
        <f t="shared" si="2705"/>
        <v/>
      </c>
      <c r="AF3591" s="713" t="str">
        <f t="shared" si="2706"/>
        <v/>
      </c>
      <c r="AG3591" s="713"/>
      <c r="AH3591" s="713"/>
      <c r="AI3591" s="112">
        <f>IF(H3591="credit",0,IF(AE3591="free",0,IF(AE3591="me",0,IF(G3591&gt;0,(VLOOKUP(A3591,'Discount Lookup'!J:K,2)*G3591),0))))</f>
        <v>0</v>
      </c>
      <c r="AJ3591" s="107" t="str">
        <f t="shared" ca="1" si="2707"/>
        <v/>
      </c>
      <c r="AK3591" s="714" t="str">
        <f t="shared" si="2708"/>
        <v/>
      </c>
      <c r="AL3591" s="714"/>
      <c r="AM3591" s="114" t="str">
        <f t="shared" si="2709"/>
        <v/>
      </c>
      <c r="AN3591" s="115"/>
      <c r="AO3591" s="116"/>
      <c r="AP3591" s="116"/>
      <c r="AQ3591" s="116"/>
      <c r="AR3591" s="116"/>
      <c r="AS3591" s="116"/>
      <c r="AT3591" s="116"/>
      <c r="AU3591" s="116"/>
      <c r="AV3591" s="78"/>
      <c r="AW3591" s="102"/>
      <c r="AX3591" s="78"/>
      <c r="AY3591" s="78"/>
      <c r="AZ3591" s="78"/>
      <c r="BA3591" s="78"/>
      <c r="BB3591" s="78"/>
      <c r="BC3591" s="78"/>
      <c r="BD3591" s="78"/>
      <c r="BE3591" s="465"/>
      <c r="BF3591" s="165" t="str">
        <f t="shared" si="2710"/>
        <v>https://www.google.com/search?tbm=isch&amp;q=3%20G2</v>
      </c>
      <c r="BG3591" s="165" t="str">
        <f t="shared" si="2711"/>
        <v>R</v>
      </c>
      <c r="BH3591" s="65"/>
      <c r="BI3591" s="65"/>
      <c r="BJ3591" s="65"/>
      <c r="BK3591" s="65"/>
      <c r="BL3591" s="99"/>
      <c r="BM3591" s="99"/>
      <c r="BN3591" s="99"/>
    </row>
    <row r="3592" spans="1:66" s="51" customFormat="1" ht="15.75" x14ac:dyDescent="0.25">
      <c r="A3592" s="478">
        <v>3</v>
      </c>
      <c r="B3592" s="479" t="s">
        <v>291</v>
      </c>
      <c r="C3592" s="480" t="s">
        <v>4005</v>
      </c>
      <c r="D3592" s="481" t="s">
        <v>311</v>
      </c>
      <c r="E3592" s="482">
        <v>33.950000000000003</v>
      </c>
      <c r="F3592" s="483" t="s">
        <v>292</v>
      </c>
      <c r="G3592" s="484">
        <v>0</v>
      </c>
      <c r="H3592" s="688" t="str">
        <f>IF(G3592=0,"",IF(F3592="Buy",IF(G3592=1,"plant","plants"),IF(F3592&gt;0.01,"warranty","Error")))</f>
        <v/>
      </c>
      <c r="I3592" s="485">
        <f>IF(H3592="free",0,IF(H3592="credit",((E3592*(F3592))*G3592*-1),IF(F3592="Buy",(E3592*G3592),((E3592*(1-F3592))*G3592))))</f>
        <v>0</v>
      </c>
      <c r="J3592" s="485">
        <f>IF(H3592="warranty",0,(I3592*(_xlfn.SINGLE(SalesTaxPercentage))))</f>
        <v>0</v>
      </c>
      <c r="K3592" s="715">
        <f t="shared" ref="K3592" si="2729">I3592+J3592</f>
        <v>0</v>
      </c>
      <c r="L3592" s="715"/>
      <c r="M3592" s="689" t="str">
        <f ca="1">IF(AND(G3592&gt;0,E3592=0),"WARNING - no PRICE inserted",IF(H3592="free","FREE ~ no charge this plant",IF(H3592="credit",CONCATENATE("-$",ROUND(K3592*(1-_xlfn.SINGLE(T2GDiscount))*-1,2)," CREDIT after discount"),IF(_xlfn.SINGLE(T2GDiscount)=0,"",IF(G3592=0,"",IF(F3592="Buy",CONCATENATE("$",ROUND(K3592*(1-_xlfn.SINGLE(T2GDiscount)),2)," with ",(_xlfn.SINGLE(T2GDiscount)*100),"% discount"),CONCATENATE("$",ROUND(K3592*(1-_xlfn.SINGLE(T2GDiscount)),2)," with ",((_xlfn.SINGLE(T2GDiscount)*100+F3592*100)-(_xlfn.SINGLE(T2GDiscount)*100*F3592)),IF(F3592&gt;0,"% discounts",IF(_xlfn.SINGLE(NoWarrantyDiscount)&gt;0,"% discounts","% discount")))))))))</f>
        <v/>
      </c>
      <c r="N3592" s="690"/>
      <c r="O3592" s="486"/>
      <c r="P3592" s="486"/>
      <c r="Q3592" s="486"/>
      <c r="R3592" s="486"/>
      <c r="S3592" s="486"/>
      <c r="T3592" s="102">
        <f t="shared" si="2699"/>
        <v>0</v>
      </c>
      <c r="U3592" s="78">
        <f>IF(NOT(ISNUMBER(G3592)), "", VLOOKUP(A3592,'Discount Lookup'!D:E,2,FALSE)*G3592)</f>
        <v>0</v>
      </c>
      <c r="V3592" s="78">
        <f>IF(NOT(ISNUMBER(G3592)), "", VLOOKUP(A3592,'Discount Lookup'!G:H,2,FALSE)*G3592)</f>
        <v>0</v>
      </c>
      <c r="W3592" s="102">
        <f t="shared" si="2700"/>
        <v>0</v>
      </c>
      <c r="X3592" s="102">
        <f t="shared" si="2701"/>
        <v>0</v>
      </c>
      <c r="Y3592" s="120" t="b">
        <f t="shared" si="2702"/>
        <v>0</v>
      </c>
      <c r="Z3592" s="117">
        <f t="shared" si="2703"/>
        <v>0</v>
      </c>
      <c r="AA3592" s="118"/>
      <c r="AB3592" s="118" t="str">
        <f t="shared" si="2704"/>
        <v/>
      </c>
      <c r="AC3592" s="712" t="str">
        <f>IF(AE3592="T2G","no charge",IF(AND(OR(PlanterYesMe="No",PlanterYesMe="N",PlanterYesMe="me"),H3592=""),"",IF(H3592="credit","NO install",IF(AND(K3592="",AE3592="me"),"EACH row",IF(AND(K3592="images",AE3592="me"),"EACH row",IF(D3592="","",IF(H3592="credit","",IF(AE3592="free","re-planting",IF(AE3592="me","   not ELP, by",IF(AND(OR(PlanterYesMe="Yes",PlanterYesMe="Y"),G3592&gt;0),(VLOOKUP(A3592,'Discount Lookup'!J:K,2)*G3592*(1-PlanterDiscount)*(1+PlanterDifficultyPercentage)),IF(AE3592="ELP",(VLOOKUP(A3592,'Discount Lookup'!J:K,2)*G3592*(1-PlanterDiscount)*(1+PlanterDifficultyPercentage)),IF(AE3592="free","re-planting",IF(G3592=0,"",IF(PlanterYesMe="",IF(AE3592="me","   not ELP, by",IF(AE3592="",IF(G3592&gt;0,(VLOOKUP(A3592,'Discount Lookup'!J:K,2)*G3592*(1-PlanterDiscount)*(1+PlanterDifficultyPercentage)),""),"")),"   not ELP, by"))))))))))))))</f>
        <v/>
      </c>
      <c r="AD3592" s="712"/>
      <c r="AE3592" s="513" t="str">
        <f t="shared" si="2705"/>
        <v/>
      </c>
      <c r="AF3592" s="713" t="str">
        <f t="shared" si="2706"/>
        <v/>
      </c>
      <c r="AG3592" s="713"/>
      <c r="AH3592" s="713"/>
      <c r="AI3592" s="112">
        <f>IF(H3592="credit",0,IF(AE3592="free",0,IF(AE3592="me",0,IF(G3592&gt;0,(VLOOKUP(A3592,'Discount Lookup'!J:K,2)*G3592),0))))</f>
        <v>0</v>
      </c>
      <c r="AJ3592" s="107" t="str">
        <f t="shared" ca="1" si="2707"/>
        <v/>
      </c>
      <c r="AK3592" s="714" t="str">
        <f t="shared" si="2708"/>
        <v/>
      </c>
      <c r="AL3592" s="714"/>
      <c r="AM3592" s="114" t="str">
        <f t="shared" si="2709"/>
        <v/>
      </c>
      <c r="AN3592" s="115"/>
      <c r="AO3592" s="116"/>
      <c r="AP3592" s="116"/>
      <c r="AQ3592" s="116"/>
      <c r="AR3592" s="116"/>
      <c r="AS3592" s="116"/>
      <c r="AT3592" s="116"/>
      <c r="AU3592" s="116"/>
      <c r="AV3592" s="78"/>
      <c r="AW3592" s="102"/>
      <c r="AX3592" s="78"/>
      <c r="AY3592" s="78"/>
      <c r="AZ3592" s="78"/>
      <c r="BA3592" s="78"/>
      <c r="BB3592" s="78"/>
      <c r="BC3592" s="78"/>
      <c r="BD3592" s="78"/>
      <c r="BE3592" s="465"/>
      <c r="BF3592" s="165" t="str">
        <f t="shared" si="2710"/>
        <v>https://www.google.com/search?tbm=isch&amp;q=3%20G5</v>
      </c>
      <c r="BG3592" s="165" t="str">
        <f t="shared" si="2711"/>
        <v>R</v>
      </c>
      <c r="BH3592" s="65"/>
      <c r="BI3592" s="65"/>
      <c r="BJ3592" s="65"/>
      <c r="BK3592" s="65"/>
      <c r="BL3592" s="99"/>
      <c r="BM3592" s="99"/>
      <c r="BN3592" s="99"/>
    </row>
    <row r="3593" spans="1:66" s="51" customFormat="1" ht="17.25" thickBot="1" x14ac:dyDescent="0.3">
      <c r="A3593" s="508" t="s">
        <v>4006</v>
      </c>
      <c r="B3593" s="487"/>
      <c r="C3593" s="707"/>
      <c r="D3593" s="487"/>
      <c r="E3593" s="487"/>
      <c r="F3593" s="488"/>
      <c r="G3593" s="489"/>
      <c r="H3593" s="487"/>
      <c r="I3593" s="490"/>
      <c r="J3593" s="490"/>
      <c r="K3593" s="491"/>
      <c r="L3593" s="547"/>
      <c r="M3593" s="528"/>
      <c r="N3593" s="492"/>
      <c r="O3593" s="493"/>
      <c r="P3593" s="494"/>
      <c r="Q3593" s="492"/>
      <c r="R3593" s="492"/>
      <c r="S3593" s="699" t="s">
        <v>5245</v>
      </c>
      <c r="T3593" s="102">
        <f t="shared" si="2699"/>
        <v>0</v>
      </c>
      <c r="U3593" s="78" t="str">
        <f>IF(NOT(ISNUMBER(G3593)), "", VLOOKUP(A3593,'Discount Lookup'!D:E,2,FALSE)*G3593)</f>
        <v/>
      </c>
      <c r="V3593" s="78" t="str">
        <f>IF(NOT(ISNUMBER(G3593)), "", VLOOKUP(A3593,'Discount Lookup'!G:H,2,FALSE)*G3593)</f>
        <v/>
      </c>
      <c r="W3593" s="102">
        <f t="shared" si="2700"/>
        <v>0</v>
      </c>
      <c r="X3593" s="102">
        <f t="shared" si="2701"/>
        <v>0</v>
      </c>
      <c r="Y3593" s="120" t="b">
        <f t="shared" si="2702"/>
        <v>0</v>
      </c>
      <c r="Z3593" s="117">
        <f t="shared" si="2703"/>
        <v>0</v>
      </c>
      <c r="AA3593" s="118"/>
      <c r="AB3593" s="118" t="str">
        <f t="shared" si="2704"/>
        <v/>
      </c>
      <c r="AC3593" s="712" t="str">
        <f>IF(AE3593="T2G","no charge",IF(AND(OR(PlanterYesMe="No",PlanterYesMe="N",PlanterYesMe="me"),H3593=""),"",IF(H3593="credit","NO install",IF(AND(K3593="",AE3593="me"),"EACH row",IF(AND(K3593="images",AE3593="me"),"EACH row",IF(D3593="","",IF(H3593="credit","",IF(AE3593="free","re-planting",IF(AE3593="me","   not ELP, by",IF(AND(OR(PlanterYesMe="Yes",PlanterYesMe="Y"),G3593&gt;0),(VLOOKUP(A3593,'Discount Lookup'!J:K,2)*G3593*(1-PlanterDiscount)*(1+PlanterDifficultyPercentage)),IF(AE3593="ELP",(VLOOKUP(A3593,'Discount Lookup'!J:K,2)*G3593*(1-PlanterDiscount)*(1+PlanterDifficultyPercentage)),IF(AE3593="free","re-planting",IF(G3593=0,"",IF(PlanterYesMe="",IF(AE3593="me","   not ELP, by",IF(AE3593="",IF(G3593&gt;0,(VLOOKUP(A3593,'Discount Lookup'!J:K,2)*G3593*(1-PlanterDiscount)*(1+PlanterDifficultyPercentage)),""),"")),"   not ELP, by"))))))))))))))</f>
        <v/>
      </c>
      <c r="AD3593" s="712"/>
      <c r="AE3593" s="513" t="str">
        <f t="shared" si="2705"/>
        <v/>
      </c>
      <c r="AF3593" s="713" t="str">
        <f t="shared" si="2706"/>
        <v/>
      </c>
      <c r="AG3593" s="713"/>
      <c r="AH3593" s="713"/>
      <c r="AI3593" s="112">
        <f>IF(H3593="credit",0,IF(AE3593="free",0,IF(AE3593="me",0,IF(G3593&gt;0,(VLOOKUP(A3593,'Discount Lookup'!J:K,2)*G3593),0))))</f>
        <v>0</v>
      </c>
      <c r="AJ3593" s="107" t="str">
        <f t="shared" ca="1" si="2707"/>
        <v/>
      </c>
      <c r="AK3593" s="714" t="str">
        <f t="shared" si="2708"/>
        <v/>
      </c>
      <c r="AL3593" s="714"/>
      <c r="AM3593" s="114" t="str">
        <f t="shared" si="2709"/>
        <v/>
      </c>
      <c r="AN3593" s="115"/>
      <c r="AO3593" s="116"/>
      <c r="AP3593" s="116"/>
      <c r="AQ3593" s="116"/>
      <c r="AR3593" s="116"/>
      <c r="AS3593" s="116"/>
      <c r="AT3593" s="116"/>
      <c r="AU3593" s="116"/>
      <c r="AV3593" s="78"/>
      <c r="AW3593" s="102"/>
      <c r="AX3593" s="78"/>
      <c r="AY3593" s="78"/>
      <c r="AZ3593" s="78"/>
      <c r="BA3593" s="78"/>
      <c r="BB3593" s="78"/>
      <c r="BC3593" s="78"/>
      <c r="BD3593" s="78"/>
      <c r="BE3593" s="465"/>
      <c r="BF3593" s="165" t="str">
        <f t="shared" si="2710"/>
        <v>https://www.google.com/search?tbm=isch&amp;q=Pink%20%28and%20White%29%20Gumpo%20flower%20late%20spring.%20Foliage%20fills%20out%20first%2C%20often%20creating%20peek-a-boo%20blooms%20</v>
      </c>
      <c r="BG3593" s="165" t="str">
        <f t="shared" si="2711"/>
        <v>P</v>
      </c>
      <c r="BH3593" s="65"/>
      <c r="BI3593" s="65"/>
      <c r="BJ3593" s="65"/>
      <c r="BK3593" s="65"/>
      <c r="BL3593" s="99"/>
      <c r="BM3593" s="99"/>
      <c r="BN3593" s="99"/>
    </row>
    <row r="3594" spans="1:66" s="51" customFormat="1" ht="18" x14ac:dyDescent="0.25">
      <c r="A3594" s="507" t="s">
        <v>4007</v>
      </c>
      <c r="B3594" s="470"/>
      <c r="C3594" s="706"/>
      <c r="D3594" s="471" t="s">
        <v>4008</v>
      </c>
      <c r="E3594" s="472"/>
      <c r="F3594" s="472"/>
      <c r="G3594" s="472"/>
      <c r="H3594" s="622" t="s">
        <v>1439</v>
      </c>
      <c r="I3594" s="473" t="s">
        <v>3970</v>
      </c>
      <c r="J3594" s="472"/>
      <c r="K3594" s="472"/>
      <c r="L3594" s="561"/>
      <c r="M3594" s="698" t="s">
        <v>5246</v>
      </c>
      <c r="N3594" s="692" t="str">
        <f>IF(AND(ISTEXT($A3594), ISERROR($A3594+0)), HYPERLINK($BF3594, "Images"), "")</f>
        <v>Images</v>
      </c>
      <c r="O3594" s="694" t="s">
        <v>5264</v>
      </c>
      <c r="P3594" s="475"/>
      <c r="Q3594" s="476"/>
      <c r="R3594" s="476"/>
      <c r="S3594" s="477"/>
      <c r="T3594" s="102">
        <f t="shared" si="2699"/>
        <v>0</v>
      </c>
      <c r="U3594" s="78" t="str">
        <f>IF(NOT(ISNUMBER(G3594)), "", VLOOKUP(A3594,'Discount Lookup'!D:E,2,FALSE)*G3594)</f>
        <v/>
      </c>
      <c r="V3594" s="78" t="str">
        <f>IF(NOT(ISNUMBER(G3594)), "", VLOOKUP(A3594,'Discount Lookup'!G:H,2,FALSE)*G3594)</f>
        <v/>
      </c>
      <c r="W3594" s="102">
        <f t="shared" si="2700"/>
        <v>0</v>
      </c>
      <c r="X3594" s="102" t="str">
        <f t="shared" si="2701"/>
        <v>pure White bloom</v>
      </c>
      <c r="Y3594" s="120" t="b">
        <f t="shared" si="2702"/>
        <v>0</v>
      </c>
      <c r="Z3594" s="117">
        <f t="shared" si="2703"/>
        <v>0</v>
      </c>
      <c r="AA3594" s="118"/>
      <c r="AB3594" s="118" t="str">
        <f t="shared" si="2704"/>
        <v/>
      </c>
      <c r="AC3594" s="712" t="str">
        <f>IF(AE3594="T2G","no charge",IF(AND(OR(PlanterYesMe="No",PlanterYesMe="N",PlanterYesMe="me"),H3594=""),"",IF(H3594="credit","NO install",IF(AND(K3594="",AE3594="me"),"EACH row",IF(AND(K3594="images",AE3594="me"),"EACH row",IF(D3594="","",IF(H3594="credit","",IF(AE3594="free","re-planting",IF(AE3594="me","   not ELP, by",IF(AND(OR(PlanterYesMe="Yes",PlanterYesMe="Y"),G3594&gt;0),(VLOOKUP(A3594,'Discount Lookup'!J:K,2)*G3594*(1-PlanterDiscount)*(1+PlanterDifficultyPercentage)),IF(AE3594="ELP",(VLOOKUP(A3594,'Discount Lookup'!J:K,2)*G3594*(1-PlanterDiscount)*(1+PlanterDifficultyPercentage)),IF(AE3594="free","re-planting",IF(G3594=0,"",IF(PlanterYesMe="",IF(AE3594="me","   not ELP, by",IF(AE3594="",IF(G3594&gt;0,(VLOOKUP(A3594,'Discount Lookup'!J:K,2)*G3594*(1-PlanterDiscount)*(1+PlanterDifficultyPercentage)),""),"")),"   not ELP, by"))))))))))))))</f>
        <v/>
      </c>
      <c r="AD3594" s="712"/>
      <c r="AE3594" s="513" t="str">
        <f t="shared" si="2705"/>
        <v/>
      </c>
      <c r="AF3594" s="713" t="str">
        <f t="shared" si="2706"/>
        <v/>
      </c>
      <c r="AG3594" s="713"/>
      <c r="AH3594" s="713"/>
      <c r="AI3594" s="112">
        <f>IF(H3594="credit",0,IF(AE3594="free",0,IF(AE3594="me",0,IF(G3594&gt;0,(VLOOKUP(A3594,'Discount Lookup'!J:K,2)*G3594),0))))</f>
        <v>0</v>
      </c>
      <c r="AJ3594" s="107" t="str">
        <f t="shared" ca="1" si="2707"/>
        <v/>
      </c>
      <c r="AK3594" s="714" t="str">
        <f t="shared" si="2708"/>
        <v/>
      </c>
      <c r="AL3594" s="714"/>
      <c r="AM3594" s="114" t="str">
        <f t="shared" si="2709"/>
        <v/>
      </c>
      <c r="AN3594" s="115"/>
      <c r="AO3594" s="116"/>
      <c r="AP3594" s="116"/>
      <c r="AQ3594" s="116"/>
      <c r="AR3594" s="116"/>
      <c r="AS3594" s="116"/>
      <c r="AT3594" s="116"/>
      <c r="AU3594" s="116"/>
      <c r="AV3594" s="78"/>
      <c r="AW3594" s="102"/>
      <c r="AX3594" s="78"/>
      <c r="AY3594" s="78"/>
      <c r="AZ3594" s="78"/>
      <c r="BA3594" s="78"/>
      <c r="BB3594" s="78"/>
      <c r="BC3594" s="78"/>
      <c r="BD3594" s="78"/>
      <c r="BE3594" s="465"/>
      <c r="BF3594" s="165" t="str">
        <f t="shared" si="2710"/>
        <v>https://www.google.com/search?tbm=isch&amp;q=Rhod.%20eriocarpum%20%27Gumpo%20White%27%20White%20Gumpo%20Azalea</v>
      </c>
      <c r="BG3594" s="165" t="str">
        <f t="shared" si="2711"/>
        <v>R</v>
      </c>
      <c r="BH3594" s="65"/>
      <c r="BI3594" s="65"/>
      <c r="BJ3594" s="65"/>
      <c r="BK3594" s="65"/>
      <c r="BL3594" s="99"/>
      <c r="BM3594" s="99"/>
      <c r="BN3594" s="99"/>
    </row>
    <row r="3595" spans="1:66" s="51" customFormat="1" ht="15.75" x14ac:dyDescent="0.25">
      <c r="A3595" s="478">
        <v>3</v>
      </c>
      <c r="B3595" s="479" t="s">
        <v>291</v>
      </c>
      <c r="C3595" s="480" t="s">
        <v>4004</v>
      </c>
      <c r="D3595" s="481" t="s">
        <v>329</v>
      </c>
      <c r="E3595" s="482">
        <v>24.95</v>
      </c>
      <c r="F3595" s="483" t="s">
        <v>292</v>
      </c>
      <c r="G3595" s="484">
        <v>0</v>
      </c>
      <c r="H3595" s="688" t="str">
        <f>IF(G3595=0,"",IF(F3595="Buy",IF(G3595=1,"plant","plants"),IF(F3595&gt;0.01,"warranty","Error")))</f>
        <v/>
      </c>
      <c r="I3595" s="485">
        <f>IF(H3595="free",0,IF(H3595="credit",((E3595*(F3595))*G3595*-1),IF(F3595="Buy",(E3595*G3595),((E3595*(1-F3595))*G3595))))</f>
        <v>0</v>
      </c>
      <c r="J3595" s="485">
        <f>IF(H3595="warranty",0,(I3595*(_xlfn.SINGLE(SalesTaxPercentage))))</f>
        <v>0</v>
      </c>
      <c r="K3595" s="715">
        <f t="shared" ref="K3595" si="2730">I3595+J3595</f>
        <v>0</v>
      </c>
      <c r="L3595" s="715"/>
      <c r="M3595" s="689" t="str">
        <f ca="1">IF(AND(G3595&gt;0,E3595=0),"WARNING - no PRICE inserted",IF(H3595="free","FREE ~ no charge this plant",IF(H3595="credit",CONCATENATE("-$",ROUND(K3595*(1-_xlfn.SINGLE(T2GDiscount))*-1,2)," CREDIT after discount"),IF(_xlfn.SINGLE(T2GDiscount)=0,"",IF(G3595=0,"",IF(F3595="Buy",CONCATENATE("$",ROUND(K3595*(1-_xlfn.SINGLE(T2GDiscount)),2)," with ",(_xlfn.SINGLE(T2GDiscount)*100),"% discount"),CONCATENATE("$",ROUND(K3595*(1-_xlfn.SINGLE(T2GDiscount)),2)," with ",((_xlfn.SINGLE(T2GDiscount)*100+F3595*100)-(_xlfn.SINGLE(T2GDiscount)*100*F3595)),IF(F3595&gt;0,"% discounts",IF(_xlfn.SINGLE(NoWarrantyDiscount)&gt;0,"% discounts","% discount")))))))))</f>
        <v/>
      </c>
      <c r="N3595" s="690"/>
      <c r="O3595" s="486"/>
      <c r="P3595" s="486"/>
      <c r="Q3595" s="486"/>
      <c r="R3595" s="486"/>
      <c r="S3595" s="486"/>
      <c r="T3595" s="102">
        <f t="shared" si="2699"/>
        <v>0</v>
      </c>
      <c r="U3595" s="78">
        <f>IF(NOT(ISNUMBER(G3595)), "", VLOOKUP(A3595,'Discount Lookup'!D:E,2,FALSE)*G3595)</f>
        <v>0</v>
      </c>
      <c r="V3595" s="78">
        <f>IF(NOT(ISNUMBER(G3595)), "", VLOOKUP(A3595,'Discount Lookup'!G:H,2,FALSE)*G3595)</f>
        <v>0</v>
      </c>
      <c r="W3595" s="102">
        <f t="shared" si="2700"/>
        <v>0</v>
      </c>
      <c r="X3595" s="102">
        <f t="shared" si="2701"/>
        <v>0</v>
      </c>
      <c r="Y3595" s="120" t="b">
        <f t="shared" si="2702"/>
        <v>0</v>
      </c>
      <c r="Z3595" s="117">
        <f t="shared" si="2703"/>
        <v>0</v>
      </c>
      <c r="AA3595" s="118"/>
      <c r="AB3595" s="118" t="str">
        <f t="shared" si="2704"/>
        <v/>
      </c>
      <c r="AC3595" s="712" t="str">
        <f>IF(AE3595="T2G","no charge",IF(AND(OR(PlanterYesMe="No",PlanterYesMe="N",PlanterYesMe="me"),H3595=""),"",IF(H3595="credit","NO install",IF(AND(K3595="",AE3595="me"),"EACH row",IF(AND(K3595="images",AE3595="me"),"EACH row",IF(D3595="","",IF(H3595="credit","",IF(AE3595="free","re-planting",IF(AE3595="me","   not ELP, by",IF(AND(OR(PlanterYesMe="Yes",PlanterYesMe="Y"),G3595&gt;0),(VLOOKUP(A3595,'Discount Lookup'!J:K,2)*G3595*(1-PlanterDiscount)*(1+PlanterDifficultyPercentage)),IF(AE3595="ELP",(VLOOKUP(A3595,'Discount Lookup'!J:K,2)*G3595*(1-PlanterDiscount)*(1+PlanterDifficultyPercentage)),IF(AE3595="free","re-planting",IF(G3595=0,"",IF(PlanterYesMe="",IF(AE3595="me","   not ELP, by",IF(AE3595="",IF(G3595&gt;0,(VLOOKUP(A3595,'Discount Lookup'!J:K,2)*G3595*(1-PlanterDiscount)*(1+PlanterDifficultyPercentage)),""),"")),"   not ELP, by"))))))))))))))</f>
        <v/>
      </c>
      <c r="AD3595" s="712"/>
      <c r="AE3595" s="513" t="str">
        <f t="shared" si="2705"/>
        <v/>
      </c>
      <c r="AF3595" s="713" t="str">
        <f t="shared" si="2706"/>
        <v/>
      </c>
      <c r="AG3595" s="713"/>
      <c r="AH3595" s="713"/>
      <c r="AI3595" s="112">
        <f>IF(H3595="credit",0,IF(AE3595="free",0,IF(AE3595="me",0,IF(G3595&gt;0,(VLOOKUP(A3595,'Discount Lookup'!J:K,2)*G3595),0))))</f>
        <v>0</v>
      </c>
      <c r="AJ3595" s="107" t="str">
        <f t="shared" ca="1" si="2707"/>
        <v/>
      </c>
      <c r="AK3595" s="714" t="str">
        <f t="shared" si="2708"/>
        <v/>
      </c>
      <c r="AL3595" s="714"/>
      <c r="AM3595" s="114" t="str">
        <f t="shared" si="2709"/>
        <v/>
      </c>
      <c r="AN3595" s="115"/>
      <c r="AO3595" s="116"/>
      <c r="AP3595" s="116"/>
      <c r="AQ3595" s="116"/>
      <c r="AR3595" s="116"/>
      <c r="AS3595" s="116"/>
      <c r="AT3595" s="116"/>
      <c r="AU3595" s="116"/>
      <c r="AV3595" s="78"/>
      <c r="AW3595" s="102"/>
      <c r="AX3595" s="78"/>
      <c r="AY3595" s="78"/>
      <c r="AZ3595" s="78"/>
      <c r="BA3595" s="78"/>
      <c r="BB3595" s="78"/>
      <c r="BC3595" s="78"/>
      <c r="BD3595" s="78"/>
      <c r="BE3595" s="465"/>
      <c r="BF3595" s="165" t="str">
        <f t="shared" si="2710"/>
        <v>https://www.google.com/search?tbm=isch&amp;q=3%20G2</v>
      </c>
      <c r="BG3595" s="165" t="str">
        <f t="shared" si="2711"/>
        <v>R</v>
      </c>
      <c r="BH3595" s="65"/>
      <c r="BI3595" s="65"/>
      <c r="BJ3595" s="65"/>
      <c r="BK3595" s="65"/>
      <c r="BL3595" s="99"/>
      <c r="BM3595" s="99"/>
      <c r="BN3595" s="99"/>
    </row>
    <row r="3596" spans="1:66" s="51" customFormat="1" ht="17.25" thickBot="1" x14ac:dyDescent="0.3">
      <c r="A3596" s="508" t="s">
        <v>4009</v>
      </c>
      <c r="B3596" s="487"/>
      <c r="C3596" s="707"/>
      <c r="D3596" s="487"/>
      <c r="E3596" s="487"/>
      <c r="F3596" s="488"/>
      <c r="G3596" s="489"/>
      <c r="H3596" s="487"/>
      <c r="I3596" s="490"/>
      <c r="J3596" s="490"/>
      <c r="K3596" s="491"/>
      <c r="L3596" s="547"/>
      <c r="M3596" s="528"/>
      <c r="N3596" s="492"/>
      <c r="O3596" s="493"/>
      <c r="P3596" s="494"/>
      <c r="Q3596" s="492"/>
      <c r="R3596" s="492"/>
      <c r="S3596" s="699" t="s">
        <v>5245</v>
      </c>
      <c r="T3596" s="102">
        <f t="shared" si="2699"/>
        <v>0</v>
      </c>
      <c r="U3596" s="78" t="str">
        <f>IF(NOT(ISNUMBER(G3596)), "", VLOOKUP(A3596,'Discount Lookup'!D:E,2,FALSE)*G3596)</f>
        <v/>
      </c>
      <c r="V3596" s="78" t="str">
        <f>IF(NOT(ISNUMBER(G3596)), "", VLOOKUP(A3596,'Discount Lookup'!G:H,2,FALSE)*G3596)</f>
        <v/>
      </c>
      <c r="W3596" s="102">
        <f t="shared" si="2700"/>
        <v>0</v>
      </c>
      <c r="X3596" s="102">
        <f t="shared" si="2701"/>
        <v>0</v>
      </c>
      <c r="Y3596" s="120" t="b">
        <f t="shared" si="2702"/>
        <v>0</v>
      </c>
      <c r="Z3596" s="117">
        <f t="shared" si="2703"/>
        <v>0</v>
      </c>
      <c r="AA3596" s="118"/>
      <c r="AB3596" s="118" t="str">
        <f t="shared" si="2704"/>
        <v/>
      </c>
      <c r="AC3596" s="712" t="str">
        <f>IF(AE3596="T2G","no charge",IF(AND(OR(PlanterYesMe="No",PlanterYesMe="N",PlanterYesMe="me"),H3596=""),"",IF(H3596="credit","NO install",IF(AND(K3596="",AE3596="me"),"EACH row",IF(AND(K3596="images",AE3596="me"),"EACH row",IF(D3596="","",IF(H3596="credit","",IF(AE3596="free","re-planting",IF(AE3596="me","   not ELP, by",IF(AND(OR(PlanterYesMe="Yes",PlanterYesMe="Y"),G3596&gt;0),(VLOOKUP(A3596,'Discount Lookup'!J:K,2)*G3596*(1-PlanterDiscount)*(1+PlanterDifficultyPercentage)),IF(AE3596="ELP",(VLOOKUP(A3596,'Discount Lookup'!J:K,2)*G3596*(1-PlanterDiscount)*(1+PlanterDifficultyPercentage)),IF(AE3596="free","re-planting",IF(G3596=0,"",IF(PlanterYesMe="",IF(AE3596="me","   not ELP, by",IF(AE3596="",IF(G3596&gt;0,(VLOOKUP(A3596,'Discount Lookup'!J:K,2)*G3596*(1-PlanterDiscount)*(1+PlanterDifficultyPercentage)),""),"")),"   not ELP, by"))))))))))))))</f>
        <v/>
      </c>
      <c r="AD3596" s="712"/>
      <c r="AE3596" s="513" t="str">
        <f t="shared" si="2705"/>
        <v/>
      </c>
      <c r="AF3596" s="713" t="str">
        <f t="shared" si="2706"/>
        <v/>
      </c>
      <c r="AG3596" s="713"/>
      <c r="AH3596" s="713"/>
      <c r="AI3596" s="112">
        <f>IF(H3596="credit",0,IF(AE3596="free",0,IF(AE3596="me",0,IF(G3596&gt;0,(VLOOKUP(A3596,'Discount Lookup'!J:K,2)*G3596),0))))</f>
        <v>0</v>
      </c>
      <c r="AJ3596" s="107" t="str">
        <f t="shared" ca="1" si="2707"/>
        <v/>
      </c>
      <c r="AK3596" s="714" t="str">
        <f t="shared" si="2708"/>
        <v/>
      </c>
      <c r="AL3596" s="714"/>
      <c r="AM3596" s="114" t="str">
        <f t="shared" si="2709"/>
        <v/>
      </c>
      <c r="AN3596" s="115"/>
      <c r="AO3596" s="116"/>
      <c r="AP3596" s="116"/>
      <c r="AQ3596" s="116"/>
      <c r="AR3596" s="116"/>
      <c r="AS3596" s="116"/>
      <c r="AT3596" s="116"/>
      <c r="AU3596" s="116"/>
      <c r="AV3596" s="78"/>
      <c r="AW3596" s="102"/>
      <c r="AX3596" s="78"/>
      <c r="AY3596" s="78"/>
      <c r="AZ3596" s="78"/>
      <c r="BA3596" s="78"/>
      <c r="BB3596" s="78"/>
      <c r="BC3596" s="78"/>
      <c r="BD3596" s="78"/>
      <c r="BE3596" s="465"/>
      <c r="BF3596" s="165" t="str">
        <f t="shared" si="2710"/>
        <v>https://www.google.com/search?tbm=isch&amp;q=White%20%28and%20Pink%29%20Gumpo%20are%20semi-evergreen%2C%20so%20they%20may%20go%20bare%20in%20colder%20winters%20</v>
      </c>
      <c r="BG3596" s="165" t="str">
        <f t="shared" si="2711"/>
        <v>W</v>
      </c>
      <c r="BH3596" s="65"/>
      <c r="BI3596" s="65"/>
      <c r="BJ3596" s="65"/>
      <c r="BK3596" s="65"/>
      <c r="BL3596" s="99"/>
      <c r="BM3596" s="99"/>
      <c r="BN3596" s="99"/>
    </row>
    <row r="3597" spans="1:66" s="51" customFormat="1" ht="18" x14ac:dyDescent="0.25">
      <c r="A3597" s="507" t="s">
        <v>4010</v>
      </c>
      <c r="B3597" s="470"/>
      <c r="C3597" s="706"/>
      <c r="D3597" s="471" t="s">
        <v>4011</v>
      </c>
      <c r="E3597" s="472"/>
      <c r="F3597" s="472"/>
      <c r="G3597" s="472"/>
      <c r="H3597" s="622" t="s">
        <v>1264</v>
      </c>
      <c r="I3597" s="473" t="s">
        <v>4012</v>
      </c>
      <c r="J3597" s="472"/>
      <c r="K3597" s="472"/>
      <c r="L3597" s="561"/>
      <c r="M3597" s="703" t="s">
        <v>5274</v>
      </c>
      <c r="N3597" s="692" t="str">
        <f>IF(AND(ISTEXT($A3597), ISERROR($A3597+0)), HYPERLINK($BF3597, "Images"), "")</f>
        <v>Images</v>
      </c>
      <c r="O3597" s="694" t="s">
        <v>5264</v>
      </c>
      <c r="P3597" s="475"/>
      <c r="Q3597" s="476"/>
      <c r="R3597" s="476"/>
      <c r="S3597" s="477"/>
      <c r="T3597" s="102">
        <f t="shared" si="2699"/>
        <v>0</v>
      </c>
      <c r="U3597" s="78" t="str">
        <f>IF(NOT(ISNUMBER(G3597)), "", VLOOKUP(A3597,'Discount Lookup'!D:E,2,FALSE)*G3597)</f>
        <v/>
      </c>
      <c r="V3597" s="78" t="str">
        <f>IF(NOT(ISNUMBER(G3597)), "", VLOOKUP(A3597,'Discount Lookup'!G:H,2,FALSE)*G3597)</f>
        <v/>
      </c>
      <c r="W3597" s="102">
        <f t="shared" si="2700"/>
        <v>0</v>
      </c>
      <c r="X3597" s="102" t="str">
        <f t="shared" si="2701"/>
        <v>Lavender-Pink with a darker blotch</v>
      </c>
      <c r="Y3597" s="120" t="b">
        <f t="shared" si="2702"/>
        <v>0</v>
      </c>
      <c r="Z3597" s="117">
        <f t="shared" si="2703"/>
        <v>0</v>
      </c>
      <c r="AA3597" s="118"/>
      <c r="AB3597" s="118" t="str">
        <f t="shared" si="2704"/>
        <v/>
      </c>
      <c r="AC3597" s="712" t="str">
        <f>IF(AE3597="T2G","no charge",IF(AND(OR(PlanterYesMe="No",PlanterYesMe="N",PlanterYesMe="me"),H3597=""),"",IF(H3597="credit","NO install",IF(AND(K3597="",AE3597="me"),"EACH row",IF(AND(K3597="images",AE3597="me"),"EACH row",IF(D3597="","",IF(H3597="credit","",IF(AE3597="free","re-planting",IF(AE3597="me","   not ELP, by",IF(AND(OR(PlanterYesMe="Yes",PlanterYesMe="Y"),G3597&gt;0),(VLOOKUP(A3597,'Discount Lookup'!J:K,2)*G3597*(1-PlanterDiscount)*(1+PlanterDifficultyPercentage)),IF(AE3597="ELP",(VLOOKUP(A3597,'Discount Lookup'!J:K,2)*G3597*(1-PlanterDiscount)*(1+PlanterDifficultyPercentage)),IF(AE3597="free","re-planting",IF(G3597=0,"",IF(PlanterYesMe="",IF(AE3597="me","   not ELP, by",IF(AE3597="",IF(G3597&gt;0,(VLOOKUP(A3597,'Discount Lookup'!J:K,2)*G3597*(1-PlanterDiscount)*(1+PlanterDifficultyPercentage)),""),"")),"   not ELP, by"))))))))))))))</f>
        <v/>
      </c>
      <c r="AD3597" s="712"/>
      <c r="AE3597" s="513" t="str">
        <f t="shared" si="2705"/>
        <v/>
      </c>
      <c r="AF3597" s="713" t="str">
        <f t="shared" si="2706"/>
        <v/>
      </c>
      <c r="AG3597" s="713"/>
      <c r="AH3597" s="713"/>
      <c r="AI3597" s="112">
        <f>IF(H3597="credit",0,IF(AE3597="free",0,IF(AE3597="me",0,IF(G3597&gt;0,(VLOOKUP(A3597,'Discount Lookup'!J:K,2)*G3597),0))))</f>
        <v>0</v>
      </c>
      <c r="AJ3597" s="107" t="str">
        <f t="shared" ca="1" si="2707"/>
        <v/>
      </c>
      <c r="AK3597" s="714" t="str">
        <f t="shared" si="2708"/>
        <v/>
      </c>
      <c r="AL3597" s="714"/>
      <c r="AM3597" s="114" t="str">
        <f t="shared" si="2709"/>
        <v/>
      </c>
      <c r="AN3597" s="115"/>
      <c r="AO3597" s="116"/>
      <c r="AP3597" s="116"/>
      <c r="AQ3597" s="116"/>
      <c r="AR3597" s="116"/>
      <c r="AS3597" s="116"/>
      <c r="AT3597" s="116"/>
      <c r="AU3597" s="116"/>
      <c r="AV3597" s="78"/>
      <c r="AW3597" s="102"/>
      <c r="AX3597" s="78"/>
      <c r="AY3597" s="78"/>
      <c r="AZ3597" s="78"/>
      <c r="BA3597" s="78"/>
      <c r="BB3597" s="78"/>
      <c r="BC3597" s="78"/>
      <c r="BD3597" s="78"/>
      <c r="BE3597" s="465"/>
      <c r="BF3597" s="165" t="str">
        <f t="shared" si="2710"/>
        <v>https://www.google.com/search?tbm=isch&amp;q=Rhod.%20%27George%20Tabor%27%20George%20Tabor%20Azalea</v>
      </c>
      <c r="BG3597" s="165" t="str">
        <f t="shared" si="2711"/>
        <v>R</v>
      </c>
      <c r="BH3597" s="65"/>
      <c r="BI3597" s="65"/>
      <c r="BJ3597" s="65"/>
      <c r="BK3597" s="65"/>
      <c r="BL3597" s="99"/>
      <c r="BM3597" s="99"/>
      <c r="BN3597" s="99"/>
    </row>
    <row r="3598" spans="1:66" s="51" customFormat="1" ht="15.75" x14ac:dyDescent="0.25">
      <c r="A3598" s="478">
        <v>3</v>
      </c>
      <c r="B3598" s="479" t="s">
        <v>291</v>
      </c>
      <c r="C3598" s="480"/>
      <c r="D3598" s="481" t="s">
        <v>310</v>
      </c>
      <c r="E3598" s="482">
        <v>25.95</v>
      </c>
      <c r="F3598" s="483" t="s">
        <v>292</v>
      </c>
      <c r="G3598" s="484">
        <v>0</v>
      </c>
      <c r="H3598" s="688" t="str">
        <f>IF(G3598=0,"",IF(F3598="Buy",IF(G3598=1,"plant","plants"),IF(F3598&gt;0.01,"warranty","Error")))</f>
        <v/>
      </c>
      <c r="I3598" s="485">
        <f>IF(H3598="free",0,IF(H3598="credit",((E3598*(F3598))*G3598*-1),IF(F3598="Buy",(E3598*G3598),((E3598*(1-F3598))*G3598))))</f>
        <v>0</v>
      </c>
      <c r="J3598" s="485">
        <f>IF(H3598="warranty",0,(I3598*(_xlfn.SINGLE(SalesTaxPercentage))))</f>
        <v>0</v>
      </c>
      <c r="K3598" s="715">
        <f t="shared" ref="K3598" si="2731">I3598+J3598</f>
        <v>0</v>
      </c>
      <c r="L3598" s="715"/>
      <c r="M3598" s="689" t="str">
        <f ca="1">IF(AND(G3598&gt;0,E3598=0),"WARNING - no PRICE inserted",IF(H3598="free","FREE ~ no charge this plant",IF(H3598="credit",CONCATENATE("-$",ROUND(K3598*(1-_xlfn.SINGLE(T2GDiscount))*-1,2)," CREDIT after discount"),IF(_xlfn.SINGLE(T2GDiscount)=0,"",IF(G3598=0,"",IF(F3598="Buy",CONCATENATE("$",ROUND(K3598*(1-_xlfn.SINGLE(T2GDiscount)),2)," with ",(_xlfn.SINGLE(T2GDiscount)*100),"% discount"),CONCATENATE("$",ROUND(K3598*(1-_xlfn.SINGLE(T2GDiscount)),2)," with ",((_xlfn.SINGLE(T2GDiscount)*100+F3598*100)-(_xlfn.SINGLE(T2GDiscount)*100*F3598)),IF(F3598&gt;0,"% discounts",IF(_xlfn.SINGLE(NoWarrantyDiscount)&gt;0,"% discounts","% discount")))))))))</f>
        <v/>
      </c>
      <c r="N3598" s="690"/>
      <c r="O3598" s="486"/>
      <c r="P3598" s="486"/>
      <c r="Q3598" s="486"/>
      <c r="R3598" s="486"/>
      <c r="S3598" s="486"/>
      <c r="T3598" s="102">
        <f t="shared" si="2699"/>
        <v>0</v>
      </c>
      <c r="U3598" s="78">
        <f>IF(NOT(ISNUMBER(G3598)), "", VLOOKUP(A3598,'Discount Lookup'!D:E,2,FALSE)*G3598)</f>
        <v>0</v>
      </c>
      <c r="V3598" s="78">
        <f>IF(NOT(ISNUMBER(G3598)), "", VLOOKUP(A3598,'Discount Lookup'!G:H,2,FALSE)*G3598)</f>
        <v>0</v>
      </c>
      <c r="W3598" s="102">
        <f t="shared" si="2700"/>
        <v>0</v>
      </c>
      <c r="X3598" s="102">
        <f t="shared" si="2701"/>
        <v>0</v>
      </c>
      <c r="Y3598" s="120" t="b">
        <f t="shared" si="2702"/>
        <v>0</v>
      </c>
      <c r="Z3598" s="117">
        <f t="shared" si="2703"/>
        <v>0</v>
      </c>
      <c r="AA3598" s="118"/>
      <c r="AB3598" s="118" t="str">
        <f t="shared" si="2704"/>
        <v/>
      </c>
      <c r="AC3598" s="712" t="str">
        <f>IF(AE3598="T2G","no charge",IF(AND(OR(PlanterYesMe="No",PlanterYesMe="N",PlanterYesMe="me"),H3598=""),"",IF(H3598="credit","NO install",IF(AND(K3598="",AE3598="me"),"EACH row",IF(AND(K3598="images",AE3598="me"),"EACH row",IF(D3598="","",IF(H3598="credit","",IF(AE3598="free","re-planting",IF(AE3598="me","   not ELP, by",IF(AND(OR(PlanterYesMe="Yes",PlanterYesMe="Y"),G3598&gt;0),(VLOOKUP(A3598,'Discount Lookup'!J:K,2)*G3598*(1-PlanterDiscount)*(1+PlanterDifficultyPercentage)),IF(AE3598="ELP",(VLOOKUP(A3598,'Discount Lookup'!J:K,2)*G3598*(1-PlanterDiscount)*(1+PlanterDifficultyPercentage)),IF(AE3598="free","re-planting",IF(G3598=0,"",IF(PlanterYesMe="",IF(AE3598="me","   not ELP, by",IF(AE3598="",IF(G3598&gt;0,(VLOOKUP(A3598,'Discount Lookup'!J:K,2)*G3598*(1-PlanterDiscount)*(1+PlanterDifficultyPercentage)),""),"")),"   not ELP, by"))))))))))))))</f>
        <v/>
      </c>
      <c r="AD3598" s="712"/>
      <c r="AE3598" s="513" t="str">
        <f t="shared" si="2705"/>
        <v/>
      </c>
      <c r="AF3598" s="713" t="str">
        <f t="shared" si="2706"/>
        <v/>
      </c>
      <c r="AG3598" s="713"/>
      <c r="AH3598" s="713"/>
      <c r="AI3598" s="112">
        <f>IF(H3598="credit",0,IF(AE3598="free",0,IF(AE3598="me",0,IF(G3598&gt;0,(VLOOKUP(A3598,'Discount Lookup'!J:K,2)*G3598),0))))</f>
        <v>0</v>
      </c>
      <c r="AJ3598" s="107" t="str">
        <f t="shared" ca="1" si="2707"/>
        <v/>
      </c>
      <c r="AK3598" s="714" t="str">
        <f t="shared" si="2708"/>
        <v/>
      </c>
      <c r="AL3598" s="714"/>
      <c r="AM3598" s="114" t="str">
        <f t="shared" si="2709"/>
        <v/>
      </c>
      <c r="AN3598" s="115"/>
      <c r="AO3598" s="116"/>
      <c r="AP3598" s="116"/>
      <c r="AQ3598" s="116"/>
      <c r="AR3598" s="116"/>
      <c r="AS3598" s="116"/>
      <c r="AT3598" s="116"/>
      <c r="AU3598" s="116"/>
      <c r="AV3598" s="78"/>
      <c r="AW3598" s="102"/>
      <c r="AX3598" s="78"/>
      <c r="AY3598" s="78"/>
      <c r="AZ3598" s="78"/>
      <c r="BA3598" s="78"/>
      <c r="BB3598" s="78"/>
      <c r="BC3598" s="78"/>
      <c r="BD3598" s="78"/>
      <c r="BE3598" s="465"/>
      <c r="BF3598" s="165" t="str">
        <f t="shared" si="2710"/>
        <v>https://www.google.com/search?tbm=isch&amp;q=3%20G1</v>
      </c>
      <c r="BG3598" s="165" t="str">
        <f t="shared" si="2711"/>
        <v>R</v>
      </c>
      <c r="BH3598" s="65"/>
      <c r="BI3598" s="65"/>
      <c r="BJ3598" s="65"/>
      <c r="BK3598" s="65"/>
      <c r="BL3598" s="99"/>
      <c r="BM3598" s="99"/>
      <c r="BN3598" s="99"/>
    </row>
    <row r="3599" spans="1:66" s="51" customFormat="1" ht="15.75" x14ac:dyDescent="0.25">
      <c r="A3599" s="478">
        <v>3</v>
      </c>
      <c r="B3599" s="479" t="s">
        <v>291</v>
      </c>
      <c r="C3599" s="480" t="s">
        <v>5012</v>
      </c>
      <c r="D3599" s="481" t="s">
        <v>293</v>
      </c>
      <c r="E3599" s="482">
        <v>45.95</v>
      </c>
      <c r="F3599" s="483" t="s">
        <v>292</v>
      </c>
      <c r="G3599" s="484">
        <v>0</v>
      </c>
      <c r="H3599" s="688" t="str">
        <f>IF(G3599=0,"",IF(F3599="Buy",IF(G3599=1,"plant","plants"),IF(F3599&gt;0.01,"warranty","Error")))</f>
        <v/>
      </c>
      <c r="I3599" s="485">
        <f>IF(H3599="free",0,IF(H3599="credit",((E3599*(F3599))*G3599*-1),IF(F3599="Buy",(E3599*G3599),((E3599*(1-F3599))*G3599))))</f>
        <v>0</v>
      </c>
      <c r="J3599" s="485">
        <f>IF(H3599="warranty",0,(I3599*(_xlfn.SINGLE(SalesTaxPercentage))))</f>
        <v>0</v>
      </c>
      <c r="K3599" s="715">
        <f t="shared" ref="K3599" si="2732">I3599+J3599</f>
        <v>0</v>
      </c>
      <c r="L3599" s="715"/>
      <c r="M3599" s="689" t="str">
        <f ca="1">IF(AND(G3599&gt;0,E3599=0),"WARNING - no PRICE inserted",IF(H3599="free","FREE ~ no charge this plant",IF(H3599="credit",CONCATENATE("-$",ROUND(K3599*(1-_xlfn.SINGLE(T2GDiscount))*-1,2)," CREDIT after discount"),IF(_xlfn.SINGLE(T2GDiscount)=0,"",IF(G3599=0,"",IF(F3599="Buy",CONCATENATE("$",ROUND(K3599*(1-_xlfn.SINGLE(T2GDiscount)),2)," with ",(_xlfn.SINGLE(T2GDiscount)*100),"% discount"),CONCATENATE("$",ROUND(K3599*(1-_xlfn.SINGLE(T2GDiscount)),2)," with ",((_xlfn.SINGLE(T2GDiscount)*100+F3599*100)-(_xlfn.SINGLE(T2GDiscount)*100*F3599)),IF(F3599&gt;0,"% discounts",IF(_xlfn.SINGLE(NoWarrantyDiscount)&gt;0,"% discounts","% discount")))))))))</f>
        <v/>
      </c>
      <c r="N3599" s="690"/>
      <c r="O3599" s="486"/>
      <c r="P3599" s="486"/>
      <c r="Q3599" s="486"/>
      <c r="R3599" s="486"/>
      <c r="S3599" s="486"/>
      <c r="T3599" s="102">
        <f t="shared" si="2699"/>
        <v>0</v>
      </c>
      <c r="U3599" s="78">
        <f>IF(NOT(ISNUMBER(G3599)), "", VLOOKUP(A3599,'Discount Lookup'!D:E,2,FALSE)*G3599)</f>
        <v>0</v>
      </c>
      <c r="V3599" s="78">
        <f>IF(NOT(ISNUMBER(G3599)), "", VLOOKUP(A3599,'Discount Lookup'!G:H,2,FALSE)*G3599)</f>
        <v>0</v>
      </c>
      <c r="W3599" s="102">
        <f t="shared" si="2700"/>
        <v>0</v>
      </c>
      <c r="X3599" s="102">
        <f t="shared" si="2701"/>
        <v>0</v>
      </c>
      <c r="Y3599" s="120" t="b">
        <f t="shared" si="2702"/>
        <v>0</v>
      </c>
      <c r="Z3599" s="117">
        <f t="shared" si="2703"/>
        <v>0</v>
      </c>
      <c r="AA3599" s="118"/>
      <c r="AB3599" s="118" t="str">
        <f t="shared" si="2704"/>
        <v/>
      </c>
      <c r="AC3599" s="712" t="str">
        <f>IF(AE3599="T2G","no charge",IF(AND(OR(PlanterYesMe="No",PlanterYesMe="N",PlanterYesMe="me"),H3599=""),"",IF(H3599="credit","NO install",IF(AND(K3599="",AE3599="me"),"EACH row",IF(AND(K3599="images",AE3599="me"),"EACH row",IF(D3599="","",IF(H3599="credit","",IF(AE3599="free","re-planting",IF(AE3599="me","   not ELP, by",IF(AND(OR(PlanterYesMe="Yes",PlanterYesMe="Y"),G3599&gt;0),(VLOOKUP(A3599,'Discount Lookup'!J:K,2)*G3599*(1-PlanterDiscount)*(1+PlanterDifficultyPercentage)),IF(AE3599="ELP",(VLOOKUP(A3599,'Discount Lookup'!J:K,2)*G3599*(1-PlanterDiscount)*(1+PlanterDifficultyPercentage)),IF(AE3599="free","re-planting",IF(G3599=0,"",IF(PlanterYesMe="",IF(AE3599="me","   not ELP, by",IF(AE3599="",IF(G3599&gt;0,(VLOOKUP(A3599,'Discount Lookup'!J:K,2)*G3599*(1-PlanterDiscount)*(1+PlanterDifficultyPercentage)),""),"")),"   not ELP, by"))))))))))))))</f>
        <v/>
      </c>
      <c r="AD3599" s="712"/>
      <c r="AE3599" s="513" t="str">
        <f t="shared" si="2705"/>
        <v/>
      </c>
      <c r="AF3599" s="713" t="str">
        <f t="shared" si="2706"/>
        <v/>
      </c>
      <c r="AG3599" s="713"/>
      <c r="AH3599" s="713"/>
      <c r="AI3599" s="112">
        <f>IF(H3599="credit",0,IF(AE3599="free",0,IF(AE3599="me",0,IF(G3599&gt;0,(VLOOKUP(A3599,'Discount Lookup'!J:K,2)*G3599),0))))</f>
        <v>0</v>
      </c>
      <c r="AJ3599" s="107" t="str">
        <f t="shared" ca="1" si="2707"/>
        <v/>
      </c>
      <c r="AK3599" s="714" t="str">
        <f t="shared" si="2708"/>
        <v/>
      </c>
      <c r="AL3599" s="714"/>
      <c r="AM3599" s="114" t="str">
        <f t="shared" si="2709"/>
        <v/>
      </c>
      <c r="AN3599" s="115"/>
      <c r="AO3599" s="116"/>
      <c r="AP3599" s="116"/>
      <c r="AQ3599" s="116"/>
      <c r="AR3599" s="116"/>
      <c r="AS3599" s="116"/>
      <c r="AT3599" s="116"/>
      <c r="AU3599" s="116"/>
      <c r="AV3599" s="78"/>
      <c r="AW3599" s="102"/>
      <c r="AX3599" s="78"/>
      <c r="AY3599" s="78"/>
      <c r="AZ3599" s="78"/>
      <c r="BA3599" s="78"/>
      <c r="BB3599" s="78"/>
      <c r="BC3599" s="78"/>
      <c r="BD3599" s="78"/>
      <c r="BE3599" s="465"/>
      <c r="BF3599" s="165" t="str">
        <f t="shared" si="2710"/>
        <v>https://www.google.com/search?tbm=isch&amp;q=3%20G6</v>
      </c>
      <c r="BG3599" s="165" t="str">
        <f t="shared" si="2711"/>
        <v>R</v>
      </c>
      <c r="BH3599" s="65"/>
      <c r="BI3599" s="65"/>
      <c r="BJ3599" s="65"/>
      <c r="BK3599" s="65"/>
      <c r="BL3599" s="99"/>
      <c r="BM3599" s="99"/>
      <c r="BN3599" s="99"/>
    </row>
    <row r="3600" spans="1:66" s="51" customFormat="1" ht="17.25" thickBot="1" x14ac:dyDescent="0.3">
      <c r="A3600" s="508" t="s">
        <v>4013</v>
      </c>
      <c r="B3600" s="487"/>
      <c r="C3600" s="707"/>
      <c r="D3600" s="487"/>
      <c r="E3600" s="487"/>
      <c r="F3600" s="488"/>
      <c r="G3600" s="489"/>
      <c r="H3600" s="487"/>
      <c r="I3600" s="490"/>
      <c r="J3600" s="490"/>
      <c r="K3600" s="491"/>
      <c r="L3600" s="547"/>
      <c r="M3600" s="528"/>
      <c r="N3600" s="492"/>
      <c r="O3600" s="493"/>
      <c r="P3600" s="494"/>
      <c r="Q3600" s="492"/>
      <c r="R3600" s="492"/>
      <c r="S3600" s="699" t="s">
        <v>5248</v>
      </c>
      <c r="T3600" s="102">
        <f t="shared" si="2699"/>
        <v>0</v>
      </c>
      <c r="U3600" s="78" t="str">
        <f>IF(NOT(ISNUMBER(G3600)), "", VLOOKUP(A3600,'Discount Lookup'!D:E,2,FALSE)*G3600)</f>
        <v/>
      </c>
      <c r="V3600" s="78" t="str">
        <f>IF(NOT(ISNUMBER(G3600)), "", VLOOKUP(A3600,'Discount Lookup'!G:H,2,FALSE)*G3600)</f>
        <v/>
      </c>
      <c r="W3600" s="102">
        <f t="shared" si="2700"/>
        <v>0</v>
      </c>
      <c r="X3600" s="102">
        <f t="shared" si="2701"/>
        <v>0</v>
      </c>
      <c r="Y3600" s="120" t="b">
        <f t="shared" si="2702"/>
        <v>0</v>
      </c>
      <c r="Z3600" s="117">
        <f t="shared" si="2703"/>
        <v>0</v>
      </c>
      <c r="AA3600" s="118"/>
      <c r="AB3600" s="118" t="str">
        <f t="shared" si="2704"/>
        <v/>
      </c>
      <c r="AC3600" s="712" t="str">
        <f>IF(AE3600="T2G","no charge",IF(AND(OR(PlanterYesMe="No",PlanterYesMe="N",PlanterYesMe="me"),H3600=""),"",IF(H3600="credit","NO install",IF(AND(K3600="",AE3600="me"),"EACH row",IF(AND(K3600="images",AE3600="me"),"EACH row",IF(D3600="","",IF(H3600="credit","",IF(AE3600="free","re-planting",IF(AE3600="me","   not ELP, by",IF(AND(OR(PlanterYesMe="Yes",PlanterYesMe="Y"),G3600&gt;0),(VLOOKUP(A3600,'Discount Lookup'!J:K,2)*G3600*(1-PlanterDiscount)*(1+PlanterDifficultyPercentage)),IF(AE3600="ELP",(VLOOKUP(A3600,'Discount Lookup'!J:K,2)*G3600*(1-PlanterDiscount)*(1+PlanterDifficultyPercentage)),IF(AE3600="free","re-planting",IF(G3600=0,"",IF(PlanterYesMe="",IF(AE3600="me","   not ELP, by",IF(AE3600="",IF(G3600&gt;0,(VLOOKUP(A3600,'Discount Lookup'!J:K,2)*G3600*(1-PlanterDiscount)*(1+PlanterDifficultyPercentage)),""),"")),"   not ELP, by"))))))))))))))</f>
        <v/>
      </c>
      <c r="AD3600" s="712"/>
      <c r="AE3600" s="513" t="str">
        <f t="shared" si="2705"/>
        <v/>
      </c>
      <c r="AF3600" s="713" t="str">
        <f t="shared" si="2706"/>
        <v/>
      </c>
      <c r="AG3600" s="713"/>
      <c r="AH3600" s="713"/>
      <c r="AI3600" s="112">
        <f>IF(H3600="credit",0,IF(AE3600="free",0,IF(AE3600="me",0,IF(G3600&gt;0,(VLOOKUP(A3600,'Discount Lookup'!J:K,2)*G3600),0))))</f>
        <v>0</v>
      </c>
      <c r="AJ3600" s="107" t="str">
        <f t="shared" ca="1" si="2707"/>
        <v/>
      </c>
      <c r="AK3600" s="714" t="str">
        <f t="shared" si="2708"/>
        <v/>
      </c>
      <c r="AL3600" s="714"/>
      <c r="AM3600" s="114" t="str">
        <f t="shared" si="2709"/>
        <v/>
      </c>
      <c r="AN3600" s="115"/>
      <c r="AO3600" s="116"/>
      <c r="AP3600" s="116"/>
      <c r="AQ3600" s="116"/>
      <c r="AR3600" s="116"/>
      <c r="AS3600" s="116"/>
      <c r="AT3600" s="116"/>
      <c r="AU3600" s="116"/>
      <c r="AV3600" s="78"/>
      <c r="AW3600" s="102"/>
      <c r="AX3600" s="78"/>
      <c r="AY3600" s="78"/>
      <c r="AZ3600" s="78"/>
      <c r="BA3600" s="78"/>
      <c r="BB3600" s="78"/>
      <c r="BC3600" s="78"/>
      <c r="BD3600" s="78"/>
      <c r="BE3600" s="465"/>
      <c r="BF3600" s="165" t="str">
        <f t="shared" si="2710"/>
        <v>https://www.google.com/search?tbm=isch&amp;q=George%20Tabor%20is%20a%20classic%20Southern%20Indica%20hybrid%20known%20for%20its%20prolific%20display%20of%20very%20large%2C%20showy%20flowers%20in%20the%20spring%20</v>
      </c>
      <c r="BG3600" s="165" t="str">
        <f t="shared" si="2711"/>
        <v>G</v>
      </c>
      <c r="BH3600" s="65"/>
      <c r="BI3600" s="65"/>
      <c r="BJ3600" s="65"/>
      <c r="BK3600" s="65"/>
      <c r="BL3600" s="99"/>
      <c r="BM3600" s="99"/>
      <c r="BN3600" s="99"/>
    </row>
    <row r="3601" spans="1:66" s="51" customFormat="1" ht="18" x14ac:dyDescent="0.25">
      <c r="A3601" s="507" t="s">
        <v>4014</v>
      </c>
      <c r="B3601" s="470"/>
      <c r="C3601" s="706"/>
      <c r="D3601" s="471" t="s">
        <v>4015</v>
      </c>
      <c r="E3601" s="472"/>
      <c r="F3601" s="472"/>
      <c r="G3601" s="472"/>
      <c r="H3601" s="622" t="s">
        <v>1088</v>
      </c>
      <c r="I3601" s="473" t="s">
        <v>4016</v>
      </c>
      <c r="J3601" s="472"/>
      <c r="K3601" s="472"/>
      <c r="L3601" s="561"/>
      <c r="M3601" s="703" t="s">
        <v>5274</v>
      </c>
      <c r="N3601" s="692" t="str">
        <f>IF(AND(ISTEXT($A3601), ISERROR($A3601+0)), HYPERLINK($BF3601, "Images"), "")</f>
        <v>Images</v>
      </c>
      <c r="O3601" s="694" t="s">
        <v>5264</v>
      </c>
      <c r="P3601" s="475"/>
      <c r="Q3601" s="476"/>
      <c r="R3601" s="476"/>
      <c r="S3601" s="477"/>
      <c r="T3601" s="102">
        <f t="shared" si="2699"/>
        <v>0</v>
      </c>
      <c r="U3601" s="78" t="str">
        <f>IF(NOT(ISNUMBER(G3601)), "", VLOOKUP(A3601,'Discount Lookup'!D:E,2,FALSE)*G3601)</f>
        <v/>
      </c>
      <c r="V3601" s="78" t="str">
        <f>IF(NOT(ISNUMBER(G3601)), "", VLOOKUP(A3601,'Discount Lookup'!G:H,2,FALSE)*G3601)</f>
        <v/>
      </c>
      <c r="W3601" s="102">
        <f t="shared" si="2700"/>
        <v>0</v>
      </c>
      <c r="X3601" s="102" t="str">
        <f t="shared" si="2701"/>
        <v>Crimson-Red, vivid Red blotch</v>
      </c>
      <c r="Y3601" s="120" t="b">
        <f t="shared" si="2702"/>
        <v>0</v>
      </c>
      <c r="Z3601" s="117">
        <f t="shared" si="2703"/>
        <v>0</v>
      </c>
      <c r="AA3601" s="118"/>
      <c r="AB3601" s="118" t="str">
        <f t="shared" si="2704"/>
        <v/>
      </c>
      <c r="AC3601" s="712" t="str">
        <f>IF(AE3601="T2G","no charge",IF(AND(OR(PlanterYesMe="No",PlanterYesMe="N",PlanterYesMe="me"),H3601=""),"",IF(H3601="credit","NO install",IF(AND(K3601="",AE3601="me"),"EACH row",IF(AND(K3601="images",AE3601="me"),"EACH row",IF(D3601="","",IF(H3601="credit","",IF(AE3601="free","re-planting",IF(AE3601="me","   not ELP, by",IF(AND(OR(PlanterYesMe="Yes",PlanterYesMe="Y"),G3601&gt;0),(VLOOKUP(A3601,'Discount Lookup'!J:K,2)*G3601*(1-PlanterDiscount)*(1+PlanterDifficultyPercentage)),IF(AE3601="ELP",(VLOOKUP(A3601,'Discount Lookup'!J:K,2)*G3601*(1-PlanterDiscount)*(1+PlanterDifficultyPercentage)),IF(AE3601="free","re-planting",IF(G3601=0,"",IF(PlanterYesMe="",IF(AE3601="me","   not ELP, by",IF(AE3601="",IF(G3601&gt;0,(VLOOKUP(A3601,'Discount Lookup'!J:K,2)*G3601*(1-PlanterDiscount)*(1+PlanterDifficultyPercentage)),""),"")),"   not ELP, by"))))))))))))))</f>
        <v/>
      </c>
      <c r="AD3601" s="712"/>
      <c r="AE3601" s="513" t="str">
        <f t="shared" si="2705"/>
        <v/>
      </c>
      <c r="AF3601" s="713" t="str">
        <f t="shared" si="2706"/>
        <v/>
      </c>
      <c r="AG3601" s="713"/>
      <c r="AH3601" s="713"/>
      <c r="AI3601" s="112">
        <f>IF(H3601="credit",0,IF(AE3601="free",0,IF(AE3601="me",0,IF(G3601&gt;0,(VLOOKUP(A3601,'Discount Lookup'!J:K,2)*G3601),0))))</f>
        <v>0</v>
      </c>
      <c r="AJ3601" s="107" t="str">
        <f t="shared" ca="1" si="2707"/>
        <v/>
      </c>
      <c r="AK3601" s="714" t="str">
        <f t="shared" si="2708"/>
        <v/>
      </c>
      <c r="AL3601" s="714"/>
      <c r="AM3601" s="114" t="str">
        <f t="shared" si="2709"/>
        <v/>
      </c>
      <c r="AN3601" s="115"/>
      <c r="AO3601" s="116"/>
      <c r="AP3601" s="116"/>
      <c r="AQ3601" s="116"/>
      <c r="AR3601" s="116"/>
      <c r="AS3601" s="116"/>
      <c r="AT3601" s="116"/>
      <c r="AU3601" s="116"/>
      <c r="AV3601" s="78"/>
      <c r="AW3601" s="102"/>
      <c r="AX3601" s="78"/>
      <c r="AY3601" s="78"/>
      <c r="AZ3601" s="78"/>
      <c r="BA3601" s="78"/>
      <c r="BB3601" s="78"/>
      <c r="BC3601" s="78"/>
      <c r="BD3601" s="78"/>
      <c r="BE3601" s="465"/>
      <c r="BF3601" s="165" t="str">
        <f t="shared" si="2710"/>
        <v>https://www.google.com/search?tbm=isch&amp;q=Rhod.%20%27Girard%27s%20Crimson%27%20Girard%27s%20Crimson%20Azalea</v>
      </c>
      <c r="BG3601" s="165" t="str">
        <f t="shared" si="2711"/>
        <v>R</v>
      </c>
      <c r="BH3601" s="65"/>
      <c r="BI3601" s="65"/>
      <c r="BJ3601" s="65"/>
      <c r="BK3601" s="65"/>
      <c r="BL3601" s="99"/>
      <c r="BM3601" s="99"/>
      <c r="BN3601" s="99"/>
    </row>
    <row r="3602" spans="1:66" s="51" customFormat="1" ht="15.75" x14ac:dyDescent="0.25">
      <c r="A3602" s="478">
        <v>3</v>
      </c>
      <c r="B3602" s="479" t="s">
        <v>291</v>
      </c>
      <c r="C3602" s="480" t="s">
        <v>4648</v>
      </c>
      <c r="D3602" s="481" t="s">
        <v>293</v>
      </c>
      <c r="E3602" s="482">
        <v>45.95</v>
      </c>
      <c r="F3602" s="483" t="s">
        <v>292</v>
      </c>
      <c r="G3602" s="484">
        <v>0</v>
      </c>
      <c r="H3602" s="688" t="str">
        <f>IF(G3602=0,"",IF(F3602="Buy",IF(G3602=1,"plant","plants"),IF(F3602&gt;0.01,"warranty","Error")))</f>
        <v/>
      </c>
      <c r="I3602" s="485">
        <f>IF(H3602="free",0,IF(H3602="credit",((E3602*(F3602))*G3602*-1),IF(F3602="Buy",(E3602*G3602),((E3602*(1-F3602))*G3602))))</f>
        <v>0</v>
      </c>
      <c r="J3602" s="485">
        <f>IF(H3602="warranty",0,(I3602*(_xlfn.SINGLE(SalesTaxPercentage))))</f>
        <v>0</v>
      </c>
      <c r="K3602" s="715">
        <f t="shared" ref="K3602" si="2733">I3602+J3602</f>
        <v>0</v>
      </c>
      <c r="L3602" s="715"/>
      <c r="M3602" s="689" t="str">
        <f ca="1">IF(AND(G3602&gt;0,E3602=0),"WARNING - no PRICE inserted",IF(H3602="free","FREE ~ no charge this plant",IF(H3602="credit",CONCATENATE("-$",ROUND(K3602*(1-_xlfn.SINGLE(T2GDiscount))*-1,2)," CREDIT after discount"),IF(_xlfn.SINGLE(T2GDiscount)=0,"",IF(G3602=0,"",IF(F3602="Buy",CONCATENATE("$",ROUND(K3602*(1-_xlfn.SINGLE(T2GDiscount)),2)," with ",(_xlfn.SINGLE(T2GDiscount)*100),"% discount"),CONCATENATE("$",ROUND(K3602*(1-_xlfn.SINGLE(T2GDiscount)),2)," with ",((_xlfn.SINGLE(T2GDiscount)*100+F3602*100)-(_xlfn.SINGLE(T2GDiscount)*100*F3602)),IF(F3602&gt;0,"% discounts",IF(_xlfn.SINGLE(NoWarrantyDiscount)&gt;0,"% discounts","% discount")))))))))</f>
        <v/>
      </c>
      <c r="N3602" s="690"/>
      <c r="O3602" s="486"/>
      <c r="P3602" s="486"/>
      <c r="Q3602" s="486"/>
      <c r="R3602" s="486"/>
      <c r="S3602" s="486"/>
      <c r="T3602" s="102">
        <f t="shared" si="2699"/>
        <v>0</v>
      </c>
      <c r="U3602" s="78">
        <f>IF(NOT(ISNUMBER(G3602)), "", VLOOKUP(A3602,'Discount Lookup'!D:E,2,FALSE)*G3602)</f>
        <v>0</v>
      </c>
      <c r="V3602" s="78">
        <f>IF(NOT(ISNUMBER(G3602)), "", VLOOKUP(A3602,'Discount Lookup'!G:H,2,FALSE)*G3602)</f>
        <v>0</v>
      </c>
      <c r="W3602" s="102">
        <f t="shared" si="2700"/>
        <v>0</v>
      </c>
      <c r="X3602" s="102">
        <f t="shared" si="2701"/>
        <v>0</v>
      </c>
      <c r="Y3602" s="120" t="b">
        <f t="shared" si="2702"/>
        <v>0</v>
      </c>
      <c r="Z3602" s="117">
        <f t="shared" si="2703"/>
        <v>0</v>
      </c>
      <c r="AA3602" s="118"/>
      <c r="AB3602" s="118" t="str">
        <f t="shared" si="2704"/>
        <v/>
      </c>
      <c r="AC3602" s="712" t="str">
        <f>IF(AE3602="T2G","no charge",IF(AND(OR(PlanterYesMe="No",PlanterYesMe="N",PlanterYesMe="me"),H3602=""),"",IF(H3602="credit","NO install",IF(AND(K3602="",AE3602="me"),"EACH row",IF(AND(K3602="images",AE3602="me"),"EACH row",IF(D3602="","",IF(H3602="credit","",IF(AE3602="free","re-planting",IF(AE3602="me","   not ELP, by",IF(AND(OR(PlanterYesMe="Yes",PlanterYesMe="Y"),G3602&gt;0),(VLOOKUP(A3602,'Discount Lookup'!J:K,2)*G3602*(1-PlanterDiscount)*(1+PlanterDifficultyPercentage)),IF(AE3602="ELP",(VLOOKUP(A3602,'Discount Lookup'!J:K,2)*G3602*(1-PlanterDiscount)*(1+PlanterDifficultyPercentage)),IF(AE3602="free","re-planting",IF(G3602=0,"",IF(PlanterYesMe="",IF(AE3602="me","   not ELP, by",IF(AE3602="",IF(G3602&gt;0,(VLOOKUP(A3602,'Discount Lookup'!J:K,2)*G3602*(1-PlanterDiscount)*(1+PlanterDifficultyPercentage)),""),"")),"   not ELP, by"))))))))))))))</f>
        <v/>
      </c>
      <c r="AD3602" s="712"/>
      <c r="AE3602" s="513" t="str">
        <f t="shared" si="2705"/>
        <v/>
      </c>
      <c r="AF3602" s="713" t="str">
        <f t="shared" si="2706"/>
        <v/>
      </c>
      <c r="AG3602" s="713"/>
      <c r="AH3602" s="713"/>
      <c r="AI3602" s="112">
        <f>IF(H3602="credit",0,IF(AE3602="free",0,IF(AE3602="me",0,IF(G3602&gt;0,(VLOOKUP(A3602,'Discount Lookup'!J:K,2)*G3602),0))))</f>
        <v>0</v>
      </c>
      <c r="AJ3602" s="107" t="str">
        <f t="shared" ca="1" si="2707"/>
        <v/>
      </c>
      <c r="AK3602" s="714" t="str">
        <f t="shared" si="2708"/>
        <v/>
      </c>
      <c r="AL3602" s="714"/>
      <c r="AM3602" s="114" t="str">
        <f t="shared" si="2709"/>
        <v/>
      </c>
      <c r="AN3602" s="115"/>
      <c r="AO3602" s="116"/>
      <c r="AP3602" s="116"/>
      <c r="AQ3602" s="116"/>
      <c r="AR3602" s="116"/>
      <c r="AS3602" s="116"/>
      <c r="AT3602" s="116"/>
      <c r="AU3602" s="116"/>
      <c r="AV3602" s="78"/>
      <c r="AW3602" s="102"/>
      <c r="AX3602" s="78"/>
      <c r="AY3602" s="78"/>
      <c r="AZ3602" s="78"/>
      <c r="BA3602" s="78"/>
      <c r="BB3602" s="78"/>
      <c r="BC3602" s="78"/>
      <c r="BD3602" s="78"/>
      <c r="BE3602" s="465"/>
      <c r="BF3602" s="165" t="str">
        <f t="shared" si="2710"/>
        <v>https://www.google.com/search?tbm=isch&amp;q=3%20G6</v>
      </c>
      <c r="BG3602" s="165" t="str">
        <f t="shared" si="2711"/>
        <v>R</v>
      </c>
      <c r="BH3602" s="65"/>
      <c r="BI3602" s="65"/>
      <c r="BJ3602" s="65"/>
      <c r="BK3602" s="65"/>
      <c r="BL3602" s="99"/>
      <c r="BM3602" s="99"/>
      <c r="BN3602" s="99"/>
    </row>
    <row r="3603" spans="1:66" s="51" customFormat="1" ht="17.25" thickBot="1" x14ac:dyDescent="0.3">
      <c r="A3603" s="508" t="s">
        <v>4017</v>
      </c>
      <c r="B3603" s="487"/>
      <c r="C3603" s="707"/>
      <c r="D3603" s="487"/>
      <c r="E3603" s="487"/>
      <c r="F3603" s="488"/>
      <c r="G3603" s="489"/>
      <c r="H3603" s="487"/>
      <c r="I3603" s="490"/>
      <c r="J3603" s="490"/>
      <c r="K3603" s="491"/>
      <c r="L3603" s="547"/>
      <c r="M3603" s="528"/>
      <c r="N3603" s="492"/>
      <c r="O3603" s="493"/>
      <c r="P3603" s="494"/>
      <c r="Q3603" s="492"/>
      <c r="R3603" s="492"/>
      <c r="S3603" s="699" t="s">
        <v>5248</v>
      </c>
      <c r="T3603" s="102">
        <f t="shared" si="2699"/>
        <v>0</v>
      </c>
      <c r="U3603" s="78" t="str">
        <f>IF(NOT(ISNUMBER(G3603)), "", VLOOKUP(A3603,'Discount Lookup'!D:E,2,FALSE)*G3603)</f>
        <v/>
      </c>
      <c r="V3603" s="78" t="str">
        <f>IF(NOT(ISNUMBER(G3603)), "", VLOOKUP(A3603,'Discount Lookup'!G:H,2,FALSE)*G3603)</f>
        <v/>
      </c>
      <c r="W3603" s="102">
        <f t="shared" si="2700"/>
        <v>0</v>
      </c>
      <c r="X3603" s="102">
        <f t="shared" si="2701"/>
        <v>0</v>
      </c>
      <c r="Y3603" s="120" t="b">
        <f t="shared" si="2702"/>
        <v>0</v>
      </c>
      <c r="Z3603" s="117">
        <f t="shared" si="2703"/>
        <v>0</v>
      </c>
      <c r="AA3603" s="118"/>
      <c r="AB3603" s="118" t="str">
        <f t="shared" si="2704"/>
        <v/>
      </c>
      <c r="AC3603" s="712" t="str">
        <f>IF(AE3603="T2G","no charge",IF(AND(OR(PlanterYesMe="No",PlanterYesMe="N",PlanterYesMe="me"),H3603=""),"",IF(H3603="credit","NO install",IF(AND(K3603="",AE3603="me"),"EACH row",IF(AND(K3603="images",AE3603="me"),"EACH row",IF(D3603="","",IF(H3603="credit","",IF(AE3603="free","re-planting",IF(AE3603="me","   not ELP, by",IF(AND(OR(PlanterYesMe="Yes",PlanterYesMe="Y"),G3603&gt;0),(VLOOKUP(A3603,'Discount Lookup'!J:K,2)*G3603*(1-PlanterDiscount)*(1+PlanterDifficultyPercentage)),IF(AE3603="ELP",(VLOOKUP(A3603,'Discount Lookup'!J:K,2)*G3603*(1-PlanterDiscount)*(1+PlanterDifficultyPercentage)),IF(AE3603="free","re-planting",IF(G3603=0,"",IF(PlanterYesMe="",IF(AE3603="me","   not ELP, by",IF(AE3603="",IF(G3603&gt;0,(VLOOKUP(A3603,'Discount Lookup'!J:K,2)*G3603*(1-PlanterDiscount)*(1+PlanterDifficultyPercentage)),""),"")),"   not ELP, by"))))))))))))))</f>
        <v/>
      </c>
      <c r="AD3603" s="712"/>
      <c r="AE3603" s="513" t="str">
        <f t="shared" si="2705"/>
        <v/>
      </c>
      <c r="AF3603" s="713" t="str">
        <f t="shared" si="2706"/>
        <v/>
      </c>
      <c r="AG3603" s="713"/>
      <c r="AH3603" s="713"/>
      <c r="AI3603" s="112">
        <f>IF(H3603="credit",0,IF(AE3603="free",0,IF(AE3603="me",0,IF(G3603&gt;0,(VLOOKUP(A3603,'Discount Lookup'!J:K,2)*G3603),0))))</f>
        <v>0</v>
      </c>
      <c r="AJ3603" s="107" t="str">
        <f t="shared" ca="1" si="2707"/>
        <v/>
      </c>
      <c r="AK3603" s="714" t="str">
        <f t="shared" si="2708"/>
        <v/>
      </c>
      <c r="AL3603" s="714"/>
      <c r="AM3603" s="114" t="str">
        <f t="shared" si="2709"/>
        <v/>
      </c>
      <c r="AN3603" s="115"/>
      <c r="AO3603" s="116"/>
      <c r="AP3603" s="116"/>
      <c r="AQ3603" s="116"/>
      <c r="AR3603" s="116"/>
      <c r="AS3603" s="116"/>
      <c r="AT3603" s="116"/>
      <c r="AU3603" s="116"/>
      <c r="AV3603" s="78"/>
      <c r="AW3603" s="102"/>
      <c r="AX3603" s="78"/>
      <c r="AY3603" s="78"/>
      <c r="AZ3603" s="78"/>
      <c r="BA3603" s="78"/>
      <c r="BB3603" s="78"/>
      <c r="BC3603" s="78"/>
      <c r="BD3603" s="78"/>
      <c r="BE3603" s="465"/>
      <c r="BF3603" s="165" t="str">
        <f t="shared" si="2710"/>
        <v>https://www.google.com/search?tbm=isch&amp;q=Girard%27s%20Crimson%20h%20glossy%20deep%20Green%20foliage%20with%20Copper-Red%20winter%20tones.%20Large%20spring%20flowers.%20Cold-hardy%20</v>
      </c>
      <c r="BG3603" s="165" t="str">
        <f t="shared" si="2711"/>
        <v>G</v>
      </c>
      <c r="BH3603" s="65"/>
      <c r="BI3603" s="65"/>
      <c r="BJ3603" s="65"/>
      <c r="BK3603" s="65"/>
      <c r="BL3603" s="99"/>
      <c r="BM3603" s="99"/>
      <c r="BN3603" s="99"/>
    </row>
    <row r="3604" spans="1:66" s="51" customFormat="1" ht="18" x14ac:dyDescent="0.25">
      <c r="A3604" s="507" t="s">
        <v>4018</v>
      </c>
      <c r="B3604" s="470"/>
      <c r="C3604" s="706"/>
      <c r="D3604" s="471" t="s">
        <v>5898</v>
      </c>
      <c r="E3604" s="472"/>
      <c r="F3604" s="472"/>
      <c r="G3604" s="472"/>
      <c r="H3604" s="622" t="s">
        <v>1082</v>
      </c>
      <c r="I3604" s="473" t="s">
        <v>4019</v>
      </c>
      <c r="J3604" s="472"/>
      <c r="K3604" s="472"/>
      <c r="L3604" s="561"/>
      <c r="M3604" s="698" t="s">
        <v>5246</v>
      </c>
      <c r="N3604" s="692" t="str">
        <f>IF(AND(ISTEXT($A3604), ISERROR($A3604+0)), HYPERLINK($BF3604, "Images"), "")</f>
        <v>Images</v>
      </c>
      <c r="O3604" s="694" t="s">
        <v>5264</v>
      </c>
      <c r="P3604" s="475"/>
      <c r="Q3604" s="476"/>
      <c r="R3604" s="476"/>
      <c r="S3604" s="477"/>
      <c r="T3604" s="102">
        <f t="shared" ref="T3604:T3667" si="2734">E3604*G3604</f>
        <v>0</v>
      </c>
      <c r="U3604" s="78" t="str">
        <f>IF(NOT(ISNUMBER(G3604)), "", VLOOKUP(A3604,'Discount Lookup'!D:E,2,FALSE)*G3604)</f>
        <v/>
      </c>
      <c r="V3604" s="78" t="str">
        <f>IF(NOT(ISNUMBER(G3604)), "", VLOOKUP(A3604,'Discount Lookup'!G:H,2,FALSE)*G3604)</f>
        <v/>
      </c>
      <c r="W3604" s="102">
        <f t="shared" ref="W3604:W3667" si="2735">IF(H3604="credit",0,E3604*(SalesTaxPercentage)*G3604)</f>
        <v>0</v>
      </c>
      <c r="X3604" s="102" t="str">
        <f t="shared" ref="X3604:X3667" si="2736">I3604</f>
        <v>White, feint Green blotch</v>
      </c>
      <c r="Y3604" s="120" t="b">
        <f t="shared" ref="Y3604:Y3667" si="2737">IF(AE3604="T2G",0,IF(H3604="credit",0,IF(G3604&gt;0,IF(AE3604="me","",G3604))))</f>
        <v>0</v>
      </c>
      <c r="Z3604" s="117">
        <f t="shared" ref="Z3604:Z3667" si="2738">IF(H3604="credit",G3604,0)</f>
        <v>0</v>
      </c>
      <c r="AA3604" s="118"/>
      <c r="AB3604" s="118" t="str">
        <f t="shared" ref="AB3604:AB3667" si="2739">IF(AE3604="T2G","by Trees2Go",IF(H3604="credit","CREDIT only ~",IF(AND(K3604="",AE3604=OR(PlanterYesMe="No",PlanterYesMe="N",PlanterYesMe="me")),"not THIS line⇨",IF(AND(K3604="images",AE3604="me"),"not THIS line⇨",IF(H3604="credit","",IF(G3604=0,"",IF(AE3604="me","",IF(OR(PlanterYesMe="No",PlanterYesMe="N",PlanterYesMe="me"),"",IF(AE3604="free","warranty",IF(OR(PlanterYesMe="yes",PlanterYesMe="y"),"Edison install:","to install:"))))))))))</f>
        <v/>
      </c>
      <c r="AC3604" s="712" t="str">
        <f>IF(AE3604="T2G","no charge",IF(AND(OR(PlanterYesMe="No",PlanterYesMe="N",PlanterYesMe="me"),H3604=""),"",IF(H3604="credit","NO install",IF(AND(K3604="",AE3604="me"),"EACH row",IF(AND(K3604="images",AE3604="me"),"EACH row",IF(D3604="","",IF(H3604="credit","",IF(AE3604="free","re-planting",IF(AE3604="me","   not ELP, by",IF(AND(OR(PlanterYesMe="Yes",PlanterYesMe="Y"),G3604&gt;0),(VLOOKUP(A3604,'Discount Lookup'!J:K,2)*G3604*(1-PlanterDiscount)*(1+PlanterDifficultyPercentage)),IF(AE3604="ELP",(VLOOKUP(A3604,'Discount Lookup'!J:K,2)*G3604*(1-PlanterDiscount)*(1+PlanterDifficultyPercentage)),IF(AE3604="free","re-planting",IF(G3604=0,"",IF(PlanterYesMe="",IF(AE3604="me","   not ELP, by",IF(AE3604="",IF(G3604&gt;0,(VLOOKUP(A3604,'Discount Lookup'!J:K,2)*G3604*(1-PlanterDiscount)*(1+PlanterDifficultyPercentage)),""),"")),"   not ELP, by"))))))))))))))</f>
        <v/>
      </c>
      <c r="AD3604" s="712"/>
      <c r="AE3604" s="513" t="str">
        <f t="shared" ref="AE3604:AE3667" si="2740">IF(H3604="credit","",IF(G3604=0,"",IF(OR(PlanterYesMe="No",PlanterYesMe="N",PlanterYesMe="me"),"me",IF(H3604="warranty","free",IF(OR(PlanterYesMe="yes",PlanterYesMe="y"),"ELP","")))))</f>
        <v/>
      </c>
      <c r="AF3604" s="713" t="str">
        <f t="shared" ref="AF3604:AF3667" si="2741">IF(OR(PlanterYesMe="No",PlanterYesMe="N",PlanterYesMe="me"),"",IF(H3604="credit","",IF(G3604&gt;0,(CONCATENATE((G3604)," quantity, ",(A3604)," ",B3604)),"")))</f>
        <v/>
      </c>
      <c r="AG3604" s="713"/>
      <c r="AH3604" s="713"/>
      <c r="AI3604" s="112">
        <f>IF(H3604="credit",0,IF(AE3604="free",0,IF(AE3604="me",0,IF(G3604&gt;0,(VLOOKUP(A3604,'Discount Lookup'!J:K,2)*G3604),0))))</f>
        <v>0</v>
      </c>
      <c r="AJ3604" s="107" t="str">
        <f t="shared" ref="AJ3604:AJ3667" ca="1" si="2742">IF(AND(ISREF(H3604),H3604="credit"),"",IF(AND(AND(OFFSET(G3604,0,0)=0,OFFSET(G3604,1,0)&gt;0,ISNUMBER(OFFSET(AC3604,1,0)),OFFSET(AC3604,1,0)&gt;0),OR(PlanterYesMe="yes",PlanterYesMe="y")),"T2G+ELP=",IF(AND(OFFSET(G3604,0,0)=0,OFFSET(G3604,1,0)&gt;0,ISNUMBER(OFFSET(AC3604,1,0)),OFFSET(AC3604,1,0)&gt;0),"if T2G+ELP=",IF(AND(OFFSET(G3604,0,0)=0,OFFSET(G3604,1,0)&gt;0),"T2G Subtotal",IF(H3604="credit","",IF(G3604=0,"",IF(AE3604="free",(K3604*(1-T2GDiscount)),IF(OR(PlanterYesMe="No",PlanterYesMe="N",PlanterYesMe="me"),(K3604*(1-T2GDiscount)),IF(OR(AE3604="me",AE3604="T2G"),(K3604*(1-T2GDiscount)),(K3604*(1-T2GDiscount))+AC3604)))))))))</f>
        <v/>
      </c>
      <c r="AK3604" s="714" t="str">
        <f t="shared" ref="AK3604:AK3667" si="2743">IF(H3604="credit","",IF(G3604=0,"",IF(OR(AE3604="me",AE3604="T2G"),"  delivery-only",IF(OR(PlanterYesMe="No",PlanterYesMe="N",PlanterYesMe="me"),"  delivery-only",CONCATENATE(" $",ROUND(AJ3604/G3604,2)," each")))))</f>
        <v/>
      </c>
      <c r="AL3604" s="714"/>
      <c r="AM3604" s="114" t="str">
        <f t="shared" ref="AM3604:AM3667" si="2744">IF(H3604="credit","",IF(AE3604="free","      ~ discounts included, no tax or planting fee applies ~",IF(G3604=0,"",IF(OR(PlanterYesMe="No",PlanterYesMe="N",PlanterYesMe="me"),CONCATENATE(" $",ROUND(AJ3604/G3604,2)," per plant, with tax &amp; discount"),IF(OR(AE3604="me",AE3604="T2G"),CONCATENATE(" $",ROUND(AJ3604/G3604,2)," per plant, with tax &amp; discount"),CONCATENATE("= $",ROUND((K3604*(1-T2GDiscount))/G3604,2)," per plant + $",AC3604/G3604,(" per planting      ~ includes tax &amp; discounts ~")))))))</f>
        <v/>
      </c>
      <c r="AN3604" s="115"/>
      <c r="AO3604" s="116"/>
      <c r="AP3604" s="116"/>
      <c r="AQ3604" s="116"/>
      <c r="AR3604" s="116"/>
      <c r="AS3604" s="116"/>
      <c r="AT3604" s="116"/>
      <c r="AU3604" s="116"/>
      <c r="AV3604" s="78"/>
      <c r="AW3604" s="102"/>
      <c r="AX3604" s="78"/>
      <c r="AY3604" s="78"/>
      <c r="AZ3604" s="78"/>
      <c r="BA3604" s="78"/>
      <c r="BB3604" s="78"/>
      <c r="BC3604" s="78"/>
      <c r="BD3604" s="78"/>
      <c r="BE3604" s="465"/>
      <c r="BF3604" s="165" t="str">
        <f t="shared" ref="BF3604:BF3667" si="2745">"https://www.google.com/search?tbm=isch&amp;q=" &amp; _xlfn.ENCODEURL($A3604 &amp; " " &amp; $D3604)</f>
        <v>https://www.google.com/search?tbm=isch&amp;q=Rhod.%20%27Glacier%27%20Glacier%20Azalea%20%28PW%C2%AE%29</v>
      </c>
      <c r="BG3604" s="165" t="str">
        <f t="shared" ref="BG3604:BG3667" si="2746">IF(ISTEXT(A3604),LEFT(A3604,1),BG3603)</f>
        <v>R</v>
      </c>
      <c r="BH3604" s="65"/>
      <c r="BI3604" s="65"/>
      <c r="BJ3604" s="65"/>
      <c r="BK3604" s="65"/>
      <c r="BL3604" s="99"/>
      <c r="BM3604" s="99"/>
      <c r="BN3604" s="99"/>
    </row>
    <row r="3605" spans="1:66" s="51" customFormat="1" ht="15.75" x14ac:dyDescent="0.25">
      <c r="A3605" s="478">
        <v>3</v>
      </c>
      <c r="B3605" s="479" t="s">
        <v>291</v>
      </c>
      <c r="C3605" s="480" t="s">
        <v>4020</v>
      </c>
      <c r="D3605" s="481" t="s">
        <v>309</v>
      </c>
      <c r="E3605" s="482">
        <v>22.95</v>
      </c>
      <c r="F3605" s="483" t="s">
        <v>292</v>
      </c>
      <c r="G3605" s="484">
        <v>0</v>
      </c>
      <c r="H3605" s="688" t="str">
        <f>IF(G3605=0,"",IF(F3605="Buy",IF(G3605=1,"plant","plants"),IF(F3605&gt;0.01,"warranty","Error")))</f>
        <v/>
      </c>
      <c r="I3605" s="485">
        <f>IF(H3605="free",0,IF(H3605="credit",((E3605*(F3605))*G3605*-1),IF(F3605="Buy",(E3605*G3605),((E3605*(1-F3605))*G3605))))</f>
        <v>0</v>
      </c>
      <c r="J3605" s="485">
        <f>IF(H3605="warranty",0,(I3605*(_xlfn.SINGLE(SalesTaxPercentage))))</f>
        <v>0</v>
      </c>
      <c r="K3605" s="715">
        <f t="shared" ref="K3605" si="2747">I3605+J3605</f>
        <v>0</v>
      </c>
      <c r="L3605" s="715"/>
      <c r="M3605" s="689" t="str">
        <f ca="1">IF(AND(G3605&gt;0,E3605=0),"WARNING - no PRICE inserted",IF(H3605="free","FREE ~ no charge this plant",IF(H3605="credit",CONCATENATE("-$",ROUND(K3605*(1-_xlfn.SINGLE(T2GDiscount))*-1,2)," CREDIT after discount"),IF(_xlfn.SINGLE(T2GDiscount)=0,"",IF(G3605=0,"",IF(F3605="Buy",CONCATENATE("$",ROUND(K3605*(1-_xlfn.SINGLE(T2GDiscount)),2)," with ",(_xlfn.SINGLE(T2GDiscount)*100),"% discount"),CONCATENATE("$",ROUND(K3605*(1-_xlfn.SINGLE(T2GDiscount)),2)," with ",((_xlfn.SINGLE(T2GDiscount)*100+F3605*100)-(_xlfn.SINGLE(T2GDiscount)*100*F3605)),IF(F3605&gt;0,"% discounts",IF(_xlfn.SINGLE(NoWarrantyDiscount)&gt;0,"% discounts","% discount")))))))))</f>
        <v/>
      </c>
      <c r="N3605" s="690"/>
      <c r="O3605" s="486"/>
      <c r="P3605" s="486"/>
      <c r="Q3605" s="486"/>
      <c r="R3605" s="486"/>
      <c r="S3605" s="486"/>
      <c r="T3605" s="102">
        <f t="shared" si="2734"/>
        <v>0</v>
      </c>
      <c r="U3605" s="78">
        <f>IF(NOT(ISNUMBER(G3605)), "", VLOOKUP(A3605,'Discount Lookup'!D:E,2,FALSE)*G3605)</f>
        <v>0</v>
      </c>
      <c r="V3605" s="78">
        <f>IF(NOT(ISNUMBER(G3605)), "", VLOOKUP(A3605,'Discount Lookup'!G:H,2,FALSE)*G3605)</f>
        <v>0</v>
      </c>
      <c r="W3605" s="102">
        <f t="shared" si="2735"/>
        <v>0</v>
      </c>
      <c r="X3605" s="102">
        <f t="shared" si="2736"/>
        <v>0</v>
      </c>
      <c r="Y3605" s="120" t="b">
        <f t="shared" si="2737"/>
        <v>0</v>
      </c>
      <c r="Z3605" s="117">
        <f t="shared" si="2738"/>
        <v>0</v>
      </c>
      <c r="AA3605" s="118"/>
      <c r="AB3605" s="118" t="str">
        <f t="shared" si="2739"/>
        <v/>
      </c>
      <c r="AC3605" s="712" t="str">
        <f>IF(AE3605="T2G","no charge",IF(AND(OR(PlanterYesMe="No",PlanterYesMe="N",PlanterYesMe="me"),H3605=""),"",IF(H3605="credit","NO install",IF(AND(K3605="",AE3605="me"),"EACH row",IF(AND(K3605="images",AE3605="me"),"EACH row",IF(D3605="","",IF(H3605="credit","",IF(AE3605="free","re-planting",IF(AE3605="me","   not ELP, by",IF(AND(OR(PlanterYesMe="Yes",PlanterYesMe="Y"),G3605&gt;0),(VLOOKUP(A3605,'Discount Lookup'!J:K,2)*G3605*(1-PlanterDiscount)*(1+PlanterDifficultyPercentage)),IF(AE3605="ELP",(VLOOKUP(A3605,'Discount Lookup'!J:K,2)*G3605*(1-PlanterDiscount)*(1+PlanterDifficultyPercentage)),IF(AE3605="free","re-planting",IF(G3605=0,"",IF(PlanterYesMe="",IF(AE3605="me","   not ELP, by",IF(AE3605="",IF(G3605&gt;0,(VLOOKUP(A3605,'Discount Lookup'!J:K,2)*G3605*(1-PlanterDiscount)*(1+PlanterDifficultyPercentage)),""),"")),"   not ELP, by"))))))))))))))</f>
        <v/>
      </c>
      <c r="AD3605" s="712"/>
      <c r="AE3605" s="513" t="str">
        <f t="shared" si="2740"/>
        <v/>
      </c>
      <c r="AF3605" s="713" t="str">
        <f t="shared" si="2741"/>
        <v/>
      </c>
      <c r="AG3605" s="713"/>
      <c r="AH3605" s="713"/>
      <c r="AI3605" s="112">
        <f>IF(H3605="credit",0,IF(AE3605="free",0,IF(AE3605="me",0,IF(G3605&gt;0,(VLOOKUP(A3605,'Discount Lookup'!J:K,2)*G3605),0))))</f>
        <v>0</v>
      </c>
      <c r="AJ3605" s="107" t="str">
        <f t="shared" ca="1" si="2742"/>
        <v/>
      </c>
      <c r="AK3605" s="714" t="str">
        <f t="shared" si="2743"/>
        <v/>
      </c>
      <c r="AL3605" s="714"/>
      <c r="AM3605" s="114" t="str">
        <f t="shared" si="2744"/>
        <v/>
      </c>
      <c r="AN3605" s="115"/>
      <c r="AO3605" s="116"/>
      <c r="AP3605" s="116"/>
      <c r="AQ3605" s="116"/>
      <c r="AR3605" s="116"/>
      <c r="AS3605" s="116"/>
      <c r="AT3605" s="116"/>
      <c r="AU3605" s="116"/>
      <c r="AV3605" s="78"/>
      <c r="AW3605" s="102"/>
      <c r="AX3605" s="78"/>
      <c r="AY3605" s="78"/>
      <c r="AZ3605" s="78"/>
      <c r="BA3605" s="78"/>
      <c r="BB3605" s="78"/>
      <c r="BC3605" s="78"/>
      <c r="BD3605" s="78"/>
      <c r="BE3605" s="465"/>
      <c r="BF3605" s="165" t="str">
        <f t="shared" si="2745"/>
        <v>https://www.google.com/search?tbm=isch&amp;q=3%20G3</v>
      </c>
      <c r="BG3605" s="165" t="str">
        <f t="shared" si="2746"/>
        <v>R</v>
      </c>
      <c r="BH3605" s="65"/>
      <c r="BI3605" s="65"/>
      <c r="BJ3605" s="65"/>
      <c r="BK3605" s="65"/>
      <c r="BL3605" s="99"/>
      <c r="BM3605" s="99"/>
      <c r="BN3605" s="99"/>
    </row>
    <row r="3606" spans="1:66" s="51" customFormat="1" ht="17.25" thickBot="1" x14ac:dyDescent="0.3">
      <c r="A3606" s="508" t="s">
        <v>4021</v>
      </c>
      <c r="B3606" s="487"/>
      <c r="C3606" s="707"/>
      <c r="D3606" s="487"/>
      <c r="E3606" s="487"/>
      <c r="F3606" s="488"/>
      <c r="G3606" s="489"/>
      <c r="H3606" s="487"/>
      <c r="I3606" s="490"/>
      <c r="J3606" s="490"/>
      <c r="K3606" s="491"/>
      <c r="L3606" s="547"/>
      <c r="M3606" s="528"/>
      <c r="N3606" s="492"/>
      <c r="O3606" s="493"/>
      <c r="P3606" s="494"/>
      <c r="Q3606" s="492"/>
      <c r="R3606" s="492"/>
      <c r="S3606" s="699" t="s">
        <v>5303</v>
      </c>
      <c r="T3606" s="102">
        <f t="shared" si="2734"/>
        <v>0</v>
      </c>
      <c r="U3606" s="78" t="str">
        <f>IF(NOT(ISNUMBER(G3606)), "", VLOOKUP(A3606,'Discount Lookup'!D:E,2,FALSE)*G3606)</f>
        <v/>
      </c>
      <c r="V3606" s="78" t="str">
        <f>IF(NOT(ISNUMBER(G3606)), "", VLOOKUP(A3606,'Discount Lookup'!G:H,2,FALSE)*G3606)</f>
        <v/>
      </c>
      <c r="W3606" s="102">
        <f t="shared" si="2735"/>
        <v>0</v>
      </c>
      <c r="X3606" s="102">
        <f t="shared" si="2736"/>
        <v>0</v>
      </c>
      <c r="Y3606" s="120" t="b">
        <f t="shared" si="2737"/>
        <v>0</v>
      </c>
      <c r="Z3606" s="117">
        <f t="shared" si="2738"/>
        <v>0</v>
      </c>
      <c r="AA3606" s="118"/>
      <c r="AB3606" s="118" t="str">
        <f t="shared" si="2739"/>
        <v/>
      </c>
      <c r="AC3606" s="712" t="str">
        <f>IF(AE3606="T2G","no charge",IF(AND(OR(PlanterYesMe="No",PlanterYesMe="N",PlanterYesMe="me"),H3606=""),"",IF(H3606="credit","NO install",IF(AND(K3606="",AE3606="me"),"EACH row",IF(AND(K3606="images",AE3606="me"),"EACH row",IF(D3606="","",IF(H3606="credit","",IF(AE3606="free","re-planting",IF(AE3606="me","   not ELP, by",IF(AND(OR(PlanterYesMe="Yes",PlanterYesMe="Y"),G3606&gt;0),(VLOOKUP(A3606,'Discount Lookup'!J:K,2)*G3606*(1-PlanterDiscount)*(1+PlanterDifficultyPercentage)),IF(AE3606="ELP",(VLOOKUP(A3606,'Discount Lookup'!J:K,2)*G3606*(1-PlanterDiscount)*(1+PlanterDifficultyPercentage)),IF(AE3606="free","re-planting",IF(G3606=0,"",IF(PlanterYesMe="",IF(AE3606="me","   not ELP, by",IF(AE3606="",IF(G3606&gt;0,(VLOOKUP(A3606,'Discount Lookup'!J:K,2)*G3606*(1-PlanterDiscount)*(1+PlanterDifficultyPercentage)),""),"")),"   not ELP, by"))))))))))))))</f>
        <v/>
      </c>
      <c r="AD3606" s="712"/>
      <c r="AE3606" s="513" t="str">
        <f t="shared" si="2740"/>
        <v/>
      </c>
      <c r="AF3606" s="713" t="str">
        <f t="shared" si="2741"/>
        <v/>
      </c>
      <c r="AG3606" s="713"/>
      <c r="AH3606" s="713"/>
      <c r="AI3606" s="112">
        <f>IF(H3606="credit",0,IF(AE3606="free",0,IF(AE3606="me",0,IF(G3606&gt;0,(VLOOKUP(A3606,'Discount Lookup'!J:K,2)*G3606),0))))</f>
        <v>0</v>
      </c>
      <c r="AJ3606" s="107" t="str">
        <f t="shared" ca="1" si="2742"/>
        <v/>
      </c>
      <c r="AK3606" s="714" t="str">
        <f t="shared" si="2743"/>
        <v/>
      </c>
      <c r="AL3606" s="714"/>
      <c r="AM3606" s="114" t="str">
        <f t="shared" si="2744"/>
        <v/>
      </c>
      <c r="AN3606" s="115"/>
      <c r="AO3606" s="116"/>
      <c r="AP3606" s="116"/>
      <c r="AQ3606" s="116"/>
      <c r="AR3606" s="116"/>
      <c r="AS3606" s="116"/>
      <c r="AT3606" s="116"/>
      <c r="AU3606" s="116"/>
      <c r="AV3606" s="78"/>
      <c r="AW3606" s="102"/>
      <c r="AX3606" s="78"/>
      <c r="AY3606" s="78"/>
      <c r="AZ3606" s="78"/>
      <c r="BA3606" s="78"/>
      <c r="BB3606" s="78"/>
      <c r="BC3606" s="78"/>
      <c r="BD3606" s="78"/>
      <c r="BE3606" s="465"/>
      <c r="BF3606" s="165" t="str">
        <f t="shared" si="2745"/>
        <v>https://www.google.com/search?tbm=isch&amp;q=Glacier%20Azalea%20has%20luminous%20spring%20blooms%20with%20a%20Green%20flush%2C%20tiered%20branching%2C%20and%20glossy%20foliage%20emerging%20Coppery-Bronze%20in%20spring%20</v>
      </c>
      <c r="BG3606" s="165" t="str">
        <f t="shared" si="2746"/>
        <v>G</v>
      </c>
      <c r="BH3606" s="65"/>
      <c r="BI3606" s="65"/>
      <c r="BJ3606" s="65"/>
      <c r="BK3606" s="65"/>
      <c r="BL3606" s="99"/>
      <c r="BM3606" s="99"/>
      <c r="BN3606" s="99"/>
    </row>
    <row r="3607" spans="1:66" s="51" customFormat="1" ht="18" x14ac:dyDescent="0.25">
      <c r="A3607" s="507" t="s">
        <v>4022</v>
      </c>
      <c r="B3607" s="470"/>
      <c r="C3607" s="706"/>
      <c r="D3607" s="471" t="s">
        <v>4023</v>
      </c>
      <c r="E3607" s="472"/>
      <c r="F3607" s="472"/>
      <c r="G3607" s="472"/>
      <c r="H3607" s="622" t="s">
        <v>1104</v>
      </c>
      <c r="I3607" s="473" t="s">
        <v>4024</v>
      </c>
      <c r="J3607" s="472"/>
      <c r="K3607" s="472"/>
      <c r="L3607" s="561"/>
      <c r="M3607" s="703" t="s">
        <v>5274</v>
      </c>
      <c r="N3607" s="692" t="str">
        <f>IF(AND(ISTEXT($A3607), ISERROR($A3607+0)), HYPERLINK($BF3607, "Images"), "")</f>
        <v>Images</v>
      </c>
      <c r="O3607" s="694" t="s">
        <v>5264</v>
      </c>
      <c r="P3607" s="475"/>
      <c r="Q3607" s="476"/>
      <c r="R3607" s="476"/>
      <c r="S3607" s="477"/>
      <c r="T3607" s="102">
        <f t="shared" si="2734"/>
        <v>0</v>
      </c>
      <c r="U3607" s="78" t="str">
        <f>IF(NOT(ISNUMBER(G3607)), "", VLOOKUP(A3607,'Discount Lookup'!D:E,2,FALSE)*G3607)</f>
        <v/>
      </c>
      <c r="V3607" s="78" t="str">
        <f>IF(NOT(ISNUMBER(G3607)), "", VLOOKUP(A3607,'Discount Lookup'!G:H,2,FALSE)*G3607)</f>
        <v/>
      </c>
      <c r="W3607" s="102">
        <f t="shared" si="2735"/>
        <v>0</v>
      </c>
      <c r="X3607" s="102" t="str">
        <f t="shared" si="2736"/>
        <v>Pure White, Chartreuse freckles</v>
      </c>
      <c r="Y3607" s="120" t="b">
        <f t="shared" si="2737"/>
        <v>0</v>
      </c>
      <c r="Z3607" s="117">
        <f t="shared" si="2738"/>
        <v>0</v>
      </c>
      <c r="AA3607" s="118"/>
      <c r="AB3607" s="118" t="str">
        <f t="shared" si="2739"/>
        <v/>
      </c>
      <c r="AC3607" s="712" t="str">
        <f>IF(AE3607="T2G","no charge",IF(AND(OR(PlanterYesMe="No",PlanterYesMe="N",PlanterYesMe="me"),H3607=""),"",IF(H3607="credit","NO install",IF(AND(K3607="",AE3607="me"),"EACH row",IF(AND(K3607="images",AE3607="me"),"EACH row",IF(D3607="","",IF(H3607="credit","",IF(AE3607="free","re-planting",IF(AE3607="me","   not ELP, by",IF(AND(OR(PlanterYesMe="Yes",PlanterYesMe="Y"),G3607&gt;0),(VLOOKUP(A3607,'Discount Lookup'!J:K,2)*G3607*(1-PlanterDiscount)*(1+PlanterDifficultyPercentage)),IF(AE3607="ELP",(VLOOKUP(A3607,'Discount Lookup'!J:K,2)*G3607*(1-PlanterDiscount)*(1+PlanterDifficultyPercentage)),IF(AE3607="free","re-planting",IF(G3607=0,"",IF(PlanterYesMe="",IF(AE3607="me","   not ELP, by",IF(AE3607="",IF(G3607&gt;0,(VLOOKUP(A3607,'Discount Lookup'!J:K,2)*G3607*(1-PlanterDiscount)*(1+PlanterDifficultyPercentage)),""),"")),"   not ELP, by"))))))))))))))</f>
        <v/>
      </c>
      <c r="AD3607" s="712"/>
      <c r="AE3607" s="513" t="str">
        <f t="shared" si="2740"/>
        <v/>
      </c>
      <c r="AF3607" s="713" t="str">
        <f t="shared" si="2741"/>
        <v/>
      </c>
      <c r="AG3607" s="713"/>
      <c r="AH3607" s="713"/>
      <c r="AI3607" s="112">
        <f>IF(H3607="credit",0,IF(AE3607="free",0,IF(AE3607="me",0,IF(G3607&gt;0,(VLOOKUP(A3607,'Discount Lookup'!J:K,2)*G3607),0))))</f>
        <v>0</v>
      </c>
      <c r="AJ3607" s="107" t="str">
        <f t="shared" ca="1" si="2742"/>
        <v/>
      </c>
      <c r="AK3607" s="714" t="str">
        <f t="shared" si="2743"/>
        <v/>
      </c>
      <c r="AL3607" s="714"/>
      <c r="AM3607" s="114" t="str">
        <f t="shared" si="2744"/>
        <v/>
      </c>
      <c r="AN3607" s="115"/>
      <c r="AO3607" s="116"/>
      <c r="AP3607" s="116"/>
      <c r="AQ3607" s="116"/>
      <c r="AR3607" s="116"/>
      <c r="AS3607" s="116"/>
      <c r="AT3607" s="116"/>
      <c r="AU3607" s="116"/>
      <c r="AV3607" s="78"/>
      <c r="AW3607" s="102"/>
      <c r="AX3607" s="78"/>
      <c r="AY3607" s="78"/>
      <c r="AZ3607" s="78"/>
      <c r="BA3607" s="78"/>
      <c r="BB3607" s="78"/>
      <c r="BC3607" s="78"/>
      <c r="BD3607" s="78"/>
      <c r="BE3607" s="465"/>
      <c r="BF3607" s="165" t="str">
        <f t="shared" si="2745"/>
        <v>https://www.google.com/search?tbm=isch&amp;q=Rhod.%20%27Hardy%20Gardenia%27%20Hardy%20Gardenia%20Azalea</v>
      </c>
      <c r="BG3607" s="165" t="str">
        <f t="shared" si="2746"/>
        <v>R</v>
      </c>
      <c r="BH3607" s="65"/>
      <c r="BI3607" s="65"/>
      <c r="BJ3607" s="65"/>
      <c r="BK3607" s="65"/>
      <c r="BL3607" s="99"/>
      <c r="BM3607" s="99"/>
      <c r="BN3607" s="99"/>
    </row>
    <row r="3608" spans="1:66" s="51" customFormat="1" ht="15.75" x14ac:dyDescent="0.25">
      <c r="A3608" s="478">
        <v>3</v>
      </c>
      <c r="B3608" s="479" t="s">
        <v>291</v>
      </c>
      <c r="C3608" s="480" t="s">
        <v>1779</v>
      </c>
      <c r="D3608" s="481" t="s">
        <v>309</v>
      </c>
      <c r="E3608" s="482">
        <v>22.95</v>
      </c>
      <c r="F3608" s="483" t="s">
        <v>292</v>
      </c>
      <c r="G3608" s="484">
        <v>0</v>
      </c>
      <c r="H3608" s="688" t="str">
        <f>IF(G3608=0,"",IF(F3608="Buy",IF(G3608=1,"plant","plants"),IF(F3608&gt;0.01,"warranty","Error")))</f>
        <v/>
      </c>
      <c r="I3608" s="485">
        <f>IF(H3608="free",0,IF(H3608="credit",((E3608*(F3608))*G3608*-1),IF(F3608="Buy",(E3608*G3608),((E3608*(1-F3608))*G3608))))</f>
        <v>0</v>
      </c>
      <c r="J3608" s="485">
        <f>IF(H3608="warranty",0,(I3608*(_xlfn.SINGLE(SalesTaxPercentage))))</f>
        <v>0</v>
      </c>
      <c r="K3608" s="715">
        <f t="shared" ref="K3608" si="2748">I3608+J3608</f>
        <v>0</v>
      </c>
      <c r="L3608" s="715"/>
      <c r="M3608" s="689" t="str">
        <f ca="1">IF(AND(G3608&gt;0,E3608=0),"WARNING - no PRICE inserted",IF(H3608="free","FREE ~ no charge this plant",IF(H3608="credit",CONCATENATE("-$",ROUND(K3608*(1-_xlfn.SINGLE(T2GDiscount))*-1,2)," CREDIT after discount"),IF(_xlfn.SINGLE(T2GDiscount)=0,"",IF(G3608=0,"",IF(F3608="Buy",CONCATENATE("$",ROUND(K3608*(1-_xlfn.SINGLE(T2GDiscount)),2)," with ",(_xlfn.SINGLE(T2GDiscount)*100),"% discount"),CONCATENATE("$",ROUND(K3608*(1-_xlfn.SINGLE(T2GDiscount)),2)," with ",((_xlfn.SINGLE(T2GDiscount)*100+F3608*100)-(_xlfn.SINGLE(T2GDiscount)*100*F3608)),IF(F3608&gt;0,"% discounts",IF(_xlfn.SINGLE(NoWarrantyDiscount)&gt;0,"% discounts","% discount")))))))))</f>
        <v/>
      </c>
      <c r="N3608" s="690"/>
      <c r="O3608" s="486"/>
      <c r="P3608" s="486"/>
      <c r="Q3608" s="486"/>
      <c r="R3608" s="486"/>
      <c r="S3608" s="486"/>
      <c r="T3608" s="102">
        <f t="shared" si="2734"/>
        <v>0</v>
      </c>
      <c r="U3608" s="78">
        <f>IF(NOT(ISNUMBER(G3608)), "", VLOOKUP(A3608,'Discount Lookup'!D:E,2,FALSE)*G3608)</f>
        <v>0</v>
      </c>
      <c r="V3608" s="78">
        <f>IF(NOT(ISNUMBER(G3608)), "", VLOOKUP(A3608,'Discount Lookup'!G:H,2,FALSE)*G3608)</f>
        <v>0</v>
      </c>
      <c r="W3608" s="102">
        <f t="shared" si="2735"/>
        <v>0</v>
      </c>
      <c r="X3608" s="102">
        <f t="shared" si="2736"/>
        <v>0</v>
      </c>
      <c r="Y3608" s="120" t="b">
        <f t="shared" si="2737"/>
        <v>0</v>
      </c>
      <c r="Z3608" s="117">
        <f t="shared" si="2738"/>
        <v>0</v>
      </c>
      <c r="AA3608" s="118"/>
      <c r="AB3608" s="118" t="str">
        <f t="shared" si="2739"/>
        <v/>
      </c>
      <c r="AC3608" s="712" t="str">
        <f>IF(AE3608="T2G","no charge",IF(AND(OR(PlanterYesMe="No",PlanterYesMe="N",PlanterYesMe="me"),H3608=""),"",IF(H3608="credit","NO install",IF(AND(K3608="",AE3608="me"),"EACH row",IF(AND(K3608="images",AE3608="me"),"EACH row",IF(D3608="","",IF(H3608="credit","",IF(AE3608="free","re-planting",IF(AE3608="me","   not ELP, by",IF(AND(OR(PlanterYesMe="Yes",PlanterYesMe="Y"),G3608&gt;0),(VLOOKUP(A3608,'Discount Lookup'!J:K,2)*G3608*(1-PlanterDiscount)*(1+PlanterDifficultyPercentage)),IF(AE3608="ELP",(VLOOKUP(A3608,'Discount Lookup'!J:K,2)*G3608*(1-PlanterDiscount)*(1+PlanterDifficultyPercentage)),IF(AE3608="free","re-planting",IF(G3608=0,"",IF(PlanterYesMe="",IF(AE3608="me","   not ELP, by",IF(AE3608="",IF(G3608&gt;0,(VLOOKUP(A3608,'Discount Lookup'!J:K,2)*G3608*(1-PlanterDiscount)*(1+PlanterDifficultyPercentage)),""),"")),"   not ELP, by"))))))))))))))</f>
        <v/>
      </c>
      <c r="AD3608" s="712"/>
      <c r="AE3608" s="513" t="str">
        <f t="shared" si="2740"/>
        <v/>
      </c>
      <c r="AF3608" s="713" t="str">
        <f t="shared" si="2741"/>
        <v/>
      </c>
      <c r="AG3608" s="713"/>
      <c r="AH3608" s="713"/>
      <c r="AI3608" s="112">
        <f>IF(H3608="credit",0,IF(AE3608="free",0,IF(AE3608="me",0,IF(G3608&gt;0,(VLOOKUP(A3608,'Discount Lookup'!J:K,2)*G3608),0))))</f>
        <v>0</v>
      </c>
      <c r="AJ3608" s="107" t="str">
        <f t="shared" ca="1" si="2742"/>
        <v/>
      </c>
      <c r="AK3608" s="714" t="str">
        <f t="shared" si="2743"/>
        <v/>
      </c>
      <c r="AL3608" s="714"/>
      <c r="AM3608" s="114" t="str">
        <f t="shared" si="2744"/>
        <v/>
      </c>
      <c r="AN3608" s="115"/>
      <c r="AO3608" s="116"/>
      <c r="AP3608" s="116"/>
      <c r="AQ3608" s="116"/>
      <c r="AR3608" s="116"/>
      <c r="AS3608" s="116"/>
      <c r="AT3608" s="116"/>
      <c r="AU3608" s="116"/>
      <c r="AV3608" s="78"/>
      <c r="AW3608" s="102"/>
      <c r="AX3608" s="78"/>
      <c r="AY3608" s="78"/>
      <c r="AZ3608" s="78"/>
      <c r="BA3608" s="78"/>
      <c r="BB3608" s="78"/>
      <c r="BC3608" s="78"/>
      <c r="BD3608" s="78"/>
      <c r="BE3608" s="465"/>
      <c r="BF3608" s="165" t="str">
        <f t="shared" si="2745"/>
        <v>https://www.google.com/search?tbm=isch&amp;q=3%20G3</v>
      </c>
      <c r="BG3608" s="165" t="str">
        <f t="shared" si="2746"/>
        <v>R</v>
      </c>
      <c r="BH3608" s="65"/>
      <c r="BI3608" s="65"/>
      <c r="BJ3608" s="65"/>
      <c r="BK3608" s="65"/>
      <c r="BL3608" s="99"/>
      <c r="BM3608" s="99"/>
      <c r="BN3608" s="99"/>
    </row>
    <row r="3609" spans="1:66" s="51" customFormat="1" ht="15.75" x14ac:dyDescent="0.25">
      <c r="A3609" s="478">
        <v>3</v>
      </c>
      <c r="B3609" s="479" t="s">
        <v>291</v>
      </c>
      <c r="C3609" s="480" t="s">
        <v>15</v>
      </c>
      <c r="D3609" s="481" t="s">
        <v>329</v>
      </c>
      <c r="E3609" s="482">
        <v>24.95</v>
      </c>
      <c r="F3609" s="483" t="s">
        <v>292</v>
      </c>
      <c r="G3609" s="484">
        <v>0</v>
      </c>
      <c r="H3609" s="688" t="str">
        <f>IF(G3609=0,"",IF(F3609="Buy",IF(G3609=1,"plant","plants"),IF(F3609&gt;0.01,"warranty","Error")))</f>
        <v/>
      </c>
      <c r="I3609" s="485">
        <f>IF(H3609="free",0,IF(H3609="credit",((E3609*(F3609))*G3609*-1),IF(F3609="Buy",(E3609*G3609),((E3609*(1-F3609))*G3609))))</f>
        <v>0</v>
      </c>
      <c r="J3609" s="485">
        <f>IF(H3609="warranty",0,(I3609*(_xlfn.SINGLE(SalesTaxPercentage))))</f>
        <v>0</v>
      </c>
      <c r="K3609" s="715">
        <f t="shared" ref="K3609" si="2749">I3609+J3609</f>
        <v>0</v>
      </c>
      <c r="L3609" s="715"/>
      <c r="M3609" s="689" t="str">
        <f ca="1">IF(AND(G3609&gt;0,E3609=0),"WARNING - no PRICE inserted",IF(H3609="free","FREE ~ no charge this plant",IF(H3609="credit",CONCATENATE("-$",ROUND(K3609*(1-_xlfn.SINGLE(T2GDiscount))*-1,2)," CREDIT after discount"),IF(_xlfn.SINGLE(T2GDiscount)=0,"",IF(G3609=0,"",IF(F3609="Buy",CONCATENATE("$",ROUND(K3609*(1-_xlfn.SINGLE(T2GDiscount)),2)," with ",(_xlfn.SINGLE(T2GDiscount)*100),"% discount"),CONCATENATE("$",ROUND(K3609*(1-_xlfn.SINGLE(T2GDiscount)),2)," with ",((_xlfn.SINGLE(T2GDiscount)*100+F3609*100)-(_xlfn.SINGLE(T2GDiscount)*100*F3609)),IF(F3609&gt;0,"% discounts",IF(_xlfn.SINGLE(NoWarrantyDiscount)&gt;0,"% discounts","% discount")))))))))</f>
        <v/>
      </c>
      <c r="N3609" s="690"/>
      <c r="O3609" s="486"/>
      <c r="P3609" s="486"/>
      <c r="Q3609" s="486"/>
      <c r="R3609" s="486"/>
      <c r="S3609" s="486"/>
      <c r="T3609" s="102">
        <f t="shared" si="2734"/>
        <v>0</v>
      </c>
      <c r="U3609" s="78">
        <f>IF(NOT(ISNUMBER(G3609)), "", VLOOKUP(A3609,'Discount Lookup'!D:E,2,FALSE)*G3609)</f>
        <v>0</v>
      </c>
      <c r="V3609" s="78">
        <f>IF(NOT(ISNUMBER(G3609)), "", VLOOKUP(A3609,'Discount Lookup'!G:H,2,FALSE)*G3609)</f>
        <v>0</v>
      </c>
      <c r="W3609" s="102">
        <f t="shared" si="2735"/>
        <v>0</v>
      </c>
      <c r="X3609" s="102">
        <f t="shared" si="2736"/>
        <v>0</v>
      </c>
      <c r="Y3609" s="120" t="b">
        <f t="shared" si="2737"/>
        <v>0</v>
      </c>
      <c r="Z3609" s="117">
        <f t="shared" si="2738"/>
        <v>0</v>
      </c>
      <c r="AA3609" s="118"/>
      <c r="AB3609" s="118" t="str">
        <f t="shared" si="2739"/>
        <v/>
      </c>
      <c r="AC3609" s="712" t="str">
        <f>IF(AE3609="T2G","no charge",IF(AND(OR(PlanterYesMe="No",PlanterYesMe="N",PlanterYesMe="me"),H3609=""),"",IF(H3609="credit","NO install",IF(AND(K3609="",AE3609="me"),"EACH row",IF(AND(K3609="images",AE3609="me"),"EACH row",IF(D3609="","",IF(H3609="credit","",IF(AE3609="free","re-planting",IF(AE3609="me","   not ELP, by",IF(AND(OR(PlanterYesMe="Yes",PlanterYesMe="Y"),G3609&gt;0),(VLOOKUP(A3609,'Discount Lookup'!J:K,2)*G3609*(1-PlanterDiscount)*(1+PlanterDifficultyPercentage)),IF(AE3609="ELP",(VLOOKUP(A3609,'Discount Lookup'!J:K,2)*G3609*(1-PlanterDiscount)*(1+PlanterDifficultyPercentage)),IF(AE3609="free","re-planting",IF(G3609=0,"",IF(PlanterYesMe="",IF(AE3609="me","   not ELP, by",IF(AE3609="",IF(G3609&gt;0,(VLOOKUP(A3609,'Discount Lookup'!J:K,2)*G3609*(1-PlanterDiscount)*(1+PlanterDifficultyPercentage)),""),"")),"   not ELP, by"))))))))))))))</f>
        <v/>
      </c>
      <c r="AD3609" s="712"/>
      <c r="AE3609" s="513" t="str">
        <f t="shared" si="2740"/>
        <v/>
      </c>
      <c r="AF3609" s="713" t="str">
        <f t="shared" si="2741"/>
        <v/>
      </c>
      <c r="AG3609" s="713"/>
      <c r="AH3609" s="713"/>
      <c r="AI3609" s="112">
        <f>IF(H3609="credit",0,IF(AE3609="free",0,IF(AE3609="me",0,IF(G3609&gt;0,(VLOOKUP(A3609,'Discount Lookup'!J:K,2)*G3609),0))))</f>
        <v>0</v>
      </c>
      <c r="AJ3609" s="107" t="str">
        <f t="shared" ca="1" si="2742"/>
        <v/>
      </c>
      <c r="AK3609" s="714" t="str">
        <f t="shared" si="2743"/>
        <v/>
      </c>
      <c r="AL3609" s="714"/>
      <c r="AM3609" s="114" t="str">
        <f t="shared" si="2744"/>
        <v/>
      </c>
      <c r="AN3609" s="115"/>
      <c r="AO3609" s="116"/>
      <c r="AP3609" s="116"/>
      <c r="AQ3609" s="116"/>
      <c r="AR3609" s="116"/>
      <c r="AS3609" s="116"/>
      <c r="AT3609" s="116"/>
      <c r="AU3609" s="116"/>
      <c r="AV3609" s="78"/>
      <c r="AW3609" s="102"/>
      <c r="AX3609" s="78"/>
      <c r="AY3609" s="78"/>
      <c r="AZ3609" s="78"/>
      <c r="BA3609" s="78"/>
      <c r="BB3609" s="78"/>
      <c r="BC3609" s="78"/>
      <c r="BD3609" s="78"/>
      <c r="BE3609" s="465"/>
      <c r="BF3609" s="165" t="str">
        <f t="shared" si="2745"/>
        <v>https://www.google.com/search?tbm=isch&amp;q=3%20G2</v>
      </c>
      <c r="BG3609" s="165" t="str">
        <f t="shared" si="2746"/>
        <v>R</v>
      </c>
      <c r="BH3609" s="65"/>
      <c r="BI3609" s="65"/>
      <c r="BJ3609" s="65"/>
      <c r="BK3609" s="65"/>
      <c r="BL3609" s="99"/>
      <c r="BM3609" s="99"/>
      <c r="BN3609" s="99"/>
    </row>
    <row r="3610" spans="1:66" s="51" customFormat="1" ht="15.75" x14ac:dyDescent="0.25">
      <c r="A3610" s="478">
        <v>3</v>
      </c>
      <c r="B3610" s="479" t="s">
        <v>291</v>
      </c>
      <c r="C3610" s="480" t="s">
        <v>4025</v>
      </c>
      <c r="D3610" s="481" t="s">
        <v>311</v>
      </c>
      <c r="E3610" s="482">
        <v>33.950000000000003</v>
      </c>
      <c r="F3610" s="483" t="s">
        <v>292</v>
      </c>
      <c r="G3610" s="484">
        <v>0</v>
      </c>
      <c r="H3610" s="688" t="str">
        <f>IF(G3610=0,"",IF(F3610="Buy",IF(G3610=1,"plant","plants"),IF(F3610&gt;0.01,"warranty","Error")))</f>
        <v/>
      </c>
      <c r="I3610" s="485">
        <f>IF(H3610="free",0,IF(H3610="credit",((E3610*(F3610))*G3610*-1),IF(F3610="Buy",(E3610*G3610),((E3610*(1-F3610))*G3610))))</f>
        <v>0</v>
      </c>
      <c r="J3610" s="485">
        <f>IF(H3610="warranty",0,(I3610*(_xlfn.SINGLE(SalesTaxPercentage))))</f>
        <v>0</v>
      </c>
      <c r="K3610" s="715">
        <f t="shared" ref="K3610" si="2750">I3610+J3610</f>
        <v>0</v>
      </c>
      <c r="L3610" s="715"/>
      <c r="M3610" s="689" t="str">
        <f ca="1">IF(AND(G3610&gt;0,E3610=0),"WARNING - no PRICE inserted",IF(H3610="free","FREE ~ no charge this plant",IF(H3610="credit",CONCATENATE("-$",ROUND(K3610*(1-_xlfn.SINGLE(T2GDiscount))*-1,2)," CREDIT after discount"),IF(_xlfn.SINGLE(T2GDiscount)=0,"",IF(G3610=0,"",IF(F3610="Buy",CONCATENATE("$",ROUND(K3610*(1-_xlfn.SINGLE(T2GDiscount)),2)," with ",(_xlfn.SINGLE(T2GDiscount)*100),"% discount"),CONCATENATE("$",ROUND(K3610*(1-_xlfn.SINGLE(T2GDiscount)),2)," with ",((_xlfn.SINGLE(T2GDiscount)*100+F3610*100)-(_xlfn.SINGLE(T2GDiscount)*100*F3610)),IF(F3610&gt;0,"% discounts",IF(_xlfn.SINGLE(NoWarrantyDiscount)&gt;0,"% discounts","% discount")))))))))</f>
        <v/>
      </c>
      <c r="N3610" s="690"/>
      <c r="O3610" s="486"/>
      <c r="P3610" s="486"/>
      <c r="Q3610" s="486"/>
      <c r="R3610" s="486"/>
      <c r="S3610" s="486"/>
      <c r="T3610" s="102">
        <f t="shared" si="2734"/>
        <v>0</v>
      </c>
      <c r="U3610" s="78">
        <f>IF(NOT(ISNUMBER(G3610)), "", VLOOKUP(A3610,'Discount Lookup'!D:E,2,FALSE)*G3610)</f>
        <v>0</v>
      </c>
      <c r="V3610" s="78">
        <f>IF(NOT(ISNUMBER(G3610)), "", VLOOKUP(A3610,'Discount Lookup'!G:H,2,FALSE)*G3610)</f>
        <v>0</v>
      </c>
      <c r="W3610" s="102">
        <f t="shared" si="2735"/>
        <v>0</v>
      </c>
      <c r="X3610" s="102">
        <f t="shared" si="2736"/>
        <v>0</v>
      </c>
      <c r="Y3610" s="120" t="b">
        <f t="shared" si="2737"/>
        <v>0</v>
      </c>
      <c r="Z3610" s="117">
        <f t="shared" si="2738"/>
        <v>0</v>
      </c>
      <c r="AA3610" s="118"/>
      <c r="AB3610" s="118" t="str">
        <f t="shared" si="2739"/>
        <v/>
      </c>
      <c r="AC3610" s="712" t="str">
        <f>IF(AE3610="T2G","no charge",IF(AND(OR(PlanterYesMe="No",PlanterYesMe="N",PlanterYesMe="me"),H3610=""),"",IF(H3610="credit","NO install",IF(AND(K3610="",AE3610="me"),"EACH row",IF(AND(K3610="images",AE3610="me"),"EACH row",IF(D3610="","",IF(H3610="credit","",IF(AE3610="free","re-planting",IF(AE3610="me","   not ELP, by",IF(AND(OR(PlanterYesMe="Yes",PlanterYesMe="Y"),G3610&gt;0),(VLOOKUP(A3610,'Discount Lookup'!J:K,2)*G3610*(1-PlanterDiscount)*(1+PlanterDifficultyPercentage)),IF(AE3610="ELP",(VLOOKUP(A3610,'Discount Lookup'!J:K,2)*G3610*(1-PlanterDiscount)*(1+PlanterDifficultyPercentage)),IF(AE3610="free","re-planting",IF(G3610=0,"",IF(PlanterYesMe="",IF(AE3610="me","   not ELP, by",IF(AE3610="",IF(G3610&gt;0,(VLOOKUP(A3610,'Discount Lookup'!J:K,2)*G3610*(1-PlanterDiscount)*(1+PlanterDifficultyPercentage)),""),"")),"   not ELP, by"))))))))))))))</f>
        <v/>
      </c>
      <c r="AD3610" s="712"/>
      <c r="AE3610" s="513" t="str">
        <f t="shared" si="2740"/>
        <v/>
      </c>
      <c r="AF3610" s="713" t="str">
        <f t="shared" si="2741"/>
        <v/>
      </c>
      <c r="AG3610" s="713"/>
      <c r="AH3610" s="713"/>
      <c r="AI3610" s="112">
        <f>IF(H3610="credit",0,IF(AE3610="free",0,IF(AE3610="me",0,IF(G3610&gt;0,(VLOOKUP(A3610,'Discount Lookup'!J:K,2)*G3610),0))))</f>
        <v>0</v>
      </c>
      <c r="AJ3610" s="107" t="str">
        <f t="shared" ca="1" si="2742"/>
        <v/>
      </c>
      <c r="AK3610" s="714" t="str">
        <f t="shared" si="2743"/>
        <v/>
      </c>
      <c r="AL3610" s="714"/>
      <c r="AM3610" s="114" t="str">
        <f t="shared" si="2744"/>
        <v/>
      </c>
      <c r="AN3610" s="115"/>
      <c r="AO3610" s="116"/>
      <c r="AP3610" s="116"/>
      <c r="AQ3610" s="116"/>
      <c r="AR3610" s="116"/>
      <c r="AS3610" s="116"/>
      <c r="AT3610" s="116"/>
      <c r="AU3610" s="116"/>
      <c r="AV3610" s="78"/>
      <c r="AW3610" s="102"/>
      <c r="AX3610" s="78"/>
      <c r="AY3610" s="78"/>
      <c r="AZ3610" s="78"/>
      <c r="BA3610" s="78"/>
      <c r="BB3610" s="78"/>
      <c r="BC3610" s="78"/>
      <c r="BD3610" s="78"/>
      <c r="BE3610" s="465"/>
      <c r="BF3610" s="165" t="str">
        <f t="shared" si="2745"/>
        <v>https://www.google.com/search?tbm=isch&amp;q=3%20G5</v>
      </c>
      <c r="BG3610" s="165" t="str">
        <f t="shared" si="2746"/>
        <v>R</v>
      </c>
      <c r="BH3610" s="65"/>
      <c r="BI3610" s="65"/>
      <c r="BJ3610" s="65"/>
      <c r="BK3610" s="65"/>
      <c r="BL3610" s="99"/>
      <c r="BM3610" s="99"/>
      <c r="BN3610" s="99"/>
    </row>
    <row r="3611" spans="1:66" s="51" customFormat="1" ht="17.25" thickBot="1" x14ac:dyDescent="0.3">
      <c r="A3611" s="508" t="s">
        <v>4026</v>
      </c>
      <c r="B3611" s="487"/>
      <c r="C3611" s="707"/>
      <c r="D3611" s="487"/>
      <c r="E3611" s="487"/>
      <c r="F3611" s="488"/>
      <c r="G3611" s="489"/>
      <c r="H3611" s="487"/>
      <c r="I3611" s="490"/>
      <c r="J3611" s="490"/>
      <c r="K3611" s="491"/>
      <c r="L3611" s="547"/>
      <c r="M3611" s="528"/>
      <c r="N3611" s="492"/>
      <c r="O3611" s="493"/>
      <c r="P3611" s="494"/>
      <c r="Q3611" s="492"/>
      <c r="R3611" s="492"/>
      <c r="S3611" s="699" t="s">
        <v>5248</v>
      </c>
      <c r="T3611" s="102">
        <f t="shared" si="2734"/>
        <v>0</v>
      </c>
      <c r="U3611" s="78" t="str">
        <f>IF(NOT(ISNUMBER(G3611)), "", VLOOKUP(A3611,'Discount Lookup'!D:E,2,FALSE)*G3611)</f>
        <v/>
      </c>
      <c r="V3611" s="78" t="str">
        <f>IF(NOT(ISNUMBER(G3611)), "", VLOOKUP(A3611,'Discount Lookup'!G:H,2,FALSE)*G3611)</f>
        <v/>
      </c>
      <c r="W3611" s="102">
        <f t="shared" si="2735"/>
        <v>0</v>
      </c>
      <c r="X3611" s="102">
        <f t="shared" si="2736"/>
        <v>0</v>
      </c>
      <c r="Y3611" s="120" t="b">
        <f t="shared" si="2737"/>
        <v>0</v>
      </c>
      <c r="Z3611" s="117">
        <f t="shared" si="2738"/>
        <v>0</v>
      </c>
      <c r="AA3611" s="118"/>
      <c r="AB3611" s="118" t="str">
        <f t="shared" si="2739"/>
        <v/>
      </c>
      <c r="AC3611" s="712" t="str">
        <f>IF(AE3611="T2G","no charge",IF(AND(OR(PlanterYesMe="No",PlanterYesMe="N",PlanterYesMe="me"),H3611=""),"",IF(H3611="credit","NO install",IF(AND(K3611="",AE3611="me"),"EACH row",IF(AND(K3611="images",AE3611="me"),"EACH row",IF(D3611="","",IF(H3611="credit","",IF(AE3611="free","re-planting",IF(AE3611="me","   not ELP, by",IF(AND(OR(PlanterYesMe="Yes",PlanterYesMe="Y"),G3611&gt;0),(VLOOKUP(A3611,'Discount Lookup'!J:K,2)*G3611*(1-PlanterDiscount)*(1+PlanterDifficultyPercentage)),IF(AE3611="ELP",(VLOOKUP(A3611,'Discount Lookup'!J:K,2)*G3611*(1-PlanterDiscount)*(1+PlanterDifficultyPercentage)),IF(AE3611="free","re-planting",IF(G3611=0,"",IF(PlanterYesMe="",IF(AE3611="me","   not ELP, by",IF(AE3611="",IF(G3611&gt;0,(VLOOKUP(A3611,'Discount Lookup'!J:K,2)*G3611*(1-PlanterDiscount)*(1+PlanterDifficultyPercentage)),""),"")),"   not ELP, by"))))))))))))))</f>
        <v/>
      </c>
      <c r="AD3611" s="712"/>
      <c r="AE3611" s="513" t="str">
        <f t="shared" si="2740"/>
        <v/>
      </c>
      <c r="AF3611" s="713" t="str">
        <f t="shared" si="2741"/>
        <v/>
      </c>
      <c r="AG3611" s="713"/>
      <c r="AH3611" s="713"/>
      <c r="AI3611" s="112">
        <f>IF(H3611="credit",0,IF(AE3611="free",0,IF(AE3611="me",0,IF(G3611&gt;0,(VLOOKUP(A3611,'Discount Lookup'!J:K,2)*G3611),0))))</f>
        <v>0</v>
      </c>
      <c r="AJ3611" s="107" t="str">
        <f t="shared" ca="1" si="2742"/>
        <v/>
      </c>
      <c r="AK3611" s="714" t="str">
        <f t="shared" si="2743"/>
        <v/>
      </c>
      <c r="AL3611" s="714"/>
      <c r="AM3611" s="114" t="str">
        <f t="shared" si="2744"/>
        <v/>
      </c>
      <c r="AN3611" s="115"/>
      <c r="AO3611" s="116"/>
      <c r="AP3611" s="116"/>
      <c r="AQ3611" s="116"/>
      <c r="AR3611" s="116"/>
      <c r="AS3611" s="116"/>
      <c r="AT3611" s="116"/>
      <c r="AU3611" s="116"/>
      <c r="AV3611" s="78"/>
      <c r="AW3611" s="102"/>
      <c r="AX3611" s="78"/>
      <c r="AY3611" s="78"/>
      <c r="AZ3611" s="78"/>
      <c r="BA3611" s="78"/>
      <c r="BB3611" s="78"/>
      <c r="BC3611" s="78"/>
      <c r="BD3611" s="78"/>
      <c r="BE3611" s="465"/>
      <c r="BF3611" s="165" t="str">
        <f t="shared" si="2745"/>
        <v>https://www.google.com/search?tbm=isch&amp;q=Hardy%20Gardenia%20named%20for%20fragrant%20semi-double%20White%20flowers%20that%20mimic%20true%20gardenias.%20Cold-hardy.%20Minimal%20pruning%20</v>
      </c>
      <c r="BG3611" s="165" t="str">
        <f t="shared" si="2746"/>
        <v>H</v>
      </c>
      <c r="BH3611" s="65"/>
      <c r="BI3611" s="65"/>
      <c r="BJ3611" s="65"/>
      <c r="BK3611" s="65"/>
      <c r="BL3611" s="99"/>
      <c r="BM3611" s="99"/>
      <c r="BN3611" s="99"/>
    </row>
    <row r="3612" spans="1:66" s="51" customFormat="1" ht="18" x14ac:dyDescent="0.25">
      <c r="A3612" s="507" t="s">
        <v>4027</v>
      </c>
      <c r="B3612" s="470"/>
      <c r="C3612" s="706"/>
      <c r="D3612" s="471" t="s">
        <v>4028</v>
      </c>
      <c r="E3612" s="472"/>
      <c r="F3612" s="472"/>
      <c r="G3612" s="472"/>
      <c r="H3612" s="622" t="s">
        <v>1104</v>
      </c>
      <c r="I3612" s="473" t="s">
        <v>4029</v>
      </c>
      <c r="J3612" s="472"/>
      <c r="K3612" s="472"/>
      <c r="L3612" s="561"/>
      <c r="M3612" s="703" t="s">
        <v>5274</v>
      </c>
      <c r="N3612" s="692" t="str">
        <f>IF(AND(ISTEXT($A3612), ISERROR($A3612+0)), HYPERLINK($BF3612, "Images"), "")</f>
        <v>Images</v>
      </c>
      <c r="O3612" s="694" t="s">
        <v>5264</v>
      </c>
      <c r="P3612" s="475"/>
      <c r="Q3612" s="476"/>
      <c r="R3612" s="476"/>
      <c r="S3612" s="477"/>
      <c r="T3612" s="102">
        <f t="shared" si="2734"/>
        <v>0</v>
      </c>
      <c r="U3612" s="78" t="str">
        <f>IF(NOT(ISNUMBER(G3612)), "", VLOOKUP(A3612,'Discount Lookup'!D:E,2,FALSE)*G3612)</f>
        <v/>
      </c>
      <c r="V3612" s="78" t="str">
        <f>IF(NOT(ISNUMBER(G3612)), "", VLOOKUP(A3612,'Discount Lookup'!G:H,2,FALSE)*G3612)</f>
        <v/>
      </c>
      <c r="W3612" s="102">
        <f t="shared" si="2735"/>
        <v>0</v>
      </c>
      <c r="X3612" s="102" t="str">
        <f t="shared" si="2736"/>
        <v>Coral=Pink bloom</v>
      </c>
      <c r="Y3612" s="120" t="b">
        <f t="shared" si="2737"/>
        <v>0</v>
      </c>
      <c r="Z3612" s="117">
        <f t="shared" si="2738"/>
        <v>0</v>
      </c>
      <c r="AA3612" s="118"/>
      <c r="AB3612" s="118" t="str">
        <f t="shared" si="2739"/>
        <v/>
      </c>
      <c r="AC3612" s="712" t="str">
        <f>IF(AE3612="T2G","no charge",IF(AND(OR(PlanterYesMe="No",PlanterYesMe="N",PlanterYesMe="me"),H3612=""),"",IF(H3612="credit","NO install",IF(AND(K3612="",AE3612="me"),"EACH row",IF(AND(K3612="images",AE3612="me"),"EACH row",IF(D3612="","",IF(H3612="credit","",IF(AE3612="free","re-planting",IF(AE3612="me","   not ELP, by",IF(AND(OR(PlanterYesMe="Yes",PlanterYesMe="Y"),G3612&gt;0),(VLOOKUP(A3612,'Discount Lookup'!J:K,2)*G3612*(1-PlanterDiscount)*(1+PlanterDifficultyPercentage)),IF(AE3612="ELP",(VLOOKUP(A3612,'Discount Lookup'!J:K,2)*G3612*(1-PlanterDiscount)*(1+PlanterDifficultyPercentage)),IF(AE3612="free","re-planting",IF(G3612=0,"",IF(PlanterYesMe="",IF(AE3612="me","   not ELP, by",IF(AE3612="",IF(G3612&gt;0,(VLOOKUP(A3612,'Discount Lookup'!J:K,2)*G3612*(1-PlanterDiscount)*(1+PlanterDifficultyPercentage)),""),"")),"   not ELP, by"))))))))))))))</f>
        <v/>
      </c>
      <c r="AD3612" s="712"/>
      <c r="AE3612" s="513" t="str">
        <f t="shared" si="2740"/>
        <v/>
      </c>
      <c r="AF3612" s="713" t="str">
        <f t="shared" si="2741"/>
        <v/>
      </c>
      <c r="AG3612" s="713"/>
      <c r="AH3612" s="713"/>
      <c r="AI3612" s="112">
        <f>IF(H3612="credit",0,IF(AE3612="free",0,IF(AE3612="me",0,IF(G3612&gt;0,(VLOOKUP(A3612,'Discount Lookup'!J:K,2)*G3612),0))))</f>
        <v>0</v>
      </c>
      <c r="AJ3612" s="107" t="str">
        <f t="shared" ca="1" si="2742"/>
        <v/>
      </c>
      <c r="AK3612" s="714" t="str">
        <f t="shared" si="2743"/>
        <v/>
      </c>
      <c r="AL3612" s="714"/>
      <c r="AM3612" s="114" t="str">
        <f t="shared" si="2744"/>
        <v/>
      </c>
      <c r="AN3612" s="115"/>
      <c r="AO3612" s="116"/>
      <c r="AP3612" s="116"/>
      <c r="AQ3612" s="116"/>
      <c r="AR3612" s="116"/>
      <c r="AS3612" s="116"/>
      <c r="AT3612" s="116"/>
      <c r="AU3612" s="116"/>
      <c r="AV3612" s="78"/>
      <c r="AW3612" s="102"/>
      <c r="AX3612" s="78"/>
      <c r="AY3612" s="78"/>
      <c r="AZ3612" s="78"/>
      <c r="BA3612" s="78"/>
      <c r="BB3612" s="78"/>
      <c r="BC3612" s="78"/>
      <c r="BD3612" s="78"/>
      <c r="BE3612" s="465"/>
      <c r="BF3612" s="165" t="str">
        <f t="shared" si="2745"/>
        <v>https://www.google.com/search?tbm=isch&amp;q=Rhod.%20indicum%20%27Coral%20Bells%27%20Coral%20Bells%20Azalea</v>
      </c>
      <c r="BG3612" s="165" t="str">
        <f t="shared" si="2746"/>
        <v>R</v>
      </c>
      <c r="BH3612" s="65"/>
      <c r="BI3612" s="65"/>
      <c r="BJ3612" s="65"/>
      <c r="BK3612" s="65"/>
      <c r="BL3612" s="99"/>
      <c r="BM3612" s="99"/>
      <c r="BN3612" s="99"/>
    </row>
    <row r="3613" spans="1:66" s="51" customFormat="1" ht="15.75" x14ac:dyDescent="0.25">
      <c r="A3613" s="478">
        <v>3</v>
      </c>
      <c r="B3613" s="479" t="s">
        <v>291</v>
      </c>
      <c r="C3613" s="480" t="s">
        <v>4030</v>
      </c>
      <c r="D3613" s="481" t="s">
        <v>311</v>
      </c>
      <c r="E3613" s="482">
        <v>33.950000000000003</v>
      </c>
      <c r="F3613" s="483" t="s">
        <v>292</v>
      </c>
      <c r="G3613" s="484">
        <v>0</v>
      </c>
      <c r="H3613" s="688" t="str">
        <f>IF(G3613=0,"",IF(F3613="Buy",IF(G3613=1,"plant","plants"),IF(F3613&gt;0.01,"warranty","Error")))</f>
        <v/>
      </c>
      <c r="I3613" s="485">
        <f>IF(H3613="free",0,IF(H3613="credit",((E3613*(F3613))*G3613*-1),IF(F3613="Buy",(E3613*G3613),((E3613*(1-F3613))*G3613))))</f>
        <v>0</v>
      </c>
      <c r="J3613" s="485">
        <f>IF(H3613="warranty",0,(I3613*(_xlfn.SINGLE(SalesTaxPercentage))))</f>
        <v>0</v>
      </c>
      <c r="K3613" s="715">
        <f t="shared" ref="K3613" si="2751">I3613+J3613</f>
        <v>0</v>
      </c>
      <c r="L3613" s="715"/>
      <c r="M3613" s="689" t="str">
        <f ca="1">IF(AND(G3613&gt;0,E3613=0),"WARNING - no PRICE inserted",IF(H3613="free","FREE ~ no charge this plant",IF(H3613="credit",CONCATENATE("-$",ROUND(K3613*(1-_xlfn.SINGLE(T2GDiscount))*-1,2)," CREDIT after discount"),IF(_xlfn.SINGLE(T2GDiscount)=0,"",IF(G3613=0,"",IF(F3613="Buy",CONCATENATE("$",ROUND(K3613*(1-_xlfn.SINGLE(T2GDiscount)),2)," with ",(_xlfn.SINGLE(T2GDiscount)*100),"% discount"),CONCATENATE("$",ROUND(K3613*(1-_xlfn.SINGLE(T2GDiscount)),2)," with ",((_xlfn.SINGLE(T2GDiscount)*100+F3613*100)-(_xlfn.SINGLE(T2GDiscount)*100*F3613)),IF(F3613&gt;0,"% discounts",IF(_xlfn.SINGLE(NoWarrantyDiscount)&gt;0,"% discounts","% discount")))))))))</f>
        <v/>
      </c>
      <c r="N3613" s="690"/>
      <c r="O3613" s="486"/>
      <c r="P3613" s="486"/>
      <c r="Q3613" s="486"/>
      <c r="R3613" s="486"/>
      <c r="S3613" s="486"/>
      <c r="T3613" s="102">
        <f t="shared" si="2734"/>
        <v>0</v>
      </c>
      <c r="U3613" s="78">
        <f>IF(NOT(ISNUMBER(G3613)), "", VLOOKUP(A3613,'Discount Lookup'!D:E,2,FALSE)*G3613)</f>
        <v>0</v>
      </c>
      <c r="V3613" s="78">
        <f>IF(NOT(ISNUMBER(G3613)), "", VLOOKUP(A3613,'Discount Lookup'!G:H,2,FALSE)*G3613)</f>
        <v>0</v>
      </c>
      <c r="W3613" s="102">
        <f t="shared" si="2735"/>
        <v>0</v>
      </c>
      <c r="X3613" s="102">
        <f t="shared" si="2736"/>
        <v>0</v>
      </c>
      <c r="Y3613" s="120" t="b">
        <f t="shared" si="2737"/>
        <v>0</v>
      </c>
      <c r="Z3613" s="117">
        <f t="shared" si="2738"/>
        <v>0</v>
      </c>
      <c r="AA3613" s="118"/>
      <c r="AB3613" s="118" t="str">
        <f t="shared" si="2739"/>
        <v/>
      </c>
      <c r="AC3613" s="712" t="str">
        <f>IF(AE3613="T2G","no charge",IF(AND(OR(PlanterYesMe="No",PlanterYesMe="N",PlanterYesMe="me"),H3613=""),"",IF(H3613="credit","NO install",IF(AND(K3613="",AE3613="me"),"EACH row",IF(AND(K3613="images",AE3613="me"),"EACH row",IF(D3613="","",IF(H3613="credit","",IF(AE3613="free","re-planting",IF(AE3613="me","   not ELP, by",IF(AND(OR(PlanterYesMe="Yes",PlanterYesMe="Y"),G3613&gt;0),(VLOOKUP(A3613,'Discount Lookup'!J:K,2)*G3613*(1-PlanterDiscount)*(1+PlanterDifficultyPercentage)),IF(AE3613="ELP",(VLOOKUP(A3613,'Discount Lookup'!J:K,2)*G3613*(1-PlanterDiscount)*(1+PlanterDifficultyPercentage)),IF(AE3613="free","re-planting",IF(G3613=0,"",IF(PlanterYesMe="",IF(AE3613="me","   not ELP, by",IF(AE3613="",IF(G3613&gt;0,(VLOOKUP(A3613,'Discount Lookup'!J:K,2)*G3613*(1-PlanterDiscount)*(1+PlanterDifficultyPercentage)),""),"")),"   not ELP, by"))))))))))))))</f>
        <v/>
      </c>
      <c r="AD3613" s="712"/>
      <c r="AE3613" s="513" t="str">
        <f t="shared" si="2740"/>
        <v/>
      </c>
      <c r="AF3613" s="713" t="str">
        <f t="shared" si="2741"/>
        <v/>
      </c>
      <c r="AG3613" s="713"/>
      <c r="AH3613" s="713"/>
      <c r="AI3613" s="112">
        <f>IF(H3613="credit",0,IF(AE3613="free",0,IF(AE3613="me",0,IF(G3613&gt;0,(VLOOKUP(A3613,'Discount Lookup'!J:K,2)*G3613),0))))</f>
        <v>0</v>
      </c>
      <c r="AJ3613" s="107" t="str">
        <f t="shared" ca="1" si="2742"/>
        <v/>
      </c>
      <c r="AK3613" s="714" t="str">
        <f t="shared" si="2743"/>
        <v/>
      </c>
      <c r="AL3613" s="714"/>
      <c r="AM3613" s="114" t="str">
        <f t="shared" si="2744"/>
        <v/>
      </c>
      <c r="AN3613" s="115"/>
      <c r="AO3613" s="116"/>
      <c r="AP3613" s="116"/>
      <c r="AQ3613" s="116"/>
      <c r="AR3613" s="116"/>
      <c r="AS3613" s="116"/>
      <c r="AT3613" s="116"/>
      <c r="AU3613" s="116"/>
      <c r="AV3613" s="78"/>
      <c r="AW3613" s="102"/>
      <c r="AX3613" s="78"/>
      <c r="AY3613" s="78"/>
      <c r="AZ3613" s="78"/>
      <c r="BA3613" s="78"/>
      <c r="BB3613" s="78"/>
      <c r="BC3613" s="78"/>
      <c r="BD3613" s="78"/>
      <c r="BE3613" s="465"/>
      <c r="BF3613" s="165" t="str">
        <f t="shared" si="2745"/>
        <v>https://www.google.com/search?tbm=isch&amp;q=3%20G5</v>
      </c>
      <c r="BG3613" s="165" t="str">
        <f t="shared" si="2746"/>
        <v>R</v>
      </c>
      <c r="BH3613" s="65"/>
      <c r="BI3613" s="65"/>
      <c r="BJ3613" s="65"/>
      <c r="BK3613" s="65"/>
      <c r="BL3613" s="99"/>
      <c r="BM3613" s="99"/>
      <c r="BN3613" s="99"/>
    </row>
    <row r="3614" spans="1:66" s="51" customFormat="1" ht="17.25" thickBot="1" x14ac:dyDescent="0.3">
      <c r="A3614" s="508" t="s">
        <v>4031</v>
      </c>
      <c r="B3614" s="487"/>
      <c r="C3614" s="707"/>
      <c r="D3614" s="487"/>
      <c r="E3614" s="487"/>
      <c r="F3614" s="488"/>
      <c r="G3614" s="489"/>
      <c r="H3614" s="487"/>
      <c r="I3614" s="490"/>
      <c r="J3614" s="490"/>
      <c r="K3614" s="491"/>
      <c r="L3614" s="547"/>
      <c r="M3614" s="528"/>
      <c r="N3614" s="492"/>
      <c r="O3614" s="493"/>
      <c r="P3614" s="494"/>
      <c r="Q3614" s="492"/>
      <c r="R3614" s="492"/>
      <c r="S3614" s="699" t="s">
        <v>5248</v>
      </c>
      <c r="T3614" s="102">
        <f t="shared" si="2734"/>
        <v>0</v>
      </c>
      <c r="U3614" s="78" t="str">
        <f>IF(NOT(ISNUMBER(G3614)), "", VLOOKUP(A3614,'Discount Lookup'!D:E,2,FALSE)*G3614)</f>
        <v/>
      </c>
      <c r="V3614" s="78" t="str">
        <f>IF(NOT(ISNUMBER(G3614)), "", VLOOKUP(A3614,'Discount Lookup'!G:H,2,FALSE)*G3614)</f>
        <v/>
      </c>
      <c r="W3614" s="102">
        <f t="shared" si="2735"/>
        <v>0</v>
      </c>
      <c r="X3614" s="102">
        <f t="shared" si="2736"/>
        <v>0</v>
      </c>
      <c r="Y3614" s="120" t="b">
        <f t="shared" si="2737"/>
        <v>0</v>
      </c>
      <c r="Z3614" s="117">
        <f t="shared" si="2738"/>
        <v>0</v>
      </c>
      <c r="AA3614" s="118"/>
      <c r="AB3614" s="118" t="str">
        <f t="shared" si="2739"/>
        <v/>
      </c>
      <c r="AC3614" s="712" t="str">
        <f>IF(AE3614="T2G","no charge",IF(AND(OR(PlanterYesMe="No",PlanterYesMe="N",PlanterYesMe="me"),H3614=""),"",IF(H3614="credit","NO install",IF(AND(K3614="",AE3614="me"),"EACH row",IF(AND(K3614="images",AE3614="me"),"EACH row",IF(D3614="","",IF(H3614="credit","",IF(AE3614="free","re-planting",IF(AE3614="me","   not ELP, by",IF(AND(OR(PlanterYesMe="Yes",PlanterYesMe="Y"),G3614&gt;0),(VLOOKUP(A3614,'Discount Lookup'!J:K,2)*G3614*(1-PlanterDiscount)*(1+PlanterDifficultyPercentage)),IF(AE3614="ELP",(VLOOKUP(A3614,'Discount Lookup'!J:K,2)*G3614*(1-PlanterDiscount)*(1+PlanterDifficultyPercentage)),IF(AE3614="free","re-planting",IF(G3614=0,"",IF(PlanterYesMe="",IF(AE3614="me","   not ELP, by",IF(AE3614="",IF(G3614&gt;0,(VLOOKUP(A3614,'Discount Lookup'!J:K,2)*G3614*(1-PlanterDiscount)*(1+PlanterDifficultyPercentage)),""),"")),"   not ELP, by"))))))))))))))</f>
        <v/>
      </c>
      <c r="AD3614" s="712"/>
      <c r="AE3614" s="513" t="str">
        <f t="shared" si="2740"/>
        <v/>
      </c>
      <c r="AF3614" s="713" t="str">
        <f t="shared" si="2741"/>
        <v/>
      </c>
      <c r="AG3614" s="713"/>
      <c r="AH3614" s="713"/>
      <c r="AI3614" s="112">
        <f>IF(H3614="credit",0,IF(AE3614="free",0,IF(AE3614="me",0,IF(G3614&gt;0,(VLOOKUP(A3614,'Discount Lookup'!J:K,2)*G3614),0))))</f>
        <v>0</v>
      </c>
      <c r="AJ3614" s="107" t="str">
        <f t="shared" ca="1" si="2742"/>
        <v/>
      </c>
      <c r="AK3614" s="714" t="str">
        <f t="shared" si="2743"/>
        <v/>
      </c>
      <c r="AL3614" s="714"/>
      <c r="AM3614" s="114" t="str">
        <f t="shared" si="2744"/>
        <v/>
      </c>
      <c r="AN3614" s="115"/>
      <c r="AO3614" s="116"/>
      <c r="AP3614" s="116"/>
      <c r="AQ3614" s="116"/>
      <c r="AR3614" s="116"/>
      <c r="AS3614" s="116"/>
      <c r="AT3614" s="116"/>
      <c r="AU3614" s="116"/>
      <c r="AV3614" s="78"/>
      <c r="AW3614" s="102"/>
      <c r="AX3614" s="78"/>
      <c r="AY3614" s="78"/>
      <c r="AZ3614" s="78"/>
      <c r="BA3614" s="78"/>
      <c r="BB3614" s="78"/>
      <c r="BC3614" s="78"/>
      <c r="BD3614" s="78"/>
      <c r="BE3614" s="465"/>
      <c r="BF3614" s="165" t="str">
        <f t="shared" si="2745"/>
        <v>https://www.google.com/search?tbm=isch&amp;q=Coral%20Bells%20named%20for%20trumpet-shaped%20flowers.%20Dense%2C%20mounding%20habit%20with%20Glossy%20Green%20foliage%20that%20turns%20Burgundy%20in%20fall%20</v>
      </c>
      <c r="BG3614" s="165" t="str">
        <f t="shared" si="2746"/>
        <v>C</v>
      </c>
      <c r="BH3614" s="65"/>
      <c r="BI3614" s="65"/>
      <c r="BJ3614" s="65"/>
      <c r="BK3614" s="65"/>
      <c r="BL3614" s="99"/>
      <c r="BM3614" s="99"/>
      <c r="BN3614" s="99"/>
    </row>
    <row r="3615" spans="1:66" s="51" customFormat="1" ht="18" x14ac:dyDescent="0.25">
      <c r="A3615" s="507" t="s">
        <v>4032</v>
      </c>
      <c r="B3615" s="470"/>
      <c r="C3615" s="706"/>
      <c r="D3615" s="471" t="s">
        <v>4033</v>
      </c>
      <c r="E3615" s="472"/>
      <c r="F3615" s="472"/>
      <c r="G3615" s="472"/>
      <c r="H3615" s="622" t="s">
        <v>1217</v>
      </c>
      <c r="I3615" s="473" t="s">
        <v>4034</v>
      </c>
      <c r="J3615" s="472"/>
      <c r="K3615" s="472"/>
      <c r="L3615" s="561"/>
      <c r="M3615" s="703" t="s">
        <v>5274</v>
      </c>
      <c r="N3615" s="692" t="str">
        <f>IF(AND(ISTEXT($A3615), ISERROR($A3615+0)), HYPERLINK($BF3615, "Images"), "")</f>
        <v>Images</v>
      </c>
      <c r="O3615" s="694" t="s">
        <v>5264</v>
      </c>
      <c r="P3615" s="475"/>
      <c r="Q3615" s="476"/>
      <c r="R3615" s="476"/>
      <c r="S3615" s="477"/>
      <c r="T3615" s="102">
        <f t="shared" si="2734"/>
        <v>0</v>
      </c>
      <c r="U3615" s="78" t="str">
        <f>IF(NOT(ISNUMBER(G3615)), "", VLOOKUP(A3615,'Discount Lookup'!D:E,2,FALSE)*G3615)</f>
        <v/>
      </c>
      <c r="V3615" s="78" t="str">
        <f>IF(NOT(ISNUMBER(G3615)), "", VLOOKUP(A3615,'Discount Lookup'!G:H,2,FALSE)*G3615)</f>
        <v/>
      </c>
      <c r="W3615" s="102">
        <f t="shared" si="2735"/>
        <v>0</v>
      </c>
      <c r="X3615" s="102" t="str">
        <f t="shared" si="2736"/>
        <v>Lavender-Purple +darker blotch</v>
      </c>
      <c r="Y3615" s="120" t="b">
        <f t="shared" si="2737"/>
        <v>0</v>
      </c>
      <c r="Z3615" s="117">
        <f t="shared" si="2738"/>
        <v>0</v>
      </c>
      <c r="AA3615" s="118"/>
      <c r="AB3615" s="118" t="str">
        <f t="shared" si="2739"/>
        <v/>
      </c>
      <c r="AC3615" s="712" t="str">
        <f>IF(AE3615="T2G","no charge",IF(AND(OR(PlanterYesMe="No",PlanterYesMe="N",PlanterYesMe="me"),H3615=""),"",IF(H3615="credit","NO install",IF(AND(K3615="",AE3615="me"),"EACH row",IF(AND(K3615="images",AE3615="me"),"EACH row",IF(D3615="","",IF(H3615="credit","",IF(AE3615="free","re-planting",IF(AE3615="me","   not ELP, by",IF(AND(OR(PlanterYesMe="Yes",PlanterYesMe="Y"),G3615&gt;0),(VLOOKUP(A3615,'Discount Lookup'!J:K,2)*G3615*(1-PlanterDiscount)*(1+PlanterDifficultyPercentage)),IF(AE3615="ELP",(VLOOKUP(A3615,'Discount Lookup'!J:K,2)*G3615*(1-PlanterDiscount)*(1+PlanterDifficultyPercentage)),IF(AE3615="free","re-planting",IF(G3615=0,"",IF(PlanterYesMe="",IF(AE3615="me","   not ELP, by",IF(AE3615="",IF(G3615&gt;0,(VLOOKUP(A3615,'Discount Lookup'!J:K,2)*G3615*(1-PlanterDiscount)*(1+PlanterDifficultyPercentage)),""),"")),"   not ELP, by"))))))))))))))</f>
        <v/>
      </c>
      <c r="AD3615" s="712"/>
      <c r="AE3615" s="513" t="str">
        <f t="shared" si="2740"/>
        <v/>
      </c>
      <c r="AF3615" s="713" t="str">
        <f t="shared" si="2741"/>
        <v/>
      </c>
      <c r="AG3615" s="713"/>
      <c r="AH3615" s="713"/>
      <c r="AI3615" s="112">
        <f>IF(H3615="credit",0,IF(AE3615="free",0,IF(AE3615="me",0,IF(G3615&gt;0,(VLOOKUP(A3615,'Discount Lookup'!J:K,2)*G3615),0))))</f>
        <v>0</v>
      </c>
      <c r="AJ3615" s="107" t="str">
        <f t="shared" ca="1" si="2742"/>
        <v/>
      </c>
      <c r="AK3615" s="714" t="str">
        <f t="shared" si="2743"/>
        <v/>
      </c>
      <c r="AL3615" s="714"/>
      <c r="AM3615" s="114" t="str">
        <f t="shared" si="2744"/>
        <v/>
      </c>
      <c r="AN3615" s="115"/>
      <c r="AO3615" s="116"/>
      <c r="AP3615" s="116"/>
      <c r="AQ3615" s="116"/>
      <c r="AR3615" s="116"/>
      <c r="AS3615" s="116"/>
      <c r="AT3615" s="116"/>
      <c r="AU3615" s="116"/>
      <c r="AV3615" s="78"/>
      <c r="AW3615" s="102"/>
      <c r="AX3615" s="78"/>
      <c r="AY3615" s="78"/>
      <c r="AZ3615" s="78"/>
      <c r="BA3615" s="78"/>
      <c r="BB3615" s="78"/>
      <c r="BC3615" s="78"/>
      <c r="BD3615" s="78"/>
      <c r="BE3615" s="465"/>
      <c r="BF3615" s="165" t="str">
        <f t="shared" si="2745"/>
        <v>https://www.google.com/search?tbm=isch&amp;q=Rhod.%20indicum%20%27Formosa%27%20Formosa%20Azalea</v>
      </c>
      <c r="BG3615" s="165" t="str">
        <f t="shared" si="2746"/>
        <v>R</v>
      </c>
      <c r="BH3615" s="65"/>
      <c r="BI3615" s="65"/>
      <c r="BJ3615" s="65"/>
      <c r="BK3615" s="65"/>
      <c r="BL3615" s="99"/>
      <c r="BM3615" s="99"/>
      <c r="BN3615" s="99"/>
    </row>
    <row r="3616" spans="1:66" s="51" customFormat="1" ht="15.75" x14ac:dyDescent="0.25">
      <c r="A3616" s="478">
        <v>3</v>
      </c>
      <c r="B3616" s="479" t="s">
        <v>291</v>
      </c>
      <c r="C3616" s="480" t="s">
        <v>4035</v>
      </c>
      <c r="D3616" s="481" t="s">
        <v>309</v>
      </c>
      <c r="E3616" s="482">
        <v>22.95</v>
      </c>
      <c r="F3616" s="483" t="s">
        <v>292</v>
      </c>
      <c r="G3616" s="484">
        <v>0</v>
      </c>
      <c r="H3616" s="688" t="str">
        <f>IF(G3616=0,"",IF(F3616="Buy",IF(G3616=1,"plant","plants"),IF(F3616&gt;0.01,"warranty","Error")))</f>
        <v/>
      </c>
      <c r="I3616" s="485">
        <f>IF(H3616="free",0,IF(H3616="credit",((E3616*(F3616))*G3616*-1),IF(F3616="Buy",(E3616*G3616),((E3616*(1-F3616))*G3616))))</f>
        <v>0</v>
      </c>
      <c r="J3616" s="485">
        <f>IF(H3616="warranty",0,(I3616*(_xlfn.SINGLE(SalesTaxPercentage))))</f>
        <v>0</v>
      </c>
      <c r="K3616" s="715">
        <f t="shared" ref="K3616" si="2752">I3616+J3616</f>
        <v>0</v>
      </c>
      <c r="L3616" s="715"/>
      <c r="M3616" s="689" t="str">
        <f ca="1">IF(AND(G3616&gt;0,E3616=0),"WARNING - no PRICE inserted",IF(H3616="free","FREE ~ no charge this plant",IF(H3616="credit",CONCATENATE("-$",ROUND(K3616*(1-_xlfn.SINGLE(T2GDiscount))*-1,2)," CREDIT after discount"),IF(_xlfn.SINGLE(T2GDiscount)=0,"",IF(G3616=0,"",IF(F3616="Buy",CONCATENATE("$",ROUND(K3616*(1-_xlfn.SINGLE(T2GDiscount)),2)," with ",(_xlfn.SINGLE(T2GDiscount)*100),"% discount"),CONCATENATE("$",ROUND(K3616*(1-_xlfn.SINGLE(T2GDiscount)),2)," with ",((_xlfn.SINGLE(T2GDiscount)*100+F3616*100)-(_xlfn.SINGLE(T2GDiscount)*100*F3616)),IF(F3616&gt;0,"% discounts",IF(_xlfn.SINGLE(NoWarrantyDiscount)&gt;0,"% discounts","% discount")))))))))</f>
        <v/>
      </c>
      <c r="N3616" s="690"/>
      <c r="O3616" s="486"/>
      <c r="P3616" s="486"/>
      <c r="Q3616" s="486"/>
      <c r="R3616" s="486"/>
      <c r="S3616" s="486"/>
      <c r="T3616" s="102">
        <f t="shared" si="2734"/>
        <v>0</v>
      </c>
      <c r="U3616" s="78">
        <f>IF(NOT(ISNUMBER(G3616)), "", VLOOKUP(A3616,'Discount Lookup'!D:E,2,FALSE)*G3616)</f>
        <v>0</v>
      </c>
      <c r="V3616" s="78">
        <f>IF(NOT(ISNUMBER(G3616)), "", VLOOKUP(A3616,'Discount Lookup'!G:H,2,FALSE)*G3616)</f>
        <v>0</v>
      </c>
      <c r="W3616" s="102">
        <f t="shared" si="2735"/>
        <v>0</v>
      </c>
      <c r="X3616" s="102">
        <f t="shared" si="2736"/>
        <v>0</v>
      </c>
      <c r="Y3616" s="120" t="b">
        <f t="shared" si="2737"/>
        <v>0</v>
      </c>
      <c r="Z3616" s="117">
        <f t="shared" si="2738"/>
        <v>0</v>
      </c>
      <c r="AA3616" s="118"/>
      <c r="AB3616" s="118" t="str">
        <f t="shared" si="2739"/>
        <v/>
      </c>
      <c r="AC3616" s="712" t="str">
        <f>IF(AE3616="T2G","no charge",IF(AND(OR(PlanterYesMe="No",PlanterYesMe="N",PlanterYesMe="me"),H3616=""),"",IF(H3616="credit","NO install",IF(AND(K3616="",AE3616="me"),"EACH row",IF(AND(K3616="images",AE3616="me"),"EACH row",IF(D3616="","",IF(H3616="credit","",IF(AE3616="free","re-planting",IF(AE3616="me","   not ELP, by",IF(AND(OR(PlanterYesMe="Yes",PlanterYesMe="Y"),G3616&gt;0),(VLOOKUP(A3616,'Discount Lookup'!J:K,2)*G3616*(1-PlanterDiscount)*(1+PlanterDifficultyPercentage)),IF(AE3616="ELP",(VLOOKUP(A3616,'Discount Lookup'!J:K,2)*G3616*(1-PlanterDiscount)*(1+PlanterDifficultyPercentage)),IF(AE3616="free","re-planting",IF(G3616=0,"",IF(PlanterYesMe="",IF(AE3616="me","   not ELP, by",IF(AE3616="",IF(G3616&gt;0,(VLOOKUP(A3616,'Discount Lookup'!J:K,2)*G3616*(1-PlanterDiscount)*(1+PlanterDifficultyPercentage)),""),"")),"   not ELP, by"))))))))))))))</f>
        <v/>
      </c>
      <c r="AD3616" s="712"/>
      <c r="AE3616" s="513" t="str">
        <f t="shared" si="2740"/>
        <v/>
      </c>
      <c r="AF3616" s="713" t="str">
        <f t="shared" si="2741"/>
        <v/>
      </c>
      <c r="AG3616" s="713"/>
      <c r="AH3616" s="713"/>
      <c r="AI3616" s="112">
        <f>IF(H3616="credit",0,IF(AE3616="free",0,IF(AE3616="me",0,IF(G3616&gt;0,(VLOOKUP(A3616,'Discount Lookup'!J:K,2)*G3616),0))))</f>
        <v>0</v>
      </c>
      <c r="AJ3616" s="107" t="str">
        <f t="shared" ca="1" si="2742"/>
        <v/>
      </c>
      <c r="AK3616" s="714" t="str">
        <f t="shared" si="2743"/>
        <v/>
      </c>
      <c r="AL3616" s="714"/>
      <c r="AM3616" s="114" t="str">
        <f t="shared" si="2744"/>
        <v/>
      </c>
      <c r="AN3616" s="115"/>
      <c r="AO3616" s="116"/>
      <c r="AP3616" s="116"/>
      <c r="AQ3616" s="116"/>
      <c r="AR3616" s="116"/>
      <c r="AS3616" s="116"/>
      <c r="AT3616" s="116"/>
      <c r="AU3616" s="116"/>
      <c r="AV3616" s="78"/>
      <c r="AW3616" s="102"/>
      <c r="AX3616" s="78"/>
      <c r="AY3616" s="78"/>
      <c r="AZ3616" s="78"/>
      <c r="BA3616" s="78"/>
      <c r="BB3616" s="78"/>
      <c r="BC3616" s="78"/>
      <c r="BD3616" s="78"/>
      <c r="BE3616" s="465"/>
      <c r="BF3616" s="165" t="str">
        <f t="shared" si="2745"/>
        <v>https://www.google.com/search?tbm=isch&amp;q=3%20G3</v>
      </c>
      <c r="BG3616" s="165" t="str">
        <f t="shared" si="2746"/>
        <v>R</v>
      </c>
      <c r="BH3616" s="65"/>
      <c r="BI3616" s="65"/>
      <c r="BJ3616" s="65"/>
      <c r="BK3616" s="65"/>
      <c r="BL3616" s="99"/>
      <c r="BM3616" s="99"/>
      <c r="BN3616" s="99"/>
    </row>
    <row r="3617" spans="1:66" s="51" customFormat="1" ht="15.75" x14ac:dyDescent="0.25">
      <c r="A3617" s="478">
        <v>3</v>
      </c>
      <c r="B3617" s="479" t="s">
        <v>291</v>
      </c>
      <c r="C3617" s="480" t="s">
        <v>4036</v>
      </c>
      <c r="D3617" s="481" t="s">
        <v>311</v>
      </c>
      <c r="E3617" s="482">
        <v>33.950000000000003</v>
      </c>
      <c r="F3617" s="483" t="s">
        <v>292</v>
      </c>
      <c r="G3617" s="484">
        <v>0</v>
      </c>
      <c r="H3617" s="688" t="str">
        <f>IF(G3617=0,"",IF(F3617="Buy",IF(G3617=1,"plant","plants"),IF(F3617&gt;0.01,"warranty","Error")))</f>
        <v/>
      </c>
      <c r="I3617" s="485">
        <f>IF(H3617="free",0,IF(H3617="credit",((E3617*(F3617))*G3617*-1),IF(F3617="Buy",(E3617*G3617),((E3617*(1-F3617))*G3617))))</f>
        <v>0</v>
      </c>
      <c r="J3617" s="485">
        <f>IF(H3617="warranty",0,(I3617*(_xlfn.SINGLE(SalesTaxPercentage))))</f>
        <v>0</v>
      </c>
      <c r="K3617" s="715">
        <f t="shared" ref="K3617" si="2753">I3617+J3617</f>
        <v>0</v>
      </c>
      <c r="L3617" s="715"/>
      <c r="M3617" s="689" t="str">
        <f ca="1">IF(AND(G3617&gt;0,E3617=0),"WARNING - no PRICE inserted",IF(H3617="free","FREE ~ no charge this plant",IF(H3617="credit",CONCATENATE("-$",ROUND(K3617*(1-_xlfn.SINGLE(T2GDiscount))*-1,2)," CREDIT after discount"),IF(_xlfn.SINGLE(T2GDiscount)=0,"",IF(G3617=0,"",IF(F3617="Buy",CONCATENATE("$",ROUND(K3617*(1-_xlfn.SINGLE(T2GDiscount)),2)," with ",(_xlfn.SINGLE(T2GDiscount)*100),"% discount"),CONCATENATE("$",ROUND(K3617*(1-_xlfn.SINGLE(T2GDiscount)),2)," with ",((_xlfn.SINGLE(T2GDiscount)*100+F3617*100)-(_xlfn.SINGLE(T2GDiscount)*100*F3617)),IF(F3617&gt;0,"% discounts",IF(_xlfn.SINGLE(NoWarrantyDiscount)&gt;0,"% discounts","% discount")))))))))</f>
        <v/>
      </c>
      <c r="N3617" s="690"/>
      <c r="O3617" s="486"/>
      <c r="P3617" s="486"/>
      <c r="Q3617" s="486"/>
      <c r="R3617" s="486"/>
      <c r="S3617" s="486"/>
      <c r="T3617" s="102">
        <f t="shared" si="2734"/>
        <v>0</v>
      </c>
      <c r="U3617" s="78">
        <f>IF(NOT(ISNUMBER(G3617)), "", VLOOKUP(A3617,'Discount Lookup'!D:E,2,FALSE)*G3617)</f>
        <v>0</v>
      </c>
      <c r="V3617" s="78">
        <f>IF(NOT(ISNUMBER(G3617)), "", VLOOKUP(A3617,'Discount Lookup'!G:H,2,FALSE)*G3617)</f>
        <v>0</v>
      </c>
      <c r="W3617" s="102">
        <f t="shared" si="2735"/>
        <v>0</v>
      </c>
      <c r="X3617" s="102">
        <f t="shared" si="2736"/>
        <v>0</v>
      </c>
      <c r="Y3617" s="120" t="b">
        <f t="shared" si="2737"/>
        <v>0</v>
      </c>
      <c r="Z3617" s="117">
        <f t="shared" si="2738"/>
        <v>0</v>
      </c>
      <c r="AA3617" s="118"/>
      <c r="AB3617" s="118" t="str">
        <f t="shared" si="2739"/>
        <v/>
      </c>
      <c r="AC3617" s="712" t="str">
        <f>IF(AE3617="T2G","no charge",IF(AND(OR(PlanterYesMe="No",PlanterYesMe="N",PlanterYesMe="me"),H3617=""),"",IF(H3617="credit","NO install",IF(AND(K3617="",AE3617="me"),"EACH row",IF(AND(K3617="images",AE3617="me"),"EACH row",IF(D3617="","",IF(H3617="credit","",IF(AE3617="free","re-planting",IF(AE3617="me","   not ELP, by",IF(AND(OR(PlanterYesMe="Yes",PlanterYesMe="Y"),G3617&gt;0),(VLOOKUP(A3617,'Discount Lookup'!J:K,2)*G3617*(1-PlanterDiscount)*(1+PlanterDifficultyPercentage)),IF(AE3617="ELP",(VLOOKUP(A3617,'Discount Lookup'!J:K,2)*G3617*(1-PlanterDiscount)*(1+PlanterDifficultyPercentage)),IF(AE3617="free","re-planting",IF(G3617=0,"",IF(PlanterYesMe="",IF(AE3617="me","   not ELP, by",IF(AE3617="",IF(G3617&gt;0,(VLOOKUP(A3617,'Discount Lookup'!J:K,2)*G3617*(1-PlanterDiscount)*(1+PlanterDifficultyPercentage)),""),"")),"   not ELP, by"))))))))))))))</f>
        <v/>
      </c>
      <c r="AD3617" s="712"/>
      <c r="AE3617" s="513" t="str">
        <f t="shared" si="2740"/>
        <v/>
      </c>
      <c r="AF3617" s="713" t="str">
        <f t="shared" si="2741"/>
        <v/>
      </c>
      <c r="AG3617" s="713"/>
      <c r="AH3617" s="713"/>
      <c r="AI3617" s="112">
        <f>IF(H3617="credit",0,IF(AE3617="free",0,IF(AE3617="me",0,IF(G3617&gt;0,(VLOOKUP(A3617,'Discount Lookup'!J:K,2)*G3617),0))))</f>
        <v>0</v>
      </c>
      <c r="AJ3617" s="107" t="str">
        <f t="shared" ca="1" si="2742"/>
        <v/>
      </c>
      <c r="AK3617" s="714" t="str">
        <f t="shared" si="2743"/>
        <v/>
      </c>
      <c r="AL3617" s="714"/>
      <c r="AM3617" s="114" t="str">
        <f t="shared" si="2744"/>
        <v/>
      </c>
      <c r="AN3617" s="115"/>
      <c r="AO3617" s="116"/>
      <c r="AP3617" s="116"/>
      <c r="AQ3617" s="116"/>
      <c r="AR3617" s="116"/>
      <c r="AS3617" s="116"/>
      <c r="AT3617" s="116"/>
      <c r="AU3617" s="116"/>
      <c r="AV3617" s="78"/>
      <c r="AW3617" s="102"/>
      <c r="AX3617" s="78"/>
      <c r="AY3617" s="78"/>
      <c r="AZ3617" s="78"/>
      <c r="BA3617" s="78"/>
      <c r="BB3617" s="78"/>
      <c r="BC3617" s="78"/>
      <c r="BD3617" s="78"/>
      <c r="BE3617" s="465"/>
      <c r="BF3617" s="165" t="str">
        <f t="shared" si="2745"/>
        <v>https://www.google.com/search?tbm=isch&amp;q=3%20G5</v>
      </c>
      <c r="BG3617" s="165" t="str">
        <f t="shared" si="2746"/>
        <v>R</v>
      </c>
      <c r="BH3617" s="65"/>
      <c r="BI3617" s="65"/>
      <c r="BJ3617" s="65"/>
      <c r="BK3617" s="65"/>
      <c r="BL3617" s="99"/>
      <c r="BM3617" s="99"/>
      <c r="BN3617" s="99"/>
    </row>
    <row r="3618" spans="1:66" s="51" customFormat="1" ht="15.75" x14ac:dyDescent="0.25">
      <c r="A3618" s="478">
        <v>3</v>
      </c>
      <c r="B3618" s="479" t="s">
        <v>291</v>
      </c>
      <c r="C3618" s="480" t="s">
        <v>4649</v>
      </c>
      <c r="D3618" s="481" t="s">
        <v>293</v>
      </c>
      <c r="E3618" s="482">
        <v>45.95</v>
      </c>
      <c r="F3618" s="483" t="s">
        <v>292</v>
      </c>
      <c r="G3618" s="484">
        <v>0</v>
      </c>
      <c r="H3618" s="688" t="str">
        <f>IF(G3618=0,"",IF(F3618="Buy",IF(G3618=1,"plant","plants"),IF(F3618&gt;0.01,"warranty","Error")))</f>
        <v/>
      </c>
      <c r="I3618" s="485">
        <f>IF(H3618="free",0,IF(H3618="credit",((E3618*(F3618))*G3618*-1),IF(F3618="Buy",(E3618*G3618),((E3618*(1-F3618))*G3618))))</f>
        <v>0</v>
      </c>
      <c r="J3618" s="485">
        <f>IF(H3618="warranty",0,(I3618*(_xlfn.SINGLE(SalesTaxPercentage))))</f>
        <v>0</v>
      </c>
      <c r="K3618" s="715">
        <f t="shared" ref="K3618" si="2754">I3618+J3618</f>
        <v>0</v>
      </c>
      <c r="L3618" s="715"/>
      <c r="M3618" s="689" t="str">
        <f ca="1">IF(AND(G3618&gt;0,E3618=0),"WARNING - no PRICE inserted",IF(H3618="free","FREE ~ no charge this plant",IF(H3618="credit",CONCATENATE("-$",ROUND(K3618*(1-_xlfn.SINGLE(T2GDiscount))*-1,2)," CREDIT after discount"),IF(_xlfn.SINGLE(T2GDiscount)=0,"",IF(G3618=0,"",IF(F3618="Buy",CONCATENATE("$",ROUND(K3618*(1-_xlfn.SINGLE(T2GDiscount)),2)," with ",(_xlfn.SINGLE(T2GDiscount)*100),"% discount"),CONCATENATE("$",ROUND(K3618*(1-_xlfn.SINGLE(T2GDiscount)),2)," with ",((_xlfn.SINGLE(T2GDiscount)*100+F3618*100)-(_xlfn.SINGLE(T2GDiscount)*100*F3618)),IF(F3618&gt;0,"% discounts",IF(_xlfn.SINGLE(NoWarrantyDiscount)&gt;0,"% discounts","% discount")))))))))</f>
        <v/>
      </c>
      <c r="N3618" s="690"/>
      <c r="O3618" s="486"/>
      <c r="P3618" s="486"/>
      <c r="Q3618" s="486"/>
      <c r="R3618" s="486"/>
      <c r="S3618" s="486"/>
      <c r="T3618" s="102">
        <f t="shared" si="2734"/>
        <v>0</v>
      </c>
      <c r="U3618" s="78">
        <f>IF(NOT(ISNUMBER(G3618)), "", VLOOKUP(A3618,'Discount Lookup'!D:E,2,FALSE)*G3618)</f>
        <v>0</v>
      </c>
      <c r="V3618" s="78">
        <f>IF(NOT(ISNUMBER(G3618)), "", VLOOKUP(A3618,'Discount Lookup'!G:H,2,FALSE)*G3618)</f>
        <v>0</v>
      </c>
      <c r="W3618" s="102">
        <f t="shared" si="2735"/>
        <v>0</v>
      </c>
      <c r="X3618" s="102">
        <f t="shared" si="2736"/>
        <v>0</v>
      </c>
      <c r="Y3618" s="120" t="b">
        <f t="shared" si="2737"/>
        <v>0</v>
      </c>
      <c r="Z3618" s="117">
        <f t="shared" si="2738"/>
        <v>0</v>
      </c>
      <c r="AA3618" s="118"/>
      <c r="AB3618" s="118" t="str">
        <f t="shared" si="2739"/>
        <v/>
      </c>
      <c r="AC3618" s="712" t="str">
        <f>IF(AE3618="T2G","no charge",IF(AND(OR(PlanterYesMe="No",PlanterYesMe="N",PlanterYesMe="me"),H3618=""),"",IF(H3618="credit","NO install",IF(AND(K3618="",AE3618="me"),"EACH row",IF(AND(K3618="images",AE3618="me"),"EACH row",IF(D3618="","",IF(H3618="credit","",IF(AE3618="free","re-planting",IF(AE3618="me","   not ELP, by",IF(AND(OR(PlanterYesMe="Yes",PlanterYesMe="Y"),G3618&gt;0),(VLOOKUP(A3618,'Discount Lookup'!J:K,2)*G3618*(1-PlanterDiscount)*(1+PlanterDifficultyPercentage)),IF(AE3618="ELP",(VLOOKUP(A3618,'Discount Lookup'!J:K,2)*G3618*(1-PlanterDiscount)*(1+PlanterDifficultyPercentage)),IF(AE3618="free","re-planting",IF(G3618=0,"",IF(PlanterYesMe="",IF(AE3618="me","   not ELP, by",IF(AE3618="",IF(G3618&gt;0,(VLOOKUP(A3618,'Discount Lookup'!J:K,2)*G3618*(1-PlanterDiscount)*(1+PlanterDifficultyPercentage)),""),"")),"   not ELP, by"))))))))))))))</f>
        <v/>
      </c>
      <c r="AD3618" s="712"/>
      <c r="AE3618" s="513" t="str">
        <f t="shared" si="2740"/>
        <v/>
      </c>
      <c r="AF3618" s="713" t="str">
        <f t="shared" si="2741"/>
        <v/>
      </c>
      <c r="AG3618" s="713"/>
      <c r="AH3618" s="713"/>
      <c r="AI3618" s="112">
        <f>IF(H3618="credit",0,IF(AE3618="free",0,IF(AE3618="me",0,IF(G3618&gt;0,(VLOOKUP(A3618,'Discount Lookup'!J:K,2)*G3618),0))))</f>
        <v>0</v>
      </c>
      <c r="AJ3618" s="107" t="str">
        <f t="shared" ca="1" si="2742"/>
        <v/>
      </c>
      <c r="AK3618" s="714" t="str">
        <f t="shared" si="2743"/>
        <v/>
      </c>
      <c r="AL3618" s="714"/>
      <c r="AM3618" s="114" t="str">
        <f t="shared" si="2744"/>
        <v/>
      </c>
      <c r="AN3618" s="115"/>
      <c r="AO3618" s="116"/>
      <c r="AP3618" s="116"/>
      <c r="AQ3618" s="116"/>
      <c r="AR3618" s="116"/>
      <c r="AS3618" s="116"/>
      <c r="AT3618" s="116"/>
      <c r="AU3618" s="116"/>
      <c r="AV3618" s="78"/>
      <c r="AW3618" s="102"/>
      <c r="AX3618" s="78"/>
      <c r="AY3618" s="78"/>
      <c r="AZ3618" s="78"/>
      <c r="BA3618" s="78"/>
      <c r="BB3618" s="78"/>
      <c r="BC3618" s="78"/>
      <c r="BD3618" s="78"/>
      <c r="BE3618" s="465"/>
      <c r="BF3618" s="165" t="str">
        <f t="shared" si="2745"/>
        <v>https://www.google.com/search?tbm=isch&amp;q=3%20G6</v>
      </c>
      <c r="BG3618" s="165" t="str">
        <f t="shared" si="2746"/>
        <v>R</v>
      </c>
      <c r="BH3618" s="65"/>
      <c r="BI3618" s="65"/>
      <c r="BJ3618" s="65"/>
      <c r="BK3618" s="65"/>
      <c r="BL3618" s="99"/>
      <c r="BM3618" s="99"/>
      <c r="BN3618" s="99"/>
    </row>
    <row r="3619" spans="1:66" s="51" customFormat="1" ht="17.25" thickBot="1" x14ac:dyDescent="0.3">
      <c r="A3619" s="508" t="s">
        <v>4037</v>
      </c>
      <c r="B3619" s="487"/>
      <c r="C3619" s="707"/>
      <c r="D3619" s="487"/>
      <c r="E3619" s="487"/>
      <c r="F3619" s="488"/>
      <c r="G3619" s="489"/>
      <c r="H3619" s="487"/>
      <c r="I3619" s="490"/>
      <c r="J3619" s="490"/>
      <c r="K3619" s="491"/>
      <c r="L3619" s="547"/>
      <c r="M3619" s="528"/>
      <c r="N3619" s="492"/>
      <c r="O3619" s="493"/>
      <c r="P3619" s="494"/>
      <c r="Q3619" s="492"/>
      <c r="R3619" s="492"/>
      <c r="S3619" s="699" t="s">
        <v>5248</v>
      </c>
      <c r="T3619" s="102">
        <f t="shared" si="2734"/>
        <v>0</v>
      </c>
      <c r="U3619" s="78" t="str">
        <f>IF(NOT(ISNUMBER(G3619)), "", VLOOKUP(A3619,'Discount Lookup'!D:E,2,FALSE)*G3619)</f>
        <v/>
      </c>
      <c r="V3619" s="78" t="str">
        <f>IF(NOT(ISNUMBER(G3619)), "", VLOOKUP(A3619,'Discount Lookup'!G:H,2,FALSE)*G3619)</f>
        <v/>
      </c>
      <c r="W3619" s="102">
        <f t="shared" si="2735"/>
        <v>0</v>
      </c>
      <c r="X3619" s="102">
        <f t="shared" si="2736"/>
        <v>0</v>
      </c>
      <c r="Y3619" s="120" t="b">
        <f t="shared" si="2737"/>
        <v>0</v>
      </c>
      <c r="Z3619" s="117">
        <f t="shared" si="2738"/>
        <v>0</v>
      </c>
      <c r="AA3619" s="118"/>
      <c r="AB3619" s="118" t="str">
        <f t="shared" si="2739"/>
        <v/>
      </c>
      <c r="AC3619" s="712" t="str">
        <f>IF(AE3619="T2G","no charge",IF(AND(OR(PlanterYesMe="No",PlanterYesMe="N",PlanterYesMe="me"),H3619=""),"",IF(H3619="credit","NO install",IF(AND(K3619="",AE3619="me"),"EACH row",IF(AND(K3619="images",AE3619="me"),"EACH row",IF(D3619="","",IF(H3619="credit","",IF(AE3619="free","re-planting",IF(AE3619="me","   not ELP, by",IF(AND(OR(PlanterYesMe="Yes",PlanterYesMe="Y"),G3619&gt;0),(VLOOKUP(A3619,'Discount Lookup'!J:K,2)*G3619*(1-PlanterDiscount)*(1+PlanterDifficultyPercentage)),IF(AE3619="ELP",(VLOOKUP(A3619,'Discount Lookup'!J:K,2)*G3619*(1-PlanterDiscount)*(1+PlanterDifficultyPercentage)),IF(AE3619="free","re-planting",IF(G3619=0,"",IF(PlanterYesMe="",IF(AE3619="me","   not ELP, by",IF(AE3619="",IF(G3619&gt;0,(VLOOKUP(A3619,'Discount Lookup'!J:K,2)*G3619*(1-PlanterDiscount)*(1+PlanterDifficultyPercentage)),""),"")),"   not ELP, by"))))))))))))))</f>
        <v/>
      </c>
      <c r="AD3619" s="712"/>
      <c r="AE3619" s="513" t="str">
        <f t="shared" si="2740"/>
        <v/>
      </c>
      <c r="AF3619" s="713" t="str">
        <f t="shared" si="2741"/>
        <v/>
      </c>
      <c r="AG3619" s="713"/>
      <c r="AH3619" s="713"/>
      <c r="AI3619" s="112">
        <f>IF(H3619="credit",0,IF(AE3619="free",0,IF(AE3619="me",0,IF(G3619&gt;0,(VLOOKUP(A3619,'Discount Lookup'!J:K,2)*G3619),0))))</f>
        <v>0</v>
      </c>
      <c r="AJ3619" s="107" t="str">
        <f t="shared" ca="1" si="2742"/>
        <v/>
      </c>
      <c r="AK3619" s="714" t="str">
        <f t="shared" si="2743"/>
        <v/>
      </c>
      <c r="AL3619" s="714"/>
      <c r="AM3619" s="114" t="str">
        <f t="shared" si="2744"/>
        <v/>
      </c>
      <c r="AN3619" s="115"/>
      <c r="AO3619" s="116"/>
      <c r="AP3619" s="116"/>
      <c r="AQ3619" s="116"/>
      <c r="AR3619" s="116"/>
      <c r="AS3619" s="116"/>
      <c r="AT3619" s="116"/>
      <c r="AU3619" s="116"/>
      <c r="AV3619" s="78"/>
      <c r="AW3619" s="102"/>
      <c r="AX3619" s="78"/>
      <c r="AY3619" s="78"/>
      <c r="AZ3619" s="78"/>
      <c r="BA3619" s="78"/>
      <c r="BB3619" s="78"/>
      <c r="BC3619" s="78"/>
      <c r="BD3619" s="78"/>
      <c r="BE3619" s="465"/>
      <c r="BF3619" s="165" t="str">
        <f t="shared" si="2745"/>
        <v>https://www.google.com/search?tbm=isch&amp;q=Formosa%20widely%20planted%20in%20NC.%20Trumpet%20flowers.%20Vigorous%2C%20upright%20habit%20with%20coarse%20foliage%20and%20dense%20branching%20</v>
      </c>
      <c r="BG3619" s="165" t="str">
        <f t="shared" si="2746"/>
        <v>F</v>
      </c>
      <c r="BH3619" s="65"/>
      <c r="BI3619" s="65"/>
      <c r="BJ3619" s="65"/>
      <c r="BK3619" s="65"/>
      <c r="BL3619" s="99"/>
      <c r="BM3619" s="99"/>
      <c r="BN3619" s="99"/>
    </row>
    <row r="3620" spans="1:66" s="51" customFormat="1" ht="18" x14ac:dyDescent="0.25">
      <c r="A3620" s="507" t="s">
        <v>4038</v>
      </c>
      <c r="B3620" s="470"/>
      <c r="C3620" s="706"/>
      <c r="D3620" s="471" t="s">
        <v>4039</v>
      </c>
      <c r="E3620" s="472"/>
      <c r="F3620" s="472"/>
      <c r="G3620" s="472"/>
      <c r="H3620" s="622" t="s">
        <v>2462</v>
      </c>
      <c r="I3620" s="473" t="s">
        <v>4040</v>
      </c>
      <c r="J3620" s="472"/>
      <c r="K3620" s="472"/>
      <c r="L3620" s="561"/>
      <c r="M3620" s="703" t="s">
        <v>5260</v>
      </c>
      <c r="N3620" s="692" t="str">
        <f>IF(AND(ISTEXT($A3620), ISERROR($A3620+0)), HYPERLINK($BF3620, "Images"), "")</f>
        <v>Images</v>
      </c>
      <c r="O3620" s="694" t="s">
        <v>5264</v>
      </c>
      <c r="P3620" s="475"/>
      <c r="Q3620" s="476"/>
      <c r="R3620" s="476"/>
      <c r="S3620" s="477"/>
      <c r="T3620" s="102">
        <f t="shared" si="2734"/>
        <v>0</v>
      </c>
      <c r="U3620" s="78" t="str">
        <f>IF(NOT(ISNUMBER(G3620)), "", VLOOKUP(A3620,'Discount Lookup'!D:E,2,FALSE)*G3620)</f>
        <v/>
      </c>
      <c r="V3620" s="78" t="str">
        <f>IF(NOT(ISNUMBER(G3620)), "", VLOOKUP(A3620,'Discount Lookup'!G:H,2,FALSE)*G3620)</f>
        <v/>
      </c>
      <c r="W3620" s="102">
        <f t="shared" si="2735"/>
        <v>0</v>
      </c>
      <c r="X3620" s="102" t="str">
        <f t="shared" si="2736"/>
        <v>White bloom, Purple margins</v>
      </c>
      <c r="Y3620" s="120" t="b">
        <f t="shared" si="2737"/>
        <v>0</v>
      </c>
      <c r="Z3620" s="117">
        <f t="shared" si="2738"/>
        <v>0</v>
      </c>
      <c r="AA3620" s="118"/>
      <c r="AB3620" s="118" t="str">
        <f t="shared" si="2739"/>
        <v/>
      </c>
      <c r="AC3620" s="712" t="str">
        <f>IF(AE3620="T2G","no charge",IF(AND(OR(PlanterYesMe="No",PlanterYesMe="N",PlanterYesMe="me"),H3620=""),"",IF(H3620="credit","NO install",IF(AND(K3620="",AE3620="me"),"EACH row",IF(AND(K3620="images",AE3620="me"),"EACH row",IF(D3620="","",IF(H3620="credit","",IF(AE3620="free","re-planting",IF(AE3620="me","   not ELP, by",IF(AND(OR(PlanterYesMe="Yes",PlanterYesMe="Y"),G3620&gt;0),(VLOOKUP(A3620,'Discount Lookup'!J:K,2)*G3620*(1-PlanterDiscount)*(1+PlanterDifficultyPercentage)),IF(AE3620="ELP",(VLOOKUP(A3620,'Discount Lookup'!J:K,2)*G3620*(1-PlanterDiscount)*(1+PlanterDifficultyPercentage)),IF(AE3620="free","re-planting",IF(G3620=0,"",IF(PlanterYesMe="",IF(AE3620="me","   not ELP, by",IF(AE3620="",IF(G3620&gt;0,(VLOOKUP(A3620,'Discount Lookup'!J:K,2)*G3620*(1-PlanterDiscount)*(1+PlanterDifficultyPercentage)),""),"")),"   not ELP, by"))))))))))))))</f>
        <v/>
      </c>
      <c r="AD3620" s="712"/>
      <c r="AE3620" s="513" t="str">
        <f t="shared" si="2740"/>
        <v/>
      </c>
      <c r="AF3620" s="713" t="str">
        <f t="shared" si="2741"/>
        <v/>
      </c>
      <c r="AG3620" s="713"/>
      <c r="AH3620" s="713"/>
      <c r="AI3620" s="112">
        <f>IF(H3620="credit",0,IF(AE3620="free",0,IF(AE3620="me",0,IF(G3620&gt;0,(VLOOKUP(A3620,'Discount Lookup'!J:K,2)*G3620),0))))</f>
        <v>0</v>
      </c>
      <c r="AJ3620" s="107" t="str">
        <f t="shared" ca="1" si="2742"/>
        <v/>
      </c>
      <c r="AK3620" s="714" t="str">
        <f t="shared" si="2743"/>
        <v/>
      </c>
      <c r="AL3620" s="714"/>
      <c r="AM3620" s="114" t="str">
        <f t="shared" si="2744"/>
        <v/>
      </c>
      <c r="AN3620" s="115"/>
      <c r="AO3620" s="116"/>
      <c r="AP3620" s="116"/>
      <c r="AQ3620" s="116"/>
      <c r="AR3620" s="116"/>
      <c r="AS3620" s="116"/>
      <c r="AT3620" s="116"/>
      <c r="AU3620" s="116"/>
      <c r="AV3620" s="78"/>
      <c r="AW3620" s="102"/>
      <c r="AX3620" s="78"/>
      <c r="AY3620" s="78"/>
      <c r="AZ3620" s="78"/>
      <c r="BA3620" s="78"/>
      <c r="BB3620" s="78"/>
      <c r="BC3620" s="78"/>
      <c r="BD3620" s="78"/>
      <c r="BE3620" s="465"/>
      <c r="BF3620" s="165" t="str">
        <f t="shared" si="2745"/>
        <v>https://www.google.com/search?tbm=isch&amp;q=Rhod.%20%27Mangetsu%27%20Mangetsu%20Azalea</v>
      </c>
      <c r="BG3620" s="165" t="str">
        <f t="shared" si="2746"/>
        <v>R</v>
      </c>
      <c r="BH3620" s="65"/>
      <c r="BI3620" s="65"/>
      <c r="BJ3620" s="65"/>
      <c r="BK3620" s="65"/>
      <c r="BL3620" s="99"/>
      <c r="BM3620" s="99"/>
      <c r="BN3620" s="99"/>
    </row>
    <row r="3621" spans="1:66" s="51" customFormat="1" ht="15.75" x14ac:dyDescent="0.25">
      <c r="A3621" s="478">
        <v>3</v>
      </c>
      <c r="B3621" s="479" t="s">
        <v>291</v>
      </c>
      <c r="C3621" s="480" t="s">
        <v>345</v>
      </c>
      <c r="D3621" s="481" t="s">
        <v>310</v>
      </c>
      <c r="E3621" s="482">
        <v>25.95</v>
      </c>
      <c r="F3621" s="483" t="s">
        <v>292</v>
      </c>
      <c r="G3621" s="484">
        <v>0</v>
      </c>
      <c r="H3621" s="688" t="str">
        <f>IF(G3621=0,"",IF(F3621="Buy",IF(G3621=1,"plant","plants"),IF(F3621&gt;0.01,"warranty","Error")))</f>
        <v/>
      </c>
      <c r="I3621" s="485">
        <f>IF(H3621="free",0,IF(H3621="credit",((E3621*(F3621))*G3621*-1),IF(F3621="Buy",(E3621*G3621),((E3621*(1-F3621))*G3621))))</f>
        <v>0</v>
      </c>
      <c r="J3621" s="485">
        <f>IF(H3621="warranty",0,(I3621*(_xlfn.SINGLE(SalesTaxPercentage))))</f>
        <v>0</v>
      </c>
      <c r="K3621" s="715">
        <f t="shared" ref="K3621" si="2755">I3621+J3621</f>
        <v>0</v>
      </c>
      <c r="L3621" s="715"/>
      <c r="M3621" s="689" t="str">
        <f ca="1">IF(AND(G3621&gt;0,E3621=0),"WARNING - no PRICE inserted",IF(H3621="free","FREE ~ no charge this plant",IF(H3621="credit",CONCATENATE("-$",ROUND(K3621*(1-_xlfn.SINGLE(T2GDiscount))*-1,2)," CREDIT after discount"),IF(_xlfn.SINGLE(T2GDiscount)=0,"",IF(G3621=0,"",IF(F3621="Buy",CONCATENATE("$",ROUND(K3621*(1-_xlfn.SINGLE(T2GDiscount)),2)," with ",(_xlfn.SINGLE(T2GDiscount)*100),"% discount"),CONCATENATE("$",ROUND(K3621*(1-_xlfn.SINGLE(T2GDiscount)),2)," with ",((_xlfn.SINGLE(T2GDiscount)*100+F3621*100)-(_xlfn.SINGLE(T2GDiscount)*100*F3621)),IF(F3621&gt;0,"% discounts",IF(_xlfn.SINGLE(NoWarrantyDiscount)&gt;0,"% discounts","% discount")))))))))</f>
        <v/>
      </c>
      <c r="N3621" s="690"/>
      <c r="O3621" s="486"/>
      <c r="P3621" s="486"/>
      <c r="Q3621" s="486"/>
      <c r="R3621" s="486"/>
      <c r="S3621" s="486"/>
      <c r="T3621" s="102">
        <f t="shared" si="2734"/>
        <v>0</v>
      </c>
      <c r="U3621" s="78">
        <f>IF(NOT(ISNUMBER(G3621)), "", VLOOKUP(A3621,'Discount Lookup'!D:E,2,FALSE)*G3621)</f>
        <v>0</v>
      </c>
      <c r="V3621" s="78">
        <f>IF(NOT(ISNUMBER(G3621)), "", VLOOKUP(A3621,'Discount Lookup'!G:H,2,FALSE)*G3621)</f>
        <v>0</v>
      </c>
      <c r="W3621" s="102">
        <f t="shared" si="2735"/>
        <v>0</v>
      </c>
      <c r="X3621" s="102">
        <f t="shared" si="2736"/>
        <v>0</v>
      </c>
      <c r="Y3621" s="120" t="b">
        <f t="shared" si="2737"/>
        <v>0</v>
      </c>
      <c r="Z3621" s="117">
        <f t="shared" si="2738"/>
        <v>0</v>
      </c>
      <c r="AA3621" s="118"/>
      <c r="AB3621" s="118" t="str">
        <f t="shared" si="2739"/>
        <v/>
      </c>
      <c r="AC3621" s="712" t="str">
        <f>IF(AE3621="T2G","no charge",IF(AND(OR(PlanterYesMe="No",PlanterYesMe="N",PlanterYesMe="me"),H3621=""),"",IF(H3621="credit","NO install",IF(AND(K3621="",AE3621="me"),"EACH row",IF(AND(K3621="images",AE3621="me"),"EACH row",IF(D3621="","",IF(H3621="credit","",IF(AE3621="free","re-planting",IF(AE3621="me","   not ELP, by",IF(AND(OR(PlanterYesMe="Yes",PlanterYesMe="Y"),G3621&gt;0),(VLOOKUP(A3621,'Discount Lookup'!J:K,2)*G3621*(1-PlanterDiscount)*(1+PlanterDifficultyPercentage)),IF(AE3621="ELP",(VLOOKUP(A3621,'Discount Lookup'!J:K,2)*G3621*(1-PlanterDiscount)*(1+PlanterDifficultyPercentage)),IF(AE3621="free","re-planting",IF(G3621=0,"",IF(PlanterYesMe="",IF(AE3621="me","   not ELP, by",IF(AE3621="",IF(G3621&gt;0,(VLOOKUP(A3621,'Discount Lookup'!J:K,2)*G3621*(1-PlanterDiscount)*(1+PlanterDifficultyPercentage)),""),"")),"   not ELP, by"))))))))))))))</f>
        <v/>
      </c>
      <c r="AD3621" s="712"/>
      <c r="AE3621" s="513" t="str">
        <f t="shared" si="2740"/>
        <v/>
      </c>
      <c r="AF3621" s="713" t="str">
        <f t="shared" si="2741"/>
        <v/>
      </c>
      <c r="AG3621" s="713"/>
      <c r="AH3621" s="713"/>
      <c r="AI3621" s="112">
        <f>IF(H3621="credit",0,IF(AE3621="free",0,IF(AE3621="me",0,IF(G3621&gt;0,(VLOOKUP(A3621,'Discount Lookup'!J:K,2)*G3621),0))))</f>
        <v>0</v>
      </c>
      <c r="AJ3621" s="107" t="str">
        <f t="shared" ca="1" si="2742"/>
        <v/>
      </c>
      <c r="AK3621" s="714" t="str">
        <f t="shared" si="2743"/>
        <v/>
      </c>
      <c r="AL3621" s="714"/>
      <c r="AM3621" s="114" t="str">
        <f t="shared" si="2744"/>
        <v/>
      </c>
      <c r="AN3621" s="115"/>
      <c r="AO3621" s="116"/>
      <c r="AP3621" s="116"/>
      <c r="AQ3621" s="116"/>
      <c r="AR3621" s="116"/>
      <c r="AS3621" s="116"/>
      <c r="AT3621" s="116"/>
      <c r="AU3621" s="116"/>
      <c r="AV3621" s="78"/>
      <c r="AW3621" s="102"/>
      <c r="AX3621" s="78"/>
      <c r="AY3621" s="78"/>
      <c r="AZ3621" s="78"/>
      <c r="BA3621" s="78"/>
      <c r="BB3621" s="78"/>
      <c r="BC3621" s="78"/>
      <c r="BD3621" s="78"/>
      <c r="BE3621" s="465"/>
      <c r="BF3621" s="165" t="str">
        <f t="shared" si="2745"/>
        <v>https://www.google.com/search?tbm=isch&amp;q=3%20G1</v>
      </c>
      <c r="BG3621" s="165" t="str">
        <f t="shared" si="2746"/>
        <v>R</v>
      </c>
      <c r="BH3621" s="65"/>
      <c r="BI3621" s="65"/>
      <c r="BJ3621" s="65"/>
      <c r="BK3621" s="65"/>
      <c r="BL3621" s="99"/>
      <c r="BM3621" s="99"/>
      <c r="BN3621" s="99"/>
    </row>
    <row r="3622" spans="1:66" s="51" customFormat="1" ht="17.25" thickBot="1" x14ac:dyDescent="0.3">
      <c r="A3622" s="508" t="s">
        <v>4041</v>
      </c>
      <c r="B3622" s="487"/>
      <c r="C3622" s="707"/>
      <c r="D3622" s="487"/>
      <c r="E3622" s="487"/>
      <c r="F3622" s="488"/>
      <c r="G3622" s="489"/>
      <c r="H3622" s="487"/>
      <c r="I3622" s="490"/>
      <c r="J3622" s="490"/>
      <c r="K3622" s="491"/>
      <c r="L3622" s="547"/>
      <c r="M3622" s="528"/>
      <c r="N3622" s="492"/>
      <c r="O3622" s="493"/>
      <c r="P3622" s="494"/>
      <c r="Q3622" s="492"/>
      <c r="R3622" s="492"/>
      <c r="S3622" s="699" t="s">
        <v>5248</v>
      </c>
      <c r="T3622" s="102">
        <f t="shared" si="2734"/>
        <v>0</v>
      </c>
      <c r="U3622" s="78" t="str">
        <f>IF(NOT(ISNUMBER(G3622)), "", VLOOKUP(A3622,'Discount Lookup'!D:E,2,FALSE)*G3622)</f>
        <v/>
      </c>
      <c r="V3622" s="78" t="str">
        <f>IF(NOT(ISNUMBER(G3622)), "", VLOOKUP(A3622,'Discount Lookup'!G:H,2,FALSE)*G3622)</f>
        <v/>
      </c>
      <c r="W3622" s="102">
        <f t="shared" si="2735"/>
        <v>0</v>
      </c>
      <c r="X3622" s="102">
        <f t="shared" si="2736"/>
        <v>0</v>
      </c>
      <c r="Y3622" s="120" t="b">
        <f t="shared" si="2737"/>
        <v>0</v>
      </c>
      <c r="Z3622" s="117">
        <f t="shared" si="2738"/>
        <v>0</v>
      </c>
      <c r="AA3622" s="118"/>
      <c r="AB3622" s="118" t="str">
        <f t="shared" si="2739"/>
        <v/>
      </c>
      <c r="AC3622" s="712" t="str">
        <f>IF(AE3622="T2G","no charge",IF(AND(OR(PlanterYesMe="No",PlanterYesMe="N",PlanterYesMe="me"),H3622=""),"",IF(H3622="credit","NO install",IF(AND(K3622="",AE3622="me"),"EACH row",IF(AND(K3622="images",AE3622="me"),"EACH row",IF(D3622="","",IF(H3622="credit","",IF(AE3622="free","re-planting",IF(AE3622="me","   not ELP, by",IF(AND(OR(PlanterYesMe="Yes",PlanterYesMe="Y"),G3622&gt;0),(VLOOKUP(A3622,'Discount Lookup'!J:K,2)*G3622*(1-PlanterDiscount)*(1+PlanterDifficultyPercentage)),IF(AE3622="ELP",(VLOOKUP(A3622,'Discount Lookup'!J:K,2)*G3622*(1-PlanterDiscount)*(1+PlanterDifficultyPercentage)),IF(AE3622="free","re-planting",IF(G3622=0,"",IF(PlanterYesMe="",IF(AE3622="me","   not ELP, by",IF(AE3622="",IF(G3622&gt;0,(VLOOKUP(A3622,'Discount Lookup'!J:K,2)*G3622*(1-PlanterDiscount)*(1+PlanterDifficultyPercentage)),""),"")),"   not ELP, by"))))))))))))))</f>
        <v/>
      </c>
      <c r="AD3622" s="712"/>
      <c r="AE3622" s="513" t="str">
        <f t="shared" si="2740"/>
        <v/>
      </c>
      <c r="AF3622" s="713" t="str">
        <f t="shared" si="2741"/>
        <v/>
      </c>
      <c r="AG3622" s="713"/>
      <c r="AH3622" s="713"/>
      <c r="AI3622" s="112">
        <f>IF(H3622="credit",0,IF(AE3622="free",0,IF(AE3622="me",0,IF(G3622&gt;0,(VLOOKUP(A3622,'Discount Lookup'!J:K,2)*G3622),0))))</f>
        <v>0</v>
      </c>
      <c r="AJ3622" s="107" t="str">
        <f t="shared" ca="1" si="2742"/>
        <v/>
      </c>
      <c r="AK3622" s="714" t="str">
        <f t="shared" si="2743"/>
        <v/>
      </c>
      <c r="AL3622" s="714"/>
      <c r="AM3622" s="114" t="str">
        <f t="shared" si="2744"/>
        <v/>
      </c>
      <c r="AN3622" s="115"/>
      <c r="AO3622" s="116"/>
      <c r="AP3622" s="116"/>
      <c r="AQ3622" s="116"/>
      <c r="AR3622" s="116"/>
      <c r="AS3622" s="116"/>
      <c r="AT3622" s="116"/>
      <c r="AU3622" s="116"/>
      <c r="AV3622" s="78"/>
      <c r="AW3622" s="102"/>
      <c r="AX3622" s="78"/>
      <c r="AY3622" s="78"/>
      <c r="AZ3622" s="78"/>
      <c r="BA3622" s="78"/>
      <c r="BB3622" s="78"/>
      <c r="BC3622" s="78"/>
      <c r="BD3622" s="78"/>
      <c r="BE3622" s="465"/>
      <c r="BF3622" s="165" t="str">
        <f t="shared" si="2745"/>
        <v>https://www.google.com/search?tbm=isch&amp;q=Mangetsu%20is%20a%20compact%2C%20tiered%20evergreen%20cultivar%20with%20delicate%20bi-color%20blooms%20that%20appear%20in%20spring%20and%20sporadically%20in%20fall%20</v>
      </c>
      <c r="BG3622" s="165" t="str">
        <f t="shared" si="2746"/>
        <v>M</v>
      </c>
      <c r="BH3622" s="65"/>
      <c r="BI3622" s="65"/>
      <c r="BJ3622" s="65"/>
      <c r="BK3622" s="65"/>
      <c r="BL3622" s="99"/>
      <c r="BM3622" s="99"/>
      <c r="BN3622" s="99"/>
    </row>
    <row r="3623" spans="1:66" s="51" customFormat="1" ht="18" x14ac:dyDescent="0.25">
      <c r="A3623" s="507" t="s">
        <v>4042</v>
      </c>
      <c r="B3623" s="470"/>
      <c r="C3623" s="706"/>
      <c r="D3623" s="471" t="s">
        <v>4043</v>
      </c>
      <c r="E3623" s="472"/>
      <c r="F3623" s="472"/>
      <c r="G3623" s="472"/>
      <c r="H3623" s="622" t="s">
        <v>1217</v>
      </c>
      <c r="I3623" s="473" t="s">
        <v>2229</v>
      </c>
      <c r="J3623" s="472"/>
      <c r="K3623" s="472"/>
      <c r="L3623" s="561"/>
      <c r="M3623" s="698" t="s">
        <v>5246</v>
      </c>
      <c r="N3623" s="692" t="str">
        <f>IF(AND(ISTEXT($A3623), ISERROR($A3623+0)), HYPERLINK($BF3623, "Images"), "")</f>
        <v>Images</v>
      </c>
      <c r="O3623" s="694" t="s">
        <v>5264</v>
      </c>
      <c r="P3623" s="475"/>
      <c r="Q3623" s="476"/>
      <c r="R3623" s="476"/>
      <c r="S3623" s="477"/>
      <c r="T3623" s="102">
        <f t="shared" si="2734"/>
        <v>0</v>
      </c>
      <c r="U3623" s="78" t="str">
        <f>IF(NOT(ISNUMBER(G3623)), "", VLOOKUP(A3623,'Discount Lookup'!D:E,2,FALSE)*G3623)</f>
        <v/>
      </c>
      <c r="V3623" s="78" t="str">
        <f>IF(NOT(ISNUMBER(G3623)), "", VLOOKUP(A3623,'Discount Lookup'!G:H,2,FALSE)*G3623)</f>
        <v/>
      </c>
      <c r="W3623" s="102">
        <f t="shared" si="2735"/>
        <v>0</v>
      </c>
      <c r="X3623" s="102" t="str">
        <f t="shared" si="2736"/>
        <v>Pure White bloom</v>
      </c>
      <c r="Y3623" s="120" t="b">
        <f t="shared" si="2737"/>
        <v>0</v>
      </c>
      <c r="Z3623" s="117">
        <f t="shared" si="2738"/>
        <v>0</v>
      </c>
      <c r="AA3623" s="118"/>
      <c r="AB3623" s="118" t="str">
        <f t="shared" si="2739"/>
        <v/>
      </c>
      <c r="AC3623" s="712" t="str">
        <f>IF(AE3623="T2G","no charge",IF(AND(OR(PlanterYesMe="No",PlanterYesMe="N",PlanterYesMe="me"),H3623=""),"",IF(H3623="credit","NO install",IF(AND(K3623="",AE3623="me"),"EACH row",IF(AND(K3623="images",AE3623="me"),"EACH row",IF(D3623="","",IF(H3623="credit","",IF(AE3623="free","re-planting",IF(AE3623="me","   not ELP, by",IF(AND(OR(PlanterYesMe="Yes",PlanterYesMe="Y"),G3623&gt;0),(VLOOKUP(A3623,'Discount Lookup'!J:K,2)*G3623*(1-PlanterDiscount)*(1+PlanterDifficultyPercentage)),IF(AE3623="ELP",(VLOOKUP(A3623,'Discount Lookup'!J:K,2)*G3623*(1-PlanterDiscount)*(1+PlanterDifficultyPercentage)),IF(AE3623="free","re-planting",IF(G3623=0,"",IF(PlanterYesMe="",IF(AE3623="me","   not ELP, by",IF(AE3623="",IF(G3623&gt;0,(VLOOKUP(A3623,'Discount Lookup'!J:K,2)*G3623*(1-PlanterDiscount)*(1+PlanterDifficultyPercentage)),""),"")),"   not ELP, by"))))))))))))))</f>
        <v/>
      </c>
      <c r="AD3623" s="712"/>
      <c r="AE3623" s="513" t="str">
        <f t="shared" si="2740"/>
        <v/>
      </c>
      <c r="AF3623" s="713" t="str">
        <f t="shared" si="2741"/>
        <v/>
      </c>
      <c r="AG3623" s="713"/>
      <c r="AH3623" s="713"/>
      <c r="AI3623" s="112">
        <f>IF(H3623="credit",0,IF(AE3623="free",0,IF(AE3623="me",0,IF(G3623&gt;0,(VLOOKUP(A3623,'Discount Lookup'!J:K,2)*G3623),0))))</f>
        <v>0</v>
      </c>
      <c r="AJ3623" s="107" t="str">
        <f t="shared" ca="1" si="2742"/>
        <v/>
      </c>
      <c r="AK3623" s="714" t="str">
        <f t="shared" si="2743"/>
        <v/>
      </c>
      <c r="AL3623" s="714"/>
      <c r="AM3623" s="114" t="str">
        <f t="shared" si="2744"/>
        <v/>
      </c>
      <c r="AN3623" s="115"/>
      <c r="AO3623" s="116"/>
      <c r="AP3623" s="116"/>
      <c r="AQ3623" s="116"/>
      <c r="AR3623" s="116"/>
      <c r="AS3623" s="116"/>
      <c r="AT3623" s="116"/>
      <c r="AU3623" s="116"/>
      <c r="AV3623" s="78"/>
      <c r="AW3623" s="102"/>
      <c r="AX3623" s="78"/>
      <c r="AY3623" s="78"/>
      <c r="AZ3623" s="78"/>
      <c r="BA3623" s="78"/>
      <c r="BB3623" s="78"/>
      <c r="BC3623" s="78"/>
      <c r="BD3623" s="78"/>
      <c r="BE3623" s="465"/>
      <c r="BF3623" s="165" t="str">
        <f t="shared" si="2745"/>
        <v>https://www.google.com/search?tbm=isch&amp;q=Rhod.%20%27Mrs.%20G.G.%20Gerbing%27%20GG%20Gerbing%20Azalea</v>
      </c>
      <c r="BG3623" s="165" t="str">
        <f t="shared" si="2746"/>
        <v>R</v>
      </c>
      <c r="BH3623" s="65"/>
      <c r="BI3623" s="65"/>
      <c r="BJ3623" s="65"/>
      <c r="BK3623" s="65"/>
      <c r="BL3623" s="99"/>
      <c r="BM3623" s="99"/>
      <c r="BN3623" s="99"/>
    </row>
    <row r="3624" spans="1:66" s="51" customFormat="1" ht="15.75" x14ac:dyDescent="0.25">
      <c r="A3624" s="478">
        <v>3</v>
      </c>
      <c r="B3624" s="479" t="s">
        <v>291</v>
      </c>
      <c r="C3624" s="480" t="s">
        <v>2467</v>
      </c>
      <c r="D3624" s="481" t="s">
        <v>329</v>
      </c>
      <c r="E3624" s="482">
        <v>22.95</v>
      </c>
      <c r="F3624" s="483" t="s">
        <v>292</v>
      </c>
      <c r="G3624" s="484">
        <v>0</v>
      </c>
      <c r="H3624" s="688" t="str">
        <f>IF(G3624=0,"",IF(F3624="Buy",IF(G3624=1,"plant","plants"),IF(F3624&gt;0.01,"warranty","Error")))</f>
        <v/>
      </c>
      <c r="I3624" s="485">
        <f>IF(H3624="free",0,IF(H3624="credit",((E3624*(F3624))*G3624*-1),IF(F3624="Buy",(E3624*G3624),((E3624*(1-F3624))*G3624))))</f>
        <v>0</v>
      </c>
      <c r="J3624" s="485">
        <f>IF(H3624="warranty",0,(I3624*(_xlfn.SINGLE(SalesTaxPercentage))))</f>
        <v>0</v>
      </c>
      <c r="K3624" s="715">
        <f t="shared" ref="K3624" si="2756">I3624+J3624</f>
        <v>0</v>
      </c>
      <c r="L3624" s="715"/>
      <c r="M3624" s="689" t="str">
        <f ca="1">IF(AND(G3624&gt;0,E3624=0),"WARNING - no PRICE inserted",IF(H3624="free","FREE ~ no charge this plant",IF(H3624="credit",CONCATENATE("-$",ROUND(K3624*(1-_xlfn.SINGLE(T2GDiscount))*-1,2)," CREDIT after discount"),IF(_xlfn.SINGLE(T2GDiscount)=0,"",IF(G3624=0,"",IF(F3624="Buy",CONCATENATE("$",ROUND(K3624*(1-_xlfn.SINGLE(T2GDiscount)),2)," with ",(_xlfn.SINGLE(T2GDiscount)*100),"% discount"),CONCATENATE("$",ROUND(K3624*(1-_xlfn.SINGLE(T2GDiscount)),2)," with ",((_xlfn.SINGLE(T2GDiscount)*100+F3624*100)-(_xlfn.SINGLE(T2GDiscount)*100*F3624)),IF(F3624&gt;0,"% discounts",IF(_xlfn.SINGLE(NoWarrantyDiscount)&gt;0,"% discounts","% discount")))))))))</f>
        <v/>
      </c>
      <c r="N3624" s="690"/>
      <c r="O3624" s="486"/>
      <c r="P3624" s="486"/>
      <c r="Q3624" s="486"/>
      <c r="R3624" s="486"/>
      <c r="S3624" s="486"/>
      <c r="T3624" s="102">
        <f t="shared" si="2734"/>
        <v>0</v>
      </c>
      <c r="U3624" s="78">
        <f>IF(NOT(ISNUMBER(G3624)), "", VLOOKUP(A3624,'Discount Lookup'!D:E,2,FALSE)*G3624)</f>
        <v>0</v>
      </c>
      <c r="V3624" s="78">
        <f>IF(NOT(ISNUMBER(G3624)), "", VLOOKUP(A3624,'Discount Lookup'!G:H,2,FALSE)*G3624)</f>
        <v>0</v>
      </c>
      <c r="W3624" s="102">
        <f t="shared" si="2735"/>
        <v>0</v>
      </c>
      <c r="X3624" s="102">
        <f t="shared" si="2736"/>
        <v>0</v>
      </c>
      <c r="Y3624" s="120" t="b">
        <f t="shared" si="2737"/>
        <v>0</v>
      </c>
      <c r="Z3624" s="117">
        <f t="shared" si="2738"/>
        <v>0</v>
      </c>
      <c r="AA3624" s="118"/>
      <c r="AB3624" s="118" t="str">
        <f t="shared" si="2739"/>
        <v/>
      </c>
      <c r="AC3624" s="712" t="str">
        <f>IF(AE3624="T2G","no charge",IF(AND(OR(PlanterYesMe="No",PlanterYesMe="N",PlanterYesMe="me"),H3624=""),"",IF(H3624="credit","NO install",IF(AND(K3624="",AE3624="me"),"EACH row",IF(AND(K3624="images",AE3624="me"),"EACH row",IF(D3624="","",IF(H3624="credit","",IF(AE3624="free","re-planting",IF(AE3624="me","   not ELP, by",IF(AND(OR(PlanterYesMe="Yes",PlanterYesMe="Y"),G3624&gt;0),(VLOOKUP(A3624,'Discount Lookup'!J:K,2)*G3624*(1-PlanterDiscount)*(1+PlanterDifficultyPercentage)),IF(AE3624="ELP",(VLOOKUP(A3624,'Discount Lookup'!J:K,2)*G3624*(1-PlanterDiscount)*(1+PlanterDifficultyPercentage)),IF(AE3624="free","re-planting",IF(G3624=0,"",IF(PlanterYesMe="",IF(AE3624="me","   not ELP, by",IF(AE3624="",IF(G3624&gt;0,(VLOOKUP(A3624,'Discount Lookup'!J:K,2)*G3624*(1-PlanterDiscount)*(1+PlanterDifficultyPercentage)),""),"")),"   not ELP, by"))))))))))))))</f>
        <v/>
      </c>
      <c r="AD3624" s="712"/>
      <c r="AE3624" s="513" t="str">
        <f t="shared" si="2740"/>
        <v/>
      </c>
      <c r="AF3624" s="713" t="str">
        <f t="shared" si="2741"/>
        <v/>
      </c>
      <c r="AG3624" s="713"/>
      <c r="AH3624" s="713"/>
      <c r="AI3624" s="112">
        <f>IF(H3624="credit",0,IF(AE3624="free",0,IF(AE3624="me",0,IF(G3624&gt;0,(VLOOKUP(A3624,'Discount Lookup'!J:K,2)*G3624),0))))</f>
        <v>0</v>
      </c>
      <c r="AJ3624" s="107" t="str">
        <f t="shared" ca="1" si="2742"/>
        <v/>
      </c>
      <c r="AK3624" s="714" t="str">
        <f t="shared" si="2743"/>
        <v/>
      </c>
      <c r="AL3624" s="714"/>
      <c r="AM3624" s="114" t="str">
        <f t="shared" si="2744"/>
        <v/>
      </c>
      <c r="AN3624" s="115"/>
      <c r="AO3624" s="116"/>
      <c r="AP3624" s="116"/>
      <c r="AQ3624" s="116"/>
      <c r="AR3624" s="116"/>
      <c r="AS3624" s="116"/>
      <c r="AT3624" s="116"/>
      <c r="AU3624" s="116"/>
      <c r="AV3624" s="78"/>
      <c r="AW3624" s="102"/>
      <c r="AX3624" s="78"/>
      <c r="AY3624" s="78"/>
      <c r="AZ3624" s="78"/>
      <c r="BA3624" s="78"/>
      <c r="BB3624" s="78"/>
      <c r="BC3624" s="78"/>
      <c r="BD3624" s="78"/>
      <c r="BE3624" s="465"/>
      <c r="BF3624" s="165" t="str">
        <f t="shared" si="2745"/>
        <v>https://www.google.com/search?tbm=isch&amp;q=3%20G2</v>
      </c>
      <c r="BG3624" s="165" t="str">
        <f t="shared" si="2746"/>
        <v>R</v>
      </c>
      <c r="BH3624" s="65"/>
      <c r="BI3624" s="65"/>
      <c r="BJ3624" s="65"/>
      <c r="BK3624" s="65"/>
      <c r="BL3624" s="99"/>
      <c r="BM3624" s="99"/>
      <c r="BN3624" s="99"/>
    </row>
    <row r="3625" spans="1:66" s="51" customFormat="1" ht="15.75" x14ac:dyDescent="0.25">
      <c r="A3625" s="478">
        <v>3</v>
      </c>
      <c r="B3625" s="479" t="s">
        <v>291</v>
      </c>
      <c r="C3625" s="480" t="s">
        <v>4044</v>
      </c>
      <c r="D3625" s="481" t="s">
        <v>293</v>
      </c>
      <c r="E3625" s="482">
        <v>45.95</v>
      </c>
      <c r="F3625" s="483" t="s">
        <v>292</v>
      </c>
      <c r="G3625" s="484">
        <v>0</v>
      </c>
      <c r="H3625" s="688" t="str">
        <f>IF(G3625=0,"",IF(F3625="Buy",IF(G3625=1,"plant","plants"),IF(F3625&gt;0.01,"warranty","Error")))</f>
        <v/>
      </c>
      <c r="I3625" s="485">
        <f>IF(H3625="free",0,IF(H3625="credit",((E3625*(F3625))*G3625*-1),IF(F3625="Buy",(E3625*G3625),((E3625*(1-F3625))*G3625))))</f>
        <v>0</v>
      </c>
      <c r="J3625" s="485">
        <f>IF(H3625="warranty",0,(I3625*(_xlfn.SINGLE(SalesTaxPercentage))))</f>
        <v>0</v>
      </c>
      <c r="K3625" s="715">
        <f t="shared" ref="K3625" si="2757">I3625+J3625</f>
        <v>0</v>
      </c>
      <c r="L3625" s="715"/>
      <c r="M3625" s="689" t="str">
        <f ca="1">IF(AND(G3625&gt;0,E3625=0),"WARNING - no PRICE inserted",IF(H3625="free","FREE ~ no charge this plant",IF(H3625="credit",CONCATENATE("-$",ROUND(K3625*(1-_xlfn.SINGLE(T2GDiscount))*-1,2)," CREDIT after discount"),IF(_xlfn.SINGLE(T2GDiscount)=0,"",IF(G3625=0,"",IF(F3625="Buy",CONCATENATE("$",ROUND(K3625*(1-_xlfn.SINGLE(T2GDiscount)),2)," with ",(_xlfn.SINGLE(T2GDiscount)*100),"% discount"),CONCATENATE("$",ROUND(K3625*(1-_xlfn.SINGLE(T2GDiscount)),2)," with ",((_xlfn.SINGLE(T2GDiscount)*100+F3625*100)-(_xlfn.SINGLE(T2GDiscount)*100*F3625)),IF(F3625&gt;0,"% discounts",IF(_xlfn.SINGLE(NoWarrantyDiscount)&gt;0,"% discounts","% discount")))))))))</f>
        <v/>
      </c>
      <c r="N3625" s="690"/>
      <c r="O3625" s="486"/>
      <c r="P3625" s="486"/>
      <c r="Q3625" s="486"/>
      <c r="R3625" s="486"/>
      <c r="S3625" s="486"/>
      <c r="T3625" s="102">
        <f t="shared" si="2734"/>
        <v>0</v>
      </c>
      <c r="U3625" s="78">
        <f>IF(NOT(ISNUMBER(G3625)), "", VLOOKUP(A3625,'Discount Lookup'!D:E,2,FALSE)*G3625)</f>
        <v>0</v>
      </c>
      <c r="V3625" s="78">
        <f>IF(NOT(ISNUMBER(G3625)), "", VLOOKUP(A3625,'Discount Lookup'!G:H,2,FALSE)*G3625)</f>
        <v>0</v>
      </c>
      <c r="W3625" s="102">
        <f t="shared" si="2735"/>
        <v>0</v>
      </c>
      <c r="X3625" s="102">
        <f t="shared" si="2736"/>
        <v>0</v>
      </c>
      <c r="Y3625" s="120" t="b">
        <f t="shared" si="2737"/>
        <v>0</v>
      </c>
      <c r="Z3625" s="117">
        <f t="shared" si="2738"/>
        <v>0</v>
      </c>
      <c r="AA3625" s="118"/>
      <c r="AB3625" s="118" t="str">
        <f t="shared" si="2739"/>
        <v/>
      </c>
      <c r="AC3625" s="712" t="str">
        <f>IF(AE3625="T2G","no charge",IF(AND(OR(PlanterYesMe="No",PlanterYesMe="N",PlanterYesMe="me"),H3625=""),"",IF(H3625="credit","NO install",IF(AND(K3625="",AE3625="me"),"EACH row",IF(AND(K3625="images",AE3625="me"),"EACH row",IF(D3625="","",IF(H3625="credit","",IF(AE3625="free","re-planting",IF(AE3625="me","   not ELP, by",IF(AND(OR(PlanterYesMe="Yes",PlanterYesMe="Y"),G3625&gt;0),(VLOOKUP(A3625,'Discount Lookup'!J:K,2)*G3625*(1-PlanterDiscount)*(1+PlanterDifficultyPercentage)),IF(AE3625="ELP",(VLOOKUP(A3625,'Discount Lookup'!J:K,2)*G3625*(1-PlanterDiscount)*(1+PlanterDifficultyPercentage)),IF(AE3625="free","re-planting",IF(G3625=0,"",IF(PlanterYesMe="",IF(AE3625="me","   not ELP, by",IF(AE3625="",IF(G3625&gt;0,(VLOOKUP(A3625,'Discount Lookup'!J:K,2)*G3625*(1-PlanterDiscount)*(1+PlanterDifficultyPercentage)),""),"")),"   not ELP, by"))))))))))))))</f>
        <v/>
      </c>
      <c r="AD3625" s="712"/>
      <c r="AE3625" s="513" t="str">
        <f t="shared" si="2740"/>
        <v/>
      </c>
      <c r="AF3625" s="713" t="str">
        <f t="shared" si="2741"/>
        <v/>
      </c>
      <c r="AG3625" s="713"/>
      <c r="AH3625" s="713"/>
      <c r="AI3625" s="112">
        <f>IF(H3625="credit",0,IF(AE3625="free",0,IF(AE3625="me",0,IF(G3625&gt;0,(VLOOKUP(A3625,'Discount Lookup'!J:K,2)*G3625),0))))</f>
        <v>0</v>
      </c>
      <c r="AJ3625" s="107" t="str">
        <f t="shared" ca="1" si="2742"/>
        <v/>
      </c>
      <c r="AK3625" s="714" t="str">
        <f t="shared" si="2743"/>
        <v/>
      </c>
      <c r="AL3625" s="714"/>
      <c r="AM3625" s="114" t="str">
        <f t="shared" si="2744"/>
        <v/>
      </c>
      <c r="AN3625" s="115"/>
      <c r="AO3625" s="116"/>
      <c r="AP3625" s="116"/>
      <c r="AQ3625" s="116"/>
      <c r="AR3625" s="116"/>
      <c r="AS3625" s="116"/>
      <c r="AT3625" s="116"/>
      <c r="AU3625" s="116"/>
      <c r="AV3625" s="78"/>
      <c r="AW3625" s="102"/>
      <c r="AX3625" s="78"/>
      <c r="AY3625" s="78"/>
      <c r="AZ3625" s="78"/>
      <c r="BA3625" s="78"/>
      <c r="BB3625" s="78"/>
      <c r="BC3625" s="78"/>
      <c r="BD3625" s="78"/>
      <c r="BE3625" s="465"/>
      <c r="BF3625" s="165" t="str">
        <f t="shared" si="2745"/>
        <v>https://www.google.com/search?tbm=isch&amp;q=3%20G6</v>
      </c>
      <c r="BG3625" s="165" t="str">
        <f t="shared" si="2746"/>
        <v>R</v>
      </c>
      <c r="BH3625" s="65"/>
      <c r="BI3625" s="65"/>
      <c r="BJ3625" s="65"/>
      <c r="BK3625" s="65"/>
      <c r="BL3625" s="99"/>
      <c r="BM3625" s="99"/>
      <c r="BN3625" s="99"/>
    </row>
    <row r="3626" spans="1:66" s="51" customFormat="1" ht="17.25" thickBot="1" x14ac:dyDescent="0.3">
      <c r="A3626" s="508" t="s">
        <v>4045</v>
      </c>
      <c r="B3626" s="487"/>
      <c r="C3626" s="707"/>
      <c r="D3626" s="487"/>
      <c r="E3626" s="487"/>
      <c r="F3626" s="488"/>
      <c r="G3626" s="489"/>
      <c r="H3626" s="487"/>
      <c r="I3626" s="490"/>
      <c r="J3626" s="490"/>
      <c r="K3626" s="491"/>
      <c r="L3626" s="547"/>
      <c r="M3626" s="528"/>
      <c r="N3626" s="492"/>
      <c r="O3626" s="493"/>
      <c r="P3626" s="494"/>
      <c r="Q3626" s="492"/>
      <c r="R3626" s="492"/>
      <c r="S3626" s="699" t="s">
        <v>5248</v>
      </c>
      <c r="T3626" s="102">
        <f t="shared" si="2734"/>
        <v>0</v>
      </c>
      <c r="U3626" s="78" t="str">
        <f>IF(NOT(ISNUMBER(G3626)), "", VLOOKUP(A3626,'Discount Lookup'!D:E,2,FALSE)*G3626)</f>
        <v/>
      </c>
      <c r="V3626" s="78" t="str">
        <f>IF(NOT(ISNUMBER(G3626)), "", VLOOKUP(A3626,'Discount Lookup'!G:H,2,FALSE)*G3626)</f>
        <v/>
      </c>
      <c r="W3626" s="102">
        <f t="shared" si="2735"/>
        <v>0</v>
      </c>
      <c r="X3626" s="102">
        <f t="shared" si="2736"/>
        <v>0</v>
      </c>
      <c r="Y3626" s="120" t="b">
        <f t="shared" si="2737"/>
        <v>0</v>
      </c>
      <c r="Z3626" s="117">
        <f t="shared" si="2738"/>
        <v>0</v>
      </c>
      <c r="AA3626" s="118"/>
      <c r="AB3626" s="118" t="str">
        <f t="shared" si="2739"/>
        <v/>
      </c>
      <c r="AC3626" s="712" t="str">
        <f>IF(AE3626="T2G","no charge",IF(AND(OR(PlanterYesMe="No",PlanterYesMe="N",PlanterYesMe="me"),H3626=""),"",IF(H3626="credit","NO install",IF(AND(K3626="",AE3626="me"),"EACH row",IF(AND(K3626="images",AE3626="me"),"EACH row",IF(D3626="","",IF(H3626="credit","",IF(AE3626="free","re-planting",IF(AE3626="me","   not ELP, by",IF(AND(OR(PlanterYesMe="Yes",PlanterYesMe="Y"),G3626&gt;0),(VLOOKUP(A3626,'Discount Lookup'!J:K,2)*G3626*(1-PlanterDiscount)*(1+PlanterDifficultyPercentage)),IF(AE3626="ELP",(VLOOKUP(A3626,'Discount Lookup'!J:K,2)*G3626*(1-PlanterDiscount)*(1+PlanterDifficultyPercentage)),IF(AE3626="free","re-planting",IF(G3626=0,"",IF(PlanterYesMe="",IF(AE3626="me","   not ELP, by",IF(AE3626="",IF(G3626&gt;0,(VLOOKUP(A3626,'Discount Lookup'!J:K,2)*G3626*(1-PlanterDiscount)*(1+PlanterDifficultyPercentage)),""),"")),"   not ELP, by"))))))))))))))</f>
        <v/>
      </c>
      <c r="AD3626" s="712"/>
      <c r="AE3626" s="513" t="str">
        <f t="shared" si="2740"/>
        <v/>
      </c>
      <c r="AF3626" s="713" t="str">
        <f t="shared" si="2741"/>
        <v/>
      </c>
      <c r="AG3626" s="713"/>
      <c r="AH3626" s="713"/>
      <c r="AI3626" s="112">
        <f>IF(H3626="credit",0,IF(AE3626="free",0,IF(AE3626="me",0,IF(G3626&gt;0,(VLOOKUP(A3626,'Discount Lookup'!J:K,2)*G3626),0))))</f>
        <v>0</v>
      </c>
      <c r="AJ3626" s="107" t="str">
        <f t="shared" ca="1" si="2742"/>
        <v/>
      </c>
      <c r="AK3626" s="714" t="str">
        <f t="shared" si="2743"/>
        <v/>
      </c>
      <c r="AL3626" s="714"/>
      <c r="AM3626" s="114" t="str">
        <f t="shared" si="2744"/>
        <v/>
      </c>
      <c r="AN3626" s="115"/>
      <c r="AO3626" s="116"/>
      <c r="AP3626" s="116"/>
      <c r="AQ3626" s="116"/>
      <c r="AR3626" s="116"/>
      <c r="AS3626" s="116"/>
      <c r="AT3626" s="116"/>
      <c r="AU3626" s="116"/>
      <c r="AV3626" s="78"/>
      <c r="AW3626" s="102"/>
      <c r="AX3626" s="78"/>
      <c r="AY3626" s="78"/>
      <c r="AZ3626" s="78"/>
      <c r="BA3626" s="78"/>
      <c r="BB3626" s="78"/>
      <c r="BC3626" s="78"/>
      <c r="BD3626" s="78"/>
      <c r="BE3626" s="465"/>
      <c r="BF3626" s="165" t="str">
        <f t="shared" si="2745"/>
        <v>https://www.google.com/search?tbm=isch&amp;q=GG%20Gerbing%20Azalea%20is%20a%20vigorous%2C%20heat-tolerant%20Southern%20Indica%20cultivar%20known%20for%20its%20profuse%20blooms%20</v>
      </c>
      <c r="BG3626" s="165" t="str">
        <f t="shared" si="2746"/>
        <v>G</v>
      </c>
      <c r="BH3626" s="65"/>
      <c r="BI3626" s="65"/>
      <c r="BJ3626" s="65"/>
      <c r="BK3626" s="65"/>
      <c r="BL3626" s="99"/>
      <c r="BM3626" s="99"/>
      <c r="BN3626" s="99"/>
    </row>
    <row r="3627" spans="1:66" s="51" customFormat="1" ht="18" x14ac:dyDescent="0.25">
      <c r="A3627" s="507" t="s">
        <v>4046</v>
      </c>
      <c r="B3627" s="470"/>
      <c r="C3627" s="706"/>
      <c r="D3627" s="471" t="s">
        <v>5899</v>
      </c>
      <c r="E3627" s="472"/>
      <c r="F3627" s="472"/>
      <c r="G3627" s="472"/>
      <c r="H3627" s="622" t="s">
        <v>1104</v>
      </c>
      <c r="I3627" s="473" t="s">
        <v>3374</v>
      </c>
      <c r="J3627" s="472"/>
      <c r="K3627" s="472"/>
      <c r="L3627" s="561"/>
      <c r="M3627" s="698" t="s">
        <v>5246</v>
      </c>
      <c r="N3627" s="692" t="str">
        <f>IF(AND(ISTEXT($A3627), ISERROR($A3627+0)), HYPERLINK($BF3627, "Images"), "")</f>
        <v>Images</v>
      </c>
      <c r="O3627" s="694" t="s">
        <v>5264</v>
      </c>
      <c r="P3627" s="475"/>
      <c r="Q3627" s="476"/>
      <c r="R3627" s="476"/>
      <c r="S3627" s="477"/>
      <c r="T3627" s="102">
        <f t="shared" si="2734"/>
        <v>0</v>
      </c>
      <c r="U3627" s="78" t="str">
        <f>IF(NOT(ISNUMBER(G3627)), "", VLOOKUP(A3627,'Discount Lookup'!D:E,2,FALSE)*G3627)</f>
        <v/>
      </c>
      <c r="V3627" s="78" t="str">
        <f>IF(NOT(ISNUMBER(G3627)), "", VLOOKUP(A3627,'Discount Lookup'!G:H,2,FALSE)*G3627)</f>
        <v/>
      </c>
      <c r="W3627" s="102">
        <f t="shared" si="2735"/>
        <v>0</v>
      </c>
      <c r="X3627" s="102" t="str">
        <f t="shared" si="2736"/>
        <v>Violet-Purple bloom</v>
      </c>
      <c r="Y3627" s="120" t="b">
        <f t="shared" si="2737"/>
        <v>0</v>
      </c>
      <c r="Z3627" s="117">
        <f t="shared" si="2738"/>
        <v>0</v>
      </c>
      <c r="AA3627" s="118"/>
      <c r="AB3627" s="118" t="str">
        <f t="shared" si="2739"/>
        <v/>
      </c>
      <c r="AC3627" s="712" t="str">
        <f>IF(AE3627="T2G","no charge",IF(AND(OR(PlanterYesMe="No",PlanterYesMe="N",PlanterYesMe="me"),H3627=""),"",IF(H3627="credit","NO install",IF(AND(K3627="",AE3627="me"),"EACH row",IF(AND(K3627="images",AE3627="me"),"EACH row",IF(D3627="","",IF(H3627="credit","",IF(AE3627="free","re-planting",IF(AE3627="me","   not ELP, by",IF(AND(OR(PlanterYesMe="Yes",PlanterYesMe="Y"),G3627&gt;0),(VLOOKUP(A3627,'Discount Lookup'!J:K,2)*G3627*(1-PlanterDiscount)*(1+PlanterDifficultyPercentage)),IF(AE3627="ELP",(VLOOKUP(A3627,'Discount Lookup'!J:K,2)*G3627*(1-PlanterDiscount)*(1+PlanterDifficultyPercentage)),IF(AE3627="free","re-planting",IF(G3627=0,"",IF(PlanterYesMe="",IF(AE3627="me","   not ELP, by",IF(AE3627="",IF(G3627&gt;0,(VLOOKUP(A3627,'Discount Lookup'!J:K,2)*G3627*(1-PlanterDiscount)*(1+PlanterDifficultyPercentage)),""),"")),"   not ELP, by"))))))))))))))</f>
        <v/>
      </c>
      <c r="AD3627" s="712"/>
      <c r="AE3627" s="513" t="str">
        <f t="shared" si="2740"/>
        <v/>
      </c>
      <c r="AF3627" s="713" t="str">
        <f t="shared" si="2741"/>
        <v/>
      </c>
      <c r="AG3627" s="713"/>
      <c r="AH3627" s="713"/>
      <c r="AI3627" s="112">
        <f>IF(H3627="credit",0,IF(AE3627="free",0,IF(AE3627="me",0,IF(G3627&gt;0,(VLOOKUP(A3627,'Discount Lookup'!J:K,2)*G3627),0))))</f>
        <v>0</v>
      </c>
      <c r="AJ3627" s="107" t="str">
        <f t="shared" ca="1" si="2742"/>
        <v/>
      </c>
      <c r="AK3627" s="714" t="str">
        <f t="shared" si="2743"/>
        <v/>
      </c>
      <c r="AL3627" s="714"/>
      <c r="AM3627" s="114" t="str">
        <f t="shared" si="2744"/>
        <v/>
      </c>
      <c r="AN3627" s="115"/>
      <c r="AO3627" s="116"/>
      <c r="AP3627" s="116"/>
      <c r="AQ3627" s="116"/>
      <c r="AR3627" s="116"/>
      <c r="AS3627" s="116"/>
      <c r="AT3627" s="116"/>
      <c r="AU3627" s="116"/>
      <c r="AV3627" s="78"/>
      <c r="AW3627" s="102"/>
      <c r="AX3627" s="78"/>
      <c r="AY3627" s="78"/>
      <c r="AZ3627" s="78"/>
      <c r="BA3627" s="78"/>
      <c r="BB3627" s="78"/>
      <c r="BC3627" s="78"/>
      <c r="BD3627" s="78"/>
      <c r="BE3627" s="465"/>
      <c r="BF3627" s="165" t="str">
        <f t="shared" si="2745"/>
        <v>https://www.google.com/search?tbm=isch&amp;q=Rhod.%20%27NCRX2%27%20PP%2331898%20Black%20Hat%C2%AE%20Azalea%20%28PW%C2%AE%29</v>
      </c>
      <c r="BG3627" s="165" t="str">
        <f t="shared" si="2746"/>
        <v>R</v>
      </c>
      <c r="BH3627" s="65"/>
      <c r="BI3627" s="65"/>
      <c r="BJ3627" s="65"/>
      <c r="BK3627" s="65"/>
      <c r="BL3627" s="99"/>
      <c r="BM3627" s="99"/>
      <c r="BN3627" s="99"/>
    </row>
    <row r="3628" spans="1:66" s="51" customFormat="1" ht="15.75" x14ac:dyDescent="0.25">
      <c r="A3628" s="478">
        <v>3</v>
      </c>
      <c r="B3628" s="479" t="s">
        <v>291</v>
      </c>
      <c r="C3628" s="480" t="s">
        <v>884</v>
      </c>
      <c r="D3628" s="481" t="s">
        <v>329</v>
      </c>
      <c r="E3628" s="482">
        <v>39.950000000000003</v>
      </c>
      <c r="F3628" s="483" t="s">
        <v>292</v>
      </c>
      <c r="G3628" s="484">
        <v>0</v>
      </c>
      <c r="H3628" s="688" t="str">
        <f>IF(G3628=0,"",IF(F3628="Buy",IF(G3628=1,"plant","plants"),IF(F3628&gt;0.01,"warranty","Error")))</f>
        <v/>
      </c>
      <c r="I3628" s="485">
        <f>IF(H3628="free",0,IF(H3628="credit",((E3628*(F3628))*G3628*-1),IF(F3628="Buy",(E3628*G3628),((E3628*(1-F3628))*G3628))))</f>
        <v>0</v>
      </c>
      <c r="J3628" s="485">
        <f>IF(H3628="warranty",0,(I3628*(_xlfn.SINGLE(SalesTaxPercentage))))</f>
        <v>0</v>
      </c>
      <c r="K3628" s="715">
        <f t="shared" ref="K3628" si="2758">I3628+J3628</f>
        <v>0</v>
      </c>
      <c r="L3628" s="715"/>
      <c r="M3628" s="689" t="str">
        <f ca="1">IF(AND(G3628&gt;0,E3628=0),"WARNING - no PRICE inserted",IF(H3628="free","FREE ~ no charge this plant",IF(H3628="credit",CONCATENATE("-$",ROUND(K3628*(1-_xlfn.SINGLE(T2GDiscount))*-1,2)," CREDIT after discount"),IF(_xlfn.SINGLE(T2GDiscount)=0,"",IF(G3628=0,"",IF(F3628="Buy",CONCATENATE("$",ROUND(K3628*(1-_xlfn.SINGLE(T2GDiscount)),2)," with ",(_xlfn.SINGLE(T2GDiscount)*100),"% discount"),CONCATENATE("$",ROUND(K3628*(1-_xlfn.SINGLE(T2GDiscount)),2)," with ",((_xlfn.SINGLE(T2GDiscount)*100+F3628*100)-(_xlfn.SINGLE(T2GDiscount)*100*F3628)),IF(F3628&gt;0,"% discounts",IF(_xlfn.SINGLE(NoWarrantyDiscount)&gt;0,"% discounts","% discount")))))))))</f>
        <v/>
      </c>
      <c r="N3628" s="690"/>
      <c r="O3628" s="486"/>
      <c r="P3628" s="486"/>
      <c r="Q3628" s="486"/>
      <c r="R3628" s="486"/>
      <c r="S3628" s="486"/>
      <c r="T3628" s="102">
        <f t="shared" si="2734"/>
        <v>0</v>
      </c>
      <c r="U3628" s="78">
        <f>IF(NOT(ISNUMBER(G3628)), "", VLOOKUP(A3628,'Discount Lookup'!D:E,2,FALSE)*G3628)</f>
        <v>0</v>
      </c>
      <c r="V3628" s="78">
        <f>IF(NOT(ISNUMBER(G3628)), "", VLOOKUP(A3628,'Discount Lookup'!G:H,2,FALSE)*G3628)</f>
        <v>0</v>
      </c>
      <c r="W3628" s="102">
        <f t="shared" si="2735"/>
        <v>0</v>
      </c>
      <c r="X3628" s="102">
        <f t="shared" si="2736"/>
        <v>0</v>
      </c>
      <c r="Y3628" s="120" t="b">
        <f t="shared" si="2737"/>
        <v>0</v>
      </c>
      <c r="Z3628" s="117">
        <f t="shared" si="2738"/>
        <v>0</v>
      </c>
      <c r="AA3628" s="118"/>
      <c r="AB3628" s="118" t="str">
        <f t="shared" si="2739"/>
        <v/>
      </c>
      <c r="AC3628" s="712" t="str">
        <f>IF(AE3628="T2G","no charge",IF(AND(OR(PlanterYesMe="No",PlanterYesMe="N",PlanterYesMe="me"),H3628=""),"",IF(H3628="credit","NO install",IF(AND(K3628="",AE3628="me"),"EACH row",IF(AND(K3628="images",AE3628="me"),"EACH row",IF(D3628="","",IF(H3628="credit","",IF(AE3628="free","re-planting",IF(AE3628="me","   not ELP, by",IF(AND(OR(PlanterYesMe="Yes",PlanterYesMe="Y"),G3628&gt;0),(VLOOKUP(A3628,'Discount Lookup'!J:K,2)*G3628*(1-PlanterDiscount)*(1+PlanterDifficultyPercentage)),IF(AE3628="ELP",(VLOOKUP(A3628,'Discount Lookup'!J:K,2)*G3628*(1-PlanterDiscount)*(1+PlanterDifficultyPercentage)),IF(AE3628="free","re-planting",IF(G3628=0,"",IF(PlanterYesMe="",IF(AE3628="me","   not ELP, by",IF(AE3628="",IF(G3628&gt;0,(VLOOKUP(A3628,'Discount Lookup'!J:K,2)*G3628*(1-PlanterDiscount)*(1+PlanterDifficultyPercentage)),""),"")),"   not ELP, by"))))))))))))))</f>
        <v/>
      </c>
      <c r="AD3628" s="712"/>
      <c r="AE3628" s="513" t="str">
        <f t="shared" si="2740"/>
        <v/>
      </c>
      <c r="AF3628" s="713" t="str">
        <f t="shared" si="2741"/>
        <v/>
      </c>
      <c r="AG3628" s="713"/>
      <c r="AH3628" s="713"/>
      <c r="AI3628" s="112">
        <f>IF(H3628="credit",0,IF(AE3628="free",0,IF(AE3628="me",0,IF(G3628&gt;0,(VLOOKUP(A3628,'Discount Lookup'!J:K,2)*G3628),0))))</f>
        <v>0</v>
      </c>
      <c r="AJ3628" s="107" t="str">
        <f t="shared" ca="1" si="2742"/>
        <v/>
      </c>
      <c r="AK3628" s="714" t="str">
        <f t="shared" si="2743"/>
        <v/>
      </c>
      <c r="AL3628" s="714"/>
      <c r="AM3628" s="114" t="str">
        <f t="shared" si="2744"/>
        <v/>
      </c>
      <c r="AN3628" s="115"/>
      <c r="AO3628" s="116"/>
      <c r="AP3628" s="116"/>
      <c r="AQ3628" s="116"/>
      <c r="AR3628" s="116"/>
      <c r="AS3628" s="116"/>
      <c r="AT3628" s="116"/>
      <c r="AU3628" s="116"/>
      <c r="AV3628" s="78"/>
      <c r="AW3628" s="102"/>
      <c r="AX3628" s="78"/>
      <c r="AY3628" s="78"/>
      <c r="AZ3628" s="78"/>
      <c r="BA3628" s="78"/>
      <c r="BB3628" s="78"/>
      <c r="BC3628" s="78"/>
      <c r="BD3628" s="78"/>
      <c r="BE3628" s="465"/>
      <c r="BF3628" s="165" t="str">
        <f t="shared" si="2745"/>
        <v>https://www.google.com/search?tbm=isch&amp;q=3%20G2</v>
      </c>
      <c r="BG3628" s="165" t="str">
        <f t="shared" si="2746"/>
        <v>R</v>
      </c>
      <c r="BH3628" s="65"/>
      <c r="BI3628" s="65"/>
      <c r="BJ3628" s="65"/>
      <c r="BK3628" s="65"/>
      <c r="BL3628" s="99"/>
      <c r="BM3628" s="99"/>
      <c r="BN3628" s="99"/>
    </row>
    <row r="3629" spans="1:66" s="51" customFormat="1" ht="17.25" thickBot="1" x14ac:dyDescent="0.3">
      <c r="A3629" s="508" t="s">
        <v>4047</v>
      </c>
      <c r="B3629" s="487"/>
      <c r="C3629" s="707"/>
      <c r="D3629" s="487"/>
      <c r="E3629" s="487"/>
      <c r="F3629" s="488"/>
      <c r="G3629" s="489"/>
      <c r="H3629" s="487"/>
      <c r="I3629" s="490"/>
      <c r="J3629" s="490"/>
      <c r="K3629" s="491"/>
      <c r="L3629" s="547"/>
      <c r="M3629" s="528"/>
      <c r="N3629" s="492"/>
      <c r="O3629" s="493"/>
      <c r="P3629" s="494"/>
      <c r="Q3629" s="492"/>
      <c r="R3629" s="492"/>
      <c r="S3629" s="699" t="s">
        <v>5248</v>
      </c>
      <c r="T3629" s="102">
        <f t="shared" si="2734"/>
        <v>0</v>
      </c>
      <c r="U3629" s="78" t="str">
        <f>IF(NOT(ISNUMBER(G3629)), "", VLOOKUP(A3629,'Discount Lookup'!D:E,2,FALSE)*G3629)</f>
        <v/>
      </c>
      <c r="V3629" s="78" t="str">
        <f>IF(NOT(ISNUMBER(G3629)), "", VLOOKUP(A3629,'Discount Lookup'!G:H,2,FALSE)*G3629)</f>
        <v/>
      </c>
      <c r="W3629" s="102">
        <f t="shared" si="2735"/>
        <v>0</v>
      </c>
      <c r="X3629" s="102">
        <f t="shared" si="2736"/>
        <v>0</v>
      </c>
      <c r="Y3629" s="120" t="b">
        <f t="shared" si="2737"/>
        <v>0</v>
      </c>
      <c r="Z3629" s="117">
        <f t="shared" si="2738"/>
        <v>0</v>
      </c>
      <c r="AA3629" s="118"/>
      <c r="AB3629" s="118" t="str">
        <f t="shared" si="2739"/>
        <v/>
      </c>
      <c r="AC3629" s="712" t="str">
        <f>IF(AE3629="T2G","no charge",IF(AND(OR(PlanterYesMe="No",PlanterYesMe="N",PlanterYesMe="me"),H3629=""),"",IF(H3629="credit","NO install",IF(AND(K3629="",AE3629="me"),"EACH row",IF(AND(K3629="images",AE3629="me"),"EACH row",IF(D3629="","",IF(H3629="credit","",IF(AE3629="free","re-planting",IF(AE3629="me","   not ELP, by",IF(AND(OR(PlanterYesMe="Yes",PlanterYesMe="Y"),G3629&gt;0),(VLOOKUP(A3629,'Discount Lookup'!J:K,2)*G3629*(1-PlanterDiscount)*(1+PlanterDifficultyPercentage)),IF(AE3629="ELP",(VLOOKUP(A3629,'Discount Lookup'!J:K,2)*G3629*(1-PlanterDiscount)*(1+PlanterDifficultyPercentage)),IF(AE3629="free","re-planting",IF(G3629=0,"",IF(PlanterYesMe="",IF(AE3629="me","   not ELP, by",IF(AE3629="",IF(G3629&gt;0,(VLOOKUP(A3629,'Discount Lookup'!J:K,2)*G3629*(1-PlanterDiscount)*(1+PlanterDifficultyPercentage)),""),"")),"   not ELP, by"))))))))))))))</f>
        <v/>
      </c>
      <c r="AD3629" s="712"/>
      <c r="AE3629" s="513" t="str">
        <f t="shared" si="2740"/>
        <v/>
      </c>
      <c r="AF3629" s="713" t="str">
        <f t="shared" si="2741"/>
        <v/>
      </c>
      <c r="AG3629" s="713"/>
      <c r="AH3629" s="713"/>
      <c r="AI3629" s="112">
        <f>IF(H3629="credit",0,IF(AE3629="free",0,IF(AE3629="me",0,IF(G3629&gt;0,(VLOOKUP(A3629,'Discount Lookup'!J:K,2)*G3629),0))))</f>
        <v>0</v>
      </c>
      <c r="AJ3629" s="107" t="str">
        <f t="shared" ca="1" si="2742"/>
        <v/>
      </c>
      <c r="AK3629" s="714" t="str">
        <f t="shared" si="2743"/>
        <v/>
      </c>
      <c r="AL3629" s="714"/>
      <c r="AM3629" s="114" t="str">
        <f t="shared" si="2744"/>
        <v/>
      </c>
      <c r="AN3629" s="115"/>
      <c r="AO3629" s="116"/>
      <c r="AP3629" s="116"/>
      <c r="AQ3629" s="116"/>
      <c r="AR3629" s="116"/>
      <c r="AS3629" s="116"/>
      <c r="AT3629" s="116"/>
      <c r="AU3629" s="116"/>
      <c r="AV3629" s="78"/>
      <c r="AW3629" s="102"/>
      <c r="AX3629" s="78"/>
      <c r="AY3629" s="78"/>
      <c r="AZ3629" s="78"/>
      <c r="BA3629" s="78"/>
      <c r="BB3629" s="78"/>
      <c r="BC3629" s="78"/>
      <c r="BD3629" s="78"/>
      <c r="BE3629" s="465"/>
      <c r="BF3629" s="165" t="str">
        <f t="shared" si="2745"/>
        <v>https://www.google.com/search?tbm=isch&amp;q=Black%20Hat%20named%20for%20its%20uniquely%20dark%2C%20Deep%20Purple%20foliage%2C%20contrasted%20by%20its%20very%20long%20lasting%20blooms%20</v>
      </c>
      <c r="BG3629" s="165" t="str">
        <f t="shared" si="2746"/>
        <v>B</v>
      </c>
      <c r="BH3629" s="65"/>
      <c r="BI3629" s="65"/>
      <c r="BJ3629" s="65"/>
      <c r="BK3629" s="65"/>
      <c r="BL3629" s="99"/>
      <c r="BM3629" s="99"/>
      <c r="BN3629" s="99"/>
    </row>
    <row r="3630" spans="1:66" s="51" customFormat="1" ht="18" x14ac:dyDescent="0.25">
      <c r="A3630" s="507" t="s">
        <v>4048</v>
      </c>
      <c r="B3630" s="470"/>
      <c r="C3630" s="706"/>
      <c r="D3630" s="471" t="s">
        <v>5900</v>
      </c>
      <c r="E3630" s="472"/>
      <c r="F3630" s="472"/>
      <c r="G3630" s="472"/>
      <c r="H3630" s="622" t="s">
        <v>1124</v>
      </c>
      <c r="I3630" s="473" t="s">
        <v>4049</v>
      </c>
      <c r="J3630" s="472"/>
      <c r="K3630" s="472"/>
      <c r="L3630" s="561"/>
      <c r="M3630" s="698" t="s">
        <v>5246</v>
      </c>
      <c r="N3630" s="692" t="str">
        <f>IF(AND(ISTEXT($A3630), ISERROR($A3630+0)), HYPERLINK($BF3630, "Images"), "")</f>
        <v>Images</v>
      </c>
      <c r="O3630" s="694" t="s">
        <v>5264</v>
      </c>
      <c r="P3630" s="475"/>
      <c r="Q3630" s="476"/>
      <c r="R3630" s="476"/>
      <c r="S3630" s="477"/>
      <c r="T3630" s="102">
        <f t="shared" si="2734"/>
        <v>0</v>
      </c>
      <c r="U3630" s="78" t="str">
        <f>IF(NOT(ISNUMBER(G3630)), "", VLOOKUP(A3630,'Discount Lookup'!D:E,2,FALSE)*G3630)</f>
        <v/>
      </c>
      <c r="V3630" s="78" t="str">
        <f>IF(NOT(ISNUMBER(G3630)), "", VLOOKUP(A3630,'Discount Lookup'!G:H,2,FALSE)*G3630)</f>
        <v/>
      </c>
      <c r="W3630" s="102">
        <f t="shared" si="2735"/>
        <v>0</v>
      </c>
      <c r="X3630" s="102" t="str">
        <f t="shared" si="2736"/>
        <v>Hot Pink bloom</v>
      </c>
      <c r="Y3630" s="120" t="b">
        <f t="shared" si="2737"/>
        <v>0</v>
      </c>
      <c r="Z3630" s="117">
        <f t="shared" si="2738"/>
        <v>0</v>
      </c>
      <c r="AA3630" s="118"/>
      <c r="AB3630" s="118" t="str">
        <f t="shared" si="2739"/>
        <v/>
      </c>
      <c r="AC3630" s="712" t="str">
        <f>IF(AE3630="T2G","no charge",IF(AND(OR(PlanterYesMe="No",PlanterYesMe="N",PlanterYesMe="me"),H3630=""),"",IF(H3630="credit","NO install",IF(AND(K3630="",AE3630="me"),"EACH row",IF(AND(K3630="images",AE3630="me"),"EACH row",IF(D3630="","",IF(H3630="credit","",IF(AE3630="free","re-planting",IF(AE3630="me","   not ELP, by",IF(AND(OR(PlanterYesMe="Yes",PlanterYesMe="Y"),G3630&gt;0),(VLOOKUP(A3630,'Discount Lookup'!J:K,2)*G3630*(1-PlanterDiscount)*(1+PlanterDifficultyPercentage)),IF(AE3630="ELP",(VLOOKUP(A3630,'Discount Lookup'!J:K,2)*G3630*(1-PlanterDiscount)*(1+PlanterDifficultyPercentage)),IF(AE3630="free","re-planting",IF(G3630=0,"",IF(PlanterYesMe="",IF(AE3630="me","   not ELP, by",IF(AE3630="",IF(G3630&gt;0,(VLOOKUP(A3630,'Discount Lookup'!J:K,2)*G3630*(1-PlanterDiscount)*(1+PlanterDifficultyPercentage)),""),"")),"   not ELP, by"))))))))))))))</f>
        <v/>
      </c>
      <c r="AD3630" s="712"/>
      <c r="AE3630" s="513" t="str">
        <f t="shared" si="2740"/>
        <v/>
      </c>
      <c r="AF3630" s="713" t="str">
        <f t="shared" si="2741"/>
        <v/>
      </c>
      <c r="AG3630" s="713"/>
      <c r="AH3630" s="713"/>
      <c r="AI3630" s="112">
        <f>IF(H3630="credit",0,IF(AE3630="free",0,IF(AE3630="me",0,IF(G3630&gt;0,(VLOOKUP(A3630,'Discount Lookup'!J:K,2)*G3630),0))))</f>
        <v>0</v>
      </c>
      <c r="AJ3630" s="107" t="str">
        <f t="shared" ca="1" si="2742"/>
        <v/>
      </c>
      <c r="AK3630" s="714" t="str">
        <f t="shared" si="2743"/>
        <v/>
      </c>
      <c r="AL3630" s="714"/>
      <c r="AM3630" s="114" t="str">
        <f t="shared" si="2744"/>
        <v/>
      </c>
      <c r="AN3630" s="115"/>
      <c r="AO3630" s="116"/>
      <c r="AP3630" s="116"/>
      <c r="AQ3630" s="116"/>
      <c r="AR3630" s="116"/>
      <c r="AS3630" s="116"/>
      <c r="AT3630" s="116"/>
      <c r="AU3630" s="116"/>
      <c r="AV3630" s="78"/>
      <c r="AW3630" s="102"/>
      <c r="AX3630" s="78"/>
      <c r="AY3630" s="78"/>
      <c r="AZ3630" s="78"/>
      <c r="BA3630" s="78"/>
      <c r="BB3630" s="78"/>
      <c r="BC3630" s="78"/>
      <c r="BD3630" s="78"/>
      <c r="BE3630" s="465"/>
      <c r="BF3630" s="165" t="str">
        <f t="shared" si="2745"/>
        <v>https://www.google.com/search?tbm=isch&amp;q=Rhod.%20%27NCRX9%27%20PP%2335072%20Perfecto%20Mundo%20Epic%20Pink%C2%AE%20Azalea%20%28PW%C2%AE%29</v>
      </c>
      <c r="BG3630" s="165" t="str">
        <f t="shared" si="2746"/>
        <v>R</v>
      </c>
      <c r="BH3630" s="65"/>
      <c r="BI3630" s="65"/>
      <c r="BJ3630" s="65"/>
      <c r="BK3630" s="65"/>
      <c r="BL3630" s="99"/>
      <c r="BM3630" s="99"/>
      <c r="BN3630" s="99"/>
    </row>
    <row r="3631" spans="1:66" s="51" customFormat="1" ht="15.75" x14ac:dyDescent="0.25">
      <c r="A3631" s="478">
        <v>3</v>
      </c>
      <c r="B3631" s="479" t="s">
        <v>291</v>
      </c>
      <c r="C3631" s="480" t="s">
        <v>15</v>
      </c>
      <c r="D3631" s="481" t="s">
        <v>329</v>
      </c>
      <c r="E3631" s="482">
        <v>40.950000000000003</v>
      </c>
      <c r="F3631" s="483" t="s">
        <v>292</v>
      </c>
      <c r="G3631" s="484">
        <v>0</v>
      </c>
      <c r="H3631" s="688" t="str">
        <f>IF(G3631=0,"",IF(F3631="Buy",IF(G3631=1,"plant","plants"),IF(F3631&gt;0.01,"warranty","Error")))</f>
        <v/>
      </c>
      <c r="I3631" s="485">
        <f>IF(H3631="free",0,IF(H3631="credit",((E3631*(F3631))*G3631*-1),IF(F3631="Buy",(E3631*G3631),((E3631*(1-F3631))*G3631))))</f>
        <v>0</v>
      </c>
      <c r="J3631" s="485">
        <f>IF(H3631="warranty",0,(I3631*(_xlfn.SINGLE(SalesTaxPercentage))))</f>
        <v>0</v>
      </c>
      <c r="K3631" s="715">
        <f t="shared" ref="K3631" si="2759">I3631+J3631</f>
        <v>0</v>
      </c>
      <c r="L3631" s="715"/>
      <c r="M3631" s="689" t="str">
        <f ca="1">IF(AND(G3631&gt;0,E3631=0),"WARNING - no PRICE inserted",IF(H3631="free","FREE ~ no charge this plant",IF(H3631="credit",CONCATENATE("-$",ROUND(K3631*(1-_xlfn.SINGLE(T2GDiscount))*-1,2)," CREDIT after discount"),IF(_xlfn.SINGLE(T2GDiscount)=0,"",IF(G3631=0,"",IF(F3631="Buy",CONCATENATE("$",ROUND(K3631*(1-_xlfn.SINGLE(T2GDiscount)),2)," with ",(_xlfn.SINGLE(T2GDiscount)*100),"% discount"),CONCATENATE("$",ROUND(K3631*(1-_xlfn.SINGLE(T2GDiscount)),2)," with ",((_xlfn.SINGLE(T2GDiscount)*100+F3631*100)-(_xlfn.SINGLE(T2GDiscount)*100*F3631)),IF(F3631&gt;0,"% discounts",IF(_xlfn.SINGLE(NoWarrantyDiscount)&gt;0,"% discounts","% discount")))))))))</f>
        <v/>
      </c>
      <c r="N3631" s="690"/>
      <c r="O3631" s="486"/>
      <c r="P3631" s="486"/>
      <c r="Q3631" s="486"/>
      <c r="R3631" s="486"/>
      <c r="S3631" s="486"/>
      <c r="T3631" s="102">
        <f t="shared" si="2734"/>
        <v>0</v>
      </c>
      <c r="U3631" s="78">
        <f>IF(NOT(ISNUMBER(G3631)), "", VLOOKUP(A3631,'Discount Lookup'!D:E,2,FALSE)*G3631)</f>
        <v>0</v>
      </c>
      <c r="V3631" s="78">
        <f>IF(NOT(ISNUMBER(G3631)), "", VLOOKUP(A3631,'Discount Lookup'!G:H,2,FALSE)*G3631)</f>
        <v>0</v>
      </c>
      <c r="W3631" s="102">
        <f t="shared" si="2735"/>
        <v>0</v>
      </c>
      <c r="X3631" s="102">
        <f t="shared" si="2736"/>
        <v>0</v>
      </c>
      <c r="Y3631" s="120" t="b">
        <f t="shared" si="2737"/>
        <v>0</v>
      </c>
      <c r="Z3631" s="117">
        <f t="shared" si="2738"/>
        <v>0</v>
      </c>
      <c r="AA3631" s="118"/>
      <c r="AB3631" s="118" t="str">
        <f t="shared" si="2739"/>
        <v/>
      </c>
      <c r="AC3631" s="712" t="str">
        <f>IF(AE3631="T2G","no charge",IF(AND(OR(PlanterYesMe="No",PlanterYesMe="N",PlanterYesMe="me"),H3631=""),"",IF(H3631="credit","NO install",IF(AND(K3631="",AE3631="me"),"EACH row",IF(AND(K3631="images",AE3631="me"),"EACH row",IF(D3631="","",IF(H3631="credit","",IF(AE3631="free","re-planting",IF(AE3631="me","   not ELP, by",IF(AND(OR(PlanterYesMe="Yes",PlanterYesMe="Y"),G3631&gt;0),(VLOOKUP(A3631,'Discount Lookup'!J:K,2)*G3631*(1-PlanterDiscount)*(1+PlanterDifficultyPercentage)),IF(AE3631="ELP",(VLOOKUP(A3631,'Discount Lookup'!J:K,2)*G3631*(1-PlanterDiscount)*(1+PlanterDifficultyPercentage)),IF(AE3631="free","re-planting",IF(G3631=0,"",IF(PlanterYesMe="",IF(AE3631="me","   not ELP, by",IF(AE3631="",IF(G3631&gt;0,(VLOOKUP(A3631,'Discount Lookup'!J:K,2)*G3631*(1-PlanterDiscount)*(1+PlanterDifficultyPercentage)),""),"")),"   not ELP, by"))))))))))))))</f>
        <v/>
      </c>
      <c r="AD3631" s="712"/>
      <c r="AE3631" s="513" t="str">
        <f t="shared" si="2740"/>
        <v/>
      </c>
      <c r="AF3631" s="713" t="str">
        <f t="shared" si="2741"/>
        <v/>
      </c>
      <c r="AG3631" s="713"/>
      <c r="AH3631" s="713"/>
      <c r="AI3631" s="112">
        <f>IF(H3631="credit",0,IF(AE3631="free",0,IF(AE3631="me",0,IF(G3631&gt;0,(VLOOKUP(A3631,'Discount Lookup'!J:K,2)*G3631),0))))</f>
        <v>0</v>
      </c>
      <c r="AJ3631" s="107" t="str">
        <f t="shared" ca="1" si="2742"/>
        <v/>
      </c>
      <c r="AK3631" s="714" t="str">
        <f t="shared" si="2743"/>
        <v/>
      </c>
      <c r="AL3631" s="714"/>
      <c r="AM3631" s="114" t="str">
        <f t="shared" si="2744"/>
        <v/>
      </c>
      <c r="AN3631" s="115"/>
      <c r="AO3631" s="116"/>
      <c r="AP3631" s="116"/>
      <c r="AQ3631" s="116"/>
      <c r="AR3631" s="116"/>
      <c r="AS3631" s="116"/>
      <c r="AT3631" s="116"/>
      <c r="AU3631" s="116"/>
      <c r="AV3631" s="78"/>
      <c r="AW3631" s="102"/>
      <c r="AX3631" s="78"/>
      <c r="AY3631" s="78"/>
      <c r="AZ3631" s="78"/>
      <c r="BA3631" s="78"/>
      <c r="BB3631" s="78"/>
      <c r="BC3631" s="78"/>
      <c r="BD3631" s="78"/>
      <c r="BE3631" s="465"/>
      <c r="BF3631" s="165" t="str">
        <f t="shared" si="2745"/>
        <v>https://www.google.com/search?tbm=isch&amp;q=3%20G2</v>
      </c>
      <c r="BG3631" s="165" t="str">
        <f t="shared" si="2746"/>
        <v>R</v>
      </c>
      <c r="BH3631" s="65"/>
      <c r="BI3631" s="65"/>
      <c r="BJ3631" s="65"/>
      <c r="BK3631" s="65"/>
      <c r="BL3631" s="99"/>
      <c r="BM3631" s="99"/>
      <c r="BN3631" s="99"/>
    </row>
    <row r="3632" spans="1:66" s="51" customFormat="1" ht="17.25" thickBot="1" x14ac:dyDescent="0.3">
      <c r="A3632" s="508" t="s">
        <v>4050</v>
      </c>
      <c r="B3632" s="487"/>
      <c r="C3632" s="707"/>
      <c r="D3632" s="487"/>
      <c r="E3632" s="487"/>
      <c r="F3632" s="488"/>
      <c r="G3632" s="489"/>
      <c r="H3632" s="487"/>
      <c r="I3632" s="490"/>
      <c r="J3632" s="490"/>
      <c r="K3632" s="491"/>
      <c r="L3632" s="547"/>
      <c r="M3632" s="528"/>
      <c r="N3632" s="492"/>
      <c r="O3632" s="493"/>
      <c r="P3632" s="494"/>
      <c r="Q3632" s="492"/>
      <c r="R3632" s="492"/>
      <c r="S3632" s="699" t="s">
        <v>5248</v>
      </c>
      <c r="T3632" s="102">
        <f t="shared" si="2734"/>
        <v>0</v>
      </c>
      <c r="U3632" s="78" t="str">
        <f>IF(NOT(ISNUMBER(G3632)), "", VLOOKUP(A3632,'Discount Lookup'!D:E,2,FALSE)*G3632)</f>
        <v/>
      </c>
      <c r="V3632" s="78" t="str">
        <f>IF(NOT(ISNUMBER(G3632)), "", VLOOKUP(A3632,'Discount Lookup'!G:H,2,FALSE)*G3632)</f>
        <v/>
      </c>
      <c r="W3632" s="102">
        <f t="shared" si="2735"/>
        <v>0</v>
      </c>
      <c r="X3632" s="102">
        <f t="shared" si="2736"/>
        <v>0</v>
      </c>
      <c r="Y3632" s="120" t="b">
        <f t="shared" si="2737"/>
        <v>0</v>
      </c>
      <c r="Z3632" s="117">
        <f t="shared" si="2738"/>
        <v>0</v>
      </c>
      <c r="AA3632" s="118"/>
      <c r="AB3632" s="118" t="str">
        <f t="shared" si="2739"/>
        <v/>
      </c>
      <c r="AC3632" s="712" t="str">
        <f>IF(AE3632="T2G","no charge",IF(AND(OR(PlanterYesMe="No",PlanterYesMe="N",PlanterYesMe="me"),H3632=""),"",IF(H3632="credit","NO install",IF(AND(K3632="",AE3632="me"),"EACH row",IF(AND(K3632="images",AE3632="me"),"EACH row",IF(D3632="","",IF(H3632="credit","",IF(AE3632="free","re-planting",IF(AE3632="me","   not ELP, by",IF(AND(OR(PlanterYesMe="Yes",PlanterYesMe="Y"),G3632&gt;0),(VLOOKUP(A3632,'Discount Lookup'!J:K,2)*G3632*(1-PlanterDiscount)*(1+PlanterDifficultyPercentage)),IF(AE3632="ELP",(VLOOKUP(A3632,'Discount Lookup'!J:K,2)*G3632*(1-PlanterDiscount)*(1+PlanterDifficultyPercentage)),IF(AE3632="free","re-planting",IF(G3632=0,"",IF(PlanterYesMe="",IF(AE3632="me","   not ELP, by",IF(AE3632="",IF(G3632&gt;0,(VLOOKUP(A3632,'Discount Lookup'!J:K,2)*G3632*(1-PlanterDiscount)*(1+PlanterDifficultyPercentage)),""),"")),"   not ELP, by"))))))))))))))</f>
        <v/>
      </c>
      <c r="AD3632" s="712"/>
      <c r="AE3632" s="513" t="str">
        <f t="shared" si="2740"/>
        <v/>
      </c>
      <c r="AF3632" s="713" t="str">
        <f t="shared" si="2741"/>
        <v/>
      </c>
      <c r="AG3632" s="713"/>
      <c r="AH3632" s="713"/>
      <c r="AI3632" s="112">
        <f>IF(H3632="credit",0,IF(AE3632="free",0,IF(AE3632="me",0,IF(G3632&gt;0,(VLOOKUP(A3632,'Discount Lookup'!J:K,2)*G3632),0))))</f>
        <v>0</v>
      </c>
      <c r="AJ3632" s="107" t="str">
        <f t="shared" ca="1" si="2742"/>
        <v/>
      </c>
      <c r="AK3632" s="714" t="str">
        <f t="shared" si="2743"/>
        <v/>
      </c>
      <c r="AL3632" s="714"/>
      <c r="AM3632" s="114" t="str">
        <f t="shared" si="2744"/>
        <v/>
      </c>
      <c r="AN3632" s="115"/>
      <c r="AO3632" s="116"/>
      <c r="AP3632" s="116"/>
      <c r="AQ3632" s="116"/>
      <c r="AR3632" s="116"/>
      <c r="AS3632" s="116"/>
      <c r="AT3632" s="116"/>
      <c r="AU3632" s="116"/>
      <c r="AV3632" s="78"/>
      <c r="AW3632" s="102"/>
      <c r="AX3632" s="78"/>
      <c r="AY3632" s="78"/>
      <c r="AZ3632" s="78"/>
      <c r="BA3632" s="78"/>
      <c r="BB3632" s="78"/>
      <c r="BC3632" s="78"/>
      <c r="BD3632" s="78"/>
      <c r="BE3632" s="465"/>
      <c r="BF3632" s="165" t="str">
        <f t="shared" si="2745"/>
        <v>https://www.google.com/search?tbm=isch&amp;q=Perfecto%20Mundo%20Epic%20Pink%20will%20re-bloom%20reliably%20from%20spring%20until%20frost.%20Very%20cold-hardy%20and%20heat-tolerant%20</v>
      </c>
      <c r="BG3632" s="165" t="str">
        <f t="shared" si="2746"/>
        <v>P</v>
      </c>
      <c r="BH3632" s="65"/>
      <c r="BI3632" s="65"/>
      <c r="BJ3632" s="65"/>
      <c r="BK3632" s="65"/>
      <c r="BL3632" s="99"/>
      <c r="BM3632" s="99"/>
      <c r="BN3632" s="99"/>
    </row>
    <row r="3633" spans="1:66" s="51" customFormat="1" ht="18" x14ac:dyDescent="0.25">
      <c r="A3633" s="507" t="s">
        <v>4051</v>
      </c>
      <c r="B3633" s="470"/>
      <c r="C3633" s="706"/>
      <c r="D3633" s="471" t="s">
        <v>5901</v>
      </c>
      <c r="E3633" s="472"/>
      <c r="F3633" s="472"/>
      <c r="G3633" s="472"/>
      <c r="H3633" s="622" t="s">
        <v>1124</v>
      </c>
      <c r="I3633" s="473" t="s">
        <v>4052</v>
      </c>
      <c r="J3633" s="472"/>
      <c r="K3633" s="472"/>
      <c r="L3633" s="561"/>
      <c r="M3633" s="703" t="s">
        <v>5274</v>
      </c>
      <c r="N3633" s="692" t="str">
        <f>IF(AND(ISTEXT($A3633), ISERROR($A3633+0)), HYPERLINK($BF3633, "Images"), "")</f>
        <v>Images</v>
      </c>
      <c r="O3633" s="694" t="s">
        <v>5264</v>
      </c>
      <c r="P3633" s="475"/>
      <c r="Q3633" s="476"/>
      <c r="R3633" s="476"/>
      <c r="S3633" s="477"/>
      <c r="T3633" s="102">
        <f t="shared" si="2734"/>
        <v>0</v>
      </c>
      <c r="U3633" s="78" t="str">
        <f>IF(NOT(ISNUMBER(G3633)), "", VLOOKUP(A3633,'Discount Lookup'!D:E,2,FALSE)*G3633)</f>
        <v/>
      </c>
      <c r="V3633" s="78" t="str">
        <f>IF(NOT(ISNUMBER(G3633)), "", VLOOKUP(A3633,'Discount Lookup'!G:H,2,FALSE)*G3633)</f>
        <v/>
      </c>
      <c r="W3633" s="102">
        <f t="shared" si="2735"/>
        <v>0</v>
      </c>
      <c r="X3633" s="102" t="str">
        <f t="shared" si="2736"/>
        <v>Soft Pink, darker spotting</v>
      </c>
      <c r="Y3633" s="120" t="b">
        <f t="shared" si="2737"/>
        <v>0</v>
      </c>
      <c r="Z3633" s="117">
        <f t="shared" si="2738"/>
        <v>0</v>
      </c>
      <c r="AA3633" s="118"/>
      <c r="AB3633" s="118" t="str">
        <f t="shared" si="2739"/>
        <v/>
      </c>
      <c r="AC3633" s="712" t="str">
        <f>IF(AE3633="T2G","no charge",IF(AND(OR(PlanterYesMe="No",PlanterYesMe="N",PlanterYesMe="me"),H3633=""),"",IF(H3633="credit","NO install",IF(AND(K3633="",AE3633="me"),"EACH row",IF(AND(K3633="images",AE3633="me"),"EACH row",IF(D3633="","",IF(H3633="credit","",IF(AE3633="free","re-planting",IF(AE3633="me","   not ELP, by",IF(AND(OR(PlanterYesMe="Yes",PlanterYesMe="Y"),G3633&gt;0),(VLOOKUP(A3633,'Discount Lookup'!J:K,2)*G3633*(1-PlanterDiscount)*(1+PlanterDifficultyPercentage)),IF(AE3633="ELP",(VLOOKUP(A3633,'Discount Lookup'!J:K,2)*G3633*(1-PlanterDiscount)*(1+PlanterDifficultyPercentage)),IF(AE3633="free","re-planting",IF(G3633=0,"",IF(PlanterYesMe="",IF(AE3633="me","   not ELP, by",IF(AE3633="",IF(G3633&gt;0,(VLOOKUP(A3633,'Discount Lookup'!J:K,2)*G3633*(1-PlanterDiscount)*(1+PlanterDifficultyPercentage)),""),"")),"   not ELP, by"))))))))))))))</f>
        <v/>
      </c>
      <c r="AD3633" s="712"/>
      <c r="AE3633" s="513" t="str">
        <f t="shared" si="2740"/>
        <v/>
      </c>
      <c r="AF3633" s="713" t="str">
        <f t="shared" si="2741"/>
        <v/>
      </c>
      <c r="AG3633" s="713"/>
      <c r="AH3633" s="713"/>
      <c r="AI3633" s="112">
        <f>IF(H3633="credit",0,IF(AE3633="free",0,IF(AE3633="me",0,IF(G3633&gt;0,(VLOOKUP(A3633,'Discount Lookup'!J:K,2)*G3633),0))))</f>
        <v>0</v>
      </c>
      <c r="AJ3633" s="107" t="str">
        <f t="shared" ca="1" si="2742"/>
        <v/>
      </c>
      <c r="AK3633" s="714" t="str">
        <f t="shared" si="2743"/>
        <v/>
      </c>
      <c r="AL3633" s="714"/>
      <c r="AM3633" s="114" t="str">
        <f t="shared" si="2744"/>
        <v/>
      </c>
      <c r="AN3633" s="115"/>
      <c r="AO3633" s="116"/>
      <c r="AP3633" s="116"/>
      <c r="AQ3633" s="116"/>
      <c r="AR3633" s="116"/>
      <c r="AS3633" s="116"/>
      <c r="AT3633" s="116"/>
      <c r="AU3633" s="116"/>
      <c r="AV3633" s="78"/>
      <c r="AW3633" s="102"/>
      <c r="AX3633" s="78"/>
      <c r="AY3633" s="78"/>
      <c r="AZ3633" s="78"/>
      <c r="BA3633" s="78"/>
      <c r="BB3633" s="78"/>
      <c r="BC3633" s="78"/>
      <c r="BD3633" s="78"/>
      <c r="BE3633" s="465"/>
      <c r="BF3633" s="165" t="str">
        <f t="shared" si="2745"/>
        <v>https://www.google.com/search?tbm=isch&amp;q=Rhod.%20%27Pink%20Ruffles%27%20Pink%20Ruffles%20Azalea%20%28PW%C2%AE%29</v>
      </c>
      <c r="BG3633" s="165" t="str">
        <f t="shared" si="2746"/>
        <v>R</v>
      </c>
      <c r="BH3633" s="65"/>
      <c r="BI3633" s="65"/>
      <c r="BJ3633" s="65"/>
      <c r="BK3633" s="65"/>
      <c r="BL3633" s="99"/>
      <c r="BM3633" s="99"/>
      <c r="BN3633" s="99"/>
    </row>
    <row r="3634" spans="1:66" s="51" customFormat="1" ht="15.75" x14ac:dyDescent="0.25">
      <c r="A3634" s="478">
        <v>3</v>
      </c>
      <c r="B3634" s="479" t="s">
        <v>291</v>
      </c>
      <c r="C3634" s="480" t="s">
        <v>4053</v>
      </c>
      <c r="D3634" s="481" t="s">
        <v>309</v>
      </c>
      <c r="E3634" s="482">
        <v>22.95</v>
      </c>
      <c r="F3634" s="483" t="s">
        <v>292</v>
      </c>
      <c r="G3634" s="484">
        <v>0</v>
      </c>
      <c r="H3634" s="688" t="str">
        <f>IF(G3634=0,"",IF(F3634="Buy",IF(G3634=1,"plant","plants"),IF(F3634&gt;0.01,"warranty","Error")))</f>
        <v/>
      </c>
      <c r="I3634" s="485">
        <f>IF(H3634="free",0,IF(H3634="credit",((E3634*(F3634))*G3634*-1),IF(F3634="Buy",(E3634*G3634),((E3634*(1-F3634))*G3634))))</f>
        <v>0</v>
      </c>
      <c r="J3634" s="485">
        <f>IF(H3634="warranty",0,(I3634*(_xlfn.SINGLE(SalesTaxPercentage))))</f>
        <v>0</v>
      </c>
      <c r="K3634" s="715">
        <f t="shared" ref="K3634" si="2760">I3634+J3634</f>
        <v>0</v>
      </c>
      <c r="L3634" s="715"/>
      <c r="M3634" s="689" t="str">
        <f ca="1">IF(AND(G3634&gt;0,E3634=0),"WARNING - no PRICE inserted",IF(H3634="free","FREE ~ no charge this plant",IF(H3634="credit",CONCATENATE("-$",ROUND(K3634*(1-_xlfn.SINGLE(T2GDiscount))*-1,2)," CREDIT after discount"),IF(_xlfn.SINGLE(T2GDiscount)=0,"",IF(G3634=0,"",IF(F3634="Buy",CONCATENATE("$",ROUND(K3634*(1-_xlfn.SINGLE(T2GDiscount)),2)," with ",(_xlfn.SINGLE(T2GDiscount)*100),"% discount"),CONCATENATE("$",ROUND(K3634*(1-_xlfn.SINGLE(T2GDiscount)),2)," with ",((_xlfn.SINGLE(T2GDiscount)*100+F3634*100)-(_xlfn.SINGLE(T2GDiscount)*100*F3634)),IF(F3634&gt;0,"% discounts",IF(_xlfn.SINGLE(NoWarrantyDiscount)&gt;0,"% discounts","% discount")))))))))</f>
        <v/>
      </c>
      <c r="N3634" s="690"/>
      <c r="O3634" s="486"/>
      <c r="P3634" s="486"/>
      <c r="Q3634" s="486"/>
      <c r="R3634" s="486"/>
      <c r="S3634" s="486"/>
      <c r="T3634" s="102">
        <f t="shared" si="2734"/>
        <v>0</v>
      </c>
      <c r="U3634" s="78">
        <f>IF(NOT(ISNUMBER(G3634)), "", VLOOKUP(A3634,'Discount Lookup'!D:E,2,FALSE)*G3634)</f>
        <v>0</v>
      </c>
      <c r="V3634" s="78">
        <f>IF(NOT(ISNUMBER(G3634)), "", VLOOKUP(A3634,'Discount Lookup'!G:H,2,FALSE)*G3634)</f>
        <v>0</v>
      </c>
      <c r="W3634" s="102">
        <f t="shared" si="2735"/>
        <v>0</v>
      </c>
      <c r="X3634" s="102">
        <f t="shared" si="2736"/>
        <v>0</v>
      </c>
      <c r="Y3634" s="120" t="b">
        <f t="shared" si="2737"/>
        <v>0</v>
      </c>
      <c r="Z3634" s="117">
        <f t="shared" si="2738"/>
        <v>0</v>
      </c>
      <c r="AA3634" s="118"/>
      <c r="AB3634" s="118" t="str">
        <f t="shared" si="2739"/>
        <v/>
      </c>
      <c r="AC3634" s="712" t="str">
        <f>IF(AE3634="T2G","no charge",IF(AND(OR(PlanterYesMe="No",PlanterYesMe="N",PlanterYesMe="me"),H3634=""),"",IF(H3634="credit","NO install",IF(AND(K3634="",AE3634="me"),"EACH row",IF(AND(K3634="images",AE3634="me"),"EACH row",IF(D3634="","",IF(H3634="credit","",IF(AE3634="free","re-planting",IF(AE3634="me","   not ELP, by",IF(AND(OR(PlanterYesMe="Yes",PlanterYesMe="Y"),G3634&gt;0),(VLOOKUP(A3634,'Discount Lookup'!J:K,2)*G3634*(1-PlanterDiscount)*(1+PlanterDifficultyPercentage)),IF(AE3634="ELP",(VLOOKUP(A3634,'Discount Lookup'!J:K,2)*G3634*(1-PlanterDiscount)*(1+PlanterDifficultyPercentage)),IF(AE3634="free","re-planting",IF(G3634=0,"",IF(PlanterYesMe="",IF(AE3634="me","   not ELP, by",IF(AE3634="",IF(G3634&gt;0,(VLOOKUP(A3634,'Discount Lookup'!J:K,2)*G3634*(1-PlanterDiscount)*(1+PlanterDifficultyPercentage)),""),"")),"   not ELP, by"))))))))))))))</f>
        <v/>
      </c>
      <c r="AD3634" s="712"/>
      <c r="AE3634" s="513" t="str">
        <f t="shared" si="2740"/>
        <v/>
      </c>
      <c r="AF3634" s="713" t="str">
        <f t="shared" si="2741"/>
        <v/>
      </c>
      <c r="AG3634" s="713"/>
      <c r="AH3634" s="713"/>
      <c r="AI3634" s="112">
        <f>IF(H3634="credit",0,IF(AE3634="free",0,IF(AE3634="me",0,IF(G3634&gt;0,(VLOOKUP(A3634,'Discount Lookup'!J:K,2)*G3634),0))))</f>
        <v>0</v>
      </c>
      <c r="AJ3634" s="107" t="str">
        <f t="shared" ca="1" si="2742"/>
        <v/>
      </c>
      <c r="AK3634" s="714" t="str">
        <f t="shared" si="2743"/>
        <v/>
      </c>
      <c r="AL3634" s="714"/>
      <c r="AM3634" s="114" t="str">
        <f t="shared" si="2744"/>
        <v/>
      </c>
      <c r="AN3634" s="115"/>
      <c r="AO3634" s="116"/>
      <c r="AP3634" s="116"/>
      <c r="AQ3634" s="116"/>
      <c r="AR3634" s="116"/>
      <c r="AS3634" s="116"/>
      <c r="AT3634" s="116"/>
      <c r="AU3634" s="116"/>
      <c r="AV3634" s="78"/>
      <c r="AW3634" s="102"/>
      <c r="AX3634" s="78"/>
      <c r="AY3634" s="78"/>
      <c r="AZ3634" s="78"/>
      <c r="BA3634" s="78"/>
      <c r="BB3634" s="78"/>
      <c r="BC3634" s="78"/>
      <c r="BD3634" s="78"/>
      <c r="BE3634" s="465"/>
      <c r="BF3634" s="165" t="str">
        <f t="shared" si="2745"/>
        <v>https://www.google.com/search?tbm=isch&amp;q=3%20G3</v>
      </c>
      <c r="BG3634" s="165" t="str">
        <f t="shared" si="2746"/>
        <v>R</v>
      </c>
      <c r="BH3634" s="65"/>
      <c r="BI3634" s="65"/>
      <c r="BJ3634" s="65"/>
      <c r="BK3634" s="65"/>
      <c r="BL3634" s="99"/>
      <c r="BM3634" s="99"/>
      <c r="BN3634" s="99"/>
    </row>
    <row r="3635" spans="1:66" s="51" customFormat="1" ht="17.25" thickBot="1" x14ac:dyDescent="0.3">
      <c r="A3635" s="508" t="s">
        <v>4054</v>
      </c>
      <c r="B3635" s="487"/>
      <c r="C3635" s="707"/>
      <c r="D3635" s="487"/>
      <c r="E3635" s="487"/>
      <c r="F3635" s="488"/>
      <c r="G3635" s="489"/>
      <c r="H3635" s="487"/>
      <c r="I3635" s="490"/>
      <c r="J3635" s="490"/>
      <c r="K3635" s="491"/>
      <c r="L3635" s="547"/>
      <c r="M3635" s="528"/>
      <c r="N3635" s="492"/>
      <c r="O3635" s="493"/>
      <c r="P3635" s="494"/>
      <c r="Q3635" s="492"/>
      <c r="R3635" s="492"/>
      <c r="S3635" s="699" t="s">
        <v>5248</v>
      </c>
      <c r="T3635" s="102">
        <f t="shared" si="2734"/>
        <v>0</v>
      </c>
      <c r="U3635" s="78" t="str">
        <f>IF(NOT(ISNUMBER(G3635)), "", VLOOKUP(A3635,'Discount Lookup'!D:E,2,FALSE)*G3635)</f>
        <v/>
      </c>
      <c r="V3635" s="78" t="str">
        <f>IF(NOT(ISNUMBER(G3635)), "", VLOOKUP(A3635,'Discount Lookup'!G:H,2,FALSE)*G3635)</f>
        <v/>
      </c>
      <c r="W3635" s="102">
        <f t="shared" si="2735"/>
        <v>0</v>
      </c>
      <c r="X3635" s="102">
        <f t="shared" si="2736"/>
        <v>0</v>
      </c>
      <c r="Y3635" s="120" t="b">
        <f t="shared" si="2737"/>
        <v>0</v>
      </c>
      <c r="Z3635" s="117">
        <f t="shared" si="2738"/>
        <v>0</v>
      </c>
      <c r="AA3635" s="118"/>
      <c r="AB3635" s="118" t="str">
        <f t="shared" si="2739"/>
        <v/>
      </c>
      <c r="AC3635" s="712" t="str">
        <f>IF(AE3635="T2G","no charge",IF(AND(OR(PlanterYesMe="No",PlanterYesMe="N",PlanterYesMe="me"),H3635=""),"",IF(H3635="credit","NO install",IF(AND(K3635="",AE3635="me"),"EACH row",IF(AND(K3635="images",AE3635="me"),"EACH row",IF(D3635="","",IF(H3635="credit","",IF(AE3635="free","re-planting",IF(AE3635="me","   not ELP, by",IF(AND(OR(PlanterYesMe="Yes",PlanterYesMe="Y"),G3635&gt;0),(VLOOKUP(A3635,'Discount Lookup'!J:K,2)*G3635*(1-PlanterDiscount)*(1+PlanterDifficultyPercentage)),IF(AE3635="ELP",(VLOOKUP(A3635,'Discount Lookup'!J:K,2)*G3635*(1-PlanterDiscount)*(1+PlanterDifficultyPercentage)),IF(AE3635="free","re-planting",IF(G3635=0,"",IF(PlanterYesMe="",IF(AE3635="me","   not ELP, by",IF(AE3635="",IF(G3635&gt;0,(VLOOKUP(A3635,'Discount Lookup'!J:K,2)*G3635*(1-PlanterDiscount)*(1+PlanterDifficultyPercentage)),""),"")),"   not ELP, by"))))))))))))))</f>
        <v/>
      </c>
      <c r="AD3635" s="712"/>
      <c r="AE3635" s="513" t="str">
        <f t="shared" si="2740"/>
        <v/>
      </c>
      <c r="AF3635" s="713" t="str">
        <f t="shared" si="2741"/>
        <v/>
      </c>
      <c r="AG3635" s="713"/>
      <c r="AH3635" s="713"/>
      <c r="AI3635" s="112">
        <f>IF(H3635="credit",0,IF(AE3635="free",0,IF(AE3635="me",0,IF(G3635&gt;0,(VLOOKUP(A3635,'Discount Lookup'!J:K,2)*G3635),0))))</f>
        <v>0</v>
      </c>
      <c r="AJ3635" s="107" t="str">
        <f t="shared" ca="1" si="2742"/>
        <v/>
      </c>
      <c r="AK3635" s="714" t="str">
        <f t="shared" si="2743"/>
        <v/>
      </c>
      <c r="AL3635" s="714"/>
      <c r="AM3635" s="114" t="str">
        <f t="shared" si="2744"/>
        <v/>
      </c>
      <c r="AN3635" s="115"/>
      <c r="AO3635" s="116"/>
      <c r="AP3635" s="116"/>
      <c r="AQ3635" s="116"/>
      <c r="AR3635" s="116"/>
      <c r="AS3635" s="116"/>
      <c r="AT3635" s="116"/>
      <c r="AU3635" s="116"/>
      <c r="AV3635" s="78"/>
      <c r="AW3635" s="102"/>
      <c r="AX3635" s="78"/>
      <c r="AY3635" s="78"/>
      <c r="AZ3635" s="78"/>
      <c r="BA3635" s="78"/>
      <c r="BB3635" s="78"/>
      <c r="BC3635" s="78"/>
      <c r="BD3635" s="78"/>
      <c r="BE3635" s="465"/>
      <c r="BF3635" s="165" t="str">
        <f t="shared" si="2745"/>
        <v>https://www.google.com/search?tbm=isch&amp;q=Pink%20Ruffles%20puts%20out%20ruffled%20spring%20flowers%2C%20plus%20a%20limited%20repeat%20in%20the%20fall.%20Upright%20habit%20</v>
      </c>
      <c r="BG3635" s="165" t="str">
        <f t="shared" si="2746"/>
        <v>P</v>
      </c>
      <c r="BH3635" s="65"/>
      <c r="BI3635" s="65"/>
      <c r="BJ3635" s="65"/>
      <c r="BK3635" s="65"/>
      <c r="BL3635" s="99"/>
      <c r="BM3635" s="99"/>
      <c r="BN3635" s="99"/>
    </row>
    <row r="3636" spans="1:66" s="51" customFormat="1" ht="18" x14ac:dyDescent="0.25">
      <c r="A3636" s="507" t="s">
        <v>4055</v>
      </c>
      <c r="B3636" s="470"/>
      <c r="C3636" s="706"/>
      <c r="D3636" s="471" t="s">
        <v>5902</v>
      </c>
      <c r="E3636" s="472"/>
      <c r="F3636" s="472"/>
      <c r="G3636" s="472"/>
      <c r="H3636" s="622" t="s">
        <v>1104</v>
      </c>
      <c r="I3636" s="473" t="s">
        <v>4056</v>
      </c>
      <c r="J3636" s="472"/>
      <c r="K3636" s="472"/>
      <c r="L3636" s="561"/>
      <c r="M3636" s="698" t="s">
        <v>5246</v>
      </c>
      <c r="N3636" s="692" t="str">
        <f>IF(AND(ISTEXT($A3636), ISERROR($A3636+0)), HYPERLINK($BF3636, "Images"), "")</f>
        <v>Images</v>
      </c>
      <c r="O3636" s="694" t="s">
        <v>5264</v>
      </c>
      <c r="P3636" s="475"/>
      <c r="Q3636" s="476"/>
      <c r="R3636" s="476"/>
      <c r="S3636" s="477"/>
      <c r="T3636" s="102">
        <f t="shared" si="2734"/>
        <v>0</v>
      </c>
      <c r="U3636" s="78" t="str">
        <f>IF(NOT(ISNUMBER(G3636)), "", VLOOKUP(A3636,'Discount Lookup'!D:E,2,FALSE)*G3636)</f>
        <v/>
      </c>
      <c r="V3636" s="78" t="str">
        <f>IF(NOT(ISNUMBER(G3636)), "", VLOOKUP(A3636,'Discount Lookup'!G:H,2,FALSE)*G3636)</f>
        <v/>
      </c>
      <c r="W3636" s="102">
        <f t="shared" si="2735"/>
        <v>0</v>
      </c>
      <c r="X3636" s="102" t="str">
        <f t="shared" si="2736"/>
        <v>Blush Pink bloom</v>
      </c>
      <c r="Y3636" s="120" t="b">
        <f t="shared" si="2737"/>
        <v>0</v>
      </c>
      <c r="Z3636" s="117">
        <f t="shared" si="2738"/>
        <v>0</v>
      </c>
      <c r="AA3636" s="118"/>
      <c r="AB3636" s="118" t="str">
        <f t="shared" si="2739"/>
        <v/>
      </c>
      <c r="AC3636" s="712" t="str">
        <f>IF(AE3636="T2G","no charge",IF(AND(OR(PlanterYesMe="No",PlanterYesMe="N",PlanterYesMe="me"),H3636=""),"",IF(H3636="credit","NO install",IF(AND(K3636="",AE3636="me"),"EACH row",IF(AND(K3636="images",AE3636="me"),"EACH row",IF(D3636="","",IF(H3636="credit","",IF(AE3636="free","re-planting",IF(AE3636="me","   not ELP, by",IF(AND(OR(PlanterYesMe="Yes",PlanterYesMe="Y"),G3636&gt;0),(VLOOKUP(A3636,'Discount Lookup'!J:K,2)*G3636*(1-PlanterDiscount)*(1+PlanterDifficultyPercentage)),IF(AE3636="ELP",(VLOOKUP(A3636,'Discount Lookup'!J:K,2)*G3636*(1-PlanterDiscount)*(1+PlanterDifficultyPercentage)),IF(AE3636="free","re-planting",IF(G3636=0,"",IF(PlanterYesMe="",IF(AE3636="me","   not ELP, by",IF(AE3636="",IF(G3636&gt;0,(VLOOKUP(A3636,'Discount Lookup'!J:K,2)*G3636*(1-PlanterDiscount)*(1+PlanterDifficultyPercentage)),""),"")),"   not ELP, by"))))))))))))))</f>
        <v/>
      </c>
      <c r="AD3636" s="712"/>
      <c r="AE3636" s="513" t="str">
        <f t="shared" si="2740"/>
        <v/>
      </c>
      <c r="AF3636" s="713" t="str">
        <f t="shared" si="2741"/>
        <v/>
      </c>
      <c r="AG3636" s="713"/>
      <c r="AH3636" s="713"/>
      <c r="AI3636" s="112">
        <f>IF(H3636="credit",0,IF(AE3636="free",0,IF(AE3636="me",0,IF(G3636&gt;0,(VLOOKUP(A3636,'Discount Lookup'!J:K,2)*G3636),0))))</f>
        <v>0</v>
      </c>
      <c r="AJ3636" s="107" t="str">
        <f t="shared" ca="1" si="2742"/>
        <v/>
      </c>
      <c r="AK3636" s="714" t="str">
        <f t="shared" si="2743"/>
        <v/>
      </c>
      <c r="AL3636" s="714"/>
      <c r="AM3636" s="114" t="str">
        <f t="shared" si="2744"/>
        <v/>
      </c>
      <c r="AN3636" s="115"/>
      <c r="AO3636" s="116"/>
      <c r="AP3636" s="116"/>
      <c r="AQ3636" s="116"/>
      <c r="AR3636" s="116"/>
      <c r="AS3636" s="116"/>
      <c r="AT3636" s="116"/>
      <c r="AU3636" s="116"/>
      <c r="AV3636" s="78"/>
      <c r="AW3636" s="102"/>
      <c r="AX3636" s="78"/>
      <c r="AY3636" s="78"/>
      <c r="AZ3636" s="78"/>
      <c r="BA3636" s="78"/>
      <c r="BB3636" s="78"/>
      <c r="BC3636" s="78"/>
      <c r="BD3636" s="78"/>
      <c r="BE3636" s="465"/>
      <c r="BF3636" s="165" t="str">
        <f t="shared" si="2745"/>
        <v>https://www.google.com/search?tbm=isch&amp;q=Rhod.%20%27RLH2-3P8-2%27%20PP%2331116%20Ever%20After%E2%84%A2%20Pink%20Reblooming%20Azalea%20%28BE%C2%AE%29</v>
      </c>
      <c r="BG3636" s="165" t="str">
        <f t="shared" si="2746"/>
        <v>R</v>
      </c>
      <c r="BH3636" s="65"/>
      <c r="BI3636" s="65"/>
      <c r="BJ3636" s="65"/>
      <c r="BK3636" s="65"/>
      <c r="BL3636" s="99"/>
      <c r="BM3636" s="99"/>
      <c r="BN3636" s="99"/>
    </row>
    <row r="3637" spans="1:66" s="51" customFormat="1" ht="15.75" x14ac:dyDescent="0.25">
      <c r="A3637" s="478">
        <v>3</v>
      </c>
      <c r="B3637" s="479" t="s">
        <v>291</v>
      </c>
      <c r="C3637" s="480" t="s">
        <v>5013</v>
      </c>
      <c r="D3637" s="481" t="s">
        <v>311</v>
      </c>
      <c r="E3637" s="482">
        <v>40.950000000000003</v>
      </c>
      <c r="F3637" s="483" t="s">
        <v>292</v>
      </c>
      <c r="G3637" s="484">
        <v>0</v>
      </c>
      <c r="H3637" s="688" t="str">
        <f>IF(G3637=0,"",IF(F3637="Buy",IF(G3637=1,"plant","plants"),IF(F3637&gt;0.01,"warranty","Error")))</f>
        <v/>
      </c>
      <c r="I3637" s="485">
        <f>IF(H3637="free",0,IF(H3637="credit",((E3637*(F3637))*G3637*-1),IF(F3637="Buy",(E3637*G3637),((E3637*(1-F3637))*G3637))))</f>
        <v>0</v>
      </c>
      <c r="J3637" s="485">
        <f>IF(H3637="warranty",0,(I3637*(_xlfn.SINGLE(SalesTaxPercentage))))</f>
        <v>0</v>
      </c>
      <c r="K3637" s="715">
        <f t="shared" ref="K3637" si="2761">I3637+J3637</f>
        <v>0</v>
      </c>
      <c r="L3637" s="715"/>
      <c r="M3637" s="689" t="str">
        <f ca="1">IF(AND(G3637&gt;0,E3637=0),"WARNING - no PRICE inserted",IF(H3637="free","FREE ~ no charge this plant",IF(H3637="credit",CONCATENATE("-$",ROUND(K3637*(1-_xlfn.SINGLE(T2GDiscount))*-1,2)," CREDIT after discount"),IF(_xlfn.SINGLE(T2GDiscount)=0,"",IF(G3637=0,"",IF(F3637="Buy",CONCATENATE("$",ROUND(K3637*(1-_xlfn.SINGLE(T2GDiscount)),2)," with ",(_xlfn.SINGLE(T2GDiscount)*100),"% discount"),CONCATENATE("$",ROUND(K3637*(1-_xlfn.SINGLE(T2GDiscount)),2)," with ",((_xlfn.SINGLE(T2GDiscount)*100+F3637*100)-(_xlfn.SINGLE(T2GDiscount)*100*F3637)),IF(F3637&gt;0,"% discounts",IF(_xlfn.SINGLE(NoWarrantyDiscount)&gt;0,"% discounts","% discount")))))))))</f>
        <v/>
      </c>
      <c r="N3637" s="690"/>
      <c r="O3637" s="486"/>
      <c r="P3637" s="486"/>
      <c r="Q3637" s="486"/>
      <c r="R3637" s="486"/>
      <c r="S3637" s="486"/>
      <c r="T3637" s="102">
        <f t="shared" si="2734"/>
        <v>0</v>
      </c>
      <c r="U3637" s="78">
        <f>IF(NOT(ISNUMBER(G3637)), "", VLOOKUP(A3637,'Discount Lookup'!D:E,2,FALSE)*G3637)</f>
        <v>0</v>
      </c>
      <c r="V3637" s="78">
        <f>IF(NOT(ISNUMBER(G3637)), "", VLOOKUP(A3637,'Discount Lookup'!G:H,2,FALSE)*G3637)</f>
        <v>0</v>
      </c>
      <c r="W3637" s="102">
        <f t="shared" si="2735"/>
        <v>0</v>
      </c>
      <c r="X3637" s="102">
        <f t="shared" si="2736"/>
        <v>0</v>
      </c>
      <c r="Y3637" s="120" t="b">
        <f t="shared" si="2737"/>
        <v>0</v>
      </c>
      <c r="Z3637" s="117">
        <f t="shared" si="2738"/>
        <v>0</v>
      </c>
      <c r="AA3637" s="118"/>
      <c r="AB3637" s="118" t="str">
        <f t="shared" si="2739"/>
        <v/>
      </c>
      <c r="AC3637" s="712" t="str">
        <f>IF(AE3637="T2G","no charge",IF(AND(OR(PlanterYesMe="No",PlanterYesMe="N",PlanterYesMe="me"),H3637=""),"",IF(H3637="credit","NO install",IF(AND(K3637="",AE3637="me"),"EACH row",IF(AND(K3637="images",AE3637="me"),"EACH row",IF(D3637="","",IF(H3637="credit","",IF(AE3637="free","re-planting",IF(AE3637="me","   not ELP, by",IF(AND(OR(PlanterYesMe="Yes",PlanterYesMe="Y"),G3637&gt;0),(VLOOKUP(A3637,'Discount Lookup'!J:K,2)*G3637*(1-PlanterDiscount)*(1+PlanterDifficultyPercentage)),IF(AE3637="ELP",(VLOOKUP(A3637,'Discount Lookup'!J:K,2)*G3637*(1-PlanterDiscount)*(1+PlanterDifficultyPercentage)),IF(AE3637="free","re-planting",IF(G3637=0,"",IF(PlanterYesMe="",IF(AE3637="me","   not ELP, by",IF(AE3637="",IF(G3637&gt;0,(VLOOKUP(A3637,'Discount Lookup'!J:K,2)*G3637*(1-PlanterDiscount)*(1+PlanterDifficultyPercentage)),""),"")),"   not ELP, by"))))))))))))))</f>
        <v/>
      </c>
      <c r="AD3637" s="712"/>
      <c r="AE3637" s="513" t="str">
        <f t="shared" si="2740"/>
        <v/>
      </c>
      <c r="AF3637" s="713" t="str">
        <f t="shared" si="2741"/>
        <v/>
      </c>
      <c r="AG3637" s="713"/>
      <c r="AH3637" s="713"/>
      <c r="AI3637" s="112">
        <f>IF(H3637="credit",0,IF(AE3637="free",0,IF(AE3637="me",0,IF(G3637&gt;0,(VLOOKUP(A3637,'Discount Lookup'!J:K,2)*G3637),0))))</f>
        <v>0</v>
      </c>
      <c r="AJ3637" s="107" t="str">
        <f t="shared" ca="1" si="2742"/>
        <v/>
      </c>
      <c r="AK3637" s="714" t="str">
        <f t="shared" si="2743"/>
        <v/>
      </c>
      <c r="AL3637" s="714"/>
      <c r="AM3637" s="114" t="str">
        <f t="shared" si="2744"/>
        <v/>
      </c>
      <c r="AN3637" s="115"/>
      <c r="AO3637" s="116"/>
      <c r="AP3637" s="116"/>
      <c r="AQ3637" s="116"/>
      <c r="AR3637" s="116"/>
      <c r="AS3637" s="116"/>
      <c r="AT3637" s="116"/>
      <c r="AU3637" s="116"/>
      <c r="AV3637" s="78"/>
      <c r="AW3637" s="102"/>
      <c r="AX3637" s="78"/>
      <c r="AY3637" s="78"/>
      <c r="AZ3637" s="78"/>
      <c r="BA3637" s="78"/>
      <c r="BB3637" s="78"/>
      <c r="BC3637" s="78"/>
      <c r="BD3637" s="78"/>
      <c r="BE3637" s="465"/>
      <c r="BF3637" s="165" t="str">
        <f t="shared" si="2745"/>
        <v>https://www.google.com/search?tbm=isch&amp;q=3%20G5</v>
      </c>
      <c r="BG3637" s="165" t="str">
        <f t="shared" si="2746"/>
        <v>R</v>
      </c>
      <c r="BH3637" s="65"/>
      <c r="BI3637" s="65"/>
      <c r="BJ3637" s="65"/>
      <c r="BK3637" s="65"/>
      <c r="BL3637" s="99"/>
      <c r="BM3637" s="99"/>
      <c r="BN3637" s="99"/>
    </row>
    <row r="3638" spans="1:66" s="51" customFormat="1" ht="15.75" x14ac:dyDescent="0.25">
      <c r="A3638" s="478">
        <v>3</v>
      </c>
      <c r="B3638" s="479" t="s">
        <v>291</v>
      </c>
      <c r="C3638" s="480" t="s">
        <v>4057</v>
      </c>
      <c r="D3638" s="481" t="s">
        <v>293</v>
      </c>
      <c r="E3638" s="482">
        <v>45.95</v>
      </c>
      <c r="F3638" s="483" t="s">
        <v>292</v>
      </c>
      <c r="G3638" s="484">
        <v>0</v>
      </c>
      <c r="H3638" s="688" t="str">
        <f>IF(G3638=0,"",IF(F3638="Buy",IF(G3638=1,"plant","plants"),IF(F3638&gt;0.01,"warranty","Error")))</f>
        <v/>
      </c>
      <c r="I3638" s="485">
        <f>IF(H3638="free",0,IF(H3638="credit",((E3638*(F3638))*G3638*-1),IF(F3638="Buy",(E3638*G3638),((E3638*(1-F3638))*G3638))))</f>
        <v>0</v>
      </c>
      <c r="J3638" s="485">
        <f>IF(H3638="warranty",0,(I3638*(_xlfn.SINGLE(SalesTaxPercentage))))</f>
        <v>0</v>
      </c>
      <c r="K3638" s="715">
        <f t="shared" ref="K3638" si="2762">I3638+J3638</f>
        <v>0</v>
      </c>
      <c r="L3638" s="715"/>
      <c r="M3638" s="689" t="str">
        <f ca="1">IF(AND(G3638&gt;0,E3638=0),"WARNING - no PRICE inserted",IF(H3638="free","FREE ~ no charge this plant",IF(H3638="credit",CONCATENATE("-$",ROUND(K3638*(1-_xlfn.SINGLE(T2GDiscount))*-1,2)," CREDIT after discount"),IF(_xlfn.SINGLE(T2GDiscount)=0,"",IF(G3638=0,"",IF(F3638="Buy",CONCATENATE("$",ROUND(K3638*(1-_xlfn.SINGLE(T2GDiscount)),2)," with ",(_xlfn.SINGLE(T2GDiscount)*100),"% discount"),CONCATENATE("$",ROUND(K3638*(1-_xlfn.SINGLE(T2GDiscount)),2)," with ",((_xlfn.SINGLE(T2GDiscount)*100+F3638*100)-(_xlfn.SINGLE(T2GDiscount)*100*F3638)),IF(F3638&gt;0,"% discounts",IF(_xlfn.SINGLE(NoWarrantyDiscount)&gt;0,"% discounts","% discount")))))))))</f>
        <v/>
      </c>
      <c r="N3638" s="690"/>
      <c r="O3638" s="486"/>
      <c r="P3638" s="486"/>
      <c r="Q3638" s="486"/>
      <c r="R3638" s="486"/>
      <c r="S3638" s="486"/>
      <c r="T3638" s="102">
        <f t="shared" si="2734"/>
        <v>0</v>
      </c>
      <c r="U3638" s="78">
        <f>IF(NOT(ISNUMBER(G3638)), "", VLOOKUP(A3638,'Discount Lookup'!D:E,2,FALSE)*G3638)</f>
        <v>0</v>
      </c>
      <c r="V3638" s="78">
        <f>IF(NOT(ISNUMBER(G3638)), "", VLOOKUP(A3638,'Discount Lookup'!G:H,2,FALSE)*G3638)</f>
        <v>0</v>
      </c>
      <c r="W3638" s="102">
        <f t="shared" si="2735"/>
        <v>0</v>
      </c>
      <c r="X3638" s="102">
        <f t="shared" si="2736"/>
        <v>0</v>
      </c>
      <c r="Y3638" s="120" t="b">
        <f t="shared" si="2737"/>
        <v>0</v>
      </c>
      <c r="Z3638" s="117">
        <f t="shared" si="2738"/>
        <v>0</v>
      </c>
      <c r="AA3638" s="118"/>
      <c r="AB3638" s="118" t="str">
        <f t="shared" si="2739"/>
        <v/>
      </c>
      <c r="AC3638" s="712" t="str">
        <f>IF(AE3638="T2G","no charge",IF(AND(OR(PlanterYesMe="No",PlanterYesMe="N",PlanterYesMe="me"),H3638=""),"",IF(H3638="credit","NO install",IF(AND(K3638="",AE3638="me"),"EACH row",IF(AND(K3638="images",AE3638="me"),"EACH row",IF(D3638="","",IF(H3638="credit","",IF(AE3638="free","re-planting",IF(AE3638="me","   not ELP, by",IF(AND(OR(PlanterYesMe="Yes",PlanterYesMe="Y"),G3638&gt;0),(VLOOKUP(A3638,'Discount Lookup'!J:K,2)*G3638*(1-PlanterDiscount)*(1+PlanterDifficultyPercentage)),IF(AE3638="ELP",(VLOOKUP(A3638,'Discount Lookup'!J:K,2)*G3638*(1-PlanterDiscount)*(1+PlanterDifficultyPercentage)),IF(AE3638="free","re-planting",IF(G3638=0,"",IF(PlanterYesMe="",IF(AE3638="me","   not ELP, by",IF(AE3638="",IF(G3638&gt;0,(VLOOKUP(A3638,'Discount Lookup'!J:K,2)*G3638*(1-PlanterDiscount)*(1+PlanterDifficultyPercentage)),""),"")),"   not ELP, by"))))))))))))))</f>
        <v/>
      </c>
      <c r="AD3638" s="712"/>
      <c r="AE3638" s="513" t="str">
        <f t="shared" si="2740"/>
        <v/>
      </c>
      <c r="AF3638" s="713" t="str">
        <f t="shared" si="2741"/>
        <v/>
      </c>
      <c r="AG3638" s="713"/>
      <c r="AH3638" s="713"/>
      <c r="AI3638" s="112">
        <f>IF(H3638="credit",0,IF(AE3638="free",0,IF(AE3638="me",0,IF(G3638&gt;0,(VLOOKUP(A3638,'Discount Lookup'!J:K,2)*G3638),0))))</f>
        <v>0</v>
      </c>
      <c r="AJ3638" s="107" t="str">
        <f t="shared" ca="1" si="2742"/>
        <v/>
      </c>
      <c r="AK3638" s="714" t="str">
        <f t="shared" si="2743"/>
        <v/>
      </c>
      <c r="AL3638" s="714"/>
      <c r="AM3638" s="114" t="str">
        <f t="shared" si="2744"/>
        <v/>
      </c>
      <c r="AN3638" s="115"/>
      <c r="AO3638" s="116"/>
      <c r="AP3638" s="116"/>
      <c r="AQ3638" s="116"/>
      <c r="AR3638" s="116"/>
      <c r="AS3638" s="116"/>
      <c r="AT3638" s="116"/>
      <c r="AU3638" s="116"/>
      <c r="AV3638" s="78"/>
      <c r="AW3638" s="102"/>
      <c r="AX3638" s="78"/>
      <c r="AY3638" s="78"/>
      <c r="AZ3638" s="78"/>
      <c r="BA3638" s="78"/>
      <c r="BB3638" s="78"/>
      <c r="BC3638" s="78"/>
      <c r="BD3638" s="78"/>
      <c r="BE3638" s="465"/>
      <c r="BF3638" s="165" t="str">
        <f t="shared" si="2745"/>
        <v>https://www.google.com/search?tbm=isch&amp;q=3%20G6</v>
      </c>
      <c r="BG3638" s="165" t="str">
        <f t="shared" si="2746"/>
        <v>R</v>
      </c>
      <c r="BH3638" s="65"/>
      <c r="BI3638" s="65"/>
      <c r="BJ3638" s="65"/>
      <c r="BK3638" s="65"/>
      <c r="BL3638" s="99"/>
      <c r="BM3638" s="99"/>
      <c r="BN3638" s="99"/>
    </row>
    <row r="3639" spans="1:66" s="51" customFormat="1" ht="17.25" thickBot="1" x14ac:dyDescent="0.3">
      <c r="A3639" s="508" t="s">
        <v>4785</v>
      </c>
      <c r="B3639" s="487"/>
      <c r="C3639" s="707"/>
      <c r="D3639" s="487"/>
      <c r="E3639" s="487"/>
      <c r="F3639" s="488"/>
      <c r="G3639" s="489"/>
      <c r="H3639" s="487"/>
      <c r="I3639" s="490"/>
      <c r="J3639" s="490"/>
      <c r="K3639" s="491"/>
      <c r="L3639" s="547"/>
      <c r="M3639" s="528"/>
      <c r="N3639" s="492"/>
      <c r="O3639" s="493"/>
      <c r="P3639" s="494"/>
      <c r="Q3639" s="492"/>
      <c r="R3639" s="492"/>
      <c r="S3639" s="699" t="s">
        <v>5248</v>
      </c>
      <c r="T3639" s="102">
        <f t="shared" si="2734"/>
        <v>0</v>
      </c>
      <c r="U3639" s="78" t="str">
        <f>IF(NOT(ISNUMBER(G3639)), "", VLOOKUP(A3639,'Discount Lookup'!D:E,2,FALSE)*G3639)</f>
        <v/>
      </c>
      <c r="V3639" s="78" t="str">
        <f>IF(NOT(ISNUMBER(G3639)), "", VLOOKUP(A3639,'Discount Lookup'!G:H,2,FALSE)*G3639)</f>
        <v/>
      </c>
      <c r="W3639" s="102">
        <f t="shared" si="2735"/>
        <v>0</v>
      </c>
      <c r="X3639" s="102">
        <f t="shared" si="2736"/>
        <v>0</v>
      </c>
      <c r="Y3639" s="120" t="b">
        <f t="shared" si="2737"/>
        <v>0</v>
      </c>
      <c r="Z3639" s="117">
        <f t="shared" si="2738"/>
        <v>0</v>
      </c>
      <c r="AA3639" s="118"/>
      <c r="AB3639" s="118" t="str">
        <f t="shared" si="2739"/>
        <v/>
      </c>
      <c r="AC3639" s="712" t="str">
        <f>IF(AE3639="T2G","no charge",IF(AND(OR(PlanterYesMe="No",PlanterYesMe="N",PlanterYesMe="me"),H3639=""),"",IF(H3639="credit","NO install",IF(AND(K3639="",AE3639="me"),"EACH row",IF(AND(K3639="images",AE3639="me"),"EACH row",IF(D3639="","",IF(H3639="credit","",IF(AE3639="free","re-planting",IF(AE3639="me","   not ELP, by",IF(AND(OR(PlanterYesMe="Yes",PlanterYesMe="Y"),G3639&gt;0),(VLOOKUP(A3639,'Discount Lookup'!J:K,2)*G3639*(1-PlanterDiscount)*(1+PlanterDifficultyPercentage)),IF(AE3639="ELP",(VLOOKUP(A3639,'Discount Lookup'!J:K,2)*G3639*(1-PlanterDiscount)*(1+PlanterDifficultyPercentage)),IF(AE3639="free","re-planting",IF(G3639=0,"",IF(PlanterYesMe="",IF(AE3639="me","   not ELP, by",IF(AE3639="",IF(G3639&gt;0,(VLOOKUP(A3639,'Discount Lookup'!J:K,2)*G3639*(1-PlanterDiscount)*(1+PlanterDifficultyPercentage)),""),"")),"   not ELP, by"))))))))))))))</f>
        <v/>
      </c>
      <c r="AD3639" s="712"/>
      <c r="AE3639" s="513" t="str">
        <f t="shared" si="2740"/>
        <v/>
      </c>
      <c r="AF3639" s="713" t="str">
        <f t="shared" si="2741"/>
        <v/>
      </c>
      <c r="AG3639" s="713"/>
      <c r="AH3639" s="713"/>
      <c r="AI3639" s="112">
        <f>IF(H3639="credit",0,IF(AE3639="free",0,IF(AE3639="me",0,IF(G3639&gt;0,(VLOOKUP(A3639,'Discount Lookup'!J:K,2)*G3639),0))))</f>
        <v>0</v>
      </c>
      <c r="AJ3639" s="107" t="str">
        <f t="shared" ca="1" si="2742"/>
        <v/>
      </c>
      <c r="AK3639" s="714" t="str">
        <f t="shared" si="2743"/>
        <v/>
      </c>
      <c r="AL3639" s="714"/>
      <c r="AM3639" s="114" t="str">
        <f t="shared" si="2744"/>
        <v/>
      </c>
      <c r="AN3639" s="115"/>
      <c r="AO3639" s="116"/>
      <c r="AP3639" s="116"/>
      <c r="AQ3639" s="116"/>
      <c r="AR3639" s="116"/>
      <c r="AS3639" s="116"/>
      <c r="AT3639" s="116"/>
      <c r="AU3639" s="116"/>
      <c r="AV3639" s="78"/>
      <c r="AW3639" s="102"/>
      <c r="AX3639" s="78"/>
      <c r="AY3639" s="78"/>
      <c r="AZ3639" s="78"/>
      <c r="BA3639" s="78"/>
      <c r="BB3639" s="78"/>
      <c r="BC3639" s="78"/>
      <c r="BD3639" s="78"/>
      <c r="BE3639" s="465"/>
      <c r="BF3639" s="165" t="str">
        <f t="shared" si="2745"/>
        <v>https://www.google.com/search?tbm=isch&amp;q=Ever%20After%20Pink%20flowers%20from%20spring%20through%20fall%2C%20with%20high%20cold%20and%20heat%20tolerance.%20Tidy%20habit%20and%20good%20pollinator%20appeal%20</v>
      </c>
      <c r="BG3639" s="165" t="str">
        <f t="shared" si="2746"/>
        <v>E</v>
      </c>
      <c r="BH3639" s="65"/>
      <c r="BI3639" s="65"/>
      <c r="BJ3639" s="65"/>
      <c r="BK3639" s="65"/>
      <c r="BL3639" s="99"/>
      <c r="BM3639" s="99"/>
      <c r="BN3639" s="99"/>
    </row>
    <row r="3640" spans="1:66" s="51" customFormat="1" ht="18" x14ac:dyDescent="0.25">
      <c r="A3640" s="507" t="s">
        <v>4058</v>
      </c>
      <c r="B3640" s="470"/>
      <c r="C3640" s="706"/>
      <c r="D3640" s="471" t="s">
        <v>4059</v>
      </c>
      <c r="E3640" s="472"/>
      <c r="F3640" s="472"/>
      <c r="G3640" s="472"/>
      <c r="H3640" s="622" t="s">
        <v>1439</v>
      </c>
      <c r="I3640" s="473" t="s">
        <v>4060</v>
      </c>
      <c r="J3640" s="472"/>
      <c r="K3640" s="472"/>
      <c r="L3640" s="561"/>
      <c r="M3640" s="703" t="s">
        <v>5274</v>
      </c>
      <c r="N3640" s="692" t="str">
        <f>IF(AND(ISTEXT($A3640), ISERROR($A3640+0)), HYPERLINK($BF3640, "Images"), "")</f>
        <v>Images</v>
      </c>
      <c r="O3640" s="694" t="s">
        <v>5264</v>
      </c>
      <c r="P3640" s="475"/>
      <c r="Q3640" s="476"/>
      <c r="R3640" s="476"/>
      <c r="S3640" s="477"/>
      <c r="T3640" s="102">
        <f t="shared" si="2734"/>
        <v>0</v>
      </c>
      <c r="U3640" s="78" t="str">
        <f>IF(NOT(ISNUMBER(G3640)), "", VLOOKUP(A3640,'Discount Lookup'!D:E,2,FALSE)*G3640)</f>
        <v/>
      </c>
      <c r="V3640" s="78" t="str">
        <f>IF(NOT(ISNUMBER(G3640)), "", VLOOKUP(A3640,'Discount Lookup'!G:H,2,FALSE)*G3640)</f>
        <v/>
      </c>
      <c r="W3640" s="102">
        <f t="shared" si="2735"/>
        <v>0</v>
      </c>
      <c r="X3640" s="102" t="str">
        <f t="shared" si="2736"/>
        <v>Salmon-Pink bloom</v>
      </c>
      <c r="Y3640" s="120" t="b">
        <f t="shared" si="2737"/>
        <v>0</v>
      </c>
      <c r="Z3640" s="117">
        <f t="shared" si="2738"/>
        <v>0</v>
      </c>
      <c r="AA3640" s="118"/>
      <c r="AB3640" s="118" t="str">
        <f t="shared" si="2739"/>
        <v/>
      </c>
      <c r="AC3640" s="712" t="str">
        <f>IF(AE3640="T2G","no charge",IF(AND(OR(PlanterYesMe="No",PlanterYesMe="N",PlanterYesMe="me"),H3640=""),"",IF(H3640="credit","NO install",IF(AND(K3640="",AE3640="me"),"EACH row",IF(AND(K3640="images",AE3640="me"),"EACH row",IF(D3640="","",IF(H3640="credit","",IF(AE3640="free","re-planting",IF(AE3640="me","   not ELP, by",IF(AND(OR(PlanterYesMe="Yes",PlanterYesMe="Y"),G3640&gt;0),(VLOOKUP(A3640,'Discount Lookup'!J:K,2)*G3640*(1-PlanterDiscount)*(1+PlanterDifficultyPercentage)),IF(AE3640="ELP",(VLOOKUP(A3640,'Discount Lookup'!J:K,2)*G3640*(1-PlanterDiscount)*(1+PlanterDifficultyPercentage)),IF(AE3640="free","re-planting",IF(G3640=0,"",IF(PlanterYesMe="",IF(AE3640="me","   not ELP, by",IF(AE3640="",IF(G3640&gt;0,(VLOOKUP(A3640,'Discount Lookup'!J:K,2)*G3640*(1-PlanterDiscount)*(1+PlanterDifficultyPercentage)),""),"")),"   not ELP, by"))))))))))))))</f>
        <v/>
      </c>
      <c r="AD3640" s="712"/>
      <c r="AE3640" s="513" t="str">
        <f t="shared" si="2740"/>
        <v/>
      </c>
      <c r="AF3640" s="713" t="str">
        <f t="shared" si="2741"/>
        <v/>
      </c>
      <c r="AG3640" s="713"/>
      <c r="AH3640" s="713"/>
      <c r="AI3640" s="112">
        <f>IF(H3640="credit",0,IF(AE3640="free",0,IF(AE3640="me",0,IF(G3640&gt;0,(VLOOKUP(A3640,'Discount Lookup'!J:K,2)*G3640),0))))</f>
        <v>0</v>
      </c>
      <c r="AJ3640" s="107" t="str">
        <f t="shared" ca="1" si="2742"/>
        <v/>
      </c>
      <c r="AK3640" s="714" t="str">
        <f t="shared" si="2743"/>
        <v/>
      </c>
      <c r="AL3640" s="714"/>
      <c r="AM3640" s="114" t="str">
        <f t="shared" si="2744"/>
        <v/>
      </c>
      <c r="AN3640" s="115"/>
      <c r="AO3640" s="116"/>
      <c r="AP3640" s="116"/>
      <c r="AQ3640" s="116"/>
      <c r="AR3640" s="116"/>
      <c r="AS3640" s="116"/>
      <c r="AT3640" s="116"/>
      <c r="AU3640" s="116"/>
      <c r="AV3640" s="78"/>
      <c r="AW3640" s="102"/>
      <c r="AX3640" s="78"/>
      <c r="AY3640" s="78"/>
      <c r="AZ3640" s="78"/>
      <c r="BA3640" s="78"/>
      <c r="BB3640" s="78"/>
      <c r="BC3640" s="78"/>
      <c r="BD3640" s="78"/>
      <c r="BE3640" s="465"/>
      <c r="BF3640" s="165" t="str">
        <f t="shared" si="2745"/>
        <v>https://www.google.com/search?tbm=isch&amp;q=Rhod.%20satsuki%20%27Chinzan%27%20Chinzan%20Azalea</v>
      </c>
      <c r="BG3640" s="165" t="str">
        <f t="shared" si="2746"/>
        <v>R</v>
      </c>
      <c r="BH3640" s="65"/>
      <c r="BI3640" s="65"/>
      <c r="BJ3640" s="65"/>
      <c r="BK3640" s="65"/>
      <c r="BL3640" s="99"/>
      <c r="BM3640" s="99"/>
      <c r="BN3640" s="99"/>
    </row>
    <row r="3641" spans="1:66" s="51" customFormat="1" ht="15.75" x14ac:dyDescent="0.25">
      <c r="A3641" s="478">
        <v>3</v>
      </c>
      <c r="B3641" s="479" t="s">
        <v>291</v>
      </c>
      <c r="C3641" s="480" t="s">
        <v>2790</v>
      </c>
      <c r="D3641" s="481" t="s">
        <v>329</v>
      </c>
      <c r="E3641" s="482">
        <v>24.95</v>
      </c>
      <c r="F3641" s="483" t="s">
        <v>292</v>
      </c>
      <c r="G3641" s="484">
        <v>0</v>
      </c>
      <c r="H3641" s="688" t="str">
        <f>IF(G3641=0,"",IF(F3641="Buy",IF(G3641=1,"plant","plants"),IF(F3641&gt;0.01,"warranty","Error")))</f>
        <v/>
      </c>
      <c r="I3641" s="485">
        <f>IF(H3641="free",0,IF(H3641="credit",((E3641*(F3641))*G3641*-1),IF(F3641="Buy",(E3641*G3641),((E3641*(1-F3641))*G3641))))</f>
        <v>0</v>
      </c>
      <c r="J3641" s="485">
        <f>IF(H3641="warranty",0,(I3641*(_xlfn.SINGLE(SalesTaxPercentage))))</f>
        <v>0</v>
      </c>
      <c r="K3641" s="715">
        <f t="shared" ref="K3641" si="2763">I3641+J3641</f>
        <v>0</v>
      </c>
      <c r="L3641" s="715"/>
      <c r="M3641" s="689" t="str">
        <f ca="1">IF(AND(G3641&gt;0,E3641=0),"WARNING - no PRICE inserted",IF(H3641="free","FREE ~ no charge this plant",IF(H3641="credit",CONCATENATE("-$",ROUND(K3641*(1-_xlfn.SINGLE(T2GDiscount))*-1,2)," CREDIT after discount"),IF(_xlfn.SINGLE(T2GDiscount)=0,"",IF(G3641=0,"",IF(F3641="Buy",CONCATENATE("$",ROUND(K3641*(1-_xlfn.SINGLE(T2GDiscount)),2)," with ",(_xlfn.SINGLE(T2GDiscount)*100),"% discount"),CONCATENATE("$",ROUND(K3641*(1-_xlfn.SINGLE(T2GDiscount)),2)," with ",((_xlfn.SINGLE(T2GDiscount)*100+F3641*100)-(_xlfn.SINGLE(T2GDiscount)*100*F3641)),IF(F3641&gt;0,"% discounts",IF(_xlfn.SINGLE(NoWarrantyDiscount)&gt;0,"% discounts","% discount")))))))))</f>
        <v/>
      </c>
      <c r="N3641" s="690"/>
      <c r="O3641" s="486"/>
      <c r="P3641" s="486"/>
      <c r="Q3641" s="486"/>
      <c r="R3641" s="486"/>
      <c r="S3641" s="486"/>
      <c r="T3641" s="102">
        <f t="shared" si="2734"/>
        <v>0</v>
      </c>
      <c r="U3641" s="78">
        <f>IF(NOT(ISNUMBER(G3641)), "", VLOOKUP(A3641,'Discount Lookup'!D:E,2,FALSE)*G3641)</f>
        <v>0</v>
      </c>
      <c r="V3641" s="78">
        <f>IF(NOT(ISNUMBER(G3641)), "", VLOOKUP(A3641,'Discount Lookup'!G:H,2,FALSE)*G3641)</f>
        <v>0</v>
      </c>
      <c r="W3641" s="102">
        <f t="shared" si="2735"/>
        <v>0</v>
      </c>
      <c r="X3641" s="102">
        <f t="shared" si="2736"/>
        <v>0</v>
      </c>
      <c r="Y3641" s="120" t="b">
        <f t="shared" si="2737"/>
        <v>0</v>
      </c>
      <c r="Z3641" s="117">
        <f t="shared" si="2738"/>
        <v>0</v>
      </c>
      <c r="AA3641" s="118"/>
      <c r="AB3641" s="118" t="str">
        <f t="shared" si="2739"/>
        <v/>
      </c>
      <c r="AC3641" s="712" t="str">
        <f>IF(AE3641="T2G","no charge",IF(AND(OR(PlanterYesMe="No",PlanterYesMe="N",PlanterYesMe="me"),H3641=""),"",IF(H3641="credit","NO install",IF(AND(K3641="",AE3641="me"),"EACH row",IF(AND(K3641="images",AE3641="me"),"EACH row",IF(D3641="","",IF(H3641="credit","",IF(AE3641="free","re-planting",IF(AE3641="me","   not ELP, by",IF(AND(OR(PlanterYesMe="Yes",PlanterYesMe="Y"),G3641&gt;0),(VLOOKUP(A3641,'Discount Lookup'!J:K,2)*G3641*(1-PlanterDiscount)*(1+PlanterDifficultyPercentage)),IF(AE3641="ELP",(VLOOKUP(A3641,'Discount Lookup'!J:K,2)*G3641*(1-PlanterDiscount)*(1+PlanterDifficultyPercentage)),IF(AE3641="free","re-planting",IF(G3641=0,"",IF(PlanterYesMe="",IF(AE3641="me","   not ELP, by",IF(AE3641="",IF(G3641&gt;0,(VLOOKUP(A3641,'Discount Lookup'!J:K,2)*G3641*(1-PlanterDiscount)*(1+PlanterDifficultyPercentage)),""),"")),"   not ELP, by"))))))))))))))</f>
        <v/>
      </c>
      <c r="AD3641" s="712"/>
      <c r="AE3641" s="513" t="str">
        <f t="shared" si="2740"/>
        <v/>
      </c>
      <c r="AF3641" s="713" t="str">
        <f t="shared" si="2741"/>
        <v/>
      </c>
      <c r="AG3641" s="713"/>
      <c r="AH3641" s="713"/>
      <c r="AI3641" s="112">
        <f>IF(H3641="credit",0,IF(AE3641="free",0,IF(AE3641="me",0,IF(G3641&gt;0,(VLOOKUP(A3641,'Discount Lookup'!J:K,2)*G3641),0))))</f>
        <v>0</v>
      </c>
      <c r="AJ3641" s="107" t="str">
        <f t="shared" ca="1" si="2742"/>
        <v/>
      </c>
      <c r="AK3641" s="714" t="str">
        <f t="shared" si="2743"/>
        <v/>
      </c>
      <c r="AL3641" s="714"/>
      <c r="AM3641" s="114" t="str">
        <f t="shared" si="2744"/>
        <v/>
      </c>
      <c r="AN3641" s="115"/>
      <c r="AO3641" s="116"/>
      <c r="AP3641" s="116"/>
      <c r="AQ3641" s="116"/>
      <c r="AR3641" s="116"/>
      <c r="AS3641" s="116"/>
      <c r="AT3641" s="116"/>
      <c r="AU3641" s="116"/>
      <c r="AV3641" s="78"/>
      <c r="AW3641" s="102"/>
      <c r="AX3641" s="78"/>
      <c r="AY3641" s="78"/>
      <c r="AZ3641" s="78"/>
      <c r="BA3641" s="78"/>
      <c r="BB3641" s="78"/>
      <c r="BC3641" s="78"/>
      <c r="BD3641" s="78"/>
      <c r="BE3641" s="465"/>
      <c r="BF3641" s="165" t="str">
        <f t="shared" si="2745"/>
        <v>https://www.google.com/search?tbm=isch&amp;q=3%20G2</v>
      </c>
      <c r="BG3641" s="165" t="str">
        <f t="shared" si="2746"/>
        <v>R</v>
      </c>
      <c r="BH3641" s="65"/>
      <c r="BI3641" s="65"/>
      <c r="BJ3641" s="65"/>
      <c r="BK3641" s="65"/>
      <c r="BL3641" s="99"/>
      <c r="BM3641" s="99"/>
      <c r="BN3641" s="99"/>
    </row>
    <row r="3642" spans="1:66" s="51" customFormat="1" ht="17.25" thickBot="1" x14ac:dyDescent="0.3">
      <c r="A3642" s="508" t="s">
        <v>4061</v>
      </c>
      <c r="B3642" s="487"/>
      <c r="C3642" s="707"/>
      <c r="D3642" s="487"/>
      <c r="E3642" s="487"/>
      <c r="F3642" s="488"/>
      <c r="G3642" s="489"/>
      <c r="H3642" s="487"/>
      <c r="I3642" s="490"/>
      <c r="J3642" s="490"/>
      <c r="K3642" s="491"/>
      <c r="L3642" s="547"/>
      <c r="M3642" s="528"/>
      <c r="N3642" s="492"/>
      <c r="O3642" s="493"/>
      <c r="P3642" s="494"/>
      <c r="Q3642" s="492"/>
      <c r="R3642" s="492"/>
      <c r="S3642" s="699" t="s">
        <v>5248</v>
      </c>
      <c r="T3642" s="102">
        <f t="shared" si="2734"/>
        <v>0</v>
      </c>
      <c r="U3642" s="78" t="str">
        <f>IF(NOT(ISNUMBER(G3642)), "", VLOOKUP(A3642,'Discount Lookup'!D:E,2,FALSE)*G3642)</f>
        <v/>
      </c>
      <c r="V3642" s="78" t="str">
        <f>IF(NOT(ISNUMBER(G3642)), "", VLOOKUP(A3642,'Discount Lookup'!G:H,2,FALSE)*G3642)</f>
        <v/>
      </c>
      <c r="W3642" s="102">
        <f t="shared" si="2735"/>
        <v>0</v>
      </c>
      <c r="X3642" s="102">
        <f t="shared" si="2736"/>
        <v>0</v>
      </c>
      <c r="Y3642" s="120" t="b">
        <f t="shared" si="2737"/>
        <v>0</v>
      </c>
      <c r="Z3642" s="117">
        <f t="shared" si="2738"/>
        <v>0</v>
      </c>
      <c r="AA3642" s="118"/>
      <c r="AB3642" s="118" t="str">
        <f t="shared" si="2739"/>
        <v/>
      </c>
      <c r="AC3642" s="712" t="str">
        <f>IF(AE3642="T2G","no charge",IF(AND(OR(PlanterYesMe="No",PlanterYesMe="N",PlanterYesMe="me"),H3642=""),"",IF(H3642="credit","NO install",IF(AND(K3642="",AE3642="me"),"EACH row",IF(AND(K3642="images",AE3642="me"),"EACH row",IF(D3642="","",IF(H3642="credit","",IF(AE3642="free","re-planting",IF(AE3642="me","   not ELP, by",IF(AND(OR(PlanterYesMe="Yes",PlanterYesMe="Y"),G3642&gt;0),(VLOOKUP(A3642,'Discount Lookup'!J:K,2)*G3642*(1-PlanterDiscount)*(1+PlanterDifficultyPercentage)),IF(AE3642="ELP",(VLOOKUP(A3642,'Discount Lookup'!J:K,2)*G3642*(1-PlanterDiscount)*(1+PlanterDifficultyPercentage)),IF(AE3642="free","re-planting",IF(G3642=0,"",IF(PlanterYesMe="",IF(AE3642="me","   not ELP, by",IF(AE3642="",IF(G3642&gt;0,(VLOOKUP(A3642,'Discount Lookup'!J:K,2)*G3642*(1-PlanterDiscount)*(1+PlanterDifficultyPercentage)),""),"")),"   not ELP, by"))))))))))))))</f>
        <v/>
      </c>
      <c r="AD3642" s="712"/>
      <c r="AE3642" s="513" t="str">
        <f t="shared" si="2740"/>
        <v/>
      </c>
      <c r="AF3642" s="713" t="str">
        <f t="shared" si="2741"/>
        <v/>
      </c>
      <c r="AG3642" s="713"/>
      <c r="AH3642" s="713"/>
      <c r="AI3642" s="112">
        <f>IF(H3642="credit",0,IF(AE3642="free",0,IF(AE3642="me",0,IF(G3642&gt;0,(VLOOKUP(A3642,'Discount Lookup'!J:K,2)*G3642),0))))</f>
        <v>0</v>
      </c>
      <c r="AJ3642" s="107" t="str">
        <f t="shared" ca="1" si="2742"/>
        <v/>
      </c>
      <c r="AK3642" s="714" t="str">
        <f t="shared" si="2743"/>
        <v/>
      </c>
      <c r="AL3642" s="714"/>
      <c r="AM3642" s="114" t="str">
        <f t="shared" si="2744"/>
        <v/>
      </c>
      <c r="AN3642" s="115"/>
      <c r="AO3642" s="116"/>
      <c r="AP3642" s="116"/>
      <c r="AQ3642" s="116"/>
      <c r="AR3642" s="116"/>
      <c r="AS3642" s="116"/>
      <c r="AT3642" s="116"/>
      <c r="AU3642" s="116"/>
      <c r="AV3642" s="78"/>
      <c r="AW3642" s="102"/>
      <c r="AX3642" s="78"/>
      <c r="AY3642" s="78"/>
      <c r="AZ3642" s="78"/>
      <c r="BA3642" s="78"/>
      <c r="BB3642" s="78"/>
      <c r="BC3642" s="78"/>
      <c r="BD3642" s="78"/>
      <c r="BE3642" s="465"/>
      <c r="BF3642" s="165" t="str">
        <f t="shared" si="2745"/>
        <v>https://www.google.com/search?tbm=isch&amp;q=Chinzan%20is%20a%20compact%20Satsuki%20cultivar%20%20with%20a%20tidy%20mounding%20habit.%20Reblooms%20lightly%20in%20late%20summer%20</v>
      </c>
      <c r="BG3642" s="165" t="str">
        <f t="shared" si="2746"/>
        <v>C</v>
      </c>
      <c r="BH3642" s="65"/>
      <c r="BI3642" s="65"/>
      <c r="BJ3642" s="65"/>
      <c r="BK3642" s="65"/>
      <c r="BL3642" s="99"/>
      <c r="BM3642" s="99"/>
      <c r="BN3642" s="99"/>
    </row>
    <row r="3643" spans="1:66" s="51" customFormat="1" ht="18" x14ac:dyDescent="0.25">
      <c r="A3643" s="507" t="s">
        <v>4062</v>
      </c>
      <c r="B3643" s="470"/>
      <c r="C3643" s="706"/>
      <c r="D3643" s="471" t="s">
        <v>5903</v>
      </c>
      <c r="E3643" s="472"/>
      <c r="F3643" s="472"/>
      <c r="G3643" s="472"/>
      <c r="H3643" s="622" t="s">
        <v>1088</v>
      </c>
      <c r="I3643" s="473" t="s">
        <v>4063</v>
      </c>
      <c r="J3643" s="472"/>
      <c r="K3643" s="472"/>
      <c r="L3643" s="561"/>
      <c r="M3643" s="703" t="s">
        <v>5274</v>
      </c>
      <c r="N3643" s="692" t="str">
        <f>IF(AND(ISTEXT($A3643), ISERROR($A3643+0)), HYPERLINK($BF3643, "Images"), "")</f>
        <v>Images</v>
      </c>
      <c r="O3643" s="694" t="s">
        <v>5286</v>
      </c>
      <c r="P3643" s="475"/>
      <c r="Q3643" s="476"/>
      <c r="R3643" s="476"/>
      <c r="S3643" s="477"/>
      <c r="T3643" s="102">
        <f t="shared" si="2734"/>
        <v>0</v>
      </c>
      <c r="U3643" s="78" t="str">
        <f>IF(NOT(ISNUMBER(G3643)), "", VLOOKUP(A3643,'Discount Lookup'!D:E,2,FALSE)*G3643)</f>
        <v/>
      </c>
      <c r="V3643" s="78" t="str">
        <f>IF(NOT(ISNUMBER(G3643)), "", VLOOKUP(A3643,'Discount Lookup'!G:H,2,FALSE)*G3643)</f>
        <v/>
      </c>
      <c r="W3643" s="102">
        <f t="shared" si="2735"/>
        <v>0</v>
      </c>
      <c r="X3643" s="102" t="str">
        <f t="shared" si="2736"/>
        <v>NC State Red bloom</v>
      </c>
      <c r="Y3643" s="120" t="b">
        <f t="shared" si="2737"/>
        <v>0</v>
      </c>
      <c r="Z3643" s="117">
        <f t="shared" si="2738"/>
        <v>0</v>
      </c>
      <c r="AA3643" s="118"/>
      <c r="AB3643" s="118" t="str">
        <f t="shared" si="2739"/>
        <v/>
      </c>
      <c r="AC3643" s="712" t="str">
        <f>IF(AE3643="T2G","no charge",IF(AND(OR(PlanterYesMe="No",PlanterYesMe="N",PlanterYesMe="me"),H3643=""),"",IF(H3643="credit","NO install",IF(AND(K3643="",AE3643="me"),"EACH row",IF(AND(K3643="images",AE3643="me"),"EACH row",IF(D3643="","",IF(H3643="credit","",IF(AE3643="free","re-planting",IF(AE3643="me","   not ELP, by",IF(AND(OR(PlanterYesMe="Yes",PlanterYesMe="Y"),G3643&gt;0),(VLOOKUP(A3643,'Discount Lookup'!J:K,2)*G3643*(1-PlanterDiscount)*(1+PlanterDifficultyPercentage)),IF(AE3643="ELP",(VLOOKUP(A3643,'Discount Lookup'!J:K,2)*G3643*(1-PlanterDiscount)*(1+PlanterDifficultyPercentage)),IF(AE3643="free","re-planting",IF(G3643=0,"",IF(PlanterYesMe="",IF(AE3643="me","   not ELP, by",IF(AE3643="",IF(G3643&gt;0,(VLOOKUP(A3643,'Discount Lookup'!J:K,2)*G3643*(1-PlanterDiscount)*(1+PlanterDifficultyPercentage)),""),"")),"   not ELP, by"))))))))))))))</f>
        <v/>
      </c>
      <c r="AD3643" s="712"/>
      <c r="AE3643" s="513" t="str">
        <f t="shared" si="2740"/>
        <v/>
      </c>
      <c r="AF3643" s="713" t="str">
        <f t="shared" si="2741"/>
        <v/>
      </c>
      <c r="AG3643" s="713"/>
      <c r="AH3643" s="713"/>
      <c r="AI3643" s="112">
        <f>IF(H3643="credit",0,IF(AE3643="free",0,IF(AE3643="me",0,IF(G3643&gt;0,(VLOOKUP(A3643,'Discount Lookup'!J:K,2)*G3643),0))))</f>
        <v>0</v>
      </c>
      <c r="AJ3643" s="107" t="str">
        <f t="shared" ca="1" si="2742"/>
        <v/>
      </c>
      <c r="AK3643" s="714" t="str">
        <f t="shared" si="2743"/>
        <v/>
      </c>
      <c r="AL3643" s="714"/>
      <c r="AM3643" s="114" t="str">
        <f t="shared" si="2744"/>
        <v/>
      </c>
      <c r="AN3643" s="115"/>
      <c r="AO3643" s="116"/>
      <c r="AP3643" s="116"/>
      <c r="AQ3643" s="116"/>
      <c r="AR3643" s="116"/>
      <c r="AS3643" s="116"/>
      <c r="AT3643" s="116"/>
      <c r="AU3643" s="116"/>
      <c r="AV3643" s="78"/>
      <c r="AW3643" s="102"/>
      <c r="AX3643" s="78"/>
      <c r="AY3643" s="78"/>
      <c r="AZ3643" s="78"/>
      <c r="BA3643" s="78"/>
      <c r="BB3643" s="78"/>
      <c r="BC3643" s="78"/>
      <c r="BD3643" s="78"/>
      <c r="BE3643" s="465"/>
      <c r="BF3643" s="165" t="str">
        <f t="shared" si="2745"/>
        <v>https://www.google.com/search?tbm=isch&amp;q=Rhod.%20%27Wolfpack%20Red%27%20Wolfpack%20Red%20Azalea%20%28PW%C2%AE%29</v>
      </c>
      <c r="BG3643" s="165" t="str">
        <f t="shared" si="2746"/>
        <v>R</v>
      </c>
      <c r="BH3643" s="65"/>
      <c r="BI3643" s="65"/>
      <c r="BJ3643" s="65"/>
      <c r="BK3643" s="65"/>
      <c r="BL3643" s="99"/>
      <c r="BM3643" s="99"/>
      <c r="BN3643" s="99"/>
    </row>
    <row r="3644" spans="1:66" s="51" customFormat="1" ht="15.75" x14ac:dyDescent="0.25">
      <c r="A3644" s="478">
        <v>3</v>
      </c>
      <c r="B3644" s="479" t="s">
        <v>291</v>
      </c>
      <c r="C3644" s="480" t="s">
        <v>4064</v>
      </c>
      <c r="D3644" s="481" t="s">
        <v>309</v>
      </c>
      <c r="E3644" s="482">
        <v>22.95</v>
      </c>
      <c r="F3644" s="483" t="s">
        <v>292</v>
      </c>
      <c r="G3644" s="484">
        <v>0</v>
      </c>
      <c r="H3644" s="688" t="str">
        <f>IF(G3644=0,"",IF(F3644="Buy",IF(G3644=1,"plant","plants"),IF(F3644&gt;0.01,"warranty","Error")))</f>
        <v/>
      </c>
      <c r="I3644" s="485">
        <f>IF(H3644="free",0,IF(H3644="credit",((E3644*(F3644))*G3644*-1),IF(F3644="Buy",(E3644*G3644),((E3644*(1-F3644))*G3644))))</f>
        <v>0</v>
      </c>
      <c r="J3644" s="485">
        <f>IF(H3644="warranty",0,(I3644*(_xlfn.SINGLE(SalesTaxPercentage))))</f>
        <v>0</v>
      </c>
      <c r="K3644" s="715">
        <f t="shared" ref="K3644" si="2764">I3644+J3644</f>
        <v>0</v>
      </c>
      <c r="L3644" s="715"/>
      <c r="M3644" s="689" t="str">
        <f ca="1">IF(AND(G3644&gt;0,E3644=0),"WARNING - no PRICE inserted",IF(H3644="free","FREE ~ no charge this plant",IF(H3644="credit",CONCATENATE("-$",ROUND(K3644*(1-_xlfn.SINGLE(T2GDiscount))*-1,2)," CREDIT after discount"),IF(_xlfn.SINGLE(T2GDiscount)=0,"",IF(G3644=0,"",IF(F3644="Buy",CONCATENATE("$",ROUND(K3644*(1-_xlfn.SINGLE(T2GDiscount)),2)," with ",(_xlfn.SINGLE(T2GDiscount)*100),"% discount"),CONCATENATE("$",ROUND(K3644*(1-_xlfn.SINGLE(T2GDiscount)),2)," with ",((_xlfn.SINGLE(T2GDiscount)*100+F3644*100)-(_xlfn.SINGLE(T2GDiscount)*100*F3644)),IF(F3644&gt;0,"% discounts",IF(_xlfn.SINGLE(NoWarrantyDiscount)&gt;0,"% discounts","% discount")))))))))</f>
        <v/>
      </c>
      <c r="N3644" s="690"/>
      <c r="O3644" s="486"/>
      <c r="P3644" s="486"/>
      <c r="Q3644" s="486"/>
      <c r="R3644" s="486"/>
      <c r="S3644" s="486"/>
      <c r="T3644" s="102">
        <f t="shared" si="2734"/>
        <v>0</v>
      </c>
      <c r="U3644" s="78">
        <f>IF(NOT(ISNUMBER(G3644)), "", VLOOKUP(A3644,'Discount Lookup'!D:E,2,FALSE)*G3644)</f>
        <v>0</v>
      </c>
      <c r="V3644" s="78">
        <f>IF(NOT(ISNUMBER(G3644)), "", VLOOKUP(A3644,'Discount Lookup'!G:H,2,FALSE)*G3644)</f>
        <v>0</v>
      </c>
      <c r="W3644" s="102">
        <f t="shared" si="2735"/>
        <v>0</v>
      </c>
      <c r="X3644" s="102">
        <f t="shared" si="2736"/>
        <v>0</v>
      </c>
      <c r="Y3644" s="120" t="b">
        <f t="shared" si="2737"/>
        <v>0</v>
      </c>
      <c r="Z3644" s="117">
        <f t="shared" si="2738"/>
        <v>0</v>
      </c>
      <c r="AA3644" s="118"/>
      <c r="AB3644" s="118" t="str">
        <f t="shared" si="2739"/>
        <v/>
      </c>
      <c r="AC3644" s="712" t="str">
        <f>IF(AE3644="T2G","no charge",IF(AND(OR(PlanterYesMe="No",PlanterYesMe="N",PlanterYesMe="me"),H3644=""),"",IF(H3644="credit","NO install",IF(AND(K3644="",AE3644="me"),"EACH row",IF(AND(K3644="images",AE3644="me"),"EACH row",IF(D3644="","",IF(H3644="credit","",IF(AE3644="free","re-planting",IF(AE3644="me","   not ELP, by",IF(AND(OR(PlanterYesMe="Yes",PlanterYesMe="Y"),G3644&gt;0),(VLOOKUP(A3644,'Discount Lookup'!J:K,2)*G3644*(1-PlanterDiscount)*(1+PlanterDifficultyPercentage)),IF(AE3644="ELP",(VLOOKUP(A3644,'Discount Lookup'!J:K,2)*G3644*(1-PlanterDiscount)*(1+PlanterDifficultyPercentage)),IF(AE3644="free","re-planting",IF(G3644=0,"",IF(PlanterYesMe="",IF(AE3644="me","   not ELP, by",IF(AE3644="",IF(G3644&gt;0,(VLOOKUP(A3644,'Discount Lookup'!J:K,2)*G3644*(1-PlanterDiscount)*(1+PlanterDifficultyPercentage)),""),"")),"   not ELP, by"))))))))))))))</f>
        <v/>
      </c>
      <c r="AD3644" s="712"/>
      <c r="AE3644" s="513" t="str">
        <f t="shared" si="2740"/>
        <v/>
      </c>
      <c r="AF3644" s="713" t="str">
        <f t="shared" si="2741"/>
        <v/>
      </c>
      <c r="AG3644" s="713"/>
      <c r="AH3644" s="713"/>
      <c r="AI3644" s="112">
        <f>IF(H3644="credit",0,IF(AE3644="free",0,IF(AE3644="me",0,IF(G3644&gt;0,(VLOOKUP(A3644,'Discount Lookup'!J:K,2)*G3644),0))))</f>
        <v>0</v>
      </c>
      <c r="AJ3644" s="107" t="str">
        <f t="shared" ca="1" si="2742"/>
        <v/>
      </c>
      <c r="AK3644" s="714" t="str">
        <f t="shared" si="2743"/>
        <v/>
      </c>
      <c r="AL3644" s="714"/>
      <c r="AM3644" s="114" t="str">
        <f t="shared" si="2744"/>
        <v/>
      </c>
      <c r="AN3644" s="115"/>
      <c r="AO3644" s="116"/>
      <c r="AP3644" s="116"/>
      <c r="AQ3644" s="116"/>
      <c r="AR3644" s="116"/>
      <c r="AS3644" s="116"/>
      <c r="AT3644" s="116"/>
      <c r="AU3644" s="116"/>
      <c r="AV3644" s="78"/>
      <c r="AW3644" s="102"/>
      <c r="AX3644" s="78"/>
      <c r="AY3644" s="78"/>
      <c r="AZ3644" s="78"/>
      <c r="BA3644" s="78"/>
      <c r="BB3644" s="78"/>
      <c r="BC3644" s="78"/>
      <c r="BD3644" s="78"/>
      <c r="BE3644" s="465"/>
      <c r="BF3644" s="165" t="str">
        <f t="shared" si="2745"/>
        <v>https://www.google.com/search?tbm=isch&amp;q=3%20G3</v>
      </c>
      <c r="BG3644" s="165" t="str">
        <f t="shared" si="2746"/>
        <v>R</v>
      </c>
      <c r="BH3644" s="65"/>
      <c r="BI3644" s="65"/>
      <c r="BJ3644" s="65"/>
      <c r="BK3644" s="65"/>
      <c r="BL3644" s="99"/>
      <c r="BM3644" s="99"/>
      <c r="BN3644" s="99"/>
    </row>
    <row r="3645" spans="1:66" s="51" customFormat="1" ht="15.75" x14ac:dyDescent="0.25">
      <c r="A3645" s="478">
        <v>3</v>
      </c>
      <c r="B3645" s="479" t="s">
        <v>291</v>
      </c>
      <c r="C3645" s="480"/>
      <c r="D3645" s="481" t="s">
        <v>310</v>
      </c>
      <c r="E3645" s="482">
        <v>25.95</v>
      </c>
      <c r="F3645" s="483" t="s">
        <v>292</v>
      </c>
      <c r="G3645" s="484">
        <v>0</v>
      </c>
      <c r="H3645" s="688" t="str">
        <f>IF(G3645=0,"",IF(F3645="Buy",IF(G3645=1,"plant","plants"),IF(F3645&gt;0.01,"warranty","Error")))</f>
        <v/>
      </c>
      <c r="I3645" s="485">
        <f>IF(H3645="free",0,IF(H3645="credit",((E3645*(F3645))*G3645*-1),IF(F3645="Buy",(E3645*G3645),((E3645*(1-F3645))*G3645))))</f>
        <v>0</v>
      </c>
      <c r="J3645" s="485">
        <f>IF(H3645="warranty",0,(I3645*(_xlfn.SINGLE(SalesTaxPercentage))))</f>
        <v>0</v>
      </c>
      <c r="K3645" s="715">
        <f t="shared" ref="K3645" si="2765">I3645+J3645</f>
        <v>0</v>
      </c>
      <c r="L3645" s="715"/>
      <c r="M3645" s="689" t="str">
        <f ca="1">IF(AND(G3645&gt;0,E3645=0),"WARNING - no PRICE inserted",IF(H3645="free","FREE ~ no charge this plant",IF(H3645="credit",CONCATENATE("-$",ROUND(K3645*(1-_xlfn.SINGLE(T2GDiscount))*-1,2)," CREDIT after discount"),IF(_xlfn.SINGLE(T2GDiscount)=0,"",IF(G3645=0,"",IF(F3645="Buy",CONCATENATE("$",ROUND(K3645*(1-_xlfn.SINGLE(T2GDiscount)),2)," with ",(_xlfn.SINGLE(T2GDiscount)*100),"% discount"),CONCATENATE("$",ROUND(K3645*(1-_xlfn.SINGLE(T2GDiscount)),2)," with ",((_xlfn.SINGLE(T2GDiscount)*100+F3645*100)-(_xlfn.SINGLE(T2GDiscount)*100*F3645)),IF(F3645&gt;0,"% discounts",IF(_xlfn.SINGLE(NoWarrantyDiscount)&gt;0,"% discounts","% discount")))))))))</f>
        <v/>
      </c>
      <c r="N3645" s="690"/>
      <c r="O3645" s="486"/>
      <c r="P3645" s="486"/>
      <c r="Q3645" s="486"/>
      <c r="R3645" s="486"/>
      <c r="S3645" s="486"/>
      <c r="T3645" s="102">
        <f t="shared" si="2734"/>
        <v>0</v>
      </c>
      <c r="U3645" s="78">
        <f>IF(NOT(ISNUMBER(G3645)), "", VLOOKUP(A3645,'Discount Lookup'!D:E,2,FALSE)*G3645)</f>
        <v>0</v>
      </c>
      <c r="V3645" s="78">
        <f>IF(NOT(ISNUMBER(G3645)), "", VLOOKUP(A3645,'Discount Lookup'!G:H,2,FALSE)*G3645)</f>
        <v>0</v>
      </c>
      <c r="W3645" s="102">
        <f t="shared" si="2735"/>
        <v>0</v>
      </c>
      <c r="X3645" s="102">
        <f t="shared" si="2736"/>
        <v>0</v>
      </c>
      <c r="Y3645" s="120" t="b">
        <f t="shared" si="2737"/>
        <v>0</v>
      </c>
      <c r="Z3645" s="117">
        <f t="shared" si="2738"/>
        <v>0</v>
      </c>
      <c r="AA3645" s="118"/>
      <c r="AB3645" s="118" t="str">
        <f t="shared" si="2739"/>
        <v/>
      </c>
      <c r="AC3645" s="712" t="str">
        <f>IF(AE3645="T2G","no charge",IF(AND(OR(PlanterYesMe="No",PlanterYesMe="N",PlanterYesMe="me"),H3645=""),"",IF(H3645="credit","NO install",IF(AND(K3645="",AE3645="me"),"EACH row",IF(AND(K3645="images",AE3645="me"),"EACH row",IF(D3645="","",IF(H3645="credit","",IF(AE3645="free","re-planting",IF(AE3645="me","   not ELP, by",IF(AND(OR(PlanterYesMe="Yes",PlanterYesMe="Y"),G3645&gt;0),(VLOOKUP(A3645,'Discount Lookup'!J:K,2)*G3645*(1-PlanterDiscount)*(1+PlanterDifficultyPercentage)),IF(AE3645="ELP",(VLOOKUP(A3645,'Discount Lookup'!J:K,2)*G3645*(1-PlanterDiscount)*(1+PlanterDifficultyPercentage)),IF(AE3645="free","re-planting",IF(G3645=0,"",IF(PlanterYesMe="",IF(AE3645="me","   not ELP, by",IF(AE3645="",IF(G3645&gt;0,(VLOOKUP(A3645,'Discount Lookup'!J:K,2)*G3645*(1-PlanterDiscount)*(1+PlanterDifficultyPercentage)),""),"")),"   not ELP, by"))))))))))))))</f>
        <v/>
      </c>
      <c r="AD3645" s="712"/>
      <c r="AE3645" s="513" t="str">
        <f t="shared" si="2740"/>
        <v/>
      </c>
      <c r="AF3645" s="713" t="str">
        <f t="shared" si="2741"/>
        <v/>
      </c>
      <c r="AG3645" s="713"/>
      <c r="AH3645" s="713"/>
      <c r="AI3645" s="112">
        <f>IF(H3645="credit",0,IF(AE3645="free",0,IF(AE3645="me",0,IF(G3645&gt;0,(VLOOKUP(A3645,'Discount Lookup'!J:K,2)*G3645),0))))</f>
        <v>0</v>
      </c>
      <c r="AJ3645" s="107" t="str">
        <f t="shared" ca="1" si="2742"/>
        <v/>
      </c>
      <c r="AK3645" s="714" t="str">
        <f t="shared" si="2743"/>
        <v/>
      </c>
      <c r="AL3645" s="714"/>
      <c r="AM3645" s="114" t="str">
        <f t="shared" si="2744"/>
        <v/>
      </c>
      <c r="AN3645" s="115"/>
      <c r="AO3645" s="116"/>
      <c r="AP3645" s="116"/>
      <c r="AQ3645" s="116"/>
      <c r="AR3645" s="116"/>
      <c r="AS3645" s="116"/>
      <c r="AT3645" s="116"/>
      <c r="AU3645" s="116"/>
      <c r="AV3645" s="78"/>
      <c r="AW3645" s="102"/>
      <c r="AX3645" s="78"/>
      <c r="AY3645" s="78"/>
      <c r="AZ3645" s="78"/>
      <c r="BA3645" s="78"/>
      <c r="BB3645" s="78"/>
      <c r="BC3645" s="78"/>
      <c r="BD3645" s="78"/>
      <c r="BE3645" s="465"/>
      <c r="BF3645" s="165" t="str">
        <f t="shared" si="2745"/>
        <v>https://www.google.com/search?tbm=isch&amp;q=3%20G1</v>
      </c>
      <c r="BG3645" s="165" t="str">
        <f t="shared" si="2746"/>
        <v>R</v>
      </c>
      <c r="BH3645" s="65"/>
      <c r="BI3645" s="65"/>
      <c r="BJ3645" s="65"/>
      <c r="BK3645" s="65"/>
      <c r="BL3645" s="99"/>
      <c r="BM3645" s="99"/>
      <c r="BN3645" s="99"/>
    </row>
    <row r="3646" spans="1:66" s="51" customFormat="1" ht="17.25" thickBot="1" x14ac:dyDescent="0.3">
      <c r="A3646" s="508" t="s">
        <v>4065</v>
      </c>
      <c r="B3646" s="487"/>
      <c r="C3646" s="707"/>
      <c r="D3646" s="487"/>
      <c r="E3646" s="487"/>
      <c r="F3646" s="488"/>
      <c r="G3646" s="489"/>
      <c r="H3646" s="487"/>
      <c r="I3646" s="490"/>
      <c r="J3646" s="490"/>
      <c r="K3646" s="491"/>
      <c r="L3646" s="547"/>
      <c r="M3646" s="528"/>
      <c r="N3646" s="492"/>
      <c r="O3646" s="493"/>
      <c r="P3646" s="494"/>
      <c r="Q3646" s="492"/>
      <c r="R3646" s="492"/>
      <c r="S3646" s="699" t="s">
        <v>5248</v>
      </c>
      <c r="T3646" s="102">
        <f t="shared" si="2734"/>
        <v>0</v>
      </c>
      <c r="U3646" s="78" t="str">
        <f>IF(NOT(ISNUMBER(G3646)), "", VLOOKUP(A3646,'Discount Lookup'!D:E,2,FALSE)*G3646)</f>
        <v/>
      </c>
      <c r="V3646" s="78" t="str">
        <f>IF(NOT(ISNUMBER(G3646)), "", VLOOKUP(A3646,'Discount Lookup'!G:H,2,FALSE)*G3646)</f>
        <v/>
      </c>
      <c r="W3646" s="102">
        <f t="shared" si="2735"/>
        <v>0</v>
      </c>
      <c r="X3646" s="102">
        <f t="shared" si="2736"/>
        <v>0</v>
      </c>
      <c r="Y3646" s="120" t="b">
        <f t="shared" si="2737"/>
        <v>0</v>
      </c>
      <c r="Z3646" s="117">
        <f t="shared" si="2738"/>
        <v>0</v>
      </c>
      <c r="AA3646" s="118"/>
      <c r="AB3646" s="118" t="str">
        <f t="shared" si="2739"/>
        <v/>
      </c>
      <c r="AC3646" s="712" t="str">
        <f>IF(AE3646="T2G","no charge",IF(AND(OR(PlanterYesMe="No",PlanterYesMe="N",PlanterYesMe="me"),H3646=""),"",IF(H3646="credit","NO install",IF(AND(K3646="",AE3646="me"),"EACH row",IF(AND(K3646="images",AE3646="me"),"EACH row",IF(D3646="","",IF(H3646="credit","",IF(AE3646="free","re-planting",IF(AE3646="me","   not ELP, by",IF(AND(OR(PlanterYesMe="Yes",PlanterYesMe="Y"),G3646&gt;0),(VLOOKUP(A3646,'Discount Lookup'!J:K,2)*G3646*(1-PlanterDiscount)*(1+PlanterDifficultyPercentage)),IF(AE3646="ELP",(VLOOKUP(A3646,'Discount Lookup'!J:K,2)*G3646*(1-PlanterDiscount)*(1+PlanterDifficultyPercentage)),IF(AE3646="free","re-planting",IF(G3646=0,"",IF(PlanterYesMe="",IF(AE3646="me","   not ELP, by",IF(AE3646="",IF(G3646&gt;0,(VLOOKUP(A3646,'Discount Lookup'!J:K,2)*G3646*(1-PlanterDiscount)*(1+PlanterDifficultyPercentage)),""),"")),"   not ELP, by"))))))))))))))</f>
        <v/>
      </c>
      <c r="AD3646" s="712"/>
      <c r="AE3646" s="513" t="str">
        <f t="shared" si="2740"/>
        <v/>
      </c>
      <c r="AF3646" s="713" t="str">
        <f t="shared" si="2741"/>
        <v/>
      </c>
      <c r="AG3646" s="713"/>
      <c r="AH3646" s="713"/>
      <c r="AI3646" s="112">
        <f>IF(H3646="credit",0,IF(AE3646="free",0,IF(AE3646="me",0,IF(G3646&gt;0,(VLOOKUP(A3646,'Discount Lookup'!J:K,2)*G3646),0))))</f>
        <v>0</v>
      </c>
      <c r="AJ3646" s="107" t="str">
        <f t="shared" ca="1" si="2742"/>
        <v/>
      </c>
      <c r="AK3646" s="714" t="str">
        <f t="shared" si="2743"/>
        <v/>
      </c>
      <c r="AL3646" s="714"/>
      <c r="AM3646" s="114" t="str">
        <f t="shared" si="2744"/>
        <v/>
      </c>
      <c r="AN3646" s="115"/>
      <c r="AO3646" s="116"/>
      <c r="AP3646" s="116"/>
      <c r="AQ3646" s="116"/>
      <c r="AR3646" s="116"/>
      <c r="AS3646" s="116"/>
      <c r="AT3646" s="116"/>
      <c r="AU3646" s="116"/>
      <c r="AV3646" s="78"/>
      <c r="AW3646" s="102"/>
      <c r="AX3646" s="78"/>
      <c r="AY3646" s="78"/>
      <c r="AZ3646" s="78"/>
      <c r="BA3646" s="78"/>
      <c r="BB3646" s="78"/>
      <c r="BC3646" s="78"/>
      <c r="BD3646" s="78"/>
      <c r="BE3646" s="465"/>
      <c r="BF3646" s="165" t="str">
        <f t="shared" si="2745"/>
        <v>https://www.google.com/search?tbm=isch&amp;q=Wolfpack%20is%20a%20great%20homage%20to%20NCSU%2C%20and%20was%20indeed%20released%20by%20NCSU.%20Foliage%20turns%20Coppery-Bronze%20in%20fall%20</v>
      </c>
      <c r="BG3646" s="165" t="str">
        <f t="shared" si="2746"/>
        <v>W</v>
      </c>
      <c r="BH3646" s="65"/>
      <c r="BI3646" s="65"/>
      <c r="BJ3646" s="65"/>
      <c r="BK3646" s="65"/>
      <c r="BL3646" s="99"/>
      <c r="BM3646" s="99"/>
      <c r="BN3646" s="99"/>
    </row>
    <row r="3647" spans="1:66" s="51" customFormat="1" ht="18" x14ac:dyDescent="0.25">
      <c r="A3647" s="507" t="s">
        <v>4066</v>
      </c>
      <c r="B3647" s="470"/>
      <c r="C3647" s="706"/>
      <c r="D3647" s="471" t="s">
        <v>5904</v>
      </c>
      <c r="E3647" s="472"/>
      <c r="F3647" s="472"/>
      <c r="G3647" s="472"/>
      <c r="H3647" s="622" t="s">
        <v>1082</v>
      </c>
      <c r="I3647" s="473" t="s">
        <v>4067</v>
      </c>
      <c r="J3647" s="472"/>
      <c r="K3647" s="472"/>
      <c r="L3647" s="561"/>
      <c r="M3647" s="703" t="s">
        <v>5274</v>
      </c>
      <c r="N3647" s="692" t="str">
        <f>IF(AND(ISTEXT($A3647), ISERROR($A3647+0)), HYPERLINK($BF3647, "Images"), "")</f>
        <v>Images</v>
      </c>
      <c r="O3647" s="694" t="s">
        <v>5264</v>
      </c>
      <c r="P3647" s="475"/>
      <c r="Q3647" s="476"/>
      <c r="R3647" s="476"/>
      <c r="S3647" s="477"/>
      <c r="T3647" s="102">
        <f t="shared" si="2734"/>
        <v>0</v>
      </c>
      <c r="U3647" s="78" t="str">
        <f>IF(NOT(ISNUMBER(G3647)), "", VLOOKUP(A3647,'Discount Lookup'!D:E,2,FALSE)*G3647)</f>
        <v/>
      </c>
      <c r="V3647" s="78" t="str">
        <f>IF(NOT(ISNUMBER(G3647)), "", VLOOKUP(A3647,'Discount Lookup'!G:H,2,FALSE)*G3647)</f>
        <v/>
      </c>
      <c r="W3647" s="102">
        <f t="shared" si="2735"/>
        <v>0</v>
      </c>
      <c r="X3647" s="102" t="str">
        <f t="shared" si="2736"/>
        <v>Reddish-Pink bloom</v>
      </c>
      <c r="Y3647" s="120" t="b">
        <f t="shared" si="2737"/>
        <v>0</v>
      </c>
      <c r="Z3647" s="117">
        <f t="shared" si="2738"/>
        <v>0</v>
      </c>
      <c r="AA3647" s="118"/>
      <c r="AB3647" s="118" t="str">
        <f t="shared" si="2739"/>
        <v/>
      </c>
      <c r="AC3647" s="712" t="str">
        <f>IF(AE3647="T2G","no charge",IF(AND(OR(PlanterYesMe="No",PlanterYesMe="N",PlanterYesMe="me"),H3647=""),"",IF(H3647="credit","NO install",IF(AND(K3647="",AE3647="me"),"EACH row",IF(AND(K3647="images",AE3647="me"),"EACH row",IF(D3647="","",IF(H3647="credit","",IF(AE3647="free","re-planting",IF(AE3647="me","   not ELP, by",IF(AND(OR(PlanterYesMe="Yes",PlanterYesMe="Y"),G3647&gt;0),(VLOOKUP(A3647,'Discount Lookup'!J:K,2)*G3647*(1-PlanterDiscount)*(1+PlanterDifficultyPercentage)),IF(AE3647="ELP",(VLOOKUP(A3647,'Discount Lookup'!J:K,2)*G3647*(1-PlanterDiscount)*(1+PlanterDifficultyPercentage)),IF(AE3647="free","re-planting",IF(G3647=0,"",IF(PlanterYesMe="",IF(AE3647="me","   not ELP, by",IF(AE3647="",IF(G3647&gt;0,(VLOOKUP(A3647,'Discount Lookup'!J:K,2)*G3647*(1-PlanterDiscount)*(1+PlanterDifficultyPercentage)),""),"")),"   not ELP, by"))))))))))))))</f>
        <v/>
      </c>
      <c r="AD3647" s="712"/>
      <c r="AE3647" s="513" t="str">
        <f t="shared" si="2740"/>
        <v/>
      </c>
      <c r="AF3647" s="713" t="str">
        <f t="shared" si="2741"/>
        <v/>
      </c>
      <c r="AG3647" s="713"/>
      <c r="AH3647" s="713"/>
      <c r="AI3647" s="112">
        <f>IF(H3647="credit",0,IF(AE3647="free",0,IF(AE3647="me",0,IF(G3647&gt;0,(VLOOKUP(A3647,'Discount Lookup'!J:K,2)*G3647),0))))</f>
        <v>0</v>
      </c>
      <c r="AJ3647" s="107" t="str">
        <f t="shared" ca="1" si="2742"/>
        <v/>
      </c>
      <c r="AK3647" s="714" t="str">
        <f t="shared" si="2743"/>
        <v/>
      </c>
      <c r="AL3647" s="714"/>
      <c r="AM3647" s="114" t="str">
        <f t="shared" si="2744"/>
        <v/>
      </c>
      <c r="AN3647" s="115"/>
      <c r="AO3647" s="116"/>
      <c r="AP3647" s="116"/>
      <c r="AQ3647" s="116"/>
      <c r="AR3647" s="116"/>
      <c r="AS3647" s="116"/>
      <c r="AT3647" s="116"/>
      <c r="AU3647" s="116"/>
      <c r="AV3647" s="78"/>
      <c r="AW3647" s="102"/>
      <c r="AX3647" s="78"/>
      <c r="AY3647" s="78"/>
      <c r="AZ3647" s="78"/>
      <c r="BA3647" s="78"/>
      <c r="BB3647" s="78"/>
      <c r="BC3647" s="78"/>
      <c r="BD3647" s="78"/>
      <c r="BE3647" s="465"/>
      <c r="BF3647" s="165" t="str">
        <f t="shared" si="2745"/>
        <v>https://www.google.com/search?tbm=isch&amp;q=Rhod.%20x%20carla%20%27Sunglow%27%20Sunglow%20Azalea%20%28PW%C2%AE%29</v>
      </c>
      <c r="BG3647" s="165" t="str">
        <f t="shared" si="2746"/>
        <v>R</v>
      </c>
      <c r="BH3647" s="65"/>
      <c r="BI3647" s="65"/>
      <c r="BJ3647" s="65"/>
      <c r="BK3647" s="65"/>
      <c r="BL3647" s="99"/>
      <c r="BM3647" s="99"/>
      <c r="BN3647" s="99"/>
    </row>
    <row r="3648" spans="1:66" s="51" customFormat="1" ht="15.75" x14ac:dyDescent="0.25">
      <c r="A3648" s="478">
        <v>3</v>
      </c>
      <c r="B3648" s="479" t="s">
        <v>291</v>
      </c>
      <c r="C3648" s="480" t="s">
        <v>4068</v>
      </c>
      <c r="D3648" s="481" t="s">
        <v>309</v>
      </c>
      <c r="E3648" s="482">
        <v>22.95</v>
      </c>
      <c r="F3648" s="483" t="s">
        <v>292</v>
      </c>
      <c r="G3648" s="484">
        <v>0</v>
      </c>
      <c r="H3648" s="688" t="str">
        <f>IF(G3648=0,"",IF(F3648="Buy",IF(G3648=1,"plant","plants"),IF(F3648&gt;0.01,"warranty","Error")))</f>
        <v/>
      </c>
      <c r="I3648" s="485">
        <f>IF(H3648="free",0,IF(H3648="credit",((E3648*(F3648))*G3648*-1),IF(F3648="Buy",(E3648*G3648),((E3648*(1-F3648))*G3648))))</f>
        <v>0</v>
      </c>
      <c r="J3648" s="485">
        <f>IF(H3648="warranty",0,(I3648*(_xlfn.SINGLE(SalesTaxPercentage))))</f>
        <v>0</v>
      </c>
      <c r="K3648" s="715">
        <f t="shared" ref="K3648" si="2766">I3648+J3648</f>
        <v>0</v>
      </c>
      <c r="L3648" s="715"/>
      <c r="M3648" s="689" t="str">
        <f ca="1">IF(AND(G3648&gt;0,E3648=0),"WARNING - no PRICE inserted",IF(H3648="free","FREE ~ no charge this plant",IF(H3648="credit",CONCATENATE("-$",ROUND(K3648*(1-_xlfn.SINGLE(T2GDiscount))*-1,2)," CREDIT after discount"),IF(_xlfn.SINGLE(T2GDiscount)=0,"",IF(G3648=0,"",IF(F3648="Buy",CONCATENATE("$",ROUND(K3648*(1-_xlfn.SINGLE(T2GDiscount)),2)," with ",(_xlfn.SINGLE(T2GDiscount)*100),"% discount"),CONCATENATE("$",ROUND(K3648*(1-_xlfn.SINGLE(T2GDiscount)),2)," with ",((_xlfn.SINGLE(T2GDiscount)*100+F3648*100)-(_xlfn.SINGLE(T2GDiscount)*100*F3648)),IF(F3648&gt;0,"% discounts",IF(_xlfn.SINGLE(NoWarrantyDiscount)&gt;0,"% discounts","% discount")))))))))</f>
        <v/>
      </c>
      <c r="N3648" s="690"/>
      <c r="O3648" s="486"/>
      <c r="P3648" s="486"/>
      <c r="Q3648" s="486"/>
      <c r="R3648" s="486"/>
      <c r="S3648" s="486"/>
      <c r="T3648" s="102">
        <f t="shared" si="2734"/>
        <v>0</v>
      </c>
      <c r="U3648" s="78">
        <f>IF(NOT(ISNUMBER(G3648)), "", VLOOKUP(A3648,'Discount Lookup'!D:E,2,FALSE)*G3648)</f>
        <v>0</v>
      </c>
      <c r="V3648" s="78">
        <f>IF(NOT(ISNUMBER(G3648)), "", VLOOKUP(A3648,'Discount Lookup'!G:H,2,FALSE)*G3648)</f>
        <v>0</v>
      </c>
      <c r="W3648" s="102">
        <f t="shared" si="2735"/>
        <v>0</v>
      </c>
      <c r="X3648" s="102">
        <f t="shared" si="2736"/>
        <v>0</v>
      </c>
      <c r="Y3648" s="120" t="b">
        <f t="shared" si="2737"/>
        <v>0</v>
      </c>
      <c r="Z3648" s="117">
        <f t="shared" si="2738"/>
        <v>0</v>
      </c>
      <c r="AA3648" s="118"/>
      <c r="AB3648" s="118" t="str">
        <f t="shared" si="2739"/>
        <v/>
      </c>
      <c r="AC3648" s="712" t="str">
        <f>IF(AE3648="T2G","no charge",IF(AND(OR(PlanterYesMe="No",PlanterYesMe="N",PlanterYesMe="me"),H3648=""),"",IF(H3648="credit","NO install",IF(AND(K3648="",AE3648="me"),"EACH row",IF(AND(K3648="images",AE3648="me"),"EACH row",IF(D3648="","",IF(H3648="credit","",IF(AE3648="free","re-planting",IF(AE3648="me","   not ELP, by",IF(AND(OR(PlanterYesMe="Yes",PlanterYesMe="Y"),G3648&gt;0),(VLOOKUP(A3648,'Discount Lookup'!J:K,2)*G3648*(1-PlanterDiscount)*(1+PlanterDifficultyPercentage)),IF(AE3648="ELP",(VLOOKUP(A3648,'Discount Lookup'!J:K,2)*G3648*(1-PlanterDiscount)*(1+PlanterDifficultyPercentage)),IF(AE3648="free","re-planting",IF(G3648=0,"",IF(PlanterYesMe="",IF(AE3648="me","   not ELP, by",IF(AE3648="",IF(G3648&gt;0,(VLOOKUP(A3648,'Discount Lookup'!J:K,2)*G3648*(1-PlanterDiscount)*(1+PlanterDifficultyPercentage)),""),"")),"   not ELP, by"))))))))))))))</f>
        <v/>
      </c>
      <c r="AD3648" s="712"/>
      <c r="AE3648" s="513" t="str">
        <f t="shared" si="2740"/>
        <v/>
      </c>
      <c r="AF3648" s="713" t="str">
        <f t="shared" si="2741"/>
        <v/>
      </c>
      <c r="AG3648" s="713"/>
      <c r="AH3648" s="713"/>
      <c r="AI3648" s="112">
        <f>IF(H3648="credit",0,IF(AE3648="free",0,IF(AE3648="me",0,IF(G3648&gt;0,(VLOOKUP(A3648,'Discount Lookup'!J:K,2)*G3648),0))))</f>
        <v>0</v>
      </c>
      <c r="AJ3648" s="107" t="str">
        <f t="shared" ca="1" si="2742"/>
        <v/>
      </c>
      <c r="AK3648" s="714" t="str">
        <f t="shared" si="2743"/>
        <v/>
      </c>
      <c r="AL3648" s="714"/>
      <c r="AM3648" s="114" t="str">
        <f t="shared" si="2744"/>
        <v/>
      </c>
      <c r="AN3648" s="115"/>
      <c r="AO3648" s="116"/>
      <c r="AP3648" s="116"/>
      <c r="AQ3648" s="116"/>
      <c r="AR3648" s="116"/>
      <c r="AS3648" s="116"/>
      <c r="AT3648" s="116"/>
      <c r="AU3648" s="116"/>
      <c r="AV3648" s="78"/>
      <c r="AW3648" s="102"/>
      <c r="AX3648" s="78"/>
      <c r="AY3648" s="78"/>
      <c r="AZ3648" s="78"/>
      <c r="BA3648" s="78"/>
      <c r="BB3648" s="78"/>
      <c r="BC3648" s="78"/>
      <c r="BD3648" s="78"/>
      <c r="BE3648" s="465"/>
      <c r="BF3648" s="165" t="str">
        <f t="shared" si="2745"/>
        <v>https://www.google.com/search?tbm=isch&amp;q=3%20G3</v>
      </c>
      <c r="BG3648" s="165" t="str">
        <f t="shared" si="2746"/>
        <v>R</v>
      </c>
      <c r="BH3648" s="65"/>
      <c r="BI3648" s="65"/>
      <c r="BJ3648" s="65"/>
      <c r="BK3648" s="65"/>
      <c r="BL3648" s="99"/>
      <c r="BM3648" s="99"/>
      <c r="BN3648" s="99"/>
    </row>
    <row r="3649" spans="1:66" s="51" customFormat="1" ht="15.75" x14ac:dyDescent="0.25">
      <c r="A3649" s="478">
        <v>3</v>
      </c>
      <c r="B3649" s="479" t="s">
        <v>291</v>
      </c>
      <c r="C3649" s="480"/>
      <c r="D3649" s="481" t="s">
        <v>310</v>
      </c>
      <c r="E3649" s="482">
        <v>25.95</v>
      </c>
      <c r="F3649" s="483" t="s">
        <v>292</v>
      </c>
      <c r="G3649" s="484">
        <v>0</v>
      </c>
      <c r="H3649" s="688" t="str">
        <f>IF(G3649=0,"",IF(F3649="Buy",IF(G3649=1,"plant","plants"),IF(F3649&gt;0.01,"warranty","Error")))</f>
        <v/>
      </c>
      <c r="I3649" s="485">
        <f>IF(H3649="free",0,IF(H3649="credit",((E3649*(F3649))*G3649*-1),IF(F3649="Buy",(E3649*G3649),((E3649*(1-F3649))*G3649))))</f>
        <v>0</v>
      </c>
      <c r="J3649" s="485">
        <f>IF(H3649="warranty",0,(I3649*(_xlfn.SINGLE(SalesTaxPercentage))))</f>
        <v>0</v>
      </c>
      <c r="K3649" s="715">
        <f t="shared" ref="K3649" si="2767">I3649+J3649</f>
        <v>0</v>
      </c>
      <c r="L3649" s="715"/>
      <c r="M3649" s="689" t="str">
        <f ca="1">IF(AND(G3649&gt;0,E3649=0),"WARNING - no PRICE inserted",IF(H3649="free","FREE ~ no charge this plant",IF(H3649="credit",CONCATENATE("-$",ROUND(K3649*(1-_xlfn.SINGLE(T2GDiscount))*-1,2)," CREDIT after discount"),IF(_xlfn.SINGLE(T2GDiscount)=0,"",IF(G3649=0,"",IF(F3649="Buy",CONCATENATE("$",ROUND(K3649*(1-_xlfn.SINGLE(T2GDiscount)),2)," with ",(_xlfn.SINGLE(T2GDiscount)*100),"% discount"),CONCATENATE("$",ROUND(K3649*(1-_xlfn.SINGLE(T2GDiscount)),2)," with ",((_xlfn.SINGLE(T2GDiscount)*100+F3649*100)-(_xlfn.SINGLE(T2GDiscount)*100*F3649)),IF(F3649&gt;0,"% discounts",IF(_xlfn.SINGLE(NoWarrantyDiscount)&gt;0,"% discounts","% discount")))))))))</f>
        <v/>
      </c>
      <c r="N3649" s="690"/>
      <c r="O3649" s="486"/>
      <c r="P3649" s="486"/>
      <c r="Q3649" s="486"/>
      <c r="R3649" s="486"/>
      <c r="S3649" s="486"/>
      <c r="T3649" s="102">
        <f t="shared" si="2734"/>
        <v>0</v>
      </c>
      <c r="U3649" s="78">
        <f>IF(NOT(ISNUMBER(G3649)), "", VLOOKUP(A3649,'Discount Lookup'!D:E,2,FALSE)*G3649)</f>
        <v>0</v>
      </c>
      <c r="V3649" s="78">
        <f>IF(NOT(ISNUMBER(G3649)), "", VLOOKUP(A3649,'Discount Lookup'!G:H,2,FALSE)*G3649)</f>
        <v>0</v>
      </c>
      <c r="W3649" s="102">
        <f t="shared" si="2735"/>
        <v>0</v>
      </c>
      <c r="X3649" s="102">
        <f t="shared" si="2736"/>
        <v>0</v>
      </c>
      <c r="Y3649" s="120" t="b">
        <f t="shared" si="2737"/>
        <v>0</v>
      </c>
      <c r="Z3649" s="117">
        <f t="shared" si="2738"/>
        <v>0</v>
      </c>
      <c r="AA3649" s="118"/>
      <c r="AB3649" s="118" t="str">
        <f t="shared" si="2739"/>
        <v/>
      </c>
      <c r="AC3649" s="712" t="str">
        <f>IF(AE3649="T2G","no charge",IF(AND(OR(PlanterYesMe="No",PlanterYesMe="N",PlanterYesMe="me"),H3649=""),"",IF(H3649="credit","NO install",IF(AND(K3649="",AE3649="me"),"EACH row",IF(AND(K3649="images",AE3649="me"),"EACH row",IF(D3649="","",IF(H3649="credit","",IF(AE3649="free","re-planting",IF(AE3649="me","   not ELP, by",IF(AND(OR(PlanterYesMe="Yes",PlanterYesMe="Y"),G3649&gt;0),(VLOOKUP(A3649,'Discount Lookup'!J:K,2)*G3649*(1-PlanterDiscount)*(1+PlanterDifficultyPercentage)),IF(AE3649="ELP",(VLOOKUP(A3649,'Discount Lookup'!J:K,2)*G3649*(1-PlanterDiscount)*(1+PlanterDifficultyPercentage)),IF(AE3649="free","re-planting",IF(G3649=0,"",IF(PlanterYesMe="",IF(AE3649="me","   not ELP, by",IF(AE3649="",IF(G3649&gt;0,(VLOOKUP(A3649,'Discount Lookup'!J:K,2)*G3649*(1-PlanterDiscount)*(1+PlanterDifficultyPercentage)),""),"")),"   not ELP, by"))))))))))))))</f>
        <v/>
      </c>
      <c r="AD3649" s="712"/>
      <c r="AE3649" s="513" t="str">
        <f t="shared" si="2740"/>
        <v/>
      </c>
      <c r="AF3649" s="713" t="str">
        <f t="shared" si="2741"/>
        <v/>
      </c>
      <c r="AG3649" s="713"/>
      <c r="AH3649" s="713"/>
      <c r="AI3649" s="112">
        <f>IF(H3649="credit",0,IF(AE3649="free",0,IF(AE3649="me",0,IF(G3649&gt;0,(VLOOKUP(A3649,'Discount Lookup'!J:K,2)*G3649),0))))</f>
        <v>0</v>
      </c>
      <c r="AJ3649" s="107" t="str">
        <f t="shared" ca="1" si="2742"/>
        <v/>
      </c>
      <c r="AK3649" s="714" t="str">
        <f t="shared" si="2743"/>
        <v/>
      </c>
      <c r="AL3649" s="714"/>
      <c r="AM3649" s="114" t="str">
        <f t="shared" si="2744"/>
        <v/>
      </c>
      <c r="AN3649" s="115"/>
      <c r="AO3649" s="116"/>
      <c r="AP3649" s="116"/>
      <c r="AQ3649" s="116"/>
      <c r="AR3649" s="116"/>
      <c r="AS3649" s="116"/>
      <c r="AT3649" s="116"/>
      <c r="AU3649" s="116"/>
      <c r="AV3649" s="78"/>
      <c r="AW3649" s="102"/>
      <c r="AX3649" s="78"/>
      <c r="AY3649" s="78"/>
      <c r="AZ3649" s="78"/>
      <c r="BA3649" s="78"/>
      <c r="BB3649" s="78"/>
      <c r="BC3649" s="78"/>
      <c r="BD3649" s="78"/>
      <c r="BE3649" s="465"/>
      <c r="BF3649" s="165" t="str">
        <f t="shared" si="2745"/>
        <v>https://www.google.com/search?tbm=isch&amp;q=3%20G1</v>
      </c>
      <c r="BG3649" s="165" t="str">
        <f t="shared" si="2746"/>
        <v>R</v>
      </c>
      <c r="BH3649" s="65"/>
      <c r="BI3649" s="65"/>
      <c r="BJ3649" s="65"/>
      <c r="BK3649" s="65"/>
      <c r="BL3649" s="99"/>
      <c r="BM3649" s="99"/>
      <c r="BN3649" s="99"/>
    </row>
    <row r="3650" spans="1:66" s="51" customFormat="1" ht="15.75" x14ac:dyDescent="0.25">
      <c r="A3650" s="478">
        <v>3</v>
      </c>
      <c r="B3650" s="479" t="s">
        <v>291</v>
      </c>
      <c r="C3650" s="480" t="s">
        <v>4069</v>
      </c>
      <c r="D3650" s="481" t="s">
        <v>311</v>
      </c>
      <c r="E3650" s="482">
        <v>33.950000000000003</v>
      </c>
      <c r="F3650" s="483" t="s">
        <v>292</v>
      </c>
      <c r="G3650" s="484">
        <v>0</v>
      </c>
      <c r="H3650" s="688" t="str">
        <f>IF(G3650=0,"",IF(F3650="Buy",IF(G3650=1,"plant","plants"),IF(F3650&gt;0.01,"warranty","Error")))</f>
        <v/>
      </c>
      <c r="I3650" s="485">
        <f>IF(H3650="free",0,IF(H3650="credit",((E3650*(F3650))*G3650*-1),IF(F3650="Buy",(E3650*G3650),((E3650*(1-F3650))*G3650))))</f>
        <v>0</v>
      </c>
      <c r="J3650" s="485">
        <f>IF(H3650="warranty",0,(I3650*(_xlfn.SINGLE(SalesTaxPercentage))))</f>
        <v>0</v>
      </c>
      <c r="K3650" s="715">
        <f t="shared" ref="K3650" si="2768">I3650+J3650</f>
        <v>0</v>
      </c>
      <c r="L3650" s="715"/>
      <c r="M3650" s="689" t="str">
        <f ca="1">IF(AND(G3650&gt;0,E3650=0),"WARNING - no PRICE inserted",IF(H3650="free","FREE ~ no charge this plant",IF(H3650="credit",CONCATENATE("-$",ROUND(K3650*(1-_xlfn.SINGLE(T2GDiscount))*-1,2)," CREDIT after discount"),IF(_xlfn.SINGLE(T2GDiscount)=0,"",IF(G3650=0,"",IF(F3650="Buy",CONCATENATE("$",ROUND(K3650*(1-_xlfn.SINGLE(T2GDiscount)),2)," with ",(_xlfn.SINGLE(T2GDiscount)*100),"% discount"),CONCATENATE("$",ROUND(K3650*(1-_xlfn.SINGLE(T2GDiscount)),2)," with ",((_xlfn.SINGLE(T2GDiscount)*100+F3650*100)-(_xlfn.SINGLE(T2GDiscount)*100*F3650)),IF(F3650&gt;0,"% discounts",IF(_xlfn.SINGLE(NoWarrantyDiscount)&gt;0,"% discounts","% discount")))))))))</f>
        <v/>
      </c>
      <c r="N3650" s="690"/>
      <c r="O3650" s="486"/>
      <c r="P3650" s="486"/>
      <c r="Q3650" s="486"/>
      <c r="R3650" s="486"/>
      <c r="S3650" s="486"/>
      <c r="T3650" s="102">
        <f t="shared" si="2734"/>
        <v>0</v>
      </c>
      <c r="U3650" s="78">
        <f>IF(NOT(ISNUMBER(G3650)), "", VLOOKUP(A3650,'Discount Lookup'!D:E,2,FALSE)*G3650)</f>
        <v>0</v>
      </c>
      <c r="V3650" s="78">
        <f>IF(NOT(ISNUMBER(G3650)), "", VLOOKUP(A3650,'Discount Lookup'!G:H,2,FALSE)*G3650)</f>
        <v>0</v>
      </c>
      <c r="W3650" s="102">
        <f t="shared" si="2735"/>
        <v>0</v>
      </c>
      <c r="X3650" s="102">
        <f t="shared" si="2736"/>
        <v>0</v>
      </c>
      <c r="Y3650" s="120" t="b">
        <f t="shared" si="2737"/>
        <v>0</v>
      </c>
      <c r="Z3650" s="117">
        <f t="shared" si="2738"/>
        <v>0</v>
      </c>
      <c r="AA3650" s="118"/>
      <c r="AB3650" s="118" t="str">
        <f t="shared" si="2739"/>
        <v/>
      </c>
      <c r="AC3650" s="712" t="str">
        <f>IF(AE3650="T2G","no charge",IF(AND(OR(PlanterYesMe="No",PlanterYesMe="N",PlanterYesMe="me"),H3650=""),"",IF(H3650="credit","NO install",IF(AND(K3650="",AE3650="me"),"EACH row",IF(AND(K3650="images",AE3650="me"),"EACH row",IF(D3650="","",IF(H3650="credit","",IF(AE3650="free","re-planting",IF(AE3650="me","   not ELP, by",IF(AND(OR(PlanterYesMe="Yes",PlanterYesMe="Y"),G3650&gt;0),(VLOOKUP(A3650,'Discount Lookup'!J:K,2)*G3650*(1-PlanterDiscount)*(1+PlanterDifficultyPercentage)),IF(AE3650="ELP",(VLOOKUP(A3650,'Discount Lookup'!J:K,2)*G3650*(1-PlanterDiscount)*(1+PlanterDifficultyPercentage)),IF(AE3650="free","re-planting",IF(G3650=0,"",IF(PlanterYesMe="",IF(AE3650="me","   not ELP, by",IF(AE3650="",IF(G3650&gt;0,(VLOOKUP(A3650,'Discount Lookup'!J:K,2)*G3650*(1-PlanterDiscount)*(1+PlanterDifficultyPercentage)),""),"")),"   not ELP, by"))))))))))))))</f>
        <v/>
      </c>
      <c r="AD3650" s="712"/>
      <c r="AE3650" s="513" t="str">
        <f t="shared" si="2740"/>
        <v/>
      </c>
      <c r="AF3650" s="713" t="str">
        <f t="shared" si="2741"/>
        <v/>
      </c>
      <c r="AG3650" s="713"/>
      <c r="AH3650" s="713"/>
      <c r="AI3650" s="112">
        <f>IF(H3650="credit",0,IF(AE3650="free",0,IF(AE3650="me",0,IF(G3650&gt;0,(VLOOKUP(A3650,'Discount Lookup'!J:K,2)*G3650),0))))</f>
        <v>0</v>
      </c>
      <c r="AJ3650" s="107" t="str">
        <f t="shared" ca="1" si="2742"/>
        <v/>
      </c>
      <c r="AK3650" s="714" t="str">
        <f t="shared" si="2743"/>
        <v/>
      </c>
      <c r="AL3650" s="714"/>
      <c r="AM3650" s="114" t="str">
        <f t="shared" si="2744"/>
        <v/>
      </c>
      <c r="AN3650" s="115"/>
      <c r="AO3650" s="116"/>
      <c r="AP3650" s="116"/>
      <c r="AQ3650" s="116"/>
      <c r="AR3650" s="116"/>
      <c r="AS3650" s="116"/>
      <c r="AT3650" s="116"/>
      <c r="AU3650" s="116"/>
      <c r="AV3650" s="78"/>
      <c r="AW3650" s="102"/>
      <c r="AX3650" s="78"/>
      <c r="AY3650" s="78"/>
      <c r="AZ3650" s="78"/>
      <c r="BA3650" s="78"/>
      <c r="BB3650" s="78"/>
      <c r="BC3650" s="78"/>
      <c r="BD3650" s="78"/>
      <c r="BE3650" s="465"/>
      <c r="BF3650" s="165" t="str">
        <f t="shared" si="2745"/>
        <v>https://www.google.com/search?tbm=isch&amp;q=3%20G5</v>
      </c>
      <c r="BG3650" s="165" t="str">
        <f t="shared" si="2746"/>
        <v>R</v>
      </c>
      <c r="BH3650" s="65"/>
      <c r="BI3650" s="65"/>
      <c r="BJ3650" s="65"/>
      <c r="BK3650" s="65"/>
      <c r="BL3650" s="99"/>
      <c r="BM3650" s="99"/>
      <c r="BN3650" s="99"/>
    </row>
    <row r="3651" spans="1:66" s="51" customFormat="1" ht="15.75" x14ac:dyDescent="0.25">
      <c r="A3651" s="478">
        <v>5</v>
      </c>
      <c r="B3651" s="479" t="s">
        <v>291</v>
      </c>
      <c r="C3651" s="480" t="s">
        <v>4070</v>
      </c>
      <c r="D3651" s="481" t="s">
        <v>309</v>
      </c>
      <c r="E3651" s="482">
        <v>40.950000000000003</v>
      </c>
      <c r="F3651" s="483" t="s">
        <v>292</v>
      </c>
      <c r="G3651" s="484">
        <v>0</v>
      </c>
      <c r="H3651" s="688" t="str">
        <f>IF(G3651=0,"",IF(F3651="Buy",IF(G3651=1,"plant","plants"),IF(F3651&gt;0.01,"warranty","Error")))</f>
        <v/>
      </c>
      <c r="I3651" s="485">
        <f>IF(H3651="free",0,IF(H3651="credit",((E3651*(F3651))*G3651*-1),IF(F3651="Buy",(E3651*G3651),((E3651*(1-F3651))*G3651))))</f>
        <v>0</v>
      </c>
      <c r="J3651" s="485">
        <f>IF(H3651="warranty",0,(I3651*(_xlfn.SINGLE(SalesTaxPercentage))))</f>
        <v>0</v>
      </c>
      <c r="K3651" s="715">
        <f t="shared" ref="K3651" si="2769">I3651+J3651</f>
        <v>0</v>
      </c>
      <c r="L3651" s="715"/>
      <c r="M3651" s="689" t="str">
        <f ca="1">IF(AND(G3651&gt;0,E3651=0),"WARNING - no PRICE inserted",IF(H3651="free","FREE ~ no charge this plant",IF(H3651="credit",CONCATENATE("-$",ROUND(K3651*(1-_xlfn.SINGLE(T2GDiscount))*-1,2)," CREDIT after discount"),IF(_xlfn.SINGLE(T2GDiscount)=0,"",IF(G3651=0,"",IF(F3651="Buy",CONCATENATE("$",ROUND(K3651*(1-_xlfn.SINGLE(T2GDiscount)),2)," with ",(_xlfn.SINGLE(T2GDiscount)*100),"% discount"),CONCATENATE("$",ROUND(K3651*(1-_xlfn.SINGLE(T2GDiscount)),2)," with ",((_xlfn.SINGLE(T2GDiscount)*100+F3651*100)-(_xlfn.SINGLE(T2GDiscount)*100*F3651)),IF(F3651&gt;0,"% discounts",IF(_xlfn.SINGLE(NoWarrantyDiscount)&gt;0,"% discounts","% discount")))))))))</f>
        <v/>
      </c>
      <c r="N3651" s="690"/>
      <c r="O3651" s="486"/>
      <c r="P3651" s="486"/>
      <c r="Q3651" s="486"/>
      <c r="R3651" s="486"/>
      <c r="S3651" s="486"/>
      <c r="T3651" s="102">
        <f t="shared" si="2734"/>
        <v>0</v>
      </c>
      <c r="U3651" s="78">
        <f>IF(NOT(ISNUMBER(G3651)), "", VLOOKUP(A3651,'Discount Lookup'!D:E,2,FALSE)*G3651)</f>
        <v>0</v>
      </c>
      <c r="V3651" s="78">
        <f>IF(NOT(ISNUMBER(G3651)), "", VLOOKUP(A3651,'Discount Lookup'!G:H,2,FALSE)*G3651)</f>
        <v>0</v>
      </c>
      <c r="W3651" s="102">
        <f t="shared" si="2735"/>
        <v>0</v>
      </c>
      <c r="X3651" s="102">
        <f t="shared" si="2736"/>
        <v>0</v>
      </c>
      <c r="Y3651" s="120" t="b">
        <f t="shared" si="2737"/>
        <v>0</v>
      </c>
      <c r="Z3651" s="117">
        <f t="shared" si="2738"/>
        <v>0</v>
      </c>
      <c r="AA3651" s="118"/>
      <c r="AB3651" s="118" t="str">
        <f t="shared" si="2739"/>
        <v/>
      </c>
      <c r="AC3651" s="712" t="str">
        <f>IF(AE3651="T2G","no charge",IF(AND(OR(PlanterYesMe="No",PlanterYesMe="N",PlanterYesMe="me"),H3651=""),"",IF(H3651="credit","NO install",IF(AND(K3651="",AE3651="me"),"EACH row",IF(AND(K3651="images",AE3651="me"),"EACH row",IF(D3651="","",IF(H3651="credit","",IF(AE3651="free","re-planting",IF(AE3651="me","   not ELP, by",IF(AND(OR(PlanterYesMe="Yes",PlanterYesMe="Y"),G3651&gt;0),(VLOOKUP(A3651,'Discount Lookup'!J:K,2)*G3651*(1-PlanterDiscount)*(1+PlanterDifficultyPercentage)),IF(AE3651="ELP",(VLOOKUP(A3651,'Discount Lookup'!J:K,2)*G3651*(1-PlanterDiscount)*(1+PlanterDifficultyPercentage)),IF(AE3651="free","re-planting",IF(G3651=0,"",IF(PlanterYesMe="",IF(AE3651="me","   not ELP, by",IF(AE3651="",IF(G3651&gt;0,(VLOOKUP(A3651,'Discount Lookup'!J:K,2)*G3651*(1-PlanterDiscount)*(1+PlanterDifficultyPercentage)),""),"")),"   not ELP, by"))))))))))))))</f>
        <v/>
      </c>
      <c r="AD3651" s="712"/>
      <c r="AE3651" s="513" t="str">
        <f t="shared" si="2740"/>
        <v/>
      </c>
      <c r="AF3651" s="713" t="str">
        <f t="shared" si="2741"/>
        <v/>
      </c>
      <c r="AG3651" s="713"/>
      <c r="AH3651" s="713"/>
      <c r="AI3651" s="112">
        <f>IF(H3651="credit",0,IF(AE3651="free",0,IF(AE3651="me",0,IF(G3651&gt;0,(VLOOKUP(A3651,'Discount Lookup'!J:K,2)*G3651),0))))</f>
        <v>0</v>
      </c>
      <c r="AJ3651" s="107" t="str">
        <f t="shared" ca="1" si="2742"/>
        <v/>
      </c>
      <c r="AK3651" s="714" t="str">
        <f t="shared" si="2743"/>
        <v/>
      </c>
      <c r="AL3651" s="714"/>
      <c r="AM3651" s="114" t="str">
        <f t="shared" si="2744"/>
        <v/>
      </c>
      <c r="AN3651" s="115"/>
      <c r="AO3651" s="116"/>
      <c r="AP3651" s="116"/>
      <c r="AQ3651" s="116"/>
      <c r="AR3651" s="116"/>
      <c r="AS3651" s="116"/>
      <c r="AT3651" s="116"/>
      <c r="AU3651" s="116"/>
      <c r="AV3651" s="78"/>
      <c r="AW3651" s="102"/>
      <c r="AX3651" s="78"/>
      <c r="AY3651" s="78"/>
      <c r="AZ3651" s="78"/>
      <c r="BA3651" s="78"/>
      <c r="BB3651" s="78"/>
      <c r="BC3651" s="78"/>
      <c r="BD3651" s="78"/>
      <c r="BE3651" s="465"/>
      <c r="BF3651" s="165" t="str">
        <f t="shared" si="2745"/>
        <v>https://www.google.com/search?tbm=isch&amp;q=5%20G3</v>
      </c>
      <c r="BG3651" s="165" t="str">
        <f t="shared" si="2746"/>
        <v>R</v>
      </c>
      <c r="BH3651" s="65"/>
      <c r="BI3651" s="65"/>
      <c r="BJ3651" s="65"/>
      <c r="BK3651" s="65"/>
      <c r="BL3651" s="99"/>
      <c r="BM3651" s="99"/>
      <c r="BN3651" s="99"/>
    </row>
    <row r="3652" spans="1:66" s="51" customFormat="1" ht="16.5" x14ac:dyDescent="0.25">
      <c r="A3652" s="508" t="s">
        <v>4071</v>
      </c>
      <c r="B3652" s="487"/>
      <c r="C3652" s="707"/>
      <c r="D3652" s="487"/>
      <c r="E3652" s="487"/>
      <c r="F3652" s="488"/>
      <c r="G3652" s="489"/>
      <c r="H3652" s="487"/>
      <c r="I3652" s="490"/>
      <c r="J3652" s="490"/>
      <c r="K3652" s="491"/>
      <c r="L3652" s="547"/>
      <c r="M3652" s="528"/>
      <c r="N3652" s="492"/>
      <c r="O3652" s="493"/>
      <c r="P3652" s="494"/>
      <c r="Q3652" s="492"/>
      <c r="R3652" s="492"/>
      <c r="S3652" s="699" t="s">
        <v>5248</v>
      </c>
      <c r="T3652" s="102">
        <f t="shared" si="2734"/>
        <v>0</v>
      </c>
      <c r="U3652" s="78" t="str">
        <f>IF(NOT(ISNUMBER(G3652)), "", VLOOKUP(A3652,'Discount Lookup'!D:E,2,FALSE)*G3652)</f>
        <v/>
      </c>
      <c r="V3652" s="78" t="str">
        <f>IF(NOT(ISNUMBER(G3652)), "", VLOOKUP(A3652,'Discount Lookup'!G:H,2,FALSE)*G3652)</f>
        <v/>
      </c>
      <c r="W3652" s="102">
        <f t="shared" si="2735"/>
        <v>0</v>
      </c>
      <c r="X3652" s="102">
        <f t="shared" si="2736"/>
        <v>0</v>
      </c>
      <c r="Y3652" s="120" t="b">
        <f t="shared" si="2737"/>
        <v>0</v>
      </c>
      <c r="Z3652" s="117">
        <f t="shared" si="2738"/>
        <v>0</v>
      </c>
      <c r="AA3652" s="118"/>
      <c r="AB3652" s="118" t="str">
        <f t="shared" si="2739"/>
        <v/>
      </c>
      <c r="AC3652" s="712" t="str">
        <f>IF(AE3652="T2G","no charge",IF(AND(OR(PlanterYesMe="No",PlanterYesMe="N",PlanterYesMe="me"),H3652=""),"",IF(H3652="credit","NO install",IF(AND(K3652="",AE3652="me"),"EACH row",IF(AND(K3652="images",AE3652="me"),"EACH row",IF(D3652="","",IF(H3652="credit","",IF(AE3652="free","re-planting",IF(AE3652="me","   not ELP, by",IF(AND(OR(PlanterYesMe="Yes",PlanterYesMe="Y"),G3652&gt;0),(VLOOKUP(A3652,'Discount Lookup'!J:K,2)*G3652*(1-PlanterDiscount)*(1+PlanterDifficultyPercentage)),IF(AE3652="ELP",(VLOOKUP(A3652,'Discount Lookup'!J:K,2)*G3652*(1-PlanterDiscount)*(1+PlanterDifficultyPercentage)),IF(AE3652="free","re-planting",IF(G3652=0,"",IF(PlanterYesMe="",IF(AE3652="me","   not ELP, by",IF(AE3652="",IF(G3652&gt;0,(VLOOKUP(A3652,'Discount Lookup'!J:K,2)*G3652*(1-PlanterDiscount)*(1+PlanterDifficultyPercentage)),""),"")),"   not ELP, by"))))))))))))))</f>
        <v/>
      </c>
      <c r="AD3652" s="712"/>
      <c r="AE3652" s="513" t="str">
        <f t="shared" si="2740"/>
        <v/>
      </c>
      <c r="AF3652" s="713" t="str">
        <f t="shared" si="2741"/>
        <v/>
      </c>
      <c r="AG3652" s="713"/>
      <c r="AH3652" s="713"/>
      <c r="AI3652" s="112">
        <f>IF(H3652="credit",0,IF(AE3652="free",0,IF(AE3652="me",0,IF(G3652&gt;0,(VLOOKUP(A3652,'Discount Lookup'!J:K,2)*G3652),0))))</f>
        <v>0</v>
      </c>
      <c r="AJ3652" s="107" t="str">
        <f t="shared" ca="1" si="2742"/>
        <v/>
      </c>
      <c r="AK3652" s="714" t="str">
        <f t="shared" si="2743"/>
        <v/>
      </c>
      <c r="AL3652" s="714"/>
      <c r="AM3652" s="114" t="str">
        <f t="shared" si="2744"/>
        <v/>
      </c>
      <c r="AN3652" s="115"/>
      <c r="AO3652" s="116"/>
      <c r="AP3652" s="116"/>
      <c r="AQ3652" s="116"/>
      <c r="AR3652" s="116"/>
      <c r="AS3652" s="116"/>
      <c r="AT3652" s="116"/>
      <c r="AU3652" s="116"/>
      <c r="AV3652" s="78"/>
      <c r="AW3652" s="102"/>
      <c r="AX3652" s="78"/>
      <c r="AY3652" s="78"/>
      <c r="AZ3652" s="78"/>
      <c r="BA3652" s="78"/>
      <c r="BB3652" s="78"/>
      <c r="BC3652" s="78"/>
      <c r="BD3652" s="78"/>
      <c r="BE3652" s="465"/>
      <c r="BF3652" s="165" t="str">
        <f t="shared" si="2745"/>
        <v>https://www.google.com/search?tbm=isch&amp;q=Sunglow%20%20is%20a%20vigorous%20Carla%20that%20flowers%20mid-season%20and%20persists%20into%20early%20summer.%20Upright%20form%20and%20dense%20foliage%20</v>
      </c>
      <c r="BG3652" s="165" t="str">
        <f t="shared" si="2746"/>
        <v>S</v>
      </c>
      <c r="BH3652" s="65"/>
      <c r="BI3652" s="65"/>
      <c r="BJ3652" s="65"/>
      <c r="BK3652" s="65"/>
      <c r="BL3652" s="99"/>
      <c r="BM3652" s="99"/>
      <c r="BN3652" s="99"/>
    </row>
    <row r="3653" spans="1:66" s="51" customFormat="1" ht="19.5" thickBot="1" x14ac:dyDescent="0.3">
      <c r="A3653" s="686" t="s">
        <v>719</v>
      </c>
      <c r="B3653" s="73"/>
      <c r="C3653" s="708"/>
      <c r="D3653" s="73"/>
      <c r="E3653" s="73"/>
      <c r="F3653" s="496"/>
      <c r="G3653" s="73"/>
      <c r="H3653" s="73"/>
      <c r="I3653" s="73"/>
      <c r="J3653" s="497" t="s">
        <v>357</v>
      </c>
      <c r="K3653" s="498"/>
      <c r="L3653" s="562"/>
      <c r="M3653" s="73"/>
      <c r="N3653"/>
      <c r="O3653"/>
      <c r="P3653"/>
      <c r="Q3653"/>
      <c r="R3653"/>
      <c r="S3653"/>
      <c r="T3653" s="102">
        <f t="shared" si="2734"/>
        <v>0</v>
      </c>
      <c r="U3653" s="78" t="str">
        <f>IF(NOT(ISNUMBER(G3653)), "", VLOOKUP(A3653,'Discount Lookup'!D:E,2,FALSE)*G3653)</f>
        <v/>
      </c>
      <c r="V3653" s="78" t="str">
        <f>IF(NOT(ISNUMBER(G3653)), "", VLOOKUP(A3653,'Discount Lookup'!G:H,2,FALSE)*G3653)</f>
        <v/>
      </c>
      <c r="W3653" s="102">
        <f t="shared" si="2735"/>
        <v>0</v>
      </c>
      <c r="X3653" s="102">
        <f t="shared" si="2736"/>
        <v>0</v>
      </c>
      <c r="Y3653" s="120" t="b">
        <f t="shared" si="2737"/>
        <v>0</v>
      </c>
      <c r="Z3653" s="117">
        <f t="shared" si="2738"/>
        <v>0</v>
      </c>
      <c r="AA3653" s="118"/>
      <c r="AB3653" s="118" t="str">
        <f t="shared" si="2739"/>
        <v/>
      </c>
      <c r="AC3653" s="712" t="str">
        <f>IF(AE3653="T2G","no charge",IF(AND(OR(PlanterYesMe="No",PlanterYesMe="N",PlanterYesMe="me"),H3653=""),"",IF(H3653="credit","NO install",IF(AND(K3653="",AE3653="me"),"EACH row",IF(AND(K3653="images",AE3653="me"),"EACH row",IF(D3653="","",IF(H3653="credit","",IF(AE3653="free","re-planting",IF(AE3653="me","   not ELP, by",IF(AND(OR(PlanterYesMe="Yes",PlanterYesMe="Y"),G3653&gt;0),(VLOOKUP(A3653,'Discount Lookup'!J:K,2)*G3653*(1-PlanterDiscount)*(1+PlanterDifficultyPercentage)),IF(AE3653="ELP",(VLOOKUP(A3653,'Discount Lookup'!J:K,2)*G3653*(1-PlanterDiscount)*(1+PlanterDifficultyPercentage)),IF(AE3653="free","re-planting",IF(G3653=0,"",IF(PlanterYesMe="",IF(AE3653="me","   not ELP, by",IF(AE3653="",IF(G3653&gt;0,(VLOOKUP(A3653,'Discount Lookup'!J:K,2)*G3653*(1-PlanterDiscount)*(1+PlanterDifficultyPercentage)),""),"")),"   not ELP, by"))))))))))))))</f>
        <v/>
      </c>
      <c r="AD3653" s="712"/>
      <c r="AE3653" s="513" t="str">
        <f t="shared" si="2740"/>
        <v/>
      </c>
      <c r="AF3653" s="713" t="str">
        <f t="shared" si="2741"/>
        <v/>
      </c>
      <c r="AG3653" s="713"/>
      <c r="AH3653" s="713"/>
      <c r="AI3653" s="112">
        <f>IF(H3653="credit",0,IF(AE3653="free",0,IF(AE3653="me",0,IF(G3653&gt;0,(VLOOKUP(A3653,'Discount Lookup'!J:K,2)*G3653),0))))</f>
        <v>0</v>
      </c>
      <c r="AJ3653" s="107" t="str">
        <f t="shared" ca="1" si="2742"/>
        <v/>
      </c>
      <c r="AK3653" s="714" t="str">
        <f t="shared" si="2743"/>
        <v/>
      </c>
      <c r="AL3653" s="714"/>
      <c r="AM3653" s="114" t="str">
        <f t="shared" si="2744"/>
        <v/>
      </c>
      <c r="AN3653" s="115"/>
      <c r="AO3653" s="116"/>
      <c r="AP3653" s="116"/>
      <c r="AQ3653" s="116"/>
      <c r="AR3653" s="116"/>
      <c r="AS3653" s="116"/>
      <c r="AT3653" s="116"/>
      <c r="AU3653" s="116"/>
      <c r="AV3653" s="78"/>
      <c r="AW3653" s="102"/>
      <c r="AX3653" s="78"/>
      <c r="AY3653" s="78"/>
      <c r="AZ3653" s="78"/>
      <c r="BA3653" s="78"/>
      <c r="BB3653" s="78"/>
      <c r="BC3653" s="78"/>
      <c r="BD3653" s="78"/>
      <c r="BE3653" s="465"/>
      <c r="BF3653" s="165" t="str">
        <f t="shared" si="2745"/>
        <v>https://www.google.com/search?tbm=isch&amp;q=Robinia%20%3D%20Locust%20</v>
      </c>
      <c r="BG3653" s="165" t="str">
        <f t="shared" si="2746"/>
        <v>R</v>
      </c>
      <c r="BH3653" s="65"/>
      <c r="BI3653" s="65"/>
      <c r="BJ3653" s="65"/>
      <c r="BK3653" s="65"/>
      <c r="BL3653" s="99"/>
      <c r="BM3653" s="99"/>
      <c r="BN3653" s="99"/>
    </row>
    <row r="3654" spans="1:66" s="51" customFormat="1" ht="18" x14ac:dyDescent="0.25">
      <c r="A3654" s="623" t="s">
        <v>4072</v>
      </c>
      <c r="B3654" s="624"/>
      <c r="C3654" s="709"/>
      <c r="D3654" s="625" t="s">
        <v>5794</v>
      </c>
      <c r="E3654" s="626"/>
      <c r="F3654" s="626"/>
      <c r="G3654" s="626"/>
      <c r="H3654" s="622" t="s">
        <v>1147</v>
      </c>
      <c r="I3654" s="627" t="s">
        <v>349</v>
      </c>
      <c r="J3654" s="628"/>
      <c r="K3654" s="628"/>
      <c r="L3654" s="629"/>
      <c r="M3654" s="700" t="s">
        <v>5241</v>
      </c>
      <c r="N3654" s="693" t="str">
        <f>IF(AND(ISTEXT($A3654), ISERROR($A3654+0)), HYPERLINK($BF3654, "Images"), "")</f>
        <v>Images</v>
      </c>
      <c r="O3654" s="695" t="s">
        <v>5264</v>
      </c>
      <c r="P3654" s="630"/>
      <c r="Q3654" s="631"/>
      <c r="R3654" s="632"/>
      <c r="S3654" s="633"/>
      <c r="T3654" s="102">
        <f t="shared" si="2734"/>
        <v>0</v>
      </c>
      <c r="U3654" s="78" t="str">
        <f>IF(NOT(ISNUMBER(G3654)), "", VLOOKUP(A3654,'Discount Lookup'!D:E,2,FALSE)*G3654)</f>
        <v/>
      </c>
      <c r="V3654" s="78" t="str">
        <f>IF(NOT(ISNUMBER(G3654)), "", VLOOKUP(A3654,'Discount Lookup'!G:H,2,FALSE)*G3654)</f>
        <v/>
      </c>
      <c r="W3654" s="102">
        <f t="shared" si="2735"/>
        <v>0</v>
      </c>
      <c r="X3654" s="102" t="str">
        <f t="shared" si="2736"/>
        <v>White bloom</v>
      </c>
      <c r="Y3654" s="120" t="b">
        <f t="shared" si="2737"/>
        <v>0</v>
      </c>
      <c r="Z3654" s="117">
        <f t="shared" si="2738"/>
        <v>0</v>
      </c>
      <c r="AA3654" s="118"/>
      <c r="AB3654" s="118" t="str">
        <f t="shared" si="2739"/>
        <v/>
      </c>
      <c r="AC3654" s="712" t="str">
        <f>IF(AE3654="T2G","no charge",IF(AND(OR(PlanterYesMe="No",PlanterYesMe="N",PlanterYesMe="me"),H3654=""),"",IF(H3654="credit","NO install",IF(AND(K3654="",AE3654="me"),"EACH row",IF(AND(K3654="images",AE3654="me"),"EACH row",IF(D3654="","",IF(H3654="credit","",IF(AE3654="free","re-planting",IF(AE3654="me","   not ELP, by",IF(AND(OR(PlanterYesMe="Yes",PlanterYesMe="Y"),G3654&gt;0),(VLOOKUP(A3654,'Discount Lookup'!J:K,2)*G3654*(1-PlanterDiscount)*(1+PlanterDifficultyPercentage)),IF(AE3654="ELP",(VLOOKUP(A3654,'Discount Lookup'!J:K,2)*G3654*(1-PlanterDiscount)*(1+PlanterDifficultyPercentage)),IF(AE3654="free","re-planting",IF(G3654=0,"",IF(PlanterYesMe="",IF(AE3654="me","   not ELP, by",IF(AE3654="",IF(G3654&gt;0,(VLOOKUP(A3654,'Discount Lookup'!J:K,2)*G3654*(1-PlanterDiscount)*(1+PlanterDifficultyPercentage)),""),"")),"   not ELP, by"))))))))))))))</f>
        <v/>
      </c>
      <c r="AD3654" s="712"/>
      <c r="AE3654" s="513" t="str">
        <f t="shared" si="2740"/>
        <v/>
      </c>
      <c r="AF3654" s="713" t="str">
        <f t="shared" si="2741"/>
        <v/>
      </c>
      <c r="AG3654" s="713"/>
      <c r="AH3654" s="713"/>
      <c r="AI3654" s="112">
        <f>IF(H3654="credit",0,IF(AE3654="free",0,IF(AE3654="me",0,IF(G3654&gt;0,(VLOOKUP(A3654,'Discount Lookup'!J:K,2)*G3654),0))))</f>
        <v>0</v>
      </c>
      <c r="AJ3654" s="107" t="str">
        <f t="shared" ca="1" si="2742"/>
        <v/>
      </c>
      <c r="AK3654" s="714" t="str">
        <f t="shared" si="2743"/>
        <v/>
      </c>
      <c r="AL3654" s="714"/>
      <c r="AM3654" s="114" t="str">
        <f t="shared" si="2744"/>
        <v/>
      </c>
      <c r="AN3654" s="115"/>
      <c r="AO3654" s="116"/>
      <c r="AP3654" s="116"/>
      <c r="AQ3654" s="116"/>
      <c r="AR3654" s="116"/>
      <c r="AS3654" s="116"/>
      <c r="AT3654" s="116"/>
      <c r="AU3654" s="116"/>
      <c r="AV3654" s="78"/>
      <c r="AW3654" s="102"/>
      <c r="AX3654" s="78"/>
      <c r="AY3654" s="78"/>
      <c r="AZ3654" s="78"/>
      <c r="BA3654" s="78"/>
      <c r="BB3654" s="78"/>
      <c r="BC3654" s="78"/>
      <c r="BD3654" s="78"/>
      <c r="BE3654" s="465"/>
      <c r="BF3654" s="165" t="str">
        <f t="shared" si="2745"/>
        <v>https://www.google.com/search?tbm=isch&amp;q=Robinia%20pseudoacacia%20%27Lace%20Lady%27%20PP%239771Exp.%20Twisty%20Baby%C2%AE%20Black%20Locust</v>
      </c>
      <c r="BG3654" s="165" t="str">
        <f t="shared" si="2746"/>
        <v>R</v>
      </c>
      <c r="BH3654" s="65"/>
      <c r="BI3654" s="65"/>
      <c r="BJ3654" s="65"/>
      <c r="BK3654" s="65"/>
      <c r="BL3654" s="99"/>
      <c r="BM3654" s="99"/>
      <c r="BN3654" s="99"/>
    </row>
    <row r="3655" spans="1:66" s="51" customFormat="1" ht="27" x14ac:dyDescent="0.25">
      <c r="A3655" s="634">
        <v>7</v>
      </c>
      <c r="B3655" s="635" t="s">
        <v>291</v>
      </c>
      <c r="C3655" s="636" t="s">
        <v>4073</v>
      </c>
      <c r="D3655" s="637" t="s">
        <v>299</v>
      </c>
      <c r="E3655" s="638">
        <v>137.94999999999999</v>
      </c>
      <c r="F3655" s="639" t="s">
        <v>292</v>
      </c>
      <c r="G3655" s="484">
        <v>0</v>
      </c>
      <c r="H3655" s="691" t="str">
        <f>IF(G3655=0,"",IF(F3655="Buy",IF(G3655=1,"plant","plants"),IF(F3655&gt;0.01,"warranty","Error")))</f>
        <v/>
      </c>
      <c r="I3655" s="640">
        <f>IF(H3655="free",0,IF(H3655="credit",((E3655*(F3655))*G3655*-1),IF(F3655="Buy",(E3655*G3655),((E3655*(1-F3655))*G3655))))</f>
        <v>0</v>
      </c>
      <c r="J3655" s="640">
        <f>IF(H3655="warranty",0,(I3655*(_xlfn.SINGLE(SalesTaxPercentage))))</f>
        <v>0</v>
      </c>
      <c r="K3655" s="716">
        <f t="shared" ref="K3655" si="2770">I3655+J3655</f>
        <v>0</v>
      </c>
      <c r="L3655" s="716"/>
      <c r="M3655" s="689" t="str">
        <f ca="1">IF(AND(G3655&gt;0,E3655=0),"WARNING - no PRICE inserted",IF(H3655="free","FREE ~ no charge this plant",IF(H3655="credit",CONCATENATE("-$",ROUND(K3655*(1-_xlfn.SINGLE(T2GDiscount))*-1,2)," CREDIT after discount"),IF(_xlfn.SINGLE(T2GDiscount)=0,"",IF(G3655=0,"",IF(F3655="Buy",CONCATENATE("$",ROUND(K3655*(1-_xlfn.SINGLE(T2GDiscount)),2)," with ",(_xlfn.SINGLE(T2GDiscount)*100),"% discount"),CONCATENATE("$",ROUND(K3655*(1-_xlfn.SINGLE(T2GDiscount)),2)," with ",((_xlfn.SINGLE(T2GDiscount)*100+F3655*100)-(_xlfn.SINGLE(T2GDiscount)*100*F3655)),IF(F3655&gt;0,"% discounts",IF(_xlfn.SINGLE(NoWarrantyDiscount)&gt;0,"% discounts","% discount")))))))))</f>
        <v/>
      </c>
      <c r="N3655" s="690"/>
      <c r="O3655" s="486"/>
      <c r="P3655" s="486"/>
      <c r="Q3655" s="486"/>
      <c r="R3655" s="486"/>
      <c r="S3655" s="486"/>
      <c r="T3655" s="102">
        <f t="shared" si="2734"/>
        <v>0</v>
      </c>
      <c r="U3655" s="78">
        <f>IF(NOT(ISNUMBER(G3655)), "", VLOOKUP(A3655,'Discount Lookup'!D:E,2,FALSE)*G3655)</f>
        <v>0</v>
      </c>
      <c r="V3655" s="78">
        <f>IF(NOT(ISNUMBER(G3655)), "", VLOOKUP(A3655,'Discount Lookup'!G:H,2,FALSE)*G3655)</f>
        <v>0</v>
      </c>
      <c r="W3655" s="102">
        <f t="shared" si="2735"/>
        <v>0</v>
      </c>
      <c r="X3655" s="102">
        <f t="shared" si="2736"/>
        <v>0</v>
      </c>
      <c r="Y3655" s="120" t="b">
        <f t="shared" si="2737"/>
        <v>0</v>
      </c>
      <c r="Z3655" s="117">
        <f t="shared" si="2738"/>
        <v>0</v>
      </c>
      <c r="AA3655" s="118"/>
      <c r="AB3655" s="118" t="str">
        <f t="shared" si="2739"/>
        <v/>
      </c>
      <c r="AC3655" s="712" t="str">
        <f>IF(AE3655="T2G","no charge",IF(AND(OR(PlanterYesMe="No",PlanterYesMe="N",PlanterYesMe="me"),H3655=""),"",IF(H3655="credit","NO install",IF(AND(K3655="",AE3655="me"),"EACH row",IF(AND(K3655="images",AE3655="me"),"EACH row",IF(D3655="","",IF(H3655="credit","",IF(AE3655="free","re-planting",IF(AE3655="me","   not ELP, by",IF(AND(OR(PlanterYesMe="Yes",PlanterYesMe="Y"),G3655&gt;0),(VLOOKUP(A3655,'Discount Lookup'!J:K,2)*G3655*(1-PlanterDiscount)*(1+PlanterDifficultyPercentage)),IF(AE3655="ELP",(VLOOKUP(A3655,'Discount Lookup'!J:K,2)*G3655*(1-PlanterDiscount)*(1+PlanterDifficultyPercentage)),IF(AE3655="free","re-planting",IF(G3655=0,"",IF(PlanterYesMe="",IF(AE3655="me","   not ELP, by",IF(AE3655="",IF(G3655&gt;0,(VLOOKUP(A3655,'Discount Lookup'!J:K,2)*G3655*(1-PlanterDiscount)*(1+PlanterDifficultyPercentage)),""),"")),"   not ELP, by"))))))))))))))</f>
        <v/>
      </c>
      <c r="AD3655" s="712"/>
      <c r="AE3655" s="513" t="str">
        <f t="shared" si="2740"/>
        <v/>
      </c>
      <c r="AF3655" s="713" t="str">
        <f t="shared" si="2741"/>
        <v/>
      </c>
      <c r="AG3655" s="713"/>
      <c r="AH3655" s="713"/>
      <c r="AI3655" s="112">
        <f>IF(H3655="credit",0,IF(AE3655="free",0,IF(AE3655="me",0,IF(G3655&gt;0,(VLOOKUP(A3655,'Discount Lookup'!J:K,2)*G3655),0))))</f>
        <v>0</v>
      </c>
      <c r="AJ3655" s="107" t="str">
        <f t="shared" ca="1" si="2742"/>
        <v/>
      </c>
      <c r="AK3655" s="714" t="str">
        <f t="shared" si="2743"/>
        <v/>
      </c>
      <c r="AL3655" s="714"/>
      <c r="AM3655" s="114" t="str">
        <f t="shared" si="2744"/>
        <v/>
      </c>
      <c r="AN3655" s="115"/>
      <c r="AO3655" s="116"/>
      <c r="AP3655" s="116"/>
      <c r="AQ3655" s="116"/>
      <c r="AR3655" s="116"/>
      <c r="AS3655" s="116"/>
      <c r="AT3655" s="116"/>
      <c r="AU3655" s="116"/>
      <c r="AV3655" s="78"/>
      <c r="AW3655" s="102"/>
      <c r="AX3655" s="78"/>
      <c r="AY3655" s="78"/>
      <c r="AZ3655" s="78"/>
      <c r="BA3655" s="78"/>
      <c r="BB3655" s="78"/>
      <c r="BC3655" s="78"/>
      <c r="BD3655" s="78"/>
      <c r="BE3655" s="465"/>
      <c r="BF3655" s="165" t="str">
        <f t="shared" si="2745"/>
        <v>https://www.google.com/search?tbm=isch&amp;q=7%20G4</v>
      </c>
      <c r="BG3655" s="165" t="str">
        <f t="shared" si="2746"/>
        <v>R</v>
      </c>
      <c r="BH3655" s="65"/>
      <c r="BI3655" s="65"/>
      <c r="BJ3655" s="65"/>
      <c r="BK3655" s="65"/>
      <c r="BL3655" s="99"/>
      <c r="BM3655" s="99"/>
      <c r="BN3655" s="99"/>
    </row>
    <row r="3656" spans="1:66" s="51" customFormat="1" ht="15.75" x14ac:dyDescent="0.25">
      <c r="A3656" s="634">
        <v>15</v>
      </c>
      <c r="B3656" s="635" t="s">
        <v>291</v>
      </c>
      <c r="C3656" s="636" t="s">
        <v>4074</v>
      </c>
      <c r="D3656" s="637" t="s">
        <v>299</v>
      </c>
      <c r="E3656" s="638">
        <v>187.95</v>
      </c>
      <c r="F3656" s="639" t="s">
        <v>292</v>
      </c>
      <c r="G3656" s="484">
        <v>0</v>
      </c>
      <c r="H3656" s="691" t="str">
        <f>IF(G3656=0,"",IF(F3656="Buy",IF(G3656=1,"plant","plants"),IF(F3656&gt;0.01,"warranty","Error")))</f>
        <v/>
      </c>
      <c r="I3656" s="640">
        <f>IF(H3656="free",0,IF(H3656="credit",((E3656*(F3656))*G3656*-1),IF(F3656="Buy",(E3656*G3656),((E3656*(1-F3656))*G3656))))</f>
        <v>0</v>
      </c>
      <c r="J3656" s="640">
        <f>IF(H3656="warranty",0,(I3656*(_xlfn.SINGLE(SalesTaxPercentage))))</f>
        <v>0</v>
      </c>
      <c r="K3656" s="716">
        <f t="shared" ref="K3656" si="2771">I3656+J3656</f>
        <v>0</v>
      </c>
      <c r="L3656" s="716"/>
      <c r="M3656" s="689" t="str">
        <f ca="1">IF(AND(G3656&gt;0,E3656=0),"WARNING - no PRICE inserted",IF(H3656="free","FREE ~ no charge this plant",IF(H3656="credit",CONCATENATE("-$",ROUND(K3656*(1-_xlfn.SINGLE(T2GDiscount))*-1,2)," CREDIT after discount"),IF(_xlfn.SINGLE(T2GDiscount)=0,"",IF(G3656=0,"",IF(F3656="Buy",CONCATENATE("$",ROUND(K3656*(1-_xlfn.SINGLE(T2GDiscount)),2)," with ",(_xlfn.SINGLE(T2GDiscount)*100),"% discount"),CONCATENATE("$",ROUND(K3656*(1-_xlfn.SINGLE(T2GDiscount)),2)," with ",((_xlfn.SINGLE(T2GDiscount)*100+F3656*100)-(_xlfn.SINGLE(T2GDiscount)*100*F3656)),IF(F3656&gt;0,"% discounts",IF(_xlfn.SINGLE(NoWarrantyDiscount)&gt;0,"% discounts","% discount")))))))))</f>
        <v/>
      </c>
      <c r="N3656" s="690"/>
      <c r="O3656" s="486"/>
      <c r="P3656" s="486"/>
      <c r="Q3656" s="486"/>
      <c r="R3656" s="486"/>
      <c r="S3656" s="486"/>
      <c r="T3656" s="102">
        <f t="shared" si="2734"/>
        <v>0</v>
      </c>
      <c r="U3656" s="78">
        <f>IF(NOT(ISNUMBER(G3656)), "", VLOOKUP(A3656,'Discount Lookup'!D:E,2,FALSE)*G3656)</f>
        <v>0</v>
      </c>
      <c r="V3656" s="78">
        <f>IF(NOT(ISNUMBER(G3656)), "", VLOOKUP(A3656,'Discount Lookup'!G:H,2,FALSE)*G3656)</f>
        <v>0</v>
      </c>
      <c r="W3656" s="102">
        <f t="shared" si="2735"/>
        <v>0</v>
      </c>
      <c r="X3656" s="102">
        <f t="shared" si="2736"/>
        <v>0</v>
      </c>
      <c r="Y3656" s="120" t="b">
        <f t="shared" si="2737"/>
        <v>0</v>
      </c>
      <c r="Z3656" s="117">
        <f t="shared" si="2738"/>
        <v>0</v>
      </c>
      <c r="AA3656" s="118"/>
      <c r="AB3656" s="118" t="str">
        <f t="shared" si="2739"/>
        <v/>
      </c>
      <c r="AC3656" s="712" t="str">
        <f>IF(AE3656="T2G","no charge",IF(AND(OR(PlanterYesMe="No",PlanterYesMe="N",PlanterYesMe="me"),H3656=""),"",IF(H3656="credit","NO install",IF(AND(K3656="",AE3656="me"),"EACH row",IF(AND(K3656="images",AE3656="me"),"EACH row",IF(D3656="","",IF(H3656="credit","",IF(AE3656="free","re-planting",IF(AE3656="me","   not ELP, by",IF(AND(OR(PlanterYesMe="Yes",PlanterYesMe="Y"),G3656&gt;0),(VLOOKUP(A3656,'Discount Lookup'!J:K,2)*G3656*(1-PlanterDiscount)*(1+PlanterDifficultyPercentage)),IF(AE3656="ELP",(VLOOKUP(A3656,'Discount Lookup'!J:K,2)*G3656*(1-PlanterDiscount)*(1+PlanterDifficultyPercentage)),IF(AE3656="free","re-planting",IF(G3656=0,"",IF(PlanterYesMe="",IF(AE3656="me","   not ELP, by",IF(AE3656="",IF(G3656&gt;0,(VLOOKUP(A3656,'Discount Lookup'!J:K,2)*G3656*(1-PlanterDiscount)*(1+PlanterDifficultyPercentage)),""),"")),"   not ELP, by"))))))))))))))</f>
        <v/>
      </c>
      <c r="AD3656" s="712"/>
      <c r="AE3656" s="513" t="str">
        <f t="shared" si="2740"/>
        <v/>
      </c>
      <c r="AF3656" s="713" t="str">
        <f t="shared" si="2741"/>
        <v/>
      </c>
      <c r="AG3656" s="713"/>
      <c r="AH3656" s="713"/>
      <c r="AI3656" s="112">
        <f>IF(H3656="credit",0,IF(AE3656="free",0,IF(AE3656="me",0,IF(G3656&gt;0,(VLOOKUP(A3656,'Discount Lookup'!J:K,2)*G3656),0))))</f>
        <v>0</v>
      </c>
      <c r="AJ3656" s="107" t="str">
        <f t="shared" ca="1" si="2742"/>
        <v/>
      </c>
      <c r="AK3656" s="714" t="str">
        <f t="shared" si="2743"/>
        <v/>
      </c>
      <c r="AL3656" s="714"/>
      <c r="AM3656" s="114" t="str">
        <f t="shared" si="2744"/>
        <v/>
      </c>
      <c r="AN3656" s="115"/>
      <c r="AO3656" s="116"/>
      <c r="AP3656" s="116"/>
      <c r="AQ3656" s="116"/>
      <c r="AR3656" s="116"/>
      <c r="AS3656" s="116"/>
      <c r="AT3656" s="116"/>
      <c r="AU3656" s="116"/>
      <c r="AV3656" s="78"/>
      <c r="AW3656" s="102"/>
      <c r="AX3656" s="78"/>
      <c r="AY3656" s="78"/>
      <c r="AZ3656" s="78"/>
      <c r="BA3656" s="78"/>
      <c r="BB3656" s="78"/>
      <c r="BC3656" s="78"/>
      <c r="BD3656" s="78"/>
      <c r="BE3656" s="465"/>
      <c r="BF3656" s="165" t="str">
        <f t="shared" si="2745"/>
        <v>https://www.google.com/search?tbm=isch&amp;q=15%20G4</v>
      </c>
      <c r="BG3656" s="165" t="str">
        <f t="shared" si="2746"/>
        <v>R</v>
      </c>
      <c r="BH3656" s="65"/>
      <c r="BI3656" s="65"/>
      <c r="BJ3656" s="65"/>
      <c r="BK3656" s="65"/>
      <c r="BL3656" s="99"/>
      <c r="BM3656" s="99"/>
      <c r="BN3656" s="99"/>
    </row>
    <row r="3657" spans="1:66" s="51" customFormat="1" ht="16.5" x14ac:dyDescent="0.25">
      <c r="A3657" s="641" t="s">
        <v>4075</v>
      </c>
      <c r="B3657" s="642"/>
      <c r="C3657" s="710"/>
      <c r="D3657" s="643"/>
      <c r="E3657" s="643"/>
      <c r="F3657" s="644"/>
      <c r="G3657" s="645"/>
      <c r="H3657" s="646"/>
      <c r="I3657" s="647"/>
      <c r="J3657" s="648"/>
      <c r="K3657" s="649"/>
      <c r="L3657" s="650"/>
      <c r="M3657" s="650"/>
      <c r="N3657" s="644"/>
      <c r="O3657" s="644"/>
      <c r="P3657" s="644"/>
      <c r="Q3657" s="644"/>
      <c r="R3657" s="644"/>
      <c r="S3657" s="701" t="s">
        <v>5251</v>
      </c>
      <c r="T3657" s="102">
        <f t="shared" si="2734"/>
        <v>0</v>
      </c>
      <c r="U3657" s="78" t="str">
        <f>IF(NOT(ISNUMBER(G3657)), "", VLOOKUP(A3657,'Discount Lookup'!D:E,2,FALSE)*G3657)</f>
        <v/>
      </c>
      <c r="V3657" s="78" t="str">
        <f>IF(NOT(ISNUMBER(G3657)), "", VLOOKUP(A3657,'Discount Lookup'!G:H,2,FALSE)*G3657)</f>
        <v/>
      </c>
      <c r="W3657" s="102">
        <f t="shared" si="2735"/>
        <v>0</v>
      </c>
      <c r="X3657" s="102">
        <f t="shared" si="2736"/>
        <v>0</v>
      </c>
      <c r="Y3657" s="120" t="b">
        <f t="shared" si="2737"/>
        <v>0</v>
      </c>
      <c r="Z3657" s="117">
        <f t="shared" si="2738"/>
        <v>0</v>
      </c>
      <c r="AA3657" s="118"/>
      <c r="AB3657" s="118" t="str">
        <f t="shared" si="2739"/>
        <v/>
      </c>
      <c r="AC3657" s="712" t="str">
        <f>IF(AE3657="T2G","no charge",IF(AND(OR(PlanterYesMe="No",PlanterYesMe="N",PlanterYesMe="me"),H3657=""),"",IF(H3657="credit","NO install",IF(AND(K3657="",AE3657="me"),"EACH row",IF(AND(K3657="images",AE3657="me"),"EACH row",IF(D3657="","",IF(H3657="credit","",IF(AE3657="free","re-planting",IF(AE3657="me","   not ELP, by",IF(AND(OR(PlanterYesMe="Yes",PlanterYesMe="Y"),G3657&gt;0),(VLOOKUP(A3657,'Discount Lookup'!J:K,2)*G3657*(1-PlanterDiscount)*(1+PlanterDifficultyPercentage)),IF(AE3657="ELP",(VLOOKUP(A3657,'Discount Lookup'!J:K,2)*G3657*(1-PlanterDiscount)*(1+PlanterDifficultyPercentage)),IF(AE3657="free","re-planting",IF(G3657=0,"",IF(PlanterYesMe="",IF(AE3657="me","   not ELP, by",IF(AE3657="",IF(G3657&gt;0,(VLOOKUP(A3657,'Discount Lookup'!J:K,2)*G3657*(1-PlanterDiscount)*(1+PlanterDifficultyPercentage)),""),"")),"   not ELP, by"))))))))))))))</f>
        <v/>
      </c>
      <c r="AD3657" s="712"/>
      <c r="AE3657" s="513" t="str">
        <f t="shared" si="2740"/>
        <v/>
      </c>
      <c r="AF3657" s="713" t="str">
        <f t="shared" si="2741"/>
        <v/>
      </c>
      <c r="AG3657" s="713"/>
      <c r="AH3657" s="713"/>
      <c r="AI3657" s="112">
        <f>IF(H3657="credit",0,IF(AE3657="free",0,IF(AE3657="me",0,IF(G3657&gt;0,(VLOOKUP(A3657,'Discount Lookup'!J:K,2)*G3657),0))))</f>
        <v>0</v>
      </c>
      <c r="AJ3657" s="107" t="str">
        <f t="shared" ca="1" si="2742"/>
        <v/>
      </c>
      <c r="AK3657" s="714" t="str">
        <f t="shared" si="2743"/>
        <v/>
      </c>
      <c r="AL3657" s="714"/>
      <c r="AM3657" s="114" t="str">
        <f t="shared" si="2744"/>
        <v/>
      </c>
      <c r="AN3657" s="115"/>
      <c r="AO3657" s="116"/>
      <c r="AP3657" s="116"/>
      <c r="AQ3657" s="116"/>
      <c r="AR3657" s="116"/>
      <c r="AS3657" s="116"/>
      <c r="AT3657" s="116"/>
      <c r="AU3657" s="116"/>
      <c r="AV3657" s="78"/>
      <c r="AW3657" s="102"/>
      <c r="AX3657" s="78"/>
      <c r="AY3657" s="78"/>
      <c r="AZ3657" s="78"/>
      <c r="BA3657" s="78"/>
      <c r="BB3657" s="78"/>
      <c r="BC3657" s="78"/>
      <c r="BD3657" s="78"/>
      <c r="BE3657" s="465"/>
      <c r="BF3657" s="165" t="str">
        <f t="shared" si="2745"/>
        <v>https://www.google.com/search?tbm=isch&amp;q=Twisty%20Baby%20is%20a%20contortionist%2C%20with%20crooked%20stems%20and%20curled%20foliage.%20Fragrant%20blooms%20</v>
      </c>
      <c r="BG3657" s="165" t="str">
        <f t="shared" si="2746"/>
        <v>T</v>
      </c>
      <c r="BH3657" s="65"/>
      <c r="BI3657" s="65"/>
      <c r="BJ3657" s="65"/>
      <c r="BK3657" s="65"/>
      <c r="BL3657" s="99"/>
      <c r="BM3657" s="99"/>
      <c r="BN3657" s="99"/>
    </row>
    <row r="3658" spans="1:66" s="51" customFormat="1" ht="19.5" thickBot="1" x14ac:dyDescent="0.3">
      <c r="A3658" s="686" t="s">
        <v>720</v>
      </c>
      <c r="B3658" s="73"/>
      <c r="C3658" s="708"/>
      <c r="D3658" s="73"/>
      <c r="E3658" s="73"/>
      <c r="F3658" s="496"/>
      <c r="G3658" s="73"/>
      <c r="H3658" s="73"/>
      <c r="I3658" s="73"/>
      <c r="J3658" s="497" t="s">
        <v>357</v>
      </c>
      <c r="K3658" s="498"/>
      <c r="L3658" s="562"/>
      <c r="M3658" s="73"/>
      <c r="N3658"/>
      <c r="O3658"/>
      <c r="P3658"/>
      <c r="Q3658"/>
      <c r="R3658"/>
      <c r="S3658"/>
      <c r="T3658" s="102">
        <f t="shared" si="2734"/>
        <v>0</v>
      </c>
      <c r="U3658" s="78" t="str">
        <f>IF(NOT(ISNUMBER(G3658)), "", VLOOKUP(A3658,'Discount Lookup'!D:E,2,FALSE)*G3658)</f>
        <v/>
      </c>
      <c r="V3658" s="78" t="str">
        <f>IF(NOT(ISNUMBER(G3658)), "", VLOOKUP(A3658,'Discount Lookup'!G:H,2,FALSE)*G3658)</f>
        <v/>
      </c>
      <c r="W3658" s="102">
        <f t="shared" si="2735"/>
        <v>0</v>
      </c>
      <c r="X3658" s="102">
        <f t="shared" si="2736"/>
        <v>0</v>
      </c>
      <c r="Y3658" s="120" t="b">
        <f t="shared" si="2737"/>
        <v>0</v>
      </c>
      <c r="Z3658" s="117">
        <f t="shared" si="2738"/>
        <v>0</v>
      </c>
      <c r="AA3658" s="118"/>
      <c r="AB3658" s="118" t="str">
        <f t="shared" si="2739"/>
        <v/>
      </c>
      <c r="AC3658" s="712" t="str">
        <f>IF(AE3658="T2G","no charge",IF(AND(OR(PlanterYesMe="No",PlanterYesMe="N",PlanterYesMe="me"),H3658=""),"",IF(H3658="credit","NO install",IF(AND(K3658="",AE3658="me"),"EACH row",IF(AND(K3658="images",AE3658="me"),"EACH row",IF(D3658="","",IF(H3658="credit","",IF(AE3658="free","re-planting",IF(AE3658="me","   not ELP, by",IF(AND(OR(PlanterYesMe="Yes",PlanterYesMe="Y"),G3658&gt;0),(VLOOKUP(A3658,'Discount Lookup'!J:K,2)*G3658*(1-PlanterDiscount)*(1+PlanterDifficultyPercentage)),IF(AE3658="ELP",(VLOOKUP(A3658,'Discount Lookup'!J:K,2)*G3658*(1-PlanterDiscount)*(1+PlanterDifficultyPercentage)),IF(AE3658="free","re-planting",IF(G3658=0,"",IF(PlanterYesMe="",IF(AE3658="me","   not ELP, by",IF(AE3658="",IF(G3658&gt;0,(VLOOKUP(A3658,'Discount Lookup'!J:K,2)*G3658*(1-PlanterDiscount)*(1+PlanterDifficultyPercentage)),""),"")),"   not ELP, by"))))))))))))))</f>
        <v/>
      </c>
      <c r="AD3658" s="712"/>
      <c r="AE3658" s="513" t="str">
        <f t="shared" si="2740"/>
        <v/>
      </c>
      <c r="AF3658" s="713" t="str">
        <f t="shared" si="2741"/>
        <v/>
      </c>
      <c r="AG3658" s="713"/>
      <c r="AH3658" s="713"/>
      <c r="AI3658" s="112">
        <f>IF(H3658="credit",0,IF(AE3658="free",0,IF(AE3658="me",0,IF(G3658&gt;0,(VLOOKUP(A3658,'Discount Lookup'!J:K,2)*G3658),0))))</f>
        <v>0</v>
      </c>
      <c r="AJ3658" s="107" t="str">
        <f t="shared" ca="1" si="2742"/>
        <v/>
      </c>
      <c r="AK3658" s="714" t="str">
        <f t="shared" si="2743"/>
        <v/>
      </c>
      <c r="AL3658" s="714"/>
      <c r="AM3658" s="114" t="str">
        <f t="shared" si="2744"/>
        <v/>
      </c>
      <c r="AN3658" s="115"/>
      <c r="AO3658" s="116"/>
      <c r="AP3658" s="116"/>
      <c r="AQ3658" s="116"/>
      <c r="AR3658" s="116"/>
      <c r="AS3658" s="116"/>
      <c r="AT3658" s="116"/>
      <c r="AU3658" s="116"/>
      <c r="AV3658" s="78"/>
      <c r="AW3658" s="102"/>
      <c r="AX3658" s="78"/>
      <c r="AY3658" s="78"/>
      <c r="AZ3658" s="78"/>
      <c r="BA3658" s="78"/>
      <c r="BB3658" s="78"/>
      <c r="BC3658" s="78"/>
      <c r="BD3658" s="78"/>
      <c r="BE3658" s="465"/>
      <c r="BF3658" s="165" t="str">
        <f t="shared" si="2745"/>
        <v>https://www.google.com/search?tbm=isch&amp;q=Rohdea%20%3D%20Sacred%20Lady%20</v>
      </c>
      <c r="BG3658" s="165" t="str">
        <f t="shared" si="2746"/>
        <v>R</v>
      </c>
      <c r="BH3658" s="65"/>
      <c r="BI3658" s="65"/>
      <c r="BJ3658" s="65"/>
      <c r="BK3658" s="65"/>
      <c r="BL3658" s="99"/>
      <c r="BM3658" s="99"/>
      <c r="BN3658" s="99"/>
    </row>
    <row r="3659" spans="1:66" s="51" customFormat="1" ht="18" x14ac:dyDescent="0.25">
      <c r="A3659" s="507" t="s">
        <v>4076</v>
      </c>
      <c r="B3659" s="470"/>
      <c r="C3659" s="706"/>
      <c r="D3659" s="471" t="s">
        <v>4077</v>
      </c>
      <c r="E3659" s="472"/>
      <c r="F3659" s="472"/>
      <c r="G3659" s="472"/>
      <c r="H3659" s="622" t="s">
        <v>2462</v>
      </c>
      <c r="I3659" s="473" t="s">
        <v>431</v>
      </c>
      <c r="J3659" s="472"/>
      <c r="K3659" s="472"/>
      <c r="L3659" s="561"/>
      <c r="M3659" s="703" t="s">
        <v>5260</v>
      </c>
      <c r="N3659" s="692" t="str">
        <f>IF(AND(ISTEXT($A3659), ISERROR($A3659+0)), HYPERLINK($BF3659, "Images"), "")</f>
        <v>Images</v>
      </c>
      <c r="O3659" s="694" t="s">
        <v>5244</v>
      </c>
      <c r="P3659" s="475"/>
      <c r="Q3659" s="476"/>
      <c r="R3659" s="476"/>
      <c r="S3659" s="477"/>
      <c r="T3659" s="102">
        <f t="shared" si="2734"/>
        <v>0</v>
      </c>
      <c r="U3659" s="78" t="str">
        <f>IF(NOT(ISNUMBER(G3659)), "", VLOOKUP(A3659,'Discount Lookup'!D:E,2,FALSE)*G3659)</f>
        <v/>
      </c>
      <c r="V3659" s="78" t="str">
        <f>IF(NOT(ISNUMBER(G3659)), "", VLOOKUP(A3659,'Discount Lookup'!G:H,2,FALSE)*G3659)</f>
        <v/>
      </c>
      <c r="W3659" s="102">
        <f t="shared" si="2735"/>
        <v>0</v>
      </c>
      <c r="X3659" s="102" t="str">
        <f t="shared" si="2736"/>
        <v>Dark Green foliage</v>
      </c>
      <c r="Y3659" s="120" t="b">
        <f t="shared" si="2737"/>
        <v>0</v>
      </c>
      <c r="Z3659" s="117">
        <f t="shared" si="2738"/>
        <v>0</v>
      </c>
      <c r="AA3659" s="118"/>
      <c r="AB3659" s="118" t="str">
        <f t="shared" si="2739"/>
        <v/>
      </c>
      <c r="AC3659" s="712" t="str">
        <f>IF(AE3659="T2G","no charge",IF(AND(OR(PlanterYesMe="No",PlanterYesMe="N",PlanterYesMe="me"),H3659=""),"",IF(H3659="credit","NO install",IF(AND(K3659="",AE3659="me"),"EACH row",IF(AND(K3659="images",AE3659="me"),"EACH row",IF(D3659="","",IF(H3659="credit","",IF(AE3659="free","re-planting",IF(AE3659="me","   not ELP, by",IF(AND(OR(PlanterYesMe="Yes",PlanterYesMe="Y"),G3659&gt;0),(VLOOKUP(A3659,'Discount Lookup'!J:K,2)*G3659*(1-PlanterDiscount)*(1+PlanterDifficultyPercentage)),IF(AE3659="ELP",(VLOOKUP(A3659,'Discount Lookup'!J:K,2)*G3659*(1-PlanterDiscount)*(1+PlanterDifficultyPercentage)),IF(AE3659="free","re-planting",IF(G3659=0,"",IF(PlanterYesMe="",IF(AE3659="me","   not ELP, by",IF(AE3659="",IF(G3659&gt;0,(VLOOKUP(A3659,'Discount Lookup'!J:K,2)*G3659*(1-PlanterDiscount)*(1+PlanterDifficultyPercentage)),""),"")),"   not ELP, by"))))))))))))))</f>
        <v/>
      </c>
      <c r="AD3659" s="712"/>
      <c r="AE3659" s="513" t="str">
        <f t="shared" si="2740"/>
        <v/>
      </c>
      <c r="AF3659" s="713" t="str">
        <f t="shared" si="2741"/>
        <v/>
      </c>
      <c r="AG3659" s="713"/>
      <c r="AH3659" s="713"/>
      <c r="AI3659" s="112">
        <f>IF(H3659="credit",0,IF(AE3659="free",0,IF(AE3659="me",0,IF(G3659&gt;0,(VLOOKUP(A3659,'Discount Lookup'!J:K,2)*G3659),0))))</f>
        <v>0</v>
      </c>
      <c r="AJ3659" s="107" t="str">
        <f t="shared" ca="1" si="2742"/>
        <v/>
      </c>
      <c r="AK3659" s="714" t="str">
        <f t="shared" si="2743"/>
        <v/>
      </c>
      <c r="AL3659" s="714"/>
      <c r="AM3659" s="114" t="str">
        <f t="shared" si="2744"/>
        <v/>
      </c>
      <c r="AN3659" s="115"/>
      <c r="AO3659" s="116"/>
      <c r="AP3659" s="116"/>
      <c r="AQ3659" s="116"/>
      <c r="AR3659" s="116"/>
      <c r="AS3659" s="116"/>
      <c r="AT3659" s="116"/>
      <c r="AU3659" s="116"/>
      <c r="AV3659" s="78"/>
      <c r="AW3659" s="102"/>
      <c r="AX3659" s="78"/>
      <c r="AY3659" s="78"/>
      <c r="AZ3659" s="78"/>
      <c r="BA3659" s="78"/>
      <c r="BB3659" s="78"/>
      <c r="BC3659" s="78"/>
      <c r="BD3659" s="78"/>
      <c r="BE3659" s="465"/>
      <c r="BF3659" s="165" t="str">
        <f t="shared" si="2745"/>
        <v>https://www.google.com/search?tbm=isch&amp;q=Rohdea%20japonica%20Sacred%20Lily</v>
      </c>
      <c r="BG3659" s="165" t="str">
        <f t="shared" si="2746"/>
        <v>R</v>
      </c>
      <c r="BH3659" s="65"/>
      <c r="BI3659" s="65"/>
      <c r="BJ3659" s="65"/>
      <c r="BK3659" s="65"/>
      <c r="BL3659" s="99"/>
      <c r="BM3659" s="99"/>
      <c r="BN3659" s="99"/>
    </row>
    <row r="3660" spans="1:66" s="51" customFormat="1" ht="15.75" x14ac:dyDescent="0.25">
      <c r="A3660" s="478">
        <v>3</v>
      </c>
      <c r="B3660" s="479" t="s">
        <v>291</v>
      </c>
      <c r="C3660" s="480" t="s">
        <v>5014</v>
      </c>
      <c r="D3660" s="481" t="s">
        <v>293</v>
      </c>
      <c r="E3660" s="482">
        <v>34.950000000000003</v>
      </c>
      <c r="F3660" s="483" t="s">
        <v>292</v>
      </c>
      <c r="G3660" s="484">
        <v>0</v>
      </c>
      <c r="H3660" s="688" t="str">
        <f>IF(G3660=0,"",IF(F3660="Buy",IF(G3660=1,"plant","plants"),IF(F3660&gt;0.01,"warranty","Error")))</f>
        <v/>
      </c>
      <c r="I3660" s="485">
        <f>IF(H3660="free",0,IF(H3660="credit",((E3660*(F3660))*G3660*-1),IF(F3660="Buy",(E3660*G3660),((E3660*(1-F3660))*G3660))))</f>
        <v>0</v>
      </c>
      <c r="J3660" s="485">
        <f>IF(H3660="warranty",0,(I3660*(_xlfn.SINGLE(SalesTaxPercentage))))</f>
        <v>0</v>
      </c>
      <c r="K3660" s="715">
        <f t="shared" ref="K3660" si="2772">I3660+J3660</f>
        <v>0</v>
      </c>
      <c r="L3660" s="715"/>
      <c r="M3660" s="689" t="str">
        <f ca="1">IF(AND(G3660&gt;0,E3660=0),"WARNING - no PRICE inserted",IF(H3660="free","FREE ~ no charge this plant",IF(H3660="credit",CONCATENATE("-$",ROUND(K3660*(1-_xlfn.SINGLE(T2GDiscount))*-1,2)," CREDIT after discount"),IF(_xlfn.SINGLE(T2GDiscount)=0,"",IF(G3660=0,"",IF(F3660="Buy",CONCATENATE("$",ROUND(K3660*(1-_xlfn.SINGLE(T2GDiscount)),2)," with ",(_xlfn.SINGLE(T2GDiscount)*100),"% discount"),CONCATENATE("$",ROUND(K3660*(1-_xlfn.SINGLE(T2GDiscount)),2)," with ",((_xlfn.SINGLE(T2GDiscount)*100+F3660*100)-(_xlfn.SINGLE(T2GDiscount)*100*F3660)),IF(F3660&gt;0,"% discounts",IF(_xlfn.SINGLE(NoWarrantyDiscount)&gt;0,"% discounts","% discount")))))))))</f>
        <v/>
      </c>
      <c r="N3660" s="690"/>
      <c r="O3660" s="486"/>
      <c r="P3660" s="486"/>
      <c r="Q3660" s="486"/>
      <c r="R3660" s="486"/>
      <c r="S3660" s="486"/>
      <c r="T3660" s="102">
        <f t="shared" si="2734"/>
        <v>0</v>
      </c>
      <c r="U3660" s="78">
        <f>IF(NOT(ISNUMBER(G3660)), "", VLOOKUP(A3660,'Discount Lookup'!D:E,2,FALSE)*G3660)</f>
        <v>0</v>
      </c>
      <c r="V3660" s="78">
        <f>IF(NOT(ISNUMBER(G3660)), "", VLOOKUP(A3660,'Discount Lookup'!G:H,2,FALSE)*G3660)</f>
        <v>0</v>
      </c>
      <c r="W3660" s="102">
        <f t="shared" si="2735"/>
        <v>0</v>
      </c>
      <c r="X3660" s="102">
        <f t="shared" si="2736"/>
        <v>0</v>
      </c>
      <c r="Y3660" s="120" t="b">
        <f t="shared" si="2737"/>
        <v>0</v>
      </c>
      <c r="Z3660" s="117">
        <f t="shared" si="2738"/>
        <v>0</v>
      </c>
      <c r="AA3660" s="118"/>
      <c r="AB3660" s="118" t="str">
        <f t="shared" si="2739"/>
        <v/>
      </c>
      <c r="AC3660" s="712" t="str">
        <f>IF(AE3660="T2G","no charge",IF(AND(OR(PlanterYesMe="No",PlanterYesMe="N",PlanterYesMe="me"),H3660=""),"",IF(H3660="credit","NO install",IF(AND(K3660="",AE3660="me"),"EACH row",IF(AND(K3660="images",AE3660="me"),"EACH row",IF(D3660="","",IF(H3660="credit","",IF(AE3660="free","re-planting",IF(AE3660="me","   not ELP, by",IF(AND(OR(PlanterYesMe="Yes",PlanterYesMe="Y"),G3660&gt;0),(VLOOKUP(A3660,'Discount Lookup'!J:K,2)*G3660*(1-PlanterDiscount)*(1+PlanterDifficultyPercentage)),IF(AE3660="ELP",(VLOOKUP(A3660,'Discount Lookup'!J:K,2)*G3660*(1-PlanterDiscount)*(1+PlanterDifficultyPercentage)),IF(AE3660="free","re-planting",IF(G3660=0,"",IF(PlanterYesMe="",IF(AE3660="me","   not ELP, by",IF(AE3660="",IF(G3660&gt;0,(VLOOKUP(A3660,'Discount Lookup'!J:K,2)*G3660*(1-PlanterDiscount)*(1+PlanterDifficultyPercentage)),""),"")),"   not ELP, by"))))))))))))))</f>
        <v/>
      </c>
      <c r="AD3660" s="712"/>
      <c r="AE3660" s="513" t="str">
        <f t="shared" si="2740"/>
        <v/>
      </c>
      <c r="AF3660" s="713" t="str">
        <f t="shared" si="2741"/>
        <v/>
      </c>
      <c r="AG3660" s="713"/>
      <c r="AH3660" s="713"/>
      <c r="AI3660" s="112">
        <f>IF(H3660="credit",0,IF(AE3660="free",0,IF(AE3660="me",0,IF(G3660&gt;0,(VLOOKUP(A3660,'Discount Lookup'!J:K,2)*G3660),0))))</f>
        <v>0</v>
      </c>
      <c r="AJ3660" s="107" t="str">
        <f t="shared" ca="1" si="2742"/>
        <v/>
      </c>
      <c r="AK3660" s="714" t="str">
        <f t="shared" si="2743"/>
        <v/>
      </c>
      <c r="AL3660" s="714"/>
      <c r="AM3660" s="114" t="str">
        <f t="shared" si="2744"/>
        <v/>
      </c>
      <c r="AN3660" s="115"/>
      <c r="AO3660" s="116"/>
      <c r="AP3660" s="116"/>
      <c r="AQ3660" s="116"/>
      <c r="AR3660" s="116"/>
      <c r="AS3660" s="116"/>
      <c r="AT3660" s="116"/>
      <c r="AU3660" s="116"/>
      <c r="AV3660" s="78"/>
      <c r="AW3660" s="102"/>
      <c r="AX3660" s="78"/>
      <c r="AY3660" s="78"/>
      <c r="AZ3660" s="78"/>
      <c r="BA3660" s="78"/>
      <c r="BB3660" s="78"/>
      <c r="BC3660" s="78"/>
      <c r="BD3660" s="78"/>
      <c r="BE3660" s="465"/>
      <c r="BF3660" s="165" t="str">
        <f t="shared" si="2745"/>
        <v>https://www.google.com/search?tbm=isch&amp;q=3%20G6</v>
      </c>
      <c r="BG3660" s="165" t="str">
        <f t="shared" si="2746"/>
        <v>R</v>
      </c>
      <c r="BH3660" s="65"/>
      <c r="BI3660" s="65"/>
      <c r="BJ3660" s="65"/>
      <c r="BK3660" s="65"/>
      <c r="BL3660" s="99"/>
      <c r="BM3660" s="99"/>
      <c r="BN3660" s="99"/>
    </row>
    <row r="3661" spans="1:66" s="51" customFormat="1" ht="16.5" x14ac:dyDescent="0.25">
      <c r="A3661" s="508" t="s">
        <v>4078</v>
      </c>
      <c r="B3661" s="487"/>
      <c r="C3661" s="707"/>
      <c r="D3661" s="487"/>
      <c r="E3661" s="487"/>
      <c r="F3661" s="488"/>
      <c r="G3661" s="489"/>
      <c r="H3661" s="487"/>
      <c r="I3661" s="490"/>
      <c r="J3661" s="490"/>
      <c r="K3661" s="491"/>
      <c r="L3661" s="547"/>
      <c r="M3661" s="528"/>
      <c r="N3661" s="492"/>
      <c r="O3661" s="493"/>
      <c r="P3661" s="494"/>
      <c r="Q3661" s="492"/>
      <c r="R3661" s="492"/>
      <c r="S3661" s="699" t="s">
        <v>5280</v>
      </c>
      <c r="T3661" s="102">
        <f t="shared" si="2734"/>
        <v>0</v>
      </c>
      <c r="U3661" s="78" t="str">
        <f>IF(NOT(ISNUMBER(G3661)), "", VLOOKUP(A3661,'Discount Lookup'!D:E,2,FALSE)*G3661)</f>
        <v/>
      </c>
      <c r="V3661" s="78" t="str">
        <f>IF(NOT(ISNUMBER(G3661)), "", VLOOKUP(A3661,'Discount Lookup'!G:H,2,FALSE)*G3661)</f>
        <v/>
      </c>
      <c r="W3661" s="102">
        <f t="shared" si="2735"/>
        <v>0</v>
      </c>
      <c r="X3661" s="102">
        <f t="shared" si="2736"/>
        <v>0</v>
      </c>
      <c r="Y3661" s="120" t="b">
        <f t="shared" si="2737"/>
        <v>0</v>
      </c>
      <c r="Z3661" s="117">
        <f t="shared" si="2738"/>
        <v>0</v>
      </c>
      <c r="AA3661" s="118"/>
      <c r="AB3661" s="118" t="str">
        <f t="shared" si="2739"/>
        <v/>
      </c>
      <c r="AC3661" s="712" t="str">
        <f>IF(AE3661="T2G","no charge",IF(AND(OR(PlanterYesMe="No",PlanterYesMe="N",PlanterYesMe="me"),H3661=""),"",IF(H3661="credit","NO install",IF(AND(K3661="",AE3661="me"),"EACH row",IF(AND(K3661="images",AE3661="me"),"EACH row",IF(D3661="","",IF(H3661="credit","",IF(AE3661="free","re-planting",IF(AE3661="me","   not ELP, by",IF(AND(OR(PlanterYesMe="Yes",PlanterYesMe="Y"),G3661&gt;0),(VLOOKUP(A3661,'Discount Lookup'!J:K,2)*G3661*(1-PlanterDiscount)*(1+PlanterDifficultyPercentage)),IF(AE3661="ELP",(VLOOKUP(A3661,'Discount Lookup'!J:K,2)*G3661*(1-PlanterDiscount)*(1+PlanterDifficultyPercentage)),IF(AE3661="free","re-planting",IF(G3661=0,"",IF(PlanterYesMe="",IF(AE3661="me","   not ELP, by",IF(AE3661="",IF(G3661&gt;0,(VLOOKUP(A3661,'Discount Lookup'!J:K,2)*G3661*(1-PlanterDiscount)*(1+PlanterDifficultyPercentage)),""),"")),"   not ELP, by"))))))))))))))</f>
        <v/>
      </c>
      <c r="AD3661" s="712"/>
      <c r="AE3661" s="513" t="str">
        <f t="shared" si="2740"/>
        <v/>
      </c>
      <c r="AF3661" s="713" t="str">
        <f t="shared" si="2741"/>
        <v/>
      </c>
      <c r="AG3661" s="713"/>
      <c r="AH3661" s="713"/>
      <c r="AI3661" s="112">
        <f>IF(H3661="credit",0,IF(AE3661="free",0,IF(AE3661="me",0,IF(G3661&gt;0,(VLOOKUP(A3661,'Discount Lookup'!J:K,2)*G3661),0))))</f>
        <v>0</v>
      </c>
      <c r="AJ3661" s="107" t="str">
        <f t="shared" ca="1" si="2742"/>
        <v/>
      </c>
      <c r="AK3661" s="714" t="str">
        <f t="shared" si="2743"/>
        <v/>
      </c>
      <c r="AL3661" s="714"/>
      <c r="AM3661" s="114" t="str">
        <f t="shared" si="2744"/>
        <v/>
      </c>
      <c r="AN3661" s="115"/>
      <c r="AO3661" s="116"/>
      <c r="AP3661" s="116"/>
      <c r="AQ3661" s="116"/>
      <c r="AR3661" s="116"/>
      <c r="AS3661" s="116"/>
      <c r="AT3661" s="116"/>
      <c r="AU3661" s="116"/>
      <c r="AV3661" s="78"/>
      <c r="AW3661" s="102"/>
      <c r="AX3661" s="78"/>
      <c r="AY3661" s="78"/>
      <c r="AZ3661" s="78"/>
      <c r="BA3661" s="78"/>
      <c r="BB3661" s="78"/>
      <c r="BC3661" s="78"/>
      <c r="BD3661" s="78"/>
      <c r="BE3661" s="465"/>
      <c r="BF3661" s="165" t="str">
        <f t="shared" si="2745"/>
        <v>https://www.google.com/search?tbm=isch&amp;q=Sacred%20Lily%20is%20notable%20for%20its%20tough%2C%20strap-like%2C%20evergreen%20foliage%20that%20forms%20a%20beautiful%20clump%20and%20its%20persistent%20Red%20berries%20</v>
      </c>
      <c r="BG3661" s="165" t="str">
        <f t="shared" si="2746"/>
        <v>S</v>
      </c>
      <c r="BH3661" s="65"/>
      <c r="BI3661" s="65"/>
      <c r="BJ3661" s="65"/>
      <c r="BK3661" s="65"/>
      <c r="BL3661" s="99"/>
      <c r="BM3661" s="99"/>
      <c r="BN3661" s="99"/>
    </row>
    <row r="3662" spans="1:66" s="51" customFormat="1" ht="19.5" thickBot="1" x14ac:dyDescent="0.3">
      <c r="A3662" s="686" t="s">
        <v>721</v>
      </c>
      <c r="B3662" s="73"/>
      <c r="C3662" s="708"/>
      <c r="D3662" s="73"/>
      <c r="E3662" s="73"/>
      <c r="F3662" s="496"/>
      <c r="G3662" s="73"/>
      <c r="H3662" s="73"/>
      <c r="I3662" s="73"/>
      <c r="J3662" s="497" t="s">
        <v>357</v>
      </c>
      <c r="K3662" s="498"/>
      <c r="L3662" s="562"/>
      <c r="M3662" s="73"/>
      <c r="N3662"/>
      <c r="O3662"/>
      <c r="P3662"/>
      <c r="Q3662"/>
      <c r="R3662"/>
      <c r="S3662"/>
      <c r="T3662" s="102">
        <f t="shared" si="2734"/>
        <v>0</v>
      </c>
      <c r="U3662" s="78" t="str">
        <f>IF(NOT(ISNUMBER(G3662)), "", VLOOKUP(A3662,'Discount Lookup'!D:E,2,FALSE)*G3662)</f>
        <v/>
      </c>
      <c r="V3662" s="78" t="str">
        <f>IF(NOT(ISNUMBER(G3662)), "", VLOOKUP(A3662,'Discount Lookup'!G:H,2,FALSE)*G3662)</f>
        <v/>
      </c>
      <c r="W3662" s="102">
        <f t="shared" si="2735"/>
        <v>0</v>
      </c>
      <c r="X3662" s="102">
        <f t="shared" si="2736"/>
        <v>0</v>
      </c>
      <c r="Y3662" s="120" t="b">
        <f t="shared" si="2737"/>
        <v>0</v>
      </c>
      <c r="Z3662" s="117">
        <f t="shared" si="2738"/>
        <v>0</v>
      </c>
      <c r="AA3662" s="118"/>
      <c r="AB3662" s="118" t="str">
        <f t="shared" si="2739"/>
        <v/>
      </c>
      <c r="AC3662" s="712" t="str">
        <f>IF(AE3662="T2G","no charge",IF(AND(OR(PlanterYesMe="No",PlanterYesMe="N",PlanterYesMe="me"),H3662=""),"",IF(H3662="credit","NO install",IF(AND(K3662="",AE3662="me"),"EACH row",IF(AND(K3662="images",AE3662="me"),"EACH row",IF(D3662="","",IF(H3662="credit","",IF(AE3662="free","re-planting",IF(AE3662="me","   not ELP, by",IF(AND(OR(PlanterYesMe="Yes",PlanterYesMe="Y"),G3662&gt;0),(VLOOKUP(A3662,'Discount Lookup'!J:K,2)*G3662*(1-PlanterDiscount)*(1+PlanterDifficultyPercentage)),IF(AE3662="ELP",(VLOOKUP(A3662,'Discount Lookup'!J:K,2)*G3662*(1-PlanterDiscount)*(1+PlanterDifficultyPercentage)),IF(AE3662="free","re-planting",IF(G3662=0,"",IF(PlanterYesMe="",IF(AE3662="me","   not ELP, by",IF(AE3662="",IF(G3662&gt;0,(VLOOKUP(A3662,'Discount Lookup'!J:K,2)*G3662*(1-PlanterDiscount)*(1+PlanterDifficultyPercentage)),""),"")),"   not ELP, by"))))))))))))))</f>
        <v/>
      </c>
      <c r="AD3662" s="712"/>
      <c r="AE3662" s="513" t="str">
        <f t="shared" si="2740"/>
        <v/>
      </c>
      <c r="AF3662" s="713" t="str">
        <f t="shared" si="2741"/>
        <v/>
      </c>
      <c r="AG3662" s="713"/>
      <c r="AH3662" s="713"/>
      <c r="AI3662" s="112">
        <f>IF(H3662="credit",0,IF(AE3662="free",0,IF(AE3662="me",0,IF(G3662&gt;0,(VLOOKUP(A3662,'Discount Lookup'!J:K,2)*G3662),0))))</f>
        <v>0</v>
      </c>
      <c r="AJ3662" s="107" t="str">
        <f t="shared" ca="1" si="2742"/>
        <v/>
      </c>
      <c r="AK3662" s="714" t="str">
        <f t="shared" si="2743"/>
        <v/>
      </c>
      <c r="AL3662" s="714"/>
      <c r="AM3662" s="114" t="str">
        <f t="shared" si="2744"/>
        <v/>
      </c>
      <c r="AN3662" s="115"/>
      <c r="AO3662" s="116"/>
      <c r="AP3662" s="116"/>
      <c r="AQ3662" s="116"/>
      <c r="AR3662" s="116"/>
      <c r="AS3662" s="116"/>
      <c r="AT3662" s="116"/>
      <c r="AU3662" s="116"/>
      <c r="AV3662" s="78"/>
      <c r="AW3662" s="102"/>
      <c r="AX3662" s="78"/>
      <c r="AY3662" s="78"/>
      <c r="AZ3662" s="78"/>
      <c r="BA3662" s="78"/>
      <c r="BB3662" s="78"/>
      <c r="BC3662" s="78"/>
      <c r="BD3662" s="78"/>
      <c r="BE3662" s="465"/>
      <c r="BF3662" s="165" t="str">
        <f t="shared" si="2745"/>
        <v>https://www.google.com/search?tbm=isch&amp;q=Rosa%20%3D%20Rose%20</v>
      </c>
      <c r="BG3662" s="165" t="str">
        <f t="shared" si="2746"/>
        <v>R</v>
      </c>
      <c r="BH3662" s="65"/>
      <c r="BI3662" s="65"/>
      <c r="BJ3662" s="65"/>
      <c r="BK3662" s="65"/>
      <c r="BL3662" s="99"/>
      <c r="BM3662" s="99"/>
      <c r="BN3662" s="99"/>
    </row>
    <row r="3663" spans="1:66" s="51" customFormat="1" ht="18" x14ac:dyDescent="0.25">
      <c r="A3663" s="623" t="s">
        <v>4079</v>
      </c>
      <c r="B3663" s="624"/>
      <c r="C3663" s="709"/>
      <c r="D3663" s="625" t="s">
        <v>4080</v>
      </c>
      <c r="E3663" s="626"/>
      <c r="F3663" s="626"/>
      <c r="G3663" s="626"/>
      <c r="H3663" s="622" t="s">
        <v>339</v>
      </c>
      <c r="I3663" s="627" t="s">
        <v>1441</v>
      </c>
      <c r="J3663" s="628"/>
      <c r="K3663" s="628"/>
      <c r="L3663" s="629"/>
      <c r="M3663" s="700" t="s">
        <v>5241</v>
      </c>
      <c r="N3663" s="693" t="str">
        <f>IF(AND(ISTEXT($A3663), ISERROR($A3663+0)), HYPERLINK($BF3663, "Images"), "")</f>
        <v>Images</v>
      </c>
      <c r="O3663" s="695" t="s">
        <v>5264</v>
      </c>
      <c r="P3663" s="630"/>
      <c r="Q3663" s="631"/>
      <c r="R3663" s="632"/>
      <c r="S3663" s="633"/>
      <c r="T3663" s="102">
        <f t="shared" si="2734"/>
        <v>0</v>
      </c>
      <c r="U3663" s="78" t="str">
        <f>IF(NOT(ISNUMBER(G3663)), "", VLOOKUP(A3663,'Discount Lookup'!D:E,2,FALSE)*G3663)</f>
        <v/>
      </c>
      <c r="V3663" s="78" t="str">
        <f>IF(NOT(ISNUMBER(G3663)), "", VLOOKUP(A3663,'Discount Lookup'!G:H,2,FALSE)*G3663)</f>
        <v/>
      </c>
      <c r="W3663" s="102">
        <f t="shared" si="2735"/>
        <v>0</v>
      </c>
      <c r="X3663" s="102" t="str">
        <f t="shared" si="2736"/>
        <v>Yellow bloom</v>
      </c>
      <c r="Y3663" s="120" t="b">
        <f t="shared" si="2737"/>
        <v>0</v>
      </c>
      <c r="Z3663" s="117">
        <f t="shared" si="2738"/>
        <v>0</v>
      </c>
      <c r="AA3663" s="118"/>
      <c r="AB3663" s="118" t="str">
        <f t="shared" si="2739"/>
        <v/>
      </c>
      <c r="AC3663" s="712" t="str">
        <f>IF(AE3663="T2G","no charge",IF(AND(OR(PlanterYesMe="No",PlanterYesMe="N",PlanterYesMe="me"),H3663=""),"",IF(H3663="credit","NO install",IF(AND(K3663="",AE3663="me"),"EACH row",IF(AND(K3663="images",AE3663="me"),"EACH row",IF(D3663="","",IF(H3663="credit","",IF(AE3663="free","re-planting",IF(AE3663="me","   not ELP, by",IF(AND(OR(PlanterYesMe="Yes",PlanterYesMe="Y"),G3663&gt;0),(VLOOKUP(A3663,'Discount Lookup'!J:K,2)*G3663*(1-PlanterDiscount)*(1+PlanterDifficultyPercentage)),IF(AE3663="ELP",(VLOOKUP(A3663,'Discount Lookup'!J:K,2)*G3663*(1-PlanterDiscount)*(1+PlanterDifficultyPercentage)),IF(AE3663="free","re-planting",IF(G3663=0,"",IF(PlanterYesMe="",IF(AE3663="me","   not ELP, by",IF(AE3663="",IF(G3663&gt;0,(VLOOKUP(A3663,'Discount Lookup'!J:K,2)*G3663*(1-PlanterDiscount)*(1+PlanterDifficultyPercentage)),""),"")),"   not ELP, by"))))))))))))))</f>
        <v/>
      </c>
      <c r="AD3663" s="712"/>
      <c r="AE3663" s="513" t="str">
        <f t="shared" si="2740"/>
        <v/>
      </c>
      <c r="AF3663" s="713" t="str">
        <f t="shared" si="2741"/>
        <v/>
      </c>
      <c r="AG3663" s="713"/>
      <c r="AH3663" s="713"/>
      <c r="AI3663" s="112">
        <f>IF(H3663="credit",0,IF(AE3663="free",0,IF(AE3663="me",0,IF(G3663&gt;0,(VLOOKUP(A3663,'Discount Lookup'!J:K,2)*G3663),0))))</f>
        <v>0</v>
      </c>
      <c r="AJ3663" s="107" t="str">
        <f t="shared" ca="1" si="2742"/>
        <v/>
      </c>
      <c r="AK3663" s="714" t="str">
        <f t="shared" si="2743"/>
        <v/>
      </c>
      <c r="AL3663" s="714"/>
      <c r="AM3663" s="114" t="str">
        <f t="shared" si="2744"/>
        <v/>
      </c>
      <c r="AN3663" s="115"/>
      <c r="AO3663" s="116"/>
      <c r="AP3663" s="116"/>
      <c r="AQ3663" s="116"/>
      <c r="AR3663" s="116"/>
      <c r="AS3663" s="116"/>
      <c r="AT3663" s="116"/>
      <c r="AU3663" s="116"/>
      <c r="AV3663" s="78"/>
      <c r="AW3663" s="102"/>
      <c r="AX3663" s="78"/>
      <c r="AY3663" s="78"/>
      <c r="AZ3663" s="78"/>
      <c r="BA3663" s="78"/>
      <c r="BB3663" s="78"/>
      <c r="BC3663" s="78"/>
      <c r="BD3663" s="78"/>
      <c r="BE3663" s="465"/>
      <c r="BF3663" s="165" t="str">
        <f t="shared" si="2745"/>
        <v>https://www.google.com/search?tbm=isch&amp;q=Rosa%20banksiae%20%27Lutea%27%20Lady%20Banks%20Climbing%20Rose</v>
      </c>
      <c r="BG3663" s="165" t="str">
        <f t="shared" si="2746"/>
        <v>R</v>
      </c>
      <c r="BH3663" s="65"/>
      <c r="BI3663" s="65"/>
      <c r="BJ3663" s="65"/>
      <c r="BK3663" s="65"/>
      <c r="BL3663" s="99"/>
      <c r="BM3663" s="99"/>
      <c r="BN3663" s="99"/>
    </row>
    <row r="3664" spans="1:66" s="51" customFormat="1" ht="15.75" x14ac:dyDescent="0.25">
      <c r="A3664" s="634">
        <v>3</v>
      </c>
      <c r="B3664" s="635" t="s">
        <v>291</v>
      </c>
      <c r="C3664" s="636"/>
      <c r="D3664" s="637" t="s">
        <v>310</v>
      </c>
      <c r="E3664" s="638">
        <v>30.95</v>
      </c>
      <c r="F3664" s="639" t="s">
        <v>292</v>
      </c>
      <c r="G3664" s="484">
        <v>0</v>
      </c>
      <c r="H3664" s="691" t="str">
        <f>IF(G3664=0,"",IF(F3664="Buy",IF(G3664=1,"plant","plants"),IF(F3664&gt;0.01,"warranty","Error")))</f>
        <v/>
      </c>
      <c r="I3664" s="640">
        <f>IF(H3664="free",0,IF(H3664="credit",((E3664*(F3664))*G3664*-1),IF(F3664="Buy",(E3664*G3664),((E3664*(1-F3664))*G3664))))</f>
        <v>0</v>
      </c>
      <c r="J3664" s="640">
        <f>IF(H3664="warranty",0,(I3664*(_xlfn.SINGLE(SalesTaxPercentage))))</f>
        <v>0</v>
      </c>
      <c r="K3664" s="716">
        <f t="shared" ref="K3664" si="2773">I3664+J3664</f>
        <v>0</v>
      </c>
      <c r="L3664" s="716"/>
      <c r="M3664" s="689" t="str">
        <f ca="1">IF(AND(G3664&gt;0,E3664=0),"WARNING - no PRICE inserted",IF(H3664="free","FREE ~ no charge this plant",IF(H3664="credit",CONCATENATE("-$",ROUND(K3664*(1-_xlfn.SINGLE(T2GDiscount))*-1,2)," CREDIT after discount"),IF(_xlfn.SINGLE(T2GDiscount)=0,"",IF(G3664=0,"",IF(F3664="Buy",CONCATENATE("$",ROUND(K3664*(1-_xlfn.SINGLE(T2GDiscount)),2)," with ",(_xlfn.SINGLE(T2GDiscount)*100),"% discount"),CONCATENATE("$",ROUND(K3664*(1-_xlfn.SINGLE(T2GDiscount)),2)," with ",((_xlfn.SINGLE(T2GDiscount)*100+F3664*100)-(_xlfn.SINGLE(T2GDiscount)*100*F3664)),IF(F3664&gt;0,"% discounts",IF(_xlfn.SINGLE(NoWarrantyDiscount)&gt;0,"% discounts","% discount")))))))))</f>
        <v/>
      </c>
      <c r="N3664" s="690"/>
      <c r="O3664" s="486"/>
      <c r="P3664" s="486"/>
      <c r="Q3664" s="486"/>
      <c r="R3664" s="486"/>
      <c r="S3664" s="486"/>
      <c r="T3664" s="102">
        <f t="shared" si="2734"/>
        <v>0</v>
      </c>
      <c r="U3664" s="78">
        <f>IF(NOT(ISNUMBER(G3664)), "", VLOOKUP(A3664,'Discount Lookup'!D:E,2,FALSE)*G3664)</f>
        <v>0</v>
      </c>
      <c r="V3664" s="78">
        <f>IF(NOT(ISNUMBER(G3664)), "", VLOOKUP(A3664,'Discount Lookup'!G:H,2,FALSE)*G3664)</f>
        <v>0</v>
      </c>
      <c r="W3664" s="102">
        <f t="shared" si="2735"/>
        <v>0</v>
      </c>
      <c r="X3664" s="102">
        <f t="shared" si="2736"/>
        <v>0</v>
      </c>
      <c r="Y3664" s="120" t="b">
        <f t="shared" si="2737"/>
        <v>0</v>
      </c>
      <c r="Z3664" s="117">
        <f t="shared" si="2738"/>
        <v>0</v>
      </c>
      <c r="AA3664" s="118"/>
      <c r="AB3664" s="118" t="str">
        <f t="shared" si="2739"/>
        <v/>
      </c>
      <c r="AC3664" s="712" t="str">
        <f>IF(AE3664="T2G","no charge",IF(AND(OR(PlanterYesMe="No",PlanterYesMe="N",PlanterYesMe="me"),H3664=""),"",IF(H3664="credit","NO install",IF(AND(K3664="",AE3664="me"),"EACH row",IF(AND(K3664="images",AE3664="me"),"EACH row",IF(D3664="","",IF(H3664="credit","",IF(AE3664="free","re-planting",IF(AE3664="me","   not ELP, by",IF(AND(OR(PlanterYesMe="Yes",PlanterYesMe="Y"),G3664&gt;0),(VLOOKUP(A3664,'Discount Lookup'!J:K,2)*G3664*(1-PlanterDiscount)*(1+PlanterDifficultyPercentage)),IF(AE3664="ELP",(VLOOKUP(A3664,'Discount Lookup'!J:K,2)*G3664*(1-PlanterDiscount)*(1+PlanterDifficultyPercentage)),IF(AE3664="free","re-planting",IF(G3664=0,"",IF(PlanterYesMe="",IF(AE3664="me","   not ELP, by",IF(AE3664="",IF(G3664&gt;0,(VLOOKUP(A3664,'Discount Lookup'!J:K,2)*G3664*(1-PlanterDiscount)*(1+PlanterDifficultyPercentage)),""),"")),"   not ELP, by"))))))))))))))</f>
        <v/>
      </c>
      <c r="AD3664" s="712"/>
      <c r="AE3664" s="513" t="str">
        <f t="shared" si="2740"/>
        <v/>
      </c>
      <c r="AF3664" s="713" t="str">
        <f t="shared" si="2741"/>
        <v/>
      </c>
      <c r="AG3664" s="713"/>
      <c r="AH3664" s="713"/>
      <c r="AI3664" s="112">
        <f>IF(H3664="credit",0,IF(AE3664="free",0,IF(AE3664="me",0,IF(G3664&gt;0,(VLOOKUP(A3664,'Discount Lookup'!J:K,2)*G3664),0))))</f>
        <v>0</v>
      </c>
      <c r="AJ3664" s="107" t="str">
        <f t="shared" ca="1" si="2742"/>
        <v/>
      </c>
      <c r="AK3664" s="714" t="str">
        <f t="shared" si="2743"/>
        <v/>
      </c>
      <c r="AL3664" s="714"/>
      <c r="AM3664" s="114" t="str">
        <f t="shared" si="2744"/>
        <v/>
      </c>
      <c r="AN3664" s="115"/>
      <c r="AO3664" s="116"/>
      <c r="AP3664" s="116"/>
      <c r="AQ3664" s="116"/>
      <c r="AR3664" s="116"/>
      <c r="AS3664" s="116"/>
      <c r="AT3664" s="116"/>
      <c r="AU3664" s="116"/>
      <c r="AV3664" s="78"/>
      <c r="AW3664" s="102"/>
      <c r="AX3664" s="78"/>
      <c r="AY3664" s="78"/>
      <c r="AZ3664" s="78"/>
      <c r="BA3664" s="78"/>
      <c r="BB3664" s="78"/>
      <c r="BC3664" s="78"/>
      <c r="BD3664" s="78"/>
      <c r="BE3664" s="465"/>
      <c r="BF3664" s="165" t="str">
        <f t="shared" si="2745"/>
        <v>https://www.google.com/search?tbm=isch&amp;q=3%20G1</v>
      </c>
      <c r="BG3664" s="165" t="str">
        <f t="shared" si="2746"/>
        <v>R</v>
      </c>
      <c r="BH3664" s="65"/>
      <c r="BI3664" s="65"/>
      <c r="BJ3664" s="65"/>
      <c r="BK3664" s="65"/>
      <c r="BL3664" s="99"/>
      <c r="BM3664" s="99"/>
      <c r="BN3664" s="99"/>
    </row>
    <row r="3665" spans="1:66" s="51" customFormat="1" ht="15.75" x14ac:dyDescent="0.25">
      <c r="A3665" s="634">
        <v>3</v>
      </c>
      <c r="B3665" s="635" t="s">
        <v>291</v>
      </c>
      <c r="C3665" s="636" t="s">
        <v>4081</v>
      </c>
      <c r="D3665" s="637" t="s">
        <v>329</v>
      </c>
      <c r="E3665" s="638">
        <v>34.950000000000003</v>
      </c>
      <c r="F3665" s="639" t="s">
        <v>292</v>
      </c>
      <c r="G3665" s="484">
        <v>0</v>
      </c>
      <c r="H3665" s="691" t="str">
        <f>IF(G3665=0,"",IF(F3665="Buy",IF(G3665=1,"plant","plants"),IF(F3665&gt;0.01,"warranty","Error")))</f>
        <v/>
      </c>
      <c r="I3665" s="640">
        <f>IF(H3665="free",0,IF(H3665="credit",((E3665*(F3665))*G3665*-1),IF(F3665="Buy",(E3665*G3665),((E3665*(1-F3665))*G3665))))</f>
        <v>0</v>
      </c>
      <c r="J3665" s="640">
        <f>IF(H3665="warranty",0,(I3665*(_xlfn.SINGLE(SalesTaxPercentage))))</f>
        <v>0</v>
      </c>
      <c r="K3665" s="716">
        <f t="shared" ref="K3665" si="2774">I3665+J3665</f>
        <v>0</v>
      </c>
      <c r="L3665" s="716"/>
      <c r="M3665" s="689" t="str">
        <f ca="1">IF(AND(G3665&gt;0,E3665=0),"WARNING - no PRICE inserted",IF(H3665="free","FREE ~ no charge this plant",IF(H3665="credit",CONCATENATE("-$",ROUND(K3665*(1-_xlfn.SINGLE(T2GDiscount))*-1,2)," CREDIT after discount"),IF(_xlfn.SINGLE(T2GDiscount)=0,"",IF(G3665=0,"",IF(F3665="Buy",CONCATENATE("$",ROUND(K3665*(1-_xlfn.SINGLE(T2GDiscount)),2)," with ",(_xlfn.SINGLE(T2GDiscount)*100),"% discount"),CONCATENATE("$",ROUND(K3665*(1-_xlfn.SINGLE(T2GDiscount)),2)," with ",((_xlfn.SINGLE(T2GDiscount)*100+F3665*100)-(_xlfn.SINGLE(T2GDiscount)*100*F3665)),IF(F3665&gt;0,"% discounts",IF(_xlfn.SINGLE(NoWarrantyDiscount)&gt;0,"% discounts","% discount")))))))))</f>
        <v/>
      </c>
      <c r="N3665" s="690"/>
      <c r="O3665" s="486"/>
      <c r="P3665" s="486"/>
      <c r="Q3665" s="486"/>
      <c r="R3665" s="486"/>
      <c r="S3665" s="486"/>
      <c r="T3665" s="102">
        <f t="shared" si="2734"/>
        <v>0</v>
      </c>
      <c r="U3665" s="78">
        <f>IF(NOT(ISNUMBER(G3665)), "", VLOOKUP(A3665,'Discount Lookup'!D:E,2,FALSE)*G3665)</f>
        <v>0</v>
      </c>
      <c r="V3665" s="78">
        <f>IF(NOT(ISNUMBER(G3665)), "", VLOOKUP(A3665,'Discount Lookup'!G:H,2,FALSE)*G3665)</f>
        <v>0</v>
      </c>
      <c r="W3665" s="102">
        <f t="shared" si="2735"/>
        <v>0</v>
      </c>
      <c r="X3665" s="102">
        <f t="shared" si="2736"/>
        <v>0</v>
      </c>
      <c r="Y3665" s="120" t="b">
        <f t="shared" si="2737"/>
        <v>0</v>
      </c>
      <c r="Z3665" s="117">
        <f t="shared" si="2738"/>
        <v>0</v>
      </c>
      <c r="AA3665" s="118"/>
      <c r="AB3665" s="118" t="str">
        <f t="shared" si="2739"/>
        <v/>
      </c>
      <c r="AC3665" s="712" t="str">
        <f>IF(AE3665="T2G","no charge",IF(AND(OR(PlanterYesMe="No",PlanterYesMe="N",PlanterYesMe="me"),H3665=""),"",IF(H3665="credit","NO install",IF(AND(K3665="",AE3665="me"),"EACH row",IF(AND(K3665="images",AE3665="me"),"EACH row",IF(D3665="","",IF(H3665="credit","",IF(AE3665="free","re-planting",IF(AE3665="me","   not ELP, by",IF(AND(OR(PlanterYesMe="Yes",PlanterYesMe="Y"),G3665&gt;0),(VLOOKUP(A3665,'Discount Lookup'!J:K,2)*G3665*(1-PlanterDiscount)*(1+PlanterDifficultyPercentage)),IF(AE3665="ELP",(VLOOKUP(A3665,'Discount Lookup'!J:K,2)*G3665*(1-PlanterDiscount)*(1+PlanterDifficultyPercentage)),IF(AE3665="free","re-planting",IF(G3665=0,"",IF(PlanterYesMe="",IF(AE3665="me","   not ELP, by",IF(AE3665="",IF(G3665&gt;0,(VLOOKUP(A3665,'Discount Lookup'!J:K,2)*G3665*(1-PlanterDiscount)*(1+PlanterDifficultyPercentage)),""),"")),"   not ELP, by"))))))))))))))</f>
        <v/>
      </c>
      <c r="AD3665" s="712"/>
      <c r="AE3665" s="513" t="str">
        <f t="shared" si="2740"/>
        <v/>
      </c>
      <c r="AF3665" s="713" t="str">
        <f t="shared" si="2741"/>
        <v/>
      </c>
      <c r="AG3665" s="713"/>
      <c r="AH3665" s="713"/>
      <c r="AI3665" s="112">
        <f>IF(H3665="credit",0,IF(AE3665="free",0,IF(AE3665="me",0,IF(G3665&gt;0,(VLOOKUP(A3665,'Discount Lookup'!J:K,2)*G3665),0))))</f>
        <v>0</v>
      </c>
      <c r="AJ3665" s="107" t="str">
        <f t="shared" ca="1" si="2742"/>
        <v/>
      </c>
      <c r="AK3665" s="714" t="str">
        <f t="shared" si="2743"/>
        <v/>
      </c>
      <c r="AL3665" s="714"/>
      <c r="AM3665" s="114" t="str">
        <f t="shared" si="2744"/>
        <v/>
      </c>
      <c r="AN3665" s="115"/>
      <c r="AO3665" s="116"/>
      <c r="AP3665" s="116"/>
      <c r="AQ3665" s="116"/>
      <c r="AR3665" s="116"/>
      <c r="AS3665" s="116"/>
      <c r="AT3665" s="116"/>
      <c r="AU3665" s="116"/>
      <c r="AV3665" s="78"/>
      <c r="AW3665" s="102"/>
      <c r="AX3665" s="78"/>
      <c r="AY3665" s="78"/>
      <c r="AZ3665" s="78"/>
      <c r="BA3665" s="78"/>
      <c r="BB3665" s="78"/>
      <c r="BC3665" s="78"/>
      <c r="BD3665" s="78"/>
      <c r="BE3665" s="465"/>
      <c r="BF3665" s="165" t="str">
        <f t="shared" si="2745"/>
        <v>https://www.google.com/search?tbm=isch&amp;q=3%20G2</v>
      </c>
      <c r="BG3665" s="165" t="str">
        <f t="shared" si="2746"/>
        <v>R</v>
      </c>
      <c r="BH3665" s="65"/>
      <c r="BI3665" s="65"/>
      <c r="BJ3665" s="65"/>
      <c r="BK3665" s="65"/>
      <c r="BL3665" s="99"/>
      <c r="BM3665" s="99"/>
      <c r="BN3665" s="99"/>
    </row>
    <row r="3666" spans="1:66" s="51" customFormat="1" ht="17.25" thickBot="1" x14ac:dyDescent="0.3">
      <c r="A3666" s="641" t="s">
        <v>4082</v>
      </c>
      <c r="B3666" s="642"/>
      <c r="C3666" s="710"/>
      <c r="D3666" s="643"/>
      <c r="E3666" s="643"/>
      <c r="F3666" s="644"/>
      <c r="G3666" s="645"/>
      <c r="H3666" s="646"/>
      <c r="I3666" s="647"/>
      <c r="J3666" s="648"/>
      <c r="K3666" s="649"/>
      <c r="L3666" s="650"/>
      <c r="M3666" s="650"/>
      <c r="N3666" s="644"/>
      <c r="O3666" s="644"/>
      <c r="P3666" s="644"/>
      <c r="Q3666" s="644"/>
      <c r="R3666" s="644"/>
      <c r="S3666" s="701" t="s">
        <v>5271</v>
      </c>
      <c r="T3666" s="102">
        <f t="shared" si="2734"/>
        <v>0</v>
      </c>
      <c r="U3666" s="78" t="str">
        <f>IF(NOT(ISNUMBER(G3666)), "", VLOOKUP(A3666,'Discount Lookup'!D:E,2,FALSE)*G3666)</f>
        <v/>
      </c>
      <c r="V3666" s="78" t="str">
        <f>IF(NOT(ISNUMBER(G3666)), "", VLOOKUP(A3666,'Discount Lookup'!G:H,2,FALSE)*G3666)</f>
        <v/>
      </c>
      <c r="W3666" s="102">
        <f t="shared" si="2735"/>
        <v>0</v>
      </c>
      <c r="X3666" s="102">
        <f t="shared" si="2736"/>
        <v>0</v>
      </c>
      <c r="Y3666" s="120" t="b">
        <f t="shared" si="2737"/>
        <v>0</v>
      </c>
      <c r="Z3666" s="117">
        <f t="shared" si="2738"/>
        <v>0</v>
      </c>
      <c r="AA3666" s="118"/>
      <c r="AB3666" s="118" t="str">
        <f t="shared" si="2739"/>
        <v/>
      </c>
      <c r="AC3666" s="712" t="str">
        <f>IF(AE3666="T2G","no charge",IF(AND(OR(PlanterYesMe="No",PlanterYesMe="N",PlanterYesMe="me"),H3666=""),"",IF(H3666="credit","NO install",IF(AND(K3666="",AE3666="me"),"EACH row",IF(AND(K3666="images",AE3666="me"),"EACH row",IF(D3666="","",IF(H3666="credit","",IF(AE3666="free","re-planting",IF(AE3666="me","   not ELP, by",IF(AND(OR(PlanterYesMe="Yes",PlanterYesMe="Y"),G3666&gt;0),(VLOOKUP(A3666,'Discount Lookup'!J:K,2)*G3666*(1-PlanterDiscount)*(1+PlanterDifficultyPercentage)),IF(AE3666="ELP",(VLOOKUP(A3666,'Discount Lookup'!J:K,2)*G3666*(1-PlanterDiscount)*(1+PlanterDifficultyPercentage)),IF(AE3666="free","re-planting",IF(G3666=0,"",IF(PlanterYesMe="",IF(AE3666="me","   not ELP, by",IF(AE3666="",IF(G3666&gt;0,(VLOOKUP(A3666,'Discount Lookup'!J:K,2)*G3666*(1-PlanterDiscount)*(1+PlanterDifficultyPercentage)),""),"")),"   not ELP, by"))))))))))))))</f>
        <v/>
      </c>
      <c r="AD3666" s="712"/>
      <c r="AE3666" s="513" t="str">
        <f t="shared" si="2740"/>
        <v/>
      </c>
      <c r="AF3666" s="713" t="str">
        <f t="shared" si="2741"/>
        <v/>
      </c>
      <c r="AG3666" s="713"/>
      <c r="AH3666" s="713"/>
      <c r="AI3666" s="112">
        <f>IF(H3666="credit",0,IF(AE3666="free",0,IF(AE3666="me",0,IF(G3666&gt;0,(VLOOKUP(A3666,'Discount Lookup'!J:K,2)*G3666),0))))</f>
        <v>0</v>
      </c>
      <c r="AJ3666" s="107" t="str">
        <f t="shared" ca="1" si="2742"/>
        <v/>
      </c>
      <c r="AK3666" s="714" t="str">
        <f t="shared" si="2743"/>
        <v/>
      </c>
      <c r="AL3666" s="714"/>
      <c r="AM3666" s="114" t="str">
        <f t="shared" si="2744"/>
        <v/>
      </c>
      <c r="AN3666" s="115"/>
      <c r="AO3666" s="116"/>
      <c r="AP3666" s="116"/>
      <c r="AQ3666" s="116"/>
      <c r="AR3666" s="116"/>
      <c r="AS3666" s="116"/>
      <c r="AT3666" s="116"/>
      <c r="AU3666" s="116"/>
      <c r="AV3666" s="78"/>
      <c r="AW3666" s="102"/>
      <c r="AX3666" s="78"/>
      <c r="AY3666" s="78"/>
      <c r="AZ3666" s="78"/>
      <c r="BA3666" s="78"/>
      <c r="BB3666" s="78"/>
      <c r="BC3666" s="78"/>
      <c r="BD3666" s="78"/>
      <c r="BE3666" s="465"/>
      <c r="BF3666" s="165" t="str">
        <f t="shared" si="2745"/>
        <v>https://www.google.com/search?tbm=isch&amp;q=Lady%20Banks%20is%20great%20on%20a%20trellis%20or%20black%20metal%20fence.%20Thornless.%20Slight%20fragrance.%20Glossy%20Green%20foliage%20and%20thorns%20%28rabbits%20may%20still%20nibble%29%20</v>
      </c>
      <c r="BG3666" s="165" t="str">
        <f t="shared" si="2746"/>
        <v>L</v>
      </c>
      <c r="BH3666" s="65"/>
      <c r="BI3666" s="65"/>
      <c r="BJ3666" s="65"/>
      <c r="BK3666" s="65"/>
      <c r="BL3666" s="99"/>
      <c r="BM3666" s="99"/>
      <c r="BN3666" s="99"/>
    </row>
    <row r="3667" spans="1:66" s="51" customFormat="1" ht="18" x14ac:dyDescent="0.25">
      <c r="A3667" s="623" t="s">
        <v>4083</v>
      </c>
      <c r="B3667" s="624"/>
      <c r="C3667" s="709"/>
      <c r="D3667" s="625" t="s">
        <v>5795</v>
      </c>
      <c r="E3667" s="626"/>
      <c r="F3667" s="626"/>
      <c r="G3667" s="626"/>
      <c r="H3667" s="622" t="s">
        <v>1104</v>
      </c>
      <c r="I3667" s="627" t="s">
        <v>4084</v>
      </c>
      <c r="J3667" s="628"/>
      <c r="K3667" s="628"/>
      <c r="L3667" s="629"/>
      <c r="M3667" s="700" t="s">
        <v>5241</v>
      </c>
      <c r="N3667" s="693" t="str">
        <f>IF(AND(ISTEXT($A3667), ISERROR($A3667+0)), HYPERLINK($BF3667, "Images"), "")</f>
        <v>Images</v>
      </c>
      <c r="O3667" s="695" t="s">
        <v>5264</v>
      </c>
      <c r="P3667" s="630"/>
      <c r="Q3667" s="631"/>
      <c r="R3667" s="632"/>
      <c r="S3667" s="633"/>
      <c r="T3667" s="102">
        <f t="shared" si="2734"/>
        <v>0</v>
      </c>
      <c r="U3667" s="78" t="str">
        <f>IF(NOT(ISNUMBER(G3667)), "", VLOOKUP(A3667,'Discount Lookup'!D:E,2,FALSE)*G3667)</f>
        <v/>
      </c>
      <c r="V3667" s="78" t="str">
        <f>IF(NOT(ISNUMBER(G3667)), "", VLOOKUP(A3667,'Discount Lookup'!G:H,2,FALSE)*G3667)</f>
        <v/>
      </c>
      <c r="W3667" s="102">
        <f t="shared" si="2735"/>
        <v>0</v>
      </c>
      <c r="X3667" s="102" t="str">
        <f t="shared" si="2736"/>
        <v>Yellow bloom, Red edges</v>
      </c>
      <c r="Y3667" s="120" t="b">
        <f t="shared" si="2737"/>
        <v>0</v>
      </c>
      <c r="Z3667" s="117">
        <f t="shared" si="2738"/>
        <v>0</v>
      </c>
      <c r="AA3667" s="118"/>
      <c r="AB3667" s="118" t="str">
        <f t="shared" si="2739"/>
        <v/>
      </c>
      <c r="AC3667" s="712" t="str">
        <f>IF(AE3667="T2G","no charge",IF(AND(OR(PlanterYesMe="No",PlanterYesMe="N",PlanterYesMe="me"),H3667=""),"",IF(H3667="credit","NO install",IF(AND(K3667="",AE3667="me"),"EACH row",IF(AND(K3667="images",AE3667="me"),"EACH row",IF(D3667="","",IF(H3667="credit","",IF(AE3667="free","re-planting",IF(AE3667="me","   not ELP, by",IF(AND(OR(PlanterYesMe="Yes",PlanterYesMe="Y"),G3667&gt;0),(VLOOKUP(A3667,'Discount Lookup'!J:K,2)*G3667*(1-PlanterDiscount)*(1+PlanterDifficultyPercentage)),IF(AE3667="ELP",(VLOOKUP(A3667,'Discount Lookup'!J:K,2)*G3667*(1-PlanterDiscount)*(1+PlanterDifficultyPercentage)),IF(AE3667="free","re-planting",IF(G3667=0,"",IF(PlanterYesMe="",IF(AE3667="me","   not ELP, by",IF(AE3667="",IF(G3667&gt;0,(VLOOKUP(A3667,'Discount Lookup'!J:K,2)*G3667*(1-PlanterDiscount)*(1+PlanterDifficultyPercentage)),""),"")),"   not ELP, by"))))))))))))))</f>
        <v/>
      </c>
      <c r="AD3667" s="712"/>
      <c r="AE3667" s="513" t="str">
        <f t="shared" si="2740"/>
        <v/>
      </c>
      <c r="AF3667" s="713" t="str">
        <f t="shared" si="2741"/>
        <v/>
      </c>
      <c r="AG3667" s="713"/>
      <c r="AH3667" s="713"/>
      <c r="AI3667" s="112">
        <f>IF(H3667="credit",0,IF(AE3667="free",0,IF(AE3667="me",0,IF(G3667&gt;0,(VLOOKUP(A3667,'Discount Lookup'!J:K,2)*G3667),0))))</f>
        <v>0</v>
      </c>
      <c r="AJ3667" s="107" t="str">
        <f t="shared" ca="1" si="2742"/>
        <v/>
      </c>
      <c r="AK3667" s="714" t="str">
        <f t="shared" si="2743"/>
        <v/>
      </c>
      <c r="AL3667" s="714"/>
      <c r="AM3667" s="114" t="str">
        <f t="shared" si="2744"/>
        <v/>
      </c>
      <c r="AN3667" s="115"/>
      <c r="AO3667" s="116"/>
      <c r="AP3667" s="116"/>
      <c r="AQ3667" s="116"/>
      <c r="AR3667" s="116"/>
      <c r="AS3667" s="116"/>
      <c r="AT3667" s="116"/>
      <c r="AU3667" s="116"/>
      <c r="AV3667" s="78"/>
      <c r="AW3667" s="102"/>
      <c r="AX3667" s="78"/>
      <c r="AY3667" s="78"/>
      <c r="AZ3667" s="78"/>
      <c r="BA3667" s="78"/>
      <c r="BB3667" s="78"/>
      <c r="BC3667" s="78"/>
      <c r="BD3667" s="78"/>
      <c r="BE3667" s="465"/>
      <c r="BF3667" s="165" t="str">
        <f t="shared" si="2745"/>
        <v>https://www.google.com/search?tbm=isch&amp;q=Rosa%20%27CA%2029%27%20PP%2322435%20Campfire%C2%AE%20Hybrid%20Tea%20Rose</v>
      </c>
      <c r="BG3667" s="165" t="str">
        <f t="shared" si="2746"/>
        <v>R</v>
      </c>
      <c r="BH3667" s="65"/>
      <c r="BI3667" s="65"/>
      <c r="BJ3667" s="65"/>
      <c r="BK3667" s="65"/>
      <c r="BL3667" s="99"/>
      <c r="BM3667" s="99"/>
      <c r="BN3667" s="99"/>
    </row>
    <row r="3668" spans="1:66" s="51" customFormat="1" ht="27" x14ac:dyDescent="0.25">
      <c r="A3668" s="634">
        <v>3</v>
      </c>
      <c r="B3668" s="635" t="s">
        <v>291</v>
      </c>
      <c r="C3668" s="636" t="s">
        <v>4085</v>
      </c>
      <c r="D3668" s="637" t="s">
        <v>299</v>
      </c>
      <c r="E3668" s="638">
        <v>49.95</v>
      </c>
      <c r="F3668" s="639" t="s">
        <v>292</v>
      </c>
      <c r="G3668" s="484">
        <v>0</v>
      </c>
      <c r="H3668" s="691" t="str">
        <f>IF(G3668=0,"",IF(F3668="Buy",IF(G3668=1,"plant","plants"),IF(F3668&gt;0.01,"warranty","Error")))</f>
        <v/>
      </c>
      <c r="I3668" s="640">
        <f>IF(H3668="free",0,IF(H3668="credit",((E3668*(F3668))*G3668*-1),IF(F3668="Buy",(E3668*G3668),((E3668*(1-F3668))*G3668))))</f>
        <v>0</v>
      </c>
      <c r="J3668" s="640">
        <f>IF(H3668="warranty",0,(I3668*(_xlfn.SINGLE(SalesTaxPercentage))))</f>
        <v>0</v>
      </c>
      <c r="K3668" s="716">
        <f t="shared" ref="K3668" si="2775">I3668+J3668</f>
        <v>0</v>
      </c>
      <c r="L3668" s="716"/>
      <c r="M3668" s="689" t="str">
        <f ca="1">IF(AND(G3668&gt;0,E3668=0),"WARNING - no PRICE inserted",IF(H3668="free","FREE ~ no charge this plant",IF(H3668="credit",CONCATENATE("-$",ROUND(K3668*(1-_xlfn.SINGLE(T2GDiscount))*-1,2)," CREDIT after discount"),IF(_xlfn.SINGLE(T2GDiscount)=0,"",IF(G3668=0,"",IF(F3668="Buy",CONCATENATE("$",ROUND(K3668*(1-_xlfn.SINGLE(T2GDiscount)),2)," with ",(_xlfn.SINGLE(T2GDiscount)*100),"% discount"),CONCATENATE("$",ROUND(K3668*(1-_xlfn.SINGLE(T2GDiscount)),2)," with ",((_xlfn.SINGLE(T2GDiscount)*100+F3668*100)-(_xlfn.SINGLE(T2GDiscount)*100*F3668)),IF(F3668&gt;0,"% discounts",IF(_xlfn.SINGLE(NoWarrantyDiscount)&gt;0,"% discounts","% discount")))))))))</f>
        <v/>
      </c>
      <c r="N3668" s="690"/>
      <c r="O3668" s="486"/>
      <c r="P3668" s="486"/>
      <c r="Q3668" s="486"/>
      <c r="R3668" s="486"/>
      <c r="S3668" s="486"/>
      <c r="T3668" s="102">
        <f t="shared" ref="T3668:T3731" si="2776">E3668*G3668</f>
        <v>0</v>
      </c>
      <c r="U3668" s="78">
        <f>IF(NOT(ISNUMBER(G3668)), "", VLOOKUP(A3668,'Discount Lookup'!D:E,2,FALSE)*G3668)</f>
        <v>0</v>
      </c>
      <c r="V3668" s="78">
        <f>IF(NOT(ISNUMBER(G3668)), "", VLOOKUP(A3668,'Discount Lookup'!G:H,2,FALSE)*G3668)</f>
        <v>0</v>
      </c>
      <c r="W3668" s="102">
        <f t="shared" ref="W3668:W3731" si="2777">IF(H3668="credit",0,E3668*(SalesTaxPercentage)*G3668)</f>
        <v>0</v>
      </c>
      <c r="X3668" s="102">
        <f t="shared" ref="X3668:X3731" si="2778">I3668</f>
        <v>0</v>
      </c>
      <c r="Y3668" s="120" t="b">
        <f t="shared" ref="Y3668:Y3731" si="2779">IF(AE3668="T2G",0,IF(H3668="credit",0,IF(G3668&gt;0,IF(AE3668="me","",G3668))))</f>
        <v>0</v>
      </c>
      <c r="Z3668" s="117">
        <f t="shared" ref="Z3668:Z3731" si="2780">IF(H3668="credit",G3668,0)</f>
        <v>0</v>
      </c>
      <c r="AA3668" s="118"/>
      <c r="AB3668" s="118" t="str">
        <f t="shared" ref="AB3668:AB3731" si="2781">IF(AE3668="T2G","by Trees2Go",IF(H3668="credit","CREDIT only ~",IF(AND(K3668="",AE3668=OR(PlanterYesMe="No",PlanterYesMe="N",PlanterYesMe="me")),"not THIS line⇨",IF(AND(K3668="images",AE3668="me"),"not THIS line⇨",IF(H3668="credit","",IF(G3668=0,"",IF(AE3668="me","",IF(OR(PlanterYesMe="No",PlanterYesMe="N",PlanterYesMe="me"),"",IF(AE3668="free","warranty",IF(OR(PlanterYesMe="yes",PlanterYesMe="y"),"Edison install:","to install:"))))))))))</f>
        <v/>
      </c>
      <c r="AC3668" s="712" t="str">
        <f>IF(AE3668="T2G","no charge",IF(AND(OR(PlanterYesMe="No",PlanterYesMe="N",PlanterYesMe="me"),H3668=""),"",IF(H3668="credit","NO install",IF(AND(K3668="",AE3668="me"),"EACH row",IF(AND(K3668="images",AE3668="me"),"EACH row",IF(D3668="","",IF(H3668="credit","",IF(AE3668="free","re-planting",IF(AE3668="me","   not ELP, by",IF(AND(OR(PlanterYesMe="Yes",PlanterYesMe="Y"),G3668&gt;0),(VLOOKUP(A3668,'Discount Lookup'!J:K,2)*G3668*(1-PlanterDiscount)*(1+PlanterDifficultyPercentage)),IF(AE3668="ELP",(VLOOKUP(A3668,'Discount Lookup'!J:K,2)*G3668*(1-PlanterDiscount)*(1+PlanterDifficultyPercentage)),IF(AE3668="free","re-planting",IF(G3668=0,"",IF(PlanterYesMe="",IF(AE3668="me","   not ELP, by",IF(AE3668="",IF(G3668&gt;0,(VLOOKUP(A3668,'Discount Lookup'!J:K,2)*G3668*(1-PlanterDiscount)*(1+PlanterDifficultyPercentage)),""),"")),"   not ELP, by"))))))))))))))</f>
        <v/>
      </c>
      <c r="AD3668" s="712"/>
      <c r="AE3668" s="513" t="str">
        <f t="shared" ref="AE3668:AE3731" si="2782">IF(H3668="credit","",IF(G3668=0,"",IF(OR(PlanterYesMe="No",PlanterYesMe="N",PlanterYesMe="me"),"me",IF(H3668="warranty","free",IF(OR(PlanterYesMe="yes",PlanterYesMe="y"),"ELP","")))))</f>
        <v/>
      </c>
      <c r="AF3668" s="713" t="str">
        <f t="shared" ref="AF3668:AF3731" si="2783">IF(OR(PlanterYesMe="No",PlanterYesMe="N",PlanterYesMe="me"),"",IF(H3668="credit","",IF(G3668&gt;0,(CONCATENATE((G3668)," quantity, ",(A3668)," ",B3668)),"")))</f>
        <v/>
      </c>
      <c r="AG3668" s="713"/>
      <c r="AH3668" s="713"/>
      <c r="AI3668" s="112">
        <f>IF(H3668="credit",0,IF(AE3668="free",0,IF(AE3668="me",0,IF(G3668&gt;0,(VLOOKUP(A3668,'Discount Lookup'!J:K,2)*G3668),0))))</f>
        <v>0</v>
      </c>
      <c r="AJ3668" s="107" t="str">
        <f t="shared" ref="AJ3668:AJ3731" ca="1" si="2784">IF(AND(ISREF(H3668),H3668="credit"),"",IF(AND(AND(OFFSET(G3668,0,0)=0,OFFSET(G3668,1,0)&gt;0,ISNUMBER(OFFSET(AC3668,1,0)),OFFSET(AC3668,1,0)&gt;0),OR(PlanterYesMe="yes",PlanterYesMe="y")),"T2G+ELP=",IF(AND(OFFSET(G3668,0,0)=0,OFFSET(G3668,1,0)&gt;0,ISNUMBER(OFFSET(AC3668,1,0)),OFFSET(AC3668,1,0)&gt;0),"if T2G+ELP=",IF(AND(OFFSET(G3668,0,0)=0,OFFSET(G3668,1,0)&gt;0),"T2G Subtotal",IF(H3668="credit","",IF(G3668=0,"",IF(AE3668="free",(K3668*(1-T2GDiscount)),IF(OR(PlanterYesMe="No",PlanterYesMe="N",PlanterYesMe="me"),(K3668*(1-T2GDiscount)),IF(OR(AE3668="me",AE3668="T2G"),(K3668*(1-T2GDiscount)),(K3668*(1-T2GDiscount))+AC3668)))))))))</f>
        <v/>
      </c>
      <c r="AK3668" s="714" t="str">
        <f t="shared" ref="AK3668:AK3731" si="2785">IF(H3668="credit","",IF(G3668=0,"",IF(OR(AE3668="me",AE3668="T2G"),"  delivery-only",IF(OR(PlanterYesMe="No",PlanterYesMe="N",PlanterYesMe="me"),"  delivery-only",CONCATENATE(" $",ROUND(AJ3668/G3668,2)," each")))))</f>
        <v/>
      </c>
      <c r="AL3668" s="714"/>
      <c r="AM3668" s="114" t="str">
        <f t="shared" ref="AM3668:AM3731" si="2786">IF(H3668="credit","",IF(AE3668="free","      ~ discounts included, no tax or planting fee applies ~",IF(G3668=0,"",IF(OR(PlanterYesMe="No",PlanterYesMe="N",PlanterYesMe="me"),CONCATENATE(" $",ROUND(AJ3668/G3668,2)," per plant, with tax &amp; discount"),IF(OR(AE3668="me",AE3668="T2G"),CONCATENATE(" $",ROUND(AJ3668/G3668,2)," per plant, with tax &amp; discount"),CONCATENATE("= $",ROUND((K3668*(1-T2GDiscount))/G3668,2)," per plant + $",AC3668/G3668,(" per planting      ~ includes tax &amp; discounts ~")))))))</f>
        <v/>
      </c>
      <c r="AN3668" s="115"/>
      <c r="AO3668" s="116"/>
      <c r="AP3668" s="116"/>
      <c r="AQ3668" s="116"/>
      <c r="AR3668" s="116"/>
      <c r="AS3668" s="116"/>
      <c r="AT3668" s="116"/>
      <c r="AU3668" s="116"/>
      <c r="AV3668" s="78"/>
      <c r="AW3668" s="102"/>
      <c r="AX3668" s="78"/>
      <c r="AY3668" s="78"/>
      <c r="AZ3668" s="78"/>
      <c r="BA3668" s="78"/>
      <c r="BB3668" s="78"/>
      <c r="BC3668" s="78"/>
      <c r="BD3668" s="78"/>
      <c r="BE3668" s="465"/>
      <c r="BF3668" s="165" t="str">
        <f t="shared" ref="BF3668:BF3731" si="2787">"https://www.google.com/search?tbm=isch&amp;q=" &amp; _xlfn.ENCODEURL($A3668 &amp; " " &amp; $D3668)</f>
        <v>https://www.google.com/search?tbm=isch&amp;q=3%20G4</v>
      </c>
      <c r="BG3668" s="165" t="str">
        <f t="shared" ref="BG3668:BG3731" si="2788">IF(ISTEXT(A3668),LEFT(A3668,1),BG3667)</f>
        <v>R</v>
      </c>
      <c r="BH3668" s="65"/>
      <c r="BI3668" s="65"/>
      <c r="BJ3668" s="65"/>
      <c r="BK3668" s="65"/>
      <c r="BL3668" s="99"/>
      <c r="BM3668" s="99"/>
      <c r="BN3668" s="99"/>
    </row>
    <row r="3669" spans="1:66" s="51" customFormat="1" ht="17.25" thickBot="1" x14ac:dyDescent="0.3">
      <c r="A3669" s="641" t="s">
        <v>4086</v>
      </c>
      <c r="B3669" s="642"/>
      <c r="C3669" s="710"/>
      <c r="D3669" s="643"/>
      <c r="E3669" s="643"/>
      <c r="F3669" s="644"/>
      <c r="G3669" s="645"/>
      <c r="H3669" s="646"/>
      <c r="I3669" s="647"/>
      <c r="J3669" s="648"/>
      <c r="K3669" s="649"/>
      <c r="L3669" s="650"/>
      <c r="M3669" s="650"/>
      <c r="N3669" s="644"/>
      <c r="O3669" s="644"/>
      <c r="P3669" s="644"/>
      <c r="Q3669" s="644"/>
      <c r="R3669" s="644"/>
      <c r="S3669" s="701" t="s">
        <v>5271</v>
      </c>
      <c r="T3669" s="102">
        <f t="shared" si="2776"/>
        <v>0</v>
      </c>
      <c r="U3669" s="78" t="str">
        <f>IF(NOT(ISNUMBER(G3669)), "", VLOOKUP(A3669,'Discount Lookup'!D:E,2,FALSE)*G3669)</f>
        <v/>
      </c>
      <c r="V3669" s="78" t="str">
        <f>IF(NOT(ISNUMBER(G3669)), "", VLOOKUP(A3669,'Discount Lookup'!G:H,2,FALSE)*G3669)</f>
        <v/>
      </c>
      <c r="W3669" s="102">
        <f t="shared" si="2777"/>
        <v>0</v>
      </c>
      <c r="X3669" s="102">
        <f t="shared" si="2778"/>
        <v>0</v>
      </c>
      <c r="Y3669" s="120" t="b">
        <f t="shared" si="2779"/>
        <v>0</v>
      </c>
      <c r="Z3669" s="117">
        <f t="shared" si="2780"/>
        <v>0</v>
      </c>
      <c r="AA3669" s="118"/>
      <c r="AB3669" s="118" t="str">
        <f t="shared" si="2781"/>
        <v/>
      </c>
      <c r="AC3669" s="712" t="str">
        <f>IF(AE3669="T2G","no charge",IF(AND(OR(PlanterYesMe="No",PlanterYesMe="N",PlanterYesMe="me"),H3669=""),"",IF(H3669="credit","NO install",IF(AND(K3669="",AE3669="me"),"EACH row",IF(AND(K3669="images",AE3669="me"),"EACH row",IF(D3669="","",IF(H3669="credit","",IF(AE3669="free","re-planting",IF(AE3669="me","   not ELP, by",IF(AND(OR(PlanterYesMe="Yes",PlanterYesMe="Y"),G3669&gt;0),(VLOOKUP(A3669,'Discount Lookup'!J:K,2)*G3669*(1-PlanterDiscount)*(1+PlanterDifficultyPercentage)),IF(AE3669="ELP",(VLOOKUP(A3669,'Discount Lookup'!J:K,2)*G3669*(1-PlanterDiscount)*(1+PlanterDifficultyPercentage)),IF(AE3669="free","re-planting",IF(G3669=0,"",IF(PlanterYesMe="",IF(AE3669="me","   not ELP, by",IF(AE3669="",IF(G3669&gt;0,(VLOOKUP(A3669,'Discount Lookup'!J:K,2)*G3669*(1-PlanterDiscount)*(1+PlanterDifficultyPercentage)),""),"")),"   not ELP, by"))))))))))))))</f>
        <v/>
      </c>
      <c r="AD3669" s="712"/>
      <c r="AE3669" s="513" t="str">
        <f t="shared" si="2782"/>
        <v/>
      </c>
      <c r="AF3669" s="713" t="str">
        <f t="shared" si="2783"/>
        <v/>
      </c>
      <c r="AG3669" s="713"/>
      <c r="AH3669" s="713"/>
      <c r="AI3669" s="112">
        <f>IF(H3669="credit",0,IF(AE3669="free",0,IF(AE3669="me",0,IF(G3669&gt;0,(VLOOKUP(A3669,'Discount Lookup'!J:K,2)*G3669),0))))</f>
        <v>0</v>
      </c>
      <c r="AJ3669" s="107" t="str">
        <f t="shared" ca="1" si="2784"/>
        <v/>
      </c>
      <c r="AK3669" s="714" t="str">
        <f t="shared" si="2785"/>
        <v/>
      </c>
      <c r="AL3669" s="714"/>
      <c r="AM3669" s="114" t="str">
        <f t="shared" si="2786"/>
        <v/>
      </c>
      <c r="AN3669" s="115"/>
      <c r="AO3669" s="116"/>
      <c r="AP3669" s="116"/>
      <c r="AQ3669" s="116"/>
      <c r="AR3669" s="116"/>
      <c r="AS3669" s="116"/>
      <c r="AT3669" s="116"/>
      <c r="AU3669" s="116"/>
      <c r="AV3669" s="78"/>
      <c r="AW3669" s="102"/>
      <c r="AX3669" s="78"/>
      <c r="AY3669" s="78"/>
      <c r="AZ3669" s="78"/>
      <c r="BA3669" s="78"/>
      <c r="BB3669" s="78"/>
      <c r="BC3669" s="78"/>
      <c r="BD3669" s="78"/>
      <c r="BE3669" s="465"/>
      <c r="BF3669" s="165" t="str">
        <f t="shared" si="2787"/>
        <v>https://www.google.com/search?tbm=isch&amp;q=Campfire%20named%20for%20bloom%20echoing%20a%20campfire.%20Deadhead%20as%20needed.%20Nearly%20thornless%20%28rabbits%20may%20still%20nibble%29.%20Cut%20back%20annually%20</v>
      </c>
      <c r="BG3669" s="165" t="str">
        <f t="shared" si="2788"/>
        <v>C</v>
      </c>
      <c r="BH3669" s="65"/>
      <c r="BI3669" s="65"/>
      <c r="BJ3669" s="65"/>
      <c r="BK3669" s="65"/>
      <c r="BL3669" s="99"/>
      <c r="BM3669" s="99"/>
      <c r="BN3669" s="99"/>
    </row>
    <row r="3670" spans="1:66" s="51" customFormat="1" ht="18" x14ac:dyDescent="0.25">
      <c r="A3670" s="623" t="s">
        <v>4087</v>
      </c>
      <c r="B3670" s="624"/>
      <c r="C3670" s="709"/>
      <c r="D3670" s="625" t="s">
        <v>5796</v>
      </c>
      <c r="E3670" s="626"/>
      <c r="F3670" s="626"/>
      <c r="G3670" s="626"/>
      <c r="H3670" s="622" t="s">
        <v>1071</v>
      </c>
      <c r="I3670" s="627" t="s">
        <v>4088</v>
      </c>
      <c r="J3670" s="628"/>
      <c r="K3670" s="628"/>
      <c r="L3670" s="629"/>
      <c r="M3670" s="700" t="s">
        <v>5241</v>
      </c>
      <c r="N3670" s="693" t="str">
        <f>IF(AND(ISTEXT($A3670), ISERROR($A3670+0)), HYPERLINK($BF3670, "Images"), "")</f>
        <v>Images</v>
      </c>
      <c r="O3670" s="695" t="s">
        <v>5264</v>
      </c>
      <c r="P3670" s="630"/>
      <c r="Q3670" s="631"/>
      <c r="R3670" s="632"/>
      <c r="S3670" s="633"/>
      <c r="T3670" s="102">
        <f t="shared" si="2776"/>
        <v>0</v>
      </c>
      <c r="U3670" s="78" t="str">
        <f>IF(NOT(ISNUMBER(G3670)), "", VLOOKUP(A3670,'Discount Lookup'!D:E,2,FALSE)*G3670)</f>
        <v/>
      </c>
      <c r="V3670" s="78" t="str">
        <f>IF(NOT(ISNUMBER(G3670)), "", VLOOKUP(A3670,'Discount Lookup'!G:H,2,FALSE)*G3670)</f>
        <v/>
      </c>
      <c r="W3670" s="102">
        <f t="shared" si="2777"/>
        <v>0</v>
      </c>
      <c r="X3670" s="102" t="str">
        <f t="shared" si="2778"/>
        <v>Raspberry-Pink bloom</v>
      </c>
      <c r="Y3670" s="120" t="b">
        <f t="shared" si="2779"/>
        <v>0</v>
      </c>
      <c r="Z3670" s="117">
        <f t="shared" si="2780"/>
        <v>0</v>
      </c>
      <c r="AA3670" s="118"/>
      <c r="AB3670" s="118" t="str">
        <f t="shared" si="2781"/>
        <v/>
      </c>
      <c r="AC3670" s="712" t="str">
        <f>IF(AE3670="T2G","no charge",IF(AND(OR(PlanterYesMe="No",PlanterYesMe="N",PlanterYesMe="me"),H3670=""),"",IF(H3670="credit","NO install",IF(AND(K3670="",AE3670="me"),"EACH row",IF(AND(K3670="images",AE3670="me"),"EACH row",IF(D3670="","",IF(H3670="credit","",IF(AE3670="free","re-planting",IF(AE3670="me","   not ELP, by",IF(AND(OR(PlanterYesMe="Yes",PlanterYesMe="Y"),G3670&gt;0),(VLOOKUP(A3670,'Discount Lookup'!J:K,2)*G3670*(1-PlanterDiscount)*(1+PlanterDifficultyPercentage)),IF(AE3670="ELP",(VLOOKUP(A3670,'Discount Lookup'!J:K,2)*G3670*(1-PlanterDiscount)*(1+PlanterDifficultyPercentage)),IF(AE3670="free","re-planting",IF(G3670=0,"",IF(PlanterYesMe="",IF(AE3670="me","   not ELP, by",IF(AE3670="",IF(G3670&gt;0,(VLOOKUP(A3670,'Discount Lookup'!J:K,2)*G3670*(1-PlanterDiscount)*(1+PlanterDifficultyPercentage)),""),"")),"   not ELP, by"))))))))))))))</f>
        <v/>
      </c>
      <c r="AD3670" s="712"/>
      <c r="AE3670" s="513" t="str">
        <f t="shared" si="2782"/>
        <v/>
      </c>
      <c r="AF3670" s="713" t="str">
        <f t="shared" si="2783"/>
        <v/>
      </c>
      <c r="AG3670" s="713"/>
      <c r="AH3670" s="713"/>
      <c r="AI3670" s="112">
        <f>IF(H3670="credit",0,IF(AE3670="free",0,IF(AE3670="me",0,IF(G3670&gt;0,(VLOOKUP(A3670,'Discount Lookup'!J:K,2)*G3670),0))))</f>
        <v>0</v>
      </c>
      <c r="AJ3670" s="107" t="str">
        <f t="shared" ca="1" si="2784"/>
        <v/>
      </c>
      <c r="AK3670" s="714" t="str">
        <f t="shared" si="2785"/>
        <v/>
      </c>
      <c r="AL3670" s="714"/>
      <c r="AM3670" s="114" t="str">
        <f t="shared" si="2786"/>
        <v/>
      </c>
      <c r="AN3670" s="115"/>
      <c r="AO3670" s="116"/>
      <c r="AP3670" s="116"/>
      <c r="AQ3670" s="116"/>
      <c r="AR3670" s="116"/>
      <c r="AS3670" s="116"/>
      <c r="AT3670" s="116"/>
      <c r="AU3670" s="116"/>
      <c r="AV3670" s="78"/>
      <c r="AW3670" s="102"/>
      <c r="AX3670" s="78"/>
      <c r="AY3670" s="78"/>
      <c r="AZ3670" s="78"/>
      <c r="BA3670" s="78"/>
      <c r="BB3670" s="78"/>
      <c r="BC3670" s="78"/>
      <c r="BD3670" s="78"/>
      <c r="BE3670" s="465"/>
      <c r="BF3670" s="165" t="str">
        <f t="shared" si="2787"/>
        <v>https://www.google.com/search?tbm=isch&amp;q=Rosa%20%27KORcarmsis%27%20PP%2333406%20Raspberry%20Cupcake%E2%84%A2%20Hybrid%20Tea%20Rose</v>
      </c>
      <c r="BG3670" s="165" t="str">
        <f t="shared" si="2788"/>
        <v>R</v>
      </c>
      <c r="BH3670" s="65"/>
      <c r="BI3670" s="65"/>
      <c r="BJ3670" s="65"/>
      <c r="BK3670" s="65"/>
      <c r="BL3670" s="99"/>
      <c r="BM3670" s="99"/>
      <c r="BN3670" s="99"/>
    </row>
    <row r="3671" spans="1:66" s="51" customFormat="1" ht="15.75" x14ac:dyDescent="0.25">
      <c r="A3671" s="634">
        <v>3</v>
      </c>
      <c r="B3671" s="635" t="s">
        <v>291</v>
      </c>
      <c r="C3671" s="636" t="s">
        <v>2426</v>
      </c>
      <c r="D3671" s="637" t="s">
        <v>329</v>
      </c>
      <c r="E3671" s="638">
        <v>43.95</v>
      </c>
      <c r="F3671" s="639" t="s">
        <v>292</v>
      </c>
      <c r="G3671" s="484">
        <v>0</v>
      </c>
      <c r="H3671" s="691" t="str">
        <f>IF(G3671=0,"",IF(F3671="Buy",IF(G3671=1,"plant","plants"),IF(F3671&gt;0.01,"warranty","Error")))</f>
        <v/>
      </c>
      <c r="I3671" s="640">
        <f>IF(H3671="free",0,IF(H3671="credit",((E3671*(F3671))*G3671*-1),IF(F3671="Buy",(E3671*G3671),((E3671*(1-F3671))*G3671))))</f>
        <v>0</v>
      </c>
      <c r="J3671" s="640">
        <f>IF(H3671="warranty",0,(I3671*(_xlfn.SINGLE(SalesTaxPercentage))))</f>
        <v>0</v>
      </c>
      <c r="K3671" s="716">
        <f t="shared" ref="K3671" si="2789">I3671+J3671</f>
        <v>0</v>
      </c>
      <c r="L3671" s="716"/>
      <c r="M3671" s="689" t="str">
        <f ca="1">IF(AND(G3671&gt;0,E3671=0),"WARNING - no PRICE inserted",IF(H3671="free","FREE ~ no charge this plant",IF(H3671="credit",CONCATENATE("-$",ROUND(K3671*(1-_xlfn.SINGLE(T2GDiscount))*-1,2)," CREDIT after discount"),IF(_xlfn.SINGLE(T2GDiscount)=0,"",IF(G3671=0,"",IF(F3671="Buy",CONCATENATE("$",ROUND(K3671*(1-_xlfn.SINGLE(T2GDiscount)),2)," with ",(_xlfn.SINGLE(T2GDiscount)*100),"% discount"),CONCATENATE("$",ROUND(K3671*(1-_xlfn.SINGLE(T2GDiscount)),2)," with ",((_xlfn.SINGLE(T2GDiscount)*100+F3671*100)-(_xlfn.SINGLE(T2GDiscount)*100*F3671)),IF(F3671&gt;0,"% discounts",IF(_xlfn.SINGLE(NoWarrantyDiscount)&gt;0,"% discounts","% discount")))))))))</f>
        <v/>
      </c>
      <c r="N3671" s="690"/>
      <c r="O3671" s="486"/>
      <c r="P3671" s="486"/>
      <c r="Q3671" s="486"/>
      <c r="R3671" s="486"/>
      <c r="S3671" s="486"/>
      <c r="T3671" s="102">
        <f t="shared" si="2776"/>
        <v>0</v>
      </c>
      <c r="U3671" s="78">
        <f>IF(NOT(ISNUMBER(G3671)), "", VLOOKUP(A3671,'Discount Lookup'!D:E,2,FALSE)*G3671)</f>
        <v>0</v>
      </c>
      <c r="V3671" s="78">
        <f>IF(NOT(ISNUMBER(G3671)), "", VLOOKUP(A3671,'Discount Lookup'!G:H,2,FALSE)*G3671)</f>
        <v>0</v>
      </c>
      <c r="W3671" s="102">
        <f t="shared" si="2777"/>
        <v>0</v>
      </c>
      <c r="X3671" s="102">
        <f t="shared" si="2778"/>
        <v>0</v>
      </c>
      <c r="Y3671" s="120" t="b">
        <f t="shared" si="2779"/>
        <v>0</v>
      </c>
      <c r="Z3671" s="117">
        <f t="shared" si="2780"/>
        <v>0</v>
      </c>
      <c r="AA3671" s="118"/>
      <c r="AB3671" s="118" t="str">
        <f t="shared" si="2781"/>
        <v/>
      </c>
      <c r="AC3671" s="712" t="str">
        <f>IF(AE3671="T2G","no charge",IF(AND(OR(PlanterYesMe="No",PlanterYesMe="N",PlanterYesMe="me"),H3671=""),"",IF(H3671="credit","NO install",IF(AND(K3671="",AE3671="me"),"EACH row",IF(AND(K3671="images",AE3671="me"),"EACH row",IF(D3671="","",IF(H3671="credit","",IF(AE3671="free","re-planting",IF(AE3671="me","   not ELP, by",IF(AND(OR(PlanterYesMe="Yes",PlanterYesMe="Y"),G3671&gt;0),(VLOOKUP(A3671,'Discount Lookup'!J:K,2)*G3671*(1-PlanterDiscount)*(1+PlanterDifficultyPercentage)),IF(AE3671="ELP",(VLOOKUP(A3671,'Discount Lookup'!J:K,2)*G3671*(1-PlanterDiscount)*(1+PlanterDifficultyPercentage)),IF(AE3671="free","re-planting",IF(G3671=0,"",IF(PlanterYesMe="",IF(AE3671="me","   not ELP, by",IF(AE3671="",IF(G3671&gt;0,(VLOOKUP(A3671,'Discount Lookup'!J:K,2)*G3671*(1-PlanterDiscount)*(1+PlanterDifficultyPercentage)),""),"")),"   not ELP, by"))))))))))))))</f>
        <v/>
      </c>
      <c r="AD3671" s="712"/>
      <c r="AE3671" s="513" t="str">
        <f t="shared" si="2782"/>
        <v/>
      </c>
      <c r="AF3671" s="713" t="str">
        <f t="shared" si="2783"/>
        <v/>
      </c>
      <c r="AG3671" s="713"/>
      <c r="AH3671" s="713"/>
      <c r="AI3671" s="112">
        <f>IF(H3671="credit",0,IF(AE3671="free",0,IF(AE3671="me",0,IF(G3671&gt;0,(VLOOKUP(A3671,'Discount Lookup'!J:K,2)*G3671),0))))</f>
        <v>0</v>
      </c>
      <c r="AJ3671" s="107" t="str">
        <f t="shared" ca="1" si="2784"/>
        <v/>
      </c>
      <c r="AK3671" s="714" t="str">
        <f t="shared" si="2785"/>
        <v/>
      </c>
      <c r="AL3671" s="714"/>
      <c r="AM3671" s="114" t="str">
        <f t="shared" si="2786"/>
        <v/>
      </c>
      <c r="AN3671" s="115"/>
      <c r="AO3671" s="116"/>
      <c r="AP3671" s="116"/>
      <c r="AQ3671" s="116"/>
      <c r="AR3671" s="116"/>
      <c r="AS3671" s="116"/>
      <c r="AT3671" s="116"/>
      <c r="AU3671" s="116"/>
      <c r="AV3671" s="78"/>
      <c r="AW3671" s="102"/>
      <c r="AX3671" s="78"/>
      <c r="AY3671" s="78"/>
      <c r="AZ3671" s="78"/>
      <c r="BA3671" s="78"/>
      <c r="BB3671" s="78"/>
      <c r="BC3671" s="78"/>
      <c r="BD3671" s="78"/>
      <c r="BE3671" s="465"/>
      <c r="BF3671" s="165" t="str">
        <f t="shared" si="2787"/>
        <v>https://www.google.com/search?tbm=isch&amp;q=3%20G2</v>
      </c>
      <c r="BG3671" s="165" t="str">
        <f t="shared" si="2788"/>
        <v>R</v>
      </c>
      <c r="BH3671" s="65"/>
      <c r="BI3671" s="65"/>
      <c r="BJ3671" s="65"/>
      <c r="BK3671" s="65"/>
      <c r="BL3671" s="99"/>
      <c r="BM3671" s="99"/>
      <c r="BN3671" s="99"/>
    </row>
    <row r="3672" spans="1:66" s="51" customFormat="1" ht="17.25" thickBot="1" x14ac:dyDescent="0.3">
      <c r="A3672" s="641" t="s">
        <v>4786</v>
      </c>
      <c r="B3672" s="642"/>
      <c r="C3672" s="710"/>
      <c r="D3672" s="643"/>
      <c r="E3672" s="643"/>
      <c r="F3672" s="644"/>
      <c r="G3672" s="645"/>
      <c r="H3672" s="646"/>
      <c r="I3672" s="647"/>
      <c r="J3672" s="648"/>
      <c r="K3672" s="649"/>
      <c r="L3672" s="650"/>
      <c r="M3672" s="650"/>
      <c r="N3672" s="644"/>
      <c r="O3672" s="644"/>
      <c r="P3672" s="644"/>
      <c r="Q3672" s="644"/>
      <c r="R3672" s="644"/>
      <c r="S3672" s="701" t="s">
        <v>5271</v>
      </c>
      <c r="T3672" s="102">
        <f t="shared" si="2776"/>
        <v>0</v>
      </c>
      <c r="U3672" s="78" t="str">
        <f>IF(NOT(ISNUMBER(G3672)), "", VLOOKUP(A3672,'Discount Lookup'!D:E,2,FALSE)*G3672)</f>
        <v/>
      </c>
      <c r="V3672" s="78" t="str">
        <f>IF(NOT(ISNUMBER(G3672)), "", VLOOKUP(A3672,'Discount Lookup'!G:H,2,FALSE)*G3672)</f>
        <v/>
      </c>
      <c r="W3672" s="102">
        <f t="shared" si="2777"/>
        <v>0</v>
      </c>
      <c r="X3672" s="102">
        <f t="shared" si="2778"/>
        <v>0</v>
      </c>
      <c r="Y3672" s="120" t="b">
        <f t="shared" si="2779"/>
        <v>0</v>
      </c>
      <c r="Z3672" s="117">
        <f t="shared" si="2780"/>
        <v>0</v>
      </c>
      <c r="AA3672" s="118"/>
      <c r="AB3672" s="118" t="str">
        <f t="shared" si="2781"/>
        <v/>
      </c>
      <c r="AC3672" s="712" t="str">
        <f>IF(AE3672="T2G","no charge",IF(AND(OR(PlanterYesMe="No",PlanterYesMe="N",PlanterYesMe="me"),H3672=""),"",IF(H3672="credit","NO install",IF(AND(K3672="",AE3672="me"),"EACH row",IF(AND(K3672="images",AE3672="me"),"EACH row",IF(D3672="","",IF(H3672="credit","",IF(AE3672="free","re-planting",IF(AE3672="me","   not ELP, by",IF(AND(OR(PlanterYesMe="Yes",PlanterYesMe="Y"),G3672&gt;0),(VLOOKUP(A3672,'Discount Lookup'!J:K,2)*G3672*(1-PlanterDiscount)*(1+PlanterDifficultyPercentage)),IF(AE3672="ELP",(VLOOKUP(A3672,'Discount Lookup'!J:K,2)*G3672*(1-PlanterDiscount)*(1+PlanterDifficultyPercentage)),IF(AE3672="free","re-planting",IF(G3672=0,"",IF(PlanterYesMe="",IF(AE3672="me","   not ELP, by",IF(AE3672="",IF(G3672&gt;0,(VLOOKUP(A3672,'Discount Lookup'!J:K,2)*G3672*(1-PlanterDiscount)*(1+PlanterDifficultyPercentage)),""),"")),"   not ELP, by"))))))))))))))</f>
        <v/>
      </c>
      <c r="AD3672" s="712"/>
      <c r="AE3672" s="513" t="str">
        <f t="shared" si="2782"/>
        <v/>
      </c>
      <c r="AF3672" s="713" t="str">
        <f t="shared" si="2783"/>
        <v/>
      </c>
      <c r="AG3672" s="713"/>
      <c r="AH3672" s="713"/>
      <c r="AI3672" s="112">
        <f>IF(H3672="credit",0,IF(AE3672="free",0,IF(AE3672="me",0,IF(G3672&gt;0,(VLOOKUP(A3672,'Discount Lookup'!J:K,2)*G3672),0))))</f>
        <v>0</v>
      </c>
      <c r="AJ3672" s="107" t="str">
        <f t="shared" ca="1" si="2784"/>
        <v/>
      </c>
      <c r="AK3672" s="714" t="str">
        <f t="shared" si="2785"/>
        <v/>
      </c>
      <c r="AL3672" s="714"/>
      <c r="AM3672" s="114" t="str">
        <f t="shared" si="2786"/>
        <v/>
      </c>
      <c r="AN3672" s="115"/>
      <c r="AO3672" s="116"/>
      <c r="AP3672" s="116"/>
      <c r="AQ3672" s="116"/>
      <c r="AR3672" s="116"/>
      <c r="AS3672" s="116"/>
      <c r="AT3672" s="116"/>
      <c r="AU3672" s="116"/>
      <c r="AV3672" s="78"/>
      <c r="AW3672" s="102"/>
      <c r="AX3672" s="78"/>
      <c r="AY3672" s="78"/>
      <c r="AZ3672" s="78"/>
      <c r="BA3672" s="78"/>
      <c r="BB3672" s="78"/>
      <c r="BC3672" s="78"/>
      <c r="BD3672" s="78"/>
      <c r="BE3672" s="465"/>
      <c r="BF3672" s="165" t="str">
        <f t="shared" si="2787"/>
        <v>https://www.google.com/search?tbm=isch&amp;q=Raspberry%20Cupcake%20has%20raspberry%2Flemony%20fragrance.%20Deadhead%20as%20needed.%20Thorny%20%28rabbits%20may%20still%20nibble%29.%20Cut%20back%20annually%20</v>
      </c>
      <c r="BG3672" s="165" t="str">
        <f t="shared" si="2788"/>
        <v>R</v>
      </c>
      <c r="BH3672" s="65"/>
      <c r="BI3672" s="65"/>
      <c r="BJ3672" s="65"/>
      <c r="BK3672" s="65"/>
      <c r="BL3672" s="99"/>
      <c r="BM3672" s="99"/>
      <c r="BN3672" s="99"/>
    </row>
    <row r="3673" spans="1:66" s="51" customFormat="1" ht="18" x14ac:dyDescent="0.25">
      <c r="A3673" s="623" t="s">
        <v>4089</v>
      </c>
      <c r="B3673" s="624"/>
      <c r="C3673" s="709"/>
      <c r="D3673" s="625" t="s">
        <v>5797</v>
      </c>
      <c r="E3673" s="626"/>
      <c r="F3673" s="626"/>
      <c r="G3673" s="626"/>
      <c r="H3673" s="622" t="s">
        <v>1071</v>
      </c>
      <c r="I3673" s="627" t="s">
        <v>4090</v>
      </c>
      <c r="J3673" s="628"/>
      <c r="K3673" s="628"/>
      <c r="L3673" s="629"/>
      <c r="M3673" s="700" t="s">
        <v>5241</v>
      </c>
      <c r="N3673" s="693" t="str">
        <f>IF(AND(ISTEXT($A3673), ISERROR($A3673+0)), HYPERLINK($BF3673, "Images"), "")</f>
        <v>Images</v>
      </c>
      <c r="O3673" s="695" t="s">
        <v>5264</v>
      </c>
      <c r="P3673" s="630"/>
      <c r="Q3673" s="631"/>
      <c r="R3673" s="632"/>
      <c r="S3673" s="633"/>
      <c r="T3673" s="102">
        <f t="shared" si="2776"/>
        <v>0</v>
      </c>
      <c r="U3673" s="78" t="str">
        <f>IF(NOT(ISNUMBER(G3673)), "", VLOOKUP(A3673,'Discount Lookup'!D:E,2,FALSE)*G3673)</f>
        <v/>
      </c>
      <c r="V3673" s="78" t="str">
        <f>IF(NOT(ISNUMBER(G3673)), "", VLOOKUP(A3673,'Discount Lookup'!G:H,2,FALSE)*G3673)</f>
        <v/>
      </c>
      <c r="W3673" s="102">
        <f t="shared" si="2777"/>
        <v>0</v>
      </c>
      <c r="X3673" s="102" t="str">
        <f t="shared" si="2778"/>
        <v>Creamy Apricot-Pink bloom</v>
      </c>
      <c r="Y3673" s="120" t="b">
        <f t="shared" si="2779"/>
        <v>0</v>
      </c>
      <c r="Z3673" s="117">
        <f t="shared" si="2780"/>
        <v>0</v>
      </c>
      <c r="AA3673" s="118"/>
      <c r="AB3673" s="118" t="str">
        <f t="shared" si="2781"/>
        <v/>
      </c>
      <c r="AC3673" s="712" t="str">
        <f>IF(AE3673="T2G","no charge",IF(AND(OR(PlanterYesMe="No",PlanterYesMe="N",PlanterYesMe="me"),H3673=""),"",IF(H3673="credit","NO install",IF(AND(K3673="",AE3673="me"),"EACH row",IF(AND(K3673="images",AE3673="me"),"EACH row",IF(D3673="","",IF(H3673="credit","",IF(AE3673="free","re-planting",IF(AE3673="me","   not ELP, by",IF(AND(OR(PlanterYesMe="Yes",PlanterYesMe="Y"),G3673&gt;0),(VLOOKUP(A3673,'Discount Lookup'!J:K,2)*G3673*(1-PlanterDiscount)*(1+PlanterDifficultyPercentage)),IF(AE3673="ELP",(VLOOKUP(A3673,'Discount Lookup'!J:K,2)*G3673*(1-PlanterDiscount)*(1+PlanterDifficultyPercentage)),IF(AE3673="free","re-planting",IF(G3673=0,"",IF(PlanterYesMe="",IF(AE3673="me","   not ELP, by",IF(AE3673="",IF(G3673&gt;0,(VLOOKUP(A3673,'Discount Lookup'!J:K,2)*G3673*(1-PlanterDiscount)*(1+PlanterDifficultyPercentage)),""),"")),"   not ELP, by"))))))))))))))</f>
        <v/>
      </c>
      <c r="AD3673" s="712"/>
      <c r="AE3673" s="513" t="str">
        <f t="shared" si="2782"/>
        <v/>
      </c>
      <c r="AF3673" s="713" t="str">
        <f t="shared" si="2783"/>
        <v/>
      </c>
      <c r="AG3673" s="713"/>
      <c r="AH3673" s="713"/>
      <c r="AI3673" s="112">
        <f>IF(H3673="credit",0,IF(AE3673="free",0,IF(AE3673="me",0,IF(G3673&gt;0,(VLOOKUP(A3673,'Discount Lookup'!J:K,2)*G3673),0))))</f>
        <v>0</v>
      </c>
      <c r="AJ3673" s="107" t="str">
        <f t="shared" ca="1" si="2784"/>
        <v/>
      </c>
      <c r="AK3673" s="714" t="str">
        <f t="shared" si="2785"/>
        <v/>
      </c>
      <c r="AL3673" s="714"/>
      <c r="AM3673" s="114" t="str">
        <f t="shared" si="2786"/>
        <v/>
      </c>
      <c r="AN3673" s="115"/>
      <c r="AO3673" s="116"/>
      <c r="AP3673" s="116"/>
      <c r="AQ3673" s="116"/>
      <c r="AR3673" s="116"/>
      <c r="AS3673" s="116"/>
      <c r="AT3673" s="116"/>
      <c r="AU3673" s="116"/>
      <c r="AV3673" s="78"/>
      <c r="AW3673" s="102"/>
      <c r="AX3673" s="78"/>
      <c r="AY3673" s="78"/>
      <c r="AZ3673" s="78"/>
      <c r="BA3673" s="78"/>
      <c r="BB3673" s="78"/>
      <c r="BC3673" s="78"/>
      <c r="BD3673" s="78"/>
      <c r="BE3673" s="465"/>
      <c r="BF3673" s="165" t="str">
        <f t="shared" si="2787"/>
        <v>https://www.google.com/search?tbm=isch&amp;q=Rosa%20%27KORmarzau%27%20PP%2328991%20Bliss%20Parfuma%C2%AE%20Rose</v>
      </c>
      <c r="BG3673" s="165" t="str">
        <f t="shared" si="2788"/>
        <v>R</v>
      </c>
      <c r="BH3673" s="65"/>
      <c r="BI3673" s="65"/>
      <c r="BJ3673" s="65"/>
      <c r="BK3673" s="65"/>
      <c r="BL3673" s="99"/>
      <c r="BM3673" s="99"/>
      <c r="BN3673" s="99"/>
    </row>
    <row r="3674" spans="1:66" s="51" customFormat="1" ht="15.75" x14ac:dyDescent="0.25">
      <c r="A3674" s="634">
        <v>3</v>
      </c>
      <c r="B3674" s="635" t="s">
        <v>291</v>
      </c>
      <c r="C3674" s="636" t="s">
        <v>884</v>
      </c>
      <c r="D3674" s="637" t="s">
        <v>329</v>
      </c>
      <c r="E3674" s="638">
        <v>43.95</v>
      </c>
      <c r="F3674" s="639" t="s">
        <v>292</v>
      </c>
      <c r="G3674" s="484">
        <v>0</v>
      </c>
      <c r="H3674" s="691" t="str">
        <f>IF(G3674=0,"",IF(F3674="Buy",IF(G3674=1,"plant","plants"),IF(F3674&gt;0.01,"warranty","Error")))</f>
        <v/>
      </c>
      <c r="I3674" s="640">
        <f>IF(H3674="free",0,IF(H3674="credit",((E3674*(F3674))*G3674*-1),IF(F3674="Buy",(E3674*G3674),((E3674*(1-F3674))*G3674))))</f>
        <v>0</v>
      </c>
      <c r="J3674" s="640">
        <f>IF(H3674="warranty",0,(I3674*(_xlfn.SINGLE(SalesTaxPercentage))))</f>
        <v>0</v>
      </c>
      <c r="K3674" s="716">
        <f t="shared" ref="K3674" si="2790">I3674+J3674</f>
        <v>0</v>
      </c>
      <c r="L3674" s="716"/>
      <c r="M3674" s="689" t="str">
        <f ca="1">IF(AND(G3674&gt;0,E3674=0),"WARNING - no PRICE inserted",IF(H3674="free","FREE ~ no charge this plant",IF(H3674="credit",CONCATENATE("-$",ROUND(K3674*(1-_xlfn.SINGLE(T2GDiscount))*-1,2)," CREDIT after discount"),IF(_xlfn.SINGLE(T2GDiscount)=0,"",IF(G3674=0,"",IF(F3674="Buy",CONCATENATE("$",ROUND(K3674*(1-_xlfn.SINGLE(T2GDiscount)),2)," with ",(_xlfn.SINGLE(T2GDiscount)*100),"% discount"),CONCATENATE("$",ROUND(K3674*(1-_xlfn.SINGLE(T2GDiscount)),2)," with ",((_xlfn.SINGLE(T2GDiscount)*100+F3674*100)-(_xlfn.SINGLE(T2GDiscount)*100*F3674)),IF(F3674&gt;0,"% discounts",IF(_xlfn.SINGLE(NoWarrantyDiscount)&gt;0,"% discounts","% discount")))))))))</f>
        <v/>
      </c>
      <c r="N3674" s="690"/>
      <c r="O3674" s="486"/>
      <c r="P3674" s="486"/>
      <c r="Q3674" s="486"/>
      <c r="R3674" s="486"/>
      <c r="S3674" s="486"/>
      <c r="T3674" s="102">
        <f t="shared" si="2776"/>
        <v>0</v>
      </c>
      <c r="U3674" s="78">
        <f>IF(NOT(ISNUMBER(G3674)), "", VLOOKUP(A3674,'Discount Lookup'!D:E,2,FALSE)*G3674)</f>
        <v>0</v>
      </c>
      <c r="V3674" s="78">
        <f>IF(NOT(ISNUMBER(G3674)), "", VLOOKUP(A3674,'Discount Lookup'!G:H,2,FALSE)*G3674)</f>
        <v>0</v>
      </c>
      <c r="W3674" s="102">
        <f t="shared" si="2777"/>
        <v>0</v>
      </c>
      <c r="X3674" s="102">
        <f t="shared" si="2778"/>
        <v>0</v>
      </c>
      <c r="Y3674" s="120" t="b">
        <f t="shared" si="2779"/>
        <v>0</v>
      </c>
      <c r="Z3674" s="117">
        <f t="shared" si="2780"/>
        <v>0</v>
      </c>
      <c r="AA3674" s="118"/>
      <c r="AB3674" s="118" t="str">
        <f t="shared" si="2781"/>
        <v/>
      </c>
      <c r="AC3674" s="712" t="str">
        <f>IF(AE3674="T2G","no charge",IF(AND(OR(PlanterYesMe="No",PlanterYesMe="N",PlanterYesMe="me"),H3674=""),"",IF(H3674="credit","NO install",IF(AND(K3674="",AE3674="me"),"EACH row",IF(AND(K3674="images",AE3674="me"),"EACH row",IF(D3674="","",IF(H3674="credit","",IF(AE3674="free","re-planting",IF(AE3674="me","   not ELP, by",IF(AND(OR(PlanterYesMe="Yes",PlanterYesMe="Y"),G3674&gt;0),(VLOOKUP(A3674,'Discount Lookup'!J:K,2)*G3674*(1-PlanterDiscount)*(1+PlanterDifficultyPercentage)),IF(AE3674="ELP",(VLOOKUP(A3674,'Discount Lookup'!J:K,2)*G3674*(1-PlanterDiscount)*(1+PlanterDifficultyPercentage)),IF(AE3674="free","re-planting",IF(G3674=0,"",IF(PlanterYesMe="",IF(AE3674="me","   not ELP, by",IF(AE3674="",IF(G3674&gt;0,(VLOOKUP(A3674,'Discount Lookup'!J:K,2)*G3674*(1-PlanterDiscount)*(1+PlanterDifficultyPercentage)),""),"")),"   not ELP, by"))))))))))))))</f>
        <v/>
      </c>
      <c r="AD3674" s="712"/>
      <c r="AE3674" s="513" t="str">
        <f t="shared" si="2782"/>
        <v/>
      </c>
      <c r="AF3674" s="713" t="str">
        <f t="shared" si="2783"/>
        <v/>
      </c>
      <c r="AG3674" s="713"/>
      <c r="AH3674" s="713"/>
      <c r="AI3674" s="112">
        <f>IF(H3674="credit",0,IF(AE3674="free",0,IF(AE3674="me",0,IF(G3674&gt;0,(VLOOKUP(A3674,'Discount Lookup'!J:K,2)*G3674),0))))</f>
        <v>0</v>
      </c>
      <c r="AJ3674" s="107" t="str">
        <f t="shared" ca="1" si="2784"/>
        <v/>
      </c>
      <c r="AK3674" s="714" t="str">
        <f t="shared" si="2785"/>
        <v/>
      </c>
      <c r="AL3674" s="714"/>
      <c r="AM3674" s="114" t="str">
        <f t="shared" si="2786"/>
        <v/>
      </c>
      <c r="AN3674" s="115"/>
      <c r="AO3674" s="116"/>
      <c r="AP3674" s="116"/>
      <c r="AQ3674" s="116"/>
      <c r="AR3674" s="116"/>
      <c r="AS3674" s="116"/>
      <c r="AT3674" s="116"/>
      <c r="AU3674" s="116"/>
      <c r="AV3674" s="78"/>
      <c r="AW3674" s="102"/>
      <c r="AX3674" s="78"/>
      <c r="AY3674" s="78"/>
      <c r="AZ3674" s="78"/>
      <c r="BA3674" s="78"/>
      <c r="BB3674" s="78"/>
      <c r="BC3674" s="78"/>
      <c r="BD3674" s="78"/>
      <c r="BE3674" s="465"/>
      <c r="BF3674" s="165" t="str">
        <f t="shared" si="2787"/>
        <v>https://www.google.com/search?tbm=isch&amp;q=3%20G2</v>
      </c>
      <c r="BG3674" s="165" t="str">
        <f t="shared" si="2788"/>
        <v>R</v>
      </c>
      <c r="BH3674" s="65"/>
      <c r="BI3674" s="65"/>
      <c r="BJ3674" s="65"/>
      <c r="BK3674" s="65"/>
      <c r="BL3674" s="99"/>
      <c r="BM3674" s="99"/>
      <c r="BN3674" s="99"/>
    </row>
    <row r="3675" spans="1:66" s="51" customFormat="1" ht="17.25" thickBot="1" x14ac:dyDescent="0.3">
      <c r="A3675" s="641" t="s">
        <v>4787</v>
      </c>
      <c r="B3675" s="642"/>
      <c r="C3675" s="710"/>
      <c r="D3675" s="643"/>
      <c r="E3675" s="643"/>
      <c r="F3675" s="644"/>
      <c r="G3675" s="645"/>
      <c r="H3675" s="646"/>
      <c r="I3675" s="647"/>
      <c r="J3675" s="648"/>
      <c r="K3675" s="649"/>
      <c r="L3675" s="650"/>
      <c r="M3675" s="650"/>
      <c r="N3675" s="644"/>
      <c r="O3675" s="644"/>
      <c r="P3675" s="644"/>
      <c r="Q3675" s="644"/>
      <c r="R3675" s="644"/>
      <c r="S3675" s="701" t="s">
        <v>5271</v>
      </c>
      <c r="T3675" s="102">
        <f t="shared" si="2776"/>
        <v>0</v>
      </c>
      <c r="U3675" s="78" t="str">
        <f>IF(NOT(ISNUMBER(G3675)), "", VLOOKUP(A3675,'Discount Lookup'!D:E,2,FALSE)*G3675)</f>
        <v/>
      </c>
      <c r="V3675" s="78" t="str">
        <f>IF(NOT(ISNUMBER(G3675)), "", VLOOKUP(A3675,'Discount Lookup'!G:H,2,FALSE)*G3675)</f>
        <v/>
      </c>
      <c r="W3675" s="102">
        <f t="shared" si="2777"/>
        <v>0</v>
      </c>
      <c r="X3675" s="102">
        <f t="shared" si="2778"/>
        <v>0</v>
      </c>
      <c r="Y3675" s="120" t="b">
        <f t="shared" si="2779"/>
        <v>0</v>
      </c>
      <c r="Z3675" s="117">
        <f t="shared" si="2780"/>
        <v>0</v>
      </c>
      <c r="AA3675" s="118"/>
      <c r="AB3675" s="118" t="str">
        <f t="shared" si="2781"/>
        <v/>
      </c>
      <c r="AC3675" s="712" t="str">
        <f>IF(AE3675="T2G","no charge",IF(AND(OR(PlanterYesMe="No",PlanterYesMe="N",PlanterYesMe="me"),H3675=""),"",IF(H3675="credit","NO install",IF(AND(K3675="",AE3675="me"),"EACH row",IF(AND(K3675="images",AE3675="me"),"EACH row",IF(D3675="","",IF(H3675="credit","",IF(AE3675="free","re-planting",IF(AE3675="me","   not ELP, by",IF(AND(OR(PlanterYesMe="Yes",PlanterYesMe="Y"),G3675&gt;0),(VLOOKUP(A3675,'Discount Lookup'!J:K,2)*G3675*(1-PlanterDiscount)*(1+PlanterDifficultyPercentage)),IF(AE3675="ELP",(VLOOKUP(A3675,'Discount Lookup'!J:K,2)*G3675*(1-PlanterDiscount)*(1+PlanterDifficultyPercentage)),IF(AE3675="free","re-planting",IF(G3675=0,"",IF(PlanterYesMe="",IF(AE3675="me","   not ELP, by",IF(AE3675="",IF(G3675&gt;0,(VLOOKUP(A3675,'Discount Lookup'!J:K,2)*G3675*(1-PlanterDiscount)*(1+PlanterDifficultyPercentage)),""),"")),"   not ELP, by"))))))))))))))</f>
        <v/>
      </c>
      <c r="AD3675" s="712"/>
      <c r="AE3675" s="513" t="str">
        <f t="shared" si="2782"/>
        <v/>
      </c>
      <c r="AF3675" s="713" t="str">
        <f t="shared" si="2783"/>
        <v/>
      </c>
      <c r="AG3675" s="713"/>
      <c r="AH3675" s="713"/>
      <c r="AI3675" s="112">
        <f>IF(H3675="credit",0,IF(AE3675="free",0,IF(AE3675="me",0,IF(G3675&gt;0,(VLOOKUP(A3675,'Discount Lookup'!J:K,2)*G3675),0))))</f>
        <v>0</v>
      </c>
      <c r="AJ3675" s="107" t="str">
        <f t="shared" ca="1" si="2784"/>
        <v/>
      </c>
      <c r="AK3675" s="714" t="str">
        <f t="shared" si="2785"/>
        <v/>
      </c>
      <c r="AL3675" s="714"/>
      <c r="AM3675" s="114" t="str">
        <f t="shared" si="2786"/>
        <v/>
      </c>
      <c r="AN3675" s="115"/>
      <c r="AO3675" s="116"/>
      <c r="AP3675" s="116"/>
      <c r="AQ3675" s="116"/>
      <c r="AR3675" s="116"/>
      <c r="AS3675" s="116"/>
      <c r="AT3675" s="116"/>
      <c r="AU3675" s="116"/>
      <c r="AV3675" s="78"/>
      <c r="AW3675" s="102"/>
      <c r="AX3675" s="78"/>
      <c r="AY3675" s="78"/>
      <c r="AZ3675" s="78"/>
      <c r="BA3675" s="78"/>
      <c r="BB3675" s="78"/>
      <c r="BC3675" s="78"/>
      <c r="BD3675" s="78"/>
      <c r="BE3675" s="465"/>
      <c r="BF3675" s="165" t="str">
        <f t="shared" si="2787"/>
        <v>https://www.google.com/search?tbm=isch&amp;q=Bliss%20Parfuma%20has%20intensly%20fruity%20fragrance%20and%20up%20to%20120%20%20petals.%20Deadhead%20as%20needed.%20Thorny%20%28rabbits%20may%20still%20nibble%29.%20Cut%20back%20annually%20</v>
      </c>
      <c r="BG3675" s="165" t="str">
        <f t="shared" si="2788"/>
        <v>B</v>
      </c>
      <c r="BH3675" s="65"/>
      <c r="BI3675" s="65"/>
      <c r="BJ3675" s="65"/>
      <c r="BK3675" s="65"/>
      <c r="BL3675" s="99"/>
      <c r="BM3675" s="99"/>
      <c r="BN3675" s="99"/>
    </row>
    <row r="3676" spans="1:66" s="51" customFormat="1" ht="18" x14ac:dyDescent="0.25">
      <c r="A3676" s="623" t="s">
        <v>4091</v>
      </c>
      <c r="B3676" s="624"/>
      <c r="C3676" s="709"/>
      <c r="D3676" s="625" t="s">
        <v>5798</v>
      </c>
      <c r="E3676" s="626"/>
      <c r="F3676" s="626"/>
      <c r="G3676" s="626"/>
      <c r="H3676" s="622" t="s">
        <v>1071</v>
      </c>
      <c r="I3676" s="627" t="s">
        <v>4092</v>
      </c>
      <c r="J3676" s="628"/>
      <c r="K3676" s="628"/>
      <c r="L3676" s="629"/>
      <c r="M3676" s="700" t="s">
        <v>5241</v>
      </c>
      <c r="N3676" s="693" t="str">
        <f>IF(AND(ISTEXT($A3676), ISERROR($A3676+0)), HYPERLINK($BF3676, "Images"), "")</f>
        <v>Images</v>
      </c>
      <c r="O3676" s="695" t="s">
        <v>5264</v>
      </c>
      <c r="P3676" s="630"/>
      <c r="Q3676" s="631"/>
      <c r="R3676" s="632"/>
      <c r="S3676" s="633"/>
      <c r="T3676" s="102">
        <f t="shared" si="2776"/>
        <v>0</v>
      </c>
      <c r="U3676" s="78" t="str">
        <f>IF(NOT(ISNUMBER(G3676)), "", VLOOKUP(A3676,'Discount Lookup'!D:E,2,FALSE)*G3676)</f>
        <v/>
      </c>
      <c r="V3676" s="78" t="str">
        <f>IF(NOT(ISNUMBER(G3676)), "", VLOOKUP(A3676,'Discount Lookup'!G:H,2,FALSE)*G3676)</f>
        <v/>
      </c>
      <c r="W3676" s="102">
        <f t="shared" si="2777"/>
        <v>0</v>
      </c>
      <c r="X3676" s="102" t="str">
        <f t="shared" si="2778"/>
        <v>White bloom, hint of Pink inner</v>
      </c>
      <c r="Y3676" s="120" t="b">
        <f t="shared" si="2779"/>
        <v>0</v>
      </c>
      <c r="Z3676" s="117">
        <f t="shared" si="2780"/>
        <v>0</v>
      </c>
      <c r="AA3676" s="118"/>
      <c r="AB3676" s="118" t="str">
        <f t="shared" si="2781"/>
        <v/>
      </c>
      <c r="AC3676" s="712" t="str">
        <f>IF(AE3676="T2G","no charge",IF(AND(OR(PlanterYesMe="No",PlanterYesMe="N",PlanterYesMe="me"),H3676=""),"",IF(H3676="credit","NO install",IF(AND(K3676="",AE3676="me"),"EACH row",IF(AND(K3676="images",AE3676="me"),"EACH row",IF(D3676="","",IF(H3676="credit","",IF(AE3676="free","re-planting",IF(AE3676="me","   not ELP, by",IF(AND(OR(PlanterYesMe="Yes",PlanterYesMe="Y"),G3676&gt;0),(VLOOKUP(A3676,'Discount Lookup'!J:K,2)*G3676*(1-PlanterDiscount)*(1+PlanterDifficultyPercentage)),IF(AE3676="ELP",(VLOOKUP(A3676,'Discount Lookup'!J:K,2)*G3676*(1-PlanterDiscount)*(1+PlanterDifficultyPercentage)),IF(AE3676="free","re-planting",IF(G3676=0,"",IF(PlanterYesMe="",IF(AE3676="me","   not ELP, by",IF(AE3676="",IF(G3676&gt;0,(VLOOKUP(A3676,'Discount Lookup'!J:K,2)*G3676*(1-PlanterDiscount)*(1+PlanterDifficultyPercentage)),""),"")),"   not ELP, by"))))))))))))))</f>
        <v/>
      </c>
      <c r="AD3676" s="712"/>
      <c r="AE3676" s="513" t="str">
        <f t="shared" si="2782"/>
        <v/>
      </c>
      <c r="AF3676" s="713" t="str">
        <f t="shared" si="2783"/>
        <v/>
      </c>
      <c r="AG3676" s="713"/>
      <c r="AH3676" s="713"/>
      <c r="AI3676" s="112">
        <f>IF(H3676="credit",0,IF(AE3676="free",0,IF(AE3676="me",0,IF(G3676&gt;0,(VLOOKUP(A3676,'Discount Lookup'!J:K,2)*G3676),0))))</f>
        <v>0</v>
      </c>
      <c r="AJ3676" s="107" t="str">
        <f t="shared" ca="1" si="2784"/>
        <v/>
      </c>
      <c r="AK3676" s="714" t="str">
        <f t="shared" si="2785"/>
        <v/>
      </c>
      <c r="AL3676" s="714"/>
      <c r="AM3676" s="114" t="str">
        <f t="shared" si="2786"/>
        <v/>
      </c>
      <c r="AN3676" s="115"/>
      <c r="AO3676" s="116"/>
      <c r="AP3676" s="116"/>
      <c r="AQ3676" s="116"/>
      <c r="AR3676" s="116"/>
      <c r="AS3676" s="116"/>
      <c r="AT3676" s="116"/>
      <c r="AU3676" s="116"/>
      <c r="AV3676" s="78"/>
      <c r="AW3676" s="102"/>
      <c r="AX3676" s="78"/>
      <c r="AY3676" s="78"/>
      <c r="AZ3676" s="78"/>
      <c r="BA3676" s="78"/>
      <c r="BB3676" s="78"/>
      <c r="BC3676" s="78"/>
      <c r="BD3676" s="78"/>
      <c r="BE3676" s="465"/>
      <c r="BF3676" s="165" t="str">
        <f t="shared" si="2787"/>
        <v>https://www.google.com/search?tbm=isch&amp;q=Rosa%20%27Meidelweis%27%20PP%2317841%20Bolero%E2%84%A2%20Rose</v>
      </c>
      <c r="BG3676" s="165" t="str">
        <f t="shared" si="2788"/>
        <v>R</v>
      </c>
      <c r="BH3676" s="65"/>
      <c r="BI3676" s="65"/>
      <c r="BJ3676" s="65"/>
      <c r="BK3676" s="65"/>
      <c r="BL3676" s="99"/>
      <c r="BM3676" s="99"/>
      <c r="BN3676" s="99"/>
    </row>
    <row r="3677" spans="1:66" s="51" customFormat="1" ht="15.75" x14ac:dyDescent="0.25">
      <c r="A3677" s="634">
        <v>3</v>
      </c>
      <c r="B3677" s="635" t="s">
        <v>291</v>
      </c>
      <c r="C3677" s="636" t="s">
        <v>1530</v>
      </c>
      <c r="D3677" s="637" t="s">
        <v>329</v>
      </c>
      <c r="E3677" s="638">
        <v>43.95</v>
      </c>
      <c r="F3677" s="639" t="s">
        <v>292</v>
      </c>
      <c r="G3677" s="484">
        <v>0</v>
      </c>
      <c r="H3677" s="691" t="str">
        <f>IF(G3677=0,"",IF(F3677="Buy",IF(G3677=1,"plant","plants"),IF(F3677&gt;0.01,"warranty","Error")))</f>
        <v/>
      </c>
      <c r="I3677" s="640">
        <f>IF(H3677="free",0,IF(H3677="credit",((E3677*(F3677))*G3677*-1),IF(F3677="Buy",(E3677*G3677),((E3677*(1-F3677))*G3677))))</f>
        <v>0</v>
      </c>
      <c r="J3677" s="640">
        <f>IF(H3677="warranty",0,(I3677*(_xlfn.SINGLE(SalesTaxPercentage))))</f>
        <v>0</v>
      </c>
      <c r="K3677" s="716">
        <f t="shared" ref="K3677" si="2791">I3677+J3677</f>
        <v>0</v>
      </c>
      <c r="L3677" s="716"/>
      <c r="M3677" s="689" t="str">
        <f ca="1">IF(AND(G3677&gt;0,E3677=0),"WARNING - no PRICE inserted",IF(H3677="free","FREE ~ no charge this plant",IF(H3677="credit",CONCATENATE("-$",ROUND(K3677*(1-_xlfn.SINGLE(T2GDiscount))*-1,2)," CREDIT after discount"),IF(_xlfn.SINGLE(T2GDiscount)=0,"",IF(G3677=0,"",IF(F3677="Buy",CONCATENATE("$",ROUND(K3677*(1-_xlfn.SINGLE(T2GDiscount)),2)," with ",(_xlfn.SINGLE(T2GDiscount)*100),"% discount"),CONCATENATE("$",ROUND(K3677*(1-_xlfn.SINGLE(T2GDiscount)),2)," with ",((_xlfn.SINGLE(T2GDiscount)*100+F3677*100)-(_xlfn.SINGLE(T2GDiscount)*100*F3677)),IF(F3677&gt;0,"% discounts",IF(_xlfn.SINGLE(NoWarrantyDiscount)&gt;0,"% discounts","% discount")))))))))</f>
        <v/>
      </c>
      <c r="N3677" s="690"/>
      <c r="O3677" s="486"/>
      <c r="P3677" s="486"/>
      <c r="Q3677" s="486"/>
      <c r="R3677" s="486"/>
      <c r="S3677" s="486"/>
      <c r="T3677" s="102">
        <f t="shared" si="2776"/>
        <v>0</v>
      </c>
      <c r="U3677" s="78">
        <f>IF(NOT(ISNUMBER(G3677)), "", VLOOKUP(A3677,'Discount Lookup'!D:E,2,FALSE)*G3677)</f>
        <v>0</v>
      </c>
      <c r="V3677" s="78">
        <f>IF(NOT(ISNUMBER(G3677)), "", VLOOKUP(A3677,'Discount Lookup'!G:H,2,FALSE)*G3677)</f>
        <v>0</v>
      </c>
      <c r="W3677" s="102">
        <f t="shared" si="2777"/>
        <v>0</v>
      </c>
      <c r="X3677" s="102">
        <f t="shared" si="2778"/>
        <v>0</v>
      </c>
      <c r="Y3677" s="120" t="b">
        <f t="shared" si="2779"/>
        <v>0</v>
      </c>
      <c r="Z3677" s="117">
        <f t="shared" si="2780"/>
        <v>0</v>
      </c>
      <c r="AA3677" s="118"/>
      <c r="AB3677" s="118" t="str">
        <f t="shared" si="2781"/>
        <v/>
      </c>
      <c r="AC3677" s="712" t="str">
        <f>IF(AE3677="T2G","no charge",IF(AND(OR(PlanterYesMe="No",PlanterYesMe="N",PlanterYesMe="me"),H3677=""),"",IF(H3677="credit","NO install",IF(AND(K3677="",AE3677="me"),"EACH row",IF(AND(K3677="images",AE3677="me"),"EACH row",IF(D3677="","",IF(H3677="credit","",IF(AE3677="free","re-planting",IF(AE3677="me","   not ELP, by",IF(AND(OR(PlanterYesMe="Yes",PlanterYesMe="Y"),G3677&gt;0),(VLOOKUP(A3677,'Discount Lookup'!J:K,2)*G3677*(1-PlanterDiscount)*(1+PlanterDifficultyPercentage)),IF(AE3677="ELP",(VLOOKUP(A3677,'Discount Lookup'!J:K,2)*G3677*(1-PlanterDiscount)*(1+PlanterDifficultyPercentage)),IF(AE3677="free","re-planting",IF(G3677=0,"",IF(PlanterYesMe="",IF(AE3677="me","   not ELP, by",IF(AE3677="",IF(G3677&gt;0,(VLOOKUP(A3677,'Discount Lookup'!J:K,2)*G3677*(1-PlanterDiscount)*(1+PlanterDifficultyPercentage)),""),"")),"   not ELP, by"))))))))))))))</f>
        <v/>
      </c>
      <c r="AD3677" s="712"/>
      <c r="AE3677" s="513" t="str">
        <f t="shared" si="2782"/>
        <v/>
      </c>
      <c r="AF3677" s="713" t="str">
        <f t="shared" si="2783"/>
        <v/>
      </c>
      <c r="AG3677" s="713"/>
      <c r="AH3677" s="713"/>
      <c r="AI3677" s="112">
        <f>IF(H3677="credit",0,IF(AE3677="free",0,IF(AE3677="me",0,IF(G3677&gt;0,(VLOOKUP(A3677,'Discount Lookup'!J:K,2)*G3677),0))))</f>
        <v>0</v>
      </c>
      <c r="AJ3677" s="107" t="str">
        <f t="shared" ca="1" si="2784"/>
        <v/>
      </c>
      <c r="AK3677" s="714" t="str">
        <f t="shared" si="2785"/>
        <v/>
      </c>
      <c r="AL3677" s="714"/>
      <c r="AM3677" s="114" t="str">
        <f t="shared" si="2786"/>
        <v/>
      </c>
      <c r="AN3677" s="115"/>
      <c r="AO3677" s="116"/>
      <c r="AP3677" s="116"/>
      <c r="AQ3677" s="116"/>
      <c r="AR3677" s="116"/>
      <c r="AS3677" s="116"/>
      <c r="AT3677" s="116"/>
      <c r="AU3677" s="116"/>
      <c r="AV3677" s="78"/>
      <c r="AW3677" s="102"/>
      <c r="AX3677" s="78"/>
      <c r="AY3677" s="78"/>
      <c r="AZ3677" s="78"/>
      <c r="BA3677" s="78"/>
      <c r="BB3677" s="78"/>
      <c r="BC3677" s="78"/>
      <c r="BD3677" s="78"/>
      <c r="BE3677" s="465"/>
      <c r="BF3677" s="165" t="str">
        <f t="shared" si="2787"/>
        <v>https://www.google.com/search?tbm=isch&amp;q=3%20G2</v>
      </c>
      <c r="BG3677" s="165" t="str">
        <f t="shared" si="2788"/>
        <v>R</v>
      </c>
      <c r="BH3677" s="65"/>
      <c r="BI3677" s="65"/>
      <c r="BJ3677" s="65"/>
      <c r="BK3677" s="65"/>
      <c r="BL3677" s="99"/>
      <c r="BM3677" s="99"/>
      <c r="BN3677" s="99"/>
    </row>
    <row r="3678" spans="1:66" s="51" customFormat="1" ht="17.25" thickBot="1" x14ac:dyDescent="0.3">
      <c r="A3678" s="641" t="s">
        <v>4788</v>
      </c>
      <c r="B3678" s="642"/>
      <c r="C3678" s="710"/>
      <c r="D3678" s="643"/>
      <c r="E3678" s="643"/>
      <c r="F3678" s="644"/>
      <c r="G3678" s="645"/>
      <c r="H3678" s="646"/>
      <c r="I3678" s="647"/>
      <c r="J3678" s="648"/>
      <c r="K3678" s="649"/>
      <c r="L3678" s="650"/>
      <c r="M3678" s="650"/>
      <c r="N3678" s="644"/>
      <c r="O3678" s="644"/>
      <c r="P3678" s="644"/>
      <c r="Q3678" s="644"/>
      <c r="R3678" s="644"/>
      <c r="S3678" s="701" t="s">
        <v>5271</v>
      </c>
      <c r="T3678" s="102">
        <f t="shared" si="2776"/>
        <v>0</v>
      </c>
      <c r="U3678" s="78" t="str">
        <f>IF(NOT(ISNUMBER(G3678)), "", VLOOKUP(A3678,'Discount Lookup'!D:E,2,FALSE)*G3678)</f>
        <v/>
      </c>
      <c r="V3678" s="78" t="str">
        <f>IF(NOT(ISNUMBER(G3678)), "", VLOOKUP(A3678,'Discount Lookup'!G:H,2,FALSE)*G3678)</f>
        <v/>
      </c>
      <c r="W3678" s="102">
        <f t="shared" si="2777"/>
        <v>0</v>
      </c>
      <c r="X3678" s="102">
        <f t="shared" si="2778"/>
        <v>0</v>
      </c>
      <c r="Y3678" s="120" t="b">
        <f t="shared" si="2779"/>
        <v>0</v>
      </c>
      <c r="Z3678" s="117">
        <f t="shared" si="2780"/>
        <v>0</v>
      </c>
      <c r="AA3678" s="118"/>
      <c r="AB3678" s="118" t="str">
        <f t="shared" si="2781"/>
        <v/>
      </c>
      <c r="AC3678" s="712" t="str">
        <f>IF(AE3678="T2G","no charge",IF(AND(OR(PlanterYesMe="No",PlanterYesMe="N",PlanterYesMe="me"),H3678=""),"",IF(H3678="credit","NO install",IF(AND(K3678="",AE3678="me"),"EACH row",IF(AND(K3678="images",AE3678="me"),"EACH row",IF(D3678="","",IF(H3678="credit","",IF(AE3678="free","re-planting",IF(AE3678="me","   not ELP, by",IF(AND(OR(PlanterYesMe="Yes",PlanterYesMe="Y"),G3678&gt;0),(VLOOKUP(A3678,'Discount Lookup'!J:K,2)*G3678*(1-PlanterDiscount)*(1+PlanterDifficultyPercentage)),IF(AE3678="ELP",(VLOOKUP(A3678,'Discount Lookup'!J:K,2)*G3678*(1-PlanterDiscount)*(1+PlanterDifficultyPercentage)),IF(AE3678="free","re-planting",IF(G3678=0,"",IF(PlanterYesMe="",IF(AE3678="me","   not ELP, by",IF(AE3678="",IF(G3678&gt;0,(VLOOKUP(A3678,'Discount Lookup'!J:K,2)*G3678*(1-PlanterDiscount)*(1+PlanterDifficultyPercentage)),""),"")),"   not ELP, by"))))))))))))))</f>
        <v/>
      </c>
      <c r="AD3678" s="712"/>
      <c r="AE3678" s="513" t="str">
        <f t="shared" si="2782"/>
        <v/>
      </c>
      <c r="AF3678" s="713" t="str">
        <f t="shared" si="2783"/>
        <v/>
      </c>
      <c r="AG3678" s="713"/>
      <c r="AH3678" s="713"/>
      <c r="AI3678" s="112">
        <f>IF(H3678="credit",0,IF(AE3678="free",0,IF(AE3678="me",0,IF(G3678&gt;0,(VLOOKUP(A3678,'Discount Lookup'!J:K,2)*G3678),0))))</f>
        <v>0</v>
      </c>
      <c r="AJ3678" s="107" t="str">
        <f t="shared" ca="1" si="2784"/>
        <v/>
      </c>
      <c r="AK3678" s="714" t="str">
        <f t="shared" si="2785"/>
        <v/>
      </c>
      <c r="AL3678" s="714"/>
      <c r="AM3678" s="114" t="str">
        <f t="shared" si="2786"/>
        <v/>
      </c>
      <c r="AN3678" s="115"/>
      <c r="AO3678" s="116"/>
      <c r="AP3678" s="116"/>
      <c r="AQ3678" s="116"/>
      <c r="AR3678" s="116"/>
      <c r="AS3678" s="116"/>
      <c r="AT3678" s="116"/>
      <c r="AU3678" s="116"/>
      <c r="AV3678" s="78"/>
      <c r="AW3678" s="102"/>
      <c r="AX3678" s="78"/>
      <c r="AY3678" s="78"/>
      <c r="AZ3678" s="78"/>
      <c r="BA3678" s="78"/>
      <c r="BB3678" s="78"/>
      <c r="BC3678" s="78"/>
      <c r="BD3678" s="78"/>
      <c r="BE3678" s="465"/>
      <c r="BF3678" s="165" t="str">
        <f t="shared" si="2787"/>
        <v>https://www.google.com/search?tbm=isch&amp;q=Bolero%20has%20intensly%20traditional%20fragrance%2C%20hints%20of%20tropical%20fruit.%20Deadhead%20as%20needed.%20Thorny%20%28rabbits%20may%20still%20nibble%29.%20Cut%20back%20annually%20</v>
      </c>
      <c r="BG3678" s="165" t="str">
        <f t="shared" si="2788"/>
        <v>B</v>
      </c>
      <c r="BH3678" s="65"/>
      <c r="BI3678" s="65"/>
      <c r="BJ3678" s="65"/>
      <c r="BK3678" s="65"/>
      <c r="BL3678" s="99"/>
      <c r="BM3678" s="99"/>
      <c r="BN3678" s="99"/>
    </row>
    <row r="3679" spans="1:66" s="51" customFormat="1" ht="18" x14ac:dyDescent="0.25">
      <c r="A3679" s="623" t="s">
        <v>4093</v>
      </c>
      <c r="B3679" s="624"/>
      <c r="C3679" s="709"/>
      <c r="D3679" s="625" t="s">
        <v>5799</v>
      </c>
      <c r="E3679" s="626"/>
      <c r="F3679" s="626"/>
      <c r="G3679" s="626"/>
      <c r="H3679" s="622" t="s">
        <v>4895</v>
      </c>
      <c r="I3679" s="627" t="s">
        <v>4094</v>
      </c>
      <c r="J3679" s="628"/>
      <c r="K3679" s="628"/>
      <c r="L3679" s="629"/>
      <c r="M3679" s="700" t="s">
        <v>5241</v>
      </c>
      <c r="N3679" s="693" t="str">
        <f>IF(AND(ISTEXT($A3679), ISERROR($A3679+0)), HYPERLINK($BF3679, "Images"), "")</f>
        <v>Images</v>
      </c>
      <c r="O3679" s="695" t="s">
        <v>5264</v>
      </c>
      <c r="P3679" s="630"/>
      <c r="Q3679" s="631"/>
      <c r="R3679" s="632"/>
      <c r="S3679" s="633"/>
      <c r="T3679" s="102">
        <f t="shared" si="2776"/>
        <v>0</v>
      </c>
      <c r="U3679" s="78" t="str">
        <f>IF(NOT(ISNUMBER(G3679)), "", VLOOKUP(A3679,'Discount Lookup'!D:E,2,FALSE)*G3679)</f>
        <v/>
      </c>
      <c r="V3679" s="78" t="str">
        <f>IF(NOT(ISNUMBER(G3679)), "", VLOOKUP(A3679,'Discount Lookup'!G:H,2,FALSE)*G3679)</f>
        <v/>
      </c>
      <c r="W3679" s="102">
        <f t="shared" si="2777"/>
        <v>0</v>
      </c>
      <c r="X3679" s="102" t="str">
        <f t="shared" si="2778"/>
        <v>Buttery-Yellow, fading to Cream</v>
      </c>
      <c r="Y3679" s="120" t="b">
        <f t="shared" si="2779"/>
        <v>0</v>
      </c>
      <c r="Z3679" s="117">
        <f t="shared" si="2780"/>
        <v>0</v>
      </c>
      <c r="AA3679" s="118"/>
      <c r="AB3679" s="118" t="str">
        <f t="shared" si="2781"/>
        <v/>
      </c>
      <c r="AC3679" s="712" t="str">
        <f>IF(AE3679="T2G","no charge",IF(AND(OR(PlanterYesMe="No",PlanterYesMe="N",PlanterYesMe="me"),H3679=""),"",IF(H3679="credit","NO install",IF(AND(K3679="",AE3679="me"),"EACH row",IF(AND(K3679="images",AE3679="me"),"EACH row",IF(D3679="","",IF(H3679="credit","",IF(AE3679="free","re-planting",IF(AE3679="me","   not ELP, by",IF(AND(OR(PlanterYesMe="Yes",PlanterYesMe="Y"),G3679&gt;0),(VLOOKUP(A3679,'Discount Lookup'!J:K,2)*G3679*(1-PlanterDiscount)*(1+PlanterDifficultyPercentage)),IF(AE3679="ELP",(VLOOKUP(A3679,'Discount Lookup'!J:K,2)*G3679*(1-PlanterDiscount)*(1+PlanterDifficultyPercentage)),IF(AE3679="free","re-planting",IF(G3679=0,"",IF(PlanterYesMe="",IF(AE3679="me","   not ELP, by",IF(AE3679="",IF(G3679&gt;0,(VLOOKUP(A3679,'Discount Lookup'!J:K,2)*G3679*(1-PlanterDiscount)*(1+PlanterDifficultyPercentage)),""),"")),"   not ELP, by"))))))))))))))</f>
        <v/>
      </c>
      <c r="AD3679" s="712"/>
      <c r="AE3679" s="513" t="str">
        <f t="shared" si="2782"/>
        <v/>
      </c>
      <c r="AF3679" s="713" t="str">
        <f t="shared" si="2783"/>
        <v/>
      </c>
      <c r="AG3679" s="713"/>
      <c r="AH3679" s="713"/>
      <c r="AI3679" s="112">
        <f>IF(H3679="credit",0,IF(AE3679="free",0,IF(AE3679="me",0,IF(G3679&gt;0,(VLOOKUP(A3679,'Discount Lookup'!J:K,2)*G3679),0))))</f>
        <v>0</v>
      </c>
      <c r="AJ3679" s="107" t="str">
        <f t="shared" ca="1" si="2784"/>
        <v/>
      </c>
      <c r="AK3679" s="714" t="str">
        <f t="shared" si="2785"/>
        <v/>
      </c>
      <c r="AL3679" s="714"/>
      <c r="AM3679" s="114" t="str">
        <f t="shared" si="2786"/>
        <v/>
      </c>
      <c r="AN3679" s="115"/>
      <c r="AO3679" s="116"/>
      <c r="AP3679" s="116"/>
      <c r="AQ3679" s="116"/>
      <c r="AR3679" s="116"/>
      <c r="AS3679" s="116"/>
      <c r="AT3679" s="116"/>
      <c r="AU3679" s="116"/>
      <c r="AV3679" s="78"/>
      <c r="AW3679" s="102"/>
      <c r="AX3679" s="78"/>
      <c r="AY3679" s="78"/>
      <c r="AZ3679" s="78"/>
      <c r="BA3679" s="78"/>
      <c r="BB3679" s="78"/>
      <c r="BC3679" s="78"/>
      <c r="BD3679" s="78"/>
      <c r="BE3679" s="465"/>
      <c r="BF3679" s="165" t="str">
        <f t="shared" si="2787"/>
        <v>https://www.google.com/search?tbm=isch&amp;q=Rosa%20%27Meidevi%27%20PP%2335825%20Buttercream%20Drift%C2%AE%20Rose</v>
      </c>
      <c r="BG3679" s="165" t="str">
        <f t="shared" si="2788"/>
        <v>R</v>
      </c>
      <c r="BH3679" s="65"/>
      <c r="BI3679" s="65"/>
      <c r="BJ3679" s="65"/>
      <c r="BK3679" s="65"/>
      <c r="BL3679" s="99"/>
      <c r="BM3679" s="99"/>
      <c r="BN3679" s="99"/>
    </row>
    <row r="3680" spans="1:66" s="51" customFormat="1" ht="15.75" x14ac:dyDescent="0.25">
      <c r="A3680" s="634">
        <v>3</v>
      </c>
      <c r="B3680" s="635" t="s">
        <v>291</v>
      </c>
      <c r="C3680" s="636" t="s">
        <v>4095</v>
      </c>
      <c r="D3680" s="637" t="s">
        <v>329</v>
      </c>
      <c r="E3680" s="638">
        <v>31.95</v>
      </c>
      <c r="F3680" s="639" t="s">
        <v>292</v>
      </c>
      <c r="G3680" s="484">
        <v>0</v>
      </c>
      <c r="H3680" s="691" t="str">
        <f>IF(G3680=0,"",IF(F3680="Buy",IF(G3680=1,"plant","plants"),IF(F3680&gt;0.01,"warranty","Error")))</f>
        <v/>
      </c>
      <c r="I3680" s="640">
        <f>IF(H3680="free",0,IF(H3680="credit",((E3680*(F3680))*G3680*-1),IF(F3680="Buy",(E3680*G3680),((E3680*(1-F3680))*G3680))))</f>
        <v>0</v>
      </c>
      <c r="J3680" s="640">
        <f>IF(H3680="warranty",0,(I3680*(_xlfn.SINGLE(SalesTaxPercentage))))</f>
        <v>0</v>
      </c>
      <c r="K3680" s="716">
        <f t="shared" ref="K3680" si="2792">I3680+J3680</f>
        <v>0</v>
      </c>
      <c r="L3680" s="716"/>
      <c r="M3680" s="689" t="str">
        <f ca="1">IF(AND(G3680&gt;0,E3680=0),"WARNING - no PRICE inserted",IF(H3680="free","FREE ~ no charge this plant",IF(H3680="credit",CONCATENATE("-$",ROUND(K3680*(1-_xlfn.SINGLE(T2GDiscount))*-1,2)," CREDIT after discount"),IF(_xlfn.SINGLE(T2GDiscount)=0,"",IF(G3680=0,"",IF(F3680="Buy",CONCATENATE("$",ROUND(K3680*(1-_xlfn.SINGLE(T2GDiscount)),2)," with ",(_xlfn.SINGLE(T2GDiscount)*100),"% discount"),CONCATENATE("$",ROUND(K3680*(1-_xlfn.SINGLE(T2GDiscount)),2)," with ",((_xlfn.SINGLE(T2GDiscount)*100+F3680*100)-(_xlfn.SINGLE(T2GDiscount)*100*F3680)),IF(F3680&gt;0,"% discounts",IF(_xlfn.SINGLE(NoWarrantyDiscount)&gt;0,"% discounts","% discount")))))))))</f>
        <v/>
      </c>
      <c r="N3680" s="690"/>
      <c r="O3680" s="486"/>
      <c r="P3680" s="486"/>
      <c r="Q3680" s="486"/>
      <c r="R3680" s="486"/>
      <c r="S3680" s="486"/>
      <c r="T3680" s="102">
        <f t="shared" si="2776"/>
        <v>0</v>
      </c>
      <c r="U3680" s="78">
        <f>IF(NOT(ISNUMBER(G3680)), "", VLOOKUP(A3680,'Discount Lookup'!D:E,2,FALSE)*G3680)</f>
        <v>0</v>
      </c>
      <c r="V3680" s="78">
        <f>IF(NOT(ISNUMBER(G3680)), "", VLOOKUP(A3680,'Discount Lookup'!G:H,2,FALSE)*G3680)</f>
        <v>0</v>
      </c>
      <c r="W3680" s="102">
        <f t="shared" si="2777"/>
        <v>0</v>
      </c>
      <c r="X3680" s="102">
        <f t="shared" si="2778"/>
        <v>0</v>
      </c>
      <c r="Y3680" s="120" t="b">
        <f t="shared" si="2779"/>
        <v>0</v>
      </c>
      <c r="Z3680" s="117">
        <f t="shared" si="2780"/>
        <v>0</v>
      </c>
      <c r="AA3680" s="118"/>
      <c r="AB3680" s="118" t="str">
        <f t="shared" si="2781"/>
        <v/>
      </c>
      <c r="AC3680" s="712" t="str">
        <f>IF(AE3680="T2G","no charge",IF(AND(OR(PlanterYesMe="No",PlanterYesMe="N",PlanterYesMe="me"),H3680=""),"",IF(H3680="credit","NO install",IF(AND(K3680="",AE3680="me"),"EACH row",IF(AND(K3680="images",AE3680="me"),"EACH row",IF(D3680="","",IF(H3680="credit","",IF(AE3680="free","re-planting",IF(AE3680="me","   not ELP, by",IF(AND(OR(PlanterYesMe="Yes",PlanterYesMe="Y"),G3680&gt;0),(VLOOKUP(A3680,'Discount Lookup'!J:K,2)*G3680*(1-PlanterDiscount)*(1+PlanterDifficultyPercentage)),IF(AE3680="ELP",(VLOOKUP(A3680,'Discount Lookup'!J:K,2)*G3680*(1-PlanterDiscount)*(1+PlanterDifficultyPercentage)),IF(AE3680="free","re-planting",IF(G3680=0,"",IF(PlanterYesMe="",IF(AE3680="me","   not ELP, by",IF(AE3680="",IF(G3680&gt;0,(VLOOKUP(A3680,'Discount Lookup'!J:K,2)*G3680*(1-PlanterDiscount)*(1+PlanterDifficultyPercentage)),""),"")),"   not ELP, by"))))))))))))))</f>
        <v/>
      </c>
      <c r="AD3680" s="712"/>
      <c r="AE3680" s="513" t="str">
        <f t="shared" si="2782"/>
        <v/>
      </c>
      <c r="AF3680" s="713" t="str">
        <f t="shared" si="2783"/>
        <v/>
      </c>
      <c r="AG3680" s="713"/>
      <c r="AH3680" s="713"/>
      <c r="AI3680" s="112">
        <f>IF(H3680="credit",0,IF(AE3680="free",0,IF(AE3680="me",0,IF(G3680&gt;0,(VLOOKUP(A3680,'Discount Lookup'!J:K,2)*G3680),0))))</f>
        <v>0</v>
      </c>
      <c r="AJ3680" s="107" t="str">
        <f t="shared" ca="1" si="2784"/>
        <v/>
      </c>
      <c r="AK3680" s="714" t="str">
        <f t="shared" si="2785"/>
        <v/>
      </c>
      <c r="AL3680" s="714"/>
      <c r="AM3680" s="114" t="str">
        <f t="shared" si="2786"/>
        <v/>
      </c>
      <c r="AN3680" s="115"/>
      <c r="AO3680" s="116"/>
      <c r="AP3680" s="116"/>
      <c r="AQ3680" s="116"/>
      <c r="AR3680" s="116"/>
      <c r="AS3680" s="116"/>
      <c r="AT3680" s="116"/>
      <c r="AU3680" s="116"/>
      <c r="AV3680" s="78"/>
      <c r="AW3680" s="102"/>
      <c r="AX3680" s="78"/>
      <c r="AY3680" s="78"/>
      <c r="AZ3680" s="78"/>
      <c r="BA3680" s="78"/>
      <c r="BB3680" s="78"/>
      <c r="BC3680" s="78"/>
      <c r="BD3680" s="78"/>
      <c r="BE3680" s="465"/>
      <c r="BF3680" s="165" t="str">
        <f t="shared" si="2787"/>
        <v>https://www.google.com/search?tbm=isch&amp;q=3%20G2</v>
      </c>
      <c r="BG3680" s="165" t="str">
        <f t="shared" si="2788"/>
        <v>R</v>
      </c>
      <c r="BH3680" s="65"/>
      <c r="BI3680" s="65"/>
      <c r="BJ3680" s="65"/>
      <c r="BK3680" s="65"/>
      <c r="BL3680" s="99"/>
      <c r="BM3680" s="99"/>
      <c r="BN3680" s="99"/>
    </row>
    <row r="3681" spans="1:66" s="51" customFormat="1" ht="17.25" thickBot="1" x14ac:dyDescent="0.3">
      <c r="A3681" s="641" t="s">
        <v>4789</v>
      </c>
      <c r="B3681" s="642"/>
      <c r="C3681" s="710"/>
      <c r="D3681" s="643"/>
      <c r="E3681" s="643"/>
      <c r="F3681" s="644"/>
      <c r="G3681" s="645"/>
      <c r="H3681" s="646"/>
      <c r="I3681" s="647"/>
      <c r="J3681" s="648"/>
      <c r="K3681" s="649"/>
      <c r="L3681" s="650"/>
      <c r="M3681" s="650"/>
      <c r="N3681" s="644"/>
      <c r="O3681" s="644"/>
      <c r="P3681" s="644"/>
      <c r="Q3681" s="644"/>
      <c r="R3681" s="644"/>
      <c r="S3681" s="701" t="s">
        <v>5271</v>
      </c>
      <c r="T3681" s="102">
        <f t="shared" si="2776"/>
        <v>0</v>
      </c>
      <c r="U3681" s="78" t="str">
        <f>IF(NOT(ISNUMBER(G3681)), "", VLOOKUP(A3681,'Discount Lookup'!D:E,2,FALSE)*G3681)</f>
        <v/>
      </c>
      <c r="V3681" s="78" t="str">
        <f>IF(NOT(ISNUMBER(G3681)), "", VLOOKUP(A3681,'Discount Lookup'!G:H,2,FALSE)*G3681)</f>
        <v/>
      </c>
      <c r="W3681" s="102">
        <f t="shared" si="2777"/>
        <v>0</v>
      </c>
      <c r="X3681" s="102">
        <f t="shared" si="2778"/>
        <v>0</v>
      </c>
      <c r="Y3681" s="120" t="b">
        <f t="shared" si="2779"/>
        <v>0</v>
      </c>
      <c r="Z3681" s="117">
        <f t="shared" si="2780"/>
        <v>0</v>
      </c>
      <c r="AA3681" s="118"/>
      <c r="AB3681" s="118" t="str">
        <f t="shared" si="2781"/>
        <v/>
      </c>
      <c r="AC3681" s="712" t="str">
        <f>IF(AE3681="T2G","no charge",IF(AND(OR(PlanterYesMe="No",PlanterYesMe="N",PlanterYesMe="me"),H3681=""),"",IF(H3681="credit","NO install",IF(AND(K3681="",AE3681="me"),"EACH row",IF(AND(K3681="images",AE3681="me"),"EACH row",IF(D3681="","",IF(H3681="credit","",IF(AE3681="free","re-planting",IF(AE3681="me","   not ELP, by",IF(AND(OR(PlanterYesMe="Yes",PlanterYesMe="Y"),G3681&gt;0),(VLOOKUP(A3681,'Discount Lookup'!J:K,2)*G3681*(1-PlanterDiscount)*(1+PlanterDifficultyPercentage)),IF(AE3681="ELP",(VLOOKUP(A3681,'Discount Lookup'!J:K,2)*G3681*(1-PlanterDiscount)*(1+PlanterDifficultyPercentage)),IF(AE3681="free","re-planting",IF(G3681=0,"",IF(PlanterYesMe="",IF(AE3681="me","   not ELP, by",IF(AE3681="",IF(G3681&gt;0,(VLOOKUP(A3681,'Discount Lookup'!J:K,2)*G3681*(1-PlanterDiscount)*(1+PlanterDifficultyPercentage)),""),"")),"   not ELP, by"))))))))))))))</f>
        <v/>
      </c>
      <c r="AD3681" s="712"/>
      <c r="AE3681" s="513" t="str">
        <f t="shared" si="2782"/>
        <v/>
      </c>
      <c r="AF3681" s="713" t="str">
        <f t="shared" si="2783"/>
        <v/>
      </c>
      <c r="AG3681" s="713"/>
      <c r="AH3681" s="713"/>
      <c r="AI3681" s="112">
        <f>IF(H3681="credit",0,IF(AE3681="free",0,IF(AE3681="me",0,IF(G3681&gt;0,(VLOOKUP(A3681,'Discount Lookup'!J:K,2)*G3681),0))))</f>
        <v>0</v>
      </c>
      <c r="AJ3681" s="107" t="str">
        <f t="shared" ca="1" si="2784"/>
        <v/>
      </c>
      <c r="AK3681" s="714" t="str">
        <f t="shared" si="2785"/>
        <v/>
      </c>
      <c r="AL3681" s="714"/>
      <c r="AM3681" s="114" t="str">
        <f t="shared" si="2786"/>
        <v/>
      </c>
      <c r="AN3681" s="115"/>
      <c r="AO3681" s="116"/>
      <c r="AP3681" s="116"/>
      <c r="AQ3681" s="116"/>
      <c r="AR3681" s="116"/>
      <c r="AS3681" s="116"/>
      <c r="AT3681" s="116"/>
      <c r="AU3681" s="116"/>
      <c r="AV3681" s="78"/>
      <c r="AW3681" s="102"/>
      <c r="AX3681" s="78"/>
      <c r="AY3681" s="78"/>
      <c r="AZ3681" s="78"/>
      <c r="BA3681" s="78"/>
      <c r="BB3681" s="78"/>
      <c r="BC3681" s="78"/>
      <c r="BD3681" s="78"/>
      <c r="BE3681" s="465"/>
      <c r="BF3681" s="165" t="str">
        <f t="shared" si="2787"/>
        <v>https://www.google.com/search?tbm=isch&amp;q=Drift%20Roses%20bloom%20all%20summer%20and%20don%27t%20need%20deadheading%2C%20Glossy%20Green%20foliage%20and%20thorns%20%28rabbits%20may%20still%20nibble%29.%20Cut%20back%20annually%20</v>
      </c>
      <c r="BG3681" s="165" t="str">
        <f t="shared" si="2788"/>
        <v>D</v>
      </c>
      <c r="BH3681" s="65"/>
      <c r="BI3681" s="65"/>
      <c r="BJ3681" s="65"/>
      <c r="BK3681" s="65"/>
      <c r="BL3681" s="99"/>
      <c r="BM3681" s="99"/>
      <c r="BN3681" s="99"/>
    </row>
    <row r="3682" spans="1:66" s="51" customFormat="1" ht="18" x14ac:dyDescent="0.25">
      <c r="A3682" s="623" t="s">
        <v>4096</v>
      </c>
      <c r="B3682" s="624"/>
      <c r="C3682" s="709"/>
      <c r="D3682" s="625" t="s">
        <v>5800</v>
      </c>
      <c r="E3682" s="626"/>
      <c r="F3682" s="626"/>
      <c r="G3682" s="626"/>
      <c r="H3682" s="622" t="s">
        <v>1439</v>
      </c>
      <c r="I3682" s="627" t="s">
        <v>4097</v>
      </c>
      <c r="J3682" s="628"/>
      <c r="K3682" s="628"/>
      <c r="L3682" s="629"/>
      <c r="M3682" s="700" t="s">
        <v>5241</v>
      </c>
      <c r="N3682" s="693" t="str">
        <f>IF(AND(ISTEXT($A3682), ISERROR($A3682+0)), HYPERLINK($BF3682, "Images"), "")</f>
        <v>Images</v>
      </c>
      <c r="O3682" s="695" t="s">
        <v>5264</v>
      </c>
      <c r="P3682" s="630"/>
      <c r="Q3682" s="631"/>
      <c r="R3682" s="632"/>
      <c r="S3682" s="633"/>
      <c r="T3682" s="102">
        <f t="shared" si="2776"/>
        <v>0</v>
      </c>
      <c r="U3682" s="78" t="str">
        <f>IF(NOT(ISNUMBER(G3682)), "", VLOOKUP(A3682,'Discount Lookup'!D:E,2,FALSE)*G3682)</f>
        <v/>
      </c>
      <c r="V3682" s="78" t="str">
        <f>IF(NOT(ISNUMBER(G3682)), "", VLOOKUP(A3682,'Discount Lookup'!G:H,2,FALSE)*G3682)</f>
        <v/>
      </c>
      <c r="W3682" s="102">
        <f t="shared" si="2777"/>
        <v>0</v>
      </c>
      <c r="X3682" s="102" t="str">
        <f t="shared" si="2778"/>
        <v>Coral-Orange bloom</v>
      </c>
      <c r="Y3682" s="120" t="b">
        <f t="shared" si="2779"/>
        <v>0</v>
      </c>
      <c r="Z3682" s="117">
        <f t="shared" si="2780"/>
        <v>0</v>
      </c>
      <c r="AA3682" s="118"/>
      <c r="AB3682" s="118" t="str">
        <f t="shared" si="2781"/>
        <v/>
      </c>
      <c r="AC3682" s="712" t="str">
        <f>IF(AE3682="T2G","no charge",IF(AND(OR(PlanterYesMe="No",PlanterYesMe="N",PlanterYesMe="me"),H3682=""),"",IF(H3682="credit","NO install",IF(AND(K3682="",AE3682="me"),"EACH row",IF(AND(K3682="images",AE3682="me"),"EACH row",IF(D3682="","",IF(H3682="credit","",IF(AE3682="free","re-planting",IF(AE3682="me","   not ELP, by",IF(AND(OR(PlanterYesMe="Yes",PlanterYesMe="Y"),G3682&gt;0),(VLOOKUP(A3682,'Discount Lookup'!J:K,2)*G3682*(1-PlanterDiscount)*(1+PlanterDifficultyPercentage)),IF(AE3682="ELP",(VLOOKUP(A3682,'Discount Lookup'!J:K,2)*G3682*(1-PlanterDiscount)*(1+PlanterDifficultyPercentage)),IF(AE3682="free","re-planting",IF(G3682=0,"",IF(PlanterYesMe="",IF(AE3682="me","   not ELP, by",IF(AE3682="",IF(G3682&gt;0,(VLOOKUP(A3682,'Discount Lookup'!J:K,2)*G3682*(1-PlanterDiscount)*(1+PlanterDifficultyPercentage)),""),"")),"   not ELP, by"))))))))))))))</f>
        <v/>
      </c>
      <c r="AD3682" s="712"/>
      <c r="AE3682" s="513" t="str">
        <f t="shared" si="2782"/>
        <v/>
      </c>
      <c r="AF3682" s="713" t="str">
        <f t="shared" si="2783"/>
        <v/>
      </c>
      <c r="AG3682" s="713"/>
      <c r="AH3682" s="713"/>
      <c r="AI3682" s="112">
        <f>IF(H3682="credit",0,IF(AE3682="free",0,IF(AE3682="me",0,IF(G3682&gt;0,(VLOOKUP(A3682,'Discount Lookup'!J:K,2)*G3682),0))))</f>
        <v>0</v>
      </c>
      <c r="AJ3682" s="107" t="str">
        <f t="shared" ca="1" si="2784"/>
        <v/>
      </c>
      <c r="AK3682" s="714" t="str">
        <f t="shared" si="2785"/>
        <v/>
      </c>
      <c r="AL3682" s="714"/>
      <c r="AM3682" s="114" t="str">
        <f t="shared" si="2786"/>
        <v/>
      </c>
      <c r="AN3682" s="115"/>
      <c r="AO3682" s="116"/>
      <c r="AP3682" s="116"/>
      <c r="AQ3682" s="116"/>
      <c r="AR3682" s="116"/>
      <c r="AS3682" s="116"/>
      <c r="AT3682" s="116"/>
      <c r="AU3682" s="116"/>
      <c r="AV3682" s="78"/>
      <c r="AW3682" s="102"/>
      <c r="AX3682" s="78"/>
      <c r="AY3682" s="78"/>
      <c r="AZ3682" s="78"/>
      <c r="BA3682" s="78"/>
      <c r="BB3682" s="78"/>
      <c r="BC3682" s="78"/>
      <c r="BD3682" s="78"/>
      <c r="BE3682" s="465"/>
      <c r="BF3682" s="165" t="str">
        <f t="shared" si="2787"/>
        <v>https://www.google.com/search?tbm=isch&amp;q=Rosa%20%27Meidrifora%27%20PP%2319148%20Coral%20Drift%C2%AE%20Rose</v>
      </c>
      <c r="BG3682" s="165" t="str">
        <f t="shared" si="2788"/>
        <v>R</v>
      </c>
      <c r="BH3682" s="65"/>
      <c r="BI3682" s="65"/>
      <c r="BJ3682" s="65"/>
      <c r="BK3682" s="65"/>
      <c r="BL3682" s="99"/>
      <c r="BM3682" s="99"/>
      <c r="BN3682" s="99"/>
    </row>
    <row r="3683" spans="1:66" s="51" customFormat="1" ht="15.75" x14ac:dyDescent="0.25">
      <c r="A3683" s="634">
        <v>3</v>
      </c>
      <c r="B3683" s="635" t="s">
        <v>291</v>
      </c>
      <c r="C3683" s="636" t="s">
        <v>2962</v>
      </c>
      <c r="D3683" s="637" t="s">
        <v>329</v>
      </c>
      <c r="E3683" s="638">
        <v>31.95</v>
      </c>
      <c r="F3683" s="639" t="s">
        <v>292</v>
      </c>
      <c r="G3683" s="484">
        <v>0</v>
      </c>
      <c r="H3683" s="691" t="str">
        <f>IF(G3683=0,"",IF(F3683="Buy",IF(G3683=1,"plant","plants"),IF(F3683&gt;0.01,"warranty","Error")))</f>
        <v/>
      </c>
      <c r="I3683" s="640">
        <f>IF(H3683="free",0,IF(H3683="credit",((E3683*(F3683))*G3683*-1),IF(F3683="Buy",(E3683*G3683),((E3683*(1-F3683))*G3683))))</f>
        <v>0</v>
      </c>
      <c r="J3683" s="640">
        <f>IF(H3683="warranty",0,(I3683*(_xlfn.SINGLE(SalesTaxPercentage))))</f>
        <v>0</v>
      </c>
      <c r="K3683" s="716">
        <f t="shared" ref="K3683" si="2793">I3683+J3683</f>
        <v>0</v>
      </c>
      <c r="L3683" s="716"/>
      <c r="M3683" s="689" t="str">
        <f ca="1">IF(AND(G3683&gt;0,E3683=0),"WARNING - no PRICE inserted",IF(H3683="free","FREE ~ no charge this plant",IF(H3683="credit",CONCATENATE("-$",ROUND(K3683*(1-_xlfn.SINGLE(T2GDiscount))*-1,2)," CREDIT after discount"),IF(_xlfn.SINGLE(T2GDiscount)=0,"",IF(G3683=0,"",IF(F3683="Buy",CONCATENATE("$",ROUND(K3683*(1-_xlfn.SINGLE(T2GDiscount)),2)," with ",(_xlfn.SINGLE(T2GDiscount)*100),"% discount"),CONCATENATE("$",ROUND(K3683*(1-_xlfn.SINGLE(T2GDiscount)),2)," with ",((_xlfn.SINGLE(T2GDiscount)*100+F3683*100)-(_xlfn.SINGLE(T2GDiscount)*100*F3683)),IF(F3683&gt;0,"% discounts",IF(_xlfn.SINGLE(NoWarrantyDiscount)&gt;0,"% discounts","% discount")))))))))</f>
        <v/>
      </c>
      <c r="N3683" s="690"/>
      <c r="O3683" s="486"/>
      <c r="P3683" s="486"/>
      <c r="Q3683" s="486"/>
      <c r="R3683" s="486"/>
      <c r="S3683" s="486"/>
      <c r="T3683" s="102">
        <f t="shared" si="2776"/>
        <v>0</v>
      </c>
      <c r="U3683" s="78">
        <f>IF(NOT(ISNUMBER(G3683)), "", VLOOKUP(A3683,'Discount Lookup'!D:E,2,FALSE)*G3683)</f>
        <v>0</v>
      </c>
      <c r="V3683" s="78">
        <f>IF(NOT(ISNUMBER(G3683)), "", VLOOKUP(A3683,'Discount Lookup'!G:H,2,FALSE)*G3683)</f>
        <v>0</v>
      </c>
      <c r="W3683" s="102">
        <f t="shared" si="2777"/>
        <v>0</v>
      </c>
      <c r="X3683" s="102">
        <f t="shared" si="2778"/>
        <v>0</v>
      </c>
      <c r="Y3683" s="120" t="b">
        <f t="shared" si="2779"/>
        <v>0</v>
      </c>
      <c r="Z3683" s="117">
        <f t="shared" si="2780"/>
        <v>0</v>
      </c>
      <c r="AA3683" s="118"/>
      <c r="AB3683" s="118" t="str">
        <f t="shared" si="2781"/>
        <v/>
      </c>
      <c r="AC3683" s="712" t="str">
        <f>IF(AE3683="T2G","no charge",IF(AND(OR(PlanterYesMe="No",PlanterYesMe="N",PlanterYesMe="me"),H3683=""),"",IF(H3683="credit","NO install",IF(AND(K3683="",AE3683="me"),"EACH row",IF(AND(K3683="images",AE3683="me"),"EACH row",IF(D3683="","",IF(H3683="credit","",IF(AE3683="free","re-planting",IF(AE3683="me","   not ELP, by",IF(AND(OR(PlanterYesMe="Yes",PlanterYesMe="Y"),G3683&gt;0),(VLOOKUP(A3683,'Discount Lookup'!J:K,2)*G3683*(1-PlanterDiscount)*(1+PlanterDifficultyPercentage)),IF(AE3683="ELP",(VLOOKUP(A3683,'Discount Lookup'!J:K,2)*G3683*(1-PlanterDiscount)*(1+PlanterDifficultyPercentage)),IF(AE3683="free","re-planting",IF(G3683=0,"",IF(PlanterYesMe="",IF(AE3683="me","   not ELP, by",IF(AE3683="",IF(G3683&gt;0,(VLOOKUP(A3683,'Discount Lookup'!J:K,2)*G3683*(1-PlanterDiscount)*(1+PlanterDifficultyPercentage)),""),"")),"   not ELP, by"))))))))))))))</f>
        <v/>
      </c>
      <c r="AD3683" s="712"/>
      <c r="AE3683" s="513" t="str">
        <f t="shared" si="2782"/>
        <v/>
      </c>
      <c r="AF3683" s="713" t="str">
        <f t="shared" si="2783"/>
        <v/>
      </c>
      <c r="AG3683" s="713"/>
      <c r="AH3683" s="713"/>
      <c r="AI3683" s="112">
        <f>IF(H3683="credit",0,IF(AE3683="free",0,IF(AE3683="me",0,IF(G3683&gt;0,(VLOOKUP(A3683,'Discount Lookup'!J:K,2)*G3683),0))))</f>
        <v>0</v>
      </c>
      <c r="AJ3683" s="107" t="str">
        <f t="shared" ca="1" si="2784"/>
        <v/>
      </c>
      <c r="AK3683" s="714" t="str">
        <f t="shared" si="2785"/>
        <v/>
      </c>
      <c r="AL3683" s="714"/>
      <c r="AM3683" s="114" t="str">
        <f t="shared" si="2786"/>
        <v/>
      </c>
      <c r="AN3683" s="115"/>
      <c r="AO3683" s="116"/>
      <c r="AP3683" s="116"/>
      <c r="AQ3683" s="116"/>
      <c r="AR3683" s="116"/>
      <c r="AS3683" s="116"/>
      <c r="AT3683" s="116"/>
      <c r="AU3683" s="116"/>
      <c r="AV3683" s="78"/>
      <c r="AW3683" s="102"/>
      <c r="AX3683" s="78"/>
      <c r="AY3683" s="78"/>
      <c r="AZ3683" s="78"/>
      <c r="BA3683" s="78"/>
      <c r="BB3683" s="78"/>
      <c r="BC3683" s="78"/>
      <c r="BD3683" s="78"/>
      <c r="BE3683" s="465"/>
      <c r="BF3683" s="165" t="str">
        <f t="shared" si="2787"/>
        <v>https://www.google.com/search?tbm=isch&amp;q=3%20G2</v>
      </c>
      <c r="BG3683" s="165" t="str">
        <f t="shared" si="2788"/>
        <v>R</v>
      </c>
      <c r="BH3683" s="65"/>
      <c r="BI3683" s="65"/>
      <c r="BJ3683" s="65"/>
      <c r="BK3683" s="65"/>
      <c r="BL3683" s="99"/>
      <c r="BM3683" s="99"/>
      <c r="BN3683" s="99"/>
    </row>
    <row r="3684" spans="1:66" s="51" customFormat="1" ht="17.25" thickBot="1" x14ac:dyDescent="0.3">
      <c r="A3684" s="641" t="s">
        <v>4789</v>
      </c>
      <c r="B3684" s="642"/>
      <c r="C3684" s="710"/>
      <c r="D3684" s="643"/>
      <c r="E3684" s="643"/>
      <c r="F3684" s="644"/>
      <c r="G3684" s="645"/>
      <c r="H3684" s="646"/>
      <c r="I3684" s="647"/>
      <c r="J3684" s="648"/>
      <c r="K3684" s="649"/>
      <c r="L3684" s="650"/>
      <c r="M3684" s="650"/>
      <c r="N3684" s="644"/>
      <c r="O3684" s="644"/>
      <c r="P3684" s="644"/>
      <c r="Q3684" s="644"/>
      <c r="R3684" s="644"/>
      <c r="S3684" s="701" t="s">
        <v>5271</v>
      </c>
      <c r="T3684" s="102">
        <f t="shared" si="2776"/>
        <v>0</v>
      </c>
      <c r="U3684" s="78" t="str">
        <f>IF(NOT(ISNUMBER(G3684)), "", VLOOKUP(A3684,'Discount Lookup'!D:E,2,FALSE)*G3684)</f>
        <v/>
      </c>
      <c r="V3684" s="78" t="str">
        <f>IF(NOT(ISNUMBER(G3684)), "", VLOOKUP(A3684,'Discount Lookup'!G:H,2,FALSE)*G3684)</f>
        <v/>
      </c>
      <c r="W3684" s="102">
        <f t="shared" si="2777"/>
        <v>0</v>
      </c>
      <c r="X3684" s="102">
        <f t="shared" si="2778"/>
        <v>0</v>
      </c>
      <c r="Y3684" s="120" t="b">
        <f t="shared" si="2779"/>
        <v>0</v>
      </c>
      <c r="Z3684" s="117">
        <f t="shared" si="2780"/>
        <v>0</v>
      </c>
      <c r="AA3684" s="118"/>
      <c r="AB3684" s="118" t="str">
        <f t="shared" si="2781"/>
        <v/>
      </c>
      <c r="AC3684" s="712" t="str">
        <f>IF(AE3684="T2G","no charge",IF(AND(OR(PlanterYesMe="No",PlanterYesMe="N",PlanterYesMe="me"),H3684=""),"",IF(H3684="credit","NO install",IF(AND(K3684="",AE3684="me"),"EACH row",IF(AND(K3684="images",AE3684="me"),"EACH row",IF(D3684="","",IF(H3684="credit","",IF(AE3684="free","re-planting",IF(AE3684="me","   not ELP, by",IF(AND(OR(PlanterYesMe="Yes",PlanterYesMe="Y"),G3684&gt;0),(VLOOKUP(A3684,'Discount Lookup'!J:K,2)*G3684*(1-PlanterDiscount)*(1+PlanterDifficultyPercentage)),IF(AE3684="ELP",(VLOOKUP(A3684,'Discount Lookup'!J:K,2)*G3684*(1-PlanterDiscount)*(1+PlanterDifficultyPercentage)),IF(AE3684="free","re-planting",IF(G3684=0,"",IF(PlanterYesMe="",IF(AE3684="me","   not ELP, by",IF(AE3684="",IF(G3684&gt;0,(VLOOKUP(A3684,'Discount Lookup'!J:K,2)*G3684*(1-PlanterDiscount)*(1+PlanterDifficultyPercentage)),""),"")),"   not ELP, by"))))))))))))))</f>
        <v/>
      </c>
      <c r="AD3684" s="712"/>
      <c r="AE3684" s="513" t="str">
        <f t="shared" si="2782"/>
        <v/>
      </c>
      <c r="AF3684" s="713" t="str">
        <f t="shared" si="2783"/>
        <v/>
      </c>
      <c r="AG3684" s="713"/>
      <c r="AH3684" s="713"/>
      <c r="AI3684" s="112">
        <f>IF(H3684="credit",0,IF(AE3684="free",0,IF(AE3684="me",0,IF(G3684&gt;0,(VLOOKUP(A3684,'Discount Lookup'!J:K,2)*G3684),0))))</f>
        <v>0</v>
      </c>
      <c r="AJ3684" s="107" t="str">
        <f t="shared" ca="1" si="2784"/>
        <v/>
      </c>
      <c r="AK3684" s="714" t="str">
        <f t="shared" si="2785"/>
        <v/>
      </c>
      <c r="AL3684" s="714"/>
      <c r="AM3684" s="114" t="str">
        <f t="shared" si="2786"/>
        <v/>
      </c>
      <c r="AN3684" s="115"/>
      <c r="AO3684" s="116"/>
      <c r="AP3684" s="116"/>
      <c r="AQ3684" s="116"/>
      <c r="AR3684" s="116"/>
      <c r="AS3684" s="116"/>
      <c r="AT3684" s="116"/>
      <c r="AU3684" s="116"/>
      <c r="AV3684" s="78"/>
      <c r="AW3684" s="102"/>
      <c r="AX3684" s="78"/>
      <c r="AY3684" s="78"/>
      <c r="AZ3684" s="78"/>
      <c r="BA3684" s="78"/>
      <c r="BB3684" s="78"/>
      <c r="BC3684" s="78"/>
      <c r="BD3684" s="78"/>
      <c r="BE3684" s="465"/>
      <c r="BF3684" s="165" t="str">
        <f t="shared" si="2787"/>
        <v>https://www.google.com/search?tbm=isch&amp;q=Drift%20Roses%20bloom%20all%20summer%20and%20don%27t%20need%20deadheading%2C%20Glossy%20Green%20foliage%20and%20thorns%20%28rabbits%20may%20still%20nibble%29.%20Cut%20back%20annually%20</v>
      </c>
      <c r="BG3684" s="165" t="str">
        <f t="shared" si="2788"/>
        <v>D</v>
      </c>
      <c r="BH3684" s="65"/>
      <c r="BI3684" s="65"/>
      <c r="BJ3684" s="65"/>
      <c r="BK3684" s="65"/>
      <c r="BL3684" s="99"/>
      <c r="BM3684" s="99"/>
      <c r="BN3684" s="99"/>
    </row>
    <row r="3685" spans="1:66" s="51" customFormat="1" ht="18" x14ac:dyDescent="0.25">
      <c r="A3685" s="623" t="s">
        <v>4098</v>
      </c>
      <c r="B3685" s="624"/>
      <c r="C3685" s="709"/>
      <c r="D3685" s="625" t="s">
        <v>5801</v>
      </c>
      <c r="E3685" s="626"/>
      <c r="F3685" s="626"/>
      <c r="G3685" s="626"/>
      <c r="H3685" s="622" t="s">
        <v>1439</v>
      </c>
      <c r="I3685" s="627" t="s">
        <v>1458</v>
      </c>
      <c r="J3685" s="628"/>
      <c r="K3685" s="628"/>
      <c r="L3685" s="629"/>
      <c r="M3685" s="700" t="s">
        <v>5241</v>
      </c>
      <c r="N3685" s="693" t="str">
        <f>IF(AND(ISTEXT($A3685), ISERROR($A3685+0)), HYPERLINK($BF3685, "Images"), "")</f>
        <v>Images</v>
      </c>
      <c r="O3685" s="695" t="s">
        <v>5264</v>
      </c>
      <c r="P3685" s="630"/>
      <c r="Q3685" s="631"/>
      <c r="R3685" s="632"/>
      <c r="S3685" s="633"/>
      <c r="T3685" s="102">
        <f t="shared" si="2776"/>
        <v>0</v>
      </c>
      <c r="U3685" s="78" t="str">
        <f>IF(NOT(ISNUMBER(G3685)), "", VLOOKUP(A3685,'Discount Lookup'!D:E,2,FALSE)*G3685)</f>
        <v/>
      </c>
      <c r="V3685" s="78" t="str">
        <f>IF(NOT(ISNUMBER(G3685)), "", VLOOKUP(A3685,'Discount Lookup'!G:H,2,FALSE)*G3685)</f>
        <v/>
      </c>
      <c r="W3685" s="102">
        <f t="shared" si="2777"/>
        <v>0</v>
      </c>
      <c r="X3685" s="102" t="str">
        <f t="shared" si="2778"/>
        <v>Pink bloom</v>
      </c>
      <c r="Y3685" s="120" t="b">
        <f t="shared" si="2779"/>
        <v>0</v>
      </c>
      <c r="Z3685" s="117">
        <f t="shared" si="2780"/>
        <v>0</v>
      </c>
      <c r="AA3685" s="118"/>
      <c r="AB3685" s="118" t="str">
        <f t="shared" si="2781"/>
        <v/>
      </c>
      <c r="AC3685" s="712" t="str">
        <f>IF(AE3685="T2G","no charge",IF(AND(OR(PlanterYesMe="No",PlanterYesMe="N",PlanterYesMe="me"),H3685=""),"",IF(H3685="credit","NO install",IF(AND(K3685="",AE3685="me"),"EACH row",IF(AND(K3685="images",AE3685="me"),"EACH row",IF(D3685="","",IF(H3685="credit","",IF(AE3685="free","re-planting",IF(AE3685="me","   not ELP, by",IF(AND(OR(PlanterYesMe="Yes",PlanterYesMe="Y"),G3685&gt;0),(VLOOKUP(A3685,'Discount Lookup'!J:K,2)*G3685*(1-PlanterDiscount)*(1+PlanterDifficultyPercentage)),IF(AE3685="ELP",(VLOOKUP(A3685,'Discount Lookup'!J:K,2)*G3685*(1-PlanterDiscount)*(1+PlanterDifficultyPercentage)),IF(AE3685="free","re-planting",IF(G3685=0,"",IF(PlanterYesMe="",IF(AE3685="me","   not ELP, by",IF(AE3685="",IF(G3685&gt;0,(VLOOKUP(A3685,'Discount Lookup'!J:K,2)*G3685*(1-PlanterDiscount)*(1+PlanterDifficultyPercentage)),""),"")),"   not ELP, by"))))))))))))))</f>
        <v/>
      </c>
      <c r="AD3685" s="712"/>
      <c r="AE3685" s="513" t="str">
        <f t="shared" si="2782"/>
        <v/>
      </c>
      <c r="AF3685" s="713" t="str">
        <f t="shared" si="2783"/>
        <v/>
      </c>
      <c r="AG3685" s="713"/>
      <c r="AH3685" s="713"/>
      <c r="AI3685" s="112">
        <f>IF(H3685="credit",0,IF(AE3685="free",0,IF(AE3685="me",0,IF(G3685&gt;0,(VLOOKUP(A3685,'Discount Lookup'!J:K,2)*G3685),0))))</f>
        <v>0</v>
      </c>
      <c r="AJ3685" s="107" t="str">
        <f t="shared" ca="1" si="2784"/>
        <v/>
      </c>
      <c r="AK3685" s="714" t="str">
        <f t="shared" si="2785"/>
        <v/>
      </c>
      <c r="AL3685" s="714"/>
      <c r="AM3685" s="114" t="str">
        <f t="shared" si="2786"/>
        <v/>
      </c>
      <c r="AN3685" s="115"/>
      <c r="AO3685" s="116"/>
      <c r="AP3685" s="116"/>
      <c r="AQ3685" s="116"/>
      <c r="AR3685" s="116"/>
      <c r="AS3685" s="116"/>
      <c r="AT3685" s="116"/>
      <c r="AU3685" s="116"/>
      <c r="AV3685" s="78"/>
      <c r="AW3685" s="102"/>
      <c r="AX3685" s="78"/>
      <c r="AY3685" s="78"/>
      <c r="AZ3685" s="78"/>
      <c r="BA3685" s="78"/>
      <c r="BB3685" s="78"/>
      <c r="BC3685" s="78"/>
      <c r="BD3685" s="78"/>
      <c r="BE3685" s="465"/>
      <c r="BF3685" s="165" t="str">
        <f t="shared" si="2787"/>
        <v>https://www.google.com/search?tbm=isch&amp;q=Rosa%20%27Meifranjin%27%20PP%2333507%20Blushing%20Drift%C2%AE%20Rose</v>
      </c>
      <c r="BG3685" s="165" t="str">
        <f t="shared" si="2788"/>
        <v>R</v>
      </c>
      <c r="BH3685" s="65"/>
      <c r="BI3685" s="65"/>
      <c r="BJ3685" s="65"/>
      <c r="BK3685" s="65"/>
      <c r="BL3685" s="99"/>
      <c r="BM3685" s="99"/>
      <c r="BN3685" s="99"/>
    </row>
    <row r="3686" spans="1:66" s="51" customFormat="1" ht="15.75" x14ac:dyDescent="0.25">
      <c r="A3686" s="634">
        <v>3</v>
      </c>
      <c r="B3686" s="635" t="s">
        <v>291</v>
      </c>
      <c r="C3686" s="636"/>
      <c r="D3686" s="637" t="s">
        <v>310</v>
      </c>
      <c r="E3686" s="638">
        <v>31.95</v>
      </c>
      <c r="F3686" s="639" t="s">
        <v>292</v>
      </c>
      <c r="G3686" s="484">
        <v>0</v>
      </c>
      <c r="H3686" s="691" t="str">
        <f>IF(G3686=0,"",IF(F3686="Buy",IF(G3686=1,"plant","plants"),IF(F3686&gt;0.01,"warranty","Error")))</f>
        <v/>
      </c>
      <c r="I3686" s="640">
        <f>IF(H3686="free",0,IF(H3686="credit",((E3686*(F3686))*G3686*-1),IF(F3686="Buy",(E3686*G3686),((E3686*(1-F3686))*G3686))))</f>
        <v>0</v>
      </c>
      <c r="J3686" s="640">
        <f>IF(H3686="warranty",0,(I3686*(_xlfn.SINGLE(SalesTaxPercentage))))</f>
        <v>0</v>
      </c>
      <c r="K3686" s="716">
        <f t="shared" ref="K3686" si="2794">I3686+J3686</f>
        <v>0</v>
      </c>
      <c r="L3686" s="716"/>
      <c r="M3686" s="689" t="str">
        <f ca="1">IF(AND(G3686&gt;0,E3686=0),"WARNING - no PRICE inserted",IF(H3686="free","FREE ~ no charge this plant",IF(H3686="credit",CONCATENATE("-$",ROUND(K3686*(1-_xlfn.SINGLE(T2GDiscount))*-1,2)," CREDIT after discount"),IF(_xlfn.SINGLE(T2GDiscount)=0,"",IF(G3686=0,"",IF(F3686="Buy",CONCATENATE("$",ROUND(K3686*(1-_xlfn.SINGLE(T2GDiscount)),2)," with ",(_xlfn.SINGLE(T2GDiscount)*100),"% discount"),CONCATENATE("$",ROUND(K3686*(1-_xlfn.SINGLE(T2GDiscount)),2)," with ",((_xlfn.SINGLE(T2GDiscount)*100+F3686*100)-(_xlfn.SINGLE(T2GDiscount)*100*F3686)),IF(F3686&gt;0,"% discounts",IF(_xlfn.SINGLE(NoWarrantyDiscount)&gt;0,"% discounts","% discount")))))))))</f>
        <v/>
      </c>
      <c r="N3686" s="690"/>
      <c r="O3686" s="486"/>
      <c r="P3686" s="486"/>
      <c r="Q3686" s="486"/>
      <c r="R3686" s="486"/>
      <c r="S3686" s="486"/>
      <c r="T3686" s="102">
        <f t="shared" si="2776"/>
        <v>0</v>
      </c>
      <c r="U3686" s="78">
        <f>IF(NOT(ISNUMBER(G3686)), "", VLOOKUP(A3686,'Discount Lookup'!D:E,2,FALSE)*G3686)</f>
        <v>0</v>
      </c>
      <c r="V3686" s="78">
        <f>IF(NOT(ISNUMBER(G3686)), "", VLOOKUP(A3686,'Discount Lookup'!G:H,2,FALSE)*G3686)</f>
        <v>0</v>
      </c>
      <c r="W3686" s="102">
        <f t="shared" si="2777"/>
        <v>0</v>
      </c>
      <c r="X3686" s="102">
        <f t="shared" si="2778"/>
        <v>0</v>
      </c>
      <c r="Y3686" s="120" t="b">
        <f t="shared" si="2779"/>
        <v>0</v>
      </c>
      <c r="Z3686" s="117">
        <f t="shared" si="2780"/>
        <v>0</v>
      </c>
      <c r="AA3686" s="118"/>
      <c r="AB3686" s="118" t="str">
        <f t="shared" si="2781"/>
        <v/>
      </c>
      <c r="AC3686" s="712" t="str">
        <f>IF(AE3686="T2G","no charge",IF(AND(OR(PlanterYesMe="No",PlanterYesMe="N",PlanterYesMe="me"),H3686=""),"",IF(H3686="credit","NO install",IF(AND(K3686="",AE3686="me"),"EACH row",IF(AND(K3686="images",AE3686="me"),"EACH row",IF(D3686="","",IF(H3686="credit","",IF(AE3686="free","re-planting",IF(AE3686="me","   not ELP, by",IF(AND(OR(PlanterYesMe="Yes",PlanterYesMe="Y"),G3686&gt;0),(VLOOKUP(A3686,'Discount Lookup'!J:K,2)*G3686*(1-PlanterDiscount)*(1+PlanterDifficultyPercentage)),IF(AE3686="ELP",(VLOOKUP(A3686,'Discount Lookup'!J:K,2)*G3686*(1-PlanterDiscount)*(1+PlanterDifficultyPercentage)),IF(AE3686="free","re-planting",IF(G3686=0,"",IF(PlanterYesMe="",IF(AE3686="me","   not ELP, by",IF(AE3686="",IF(G3686&gt;0,(VLOOKUP(A3686,'Discount Lookup'!J:K,2)*G3686*(1-PlanterDiscount)*(1+PlanterDifficultyPercentage)),""),"")),"   not ELP, by"))))))))))))))</f>
        <v/>
      </c>
      <c r="AD3686" s="712"/>
      <c r="AE3686" s="513" t="str">
        <f t="shared" si="2782"/>
        <v/>
      </c>
      <c r="AF3686" s="713" t="str">
        <f t="shared" si="2783"/>
        <v/>
      </c>
      <c r="AG3686" s="713"/>
      <c r="AH3686" s="713"/>
      <c r="AI3686" s="112">
        <f>IF(H3686="credit",0,IF(AE3686="free",0,IF(AE3686="me",0,IF(G3686&gt;0,(VLOOKUP(A3686,'Discount Lookup'!J:K,2)*G3686),0))))</f>
        <v>0</v>
      </c>
      <c r="AJ3686" s="107" t="str">
        <f t="shared" ca="1" si="2784"/>
        <v/>
      </c>
      <c r="AK3686" s="714" t="str">
        <f t="shared" si="2785"/>
        <v/>
      </c>
      <c r="AL3686" s="714"/>
      <c r="AM3686" s="114" t="str">
        <f t="shared" si="2786"/>
        <v/>
      </c>
      <c r="AN3686" s="115"/>
      <c r="AO3686" s="116"/>
      <c r="AP3686" s="116"/>
      <c r="AQ3686" s="116"/>
      <c r="AR3686" s="116"/>
      <c r="AS3686" s="116"/>
      <c r="AT3686" s="116"/>
      <c r="AU3686" s="116"/>
      <c r="AV3686" s="78"/>
      <c r="AW3686" s="102"/>
      <c r="AX3686" s="78"/>
      <c r="AY3686" s="78"/>
      <c r="AZ3686" s="78"/>
      <c r="BA3686" s="78"/>
      <c r="BB3686" s="78"/>
      <c r="BC3686" s="78"/>
      <c r="BD3686" s="78"/>
      <c r="BE3686" s="465"/>
      <c r="BF3686" s="165" t="str">
        <f t="shared" si="2787"/>
        <v>https://www.google.com/search?tbm=isch&amp;q=3%20G1</v>
      </c>
      <c r="BG3686" s="165" t="str">
        <f t="shared" si="2788"/>
        <v>R</v>
      </c>
      <c r="BH3686" s="65"/>
      <c r="BI3686" s="65"/>
      <c r="BJ3686" s="65"/>
      <c r="BK3686" s="65"/>
      <c r="BL3686" s="99"/>
      <c r="BM3686" s="99"/>
      <c r="BN3686" s="99"/>
    </row>
    <row r="3687" spans="1:66" s="51" customFormat="1" ht="15.75" x14ac:dyDescent="0.25">
      <c r="A3687" s="634">
        <v>3</v>
      </c>
      <c r="B3687" s="635" t="s">
        <v>291</v>
      </c>
      <c r="C3687" s="636" t="s">
        <v>4095</v>
      </c>
      <c r="D3687" s="637" t="s">
        <v>329</v>
      </c>
      <c r="E3687" s="638">
        <v>31.95</v>
      </c>
      <c r="F3687" s="639" t="s">
        <v>292</v>
      </c>
      <c r="G3687" s="484">
        <v>0</v>
      </c>
      <c r="H3687" s="691" t="str">
        <f>IF(G3687=0,"",IF(F3687="Buy",IF(G3687=1,"plant","plants"),IF(F3687&gt;0.01,"warranty","Error")))</f>
        <v/>
      </c>
      <c r="I3687" s="640">
        <f>IF(H3687="free",0,IF(H3687="credit",((E3687*(F3687))*G3687*-1),IF(F3687="Buy",(E3687*G3687),((E3687*(1-F3687))*G3687))))</f>
        <v>0</v>
      </c>
      <c r="J3687" s="640">
        <f>IF(H3687="warranty",0,(I3687*(_xlfn.SINGLE(SalesTaxPercentage))))</f>
        <v>0</v>
      </c>
      <c r="K3687" s="716">
        <f t="shared" ref="K3687" si="2795">I3687+J3687</f>
        <v>0</v>
      </c>
      <c r="L3687" s="716"/>
      <c r="M3687" s="689" t="str">
        <f ca="1">IF(AND(G3687&gt;0,E3687=0),"WARNING - no PRICE inserted",IF(H3687="free","FREE ~ no charge this plant",IF(H3687="credit",CONCATENATE("-$",ROUND(K3687*(1-_xlfn.SINGLE(T2GDiscount))*-1,2)," CREDIT after discount"),IF(_xlfn.SINGLE(T2GDiscount)=0,"",IF(G3687=0,"",IF(F3687="Buy",CONCATENATE("$",ROUND(K3687*(1-_xlfn.SINGLE(T2GDiscount)),2)," with ",(_xlfn.SINGLE(T2GDiscount)*100),"% discount"),CONCATENATE("$",ROUND(K3687*(1-_xlfn.SINGLE(T2GDiscount)),2)," with ",((_xlfn.SINGLE(T2GDiscount)*100+F3687*100)-(_xlfn.SINGLE(T2GDiscount)*100*F3687)),IF(F3687&gt;0,"% discounts",IF(_xlfn.SINGLE(NoWarrantyDiscount)&gt;0,"% discounts","% discount")))))))))</f>
        <v/>
      </c>
      <c r="N3687" s="690"/>
      <c r="O3687" s="486"/>
      <c r="P3687" s="486"/>
      <c r="Q3687" s="486"/>
      <c r="R3687" s="486"/>
      <c r="S3687" s="486"/>
      <c r="T3687" s="102">
        <f t="shared" si="2776"/>
        <v>0</v>
      </c>
      <c r="U3687" s="78">
        <f>IF(NOT(ISNUMBER(G3687)), "", VLOOKUP(A3687,'Discount Lookup'!D:E,2,FALSE)*G3687)</f>
        <v>0</v>
      </c>
      <c r="V3687" s="78">
        <f>IF(NOT(ISNUMBER(G3687)), "", VLOOKUP(A3687,'Discount Lookup'!G:H,2,FALSE)*G3687)</f>
        <v>0</v>
      </c>
      <c r="W3687" s="102">
        <f t="shared" si="2777"/>
        <v>0</v>
      </c>
      <c r="X3687" s="102">
        <f t="shared" si="2778"/>
        <v>0</v>
      </c>
      <c r="Y3687" s="120" t="b">
        <f t="shared" si="2779"/>
        <v>0</v>
      </c>
      <c r="Z3687" s="117">
        <f t="shared" si="2780"/>
        <v>0</v>
      </c>
      <c r="AA3687" s="118"/>
      <c r="AB3687" s="118" t="str">
        <f t="shared" si="2781"/>
        <v/>
      </c>
      <c r="AC3687" s="712" t="str">
        <f>IF(AE3687="T2G","no charge",IF(AND(OR(PlanterYesMe="No",PlanterYesMe="N",PlanterYesMe="me"),H3687=""),"",IF(H3687="credit","NO install",IF(AND(K3687="",AE3687="me"),"EACH row",IF(AND(K3687="images",AE3687="me"),"EACH row",IF(D3687="","",IF(H3687="credit","",IF(AE3687="free","re-planting",IF(AE3687="me","   not ELP, by",IF(AND(OR(PlanterYesMe="Yes",PlanterYesMe="Y"),G3687&gt;0),(VLOOKUP(A3687,'Discount Lookup'!J:K,2)*G3687*(1-PlanterDiscount)*(1+PlanterDifficultyPercentage)),IF(AE3687="ELP",(VLOOKUP(A3687,'Discount Lookup'!J:K,2)*G3687*(1-PlanterDiscount)*(1+PlanterDifficultyPercentage)),IF(AE3687="free","re-planting",IF(G3687=0,"",IF(PlanterYesMe="",IF(AE3687="me","   not ELP, by",IF(AE3687="",IF(G3687&gt;0,(VLOOKUP(A3687,'Discount Lookup'!J:K,2)*G3687*(1-PlanterDiscount)*(1+PlanterDifficultyPercentage)),""),"")),"   not ELP, by"))))))))))))))</f>
        <v/>
      </c>
      <c r="AD3687" s="712"/>
      <c r="AE3687" s="513" t="str">
        <f t="shared" si="2782"/>
        <v/>
      </c>
      <c r="AF3687" s="713" t="str">
        <f t="shared" si="2783"/>
        <v/>
      </c>
      <c r="AG3687" s="713"/>
      <c r="AH3687" s="713"/>
      <c r="AI3687" s="112">
        <f>IF(H3687="credit",0,IF(AE3687="free",0,IF(AE3687="me",0,IF(G3687&gt;0,(VLOOKUP(A3687,'Discount Lookup'!J:K,2)*G3687),0))))</f>
        <v>0</v>
      </c>
      <c r="AJ3687" s="107" t="str">
        <f t="shared" ca="1" si="2784"/>
        <v/>
      </c>
      <c r="AK3687" s="714" t="str">
        <f t="shared" si="2785"/>
        <v/>
      </c>
      <c r="AL3687" s="714"/>
      <c r="AM3687" s="114" t="str">
        <f t="shared" si="2786"/>
        <v/>
      </c>
      <c r="AN3687" s="115"/>
      <c r="AO3687" s="116"/>
      <c r="AP3687" s="116"/>
      <c r="AQ3687" s="116"/>
      <c r="AR3687" s="116"/>
      <c r="AS3687" s="116"/>
      <c r="AT3687" s="116"/>
      <c r="AU3687" s="116"/>
      <c r="AV3687" s="78"/>
      <c r="AW3687" s="102"/>
      <c r="AX3687" s="78"/>
      <c r="AY3687" s="78"/>
      <c r="AZ3687" s="78"/>
      <c r="BA3687" s="78"/>
      <c r="BB3687" s="78"/>
      <c r="BC3687" s="78"/>
      <c r="BD3687" s="78"/>
      <c r="BE3687" s="465"/>
      <c r="BF3687" s="165" t="str">
        <f t="shared" si="2787"/>
        <v>https://www.google.com/search?tbm=isch&amp;q=3%20G2</v>
      </c>
      <c r="BG3687" s="165" t="str">
        <f t="shared" si="2788"/>
        <v>R</v>
      </c>
      <c r="BH3687" s="65"/>
      <c r="BI3687" s="65"/>
      <c r="BJ3687" s="65"/>
      <c r="BK3687" s="65"/>
      <c r="BL3687" s="99"/>
      <c r="BM3687" s="99"/>
      <c r="BN3687" s="99"/>
    </row>
    <row r="3688" spans="1:66" s="51" customFormat="1" ht="17.25" thickBot="1" x14ac:dyDescent="0.3">
      <c r="A3688" s="641" t="s">
        <v>4789</v>
      </c>
      <c r="B3688" s="642"/>
      <c r="C3688" s="710"/>
      <c r="D3688" s="643"/>
      <c r="E3688" s="643"/>
      <c r="F3688" s="644"/>
      <c r="G3688" s="645"/>
      <c r="H3688" s="646"/>
      <c r="I3688" s="647"/>
      <c r="J3688" s="648"/>
      <c r="K3688" s="649"/>
      <c r="L3688" s="650"/>
      <c r="M3688" s="650"/>
      <c r="N3688" s="644"/>
      <c r="O3688" s="644"/>
      <c r="P3688" s="644"/>
      <c r="Q3688" s="644"/>
      <c r="R3688" s="644"/>
      <c r="S3688" s="701" t="s">
        <v>5271</v>
      </c>
      <c r="T3688" s="102">
        <f t="shared" si="2776"/>
        <v>0</v>
      </c>
      <c r="U3688" s="78" t="str">
        <f>IF(NOT(ISNUMBER(G3688)), "", VLOOKUP(A3688,'Discount Lookup'!D:E,2,FALSE)*G3688)</f>
        <v/>
      </c>
      <c r="V3688" s="78" t="str">
        <f>IF(NOT(ISNUMBER(G3688)), "", VLOOKUP(A3688,'Discount Lookup'!G:H,2,FALSE)*G3688)</f>
        <v/>
      </c>
      <c r="W3688" s="102">
        <f t="shared" si="2777"/>
        <v>0</v>
      </c>
      <c r="X3688" s="102">
        <f t="shared" si="2778"/>
        <v>0</v>
      </c>
      <c r="Y3688" s="120" t="b">
        <f t="shared" si="2779"/>
        <v>0</v>
      </c>
      <c r="Z3688" s="117">
        <f t="shared" si="2780"/>
        <v>0</v>
      </c>
      <c r="AA3688" s="118"/>
      <c r="AB3688" s="118" t="str">
        <f t="shared" si="2781"/>
        <v/>
      </c>
      <c r="AC3688" s="712" t="str">
        <f>IF(AE3688="T2G","no charge",IF(AND(OR(PlanterYesMe="No",PlanterYesMe="N",PlanterYesMe="me"),H3688=""),"",IF(H3688="credit","NO install",IF(AND(K3688="",AE3688="me"),"EACH row",IF(AND(K3688="images",AE3688="me"),"EACH row",IF(D3688="","",IF(H3688="credit","",IF(AE3688="free","re-planting",IF(AE3688="me","   not ELP, by",IF(AND(OR(PlanterYesMe="Yes",PlanterYesMe="Y"),G3688&gt;0),(VLOOKUP(A3688,'Discount Lookup'!J:K,2)*G3688*(1-PlanterDiscount)*(1+PlanterDifficultyPercentage)),IF(AE3688="ELP",(VLOOKUP(A3688,'Discount Lookup'!J:K,2)*G3688*(1-PlanterDiscount)*(1+PlanterDifficultyPercentage)),IF(AE3688="free","re-planting",IF(G3688=0,"",IF(PlanterYesMe="",IF(AE3688="me","   not ELP, by",IF(AE3688="",IF(G3688&gt;0,(VLOOKUP(A3688,'Discount Lookup'!J:K,2)*G3688*(1-PlanterDiscount)*(1+PlanterDifficultyPercentage)),""),"")),"   not ELP, by"))))))))))))))</f>
        <v/>
      </c>
      <c r="AD3688" s="712"/>
      <c r="AE3688" s="513" t="str">
        <f t="shared" si="2782"/>
        <v/>
      </c>
      <c r="AF3688" s="713" t="str">
        <f t="shared" si="2783"/>
        <v/>
      </c>
      <c r="AG3688" s="713"/>
      <c r="AH3688" s="713"/>
      <c r="AI3688" s="112">
        <f>IF(H3688="credit",0,IF(AE3688="free",0,IF(AE3688="me",0,IF(G3688&gt;0,(VLOOKUP(A3688,'Discount Lookup'!J:K,2)*G3688),0))))</f>
        <v>0</v>
      </c>
      <c r="AJ3688" s="107" t="str">
        <f t="shared" ca="1" si="2784"/>
        <v/>
      </c>
      <c r="AK3688" s="714" t="str">
        <f t="shared" si="2785"/>
        <v/>
      </c>
      <c r="AL3688" s="714"/>
      <c r="AM3688" s="114" t="str">
        <f t="shared" si="2786"/>
        <v/>
      </c>
      <c r="AN3688" s="115"/>
      <c r="AO3688" s="116"/>
      <c r="AP3688" s="116"/>
      <c r="AQ3688" s="116"/>
      <c r="AR3688" s="116"/>
      <c r="AS3688" s="116"/>
      <c r="AT3688" s="116"/>
      <c r="AU3688" s="116"/>
      <c r="AV3688" s="78"/>
      <c r="AW3688" s="102"/>
      <c r="AX3688" s="78"/>
      <c r="AY3688" s="78"/>
      <c r="AZ3688" s="78"/>
      <c r="BA3688" s="78"/>
      <c r="BB3688" s="78"/>
      <c r="BC3688" s="78"/>
      <c r="BD3688" s="78"/>
      <c r="BE3688" s="465"/>
      <c r="BF3688" s="165" t="str">
        <f t="shared" si="2787"/>
        <v>https://www.google.com/search?tbm=isch&amp;q=Drift%20Roses%20bloom%20all%20summer%20and%20don%27t%20need%20deadheading%2C%20Glossy%20Green%20foliage%20and%20thorns%20%28rabbits%20may%20still%20nibble%29.%20Cut%20back%20annually%20</v>
      </c>
      <c r="BG3688" s="165" t="str">
        <f t="shared" si="2788"/>
        <v>D</v>
      </c>
      <c r="BH3688" s="65"/>
      <c r="BI3688" s="65"/>
      <c r="BJ3688" s="65"/>
      <c r="BK3688" s="65"/>
      <c r="BL3688" s="99"/>
      <c r="BM3688" s="99"/>
      <c r="BN3688" s="99"/>
    </row>
    <row r="3689" spans="1:66" s="51" customFormat="1" ht="18" x14ac:dyDescent="0.25">
      <c r="A3689" s="623" t="s">
        <v>4099</v>
      </c>
      <c r="B3689" s="624"/>
      <c r="C3689" s="709"/>
      <c r="D3689" s="625" t="s">
        <v>5802</v>
      </c>
      <c r="E3689" s="626"/>
      <c r="F3689" s="626"/>
      <c r="G3689" s="626"/>
      <c r="H3689" s="622" t="s">
        <v>1439</v>
      </c>
      <c r="I3689" s="627" t="s">
        <v>3275</v>
      </c>
      <c r="J3689" s="628"/>
      <c r="K3689" s="628"/>
      <c r="L3689" s="629"/>
      <c r="M3689" s="700" t="s">
        <v>5241</v>
      </c>
      <c r="N3689" s="693" t="str">
        <f>IF(AND(ISTEXT($A3689), ISERROR($A3689+0)), HYPERLINK($BF3689, "Images"), "")</f>
        <v>Images</v>
      </c>
      <c r="O3689" s="695" t="s">
        <v>5264</v>
      </c>
      <c r="P3689" s="630"/>
      <c r="Q3689" s="631"/>
      <c r="R3689" s="632"/>
      <c r="S3689" s="633"/>
      <c r="T3689" s="102">
        <f t="shared" si="2776"/>
        <v>0</v>
      </c>
      <c r="U3689" s="78" t="str">
        <f>IF(NOT(ISNUMBER(G3689)), "", VLOOKUP(A3689,'Discount Lookup'!D:E,2,FALSE)*G3689)</f>
        <v/>
      </c>
      <c r="V3689" s="78" t="str">
        <f>IF(NOT(ISNUMBER(G3689)), "", VLOOKUP(A3689,'Discount Lookup'!G:H,2,FALSE)*G3689)</f>
        <v/>
      </c>
      <c r="W3689" s="102">
        <f t="shared" si="2777"/>
        <v>0</v>
      </c>
      <c r="X3689" s="102" t="str">
        <f t="shared" si="2778"/>
        <v>Scarlet Red bloom</v>
      </c>
      <c r="Y3689" s="120" t="b">
        <f t="shared" si="2779"/>
        <v>0</v>
      </c>
      <c r="Z3689" s="117">
        <f t="shared" si="2780"/>
        <v>0</v>
      </c>
      <c r="AA3689" s="118"/>
      <c r="AB3689" s="118" t="str">
        <f t="shared" si="2781"/>
        <v/>
      </c>
      <c r="AC3689" s="712" t="str">
        <f>IF(AE3689="T2G","no charge",IF(AND(OR(PlanterYesMe="No",PlanterYesMe="N",PlanterYesMe="me"),H3689=""),"",IF(H3689="credit","NO install",IF(AND(K3689="",AE3689="me"),"EACH row",IF(AND(K3689="images",AE3689="me"),"EACH row",IF(D3689="","",IF(H3689="credit","",IF(AE3689="free","re-planting",IF(AE3689="me","   not ELP, by",IF(AND(OR(PlanterYesMe="Yes",PlanterYesMe="Y"),G3689&gt;0),(VLOOKUP(A3689,'Discount Lookup'!J:K,2)*G3689*(1-PlanterDiscount)*(1+PlanterDifficultyPercentage)),IF(AE3689="ELP",(VLOOKUP(A3689,'Discount Lookup'!J:K,2)*G3689*(1-PlanterDiscount)*(1+PlanterDifficultyPercentage)),IF(AE3689="free","re-planting",IF(G3689=0,"",IF(PlanterYesMe="",IF(AE3689="me","   not ELP, by",IF(AE3689="",IF(G3689&gt;0,(VLOOKUP(A3689,'Discount Lookup'!J:K,2)*G3689*(1-PlanterDiscount)*(1+PlanterDifficultyPercentage)),""),"")),"   not ELP, by"))))))))))))))</f>
        <v/>
      </c>
      <c r="AD3689" s="712"/>
      <c r="AE3689" s="513" t="str">
        <f t="shared" si="2782"/>
        <v/>
      </c>
      <c r="AF3689" s="713" t="str">
        <f t="shared" si="2783"/>
        <v/>
      </c>
      <c r="AG3689" s="713"/>
      <c r="AH3689" s="713"/>
      <c r="AI3689" s="112">
        <f>IF(H3689="credit",0,IF(AE3689="free",0,IF(AE3689="me",0,IF(G3689&gt;0,(VLOOKUP(A3689,'Discount Lookup'!J:K,2)*G3689),0))))</f>
        <v>0</v>
      </c>
      <c r="AJ3689" s="107" t="str">
        <f t="shared" ca="1" si="2784"/>
        <v/>
      </c>
      <c r="AK3689" s="714" t="str">
        <f t="shared" si="2785"/>
        <v/>
      </c>
      <c r="AL3689" s="714"/>
      <c r="AM3689" s="114" t="str">
        <f t="shared" si="2786"/>
        <v/>
      </c>
      <c r="AN3689" s="115"/>
      <c r="AO3689" s="116"/>
      <c r="AP3689" s="116"/>
      <c r="AQ3689" s="116"/>
      <c r="AR3689" s="116"/>
      <c r="AS3689" s="116"/>
      <c r="AT3689" s="116"/>
      <c r="AU3689" s="116"/>
      <c r="AV3689" s="78"/>
      <c r="AW3689" s="102"/>
      <c r="AX3689" s="78"/>
      <c r="AY3689" s="78"/>
      <c r="AZ3689" s="78"/>
      <c r="BA3689" s="78"/>
      <c r="BB3689" s="78"/>
      <c r="BC3689" s="78"/>
      <c r="BD3689" s="78"/>
      <c r="BE3689" s="465"/>
      <c r="BF3689" s="165" t="str">
        <f t="shared" si="2787"/>
        <v>https://www.google.com/search?tbm=isch&amp;q=Rosa%20%27Meigalpio%27%20PP%2317877%20Red%20Drift%C2%AE%20Rose</v>
      </c>
      <c r="BG3689" s="165" t="str">
        <f t="shared" si="2788"/>
        <v>R</v>
      </c>
      <c r="BH3689" s="65"/>
      <c r="BI3689" s="65"/>
      <c r="BJ3689" s="65"/>
      <c r="BK3689" s="65"/>
      <c r="BL3689" s="99"/>
      <c r="BM3689" s="99"/>
      <c r="BN3689" s="99"/>
    </row>
    <row r="3690" spans="1:66" s="51" customFormat="1" ht="15.75" x14ac:dyDescent="0.25">
      <c r="A3690" s="634">
        <v>3</v>
      </c>
      <c r="B3690" s="635" t="s">
        <v>291</v>
      </c>
      <c r="C3690" s="636"/>
      <c r="D3690" s="637" t="s">
        <v>310</v>
      </c>
      <c r="E3690" s="638">
        <v>31.95</v>
      </c>
      <c r="F3690" s="639" t="s">
        <v>292</v>
      </c>
      <c r="G3690" s="484">
        <v>0</v>
      </c>
      <c r="H3690" s="691" t="str">
        <f>IF(G3690=0,"",IF(F3690="Buy",IF(G3690=1,"plant","plants"),IF(F3690&gt;0.01,"warranty","Error")))</f>
        <v/>
      </c>
      <c r="I3690" s="640">
        <f>IF(H3690="free",0,IF(H3690="credit",((E3690*(F3690))*G3690*-1),IF(F3690="Buy",(E3690*G3690),((E3690*(1-F3690))*G3690))))</f>
        <v>0</v>
      </c>
      <c r="J3690" s="640">
        <f>IF(H3690="warranty",0,(I3690*(_xlfn.SINGLE(SalesTaxPercentage))))</f>
        <v>0</v>
      </c>
      <c r="K3690" s="716">
        <f t="shared" ref="K3690" si="2796">I3690+J3690</f>
        <v>0</v>
      </c>
      <c r="L3690" s="716"/>
      <c r="M3690" s="689" t="str">
        <f ca="1">IF(AND(G3690&gt;0,E3690=0),"WARNING - no PRICE inserted",IF(H3690="free","FREE ~ no charge this plant",IF(H3690="credit",CONCATENATE("-$",ROUND(K3690*(1-_xlfn.SINGLE(T2GDiscount))*-1,2)," CREDIT after discount"),IF(_xlfn.SINGLE(T2GDiscount)=0,"",IF(G3690=0,"",IF(F3690="Buy",CONCATENATE("$",ROUND(K3690*(1-_xlfn.SINGLE(T2GDiscount)),2)," with ",(_xlfn.SINGLE(T2GDiscount)*100),"% discount"),CONCATENATE("$",ROUND(K3690*(1-_xlfn.SINGLE(T2GDiscount)),2)," with ",((_xlfn.SINGLE(T2GDiscount)*100+F3690*100)-(_xlfn.SINGLE(T2GDiscount)*100*F3690)),IF(F3690&gt;0,"% discounts",IF(_xlfn.SINGLE(NoWarrantyDiscount)&gt;0,"% discounts","% discount")))))))))</f>
        <v/>
      </c>
      <c r="N3690" s="690"/>
      <c r="O3690" s="486"/>
      <c r="P3690" s="486"/>
      <c r="Q3690" s="486"/>
      <c r="R3690" s="486"/>
      <c r="S3690" s="486"/>
      <c r="T3690" s="102">
        <f t="shared" si="2776"/>
        <v>0</v>
      </c>
      <c r="U3690" s="78">
        <f>IF(NOT(ISNUMBER(G3690)), "", VLOOKUP(A3690,'Discount Lookup'!D:E,2,FALSE)*G3690)</f>
        <v>0</v>
      </c>
      <c r="V3690" s="78">
        <f>IF(NOT(ISNUMBER(G3690)), "", VLOOKUP(A3690,'Discount Lookup'!G:H,2,FALSE)*G3690)</f>
        <v>0</v>
      </c>
      <c r="W3690" s="102">
        <f t="shared" si="2777"/>
        <v>0</v>
      </c>
      <c r="X3690" s="102">
        <f t="shared" si="2778"/>
        <v>0</v>
      </c>
      <c r="Y3690" s="120" t="b">
        <f t="shared" si="2779"/>
        <v>0</v>
      </c>
      <c r="Z3690" s="117">
        <f t="shared" si="2780"/>
        <v>0</v>
      </c>
      <c r="AA3690" s="118"/>
      <c r="AB3690" s="118" t="str">
        <f t="shared" si="2781"/>
        <v/>
      </c>
      <c r="AC3690" s="712" t="str">
        <f>IF(AE3690="T2G","no charge",IF(AND(OR(PlanterYesMe="No",PlanterYesMe="N",PlanterYesMe="me"),H3690=""),"",IF(H3690="credit","NO install",IF(AND(K3690="",AE3690="me"),"EACH row",IF(AND(K3690="images",AE3690="me"),"EACH row",IF(D3690="","",IF(H3690="credit","",IF(AE3690="free","re-planting",IF(AE3690="me","   not ELP, by",IF(AND(OR(PlanterYesMe="Yes",PlanterYesMe="Y"),G3690&gt;0),(VLOOKUP(A3690,'Discount Lookup'!J:K,2)*G3690*(1-PlanterDiscount)*(1+PlanterDifficultyPercentage)),IF(AE3690="ELP",(VLOOKUP(A3690,'Discount Lookup'!J:K,2)*G3690*(1-PlanterDiscount)*(1+PlanterDifficultyPercentage)),IF(AE3690="free","re-planting",IF(G3690=0,"",IF(PlanterYesMe="",IF(AE3690="me","   not ELP, by",IF(AE3690="",IF(G3690&gt;0,(VLOOKUP(A3690,'Discount Lookup'!J:K,2)*G3690*(1-PlanterDiscount)*(1+PlanterDifficultyPercentage)),""),"")),"   not ELP, by"))))))))))))))</f>
        <v/>
      </c>
      <c r="AD3690" s="712"/>
      <c r="AE3690" s="513" t="str">
        <f t="shared" si="2782"/>
        <v/>
      </c>
      <c r="AF3690" s="713" t="str">
        <f t="shared" si="2783"/>
        <v/>
      </c>
      <c r="AG3690" s="713"/>
      <c r="AH3690" s="713"/>
      <c r="AI3690" s="112">
        <f>IF(H3690="credit",0,IF(AE3690="free",0,IF(AE3690="me",0,IF(G3690&gt;0,(VLOOKUP(A3690,'Discount Lookup'!J:K,2)*G3690),0))))</f>
        <v>0</v>
      </c>
      <c r="AJ3690" s="107" t="str">
        <f t="shared" ca="1" si="2784"/>
        <v/>
      </c>
      <c r="AK3690" s="714" t="str">
        <f t="shared" si="2785"/>
        <v/>
      </c>
      <c r="AL3690" s="714"/>
      <c r="AM3690" s="114" t="str">
        <f t="shared" si="2786"/>
        <v/>
      </c>
      <c r="AN3690" s="115"/>
      <c r="AO3690" s="116"/>
      <c r="AP3690" s="116"/>
      <c r="AQ3690" s="116"/>
      <c r="AR3690" s="116"/>
      <c r="AS3690" s="116"/>
      <c r="AT3690" s="116"/>
      <c r="AU3690" s="116"/>
      <c r="AV3690" s="78"/>
      <c r="AW3690" s="102"/>
      <c r="AX3690" s="78"/>
      <c r="AY3690" s="78"/>
      <c r="AZ3690" s="78"/>
      <c r="BA3690" s="78"/>
      <c r="BB3690" s="78"/>
      <c r="BC3690" s="78"/>
      <c r="BD3690" s="78"/>
      <c r="BE3690" s="465"/>
      <c r="BF3690" s="165" t="str">
        <f t="shared" si="2787"/>
        <v>https://www.google.com/search?tbm=isch&amp;q=3%20G1</v>
      </c>
      <c r="BG3690" s="165" t="str">
        <f t="shared" si="2788"/>
        <v>R</v>
      </c>
      <c r="BH3690" s="65"/>
      <c r="BI3690" s="65"/>
      <c r="BJ3690" s="65"/>
      <c r="BK3690" s="65"/>
      <c r="BL3690" s="99"/>
      <c r="BM3690" s="99"/>
      <c r="BN3690" s="99"/>
    </row>
    <row r="3691" spans="1:66" s="51" customFormat="1" ht="15.75" x14ac:dyDescent="0.25">
      <c r="A3691" s="634">
        <v>3</v>
      </c>
      <c r="B3691" s="635" t="s">
        <v>291</v>
      </c>
      <c r="C3691" s="636" t="s">
        <v>4100</v>
      </c>
      <c r="D3691" s="637" t="s">
        <v>329</v>
      </c>
      <c r="E3691" s="638">
        <v>31.95</v>
      </c>
      <c r="F3691" s="639" t="s">
        <v>292</v>
      </c>
      <c r="G3691" s="484">
        <v>0</v>
      </c>
      <c r="H3691" s="691" t="str">
        <f>IF(G3691=0,"",IF(F3691="Buy",IF(G3691=1,"plant","plants"),IF(F3691&gt;0.01,"warranty","Error")))</f>
        <v/>
      </c>
      <c r="I3691" s="640">
        <f>IF(H3691="free",0,IF(H3691="credit",((E3691*(F3691))*G3691*-1),IF(F3691="Buy",(E3691*G3691),((E3691*(1-F3691))*G3691))))</f>
        <v>0</v>
      </c>
      <c r="J3691" s="640">
        <f>IF(H3691="warranty",0,(I3691*(_xlfn.SINGLE(SalesTaxPercentage))))</f>
        <v>0</v>
      </c>
      <c r="K3691" s="716">
        <f t="shared" ref="K3691" si="2797">I3691+J3691</f>
        <v>0</v>
      </c>
      <c r="L3691" s="716"/>
      <c r="M3691" s="689" t="str">
        <f ca="1">IF(AND(G3691&gt;0,E3691=0),"WARNING - no PRICE inserted",IF(H3691="free","FREE ~ no charge this plant",IF(H3691="credit",CONCATENATE("-$",ROUND(K3691*(1-_xlfn.SINGLE(T2GDiscount))*-1,2)," CREDIT after discount"),IF(_xlfn.SINGLE(T2GDiscount)=0,"",IF(G3691=0,"",IF(F3691="Buy",CONCATENATE("$",ROUND(K3691*(1-_xlfn.SINGLE(T2GDiscount)),2)," with ",(_xlfn.SINGLE(T2GDiscount)*100),"% discount"),CONCATENATE("$",ROUND(K3691*(1-_xlfn.SINGLE(T2GDiscount)),2)," with ",((_xlfn.SINGLE(T2GDiscount)*100+F3691*100)-(_xlfn.SINGLE(T2GDiscount)*100*F3691)),IF(F3691&gt;0,"% discounts",IF(_xlfn.SINGLE(NoWarrantyDiscount)&gt;0,"% discounts","% discount")))))))))</f>
        <v/>
      </c>
      <c r="N3691" s="690"/>
      <c r="O3691" s="486"/>
      <c r="P3691" s="486"/>
      <c r="Q3691" s="486"/>
      <c r="R3691" s="486"/>
      <c r="S3691" s="486"/>
      <c r="T3691" s="102">
        <f t="shared" si="2776"/>
        <v>0</v>
      </c>
      <c r="U3691" s="78">
        <f>IF(NOT(ISNUMBER(G3691)), "", VLOOKUP(A3691,'Discount Lookup'!D:E,2,FALSE)*G3691)</f>
        <v>0</v>
      </c>
      <c r="V3691" s="78">
        <f>IF(NOT(ISNUMBER(G3691)), "", VLOOKUP(A3691,'Discount Lookup'!G:H,2,FALSE)*G3691)</f>
        <v>0</v>
      </c>
      <c r="W3691" s="102">
        <f t="shared" si="2777"/>
        <v>0</v>
      </c>
      <c r="X3691" s="102">
        <f t="shared" si="2778"/>
        <v>0</v>
      </c>
      <c r="Y3691" s="120" t="b">
        <f t="shared" si="2779"/>
        <v>0</v>
      </c>
      <c r="Z3691" s="117">
        <f t="shared" si="2780"/>
        <v>0</v>
      </c>
      <c r="AA3691" s="118"/>
      <c r="AB3691" s="118" t="str">
        <f t="shared" si="2781"/>
        <v/>
      </c>
      <c r="AC3691" s="712" t="str">
        <f>IF(AE3691="T2G","no charge",IF(AND(OR(PlanterYesMe="No",PlanterYesMe="N",PlanterYesMe="me"),H3691=""),"",IF(H3691="credit","NO install",IF(AND(K3691="",AE3691="me"),"EACH row",IF(AND(K3691="images",AE3691="me"),"EACH row",IF(D3691="","",IF(H3691="credit","",IF(AE3691="free","re-planting",IF(AE3691="me","   not ELP, by",IF(AND(OR(PlanterYesMe="Yes",PlanterYesMe="Y"),G3691&gt;0),(VLOOKUP(A3691,'Discount Lookup'!J:K,2)*G3691*(1-PlanterDiscount)*(1+PlanterDifficultyPercentage)),IF(AE3691="ELP",(VLOOKUP(A3691,'Discount Lookup'!J:K,2)*G3691*(1-PlanterDiscount)*(1+PlanterDifficultyPercentage)),IF(AE3691="free","re-planting",IF(G3691=0,"",IF(PlanterYesMe="",IF(AE3691="me","   not ELP, by",IF(AE3691="",IF(G3691&gt;0,(VLOOKUP(A3691,'Discount Lookup'!J:K,2)*G3691*(1-PlanterDiscount)*(1+PlanterDifficultyPercentage)),""),"")),"   not ELP, by"))))))))))))))</f>
        <v/>
      </c>
      <c r="AD3691" s="712"/>
      <c r="AE3691" s="513" t="str">
        <f t="shared" si="2782"/>
        <v/>
      </c>
      <c r="AF3691" s="713" t="str">
        <f t="shared" si="2783"/>
        <v/>
      </c>
      <c r="AG3691" s="713"/>
      <c r="AH3691" s="713"/>
      <c r="AI3691" s="112">
        <f>IF(H3691="credit",0,IF(AE3691="free",0,IF(AE3691="me",0,IF(G3691&gt;0,(VLOOKUP(A3691,'Discount Lookup'!J:K,2)*G3691),0))))</f>
        <v>0</v>
      </c>
      <c r="AJ3691" s="107" t="str">
        <f t="shared" ca="1" si="2784"/>
        <v/>
      </c>
      <c r="AK3691" s="714" t="str">
        <f t="shared" si="2785"/>
        <v/>
      </c>
      <c r="AL3691" s="714"/>
      <c r="AM3691" s="114" t="str">
        <f t="shared" si="2786"/>
        <v/>
      </c>
      <c r="AN3691" s="115"/>
      <c r="AO3691" s="116"/>
      <c r="AP3691" s="116"/>
      <c r="AQ3691" s="116"/>
      <c r="AR3691" s="116"/>
      <c r="AS3691" s="116"/>
      <c r="AT3691" s="116"/>
      <c r="AU3691" s="116"/>
      <c r="AV3691" s="78"/>
      <c r="AW3691" s="102"/>
      <c r="AX3691" s="78"/>
      <c r="AY3691" s="78"/>
      <c r="AZ3691" s="78"/>
      <c r="BA3691" s="78"/>
      <c r="BB3691" s="78"/>
      <c r="BC3691" s="78"/>
      <c r="BD3691" s="78"/>
      <c r="BE3691" s="465"/>
      <c r="BF3691" s="165" t="str">
        <f t="shared" si="2787"/>
        <v>https://www.google.com/search?tbm=isch&amp;q=3%20G2</v>
      </c>
      <c r="BG3691" s="165" t="str">
        <f t="shared" si="2788"/>
        <v>R</v>
      </c>
      <c r="BH3691" s="65"/>
      <c r="BI3691" s="65"/>
      <c r="BJ3691" s="65"/>
      <c r="BK3691" s="65"/>
      <c r="BL3691" s="99"/>
      <c r="BM3691" s="99"/>
      <c r="BN3691" s="99"/>
    </row>
    <row r="3692" spans="1:66" s="51" customFormat="1" ht="15.75" x14ac:dyDescent="0.25">
      <c r="A3692" s="634">
        <v>3</v>
      </c>
      <c r="B3692" s="635" t="s">
        <v>291</v>
      </c>
      <c r="C3692" s="636" t="s">
        <v>4101</v>
      </c>
      <c r="D3692" s="637" t="s">
        <v>311</v>
      </c>
      <c r="E3692" s="638">
        <v>35.950000000000003</v>
      </c>
      <c r="F3692" s="639" t="s">
        <v>292</v>
      </c>
      <c r="G3692" s="484">
        <v>0</v>
      </c>
      <c r="H3692" s="691" t="str">
        <f>IF(G3692=0,"",IF(F3692="Buy",IF(G3692=1,"plant","plants"),IF(F3692&gt;0.01,"warranty","Error")))</f>
        <v/>
      </c>
      <c r="I3692" s="640">
        <f>IF(H3692="free",0,IF(H3692="credit",((E3692*(F3692))*G3692*-1),IF(F3692="Buy",(E3692*G3692),((E3692*(1-F3692))*G3692))))</f>
        <v>0</v>
      </c>
      <c r="J3692" s="640">
        <f>IF(H3692="warranty",0,(I3692*(_xlfn.SINGLE(SalesTaxPercentage))))</f>
        <v>0</v>
      </c>
      <c r="K3692" s="716">
        <f t="shared" ref="K3692" si="2798">I3692+J3692</f>
        <v>0</v>
      </c>
      <c r="L3692" s="716"/>
      <c r="M3692" s="689" t="str">
        <f ca="1">IF(AND(G3692&gt;0,E3692=0),"WARNING - no PRICE inserted",IF(H3692="free","FREE ~ no charge this plant",IF(H3692="credit",CONCATENATE("-$",ROUND(K3692*(1-_xlfn.SINGLE(T2GDiscount))*-1,2)," CREDIT after discount"),IF(_xlfn.SINGLE(T2GDiscount)=0,"",IF(G3692=0,"",IF(F3692="Buy",CONCATENATE("$",ROUND(K3692*(1-_xlfn.SINGLE(T2GDiscount)),2)," with ",(_xlfn.SINGLE(T2GDiscount)*100),"% discount"),CONCATENATE("$",ROUND(K3692*(1-_xlfn.SINGLE(T2GDiscount)),2)," with ",((_xlfn.SINGLE(T2GDiscount)*100+F3692*100)-(_xlfn.SINGLE(T2GDiscount)*100*F3692)),IF(F3692&gt;0,"% discounts",IF(_xlfn.SINGLE(NoWarrantyDiscount)&gt;0,"% discounts","% discount")))))))))</f>
        <v/>
      </c>
      <c r="N3692" s="690"/>
      <c r="O3692" s="486"/>
      <c r="P3692" s="486"/>
      <c r="Q3692" s="486"/>
      <c r="R3692" s="486"/>
      <c r="S3692" s="486"/>
      <c r="T3692" s="102">
        <f t="shared" si="2776"/>
        <v>0</v>
      </c>
      <c r="U3692" s="78">
        <f>IF(NOT(ISNUMBER(G3692)), "", VLOOKUP(A3692,'Discount Lookup'!D:E,2,FALSE)*G3692)</f>
        <v>0</v>
      </c>
      <c r="V3692" s="78">
        <f>IF(NOT(ISNUMBER(G3692)), "", VLOOKUP(A3692,'Discount Lookup'!G:H,2,FALSE)*G3692)</f>
        <v>0</v>
      </c>
      <c r="W3692" s="102">
        <f t="shared" si="2777"/>
        <v>0</v>
      </c>
      <c r="X3692" s="102">
        <f t="shared" si="2778"/>
        <v>0</v>
      </c>
      <c r="Y3692" s="120" t="b">
        <f t="shared" si="2779"/>
        <v>0</v>
      </c>
      <c r="Z3692" s="117">
        <f t="shared" si="2780"/>
        <v>0</v>
      </c>
      <c r="AA3692" s="118"/>
      <c r="AB3692" s="118" t="str">
        <f t="shared" si="2781"/>
        <v/>
      </c>
      <c r="AC3692" s="712" t="str">
        <f>IF(AE3692="T2G","no charge",IF(AND(OR(PlanterYesMe="No",PlanterYesMe="N",PlanterYesMe="me"),H3692=""),"",IF(H3692="credit","NO install",IF(AND(K3692="",AE3692="me"),"EACH row",IF(AND(K3692="images",AE3692="me"),"EACH row",IF(D3692="","",IF(H3692="credit","",IF(AE3692="free","re-planting",IF(AE3692="me","   not ELP, by",IF(AND(OR(PlanterYesMe="Yes",PlanterYesMe="Y"),G3692&gt;0),(VLOOKUP(A3692,'Discount Lookup'!J:K,2)*G3692*(1-PlanterDiscount)*(1+PlanterDifficultyPercentage)),IF(AE3692="ELP",(VLOOKUP(A3692,'Discount Lookup'!J:K,2)*G3692*(1-PlanterDiscount)*(1+PlanterDifficultyPercentage)),IF(AE3692="free","re-planting",IF(G3692=0,"",IF(PlanterYesMe="",IF(AE3692="me","   not ELP, by",IF(AE3692="",IF(G3692&gt;0,(VLOOKUP(A3692,'Discount Lookup'!J:K,2)*G3692*(1-PlanterDiscount)*(1+PlanterDifficultyPercentage)),""),"")),"   not ELP, by"))))))))))))))</f>
        <v/>
      </c>
      <c r="AD3692" s="712"/>
      <c r="AE3692" s="513" t="str">
        <f t="shared" si="2782"/>
        <v/>
      </c>
      <c r="AF3692" s="713" t="str">
        <f t="shared" si="2783"/>
        <v/>
      </c>
      <c r="AG3692" s="713"/>
      <c r="AH3692" s="713"/>
      <c r="AI3692" s="112">
        <f>IF(H3692="credit",0,IF(AE3692="free",0,IF(AE3692="me",0,IF(G3692&gt;0,(VLOOKUP(A3692,'Discount Lookup'!J:K,2)*G3692),0))))</f>
        <v>0</v>
      </c>
      <c r="AJ3692" s="107" t="str">
        <f t="shared" ca="1" si="2784"/>
        <v/>
      </c>
      <c r="AK3692" s="714" t="str">
        <f t="shared" si="2785"/>
        <v/>
      </c>
      <c r="AL3692" s="714"/>
      <c r="AM3692" s="114" t="str">
        <f t="shared" si="2786"/>
        <v/>
      </c>
      <c r="AN3692" s="115"/>
      <c r="AO3692" s="116"/>
      <c r="AP3692" s="116"/>
      <c r="AQ3692" s="116"/>
      <c r="AR3692" s="116"/>
      <c r="AS3692" s="116"/>
      <c r="AT3692" s="116"/>
      <c r="AU3692" s="116"/>
      <c r="AV3692" s="78"/>
      <c r="AW3692" s="102"/>
      <c r="AX3692" s="78"/>
      <c r="AY3692" s="78"/>
      <c r="AZ3692" s="78"/>
      <c r="BA3692" s="78"/>
      <c r="BB3692" s="78"/>
      <c r="BC3692" s="78"/>
      <c r="BD3692" s="78"/>
      <c r="BE3692" s="465"/>
      <c r="BF3692" s="165" t="str">
        <f t="shared" si="2787"/>
        <v>https://www.google.com/search?tbm=isch&amp;q=3%20G5</v>
      </c>
      <c r="BG3692" s="165" t="str">
        <f t="shared" si="2788"/>
        <v>R</v>
      </c>
      <c r="BH3692" s="65"/>
      <c r="BI3692" s="65"/>
      <c r="BJ3692" s="65"/>
      <c r="BK3692" s="65"/>
      <c r="BL3692" s="99"/>
      <c r="BM3692" s="99"/>
      <c r="BN3692" s="99"/>
    </row>
    <row r="3693" spans="1:66" s="51" customFormat="1" ht="17.25" thickBot="1" x14ac:dyDescent="0.3">
      <c r="A3693" s="641" t="s">
        <v>4789</v>
      </c>
      <c r="B3693" s="642"/>
      <c r="C3693" s="710"/>
      <c r="D3693" s="643"/>
      <c r="E3693" s="643"/>
      <c r="F3693" s="644"/>
      <c r="G3693" s="645"/>
      <c r="H3693" s="646"/>
      <c r="I3693" s="647"/>
      <c r="J3693" s="648"/>
      <c r="K3693" s="649"/>
      <c r="L3693" s="650"/>
      <c r="M3693" s="650"/>
      <c r="N3693" s="644"/>
      <c r="O3693" s="644"/>
      <c r="P3693" s="644"/>
      <c r="Q3693" s="644"/>
      <c r="R3693" s="644"/>
      <c r="S3693" s="701" t="s">
        <v>5271</v>
      </c>
      <c r="T3693" s="102">
        <f t="shared" si="2776"/>
        <v>0</v>
      </c>
      <c r="U3693" s="78" t="str">
        <f>IF(NOT(ISNUMBER(G3693)), "", VLOOKUP(A3693,'Discount Lookup'!D:E,2,FALSE)*G3693)</f>
        <v/>
      </c>
      <c r="V3693" s="78" t="str">
        <f>IF(NOT(ISNUMBER(G3693)), "", VLOOKUP(A3693,'Discount Lookup'!G:H,2,FALSE)*G3693)</f>
        <v/>
      </c>
      <c r="W3693" s="102">
        <f t="shared" si="2777"/>
        <v>0</v>
      </c>
      <c r="X3693" s="102">
        <f t="shared" si="2778"/>
        <v>0</v>
      </c>
      <c r="Y3693" s="120" t="b">
        <f t="shared" si="2779"/>
        <v>0</v>
      </c>
      <c r="Z3693" s="117">
        <f t="shared" si="2780"/>
        <v>0</v>
      </c>
      <c r="AA3693" s="118"/>
      <c r="AB3693" s="118" t="str">
        <f t="shared" si="2781"/>
        <v/>
      </c>
      <c r="AC3693" s="712" t="str">
        <f>IF(AE3693="T2G","no charge",IF(AND(OR(PlanterYesMe="No",PlanterYesMe="N",PlanterYesMe="me"),H3693=""),"",IF(H3693="credit","NO install",IF(AND(K3693="",AE3693="me"),"EACH row",IF(AND(K3693="images",AE3693="me"),"EACH row",IF(D3693="","",IF(H3693="credit","",IF(AE3693="free","re-planting",IF(AE3693="me","   not ELP, by",IF(AND(OR(PlanterYesMe="Yes",PlanterYesMe="Y"),G3693&gt;0),(VLOOKUP(A3693,'Discount Lookup'!J:K,2)*G3693*(1-PlanterDiscount)*(1+PlanterDifficultyPercentage)),IF(AE3693="ELP",(VLOOKUP(A3693,'Discount Lookup'!J:K,2)*G3693*(1-PlanterDiscount)*(1+PlanterDifficultyPercentage)),IF(AE3693="free","re-planting",IF(G3693=0,"",IF(PlanterYesMe="",IF(AE3693="me","   not ELP, by",IF(AE3693="",IF(G3693&gt;0,(VLOOKUP(A3693,'Discount Lookup'!J:K,2)*G3693*(1-PlanterDiscount)*(1+PlanterDifficultyPercentage)),""),"")),"   not ELP, by"))))))))))))))</f>
        <v/>
      </c>
      <c r="AD3693" s="712"/>
      <c r="AE3693" s="513" t="str">
        <f t="shared" si="2782"/>
        <v/>
      </c>
      <c r="AF3693" s="713" t="str">
        <f t="shared" si="2783"/>
        <v/>
      </c>
      <c r="AG3693" s="713"/>
      <c r="AH3693" s="713"/>
      <c r="AI3693" s="112">
        <f>IF(H3693="credit",0,IF(AE3693="free",0,IF(AE3693="me",0,IF(G3693&gt;0,(VLOOKUP(A3693,'Discount Lookup'!J:K,2)*G3693),0))))</f>
        <v>0</v>
      </c>
      <c r="AJ3693" s="107" t="str">
        <f t="shared" ca="1" si="2784"/>
        <v/>
      </c>
      <c r="AK3693" s="714" t="str">
        <f t="shared" si="2785"/>
        <v/>
      </c>
      <c r="AL3693" s="714"/>
      <c r="AM3693" s="114" t="str">
        <f t="shared" si="2786"/>
        <v/>
      </c>
      <c r="AN3693" s="115"/>
      <c r="AO3693" s="116"/>
      <c r="AP3693" s="116"/>
      <c r="AQ3693" s="116"/>
      <c r="AR3693" s="116"/>
      <c r="AS3693" s="116"/>
      <c r="AT3693" s="116"/>
      <c r="AU3693" s="116"/>
      <c r="AV3693" s="78"/>
      <c r="AW3693" s="102"/>
      <c r="AX3693" s="78"/>
      <c r="AY3693" s="78"/>
      <c r="AZ3693" s="78"/>
      <c r="BA3693" s="78"/>
      <c r="BB3693" s="78"/>
      <c r="BC3693" s="78"/>
      <c r="BD3693" s="78"/>
      <c r="BE3693" s="465"/>
      <c r="BF3693" s="165" t="str">
        <f t="shared" si="2787"/>
        <v>https://www.google.com/search?tbm=isch&amp;q=Drift%20Roses%20bloom%20all%20summer%20and%20don%27t%20need%20deadheading%2C%20Glossy%20Green%20foliage%20and%20thorns%20%28rabbits%20may%20still%20nibble%29.%20Cut%20back%20annually%20</v>
      </c>
      <c r="BG3693" s="165" t="str">
        <f t="shared" si="2788"/>
        <v>D</v>
      </c>
      <c r="BH3693" s="65"/>
      <c r="BI3693" s="65"/>
      <c r="BJ3693" s="65"/>
      <c r="BK3693" s="65"/>
      <c r="BL3693" s="99"/>
      <c r="BM3693" s="99"/>
      <c r="BN3693" s="99"/>
    </row>
    <row r="3694" spans="1:66" s="51" customFormat="1" ht="18" x14ac:dyDescent="0.25">
      <c r="A3694" s="623" t="s">
        <v>4102</v>
      </c>
      <c r="B3694" s="624"/>
      <c r="C3694" s="709"/>
      <c r="D3694" s="625" t="s">
        <v>5803</v>
      </c>
      <c r="E3694" s="626"/>
      <c r="F3694" s="626"/>
      <c r="G3694" s="626"/>
      <c r="H3694" s="622" t="s">
        <v>1439</v>
      </c>
      <c r="I3694" s="627" t="s">
        <v>4103</v>
      </c>
      <c r="J3694" s="628"/>
      <c r="K3694" s="628"/>
      <c r="L3694" s="629"/>
      <c r="M3694" s="700" t="s">
        <v>5241</v>
      </c>
      <c r="N3694" s="693" t="str">
        <f>IF(AND(ISTEXT($A3694), ISERROR($A3694+0)), HYPERLINK($BF3694, "Images"), "")</f>
        <v>Images</v>
      </c>
      <c r="O3694" s="695" t="s">
        <v>5264</v>
      </c>
      <c r="P3694" s="630"/>
      <c r="Q3694" s="631"/>
      <c r="R3694" s="632"/>
      <c r="S3694" s="633"/>
      <c r="T3694" s="102">
        <f t="shared" si="2776"/>
        <v>0</v>
      </c>
      <c r="U3694" s="78" t="str">
        <f>IF(NOT(ISNUMBER(G3694)), "", VLOOKUP(A3694,'Discount Lookup'!D:E,2,FALSE)*G3694)</f>
        <v/>
      </c>
      <c r="V3694" s="78" t="str">
        <f>IF(NOT(ISNUMBER(G3694)), "", VLOOKUP(A3694,'Discount Lookup'!G:H,2,FALSE)*G3694)</f>
        <v/>
      </c>
      <c r="W3694" s="102">
        <f t="shared" si="2777"/>
        <v>0</v>
      </c>
      <c r="X3694" s="102" t="str">
        <f t="shared" si="2778"/>
        <v>Peach bloom</v>
      </c>
      <c r="Y3694" s="120" t="b">
        <f t="shared" si="2779"/>
        <v>0</v>
      </c>
      <c r="Z3694" s="117">
        <f t="shared" si="2780"/>
        <v>0</v>
      </c>
      <c r="AA3694" s="118"/>
      <c r="AB3694" s="118" t="str">
        <f t="shared" si="2781"/>
        <v/>
      </c>
      <c r="AC3694" s="712" t="str">
        <f>IF(AE3694="T2G","no charge",IF(AND(OR(PlanterYesMe="No",PlanterYesMe="N",PlanterYesMe="me"),H3694=""),"",IF(H3694="credit","NO install",IF(AND(K3694="",AE3694="me"),"EACH row",IF(AND(K3694="images",AE3694="me"),"EACH row",IF(D3694="","",IF(H3694="credit","",IF(AE3694="free","re-planting",IF(AE3694="me","   not ELP, by",IF(AND(OR(PlanterYesMe="Yes",PlanterYesMe="Y"),G3694&gt;0),(VLOOKUP(A3694,'Discount Lookup'!J:K,2)*G3694*(1-PlanterDiscount)*(1+PlanterDifficultyPercentage)),IF(AE3694="ELP",(VLOOKUP(A3694,'Discount Lookup'!J:K,2)*G3694*(1-PlanterDiscount)*(1+PlanterDifficultyPercentage)),IF(AE3694="free","re-planting",IF(G3694=0,"",IF(PlanterYesMe="",IF(AE3694="me","   not ELP, by",IF(AE3694="",IF(G3694&gt;0,(VLOOKUP(A3694,'Discount Lookup'!J:K,2)*G3694*(1-PlanterDiscount)*(1+PlanterDifficultyPercentage)),""),"")),"   not ELP, by"))))))))))))))</f>
        <v/>
      </c>
      <c r="AD3694" s="712"/>
      <c r="AE3694" s="513" t="str">
        <f t="shared" si="2782"/>
        <v/>
      </c>
      <c r="AF3694" s="713" t="str">
        <f t="shared" si="2783"/>
        <v/>
      </c>
      <c r="AG3694" s="713"/>
      <c r="AH3694" s="713"/>
      <c r="AI3694" s="112">
        <f>IF(H3694="credit",0,IF(AE3694="free",0,IF(AE3694="me",0,IF(G3694&gt;0,(VLOOKUP(A3694,'Discount Lookup'!J:K,2)*G3694),0))))</f>
        <v>0</v>
      </c>
      <c r="AJ3694" s="107" t="str">
        <f t="shared" ca="1" si="2784"/>
        <v/>
      </c>
      <c r="AK3694" s="714" t="str">
        <f t="shared" si="2785"/>
        <v/>
      </c>
      <c r="AL3694" s="714"/>
      <c r="AM3694" s="114" t="str">
        <f t="shared" si="2786"/>
        <v/>
      </c>
      <c r="AN3694" s="115"/>
      <c r="AO3694" s="116"/>
      <c r="AP3694" s="116"/>
      <c r="AQ3694" s="116"/>
      <c r="AR3694" s="116"/>
      <c r="AS3694" s="116"/>
      <c r="AT3694" s="116"/>
      <c r="AU3694" s="116"/>
      <c r="AV3694" s="78"/>
      <c r="AW3694" s="102"/>
      <c r="AX3694" s="78"/>
      <c r="AY3694" s="78"/>
      <c r="AZ3694" s="78"/>
      <c r="BA3694" s="78"/>
      <c r="BB3694" s="78"/>
      <c r="BC3694" s="78"/>
      <c r="BD3694" s="78"/>
      <c r="BE3694" s="465"/>
      <c r="BF3694" s="165" t="str">
        <f t="shared" si="2787"/>
        <v>https://www.google.com/search?tbm=isch&amp;q=Rosa%20%27Meiggili%27%20PP%2318542%20Peach%20Drift%C2%AE%20Rose</v>
      </c>
      <c r="BG3694" s="165" t="str">
        <f t="shared" si="2788"/>
        <v>R</v>
      </c>
      <c r="BH3694" s="65"/>
      <c r="BI3694" s="65"/>
      <c r="BJ3694" s="65"/>
      <c r="BK3694" s="65"/>
      <c r="BL3694" s="99"/>
      <c r="BM3694" s="99"/>
      <c r="BN3694" s="99"/>
    </row>
    <row r="3695" spans="1:66" s="51" customFormat="1" ht="15.75" x14ac:dyDescent="0.25">
      <c r="A3695" s="634">
        <v>3</v>
      </c>
      <c r="B3695" s="635" t="s">
        <v>291</v>
      </c>
      <c r="C3695" s="636"/>
      <c r="D3695" s="637" t="s">
        <v>310</v>
      </c>
      <c r="E3695" s="638">
        <v>31.95</v>
      </c>
      <c r="F3695" s="639" t="s">
        <v>292</v>
      </c>
      <c r="G3695" s="484">
        <v>0</v>
      </c>
      <c r="H3695" s="691" t="str">
        <f>IF(G3695=0,"",IF(F3695="Buy",IF(G3695=1,"plant","plants"),IF(F3695&gt;0.01,"warranty","Error")))</f>
        <v/>
      </c>
      <c r="I3695" s="640">
        <f>IF(H3695="free",0,IF(H3695="credit",((E3695*(F3695))*G3695*-1),IF(F3695="Buy",(E3695*G3695),((E3695*(1-F3695))*G3695))))</f>
        <v>0</v>
      </c>
      <c r="J3695" s="640">
        <f>IF(H3695="warranty",0,(I3695*(_xlfn.SINGLE(SalesTaxPercentage))))</f>
        <v>0</v>
      </c>
      <c r="K3695" s="716">
        <f t="shared" ref="K3695" si="2799">I3695+J3695</f>
        <v>0</v>
      </c>
      <c r="L3695" s="716"/>
      <c r="M3695" s="689" t="str">
        <f ca="1">IF(AND(G3695&gt;0,E3695=0),"WARNING - no PRICE inserted",IF(H3695="free","FREE ~ no charge this plant",IF(H3695="credit",CONCATENATE("-$",ROUND(K3695*(1-_xlfn.SINGLE(T2GDiscount))*-1,2)," CREDIT after discount"),IF(_xlfn.SINGLE(T2GDiscount)=0,"",IF(G3695=0,"",IF(F3695="Buy",CONCATENATE("$",ROUND(K3695*(1-_xlfn.SINGLE(T2GDiscount)),2)," with ",(_xlfn.SINGLE(T2GDiscount)*100),"% discount"),CONCATENATE("$",ROUND(K3695*(1-_xlfn.SINGLE(T2GDiscount)),2)," with ",((_xlfn.SINGLE(T2GDiscount)*100+F3695*100)-(_xlfn.SINGLE(T2GDiscount)*100*F3695)),IF(F3695&gt;0,"% discounts",IF(_xlfn.SINGLE(NoWarrantyDiscount)&gt;0,"% discounts","% discount")))))))))</f>
        <v/>
      </c>
      <c r="N3695" s="690"/>
      <c r="O3695" s="486"/>
      <c r="P3695" s="486"/>
      <c r="Q3695" s="486"/>
      <c r="R3695" s="486"/>
      <c r="S3695" s="486"/>
      <c r="T3695" s="102">
        <f t="shared" si="2776"/>
        <v>0</v>
      </c>
      <c r="U3695" s="78">
        <f>IF(NOT(ISNUMBER(G3695)), "", VLOOKUP(A3695,'Discount Lookup'!D:E,2,FALSE)*G3695)</f>
        <v>0</v>
      </c>
      <c r="V3695" s="78">
        <f>IF(NOT(ISNUMBER(G3695)), "", VLOOKUP(A3695,'Discount Lookup'!G:H,2,FALSE)*G3695)</f>
        <v>0</v>
      </c>
      <c r="W3695" s="102">
        <f t="shared" si="2777"/>
        <v>0</v>
      </c>
      <c r="X3695" s="102">
        <f t="shared" si="2778"/>
        <v>0</v>
      </c>
      <c r="Y3695" s="120" t="b">
        <f t="shared" si="2779"/>
        <v>0</v>
      </c>
      <c r="Z3695" s="117">
        <f t="shared" si="2780"/>
        <v>0</v>
      </c>
      <c r="AA3695" s="118"/>
      <c r="AB3695" s="118" t="str">
        <f t="shared" si="2781"/>
        <v/>
      </c>
      <c r="AC3695" s="712" t="str">
        <f>IF(AE3695="T2G","no charge",IF(AND(OR(PlanterYesMe="No",PlanterYesMe="N",PlanterYesMe="me"),H3695=""),"",IF(H3695="credit","NO install",IF(AND(K3695="",AE3695="me"),"EACH row",IF(AND(K3695="images",AE3695="me"),"EACH row",IF(D3695="","",IF(H3695="credit","",IF(AE3695="free","re-planting",IF(AE3695="me","   not ELP, by",IF(AND(OR(PlanterYesMe="Yes",PlanterYesMe="Y"),G3695&gt;0),(VLOOKUP(A3695,'Discount Lookup'!J:K,2)*G3695*(1-PlanterDiscount)*(1+PlanterDifficultyPercentage)),IF(AE3695="ELP",(VLOOKUP(A3695,'Discount Lookup'!J:K,2)*G3695*(1-PlanterDiscount)*(1+PlanterDifficultyPercentage)),IF(AE3695="free","re-planting",IF(G3695=0,"",IF(PlanterYesMe="",IF(AE3695="me","   not ELP, by",IF(AE3695="",IF(G3695&gt;0,(VLOOKUP(A3695,'Discount Lookup'!J:K,2)*G3695*(1-PlanterDiscount)*(1+PlanterDifficultyPercentage)),""),"")),"   not ELP, by"))))))))))))))</f>
        <v/>
      </c>
      <c r="AD3695" s="712"/>
      <c r="AE3695" s="513" t="str">
        <f t="shared" si="2782"/>
        <v/>
      </c>
      <c r="AF3695" s="713" t="str">
        <f t="shared" si="2783"/>
        <v/>
      </c>
      <c r="AG3695" s="713"/>
      <c r="AH3695" s="713"/>
      <c r="AI3695" s="112">
        <f>IF(H3695="credit",0,IF(AE3695="free",0,IF(AE3695="me",0,IF(G3695&gt;0,(VLOOKUP(A3695,'Discount Lookup'!J:K,2)*G3695),0))))</f>
        <v>0</v>
      </c>
      <c r="AJ3695" s="107" t="str">
        <f t="shared" ca="1" si="2784"/>
        <v/>
      </c>
      <c r="AK3695" s="714" t="str">
        <f t="shared" si="2785"/>
        <v/>
      </c>
      <c r="AL3695" s="714"/>
      <c r="AM3695" s="114" t="str">
        <f t="shared" si="2786"/>
        <v/>
      </c>
      <c r="AN3695" s="115"/>
      <c r="AO3695" s="116"/>
      <c r="AP3695" s="116"/>
      <c r="AQ3695" s="116"/>
      <c r="AR3695" s="116"/>
      <c r="AS3695" s="116"/>
      <c r="AT3695" s="116"/>
      <c r="AU3695" s="116"/>
      <c r="AV3695" s="78"/>
      <c r="AW3695" s="102"/>
      <c r="AX3695" s="78"/>
      <c r="AY3695" s="78"/>
      <c r="AZ3695" s="78"/>
      <c r="BA3695" s="78"/>
      <c r="BB3695" s="78"/>
      <c r="BC3695" s="78"/>
      <c r="BD3695" s="78"/>
      <c r="BE3695" s="465"/>
      <c r="BF3695" s="165" t="str">
        <f t="shared" si="2787"/>
        <v>https://www.google.com/search?tbm=isch&amp;q=3%20G1</v>
      </c>
      <c r="BG3695" s="165" t="str">
        <f t="shared" si="2788"/>
        <v>R</v>
      </c>
      <c r="BH3695" s="65"/>
      <c r="BI3695" s="65"/>
      <c r="BJ3695" s="65"/>
      <c r="BK3695" s="65"/>
      <c r="BL3695" s="99"/>
      <c r="BM3695" s="99"/>
      <c r="BN3695" s="99"/>
    </row>
    <row r="3696" spans="1:66" s="51" customFormat="1" ht="15.75" x14ac:dyDescent="0.25">
      <c r="A3696" s="634">
        <v>3</v>
      </c>
      <c r="B3696" s="635" t="s">
        <v>291</v>
      </c>
      <c r="C3696" s="636" t="s">
        <v>2962</v>
      </c>
      <c r="D3696" s="637" t="s">
        <v>329</v>
      </c>
      <c r="E3696" s="638">
        <v>31.95</v>
      </c>
      <c r="F3696" s="639" t="s">
        <v>292</v>
      </c>
      <c r="G3696" s="484">
        <v>0</v>
      </c>
      <c r="H3696" s="691" t="str">
        <f>IF(G3696=0,"",IF(F3696="Buy",IF(G3696=1,"plant","plants"),IF(F3696&gt;0.01,"warranty","Error")))</f>
        <v/>
      </c>
      <c r="I3696" s="640">
        <f>IF(H3696="free",0,IF(H3696="credit",((E3696*(F3696))*G3696*-1),IF(F3696="Buy",(E3696*G3696),((E3696*(1-F3696))*G3696))))</f>
        <v>0</v>
      </c>
      <c r="J3696" s="640">
        <f>IF(H3696="warranty",0,(I3696*(_xlfn.SINGLE(SalesTaxPercentage))))</f>
        <v>0</v>
      </c>
      <c r="K3696" s="716">
        <f t="shared" ref="K3696" si="2800">I3696+J3696</f>
        <v>0</v>
      </c>
      <c r="L3696" s="716"/>
      <c r="M3696" s="689" t="str">
        <f ca="1">IF(AND(G3696&gt;0,E3696=0),"WARNING - no PRICE inserted",IF(H3696="free","FREE ~ no charge this plant",IF(H3696="credit",CONCATENATE("-$",ROUND(K3696*(1-_xlfn.SINGLE(T2GDiscount))*-1,2)," CREDIT after discount"),IF(_xlfn.SINGLE(T2GDiscount)=0,"",IF(G3696=0,"",IF(F3696="Buy",CONCATENATE("$",ROUND(K3696*(1-_xlfn.SINGLE(T2GDiscount)),2)," with ",(_xlfn.SINGLE(T2GDiscount)*100),"% discount"),CONCATENATE("$",ROUND(K3696*(1-_xlfn.SINGLE(T2GDiscount)),2)," with ",((_xlfn.SINGLE(T2GDiscount)*100+F3696*100)-(_xlfn.SINGLE(T2GDiscount)*100*F3696)),IF(F3696&gt;0,"% discounts",IF(_xlfn.SINGLE(NoWarrantyDiscount)&gt;0,"% discounts","% discount")))))))))</f>
        <v/>
      </c>
      <c r="N3696" s="690"/>
      <c r="O3696" s="486"/>
      <c r="P3696" s="486"/>
      <c r="Q3696" s="486"/>
      <c r="R3696" s="486"/>
      <c r="S3696" s="486"/>
      <c r="T3696" s="102">
        <f t="shared" si="2776"/>
        <v>0</v>
      </c>
      <c r="U3696" s="78">
        <f>IF(NOT(ISNUMBER(G3696)), "", VLOOKUP(A3696,'Discount Lookup'!D:E,2,FALSE)*G3696)</f>
        <v>0</v>
      </c>
      <c r="V3696" s="78">
        <f>IF(NOT(ISNUMBER(G3696)), "", VLOOKUP(A3696,'Discount Lookup'!G:H,2,FALSE)*G3696)</f>
        <v>0</v>
      </c>
      <c r="W3696" s="102">
        <f t="shared" si="2777"/>
        <v>0</v>
      </c>
      <c r="X3696" s="102">
        <f t="shared" si="2778"/>
        <v>0</v>
      </c>
      <c r="Y3696" s="120" t="b">
        <f t="shared" si="2779"/>
        <v>0</v>
      </c>
      <c r="Z3696" s="117">
        <f t="shared" si="2780"/>
        <v>0</v>
      </c>
      <c r="AA3696" s="118"/>
      <c r="AB3696" s="118" t="str">
        <f t="shared" si="2781"/>
        <v/>
      </c>
      <c r="AC3696" s="712" t="str">
        <f>IF(AE3696="T2G","no charge",IF(AND(OR(PlanterYesMe="No",PlanterYesMe="N",PlanterYesMe="me"),H3696=""),"",IF(H3696="credit","NO install",IF(AND(K3696="",AE3696="me"),"EACH row",IF(AND(K3696="images",AE3696="me"),"EACH row",IF(D3696="","",IF(H3696="credit","",IF(AE3696="free","re-planting",IF(AE3696="me","   not ELP, by",IF(AND(OR(PlanterYesMe="Yes",PlanterYesMe="Y"),G3696&gt;0),(VLOOKUP(A3696,'Discount Lookup'!J:K,2)*G3696*(1-PlanterDiscount)*(1+PlanterDifficultyPercentage)),IF(AE3696="ELP",(VLOOKUP(A3696,'Discount Lookup'!J:K,2)*G3696*(1-PlanterDiscount)*(1+PlanterDifficultyPercentage)),IF(AE3696="free","re-planting",IF(G3696=0,"",IF(PlanterYesMe="",IF(AE3696="me","   not ELP, by",IF(AE3696="",IF(G3696&gt;0,(VLOOKUP(A3696,'Discount Lookup'!J:K,2)*G3696*(1-PlanterDiscount)*(1+PlanterDifficultyPercentage)),""),"")),"   not ELP, by"))))))))))))))</f>
        <v/>
      </c>
      <c r="AD3696" s="712"/>
      <c r="AE3696" s="513" t="str">
        <f t="shared" si="2782"/>
        <v/>
      </c>
      <c r="AF3696" s="713" t="str">
        <f t="shared" si="2783"/>
        <v/>
      </c>
      <c r="AG3696" s="713"/>
      <c r="AH3696" s="713"/>
      <c r="AI3696" s="112">
        <f>IF(H3696="credit",0,IF(AE3696="free",0,IF(AE3696="me",0,IF(G3696&gt;0,(VLOOKUP(A3696,'Discount Lookup'!J:K,2)*G3696),0))))</f>
        <v>0</v>
      </c>
      <c r="AJ3696" s="107" t="str">
        <f t="shared" ca="1" si="2784"/>
        <v/>
      </c>
      <c r="AK3696" s="714" t="str">
        <f t="shared" si="2785"/>
        <v/>
      </c>
      <c r="AL3696" s="714"/>
      <c r="AM3696" s="114" t="str">
        <f t="shared" si="2786"/>
        <v/>
      </c>
      <c r="AN3696" s="115"/>
      <c r="AO3696" s="116"/>
      <c r="AP3696" s="116"/>
      <c r="AQ3696" s="116"/>
      <c r="AR3696" s="116"/>
      <c r="AS3696" s="116"/>
      <c r="AT3696" s="116"/>
      <c r="AU3696" s="116"/>
      <c r="AV3696" s="78"/>
      <c r="AW3696" s="102"/>
      <c r="AX3696" s="78"/>
      <c r="AY3696" s="78"/>
      <c r="AZ3696" s="78"/>
      <c r="BA3696" s="78"/>
      <c r="BB3696" s="78"/>
      <c r="BC3696" s="78"/>
      <c r="BD3696" s="78"/>
      <c r="BE3696" s="465"/>
      <c r="BF3696" s="165" t="str">
        <f t="shared" si="2787"/>
        <v>https://www.google.com/search?tbm=isch&amp;q=3%20G2</v>
      </c>
      <c r="BG3696" s="165" t="str">
        <f t="shared" si="2788"/>
        <v>R</v>
      </c>
      <c r="BH3696" s="65"/>
      <c r="BI3696" s="65"/>
      <c r="BJ3696" s="65"/>
      <c r="BK3696" s="65"/>
      <c r="BL3696" s="99"/>
      <c r="BM3696" s="99"/>
      <c r="BN3696" s="99"/>
    </row>
    <row r="3697" spans="1:66" s="51" customFormat="1" ht="15.75" x14ac:dyDescent="0.25">
      <c r="A3697" s="634">
        <v>3</v>
      </c>
      <c r="B3697" s="635" t="s">
        <v>291</v>
      </c>
      <c r="C3697" s="636" t="s">
        <v>4104</v>
      </c>
      <c r="D3697" s="637" t="s">
        <v>311</v>
      </c>
      <c r="E3697" s="638">
        <v>35.950000000000003</v>
      </c>
      <c r="F3697" s="639" t="s">
        <v>292</v>
      </c>
      <c r="G3697" s="484">
        <v>0</v>
      </c>
      <c r="H3697" s="691" t="str">
        <f>IF(G3697=0,"",IF(F3697="Buy",IF(G3697=1,"plant","plants"),IF(F3697&gt;0.01,"warranty","Error")))</f>
        <v/>
      </c>
      <c r="I3697" s="640">
        <f>IF(H3697="free",0,IF(H3697="credit",((E3697*(F3697))*G3697*-1),IF(F3697="Buy",(E3697*G3697),((E3697*(1-F3697))*G3697))))</f>
        <v>0</v>
      </c>
      <c r="J3697" s="640">
        <f>IF(H3697="warranty",0,(I3697*(_xlfn.SINGLE(SalesTaxPercentage))))</f>
        <v>0</v>
      </c>
      <c r="K3697" s="716">
        <f t="shared" ref="K3697" si="2801">I3697+J3697</f>
        <v>0</v>
      </c>
      <c r="L3697" s="716"/>
      <c r="M3697" s="689" t="str">
        <f ca="1">IF(AND(G3697&gt;0,E3697=0),"WARNING - no PRICE inserted",IF(H3697="free","FREE ~ no charge this plant",IF(H3697="credit",CONCATENATE("-$",ROUND(K3697*(1-_xlfn.SINGLE(T2GDiscount))*-1,2)," CREDIT after discount"),IF(_xlfn.SINGLE(T2GDiscount)=0,"",IF(G3697=0,"",IF(F3697="Buy",CONCATENATE("$",ROUND(K3697*(1-_xlfn.SINGLE(T2GDiscount)),2)," with ",(_xlfn.SINGLE(T2GDiscount)*100),"% discount"),CONCATENATE("$",ROUND(K3697*(1-_xlfn.SINGLE(T2GDiscount)),2)," with ",((_xlfn.SINGLE(T2GDiscount)*100+F3697*100)-(_xlfn.SINGLE(T2GDiscount)*100*F3697)),IF(F3697&gt;0,"% discounts",IF(_xlfn.SINGLE(NoWarrantyDiscount)&gt;0,"% discounts","% discount")))))))))</f>
        <v/>
      </c>
      <c r="N3697" s="690"/>
      <c r="O3697" s="486"/>
      <c r="P3697" s="486"/>
      <c r="Q3697" s="486"/>
      <c r="R3697" s="486"/>
      <c r="S3697" s="486"/>
      <c r="T3697" s="102">
        <f t="shared" si="2776"/>
        <v>0</v>
      </c>
      <c r="U3697" s="78">
        <f>IF(NOT(ISNUMBER(G3697)), "", VLOOKUP(A3697,'Discount Lookup'!D:E,2,FALSE)*G3697)</f>
        <v>0</v>
      </c>
      <c r="V3697" s="78">
        <f>IF(NOT(ISNUMBER(G3697)), "", VLOOKUP(A3697,'Discount Lookup'!G:H,2,FALSE)*G3697)</f>
        <v>0</v>
      </c>
      <c r="W3697" s="102">
        <f t="shared" si="2777"/>
        <v>0</v>
      </c>
      <c r="X3697" s="102">
        <f t="shared" si="2778"/>
        <v>0</v>
      </c>
      <c r="Y3697" s="120" t="b">
        <f t="shared" si="2779"/>
        <v>0</v>
      </c>
      <c r="Z3697" s="117">
        <f t="shared" si="2780"/>
        <v>0</v>
      </c>
      <c r="AA3697" s="118"/>
      <c r="AB3697" s="118" t="str">
        <f t="shared" si="2781"/>
        <v/>
      </c>
      <c r="AC3697" s="712" t="str">
        <f>IF(AE3697="T2G","no charge",IF(AND(OR(PlanterYesMe="No",PlanterYesMe="N",PlanterYesMe="me"),H3697=""),"",IF(H3697="credit","NO install",IF(AND(K3697="",AE3697="me"),"EACH row",IF(AND(K3697="images",AE3697="me"),"EACH row",IF(D3697="","",IF(H3697="credit","",IF(AE3697="free","re-planting",IF(AE3697="me","   not ELP, by",IF(AND(OR(PlanterYesMe="Yes",PlanterYesMe="Y"),G3697&gt;0),(VLOOKUP(A3697,'Discount Lookup'!J:K,2)*G3697*(1-PlanterDiscount)*(1+PlanterDifficultyPercentage)),IF(AE3697="ELP",(VLOOKUP(A3697,'Discount Lookup'!J:K,2)*G3697*(1-PlanterDiscount)*(1+PlanterDifficultyPercentage)),IF(AE3697="free","re-planting",IF(G3697=0,"",IF(PlanterYesMe="",IF(AE3697="me","   not ELP, by",IF(AE3697="",IF(G3697&gt;0,(VLOOKUP(A3697,'Discount Lookup'!J:K,2)*G3697*(1-PlanterDiscount)*(1+PlanterDifficultyPercentage)),""),"")),"   not ELP, by"))))))))))))))</f>
        <v/>
      </c>
      <c r="AD3697" s="712"/>
      <c r="AE3697" s="513" t="str">
        <f t="shared" si="2782"/>
        <v/>
      </c>
      <c r="AF3697" s="713" t="str">
        <f t="shared" si="2783"/>
        <v/>
      </c>
      <c r="AG3697" s="713"/>
      <c r="AH3697" s="713"/>
      <c r="AI3697" s="112">
        <f>IF(H3697="credit",0,IF(AE3697="free",0,IF(AE3697="me",0,IF(G3697&gt;0,(VLOOKUP(A3697,'Discount Lookup'!J:K,2)*G3697),0))))</f>
        <v>0</v>
      </c>
      <c r="AJ3697" s="107" t="str">
        <f t="shared" ca="1" si="2784"/>
        <v/>
      </c>
      <c r="AK3697" s="714" t="str">
        <f t="shared" si="2785"/>
        <v/>
      </c>
      <c r="AL3697" s="714"/>
      <c r="AM3697" s="114" t="str">
        <f t="shared" si="2786"/>
        <v/>
      </c>
      <c r="AN3697" s="115"/>
      <c r="AO3697" s="116"/>
      <c r="AP3697" s="116"/>
      <c r="AQ3697" s="116"/>
      <c r="AR3697" s="116"/>
      <c r="AS3697" s="116"/>
      <c r="AT3697" s="116"/>
      <c r="AU3697" s="116"/>
      <c r="AV3697" s="78"/>
      <c r="AW3697" s="102"/>
      <c r="AX3697" s="78"/>
      <c r="AY3697" s="78"/>
      <c r="AZ3697" s="78"/>
      <c r="BA3697" s="78"/>
      <c r="BB3697" s="78"/>
      <c r="BC3697" s="78"/>
      <c r="BD3697" s="78"/>
      <c r="BE3697" s="465"/>
      <c r="BF3697" s="165" t="str">
        <f t="shared" si="2787"/>
        <v>https://www.google.com/search?tbm=isch&amp;q=3%20G5</v>
      </c>
      <c r="BG3697" s="165" t="str">
        <f t="shared" si="2788"/>
        <v>R</v>
      </c>
      <c r="BH3697" s="65"/>
      <c r="BI3697" s="65"/>
      <c r="BJ3697" s="65"/>
      <c r="BK3697" s="65"/>
      <c r="BL3697" s="99"/>
      <c r="BM3697" s="99"/>
      <c r="BN3697" s="99"/>
    </row>
    <row r="3698" spans="1:66" s="51" customFormat="1" ht="17.25" thickBot="1" x14ac:dyDescent="0.3">
      <c r="A3698" s="641" t="s">
        <v>4790</v>
      </c>
      <c r="B3698" s="642"/>
      <c r="C3698" s="710"/>
      <c r="D3698" s="643"/>
      <c r="E3698" s="643"/>
      <c r="F3698" s="644"/>
      <c r="G3698" s="645"/>
      <c r="H3698" s="646"/>
      <c r="I3698" s="647"/>
      <c r="J3698" s="648"/>
      <c r="K3698" s="649"/>
      <c r="L3698" s="650"/>
      <c r="M3698" s="650"/>
      <c r="N3698" s="644"/>
      <c r="O3698" s="644"/>
      <c r="P3698" s="644"/>
      <c r="Q3698" s="644"/>
      <c r="R3698" s="644"/>
      <c r="S3698" s="701" t="s">
        <v>5271</v>
      </c>
      <c r="T3698" s="102">
        <f t="shared" si="2776"/>
        <v>0</v>
      </c>
      <c r="U3698" s="78" t="str">
        <f>IF(NOT(ISNUMBER(G3698)), "", VLOOKUP(A3698,'Discount Lookup'!D:E,2,FALSE)*G3698)</f>
        <v/>
      </c>
      <c r="V3698" s="78" t="str">
        <f>IF(NOT(ISNUMBER(G3698)), "", VLOOKUP(A3698,'Discount Lookup'!G:H,2,FALSE)*G3698)</f>
        <v/>
      </c>
      <c r="W3698" s="102">
        <f t="shared" si="2777"/>
        <v>0</v>
      </c>
      <c r="X3698" s="102">
        <f t="shared" si="2778"/>
        <v>0</v>
      </c>
      <c r="Y3698" s="120" t="b">
        <f t="shared" si="2779"/>
        <v>0</v>
      </c>
      <c r="Z3698" s="117">
        <f t="shared" si="2780"/>
        <v>0</v>
      </c>
      <c r="AA3698" s="118"/>
      <c r="AB3698" s="118" t="str">
        <f t="shared" si="2781"/>
        <v/>
      </c>
      <c r="AC3698" s="712" t="str">
        <f>IF(AE3698="T2G","no charge",IF(AND(OR(PlanterYesMe="No",PlanterYesMe="N",PlanterYesMe="me"),H3698=""),"",IF(H3698="credit","NO install",IF(AND(K3698="",AE3698="me"),"EACH row",IF(AND(K3698="images",AE3698="me"),"EACH row",IF(D3698="","",IF(H3698="credit","",IF(AE3698="free","re-planting",IF(AE3698="me","   not ELP, by",IF(AND(OR(PlanterYesMe="Yes",PlanterYesMe="Y"),G3698&gt;0),(VLOOKUP(A3698,'Discount Lookup'!J:K,2)*G3698*(1-PlanterDiscount)*(1+PlanterDifficultyPercentage)),IF(AE3698="ELP",(VLOOKUP(A3698,'Discount Lookup'!J:K,2)*G3698*(1-PlanterDiscount)*(1+PlanterDifficultyPercentage)),IF(AE3698="free","re-planting",IF(G3698=0,"",IF(PlanterYesMe="",IF(AE3698="me","   not ELP, by",IF(AE3698="",IF(G3698&gt;0,(VLOOKUP(A3698,'Discount Lookup'!J:K,2)*G3698*(1-PlanterDiscount)*(1+PlanterDifficultyPercentage)),""),"")),"   not ELP, by"))))))))))))))</f>
        <v/>
      </c>
      <c r="AD3698" s="712"/>
      <c r="AE3698" s="513" t="str">
        <f t="shared" si="2782"/>
        <v/>
      </c>
      <c r="AF3698" s="713" t="str">
        <f t="shared" si="2783"/>
        <v/>
      </c>
      <c r="AG3698" s="713"/>
      <c r="AH3698" s="713"/>
      <c r="AI3698" s="112">
        <f>IF(H3698="credit",0,IF(AE3698="free",0,IF(AE3698="me",0,IF(G3698&gt;0,(VLOOKUP(A3698,'Discount Lookup'!J:K,2)*G3698),0))))</f>
        <v>0</v>
      </c>
      <c r="AJ3698" s="107" t="str">
        <f t="shared" ca="1" si="2784"/>
        <v/>
      </c>
      <c r="AK3698" s="714" t="str">
        <f t="shared" si="2785"/>
        <v/>
      </c>
      <c r="AL3698" s="714"/>
      <c r="AM3698" s="114" t="str">
        <f t="shared" si="2786"/>
        <v/>
      </c>
      <c r="AN3698" s="115"/>
      <c r="AO3698" s="116"/>
      <c r="AP3698" s="116"/>
      <c r="AQ3698" s="116"/>
      <c r="AR3698" s="116"/>
      <c r="AS3698" s="116"/>
      <c r="AT3698" s="116"/>
      <c r="AU3698" s="116"/>
      <c r="AV3698" s="78"/>
      <c r="AW3698" s="102"/>
      <c r="AX3698" s="78"/>
      <c r="AY3698" s="78"/>
      <c r="AZ3698" s="78"/>
      <c r="BA3698" s="78"/>
      <c r="BB3698" s="78"/>
      <c r="BC3698" s="78"/>
      <c r="BD3698" s="78"/>
      <c r="BE3698" s="465"/>
      <c r="BF3698" s="165" t="str">
        <f t="shared" si="2787"/>
        <v>https://www.google.com/search?tbm=isch&amp;q=Peach%20has%20a%20mild%20fragrance.%20Drift%20Roses%20bloom%20all%20summer%2C%20without%20deadheading%2C%20Glossy%20Green%20foliage%20and%20thorns%20%28rabbits%20may%20still%20nibble%29%20</v>
      </c>
      <c r="BG3698" s="165" t="str">
        <f t="shared" si="2788"/>
        <v>P</v>
      </c>
      <c r="BH3698" s="65"/>
      <c r="BI3698" s="65"/>
      <c r="BJ3698" s="65"/>
      <c r="BK3698" s="65"/>
      <c r="BL3698" s="99"/>
      <c r="BM3698" s="99"/>
      <c r="BN3698" s="99"/>
    </row>
    <row r="3699" spans="1:66" s="51" customFormat="1" ht="18" x14ac:dyDescent="0.25">
      <c r="A3699" s="623" t="s">
        <v>4105</v>
      </c>
      <c r="B3699" s="624"/>
      <c r="C3699" s="709"/>
      <c r="D3699" s="625" t="s">
        <v>5804</v>
      </c>
      <c r="E3699" s="626"/>
      <c r="F3699" s="626"/>
      <c r="G3699" s="626"/>
      <c r="H3699" s="622" t="s">
        <v>1439</v>
      </c>
      <c r="I3699" s="627" t="s">
        <v>4106</v>
      </c>
      <c r="J3699" s="628"/>
      <c r="K3699" s="628"/>
      <c r="L3699" s="629"/>
      <c r="M3699" s="700" t="s">
        <v>5241</v>
      </c>
      <c r="N3699" s="693" t="str">
        <f>IF(AND(ISTEXT($A3699), ISERROR($A3699+0)), HYPERLINK($BF3699, "Images"), "")</f>
        <v>Images</v>
      </c>
      <c r="O3699" s="695" t="s">
        <v>5264</v>
      </c>
      <c r="P3699" s="630"/>
      <c r="Q3699" s="631"/>
      <c r="R3699" s="632"/>
      <c r="S3699" s="633"/>
      <c r="T3699" s="102">
        <f t="shared" si="2776"/>
        <v>0</v>
      </c>
      <c r="U3699" s="78" t="str">
        <f>IF(NOT(ISNUMBER(G3699)), "", VLOOKUP(A3699,'Discount Lookup'!D:E,2,FALSE)*G3699)</f>
        <v/>
      </c>
      <c r="V3699" s="78" t="str">
        <f>IF(NOT(ISNUMBER(G3699)), "", VLOOKUP(A3699,'Discount Lookup'!G:H,2,FALSE)*G3699)</f>
        <v/>
      </c>
      <c r="W3699" s="102">
        <f t="shared" si="2777"/>
        <v>0</v>
      </c>
      <c r="X3699" s="102" t="str">
        <f t="shared" si="2778"/>
        <v>Pink, White center bloom</v>
      </c>
      <c r="Y3699" s="120" t="b">
        <f t="shared" si="2779"/>
        <v>0</v>
      </c>
      <c r="Z3699" s="117">
        <f t="shared" si="2780"/>
        <v>0</v>
      </c>
      <c r="AA3699" s="118"/>
      <c r="AB3699" s="118" t="str">
        <f t="shared" si="2781"/>
        <v/>
      </c>
      <c r="AC3699" s="712" t="str">
        <f>IF(AE3699="T2G","no charge",IF(AND(OR(PlanterYesMe="No",PlanterYesMe="N",PlanterYesMe="me"),H3699=""),"",IF(H3699="credit","NO install",IF(AND(K3699="",AE3699="me"),"EACH row",IF(AND(K3699="images",AE3699="me"),"EACH row",IF(D3699="","",IF(H3699="credit","",IF(AE3699="free","re-planting",IF(AE3699="me","   not ELP, by",IF(AND(OR(PlanterYesMe="Yes",PlanterYesMe="Y"),G3699&gt;0),(VLOOKUP(A3699,'Discount Lookup'!J:K,2)*G3699*(1-PlanterDiscount)*(1+PlanterDifficultyPercentage)),IF(AE3699="ELP",(VLOOKUP(A3699,'Discount Lookup'!J:K,2)*G3699*(1-PlanterDiscount)*(1+PlanterDifficultyPercentage)),IF(AE3699="free","re-planting",IF(G3699=0,"",IF(PlanterYesMe="",IF(AE3699="me","   not ELP, by",IF(AE3699="",IF(G3699&gt;0,(VLOOKUP(A3699,'Discount Lookup'!J:K,2)*G3699*(1-PlanterDiscount)*(1+PlanterDifficultyPercentage)),""),"")),"   not ELP, by"))))))))))))))</f>
        <v/>
      </c>
      <c r="AD3699" s="712"/>
      <c r="AE3699" s="513" t="str">
        <f t="shared" si="2782"/>
        <v/>
      </c>
      <c r="AF3699" s="713" t="str">
        <f t="shared" si="2783"/>
        <v/>
      </c>
      <c r="AG3699" s="713"/>
      <c r="AH3699" s="713"/>
      <c r="AI3699" s="112">
        <f>IF(H3699="credit",0,IF(AE3699="free",0,IF(AE3699="me",0,IF(G3699&gt;0,(VLOOKUP(A3699,'Discount Lookup'!J:K,2)*G3699),0))))</f>
        <v>0</v>
      </c>
      <c r="AJ3699" s="107" t="str">
        <f t="shared" ca="1" si="2784"/>
        <v/>
      </c>
      <c r="AK3699" s="714" t="str">
        <f t="shared" si="2785"/>
        <v/>
      </c>
      <c r="AL3699" s="714"/>
      <c r="AM3699" s="114" t="str">
        <f t="shared" si="2786"/>
        <v/>
      </c>
      <c r="AN3699" s="115"/>
      <c r="AO3699" s="116"/>
      <c r="AP3699" s="116"/>
      <c r="AQ3699" s="116"/>
      <c r="AR3699" s="116"/>
      <c r="AS3699" s="116"/>
      <c r="AT3699" s="116"/>
      <c r="AU3699" s="116"/>
      <c r="AV3699" s="78"/>
      <c r="AW3699" s="102"/>
      <c r="AX3699" s="78"/>
      <c r="AY3699" s="78"/>
      <c r="AZ3699" s="78"/>
      <c r="BA3699" s="78"/>
      <c r="BB3699" s="78"/>
      <c r="BC3699" s="78"/>
      <c r="BD3699" s="78"/>
      <c r="BE3699" s="465"/>
      <c r="BF3699" s="165" t="str">
        <f t="shared" si="2787"/>
        <v>https://www.google.com/search?tbm=isch&amp;q=Rosa%20%27Meijocos%27%20PP%2318874%20Pink%20Drift%C2%AE%20Rose</v>
      </c>
      <c r="BG3699" s="165" t="str">
        <f t="shared" si="2788"/>
        <v>R</v>
      </c>
      <c r="BH3699" s="65"/>
      <c r="BI3699" s="65"/>
      <c r="BJ3699" s="65"/>
      <c r="BK3699" s="65"/>
      <c r="BL3699" s="99"/>
      <c r="BM3699" s="99"/>
      <c r="BN3699" s="99"/>
    </row>
    <row r="3700" spans="1:66" s="51" customFormat="1" ht="15.75" x14ac:dyDescent="0.25">
      <c r="A3700" s="634">
        <v>3</v>
      </c>
      <c r="B3700" s="635" t="s">
        <v>291</v>
      </c>
      <c r="C3700" s="636"/>
      <c r="D3700" s="637" t="s">
        <v>310</v>
      </c>
      <c r="E3700" s="638">
        <v>31.95</v>
      </c>
      <c r="F3700" s="639" t="s">
        <v>292</v>
      </c>
      <c r="G3700" s="484">
        <v>0</v>
      </c>
      <c r="H3700" s="691" t="str">
        <f>IF(G3700=0,"",IF(F3700="Buy",IF(G3700=1,"plant","plants"),IF(F3700&gt;0.01,"warranty","Error")))</f>
        <v/>
      </c>
      <c r="I3700" s="640">
        <f>IF(H3700="free",0,IF(H3700="credit",((E3700*(F3700))*G3700*-1),IF(F3700="Buy",(E3700*G3700),((E3700*(1-F3700))*G3700))))</f>
        <v>0</v>
      </c>
      <c r="J3700" s="640">
        <f>IF(H3700="warranty",0,(I3700*(_xlfn.SINGLE(SalesTaxPercentage))))</f>
        <v>0</v>
      </c>
      <c r="K3700" s="716">
        <f t="shared" ref="K3700" si="2802">I3700+J3700</f>
        <v>0</v>
      </c>
      <c r="L3700" s="716"/>
      <c r="M3700" s="689" t="str">
        <f ca="1">IF(AND(G3700&gt;0,E3700=0),"WARNING - no PRICE inserted",IF(H3700="free","FREE ~ no charge this plant",IF(H3700="credit",CONCATENATE("-$",ROUND(K3700*(1-_xlfn.SINGLE(T2GDiscount))*-1,2)," CREDIT after discount"),IF(_xlfn.SINGLE(T2GDiscount)=0,"",IF(G3700=0,"",IF(F3700="Buy",CONCATENATE("$",ROUND(K3700*(1-_xlfn.SINGLE(T2GDiscount)),2)," with ",(_xlfn.SINGLE(T2GDiscount)*100),"% discount"),CONCATENATE("$",ROUND(K3700*(1-_xlfn.SINGLE(T2GDiscount)),2)," with ",((_xlfn.SINGLE(T2GDiscount)*100+F3700*100)-(_xlfn.SINGLE(T2GDiscount)*100*F3700)),IF(F3700&gt;0,"% discounts",IF(_xlfn.SINGLE(NoWarrantyDiscount)&gt;0,"% discounts","% discount")))))))))</f>
        <v/>
      </c>
      <c r="N3700" s="690"/>
      <c r="O3700" s="486"/>
      <c r="P3700" s="486"/>
      <c r="Q3700" s="486"/>
      <c r="R3700" s="486"/>
      <c r="S3700" s="486"/>
      <c r="T3700" s="102">
        <f t="shared" si="2776"/>
        <v>0</v>
      </c>
      <c r="U3700" s="78">
        <f>IF(NOT(ISNUMBER(G3700)), "", VLOOKUP(A3700,'Discount Lookup'!D:E,2,FALSE)*G3700)</f>
        <v>0</v>
      </c>
      <c r="V3700" s="78">
        <f>IF(NOT(ISNUMBER(G3700)), "", VLOOKUP(A3700,'Discount Lookup'!G:H,2,FALSE)*G3700)</f>
        <v>0</v>
      </c>
      <c r="W3700" s="102">
        <f t="shared" si="2777"/>
        <v>0</v>
      </c>
      <c r="X3700" s="102">
        <f t="shared" si="2778"/>
        <v>0</v>
      </c>
      <c r="Y3700" s="120" t="b">
        <f t="shared" si="2779"/>
        <v>0</v>
      </c>
      <c r="Z3700" s="117">
        <f t="shared" si="2780"/>
        <v>0</v>
      </c>
      <c r="AA3700" s="118"/>
      <c r="AB3700" s="118" t="str">
        <f t="shared" si="2781"/>
        <v/>
      </c>
      <c r="AC3700" s="712" t="str">
        <f>IF(AE3700="T2G","no charge",IF(AND(OR(PlanterYesMe="No",PlanterYesMe="N",PlanterYesMe="me"),H3700=""),"",IF(H3700="credit","NO install",IF(AND(K3700="",AE3700="me"),"EACH row",IF(AND(K3700="images",AE3700="me"),"EACH row",IF(D3700="","",IF(H3700="credit","",IF(AE3700="free","re-planting",IF(AE3700="me","   not ELP, by",IF(AND(OR(PlanterYesMe="Yes",PlanterYesMe="Y"),G3700&gt;0),(VLOOKUP(A3700,'Discount Lookup'!J:K,2)*G3700*(1-PlanterDiscount)*(1+PlanterDifficultyPercentage)),IF(AE3700="ELP",(VLOOKUP(A3700,'Discount Lookup'!J:K,2)*G3700*(1-PlanterDiscount)*(1+PlanterDifficultyPercentage)),IF(AE3700="free","re-planting",IF(G3700=0,"",IF(PlanterYesMe="",IF(AE3700="me","   not ELP, by",IF(AE3700="",IF(G3700&gt;0,(VLOOKUP(A3700,'Discount Lookup'!J:K,2)*G3700*(1-PlanterDiscount)*(1+PlanterDifficultyPercentage)),""),"")),"   not ELP, by"))))))))))))))</f>
        <v/>
      </c>
      <c r="AD3700" s="712"/>
      <c r="AE3700" s="513" t="str">
        <f t="shared" si="2782"/>
        <v/>
      </c>
      <c r="AF3700" s="713" t="str">
        <f t="shared" si="2783"/>
        <v/>
      </c>
      <c r="AG3700" s="713"/>
      <c r="AH3700" s="713"/>
      <c r="AI3700" s="112">
        <f>IF(H3700="credit",0,IF(AE3700="free",0,IF(AE3700="me",0,IF(G3700&gt;0,(VLOOKUP(A3700,'Discount Lookup'!J:K,2)*G3700),0))))</f>
        <v>0</v>
      </c>
      <c r="AJ3700" s="107" t="str">
        <f t="shared" ca="1" si="2784"/>
        <v/>
      </c>
      <c r="AK3700" s="714" t="str">
        <f t="shared" si="2785"/>
        <v/>
      </c>
      <c r="AL3700" s="714"/>
      <c r="AM3700" s="114" t="str">
        <f t="shared" si="2786"/>
        <v/>
      </c>
      <c r="AN3700" s="115"/>
      <c r="AO3700" s="116"/>
      <c r="AP3700" s="116"/>
      <c r="AQ3700" s="116"/>
      <c r="AR3700" s="116"/>
      <c r="AS3700" s="116"/>
      <c r="AT3700" s="116"/>
      <c r="AU3700" s="116"/>
      <c r="AV3700" s="78"/>
      <c r="AW3700" s="102"/>
      <c r="AX3700" s="78"/>
      <c r="AY3700" s="78"/>
      <c r="AZ3700" s="78"/>
      <c r="BA3700" s="78"/>
      <c r="BB3700" s="78"/>
      <c r="BC3700" s="78"/>
      <c r="BD3700" s="78"/>
      <c r="BE3700" s="465"/>
      <c r="BF3700" s="165" t="str">
        <f t="shared" si="2787"/>
        <v>https://www.google.com/search?tbm=isch&amp;q=3%20G1</v>
      </c>
      <c r="BG3700" s="165" t="str">
        <f t="shared" si="2788"/>
        <v>R</v>
      </c>
      <c r="BH3700" s="65"/>
      <c r="BI3700" s="65"/>
      <c r="BJ3700" s="65"/>
      <c r="BK3700" s="65"/>
      <c r="BL3700" s="99"/>
      <c r="BM3700" s="99"/>
      <c r="BN3700" s="99"/>
    </row>
    <row r="3701" spans="1:66" s="51" customFormat="1" ht="15.75" x14ac:dyDescent="0.25">
      <c r="A3701" s="634">
        <v>3</v>
      </c>
      <c r="B3701" s="635" t="s">
        <v>291</v>
      </c>
      <c r="C3701" s="636" t="s">
        <v>5015</v>
      </c>
      <c r="D3701" s="637" t="s">
        <v>329</v>
      </c>
      <c r="E3701" s="638">
        <v>31.95</v>
      </c>
      <c r="F3701" s="639" t="s">
        <v>292</v>
      </c>
      <c r="G3701" s="484">
        <v>0</v>
      </c>
      <c r="H3701" s="691" t="str">
        <f>IF(G3701=0,"",IF(F3701="Buy",IF(G3701=1,"plant","plants"),IF(F3701&gt;0.01,"warranty","Error")))</f>
        <v/>
      </c>
      <c r="I3701" s="640">
        <f>IF(H3701="free",0,IF(H3701="credit",((E3701*(F3701))*G3701*-1),IF(F3701="Buy",(E3701*G3701),((E3701*(1-F3701))*G3701))))</f>
        <v>0</v>
      </c>
      <c r="J3701" s="640">
        <f>IF(H3701="warranty",0,(I3701*(_xlfn.SINGLE(SalesTaxPercentage))))</f>
        <v>0</v>
      </c>
      <c r="K3701" s="716">
        <f t="shared" ref="K3701" si="2803">I3701+J3701</f>
        <v>0</v>
      </c>
      <c r="L3701" s="716"/>
      <c r="M3701" s="689" t="str">
        <f ca="1">IF(AND(G3701&gt;0,E3701=0),"WARNING - no PRICE inserted",IF(H3701="free","FREE ~ no charge this plant",IF(H3701="credit",CONCATENATE("-$",ROUND(K3701*(1-_xlfn.SINGLE(T2GDiscount))*-1,2)," CREDIT after discount"),IF(_xlfn.SINGLE(T2GDiscount)=0,"",IF(G3701=0,"",IF(F3701="Buy",CONCATENATE("$",ROUND(K3701*(1-_xlfn.SINGLE(T2GDiscount)),2)," with ",(_xlfn.SINGLE(T2GDiscount)*100),"% discount"),CONCATENATE("$",ROUND(K3701*(1-_xlfn.SINGLE(T2GDiscount)),2)," with ",((_xlfn.SINGLE(T2GDiscount)*100+F3701*100)-(_xlfn.SINGLE(T2GDiscount)*100*F3701)),IF(F3701&gt;0,"% discounts",IF(_xlfn.SINGLE(NoWarrantyDiscount)&gt;0,"% discounts","% discount")))))))))</f>
        <v/>
      </c>
      <c r="N3701" s="690"/>
      <c r="O3701" s="486"/>
      <c r="P3701" s="486"/>
      <c r="Q3701" s="486"/>
      <c r="R3701" s="486"/>
      <c r="S3701" s="486"/>
      <c r="T3701" s="102">
        <f t="shared" si="2776"/>
        <v>0</v>
      </c>
      <c r="U3701" s="78">
        <f>IF(NOT(ISNUMBER(G3701)), "", VLOOKUP(A3701,'Discount Lookup'!D:E,2,FALSE)*G3701)</f>
        <v>0</v>
      </c>
      <c r="V3701" s="78">
        <f>IF(NOT(ISNUMBER(G3701)), "", VLOOKUP(A3701,'Discount Lookup'!G:H,2,FALSE)*G3701)</f>
        <v>0</v>
      </c>
      <c r="W3701" s="102">
        <f t="shared" si="2777"/>
        <v>0</v>
      </c>
      <c r="X3701" s="102">
        <f t="shared" si="2778"/>
        <v>0</v>
      </c>
      <c r="Y3701" s="120" t="b">
        <f t="shared" si="2779"/>
        <v>0</v>
      </c>
      <c r="Z3701" s="117">
        <f t="shared" si="2780"/>
        <v>0</v>
      </c>
      <c r="AA3701" s="118"/>
      <c r="AB3701" s="118" t="str">
        <f t="shared" si="2781"/>
        <v/>
      </c>
      <c r="AC3701" s="712" t="str">
        <f>IF(AE3701="T2G","no charge",IF(AND(OR(PlanterYesMe="No",PlanterYesMe="N",PlanterYesMe="me"),H3701=""),"",IF(H3701="credit","NO install",IF(AND(K3701="",AE3701="me"),"EACH row",IF(AND(K3701="images",AE3701="me"),"EACH row",IF(D3701="","",IF(H3701="credit","",IF(AE3701="free","re-planting",IF(AE3701="me","   not ELP, by",IF(AND(OR(PlanterYesMe="Yes",PlanterYesMe="Y"),G3701&gt;0),(VLOOKUP(A3701,'Discount Lookup'!J:K,2)*G3701*(1-PlanterDiscount)*(1+PlanterDifficultyPercentage)),IF(AE3701="ELP",(VLOOKUP(A3701,'Discount Lookup'!J:K,2)*G3701*(1-PlanterDiscount)*(1+PlanterDifficultyPercentage)),IF(AE3701="free","re-planting",IF(G3701=0,"",IF(PlanterYesMe="",IF(AE3701="me","   not ELP, by",IF(AE3701="",IF(G3701&gt;0,(VLOOKUP(A3701,'Discount Lookup'!J:K,2)*G3701*(1-PlanterDiscount)*(1+PlanterDifficultyPercentage)),""),"")),"   not ELP, by"))))))))))))))</f>
        <v/>
      </c>
      <c r="AD3701" s="712"/>
      <c r="AE3701" s="513" t="str">
        <f t="shared" si="2782"/>
        <v/>
      </c>
      <c r="AF3701" s="713" t="str">
        <f t="shared" si="2783"/>
        <v/>
      </c>
      <c r="AG3701" s="713"/>
      <c r="AH3701" s="713"/>
      <c r="AI3701" s="112">
        <f>IF(H3701="credit",0,IF(AE3701="free",0,IF(AE3701="me",0,IF(G3701&gt;0,(VLOOKUP(A3701,'Discount Lookup'!J:K,2)*G3701),0))))</f>
        <v>0</v>
      </c>
      <c r="AJ3701" s="107" t="str">
        <f t="shared" ca="1" si="2784"/>
        <v/>
      </c>
      <c r="AK3701" s="714" t="str">
        <f t="shared" si="2785"/>
        <v/>
      </c>
      <c r="AL3701" s="714"/>
      <c r="AM3701" s="114" t="str">
        <f t="shared" si="2786"/>
        <v/>
      </c>
      <c r="AN3701" s="115"/>
      <c r="AO3701" s="116"/>
      <c r="AP3701" s="116"/>
      <c r="AQ3701" s="116"/>
      <c r="AR3701" s="116"/>
      <c r="AS3701" s="116"/>
      <c r="AT3701" s="116"/>
      <c r="AU3701" s="116"/>
      <c r="AV3701" s="78"/>
      <c r="AW3701" s="102"/>
      <c r="AX3701" s="78"/>
      <c r="AY3701" s="78"/>
      <c r="AZ3701" s="78"/>
      <c r="BA3701" s="78"/>
      <c r="BB3701" s="78"/>
      <c r="BC3701" s="78"/>
      <c r="BD3701" s="78"/>
      <c r="BE3701" s="465"/>
      <c r="BF3701" s="165" t="str">
        <f t="shared" si="2787"/>
        <v>https://www.google.com/search?tbm=isch&amp;q=3%20G2</v>
      </c>
      <c r="BG3701" s="165" t="str">
        <f t="shared" si="2788"/>
        <v>R</v>
      </c>
      <c r="BH3701" s="65"/>
      <c r="BI3701" s="65"/>
      <c r="BJ3701" s="65"/>
      <c r="BK3701" s="65"/>
      <c r="BL3701" s="99"/>
      <c r="BM3701" s="99"/>
      <c r="BN3701" s="99"/>
    </row>
    <row r="3702" spans="1:66" s="51" customFormat="1" ht="15.75" x14ac:dyDescent="0.25">
      <c r="A3702" s="634">
        <v>3</v>
      </c>
      <c r="B3702" s="635" t="s">
        <v>291</v>
      </c>
      <c r="C3702" s="636" t="s">
        <v>4101</v>
      </c>
      <c r="D3702" s="637" t="s">
        <v>311</v>
      </c>
      <c r="E3702" s="638">
        <v>35.950000000000003</v>
      </c>
      <c r="F3702" s="639" t="s">
        <v>292</v>
      </c>
      <c r="G3702" s="484">
        <v>0</v>
      </c>
      <c r="H3702" s="691" t="str">
        <f>IF(G3702=0,"",IF(F3702="Buy",IF(G3702=1,"plant","plants"),IF(F3702&gt;0.01,"warranty","Error")))</f>
        <v/>
      </c>
      <c r="I3702" s="640">
        <f>IF(H3702="free",0,IF(H3702="credit",((E3702*(F3702))*G3702*-1),IF(F3702="Buy",(E3702*G3702),((E3702*(1-F3702))*G3702))))</f>
        <v>0</v>
      </c>
      <c r="J3702" s="640">
        <f>IF(H3702="warranty",0,(I3702*(_xlfn.SINGLE(SalesTaxPercentage))))</f>
        <v>0</v>
      </c>
      <c r="K3702" s="716">
        <f t="shared" ref="K3702" si="2804">I3702+J3702</f>
        <v>0</v>
      </c>
      <c r="L3702" s="716"/>
      <c r="M3702" s="689" t="str">
        <f ca="1">IF(AND(G3702&gt;0,E3702=0),"WARNING - no PRICE inserted",IF(H3702="free","FREE ~ no charge this plant",IF(H3702="credit",CONCATENATE("-$",ROUND(K3702*(1-_xlfn.SINGLE(T2GDiscount))*-1,2)," CREDIT after discount"),IF(_xlfn.SINGLE(T2GDiscount)=0,"",IF(G3702=0,"",IF(F3702="Buy",CONCATENATE("$",ROUND(K3702*(1-_xlfn.SINGLE(T2GDiscount)),2)," with ",(_xlfn.SINGLE(T2GDiscount)*100),"% discount"),CONCATENATE("$",ROUND(K3702*(1-_xlfn.SINGLE(T2GDiscount)),2)," with ",((_xlfn.SINGLE(T2GDiscount)*100+F3702*100)-(_xlfn.SINGLE(T2GDiscount)*100*F3702)),IF(F3702&gt;0,"% discounts",IF(_xlfn.SINGLE(NoWarrantyDiscount)&gt;0,"% discounts","% discount")))))))))</f>
        <v/>
      </c>
      <c r="N3702" s="690"/>
      <c r="O3702" s="486"/>
      <c r="P3702" s="486"/>
      <c r="Q3702" s="486"/>
      <c r="R3702" s="486"/>
      <c r="S3702" s="486"/>
      <c r="T3702" s="102">
        <f t="shared" si="2776"/>
        <v>0</v>
      </c>
      <c r="U3702" s="78">
        <f>IF(NOT(ISNUMBER(G3702)), "", VLOOKUP(A3702,'Discount Lookup'!D:E,2,FALSE)*G3702)</f>
        <v>0</v>
      </c>
      <c r="V3702" s="78">
        <f>IF(NOT(ISNUMBER(G3702)), "", VLOOKUP(A3702,'Discount Lookup'!G:H,2,FALSE)*G3702)</f>
        <v>0</v>
      </c>
      <c r="W3702" s="102">
        <f t="shared" si="2777"/>
        <v>0</v>
      </c>
      <c r="X3702" s="102">
        <f t="shared" si="2778"/>
        <v>0</v>
      </c>
      <c r="Y3702" s="120" t="b">
        <f t="shared" si="2779"/>
        <v>0</v>
      </c>
      <c r="Z3702" s="117">
        <f t="shared" si="2780"/>
        <v>0</v>
      </c>
      <c r="AA3702" s="118"/>
      <c r="AB3702" s="118" t="str">
        <f t="shared" si="2781"/>
        <v/>
      </c>
      <c r="AC3702" s="712" t="str">
        <f>IF(AE3702="T2G","no charge",IF(AND(OR(PlanterYesMe="No",PlanterYesMe="N",PlanterYesMe="me"),H3702=""),"",IF(H3702="credit","NO install",IF(AND(K3702="",AE3702="me"),"EACH row",IF(AND(K3702="images",AE3702="me"),"EACH row",IF(D3702="","",IF(H3702="credit","",IF(AE3702="free","re-planting",IF(AE3702="me","   not ELP, by",IF(AND(OR(PlanterYesMe="Yes",PlanterYesMe="Y"),G3702&gt;0),(VLOOKUP(A3702,'Discount Lookup'!J:K,2)*G3702*(1-PlanterDiscount)*(1+PlanterDifficultyPercentage)),IF(AE3702="ELP",(VLOOKUP(A3702,'Discount Lookup'!J:K,2)*G3702*(1-PlanterDiscount)*(1+PlanterDifficultyPercentage)),IF(AE3702="free","re-planting",IF(G3702=0,"",IF(PlanterYesMe="",IF(AE3702="me","   not ELP, by",IF(AE3702="",IF(G3702&gt;0,(VLOOKUP(A3702,'Discount Lookup'!J:K,2)*G3702*(1-PlanterDiscount)*(1+PlanterDifficultyPercentage)),""),"")),"   not ELP, by"))))))))))))))</f>
        <v/>
      </c>
      <c r="AD3702" s="712"/>
      <c r="AE3702" s="513" t="str">
        <f t="shared" si="2782"/>
        <v/>
      </c>
      <c r="AF3702" s="713" t="str">
        <f t="shared" si="2783"/>
        <v/>
      </c>
      <c r="AG3702" s="713"/>
      <c r="AH3702" s="713"/>
      <c r="AI3702" s="112">
        <f>IF(H3702="credit",0,IF(AE3702="free",0,IF(AE3702="me",0,IF(G3702&gt;0,(VLOOKUP(A3702,'Discount Lookup'!J:K,2)*G3702),0))))</f>
        <v>0</v>
      </c>
      <c r="AJ3702" s="107" t="str">
        <f t="shared" ca="1" si="2784"/>
        <v/>
      </c>
      <c r="AK3702" s="714" t="str">
        <f t="shared" si="2785"/>
        <v/>
      </c>
      <c r="AL3702" s="714"/>
      <c r="AM3702" s="114" t="str">
        <f t="shared" si="2786"/>
        <v/>
      </c>
      <c r="AN3702" s="115"/>
      <c r="AO3702" s="116"/>
      <c r="AP3702" s="116"/>
      <c r="AQ3702" s="116"/>
      <c r="AR3702" s="116"/>
      <c r="AS3702" s="116"/>
      <c r="AT3702" s="116"/>
      <c r="AU3702" s="116"/>
      <c r="AV3702" s="78"/>
      <c r="AW3702" s="102"/>
      <c r="AX3702" s="78"/>
      <c r="AY3702" s="78"/>
      <c r="AZ3702" s="78"/>
      <c r="BA3702" s="78"/>
      <c r="BB3702" s="78"/>
      <c r="BC3702" s="78"/>
      <c r="BD3702" s="78"/>
      <c r="BE3702" s="465"/>
      <c r="BF3702" s="165" t="str">
        <f t="shared" si="2787"/>
        <v>https://www.google.com/search?tbm=isch&amp;q=3%20G5</v>
      </c>
      <c r="BG3702" s="165" t="str">
        <f t="shared" si="2788"/>
        <v>R</v>
      </c>
      <c r="BH3702" s="65"/>
      <c r="BI3702" s="65"/>
      <c r="BJ3702" s="65"/>
      <c r="BK3702" s="65"/>
      <c r="BL3702" s="99"/>
      <c r="BM3702" s="99"/>
      <c r="BN3702" s="99"/>
    </row>
    <row r="3703" spans="1:66" s="51" customFormat="1" ht="17.25" thickBot="1" x14ac:dyDescent="0.3">
      <c r="A3703" s="641" t="s">
        <v>4789</v>
      </c>
      <c r="B3703" s="642"/>
      <c r="C3703" s="710"/>
      <c r="D3703" s="643"/>
      <c r="E3703" s="643"/>
      <c r="F3703" s="644"/>
      <c r="G3703" s="645"/>
      <c r="H3703" s="646"/>
      <c r="I3703" s="647"/>
      <c r="J3703" s="648"/>
      <c r="K3703" s="649"/>
      <c r="L3703" s="650"/>
      <c r="M3703" s="650"/>
      <c r="N3703" s="644"/>
      <c r="O3703" s="644"/>
      <c r="P3703" s="644"/>
      <c r="Q3703" s="644"/>
      <c r="R3703" s="644"/>
      <c r="S3703" s="701" t="s">
        <v>5271</v>
      </c>
      <c r="T3703" s="102">
        <f t="shared" si="2776"/>
        <v>0</v>
      </c>
      <c r="U3703" s="78" t="str">
        <f>IF(NOT(ISNUMBER(G3703)), "", VLOOKUP(A3703,'Discount Lookup'!D:E,2,FALSE)*G3703)</f>
        <v/>
      </c>
      <c r="V3703" s="78" t="str">
        <f>IF(NOT(ISNUMBER(G3703)), "", VLOOKUP(A3703,'Discount Lookup'!G:H,2,FALSE)*G3703)</f>
        <v/>
      </c>
      <c r="W3703" s="102">
        <f t="shared" si="2777"/>
        <v>0</v>
      </c>
      <c r="X3703" s="102">
        <f t="shared" si="2778"/>
        <v>0</v>
      </c>
      <c r="Y3703" s="120" t="b">
        <f t="shared" si="2779"/>
        <v>0</v>
      </c>
      <c r="Z3703" s="117">
        <f t="shared" si="2780"/>
        <v>0</v>
      </c>
      <c r="AA3703" s="118"/>
      <c r="AB3703" s="118" t="str">
        <f t="shared" si="2781"/>
        <v/>
      </c>
      <c r="AC3703" s="712" t="str">
        <f>IF(AE3703="T2G","no charge",IF(AND(OR(PlanterYesMe="No",PlanterYesMe="N",PlanterYesMe="me"),H3703=""),"",IF(H3703="credit","NO install",IF(AND(K3703="",AE3703="me"),"EACH row",IF(AND(K3703="images",AE3703="me"),"EACH row",IF(D3703="","",IF(H3703="credit","",IF(AE3703="free","re-planting",IF(AE3703="me","   not ELP, by",IF(AND(OR(PlanterYesMe="Yes",PlanterYesMe="Y"),G3703&gt;0),(VLOOKUP(A3703,'Discount Lookup'!J:K,2)*G3703*(1-PlanterDiscount)*(1+PlanterDifficultyPercentage)),IF(AE3703="ELP",(VLOOKUP(A3703,'Discount Lookup'!J:K,2)*G3703*(1-PlanterDiscount)*(1+PlanterDifficultyPercentage)),IF(AE3703="free","re-planting",IF(G3703=0,"",IF(PlanterYesMe="",IF(AE3703="me","   not ELP, by",IF(AE3703="",IF(G3703&gt;0,(VLOOKUP(A3703,'Discount Lookup'!J:K,2)*G3703*(1-PlanterDiscount)*(1+PlanterDifficultyPercentage)),""),"")),"   not ELP, by"))))))))))))))</f>
        <v/>
      </c>
      <c r="AD3703" s="712"/>
      <c r="AE3703" s="513" t="str">
        <f t="shared" si="2782"/>
        <v/>
      </c>
      <c r="AF3703" s="713" t="str">
        <f t="shared" si="2783"/>
        <v/>
      </c>
      <c r="AG3703" s="713"/>
      <c r="AH3703" s="713"/>
      <c r="AI3703" s="112">
        <f>IF(H3703="credit",0,IF(AE3703="free",0,IF(AE3703="me",0,IF(G3703&gt;0,(VLOOKUP(A3703,'Discount Lookup'!J:K,2)*G3703),0))))</f>
        <v>0</v>
      </c>
      <c r="AJ3703" s="107" t="str">
        <f t="shared" ca="1" si="2784"/>
        <v/>
      </c>
      <c r="AK3703" s="714" t="str">
        <f t="shared" si="2785"/>
        <v/>
      </c>
      <c r="AL3703" s="714"/>
      <c r="AM3703" s="114" t="str">
        <f t="shared" si="2786"/>
        <v/>
      </c>
      <c r="AN3703" s="115"/>
      <c r="AO3703" s="116"/>
      <c r="AP3703" s="116"/>
      <c r="AQ3703" s="116"/>
      <c r="AR3703" s="116"/>
      <c r="AS3703" s="116"/>
      <c r="AT3703" s="116"/>
      <c r="AU3703" s="116"/>
      <c r="AV3703" s="78"/>
      <c r="AW3703" s="102"/>
      <c r="AX3703" s="78"/>
      <c r="AY3703" s="78"/>
      <c r="AZ3703" s="78"/>
      <c r="BA3703" s="78"/>
      <c r="BB3703" s="78"/>
      <c r="BC3703" s="78"/>
      <c r="BD3703" s="78"/>
      <c r="BE3703" s="465"/>
      <c r="BF3703" s="165" t="str">
        <f t="shared" si="2787"/>
        <v>https://www.google.com/search?tbm=isch&amp;q=Drift%20Roses%20bloom%20all%20summer%20and%20don%27t%20need%20deadheading%2C%20Glossy%20Green%20foliage%20and%20thorns%20%28rabbits%20may%20still%20nibble%29.%20Cut%20back%20annually%20</v>
      </c>
      <c r="BG3703" s="165" t="str">
        <f t="shared" si="2788"/>
        <v>D</v>
      </c>
      <c r="BH3703" s="65"/>
      <c r="BI3703" s="65"/>
      <c r="BJ3703" s="65"/>
      <c r="BK3703" s="65"/>
      <c r="BL3703" s="99"/>
      <c r="BM3703" s="99"/>
      <c r="BN3703" s="99"/>
    </row>
    <row r="3704" spans="1:66" s="51" customFormat="1" ht="18" x14ac:dyDescent="0.25">
      <c r="A3704" s="623" t="s">
        <v>4107</v>
      </c>
      <c r="B3704" s="624"/>
      <c r="C3704" s="709"/>
      <c r="D3704" s="625" t="s">
        <v>5805</v>
      </c>
      <c r="E3704" s="626"/>
      <c r="F3704" s="626"/>
      <c r="G3704" s="626"/>
      <c r="H3704" s="622" t="s">
        <v>1126</v>
      </c>
      <c r="I3704" s="627" t="s">
        <v>2483</v>
      </c>
      <c r="J3704" s="628"/>
      <c r="K3704" s="628"/>
      <c r="L3704" s="629"/>
      <c r="M3704" s="700" t="s">
        <v>5241</v>
      </c>
      <c r="N3704" s="693" t="str">
        <f>IF(AND(ISTEXT($A3704), ISERROR($A3704+0)), HYPERLINK($BF3704, "Images"), "")</f>
        <v>Images</v>
      </c>
      <c r="O3704" s="695" t="s">
        <v>5264</v>
      </c>
      <c r="P3704" s="630"/>
      <c r="Q3704" s="631"/>
      <c r="R3704" s="632"/>
      <c r="S3704" s="633"/>
      <c r="T3704" s="102">
        <f t="shared" si="2776"/>
        <v>0</v>
      </c>
      <c r="U3704" s="78" t="str">
        <f>IF(NOT(ISNUMBER(G3704)), "", VLOOKUP(A3704,'Discount Lookup'!D:E,2,FALSE)*G3704)</f>
        <v/>
      </c>
      <c r="V3704" s="78" t="str">
        <f>IF(NOT(ISNUMBER(G3704)), "", VLOOKUP(A3704,'Discount Lookup'!G:H,2,FALSE)*G3704)</f>
        <v/>
      </c>
      <c r="W3704" s="102">
        <f t="shared" si="2777"/>
        <v>0</v>
      </c>
      <c r="X3704" s="102" t="str">
        <f t="shared" si="2778"/>
        <v>Creamy Yellow bloom</v>
      </c>
      <c r="Y3704" s="120" t="b">
        <f t="shared" si="2779"/>
        <v>0</v>
      </c>
      <c r="Z3704" s="117">
        <f t="shared" si="2780"/>
        <v>0</v>
      </c>
      <c r="AA3704" s="118"/>
      <c r="AB3704" s="118" t="str">
        <f t="shared" si="2781"/>
        <v/>
      </c>
      <c r="AC3704" s="712" t="str">
        <f>IF(AE3704="T2G","no charge",IF(AND(OR(PlanterYesMe="No",PlanterYesMe="N",PlanterYesMe="me"),H3704=""),"",IF(H3704="credit","NO install",IF(AND(K3704="",AE3704="me"),"EACH row",IF(AND(K3704="images",AE3704="me"),"EACH row",IF(D3704="","",IF(H3704="credit","",IF(AE3704="free","re-planting",IF(AE3704="me","   not ELP, by",IF(AND(OR(PlanterYesMe="Yes",PlanterYesMe="Y"),G3704&gt;0),(VLOOKUP(A3704,'Discount Lookup'!J:K,2)*G3704*(1-PlanterDiscount)*(1+PlanterDifficultyPercentage)),IF(AE3704="ELP",(VLOOKUP(A3704,'Discount Lookup'!J:K,2)*G3704*(1-PlanterDiscount)*(1+PlanterDifficultyPercentage)),IF(AE3704="free","re-planting",IF(G3704=0,"",IF(PlanterYesMe="",IF(AE3704="me","   not ELP, by",IF(AE3704="",IF(G3704&gt;0,(VLOOKUP(A3704,'Discount Lookup'!J:K,2)*G3704*(1-PlanterDiscount)*(1+PlanterDifficultyPercentage)),""),"")),"   not ELP, by"))))))))))))))</f>
        <v/>
      </c>
      <c r="AD3704" s="712"/>
      <c r="AE3704" s="513" t="str">
        <f t="shared" si="2782"/>
        <v/>
      </c>
      <c r="AF3704" s="713" t="str">
        <f t="shared" si="2783"/>
        <v/>
      </c>
      <c r="AG3704" s="713"/>
      <c r="AH3704" s="713"/>
      <c r="AI3704" s="112">
        <f>IF(H3704="credit",0,IF(AE3704="free",0,IF(AE3704="me",0,IF(G3704&gt;0,(VLOOKUP(A3704,'Discount Lookup'!J:K,2)*G3704),0))))</f>
        <v>0</v>
      </c>
      <c r="AJ3704" s="107" t="str">
        <f t="shared" ca="1" si="2784"/>
        <v/>
      </c>
      <c r="AK3704" s="714" t="str">
        <f t="shared" si="2785"/>
        <v/>
      </c>
      <c r="AL3704" s="714"/>
      <c r="AM3704" s="114" t="str">
        <f t="shared" si="2786"/>
        <v/>
      </c>
      <c r="AN3704" s="115"/>
      <c r="AO3704" s="116"/>
      <c r="AP3704" s="116"/>
      <c r="AQ3704" s="116"/>
      <c r="AR3704" s="116"/>
      <c r="AS3704" s="116"/>
      <c r="AT3704" s="116"/>
      <c r="AU3704" s="116"/>
      <c r="AV3704" s="78"/>
      <c r="AW3704" s="102"/>
      <c r="AX3704" s="78"/>
      <c r="AY3704" s="78"/>
      <c r="AZ3704" s="78"/>
      <c r="BA3704" s="78"/>
      <c r="BB3704" s="78"/>
      <c r="BC3704" s="78"/>
      <c r="BD3704" s="78"/>
      <c r="BE3704" s="465"/>
      <c r="BF3704" s="165" t="str">
        <f t="shared" si="2787"/>
        <v>https://www.google.com/search?tbm=isch&amp;q=Rosa%20%27Meikaquinz%27%20PP%2330572%20Moonlight%20Romantica%C2%AE%20Hybrid%20Tea%20Rose</v>
      </c>
      <c r="BG3704" s="165" t="str">
        <f t="shared" si="2788"/>
        <v>R</v>
      </c>
      <c r="BH3704" s="65"/>
      <c r="BI3704" s="65"/>
      <c r="BJ3704" s="65"/>
      <c r="BK3704" s="65"/>
      <c r="BL3704" s="99"/>
      <c r="BM3704" s="99"/>
      <c r="BN3704" s="99"/>
    </row>
    <row r="3705" spans="1:66" s="51" customFormat="1" ht="15.75" x14ac:dyDescent="0.25">
      <c r="A3705" s="634">
        <v>3</v>
      </c>
      <c r="B3705" s="635" t="s">
        <v>291</v>
      </c>
      <c r="C3705" s="636" t="s">
        <v>1530</v>
      </c>
      <c r="D3705" s="637" t="s">
        <v>329</v>
      </c>
      <c r="E3705" s="638">
        <v>43.95</v>
      </c>
      <c r="F3705" s="639" t="s">
        <v>292</v>
      </c>
      <c r="G3705" s="484">
        <v>0</v>
      </c>
      <c r="H3705" s="691" t="str">
        <f>IF(G3705=0,"",IF(F3705="Buy",IF(G3705=1,"plant","plants"),IF(F3705&gt;0.01,"warranty","Error")))</f>
        <v/>
      </c>
      <c r="I3705" s="640">
        <f>IF(H3705="free",0,IF(H3705="credit",((E3705*(F3705))*G3705*-1),IF(F3705="Buy",(E3705*G3705),((E3705*(1-F3705))*G3705))))</f>
        <v>0</v>
      </c>
      <c r="J3705" s="640">
        <f>IF(H3705="warranty",0,(I3705*(_xlfn.SINGLE(SalesTaxPercentage))))</f>
        <v>0</v>
      </c>
      <c r="K3705" s="716">
        <f t="shared" ref="K3705" si="2805">I3705+J3705</f>
        <v>0</v>
      </c>
      <c r="L3705" s="716"/>
      <c r="M3705" s="689" t="str">
        <f ca="1">IF(AND(G3705&gt;0,E3705=0),"WARNING - no PRICE inserted",IF(H3705="free","FREE ~ no charge this plant",IF(H3705="credit",CONCATENATE("-$",ROUND(K3705*(1-_xlfn.SINGLE(T2GDiscount))*-1,2)," CREDIT after discount"),IF(_xlfn.SINGLE(T2GDiscount)=0,"",IF(G3705=0,"",IF(F3705="Buy",CONCATENATE("$",ROUND(K3705*(1-_xlfn.SINGLE(T2GDiscount)),2)," with ",(_xlfn.SINGLE(T2GDiscount)*100),"% discount"),CONCATENATE("$",ROUND(K3705*(1-_xlfn.SINGLE(T2GDiscount)),2)," with ",((_xlfn.SINGLE(T2GDiscount)*100+F3705*100)-(_xlfn.SINGLE(T2GDiscount)*100*F3705)),IF(F3705&gt;0,"% discounts",IF(_xlfn.SINGLE(NoWarrantyDiscount)&gt;0,"% discounts","% discount")))))))))</f>
        <v/>
      </c>
      <c r="N3705" s="690"/>
      <c r="O3705" s="486"/>
      <c r="P3705" s="486"/>
      <c r="Q3705" s="486"/>
      <c r="R3705" s="486"/>
      <c r="S3705" s="486"/>
      <c r="T3705" s="102">
        <f t="shared" si="2776"/>
        <v>0</v>
      </c>
      <c r="U3705" s="78">
        <f>IF(NOT(ISNUMBER(G3705)), "", VLOOKUP(A3705,'Discount Lookup'!D:E,2,FALSE)*G3705)</f>
        <v>0</v>
      </c>
      <c r="V3705" s="78">
        <f>IF(NOT(ISNUMBER(G3705)), "", VLOOKUP(A3705,'Discount Lookup'!G:H,2,FALSE)*G3705)</f>
        <v>0</v>
      </c>
      <c r="W3705" s="102">
        <f t="shared" si="2777"/>
        <v>0</v>
      </c>
      <c r="X3705" s="102">
        <f t="shared" si="2778"/>
        <v>0</v>
      </c>
      <c r="Y3705" s="120" t="b">
        <f t="shared" si="2779"/>
        <v>0</v>
      </c>
      <c r="Z3705" s="117">
        <f t="shared" si="2780"/>
        <v>0</v>
      </c>
      <c r="AA3705" s="118"/>
      <c r="AB3705" s="118" t="str">
        <f t="shared" si="2781"/>
        <v/>
      </c>
      <c r="AC3705" s="712" t="str">
        <f>IF(AE3705="T2G","no charge",IF(AND(OR(PlanterYesMe="No",PlanterYesMe="N",PlanterYesMe="me"),H3705=""),"",IF(H3705="credit","NO install",IF(AND(K3705="",AE3705="me"),"EACH row",IF(AND(K3705="images",AE3705="me"),"EACH row",IF(D3705="","",IF(H3705="credit","",IF(AE3705="free","re-planting",IF(AE3705="me","   not ELP, by",IF(AND(OR(PlanterYesMe="Yes",PlanterYesMe="Y"),G3705&gt;0),(VLOOKUP(A3705,'Discount Lookup'!J:K,2)*G3705*(1-PlanterDiscount)*(1+PlanterDifficultyPercentage)),IF(AE3705="ELP",(VLOOKUP(A3705,'Discount Lookup'!J:K,2)*G3705*(1-PlanterDiscount)*(1+PlanterDifficultyPercentage)),IF(AE3705="free","re-planting",IF(G3705=0,"",IF(PlanterYesMe="",IF(AE3705="me","   not ELP, by",IF(AE3705="",IF(G3705&gt;0,(VLOOKUP(A3705,'Discount Lookup'!J:K,2)*G3705*(1-PlanterDiscount)*(1+PlanterDifficultyPercentage)),""),"")),"   not ELP, by"))))))))))))))</f>
        <v/>
      </c>
      <c r="AD3705" s="712"/>
      <c r="AE3705" s="513" t="str">
        <f t="shared" si="2782"/>
        <v/>
      </c>
      <c r="AF3705" s="713" t="str">
        <f t="shared" si="2783"/>
        <v/>
      </c>
      <c r="AG3705" s="713"/>
      <c r="AH3705" s="713"/>
      <c r="AI3705" s="112">
        <f>IF(H3705="credit",0,IF(AE3705="free",0,IF(AE3705="me",0,IF(G3705&gt;0,(VLOOKUP(A3705,'Discount Lookup'!J:K,2)*G3705),0))))</f>
        <v>0</v>
      </c>
      <c r="AJ3705" s="107" t="str">
        <f t="shared" ca="1" si="2784"/>
        <v/>
      </c>
      <c r="AK3705" s="714" t="str">
        <f t="shared" si="2785"/>
        <v/>
      </c>
      <c r="AL3705" s="714"/>
      <c r="AM3705" s="114" t="str">
        <f t="shared" si="2786"/>
        <v/>
      </c>
      <c r="AN3705" s="115"/>
      <c r="AO3705" s="116"/>
      <c r="AP3705" s="116"/>
      <c r="AQ3705" s="116"/>
      <c r="AR3705" s="116"/>
      <c r="AS3705" s="116"/>
      <c r="AT3705" s="116"/>
      <c r="AU3705" s="116"/>
      <c r="AV3705" s="78"/>
      <c r="AW3705" s="102"/>
      <c r="AX3705" s="78"/>
      <c r="AY3705" s="78"/>
      <c r="AZ3705" s="78"/>
      <c r="BA3705" s="78"/>
      <c r="BB3705" s="78"/>
      <c r="BC3705" s="78"/>
      <c r="BD3705" s="78"/>
      <c r="BE3705" s="465"/>
      <c r="BF3705" s="165" t="str">
        <f t="shared" si="2787"/>
        <v>https://www.google.com/search?tbm=isch&amp;q=3%20G2</v>
      </c>
      <c r="BG3705" s="165" t="str">
        <f t="shared" si="2788"/>
        <v>R</v>
      </c>
      <c r="BH3705" s="65"/>
      <c r="BI3705" s="65"/>
      <c r="BJ3705" s="65"/>
      <c r="BK3705" s="65"/>
      <c r="BL3705" s="99"/>
      <c r="BM3705" s="99"/>
      <c r="BN3705" s="99"/>
    </row>
    <row r="3706" spans="1:66" s="51" customFormat="1" ht="17.25" thickBot="1" x14ac:dyDescent="0.3">
      <c r="A3706" s="641" t="s">
        <v>4791</v>
      </c>
      <c r="B3706" s="642"/>
      <c r="C3706" s="710"/>
      <c r="D3706" s="643"/>
      <c r="E3706" s="643"/>
      <c r="F3706" s="644"/>
      <c r="G3706" s="645"/>
      <c r="H3706" s="646"/>
      <c r="I3706" s="647"/>
      <c r="J3706" s="648"/>
      <c r="K3706" s="649"/>
      <c r="L3706" s="650"/>
      <c r="M3706" s="650"/>
      <c r="N3706" s="644"/>
      <c r="O3706" s="644"/>
      <c r="P3706" s="644"/>
      <c r="Q3706" s="644"/>
      <c r="R3706" s="644"/>
      <c r="S3706" s="701" t="s">
        <v>5271</v>
      </c>
      <c r="T3706" s="102">
        <f t="shared" si="2776"/>
        <v>0</v>
      </c>
      <c r="U3706" s="78" t="str">
        <f>IF(NOT(ISNUMBER(G3706)), "", VLOOKUP(A3706,'Discount Lookup'!D:E,2,FALSE)*G3706)</f>
        <v/>
      </c>
      <c r="V3706" s="78" t="str">
        <f>IF(NOT(ISNUMBER(G3706)), "", VLOOKUP(A3706,'Discount Lookup'!G:H,2,FALSE)*G3706)</f>
        <v/>
      </c>
      <c r="W3706" s="102">
        <f t="shared" si="2777"/>
        <v>0</v>
      </c>
      <c r="X3706" s="102">
        <f t="shared" si="2778"/>
        <v>0</v>
      </c>
      <c r="Y3706" s="120" t="b">
        <f t="shared" si="2779"/>
        <v>0</v>
      </c>
      <c r="Z3706" s="117">
        <f t="shared" si="2780"/>
        <v>0</v>
      </c>
      <c r="AA3706" s="118"/>
      <c r="AB3706" s="118" t="str">
        <f t="shared" si="2781"/>
        <v/>
      </c>
      <c r="AC3706" s="712" t="str">
        <f>IF(AE3706="T2G","no charge",IF(AND(OR(PlanterYesMe="No",PlanterYesMe="N",PlanterYesMe="me"),H3706=""),"",IF(H3706="credit","NO install",IF(AND(K3706="",AE3706="me"),"EACH row",IF(AND(K3706="images",AE3706="me"),"EACH row",IF(D3706="","",IF(H3706="credit","",IF(AE3706="free","re-planting",IF(AE3706="me","   not ELP, by",IF(AND(OR(PlanterYesMe="Yes",PlanterYesMe="Y"),G3706&gt;0),(VLOOKUP(A3706,'Discount Lookup'!J:K,2)*G3706*(1-PlanterDiscount)*(1+PlanterDifficultyPercentage)),IF(AE3706="ELP",(VLOOKUP(A3706,'Discount Lookup'!J:K,2)*G3706*(1-PlanterDiscount)*(1+PlanterDifficultyPercentage)),IF(AE3706="free","re-planting",IF(G3706=0,"",IF(PlanterYesMe="",IF(AE3706="me","   not ELP, by",IF(AE3706="",IF(G3706&gt;0,(VLOOKUP(A3706,'Discount Lookup'!J:K,2)*G3706*(1-PlanterDiscount)*(1+PlanterDifficultyPercentage)),""),"")),"   not ELP, by"))))))))))))))</f>
        <v/>
      </c>
      <c r="AD3706" s="712"/>
      <c r="AE3706" s="513" t="str">
        <f t="shared" si="2782"/>
        <v/>
      </c>
      <c r="AF3706" s="713" t="str">
        <f t="shared" si="2783"/>
        <v/>
      </c>
      <c r="AG3706" s="713"/>
      <c r="AH3706" s="713"/>
      <c r="AI3706" s="112">
        <f>IF(H3706="credit",0,IF(AE3706="free",0,IF(AE3706="me",0,IF(G3706&gt;0,(VLOOKUP(A3706,'Discount Lookup'!J:K,2)*G3706),0))))</f>
        <v>0</v>
      </c>
      <c r="AJ3706" s="107" t="str">
        <f t="shared" ca="1" si="2784"/>
        <v/>
      </c>
      <c r="AK3706" s="714" t="str">
        <f t="shared" si="2785"/>
        <v/>
      </c>
      <c r="AL3706" s="714"/>
      <c r="AM3706" s="114" t="str">
        <f t="shared" si="2786"/>
        <v/>
      </c>
      <c r="AN3706" s="115"/>
      <c r="AO3706" s="116"/>
      <c r="AP3706" s="116"/>
      <c r="AQ3706" s="116"/>
      <c r="AR3706" s="116"/>
      <c r="AS3706" s="116"/>
      <c r="AT3706" s="116"/>
      <c r="AU3706" s="116"/>
      <c r="AV3706" s="78"/>
      <c r="AW3706" s="102"/>
      <c r="AX3706" s="78"/>
      <c r="AY3706" s="78"/>
      <c r="AZ3706" s="78"/>
      <c r="BA3706" s="78"/>
      <c r="BB3706" s="78"/>
      <c r="BC3706" s="78"/>
      <c r="BD3706" s="78"/>
      <c r="BE3706" s="465"/>
      <c r="BF3706" s="165" t="str">
        <f t="shared" si="2787"/>
        <v>https://www.google.com/search?tbm=isch&amp;q=Moonlight%20Romantica%20has%20a%20honey%20and%20fresh%20fruit%20fragrance.%20Deadhead%20as%20needed.%20Thorny%20%28rabbits%20may%20still%20nibble%29.%20Cut%20back%20annually%20</v>
      </c>
      <c r="BG3706" s="165" t="str">
        <f t="shared" si="2788"/>
        <v>M</v>
      </c>
      <c r="BH3706" s="65"/>
      <c r="BI3706" s="65"/>
      <c r="BJ3706" s="65"/>
      <c r="BK3706" s="65"/>
      <c r="BL3706" s="99"/>
      <c r="BM3706" s="99"/>
      <c r="BN3706" s="99"/>
    </row>
    <row r="3707" spans="1:66" s="51" customFormat="1" ht="18" x14ac:dyDescent="0.25">
      <c r="A3707" s="623" t="s">
        <v>4108</v>
      </c>
      <c r="B3707" s="624"/>
      <c r="C3707" s="709"/>
      <c r="D3707" s="625" t="s">
        <v>5806</v>
      </c>
      <c r="E3707" s="626"/>
      <c r="F3707" s="626"/>
      <c r="G3707" s="626"/>
      <c r="H3707" s="622" t="s">
        <v>4896</v>
      </c>
      <c r="I3707" s="627" t="s">
        <v>4109</v>
      </c>
      <c r="J3707" s="628"/>
      <c r="K3707" s="628"/>
      <c r="L3707" s="629"/>
      <c r="M3707" s="700" t="s">
        <v>5241</v>
      </c>
      <c r="N3707" s="693" t="str">
        <f>IF(AND(ISTEXT($A3707), ISERROR($A3707+0)), HYPERLINK($BF3707, "Images"), "")</f>
        <v>Images</v>
      </c>
      <c r="O3707" s="695" t="s">
        <v>5264</v>
      </c>
      <c r="P3707" s="630"/>
      <c r="Q3707" s="631"/>
      <c r="R3707" s="632"/>
      <c r="S3707" s="633"/>
      <c r="T3707" s="102">
        <f t="shared" si="2776"/>
        <v>0</v>
      </c>
      <c r="U3707" s="78" t="str">
        <f>IF(NOT(ISNUMBER(G3707)), "", VLOOKUP(A3707,'Discount Lookup'!D:E,2,FALSE)*G3707)</f>
        <v/>
      </c>
      <c r="V3707" s="78" t="str">
        <f>IF(NOT(ISNUMBER(G3707)), "", VLOOKUP(A3707,'Discount Lookup'!G:H,2,FALSE)*G3707)</f>
        <v/>
      </c>
      <c r="W3707" s="102">
        <f t="shared" si="2777"/>
        <v>0</v>
      </c>
      <c r="X3707" s="102" t="str">
        <f t="shared" si="2778"/>
        <v>Bright Yellow, darker center</v>
      </c>
      <c r="Y3707" s="120" t="b">
        <f t="shared" si="2779"/>
        <v>0</v>
      </c>
      <c r="Z3707" s="117">
        <f t="shared" si="2780"/>
        <v>0</v>
      </c>
      <c r="AA3707" s="118"/>
      <c r="AB3707" s="118" t="str">
        <f t="shared" si="2781"/>
        <v/>
      </c>
      <c r="AC3707" s="712" t="str">
        <f>IF(AE3707="T2G","no charge",IF(AND(OR(PlanterYesMe="No",PlanterYesMe="N",PlanterYesMe="me"),H3707=""),"",IF(H3707="credit","NO install",IF(AND(K3707="",AE3707="me"),"EACH row",IF(AND(K3707="images",AE3707="me"),"EACH row",IF(D3707="","",IF(H3707="credit","",IF(AE3707="free","re-planting",IF(AE3707="me","   not ELP, by",IF(AND(OR(PlanterYesMe="Yes",PlanterYesMe="Y"),G3707&gt;0),(VLOOKUP(A3707,'Discount Lookup'!J:K,2)*G3707*(1-PlanterDiscount)*(1+PlanterDifficultyPercentage)),IF(AE3707="ELP",(VLOOKUP(A3707,'Discount Lookup'!J:K,2)*G3707*(1-PlanterDiscount)*(1+PlanterDifficultyPercentage)),IF(AE3707="free","re-planting",IF(G3707=0,"",IF(PlanterYesMe="",IF(AE3707="me","   not ELP, by",IF(AE3707="",IF(G3707&gt;0,(VLOOKUP(A3707,'Discount Lookup'!J:K,2)*G3707*(1-PlanterDiscount)*(1+PlanterDifficultyPercentage)),""),"")),"   not ELP, by"))))))))))))))</f>
        <v/>
      </c>
      <c r="AD3707" s="712"/>
      <c r="AE3707" s="513" t="str">
        <f t="shared" si="2782"/>
        <v/>
      </c>
      <c r="AF3707" s="713" t="str">
        <f t="shared" si="2783"/>
        <v/>
      </c>
      <c r="AG3707" s="713"/>
      <c r="AH3707" s="713"/>
      <c r="AI3707" s="112">
        <f>IF(H3707="credit",0,IF(AE3707="free",0,IF(AE3707="me",0,IF(G3707&gt;0,(VLOOKUP(A3707,'Discount Lookup'!J:K,2)*G3707),0))))</f>
        <v>0</v>
      </c>
      <c r="AJ3707" s="107" t="str">
        <f t="shared" ca="1" si="2784"/>
        <v/>
      </c>
      <c r="AK3707" s="714" t="str">
        <f t="shared" si="2785"/>
        <v/>
      </c>
      <c r="AL3707" s="714"/>
      <c r="AM3707" s="114" t="str">
        <f t="shared" si="2786"/>
        <v/>
      </c>
      <c r="AN3707" s="115"/>
      <c r="AO3707" s="116"/>
      <c r="AP3707" s="116"/>
      <c r="AQ3707" s="116"/>
      <c r="AR3707" s="116"/>
      <c r="AS3707" s="116"/>
      <c r="AT3707" s="116"/>
      <c r="AU3707" s="116"/>
      <c r="AV3707" s="78"/>
      <c r="AW3707" s="102"/>
      <c r="AX3707" s="78"/>
      <c r="AY3707" s="78"/>
      <c r="AZ3707" s="78"/>
      <c r="BA3707" s="78"/>
      <c r="BB3707" s="78"/>
      <c r="BC3707" s="78"/>
      <c r="BD3707" s="78"/>
      <c r="BE3707" s="465"/>
      <c r="BF3707" s="165" t="str">
        <f t="shared" si="2787"/>
        <v>https://www.google.com/search?tbm=isch&amp;q=Rosa%20%27Meilpiquet%27%20PP%2335452%20Lemon%20Sunblaze%C2%AE%20Rose</v>
      </c>
      <c r="BG3707" s="165" t="str">
        <f t="shared" si="2788"/>
        <v>R</v>
      </c>
      <c r="BH3707" s="65"/>
      <c r="BI3707" s="65"/>
      <c r="BJ3707" s="65"/>
      <c r="BK3707" s="65"/>
      <c r="BL3707" s="99"/>
      <c r="BM3707" s="99"/>
      <c r="BN3707" s="99"/>
    </row>
    <row r="3708" spans="1:66" s="51" customFormat="1" ht="15.75" x14ac:dyDescent="0.25">
      <c r="A3708" s="634">
        <v>3</v>
      </c>
      <c r="B3708" s="635" t="s">
        <v>291</v>
      </c>
      <c r="C3708" s="636" t="s">
        <v>4110</v>
      </c>
      <c r="D3708" s="637" t="s">
        <v>329</v>
      </c>
      <c r="E3708" s="638">
        <v>30.95</v>
      </c>
      <c r="F3708" s="639" t="s">
        <v>292</v>
      </c>
      <c r="G3708" s="484">
        <v>0</v>
      </c>
      <c r="H3708" s="691" t="str">
        <f>IF(G3708=0,"",IF(F3708="Buy",IF(G3708=1,"plant","plants"),IF(F3708&gt;0.01,"warranty","Error")))</f>
        <v/>
      </c>
      <c r="I3708" s="640">
        <f>IF(H3708="free",0,IF(H3708="credit",((E3708*(F3708))*G3708*-1),IF(F3708="Buy",(E3708*G3708),((E3708*(1-F3708))*G3708))))</f>
        <v>0</v>
      </c>
      <c r="J3708" s="640">
        <f>IF(H3708="warranty",0,(I3708*(_xlfn.SINGLE(SalesTaxPercentage))))</f>
        <v>0</v>
      </c>
      <c r="K3708" s="716">
        <f t="shared" ref="K3708" si="2806">I3708+J3708</f>
        <v>0</v>
      </c>
      <c r="L3708" s="716"/>
      <c r="M3708" s="689" t="str">
        <f ca="1">IF(AND(G3708&gt;0,E3708=0),"WARNING - no PRICE inserted",IF(H3708="free","FREE ~ no charge this plant",IF(H3708="credit",CONCATENATE("-$",ROUND(K3708*(1-_xlfn.SINGLE(T2GDiscount))*-1,2)," CREDIT after discount"),IF(_xlfn.SINGLE(T2GDiscount)=0,"",IF(G3708=0,"",IF(F3708="Buy",CONCATENATE("$",ROUND(K3708*(1-_xlfn.SINGLE(T2GDiscount)),2)," with ",(_xlfn.SINGLE(T2GDiscount)*100),"% discount"),CONCATENATE("$",ROUND(K3708*(1-_xlfn.SINGLE(T2GDiscount)),2)," with ",((_xlfn.SINGLE(T2GDiscount)*100+F3708*100)-(_xlfn.SINGLE(T2GDiscount)*100*F3708)),IF(F3708&gt;0,"% discounts",IF(_xlfn.SINGLE(NoWarrantyDiscount)&gt;0,"% discounts","% discount")))))))))</f>
        <v/>
      </c>
      <c r="N3708" s="690"/>
      <c r="O3708" s="486"/>
      <c r="P3708" s="486"/>
      <c r="Q3708" s="486"/>
      <c r="R3708" s="486"/>
      <c r="S3708" s="486"/>
      <c r="T3708" s="102">
        <f t="shared" si="2776"/>
        <v>0</v>
      </c>
      <c r="U3708" s="78">
        <f>IF(NOT(ISNUMBER(G3708)), "", VLOOKUP(A3708,'Discount Lookup'!D:E,2,FALSE)*G3708)</f>
        <v>0</v>
      </c>
      <c r="V3708" s="78">
        <f>IF(NOT(ISNUMBER(G3708)), "", VLOOKUP(A3708,'Discount Lookup'!G:H,2,FALSE)*G3708)</f>
        <v>0</v>
      </c>
      <c r="W3708" s="102">
        <f t="shared" si="2777"/>
        <v>0</v>
      </c>
      <c r="X3708" s="102">
        <f t="shared" si="2778"/>
        <v>0</v>
      </c>
      <c r="Y3708" s="120" t="b">
        <f t="shared" si="2779"/>
        <v>0</v>
      </c>
      <c r="Z3708" s="117">
        <f t="shared" si="2780"/>
        <v>0</v>
      </c>
      <c r="AA3708" s="118"/>
      <c r="AB3708" s="118" t="str">
        <f t="shared" si="2781"/>
        <v/>
      </c>
      <c r="AC3708" s="712" t="str">
        <f>IF(AE3708="T2G","no charge",IF(AND(OR(PlanterYesMe="No",PlanterYesMe="N",PlanterYesMe="me"),H3708=""),"",IF(H3708="credit","NO install",IF(AND(K3708="",AE3708="me"),"EACH row",IF(AND(K3708="images",AE3708="me"),"EACH row",IF(D3708="","",IF(H3708="credit","",IF(AE3708="free","re-planting",IF(AE3708="me","   not ELP, by",IF(AND(OR(PlanterYesMe="Yes",PlanterYesMe="Y"),G3708&gt;0),(VLOOKUP(A3708,'Discount Lookup'!J:K,2)*G3708*(1-PlanterDiscount)*(1+PlanterDifficultyPercentage)),IF(AE3708="ELP",(VLOOKUP(A3708,'Discount Lookup'!J:K,2)*G3708*(1-PlanterDiscount)*(1+PlanterDifficultyPercentage)),IF(AE3708="free","re-planting",IF(G3708=0,"",IF(PlanterYesMe="",IF(AE3708="me","   not ELP, by",IF(AE3708="",IF(G3708&gt;0,(VLOOKUP(A3708,'Discount Lookup'!J:K,2)*G3708*(1-PlanterDiscount)*(1+PlanterDifficultyPercentage)),""),"")),"   not ELP, by"))))))))))))))</f>
        <v/>
      </c>
      <c r="AD3708" s="712"/>
      <c r="AE3708" s="513" t="str">
        <f t="shared" si="2782"/>
        <v/>
      </c>
      <c r="AF3708" s="713" t="str">
        <f t="shared" si="2783"/>
        <v/>
      </c>
      <c r="AG3708" s="713"/>
      <c r="AH3708" s="713"/>
      <c r="AI3708" s="112">
        <f>IF(H3708="credit",0,IF(AE3708="free",0,IF(AE3708="me",0,IF(G3708&gt;0,(VLOOKUP(A3708,'Discount Lookup'!J:K,2)*G3708),0))))</f>
        <v>0</v>
      </c>
      <c r="AJ3708" s="107" t="str">
        <f t="shared" ca="1" si="2784"/>
        <v/>
      </c>
      <c r="AK3708" s="714" t="str">
        <f t="shared" si="2785"/>
        <v/>
      </c>
      <c r="AL3708" s="714"/>
      <c r="AM3708" s="114" t="str">
        <f t="shared" si="2786"/>
        <v/>
      </c>
      <c r="AN3708" s="115"/>
      <c r="AO3708" s="116"/>
      <c r="AP3708" s="116"/>
      <c r="AQ3708" s="116"/>
      <c r="AR3708" s="116"/>
      <c r="AS3708" s="116"/>
      <c r="AT3708" s="116"/>
      <c r="AU3708" s="116"/>
      <c r="AV3708" s="78"/>
      <c r="AW3708" s="102"/>
      <c r="AX3708" s="78"/>
      <c r="AY3708" s="78"/>
      <c r="AZ3708" s="78"/>
      <c r="BA3708" s="78"/>
      <c r="BB3708" s="78"/>
      <c r="BC3708" s="78"/>
      <c r="BD3708" s="78"/>
      <c r="BE3708" s="465"/>
      <c r="BF3708" s="165" t="str">
        <f t="shared" si="2787"/>
        <v>https://www.google.com/search?tbm=isch&amp;q=3%20G2</v>
      </c>
      <c r="BG3708" s="165" t="str">
        <f t="shared" si="2788"/>
        <v>R</v>
      </c>
      <c r="BH3708" s="65"/>
      <c r="BI3708" s="65"/>
      <c r="BJ3708" s="65"/>
      <c r="BK3708" s="65"/>
      <c r="BL3708" s="99"/>
      <c r="BM3708" s="99"/>
      <c r="BN3708" s="99"/>
    </row>
    <row r="3709" spans="1:66" s="51" customFormat="1" ht="17.25" thickBot="1" x14ac:dyDescent="0.3">
      <c r="A3709" s="641" t="s">
        <v>4792</v>
      </c>
      <c r="B3709" s="642"/>
      <c r="C3709" s="710"/>
      <c r="D3709" s="643"/>
      <c r="E3709" s="643"/>
      <c r="F3709" s="644"/>
      <c r="G3709" s="645"/>
      <c r="H3709" s="646"/>
      <c r="I3709" s="647"/>
      <c r="J3709" s="648"/>
      <c r="K3709" s="649"/>
      <c r="L3709" s="650"/>
      <c r="M3709" s="650"/>
      <c r="N3709" s="644"/>
      <c r="O3709" s="644"/>
      <c r="P3709" s="644"/>
      <c r="Q3709" s="644"/>
      <c r="R3709" s="644"/>
      <c r="S3709" s="701" t="s">
        <v>5271</v>
      </c>
      <c r="T3709" s="102">
        <f t="shared" si="2776"/>
        <v>0</v>
      </c>
      <c r="U3709" s="78" t="str">
        <f>IF(NOT(ISNUMBER(G3709)), "", VLOOKUP(A3709,'Discount Lookup'!D:E,2,FALSE)*G3709)</f>
        <v/>
      </c>
      <c r="V3709" s="78" t="str">
        <f>IF(NOT(ISNUMBER(G3709)), "", VLOOKUP(A3709,'Discount Lookup'!G:H,2,FALSE)*G3709)</f>
        <v/>
      </c>
      <c r="W3709" s="102">
        <f t="shared" si="2777"/>
        <v>0</v>
      </c>
      <c r="X3709" s="102">
        <f t="shared" si="2778"/>
        <v>0</v>
      </c>
      <c r="Y3709" s="120" t="b">
        <f t="shared" si="2779"/>
        <v>0</v>
      </c>
      <c r="Z3709" s="117">
        <f t="shared" si="2780"/>
        <v>0</v>
      </c>
      <c r="AA3709" s="118"/>
      <c r="AB3709" s="118" t="str">
        <f t="shared" si="2781"/>
        <v/>
      </c>
      <c r="AC3709" s="712" t="str">
        <f>IF(AE3709="T2G","no charge",IF(AND(OR(PlanterYesMe="No",PlanterYesMe="N",PlanterYesMe="me"),H3709=""),"",IF(H3709="credit","NO install",IF(AND(K3709="",AE3709="me"),"EACH row",IF(AND(K3709="images",AE3709="me"),"EACH row",IF(D3709="","",IF(H3709="credit","",IF(AE3709="free","re-planting",IF(AE3709="me","   not ELP, by",IF(AND(OR(PlanterYesMe="Yes",PlanterYesMe="Y"),G3709&gt;0),(VLOOKUP(A3709,'Discount Lookup'!J:K,2)*G3709*(1-PlanterDiscount)*(1+PlanterDifficultyPercentage)),IF(AE3709="ELP",(VLOOKUP(A3709,'Discount Lookup'!J:K,2)*G3709*(1-PlanterDiscount)*(1+PlanterDifficultyPercentage)),IF(AE3709="free","re-planting",IF(G3709=0,"",IF(PlanterYesMe="",IF(AE3709="me","   not ELP, by",IF(AE3709="",IF(G3709&gt;0,(VLOOKUP(A3709,'Discount Lookup'!J:K,2)*G3709*(1-PlanterDiscount)*(1+PlanterDifficultyPercentage)),""),"")),"   not ELP, by"))))))))))))))</f>
        <v/>
      </c>
      <c r="AD3709" s="712"/>
      <c r="AE3709" s="513" t="str">
        <f t="shared" si="2782"/>
        <v/>
      </c>
      <c r="AF3709" s="713" t="str">
        <f t="shared" si="2783"/>
        <v/>
      </c>
      <c r="AG3709" s="713"/>
      <c r="AH3709" s="713"/>
      <c r="AI3709" s="112">
        <f>IF(H3709="credit",0,IF(AE3709="free",0,IF(AE3709="me",0,IF(G3709&gt;0,(VLOOKUP(A3709,'Discount Lookup'!J:K,2)*G3709),0))))</f>
        <v>0</v>
      </c>
      <c r="AJ3709" s="107" t="str">
        <f t="shared" ca="1" si="2784"/>
        <v/>
      </c>
      <c r="AK3709" s="714" t="str">
        <f t="shared" si="2785"/>
        <v/>
      </c>
      <c r="AL3709" s="714"/>
      <c r="AM3709" s="114" t="str">
        <f t="shared" si="2786"/>
        <v/>
      </c>
      <c r="AN3709" s="115"/>
      <c r="AO3709" s="116"/>
      <c r="AP3709" s="116"/>
      <c r="AQ3709" s="116"/>
      <c r="AR3709" s="116"/>
      <c r="AS3709" s="116"/>
      <c r="AT3709" s="116"/>
      <c r="AU3709" s="116"/>
      <c r="AV3709" s="78"/>
      <c r="AW3709" s="102"/>
      <c r="AX3709" s="78"/>
      <c r="AY3709" s="78"/>
      <c r="AZ3709" s="78"/>
      <c r="BA3709" s="78"/>
      <c r="BB3709" s="78"/>
      <c r="BC3709" s="78"/>
      <c r="BD3709" s="78"/>
      <c r="BE3709" s="465"/>
      <c r="BF3709" s="165" t="str">
        <f t="shared" si="2787"/>
        <v>https://www.google.com/search?tbm=isch&amp;q=Lemon%20Sunblaze%20blooms%20are%20%22tiny%20works%20of%20art%22.%20Subtle%20fragrance.%20Deadhead%20as%20needed.%20Thorny%20%28rabbits%20may%20still%20nibble%29.%20Cut%20back%20annually%20</v>
      </c>
      <c r="BG3709" s="165" t="str">
        <f t="shared" si="2788"/>
        <v>L</v>
      </c>
      <c r="BH3709" s="65"/>
      <c r="BI3709" s="65"/>
      <c r="BJ3709" s="65"/>
      <c r="BK3709" s="65"/>
      <c r="BL3709" s="99"/>
      <c r="BM3709" s="99"/>
      <c r="BN3709" s="99"/>
    </row>
    <row r="3710" spans="1:66" s="51" customFormat="1" ht="18" x14ac:dyDescent="0.25">
      <c r="A3710" s="623" t="s">
        <v>4111</v>
      </c>
      <c r="B3710" s="624"/>
      <c r="C3710" s="709"/>
      <c r="D3710" s="625" t="s">
        <v>5807</v>
      </c>
      <c r="E3710" s="626"/>
      <c r="F3710" s="626"/>
      <c r="G3710" s="626"/>
      <c r="H3710" s="622" t="s">
        <v>1270</v>
      </c>
      <c r="I3710" s="627" t="s">
        <v>4112</v>
      </c>
      <c r="J3710" s="628"/>
      <c r="K3710" s="628"/>
      <c r="L3710" s="629"/>
      <c r="M3710" s="700" t="s">
        <v>5241</v>
      </c>
      <c r="N3710" s="693" t="str">
        <f>IF(AND(ISTEXT($A3710), ISERROR($A3710+0)), HYPERLINK($BF3710, "Images"), "")</f>
        <v>Images</v>
      </c>
      <c r="O3710" s="695" t="s">
        <v>5264</v>
      </c>
      <c r="P3710" s="630"/>
      <c r="Q3710" s="631"/>
      <c r="R3710" s="632"/>
      <c r="S3710" s="633"/>
      <c r="T3710" s="102">
        <f t="shared" si="2776"/>
        <v>0</v>
      </c>
      <c r="U3710" s="78" t="str">
        <f>IF(NOT(ISNUMBER(G3710)), "", VLOOKUP(A3710,'Discount Lookup'!D:E,2,FALSE)*G3710)</f>
        <v/>
      </c>
      <c r="V3710" s="78" t="str">
        <f>IF(NOT(ISNUMBER(G3710)), "", VLOOKUP(A3710,'Discount Lookup'!G:H,2,FALSE)*G3710)</f>
        <v/>
      </c>
      <c r="W3710" s="102">
        <f t="shared" si="2777"/>
        <v>0</v>
      </c>
      <c r="X3710" s="102" t="str">
        <f t="shared" si="2778"/>
        <v>Salmon-Pink-Apricot bloom</v>
      </c>
      <c r="Y3710" s="120" t="b">
        <f t="shared" si="2779"/>
        <v>0</v>
      </c>
      <c r="Z3710" s="117">
        <f t="shared" si="2780"/>
        <v>0</v>
      </c>
      <c r="AA3710" s="118"/>
      <c r="AB3710" s="118" t="str">
        <f t="shared" si="2781"/>
        <v/>
      </c>
      <c r="AC3710" s="712" t="str">
        <f>IF(AE3710="T2G","no charge",IF(AND(OR(PlanterYesMe="No",PlanterYesMe="N",PlanterYesMe="me"),H3710=""),"",IF(H3710="credit","NO install",IF(AND(K3710="",AE3710="me"),"EACH row",IF(AND(K3710="images",AE3710="me"),"EACH row",IF(D3710="","",IF(H3710="credit","",IF(AE3710="free","re-planting",IF(AE3710="me","   not ELP, by",IF(AND(OR(PlanterYesMe="Yes",PlanterYesMe="Y"),G3710&gt;0),(VLOOKUP(A3710,'Discount Lookup'!J:K,2)*G3710*(1-PlanterDiscount)*(1+PlanterDifficultyPercentage)),IF(AE3710="ELP",(VLOOKUP(A3710,'Discount Lookup'!J:K,2)*G3710*(1-PlanterDiscount)*(1+PlanterDifficultyPercentage)),IF(AE3710="free","re-planting",IF(G3710=0,"",IF(PlanterYesMe="",IF(AE3710="me","   not ELP, by",IF(AE3710="",IF(G3710&gt;0,(VLOOKUP(A3710,'Discount Lookup'!J:K,2)*G3710*(1-PlanterDiscount)*(1+PlanterDifficultyPercentage)),""),"")),"   not ELP, by"))))))))))))))</f>
        <v/>
      </c>
      <c r="AD3710" s="712"/>
      <c r="AE3710" s="513" t="str">
        <f t="shared" si="2782"/>
        <v/>
      </c>
      <c r="AF3710" s="713" t="str">
        <f t="shared" si="2783"/>
        <v/>
      </c>
      <c r="AG3710" s="713"/>
      <c r="AH3710" s="713"/>
      <c r="AI3710" s="112">
        <f>IF(H3710="credit",0,IF(AE3710="free",0,IF(AE3710="me",0,IF(G3710&gt;0,(VLOOKUP(A3710,'Discount Lookup'!J:K,2)*G3710),0))))</f>
        <v>0</v>
      </c>
      <c r="AJ3710" s="107" t="str">
        <f t="shared" ca="1" si="2784"/>
        <v/>
      </c>
      <c r="AK3710" s="714" t="str">
        <f t="shared" si="2785"/>
        <v/>
      </c>
      <c r="AL3710" s="714"/>
      <c r="AM3710" s="114" t="str">
        <f t="shared" si="2786"/>
        <v/>
      </c>
      <c r="AN3710" s="115"/>
      <c r="AO3710" s="116"/>
      <c r="AP3710" s="116"/>
      <c r="AQ3710" s="116"/>
      <c r="AR3710" s="116"/>
      <c r="AS3710" s="116"/>
      <c r="AT3710" s="116"/>
      <c r="AU3710" s="116"/>
      <c r="AV3710" s="78"/>
      <c r="AW3710" s="102"/>
      <c r="AX3710" s="78"/>
      <c r="AY3710" s="78"/>
      <c r="AZ3710" s="78"/>
      <c r="BA3710" s="78"/>
      <c r="BB3710" s="78"/>
      <c r="BC3710" s="78"/>
      <c r="BD3710" s="78"/>
      <c r="BE3710" s="465"/>
      <c r="BF3710" s="165" t="str">
        <f t="shared" si="2787"/>
        <v>https://www.google.com/search?tbm=isch&amp;q=Rosa%20%27Meinostair%27%20PP%2328659%20Sweet%20Mademoiselle%E2%84%A2%20Hybrid%20Tea%20Rose</v>
      </c>
      <c r="BG3710" s="165" t="str">
        <f t="shared" si="2788"/>
        <v>R</v>
      </c>
      <c r="BH3710" s="65"/>
      <c r="BI3710" s="65"/>
      <c r="BJ3710" s="65"/>
      <c r="BK3710" s="65"/>
      <c r="BL3710" s="99"/>
      <c r="BM3710" s="99"/>
      <c r="BN3710" s="99"/>
    </row>
    <row r="3711" spans="1:66" s="51" customFormat="1" ht="15.75" x14ac:dyDescent="0.25">
      <c r="A3711" s="634">
        <v>3</v>
      </c>
      <c r="B3711" s="635" t="s">
        <v>291</v>
      </c>
      <c r="C3711" s="636" t="s">
        <v>4113</v>
      </c>
      <c r="D3711" s="637" t="s">
        <v>329</v>
      </c>
      <c r="E3711" s="638">
        <v>43.95</v>
      </c>
      <c r="F3711" s="639" t="s">
        <v>292</v>
      </c>
      <c r="G3711" s="484">
        <v>0</v>
      </c>
      <c r="H3711" s="691" t="str">
        <f>IF(G3711=0,"",IF(F3711="Buy",IF(G3711=1,"plant","plants"),IF(F3711&gt;0.01,"warranty","Error")))</f>
        <v/>
      </c>
      <c r="I3711" s="640">
        <f>IF(H3711="free",0,IF(H3711="credit",((E3711*(F3711))*G3711*-1),IF(F3711="Buy",(E3711*G3711),((E3711*(1-F3711))*G3711))))</f>
        <v>0</v>
      </c>
      <c r="J3711" s="640">
        <f>IF(H3711="warranty",0,(I3711*(_xlfn.SINGLE(SalesTaxPercentage))))</f>
        <v>0</v>
      </c>
      <c r="K3711" s="716">
        <f t="shared" ref="K3711" si="2807">I3711+J3711</f>
        <v>0</v>
      </c>
      <c r="L3711" s="716"/>
      <c r="M3711" s="689" t="str">
        <f ca="1">IF(AND(G3711&gt;0,E3711=0),"WARNING - no PRICE inserted",IF(H3711="free","FREE ~ no charge this plant",IF(H3711="credit",CONCATENATE("-$",ROUND(K3711*(1-_xlfn.SINGLE(T2GDiscount))*-1,2)," CREDIT after discount"),IF(_xlfn.SINGLE(T2GDiscount)=0,"",IF(G3711=0,"",IF(F3711="Buy",CONCATENATE("$",ROUND(K3711*(1-_xlfn.SINGLE(T2GDiscount)),2)," with ",(_xlfn.SINGLE(T2GDiscount)*100),"% discount"),CONCATENATE("$",ROUND(K3711*(1-_xlfn.SINGLE(T2GDiscount)),2)," with ",((_xlfn.SINGLE(T2GDiscount)*100+F3711*100)-(_xlfn.SINGLE(T2GDiscount)*100*F3711)),IF(F3711&gt;0,"% discounts",IF(_xlfn.SINGLE(NoWarrantyDiscount)&gt;0,"% discounts","% discount")))))))))</f>
        <v/>
      </c>
      <c r="N3711" s="690"/>
      <c r="O3711" s="486"/>
      <c r="P3711" s="486"/>
      <c r="Q3711" s="486"/>
      <c r="R3711" s="486"/>
      <c r="S3711" s="486"/>
      <c r="T3711" s="102">
        <f t="shared" si="2776"/>
        <v>0</v>
      </c>
      <c r="U3711" s="78">
        <f>IF(NOT(ISNUMBER(G3711)), "", VLOOKUP(A3711,'Discount Lookup'!D:E,2,FALSE)*G3711)</f>
        <v>0</v>
      </c>
      <c r="V3711" s="78">
        <f>IF(NOT(ISNUMBER(G3711)), "", VLOOKUP(A3711,'Discount Lookup'!G:H,2,FALSE)*G3711)</f>
        <v>0</v>
      </c>
      <c r="W3711" s="102">
        <f t="shared" si="2777"/>
        <v>0</v>
      </c>
      <c r="X3711" s="102">
        <f t="shared" si="2778"/>
        <v>0</v>
      </c>
      <c r="Y3711" s="120" t="b">
        <f t="shared" si="2779"/>
        <v>0</v>
      </c>
      <c r="Z3711" s="117">
        <f t="shared" si="2780"/>
        <v>0</v>
      </c>
      <c r="AA3711" s="118"/>
      <c r="AB3711" s="118" t="str">
        <f t="shared" si="2781"/>
        <v/>
      </c>
      <c r="AC3711" s="712" t="str">
        <f>IF(AE3711="T2G","no charge",IF(AND(OR(PlanterYesMe="No",PlanterYesMe="N",PlanterYesMe="me"),H3711=""),"",IF(H3711="credit","NO install",IF(AND(K3711="",AE3711="me"),"EACH row",IF(AND(K3711="images",AE3711="me"),"EACH row",IF(D3711="","",IF(H3711="credit","",IF(AE3711="free","re-planting",IF(AE3711="me","   not ELP, by",IF(AND(OR(PlanterYesMe="Yes",PlanterYesMe="Y"),G3711&gt;0),(VLOOKUP(A3711,'Discount Lookup'!J:K,2)*G3711*(1-PlanterDiscount)*(1+PlanterDifficultyPercentage)),IF(AE3711="ELP",(VLOOKUP(A3711,'Discount Lookup'!J:K,2)*G3711*(1-PlanterDiscount)*(1+PlanterDifficultyPercentage)),IF(AE3711="free","re-planting",IF(G3711=0,"",IF(PlanterYesMe="",IF(AE3711="me","   not ELP, by",IF(AE3711="",IF(G3711&gt;0,(VLOOKUP(A3711,'Discount Lookup'!J:K,2)*G3711*(1-PlanterDiscount)*(1+PlanterDifficultyPercentage)),""),"")),"   not ELP, by"))))))))))))))</f>
        <v/>
      </c>
      <c r="AD3711" s="712"/>
      <c r="AE3711" s="513" t="str">
        <f t="shared" si="2782"/>
        <v/>
      </c>
      <c r="AF3711" s="713" t="str">
        <f t="shared" si="2783"/>
        <v/>
      </c>
      <c r="AG3711" s="713"/>
      <c r="AH3711" s="713"/>
      <c r="AI3711" s="112">
        <f>IF(H3711="credit",0,IF(AE3711="free",0,IF(AE3711="me",0,IF(G3711&gt;0,(VLOOKUP(A3711,'Discount Lookup'!J:K,2)*G3711),0))))</f>
        <v>0</v>
      </c>
      <c r="AJ3711" s="107" t="str">
        <f t="shared" ca="1" si="2784"/>
        <v/>
      </c>
      <c r="AK3711" s="714" t="str">
        <f t="shared" si="2785"/>
        <v/>
      </c>
      <c r="AL3711" s="714"/>
      <c r="AM3711" s="114" t="str">
        <f t="shared" si="2786"/>
        <v/>
      </c>
      <c r="AN3711" s="115"/>
      <c r="AO3711" s="116"/>
      <c r="AP3711" s="116"/>
      <c r="AQ3711" s="116"/>
      <c r="AR3711" s="116"/>
      <c r="AS3711" s="116"/>
      <c r="AT3711" s="116"/>
      <c r="AU3711" s="116"/>
      <c r="AV3711" s="78"/>
      <c r="AW3711" s="102"/>
      <c r="AX3711" s="78"/>
      <c r="AY3711" s="78"/>
      <c r="AZ3711" s="78"/>
      <c r="BA3711" s="78"/>
      <c r="BB3711" s="78"/>
      <c r="BC3711" s="78"/>
      <c r="BD3711" s="78"/>
      <c r="BE3711" s="465"/>
      <c r="BF3711" s="165" t="str">
        <f t="shared" si="2787"/>
        <v>https://www.google.com/search?tbm=isch&amp;q=3%20G2</v>
      </c>
      <c r="BG3711" s="165" t="str">
        <f t="shared" si="2788"/>
        <v>R</v>
      </c>
      <c r="BH3711" s="65"/>
      <c r="BI3711" s="65"/>
      <c r="BJ3711" s="65"/>
      <c r="BK3711" s="65"/>
      <c r="BL3711" s="99"/>
      <c r="BM3711" s="99"/>
      <c r="BN3711" s="99"/>
    </row>
    <row r="3712" spans="1:66" s="51" customFormat="1" ht="17.25" thickBot="1" x14ac:dyDescent="0.3">
      <c r="A3712" s="641" t="s">
        <v>4793</v>
      </c>
      <c r="B3712" s="642"/>
      <c r="C3712" s="710"/>
      <c r="D3712" s="643"/>
      <c r="E3712" s="643"/>
      <c r="F3712" s="644"/>
      <c r="G3712" s="645"/>
      <c r="H3712" s="646"/>
      <c r="I3712" s="647"/>
      <c r="J3712" s="648"/>
      <c r="K3712" s="649"/>
      <c r="L3712" s="650"/>
      <c r="M3712" s="650"/>
      <c r="N3712" s="644"/>
      <c r="O3712" s="644"/>
      <c r="P3712" s="644"/>
      <c r="Q3712" s="644"/>
      <c r="R3712" s="644"/>
      <c r="S3712" s="701" t="s">
        <v>5271</v>
      </c>
      <c r="T3712" s="102">
        <f t="shared" si="2776"/>
        <v>0</v>
      </c>
      <c r="U3712" s="78" t="str">
        <f>IF(NOT(ISNUMBER(G3712)), "", VLOOKUP(A3712,'Discount Lookup'!D:E,2,FALSE)*G3712)</f>
        <v/>
      </c>
      <c r="V3712" s="78" t="str">
        <f>IF(NOT(ISNUMBER(G3712)), "", VLOOKUP(A3712,'Discount Lookup'!G:H,2,FALSE)*G3712)</f>
        <v/>
      </c>
      <c r="W3712" s="102">
        <f t="shared" si="2777"/>
        <v>0</v>
      </c>
      <c r="X3712" s="102">
        <f t="shared" si="2778"/>
        <v>0</v>
      </c>
      <c r="Y3712" s="120" t="b">
        <f t="shared" si="2779"/>
        <v>0</v>
      </c>
      <c r="Z3712" s="117">
        <f t="shared" si="2780"/>
        <v>0</v>
      </c>
      <c r="AA3712" s="118"/>
      <c r="AB3712" s="118" t="str">
        <f t="shared" si="2781"/>
        <v/>
      </c>
      <c r="AC3712" s="712" t="str">
        <f>IF(AE3712="T2G","no charge",IF(AND(OR(PlanterYesMe="No",PlanterYesMe="N",PlanterYesMe="me"),H3712=""),"",IF(H3712="credit","NO install",IF(AND(K3712="",AE3712="me"),"EACH row",IF(AND(K3712="images",AE3712="me"),"EACH row",IF(D3712="","",IF(H3712="credit","",IF(AE3712="free","re-planting",IF(AE3712="me","   not ELP, by",IF(AND(OR(PlanterYesMe="Yes",PlanterYesMe="Y"),G3712&gt;0),(VLOOKUP(A3712,'Discount Lookup'!J:K,2)*G3712*(1-PlanterDiscount)*(1+PlanterDifficultyPercentage)),IF(AE3712="ELP",(VLOOKUP(A3712,'Discount Lookup'!J:K,2)*G3712*(1-PlanterDiscount)*(1+PlanterDifficultyPercentage)),IF(AE3712="free","re-planting",IF(G3712=0,"",IF(PlanterYesMe="",IF(AE3712="me","   not ELP, by",IF(AE3712="",IF(G3712&gt;0,(VLOOKUP(A3712,'Discount Lookup'!J:K,2)*G3712*(1-PlanterDiscount)*(1+PlanterDifficultyPercentage)),""),"")),"   not ELP, by"))))))))))))))</f>
        <v/>
      </c>
      <c r="AD3712" s="712"/>
      <c r="AE3712" s="513" t="str">
        <f t="shared" si="2782"/>
        <v/>
      </c>
      <c r="AF3712" s="713" t="str">
        <f t="shared" si="2783"/>
        <v/>
      </c>
      <c r="AG3712" s="713"/>
      <c r="AH3712" s="713"/>
      <c r="AI3712" s="112">
        <f>IF(H3712="credit",0,IF(AE3712="free",0,IF(AE3712="me",0,IF(G3712&gt;0,(VLOOKUP(A3712,'Discount Lookup'!J:K,2)*G3712),0))))</f>
        <v>0</v>
      </c>
      <c r="AJ3712" s="107" t="str">
        <f t="shared" ca="1" si="2784"/>
        <v/>
      </c>
      <c r="AK3712" s="714" t="str">
        <f t="shared" si="2785"/>
        <v/>
      </c>
      <c r="AL3712" s="714"/>
      <c r="AM3712" s="114" t="str">
        <f t="shared" si="2786"/>
        <v/>
      </c>
      <c r="AN3712" s="115"/>
      <c r="AO3712" s="116"/>
      <c r="AP3712" s="116"/>
      <c r="AQ3712" s="116"/>
      <c r="AR3712" s="116"/>
      <c r="AS3712" s="116"/>
      <c r="AT3712" s="116"/>
      <c r="AU3712" s="116"/>
      <c r="AV3712" s="78"/>
      <c r="AW3712" s="102"/>
      <c r="AX3712" s="78"/>
      <c r="AY3712" s="78"/>
      <c r="AZ3712" s="78"/>
      <c r="BA3712" s="78"/>
      <c r="BB3712" s="78"/>
      <c r="BC3712" s="78"/>
      <c r="BD3712" s="78"/>
      <c r="BE3712" s="465"/>
      <c r="BF3712" s="165" t="str">
        <f t="shared" si="2787"/>
        <v>https://www.google.com/search?tbm=isch&amp;q=Sweet%20Mademoiselle%20blooms%20repeatedly%2C%20with%20a%20strong%20fruity%20fragrance.%20Deadhead%20as%20needed.%20Thorny%20%28rabbits%20may%20still%20nibble%29.%20Cut%20back%20annually%20</v>
      </c>
      <c r="BG3712" s="165" t="str">
        <f t="shared" si="2788"/>
        <v>S</v>
      </c>
      <c r="BH3712" s="65"/>
      <c r="BI3712" s="65"/>
      <c r="BJ3712" s="65"/>
      <c r="BK3712" s="65"/>
      <c r="BL3712" s="99"/>
      <c r="BM3712" s="99"/>
      <c r="BN3712" s="99"/>
    </row>
    <row r="3713" spans="1:66" s="51" customFormat="1" ht="18" x14ac:dyDescent="0.25">
      <c r="A3713" s="623" t="s">
        <v>4114</v>
      </c>
      <c r="B3713" s="624"/>
      <c r="C3713" s="709"/>
      <c r="D3713" s="625" t="s">
        <v>5808</v>
      </c>
      <c r="E3713" s="626"/>
      <c r="F3713" s="626"/>
      <c r="G3713" s="626"/>
      <c r="H3713" s="622" t="s">
        <v>1439</v>
      </c>
      <c r="I3713" s="627" t="s">
        <v>4115</v>
      </c>
      <c r="J3713" s="628"/>
      <c r="K3713" s="628"/>
      <c r="L3713" s="629"/>
      <c r="M3713" s="700" t="s">
        <v>5241</v>
      </c>
      <c r="N3713" s="693" t="str">
        <f>IF(AND(ISTEXT($A3713), ISERROR($A3713+0)), HYPERLINK($BF3713, "Images"), "")</f>
        <v>Images</v>
      </c>
      <c r="O3713" s="695" t="s">
        <v>5264</v>
      </c>
      <c r="P3713" s="630"/>
      <c r="Q3713" s="631"/>
      <c r="R3713" s="632"/>
      <c r="S3713" s="633"/>
      <c r="T3713" s="102">
        <f t="shared" si="2776"/>
        <v>0</v>
      </c>
      <c r="U3713" s="78" t="str">
        <f>IF(NOT(ISNUMBER(G3713)), "", VLOOKUP(A3713,'Discount Lookup'!D:E,2,FALSE)*G3713)</f>
        <v/>
      </c>
      <c r="V3713" s="78" t="str">
        <f>IF(NOT(ISNUMBER(G3713)), "", VLOOKUP(A3713,'Discount Lookup'!G:H,2,FALSE)*G3713)</f>
        <v/>
      </c>
      <c r="W3713" s="102">
        <f t="shared" si="2777"/>
        <v>0</v>
      </c>
      <c r="X3713" s="102" t="str">
        <f t="shared" si="2778"/>
        <v>Pastel Pink bloom</v>
      </c>
      <c r="Y3713" s="120" t="b">
        <f t="shared" si="2779"/>
        <v>0</v>
      </c>
      <c r="Z3713" s="117">
        <f t="shared" si="2780"/>
        <v>0</v>
      </c>
      <c r="AA3713" s="118"/>
      <c r="AB3713" s="118" t="str">
        <f t="shared" si="2781"/>
        <v/>
      </c>
      <c r="AC3713" s="712" t="str">
        <f>IF(AE3713="T2G","no charge",IF(AND(OR(PlanterYesMe="No",PlanterYesMe="N",PlanterYesMe="me"),H3713=""),"",IF(H3713="credit","NO install",IF(AND(K3713="",AE3713="me"),"EACH row",IF(AND(K3713="images",AE3713="me"),"EACH row",IF(D3713="","",IF(H3713="credit","",IF(AE3713="free","re-planting",IF(AE3713="me","   not ELP, by",IF(AND(OR(PlanterYesMe="Yes",PlanterYesMe="Y"),G3713&gt;0),(VLOOKUP(A3713,'Discount Lookup'!J:K,2)*G3713*(1-PlanterDiscount)*(1+PlanterDifficultyPercentage)),IF(AE3713="ELP",(VLOOKUP(A3713,'Discount Lookup'!J:K,2)*G3713*(1-PlanterDiscount)*(1+PlanterDifficultyPercentage)),IF(AE3713="free","re-planting",IF(G3713=0,"",IF(PlanterYesMe="",IF(AE3713="me","   not ELP, by",IF(AE3713="",IF(G3713&gt;0,(VLOOKUP(A3713,'Discount Lookup'!J:K,2)*G3713*(1-PlanterDiscount)*(1+PlanterDifficultyPercentage)),""),"")),"   not ELP, by"))))))))))))))</f>
        <v/>
      </c>
      <c r="AD3713" s="712"/>
      <c r="AE3713" s="513" t="str">
        <f t="shared" si="2782"/>
        <v/>
      </c>
      <c r="AF3713" s="713" t="str">
        <f t="shared" si="2783"/>
        <v/>
      </c>
      <c r="AG3713" s="713"/>
      <c r="AH3713" s="713"/>
      <c r="AI3713" s="112">
        <f>IF(H3713="credit",0,IF(AE3713="free",0,IF(AE3713="me",0,IF(G3713&gt;0,(VLOOKUP(A3713,'Discount Lookup'!J:K,2)*G3713),0))))</f>
        <v>0</v>
      </c>
      <c r="AJ3713" s="107" t="str">
        <f t="shared" ca="1" si="2784"/>
        <v/>
      </c>
      <c r="AK3713" s="714" t="str">
        <f t="shared" si="2785"/>
        <v/>
      </c>
      <c r="AL3713" s="714"/>
      <c r="AM3713" s="114" t="str">
        <f t="shared" si="2786"/>
        <v/>
      </c>
      <c r="AN3713" s="115"/>
      <c r="AO3713" s="116"/>
      <c r="AP3713" s="116"/>
      <c r="AQ3713" s="116"/>
      <c r="AR3713" s="116"/>
      <c r="AS3713" s="116"/>
      <c r="AT3713" s="116"/>
      <c r="AU3713" s="116"/>
      <c r="AV3713" s="78"/>
      <c r="AW3713" s="102"/>
      <c r="AX3713" s="78"/>
      <c r="AY3713" s="78"/>
      <c r="AZ3713" s="78"/>
      <c r="BA3713" s="78"/>
      <c r="BB3713" s="78"/>
      <c r="BC3713" s="78"/>
      <c r="BD3713" s="78"/>
      <c r="BE3713" s="465"/>
      <c r="BF3713" s="165" t="str">
        <f t="shared" si="2787"/>
        <v>https://www.google.com/search?tbm=isch&amp;q=Rosa%20%27Meiswetdom%27%20PP%2321612%20Sweet%20Drift%C2%AE%20Rose</v>
      </c>
      <c r="BG3713" s="165" t="str">
        <f t="shared" si="2788"/>
        <v>R</v>
      </c>
      <c r="BH3713" s="65"/>
      <c r="BI3713" s="65"/>
      <c r="BJ3713" s="65"/>
      <c r="BK3713" s="65"/>
      <c r="BL3713" s="99"/>
      <c r="BM3713" s="99"/>
      <c r="BN3713" s="99"/>
    </row>
    <row r="3714" spans="1:66" s="51" customFormat="1" ht="15.75" x14ac:dyDescent="0.25">
      <c r="A3714" s="634">
        <v>3</v>
      </c>
      <c r="B3714" s="635" t="s">
        <v>291</v>
      </c>
      <c r="C3714" s="636" t="s">
        <v>4095</v>
      </c>
      <c r="D3714" s="637" t="s">
        <v>329</v>
      </c>
      <c r="E3714" s="638">
        <v>31.95</v>
      </c>
      <c r="F3714" s="639" t="s">
        <v>292</v>
      </c>
      <c r="G3714" s="484">
        <v>0</v>
      </c>
      <c r="H3714" s="691" t="str">
        <f>IF(G3714=0,"",IF(F3714="Buy",IF(G3714=1,"plant","plants"),IF(F3714&gt;0.01,"warranty","Error")))</f>
        <v/>
      </c>
      <c r="I3714" s="640">
        <f>IF(H3714="free",0,IF(H3714="credit",((E3714*(F3714))*G3714*-1),IF(F3714="Buy",(E3714*G3714),((E3714*(1-F3714))*G3714))))</f>
        <v>0</v>
      </c>
      <c r="J3714" s="640">
        <f>IF(H3714="warranty",0,(I3714*(_xlfn.SINGLE(SalesTaxPercentage))))</f>
        <v>0</v>
      </c>
      <c r="K3714" s="716">
        <f t="shared" ref="K3714" si="2808">I3714+J3714</f>
        <v>0</v>
      </c>
      <c r="L3714" s="716"/>
      <c r="M3714" s="689" t="str">
        <f ca="1">IF(AND(G3714&gt;0,E3714=0),"WARNING - no PRICE inserted",IF(H3714="free","FREE ~ no charge this plant",IF(H3714="credit",CONCATENATE("-$",ROUND(K3714*(1-_xlfn.SINGLE(T2GDiscount))*-1,2)," CREDIT after discount"),IF(_xlfn.SINGLE(T2GDiscount)=0,"",IF(G3714=0,"",IF(F3714="Buy",CONCATENATE("$",ROUND(K3714*(1-_xlfn.SINGLE(T2GDiscount)),2)," with ",(_xlfn.SINGLE(T2GDiscount)*100),"% discount"),CONCATENATE("$",ROUND(K3714*(1-_xlfn.SINGLE(T2GDiscount)),2)," with ",((_xlfn.SINGLE(T2GDiscount)*100+F3714*100)-(_xlfn.SINGLE(T2GDiscount)*100*F3714)),IF(F3714&gt;0,"% discounts",IF(_xlfn.SINGLE(NoWarrantyDiscount)&gt;0,"% discounts","% discount")))))))))</f>
        <v/>
      </c>
      <c r="N3714" s="690"/>
      <c r="O3714" s="486"/>
      <c r="P3714" s="486"/>
      <c r="Q3714" s="486"/>
      <c r="R3714" s="486"/>
      <c r="S3714" s="486"/>
      <c r="T3714" s="102">
        <f t="shared" si="2776"/>
        <v>0</v>
      </c>
      <c r="U3714" s="78">
        <f>IF(NOT(ISNUMBER(G3714)), "", VLOOKUP(A3714,'Discount Lookup'!D:E,2,FALSE)*G3714)</f>
        <v>0</v>
      </c>
      <c r="V3714" s="78">
        <f>IF(NOT(ISNUMBER(G3714)), "", VLOOKUP(A3714,'Discount Lookup'!G:H,2,FALSE)*G3714)</f>
        <v>0</v>
      </c>
      <c r="W3714" s="102">
        <f t="shared" si="2777"/>
        <v>0</v>
      </c>
      <c r="X3714" s="102">
        <f t="shared" si="2778"/>
        <v>0</v>
      </c>
      <c r="Y3714" s="120" t="b">
        <f t="shared" si="2779"/>
        <v>0</v>
      </c>
      <c r="Z3714" s="117">
        <f t="shared" si="2780"/>
        <v>0</v>
      </c>
      <c r="AA3714" s="118"/>
      <c r="AB3714" s="118" t="str">
        <f t="shared" si="2781"/>
        <v/>
      </c>
      <c r="AC3714" s="712" t="str">
        <f>IF(AE3714="T2G","no charge",IF(AND(OR(PlanterYesMe="No",PlanterYesMe="N",PlanterYesMe="me"),H3714=""),"",IF(H3714="credit","NO install",IF(AND(K3714="",AE3714="me"),"EACH row",IF(AND(K3714="images",AE3714="me"),"EACH row",IF(D3714="","",IF(H3714="credit","",IF(AE3714="free","re-planting",IF(AE3714="me","   not ELP, by",IF(AND(OR(PlanterYesMe="Yes",PlanterYesMe="Y"),G3714&gt;0),(VLOOKUP(A3714,'Discount Lookup'!J:K,2)*G3714*(1-PlanterDiscount)*(1+PlanterDifficultyPercentage)),IF(AE3714="ELP",(VLOOKUP(A3714,'Discount Lookup'!J:K,2)*G3714*(1-PlanterDiscount)*(1+PlanterDifficultyPercentage)),IF(AE3714="free","re-planting",IF(G3714=0,"",IF(PlanterYesMe="",IF(AE3714="me","   not ELP, by",IF(AE3714="",IF(G3714&gt;0,(VLOOKUP(A3714,'Discount Lookup'!J:K,2)*G3714*(1-PlanterDiscount)*(1+PlanterDifficultyPercentage)),""),"")),"   not ELP, by"))))))))))))))</f>
        <v/>
      </c>
      <c r="AD3714" s="712"/>
      <c r="AE3714" s="513" t="str">
        <f t="shared" si="2782"/>
        <v/>
      </c>
      <c r="AF3714" s="713" t="str">
        <f t="shared" si="2783"/>
        <v/>
      </c>
      <c r="AG3714" s="713"/>
      <c r="AH3714" s="713"/>
      <c r="AI3714" s="112">
        <f>IF(H3714="credit",0,IF(AE3714="free",0,IF(AE3714="me",0,IF(G3714&gt;0,(VLOOKUP(A3714,'Discount Lookup'!J:K,2)*G3714),0))))</f>
        <v>0</v>
      </c>
      <c r="AJ3714" s="107" t="str">
        <f t="shared" ca="1" si="2784"/>
        <v/>
      </c>
      <c r="AK3714" s="714" t="str">
        <f t="shared" si="2785"/>
        <v/>
      </c>
      <c r="AL3714" s="714"/>
      <c r="AM3714" s="114" t="str">
        <f t="shared" si="2786"/>
        <v/>
      </c>
      <c r="AN3714" s="115"/>
      <c r="AO3714" s="116"/>
      <c r="AP3714" s="116"/>
      <c r="AQ3714" s="116"/>
      <c r="AR3714" s="116"/>
      <c r="AS3714" s="116"/>
      <c r="AT3714" s="116"/>
      <c r="AU3714" s="116"/>
      <c r="AV3714" s="78"/>
      <c r="AW3714" s="102"/>
      <c r="AX3714" s="78"/>
      <c r="AY3714" s="78"/>
      <c r="AZ3714" s="78"/>
      <c r="BA3714" s="78"/>
      <c r="BB3714" s="78"/>
      <c r="BC3714" s="78"/>
      <c r="BD3714" s="78"/>
      <c r="BE3714" s="465"/>
      <c r="BF3714" s="165" t="str">
        <f t="shared" si="2787"/>
        <v>https://www.google.com/search?tbm=isch&amp;q=3%20G2</v>
      </c>
      <c r="BG3714" s="165" t="str">
        <f t="shared" si="2788"/>
        <v>R</v>
      </c>
      <c r="BH3714" s="65"/>
      <c r="BI3714" s="65"/>
      <c r="BJ3714" s="65"/>
      <c r="BK3714" s="65"/>
      <c r="BL3714" s="99"/>
      <c r="BM3714" s="99"/>
      <c r="BN3714" s="99"/>
    </row>
    <row r="3715" spans="1:66" s="51" customFormat="1" ht="17.25" thickBot="1" x14ac:dyDescent="0.3">
      <c r="A3715" s="641" t="s">
        <v>4794</v>
      </c>
      <c r="B3715" s="642"/>
      <c r="C3715" s="710"/>
      <c r="D3715" s="643"/>
      <c r="E3715" s="643"/>
      <c r="F3715" s="644"/>
      <c r="G3715" s="645"/>
      <c r="H3715" s="646"/>
      <c r="I3715" s="647"/>
      <c r="J3715" s="648"/>
      <c r="K3715" s="649"/>
      <c r="L3715" s="650"/>
      <c r="M3715" s="650"/>
      <c r="N3715" s="644"/>
      <c r="O3715" s="644"/>
      <c r="P3715" s="644"/>
      <c r="Q3715" s="644"/>
      <c r="R3715" s="644"/>
      <c r="S3715" s="701" t="s">
        <v>5271</v>
      </c>
      <c r="T3715" s="102">
        <f t="shared" si="2776"/>
        <v>0</v>
      </c>
      <c r="U3715" s="78" t="str">
        <f>IF(NOT(ISNUMBER(G3715)), "", VLOOKUP(A3715,'Discount Lookup'!D:E,2,FALSE)*G3715)</f>
        <v/>
      </c>
      <c r="V3715" s="78" t="str">
        <f>IF(NOT(ISNUMBER(G3715)), "", VLOOKUP(A3715,'Discount Lookup'!G:H,2,FALSE)*G3715)</f>
        <v/>
      </c>
      <c r="W3715" s="102">
        <f t="shared" si="2777"/>
        <v>0</v>
      </c>
      <c r="X3715" s="102">
        <f t="shared" si="2778"/>
        <v>0</v>
      </c>
      <c r="Y3715" s="120" t="b">
        <f t="shared" si="2779"/>
        <v>0</v>
      </c>
      <c r="Z3715" s="117">
        <f t="shared" si="2780"/>
        <v>0</v>
      </c>
      <c r="AA3715" s="118"/>
      <c r="AB3715" s="118" t="str">
        <f t="shared" si="2781"/>
        <v/>
      </c>
      <c r="AC3715" s="712" t="str">
        <f>IF(AE3715="T2G","no charge",IF(AND(OR(PlanterYesMe="No",PlanterYesMe="N",PlanterYesMe="me"),H3715=""),"",IF(H3715="credit","NO install",IF(AND(K3715="",AE3715="me"),"EACH row",IF(AND(K3715="images",AE3715="me"),"EACH row",IF(D3715="","",IF(H3715="credit","",IF(AE3715="free","re-planting",IF(AE3715="me","   not ELP, by",IF(AND(OR(PlanterYesMe="Yes",PlanterYesMe="Y"),G3715&gt;0),(VLOOKUP(A3715,'Discount Lookup'!J:K,2)*G3715*(1-PlanterDiscount)*(1+PlanterDifficultyPercentage)),IF(AE3715="ELP",(VLOOKUP(A3715,'Discount Lookup'!J:K,2)*G3715*(1-PlanterDiscount)*(1+PlanterDifficultyPercentage)),IF(AE3715="free","re-planting",IF(G3715=0,"",IF(PlanterYesMe="",IF(AE3715="me","   not ELP, by",IF(AE3715="",IF(G3715&gt;0,(VLOOKUP(A3715,'Discount Lookup'!J:K,2)*G3715*(1-PlanterDiscount)*(1+PlanterDifficultyPercentage)),""),"")),"   not ELP, by"))))))))))))))</f>
        <v/>
      </c>
      <c r="AD3715" s="712"/>
      <c r="AE3715" s="513" t="str">
        <f t="shared" si="2782"/>
        <v/>
      </c>
      <c r="AF3715" s="713" t="str">
        <f t="shared" si="2783"/>
        <v/>
      </c>
      <c r="AG3715" s="713"/>
      <c r="AH3715" s="713"/>
      <c r="AI3715" s="112">
        <f>IF(H3715="credit",0,IF(AE3715="free",0,IF(AE3715="me",0,IF(G3715&gt;0,(VLOOKUP(A3715,'Discount Lookup'!J:K,2)*G3715),0))))</f>
        <v>0</v>
      </c>
      <c r="AJ3715" s="107" t="str">
        <f t="shared" ca="1" si="2784"/>
        <v/>
      </c>
      <c r="AK3715" s="714" t="str">
        <f t="shared" si="2785"/>
        <v/>
      </c>
      <c r="AL3715" s="714"/>
      <c r="AM3715" s="114" t="str">
        <f t="shared" si="2786"/>
        <v/>
      </c>
      <c r="AN3715" s="115"/>
      <c r="AO3715" s="116"/>
      <c r="AP3715" s="116"/>
      <c r="AQ3715" s="116"/>
      <c r="AR3715" s="116"/>
      <c r="AS3715" s="116"/>
      <c r="AT3715" s="116"/>
      <c r="AU3715" s="116"/>
      <c r="AV3715" s="78"/>
      <c r="AW3715" s="102"/>
      <c r="AX3715" s="78"/>
      <c r="AY3715" s="78"/>
      <c r="AZ3715" s="78"/>
      <c r="BA3715" s="78"/>
      <c r="BB3715" s="78"/>
      <c r="BC3715" s="78"/>
      <c r="BD3715" s="78"/>
      <c r="BE3715" s="465"/>
      <c r="BF3715" s="165" t="str">
        <f t="shared" si="2787"/>
        <v>https://www.google.com/search?tbm=isch&amp;q=Sweet%20has%20a%20mild%20fragrance.%20Drift%20Roses%20bloom%20all%20summer%2C%20without%20deadheading%2C%20Glossy%20Green%20foliage%20and%20thorns%20%28rabbits%20may%20still%20nibble%29%20</v>
      </c>
      <c r="BG3715" s="165" t="str">
        <f t="shared" si="2788"/>
        <v>S</v>
      </c>
      <c r="BH3715" s="65"/>
      <c r="BI3715" s="65"/>
      <c r="BJ3715" s="65"/>
      <c r="BK3715" s="65"/>
      <c r="BL3715" s="99"/>
      <c r="BM3715" s="99"/>
      <c r="BN3715" s="99"/>
    </row>
    <row r="3716" spans="1:66" s="51" customFormat="1" ht="18" x14ac:dyDescent="0.25">
      <c r="A3716" s="623" t="s">
        <v>4116</v>
      </c>
      <c r="B3716" s="624"/>
      <c r="C3716" s="709"/>
      <c r="D3716" s="625" t="s">
        <v>5809</v>
      </c>
      <c r="E3716" s="626"/>
      <c r="F3716" s="626"/>
      <c r="G3716" s="626"/>
      <c r="H3716" s="622" t="s">
        <v>4896</v>
      </c>
      <c r="I3716" s="627" t="s">
        <v>4117</v>
      </c>
      <c r="J3716" s="628"/>
      <c r="K3716" s="628"/>
      <c r="L3716" s="629"/>
      <c r="M3716" s="700" t="s">
        <v>5241</v>
      </c>
      <c r="N3716" s="693" t="str">
        <f>IF(AND(ISTEXT($A3716), ISERROR($A3716+0)), HYPERLINK($BF3716, "Images"), "")</f>
        <v>Images</v>
      </c>
      <c r="O3716" s="695" t="s">
        <v>5264</v>
      </c>
      <c r="P3716" s="630"/>
      <c r="Q3716" s="631"/>
      <c r="R3716" s="632"/>
      <c r="S3716" s="633"/>
      <c r="T3716" s="102">
        <f t="shared" si="2776"/>
        <v>0</v>
      </c>
      <c r="U3716" s="78" t="str">
        <f>IF(NOT(ISNUMBER(G3716)), "", VLOOKUP(A3716,'Discount Lookup'!D:E,2,FALSE)*G3716)</f>
        <v/>
      </c>
      <c r="V3716" s="78" t="str">
        <f>IF(NOT(ISNUMBER(G3716)), "", VLOOKUP(A3716,'Discount Lookup'!G:H,2,FALSE)*G3716)</f>
        <v/>
      </c>
      <c r="W3716" s="102">
        <f t="shared" si="2777"/>
        <v>0</v>
      </c>
      <c r="X3716" s="102" t="str">
        <f t="shared" si="2778"/>
        <v>Peachy-Pink to Apricot bloom</v>
      </c>
      <c r="Y3716" s="120" t="b">
        <f t="shared" si="2779"/>
        <v>0</v>
      </c>
      <c r="Z3716" s="117">
        <f t="shared" si="2780"/>
        <v>0</v>
      </c>
      <c r="AA3716" s="118"/>
      <c r="AB3716" s="118" t="str">
        <f t="shared" si="2781"/>
        <v/>
      </c>
      <c r="AC3716" s="712" t="str">
        <f>IF(AE3716="T2G","no charge",IF(AND(OR(PlanterYesMe="No",PlanterYesMe="N",PlanterYesMe="me"),H3716=""),"",IF(H3716="credit","NO install",IF(AND(K3716="",AE3716="me"),"EACH row",IF(AND(K3716="images",AE3716="me"),"EACH row",IF(D3716="","",IF(H3716="credit","",IF(AE3716="free","re-planting",IF(AE3716="me","   not ELP, by",IF(AND(OR(PlanterYesMe="Yes",PlanterYesMe="Y"),G3716&gt;0),(VLOOKUP(A3716,'Discount Lookup'!J:K,2)*G3716*(1-PlanterDiscount)*(1+PlanterDifficultyPercentage)),IF(AE3716="ELP",(VLOOKUP(A3716,'Discount Lookup'!J:K,2)*G3716*(1-PlanterDiscount)*(1+PlanterDifficultyPercentage)),IF(AE3716="free","re-planting",IF(G3716=0,"",IF(PlanterYesMe="",IF(AE3716="me","   not ELP, by",IF(AE3716="",IF(G3716&gt;0,(VLOOKUP(A3716,'Discount Lookup'!J:K,2)*G3716*(1-PlanterDiscount)*(1+PlanterDifficultyPercentage)),""),"")),"   not ELP, by"))))))))))))))</f>
        <v/>
      </c>
      <c r="AD3716" s="712"/>
      <c r="AE3716" s="513" t="str">
        <f t="shared" si="2782"/>
        <v/>
      </c>
      <c r="AF3716" s="713" t="str">
        <f t="shared" si="2783"/>
        <v/>
      </c>
      <c r="AG3716" s="713"/>
      <c r="AH3716" s="713"/>
      <c r="AI3716" s="112">
        <f>IF(H3716="credit",0,IF(AE3716="free",0,IF(AE3716="me",0,IF(G3716&gt;0,(VLOOKUP(A3716,'Discount Lookup'!J:K,2)*G3716),0))))</f>
        <v>0</v>
      </c>
      <c r="AJ3716" s="107" t="str">
        <f t="shared" ca="1" si="2784"/>
        <v/>
      </c>
      <c r="AK3716" s="714" t="str">
        <f t="shared" si="2785"/>
        <v/>
      </c>
      <c r="AL3716" s="714"/>
      <c r="AM3716" s="114" t="str">
        <f t="shared" si="2786"/>
        <v/>
      </c>
      <c r="AN3716" s="115"/>
      <c r="AO3716" s="116"/>
      <c r="AP3716" s="116"/>
      <c r="AQ3716" s="116"/>
      <c r="AR3716" s="116"/>
      <c r="AS3716" s="116"/>
      <c r="AT3716" s="116"/>
      <c r="AU3716" s="116"/>
      <c r="AV3716" s="78"/>
      <c r="AW3716" s="102"/>
      <c r="AX3716" s="78"/>
      <c r="AY3716" s="78"/>
      <c r="AZ3716" s="78"/>
      <c r="BA3716" s="78"/>
      <c r="BB3716" s="78"/>
      <c r="BC3716" s="78"/>
      <c r="BD3716" s="78"/>
      <c r="BE3716" s="465"/>
      <c r="BF3716" s="165" t="str">
        <f t="shared" si="2787"/>
        <v>https://www.google.com/search?tbm=isch&amp;q=Rosa%20%27Meizonbla%27%20PP%2335630%20Peach%20Sunblaze%C2%AE%20Miniature%20Rose</v>
      </c>
      <c r="BG3716" s="165" t="str">
        <f t="shared" si="2788"/>
        <v>R</v>
      </c>
      <c r="BH3716" s="65"/>
      <c r="BI3716" s="65"/>
      <c r="BJ3716" s="65"/>
      <c r="BK3716" s="65"/>
      <c r="BL3716" s="99"/>
      <c r="BM3716" s="99"/>
      <c r="BN3716" s="99"/>
    </row>
    <row r="3717" spans="1:66" s="51" customFormat="1" ht="15.75" x14ac:dyDescent="0.25">
      <c r="A3717" s="634">
        <v>3</v>
      </c>
      <c r="B3717" s="635" t="s">
        <v>291</v>
      </c>
      <c r="C3717" s="636" t="s">
        <v>4650</v>
      </c>
      <c r="D3717" s="637" t="s">
        <v>329</v>
      </c>
      <c r="E3717" s="638">
        <v>30.95</v>
      </c>
      <c r="F3717" s="639" t="s">
        <v>292</v>
      </c>
      <c r="G3717" s="484">
        <v>0</v>
      </c>
      <c r="H3717" s="691" t="str">
        <f>IF(G3717=0,"",IF(F3717="Buy",IF(G3717=1,"plant","plants"),IF(F3717&gt;0.01,"warranty","Error")))</f>
        <v/>
      </c>
      <c r="I3717" s="640">
        <f>IF(H3717="free",0,IF(H3717="credit",((E3717*(F3717))*G3717*-1),IF(F3717="Buy",(E3717*G3717),((E3717*(1-F3717))*G3717))))</f>
        <v>0</v>
      </c>
      <c r="J3717" s="640">
        <f>IF(H3717="warranty",0,(I3717*(_xlfn.SINGLE(SalesTaxPercentage))))</f>
        <v>0</v>
      </c>
      <c r="K3717" s="716">
        <f t="shared" ref="K3717" si="2809">I3717+J3717</f>
        <v>0</v>
      </c>
      <c r="L3717" s="716"/>
      <c r="M3717" s="689" t="str">
        <f ca="1">IF(AND(G3717&gt;0,E3717=0),"WARNING - no PRICE inserted",IF(H3717="free","FREE ~ no charge this plant",IF(H3717="credit",CONCATENATE("-$",ROUND(K3717*(1-_xlfn.SINGLE(T2GDiscount))*-1,2)," CREDIT after discount"),IF(_xlfn.SINGLE(T2GDiscount)=0,"",IF(G3717=0,"",IF(F3717="Buy",CONCATENATE("$",ROUND(K3717*(1-_xlfn.SINGLE(T2GDiscount)),2)," with ",(_xlfn.SINGLE(T2GDiscount)*100),"% discount"),CONCATENATE("$",ROUND(K3717*(1-_xlfn.SINGLE(T2GDiscount)),2)," with ",((_xlfn.SINGLE(T2GDiscount)*100+F3717*100)-(_xlfn.SINGLE(T2GDiscount)*100*F3717)),IF(F3717&gt;0,"% discounts",IF(_xlfn.SINGLE(NoWarrantyDiscount)&gt;0,"% discounts","% discount")))))))))</f>
        <v/>
      </c>
      <c r="N3717" s="690"/>
      <c r="O3717" s="486"/>
      <c r="P3717" s="486"/>
      <c r="Q3717" s="486"/>
      <c r="R3717" s="486"/>
      <c r="S3717" s="486"/>
      <c r="T3717" s="102">
        <f t="shared" si="2776"/>
        <v>0</v>
      </c>
      <c r="U3717" s="78">
        <f>IF(NOT(ISNUMBER(G3717)), "", VLOOKUP(A3717,'Discount Lookup'!D:E,2,FALSE)*G3717)</f>
        <v>0</v>
      </c>
      <c r="V3717" s="78">
        <f>IF(NOT(ISNUMBER(G3717)), "", VLOOKUP(A3717,'Discount Lookup'!G:H,2,FALSE)*G3717)</f>
        <v>0</v>
      </c>
      <c r="W3717" s="102">
        <f t="shared" si="2777"/>
        <v>0</v>
      </c>
      <c r="X3717" s="102">
        <f t="shared" si="2778"/>
        <v>0</v>
      </c>
      <c r="Y3717" s="120" t="b">
        <f t="shared" si="2779"/>
        <v>0</v>
      </c>
      <c r="Z3717" s="117">
        <f t="shared" si="2780"/>
        <v>0</v>
      </c>
      <c r="AA3717" s="118"/>
      <c r="AB3717" s="118" t="str">
        <f t="shared" si="2781"/>
        <v/>
      </c>
      <c r="AC3717" s="712" t="str">
        <f>IF(AE3717="T2G","no charge",IF(AND(OR(PlanterYesMe="No",PlanterYesMe="N",PlanterYesMe="me"),H3717=""),"",IF(H3717="credit","NO install",IF(AND(K3717="",AE3717="me"),"EACH row",IF(AND(K3717="images",AE3717="me"),"EACH row",IF(D3717="","",IF(H3717="credit","",IF(AE3717="free","re-planting",IF(AE3717="me","   not ELP, by",IF(AND(OR(PlanterYesMe="Yes",PlanterYesMe="Y"),G3717&gt;0),(VLOOKUP(A3717,'Discount Lookup'!J:K,2)*G3717*(1-PlanterDiscount)*(1+PlanterDifficultyPercentage)),IF(AE3717="ELP",(VLOOKUP(A3717,'Discount Lookup'!J:K,2)*G3717*(1-PlanterDiscount)*(1+PlanterDifficultyPercentage)),IF(AE3717="free","re-planting",IF(G3717=0,"",IF(PlanterYesMe="",IF(AE3717="me","   not ELP, by",IF(AE3717="",IF(G3717&gt;0,(VLOOKUP(A3717,'Discount Lookup'!J:K,2)*G3717*(1-PlanterDiscount)*(1+PlanterDifficultyPercentage)),""),"")),"   not ELP, by"))))))))))))))</f>
        <v/>
      </c>
      <c r="AD3717" s="712"/>
      <c r="AE3717" s="513" t="str">
        <f t="shared" si="2782"/>
        <v/>
      </c>
      <c r="AF3717" s="713" t="str">
        <f t="shared" si="2783"/>
        <v/>
      </c>
      <c r="AG3717" s="713"/>
      <c r="AH3717" s="713"/>
      <c r="AI3717" s="112">
        <f>IF(H3717="credit",0,IF(AE3717="free",0,IF(AE3717="me",0,IF(G3717&gt;0,(VLOOKUP(A3717,'Discount Lookup'!J:K,2)*G3717),0))))</f>
        <v>0</v>
      </c>
      <c r="AJ3717" s="107" t="str">
        <f t="shared" ca="1" si="2784"/>
        <v/>
      </c>
      <c r="AK3717" s="714" t="str">
        <f t="shared" si="2785"/>
        <v/>
      </c>
      <c r="AL3717" s="714"/>
      <c r="AM3717" s="114" t="str">
        <f t="shared" si="2786"/>
        <v/>
      </c>
      <c r="AN3717" s="115"/>
      <c r="AO3717" s="116"/>
      <c r="AP3717" s="116"/>
      <c r="AQ3717" s="116"/>
      <c r="AR3717" s="116"/>
      <c r="AS3717" s="116"/>
      <c r="AT3717" s="116"/>
      <c r="AU3717" s="116"/>
      <c r="AV3717" s="78"/>
      <c r="AW3717" s="102"/>
      <c r="AX3717" s="78"/>
      <c r="AY3717" s="78"/>
      <c r="AZ3717" s="78"/>
      <c r="BA3717" s="78"/>
      <c r="BB3717" s="78"/>
      <c r="BC3717" s="78"/>
      <c r="BD3717" s="78"/>
      <c r="BE3717" s="465"/>
      <c r="BF3717" s="165" t="str">
        <f t="shared" si="2787"/>
        <v>https://www.google.com/search?tbm=isch&amp;q=3%20G2</v>
      </c>
      <c r="BG3717" s="165" t="str">
        <f t="shared" si="2788"/>
        <v>R</v>
      </c>
      <c r="BH3717" s="65"/>
      <c r="BI3717" s="65"/>
      <c r="BJ3717" s="65"/>
      <c r="BK3717" s="65"/>
      <c r="BL3717" s="99"/>
      <c r="BM3717" s="99"/>
      <c r="BN3717" s="99"/>
    </row>
    <row r="3718" spans="1:66" s="51" customFormat="1" ht="17.25" thickBot="1" x14ac:dyDescent="0.3">
      <c r="A3718" s="641" t="s">
        <v>4795</v>
      </c>
      <c r="B3718" s="642"/>
      <c r="C3718" s="710"/>
      <c r="D3718" s="643"/>
      <c r="E3718" s="643"/>
      <c r="F3718" s="644"/>
      <c r="G3718" s="645"/>
      <c r="H3718" s="646"/>
      <c r="I3718" s="647"/>
      <c r="J3718" s="648"/>
      <c r="K3718" s="649"/>
      <c r="L3718" s="650"/>
      <c r="M3718" s="650"/>
      <c r="N3718" s="644"/>
      <c r="O3718" s="644"/>
      <c r="P3718" s="644"/>
      <c r="Q3718" s="644"/>
      <c r="R3718" s="644"/>
      <c r="S3718" s="701" t="s">
        <v>5271</v>
      </c>
      <c r="T3718" s="102">
        <f t="shared" si="2776"/>
        <v>0</v>
      </c>
      <c r="U3718" s="78" t="str">
        <f>IF(NOT(ISNUMBER(G3718)), "", VLOOKUP(A3718,'Discount Lookup'!D:E,2,FALSE)*G3718)</f>
        <v/>
      </c>
      <c r="V3718" s="78" t="str">
        <f>IF(NOT(ISNUMBER(G3718)), "", VLOOKUP(A3718,'Discount Lookup'!G:H,2,FALSE)*G3718)</f>
        <v/>
      </c>
      <c r="W3718" s="102">
        <f t="shared" si="2777"/>
        <v>0</v>
      </c>
      <c r="X3718" s="102">
        <f t="shared" si="2778"/>
        <v>0</v>
      </c>
      <c r="Y3718" s="120" t="b">
        <f t="shared" si="2779"/>
        <v>0</v>
      </c>
      <c r="Z3718" s="117">
        <f t="shared" si="2780"/>
        <v>0</v>
      </c>
      <c r="AA3718" s="118"/>
      <c r="AB3718" s="118" t="str">
        <f t="shared" si="2781"/>
        <v/>
      </c>
      <c r="AC3718" s="712" t="str">
        <f>IF(AE3718="T2G","no charge",IF(AND(OR(PlanterYesMe="No",PlanterYesMe="N",PlanterYesMe="me"),H3718=""),"",IF(H3718="credit","NO install",IF(AND(K3718="",AE3718="me"),"EACH row",IF(AND(K3718="images",AE3718="me"),"EACH row",IF(D3718="","",IF(H3718="credit","",IF(AE3718="free","re-planting",IF(AE3718="me","   not ELP, by",IF(AND(OR(PlanterYesMe="Yes",PlanterYesMe="Y"),G3718&gt;0),(VLOOKUP(A3718,'Discount Lookup'!J:K,2)*G3718*(1-PlanterDiscount)*(1+PlanterDifficultyPercentage)),IF(AE3718="ELP",(VLOOKUP(A3718,'Discount Lookup'!J:K,2)*G3718*(1-PlanterDiscount)*(1+PlanterDifficultyPercentage)),IF(AE3718="free","re-planting",IF(G3718=0,"",IF(PlanterYesMe="",IF(AE3718="me","   not ELP, by",IF(AE3718="",IF(G3718&gt;0,(VLOOKUP(A3718,'Discount Lookup'!J:K,2)*G3718*(1-PlanterDiscount)*(1+PlanterDifficultyPercentage)),""),"")),"   not ELP, by"))))))))))))))</f>
        <v/>
      </c>
      <c r="AD3718" s="712"/>
      <c r="AE3718" s="513" t="str">
        <f t="shared" si="2782"/>
        <v/>
      </c>
      <c r="AF3718" s="713" t="str">
        <f t="shared" si="2783"/>
        <v/>
      </c>
      <c r="AG3718" s="713"/>
      <c r="AH3718" s="713"/>
      <c r="AI3718" s="112">
        <f>IF(H3718="credit",0,IF(AE3718="free",0,IF(AE3718="me",0,IF(G3718&gt;0,(VLOOKUP(A3718,'Discount Lookup'!J:K,2)*G3718),0))))</f>
        <v>0</v>
      </c>
      <c r="AJ3718" s="107" t="str">
        <f t="shared" ca="1" si="2784"/>
        <v/>
      </c>
      <c r="AK3718" s="714" t="str">
        <f t="shared" si="2785"/>
        <v/>
      </c>
      <c r="AL3718" s="714"/>
      <c r="AM3718" s="114" t="str">
        <f t="shared" si="2786"/>
        <v/>
      </c>
      <c r="AN3718" s="115"/>
      <c r="AO3718" s="116"/>
      <c r="AP3718" s="116"/>
      <c r="AQ3718" s="116"/>
      <c r="AR3718" s="116"/>
      <c r="AS3718" s="116"/>
      <c r="AT3718" s="116"/>
      <c r="AU3718" s="116"/>
      <c r="AV3718" s="78"/>
      <c r="AW3718" s="102"/>
      <c r="AX3718" s="78"/>
      <c r="AY3718" s="78"/>
      <c r="AZ3718" s="78"/>
      <c r="BA3718" s="78"/>
      <c r="BB3718" s="78"/>
      <c r="BC3718" s="78"/>
      <c r="BD3718" s="78"/>
      <c r="BE3718" s="465"/>
      <c r="BF3718" s="165" t="str">
        <f t="shared" si="2787"/>
        <v>https://www.google.com/search?tbm=isch&amp;q=Peach%20Sunblaze%20blooms%20repeatedly%20from%20spring%20to%20frost.%20Deadhead%20as%20needed.%20Thorny%20%28rabbits%20may%20still%20nibble%29.%20Cut%20back%20annually%20</v>
      </c>
      <c r="BG3718" s="165" t="str">
        <f t="shared" si="2788"/>
        <v>P</v>
      </c>
      <c r="BH3718" s="65"/>
      <c r="BI3718" s="65"/>
      <c r="BJ3718" s="65"/>
      <c r="BK3718" s="65"/>
      <c r="BL3718" s="99"/>
      <c r="BM3718" s="99"/>
      <c r="BN3718" s="99"/>
    </row>
    <row r="3719" spans="1:66" s="51" customFormat="1" ht="18" x14ac:dyDescent="0.25">
      <c r="A3719" s="623" t="s">
        <v>4118</v>
      </c>
      <c r="B3719" s="624"/>
      <c r="C3719" s="709"/>
      <c r="D3719" s="625" t="s">
        <v>5810</v>
      </c>
      <c r="E3719" s="626"/>
      <c r="F3719" s="626"/>
      <c r="G3719" s="626"/>
      <c r="H3719" s="622" t="s">
        <v>1439</v>
      </c>
      <c r="I3719" s="627" t="s">
        <v>4119</v>
      </c>
      <c r="J3719" s="628"/>
      <c r="K3719" s="628"/>
      <c r="L3719" s="629"/>
      <c r="M3719" s="700" t="s">
        <v>5241</v>
      </c>
      <c r="N3719" s="693" t="str">
        <f>IF(AND(ISTEXT($A3719), ISERROR($A3719+0)), HYPERLINK($BF3719, "Images"), "")</f>
        <v>Images</v>
      </c>
      <c r="O3719" s="695" t="s">
        <v>5264</v>
      </c>
      <c r="P3719" s="630"/>
      <c r="Q3719" s="631"/>
      <c r="R3719" s="632"/>
      <c r="S3719" s="633"/>
      <c r="T3719" s="102">
        <f t="shared" si="2776"/>
        <v>0</v>
      </c>
      <c r="U3719" s="78" t="str">
        <f>IF(NOT(ISNUMBER(G3719)), "", VLOOKUP(A3719,'Discount Lookup'!D:E,2,FALSE)*G3719)</f>
        <v/>
      </c>
      <c r="V3719" s="78" t="str">
        <f>IF(NOT(ISNUMBER(G3719)), "", VLOOKUP(A3719,'Discount Lookup'!G:H,2,FALSE)*G3719)</f>
        <v/>
      </c>
      <c r="W3719" s="102">
        <f t="shared" si="2777"/>
        <v>0</v>
      </c>
      <c r="X3719" s="102" t="str">
        <f t="shared" si="2778"/>
        <v>Bright White bloom</v>
      </c>
      <c r="Y3719" s="120" t="b">
        <f t="shared" si="2779"/>
        <v>0</v>
      </c>
      <c r="Z3719" s="117">
        <f t="shared" si="2780"/>
        <v>0</v>
      </c>
      <c r="AA3719" s="118"/>
      <c r="AB3719" s="118" t="str">
        <f t="shared" si="2781"/>
        <v/>
      </c>
      <c r="AC3719" s="712" t="str">
        <f>IF(AE3719="T2G","no charge",IF(AND(OR(PlanterYesMe="No",PlanterYesMe="N",PlanterYesMe="me"),H3719=""),"",IF(H3719="credit","NO install",IF(AND(K3719="",AE3719="me"),"EACH row",IF(AND(K3719="images",AE3719="me"),"EACH row",IF(D3719="","",IF(H3719="credit","",IF(AE3719="free","re-planting",IF(AE3719="me","   not ELP, by",IF(AND(OR(PlanterYesMe="Yes",PlanterYesMe="Y"),G3719&gt;0),(VLOOKUP(A3719,'Discount Lookup'!J:K,2)*G3719*(1-PlanterDiscount)*(1+PlanterDifficultyPercentage)),IF(AE3719="ELP",(VLOOKUP(A3719,'Discount Lookup'!J:K,2)*G3719*(1-PlanterDiscount)*(1+PlanterDifficultyPercentage)),IF(AE3719="free","re-planting",IF(G3719=0,"",IF(PlanterYesMe="",IF(AE3719="me","   not ELP, by",IF(AE3719="",IF(G3719&gt;0,(VLOOKUP(A3719,'Discount Lookup'!J:K,2)*G3719*(1-PlanterDiscount)*(1+PlanterDifficultyPercentage)),""),"")),"   not ELP, by"))))))))))))))</f>
        <v/>
      </c>
      <c r="AD3719" s="712"/>
      <c r="AE3719" s="513" t="str">
        <f t="shared" si="2782"/>
        <v/>
      </c>
      <c r="AF3719" s="713" t="str">
        <f t="shared" si="2783"/>
        <v/>
      </c>
      <c r="AG3719" s="713"/>
      <c r="AH3719" s="713"/>
      <c r="AI3719" s="112">
        <f>IF(H3719="credit",0,IF(AE3719="free",0,IF(AE3719="me",0,IF(G3719&gt;0,(VLOOKUP(A3719,'Discount Lookup'!J:K,2)*G3719),0))))</f>
        <v>0</v>
      </c>
      <c r="AJ3719" s="107" t="str">
        <f t="shared" ca="1" si="2784"/>
        <v/>
      </c>
      <c r="AK3719" s="714" t="str">
        <f t="shared" si="2785"/>
        <v/>
      </c>
      <c r="AL3719" s="714"/>
      <c r="AM3719" s="114" t="str">
        <f t="shared" si="2786"/>
        <v/>
      </c>
      <c r="AN3719" s="115"/>
      <c r="AO3719" s="116"/>
      <c r="AP3719" s="116"/>
      <c r="AQ3719" s="116"/>
      <c r="AR3719" s="116"/>
      <c r="AS3719" s="116"/>
      <c r="AT3719" s="116"/>
      <c r="AU3719" s="116"/>
      <c r="AV3719" s="78"/>
      <c r="AW3719" s="102"/>
      <c r="AX3719" s="78"/>
      <c r="AY3719" s="78"/>
      <c r="AZ3719" s="78"/>
      <c r="BA3719" s="78"/>
      <c r="BB3719" s="78"/>
      <c r="BC3719" s="78"/>
      <c r="BD3719" s="78"/>
      <c r="BE3719" s="465"/>
      <c r="BF3719" s="165" t="str">
        <f t="shared" si="2787"/>
        <v>https://www.google.com/search?tbm=isch&amp;q=Rosa%20%27Meizorland%27%20PP%2328054%20White%20Drift%C2%AE%20Rose</v>
      </c>
      <c r="BG3719" s="165" t="str">
        <f t="shared" si="2788"/>
        <v>R</v>
      </c>
      <c r="BH3719" s="65"/>
      <c r="BI3719" s="65"/>
      <c r="BJ3719" s="65"/>
      <c r="BK3719" s="65"/>
      <c r="BL3719" s="99"/>
      <c r="BM3719" s="99"/>
      <c r="BN3719" s="99"/>
    </row>
    <row r="3720" spans="1:66" s="51" customFormat="1" ht="15.75" x14ac:dyDescent="0.25">
      <c r="A3720" s="634">
        <v>3</v>
      </c>
      <c r="B3720" s="635" t="s">
        <v>291</v>
      </c>
      <c r="C3720" s="636"/>
      <c r="D3720" s="637" t="s">
        <v>310</v>
      </c>
      <c r="E3720" s="638">
        <v>31.95</v>
      </c>
      <c r="F3720" s="639" t="s">
        <v>292</v>
      </c>
      <c r="G3720" s="484">
        <v>0</v>
      </c>
      <c r="H3720" s="691" t="str">
        <f>IF(G3720=0,"",IF(F3720="Buy",IF(G3720=1,"plant","plants"),IF(F3720&gt;0.01,"warranty","Error")))</f>
        <v/>
      </c>
      <c r="I3720" s="640">
        <f>IF(H3720="free",0,IF(H3720="credit",((E3720*(F3720))*G3720*-1),IF(F3720="Buy",(E3720*G3720),((E3720*(1-F3720))*G3720))))</f>
        <v>0</v>
      </c>
      <c r="J3720" s="640">
        <f>IF(H3720="warranty",0,(I3720*(_xlfn.SINGLE(SalesTaxPercentage))))</f>
        <v>0</v>
      </c>
      <c r="K3720" s="716">
        <f t="shared" ref="K3720" si="2810">I3720+J3720</f>
        <v>0</v>
      </c>
      <c r="L3720" s="716"/>
      <c r="M3720" s="689" t="str">
        <f ca="1">IF(AND(G3720&gt;0,E3720=0),"WARNING - no PRICE inserted",IF(H3720="free","FREE ~ no charge this plant",IF(H3720="credit",CONCATENATE("-$",ROUND(K3720*(1-_xlfn.SINGLE(T2GDiscount))*-1,2)," CREDIT after discount"),IF(_xlfn.SINGLE(T2GDiscount)=0,"",IF(G3720=0,"",IF(F3720="Buy",CONCATENATE("$",ROUND(K3720*(1-_xlfn.SINGLE(T2GDiscount)),2)," with ",(_xlfn.SINGLE(T2GDiscount)*100),"% discount"),CONCATENATE("$",ROUND(K3720*(1-_xlfn.SINGLE(T2GDiscount)),2)," with ",((_xlfn.SINGLE(T2GDiscount)*100+F3720*100)-(_xlfn.SINGLE(T2GDiscount)*100*F3720)),IF(F3720&gt;0,"% discounts",IF(_xlfn.SINGLE(NoWarrantyDiscount)&gt;0,"% discounts","% discount")))))))))</f>
        <v/>
      </c>
      <c r="N3720" s="690"/>
      <c r="O3720" s="486"/>
      <c r="P3720" s="486"/>
      <c r="Q3720" s="486"/>
      <c r="R3720" s="486"/>
      <c r="S3720" s="486"/>
      <c r="T3720" s="102">
        <f t="shared" si="2776"/>
        <v>0</v>
      </c>
      <c r="U3720" s="78">
        <f>IF(NOT(ISNUMBER(G3720)), "", VLOOKUP(A3720,'Discount Lookup'!D:E,2,FALSE)*G3720)</f>
        <v>0</v>
      </c>
      <c r="V3720" s="78">
        <f>IF(NOT(ISNUMBER(G3720)), "", VLOOKUP(A3720,'Discount Lookup'!G:H,2,FALSE)*G3720)</f>
        <v>0</v>
      </c>
      <c r="W3720" s="102">
        <f t="shared" si="2777"/>
        <v>0</v>
      </c>
      <c r="X3720" s="102">
        <f t="shared" si="2778"/>
        <v>0</v>
      </c>
      <c r="Y3720" s="120" t="b">
        <f t="shared" si="2779"/>
        <v>0</v>
      </c>
      <c r="Z3720" s="117">
        <f t="shared" si="2780"/>
        <v>0</v>
      </c>
      <c r="AA3720" s="118"/>
      <c r="AB3720" s="118" t="str">
        <f t="shared" si="2781"/>
        <v/>
      </c>
      <c r="AC3720" s="712" t="str">
        <f>IF(AE3720="T2G","no charge",IF(AND(OR(PlanterYesMe="No",PlanterYesMe="N",PlanterYesMe="me"),H3720=""),"",IF(H3720="credit","NO install",IF(AND(K3720="",AE3720="me"),"EACH row",IF(AND(K3720="images",AE3720="me"),"EACH row",IF(D3720="","",IF(H3720="credit","",IF(AE3720="free","re-planting",IF(AE3720="me","   not ELP, by",IF(AND(OR(PlanterYesMe="Yes",PlanterYesMe="Y"),G3720&gt;0),(VLOOKUP(A3720,'Discount Lookup'!J:K,2)*G3720*(1-PlanterDiscount)*(1+PlanterDifficultyPercentage)),IF(AE3720="ELP",(VLOOKUP(A3720,'Discount Lookup'!J:K,2)*G3720*(1-PlanterDiscount)*(1+PlanterDifficultyPercentage)),IF(AE3720="free","re-planting",IF(G3720=0,"",IF(PlanterYesMe="",IF(AE3720="me","   not ELP, by",IF(AE3720="",IF(G3720&gt;0,(VLOOKUP(A3720,'Discount Lookup'!J:K,2)*G3720*(1-PlanterDiscount)*(1+PlanterDifficultyPercentage)),""),"")),"   not ELP, by"))))))))))))))</f>
        <v/>
      </c>
      <c r="AD3720" s="712"/>
      <c r="AE3720" s="513" t="str">
        <f t="shared" si="2782"/>
        <v/>
      </c>
      <c r="AF3720" s="713" t="str">
        <f t="shared" si="2783"/>
        <v/>
      </c>
      <c r="AG3720" s="713"/>
      <c r="AH3720" s="713"/>
      <c r="AI3720" s="112">
        <f>IF(H3720="credit",0,IF(AE3720="free",0,IF(AE3720="me",0,IF(G3720&gt;0,(VLOOKUP(A3720,'Discount Lookup'!J:K,2)*G3720),0))))</f>
        <v>0</v>
      </c>
      <c r="AJ3720" s="107" t="str">
        <f t="shared" ca="1" si="2784"/>
        <v/>
      </c>
      <c r="AK3720" s="714" t="str">
        <f t="shared" si="2785"/>
        <v/>
      </c>
      <c r="AL3720" s="714"/>
      <c r="AM3720" s="114" t="str">
        <f t="shared" si="2786"/>
        <v/>
      </c>
      <c r="AN3720" s="115"/>
      <c r="AO3720" s="116"/>
      <c r="AP3720" s="116"/>
      <c r="AQ3720" s="116"/>
      <c r="AR3720" s="116"/>
      <c r="AS3720" s="116"/>
      <c r="AT3720" s="116"/>
      <c r="AU3720" s="116"/>
      <c r="AV3720" s="78"/>
      <c r="AW3720" s="102"/>
      <c r="AX3720" s="78"/>
      <c r="AY3720" s="78"/>
      <c r="AZ3720" s="78"/>
      <c r="BA3720" s="78"/>
      <c r="BB3720" s="78"/>
      <c r="BC3720" s="78"/>
      <c r="BD3720" s="78"/>
      <c r="BE3720" s="465"/>
      <c r="BF3720" s="165" t="str">
        <f t="shared" si="2787"/>
        <v>https://www.google.com/search?tbm=isch&amp;q=3%20G1</v>
      </c>
      <c r="BG3720" s="165" t="str">
        <f t="shared" si="2788"/>
        <v>R</v>
      </c>
      <c r="BH3720" s="65"/>
      <c r="BI3720" s="65"/>
      <c r="BJ3720" s="65"/>
      <c r="BK3720" s="65"/>
      <c r="BL3720" s="99"/>
      <c r="BM3720" s="99"/>
      <c r="BN3720" s="99"/>
    </row>
    <row r="3721" spans="1:66" s="51" customFormat="1" ht="15.75" x14ac:dyDescent="0.25">
      <c r="A3721" s="634">
        <v>3</v>
      </c>
      <c r="B3721" s="635" t="s">
        <v>291</v>
      </c>
      <c r="C3721" s="636" t="s">
        <v>2962</v>
      </c>
      <c r="D3721" s="637" t="s">
        <v>329</v>
      </c>
      <c r="E3721" s="638">
        <v>31.95</v>
      </c>
      <c r="F3721" s="639" t="s">
        <v>292</v>
      </c>
      <c r="G3721" s="484">
        <v>0</v>
      </c>
      <c r="H3721" s="691" t="str">
        <f>IF(G3721=0,"",IF(F3721="Buy",IF(G3721=1,"plant","plants"),IF(F3721&gt;0.01,"warranty","Error")))</f>
        <v/>
      </c>
      <c r="I3721" s="640">
        <f>IF(H3721="free",0,IF(H3721="credit",((E3721*(F3721))*G3721*-1),IF(F3721="Buy",(E3721*G3721),((E3721*(1-F3721))*G3721))))</f>
        <v>0</v>
      </c>
      <c r="J3721" s="640">
        <f>IF(H3721="warranty",0,(I3721*(_xlfn.SINGLE(SalesTaxPercentage))))</f>
        <v>0</v>
      </c>
      <c r="K3721" s="716">
        <f t="shared" ref="K3721" si="2811">I3721+J3721</f>
        <v>0</v>
      </c>
      <c r="L3721" s="716"/>
      <c r="M3721" s="689" t="str">
        <f ca="1">IF(AND(G3721&gt;0,E3721=0),"WARNING - no PRICE inserted",IF(H3721="free","FREE ~ no charge this plant",IF(H3721="credit",CONCATENATE("-$",ROUND(K3721*(1-_xlfn.SINGLE(T2GDiscount))*-1,2)," CREDIT after discount"),IF(_xlfn.SINGLE(T2GDiscount)=0,"",IF(G3721=0,"",IF(F3721="Buy",CONCATENATE("$",ROUND(K3721*(1-_xlfn.SINGLE(T2GDiscount)),2)," with ",(_xlfn.SINGLE(T2GDiscount)*100),"% discount"),CONCATENATE("$",ROUND(K3721*(1-_xlfn.SINGLE(T2GDiscount)),2)," with ",((_xlfn.SINGLE(T2GDiscount)*100+F3721*100)-(_xlfn.SINGLE(T2GDiscount)*100*F3721)),IF(F3721&gt;0,"% discounts",IF(_xlfn.SINGLE(NoWarrantyDiscount)&gt;0,"% discounts","% discount")))))))))</f>
        <v/>
      </c>
      <c r="N3721" s="690"/>
      <c r="O3721" s="486"/>
      <c r="P3721" s="486"/>
      <c r="Q3721" s="486"/>
      <c r="R3721" s="486"/>
      <c r="S3721" s="486"/>
      <c r="T3721" s="102">
        <f t="shared" si="2776"/>
        <v>0</v>
      </c>
      <c r="U3721" s="78">
        <f>IF(NOT(ISNUMBER(G3721)), "", VLOOKUP(A3721,'Discount Lookup'!D:E,2,FALSE)*G3721)</f>
        <v>0</v>
      </c>
      <c r="V3721" s="78">
        <f>IF(NOT(ISNUMBER(G3721)), "", VLOOKUP(A3721,'Discount Lookup'!G:H,2,FALSE)*G3721)</f>
        <v>0</v>
      </c>
      <c r="W3721" s="102">
        <f t="shared" si="2777"/>
        <v>0</v>
      </c>
      <c r="X3721" s="102">
        <f t="shared" si="2778"/>
        <v>0</v>
      </c>
      <c r="Y3721" s="120" t="b">
        <f t="shared" si="2779"/>
        <v>0</v>
      </c>
      <c r="Z3721" s="117">
        <f t="shared" si="2780"/>
        <v>0</v>
      </c>
      <c r="AA3721" s="118"/>
      <c r="AB3721" s="118" t="str">
        <f t="shared" si="2781"/>
        <v/>
      </c>
      <c r="AC3721" s="712" t="str">
        <f>IF(AE3721="T2G","no charge",IF(AND(OR(PlanterYesMe="No",PlanterYesMe="N",PlanterYesMe="me"),H3721=""),"",IF(H3721="credit","NO install",IF(AND(K3721="",AE3721="me"),"EACH row",IF(AND(K3721="images",AE3721="me"),"EACH row",IF(D3721="","",IF(H3721="credit","",IF(AE3721="free","re-planting",IF(AE3721="me","   not ELP, by",IF(AND(OR(PlanterYesMe="Yes",PlanterYesMe="Y"),G3721&gt;0),(VLOOKUP(A3721,'Discount Lookup'!J:K,2)*G3721*(1-PlanterDiscount)*(1+PlanterDifficultyPercentage)),IF(AE3721="ELP",(VLOOKUP(A3721,'Discount Lookup'!J:K,2)*G3721*(1-PlanterDiscount)*(1+PlanterDifficultyPercentage)),IF(AE3721="free","re-planting",IF(G3721=0,"",IF(PlanterYesMe="",IF(AE3721="me","   not ELP, by",IF(AE3721="",IF(G3721&gt;0,(VLOOKUP(A3721,'Discount Lookup'!J:K,2)*G3721*(1-PlanterDiscount)*(1+PlanterDifficultyPercentage)),""),"")),"   not ELP, by"))))))))))))))</f>
        <v/>
      </c>
      <c r="AD3721" s="712"/>
      <c r="AE3721" s="513" t="str">
        <f t="shared" si="2782"/>
        <v/>
      </c>
      <c r="AF3721" s="713" t="str">
        <f t="shared" si="2783"/>
        <v/>
      </c>
      <c r="AG3721" s="713"/>
      <c r="AH3721" s="713"/>
      <c r="AI3721" s="112">
        <f>IF(H3721="credit",0,IF(AE3721="free",0,IF(AE3721="me",0,IF(G3721&gt;0,(VLOOKUP(A3721,'Discount Lookup'!J:K,2)*G3721),0))))</f>
        <v>0</v>
      </c>
      <c r="AJ3721" s="107" t="str">
        <f t="shared" ca="1" si="2784"/>
        <v/>
      </c>
      <c r="AK3721" s="714" t="str">
        <f t="shared" si="2785"/>
        <v/>
      </c>
      <c r="AL3721" s="714"/>
      <c r="AM3721" s="114" t="str">
        <f t="shared" si="2786"/>
        <v/>
      </c>
      <c r="AN3721" s="115"/>
      <c r="AO3721" s="116"/>
      <c r="AP3721" s="116"/>
      <c r="AQ3721" s="116"/>
      <c r="AR3721" s="116"/>
      <c r="AS3721" s="116"/>
      <c r="AT3721" s="116"/>
      <c r="AU3721" s="116"/>
      <c r="AV3721" s="78"/>
      <c r="AW3721" s="102"/>
      <c r="AX3721" s="78"/>
      <c r="AY3721" s="78"/>
      <c r="AZ3721" s="78"/>
      <c r="BA3721" s="78"/>
      <c r="BB3721" s="78"/>
      <c r="BC3721" s="78"/>
      <c r="BD3721" s="78"/>
      <c r="BE3721" s="465"/>
      <c r="BF3721" s="165" t="str">
        <f t="shared" si="2787"/>
        <v>https://www.google.com/search?tbm=isch&amp;q=3%20G2</v>
      </c>
      <c r="BG3721" s="165" t="str">
        <f t="shared" si="2788"/>
        <v>R</v>
      </c>
      <c r="BH3721" s="65"/>
      <c r="BI3721" s="65"/>
      <c r="BJ3721" s="65"/>
      <c r="BK3721" s="65"/>
      <c r="BL3721" s="99"/>
      <c r="BM3721" s="99"/>
      <c r="BN3721" s="99"/>
    </row>
    <row r="3722" spans="1:66" s="51" customFormat="1" ht="17.25" thickBot="1" x14ac:dyDescent="0.3">
      <c r="A3722" s="641" t="s">
        <v>4789</v>
      </c>
      <c r="B3722" s="642"/>
      <c r="C3722" s="710"/>
      <c r="D3722" s="643"/>
      <c r="E3722" s="643"/>
      <c r="F3722" s="644"/>
      <c r="G3722" s="645"/>
      <c r="H3722" s="646"/>
      <c r="I3722" s="647"/>
      <c r="J3722" s="648"/>
      <c r="K3722" s="649"/>
      <c r="L3722" s="650"/>
      <c r="M3722" s="650"/>
      <c r="N3722" s="644"/>
      <c r="O3722" s="644"/>
      <c r="P3722" s="644"/>
      <c r="Q3722" s="644"/>
      <c r="R3722" s="644"/>
      <c r="S3722" s="701" t="s">
        <v>5271</v>
      </c>
      <c r="T3722" s="102">
        <f t="shared" si="2776"/>
        <v>0</v>
      </c>
      <c r="U3722" s="78" t="str">
        <f>IF(NOT(ISNUMBER(G3722)), "", VLOOKUP(A3722,'Discount Lookup'!D:E,2,FALSE)*G3722)</f>
        <v/>
      </c>
      <c r="V3722" s="78" t="str">
        <f>IF(NOT(ISNUMBER(G3722)), "", VLOOKUP(A3722,'Discount Lookup'!G:H,2,FALSE)*G3722)</f>
        <v/>
      </c>
      <c r="W3722" s="102">
        <f t="shared" si="2777"/>
        <v>0</v>
      </c>
      <c r="X3722" s="102">
        <f t="shared" si="2778"/>
        <v>0</v>
      </c>
      <c r="Y3722" s="120" t="b">
        <f t="shared" si="2779"/>
        <v>0</v>
      </c>
      <c r="Z3722" s="117">
        <f t="shared" si="2780"/>
        <v>0</v>
      </c>
      <c r="AA3722" s="118"/>
      <c r="AB3722" s="118" t="str">
        <f t="shared" si="2781"/>
        <v/>
      </c>
      <c r="AC3722" s="712" t="str">
        <f>IF(AE3722="T2G","no charge",IF(AND(OR(PlanterYesMe="No",PlanterYesMe="N",PlanterYesMe="me"),H3722=""),"",IF(H3722="credit","NO install",IF(AND(K3722="",AE3722="me"),"EACH row",IF(AND(K3722="images",AE3722="me"),"EACH row",IF(D3722="","",IF(H3722="credit","",IF(AE3722="free","re-planting",IF(AE3722="me","   not ELP, by",IF(AND(OR(PlanterYesMe="Yes",PlanterYesMe="Y"),G3722&gt;0),(VLOOKUP(A3722,'Discount Lookup'!J:K,2)*G3722*(1-PlanterDiscount)*(1+PlanterDifficultyPercentage)),IF(AE3722="ELP",(VLOOKUP(A3722,'Discount Lookup'!J:K,2)*G3722*(1-PlanterDiscount)*(1+PlanterDifficultyPercentage)),IF(AE3722="free","re-planting",IF(G3722=0,"",IF(PlanterYesMe="",IF(AE3722="me","   not ELP, by",IF(AE3722="",IF(G3722&gt;0,(VLOOKUP(A3722,'Discount Lookup'!J:K,2)*G3722*(1-PlanterDiscount)*(1+PlanterDifficultyPercentage)),""),"")),"   not ELP, by"))))))))))))))</f>
        <v/>
      </c>
      <c r="AD3722" s="712"/>
      <c r="AE3722" s="513" t="str">
        <f t="shared" si="2782"/>
        <v/>
      </c>
      <c r="AF3722" s="713" t="str">
        <f t="shared" si="2783"/>
        <v/>
      </c>
      <c r="AG3722" s="713"/>
      <c r="AH3722" s="713"/>
      <c r="AI3722" s="112">
        <f>IF(H3722="credit",0,IF(AE3722="free",0,IF(AE3722="me",0,IF(G3722&gt;0,(VLOOKUP(A3722,'Discount Lookup'!J:K,2)*G3722),0))))</f>
        <v>0</v>
      </c>
      <c r="AJ3722" s="107" t="str">
        <f t="shared" ca="1" si="2784"/>
        <v/>
      </c>
      <c r="AK3722" s="714" t="str">
        <f t="shared" si="2785"/>
        <v/>
      </c>
      <c r="AL3722" s="714"/>
      <c r="AM3722" s="114" t="str">
        <f t="shared" si="2786"/>
        <v/>
      </c>
      <c r="AN3722" s="115"/>
      <c r="AO3722" s="116"/>
      <c r="AP3722" s="116"/>
      <c r="AQ3722" s="116"/>
      <c r="AR3722" s="116"/>
      <c r="AS3722" s="116"/>
      <c r="AT3722" s="116"/>
      <c r="AU3722" s="116"/>
      <c r="AV3722" s="78"/>
      <c r="AW3722" s="102"/>
      <c r="AX3722" s="78"/>
      <c r="AY3722" s="78"/>
      <c r="AZ3722" s="78"/>
      <c r="BA3722" s="78"/>
      <c r="BB3722" s="78"/>
      <c r="BC3722" s="78"/>
      <c r="BD3722" s="78"/>
      <c r="BE3722" s="465"/>
      <c r="BF3722" s="165" t="str">
        <f t="shared" si="2787"/>
        <v>https://www.google.com/search?tbm=isch&amp;q=Drift%20Roses%20bloom%20all%20summer%20and%20don%27t%20need%20deadheading%2C%20Glossy%20Green%20foliage%20and%20thorns%20%28rabbits%20may%20still%20nibble%29.%20Cut%20back%20annually%20</v>
      </c>
      <c r="BG3722" s="165" t="str">
        <f t="shared" si="2788"/>
        <v>D</v>
      </c>
      <c r="BH3722" s="65"/>
      <c r="BI3722" s="65"/>
      <c r="BJ3722" s="65"/>
      <c r="BK3722" s="65"/>
      <c r="BL3722" s="99"/>
      <c r="BM3722" s="99"/>
      <c r="BN3722" s="99"/>
    </row>
    <row r="3723" spans="1:66" s="51" customFormat="1" ht="18" x14ac:dyDescent="0.25">
      <c r="A3723" s="623" t="s">
        <v>4120</v>
      </c>
      <c r="B3723" s="624"/>
      <c r="C3723" s="709"/>
      <c r="D3723" s="625" t="s">
        <v>5811</v>
      </c>
      <c r="E3723" s="626"/>
      <c r="F3723" s="626"/>
      <c r="G3723" s="626"/>
      <c r="H3723" s="622" t="s">
        <v>1439</v>
      </c>
      <c r="I3723" s="627" t="s">
        <v>4121</v>
      </c>
      <c r="J3723" s="628"/>
      <c r="K3723" s="628"/>
      <c r="L3723" s="629"/>
      <c r="M3723" s="700" t="s">
        <v>5241</v>
      </c>
      <c r="N3723" s="693" t="str">
        <f>IF(AND(ISTEXT($A3723), ISERROR($A3723+0)), HYPERLINK($BF3723, "Images"), "")</f>
        <v>Images</v>
      </c>
      <c r="O3723" s="695" t="s">
        <v>5264</v>
      </c>
      <c r="P3723" s="630"/>
      <c r="Q3723" s="631"/>
      <c r="R3723" s="632"/>
      <c r="S3723" s="633"/>
      <c r="T3723" s="102">
        <f t="shared" si="2776"/>
        <v>0</v>
      </c>
      <c r="U3723" s="78" t="str">
        <f>IF(NOT(ISNUMBER(G3723)), "", VLOOKUP(A3723,'Discount Lookup'!D:E,2,FALSE)*G3723)</f>
        <v/>
      </c>
      <c r="V3723" s="78" t="str">
        <f>IF(NOT(ISNUMBER(G3723)), "", VLOOKUP(A3723,'Discount Lookup'!G:H,2,FALSE)*G3723)</f>
        <v/>
      </c>
      <c r="W3723" s="102">
        <f t="shared" si="2777"/>
        <v>0</v>
      </c>
      <c r="X3723" s="102" t="str">
        <f t="shared" si="2778"/>
        <v>Yellow to White to Pink bloom</v>
      </c>
      <c r="Y3723" s="120" t="b">
        <f t="shared" si="2779"/>
        <v>0</v>
      </c>
      <c r="Z3723" s="117">
        <f t="shared" si="2780"/>
        <v>0</v>
      </c>
      <c r="AA3723" s="118"/>
      <c r="AB3723" s="118" t="str">
        <f t="shared" si="2781"/>
        <v/>
      </c>
      <c r="AC3723" s="712" t="str">
        <f>IF(AE3723="T2G","no charge",IF(AND(OR(PlanterYesMe="No",PlanterYesMe="N",PlanterYesMe="me"),H3723=""),"",IF(H3723="credit","NO install",IF(AND(K3723="",AE3723="me"),"EACH row",IF(AND(K3723="images",AE3723="me"),"EACH row",IF(D3723="","",IF(H3723="credit","",IF(AE3723="free","re-planting",IF(AE3723="me","   not ELP, by",IF(AND(OR(PlanterYesMe="Yes",PlanterYesMe="Y"),G3723&gt;0),(VLOOKUP(A3723,'Discount Lookup'!J:K,2)*G3723*(1-PlanterDiscount)*(1+PlanterDifficultyPercentage)),IF(AE3723="ELP",(VLOOKUP(A3723,'Discount Lookup'!J:K,2)*G3723*(1-PlanterDiscount)*(1+PlanterDifficultyPercentage)),IF(AE3723="free","re-planting",IF(G3723=0,"",IF(PlanterYesMe="",IF(AE3723="me","   not ELP, by",IF(AE3723="",IF(G3723&gt;0,(VLOOKUP(A3723,'Discount Lookup'!J:K,2)*G3723*(1-PlanterDiscount)*(1+PlanterDifficultyPercentage)),""),"")),"   not ELP, by"))))))))))))))</f>
        <v/>
      </c>
      <c r="AD3723" s="712"/>
      <c r="AE3723" s="513" t="str">
        <f t="shared" si="2782"/>
        <v/>
      </c>
      <c r="AF3723" s="713" t="str">
        <f t="shared" si="2783"/>
        <v/>
      </c>
      <c r="AG3723" s="713"/>
      <c r="AH3723" s="713"/>
      <c r="AI3723" s="112">
        <f>IF(H3723="credit",0,IF(AE3723="free",0,IF(AE3723="me",0,IF(G3723&gt;0,(VLOOKUP(A3723,'Discount Lookup'!J:K,2)*G3723),0))))</f>
        <v>0</v>
      </c>
      <c r="AJ3723" s="107" t="str">
        <f t="shared" ca="1" si="2784"/>
        <v/>
      </c>
      <c r="AK3723" s="714" t="str">
        <f t="shared" si="2785"/>
        <v/>
      </c>
      <c r="AL3723" s="714"/>
      <c r="AM3723" s="114" t="str">
        <f t="shared" si="2786"/>
        <v/>
      </c>
      <c r="AN3723" s="115"/>
      <c r="AO3723" s="116"/>
      <c r="AP3723" s="116"/>
      <c r="AQ3723" s="116"/>
      <c r="AR3723" s="116"/>
      <c r="AS3723" s="116"/>
      <c r="AT3723" s="116"/>
      <c r="AU3723" s="116"/>
      <c r="AV3723" s="78"/>
      <c r="AW3723" s="102"/>
      <c r="AX3723" s="78"/>
      <c r="AY3723" s="78"/>
      <c r="AZ3723" s="78"/>
      <c r="BA3723" s="78"/>
      <c r="BB3723" s="78"/>
      <c r="BC3723" s="78"/>
      <c r="BD3723" s="78"/>
      <c r="BE3723" s="465"/>
      <c r="BF3723" s="165" t="str">
        <f t="shared" si="2787"/>
        <v>https://www.google.com/search?tbm=isch&amp;q=Rosa%20%27Novarospop%27%20PP%2324773%20Popcorn%20Drift%C2%AE%20Rose</v>
      </c>
      <c r="BG3723" s="165" t="str">
        <f t="shared" si="2788"/>
        <v>R</v>
      </c>
      <c r="BH3723" s="65"/>
      <c r="BI3723" s="65"/>
      <c r="BJ3723" s="65"/>
      <c r="BK3723" s="65"/>
      <c r="BL3723" s="99"/>
      <c r="BM3723" s="99"/>
      <c r="BN3723" s="99"/>
    </row>
    <row r="3724" spans="1:66" s="51" customFormat="1" ht="15.75" x14ac:dyDescent="0.25">
      <c r="A3724" s="634">
        <v>3</v>
      </c>
      <c r="B3724" s="635" t="s">
        <v>291</v>
      </c>
      <c r="C3724" s="636"/>
      <c r="D3724" s="637" t="s">
        <v>310</v>
      </c>
      <c r="E3724" s="638">
        <v>31.95</v>
      </c>
      <c r="F3724" s="639" t="s">
        <v>292</v>
      </c>
      <c r="G3724" s="484">
        <v>0</v>
      </c>
      <c r="H3724" s="691" t="str">
        <f>IF(G3724=0,"",IF(F3724="Buy",IF(G3724=1,"plant","plants"),IF(F3724&gt;0.01,"warranty","Error")))</f>
        <v/>
      </c>
      <c r="I3724" s="640">
        <f>IF(H3724="free",0,IF(H3724="credit",((E3724*(F3724))*G3724*-1),IF(F3724="Buy",(E3724*G3724),((E3724*(1-F3724))*G3724))))</f>
        <v>0</v>
      </c>
      <c r="J3724" s="640">
        <f>IF(H3724="warranty",0,(I3724*(_xlfn.SINGLE(SalesTaxPercentage))))</f>
        <v>0</v>
      </c>
      <c r="K3724" s="716">
        <f t="shared" ref="K3724" si="2812">I3724+J3724</f>
        <v>0</v>
      </c>
      <c r="L3724" s="716"/>
      <c r="M3724" s="689" t="str">
        <f ca="1">IF(AND(G3724&gt;0,E3724=0),"WARNING - no PRICE inserted",IF(H3724="free","FREE ~ no charge this plant",IF(H3724="credit",CONCATENATE("-$",ROUND(K3724*(1-_xlfn.SINGLE(T2GDiscount))*-1,2)," CREDIT after discount"),IF(_xlfn.SINGLE(T2GDiscount)=0,"",IF(G3724=0,"",IF(F3724="Buy",CONCATENATE("$",ROUND(K3724*(1-_xlfn.SINGLE(T2GDiscount)),2)," with ",(_xlfn.SINGLE(T2GDiscount)*100),"% discount"),CONCATENATE("$",ROUND(K3724*(1-_xlfn.SINGLE(T2GDiscount)),2)," with ",((_xlfn.SINGLE(T2GDiscount)*100+F3724*100)-(_xlfn.SINGLE(T2GDiscount)*100*F3724)),IF(F3724&gt;0,"% discounts",IF(_xlfn.SINGLE(NoWarrantyDiscount)&gt;0,"% discounts","% discount")))))))))</f>
        <v/>
      </c>
      <c r="N3724" s="690"/>
      <c r="O3724" s="486"/>
      <c r="P3724" s="486"/>
      <c r="Q3724" s="486"/>
      <c r="R3724" s="486"/>
      <c r="S3724" s="486"/>
      <c r="T3724" s="102">
        <f t="shared" si="2776"/>
        <v>0</v>
      </c>
      <c r="U3724" s="78">
        <f>IF(NOT(ISNUMBER(G3724)), "", VLOOKUP(A3724,'Discount Lookup'!D:E,2,FALSE)*G3724)</f>
        <v>0</v>
      </c>
      <c r="V3724" s="78">
        <f>IF(NOT(ISNUMBER(G3724)), "", VLOOKUP(A3724,'Discount Lookup'!G:H,2,FALSE)*G3724)</f>
        <v>0</v>
      </c>
      <c r="W3724" s="102">
        <f t="shared" si="2777"/>
        <v>0</v>
      </c>
      <c r="X3724" s="102">
        <f t="shared" si="2778"/>
        <v>0</v>
      </c>
      <c r="Y3724" s="120" t="b">
        <f t="shared" si="2779"/>
        <v>0</v>
      </c>
      <c r="Z3724" s="117">
        <f t="shared" si="2780"/>
        <v>0</v>
      </c>
      <c r="AA3724" s="118"/>
      <c r="AB3724" s="118" t="str">
        <f t="shared" si="2781"/>
        <v/>
      </c>
      <c r="AC3724" s="712" t="str">
        <f>IF(AE3724="T2G","no charge",IF(AND(OR(PlanterYesMe="No",PlanterYesMe="N",PlanterYesMe="me"),H3724=""),"",IF(H3724="credit","NO install",IF(AND(K3724="",AE3724="me"),"EACH row",IF(AND(K3724="images",AE3724="me"),"EACH row",IF(D3724="","",IF(H3724="credit","",IF(AE3724="free","re-planting",IF(AE3724="me","   not ELP, by",IF(AND(OR(PlanterYesMe="Yes",PlanterYesMe="Y"),G3724&gt;0),(VLOOKUP(A3724,'Discount Lookup'!J:K,2)*G3724*(1-PlanterDiscount)*(1+PlanterDifficultyPercentage)),IF(AE3724="ELP",(VLOOKUP(A3724,'Discount Lookup'!J:K,2)*G3724*(1-PlanterDiscount)*(1+PlanterDifficultyPercentage)),IF(AE3724="free","re-planting",IF(G3724=0,"",IF(PlanterYesMe="",IF(AE3724="me","   not ELP, by",IF(AE3724="",IF(G3724&gt;0,(VLOOKUP(A3724,'Discount Lookup'!J:K,2)*G3724*(1-PlanterDiscount)*(1+PlanterDifficultyPercentage)),""),"")),"   not ELP, by"))))))))))))))</f>
        <v/>
      </c>
      <c r="AD3724" s="712"/>
      <c r="AE3724" s="513" t="str">
        <f t="shared" si="2782"/>
        <v/>
      </c>
      <c r="AF3724" s="713" t="str">
        <f t="shared" si="2783"/>
        <v/>
      </c>
      <c r="AG3724" s="713"/>
      <c r="AH3724" s="713"/>
      <c r="AI3724" s="112">
        <f>IF(H3724="credit",0,IF(AE3724="free",0,IF(AE3724="me",0,IF(G3724&gt;0,(VLOOKUP(A3724,'Discount Lookup'!J:K,2)*G3724),0))))</f>
        <v>0</v>
      </c>
      <c r="AJ3724" s="107" t="str">
        <f t="shared" ca="1" si="2784"/>
        <v/>
      </c>
      <c r="AK3724" s="714" t="str">
        <f t="shared" si="2785"/>
        <v/>
      </c>
      <c r="AL3724" s="714"/>
      <c r="AM3724" s="114" t="str">
        <f t="shared" si="2786"/>
        <v/>
      </c>
      <c r="AN3724" s="115"/>
      <c r="AO3724" s="116"/>
      <c r="AP3724" s="116"/>
      <c r="AQ3724" s="116"/>
      <c r="AR3724" s="116"/>
      <c r="AS3724" s="116"/>
      <c r="AT3724" s="116"/>
      <c r="AU3724" s="116"/>
      <c r="AV3724" s="78"/>
      <c r="AW3724" s="102"/>
      <c r="AX3724" s="78"/>
      <c r="AY3724" s="78"/>
      <c r="AZ3724" s="78"/>
      <c r="BA3724" s="78"/>
      <c r="BB3724" s="78"/>
      <c r="BC3724" s="78"/>
      <c r="BD3724" s="78"/>
      <c r="BE3724" s="465"/>
      <c r="BF3724" s="165" t="str">
        <f t="shared" si="2787"/>
        <v>https://www.google.com/search?tbm=isch&amp;q=3%20G1</v>
      </c>
      <c r="BG3724" s="165" t="str">
        <f t="shared" si="2788"/>
        <v>R</v>
      </c>
      <c r="BH3724" s="65"/>
      <c r="BI3724" s="65"/>
      <c r="BJ3724" s="65"/>
      <c r="BK3724" s="65"/>
      <c r="BL3724" s="99"/>
      <c r="BM3724" s="99"/>
      <c r="BN3724" s="99"/>
    </row>
    <row r="3725" spans="1:66" s="51" customFormat="1" ht="27" x14ac:dyDescent="0.25">
      <c r="A3725" s="634">
        <v>3</v>
      </c>
      <c r="B3725" s="635" t="s">
        <v>291</v>
      </c>
      <c r="C3725" s="636" t="s">
        <v>4122</v>
      </c>
      <c r="D3725" s="637" t="s">
        <v>311</v>
      </c>
      <c r="E3725" s="638">
        <v>35.950000000000003</v>
      </c>
      <c r="F3725" s="639" t="s">
        <v>292</v>
      </c>
      <c r="G3725" s="484">
        <v>0</v>
      </c>
      <c r="H3725" s="691" t="str">
        <f>IF(G3725=0,"",IF(F3725="Buy",IF(G3725=1,"plant","plants"),IF(F3725&gt;0.01,"warranty","Error")))</f>
        <v/>
      </c>
      <c r="I3725" s="640">
        <f>IF(H3725="free",0,IF(H3725="credit",((E3725*(F3725))*G3725*-1),IF(F3725="Buy",(E3725*G3725),((E3725*(1-F3725))*G3725))))</f>
        <v>0</v>
      </c>
      <c r="J3725" s="640">
        <f>IF(H3725="warranty",0,(I3725*(_xlfn.SINGLE(SalesTaxPercentage))))</f>
        <v>0</v>
      </c>
      <c r="K3725" s="716">
        <f t="shared" ref="K3725" si="2813">I3725+J3725</f>
        <v>0</v>
      </c>
      <c r="L3725" s="716"/>
      <c r="M3725" s="689" t="str">
        <f ca="1">IF(AND(G3725&gt;0,E3725=0),"WARNING - no PRICE inserted",IF(H3725="free","FREE ~ no charge this plant",IF(H3725="credit",CONCATENATE("-$",ROUND(K3725*(1-_xlfn.SINGLE(T2GDiscount))*-1,2)," CREDIT after discount"),IF(_xlfn.SINGLE(T2GDiscount)=0,"",IF(G3725=0,"",IF(F3725="Buy",CONCATENATE("$",ROUND(K3725*(1-_xlfn.SINGLE(T2GDiscount)),2)," with ",(_xlfn.SINGLE(T2GDiscount)*100),"% discount"),CONCATENATE("$",ROUND(K3725*(1-_xlfn.SINGLE(T2GDiscount)),2)," with ",((_xlfn.SINGLE(T2GDiscount)*100+F3725*100)-(_xlfn.SINGLE(T2GDiscount)*100*F3725)),IF(F3725&gt;0,"% discounts",IF(_xlfn.SINGLE(NoWarrantyDiscount)&gt;0,"% discounts","% discount")))))))))</f>
        <v/>
      </c>
      <c r="N3725" s="690"/>
      <c r="O3725" s="486"/>
      <c r="P3725" s="486"/>
      <c r="Q3725" s="486"/>
      <c r="R3725" s="486"/>
      <c r="S3725" s="486"/>
      <c r="T3725" s="102">
        <f t="shared" si="2776"/>
        <v>0</v>
      </c>
      <c r="U3725" s="78">
        <f>IF(NOT(ISNUMBER(G3725)), "", VLOOKUP(A3725,'Discount Lookup'!D:E,2,FALSE)*G3725)</f>
        <v>0</v>
      </c>
      <c r="V3725" s="78">
        <f>IF(NOT(ISNUMBER(G3725)), "", VLOOKUP(A3725,'Discount Lookup'!G:H,2,FALSE)*G3725)</f>
        <v>0</v>
      </c>
      <c r="W3725" s="102">
        <f t="shared" si="2777"/>
        <v>0</v>
      </c>
      <c r="X3725" s="102">
        <f t="shared" si="2778"/>
        <v>0</v>
      </c>
      <c r="Y3725" s="120" t="b">
        <f t="shared" si="2779"/>
        <v>0</v>
      </c>
      <c r="Z3725" s="117">
        <f t="shared" si="2780"/>
        <v>0</v>
      </c>
      <c r="AA3725" s="118"/>
      <c r="AB3725" s="118" t="str">
        <f t="shared" si="2781"/>
        <v/>
      </c>
      <c r="AC3725" s="712" t="str">
        <f>IF(AE3725="T2G","no charge",IF(AND(OR(PlanterYesMe="No",PlanterYesMe="N",PlanterYesMe="me"),H3725=""),"",IF(H3725="credit","NO install",IF(AND(K3725="",AE3725="me"),"EACH row",IF(AND(K3725="images",AE3725="me"),"EACH row",IF(D3725="","",IF(H3725="credit","",IF(AE3725="free","re-planting",IF(AE3725="me","   not ELP, by",IF(AND(OR(PlanterYesMe="Yes",PlanterYesMe="Y"),G3725&gt;0),(VLOOKUP(A3725,'Discount Lookup'!J:K,2)*G3725*(1-PlanterDiscount)*(1+PlanterDifficultyPercentage)),IF(AE3725="ELP",(VLOOKUP(A3725,'Discount Lookup'!J:K,2)*G3725*(1-PlanterDiscount)*(1+PlanterDifficultyPercentage)),IF(AE3725="free","re-planting",IF(G3725=0,"",IF(PlanterYesMe="",IF(AE3725="me","   not ELP, by",IF(AE3725="",IF(G3725&gt;0,(VLOOKUP(A3725,'Discount Lookup'!J:K,2)*G3725*(1-PlanterDiscount)*(1+PlanterDifficultyPercentage)),""),"")),"   not ELP, by"))))))))))))))</f>
        <v/>
      </c>
      <c r="AD3725" s="712"/>
      <c r="AE3725" s="513" t="str">
        <f t="shared" si="2782"/>
        <v/>
      </c>
      <c r="AF3725" s="713" t="str">
        <f t="shared" si="2783"/>
        <v/>
      </c>
      <c r="AG3725" s="713"/>
      <c r="AH3725" s="713"/>
      <c r="AI3725" s="112">
        <f>IF(H3725="credit",0,IF(AE3725="free",0,IF(AE3725="me",0,IF(G3725&gt;0,(VLOOKUP(A3725,'Discount Lookup'!J:K,2)*G3725),0))))</f>
        <v>0</v>
      </c>
      <c r="AJ3725" s="107" t="str">
        <f t="shared" ca="1" si="2784"/>
        <v/>
      </c>
      <c r="AK3725" s="714" t="str">
        <f t="shared" si="2785"/>
        <v/>
      </c>
      <c r="AL3725" s="714"/>
      <c r="AM3725" s="114" t="str">
        <f t="shared" si="2786"/>
        <v/>
      </c>
      <c r="AN3725" s="115"/>
      <c r="AO3725" s="116"/>
      <c r="AP3725" s="116"/>
      <c r="AQ3725" s="116"/>
      <c r="AR3725" s="116"/>
      <c r="AS3725" s="116"/>
      <c r="AT3725" s="116"/>
      <c r="AU3725" s="116"/>
      <c r="AV3725" s="78"/>
      <c r="AW3725" s="102"/>
      <c r="AX3725" s="78"/>
      <c r="AY3725" s="78"/>
      <c r="AZ3725" s="78"/>
      <c r="BA3725" s="78"/>
      <c r="BB3725" s="78"/>
      <c r="BC3725" s="78"/>
      <c r="BD3725" s="78"/>
      <c r="BE3725" s="465"/>
      <c r="BF3725" s="165" t="str">
        <f t="shared" si="2787"/>
        <v>https://www.google.com/search?tbm=isch&amp;q=3%20G5</v>
      </c>
      <c r="BG3725" s="165" t="str">
        <f t="shared" si="2788"/>
        <v>R</v>
      </c>
      <c r="BH3725" s="65"/>
      <c r="BI3725" s="65"/>
      <c r="BJ3725" s="65"/>
      <c r="BK3725" s="65"/>
      <c r="BL3725" s="99"/>
      <c r="BM3725" s="99"/>
      <c r="BN3725" s="99"/>
    </row>
    <row r="3726" spans="1:66" s="51" customFormat="1" ht="15.75" x14ac:dyDescent="0.25">
      <c r="A3726" s="634">
        <v>3</v>
      </c>
      <c r="B3726" s="635" t="s">
        <v>291</v>
      </c>
      <c r="C3726" s="636" t="s">
        <v>4123</v>
      </c>
      <c r="D3726" s="637" t="s">
        <v>299</v>
      </c>
      <c r="E3726" s="638">
        <v>37.950000000000003</v>
      </c>
      <c r="F3726" s="639" t="s">
        <v>292</v>
      </c>
      <c r="G3726" s="484">
        <v>0</v>
      </c>
      <c r="H3726" s="691" t="str">
        <f>IF(G3726=0,"",IF(F3726="Buy",IF(G3726=1,"plant","plants"),IF(F3726&gt;0.01,"warranty","Error")))</f>
        <v/>
      </c>
      <c r="I3726" s="640">
        <f>IF(H3726="free",0,IF(H3726="credit",((E3726*(F3726))*G3726*-1),IF(F3726="Buy",(E3726*G3726),((E3726*(1-F3726))*G3726))))</f>
        <v>0</v>
      </c>
      <c r="J3726" s="640">
        <f>IF(H3726="warranty",0,(I3726*(_xlfn.SINGLE(SalesTaxPercentage))))</f>
        <v>0</v>
      </c>
      <c r="K3726" s="716">
        <f t="shared" ref="K3726" si="2814">I3726+J3726</f>
        <v>0</v>
      </c>
      <c r="L3726" s="716"/>
      <c r="M3726" s="689" t="str">
        <f ca="1">IF(AND(G3726&gt;0,E3726=0),"WARNING - no PRICE inserted",IF(H3726="free","FREE ~ no charge this plant",IF(H3726="credit",CONCATENATE("-$",ROUND(K3726*(1-_xlfn.SINGLE(T2GDiscount))*-1,2)," CREDIT after discount"),IF(_xlfn.SINGLE(T2GDiscount)=0,"",IF(G3726=0,"",IF(F3726="Buy",CONCATENATE("$",ROUND(K3726*(1-_xlfn.SINGLE(T2GDiscount)),2)," with ",(_xlfn.SINGLE(T2GDiscount)*100),"% discount"),CONCATENATE("$",ROUND(K3726*(1-_xlfn.SINGLE(T2GDiscount)),2)," with ",((_xlfn.SINGLE(T2GDiscount)*100+F3726*100)-(_xlfn.SINGLE(T2GDiscount)*100*F3726)),IF(F3726&gt;0,"% discounts",IF(_xlfn.SINGLE(NoWarrantyDiscount)&gt;0,"% discounts","% discount")))))))))</f>
        <v/>
      </c>
      <c r="N3726" s="690"/>
      <c r="O3726" s="486"/>
      <c r="P3726" s="486"/>
      <c r="Q3726" s="486"/>
      <c r="R3726" s="486"/>
      <c r="S3726" s="486"/>
      <c r="T3726" s="102">
        <f t="shared" si="2776"/>
        <v>0</v>
      </c>
      <c r="U3726" s="78">
        <f>IF(NOT(ISNUMBER(G3726)), "", VLOOKUP(A3726,'Discount Lookup'!D:E,2,FALSE)*G3726)</f>
        <v>0</v>
      </c>
      <c r="V3726" s="78">
        <f>IF(NOT(ISNUMBER(G3726)), "", VLOOKUP(A3726,'Discount Lookup'!G:H,2,FALSE)*G3726)</f>
        <v>0</v>
      </c>
      <c r="W3726" s="102">
        <f t="shared" si="2777"/>
        <v>0</v>
      </c>
      <c r="X3726" s="102">
        <f t="shared" si="2778"/>
        <v>0</v>
      </c>
      <c r="Y3726" s="120" t="b">
        <f t="shared" si="2779"/>
        <v>0</v>
      </c>
      <c r="Z3726" s="117">
        <f t="shared" si="2780"/>
        <v>0</v>
      </c>
      <c r="AA3726" s="118"/>
      <c r="AB3726" s="118" t="str">
        <f t="shared" si="2781"/>
        <v/>
      </c>
      <c r="AC3726" s="712" t="str">
        <f>IF(AE3726="T2G","no charge",IF(AND(OR(PlanterYesMe="No",PlanterYesMe="N",PlanterYesMe="me"),H3726=""),"",IF(H3726="credit","NO install",IF(AND(K3726="",AE3726="me"),"EACH row",IF(AND(K3726="images",AE3726="me"),"EACH row",IF(D3726="","",IF(H3726="credit","",IF(AE3726="free","re-planting",IF(AE3726="me","   not ELP, by",IF(AND(OR(PlanterYesMe="Yes",PlanterYesMe="Y"),G3726&gt;0),(VLOOKUP(A3726,'Discount Lookup'!J:K,2)*G3726*(1-PlanterDiscount)*(1+PlanterDifficultyPercentage)),IF(AE3726="ELP",(VLOOKUP(A3726,'Discount Lookup'!J:K,2)*G3726*(1-PlanterDiscount)*(1+PlanterDifficultyPercentage)),IF(AE3726="free","re-planting",IF(G3726=0,"",IF(PlanterYesMe="",IF(AE3726="me","   not ELP, by",IF(AE3726="",IF(G3726&gt;0,(VLOOKUP(A3726,'Discount Lookup'!J:K,2)*G3726*(1-PlanterDiscount)*(1+PlanterDifficultyPercentage)),""),"")),"   not ELP, by"))))))))))))))</f>
        <v/>
      </c>
      <c r="AD3726" s="712"/>
      <c r="AE3726" s="513" t="str">
        <f t="shared" si="2782"/>
        <v/>
      </c>
      <c r="AF3726" s="713" t="str">
        <f t="shared" si="2783"/>
        <v/>
      </c>
      <c r="AG3726" s="713"/>
      <c r="AH3726" s="713"/>
      <c r="AI3726" s="112">
        <f>IF(H3726="credit",0,IF(AE3726="free",0,IF(AE3726="me",0,IF(G3726&gt;0,(VLOOKUP(A3726,'Discount Lookup'!J:K,2)*G3726),0))))</f>
        <v>0</v>
      </c>
      <c r="AJ3726" s="107" t="str">
        <f t="shared" ca="1" si="2784"/>
        <v/>
      </c>
      <c r="AK3726" s="714" t="str">
        <f t="shared" si="2785"/>
        <v/>
      </c>
      <c r="AL3726" s="714"/>
      <c r="AM3726" s="114" t="str">
        <f t="shared" si="2786"/>
        <v/>
      </c>
      <c r="AN3726" s="115"/>
      <c r="AO3726" s="116"/>
      <c r="AP3726" s="116"/>
      <c r="AQ3726" s="116"/>
      <c r="AR3726" s="116"/>
      <c r="AS3726" s="116"/>
      <c r="AT3726" s="116"/>
      <c r="AU3726" s="116"/>
      <c r="AV3726" s="78"/>
      <c r="AW3726" s="102"/>
      <c r="AX3726" s="78"/>
      <c r="AY3726" s="78"/>
      <c r="AZ3726" s="78"/>
      <c r="BA3726" s="78"/>
      <c r="BB3726" s="78"/>
      <c r="BC3726" s="78"/>
      <c r="BD3726" s="78"/>
      <c r="BE3726" s="465"/>
      <c r="BF3726" s="165" t="str">
        <f t="shared" si="2787"/>
        <v>https://www.google.com/search?tbm=isch&amp;q=3%20G4</v>
      </c>
      <c r="BG3726" s="165" t="str">
        <f t="shared" si="2788"/>
        <v>R</v>
      </c>
      <c r="BH3726" s="65"/>
      <c r="BI3726" s="65"/>
      <c r="BJ3726" s="65"/>
      <c r="BK3726" s="65"/>
      <c r="BL3726" s="99"/>
      <c r="BM3726" s="99"/>
      <c r="BN3726" s="99"/>
    </row>
    <row r="3727" spans="1:66" s="51" customFormat="1" ht="17.25" thickBot="1" x14ac:dyDescent="0.3">
      <c r="A3727" s="641" t="s">
        <v>4789</v>
      </c>
      <c r="B3727" s="642"/>
      <c r="C3727" s="710"/>
      <c r="D3727" s="643"/>
      <c r="E3727" s="643"/>
      <c r="F3727" s="644"/>
      <c r="G3727" s="645"/>
      <c r="H3727" s="646"/>
      <c r="I3727" s="647"/>
      <c r="J3727" s="648"/>
      <c r="K3727" s="649"/>
      <c r="L3727" s="650"/>
      <c r="M3727" s="650"/>
      <c r="N3727" s="644"/>
      <c r="O3727" s="644"/>
      <c r="P3727" s="644"/>
      <c r="Q3727" s="644"/>
      <c r="R3727" s="644"/>
      <c r="S3727" s="701" t="s">
        <v>5271</v>
      </c>
      <c r="T3727" s="102">
        <f t="shared" si="2776"/>
        <v>0</v>
      </c>
      <c r="U3727" s="78" t="str">
        <f>IF(NOT(ISNUMBER(G3727)), "", VLOOKUP(A3727,'Discount Lookup'!D:E,2,FALSE)*G3727)</f>
        <v/>
      </c>
      <c r="V3727" s="78" t="str">
        <f>IF(NOT(ISNUMBER(G3727)), "", VLOOKUP(A3727,'Discount Lookup'!G:H,2,FALSE)*G3727)</f>
        <v/>
      </c>
      <c r="W3727" s="102">
        <f t="shared" si="2777"/>
        <v>0</v>
      </c>
      <c r="X3727" s="102">
        <f t="shared" si="2778"/>
        <v>0</v>
      </c>
      <c r="Y3727" s="120" t="b">
        <f t="shared" si="2779"/>
        <v>0</v>
      </c>
      <c r="Z3727" s="117">
        <f t="shared" si="2780"/>
        <v>0</v>
      </c>
      <c r="AA3727" s="118"/>
      <c r="AB3727" s="118" t="str">
        <f t="shared" si="2781"/>
        <v/>
      </c>
      <c r="AC3727" s="712" t="str">
        <f>IF(AE3727="T2G","no charge",IF(AND(OR(PlanterYesMe="No",PlanterYesMe="N",PlanterYesMe="me"),H3727=""),"",IF(H3727="credit","NO install",IF(AND(K3727="",AE3727="me"),"EACH row",IF(AND(K3727="images",AE3727="me"),"EACH row",IF(D3727="","",IF(H3727="credit","",IF(AE3727="free","re-planting",IF(AE3727="me","   not ELP, by",IF(AND(OR(PlanterYesMe="Yes",PlanterYesMe="Y"),G3727&gt;0),(VLOOKUP(A3727,'Discount Lookup'!J:K,2)*G3727*(1-PlanterDiscount)*(1+PlanterDifficultyPercentage)),IF(AE3727="ELP",(VLOOKUP(A3727,'Discount Lookup'!J:K,2)*G3727*(1-PlanterDiscount)*(1+PlanterDifficultyPercentage)),IF(AE3727="free","re-planting",IF(G3727=0,"",IF(PlanterYesMe="",IF(AE3727="me","   not ELP, by",IF(AE3727="",IF(G3727&gt;0,(VLOOKUP(A3727,'Discount Lookup'!J:K,2)*G3727*(1-PlanterDiscount)*(1+PlanterDifficultyPercentage)),""),"")),"   not ELP, by"))))))))))))))</f>
        <v/>
      </c>
      <c r="AD3727" s="712"/>
      <c r="AE3727" s="513" t="str">
        <f t="shared" si="2782"/>
        <v/>
      </c>
      <c r="AF3727" s="713" t="str">
        <f t="shared" si="2783"/>
        <v/>
      </c>
      <c r="AG3727" s="713"/>
      <c r="AH3727" s="713"/>
      <c r="AI3727" s="112">
        <f>IF(H3727="credit",0,IF(AE3727="free",0,IF(AE3727="me",0,IF(G3727&gt;0,(VLOOKUP(A3727,'Discount Lookup'!J:K,2)*G3727),0))))</f>
        <v>0</v>
      </c>
      <c r="AJ3727" s="107" t="str">
        <f t="shared" ca="1" si="2784"/>
        <v/>
      </c>
      <c r="AK3727" s="714" t="str">
        <f t="shared" si="2785"/>
        <v/>
      </c>
      <c r="AL3727" s="714"/>
      <c r="AM3727" s="114" t="str">
        <f t="shared" si="2786"/>
        <v/>
      </c>
      <c r="AN3727" s="115"/>
      <c r="AO3727" s="116"/>
      <c r="AP3727" s="116"/>
      <c r="AQ3727" s="116"/>
      <c r="AR3727" s="116"/>
      <c r="AS3727" s="116"/>
      <c r="AT3727" s="116"/>
      <c r="AU3727" s="116"/>
      <c r="AV3727" s="78"/>
      <c r="AW3727" s="102"/>
      <c r="AX3727" s="78"/>
      <c r="AY3727" s="78"/>
      <c r="AZ3727" s="78"/>
      <c r="BA3727" s="78"/>
      <c r="BB3727" s="78"/>
      <c r="BC3727" s="78"/>
      <c r="BD3727" s="78"/>
      <c r="BE3727" s="465"/>
      <c r="BF3727" s="165" t="str">
        <f t="shared" si="2787"/>
        <v>https://www.google.com/search?tbm=isch&amp;q=Drift%20Roses%20bloom%20all%20summer%20and%20don%27t%20need%20deadheading%2C%20Glossy%20Green%20foliage%20and%20thorns%20%28rabbits%20may%20still%20nibble%29.%20Cut%20back%20annually%20</v>
      </c>
      <c r="BG3727" s="165" t="str">
        <f t="shared" si="2788"/>
        <v>D</v>
      </c>
      <c r="BH3727" s="65"/>
      <c r="BI3727" s="65"/>
      <c r="BJ3727" s="65"/>
      <c r="BK3727" s="65"/>
      <c r="BL3727" s="99"/>
      <c r="BM3727" s="99"/>
      <c r="BN3727" s="99"/>
    </row>
    <row r="3728" spans="1:66" s="51" customFormat="1" ht="18" x14ac:dyDescent="0.25">
      <c r="A3728" s="623" t="s">
        <v>4124</v>
      </c>
      <c r="B3728" s="624"/>
      <c r="C3728" s="709"/>
      <c r="D3728" s="625" t="s">
        <v>5812</v>
      </c>
      <c r="E3728" s="626"/>
      <c r="F3728" s="626"/>
      <c r="G3728" s="626"/>
      <c r="H3728" s="622" t="s">
        <v>1217</v>
      </c>
      <c r="I3728" s="627" t="s">
        <v>4125</v>
      </c>
      <c r="J3728" s="628"/>
      <c r="K3728" s="628"/>
      <c r="L3728" s="629"/>
      <c r="M3728" s="700" t="s">
        <v>5241</v>
      </c>
      <c r="N3728" s="693" t="str">
        <f>IF(AND(ISTEXT($A3728), ISERROR($A3728+0)), HYPERLINK($BF3728, "Images"), "")</f>
        <v>Images</v>
      </c>
      <c r="O3728" s="695" t="s">
        <v>5264</v>
      </c>
      <c r="P3728" s="630"/>
      <c r="Q3728" s="631"/>
      <c r="R3728" s="632"/>
      <c r="S3728" s="633"/>
      <c r="T3728" s="102">
        <f t="shared" si="2776"/>
        <v>0</v>
      </c>
      <c r="U3728" s="78" t="str">
        <f>IF(NOT(ISNUMBER(G3728)), "", VLOOKUP(A3728,'Discount Lookup'!D:E,2,FALSE)*G3728)</f>
        <v/>
      </c>
      <c r="V3728" s="78" t="str">
        <f>IF(NOT(ISNUMBER(G3728)), "", VLOOKUP(A3728,'Discount Lookup'!G:H,2,FALSE)*G3728)</f>
        <v/>
      </c>
      <c r="W3728" s="102">
        <f t="shared" si="2777"/>
        <v>0</v>
      </c>
      <c r="X3728" s="102" t="str">
        <f t="shared" si="2778"/>
        <v>Brick Orange-Coral bloom</v>
      </c>
      <c r="Y3728" s="120" t="b">
        <f t="shared" si="2779"/>
        <v>0</v>
      </c>
      <c r="Z3728" s="117">
        <f t="shared" si="2780"/>
        <v>0</v>
      </c>
      <c r="AA3728" s="118"/>
      <c r="AB3728" s="118" t="str">
        <f t="shared" si="2781"/>
        <v/>
      </c>
      <c r="AC3728" s="712" t="str">
        <f>IF(AE3728="T2G","no charge",IF(AND(OR(PlanterYesMe="No",PlanterYesMe="N",PlanterYesMe="me"),H3728=""),"",IF(H3728="credit","NO install",IF(AND(K3728="",AE3728="me"),"EACH row",IF(AND(K3728="images",AE3728="me"),"EACH row",IF(D3728="","",IF(H3728="credit","",IF(AE3728="free","re-planting",IF(AE3728="me","   not ELP, by",IF(AND(OR(PlanterYesMe="Yes",PlanterYesMe="Y"),G3728&gt;0),(VLOOKUP(A3728,'Discount Lookup'!J:K,2)*G3728*(1-PlanterDiscount)*(1+PlanterDifficultyPercentage)),IF(AE3728="ELP",(VLOOKUP(A3728,'Discount Lookup'!J:K,2)*G3728*(1-PlanterDiscount)*(1+PlanterDifficultyPercentage)),IF(AE3728="free","re-planting",IF(G3728=0,"",IF(PlanterYesMe="",IF(AE3728="me","   not ELP, by",IF(AE3728="",IF(G3728&gt;0,(VLOOKUP(A3728,'Discount Lookup'!J:K,2)*G3728*(1-PlanterDiscount)*(1+PlanterDifficultyPercentage)),""),"")),"   not ELP, by"))))))))))))))</f>
        <v/>
      </c>
      <c r="AD3728" s="712"/>
      <c r="AE3728" s="513" t="str">
        <f t="shared" si="2782"/>
        <v/>
      </c>
      <c r="AF3728" s="713" t="str">
        <f t="shared" si="2783"/>
        <v/>
      </c>
      <c r="AG3728" s="713"/>
      <c r="AH3728" s="713"/>
      <c r="AI3728" s="112">
        <f>IF(H3728="credit",0,IF(AE3728="free",0,IF(AE3728="me",0,IF(G3728&gt;0,(VLOOKUP(A3728,'Discount Lookup'!J:K,2)*G3728),0))))</f>
        <v>0</v>
      </c>
      <c r="AJ3728" s="107" t="str">
        <f t="shared" ca="1" si="2784"/>
        <v/>
      </c>
      <c r="AK3728" s="714" t="str">
        <f t="shared" si="2785"/>
        <v/>
      </c>
      <c r="AL3728" s="714"/>
      <c r="AM3728" s="114" t="str">
        <f t="shared" si="2786"/>
        <v/>
      </c>
      <c r="AN3728" s="115"/>
      <c r="AO3728" s="116"/>
      <c r="AP3728" s="116"/>
      <c r="AQ3728" s="116"/>
      <c r="AR3728" s="116"/>
      <c r="AS3728" s="116"/>
      <c r="AT3728" s="116"/>
      <c r="AU3728" s="116"/>
      <c r="AV3728" s="78"/>
      <c r="AW3728" s="102"/>
      <c r="AX3728" s="78"/>
      <c r="AY3728" s="78"/>
      <c r="AZ3728" s="78"/>
      <c r="BA3728" s="78"/>
      <c r="BB3728" s="78"/>
      <c r="BC3728" s="78"/>
      <c r="BD3728" s="78"/>
      <c r="BE3728" s="465"/>
      <c r="BF3728" s="165" t="str">
        <f t="shared" si="2787"/>
        <v>https://www.google.com/search?tbm=isch&amp;q=Rosa%20%27Radral%27%20PP%2319803%20Coral%20Double%20Knock%20Out%C2%AE%20Rose</v>
      </c>
      <c r="BG3728" s="165" t="str">
        <f t="shared" si="2788"/>
        <v>R</v>
      </c>
      <c r="BH3728" s="65"/>
      <c r="BI3728" s="65"/>
      <c r="BJ3728" s="65"/>
      <c r="BK3728" s="65"/>
      <c r="BL3728" s="99"/>
      <c r="BM3728" s="99"/>
      <c r="BN3728" s="99"/>
    </row>
    <row r="3729" spans="1:66" s="51" customFormat="1" ht="15.75" x14ac:dyDescent="0.25">
      <c r="A3729" s="634">
        <v>3</v>
      </c>
      <c r="B3729" s="635" t="s">
        <v>291</v>
      </c>
      <c r="C3729" s="636" t="s">
        <v>4126</v>
      </c>
      <c r="D3729" s="637" t="s">
        <v>329</v>
      </c>
      <c r="E3729" s="638">
        <v>30.95</v>
      </c>
      <c r="F3729" s="639" t="s">
        <v>292</v>
      </c>
      <c r="G3729" s="484">
        <v>0</v>
      </c>
      <c r="H3729" s="691" t="str">
        <f>IF(G3729=0,"",IF(F3729="Buy",IF(G3729=1,"plant","plants"),IF(F3729&gt;0.01,"warranty","Error")))</f>
        <v/>
      </c>
      <c r="I3729" s="640">
        <f>IF(H3729="free",0,IF(H3729="credit",((E3729*(F3729))*G3729*-1),IF(F3729="Buy",(E3729*G3729),((E3729*(1-F3729))*G3729))))</f>
        <v>0</v>
      </c>
      <c r="J3729" s="640">
        <f>IF(H3729="warranty",0,(I3729*(_xlfn.SINGLE(SalesTaxPercentage))))</f>
        <v>0</v>
      </c>
      <c r="K3729" s="716">
        <f t="shared" ref="K3729" si="2815">I3729+J3729</f>
        <v>0</v>
      </c>
      <c r="L3729" s="716"/>
      <c r="M3729" s="689" t="str">
        <f ca="1">IF(AND(G3729&gt;0,E3729=0),"WARNING - no PRICE inserted",IF(H3729="free","FREE ~ no charge this plant",IF(H3729="credit",CONCATENATE("-$",ROUND(K3729*(1-_xlfn.SINGLE(T2GDiscount))*-1,2)," CREDIT after discount"),IF(_xlfn.SINGLE(T2GDiscount)=0,"",IF(G3729=0,"",IF(F3729="Buy",CONCATENATE("$",ROUND(K3729*(1-_xlfn.SINGLE(T2GDiscount)),2)," with ",(_xlfn.SINGLE(T2GDiscount)*100),"% discount"),CONCATENATE("$",ROUND(K3729*(1-_xlfn.SINGLE(T2GDiscount)),2)," with ",((_xlfn.SINGLE(T2GDiscount)*100+F3729*100)-(_xlfn.SINGLE(T2GDiscount)*100*F3729)),IF(F3729&gt;0,"% discounts",IF(_xlfn.SINGLE(NoWarrantyDiscount)&gt;0,"% discounts","% discount")))))))))</f>
        <v/>
      </c>
      <c r="N3729" s="690"/>
      <c r="O3729" s="486"/>
      <c r="P3729" s="486"/>
      <c r="Q3729" s="486"/>
      <c r="R3729" s="486"/>
      <c r="S3729" s="486"/>
      <c r="T3729" s="102">
        <f t="shared" si="2776"/>
        <v>0</v>
      </c>
      <c r="U3729" s="78">
        <f>IF(NOT(ISNUMBER(G3729)), "", VLOOKUP(A3729,'Discount Lookup'!D:E,2,FALSE)*G3729)</f>
        <v>0</v>
      </c>
      <c r="V3729" s="78">
        <f>IF(NOT(ISNUMBER(G3729)), "", VLOOKUP(A3729,'Discount Lookup'!G:H,2,FALSE)*G3729)</f>
        <v>0</v>
      </c>
      <c r="W3729" s="102">
        <f t="shared" si="2777"/>
        <v>0</v>
      </c>
      <c r="X3729" s="102">
        <f t="shared" si="2778"/>
        <v>0</v>
      </c>
      <c r="Y3729" s="120" t="b">
        <f t="shared" si="2779"/>
        <v>0</v>
      </c>
      <c r="Z3729" s="117">
        <f t="shared" si="2780"/>
        <v>0</v>
      </c>
      <c r="AA3729" s="118"/>
      <c r="AB3729" s="118" t="str">
        <f t="shared" si="2781"/>
        <v/>
      </c>
      <c r="AC3729" s="712" t="str">
        <f>IF(AE3729="T2G","no charge",IF(AND(OR(PlanterYesMe="No",PlanterYesMe="N",PlanterYesMe="me"),H3729=""),"",IF(H3729="credit","NO install",IF(AND(K3729="",AE3729="me"),"EACH row",IF(AND(K3729="images",AE3729="me"),"EACH row",IF(D3729="","",IF(H3729="credit","",IF(AE3729="free","re-planting",IF(AE3729="me","   not ELP, by",IF(AND(OR(PlanterYesMe="Yes",PlanterYesMe="Y"),G3729&gt;0),(VLOOKUP(A3729,'Discount Lookup'!J:K,2)*G3729*(1-PlanterDiscount)*(1+PlanterDifficultyPercentage)),IF(AE3729="ELP",(VLOOKUP(A3729,'Discount Lookup'!J:K,2)*G3729*(1-PlanterDiscount)*(1+PlanterDifficultyPercentage)),IF(AE3729="free","re-planting",IF(G3729=0,"",IF(PlanterYesMe="",IF(AE3729="me","   not ELP, by",IF(AE3729="",IF(G3729&gt;0,(VLOOKUP(A3729,'Discount Lookup'!J:K,2)*G3729*(1-PlanterDiscount)*(1+PlanterDifficultyPercentage)),""),"")),"   not ELP, by"))))))))))))))</f>
        <v/>
      </c>
      <c r="AD3729" s="712"/>
      <c r="AE3729" s="513" t="str">
        <f t="shared" si="2782"/>
        <v/>
      </c>
      <c r="AF3729" s="713" t="str">
        <f t="shared" si="2783"/>
        <v/>
      </c>
      <c r="AG3729" s="713"/>
      <c r="AH3729" s="713"/>
      <c r="AI3729" s="112">
        <f>IF(H3729="credit",0,IF(AE3729="free",0,IF(AE3729="me",0,IF(G3729&gt;0,(VLOOKUP(A3729,'Discount Lookup'!J:K,2)*G3729),0))))</f>
        <v>0</v>
      </c>
      <c r="AJ3729" s="107" t="str">
        <f t="shared" ca="1" si="2784"/>
        <v/>
      </c>
      <c r="AK3729" s="714" t="str">
        <f t="shared" si="2785"/>
        <v/>
      </c>
      <c r="AL3729" s="714"/>
      <c r="AM3729" s="114" t="str">
        <f t="shared" si="2786"/>
        <v/>
      </c>
      <c r="AN3729" s="115"/>
      <c r="AO3729" s="116"/>
      <c r="AP3729" s="116"/>
      <c r="AQ3729" s="116"/>
      <c r="AR3729" s="116"/>
      <c r="AS3729" s="116"/>
      <c r="AT3729" s="116"/>
      <c r="AU3729" s="116"/>
      <c r="AV3729" s="78"/>
      <c r="AW3729" s="102"/>
      <c r="AX3729" s="78"/>
      <c r="AY3729" s="78"/>
      <c r="AZ3729" s="78"/>
      <c r="BA3729" s="78"/>
      <c r="BB3729" s="78"/>
      <c r="BC3729" s="78"/>
      <c r="BD3729" s="78"/>
      <c r="BE3729" s="465"/>
      <c r="BF3729" s="165" t="str">
        <f t="shared" si="2787"/>
        <v>https://www.google.com/search?tbm=isch&amp;q=3%20G2</v>
      </c>
      <c r="BG3729" s="165" t="str">
        <f t="shared" si="2788"/>
        <v>R</v>
      </c>
      <c r="BH3729" s="65"/>
      <c r="BI3729" s="65"/>
      <c r="BJ3729" s="65"/>
      <c r="BK3729" s="65"/>
      <c r="BL3729" s="99"/>
      <c r="BM3729" s="99"/>
      <c r="BN3729" s="99"/>
    </row>
    <row r="3730" spans="1:66" s="51" customFormat="1" ht="15.75" x14ac:dyDescent="0.25">
      <c r="A3730" s="634">
        <v>3</v>
      </c>
      <c r="B3730" s="635" t="s">
        <v>291</v>
      </c>
      <c r="C3730" s="636"/>
      <c r="D3730" s="637" t="s">
        <v>310</v>
      </c>
      <c r="E3730" s="638">
        <v>31.95</v>
      </c>
      <c r="F3730" s="639" t="s">
        <v>292</v>
      </c>
      <c r="G3730" s="484">
        <v>0</v>
      </c>
      <c r="H3730" s="691" t="str">
        <f>IF(G3730=0,"",IF(F3730="Buy",IF(G3730=1,"plant","plants"),IF(F3730&gt;0.01,"warranty","Error")))</f>
        <v/>
      </c>
      <c r="I3730" s="640">
        <f>IF(H3730="free",0,IF(H3730="credit",((E3730*(F3730))*G3730*-1),IF(F3730="Buy",(E3730*G3730),((E3730*(1-F3730))*G3730))))</f>
        <v>0</v>
      </c>
      <c r="J3730" s="640">
        <f>IF(H3730="warranty",0,(I3730*(_xlfn.SINGLE(SalesTaxPercentage))))</f>
        <v>0</v>
      </c>
      <c r="K3730" s="716">
        <f t="shared" ref="K3730" si="2816">I3730+J3730</f>
        <v>0</v>
      </c>
      <c r="L3730" s="716"/>
      <c r="M3730" s="689" t="str">
        <f ca="1">IF(AND(G3730&gt;0,E3730=0),"WARNING - no PRICE inserted",IF(H3730="free","FREE ~ no charge this plant",IF(H3730="credit",CONCATENATE("-$",ROUND(K3730*(1-_xlfn.SINGLE(T2GDiscount))*-1,2)," CREDIT after discount"),IF(_xlfn.SINGLE(T2GDiscount)=0,"",IF(G3730=0,"",IF(F3730="Buy",CONCATENATE("$",ROUND(K3730*(1-_xlfn.SINGLE(T2GDiscount)),2)," with ",(_xlfn.SINGLE(T2GDiscount)*100),"% discount"),CONCATENATE("$",ROUND(K3730*(1-_xlfn.SINGLE(T2GDiscount)),2)," with ",((_xlfn.SINGLE(T2GDiscount)*100+F3730*100)-(_xlfn.SINGLE(T2GDiscount)*100*F3730)),IF(F3730&gt;0,"% discounts",IF(_xlfn.SINGLE(NoWarrantyDiscount)&gt;0,"% discounts","% discount")))))))))</f>
        <v/>
      </c>
      <c r="N3730" s="690"/>
      <c r="O3730" s="486"/>
      <c r="P3730" s="486"/>
      <c r="Q3730" s="486"/>
      <c r="R3730" s="486"/>
      <c r="S3730" s="486"/>
      <c r="T3730" s="102">
        <f t="shared" si="2776"/>
        <v>0</v>
      </c>
      <c r="U3730" s="78">
        <f>IF(NOT(ISNUMBER(G3730)), "", VLOOKUP(A3730,'Discount Lookup'!D:E,2,FALSE)*G3730)</f>
        <v>0</v>
      </c>
      <c r="V3730" s="78">
        <f>IF(NOT(ISNUMBER(G3730)), "", VLOOKUP(A3730,'Discount Lookup'!G:H,2,FALSE)*G3730)</f>
        <v>0</v>
      </c>
      <c r="W3730" s="102">
        <f t="shared" si="2777"/>
        <v>0</v>
      </c>
      <c r="X3730" s="102">
        <f t="shared" si="2778"/>
        <v>0</v>
      </c>
      <c r="Y3730" s="120" t="b">
        <f t="shared" si="2779"/>
        <v>0</v>
      </c>
      <c r="Z3730" s="117">
        <f t="shared" si="2780"/>
        <v>0</v>
      </c>
      <c r="AA3730" s="118"/>
      <c r="AB3730" s="118" t="str">
        <f t="shared" si="2781"/>
        <v/>
      </c>
      <c r="AC3730" s="712" t="str">
        <f>IF(AE3730="T2G","no charge",IF(AND(OR(PlanterYesMe="No",PlanterYesMe="N",PlanterYesMe="me"),H3730=""),"",IF(H3730="credit","NO install",IF(AND(K3730="",AE3730="me"),"EACH row",IF(AND(K3730="images",AE3730="me"),"EACH row",IF(D3730="","",IF(H3730="credit","",IF(AE3730="free","re-planting",IF(AE3730="me","   not ELP, by",IF(AND(OR(PlanterYesMe="Yes",PlanterYesMe="Y"),G3730&gt;0),(VLOOKUP(A3730,'Discount Lookup'!J:K,2)*G3730*(1-PlanterDiscount)*(1+PlanterDifficultyPercentage)),IF(AE3730="ELP",(VLOOKUP(A3730,'Discount Lookup'!J:K,2)*G3730*(1-PlanterDiscount)*(1+PlanterDifficultyPercentage)),IF(AE3730="free","re-planting",IF(G3730=0,"",IF(PlanterYesMe="",IF(AE3730="me","   not ELP, by",IF(AE3730="",IF(G3730&gt;0,(VLOOKUP(A3730,'Discount Lookup'!J:K,2)*G3730*(1-PlanterDiscount)*(1+PlanterDifficultyPercentage)),""),"")),"   not ELP, by"))))))))))))))</f>
        <v/>
      </c>
      <c r="AD3730" s="712"/>
      <c r="AE3730" s="513" t="str">
        <f t="shared" si="2782"/>
        <v/>
      </c>
      <c r="AF3730" s="713" t="str">
        <f t="shared" si="2783"/>
        <v/>
      </c>
      <c r="AG3730" s="713"/>
      <c r="AH3730" s="713"/>
      <c r="AI3730" s="112">
        <f>IF(H3730="credit",0,IF(AE3730="free",0,IF(AE3730="me",0,IF(G3730&gt;0,(VLOOKUP(A3730,'Discount Lookup'!J:K,2)*G3730),0))))</f>
        <v>0</v>
      </c>
      <c r="AJ3730" s="107" t="str">
        <f t="shared" ca="1" si="2784"/>
        <v/>
      </c>
      <c r="AK3730" s="714" t="str">
        <f t="shared" si="2785"/>
        <v/>
      </c>
      <c r="AL3730" s="714"/>
      <c r="AM3730" s="114" t="str">
        <f t="shared" si="2786"/>
        <v/>
      </c>
      <c r="AN3730" s="115"/>
      <c r="AO3730" s="116"/>
      <c r="AP3730" s="116"/>
      <c r="AQ3730" s="116"/>
      <c r="AR3730" s="116"/>
      <c r="AS3730" s="116"/>
      <c r="AT3730" s="116"/>
      <c r="AU3730" s="116"/>
      <c r="AV3730" s="78"/>
      <c r="AW3730" s="102"/>
      <c r="AX3730" s="78"/>
      <c r="AY3730" s="78"/>
      <c r="AZ3730" s="78"/>
      <c r="BA3730" s="78"/>
      <c r="BB3730" s="78"/>
      <c r="BC3730" s="78"/>
      <c r="BD3730" s="78"/>
      <c r="BE3730" s="465"/>
      <c r="BF3730" s="165" t="str">
        <f t="shared" si="2787"/>
        <v>https://www.google.com/search?tbm=isch&amp;q=3%20G1</v>
      </c>
      <c r="BG3730" s="165" t="str">
        <f t="shared" si="2788"/>
        <v>R</v>
      </c>
      <c r="BH3730" s="65"/>
      <c r="BI3730" s="65"/>
      <c r="BJ3730" s="65"/>
      <c r="BK3730" s="65"/>
      <c r="BL3730" s="99"/>
      <c r="BM3730" s="99"/>
      <c r="BN3730" s="99"/>
    </row>
    <row r="3731" spans="1:66" s="51" customFormat="1" ht="17.25" thickBot="1" x14ac:dyDescent="0.3">
      <c r="A3731" s="641" t="s">
        <v>4796</v>
      </c>
      <c r="B3731" s="642"/>
      <c r="C3731" s="710"/>
      <c r="D3731" s="643"/>
      <c r="E3731" s="643"/>
      <c r="F3731" s="644"/>
      <c r="G3731" s="645"/>
      <c r="H3731" s="646"/>
      <c r="I3731" s="647"/>
      <c r="J3731" s="648"/>
      <c r="K3731" s="649"/>
      <c r="L3731" s="650"/>
      <c r="M3731" s="650"/>
      <c r="N3731" s="644"/>
      <c r="O3731" s="644"/>
      <c r="P3731" s="644"/>
      <c r="Q3731" s="644"/>
      <c r="R3731" s="644"/>
      <c r="S3731" s="701" t="s">
        <v>5271</v>
      </c>
      <c r="T3731" s="102">
        <f t="shared" si="2776"/>
        <v>0</v>
      </c>
      <c r="U3731" s="78" t="str">
        <f>IF(NOT(ISNUMBER(G3731)), "", VLOOKUP(A3731,'Discount Lookup'!D:E,2,FALSE)*G3731)</f>
        <v/>
      </c>
      <c r="V3731" s="78" t="str">
        <f>IF(NOT(ISNUMBER(G3731)), "", VLOOKUP(A3731,'Discount Lookup'!G:H,2,FALSE)*G3731)</f>
        <v/>
      </c>
      <c r="W3731" s="102">
        <f t="shared" si="2777"/>
        <v>0</v>
      </c>
      <c r="X3731" s="102">
        <f t="shared" si="2778"/>
        <v>0</v>
      </c>
      <c r="Y3731" s="120" t="b">
        <f t="shared" si="2779"/>
        <v>0</v>
      </c>
      <c r="Z3731" s="117">
        <f t="shared" si="2780"/>
        <v>0</v>
      </c>
      <c r="AA3731" s="118"/>
      <c r="AB3731" s="118" t="str">
        <f t="shared" si="2781"/>
        <v/>
      </c>
      <c r="AC3731" s="712" t="str">
        <f>IF(AE3731="T2G","no charge",IF(AND(OR(PlanterYesMe="No",PlanterYesMe="N",PlanterYesMe="me"),H3731=""),"",IF(H3731="credit","NO install",IF(AND(K3731="",AE3731="me"),"EACH row",IF(AND(K3731="images",AE3731="me"),"EACH row",IF(D3731="","",IF(H3731="credit","",IF(AE3731="free","re-planting",IF(AE3731="me","   not ELP, by",IF(AND(OR(PlanterYesMe="Yes",PlanterYesMe="Y"),G3731&gt;0),(VLOOKUP(A3731,'Discount Lookup'!J:K,2)*G3731*(1-PlanterDiscount)*(1+PlanterDifficultyPercentage)),IF(AE3731="ELP",(VLOOKUP(A3731,'Discount Lookup'!J:K,2)*G3731*(1-PlanterDiscount)*(1+PlanterDifficultyPercentage)),IF(AE3731="free","re-planting",IF(G3731=0,"",IF(PlanterYesMe="",IF(AE3731="me","   not ELP, by",IF(AE3731="",IF(G3731&gt;0,(VLOOKUP(A3731,'Discount Lookup'!J:K,2)*G3731*(1-PlanterDiscount)*(1+PlanterDifficultyPercentage)),""),"")),"   not ELP, by"))))))))))))))</f>
        <v/>
      </c>
      <c r="AD3731" s="712"/>
      <c r="AE3731" s="513" t="str">
        <f t="shared" si="2782"/>
        <v/>
      </c>
      <c r="AF3731" s="713" t="str">
        <f t="shared" si="2783"/>
        <v/>
      </c>
      <c r="AG3731" s="713"/>
      <c r="AH3731" s="713"/>
      <c r="AI3731" s="112">
        <f>IF(H3731="credit",0,IF(AE3731="free",0,IF(AE3731="me",0,IF(G3731&gt;0,(VLOOKUP(A3731,'Discount Lookup'!J:K,2)*G3731),0))))</f>
        <v>0</v>
      </c>
      <c r="AJ3731" s="107" t="str">
        <f t="shared" ca="1" si="2784"/>
        <v/>
      </c>
      <c r="AK3731" s="714" t="str">
        <f t="shared" si="2785"/>
        <v/>
      </c>
      <c r="AL3731" s="714"/>
      <c r="AM3731" s="114" t="str">
        <f t="shared" si="2786"/>
        <v/>
      </c>
      <c r="AN3731" s="115"/>
      <c r="AO3731" s="116"/>
      <c r="AP3731" s="116"/>
      <c r="AQ3731" s="116"/>
      <c r="AR3731" s="116"/>
      <c r="AS3731" s="116"/>
      <c r="AT3731" s="116"/>
      <c r="AU3731" s="116"/>
      <c r="AV3731" s="78"/>
      <c r="AW3731" s="102"/>
      <c r="AX3731" s="78"/>
      <c r="AY3731" s="78"/>
      <c r="AZ3731" s="78"/>
      <c r="BA3731" s="78"/>
      <c r="BB3731" s="78"/>
      <c r="BC3731" s="78"/>
      <c r="BD3731" s="78"/>
      <c r="BE3731" s="465"/>
      <c r="BF3731" s="165" t="str">
        <f t="shared" si="2787"/>
        <v>https://www.google.com/search?tbm=isch&amp;q=Knock%20Out%20bloom%20all%20summer%20and%20don%27t%20need%20deadheading.%20Glossy%20Green%20foliage%20and%20thorns%20%28rabbits%20may%20still%20nibble%29.%20Cut%20back%20annually%20</v>
      </c>
      <c r="BG3731" s="165" t="str">
        <f t="shared" si="2788"/>
        <v>K</v>
      </c>
      <c r="BH3731" s="65"/>
      <c r="BI3731" s="65"/>
      <c r="BJ3731" s="65"/>
      <c r="BK3731" s="65"/>
      <c r="BL3731" s="99"/>
      <c r="BM3731" s="99"/>
      <c r="BN3731" s="99"/>
    </row>
    <row r="3732" spans="1:66" s="51" customFormat="1" ht="18" x14ac:dyDescent="0.25">
      <c r="A3732" s="623" t="s">
        <v>4127</v>
      </c>
      <c r="B3732" s="624"/>
      <c r="C3732" s="709"/>
      <c r="D3732" s="625" t="s">
        <v>5813</v>
      </c>
      <c r="E3732" s="626"/>
      <c r="F3732" s="626"/>
      <c r="G3732" s="626"/>
      <c r="H3732" s="622" t="s">
        <v>1217</v>
      </c>
      <c r="I3732" s="627" t="s">
        <v>4128</v>
      </c>
      <c r="J3732" s="628"/>
      <c r="K3732" s="628"/>
      <c r="L3732" s="629"/>
      <c r="M3732" s="700" t="s">
        <v>5241</v>
      </c>
      <c r="N3732" s="693" t="str">
        <f>IF(AND(ISTEXT($A3732), ISERROR($A3732+0)), HYPERLINK($BF3732, "Images"), "")</f>
        <v>Images</v>
      </c>
      <c r="O3732" s="695" t="s">
        <v>5264</v>
      </c>
      <c r="P3732" s="630"/>
      <c r="Q3732" s="631"/>
      <c r="R3732" s="632"/>
      <c r="S3732" s="633"/>
      <c r="T3732" s="102">
        <f t="shared" ref="T3732:T3795" si="2817">E3732*G3732</f>
        <v>0</v>
      </c>
      <c r="U3732" s="78" t="str">
        <f>IF(NOT(ISNUMBER(G3732)), "", VLOOKUP(A3732,'Discount Lookup'!D:E,2,FALSE)*G3732)</f>
        <v/>
      </c>
      <c r="V3732" s="78" t="str">
        <f>IF(NOT(ISNUMBER(G3732)), "", VLOOKUP(A3732,'Discount Lookup'!G:H,2,FALSE)*G3732)</f>
        <v/>
      </c>
      <c r="W3732" s="102">
        <f t="shared" ref="W3732:W3795" si="2818">IF(H3732="credit",0,E3732*(SalesTaxPercentage)*G3732)</f>
        <v>0</v>
      </c>
      <c r="X3732" s="102" t="str">
        <f t="shared" ref="X3732:X3795" si="2819">I3732</f>
        <v>Warm Orange-Pink bloom</v>
      </c>
      <c r="Y3732" s="120" t="b">
        <f t="shared" ref="Y3732:Y3795" si="2820">IF(AE3732="T2G",0,IF(H3732="credit",0,IF(G3732&gt;0,IF(AE3732="me","",G3732))))</f>
        <v>0</v>
      </c>
      <c r="Z3732" s="117">
        <f t="shared" ref="Z3732:Z3795" si="2821">IF(H3732="credit",G3732,0)</f>
        <v>0</v>
      </c>
      <c r="AA3732" s="118"/>
      <c r="AB3732" s="118" t="str">
        <f t="shared" ref="AB3732:AB3795" si="2822">IF(AE3732="T2G","by Trees2Go",IF(H3732="credit","CREDIT only ~",IF(AND(K3732="",AE3732=OR(PlanterYesMe="No",PlanterYesMe="N",PlanterYesMe="me")),"not THIS line⇨",IF(AND(K3732="images",AE3732="me"),"not THIS line⇨",IF(H3732="credit","",IF(G3732=0,"",IF(AE3732="me","",IF(OR(PlanterYesMe="No",PlanterYesMe="N",PlanterYesMe="me"),"",IF(AE3732="free","warranty",IF(OR(PlanterYesMe="yes",PlanterYesMe="y"),"Edison install:","to install:"))))))))))</f>
        <v/>
      </c>
      <c r="AC3732" s="712" t="str">
        <f>IF(AE3732="T2G","no charge",IF(AND(OR(PlanterYesMe="No",PlanterYesMe="N",PlanterYesMe="me"),H3732=""),"",IF(H3732="credit","NO install",IF(AND(K3732="",AE3732="me"),"EACH row",IF(AND(K3732="images",AE3732="me"),"EACH row",IF(D3732="","",IF(H3732="credit","",IF(AE3732="free","re-planting",IF(AE3732="me","   not ELP, by",IF(AND(OR(PlanterYesMe="Yes",PlanterYesMe="Y"),G3732&gt;0),(VLOOKUP(A3732,'Discount Lookup'!J:K,2)*G3732*(1-PlanterDiscount)*(1+PlanterDifficultyPercentage)),IF(AE3732="ELP",(VLOOKUP(A3732,'Discount Lookup'!J:K,2)*G3732*(1-PlanterDiscount)*(1+PlanterDifficultyPercentage)),IF(AE3732="free","re-planting",IF(G3732=0,"",IF(PlanterYesMe="",IF(AE3732="me","   not ELP, by",IF(AE3732="",IF(G3732&gt;0,(VLOOKUP(A3732,'Discount Lookup'!J:K,2)*G3732*(1-PlanterDiscount)*(1+PlanterDifficultyPercentage)),""),"")),"   not ELP, by"))))))))))))))</f>
        <v/>
      </c>
      <c r="AD3732" s="712"/>
      <c r="AE3732" s="513" t="str">
        <f t="shared" ref="AE3732:AE3795" si="2823">IF(H3732="credit","",IF(G3732=0,"",IF(OR(PlanterYesMe="No",PlanterYesMe="N",PlanterYesMe="me"),"me",IF(H3732="warranty","free",IF(OR(PlanterYesMe="yes",PlanterYesMe="y"),"ELP","")))))</f>
        <v/>
      </c>
      <c r="AF3732" s="713" t="str">
        <f t="shared" ref="AF3732:AF3795" si="2824">IF(OR(PlanterYesMe="No",PlanterYesMe="N",PlanterYesMe="me"),"",IF(H3732="credit","",IF(G3732&gt;0,(CONCATENATE((G3732)," quantity, ",(A3732)," ",B3732)),"")))</f>
        <v/>
      </c>
      <c r="AG3732" s="713"/>
      <c r="AH3732" s="713"/>
      <c r="AI3732" s="112">
        <f>IF(H3732="credit",0,IF(AE3732="free",0,IF(AE3732="me",0,IF(G3732&gt;0,(VLOOKUP(A3732,'Discount Lookup'!J:K,2)*G3732),0))))</f>
        <v>0</v>
      </c>
      <c r="AJ3732" s="107" t="str">
        <f t="shared" ref="AJ3732:AJ3795" ca="1" si="2825">IF(AND(ISREF(H3732),H3732="credit"),"",IF(AND(AND(OFFSET(G3732,0,0)=0,OFFSET(G3732,1,0)&gt;0,ISNUMBER(OFFSET(AC3732,1,0)),OFFSET(AC3732,1,0)&gt;0),OR(PlanterYesMe="yes",PlanterYesMe="y")),"T2G+ELP=",IF(AND(OFFSET(G3732,0,0)=0,OFFSET(G3732,1,0)&gt;0,ISNUMBER(OFFSET(AC3732,1,0)),OFFSET(AC3732,1,0)&gt;0),"if T2G+ELP=",IF(AND(OFFSET(G3732,0,0)=0,OFFSET(G3732,1,0)&gt;0),"T2G Subtotal",IF(H3732="credit","",IF(G3732=0,"",IF(AE3732="free",(K3732*(1-T2GDiscount)),IF(OR(PlanterYesMe="No",PlanterYesMe="N",PlanterYesMe="me"),(K3732*(1-T2GDiscount)),IF(OR(AE3732="me",AE3732="T2G"),(K3732*(1-T2GDiscount)),(K3732*(1-T2GDiscount))+AC3732)))))))))</f>
        <v/>
      </c>
      <c r="AK3732" s="714" t="str">
        <f t="shared" ref="AK3732:AK3795" si="2826">IF(H3732="credit","",IF(G3732=0,"",IF(OR(AE3732="me",AE3732="T2G"),"  delivery-only",IF(OR(PlanterYesMe="No",PlanterYesMe="N",PlanterYesMe="me"),"  delivery-only",CONCATENATE(" $",ROUND(AJ3732/G3732,2)," each")))))</f>
        <v/>
      </c>
      <c r="AL3732" s="714"/>
      <c r="AM3732" s="114" t="str">
        <f t="shared" ref="AM3732:AM3795" si="2827">IF(H3732="credit","",IF(AE3732="free","      ~ discounts included, no tax or planting fee applies ~",IF(G3732=0,"",IF(OR(PlanterYesMe="No",PlanterYesMe="N",PlanterYesMe="me"),CONCATENATE(" $",ROUND(AJ3732/G3732,2)," per plant, with tax &amp; discount"),IF(OR(AE3732="me",AE3732="T2G"),CONCATENATE(" $",ROUND(AJ3732/G3732,2)," per plant, with tax &amp; discount"),CONCATENATE("= $",ROUND((K3732*(1-T2GDiscount))/G3732,2)," per plant + $",AC3732/G3732,(" per planting      ~ includes tax &amp; discounts ~")))))))</f>
        <v/>
      </c>
      <c r="AN3732" s="115"/>
      <c r="AO3732" s="116"/>
      <c r="AP3732" s="116"/>
      <c r="AQ3732" s="116"/>
      <c r="AR3732" s="116"/>
      <c r="AS3732" s="116"/>
      <c r="AT3732" s="116"/>
      <c r="AU3732" s="116"/>
      <c r="AV3732" s="78"/>
      <c r="AW3732" s="102"/>
      <c r="AX3732" s="78"/>
      <c r="AY3732" s="78"/>
      <c r="AZ3732" s="78"/>
      <c r="BA3732" s="78"/>
      <c r="BB3732" s="78"/>
      <c r="BC3732" s="78"/>
      <c r="BD3732" s="78"/>
      <c r="BE3732" s="465"/>
      <c r="BF3732" s="165" t="str">
        <f t="shared" ref="BF3732:BF3795" si="2828">"https://www.google.com/search?tbm=isch&amp;q=" &amp; _xlfn.ENCODEURL($A3732 &amp; " " &amp; $D3732)</f>
        <v>https://www.google.com/search?tbm=isch&amp;q=Rosa%20%27Radslam%27%20PP%2335826%20Orange%20Glow%E2%84%A2%20Knock%20Out%C2%AE%20Rose</v>
      </c>
      <c r="BG3732" s="165" t="str">
        <f t="shared" ref="BG3732:BG3795" si="2829">IF(ISTEXT(A3732),LEFT(A3732,1),BG3731)</f>
        <v>R</v>
      </c>
      <c r="BH3732" s="65"/>
      <c r="BI3732" s="65"/>
      <c r="BJ3732" s="65"/>
      <c r="BK3732" s="65"/>
      <c r="BL3732" s="99"/>
      <c r="BM3732" s="99"/>
      <c r="BN3732" s="99"/>
    </row>
    <row r="3733" spans="1:66" s="51" customFormat="1" ht="15.75" x14ac:dyDescent="0.25">
      <c r="A3733" s="634">
        <v>3</v>
      </c>
      <c r="B3733" s="635" t="s">
        <v>291</v>
      </c>
      <c r="C3733" s="636"/>
      <c r="D3733" s="637" t="s">
        <v>310</v>
      </c>
      <c r="E3733" s="638">
        <v>31.95</v>
      </c>
      <c r="F3733" s="639" t="s">
        <v>292</v>
      </c>
      <c r="G3733" s="484">
        <v>0</v>
      </c>
      <c r="H3733" s="691" t="str">
        <f>IF(G3733=0,"",IF(F3733="Buy",IF(G3733=1,"plant","plants"),IF(F3733&gt;0.01,"warranty","Error")))</f>
        <v/>
      </c>
      <c r="I3733" s="640">
        <f>IF(H3733="free",0,IF(H3733="credit",((E3733*(F3733))*G3733*-1),IF(F3733="Buy",(E3733*G3733),((E3733*(1-F3733))*G3733))))</f>
        <v>0</v>
      </c>
      <c r="J3733" s="640">
        <f>IF(H3733="warranty",0,(I3733*(_xlfn.SINGLE(SalesTaxPercentage))))</f>
        <v>0</v>
      </c>
      <c r="K3733" s="716">
        <f t="shared" ref="K3733" si="2830">I3733+J3733</f>
        <v>0</v>
      </c>
      <c r="L3733" s="716"/>
      <c r="M3733" s="689" t="str">
        <f ca="1">IF(AND(G3733&gt;0,E3733=0),"WARNING - no PRICE inserted",IF(H3733="free","FREE ~ no charge this plant",IF(H3733="credit",CONCATENATE("-$",ROUND(K3733*(1-_xlfn.SINGLE(T2GDiscount))*-1,2)," CREDIT after discount"),IF(_xlfn.SINGLE(T2GDiscount)=0,"",IF(G3733=0,"",IF(F3733="Buy",CONCATENATE("$",ROUND(K3733*(1-_xlfn.SINGLE(T2GDiscount)),2)," with ",(_xlfn.SINGLE(T2GDiscount)*100),"% discount"),CONCATENATE("$",ROUND(K3733*(1-_xlfn.SINGLE(T2GDiscount)),2)," with ",((_xlfn.SINGLE(T2GDiscount)*100+F3733*100)-(_xlfn.SINGLE(T2GDiscount)*100*F3733)),IF(F3733&gt;0,"% discounts",IF(_xlfn.SINGLE(NoWarrantyDiscount)&gt;0,"% discounts","% discount")))))))))</f>
        <v/>
      </c>
      <c r="N3733" s="690"/>
      <c r="O3733" s="486"/>
      <c r="P3733" s="486"/>
      <c r="Q3733" s="486"/>
      <c r="R3733" s="486"/>
      <c r="S3733" s="486"/>
      <c r="T3733" s="102">
        <f t="shared" si="2817"/>
        <v>0</v>
      </c>
      <c r="U3733" s="78">
        <f>IF(NOT(ISNUMBER(G3733)), "", VLOOKUP(A3733,'Discount Lookup'!D:E,2,FALSE)*G3733)</f>
        <v>0</v>
      </c>
      <c r="V3733" s="78">
        <f>IF(NOT(ISNUMBER(G3733)), "", VLOOKUP(A3733,'Discount Lookup'!G:H,2,FALSE)*G3733)</f>
        <v>0</v>
      </c>
      <c r="W3733" s="102">
        <f t="shared" si="2818"/>
        <v>0</v>
      </c>
      <c r="X3733" s="102">
        <f t="shared" si="2819"/>
        <v>0</v>
      </c>
      <c r="Y3733" s="120" t="b">
        <f t="shared" si="2820"/>
        <v>0</v>
      </c>
      <c r="Z3733" s="117">
        <f t="shared" si="2821"/>
        <v>0</v>
      </c>
      <c r="AA3733" s="118"/>
      <c r="AB3733" s="118" t="str">
        <f t="shared" si="2822"/>
        <v/>
      </c>
      <c r="AC3733" s="712" t="str">
        <f>IF(AE3733="T2G","no charge",IF(AND(OR(PlanterYesMe="No",PlanterYesMe="N",PlanterYesMe="me"),H3733=""),"",IF(H3733="credit","NO install",IF(AND(K3733="",AE3733="me"),"EACH row",IF(AND(K3733="images",AE3733="me"),"EACH row",IF(D3733="","",IF(H3733="credit","",IF(AE3733="free","re-planting",IF(AE3733="me","   not ELP, by",IF(AND(OR(PlanterYesMe="Yes",PlanterYesMe="Y"),G3733&gt;0),(VLOOKUP(A3733,'Discount Lookup'!J:K,2)*G3733*(1-PlanterDiscount)*(1+PlanterDifficultyPercentage)),IF(AE3733="ELP",(VLOOKUP(A3733,'Discount Lookup'!J:K,2)*G3733*(1-PlanterDiscount)*(1+PlanterDifficultyPercentage)),IF(AE3733="free","re-planting",IF(G3733=0,"",IF(PlanterYesMe="",IF(AE3733="me","   not ELP, by",IF(AE3733="",IF(G3733&gt;0,(VLOOKUP(A3733,'Discount Lookup'!J:K,2)*G3733*(1-PlanterDiscount)*(1+PlanterDifficultyPercentage)),""),"")),"   not ELP, by"))))))))))))))</f>
        <v/>
      </c>
      <c r="AD3733" s="712"/>
      <c r="AE3733" s="513" t="str">
        <f t="shared" si="2823"/>
        <v/>
      </c>
      <c r="AF3733" s="713" t="str">
        <f t="shared" si="2824"/>
        <v/>
      </c>
      <c r="AG3733" s="713"/>
      <c r="AH3733" s="713"/>
      <c r="AI3733" s="112">
        <f>IF(H3733="credit",0,IF(AE3733="free",0,IF(AE3733="me",0,IF(G3733&gt;0,(VLOOKUP(A3733,'Discount Lookup'!J:K,2)*G3733),0))))</f>
        <v>0</v>
      </c>
      <c r="AJ3733" s="107" t="str">
        <f t="shared" ca="1" si="2825"/>
        <v/>
      </c>
      <c r="AK3733" s="714" t="str">
        <f t="shared" si="2826"/>
        <v/>
      </c>
      <c r="AL3733" s="714"/>
      <c r="AM3733" s="114" t="str">
        <f t="shared" si="2827"/>
        <v/>
      </c>
      <c r="AN3733" s="115"/>
      <c r="AO3733" s="116"/>
      <c r="AP3733" s="116"/>
      <c r="AQ3733" s="116"/>
      <c r="AR3733" s="116"/>
      <c r="AS3733" s="116"/>
      <c r="AT3733" s="116"/>
      <c r="AU3733" s="116"/>
      <c r="AV3733" s="78"/>
      <c r="AW3733" s="102"/>
      <c r="AX3733" s="78"/>
      <c r="AY3733" s="78"/>
      <c r="AZ3733" s="78"/>
      <c r="BA3733" s="78"/>
      <c r="BB3733" s="78"/>
      <c r="BC3733" s="78"/>
      <c r="BD3733" s="78"/>
      <c r="BE3733" s="465"/>
      <c r="BF3733" s="165" t="str">
        <f t="shared" si="2828"/>
        <v>https://www.google.com/search?tbm=isch&amp;q=3%20G1</v>
      </c>
      <c r="BG3733" s="165" t="str">
        <f t="shared" si="2829"/>
        <v>R</v>
      </c>
      <c r="BH3733" s="65"/>
      <c r="BI3733" s="65"/>
      <c r="BJ3733" s="65"/>
      <c r="BK3733" s="65"/>
      <c r="BL3733" s="99"/>
      <c r="BM3733" s="99"/>
      <c r="BN3733" s="99"/>
    </row>
    <row r="3734" spans="1:66" s="51" customFormat="1" ht="17.25" thickBot="1" x14ac:dyDescent="0.3">
      <c r="A3734" s="641" t="s">
        <v>4796</v>
      </c>
      <c r="B3734" s="642"/>
      <c r="C3734" s="710"/>
      <c r="D3734" s="643"/>
      <c r="E3734" s="643"/>
      <c r="F3734" s="644"/>
      <c r="G3734" s="645"/>
      <c r="H3734" s="646"/>
      <c r="I3734" s="647"/>
      <c r="J3734" s="648"/>
      <c r="K3734" s="649"/>
      <c r="L3734" s="650"/>
      <c r="M3734" s="650"/>
      <c r="N3734" s="644"/>
      <c r="O3734" s="644"/>
      <c r="P3734" s="644"/>
      <c r="Q3734" s="644"/>
      <c r="R3734" s="644"/>
      <c r="S3734" s="701" t="s">
        <v>5271</v>
      </c>
      <c r="T3734" s="102">
        <f t="shared" si="2817"/>
        <v>0</v>
      </c>
      <c r="U3734" s="78" t="str">
        <f>IF(NOT(ISNUMBER(G3734)), "", VLOOKUP(A3734,'Discount Lookup'!D:E,2,FALSE)*G3734)</f>
        <v/>
      </c>
      <c r="V3734" s="78" t="str">
        <f>IF(NOT(ISNUMBER(G3734)), "", VLOOKUP(A3734,'Discount Lookup'!G:H,2,FALSE)*G3734)</f>
        <v/>
      </c>
      <c r="W3734" s="102">
        <f t="shared" si="2818"/>
        <v>0</v>
      </c>
      <c r="X3734" s="102">
        <f t="shared" si="2819"/>
        <v>0</v>
      </c>
      <c r="Y3734" s="120" t="b">
        <f t="shared" si="2820"/>
        <v>0</v>
      </c>
      <c r="Z3734" s="117">
        <f t="shared" si="2821"/>
        <v>0</v>
      </c>
      <c r="AA3734" s="118"/>
      <c r="AB3734" s="118" t="str">
        <f t="shared" si="2822"/>
        <v/>
      </c>
      <c r="AC3734" s="712" t="str">
        <f>IF(AE3734="T2G","no charge",IF(AND(OR(PlanterYesMe="No",PlanterYesMe="N",PlanterYesMe="me"),H3734=""),"",IF(H3734="credit","NO install",IF(AND(K3734="",AE3734="me"),"EACH row",IF(AND(K3734="images",AE3734="me"),"EACH row",IF(D3734="","",IF(H3734="credit","",IF(AE3734="free","re-planting",IF(AE3734="me","   not ELP, by",IF(AND(OR(PlanterYesMe="Yes",PlanterYesMe="Y"),G3734&gt;0),(VLOOKUP(A3734,'Discount Lookup'!J:K,2)*G3734*(1-PlanterDiscount)*(1+PlanterDifficultyPercentage)),IF(AE3734="ELP",(VLOOKUP(A3734,'Discount Lookup'!J:K,2)*G3734*(1-PlanterDiscount)*(1+PlanterDifficultyPercentage)),IF(AE3734="free","re-planting",IF(G3734=0,"",IF(PlanterYesMe="",IF(AE3734="me","   not ELP, by",IF(AE3734="",IF(G3734&gt;0,(VLOOKUP(A3734,'Discount Lookup'!J:K,2)*G3734*(1-PlanterDiscount)*(1+PlanterDifficultyPercentage)),""),"")),"   not ELP, by"))))))))))))))</f>
        <v/>
      </c>
      <c r="AD3734" s="712"/>
      <c r="AE3734" s="513" t="str">
        <f t="shared" si="2823"/>
        <v/>
      </c>
      <c r="AF3734" s="713" t="str">
        <f t="shared" si="2824"/>
        <v/>
      </c>
      <c r="AG3734" s="713"/>
      <c r="AH3734" s="713"/>
      <c r="AI3734" s="112">
        <f>IF(H3734="credit",0,IF(AE3734="free",0,IF(AE3734="me",0,IF(G3734&gt;0,(VLOOKUP(A3734,'Discount Lookup'!J:K,2)*G3734),0))))</f>
        <v>0</v>
      </c>
      <c r="AJ3734" s="107" t="str">
        <f t="shared" ca="1" si="2825"/>
        <v/>
      </c>
      <c r="AK3734" s="714" t="str">
        <f t="shared" si="2826"/>
        <v/>
      </c>
      <c r="AL3734" s="714"/>
      <c r="AM3734" s="114" t="str">
        <f t="shared" si="2827"/>
        <v/>
      </c>
      <c r="AN3734" s="115"/>
      <c r="AO3734" s="116"/>
      <c r="AP3734" s="116"/>
      <c r="AQ3734" s="116"/>
      <c r="AR3734" s="116"/>
      <c r="AS3734" s="116"/>
      <c r="AT3734" s="116"/>
      <c r="AU3734" s="116"/>
      <c r="AV3734" s="78"/>
      <c r="AW3734" s="102"/>
      <c r="AX3734" s="78"/>
      <c r="AY3734" s="78"/>
      <c r="AZ3734" s="78"/>
      <c r="BA3734" s="78"/>
      <c r="BB3734" s="78"/>
      <c r="BC3734" s="78"/>
      <c r="BD3734" s="78"/>
      <c r="BE3734" s="465"/>
      <c r="BF3734" s="165" t="str">
        <f t="shared" si="2828"/>
        <v>https://www.google.com/search?tbm=isch&amp;q=Knock%20Out%20bloom%20all%20summer%20and%20don%27t%20need%20deadheading.%20Glossy%20Green%20foliage%20and%20thorns%20%28rabbits%20may%20still%20nibble%29.%20Cut%20back%20annually%20</v>
      </c>
      <c r="BG3734" s="165" t="str">
        <f t="shared" si="2829"/>
        <v>K</v>
      </c>
      <c r="BH3734" s="65"/>
      <c r="BI3734" s="65"/>
      <c r="BJ3734" s="65"/>
      <c r="BK3734" s="65"/>
      <c r="BL3734" s="99"/>
      <c r="BM3734" s="99"/>
      <c r="BN3734" s="99"/>
    </row>
    <row r="3735" spans="1:66" s="51" customFormat="1" ht="18" x14ac:dyDescent="0.25">
      <c r="A3735" s="623" t="s">
        <v>4129</v>
      </c>
      <c r="B3735" s="624"/>
      <c r="C3735" s="709"/>
      <c r="D3735" s="625" t="s">
        <v>5814</v>
      </c>
      <c r="E3735" s="626"/>
      <c r="F3735" s="626"/>
      <c r="G3735" s="626"/>
      <c r="H3735" s="622" t="s">
        <v>1217</v>
      </c>
      <c r="I3735" s="627" t="s">
        <v>1738</v>
      </c>
      <c r="J3735" s="628"/>
      <c r="K3735" s="628"/>
      <c r="L3735" s="629"/>
      <c r="M3735" s="700" t="s">
        <v>5241</v>
      </c>
      <c r="N3735" s="693" t="str">
        <f>IF(AND(ISTEXT($A3735), ISERROR($A3735+0)), HYPERLINK($BF3735, "Images"), "")</f>
        <v>Images</v>
      </c>
      <c r="O3735" s="695" t="s">
        <v>5264</v>
      </c>
      <c r="P3735" s="630"/>
      <c r="Q3735" s="631"/>
      <c r="R3735" s="632"/>
      <c r="S3735" s="633"/>
      <c r="T3735" s="102">
        <f t="shared" si="2817"/>
        <v>0</v>
      </c>
      <c r="U3735" s="78" t="str">
        <f>IF(NOT(ISNUMBER(G3735)), "", VLOOKUP(A3735,'Discount Lookup'!D:E,2,FALSE)*G3735)</f>
        <v/>
      </c>
      <c r="V3735" s="78" t="str">
        <f>IF(NOT(ISNUMBER(G3735)), "", VLOOKUP(A3735,'Discount Lookup'!G:H,2,FALSE)*G3735)</f>
        <v/>
      </c>
      <c r="W3735" s="102">
        <f t="shared" si="2818"/>
        <v>0</v>
      </c>
      <c r="X3735" s="102" t="str">
        <f t="shared" si="2819"/>
        <v>Red bloom</v>
      </c>
      <c r="Y3735" s="120" t="b">
        <f t="shared" si="2820"/>
        <v>0</v>
      </c>
      <c r="Z3735" s="117">
        <f t="shared" si="2821"/>
        <v>0</v>
      </c>
      <c r="AA3735" s="118"/>
      <c r="AB3735" s="118" t="str">
        <f t="shared" si="2822"/>
        <v/>
      </c>
      <c r="AC3735" s="712" t="str">
        <f>IF(AE3735="T2G","no charge",IF(AND(OR(PlanterYesMe="No",PlanterYesMe="N",PlanterYesMe="me"),H3735=""),"",IF(H3735="credit","NO install",IF(AND(K3735="",AE3735="me"),"EACH row",IF(AND(K3735="images",AE3735="me"),"EACH row",IF(D3735="","",IF(H3735="credit","",IF(AE3735="free","re-planting",IF(AE3735="me","   not ELP, by",IF(AND(OR(PlanterYesMe="Yes",PlanterYesMe="Y"),G3735&gt;0),(VLOOKUP(A3735,'Discount Lookup'!J:K,2)*G3735*(1-PlanterDiscount)*(1+PlanterDifficultyPercentage)),IF(AE3735="ELP",(VLOOKUP(A3735,'Discount Lookup'!J:K,2)*G3735*(1-PlanterDiscount)*(1+PlanterDifficultyPercentage)),IF(AE3735="free","re-planting",IF(G3735=0,"",IF(PlanterYesMe="",IF(AE3735="me","   not ELP, by",IF(AE3735="",IF(G3735&gt;0,(VLOOKUP(A3735,'Discount Lookup'!J:K,2)*G3735*(1-PlanterDiscount)*(1+PlanterDifficultyPercentage)),""),"")),"   not ELP, by"))))))))))))))</f>
        <v/>
      </c>
      <c r="AD3735" s="712"/>
      <c r="AE3735" s="513" t="str">
        <f t="shared" si="2823"/>
        <v/>
      </c>
      <c r="AF3735" s="713" t="str">
        <f t="shared" si="2824"/>
        <v/>
      </c>
      <c r="AG3735" s="713"/>
      <c r="AH3735" s="713"/>
      <c r="AI3735" s="112">
        <f>IF(H3735="credit",0,IF(AE3735="free",0,IF(AE3735="me",0,IF(G3735&gt;0,(VLOOKUP(A3735,'Discount Lookup'!J:K,2)*G3735),0))))</f>
        <v>0</v>
      </c>
      <c r="AJ3735" s="107" t="str">
        <f t="shared" ca="1" si="2825"/>
        <v/>
      </c>
      <c r="AK3735" s="714" t="str">
        <f t="shared" si="2826"/>
        <v/>
      </c>
      <c r="AL3735" s="714"/>
      <c r="AM3735" s="114" t="str">
        <f t="shared" si="2827"/>
        <v/>
      </c>
      <c r="AN3735" s="115"/>
      <c r="AO3735" s="116"/>
      <c r="AP3735" s="116"/>
      <c r="AQ3735" s="116"/>
      <c r="AR3735" s="116"/>
      <c r="AS3735" s="116"/>
      <c r="AT3735" s="116"/>
      <c r="AU3735" s="116"/>
      <c r="AV3735" s="78"/>
      <c r="AW3735" s="102"/>
      <c r="AX3735" s="78"/>
      <c r="AY3735" s="78"/>
      <c r="AZ3735" s="78"/>
      <c r="BA3735" s="78"/>
      <c r="BB3735" s="78"/>
      <c r="BC3735" s="78"/>
      <c r="BD3735" s="78"/>
      <c r="BE3735" s="465"/>
      <c r="BF3735" s="165" t="str">
        <f t="shared" si="2828"/>
        <v>https://www.google.com/search?tbm=isch&amp;q=Rosa%20%27Radtko%27%20PP%2316202%20Red%20Double%20Knock%20Out%C2%AE%20Rose</v>
      </c>
      <c r="BG3735" s="165" t="str">
        <f t="shared" si="2829"/>
        <v>R</v>
      </c>
      <c r="BH3735" s="65"/>
      <c r="BI3735" s="65"/>
      <c r="BJ3735" s="65"/>
      <c r="BK3735" s="65"/>
      <c r="BL3735" s="99"/>
      <c r="BM3735" s="99"/>
      <c r="BN3735" s="99"/>
    </row>
    <row r="3736" spans="1:66" s="51" customFormat="1" ht="15.75" x14ac:dyDescent="0.25">
      <c r="A3736" s="634">
        <v>3</v>
      </c>
      <c r="B3736" s="635" t="s">
        <v>291</v>
      </c>
      <c r="C3736" s="636" t="s">
        <v>4110</v>
      </c>
      <c r="D3736" s="637" t="s">
        <v>329</v>
      </c>
      <c r="E3736" s="638">
        <v>30.95</v>
      </c>
      <c r="F3736" s="639" t="s">
        <v>292</v>
      </c>
      <c r="G3736" s="484">
        <v>0</v>
      </c>
      <c r="H3736" s="691" t="str">
        <f>IF(G3736=0,"",IF(F3736="Buy",IF(G3736=1,"plant","plants"),IF(F3736&gt;0.01,"warranty","Error")))</f>
        <v/>
      </c>
      <c r="I3736" s="640">
        <f>IF(H3736="free",0,IF(H3736="credit",((E3736*(F3736))*G3736*-1),IF(F3736="Buy",(E3736*G3736),((E3736*(1-F3736))*G3736))))</f>
        <v>0</v>
      </c>
      <c r="J3736" s="640">
        <f>IF(H3736="warranty",0,(I3736*(_xlfn.SINGLE(SalesTaxPercentage))))</f>
        <v>0</v>
      </c>
      <c r="K3736" s="716">
        <f t="shared" ref="K3736" si="2831">I3736+J3736</f>
        <v>0</v>
      </c>
      <c r="L3736" s="716"/>
      <c r="M3736" s="689" t="str">
        <f ca="1">IF(AND(G3736&gt;0,E3736=0),"WARNING - no PRICE inserted",IF(H3736="free","FREE ~ no charge this plant",IF(H3736="credit",CONCATENATE("-$",ROUND(K3736*(1-_xlfn.SINGLE(T2GDiscount))*-1,2)," CREDIT after discount"),IF(_xlfn.SINGLE(T2GDiscount)=0,"",IF(G3736=0,"",IF(F3736="Buy",CONCATENATE("$",ROUND(K3736*(1-_xlfn.SINGLE(T2GDiscount)),2)," with ",(_xlfn.SINGLE(T2GDiscount)*100),"% discount"),CONCATENATE("$",ROUND(K3736*(1-_xlfn.SINGLE(T2GDiscount)),2)," with ",((_xlfn.SINGLE(T2GDiscount)*100+F3736*100)-(_xlfn.SINGLE(T2GDiscount)*100*F3736)),IF(F3736&gt;0,"% discounts",IF(_xlfn.SINGLE(NoWarrantyDiscount)&gt;0,"% discounts","% discount")))))))))</f>
        <v/>
      </c>
      <c r="N3736" s="690"/>
      <c r="O3736" s="486"/>
      <c r="P3736" s="486"/>
      <c r="Q3736" s="486"/>
      <c r="R3736" s="486"/>
      <c r="S3736" s="486"/>
      <c r="T3736" s="102">
        <f t="shared" si="2817"/>
        <v>0</v>
      </c>
      <c r="U3736" s="78">
        <f>IF(NOT(ISNUMBER(G3736)), "", VLOOKUP(A3736,'Discount Lookup'!D:E,2,FALSE)*G3736)</f>
        <v>0</v>
      </c>
      <c r="V3736" s="78">
        <f>IF(NOT(ISNUMBER(G3736)), "", VLOOKUP(A3736,'Discount Lookup'!G:H,2,FALSE)*G3736)</f>
        <v>0</v>
      </c>
      <c r="W3736" s="102">
        <f t="shared" si="2818"/>
        <v>0</v>
      </c>
      <c r="X3736" s="102">
        <f t="shared" si="2819"/>
        <v>0</v>
      </c>
      <c r="Y3736" s="120" t="b">
        <f t="shared" si="2820"/>
        <v>0</v>
      </c>
      <c r="Z3736" s="117">
        <f t="shared" si="2821"/>
        <v>0</v>
      </c>
      <c r="AA3736" s="118"/>
      <c r="AB3736" s="118" t="str">
        <f t="shared" si="2822"/>
        <v/>
      </c>
      <c r="AC3736" s="712" t="str">
        <f>IF(AE3736="T2G","no charge",IF(AND(OR(PlanterYesMe="No",PlanterYesMe="N",PlanterYesMe="me"),H3736=""),"",IF(H3736="credit","NO install",IF(AND(K3736="",AE3736="me"),"EACH row",IF(AND(K3736="images",AE3736="me"),"EACH row",IF(D3736="","",IF(H3736="credit","",IF(AE3736="free","re-planting",IF(AE3736="me","   not ELP, by",IF(AND(OR(PlanterYesMe="Yes",PlanterYesMe="Y"),G3736&gt;0),(VLOOKUP(A3736,'Discount Lookup'!J:K,2)*G3736*(1-PlanterDiscount)*(1+PlanterDifficultyPercentage)),IF(AE3736="ELP",(VLOOKUP(A3736,'Discount Lookup'!J:K,2)*G3736*(1-PlanterDiscount)*(1+PlanterDifficultyPercentage)),IF(AE3736="free","re-planting",IF(G3736=0,"",IF(PlanterYesMe="",IF(AE3736="me","   not ELP, by",IF(AE3736="",IF(G3736&gt;0,(VLOOKUP(A3736,'Discount Lookup'!J:K,2)*G3736*(1-PlanterDiscount)*(1+PlanterDifficultyPercentage)),""),"")),"   not ELP, by"))))))))))))))</f>
        <v/>
      </c>
      <c r="AD3736" s="712"/>
      <c r="AE3736" s="513" t="str">
        <f t="shared" si="2823"/>
        <v/>
      </c>
      <c r="AF3736" s="713" t="str">
        <f t="shared" si="2824"/>
        <v/>
      </c>
      <c r="AG3736" s="713"/>
      <c r="AH3736" s="713"/>
      <c r="AI3736" s="112">
        <f>IF(H3736="credit",0,IF(AE3736="free",0,IF(AE3736="me",0,IF(G3736&gt;0,(VLOOKUP(A3736,'Discount Lookup'!J:K,2)*G3736),0))))</f>
        <v>0</v>
      </c>
      <c r="AJ3736" s="107" t="str">
        <f t="shared" ca="1" si="2825"/>
        <v/>
      </c>
      <c r="AK3736" s="714" t="str">
        <f t="shared" si="2826"/>
        <v/>
      </c>
      <c r="AL3736" s="714"/>
      <c r="AM3736" s="114" t="str">
        <f t="shared" si="2827"/>
        <v/>
      </c>
      <c r="AN3736" s="115"/>
      <c r="AO3736" s="116"/>
      <c r="AP3736" s="116"/>
      <c r="AQ3736" s="116"/>
      <c r="AR3736" s="116"/>
      <c r="AS3736" s="116"/>
      <c r="AT3736" s="116"/>
      <c r="AU3736" s="116"/>
      <c r="AV3736" s="78"/>
      <c r="AW3736" s="102"/>
      <c r="AX3736" s="78"/>
      <c r="AY3736" s="78"/>
      <c r="AZ3736" s="78"/>
      <c r="BA3736" s="78"/>
      <c r="BB3736" s="78"/>
      <c r="BC3736" s="78"/>
      <c r="BD3736" s="78"/>
      <c r="BE3736" s="465"/>
      <c r="BF3736" s="165" t="str">
        <f t="shared" si="2828"/>
        <v>https://www.google.com/search?tbm=isch&amp;q=3%20G2</v>
      </c>
      <c r="BG3736" s="165" t="str">
        <f t="shared" si="2829"/>
        <v>R</v>
      </c>
      <c r="BH3736" s="65"/>
      <c r="BI3736" s="65"/>
      <c r="BJ3736" s="65"/>
      <c r="BK3736" s="65"/>
      <c r="BL3736" s="99"/>
      <c r="BM3736" s="99"/>
      <c r="BN3736" s="99"/>
    </row>
    <row r="3737" spans="1:66" s="51" customFormat="1" ht="15.75" x14ac:dyDescent="0.25">
      <c r="A3737" s="634">
        <v>3</v>
      </c>
      <c r="B3737" s="635" t="s">
        <v>291</v>
      </c>
      <c r="C3737" s="636" t="s">
        <v>10</v>
      </c>
      <c r="D3737" s="637" t="s">
        <v>310</v>
      </c>
      <c r="E3737" s="638">
        <v>31.95</v>
      </c>
      <c r="F3737" s="639" t="s">
        <v>292</v>
      </c>
      <c r="G3737" s="484">
        <v>0</v>
      </c>
      <c r="H3737" s="691" t="str">
        <f>IF(G3737=0,"",IF(F3737="Buy",IF(G3737=1,"plant","plants"),IF(F3737&gt;0.01,"warranty","Error")))</f>
        <v/>
      </c>
      <c r="I3737" s="640">
        <f>IF(H3737="free",0,IF(H3737="credit",((E3737*(F3737))*G3737*-1),IF(F3737="Buy",(E3737*G3737),((E3737*(1-F3737))*G3737))))</f>
        <v>0</v>
      </c>
      <c r="J3737" s="640">
        <f>IF(H3737="warranty",0,(I3737*(_xlfn.SINGLE(SalesTaxPercentage))))</f>
        <v>0</v>
      </c>
      <c r="K3737" s="716">
        <f t="shared" ref="K3737" si="2832">I3737+J3737</f>
        <v>0</v>
      </c>
      <c r="L3737" s="716"/>
      <c r="M3737" s="689" t="str">
        <f ca="1">IF(AND(G3737&gt;0,E3737=0),"WARNING - no PRICE inserted",IF(H3737="free","FREE ~ no charge this plant",IF(H3737="credit",CONCATENATE("-$",ROUND(K3737*(1-_xlfn.SINGLE(T2GDiscount))*-1,2)," CREDIT after discount"),IF(_xlfn.SINGLE(T2GDiscount)=0,"",IF(G3737=0,"",IF(F3737="Buy",CONCATENATE("$",ROUND(K3737*(1-_xlfn.SINGLE(T2GDiscount)),2)," with ",(_xlfn.SINGLE(T2GDiscount)*100),"% discount"),CONCATENATE("$",ROUND(K3737*(1-_xlfn.SINGLE(T2GDiscount)),2)," with ",((_xlfn.SINGLE(T2GDiscount)*100+F3737*100)-(_xlfn.SINGLE(T2GDiscount)*100*F3737)),IF(F3737&gt;0,"% discounts",IF(_xlfn.SINGLE(NoWarrantyDiscount)&gt;0,"% discounts","% discount")))))))))</f>
        <v/>
      </c>
      <c r="N3737" s="690"/>
      <c r="O3737" s="486"/>
      <c r="P3737" s="486"/>
      <c r="Q3737" s="486"/>
      <c r="R3737" s="486"/>
      <c r="S3737" s="486"/>
      <c r="T3737" s="102">
        <f t="shared" si="2817"/>
        <v>0</v>
      </c>
      <c r="U3737" s="78">
        <f>IF(NOT(ISNUMBER(G3737)), "", VLOOKUP(A3737,'Discount Lookup'!D:E,2,FALSE)*G3737)</f>
        <v>0</v>
      </c>
      <c r="V3737" s="78">
        <f>IF(NOT(ISNUMBER(G3737)), "", VLOOKUP(A3737,'Discount Lookup'!G:H,2,FALSE)*G3737)</f>
        <v>0</v>
      </c>
      <c r="W3737" s="102">
        <f t="shared" si="2818"/>
        <v>0</v>
      </c>
      <c r="X3737" s="102">
        <f t="shared" si="2819"/>
        <v>0</v>
      </c>
      <c r="Y3737" s="120" t="b">
        <f t="shared" si="2820"/>
        <v>0</v>
      </c>
      <c r="Z3737" s="117">
        <f t="shared" si="2821"/>
        <v>0</v>
      </c>
      <c r="AA3737" s="118"/>
      <c r="AB3737" s="118" t="str">
        <f t="shared" si="2822"/>
        <v/>
      </c>
      <c r="AC3737" s="712" t="str">
        <f>IF(AE3737="T2G","no charge",IF(AND(OR(PlanterYesMe="No",PlanterYesMe="N",PlanterYesMe="me"),H3737=""),"",IF(H3737="credit","NO install",IF(AND(K3737="",AE3737="me"),"EACH row",IF(AND(K3737="images",AE3737="me"),"EACH row",IF(D3737="","",IF(H3737="credit","",IF(AE3737="free","re-planting",IF(AE3737="me","   not ELP, by",IF(AND(OR(PlanterYesMe="Yes",PlanterYesMe="Y"),G3737&gt;0),(VLOOKUP(A3737,'Discount Lookup'!J:K,2)*G3737*(1-PlanterDiscount)*(1+PlanterDifficultyPercentage)),IF(AE3737="ELP",(VLOOKUP(A3737,'Discount Lookup'!J:K,2)*G3737*(1-PlanterDiscount)*(1+PlanterDifficultyPercentage)),IF(AE3737="free","re-planting",IF(G3737=0,"",IF(PlanterYesMe="",IF(AE3737="me","   not ELP, by",IF(AE3737="",IF(G3737&gt;0,(VLOOKUP(A3737,'Discount Lookup'!J:K,2)*G3737*(1-PlanterDiscount)*(1+PlanterDifficultyPercentage)),""),"")),"   not ELP, by"))))))))))))))</f>
        <v/>
      </c>
      <c r="AD3737" s="712"/>
      <c r="AE3737" s="513" t="str">
        <f t="shared" si="2823"/>
        <v/>
      </c>
      <c r="AF3737" s="713" t="str">
        <f t="shared" si="2824"/>
        <v/>
      </c>
      <c r="AG3737" s="713"/>
      <c r="AH3737" s="713"/>
      <c r="AI3737" s="112">
        <f>IF(H3737="credit",0,IF(AE3737="free",0,IF(AE3737="me",0,IF(G3737&gt;0,(VLOOKUP(A3737,'Discount Lookup'!J:K,2)*G3737),0))))</f>
        <v>0</v>
      </c>
      <c r="AJ3737" s="107" t="str">
        <f t="shared" ca="1" si="2825"/>
        <v/>
      </c>
      <c r="AK3737" s="714" t="str">
        <f t="shared" si="2826"/>
        <v/>
      </c>
      <c r="AL3737" s="714"/>
      <c r="AM3737" s="114" t="str">
        <f t="shared" si="2827"/>
        <v/>
      </c>
      <c r="AN3737" s="115"/>
      <c r="AO3737" s="116"/>
      <c r="AP3737" s="116"/>
      <c r="AQ3737" s="116"/>
      <c r="AR3737" s="116"/>
      <c r="AS3737" s="116"/>
      <c r="AT3737" s="116"/>
      <c r="AU3737" s="116"/>
      <c r="AV3737" s="78"/>
      <c r="AW3737" s="102"/>
      <c r="AX3737" s="78"/>
      <c r="AY3737" s="78"/>
      <c r="AZ3737" s="78"/>
      <c r="BA3737" s="78"/>
      <c r="BB3737" s="78"/>
      <c r="BC3737" s="78"/>
      <c r="BD3737" s="78"/>
      <c r="BE3737" s="465"/>
      <c r="BF3737" s="165" t="str">
        <f t="shared" si="2828"/>
        <v>https://www.google.com/search?tbm=isch&amp;q=3%20G1</v>
      </c>
      <c r="BG3737" s="165" t="str">
        <f t="shared" si="2829"/>
        <v>R</v>
      </c>
      <c r="BH3737" s="65"/>
      <c r="BI3737" s="65"/>
      <c r="BJ3737" s="65"/>
      <c r="BK3737" s="65"/>
      <c r="BL3737" s="99"/>
      <c r="BM3737" s="99"/>
      <c r="BN3737" s="99"/>
    </row>
    <row r="3738" spans="1:66" s="51" customFormat="1" ht="15.75" x14ac:dyDescent="0.25">
      <c r="A3738" s="634">
        <v>3</v>
      </c>
      <c r="B3738" s="635" t="s">
        <v>291</v>
      </c>
      <c r="C3738" s="636" t="s">
        <v>4130</v>
      </c>
      <c r="D3738" s="637" t="s">
        <v>299</v>
      </c>
      <c r="E3738" s="638">
        <v>35.950000000000003</v>
      </c>
      <c r="F3738" s="639" t="s">
        <v>292</v>
      </c>
      <c r="G3738" s="484">
        <v>0</v>
      </c>
      <c r="H3738" s="691" t="str">
        <f>IF(G3738=0,"",IF(F3738="Buy",IF(G3738=1,"plant","plants"),IF(F3738&gt;0.01,"warranty","Error")))</f>
        <v/>
      </c>
      <c r="I3738" s="640">
        <f>IF(H3738="free",0,IF(H3738="credit",((E3738*(F3738))*G3738*-1),IF(F3738="Buy",(E3738*G3738),((E3738*(1-F3738))*G3738))))</f>
        <v>0</v>
      </c>
      <c r="J3738" s="640">
        <f>IF(H3738="warranty",0,(I3738*(_xlfn.SINGLE(SalesTaxPercentage))))</f>
        <v>0</v>
      </c>
      <c r="K3738" s="716">
        <f t="shared" ref="K3738" si="2833">I3738+J3738</f>
        <v>0</v>
      </c>
      <c r="L3738" s="716"/>
      <c r="M3738" s="689" t="str">
        <f ca="1">IF(AND(G3738&gt;0,E3738=0),"WARNING - no PRICE inserted",IF(H3738="free","FREE ~ no charge this plant",IF(H3738="credit",CONCATENATE("-$",ROUND(K3738*(1-_xlfn.SINGLE(T2GDiscount))*-1,2)," CREDIT after discount"),IF(_xlfn.SINGLE(T2GDiscount)=0,"",IF(G3738=0,"",IF(F3738="Buy",CONCATENATE("$",ROUND(K3738*(1-_xlfn.SINGLE(T2GDiscount)),2)," with ",(_xlfn.SINGLE(T2GDiscount)*100),"% discount"),CONCATENATE("$",ROUND(K3738*(1-_xlfn.SINGLE(T2GDiscount)),2)," with ",((_xlfn.SINGLE(T2GDiscount)*100+F3738*100)-(_xlfn.SINGLE(T2GDiscount)*100*F3738)),IF(F3738&gt;0,"% discounts",IF(_xlfn.SINGLE(NoWarrantyDiscount)&gt;0,"% discounts","% discount")))))))))</f>
        <v/>
      </c>
      <c r="N3738" s="690"/>
      <c r="O3738" s="486"/>
      <c r="P3738" s="486"/>
      <c r="Q3738" s="486"/>
      <c r="R3738" s="486"/>
      <c r="S3738" s="486"/>
      <c r="T3738" s="102">
        <f t="shared" si="2817"/>
        <v>0</v>
      </c>
      <c r="U3738" s="78">
        <f>IF(NOT(ISNUMBER(G3738)), "", VLOOKUP(A3738,'Discount Lookup'!D:E,2,FALSE)*G3738)</f>
        <v>0</v>
      </c>
      <c r="V3738" s="78">
        <f>IF(NOT(ISNUMBER(G3738)), "", VLOOKUP(A3738,'Discount Lookup'!G:H,2,FALSE)*G3738)</f>
        <v>0</v>
      </c>
      <c r="W3738" s="102">
        <f t="shared" si="2818"/>
        <v>0</v>
      </c>
      <c r="X3738" s="102">
        <f t="shared" si="2819"/>
        <v>0</v>
      </c>
      <c r="Y3738" s="120" t="b">
        <f t="shared" si="2820"/>
        <v>0</v>
      </c>
      <c r="Z3738" s="117">
        <f t="shared" si="2821"/>
        <v>0</v>
      </c>
      <c r="AA3738" s="118"/>
      <c r="AB3738" s="118" t="str">
        <f t="shared" si="2822"/>
        <v/>
      </c>
      <c r="AC3738" s="712" t="str">
        <f>IF(AE3738="T2G","no charge",IF(AND(OR(PlanterYesMe="No",PlanterYesMe="N",PlanterYesMe="me"),H3738=""),"",IF(H3738="credit","NO install",IF(AND(K3738="",AE3738="me"),"EACH row",IF(AND(K3738="images",AE3738="me"),"EACH row",IF(D3738="","",IF(H3738="credit","",IF(AE3738="free","re-planting",IF(AE3738="me","   not ELP, by",IF(AND(OR(PlanterYesMe="Yes",PlanterYesMe="Y"),G3738&gt;0),(VLOOKUP(A3738,'Discount Lookup'!J:K,2)*G3738*(1-PlanterDiscount)*(1+PlanterDifficultyPercentage)),IF(AE3738="ELP",(VLOOKUP(A3738,'Discount Lookup'!J:K,2)*G3738*(1-PlanterDiscount)*(1+PlanterDifficultyPercentage)),IF(AE3738="free","re-planting",IF(G3738=0,"",IF(PlanterYesMe="",IF(AE3738="me","   not ELP, by",IF(AE3738="",IF(G3738&gt;0,(VLOOKUP(A3738,'Discount Lookup'!J:K,2)*G3738*(1-PlanterDiscount)*(1+PlanterDifficultyPercentage)),""),"")),"   not ELP, by"))))))))))))))</f>
        <v/>
      </c>
      <c r="AD3738" s="712"/>
      <c r="AE3738" s="513" t="str">
        <f t="shared" si="2823"/>
        <v/>
      </c>
      <c r="AF3738" s="713" t="str">
        <f t="shared" si="2824"/>
        <v/>
      </c>
      <c r="AG3738" s="713"/>
      <c r="AH3738" s="713"/>
      <c r="AI3738" s="112">
        <f>IF(H3738="credit",0,IF(AE3738="free",0,IF(AE3738="me",0,IF(G3738&gt;0,(VLOOKUP(A3738,'Discount Lookup'!J:K,2)*G3738),0))))</f>
        <v>0</v>
      </c>
      <c r="AJ3738" s="107" t="str">
        <f t="shared" ca="1" si="2825"/>
        <v/>
      </c>
      <c r="AK3738" s="714" t="str">
        <f t="shared" si="2826"/>
        <v/>
      </c>
      <c r="AL3738" s="714"/>
      <c r="AM3738" s="114" t="str">
        <f t="shared" si="2827"/>
        <v/>
      </c>
      <c r="AN3738" s="115"/>
      <c r="AO3738" s="116"/>
      <c r="AP3738" s="116"/>
      <c r="AQ3738" s="116"/>
      <c r="AR3738" s="116"/>
      <c r="AS3738" s="116"/>
      <c r="AT3738" s="116"/>
      <c r="AU3738" s="116"/>
      <c r="AV3738" s="78"/>
      <c r="AW3738" s="102"/>
      <c r="AX3738" s="78"/>
      <c r="AY3738" s="78"/>
      <c r="AZ3738" s="78"/>
      <c r="BA3738" s="78"/>
      <c r="BB3738" s="78"/>
      <c r="BC3738" s="78"/>
      <c r="BD3738" s="78"/>
      <c r="BE3738" s="465"/>
      <c r="BF3738" s="165" t="str">
        <f t="shared" si="2828"/>
        <v>https://www.google.com/search?tbm=isch&amp;q=3%20G4</v>
      </c>
      <c r="BG3738" s="165" t="str">
        <f t="shared" si="2829"/>
        <v>R</v>
      </c>
      <c r="BH3738" s="65"/>
      <c r="BI3738" s="65"/>
      <c r="BJ3738" s="65"/>
      <c r="BK3738" s="65"/>
      <c r="BL3738" s="99"/>
      <c r="BM3738" s="99"/>
      <c r="BN3738" s="99"/>
    </row>
    <row r="3739" spans="1:66" s="51" customFormat="1" ht="15.75" x14ac:dyDescent="0.25">
      <c r="A3739" s="634">
        <v>3</v>
      </c>
      <c r="B3739" s="635" t="s">
        <v>291</v>
      </c>
      <c r="C3739" s="636" t="s">
        <v>4131</v>
      </c>
      <c r="D3739" s="637" t="s">
        <v>311</v>
      </c>
      <c r="E3739" s="638">
        <v>36.950000000000003</v>
      </c>
      <c r="F3739" s="639" t="s">
        <v>292</v>
      </c>
      <c r="G3739" s="484">
        <v>0</v>
      </c>
      <c r="H3739" s="691" t="str">
        <f>IF(G3739=0,"",IF(F3739="Buy",IF(G3739=1,"plant","plants"),IF(F3739&gt;0.01,"warranty","Error")))</f>
        <v/>
      </c>
      <c r="I3739" s="640">
        <f>IF(H3739="free",0,IF(H3739="credit",((E3739*(F3739))*G3739*-1),IF(F3739="Buy",(E3739*G3739),((E3739*(1-F3739))*G3739))))</f>
        <v>0</v>
      </c>
      <c r="J3739" s="640">
        <f>IF(H3739="warranty",0,(I3739*(_xlfn.SINGLE(SalesTaxPercentage))))</f>
        <v>0</v>
      </c>
      <c r="K3739" s="716">
        <f t="shared" ref="K3739" si="2834">I3739+J3739</f>
        <v>0</v>
      </c>
      <c r="L3739" s="716"/>
      <c r="M3739" s="689" t="str">
        <f ca="1">IF(AND(G3739&gt;0,E3739=0),"WARNING - no PRICE inserted",IF(H3739="free","FREE ~ no charge this plant",IF(H3739="credit",CONCATENATE("-$",ROUND(K3739*(1-_xlfn.SINGLE(T2GDiscount))*-1,2)," CREDIT after discount"),IF(_xlfn.SINGLE(T2GDiscount)=0,"",IF(G3739=0,"",IF(F3739="Buy",CONCATENATE("$",ROUND(K3739*(1-_xlfn.SINGLE(T2GDiscount)),2)," with ",(_xlfn.SINGLE(T2GDiscount)*100),"% discount"),CONCATENATE("$",ROUND(K3739*(1-_xlfn.SINGLE(T2GDiscount)),2)," with ",((_xlfn.SINGLE(T2GDiscount)*100+F3739*100)-(_xlfn.SINGLE(T2GDiscount)*100*F3739)),IF(F3739&gt;0,"% discounts",IF(_xlfn.SINGLE(NoWarrantyDiscount)&gt;0,"% discounts","% discount")))))))))</f>
        <v/>
      </c>
      <c r="N3739" s="690"/>
      <c r="O3739" s="486"/>
      <c r="P3739" s="486"/>
      <c r="Q3739" s="486"/>
      <c r="R3739" s="486"/>
      <c r="S3739" s="486"/>
      <c r="T3739" s="102">
        <f t="shared" si="2817"/>
        <v>0</v>
      </c>
      <c r="U3739" s="78">
        <f>IF(NOT(ISNUMBER(G3739)), "", VLOOKUP(A3739,'Discount Lookup'!D:E,2,FALSE)*G3739)</f>
        <v>0</v>
      </c>
      <c r="V3739" s="78">
        <f>IF(NOT(ISNUMBER(G3739)), "", VLOOKUP(A3739,'Discount Lookup'!G:H,2,FALSE)*G3739)</f>
        <v>0</v>
      </c>
      <c r="W3739" s="102">
        <f t="shared" si="2818"/>
        <v>0</v>
      </c>
      <c r="X3739" s="102">
        <f t="shared" si="2819"/>
        <v>0</v>
      </c>
      <c r="Y3739" s="120" t="b">
        <f t="shared" si="2820"/>
        <v>0</v>
      </c>
      <c r="Z3739" s="117">
        <f t="shared" si="2821"/>
        <v>0</v>
      </c>
      <c r="AA3739" s="118"/>
      <c r="AB3739" s="118" t="str">
        <f t="shared" si="2822"/>
        <v/>
      </c>
      <c r="AC3739" s="712" t="str">
        <f>IF(AE3739="T2G","no charge",IF(AND(OR(PlanterYesMe="No",PlanterYesMe="N",PlanterYesMe="me"),H3739=""),"",IF(H3739="credit","NO install",IF(AND(K3739="",AE3739="me"),"EACH row",IF(AND(K3739="images",AE3739="me"),"EACH row",IF(D3739="","",IF(H3739="credit","",IF(AE3739="free","re-planting",IF(AE3739="me","   not ELP, by",IF(AND(OR(PlanterYesMe="Yes",PlanterYesMe="Y"),G3739&gt;0),(VLOOKUP(A3739,'Discount Lookup'!J:K,2)*G3739*(1-PlanterDiscount)*(1+PlanterDifficultyPercentage)),IF(AE3739="ELP",(VLOOKUP(A3739,'Discount Lookup'!J:K,2)*G3739*(1-PlanterDiscount)*(1+PlanterDifficultyPercentage)),IF(AE3739="free","re-planting",IF(G3739=0,"",IF(PlanterYesMe="",IF(AE3739="me","   not ELP, by",IF(AE3739="",IF(G3739&gt;0,(VLOOKUP(A3739,'Discount Lookup'!J:K,2)*G3739*(1-PlanterDiscount)*(1+PlanterDifficultyPercentage)),""),"")),"   not ELP, by"))))))))))))))</f>
        <v/>
      </c>
      <c r="AD3739" s="712"/>
      <c r="AE3739" s="513" t="str">
        <f t="shared" si="2823"/>
        <v/>
      </c>
      <c r="AF3739" s="713" t="str">
        <f t="shared" si="2824"/>
        <v/>
      </c>
      <c r="AG3739" s="713"/>
      <c r="AH3739" s="713"/>
      <c r="AI3739" s="112">
        <f>IF(H3739="credit",0,IF(AE3739="free",0,IF(AE3739="me",0,IF(G3739&gt;0,(VLOOKUP(A3739,'Discount Lookup'!J:K,2)*G3739),0))))</f>
        <v>0</v>
      </c>
      <c r="AJ3739" s="107" t="str">
        <f t="shared" ca="1" si="2825"/>
        <v/>
      </c>
      <c r="AK3739" s="714" t="str">
        <f t="shared" si="2826"/>
        <v/>
      </c>
      <c r="AL3739" s="714"/>
      <c r="AM3739" s="114" t="str">
        <f t="shared" si="2827"/>
        <v/>
      </c>
      <c r="AN3739" s="115"/>
      <c r="AO3739" s="116"/>
      <c r="AP3739" s="116"/>
      <c r="AQ3739" s="116"/>
      <c r="AR3739" s="116"/>
      <c r="AS3739" s="116"/>
      <c r="AT3739" s="116"/>
      <c r="AU3739" s="116"/>
      <c r="AV3739" s="78"/>
      <c r="AW3739" s="102"/>
      <c r="AX3739" s="78"/>
      <c r="AY3739" s="78"/>
      <c r="AZ3739" s="78"/>
      <c r="BA3739" s="78"/>
      <c r="BB3739" s="78"/>
      <c r="BC3739" s="78"/>
      <c r="BD3739" s="78"/>
      <c r="BE3739" s="465"/>
      <c r="BF3739" s="165" t="str">
        <f t="shared" si="2828"/>
        <v>https://www.google.com/search?tbm=isch&amp;q=3%20G5</v>
      </c>
      <c r="BG3739" s="165" t="str">
        <f t="shared" si="2829"/>
        <v>R</v>
      </c>
      <c r="BH3739" s="65"/>
      <c r="BI3739" s="65"/>
      <c r="BJ3739" s="65"/>
      <c r="BK3739" s="65"/>
      <c r="BL3739" s="99"/>
      <c r="BM3739" s="99"/>
      <c r="BN3739" s="99"/>
    </row>
    <row r="3740" spans="1:66" s="51" customFormat="1" ht="17.25" thickBot="1" x14ac:dyDescent="0.3">
      <c r="A3740" s="641" t="s">
        <v>4796</v>
      </c>
      <c r="B3740" s="642"/>
      <c r="C3740" s="710"/>
      <c r="D3740" s="643"/>
      <c r="E3740" s="643"/>
      <c r="F3740" s="644"/>
      <c r="G3740" s="645"/>
      <c r="H3740" s="646"/>
      <c r="I3740" s="647"/>
      <c r="J3740" s="648"/>
      <c r="K3740" s="649"/>
      <c r="L3740" s="650"/>
      <c r="M3740" s="650"/>
      <c r="N3740" s="644"/>
      <c r="O3740" s="644"/>
      <c r="P3740" s="644"/>
      <c r="Q3740" s="644"/>
      <c r="R3740" s="644"/>
      <c r="S3740" s="701" t="s">
        <v>5271</v>
      </c>
      <c r="T3740" s="102">
        <f t="shared" si="2817"/>
        <v>0</v>
      </c>
      <c r="U3740" s="78" t="str">
        <f>IF(NOT(ISNUMBER(G3740)), "", VLOOKUP(A3740,'Discount Lookup'!D:E,2,FALSE)*G3740)</f>
        <v/>
      </c>
      <c r="V3740" s="78" t="str">
        <f>IF(NOT(ISNUMBER(G3740)), "", VLOOKUP(A3740,'Discount Lookup'!G:H,2,FALSE)*G3740)</f>
        <v/>
      </c>
      <c r="W3740" s="102">
        <f t="shared" si="2818"/>
        <v>0</v>
      </c>
      <c r="X3740" s="102">
        <f t="shared" si="2819"/>
        <v>0</v>
      </c>
      <c r="Y3740" s="120" t="b">
        <f t="shared" si="2820"/>
        <v>0</v>
      </c>
      <c r="Z3740" s="117">
        <f t="shared" si="2821"/>
        <v>0</v>
      </c>
      <c r="AA3740" s="118"/>
      <c r="AB3740" s="118" t="str">
        <f t="shared" si="2822"/>
        <v/>
      </c>
      <c r="AC3740" s="712" t="str">
        <f>IF(AE3740="T2G","no charge",IF(AND(OR(PlanterYesMe="No",PlanterYesMe="N",PlanterYesMe="me"),H3740=""),"",IF(H3740="credit","NO install",IF(AND(K3740="",AE3740="me"),"EACH row",IF(AND(K3740="images",AE3740="me"),"EACH row",IF(D3740="","",IF(H3740="credit","",IF(AE3740="free","re-planting",IF(AE3740="me","   not ELP, by",IF(AND(OR(PlanterYesMe="Yes",PlanterYesMe="Y"),G3740&gt;0),(VLOOKUP(A3740,'Discount Lookup'!J:K,2)*G3740*(1-PlanterDiscount)*(1+PlanterDifficultyPercentage)),IF(AE3740="ELP",(VLOOKUP(A3740,'Discount Lookup'!J:K,2)*G3740*(1-PlanterDiscount)*(1+PlanterDifficultyPercentage)),IF(AE3740="free","re-planting",IF(G3740=0,"",IF(PlanterYesMe="",IF(AE3740="me","   not ELP, by",IF(AE3740="",IF(G3740&gt;0,(VLOOKUP(A3740,'Discount Lookup'!J:K,2)*G3740*(1-PlanterDiscount)*(1+PlanterDifficultyPercentage)),""),"")),"   not ELP, by"))))))))))))))</f>
        <v/>
      </c>
      <c r="AD3740" s="712"/>
      <c r="AE3740" s="513" t="str">
        <f t="shared" si="2823"/>
        <v/>
      </c>
      <c r="AF3740" s="713" t="str">
        <f t="shared" si="2824"/>
        <v/>
      </c>
      <c r="AG3740" s="713"/>
      <c r="AH3740" s="713"/>
      <c r="AI3740" s="112">
        <f>IF(H3740="credit",0,IF(AE3740="free",0,IF(AE3740="me",0,IF(G3740&gt;0,(VLOOKUP(A3740,'Discount Lookup'!J:K,2)*G3740),0))))</f>
        <v>0</v>
      </c>
      <c r="AJ3740" s="107" t="str">
        <f t="shared" ca="1" si="2825"/>
        <v/>
      </c>
      <c r="AK3740" s="714" t="str">
        <f t="shared" si="2826"/>
        <v/>
      </c>
      <c r="AL3740" s="714"/>
      <c r="AM3740" s="114" t="str">
        <f t="shared" si="2827"/>
        <v/>
      </c>
      <c r="AN3740" s="115"/>
      <c r="AO3740" s="116"/>
      <c r="AP3740" s="116"/>
      <c r="AQ3740" s="116"/>
      <c r="AR3740" s="116"/>
      <c r="AS3740" s="116"/>
      <c r="AT3740" s="116"/>
      <c r="AU3740" s="116"/>
      <c r="AV3740" s="78"/>
      <c r="AW3740" s="102"/>
      <c r="AX3740" s="78"/>
      <c r="AY3740" s="78"/>
      <c r="AZ3740" s="78"/>
      <c r="BA3740" s="78"/>
      <c r="BB3740" s="78"/>
      <c r="BC3740" s="78"/>
      <c r="BD3740" s="78"/>
      <c r="BE3740" s="465"/>
      <c r="BF3740" s="165" t="str">
        <f t="shared" si="2828"/>
        <v>https://www.google.com/search?tbm=isch&amp;q=Knock%20Out%20bloom%20all%20summer%20and%20don%27t%20need%20deadheading.%20Glossy%20Green%20foliage%20and%20thorns%20%28rabbits%20may%20still%20nibble%29.%20Cut%20back%20annually%20</v>
      </c>
      <c r="BG3740" s="165" t="str">
        <f t="shared" si="2829"/>
        <v>K</v>
      </c>
      <c r="BH3740" s="65"/>
      <c r="BI3740" s="65"/>
      <c r="BJ3740" s="65"/>
      <c r="BK3740" s="65"/>
      <c r="BL3740" s="99"/>
      <c r="BM3740" s="99"/>
      <c r="BN3740" s="99"/>
    </row>
    <row r="3741" spans="1:66" s="51" customFormat="1" ht="18" x14ac:dyDescent="0.25">
      <c r="A3741" s="623" t="s">
        <v>4132</v>
      </c>
      <c r="B3741" s="624"/>
      <c r="C3741" s="709"/>
      <c r="D3741" s="625" t="s">
        <v>5815</v>
      </c>
      <c r="E3741" s="626"/>
      <c r="F3741" s="626"/>
      <c r="G3741" s="626"/>
      <c r="H3741" s="622" t="s">
        <v>1217</v>
      </c>
      <c r="I3741" s="627" t="s">
        <v>1458</v>
      </c>
      <c r="J3741" s="628"/>
      <c r="K3741" s="628"/>
      <c r="L3741" s="629"/>
      <c r="M3741" s="700" t="s">
        <v>5241</v>
      </c>
      <c r="N3741" s="693" t="str">
        <f>IF(AND(ISTEXT($A3741), ISERROR($A3741+0)), HYPERLINK($BF3741, "Images"), "")</f>
        <v>Images</v>
      </c>
      <c r="O3741" s="695" t="s">
        <v>5264</v>
      </c>
      <c r="P3741" s="630"/>
      <c r="Q3741" s="631"/>
      <c r="R3741" s="632"/>
      <c r="S3741" s="633"/>
      <c r="T3741" s="102">
        <f t="shared" si="2817"/>
        <v>0</v>
      </c>
      <c r="U3741" s="78" t="str">
        <f>IF(NOT(ISNUMBER(G3741)), "", VLOOKUP(A3741,'Discount Lookup'!D:E,2,FALSE)*G3741)</f>
        <v/>
      </c>
      <c r="V3741" s="78" t="str">
        <f>IF(NOT(ISNUMBER(G3741)), "", VLOOKUP(A3741,'Discount Lookup'!G:H,2,FALSE)*G3741)</f>
        <v/>
      </c>
      <c r="W3741" s="102">
        <f t="shared" si="2818"/>
        <v>0</v>
      </c>
      <c r="X3741" s="102" t="str">
        <f t="shared" si="2819"/>
        <v>Pink bloom</v>
      </c>
      <c r="Y3741" s="120" t="b">
        <f t="shared" si="2820"/>
        <v>0</v>
      </c>
      <c r="Z3741" s="117">
        <f t="shared" si="2821"/>
        <v>0</v>
      </c>
      <c r="AA3741" s="118"/>
      <c r="AB3741" s="118" t="str">
        <f t="shared" si="2822"/>
        <v/>
      </c>
      <c r="AC3741" s="712" t="str">
        <f>IF(AE3741="T2G","no charge",IF(AND(OR(PlanterYesMe="No",PlanterYesMe="N",PlanterYesMe="me"),H3741=""),"",IF(H3741="credit","NO install",IF(AND(K3741="",AE3741="me"),"EACH row",IF(AND(K3741="images",AE3741="me"),"EACH row",IF(D3741="","",IF(H3741="credit","",IF(AE3741="free","re-planting",IF(AE3741="me","   not ELP, by",IF(AND(OR(PlanterYesMe="Yes",PlanterYesMe="Y"),G3741&gt;0),(VLOOKUP(A3741,'Discount Lookup'!J:K,2)*G3741*(1-PlanterDiscount)*(1+PlanterDifficultyPercentage)),IF(AE3741="ELP",(VLOOKUP(A3741,'Discount Lookup'!J:K,2)*G3741*(1-PlanterDiscount)*(1+PlanterDifficultyPercentage)),IF(AE3741="free","re-planting",IF(G3741=0,"",IF(PlanterYesMe="",IF(AE3741="me","   not ELP, by",IF(AE3741="",IF(G3741&gt;0,(VLOOKUP(A3741,'Discount Lookup'!J:K,2)*G3741*(1-PlanterDiscount)*(1+PlanterDifficultyPercentage)),""),"")),"   not ELP, by"))))))))))))))</f>
        <v/>
      </c>
      <c r="AD3741" s="712"/>
      <c r="AE3741" s="513" t="str">
        <f t="shared" si="2823"/>
        <v/>
      </c>
      <c r="AF3741" s="713" t="str">
        <f t="shared" si="2824"/>
        <v/>
      </c>
      <c r="AG3741" s="713"/>
      <c r="AH3741" s="713"/>
      <c r="AI3741" s="112">
        <f>IF(H3741="credit",0,IF(AE3741="free",0,IF(AE3741="me",0,IF(G3741&gt;0,(VLOOKUP(A3741,'Discount Lookup'!J:K,2)*G3741),0))))</f>
        <v>0</v>
      </c>
      <c r="AJ3741" s="107" t="str">
        <f t="shared" ca="1" si="2825"/>
        <v/>
      </c>
      <c r="AK3741" s="714" t="str">
        <f t="shared" si="2826"/>
        <v/>
      </c>
      <c r="AL3741" s="714"/>
      <c r="AM3741" s="114" t="str">
        <f t="shared" si="2827"/>
        <v/>
      </c>
      <c r="AN3741" s="115"/>
      <c r="AO3741" s="116"/>
      <c r="AP3741" s="116"/>
      <c r="AQ3741" s="116"/>
      <c r="AR3741" s="116"/>
      <c r="AS3741" s="116"/>
      <c r="AT3741" s="116"/>
      <c r="AU3741" s="116"/>
      <c r="AV3741" s="78"/>
      <c r="AW3741" s="102"/>
      <c r="AX3741" s="78"/>
      <c r="AY3741" s="78"/>
      <c r="AZ3741" s="78"/>
      <c r="BA3741" s="78"/>
      <c r="BB3741" s="78"/>
      <c r="BC3741" s="78"/>
      <c r="BD3741" s="78"/>
      <c r="BE3741" s="465"/>
      <c r="BF3741" s="165" t="str">
        <f t="shared" si="2828"/>
        <v>https://www.google.com/search?tbm=isch&amp;q=Rosa%20%27Radtkopink%27%20PP%2318507%20Pink%20Double%20Knock%20Out%C2%AE%20Rose</v>
      </c>
      <c r="BG3741" s="165" t="str">
        <f t="shared" si="2829"/>
        <v>R</v>
      </c>
      <c r="BH3741" s="65"/>
      <c r="BI3741" s="65"/>
      <c r="BJ3741" s="65"/>
      <c r="BK3741" s="65"/>
      <c r="BL3741" s="99"/>
      <c r="BM3741" s="99"/>
      <c r="BN3741" s="99"/>
    </row>
    <row r="3742" spans="1:66" s="51" customFormat="1" ht="15.75" x14ac:dyDescent="0.25">
      <c r="A3742" s="634">
        <v>3</v>
      </c>
      <c r="B3742" s="635" t="s">
        <v>291</v>
      </c>
      <c r="C3742" s="636" t="s">
        <v>4110</v>
      </c>
      <c r="D3742" s="637" t="s">
        <v>329</v>
      </c>
      <c r="E3742" s="638">
        <v>30.95</v>
      </c>
      <c r="F3742" s="639" t="s">
        <v>292</v>
      </c>
      <c r="G3742" s="484">
        <v>0</v>
      </c>
      <c r="H3742" s="691" t="str">
        <f>IF(G3742=0,"",IF(F3742="Buy",IF(G3742=1,"plant","plants"),IF(F3742&gt;0.01,"warranty","Error")))</f>
        <v/>
      </c>
      <c r="I3742" s="640">
        <f>IF(H3742="free",0,IF(H3742="credit",((E3742*(F3742))*G3742*-1),IF(F3742="Buy",(E3742*G3742),((E3742*(1-F3742))*G3742))))</f>
        <v>0</v>
      </c>
      <c r="J3742" s="640">
        <f>IF(H3742="warranty",0,(I3742*(_xlfn.SINGLE(SalesTaxPercentage))))</f>
        <v>0</v>
      </c>
      <c r="K3742" s="716">
        <f t="shared" ref="K3742" si="2835">I3742+J3742</f>
        <v>0</v>
      </c>
      <c r="L3742" s="716"/>
      <c r="M3742" s="689" t="str">
        <f ca="1">IF(AND(G3742&gt;0,E3742=0),"WARNING - no PRICE inserted",IF(H3742="free","FREE ~ no charge this plant",IF(H3742="credit",CONCATENATE("-$",ROUND(K3742*(1-_xlfn.SINGLE(T2GDiscount))*-1,2)," CREDIT after discount"),IF(_xlfn.SINGLE(T2GDiscount)=0,"",IF(G3742=0,"",IF(F3742="Buy",CONCATENATE("$",ROUND(K3742*(1-_xlfn.SINGLE(T2GDiscount)),2)," with ",(_xlfn.SINGLE(T2GDiscount)*100),"% discount"),CONCATENATE("$",ROUND(K3742*(1-_xlfn.SINGLE(T2GDiscount)),2)," with ",((_xlfn.SINGLE(T2GDiscount)*100+F3742*100)-(_xlfn.SINGLE(T2GDiscount)*100*F3742)),IF(F3742&gt;0,"% discounts",IF(_xlfn.SINGLE(NoWarrantyDiscount)&gt;0,"% discounts","% discount")))))))))</f>
        <v/>
      </c>
      <c r="N3742" s="690"/>
      <c r="O3742" s="486"/>
      <c r="P3742" s="486"/>
      <c r="Q3742" s="486"/>
      <c r="R3742" s="486"/>
      <c r="S3742" s="486"/>
      <c r="T3742" s="102">
        <f t="shared" si="2817"/>
        <v>0</v>
      </c>
      <c r="U3742" s="78">
        <f>IF(NOT(ISNUMBER(G3742)), "", VLOOKUP(A3742,'Discount Lookup'!D:E,2,FALSE)*G3742)</f>
        <v>0</v>
      </c>
      <c r="V3742" s="78">
        <f>IF(NOT(ISNUMBER(G3742)), "", VLOOKUP(A3742,'Discount Lookup'!G:H,2,FALSE)*G3742)</f>
        <v>0</v>
      </c>
      <c r="W3742" s="102">
        <f t="shared" si="2818"/>
        <v>0</v>
      </c>
      <c r="X3742" s="102">
        <f t="shared" si="2819"/>
        <v>0</v>
      </c>
      <c r="Y3742" s="120" t="b">
        <f t="shared" si="2820"/>
        <v>0</v>
      </c>
      <c r="Z3742" s="117">
        <f t="shared" si="2821"/>
        <v>0</v>
      </c>
      <c r="AA3742" s="118"/>
      <c r="AB3742" s="118" t="str">
        <f t="shared" si="2822"/>
        <v/>
      </c>
      <c r="AC3742" s="712" t="str">
        <f>IF(AE3742="T2G","no charge",IF(AND(OR(PlanterYesMe="No",PlanterYesMe="N",PlanterYesMe="me"),H3742=""),"",IF(H3742="credit","NO install",IF(AND(K3742="",AE3742="me"),"EACH row",IF(AND(K3742="images",AE3742="me"),"EACH row",IF(D3742="","",IF(H3742="credit","",IF(AE3742="free","re-planting",IF(AE3742="me","   not ELP, by",IF(AND(OR(PlanterYesMe="Yes",PlanterYesMe="Y"),G3742&gt;0),(VLOOKUP(A3742,'Discount Lookup'!J:K,2)*G3742*(1-PlanterDiscount)*(1+PlanterDifficultyPercentage)),IF(AE3742="ELP",(VLOOKUP(A3742,'Discount Lookup'!J:K,2)*G3742*(1-PlanterDiscount)*(1+PlanterDifficultyPercentage)),IF(AE3742="free","re-planting",IF(G3742=0,"",IF(PlanterYesMe="",IF(AE3742="me","   not ELP, by",IF(AE3742="",IF(G3742&gt;0,(VLOOKUP(A3742,'Discount Lookup'!J:K,2)*G3742*(1-PlanterDiscount)*(1+PlanterDifficultyPercentage)),""),"")),"   not ELP, by"))))))))))))))</f>
        <v/>
      </c>
      <c r="AD3742" s="712"/>
      <c r="AE3742" s="513" t="str">
        <f t="shared" si="2823"/>
        <v/>
      </c>
      <c r="AF3742" s="713" t="str">
        <f t="shared" si="2824"/>
        <v/>
      </c>
      <c r="AG3742" s="713"/>
      <c r="AH3742" s="713"/>
      <c r="AI3742" s="112">
        <f>IF(H3742="credit",0,IF(AE3742="free",0,IF(AE3742="me",0,IF(G3742&gt;0,(VLOOKUP(A3742,'Discount Lookup'!J:K,2)*G3742),0))))</f>
        <v>0</v>
      </c>
      <c r="AJ3742" s="107" t="str">
        <f t="shared" ca="1" si="2825"/>
        <v/>
      </c>
      <c r="AK3742" s="714" t="str">
        <f t="shared" si="2826"/>
        <v/>
      </c>
      <c r="AL3742" s="714"/>
      <c r="AM3742" s="114" t="str">
        <f t="shared" si="2827"/>
        <v/>
      </c>
      <c r="AN3742" s="115"/>
      <c r="AO3742" s="116"/>
      <c r="AP3742" s="116"/>
      <c r="AQ3742" s="116"/>
      <c r="AR3742" s="116"/>
      <c r="AS3742" s="116"/>
      <c r="AT3742" s="116"/>
      <c r="AU3742" s="116"/>
      <c r="AV3742" s="78"/>
      <c r="AW3742" s="102"/>
      <c r="AX3742" s="78"/>
      <c r="AY3742" s="78"/>
      <c r="AZ3742" s="78"/>
      <c r="BA3742" s="78"/>
      <c r="BB3742" s="78"/>
      <c r="BC3742" s="78"/>
      <c r="BD3742" s="78"/>
      <c r="BE3742" s="465"/>
      <c r="BF3742" s="165" t="str">
        <f t="shared" si="2828"/>
        <v>https://www.google.com/search?tbm=isch&amp;q=3%20G2</v>
      </c>
      <c r="BG3742" s="165" t="str">
        <f t="shared" si="2829"/>
        <v>R</v>
      </c>
      <c r="BH3742" s="65"/>
      <c r="BI3742" s="65"/>
      <c r="BJ3742" s="65"/>
      <c r="BK3742" s="65"/>
      <c r="BL3742" s="99"/>
      <c r="BM3742" s="99"/>
      <c r="BN3742" s="99"/>
    </row>
    <row r="3743" spans="1:66" s="51" customFormat="1" ht="15.75" x14ac:dyDescent="0.25">
      <c r="A3743" s="634">
        <v>3</v>
      </c>
      <c r="B3743" s="635" t="s">
        <v>291</v>
      </c>
      <c r="C3743" s="636" t="s">
        <v>10</v>
      </c>
      <c r="D3743" s="637" t="s">
        <v>310</v>
      </c>
      <c r="E3743" s="638">
        <v>31.95</v>
      </c>
      <c r="F3743" s="639" t="s">
        <v>292</v>
      </c>
      <c r="G3743" s="484">
        <v>0</v>
      </c>
      <c r="H3743" s="691" t="str">
        <f>IF(G3743=0,"",IF(F3743="Buy",IF(G3743=1,"plant","plants"),IF(F3743&gt;0.01,"warranty","Error")))</f>
        <v/>
      </c>
      <c r="I3743" s="640">
        <f>IF(H3743="free",0,IF(H3743="credit",((E3743*(F3743))*G3743*-1),IF(F3743="Buy",(E3743*G3743),((E3743*(1-F3743))*G3743))))</f>
        <v>0</v>
      </c>
      <c r="J3743" s="640">
        <f>IF(H3743="warranty",0,(I3743*(_xlfn.SINGLE(SalesTaxPercentage))))</f>
        <v>0</v>
      </c>
      <c r="K3743" s="716">
        <f t="shared" ref="K3743" si="2836">I3743+J3743</f>
        <v>0</v>
      </c>
      <c r="L3743" s="716"/>
      <c r="M3743" s="689" t="str">
        <f ca="1">IF(AND(G3743&gt;0,E3743=0),"WARNING - no PRICE inserted",IF(H3743="free","FREE ~ no charge this plant",IF(H3743="credit",CONCATENATE("-$",ROUND(K3743*(1-_xlfn.SINGLE(T2GDiscount))*-1,2)," CREDIT after discount"),IF(_xlfn.SINGLE(T2GDiscount)=0,"",IF(G3743=0,"",IF(F3743="Buy",CONCATENATE("$",ROUND(K3743*(1-_xlfn.SINGLE(T2GDiscount)),2)," with ",(_xlfn.SINGLE(T2GDiscount)*100),"% discount"),CONCATENATE("$",ROUND(K3743*(1-_xlfn.SINGLE(T2GDiscount)),2)," with ",((_xlfn.SINGLE(T2GDiscount)*100+F3743*100)-(_xlfn.SINGLE(T2GDiscount)*100*F3743)),IF(F3743&gt;0,"% discounts",IF(_xlfn.SINGLE(NoWarrantyDiscount)&gt;0,"% discounts","% discount")))))))))</f>
        <v/>
      </c>
      <c r="N3743" s="690"/>
      <c r="O3743" s="486"/>
      <c r="P3743" s="486"/>
      <c r="Q3743" s="486"/>
      <c r="R3743" s="486"/>
      <c r="S3743" s="486"/>
      <c r="T3743" s="102">
        <f t="shared" si="2817"/>
        <v>0</v>
      </c>
      <c r="U3743" s="78">
        <f>IF(NOT(ISNUMBER(G3743)), "", VLOOKUP(A3743,'Discount Lookup'!D:E,2,FALSE)*G3743)</f>
        <v>0</v>
      </c>
      <c r="V3743" s="78">
        <f>IF(NOT(ISNUMBER(G3743)), "", VLOOKUP(A3743,'Discount Lookup'!G:H,2,FALSE)*G3743)</f>
        <v>0</v>
      </c>
      <c r="W3743" s="102">
        <f t="shared" si="2818"/>
        <v>0</v>
      </c>
      <c r="X3743" s="102">
        <f t="shared" si="2819"/>
        <v>0</v>
      </c>
      <c r="Y3743" s="120" t="b">
        <f t="shared" si="2820"/>
        <v>0</v>
      </c>
      <c r="Z3743" s="117">
        <f t="shared" si="2821"/>
        <v>0</v>
      </c>
      <c r="AA3743" s="118"/>
      <c r="AB3743" s="118" t="str">
        <f t="shared" si="2822"/>
        <v/>
      </c>
      <c r="AC3743" s="712" t="str">
        <f>IF(AE3743="T2G","no charge",IF(AND(OR(PlanterYesMe="No",PlanterYesMe="N",PlanterYesMe="me"),H3743=""),"",IF(H3743="credit","NO install",IF(AND(K3743="",AE3743="me"),"EACH row",IF(AND(K3743="images",AE3743="me"),"EACH row",IF(D3743="","",IF(H3743="credit","",IF(AE3743="free","re-planting",IF(AE3743="me","   not ELP, by",IF(AND(OR(PlanterYesMe="Yes",PlanterYesMe="Y"),G3743&gt;0),(VLOOKUP(A3743,'Discount Lookup'!J:K,2)*G3743*(1-PlanterDiscount)*(1+PlanterDifficultyPercentage)),IF(AE3743="ELP",(VLOOKUP(A3743,'Discount Lookup'!J:K,2)*G3743*(1-PlanterDiscount)*(1+PlanterDifficultyPercentage)),IF(AE3743="free","re-planting",IF(G3743=0,"",IF(PlanterYesMe="",IF(AE3743="me","   not ELP, by",IF(AE3743="",IF(G3743&gt;0,(VLOOKUP(A3743,'Discount Lookup'!J:K,2)*G3743*(1-PlanterDiscount)*(1+PlanterDifficultyPercentage)),""),"")),"   not ELP, by"))))))))))))))</f>
        <v/>
      </c>
      <c r="AD3743" s="712"/>
      <c r="AE3743" s="513" t="str">
        <f t="shared" si="2823"/>
        <v/>
      </c>
      <c r="AF3743" s="713" t="str">
        <f t="shared" si="2824"/>
        <v/>
      </c>
      <c r="AG3743" s="713"/>
      <c r="AH3743" s="713"/>
      <c r="AI3743" s="112">
        <f>IF(H3743="credit",0,IF(AE3743="free",0,IF(AE3743="me",0,IF(G3743&gt;0,(VLOOKUP(A3743,'Discount Lookup'!J:K,2)*G3743),0))))</f>
        <v>0</v>
      </c>
      <c r="AJ3743" s="107" t="str">
        <f t="shared" ca="1" si="2825"/>
        <v/>
      </c>
      <c r="AK3743" s="714" t="str">
        <f t="shared" si="2826"/>
        <v/>
      </c>
      <c r="AL3743" s="714"/>
      <c r="AM3743" s="114" t="str">
        <f t="shared" si="2827"/>
        <v/>
      </c>
      <c r="AN3743" s="115"/>
      <c r="AO3743" s="116"/>
      <c r="AP3743" s="116"/>
      <c r="AQ3743" s="116"/>
      <c r="AR3743" s="116"/>
      <c r="AS3743" s="116"/>
      <c r="AT3743" s="116"/>
      <c r="AU3743" s="116"/>
      <c r="AV3743" s="78"/>
      <c r="AW3743" s="102"/>
      <c r="AX3743" s="78"/>
      <c r="AY3743" s="78"/>
      <c r="AZ3743" s="78"/>
      <c r="BA3743" s="78"/>
      <c r="BB3743" s="78"/>
      <c r="BC3743" s="78"/>
      <c r="BD3743" s="78"/>
      <c r="BE3743" s="465"/>
      <c r="BF3743" s="165" t="str">
        <f t="shared" si="2828"/>
        <v>https://www.google.com/search?tbm=isch&amp;q=3%20G1</v>
      </c>
      <c r="BG3743" s="165" t="str">
        <f t="shared" si="2829"/>
        <v>R</v>
      </c>
      <c r="BH3743" s="65"/>
      <c r="BI3743" s="65"/>
      <c r="BJ3743" s="65"/>
      <c r="BK3743" s="65"/>
      <c r="BL3743" s="99"/>
      <c r="BM3743" s="99"/>
      <c r="BN3743" s="99"/>
    </row>
    <row r="3744" spans="1:66" s="51" customFormat="1" ht="17.25" thickBot="1" x14ac:dyDescent="0.3">
      <c r="A3744" s="641" t="s">
        <v>4796</v>
      </c>
      <c r="B3744" s="642"/>
      <c r="C3744" s="710"/>
      <c r="D3744" s="643"/>
      <c r="E3744" s="643"/>
      <c r="F3744" s="644"/>
      <c r="G3744" s="645"/>
      <c r="H3744" s="646"/>
      <c r="I3744" s="647"/>
      <c r="J3744" s="648"/>
      <c r="K3744" s="649"/>
      <c r="L3744" s="650"/>
      <c r="M3744" s="650"/>
      <c r="N3744" s="644"/>
      <c r="O3744" s="644"/>
      <c r="P3744" s="644"/>
      <c r="Q3744" s="644"/>
      <c r="R3744" s="644"/>
      <c r="S3744" s="701" t="s">
        <v>5271</v>
      </c>
      <c r="T3744" s="102">
        <f t="shared" si="2817"/>
        <v>0</v>
      </c>
      <c r="U3744" s="78" t="str">
        <f>IF(NOT(ISNUMBER(G3744)), "", VLOOKUP(A3744,'Discount Lookup'!D:E,2,FALSE)*G3744)</f>
        <v/>
      </c>
      <c r="V3744" s="78" t="str">
        <f>IF(NOT(ISNUMBER(G3744)), "", VLOOKUP(A3744,'Discount Lookup'!G:H,2,FALSE)*G3744)</f>
        <v/>
      </c>
      <c r="W3744" s="102">
        <f t="shared" si="2818"/>
        <v>0</v>
      </c>
      <c r="X3744" s="102">
        <f t="shared" si="2819"/>
        <v>0</v>
      </c>
      <c r="Y3744" s="120" t="b">
        <f t="shared" si="2820"/>
        <v>0</v>
      </c>
      <c r="Z3744" s="117">
        <f t="shared" si="2821"/>
        <v>0</v>
      </c>
      <c r="AA3744" s="118"/>
      <c r="AB3744" s="118" t="str">
        <f t="shared" si="2822"/>
        <v/>
      </c>
      <c r="AC3744" s="712" t="str">
        <f>IF(AE3744="T2G","no charge",IF(AND(OR(PlanterYesMe="No",PlanterYesMe="N",PlanterYesMe="me"),H3744=""),"",IF(H3744="credit","NO install",IF(AND(K3744="",AE3744="me"),"EACH row",IF(AND(K3744="images",AE3744="me"),"EACH row",IF(D3744="","",IF(H3744="credit","",IF(AE3744="free","re-planting",IF(AE3744="me","   not ELP, by",IF(AND(OR(PlanterYesMe="Yes",PlanterYesMe="Y"),G3744&gt;0),(VLOOKUP(A3744,'Discount Lookup'!J:K,2)*G3744*(1-PlanterDiscount)*(1+PlanterDifficultyPercentage)),IF(AE3744="ELP",(VLOOKUP(A3744,'Discount Lookup'!J:K,2)*G3744*(1-PlanterDiscount)*(1+PlanterDifficultyPercentage)),IF(AE3744="free","re-planting",IF(G3744=0,"",IF(PlanterYesMe="",IF(AE3744="me","   not ELP, by",IF(AE3744="",IF(G3744&gt;0,(VLOOKUP(A3744,'Discount Lookup'!J:K,2)*G3744*(1-PlanterDiscount)*(1+PlanterDifficultyPercentage)),""),"")),"   not ELP, by"))))))))))))))</f>
        <v/>
      </c>
      <c r="AD3744" s="712"/>
      <c r="AE3744" s="513" t="str">
        <f t="shared" si="2823"/>
        <v/>
      </c>
      <c r="AF3744" s="713" t="str">
        <f t="shared" si="2824"/>
        <v/>
      </c>
      <c r="AG3744" s="713"/>
      <c r="AH3744" s="713"/>
      <c r="AI3744" s="112">
        <f>IF(H3744="credit",0,IF(AE3744="free",0,IF(AE3744="me",0,IF(G3744&gt;0,(VLOOKUP(A3744,'Discount Lookup'!J:K,2)*G3744),0))))</f>
        <v>0</v>
      </c>
      <c r="AJ3744" s="107" t="str">
        <f t="shared" ca="1" si="2825"/>
        <v/>
      </c>
      <c r="AK3744" s="714" t="str">
        <f t="shared" si="2826"/>
        <v/>
      </c>
      <c r="AL3744" s="714"/>
      <c r="AM3744" s="114" t="str">
        <f t="shared" si="2827"/>
        <v/>
      </c>
      <c r="AN3744" s="115"/>
      <c r="AO3744" s="116"/>
      <c r="AP3744" s="116"/>
      <c r="AQ3744" s="116"/>
      <c r="AR3744" s="116"/>
      <c r="AS3744" s="116"/>
      <c r="AT3744" s="116"/>
      <c r="AU3744" s="116"/>
      <c r="AV3744" s="78"/>
      <c r="AW3744" s="102"/>
      <c r="AX3744" s="78"/>
      <c r="AY3744" s="78"/>
      <c r="AZ3744" s="78"/>
      <c r="BA3744" s="78"/>
      <c r="BB3744" s="78"/>
      <c r="BC3744" s="78"/>
      <c r="BD3744" s="78"/>
      <c r="BE3744" s="465"/>
      <c r="BF3744" s="165" t="str">
        <f t="shared" si="2828"/>
        <v>https://www.google.com/search?tbm=isch&amp;q=Knock%20Out%20bloom%20all%20summer%20and%20don%27t%20need%20deadheading.%20Glossy%20Green%20foliage%20and%20thorns%20%28rabbits%20may%20still%20nibble%29.%20Cut%20back%20annually%20</v>
      </c>
      <c r="BG3744" s="165" t="str">
        <f t="shared" si="2829"/>
        <v>K</v>
      </c>
      <c r="BH3744" s="65"/>
      <c r="BI3744" s="65"/>
      <c r="BJ3744" s="65"/>
      <c r="BK3744" s="65"/>
      <c r="BL3744" s="99"/>
      <c r="BM3744" s="99"/>
      <c r="BN3744" s="99"/>
    </row>
    <row r="3745" spans="1:66" s="51" customFormat="1" ht="18" x14ac:dyDescent="0.25">
      <c r="A3745" s="623" t="s">
        <v>4133</v>
      </c>
      <c r="B3745" s="624"/>
      <c r="C3745" s="709"/>
      <c r="D3745" s="625" t="s">
        <v>5816</v>
      </c>
      <c r="E3745" s="626"/>
      <c r="F3745" s="626"/>
      <c r="G3745" s="626"/>
      <c r="H3745" s="622" t="s">
        <v>1217</v>
      </c>
      <c r="I3745" s="627" t="s">
        <v>2575</v>
      </c>
      <c r="J3745" s="628"/>
      <c r="K3745" s="628"/>
      <c r="L3745" s="629"/>
      <c r="M3745" s="700" t="s">
        <v>5241</v>
      </c>
      <c r="N3745" s="693" t="str">
        <f>IF(AND(ISTEXT($A3745), ISERROR($A3745+0)), HYPERLINK($BF3745, "Images"), "")</f>
        <v>Images</v>
      </c>
      <c r="O3745" s="695" t="s">
        <v>5264</v>
      </c>
      <c r="P3745" s="630"/>
      <c r="Q3745" s="631"/>
      <c r="R3745" s="632"/>
      <c r="S3745" s="633"/>
      <c r="T3745" s="102">
        <f t="shared" si="2817"/>
        <v>0</v>
      </c>
      <c r="U3745" s="78" t="str">
        <f>IF(NOT(ISNUMBER(G3745)), "", VLOOKUP(A3745,'Discount Lookup'!D:E,2,FALSE)*G3745)</f>
        <v/>
      </c>
      <c r="V3745" s="78" t="str">
        <f>IF(NOT(ISNUMBER(G3745)), "", VLOOKUP(A3745,'Discount Lookup'!G:H,2,FALSE)*G3745)</f>
        <v/>
      </c>
      <c r="W3745" s="102">
        <f t="shared" si="2818"/>
        <v>0</v>
      </c>
      <c r="X3745" s="102" t="str">
        <f t="shared" si="2819"/>
        <v>Bright Yellow bloom</v>
      </c>
      <c r="Y3745" s="120" t="b">
        <f t="shared" si="2820"/>
        <v>0</v>
      </c>
      <c r="Z3745" s="117">
        <f t="shared" si="2821"/>
        <v>0</v>
      </c>
      <c r="AA3745" s="118"/>
      <c r="AB3745" s="118" t="str">
        <f t="shared" si="2822"/>
        <v/>
      </c>
      <c r="AC3745" s="712" t="str">
        <f>IF(AE3745="T2G","no charge",IF(AND(OR(PlanterYesMe="No",PlanterYesMe="N",PlanterYesMe="me"),H3745=""),"",IF(H3745="credit","NO install",IF(AND(K3745="",AE3745="me"),"EACH row",IF(AND(K3745="images",AE3745="me"),"EACH row",IF(D3745="","",IF(H3745="credit","",IF(AE3745="free","re-planting",IF(AE3745="me","   not ELP, by",IF(AND(OR(PlanterYesMe="Yes",PlanterYesMe="Y"),G3745&gt;0),(VLOOKUP(A3745,'Discount Lookup'!J:K,2)*G3745*(1-PlanterDiscount)*(1+PlanterDifficultyPercentage)),IF(AE3745="ELP",(VLOOKUP(A3745,'Discount Lookup'!J:K,2)*G3745*(1-PlanterDiscount)*(1+PlanterDifficultyPercentage)),IF(AE3745="free","re-planting",IF(G3745=0,"",IF(PlanterYesMe="",IF(AE3745="me","   not ELP, by",IF(AE3745="",IF(G3745&gt;0,(VLOOKUP(A3745,'Discount Lookup'!J:K,2)*G3745*(1-PlanterDiscount)*(1+PlanterDifficultyPercentage)),""),"")),"   not ELP, by"))))))))))))))</f>
        <v/>
      </c>
      <c r="AD3745" s="712"/>
      <c r="AE3745" s="513" t="str">
        <f t="shared" si="2823"/>
        <v/>
      </c>
      <c r="AF3745" s="713" t="str">
        <f t="shared" si="2824"/>
        <v/>
      </c>
      <c r="AG3745" s="713"/>
      <c r="AH3745" s="713"/>
      <c r="AI3745" s="112">
        <f>IF(H3745="credit",0,IF(AE3745="free",0,IF(AE3745="me",0,IF(G3745&gt;0,(VLOOKUP(A3745,'Discount Lookup'!J:K,2)*G3745),0))))</f>
        <v>0</v>
      </c>
      <c r="AJ3745" s="107" t="str">
        <f t="shared" ca="1" si="2825"/>
        <v/>
      </c>
      <c r="AK3745" s="714" t="str">
        <f t="shared" si="2826"/>
        <v/>
      </c>
      <c r="AL3745" s="714"/>
      <c r="AM3745" s="114" t="str">
        <f t="shared" si="2827"/>
        <v/>
      </c>
      <c r="AN3745" s="115"/>
      <c r="AO3745" s="116"/>
      <c r="AP3745" s="116"/>
      <c r="AQ3745" s="116"/>
      <c r="AR3745" s="116"/>
      <c r="AS3745" s="116"/>
      <c r="AT3745" s="116"/>
      <c r="AU3745" s="116"/>
      <c r="AV3745" s="78"/>
      <c r="AW3745" s="102"/>
      <c r="AX3745" s="78"/>
      <c r="AY3745" s="78"/>
      <c r="AZ3745" s="78"/>
      <c r="BA3745" s="78"/>
      <c r="BB3745" s="78"/>
      <c r="BC3745" s="78"/>
      <c r="BD3745" s="78"/>
      <c r="BE3745" s="465"/>
      <c r="BF3745" s="165" t="str">
        <f t="shared" si="2828"/>
        <v>https://www.google.com/search?tbm=isch&amp;q=Rosa%20%27SRPylwko%27%20PP%2335465%20Easy%20Bee-zy%E2%84%A2%20Knock%20Out%C2%AE%20Rose</v>
      </c>
      <c r="BG3745" s="165" t="str">
        <f t="shared" si="2829"/>
        <v>R</v>
      </c>
      <c r="BH3745" s="65"/>
      <c r="BI3745" s="65"/>
      <c r="BJ3745" s="65"/>
      <c r="BK3745" s="65"/>
      <c r="BL3745" s="99"/>
      <c r="BM3745" s="99"/>
      <c r="BN3745" s="99"/>
    </row>
    <row r="3746" spans="1:66" s="51" customFormat="1" ht="15.75" x14ac:dyDescent="0.25">
      <c r="A3746" s="634">
        <v>3</v>
      </c>
      <c r="B3746" s="635" t="s">
        <v>291</v>
      </c>
      <c r="C3746" s="636"/>
      <c r="D3746" s="637" t="s">
        <v>310</v>
      </c>
      <c r="E3746" s="638">
        <v>31.95</v>
      </c>
      <c r="F3746" s="639" t="s">
        <v>292</v>
      </c>
      <c r="G3746" s="484">
        <v>0</v>
      </c>
      <c r="H3746" s="691" t="str">
        <f>IF(G3746=0,"",IF(F3746="Buy",IF(G3746=1,"plant","plants"),IF(F3746&gt;0.01,"warranty","Error")))</f>
        <v/>
      </c>
      <c r="I3746" s="640">
        <f>IF(H3746="free",0,IF(H3746="credit",((E3746*(F3746))*G3746*-1),IF(F3746="Buy",(E3746*G3746),((E3746*(1-F3746))*G3746))))</f>
        <v>0</v>
      </c>
      <c r="J3746" s="640">
        <f>IF(H3746="warranty",0,(I3746*(_xlfn.SINGLE(SalesTaxPercentage))))</f>
        <v>0</v>
      </c>
      <c r="K3746" s="716">
        <f t="shared" ref="K3746" si="2837">I3746+J3746</f>
        <v>0</v>
      </c>
      <c r="L3746" s="716"/>
      <c r="M3746" s="689" t="str">
        <f ca="1">IF(AND(G3746&gt;0,E3746=0),"WARNING - no PRICE inserted",IF(H3746="free","FREE ~ no charge this plant",IF(H3746="credit",CONCATENATE("-$",ROUND(K3746*(1-_xlfn.SINGLE(T2GDiscount))*-1,2)," CREDIT after discount"),IF(_xlfn.SINGLE(T2GDiscount)=0,"",IF(G3746=0,"",IF(F3746="Buy",CONCATENATE("$",ROUND(K3746*(1-_xlfn.SINGLE(T2GDiscount)),2)," with ",(_xlfn.SINGLE(T2GDiscount)*100),"% discount"),CONCATENATE("$",ROUND(K3746*(1-_xlfn.SINGLE(T2GDiscount)),2)," with ",((_xlfn.SINGLE(T2GDiscount)*100+F3746*100)-(_xlfn.SINGLE(T2GDiscount)*100*F3746)),IF(F3746&gt;0,"% discounts",IF(_xlfn.SINGLE(NoWarrantyDiscount)&gt;0,"% discounts","% discount")))))))))</f>
        <v/>
      </c>
      <c r="N3746" s="690"/>
      <c r="O3746" s="486"/>
      <c r="P3746" s="486"/>
      <c r="Q3746" s="486"/>
      <c r="R3746" s="486"/>
      <c r="S3746" s="486"/>
      <c r="T3746" s="102">
        <f t="shared" si="2817"/>
        <v>0</v>
      </c>
      <c r="U3746" s="78">
        <f>IF(NOT(ISNUMBER(G3746)), "", VLOOKUP(A3746,'Discount Lookup'!D:E,2,FALSE)*G3746)</f>
        <v>0</v>
      </c>
      <c r="V3746" s="78">
        <f>IF(NOT(ISNUMBER(G3746)), "", VLOOKUP(A3746,'Discount Lookup'!G:H,2,FALSE)*G3746)</f>
        <v>0</v>
      </c>
      <c r="W3746" s="102">
        <f t="shared" si="2818"/>
        <v>0</v>
      </c>
      <c r="X3746" s="102">
        <f t="shared" si="2819"/>
        <v>0</v>
      </c>
      <c r="Y3746" s="120" t="b">
        <f t="shared" si="2820"/>
        <v>0</v>
      </c>
      <c r="Z3746" s="117">
        <f t="shared" si="2821"/>
        <v>0</v>
      </c>
      <c r="AA3746" s="118"/>
      <c r="AB3746" s="118" t="str">
        <f t="shared" si="2822"/>
        <v/>
      </c>
      <c r="AC3746" s="712" t="str">
        <f>IF(AE3746="T2G","no charge",IF(AND(OR(PlanterYesMe="No",PlanterYesMe="N",PlanterYesMe="me"),H3746=""),"",IF(H3746="credit","NO install",IF(AND(K3746="",AE3746="me"),"EACH row",IF(AND(K3746="images",AE3746="me"),"EACH row",IF(D3746="","",IF(H3746="credit","",IF(AE3746="free","re-planting",IF(AE3746="me","   not ELP, by",IF(AND(OR(PlanterYesMe="Yes",PlanterYesMe="Y"),G3746&gt;0),(VLOOKUP(A3746,'Discount Lookup'!J:K,2)*G3746*(1-PlanterDiscount)*(1+PlanterDifficultyPercentage)),IF(AE3746="ELP",(VLOOKUP(A3746,'Discount Lookup'!J:K,2)*G3746*(1-PlanterDiscount)*(1+PlanterDifficultyPercentage)),IF(AE3746="free","re-planting",IF(G3746=0,"",IF(PlanterYesMe="",IF(AE3746="me","   not ELP, by",IF(AE3746="",IF(G3746&gt;0,(VLOOKUP(A3746,'Discount Lookup'!J:K,2)*G3746*(1-PlanterDiscount)*(1+PlanterDifficultyPercentage)),""),"")),"   not ELP, by"))))))))))))))</f>
        <v/>
      </c>
      <c r="AD3746" s="712"/>
      <c r="AE3746" s="513" t="str">
        <f t="shared" si="2823"/>
        <v/>
      </c>
      <c r="AF3746" s="713" t="str">
        <f t="shared" si="2824"/>
        <v/>
      </c>
      <c r="AG3746" s="713"/>
      <c r="AH3746" s="713"/>
      <c r="AI3746" s="112">
        <f>IF(H3746="credit",0,IF(AE3746="free",0,IF(AE3746="me",0,IF(G3746&gt;0,(VLOOKUP(A3746,'Discount Lookup'!J:K,2)*G3746),0))))</f>
        <v>0</v>
      </c>
      <c r="AJ3746" s="107" t="str">
        <f t="shared" ca="1" si="2825"/>
        <v/>
      </c>
      <c r="AK3746" s="714" t="str">
        <f t="shared" si="2826"/>
        <v/>
      </c>
      <c r="AL3746" s="714"/>
      <c r="AM3746" s="114" t="str">
        <f t="shared" si="2827"/>
        <v/>
      </c>
      <c r="AN3746" s="115"/>
      <c r="AO3746" s="116"/>
      <c r="AP3746" s="116"/>
      <c r="AQ3746" s="116"/>
      <c r="AR3746" s="116"/>
      <c r="AS3746" s="116"/>
      <c r="AT3746" s="116"/>
      <c r="AU3746" s="116"/>
      <c r="AV3746" s="78"/>
      <c r="AW3746" s="102"/>
      <c r="AX3746" s="78"/>
      <c r="AY3746" s="78"/>
      <c r="AZ3746" s="78"/>
      <c r="BA3746" s="78"/>
      <c r="BB3746" s="78"/>
      <c r="BC3746" s="78"/>
      <c r="BD3746" s="78"/>
      <c r="BE3746" s="465"/>
      <c r="BF3746" s="165" t="str">
        <f t="shared" si="2828"/>
        <v>https://www.google.com/search?tbm=isch&amp;q=3%20G1</v>
      </c>
      <c r="BG3746" s="165" t="str">
        <f t="shared" si="2829"/>
        <v>R</v>
      </c>
      <c r="BH3746" s="65"/>
      <c r="BI3746" s="65"/>
      <c r="BJ3746" s="65"/>
      <c r="BK3746" s="65"/>
      <c r="BL3746" s="99"/>
      <c r="BM3746" s="99"/>
      <c r="BN3746" s="99"/>
    </row>
    <row r="3747" spans="1:66" s="51" customFormat="1" ht="16.5" x14ac:dyDescent="0.25">
      <c r="A3747" s="641" t="s">
        <v>4796</v>
      </c>
      <c r="B3747" s="642"/>
      <c r="C3747" s="710"/>
      <c r="D3747" s="643"/>
      <c r="E3747" s="643"/>
      <c r="F3747" s="644"/>
      <c r="G3747" s="645"/>
      <c r="H3747" s="646"/>
      <c r="I3747" s="647"/>
      <c r="J3747" s="648"/>
      <c r="K3747" s="649"/>
      <c r="L3747" s="650"/>
      <c r="M3747" s="650"/>
      <c r="N3747" s="644"/>
      <c r="O3747" s="644"/>
      <c r="P3747" s="644"/>
      <c r="Q3747" s="644"/>
      <c r="R3747" s="644"/>
      <c r="S3747" s="701" t="s">
        <v>5271</v>
      </c>
      <c r="T3747" s="102">
        <f t="shared" si="2817"/>
        <v>0</v>
      </c>
      <c r="U3747" s="78" t="str">
        <f>IF(NOT(ISNUMBER(G3747)), "", VLOOKUP(A3747,'Discount Lookup'!D:E,2,FALSE)*G3747)</f>
        <v/>
      </c>
      <c r="V3747" s="78" t="str">
        <f>IF(NOT(ISNUMBER(G3747)), "", VLOOKUP(A3747,'Discount Lookup'!G:H,2,FALSE)*G3747)</f>
        <v/>
      </c>
      <c r="W3747" s="102">
        <f t="shared" si="2818"/>
        <v>0</v>
      </c>
      <c r="X3747" s="102">
        <f t="shared" si="2819"/>
        <v>0</v>
      </c>
      <c r="Y3747" s="120" t="b">
        <f t="shared" si="2820"/>
        <v>0</v>
      </c>
      <c r="Z3747" s="117">
        <f t="shared" si="2821"/>
        <v>0</v>
      </c>
      <c r="AA3747" s="118"/>
      <c r="AB3747" s="118" t="str">
        <f t="shared" si="2822"/>
        <v/>
      </c>
      <c r="AC3747" s="712" t="str">
        <f>IF(AE3747="T2G","no charge",IF(AND(OR(PlanterYesMe="No",PlanterYesMe="N",PlanterYesMe="me"),H3747=""),"",IF(H3747="credit","NO install",IF(AND(K3747="",AE3747="me"),"EACH row",IF(AND(K3747="images",AE3747="me"),"EACH row",IF(D3747="","",IF(H3747="credit","",IF(AE3747="free","re-planting",IF(AE3747="me","   not ELP, by",IF(AND(OR(PlanterYesMe="Yes",PlanterYesMe="Y"),G3747&gt;0),(VLOOKUP(A3747,'Discount Lookup'!J:K,2)*G3747*(1-PlanterDiscount)*(1+PlanterDifficultyPercentage)),IF(AE3747="ELP",(VLOOKUP(A3747,'Discount Lookup'!J:K,2)*G3747*(1-PlanterDiscount)*(1+PlanterDifficultyPercentage)),IF(AE3747="free","re-planting",IF(G3747=0,"",IF(PlanterYesMe="",IF(AE3747="me","   not ELP, by",IF(AE3747="",IF(G3747&gt;0,(VLOOKUP(A3747,'Discount Lookup'!J:K,2)*G3747*(1-PlanterDiscount)*(1+PlanterDifficultyPercentage)),""),"")),"   not ELP, by"))))))))))))))</f>
        <v/>
      </c>
      <c r="AD3747" s="712"/>
      <c r="AE3747" s="513" t="str">
        <f t="shared" si="2823"/>
        <v/>
      </c>
      <c r="AF3747" s="713" t="str">
        <f t="shared" si="2824"/>
        <v/>
      </c>
      <c r="AG3747" s="713"/>
      <c r="AH3747" s="713"/>
      <c r="AI3747" s="112">
        <f>IF(H3747="credit",0,IF(AE3747="free",0,IF(AE3747="me",0,IF(G3747&gt;0,(VLOOKUP(A3747,'Discount Lookup'!J:K,2)*G3747),0))))</f>
        <v>0</v>
      </c>
      <c r="AJ3747" s="107" t="str">
        <f t="shared" ca="1" si="2825"/>
        <v/>
      </c>
      <c r="AK3747" s="714" t="str">
        <f t="shared" si="2826"/>
        <v/>
      </c>
      <c r="AL3747" s="714"/>
      <c r="AM3747" s="114" t="str">
        <f t="shared" si="2827"/>
        <v/>
      </c>
      <c r="AN3747" s="115"/>
      <c r="AO3747" s="116"/>
      <c r="AP3747" s="116"/>
      <c r="AQ3747" s="116"/>
      <c r="AR3747" s="116"/>
      <c r="AS3747" s="116"/>
      <c r="AT3747" s="116"/>
      <c r="AU3747" s="116"/>
      <c r="AV3747" s="78"/>
      <c r="AW3747" s="102"/>
      <c r="AX3747" s="78"/>
      <c r="AY3747" s="78"/>
      <c r="AZ3747" s="78"/>
      <c r="BA3747" s="78"/>
      <c r="BB3747" s="78"/>
      <c r="BC3747" s="78"/>
      <c r="BD3747" s="78"/>
      <c r="BE3747" s="465"/>
      <c r="BF3747" s="165" t="str">
        <f t="shared" si="2828"/>
        <v>https://www.google.com/search?tbm=isch&amp;q=Knock%20Out%20bloom%20all%20summer%20and%20don%27t%20need%20deadheading.%20Glossy%20Green%20foliage%20and%20thorns%20%28rabbits%20may%20still%20nibble%29.%20Cut%20back%20annually%20</v>
      </c>
      <c r="BG3747" s="165" t="str">
        <f t="shared" si="2829"/>
        <v>K</v>
      </c>
      <c r="BH3747" s="65"/>
      <c r="BI3747" s="65"/>
      <c r="BJ3747" s="65"/>
      <c r="BK3747" s="65"/>
      <c r="BL3747" s="99"/>
      <c r="BM3747" s="99"/>
      <c r="BN3747" s="99"/>
    </row>
    <row r="3748" spans="1:66" s="51" customFormat="1" ht="19.5" thickBot="1" x14ac:dyDescent="0.3">
      <c r="A3748" s="686" t="s">
        <v>722</v>
      </c>
      <c r="B3748" s="73"/>
      <c r="C3748" s="708"/>
      <c r="D3748" s="73"/>
      <c r="E3748" s="73"/>
      <c r="F3748" s="496"/>
      <c r="G3748" s="73"/>
      <c r="H3748" s="73"/>
      <c r="I3748" s="73"/>
      <c r="J3748" s="497" t="s">
        <v>357</v>
      </c>
      <c r="K3748" s="498"/>
      <c r="L3748" s="562"/>
      <c r="M3748" s="73"/>
      <c r="N3748"/>
      <c r="O3748"/>
      <c r="P3748"/>
      <c r="Q3748"/>
      <c r="R3748"/>
      <c r="S3748"/>
      <c r="T3748" s="102">
        <f t="shared" si="2817"/>
        <v>0</v>
      </c>
      <c r="U3748" s="78" t="str">
        <f>IF(NOT(ISNUMBER(G3748)), "", VLOOKUP(A3748,'Discount Lookup'!D:E,2,FALSE)*G3748)</f>
        <v/>
      </c>
      <c r="V3748" s="78" t="str">
        <f>IF(NOT(ISNUMBER(G3748)), "", VLOOKUP(A3748,'Discount Lookup'!G:H,2,FALSE)*G3748)</f>
        <v/>
      </c>
      <c r="W3748" s="102">
        <f t="shared" si="2818"/>
        <v>0</v>
      </c>
      <c r="X3748" s="102">
        <f t="shared" si="2819"/>
        <v>0</v>
      </c>
      <c r="Y3748" s="120" t="b">
        <f t="shared" si="2820"/>
        <v>0</v>
      </c>
      <c r="Z3748" s="117">
        <f t="shared" si="2821"/>
        <v>0</v>
      </c>
      <c r="AA3748" s="118"/>
      <c r="AB3748" s="118" t="str">
        <f t="shared" si="2822"/>
        <v/>
      </c>
      <c r="AC3748" s="712" t="str">
        <f>IF(AE3748="T2G","no charge",IF(AND(OR(PlanterYesMe="No",PlanterYesMe="N",PlanterYesMe="me"),H3748=""),"",IF(H3748="credit","NO install",IF(AND(K3748="",AE3748="me"),"EACH row",IF(AND(K3748="images",AE3748="me"),"EACH row",IF(D3748="","",IF(H3748="credit","",IF(AE3748="free","re-planting",IF(AE3748="me","   not ELP, by",IF(AND(OR(PlanterYesMe="Yes",PlanterYesMe="Y"),G3748&gt;0),(VLOOKUP(A3748,'Discount Lookup'!J:K,2)*G3748*(1-PlanterDiscount)*(1+PlanterDifficultyPercentage)),IF(AE3748="ELP",(VLOOKUP(A3748,'Discount Lookup'!J:K,2)*G3748*(1-PlanterDiscount)*(1+PlanterDifficultyPercentage)),IF(AE3748="free","re-planting",IF(G3748=0,"",IF(PlanterYesMe="",IF(AE3748="me","   not ELP, by",IF(AE3748="",IF(G3748&gt;0,(VLOOKUP(A3748,'Discount Lookup'!J:K,2)*G3748*(1-PlanterDiscount)*(1+PlanterDifficultyPercentage)),""),"")),"   not ELP, by"))))))))))))))</f>
        <v/>
      </c>
      <c r="AD3748" s="712"/>
      <c r="AE3748" s="513" t="str">
        <f t="shared" si="2823"/>
        <v/>
      </c>
      <c r="AF3748" s="713" t="str">
        <f t="shared" si="2824"/>
        <v/>
      </c>
      <c r="AG3748" s="713"/>
      <c r="AH3748" s="713"/>
      <c r="AI3748" s="112">
        <f>IF(H3748="credit",0,IF(AE3748="free",0,IF(AE3748="me",0,IF(G3748&gt;0,(VLOOKUP(A3748,'Discount Lookup'!J:K,2)*G3748),0))))</f>
        <v>0</v>
      </c>
      <c r="AJ3748" s="107" t="str">
        <f t="shared" ca="1" si="2825"/>
        <v/>
      </c>
      <c r="AK3748" s="714" t="str">
        <f t="shared" si="2826"/>
        <v/>
      </c>
      <c r="AL3748" s="714"/>
      <c r="AM3748" s="114" t="str">
        <f t="shared" si="2827"/>
        <v/>
      </c>
      <c r="AN3748" s="115"/>
      <c r="AO3748" s="116"/>
      <c r="AP3748" s="116"/>
      <c r="AQ3748" s="116"/>
      <c r="AR3748" s="116"/>
      <c r="AS3748" s="116"/>
      <c r="AT3748" s="116"/>
      <c r="AU3748" s="116"/>
      <c r="AV3748" s="78"/>
      <c r="AW3748" s="102"/>
      <c r="AX3748" s="78"/>
      <c r="AY3748" s="78"/>
      <c r="AZ3748" s="78"/>
      <c r="BA3748" s="78"/>
      <c r="BB3748" s="78"/>
      <c r="BC3748" s="78"/>
      <c r="BD3748" s="78"/>
      <c r="BE3748" s="465"/>
      <c r="BF3748" s="165" t="str">
        <f t="shared" si="2828"/>
        <v>https://www.google.com/search?tbm=isch&amp;q=Rubus%20%3D%20Blackberry%2C%20Raspberry%20</v>
      </c>
      <c r="BG3748" s="165" t="str">
        <f t="shared" si="2829"/>
        <v>R</v>
      </c>
      <c r="BH3748" s="65"/>
      <c r="BI3748" s="65"/>
      <c r="BJ3748" s="65"/>
      <c r="BK3748" s="65"/>
      <c r="BL3748" s="99"/>
      <c r="BM3748" s="99"/>
      <c r="BN3748" s="99"/>
    </row>
    <row r="3749" spans="1:66" s="51" customFormat="1" ht="18" x14ac:dyDescent="0.25">
      <c r="A3749" s="623" t="s">
        <v>4134</v>
      </c>
      <c r="B3749" s="624"/>
      <c r="C3749" s="709"/>
      <c r="D3749" s="625" t="s">
        <v>5905</v>
      </c>
      <c r="E3749" s="626"/>
      <c r="F3749" s="626"/>
      <c r="G3749" s="626"/>
      <c r="H3749" s="622" t="s">
        <v>1124</v>
      </c>
      <c r="I3749" s="627" t="s">
        <v>349</v>
      </c>
      <c r="J3749" s="628"/>
      <c r="K3749" s="628"/>
      <c r="L3749" s="629"/>
      <c r="M3749" s="700" t="s">
        <v>5241</v>
      </c>
      <c r="N3749" s="693" t="str">
        <f>IF(AND(ISTEXT($A3749), ISERROR($A3749+0)), HYPERLINK($BF3749, "Images"), "")</f>
        <v>Images</v>
      </c>
      <c r="O3749" s="695" t="s">
        <v>5247</v>
      </c>
      <c r="P3749" s="630"/>
      <c r="Q3749" s="631"/>
      <c r="R3749" s="632"/>
      <c r="S3749" s="633"/>
      <c r="T3749" s="102">
        <f t="shared" si="2817"/>
        <v>0</v>
      </c>
      <c r="U3749" s="78" t="str">
        <f>IF(NOT(ISNUMBER(G3749)), "", VLOOKUP(A3749,'Discount Lookup'!D:E,2,FALSE)*G3749)</f>
        <v/>
      </c>
      <c r="V3749" s="78" t="str">
        <f>IF(NOT(ISNUMBER(G3749)), "", VLOOKUP(A3749,'Discount Lookup'!G:H,2,FALSE)*G3749)</f>
        <v/>
      </c>
      <c r="W3749" s="102">
        <f t="shared" si="2818"/>
        <v>0</v>
      </c>
      <c r="X3749" s="102" t="str">
        <f t="shared" si="2819"/>
        <v>White bloom</v>
      </c>
      <c r="Y3749" s="120" t="b">
        <f t="shared" si="2820"/>
        <v>0</v>
      </c>
      <c r="Z3749" s="117">
        <f t="shared" si="2821"/>
        <v>0</v>
      </c>
      <c r="AA3749" s="118"/>
      <c r="AB3749" s="118" t="str">
        <f t="shared" si="2822"/>
        <v/>
      </c>
      <c r="AC3749" s="712" t="str">
        <f>IF(AE3749="T2G","no charge",IF(AND(OR(PlanterYesMe="No",PlanterYesMe="N",PlanterYesMe="me"),H3749=""),"",IF(H3749="credit","NO install",IF(AND(K3749="",AE3749="me"),"EACH row",IF(AND(K3749="images",AE3749="me"),"EACH row",IF(D3749="","",IF(H3749="credit","",IF(AE3749="free","re-planting",IF(AE3749="me","   not ELP, by",IF(AND(OR(PlanterYesMe="Yes",PlanterYesMe="Y"),G3749&gt;0),(VLOOKUP(A3749,'Discount Lookup'!J:K,2)*G3749*(1-PlanterDiscount)*(1+PlanterDifficultyPercentage)),IF(AE3749="ELP",(VLOOKUP(A3749,'Discount Lookup'!J:K,2)*G3749*(1-PlanterDiscount)*(1+PlanterDifficultyPercentage)),IF(AE3749="free","re-planting",IF(G3749=0,"",IF(PlanterYesMe="",IF(AE3749="me","   not ELP, by",IF(AE3749="",IF(G3749&gt;0,(VLOOKUP(A3749,'Discount Lookup'!J:K,2)*G3749*(1-PlanterDiscount)*(1+PlanterDifficultyPercentage)),""),"")),"   not ELP, by"))))))))))))))</f>
        <v/>
      </c>
      <c r="AD3749" s="712"/>
      <c r="AE3749" s="513" t="str">
        <f t="shared" si="2823"/>
        <v/>
      </c>
      <c r="AF3749" s="713" t="str">
        <f t="shared" si="2824"/>
        <v/>
      </c>
      <c r="AG3749" s="713"/>
      <c r="AH3749" s="713"/>
      <c r="AI3749" s="112">
        <f>IF(H3749="credit",0,IF(AE3749="free",0,IF(AE3749="me",0,IF(G3749&gt;0,(VLOOKUP(A3749,'Discount Lookup'!J:K,2)*G3749),0))))</f>
        <v>0</v>
      </c>
      <c r="AJ3749" s="107" t="str">
        <f t="shared" ca="1" si="2825"/>
        <v/>
      </c>
      <c r="AK3749" s="714" t="str">
        <f t="shared" si="2826"/>
        <v/>
      </c>
      <c r="AL3749" s="714"/>
      <c r="AM3749" s="114" t="str">
        <f t="shared" si="2827"/>
        <v/>
      </c>
      <c r="AN3749" s="115"/>
      <c r="AO3749" s="116"/>
      <c r="AP3749" s="116"/>
      <c r="AQ3749" s="116"/>
      <c r="AR3749" s="116"/>
      <c r="AS3749" s="116"/>
      <c r="AT3749" s="116"/>
      <c r="AU3749" s="116"/>
      <c r="AV3749" s="78"/>
      <c r="AW3749" s="102"/>
      <c r="AX3749" s="78"/>
      <c r="AY3749" s="78"/>
      <c r="AZ3749" s="78"/>
      <c r="BA3749" s="78"/>
      <c r="BB3749" s="78"/>
      <c r="BC3749" s="78"/>
      <c r="BD3749" s="78"/>
      <c r="BE3749" s="465"/>
      <c r="BF3749" s="165" t="str">
        <f t="shared" si="2828"/>
        <v>https://www.google.com/search?tbm=isch&amp;q=Rubus%20%27APF-236T%27%20PP%2327032%20Baby%20Cakes%C2%AE%20Blackberry%20%28BB%C2%AE%29</v>
      </c>
      <c r="BG3749" s="165" t="str">
        <f t="shared" si="2829"/>
        <v>R</v>
      </c>
      <c r="BH3749" s="65"/>
      <c r="BI3749" s="65"/>
      <c r="BJ3749" s="65"/>
      <c r="BK3749" s="65"/>
      <c r="BL3749" s="99"/>
      <c r="BM3749" s="99"/>
      <c r="BN3749" s="99"/>
    </row>
    <row r="3750" spans="1:66" s="51" customFormat="1" ht="15.75" x14ac:dyDescent="0.25">
      <c r="A3750" s="634">
        <v>1</v>
      </c>
      <c r="B3750" s="635" t="s">
        <v>291</v>
      </c>
      <c r="C3750" s="636" t="s">
        <v>884</v>
      </c>
      <c r="D3750" s="637" t="s">
        <v>329</v>
      </c>
      <c r="E3750" s="638">
        <v>29.95</v>
      </c>
      <c r="F3750" s="639" t="s">
        <v>292</v>
      </c>
      <c r="G3750" s="484">
        <v>0</v>
      </c>
      <c r="H3750" s="691" t="str">
        <f>IF(G3750=0,"",IF(F3750="Buy",IF(G3750=1,"plant","plants"),IF(F3750&gt;0.01,"warranty","Error")))</f>
        <v/>
      </c>
      <c r="I3750" s="640">
        <f>IF(H3750="free",0,IF(H3750="credit",((E3750*(F3750))*G3750*-1),IF(F3750="Buy",(E3750*G3750),((E3750*(1-F3750))*G3750))))</f>
        <v>0</v>
      </c>
      <c r="J3750" s="640">
        <f>IF(H3750="warranty",0,(I3750*(_xlfn.SINGLE(SalesTaxPercentage))))</f>
        <v>0</v>
      </c>
      <c r="K3750" s="716">
        <f t="shared" ref="K3750" si="2838">I3750+J3750</f>
        <v>0</v>
      </c>
      <c r="L3750" s="716"/>
      <c r="M3750" s="689" t="str">
        <f ca="1">IF(AND(G3750&gt;0,E3750=0),"WARNING - no PRICE inserted",IF(H3750="free","FREE ~ no charge this plant",IF(H3750="credit",CONCATENATE("-$",ROUND(K3750*(1-_xlfn.SINGLE(T2GDiscount))*-1,2)," CREDIT after discount"),IF(_xlfn.SINGLE(T2GDiscount)=0,"",IF(G3750=0,"",IF(F3750="Buy",CONCATENATE("$",ROUND(K3750*(1-_xlfn.SINGLE(T2GDiscount)),2)," with ",(_xlfn.SINGLE(T2GDiscount)*100),"% discount"),CONCATENATE("$",ROUND(K3750*(1-_xlfn.SINGLE(T2GDiscount)),2)," with ",((_xlfn.SINGLE(T2GDiscount)*100+F3750*100)-(_xlfn.SINGLE(T2GDiscount)*100*F3750)),IF(F3750&gt;0,"% discounts",IF(_xlfn.SINGLE(NoWarrantyDiscount)&gt;0,"% discounts","% discount")))))))))</f>
        <v/>
      </c>
      <c r="N3750" s="690"/>
      <c r="O3750" s="486"/>
      <c r="P3750" s="486"/>
      <c r="Q3750" s="486"/>
      <c r="R3750" s="486"/>
      <c r="S3750" s="486"/>
      <c r="T3750" s="102">
        <f t="shared" si="2817"/>
        <v>0</v>
      </c>
      <c r="U3750" s="78">
        <f>IF(NOT(ISNUMBER(G3750)), "", VLOOKUP(A3750,'Discount Lookup'!D:E,2,FALSE)*G3750)</f>
        <v>0</v>
      </c>
      <c r="V3750" s="78">
        <f>IF(NOT(ISNUMBER(G3750)), "", VLOOKUP(A3750,'Discount Lookup'!G:H,2,FALSE)*G3750)</f>
        <v>0</v>
      </c>
      <c r="W3750" s="102">
        <f t="shared" si="2818"/>
        <v>0</v>
      </c>
      <c r="X3750" s="102">
        <f t="shared" si="2819"/>
        <v>0</v>
      </c>
      <c r="Y3750" s="120" t="b">
        <f t="shared" si="2820"/>
        <v>0</v>
      </c>
      <c r="Z3750" s="117">
        <f t="shared" si="2821"/>
        <v>0</v>
      </c>
      <c r="AA3750" s="118"/>
      <c r="AB3750" s="118" t="str">
        <f t="shared" si="2822"/>
        <v/>
      </c>
      <c r="AC3750" s="712" t="str">
        <f>IF(AE3750="T2G","no charge",IF(AND(OR(PlanterYesMe="No",PlanterYesMe="N",PlanterYesMe="me"),H3750=""),"",IF(H3750="credit","NO install",IF(AND(K3750="",AE3750="me"),"EACH row",IF(AND(K3750="images",AE3750="me"),"EACH row",IF(D3750="","",IF(H3750="credit","",IF(AE3750="free","re-planting",IF(AE3750="me","   not ELP, by",IF(AND(OR(PlanterYesMe="Yes",PlanterYesMe="Y"),G3750&gt;0),(VLOOKUP(A3750,'Discount Lookup'!J:K,2)*G3750*(1-PlanterDiscount)*(1+PlanterDifficultyPercentage)),IF(AE3750="ELP",(VLOOKUP(A3750,'Discount Lookup'!J:K,2)*G3750*(1-PlanterDiscount)*(1+PlanterDifficultyPercentage)),IF(AE3750="free","re-planting",IF(G3750=0,"",IF(PlanterYesMe="",IF(AE3750="me","   not ELP, by",IF(AE3750="",IF(G3750&gt;0,(VLOOKUP(A3750,'Discount Lookup'!J:K,2)*G3750*(1-PlanterDiscount)*(1+PlanterDifficultyPercentage)),""),"")),"   not ELP, by"))))))))))))))</f>
        <v/>
      </c>
      <c r="AD3750" s="712"/>
      <c r="AE3750" s="513" t="str">
        <f t="shared" si="2823"/>
        <v/>
      </c>
      <c r="AF3750" s="713" t="str">
        <f t="shared" si="2824"/>
        <v/>
      </c>
      <c r="AG3750" s="713"/>
      <c r="AH3750" s="713"/>
      <c r="AI3750" s="112">
        <f>IF(H3750="credit",0,IF(AE3750="free",0,IF(AE3750="me",0,IF(G3750&gt;0,(VLOOKUP(A3750,'Discount Lookup'!J:K,2)*G3750),0))))</f>
        <v>0</v>
      </c>
      <c r="AJ3750" s="107" t="str">
        <f t="shared" ca="1" si="2825"/>
        <v/>
      </c>
      <c r="AK3750" s="714" t="str">
        <f t="shared" si="2826"/>
        <v/>
      </c>
      <c r="AL3750" s="714"/>
      <c r="AM3750" s="114" t="str">
        <f t="shared" si="2827"/>
        <v/>
      </c>
      <c r="AN3750" s="115"/>
      <c r="AO3750" s="116"/>
      <c r="AP3750" s="116"/>
      <c r="AQ3750" s="116"/>
      <c r="AR3750" s="116"/>
      <c r="AS3750" s="116"/>
      <c r="AT3750" s="116"/>
      <c r="AU3750" s="116"/>
      <c r="AV3750" s="78"/>
      <c r="AW3750" s="102"/>
      <c r="AX3750" s="78"/>
      <c r="AY3750" s="78"/>
      <c r="AZ3750" s="78"/>
      <c r="BA3750" s="78"/>
      <c r="BB3750" s="78"/>
      <c r="BC3750" s="78"/>
      <c r="BD3750" s="78"/>
      <c r="BE3750" s="465"/>
      <c r="BF3750" s="165" t="str">
        <f t="shared" si="2828"/>
        <v>https://www.google.com/search?tbm=isch&amp;q=1%20G2</v>
      </c>
      <c r="BG3750" s="165" t="str">
        <f t="shared" si="2829"/>
        <v>R</v>
      </c>
      <c r="BH3750" s="65"/>
      <c r="BI3750" s="65"/>
      <c r="BJ3750" s="65"/>
      <c r="BK3750" s="65"/>
      <c r="BL3750" s="99"/>
      <c r="BM3750" s="99"/>
      <c r="BN3750" s="99"/>
    </row>
    <row r="3751" spans="1:66" s="51" customFormat="1" ht="15.75" x14ac:dyDescent="0.25">
      <c r="A3751" s="634">
        <v>2</v>
      </c>
      <c r="B3751" s="635" t="s">
        <v>291</v>
      </c>
      <c r="C3751" s="636"/>
      <c r="D3751" s="637" t="s">
        <v>310</v>
      </c>
      <c r="E3751" s="638">
        <v>34.950000000000003</v>
      </c>
      <c r="F3751" s="639" t="s">
        <v>292</v>
      </c>
      <c r="G3751" s="484">
        <v>0</v>
      </c>
      <c r="H3751" s="691" t="str">
        <f>IF(G3751=0,"",IF(F3751="Buy",IF(G3751=1,"plant","plants"),IF(F3751&gt;0.01,"warranty","Error")))</f>
        <v/>
      </c>
      <c r="I3751" s="640">
        <f>IF(H3751="free",0,IF(H3751="credit",((E3751*(F3751))*G3751*-1),IF(F3751="Buy",(E3751*G3751),((E3751*(1-F3751))*G3751))))</f>
        <v>0</v>
      </c>
      <c r="J3751" s="640">
        <f>IF(H3751="warranty",0,(I3751*(_xlfn.SINGLE(SalesTaxPercentage))))</f>
        <v>0</v>
      </c>
      <c r="K3751" s="716">
        <f t="shared" ref="K3751" si="2839">I3751+J3751</f>
        <v>0</v>
      </c>
      <c r="L3751" s="716"/>
      <c r="M3751" s="689" t="str">
        <f ca="1">IF(AND(G3751&gt;0,E3751=0),"WARNING - no PRICE inserted",IF(H3751="free","FREE ~ no charge this plant",IF(H3751="credit",CONCATENATE("-$",ROUND(K3751*(1-_xlfn.SINGLE(T2GDiscount))*-1,2)," CREDIT after discount"),IF(_xlfn.SINGLE(T2GDiscount)=0,"",IF(G3751=0,"",IF(F3751="Buy",CONCATENATE("$",ROUND(K3751*(1-_xlfn.SINGLE(T2GDiscount)),2)," with ",(_xlfn.SINGLE(T2GDiscount)*100),"% discount"),CONCATENATE("$",ROUND(K3751*(1-_xlfn.SINGLE(T2GDiscount)),2)," with ",((_xlfn.SINGLE(T2GDiscount)*100+F3751*100)-(_xlfn.SINGLE(T2GDiscount)*100*F3751)),IF(F3751&gt;0,"% discounts",IF(_xlfn.SINGLE(NoWarrantyDiscount)&gt;0,"% discounts","% discount")))))))))</f>
        <v/>
      </c>
      <c r="N3751" s="690"/>
      <c r="O3751" s="486"/>
      <c r="P3751" s="486"/>
      <c r="Q3751" s="486"/>
      <c r="R3751" s="486"/>
      <c r="S3751" s="486"/>
      <c r="T3751" s="102">
        <f t="shared" si="2817"/>
        <v>0</v>
      </c>
      <c r="U3751" s="78">
        <f>IF(NOT(ISNUMBER(G3751)), "", VLOOKUP(A3751,'Discount Lookup'!D:E,2,FALSE)*G3751)</f>
        <v>0</v>
      </c>
      <c r="V3751" s="78">
        <f>IF(NOT(ISNUMBER(G3751)), "", VLOOKUP(A3751,'Discount Lookup'!G:H,2,FALSE)*G3751)</f>
        <v>0</v>
      </c>
      <c r="W3751" s="102">
        <f t="shared" si="2818"/>
        <v>0</v>
      </c>
      <c r="X3751" s="102">
        <f t="shared" si="2819"/>
        <v>0</v>
      </c>
      <c r="Y3751" s="120" t="b">
        <f t="shared" si="2820"/>
        <v>0</v>
      </c>
      <c r="Z3751" s="117">
        <f t="shared" si="2821"/>
        <v>0</v>
      </c>
      <c r="AA3751" s="118"/>
      <c r="AB3751" s="118" t="str">
        <f t="shared" si="2822"/>
        <v/>
      </c>
      <c r="AC3751" s="712" t="str">
        <f>IF(AE3751="T2G","no charge",IF(AND(OR(PlanterYesMe="No",PlanterYesMe="N",PlanterYesMe="me"),H3751=""),"",IF(H3751="credit","NO install",IF(AND(K3751="",AE3751="me"),"EACH row",IF(AND(K3751="images",AE3751="me"),"EACH row",IF(D3751="","",IF(H3751="credit","",IF(AE3751="free","re-planting",IF(AE3751="me","   not ELP, by",IF(AND(OR(PlanterYesMe="Yes",PlanterYesMe="Y"),G3751&gt;0),(VLOOKUP(A3751,'Discount Lookup'!J:K,2)*G3751*(1-PlanterDiscount)*(1+PlanterDifficultyPercentage)),IF(AE3751="ELP",(VLOOKUP(A3751,'Discount Lookup'!J:K,2)*G3751*(1-PlanterDiscount)*(1+PlanterDifficultyPercentage)),IF(AE3751="free","re-planting",IF(G3751=0,"",IF(PlanterYesMe="",IF(AE3751="me","   not ELP, by",IF(AE3751="",IF(G3751&gt;0,(VLOOKUP(A3751,'Discount Lookup'!J:K,2)*G3751*(1-PlanterDiscount)*(1+PlanterDifficultyPercentage)),""),"")),"   not ELP, by"))))))))))))))</f>
        <v/>
      </c>
      <c r="AD3751" s="712"/>
      <c r="AE3751" s="513" t="str">
        <f t="shared" si="2823"/>
        <v/>
      </c>
      <c r="AF3751" s="713" t="str">
        <f t="shared" si="2824"/>
        <v/>
      </c>
      <c r="AG3751" s="713"/>
      <c r="AH3751" s="713"/>
      <c r="AI3751" s="112">
        <f>IF(H3751="credit",0,IF(AE3751="free",0,IF(AE3751="me",0,IF(G3751&gt;0,(VLOOKUP(A3751,'Discount Lookup'!J:K,2)*G3751),0))))</f>
        <v>0</v>
      </c>
      <c r="AJ3751" s="107" t="str">
        <f t="shared" ca="1" si="2825"/>
        <v/>
      </c>
      <c r="AK3751" s="714" t="str">
        <f t="shared" si="2826"/>
        <v/>
      </c>
      <c r="AL3751" s="714"/>
      <c r="AM3751" s="114" t="str">
        <f t="shared" si="2827"/>
        <v/>
      </c>
      <c r="AN3751" s="115"/>
      <c r="AO3751" s="116"/>
      <c r="AP3751" s="116"/>
      <c r="AQ3751" s="116"/>
      <c r="AR3751" s="116"/>
      <c r="AS3751" s="116"/>
      <c r="AT3751" s="116"/>
      <c r="AU3751" s="116"/>
      <c r="AV3751" s="78"/>
      <c r="AW3751" s="102"/>
      <c r="AX3751" s="78"/>
      <c r="AY3751" s="78"/>
      <c r="AZ3751" s="78"/>
      <c r="BA3751" s="78"/>
      <c r="BB3751" s="78"/>
      <c r="BC3751" s="78"/>
      <c r="BD3751" s="78"/>
      <c r="BE3751" s="465"/>
      <c r="BF3751" s="165" t="str">
        <f t="shared" si="2828"/>
        <v>https://www.google.com/search?tbm=isch&amp;q=2%20G1</v>
      </c>
      <c r="BG3751" s="165" t="str">
        <f t="shared" si="2829"/>
        <v>R</v>
      </c>
      <c r="BH3751" s="65"/>
      <c r="BI3751" s="65"/>
      <c r="BJ3751" s="65"/>
      <c r="BK3751" s="65"/>
      <c r="BL3751" s="99"/>
      <c r="BM3751" s="99"/>
      <c r="BN3751" s="99"/>
    </row>
    <row r="3752" spans="1:66" s="51" customFormat="1" ht="17.25" thickBot="1" x14ac:dyDescent="0.3">
      <c r="A3752" s="641" t="s">
        <v>4135</v>
      </c>
      <c r="B3752" s="642"/>
      <c r="C3752" s="710"/>
      <c r="D3752" s="643"/>
      <c r="E3752" s="643"/>
      <c r="F3752" s="644"/>
      <c r="G3752" s="645"/>
      <c r="H3752" s="646"/>
      <c r="I3752" s="647"/>
      <c r="J3752" s="648"/>
      <c r="K3752" s="649"/>
      <c r="L3752" s="650"/>
      <c r="M3752" s="650"/>
      <c r="N3752" s="644"/>
      <c r="O3752" s="644"/>
      <c r="P3752" s="644"/>
      <c r="Q3752" s="644"/>
      <c r="R3752" s="644"/>
      <c r="S3752" s="701" t="s">
        <v>5251</v>
      </c>
      <c r="T3752" s="102">
        <f t="shared" si="2817"/>
        <v>0</v>
      </c>
      <c r="U3752" s="78" t="str">
        <f>IF(NOT(ISNUMBER(G3752)), "", VLOOKUP(A3752,'Discount Lookup'!D:E,2,FALSE)*G3752)</f>
        <v/>
      </c>
      <c r="V3752" s="78" t="str">
        <f>IF(NOT(ISNUMBER(G3752)), "", VLOOKUP(A3752,'Discount Lookup'!G:H,2,FALSE)*G3752)</f>
        <v/>
      </c>
      <c r="W3752" s="102">
        <f t="shared" si="2818"/>
        <v>0</v>
      </c>
      <c r="X3752" s="102">
        <f t="shared" si="2819"/>
        <v>0</v>
      </c>
      <c r="Y3752" s="120" t="b">
        <f t="shared" si="2820"/>
        <v>0</v>
      </c>
      <c r="Z3752" s="117">
        <f t="shared" si="2821"/>
        <v>0</v>
      </c>
      <c r="AA3752" s="118"/>
      <c r="AB3752" s="118" t="str">
        <f t="shared" si="2822"/>
        <v/>
      </c>
      <c r="AC3752" s="712" t="str">
        <f>IF(AE3752="T2G","no charge",IF(AND(OR(PlanterYesMe="No",PlanterYesMe="N",PlanterYesMe="me"),H3752=""),"",IF(H3752="credit","NO install",IF(AND(K3752="",AE3752="me"),"EACH row",IF(AND(K3752="images",AE3752="me"),"EACH row",IF(D3752="","",IF(H3752="credit","",IF(AE3752="free","re-planting",IF(AE3752="me","   not ELP, by",IF(AND(OR(PlanterYesMe="Yes",PlanterYesMe="Y"),G3752&gt;0),(VLOOKUP(A3752,'Discount Lookup'!J:K,2)*G3752*(1-PlanterDiscount)*(1+PlanterDifficultyPercentage)),IF(AE3752="ELP",(VLOOKUP(A3752,'Discount Lookup'!J:K,2)*G3752*(1-PlanterDiscount)*(1+PlanterDifficultyPercentage)),IF(AE3752="free","re-planting",IF(G3752=0,"",IF(PlanterYesMe="",IF(AE3752="me","   not ELP, by",IF(AE3752="",IF(G3752&gt;0,(VLOOKUP(A3752,'Discount Lookup'!J:K,2)*G3752*(1-PlanterDiscount)*(1+PlanterDifficultyPercentage)),""),"")),"   not ELP, by"))))))))))))))</f>
        <v/>
      </c>
      <c r="AD3752" s="712"/>
      <c r="AE3752" s="513" t="str">
        <f t="shared" si="2823"/>
        <v/>
      </c>
      <c r="AF3752" s="713" t="str">
        <f t="shared" si="2824"/>
        <v/>
      </c>
      <c r="AG3752" s="713"/>
      <c r="AH3752" s="713"/>
      <c r="AI3752" s="112">
        <f>IF(H3752="credit",0,IF(AE3752="free",0,IF(AE3752="me",0,IF(G3752&gt;0,(VLOOKUP(A3752,'Discount Lookup'!J:K,2)*G3752),0))))</f>
        <v>0</v>
      </c>
      <c r="AJ3752" s="107" t="str">
        <f t="shared" ca="1" si="2825"/>
        <v/>
      </c>
      <c r="AK3752" s="714" t="str">
        <f t="shared" si="2826"/>
        <v/>
      </c>
      <c r="AL3752" s="714"/>
      <c r="AM3752" s="114" t="str">
        <f t="shared" si="2827"/>
        <v/>
      </c>
      <c r="AN3752" s="115"/>
      <c r="AO3752" s="116"/>
      <c r="AP3752" s="116"/>
      <c r="AQ3752" s="116"/>
      <c r="AR3752" s="116"/>
      <c r="AS3752" s="116"/>
      <c r="AT3752" s="116"/>
      <c r="AU3752" s="116"/>
      <c r="AV3752" s="78"/>
      <c r="AW3752" s="102"/>
      <c r="AX3752" s="78"/>
      <c r="AY3752" s="78"/>
      <c r="AZ3752" s="78"/>
      <c r="BA3752" s="78"/>
      <c r="BB3752" s="78"/>
      <c r="BC3752" s="78"/>
      <c r="BD3752" s="78"/>
      <c r="BE3752" s="465"/>
      <c r="BF3752" s="165" t="str">
        <f t="shared" si="2828"/>
        <v>https://www.google.com/search?tbm=isch&amp;q=Baby%20Cakes%20are%20thornless%2C%20producing%20large%20berries%20in%20first%20year.%20May%20produce%20twice%20per%20season.%20Self-pollinating%20</v>
      </c>
      <c r="BG3752" s="165" t="str">
        <f t="shared" si="2829"/>
        <v>B</v>
      </c>
      <c r="BH3752" s="65"/>
      <c r="BI3752" s="65"/>
      <c r="BJ3752" s="65"/>
      <c r="BK3752" s="65"/>
      <c r="BL3752" s="99"/>
      <c r="BM3752" s="99"/>
      <c r="BN3752" s="99"/>
    </row>
    <row r="3753" spans="1:66" s="51" customFormat="1" ht="18" x14ac:dyDescent="0.25">
      <c r="A3753" s="623" t="s">
        <v>4136</v>
      </c>
      <c r="B3753" s="624"/>
      <c r="C3753" s="709"/>
      <c r="D3753" s="625" t="s">
        <v>5906</v>
      </c>
      <c r="E3753" s="626"/>
      <c r="F3753" s="626"/>
      <c r="G3753" s="626"/>
      <c r="H3753" s="622" t="s">
        <v>1104</v>
      </c>
      <c r="I3753" s="627" t="s">
        <v>349</v>
      </c>
      <c r="J3753" s="628"/>
      <c r="K3753" s="628"/>
      <c r="L3753" s="629"/>
      <c r="M3753" s="700" t="s">
        <v>5241</v>
      </c>
      <c r="N3753" s="693" t="str">
        <f>IF(AND(ISTEXT($A3753), ISERROR($A3753+0)), HYPERLINK($BF3753, "Images"), "")</f>
        <v>Images</v>
      </c>
      <c r="O3753" s="695" t="s">
        <v>5247</v>
      </c>
      <c r="P3753" s="630"/>
      <c r="Q3753" s="631"/>
      <c r="R3753" s="632"/>
      <c r="S3753" s="633"/>
      <c r="T3753" s="102">
        <f t="shared" si="2817"/>
        <v>0</v>
      </c>
      <c r="U3753" s="78" t="str">
        <f>IF(NOT(ISNUMBER(G3753)), "", VLOOKUP(A3753,'Discount Lookup'!D:E,2,FALSE)*G3753)</f>
        <v/>
      </c>
      <c r="V3753" s="78" t="str">
        <f>IF(NOT(ISNUMBER(G3753)), "", VLOOKUP(A3753,'Discount Lookup'!G:H,2,FALSE)*G3753)</f>
        <v/>
      </c>
      <c r="W3753" s="102">
        <f t="shared" si="2818"/>
        <v>0</v>
      </c>
      <c r="X3753" s="102" t="str">
        <f t="shared" si="2819"/>
        <v>White bloom</v>
      </c>
      <c r="Y3753" s="120" t="b">
        <f t="shared" si="2820"/>
        <v>0</v>
      </c>
      <c r="Z3753" s="117">
        <f t="shared" si="2821"/>
        <v>0</v>
      </c>
      <c r="AA3753" s="118"/>
      <c r="AB3753" s="118" t="str">
        <f t="shared" si="2822"/>
        <v/>
      </c>
      <c r="AC3753" s="712" t="str">
        <f>IF(AE3753="T2G","no charge",IF(AND(OR(PlanterYesMe="No",PlanterYesMe="N",PlanterYesMe="me"),H3753=""),"",IF(H3753="credit","NO install",IF(AND(K3753="",AE3753="me"),"EACH row",IF(AND(K3753="images",AE3753="me"),"EACH row",IF(D3753="","",IF(H3753="credit","",IF(AE3753="free","re-planting",IF(AE3753="me","   not ELP, by",IF(AND(OR(PlanterYesMe="Yes",PlanterYesMe="Y"),G3753&gt;0),(VLOOKUP(A3753,'Discount Lookup'!J:K,2)*G3753*(1-PlanterDiscount)*(1+PlanterDifficultyPercentage)),IF(AE3753="ELP",(VLOOKUP(A3753,'Discount Lookup'!J:K,2)*G3753*(1-PlanterDiscount)*(1+PlanterDifficultyPercentage)),IF(AE3753="free","re-planting",IF(G3753=0,"",IF(PlanterYesMe="",IF(AE3753="me","   not ELP, by",IF(AE3753="",IF(G3753&gt;0,(VLOOKUP(A3753,'Discount Lookup'!J:K,2)*G3753*(1-PlanterDiscount)*(1+PlanterDifficultyPercentage)),""),"")),"   not ELP, by"))))))))))))))</f>
        <v/>
      </c>
      <c r="AD3753" s="712"/>
      <c r="AE3753" s="513" t="str">
        <f t="shared" si="2823"/>
        <v/>
      </c>
      <c r="AF3753" s="713" t="str">
        <f t="shared" si="2824"/>
        <v/>
      </c>
      <c r="AG3753" s="713"/>
      <c r="AH3753" s="713"/>
      <c r="AI3753" s="112">
        <f>IF(H3753="credit",0,IF(AE3753="free",0,IF(AE3753="me",0,IF(G3753&gt;0,(VLOOKUP(A3753,'Discount Lookup'!J:K,2)*G3753),0))))</f>
        <v>0</v>
      </c>
      <c r="AJ3753" s="107" t="str">
        <f t="shared" ca="1" si="2825"/>
        <v/>
      </c>
      <c r="AK3753" s="714" t="str">
        <f t="shared" si="2826"/>
        <v/>
      </c>
      <c r="AL3753" s="714"/>
      <c r="AM3753" s="114" t="str">
        <f t="shared" si="2827"/>
        <v/>
      </c>
      <c r="AN3753" s="115"/>
      <c r="AO3753" s="116"/>
      <c r="AP3753" s="116"/>
      <c r="AQ3753" s="116"/>
      <c r="AR3753" s="116"/>
      <c r="AS3753" s="116"/>
      <c r="AT3753" s="116"/>
      <c r="AU3753" s="116"/>
      <c r="AV3753" s="78"/>
      <c r="AW3753" s="102"/>
      <c r="AX3753" s="78"/>
      <c r="AY3753" s="78"/>
      <c r="AZ3753" s="78"/>
      <c r="BA3753" s="78"/>
      <c r="BB3753" s="78"/>
      <c r="BC3753" s="78"/>
      <c r="BD3753" s="78"/>
      <c r="BE3753" s="465"/>
      <c r="BF3753" s="165" t="str">
        <f t="shared" si="2828"/>
        <v>https://www.google.com/search?tbm=isch&amp;q=Rubus%20idaeus%20%27NR7%27%20PP%2322141%20Raspberry%20Shortcake%C2%AE%20Raspberry%20%28BB%C2%AE%29</v>
      </c>
      <c r="BG3753" s="165" t="str">
        <f t="shared" si="2829"/>
        <v>R</v>
      </c>
      <c r="BH3753" s="65"/>
      <c r="BI3753" s="65"/>
      <c r="BJ3753" s="65"/>
      <c r="BK3753" s="65"/>
      <c r="BL3753" s="99"/>
      <c r="BM3753" s="99"/>
      <c r="BN3753" s="99"/>
    </row>
    <row r="3754" spans="1:66" s="51" customFormat="1" ht="15.75" x14ac:dyDescent="0.25">
      <c r="A3754" s="634">
        <v>1</v>
      </c>
      <c r="B3754" s="635" t="s">
        <v>291</v>
      </c>
      <c r="C3754" s="636"/>
      <c r="D3754" s="637" t="s">
        <v>329</v>
      </c>
      <c r="E3754" s="638">
        <v>29.95</v>
      </c>
      <c r="F3754" s="639" t="s">
        <v>292</v>
      </c>
      <c r="G3754" s="484">
        <v>0</v>
      </c>
      <c r="H3754" s="691" t="str">
        <f>IF(G3754=0,"",IF(F3754="Buy",IF(G3754=1,"plant","plants"),IF(F3754&gt;0.01,"warranty","Error")))</f>
        <v/>
      </c>
      <c r="I3754" s="640">
        <f>IF(H3754="free",0,IF(H3754="credit",((E3754*(F3754))*G3754*-1),IF(F3754="Buy",(E3754*G3754),((E3754*(1-F3754))*G3754))))</f>
        <v>0</v>
      </c>
      <c r="J3754" s="640">
        <f>IF(H3754="warranty",0,(I3754*(_xlfn.SINGLE(SalesTaxPercentage))))</f>
        <v>0</v>
      </c>
      <c r="K3754" s="716">
        <f t="shared" ref="K3754" si="2840">I3754+J3754</f>
        <v>0</v>
      </c>
      <c r="L3754" s="716"/>
      <c r="M3754" s="689" t="str">
        <f ca="1">IF(AND(G3754&gt;0,E3754=0),"WARNING - no PRICE inserted",IF(H3754="free","FREE ~ no charge this plant",IF(H3754="credit",CONCATENATE("-$",ROUND(K3754*(1-_xlfn.SINGLE(T2GDiscount))*-1,2)," CREDIT after discount"),IF(_xlfn.SINGLE(T2GDiscount)=0,"",IF(G3754=0,"",IF(F3754="Buy",CONCATENATE("$",ROUND(K3754*(1-_xlfn.SINGLE(T2GDiscount)),2)," with ",(_xlfn.SINGLE(T2GDiscount)*100),"% discount"),CONCATENATE("$",ROUND(K3754*(1-_xlfn.SINGLE(T2GDiscount)),2)," with ",((_xlfn.SINGLE(T2GDiscount)*100+F3754*100)-(_xlfn.SINGLE(T2GDiscount)*100*F3754)),IF(F3754&gt;0,"% discounts",IF(_xlfn.SINGLE(NoWarrantyDiscount)&gt;0,"% discounts","% discount")))))))))</f>
        <v/>
      </c>
      <c r="N3754" s="690"/>
      <c r="O3754" s="486"/>
      <c r="P3754" s="486"/>
      <c r="Q3754" s="486"/>
      <c r="R3754" s="486"/>
      <c r="S3754" s="486"/>
      <c r="T3754" s="102">
        <f t="shared" si="2817"/>
        <v>0</v>
      </c>
      <c r="U3754" s="78">
        <f>IF(NOT(ISNUMBER(G3754)), "", VLOOKUP(A3754,'Discount Lookup'!D:E,2,FALSE)*G3754)</f>
        <v>0</v>
      </c>
      <c r="V3754" s="78">
        <f>IF(NOT(ISNUMBER(G3754)), "", VLOOKUP(A3754,'Discount Lookup'!G:H,2,FALSE)*G3754)</f>
        <v>0</v>
      </c>
      <c r="W3754" s="102">
        <f t="shared" si="2818"/>
        <v>0</v>
      </c>
      <c r="X3754" s="102">
        <f t="shared" si="2819"/>
        <v>0</v>
      </c>
      <c r="Y3754" s="120" t="b">
        <f t="shared" si="2820"/>
        <v>0</v>
      </c>
      <c r="Z3754" s="117">
        <f t="shared" si="2821"/>
        <v>0</v>
      </c>
      <c r="AA3754" s="118"/>
      <c r="AB3754" s="118" t="str">
        <f t="shared" si="2822"/>
        <v/>
      </c>
      <c r="AC3754" s="712" t="str">
        <f>IF(AE3754="T2G","no charge",IF(AND(OR(PlanterYesMe="No",PlanterYesMe="N",PlanterYesMe="me"),H3754=""),"",IF(H3754="credit","NO install",IF(AND(K3754="",AE3754="me"),"EACH row",IF(AND(K3754="images",AE3754="me"),"EACH row",IF(D3754="","",IF(H3754="credit","",IF(AE3754="free","re-planting",IF(AE3754="me","   not ELP, by",IF(AND(OR(PlanterYesMe="Yes",PlanterYesMe="Y"),G3754&gt;0),(VLOOKUP(A3754,'Discount Lookup'!J:K,2)*G3754*(1-PlanterDiscount)*(1+PlanterDifficultyPercentage)),IF(AE3754="ELP",(VLOOKUP(A3754,'Discount Lookup'!J:K,2)*G3754*(1-PlanterDiscount)*(1+PlanterDifficultyPercentage)),IF(AE3754="free","re-planting",IF(G3754=0,"",IF(PlanterYesMe="",IF(AE3754="me","   not ELP, by",IF(AE3754="",IF(G3754&gt;0,(VLOOKUP(A3754,'Discount Lookup'!J:K,2)*G3754*(1-PlanterDiscount)*(1+PlanterDifficultyPercentage)),""),"")),"   not ELP, by"))))))))))))))</f>
        <v/>
      </c>
      <c r="AD3754" s="712"/>
      <c r="AE3754" s="513" t="str">
        <f t="shared" si="2823"/>
        <v/>
      </c>
      <c r="AF3754" s="713" t="str">
        <f t="shared" si="2824"/>
        <v/>
      </c>
      <c r="AG3754" s="713"/>
      <c r="AH3754" s="713"/>
      <c r="AI3754" s="112">
        <f>IF(H3754="credit",0,IF(AE3754="free",0,IF(AE3754="me",0,IF(G3754&gt;0,(VLOOKUP(A3754,'Discount Lookup'!J:K,2)*G3754),0))))</f>
        <v>0</v>
      </c>
      <c r="AJ3754" s="107" t="str">
        <f t="shared" ca="1" si="2825"/>
        <v/>
      </c>
      <c r="AK3754" s="714" t="str">
        <f t="shared" si="2826"/>
        <v/>
      </c>
      <c r="AL3754" s="714"/>
      <c r="AM3754" s="114" t="str">
        <f t="shared" si="2827"/>
        <v/>
      </c>
      <c r="AN3754" s="115"/>
      <c r="AO3754" s="116"/>
      <c r="AP3754" s="116"/>
      <c r="AQ3754" s="116"/>
      <c r="AR3754" s="116"/>
      <c r="AS3754" s="116"/>
      <c r="AT3754" s="116"/>
      <c r="AU3754" s="116"/>
      <c r="AV3754" s="78"/>
      <c r="AW3754" s="102"/>
      <c r="AX3754" s="78"/>
      <c r="AY3754" s="78"/>
      <c r="AZ3754" s="78"/>
      <c r="BA3754" s="78"/>
      <c r="BB3754" s="78"/>
      <c r="BC3754" s="78"/>
      <c r="BD3754" s="78"/>
      <c r="BE3754" s="465"/>
      <c r="BF3754" s="165" t="str">
        <f t="shared" si="2828"/>
        <v>https://www.google.com/search?tbm=isch&amp;q=1%20G2</v>
      </c>
      <c r="BG3754" s="165" t="str">
        <f t="shared" si="2829"/>
        <v>R</v>
      </c>
      <c r="BH3754" s="65"/>
      <c r="BI3754" s="65"/>
      <c r="BJ3754" s="65"/>
      <c r="BK3754" s="65"/>
      <c r="BL3754" s="99"/>
      <c r="BM3754" s="99"/>
      <c r="BN3754" s="99"/>
    </row>
    <row r="3755" spans="1:66" s="51" customFormat="1" ht="15.75" x14ac:dyDescent="0.25">
      <c r="A3755" s="634">
        <v>2</v>
      </c>
      <c r="B3755" s="635" t="s">
        <v>291</v>
      </c>
      <c r="C3755" s="636"/>
      <c r="D3755" s="637" t="s">
        <v>310</v>
      </c>
      <c r="E3755" s="638">
        <v>34.950000000000003</v>
      </c>
      <c r="F3755" s="639" t="s">
        <v>292</v>
      </c>
      <c r="G3755" s="484">
        <v>0</v>
      </c>
      <c r="H3755" s="691" t="str">
        <f>IF(G3755=0,"",IF(F3755="Buy",IF(G3755=1,"plant","plants"),IF(F3755&gt;0.01,"warranty","Error")))</f>
        <v/>
      </c>
      <c r="I3755" s="640">
        <f>IF(H3755="free",0,IF(H3755="credit",((E3755*(F3755))*G3755*-1),IF(F3755="Buy",(E3755*G3755),((E3755*(1-F3755))*G3755))))</f>
        <v>0</v>
      </c>
      <c r="J3755" s="640">
        <f>IF(H3755="warranty",0,(I3755*(_xlfn.SINGLE(SalesTaxPercentage))))</f>
        <v>0</v>
      </c>
      <c r="K3755" s="716">
        <f t="shared" ref="K3755" si="2841">I3755+J3755</f>
        <v>0</v>
      </c>
      <c r="L3755" s="716"/>
      <c r="M3755" s="689" t="str">
        <f ca="1">IF(AND(G3755&gt;0,E3755=0),"WARNING - no PRICE inserted",IF(H3755="free","FREE ~ no charge this plant",IF(H3755="credit",CONCATENATE("-$",ROUND(K3755*(1-_xlfn.SINGLE(T2GDiscount))*-1,2)," CREDIT after discount"),IF(_xlfn.SINGLE(T2GDiscount)=0,"",IF(G3755=0,"",IF(F3755="Buy",CONCATENATE("$",ROUND(K3755*(1-_xlfn.SINGLE(T2GDiscount)),2)," with ",(_xlfn.SINGLE(T2GDiscount)*100),"% discount"),CONCATENATE("$",ROUND(K3755*(1-_xlfn.SINGLE(T2GDiscount)),2)," with ",((_xlfn.SINGLE(T2GDiscount)*100+F3755*100)-(_xlfn.SINGLE(T2GDiscount)*100*F3755)),IF(F3755&gt;0,"% discounts",IF(_xlfn.SINGLE(NoWarrantyDiscount)&gt;0,"% discounts","% discount")))))))))</f>
        <v/>
      </c>
      <c r="N3755" s="690"/>
      <c r="O3755" s="486"/>
      <c r="P3755" s="486"/>
      <c r="Q3755" s="486"/>
      <c r="R3755" s="486"/>
      <c r="S3755" s="486"/>
      <c r="T3755" s="102">
        <f t="shared" si="2817"/>
        <v>0</v>
      </c>
      <c r="U3755" s="78">
        <f>IF(NOT(ISNUMBER(G3755)), "", VLOOKUP(A3755,'Discount Lookup'!D:E,2,FALSE)*G3755)</f>
        <v>0</v>
      </c>
      <c r="V3755" s="78">
        <f>IF(NOT(ISNUMBER(G3755)), "", VLOOKUP(A3755,'Discount Lookup'!G:H,2,FALSE)*G3755)</f>
        <v>0</v>
      </c>
      <c r="W3755" s="102">
        <f t="shared" si="2818"/>
        <v>0</v>
      </c>
      <c r="X3755" s="102">
        <f t="shared" si="2819"/>
        <v>0</v>
      </c>
      <c r="Y3755" s="120" t="b">
        <f t="shared" si="2820"/>
        <v>0</v>
      </c>
      <c r="Z3755" s="117">
        <f t="shared" si="2821"/>
        <v>0</v>
      </c>
      <c r="AA3755" s="118"/>
      <c r="AB3755" s="118" t="str">
        <f t="shared" si="2822"/>
        <v/>
      </c>
      <c r="AC3755" s="712" t="str">
        <f>IF(AE3755="T2G","no charge",IF(AND(OR(PlanterYesMe="No",PlanterYesMe="N",PlanterYesMe="me"),H3755=""),"",IF(H3755="credit","NO install",IF(AND(K3755="",AE3755="me"),"EACH row",IF(AND(K3755="images",AE3755="me"),"EACH row",IF(D3755="","",IF(H3755="credit","",IF(AE3755="free","re-planting",IF(AE3755="me","   not ELP, by",IF(AND(OR(PlanterYesMe="Yes",PlanterYesMe="Y"),G3755&gt;0),(VLOOKUP(A3755,'Discount Lookup'!J:K,2)*G3755*(1-PlanterDiscount)*(1+PlanterDifficultyPercentage)),IF(AE3755="ELP",(VLOOKUP(A3755,'Discount Lookup'!J:K,2)*G3755*(1-PlanterDiscount)*(1+PlanterDifficultyPercentage)),IF(AE3755="free","re-planting",IF(G3755=0,"",IF(PlanterYesMe="",IF(AE3755="me","   not ELP, by",IF(AE3755="",IF(G3755&gt;0,(VLOOKUP(A3755,'Discount Lookup'!J:K,2)*G3755*(1-PlanterDiscount)*(1+PlanterDifficultyPercentage)),""),"")),"   not ELP, by"))))))))))))))</f>
        <v/>
      </c>
      <c r="AD3755" s="712"/>
      <c r="AE3755" s="513" t="str">
        <f t="shared" si="2823"/>
        <v/>
      </c>
      <c r="AF3755" s="713" t="str">
        <f t="shared" si="2824"/>
        <v/>
      </c>
      <c r="AG3755" s="713"/>
      <c r="AH3755" s="713"/>
      <c r="AI3755" s="112">
        <f>IF(H3755="credit",0,IF(AE3755="free",0,IF(AE3755="me",0,IF(G3755&gt;0,(VLOOKUP(A3755,'Discount Lookup'!J:K,2)*G3755),0))))</f>
        <v>0</v>
      </c>
      <c r="AJ3755" s="107" t="str">
        <f t="shared" ca="1" si="2825"/>
        <v/>
      </c>
      <c r="AK3755" s="714" t="str">
        <f t="shared" si="2826"/>
        <v/>
      </c>
      <c r="AL3755" s="714"/>
      <c r="AM3755" s="114" t="str">
        <f t="shared" si="2827"/>
        <v/>
      </c>
      <c r="AN3755" s="115"/>
      <c r="AO3755" s="116"/>
      <c r="AP3755" s="116"/>
      <c r="AQ3755" s="116"/>
      <c r="AR3755" s="116"/>
      <c r="AS3755" s="116"/>
      <c r="AT3755" s="116"/>
      <c r="AU3755" s="116"/>
      <c r="AV3755" s="78"/>
      <c r="AW3755" s="102"/>
      <c r="AX3755" s="78"/>
      <c r="AY3755" s="78"/>
      <c r="AZ3755" s="78"/>
      <c r="BA3755" s="78"/>
      <c r="BB3755" s="78"/>
      <c r="BC3755" s="78"/>
      <c r="BD3755" s="78"/>
      <c r="BE3755" s="465"/>
      <c r="BF3755" s="165" t="str">
        <f t="shared" si="2828"/>
        <v>https://www.google.com/search?tbm=isch&amp;q=2%20G1</v>
      </c>
      <c r="BG3755" s="165" t="str">
        <f t="shared" si="2829"/>
        <v>R</v>
      </c>
      <c r="BH3755" s="65"/>
      <c r="BI3755" s="65"/>
      <c r="BJ3755" s="65"/>
      <c r="BK3755" s="65"/>
      <c r="BL3755" s="99"/>
      <c r="BM3755" s="99"/>
      <c r="BN3755" s="99"/>
    </row>
    <row r="3756" spans="1:66" s="51" customFormat="1" ht="17.25" thickBot="1" x14ac:dyDescent="0.3">
      <c r="A3756" s="641" t="s">
        <v>4137</v>
      </c>
      <c r="B3756" s="642"/>
      <c r="C3756" s="710"/>
      <c r="D3756" s="643"/>
      <c r="E3756" s="643"/>
      <c r="F3756" s="644"/>
      <c r="G3756" s="645"/>
      <c r="H3756" s="646"/>
      <c r="I3756" s="647"/>
      <c r="J3756" s="648"/>
      <c r="K3756" s="649"/>
      <c r="L3756" s="650"/>
      <c r="M3756" s="650"/>
      <c r="N3756" s="644"/>
      <c r="O3756" s="644"/>
      <c r="P3756" s="644"/>
      <c r="Q3756" s="644"/>
      <c r="R3756" s="644"/>
      <c r="S3756" s="701" t="s">
        <v>5251</v>
      </c>
      <c r="T3756" s="102">
        <f t="shared" si="2817"/>
        <v>0</v>
      </c>
      <c r="U3756" s="78" t="str">
        <f>IF(NOT(ISNUMBER(G3756)), "", VLOOKUP(A3756,'Discount Lookup'!D:E,2,FALSE)*G3756)</f>
        <v/>
      </c>
      <c r="V3756" s="78" t="str">
        <f>IF(NOT(ISNUMBER(G3756)), "", VLOOKUP(A3756,'Discount Lookup'!G:H,2,FALSE)*G3756)</f>
        <v/>
      </c>
      <c r="W3756" s="102">
        <f t="shared" si="2818"/>
        <v>0</v>
      </c>
      <c r="X3756" s="102">
        <f t="shared" si="2819"/>
        <v>0</v>
      </c>
      <c r="Y3756" s="120" t="b">
        <f t="shared" si="2820"/>
        <v>0</v>
      </c>
      <c r="Z3756" s="117">
        <f t="shared" si="2821"/>
        <v>0</v>
      </c>
      <c r="AA3756" s="118"/>
      <c r="AB3756" s="118" t="str">
        <f t="shared" si="2822"/>
        <v/>
      </c>
      <c r="AC3756" s="712" t="str">
        <f>IF(AE3756="T2G","no charge",IF(AND(OR(PlanterYesMe="No",PlanterYesMe="N",PlanterYesMe="me"),H3756=""),"",IF(H3756="credit","NO install",IF(AND(K3756="",AE3756="me"),"EACH row",IF(AND(K3756="images",AE3756="me"),"EACH row",IF(D3756="","",IF(H3756="credit","",IF(AE3756="free","re-planting",IF(AE3756="me","   not ELP, by",IF(AND(OR(PlanterYesMe="Yes",PlanterYesMe="Y"),G3756&gt;0),(VLOOKUP(A3756,'Discount Lookup'!J:K,2)*G3756*(1-PlanterDiscount)*(1+PlanterDifficultyPercentage)),IF(AE3756="ELP",(VLOOKUP(A3756,'Discount Lookup'!J:K,2)*G3756*(1-PlanterDiscount)*(1+PlanterDifficultyPercentage)),IF(AE3756="free","re-planting",IF(G3756=0,"",IF(PlanterYesMe="",IF(AE3756="me","   not ELP, by",IF(AE3756="",IF(G3756&gt;0,(VLOOKUP(A3756,'Discount Lookup'!J:K,2)*G3756*(1-PlanterDiscount)*(1+PlanterDifficultyPercentage)),""),"")),"   not ELP, by"))))))))))))))</f>
        <v/>
      </c>
      <c r="AD3756" s="712"/>
      <c r="AE3756" s="513" t="str">
        <f t="shared" si="2823"/>
        <v/>
      </c>
      <c r="AF3756" s="713" t="str">
        <f t="shared" si="2824"/>
        <v/>
      </c>
      <c r="AG3756" s="713"/>
      <c r="AH3756" s="713"/>
      <c r="AI3756" s="112">
        <f>IF(H3756="credit",0,IF(AE3756="free",0,IF(AE3756="me",0,IF(G3756&gt;0,(VLOOKUP(A3756,'Discount Lookup'!J:K,2)*G3756),0))))</f>
        <v>0</v>
      </c>
      <c r="AJ3756" s="107" t="str">
        <f t="shared" ca="1" si="2825"/>
        <v/>
      </c>
      <c r="AK3756" s="714" t="str">
        <f t="shared" si="2826"/>
        <v/>
      </c>
      <c r="AL3756" s="714"/>
      <c r="AM3756" s="114" t="str">
        <f t="shared" si="2827"/>
        <v/>
      </c>
      <c r="AN3756" s="115"/>
      <c r="AO3756" s="116"/>
      <c r="AP3756" s="116"/>
      <c r="AQ3756" s="116"/>
      <c r="AR3756" s="116"/>
      <c r="AS3756" s="116"/>
      <c r="AT3756" s="116"/>
      <c r="AU3756" s="116"/>
      <c r="AV3756" s="78"/>
      <c r="AW3756" s="102"/>
      <c r="AX3756" s="78"/>
      <c r="AY3756" s="78"/>
      <c r="AZ3756" s="78"/>
      <c r="BA3756" s="78"/>
      <c r="BB3756" s="78"/>
      <c r="BC3756" s="78"/>
      <c r="BD3756" s="78"/>
      <c r="BE3756" s="465"/>
      <c r="BF3756" s="165" t="str">
        <f t="shared" si="2828"/>
        <v>https://www.google.com/search?tbm=isch&amp;q=Shortcake%20is%20thornless%2C%20producing%20full%20size%20vanilla%20flavored%20berries.%20No%20staking%20needed.%20Self-pollinating%20</v>
      </c>
      <c r="BG3756" s="165" t="str">
        <f t="shared" si="2829"/>
        <v>S</v>
      </c>
      <c r="BH3756" s="65"/>
      <c r="BI3756" s="65"/>
      <c r="BJ3756" s="65"/>
      <c r="BK3756" s="65"/>
      <c r="BL3756" s="99"/>
      <c r="BM3756" s="99"/>
      <c r="BN3756" s="99"/>
    </row>
    <row r="3757" spans="1:66" s="51" customFormat="1" ht="18" x14ac:dyDescent="0.25">
      <c r="A3757" s="623" t="s">
        <v>4138</v>
      </c>
      <c r="B3757" s="624"/>
      <c r="C3757" s="709"/>
      <c r="D3757" s="625" t="s">
        <v>5817</v>
      </c>
      <c r="E3757" s="626"/>
      <c r="F3757" s="626"/>
      <c r="G3757" s="626"/>
      <c r="H3757" s="622" t="s">
        <v>1270</v>
      </c>
      <c r="I3757" s="627" t="s">
        <v>349</v>
      </c>
      <c r="J3757" s="628"/>
      <c r="K3757" s="628"/>
      <c r="L3757" s="629"/>
      <c r="M3757" s="700" t="s">
        <v>5241</v>
      </c>
      <c r="N3757" s="693" t="str">
        <f>IF(AND(ISTEXT($A3757), ISERROR($A3757+0)), HYPERLINK($BF3757, "Images"), "")</f>
        <v>Images</v>
      </c>
      <c r="O3757" s="695" t="s">
        <v>5247</v>
      </c>
      <c r="P3757" s="630"/>
      <c r="Q3757" s="631"/>
      <c r="R3757" s="632"/>
      <c r="S3757" s="633"/>
      <c r="T3757" s="102">
        <f t="shared" si="2817"/>
        <v>0</v>
      </c>
      <c r="U3757" s="78" t="str">
        <f>IF(NOT(ISNUMBER(G3757)), "", VLOOKUP(A3757,'Discount Lookup'!D:E,2,FALSE)*G3757)</f>
        <v/>
      </c>
      <c r="V3757" s="78" t="str">
        <f>IF(NOT(ISNUMBER(G3757)), "", VLOOKUP(A3757,'Discount Lookup'!G:H,2,FALSE)*G3757)</f>
        <v/>
      </c>
      <c r="W3757" s="102">
        <f t="shared" si="2818"/>
        <v>0</v>
      </c>
      <c r="X3757" s="102" t="str">
        <f t="shared" si="2819"/>
        <v>White bloom</v>
      </c>
      <c r="Y3757" s="120" t="b">
        <f t="shared" si="2820"/>
        <v>0</v>
      </c>
      <c r="Z3757" s="117">
        <f t="shared" si="2821"/>
        <v>0</v>
      </c>
      <c r="AA3757" s="118"/>
      <c r="AB3757" s="118" t="str">
        <f t="shared" si="2822"/>
        <v/>
      </c>
      <c r="AC3757" s="712" t="str">
        <f>IF(AE3757="T2G","no charge",IF(AND(OR(PlanterYesMe="No",PlanterYesMe="N",PlanterYesMe="me"),H3757=""),"",IF(H3757="credit","NO install",IF(AND(K3757="",AE3757="me"),"EACH row",IF(AND(K3757="images",AE3757="me"),"EACH row",IF(D3757="","",IF(H3757="credit","",IF(AE3757="free","re-planting",IF(AE3757="me","   not ELP, by",IF(AND(OR(PlanterYesMe="Yes",PlanterYesMe="Y"),G3757&gt;0),(VLOOKUP(A3757,'Discount Lookup'!J:K,2)*G3757*(1-PlanterDiscount)*(1+PlanterDifficultyPercentage)),IF(AE3757="ELP",(VLOOKUP(A3757,'Discount Lookup'!J:K,2)*G3757*(1-PlanterDiscount)*(1+PlanterDifficultyPercentage)),IF(AE3757="free","re-planting",IF(G3757=0,"",IF(PlanterYesMe="",IF(AE3757="me","   not ELP, by",IF(AE3757="",IF(G3757&gt;0,(VLOOKUP(A3757,'Discount Lookup'!J:K,2)*G3757*(1-PlanterDiscount)*(1+PlanterDifficultyPercentage)),""),"")),"   not ELP, by"))))))))))))))</f>
        <v/>
      </c>
      <c r="AD3757" s="712"/>
      <c r="AE3757" s="513" t="str">
        <f t="shared" si="2823"/>
        <v/>
      </c>
      <c r="AF3757" s="713" t="str">
        <f t="shared" si="2824"/>
        <v/>
      </c>
      <c r="AG3757" s="713"/>
      <c r="AH3757" s="713"/>
      <c r="AI3757" s="112">
        <f>IF(H3757="credit",0,IF(AE3757="free",0,IF(AE3757="me",0,IF(G3757&gt;0,(VLOOKUP(A3757,'Discount Lookup'!J:K,2)*G3757),0))))</f>
        <v>0</v>
      </c>
      <c r="AJ3757" s="107" t="str">
        <f t="shared" ca="1" si="2825"/>
        <v/>
      </c>
      <c r="AK3757" s="714" t="str">
        <f t="shared" si="2826"/>
        <v/>
      </c>
      <c r="AL3757" s="714"/>
      <c r="AM3757" s="114" t="str">
        <f t="shared" si="2827"/>
        <v/>
      </c>
      <c r="AN3757" s="115"/>
      <c r="AO3757" s="116"/>
      <c r="AP3757" s="116"/>
      <c r="AQ3757" s="116"/>
      <c r="AR3757" s="116"/>
      <c r="AS3757" s="116"/>
      <c r="AT3757" s="116"/>
      <c r="AU3757" s="116"/>
      <c r="AV3757" s="78"/>
      <c r="AW3757" s="102"/>
      <c r="AX3757" s="78"/>
      <c r="AY3757" s="78"/>
      <c r="AZ3757" s="78"/>
      <c r="BA3757" s="78"/>
      <c r="BB3757" s="78"/>
      <c r="BC3757" s="78"/>
      <c r="BD3757" s="78"/>
      <c r="BE3757" s="465"/>
      <c r="BF3757" s="165" t="str">
        <f t="shared" si="2828"/>
        <v>https://www.google.com/search?tbm=isch&amp;q=Rubus%20%27Ponca%27%20PP%2333330%20Taste%20of%20Heaven%E2%84%A2%20Blackberry</v>
      </c>
      <c r="BG3757" s="165" t="str">
        <f t="shared" si="2829"/>
        <v>R</v>
      </c>
      <c r="BH3757" s="65"/>
      <c r="BI3757" s="65"/>
      <c r="BJ3757" s="65"/>
      <c r="BK3757" s="65"/>
      <c r="BL3757" s="99"/>
      <c r="BM3757" s="99"/>
      <c r="BN3757" s="99"/>
    </row>
    <row r="3758" spans="1:66" s="51" customFormat="1" ht="27" x14ac:dyDescent="0.25">
      <c r="A3758" s="634">
        <v>3</v>
      </c>
      <c r="B3758" s="635" t="s">
        <v>291</v>
      </c>
      <c r="C3758" s="636" t="s">
        <v>4139</v>
      </c>
      <c r="D3758" s="637" t="s">
        <v>311</v>
      </c>
      <c r="E3758" s="638">
        <v>42.95</v>
      </c>
      <c r="F3758" s="639" t="s">
        <v>292</v>
      </c>
      <c r="G3758" s="484">
        <v>0</v>
      </c>
      <c r="H3758" s="691" t="str">
        <f>IF(G3758=0,"",IF(F3758="Buy",IF(G3758=1,"plant","plants"),IF(F3758&gt;0.01,"warranty","Error")))</f>
        <v/>
      </c>
      <c r="I3758" s="640">
        <f>IF(H3758="free",0,IF(H3758="credit",((E3758*(F3758))*G3758*-1),IF(F3758="Buy",(E3758*G3758),((E3758*(1-F3758))*G3758))))</f>
        <v>0</v>
      </c>
      <c r="J3758" s="640">
        <f>IF(H3758="warranty",0,(I3758*(_xlfn.SINGLE(SalesTaxPercentage))))</f>
        <v>0</v>
      </c>
      <c r="K3758" s="716">
        <f t="shared" ref="K3758" si="2842">I3758+J3758</f>
        <v>0</v>
      </c>
      <c r="L3758" s="716"/>
      <c r="M3758" s="689" t="str">
        <f ca="1">IF(AND(G3758&gt;0,E3758=0),"WARNING - no PRICE inserted",IF(H3758="free","FREE ~ no charge this plant",IF(H3758="credit",CONCATENATE("-$",ROUND(K3758*(1-_xlfn.SINGLE(T2GDiscount))*-1,2)," CREDIT after discount"),IF(_xlfn.SINGLE(T2GDiscount)=0,"",IF(G3758=0,"",IF(F3758="Buy",CONCATENATE("$",ROUND(K3758*(1-_xlfn.SINGLE(T2GDiscount)),2)," with ",(_xlfn.SINGLE(T2GDiscount)*100),"% discount"),CONCATENATE("$",ROUND(K3758*(1-_xlfn.SINGLE(T2GDiscount)),2)," with ",((_xlfn.SINGLE(T2GDiscount)*100+F3758*100)-(_xlfn.SINGLE(T2GDiscount)*100*F3758)),IF(F3758&gt;0,"% discounts",IF(_xlfn.SINGLE(NoWarrantyDiscount)&gt;0,"% discounts","% discount")))))))))</f>
        <v/>
      </c>
      <c r="N3758" s="690"/>
      <c r="O3758" s="486"/>
      <c r="P3758" s="486"/>
      <c r="Q3758" s="486"/>
      <c r="R3758" s="486"/>
      <c r="S3758" s="486"/>
      <c r="T3758" s="102">
        <f t="shared" si="2817"/>
        <v>0</v>
      </c>
      <c r="U3758" s="78">
        <f>IF(NOT(ISNUMBER(G3758)), "", VLOOKUP(A3758,'Discount Lookup'!D:E,2,FALSE)*G3758)</f>
        <v>0</v>
      </c>
      <c r="V3758" s="78">
        <f>IF(NOT(ISNUMBER(G3758)), "", VLOOKUP(A3758,'Discount Lookup'!G:H,2,FALSE)*G3758)</f>
        <v>0</v>
      </c>
      <c r="W3758" s="102">
        <f t="shared" si="2818"/>
        <v>0</v>
      </c>
      <c r="X3758" s="102">
        <f t="shared" si="2819"/>
        <v>0</v>
      </c>
      <c r="Y3758" s="120" t="b">
        <f t="shared" si="2820"/>
        <v>0</v>
      </c>
      <c r="Z3758" s="117">
        <f t="shared" si="2821"/>
        <v>0</v>
      </c>
      <c r="AA3758" s="118"/>
      <c r="AB3758" s="118" t="str">
        <f t="shared" si="2822"/>
        <v/>
      </c>
      <c r="AC3758" s="712" t="str">
        <f>IF(AE3758="T2G","no charge",IF(AND(OR(PlanterYesMe="No",PlanterYesMe="N",PlanterYesMe="me"),H3758=""),"",IF(H3758="credit","NO install",IF(AND(K3758="",AE3758="me"),"EACH row",IF(AND(K3758="images",AE3758="me"),"EACH row",IF(D3758="","",IF(H3758="credit","",IF(AE3758="free","re-planting",IF(AE3758="me","   not ELP, by",IF(AND(OR(PlanterYesMe="Yes",PlanterYesMe="Y"),G3758&gt;0),(VLOOKUP(A3758,'Discount Lookup'!J:K,2)*G3758*(1-PlanterDiscount)*(1+PlanterDifficultyPercentage)),IF(AE3758="ELP",(VLOOKUP(A3758,'Discount Lookup'!J:K,2)*G3758*(1-PlanterDiscount)*(1+PlanterDifficultyPercentage)),IF(AE3758="free","re-planting",IF(G3758=0,"",IF(PlanterYesMe="",IF(AE3758="me","   not ELP, by",IF(AE3758="",IF(G3758&gt;0,(VLOOKUP(A3758,'Discount Lookup'!J:K,2)*G3758*(1-PlanterDiscount)*(1+PlanterDifficultyPercentage)),""),"")),"   not ELP, by"))))))))))))))</f>
        <v/>
      </c>
      <c r="AD3758" s="712"/>
      <c r="AE3758" s="513" t="str">
        <f t="shared" si="2823"/>
        <v/>
      </c>
      <c r="AF3758" s="713" t="str">
        <f t="shared" si="2824"/>
        <v/>
      </c>
      <c r="AG3758" s="713"/>
      <c r="AH3758" s="713"/>
      <c r="AI3758" s="112">
        <f>IF(H3758="credit",0,IF(AE3758="free",0,IF(AE3758="me",0,IF(G3758&gt;0,(VLOOKUP(A3758,'Discount Lookup'!J:K,2)*G3758),0))))</f>
        <v>0</v>
      </c>
      <c r="AJ3758" s="107" t="str">
        <f t="shared" ca="1" si="2825"/>
        <v/>
      </c>
      <c r="AK3758" s="714" t="str">
        <f t="shared" si="2826"/>
        <v/>
      </c>
      <c r="AL3758" s="714"/>
      <c r="AM3758" s="114" t="str">
        <f t="shared" si="2827"/>
        <v/>
      </c>
      <c r="AN3758" s="115"/>
      <c r="AO3758" s="116"/>
      <c r="AP3758" s="116"/>
      <c r="AQ3758" s="116"/>
      <c r="AR3758" s="116"/>
      <c r="AS3758" s="116"/>
      <c r="AT3758" s="116"/>
      <c r="AU3758" s="116"/>
      <c r="AV3758" s="78"/>
      <c r="AW3758" s="102"/>
      <c r="AX3758" s="78"/>
      <c r="AY3758" s="78"/>
      <c r="AZ3758" s="78"/>
      <c r="BA3758" s="78"/>
      <c r="BB3758" s="78"/>
      <c r="BC3758" s="78"/>
      <c r="BD3758" s="78"/>
      <c r="BE3758" s="465"/>
      <c r="BF3758" s="165" t="str">
        <f t="shared" si="2828"/>
        <v>https://www.google.com/search?tbm=isch&amp;q=3%20G5</v>
      </c>
      <c r="BG3758" s="165" t="str">
        <f t="shared" si="2829"/>
        <v>R</v>
      </c>
      <c r="BH3758" s="65"/>
      <c r="BI3758" s="65"/>
      <c r="BJ3758" s="65"/>
      <c r="BK3758" s="65"/>
      <c r="BL3758" s="99"/>
      <c r="BM3758" s="99"/>
      <c r="BN3758" s="99"/>
    </row>
    <row r="3759" spans="1:66" s="51" customFormat="1" ht="17.25" thickBot="1" x14ac:dyDescent="0.3">
      <c r="A3759" s="641" t="s">
        <v>4797</v>
      </c>
      <c r="B3759" s="642"/>
      <c r="C3759" s="710"/>
      <c r="D3759" s="643"/>
      <c r="E3759" s="643"/>
      <c r="F3759" s="644"/>
      <c r="G3759" s="645"/>
      <c r="H3759" s="646"/>
      <c r="I3759" s="647"/>
      <c r="J3759" s="648"/>
      <c r="K3759" s="649"/>
      <c r="L3759" s="650"/>
      <c r="M3759" s="650"/>
      <c r="N3759" s="644"/>
      <c r="O3759" s="644"/>
      <c r="P3759" s="644"/>
      <c r="Q3759" s="644"/>
      <c r="R3759" s="644"/>
      <c r="S3759" s="701" t="s">
        <v>5251</v>
      </c>
      <c r="T3759" s="102">
        <f t="shared" si="2817"/>
        <v>0</v>
      </c>
      <c r="U3759" s="78" t="str">
        <f>IF(NOT(ISNUMBER(G3759)), "", VLOOKUP(A3759,'Discount Lookup'!D:E,2,FALSE)*G3759)</f>
        <v/>
      </c>
      <c r="V3759" s="78" t="str">
        <f>IF(NOT(ISNUMBER(G3759)), "", VLOOKUP(A3759,'Discount Lookup'!G:H,2,FALSE)*G3759)</f>
        <v/>
      </c>
      <c r="W3759" s="102">
        <f t="shared" si="2818"/>
        <v>0</v>
      </c>
      <c r="X3759" s="102">
        <f t="shared" si="2819"/>
        <v>0</v>
      </c>
      <c r="Y3759" s="120" t="b">
        <f t="shared" si="2820"/>
        <v>0</v>
      </c>
      <c r="Z3759" s="117">
        <f t="shared" si="2821"/>
        <v>0</v>
      </c>
      <c r="AA3759" s="118"/>
      <c r="AB3759" s="118" t="str">
        <f t="shared" si="2822"/>
        <v/>
      </c>
      <c r="AC3759" s="712" t="str">
        <f>IF(AE3759="T2G","no charge",IF(AND(OR(PlanterYesMe="No",PlanterYesMe="N",PlanterYesMe="me"),H3759=""),"",IF(H3759="credit","NO install",IF(AND(K3759="",AE3759="me"),"EACH row",IF(AND(K3759="images",AE3759="me"),"EACH row",IF(D3759="","",IF(H3759="credit","",IF(AE3759="free","re-planting",IF(AE3759="me","   not ELP, by",IF(AND(OR(PlanterYesMe="Yes",PlanterYesMe="Y"),G3759&gt;0),(VLOOKUP(A3759,'Discount Lookup'!J:K,2)*G3759*(1-PlanterDiscount)*(1+PlanterDifficultyPercentage)),IF(AE3759="ELP",(VLOOKUP(A3759,'Discount Lookup'!J:K,2)*G3759*(1-PlanterDiscount)*(1+PlanterDifficultyPercentage)),IF(AE3759="free","re-planting",IF(G3759=0,"",IF(PlanterYesMe="",IF(AE3759="me","   not ELP, by",IF(AE3759="",IF(G3759&gt;0,(VLOOKUP(A3759,'Discount Lookup'!J:K,2)*G3759*(1-PlanterDiscount)*(1+PlanterDifficultyPercentage)),""),"")),"   not ELP, by"))))))))))))))</f>
        <v/>
      </c>
      <c r="AD3759" s="712"/>
      <c r="AE3759" s="513" t="str">
        <f t="shared" si="2823"/>
        <v/>
      </c>
      <c r="AF3759" s="713" t="str">
        <f t="shared" si="2824"/>
        <v/>
      </c>
      <c r="AG3759" s="713"/>
      <c r="AH3759" s="713"/>
      <c r="AI3759" s="112">
        <f>IF(H3759="credit",0,IF(AE3759="free",0,IF(AE3759="me",0,IF(G3759&gt;0,(VLOOKUP(A3759,'Discount Lookup'!J:K,2)*G3759),0))))</f>
        <v>0</v>
      </c>
      <c r="AJ3759" s="107" t="str">
        <f t="shared" ca="1" si="2825"/>
        <v/>
      </c>
      <c r="AK3759" s="714" t="str">
        <f t="shared" si="2826"/>
        <v/>
      </c>
      <c r="AL3759" s="714"/>
      <c r="AM3759" s="114" t="str">
        <f t="shared" si="2827"/>
        <v/>
      </c>
      <c r="AN3759" s="115"/>
      <c r="AO3759" s="116"/>
      <c r="AP3759" s="116"/>
      <c r="AQ3759" s="116"/>
      <c r="AR3759" s="116"/>
      <c r="AS3759" s="116"/>
      <c r="AT3759" s="116"/>
      <c r="AU3759" s="116"/>
      <c r="AV3759" s="78"/>
      <c r="AW3759" s="102"/>
      <c r="AX3759" s="78"/>
      <c r="AY3759" s="78"/>
      <c r="AZ3759" s="78"/>
      <c r="BA3759" s="78"/>
      <c r="BB3759" s="78"/>
      <c r="BC3759" s="78"/>
      <c r="BD3759" s="78"/>
      <c r="BE3759" s="465"/>
      <c r="BF3759" s="165" t="str">
        <f t="shared" si="2828"/>
        <v>https://www.google.com/search?tbm=isch&amp;q=Taste%20of%20Heaven%20delivers%20exceptionally%20sweet%2C%20early%20fruit%20on%20thornless%20upright%20canes.%20Self-pollinating%20</v>
      </c>
      <c r="BG3759" s="165" t="str">
        <f t="shared" si="2829"/>
        <v>T</v>
      </c>
      <c r="BH3759" s="65"/>
      <c r="BI3759" s="65"/>
      <c r="BJ3759" s="65"/>
      <c r="BK3759" s="65"/>
      <c r="BL3759" s="99"/>
      <c r="BM3759" s="99"/>
      <c r="BN3759" s="99"/>
    </row>
    <row r="3760" spans="1:66" s="51" customFormat="1" ht="18" x14ac:dyDescent="0.25">
      <c r="A3760" s="507" t="s">
        <v>4140</v>
      </c>
      <c r="B3760" s="470"/>
      <c r="C3760" s="706"/>
      <c r="D3760" s="471" t="s">
        <v>4141</v>
      </c>
      <c r="E3760" s="472"/>
      <c r="F3760" s="472"/>
      <c r="G3760" s="472"/>
      <c r="H3760" s="622" t="s">
        <v>2536</v>
      </c>
      <c r="I3760" s="473" t="s">
        <v>349</v>
      </c>
      <c r="J3760" s="472"/>
      <c r="K3760" s="472"/>
      <c r="L3760" s="561"/>
      <c r="M3760" s="698" t="s">
        <v>5246</v>
      </c>
      <c r="N3760" s="692" t="str">
        <f>IF(AND(ISTEXT($A3760), ISERROR($A3760+0)), HYPERLINK($BF3760, "Images"), "")</f>
        <v>Images</v>
      </c>
      <c r="O3760" s="694" t="s">
        <v>5247</v>
      </c>
      <c r="P3760" s="475"/>
      <c r="Q3760" s="476"/>
      <c r="R3760" s="476"/>
      <c r="S3760" s="477"/>
      <c r="T3760" s="102">
        <f t="shared" si="2817"/>
        <v>0</v>
      </c>
      <c r="U3760" s="78" t="str">
        <f>IF(NOT(ISNUMBER(G3760)), "", VLOOKUP(A3760,'Discount Lookup'!D:E,2,FALSE)*G3760)</f>
        <v/>
      </c>
      <c r="V3760" s="78" t="str">
        <f>IF(NOT(ISNUMBER(G3760)), "", VLOOKUP(A3760,'Discount Lookup'!G:H,2,FALSE)*G3760)</f>
        <v/>
      </c>
      <c r="W3760" s="102">
        <f t="shared" si="2818"/>
        <v>0</v>
      </c>
      <c r="X3760" s="102" t="str">
        <f t="shared" si="2819"/>
        <v>White bloom</v>
      </c>
      <c r="Y3760" s="120" t="b">
        <f t="shared" si="2820"/>
        <v>0</v>
      </c>
      <c r="Z3760" s="117">
        <f t="shared" si="2821"/>
        <v>0</v>
      </c>
      <c r="AA3760" s="118"/>
      <c r="AB3760" s="118" t="str">
        <f t="shared" si="2822"/>
        <v/>
      </c>
      <c r="AC3760" s="712" t="str">
        <f>IF(AE3760="T2G","no charge",IF(AND(OR(PlanterYesMe="No",PlanterYesMe="N",PlanterYesMe="me"),H3760=""),"",IF(H3760="credit","NO install",IF(AND(K3760="",AE3760="me"),"EACH row",IF(AND(K3760="images",AE3760="me"),"EACH row",IF(D3760="","",IF(H3760="credit","",IF(AE3760="free","re-planting",IF(AE3760="me","   not ELP, by",IF(AND(OR(PlanterYesMe="Yes",PlanterYesMe="Y"),G3760&gt;0),(VLOOKUP(A3760,'Discount Lookup'!J:K,2)*G3760*(1-PlanterDiscount)*(1+PlanterDifficultyPercentage)),IF(AE3760="ELP",(VLOOKUP(A3760,'Discount Lookup'!J:K,2)*G3760*(1-PlanterDiscount)*(1+PlanterDifficultyPercentage)),IF(AE3760="free","re-planting",IF(G3760=0,"",IF(PlanterYesMe="",IF(AE3760="me","   not ELP, by",IF(AE3760="",IF(G3760&gt;0,(VLOOKUP(A3760,'Discount Lookup'!J:K,2)*G3760*(1-PlanterDiscount)*(1+PlanterDifficultyPercentage)),""),"")),"   not ELP, by"))))))))))))))</f>
        <v/>
      </c>
      <c r="AD3760" s="712"/>
      <c r="AE3760" s="513" t="str">
        <f t="shared" si="2823"/>
        <v/>
      </c>
      <c r="AF3760" s="713" t="str">
        <f t="shared" si="2824"/>
        <v/>
      </c>
      <c r="AG3760" s="713"/>
      <c r="AH3760" s="713"/>
      <c r="AI3760" s="112">
        <f>IF(H3760="credit",0,IF(AE3760="free",0,IF(AE3760="me",0,IF(G3760&gt;0,(VLOOKUP(A3760,'Discount Lookup'!J:K,2)*G3760),0))))</f>
        <v>0</v>
      </c>
      <c r="AJ3760" s="107" t="str">
        <f t="shared" ca="1" si="2825"/>
        <v/>
      </c>
      <c r="AK3760" s="714" t="str">
        <f t="shared" si="2826"/>
        <v/>
      </c>
      <c r="AL3760" s="714"/>
      <c r="AM3760" s="114" t="str">
        <f t="shared" si="2827"/>
        <v/>
      </c>
      <c r="AN3760" s="115"/>
      <c r="AO3760" s="116"/>
      <c r="AP3760" s="116"/>
      <c r="AQ3760" s="116"/>
      <c r="AR3760" s="116"/>
      <c r="AS3760" s="116"/>
      <c r="AT3760" s="116"/>
      <c r="AU3760" s="116"/>
      <c r="AV3760" s="78"/>
      <c r="AW3760" s="102"/>
      <c r="AX3760" s="78"/>
      <c r="AY3760" s="78"/>
      <c r="AZ3760" s="78"/>
      <c r="BA3760" s="78"/>
      <c r="BB3760" s="78"/>
      <c r="BC3760" s="78"/>
      <c r="BD3760" s="78"/>
      <c r="BE3760" s="465"/>
      <c r="BF3760" s="165" t="str">
        <f t="shared" si="2828"/>
        <v>https://www.google.com/search?tbm=isch&amp;q=Rubus%20rolfei%20Creeping%20Raspberry</v>
      </c>
      <c r="BG3760" s="165" t="str">
        <f t="shared" si="2829"/>
        <v>R</v>
      </c>
      <c r="BH3760" s="65"/>
      <c r="BI3760" s="65"/>
      <c r="BJ3760" s="65"/>
      <c r="BK3760" s="65"/>
      <c r="BL3760" s="99"/>
      <c r="BM3760" s="99"/>
      <c r="BN3760" s="99"/>
    </row>
    <row r="3761" spans="1:66" s="51" customFormat="1" ht="15.75" x14ac:dyDescent="0.25">
      <c r="A3761" s="478">
        <v>1</v>
      </c>
      <c r="B3761" s="479" t="s">
        <v>291</v>
      </c>
      <c r="C3761" s="480"/>
      <c r="D3761" s="481" t="s">
        <v>329</v>
      </c>
      <c r="E3761" s="482">
        <v>10.95</v>
      </c>
      <c r="F3761" s="483" t="s">
        <v>292</v>
      </c>
      <c r="G3761" s="484">
        <v>0</v>
      </c>
      <c r="H3761" s="688" t="str">
        <f>IF(G3761=0,"",IF(F3761="Buy",IF(G3761=1,"plant","plants"),IF(F3761&gt;0.01,"warranty","Error")))</f>
        <v/>
      </c>
      <c r="I3761" s="485">
        <f>IF(H3761="free",0,IF(H3761="credit",((E3761*(F3761))*G3761*-1),IF(F3761="Buy",(E3761*G3761),((E3761*(1-F3761))*G3761))))</f>
        <v>0</v>
      </c>
      <c r="J3761" s="485">
        <f>IF(H3761="warranty",0,(I3761*(_xlfn.SINGLE(SalesTaxPercentage))))</f>
        <v>0</v>
      </c>
      <c r="K3761" s="715">
        <f t="shared" ref="K3761" si="2843">I3761+J3761</f>
        <v>0</v>
      </c>
      <c r="L3761" s="715"/>
      <c r="M3761" s="689" t="str">
        <f ca="1">IF(AND(G3761&gt;0,E3761=0),"WARNING - no PRICE inserted",IF(H3761="free","FREE ~ no charge this plant",IF(H3761="credit",CONCATENATE("-$",ROUND(K3761*(1-_xlfn.SINGLE(T2GDiscount))*-1,2)," CREDIT after discount"),IF(_xlfn.SINGLE(T2GDiscount)=0,"",IF(G3761=0,"",IF(F3761="Buy",CONCATENATE("$",ROUND(K3761*(1-_xlfn.SINGLE(T2GDiscount)),2)," with ",(_xlfn.SINGLE(T2GDiscount)*100),"% discount"),CONCATENATE("$",ROUND(K3761*(1-_xlfn.SINGLE(T2GDiscount)),2)," with ",((_xlfn.SINGLE(T2GDiscount)*100+F3761*100)-(_xlfn.SINGLE(T2GDiscount)*100*F3761)),IF(F3761&gt;0,"% discounts",IF(_xlfn.SINGLE(NoWarrantyDiscount)&gt;0,"% discounts","% discount")))))))))</f>
        <v/>
      </c>
      <c r="N3761" s="690"/>
      <c r="O3761" s="486"/>
      <c r="P3761" s="486"/>
      <c r="Q3761" s="486"/>
      <c r="R3761" s="486"/>
      <c r="S3761" s="486"/>
      <c r="T3761" s="102">
        <f t="shared" si="2817"/>
        <v>0</v>
      </c>
      <c r="U3761" s="78">
        <f>IF(NOT(ISNUMBER(G3761)), "", VLOOKUP(A3761,'Discount Lookup'!D:E,2,FALSE)*G3761)</f>
        <v>0</v>
      </c>
      <c r="V3761" s="78">
        <f>IF(NOT(ISNUMBER(G3761)), "", VLOOKUP(A3761,'Discount Lookup'!G:H,2,FALSE)*G3761)</f>
        <v>0</v>
      </c>
      <c r="W3761" s="102">
        <f t="shared" si="2818"/>
        <v>0</v>
      </c>
      <c r="X3761" s="102">
        <f t="shared" si="2819"/>
        <v>0</v>
      </c>
      <c r="Y3761" s="120" t="b">
        <f t="shared" si="2820"/>
        <v>0</v>
      </c>
      <c r="Z3761" s="117">
        <f t="shared" si="2821"/>
        <v>0</v>
      </c>
      <c r="AA3761" s="118"/>
      <c r="AB3761" s="118" t="str">
        <f t="shared" si="2822"/>
        <v/>
      </c>
      <c r="AC3761" s="712" t="str">
        <f>IF(AE3761="T2G","no charge",IF(AND(OR(PlanterYesMe="No",PlanterYesMe="N",PlanterYesMe="me"),H3761=""),"",IF(H3761="credit","NO install",IF(AND(K3761="",AE3761="me"),"EACH row",IF(AND(K3761="images",AE3761="me"),"EACH row",IF(D3761="","",IF(H3761="credit","",IF(AE3761="free","re-planting",IF(AE3761="me","   not ELP, by",IF(AND(OR(PlanterYesMe="Yes",PlanterYesMe="Y"),G3761&gt;0),(VLOOKUP(A3761,'Discount Lookup'!J:K,2)*G3761*(1-PlanterDiscount)*(1+PlanterDifficultyPercentage)),IF(AE3761="ELP",(VLOOKUP(A3761,'Discount Lookup'!J:K,2)*G3761*(1-PlanterDiscount)*(1+PlanterDifficultyPercentage)),IF(AE3761="free","re-planting",IF(G3761=0,"",IF(PlanterYesMe="",IF(AE3761="me","   not ELP, by",IF(AE3761="",IF(G3761&gt;0,(VLOOKUP(A3761,'Discount Lookup'!J:K,2)*G3761*(1-PlanterDiscount)*(1+PlanterDifficultyPercentage)),""),"")),"   not ELP, by"))))))))))))))</f>
        <v/>
      </c>
      <c r="AD3761" s="712"/>
      <c r="AE3761" s="513" t="str">
        <f t="shared" si="2823"/>
        <v/>
      </c>
      <c r="AF3761" s="713" t="str">
        <f t="shared" si="2824"/>
        <v/>
      </c>
      <c r="AG3761" s="713"/>
      <c r="AH3761" s="713"/>
      <c r="AI3761" s="112">
        <f>IF(H3761="credit",0,IF(AE3761="free",0,IF(AE3761="me",0,IF(G3761&gt;0,(VLOOKUP(A3761,'Discount Lookup'!J:K,2)*G3761),0))))</f>
        <v>0</v>
      </c>
      <c r="AJ3761" s="107" t="str">
        <f t="shared" ca="1" si="2825"/>
        <v/>
      </c>
      <c r="AK3761" s="714" t="str">
        <f t="shared" si="2826"/>
        <v/>
      </c>
      <c r="AL3761" s="714"/>
      <c r="AM3761" s="114" t="str">
        <f t="shared" si="2827"/>
        <v/>
      </c>
      <c r="AN3761" s="115"/>
      <c r="AO3761" s="116"/>
      <c r="AP3761" s="116"/>
      <c r="AQ3761" s="116"/>
      <c r="AR3761" s="116"/>
      <c r="AS3761" s="116"/>
      <c r="AT3761" s="116"/>
      <c r="AU3761" s="116"/>
      <c r="AV3761" s="78"/>
      <c r="AW3761" s="102"/>
      <c r="AX3761" s="78"/>
      <c r="AY3761" s="78"/>
      <c r="AZ3761" s="78"/>
      <c r="BA3761" s="78"/>
      <c r="BB3761" s="78"/>
      <c r="BC3761" s="78"/>
      <c r="BD3761" s="78"/>
      <c r="BE3761" s="465"/>
      <c r="BF3761" s="165" t="str">
        <f t="shared" si="2828"/>
        <v>https://www.google.com/search?tbm=isch&amp;q=1%20G2</v>
      </c>
      <c r="BG3761" s="165" t="str">
        <f t="shared" si="2829"/>
        <v>R</v>
      </c>
      <c r="BH3761" s="65"/>
      <c r="BI3761" s="65"/>
      <c r="BJ3761" s="65"/>
      <c r="BK3761" s="65"/>
      <c r="BL3761" s="99"/>
      <c r="BM3761" s="99"/>
      <c r="BN3761" s="99"/>
    </row>
    <row r="3762" spans="1:66" s="51" customFormat="1" ht="16.5" x14ac:dyDescent="0.25">
      <c r="A3762" s="508" t="s">
        <v>4142</v>
      </c>
      <c r="B3762" s="487"/>
      <c r="C3762" s="707"/>
      <c r="D3762" s="487"/>
      <c r="E3762" s="487"/>
      <c r="F3762" s="488"/>
      <c r="G3762" s="489"/>
      <c r="H3762" s="487"/>
      <c r="I3762" s="490"/>
      <c r="J3762" s="490"/>
      <c r="K3762" s="491"/>
      <c r="L3762" s="547"/>
      <c r="M3762" s="528"/>
      <c r="N3762" s="492"/>
      <c r="O3762" s="493"/>
      <c r="P3762" s="494"/>
      <c r="Q3762" s="492"/>
      <c r="R3762" s="492"/>
      <c r="S3762" s="699" t="s">
        <v>5268</v>
      </c>
      <c r="T3762" s="102">
        <f t="shared" si="2817"/>
        <v>0</v>
      </c>
      <c r="U3762" s="78" t="str">
        <f>IF(NOT(ISNUMBER(G3762)), "", VLOOKUP(A3762,'Discount Lookup'!D:E,2,FALSE)*G3762)</f>
        <v/>
      </c>
      <c r="V3762" s="78" t="str">
        <f>IF(NOT(ISNUMBER(G3762)), "", VLOOKUP(A3762,'Discount Lookup'!G:H,2,FALSE)*G3762)</f>
        <v/>
      </c>
      <c r="W3762" s="102">
        <f t="shared" si="2818"/>
        <v>0</v>
      </c>
      <c r="X3762" s="102">
        <f t="shared" si="2819"/>
        <v>0</v>
      </c>
      <c r="Y3762" s="120" t="b">
        <f t="shared" si="2820"/>
        <v>0</v>
      </c>
      <c r="Z3762" s="117">
        <f t="shared" si="2821"/>
        <v>0</v>
      </c>
      <c r="AA3762" s="118"/>
      <c r="AB3762" s="118" t="str">
        <f t="shared" si="2822"/>
        <v/>
      </c>
      <c r="AC3762" s="712" t="str">
        <f>IF(AE3762="T2G","no charge",IF(AND(OR(PlanterYesMe="No",PlanterYesMe="N",PlanterYesMe="me"),H3762=""),"",IF(H3762="credit","NO install",IF(AND(K3762="",AE3762="me"),"EACH row",IF(AND(K3762="images",AE3762="me"),"EACH row",IF(D3762="","",IF(H3762="credit","",IF(AE3762="free","re-planting",IF(AE3762="me","   not ELP, by",IF(AND(OR(PlanterYesMe="Yes",PlanterYesMe="Y"),G3762&gt;0),(VLOOKUP(A3762,'Discount Lookup'!J:K,2)*G3762*(1-PlanterDiscount)*(1+PlanterDifficultyPercentage)),IF(AE3762="ELP",(VLOOKUP(A3762,'Discount Lookup'!J:K,2)*G3762*(1-PlanterDiscount)*(1+PlanterDifficultyPercentage)),IF(AE3762="free","re-planting",IF(G3762=0,"",IF(PlanterYesMe="",IF(AE3762="me","   not ELP, by",IF(AE3762="",IF(G3762&gt;0,(VLOOKUP(A3762,'Discount Lookup'!J:K,2)*G3762*(1-PlanterDiscount)*(1+PlanterDifficultyPercentage)),""),"")),"   not ELP, by"))))))))))))))</f>
        <v/>
      </c>
      <c r="AD3762" s="712"/>
      <c r="AE3762" s="513" t="str">
        <f t="shared" si="2823"/>
        <v/>
      </c>
      <c r="AF3762" s="713" t="str">
        <f t="shared" si="2824"/>
        <v/>
      </c>
      <c r="AG3762" s="713"/>
      <c r="AH3762" s="713"/>
      <c r="AI3762" s="112">
        <f>IF(H3762="credit",0,IF(AE3762="free",0,IF(AE3762="me",0,IF(G3762&gt;0,(VLOOKUP(A3762,'Discount Lookup'!J:K,2)*G3762),0))))</f>
        <v>0</v>
      </c>
      <c r="AJ3762" s="107" t="str">
        <f t="shared" ca="1" si="2825"/>
        <v/>
      </c>
      <c r="AK3762" s="714" t="str">
        <f t="shared" si="2826"/>
        <v/>
      </c>
      <c r="AL3762" s="714"/>
      <c r="AM3762" s="114" t="str">
        <f t="shared" si="2827"/>
        <v/>
      </c>
      <c r="AN3762" s="115"/>
      <c r="AO3762" s="116"/>
      <c r="AP3762" s="116"/>
      <c r="AQ3762" s="116"/>
      <c r="AR3762" s="116"/>
      <c r="AS3762" s="116"/>
      <c r="AT3762" s="116"/>
      <c r="AU3762" s="116"/>
      <c r="AV3762" s="78"/>
      <c r="AW3762" s="102"/>
      <c r="AX3762" s="78"/>
      <c r="AY3762" s="78"/>
      <c r="AZ3762" s="78"/>
      <c r="BA3762" s="78"/>
      <c r="BB3762" s="78"/>
      <c r="BC3762" s="78"/>
      <c r="BD3762" s="78"/>
      <c r="BE3762" s="465"/>
      <c r="BF3762" s="165" t="str">
        <f t="shared" si="2828"/>
        <v>https://www.google.com/search?tbm=isch&amp;q=Creeping%20Raspberry%20fruit%20is%20edible%2C%20but%20rather%20tiny%2C%20and%20not%20flavorful%2C%20Plant%20can%20replace%20lawn%2C%20taking%20light%20foot%20traffic%20</v>
      </c>
      <c r="BG3762" s="165" t="str">
        <f t="shared" si="2829"/>
        <v>C</v>
      </c>
      <c r="BH3762" s="65"/>
      <c r="BI3762" s="65"/>
      <c r="BJ3762" s="65"/>
      <c r="BK3762" s="65"/>
      <c r="BL3762" s="99"/>
      <c r="BM3762" s="99"/>
      <c r="BN3762" s="99"/>
    </row>
    <row r="3763" spans="1:66" s="51" customFormat="1" ht="19.5" thickBot="1" x14ac:dyDescent="0.3">
      <c r="A3763" s="686" t="s">
        <v>723</v>
      </c>
      <c r="B3763" s="73"/>
      <c r="C3763" s="708"/>
      <c r="D3763" s="73"/>
      <c r="E3763" s="73"/>
      <c r="F3763" s="496"/>
      <c r="G3763" s="73"/>
      <c r="H3763" s="73"/>
      <c r="I3763" s="73"/>
      <c r="J3763" s="497" t="s">
        <v>357</v>
      </c>
      <c r="K3763" s="498"/>
      <c r="L3763" s="562"/>
      <c r="M3763" s="73"/>
      <c r="N3763"/>
      <c r="O3763"/>
      <c r="P3763"/>
      <c r="Q3763"/>
      <c r="R3763"/>
      <c r="S3763"/>
      <c r="T3763" s="102">
        <f t="shared" si="2817"/>
        <v>0</v>
      </c>
      <c r="U3763" s="78" t="str">
        <f>IF(NOT(ISNUMBER(G3763)), "", VLOOKUP(A3763,'Discount Lookup'!D:E,2,FALSE)*G3763)</f>
        <v/>
      </c>
      <c r="V3763" s="78" t="str">
        <f>IF(NOT(ISNUMBER(G3763)), "", VLOOKUP(A3763,'Discount Lookup'!G:H,2,FALSE)*G3763)</f>
        <v/>
      </c>
      <c r="W3763" s="102">
        <f t="shared" si="2818"/>
        <v>0</v>
      </c>
      <c r="X3763" s="102">
        <f t="shared" si="2819"/>
        <v>0</v>
      </c>
      <c r="Y3763" s="120" t="b">
        <f t="shared" si="2820"/>
        <v>0</v>
      </c>
      <c r="Z3763" s="117">
        <f t="shared" si="2821"/>
        <v>0</v>
      </c>
      <c r="AA3763" s="118"/>
      <c r="AB3763" s="118" t="str">
        <f t="shared" si="2822"/>
        <v/>
      </c>
      <c r="AC3763" s="712" t="str">
        <f>IF(AE3763="T2G","no charge",IF(AND(OR(PlanterYesMe="No",PlanterYesMe="N",PlanterYesMe="me"),H3763=""),"",IF(H3763="credit","NO install",IF(AND(K3763="",AE3763="me"),"EACH row",IF(AND(K3763="images",AE3763="me"),"EACH row",IF(D3763="","",IF(H3763="credit","",IF(AE3763="free","re-planting",IF(AE3763="me","   not ELP, by",IF(AND(OR(PlanterYesMe="Yes",PlanterYesMe="Y"),G3763&gt;0),(VLOOKUP(A3763,'Discount Lookup'!J:K,2)*G3763*(1-PlanterDiscount)*(1+PlanterDifficultyPercentage)),IF(AE3763="ELP",(VLOOKUP(A3763,'Discount Lookup'!J:K,2)*G3763*(1-PlanterDiscount)*(1+PlanterDifficultyPercentage)),IF(AE3763="free","re-planting",IF(G3763=0,"",IF(PlanterYesMe="",IF(AE3763="me","   not ELP, by",IF(AE3763="",IF(G3763&gt;0,(VLOOKUP(A3763,'Discount Lookup'!J:K,2)*G3763*(1-PlanterDiscount)*(1+PlanterDifficultyPercentage)),""),"")),"   not ELP, by"))))))))))))))</f>
        <v/>
      </c>
      <c r="AD3763" s="712"/>
      <c r="AE3763" s="513" t="str">
        <f t="shared" si="2823"/>
        <v/>
      </c>
      <c r="AF3763" s="713" t="str">
        <f t="shared" si="2824"/>
        <v/>
      </c>
      <c r="AG3763" s="713"/>
      <c r="AH3763" s="713"/>
      <c r="AI3763" s="112">
        <f>IF(H3763="credit",0,IF(AE3763="free",0,IF(AE3763="me",0,IF(G3763&gt;0,(VLOOKUP(A3763,'Discount Lookup'!J:K,2)*G3763),0))))</f>
        <v>0</v>
      </c>
      <c r="AJ3763" s="107" t="str">
        <f t="shared" ca="1" si="2825"/>
        <v/>
      </c>
      <c r="AK3763" s="714" t="str">
        <f t="shared" si="2826"/>
        <v/>
      </c>
      <c r="AL3763" s="714"/>
      <c r="AM3763" s="114" t="str">
        <f t="shared" si="2827"/>
        <v/>
      </c>
      <c r="AN3763" s="115"/>
      <c r="AO3763" s="116"/>
      <c r="AP3763" s="116"/>
      <c r="AQ3763" s="116"/>
      <c r="AR3763" s="116"/>
      <c r="AS3763" s="116"/>
      <c r="AT3763" s="116"/>
      <c r="AU3763" s="116"/>
      <c r="AV3763" s="78"/>
      <c r="AW3763" s="102"/>
      <c r="AX3763" s="78"/>
      <c r="AY3763" s="78"/>
      <c r="AZ3763" s="78"/>
      <c r="BA3763" s="78"/>
      <c r="BB3763" s="78"/>
      <c r="BC3763" s="78"/>
      <c r="BD3763" s="78"/>
      <c r="BE3763" s="465"/>
      <c r="BF3763" s="165" t="str">
        <f t="shared" si="2828"/>
        <v>https://www.google.com/search?tbm=isch&amp;q=Rudbeckia%20%3D%20Black-eyed%20Susan%20</v>
      </c>
      <c r="BG3763" s="165" t="str">
        <f t="shared" si="2829"/>
        <v>R</v>
      </c>
      <c r="BH3763" s="65"/>
      <c r="BI3763" s="65"/>
      <c r="BJ3763" s="65"/>
      <c r="BK3763" s="65"/>
      <c r="BL3763" s="99"/>
      <c r="BM3763" s="99"/>
      <c r="BN3763" s="99"/>
    </row>
    <row r="3764" spans="1:66" s="51" customFormat="1" ht="18" x14ac:dyDescent="0.25">
      <c r="A3764" s="623" t="s">
        <v>4143</v>
      </c>
      <c r="B3764" s="624"/>
      <c r="C3764" s="709"/>
      <c r="D3764" s="625" t="s">
        <v>4144</v>
      </c>
      <c r="E3764" s="626"/>
      <c r="F3764" s="626"/>
      <c r="G3764" s="626"/>
      <c r="H3764" s="622" t="s">
        <v>4798</v>
      </c>
      <c r="I3764" s="627" t="s">
        <v>4799</v>
      </c>
      <c r="J3764" s="628"/>
      <c r="K3764" s="628"/>
      <c r="L3764" s="629"/>
      <c r="M3764" s="700" t="s">
        <v>5241</v>
      </c>
      <c r="N3764" s="693" t="str">
        <f>IF(AND(ISTEXT($A3764), ISERROR($A3764+0)), HYPERLINK($BF3764, "Images"), "")</f>
        <v>Images</v>
      </c>
      <c r="O3764" s="695" t="s">
        <v>5247</v>
      </c>
      <c r="P3764" s="630"/>
      <c r="Q3764" s="631"/>
      <c r="R3764" s="632"/>
      <c r="S3764" s="633" t="s">
        <v>294</v>
      </c>
      <c r="T3764" s="102">
        <f t="shared" si="2817"/>
        <v>0</v>
      </c>
      <c r="U3764" s="78" t="str">
        <f>IF(NOT(ISNUMBER(G3764)), "", VLOOKUP(A3764,'Discount Lookup'!D:E,2,FALSE)*G3764)</f>
        <v/>
      </c>
      <c r="V3764" s="78" t="str">
        <f>IF(NOT(ISNUMBER(G3764)), "", VLOOKUP(A3764,'Discount Lookup'!G:H,2,FALSE)*G3764)</f>
        <v/>
      </c>
      <c r="W3764" s="102">
        <f t="shared" si="2818"/>
        <v>0</v>
      </c>
      <c r="X3764" s="102" t="str">
        <f t="shared" si="2819"/>
        <v>Golden-Yellow ray, Dark eye</v>
      </c>
      <c r="Y3764" s="120" t="b">
        <f t="shared" si="2820"/>
        <v>0</v>
      </c>
      <c r="Z3764" s="117">
        <f t="shared" si="2821"/>
        <v>0</v>
      </c>
      <c r="AA3764" s="118"/>
      <c r="AB3764" s="118" t="str">
        <f t="shared" si="2822"/>
        <v/>
      </c>
      <c r="AC3764" s="712" t="str">
        <f>IF(AE3764="T2G","no charge",IF(AND(OR(PlanterYesMe="No",PlanterYesMe="N",PlanterYesMe="me"),H3764=""),"",IF(H3764="credit","NO install",IF(AND(K3764="",AE3764="me"),"EACH row",IF(AND(K3764="images",AE3764="me"),"EACH row",IF(D3764="","",IF(H3764="credit","",IF(AE3764="free","re-planting",IF(AE3764="me","   not ELP, by",IF(AND(OR(PlanterYesMe="Yes",PlanterYesMe="Y"),G3764&gt;0),(VLOOKUP(A3764,'Discount Lookup'!J:K,2)*G3764*(1-PlanterDiscount)*(1+PlanterDifficultyPercentage)),IF(AE3764="ELP",(VLOOKUP(A3764,'Discount Lookup'!J:K,2)*G3764*(1-PlanterDiscount)*(1+PlanterDifficultyPercentage)),IF(AE3764="free","re-planting",IF(G3764=0,"",IF(PlanterYesMe="",IF(AE3764="me","   not ELP, by",IF(AE3764="",IF(G3764&gt;0,(VLOOKUP(A3764,'Discount Lookup'!J:K,2)*G3764*(1-PlanterDiscount)*(1+PlanterDifficultyPercentage)),""),"")),"   not ELP, by"))))))))))))))</f>
        <v/>
      </c>
      <c r="AD3764" s="712"/>
      <c r="AE3764" s="513" t="str">
        <f t="shared" si="2823"/>
        <v/>
      </c>
      <c r="AF3764" s="713" t="str">
        <f t="shared" si="2824"/>
        <v/>
      </c>
      <c r="AG3764" s="713"/>
      <c r="AH3764" s="713"/>
      <c r="AI3764" s="112">
        <f>IF(H3764="credit",0,IF(AE3764="free",0,IF(AE3764="me",0,IF(G3764&gt;0,(VLOOKUP(A3764,'Discount Lookup'!J:K,2)*G3764),0))))</f>
        <v>0</v>
      </c>
      <c r="AJ3764" s="107" t="str">
        <f t="shared" ca="1" si="2825"/>
        <v/>
      </c>
      <c r="AK3764" s="714" t="str">
        <f t="shared" si="2826"/>
        <v/>
      </c>
      <c r="AL3764" s="714"/>
      <c r="AM3764" s="114" t="str">
        <f t="shared" si="2827"/>
        <v/>
      </c>
      <c r="AN3764" s="115"/>
      <c r="AO3764" s="116"/>
      <c r="AP3764" s="116"/>
      <c r="AQ3764" s="116"/>
      <c r="AR3764" s="116"/>
      <c r="AS3764" s="116"/>
      <c r="AT3764" s="116"/>
      <c r="AU3764" s="116"/>
      <c r="AV3764" s="78"/>
      <c r="AW3764" s="102"/>
      <c r="AX3764" s="78"/>
      <c r="AY3764" s="78"/>
      <c r="AZ3764" s="78"/>
      <c r="BA3764" s="78"/>
      <c r="BB3764" s="78"/>
      <c r="BC3764" s="78"/>
      <c r="BD3764" s="78"/>
      <c r="BE3764" s="465"/>
      <c r="BF3764" s="165" t="str">
        <f t="shared" si="2828"/>
        <v>https://www.google.com/search?tbm=isch&amp;q=Rudbeckia%20%27American%20Gold%20Rush%27%20PP%2328498%20American%20Gold%20Rush%20Black-Eyed%20Susan</v>
      </c>
      <c r="BG3764" s="165" t="str">
        <f t="shared" si="2829"/>
        <v>R</v>
      </c>
      <c r="BH3764" s="65"/>
      <c r="BI3764" s="65"/>
      <c r="BJ3764" s="65"/>
      <c r="BK3764" s="65"/>
      <c r="BL3764" s="99"/>
      <c r="BM3764" s="99"/>
      <c r="BN3764" s="99"/>
    </row>
    <row r="3765" spans="1:66" s="51" customFormat="1" ht="15.75" x14ac:dyDescent="0.25">
      <c r="A3765" s="634">
        <v>1</v>
      </c>
      <c r="B3765" s="635" t="s">
        <v>291</v>
      </c>
      <c r="C3765" s="636"/>
      <c r="D3765" s="637" t="s">
        <v>329</v>
      </c>
      <c r="E3765" s="638">
        <v>12.95</v>
      </c>
      <c r="F3765" s="639" t="s">
        <v>292</v>
      </c>
      <c r="G3765" s="484">
        <v>0</v>
      </c>
      <c r="H3765" s="691" t="str">
        <f>IF(G3765=0,"",IF(F3765="Buy",IF(G3765=1,"plant","plants"),IF(F3765&gt;0.01,"warranty","Error")))</f>
        <v/>
      </c>
      <c r="I3765" s="640">
        <f>IF(H3765="free",0,IF(H3765="credit",((E3765*(F3765))*G3765*-1),IF(F3765="Buy",(E3765*G3765),((E3765*(1-F3765))*G3765))))</f>
        <v>0</v>
      </c>
      <c r="J3765" s="640">
        <f>IF(H3765="warranty",0,(I3765*(_xlfn.SINGLE(SalesTaxPercentage))))</f>
        <v>0</v>
      </c>
      <c r="K3765" s="716">
        <f t="shared" ref="K3765" si="2844">I3765+J3765</f>
        <v>0</v>
      </c>
      <c r="L3765" s="716"/>
      <c r="M3765" s="689" t="str">
        <f ca="1">IF(AND(G3765&gt;0,E3765=0),"WARNING - no PRICE inserted",IF(H3765="free","FREE ~ no charge this plant",IF(H3765="credit",CONCATENATE("-$",ROUND(K3765*(1-_xlfn.SINGLE(T2GDiscount))*-1,2)," CREDIT after discount"),IF(_xlfn.SINGLE(T2GDiscount)=0,"",IF(G3765=0,"",IF(F3765="Buy",CONCATENATE("$",ROUND(K3765*(1-_xlfn.SINGLE(T2GDiscount)),2)," with ",(_xlfn.SINGLE(T2GDiscount)*100),"% discount"),CONCATENATE("$",ROUND(K3765*(1-_xlfn.SINGLE(T2GDiscount)),2)," with ",((_xlfn.SINGLE(T2GDiscount)*100+F3765*100)-(_xlfn.SINGLE(T2GDiscount)*100*F3765)),IF(F3765&gt;0,"% discounts",IF(_xlfn.SINGLE(NoWarrantyDiscount)&gt;0,"% discounts","% discount")))))))))</f>
        <v/>
      </c>
      <c r="N3765" s="690"/>
      <c r="O3765" s="486"/>
      <c r="P3765" s="486"/>
      <c r="Q3765" s="486"/>
      <c r="R3765" s="486"/>
      <c r="S3765" s="486"/>
      <c r="T3765" s="102">
        <f t="shared" si="2817"/>
        <v>0</v>
      </c>
      <c r="U3765" s="78">
        <f>IF(NOT(ISNUMBER(G3765)), "", VLOOKUP(A3765,'Discount Lookup'!D:E,2,FALSE)*G3765)</f>
        <v>0</v>
      </c>
      <c r="V3765" s="78">
        <f>IF(NOT(ISNUMBER(G3765)), "", VLOOKUP(A3765,'Discount Lookup'!G:H,2,FALSE)*G3765)</f>
        <v>0</v>
      </c>
      <c r="W3765" s="102">
        <f t="shared" si="2818"/>
        <v>0</v>
      </c>
      <c r="X3765" s="102">
        <f t="shared" si="2819"/>
        <v>0</v>
      </c>
      <c r="Y3765" s="120" t="b">
        <f t="shared" si="2820"/>
        <v>0</v>
      </c>
      <c r="Z3765" s="117">
        <f t="shared" si="2821"/>
        <v>0</v>
      </c>
      <c r="AA3765" s="118"/>
      <c r="AB3765" s="118" t="str">
        <f t="shared" si="2822"/>
        <v/>
      </c>
      <c r="AC3765" s="712" t="str">
        <f>IF(AE3765="T2G","no charge",IF(AND(OR(PlanterYesMe="No",PlanterYesMe="N",PlanterYesMe="me"),H3765=""),"",IF(H3765="credit","NO install",IF(AND(K3765="",AE3765="me"),"EACH row",IF(AND(K3765="images",AE3765="me"),"EACH row",IF(D3765="","",IF(H3765="credit","",IF(AE3765="free","re-planting",IF(AE3765="me","   not ELP, by",IF(AND(OR(PlanterYesMe="Yes",PlanterYesMe="Y"),G3765&gt;0),(VLOOKUP(A3765,'Discount Lookup'!J:K,2)*G3765*(1-PlanterDiscount)*(1+PlanterDifficultyPercentage)),IF(AE3765="ELP",(VLOOKUP(A3765,'Discount Lookup'!J:K,2)*G3765*(1-PlanterDiscount)*(1+PlanterDifficultyPercentage)),IF(AE3765="free","re-planting",IF(G3765=0,"",IF(PlanterYesMe="",IF(AE3765="me","   not ELP, by",IF(AE3765="",IF(G3765&gt;0,(VLOOKUP(A3765,'Discount Lookup'!J:K,2)*G3765*(1-PlanterDiscount)*(1+PlanterDifficultyPercentage)),""),"")),"   not ELP, by"))))))))))))))</f>
        <v/>
      </c>
      <c r="AD3765" s="712"/>
      <c r="AE3765" s="513" t="str">
        <f t="shared" si="2823"/>
        <v/>
      </c>
      <c r="AF3765" s="713" t="str">
        <f t="shared" si="2824"/>
        <v/>
      </c>
      <c r="AG3765" s="713"/>
      <c r="AH3765" s="713"/>
      <c r="AI3765" s="112">
        <f>IF(H3765="credit",0,IF(AE3765="free",0,IF(AE3765="me",0,IF(G3765&gt;0,(VLOOKUP(A3765,'Discount Lookup'!J:K,2)*G3765),0))))</f>
        <v>0</v>
      </c>
      <c r="AJ3765" s="107" t="str">
        <f t="shared" ca="1" si="2825"/>
        <v/>
      </c>
      <c r="AK3765" s="714" t="str">
        <f t="shared" si="2826"/>
        <v/>
      </c>
      <c r="AL3765" s="714"/>
      <c r="AM3765" s="114" t="str">
        <f t="shared" si="2827"/>
        <v/>
      </c>
      <c r="AN3765" s="115"/>
      <c r="AO3765" s="116"/>
      <c r="AP3765" s="116"/>
      <c r="AQ3765" s="116"/>
      <c r="AR3765" s="116"/>
      <c r="AS3765" s="116"/>
      <c r="AT3765" s="116"/>
      <c r="AU3765" s="116"/>
      <c r="AV3765" s="78"/>
      <c r="AW3765" s="102"/>
      <c r="AX3765" s="78"/>
      <c r="AY3765" s="78"/>
      <c r="AZ3765" s="78"/>
      <c r="BA3765" s="78"/>
      <c r="BB3765" s="78"/>
      <c r="BC3765" s="78"/>
      <c r="BD3765" s="78"/>
      <c r="BE3765" s="465"/>
      <c r="BF3765" s="165" t="str">
        <f t="shared" si="2828"/>
        <v>https://www.google.com/search?tbm=isch&amp;q=1%20G2</v>
      </c>
      <c r="BG3765" s="165" t="str">
        <f t="shared" si="2829"/>
        <v>R</v>
      </c>
      <c r="BH3765" s="65"/>
      <c r="BI3765" s="65"/>
      <c r="BJ3765" s="65"/>
      <c r="BK3765" s="65"/>
      <c r="BL3765" s="99"/>
      <c r="BM3765" s="99"/>
      <c r="BN3765" s="99"/>
    </row>
    <row r="3766" spans="1:66" s="51" customFormat="1" ht="17.25" thickBot="1" x14ac:dyDescent="0.3">
      <c r="A3766" s="641" t="s">
        <v>4800</v>
      </c>
      <c r="B3766" s="642"/>
      <c r="C3766" s="710"/>
      <c r="D3766" s="643"/>
      <c r="E3766" s="643"/>
      <c r="F3766" s="644"/>
      <c r="G3766" s="645"/>
      <c r="H3766" s="646"/>
      <c r="I3766" s="647"/>
      <c r="J3766" s="648"/>
      <c r="K3766" s="649"/>
      <c r="L3766" s="650"/>
      <c r="M3766" s="650"/>
      <c r="N3766" s="644"/>
      <c r="O3766" s="644"/>
      <c r="P3766" s="644"/>
      <c r="Q3766" s="644"/>
      <c r="R3766" s="644"/>
      <c r="S3766" s="701" t="s">
        <v>5284</v>
      </c>
      <c r="T3766" s="102">
        <f t="shared" si="2817"/>
        <v>0</v>
      </c>
      <c r="U3766" s="78" t="str">
        <f>IF(NOT(ISNUMBER(G3766)), "", VLOOKUP(A3766,'Discount Lookup'!D:E,2,FALSE)*G3766)</f>
        <v/>
      </c>
      <c r="V3766" s="78" t="str">
        <f>IF(NOT(ISNUMBER(G3766)), "", VLOOKUP(A3766,'Discount Lookup'!G:H,2,FALSE)*G3766)</f>
        <v/>
      </c>
      <c r="W3766" s="102">
        <f t="shared" si="2818"/>
        <v>0</v>
      </c>
      <c r="X3766" s="102">
        <f t="shared" si="2819"/>
        <v>0</v>
      </c>
      <c r="Y3766" s="120" t="b">
        <f t="shared" si="2820"/>
        <v>0</v>
      </c>
      <c r="Z3766" s="117">
        <f t="shared" si="2821"/>
        <v>0</v>
      </c>
      <c r="AA3766" s="118"/>
      <c r="AB3766" s="118" t="str">
        <f t="shared" si="2822"/>
        <v/>
      </c>
      <c r="AC3766" s="712" t="str">
        <f>IF(AE3766="T2G","no charge",IF(AND(OR(PlanterYesMe="No",PlanterYesMe="N",PlanterYesMe="me"),H3766=""),"",IF(H3766="credit","NO install",IF(AND(K3766="",AE3766="me"),"EACH row",IF(AND(K3766="images",AE3766="me"),"EACH row",IF(D3766="","",IF(H3766="credit","",IF(AE3766="free","re-planting",IF(AE3766="me","   not ELP, by",IF(AND(OR(PlanterYesMe="Yes",PlanterYesMe="Y"),G3766&gt;0),(VLOOKUP(A3766,'Discount Lookup'!J:K,2)*G3766*(1-PlanterDiscount)*(1+PlanterDifficultyPercentage)),IF(AE3766="ELP",(VLOOKUP(A3766,'Discount Lookup'!J:K,2)*G3766*(1-PlanterDiscount)*(1+PlanterDifficultyPercentage)),IF(AE3766="free","re-planting",IF(G3766=0,"",IF(PlanterYesMe="",IF(AE3766="me","   not ELP, by",IF(AE3766="",IF(G3766&gt;0,(VLOOKUP(A3766,'Discount Lookup'!J:K,2)*G3766*(1-PlanterDiscount)*(1+PlanterDifficultyPercentage)),""),"")),"   not ELP, by"))))))))))))))</f>
        <v/>
      </c>
      <c r="AD3766" s="712"/>
      <c r="AE3766" s="513" t="str">
        <f t="shared" si="2823"/>
        <v/>
      </c>
      <c r="AF3766" s="713" t="str">
        <f t="shared" si="2824"/>
        <v/>
      </c>
      <c r="AG3766" s="713"/>
      <c r="AH3766" s="713"/>
      <c r="AI3766" s="112">
        <f>IF(H3766="credit",0,IF(AE3766="free",0,IF(AE3766="me",0,IF(G3766&gt;0,(VLOOKUP(A3766,'Discount Lookup'!J:K,2)*G3766),0))))</f>
        <v>0</v>
      </c>
      <c r="AJ3766" s="107" t="str">
        <f t="shared" ca="1" si="2825"/>
        <v/>
      </c>
      <c r="AK3766" s="714" t="str">
        <f t="shared" si="2826"/>
        <v/>
      </c>
      <c r="AL3766" s="714"/>
      <c r="AM3766" s="114" t="str">
        <f t="shared" si="2827"/>
        <v/>
      </c>
      <c r="AN3766" s="115"/>
      <c r="AO3766" s="116"/>
      <c r="AP3766" s="116"/>
      <c r="AQ3766" s="116"/>
      <c r="AR3766" s="116"/>
      <c r="AS3766" s="116"/>
      <c r="AT3766" s="116"/>
      <c r="AU3766" s="116"/>
      <c r="AV3766" s="78"/>
      <c r="AW3766" s="102"/>
      <c r="AX3766" s="78"/>
      <c r="AY3766" s="78"/>
      <c r="AZ3766" s="78"/>
      <c r="BA3766" s="78"/>
      <c r="BB3766" s="78"/>
      <c r="BC3766" s="78"/>
      <c r="BD3766" s="78"/>
      <c r="BE3766" s="465"/>
      <c r="BF3766" s="165" t="str">
        <f t="shared" si="2828"/>
        <v>https://www.google.com/search?tbm=isch&amp;q=American%20Gold%20Rush%20blooms%20from%20midsummer%20to%20frost.%20Bred%20for%20increaset%20heat%20%26%20disease%20resistance%20</v>
      </c>
      <c r="BG3766" s="165" t="str">
        <f t="shared" si="2829"/>
        <v>A</v>
      </c>
      <c r="BH3766" s="65"/>
      <c r="BI3766" s="65"/>
      <c r="BJ3766" s="65"/>
      <c r="BK3766" s="65"/>
      <c r="BL3766" s="99"/>
      <c r="BM3766" s="99"/>
      <c r="BN3766" s="99"/>
    </row>
    <row r="3767" spans="1:66" s="51" customFormat="1" ht="18" x14ac:dyDescent="0.25">
      <c r="A3767" s="623" t="s">
        <v>4145</v>
      </c>
      <c r="B3767" s="624"/>
      <c r="C3767" s="709"/>
      <c r="D3767" s="625" t="s">
        <v>4146</v>
      </c>
      <c r="E3767" s="626"/>
      <c r="F3767" s="626"/>
      <c r="G3767" s="626"/>
      <c r="H3767" s="622" t="s">
        <v>1516</v>
      </c>
      <c r="I3767" s="627" t="s">
        <v>4799</v>
      </c>
      <c r="J3767" s="628"/>
      <c r="K3767" s="628"/>
      <c r="L3767" s="629"/>
      <c r="M3767" s="700" t="s">
        <v>5241</v>
      </c>
      <c r="N3767" s="693" t="str">
        <f>IF(AND(ISTEXT($A3767), ISERROR($A3767+0)), HYPERLINK($BF3767, "Images"), "")</f>
        <v>Images</v>
      </c>
      <c r="O3767" s="695" t="s">
        <v>5247</v>
      </c>
      <c r="P3767" s="630"/>
      <c r="Q3767" s="631"/>
      <c r="R3767" s="632"/>
      <c r="S3767" s="633" t="s">
        <v>294</v>
      </c>
      <c r="T3767" s="102">
        <f t="shared" si="2817"/>
        <v>0</v>
      </c>
      <c r="U3767" s="78" t="str">
        <f>IF(NOT(ISNUMBER(G3767)), "", VLOOKUP(A3767,'Discount Lookup'!D:E,2,FALSE)*G3767)</f>
        <v/>
      </c>
      <c r="V3767" s="78" t="str">
        <f>IF(NOT(ISNUMBER(G3767)), "", VLOOKUP(A3767,'Discount Lookup'!G:H,2,FALSE)*G3767)</f>
        <v/>
      </c>
      <c r="W3767" s="102">
        <f t="shared" si="2818"/>
        <v>0</v>
      </c>
      <c r="X3767" s="102" t="str">
        <f t="shared" si="2819"/>
        <v>Golden-Yellow ray, Dark eye</v>
      </c>
      <c r="Y3767" s="120" t="b">
        <f t="shared" si="2820"/>
        <v>0</v>
      </c>
      <c r="Z3767" s="117">
        <f t="shared" si="2821"/>
        <v>0</v>
      </c>
      <c r="AA3767" s="118"/>
      <c r="AB3767" s="118" t="str">
        <f t="shared" si="2822"/>
        <v/>
      </c>
      <c r="AC3767" s="712" t="str">
        <f>IF(AE3767="T2G","no charge",IF(AND(OR(PlanterYesMe="No",PlanterYesMe="N",PlanterYesMe="me"),H3767=""),"",IF(H3767="credit","NO install",IF(AND(K3767="",AE3767="me"),"EACH row",IF(AND(K3767="images",AE3767="me"),"EACH row",IF(D3767="","",IF(H3767="credit","",IF(AE3767="free","re-planting",IF(AE3767="me","   not ELP, by",IF(AND(OR(PlanterYesMe="Yes",PlanterYesMe="Y"),G3767&gt;0),(VLOOKUP(A3767,'Discount Lookup'!J:K,2)*G3767*(1-PlanterDiscount)*(1+PlanterDifficultyPercentage)),IF(AE3767="ELP",(VLOOKUP(A3767,'Discount Lookup'!J:K,2)*G3767*(1-PlanterDiscount)*(1+PlanterDifficultyPercentage)),IF(AE3767="free","re-planting",IF(G3767=0,"",IF(PlanterYesMe="",IF(AE3767="me","   not ELP, by",IF(AE3767="",IF(G3767&gt;0,(VLOOKUP(A3767,'Discount Lookup'!J:K,2)*G3767*(1-PlanterDiscount)*(1+PlanterDifficultyPercentage)),""),"")),"   not ELP, by"))))))))))))))</f>
        <v/>
      </c>
      <c r="AD3767" s="712"/>
      <c r="AE3767" s="513" t="str">
        <f t="shared" si="2823"/>
        <v/>
      </c>
      <c r="AF3767" s="713" t="str">
        <f t="shared" si="2824"/>
        <v/>
      </c>
      <c r="AG3767" s="713"/>
      <c r="AH3767" s="713"/>
      <c r="AI3767" s="112">
        <f>IF(H3767="credit",0,IF(AE3767="free",0,IF(AE3767="me",0,IF(G3767&gt;0,(VLOOKUP(A3767,'Discount Lookup'!J:K,2)*G3767),0))))</f>
        <v>0</v>
      </c>
      <c r="AJ3767" s="107" t="str">
        <f t="shared" ca="1" si="2825"/>
        <v/>
      </c>
      <c r="AK3767" s="714" t="str">
        <f t="shared" si="2826"/>
        <v/>
      </c>
      <c r="AL3767" s="714"/>
      <c r="AM3767" s="114" t="str">
        <f t="shared" si="2827"/>
        <v/>
      </c>
      <c r="AN3767" s="115"/>
      <c r="AO3767" s="116"/>
      <c r="AP3767" s="116"/>
      <c r="AQ3767" s="116"/>
      <c r="AR3767" s="116"/>
      <c r="AS3767" s="116"/>
      <c r="AT3767" s="116"/>
      <c r="AU3767" s="116"/>
      <c r="AV3767" s="78"/>
      <c r="AW3767" s="102"/>
      <c r="AX3767" s="78"/>
      <c r="AY3767" s="78"/>
      <c r="AZ3767" s="78"/>
      <c r="BA3767" s="78"/>
      <c r="BB3767" s="78"/>
      <c r="BC3767" s="78"/>
      <c r="BD3767" s="78"/>
      <c r="BE3767" s="465"/>
      <c r="BF3767" s="165" t="str">
        <f t="shared" si="2828"/>
        <v>https://www.google.com/search?tbm=isch&amp;q=Rudbeckia%20fulgida%20%27Early%20Bird%20Gold%27%20PP%2320286%20Early%20Bird%20Gold%20Black%20Eyed%20Susan</v>
      </c>
      <c r="BG3767" s="165" t="str">
        <f t="shared" si="2829"/>
        <v>R</v>
      </c>
      <c r="BH3767" s="65"/>
      <c r="BI3767" s="65"/>
      <c r="BJ3767" s="65"/>
      <c r="BK3767" s="65"/>
      <c r="BL3767" s="99"/>
      <c r="BM3767" s="99"/>
      <c r="BN3767" s="99"/>
    </row>
    <row r="3768" spans="1:66" s="51" customFormat="1" ht="15.75" x14ac:dyDescent="0.25">
      <c r="A3768" s="634">
        <v>2</v>
      </c>
      <c r="B3768" s="635" t="s">
        <v>291</v>
      </c>
      <c r="C3768" s="636"/>
      <c r="D3768" s="637" t="s">
        <v>293</v>
      </c>
      <c r="E3768" s="638">
        <v>28.95</v>
      </c>
      <c r="F3768" s="639" t="s">
        <v>292</v>
      </c>
      <c r="G3768" s="484">
        <v>0</v>
      </c>
      <c r="H3768" s="691" t="str">
        <f>IF(G3768=0,"",IF(F3768="Buy",IF(G3768=1,"plant","plants"),IF(F3768&gt;0.01,"warranty","Error")))</f>
        <v/>
      </c>
      <c r="I3768" s="640">
        <f>IF(H3768="free",0,IF(H3768="credit",((E3768*(F3768))*G3768*-1),IF(F3768="Buy",(E3768*G3768),((E3768*(1-F3768))*G3768))))</f>
        <v>0</v>
      </c>
      <c r="J3768" s="640">
        <f>IF(H3768="warranty",0,(I3768*(_xlfn.SINGLE(SalesTaxPercentage))))</f>
        <v>0</v>
      </c>
      <c r="K3768" s="716">
        <f t="shared" ref="K3768" si="2845">I3768+J3768</f>
        <v>0</v>
      </c>
      <c r="L3768" s="716"/>
      <c r="M3768" s="689" t="str">
        <f ca="1">IF(AND(G3768&gt;0,E3768=0),"WARNING - no PRICE inserted",IF(H3768="free","FREE ~ no charge this plant",IF(H3768="credit",CONCATENATE("-$",ROUND(K3768*(1-_xlfn.SINGLE(T2GDiscount))*-1,2)," CREDIT after discount"),IF(_xlfn.SINGLE(T2GDiscount)=0,"",IF(G3768=0,"",IF(F3768="Buy",CONCATENATE("$",ROUND(K3768*(1-_xlfn.SINGLE(T2GDiscount)),2)," with ",(_xlfn.SINGLE(T2GDiscount)*100),"% discount"),CONCATENATE("$",ROUND(K3768*(1-_xlfn.SINGLE(T2GDiscount)),2)," with ",((_xlfn.SINGLE(T2GDiscount)*100+F3768*100)-(_xlfn.SINGLE(T2GDiscount)*100*F3768)),IF(F3768&gt;0,"% discounts",IF(_xlfn.SINGLE(NoWarrantyDiscount)&gt;0,"% discounts","% discount")))))))))</f>
        <v/>
      </c>
      <c r="N3768" s="690"/>
      <c r="O3768" s="486"/>
      <c r="P3768" s="486"/>
      <c r="Q3768" s="486"/>
      <c r="R3768" s="486"/>
      <c r="S3768" s="486"/>
      <c r="T3768" s="102">
        <f t="shared" si="2817"/>
        <v>0</v>
      </c>
      <c r="U3768" s="78">
        <f>IF(NOT(ISNUMBER(G3768)), "", VLOOKUP(A3768,'Discount Lookup'!D:E,2,FALSE)*G3768)</f>
        <v>0</v>
      </c>
      <c r="V3768" s="78">
        <f>IF(NOT(ISNUMBER(G3768)), "", VLOOKUP(A3768,'Discount Lookup'!G:H,2,FALSE)*G3768)</f>
        <v>0</v>
      </c>
      <c r="W3768" s="102">
        <f t="shared" si="2818"/>
        <v>0</v>
      </c>
      <c r="X3768" s="102">
        <f t="shared" si="2819"/>
        <v>0</v>
      </c>
      <c r="Y3768" s="120" t="b">
        <f t="shared" si="2820"/>
        <v>0</v>
      </c>
      <c r="Z3768" s="117">
        <f t="shared" si="2821"/>
        <v>0</v>
      </c>
      <c r="AA3768" s="118"/>
      <c r="AB3768" s="118" t="str">
        <f t="shared" si="2822"/>
        <v/>
      </c>
      <c r="AC3768" s="712" t="str">
        <f>IF(AE3768="T2G","no charge",IF(AND(OR(PlanterYesMe="No",PlanterYesMe="N",PlanterYesMe="me"),H3768=""),"",IF(H3768="credit","NO install",IF(AND(K3768="",AE3768="me"),"EACH row",IF(AND(K3768="images",AE3768="me"),"EACH row",IF(D3768="","",IF(H3768="credit","",IF(AE3768="free","re-planting",IF(AE3768="me","   not ELP, by",IF(AND(OR(PlanterYesMe="Yes",PlanterYesMe="Y"),G3768&gt;0),(VLOOKUP(A3768,'Discount Lookup'!J:K,2)*G3768*(1-PlanterDiscount)*(1+PlanterDifficultyPercentage)),IF(AE3768="ELP",(VLOOKUP(A3768,'Discount Lookup'!J:K,2)*G3768*(1-PlanterDiscount)*(1+PlanterDifficultyPercentage)),IF(AE3768="free","re-planting",IF(G3768=0,"",IF(PlanterYesMe="",IF(AE3768="me","   not ELP, by",IF(AE3768="",IF(G3768&gt;0,(VLOOKUP(A3768,'Discount Lookup'!J:K,2)*G3768*(1-PlanterDiscount)*(1+PlanterDifficultyPercentage)),""),"")),"   not ELP, by"))))))))))))))</f>
        <v/>
      </c>
      <c r="AD3768" s="712"/>
      <c r="AE3768" s="513" t="str">
        <f t="shared" si="2823"/>
        <v/>
      </c>
      <c r="AF3768" s="713" t="str">
        <f t="shared" si="2824"/>
        <v/>
      </c>
      <c r="AG3768" s="713"/>
      <c r="AH3768" s="713"/>
      <c r="AI3768" s="112">
        <f>IF(H3768="credit",0,IF(AE3768="free",0,IF(AE3768="me",0,IF(G3768&gt;0,(VLOOKUP(A3768,'Discount Lookup'!J:K,2)*G3768),0))))</f>
        <v>0</v>
      </c>
      <c r="AJ3768" s="107" t="str">
        <f t="shared" ca="1" si="2825"/>
        <v/>
      </c>
      <c r="AK3768" s="714" t="str">
        <f t="shared" si="2826"/>
        <v/>
      </c>
      <c r="AL3768" s="714"/>
      <c r="AM3768" s="114" t="str">
        <f t="shared" si="2827"/>
        <v/>
      </c>
      <c r="AN3768" s="115"/>
      <c r="AO3768" s="116"/>
      <c r="AP3768" s="116"/>
      <c r="AQ3768" s="116"/>
      <c r="AR3768" s="116"/>
      <c r="AS3768" s="116"/>
      <c r="AT3768" s="116"/>
      <c r="AU3768" s="116"/>
      <c r="AV3768" s="78"/>
      <c r="AW3768" s="102"/>
      <c r="AX3768" s="78"/>
      <c r="AY3768" s="78"/>
      <c r="AZ3768" s="78"/>
      <c r="BA3768" s="78"/>
      <c r="BB3768" s="78"/>
      <c r="BC3768" s="78"/>
      <c r="BD3768" s="78"/>
      <c r="BE3768" s="465"/>
      <c r="BF3768" s="165" t="str">
        <f t="shared" si="2828"/>
        <v>https://www.google.com/search?tbm=isch&amp;q=2%20G6</v>
      </c>
      <c r="BG3768" s="165" t="str">
        <f t="shared" si="2829"/>
        <v>R</v>
      </c>
      <c r="BH3768" s="65"/>
      <c r="BI3768" s="65"/>
      <c r="BJ3768" s="65"/>
      <c r="BK3768" s="65"/>
      <c r="BL3768" s="99"/>
      <c r="BM3768" s="99"/>
      <c r="BN3768" s="99"/>
    </row>
    <row r="3769" spans="1:66" s="51" customFormat="1" ht="17.25" thickBot="1" x14ac:dyDescent="0.3">
      <c r="A3769" s="641" t="s">
        <v>4845</v>
      </c>
      <c r="B3769" s="642"/>
      <c r="C3769" s="710"/>
      <c r="D3769" s="643"/>
      <c r="E3769" s="643"/>
      <c r="F3769" s="644"/>
      <c r="G3769" s="645"/>
      <c r="H3769" s="646"/>
      <c r="I3769" s="647"/>
      <c r="J3769" s="648"/>
      <c r="K3769" s="649"/>
      <c r="L3769" s="650"/>
      <c r="M3769" s="650"/>
      <c r="N3769" s="644"/>
      <c r="O3769" s="644"/>
      <c r="P3769" s="644"/>
      <c r="Q3769" s="644"/>
      <c r="R3769" s="644"/>
      <c r="S3769" s="701" t="s">
        <v>5284</v>
      </c>
      <c r="T3769" s="102">
        <f t="shared" si="2817"/>
        <v>0</v>
      </c>
      <c r="U3769" s="78" t="str">
        <f>IF(NOT(ISNUMBER(G3769)), "", VLOOKUP(A3769,'Discount Lookup'!D:E,2,FALSE)*G3769)</f>
        <v/>
      </c>
      <c r="V3769" s="78" t="str">
        <f>IF(NOT(ISNUMBER(G3769)), "", VLOOKUP(A3769,'Discount Lookup'!G:H,2,FALSE)*G3769)</f>
        <v/>
      </c>
      <c r="W3769" s="102">
        <f t="shared" si="2818"/>
        <v>0</v>
      </c>
      <c r="X3769" s="102">
        <f t="shared" si="2819"/>
        <v>0</v>
      </c>
      <c r="Y3769" s="120" t="b">
        <f t="shared" si="2820"/>
        <v>0</v>
      </c>
      <c r="Z3769" s="117">
        <f t="shared" si="2821"/>
        <v>0</v>
      </c>
      <c r="AA3769" s="118"/>
      <c r="AB3769" s="118" t="str">
        <f t="shared" si="2822"/>
        <v/>
      </c>
      <c r="AC3769" s="712" t="str">
        <f>IF(AE3769="T2G","no charge",IF(AND(OR(PlanterYesMe="No",PlanterYesMe="N",PlanterYesMe="me"),H3769=""),"",IF(H3769="credit","NO install",IF(AND(K3769="",AE3769="me"),"EACH row",IF(AND(K3769="images",AE3769="me"),"EACH row",IF(D3769="","",IF(H3769="credit","",IF(AE3769="free","re-planting",IF(AE3769="me","   not ELP, by",IF(AND(OR(PlanterYesMe="Yes",PlanterYesMe="Y"),G3769&gt;0),(VLOOKUP(A3769,'Discount Lookup'!J:K,2)*G3769*(1-PlanterDiscount)*(1+PlanterDifficultyPercentage)),IF(AE3769="ELP",(VLOOKUP(A3769,'Discount Lookup'!J:K,2)*G3769*(1-PlanterDiscount)*(1+PlanterDifficultyPercentage)),IF(AE3769="free","re-planting",IF(G3769=0,"",IF(PlanterYesMe="",IF(AE3769="me","   not ELP, by",IF(AE3769="",IF(G3769&gt;0,(VLOOKUP(A3769,'Discount Lookup'!J:K,2)*G3769*(1-PlanterDiscount)*(1+PlanterDifficultyPercentage)),""),"")),"   not ELP, by"))))))))))))))</f>
        <v/>
      </c>
      <c r="AD3769" s="712"/>
      <c r="AE3769" s="513" t="str">
        <f t="shared" si="2823"/>
        <v/>
      </c>
      <c r="AF3769" s="713" t="str">
        <f t="shared" si="2824"/>
        <v/>
      </c>
      <c r="AG3769" s="713"/>
      <c r="AH3769" s="713"/>
      <c r="AI3769" s="112">
        <f>IF(H3769="credit",0,IF(AE3769="free",0,IF(AE3769="me",0,IF(G3769&gt;0,(VLOOKUP(A3769,'Discount Lookup'!J:K,2)*G3769),0))))</f>
        <v>0</v>
      </c>
      <c r="AJ3769" s="107" t="str">
        <f t="shared" ca="1" si="2825"/>
        <v/>
      </c>
      <c r="AK3769" s="714" t="str">
        <f t="shared" si="2826"/>
        <v/>
      </c>
      <c r="AL3769" s="714"/>
      <c r="AM3769" s="114" t="str">
        <f t="shared" si="2827"/>
        <v/>
      </c>
      <c r="AN3769" s="115"/>
      <c r="AO3769" s="116"/>
      <c r="AP3769" s="116"/>
      <c r="AQ3769" s="116"/>
      <c r="AR3769" s="116"/>
      <c r="AS3769" s="116"/>
      <c r="AT3769" s="116"/>
      <c r="AU3769" s="116"/>
      <c r="AV3769" s="78"/>
      <c r="AW3769" s="102"/>
      <c r="AX3769" s="78"/>
      <c r="AY3769" s="78"/>
      <c r="AZ3769" s="78"/>
      <c r="BA3769" s="78"/>
      <c r="BB3769" s="78"/>
      <c r="BC3769" s="78"/>
      <c r="BD3769" s="78"/>
      <c r="BE3769" s="465"/>
      <c r="BF3769" s="165" t="str">
        <f t="shared" si="2828"/>
        <v>https://www.google.com/search?tbm=isch&amp;q=Early%20Bird%20Gold%20named%20for%20its%20very%20early%20bloom%20time%2C%20with%20continuous%20show%20of%20flowers%20from%20late%20spring%20through%20fall%20</v>
      </c>
      <c r="BG3769" s="165" t="str">
        <f t="shared" si="2829"/>
        <v>E</v>
      </c>
      <c r="BH3769" s="65"/>
      <c r="BI3769" s="65"/>
      <c r="BJ3769" s="65"/>
      <c r="BK3769" s="65"/>
      <c r="BL3769" s="99"/>
      <c r="BM3769" s="99"/>
      <c r="BN3769" s="99"/>
    </row>
    <row r="3770" spans="1:66" s="51" customFormat="1" ht="18" x14ac:dyDescent="0.25">
      <c r="A3770" s="623" t="s">
        <v>4147</v>
      </c>
      <c r="B3770" s="624"/>
      <c r="C3770" s="709"/>
      <c r="D3770" s="625" t="s">
        <v>4148</v>
      </c>
      <c r="E3770" s="626"/>
      <c r="F3770" s="626"/>
      <c r="G3770" s="626"/>
      <c r="H3770" s="622" t="s">
        <v>1511</v>
      </c>
      <c r="I3770" s="627" t="s">
        <v>4799</v>
      </c>
      <c r="J3770" s="628"/>
      <c r="K3770" s="628"/>
      <c r="L3770" s="629"/>
      <c r="M3770" s="700" t="s">
        <v>5241</v>
      </c>
      <c r="N3770" s="693" t="str">
        <f>IF(AND(ISTEXT($A3770), ISERROR($A3770+0)), HYPERLINK($BF3770, "Images"), "")</f>
        <v>Images</v>
      </c>
      <c r="O3770" s="695" t="s">
        <v>5247</v>
      </c>
      <c r="P3770" s="630"/>
      <c r="Q3770" s="631"/>
      <c r="R3770" s="632"/>
      <c r="S3770" s="633" t="s">
        <v>294</v>
      </c>
      <c r="T3770" s="102">
        <f t="shared" si="2817"/>
        <v>0</v>
      </c>
      <c r="U3770" s="78" t="str">
        <f>IF(NOT(ISNUMBER(G3770)), "", VLOOKUP(A3770,'Discount Lookup'!D:E,2,FALSE)*G3770)</f>
        <v/>
      </c>
      <c r="V3770" s="78" t="str">
        <f>IF(NOT(ISNUMBER(G3770)), "", VLOOKUP(A3770,'Discount Lookup'!G:H,2,FALSE)*G3770)</f>
        <v/>
      </c>
      <c r="W3770" s="102">
        <f t="shared" si="2818"/>
        <v>0</v>
      </c>
      <c r="X3770" s="102" t="str">
        <f t="shared" si="2819"/>
        <v>Golden-Yellow ray, Dark eye</v>
      </c>
      <c r="Y3770" s="120" t="b">
        <f t="shared" si="2820"/>
        <v>0</v>
      </c>
      <c r="Z3770" s="117">
        <f t="shared" si="2821"/>
        <v>0</v>
      </c>
      <c r="AA3770" s="118"/>
      <c r="AB3770" s="118" t="str">
        <f t="shared" si="2822"/>
        <v/>
      </c>
      <c r="AC3770" s="712" t="str">
        <f>IF(AE3770="T2G","no charge",IF(AND(OR(PlanterYesMe="No",PlanterYesMe="N",PlanterYesMe="me"),H3770=""),"",IF(H3770="credit","NO install",IF(AND(K3770="",AE3770="me"),"EACH row",IF(AND(K3770="images",AE3770="me"),"EACH row",IF(D3770="","",IF(H3770="credit","",IF(AE3770="free","re-planting",IF(AE3770="me","   not ELP, by",IF(AND(OR(PlanterYesMe="Yes",PlanterYesMe="Y"),G3770&gt;0),(VLOOKUP(A3770,'Discount Lookup'!J:K,2)*G3770*(1-PlanterDiscount)*(1+PlanterDifficultyPercentage)),IF(AE3770="ELP",(VLOOKUP(A3770,'Discount Lookup'!J:K,2)*G3770*(1-PlanterDiscount)*(1+PlanterDifficultyPercentage)),IF(AE3770="free","re-planting",IF(G3770=0,"",IF(PlanterYesMe="",IF(AE3770="me","   not ELP, by",IF(AE3770="",IF(G3770&gt;0,(VLOOKUP(A3770,'Discount Lookup'!J:K,2)*G3770*(1-PlanterDiscount)*(1+PlanterDifficultyPercentage)),""),"")),"   not ELP, by"))))))))))))))</f>
        <v/>
      </c>
      <c r="AD3770" s="712"/>
      <c r="AE3770" s="513" t="str">
        <f t="shared" si="2823"/>
        <v/>
      </c>
      <c r="AF3770" s="713" t="str">
        <f t="shared" si="2824"/>
        <v/>
      </c>
      <c r="AG3770" s="713"/>
      <c r="AH3770" s="713"/>
      <c r="AI3770" s="112">
        <f>IF(H3770="credit",0,IF(AE3770="free",0,IF(AE3770="me",0,IF(G3770&gt;0,(VLOOKUP(A3770,'Discount Lookup'!J:K,2)*G3770),0))))</f>
        <v>0</v>
      </c>
      <c r="AJ3770" s="107" t="str">
        <f t="shared" ca="1" si="2825"/>
        <v/>
      </c>
      <c r="AK3770" s="714" t="str">
        <f t="shared" si="2826"/>
        <v/>
      </c>
      <c r="AL3770" s="714"/>
      <c r="AM3770" s="114" t="str">
        <f t="shared" si="2827"/>
        <v/>
      </c>
      <c r="AN3770" s="115"/>
      <c r="AO3770" s="116"/>
      <c r="AP3770" s="116"/>
      <c r="AQ3770" s="116"/>
      <c r="AR3770" s="116"/>
      <c r="AS3770" s="116"/>
      <c r="AT3770" s="116"/>
      <c r="AU3770" s="116"/>
      <c r="AV3770" s="78"/>
      <c r="AW3770" s="102"/>
      <c r="AX3770" s="78"/>
      <c r="AY3770" s="78"/>
      <c r="AZ3770" s="78"/>
      <c r="BA3770" s="78"/>
      <c r="BB3770" s="78"/>
      <c r="BC3770" s="78"/>
      <c r="BD3770" s="78"/>
      <c r="BE3770" s="465"/>
      <c r="BF3770" s="165" t="str">
        <f t="shared" si="2828"/>
        <v>https://www.google.com/search?tbm=isch&amp;q=Rudbeckia%20fulgida%20var.sullivantii%20%27Goldsturm%27%20Goldsturm%20Black-Eyed%20Susan</v>
      </c>
      <c r="BG3770" s="165" t="str">
        <f t="shared" si="2829"/>
        <v>R</v>
      </c>
      <c r="BH3770" s="65"/>
      <c r="BI3770" s="65"/>
      <c r="BJ3770" s="65"/>
      <c r="BK3770" s="65"/>
      <c r="BL3770" s="99"/>
      <c r="BM3770" s="99"/>
      <c r="BN3770" s="99"/>
    </row>
    <row r="3771" spans="1:66" s="51" customFormat="1" ht="15.75" x14ac:dyDescent="0.25">
      <c r="A3771" s="634">
        <v>1</v>
      </c>
      <c r="B3771" s="635" t="s">
        <v>291</v>
      </c>
      <c r="C3771" s="636"/>
      <c r="D3771" s="637" t="s">
        <v>329</v>
      </c>
      <c r="E3771" s="638">
        <v>9.9499999999999993</v>
      </c>
      <c r="F3771" s="639" t="s">
        <v>292</v>
      </c>
      <c r="G3771" s="484">
        <v>0</v>
      </c>
      <c r="H3771" s="691" t="str">
        <f>IF(G3771=0,"",IF(F3771="Buy",IF(G3771=1,"plant","plants"),IF(F3771&gt;0.01,"warranty","Error")))</f>
        <v/>
      </c>
      <c r="I3771" s="640">
        <f>IF(H3771="free",0,IF(H3771="credit",((E3771*(F3771))*G3771*-1),IF(F3771="Buy",(E3771*G3771),((E3771*(1-F3771))*G3771))))</f>
        <v>0</v>
      </c>
      <c r="J3771" s="640">
        <f>IF(H3771="warranty",0,(I3771*(_xlfn.SINGLE(SalesTaxPercentage))))</f>
        <v>0</v>
      </c>
      <c r="K3771" s="716">
        <f t="shared" ref="K3771" si="2846">I3771+J3771</f>
        <v>0</v>
      </c>
      <c r="L3771" s="716"/>
      <c r="M3771" s="689" t="str">
        <f ca="1">IF(AND(G3771&gt;0,E3771=0),"WARNING - no PRICE inserted",IF(H3771="free","FREE ~ no charge this plant",IF(H3771="credit",CONCATENATE("-$",ROUND(K3771*(1-_xlfn.SINGLE(T2GDiscount))*-1,2)," CREDIT after discount"),IF(_xlfn.SINGLE(T2GDiscount)=0,"",IF(G3771=0,"",IF(F3771="Buy",CONCATENATE("$",ROUND(K3771*(1-_xlfn.SINGLE(T2GDiscount)),2)," with ",(_xlfn.SINGLE(T2GDiscount)*100),"% discount"),CONCATENATE("$",ROUND(K3771*(1-_xlfn.SINGLE(T2GDiscount)),2)," with ",((_xlfn.SINGLE(T2GDiscount)*100+F3771*100)-(_xlfn.SINGLE(T2GDiscount)*100*F3771)),IF(F3771&gt;0,"% discounts",IF(_xlfn.SINGLE(NoWarrantyDiscount)&gt;0,"% discounts","% discount")))))))))</f>
        <v/>
      </c>
      <c r="N3771" s="690"/>
      <c r="O3771" s="486"/>
      <c r="P3771" s="486"/>
      <c r="Q3771" s="486"/>
      <c r="R3771" s="486"/>
      <c r="S3771" s="486"/>
      <c r="T3771" s="102">
        <f t="shared" si="2817"/>
        <v>0</v>
      </c>
      <c r="U3771" s="78">
        <f>IF(NOT(ISNUMBER(G3771)), "", VLOOKUP(A3771,'Discount Lookup'!D:E,2,FALSE)*G3771)</f>
        <v>0</v>
      </c>
      <c r="V3771" s="78">
        <f>IF(NOT(ISNUMBER(G3771)), "", VLOOKUP(A3771,'Discount Lookup'!G:H,2,FALSE)*G3771)</f>
        <v>0</v>
      </c>
      <c r="W3771" s="102">
        <f t="shared" si="2818"/>
        <v>0</v>
      </c>
      <c r="X3771" s="102">
        <f t="shared" si="2819"/>
        <v>0</v>
      </c>
      <c r="Y3771" s="120" t="b">
        <f t="shared" si="2820"/>
        <v>0</v>
      </c>
      <c r="Z3771" s="117">
        <f t="shared" si="2821"/>
        <v>0</v>
      </c>
      <c r="AA3771" s="118"/>
      <c r="AB3771" s="118" t="str">
        <f t="shared" si="2822"/>
        <v/>
      </c>
      <c r="AC3771" s="712" t="str">
        <f>IF(AE3771="T2G","no charge",IF(AND(OR(PlanterYesMe="No",PlanterYesMe="N",PlanterYesMe="me"),H3771=""),"",IF(H3771="credit","NO install",IF(AND(K3771="",AE3771="me"),"EACH row",IF(AND(K3771="images",AE3771="me"),"EACH row",IF(D3771="","",IF(H3771="credit","",IF(AE3771="free","re-planting",IF(AE3771="me","   not ELP, by",IF(AND(OR(PlanterYesMe="Yes",PlanterYesMe="Y"),G3771&gt;0),(VLOOKUP(A3771,'Discount Lookup'!J:K,2)*G3771*(1-PlanterDiscount)*(1+PlanterDifficultyPercentage)),IF(AE3771="ELP",(VLOOKUP(A3771,'Discount Lookup'!J:K,2)*G3771*(1-PlanterDiscount)*(1+PlanterDifficultyPercentage)),IF(AE3771="free","re-planting",IF(G3771=0,"",IF(PlanterYesMe="",IF(AE3771="me","   not ELP, by",IF(AE3771="",IF(G3771&gt;0,(VLOOKUP(A3771,'Discount Lookup'!J:K,2)*G3771*(1-PlanterDiscount)*(1+PlanterDifficultyPercentage)),""),"")),"   not ELP, by"))))))))))))))</f>
        <v/>
      </c>
      <c r="AD3771" s="712"/>
      <c r="AE3771" s="513" t="str">
        <f t="shared" si="2823"/>
        <v/>
      </c>
      <c r="AF3771" s="713" t="str">
        <f t="shared" si="2824"/>
        <v/>
      </c>
      <c r="AG3771" s="713"/>
      <c r="AH3771" s="713"/>
      <c r="AI3771" s="112">
        <f>IF(H3771="credit",0,IF(AE3771="free",0,IF(AE3771="me",0,IF(G3771&gt;0,(VLOOKUP(A3771,'Discount Lookup'!J:K,2)*G3771),0))))</f>
        <v>0</v>
      </c>
      <c r="AJ3771" s="107" t="str">
        <f t="shared" ca="1" si="2825"/>
        <v/>
      </c>
      <c r="AK3771" s="714" t="str">
        <f t="shared" si="2826"/>
        <v/>
      </c>
      <c r="AL3771" s="714"/>
      <c r="AM3771" s="114" t="str">
        <f t="shared" si="2827"/>
        <v/>
      </c>
      <c r="AN3771" s="115"/>
      <c r="AO3771" s="116"/>
      <c r="AP3771" s="116"/>
      <c r="AQ3771" s="116"/>
      <c r="AR3771" s="116"/>
      <c r="AS3771" s="116"/>
      <c r="AT3771" s="116"/>
      <c r="AU3771" s="116"/>
      <c r="AV3771" s="78"/>
      <c r="AW3771" s="102"/>
      <c r="AX3771" s="78"/>
      <c r="AY3771" s="78"/>
      <c r="AZ3771" s="78"/>
      <c r="BA3771" s="78"/>
      <c r="BB3771" s="78"/>
      <c r="BC3771" s="78"/>
      <c r="BD3771" s="78"/>
      <c r="BE3771" s="465"/>
      <c r="BF3771" s="165" t="str">
        <f t="shared" si="2828"/>
        <v>https://www.google.com/search?tbm=isch&amp;q=1%20G2</v>
      </c>
      <c r="BG3771" s="165" t="str">
        <f t="shared" si="2829"/>
        <v>R</v>
      </c>
      <c r="BH3771" s="65"/>
      <c r="BI3771" s="65"/>
      <c r="BJ3771" s="65"/>
      <c r="BK3771" s="65"/>
      <c r="BL3771" s="99"/>
      <c r="BM3771" s="99"/>
      <c r="BN3771" s="99"/>
    </row>
    <row r="3772" spans="1:66" s="51" customFormat="1" ht="15.75" x14ac:dyDescent="0.25">
      <c r="A3772" s="634">
        <v>1</v>
      </c>
      <c r="B3772" s="635" t="s">
        <v>291</v>
      </c>
      <c r="C3772" s="636"/>
      <c r="D3772" s="637" t="s">
        <v>329</v>
      </c>
      <c r="E3772" s="638">
        <v>12.95</v>
      </c>
      <c r="F3772" s="639" t="s">
        <v>292</v>
      </c>
      <c r="G3772" s="484">
        <v>0</v>
      </c>
      <c r="H3772" s="691" t="str">
        <f>IF(G3772=0,"",IF(F3772="Buy",IF(G3772=1,"plant","plants"),IF(F3772&gt;0.01,"warranty","Error")))</f>
        <v/>
      </c>
      <c r="I3772" s="640">
        <f>IF(H3772="free",0,IF(H3772="credit",((E3772*(F3772))*G3772*-1),IF(F3772="Buy",(E3772*G3772),((E3772*(1-F3772))*G3772))))</f>
        <v>0</v>
      </c>
      <c r="J3772" s="640">
        <f>IF(H3772="warranty",0,(I3772*(_xlfn.SINGLE(SalesTaxPercentage))))</f>
        <v>0</v>
      </c>
      <c r="K3772" s="716">
        <f t="shared" ref="K3772" si="2847">I3772+J3772</f>
        <v>0</v>
      </c>
      <c r="L3772" s="716"/>
      <c r="M3772" s="689" t="str">
        <f ca="1">IF(AND(G3772&gt;0,E3772=0),"WARNING - no PRICE inserted",IF(H3772="free","FREE ~ no charge this plant",IF(H3772="credit",CONCATENATE("-$",ROUND(K3772*(1-_xlfn.SINGLE(T2GDiscount))*-1,2)," CREDIT after discount"),IF(_xlfn.SINGLE(T2GDiscount)=0,"",IF(G3772=0,"",IF(F3772="Buy",CONCATENATE("$",ROUND(K3772*(1-_xlfn.SINGLE(T2GDiscount)),2)," with ",(_xlfn.SINGLE(T2GDiscount)*100),"% discount"),CONCATENATE("$",ROUND(K3772*(1-_xlfn.SINGLE(T2GDiscount)),2)," with ",((_xlfn.SINGLE(T2GDiscount)*100+F3772*100)-(_xlfn.SINGLE(T2GDiscount)*100*F3772)),IF(F3772&gt;0,"% discounts",IF(_xlfn.SINGLE(NoWarrantyDiscount)&gt;0,"% discounts","% discount")))))))))</f>
        <v/>
      </c>
      <c r="N3772" s="690"/>
      <c r="O3772" s="486"/>
      <c r="P3772" s="486"/>
      <c r="Q3772" s="486"/>
      <c r="R3772" s="486"/>
      <c r="S3772" s="486"/>
      <c r="T3772" s="102">
        <f t="shared" si="2817"/>
        <v>0</v>
      </c>
      <c r="U3772" s="78">
        <f>IF(NOT(ISNUMBER(G3772)), "", VLOOKUP(A3772,'Discount Lookup'!D:E,2,FALSE)*G3772)</f>
        <v>0</v>
      </c>
      <c r="V3772" s="78">
        <f>IF(NOT(ISNUMBER(G3772)), "", VLOOKUP(A3772,'Discount Lookup'!G:H,2,FALSE)*G3772)</f>
        <v>0</v>
      </c>
      <c r="W3772" s="102">
        <f t="shared" si="2818"/>
        <v>0</v>
      </c>
      <c r="X3772" s="102">
        <f t="shared" si="2819"/>
        <v>0</v>
      </c>
      <c r="Y3772" s="120" t="b">
        <f t="shared" si="2820"/>
        <v>0</v>
      </c>
      <c r="Z3772" s="117">
        <f t="shared" si="2821"/>
        <v>0</v>
      </c>
      <c r="AA3772" s="118"/>
      <c r="AB3772" s="118" t="str">
        <f t="shared" si="2822"/>
        <v/>
      </c>
      <c r="AC3772" s="712" t="str">
        <f>IF(AE3772="T2G","no charge",IF(AND(OR(PlanterYesMe="No",PlanterYesMe="N",PlanterYesMe="me"),H3772=""),"",IF(H3772="credit","NO install",IF(AND(K3772="",AE3772="me"),"EACH row",IF(AND(K3772="images",AE3772="me"),"EACH row",IF(D3772="","",IF(H3772="credit","",IF(AE3772="free","re-planting",IF(AE3772="me","   not ELP, by",IF(AND(OR(PlanterYesMe="Yes",PlanterYesMe="Y"),G3772&gt;0),(VLOOKUP(A3772,'Discount Lookup'!J:K,2)*G3772*(1-PlanterDiscount)*(1+PlanterDifficultyPercentage)),IF(AE3772="ELP",(VLOOKUP(A3772,'Discount Lookup'!J:K,2)*G3772*(1-PlanterDiscount)*(1+PlanterDifficultyPercentage)),IF(AE3772="free","re-planting",IF(G3772=0,"",IF(PlanterYesMe="",IF(AE3772="me","   not ELP, by",IF(AE3772="",IF(G3772&gt;0,(VLOOKUP(A3772,'Discount Lookup'!J:K,2)*G3772*(1-PlanterDiscount)*(1+PlanterDifficultyPercentage)),""),"")),"   not ELP, by"))))))))))))))</f>
        <v/>
      </c>
      <c r="AD3772" s="712"/>
      <c r="AE3772" s="513" t="str">
        <f t="shared" si="2823"/>
        <v/>
      </c>
      <c r="AF3772" s="713" t="str">
        <f t="shared" si="2824"/>
        <v/>
      </c>
      <c r="AG3772" s="713"/>
      <c r="AH3772" s="713"/>
      <c r="AI3772" s="112">
        <f>IF(H3772="credit",0,IF(AE3772="free",0,IF(AE3772="me",0,IF(G3772&gt;0,(VLOOKUP(A3772,'Discount Lookup'!J:K,2)*G3772),0))))</f>
        <v>0</v>
      </c>
      <c r="AJ3772" s="107" t="str">
        <f t="shared" ca="1" si="2825"/>
        <v/>
      </c>
      <c r="AK3772" s="714" t="str">
        <f t="shared" si="2826"/>
        <v/>
      </c>
      <c r="AL3772" s="714"/>
      <c r="AM3772" s="114" t="str">
        <f t="shared" si="2827"/>
        <v/>
      </c>
      <c r="AN3772" s="115"/>
      <c r="AO3772" s="116"/>
      <c r="AP3772" s="116"/>
      <c r="AQ3772" s="116"/>
      <c r="AR3772" s="116"/>
      <c r="AS3772" s="116"/>
      <c r="AT3772" s="116"/>
      <c r="AU3772" s="116"/>
      <c r="AV3772" s="78"/>
      <c r="AW3772" s="102"/>
      <c r="AX3772" s="78"/>
      <c r="AY3772" s="78"/>
      <c r="AZ3772" s="78"/>
      <c r="BA3772" s="78"/>
      <c r="BB3772" s="78"/>
      <c r="BC3772" s="78"/>
      <c r="BD3772" s="78"/>
      <c r="BE3772" s="465"/>
      <c r="BF3772" s="165" t="str">
        <f t="shared" si="2828"/>
        <v>https://www.google.com/search?tbm=isch&amp;q=1%20G2</v>
      </c>
      <c r="BG3772" s="165" t="str">
        <f t="shared" si="2829"/>
        <v>R</v>
      </c>
      <c r="BH3772" s="65"/>
      <c r="BI3772" s="65"/>
      <c r="BJ3772" s="65"/>
      <c r="BK3772" s="65"/>
      <c r="BL3772" s="99"/>
      <c r="BM3772" s="99"/>
      <c r="BN3772" s="99"/>
    </row>
    <row r="3773" spans="1:66" s="51" customFormat="1" ht="27" x14ac:dyDescent="0.25">
      <c r="A3773" s="634">
        <v>2</v>
      </c>
      <c r="B3773" s="635" t="s">
        <v>291</v>
      </c>
      <c r="C3773" s="636" t="s">
        <v>5016</v>
      </c>
      <c r="D3773" s="637" t="s">
        <v>293</v>
      </c>
      <c r="E3773" s="638">
        <v>28.95</v>
      </c>
      <c r="F3773" s="639" t="s">
        <v>292</v>
      </c>
      <c r="G3773" s="484">
        <v>0</v>
      </c>
      <c r="H3773" s="691" t="str">
        <f>IF(G3773=0,"",IF(F3773="Buy",IF(G3773=1,"plant","plants"),IF(F3773&gt;0.01,"warranty","Error")))</f>
        <v/>
      </c>
      <c r="I3773" s="640">
        <f>IF(H3773="free",0,IF(H3773="credit",((E3773*(F3773))*G3773*-1),IF(F3773="Buy",(E3773*G3773),((E3773*(1-F3773))*G3773))))</f>
        <v>0</v>
      </c>
      <c r="J3773" s="640">
        <f>IF(H3773="warranty",0,(I3773*(_xlfn.SINGLE(SalesTaxPercentage))))</f>
        <v>0</v>
      </c>
      <c r="K3773" s="716">
        <f t="shared" ref="K3773" si="2848">I3773+J3773</f>
        <v>0</v>
      </c>
      <c r="L3773" s="716"/>
      <c r="M3773" s="689" t="str">
        <f ca="1">IF(AND(G3773&gt;0,E3773=0),"WARNING - no PRICE inserted",IF(H3773="free","FREE ~ no charge this plant",IF(H3773="credit",CONCATENATE("-$",ROUND(K3773*(1-_xlfn.SINGLE(T2GDiscount))*-1,2)," CREDIT after discount"),IF(_xlfn.SINGLE(T2GDiscount)=0,"",IF(G3773=0,"",IF(F3773="Buy",CONCATENATE("$",ROUND(K3773*(1-_xlfn.SINGLE(T2GDiscount)),2)," with ",(_xlfn.SINGLE(T2GDiscount)*100),"% discount"),CONCATENATE("$",ROUND(K3773*(1-_xlfn.SINGLE(T2GDiscount)),2)," with ",((_xlfn.SINGLE(T2GDiscount)*100+F3773*100)-(_xlfn.SINGLE(T2GDiscount)*100*F3773)),IF(F3773&gt;0,"% discounts",IF(_xlfn.SINGLE(NoWarrantyDiscount)&gt;0,"% discounts","% discount")))))))))</f>
        <v/>
      </c>
      <c r="N3773" s="690"/>
      <c r="O3773" s="486"/>
      <c r="P3773" s="486"/>
      <c r="Q3773" s="486"/>
      <c r="R3773" s="486"/>
      <c r="S3773" s="486"/>
      <c r="T3773" s="102">
        <f t="shared" si="2817"/>
        <v>0</v>
      </c>
      <c r="U3773" s="78">
        <f>IF(NOT(ISNUMBER(G3773)), "", VLOOKUP(A3773,'Discount Lookup'!D:E,2,FALSE)*G3773)</f>
        <v>0</v>
      </c>
      <c r="V3773" s="78">
        <f>IF(NOT(ISNUMBER(G3773)), "", VLOOKUP(A3773,'Discount Lookup'!G:H,2,FALSE)*G3773)</f>
        <v>0</v>
      </c>
      <c r="W3773" s="102">
        <f t="shared" si="2818"/>
        <v>0</v>
      </c>
      <c r="X3773" s="102">
        <f t="shared" si="2819"/>
        <v>0</v>
      </c>
      <c r="Y3773" s="120" t="b">
        <f t="shared" si="2820"/>
        <v>0</v>
      </c>
      <c r="Z3773" s="117">
        <f t="shared" si="2821"/>
        <v>0</v>
      </c>
      <c r="AA3773" s="118"/>
      <c r="AB3773" s="118" t="str">
        <f t="shared" si="2822"/>
        <v/>
      </c>
      <c r="AC3773" s="712" t="str">
        <f>IF(AE3773="T2G","no charge",IF(AND(OR(PlanterYesMe="No",PlanterYesMe="N",PlanterYesMe="me"),H3773=""),"",IF(H3773="credit","NO install",IF(AND(K3773="",AE3773="me"),"EACH row",IF(AND(K3773="images",AE3773="me"),"EACH row",IF(D3773="","",IF(H3773="credit","",IF(AE3773="free","re-planting",IF(AE3773="me","   not ELP, by",IF(AND(OR(PlanterYesMe="Yes",PlanterYesMe="Y"),G3773&gt;0),(VLOOKUP(A3773,'Discount Lookup'!J:K,2)*G3773*(1-PlanterDiscount)*(1+PlanterDifficultyPercentage)),IF(AE3773="ELP",(VLOOKUP(A3773,'Discount Lookup'!J:K,2)*G3773*(1-PlanterDiscount)*(1+PlanterDifficultyPercentage)),IF(AE3773="free","re-planting",IF(G3773=0,"",IF(PlanterYesMe="",IF(AE3773="me","   not ELP, by",IF(AE3773="",IF(G3773&gt;0,(VLOOKUP(A3773,'Discount Lookup'!J:K,2)*G3773*(1-PlanterDiscount)*(1+PlanterDifficultyPercentage)),""),"")),"   not ELP, by"))))))))))))))</f>
        <v/>
      </c>
      <c r="AD3773" s="712"/>
      <c r="AE3773" s="513" t="str">
        <f t="shared" si="2823"/>
        <v/>
      </c>
      <c r="AF3773" s="713" t="str">
        <f t="shared" si="2824"/>
        <v/>
      </c>
      <c r="AG3773" s="713"/>
      <c r="AH3773" s="713"/>
      <c r="AI3773" s="112">
        <f>IF(H3773="credit",0,IF(AE3773="free",0,IF(AE3773="me",0,IF(G3773&gt;0,(VLOOKUP(A3773,'Discount Lookup'!J:K,2)*G3773),0))))</f>
        <v>0</v>
      </c>
      <c r="AJ3773" s="107" t="str">
        <f t="shared" ca="1" si="2825"/>
        <v/>
      </c>
      <c r="AK3773" s="714" t="str">
        <f t="shared" si="2826"/>
        <v/>
      </c>
      <c r="AL3773" s="714"/>
      <c r="AM3773" s="114" t="str">
        <f t="shared" si="2827"/>
        <v/>
      </c>
      <c r="AN3773" s="115"/>
      <c r="AO3773" s="116"/>
      <c r="AP3773" s="116"/>
      <c r="AQ3773" s="116"/>
      <c r="AR3773" s="116"/>
      <c r="AS3773" s="116"/>
      <c r="AT3773" s="116"/>
      <c r="AU3773" s="116"/>
      <c r="AV3773" s="78"/>
      <c r="AW3773" s="102"/>
      <c r="AX3773" s="78"/>
      <c r="AY3773" s="78"/>
      <c r="AZ3773" s="78"/>
      <c r="BA3773" s="78"/>
      <c r="BB3773" s="78"/>
      <c r="BC3773" s="78"/>
      <c r="BD3773" s="78"/>
      <c r="BE3773" s="465"/>
      <c r="BF3773" s="165" t="str">
        <f t="shared" si="2828"/>
        <v>https://www.google.com/search?tbm=isch&amp;q=2%20G6</v>
      </c>
      <c r="BG3773" s="165" t="str">
        <f t="shared" si="2829"/>
        <v>R</v>
      </c>
      <c r="BH3773" s="65"/>
      <c r="BI3773" s="65"/>
      <c r="BJ3773" s="65"/>
      <c r="BK3773" s="65"/>
      <c r="BL3773" s="99"/>
      <c r="BM3773" s="99"/>
      <c r="BN3773" s="99"/>
    </row>
    <row r="3774" spans="1:66" s="51" customFormat="1" ht="17.25" thickBot="1" x14ac:dyDescent="0.3">
      <c r="A3774" s="641" t="s">
        <v>4801</v>
      </c>
      <c r="B3774" s="642"/>
      <c r="C3774" s="710"/>
      <c r="D3774" s="643"/>
      <c r="E3774" s="643"/>
      <c r="F3774" s="644"/>
      <c r="G3774" s="645"/>
      <c r="H3774" s="646"/>
      <c r="I3774" s="647"/>
      <c r="J3774" s="648"/>
      <c r="K3774" s="649"/>
      <c r="L3774" s="650"/>
      <c r="M3774" s="650"/>
      <c r="N3774" s="644"/>
      <c r="O3774" s="644"/>
      <c r="P3774" s="644"/>
      <c r="Q3774" s="644"/>
      <c r="R3774" s="644"/>
      <c r="S3774" s="701" t="s">
        <v>5284</v>
      </c>
      <c r="T3774" s="102">
        <f t="shared" si="2817"/>
        <v>0</v>
      </c>
      <c r="U3774" s="78" t="str">
        <f>IF(NOT(ISNUMBER(G3774)), "", VLOOKUP(A3774,'Discount Lookup'!D:E,2,FALSE)*G3774)</f>
        <v/>
      </c>
      <c r="V3774" s="78" t="str">
        <f>IF(NOT(ISNUMBER(G3774)), "", VLOOKUP(A3774,'Discount Lookup'!G:H,2,FALSE)*G3774)</f>
        <v/>
      </c>
      <c r="W3774" s="102">
        <f t="shared" si="2818"/>
        <v>0</v>
      </c>
      <c r="X3774" s="102">
        <f t="shared" si="2819"/>
        <v>0</v>
      </c>
      <c r="Y3774" s="120" t="b">
        <f t="shared" si="2820"/>
        <v>0</v>
      </c>
      <c r="Z3774" s="117">
        <f t="shared" si="2821"/>
        <v>0</v>
      </c>
      <c r="AA3774" s="118"/>
      <c r="AB3774" s="118" t="str">
        <f t="shared" si="2822"/>
        <v/>
      </c>
      <c r="AC3774" s="712" t="str">
        <f>IF(AE3774="T2G","no charge",IF(AND(OR(PlanterYesMe="No",PlanterYesMe="N",PlanterYesMe="me"),H3774=""),"",IF(H3774="credit","NO install",IF(AND(K3774="",AE3774="me"),"EACH row",IF(AND(K3774="images",AE3774="me"),"EACH row",IF(D3774="","",IF(H3774="credit","",IF(AE3774="free","re-planting",IF(AE3774="me","   not ELP, by",IF(AND(OR(PlanterYesMe="Yes",PlanterYesMe="Y"),G3774&gt;0),(VLOOKUP(A3774,'Discount Lookup'!J:K,2)*G3774*(1-PlanterDiscount)*(1+PlanterDifficultyPercentage)),IF(AE3774="ELP",(VLOOKUP(A3774,'Discount Lookup'!J:K,2)*G3774*(1-PlanterDiscount)*(1+PlanterDifficultyPercentage)),IF(AE3774="free","re-planting",IF(G3774=0,"",IF(PlanterYesMe="",IF(AE3774="me","   not ELP, by",IF(AE3774="",IF(G3774&gt;0,(VLOOKUP(A3774,'Discount Lookup'!J:K,2)*G3774*(1-PlanterDiscount)*(1+PlanterDifficultyPercentage)),""),"")),"   not ELP, by"))))))))))))))</f>
        <v/>
      </c>
      <c r="AD3774" s="712"/>
      <c r="AE3774" s="513" t="str">
        <f t="shared" si="2823"/>
        <v/>
      </c>
      <c r="AF3774" s="713" t="str">
        <f t="shared" si="2824"/>
        <v/>
      </c>
      <c r="AG3774" s="713"/>
      <c r="AH3774" s="713"/>
      <c r="AI3774" s="112">
        <f>IF(H3774="credit",0,IF(AE3774="free",0,IF(AE3774="me",0,IF(G3774&gt;0,(VLOOKUP(A3774,'Discount Lookup'!J:K,2)*G3774),0))))</f>
        <v>0</v>
      </c>
      <c r="AJ3774" s="107" t="str">
        <f t="shared" ca="1" si="2825"/>
        <v/>
      </c>
      <c r="AK3774" s="714" t="str">
        <f t="shared" si="2826"/>
        <v/>
      </c>
      <c r="AL3774" s="714"/>
      <c r="AM3774" s="114" t="str">
        <f t="shared" si="2827"/>
        <v/>
      </c>
      <c r="AN3774" s="115"/>
      <c r="AO3774" s="116"/>
      <c r="AP3774" s="116"/>
      <c r="AQ3774" s="116"/>
      <c r="AR3774" s="116"/>
      <c r="AS3774" s="116"/>
      <c r="AT3774" s="116"/>
      <c r="AU3774" s="116"/>
      <c r="AV3774" s="78"/>
      <c r="AW3774" s="102"/>
      <c r="AX3774" s="78"/>
      <c r="AY3774" s="78"/>
      <c r="AZ3774" s="78"/>
      <c r="BA3774" s="78"/>
      <c r="BB3774" s="78"/>
      <c r="BC3774" s="78"/>
      <c r="BD3774" s="78"/>
      <c r="BE3774" s="465"/>
      <c r="BF3774" s="165" t="str">
        <f t="shared" si="2828"/>
        <v>https://www.google.com/search?tbm=isch&amp;q=Goldsturm%20has%20large%2C%20long-lasting%20flowers%20that%20create%20a%20%22gold%20storm%22%20of%20color%20from%20mid-summer%20through%20fall%20</v>
      </c>
      <c r="BG3774" s="165" t="str">
        <f t="shared" si="2829"/>
        <v>G</v>
      </c>
      <c r="BH3774" s="65"/>
      <c r="BI3774" s="65"/>
      <c r="BJ3774" s="65"/>
      <c r="BK3774" s="65"/>
      <c r="BL3774" s="99"/>
      <c r="BM3774" s="99"/>
      <c r="BN3774" s="99"/>
    </row>
    <row r="3775" spans="1:66" s="51" customFormat="1" ht="18" x14ac:dyDescent="0.25">
      <c r="A3775" s="623" t="s">
        <v>4149</v>
      </c>
      <c r="B3775" s="624"/>
      <c r="C3775" s="709"/>
      <c r="D3775" s="625" t="s">
        <v>4150</v>
      </c>
      <c r="E3775" s="626"/>
      <c r="F3775" s="626"/>
      <c r="G3775" s="626"/>
      <c r="H3775" s="622" t="s">
        <v>4688</v>
      </c>
      <c r="I3775" s="627" t="s">
        <v>4802</v>
      </c>
      <c r="J3775" s="628"/>
      <c r="K3775" s="628"/>
      <c r="L3775" s="629"/>
      <c r="M3775" s="700" t="s">
        <v>5241</v>
      </c>
      <c r="N3775" s="693" t="str">
        <f>IF(AND(ISTEXT($A3775), ISERROR($A3775+0)), HYPERLINK($BF3775, "Images"), "")</f>
        <v>Images</v>
      </c>
      <c r="O3775" s="695" t="s">
        <v>5247</v>
      </c>
      <c r="P3775" s="630"/>
      <c r="Q3775" s="631"/>
      <c r="R3775" s="632"/>
      <c r="S3775" s="633" t="s">
        <v>294</v>
      </c>
      <c r="T3775" s="102">
        <f t="shared" si="2817"/>
        <v>0</v>
      </c>
      <c r="U3775" s="78" t="str">
        <f>IF(NOT(ISNUMBER(G3775)), "", VLOOKUP(A3775,'Discount Lookup'!D:E,2,FALSE)*G3775)</f>
        <v/>
      </c>
      <c r="V3775" s="78" t="str">
        <f>IF(NOT(ISNUMBER(G3775)), "", VLOOKUP(A3775,'Discount Lookup'!G:H,2,FALSE)*G3775)</f>
        <v/>
      </c>
      <c r="W3775" s="102">
        <f t="shared" si="2818"/>
        <v>0</v>
      </c>
      <c r="X3775" s="102" t="str">
        <f t="shared" si="2819"/>
        <v>Cherry-Red ray, Dark eye</v>
      </c>
      <c r="Y3775" s="120" t="b">
        <f t="shared" si="2820"/>
        <v>0</v>
      </c>
      <c r="Z3775" s="117">
        <f t="shared" si="2821"/>
        <v>0</v>
      </c>
      <c r="AA3775" s="118"/>
      <c r="AB3775" s="118" t="str">
        <f t="shared" si="2822"/>
        <v/>
      </c>
      <c r="AC3775" s="712" t="str">
        <f>IF(AE3775="T2G","no charge",IF(AND(OR(PlanterYesMe="No",PlanterYesMe="N",PlanterYesMe="me"),H3775=""),"",IF(H3775="credit","NO install",IF(AND(K3775="",AE3775="me"),"EACH row",IF(AND(K3775="images",AE3775="me"),"EACH row",IF(D3775="","",IF(H3775="credit","",IF(AE3775="free","re-planting",IF(AE3775="me","   not ELP, by",IF(AND(OR(PlanterYesMe="Yes",PlanterYesMe="Y"),G3775&gt;0),(VLOOKUP(A3775,'Discount Lookup'!J:K,2)*G3775*(1-PlanterDiscount)*(1+PlanterDifficultyPercentage)),IF(AE3775="ELP",(VLOOKUP(A3775,'Discount Lookup'!J:K,2)*G3775*(1-PlanterDiscount)*(1+PlanterDifficultyPercentage)),IF(AE3775="free","re-planting",IF(G3775=0,"",IF(PlanterYesMe="",IF(AE3775="me","   not ELP, by",IF(AE3775="",IF(G3775&gt;0,(VLOOKUP(A3775,'Discount Lookup'!J:K,2)*G3775*(1-PlanterDiscount)*(1+PlanterDifficultyPercentage)),""),"")),"   not ELP, by"))))))))))))))</f>
        <v/>
      </c>
      <c r="AD3775" s="712"/>
      <c r="AE3775" s="513" t="str">
        <f t="shared" si="2823"/>
        <v/>
      </c>
      <c r="AF3775" s="713" t="str">
        <f t="shared" si="2824"/>
        <v/>
      </c>
      <c r="AG3775" s="713"/>
      <c r="AH3775" s="713"/>
      <c r="AI3775" s="112">
        <f>IF(H3775="credit",0,IF(AE3775="free",0,IF(AE3775="me",0,IF(G3775&gt;0,(VLOOKUP(A3775,'Discount Lookup'!J:K,2)*G3775),0))))</f>
        <v>0</v>
      </c>
      <c r="AJ3775" s="107" t="str">
        <f t="shared" ca="1" si="2825"/>
        <v/>
      </c>
      <c r="AK3775" s="714" t="str">
        <f t="shared" si="2826"/>
        <v/>
      </c>
      <c r="AL3775" s="714"/>
      <c r="AM3775" s="114" t="str">
        <f t="shared" si="2827"/>
        <v/>
      </c>
      <c r="AN3775" s="115"/>
      <c r="AO3775" s="116"/>
      <c r="AP3775" s="116"/>
      <c r="AQ3775" s="116"/>
      <c r="AR3775" s="116"/>
      <c r="AS3775" s="116"/>
      <c r="AT3775" s="116"/>
      <c r="AU3775" s="116"/>
      <c r="AV3775" s="78"/>
      <c r="AW3775" s="102"/>
      <c r="AX3775" s="78"/>
      <c r="AY3775" s="78"/>
      <c r="AZ3775" s="78"/>
      <c r="BA3775" s="78"/>
      <c r="BB3775" s="78"/>
      <c r="BC3775" s="78"/>
      <c r="BD3775" s="78"/>
      <c r="BE3775" s="465"/>
      <c r="BF3775" s="165" t="str">
        <f t="shared" si="2828"/>
        <v>https://www.google.com/search?tbm=isch&amp;q=Rudbeckia%20hirta%20%27Cherry%20Brandy%27%20PP%2328498%20Cherry%20Brandy%20Black-Eyed%20Susan</v>
      </c>
      <c r="BG3775" s="165" t="str">
        <f t="shared" si="2829"/>
        <v>R</v>
      </c>
      <c r="BH3775" s="65"/>
      <c r="BI3775" s="65"/>
      <c r="BJ3775" s="65"/>
      <c r="BK3775" s="65"/>
      <c r="BL3775" s="99"/>
      <c r="BM3775" s="99"/>
      <c r="BN3775" s="99"/>
    </row>
    <row r="3776" spans="1:66" s="51" customFormat="1" ht="15.75" x14ac:dyDescent="0.25">
      <c r="A3776" s="634">
        <v>1</v>
      </c>
      <c r="B3776" s="635" t="s">
        <v>291</v>
      </c>
      <c r="C3776" s="636"/>
      <c r="D3776" s="637" t="s">
        <v>329</v>
      </c>
      <c r="E3776" s="638">
        <v>12.95</v>
      </c>
      <c r="F3776" s="639" t="s">
        <v>292</v>
      </c>
      <c r="G3776" s="484">
        <v>0</v>
      </c>
      <c r="H3776" s="691" t="str">
        <f>IF(G3776=0,"",IF(F3776="Buy",IF(G3776=1,"plant","plants"),IF(F3776&gt;0.01,"warranty","Error")))</f>
        <v/>
      </c>
      <c r="I3776" s="640">
        <f>IF(H3776="free",0,IF(H3776="credit",((E3776*(F3776))*G3776*-1),IF(F3776="Buy",(E3776*G3776),((E3776*(1-F3776))*G3776))))</f>
        <v>0</v>
      </c>
      <c r="J3776" s="640">
        <f>IF(H3776="warranty",0,(I3776*(_xlfn.SINGLE(SalesTaxPercentage))))</f>
        <v>0</v>
      </c>
      <c r="K3776" s="716">
        <f t="shared" ref="K3776" si="2849">I3776+J3776</f>
        <v>0</v>
      </c>
      <c r="L3776" s="716"/>
      <c r="M3776" s="689" t="str">
        <f ca="1">IF(AND(G3776&gt;0,E3776=0),"WARNING - no PRICE inserted",IF(H3776="free","FREE ~ no charge this plant",IF(H3776="credit",CONCATENATE("-$",ROUND(K3776*(1-_xlfn.SINGLE(T2GDiscount))*-1,2)," CREDIT after discount"),IF(_xlfn.SINGLE(T2GDiscount)=0,"",IF(G3776=0,"",IF(F3776="Buy",CONCATENATE("$",ROUND(K3776*(1-_xlfn.SINGLE(T2GDiscount)),2)," with ",(_xlfn.SINGLE(T2GDiscount)*100),"% discount"),CONCATENATE("$",ROUND(K3776*(1-_xlfn.SINGLE(T2GDiscount)),2)," with ",((_xlfn.SINGLE(T2GDiscount)*100+F3776*100)-(_xlfn.SINGLE(T2GDiscount)*100*F3776)),IF(F3776&gt;0,"% discounts",IF(_xlfn.SINGLE(NoWarrantyDiscount)&gt;0,"% discounts","% discount")))))))))</f>
        <v/>
      </c>
      <c r="N3776" s="690"/>
      <c r="O3776" s="486"/>
      <c r="P3776" s="486"/>
      <c r="Q3776" s="486"/>
      <c r="R3776" s="486"/>
      <c r="S3776" s="486"/>
      <c r="T3776" s="102">
        <f t="shared" si="2817"/>
        <v>0</v>
      </c>
      <c r="U3776" s="78">
        <f>IF(NOT(ISNUMBER(G3776)), "", VLOOKUP(A3776,'Discount Lookup'!D:E,2,FALSE)*G3776)</f>
        <v>0</v>
      </c>
      <c r="V3776" s="78">
        <f>IF(NOT(ISNUMBER(G3776)), "", VLOOKUP(A3776,'Discount Lookup'!G:H,2,FALSE)*G3776)</f>
        <v>0</v>
      </c>
      <c r="W3776" s="102">
        <f t="shared" si="2818"/>
        <v>0</v>
      </c>
      <c r="X3776" s="102">
        <f t="shared" si="2819"/>
        <v>0</v>
      </c>
      <c r="Y3776" s="120" t="b">
        <f t="shared" si="2820"/>
        <v>0</v>
      </c>
      <c r="Z3776" s="117">
        <f t="shared" si="2821"/>
        <v>0</v>
      </c>
      <c r="AA3776" s="118"/>
      <c r="AB3776" s="118" t="str">
        <f t="shared" si="2822"/>
        <v/>
      </c>
      <c r="AC3776" s="712" t="str">
        <f>IF(AE3776="T2G","no charge",IF(AND(OR(PlanterYesMe="No",PlanterYesMe="N",PlanterYesMe="me"),H3776=""),"",IF(H3776="credit","NO install",IF(AND(K3776="",AE3776="me"),"EACH row",IF(AND(K3776="images",AE3776="me"),"EACH row",IF(D3776="","",IF(H3776="credit","",IF(AE3776="free","re-planting",IF(AE3776="me","   not ELP, by",IF(AND(OR(PlanterYesMe="Yes",PlanterYesMe="Y"),G3776&gt;0),(VLOOKUP(A3776,'Discount Lookup'!J:K,2)*G3776*(1-PlanterDiscount)*(1+PlanterDifficultyPercentage)),IF(AE3776="ELP",(VLOOKUP(A3776,'Discount Lookup'!J:K,2)*G3776*(1-PlanterDiscount)*(1+PlanterDifficultyPercentage)),IF(AE3776="free","re-planting",IF(G3776=0,"",IF(PlanterYesMe="",IF(AE3776="me","   not ELP, by",IF(AE3776="",IF(G3776&gt;0,(VLOOKUP(A3776,'Discount Lookup'!J:K,2)*G3776*(1-PlanterDiscount)*(1+PlanterDifficultyPercentage)),""),"")),"   not ELP, by"))))))))))))))</f>
        <v/>
      </c>
      <c r="AD3776" s="712"/>
      <c r="AE3776" s="513" t="str">
        <f t="shared" si="2823"/>
        <v/>
      </c>
      <c r="AF3776" s="713" t="str">
        <f t="shared" si="2824"/>
        <v/>
      </c>
      <c r="AG3776" s="713"/>
      <c r="AH3776" s="713"/>
      <c r="AI3776" s="112">
        <f>IF(H3776="credit",0,IF(AE3776="free",0,IF(AE3776="me",0,IF(G3776&gt;0,(VLOOKUP(A3776,'Discount Lookup'!J:K,2)*G3776),0))))</f>
        <v>0</v>
      </c>
      <c r="AJ3776" s="107" t="str">
        <f t="shared" ca="1" si="2825"/>
        <v/>
      </c>
      <c r="AK3776" s="714" t="str">
        <f t="shared" si="2826"/>
        <v/>
      </c>
      <c r="AL3776" s="714"/>
      <c r="AM3776" s="114" t="str">
        <f t="shared" si="2827"/>
        <v/>
      </c>
      <c r="AN3776" s="115"/>
      <c r="AO3776" s="116"/>
      <c r="AP3776" s="116"/>
      <c r="AQ3776" s="116"/>
      <c r="AR3776" s="116"/>
      <c r="AS3776" s="116"/>
      <c r="AT3776" s="116"/>
      <c r="AU3776" s="116"/>
      <c r="AV3776" s="78"/>
      <c r="AW3776" s="102"/>
      <c r="AX3776" s="78"/>
      <c r="AY3776" s="78"/>
      <c r="AZ3776" s="78"/>
      <c r="BA3776" s="78"/>
      <c r="BB3776" s="78"/>
      <c r="BC3776" s="78"/>
      <c r="BD3776" s="78"/>
      <c r="BE3776" s="465"/>
      <c r="BF3776" s="165" t="str">
        <f t="shared" si="2828"/>
        <v>https://www.google.com/search?tbm=isch&amp;q=1%20G2</v>
      </c>
      <c r="BG3776" s="165" t="str">
        <f t="shared" si="2829"/>
        <v>R</v>
      </c>
      <c r="BH3776" s="65"/>
      <c r="BI3776" s="65"/>
      <c r="BJ3776" s="65"/>
      <c r="BK3776" s="65"/>
      <c r="BL3776" s="99"/>
      <c r="BM3776" s="99"/>
      <c r="BN3776" s="99"/>
    </row>
    <row r="3777" spans="1:66" s="51" customFormat="1" ht="17.25" thickBot="1" x14ac:dyDescent="0.3">
      <c r="A3777" s="641" t="s">
        <v>4846</v>
      </c>
      <c r="B3777" s="642"/>
      <c r="C3777" s="710"/>
      <c r="D3777" s="643"/>
      <c r="E3777" s="643"/>
      <c r="F3777" s="644"/>
      <c r="G3777" s="645"/>
      <c r="H3777" s="646"/>
      <c r="I3777" s="647"/>
      <c r="J3777" s="648"/>
      <c r="K3777" s="649"/>
      <c r="L3777" s="650"/>
      <c r="M3777" s="650"/>
      <c r="N3777" s="644"/>
      <c r="O3777" s="644"/>
      <c r="P3777" s="644"/>
      <c r="Q3777" s="644"/>
      <c r="R3777" s="644"/>
      <c r="S3777" s="701" t="s">
        <v>5284</v>
      </c>
      <c r="T3777" s="102">
        <f t="shared" si="2817"/>
        <v>0</v>
      </c>
      <c r="U3777" s="78" t="str">
        <f>IF(NOT(ISNUMBER(G3777)), "", VLOOKUP(A3777,'Discount Lookup'!D:E,2,FALSE)*G3777)</f>
        <v/>
      </c>
      <c r="V3777" s="78" t="str">
        <f>IF(NOT(ISNUMBER(G3777)), "", VLOOKUP(A3777,'Discount Lookup'!G:H,2,FALSE)*G3777)</f>
        <v/>
      </c>
      <c r="W3777" s="102">
        <f t="shared" si="2818"/>
        <v>0</v>
      </c>
      <c r="X3777" s="102">
        <f t="shared" si="2819"/>
        <v>0</v>
      </c>
      <c r="Y3777" s="120" t="b">
        <f t="shared" si="2820"/>
        <v>0</v>
      </c>
      <c r="Z3777" s="117">
        <f t="shared" si="2821"/>
        <v>0</v>
      </c>
      <c r="AA3777" s="118"/>
      <c r="AB3777" s="118" t="str">
        <f t="shared" si="2822"/>
        <v/>
      </c>
      <c r="AC3777" s="712" t="str">
        <f>IF(AE3777="T2G","no charge",IF(AND(OR(PlanterYesMe="No",PlanterYesMe="N",PlanterYesMe="me"),H3777=""),"",IF(H3777="credit","NO install",IF(AND(K3777="",AE3777="me"),"EACH row",IF(AND(K3777="images",AE3777="me"),"EACH row",IF(D3777="","",IF(H3777="credit","",IF(AE3777="free","re-planting",IF(AE3777="me","   not ELP, by",IF(AND(OR(PlanterYesMe="Yes",PlanterYesMe="Y"),G3777&gt;0),(VLOOKUP(A3777,'Discount Lookup'!J:K,2)*G3777*(1-PlanterDiscount)*(1+PlanterDifficultyPercentage)),IF(AE3777="ELP",(VLOOKUP(A3777,'Discount Lookup'!J:K,2)*G3777*(1-PlanterDiscount)*(1+PlanterDifficultyPercentage)),IF(AE3777="free","re-planting",IF(G3777=0,"",IF(PlanterYesMe="",IF(AE3777="me","   not ELP, by",IF(AE3777="",IF(G3777&gt;0,(VLOOKUP(A3777,'Discount Lookup'!J:K,2)*G3777*(1-PlanterDiscount)*(1+PlanterDifficultyPercentage)),""),"")),"   not ELP, by"))))))))))))))</f>
        <v/>
      </c>
      <c r="AD3777" s="712"/>
      <c r="AE3777" s="513" t="str">
        <f t="shared" si="2823"/>
        <v/>
      </c>
      <c r="AF3777" s="713" t="str">
        <f t="shared" si="2824"/>
        <v/>
      </c>
      <c r="AG3777" s="713"/>
      <c r="AH3777" s="713"/>
      <c r="AI3777" s="112">
        <f>IF(H3777="credit",0,IF(AE3777="free",0,IF(AE3777="me",0,IF(G3777&gt;0,(VLOOKUP(A3777,'Discount Lookup'!J:K,2)*G3777),0))))</f>
        <v>0</v>
      </c>
      <c r="AJ3777" s="107" t="str">
        <f t="shared" ca="1" si="2825"/>
        <v/>
      </c>
      <c r="AK3777" s="714" t="str">
        <f t="shared" si="2826"/>
        <v/>
      </c>
      <c r="AL3777" s="714"/>
      <c r="AM3777" s="114" t="str">
        <f t="shared" si="2827"/>
        <v/>
      </c>
      <c r="AN3777" s="115"/>
      <c r="AO3777" s="116"/>
      <c r="AP3777" s="116"/>
      <c r="AQ3777" s="116"/>
      <c r="AR3777" s="116"/>
      <c r="AS3777" s="116"/>
      <c r="AT3777" s="116"/>
      <c r="AU3777" s="116"/>
      <c r="AV3777" s="78"/>
      <c r="AW3777" s="102"/>
      <c r="AX3777" s="78"/>
      <c r="AY3777" s="78"/>
      <c r="AZ3777" s="78"/>
      <c r="BA3777" s="78"/>
      <c r="BB3777" s="78"/>
      <c r="BC3777" s="78"/>
      <c r="BD3777" s="78"/>
      <c r="BE3777" s="465"/>
      <c r="BF3777" s="165" t="str">
        <f t="shared" si="2828"/>
        <v>https://www.google.com/search?tbm=isch&amp;q=Cherry%20Brandy%20has%20unique%20Cherry-Red%20petals%20with%20a%20Black%20eye%2C%20a%20departure%20from%20the%20typical%20yellow%20of%20Susans%20</v>
      </c>
      <c r="BG3777" s="165" t="str">
        <f t="shared" si="2829"/>
        <v>C</v>
      </c>
      <c r="BH3777" s="65"/>
      <c r="BI3777" s="65"/>
      <c r="BJ3777" s="65"/>
      <c r="BK3777" s="65"/>
      <c r="BL3777" s="99"/>
      <c r="BM3777" s="99"/>
      <c r="BN3777" s="99"/>
    </row>
    <row r="3778" spans="1:66" s="51" customFormat="1" ht="18" x14ac:dyDescent="0.25">
      <c r="A3778" s="623" t="s">
        <v>5818</v>
      </c>
      <c r="B3778" s="624"/>
      <c r="C3778" s="709"/>
      <c r="D3778" s="625" t="s">
        <v>5819</v>
      </c>
      <c r="E3778" s="626"/>
      <c r="F3778" s="626"/>
      <c r="G3778" s="626"/>
      <c r="H3778" s="622" t="s">
        <v>4151</v>
      </c>
      <c r="I3778" s="627" t="s">
        <v>4803</v>
      </c>
      <c r="J3778" s="628"/>
      <c r="K3778" s="628"/>
      <c r="L3778" s="629"/>
      <c r="M3778" s="700" t="s">
        <v>5241</v>
      </c>
      <c r="N3778" s="693" t="str">
        <f>IF(AND(ISTEXT($A3778), ISERROR($A3778+0)), HYPERLINK($BF3778, "Images"), "")</f>
        <v>Images</v>
      </c>
      <c r="O3778" s="695" t="s">
        <v>5244</v>
      </c>
      <c r="P3778" s="630"/>
      <c r="Q3778" s="631"/>
      <c r="R3778" s="632"/>
      <c r="S3778" s="633" t="s">
        <v>294</v>
      </c>
      <c r="T3778" s="102">
        <f t="shared" si="2817"/>
        <v>0</v>
      </c>
      <c r="U3778" s="78" t="str">
        <f>IF(NOT(ISNUMBER(G3778)), "", VLOOKUP(A3778,'Discount Lookup'!D:E,2,FALSE)*G3778)</f>
        <v/>
      </c>
      <c r="V3778" s="78" t="str">
        <f>IF(NOT(ISNUMBER(G3778)), "", VLOOKUP(A3778,'Discount Lookup'!G:H,2,FALSE)*G3778)</f>
        <v/>
      </c>
      <c r="W3778" s="102">
        <f t="shared" si="2818"/>
        <v>0</v>
      </c>
      <c r="X3778" s="102" t="str">
        <f t="shared" si="2819"/>
        <v>Yellow to Copper-Red rays, Dark eye</v>
      </c>
      <c r="Y3778" s="120" t="b">
        <f t="shared" si="2820"/>
        <v>0</v>
      </c>
      <c r="Z3778" s="117">
        <f t="shared" si="2821"/>
        <v>0</v>
      </c>
      <c r="AA3778" s="118"/>
      <c r="AB3778" s="118" t="str">
        <f t="shared" si="2822"/>
        <v/>
      </c>
      <c r="AC3778" s="712" t="str">
        <f>IF(AE3778="T2G","no charge",IF(AND(OR(PlanterYesMe="No",PlanterYesMe="N",PlanterYesMe="me"),H3778=""),"",IF(H3778="credit","NO install",IF(AND(K3778="",AE3778="me"),"EACH row",IF(AND(K3778="images",AE3778="me"),"EACH row",IF(D3778="","",IF(H3778="credit","",IF(AE3778="free","re-planting",IF(AE3778="me","   not ELP, by",IF(AND(OR(PlanterYesMe="Yes",PlanterYesMe="Y"),G3778&gt;0),(VLOOKUP(A3778,'Discount Lookup'!J:K,2)*G3778*(1-PlanterDiscount)*(1+PlanterDifficultyPercentage)),IF(AE3778="ELP",(VLOOKUP(A3778,'Discount Lookup'!J:K,2)*G3778*(1-PlanterDiscount)*(1+PlanterDifficultyPercentage)),IF(AE3778="free","re-planting",IF(G3778=0,"",IF(PlanterYesMe="",IF(AE3778="me","   not ELP, by",IF(AE3778="",IF(G3778&gt;0,(VLOOKUP(A3778,'Discount Lookup'!J:K,2)*G3778*(1-PlanterDiscount)*(1+PlanterDifficultyPercentage)),""),"")),"   not ELP, by"))))))))))))))</f>
        <v/>
      </c>
      <c r="AD3778" s="712"/>
      <c r="AE3778" s="513" t="str">
        <f t="shared" si="2823"/>
        <v/>
      </c>
      <c r="AF3778" s="713" t="str">
        <f t="shared" si="2824"/>
        <v/>
      </c>
      <c r="AG3778" s="713"/>
      <c r="AH3778" s="713"/>
      <c r="AI3778" s="112">
        <f>IF(H3778="credit",0,IF(AE3778="free",0,IF(AE3778="me",0,IF(G3778&gt;0,(VLOOKUP(A3778,'Discount Lookup'!J:K,2)*G3778),0))))</f>
        <v>0</v>
      </c>
      <c r="AJ3778" s="107" t="str">
        <f t="shared" ca="1" si="2825"/>
        <v/>
      </c>
      <c r="AK3778" s="714" t="str">
        <f t="shared" si="2826"/>
        <v/>
      </c>
      <c r="AL3778" s="714"/>
      <c r="AM3778" s="114" t="str">
        <f t="shared" si="2827"/>
        <v/>
      </c>
      <c r="AN3778" s="115"/>
      <c r="AO3778" s="116"/>
      <c r="AP3778" s="116"/>
      <c r="AQ3778" s="116"/>
      <c r="AR3778" s="116"/>
      <c r="AS3778" s="116"/>
      <c r="AT3778" s="116"/>
      <c r="AU3778" s="116"/>
      <c r="AV3778" s="78"/>
      <c r="AW3778" s="102"/>
      <c r="AX3778" s="78"/>
      <c r="AY3778" s="78"/>
      <c r="AZ3778" s="78"/>
      <c r="BA3778" s="78"/>
      <c r="BB3778" s="78"/>
      <c r="BC3778" s="78"/>
      <c r="BD3778" s="78"/>
      <c r="BE3778" s="465"/>
      <c r="BF3778" s="165" t="str">
        <f t="shared" si="2828"/>
        <v>https://www.google.com/search?tbm=isch&amp;q=Rudbeckia%20hirta%20Solar%20Sisters%E2%84%A2%20PPAF%20Solar%20Sisters%E2%84%A2%20Black-Eyed%20Susan</v>
      </c>
      <c r="BG3778" s="165" t="str">
        <f t="shared" si="2829"/>
        <v>R</v>
      </c>
      <c r="BH3778" s="65"/>
      <c r="BI3778" s="65"/>
      <c r="BJ3778" s="65"/>
      <c r="BK3778" s="65"/>
      <c r="BL3778" s="99"/>
      <c r="BM3778" s="99"/>
      <c r="BN3778" s="99"/>
    </row>
    <row r="3779" spans="1:66" s="51" customFormat="1" ht="15.75" x14ac:dyDescent="0.25">
      <c r="A3779" s="634">
        <v>4</v>
      </c>
      <c r="B3779" s="635" t="s">
        <v>338</v>
      </c>
      <c r="C3779" s="636"/>
      <c r="D3779" s="637" t="s">
        <v>329</v>
      </c>
      <c r="E3779" s="638">
        <v>16.95</v>
      </c>
      <c r="F3779" s="639" t="s">
        <v>292</v>
      </c>
      <c r="G3779" s="484">
        <v>0</v>
      </c>
      <c r="H3779" s="691" t="str">
        <f>IF(G3779=0,"",IF(F3779="Buy",IF(G3779=1,"plant","plants"),IF(F3779&gt;0.01,"warranty","Error")))</f>
        <v/>
      </c>
      <c r="I3779" s="640">
        <f>IF(H3779="free",0,IF(H3779="credit",((E3779*(F3779))*G3779*-1),IF(F3779="Buy",(E3779*G3779),((E3779*(1-F3779))*G3779))))</f>
        <v>0</v>
      </c>
      <c r="J3779" s="640">
        <f>IF(H3779="warranty",0,(I3779*(_xlfn.SINGLE(SalesTaxPercentage))))</f>
        <v>0</v>
      </c>
      <c r="K3779" s="716">
        <f t="shared" ref="K3779" si="2850">I3779+J3779</f>
        <v>0</v>
      </c>
      <c r="L3779" s="716"/>
      <c r="M3779" s="689" t="str">
        <f ca="1">IF(AND(G3779&gt;0,E3779=0),"WARNING - no PRICE inserted",IF(H3779="free","FREE ~ no charge this plant",IF(H3779="credit",CONCATENATE("-$",ROUND(K3779*(1-_xlfn.SINGLE(T2GDiscount))*-1,2)," CREDIT after discount"),IF(_xlfn.SINGLE(T2GDiscount)=0,"",IF(G3779=0,"",IF(F3779="Buy",CONCATENATE("$",ROUND(K3779*(1-_xlfn.SINGLE(T2GDiscount)),2)," with ",(_xlfn.SINGLE(T2GDiscount)*100),"% discount"),CONCATENATE("$",ROUND(K3779*(1-_xlfn.SINGLE(T2GDiscount)),2)," with ",((_xlfn.SINGLE(T2GDiscount)*100+F3779*100)-(_xlfn.SINGLE(T2GDiscount)*100*F3779)),IF(F3779&gt;0,"% discounts",IF(_xlfn.SINGLE(NoWarrantyDiscount)&gt;0,"% discounts","% discount")))))))))</f>
        <v/>
      </c>
      <c r="N3779" s="690"/>
      <c r="O3779" s="486"/>
      <c r="P3779" s="486"/>
      <c r="Q3779" s="486"/>
      <c r="R3779" s="486"/>
      <c r="S3779" s="486"/>
      <c r="T3779" s="102">
        <f t="shared" si="2817"/>
        <v>0</v>
      </c>
      <c r="U3779" s="78">
        <f>IF(NOT(ISNUMBER(G3779)), "", VLOOKUP(A3779,'Discount Lookup'!D:E,2,FALSE)*G3779)</f>
        <v>0</v>
      </c>
      <c r="V3779" s="78">
        <f>IF(NOT(ISNUMBER(G3779)), "", VLOOKUP(A3779,'Discount Lookup'!G:H,2,FALSE)*G3779)</f>
        <v>0</v>
      </c>
      <c r="W3779" s="102">
        <f t="shared" si="2818"/>
        <v>0</v>
      </c>
      <c r="X3779" s="102">
        <f t="shared" si="2819"/>
        <v>0</v>
      </c>
      <c r="Y3779" s="120" t="b">
        <f t="shared" si="2820"/>
        <v>0</v>
      </c>
      <c r="Z3779" s="117">
        <f t="shared" si="2821"/>
        <v>0</v>
      </c>
      <c r="AA3779" s="118"/>
      <c r="AB3779" s="118" t="str">
        <f t="shared" si="2822"/>
        <v/>
      </c>
      <c r="AC3779" s="712" t="str">
        <f>IF(AE3779="T2G","no charge",IF(AND(OR(PlanterYesMe="No",PlanterYesMe="N",PlanterYesMe="me"),H3779=""),"",IF(H3779="credit","NO install",IF(AND(K3779="",AE3779="me"),"EACH row",IF(AND(K3779="images",AE3779="me"),"EACH row",IF(D3779="","",IF(H3779="credit","",IF(AE3779="free","re-planting",IF(AE3779="me","   not ELP, by",IF(AND(OR(PlanterYesMe="Yes",PlanterYesMe="Y"),G3779&gt;0),(VLOOKUP(A3779,'Discount Lookup'!J:K,2)*G3779*(1-PlanterDiscount)*(1+PlanterDifficultyPercentage)),IF(AE3779="ELP",(VLOOKUP(A3779,'Discount Lookup'!J:K,2)*G3779*(1-PlanterDiscount)*(1+PlanterDifficultyPercentage)),IF(AE3779="free","re-planting",IF(G3779=0,"",IF(PlanterYesMe="",IF(AE3779="me","   not ELP, by",IF(AE3779="",IF(G3779&gt;0,(VLOOKUP(A3779,'Discount Lookup'!J:K,2)*G3779*(1-PlanterDiscount)*(1+PlanterDifficultyPercentage)),""),"")),"   not ELP, by"))))))))))))))</f>
        <v/>
      </c>
      <c r="AD3779" s="712"/>
      <c r="AE3779" s="513" t="str">
        <f t="shared" si="2823"/>
        <v/>
      </c>
      <c r="AF3779" s="713" t="str">
        <f t="shared" si="2824"/>
        <v/>
      </c>
      <c r="AG3779" s="713"/>
      <c r="AH3779" s="713"/>
      <c r="AI3779" s="112">
        <f>IF(H3779="credit",0,IF(AE3779="free",0,IF(AE3779="me",0,IF(G3779&gt;0,(VLOOKUP(A3779,'Discount Lookup'!J:K,2)*G3779),0))))</f>
        <v>0</v>
      </c>
      <c r="AJ3779" s="107" t="str">
        <f t="shared" ca="1" si="2825"/>
        <v/>
      </c>
      <c r="AK3779" s="714" t="str">
        <f t="shared" si="2826"/>
        <v/>
      </c>
      <c r="AL3779" s="714"/>
      <c r="AM3779" s="114" t="str">
        <f t="shared" si="2827"/>
        <v/>
      </c>
      <c r="AN3779" s="115"/>
      <c r="AO3779" s="116"/>
      <c r="AP3779" s="116"/>
      <c r="AQ3779" s="116"/>
      <c r="AR3779" s="116"/>
      <c r="AS3779" s="116"/>
      <c r="AT3779" s="116"/>
      <c r="AU3779" s="116"/>
      <c r="AV3779" s="78"/>
      <c r="AW3779" s="102"/>
      <c r="AX3779" s="78"/>
      <c r="AY3779" s="78"/>
      <c r="AZ3779" s="78"/>
      <c r="BA3779" s="78"/>
      <c r="BB3779" s="78"/>
      <c r="BC3779" s="78"/>
      <c r="BD3779" s="78"/>
      <c r="BE3779" s="465"/>
      <c r="BF3779" s="165" t="str">
        <f t="shared" si="2828"/>
        <v>https://www.google.com/search?tbm=isch&amp;q=4%20G2</v>
      </c>
      <c r="BG3779" s="165" t="str">
        <f t="shared" si="2829"/>
        <v>R</v>
      </c>
      <c r="BH3779" s="65"/>
      <c r="BI3779" s="65"/>
      <c r="BJ3779" s="65"/>
      <c r="BK3779" s="65"/>
      <c r="BL3779" s="99"/>
      <c r="BM3779" s="99"/>
      <c r="BN3779" s="99"/>
    </row>
    <row r="3780" spans="1:66" s="51" customFormat="1" ht="16.5" x14ac:dyDescent="0.25">
      <c r="A3780" s="641" t="s">
        <v>4804</v>
      </c>
      <c r="B3780" s="642"/>
      <c r="C3780" s="710"/>
      <c r="D3780" s="643"/>
      <c r="E3780" s="643"/>
      <c r="F3780" s="644"/>
      <c r="G3780" s="645"/>
      <c r="H3780" s="646"/>
      <c r="I3780" s="647"/>
      <c r="J3780" s="648"/>
      <c r="K3780" s="649"/>
      <c r="L3780" s="650"/>
      <c r="M3780" s="650"/>
      <c r="N3780" s="644"/>
      <c r="O3780" s="644"/>
      <c r="P3780" s="644"/>
      <c r="Q3780" s="644"/>
      <c r="R3780" s="644"/>
      <c r="S3780" s="701" t="s">
        <v>5284</v>
      </c>
      <c r="T3780" s="102">
        <f t="shared" si="2817"/>
        <v>0</v>
      </c>
      <c r="U3780" s="78" t="str">
        <f>IF(NOT(ISNUMBER(G3780)), "", VLOOKUP(A3780,'Discount Lookup'!D:E,2,FALSE)*G3780)</f>
        <v/>
      </c>
      <c r="V3780" s="78" t="str">
        <f>IF(NOT(ISNUMBER(G3780)), "", VLOOKUP(A3780,'Discount Lookup'!G:H,2,FALSE)*G3780)</f>
        <v/>
      </c>
      <c r="W3780" s="102">
        <f t="shared" si="2818"/>
        <v>0</v>
      </c>
      <c r="X3780" s="102">
        <f t="shared" si="2819"/>
        <v>0</v>
      </c>
      <c r="Y3780" s="120" t="b">
        <f t="shared" si="2820"/>
        <v>0</v>
      </c>
      <c r="Z3780" s="117">
        <f t="shared" si="2821"/>
        <v>0</v>
      </c>
      <c r="AA3780" s="118"/>
      <c r="AB3780" s="118" t="str">
        <f t="shared" si="2822"/>
        <v/>
      </c>
      <c r="AC3780" s="712" t="str">
        <f>IF(AE3780="T2G","no charge",IF(AND(OR(PlanterYesMe="No",PlanterYesMe="N",PlanterYesMe="me"),H3780=""),"",IF(H3780="credit","NO install",IF(AND(K3780="",AE3780="me"),"EACH row",IF(AND(K3780="images",AE3780="me"),"EACH row",IF(D3780="","",IF(H3780="credit","",IF(AE3780="free","re-planting",IF(AE3780="me","   not ELP, by",IF(AND(OR(PlanterYesMe="Yes",PlanterYesMe="Y"),G3780&gt;0),(VLOOKUP(A3780,'Discount Lookup'!J:K,2)*G3780*(1-PlanterDiscount)*(1+PlanterDifficultyPercentage)),IF(AE3780="ELP",(VLOOKUP(A3780,'Discount Lookup'!J:K,2)*G3780*(1-PlanterDiscount)*(1+PlanterDifficultyPercentage)),IF(AE3780="free","re-planting",IF(G3780=0,"",IF(PlanterYesMe="",IF(AE3780="me","   not ELP, by",IF(AE3780="",IF(G3780&gt;0,(VLOOKUP(A3780,'Discount Lookup'!J:K,2)*G3780*(1-PlanterDiscount)*(1+PlanterDifficultyPercentage)),""),"")),"   not ELP, by"))))))))))))))</f>
        <v/>
      </c>
      <c r="AD3780" s="712"/>
      <c r="AE3780" s="513" t="str">
        <f t="shared" si="2823"/>
        <v/>
      </c>
      <c r="AF3780" s="713" t="str">
        <f t="shared" si="2824"/>
        <v/>
      </c>
      <c r="AG3780" s="713"/>
      <c r="AH3780" s="713"/>
      <c r="AI3780" s="112">
        <f>IF(H3780="credit",0,IF(AE3780="free",0,IF(AE3780="me",0,IF(G3780&gt;0,(VLOOKUP(A3780,'Discount Lookup'!J:K,2)*G3780),0))))</f>
        <v>0</v>
      </c>
      <c r="AJ3780" s="107" t="str">
        <f t="shared" ca="1" si="2825"/>
        <v/>
      </c>
      <c r="AK3780" s="714" t="str">
        <f t="shared" si="2826"/>
        <v/>
      </c>
      <c r="AL3780" s="714"/>
      <c r="AM3780" s="114" t="str">
        <f t="shared" si="2827"/>
        <v/>
      </c>
      <c r="AN3780" s="115"/>
      <c r="AO3780" s="116"/>
      <c r="AP3780" s="116"/>
      <c r="AQ3780" s="116"/>
      <c r="AR3780" s="116"/>
      <c r="AS3780" s="116"/>
      <c r="AT3780" s="116"/>
      <c r="AU3780" s="116"/>
      <c r="AV3780" s="78"/>
      <c r="AW3780" s="102"/>
      <c r="AX3780" s="78"/>
      <c r="AY3780" s="78"/>
      <c r="AZ3780" s="78"/>
      <c r="BA3780" s="78"/>
      <c r="BB3780" s="78"/>
      <c r="BC3780" s="78"/>
      <c r="BD3780" s="78"/>
      <c r="BE3780" s="465"/>
      <c r="BF3780" s="165" t="str">
        <f t="shared" si="2828"/>
        <v>https://www.google.com/search?tbm=isch&amp;q=Solar%20Sisters%20offers%20warm%2C%20vibrant%20flowers%20colors%2C%20%20summer%20to%20frost%2C%20then%20fiery%20color%20shifts%20that%20intensify%20as%20nights%20cool%20</v>
      </c>
      <c r="BG3780" s="165" t="str">
        <f t="shared" si="2829"/>
        <v>S</v>
      </c>
      <c r="BH3780" s="65"/>
      <c r="BI3780" s="65"/>
      <c r="BJ3780" s="65"/>
      <c r="BK3780" s="65"/>
      <c r="BL3780" s="99"/>
      <c r="BM3780" s="99"/>
      <c r="BN3780" s="99"/>
    </row>
    <row r="3781" spans="1:66" s="51" customFormat="1" ht="19.5" thickBot="1" x14ac:dyDescent="0.3">
      <c r="A3781" s="686" t="s">
        <v>724</v>
      </c>
      <c r="B3781" s="73"/>
      <c r="C3781" s="708"/>
      <c r="D3781" s="73"/>
      <c r="E3781" s="73"/>
      <c r="F3781" s="496"/>
      <c r="G3781" s="73"/>
      <c r="H3781" s="73"/>
      <c r="I3781" s="73"/>
      <c r="J3781" s="497" t="s">
        <v>357</v>
      </c>
      <c r="K3781" s="498"/>
      <c r="L3781" s="562"/>
      <c r="M3781" s="73"/>
      <c r="N3781"/>
      <c r="O3781"/>
      <c r="P3781"/>
      <c r="Q3781"/>
      <c r="R3781"/>
      <c r="S3781"/>
      <c r="T3781" s="102">
        <f t="shared" si="2817"/>
        <v>0</v>
      </c>
      <c r="U3781" s="78" t="str">
        <f>IF(NOT(ISNUMBER(G3781)), "", VLOOKUP(A3781,'Discount Lookup'!D:E,2,FALSE)*G3781)</f>
        <v/>
      </c>
      <c r="V3781" s="78" t="str">
        <f>IF(NOT(ISNUMBER(G3781)), "", VLOOKUP(A3781,'Discount Lookup'!G:H,2,FALSE)*G3781)</f>
        <v/>
      </c>
      <c r="W3781" s="102">
        <f t="shared" si="2818"/>
        <v>0</v>
      </c>
      <c r="X3781" s="102">
        <f t="shared" si="2819"/>
        <v>0</v>
      </c>
      <c r="Y3781" s="120" t="b">
        <f t="shared" si="2820"/>
        <v>0</v>
      </c>
      <c r="Z3781" s="117">
        <f t="shared" si="2821"/>
        <v>0</v>
      </c>
      <c r="AA3781" s="118"/>
      <c r="AB3781" s="118" t="str">
        <f t="shared" si="2822"/>
        <v/>
      </c>
      <c r="AC3781" s="712" t="str">
        <f>IF(AE3781="T2G","no charge",IF(AND(OR(PlanterYesMe="No",PlanterYesMe="N",PlanterYesMe="me"),H3781=""),"",IF(H3781="credit","NO install",IF(AND(K3781="",AE3781="me"),"EACH row",IF(AND(K3781="images",AE3781="me"),"EACH row",IF(D3781="","",IF(H3781="credit","",IF(AE3781="free","re-planting",IF(AE3781="me","   not ELP, by",IF(AND(OR(PlanterYesMe="Yes",PlanterYesMe="Y"),G3781&gt;0),(VLOOKUP(A3781,'Discount Lookup'!J:K,2)*G3781*(1-PlanterDiscount)*(1+PlanterDifficultyPercentage)),IF(AE3781="ELP",(VLOOKUP(A3781,'Discount Lookup'!J:K,2)*G3781*(1-PlanterDiscount)*(1+PlanterDifficultyPercentage)),IF(AE3781="free","re-planting",IF(G3781=0,"",IF(PlanterYesMe="",IF(AE3781="me","   not ELP, by",IF(AE3781="",IF(G3781&gt;0,(VLOOKUP(A3781,'Discount Lookup'!J:K,2)*G3781*(1-PlanterDiscount)*(1+PlanterDifficultyPercentage)),""),"")),"   not ELP, by"))))))))))))))</f>
        <v/>
      </c>
      <c r="AD3781" s="712"/>
      <c r="AE3781" s="513" t="str">
        <f t="shared" si="2823"/>
        <v/>
      </c>
      <c r="AF3781" s="713" t="str">
        <f t="shared" si="2824"/>
        <v/>
      </c>
      <c r="AG3781" s="713"/>
      <c r="AH3781" s="713"/>
      <c r="AI3781" s="112">
        <f>IF(H3781="credit",0,IF(AE3781="free",0,IF(AE3781="me",0,IF(G3781&gt;0,(VLOOKUP(A3781,'Discount Lookup'!J:K,2)*G3781),0))))</f>
        <v>0</v>
      </c>
      <c r="AJ3781" s="107" t="str">
        <f t="shared" ca="1" si="2825"/>
        <v/>
      </c>
      <c r="AK3781" s="714" t="str">
        <f t="shared" si="2826"/>
        <v/>
      </c>
      <c r="AL3781" s="714"/>
      <c r="AM3781" s="114" t="str">
        <f t="shared" si="2827"/>
        <v/>
      </c>
      <c r="AN3781" s="115"/>
      <c r="AO3781" s="116"/>
      <c r="AP3781" s="116"/>
      <c r="AQ3781" s="116"/>
      <c r="AR3781" s="116"/>
      <c r="AS3781" s="116"/>
      <c r="AT3781" s="116"/>
      <c r="AU3781" s="116"/>
      <c r="AV3781" s="78"/>
      <c r="AW3781" s="102"/>
      <c r="AX3781" s="78"/>
      <c r="AY3781" s="78"/>
      <c r="AZ3781" s="78"/>
      <c r="BA3781" s="78"/>
      <c r="BB3781" s="78"/>
      <c r="BC3781" s="78"/>
      <c r="BD3781" s="78"/>
      <c r="BE3781" s="465"/>
      <c r="BF3781" s="165" t="str">
        <f t="shared" si="2828"/>
        <v>https://www.google.com/search?tbm=isch&amp;q=Ruscus%20%3D%20Butcher%27s%20Broom%20</v>
      </c>
      <c r="BG3781" s="165" t="str">
        <f t="shared" si="2829"/>
        <v>R</v>
      </c>
      <c r="BH3781" s="65"/>
      <c r="BI3781" s="65"/>
      <c r="BJ3781" s="65"/>
      <c r="BK3781" s="65"/>
      <c r="BL3781" s="99"/>
      <c r="BM3781" s="99"/>
      <c r="BN3781" s="99"/>
    </row>
    <row r="3782" spans="1:66" s="51" customFormat="1" ht="18" x14ac:dyDescent="0.25">
      <c r="A3782" s="507" t="s">
        <v>4152</v>
      </c>
      <c r="B3782" s="470"/>
      <c r="C3782" s="706"/>
      <c r="D3782" s="471" t="s">
        <v>4153</v>
      </c>
      <c r="E3782" s="472"/>
      <c r="F3782" s="472"/>
      <c r="G3782" s="472"/>
      <c r="H3782" s="622" t="s">
        <v>1088</v>
      </c>
      <c r="I3782" s="473" t="s">
        <v>431</v>
      </c>
      <c r="J3782" s="472"/>
      <c r="K3782" s="472"/>
      <c r="L3782" s="561"/>
      <c r="M3782" s="703" t="s">
        <v>5260</v>
      </c>
      <c r="N3782" s="692" t="str">
        <f>IF(AND(ISTEXT($A3782), ISERROR($A3782+0)), HYPERLINK($BF3782, "Images"), "")</f>
        <v>Images</v>
      </c>
      <c r="O3782" s="694" t="s">
        <v>5244</v>
      </c>
      <c r="P3782" s="475"/>
      <c r="Q3782" s="476"/>
      <c r="R3782" s="476"/>
      <c r="S3782" s="477"/>
      <c r="T3782" s="102">
        <f t="shared" si="2817"/>
        <v>0</v>
      </c>
      <c r="U3782" s="78" t="str">
        <f>IF(NOT(ISNUMBER(G3782)), "", VLOOKUP(A3782,'Discount Lookup'!D:E,2,FALSE)*G3782)</f>
        <v/>
      </c>
      <c r="V3782" s="78" t="str">
        <f>IF(NOT(ISNUMBER(G3782)), "", VLOOKUP(A3782,'Discount Lookup'!G:H,2,FALSE)*G3782)</f>
        <v/>
      </c>
      <c r="W3782" s="102">
        <f t="shared" si="2818"/>
        <v>0</v>
      </c>
      <c r="X3782" s="102" t="str">
        <f t="shared" si="2819"/>
        <v>Dark Green foliage</v>
      </c>
      <c r="Y3782" s="120" t="b">
        <f t="shared" si="2820"/>
        <v>0</v>
      </c>
      <c r="Z3782" s="117">
        <f t="shared" si="2821"/>
        <v>0</v>
      </c>
      <c r="AA3782" s="118"/>
      <c r="AB3782" s="118" t="str">
        <f t="shared" si="2822"/>
        <v/>
      </c>
      <c r="AC3782" s="712" t="str">
        <f>IF(AE3782="T2G","no charge",IF(AND(OR(PlanterYesMe="No",PlanterYesMe="N",PlanterYesMe="me"),H3782=""),"",IF(H3782="credit","NO install",IF(AND(K3782="",AE3782="me"),"EACH row",IF(AND(K3782="images",AE3782="me"),"EACH row",IF(D3782="","",IF(H3782="credit","",IF(AE3782="free","re-planting",IF(AE3782="me","   not ELP, by",IF(AND(OR(PlanterYesMe="Yes",PlanterYesMe="Y"),G3782&gt;0),(VLOOKUP(A3782,'Discount Lookup'!J:K,2)*G3782*(1-PlanterDiscount)*(1+PlanterDifficultyPercentage)),IF(AE3782="ELP",(VLOOKUP(A3782,'Discount Lookup'!J:K,2)*G3782*(1-PlanterDiscount)*(1+PlanterDifficultyPercentage)),IF(AE3782="free","re-planting",IF(G3782=0,"",IF(PlanterYesMe="",IF(AE3782="me","   not ELP, by",IF(AE3782="",IF(G3782&gt;0,(VLOOKUP(A3782,'Discount Lookup'!J:K,2)*G3782*(1-PlanterDiscount)*(1+PlanterDifficultyPercentage)),""),"")),"   not ELP, by"))))))))))))))</f>
        <v/>
      </c>
      <c r="AD3782" s="712"/>
      <c r="AE3782" s="513" t="str">
        <f t="shared" si="2823"/>
        <v/>
      </c>
      <c r="AF3782" s="713" t="str">
        <f t="shared" si="2824"/>
        <v/>
      </c>
      <c r="AG3782" s="713"/>
      <c r="AH3782" s="713"/>
      <c r="AI3782" s="112">
        <f>IF(H3782="credit",0,IF(AE3782="free",0,IF(AE3782="me",0,IF(G3782&gt;0,(VLOOKUP(A3782,'Discount Lookup'!J:K,2)*G3782),0))))</f>
        <v>0</v>
      </c>
      <c r="AJ3782" s="107" t="str">
        <f t="shared" ca="1" si="2825"/>
        <v/>
      </c>
      <c r="AK3782" s="714" t="str">
        <f t="shared" si="2826"/>
        <v/>
      </c>
      <c r="AL3782" s="714"/>
      <c r="AM3782" s="114" t="str">
        <f t="shared" si="2827"/>
        <v/>
      </c>
      <c r="AN3782" s="115"/>
      <c r="AO3782" s="116"/>
      <c r="AP3782" s="116"/>
      <c r="AQ3782" s="116"/>
      <c r="AR3782" s="116"/>
      <c r="AS3782" s="116"/>
      <c r="AT3782" s="116"/>
      <c r="AU3782" s="116"/>
      <c r="AV3782" s="78"/>
      <c r="AW3782" s="102"/>
      <c r="AX3782" s="78"/>
      <c r="AY3782" s="78"/>
      <c r="AZ3782" s="78"/>
      <c r="BA3782" s="78"/>
      <c r="BB3782" s="78"/>
      <c r="BC3782" s="78"/>
      <c r="BD3782" s="78"/>
      <c r="BE3782" s="465"/>
      <c r="BF3782" s="165" t="str">
        <f t="shared" si="2828"/>
        <v>https://www.google.com/search?tbm=isch&amp;q=Ruscus%20aculeatus%20Butcher%27s%20Broom</v>
      </c>
      <c r="BG3782" s="165" t="str">
        <f t="shared" si="2829"/>
        <v>R</v>
      </c>
      <c r="BH3782" s="65"/>
      <c r="BI3782" s="65"/>
      <c r="BJ3782" s="65"/>
      <c r="BK3782" s="65"/>
      <c r="BL3782" s="99"/>
      <c r="BM3782" s="99"/>
      <c r="BN3782" s="99"/>
    </row>
    <row r="3783" spans="1:66" s="51" customFormat="1" ht="27" x14ac:dyDescent="0.25">
      <c r="A3783" s="478">
        <v>3</v>
      </c>
      <c r="B3783" s="479" t="s">
        <v>291</v>
      </c>
      <c r="C3783" s="480" t="s">
        <v>4154</v>
      </c>
      <c r="D3783" s="481" t="s">
        <v>299</v>
      </c>
      <c r="E3783" s="482">
        <v>54.95</v>
      </c>
      <c r="F3783" s="483" t="s">
        <v>292</v>
      </c>
      <c r="G3783" s="484">
        <v>0</v>
      </c>
      <c r="H3783" s="688" t="str">
        <f>IF(G3783=0,"",IF(F3783="Buy",IF(G3783=1,"plant","plants"),IF(F3783&gt;0.01,"warranty","Error")))</f>
        <v/>
      </c>
      <c r="I3783" s="485">
        <f>IF(H3783="free",0,IF(H3783="credit",((E3783*(F3783))*G3783*-1),IF(F3783="Buy",(E3783*G3783),((E3783*(1-F3783))*G3783))))</f>
        <v>0</v>
      </c>
      <c r="J3783" s="485">
        <f>IF(H3783="warranty",0,(I3783*(_xlfn.SINGLE(SalesTaxPercentage))))</f>
        <v>0</v>
      </c>
      <c r="K3783" s="715">
        <f t="shared" ref="K3783" si="2851">I3783+J3783</f>
        <v>0</v>
      </c>
      <c r="L3783" s="715"/>
      <c r="M3783" s="689" t="str">
        <f ca="1">IF(AND(G3783&gt;0,E3783=0),"WARNING - no PRICE inserted",IF(H3783="free","FREE ~ no charge this plant",IF(H3783="credit",CONCATENATE("-$",ROUND(K3783*(1-_xlfn.SINGLE(T2GDiscount))*-1,2)," CREDIT after discount"),IF(_xlfn.SINGLE(T2GDiscount)=0,"",IF(G3783=0,"",IF(F3783="Buy",CONCATENATE("$",ROUND(K3783*(1-_xlfn.SINGLE(T2GDiscount)),2)," with ",(_xlfn.SINGLE(T2GDiscount)*100),"% discount"),CONCATENATE("$",ROUND(K3783*(1-_xlfn.SINGLE(T2GDiscount)),2)," with ",((_xlfn.SINGLE(T2GDiscount)*100+F3783*100)-(_xlfn.SINGLE(T2GDiscount)*100*F3783)),IF(F3783&gt;0,"% discounts",IF(_xlfn.SINGLE(NoWarrantyDiscount)&gt;0,"% discounts","% discount")))))))))</f>
        <v/>
      </c>
      <c r="N3783" s="690"/>
      <c r="O3783" s="486"/>
      <c r="P3783" s="486"/>
      <c r="Q3783" s="486"/>
      <c r="R3783" s="486"/>
      <c r="S3783" s="486"/>
      <c r="T3783" s="102">
        <f t="shared" si="2817"/>
        <v>0</v>
      </c>
      <c r="U3783" s="78">
        <f>IF(NOT(ISNUMBER(G3783)), "", VLOOKUP(A3783,'Discount Lookup'!D:E,2,FALSE)*G3783)</f>
        <v>0</v>
      </c>
      <c r="V3783" s="78">
        <f>IF(NOT(ISNUMBER(G3783)), "", VLOOKUP(A3783,'Discount Lookup'!G:H,2,FALSE)*G3783)</f>
        <v>0</v>
      </c>
      <c r="W3783" s="102">
        <f t="shared" si="2818"/>
        <v>0</v>
      </c>
      <c r="X3783" s="102">
        <f t="shared" si="2819"/>
        <v>0</v>
      </c>
      <c r="Y3783" s="120" t="b">
        <f t="shared" si="2820"/>
        <v>0</v>
      </c>
      <c r="Z3783" s="117">
        <f t="shared" si="2821"/>
        <v>0</v>
      </c>
      <c r="AA3783" s="118"/>
      <c r="AB3783" s="118" t="str">
        <f t="shared" si="2822"/>
        <v/>
      </c>
      <c r="AC3783" s="712" t="str">
        <f>IF(AE3783="T2G","no charge",IF(AND(OR(PlanterYesMe="No",PlanterYesMe="N",PlanterYesMe="me"),H3783=""),"",IF(H3783="credit","NO install",IF(AND(K3783="",AE3783="me"),"EACH row",IF(AND(K3783="images",AE3783="me"),"EACH row",IF(D3783="","",IF(H3783="credit","",IF(AE3783="free","re-planting",IF(AE3783="me","   not ELP, by",IF(AND(OR(PlanterYesMe="Yes",PlanterYesMe="Y"),G3783&gt;0),(VLOOKUP(A3783,'Discount Lookup'!J:K,2)*G3783*(1-PlanterDiscount)*(1+PlanterDifficultyPercentage)),IF(AE3783="ELP",(VLOOKUP(A3783,'Discount Lookup'!J:K,2)*G3783*(1-PlanterDiscount)*(1+PlanterDifficultyPercentage)),IF(AE3783="free","re-planting",IF(G3783=0,"",IF(PlanterYesMe="",IF(AE3783="me","   not ELP, by",IF(AE3783="",IF(G3783&gt;0,(VLOOKUP(A3783,'Discount Lookup'!J:K,2)*G3783*(1-PlanterDiscount)*(1+PlanterDifficultyPercentage)),""),"")),"   not ELP, by"))))))))))))))</f>
        <v/>
      </c>
      <c r="AD3783" s="712"/>
      <c r="AE3783" s="513" t="str">
        <f t="shared" si="2823"/>
        <v/>
      </c>
      <c r="AF3783" s="713" t="str">
        <f t="shared" si="2824"/>
        <v/>
      </c>
      <c r="AG3783" s="713"/>
      <c r="AH3783" s="713"/>
      <c r="AI3783" s="112">
        <f>IF(H3783="credit",0,IF(AE3783="free",0,IF(AE3783="me",0,IF(G3783&gt;0,(VLOOKUP(A3783,'Discount Lookup'!J:K,2)*G3783),0))))</f>
        <v>0</v>
      </c>
      <c r="AJ3783" s="107" t="str">
        <f t="shared" ca="1" si="2825"/>
        <v/>
      </c>
      <c r="AK3783" s="714" t="str">
        <f t="shared" si="2826"/>
        <v/>
      </c>
      <c r="AL3783" s="714"/>
      <c r="AM3783" s="114" t="str">
        <f t="shared" si="2827"/>
        <v/>
      </c>
      <c r="AN3783" s="115"/>
      <c r="AO3783" s="116"/>
      <c r="AP3783" s="116"/>
      <c r="AQ3783" s="116"/>
      <c r="AR3783" s="116"/>
      <c r="AS3783" s="116"/>
      <c r="AT3783" s="116"/>
      <c r="AU3783" s="116"/>
      <c r="AV3783" s="78"/>
      <c r="AW3783" s="102"/>
      <c r="AX3783" s="78"/>
      <c r="AY3783" s="78"/>
      <c r="AZ3783" s="78"/>
      <c r="BA3783" s="78"/>
      <c r="BB3783" s="78"/>
      <c r="BC3783" s="78"/>
      <c r="BD3783" s="78"/>
      <c r="BE3783" s="465"/>
      <c r="BF3783" s="165" t="str">
        <f t="shared" si="2828"/>
        <v>https://www.google.com/search?tbm=isch&amp;q=3%20G4</v>
      </c>
      <c r="BG3783" s="165" t="str">
        <f t="shared" si="2829"/>
        <v>R</v>
      </c>
      <c r="BH3783" s="65"/>
      <c r="BI3783" s="65"/>
      <c r="BJ3783" s="65"/>
      <c r="BK3783" s="65"/>
      <c r="BL3783" s="99"/>
      <c r="BM3783" s="99"/>
      <c r="BN3783" s="99"/>
    </row>
    <row r="3784" spans="1:66" s="51" customFormat="1" ht="15.75" x14ac:dyDescent="0.25">
      <c r="A3784" s="478">
        <v>3</v>
      </c>
      <c r="B3784" s="479" t="s">
        <v>291</v>
      </c>
      <c r="C3784" s="480" t="s">
        <v>4155</v>
      </c>
      <c r="D3784" s="481" t="s">
        <v>293</v>
      </c>
      <c r="E3784" s="482">
        <v>67.95</v>
      </c>
      <c r="F3784" s="483" t="s">
        <v>292</v>
      </c>
      <c r="G3784" s="484">
        <v>0</v>
      </c>
      <c r="H3784" s="688" t="str">
        <f>IF(G3784=0,"",IF(F3784="Buy",IF(G3784=1,"plant","plants"),IF(F3784&gt;0.01,"warranty","Error")))</f>
        <v/>
      </c>
      <c r="I3784" s="485">
        <f>IF(H3784="free",0,IF(H3784="credit",((E3784*(F3784))*G3784*-1),IF(F3784="Buy",(E3784*G3784),((E3784*(1-F3784))*G3784))))</f>
        <v>0</v>
      </c>
      <c r="J3784" s="485">
        <f>IF(H3784="warranty",0,(I3784*(_xlfn.SINGLE(SalesTaxPercentage))))</f>
        <v>0</v>
      </c>
      <c r="K3784" s="715">
        <f t="shared" ref="K3784" si="2852">I3784+J3784</f>
        <v>0</v>
      </c>
      <c r="L3784" s="715"/>
      <c r="M3784" s="689" t="str">
        <f ca="1">IF(AND(G3784&gt;0,E3784=0),"WARNING - no PRICE inserted",IF(H3784="free","FREE ~ no charge this plant",IF(H3784="credit",CONCATENATE("-$",ROUND(K3784*(1-_xlfn.SINGLE(T2GDiscount))*-1,2)," CREDIT after discount"),IF(_xlfn.SINGLE(T2GDiscount)=0,"",IF(G3784=0,"",IF(F3784="Buy",CONCATENATE("$",ROUND(K3784*(1-_xlfn.SINGLE(T2GDiscount)),2)," with ",(_xlfn.SINGLE(T2GDiscount)*100),"% discount"),CONCATENATE("$",ROUND(K3784*(1-_xlfn.SINGLE(T2GDiscount)),2)," with ",((_xlfn.SINGLE(T2GDiscount)*100+F3784*100)-(_xlfn.SINGLE(T2GDiscount)*100*F3784)),IF(F3784&gt;0,"% discounts",IF(_xlfn.SINGLE(NoWarrantyDiscount)&gt;0,"% discounts","% discount")))))))))</f>
        <v/>
      </c>
      <c r="N3784" s="690"/>
      <c r="O3784" s="486"/>
      <c r="P3784" s="486"/>
      <c r="Q3784" s="486"/>
      <c r="R3784" s="486"/>
      <c r="S3784" s="486"/>
      <c r="T3784" s="102">
        <f t="shared" si="2817"/>
        <v>0</v>
      </c>
      <c r="U3784" s="78">
        <f>IF(NOT(ISNUMBER(G3784)), "", VLOOKUP(A3784,'Discount Lookup'!D:E,2,FALSE)*G3784)</f>
        <v>0</v>
      </c>
      <c r="V3784" s="78">
        <f>IF(NOT(ISNUMBER(G3784)), "", VLOOKUP(A3784,'Discount Lookup'!G:H,2,FALSE)*G3784)</f>
        <v>0</v>
      </c>
      <c r="W3784" s="102">
        <f t="shared" si="2818"/>
        <v>0</v>
      </c>
      <c r="X3784" s="102">
        <f t="shared" si="2819"/>
        <v>0</v>
      </c>
      <c r="Y3784" s="120" t="b">
        <f t="shared" si="2820"/>
        <v>0</v>
      </c>
      <c r="Z3784" s="117">
        <f t="shared" si="2821"/>
        <v>0</v>
      </c>
      <c r="AA3784" s="118"/>
      <c r="AB3784" s="118" t="str">
        <f t="shared" si="2822"/>
        <v/>
      </c>
      <c r="AC3784" s="712" t="str">
        <f>IF(AE3784="T2G","no charge",IF(AND(OR(PlanterYesMe="No",PlanterYesMe="N",PlanterYesMe="me"),H3784=""),"",IF(H3784="credit","NO install",IF(AND(K3784="",AE3784="me"),"EACH row",IF(AND(K3784="images",AE3784="me"),"EACH row",IF(D3784="","",IF(H3784="credit","",IF(AE3784="free","re-planting",IF(AE3784="me","   not ELP, by",IF(AND(OR(PlanterYesMe="Yes",PlanterYesMe="Y"),G3784&gt;0),(VLOOKUP(A3784,'Discount Lookup'!J:K,2)*G3784*(1-PlanterDiscount)*(1+PlanterDifficultyPercentage)),IF(AE3784="ELP",(VLOOKUP(A3784,'Discount Lookup'!J:K,2)*G3784*(1-PlanterDiscount)*(1+PlanterDifficultyPercentage)),IF(AE3784="free","re-planting",IF(G3784=0,"",IF(PlanterYesMe="",IF(AE3784="me","   not ELP, by",IF(AE3784="",IF(G3784&gt;0,(VLOOKUP(A3784,'Discount Lookup'!J:K,2)*G3784*(1-PlanterDiscount)*(1+PlanterDifficultyPercentage)),""),"")),"   not ELP, by"))))))))))))))</f>
        <v/>
      </c>
      <c r="AD3784" s="712"/>
      <c r="AE3784" s="513" t="str">
        <f t="shared" si="2823"/>
        <v/>
      </c>
      <c r="AF3784" s="713" t="str">
        <f t="shared" si="2824"/>
        <v/>
      </c>
      <c r="AG3784" s="713"/>
      <c r="AH3784" s="713"/>
      <c r="AI3784" s="112">
        <f>IF(H3784="credit",0,IF(AE3784="free",0,IF(AE3784="me",0,IF(G3784&gt;0,(VLOOKUP(A3784,'Discount Lookup'!J:K,2)*G3784),0))))</f>
        <v>0</v>
      </c>
      <c r="AJ3784" s="107" t="str">
        <f t="shared" ca="1" si="2825"/>
        <v/>
      </c>
      <c r="AK3784" s="714" t="str">
        <f t="shared" si="2826"/>
        <v/>
      </c>
      <c r="AL3784" s="714"/>
      <c r="AM3784" s="114" t="str">
        <f t="shared" si="2827"/>
        <v/>
      </c>
      <c r="AN3784" s="115"/>
      <c r="AO3784" s="116"/>
      <c r="AP3784" s="116"/>
      <c r="AQ3784" s="116"/>
      <c r="AR3784" s="116"/>
      <c r="AS3784" s="116"/>
      <c r="AT3784" s="116"/>
      <c r="AU3784" s="116"/>
      <c r="AV3784" s="78"/>
      <c r="AW3784" s="102"/>
      <c r="AX3784" s="78"/>
      <c r="AY3784" s="78"/>
      <c r="AZ3784" s="78"/>
      <c r="BA3784" s="78"/>
      <c r="BB3784" s="78"/>
      <c r="BC3784" s="78"/>
      <c r="BD3784" s="78"/>
      <c r="BE3784" s="465"/>
      <c r="BF3784" s="165" t="str">
        <f t="shared" si="2828"/>
        <v>https://www.google.com/search?tbm=isch&amp;q=3%20G6</v>
      </c>
      <c r="BG3784" s="165" t="str">
        <f t="shared" si="2829"/>
        <v>R</v>
      </c>
      <c r="BH3784" s="65"/>
      <c r="BI3784" s="65"/>
      <c r="BJ3784" s="65"/>
      <c r="BK3784" s="65"/>
      <c r="BL3784" s="99"/>
      <c r="BM3784" s="99"/>
      <c r="BN3784" s="99"/>
    </row>
    <row r="3785" spans="1:66" s="51" customFormat="1" ht="16.5" x14ac:dyDescent="0.25">
      <c r="A3785" s="508" t="s">
        <v>4156</v>
      </c>
      <c r="B3785" s="487"/>
      <c r="C3785" s="707"/>
      <c r="D3785" s="487"/>
      <c r="E3785" s="487"/>
      <c r="F3785" s="488"/>
      <c r="G3785" s="489"/>
      <c r="H3785" s="487"/>
      <c r="I3785" s="490"/>
      <c r="J3785" s="490"/>
      <c r="K3785" s="491"/>
      <c r="L3785" s="547"/>
      <c r="M3785" s="528"/>
      <c r="N3785" s="492"/>
      <c r="O3785" s="493"/>
      <c r="P3785" s="494"/>
      <c r="Q3785" s="492"/>
      <c r="R3785" s="492"/>
      <c r="S3785" s="699" t="s">
        <v>5282</v>
      </c>
      <c r="T3785" s="102">
        <f t="shared" si="2817"/>
        <v>0</v>
      </c>
      <c r="U3785" s="78" t="str">
        <f>IF(NOT(ISNUMBER(G3785)), "", VLOOKUP(A3785,'Discount Lookup'!D:E,2,FALSE)*G3785)</f>
        <v/>
      </c>
      <c r="V3785" s="78" t="str">
        <f>IF(NOT(ISNUMBER(G3785)), "", VLOOKUP(A3785,'Discount Lookup'!G:H,2,FALSE)*G3785)</f>
        <v/>
      </c>
      <c r="W3785" s="102">
        <f t="shared" si="2818"/>
        <v>0</v>
      </c>
      <c r="X3785" s="102">
        <f t="shared" si="2819"/>
        <v>0</v>
      </c>
      <c r="Y3785" s="120" t="b">
        <f t="shared" si="2820"/>
        <v>0</v>
      </c>
      <c r="Z3785" s="117">
        <f t="shared" si="2821"/>
        <v>0</v>
      </c>
      <c r="AA3785" s="118"/>
      <c r="AB3785" s="118" t="str">
        <f t="shared" si="2822"/>
        <v/>
      </c>
      <c r="AC3785" s="712" t="str">
        <f>IF(AE3785="T2G","no charge",IF(AND(OR(PlanterYesMe="No",PlanterYesMe="N",PlanterYesMe="me"),H3785=""),"",IF(H3785="credit","NO install",IF(AND(K3785="",AE3785="me"),"EACH row",IF(AND(K3785="images",AE3785="me"),"EACH row",IF(D3785="","",IF(H3785="credit","",IF(AE3785="free","re-planting",IF(AE3785="me","   not ELP, by",IF(AND(OR(PlanterYesMe="Yes",PlanterYesMe="Y"),G3785&gt;0),(VLOOKUP(A3785,'Discount Lookup'!J:K,2)*G3785*(1-PlanterDiscount)*(1+PlanterDifficultyPercentage)),IF(AE3785="ELP",(VLOOKUP(A3785,'Discount Lookup'!J:K,2)*G3785*(1-PlanterDiscount)*(1+PlanterDifficultyPercentage)),IF(AE3785="free","re-planting",IF(G3785=0,"",IF(PlanterYesMe="",IF(AE3785="me","   not ELP, by",IF(AE3785="",IF(G3785&gt;0,(VLOOKUP(A3785,'Discount Lookup'!J:K,2)*G3785*(1-PlanterDiscount)*(1+PlanterDifficultyPercentage)),""),"")),"   not ELP, by"))))))))))))))</f>
        <v/>
      </c>
      <c r="AD3785" s="712"/>
      <c r="AE3785" s="513" t="str">
        <f t="shared" si="2823"/>
        <v/>
      </c>
      <c r="AF3785" s="713" t="str">
        <f t="shared" si="2824"/>
        <v/>
      </c>
      <c r="AG3785" s="713"/>
      <c r="AH3785" s="713"/>
      <c r="AI3785" s="112">
        <f>IF(H3785="credit",0,IF(AE3785="free",0,IF(AE3785="me",0,IF(G3785&gt;0,(VLOOKUP(A3785,'Discount Lookup'!J:K,2)*G3785),0))))</f>
        <v>0</v>
      </c>
      <c r="AJ3785" s="107" t="str">
        <f t="shared" ca="1" si="2825"/>
        <v/>
      </c>
      <c r="AK3785" s="714" t="str">
        <f t="shared" si="2826"/>
        <v/>
      </c>
      <c r="AL3785" s="714"/>
      <c r="AM3785" s="114" t="str">
        <f t="shared" si="2827"/>
        <v/>
      </c>
      <c r="AN3785" s="115"/>
      <c r="AO3785" s="116"/>
      <c r="AP3785" s="116"/>
      <c r="AQ3785" s="116"/>
      <c r="AR3785" s="116"/>
      <c r="AS3785" s="116"/>
      <c r="AT3785" s="116"/>
      <c r="AU3785" s="116"/>
      <c r="AV3785" s="78"/>
      <c r="AW3785" s="102"/>
      <c r="AX3785" s="78"/>
      <c r="AY3785" s="78"/>
      <c r="AZ3785" s="78"/>
      <c r="BA3785" s="78"/>
      <c r="BB3785" s="78"/>
      <c r="BC3785" s="78"/>
      <c r="BD3785" s="78"/>
      <c r="BE3785" s="465"/>
      <c r="BF3785" s="165" t="str">
        <f t="shared" si="2828"/>
        <v>https://www.google.com/search?tbm=isch&amp;q=Butcher%E2%80%99s%20Broom%20has%20tough%2C%20spiny-tipped%20stems%20and%20showy%20Red%20winter%20berries.%20Once%20used%20in%20broom-making%20</v>
      </c>
      <c r="BG3785" s="165" t="str">
        <f t="shared" si="2829"/>
        <v>B</v>
      </c>
      <c r="BH3785" s="65"/>
      <c r="BI3785" s="65"/>
      <c r="BJ3785" s="65"/>
      <c r="BK3785" s="65"/>
      <c r="BL3785" s="99"/>
      <c r="BM3785" s="99"/>
      <c r="BN3785" s="99"/>
    </row>
    <row r="3786" spans="1:66" s="51" customFormat="1" ht="55.5" x14ac:dyDescent="0.25">
      <c r="A3786" s="520" t="s">
        <v>725</v>
      </c>
      <c r="B3786" s="501"/>
      <c r="C3786" s="502"/>
      <c r="D3786" s="502"/>
      <c r="E3786" s="502"/>
      <c r="F3786" s="502"/>
      <c r="G3786" s="502"/>
      <c r="H3786" s="502"/>
      <c r="I3786" s="502"/>
      <c r="J3786" s="502"/>
      <c r="K3786" s="509" t="s">
        <v>871</v>
      </c>
      <c r="L3786" s="503"/>
      <c r="M3786" s="563"/>
      <c r="N3786" s="504"/>
      <c r="O3786" s="504"/>
      <c r="P3786" s="504"/>
      <c r="Q3786" s="504"/>
      <c r="R3786" s="504"/>
      <c r="S3786" s="511" t="s">
        <v>1546</v>
      </c>
      <c r="T3786" s="102">
        <f t="shared" si="2817"/>
        <v>0</v>
      </c>
      <c r="U3786" s="78" t="str">
        <f>IF(NOT(ISNUMBER(G3786)), "", VLOOKUP(A3786,'Discount Lookup'!D:E,2,FALSE)*G3786)</f>
        <v/>
      </c>
      <c r="V3786" s="78" t="str">
        <f>IF(NOT(ISNUMBER(G3786)), "", VLOOKUP(A3786,'Discount Lookup'!G:H,2,FALSE)*G3786)</f>
        <v/>
      </c>
      <c r="W3786" s="102">
        <f t="shared" si="2818"/>
        <v>0</v>
      </c>
      <c r="X3786" s="102">
        <f t="shared" si="2819"/>
        <v>0</v>
      </c>
      <c r="Y3786" s="120" t="b">
        <f t="shared" si="2820"/>
        <v>0</v>
      </c>
      <c r="Z3786" s="117">
        <f t="shared" si="2821"/>
        <v>0</v>
      </c>
      <c r="AA3786" s="118"/>
      <c r="AB3786" s="118" t="str">
        <f t="shared" si="2822"/>
        <v/>
      </c>
      <c r="AC3786" s="712" t="str">
        <f>IF(AE3786="T2G","no charge",IF(AND(OR(PlanterYesMe="No",PlanterYesMe="N",PlanterYesMe="me"),H3786=""),"",IF(H3786="credit","NO install",IF(AND(K3786="",AE3786="me"),"EACH row",IF(AND(K3786="images",AE3786="me"),"EACH row",IF(D3786="","",IF(H3786="credit","",IF(AE3786="free","re-planting",IF(AE3786="me","   not ELP, by",IF(AND(OR(PlanterYesMe="Yes",PlanterYesMe="Y"),G3786&gt;0),(VLOOKUP(A3786,'Discount Lookup'!J:K,2)*G3786*(1-PlanterDiscount)*(1+PlanterDifficultyPercentage)),IF(AE3786="ELP",(VLOOKUP(A3786,'Discount Lookup'!J:K,2)*G3786*(1-PlanterDiscount)*(1+PlanterDifficultyPercentage)),IF(AE3786="free","re-planting",IF(G3786=0,"",IF(PlanterYesMe="",IF(AE3786="me","   not ELP, by",IF(AE3786="",IF(G3786&gt;0,(VLOOKUP(A3786,'Discount Lookup'!J:K,2)*G3786*(1-PlanterDiscount)*(1+PlanterDifficultyPercentage)),""),"")),"   not ELP, by"))))))))))))))</f>
        <v/>
      </c>
      <c r="AD3786" s="712"/>
      <c r="AE3786" s="513" t="str">
        <f t="shared" si="2823"/>
        <v/>
      </c>
      <c r="AF3786" s="713" t="str">
        <f t="shared" si="2824"/>
        <v/>
      </c>
      <c r="AG3786" s="713"/>
      <c r="AH3786" s="713"/>
      <c r="AI3786" s="112">
        <f>IF(H3786="credit",0,IF(AE3786="free",0,IF(AE3786="me",0,IF(G3786&gt;0,(VLOOKUP(A3786,'Discount Lookup'!J:K,2)*G3786),0))))</f>
        <v>0</v>
      </c>
      <c r="AJ3786" s="107" t="str">
        <f t="shared" ca="1" si="2825"/>
        <v/>
      </c>
      <c r="AK3786" s="714" t="str">
        <f t="shared" si="2826"/>
        <v/>
      </c>
      <c r="AL3786" s="714"/>
      <c r="AM3786" s="114" t="str">
        <f t="shared" si="2827"/>
        <v/>
      </c>
      <c r="AN3786" s="115"/>
      <c r="AO3786" s="116"/>
      <c r="AP3786" s="116"/>
      <c r="AQ3786" s="116"/>
      <c r="AR3786" s="116"/>
      <c r="AS3786" s="116"/>
      <c r="AT3786" s="116"/>
      <c r="AU3786" s="116"/>
      <c r="AV3786" s="78"/>
      <c r="AW3786" s="102"/>
      <c r="AX3786" s="78"/>
      <c r="AY3786" s="78"/>
      <c r="AZ3786" s="78"/>
      <c r="BA3786" s="78"/>
      <c r="BB3786" s="78"/>
      <c r="BC3786" s="78"/>
      <c r="BD3786" s="78"/>
      <c r="BE3786" s="465"/>
      <c r="BF3786" s="165" t="str">
        <f t="shared" si="2828"/>
        <v>https://www.google.com/search?tbm=isch&amp;q=S%20</v>
      </c>
      <c r="BG3786" s="165" t="str">
        <f t="shared" si="2829"/>
        <v>S</v>
      </c>
      <c r="BH3786" s="65"/>
      <c r="BI3786" s="65"/>
      <c r="BJ3786" s="65"/>
      <c r="BK3786" s="65"/>
      <c r="BL3786" s="99"/>
      <c r="BM3786" s="99"/>
      <c r="BN3786" s="99"/>
    </row>
    <row r="3787" spans="1:66" s="51" customFormat="1" ht="19.5" thickBot="1" x14ac:dyDescent="0.3">
      <c r="A3787" s="686" t="s">
        <v>726</v>
      </c>
      <c r="B3787" s="73"/>
      <c r="C3787" s="708"/>
      <c r="D3787" s="73"/>
      <c r="E3787" s="73"/>
      <c r="F3787" s="496"/>
      <c r="G3787" s="73"/>
      <c r="H3787" s="73"/>
      <c r="I3787" s="73"/>
      <c r="J3787" s="497" t="s">
        <v>357</v>
      </c>
      <c r="K3787" s="498"/>
      <c r="L3787" s="562"/>
      <c r="M3787" s="73"/>
      <c r="N3787"/>
      <c r="O3787"/>
      <c r="P3787"/>
      <c r="Q3787"/>
      <c r="R3787"/>
      <c r="S3787"/>
      <c r="T3787" s="102">
        <f t="shared" si="2817"/>
        <v>0</v>
      </c>
      <c r="U3787" s="78" t="str">
        <f>IF(NOT(ISNUMBER(G3787)), "", VLOOKUP(A3787,'Discount Lookup'!D:E,2,FALSE)*G3787)</f>
        <v/>
      </c>
      <c r="V3787" s="78" t="str">
        <f>IF(NOT(ISNUMBER(G3787)), "", VLOOKUP(A3787,'Discount Lookup'!G:H,2,FALSE)*G3787)</f>
        <v/>
      </c>
      <c r="W3787" s="102">
        <f t="shared" si="2818"/>
        <v>0</v>
      </c>
      <c r="X3787" s="102">
        <f t="shared" si="2819"/>
        <v>0</v>
      </c>
      <c r="Y3787" s="120" t="b">
        <f t="shared" si="2820"/>
        <v>0</v>
      </c>
      <c r="Z3787" s="117">
        <f t="shared" si="2821"/>
        <v>0</v>
      </c>
      <c r="AA3787" s="118"/>
      <c r="AB3787" s="118" t="str">
        <f t="shared" si="2822"/>
        <v/>
      </c>
      <c r="AC3787" s="712" t="str">
        <f>IF(AE3787="T2G","no charge",IF(AND(OR(PlanterYesMe="No",PlanterYesMe="N",PlanterYesMe="me"),H3787=""),"",IF(H3787="credit","NO install",IF(AND(K3787="",AE3787="me"),"EACH row",IF(AND(K3787="images",AE3787="me"),"EACH row",IF(D3787="","",IF(H3787="credit","",IF(AE3787="free","re-planting",IF(AE3787="me","   not ELP, by",IF(AND(OR(PlanterYesMe="Yes",PlanterYesMe="Y"),G3787&gt;0),(VLOOKUP(A3787,'Discount Lookup'!J:K,2)*G3787*(1-PlanterDiscount)*(1+PlanterDifficultyPercentage)),IF(AE3787="ELP",(VLOOKUP(A3787,'Discount Lookup'!J:K,2)*G3787*(1-PlanterDiscount)*(1+PlanterDifficultyPercentage)),IF(AE3787="free","re-planting",IF(G3787=0,"",IF(PlanterYesMe="",IF(AE3787="me","   not ELP, by",IF(AE3787="",IF(G3787&gt;0,(VLOOKUP(A3787,'Discount Lookup'!J:K,2)*G3787*(1-PlanterDiscount)*(1+PlanterDifficultyPercentage)),""),"")),"   not ELP, by"))))))))))))))</f>
        <v/>
      </c>
      <c r="AD3787" s="712"/>
      <c r="AE3787" s="513" t="str">
        <f t="shared" si="2823"/>
        <v/>
      </c>
      <c r="AF3787" s="713" t="str">
        <f t="shared" si="2824"/>
        <v/>
      </c>
      <c r="AG3787" s="713"/>
      <c r="AH3787" s="713"/>
      <c r="AI3787" s="112">
        <f>IF(H3787="credit",0,IF(AE3787="free",0,IF(AE3787="me",0,IF(G3787&gt;0,(VLOOKUP(A3787,'Discount Lookup'!J:K,2)*G3787),0))))</f>
        <v>0</v>
      </c>
      <c r="AJ3787" s="107" t="str">
        <f t="shared" ca="1" si="2825"/>
        <v/>
      </c>
      <c r="AK3787" s="714" t="str">
        <f t="shared" si="2826"/>
        <v/>
      </c>
      <c r="AL3787" s="714"/>
      <c r="AM3787" s="114" t="str">
        <f t="shared" si="2827"/>
        <v/>
      </c>
      <c r="AN3787" s="115"/>
      <c r="AO3787" s="116"/>
      <c r="AP3787" s="116"/>
      <c r="AQ3787" s="116"/>
      <c r="AR3787" s="116"/>
      <c r="AS3787" s="116"/>
      <c r="AT3787" s="116"/>
      <c r="AU3787" s="116"/>
      <c r="AV3787" s="78"/>
      <c r="AW3787" s="102"/>
      <c r="AX3787" s="78"/>
      <c r="AY3787" s="78"/>
      <c r="AZ3787" s="78"/>
      <c r="BA3787" s="78"/>
      <c r="BB3787" s="78"/>
      <c r="BC3787" s="78"/>
      <c r="BD3787" s="78"/>
      <c r="BE3787" s="465"/>
      <c r="BF3787" s="165" t="str">
        <f t="shared" si="2828"/>
        <v>https://www.google.com/search?tbm=isch&amp;q=Salix%20%3D%20Willow%20</v>
      </c>
      <c r="BG3787" s="165" t="str">
        <f t="shared" si="2829"/>
        <v>S</v>
      </c>
      <c r="BH3787" s="65"/>
      <c r="BI3787" s="65"/>
      <c r="BJ3787" s="65"/>
      <c r="BK3787" s="65"/>
      <c r="BL3787" s="99"/>
      <c r="BM3787" s="99"/>
      <c r="BN3787" s="99"/>
    </row>
    <row r="3788" spans="1:66" s="51" customFormat="1" ht="18" x14ac:dyDescent="0.25">
      <c r="A3788" s="623" t="s">
        <v>4157</v>
      </c>
      <c r="B3788" s="624"/>
      <c r="C3788" s="709"/>
      <c r="D3788" s="625" t="s">
        <v>4158</v>
      </c>
      <c r="E3788" s="626"/>
      <c r="F3788" s="626"/>
      <c r="G3788" s="626"/>
      <c r="H3788" s="622" t="s">
        <v>4159</v>
      </c>
      <c r="I3788" s="627" t="s">
        <v>4160</v>
      </c>
      <c r="J3788" s="628"/>
      <c r="K3788" s="628"/>
      <c r="L3788" s="629"/>
      <c r="M3788" s="700" t="s">
        <v>5249</v>
      </c>
      <c r="N3788" s="693" t="str">
        <f>IF(AND(ISTEXT($A3788), ISERROR($A3788+0)), HYPERLINK($BF3788, "Images"), "")</f>
        <v>Images</v>
      </c>
      <c r="O3788" s="695" t="s">
        <v>5264</v>
      </c>
      <c r="P3788" s="630"/>
      <c r="Q3788" s="631"/>
      <c r="R3788" s="632"/>
      <c r="S3788" s="633"/>
      <c r="T3788" s="102">
        <f t="shared" si="2817"/>
        <v>0</v>
      </c>
      <c r="U3788" s="78" t="str">
        <f>IF(NOT(ISNUMBER(G3788)), "", VLOOKUP(A3788,'Discount Lookup'!D:E,2,FALSE)*G3788)</f>
        <v/>
      </c>
      <c r="V3788" s="78" t="str">
        <f>IF(NOT(ISNUMBER(G3788)), "", VLOOKUP(A3788,'Discount Lookup'!G:H,2,FALSE)*G3788)</f>
        <v/>
      </c>
      <c r="W3788" s="102">
        <f t="shared" si="2818"/>
        <v>0</v>
      </c>
      <c r="X3788" s="102" t="str">
        <f t="shared" si="2819"/>
        <v>Light Green foliage</v>
      </c>
      <c r="Y3788" s="120" t="b">
        <f t="shared" si="2820"/>
        <v>0</v>
      </c>
      <c r="Z3788" s="117">
        <f t="shared" si="2821"/>
        <v>0</v>
      </c>
      <c r="AA3788" s="118"/>
      <c r="AB3788" s="118" t="str">
        <f t="shared" si="2822"/>
        <v/>
      </c>
      <c r="AC3788" s="712" t="str">
        <f>IF(AE3788="T2G","no charge",IF(AND(OR(PlanterYesMe="No",PlanterYesMe="N",PlanterYesMe="me"),H3788=""),"",IF(H3788="credit","NO install",IF(AND(K3788="",AE3788="me"),"EACH row",IF(AND(K3788="images",AE3788="me"),"EACH row",IF(D3788="","",IF(H3788="credit","",IF(AE3788="free","re-planting",IF(AE3788="me","   not ELP, by",IF(AND(OR(PlanterYesMe="Yes",PlanterYesMe="Y"),G3788&gt;0),(VLOOKUP(A3788,'Discount Lookup'!J:K,2)*G3788*(1-PlanterDiscount)*(1+PlanterDifficultyPercentage)),IF(AE3788="ELP",(VLOOKUP(A3788,'Discount Lookup'!J:K,2)*G3788*(1-PlanterDiscount)*(1+PlanterDifficultyPercentage)),IF(AE3788="free","re-planting",IF(G3788=0,"",IF(PlanterYesMe="",IF(AE3788="me","   not ELP, by",IF(AE3788="",IF(G3788&gt;0,(VLOOKUP(A3788,'Discount Lookup'!J:K,2)*G3788*(1-PlanterDiscount)*(1+PlanterDifficultyPercentage)),""),"")),"   not ELP, by"))))))))))))))</f>
        <v/>
      </c>
      <c r="AD3788" s="712"/>
      <c r="AE3788" s="513" t="str">
        <f t="shared" si="2823"/>
        <v/>
      </c>
      <c r="AF3788" s="713" t="str">
        <f t="shared" si="2824"/>
        <v/>
      </c>
      <c r="AG3788" s="713"/>
      <c r="AH3788" s="713"/>
      <c r="AI3788" s="112">
        <f>IF(H3788="credit",0,IF(AE3788="free",0,IF(AE3788="me",0,IF(G3788&gt;0,(VLOOKUP(A3788,'Discount Lookup'!J:K,2)*G3788),0))))</f>
        <v>0</v>
      </c>
      <c r="AJ3788" s="107" t="str">
        <f t="shared" ca="1" si="2825"/>
        <v/>
      </c>
      <c r="AK3788" s="714" t="str">
        <f t="shared" si="2826"/>
        <v/>
      </c>
      <c r="AL3788" s="714"/>
      <c r="AM3788" s="114" t="str">
        <f t="shared" si="2827"/>
        <v/>
      </c>
      <c r="AN3788" s="115"/>
      <c r="AO3788" s="116"/>
      <c r="AP3788" s="116"/>
      <c r="AQ3788" s="116"/>
      <c r="AR3788" s="116"/>
      <c r="AS3788" s="116"/>
      <c r="AT3788" s="116"/>
      <c r="AU3788" s="116"/>
      <c r="AV3788" s="78"/>
      <c r="AW3788" s="102"/>
      <c r="AX3788" s="78"/>
      <c r="AY3788" s="78"/>
      <c r="AZ3788" s="78"/>
      <c r="BA3788" s="78"/>
      <c r="BB3788" s="78"/>
      <c r="BC3788" s="78"/>
      <c r="BD3788" s="78"/>
      <c r="BE3788" s="465"/>
      <c r="BF3788" s="165" t="str">
        <f t="shared" si="2828"/>
        <v>https://www.google.com/search?tbm=isch&amp;q=Salix%20babylonica%20Weeping%20Willow</v>
      </c>
      <c r="BG3788" s="165" t="str">
        <f t="shared" si="2829"/>
        <v>S</v>
      </c>
      <c r="BH3788" s="65"/>
      <c r="BI3788" s="65"/>
      <c r="BJ3788" s="65"/>
      <c r="BK3788" s="65"/>
      <c r="BL3788" s="99"/>
      <c r="BM3788" s="99"/>
      <c r="BN3788" s="99"/>
    </row>
    <row r="3789" spans="1:66" s="51" customFormat="1" ht="27" x14ac:dyDescent="0.25">
      <c r="A3789" s="634">
        <v>7</v>
      </c>
      <c r="B3789" s="635" t="s">
        <v>291</v>
      </c>
      <c r="C3789" s="636" t="s">
        <v>4161</v>
      </c>
      <c r="D3789" s="637" t="s">
        <v>299</v>
      </c>
      <c r="E3789" s="638">
        <v>95.95</v>
      </c>
      <c r="F3789" s="639" t="s">
        <v>292</v>
      </c>
      <c r="G3789" s="484">
        <v>0</v>
      </c>
      <c r="H3789" s="691" t="str">
        <f>IF(G3789=0,"",IF(F3789="Buy",IF(G3789=1,"plant","plants"),IF(F3789&gt;0.01,"warranty","Error")))</f>
        <v/>
      </c>
      <c r="I3789" s="640">
        <f>IF(H3789="free",0,IF(H3789="credit",((E3789*(F3789))*G3789*-1),IF(F3789="Buy",(E3789*G3789),((E3789*(1-F3789))*G3789))))</f>
        <v>0</v>
      </c>
      <c r="J3789" s="640">
        <f>IF(H3789="warranty",0,(I3789*(_xlfn.SINGLE(SalesTaxPercentage))))</f>
        <v>0</v>
      </c>
      <c r="K3789" s="716">
        <f t="shared" ref="K3789" si="2853">I3789+J3789</f>
        <v>0</v>
      </c>
      <c r="L3789" s="716"/>
      <c r="M3789" s="689" t="str">
        <f ca="1">IF(AND(G3789&gt;0,E3789=0),"WARNING - no PRICE inserted",IF(H3789="free","FREE ~ no charge this plant",IF(H3789="credit",CONCATENATE("-$",ROUND(K3789*(1-_xlfn.SINGLE(T2GDiscount))*-1,2)," CREDIT after discount"),IF(_xlfn.SINGLE(T2GDiscount)=0,"",IF(G3789=0,"",IF(F3789="Buy",CONCATENATE("$",ROUND(K3789*(1-_xlfn.SINGLE(T2GDiscount)),2)," with ",(_xlfn.SINGLE(T2GDiscount)*100),"% discount"),CONCATENATE("$",ROUND(K3789*(1-_xlfn.SINGLE(T2GDiscount)),2)," with ",((_xlfn.SINGLE(T2GDiscount)*100+F3789*100)-(_xlfn.SINGLE(T2GDiscount)*100*F3789)),IF(F3789&gt;0,"% discounts",IF(_xlfn.SINGLE(NoWarrantyDiscount)&gt;0,"% discounts","% discount")))))))))</f>
        <v/>
      </c>
      <c r="N3789" s="690"/>
      <c r="O3789" s="486"/>
      <c r="P3789" s="486"/>
      <c r="Q3789" s="486"/>
      <c r="R3789" s="486"/>
      <c r="S3789" s="486"/>
      <c r="T3789" s="102">
        <f t="shared" si="2817"/>
        <v>0</v>
      </c>
      <c r="U3789" s="78">
        <f>IF(NOT(ISNUMBER(G3789)), "", VLOOKUP(A3789,'Discount Lookup'!D:E,2,FALSE)*G3789)</f>
        <v>0</v>
      </c>
      <c r="V3789" s="78">
        <f>IF(NOT(ISNUMBER(G3789)), "", VLOOKUP(A3789,'Discount Lookup'!G:H,2,FALSE)*G3789)</f>
        <v>0</v>
      </c>
      <c r="W3789" s="102">
        <f t="shared" si="2818"/>
        <v>0</v>
      </c>
      <c r="X3789" s="102">
        <f t="shared" si="2819"/>
        <v>0</v>
      </c>
      <c r="Y3789" s="120" t="b">
        <f t="shared" si="2820"/>
        <v>0</v>
      </c>
      <c r="Z3789" s="117">
        <f t="shared" si="2821"/>
        <v>0</v>
      </c>
      <c r="AA3789" s="118"/>
      <c r="AB3789" s="118" t="str">
        <f t="shared" si="2822"/>
        <v/>
      </c>
      <c r="AC3789" s="712" t="str">
        <f>IF(AE3789="T2G","no charge",IF(AND(OR(PlanterYesMe="No",PlanterYesMe="N",PlanterYesMe="me"),H3789=""),"",IF(H3789="credit","NO install",IF(AND(K3789="",AE3789="me"),"EACH row",IF(AND(K3789="images",AE3789="me"),"EACH row",IF(D3789="","",IF(H3789="credit","",IF(AE3789="free","re-planting",IF(AE3789="me","   not ELP, by",IF(AND(OR(PlanterYesMe="Yes",PlanterYesMe="Y"),G3789&gt;0),(VLOOKUP(A3789,'Discount Lookup'!J:K,2)*G3789*(1-PlanterDiscount)*(1+PlanterDifficultyPercentage)),IF(AE3789="ELP",(VLOOKUP(A3789,'Discount Lookup'!J:K,2)*G3789*(1-PlanterDiscount)*(1+PlanterDifficultyPercentage)),IF(AE3789="free","re-planting",IF(G3789=0,"",IF(PlanterYesMe="",IF(AE3789="me","   not ELP, by",IF(AE3789="",IF(G3789&gt;0,(VLOOKUP(A3789,'Discount Lookup'!J:K,2)*G3789*(1-PlanterDiscount)*(1+PlanterDifficultyPercentage)),""),"")),"   not ELP, by"))))))))))))))</f>
        <v/>
      </c>
      <c r="AD3789" s="712"/>
      <c r="AE3789" s="513" t="str">
        <f t="shared" si="2823"/>
        <v/>
      </c>
      <c r="AF3789" s="713" t="str">
        <f t="shared" si="2824"/>
        <v/>
      </c>
      <c r="AG3789" s="713"/>
      <c r="AH3789" s="713"/>
      <c r="AI3789" s="112">
        <f>IF(H3789="credit",0,IF(AE3789="free",0,IF(AE3789="me",0,IF(G3789&gt;0,(VLOOKUP(A3789,'Discount Lookup'!J:K,2)*G3789),0))))</f>
        <v>0</v>
      </c>
      <c r="AJ3789" s="107" t="str">
        <f t="shared" ca="1" si="2825"/>
        <v/>
      </c>
      <c r="AK3789" s="714" t="str">
        <f t="shared" si="2826"/>
        <v/>
      </c>
      <c r="AL3789" s="714"/>
      <c r="AM3789" s="114" t="str">
        <f t="shared" si="2827"/>
        <v/>
      </c>
      <c r="AN3789" s="115"/>
      <c r="AO3789" s="116"/>
      <c r="AP3789" s="116"/>
      <c r="AQ3789" s="116"/>
      <c r="AR3789" s="116"/>
      <c r="AS3789" s="116"/>
      <c r="AT3789" s="116"/>
      <c r="AU3789" s="116"/>
      <c r="AV3789" s="78"/>
      <c r="AW3789" s="102"/>
      <c r="AX3789" s="78"/>
      <c r="AY3789" s="78"/>
      <c r="AZ3789" s="78"/>
      <c r="BA3789" s="78"/>
      <c r="BB3789" s="78"/>
      <c r="BC3789" s="78"/>
      <c r="BD3789" s="78"/>
      <c r="BE3789" s="465"/>
      <c r="BF3789" s="165" t="str">
        <f t="shared" si="2828"/>
        <v>https://www.google.com/search?tbm=isch&amp;q=7%20G4</v>
      </c>
      <c r="BG3789" s="165" t="str">
        <f t="shared" si="2829"/>
        <v>S</v>
      </c>
      <c r="BH3789" s="65"/>
      <c r="BI3789" s="65"/>
      <c r="BJ3789" s="65"/>
      <c r="BK3789" s="65"/>
      <c r="BL3789" s="99"/>
      <c r="BM3789" s="99"/>
      <c r="BN3789" s="99"/>
    </row>
    <row r="3790" spans="1:66" s="51" customFormat="1" ht="27" x14ac:dyDescent="0.25">
      <c r="A3790" s="634">
        <v>15</v>
      </c>
      <c r="B3790" s="635" t="s">
        <v>291</v>
      </c>
      <c r="C3790" s="636" t="s">
        <v>4162</v>
      </c>
      <c r="D3790" s="637" t="s">
        <v>299</v>
      </c>
      <c r="E3790" s="638">
        <v>160.94999999999999</v>
      </c>
      <c r="F3790" s="639" t="s">
        <v>292</v>
      </c>
      <c r="G3790" s="484">
        <v>0</v>
      </c>
      <c r="H3790" s="691" t="str">
        <f>IF(G3790=0,"",IF(F3790="Buy",IF(G3790=1,"plant","plants"),IF(F3790&gt;0.01,"warranty","Error")))</f>
        <v/>
      </c>
      <c r="I3790" s="640">
        <f>IF(H3790="free",0,IF(H3790="credit",((E3790*(F3790))*G3790*-1),IF(F3790="Buy",(E3790*G3790),((E3790*(1-F3790))*G3790))))</f>
        <v>0</v>
      </c>
      <c r="J3790" s="640">
        <f>IF(H3790="warranty",0,(I3790*(_xlfn.SINGLE(SalesTaxPercentage))))</f>
        <v>0</v>
      </c>
      <c r="K3790" s="716">
        <f t="shared" ref="K3790" si="2854">I3790+J3790</f>
        <v>0</v>
      </c>
      <c r="L3790" s="716"/>
      <c r="M3790" s="689" t="str">
        <f ca="1">IF(AND(G3790&gt;0,E3790=0),"WARNING - no PRICE inserted",IF(H3790="free","FREE ~ no charge this plant",IF(H3790="credit",CONCATENATE("-$",ROUND(K3790*(1-_xlfn.SINGLE(T2GDiscount))*-1,2)," CREDIT after discount"),IF(_xlfn.SINGLE(T2GDiscount)=0,"",IF(G3790=0,"",IF(F3790="Buy",CONCATENATE("$",ROUND(K3790*(1-_xlfn.SINGLE(T2GDiscount)),2)," with ",(_xlfn.SINGLE(T2GDiscount)*100),"% discount"),CONCATENATE("$",ROUND(K3790*(1-_xlfn.SINGLE(T2GDiscount)),2)," with ",((_xlfn.SINGLE(T2GDiscount)*100+F3790*100)-(_xlfn.SINGLE(T2GDiscount)*100*F3790)),IF(F3790&gt;0,"% discounts",IF(_xlfn.SINGLE(NoWarrantyDiscount)&gt;0,"% discounts","% discount")))))))))</f>
        <v/>
      </c>
      <c r="N3790" s="690"/>
      <c r="O3790" s="486"/>
      <c r="P3790" s="486"/>
      <c r="Q3790" s="486"/>
      <c r="R3790" s="486"/>
      <c r="S3790" s="486"/>
      <c r="T3790" s="102">
        <f t="shared" si="2817"/>
        <v>0</v>
      </c>
      <c r="U3790" s="78">
        <f>IF(NOT(ISNUMBER(G3790)), "", VLOOKUP(A3790,'Discount Lookup'!D:E,2,FALSE)*G3790)</f>
        <v>0</v>
      </c>
      <c r="V3790" s="78">
        <f>IF(NOT(ISNUMBER(G3790)), "", VLOOKUP(A3790,'Discount Lookup'!G:H,2,FALSE)*G3790)</f>
        <v>0</v>
      </c>
      <c r="W3790" s="102">
        <f t="shared" si="2818"/>
        <v>0</v>
      </c>
      <c r="X3790" s="102">
        <f t="shared" si="2819"/>
        <v>0</v>
      </c>
      <c r="Y3790" s="120" t="b">
        <f t="shared" si="2820"/>
        <v>0</v>
      </c>
      <c r="Z3790" s="117">
        <f t="shared" si="2821"/>
        <v>0</v>
      </c>
      <c r="AA3790" s="118"/>
      <c r="AB3790" s="118" t="str">
        <f t="shared" si="2822"/>
        <v/>
      </c>
      <c r="AC3790" s="712" t="str">
        <f>IF(AE3790="T2G","no charge",IF(AND(OR(PlanterYesMe="No",PlanterYesMe="N",PlanterYesMe="me"),H3790=""),"",IF(H3790="credit","NO install",IF(AND(K3790="",AE3790="me"),"EACH row",IF(AND(K3790="images",AE3790="me"),"EACH row",IF(D3790="","",IF(H3790="credit","",IF(AE3790="free","re-planting",IF(AE3790="me","   not ELP, by",IF(AND(OR(PlanterYesMe="Yes",PlanterYesMe="Y"),G3790&gt;0),(VLOOKUP(A3790,'Discount Lookup'!J:K,2)*G3790*(1-PlanterDiscount)*(1+PlanterDifficultyPercentage)),IF(AE3790="ELP",(VLOOKUP(A3790,'Discount Lookup'!J:K,2)*G3790*(1-PlanterDiscount)*(1+PlanterDifficultyPercentage)),IF(AE3790="free","re-planting",IF(G3790=0,"",IF(PlanterYesMe="",IF(AE3790="me","   not ELP, by",IF(AE3790="",IF(G3790&gt;0,(VLOOKUP(A3790,'Discount Lookup'!J:K,2)*G3790*(1-PlanterDiscount)*(1+PlanterDifficultyPercentage)),""),"")),"   not ELP, by"))))))))))))))</f>
        <v/>
      </c>
      <c r="AD3790" s="712"/>
      <c r="AE3790" s="513" t="str">
        <f t="shared" si="2823"/>
        <v/>
      </c>
      <c r="AF3790" s="713" t="str">
        <f t="shared" si="2824"/>
        <v/>
      </c>
      <c r="AG3790" s="713"/>
      <c r="AH3790" s="713"/>
      <c r="AI3790" s="112">
        <f>IF(H3790="credit",0,IF(AE3790="free",0,IF(AE3790="me",0,IF(G3790&gt;0,(VLOOKUP(A3790,'Discount Lookup'!J:K,2)*G3790),0))))</f>
        <v>0</v>
      </c>
      <c r="AJ3790" s="107" t="str">
        <f t="shared" ca="1" si="2825"/>
        <v/>
      </c>
      <c r="AK3790" s="714" t="str">
        <f t="shared" si="2826"/>
        <v/>
      </c>
      <c r="AL3790" s="714"/>
      <c r="AM3790" s="114" t="str">
        <f t="shared" si="2827"/>
        <v/>
      </c>
      <c r="AN3790" s="115"/>
      <c r="AO3790" s="116"/>
      <c r="AP3790" s="116"/>
      <c r="AQ3790" s="116"/>
      <c r="AR3790" s="116"/>
      <c r="AS3790" s="116"/>
      <c r="AT3790" s="116"/>
      <c r="AU3790" s="116"/>
      <c r="AV3790" s="78"/>
      <c r="AW3790" s="102"/>
      <c r="AX3790" s="78"/>
      <c r="AY3790" s="78"/>
      <c r="AZ3790" s="78"/>
      <c r="BA3790" s="78"/>
      <c r="BB3790" s="78"/>
      <c r="BC3790" s="78"/>
      <c r="BD3790" s="78"/>
      <c r="BE3790" s="465"/>
      <c r="BF3790" s="165" t="str">
        <f t="shared" si="2828"/>
        <v>https://www.google.com/search?tbm=isch&amp;q=15%20G4</v>
      </c>
      <c r="BG3790" s="165" t="str">
        <f t="shared" si="2829"/>
        <v>S</v>
      </c>
      <c r="BH3790" s="65"/>
      <c r="BI3790" s="65"/>
      <c r="BJ3790" s="65"/>
      <c r="BK3790" s="65"/>
      <c r="BL3790" s="99"/>
      <c r="BM3790" s="99"/>
      <c r="BN3790" s="99"/>
    </row>
    <row r="3791" spans="1:66" s="51" customFormat="1" ht="15.75" x14ac:dyDescent="0.25">
      <c r="A3791" s="634">
        <v>25</v>
      </c>
      <c r="B3791" s="635" t="s">
        <v>291</v>
      </c>
      <c r="C3791" s="636" t="s">
        <v>4163</v>
      </c>
      <c r="D3791" s="637" t="s">
        <v>299</v>
      </c>
      <c r="E3791" s="638">
        <v>284.95</v>
      </c>
      <c r="F3791" s="639" t="s">
        <v>292</v>
      </c>
      <c r="G3791" s="484">
        <v>0</v>
      </c>
      <c r="H3791" s="691" t="str">
        <f>IF(G3791=0,"",IF(F3791="Buy",IF(G3791=1,"plant","plants"),IF(F3791&gt;0.01,"warranty","Error")))</f>
        <v/>
      </c>
      <c r="I3791" s="640">
        <f>IF(H3791="free",0,IF(H3791="credit",((E3791*(F3791))*G3791*-1),IF(F3791="Buy",(E3791*G3791),((E3791*(1-F3791))*G3791))))</f>
        <v>0</v>
      </c>
      <c r="J3791" s="640">
        <f>IF(H3791="warranty",0,(I3791*(_xlfn.SINGLE(SalesTaxPercentage))))</f>
        <v>0</v>
      </c>
      <c r="K3791" s="716">
        <f t="shared" ref="K3791" si="2855">I3791+J3791</f>
        <v>0</v>
      </c>
      <c r="L3791" s="716"/>
      <c r="M3791" s="689" t="str">
        <f ca="1">IF(AND(G3791&gt;0,E3791=0),"WARNING - no PRICE inserted",IF(H3791="free","FREE ~ no charge this plant",IF(H3791="credit",CONCATENATE("-$",ROUND(K3791*(1-_xlfn.SINGLE(T2GDiscount))*-1,2)," CREDIT after discount"),IF(_xlfn.SINGLE(T2GDiscount)=0,"",IF(G3791=0,"",IF(F3791="Buy",CONCATENATE("$",ROUND(K3791*(1-_xlfn.SINGLE(T2GDiscount)),2)," with ",(_xlfn.SINGLE(T2GDiscount)*100),"% discount"),CONCATENATE("$",ROUND(K3791*(1-_xlfn.SINGLE(T2GDiscount)),2)," with ",((_xlfn.SINGLE(T2GDiscount)*100+F3791*100)-(_xlfn.SINGLE(T2GDiscount)*100*F3791)),IF(F3791&gt;0,"% discounts",IF(_xlfn.SINGLE(NoWarrantyDiscount)&gt;0,"% discounts","% discount")))))))))</f>
        <v/>
      </c>
      <c r="N3791" s="690"/>
      <c r="O3791" s="486"/>
      <c r="P3791" s="486"/>
      <c r="Q3791" s="486"/>
      <c r="R3791" s="486"/>
      <c r="S3791" s="486"/>
      <c r="T3791" s="102">
        <f t="shared" si="2817"/>
        <v>0</v>
      </c>
      <c r="U3791" s="78">
        <f>IF(NOT(ISNUMBER(G3791)), "", VLOOKUP(A3791,'Discount Lookup'!D:E,2,FALSE)*G3791)</f>
        <v>0</v>
      </c>
      <c r="V3791" s="78">
        <f>IF(NOT(ISNUMBER(G3791)), "", VLOOKUP(A3791,'Discount Lookup'!G:H,2,FALSE)*G3791)</f>
        <v>0</v>
      </c>
      <c r="W3791" s="102">
        <f t="shared" si="2818"/>
        <v>0</v>
      </c>
      <c r="X3791" s="102">
        <f t="shared" si="2819"/>
        <v>0</v>
      </c>
      <c r="Y3791" s="120" t="b">
        <f t="shared" si="2820"/>
        <v>0</v>
      </c>
      <c r="Z3791" s="117">
        <f t="shared" si="2821"/>
        <v>0</v>
      </c>
      <c r="AA3791" s="118"/>
      <c r="AB3791" s="118" t="str">
        <f t="shared" si="2822"/>
        <v/>
      </c>
      <c r="AC3791" s="712" t="str">
        <f>IF(AE3791="T2G","no charge",IF(AND(OR(PlanterYesMe="No",PlanterYesMe="N",PlanterYesMe="me"),H3791=""),"",IF(H3791="credit","NO install",IF(AND(K3791="",AE3791="me"),"EACH row",IF(AND(K3791="images",AE3791="me"),"EACH row",IF(D3791="","",IF(H3791="credit","",IF(AE3791="free","re-planting",IF(AE3791="me","   not ELP, by",IF(AND(OR(PlanterYesMe="Yes",PlanterYesMe="Y"),G3791&gt;0),(VLOOKUP(A3791,'Discount Lookup'!J:K,2)*G3791*(1-PlanterDiscount)*(1+PlanterDifficultyPercentage)),IF(AE3791="ELP",(VLOOKUP(A3791,'Discount Lookup'!J:K,2)*G3791*(1-PlanterDiscount)*(1+PlanterDifficultyPercentage)),IF(AE3791="free","re-planting",IF(G3791=0,"",IF(PlanterYesMe="",IF(AE3791="me","   not ELP, by",IF(AE3791="",IF(G3791&gt;0,(VLOOKUP(A3791,'Discount Lookup'!J:K,2)*G3791*(1-PlanterDiscount)*(1+PlanterDifficultyPercentage)),""),"")),"   not ELP, by"))))))))))))))</f>
        <v/>
      </c>
      <c r="AD3791" s="712"/>
      <c r="AE3791" s="513" t="str">
        <f t="shared" si="2823"/>
        <v/>
      </c>
      <c r="AF3791" s="713" t="str">
        <f t="shared" si="2824"/>
        <v/>
      </c>
      <c r="AG3791" s="713"/>
      <c r="AH3791" s="713"/>
      <c r="AI3791" s="112">
        <f>IF(H3791="credit",0,IF(AE3791="free",0,IF(AE3791="me",0,IF(G3791&gt;0,(VLOOKUP(A3791,'Discount Lookup'!J:K,2)*G3791),0))))</f>
        <v>0</v>
      </c>
      <c r="AJ3791" s="107" t="str">
        <f t="shared" ca="1" si="2825"/>
        <v/>
      </c>
      <c r="AK3791" s="714" t="str">
        <f t="shared" si="2826"/>
        <v/>
      </c>
      <c r="AL3791" s="714"/>
      <c r="AM3791" s="114" t="str">
        <f t="shared" si="2827"/>
        <v/>
      </c>
      <c r="AN3791" s="115"/>
      <c r="AO3791" s="116"/>
      <c r="AP3791" s="116"/>
      <c r="AQ3791" s="116"/>
      <c r="AR3791" s="116"/>
      <c r="AS3791" s="116"/>
      <c r="AT3791" s="116"/>
      <c r="AU3791" s="116"/>
      <c r="AV3791" s="78"/>
      <c r="AW3791" s="102"/>
      <c r="AX3791" s="78"/>
      <c r="AY3791" s="78"/>
      <c r="AZ3791" s="78"/>
      <c r="BA3791" s="78"/>
      <c r="BB3791" s="78"/>
      <c r="BC3791" s="78"/>
      <c r="BD3791" s="78"/>
      <c r="BE3791" s="465"/>
      <c r="BF3791" s="165" t="str">
        <f t="shared" si="2828"/>
        <v>https://www.google.com/search?tbm=isch&amp;q=25%20G4</v>
      </c>
      <c r="BG3791" s="165" t="str">
        <f t="shared" si="2829"/>
        <v>S</v>
      </c>
      <c r="BH3791" s="65"/>
      <c r="BI3791" s="65"/>
      <c r="BJ3791" s="65"/>
      <c r="BK3791" s="65"/>
      <c r="BL3791" s="99"/>
      <c r="BM3791" s="99"/>
      <c r="BN3791" s="99"/>
    </row>
    <row r="3792" spans="1:66" s="51" customFormat="1" ht="15.75" x14ac:dyDescent="0.25">
      <c r="A3792" s="634">
        <v>65</v>
      </c>
      <c r="B3792" s="635" t="s">
        <v>291</v>
      </c>
      <c r="C3792" s="636" t="s">
        <v>4164</v>
      </c>
      <c r="D3792" s="637" t="s">
        <v>299</v>
      </c>
      <c r="E3792" s="638">
        <v>666.95</v>
      </c>
      <c r="F3792" s="639" t="s">
        <v>292</v>
      </c>
      <c r="G3792" s="484">
        <v>0</v>
      </c>
      <c r="H3792" s="691" t="str">
        <f>IF(G3792=0,"",IF(F3792="Buy",IF(G3792=1,"plant","plants"),IF(F3792&gt;0.01,"warranty","Error")))</f>
        <v/>
      </c>
      <c r="I3792" s="640">
        <f>IF(H3792="free",0,IF(H3792="credit",((E3792*(F3792))*G3792*-1),IF(F3792="Buy",(E3792*G3792),((E3792*(1-F3792))*G3792))))</f>
        <v>0</v>
      </c>
      <c r="J3792" s="640">
        <f>IF(H3792="warranty",0,(I3792*(_xlfn.SINGLE(SalesTaxPercentage))))</f>
        <v>0</v>
      </c>
      <c r="K3792" s="716">
        <f t="shared" ref="K3792" si="2856">I3792+J3792</f>
        <v>0</v>
      </c>
      <c r="L3792" s="716"/>
      <c r="M3792" s="689" t="str">
        <f ca="1">IF(AND(G3792&gt;0,E3792=0),"WARNING - no PRICE inserted",IF(H3792="free","FREE ~ no charge this plant",IF(H3792="credit",CONCATENATE("-$",ROUND(K3792*(1-_xlfn.SINGLE(T2GDiscount))*-1,2)," CREDIT after discount"),IF(_xlfn.SINGLE(T2GDiscount)=0,"",IF(G3792=0,"",IF(F3792="Buy",CONCATENATE("$",ROUND(K3792*(1-_xlfn.SINGLE(T2GDiscount)),2)," with ",(_xlfn.SINGLE(T2GDiscount)*100),"% discount"),CONCATENATE("$",ROUND(K3792*(1-_xlfn.SINGLE(T2GDiscount)),2)," with ",((_xlfn.SINGLE(T2GDiscount)*100+F3792*100)-(_xlfn.SINGLE(T2GDiscount)*100*F3792)),IF(F3792&gt;0,"% discounts",IF(_xlfn.SINGLE(NoWarrantyDiscount)&gt;0,"% discounts","% discount")))))))))</f>
        <v/>
      </c>
      <c r="N3792" s="690"/>
      <c r="O3792" s="486"/>
      <c r="P3792" s="486"/>
      <c r="Q3792" s="486"/>
      <c r="R3792" s="486"/>
      <c r="S3792" s="486"/>
      <c r="T3792" s="102">
        <f t="shared" si="2817"/>
        <v>0</v>
      </c>
      <c r="U3792" s="78">
        <f>IF(NOT(ISNUMBER(G3792)), "", VLOOKUP(A3792,'Discount Lookup'!D:E,2,FALSE)*G3792)</f>
        <v>0</v>
      </c>
      <c r="V3792" s="78">
        <f>IF(NOT(ISNUMBER(G3792)), "", VLOOKUP(A3792,'Discount Lookup'!G:H,2,FALSE)*G3792)</f>
        <v>0</v>
      </c>
      <c r="W3792" s="102">
        <f t="shared" si="2818"/>
        <v>0</v>
      </c>
      <c r="X3792" s="102">
        <f t="shared" si="2819"/>
        <v>0</v>
      </c>
      <c r="Y3792" s="120" t="b">
        <f t="shared" si="2820"/>
        <v>0</v>
      </c>
      <c r="Z3792" s="117">
        <f t="shared" si="2821"/>
        <v>0</v>
      </c>
      <c r="AA3792" s="118"/>
      <c r="AB3792" s="118" t="str">
        <f t="shared" si="2822"/>
        <v/>
      </c>
      <c r="AC3792" s="712" t="str">
        <f>IF(AE3792="T2G","no charge",IF(AND(OR(PlanterYesMe="No",PlanterYesMe="N",PlanterYesMe="me"),H3792=""),"",IF(H3792="credit","NO install",IF(AND(K3792="",AE3792="me"),"EACH row",IF(AND(K3792="images",AE3792="me"),"EACH row",IF(D3792="","",IF(H3792="credit","",IF(AE3792="free","re-planting",IF(AE3792="me","   not ELP, by",IF(AND(OR(PlanterYesMe="Yes",PlanterYesMe="Y"),G3792&gt;0),(VLOOKUP(A3792,'Discount Lookup'!J:K,2)*G3792*(1-PlanterDiscount)*(1+PlanterDifficultyPercentage)),IF(AE3792="ELP",(VLOOKUP(A3792,'Discount Lookup'!J:K,2)*G3792*(1-PlanterDiscount)*(1+PlanterDifficultyPercentage)),IF(AE3792="free","re-planting",IF(G3792=0,"",IF(PlanterYesMe="",IF(AE3792="me","   not ELP, by",IF(AE3792="",IF(G3792&gt;0,(VLOOKUP(A3792,'Discount Lookup'!J:K,2)*G3792*(1-PlanterDiscount)*(1+PlanterDifficultyPercentage)),""),"")),"   not ELP, by"))))))))))))))</f>
        <v/>
      </c>
      <c r="AD3792" s="712"/>
      <c r="AE3792" s="513" t="str">
        <f t="shared" si="2823"/>
        <v/>
      </c>
      <c r="AF3792" s="713" t="str">
        <f t="shared" si="2824"/>
        <v/>
      </c>
      <c r="AG3792" s="713"/>
      <c r="AH3792" s="713"/>
      <c r="AI3792" s="112">
        <f>IF(H3792="credit",0,IF(AE3792="free",0,IF(AE3792="me",0,IF(G3792&gt;0,(VLOOKUP(A3792,'Discount Lookup'!J:K,2)*G3792),0))))</f>
        <v>0</v>
      </c>
      <c r="AJ3792" s="107" t="str">
        <f t="shared" ca="1" si="2825"/>
        <v/>
      </c>
      <c r="AK3792" s="714" t="str">
        <f t="shared" si="2826"/>
        <v/>
      </c>
      <c r="AL3792" s="714"/>
      <c r="AM3792" s="114" t="str">
        <f t="shared" si="2827"/>
        <v/>
      </c>
      <c r="AN3792" s="115"/>
      <c r="AO3792" s="116"/>
      <c r="AP3792" s="116"/>
      <c r="AQ3792" s="116"/>
      <c r="AR3792" s="116"/>
      <c r="AS3792" s="116"/>
      <c r="AT3792" s="116"/>
      <c r="AU3792" s="116"/>
      <c r="AV3792" s="78"/>
      <c r="AW3792" s="102"/>
      <c r="AX3792" s="78"/>
      <c r="AY3792" s="78"/>
      <c r="AZ3792" s="78"/>
      <c r="BA3792" s="78"/>
      <c r="BB3792" s="78"/>
      <c r="BC3792" s="78"/>
      <c r="BD3792" s="78"/>
      <c r="BE3792" s="465"/>
      <c r="BF3792" s="165" t="str">
        <f t="shared" si="2828"/>
        <v>https://www.google.com/search?tbm=isch&amp;q=65%20G4</v>
      </c>
      <c r="BG3792" s="165" t="str">
        <f t="shared" si="2829"/>
        <v>S</v>
      </c>
      <c r="BH3792" s="65"/>
      <c r="BI3792" s="65"/>
      <c r="BJ3792" s="65"/>
      <c r="BK3792" s="65"/>
      <c r="BL3792" s="99"/>
      <c r="BM3792" s="99"/>
      <c r="BN3792" s="99"/>
    </row>
    <row r="3793" spans="1:66" s="51" customFormat="1" ht="17.25" thickBot="1" x14ac:dyDescent="0.3">
      <c r="A3793" s="704" t="s">
        <v>5524</v>
      </c>
      <c r="B3793" s="642"/>
      <c r="C3793" s="710"/>
      <c r="D3793" s="643"/>
      <c r="E3793" s="643"/>
      <c r="F3793" s="644"/>
      <c r="G3793" s="645"/>
      <c r="H3793" s="646"/>
      <c r="I3793" s="647"/>
      <c r="J3793" s="648"/>
      <c r="K3793" s="649"/>
      <c r="L3793" s="650"/>
      <c r="M3793" s="650"/>
      <c r="N3793" s="644"/>
      <c r="O3793" s="644"/>
      <c r="P3793" s="644"/>
      <c r="Q3793" s="644"/>
      <c r="R3793" s="644"/>
      <c r="S3793" s="701" t="s">
        <v>5253</v>
      </c>
      <c r="T3793" s="102">
        <f t="shared" si="2817"/>
        <v>0</v>
      </c>
      <c r="U3793" s="78" t="str">
        <f>IF(NOT(ISNUMBER(G3793)), "", VLOOKUP(A3793,'Discount Lookup'!D:E,2,FALSE)*G3793)</f>
        <v/>
      </c>
      <c r="V3793" s="78" t="str">
        <f>IF(NOT(ISNUMBER(G3793)), "", VLOOKUP(A3793,'Discount Lookup'!G:H,2,FALSE)*G3793)</f>
        <v/>
      </c>
      <c r="W3793" s="102">
        <f t="shared" si="2818"/>
        <v>0</v>
      </c>
      <c r="X3793" s="102">
        <f t="shared" si="2819"/>
        <v>0</v>
      </c>
      <c r="Y3793" s="120" t="b">
        <f t="shared" si="2820"/>
        <v>0</v>
      </c>
      <c r="Z3793" s="117">
        <f t="shared" si="2821"/>
        <v>0</v>
      </c>
      <c r="AA3793" s="118"/>
      <c r="AB3793" s="118" t="str">
        <f t="shared" si="2822"/>
        <v/>
      </c>
      <c r="AC3793" s="712" t="str">
        <f>IF(AE3793="T2G","no charge",IF(AND(OR(PlanterYesMe="No",PlanterYesMe="N",PlanterYesMe="me"),H3793=""),"",IF(H3793="credit","NO install",IF(AND(K3793="",AE3793="me"),"EACH row",IF(AND(K3793="images",AE3793="me"),"EACH row",IF(D3793="","",IF(H3793="credit","",IF(AE3793="free","re-planting",IF(AE3793="me","   not ELP, by",IF(AND(OR(PlanterYesMe="Yes",PlanterYesMe="Y"),G3793&gt;0),(VLOOKUP(A3793,'Discount Lookup'!J:K,2)*G3793*(1-PlanterDiscount)*(1+PlanterDifficultyPercentage)),IF(AE3793="ELP",(VLOOKUP(A3793,'Discount Lookup'!J:K,2)*G3793*(1-PlanterDiscount)*(1+PlanterDifficultyPercentage)),IF(AE3793="free","re-planting",IF(G3793=0,"",IF(PlanterYesMe="",IF(AE3793="me","   not ELP, by",IF(AE3793="",IF(G3793&gt;0,(VLOOKUP(A3793,'Discount Lookup'!J:K,2)*G3793*(1-PlanterDiscount)*(1+PlanterDifficultyPercentage)),""),"")),"   not ELP, by"))))))))))))))</f>
        <v/>
      </c>
      <c r="AD3793" s="712"/>
      <c r="AE3793" s="513" t="str">
        <f t="shared" si="2823"/>
        <v/>
      </c>
      <c r="AF3793" s="713" t="str">
        <f t="shared" si="2824"/>
        <v/>
      </c>
      <c r="AG3793" s="713"/>
      <c r="AH3793" s="713"/>
      <c r="AI3793" s="112">
        <f>IF(H3793="credit",0,IF(AE3793="free",0,IF(AE3793="me",0,IF(G3793&gt;0,(VLOOKUP(A3793,'Discount Lookup'!J:K,2)*G3793),0))))</f>
        <v>0</v>
      </c>
      <c r="AJ3793" s="107" t="str">
        <f t="shared" ca="1" si="2825"/>
        <v/>
      </c>
      <c r="AK3793" s="714" t="str">
        <f t="shared" si="2826"/>
        <v/>
      </c>
      <c r="AL3793" s="714"/>
      <c r="AM3793" s="114" t="str">
        <f t="shared" si="2827"/>
        <v/>
      </c>
      <c r="AN3793" s="115"/>
      <c r="AO3793" s="116"/>
      <c r="AP3793" s="116"/>
      <c r="AQ3793" s="116"/>
      <c r="AR3793" s="116"/>
      <c r="AS3793" s="116"/>
      <c r="AT3793" s="116"/>
      <c r="AU3793" s="116"/>
      <c r="AV3793" s="78"/>
      <c r="AW3793" s="102"/>
      <c r="AX3793" s="78"/>
      <c r="AY3793" s="78"/>
      <c r="AZ3793" s="78"/>
      <c r="BA3793" s="78"/>
      <c r="BB3793" s="78"/>
      <c r="BC3793" s="78"/>
      <c r="BD3793" s="78"/>
      <c r="BE3793" s="465"/>
      <c r="BF3793" s="165" t="str">
        <f t="shared" si="2828"/>
        <v>https://www.google.com/search?tbm=isch&amp;q=wet%20sites%F0%9F%92%A7BEST%2C%20Weeping%20Willow%20should%20be%20planted%20well%20away%20from%20septic%2Fwater%20lines.%20Golden-Yellow%20fall%20foliage%20</v>
      </c>
      <c r="BG3793" s="165" t="str">
        <f t="shared" si="2829"/>
        <v>w</v>
      </c>
      <c r="BH3793" s="65"/>
      <c r="BI3793" s="65"/>
      <c r="BJ3793" s="65"/>
      <c r="BK3793" s="65"/>
      <c r="BL3793" s="99"/>
      <c r="BM3793" s="99"/>
      <c r="BN3793" s="99"/>
    </row>
    <row r="3794" spans="1:66" s="51" customFormat="1" ht="18" x14ac:dyDescent="0.25">
      <c r="A3794" s="623" t="s">
        <v>4165</v>
      </c>
      <c r="B3794" s="624"/>
      <c r="C3794" s="709"/>
      <c r="D3794" s="625" t="s">
        <v>4166</v>
      </c>
      <c r="E3794" s="626"/>
      <c r="F3794" s="626"/>
      <c r="G3794" s="626"/>
      <c r="H3794" s="622" t="s">
        <v>1880</v>
      </c>
      <c r="I3794" s="627" t="s">
        <v>432</v>
      </c>
      <c r="J3794" s="628"/>
      <c r="K3794" s="628"/>
      <c r="L3794" s="629"/>
      <c r="M3794" s="700" t="s">
        <v>5249</v>
      </c>
      <c r="N3794" s="693" t="str">
        <f>IF(AND(ISTEXT($A3794), ISERROR($A3794+0)), HYPERLINK($BF3794, "Images"), "")</f>
        <v>Images</v>
      </c>
      <c r="O3794" s="695" t="s">
        <v>5264</v>
      </c>
      <c r="P3794" s="630"/>
      <c r="Q3794" s="631"/>
      <c r="R3794" s="632"/>
      <c r="S3794" s="633"/>
      <c r="T3794" s="102">
        <f t="shared" si="2817"/>
        <v>0</v>
      </c>
      <c r="U3794" s="78" t="str">
        <f>IF(NOT(ISNUMBER(G3794)), "", VLOOKUP(A3794,'Discount Lookup'!D:E,2,FALSE)*G3794)</f>
        <v/>
      </c>
      <c r="V3794" s="78" t="str">
        <f>IF(NOT(ISNUMBER(G3794)), "", VLOOKUP(A3794,'Discount Lookup'!G:H,2,FALSE)*G3794)</f>
        <v/>
      </c>
      <c r="W3794" s="102">
        <f t="shared" si="2818"/>
        <v>0</v>
      </c>
      <c r="X3794" s="102" t="str">
        <f t="shared" si="2819"/>
        <v>Green foliage</v>
      </c>
      <c r="Y3794" s="120" t="b">
        <f t="shared" si="2820"/>
        <v>0</v>
      </c>
      <c r="Z3794" s="117">
        <f t="shared" si="2821"/>
        <v>0</v>
      </c>
      <c r="AA3794" s="118"/>
      <c r="AB3794" s="118" t="str">
        <f t="shared" si="2822"/>
        <v/>
      </c>
      <c r="AC3794" s="712" t="str">
        <f>IF(AE3794="T2G","no charge",IF(AND(OR(PlanterYesMe="No",PlanterYesMe="N",PlanterYesMe="me"),H3794=""),"",IF(H3794="credit","NO install",IF(AND(K3794="",AE3794="me"),"EACH row",IF(AND(K3794="images",AE3794="me"),"EACH row",IF(D3794="","",IF(H3794="credit","",IF(AE3794="free","re-planting",IF(AE3794="me","   not ELP, by",IF(AND(OR(PlanterYesMe="Yes",PlanterYesMe="Y"),G3794&gt;0),(VLOOKUP(A3794,'Discount Lookup'!J:K,2)*G3794*(1-PlanterDiscount)*(1+PlanterDifficultyPercentage)),IF(AE3794="ELP",(VLOOKUP(A3794,'Discount Lookup'!J:K,2)*G3794*(1-PlanterDiscount)*(1+PlanterDifficultyPercentage)),IF(AE3794="free","re-planting",IF(G3794=0,"",IF(PlanterYesMe="",IF(AE3794="me","   not ELP, by",IF(AE3794="",IF(G3794&gt;0,(VLOOKUP(A3794,'Discount Lookup'!J:K,2)*G3794*(1-PlanterDiscount)*(1+PlanterDifficultyPercentage)),""),"")),"   not ELP, by"))))))))))))))</f>
        <v/>
      </c>
      <c r="AD3794" s="712"/>
      <c r="AE3794" s="513" t="str">
        <f t="shared" si="2823"/>
        <v/>
      </c>
      <c r="AF3794" s="713" t="str">
        <f t="shared" si="2824"/>
        <v/>
      </c>
      <c r="AG3794" s="713"/>
      <c r="AH3794" s="713"/>
      <c r="AI3794" s="112">
        <f>IF(H3794="credit",0,IF(AE3794="free",0,IF(AE3794="me",0,IF(G3794&gt;0,(VLOOKUP(A3794,'Discount Lookup'!J:K,2)*G3794),0))))</f>
        <v>0</v>
      </c>
      <c r="AJ3794" s="107" t="str">
        <f t="shared" ca="1" si="2825"/>
        <v/>
      </c>
      <c r="AK3794" s="714" t="str">
        <f t="shared" si="2826"/>
        <v/>
      </c>
      <c r="AL3794" s="714"/>
      <c r="AM3794" s="114" t="str">
        <f t="shared" si="2827"/>
        <v/>
      </c>
      <c r="AN3794" s="115"/>
      <c r="AO3794" s="116"/>
      <c r="AP3794" s="116"/>
      <c r="AQ3794" s="116"/>
      <c r="AR3794" s="116"/>
      <c r="AS3794" s="116"/>
      <c r="AT3794" s="116"/>
      <c r="AU3794" s="116"/>
      <c r="AV3794" s="78"/>
      <c r="AW3794" s="102"/>
      <c r="AX3794" s="78"/>
      <c r="AY3794" s="78"/>
      <c r="AZ3794" s="78"/>
      <c r="BA3794" s="78"/>
      <c r="BB3794" s="78"/>
      <c r="BC3794" s="78"/>
      <c r="BD3794" s="78"/>
      <c r="BE3794" s="465"/>
      <c r="BF3794" s="165" t="str">
        <f t="shared" si="2828"/>
        <v>https://www.google.com/search?tbm=isch&amp;q=Salix%20caprea%20%27Pendula%27%20Weeping%20Pussy%20Willow</v>
      </c>
      <c r="BG3794" s="165" t="str">
        <f t="shared" si="2829"/>
        <v>S</v>
      </c>
      <c r="BH3794" s="65"/>
      <c r="BI3794" s="65"/>
      <c r="BJ3794" s="65"/>
      <c r="BK3794" s="65"/>
      <c r="BL3794" s="99"/>
      <c r="BM3794" s="99"/>
      <c r="BN3794" s="99"/>
    </row>
    <row r="3795" spans="1:66" s="51" customFormat="1" ht="27" x14ac:dyDescent="0.25">
      <c r="A3795" s="634">
        <v>7</v>
      </c>
      <c r="B3795" s="635" t="s">
        <v>291</v>
      </c>
      <c r="C3795" s="636" t="s">
        <v>4167</v>
      </c>
      <c r="D3795" s="637" t="s">
        <v>299</v>
      </c>
      <c r="E3795" s="638">
        <v>155.94999999999999</v>
      </c>
      <c r="F3795" s="639" t="s">
        <v>292</v>
      </c>
      <c r="G3795" s="484">
        <v>0</v>
      </c>
      <c r="H3795" s="691" t="str">
        <f>IF(G3795=0,"",IF(F3795="Buy",IF(G3795=1,"plant","plants"),IF(F3795&gt;0.01,"warranty","Error")))</f>
        <v/>
      </c>
      <c r="I3795" s="640">
        <f>IF(H3795="free",0,IF(H3795="credit",((E3795*(F3795))*G3795*-1),IF(F3795="Buy",(E3795*G3795),((E3795*(1-F3795))*G3795))))</f>
        <v>0</v>
      </c>
      <c r="J3795" s="640">
        <f>IF(H3795="warranty",0,(I3795*(_xlfn.SINGLE(SalesTaxPercentage))))</f>
        <v>0</v>
      </c>
      <c r="K3795" s="716">
        <f t="shared" ref="K3795" si="2857">I3795+J3795</f>
        <v>0</v>
      </c>
      <c r="L3795" s="716"/>
      <c r="M3795" s="689" t="str">
        <f ca="1">IF(AND(G3795&gt;0,E3795=0),"WARNING - no PRICE inserted",IF(H3795="free","FREE ~ no charge this plant",IF(H3795="credit",CONCATENATE("-$",ROUND(K3795*(1-_xlfn.SINGLE(T2GDiscount))*-1,2)," CREDIT after discount"),IF(_xlfn.SINGLE(T2GDiscount)=0,"",IF(G3795=0,"",IF(F3795="Buy",CONCATENATE("$",ROUND(K3795*(1-_xlfn.SINGLE(T2GDiscount)),2)," with ",(_xlfn.SINGLE(T2GDiscount)*100),"% discount"),CONCATENATE("$",ROUND(K3795*(1-_xlfn.SINGLE(T2GDiscount)),2)," with ",((_xlfn.SINGLE(T2GDiscount)*100+F3795*100)-(_xlfn.SINGLE(T2GDiscount)*100*F3795)),IF(F3795&gt;0,"% discounts",IF(_xlfn.SINGLE(NoWarrantyDiscount)&gt;0,"% discounts","% discount")))))))))</f>
        <v/>
      </c>
      <c r="N3795" s="690"/>
      <c r="O3795" s="486"/>
      <c r="P3795" s="486"/>
      <c r="Q3795" s="486"/>
      <c r="R3795" s="486"/>
      <c r="S3795" s="486"/>
      <c r="T3795" s="102">
        <f t="shared" si="2817"/>
        <v>0</v>
      </c>
      <c r="U3795" s="78">
        <f>IF(NOT(ISNUMBER(G3795)), "", VLOOKUP(A3795,'Discount Lookup'!D:E,2,FALSE)*G3795)</f>
        <v>0</v>
      </c>
      <c r="V3795" s="78">
        <f>IF(NOT(ISNUMBER(G3795)), "", VLOOKUP(A3795,'Discount Lookup'!G:H,2,FALSE)*G3795)</f>
        <v>0</v>
      </c>
      <c r="W3795" s="102">
        <f t="shared" si="2818"/>
        <v>0</v>
      </c>
      <c r="X3795" s="102">
        <f t="shared" si="2819"/>
        <v>0</v>
      </c>
      <c r="Y3795" s="120" t="b">
        <f t="shared" si="2820"/>
        <v>0</v>
      </c>
      <c r="Z3795" s="117">
        <f t="shared" si="2821"/>
        <v>0</v>
      </c>
      <c r="AA3795" s="118"/>
      <c r="AB3795" s="118" t="str">
        <f t="shared" si="2822"/>
        <v/>
      </c>
      <c r="AC3795" s="712" t="str">
        <f>IF(AE3795="T2G","no charge",IF(AND(OR(PlanterYesMe="No",PlanterYesMe="N",PlanterYesMe="me"),H3795=""),"",IF(H3795="credit","NO install",IF(AND(K3795="",AE3795="me"),"EACH row",IF(AND(K3795="images",AE3795="me"),"EACH row",IF(D3795="","",IF(H3795="credit","",IF(AE3795="free","re-planting",IF(AE3795="me","   not ELP, by",IF(AND(OR(PlanterYesMe="Yes",PlanterYesMe="Y"),G3795&gt;0),(VLOOKUP(A3795,'Discount Lookup'!J:K,2)*G3795*(1-PlanterDiscount)*(1+PlanterDifficultyPercentage)),IF(AE3795="ELP",(VLOOKUP(A3795,'Discount Lookup'!J:K,2)*G3795*(1-PlanterDiscount)*(1+PlanterDifficultyPercentage)),IF(AE3795="free","re-planting",IF(G3795=0,"",IF(PlanterYesMe="",IF(AE3795="me","   not ELP, by",IF(AE3795="",IF(G3795&gt;0,(VLOOKUP(A3795,'Discount Lookup'!J:K,2)*G3795*(1-PlanterDiscount)*(1+PlanterDifficultyPercentage)),""),"")),"   not ELP, by"))))))))))))))</f>
        <v/>
      </c>
      <c r="AD3795" s="712"/>
      <c r="AE3795" s="513" t="str">
        <f t="shared" si="2823"/>
        <v/>
      </c>
      <c r="AF3795" s="713" t="str">
        <f t="shared" si="2824"/>
        <v/>
      </c>
      <c r="AG3795" s="713"/>
      <c r="AH3795" s="713"/>
      <c r="AI3795" s="112">
        <f>IF(H3795="credit",0,IF(AE3795="free",0,IF(AE3795="me",0,IF(G3795&gt;0,(VLOOKUP(A3795,'Discount Lookup'!J:K,2)*G3795),0))))</f>
        <v>0</v>
      </c>
      <c r="AJ3795" s="107" t="str">
        <f t="shared" ca="1" si="2825"/>
        <v/>
      </c>
      <c r="AK3795" s="714" t="str">
        <f t="shared" si="2826"/>
        <v/>
      </c>
      <c r="AL3795" s="714"/>
      <c r="AM3795" s="114" t="str">
        <f t="shared" si="2827"/>
        <v/>
      </c>
      <c r="AN3795" s="115"/>
      <c r="AO3795" s="116"/>
      <c r="AP3795" s="116"/>
      <c r="AQ3795" s="116"/>
      <c r="AR3795" s="116"/>
      <c r="AS3795" s="116"/>
      <c r="AT3795" s="116"/>
      <c r="AU3795" s="116"/>
      <c r="AV3795" s="78"/>
      <c r="AW3795" s="102"/>
      <c r="AX3795" s="78"/>
      <c r="AY3795" s="78"/>
      <c r="AZ3795" s="78"/>
      <c r="BA3795" s="78"/>
      <c r="BB3795" s="78"/>
      <c r="BC3795" s="78"/>
      <c r="BD3795" s="78"/>
      <c r="BE3795" s="465"/>
      <c r="BF3795" s="165" t="str">
        <f t="shared" si="2828"/>
        <v>https://www.google.com/search?tbm=isch&amp;q=7%20G4</v>
      </c>
      <c r="BG3795" s="165" t="str">
        <f t="shared" si="2829"/>
        <v>S</v>
      </c>
      <c r="BH3795" s="65"/>
      <c r="BI3795" s="65"/>
      <c r="BJ3795" s="65"/>
      <c r="BK3795" s="65"/>
      <c r="BL3795" s="99"/>
      <c r="BM3795" s="99"/>
      <c r="BN3795" s="99"/>
    </row>
    <row r="3796" spans="1:66" s="51" customFormat="1" ht="17.25" thickBot="1" x14ac:dyDescent="0.3">
      <c r="A3796" s="704" t="s">
        <v>5525</v>
      </c>
      <c r="B3796" s="642"/>
      <c r="C3796" s="710"/>
      <c r="D3796" s="643"/>
      <c r="E3796" s="643"/>
      <c r="F3796" s="644"/>
      <c r="G3796" s="645"/>
      <c r="H3796" s="646"/>
      <c r="I3796" s="647"/>
      <c r="J3796" s="648"/>
      <c r="K3796" s="649"/>
      <c r="L3796" s="650"/>
      <c r="M3796" s="650"/>
      <c r="N3796" s="644"/>
      <c r="O3796" s="644"/>
      <c r="P3796" s="644"/>
      <c r="Q3796" s="644"/>
      <c r="R3796" s="644"/>
      <c r="S3796" s="701" t="s">
        <v>5253</v>
      </c>
      <c r="T3796" s="102">
        <f t="shared" ref="T3796:T3859" si="2858">E3796*G3796</f>
        <v>0</v>
      </c>
      <c r="U3796" s="78" t="str">
        <f>IF(NOT(ISNUMBER(G3796)), "", VLOOKUP(A3796,'Discount Lookup'!D:E,2,FALSE)*G3796)</f>
        <v/>
      </c>
      <c r="V3796" s="78" t="str">
        <f>IF(NOT(ISNUMBER(G3796)), "", VLOOKUP(A3796,'Discount Lookup'!G:H,2,FALSE)*G3796)</f>
        <v/>
      </c>
      <c r="W3796" s="102">
        <f t="shared" ref="W3796:W3859" si="2859">IF(H3796="credit",0,E3796*(SalesTaxPercentage)*G3796)</f>
        <v>0</v>
      </c>
      <c r="X3796" s="102">
        <f t="shared" ref="X3796:X3859" si="2860">I3796</f>
        <v>0</v>
      </c>
      <c r="Y3796" s="120" t="b">
        <f t="shared" ref="Y3796:Y3859" si="2861">IF(AE3796="T2G",0,IF(H3796="credit",0,IF(G3796&gt;0,IF(AE3796="me","",G3796))))</f>
        <v>0</v>
      </c>
      <c r="Z3796" s="117">
        <f t="shared" ref="Z3796:Z3859" si="2862">IF(H3796="credit",G3796,0)</f>
        <v>0</v>
      </c>
      <c r="AA3796" s="118"/>
      <c r="AB3796" s="118" t="str">
        <f t="shared" ref="AB3796:AB3859" si="2863">IF(AE3796="T2G","by Trees2Go",IF(H3796="credit","CREDIT only ~",IF(AND(K3796="",AE3796=OR(PlanterYesMe="No",PlanterYesMe="N",PlanterYesMe="me")),"not THIS line⇨",IF(AND(K3796="images",AE3796="me"),"not THIS line⇨",IF(H3796="credit","",IF(G3796=0,"",IF(AE3796="me","",IF(OR(PlanterYesMe="No",PlanterYesMe="N",PlanterYesMe="me"),"",IF(AE3796="free","warranty",IF(OR(PlanterYesMe="yes",PlanterYesMe="y"),"Edison install:","to install:"))))))))))</f>
        <v/>
      </c>
      <c r="AC3796" s="712" t="str">
        <f>IF(AE3796="T2G","no charge",IF(AND(OR(PlanterYesMe="No",PlanterYesMe="N",PlanterYesMe="me"),H3796=""),"",IF(H3796="credit","NO install",IF(AND(K3796="",AE3796="me"),"EACH row",IF(AND(K3796="images",AE3796="me"),"EACH row",IF(D3796="","",IF(H3796="credit","",IF(AE3796="free","re-planting",IF(AE3796="me","   not ELP, by",IF(AND(OR(PlanterYesMe="Yes",PlanterYesMe="Y"),G3796&gt;0),(VLOOKUP(A3796,'Discount Lookup'!J:K,2)*G3796*(1-PlanterDiscount)*(1+PlanterDifficultyPercentage)),IF(AE3796="ELP",(VLOOKUP(A3796,'Discount Lookup'!J:K,2)*G3796*(1-PlanterDiscount)*(1+PlanterDifficultyPercentage)),IF(AE3796="free","re-planting",IF(G3796=0,"",IF(PlanterYesMe="",IF(AE3796="me","   not ELP, by",IF(AE3796="",IF(G3796&gt;0,(VLOOKUP(A3796,'Discount Lookup'!J:K,2)*G3796*(1-PlanterDiscount)*(1+PlanterDifficultyPercentage)),""),"")),"   not ELP, by"))))))))))))))</f>
        <v/>
      </c>
      <c r="AD3796" s="712"/>
      <c r="AE3796" s="513" t="str">
        <f t="shared" ref="AE3796:AE3859" si="2864">IF(H3796="credit","",IF(G3796=0,"",IF(OR(PlanterYesMe="No",PlanterYesMe="N",PlanterYesMe="me"),"me",IF(H3796="warranty","free",IF(OR(PlanterYesMe="yes",PlanterYesMe="y"),"ELP","")))))</f>
        <v/>
      </c>
      <c r="AF3796" s="713" t="str">
        <f t="shared" ref="AF3796:AF3859" si="2865">IF(OR(PlanterYesMe="No",PlanterYesMe="N",PlanterYesMe="me"),"",IF(H3796="credit","",IF(G3796&gt;0,(CONCATENATE((G3796)," quantity, ",(A3796)," ",B3796)),"")))</f>
        <v/>
      </c>
      <c r="AG3796" s="713"/>
      <c r="AH3796" s="713"/>
      <c r="AI3796" s="112">
        <f>IF(H3796="credit",0,IF(AE3796="free",0,IF(AE3796="me",0,IF(G3796&gt;0,(VLOOKUP(A3796,'Discount Lookup'!J:K,2)*G3796),0))))</f>
        <v>0</v>
      </c>
      <c r="AJ3796" s="107" t="str">
        <f t="shared" ref="AJ3796:AJ3859" ca="1" si="2866">IF(AND(ISREF(H3796),H3796="credit"),"",IF(AND(AND(OFFSET(G3796,0,0)=0,OFFSET(G3796,1,0)&gt;0,ISNUMBER(OFFSET(AC3796,1,0)),OFFSET(AC3796,1,0)&gt;0),OR(PlanterYesMe="yes",PlanterYesMe="y")),"T2G+ELP=",IF(AND(OFFSET(G3796,0,0)=0,OFFSET(G3796,1,0)&gt;0,ISNUMBER(OFFSET(AC3796,1,0)),OFFSET(AC3796,1,0)&gt;0),"if T2G+ELP=",IF(AND(OFFSET(G3796,0,0)=0,OFFSET(G3796,1,0)&gt;0),"T2G Subtotal",IF(H3796="credit","",IF(G3796=0,"",IF(AE3796="free",(K3796*(1-T2GDiscount)),IF(OR(PlanterYesMe="No",PlanterYesMe="N",PlanterYesMe="me"),(K3796*(1-T2GDiscount)),IF(OR(AE3796="me",AE3796="T2G"),(K3796*(1-T2GDiscount)),(K3796*(1-T2GDiscount))+AC3796)))))))))</f>
        <v/>
      </c>
      <c r="AK3796" s="714" t="str">
        <f t="shared" ref="AK3796:AK3859" si="2867">IF(H3796="credit","",IF(G3796=0,"",IF(OR(AE3796="me",AE3796="T2G"),"  delivery-only",IF(OR(PlanterYesMe="No",PlanterYesMe="N",PlanterYesMe="me"),"  delivery-only",CONCATENATE(" $",ROUND(AJ3796/G3796,2)," each")))))</f>
        <v/>
      </c>
      <c r="AL3796" s="714"/>
      <c r="AM3796" s="114" t="str">
        <f t="shared" ref="AM3796:AM3859" si="2868">IF(H3796="credit","",IF(AE3796="free","      ~ discounts included, no tax or planting fee applies ~",IF(G3796=0,"",IF(OR(PlanterYesMe="No",PlanterYesMe="N",PlanterYesMe="me"),CONCATENATE(" $",ROUND(AJ3796/G3796,2)," per plant, with tax &amp; discount"),IF(OR(AE3796="me",AE3796="T2G"),CONCATENATE(" $",ROUND(AJ3796/G3796,2)," per plant, with tax &amp; discount"),CONCATENATE("= $",ROUND((K3796*(1-T2GDiscount))/G3796,2)," per plant + $",AC3796/G3796,(" per planting      ~ includes tax &amp; discounts ~")))))))</f>
        <v/>
      </c>
      <c r="AN3796" s="115"/>
      <c r="AO3796" s="116"/>
      <c r="AP3796" s="116"/>
      <c r="AQ3796" s="116"/>
      <c r="AR3796" s="116"/>
      <c r="AS3796" s="116"/>
      <c r="AT3796" s="116"/>
      <c r="AU3796" s="116"/>
      <c r="AV3796" s="78"/>
      <c r="AW3796" s="102"/>
      <c r="AX3796" s="78"/>
      <c r="AY3796" s="78"/>
      <c r="AZ3796" s="78"/>
      <c r="BA3796" s="78"/>
      <c r="BB3796" s="78"/>
      <c r="BC3796" s="78"/>
      <c r="BD3796" s="78"/>
      <c r="BE3796" s="465"/>
      <c r="BF3796" s="165" t="str">
        <f t="shared" ref="BF3796:BF3859" si="2869">"https://www.google.com/search?tbm=isch&amp;q=" &amp; _xlfn.ENCODEURL($A3796 &amp; " " &amp; $D3796)</f>
        <v>https://www.google.com/search?tbm=isch&amp;q=wet%20sites%F0%9F%92%A7GOOD%2C%20Weeping%20Pussy%20Willow%20named%20for%20the%20springtime%20fuzzy%20gray%20catkins%20that%20feel%20like%20kittens.%20Yellow%20fall%20foliage%20</v>
      </c>
      <c r="BG3796" s="165" t="str">
        <f t="shared" ref="BG3796:BG3859" si="2870">IF(ISTEXT(A3796),LEFT(A3796,1),BG3795)</f>
        <v>w</v>
      </c>
      <c r="BH3796" s="65"/>
      <c r="BI3796" s="65"/>
      <c r="BJ3796" s="65"/>
      <c r="BK3796" s="65"/>
      <c r="BL3796" s="99"/>
      <c r="BM3796" s="99"/>
      <c r="BN3796" s="99"/>
    </row>
    <row r="3797" spans="1:66" s="51" customFormat="1" ht="18" x14ac:dyDescent="0.25">
      <c r="A3797" s="623" t="s">
        <v>4168</v>
      </c>
      <c r="B3797" s="624"/>
      <c r="C3797" s="709"/>
      <c r="D3797" s="625" t="s">
        <v>4169</v>
      </c>
      <c r="E3797" s="626"/>
      <c r="F3797" s="626"/>
      <c r="G3797" s="626"/>
      <c r="H3797" s="622" t="s">
        <v>1390</v>
      </c>
      <c r="I3797" s="627" t="s">
        <v>433</v>
      </c>
      <c r="J3797" s="628"/>
      <c r="K3797" s="628"/>
      <c r="L3797" s="629"/>
      <c r="M3797" s="700" t="s">
        <v>5249</v>
      </c>
      <c r="N3797" s="693" t="str">
        <f>IF(AND(ISTEXT($A3797), ISERROR($A3797+0)), HYPERLINK($BF3797, "Images"), "")</f>
        <v>Images</v>
      </c>
      <c r="O3797" s="695" t="s">
        <v>5247</v>
      </c>
      <c r="P3797" s="630"/>
      <c r="Q3797" s="631"/>
      <c r="R3797" s="632"/>
      <c r="S3797" s="633"/>
      <c r="T3797" s="102">
        <f t="shared" si="2858"/>
        <v>0</v>
      </c>
      <c r="U3797" s="78" t="str">
        <f>IF(NOT(ISNUMBER(G3797)), "", VLOOKUP(A3797,'Discount Lookup'!D:E,2,FALSE)*G3797)</f>
        <v/>
      </c>
      <c r="V3797" s="78" t="str">
        <f>IF(NOT(ISNUMBER(G3797)), "", VLOOKUP(A3797,'Discount Lookup'!G:H,2,FALSE)*G3797)</f>
        <v/>
      </c>
      <c r="W3797" s="102">
        <f t="shared" si="2859"/>
        <v>0</v>
      </c>
      <c r="X3797" s="102" t="str">
        <f t="shared" si="2860"/>
        <v>Bright Green foliage</v>
      </c>
      <c r="Y3797" s="120" t="b">
        <f t="shared" si="2861"/>
        <v>0</v>
      </c>
      <c r="Z3797" s="117">
        <f t="shared" si="2862"/>
        <v>0</v>
      </c>
      <c r="AA3797" s="118"/>
      <c r="AB3797" s="118" t="str">
        <f t="shared" si="2863"/>
        <v/>
      </c>
      <c r="AC3797" s="712" t="str">
        <f>IF(AE3797="T2G","no charge",IF(AND(OR(PlanterYesMe="No",PlanterYesMe="N",PlanterYesMe="me"),H3797=""),"",IF(H3797="credit","NO install",IF(AND(K3797="",AE3797="me"),"EACH row",IF(AND(K3797="images",AE3797="me"),"EACH row",IF(D3797="","",IF(H3797="credit","",IF(AE3797="free","re-planting",IF(AE3797="me","   not ELP, by",IF(AND(OR(PlanterYesMe="Yes",PlanterYesMe="Y"),G3797&gt;0),(VLOOKUP(A3797,'Discount Lookup'!J:K,2)*G3797*(1-PlanterDiscount)*(1+PlanterDifficultyPercentage)),IF(AE3797="ELP",(VLOOKUP(A3797,'Discount Lookup'!J:K,2)*G3797*(1-PlanterDiscount)*(1+PlanterDifficultyPercentage)),IF(AE3797="free","re-planting",IF(G3797=0,"",IF(PlanterYesMe="",IF(AE3797="me","   not ELP, by",IF(AE3797="",IF(G3797&gt;0,(VLOOKUP(A3797,'Discount Lookup'!J:K,2)*G3797*(1-PlanterDiscount)*(1+PlanterDifficultyPercentage)),""),"")),"   not ELP, by"))))))))))))))</f>
        <v/>
      </c>
      <c r="AD3797" s="712"/>
      <c r="AE3797" s="513" t="str">
        <f t="shared" si="2864"/>
        <v/>
      </c>
      <c r="AF3797" s="713" t="str">
        <f t="shared" si="2865"/>
        <v/>
      </c>
      <c r="AG3797" s="713"/>
      <c r="AH3797" s="713"/>
      <c r="AI3797" s="112">
        <f>IF(H3797="credit",0,IF(AE3797="free",0,IF(AE3797="me",0,IF(G3797&gt;0,(VLOOKUP(A3797,'Discount Lookup'!J:K,2)*G3797),0))))</f>
        <v>0</v>
      </c>
      <c r="AJ3797" s="107" t="str">
        <f t="shared" ca="1" si="2866"/>
        <v/>
      </c>
      <c r="AK3797" s="714" t="str">
        <f t="shared" si="2867"/>
        <v/>
      </c>
      <c r="AL3797" s="714"/>
      <c r="AM3797" s="114" t="str">
        <f t="shared" si="2868"/>
        <v/>
      </c>
      <c r="AN3797" s="115"/>
      <c r="AO3797" s="116"/>
      <c r="AP3797" s="116"/>
      <c r="AQ3797" s="116"/>
      <c r="AR3797" s="116"/>
      <c r="AS3797" s="116"/>
      <c r="AT3797" s="116"/>
      <c r="AU3797" s="116"/>
      <c r="AV3797" s="78"/>
      <c r="AW3797" s="102"/>
      <c r="AX3797" s="78"/>
      <c r="AY3797" s="78"/>
      <c r="AZ3797" s="78"/>
      <c r="BA3797" s="78"/>
      <c r="BB3797" s="78"/>
      <c r="BC3797" s="78"/>
      <c r="BD3797" s="78"/>
      <c r="BE3797" s="465"/>
      <c r="BF3797" s="165" t="str">
        <f t="shared" si="2869"/>
        <v>https://www.google.com/search?tbm=isch&amp;q=Salix%20matsudana%20x%20S.%20alba%20%27Scarlet%20Curls%27%20Scarlet%20Curls%20Willow</v>
      </c>
      <c r="BG3797" s="165" t="str">
        <f t="shared" si="2870"/>
        <v>S</v>
      </c>
      <c r="BH3797" s="65"/>
      <c r="BI3797" s="65"/>
      <c r="BJ3797" s="65"/>
      <c r="BK3797" s="65"/>
      <c r="BL3797" s="99"/>
      <c r="BM3797" s="99"/>
      <c r="BN3797" s="99"/>
    </row>
    <row r="3798" spans="1:66" s="51" customFormat="1" ht="15.75" x14ac:dyDescent="0.25">
      <c r="A3798" s="634">
        <v>7</v>
      </c>
      <c r="B3798" s="635" t="s">
        <v>291</v>
      </c>
      <c r="C3798" s="636" t="s">
        <v>4170</v>
      </c>
      <c r="D3798" s="637" t="s">
        <v>299</v>
      </c>
      <c r="E3798" s="638">
        <v>95.95</v>
      </c>
      <c r="F3798" s="639" t="s">
        <v>292</v>
      </c>
      <c r="G3798" s="484">
        <v>0</v>
      </c>
      <c r="H3798" s="691" t="str">
        <f>IF(G3798=0,"",IF(F3798="Buy",IF(G3798=1,"plant","plants"),IF(F3798&gt;0.01,"warranty","Error")))</f>
        <v/>
      </c>
      <c r="I3798" s="640">
        <f>IF(H3798="free",0,IF(H3798="credit",((E3798*(F3798))*G3798*-1),IF(F3798="Buy",(E3798*G3798),((E3798*(1-F3798))*G3798))))</f>
        <v>0</v>
      </c>
      <c r="J3798" s="640">
        <f>IF(H3798="warranty",0,(I3798*(_xlfn.SINGLE(SalesTaxPercentage))))</f>
        <v>0</v>
      </c>
      <c r="K3798" s="716">
        <f t="shared" ref="K3798" si="2871">I3798+J3798</f>
        <v>0</v>
      </c>
      <c r="L3798" s="716"/>
      <c r="M3798" s="689" t="str">
        <f ca="1">IF(AND(G3798&gt;0,E3798=0),"WARNING - no PRICE inserted",IF(H3798="free","FREE ~ no charge this plant",IF(H3798="credit",CONCATENATE("-$",ROUND(K3798*(1-_xlfn.SINGLE(T2GDiscount))*-1,2)," CREDIT after discount"),IF(_xlfn.SINGLE(T2GDiscount)=0,"",IF(G3798=0,"",IF(F3798="Buy",CONCATENATE("$",ROUND(K3798*(1-_xlfn.SINGLE(T2GDiscount)),2)," with ",(_xlfn.SINGLE(T2GDiscount)*100),"% discount"),CONCATENATE("$",ROUND(K3798*(1-_xlfn.SINGLE(T2GDiscount)),2)," with ",((_xlfn.SINGLE(T2GDiscount)*100+F3798*100)-(_xlfn.SINGLE(T2GDiscount)*100*F3798)),IF(F3798&gt;0,"% discounts",IF(_xlfn.SINGLE(NoWarrantyDiscount)&gt;0,"% discounts","% discount")))))))))</f>
        <v/>
      </c>
      <c r="N3798" s="690"/>
      <c r="O3798" s="486"/>
      <c r="P3798" s="486"/>
      <c r="Q3798" s="486"/>
      <c r="R3798" s="486"/>
      <c r="S3798" s="486"/>
      <c r="T3798" s="102">
        <f t="shared" si="2858"/>
        <v>0</v>
      </c>
      <c r="U3798" s="78">
        <f>IF(NOT(ISNUMBER(G3798)), "", VLOOKUP(A3798,'Discount Lookup'!D:E,2,FALSE)*G3798)</f>
        <v>0</v>
      </c>
      <c r="V3798" s="78">
        <f>IF(NOT(ISNUMBER(G3798)), "", VLOOKUP(A3798,'Discount Lookup'!G:H,2,FALSE)*G3798)</f>
        <v>0</v>
      </c>
      <c r="W3798" s="102">
        <f t="shared" si="2859"/>
        <v>0</v>
      </c>
      <c r="X3798" s="102">
        <f t="shared" si="2860"/>
        <v>0</v>
      </c>
      <c r="Y3798" s="120" t="b">
        <f t="shared" si="2861"/>
        <v>0</v>
      </c>
      <c r="Z3798" s="117">
        <f t="shared" si="2862"/>
        <v>0</v>
      </c>
      <c r="AA3798" s="118"/>
      <c r="AB3798" s="118" t="str">
        <f t="shared" si="2863"/>
        <v/>
      </c>
      <c r="AC3798" s="712" t="str">
        <f>IF(AE3798="T2G","no charge",IF(AND(OR(PlanterYesMe="No",PlanterYesMe="N",PlanterYesMe="me"),H3798=""),"",IF(H3798="credit","NO install",IF(AND(K3798="",AE3798="me"),"EACH row",IF(AND(K3798="images",AE3798="me"),"EACH row",IF(D3798="","",IF(H3798="credit","",IF(AE3798="free","re-planting",IF(AE3798="me","   not ELP, by",IF(AND(OR(PlanterYesMe="Yes",PlanterYesMe="Y"),G3798&gt;0),(VLOOKUP(A3798,'Discount Lookup'!J:K,2)*G3798*(1-PlanterDiscount)*(1+PlanterDifficultyPercentage)),IF(AE3798="ELP",(VLOOKUP(A3798,'Discount Lookup'!J:K,2)*G3798*(1-PlanterDiscount)*(1+PlanterDifficultyPercentage)),IF(AE3798="free","re-planting",IF(G3798=0,"",IF(PlanterYesMe="",IF(AE3798="me","   not ELP, by",IF(AE3798="",IF(G3798&gt;0,(VLOOKUP(A3798,'Discount Lookup'!J:K,2)*G3798*(1-PlanterDiscount)*(1+PlanterDifficultyPercentage)),""),"")),"   not ELP, by"))))))))))))))</f>
        <v/>
      </c>
      <c r="AD3798" s="712"/>
      <c r="AE3798" s="513" t="str">
        <f t="shared" si="2864"/>
        <v/>
      </c>
      <c r="AF3798" s="713" t="str">
        <f t="shared" si="2865"/>
        <v/>
      </c>
      <c r="AG3798" s="713"/>
      <c r="AH3798" s="713"/>
      <c r="AI3798" s="112">
        <f>IF(H3798="credit",0,IF(AE3798="free",0,IF(AE3798="me",0,IF(G3798&gt;0,(VLOOKUP(A3798,'Discount Lookup'!J:K,2)*G3798),0))))</f>
        <v>0</v>
      </c>
      <c r="AJ3798" s="107" t="str">
        <f t="shared" ca="1" si="2866"/>
        <v/>
      </c>
      <c r="AK3798" s="714" t="str">
        <f t="shared" si="2867"/>
        <v/>
      </c>
      <c r="AL3798" s="714"/>
      <c r="AM3798" s="114" t="str">
        <f t="shared" si="2868"/>
        <v/>
      </c>
      <c r="AN3798" s="115"/>
      <c r="AO3798" s="116"/>
      <c r="AP3798" s="116"/>
      <c r="AQ3798" s="116"/>
      <c r="AR3798" s="116"/>
      <c r="AS3798" s="116"/>
      <c r="AT3798" s="116"/>
      <c r="AU3798" s="116"/>
      <c r="AV3798" s="78"/>
      <c r="AW3798" s="102"/>
      <c r="AX3798" s="78"/>
      <c r="AY3798" s="78"/>
      <c r="AZ3798" s="78"/>
      <c r="BA3798" s="78"/>
      <c r="BB3798" s="78"/>
      <c r="BC3798" s="78"/>
      <c r="BD3798" s="78"/>
      <c r="BE3798" s="465"/>
      <c r="BF3798" s="165" t="str">
        <f t="shared" si="2869"/>
        <v>https://www.google.com/search?tbm=isch&amp;q=7%20G4</v>
      </c>
      <c r="BG3798" s="165" t="str">
        <f t="shared" si="2870"/>
        <v>S</v>
      </c>
      <c r="BH3798" s="65"/>
      <c r="BI3798" s="65"/>
      <c r="BJ3798" s="65"/>
      <c r="BK3798" s="65"/>
      <c r="BL3798" s="99"/>
      <c r="BM3798" s="99"/>
      <c r="BN3798" s="99"/>
    </row>
    <row r="3799" spans="1:66" s="51" customFormat="1" ht="27" x14ac:dyDescent="0.25">
      <c r="A3799" s="634">
        <v>15</v>
      </c>
      <c r="B3799" s="635" t="s">
        <v>291</v>
      </c>
      <c r="C3799" s="636" t="s">
        <v>4651</v>
      </c>
      <c r="D3799" s="637" t="s">
        <v>299</v>
      </c>
      <c r="E3799" s="638">
        <v>164.95</v>
      </c>
      <c r="F3799" s="639" t="s">
        <v>292</v>
      </c>
      <c r="G3799" s="484">
        <v>0</v>
      </c>
      <c r="H3799" s="691" t="str">
        <f>IF(G3799=0,"",IF(F3799="Buy",IF(G3799=1,"plant","plants"),IF(F3799&gt;0.01,"warranty","Error")))</f>
        <v/>
      </c>
      <c r="I3799" s="640">
        <f>IF(H3799="free",0,IF(H3799="credit",((E3799*(F3799))*G3799*-1),IF(F3799="Buy",(E3799*G3799),((E3799*(1-F3799))*G3799))))</f>
        <v>0</v>
      </c>
      <c r="J3799" s="640">
        <f>IF(H3799="warranty",0,(I3799*(_xlfn.SINGLE(SalesTaxPercentage))))</f>
        <v>0</v>
      </c>
      <c r="K3799" s="716">
        <f t="shared" ref="K3799" si="2872">I3799+J3799</f>
        <v>0</v>
      </c>
      <c r="L3799" s="716"/>
      <c r="M3799" s="689" t="str">
        <f ca="1">IF(AND(G3799&gt;0,E3799=0),"WARNING - no PRICE inserted",IF(H3799="free","FREE ~ no charge this plant",IF(H3799="credit",CONCATENATE("-$",ROUND(K3799*(1-_xlfn.SINGLE(T2GDiscount))*-1,2)," CREDIT after discount"),IF(_xlfn.SINGLE(T2GDiscount)=0,"",IF(G3799=0,"",IF(F3799="Buy",CONCATENATE("$",ROUND(K3799*(1-_xlfn.SINGLE(T2GDiscount)),2)," with ",(_xlfn.SINGLE(T2GDiscount)*100),"% discount"),CONCATENATE("$",ROUND(K3799*(1-_xlfn.SINGLE(T2GDiscount)),2)," with ",((_xlfn.SINGLE(T2GDiscount)*100+F3799*100)-(_xlfn.SINGLE(T2GDiscount)*100*F3799)),IF(F3799&gt;0,"% discounts",IF(_xlfn.SINGLE(NoWarrantyDiscount)&gt;0,"% discounts","% discount")))))))))</f>
        <v/>
      </c>
      <c r="N3799" s="690"/>
      <c r="O3799" s="486"/>
      <c r="P3799" s="486"/>
      <c r="Q3799" s="486"/>
      <c r="R3799" s="486"/>
      <c r="S3799" s="486"/>
      <c r="T3799" s="102">
        <f t="shared" si="2858"/>
        <v>0</v>
      </c>
      <c r="U3799" s="78">
        <f>IF(NOT(ISNUMBER(G3799)), "", VLOOKUP(A3799,'Discount Lookup'!D:E,2,FALSE)*G3799)</f>
        <v>0</v>
      </c>
      <c r="V3799" s="78">
        <f>IF(NOT(ISNUMBER(G3799)), "", VLOOKUP(A3799,'Discount Lookup'!G:H,2,FALSE)*G3799)</f>
        <v>0</v>
      </c>
      <c r="W3799" s="102">
        <f t="shared" si="2859"/>
        <v>0</v>
      </c>
      <c r="X3799" s="102">
        <f t="shared" si="2860"/>
        <v>0</v>
      </c>
      <c r="Y3799" s="120" t="b">
        <f t="shared" si="2861"/>
        <v>0</v>
      </c>
      <c r="Z3799" s="117">
        <f t="shared" si="2862"/>
        <v>0</v>
      </c>
      <c r="AA3799" s="118"/>
      <c r="AB3799" s="118" t="str">
        <f t="shared" si="2863"/>
        <v/>
      </c>
      <c r="AC3799" s="712" t="str">
        <f>IF(AE3799="T2G","no charge",IF(AND(OR(PlanterYesMe="No",PlanterYesMe="N",PlanterYesMe="me"),H3799=""),"",IF(H3799="credit","NO install",IF(AND(K3799="",AE3799="me"),"EACH row",IF(AND(K3799="images",AE3799="me"),"EACH row",IF(D3799="","",IF(H3799="credit","",IF(AE3799="free","re-planting",IF(AE3799="me","   not ELP, by",IF(AND(OR(PlanterYesMe="Yes",PlanterYesMe="Y"),G3799&gt;0),(VLOOKUP(A3799,'Discount Lookup'!J:K,2)*G3799*(1-PlanterDiscount)*(1+PlanterDifficultyPercentage)),IF(AE3799="ELP",(VLOOKUP(A3799,'Discount Lookup'!J:K,2)*G3799*(1-PlanterDiscount)*(1+PlanterDifficultyPercentage)),IF(AE3799="free","re-planting",IF(G3799=0,"",IF(PlanterYesMe="",IF(AE3799="me","   not ELP, by",IF(AE3799="",IF(G3799&gt;0,(VLOOKUP(A3799,'Discount Lookup'!J:K,2)*G3799*(1-PlanterDiscount)*(1+PlanterDifficultyPercentage)),""),"")),"   not ELP, by"))))))))))))))</f>
        <v/>
      </c>
      <c r="AD3799" s="712"/>
      <c r="AE3799" s="513" t="str">
        <f t="shared" si="2864"/>
        <v/>
      </c>
      <c r="AF3799" s="713" t="str">
        <f t="shared" si="2865"/>
        <v/>
      </c>
      <c r="AG3799" s="713"/>
      <c r="AH3799" s="713"/>
      <c r="AI3799" s="112">
        <f>IF(H3799="credit",0,IF(AE3799="free",0,IF(AE3799="me",0,IF(G3799&gt;0,(VLOOKUP(A3799,'Discount Lookup'!J:K,2)*G3799),0))))</f>
        <v>0</v>
      </c>
      <c r="AJ3799" s="107" t="str">
        <f t="shared" ca="1" si="2866"/>
        <v/>
      </c>
      <c r="AK3799" s="714" t="str">
        <f t="shared" si="2867"/>
        <v/>
      </c>
      <c r="AL3799" s="714"/>
      <c r="AM3799" s="114" t="str">
        <f t="shared" si="2868"/>
        <v/>
      </c>
      <c r="AN3799" s="115"/>
      <c r="AO3799" s="116"/>
      <c r="AP3799" s="116"/>
      <c r="AQ3799" s="116"/>
      <c r="AR3799" s="116"/>
      <c r="AS3799" s="116"/>
      <c r="AT3799" s="116"/>
      <c r="AU3799" s="116"/>
      <c r="AV3799" s="78"/>
      <c r="AW3799" s="102"/>
      <c r="AX3799" s="78"/>
      <c r="AY3799" s="78"/>
      <c r="AZ3799" s="78"/>
      <c r="BA3799" s="78"/>
      <c r="BB3799" s="78"/>
      <c r="BC3799" s="78"/>
      <c r="BD3799" s="78"/>
      <c r="BE3799" s="465"/>
      <c r="BF3799" s="165" t="str">
        <f t="shared" si="2869"/>
        <v>https://www.google.com/search?tbm=isch&amp;q=15%20G4</v>
      </c>
      <c r="BG3799" s="165" t="str">
        <f t="shared" si="2870"/>
        <v>S</v>
      </c>
      <c r="BH3799" s="65"/>
      <c r="BI3799" s="65"/>
      <c r="BJ3799" s="65"/>
      <c r="BK3799" s="65"/>
      <c r="BL3799" s="99"/>
      <c r="BM3799" s="99"/>
      <c r="BN3799" s="99"/>
    </row>
    <row r="3800" spans="1:66" s="51" customFormat="1" ht="16.5" x14ac:dyDescent="0.25">
      <c r="A3800" s="704" t="s">
        <v>5526</v>
      </c>
      <c r="B3800" s="642"/>
      <c r="C3800" s="710"/>
      <c r="D3800" s="643"/>
      <c r="E3800" s="643"/>
      <c r="F3800" s="644"/>
      <c r="G3800" s="645"/>
      <c r="H3800" s="646"/>
      <c r="I3800" s="647"/>
      <c r="J3800" s="648"/>
      <c r="K3800" s="649"/>
      <c r="L3800" s="650"/>
      <c r="M3800" s="650"/>
      <c r="N3800" s="644"/>
      <c r="O3800" s="644"/>
      <c r="P3800" s="644"/>
      <c r="Q3800" s="644"/>
      <c r="R3800" s="644"/>
      <c r="S3800" s="701" t="s">
        <v>5304</v>
      </c>
      <c r="T3800" s="102">
        <f t="shared" si="2858"/>
        <v>0</v>
      </c>
      <c r="U3800" s="78" t="str">
        <f>IF(NOT(ISNUMBER(G3800)), "", VLOOKUP(A3800,'Discount Lookup'!D:E,2,FALSE)*G3800)</f>
        <v/>
      </c>
      <c r="V3800" s="78" t="str">
        <f>IF(NOT(ISNUMBER(G3800)), "", VLOOKUP(A3800,'Discount Lookup'!G:H,2,FALSE)*G3800)</f>
        <v/>
      </c>
      <c r="W3800" s="102">
        <f t="shared" si="2859"/>
        <v>0</v>
      </c>
      <c r="X3800" s="102">
        <f t="shared" si="2860"/>
        <v>0</v>
      </c>
      <c r="Y3800" s="120" t="b">
        <f t="shared" si="2861"/>
        <v>0</v>
      </c>
      <c r="Z3800" s="117">
        <f t="shared" si="2862"/>
        <v>0</v>
      </c>
      <c r="AA3800" s="118"/>
      <c r="AB3800" s="118" t="str">
        <f t="shared" si="2863"/>
        <v/>
      </c>
      <c r="AC3800" s="712" t="str">
        <f>IF(AE3800="T2G","no charge",IF(AND(OR(PlanterYesMe="No",PlanterYesMe="N",PlanterYesMe="me"),H3800=""),"",IF(H3800="credit","NO install",IF(AND(K3800="",AE3800="me"),"EACH row",IF(AND(K3800="images",AE3800="me"),"EACH row",IF(D3800="","",IF(H3800="credit","",IF(AE3800="free","re-planting",IF(AE3800="me","   not ELP, by",IF(AND(OR(PlanterYesMe="Yes",PlanterYesMe="Y"),G3800&gt;0),(VLOOKUP(A3800,'Discount Lookup'!J:K,2)*G3800*(1-PlanterDiscount)*(1+PlanterDifficultyPercentage)),IF(AE3800="ELP",(VLOOKUP(A3800,'Discount Lookup'!J:K,2)*G3800*(1-PlanterDiscount)*(1+PlanterDifficultyPercentage)),IF(AE3800="free","re-planting",IF(G3800=0,"",IF(PlanterYesMe="",IF(AE3800="me","   not ELP, by",IF(AE3800="",IF(G3800&gt;0,(VLOOKUP(A3800,'Discount Lookup'!J:K,2)*G3800*(1-PlanterDiscount)*(1+PlanterDifficultyPercentage)),""),"")),"   not ELP, by"))))))))))))))</f>
        <v/>
      </c>
      <c r="AD3800" s="712"/>
      <c r="AE3800" s="513" t="str">
        <f t="shared" si="2864"/>
        <v/>
      </c>
      <c r="AF3800" s="713" t="str">
        <f t="shared" si="2865"/>
        <v/>
      </c>
      <c r="AG3800" s="713"/>
      <c r="AH3800" s="713"/>
      <c r="AI3800" s="112">
        <f>IF(H3800="credit",0,IF(AE3800="free",0,IF(AE3800="me",0,IF(G3800&gt;0,(VLOOKUP(A3800,'Discount Lookup'!J:K,2)*G3800),0))))</f>
        <v>0</v>
      </c>
      <c r="AJ3800" s="107" t="str">
        <f t="shared" ca="1" si="2866"/>
        <v/>
      </c>
      <c r="AK3800" s="714" t="str">
        <f t="shared" si="2867"/>
        <v/>
      </c>
      <c r="AL3800" s="714"/>
      <c r="AM3800" s="114" t="str">
        <f t="shared" si="2868"/>
        <v/>
      </c>
      <c r="AN3800" s="115"/>
      <c r="AO3800" s="116"/>
      <c r="AP3800" s="116"/>
      <c r="AQ3800" s="116"/>
      <c r="AR3800" s="116"/>
      <c r="AS3800" s="116"/>
      <c r="AT3800" s="116"/>
      <c r="AU3800" s="116"/>
      <c r="AV3800" s="78"/>
      <c r="AW3800" s="102"/>
      <c r="AX3800" s="78"/>
      <c r="AY3800" s="78"/>
      <c r="AZ3800" s="78"/>
      <c r="BA3800" s="78"/>
      <c r="BB3800" s="78"/>
      <c r="BC3800" s="78"/>
      <c r="BD3800" s="78"/>
      <c r="BE3800" s="465"/>
      <c r="BF3800" s="165" t="str">
        <f t="shared" si="2869"/>
        <v>https://www.google.com/search?tbm=isch&amp;q=wet%20sites%F0%9F%92%A7BEST%2C%20Scarlet%20Curls%20is%20great%20year-round%2C%20with%20contorted%20stems%20and%20Scarlet%20Red%20new%20wood%2C%20turning%20Yellow.%20Yellow%20fall%20foliage%20</v>
      </c>
      <c r="BG3800" s="165" t="str">
        <f t="shared" si="2870"/>
        <v>w</v>
      </c>
      <c r="BH3800" s="65"/>
      <c r="BI3800" s="65"/>
      <c r="BJ3800" s="65"/>
      <c r="BK3800" s="65"/>
      <c r="BL3800" s="99"/>
      <c r="BM3800" s="99"/>
      <c r="BN3800" s="99"/>
    </row>
    <row r="3801" spans="1:66" s="51" customFormat="1" ht="19.5" thickBot="1" x14ac:dyDescent="0.3">
      <c r="A3801" s="686" t="s">
        <v>727</v>
      </c>
      <c r="B3801" s="73"/>
      <c r="C3801" s="708"/>
      <c r="D3801" s="73"/>
      <c r="E3801" s="73"/>
      <c r="F3801" s="496"/>
      <c r="G3801" s="73"/>
      <c r="H3801" s="73"/>
      <c r="I3801" s="73"/>
      <c r="J3801" s="497" t="s">
        <v>357</v>
      </c>
      <c r="K3801" s="498"/>
      <c r="L3801" s="562"/>
      <c r="M3801" s="73"/>
      <c r="N3801"/>
      <c r="O3801"/>
      <c r="P3801"/>
      <c r="Q3801"/>
      <c r="R3801"/>
      <c r="S3801"/>
      <c r="T3801" s="102">
        <f t="shared" si="2858"/>
        <v>0</v>
      </c>
      <c r="U3801" s="78" t="str">
        <f>IF(NOT(ISNUMBER(G3801)), "", VLOOKUP(A3801,'Discount Lookup'!D:E,2,FALSE)*G3801)</f>
        <v/>
      </c>
      <c r="V3801" s="78" t="str">
        <f>IF(NOT(ISNUMBER(G3801)), "", VLOOKUP(A3801,'Discount Lookup'!G:H,2,FALSE)*G3801)</f>
        <v/>
      </c>
      <c r="W3801" s="102">
        <f t="shared" si="2859"/>
        <v>0</v>
      </c>
      <c r="X3801" s="102">
        <f t="shared" si="2860"/>
        <v>0</v>
      </c>
      <c r="Y3801" s="120" t="b">
        <f t="shared" si="2861"/>
        <v>0</v>
      </c>
      <c r="Z3801" s="117">
        <f t="shared" si="2862"/>
        <v>0</v>
      </c>
      <c r="AA3801" s="118"/>
      <c r="AB3801" s="118" t="str">
        <f t="shared" si="2863"/>
        <v/>
      </c>
      <c r="AC3801" s="712" t="str">
        <f>IF(AE3801="T2G","no charge",IF(AND(OR(PlanterYesMe="No",PlanterYesMe="N",PlanterYesMe="me"),H3801=""),"",IF(H3801="credit","NO install",IF(AND(K3801="",AE3801="me"),"EACH row",IF(AND(K3801="images",AE3801="me"),"EACH row",IF(D3801="","",IF(H3801="credit","",IF(AE3801="free","re-planting",IF(AE3801="me","   not ELP, by",IF(AND(OR(PlanterYesMe="Yes",PlanterYesMe="Y"),G3801&gt;0),(VLOOKUP(A3801,'Discount Lookup'!J:K,2)*G3801*(1-PlanterDiscount)*(1+PlanterDifficultyPercentage)),IF(AE3801="ELP",(VLOOKUP(A3801,'Discount Lookup'!J:K,2)*G3801*(1-PlanterDiscount)*(1+PlanterDifficultyPercentage)),IF(AE3801="free","re-planting",IF(G3801=0,"",IF(PlanterYesMe="",IF(AE3801="me","   not ELP, by",IF(AE3801="",IF(G3801&gt;0,(VLOOKUP(A3801,'Discount Lookup'!J:K,2)*G3801*(1-PlanterDiscount)*(1+PlanterDifficultyPercentage)),""),"")),"   not ELP, by"))))))))))))))</f>
        <v/>
      </c>
      <c r="AD3801" s="712"/>
      <c r="AE3801" s="513" t="str">
        <f t="shared" si="2864"/>
        <v/>
      </c>
      <c r="AF3801" s="713" t="str">
        <f t="shared" si="2865"/>
        <v/>
      </c>
      <c r="AG3801" s="713"/>
      <c r="AH3801" s="713"/>
      <c r="AI3801" s="112">
        <f>IF(H3801="credit",0,IF(AE3801="free",0,IF(AE3801="me",0,IF(G3801&gt;0,(VLOOKUP(A3801,'Discount Lookup'!J:K,2)*G3801),0))))</f>
        <v>0</v>
      </c>
      <c r="AJ3801" s="107" t="str">
        <f t="shared" ca="1" si="2866"/>
        <v/>
      </c>
      <c r="AK3801" s="714" t="str">
        <f t="shared" si="2867"/>
        <v/>
      </c>
      <c r="AL3801" s="714"/>
      <c r="AM3801" s="114" t="str">
        <f t="shared" si="2868"/>
        <v/>
      </c>
      <c r="AN3801" s="115"/>
      <c r="AO3801" s="116"/>
      <c r="AP3801" s="116"/>
      <c r="AQ3801" s="116"/>
      <c r="AR3801" s="116"/>
      <c r="AS3801" s="116"/>
      <c r="AT3801" s="116"/>
      <c r="AU3801" s="116"/>
      <c r="AV3801" s="78"/>
      <c r="AW3801" s="102"/>
      <c r="AX3801" s="78"/>
      <c r="AY3801" s="78"/>
      <c r="AZ3801" s="78"/>
      <c r="BA3801" s="78"/>
      <c r="BB3801" s="78"/>
      <c r="BC3801" s="78"/>
      <c r="BD3801" s="78"/>
      <c r="BE3801" s="465"/>
      <c r="BF3801" s="165" t="str">
        <f t="shared" si="2869"/>
        <v>https://www.google.com/search?tbm=isch&amp;q=Salvia%20%3D%20Sage%20</v>
      </c>
      <c r="BG3801" s="165" t="str">
        <f t="shared" si="2870"/>
        <v>S</v>
      </c>
      <c r="BH3801" s="65"/>
      <c r="BI3801" s="65"/>
      <c r="BJ3801" s="65"/>
      <c r="BK3801" s="65"/>
      <c r="BL3801" s="99"/>
      <c r="BM3801" s="99"/>
      <c r="BN3801" s="99"/>
    </row>
    <row r="3802" spans="1:66" s="51" customFormat="1" ht="18" x14ac:dyDescent="0.25">
      <c r="A3802" s="623" t="s">
        <v>4171</v>
      </c>
      <c r="B3802" s="624"/>
      <c r="C3802" s="709"/>
      <c r="D3802" s="625" t="s">
        <v>5907</v>
      </c>
      <c r="E3802" s="626"/>
      <c r="F3802" s="626"/>
      <c r="G3802" s="626"/>
      <c r="H3802" s="622" t="s">
        <v>4738</v>
      </c>
      <c r="I3802" s="627" t="s">
        <v>4805</v>
      </c>
      <c r="J3802" s="628"/>
      <c r="K3802" s="628"/>
      <c r="L3802" s="629"/>
      <c r="M3802" s="700" t="s">
        <v>5241</v>
      </c>
      <c r="N3802" s="693" t="str">
        <f>IF(AND(ISTEXT($A3802), ISERROR($A3802+0)), HYPERLINK($BF3802, "Images"), "")</f>
        <v>Images</v>
      </c>
      <c r="O3802" s="695" t="s">
        <v>5247</v>
      </c>
      <c r="P3802" s="630"/>
      <c r="Q3802" s="631"/>
      <c r="R3802" s="632"/>
      <c r="S3802" s="633"/>
      <c r="T3802" s="102">
        <f t="shared" si="2858"/>
        <v>0</v>
      </c>
      <c r="U3802" s="78" t="str">
        <f>IF(NOT(ISNUMBER(G3802)), "", VLOOKUP(A3802,'Discount Lookup'!D:E,2,FALSE)*G3802)</f>
        <v/>
      </c>
      <c r="V3802" s="78" t="str">
        <f>IF(NOT(ISNUMBER(G3802)), "", VLOOKUP(A3802,'Discount Lookup'!G:H,2,FALSE)*G3802)</f>
        <v/>
      </c>
      <c r="W3802" s="102">
        <f t="shared" si="2859"/>
        <v>0</v>
      </c>
      <c r="X3802" s="102" t="str">
        <f t="shared" si="2860"/>
        <v>Purple flower spikes</v>
      </c>
      <c r="Y3802" s="120" t="b">
        <f t="shared" si="2861"/>
        <v>0</v>
      </c>
      <c r="Z3802" s="117">
        <f t="shared" si="2862"/>
        <v>0</v>
      </c>
      <c r="AA3802" s="118"/>
      <c r="AB3802" s="118" t="str">
        <f t="shared" si="2863"/>
        <v/>
      </c>
      <c r="AC3802" s="712" t="str">
        <f>IF(AE3802="T2G","no charge",IF(AND(OR(PlanterYesMe="No",PlanterYesMe="N",PlanterYesMe="me"),H3802=""),"",IF(H3802="credit","NO install",IF(AND(K3802="",AE3802="me"),"EACH row",IF(AND(K3802="images",AE3802="me"),"EACH row",IF(D3802="","",IF(H3802="credit","",IF(AE3802="free","re-planting",IF(AE3802="me","   not ELP, by",IF(AND(OR(PlanterYesMe="Yes",PlanterYesMe="Y"),G3802&gt;0),(VLOOKUP(A3802,'Discount Lookup'!J:K,2)*G3802*(1-PlanterDiscount)*(1+PlanterDifficultyPercentage)),IF(AE3802="ELP",(VLOOKUP(A3802,'Discount Lookup'!J:K,2)*G3802*(1-PlanterDiscount)*(1+PlanterDifficultyPercentage)),IF(AE3802="free","re-planting",IF(G3802=0,"",IF(PlanterYesMe="",IF(AE3802="me","   not ELP, by",IF(AE3802="",IF(G3802&gt;0,(VLOOKUP(A3802,'Discount Lookup'!J:K,2)*G3802*(1-PlanterDiscount)*(1+PlanterDifficultyPercentage)),""),"")),"   not ELP, by"))))))))))))))</f>
        <v/>
      </c>
      <c r="AD3802" s="712"/>
      <c r="AE3802" s="513" t="str">
        <f t="shared" si="2864"/>
        <v/>
      </c>
      <c r="AF3802" s="713" t="str">
        <f t="shared" si="2865"/>
        <v/>
      </c>
      <c r="AG3802" s="713"/>
      <c r="AH3802" s="713"/>
      <c r="AI3802" s="112">
        <f>IF(H3802="credit",0,IF(AE3802="free",0,IF(AE3802="me",0,IF(G3802&gt;0,(VLOOKUP(A3802,'Discount Lookup'!J:K,2)*G3802),0))))</f>
        <v>0</v>
      </c>
      <c r="AJ3802" s="107" t="str">
        <f t="shared" ca="1" si="2866"/>
        <v/>
      </c>
      <c r="AK3802" s="714" t="str">
        <f t="shared" si="2867"/>
        <v/>
      </c>
      <c r="AL3802" s="714"/>
      <c r="AM3802" s="114" t="str">
        <f t="shared" si="2868"/>
        <v/>
      </c>
      <c r="AN3802" s="115"/>
      <c r="AO3802" s="116"/>
      <c r="AP3802" s="116"/>
      <c r="AQ3802" s="116"/>
      <c r="AR3802" s="116"/>
      <c r="AS3802" s="116"/>
      <c r="AT3802" s="116"/>
      <c r="AU3802" s="116"/>
      <c r="AV3802" s="78"/>
      <c r="AW3802" s="102"/>
      <c r="AX3802" s="78"/>
      <c r="AY3802" s="78"/>
      <c r="AZ3802" s="78"/>
      <c r="BA3802" s="78"/>
      <c r="BB3802" s="78"/>
      <c r="BC3802" s="78"/>
      <c r="BD3802" s="78"/>
      <c r="BE3802" s="465"/>
      <c r="BF3802" s="165" t="str">
        <f t="shared" si="2869"/>
        <v>https://www.google.com/search?tbm=isch&amp;q=Salvia%20hybrida%20%27Novasalpur%27%20PP%2328717%20Arctic%20Blaze%C2%AE%20Purple%20Salvia%20%28PS%C2%AE%29</v>
      </c>
      <c r="BG3802" s="165" t="str">
        <f t="shared" si="2870"/>
        <v>S</v>
      </c>
      <c r="BH3802" s="65"/>
      <c r="BI3802" s="65"/>
      <c r="BJ3802" s="65"/>
      <c r="BK3802" s="65"/>
      <c r="BL3802" s="99"/>
      <c r="BM3802" s="99"/>
      <c r="BN3802" s="99"/>
    </row>
    <row r="3803" spans="1:66" s="51" customFormat="1" ht="15.75" x14ac:dyDescent="0.25">
      <c r="A3803" s="634">
        <v>1</v>
      </c>
      <c r="B3803" s="635" t="s">
        <v>291</v>
      </c>
      <c r="C3803" s="636"/>
      <c r="D3803" s="637" t="s">
        <v>329</v>
      </c>
      <c r="E3803" s="638">
        <v>10.95</v>
      </c>
      <c r="F3803" s="639" t="s">
        <v>292</v>
      </c>
      <c r="G3803" s="484">
        <v>0</v>
      </c>
      <c r="H3803" s="691" t="str">
        <f>IF(G3803=0,"",IF(F3803="Buy",IF(G3803=1,"plant","plants"),IF(F3803&gt;0.01,"warranty","Error")))</f>
        <v/>
      </c>
      <c r="I3803" s="640">
        <f>IF(H3803="free",0,IF(H3803="credit",((E3803*(F3803))*G3803*-1),IF(F3803="Buy",(E3803*G3803),((E3803*(1-F3803))*G3803))))</f>
        <v>0</v>
      </c>
      <c r="J3803" s="640">
        <f>IF(H3803="warranty",0,(I3803*(_xlfn.SINGLE(SalesTaxPercentage))))</f>
        <v>0</v>
      </c>
      <c r="K3803" s="716">
        <f t="shared" ref="K3803" si="2873">I3803+J3803</f>
        <v>0</v>
      </c>
      <c r="L3803" s="716"/>
      <c r="M3803" s="689" t="str">
        <f ca="1">IF(AND(G3803&gt;0,E3803=0),"WARNING - no PRICE inserted",IF(H3803="free","FREE ~ no charge this plant",IF(H3803="credit",CONCATENATE("-$",ROUND(K3803*(1-_xlfn.SINGLE(T2GDiscount))*-1,2)," CREDIT after discount"),IF(_xlfn.SINGLE(T2GDiscount)=0,"",IF(G3803=0,"",IF(F3803="Buy",CONCATENATE("$",ROUND(K3803*(1-_xlfn.SINGLE(T2GDiscount)),2)," with ",(_xlfn.SINGLE(T2GDiscount)*100),"% discount"),CONCATENATE("$",ROUND(K3803*(1-_xlfn.SINGLE(T2GDiscount)),2)," with ",((_xlfn.SINGLE(T2GDiscount)*100+F3803*100)-(_xlfn.SINGLE(T2GDiscount)*100*F3803)),IF(F3803&gt;0,"% discounts",IF(_xlfn.SINGLE(NoWarrantyDiscount)&gt;0,"% discounts","% discount")))))))))</f>
        <v/>
      </c>
      <c r="N3803" s="690"/>
      <c r="O3803" s="486"/>
      <c r="P3803" s="486"/>
      <c r="Q3803" s="486"/>
      <c r="R3803" s="486"/>
      <c r="S3803" s="486"/>
      <c r="T3803" s="102">
        <f t="shared" si="2858"/>
        <v>0</v>
      </c>
      <c r="U3803" s="78">
        <f>IF(NOT(ISNUMBER(G3803)), "", VLOOKUP(A3803,'Discount Lookup'!D:E,2,FALSE)*G3803)</f>
        <v>0</v>
      </c>
      <c r="V3803" s="78">
        <f>IF(NOT(ISNUMBER(G3803)), "", VLOOKUP(A3803,'Discount Lookup'!G:H,2,FALSE)*G3803)</f>
        <v>0</v>
      </c>
      <c r="W3803" s="102">
        <f t="shared" si="2859"/>
        <v>0</v>
      </c>
      <c r="X3803" s="102">
        <f t="shared" si="2860"/>
        <v>0</v>
      </c>
      <c r="Y3803" s="120" t="b">
        <f t="shared" si="2861"/>
        <v>0</v>
      </c>
      <c r="Z3803" s="117">
        <f t="shared" si="2862"/>
        <v>0</v>
      </c>
      <c r="AA3803" s="118"/>
      <c r="AB3803" s="118" t="str">
        <f t="shared" si="2863"/>
        <v/>
      </c>
      <c r="AC3803" s="712" t="str">
        <f>IF(AE3803="T2G","no charge",IF(AND(OR(PlanterYesMe="No",PlanterYesMe="N",PlanterYesMe="me"),H3803=""),"",IF(H3803="credit","NO install",IF(AND(K3803="",AE3803="me"),"EACH row",IF(AND(K3803="images",AE3803="me"),"EACH row",IF(D3803="","",IF(H3803="credit","",IF(AE3803="free","re-planting",IF(AE3803="me","   not ELP, by",IF(AND(OR(PlanterYesMe="Yes",PlanterYesMe="Y"),G3803&gt;0),(VLOOKUP(A3803,'Discount Lookup'!J:K,2)*G3803*(1-PlanterDiscount)*(1+PlanterDifficultyPercentage)),IF(AE3803="ELP",(VLOOKUP(A3803,'Discount Lookup'!J:K,2)*G3803*(1-PlanterDiscount)*(1+PlanterDifficultyPercentage)),IF(AE3803="free","re-planting",IF(G3803=0,"",IF(PlanterYesMe="",IF(AE3803="me","   not ELP, by",IF(AE3803="",IF(G3803&gt;0,(VLOOKUP(A3803,'Discount Lookup'!J:K,2)*G3803*(1-PlanterDiscount)*(1+PlanterDifficultyPercentage)),""),"")),"   not ELP, by"))))))))))))))</f>
        <v/>
      </c>
      <c r="AD3803" s="712"/>
      <c r="AE3803" s="513" t="str">
        <f t="shared" si="2864"/>
        <v/>
      </c>
      <c r="AF3803" s="713" t="str">
        <f t="shared" si="2865"/>
        <v/>
      </c>
      <c r="AG3803" s="713"/>
      <c r="AH3803" s="713"/>
      <c r="AI3803" s="112">
        <f>IF(H3803="credit",0,IF(AE3803="free",0,IF(AE3803="me",0,IF(G3803&gt;0,(VLOOKUP(A3803,'Discount Lookup'!J:K,2)*G3803),0))))</f>
        <v>0</v>
      </c>
      <c r="AJ3803" s="107" t="str">
        <f t="shared" ca="1" si="2866"/>
        <v/>
      </c>
      <c r="AK3803" s="714" t="str">
        <f t="shared" si="2867"/>
        <v/>
      </c>
      <c r="AL3803" s="714"/>
      <c r="AM3803" s="114" t="str">
        <f t="shared" si="2868"/>
        <v/>
      </c>
      <c r="AN3803" s="115"/>
      <c r="AO3803" s="116"/>
      <c r="AP3803" s="116"/>
      <c r="AQ3803" s="116"/>
      <c r="AR3803" s="116"/>
      <c r="AS3803" s="116"/>
      <c r="AT3803" s="116"/>
      <c r="AU3803" s="116"/>
      <c r="AV3803" s="78"/>
      <c r="AW3803" s="102"/>
      <c r="AX3803" s="78"/>
      <c r="AY3803" s="78"/>
      <c r="AZ3803" s="78"/>
      <c r="BA3803" s="78"/>
      <c r="BB3803" s="78"/>
      <c r="BC3803" s="78"/>
      <c r="BD3803" s="78"/>
      <c r="BE3803" s="465"/>
      <c r="BF3803" s="165" t="str">
        <f t="shared" si="2869"/>
        <v>https://www.google.com/search?tbm=isch&amp;q=1%20G2</v>
      </c>
      <c r="BG3803" s="165" t="str">
        <f t="shared" si="2870"/>
        <v>S</v>
      </c>
      <c r="BH3803" s="65"/>
      <c r="BI3803" s="65"/>
      <c r="BJ3803" s="65"/>
      <c r="BK3803" s="65"/>
      <c r="BL3803" s="99"/>
      <c r="BM3803" s="99"/>
      <c r="BN3803" s="99"/>
    </row>
    <row r="3804" spans="1:66" s="51" customFormat="1" ht="17.25" thickBot="1" x14ac:dyDescent="0.3">
      <c r="A3804" s="641" t="s">
        <v>4806</v>
      </c>
      <c r="B3804" s="642"/>
      <c r="C3804" s="710"/>
      <c r="D3804" s="643"/>
      <c r="E3804" s="643"/>
      <c r="F3804" s="644"/>
      <c r="G3804" s="645"/>
      <c r="H3804" s="646"/>
      <c r="I3804" s="647"/>
      <c r="J3804" s="648"/>
      <c r="K3804" s="649"/>
      <c r="L3804" s="650"/>
      <c r="M3804" s="650"/>
      <c r="N3804" s="644"/>
      <c r="O3804" s="644"/>
      <c r="P3804" s="644"/>
      <c r="Q3804" s="644"/>
      <c r="R3804" s="644"/>
      <c r="S3804" s="701" t="s">
        <v>5305</v>
      </c>
      <c r="T3804" s="102">
        <f t="shared" si="2858"/>
        <v>0</v>
      </c>
      <c r="U3804" s="78" t="str">
        <f>IF(NOT(ISNUMBER(G3804)), "", VLOOKUP(A3804,'Discount Lookup'!D:E,2,FALSE)*G3804)</f>
        <v/>
      </c>
      <c r="V3804" s="78" t="str">
        <f>IF(NOT(ISNUMBER(G3804)), "", VLOOKUP(A3804,'Discount Lookup'!G:H,2,FALSE)*G3804)</f>
        <v/>
      </c>
      <c r="W3804" s="102">
        <f t="shared" si="2859"/>
        <v>0</v>
      </c>
      <c r="X3804" s="102">
        <f t="shared" si="2860"/>
        <v>0</v>
      </c>
      <c r="Y3804" s="120" t="b">
        <f t="shared" si="2861"/>
        <v>0</v>
      </c>
      <c r="Z3804" s="117">
        <f t="shared" si="2862"/>
        <v>0</v>
      </c>
      <c r="AA3804" s="118"/>
      <c r="AB3804" s="118" t="str">
        <f t="shared" si="2863"/>
        <v/>
      </c>
      <c r="AC3804" s="712" t="str">
        <f>IF(AE3804="T2G","no charge",IF(AND(OR(PlanterYesMe="No",PlanterYesMe="N",PlanterYesMe="me"),H3804=""),"",IF(H3804="credit","NO install",IF(AND(K3804="",AE3804="me"),"EACH row",IF(AND(K3804="images",AE3804="me"),"EACH row",IF(D3804="","",IF(H3804="credit","",IF(AE3804="free","re-planting",IF(AE3804="me","   not ELP, by",IF(AND(OR(PlanterYesMe="Yes",PlanterYesMe="Y"),G3804&gt;0),(VLOOKUP(A3804,'Discount Lookup'!J:K,2)*G3804*(1-PlanterDiscount)*(1+PlanterDifficultyPercentage)),IF(AE3804="ELP",(VLOOKUP(A3804,'Discount Lookup'!J:K,2)*G3804*(1-PlanterDiscount)*(1+PlanterDifficultyPercentage)),IF(AE3804="free","re-planting",IF(G3804=0,"",IF(PlanterYesMe="",IF(AE3804="me","   not ELP, by",IF(AE3804="",IF(G3804&gt;0,(VLOOKUP(A3804,'Discount Lookup'!J:K,2)*G3804*(1-PlanterDiscount)*(1+PlanterDifficultyPercentage)),""),"")),"   not ELP, by"))))))))))))))</f>
        <v/>
      </c>
      <c r="AD3804" s="712"/>
      <c r="AE3804" s="513" t="str">
        <f t="shared" si="2864"/>
        <v/>
      </c>
      <c r="AF3804" s="713" t="str">
        <f t="shared" si="2865"/>
        <v/>
      </c>
      <c r="AG3804" s="713"/>
      <c r="AH3804" s="713"/>
      <c r="AI3804" s="112">
        <f>IF(H3804="credit",0,IF(AE3804="free",0,IF(AE3804="me",0,IF(G3804&gt;0,(VLOOKUP(A3804,'Discount Lookup'!J:K,2)*G3804),0))))</f>
        <v>0</v>
      </c>
      <c r="AJ3804" s="107" t="str">
        <f t="shared" ca="1" si="2866"/>
        <v/>
      </c>
      <c r="AK3804" s="714" t="str">
        <f t="shared" si="2867"/>
        <v/>
      </c>
      <c r="AL3804" s="714"/>
      <c r="AM3804" s="114" t="str">
        <f t="shared" si="2868"/>
        <v/>
      </c>
      <c r="AN3804" s="115"/>
      <c r="AO3804" s="116"/>
      <c r="AP3804" s="116"/>
      <c r="AQ3804" s="116"/>
      <c r="AR3804" s="116"/>
      <c r="AS3804" s="116"/>
      <c r="AT3804" s="116"/>
      <c r="AU3804" s="116"/>
      <c r="AV3804" s="78"/>
      <c r="AW3804" s="102"/>
      <c r="AX3804" s="78"/>
      <c r="AY3804" s="78"/>
      <c r="AZ3804" s="78"/>
      <c r="BA3804" s="78"/>
      <c r="BB3804" s="78"/>
      <c r="BC3804" s="78"/>
      <c r="BD3804" s="78"/>
      <c r="BE3804" s="465"/>
      <c r="BF3804" s="165" t="str">
        <f t="shared" si="2869"/>
        <v>https://www.google.com/search?tbm=isch&amp;q=Arctic%20Blaze%20was%20bred%20for%20strong%20stems%2C%20vivid%20color%2C%20an%20extended%20bloom%20in%20hot%20climates%2C%20and%20cold-hardiness%20</v>
      </c>
      <c r="BG3804" s="165" t="str">
        <f t="shared" si="2870"/>
        <v>A</v>
      </c>
      <c r="BH3804" s="65"/>
      <c r="BI3804" s="65"/>
      <c r="BJ3804" s="65"/>
      <c r="BK3804" s="65"/>
      <c r="BL3804" s="99"/>
      <c r="BM3804" s="99"/>
      <c r="BN3804" s="99"/>
    </row>
    <row r="3805" spans="1:66" s="51" customFormat="1" ht="18" x14ac:dyDescent="0.25">
      <c r="A3805" s="623" t="s">
        <v>4172</v>
      </c>
      <c r="B3805" s="624"/>
      <c r="C3805" s="709"/>
      <c r="D3805" s="625" t="s">
        <v>4173</v>
      </c>
      <c r="E3805" s="626"/>
      <c r="F3805" s="626"/>
      <c r="G3805" s="626"/>
      <c r="H3805" s="622" t="s">
        <v>4807</v>
      </c>
      <c r="I3805" s="627" t="s">
        <v>4808</v>
      </c>
      <c r="J3805" s="628"/>
      <c r="K3805" s="628"/>
      <c r="L3805" s="629"/>
      <c r="M3805" s="700" t="s">
        <v>5241</v>
      </c>
      <c r="N3805" s="693" t="str">
        <f>IF(AND(ISTEXT($A3805), ISERROR($A3805+0)), HYPERLINK($BF3805, "Images"), "")</f>
        <v>Images</v>
      </c>
      <c r="O3805" s="695" t="s">
        <v>5247</v>
      </c>
      <c r="P3805" s="630"/>
      <c r="Q3805" s="631"/>
      <c r="R3805" s="632"/>
      <c r="S3805" s="633"/>
      <c r="T3805" s="102">
        <f t="shared" si="2858"/>
        <v>0</v>
      </c>
      <c r="U3805" s="78" t="str">
        <f>IF(NOT(ISNUMBER(G3805)), "", VLOOKUP(A3805,'Discount Lookup'!D:E,2,FALSE)*G3805)</f>
        <v/>
      </c>
      <c r="V3805" s="78" t="str">
        <f>IF(NOT(ISNUMBER(G3805)), "", VLOOKUP(A3805,'Discount Lookup'!G:H,2,FALSE)*G3805)</f>
        <v/>
      </c>
      <c r="W3805" s="102">
        <f t="shared" si="2859"/>
        <v>0</v>
      </c>
      <c r="X3805" s="102" t="str">
        <f t="shared" si="2860"/>
        <v>Red &amp; White flower</v>
      </c>
      <c r="Y3805" s="120" t="b">
        <f t="shared" si="2861"/>
        <v>0</v>
      </c>
      <c r="Z3805" s="117">
        <f t="shared" si="2862"/>
        <v>0</v>
      </c>
      <c r="AA3805" s="118"/>
      <c r="AB3805" s="118" t="str">
        <f t="shared" si="2863"/>
        <v/>
      </c>
      <c r="AC3805" s="712" t="str">
        <f>IF(AE3805="T2G","no charge",IF(AND(OR(PlanterYesMe="No",PlanterYesMe="N",PlanterYesMe="me"),H3805=""),"",IF(H3805="credit","NO install",IF(AND(K3805="",AE3805="me"),"EACH row",IF(AND(K3805="images",AE3805="me"),"EACH row",IF(D3805="","",IF(H3805="credit","",IF(AE3805="free","re-planting",IF(AE3805="me","   not ELP, by",IF(AND(OR(PlanterYesMe="Yes",PlanterYesMe="Y"),G3805&gt;0),(VLOOKUP(A3805,'Discount Lookup'!J:K,2)*G3805*(1-PlanterDiscount)*(1+PlanterDifficultyPercentage)),IF(AE3805="ELP",(VLOOKUP(A3805,'Discount Lookup'!J:K,2)*G3805*(1-PlanterDiscount)*(1+PlanterDifficultyPercentage)),IF(AE3805="free","re-planting",IF(G3805=0,"",IF(PlanterYesMe="",IF(AE3805="me","   not ELP, by",IF(AE3805="",IF(G3805&gt;0,(VLOOKUP(A3805,'Discount Lookup'!J:K,2)*G3805*(1-PlanterDiscount)*(1+PlanterDifficultyPercentage)),""),"")),"   not ELP, by"))))))))))))))</f>
        <v/>
      </c>
      <c r="AD3805" s="712"/>
      <c r="AE3805" s="513" t="str">
        <f t="shared" si="2864"/>
        <v/>
      </c>
      <c r="AF3805" s="713" t="str">
        <f t="shared" si="2865"/>
        <v/>
      </c>
      <c r="AG3805" s="713"/>
      <c r="AH3805" s="713"/>
      <c r="AI3805" s="112">
        <f>IF(H3805="credit",0,IF(AE3805="free",0,IF(AE3805="me",0,IF(G3805&gt;0,(VLOOKUP(A3805,'Discount Lookup'!J:K,2)*G3805),0))))</f>
        <v>0</v>
      </c>
      <c r="AJ3805" s="107" t="str">
        <f t="shared" ca="1" si="2866"/>
        <v/>
      </c>
      <c r="AK3805" s="714" t="str">
        <f t="shared" si="2867"/>
        <v/>
      </c>
      <c r="AL3805" s="714"/>
      <c r="AM3805" s="114" t="str">
        <f t="shared" si="2868"/>
        <v/>
      </c>
      <c r="AN3805" s="115"/>
      <c r="AO3805" s="116"/>
      <c r="AP3805" s="116"/>
      <c r="AQ3805" s="116"/>
      <c r="AR3805" s="116"/>
      <c r="AS3805" s="116"/>
      <c r="AT3805" s="116"/>
      <c r="AU3805" s="116"/>
      <c r="AV3805" s="78"/>
      <c r="AW3805" s="102"/>
      <c r="AX3805" s="78"/>
      <c r="AY3805" s="78"/>
      <c r="AZ3805" s="78"/>
      <c r="BA3805" s="78"/>
      <c r="BB3805" s="78"/>
      <c r="BC3805" s="78"/>
      <c r="BD3805" s="78"/>
      <c r="BE3805" s="465"/>
      <c r="BF3805" s="165" t="str">
        <f t="shared" si="2869"/>
        <v>https://www.google.com/search?tbm=isch&amp;q=Salvia%20microphylla%20%27Hot%20Lips%27%20Hot%20Lips%20Salvia</v>
      </c>
      <c r="BG3805" s="165" t="str">
        <f t="shared" si="2870"/>
        <v>S</v>
      </c>
      <c r="BH3805" s="65"/>
      <c r="BI3805" s="65"/>
      <c r="BJ3805" s="65"/>
      <c r="BK3805" s="65"/>
      <c r="BL3805" s="99"/>
      <c r="BM3805" s="99"/>
      <c r="BN3805" s="99"/>
    </row>
    <row r="3806" spans="1:66" s="51" customFormat="1" ht="27" x14ac:dyDescent="0.25">
      <c r="A3806" s="634">
        <v>2</v>
      </c>
      <c r="B3806" s="635" t="s">
        <v>291</v>
      </c>
      <c r="C3806" s="636" t="s">
        <v>5017</v>
      </c>
      <c r="D3806" s="637" t="s">
        <v>293</v>
      </c>
      <c r="E3806" s="638">
        <v>31.95</v>
      </c>
      <c r="F3806" s="639" t="s">
        <v>292</v>
      </c>
      <c r="G3806" s="484">
        <v>0</v>
      </c>
      <c r="H3806" s="691" t="str">
        <f>IF(G3806=0,"",IF(F3806="Buy",IF(G3806=1,"plant","plants"),IF(F3806&gt;0.01,"warranty","Error")))</f>
        <v/>
      </c>
      <c r="I3806" s="640">
        <f>IF(H3806="free",0,IF(H3806="credit",((E3806*(F3806))*G3806*-1),IF(F3806="Buy",(E3806*G3806),((E3806*(1-F3806))*G3806))))</f>
        <v>0</v>
      </c>
      <c r="J3806" s="640">
        <f>IF(H3806="warranty",0,(I3806*(_xlfn.SINGLE(SalesTaxPercentage))))</f>
        <v>0</v>
      </c>
      <c r="K3806" s="716">
        <f t="shared" ref="K3806" si="2874">I3806+J3806</f>
        <v>0</v>
      </c>
      <c r="L3806" s="716"/>
      <c r="M3806" s="689" t="str">
        <f ca="1">IF(AND(G3806&gt;0,E3806=0),"WARNING - no PRICE inserted",IF(H3806="free","FREE ~ no charge this plant",IF(H3806="credit",CONCATENATE("-$",ROUND(K3806*(1-_xlfn.SINGLE(T2GDiscount))*-1,2)," CREDIT after discount"),IF(_xlfn.SINGLE(T2GDiscount)=0,"",IF(G3806=0,"",IF(F3806="Buy",CONCATENATE("$",ROUND(K3806*(1-_xlfn.SINGLE(T2GDiscount)),2)," with ",(_xlfn.SINGLE(T2GDiscount)*100),"% discount"),CONCATENATE("$",ROUND(K3806*(1-_xlfn.SINGLE(T2GDiscount)),2)," with ",((_xlfn.SINGLE(T2GDiscount)*100+F3806*100)-(_xlfn.SINGLE(T2GDiscount)*100*F3806)),IF(F3806&gt;0,"% discounts",IF(_xlfn.SINGLE(NoWarrantyDiscount)&gt;0,"% discounts","% discount")))))))))</f>
        <v/>
      </c>
      <c r="N3806" s="690"/>
      <c r="O3806" s="486"/>
      <c r="P3806" s="486"/>
      <c r="Q3806" s="486"/>
      <c r="R3806" s="486"/>
      <c r="S3806" s="486"/>
      <c r="T3806" s="102">
        <f t="shared" si="2858"/>
        <v>0</v>
      </c>
      <c r="U3806" s="78">
        <f>IF(NOT(ISNUMBER(G3806)), "", VLOOKUP(A3806,'Discount Lookup'!D:E,2,FALSE)*G3806)</f>
        <v>0</v>
      </c>
      <c r="V3806" s="78">
        <f>IF(NOT(ISNUMBER(G3806)), "", VLOOKUP(A3806,'Discount Lookup'!G:H,2,FALSE)*G3806)</f>
        <v>0</v>
      </c>
      <c r="W3806" s="102">
        <f t="shared" si="2859"/>
        <v>0</v>
      </c>
      <c r="X3806" s="102">
        <f t="shared" si="2860"/>
        <v>0</v>
      </c>
      <c r="Y3806" s="120" t="b">
        <f t="shared" si="2861"/>
        <v>0</v>
      </c>
      <c r="Z3806" s="117">
        <f t="shared" si="2862"/>
        <v>0</v>
      </c>
      <c r="AA3806" s="118"/>
      <c r="AB3806" s="118" t="str">
        <f t="shared" si="2863"/>
        <v/>
      </c>
      <c r="AC3806" s="712" t="str">
        <f>IF(AE3806="T2G","no charge",IF(AND(OR(PlanterYesMe="No",PlanterYesMe="N",PlanterYesMe="me"),H3806=""),"",IF(H3806="credit","NO install",IF(AND(K3806="",AE3806="me"),"EACH row",IF(AND(K3806="images",AE3806="me"),"EACH row",IF(D3806="","",IF(H3806="credit","",IF(AE3806="free","re-planting",IF(AE3806="me","   not ELP, by",IF(AND(OR(PlanterYesMe="Yes",PlanterYesMe="Y"),G3806&gt;0),(VLOOKUP(A3806,'Discount Lookup'!J:K,2)*G3806*(1-PlanterDiscount)*(1+PlanterDifficultyPercentage)),IF(AE3806="ELP",(VLOOKUP(A3806,'Discount Lookup'!J:K,2)*G3806*(1-PlanterDiscount)*(1+PlanterDifficultyPercentage)),IF(AE3806="free","re-planting",IF(G3806=0,"",IF(PlanterYesMe="",IF(AE3806="me","   not ELP, by",IF(AE3806="",IF(G3806&gt;0,(VLOOKUP(A3806,'Discount Lookup'!J:K,2)*G3806*(1-PlanterDiscount)*(1+PlanterDifficultyPercentage)),""),"")),"   not ELP, by"))))))))))))))</f>
        <v/>
      </c>
      <c r="AD3806" s="712"/>
      <c r="AE3806" s="513" t="str">
        <f t="shared" si="2864"/>
        <v/>
      </c>
      <c r="AF3806" s="713" t="str">
        <f t="shared" si="2865"/>
        <v/>
      </c>
      <c r="AG3806" s="713"/>
      <c r="AH3806" s="713"/>
      <c r="AI3806" s="112">
        <f>IF(H3806="credit",0,IF(AE3806="free",0,IF(AE3806="me",0,IF(G3806&gt;0,(VLOOKUP(A3806,'Discount Lookup'!J:K,2)*G3806),0))))</f>
        <v>0</v>
      </c>
      <c r="AJ3806" s="107" t="str">
        <f t="shared" ca="1" si="2866"/>
        <v/>
      </c>
      <c r="AK3806" s="714" t="str">
        <f t="shared" si="2867"/>
        <v/>
      </c>
      <c r="AL3806" s="714"/>
      <c r="AM3806" s="114" t="str">
        <f t="shared" si="2868"/>
        <v/>
      </c>
      <c r="AN3806" s="115"/>
      <c r="AO3806" s="116"/>
      <c r="AP3806" s="116"/>
      <c r="AQ3806" s="116"/>
      <c r="AR3806" s="116"/>
      <c r="AS3806" s="116"/>
      <c r="AT3806" s="116"/>
      <c r="AU3806" s="116"/>
      <c r="AV3806" s="78"/>
      <c r="AW3806" s="102"/>
      <c r="AX3806" s="78"/>
      <c r="AY3806" s="78"/>
      <c r="AZ3806" s="78"/>
      <c r="BA3806" s="78"/>
      <c r="BB3806" s="78"/>
      <c r="BC3806" s="78"/>
      <c r="BD3806" s="78"/>
      <c r="BE3806" s="465"/>
      <c r="BF3806" s="165" t="str">
        <f t="shared" si="2869"/>
        <v>https://www.google.com/search?tbm=isch&amp;q=2%20G6</v>
      </c>
      <c r="BG3806" s="165" t="str">
        <f t="shared" si="2870"/>
        <v>S</v>
      </c>
      <c r="BH3806" s="65"/>
      <c r="BI3806" s="65"/>
      <c r="BJ3806" s="65"/>
      <c r="BK3806" s="65"/>
      <c r="BL3806" s="99"/>
      <c r="BM3806" s="99"/>
      <c r="BN3806" s="99"/>
    </row>
    <row r="3807" spans="1:66" s="51" customFormat="1" ht="15.75" x14ac:dyDescent="0.25">
      <c r="A3807" s="634" t="s">
        <v>31</v>
      </c>
      <c r="B3807" s="635" t="s">
        <v>1446</v>
      </c>
      <c r="C3807" s="636"/>
      <c r="D3807" s="637" t="s">
        <v>329</v>
      </c>
      <c r="E3807" s="638">
        <v>59.95</v>
      </c>
      <c r="F3807" s="639" t="s">
        <v>292</v>
      </c>
      <c r="G3807" s="484">
        <v>0</v>
      </c>
      <c r="H3807" s="691" t="str">
        <f>IF(G3807=0,"",IF(F3807="Buy",IF(G3807=1,"plant","plants"),IF(F3807&gt;0.01,"warranty","Error")))</f>
        <v/>
      </c>
      <c r="I3807" s="640">
        <f>IF(H3807="free",0,IF(H3807="credit",((E3807*(F3807))*G3807*-1),IF(F3807="Buy",(E3807*G3807),((E3807*(1-F3807))*G3807))))</f>
        <v>0</v>
      </c>
      <c r="J3807" s="640">
        <f>IF(H3807="warranty",0,(I3807*(_xlfn.SINGLE(SalesTaxPercentage))))</f>
        <v>0</v>
      </c>
      <c r="K3807" s="716">
        <f t="shared" ref="K3807" si="2875">I3807+J3807</f>
        <v>0</v>
      </c>
      <c r="L3807" s="716"/>
      <c r="M3807" s="689" t="str">
        <f ca="1">IF(AND(G3807&gt;0,E3807=0),"WARNING - no PRICE inserted",IF(H3807="free","FREE ~ no charge this plant",IF(H3807="credit",CONCATENATE("-$",ROUND(K3807*(1-_xlfn.SINGLE(T2GDiscount))*-1,2)," CREDIT after discount"),IF(_xlfn.SINGLE(T2GDiscount)=0,"",IF(G3807=0,"",IF(F3807="Buy",CONCATENATE("$",ROUND(K3807*(1-_xlfn.SINGLE(T2GDiscount)),2)," with ",(_xlfn.SINGLE(T2GDiscount)*100),"% discount"),CONCATENATE("$",ROUND(K3807*(1-_xlfn.SINGLE(T2GDiscount)),2)," with ",((_xlfn.SINGLE(T2GDiscount)*100+F3807*100)-(_xlfn.SINGLE(T2GDiscount)*100*F3807)),IF(F3807&gt;0,"% discounts",IF(_xlfn.SINGLE(NoWarrantyDiscount)&gt;0,"% discounts","% discount")))))))))</f>
        <v/>
      </c>
      <c r="N3807" s="690"/>
      <c r="O3807" s="486"/>
      <c r="P3807" s="486"/>
      <c r="Q3807" s="486"/>
      <c r="R3807" s="486"/>
      <c r="S3807" s="486"/>
      <c r="T3807" s="102">
        <f t="shared" si="2858"/>
        <v>0</v>
      </c>
      <c r="U3807" s="78">
        <f>IF(NOT(ISNUMBER(G3807)), "", VLOOKUP(A3807,'Discount Lookup'!D:E,2,FALSE)*G3807)</f>
        <v>0</v>
      </c>
      <c r="V3807" s="78">
        <f>IF(NOT(ISNUMBER(G3807)), "", VLOOKUP(A3807,'Discount Lookup'!G:H,2,FALSE)*G3807)</f>
        <v>0</v>
      </c>
      <c r="W3807" s="102">
        <f t="shared" si="2859"/>
        <v>0</v>
      </c>
      <c r="X3807" s="102">
        <f t="shared" si="2860"/>
        <v>0</v>
      </c>
      <c r="Y3807" s="120" t="b">
        <f t="shared" si="2861"/>
        <v>0</v>
      </c>
      <c r="Z3807" s="117">
        <f t="shared" si="2862"/>
        <v>0</v>
      </c>
      <c r="AA3807" s="118"/>
      <c r="AB3807" s="118" t="str">
        <f t="shared" si="2863"/>
        <v/>
      </c>
      <c r="AC3807" s="712" t="str">
        <f>IF(AE3807="T2G","no charge",IF(AND(OR(PlanterYesMe="No",PlanterYesMe="N",PlanterYesMe="me"),H3807=""),"",IF(H3807="credit","NO install",IF(AND(K3807="",AE3807="me"),"EACH row",IF(AND(K3807="images",AE3807="me"),"EACH row",IF(D3807="","",IF(H3807="credit","",IF(AE3807="free","re-planting",IF(AE3807="me","   not ELP, by",IF(AND(OR(PlanterYesMe="Yes",PlanterYesMe="Y"),G3807&gt;0),(VLOOKUP(A3807,'Discount Lookup'!J:K,2)*G3807*(1-PlanterDiscount)*(1+PlanterDifficultyPercentage)),IF(AE3807="ELP",(VLOOKUP(A3807,'Discount Lookup'!J:K,2)*G3807*(1-PlanterDiscount)*(1+PlanterDifficultyPercentage)),IF(AE3807="free","re-planting",IF(G3807=0,"",IF(PlanterYesMe="",IF(AE3807="me","   not ELP, by",IF(AE3807="",IF(G3807&gt;0,(VLOOKUP(A3807,'Discount Lookup'!J:K,2)*G3807*(1-PlanterDiscount)*(1+PlanterDifficultyPercentage)),""),"")),"   not ELP, by"))))))))))))))</f>
        <v/>
      </c>
      <c r="AD3807" s="712"/>
      <c r="AE3807" s="513" t="str">
        <f t="shared" si="2864"/>
        <v/>
      </c>
      <c r="AF3807" s="713" t="str">
        <f t="shared" si="2865"/>
        <v/>
      </c>
      <c r="AG3807" s="713"/>
      <c r="AH3807" s="713"/>
      <c r="AI3807" s="112">
        <f>IF(H3807="credit",0,IF(AE3807="free",0,IF(AE3807="me",0,IF(G3807&gt;0,(VLOOKUP(A3807,'Discount Lookup'!J:K,2)*G3807),0))))</f>
        <v>0</v>
      </c>
      <c r="AJ3807" s="107" t="str">
        <f t="shared" ca="1" si="2866"/>
        <v/>
      </c>
      <c r="AK3807" s="714" t="str">
        <f t="shared" si="2867"/>
        <v/>
      </c>
      <c r="AL3807" s="714"/>
      <c r="AM3807" s="114" t="str">
        <f t="shared" si="2868"/>
        <v/>
      </c>
      <c r="AN3807" s="115"/>
      <c r="AO3807" s="116"/>
      <c r="AP3807" s="116"/>
      <c r="AQ3807" s="116"/>
      <c r="AR3807" s="116"/>
      <c r="AS3807" s="116"/>
      <c r="AT3807" s="116"/>
      <c r="AU3807" s="116"/>
      <c r="AV3807" s="78"/>
      <c r="AW3807" s="102"/>
      <c r="AX3807" s="78"/>
      <c r="AY3807" s="78"/>
      <c r="AZ3807" s="78"/>
      <c r="BA3807" s="78"/>
      <c r="BB3807" s="78"/>
      <c r="BC3807" s="78"/>
      <c r="BD3807" s="78"/>
      <c r="BE3807" s="465"/>
      <c r="BF3807" s="165" t="str">
        <f t="shared" si="2869"/>
        <v>https://www.google.com/search?tbm=isch&amp;q=15%20in%20G2</v>
      </c>
      <c r="BG3807" s="165" t="str">
        <f t="shared" si="2870"/>
        <v>1</v>
      </c>
      <c r="BH3807" s="65"/>
      <c r="BI3807" s="65"/>
      <c r="BJ3807" s="65"/>
      <c r="BK3807" s="65"/>
      <c r="BL3807" s="99"/>
      <c r="BM3807" s="99"/>
      <c r="BN3807" s="99"/>
    </row>
    <row r="3808" spans="1:66" s="51" customFormat="1" ht="17.25" thickBot="1" x14ac:dyDescent="0.3">
      <c r="A3808" s="641" t="s">
        <v>4809</v>
      </c>
      <c r="B3808" s="642"/>
      <c r="C3808" s="710"/>
      <c r="D3808" s="643"/>
      <c r="E3808" s="643"/>
      <c r="F3808" s="644"/>
      <c r="G3808" s="645"/>
      <c r="H3808" s="646"/>
      <c r="I3808" s="647"/>
      <c r="J3808" s="648"/>
      <c r="K3808" s="649"/>
      <c r="L3808" s="650"/>
      <c r="M3808" s="650"/>
      <c r="N3808" s="644"/>
      <c r="O3808" s="644"/>
      <c r="P3808" s="644"/>
      <c r="Q3808" s="644"/>
      <c r="R3808" s="644"/>
      <c r="S3808" s="701" t="s">
        <v>5306</v>
      </c>
      <c r="T3808" s="102">
        <f t="shared" si="2858"/>
        <v>0</v>
      </c>
      <c r="U3808" s="78" t="str">
        <f>IF(NOT(ISNUMBER(G3808)), "", VLOOKUP(A3808,'Discount Lookup'!D:E,2,FALSE)*G3808)</f>
        <v/>
      </c>
      <c r="V3808" s="78" t="str">
        <f>IF(NOT(ISNUMBER(G3808)), "", VLOOKUP(A3808,'Discount Lookup'!G:H,2,FALSE)*G3808)</f>
        <v/>
      </c>
      <c r="W3808" s="102">
        <f t="shared" si="2859"/>
        <v>0</v>
      </c>
      <c r="X3808" s="102">
        <f t="shared" si="2860"/>
        <v>0</v>
      </c>
      <c r="Y3808" s="120" t="b">
        <f t="shared" si="2861"/>
        <v>0</v>
      </c>
      <c r="Z3808" s="117">
        <f t="shared" si="2862"/>
        <v>0</v>
      </c>
      <c r="AA3808" s="118"/>
      <c r="AB3808" s="118" t="str">
        <f t="shared" si="2863"/>
        <v/>
      </c>
      <c r="AC3808" s="712" t="str">
        <f>IF(AE3808="T2G","no charge",IF(AND(OR(PlanterYesMe="No",PlanterYesMe="N",PlanterYesMe="me"),H3808=""),"",IF(H3808="credit","NO install",IF(AND(K3808="",AE3808="me"),"EACH row",IF(AND(K3808="images",AE3808="me"),"EACH row",IF(D3808="","",IF(H3808="credit","",IF(AE3808="free","re-planting",IF(AE3808="me","   not ELP, by",IF(AND(OR(PlanterYesMe="Yes",PlanterYesMe="Y"),G3808&gt;0),(VLOOKUP(A3808,'Discount Lookup'!J:K,2)*G3808*(1-PlanterDiscount)*(1+PlanterDifficultyPercentage)),IF(AE3808="ELP",(VLOOKUP(A3808,'Discount Lookup'!J:K,2)*G3808*(1-PlanterDiscount)*(1+PlanterDifficultyPercentage)),IF(AE3808="free","re-planting",IF(G3808=0,"",IF(PlanterYesMe="",IF(AE3808="me","   not ELP, by",IF(AE3808="",IF(G3808&gt;0,(VLOOKUP(A3808,'Discount Lookup'!J:K,2)*G3808*(1-PlanterDiscount)*(1+PlanterDifficultyPercentage)),""),"")),"   not ELP, by"))))))))))))))</f>
        <v/>
      </c>
      <c r="AD3808" s="712"/>
      <c r="AE3808" s="513" t="str">
        <f t="shared" si="2864"/>
        <v/>
      </c>
      <c r="AF3808" s="713" t="str">
        <f t="shared" si="2865"/>
        <v/>
      </c>
      <c r="AG3808" s="713"/>
      <c r="AH3808" s="713"/>
      <c r="AI3808" s="112">
        <f>IF(H3808="credit",0,IF(AE3808="free",0,IF(AE3808="me",0,IF(G3808&gt;0,(VLOOKUP(A3808,'Discount Lookup'!J:K,2)*G3808),0))))</f>
        <v>0</v>
      </c>
      <c r="AJ3808" s="107" t="str">
        <f t="shared" ca="1" si="2866"/>
        <v/>
      </c>
      <c r="AK3808" s="714" t="str">
        <f t="shared" si="2867"/>
        <v/>
      </c>
      <c r="AL3808" s="714"/>
      <c r="AM3808" s="114" t="str">
        <f t="shared" si="2868"/>
        <v/>
      </c>
      <c r="AN3808" s="115"/>
      <c r="AO3808" s="116"/>
      <c r="AP3808" s="116"/>
      <c r="AQ3808" s="116"/>
      <c r="AR3808" s="116"/>
      <c r="AS3808" s="116"/>
      <c r="AT3808" s="116"/>
      <c r="AU3808" s="116"/>
      <c r="AV3808" s="78"/>
      <c r="AW3808" s="102"/>
      <c r="AX3808" s="78"/>
      <c r="AY3808" s="78"/>
      <c r="AZ3808" s="78"/>
      <c r="BA3808" s="78"/>
      <c r="BB3808" s="78"/>
      <c r="BC3808" s="78"/>
      <c r="BD3808" s="78"/>
      <c r="BE3808" s="465"/>
      <c r="BF3808" s="165" t="str">
        <f t="shared" si="2869"/>
        <v>https://www.google.com/search?tbm=isch&amp;q=Hot%20Lips%20displays%20blooms%20from%20spring%20to%20frost%2C%20shifting%20color%20with%20lower%20temps.%20Leaves%20have%20a%20scent%20of%20blackcurrant%20</v>
      </c>
      <c r="BG3808" s="165" t="str">
        <f t="shared" si="2870"/>
        <v>H</v>
      </c>
      <c r="BH3808" s="65"/>
      <c r="BI3808" s="65"/>
      <c r="BJ3808" s="65"/>
      <c r="BK3808" s="65"/>
      <c r="BL3808" s="99"/>
      <c r="BM3808" s="99"/>
      <c r="BN3808" s="99"/>
    </row>
    <row r="3809" spans="1:66" s="51" customFormat="1" ht="18" x14ac:dyDescent="0.25">
      <c r="A3809" s="623" t="s">
        <v>4174</v>
      </c>
      <c r="B3809" s="624"/>
      <c r="C3809" s="709"/>
      <c r="D3809" s="625" t="s">
        <v>4175</v>
      </c>
      <c r="E3809" s="626"/>
      <c r="F3809" s="626"/>
      <c r="G3809" s="626"/>
      <c r="H3809" s="622" t="s">
        <v>1516</v>
      </c>
      <c r="I3809" s="627" t="s">
        <v>4810</v>
      </c>
      <c r="J3809" s="628"/>
      <c r="K3809" s="628"/>
      <c r="L3809" s="629"/>
      <c r="M3809" s="700" t="s">
        <v>5249</v>
      </c>
      <c r="N3809" s="693" t="str">
        <f>IF(AND(ISTEXT($A3809), ISERROR($A3809+0)), HYPERLINK($BF3809, "Images"), "")</f>
        <v>Images</v>
      </c>
      <c r="O3809" s="695" t="s">
        <v>5247</v>
      </c>
      <c r="P3809" s="630"/>
      <c r="Q3809" s="631"/>
      <c r="R3809" s="632"/>
      <c r="S3809" s="633"/>
      <c r="T3809" s="102">
        <f t="shared" si="2858"/>
        <v>0</v>
      </c>
      <c r="U3809" s="78" t="str">
        <f>IF(NOT(ISNUMBER(G3809)), "", VLOOKUP(A3809,'Discount Lookup'!D:E,2,FALSE)*G3809)</f>
        <v/>
      </c>
      <c r="V3809" s="78" t="str">
        <f>IF(NOT(ISNUMBER(G3809)), "", VLOOKUP(A3809,'Discount Lookup'!G:H,2,FALSE)*G3809)</f>
        <v/>
      </c>
      <c r="W3809" s="102">
        <f t="shared" si="2859"/>
        <v>0</v>
      </c>
      <c r="X3809" s="102" t="str">
        <f t="shared" si="2860"/>
        <v>Indigo flower spikes</v>
      </c>
      <c r="Y3809" s="120" t="b">
        <f t="shared" si="2861"/>
        <v>0</v>
      </c>
      <c r="Z3809" s="117">
        <f t="shared" si="2862"/>
        <v>0</v>
      </c>
      <c r="AA3809" s="118"/>
      <c r="AB3809" s="118" t="str">
        <f t="shared" si="2863"/>
        <v/>
      </c>
      <c r="AC3809" s="712" t="str">
        <f>IF(AE3809="T2G","no charge",IF(AND(OR(PlanterYesMe="No",PlanterYesMe="N",PlanterYesMe="me"),H3809=""),"",IF(H3809="credit","NO install",IF(AND(K3809="",AE3809="me"),"EACH row",IF(AND(K3809="images",AE3809="me"),"EACH row",IF(D3809="","",IF(H3809="credit","",IF(AE3809="free","re-planting",IF(AE3809="me","   not ELP, by",IF(AND(OR(PlanterYesMe="Yes",PlanterYesMe="Y"),G3809&gt;0),(VLOOKUP(A3809,'Discount Lookup'!J:K,2)*G3809*(1-PlanterDiscount)*(1+PlanterDifficultyPercentage)),IF(AE3809="ELP",(VLOOKUP(A3809,'Discount Lookup'!J:K,2)*G3809*(1-PlanterDiscount)*(1+PlanterDifficultyPercentage)),IF(AE3809="free","re-planting",IF(G3809=0,"",IF(PlanterYesMe="",IF(AE3809="me","   not ELP, by",IF(AE3809="",IF(G3809&gt;0,(VLOOKUP(A3809,'Discount Lookup'!J:K,2)*G3809*(1-PlanterDiscount)*(1+PlanterDifficultyPercentage)),""),"")),"   not ELP, by"))))))))))))))</f>
        <v/>
      </c>
      <c r="AD3809" s="712"/>
      <c r="AE3809" s="513" t="str">
        <f t="shared" si="2864"/>
        <v/>
      </c>
      <c r="AF3809" s="713" t="str">
        <f t="shared" si="2865"/>
        <v/>
      </c>
      <c r="AG3809" s="713"/>
      <c r="AH3809" s="713"/>
      <c r="AI3809" s="112">
        <f>IF(H3809="credit",0,IF(AE3809="free",0,IF(AE3809="me",0,IF(G3809&gt;0,(VLOOKUP(A3809,'Discount Lookup'!J:K,2)*G3809),0))))</f>
        <v>0</v>
      </c>
      <c r="AJ3809" s="107" t="str">
        <f t="shared" ca="1" si="2866"/>
        <v/>
      </c>
      <c r="AK3809" s="714" t="str">
        <f t="shared" si="2867"/>
        <v/>
      </c>
      <c r="AL3809" s="714"/>
      <c r="AM3809" s="114" t="str">
        <f t="shared" si="2868"/>
        <v/>
      </c>
      <c r="AN3809" s="115"/>
      <c r="AO3809" s="116"/>
      <c r="AP3809" s="116"/>
      <c r="AQ3809" s="116"/>
      <c r="AR3809" s="116"/>
      <c r="AS3809" s="116"/>
      <c r="AT3809" s="116"/>
      <c r="AU3809" s="116"/>
      <c r="AV3809" s="78"/>
      <c r="AW3809" s="102"/>
      <c r="AX3809" s="78"/>
      <c r="AY3809" s="78"/>
      <c r="AZ3809" s="78"/>
      <c r="BA3809" s="78"/>
      <c r="BB3809" s="78"/>
      <c r="BC3809" s="78"/>
      <c r="BD3809" s="78"/>
      <c r="BE3809" s="465"/>
      <c r="BF3809" s="165" t="str">
        <f t="shared" si="2869"/>
        <v>https://www.google.com/search?tbm=isch&amp;q=Salvia%20nemorosa%20%27May%20Night%27%20May%20Night%20Salvia</v>
      </c>
      <c r="BG3809" s="165" t="str">
        <f t="shared" si="2870"/>
        <v>S</v>
      </c>
      <c r="BH3809" s="65"/>
      <c r="BI3809" s="65"/>
      <c r="BJ3809" s="65"/>
      <c r="BK3809" s="65"/>
      <c r="BL3809" s="99"/>
      <c r="BM3809" s="99"/>
      <c r="BN3809" s="99"/>
    </row>
    <row r="3810" spans="1:66" s="51" customFormat="1" ht="15.75" x14ac:dyDescent="0.25">
      <c r="A3810" s="634">
        <v>1</v>
      </c>
      <c r="B3810" s="635" t="s">
        <v>291</v>
      </c>
      <c r="C3810" s="636" t="s">
        <v>5018</v>
      </c>
      <c r="D3810" s="637" t="s">
        <v>293</v>
      </c>
      <c r="E3810" s="638">
        <v>21.95</v>
      </c>
      <c r="F3810" s="639" t="s">
        <v>292</v>
      </c>
      <c r="G3810" s="484">
        <v>0</v>
      </c>
      <c r="H3810" s="691" t="str">
        <f>IF(G3810=0,"",IF(F3810="Buy",IF(G3810=1,"plant","plants"),IF(F3810&gt;0.01,"warranty","Error")))</f>
        <v/>
      </c>
      <c r="I3810" s="640">
        <f>IF(H3810="free",0,IF(H3810="credit",((E3810*(F3810))*G3810*-1),IF(F3810="Buy",(E3810*G3810),((E3810*(1-F3810))*G3810))))</f>
        <v>0</v>
      </c>
      <c r="J3810" s="640">
        <f>IF(H3810="warranty",0,(I3810*(_xlfn.SINGLE(SalesTaxPercentage))))</f>
        <v>0</v>
      </c>
      <c r="K3810" s="716">
        <f t="shared" ref="K3810" si="2876">I3810+J3810</f>
        <v>0</v>
      </c>
      <c r="L3810" s="716"/>
      <c r="M3810" s="689" t="str">
        <f ca="1">IF(AND(G3810&gt;0,E3810=0),"WARNING - no PRICE inserted",IF(H3810="free","FREE ~ no charge this plant",IF(H3810="credit",CONCATENATE("-$",ROUND(K3810*(1-_xlfn.SINGLE(T2GDiscount))*-1,2)," CREDIT after discount"),IF(_xlfn.SINGLE(T2GDiscount)=0,"",IF(G3810=0,"",IF(F3810="Buy",CONCATENATE("$",ROUND(K3810*(1-_xlfn.SINGLE(T2GDiscount)),2)," with ",(_xlfn.SINGLE(T2GDiscount)*100),"% discount"),CONCATENATE("$",ROUND(K3810*(1-_xlfn.SINGLE(T2GDiscount)),2)," with ",((_xlfn.SINGLE(T2GDiscount)*100+F3810*100)-(_xlfn.SINGLE(T2GDiscount)*100*F3810)),IF(F3810&gt;0,"% discounts",IF(_xlfn.SINGLE(NoWarrantyDiscount)&gt;0,"% discounts","% discount")))))))))</f>
        <v/>
      </c>
      <c r="N3810" s="690"/>
      <c r="O3810" s="486"/>
      <c r="P3810" s="486"/>
      <c r="Q3810" s="486"/>
      <c r="R3810" s="486"/>
      <c r="S3810" s="486"/>
      <c r="T3810" s="102">
        <f t="shared" si="2858"/>
        <v>0</v>
      </c>
      <c r="U3810" s="78">
        <f>IF(NOT(ISNUMBER(G3810)), "", VLOOKUP(A3810,'Discount Lookup'!D:E,2,FALSE)*G3810)</f>
        <v>0</v>
      </c>
      <c r="V3810" s="78">
        <f>IF(NOT(ISNUMBER(G3810)), "", VLOOKUP(A3810,'Discount Lookup'!G:H,2,FALSE)*G3810)</f>
        <v>0</v>
      </c>
      <c r="W3810" s="102">
        <f t="shared" si="2859"/>
        <v>0</v>
      </c>
      <c r="X3810" s="102">
        <f t="shared" si="2860"/>
        <v>0</v>
      </c>
      <c r="Y3810" s="120" t="b">
        <f t="shared" si="2861"/>
        <v>0</v>
      </c>
      <c r="Z3810" s="117">
        <f t="shared" si="2862"/>
        <v>0</v>
      </c>
      <c r="AA3810" s="118"/>
      <c r="AB3810" s="118" t="str">
        <f t="shared" si="2863"/>
        <v/>
      </c>
      <c r="AC3810" s="712" t="str">
        <f>IF(AE3810="T2G","no charge",IF(AND(OR(PlanterYesMe="No",PlanterYesMe="N",PlanterYesMe="me"),H3810=""),"",IF(H3810="credit","NO install",IF(AND(K3810="",AE3810="me"),"EACH row",IF(AND(K3810="images",AE3810="me"),"EACH row",IF(D3810="","",IF(H3810="credit","",IF(AE3810="free","re-planting",IF(AE3810="me","   not ELP, by",IF(AND(OR(PlanterYesMe="Yes",PlanterYesMe="Y"),G3810&gt;0),(VLOOKUP(A3810,'Discount Lookup'!J:K,2)*G3810*(1-PlanterDiscount)*(1+PlanterDifficultyPercentage)),IF(AE3810="ELP",(VLOOKUP(A3810,'Discount Lookup'!J:K,2)*G3810*(1-PlanterDiscount)*(1+PlanterDifficultyPercentage)),IF(AE3810="free","re-planting",IF(G3810=0,"",IF(PlanterYesMe="",IF(AE3810="me","   not ELP, by",IF(AE3810="",IF(G3810&gt;0,(VLOOKUP(A3810,'Discount Lookup'!J:K,2)*G3810*(1-PlanterDiscount)*(1+PlanterDifficultyPercentage)),""),"")),"   not ELP, by"))))))))))))))</f>
        <v/>
      </c>
      <c r="AD3810" s="712"/>
      <c r="AE3810" s="513" t="str">
        <f t="shared" si="2864"/>
        <v/>
      </c>
      <c r="AF3810" s="713" t="str">
        <f t="shared" si="2865"/>
        <v/>
      </c>
      <c r="AG3810" s="713"/>
      <c r="AH3810" s="713"/>
      <c r="AI3810" s="112">
        <f>IF(H3810="credit",0,IF(AE3810="free",0,IF(AE3810="me",0,IF(G3810&gt;0,(VLOOKUP(A3810,'Discount Lookup'!J:K,2)*G3810),0))))</f>
        <v>0</v>
      </c>
      <c r="AJ3810" s="107" t="str">
        <f t="shared" ca="1" si="2866"/>
        <v/>
      </c>
      <c r="AK3810" s="714" t="str">
        <f t="shared" si="2867"/>
        <v/>
      </c>
      <c r="AL3810" s="714"/>
      <c r="AM3810" s="114" t="str">
        <f t="shared" si="2868"/>
        <v/>
      </c>
      <c r="AN3810" s="115"/>
      <c r="AO3810" s="116"/>
      <c r="AP3810" s="116"/>
      <c r="AQ3810" s="116"/>
      <c r="AR3810" s="116"/>
      <c r="AS3810" s="116"/>
      <c r="AT3810" s="116"/>
      <c r="AU3810" s="116"/>
      <c r="AV3810" s="78"/>
      <c r="AW3810" s="102"/>
      <c r="AX3810" s="78"/>
      <c r="AY3810" s="78"/>
      <c r="AZ3810" s="78"/>
      <c r="BA3810" s="78"/>
      <c r="BB3810" s="78"/>
      <c r="BC3810" s="78"/>
      <c r="BD3810" s="78"/>
      <c r="BE3810" s="465"/>
      <c r="BF3810" s="165" t="str">
        <f t="shared" si="2869"/>
        <v>https://www.google.com/search?tbm=isch&amp;q=1%20G6</v>
      </c>
      <c r="BG3810" s="165" t="str">
        <f t="shared" si="2870"/>
        <v>S</v>
      </c>
      <c r="BH3810" s="65"/>
      <c r="BI3810" s="65"/>
      <c r="BJ3810" s="65"/>
      <c r="BK3810" s="65"/>
      <c r="BL3810" s="99"/>
      <c r="BM3810" s="99"/>
      <c r="BN3810" s="99"/>
    </row>
    <row r="3811" spans="1:66" s="51" customFormat="1" ht="15.75" x14ac:dyDescent="0.25">
      <c r="A3811" s="634">
        <v>2</v>
      </c>
      <c r="B3811" s="635" t="s">
        <v>291</v>
      </c>
      <c r="C3811" s="636" t="s">
        <v>5019</v>
      </c>
      <c r="D3811" s="637" t="s">
        <v>293</v>
      </c>
      <c r="E3811" s="638">
        <v>31.95</v>
      </c>
      <c r="F3811" s="639" t="s">
        <v>292</v>
      </c>
      <c r="G3811" s="484">
        <v>0</v>
      </c>
      <c r="H3811" s="691" t="str">
        <f>IF(G3811=0,"",IF(F3811="Buy",IF(G3811=1,"plant","plants"),IF(F3811&gt;0.01,"warranty","Error")))</f>
        <v/>
      </c>
      <c r="I3811" s="640">
        <f>IF(H3811="free",0,IF(H3811="credit",((E3811*(F3811))*G3811*-1),IF(F3811="Buy",(E3811*G3811),((E3811*(1-F3811))*G3811))))</f>
        <v>0</v>
      </c>
      <c r="J3811" s="640">
        <f>IF(H3811="warranty",0,(I3811*(_xlfn.SINGLE(SalesTaxPercentage))))</f>
        <v>0</v>
      </c>
      <c r="K3811" s="716">
        <f t="shared" ref="K3811" si="2877">I3811+J3811</f>
        <v>0</v>
      </c>
      <c r="L3811" s="716"/>
      <c r="M3811" s="689" t="str">
        <f ca="1">IF(AND(G3811&gt;0,E3811=0),"WARNING - no PRICE inserted",IF(H3811="free","FREE ~ no charge this plant",IF(H3811="credit",CONCATENATE("-$",ROUND(K3811*(1-_xlfn.SINGLE(T2GDiscount))*-1,2)," CREDIT after discount"),IF(_xlfn.SINGLE(T2GDiscount)=0,"",IF(G3811=0,"",IF(F3811="Buy",CONCATENATE("$",ROUND(K3811*(1-_xlfn.SINGLE(T2GDiscount)),2)," with ",(_xlfn.SINGLE(T2GDiscount)*100),"% discount"),CONCATENATE("$",ROUND(K3811*(1-_xlfn.SINGLE(T2GDiscount)),2)," with ",((_xlfn.SINGLE(T2GDiscount)*100+F3811*100)-(_xlfn.SINGLE(T2GDiscount)*100*F3811)),IF(F3811&gt;0,"% discounts",IF(_xlfn.SINGLE(NoWarrantyDiscount)&gt;0,"% discounts","% discount")))))))))</f>
        <v/>
      </c>
      <c r="N3811" s="690"/>
      <c r="O3811" s="486"/>
      <c r="P3811" s="486"/>
      <c r="Q3811" s="486"/>
      <c r="R3811" s="486"/>
      <c r="S3811" s="486"/>
      <c r="T3811" s="102">
        <f t="shared" si="2858"/>
        <v>0</v>
      </c>
      <c r="U3811" s="78">
        <f>IF(NOT(ISNUMBER(G3811)), "", VLOOKUP(A3811,'Discount Lookup'!D:E,2,FALSE)*G3811)</f>
        <v>0</v>
      </c>
      <c r="V3811" s="78">
        <f>IF(NOT(ISNUMBER(G3811)), "", VLOOKUP(A3811,'Discount Lookup'!G:H,2,FALSE)*G3811)</f>
        <v>0</v>
      </c>
      <c r="W3811" s="102">
        <f t="shared" si="2859"/>
        <v>0</v>
      </c>
      <c r="X3811" s="102">
        <f t="shared" si="2860"/>
        <v>0</v>
      </c>
      <c r="Y3811" s="120" t="b">
        <f t="shared" si="2861"/>
        <v>0</v>
      </c>
      <c r="Z3811" s="117">
        <f t="shared" si="2862"/>
        <v>0</v>
      </c>
      <c r="AA3811" s="118"/>
      <c r="AB3811" s="118" t="str">
        <f t="shared" si="2863"/>
        <v/>
      </c>
      <c r="AC3811" s="712" t="str">
        <f>IF(AE3811="T2G","no charge",IF(AND(OR(PlanterYesMe="No",PlanterYesMe="N",PlanterYesMe="me"),H3811=""),"",IF(H3811="credit","NO install",IF(AND(K3811="",AE3811="me"),"EACH row",IF(AND(K3811="images",AE3811="me"),"EACH row",IF(D3811="","",IF(H3811="credit","",IF(AE3811="free","re-planting",IF(AE3811="me","   not ELP, by",IF(AND(OR(PlanterYesMe="Yes",PlanterYesMe="Y"),G3811&gt;0),(VLOOKUP(A3811,'Discount Lookup'!J:K,2)*G3811*(1-PlanterDiscount)*(1+PlanterDifficultyPercentage)),IF(AE3811="ELP",(VLOOKUP(A3811,'Discount Lookup'!J:K,2)*G3811*(1-PlanterDiscount)*(1+PlanterDifficultyPercentage)),IF(AE3811="free","re-planting",IF(G3811=0,"",IF(PlanterYesMe="",IF(AE3811="me","   not ELP, by",IF(AE3811="",IF(G3811&gt;0,(VLOOKUP(A3811,'Discount Lookup'!J:K,2)*G3811*(1-PlanterDiscount)*(1+PlanterDifficultyPercentage)),""),"")),"   not ELP, by"))))))))))))))</f>
        <v/>
      </c>
      <c r="AD3811" s="712"/>
      <c r="AE3811" s="513" t="str">
        <f t="shared" si="2864"/>
        <v/>
      </c>
      <c r="AF3811" s="713" t="str">
        <f t="shared" si="2865"/>
        <v/>
      </c>
      <c r="AG3811" s="713"/>
      <c r="AH3811" s="713"/>
      <c r="AI3811" s="112">
        <f>IF(H3811="credit",0,IF(AE3811="free",0,IF(AE3811="me",0,IF(G3811&gt;0,(VLOOKUP(A3811,'Discount Lookup'!J:K,2)*G3811),0))))</f>
        <v>0</v>
      </c>
      <c r="AJ3811" s="107" t="str">
        <f t="shared" ca="1" si="2866"/>
        <v/>
      </c>
      <c r="AK3811" s="714" t="str">
        <f t="shared" si="2867"/>
        <v/>
      </c>
      <c r="AL3811" s="714"/>
      <c r="AM3811" s="114" t="str">
        <f t="shared" si="2868"/>
        <v/>
      </c>
      <c r="AN3811" s="115"/>
      <c r="AO3811" s="116"/>
      <c r="AP3811" s="116"/>
      <c r="AQ3811" s="116"/>
      <c r="AR3811" s="116"/>
      <c r="AS3811" s="116"/>
      <c r="AT3811" s="116"/>
      <c r="AU3811" s="116"/>
      <c r="AV3811" s="78"/>
      <c r="AW3811" s="102"/>
      <c r="AX3811" s="78"/>
      <c r="AY3811" s="78"/>
      <c r="AZ3811" s="78"/>
      <c r="BA3811" s="78"/>
      <c r="BB3811" s="78"/>
      <c r="BC3811" s="78"/>
      <c r="BD3811" s="78"/>
      <c r="BE3811" s="465"/>
      <c r="BF3811" s="165" t="str">
        <f t="shared" si="2869"/>
        <v>https://www.google.com/search?tbm=isch&amp;q=2%20G6</v>
      </c>
      <c r="BG3811" s="165" t="str">
        <f t="shared" si="2870"/>
        <v>S</v>
      </c>
      <c r="BH3811" s="65"/>
      <c r="BI3811" s="65"/>
      <c r="BJ3811" s="65"/>
      <c r="BK3811" s="65"/>
      <c r="BL3811" s="99"/>
      <c r="BM3811" s="99"/>
      <c r="BN3811" s="99"/>
    </row>
    <row r="3812" spans="1:66" s="51" customFormat="1" ht="16.5" x14ac:dyDescent="0.25">
      <c r="A3812" s="641" t="s">
        <v>4811</v>
      </c>
      <c r="B3812" s="642"/>
      <c r="C3812" s="710"/>
      <c r="D3812" s="643"/>
      <c r="E3812" s="643"/>
      <c r="F3812" s="644"/>
      <c r="G3812" s="645"/>
      <c r="H3812" s="646"/>
      <c r="I3812" s="647"/>
      <c r="J3812" s="648"/>
      <c r="K3812" s="649"/>
      <c r="L3812" s="650"/>
      <c r="M3812" s="650"/>
      <c r="N3812" s="644"/>
      <c r="O3812" s="644"/>
      <c r="P3812" s="644"/>
      <c r="Q3812" s="644"/>
      <c r="R3812" s="644"/>
      <c r="S3812" s="701" t="s">
        <v>5307</v>
      </c>
      <c r="T3812" s="102">
        <f t="shared" si="2858"/>
        <v>0</v>
      </c>
      <c r="U3812" s="78" t="str">
        <f>IF(NOT(ISNUMBER(G3812)), "", VLOOKUP(A3812,'Discount Lookup'!D:E,2,FALSE)*G3812)</f>
        <v/>
      </c>
      <c r="V3812" s="78" t="str">
        <f>IF(NOT(ISNUMBER(G3812)), "", VLOOKUP(A3812,'Discount Lookup'!G:H,2,FALSE)*G3812)</f>
        <v/>
      </c>
      <c r="W3812" s="102">
        <f t="shared" si="2859"/>
        <v>0</v>
      </c>
      <c r="X3812" s="102">
        <f t="shared" si="2860"/>
        <v>0</v>
      </c>
      <c r="Y3812" s="120" t="b">
        <f t="shared" si="2861"/>
        <v>0</v>
      </c>
      <c r="Z3812" s="117">
        <f t="shared" si="2862"/>
        <v>0</v>
      </c>
      <c r="AA3812" s="118"/>
      <c r="AB3812" s="118" t="str">
        <f t="shared" si="2863"/>
        <v/>
      </c>
      <c r="AC3812" s="712" t="str">
        <f>IF(AE3812="T2G","no charge",IF(AND(OR(PlanterYesMe="No",PlanterYesMe="N",PlanterYesMe="me"),H3812=""),"",IF(H3812="credit","NO install",IF(AND(K3812="",AE3812="me"),"EACH row",IF(AND(K3812="images",AE3812="me"),"EACH row",IF(D3812="","",IF(H3812="credit","",IF(AE3812="free","re-planting",IF(AE3812="me","   not ELP, by",IF(AND(OR(PlanterYesMe="Yes",PlanterYesMe="Y"),G3812&gt;0),(VLOOKUP(A3812,'Discount Lookup'!J:K,2)*G3812*(1-PlanterDiscount)*(1+PlanterDifficultyPercentage)),IF(AE3812="ELP",(VLOOKUP(A3812,'Discount Lookup'!J:K,2)*G3812*(1-PlanterDiscount)*(1+PlanterDifficultyPercentage)),IF(AE3812="free","re-planting",IF(G3812=0,"",IF(PlanterYesMe="",IF(AE3812="me","   not ELP, by",IF(AE3812="",IF(G3812&gt;0,(VLOOKUP(A3812,'Discount Lookup'!J:K,2)*G3812*(1-PlanterDiscount)*(1+PlanterDifficultyPercentage)),""),"")),"   not ELP, by"))))))))))))))</f>
        <v/>
      </c>
      <c r="AD3812" s="712"/>
      <c r="AE3812" s="513" t="str">
        <f t="shared" si="2864"/>
        <v/>
      </c>
      <c r="AF3812" s="713" t="str">
        <f t="shared" si="2865"/>
        <v/>
      </c>
      <c r="AG3812" s="713"/>
      <c r="AH3812" s="713"/>
      <c r="AI3812" s="112">
        <f>IF(H3812="credit",0,IF(AE3812="free",0,IF(AE3812="me",0,IF(G3812&gt;0,(VLOOKUP(A3812,'Discount Lookup'!J:K,2)*G3812),0))))</f>
        <v>0</v>
      </c>
      <c r="AJ3812" s="107" t="str">
        <f t="shared" ca="1" si="2866"/>
        <v/>
      </c>
      <c r="AK3812" s="714" t="str">
        <f t="shared" si="2867"/>
        <v/>
      </c>
      <c r="AL3812" s="714"/>
      <c r="AM3812" s="114" t="str">
        <f t="shared" si="2868"/>
        <v/>
      </c>
      <c r="AN3812" s="115"/>
      <c r="AO3812" s="116"/>
      <c r="AP3812" s="116"/>
      <c r="AQ3812" s="116"/>
      <c r="AR3812" s="116"/>
      <c r="AS3812" s="116"/>
      <c r="AT3812" s="116"/>
      <c r="AU3812" s="116"/>
      <c r="AV3812" s="78"/>
      <c r="AW3812" s="102"/>
      <c r="AX3812" s="78"/>
      <c r="AY3812" s="78"/>
      <c r="AZ3812" s="78"/>
      <c r="BA3812" s="78"/>
      <c r="BB3812" s="78"/>
      <c r="BC3812" s="78"/>
      <c r="BD3812" s="78"/>
      <c r="BE3812" s="465"/>
      <c r="BF3812" s="165" t="str">
        <f t="shared" si="2869"/>
        <v>https://www.google.com/search?tbm=isch&amp;q=May%20Night%20blooms%20very%20early%20%28late%20spring%29.%20Aromatic%20Dark%20Green%20foliage.%20Will%20rebloom%20with%20deadheading%0A%20</v>
      </c>
      <c r="BG3812" s="165" t="str">
        <f t="shared" si="2870"/>
        <v>M</v>
      </c>
      <c r="BH3812" s="65"/>
      <c r="BI3812" s="65"/>
      <c r="BJ3812" s="65"/>
      <c r="BK3812" s="65"/>
      <c r="BL3812" s="99"/>
      <c r="BM3812" s="99"/>
      <c r="BN3812" s="99"/>
    </row>
    <row r="3813" spans="1:66" s="51" customFormat="1" ht="19.5" thickBot="1" x14ac:dyDescent="0.3">
      <c r="A3813" s="686" t="s">
        <v>728</v>
      </c>
      <c r="B3813" s="73"/>
      <c r="C3813" s="708"/>
      <c r="D3813" s="73"/>
      <c r="E3813" s="73"/>
      <c r="F3813" s="496"/>
      <c r="G3813" s="73"/>
      <c r="H3813" s="73"/>
      <c r="I3813" s="73"/>
      <c r="J3813" s="497" t="s">
        <v>357</v>
      </c>
      <c r="K3813" s="498"/>
      <c r="L3813" s="562"/>
      <c r="M3813" s="73"/>
      <c r="N3813"/>
      <c r="O3813"/>
      <c r="P3813"/>
      <c r="Q3813"/>
      <c r="R3813"/>
      <c r="S3813"/>
      <c r="T3813" s="102">
        <f t="shared" si="2858"/>
        <v>0</v>
      </c>
      <c r="U3813" s="78" t="str">
        <f>IF(NOT(ISNUMBER(G3813)), "", VLOOKUP(A3813,'Discount Lookup'!D:E,2,FALSE)*G3813)</f>
        <v/>
      </c>
      <c r="V3813" s="78" t="str">
        <f>IF(NOT(ISNUMBER(G3813)), "", VLOOKUP(A3813,'Discount Lookup'!G:H,2,FALSE)*G3813)</f>
        <v/>
      </c>
      <c r="W3813" s="102">
        <f t="shared" si="2859"/>
        <v>0</v>
      </c>
      <c r="X3813" s="102">
        <f t="shared" si="2860"/>
        <v>0</v>
      </c>
      <c r="Y3813" s="120" t="b">
        <f t="shared" si="2861"/>
        <v>0</v>
      </c>
      <c r="Z3813" s="117">
        <f t="shared" si="2862"/>
        <v>0</v>
      </c>
      <c r="AA3813" s="118"/>
      <c r="AB3813" s="118" t="str">
        <f t="shared" si="2863"/>
        <v/>
      </c>
      <c r="AC3813" s="712" t="str">
        <f>IF(AE3813="T2G","no charge",IF(AND(OR(PlanterYesMe="No",PlanterYesMe="N",PlanterYesMe="me"),H3813=""),"",IF(H3813="credit","NO install",IF(AND(K3813="",AE3813="me"),"EACH row",IF(AND(K3813="images",AE3813="me"),"EACH row",IF(D3813="","",IF(H3813="credit","",IF(AE3813="free","re-planting",IF(AE3813="me","   not ELP, by",IF(AND(OR(PlanterYesMe="Yes",PlanterYesMe="Y"),G3813&gt;0),(VLOOKUP(A3813,'Discount Lookup'!J:K,2)*G3813*(1-PlanterDiscount)*(1+PlanterDifficultyPercentage)),IF(AE3813="ELP",(VLOOKUP(A3813,'Discount Lookup'!J:K,2)*G3813*(1-PlanterDiscount)*(1+PlanterDifficultyPercentage)),IF(AE3813="free","re-planting",IF(G3813=0,"",IF(PlanterYesMe="",IF(AE3813="me","   not ELP, by",IF(AE3813="",IF(G3813&gt;0,(VLOOKUP(A3813,'Discount Lookup'!J:K,2)*G3813*(1-PlanterDiscount)*(1+PlanterDifficultyPercentage)),""),"")),"   not ELP, by"))))))))))))))</f>
        <v/>
      </c>
      <c r="AD3813" s="712"/>
      <c r="AE3813" s="513" t="str">
        <f t="shared" si="2864"/>
        <v/>
      </c>
      <c r="AF3813" s="713" t="str">
        <f t="shared" si="2865"/>
        <v/>
      </c>
      <c r="AG3813" s="713"/>
      <c r="AH3813" s="713"/>
      <c r="AI3813" s="112">
        <f>IF(H3813="credit",0,IF(AE3813="free",0,IF(AE3813="me",0,IF(G3813&gt;0,(VLOOKUP(A3813,'Discount Lookup'!J:K,2)*G3813),0))))</f>
        <v>0</v>
      </c>
      <c r="AJ3813" s="107" t="str">
        <f t="shared" ca="1" si="2866"/>
        <v/>
      </c>
      <c r="AK3813" s="714" t="str">
        <f t="shared" si="2867"/>
        <v/>
      </c>
      <c r="AL3813" s="714"/>
      <c r="AM3813" s="114" t="str">
        <f t="shared" si="2868"/>
        <v/>
      </c>
      <c r="AN3813" s="115"/>
      <c r="AO3813" s="116"/>
      <c r="AP3813" s="116"/>
      <c r="AQ3813" s="116"/>
      <c r="AR3813" s="116"/>
      <c r="AS3813" s="116"/>
      <c r="AT3813" s="116"/>
      <c r="AU3813" s="116"/>
      <c r="AV3813" s="78"/>
      <c r="AW3813" s="102"/>
      <c r="AX3813" s="78"/>
      <c r="AY3813" s="78"/>
      <c r="AZ3813" s="78"/>
      <c r="BA3813" s="78"/>
      <c r="BB3813" s="78"/>
      <c r="BC3813" s="78"/>
      <c r="BD3813" s="78"/>
      <c r="BE3813" s="465"/>
      <c r="BF3813" s="165" t="str">
        <f t="shared" si="2869"/>
        <v>https://www.google.com/search?tbm=isch&amp;q=Sambucus%20%3D%20Elderberry%20</v>
      </c>
      <c r="BG3813" s="165" t="str">
        <f t="shared" si="2870"/>
        <v>S</v>
      </c>
      <c r="BH3813" s="65"/>
      <c r="BI3813" s="65"/>
      <c r="BJ3813" s="65"/>
      <c r="BK3813" s="65"/>
      <c r="BL3813" s="99"/>
      <c r="BM3813" s="99"/>
      <c r="BN3813" s="99"/>
    </row>
    <row r="3814" spans="1:66" s="51" customFormat="1" ht="18" x14ac:dyDescent="0.25">
      <c r="A3814" s="623" t="s">
        <v>4176</v>
      </c>
      <c r="B3814" s="624"/>
      <c r="C3814" s="709"/>
      <c r="D3814" s="625" t="s">
        <v>4177</v>
      </c>
      <c r="E3814" s="626"/>
      <c r="F3814" s="626"/>
      <c r="G3814" s="626"/>
      <c r="H3814" s="622" t="s">
        <v>4178</v>
      </c>
      <c r="I3814" s="627" t="s">
        <v>350</v>
      </c>
      <c r="J3814" s="628"/>
      <c r="K3814" s="628"/>
      <c r="L3814" s="629"/>
      <c r="M3814" s="700" t="s">
        <v>5249</v>
      </c>
      <c r="N3814" s="693" t="str">
        <f>IF(AND(ISTEXT($A3814), ISERROR($A3814+0)), HYPERLINK($BF3814, "Images"), "")</f>
        <v>Images</v>
      </c>
      <c r="O3814" s="695" t="s">
        <v>5247</v>
      </c>
      <c r="P3814" s="630"/>
      <c r="Q3814" s="631"/>
      <c r="R3814" s="632"/>
      <c r="S3814" s="633" t="s">
        <v>294</v>
      </c>
      <c r="T3814" s="102">
        <f t="shared" si="2858"/>
        <v>0</v>
      </c>
      <c r="U3814" s="78" t="str">
        <f>IF(NOT(ISNUMBER(G3814)), "", VLOOKUP(A3814,'Discount Lookup'!D:E,2,FALSE)*G3814)</f>
        <v/>
      </c>
      <c r="V3814" s="78" t="str">
        <f>IF(NOT(ISNUMBER(G3814)), "", VLOOKUP(A3814,'Discount Lookup'!G:H,2,FALSE)*G3814)</f>
        <v/>
      </c>
      <c r="W3814" s="102">
        <f t="shared" si="2859"/>
        <v>0</v>
      </c>
      <c r="X3814" s="102" t="str">
        <f t="shared" si="2860"/>
        <v>Creamy White bloom</v>
      </c>
      <c r="Y3814" s="120" t="b">
        <f t="shared" si="2861"/>
        <v>0</v>
      </c>
      <c r="Z3814" s="117">
        <f t="shared" si="2862"/>
        <v>0</v>
      </c>
      <c r="AA3814" s="118"/>
      <c r="AB3814" s="118" t="str">
        <f t="shared" si="2863"/>
        <v/>
      </c>
      <c r="AC3814" s="712" t="str">
        <f>IF(AE3814="T2G","no charge",IF(AND(OR(PlanterYesMe="No",PlanterYesMe="N",PlanterYesMe="me"),H3814=""),"",IF(H3814="credit","NO install",IF(AND(K3814="",AE3814="me"),"EACH row",IF(AND(K3814="images",AE3814="me"),"EACH row",IF(D3814="","",IF(H3814="credit","",IF(AE3814="free","re-planting",IF(AE3814="me","   not ELP, by",IF(AND(OR(PlanterYesMe="Yes",PlanterYesMe="Y"),G3814&gt;0),(VLOOKUP(A3814,'Discount Lookup'!J:K,2)*G3814*(1-PlanterDiscount)*(1+PlanterDifficultyPercentage)),IF(AE3814="ELP",(VLOOKUP(A3814,'Discount Lookup'!J:K,2)*G3814*(1-PlanterDiscount)*(1+PlanterDifficultyPercentage)),IF(AE3814="free","re-planting",IF(G3814=0,"",IF(PlanterYesMe="",IF(AE3814="me","   not ELP, by",IF(AE3814="",IF(G3814&gt;0,(VLOOKUP(A3814,'Discount Lookup'!J:K,2)*G3814*(1-PlanterDiscount)*(1+PlanterDifficultyPercentage)),""),"")),"   not ELP, by"))))))))))))))</f>
        <v/>
      </c>
      <c r="AD3814" s="712"/>
      <c r="AE3814" s="513" t="str">
        <f t="shared" si="2864"/>
        <v/>
      </c>
      <c r="AF3814" s="713" t="str">
        <f t="shared" si="2865"/>
        <v/>
      </c>
      <c r="AG3814" s="713"/>
      <c r="AH3814" s="713"/>
      <c r="AI3814" s="112">
        <f>IF(H3814="credit",0,IF(AE3814="free",0,IF(AE3814="me",0,IF(G3814&gt;0,(VLOOKUP(A3814,'Discount Lookup'!J:K,2)*G3814),0))))</f>
        <v>0</v>
      </c>
      <c r="AJ3814" s="107" t="str">
        <f t="shared" ca="1" si="2866"/>
        <v/>
      </c>
      <c r="AK3814" s="714" t="str">
        <f t="shared" si="2867"/>
        <v/>
      </c>
      <c r="AL3814" s="714"/>
      <c r="AM3814" s="114" t="str">
        <f t="shared" si="2868"/>
        <v/>
      </c>
      <c r="AN3814" s="115"/>
      <c r="AO3814" s="116"/>
      <c r="AP3814" s="116"/>
      <c r="AQ3814" s="116"/>
      <c r="AR3814" s="116"/>
      <c r="AS3814" s="116"/>
      <c r="AT3814" s="116"/>
      <c r="AU3814" s="116"/>
      <c r="AV3814" s="78"/>
      <c r="AW3814" s="102"/>
      <c r="AX3814" s="78"/>
      <c r="AY3814" s="78"/>
      <c r="AZ3814" s="78"/>
      <c r="BA3814" s="78"/>
      <c r="BB3814" s="78"/>
      <c r="BC3814" s="78"/>
      <c r="BD3814" s="78"/>
      <c r="BE3814" s="465"/>
      <c r="BF3814" s="165" t="str">
        <f t="shared" si="2869"/>
        <v>https://www.google.com/search?tbm=isch&amp;q=Sambucus%20canadensis%20%27Blonde%20Envy%27%20Blonde%20Envy%20Elderberry</v>
      </c>
      <c r="BG3814" s="165" t="str">
        <f t="shared" si="2870"/>
        <v>S</v>
      </c>
      <c r="BH3814" s="65"/>
      <c r="BI3814" s="65"/>
      <c r="BJ3814" s="65"/>
      <c r="BK3814" s="65"/>
      <c r="BL3814" s="99"/>
      <c r="BM3814" s="99"/>
      <c r="BN3814" s="99"/>
    </row>
    <row r="3815" spans="1:66" s="51" customFormat="1" ht="27" x14ac:dyDescent="0.25">
      <c r="A3815" s="634">
        <v>7</v>
      </c>
      <c r="B3815" s="635" t="s">
        <v>291</v>
      </c>
      <c r="C3815" s="636" t="s">
        <v>4179</v>
      </c>
      <c r="D3815" s="637" t="s">
        <v>299</v>
      </c>
      <c r="E3815" s="638">
        <v>91.95</v>
      </c>
      <c r="F3815" s="639" t="s">
        <v>292</v>
      </c>
      <c r="G3815" s="484">
        <v>0</v>
      </c>
      <c r="H3815" s="691" t="str">
        <f>IF(G3815=0,"",IF(F3815="Buy",IF(G3815=1,"plant","plants"),IF(F3815&gt;0.01,"warranty","Error")))</f>
        <v/>
      </c>
      <c r="I3815" s="640">
        <f>IF(H3815="free",0,IF(H3815="credit",((E3815*(F3815))*G3815*-1),IF(F3815="Buy",(E3815*G3815),((E3815*(1-F3815))*G3815))))</f>
        <v>0</v>
      </c>
      <c r="J3815" s="640">
        <f>IF(H3815="warranty",0,(I3815*(_xlfn.SINGLE(SalesTaxPercentage))))</f>
        <v>0</v>
      </c>
      <c r="K3815" s="716">
        <f t="shared" ref="K3815" si="2878">I3815+J3815</f>
        <v>0</v>
      </c>
      <c r="L3815" s="716"/>
      <c r="M3815" s="689" t="str">
        <f ca="1">IF(AND(G3815&gt;0,E3815=0),"WARNING - no PRICE inserted",IF(H3815="free","FREE ~ no charge this plant",IF(H3815="credit",CONCATENATE("-$",ROUND(K3815*(1-_xlfn.SINGLE(T2GDiscount))*-1,2)," CREDIT after discount"),IF(_xlfn.SINGLE(T2GDiscount)=0,"",IF(G3815=0,"",IF(F3815="Buy",CONCATENATE("$",ROUND(K3815*(1-_xlfn.SINGLE(T2GDiscount)),2)," with ",(_xlfn.SINGLE(T2GDiscount)*100),"% discount"),CONCATENATE("$",ROUND(K3815*(1-_xlfn.SINGLE(T2GDiscount)),2)," with ",((_xlfn.SINGLE(T2GDiscount)*100+F3815*100)-(_xlfn.SINGLE(T2GDiscount)*100*F3815)),IF(F3815&gt;0,"% discounts",IF(_xlfn.SINGLE(NoWarrantyDiscount)&gt;0,"% discounts","% discount")))))))))</f>
        <v/>
      </c>
      <c r="N3815" s="690"/>
      <c r="O3815" s="486"/>
      <c r="P3815" s="486"/>
      <c r="Q3815" s="486"/>
      <c r="R3815" s="486"/>
      <c r="S3815" s="486"/>
      <c r="T3815" s="102">
        <f t="shared" si="2858"/>
        <v>0</v>
      </c>
      <c r="U3815" s="78">
        <f>IF(NOT(ISNUMBER(G3815)), "", VLOOKUP(A3815,'Discount Lookup'!D:E,2,FALSE)*G3815)</f>
        <v>0</v>
      </c>
      <c r="V3815" s="78">
        <f>IF(NOT(ISNUMBER(G3815)), "", VLOOKUP(A3815,'Discount Lookup'!G:H,2,FALSE)*G3815)</f>
        <v>0</v>
      </c>
      <c r="W3815" s="102">
        <f t="shared" si="2859"/>
        <v>0</v>
      </c>
      <c r="X3815" s="102">
        <f t="shared" si="2860"/>
        <v>0</v>
      </c>
      <c r="Y3815" s="120" t="b">
        <f t="shared" si="2861"/>
        <v>0</v>
      </c>
      <c r="Z3815" s="117">
        <f t="shared" si="2862"/>
        <v>0</v>
      </c>
      <c r="AA3815" s="118"/>
      <c r="AB3815" s="118" t="str">
        <f t="shared" si="2863"/>
        <v/>
      </c>
      <c r="AC3815" s="712" t="str">
        <f>IF(AE3815="T2G","no charge",IF(AND(OR(PlanterYesMe="No",PlanterYesMe="N",PlanterYesMe="me"),H3815=""),"",IF(H3815="credit","NO install",IF(AND(K3815="",AE3815="me"),"EACH row",IF(AND(K3815="images",AE3815="me"),"EACH row",IF(D3815="","",IF(H3815="credit","",IF(AE3815="free","re-planting",IF(AE3815="me","   not ELP, by",IF(AND(OR(PlanterYesMe="Yes",PlanterYesMe="Y"),G3815&gt;0),(VLOOKUP(A3815,'Discount Lookup'!J:K,2)*G3815*(1-PlanterDiscount)*(1+PlanterDifficultyPercentage)),IF(AE3815="ELP",(VLOOKUP(A3815,'Discount Lookup'!J:K,2)*G3815*(1-PlanterDiscount)*(1+PlanterDifficultyPercentage)),IF(AE3815="free","re-planting",IF(G3815=0,"",IF(PlanterYesMe="",IF(AE3815="me","   not ELP, by",IF(AE3815="",IF(G3815&gt;0,(VLOOKUP(A3815,'Discount Lookup'!J:K,2)*G3815*(1-PlanterDiscount)*(1+PlanterDifficultyPercentage)),""),"")),"   not ELP, by"))))))))))))))</f>
        <v/>
      </c>
      <c r="AD3815" s="712"/>
      <c r="AE3815" s="513" t="str">
        <f t="shared" si="2864"/>
        <v/>
      </c>
      <c r="AF3815" s="713" t="str">
        <f t="shared" si="2865"/>
        <v/>
      </c>
      <c r="AG3815" s="713"/>
      <c r="AH3815" s="713"/>
      <c r="AI3815" s="112">
        <f>IF(H3815="credit",0,IF(AE3815="free",0,IF(AE3815="me",0,IF(G3815&gt;0,(VLOOKUP(A3815,'Discount Lookup'!J:K,2)*G3815),0))))</f>
        <v>0</v>
      </c>
      <c r="AJ3815" s="107" t="str">
        <f t="shared" ca="1" si="2866"/>
        <v/>
      </c>
      <c r="AK3815" s="714" t="str">
        <f t="shared" si="2867"/>
        <v/>
      </c>
      <c r="AL3815" s="714"/>
      <c r="AM3815" s="114" t="str">
        <f t="shared" si="2868"/>
        <v/>
      </c>
      <c r="AN3815" s="115"/>
      <c r="AO3815" s="116"/>
      <c r="AP3815" s="116"/>
      <c r="AQ3815" s="116"/>
      <c r="AR3815" s="116"/>
      <c r="AS3815" s="116"/>
      <c r="AT3815" s="116"/>
      <c r="AU3815" s="116"/>
      <c r="AV3815" s="78"/>
      <c r="AW3815" s="102"/>
      <c r="AX3815" s="78"/>
      <c r="AY3815" s="78"/>
      <c r="AZ3815" s="78"/>
      <c r="BA3815" s="78"/>
      <c r="BB3815" s="78"/>
      <c r="BC3815" s="78"/>
      <c r="BD3815" s="78"/>
      <c r="BE3815" s="465"/>
      <c r="BF3815" s="165" t="str">
        <f t="shared" si="2869"/>
        <v>https://www.google.com/search?tbm=isch&amp;q=7%20G4</v>
      </c>
      <c r="BG3815" s="165" t="str">
        <f t="shared" si="2870"/>
        <v>S</v>
      </c>
      <c r="BH3815" s="65"/>
      <c r="BI3815" s="65"/>
      <c r="BJ3815" s="65"/>
      <c r="BK3815" s="65"/>
      <c r="BL3815" s="99"/>
      <c r="BM3815" s="99"/>
      <c r="BN3815" s="99"/>
    </row>
    <row r="3816" spans="1:66" s="51" customFormat="1" ht="16.5" x14ac:dyDescent="0.25">
      <c r="A3816" s="704" t="s">
        <v>5527</v>
      </c>
      <c r="B3816" s="642"/>
      <c r="C3816" s="710"/>
      <c r="D3816" s="643"/>
      <c r="E3816" s="643"/>
      <c r="F3816" s="644"/>
      <c r="G3816" s="645"/>
      <c r="H3816" s="646"/>
      <c r="I3816" s="647"/>
      <c r="J3816" s="648"/>
      <c r="K3816" s="649"/>
      <c r="L3816" s="650"/>
      <c r="M3816" s="650"/>
      <c r="N3816" s="644"/>
      <c r="O3816" s="644"/>
      <c r="P3816" s="644"/>
      <c r="Q3816" s="644"/>
      <c r="R3816" s="644"/>
      <c r="S3816" s="701" t="s">
        <v>5262</v>
      </c>
      <c r="T3816" s="102">
        <f t="shared" si="2858"/>
        <v>0</v>
      </c>
      <c r="U3816" s="78" t="str">
        <f>IF(NOT(ISNUMBER(G3816)), "", VLOOKUP(A3816,'Discount Lookup'!D:E,2,FALSE)*G3816)</f>
        <v/>
      </c>
      <c r="V3816" s="78" t="str">
        <f>IF(NOT(ISNUMBER(G3816)), "", VLOOKUP(A3816,'Discount Lookup'!G:H,2,FALSE)*G3816)</f>
        <v/>
      </c>
      <c r="W3816" s="102">
        <f t="shared" si="2859"/>
        <v>0</v>
      </c>
      <c r="X3816" s="102">
        <f t="shared" si="2860"/>
        <v>0</v>
      </c>
      <c r="Y3816" s="120" t="b">
        <f t="shared" si="2861"/>
        <v>0</v>
      </c>
      <c r="Z3816" s="117">
        <f t="shared" si="2862"/>
        <v>0</v>
      </c>
      <c r="AA3816" s="118"/>
      <c r="AB3816" s="118" t="str">
        <f t="shared" si="2863"/>
        <v/>
      </c>
      <c r="AC3816" s="712" t="str">
        <f>IF(AE3816="T2G","no charge",IF(AND(OR(PlanterYesMe="No",PlanterYesMe="N",PlanterYesMe="me"),H3816=""),"",IF(H3816="credit","NO install",IF(AND(K3816="",AE3816="me"),"EACH row",IF(AND(K3816="images",AE3816="me"),"EACH row",IF(D3816="","",IF(H3816="credit","",IF(AE3816="free","re-planting",IF(AE3816="me","   not ELP, by",IF(AND(OR(PlanterYesMe="Yes",PlanterYesMe="Y"),G3816&gt;0),(VLOOKUP(A3816,'Discount Lookup'!J:K,2)*G3816*(1-PlanterDiscount)*(1+PlanterDifficultyPercentage)),IF(AE3816="ELP",(VLOOKUP(A3816,'Discount Lookup'!J:K,2)*G3816*(1-PlanterDiscount)*(1+PlanterDifficultyPercentage)),IF(AE3816="free","re-planting",IF(G3816=0,"",IF(PlanterYesMe="",IF(AE3816="me","   not ELP, by",IF(AE3816="",IF(G3816&gt;0,(VLOOKUP(A3816,'Discount Lookup'!J:K,2)*G3816*(1-PlanterDiscount)*(1+PlanterDifficultyPercentage)),""),"")),"   not ELP, by"))))))))))))))</f>
        <v/>
      </c>
      <c r="AD3816" s="712"/>
      <c r="AE3816" s="513" t="str">
        <f t="shared" si="2864"/>
        <v/>
      </c>
      <c r="AF3816" s="713" t="str">
        <f t="shared" si="2865"/>
        <v/>
      </c>
      <c r="AG3816" s="713"/>
      <c r="AH3816" s="713"/>
      <c r="AI3816" s="112">
        <f>IF(H3816="credit",0,IF(AE3816="free",0,IF(AE3816="me",0,IF(G3816&gt;0,(VLOOKUP(A3816,'Discount Lookup'!J:K,2)*G3816),0))))</f>
        <v>0</v>
      </c>
      <c r="AJ3816" s="107" t="str">
        <f t="shared" ca="1" si="2866"/>
        <v/>
      </c>
      <c r="AK3816" s="714" t="str">
        <f t="shared" si="2867"/>
        <v/>
      </c>
      <c r="AL3816" s="714"/>
      <c r="AM3816" s="114" t="str">
        <f t="shared" si="2868"/>
        <v/>
      </c>
      <c r="AN3816" s="115"/>
      <c r="AO3816" s="116"/>
      <c r="AP3816" s="116"/>
      <c r="AQ3816" s="116"/>
      <c r="AR3816" s="116"/>
      <c r="AS3816" s="116"/>
      <c r="AT3816" s="116"/>
      <c r="AU3816" s="116"/>
      <c r="AV3816" s="78"/>
      <c r="AW3816" s="102"/>
      <c r="AX3816" s="78"/>
      <c r="AY3816" s="78"/>
      <c r="AZ3816" s="78"/>
      <c r="BA3816" s="78"/>
      <c r="BB3816" s="78"/>
      <c r="BC3816" s="78"/>
      <c r="BD3816" s="78"/>
      <c r="BE3816" s="465"/>
      <c r="BF3816" s="165" t="str">
        <f t="shared" si="2869"/>
        <v>https://www.google.com/search?tbm=isch&amp;q=wet%20sites%F0%9F%92%A7GOOD%2C%20Blonde%20Envy%20has%20edible%20Purple-Black%20berries%20if%20pollinated.%20Fragrant.%20Bright%20Yellow%20foliage%20in%20sun%2C%20Chartreuse%20in%20less%20</v>
      </c>
      <c r="BG3816" s="165" t="str">
        <f t="shared" si="2870"/>
        <v>w</v>
      </c>
      <c r="BH3816" s="65"/>
      <c r="BI3816" s="65"/>
      <c r="BJ3816" s="65"/>
      <c r="BK3816" s="65"/>
      <c r="BL3816" s="99"/>
      <c r="BM3816" s="99"/>
      <c r="BN3816" s="99"/>
    </row>
    <row r="3817" spans="1:66" s="51" customFormat="1" ht="19.5" thickBot="1" x14ac:dyDescent="0.3">
      <c r="A3817" s="686" t="s">
        <v>729</v>
      </c>
      <c r="B3817" s="73"/>
      <c r="C3817" s="708"/>
      <c r="D3817" s="73"/>
      <c r="E3817" s="73"/>
      <c r="F3817" s="496"/>
      <c r="G3817" s="73"/>
      <c r="H3817" s="73"/>
      <c r="I3817" s="73"/>
      <c r="J3817" s="497" t="s">
        <v>357</v>
      </c>
      <c r="K3817" s="498"/>
      <c r="L3817" s="562"/>
      <c r="M3817" s="73"/>
      <c r="N3817"/>
      <c r="O3817"/>
      <c r="P3817"/>
      <c r="Q3817"/>
      <c r="R3817"/>
      <c r="S3817"/>
      <c r="T3817" s="102">
        <f t="shared" si="2858"/>
        <v>0</v>
      </c>
      <c r="U3817" s="78" t="str">
        <f>IF(NOT(ISNUMBER(G3817)), "", VLOOKUP(A3817,'Discount Lookup'!D:E,2,FALSE)*G3817)</f>
        <v/>
      </c>
      <c r="V3817" s="78" t="str">
        <f>IF(NOT(ISNUMBER(G3817)), "", VLOOKUP(A3817,'Discount Lookup'!G:H,2,FALSE)*G3817)</f>
        <v/>
      </c>
      <c r="W3817" s="102">
        <f t="shared" si="2859"/>
        <v>0</v>
      </c>
      <c r="X3817" s="102">
        <f t="shared" si="2860"/>
        <v>0</v>
      </c>
      <c r="Y3817" s="120" t="b">
        <f t="shared" si="2861"/>
        <v>0</v>
      </c>
      <c r="Z3817" s="117">
        <f t="shared" si="2862"/>
        <v>0</v>
      </c>
      <c r="AA3817" s="118"/>
      <c r="AB3817" s="118" t="str">
        <f t="shared" si="2863"/>
        <v/>
      </c>
      <c r="AC3817" s="712" t="str">
        <f>IF(AE3817="T2G","no charge",IF(AND(OR(PlanterYesMe="No",PlanterYesMe="N",PlanterYesMe="me"),H3817=""),"",IF(H3817="credit","NO install",IF(AND(K3817="",AE3817="me"),"EACH row",IF(AND(K3817="images",AE3817="me"),"EACH row",IF(D3817="","",IF(H3817="credit","",IF(AE3817="free","re-planting",IF(AE3817="me","   not ELP, by",IF(AND(OR(PlanterYesMe="Yes",PlanterYesMe="Y"),G3817&gt;0),(VLOOKUP(A3817,'Discount Lookup'!J:K,2)*G3817*(1-PlanterDiscount)*(1+PlanterDifficultyPercentage)),IF(AE3817="ELP",(VLOOKUP(A3817,'Discount Lookup'!J:K,2)*G3817*(1-PlanterDiscount)*(1+PlanterDifficultyPercentage)),IF(AE3817="free","re-planting",IF(G3817=0,"",IF(PlanterYesMe="",IF(AE3817="me","   not ELP, by",IF(AE3817="",IF(G3817&gt;0,(VLOOKUP(A3817,'Discount Lookup'!J:K,2)*G3817*(1-PlanterDiscount)*(1+PlanterDifficultyPercentage)),""),"")),"   not ELP, by"))))))))))))))</f>
        <v/>
      </c>
      <c r="AD3817" s="712"/>
      <c r="AE3817" s="513" t="str">
        <f t="shared" si="2864"/>
        <v/>
      </c>
      <c r="AF3817" s="713" t="str">
        <f t="shared" si="2865"/>
        <v/>
      </c>
      <c r="AG3817" s="713"/>
      <c r="AH3817" s="713"/>
      <c r="AI3817" s="112">
        <f>IF(H3817="credit",0,IF(AE3817="free",0,IF(AE3817="me",0,IF(G3817&gt;0,(VLOOKUP(A3817,'Discount Lookup'!J:K,2)*G3817),0))))</f>
        <v>0</v>
      </c>
      <c r="AJ3817" s="107" t="str">
        <f t="shared" ca="1" si="2866"/>
        <v/>
      </c>
      <c r="AK3817" s="714" t="str">
        <f t="shared" si="2867"/>
        <v/>
      </c>
      <c r="AL3817" s="714"/>
      <c r="AM3817" s="114" t="str">
        <f t="shared" si="2868"/>
        <v/>
      </c>
      <c r="AN3817" s="115"/>
      <c r="AO3817" s="116"/>
      <c r="AP3817" s="116"/>
      <c r="AQ3817" s="116"/>
      <c r="AR3817" s="116"/>
      <c r="AS3817" s="116"/>
      <c r="AT3817" s="116"/>
      <c r="AU3817" s="116"/>
      <c r="AV3817" s="78"/>
      <c r="AW3817" s="102"/>
      <c r="AX3817" s="78"/>
      <c r="AY3817" s="78"/>
      <c r="AZ3817" s="78"/>
      <c r="BA3817" s="78"/>
      <c r="BB3817" s="78"/>
      <c r="BC3817" s="78"/>
      <c r="BD3817" s="78"/>
      <c r="BE3817" s="465"/>
      <c r="BF3817" s="165" t="str">
        <f t="shared" si="2869"/>
        <v>https://www.google.com/search?tbm=isch&amp;q=Sarcococca%20%3D%20Sweet%20Box%20</v>
      </c>
      <c r="BG3817" s="165" t="str">
        <f t="shared" si="2870"/>
        <v>S</v>
      </c>
      <c r="BH3817" s="65"/>
      <c r="BI3817" s="65"/>
      <c r="BJ3817" s="65"/>
      <c r="BK3817" s="65"/>
      <c r="BL3817" s="99"/>
      <c r="BM3817" s="99"/>
      <c r="BN3817" s="99"/>
    </row>
    <row r="3818" spans="1:66" s="51" customFormat="1" ht="18" x14ac:dyDescent="0.25">
      <c r="A3818" s="507" t="s">
        <v>4180</v>
      </c>
      <c r="B3818" s="470"/>
      <c r="C3818" s="706"/>
      <c r="D3818" s="471" t="s">
        <v>4181</v>
      </c>
      <c r="E3818" s="472"/>
      <c r="F3818" s="472"/>
      <c r="G3818" s="472"/>
      <c r="H3818" s="622" t="s">
        <v>1082</v>
      </c>
      <c r="I3818" s="473" t="s">
        <v>349</v>
      </c>
      <c r="J3818" s="472"/>
      <c r="K3818" s="472"/>
      <c r="L3818" s="561"/>
      <c r="M3818" s="703" t="s">
        <v>5260</v>
      </c>
      <c r="N3818" s="692" t="str">
        <f>IF(AND(ISTEXT($A3818), ISERROR($A3818+0)), HYPERLINK($BF3818, "Images"), "")</f>
        <v>Images</v>
      </c>
      <c r="O3818" s="694" t="s">
        <v>5244</v>
      </c>
      <c r="P3818" s="475"/>
      <c r="Q3818" s="476"/>
      <c r="R3818" s="476"/>
      <c r="S3818" s="477"/>
      <c r="T3818" s="102">
        <f t="shared" si="2858"/>
        <v>0</v>
      </c>
      <c r="U3818" s="78" t="str">
        <f>IF(NOT(ISNUMBER(G3818)), "", VLOOKUP(A3818,'Discount Lookup'!D:E,2,FALSE)*G3818)</f>
        <v/>
      </c>
      <c r="V3818" s="78" t="str">
        <f>IF(NOT(ISNUMBER(G3818)), "", VLOOKUP(A3818,'Discount Lookup'!G:H,2,FALSE)*G3818)</f>
        <v/>
      </c>
      <c r="W3818" s="102">
        <f t="shared" si="2859"/>
        <v>0</v>
      </c>
      <c r="X3818" s="102" t="str">
        <f t="shared" si="2860"/>
        <v>White bloom</v>
      </c>
      <c r="Y3818" s="120" t="b">
        <f t="shared" si="2861"/>
        <v>0</v>
      </c>
      <c r="Z3818" s="117">
        <f t="shared" si="2862"/>
        <v>0</v>
      </c>
      <c r="AA3818" s="118"/>
      <c r="AB3818" s="118" t="str">
        <f t="shared" si="2863"/>
        <v/>
      </c>
      <c r="AC3818" s="712" t="str">
        <f>IF(AE3818="T2G","no charge",IF(AND(OR(PlanterYesMe="No",PlanterYesMe="N",PlanterYesMe="me"),H3818=""),"",IF(H3818="credit","NO install",IF(AND(K3818="",AE3818="me"),"EACH row",IF(AND(K3818="images",AE3818="me"),"EACH row",IF(D3818="","",IF(H3818="credit","",IF(AE3818="free","re-planting",IF(AE3818="me","   not ELP, by",IF(AND(OR(PlanterYesMe="Yes",PlanterYesMe="Y"),G3818&gt;0),(VLOOKUP(A3818,'Discount Lookup'!J:K,2)*G3818*(1-PlanterDiscount)*(1+PlanterDifficultyPercentage)),IF(AE3818="ELP",(VLOOKUP(A3818,'Discount Lookup'!J:K,2)*G3818*(1-PlanterDiscount)*(1+PlanterDifficultyPercentage)),IF(AE3818="free","re-planting",IF(G3818=0,"",IF(PlanterYesMe="",IF(AE3818="me","   not ELP, by",IF(AE3818="",IF(G3818&gt;0,(VLOOKUP(A3818,'Discount Lookup'!J:K,2)*G3818*(1-PlanterDiscount)*(1+PlanterDifficultyPercentage)),""),"")),"   not ELP, by"))))))))))))))</f>
        <v/>
      </c>
      <c r="AD3818" s="712"/>
      <c r="AE3818" s="513" t="str">
        <f t="shared" si="2864"/>
        <v/>
      </c>
      <c r="AF3818" s="713" t="str">
        <f t="shared" si="2865"/>
        <v/>
      </c>
      <c r="AG3818" s="713"/>
      <c r="AH3818" s="713"/>
      <c r="AI3818" s="112">
        <f>IF(H3818="credit",0,IF(AE3818="free",0,IF(AE3818="me",0,IF(G3818&gt;0,(VLOOKUP(A3818,'Discount Lookup'!J:K,2)*G3818),0))))</f>
        <v>0</v>
      </c>
      <c r="AJ3818" s="107" t="str">
        <f t="shared" ca="1" si="2866"/>
        <v/>
      </c>
      <c r="AK3818" s="714" t="str">
        <f t="shared" si="2867"/>
        <v/>
      </c>
      <c r="AL3818" s="714"/>
      <c r="AM3818" s="114" t="str">
        <f t="shared" si="2868"/>
        <v/>
      </c>
      <c r="AN3818" s="115"/>
      <c r="AO3818" s="116"/>
      <c r="AP3818" s="116"/>
      <c r="AQ3818" s="116"/>
      <c r="AR3818" s="116"/>
      <c r="AS3818" s="116"/>
      <c r="AT3818" s="116"/>
      <c r="AU3818" s="116"/>
      <c r="AV3818" s="78"/>
      <c r="AW3818" s="102"/>
      <c r="AX3818" s="78"/>
      <c r="AY3818" s="78"/>
      <c r="AZ3818" s="78"/>
      <c r="BA3818" s="78"/>
      <c r="BB3818" s="78"/>
      <c r="BC3818" s="78"/>
      <c r="BD3818" s="78"/>
      <c r="BE3818" s="465"/>
      <c r="BF3818" s="165" t="str">
        <f t="shared" si="2869"/>
        <v>https://www.google.com/search?tbm=isch&amp;q=Sarcococca%20confusa%20Sweet%20Box</v>
      </c>
      <c r="BG3818" s="165" t="str">
        <f t="shared" si="2870"/>
        <v>S</v>
      </c>
      <c r="BH3818" s="65"/>
      <c r="BI3818" s="65"/>
      <c r="BJ3818" s="65"/>
      <c r="BK3818" s="65"/>
      <c r="BL3818" s="99"/>
      <c r="BM3818" s="99"/>
      <c r="BN3818" s="99"/>
    </row>
    <row r="3819" spans="1:66" s="51" customFormat="1" ht="15.75" x14ac:dyDescent="0.25">
      <c r="A3819" s="478">
        <v>3</v>
      </c>
      <c r="B3819" s="479" t="s">
        <v>291</v>
      </c>
      <c r="C3819" s="480"/>
      <c r="D3819" s="481" t="s">
        <v>311</v>
      </c>
      <c r="E3819" s="482">
        <v>34.950000000000003</v>
      </c>
      <c r="F3819" s="483" t="s">
        <v>292</v>
      </c>
      <c r="G3819" s="484">
        <v>0</v>
      </c>
      <c r="H3819" s="688" t="str">
        <f>IF(G3819=0,"",IF(F3819="Buy",IF(G3819=1,"plant","plants"),IF(F3819&gt;0.01,"warranty","Error")))</f>
        <v/>
      </c>
      <c r="I3819" s="485">
        <f>IF(H3819="free",0,IF(H3819="credit",((E3819*(F3819))*G3819*-1),IF(F3819="Buy",(E3819*G3819),((E3819*(1-F3819))*G3819))))</f>
        <v>0</v>
      </c>
      <c r="J3819" s="485">
        <f>IF(H3819="warranty",0,(I3819*(_xlfn.SINGLE(SalesTaxPercentage))))</f>
        <v>0</v>
      </c>
      <c r="K3819" s="715">
        <f t="shared" ref="K3819" si="2879">I3819+J3819</f>
        <v>0</v>
      </c>
      <c r="L3819" s="715"/>
      <c r="M3819" s="689" t="str">
        <f ca="1">IF(AND(G3819&gt;0,E3819=0),"WARNING - no PRICE inserted",IF(H3819="free","FREE ~ no charge this plant",IF(H3819="credit",CONCATENATE("-$",ROUND(K3819*(1-_xlfn.SINGLE(T2GDiscount))*-1,2)," CREDIT after discount"),IF(_xlfn.SINGLE(T2GDiscount)=0,"",IF(G3819=0,"",IF(F3819="Buy",CONCATENATE("$",ROUND(K3819*(1-_xlfn.SINGLE(T2GDiscount)),2)," with ",(_xlfn.SINGLE(T2GDiscount)*100),"% discount"),CONCATENATE("$",ROUND(K3819*(1-_xlfn.SINGLE(T2GDiscount)),2)," with ",((_xlfn.SINGLE(T2GDiscount)*100+F3819*100)-(_xlfn.SINGLE(T2GDiscount)*100*F3819)),IF(F3819&gt;0,"% discounts",IF(_xlfn.SINGLE(NoWarrantyDiscount)&gt;0,"% discounts","% discount")))))))))</f>
        <v/>
      </c>
      <c r="N3819" s="690"/>
      <c r="O3819" s="486"/>
      <c r="P3819" s="486"/>
      <c r="Q3819" s="486"/>
      <c r="R3819" s="486"/>
      <c r="S3819" s="486"/>
      <c r="T3819" s="102">
        <f t="shared" si="2858"/>
        <v>0</v>
      </c>
      <c r="U3819" s="78">
        <f>IF(NOT(ISNUMBER(G3819)), "", VLOOKUP(A3819,'Discount Lookup'!D:E,2,FALSE)*G3819)</f>
        <v>0</v>
      </c>
      <c r="V3819" s="78">
        <f>IF(NOT(ISNUMBER(G3819)), "", VLOOKUP(A3819,'Discount Lookup'!G:H,2,FALSE)*G3819)</f>
        <v>0</v>
      </c>
      <c r="W3819" s="102">
        <f t="shared" si="2859"/>
        <v>0</v>
      </c>
      <c r="X3819" s="102">
        <f t="shared" si="2860"/>
        <v>0</v>
      </c>
      <c r="Y3819" s="120" t="b">
        <f t="shared" si="2861"/>
        <v>0</v>
      </c>
      <c r="Z3819" s="117">
        <f t="shared" si="2862"/>
        <v>0</v>
      </c>
      <c r="AA3819" s="118"/>
      <c r="AB3819" s="118" t="str">
        <f t="shared" si="2863"/>
        <v/>
      </c>
      <c r="AC3819" s="712" t="str">
        <f>IF(AE3819="T2G","no charge",IF(AND(OR(PlanterYesMe="No",PlanterYesMe="N",PlanterYesMe="me"),H3819=""),"",IF(H3819="credit","NO install",IF(AND(K3819="",AE3819="me"),"EACH row",IF(AND(K3819="images",AE3819="me"),"EACH row",IF(D3819="","",IF(H3819="credit","",IF(AE3819="free","re-planting",IF(AE3819="me","   not ELP, by",IF(AND(OR(PlanterYesMe="Yes",PlanterYesMe="Y"),G3819&gt;0),(VLOOKUP(A3819,'Discount Lookup'!J:K,2)*G3819*(1-PlanterDiscount)*(1+PlanterDifficultyPercentage)),IF(AE3819="ELP",(VLOOKUP(A3819,'Discount Lookup'!J:K,2)*G3819*(1-PlanterDiscount)*(1+PlanterDifficultyPercentage)),IF(AE3819="free","re-planting",IF(G3819=0,"",IF(PlanterYesMe="",IF(AE3819="me","   not ELP, by",IF(AE3819="",IF(G3819&gt;0,(VLOOKUP(A3819,'Discount Lookup'!J:K,2)*G3819*(1-PlanterDiscount)*(1+PlanterDifficultyPercentage)),""),"")),"   not ELP, by"))))))))))))))</f>
        <v/>
      </c>
      <c r="AD3819" s="712"/>
      <c r="AE3819" s="513" t="str">
        <f t="shared" si="2864"/>
        <v/>
      </c>
      <c r="AF3819" s="713" t="str">
        <f t="shared" si="2865"/>
        <v/>
      </c>
      <c r="AG3819" s="713"/>
      <c r="AH3819" s="713"/>
      <c r="AI3819" s="112">
        <f>IF(H3819="credit",0,IF(AE3819="free",0,IF(AE3819="me",0,IF(G3819&gt;0,(VLOOKUP(A3819,'Discount Lookup'!J:K,2)*G3819),0))))</f>
        <v>0</v>
      </c>
      <c r="AJ3819" s="107" t="str">
        <f t="shared" ca="1" si="2866"/>
        <v/>
      </c>
      <c r="AK3819" s="714" t="str">
        <f t="shared" si="2867"/>
        <v/>
      </c>
      <c r="AL3819" s="714"/>
      <c r="AM3819" s="114" t="str">
        <f t="shared" si="2868"/>
        <v/>
      </c>
      <c r="AN3819" s="115"/>
      <c r="AO3819" s="116"/>
      <c r="AP3819" s="116"/>
      <c r="AQ3819" s="116"/>
      <c r="AR3819" s="116"/>
      <c r="AS3819" s="116"/>
      <c r="AT3819" s="116"/>
      <c r="AU3819" s="116"/>
      <c r="AV3819" s="78"/>
      <c r="AW3819" s="102"/>
      <c r="AX3819" s="78"/>
      <c r="AY3819" s="78"/>
      <c r="AZ3819" s="78"/>
      <c r="BA3819" s="78"/>
      <c r="BB3819" s="78"/>
      <c r="BC3819" s="78"/>
      <c r="BD3819" s="78"/>
      <c r="BE3819" s="465"/>
      <c r="BF3819" s="165" t="str">
        <f t="shared" si="2869"/>
        <v>https://www.google.com/search?tbm=isch&amp;q=3%20G5</v>
      </c>
      <c r="BG3819" s="165" t="str">
        <f t="shared" si="2870"/>
        <v>S</v>
      </c>
      <c r="BH3819" s="65"/>
      <c r="BI3819" s="65"/>
      <c r="BJ3819" s="65"/>
      <c r="BK3819" s="65"/>
      <c r="BL3819" s="99"/>
      <c r="BM3819" s="99"/>
      <c r="BN3819" s="99"/>
    </row>
    <row r="3820" spans="1:66" s="51" customFormat="1" ht="15.75" x14ac:dyDescent="0.25">
      <c r="A3820" s="478">
        <v>3</v>
      </c>
      <c r="B3820" s="479" t="s">
        <v>291</v>
      </c>
      <c r="C3820" s="480" t="s">
        <v>2878</v>
      </c>
      <c r="D3820" s="481" t="s">
        <v>329</v>
      </c>
      <c r="E3820" s="482">
        <v>35.950000000000003</v>
      </c>
      <c r="F3820" s="483" t="s">
        <v>292</v>
      </c>
      <c r="G3820" s="484">
        <v>0</v>
      </c>
      <c r="H3820" s="688" t="str">
        <f>IF(G3820=0,"",IF(F3820="Buy",IF(G3820=1,"plant","plants"),IF(F3820&gt;0.01,"warranty","Error")))</f>
        <v/>
      </c>
      <c r="I3820" s="485">
        <f>IF(H3820="free",0,IF(H3820="credit",((E3820*(F3820))*G3820*-1),IF(F3820="Buy",(E3820*G3820),((E3820*(1-F3820))*G3820))))</f>
        <v>0</v>
      </c>
      <c r="J3820" s="485">
        <f>IF(H3820="warranty",0,(I3820*(_xlfn.SINGLE(SalesTaxPercentage))))</f>
        <v>0</v>
      </c>
      <c r="K3820" s="715">
        <f t="shared" ref="K3820" si="2880">I3820+J3820</f>
        <v>0</v>
      </c>
      <c r="L3820" s="715"/>
      <c r="M3820" s="689" t="str">
        <f ca="1">IF(AND(G3820&gt;0,E3820=0),"WARNING - no PRICE inserted",IF(H3820="free","FREE ~ no charge this plant",IF(H3820="credit",CONCATENATE("-$",ROUND(K3820*(1-_xlfn.SINGLE(T2GDiscount))*-1,2)," CREDIT after discount"),IF(_xlfn.SINGLE(T2GDiscount)=0,"",IF(G3820=0,"",IF(F3820="Buy",CONCATENATE("$",ROUND(K3820*(1-_xlfn.SINGLE(T2GDiscount)),2)," with ",(_xlfn.SINGLE(T2GDiscount)*100),"% discount"),CONCATENATE("$",ROUND(K3820*(1-_xlfn.SINGLE(T2GDiscount)),2)," with ",((_xlfn.SINGLE(T2GDiscount)*100+F3820*100)-(_xlfn.SINGLE(T2GDiscount)*100*F3820)),IF(F3820&gt;0,"% discounts",IF(_xlfn.SINGLE(NoWarrantyDiscount)&gt;0,"% discounts","% discount")))))))))</f>
        <v/>
      </c>
      <c r="N3820" s="690"/>
      <c r="O3820" s="486"/>
      <c r="P3820" s="486"/>
      <c r="Q3820" s="486"/>
      <c r="R3820" s="486"/>
      <c r="S3820" s="486"/>
      <c r="T3820" s="102">
        <f t="shared" si="2858"/>
        <v>0</v>
      </c>
      <c r="U3820" s="78">
        <f>IF(NOT(ISNUMBER(G3820)), "", VLOOKUP(A3820,'Discount Lookup'!D:E,2,FALSE)*G3820)</f>
        <v>0</v>
      </c>
      <c r="V3820" s="78">
        <f>IF(NOT(ISNUMBER(G3820)), "", VLOOKUP(A3820,'Discount Lookup'!G:H,2,FALSE)*G3820)</f>
        <v>0</v>
      </c>
      <c r="W3820" s="102">
        <f t="shared" si="2859"/>
        <v>0</v>
      </c>
      <c r="X3820" s="102">
        <f t="shared" si="2860"/>
        <v>0</v>
      </c>
      <c r="Y3820" s="120" t="b">
        <f t="shared" si="2861"/>
        <v>0</v>
      </c>
      <c r="Z3820" s="117">
        <f t="shared" si="2862"/>
        <v>0</v>
      </c>
      <c r="AA3820" s="118"/>
      <c r="AB3820" s="118" t="str">
        <f t="shared" si="2863"/>
        <v/>
      </c>
      <c r="AC3820" s="712" t="str">
        <f>IF(AE3820="T2G","no charge",IF(AND(OR(PlanterYesMe="No",PlanterYesMe="N",PlanterYesMe="me"),H3820=""),"",IF(H3820="credit","NO install",IF(AND(K3820="",AE3820="me"),"EACH row",IF(AND(K3820="images",AE3820="me"),"EACH row",IF(D3820="","",IF(H3820="credit","",IF(AE3820="free","re-planting",IF(AE3820="me","   not ELP, by",IF(AND(OR(PlanterYesMe="Yes",PlanterYesMe="Y"),G3820&gt;0),(VLOOKUP(A3820,'Discount Lookup'!J:K,2)*G3820*(1-PlanterDiscount)*(1+PlanterDifficultyPercentage)),IF(AE3820="ELP",(VLOOKUP(A3820,'Discount Lookup'!J:K,2)*G3820*(1-PlanterDiscount)*(1+PlanterDifficultyPercentage)),IF(AE3820="free","re-planting",IF(G3820=0,"",IF(PlanterYesMe="",IF(AE3820="me","   not ELP, by",IF(AE3820="",IF(G3820&gt;0,(VLOOKUP(A3820,'Discount Lookup'!J:K,2)*G3820*(1-PlanterDiscount)*(1+PlanterDifficultyPercentage)),""),"")),"   not ELP, by"))))))))))))))</f>
        <v/>
      </c>
      <c r="AD3820" s="712"/>
      <c r="AE3820" s="513" t="str">
        <f t="shared" si="2864"/>
        <v/>
      </c>
      <c r="AF3820" s="713" t="str">
        <f t="shared" si="2865"/>
        <v/>
      </c>
      <c r="AG3820" s="713"/>
      <c r="AH3820" s="713"/>
      <c r="AI3820" s="112">
        <f>IF(H3820="credit",0,IF(AE3820="free",0,IF(AE3820="me",0,IF(G3820&gt;0,(VLOOKUP(A3820,'Discount Lookup'!J:K,2)*G3820),0))))</f>
        <v>0</v>
      </c>
      <c r="AJ3820" s="107" t="str">
        <f t="shared" ca="1" si="2866"/>
        <v/>
      </c>
      <c r="AK3820" s="714" t="str">
        <f t="shared" si="2867"/>
        <v/>
      </c>
      <c r="AL3820" s="714"/>
      <c r="AM3820" s="114" t="str">
        <f t="shared" si="2868"/>
        <v/>
      </c>
      <c r="AN3820" s="115"/>
      <c r="AO3820" s="116"/>
      <c r="AP3820" s="116"/>
      <c r="AQ3820" s="116"/>
      <c r="AR3820" s="116"/>
      <c r="AS3820" s="116"/>
      <c r="AT3820" s="116"/>
      <c r="AU3820" s="116"/>
      <c r="AV3820" s="78"/>
      <c r="AW3820" s="102"/>
      <c r="AX3820" s="78"/>
      <c r="AY3820" s="78"/>
      <c r="AZ3820" s="78"/>
      <c r="BA3820" s="78"/>
      <c r="BB3820" s="78"/>
      <c r="BC3820" s="78"/>
      <c r="BD3820" s="78"/>
      <c r="BE3820" s="465"/>
      <c r="BF3820" s="165" t="str">
        <f t="shared" si="2869"/>
        <v>https://www.google.com/search?tbm=isch&amp;q=3%20G2</v>
      </c>
      <c r="BG3820" s="165" t="str">
        <f t="shared" si="2870"/>
        <v>S</v>
      </c>
      <c r="BH3820" s="65"/>
      <c r="BI3820" s="65"/>
      <c r="BJ3820" s="65"/>
      <c r="BK3820" s="65"/>
      <c r="BL3820" s="99"/>
      <c r="BM3820" s="99"/>
      <c r="BN3820" s="99"/>
    </row>
    <row r="3821" spans="1:66" s="51" customFormat="1" ht="15.75" x14ac:dyDescent="0.25">
      <c r="A3821" s="478">
        <v>3</v>
      </c>
      <c r="B3821" s="479" t="s">
        <v>291</v>
      </c>
      <c r="C3821" s="480" t="s">
        <v>4182</v>
      </c>
      <c r="D3821" s="481" t="s">
        <v>293</v>
      </c>
      <c r="E3821" s="482">
        <v>52.95</v>
      </c>
      <c r="F3821" s="483" t="s">
        <v>292</v>
      </c>
      <c r="G3821" s="484">
        <v>0</v>
      </c>
      <c r="H3821" s="688" t="str">
        <f>IF(G3821=0,"",IF(F3821="Buy",IF(G3821=1,"plant","plants"),IF(F3821&gt;0.01,"warranty","Error")))</f>
        <v/>
      </c>
      <c r="I3821" s="485">
        <f>IF(H3821="free",0,IF(H3821="credit",((E3821*(F3821))*G3821*-1),IF(F3821="Buy",(E3821*G3821),((E3821*(1-F3821))*G3821))))</f>
        <v>0</v>
      </c>
      <c r="J3821" s="485">
        <f>IF(H3821="warranty",0,(I3821*(_xlfn.SINGLE(SalesTaxPercentage))))</f>
        <v>0</v>
      </c>
      <c r="K3821" s="715">
        <f t="shared" ref="K3821" si="2881">I3821+J3821</f>
        <v>0</v>
      </c>
      <c r="L3821" s="715"/>
      <c r="M3821" s="689" t="str">
        <f ca="1">IF(AND(G3821&gt;0,E3821=0),"WARNING - no PRICE inserted",IF(H3821="free","FREE ~ no charge this plant",IF(H3821="credit",CONCATENATE("-$",ROUND(K3821*(1-_xlfn.SINGLE(T2GDiscount))*-1,2)," CREDIT after discount"),IF(_xlfn.SINGLE(T2GDiscount)=0,"",IF(G3821=0,"",IF(F3821="Buy",CONCATENATE("$",ROUND(K3821*(1-_xlfn.SINGLE(T2GDiscount)),2)," with ",(_xlfn.SINGLE(T2GDiscount)*100),"% discount"),CONCATENATE("$",ROUND(K3821*(1-_xlfn.SINGLE(T2GDiscount)),2)," with ",((_xlfn.SINGLE(T2GDiscount)*100+F3821*100)-(_xlfn.SINGLE(T2GDiscount)*100*F3821)),IF(F3821&gt;0,"% discounts",IF(_xlfn.SINGLE(NoWarrantyDiscount)&gt;0,"% discounts","% discount")))))))))</f>
        <v/>
      </c>
      <c r="N3821" s="690"/>
      <c r="O3821" s="486"/>
      <c r="P3821" s="486"/>
      <c r="Q3821" s="486"/>
      <c r="R3821" s="486"/>
      <c r="S3821" s="486"/>
      <c r="T3821" s="102">
        <f t="shared" si="2858"/>
        <v>0</v>
      </c>
      <c r="U3821" s="78">
        <f>IF(NOT(ISNUMBER(G3821)), "", VLOOKUP(A3821,'Discount Lookup'!D:E,2,FALSE)*G3821)</f>
        <v>0</v>
      </c>
      <c r="V3821" s="78">
        <f>IF(NOT(ISNUMBER(G3821)), "", VLOOKUP(A3821,'Discount Lookup'!G:H,2,FALSE)*G3821)</f>
        <v>0</v>
      </c>
      <c r="W3821" s="102">
        <f t="shared" si="2859"/>
        <v>0</v>
      </c>
      <c r="X3821" s="102">
        <f t="shared" si="2860"/>
        <v>0</v>
      </c>
      <c r="Y3821" s="120" t="b">
        <f t="shared" si="2861"/>
        <v>0</v>
      </c>
      <c r="Z3821" s="117">
        <f t="shared" si="2862"/>
        <v>0</v>
      </c>
      <c r="AA3821" s="118"/>
      <c r="AB3821" s="118" t="str">
        <f t="shared" si="2863"/>
        <v/>
      </c>
      <c r="AC3821" s="712" t="str">
        <f>IF(AE3821="T2G","no charge",IF(AND(OR(PlanterYesMe="No",PlanterYesMe="N",PlanterYesMe="me"),H3821=""),"",IF(H3821="credit","NO install",IF(AND(K3821="",AE3821="me"),"EACH row",IF(AND(K3821="images",AE3821="me"),"EACH row",IF(D3821="","",IF(H3821="credit","",IF(AE3821="free","re-planting",IF(AE3821="me","   not ELP, by",IF(AND(OR(PlanterYesMe="Yes",PlanterYesMe="Y"),G3821&gt;0),(VLOOKUP(A3821,'Discount Lookup'!J:K,2)*G3821*(1-PlanterDiscount)*(1+PlanterDifficultyPercentage)),IF(AE3821="ELP",(VLOOKUP(A3821,'Discount Lookup'!J:K,2)*G3821*(1-PlanterDiscount)*(1+PlanterDifficultyPercentage)),IF(AE3821="free","re-planting",IF(G3821=0,"",IF(PlanterYesMe="",IF(AE3821="me","   not ELP, by",IF(AE3821="",IF(G3821&gt;0,(VLOOKUP(A3821,'Discount Lookup'!J:K,2)*G3821*(1-PlanterDiscount)*(1+PlanterDifficultyPercentage)),""),"")),"   not ELP, by"))))))))))))))</f>
        <v/>
      </c>
      <c r="AD3821" s="712"/>
      <c r="AE3821" s="513" t="str">
        <f t="shared" si="2864"/>
        <v/>
      </c>
      <c r="AF3821" s="713" t="str">
        <f t="shared" si="2865"/>
        <v/>
      </c>
      <c r="AG3821" s="713"/>
      <c r="AH3821" s="713"/>
      <c r="AI3821" s="112">
        <f>IF(H3821="credit",0,IF(AE3821="free",0,IF(AE3821="me",0,IF(G3821&gt;0,(VLOOKUP(A3821,'Discount Lookup'!J:K,2)*G3821),0))))</f>
        <v>0</v>
      </c>
      <c r="AJ3821" s="107" t="str">
        <f t="shared" ca="1" si="2866"/>
        <v/>
      </c>
      <c r="AK3821" s="714" t="str">
        <f t="shared" si="2867"/>
        <v/>
      </c>
      <c r="AL3821" s="714"/>
      <c r="AM3821" s="114" t="str">
        <f t="shared" si="2868"/>
        <v/>
      </c>
      <c r="AN3821" s="115"/>
      <c r="AO3821" s="116"/>
      <c r="AP3821" s="116"/>
      <c r="AQ3821" s="116"/>
      <c r="AR3821" s="116"/>
      <c r="AS3821" s="116"/>
      <c r="AT3821" s="116"/>
      <c r="AU3821" s="116"/>
      <c r="AV3821" s="78"/>
      <c r="AW3821" s="102"/>
      <c r="AX3821" s="78"/>
      <c r="AY3821" s="78"/>
      <c r="AZ3821" s="78"/>
      <c r="BA3821" s="78"/>
      <c r="BB3821" s="78"/>
      <c r="BC3821" s="78"/>
      <c r="BD3821" s="78"/>
      <c r="BE3821" s="465"/>
      <c r="BF3821" s="165" t="str">
        <f t="shared" si="2869"/>
        <v>https://www.google.com/search?tbm=isch&amp;q=3%20G6</v>
      </c>
      <c r="BG3821" s="165" t="str">
        <f t="shared" si="2870"/>
        <v>S</v>
      </c>
      <c r="BH3821" s="65"/>
      <c r="BI3821" s="65"/>
      <c r="BJ3821" s="65"/>
      <c r="BK3821" s="65"/>
      <c r="BL3821" s="99"/>
      <c r="BM3821" s="99"/>
      <c r="BN3821" s="99"/>
    </row>
    <row r="3822" spans="1:66" s="51" customFormat="1" ht="15.75" x14ac:dyDescent="0.25">
      <c r="A3822" s="478">
        <v>7</v>
      </c>
      <c r="B3822" s="479" t="s">
        <v>291</v>
      </c>
      <c r="C3822" s="480" t="s">
        <v>4183</v>
      </c>
      <c r="D3822" s="481" t="s">
        <v>311</v>
      </c>
      <c r="E3822" s="482">
        <v>68.95</v>
      </c>
      <c r="F3822" s="483" t="s">
        <v>292</v>
      </c>
      <c r="G3822" s="484">
        <v>0</v>
      </c>
      <c r="H3822" s="688" t="str">
        <f>IF(G3822=0,"",IF(F3822="Buy",IF(G3822=1,"plant","plants"),IF(F3822&gt;0.01,"warranty","Error")))</f>
        <v/>
      </c>
      <c r="I3822" s="485">
        <f>IF(H3822="free",0,IF(H3822="credit",((E3822*(F3822))*G3822*-1),IF(F3822="Buy",(E3822*G3822),((E3822*(1-F3822))*G3822))))</f>
        <v>0</v>
      </c>
      <c r="J3822" s="485">
        <f>IF(H3822="warranty",0,(I3822*(_xlfn.SINGLE(SalesTaxPercentage))))</f>
        <v>0</v>
      </c>
      <c r="K3822" s="715">
        <f t="shared" ref="K3822" si="2882">I3822+J3822</f>
        <v>0</v>
      </c>
      <c r="L3822" s="715"/>
      <c r="M3822" s="689" t="str">
        <f ca="1">IF(AND(G3822&gt;0,E3822=0),"WARNING - no PRICE inserted",IF(H3822="free","FREE ~ no charge this plant",IF(H3822="credit",CONCATENATE("-$",ROUND(K3822*(1-_xlfn.SINGLE(T2GDiscount))*-1,2)," CREDIT after discount"),IF(_xlfn.SINGLE(T2GDiscount)=0,"",IF(G3822=0,"",IF(F3822="Buy",CONCATENATE("$",ROUND(K3822*(1-_xlfn.SINGLE(T2GDiscount)),2)," with ",(_xlfn.SINGLE(T2GDiscount)*100),"% discount"),CONCATENATE("$",ROUND(K3822*(1-_xlfn.SINGLE(T2GDiscount)),2)," with ",((_xlfn.SINGLE(T2GDiscount)*100+F3822*100)-(_xlfn.SINGLE(T2GDiscount)*100*F3822)),IF(F3822&gt;0,"% discounts",IF(_xlfn.SINGLE(NoWarrantyDiscount)&gt;0,"% discounts","% discount")))))))))</f>
        <v/>
      </c>
      <c r="N3822" s="690"/>
      <c r="O3822" s="486"/>
      <c r="P3822" s="486"/>
      <c r="Q3822" s="486"/>
      <c r="R3822" s="486"/>
      <c r="S3822" s="486"/>
      <c r="T3822" s="102">
        <f t="shared" si="2858"/>
        <v>0</v>
      </c>
      <c r="U3822" s="78">
        <f>IF(NOT(ISNUMBER(G3822)), "", VLOOKUP(A3822,'Discount Lookup'!D:E,2,FALSE)*G3822)</f>
        <v>0</v>
      </c>
      <c r="V3822" s="78">
        <f>IF(NOT(ISNUMBER(G3822)), "", VLOOKUP(A3822,'Discount Lookup'!G:H,2,FALSE)*G3822)</f>
        <v>0</v>
      </c>
      <c r="W3822" s="102">
        <f t="shared" si="2859"/>
        <v>0</v>
      </c>
      <c r="X3822" s="102">
        <f t="shared" si="2860"/>
        <v>0</v>
      </c>
      <c r="Y3822" s="120" t="b">
        <f t="shared" si="2861"/>
        <v>0</v>
      </c>
      <c r="Z3822" s="117">
        <f t="shared" si="2862"/>
        <v>0</v>
      </c>
      <c r="AA3822" s="118"/>
      <c r="AB3822" s="118" t="str">
        <f t="shared" si="2863"/>
        <v/>
      </c>
      <c r="AC3822" s="712" t="str">
        <f>IF(AE3822="T2G","no charge",IF(AND(OR(PlanterYesMe="No",PlanterYesMe="N",PlanterYesMe="me"),H3822=""),"",IF(H3822="credit","NO install",IF(AND(K3822="",AE3822="me"),"EACH row",IF(AND(K3822="images",AE3822="me"),"EACH row",IF(D3822="","",IF(H3822="credit","",IF(AE3822="free","re-planting",IF(AE3822="me","   not ELP, by",IF(AND(OR(PlanterYesMe="Yes",PlanterYesMe="Y"),G3822&gt;0),(VLOOKUP(A3822,'Discount Lookup'!J:K,2)*G3822*(1-PlanterDiscount)*(1+PlanterDifficultyPercentage)),IF(AE3822="ELP",(VLOOKUP(A3822,'Discount Lookup'!J:K,2)*G3822*(1-PlanterDiscount)*(1+PlanterDifficultyPercentage)),IF(AE3822="free","re-planting",IF(G3822=0,"",IF(PlanterYesMe="",IF(AE3822="me","   not ELP, by",IF(AE3822="",IF(G3822&gt;0,(VLOOKUP(A3822,'Discount Lookup'!J:K,2)*G3822*(1-PlanterDiscount)*(1+PlanterDifficultyPercentage)),""),"")),"   not ELP, by"))))))))))))))</f>
        <v/>
      </c>
      <c r="AD3822" s="712"/>
      <c r="AE3822" s="513" t="str">
        <f t="shared" si="2864"/>
        <v/>
      </c>
      <c r="AF3822" s="713" t="str">
        <f t="shared" si="2865"/>
        <v/>
      </c>
      <c r="AG3822" s="713"/>
      <c r="AH3822" s="713"/>
      <c r="AI3822" s="112">
        <f>IF(H3822="credit",0,IF(AE3822="free",0,IF(AE3822="me",0,IF(G3822&gt;0,(VLOOKUP(A3822,'Discount Lookup'!J:K,2)*G3822),0))))</f>
        <v>0</v>
      </c>
      <c r="AJ3822" s="107" t="str">
        <f t="shared" ca="1" si="2866"/>
        <v/>
      </c>
      <c r="AK3822" s="714" t="str">
        <f t="shared" si="2867"/>
        <v/>
      </c>
      <c r="AL3822" s="714"/>
      <c r="AM3822" s="114" t="str">
        <f t="shared" si="2868"/>
        <v/>
      </c>
      <c r="AN3822" s="115"/>
      <c r="AO3822" s="116"/>
      <c r="AP3822" s="116"/>
      <c r="AQ3822" s="116"/>
      <c r="AR3822" s="116"/>
      <c r="AS3822" s="116"/>
      <c r="AT3822" s="116"/>
      <c r="AU3822" s="116"/>
      <c r="AV3822" s="78"/>
      <c r="AW3822" s="102"/>
      <c r="AX3822" s="78"/>
      <c r="AY3822" s="78"/>
      <c r="AZ3822" s="78"/>
      <c r="BA3822" s="78"/>
      <c r="BB3822" s="78"/>
      <c r="BC3822" s="78"/>
      <c r="BD3822" s="78"/>
      <c r="BE3822" s="465"/>
      <c r="BF3822" s="165" t="str">
        <f t="shared" si="2869"/>
        <v>https://www.google.com/search?tbm=isch&amp;q=7%20G5</v>
      </c>
      <c r="BG3822" s="165" t="str">
        <f t="shared" si="2870"/>
        <v>S</v>
      </c>
      <c r="BH3822" s="65"/>
      <c r="BI3822" s="65"/>
      <c r="BJ3822" s="65"/>
      <c r="BK3822" s="65"/>
      <c r="BL3822" s="99"/>
      <c r="BM3822" s="99"/>
      <c r="BN3822" s="99"/>
    </row>
    <row r="3823" spans="1:66" s="51" customFormat="1" ht="17.25" thickBot="1" x14ac:dyDescent="0.3">
      <c r="A3823" s="705" t="s">
        <v>5528</v>
      </c>
      <c r="B3823" s="487"/>
      <c r="C3823" s="707"/>
      <c r="D3823" s="487"/>
      <c r="E3823" s="487"/>
      <c r="F3823" s="488"/>
      <c r="G3823" s="489"/>
      <c r="H3823" s="487"/>
      <c r="I3823" s="490"/>
      <c r="J3823" s="490"/>
      <c r="K3823" s="491"/>
      <c r="L3823" s="547"/>
      <c r="M3823" s="528"/>
      <c r="N3823" s="492"/>
      <c r="O3823" s="493"/>
      <c r="P3823" s="494"/>
      <c r="Q3823" s="492"/>
      <c r="R3823" s="492"/>
      <c r="S3823" s="699" t="s">
        <v>5280</v>
      </c>
      <c r="T3823" s="102">
        <f t="shared" si="2858"/>
        <v>0</v>
      </c>
      <c r="U3823" s="78" t="str">
        <f>IF(NOT(ISNUMBER(G3823)), "", VLOOKUP(A3823,'Discount Lookup'!D:E,2,FALSE)*G3823)</f>
        <v/>
      </c>
      <c r="V3823" s="78" t="str">
        <f>IF(NOT(ISNUMBER(G3823)), "", VLOOKUP(A3823,'Discount Lookup'!G:H,2,FALSE)*G3823)</f>
        <v/>
      </c>
      <c r="W3823" s="102">
        <f t="shared" si="2859"/>
        <v>0</v>
      </c>
      <c r="X3823" s="102">
        <f t="shared" si="2860"/>
        <v>0</v>
      </c>
      <c r="Y3823" s="120" t="b">
        <f t="shared" si="2861"/>
        <v>0</v>
      </c>
      <c r="Z3823" s="117">
        <f t="shared" si="2862"/>
        <v>0</v>
      </c>
      <c r="AA3823" s="118"/>
      <c r="AB3823" s="118" t="str">
        <f t="shared" si="2863"/>
        <v/>
      </c>
      <c r="AC3823" s="712" t="str">
        <f>IF(AE3823="T2G","no charge",IF(AND(OR(PlanterYesMe="No",PlanterYesMe="N",PlanterYesMe="me"),H3823=""),"",IF(H3823="credit","NO install",IF(AND(K3823="",AE3823="me"),"EACH row",IF(AND(K3823="images",AE3823="me"),"EACH row",IF(D3823="","",IF(H3823="credit","",IF(AE3823="free","re-planting",IF(AE3823="me","   not ELP, by",IF(AND(OR(PlanterYesMe="Yes",PlanterYesMe="Y"),G3823&gt;0),(VLOOKUP(A3823,'Discount Lookup'!J:K,2)*G3823*(1-PlanterDiscount)*(1+PlanterDifficultyPercentage)),IF(AE3823="ELP",(VLOOKUP(A3823,'Discount Lookup'!J:K,2)*G3823*(1-PlanterDiscount)*(1+PlanterDifficultyPercentage)),IF(AE3823="free","re-planting",IF(G3823=0,"",IF(PlanterYesMe="",IF(AE3823="me","   not ELP, by",IF(AE3823="",IF(G3823&gt;0,(VLOOKUP(A3823,'Discount Lookup'!J:K,2)*G3823*(1-PlanterDiscount)*(1+PlanterDifficultyPercentage)),""),"")),"   not ELP, by"))))))))))))))</f>
        <v/>
      </c>
      <c r="AD3823" s="712"/>
      <c r="AE3823" s="513" t="str">
        <f t="shared" si="2864"/>
        <v/>
      </c>
      <c r="AF3823" s="713" t="str">
        <f t="shared" si="2865"/>
        <v/>
      </c>
      <c r="AG3823" s="713"/>
      <c r="AH3823" s="713"/>
      <c r="AI3823" s="112">
        <f>IF(H3823="credit",0,IF(AE3823="free",0,IF(AE3823="me",0,IF(G3823&gt;0,(VLOOKUP(A3823,'Discount Lookup'!J:K,2)*G3823),0))))</f>
        <v>0</v>
      </c>
      <c r="AJ3823" s="107" t="str">
        <f t="shared" ca="1" si="2866"/>
        <v/>
      </c>
      <c r="AK3823" s="714" t="str">
        <f t="shared" si="2867"/>
        <v/>
      </c>
      <c r="AL3823" s="714"/>
      <c r="AM3823" s="114" t="str">
        <f t="shared" si="2868"/>
        <v/>
      </c>
      <c r="AN3823" s="115"/>
      <c r="AO3823" s="116"/>
      <c r="AP3823" s="116"/>
      <c r="AQ3823" s="116"/>
      <c r="AR3823" s="116"/>
      <c r="AS3823" s="116"/>
      <c r="AT3823" s="116"/>
      <c r="AU3823" s="116"/>
      <c r="AV3823" s="78"/>
      <c r="AW3823" s="102"/>
      <c r="AX3823" s="78"/>
      <c r="AY3823" s="78"/>
      <c r="AZ3823" s="78"/>
      <c r="BA3823" s="78"/>
      <c r="BB3823" s="78"/>
      <c r="BC3823" s="78"/>
      <c r="BD3823" s="78"/>
      <c r="BE3823" s="465"/>
      <c r="BF3823" s="165" t="str">
        <f t="shared" si="2869"/>
        <v>https://www.google.com/search?tbm=isch&amp;q=wet%20sites%F0%9F%92%A7GOOD%2C%20Sweet%20Box%20is%20a%20winter%20bloomer.%20Tiny%20flowers%20have%20a%20great%20sweet%20vanilla%20fragrance%20</v>
      </c>
      <c r="BG3823" s="165" t="str">
        <f t="shared" si="2870"/>
        <v>w</v>
      </c>
      <c r="BH3823" s="65"/>
      <c r="BI3823" s="65"/>
      <c r="BJ3823" s="65"/>
      <c r="BK3823" s="65"/>
      <c r="BL3823" s="99"/>
      <c r="BM3823" s="99"/>
      <c r="BN3823" s="99"/>
    </row>
    <row r="3824" spans="1:66" s="51" customFormat="1" ht="18" x14ac:dyDescent="0.25">
      <c r="A3824" s="507" t="s">
        <v>4184</v>
      </c>
      <c r="B3824" s="470"/>
      <c r="C3824" s="706"/>
      <c r="D3824" s="471" t="s">
        <v>4185</v>
      </c>
      <c r="E3824" s="472"/>
      <c r="F3824" s="472"/>
      <c r="G3824" s="472"/>
      <c r="H3824" s="622" t="s">
        <v>1207</v>
      </c>
      <c r="I3824" s="473" t="s">
        <v>4186</v>
      </c>
      <c r="J3824" s="472"/>
      <c r="K3824" s="472"/>
      <c r="L3824" s="561"/>
      <c r="M3824" s="703" t="s">
        <v>5260</v>
      </c>
      <c r="N3824" s="692" t="str">
        <f>IF(AND(ISTEXT($A3824), ISERROR($A3824+0)), HYPERLINK($BF3824, "Images"), "")</f>
        <v>Images</v>
      </c>
      <c r="O3824" s="694" t="s">
        <v>5244</v>
      </c>
      <c r="P3824" s="475"/>
      <c r="Q3824" s="476"/>
      <c r="R3824" s="476"/>
      <c r="S3824" s="477"/>
      <c r="T3824" s="102">
        <f t="shared" si="2858"/>
        <v>0</v>
      </c>
      <c r="U3824" s="78" t="str">
        <f>IF(NOT(ISNUMBER(G3824)), "", VLOOKUP(A3824,'Discount Lookup'!D:E,2,FALSE)*G3824)</f>
        <v/>
      </c>
      <c r="V3824" s="78" t="str">
        <f>IF(NOT(ISNUMBER(G3824)), "", VLOOKUP(A3824,'Discount Lookup'!G:H,2,FALSE)*G3824)</f>
        <v/>
      </c>
      <c r="W3824" s="102">
        <f t="shared" si="2859"/>
        <v>0</v>
      </c>
      <c r="X3824" s="102" t="str">
        <f t="shared" si="2860"/>
        <v>White bloom, Pink tinge</v>
      </c>
      <c r="Y3824" s="120" t="b">
        <f t="shared" si="2861"/>
        <v>0</v>
      </c>
      <c r="Z3824" s="117">
        <f t="shared" si="2862"/>
        <v>0</v>
      </c>
      <c r="AA3824" s="118"/>
      <c r="AB3824" s="118" t="str">
        <f t="shared" si="2863"/>
        <v/>
      </c>
      <c r="AC3824" s="712" t="str">
        <f>IF(AE3824="T2G","no charge",IF(AND(OR(PlanterYesMe="No",PlanterYesMe="N",PlanterYesMe="me"),H3824=""),"",IF(H3824="credit","NO install",IF(AND(K3824="",AE3824="me"),"EACH row",IF(AND(K3824="images",AE3824="me"),"EACH row",IF(D3824="","",IF(H3824="credit","",IF(AE3824="free","re-planting",IF(AE3824="me","   not ELP, by",IF(AND(OR(PlanterYesMe="Yes",PlanterYesMe="Y"),G3824&gt;0),(VLOOKUP(A3824,'Discount Lookup'!J:K,2)*G3824*(1-PlanterDiscount)*(1+PlanterDifficultyPercentage)),IF(AE3824="ELP",(VLOOKUP(A3824,'Discount Lookup'!J:K,2)*G3824*(1-PlanterDiscount)*(1+PlanterDifficultyPercentage)),IF(AE3824="free","re-planting",IF(G3824=0,"",IF(PlanterYesMe="",IF(AE3824="me","   not ELP, by",IF(AE3824="",IF(G3824&gt;0,(VLOOKUP(A3824,'Discount Lookup'!J:K,2)*G3824*(1-PlanterDiscount)*(1+PlanterDifficultyPercentage)),""),"")),"   not ELP, by"))))))))))))))</f>
        <v/>
      </c>
      <c r="AD3824" s="712"/>
      <c r="AE3824" s="513" t="str">
        <f t="shared" si="2864"/>
        <v/>
      </c>
      <c r="AF3824" s="713" t="str">
        <f t="shared" si="2865"/>
        <v/>
      </c>
      <c r="AG3824" s="713"/>
      <c r="AH3824" s="713"/>
      <c r="AI3824" s="112">
        <f>IF(H3824="credit",0,IF(AE3824="free",0,IF(AE3824="me",0,IF(G3824&gt;0,(VLOOKUP(A3824,'Discount Lookup'!J:K,2)*G3824),0))))</f>
        <v>0</v>
      </c>
      <c r="AJ3824" s="107" t="str">
        <f t="shared" ca="1" si="2866"/>
        <v/>
      </c>
      <c r="AK3824" s="714" t="str">
        <f t="shared" si="2867"/>
        <v/>
      </c>
      <c r="AL3824" s="714"/>
      <c r="AM3824" s="114" t="str">
        <f t="shared" si="2868"/>
        <v/>
      </c>
      <c r="AN3824" s="115"/>
      <c r="AO3824" s="116"/>
      <c r="AP3824" s="116"/>
      <c r="AQ3824" s="116"/>
      <c r="AR3824" s="116"/>
      <c r="AS3824" s="116"/>
      <c r="AT3824" s="116"/>
      <c r="AU3824" s="116"/>
      <c r="AV3824" s="78"/>
      <c r="AW3824" s="102"/>
      <c r="AX3824" s="78"/>
      <c r="AY3824" s="78"/>
      <c r="AZ3824" s="78"/>
      <c r="BA3824" s="78"/>
      <c r="BB3824" s="78"/>
      <c r="BC3824" s="78"/>
      <c r="BD3824" s="78"/>
      <c r="BE3824" s="465"/>
      <c r="BF3824" s="165" t="str">
        <f t="shared" si="2869"/>
        <v>https://www.google.com/search?tbm=isch&amp;q=Sarcococca%20hookeriana%20Himalayan%20Sweet%20Box</v>
      </c>
      <c r="BG3824" s="165" t="str">
        <f t="shared" si="2870"/>
        <v>S</v>
      </c>
      <c r="BH3824" s="65"/>
      <c r="BI3824" s="65"/>
      <c r="BJ3824" s="65"/>
      <c r="BK3824" s="65"/>
      <c r="BL3824" s="99"/>
      <c r="BM3824" s="99"/>
      <c r="BN3824" s="99"/>
    </row>
    <row r="3825" spans="1:66" s="51" customFormat="1" ht="15.75" x14ac:dyDescent="0.25">
      <c r="A3825" s="478">
        <v>3</v>
      </c>
      <c r="B3825" s="479" t="s">
        <v>291</v>
      </c>
      <c r="C3825" s="480" t="s">
        <v>4187</v>
      </c>
      <c r="D3825" s="481" t="s">
        <v>329</v>
      </c>
      <c r="E3825" s="482">
        <v>35.950000000000003</v>
      </c>
      <c r="F3825" s="483" t="s">
        <v>292</v>
      </c>
      <c r="G3825" s="484">
        <v>0</v>
      </c>
      <c r="H3825" s="688" t="str">
        <f>IF(G3825=0,"",IF(F3825="Buy",IF(G3825=1,"plant","plants"),IF(F3825&gt;0.01,"warranty","Error")))</f>
        <v/>
      </c>
      <c r="I3825" s="485">
        <f>IF(H3825="free",0,IF(H3825="credit",((E3825*(F3825))*G3825*-1),IF(F3825="Buy",(E3825*G3825),((E3825*(1-F3825))*G3825))))</f>
        <v>0</v>
      </c>
      <c r="J3825" s="485">
        <f>IF(H3825="warranty",0,(I3825*(_xlfn.SINGLE(SalesTaxPercentage))))</f>
        <v>0</v>
      </c>
      <c r="K3825" s="715">
        <f t="shared" ref="K3825" si="2883">I3825+J3825</f>
        <v>0</v>
      </c>
      <c r="L3825" s="715"/>
      <c r="M3825" s="689" t="str">
        <f ca="1">IF(AND(G3825&gt;0,E3825=0),"WARNING - no PRICE inserted",IF(H3825="free","FREE ~ no charge this plant",IF(H3825="credit",CONCATENATE("-$",ROUND(K3825*(1-_xlfn.SINGLE(T2GDiscount))*-1,2)," CREDIT after discount"),IF(_xlfn.SINGLE(T2GDiscount)=0,"",IF(G3825=0,"",IF(F3825="Buy",CONCATENATE("$",ROUND(K3825*(1-_xlfn.SINGLE(T2GDiscount)),2)," with ",(_xlfn.SINGLE(T2GDiscount)*100),"% discount"),CONCATENATE("$",ROUND(K3825*(1-_xlfn.SINGLE(T2GDiscount)),2)," with ",((_xlfn.SINGLE(T2GDiscount)*100+F3825*100)-(_xlfn.SINGLE(T2GDiscount)*100*F3825)),IF(F3825&gt;0,"% discounts",IF(_xlfn.SINGLE(NoWarrantyDiscount)&gt;0,"% discounts","% discount")))))))))</f>
        <v/>
      </c>
      <c r="N3825" s="690"/>
      <c r="O3825" s="486"/>
      <c r="P3825" s="486"/>
      <c r="Q3825" s="486"/>
      <c r="R3825" s="486"/>
      <c r="S3825" s="486"/>
      <c r="T3825" s="102">
        <f t="shared" si="2858"/>
        <v>0</v>
      </c>
      <c r="U3825" s="78">
        <f>IF(NOT(ISNUMBER(G3825)), "", VLOOKUP(A3825,'Discount Lookup'!D:E,2,FALSE)*G3825)</f>
        <v>0</v>
      </c>
      <c r="V3825" s="78">
        <f>IF(NOT(ISNUMBER(G3825)), "", VLOOKUP(A3825,'Discount Lookup'!G:H,2,FALSE)*G3825)</f>
        <v>0</v>
      </c>
      <c r="W3825" s="102">
        <f t="shared" si="2859"/>
        <v>0</v>
      </c>
      <c r="X3825" s="102">
        <f t="shared" si="2860"/>
        <v>0</v>
      </c>
      <c r="Y3825" s="120" t="b">
        <f t="shared" si="2861"/>
        <v>0</v>
      </c>
      <c r="Z3825" s="117">
        <f t="shared" si="2862"/>
        <v>0</v>
      </c>
      <c r="AA3825" s="118"/>
      <c r="AB3825" s="118" t="str">
        <f t="shared" si="2863"/>
        <v/>
      </c>
      <c r="AC3825" s="712" t="str">
        <f>IF(AE3825="T2G","no charge",IF(AND(OR(PlanterYesMe="No",PlanterYesMe="N",PlanterYesMe="me"),H3825=""),"",IF(H3825="credit","NO install",IF(AND(K3825="",AE3825="me"),"EACH row",IF(AND(K3825="images",AE3825="me"),"EACH row",IF(D3825="","",IF(H3825="credit","",IF(AE3825="free","re-planting",IF(AE3825="me","   not ELP, by",IF(AND(OR(PlanterYesMe="Yes",PlanterYesMe="Y"),G3825&gt;0),(VLOOKUP(A3825,'Discount Lookup'!J:K,2)*G3825*(1-PlanterDiscount)*(1+PlanterDifficultyPercentage)),IF(AE3825="ELP",(VLOOKUP(A3825,'Discount Lookup'!J:K,2)*G3825*(1-PlanterDiscount)*(1+PlanterDifficultyPercentage)),IF(AE3825="free","re-planting",IF(G3825=0,"",IF(PlanterYesMe="",IF(AE3825="me","   not ELP, by",IF(AE3825="",IF(G3825&gt;0,(VLOOKUP(A3825,'Discount Lookup'!J:K,2)*G3825*(1-PlanterDiscount)*(1+PlanterDifficultyPercentage)),""),"")),"   not ELP, by"))))))))))))))</f>
        <v/>
      </c>
      <c r="AD3825" s="712"/>
      <c r="AE3825" s="513" t="str">
        <f t="shared" si="2864"/>
        <v/>
      </c>
      <c r="AF3825" s="713" t="str">
        <f t="shared" si="2865"/>
        <v/>
      </c>
      <c r="AG3825" s="713"/>
      <c r="AH3825" s="713"/>
      <c r="AI3825" s="112">
        <f>IF(H3825="credit",0,IF(AE3825="free",0,IF(AE3825="me",0,IF(G3825&gt;0,(VLOOKUP(A3825,'Discount Lookup'!J:K,2)*G3825),0))))</f>
        <v>0</v>
      </c>
      <c r="AJ3825" s="107" t="str">
        <f t="shared" ca="1" si="2866"/>
        <v/>
      </c>
      <c r="AK3825" s="714" t="str">
        <f t="shared" si="2867"/>
        <v/>
      </c>
      <c r="AL3825" s="714"/>
      <c r="AM3825" s="114" t="str">
        <f t="shared" si="2868"/>
        <v/>
      </c>
      <c r="AN3825" s="115"/>
      <c r="AO3825" s="116"/>
      <c r="AP3825" s="116"/>
      <c r="AQ3825" s="116"/>
      <c r="AR3825" s="116"/>
      <c r="AS3825" s="116"/>
      <c r="AT3825" s="116"/>
      <c r="AU3825" s="116"/>
      <c r="AV3825" s="78"/>
      <c r="AW3825" s="102"/>
      <c r="AX3825" s="78"/>
      <c r="AY3825" s="78"/>
      <c r="AZ3825" s="78"/>
      <c r="BA3825" s="78"/>
      <c r="BB3825" s="78"/>
      <c r="BC3825" s="78"/>
      <c r="BD3825" s="78"/>
      <c r="BE3825" s="465"/>
      <c r="BF3825" s="165" t="str">
        <f t="shared" si="2869"/>
        <v>https://www.google.com/search?tbm=isch&amp;q=3%20G2</v>
      </c>
      <c r="BG3825" s="165" t="str">
        <f t="shared" si="2870"/>
        <v>S</v>
      </c>
      <c r="BH3825" s="65"/>
      <c r="BI3825" s="65"/>
      <c r="BJ3825" s="65"/>
      <c r="BK3825" s="65"/>
      <c r="BL3825" s="99"/>
      <c r="BM3825" s="99"/>
      <c r="BN3825" s="99"/>
    </row>
    <row r="3826" spans="1:66" s="51" customFormat="1" ht="17.25" thickBot="1" x14ac:dyDescent="0.3">
      <c r="A3826" s="508" t="s">
        <v>4188</v>
      </c>
      <c r="B3826" s="487"/>
      <c r="C3826" s="707"/>
      <c r="D3826" s="487"/>
      <c r="E3826" s="487"/>
      <c r="F3826" s="488"/>
      <c r="G3826" s="489"/>
      <c r="H3826" s="487"/>
      <c r="I3826" s="490"/>
      <c r="J3826" s="490"/>
      <c r="K3826" s="491"/>
      <c r="L3826" s="547"/>
      <c r="M3826" s="528"/>
      <c r="N3826" s="492"/>
      <c r="O3826" s="493"/>
      <c r="P3826" s="494"/>
      <c r="Q3826" s="492"/>
      <c r="R3826" s="492"/>
      <c r="S3826" s="699" t="s">
        <v>5280</v>
      </c>
      <c r="T3826" s="102">
        <f t="shared" si="2858"/>
        <v>0</v>
      </c>
      <c r="U3826" s="78" t="str">
        <f>IF(NOT(ISNUMBER(G3826)), "", VLOOKUP(A3826,'Discount Lookup'!D:E,2,FALSE)*G3826)</f>
        <v/>
      </c>
      <c r="V3826" s="78" t="str">
        <f>IF(NOT(ISNUMBER(G3826)), "", VLOOKUP(A3826,'Discount Lookup'!G:H,2,FALSE)*G3826)</f>
        <v/>
      </c>
      <c r="W3826" s="102">
        <f t="shared" si="2859"/>
        <v>0</v>
      </c>
      <c r="X3826" s="102">
        <f t="shared" si="2860"/>
        <v>0</v>
      </c>
      <c r="Y3826" s="120" t="b">
        <f t="shared" si="2861"/>
        <v>0</v>
      </c>
      <c r="Z3826" s="117">
        <f t="shared" si="2862"/>
        <v>0</v>
      </c>
      <c r="AA3826" s="118"/>
      <c r="AB3826" s="118" t="str">
        <f t="shared" si="2863"/>
        <v/>
      </c>
      <c r="AC3826" s="712" t="str">
        <f>IF(AE3826="T2G","no charge",IF(AND(OR(PlanterYesMe="No",PlanterYesMe="N",PlanterYesMe="me"),H3826=""),"",IF(H3826="credit","NO install",IF(AND(K3826="",AE3826="me"),"EACH row",IF(AND(K3826="images",AE3826="me"),"EACH row",IF(D3826="","",IF(H3826="credit","",IF(AE3826="free","re-planting",IF(AE3826="me","   not ELP, by",IF(AND(OR(PlanterYesMe="Yes",PlanterYesMe="Y"),G3826&gt;0),(VLOOKUP(A3826,'Discount Lookup'!J:K,2)*G3826*(1-PlanterDiscount)*(1+PlanterDifficultyPercentage)),IF(AE3826="ELP",(VLOOKUP(A3826,'Discount Lookup'!J:K,2)*G3826*(1-PlanterDiscount)*(1+PlanterDifficultyPercentage)),IF(AE3826="free","re-planting",IF(G3826=0,"",IF(PlanterYesMe="",IF(AE3826="me","   not ELP, by",IF(AE3826="",IF(G3826&gt;0,(VLOOKUP(A3826,'Discount Lookup'!J:K,2)*G3826*(1-PlanterDiscount)*(1+PlanterDifficultyPercentage)),""),"")),"   not ELP, by"))))))))))))))</f>
        <v/>
      </c>
      <c r="AD3826" s="712"/>
      <c r="AE3826" s="513" t="str">
        <f t="shared" si="2864"/>
        <v/>
      </c>
      <c r="AF3826" s="713" t="str">
        <f t="shared" si="2865"/>
        <v/>
      </c>
      <c r="AG3826" s="713"/>
      <c r="AH3826" s="713"/>
      <c r="AI3826" s="112">
        <f>IF(H3826="credit",0,IF(AE3826="free",0,IF(AE3826="me",0,IF(G3826&gt;0,(VLOOKUP(A3826,'Discount Lookup'!J:K,2)*G3826),0))))</f>
        <v>0</v>
      </c>
      <c r="AJ3826" s="107" t="str">
        <f t="shared" ca="1" si="2866"/>
        <v/>
      </c>
      <c r="AK3826" s="714" t="str">
        <f t="shared" si="2867"/>
        <v/>
      </c>
      <c r="AL3826" s="714"/>
      <c r="AM3826" s="114" t="str">
        <f t="shared" si="2868"/>
        <v/>
      </c>
      <c r="AN3826" s="115"/>
      <c r="AO3826" s="116"/>
      <c r="AP3826" s="116"/>
      <c r="AQ3826" s="116"/>
      <c r="AR3826" s="116"/>
      <c r="AS3826" s="116"/>
      <c r="AT3826" s="116"/>
      <c r="AU3826" s="116"/>
      <c r="AV3826" s="78"/>
      <c r="AW3826" s="102"/>
      <c r="AX3826" s="78"/>
      <c r="AY3826" s="78"/>
      <c r="AZ3826" s="78"/>
      <c r="BA3826" s="78"/>
      <c r="BB3826" s="78"/>
      <c r="BC3826" s="78"/>
      <c r="BD3826" s="78"/>
      <c r="BE3826" s="465"/>
      <c r="BF3826" s="165" t="str">
        <f t="shared" si="2869"/>
        <v>https://www.google.com/search?tbm=isch&amp;q=Himalayan%20perfumes%20shady%20winter%20gardens%20with%20intensely%20fragrant%20spidery%20blooms%2C%20then%20sets%20Blue-Black%20berries.%20Green%20foliage%20</v>
      </c>
      <c r="BG3826" s="165" t="str">
        <f t="shared" si="2870"/>
        <v>H</v>
      </c>
      <c r="BH3826" s="65"/>
      <c r="BI3826" s="65"/>
      <c r="BJ3826" s="65"/>
      <c r="BK3826" s="65"/>
      <c r="BL3826" s="99"/>
      <c r="BM3826" s="99"/>
      <c r="BN3826" s="99"/>
    </row>
    <row r="3827" spans="1:66" s="51" customFormat="1" ht="18" x14ac:dyDescent="0.25">
      <c r="A3827" s="507" t="s">
        <v>4189</v>
      </c>
      <c r="B3827" s="470"/>
      <c r="C3827" s="706"/>
      <c r="D3827" s="471" t="s">
        <v>5908</v>
      </c>
      <c r="E3827" s="472"/>
      <c r="F3827" s="472"/>
      <c r="G3827" s="472"/>
      <c r="H3827" s="622" t="s">
        <v>1484</v>
      </c>
      <c r="I3827" s="473" t="s">
        <v>4190</v>
      </c>
      <c r="J3827" s="472"/>
      <c r="K3827" s="472"/>
      <c r="L3827" s="561"/>
      <c r="M3827" s="703" t="s">
        <v>5260</v>
      </c>
      <c r="N3827" s="692" t="str">
        <f>IF(AND(ISTEXT($A3827), ISERROR($A3827+0)), HYPERLINK($BF3827, "Images"), "")</f>
        <v>Images</v>
      </c>
      <c r="O3827" s="694" t="s">
        <v>5244</v>
      </c>
      <c r="P3827" s="475"/>
      <c r="Q3827" s="476"/>
      <c r="R3827" s="476"/>
      <c r="S3827" s="477"/>
      <c r="T3827" s="102">
        <f t="shared" si="2858"/>
        <v>0</v>
      </c>
      <c r="U3827" s="78" t="str">
        <f>IF(NOT(ISNUMBER(G3827)), "", VLOOKUP(A3827,'Discount Lookup'!D:E,2,FALSE)*G3827)</f>
        <v/>
      </c>
      <c r="V3827" s="78" t="str">
        <f>IF(NOT(ISNUMBER(G3827)), "", VLOOKUP(A3827,'Discount Lookup'!G:H,2,FALSE)*G3827)</f>
        <v/>
      </c>
      <c r="W3827" s="102">
        <f t="shared" si="2859"/>
        <v>0</v>
      </c>
      <c r="X3827" s="102" t="str">
        <f t="shared" si="2860"/>
        <v>Pink &amp; White, Red tips</v>
      </c>
      <c r="Y3827" s="120" t="b">
        <f t="shared" si="2861"/>
        <v>0</v>
      </c>
      <c r="Z3827" s="117">
        <f t="shared" si="2862"/>
        <v>0</v>
      </c>
      <c r="AA3827" s="118"/>
      <c r="AB3827" s="118" t="str">
        <f t="shared" si="2863"/>
        <v/>
      </c>
      <c r="AC3827" s="712" t="str">
        <f>IF(AE3827="T2G","no charge",IF(AND(OR(PlanterYesMe="No",PlanterYesMe="N",PlanterYesMe="me"),H3827=""),"",IF(H3827="credit","NO install",IF(AND(K3827="",AE3827="me"),"EACH row",IF(AND(K3827="images",AE3827="me"),"EACH row",IF(D3827="","",IF(H3827="credit","",IF(AE3827="free","re-planting",IF(AE3827="me","   not ELP, by",IF(AND(OR(PlanterYesMe="Yes",PlanterYesMe="Y"),G3827&gt;0),(VLOOKUP(A3827,'Discount Lookup'!J:K,2)*G3827*(1-PlanterDiscount)*(1+PlanterDifficultyPercentage)),IF(AE3827="ELP",(VLOOKUP(A3827,'Discount Lookup'!J:K,2)*G3827*(1-PlanterDiscount)*(1+PlanterDifficultyPercentage)),IF(AE3827="free","re-planting",IF(G3827=0,"",IF(PlanterYesMe="",IF(AE3827="me","   not ELP, by",IF(AE3827="",IF(G3827&gt;0,(VLOOKUP(A3827,'Discount Lookup'!J:K,2)*G3827*(1-PlanterDiscount)*(1+PlanterDifficultyPercentage)),""),"")),"   not ELP, by"))))))))))))))</f>
        <v/>
      </c>
      <c r="AD3827" s="712"/>
      <c r="AE3827" s="513" t="str">
        <f t="shared" si="2864"/>
        <v/>
      </c>
      <c r="AF3827" s="713" t="str">
        <f t="shared" si="2865"/>
        <v/>
      </c>
      <c r="AG3827" s="713"/>
      <c r="AH3827" s="713"/>
      <c r="AI3827" s="112">
        <f>IF(H3827="credit",0,IF(AE3827="free",0,IF(AE3827="me",0,IF(G3827&gt;0,(VLOOKUP(A3827,'Discount Lookup'!J:K,2)*G3827),0))))</f>
        <v>0</v>
      </c>
      <c r="AJ3827" s="107" t="str">
        <f t="shared" ca="1" si="2866"/>
        <v/>
      </c>
      <c r="AK3827" s="714" t="str">
        <f t="shared" si="2867"/>
        <v/>
      </c>
      <c r="AL3827" s="714"/>
      <c r="AM3827" s="114" t="str">
        <f t="shared" si="2868"/>
        <v/>
      </c>
      <c r="AN3827" s="115"/>
      <c r="AO3827" s="116"/>
      <c r="AP3827" s="116"/>
      <c r="AQ3827" s="116"/>
      <c r="AR3827" s="116"/>
      <c r="AS3827" s="116"/>
      <c r="AT3827" s="116"/>
      <c r="AU3827" s="116"/>
      <c r="AV3827" s="78"/>
      <c r="AW3827" s="102"/>
      <c r="AX3827" s="78"/>
      <c r="AY3827" s="78"/>
      <c r="AZ3827" s="78"/>
      <c r="BA3827" s="78"/>
      <c r="BB3827" s="78"/>
      <c r="BC3827" s="78"/>
      <c r="BD3827" s="78"/>
      <c r="BE3827" s="465"/>
      <c r="BF3827" s="165" t="str">
        <f t="shared" si="2869"/>
        <v>https://www.google.com/search?tbm=isch&amp;q=Sarcococca%20hookeriana%20%27Purplerij1%27%20SWEET%20%26%20LO%E2%84%A2%20Sweet%20Box%20%28PW%C2%AE%29</v>
      </c>
      <c r="BG3827" s="165" t="str">
        <f t="shared" si="2870"/>
        <v>S</v>
      </c>
      <c r="BH3827" s="65"/>
      <c r="BI3827" s="65"/>
      <c r="BJ3827" s="65"/>
      <c r="BK3827" s="65"/>
      <c r="BL3827" s="99"/>
      <c r="BM3827" s="99"/>
      <c r="BN3827" s="99"/>
    </row>
    <row r="3828" spans="1:66" s="51" customFormat="1" ht="15.75" x14ac:dyDescent="0.25">
      <c r="A3828" s="478">
        <v>3</v>
      </c>
      <c r="B3828" s="479" t="s">
        <v>291</v>
      </c>
      <c r="C3828" s="480" t="s">
        <v>4191</v>
      </c>
      <c r="D3828" s="481" t="s">
        <v>311</v>
      </c>
      <c r="E3828" s="482">
        <v>42.95</v>
      </c>
      <c r="F3828" s="483" t="s">
        <v>292</v>
      </c>
      <c r="G3828" s="484">
        <v>0</v>
      </c>
      <c r="H3828" s="688" t="str">
        <f>IF(G3828=0,"",IF(F3828="Buy",IF(G3828=1,"plant","plants"),IF(F3828&gt;0.01,"warranty","Error")))</f>
        <v/>
      </c>
      <c r="I3828" s="485">
        <f>IF(H3828="free",0,IF(H3828="credit",((E3828*(F3828))*G3828*-1),IF(F3828="Buy",(E3828*G3828),((E3828*(1-F3828))*G3828))))</f>
        <v>0</v>
      </c>
      <c r="J3828" s="485">
        <f>IF(H3828="warranty",0,(I3828*(_xlfn.SINGLE(SalesTaxPercentage))))</f>
        <v>0</v>
      </c>
      <c r="K3828" s="715">
        <f t="shared" ref="K3828" si="2884">I3828+J3828</f>
        <v>0</v>
      </c>
      <c r="L3828" s="715"/>
      <c r="M3828" s="689" t="str">
        <f ca="1">IF(AND(G3828&gt;0,E3828=0),"WARNING - no PRICE inserted",IF(H3828="free","FREE ~ no charge this plant",IF(H3828="credit",CONCATENATE("-$",ROUND(K3828*(1-_xlfn.SINGLE(T2GDiscount))*-1,2)," CREDIT after discount"),IF(_xlfn.SINGLE(T2GDiscount)=0,"",IF(G3828=0,"",IF(F3828="Buy",CONCATENATE("$",ROUND(K3828*(1-_xlfn.SINGLE(T2GDiscount)),2)," with ",(_xlfn.SINGLE(T2GDiscount)*100),"% discount"),CONCATENATE("$",ROUND(K3828*(1-_xlfn.SINGLE(T2GDiscount)),2)," with ",((_xlfn.SINGLE(T2GDiscount)*100+F3828*100)-(_xlfn.SINGLE(T2GDiscount)*100*F3828)),IF(F3828&gt;0,"% discounts",IF(_xlfn.SINGLE(NoWarrantyDiscount)&gt;0,"% discounts","% discount")))))))))</f>
        <v/>
      </c>
      <c r="N3828" s="690"/>
      <c r="O3828" s="486"/>
      <c r="P3828" s="486"/>
      <c r="Q3828" s="486"/>
      <c r="R3828" s="486"/>
      <c r="S3828" s="486"/>
      <c r="T3828" s="102">
        <f t="shared" si="2858"/>
        <v>0</v>
      </c>
      <c r="U3828" s="78">
        <f>IF(NOT(ISNUMBER(G3828)), "", VLOOKUP(A3828,'Discount Lookup'!D:E,2,FALSE)*G3828)</f>
        <v>0</v>
      </c>
      <c r="V3828" s="78">
        <f>IF(NOT(ISNUMBER(G3828)), "", VLOOKUP(A3828,'Discount Lookup'!G:H,2,FALSE)*G3828)</f>
        <v>0</v>
      </c>
      <c r="W3828" s="102">
        <f t="shared" si="2859"/>
        <v>0</v>
      </c>
      <c r="X3828" s="102">
        <f t="shared" si="2860"/>
        <v>0</v>
      </c>
      <c r="Y3828" s="120" t="b">
        <f t="shared" si="2861"/>
        <v>0</v>
      </c>
      <c r="Z3828" s="117">
        <f t="shared" si="2862"/>
        <v>0</v>
      </c>
      <c r="AA3828" s="118"/>
      <c r="AB3828" s="118" t="str">
        <f t="shared" si="2863"/>
        <v/>
      </c>
      <c r="AC3828" s="712" t="str">
        <f>IF(AE3828="T2G","no charge",IF(AND(OR(PlanterYesMe="No",PlanterYesMe="N",PlanterYesMe="me"),H3828=""),"",IF(H3828="credit","NO install",IF(AND(K3828="",AE3828="me"),"EACH row",IF(AND(K3828="images",AE3828="me"),"EACH row",IF(D3828="","",IF(H3828="credit","",IF(AE3828="free","re-planting",IF(AE3828="me","   not ELP, by",IF(AND(OR(PlanterYesMe="Yes",PlanterYesMe="Y"),G3828&gt;0),(VLOOKUP(A3828,'Discount Lookup'!J:K,2)*G3828*(1-PlanterDiscount)*(1+PlanterDifficultyPercentage)),IF(AE3828="ELP",(VLOOKUP(A3828,'Discount Lookup'!J:K,2)*G3828*(1-PlanterDiscount)*(1+PlanterDifficultyPercentage)),IF(AE3828="free","re-planting",IF(G3828=0,"",IF(PlanterYesMe="",IF(AE3828="me","   not ELP, by",IF(AE3828="",IF(G3828&gt;0,(VLOOKUP(A3828,'Discount Lookup'!J:K,2)*G3828*(1-PlanterDiscount)*(1+PlanterDifficultyPercentage)),""),"")),"   not ELP, by"))))))))))))))</f>
        <v/>
      </c>
      <c r="AD3828" s="712"/>
      <c r="AE3828" s="513" t="str">
        <f t="shared" si="2864"/>
        <v/>
      </c>
      <c r="AF3828" s="713" t="str">
        <f t="shared" si="2865"/>
        <v/>
      </c>
      <c r="AG3828" s="713"/>
      <c r="AH3828" s="713"/>
      <c r="AI3828" s="112">
        <f>IF(H3828="credit",0,IF(AE3828="free",0,IF(AE3828="me",0,IF(G3828&gt;0,(VLOOKUP(A3828,'Discount Lookup'!J:K,2)*G3828),0))))</f>
        <v>0</v>
      </c>
      <c r="AJ3828" s="107" t="str">
        <f t="shared" ca="1" si="2866"/>
        <v/>
      </c>
      <c r="AK3828" s="714" t="str">
        <f t="shared" si="2867"/>
        <v/>
      </c>
      <c r="AL3828" s="714"/>
      <c r="AM3828" s="114" t="str">
        <f t="shared" si="2868"/>
        <v/>
      </c>
      <c r="AN3828" s="115"/>
      <c r="AO3828" s="116"/>
      <c r="AP3828" s="116"/>
      <c r="AQ3828" s="116"/>
      <c r="AR3828" s="116"/>
      <c r="AS3828" s="116"/>
      <c r="AT3828" s="116"/>
      <c r="AU3828" s="116"/>
      <c r="AV3828" s="78"/>
      <c r="AW3828" s="102"/>
      <c r="AX3828" s="78"/>
      <c r="AY3828" s="78"/>
      <c r="AZ3828" s="78"/>
      <c r="BA3828" s="78"/>
      <c r="BB3828" s="78"/>
      <c r="BC3828" s="78"/>
      <c r="BD3828" s="78"/>
      <c r="BE3828" s="465"/>
      <c r="BF3828" s="165" t="str">
        <f t="shared" si="2869"/>
        <v>https://www.google.com/search?tbm=isch&amp;q=3%20G5</v>
      </c>
      <c r="BG3828" s="165" t="str">
        <f t="shared" si="2870"/>
        <v>S</v>
      </c>
      <c r="BH3828" s="65"/>
      <c r="BI3828" s="65"/>
      <c r="BJ3828" s="65"/>
      <c r="BK3828" s="65"/>
      <c r="BL3828" s="99"/>
      <c r="BM3828" s="99"/>
      <c r="BN3828" s="99"/>
    </row>
    <row r="3829" spans="1:66" s="51" customFormat="1" ht="16.5" x14ac:dyDescent="0.25">
      <c r="A3829" s="508" t="s">
        <v>4847</v>
      </c>
      <c r="B3829" s="487"/>
      <c r="C3829" s="707"/>
      <c r="D3829" s="487"/>
      <c r="E3829" s="487"/>
      <c r="F3829" s="488"/>
      <c r="G3829" s="489"/>
      <c r="H3829" s="487"/>
      <c r="I3829" s="490"/>
      <c r="J3829" s="490"/>
      <c r="K3829" s="491"/>
      <c r="L3829" s="547"/>
      <c r="M3829" s="528"/>
      <c r="N3829" s="492"/>
      <c r="O3829" s="493"/>
      <c r="P3829" s="494"/>
      <c r="Q3829" s="492"/>
      <c r="R3829" s="492"/>
      <c r="S3829" s="699" t="s">
        <v>5280</v>
      </c>
      <c r="T3829" s="102">
        <f t="shared" si="2858"/>
        <v>0</v>
      </c>
      <c r="U3829" s="78" t="str">
        <f>IF(NOT(ISNUMBER(G3829)), "", VLOOKUP(A3829,'Discount Lookup'!D:E,2,FALSE)*G3829)</f>
        <v/>
      </c>
      <c r="V3829" s="78" t="str">
        <f>IF(NOT(ISNUMBER(G3829)), "", VLOOKUP(A3829,'Discount Lookup'!G:H,2,FALSE)*G3829)</f>
        <v/>
      </c>
      <c r="W3829" s="102">
        <f t="shared" si="2859"/>
        <v>0</v>
      </c>
      <c r="X3829" s="102">
        <f t="shared" si="2860"/>
        <v>0</v>
      </c>
      <c r="Y3829" s="120" t="b">
        <f t="shared" si="2861"/>
        <v>0</v>
      </c>
      <c r="Z3829" s="117">
        <f t="shared" si="2862"/>
        <v>0</v>
      </c>
      <c r="AA3829" s="118"/>
      <c r="AB3829" s="118" t="str">
        <f t="shared" si="2863"/>
        <v/>
      </c>
      <c r="AC3829" s="712" t="str">
        <f>IF(AE3829="T2G","no charge",IF(AND(OR(PlanterYesMe="No",PlanterYesMe="N",PlanterYesMe="me"),H3829=""),"",IF(H3829="credit","NO install",IF(AND(K3829="",AE3829="me"),"EACH row",IF(AND(K3829="images",AE3829="me"),"EACH row",IF(D3829="","",IF(H3829="credit","",IF(AE3829="free","re-planting",IF(AE3829="me","   not ELP, by",IF(AND(OR(PlanterYesMe="Yes",PlanterYesMe="Y"),G3829&gt;0),(VLOOKUP(A3829,'Discount Lookup'!J:K,2)*G3829*(1-PlanterDiscount)*(1+PlanterDifficultyPercentage)),IF(AE3829="ELP",(VLOOKUP(A3829,'Discount Lookup'!J:K,2)*G3829*(1-PlanterDiscount)*(1+PlanterDifficultyPercentage)),IF(AE3829="free","re-planting",IF(G3829=0,"",IF(PlanterYesMe="",IF(AE3829="me","   not ELP, by",IF(AE3829="",IF(G3829&gt;0,(VLOOKUP(A3829,'Discount Lookup'!J:K,2)*G3829*(1-PlanterDiscount)*(1+PlanterDifficultyPercentage)),""),"")),"   not ELP, by"))))))))))))))</f>
        <v/>
      </c>
      <c r="AD3829" s="712"/>
      <c r="AE3829" s="513" t="str">
        <f t="shared" si="2864"/>
        <v/>
      </c>
      <c r="AF3829" s="713" t="str">
        <f t="shared" si="2865"/>
        <v/>
      </c>
      <c r="AG3829" s="713"/>
      <c r="AH3829" s="713"/>
      <c r="AI3829" s="112">
        <f>IF(H3829="credit",0,IF(AE3829="free",0,IF(AE3829="me",0,IF(G3829&gt;0,(VLOOKUP(A3829,'Discount Lookup'!J:K,2)*G3829),0))))</f>
        <v>0</v>
      </c>
      <c r="AJ3829" s="107" t="str">
        <f t="shared" ca="1" si="2866"/>
        <v/>
      </c>
      <c r="AK3829" s="714" t="str">
        <f t="shared" si="2867"/>
        <v/>
      </c>
      <c r="AL3829" s="714"/>
      <c r="AM3829" s="114" t="str">
        <f t="shared" si="2868"/>
        <v/>
      </c>
      <c r="AN3829" s="115"/>
      <c r="AO3829" s="116"/>
      <c r="AP3829" s="116"/>
      <c r="AQ3829" s="116"/>
      <c r="AR3829" s="116"/>
      <c r="AS3829" s="116"/>
      <c r="AT3829" s="116"/>
      <c r="AU3829" s="116"/>
      <c r="AV3829" s="78"/>
      <c r="AW3829" s="102"/>
      <c r="AX3829" s="78"/>
      <c r="AY3829" s="78"/>
      <c r="AZ3829" s="78"/>
      <c r="BA3829" s="78"/>
      <c r="BB3829" s="78"/>
      <c r="BC3829" s="78"/>
      <c r="BD3829" s="78"/>
      <c r="BE3829" s="465"/>
      <c r="BF3829" s="165" t="str">
        <f t="shared" si="2869"/>
        <v>https://www.google.com/search?tbm=isch&amp;q=SWEET%20%26%20LO%20has%20jasmine-scented%20late-winter%2Fearly-spring%20blooms%2C%20Purple%20stems%2C%20and%20glossy%20evergreen%20leaves.%20Will%20spread%20</v>
      </c>
      <c r="BG3829" s="165" t="str">
        <f t="shared" si="2870"/>
        <v>S</v>
      </c>
      <c r="BH3829" s="65"/>
      <c r="BI3829" s="65"/>
      <c r="BJ3829" s="65"/>
      <c r="BK3829" s="65"/>
      <c r="BL3829" s="99"/>
      <c r="BM3829" s="99"/>
      <c r="BN3829" s="99"/>
    </row>
    <row r="3830" spans="1:66" s="51" customFormat="1" ht="19.5" thickBot="1" x14ac:dyDescent="0.3">
      <c r="A3830" s="686" t="s">
        <v>4946</v>
      </c>
      <c r="B3830" s="73"/>
      <c r="C3830" s="708"/>
      <c r="D3830" s="73"/>
      <c r="E3830" s="73"/>
      <c r="F3830" s="496"/>
      <c r="G3830" s="73"/>
      <c r="H3830" s="73"/>
      <c r="I3830" s="73"/>
      <c r="J3830" s="497" t="s">
        <v>357</v>
      </c>
      <c r="K3830" s="498"/>
      <c r="L3830" s="562"/>
      <c r="M3830" s="73"/>
      <c r="N3830"/>
      <c r="O3830"/>
      <c r="P3830"/>
      <c r="Q3830"/>
      <c r="R3830"/>
      <c r="S3830"/>
      <c r="T3830" s="102">
        <f t="shared" si="2858"/>
        <v>0</v>
      </c>
      <c r="U3830" s="78" t="str">
        <f>IF(NOT(ISNUMBER(G3830)), "", VLOOKUP(A3830,'Discount Lookup'!D:E,2,FALSE)*G3830)</f>
        <v/>
      </c>
      <c r="V3830" s="78" t="str">
        <f>IF(NOT(ISNUMBER(G3830)), "", VLOOKUP(A3830,'Discount Lookup'!G:H,2,FALSE)*G3830)</f>
        <v/>
      </c>
      <c r="W3830" s="102">
        <f t="shared" si="2859"/>
        <v>0</v>
      </c>
      <c r="X3830" s="102">
        <f t="shared" si="2860"/>
        <v>0</v>
      </c>
      <c r="Y3830" s="120" t="b">
        <f t="shared" si="2861"/>
        <v>0</v>
      </c>
      <c r="Z3830" s="117">
        <f t="shared" si="2862"/>
        <v>0</v>
      </c>
      <c r="AA3830" s="118"/>
      <c r="AB3830" s="118" t="str">
        <f t="shared" si="2863"/>
        <v/>
      </c>
      <c r="AC3830" s="712" t="str">
        <f>IF(AE3830="T2G","no charge",IF(AND(OR(PlanterYesMe="No",PlanterYesMe="N",PlanterYesMe="me"),H3830=""),"",IF(H3830="credit","NO install",IF(AND(K3830="",AE3830="me"),"EACH row",IF(AND(K3830="images",AE3830="me"),"EACH row",IF(D3830="","",IF(H3830="credit","",IF(AE3830="free","re-planting",IF(AE3830="me","   not ELP, by",IF(AND(OR(PlanterYesMe="Yes",PlanterYesMe="Y"),G3830&gt;0),(VLOOKUP(A3830,'Discount Lookup'!J:K,2)*G3830*(1-PlanterDiscount)*(1+PlanterDifficultyPercentage)),IF(AE3830="ELP",(VLOOKUP(A3830,'Discount Lookup'!J:K,2)*G3830*(1-PlanterDiscount)*(1+PlanterDifficultyPercentage)),IF(AE3830="free","re-planting",IF(G3830=0,"",IF(PlanterYesMe="",IF(AE3830="me","   not ELP, by",IF(AE3830="",IF(G3830&gt;0,(VLOOKUP(A3830,'Discount Lookup'!J:K,2)*G3830*(1-PlanterDiscount)*(1+PlanterDifficultyPercentage)),""),"")),"   not ELP, by"))))))))))))))</f>
        <v/>
      </c>
      <c r="AD3830" s="712"/>
      <c r="AE3830" s="513" t="str">
        <f t="shared" si="2864"/>
        <v/>
      </c>
      <c r="AF3830" s="713" t="str">
        <f t="shared" si="2865"/>
        <v/>
      </c>
      <c r="AG3830" s="713"/>
      <c r="AH3830" s="713"/>
      <c r="AI3830" s="112">
        <f>IF(H3830="credit",0,IF(AE3830="free",0,IF(AE3830="me",0,IF(G3830&gt;0,(VLOOKUP(A3830,'Discount Lookup'!J:K,2)*G3830),0))))</f>
        <v>0</v>
      </c>
      <c r="AJ3830" s="107" t="str">
        <f t="shared" ca="1" si="2866"/>
        <v/>
      </c>
      <c r="AK3830" s="714" t="str">
        <f t="shared" si="2867"/>
        <v/>
      </c>
      <c r="AL3830" s="714"/>
      <c r="AM3830" s="114" t="str">
        <f t="shared" si="2868"/>
        <v/>
      </c>
      <c r="AN3830" s="115"/>
      <c r="AO3830" s="116"/>
      <c r="AP3830" s="116"/>
      <c r="AQ3830" s="116"/>
      <c r="AR3830" s="116"/>
      <c r="AS3830" s="116"/>
      <c r="AT3830" s="116"/>
      <c r="AU3830" s="116"/>
      <c r="AV3830" s="78"/>
      <c r="AW3830" s="102"/>
      <c r="AX3830" s="78"/>
      <c r="AY3830" s="78"/>
      <c r="AZ3830" s="78"/>
      <c r="BA3830" s="78"/>
      <c r="BB3830" s="78"/>
      <c r="BC3830" s="78"/>
      <c r="BD3830" s="78"/>
      <c r="BE3830" s="465"/>
      <c r="BF3830" s="165" t="str">
        <f t="shared" si="2869"/>
        <v>https://www.google.com/search?tbm=isch&amp;q=Sasaella%20%3D%201%20of%205%20Bamboo%20types%20%28slow%20runner%2C%20by%20rhizome%29%20</v>
      </c>
      <c r="BG3830" s="165" t="str">
        <f t="shared" si="2870"/>
        <v>S</v>
      </c>
      <c r="BH3830" s="65"/>
      <c r="BI3830" s="65"/>
      <c r="BJ3830" s="65"/>
      <c r="BK3830" s="65"/>
      <c r="BL3830" s="99"/>
      <c r="BM3830" s="99"/>
      <c r="BN3830" s="99"/>
    </row>
    <row r="3831" spans="1:66" s="51" customFormat="1" ht="18" x14ac:dyDescent="0.25">
      <c r="A3831" s="507" t="s">
        <v>4192</v>
      </c>
      <c r="B3831" s="470"/>
      <c r="C3831" s="706"/>
      <c r="D3831" s="471" t="s">
        <v>4193</v>
      </c>
      <c r="E3831" s="472"/>
      <c r="F3831" s="472"/>
      <c r="G3831" s="472"/>
      <c r="H3831" s="622" t="s">
        <v>4194</v>
      </c>
      <c r="I3831" s="473" t="s">
        <v>3824</v>
      </c>
      <c r="J3831" s="472"/>
      <c r="K3831" s="472"/>
      <c r="L3831" s="561"/>
      <c r="M3831" s="703" t="s">
        <v>5260</v>
      </c>
      <c r="N3831" s="692" t="str">
        <f>IF(AND(ISTEXT($A3831), ISERROR($A3831+0)), HYPERLINK($BF3831, "Images"), "")</f>
        <v>Images</v>
      </c>
      <c r="O3831" s="694" t="s">
        <v>5244</v>
      </c>
      <c r="P3831" s="475"/>
      <c r="Q3831" s="476"/>
      <c r="R3831" s="476"/>
      <c r="S3831" s="477"/>
      <c r="T3831" s="102">
        <f t="shared" si="2858"/>
        <v>0</v>
      </c>
      <c r="U3831" s="78" t="str">
        <f>IF(NOT(ISNUMBER(G3831)), "", VLOOKUP(A3831,'Discount Lookup'!D:E,2,FALSE)*G3831)</f>
        <v/>
      </c>
      <c r="V3831" s="78" t="str">
        <f>IF(NOT(ISNUMBER(G3831)), "", VLOOKUP(A3831,'Discount Lookup'!G:H,2,FALSE)*G3831)</f>
        <v/>
      </c>
      <c r="W3831" s="102">
        <f t="shared" si="2859"/>
        <v>0</v>
      </c>
      <c r="X3831" s="102" t="str">
        <f t="shared" si="2860"/>
        <v>Green &amp; White foliage</v>
      </c>
      <c r="Y3831" s="120" t="b">
        <f t="shared" si="2861"/>
        <v>0</v>
      </c>
      <c r="Z3831" s="117">
        <f t="shared" si="2862"/>
        <v>0</v>
      </c>
      <c r="AA3831" s="118"/>
      <c r="AB3831" s="118" t="str">
        <f t="shared" si="2863"/>
        <v/>
      </c>
      <c r="AC3831" s="712" t="str">
        <f>IF(AE3831="T2G","no charge",IF(AND(OR(PlanterYesMe="No",PlanterYesMe="N",PlanterYesMe="me"),H3831=""),"",IF(H3831="credit","NO install",IF(AND(K3831="",AE3831="me"),"EACH row",IF(AND(K3831="images",AE3831="me"),"EACH row",IF(D3831="","",IF(H3831="credit","",IF(AE3831="free","re-planting",IF(AE3831="me","   not ELP, by",IF(AND(OR(PlanterYesMe="Yes",PlanterYesMe="Y"),G3831&gt;0),(VLOOKUP(A3831,'Discount Lookup'!J:K,2)*G3831*(1-PlanterDiscount)*(1+PlanterDifficultyPercentage)),IF(AE3831="ELP",(VLOOKUP(A3831,'Discount Lookup'!J:K,2)*G3831*(1-PlanterDiscount)*(1+PlanterDifficultyPercentage)),IF(AE3831="free","re-planting",IF(G3831=0,"",IF(PlanterYesMe="",IF(AE3831="me","   not ELP, by",IF(AE3831="",IF(G3831&gt;0,(VLOOKUP(A3831,'Discount Lookup'!J:K,2)*G3831*(1-PlanterDiscount)*(1+PlanterDifficultyPercentage)),""),"")),"   not ELP, by"))))))))))))))</f>
        <v/>
      </c>
      <c r="AD3831" s="712"/>
      <c r="AE3831" s="513" t="str">
        <f t="shared" si="2864"/>
        <v/>
      </c>
      <c r="AF3831" s="713" t="str">
        <f t="shared" si="2865"/>
        <v/>
      </c>
      <c r="AG3831" s="713"/>
      <c r="AH3831" s="713"/>
      <c r="AI3831" s="112">
        <f>IF(H3831="credit",0,IF(AE3831="free",0,IF(AE3831="me",0,IF(G3831&gt;0,(VLOOKUP(A3831,'Discount Lookup'!J:K,2)*G3831),0))))</f>
        <v>0</v>
      </c>
      <c r="AJ3831" s="107" t="str">
        <f t="shared" ca="1" si="2866"/>
        <v/>
      </c>
      <c r="AK3831" s="714" t="str">
        <f t="shared" si="2867"/>
        <v/>
      </c>
      <c r="AL3831" s="714"/>
      <c r="AM3831" s="114" t="str">
        <f t="shared" si="2868"/>
        <v/>
      </c>
      <c r="AN3831" s="115"/>
      <c r="AO3831" s="116"/>
      <c r="AP3831" s="116"/>
      <c r="AQ3831" s="116"/>
      <c r="AR3831" s="116"/>
      <c r="AS3831" s="116"/>
      <c r="AT3831" s="116"/>
      <c r="AU3831" s="116"/>
      <c r="AV3831" s="78"/>
      <c r="AW3831" s="102"/>
      <c r="AX3831" s="78"/>
      <c r="AY3831" s="78"/>
      <c r="AZ3831" s="78"/>
      <c r="BA3831" s="78"/>
      <c r="BB3831" s="78"/>
      <c r="BC3831" s="78"/>
      <c r="BD3831" s="78"/>
      <c r="BE3831" s="465"/>
      <c r="BF3831" s="165" t="str">
        <f t="shared" si="2869"/>
        <v>https://www.google.com/search?tbm=isch&amp;q=Sasaella%20masamuneana%20%27Albostriata%27%20White-Striped%20Dwarf%20Bamboo</v>
      </c>
      <c r="BG3831" s="165" t="str">
        <f t="shared" si="2870"/>
        <v>S</v>
      </c>
      <c r="BH3831" s="65"/>
      <c r="BI3831" s="65"/>
      <c r="BJ3831" s="65"/>
      <c r="BK3831" s="65"/>
      <c r="BL3831" s="99"/>
      <c r="BM3831" s="99"/>
      <c r="BN3831" s="99"/>
    </row>
    <row r="3832" spans="1:66" s="51" customFormat="1" ht="15.75" x14ac:dyDescent="0.25">
      <c r="A3832" s="478">
        <v>3</v>
      </c>
      <c r="B3832" s="479" t="s">
        <v>291</v>
      </c>
      <c r="C3832" s="480" t="s">
        <v>4195</v>
      </c>
      <c r="D3832" s="481" t="s">
        <v>299</v>
      </c>
      <c r="E3832" s="482">
        <v>45.95</v>
      </c>
      <c r="F3832" s="483" t="s">
        <v>292</v>
      </c>
      <c r="G3832" s="484">
        <v>0</v>
      </c>
      <c r="H3832" s="688" t="str">
        <f>IF(G3832=0,"",IF(F3832="Buy",IF(G3832=1,"plant","plants"),IF(F3832&gt;0.01,"warranty","Error")))</f>
        <v/>
      </c>
      <c r="I3832" s="485">
        <f>IF(H3832="free",0,IF(H3832="credit",((E3832*(F3832))*G3832*-1),IF(F3832="Buy",(E3832*G3832),((E3832*(1-F3832))*G3832))))</f>
        <v>0</v>
      </c>
      <c r="J3832" s="485">
        <f>IF(H3832="warranty",0,(I3832*(_xlfn.SINGLE(SalesTaxPercentage))))</f>
        <v>0</v>
      </c>
      <c r="K3832" s="715">
        <f t="shared" ref="K3832" si="2885">I3832+J3832</f>
        <v>0</v>
      </c>
      <c r="L3832" s="715"/>
      <c r="M3832" s="689" t="str">
        <f ca="1">IF(AND(G3832&gt;0,E3832=0),"WARNING - no PRICE inserted",IF(H3832="free","FREE ~ no charge this plant",IF(H3832="credit",CONCATENATE("-$",ROUND(K3832*(1-_xlfn.SINGLE(T2GDiscount))*-1,2)," CREDIT after discount"),IF(_xlfn.SINGLE(T2GDiscount)=0,"",IF(G3832=0,"",IF(F3832="Buy",CONCATENATE("$",ROUND(K3832*(1-_xlfn.SINGLE(T2GDiscount)),2)," with ",(_xlfn.SINGLE(T2GDiscount)*100),"% discount"),CONCATENATE("$",ROUND(K3832*(1-_xlfn.SINGLE(T2GDiscount)),2)," with ",((_xlfn.SINGLE(T2GDiscount)*100+F3832*100)-(_xlfn.SINGLE(T2GDiscount)*100*F3832)),IF(F3832&gt;0,"% discounts",IF(_xlfn.SINGLE(NoWarrantyDiscount)&gt;0,"% discounts","% discount")))))))))</f>
        <v/>
      </c>
      <c r="N3832" s="690"/>
      <c r="O3832" s="486"/>
      <c r="P3832" s="486"/>
      <c r="Q3832" s="486"/>
      <c r="R3832" s="486"/>
      <c r="S3832" s="486"/>
      <c r="T3832" s="102">
        <f t="shared" si="2858"/>
        <v>0</v>
      </c>
      <c r="U3832" s="78">
        <f>IF(NOT(ISNUMBER(G3832)), "", VLOOKUP(A3832,'Discount Lookup'!D:E,2,FALSE)*G3832)</f>
        <v>0</v>
      </c>
      <c r="V3832" s="78">
        <f>IF(NOT(ISNUMBER(G3832)), "", VLOOKUP(A3832,'Discount Lookup'!G:H,2,FALSE)*G3832)</f>
        <v>0</v>
      </c>
      <c r="W3832" s="102">
        <f t="shared" si="2859"/>
        <v>0</v>
      </c>
      <c r="X3832" s="102">
        <f t="shared" si="2860"/>
        <v>0</v>
      </c>
      <c r="Y3832" s="120" t="b">
        <f t="shared" si="2861"/>
        <v>0</v>
      </c>
      <c r="Z3832" s="117">
        <f t="shared" si="2862"/>
        <v>0</v>
      </c>
      <c r="AA3832" s="118"/>
      <c r="AB3832" s="118" t="str">
        <f t="shared" si="2863"/>
        <v/>
      </c>
      <c r="AC3832" s="712" t="str">
        <f>IF(AE3832="T2G","no charge",IF(AND(OR(PlanterYesMe="No",PlanterYesMe="N",PlanterYesMe="me"),H3832=""),"",IF(H3832="credit","NO install",IF(AND(K3832="",AE3832="me"),"EACH row",IF(AND(K3832="images",AE3832="me"),"EACH row",IF(D3832="","",IF(H3832="credit","",IF(AE3832="free","re-planting",IF(AE3832="me","   not ELP, by",IF(AND(OR(PlanterYesMe="Yes",PlanterYesMe="Y"),G3832&gt;0),(VLOOKUP(A3832,'Discount Lookup'!J:K,2)*G3832*(1-PlanterDiscount)*(1+PlanterDifficultyPercentage)),IF(AE3832="ELP",(VLOOKUP(A3832,'Discount Lookup'!J:K,2)*G3832*(1-PlanterDiscount)*(1+PlanterDifficultyPercentage)),IF(AE3832="free","re-planting",IF(G3832=0,"",IF(PlanterYesMe="",IF(AE3832="me","   not ELP, by",IF(AE3832="",IF(G3832&gt;0,(VLOOKUP(A3832,'Discount Lookup'!J:K,2)*G3832*(1-PlanterDiscount)*(1+PlanterDifficultyPercentage)),""),"")),"   not ELP, by"))))))))))))))</f>
        <v/>
      </c>
      <c r="AD3832" s="712"/>
      <c r="AE3832" s="513" t="str">
        <f t="shared" si="2864"/>
        <v/>
      </c>
      <c r="AF3832" s="713" t="str">
        <f t="shared" si="2865"/>
        <v/>
      </c>
      <c r="AG3832" s="713"/>
      <c r="AH3832" s="713"/>
      <c r="AI3832" s="112">
        <f>IF(H3832="credit",0,IF(AE3832="free",0,IF(AE3832="me",0,IF(G3832&gt;0,(VLOOKUP(A3832,'Discount Lookup'!J:K,2)*G3832),0))))</f>
        <v>0</v>
      </c>
      <c r="AJ3832" s="107" t="str">
        <f t="shared" ca="1" si="2866"/>
        <v/>
      </c>
      <c r="AK3832" s="714" t="str">
        <f t="shared" si="2867"/>
        <v/>
      </c>
      <c r="AL3832" s="714"/>
      <c r="AM3832" s="114" t="str">
        <f t="shared" si="2868"/>
        <v/>
      </c>
      <c r="AN3832" s="115"/>
      <c r="AO3832" s="116"/>
      <c r="AP3832" s="116"/>
      <c r="AQ3832" s="116"/>
      <c r="AR3832" s="116"/>
      <c r="AS3832" s="116"/>
      <c r="AT3832" s="116"/>
      <c r="AU3832" s="116"/>
      <c r="AV3832" s="78"/>
      <c r="AW3832" s="102"/>
      <c r="AX3832" s="78"/>
      <c r="AY3832" s="78"/>
      <c r="AZ3832" s="78"/>
      <c r="BA3832" s="78"/>
      <c r="BB3832" s="78"/>
      <c r="BC3832" s="78"/>
      <c r="BD3832" s="78"/>
      <c r="BE3832" s="465"/>
      <c r="BF3832" s="165" t="str">
        <f t="shared" si="2869"/>
        <v>https://www.google.com/search?tbm=isch&amp;q=3%20G4</v>
      </c>
      <c r="BG3832" s="165" t="str">
        <f t="shared" si="2870"/>
        <v>S</v>
      </c>
      <c r="BH3832" s="65"/>
      <c r="BI3832" s="65"/>
      <c r="BJ3832" s="65"/>
      <c r="BK3832" s="65"/>
      <c r="BL3832" s="99"/>
      <c r="BM3832" s="99"/>
      <c r="BN3832" s="99"/>
    </row>
    <row r="3833" spans="1:66" s="51" customFormat="1" ht="15.75" x14ac:dyDescent="0.25">
      <c r="A3833" s="508" t="s">
        <v>4196</v>
      </c>
      <c r="B3833" s="487"/>
      <c r="C3833" s="707"/>
      <c r="D3833" s="487"/>
      <c r="E3833" s="487"/>
      <c r="F3833" s="488"/>
      <c r="G3833" s="489"/>
      <c r="H3833" s="487"/>
      <c r="I3833" s="490"/>
      <c r="J3833" s="490"/>
      <c r="K3833" s="491"/>
      <c r="L3833" s="547"/>
      <c r="M3833" s="528"/>
      <c r="N3833" s="492"/>
      <c r="O3833" s="493"/>
      <c r="P3833" s="494"/>
      <c r="Q3833" s="492"/>
      <c r="R3833" s="492"/>
      <c r="S3833" s="699" t="s">
        <v>5259</v>
      </c>
      <c r="T3833" s="102">
        <f t="shared" si="2858"/>
        <v>0</v>
      </c>
      <c r="U3833" s="78" t="str">
        <f>IF(NOT(ISNUMBER(G3833)), "", VLOOKUP(A3833,'Discount Lookup'!D:E,2,FALSE)*G3833)</f>
        <v/>
      </c>
      <c r="V3833" s="78" t="str">
        <f>IF(NOT(ISNUMBER(G3833)), "", VLOOKUP(A3833,'Discount Lookup'!G:H,2,FALSE)*G3833)</f>
        <v/>
      </c>
      <c r="W3833" s="102">
        <f t="shared" si="2859"/>
        <v>0</v>
      </c>
      <c r="X3833" s="102">
        <f t="shared" si="2860"/>
        <v>0</v>
      </c>
      <c r="Y3833" s="120" t="b">
        <f t="shared" si="2861"/>
        <v>0</v>
      </c>
      <c r="Z3833" s="117">
        <f t="shared" si="2862"/>
        <v>0</v>
      </c>
      <c r="AA3833" s="118"/>
      <c r="AB3833" s="118" t="str">
        <f t="shared" si="2863"/>
        <v/>
      </c>
      <c r="AC3833" s="712" t="str">
        <f>IF(AE3833="T2G","no charge",IF(AND(OR(PlanterYesMe="No",PlanterYesMe="N",PlanterYesMe="me"),H3833=""),"",IF(H3833="credit","NO install",IF(AND(K3833="",AE3833="me"),"EACH row",IF(AND(K3833="images",AE3833="me"),"EACH row",IF(D3833="","",IF(H3833="credit","",IF(AE3833="free","re-planting",IF(AE3833="me","   not ELP, by",IF(AND(OR(PlanterYesMe="Yes",PlanterYesMe="Y"),G3833&gt;0),(VLOOKUP(A3833,'Discount Lookup'!J:K,2)*G3833*(1-PlanterDiscount)*(1+PlanterDifficultyPercentage)),IF(AE3833="ELP",(VLOOKUP(A3833,'Discount Lookup'!J:K,2)*G3833*(1-PlanterDiscount)*(1+PlanterDifficultyPercentage)),IF(AE3833="free","re-planting",IF(G3833=0,"",IF(PlanterYesMe="",IF(AE3833="me","   not ELP, by",IF(AE3833="",IF(G3833&gt;0,(VLOOKUP(A3833,'Discount Lookup'!J:K,2)*G3833*(1-PlanterDiscount)*(1+PlanterDifficultyPercentage)),""),"")),"   not ELP, by"))))))))))))))</f>
        <v/>
      </c>
      <c r="AD3833" s="712"/>
      <c r="AE3833" s="513" t="str">
        <f t="shared" si="2864"/>
        <v/>
      </c>
      <c r="AF3833" s="713" t="str">
        <f t="shared" si="2865"/>
        <v/>
      </c>
      <c r="AG3833" s="713"/>
      <c r="AH3833" s="713"/>
      <c r="AI3833" s="112">
        <f>IF(H3833="credit",0,IF(AE3833="free",0,IF(AE3833="me",0,IF(G3833&gt;0,(VLOOKUP(A3833,'Discount Lookup'!J:K,2)*G3833),0))))</f>
        <v>0</v>
      </c>
      <c r="AJ3833" s="107" t="str">
        <f t="shared" ca="1" si="2866"/>
        <v/>
      </c>
      <c r="AK3833" s="714" t="str">
        <f t="shared" si="2867"/>
        <v/>
      </c>
      <c r="AL3833" s="714"/>
      <c r="AM3833" s="114" t="str">
        <f t="shared" si="2868"/>
        <v/>
      </c>
      <c r="AN3833" s="115"/>
      <c r="AO3833" s="116"/>
      <c r="AP3833" s="116"/>
      <c r="AQ3833" s="116"/>
      <c r="AR3833" s="116"/>
      <c r="AS3833" s="116"/>
      <c r="AT3833" s="116"/>
      <c r="AU3833" s="116"/>
      <c r="AV3833" s="78"/>
      <c r="AW3833" s="102"/>
      <c r="AX3833" s="78"/>
      <c r="AY3833" s="78"/>
      <c r="AZ3833" s="78"/>
      <c r="BA3833" s="78"/>
      <c r="BB3833" s="78"/>
      <c r="BC3833" s="78"/>
      <c r="BD3833" s="78"/>
      <c r="BE3833" s="465"/>
      <c r="BF3833" s="165" t="str">
        <f t="shared" si="2869"/>
        <v>https://www.google.com/search?tbm=isch&amp;q=White-Striped%20Dwarf%20is%20a%20runner%2C%20forming%20a%20dense%20mat.%20Striking%20Green-and-White%20striped%20foliage%20and%20Red-to-Green%20culms.%20Cold-hardy%20</v>
      </c>
      <c r="BG3833" s="165" t="str">
        <f t="shared" si="2870"/>
        <v>W</v>
      </c>
      <c r="BH3833" s="65"/>
      <c r="BI3833" s="65"/>
      <c r="BJ3833" s="65"/>
      <c r="BK3833" s="65"/>
      <c r="BL3833" s="99"/>
      <c r="BM3833" s="99"/>
      <c r="BN3833" s="99"/>
    </row>
    <row r="3834" spans="1:66" s="51" customFormat="1" ht="19.5" thickBot="1" x14ac:dyDescent="0.3">
      <c r="A3834" s="686" t="s">
        <v>730</v>
      </c>
      <c r="B3834" s="73"/>
      <c r="C3834" s="708"/>
      <c r="D3834" s="73"/>
      <c r="E3834" s="73"/>
      <c r="F3834" s="496"/>
      <c r="G3834" s="73"/>
      <c r="H3834" s="73"/>
      <c r="I3834" s="73"/>
      <c r="J3834" s="497" t="s">
        <v>357</v>
      </c>
      <c r="K3834" s="498"/>
      <c r="L3834" s="562"/>
      <c r="M3834" s="73"/>
      <c r="N3834"/>
      <c r="O3834"/>
      <c r="P3834"/>
      <c r="Q3834"/>
      <c r="R3834"/>
      <c r="S3834"/>
      <c r="T3834" s="102">
        <f t="shared" si="2858"/>
        <v>0</v>
      </c>
      <c r="U3834" s="78" t="str">
        <f>IF(NOT(ISNUMBER(G3834)), "", VLOOKUP(A3834,'Discount Lookup'!D:E,2,FALSE)*G3834)</f>
        <v/>
      </c>
      <c r="V3834" s="78" t="str">
        <f>IF(NOT(ISNUMBER(G3834)), "", VLOOKUP(A3834,'Discount Lookup'!G:H,2,FALSE)*G3834)</f>
        <v/>
      </c>
      <c r="W3834" s="102">
        <f t="shared" si="2859"/>
        <v>0</v>
      </c>
      <c r="X3834" s="102">
        <f t="shared" si="2860"/>
        <v>0</v>
      </c>
      <c r="Y3834" s="120" t="b">
        <f t="shared" si="2861"/>
        <v>0</v>
      </c>
      <c r="Z3834" s="117">
        <f t="shared" si="2862"/>
        <v>0</v>
      </c>
      <c r="AA3834" s="118"/>
      <c r="AB3834" s="118" t="str">
        <f t="shared" si="2863"/>
        <v/>
      </c>
      <c r="AC3834" s="712" t="str">
        <f>IF(AE3834="T2G","no charge",IF(AND(OR(PlanterYesMe="No",PlanterYesMe="N",PlanterYesMe="me"),H3834=""),"",IF(H3834="credit","NO install",IF(AND(K3834="",AE3834="me"),"EACH row",IF(AND(K3834="images",AE3834="me"),"EACH row",IF(D3834="","",IF(H3834="credit","",IF(AE3834="free","re-planting",IF(AE3834="me","   not ELP, by",IF(AND(OR(PlanterYesMe="Yes",PlanterYesMe="Y"),G3834&gt;0),(VLOOKUP(A3834,'Discount Lookup'!J:K,2)*G3834*(1-PlanterDiscount)*(1+PlanterDifficultyPercentage)),IF(AE3834="ELP",(VLOOKUP(A3834,'Discount Lookup'!J:K,2)*G3834*(1-PlanterDiscount)*(1+PlanterDifficultyPercentage)),IF(AE3834="free","re-planting",IF(G3834=0,"",IF(PlanterYesMe="",IF(AE3834="me","   not ELP, by",IF(AE3834="",IF(G3834&gt;0,(VLOOKUP(A3834,'Discount Lookup'!J:K,2)*G3834*(1-PlanterDiscount)*(1+PlanterDifficultyPercentage)),""),"")),"   not ELP, by"))))))))))))))</f>
        <v/>
      </c>
      <c r="AD3834" s="712"/>
      <c r="AE3834" s="513" t="str">
        <f t="shared" si="2864"/>
        <v/>
      </c>
      <c r="AF3834" s="713" t="str">
        <f t="shared" si="2865"/>
        <v/>
      </c>
      <c r="AG3834" s="713"/>
      <c r="AH3834" s="713"/>
      <c r="AI3834" s="112">
        <f>IF(H3834="credit",0,IF(AE3834="free",0,IF(AE3834="me",0,IF(G3834&gt;0,(VLOOKUP(A3834,'Discount Lookup'!J:K,2)*G3834),0))))</f>
        <v>0</v>
      </c>
      <c r="AJ3834" s="107" t="str">
        <f t="shared" ca="1" si="2866"/>
        <v/>
      </c>
      <c r="AK3834" s="714" t="str">
        <f t="shared" si="2867"/>
        <v/>
      </c>
      <c r="AL3834" s="714"/>
      <c r="AM3834" s="114" t="str">
        <f t="shared" si="2868"/>
        <v/>
      </c>
      <c r="AN3834" s="115"/>
      <c r="AO3834" s="116"/>
      <c r="AP3834" s="116"/>
      <c r="AQ3834" s="116"/>
      <c r="AR3834" s="116"/>
      <c r="AS3834" s="116"/>
      <c r="AT3834" s="116"/>
      <c r="AU3834" s="116"/>
      <c r="AV3834" s="78"/>
      <c r="AW3834" s="102"/>
      <c r="AX3834" s="78"/>
      <c r="AY3834" s="78"/>
      <c r="AZ3834" s="78"/>
      <c r="BA3834" s="78"/>
      <c r="BB3834" s="78"/>
      <c r="BC3834" s="78"/>
      <c r="BD3834" s="78"/>
      <c r="BE3834" s="465"/>
      <c r="BF3834" s="165" t="str">
        <f t="shared" si="2869"/>
        <v>https://www.google.com/search?tbm=isch&amp;q=Schizachyrium%20%3D%20Little%20Bluestem%20Grass%20</v>
      </c>
      <c r="BG3834" s="165" t="str">
        <f t="shared" si="2870"/>
        <v>S</v>
      </c>
      <c r="BH3834" s="65"/>
      <c r="BI3834" s="65"/>
      <c r="BJ3834" s="65"/>
      <c r="BK3834" s="65"/>
      <c r="BL3834" s="99"/>
      <c r="BM3834" s="99"/>
      <c r="BN3834" s="99"/>
    </row>
    <row r="3835" spans="1:66" s="51" customFormat="1" ht="18" x14ac:dyDescent="0.25">
      <c r="A3835" s="623" t="s">
        <v>4197</v>
      </c>
      <c r="B3835" s="624"/>
      <c r="C3835" s="709"/>
      <c r="D3835" s="625" t="s">
        <v>4198</v>
      </c>
      <c r="E3835" s="626"/>
      <c r="F3835" s="626"/>
      <c r="G3835" s="626"/>
      <c r="H3835" s="622" t="s">
        <v>2572</v>
      </c>
      <c r="I3835" s="627" t="s">
        <v>4199</v>
      </c>
      <c r="J3835" s="628"/>
      <c r="K3835" s="628"/>
      <c r="L3835" s="629"/>
      <c r="M3835" s="700" t="s">
        <v>5241</v>
      </c>
      <c r="N3835" s="693" t="str">
        <f>IF(AND(ISTEXT($A3835), ISERROR($A3835+0)), HYPERLINK($BF3835, "Images"), "")</f>
        <v>Images</v>
      </c>
      <c r="O3835" s="695" t="s">
        <v>5244</v>
      </c>
      <c r="P3835" s="630"/>
      <c r="Q3835" s="631"/>
      <c r="R3835" s="632"/>
      <c r="S3835" s="633" t="s">
        <v>294</v>
      </c>
      <c r="T3835" s="102">
        <f t="shared" si="2858"/>
        <v>0</v>
      </c>
      <c r="U3835" s="78" t="str">
        <f>IF(NOT(ISNUMBER(G3835)), "", VLOOKUP(A3835,'Discount Lookup'!D:E,2,FALSE)*G3835)</f>
        <v/>
      </c>
      <c r="V3835" s="78" t="str">
        <f>IF(NOT(ISNUMBER(G3835)), "", VLOOKUP(A3835,'Discount Lookup'!G:H,2,FALSE)*G3835)</f>
        <v/>
      </c>
      <c r="W3835" s="102">
        <f t="shared" si="2859"/>
        <v>0</v>
      </c>
      <c r="X3835" s="102" t="str">
        <f t="shared" si="2860"/>
        <v>Blue-Green blades, Silvery tones</v>
      </c>
      <c r="Y3835" s="120" t="b">
        <f t="shared" si="2861"/>
        <v>0</v>
      </c>
      <c r="Z3835" s="117">
        <f t="shared" si="2862"/>
        <v>0</v>
      </c>
      <c r="AA3835" s="118"/>
      <c r="AB3835" s="118" t="str">
        <f t="shared" si="2863"/>
        <v/>
      </c>
      <c r="AC3835" s="712" t="str">
        <f>IF(AE3835="T2G","no charge",IF(AND(OR(PlanterYesMe="No",PlanterYesMe="N",PlanterYesMe="me"),H3835=""),"",IF(H3835="credit","NO install",IF(AND(K3835="",AE3835="me"),"EACH row",IF(AND(K3835="images",AE3835="me"),"EACH row",IF(D3835="","",IF(H3835="credit","",IF(AE3835="free","re-planting",IF(AE3835="me","   not ELP, by",IF(AND(OR(PlanterYesMe="Yes",PlanterYesMe="Y"),G3835&gt;0),(VLOOKUP(A3835,'Discount Lookup'!J:K,2)*G3835*(1-PlanterDiscount)*(1+PlanterDifficultyPercentage)),IF(AE3835="ELP",(VLOOKUP(A3835,'Discount Lookup'!J:K,2)*G3835*(1-PlanterDiscount)*(1+PlanterDifficultyPercentage)),IF(AE3835="free","re-planting",IF(G3835=0,"",IF(PlanterYesMe="",IF(AE3835="me","   not ELP, by",IF(AE3835="",IF(G3835&gt;0,(VLOOKUP(A3835,'Discount Lookup'!J:K,2)*G3835*(1-PlanterDiscount)*(1+PlanterDifficultyPercentage)),""),"")),"   not ELP, by"))))))))))))))</f>
        <v/>
      </c>
      <c r="AD3835" s="712"/>
      <c r="AE3835" s="513" t="str">
        <f t="shared" si="2864"/>
        <v/>
      </c>
      <c r="AF3835" s="713" t="str">
        <f t="shared" si="2865"/>
        <v/>
      </c>
      <c r="AG3835" s="713"/>
      <c r="AH3835" s="713"/>
      <c r="AI3835" s="112">
        <f>IF(H3835="credit",0,IF(AE3835="free",0,IF(AE3835="me",0,IF(G3835&gt;0,(VLOOKUP(A3835,'Discount Lookup'!J:K,2)*G3835),0))))</f>
        <v>0</v>
      </c>
      <c r="AJ3835" s="107" t="str">
        <f t="shared" ca="1" si="2866"/>
        <v/>
      </c>
      <c r="AK3835" s="714" t="str">
        <f t="shared" si="2867"/>
        <v/>
      </c>
      <c r="AL3835" s="714"/>
      <c r="AM3835" s="114" t="str">
        <f t="shared" si="2868"/>
        <v/>
      </c>
      <c r="AN3835" s="115"/>
      <c r="AO3835" s="116"/>
      <c r="AP3835" s="116"/>
      <c r="AQ3835" s="116"/>
      <c r="AR3835" s="116"/>
      <c r="AS3835" s="116"/>
      <c r="AT3835" s="116"/>
      <c r="AU3835" s="116"/>
      <c r="AV3835" s="78"/>
      <c r="AW3835" s="102"/>
      <c r="AX3835" s="78"/>
      <c r="AY3835" s="78"/>
      <c r="AZ3835" s="78"/>
      <c r="BA3835" s="78"/>
      <c r="BB3835" s="78"/>
      <c r="BC3835" s="78"/>
      <c r="BD3835" s="78"/>
      <c r="BE3835" s="465"/>
      <c r="BF3835" s="165" t="str">
        <f t="shared" si="2869"/>
        <v>https://www.google.com/search?tbm=isch&amp;q=Schizachyrium%20scoparium%20Little%20Bluestem%20Grass</v>
      </c>
      <c r="BG3835" s="165" t="str">
        <f t="shared" si="2870"/>
        <v>S</v>
      </c>
      <c r="BH3835" s="65"/>
      <c r="BI3835" s="65"/>
      <c r="BJ3835" s="65"/>
      <c r="BK3835" s="65"/>
      <c r="BL3835" s="99"/>
      <c r="BM3835" s="99"/>
      <c r="BN3835" s="99"/>
    </row>
    <row r="3836" spans="1:66" s="51" customFormat="1" ht="27" x14ac:dyDescent="0.25">
      <c r="A3836" s="634">
        <v>1</v>
      </c>
      <c r="B3836" s="635" t="s">
        <v>291</v>
      </c>
      <c r="C3836" s="636" t="s">
        <v>5020</v>
      </c>
      <c r="D3836" s="637" t="s">
        <v>293</v>
      </c>
      <c r="E3836" s="638">
        <v>18.95</v>
      </c>
      <c r="F3836" s="639" t="s">
        <v>292</v>
      </c>
      <c r="G3836" s="484">
        <v>0</v>
      </c>
      <c r="H3836" s="691" t="str">
        <f>IF(G3836=0,"",IF(F3836="Buy",IF(G3836=1,"plant","plants"),IF(F3836&gt;0.01,"warranty","Error")))</f>
        <v/>
      </c>
      <c r="I3836" s="640">
        <f>IF(H3836="free",0,IF(H3836="credit",((E3836*(F3836))*G3836*-1),IF(F3836="Buy",(E3836*G3836),((E3836*(1-F3836))*G3836))))</f>
        <v>0</v>
      </c>
      <c r="J3836" s="640">
        <f>IF(H3836="warranty",0,(I3836*(_xlfn.SINGLE(SalesTaxPercentage))))</f>
        <v>0</v>
      </c>
      <c r="K3836" s="716">
        <f t="shared" ref="K3836" si="2886">I3836+J3836</f>
        <v>0</v>
      </c>
      <c r="L3836" s="716"/>
      <c r="M3836" s="689" t="str">
        <f ca="1">IF(AND(G3836&gt;0,E3836=0),"WARNING - no PRICE inserted",IF(H3836="free","FREE ~ no charge this plant",IF(H3836="credit",CONCATENATE("-$",ROUND(K3836*(1-_xlfn.SINGLE(T2GDiscount))*-1,2)," CREDIT after discount"),IF(_xlfn.SINGLE(T2GDiscount)=0,"",IF(G3836=0,"",IF(F3836="Buy",CONCATENATE("$",ROUND(K3836*(1-_xlfn.SINGLE(T2GDiscount)),2)," with ",(_xlfn.SINGLE(T2GDiscount)*100),"% discount"),CONCATENATE("$",ROUND(K3836*(1-_xlfn.SINGLE(T2GDiscount)),2)," with ",((_xlfn.SINGLE(T2GDiscount)*100+F3836*100)-(_xlfn.SINGLE(T2GDiscount)*100*F3836)),IF(F3836&gt;0,"% discounts",IF(_xlfn.SINGLE(NoWarrantyDiscount)&gt;0,"% discounts","% discount")))))))))</f>
        <v/>
      </c>
      <c r="N3836" s="690"/>
      <c r="O3836" s="486"/>
      <c r="P3836" s="486"/>
      <c r="Q3836" s="486"/>
      <c r="R3836" s="486"/>
      <c r="S3836" s="486"/>
      <c r="T3836" s="102">
        <f t="shared" si="2858"/>
        <v>0</v>
      </c>
      <c r="U3836" s="78">
        <f>IF(NOT(ISNUMBER(G3836)), "", VLOOKUP(A3836,'Discount Lookup'!D:E,2,FALSE)*G3836)</f>
        <v>0</v>
      </c>
      <c r="V3836" s="78">
        <f>IF(NOT(ISNUMBER(G3836)), "", VLOOKUP(A3836,'Discount Lookup'!G:H,2,FALSE)*G3836)</f>
        <v>0</v>
      </c>
      <c r="W3836" s="102">
        <f t="shared" si="2859"/>
        <v>0</v>
      </c>
      <c r="X3836" s="102">
        <f t="shared" si="2860"/>
        <v>0</v>
      </c>
      <c r="Y3836" s="120" t="b">
        <f t="shared" si="2861"/>
        <v>0</v>
      </c>
      <c r="Z3836" s="117">
        <f t="shared" si="2862"/>
        <v>0</v>
      </c>
      <c r="AA3836" s="118"/>
      <c r="AB3836" s="118" t="str">
        <f t="shared" si="2863"/>
        <v/>
      </c>
      <c r="AC3836" s="712" t="str">
        <f>IF(AE3836="T2G","no charge",IF(AND(OR(PlanterYesMe="No",PlanterYesMe="N",PlanterYesMe="me"),H3836=""),"",IF(H3836="credit","NO install",IF(AND(K3836="",AE3836="me"),"EACH row",IF(AND(K3836="images",AE3836="me"),"EACH row",IF(D3836="","",IF(H3836="credit","",IF(AE3836="free","re-planting",IF(AE3836="me","   not ELP, by",IF(AND(OR(PlanterYesMe="Yes",PlanterYesMe="Y"),G3836&gt;0),(VLOOKUP(A3836,'Discount Lookup'!J:K,2)*G3836*(1-PlanterDiscount)*(1+PlanterDifficultyPercentage)),IF(AE3836="ELP",(VLOOKUP(A3836,'Discount Lookup'!J:K,2)*G3836*(1-PlanterDiscount)*(1+PlanterDifficultyPercentage)),IF(AE3836="free","re-planting",IF(G3836=0,"",IF(PlanterYesMe="",IF(AE3836="me","   not ELP, by",IF(AE3836="",IF(G3836&gt;0,(VLOOKUP(A3836,'Discount Lookup'!J:K,2)*G3836*(1-PlanterDiscount)*(1+PlanterDifficultyPercentage)),""),"")),"   not ELP, by"))))))))))))))</f>
        <v/>
      </c>
      <c r="AD3836" s="712"/>
      <c r="AE3836" s="513" t="str">
        <f t="shared" si="2864"/>
        <v/>
      </c>
      <c r="AF3836" s="713" t="str">
        <f t="shared" si="2865"/>
        <v/>
      </c>
      <c r="AG3836" s="713"/>
      <c r="AH3836" s="713"/>
      <c r="AI3836" s="112">
        <f>IF(H3836="credit",0,IF(AE3836="free",0,IF(AE3836="me",0,IF(G3836&gt;0,(VLOOKUP(A3836,'Discount Lookup'!J:K,2)*G3836),0))))</f>
        <v>0</v>
      </c>
      <c r="AJ3836" s="107" t="str">
        <f t="shared" ca="1" si="2866"/>
        <v/>
      </c>
      <c r="AK3836" s="714" t="str">
        <f t="shared" si="2867"/>
        <v/>
      </c>
      <c r="AL3836" s="714"/>
      <c r="AM3836" s="114" t="str">
        <f t="shared" si="2868"/>
        <v/>
      </c>
      <c r="AN3836" s="115"/>
      <c r="AO3836" s="116"/>
      <c r="AP3836" s="116"/>
      <c r="AQ3836" s="116"/>
      <c r="AR3836" s="116"/>
      <c r="AS3836" s="116"/>
      <c r="AT3836" s="116"/>
      <c r="AU3836" s="116"/>
      <c r="AV3836" s="78"/>
      <c r="AW3836" s="102"/>
      <c r="AX3836" s="78"/>
      <c r="AY3836" s="78"/>
      <c r="AZ3836" s="78"/>
      <c r="BA3836" s="78"/>
      <c r="BB3836" s="78"/>
      <c r="BC3836" s="78"/>
      <c r="BD3836" s="78"/>
      <c r="BE3836" s="465"/>
      <c r="BF3836" s="165" t="str">
        <f t="shared" si="2869"/>
        <v>https://www.google.com/search?tbm=isch&amp;q=1%20G6</v>
      </c>
      <c r="BG3836" s="165" t="str">
        <f t="shared" si="2870"/>
        <v>S</v>
      </c>
      <c r="BH3836" s="65"/>
      <c r="BI3836" s="65"/>
      <c r="BJ3836" s="65"/>
      <c r="BK3836" s="65"/>
      <c r="BL3836" s="99"/>
      <c r="BM3836" s="99"/>
      <c r="BN3836" s="99"/>
    </row>
    <row r="3837" spans="1:66" s="51" customFormat="1" ht="17.25" thickBot="1" x14ac:dyDescent="0.3">
      <c r="A3837" s="641" t="s">
        <v>4200</v>
      </c>
      <c r="B3837" s="642"/>
      <c r="C3837" s="710"/>
      <c r="D3837" s="643"/>
      <c r="E3837" s="643"/>
      <c r="F3837" s="644"/>
      <c r="G3837" s="645"/>
      <c r="H3837" s="646"/>
      <c r="I3837" s="647"/>
      <c r="J3837" s="648"/>
      <c r="K3837" s="649"/>
      <c r="L3837" s="650"/>
      <c r="M3837" s="650"/>
      <c r="N3837" s="644"/>
      <c r="O3837" s="644"/>
      <c r="P3837" s="644"/>
      <c r="Q3837" s="644"/>
      <c r="R3837" s="644"/>
      <c r="S3837" s="701" t="s">
        <v>5261</v>
      </c>
      <c r="T3837" s="102">
        <f t="shared" si="2858"/>
        <v>0</v>
      </c>
      <c r="U3837" s="78" t="str">
        <f>IF(NOT(ISNUMBER(G3837)), "", VLOOKUP(A3837,'Discount Lookup'!D:E,2,FALSE)*G3837)</f>
        <v/>
      </c>
      <c r="V3837" s="78" t="str">
        <f>IF(NOT(ISNUMBER(G3837)), "", VLOOKUP(A3837,'Discount Lookup'!G:H,2,FALSE)*G3837)</f>
        <v/>
      </c>
      <c r="W3837" s="102">
        <f t="shared" si="2859"/>
        <v>0</v>
      </c>
      <c r="X3837" s="102">
        <f t="shared" si="2860"/>
        <v>0</v>
      </c>
      <c r="Y3837" s="120" t="b">
        <f t="shared" si="2861"/>
        <v>0</v>
      </c>
      <c r="Z3837" s="117">
        <f t="shared" si="2862"/>
        <v>0</v>
      </c>
      <c r="AA3837" s="118"/>
      <c r="AB3837" s="118" t="str">
        <f t="shared" si="2863"/>
        <v/>
      </c>
      <c r="AC3837" s="712" t="str">
        <f>IF(AE3837="T2G","no charge",IF(AND(OR(PlanterYesMe="No",PlanterYesMe="N",PlanterYesMe="me"),H3837=""),"",IF(H3837="credit","NO install",IF(AND(K3837="",AE3837="me"),"EACH row",IF(AND(K3837="images",AE3837="me"),"EACH row",IF(D3837="","",IF(H3837="credit","",IF(AE3837="free","re-planting",IF(AE3837="me","   not ELP, by",IF(AND(OR(PlanterYesMe="Yes",PlanterYesMe="Y"),G3837&gt;0),(VLOOKUP(A3837,'Discount Lookup'!J:K,2)*G3837*(1-PlanterDiscount)*(1+PlanterDifficultyPercentage)),IF(AE3837="ELP",(VLOOKUP(A3837,'Discount Lookup'!J:K,2)*G3837*(1-PlanterDiscount)*(1+PlanterDifficultyPercentage)),IF(AE3837="free","re-planting",IF(G3837=0,"",IF(PlanterYesMe="",IF(AE3837="me","   not ELP, by",IF(AE3837="",IF(G3837&gt;0,(VLOOKUP(A3837,'Discount Lookup'!J:K,2)*G3837*(1-PlanterDiscount)*(1+PlanterDifficultyPercentage)),""),"")),"   not ELP, by"))))))))))))))</f>
        <v/>
      </c>
      <c r="AD3837" s="712"/>
      <c r="AE3837" s="513" t="str">
        <f t="shared" si="2864"/>
        <v/>
      </c>
      <c r="AF3837" s="713" t="str">
        <f t="shared" si="2865"/>
        <v/>
      </c>
      <c r="AG3837" s="713"/>
      <c r="AH3837" s="713"/>
      <c r="AI3837" s="112">
        <f>IF(H3837="credit",0,IF(AE3837="free",0,IF(AE3837="me",0,IF(G3837&gt;0,(VLOOKUP(A3837,'Discount Lookup'!J:K,2)*G3837),0))))</f>
        <v>0</v>
      </c>
      <c r="AJ3837" s="107" t="str">
        <f t="shared" ca="1" si="2866"/>
        <v/>
      </c>
      <c r="AK3837" s="714" t="str">
        <f t="shared" si="2867"/>
        <v/>
      </c>
      <c r="AL3837" s="714"/>
      <c r="AM3837" s="114" t="str">
        <f t="shared" si="2868"/>
        <v/>
      </c>
      <c r="AN3837" s="115"/>
      <c r="AO3837" s="116"/>
      <c r="AP3837" s="116"/>
      <c r="AQ3837" s="116"/>
      <c r="AR3837" s="116"/>
      <c r="AS3837" s="116"/>
      <c r="AT3837" s="116"/>
      <c r="AU3837" s="116"/>
      <c r="AV3837" s="78"/>
      <c r="AW3837" s="102"/>
      <c r="AX3837" s="78"/>
      <c r="AY3837" s="78"/>
      <c r="AZ3837" s="78"/>
      <c r="BA3837" s="78"/>
      <c r="BB3837" s="78"/>
      <c r="BC3837" s="78"/>
      <c r="BD3837" s="78"/>
      <c r="BE3837" s="465"/>
      <c r="BF3837" s="165" t="str">
        <f t="shared" si="2869"/>
        <v>https://www.google.com/search?tbm=isch&amp;q=Little%20Bluestem%20has%20Silvery-White%20fluffy%20seedheads%20that%20persist.%20Coppery-Red%20fall%20color%20gives%20way%20to%20Tan%20stems%20</v>
      </c>
      <c r="BG3837" s="165" t="str">
        <f t="shared" si="2870"/>
        <v>L</v>
      </c>
      <c r="BH3837" s="65"/>
      <c r="BI3837" s="65"/>
      <c r="BJ3837" s="65"/>
      <c r="BK3837" s="65"/>
      <c r="BL3837" s="99"/>
      <c r="BM3837" s="99"/>
      <c r="BN3837" s="99"/>
    </row>
    <row r="3838" spans="1:66" s="51" customFormat="1" ht="18" x14ac:dyDescent="0.25">
      <c r="A3838" s="623" t="s">
        <v>4201</v>
      </c>
      <c r="B3838" s="624"/>
      <c r="C3838" s="709"/>
      <c r="D3838" s="625" t="s">
        <v>4202</v>
      </c>
      <c r="E3838" s="626"/>
      <c r="F3838" s="626"/>
      <c r="G3838" s="626"/>
      <c r="H3838" s="622" t="s">
        <v>2572</v>
      </c>
      <c r="I3838" s="627" t="s">
        <v>4203</v>
      </c>
      <c r="J3838" s="628"/>
      <c r="K3838" s="628"/>
      <c r="L3838" s="629"/>
      <c r="M3838" s="700" t="s">
        <v>5241</v>
      </c>
      <c r="N3838" s="693" t="str">
        <f>IF(AND(ISTEXT($A3838), ISERROR($A3838+0)), HYPERLINK($BF3838, "Images"), "")</f>
        <v>Images</v>
      </c>
      <c r="O3838" s="695" t="s">
        <v>5244</v>
      </c>
      <c r="P3838" s="630"/>
      <c r="Q3838" s="631"/>
      <c r="R3838" s="632"/>
      <c r="S3838" s="633" t="s">
        <v>294</v>
      </c>
      <c r="T3838" s="102">
        <f t="shared" si="2858"/>
        <v>0</v>
      </c>
      <c r="U3838" s="78" t="str">
        <f>IF(NOT(ISNUMBER(G3838)), "", VLOOKUP(A3838,'Discount Lookup'!D:E,2,FALSE)*G3838)</f>
        <v/>
      </c>
      <c r="V3838" s="78" t="str">
        <f>IF(NOT(ISNUMBER(G3838)), "", VLOOKUP(A3838,'Discount Lookup'!G:H,2,FALSE)*G3838)</f>
        <v/>
      </c>
      <c r="W3838" s="102">
        <f t="shared" si="2859"/>
        <v>0</v>
      </c>
      <c r="X3838" s="102" t="str">
        <f t="shared" si="2860"/>
        <v>Blue-Green blades, Red tips</v>
      </c>
      <c r="Y3838" s="120" t="b">
        <f t="shared" si="2861"/>
        <v>0</v>
      </c>
      <c r="Z3838" s="117">
        <f t="shared" si="2862"/>
        <v>0</v>
      </c>
      <c r="AA3838" s="118"/>
      <c r="AB3838" s="118" t="str">
        <f t="shared" si="2863"/>
        <v/>
      </c>
      <c r="AC3838" s="712" t="str">
        <f>IF(AE3838="T2G","no charge",IF(AND(OR(PlanterYesMe="No",PlanterYesMe="N",PlanterYesMe="me"),H3838=""),"",IF(H3838="credit","NO install",IF(AND(K3838="",AE3838="me"),"EACH row",IF(AND(K3838="images",AE3838="me"),"EACH row",IF(D3838="","",IF(H3838="credit","",IF(AE3838="free","re-planting",IF(AE3838="me","   not ELP, by",IF(AND(OR(PlanterYesMe="Yes",PlanterYesMe="Y"),G3838&gt;0),(VLOOKUP(A3838,'Discount Lookup'!J:K,2)*G3838*(1-PlanterDiscount)*(1+PlanterDifficultyPercentage)),IF(AE3838="ELP",(VLOOKUP(A3838,'Discount Lookup'!J:K,2)*G3838*(1-PlanterDiscount)*(1+PlanterDifficultyPercentage)),IF(AE3838="free","re-planting",IF(G3838=0,"",IF(PlanterYesMe="",IF(AE3838="me","   not ELP, by",IF(AE3838="",IF(G3838&gt;0,(VLOOKUP(A3838,'Discount Lookup'!J:K,2)*G3838*(1-PlanterDiscount)*(1+PlanterDifficultyPercentage)),""),"")),"   not ELP, by"))))))))))))))</f>
        <v/>
      </c>
      <c r="AD3838" s="712"/>
      <c r="AE3838" s="513" t="str">
        <f t="shared" si="2864"/>
        <v/>
      </c>
      <c r="AF3838" s="713" t="str">
        <f t="shared" si="2865"/>
        <v/>
      </c>
      <c r="AG3838" s="713"/>
      <c r="AH3838" s="713"/>
      <c r="AI3838" s="112">
        <f>IF(H3838="credit",0,IF(AE3838="free",0,IF(AE3838="me",0,IF(G3838&gt;0,(VLOOKUP(A3838,'Discount Lookup'!J:K,2)*G3838),0))))</f>
        <v>0</v>
      </c>
      <c r="AJ3838" s="107" t="str">
        <f t="shared" ca="1" si="2866"/>
        <v/>
      </c>
      <c r="AK3838" s="714" t="str">
        <f t="shared" si="2867"/>
        <v/>
      </c>
      <c r="AL3838" s="714"/>
      <c r="AM3838" s="114" t="str">
        <f t="shared" si="2868"/>
        <v/>
      </c>
      <c r="AN3838" s="115"/>
      <c r="AO3838" s="116"/>
      <c r="AP3838" s="116"/>
      <c r="AQ3838" s="116"/>
      <c r="AR3838" s="116"/>
      <c r="AS3838" s="116"/>
      <c r="AT3838" s="116"/>
      <c r="AU3838" s="116"/>
      <c r="AV3838" s="78"/>
      <c r="AW3838" s="102"/>
      <c r="AX3838" s="78"/>
      <c r="AY3838" s="78"/>
      <c r="AZ3838" s="78"/>
      <c r="BA3838" s="78"/>
      <c r="BB3838" s="78"/>
      <c r="BC3838" s="78"/>
      <c r="BD3838" s="78"/>
      <c r="BE3838" s="465"/>
      <c r="BF3838" s="165" t="str">
        <f t="shared" si="2869"/>
        <v>https://www.google.com/search?tbm=isch&amp;q=Schizachyrium%20scoparium%20%27Standing%20Ovation%27%20PP%2325202%20Standing%20Ovation%20Little%20Bluestem%20Grass</v>
      </c>
      <c r="BG3838" s="165" t="str">
        <f t="shared" si="2870"/>
        <v>S</v>
      </c>
      <c r="BH3838" s="65"/>
      <c r="BI3838" s="65"/>
      <c r="BJ3838" s="65"/>
      <c r="BK3838" s="65"/>
      <c r="BL3838" s="99"/>
      <c r="BM3838" s="99"/>
      <c r="BN3838" s="99"/>
    </row>
    <row r="3839" spans="1:66" s="51" customFormat="1" ht="27" x14ac:dyDescent="0.25">
      <c r="A3839" s="634">
        <v>1</v>
      </c>
      <c r="B3839" s="635" t="s">
        <v>291</v>
      </c>
      <c r="C3839" s="636" t="s">
        <v>5021</v>
      </c>
      <c r="D3839" s="637" t="s">
        <v>293</v>
      </c>
      <c r="E3839" s="638">
        <v>21.95</v>
      </c>
      <c r="F3839" s="639" t="s">
        <v>292</v>
      </c>
      <c r="G3839" s="484">
        <v>0</v>
      </c>
      <c r="H3839" s="691" t="str">
        <f>IF(G3839=0,"",IF(F3839="Buy",IF(G3839=1,"plant","plants"),IF(F3839&gt;0.01,"warranty","Error")))</f>
        <v/>
      </c>
      <c r="I3839" s="640">
        <f>IF(H3839="free",0,IF(H3839="credit",((E3839*(F3839))*G3839*-1),IF(F3839="Buy",(E3839*G3839),((E3839*(1-F3839))*G3839))))</f>
        <v>0</v>
      </c>
      <c r="J3839" s="640">
        <f>IF(H3839="warranty",0,(I3839*(_xlfn.SINGLE(SalesTaxPercentage))))</f>
        <v>0</v>
      </c>
      <c r="K3839" s="716">
        <f t="shared" ref="K3839" si="2887">I3839+J3839</f>
        <v>0</v>
      </c>
      <c r="L3839" s="716"/>
      <c r="M3839" s="689" t="str">
        <f ca="1">IF(AND(G3839&gt;0,E3839=0),"WARNING - no PRICE inserted",IF(H3839="free","FREE ~ no charge this plant",IF(H3839="credit",CONCATENATE("-$",ROUND(K3839*(1-_xlfn.SINGLE(T2GDiscount))*-1,2)," CREDIT after discount"),IF(_xlfn.SINGLE(T2GDiscount)=0,"",IF(G3839=0,"",IF(F3839="Buy",CONCATENATE("$",ROUND(K3839*(1-_xlfn.SINGLE(T2GDiscount)),2)," with ",(_xlfn.SINGLE(T2GDiscount)*100),"% discount"),CONCATENATE("$",ROUND(K3839*(1-_xlfn.SINGLE(T2GDiscount)),2)," with ",((_xlfn.SINGLE(T2GDiscount)*100+F3839*100)-(_xlfn.SINGLE(T2GDiscount)*100*F3839)),IF(F3839&gt;0,"% discounts",IF(_xlfn.SINGLE(NoWarrantyDiscount)&gt;0,"% discounts","% discount")))))))))</f>
        <v/>
      </c>
      <c r="N3839" s="690"/>
      <c r="O3839" s="486"/>
      <c r="P3839" s="486"/>
      <c r="Q3839" s="486"/>
      <c r="R3839" s="486"/>
      <c r="S3839" s="486"/>
      <c r="T3839" s="102">
        <f t="shared" si="2858"/>
        <v>0</v>
      </c>
      <c r="U3839" s="78">
        <f>IF(NOT(ISNUMBER(G3839)), "", VLOOKUP(A3839,'Discount Lookup'!D:E,2,FALSE)*G3839)</f>
        <v>0</v>
      </c>
      <c r="V3839" s="78">
        <f>IF(NOT(ISNUMBER(G3839)), "", VLOOKUP(A3839,'Discount Lookup'!G:H,2,FALSE)*G3839)</f>
        <v>0</v>
      </c>
      <c r="W3839" s="102">
        <f t="shared" si="2859"/>
        <v>0</v>
      </c>
      <c r="X3839" s="102">
        <f t="shared" si="2860"/>
        <v>0</v>
      </c>
      <c r="Y3839" s="120" t="b">
        <f t="shared" si="2861"/>
        <v>0</v>
      </c>
      <c r="Z3839" s="117">
        <f t="shared" si="2862"/>
        <v>0</v>
      </c>
      <c r="AA3839" s="118"/>
      <c r="AB3839" s="118" t="str">
        <f t="shared" si="2863"/>
        <v/>
      </c>
      <c r="AC3839" s="712" t="str">
        <f>IF(AE3839="T2G","no charge",IF(AND(OR(PlanterYesMe="No",PlanterYesMe="N",PlanterYesMe="me"),H3839=""),"",IF(H3839="credit","NO install",IF(AND(K3839="",AE3839="me"),"EACH row",IF(AND(K3839="images",AE3839="me"),"EACH row",IF(D3839="","",IF(H3839="credit","",IF(AE3839="free","re-planting",IF(AE3839="me","   not ELP, by",IF(AND(OR(PlanterYesMe="Yes",PlanterYesMe="Y"),G3839&gt;0),(VLOOKUP(A3839,'Discount Lookup'!J:K,2)*G3839*(1-PlanterDiscount)*(1+PlanterDifficultyPercentage)),IF(AE3839="ELP",(VLOOKUP(A3839,'Discount Lookup'!J:K,2)*G3839*(1-PlanterDiscount)*(1+PlanterDifficultyPercentage)),IF(AE3839="free","re-planting",IF(G3839=0,"",IF(PlanterYesMe="",IF(AE3839="me","   not ELP, by",IF(AE3839="",IF(G3839&gt;0,(VLOOKUP(A3839,'Discount Lookup'!J:K,2)*G3839*(1-PlanterDiscount)*(1+PlanterDifficultyPercentage)),""),"")),"   not ELP, by"))))))))))))))</f>
        <v/>
      </c>
      <c r="AD3839" s="712"/>
      <c r="AE3839" s="513" t="str">
        <f t="shared" si="2864"/>
        <v/>
      </c>
      <c r="AF3839" s="713" t="str">
        <f t="shared" si="2865"/>
        <v/>
      </c>
      <c r="AG3839" s="713"/>
      <c r="AH3839" s="713"/>
      <c r="AI3839" s="112">
        <f>IF(H3839="credit",0,IF(AE3839="free",0,IF(AE3839="me",0,IF(G3839&gt;0,(VLOOKUP(A3839,'Discount Lookup'!J:K,2)*G3839),0))))</f>
        <v>0</v>
      </c>
      <c r="AJ3839" s="107" t="str">
        <f t="shared" ca="1" si="2866"/>
        <v/>
      </c>
      <c r="AK3839" s="714" t="str">
        <f t="shared" si="2867"/>
        <v/>
      </c>
      <c r="AL3839" s="714"/>
      <c r="AM3839" s="114" t="str">
        <f t="shared" si="2868"/>
        <v/>
      </c>
      <c r="AN3839" s="115"/>
      <c r="AO3839" s="116"/>
      <c r="AP3839" s="116"/>
      <c r="AQ3839" s="116"/>
      <c r="AR3839" s="116"/>
      <c r="AS3839" s="116"/>
      <c r="AT3839" s="116"/>
      <c r="AU3839" s="116"/>
      <c r="AV3839" s="78"/>
      <c r="AW3839" s="102"/>
      <c r="AX3839" s="78"/>
      <c r="AY3839" s="78"/>
      <c r="AZ3839" s="78"/>
      <c r="BA3839" s="78"/>
      <c r="BB3839" s="78"/>
      <c r="BC3839" s="78"/>
      <c r="BD3839" s="78"/>
      <c r="BE3839" s="465"/>
      <c r="BF3839" s="165" t="str">
        <f t="shared" si="2869"/>
        <v>https://www.google.com/search?tbm=isch&amp;q=1%20G6</v>
      </c>
      <c r="BG3839" s="165" t="str">
        <f t="shared" si="2870"/>
        <v>S</v>
      </c>
      <c r="BH3839" s="65"/>
      <c r="BI3839" s="65"/>
      <c r="BJ3839" s="65"/>
      <c r="BK3839" s="65"/>
      <c r="BL3839" s="99"/>
      <c r="BM3839" s="99"/>
      <c r="BN3839" s="99"/>
    </row>
    <row r="3840" spans="1:66" s="51" customFormat="1" ht="17.25" thickBot="1" x14ac:dyDescent="0.3">
      <c r="A3840" s="641" t="s">
        <v>4204</v>
      </c>
      <c r="B3840" s="642"/>
      <c r="C3840" s="710"/>
      <c r="D3840" s="643"/>
      <c r="E3840" s="643"/>
      <c r="F3840" s="644"/>
      <c r="G3840" s="645"/>
      <c r="H3840" s="646"/>
      <c r="I3840" s="647"/>
      <c r="J3840" s="648"/>
      <c r="K3840" s="649"/>
      <c r="L3840" s="650"/>
      <c r="M3840" s="650"/>
      <c r="N3840" s="644"/>
      <c r="O3840" s="644"/>
      <c r="P3840" s="644"/>
      <c r="Q3840" s="644"/>
      <c r="R3840" s="644"/>
      <c r="S3840" s="701" t="s">
        <v>5261</v>
      </c>
      <c r="T3840" s="102">
        <f t="shared" si="2858"/>
        <v>0</v>
      </c>
      <c r="U3840" s="78" t="str">
        <f>IF(NOT(ISNUMBER(G3840)), "", VLOOKUP(A3840,'Discount Lookup'!D:E,2,FALSE)*G3840)</f>
        <v/>
      </c>
      <c r="V3840" s="78" t="str">
        <f>IF(NOT(ISNUMBER(G3840)), "", VLOOKUP(A3840,'Discount Lookup'!G:H,2,FALSE)*G3840)</f>
        <v/>
      </c>
      <c r="W3840" s="102">
        <f t="shared" si="2859"/>
        <v>0</v>
      </c>
      <c r="X3840" s="102">
        <f t="shared" si="2860"/>
        <v>0</v>
      </c>
      <c r="Y3840" s="120" t="b">
        <f t="shared" si="2861"/>
        <v>0</v>
      </c>
      <c r="Z3840" s="117">
        <f t="shared" si="2862"/>
        <v>0</v>
      </c>
      <c r="AA3840" s="118"/>
      <c r="AB3840" s="118" t="str">
        <f t="shared" si="2863"/>
        <v/>
      </c>
      <c r="AC3840" s="712" t="str">
        <f>IF(AE3840="T2G","no charge",IF(AND(OR(PlanterYesMe="No",PlanterYesMe="N",PlanterYesMe="me"),H3840=""),"",IF(H3840="credit","NO install",IF(AND(K3840="",AE3840="me"),"EACH row",IF(AND(K3840="images",AE3840="me"),"EACH row",IF(D3840="","",IF(H3840="credit","",IF(AE3840="free","re-planting",IF(AE3840="me","   not ELP, by",IF(AND(OR(PlanterYesMe="Yes",PlanterYesMe="Y"),G3840&gt;0),(VLOOKUP(A3840,'Discount Lookup'!J:K,2)*G3840*(1-PlanterDiscount)*(1+PlanterDifficultyPercentage)),IF(AE3840="ELP",(VLOOKUP(A3840,'Discount Lookup'!J:K,2)*G3840*(1-PlanterDiscount)*(1+PlanterDifficultyPercentage)),IF(AE3840="free","re-planting",IF(G3840=0,"",IF(PlanterYesMe="",IF(AE3840="me","   not ELP, by",IF(AE3840="",IF(G3840&gt;0,(VLOOKUP(A3840,'Discount Lookup'!J:K,2)*G3840*(1-PlanterDiscount)*(1+PlanterDifficultyPercentage)),""),"")),"   not ELP, by"))))))))))))))</f>
        <v/>
      </c>
      <c r="AD3840" s="712"/>
      <c r="AE3840" s="513" t="str">
        <f t="shared" si="2864"/>
        <v/>
      </c>
      <c r="AF3840" s="713" t="str">
        <f t="shared" si="2865"/>
        <v/>
      </c>
      <c r="AG3840" s="713"/>
      <c r="AH3840" s="713"/>
      <c r="AI3840" s="112">
        <f>IF(H3840="credit",0,IF(AE3840="free",0,IF(AE3840="me",0,IF(G3840&gt;0,(VLOOKUP(A3840,'Discount Lookup'!J:K,2)*G3840),0))))</f>
        <v>0</v>
      </c>
      <c r="AJ3840" s="107" t="str">
        <f t="shared" ca="1" si="2866"/>
        <v/>
      </c>
      <c r="AK3840" s="714" t="str">
        <f t="shared" si="2867"/>
        <v/>
      </c>
      <c r="AL3840" s="714"/>
      <c r="AM3840" s="114" t="str">
        <f t="shared" si="2868"/>
        <v/>
      </c>
      <c r="AN3840" s="115"/>
      <c r="AO3840" s="116"/>
      <c r="AP3840" s="116"/>
      <c r="AQ3840" s="116"/>
      <c r="AR3840" s="116"/>
      <c r="AS3840" s="116"/>
      <c r="AT3840" s="116"/>
      <c r="AU3840" s="116"/>
      <c r="AV3840" s="78"/>
      <c r="AW3840" s="102"/>
      <c r="AX3840" s="78"/>
      <c r="AY3840" s="78"/>
      <c r="AZ3840" s="78"/>
      <c r="BA3840" s="78"/>
      <c r="BB3840" s="78"/>
      <c r="BC3840" s="78"/>
      <c r="BD3840" s="78"/>
      <c r="BE3840" s="465"/>
      <c r="BF3840" s="165" t="str">
        <f t="shared" si="2869"/>
        <v>https://www.google.com/search?tbm=isch&amp;q=Standing%20Ovation%20has%20Silvery-White%20fluffy%20seedheadsl%2C%20Fiery%20Red%2C%20Orange%2C%20Burgundy%2C%20and%20Purple%20fall%20color%20</v>
      </c>
      <c r="BG3840" s="165" t="str">
        <f t="shared" si="2870"/>
        <v>S</v>
      </c>
      <c r="BH3840" s="65"/>
      <c r="BI3840" s="65"/>
      <c r="BJ3840" s="65"/>
      <c r="BK3840" s="65"/>
      <c r="BL3840" s="99"/>
      <c r="BM3840" s="99"/>
      <c r="BN3840" s="99"/>
    </row>
    <row r="3841" spans="1:66" s="51" customFormat="1" ht="18" x14ac:dyDescent="0.25">
      <c r="A3841" s="623" t="s">
        <v>4205</v>
      </c>
      <c r="B3841" s="624"/>
      <c r="C3841" s="709"/>
      <c r="D3841" s="625" t="s">
        <v>4206</v>
      </c>
      <c r="E3841" s="626"/>
      <c r="F3841" s="626"/>
      <c r="G3841" s="626"/>
      <c r="H3841" s="622" t="s">
        <v>2572</v>
      </c>
      <c r="I3841" s="627" t="s">
        <v>4207</v>
      </c>
      <c r="J3841" s="628"/>
      <c r="K3841" s="628"/>
      <c r="L3841" s="629"/>
      <c r="M3841" s="700" t="s">
        <v>5241</v>
      </c>
      <c r="N3841" s="693" t="str">
        <f>IF(AND(ISTEXT($A3841), ISERROR($A3841+0)), HYPERLINK($BF3841, "Images"), "")</f>
        <v>Images</v>
      </c>
      <c r="O3841" s="695" t="s">
        <v>5244</v>
      </c>
      <c r="P3841" s="630"/>
      <c r="Q3841" s="631"/>
      <c r="R3841" s="632"/>
      <c r="S3841" s="633" t="s">
        <v>294</v>
      </c>
      <c r="T3841" s="102">
        <f t="shared" si="2858"/>
        <v>0</v>
      </c>
      <c r="U3841" s="78" t="str">
        <f>IF(NOT(ISNUMBER(G3841)), "", VLOOKUP(A3841,'Discount Lookup'!D:E,2,FALSE)*G3841)</f>
        <v/>
      </c>
      <c r="V3841" s="78" t="str">
        <f>IF(NOT(ISNUMBER(G3841)), "", VLOOKUP(A3841,'Discount Lookup'!G:H,2,FALSE)*G3841)</f>
        <v/>
      </c>
      <c r="W3841" s="102">
        <f t="shared" si="2859"/>
        <v>0</v>
      </c>
      <c r="X3841" s="102" t="str">
        <f t="shared" si="2860"/>
        <v>Blue-Green blades, Silvery hue</v>
      </c>
      <c r="Y3841" s="120" t="b">
        <f t="shared" si="2861"/>
        <v>0</v>
      </c>
      <c r="Z3841" s="117">
        <f t="shared" si="2862"/>
        <v>0</v>
      </c>
      <c r="AA3841" s="118"/>
      <c r="AB3841" s="118" t="str">
        <f t="shared" si="2863"/>
        <v/>
      </c>
      <c r="AC3841" s="712" t="str">
        <f>IF(AE3841="T2G","no charge",IF(AND(OR(PlanterYesMe="No",PlanterYesMe="N",PlanterYesMe="me"),H3841=""),"",IF(H3841="credit","NO install",IF(AND(K3841="",AE3841="me"),"EACH row",IF(AND(K3841="images",AE3841="me"),"EACH row",IF(D3841="","",IF(H3841="credit","",IF(AE3841="free","re-planting",IF(AE3841="me","   not ELP, by",IF(AND(OR(PlanterYesMe="Yes",PlanterYesMe="Y"),G3841&gt;0),(VLOOKUP(A3841,'Discount Lookup'!J:K,2)*G3841*(1-PlanterDiscount)*(1+PlanterDifficultyPercentage)),IF(AE3841="ELP",(VLOOKUP(A3841,'Discount Lookup'!J:K,2)*G3841*(1-PlanterDiscount)*(1+PlanterDifficultyPercentage)),IF(AE3841="free","re-planting",IF(G3841=0,"",IF(PlanterYesMe="",IF(AE3841="me","   not ELP, by",IF(AE3841="",IF(G3841&gt;0,(VLOOKUP(A3841,'Discount Lookup'!J:K,2)*G3841*(1-PlanterDiscount)*(1+PlanterDifficultyPercentage)),""),"")),"   not ELP, by"))))))))))))))</f>
        <v/>
      </c>
      <c r="AD3841" s="712"/>
      <c r="AE3841" s="513" t="str">
        <f t="shared" si="2864"/>
        <v/>
      </c>
      <c r="AF3841" s="713" t="str">
        <f t="shared" si="2865"/>
        <v/>
      </c>
      <c r="AG3841" s="713"/>
      <c r="AH3841" s="713"/>
      <c r="AI3841" s="112">
        <f>IF(H3841="credit",0,IF(AE3841="free",0,IF(AE3841="me",0,IF(G3841&gt;0,(VLOOKUP(A3841,'Discount Lookup'!J:K,2)*G3841),0))))</f>
        <v>0</v>
      </c>
      <c r="AJ3841" s="107" t="str">
        <f t="shared" ca="1" si="2866"/>
        <v/>
      </c>
      <c r="AK3841" s="714" t="str">
        <f t="shared" si="2867"/>
        <v/>
      </c>
      <c r="AL3841" s="714"/>
      <c r="AM3841" s="114" t="str">
        <f t="shared" si="2868"/>
        <v/>
      </c>
      <c r="AN3841" s="115"/>
      <c r="AO3841" s="116"/>
      <c r="AP3841" s="116"/>
      <c r="AQ3841" s="116"/>
      <c r="AR3841" s="116"/>
      <c r="AS3841" s="116"/>
      <c r="AT3841" s="116"/>
      <c r="AU3841" s="116"/>
      <c r="AV3841" s="78"/>
      <c r="AW3841" s="102"/>
      <c r="AX3841" s="78"/>
      <c r="AY3841" s="78"/>
      <c r="AZ3841" s="78"/>
      <c r="BA3841" s="78"/>
      <c r="BB3841" s="78"/>
      <c r="BC3841" s="78"/>
      <c r="BD3841" s="78"/>
      <c r="BE3841" s="465"/>
      <c r="BF3841" s="165" t="str">
        <f t="shared" si="2869"/>
        <v>https://www.google.com/search?tbm=isch&amp;q=Schizachyrium%20scoparium%20%27The%20Blues%27%20The%20Blues%20Little%20Bluestem%20Grass</v>
      </c>
      <c r="BG3841" s="165" t="str">
        <f t="shared" si="2870"/>
        <v>S</v>
      </c>
      <c r="BH3841" s="65"/>
      <c r="BI3841" s="65"/>
      <c r="BJ3841" s="65"/>
      <c r="BK3841" s="65"/>
      <c r="BL3841" s="99"/>
      <c r="BM3841" s="99"/>
      <c r="BN3841" s="99"/>
    </row>
    <row r="3842" spans="1:66" s="51" customFormat="1" ht="15.75" x14ac:dyDescent="0.25">
      <c r="A3842" s="634">
        <v>3</v>
      </c>
      <c r="B3842" s="635" t="s">
        <v>291</v>
      </c>
      <c r="C3842" s="636"/>
      <c r="D3842" s="637" t="s">
        <v>310</v>
      </c>
      <c r="E3842" s="638">
        <v>25.95</v>
      </c>
      <c r="F3842" s="639" t="s">
        <v>292</v>
      </c>
      <c r="G3842" s="484">
        <v>0</v>
      </c>
      <c r="H3842" s="691" t="str">
        <f>IF(G3842=0,"",IF(F3842="Buy",IF(G3842=1,"plant","plants"),IF(F3842&gt;0.01,"warranty","Error")))</f>
        <v/>
      </c>
      <c r="I3842" s="640">
        <f>IF(H3842="free",0,IF(H3842="credit",((E3842*(F3842))*G3842*-1),IF(F3842="Buy",(E3842*G3842),((E3842*(1-F3842))*G3842))))</f>
        <v>0</v>
      </c>
      <c r="J3842" s="640">
        <f>IF(H3842="warranty",0,(I3842*(_xlfn.SINGLE(SalesTaxPercentage))))</f>
        <v>0</v>
      </c>
      <c r="K3842" s="716">
        <f t="shared" ref="K3842" si="2888">I3842+J3842</f>
        <v>0</v>
      </c>
      <c r="L3842" s="716"/>
      <c r="M3842" s="689" t="str">
        <f ca="1">IF(AND(G3842&gt;0,E3842=0),"WARNING - no PRICE inserted",IF(H3842="free","FREE ~ no charge this plant",IF(H3842="credit",CONCATENATE("-$",ROUND(K3842*(1-_xlfn.SINGLE(T2GDiscount))*-1,2)," CREDIT after discount"),IF(_xlfn.SINGLE(T2GDiscount)=0,"",IF(G3842=0,"",IF(F3842="Buy",CONCATENATE("$",ROUND(K3842*(1-_xlfn.SINGLE(T2GDiscount)),2)," with ",(_xlfn.SINGLE(T2GDiscount)*100),"% discount"),CONCATENATE("$",ROUND(K3842*(1-_xlfn.SINGLE(T2GDiscount)),2)," with ",((_xlfn.SINGLE(T2GDiscount)*100+F3842*100)-(_xlfn.SINGLE(T2GDiscount)*100*F3842)),IF(F3842&gt;0,"% discounts",IF(_xlfn.SINGLE(NoWarrantyDiscount)&gt;0,"% discounts","% discount")))))))))</f>
        <v/>
      </c>
      <c r="N3842" s="690"/>
      <c r="O3842" s="486"/>
      <c r="P3842" s="486"/>
      <c r="Q3842" s="486"/>
      <c r="R3842" s="486"/>
      <c r="S3842" s="486"/>
      <c r="T3842" s="102">
        <f t="shared" si="2858"/>
        <v>0</v>
      </c>
      <c r="U3842" s="78">
        <f>IF(NOT(ISNUMBER(G3842)), "", VLOOKUP(A3842,'Discount Lookup'!D:E,2,FALSE)*G3842)</f>
        <v>0</v>
      </c>
      <c r="V3842" s="78">
        <f>IF(NOT(ISNUMBER(G3842)), "", VLOOKUP(A3842,'Discount Lookup'!G:H,2,FALSE)*G3842)</f>
        <v>0</v>
      </c>
      <c r="W3842" s="102">
        <f t="shared" si="2859"/>
        <v>0</v>
      </c>
      <c r="X3842" s="102">
        <f t="shared" si="2860"/>
        <v>0</v>
      </c>
      <c r="Y3842" s="120" t="b">
        <f t="shared" si="2861"/>
        <v>0</v>
      </c>
      <c r="Z3842" s="117">
        <f t="shared" si="2862"/>
        <v>0</v>
      </c>
      <c r="AA3842" s="118"/>
      <c r="AB3842" s="118" t="str">
        <f t="shared" si="2863"/>
        <v/>
      </c>
      <c r="AC3842" s="712" t="str">
        <f>IF(AE3842="T2G","no charge",IF(AND(OR(PlanterYesMe="No",PlanterYesMe="N",PlanterYesMe="me"),H3842=""),"",IF(H3842="credit","NO install",IF(AND(K3842="",AE3842="me"),"EACH row",IF(AND(K3842="images",AE3842="me"),"EACH row",IF(D3842="","",IF(H3842="credit","",IF(AE3842="free","re-planting",IF(AE3842="me","   not ELP, by",IF(AND(OR(PlanterYesMe="Yes",PlanterYesMe="Y"),G3842&gt;0),(VLOOKUP(A3842,'Discount Lookup'!J:K,2)*G3842*(1-PlanterDiscount)*(1+PlanterDifficultyPercentage)),IF(AE3842="ELP",(VLOOKUP(A3842,'Discount Lookup'!J:K,2)*G3842*(1-PlanterDiscount)*(1+PlanterDifficultyPercentage)),IF(AE3842="free","re-planting",IF(G3842=0,"",IF(PlanterYesMe="",IF(AE3842="me","   not ELP, by",IF(AE3842="",IF(G3842&gt;0,(VLOOKUP(A3842,'Discount Lookup'!J:K,2)*G3842*(1-PlanterDiscount)*(1+PlanterDifficultyPercentage)),""),"")),"   not ELP, by"))))))))))))))</f>
        <v/>
      </c>
      <c r="AD3842" s="712"/>
      <c r="AE3842" s="513" t="str">
        <f t="shared" si="2864"/>
        <v/>
      </c>
      <c r="AF3842" s="713" t="str">
        <f t="shared" si="2865"/>
        <v/>
      </c>
      <c r="AG3842" s="713"/>
      <c r="AH3842" s="713"/>
      <c r="AI3842" s="112">
        <f>IF(H3842="credit",0,IF(AE3842="free",0,IF(AE3842="me",0,IF(G3842&gt;0,(VLOOKUP(A3842,'Discount Lookup'!J:K,2)*G3842),0))))</f>
        <v>0</v>
      </c>
      <c r="AJ3842" s="107" t="str">
        <f t="shared" ca="1" si="2866"/>
        <v/>
      </c>
      <c r="AK3842" s="714" t="str">
        <f t="shared" si="2867"/>
        <v/>
      </c>
      <c r="AL3842" s="714"/>
      <c r="AM3842" s="114" t="str">
        <f t="shared" si="2868"/>
        <v/>
      </c>
      <c r="AN3842" s="115"/>
      <c r="AO3842" s="116"/>
      <c r="AP3842" s="116"/>
      <c r="AQ3842" s="116"/>
      <c r="AR3842" s="116"/>
      <c r="AS3842" s="116"/>
      <c r="AT3842" s="116"/>
      <c r="AU3842" s="116"/>
      <c r="AV3842" s="78"/>
      <c r="AW3842" s="102"/>
      <c r="AX3842" s="78"/>
      <c r="AY3842" s="78"/>
      <c r="AZ3842" s="78"/>
      <c r="BA3842" s="78"/>
      <c r="BB3842" s="78"/>
      <c r="BC3842" s="78"/>
      <c r="BD3842" s="78"/>
      <c r="BE3842" s="465"/>
      <c r="BF3842" s="165" t="str">
        <f t="shared" si="2869"/>
        <v>https://www.google.com/search?tbm=isch&amp;q=3%20G1</v>
      </c>
      <c r="BG3842" s="165" t="str">
        <f t="shared" si="2870"/>
        <v>S</v>
      </c>
      <c r="BH3842" s="65"/>
      <c r="BI3842" s="65"/>
      <c r="BJ3842" s="65"/>
      <c r="BK3842" s="65"/>
      <c r="BL3842" s="99"/>
      <c r="BM3842" s="99"/>
      <c r="BN3842" s="99"/>
    </row>
    <row r="3843" spans="1:66" s="51" customFormat="1" ht="16.5" x14ac:dyDescent="0.25">
      <c r="A3843" s="641" t="s">
        <v>4208</v>
      </c>
      <c r="B3843" s="642"/>
      <c r="C3843" s="710"/>
      <c r="D3843" s="643"/>
      <c r="E3843" s="643"/>
      <c r="F3843" s="644"/>
      <c r="G3843" s="645"/>
      <c r="H3843" s="646"/>
      <c r="I3843" s="647"/>
      <c r="J3843" s="648"/>
      <c r="K3843" s="649"/>
      <c r="L3843" s="650"/>
      <c r="M3843" s="650"/>
      <c r="N3843" s="644"/>
      <c r="O3843" s="644"/>
      <c r="P3843" s="644"/>
      <c r="Q3843" s="644"/>
      <c r="R3843" s="644"/>
      <c r="S3843" s="701" t="s">
        <v>5261</v>
      </c>
      <c r="T3843" s="102">
        <f t="shared" si="2858"/>
        <v>0</v>
      </c>
      <c r="U3843" s="78" t="str">
        <f>IF(NOT(ISNUMBER(G3843)), "", VLOOKUP(A3843,'Discount Lookup'!D:E,2,FALSE)*G3843)</f>
        <v/>
      </c>
      <c r="V3843" s="78" t="str">
        <f>IF(NOT(ISNUMBER(G3843)), "", VLOOKUP(A3843,'Discount Lookup'!G:H,2,FALSE)*G3843)</f>
        <v/>
      </c>
      <c r="W3843" s="102">
        <f t="shared" si="2859"/>
        <v>0</v>
      </c>
      <c r="X3843" s="102">
        <f t="shared" si="2860"/>
        <v>0</v>
      </c>
      <c r="Y3843" s="120" t="b">
        <f t="shared" si="2861"/>
        <v>0</v>
      </c>
      <c r="Z3843" s="117">
        <f t="shared" si="2862"/>
        <v>0</v>
      </c>
      <c r="AA3843" s="118"/>
      <c r="AB3843" s="118" t="str">
        <f t="shared" si="2863"/>
        <v/>
      </c>
      <c r="AC3843" s="712" t="str">
        <f>IF(AE3843="T2G","no charge",IF(AND(OR(PlanterYesMe="No",PlanterYesMe="N",PlanterYesMe="me"),H3843=""),"",IF(H3843="credit","NO install",IF(AND(K3843="",AE3843="me"),"EACH row",IF(AND(K3843="images",AE3843="me"),"EACH row",IF(D3843="","",IF(H3843="credit","",IF(AE3843="free","re-planting",IF(AE3843="me","   not ELP, by",IF(AND(OR(PlanterYesMe="Yes",PlanterYesMe="Y"),G3843&gt;0),(VLOOKUP(A3843,'Discount Lookup'!J:K,2)*G3843*(1-PlanterDiscount)*(1+PlanterDifficultyPercentage)),IF(AE3843="ELP",(VLOOKUP(A3843,'Discount Lookup'!J:K,2)*G3843*(1-PlanterDiscount)*(1+PlanterDifficultyPercentage)),IF(AE3843="free","re-planting",IF(G3843=0,"",IF(PlanterYesMe="",IF(AE3843="me","   not ELP, by",IF(AE3843="",IF(G3843&gt;0,(VLOOKUP(A3843,'Discount Lookup'!J:K,2)*G3843*(1-PlanterDiscount)*(1+PlanterDifficultyPercentage)),""),"")),"   not ELP, by"))))))))))))))</f>
        <v/>
      </c>
      <c r="AD3843" s="712"/>
      <c r="AE3843" s="513" t="str">
        <f t="shared" si="2864"/>
        <v/>
      </c>
      <c r="AF3843" s="713" t="str">
        <f t="shared" si="2865"/>
        <v/>
      </c>
      <c r="AG3843" s="713"/>
      <c r="AH3843" s="713"/>
      <c r="AI3843" s="112">
        <f>IF(H3843="credit",0,IF(AE3843="free",0,IF(AE3843="me",0,IF(G3843&gt;0,(VLOOKUP(A3843,'Discount Lookup'!J:K,2)*G3843),0))))</f>
        <v>0</v>
      </c>
      <c r="AJ3843" s="107" t="str">
        <f t="shared" ca="1" si="2866"/>
        <v/>
      </c>
      <c r="AK3843" s="714" t="str">
        <f t="shared" si="2867"/>
        <v/>
      </c>
      <c r="AL3843" s="714"/>
      <c r="AM3843" s="114" t="str">
        <f t="shared" si="2868"/>
        <v/>
      </c>
      <c r="AN3843" s="115"/>
      <c r="AO3843" s="116"/>
      <c r="AP3843" s="116"/>
      <c r="AQ3843" s="116"/>
      <c r="AR3843" s="116"/>
      <c r="AS3843" s="116"/>
      <c r="AT3843" s="116"/>
      <c r="AU3843" s="116"/>
      <c r="AV3843" s="78"/>
      <c r="AW3843" s="102"/>
      <c r="AX3843" s="78"/>
      <c r="AY3843" s="78"/>
      <c r="AZ3843" s="78"/>
      <c r="BA3843" s="78"/>
      <c r="BB3843" s="78"/>
      <c r="BC3843" s="78"/>
      <c r="BD3843" s="78"/>
      <c r="BE3843" s="465"/>
      <c r="BF3843" s="165" t="str">
        <f t="shared" si="2869"/>
        <v>https://www.google.com/search?tbm=isch&amp;q=The%20Blues%20has%20Silvery-White%20fluffy%20seedheads.%20Blades%20turn%20fiery%20Purple-Orange%20in%20fall%2C%20then%20Burgundy-Purple%20</v>
      </c>
      <c r="BG3843" s="165" t="str">
        <f t="shared" si="2870"/>
        <v>T</v>
      </c>
      <c r="BH3843" s="65"/>
      <c r="BI3843" s="65"/>
      <c r="BJ3843" s="65"/>
      <c r="BK3843" s="65"/>
      <c r="BL3843" s="99"/>
      <c r="BM3843" s="99"/>
      <c r="BN3843" s="99"/>
    </row>
    <row r="3844" spans="1:66" s="51" customFormat="1" ht="19.5" thickBot="1" x14ac:dyDescent="0.3">
      <c r="A3844" s="686" t="s">
        <v>731</v>
      </c>
      <c r="B3844" s="73"/>
      <c r="C3844" s="708"/>
      <c r="D3844" s="73"/>
      <c r="E3844" s="73"/>
      <c r="F3844" s="496"/>
      <c r="G3844" s="73"/>
      <c r="H3844" s="73"/>
      <c r="I3844" s="73"/>
      <c r="J3844" s="497" t="s">
        <v>357</v>
      </c>
      <c r="K3844" s="498"/>
      <c r="L3844" s="562"/>
      <c r="M3844" s="73"/>
      <c r="N3844"/>
      <c r="O3844"/>
      <c r="P3844"/>
      <c r="Q3844"/>
      <c r="R3844"/>
      <c r="S3844"/>
      <c r="T3844" s="102">
        <f t="shared" si="2858"/>
        <v>0</v>
      </c>
      <c r="U3844" s="78" t="str">
        <f>IF(NOT(ISNUMBER(G3844)), "", VLOOKUP(A3844,'Discount Lookup'!D:E,2,FALSE)*G3844)</f>
        <v/>
      </c>
      <c r="V3844" s="78" t="str">
        <f>IF(NOT(ISNUMBER(G3844)), "", VLOOKUP(A3844,'Discount Lookup'!G:H,2,FALSE)*G3844)</f>
        <v/>
      </c>
      <c r="W3844" s="102">
        <f t="shared" si="2859"/>
        <v>0</v>
      </c>
      <c r="X3844" s="102">
        <f t="shared" si="2860"/>
        <v>0</v>
      </c>
      <c r="Y3844" s="120" t="b">
        <f t="shared" si="2861"/>
        <v>0</v>
      </c>
      <c r="Z3844" s="117">
        <f t="shared" si="2862"/>
        <v>0</v>
      </c>
      <c r="AA3844" s="118"/>
      <c r="AB3844" s="118" t="str">
        <f t="shared" si="2863"/>
        <v/>
      </c>
      <c r="AC3844" s="712" t="str">
        <f>IF(AE3844="T2G","no charge",IF(AND(OR(PlanterYesMe="No",PlanterYesMe="N",PlanterYesMe="me"),H3844=""),"",IF(H3844="credit","NO install",IF(AND(K3844="",AE3844="me"),"EACH row",IF(AND(K3844="images",AE3844="me"),"EACH row",IF(D3844="","",IF(H3844="credit","",IF(AE3844="free","re-planting",IF(AE3844="me","   not ELP, by",IF(AND(OR(PlanterYesMe="Yes",PlanterYesMe="Y"),G3844&gt;0),(VLOOKUP(A3844,'Discount Lookup'!J:K,2)*G3844*(1-PlanterDiscount)*(1+PlanterDifficultyPercentage)),IF(AE3844="ELP",(VLOOKUP(A3844,'Discount Lookup'!J:K,2)*G3844*(1-PlanterDiscount)*(1+PlanterDifficultyPercentage)),IF(AE3844="free","re-planting",IF(G3844=0,"",IF(PlanterYesMe="",IF(AE3844="me","   not ELP, by",IF(AE3844="",IF(G3844&gt;0,(VLOOKUP(A3844,'Discount Lookup'!J:K,2)*G3844*(1-PlanterDiscount)*(1+PlanterDifficultyPercentage)),""),"")),"   not ELP, by"))))))))))))))</f>
        <v/>
      </c>
      <c r="AD3844" s="712"/>
      <c r="AE3844" s="513" t="str">
        <f t="shared" si="2864"/>
        <v/>
      </c>
      <c r="AF3844" s="713" t="str">
        <f t="shared" si="2865"/>
        <v/>
      </c>
      <c r="AG3844" s="713"/>
      <c r="AH3844" s="713"/>
      <c r="AI3844" s="112">
        <f>IF(H3844="credit",0,IF(AE3844="free",0,IF(AE3844="me",0,IF(G3844&gt;0,(VLOOKUP(A3844,'Discount Lookup'!J:K,2)*G3844),0))))</f>
        <v>0</v>
      </c>
      <c r="AJ3844" s="107" t="str">
        <f t="shared" ca="1" si="2866"/>
        <v/>
      </c>
      <c r="AK3844" s="714" t="str">
        <f t="shared" si="2867"/>
        <v/>
      </c>
      <c r="AL3844" s="714"/>
      <c r="AM3844" s="114" t="str">
        <f t="shared" si="2868"/>
        <v/>
      </c>
      <c r="AN3844" s="115"/>
      <c r="AO3844" s="116"/>
      <c r="AP3844" s="116"/>
      <c r="AQ3844" s="116"/>
      <c r="AR3844" s="116"/>
      <c r="AS3844" s="116"/>
      <c r="AT3844" s="116"/>
      <c r="AU3844" s="116"/>
      <c r="AV3844" s="78"/>
      <c r="AW3844" s="102"/>
      <c r="AX3844" s="78"/>
      <c r="AY3844" s="78"/>
      <c r="AZ3844" s="78"/>
      <c r="BA3844" s="78"/>
      <c r="BB3844" s="78"/>
      <c r="BC3844" s="78"/>
      <c r="BD3844" s="78"/>
      <c r="BE3844" s="465"/>
      <c r="BF3844" s="165" t="str">
        <f t="shared" si="2869"/>
        <v>https://www.google.com/search?tbm=isch&amp;q=Schizophragma%20%3D%20False%20Hydrangea%20Vine%20</v>
      </c>
      <c r="BG3844" s="165" t="str">
        <f t="shared" si="2870"/>
        <v>S</v>
      </c>
      <c r="BH3844" s="65"/>
      <c r="BI3844" s="65"/>
      <c r="BJ3844" s="65"/>
      <c r="BK3844" s="65"/>
      <c r="BL3844" s="99"/>
      <c r="BM3844" s="99"/>
      <c r="BN3844" s="99"/>
    </row>
    <row r="3845" spans="1:66" s="51" customFormat="1" ht="18" x14ac:dyDescent="0.25">
      <c r="A3845" s="623" t="s">
        <v>4209</v>
      </c>
      <c r="B3845" s="624"/>
      <c r="C3845" s="709"/>
      <c r="D3845" s="625" t="s">
        <v>5820</v>
      </c>
      <c r="E3845" s="626"/>
      <c r="F3845" s="626"/>
      <c r="G3845" s="626"/>
      <c r="H3845" s="622" t="s">
        <v>4210</v>
      </c>
      <c r="I3845" s="627" t="s">
        <v>4211</v>
      </c>
      <c r="J3845" s="628"/>
      <c r="K3845" s="628"/>
      <c r="L3845" s="629"/>
      <c r="M3845" s="702" t="s">
        <v>5256</v>
      </c>
      <c r="N3845" s="693" t="str">
        <f>IF(AND(ISTEXT($A3845), ISERROR($A3845+0)), HYPERLINK($BF3845, "Images"), "")</f>
        <v>Images</v>
      </c>
      <c r="O3845" s="695" t="s">
        <v>5247</v>
      </c>
      <c r="P3845" s="630"/>
      <c r="Q3845" s="631"/>
      <c r="R3845" s="632"/>
      <c r="S3845" s="633"/>
      <c r="T3845" s="102">
        <f t="shared" si="2858"/>
        <v>0</v>
      </c>
      <c r="U3845" s="78" t="str">
        <f>IF(NOT(ISNUMBER(G3845)), "", VLOOKUP(A3845,'Discount Lookup'!D:E,2,FALSE)*G3845)</f>
        <v/>
      </c>
      <c r="V3845" s="78" t="str">
        <f>IF(NOT(ISNUMBER(G3845)), "", VLOOKUP(A3845,'Discount Lookup'!G:H,2,FALSE)*G3845)</f>
        <v/>
      </c>
      <c r="W3845" s="102">
        <f t="shared" si="2859"/>
        <v>0</v>
      </c>
      <c r="X3845" s="102" t="str">
        <f t="shared" si="2860"/>
        <v>Marbled Rose-Pink bloom</v>
      </c>
      <c r="Y3845" s="120" t="b">
        <f t="shared" si="2861"/>
        <v>0</v>
      </c>
      <c r="Z3845" s="117">
        <f t="shared" si="2862"/>
        <v>0</v>
      </c>
      <c r="AA3845" s="118"/>
      <c r="AB3845" s="118" t="str">
        <f t="shared" si="2863"/>
        <v/>
      </c>
      <c r="AC3845" s="712" t="str">
        <f>IF(AE3845="T2G","no charge",IF(AND(OR(PlanterYesMe="No",PlanterYesMe="N",PlanterYesMe="me"),H3845=""),"",IF(H3845="credit","NO install",IF(AND(K3845="",AE3845="me"),"EACH row",IF(AND(K3845="images",AE3845="me"),"EACH row",IF(D3845="","",IF(H3845="credit","",IF(AE3845="free","re-planting",IF(AE3845="me","   not ELP, by",IF(AND(OR(PlanterYesMe="Yes",PlanterYesMe="Y"),G3845&gt;0),(VLOOKUP(A3845,'Discount Lookup'!J:K,2)*G3845*(1-PlanterDiscount)*(1+PlanterDifficultyPercentage)),IF(AE3845="ELP",(VLOOKUP(A3845,'Discount Lookup'!J:K,2)*G3845*(1-PlanterDiscount)*(1+PlanterDifficultyPercentage)),IF(AE3845="free","re-planting",IF(G3845=0,"",IF(PlanterYesMe="",IF(AE3845="me","   not ELP, by",IF(AE3845="",IF(G3845&gt;0,(VLOOKUP(A3845,'Discount Lookup'!J:K,2)*G3845*(1-PlanterDiscount)*(1+PlanterDifficultyPercentage)),""),"")),"   not ELP, by"))))))))))))))</f>
        <v/>
      </c>
      <c r="AD3845" s="712"/>
      <c r="AE3845" s="513" t="str">
        <f t="shared" si="2864"/>
        <v/>
      </c>
      <c r="AF3845" s="713" t="str">
        <f t="shared" si="2865"/>
        <v/>
      </c>
      <c r="AG3845" s="713"/>
      <c r="AH3845" s="713"/>
      <c r="AI3845" s="112">
        <f>IF(H3845="credit",0,IF(AE3845="free",0,IF(AE3845="me",0,IF(G3845&gt;0,(VLOOKUP(A3845,'Discount Lookup'!J:K,2)*G3845),0))))</f>
        <v>0</v>
      </c>
      <c r="AJ3845" s="107" t="str">
        <f t="shared" ca="1" si="2866"/>
        <v/>
      </c>
      <c r="AK3845" s="714" t="str">
        <f t="shared" si="2867"/>
        <v/>
      </c>
      <c r="AL3845" s="714"/>
      <c r="AM3845" s="114" t="str">
        <f t="shared" si="2868"/>
        <v/>
      </c>
      <c r="AN3845" s="115"/>
      <c r="AO3845" s="116"/>
      <c r="AP3845" s="116"/>
      <c r="AQ3845" s="116"/>
      <c r="AR3845" s="116"/>
      <c r="AS3845" s="116"/>
      <c r="AT3845" s="116"/>
      <c r="AU3845" s="116"/>
      <c r="AV3845" s="78"/>
      <c r="AW3845" s="102"/>
      <c r="AX3845" s="78"/>
      <c r="AY3845" s="78"/>
      <c r="AZ3845" s="78"/>
      <c r="BA3845" s="78"/>
      <c r="BB3845" s="78"/>
      <c r="BC3845" s="78"/>
      <c r="BD3845" s="78"/>
      <c r="BE3845" s="465"/>
      <c r="BF3845" s="165" t="str">
        <f t="shared" si="2869"/>
        <v>https://www.google.com/search?tbm=isch&amp;q=Schizophragma%20hydrangeoides%20%27Minsens%27%20PPAF%20Rose%20Sensation%E2%84%A2%20False%20Hydrangea%20Vine</v>
      </c>
      <c r="BG3845" s="165" t="str">
        <f t="shared" si="2870"/>
        <v>S</v>
      </c>
      <c r="BH3845" s="65"/>
      <c r="BI3845" s="65"/>
      <c r="BJ3845" s="65"/>
      <c r="BK3845" s="65"/>
      <c r="BL3845" s="99"/>
      <c r="BM3845" s="99"/>
      <c r="BN3845" s="99"/>
    </row>
    <row r="3846" spans="1:66" s="51" customFormat="1" ht="15.75" x14ac:dyDescent="0.25">
      <c r="A3846" s="634">
        <v>3</v>
      </c>
      <c r="B3846" s="635" t="s">
        <v>291</v>
      </c>
      <c r="C3846" s="636"/>
      <c r="D3846" s="637" t="s">
        <v>329</v>
      </c>
      <c r="E3846" s="638">
        <v>40.950000000000003</v>
      </c>
      <c r="F3846" s="639" t="s">
        <v>292</v>
      </c>
      <c r="G3846" s="484">
        <v>0</v>
      </c>
      <c r="H3846" s="691" t="str">
        <f>IF(G3846=0,"",IF(F3846="Buy",IF(G3846=1,"plant","plants"),IF(F3846&gt;0.01,"warranty","Error")))</f>
        <v/>
      </c>
      <c r="I3846" s="640">
        <f>IF(H3846="free",0,IF(H3846="credit",((E3846*(F3846))*G3846*-1),IF(F3846="Buy",(E3846*G3846),((E3846*(1-F3846))*G3846))))</f>
        <v>0</v>
      </c>
      <c r="J3846" s="640">
        <f>IF(H3846="warranty",0,(I3846*(_xlfn.SINGLE(SalesTaxPercentage))))</f>
        <v>0</v>
      </c>
      <c r="K3846" s="716">
        <f t="shared" ref="K3846" si="2889">I3846+J3846</f>
        <v>0</v>
      </c>
      <c r="L3846" s="716"/>
      <c r="M3846" s="689" t="str">
        <f ca="1">IF(AND(G3846&gt;0,E3846=0),"WARNING - no PRICE inserted",IF(H3846="free","FREE ~ no charge this plant",IF(H3846="credit",CONCATENATE("-$",ROUND(K3846*(1-_xlfn.SINGLE(T2GDiscount))*-1,2)," CREDIT after discount"),IF(_xlfn.SINGLE(T2GDiscount)=0,"",IF(G3846=0,"",IF(F3846="Buy",CONCATENATE("$",ROUND(K3846*(1-_xlfn.SINGLE(T2GDiscount)),2)," with ",(_xlfn.SINGLE(T2GDiscount)*100),"% discount"),CONCATENATE("$",ROUND(K3846*(1-_xlfn.SINGLE(T2GDiscount)),2)," with ",((_xlfn.SINGLE(T2GDiscount)*100+F3846*100)-(_xlfn.SINGLE(T2GDiscount)*100*F3846)),IF(F3846&gt;0,"% discounts",IF(_xlfn.SINGLE(NoWarrantyDiscount)&gt;0,"% discounts","% discount")))))))))</f>
        <v/>
      </c>
      <c r="N3846" s="690"/>
      <c r="O3846" s="486"/>
      <c r="P3846" s="486"/>
      <c r="Q3846" s="486"/>
      <c r="R3846" s="486"/>
      <c r="S3846" s="486"/>
      <c r="T3846" s="102">
        <f t="shared" si="2858"/>
        <v>0</v>
      </c>
      <c r="U3846" s="78">
        <f>IF(NOT(ISNUMBER(G3846)), "", VLOOKUP(A3846,'Discount Lookup'!D:E,2,FALSE)*G3846)</f>
        <v>0</v>
      </c>
      <c r="V3846" s="78">
        <f>IF(NOT(ISNUMBER(G3846)), "", VLOOKUP(A3846,'Discount Lookup'!G:H,2,FALSE)*G3846)</f>
        <v>0</v>
      </c>
      <c r="W3846" s="102">
        <f t="shared" si="2859"/>
        <v>0</v>
      </c>
      <c r="X3846" s="102">
        <f t="shared" si="2860"/>
        <v>0</v>
      </c>
      <c r="Y3846" s="120" t="b">
        <f t="shared" si="2861"/>
        <v>0</v>
      </c>
      <c r="Z3846" s="117">
        <f t="shared" si="2862"/>
        <v>0</v>
      </c>
      <c r="AA3846" s="118"/>
      <c r="AB3846" s="118" t="str">
        <f t="shared" si="2863"/>
        <v/>
      </c>
      <c r="AC3846" s="712" t="str">
        <f>IF(AE3846="T2G","no charge",IF(AND(OR(PlanterYesMe="No",PlanterYesMe="N",PlanterYesMe="me"),H3846=""),"",IF(H3846="credit","NO install",IF(AND(K3846="",AE3846="me"),"EACH row",IF(AND(K3846="images",AE3846="me"),"EACH row",IF(D3846="","",IF(H3846="credit","",IF(AE3846="free","re-planting",IF(AE3846="me","   not ELP, by",IF(AND(OR(PlanterYesMe="Yes",PlanterYesMe="Y"),G3846&gt;0),(VLOOKUP(A3846,'Discount Lookup'!J:K,2)*G3846*(1-PlanterDiscount)*(1+PlanterDifficultyPercentage)),IF(AE3846="ELP",(VLOOKUP(A3846,'Discount Lookup'!J:K,2)*G3846*(1-PlanterDiscount)*(1+PlanterDifficultyPercentage)),IF(AE3846="free","re-planting",IF(G3846=0,"",IF(PlanterYesMe="",IF(AE3846="me","   not ELP, by",IF(AE3846="",IF(G3846&gt;0,(VLOOKUP(A3846,'Discount Lookup'!J:K,2)*G3846*(1-PlanterDiscount)*(1+PlanterDifficultyPercentage)),""),"")),"   not ELP, by"))))))))))))))</f>
        <v/>
      </c>
      <c r="AD3846" s="712"/>
      <c r="AE3846" s="513" t="str">
        <f t="shared" si="2864"/>
        <v/>
      </c>
      <c r="AF3846" s="713" t="str">
        <f t="shared" si="2865"/>
        <v/>
      </c>
      <c r="AG3846" s="713"/>
      <c r="AH3846" s="713"/>
      <c r="AI3846" s="112">
        <f>IF(H3846="credit",0,IF(AE3846="free",0,IF(AE3846="me",0,IF(G3846&gt;0,(VLOOKUP(A3846,'Discount Lookup'!J:K,2)*G3846),0))))</f>
        <v>0</v>
      </c>
      <c r="AJ3846" s="107" t="str">
        <f t="shared" ca="1" si="2866"/>
        <v/>
      </c>
      <c r="AK3846" s="714" t="str">
        <f t="shared" si="2867"/>
        <v/>
      </c>
      <c r="AL3846" s="714"/>
      <c r="AM3846" s="114" t="str">
        <f t="shared" si="2868"/>
        <v/>
      </c>
      <c r="AN3846" s="115"/>
      <c r="AO3846" s="116"/>
      <c r="AP3846" s="116"/>
      <c r="AQ3846" s="116"/>
      <c r="AR3846" s="116"/>
      <c r="AS3846" s="116"/>
      <c r="AT3846" s="116"/>
      <c r="AU3846" s="116"/>
      <c r="AV3846" s="78"/>
      <c r="AW3846" s="102"/>
      <c r="AX3846" s="78"/>
      <c r="AY3846" s="78"/>
      <c r="AZ3846" s="78"/>
      <c r="BA3846" s="78"/>
      <c r="BB3846" s="78"/>
      <c r="BC3846" s="78"/>
      <c r="BD3846" s="78"/>
      <c r="BE3846" s="465"/>
      <c r="BF3846" s="165" t="str">
        <f t="shared" si="2869"/>
        <v>https://www.google.com/search?tbm=isch&amp;q=3%20G2</v>
      </c>
      <c r="BG3846" s="165" t="str">
        <f t="shared" si="2870"/>
        <v>S</v>
      </c>
      <c r="BH3846" s="65"/>
      <c r="BI3846" s="65"/>
      <c r="BJ3846" s="65"/>
      <c r="BK3846" s="65"/>
      <c r="BL3846" s="99"/>
      <c r="BM3846" s="99"/>
      <c r="BN3846" s="99"/>
    </row>
    <row r="3847" spans="1:66" s="51" customFormat="1" ht="17.25" thickBot="1" x14ac:dyDescent="0.3">
      <c r="A3847" s="641" t="s">
        <v>4812</v>
      </c>
      <c r="B3847" s="642"/>
      <c r="C3847" s="710"/>
      <c r="D3847" s="643"/>
      <c r="E3847" s="643"/>
      <c r="F3847" s="644"/>
      <c r="G3847" s="645"/>
      <c r="H3847" s="646"/>
      <c r="I3847" s="647"/>
      <c r="J3847" s="648"/>
      <c r="K3847" s="649"/>
      <c r="L3847" s="650"/>
      <c r="M3847" s="650"/>
      <c r="N3847" s="644"/>
      <c r="O3847" s="644"/>
      <c r="P3847" s="644"/>
      <c r="Q3847" s="644"/>
      <c r="R3847" s="644"/>
      <c r="S3847" s="651"/>
      <c r="T3847" s="102">
        <f t="shared" si="2858"/>
        <v>0</v>
      </c>
      <c r="U3847" s="78" t="str">
        <f>IF(NOT(ISNUMBER(G3847)), "", VLOOKUP(A3847,'Discount Lookup'!D:E,2,FALSE)*G3847)</f>
        <v/>
      </c>
      <c r="V3847" s="78" t="str">
        <f>IF(NOT(ISNUMBER(G3847)), "", VLOOKUP(A3847,'Discount Lookup'!G:H,2,FALSE)*G3847)</f>
        <v/>
      </c>
      <c r="W3847" s="102">
        <f t="shared" si="2859"/>
        <v>0</v>
      </c>
      <c r="X3847" s="102">
        <f t="shared" si="2860"/>
        <v>0</v>
      </c>
      <c r="Y3847" s="120" t="b">
        <f t="shared" si="2861"/>
        <v>0</v>
      </c>
      <c r="Z3847" s="117">
        <f t="shared" si="2862"/>
        <v>0</v>
      </c>
      <c r="AA3847" s="118"/>
      <c r="AB3847" s="118" t="str">
        <f t="shared" si="2863"/>
        <v/>
      </c>
      <c r="AC3847" s="712" t="str">
        <f>IF(AE3847="T2G","no charge",IF(AND(OR(PlanterYesMe="No",PlanterYesMe="N",PlanterYesMe="me"),H3847=""),"",IF(H3847="credit","NO install",IF(AND(K3847="",AE3847="me"),"EACH row",IF(AND(K3847="images",AE3847="me"),"EACH row",IF(D3847="","",IF(H3847="credit","",IF(AE3847="free","re-planting",IF(AE3847="me","   not ELP, by",IF(AND(OR(PlanterYesMe="Yes",PlanterYesMe="Y"),G3847&gt;0),(VLOOKUP(A3847,'Discount Lookup'!J:K,2)*G3847*(1-PlanterDiscount)*(1+PlanterDifficultyPercentage)),IF(AE3847="ELP",(VLOOKUP(A3847,'Discount Lookup'!J:K,2)*G3847*(1-PlanterDiscount)*(1+PlanterDifficultyPercentage)),IF(AE3847="free","re-planting",IF(G3847=0,"",IF(PlanterYesMe="",IF(AE3847="me","   not ELP, by",IF(AE3847="",IF(G3847&gt;0,(VLOOKUP(A3847,'Discount Lookup'!J:K,2)*G3847*(1-PlanterDiscount)*(1+PlanterDifficultyPercentage)),""),"")),"   not ELP, by"))))))))))))))</f>
        <v/>
      </c>
      <c r="AD3847" s="712"/>
      <c r="AE3847" s="513" t="str">
        <f t="shared" si="2864"/>
        <v/>
      </c>
      <c r="AF3847" s="713" t="str">
        <f t="shared" si="2865"/>
        <v/>
      </c>
      <c r="AG3847" s="713"/>
      <c r="AH3847" s="713"/>
      <c r="AI3847" s="112">
        <f>IF(H3847="credit",0,IF(AE3847="free",0,IF(AE3847="me",0,IF(G3847&gt;0,(VLOOKUP(A3847,'Discount Lookup'!J:K,2)*G3847),0))))</f>
        <v>0</v>
      </c>
      <c r="AJ3847" s="107" t="str">
        <f t="shared" ca="1" si="2866"/>
        <v/>
      </c>
      <c r="AK3847" s="714" t="str">
        <f t="shared" si="2867"/>
        <v/>
      </c>
      <c r="AL3847" s="714"/>
      <c r="AM3847" s="114" t="str">
        <f t="shared" si="2868"/>
        <v/>
      </c>
      <c r="AN3847" s="115"/>
      <c r="AO3847" s="116"/>
      <c r="AP3847" s="116"/>
      <c r="AQ3847" s="116"/>
      <c r="AR3847" s="116"/>
      <c r="AS3847" s="116"/>
      <c r="AT3847" s="116"/>
      <c r="AU3847" s="116"/>
      <c r="AV3847" s="78"/>
      <c r="AW3847" s="102"/>
      <c r="AX3847" s="78"/>
      <c r="AY3847" s="78"/>
      <c r="AZ3847" s="78"/>
      <c r="BA3847" s="78"/>
      <c r="BB3847" s="78"/>
      <c r="BC3847" s="78"/>
      <c r="BD3847" s="78"/>
      <c r="BE3847" s="465"/>
      <c r="BF3847" s="165" t="str">
        <f t="shared" si="2869"/>
        <v>https://www.google.com/search?tbm=isch&amp;q=Rose%20Sensation%20has%20showy%20lacecap%20flowers%20that%20bloom%20in%20summer%2C%20Golden%20fall%20foliage%2C%20and%20exfoliating%20Coppery-colored%20bark%20that%20provides%20winter%20interest%20</v>
      </c>
      <c r="BG3847" s="165" t="str">
        <f t="shared" si="2870"/>
        <v>R</v>
      </c>
      <c r="BH3847" s="65"/>
      <c r="BI3847" s="65"/>
      <c r="BJ3847" s="65"/>
      <c r="BK3847" s="65"/>
      <c r="BL3847" s="99"/>
      <c r="BM3847" s="99"/>
      <c r="BN3847" s="99"/>
    </row>
    <row r="3848" spans="1:66" s="51" customFormat="1" ht="18" x14ac:dyDescent="0.25">
      <c r="A3848" s="623" t="s">
        <v>4212</v>
      </c>
      <c r="B3848" s="624"/>
      <c r="C3848" s="709"/>
      <c r="D3848" s="625" t="s">
        <v>5909</v>
      </c>
      <c r="E3848" s="626"/>
      <c r="F3848" s="626"/>
      <c r="G3848" s="626"/>
      <c r="H3848" s="622" t="s">
        <v>1579</v>
      </c>
      <c r="I3848" s="627" t="s">
        <v>350</v>
      </c>
      <c r="J3848" s="628"/>
      <c r="K3848" s="628"/>
      <c r="L3848" s="629"/>
      <c r="M3848" s="702" t="s">
        <v>5256</v>
      </c>
      <c r="N3848" s="693" t="str">
        <f>IF(AND(ISTEXT($A3848), ISERROR($A3848+0)), HYPERLINK($BF3848, "Images"), "")</f>
        <v>Images</v>
      </c>
      <c r="O3848" s="695" t="s">
        <v>5247</v>
      </c>
      <c r="P3848" s="630"/>
      <c r="Q3848" s="631"/>
      <c r="R3848" s="632"/>
      <c r="S3848" s="633"/>
      <c r="T3848" s="102">
        <f t="shared" si="2858"/>
        <v>0</v>
      </c>
      <c r="U3848" s="78" t="str">
        <f>IF(NOT(ISNUMBER(G3848)), "", VLOOKUP(A3848,'Discount Lookup'!D:E,2,FALSE)*G3848)</f>
        <v/>
      </c>
      <c r="V3848" s="78" t="str">
        <f>IF(NOT(ISNUMBER(G3848)), "", VLOOKUP(A3848,'Discount Lookup'!G:H,2,FALSE)*G3848)</f>
        <v/>
      </c>
      <c r="W3848" s="102">
        <f t="shared" si="2859"/>
        <v>0</v>
      </c>
      <c r="X3848" s="102" t="str">
        <f t="shared" si="2860"/>
        <v>Creamy White bloom</v>
      </c>
      <c r="Y3848" s="120" t="b">
        <f t="shared" si="2861"/>
        <v>0</v>
      </c>
      <c r="Z3848" s="117">
        <f t="shared" si="2862"/>
        <v>0</v>
      </c>
      <c r="AA3848" s="118"/>
      <c r="AB3848" s="118" t="str">
        <f t="shared" si="2863"/>
        <v/>
      </c>
      <c r="AC3848" s="712" t="str">
        <f>IF(AE3848="T2G","no charge",IF(AND(OR(PlanterYesMe="No",PlanterYesMe="N",PlanterYesMe="me"),H3848=""),"",IF(H3848="credit","NO install",IF(AND(K3848="",AE3848="me"),"EACH row",IF(AND(K3848="images",AE3848="me"),"EACH row",IF(D3848="","",IF(H3848="credit","",IF(AE3848="free","re-planting",IF(AE3848="me","   not ELP, by",IF(AND(OR(PlanterYesMe="Yes",PlanterYesMe="Y"),G3848&gt;0),(VLOOKUP(A3848,'Discount Lookup'!J:K,2)*G3848*(1-PlanterDiscount)*(1+PlanterDifficultyPercentage)),IF(AE3848="ELP",(VLOOKUP(A3848,'Discount Lookup'!J:K,2)*G3848*(1-PlanterDiscount)*(1+PlanterDifficultyPercentage)),IF(AE3848="free","re-planting",IF(G3848=0,"",IF(PlanterYesMe="",IF(AE3848="me","   not ELP, by",IF(AE3848="",IF(G3848&gt;0,(VLOOKUP(A3848,'Discount Lookup'!J:K,2)*G3848*(1-PlanterDiscount)*(1+PlanterDifficultyPercentage)),""),"")),"   not ELP, by"))))))))))))))</f>
        <v/>
      </c>
      <c r="AD3848" s="712"/>
      <c r="AE3848" s="513" t="str">
        <f t="shared" si="2864"/>
        <v/>
      </c>
      <c r="AF3848" s="713" t="str">
        <f t="shared" si="2865"/>
        <v/>
      </c>
      <c r="AG3848" s="713"/>
      <c r="AH3848" s="713"/>
      <c r="AI3848" s="112">
        <f>IF(H3848="credit",0,IF(AE3848="free",0,IF(AE3848="me",0,IF(G3848&gt;0,(VLOOKUP(A3848,'Discount Lookup'!J:K,2)*G3848),0))))</f>
        <v>0</v>
      </c>
      <c r="AJ3848" s="107" t="str">
        <f t="shared" ca="1" si="2866"/>
        <v/>
      </c>
      <c r="AK3848" s="714" t="str">
        <f t="shared" si="2867"/>
        <v/>
      </c>
      <c r="AL3848" s="714"/>
      <c r="AM3848" s="114" t="str">
        <f t="shared" si="2868"/>
        <v/>
      </c>
      <c r="AN3848" s="115"/>
      <c r="AO3848" s="116"/>
      <c r="AP3848" s="116"/>
      <c r="AQ3848" s="116"/>
      <c r="AR3848" s="116"/>
      <c r="AS3848" s="116"/>
      <c r="AT3848" s="116"/>
      <c r="AU3848" s="116"/>
      <c r="AV3848" s="78"/>
      <c r="AW3848" s="102"/>
      <c r="AX3848" s="78"/>
      <c r="AY3848" s="78"/>
      <c r="AZ3848" s="78"/>
      <c r="BA3848" s="78"/>
      <c r="BB3848" s="78"/>
      <c r="BC3848" s="78"/>
      <c r="BD3848" s="78"/>
      <c r="BE3848" s="465"/>
      <c r="BF3848" s="165" t="str">
        <f t="shared" si="2869"/>
        <v>https://www.google.com/search?tbm=isch&amp;q=Schizophragma%20hydrangeoides%20%27Minsnow3%27%20PP%2331720%20Flirty%20Girl%C2%AE%20False%20Hydrangea%20Vine%20%28PW%C2%AE%29</v>
      </c>
      <c r="BG3848" s="165" t="str">
        <f t="shared" si="2870"/>
        <v>S</v>
      </c>
      <c r="BH3848" s="65"/>
      <c r="BI3848" s="65"/>
      <c r="BJ3848" s="65"/>
      <c r="BK3848" s="65"/>
      <c r="BL3848" s="99"/>
      <c r="BM3848" s="99"/>
      <c r="BN3848" s="99"/>
    </row>
    <row r="3849" spans="1:66" s="51" customFormat="1" ht="15.75" x14ac:dyDescent="0.25">
      <c r="A3849" s="634">
        <v>3</v>
      </c>
      <c r="B3849" s="635" t="s">
        <v>291</v>
      </c>
      <c r="C3849" s="636"/>
      <c r="D3849" s="637" t="s">
        <v>329</v>
      </c>
      <c r="E3849" s="638">
        <v>40.950000000000003</v>
      </c>
      <c r="F3849" s="639" t="s">
        <v>292</v>
      </c>
      <c r="G3849" s="484">
        <v>0</v>
      </c>
      <c r="H3849" s="691" t="str">
        <f>IF(G3849=0,"",IF(F3849="Buy",IF(G3849=1,"plant","plants"),IF(F3849&gt;0.01,"warranty","Error")))</f>
        <v/>
      </c>
      <c r="I3849" s="640">
        <f>IF(H3849="free",0,IF(H3849="credit",((E3849*(F3849))*G3849*-1),IF(F3849="Buy",(E3849*G3849),((E3849*(1-F3849))*G3849))))</f>
        <v>0</v>
      </c>
      <c r="J3849" s="640">
        <f>IF(H3849="warranty",0,(I3849*(_xlfn.SINGLE(SalesTaxPercentage))))</f>
        <v>0</v>
      </c>
      <c r="K3849" s="716">
        <f t="shared" ref="K3849" si="2890">I3849+J3849</f>
        <v>0</v>
      </c>
      <c r="L3849" s="716"/>
      <c r="M3849" s="689" t="str">
        <f ca="1">IF(AND(G3849&gt;0,E3849=0),"WARNING - no PRICE inserted",IF(H3849="free","FREE ~ no charge this plant",IF(H3849="credit",CONCATENATE("-$",ROUND(K3849*(1-_xlfn.SINGLE(T2GDiscount))*-1,2)," CREDIT after discount"),IF(_xlfn.SINGLE(T2GDiscount)=0,"",IF(G3849=0,"",IF(F3849="Buy",CONCATENATE("$",ROUND(K3849*(1-_xlfn.SINGLE(T2GDiscount)),2)," with ",(_xlfn.SINGLE(T2GDiscount)*100),"% discount"),CONCATENATE("$",ROUND(K3849*(1-_xlfn.SINGLE(T2GDiscount)),2)," with ",((_xlfn.SINGLE(T2GDiscount)*100+F3849*100)-(_xlfn.SINGLE(T2GDiscount)*100*F3849)),IF(F3849&gt;0,"% discounts",IF(_xlfn.SINGLE(NoWarrantyDiscount)&gt;0,"% discounts","% discount")))))))))</f>
        <v/>
      </c>
      <c r="N3849" s="690"/>
      <c r="O3849" s="486"/>
      <c r="P3849" s="486"/>
      <c r="Q3849" s="486"/>
      <c r="R3849" s="486"/>
      <c r="S3849" s="486"/>
      <c r="T3849" s="102">
        <f t="shared" si="2858"/>
        <v>0</v>
      </c>
      <c r="U3849" s="78">
        <f>IF(NOT(ISNUMBER(G3849)), "", VLOOKUP(A3849,'Discount Lookup'!D:E,2,FALSE)*G3849)</f>
        <v>0</v>
      </c>
      <c r="V3849" s="78">
        <f>IF(NOT(ISNUMBER(G3849)), "", VLOOKUP(A3849,'Discount Lookup'!G:H,2,FALSE)*G3849)</f>
        <v>0</v>
      </c>
      <c r="W3849" s="102">
        <f t="shared" si="2859"/>
        <v>0</v>
      </c>
      <c r="X3849" s="102">
        <f t="shared" si="2860"/>
        <v>0</v>
      </c>
      <c r="Y3849" s="120" t="b">
        <f t="shared" si="2861"/>
        <v>0</v>
      </c>
      <c r="Z3849" s="117">
        <f t="shared" si="2862"/>
        <v>0</v>
      </c>
      <c r="AA3849" s="118"/>
      <c r="AB3849" s="118" t="str">
        <f t="shared" si="2863"/>
        <v/>
      </c>
      <c r="AC3849" s="712" t="str">
        <f>IF(AE3849="T2G","no charge",IF(AND(OR(PlanterYesMe="No",PlanterYesMe="N",PlanterYesMe="me"),H3849=""),"",IF(H3849="credit","NO install",IF(AND(K3849="",AE3849="me"),"EACH row",IF(AND(K3849="images",AE3849="me"),"EACH row",IF(D3849="","",IF(H3849="credit","",IF(AE3849="free","re-planting",IF(AE3849="me","   not ELP, by",IF(AND(OR(PlanterYesMe="Yes",PlanterYesMe="Y"),G3849&gt;0),(VLOOKUP(A3849,'Discount Lookup'!J:K,2)*G3849*(1-PlanterDiscount)*(1+PlanterDifficultyPercentage)),IF(AE3849="ELP",(VLOOKUP(A3849,'Discount Lookup'!J:K,2)*G3849*(1-PlanterDiscount)*(1+PlanterDifficultyPercentage)),IF(AE3849="free","re-planting",IF(G3849=0,"",IF(PlanterYesMe="",IF(AE3849="me","   not ELP, by",IF(AE3849="",IF(G3849&gt;0,(VLOOKUP(A3849,'Discount Lookup'!J:K,2)*G3849*(1-PlanterDiscount)*(1+PlanterDifficultyPercentage)),""),"")),"   not ELP, by"))))))))))))))</f>
        <v/>
      </c>
      <c r="AD3849" s="712"/>
      <c r="AE3849" s="513" t="str">
        <f t="shared" si="2864"/>
        <v/>
      </c>
      <c r="AF3849" s="713" t="str">
        <f t="shared" si="2865"/>
        <v/>
      </c>
      <c r="AG3849" s="713"/>
      <c r="AH3849" s="713"/>
      <c r="AI3849" s="112">
        <f>IF(H3849="credit",0,IF(AE3849="free",0,IF(AE3849="me",0,IF(G3849&gt;0,(VLOOKUP(A3849,'Discount Lookup'!J:K,2)*G3849),0))))</f>
        <v>0</v>
      </c>
      <c r="AJ3849" s="107" t="str">
        <f t="shared" ca="1" si="2866"/>
        <v/>
      </c>
      <c r="AK3849" s="714" t="str">
        <f t="shared" si="2867"/>
        <v/>
      </c>
      <c r="AL3849" s="714"/>
      <c r="AM3849" s="114" t="str">
        <f t="shared" si="2868"/>
        <v/>
      </c>
      <c r="AN3849" s="115"/>
      <c r="AO3849" s="116"/>
      <c r="AP3849" s="116"/>
      <c r="AQ3849" s="116"/>
      <c r="AR3849" s="116"/>
      <c r="AS3849" s="116"/>
      <c r="AT3849" s="116"/>
      <c r="AU3849" s="116"/>
      <c r="AV3849" s="78"/>
      <c r="AW3849" s="102"/>
      <c r="AX3849" s="78"/>
      <c r="AY3849" s="78"/>
      <c r="AZ3849" s="78"/>
      <c r="BA3849" s="78"/>
      <c r="BB3849" s="78"/>
      <c r="BC3849" s="78"/>
      <c r="BD3849" s="78"/>
      <c r="BE3849" s="465"/>
      <c r="BF3849" s="165" t="str">
        <f t="shared" si="2869"/>
        <v>https://www.google.com/search?tbm=isch&amp;q=3%20G2</v>
      </c>
      <c r="BG3849" s="165" t="str">
        <f t="shared" si="2870"/>
        <v>S</v>
      </c>
      <c r="BH3849" s="65"/>
      <c r="BI3849" s="65"/>
      <c r="BJ3849" s="65"/>
      <c r="BK3849" s="65"/>
      <c r="BL3849" s="99"/>
      <c r="BM3849" s="99"/>
      <c r="BN3849" s="99"/>
    </row>
    <row r="3850" spans="1:66" s="51" customFormat="1" ht="16.5" x14ac:dyDescent="0.25">
      <c r="A3850" s="641" t="s">
        <v>4813</v>
      </c>
      <c r="B3850" s="642"/>
      <c r="C3850" s="710"/>
      <c r="D3850" s="643"/>
      <c r="E3850" s="643"/>
      <c r="F3850" s="644"/>
      <c r="G3850" s="645"/>
      <c r="H3850" s="646"/>
      <c r="I3850" s="647"/>
      <c r="J3850" s="648"/>
      <c r="K3850" s="649"/>
      <c r="L3850" s="650"/>
      <c r="M3850" s="650"/>
      <c r="N3850" s="644"/>
      <c r="O3850" s="644"/>
      <c r="P3850" s="644"/>
      <c r="Q3850" s="644"/>
      <c r="R3850" s="644"/>
      <c r="S3850" s="651"/>
      <c r="T3850" s="102">
        <f t="shared" si="2858"/>
        <v>0</v>
      </c>
      <c r="U3850" s="78" t="str">
        <f>IF(NOT(ISNUMBER(G3850)), "", VLOOKUP(A3850,'Discount Lookup'!D:E,2,FALSE)*G3850)</f>
        <v/>
      </c>
      <c r="V3850" s="78" t="str">
        <f>IF(NOT(ISNUMBER(G3850)), "", VLOOKUP(A3850,'Discount Lookup'!G:H,2,FALSE)*G3850)</f>
        <v/>
      </c>
      <c r="W3850" s="102">
        <f t="shared" si="2859"/>
        <v>0</v>
      </c>
      <c r="X3850" s="102">
        <f t="shared" si="2860"/>
        <v>0</v>
      </c>
      <c r="Y3850" s="120" t="b">
        <f t="shared" si="2861"/>
        <v>0</v>
      </c>
      <c r="Z3850" s="117">
        <f t="shared" si="2862"/>
        <v>0</v>
      </c>
      <c r="AA3850" s="118"/>
      <c r="AB3850" s="118" t="str">
        <f t="shared" si="2863"/>
        <v/>
      </c>
      <c r="AC3850" s="712" t="str">
        <f>IF(AE3850="T2G","no charge",IF(AND(OR(PlanterYesMe="No",PlanterYesMe="N",PlanterYesMe="me"),H3850=""),"",IF(H3850="credit","NO install",IF(AND(K3850="",AE3850="me"),"EACH row",IF(AND(K3850="images",AE3850="me"),"EACH row",IF(D3850="","",IF(H3850="credit","",IF(AE3850="free","re-planting",IF(AE3850="me","   not ELP, by",IF(AND(OR(PlanterYesMe="Yes",PlanterYesMe="Y"),G3850&gt;0),(VLOOKUP(A3850,'Discount Lookup'!J:K,2)*G3850*(1-PlanterDiscount)*(1+PlanterDifficultyPercentage)),IF(AE3850="ELP",(VLOOKUP(A3850,'Discount Lookup'!J:K,2)*G3850*(1-PlanterDiscount)*(1+PlanterDifficultyPercentage)),IF(AE3850="free","re-planting",IF(G3850=0,"",IF(PlanterYesMe="",IF(AE3850="me","   not ELP, by",IF(AE3850="",IF(G3850&gt;0,(VLOOKUP(A3850,'Discount Lookup'!J:K,2)*G3850*(1-PlanterDiscount)*(1+PlanterDifficultyPercentage)),""),"")),"   not ELP, by"))))))))))))))</f>
        <v/>
      </c>
      <c r="AD3850" s="712"/>
      <c r="AE3850" s="513" t="str">
        <f t="shared" si="2864"/>
        <v/>
      </c>
      <c r="AF3850" s="713" t="str">
        <f t="shared" si="2865"/>
        <v/>
      </c>
      <c r="AG3850" s="713"/>
      <c r="AH3850" s="713"/>
      <c r="AI3850" s="112">
        <f>IF(H3850="credit",0,IF(AE3850="free",0,IF(AE3850="me",0,IF(G3850&gt;0,(VLOOKUP(A3850,'Discount Lookup'!J:K,2)*G3850),0))))</f>
        <v>0</v>
      </c>
      <c r="AJ3850" s="107" t="str">
        <f t="shared" ca="1" si="2866"/>
        <v/>
      </c>
      <c r="AK3850" s="714" t="str">
        <f t="shared" si="2867"/>
        <v/>
      </c>
      <c r="AL3850" s="714"/>
      <c r="AM3850" s="114" t="str">
        <f t="shared" si="2868"/>
        <v/>
      </c>
      <c r="AN3850" s="115"/>
      <c r="AO3850" s="116"/>
      <c r="AP3850" s="116"/>
      <c r="AQ3850" s="116"/>
      <c r="AR3850" s="116"/>
      <c r="AS3850" s="116"/>
      <c r="AT3850" s="116"/>
      <c r="AU3850" s="116"/>
      <c r="AV3850" s="78"/>
      <c r="AW3850" s="102"/>
      <c r="AX3850" s="78"/>
      <c r="AY3850" s="78"/>
      <c r="AZ3850" s="78"/>
      <c r="BA3850" s="78"/>
      <c r="BB3850" s="78"/>
      <c r="BC3850" s="78"/>
      <c r="BD3850" s="78"/>
      <c r="BE3850" s="465"/>
      <c r="BF3850" s="165" t="str">
        <f t="shared" si="2869"/>
        <v>https://www.google.com/search?tbm=isch&amp;q=Flirty%20Girl%20blankets%20sturdy%20supports%20with%20fragrant%20lacecaps%20on%20old%20wood.%20Purple-tinged%20spring%20foliage%20turns%20Rich%20Green%2C%20then%20Yellow%20in%20fall%20.%20Exfoliating%20bark%20</v>
      </c>
      <c r="BG3850" s="165" t="str">
        <f t="shared" si="2870"/>
        <v>F</v>
      </c>
      <c r="BH3850" s="65"/>
      <c r="BI3850" s="65"/>
      <c r="BJ3850" s="65"/>
      <c r="BK3850" s="65"/>
      <c r="BL3850" s="99"/>
      <c r="BM3850" s="99"/>
      <c r="BN3850" s="99"/>
    </row>
    <row r="3851" spans="1:66" s="51" customFormat="1" ht="19.5" thickBot="1" x14ac:dyDescent="0.3">
      <c r="A3851" s="686" t="s">
        <v>732</v>
      </c>
      <c r="B3851" s="73"/>
      <c r="C3851" s="708"/>
      <c r="D3851" s="73"/>
      <c r="E3851" s="73"/>
      <c r="F3851" s="496"/>
      <c r="G3851" s="73"/>
      <c r="H3851" s="73"/>
      <c r="I3851" s="73"/>
      <c r="J3851" s="497" t="s">
        <v>357</v>
      </c>
      <c r="K3851" s="498"/>
      <c r="L3851" s="562"/>
      <c r="M3851" s="73"/>
      <c r="N3851"/>
      <c r="O3851"/>
      <c r="P3851"/>
      <c r="Q3851"/>
      <c r="R3851"/>
      <c r="S3851"/>
      <c r="T3851" s="102">
        <f t="shared" si="2858"/>
        <v>0</v>
      </c>
      <c r="U3851" s="78" t="str">
        <f>IF(NOT(ISNUMBER(G3851)), "", VLOOKUP(A3851,'Discount Lookup'!D:E,2,FALSE)*G3851)</f>
        <v/>
      </c>
      <c r="V3851" s="78" t="str">
        <f>IF(NOT(ISNUMBER(G3851)), "", VLOOKUP(A3851,'Discount Lookup'!G:H,2,FALSE)*G3851)</f>
        <v/>
      </c>
      <c r="W3851" s="102">
        <f t="shared" si="2859"/>
        <v>0</v>
      </c>
      <c r="X3851" s="102">
        <f t="shared" si="2860"/>
        <v>0</v>
      </c>
      <c r="Y3851" s="120" t="b">
        <f t="shared" si="2861"/>
        <v>0</v>
      </c>
      <c r="Z3851" s="117">
        <f t="shared" si="2862"/>
        <v>0</v>
      </c>
      <c r="AA3851" s="118"/>
      <c r="AB3851" s="118" t="str">
        <f t="shared" si="2863"/>
        <v/>
      </c>
      <c r="AC3851" s="712" t="str">
        <f>IF(AE3851="T2G","no charge",IF(AND(OR(PlanterYesMe="No",PlanterYesMe="N",PlanterYesMe="me"),H3851=""),"",IF(H3851="credit","NO install",IF(AND(K3851="",AE3851="me"),"EACH row",IF(AND(K3851="images",AE3851="me"),"EACH row",IF(D3851="","",IF(H3851="credit","",IF(AE3851="free","re-planting",IF(AE3851="me","   not ELP, by",IF(AND(OR(PlanterYesMe="Yes",PlanterYesMe="Y"),G3851&gt;0),(VLOOKUP(A3851,'Discount Lookup'!J:K,2)*G3851*(1-PlanterDiscount)*(1+PlanterDifficultyPercentage)),IF(AE3851="ELP",(VLOOKUP(A3851,'Discount Lookup'!J:K,2)*G3851*(1-PlanterDiscount)*(1+PlanterDifficultyPercentage)),IF(AE3851="free","re-planting",IF(G3851=0,"",IF(PlanterYesMe="",IF(AE3851="me","   not ELP, by",IF(AE3851="",IF(G3851&gt;0,(VLOOKUP(A3851,'Discount Lookup'!J:K,2)*G3851*(1-PlanterDiscount)*(1+PlanterDifficultyPercentage)),""),"")),"   not ELP, by"))))))))))))))</f>
        <v/>
      </c>
      <c r="AD3851" s="712"/>
      <c r="AE3851" s="513" t="str">
        <f t="shared" si="2864"/>
        <v/>
      </c>
      <c r="AF3851" s="713" t="str">
        <f t="shared" si="2865"/>
        <v/>
      </c>
      <c r="AG3851" s="713"/>
      <c r="AH3851" s="713"/>
      <c r="AI3851" s="112">
        <f>IF(H3851="credit",0,IF(AE3851="free",0,IF(AE3851="me",0,IF(G3851&gt;0,(VLOOKUP(A3851,'Discount Lookup'!J:K,2)*G3851),0))))</f>
        <v>0</v>
      </c>
      <c r="AJ3851" s="107" t="str">
        <f t="shared" ca="1" si="2866"/>
        <v/>
      </c>
      <c r="AK3851" s="714" t="str">
        <f t="shared" si="2867"/>
        <v/>
      </c>
      <c r="AL3851" s="714"/>
      <c r="AM3851" s="114" t="str">
        <f t="shared" si="2868"/>
        <v/>
      </c>
      <c r="AN3851" s="115"/>
      <c r="AO3851" s="116"/>
      <c r="AP3851" s="116"/>
      <c r="AQ3851" s="116"/>
      <c r="AR3851" s="116"/>
      <c r="AS3851" s="116"/>
      <c r="AT3851" s="116"/>
      <c r="AU3851" s="116"/>
      <c r="AV3851" s="78"/>
      <c r="AW3851" s="102"/>
      <c r="AX3851" s="78"/>
      <c r="AY3851" s="78"/>
      <c r="AZ3851" s="78"/>
      <c r="BA3851" s="78"/>
      <c r="BB3851" s="78"/>
      <c r="BC3851" s="78"/>
      <c r="BD3851" s="78"/>
      <c r="BE3851" s="465"/>
      <c r="BF3851" s="165" t="str">
        <f t="shared" si="2869"/>
        <v>https://www.google.com/search?tbm=isch&amp;q=Sedum%20%3D%20Stonecrop%20</v>
      </c>
      <c r="BG3851" s="165" t="str">
        <f t="shared" si="2870"/>
        <v>S</v>
      </c>
      <c r="BH3851" s="65"/>
      <c r="BI3851" s="65"/>
      <c r="BJ3851" s="65"/>
      <c r="BK3851" s="65"/>
      <c r="BL3851" s="99"/>
      <c r="BM3851" s="99"/>
      <c r="BN3851" s="99"/>
    </row>
    <row r="3852" spans="1:66" s="51" customFormat="1" ht="18" x14ac:dyDescent="0.25">
      <c r="A3852" s="507" t="s">
        <v>4213</v>
      </c>
      <c r="B3852" s="470"/>
      <c r="C3852" s="706"/>
      <c r="D3852" s="471" t="s">
        <v>4214</v>
      </c>
      <c r="E3852" s="472"/>
      <c r="F3852" s="472"/>
      <c r="G3852" s="472"/>
      <c r="H3852" s="622" t="s">
        <v>4215</v>
      </c>
      <c r="I3852" s="473" t="s">
        <v>4216</v>
      </c>
      <c r="J3852" s="472"/>
      <c r="K3852" s="472"/>
      <c r="L3852" s="561"/>
      <c r="M3852" s="698" t="s">
        <v>5240</v>
      </c>
      <c r="N3852" s="692" t="str">
        <f>IF(AND(ISTEXT($A3852), ISERROR($A3852+0)), HYPERLINK($BF3852, "Images"), "")</f>
        <v>Images</v>
      </c>
      <c r="O3852" s="694" t="s">
        <v>5264</v>
      </c>
      <c r="P3852" s="475"/>
      <c r="Q3852" s="476"/>
      <c r="R3852" s="476"/>
      <c r="S3852" s="477"/>
      <c r="T3852" s="102">
        <f t="shared" si="2858"/>
        <v>0</v>
      </c>
      <c r="U3852" s="78" t="str">
        <f>IF(NOT(ISNUMBER(G3852)), "", VLOOKUP(A3852,'Discount Lookup'!D:E,2,FALSE)*G3852)</f>
        <v/>
      </c>
      <c r="V3852" s="78" t="str">
        <f>IF(NOT(ISNUMBER(G3852)), "", VLOOKUP(A3852,'Discount Lookup'!G:H,2,FALSE)*G3852)</f>
        <v/>
      </c>
      <c r="W3852" s="102">
        <f t="shared" si="2859"/>
        <v>0</v>
      </c>
      <c r="X3852" s="102" t="str">
        <f t="shared" si="2860"/>
        <v>Blue-Plum foliage</v>
      </c>
      <c r="Y3852" s="120" t="b">
        <f t="shared" si="2861"/>
        <v>0</v>
      </c>
      <c r="Z3852" s="117">
        <f t="shared" si="2862"/>
        <v>0</v>
      </c>
      <c r="AA3852" s="118"/>
      <c r="AB3852" s="118" t="str">
        <f t="shared" si="2863"/>
        <v/>
      </c>
      <c r="AC3852" s="712" t="str">
        <f>IF(AE3852="T2G","no charge",IF(AND(OR(PlanterYesMe="No",PlanterYesMe="N",PlanterYesMe="me"),H3852=""),"",IF(H3852="credit","NO install",IF(AND(K3852="",AE3852="me"),"EACH row",IF(AND(K3852="images",AE3852="me"),"EACH row",IF(D3852="","",IF(H3852="credit","",IF(AE3852="free","re-planting",IF(AE3852="me","   not ELP, by",IF(AND(OR(PlanterYesMe="Yes",PlanterYesMe="Y"),G3852&gt;0),(VLOOKUP(A3852,'Discount Lookup'!J:K,2)*G3852*(1-PlanterDiscount)*(1+PlanterDifficultyPercentage)),IF(AE3852="ELP",(VLOOKUP(A3852,'Discount Lookup'!J:K,2)*G3852*(1-PlanterDiscount)*(1+PlanterDifficultyPercentage)),IF(AE3852="free","re-planting",IF(G3852=0,"",IF(PlanterYesMe="",IF(AE3852="me","   not ELP, by",IF(AE3852="",IF(G3852&gt;0,(VLOOKUP(A3852,'Discount Lookup'!J:K,2)*G3852*(1-PlanterDiscount)*(1+PlanterDifficultyPercentage)),""),"")),"   not ELP, by"))))))))))))))</f>
        <v/>
      </c>
      <c r="AD3852" s="712"/>
      <c r="AE3852" s="513" t="str">
        <f t="shared" si="2864"/>
        <v/>
      </c>
      <c r="AF3852" s="713" t="str">
        <f t="shared" si="2865"/>
        <v/>
      </c>
      <c r="AG3852" s="713"/>
      <c r="AH3852" s="713"/>
      <c r="AI3852" s="112">
        <f>IF(H3852="credit",0,IF(AE3852="free",0,IF(AE3852="me",0,IF(G3852&gt;0,(VLOOKUP(A3852,'Discount Lookup'!J:K,2)*G3852),0))))</f>
        <v>0</v>
      </c>
      <c r="AJ3852" s="107" t="str">
        <f t="shared" ca="1" si="2866"/>
        <v/>
      </c>
      <c r="AK3852" s="714" t="str">
        <f t="shared" si="2867"/>
        <v/>
      </c>
      <c r="AL3852" s="714"/>
      <c r="AM3852" s="114" t="str">
        <f t="shared" si="2868"/>
        <v/>
      </c>
      <c r="AN3852" s="115"/>
      <c r="AO3852" s="116"/>
      <c r="AP3852" s="116"/>
      <c r="AQ3852" s="116"/>
      <c r="AR3852" s="116"/>
      <c r="AS3852" s="116"/>
      <c r="AT3852" s="116"/>
      <c r="AU3852" s="116"/>
      <c r="AV3852" s="78"/>
      <c r="AW3852" s="102"/>
      <c r="AX3852" s="78"/>
      <c r="AY3852" s="78"/>
      <c r="AZ3852" s="78"/>
      <c r="BA3852" s="78"/>
      <c r="BB3852" s="78"/>
      <c r="BC3852" s="78"/>
      <c r="BD3852" s="78"/>
      <c r="BE3852" s="465"/>
      <c r="BF3852" s="165" t="str">
        <f t="shared" si="2869"/>
        <v>https://www.google.com/search?tbm=isch&amp;q=Sedum%20%27Blue%20Pearl%27%20PPAF%20Blue%20Pearl%20Sedum</v>
      </c>
      <c r="BG3852" s="165" t="str">
        <f t="shared" si="2870"/>
        <v>S</v>
      </c>
      <c r="BH3852" s="65"/>
      <c r="BI3852" s="65"/>
      <c r="BJ3852" s="65"/>
      <c r="BK3852" s="65"/>
      <c r="BL3852" s="99"/>
      <c r="BM3852" s="99"/>
      <c r="BN3852" s="99"/>
    </row>
    <row r="3853" spans="1:66" s="51" customFormat="1" ht="15.75" x14ac:dyDescent="0.25">
      <c r="A3853" s="478">
        <v>1</v>
      </c>
      <c r="B3853" s="479" t="s">
        <v>291</v>
      </c>
      <c r="C3853" s="480"/>
      <c r="D3853" s="481" t="s">
        <v>329</v>
      </c>
      <c r="E3853" s="482">
        <v>11.95</v>
      </c>
      <c r="F3853" s="483" t="s">
        <v>292</v>
      </c>
      <c r="G3853" s="484">
        <v>0</v>
      </c>
      <c r="H3853" s="688" t="str">
        <f>IF(G3853=0,"",IF(F3853="Buy",IF(G3853=1,"plant","plants"),IF(F3853&gt;0.01,"warranty","Error")))</f>
        <v/>
      </c>
      <c r="I3853" s="485">
        <f>IF(H3853="free",0,IF(H3853="credit",((E3853*(F3853))*G3853*-1),IF(F3853="Buy",(E3853*G3853),((E3853*(1-F3853))*G3853))))</f>
        <v>0</v>
      </c>
      <c r="J3853" s="485">
        <f>IF(H3853="warranty",0,(I3853*(_xlfn.SINGLE(SalesTaxPercentage))))</f>
        <v>0</v>
      </c>
      <c r="K3853" s="715">
        <f t="shared" ref="K3853" si="2891">I3853+J3853</f>
        <v>0</v>
      </c>
      <c r="L3853" s="715"/>
      <c r="M3853" s="689" t="str">
        <f ca="1">IF(AND(G3853&gt;0,E3853=0),"WARNING - no PRICE inserted",IF(H3853="free","FREE ~ no charge this plant",IF(H3853="credit",CONCATENATE("-$",ROUND(K3853*(1-_xlfn.SINGLE(T2GDiscount))*-1,2)," CREDIT after discount"),IF(_xlfn.SINGLE(T2GDiscount)=0,"",IF(G3853=0,"",IF(F3853="Buy",CONCATENATE("$",ROUND(K3853*(1-_xlfn.SINGLE(T2GDiscount)),2)," with ",(_xlfn.SINGLE(T2GDiscount)*100),"% discount"),CONCATENATE("$",ROUND(K3853*(1-_xlfn.SINGLE(T2GDiscount)),2)," with ",((_xlfn.SINGLE(T2GDiscount)*100+F3853*100)-(_xlfn.SINGLE(T2GDiscount)*100*F3853)),IF(F3853&gt;0,"% discounts",IF(_xlfn.SINGLE(NoWarrantyDiscount)&gt;0,"% discounts","% discount")))))))))</f>
        <v/>
      </c>
      <c r="N3853" s="690"/>
      <c r="O3853" s="486"/>
      <c r="P3853" s="486"/>
      <c r="Q3853" s="486"/>
      <c r="R3853" s="486"/>
      <c r="S3853" s="486"/>
      <c r="T3853" s="102">
        <f t="shared" si="2858"/>
        <v>0</v>
      </c>
      <c r="U3853" s="78">
        <f>IF(NOT(ISNUMBER(G3853)), "", VLOOKUP(A3853,'Discount Lookup'!D:E,2,FALSE)*G3853)</f>
        <v>0</v>
      </c>
      <c r="V3853" s="78">
        <f>IF(NOT(ISNUMBER(G3853)), "", VLOOKUP(A3853,'Discount Lookup'!G:H,2,FALSE)*G3853)</f>
        <v>0</v>
      </c>
      <c r="W3853" s="102">
        <f t="shared" si="2859"/>
        <v>0</v>
      </c>
      <c r="X3853" s="102">
        <f t="shared" si="2860"/>
        <v>0</v>
      </c>
      <c r="Y3853" s="120" t="b">
        <f t="shared" si="2861"/>
        <v>0</v>
      </c>
      <c r="Z3853" s="117">
        <f t="shared" si="2862"/>
        <v>0</v>
      </c>
      <c r="AA3853" s="118"/>
      <c r="AB3853" s="118" t="str">
        <f t="shared" si="2863"/>
        <v/>
      </c>
      <c r="AC3853" s="712" t="str">
        <f>IF(AE3853="T2G","no charge",IF(AND(OR(PlanterYesMe="No",PlanterYesMe="N",PlanterYesMe="me"),H3853=""),"",IF(H3853="credit","NO install",IF(AND(K3853="",AE3853="me"),"EACH row",IF(AND(K3853="images",AE3853="me"),"EACH row",IF(D3853="","",IF(H3853="credit","",IF(AE3853="free","re-planting",IF(AE3853="me","   not ELP, by",IF(AND(OR(PlanterYesMe="Yes",PlanterYesMe="Y"),G3853&gt;0),(VLOOKUP(A3853,'Discount Lookup'!J:K,2)*G3853*(1-PlanterDiscount)*(1+PlanterDifficultyPercentage)),IF(AE3853="ELP",(VLOOKUP(A3853,'Discount Lookup'!J:K,2)*G3853*(1-PlanterDiscount)*(1+PlanterDifficultyPercentage)),IF(AE3853="free","re-planting",IF(G3853=0,"",IF(PlanterYesMe="",IF(AE3853="me","   not ELP, by",IF(AE3853="",IF(G3853&gt;0,(VLOOKUP(A3853,'Discount Lookup'!J:K,2)*G3853*(1-PlanterDiscount)*(1+PlanterDifficultyPercentage)),""),"")),"   not ELP, by"))))))))))))))</f>
        <v/>
      </c>
      <c r="AD3853" s="712"/>
      <c r="AE3853" s="513" t="str">
        <f t="shared" si="2864"/>
        <v/>
      </c>
      <c r="AF3853" s="713" t="str">
        <f t="shared" si="2865"/>
        <v/>
      </c>
      <c r="AG3853" s="713"/>
      <c r="AH3853" s="713"/>
      <c r="AI3853" s="112">
        <f>IF(H3853="credit",0,IF(AE3853="free",0,IF(AE3853="me",0,IF(G3853&gt;0,(VLOOKUP(A3853,'Discount Lookup'!J:K,2)*G3853),0))))</f>
        <v>0</v>
      </c>
      <c r="AJ3853" s="107" t="str">
        <f t="shared" ca="1" si="2866"/>
        <v/>
      </c>
      <c r="AK3853" s="714" t="str">
        <f t="shared" si="2867"/>
        <v/>
      </c>
      <c r="AL3853" s="714"/>
      <c r="AM3853" s="114" t="str">
        <f t="shared" si="2868"/>
        <v/>
      </c>
      <c r="AN3853" s="115"/>
      <c r="AO3853" s="116"/>
      <c r="AP3853" s="116"/>
      <c r="AQ3853" s="116"/>
      <c r="AR3853" s="116"/>
      <c r="AS3853" s="116"/>
      <c r="AT3853" s="116"/>
      <c r="AU3853" s="116"/>
      <c r="AV3853" s="78"/>
      <c r="AW3853" s="102"/>
      <c r="AX3853" s="78"/>
      <c r="AY3853" s="78"/>
      <c r="AZ3853" s="78"/>
      <c r="BA3853" s="78"/>
      <c r="BB3853" s="78"/>
      <c r="BC3853" s="78"/>
      <c r="BD3853" s="78"/>
      <c r="BE3853" s="465"/>
      <c r="BF3853" s="165" t="str">
        <f t="shared" si="2869"/>
        <v>https://www.google.com/search?tbm=isch&amp;q=1%20G2</v>
      </c>
      <c r="BG3853" s="165" t="str">
        <f t="shared" si="2870"/>
        <v>S</v>
      </c>
      <c r="BH3853" s="65"/>
      <c r="BI3853" s="65"/>
      <c r="BJ3853" s="65"/>
      <c r="BK3853" s="65"/>
      <c r="BL3853" s="99"/>
      <c r="BM3853" s="99"/>
      <c r="BN3853" s="99"/>
    </row>
    <row r="3854" spans="1:66" s="51" customFormat="1" ht="17.25" thickBot="1" x14ac:dyDescent="0.3">
      <c r="A3854" s="508" t="s">
        <v>4217</v>
      </c>
      <c r="B3854" s="487"/>
      <c r="C3854" s="707"/>
      <c r="D3854" s="487"/>
      <c r="E3854" s="487"/>
      <c r="F3854" s="488"/>
      <c r="G3854" s="489"/>
      <c r="H3854" s="487"/>
      <c r="I3854" s="490"/>
      <c r="J3854" s="490"/>
      <c r="K3854" s="491"/>
      <c r="L3854" s="547"/>
      <c r="M3854" s="528"/>
      <c r="N3854" s="492"/>
      <c r="O3854" s="493"/>
      <c r="P3854" s="494"/>
      <c r="Q3854" s="492"/>
      <c r="R3854" s="492"/>
      <c r="S3854" s="699" t="s">
        <v>5281</v>
      </c>
      <c r="T3854" s="102">
        <f t="shared" si="2858"/>
        <v>0</v>
      </c>
      <c r="U3854" s="78" t="str">
        <f>IF(NOT(ISNUMBER(G3854)), "", VLOOKUP(A3854,'Discount Lookup'!D:E,2,FALSE)*G3854)</f>
        <v/>
      </c>
      <c r="V3854" s="78" t="str">
        <f>IF(NOT(ISNUMBER(G3854)), "", VLOOKUP(A3854,'Discount Lookup'!G:H,2,FALSE)*G3854)</f>
        <v/>
      </c>
      <c r="W3854" s="102">
        <f t="shared" si="2859"/>
        <v>0</v>
      </c>
      <c r="X3854" s="102">
        <f t="shared" si="2860"/>
        <v>0</v>
      </c>
      <c r="Y3854" s="120" t="b">
        <f t="shared" si="2861"/>
        <v>0</v>
      </c>
      <c r="Z3854" s="117">
        <f t="shared" si="2862"/>
        <v>0</v>
      </c>
      <c r="AA3854" s="118"/>
      <c r="AB3854" s="118" t="str">
        <f t="shared" si="2863"/>
        <v/>
      </c>
      <c r="AC3854" s="712" t="str">
        <f>IF(AE3854="T2G","no charge",IF(AND(OR(PlanterYesMe="No",PlanterYesMe="N",PlanterYesMe="me"),H3854=""),"",IF(H3854="credit","NO install",IF(AND(K3854="",AE3854="me"),"EACH row",IF(AND(K3854="images",AE3854="me"),"EACH row",IF(D3854="","",IF(H3854="credit","",IF(AE3854="free","re-planting",IF(AE3854="me","   not ELP, by",IF(AND(OR(PlanterYesMe="Yes",PlanterYesMe="Y"),G3854&gt;0),(VLOOKUP(A3854,'Discount Lookup'!J:K,2)*G3854*(1-PlanterDiscount)*(1+PlanterDifficultyPercentage)),IF(AE3854="ELP",(VLOOKUP(A3854,'Discount Lookup'!J:K,2)*G3854*(1-PlanterDiscount)*(1+PlanterDifficultyPercentage)),IF(AE3854="free","re-planting",IF(G3854=0,"",IF(PlanterYesMe="",IF(AE3854="me","   not ELP, by",IF(AE3854="",IF(G3854&gt;0,(VLOOKUP(A3854,'Discount Lookup'!J:K,2)*G3854*(1-PlanterDiscount)*(1+PlanterDifficultyPercentage)),""),"")),"   not ELP, by"))))))))))))))</f>
        <v/>
      </c>
      <c r="AD3854" s="712"/>
      <c r="AE3854" s="513" t="str">
        <f t="shared" si="2864"/>
        <v/>
      </c>
      <c r="AF3854" s="713" t="str">
        <f t="shared" si="2865"/>
        <v/>
      </c>
      <c r="AG3854" s="713"/>
      <c r="AH3854" s="713"/>
      <c r="AI3854" s="112">
        <f>IF(H3854="credit",0,IF(AE3854="free",0,IF(AE3854="me",0,IF(G3854&gt;0,(VLOOKUP(A3854,'Discount Lookup'!J:K,2)*G3854),0))))</f>
        <v>0</v>
      </c>
      <c r="AJ3854" s="107" t="str">
        <f t="shared" ca="1" si="2866"/>
        <v/>
      </c>
      <c r="AK3854" s="714" t="str">
        <f t="shared" si="2867"/>
        <v/>
      </c>
      <c r="AL3854" s="714"/>
      <c r="AM3854" s="114" t="str">
        <f t="shared" si="2868"/>
        <v/>
      </c>
      <c r="AN3854" s="115"/>
      <c r="AO3854" s="116"/>
      <c r="AP3854" s="116"/>
      <c r="AQ3854" s="116"/>
      <c r="AR3854" s="116"/>
      <c r="AS3854" s="116"/>
      <c r="AT3854" s="116"/>
      <c r="AU3854" s="116"/>
      <c r="AV3854" s="78"/>
      <c r="AW3854" s="102"/>
      <c r="AX3854" s="78"/>
      <c r="AY3854" s="78"/>
      <c r="AZ3854" s="78"/>
      <c r="BA3854" s="78"/>
      <c r="BB3854" s="78"/>
      <c r="BC3854" s="78"/>
      <c r="BD3854" s="78"/>
      <c r="BE3854" s="465"/>
      <c r="BF3854" s="165" t="str">
        <f t="shared" si="2869"/>
        <v>https://www.google.com/search?tbm=isch&amp;q=Blue%20Pearl%20features%20intense%20Smoky%20Blue%20foliage%20on%20Red%20stems%20with%20vivid%20Pink%20blooms%20in%20late%20summer.%20Semi-evergreen%20</v>
      </c>
      <c r="BG3854" s="165" t="str">
        <f t="shared" si="2870"/>
        <v>B</v>
      </c>
      <c r="BH3854" s="65"/>
      <c r="BI3854" s="65"/>
      <c r="BJ3854" s="65"/>
      <c r="BK3854" s="65"/>
      <c r="BL3854" s="99"/>
      <c r="BM3854" s="99"/>
      <c r="BN3854" s="99"/>
    </row>
    <row r="3855" spans="1:66" s="51" customFormat="1" ht="18" x14ac:dyDescent="0.25">
      <c r="A3855" s="623" t="s">
        <v>4218</v>
      </c>
      <c r="B3855" s="624"/>
      <c r="C3855" s="709"/>
      <c r="D3855" s="625" t="s">
        <v>4219</v>
      </c>
      <c r="E3855" s="626"/>
      <c r="F3855" s="626"/>
      <c r="G3855" s="626"/>
      <c r="H3855" s="622" t="s">
        <v>4220</v>
      </c>
      <c r="I3855" s="627" t="s">
        <v>4221</v>
      </c>
      <c r="J3855" s="628"/>
      <c r="K3855" s="628"/>
      <c r="L3855" s="629"/>
      <c r="M3855" s="700" t="s">
        <v>5241</v>
      </c>
      <c r="N3855" s="693" t="str">
        <f>IF(AND(ISTEXT($A3855), ISERROR($A3855+0)), HYPERLINK($BF3855, "Images"), "")</f>
        <v>Images</v>
      </c>
      <c r="O3855" s="695" t="s">
        <v>5264</v>
      </c>
      <c r="P3855" s="630"/>
      <c r="Q3855" s="631"/>
      <c r="R3855" s="632"/>
      <c r="S3855" s="633"/>
      <c r="T3855" s="102">
        <f t="shared" si="2858"/>
        <v>0</v>
      </c>
      <c r="U3855" s="78" t="str">
        <f>IF(NOT(ISNUMBER(G3855)), "", VLOOKUP(A3855,'Discount Lookup'!D:E,2,FALSE)*G3855)</f>
        <v/>
      </c>
      <c r="V3855" s="78" t="str">
        <f>IF(NOT(ISNUMBER(G3855)), "", VLOOKUP(A3855,'Discount Lookup'!G:H,2,FALSE)*G3855)</f>
        <v/>
      </c>
      <c r="W3855" s="102">
        <f t="shared" si="2859"/>
        <v>0</v>
      </c>
      <c r="X3855" s="102" t="str">
        <f t="shared" si="2860"/>
        <v>Black-Purple foliage</v>
      </c>
      <c r="Y3855" s="120" t="b">
        <f t="shared" si="2861"/>
        <v>0</v>
      </c>
      <c r="Z3855" s="117">
        <f t="shared" si="2862"/>
        <v>0</v>
      </c>
      <c r="AA3855" s="118"/>
      <c r="AB3855" s="118" t="str">
        <f t="shared" si="2863"/>
        <v/>
      </c>
      <c r="AC3855" s="712" t="str">
        <f>IF(AE3855="T2G","no charge",IF(AND(OR(PlanterYesMe="No",PlanterYesMe="N",PlanterYesMe="me"),H3855=""),"",IF(H3855="credit","NO install",IF(AND(K3855="",AE3855="me"),"EACH row",IF(AND(K3855="images",AE3855="me"),"EACH row",IF(D3855="","",IF(H3855="credit","",IF(AE3855="free","re-planting",IF(AE3855="me","   not ELP, by",IF(AND(OR(PlanterYesMe="Yes",PlanterYesMe="Y"),G3855&gt;0),(VLOOKUP(A3855,'Discount Lookup'!J:K,2)*G3855*(1-PlanterDiscount)*(1+PlanterDifficultyPercentage)),IF(AE3855="ELP",(VLOOKUP(A3855,'Discount Lookup'!J:K,2)*G3855*(1-PlanterDiscount)*(1+PlanterDifficultyPercentage)),IF(AE3855="free","re-planting",IF(G3855=0,"",IF(PlanterYesMe="",IF(AE3855="me","   not ELP, by",IF(AE3855="",IF(G3855&gt;0,(VLOOKUP(A3855,'Discount Lookup'!J:K,2)*G3855*(1-PlanterDiscount)*(1+PlanterDifficultyPercentage)),""),"")),"   not ELP, by"))))))))))))))</f>
        <v/>
      </c>
      <c r="AD3855" s="712"/>
      <c r="AE3855" s="513" t="str">
        <f t="shared" si="2864"/>
        <v/>
      </c>
      <c r="AF3855" s="713" t="str">
        <f t="shared" si="2865"/>
        <v/>
      </c>
      <c r="AG3855" s="713"/>
      <c r="AH3855" s="713"/>
      <c r="AI3855" s="112">
        <f>IF(H3855="credit",0,IF(AE3855="free",0,IF(AE3855="me",0,IF(G3855&gt;0,(VLOOKUP(A3855,'Discount Lookup'!J:K,2)*G3855),0))))</f>
        <v>0</v>
      </c>
      <c r="AJ3855" s="107" t="str">
        <f t="shared" ca="1" si="2866"/>
        <v/>
      </c>
      <c r="AK3855" s="714" t="str">
        <f t="shared" si="2867"/>
        <v/>
      </c>
      <c r="AL3855" s="714"/>
      <c r="AM3855" s="114" t="str">
        <f t="shared" si="2868"/>
        <v/>
      </c>
      <c r="AN3855" s="115"/>
      <c r="AO3855" s="116"/>
      <c r="AP3855" s="116"/>
      <c r="AQ3855" s="116"/>
      <c r="AR3855" s="116"/>
      <c r="AS3855" s="116"/>
      <c r="AT3855" s="116"/>
      <c r="AU3855" s="116"/>
      <c r="AV3855" s="78"/>
      <c r="AW3855" s="102"/>
      <c r="AX3855" s="78"/>
      <c r="AY3855" s="78"/>
      <c r="AZ3855" s="78"/>
      <c r="BA3855" s="78"/>
      <c r="BB3855" s="78"/>
      <c r="BC3855" s="78"/>
      <c r="BD3855" s="78"/>
      <c r="BE3855" s="465"/>
      <c r="BF3855" s="165" t="str">
        <f t="shared" si="2869"/>
        <v>https://www.google.com/search?tbm=isch&amp;q=Sedum%20%27Night%20Embers%27%20PP%2329211%20Night%20Embers%20Stonecrop</v>
      </c>
      <c r="BG3855" s="165" t="str">
        <f t="shared" si="2870"/>
        <v>S</v>
      </c>
      <c r="BH3855" s="65"/>
      <c r="BI3855" s="65"/>
      <c r="BJ3855" s="65"/>
      <c r="BK3855" s="65"/>
      <c r="BL3855" s="99"/>
      <c r="BM3855" s="99"/>
      <c r="BN3855" s="99"/>
    </row>
    <row r="3856" spans="1:66" s="51" customFormat="1" ht="15.75" x14ac:dyDescent="0.25">
      <c r="A3856" s="634">
        <v>1</v>
      </c>
      <c r="B3856" s="635" t="s">
        <v>291</v>
      </c>
      <c r="C3856" s="636"/>
      <c r="D3856" s="637" t="s">
        <v>329</v>
      </c>
      <c r="E3856" s="638">
        <v>14.95</v>
      </c>
      <c r="F3856" s="639" t="s">
        <v>292</v>
      </c>
      <c r="G3856" s="484">
        <v>0</v>
      </c>
      <c r="H3856" s="691" t="str">
        <f>IF(G3856=0,"",IF(F3856="Buy",IF(G3856=1,"plant","plants"),IF(F3856&gt;0.01,"warranty","Error")))</f>
        <v/>
      </c>
      <c r="I3856" s="640">
        <f>IF(H3856="free",0,IF(H3856="credit",((E3856*(F3856))*G3856*-1),IF(F3856="Buy",(E3856*G3856),((E3856*(1-F3856))*G3856))))</f>
        <v>0</v>
      </c>
      <c r="J3856" s="640">
        <f>IF(H3856="warranty",0,(I3856*(_xlfn.SINGLE(SalesTaxPercentage))))</f>
        <v>0</v>
      </c>
      <c r="K3856" s="716">
        <f t="shared" ref="K3856" si="2892">I3856+J3856</f>
        <v>0</v>
      </c>
      <c r="L3856" s="716"/>
      <c r="M3856" s="689" t="str">
        <f ca="1">IF(AND(G3856&gt;0,E3856=0),"WARNING - no PRICE inserted",IF(H3856="free","FREE ~ no charge this plant",IF(H3856="credit",CONCATENATE("-$",ROUND(K3856*(1-_xlfn.SINGLE(T2GDiscount))*-1,2)," CREDIT after discount"),IF(_xlfn.SINGLE(T2GDiscount)=0,"",IF(G3856=0,"",IF(F3856="Buy",CONCATENATE("$",ROUND(K3856*(1-_xlfn.SINGLE(T2GDiscount)),2)," with ",(_xlfn.SINGLE(T2GDiscount)*100),"% discount"),CONCATENATE("$",ROUND(K3856*(1-_xlfn.SINGLE(T2GDiscount)),2)," with ",((_xlfn.SINGLE(T2GDiscount)*100+F3856*100)-(_xlfn.SINGLE(T2GDiscount)*100*F3856)),IF(F3856&gt;0,"% discounts",IF(_xlfn.SINGLE(NoWarrantyDiscount)&gt;0,"% discounts","% discount")))))))))</f>
        <v/>
      </c>
      <c r="N3856" s="690"/>
      <c r="O3856" s="486"/>
      <c r="P3856" s="486"/>
      <c r="Q3856" s="486"/>
      <c r="R3856" s="486"/>
      <c r="S3856" s="486"/>
      <c r="T3856" s="102">
        <f t="shared" si="2858"/>
        <v>0</v>
      </c>
      <c r="U3856" s="78">
        <f>IF(NOT(ISNUMBER(G3856)), "", VLOOKUP(A3856,'Discount Lookup'!D:E,2,FALSE)*G3856)</f>
        <v>0</v>
      </c>
      <c r="V3856" s="78">
        <f>IF(NOT(ISNUMBER(G3856)), "", VLOOKUP(A3856,'Discount Lookup'!G:H,2,FALSE)*G3856)</f>
        <v>0</v>
      </c>
      <c r="W3856" s="102">
        <f t="shared" si="2859"/>
        <v>0</v>
      </c>
      <c r="X3856" s="102">
        <f t="shared" si="2860"/>
        <v>0</v>
      </c>
      <c r="Y3856" s="120" t="b">
        <f t="shared" si="2861"/>
        <v>0</v>
      </c>
      <c r="Z3856" s="117">
        <f t="shared" si="2862"/>
        <v>0</v>
      </c>
      <c r="AA3856" s="118"/>
      <c r="AB3856" s="118" t="str">
        <f t="shared" si="2863"/>
        <v/>
      </c>
      <c r="AC3856" s="712" t="str">
        <f>IF(AE3856="T2G","no charge",IF(AND(OR(PlanterYesMe="No",PlanterYesMe="N",PlanterYesMe="me"),H3856=""),"",IF(H3856="credit","NO install",IF(AND(K3856="",AE3856="me"),"EACH row",IF(AND(K3856="images",AE3856="me"),"EACH row",IF(D3856="","",IF(H3856="credit","",IF(AE3856="free","re-planting",IF(AE3856="me","   not ELP, by",IF(AND(OR(PlanterYesMe="Yes",PlanterYesMe="Y"),G3856&gt;0),(VLOOKUP(A3856,'Discount Lookup'!J:K,2)*G3856*(1-PlanterDiscount)*(1+PlanterDifficultyPercentage)),IF(AE3856="ELP",(VLOOKUP(A3856,'Discount Lookup'!J:K,2)*G3856*(1-PlanterDiscount)*(1+PlanterDifficultyPercentage)),IF(AE3856="free","re-planting",IF(G3856=0,"",IF(PlanterYesMe="",IF(AE3856="me","   not ELP, by",IF(AE3856="",IF(G3856&gt;0,(VLOOKUP(A3856,'Discount Lookup'!J:K,2)*G3856*(1-PlanterDiscount)*(1+PlanterDifficultyPercentage)),""),"")),"   not ELP, by"))))))))))))))</f>
        <v/>
      </c>
      <c r="AD3856" s="712"/>
      <c r="AE3856" s="513" t="str">
        <f t="shared" si="2864"/>
        <v/>
      </c>
      <c r="AF3856" s="713" t="str">
        <f t="shared" si="2865"/>
        <v/>
      </c>
      <c r="AG3856" s="713"/>
      <c r="AH3856" s="713"/>
      <c r="AI3856" s="112">
        <f>IF(H3856="credit",0,IF(AE3856="free",0,IF(AE3856="me",0,IF(G3856&gt;0,(VLOOKUP(A3856,'Discount Lookup'!J:K,2)*G3856),0))))</f>
        <v>0</v>
      </c>
      <c r="AJ3856" s="107" t="str">
        <f t="shared" ca="1" si="2866"/>
        <v/>
      </c>
      <c r="AK3856" s="714" t="str">
        <f t="shared" si="2867"/>
        <v/>
      </c>
      <c r="AL3856" s="714"/>
      <c r="AM3856" s="114" t="str">
        <f t="shared" si="2868"/>
        <v/>
      </c>
      <c r="AN3856" s="115"/>
      <c r="AO3856" s="116"/>
      <c r="AP3856" s="116"/>
      <c r="AQ3856" s="116"/>
      <c r="AR3856" s="116"/>
      <c r="AS3856" s="116"/>
      <c r="AT3856" s="116"/>
      <c r="AU3856" s="116"/>
      <c r="AV3856" s="78"/>
      <c r="AW3856" s="102"/>
      <c r="AX3856" s="78"/>
      <c r="AY3856" s="78"/>
      <c r="AZ3856" s="78"/>
      <c r="BA3856" s="78"/>
      <c r="BB3856" s="78"/>
      <c r="BC3856" s="78"/>
      <c r="BD3856" s="78"/>
      <c r="BE3856" s="465"/>
      <c r="BF3856" s="165" t="str">
        <f t="shared" si="2869"/>
        <v>https://www.google.com/search?tbm=isch&amp;q=1%20G2</v>
      </c>
      <c r="BG3856" s="165" t="str">
        <f t="shared" si="2870"/>
        <v>S</v>
      </c>
      <c r="BH3856" s="65"/>
      <c r="BI3856" s="65"/>
      <c r="BJ3856" s="65"/>
      <c r="BK3856" s="65"/>
      <c r="BL3856" s="99"/>
      <c r="BM3856" s="99"/>
      <c r="BN3856" s="99"/>
    </row>
    <row r="3857" spans="1:66" s="51" customFormat="1" ht="17.25" thickBot="1" x14ac:dyDescent="0.3">
      <c r="A3857" s="641" t="s">
        <v>4222</v>
      </c>
      <c r="B3857" s="642"/>
      <c r="C3857" s="710"/>
      <c r="D3857" s="643"/>
      <c r="E3857" s="643"/>
      <c r="F3857" s="644"/>
      <c r="G3857" s="645"/>
      <c r="H3857" s="646"/>
      <c r="I3857" s="647"/>
      <c r="J3857" s="648"/>
      <c r="K3857" s="649"/>
      <c r="L3857" s="650"/>
      <c r="M3857" s="650"/>
      <c r="N3857" s="644"/>
      <c r="O3857" s="644"/>
      <c r="P3857" s="644"/>
      <c r="Q3857" s="644"/>
      <c r="R3857" s="644"/>
      <c r="S3857" s="701" t="s">
        <v>5267</v>
      </c>
      <c r="T3857" s="102">
        <f t="shared" si="2858"/>
        <v>0</v>
      </c>
      <c r="U3857" s="78" t="str">
        <f>IF(NOT(ISNUMBER(G3857)), "", VLOOKUP(A3857,'Discount Lookup'!D:E,2,FALSE)*G3857)</f>
        <v/>
      </c>
      <c r="V3857" s="78" t="str">
        <f>IF(NOT(ISNUMBER(G3857)), "", VLOOKUP(A3857,'Discount Lookup'!G:H,2,FALSE)*G3857)</f>
        <v/>
      </c>
      <c r="W3857" s="102">
        <f t="shared" si="2859"/>
        <v>0</v>
      </c>
      <c r="X3857" s="102">
        <f t="shared" si="2860"/>
        <v>0</v>
      </c>
      <c r="Y3857" s="120" t="b">
        <f t="shared" si="2861"/>
        <v>0</v>
      </c>
      <c r="Z3857" s="117">
        <f t="shared" si="2862"/>
        <v>0</v>
      </c>
      <c r="AA3857" s="118"/>
      <c r="AB3857" s="118" t="str">
        <f t="shared" si="2863"/>
        <v/>
      </c>
      <c r="AC3857" s="712" t="str">
        <f>IF(AE3857="T2G","no charge",IF(AND(OR(PlanterYesMe="No",PlanterYesMe="N",PlanterYesMe="me"),H3857=""),"",IF(H3857="credit","NO install",IF(AND(K3857="",AE3857="me"),"EACH row",IF(AND(K3857="images",AE3857="me"),"EACH row",IF(D3857="","",IF(H3857="credit","",IF(AE3857="free","re-planting",IF(AE3857="me","   not ELP, by",IF(AND(OR(PlanterYesMe="Yes",PlanterYesMe="Y"),G3857&gt;0),(VLOOKUP(A3857,'Discount Lookup'!J:K,2)*G3857*(1-PlanterDiscount)*(1+PlanterDifficultyPercentage)),IF(AE3857="ELP",(VLOOKUP(A3857,'Discount Lookup'!J:K,2)*G3857*(1-PlanterDiscount)*(1+PlanterDifficultyPercentage)),IF(AE3857="free","re-planting",IF(G3857=0,"",IF(PlanterYesMe="",IF(AE3857="me","   not ELP, by",IF(AE3857="",IF(G3857&gt;0,(VLOOKUP(A3857,'Discount Lookup'!J:K,2)*G3857*(1-PlanterDiscount)*(1+PlanterDifficultyPercentage)),""),"")),"   not ELP, by"))))))))))))))</f>
        <v/>
      </c>
      <c r="AD3857" s="712"/>
      <c r="AE3857" s="513" t="str">
        <f t="shared" si="2864"/>
        <v/>
      </c>
      <c r="AF3857" s="713" t="str">
        <f t="shared" si="2865"/>
        <v/>
      </c>
      <c r="AG3857" s="713"/>
      <c r="AH3857" s="713"/>
      <c r="AI3857" s="112">
        <f>IF(H3857="credit",0,IF(AE3857="free",0,IF(AE3857="me",0,IF(G3857&gt;0,(VLOOKUP(A3857,'Discount Lookup'!J:K,2)*G3857),0))))</f>
        <v>0</v>
      </c>
      <c r="AJ3857" s="107" t="str">
        <f t="shared" ca="1" si="2866"/>
        <v/>
      </c>
      <c r="AK3857" s="714" t="str">
        <f t="shared" si="2867"/>
        <v/>
      </c>
      <c r="AL3857" s="714"/>
      <c r="AM3857" s="114" t="str">
        <f t="shared" si="2868"/>
        <v/>
      </c>
      <c r="AN3857" s="115"/>
      <c r="AO3857" s="116"/>
      <c r="AP3857" s="116"/>
      <c r="AQ3857" s="116"/>
      <c r="AR3857" s="116"/>
      <c r="AS3857" s="116"/>
      <c r="AT3857" s="116"/>
      <c r="AU3857" s="116"/>
      <c r="AV3857" s="78"/>
      <c r="AW3857" s="102"/>
      <c r="AX3857" s="78"/>
      <c r="AY3857" s="78"/>
      <c r="AZ3857" s="78"/>
      <c r="BA3857" s="78"/>
      <c r="BB3857" s="78"/>
      <c r="BC3857" s="78"/>
      <c r="BD3857" s="78"/>
      <c r="BE3857" s="465"/>
      <c r="BF3857" s="165" t="str">
        <f t="shared" si="2869"/>
        <v>https://www.google.com/search?tbm=isch&amp;q=Night%20Embers%20has%20sultry%20foliage%20and%20glowing%20Mauve-Pink%20blooms%20from%20late%20summer%20to%20fall%20</v>
      </c>
      <c r="BG3857" s="165" t="str">
        <f t="shared" si="2870"/>
        <v>N</v>
      </c>
      <c r="BH3857" s="65"/>
      <c r="BI3857" s="65"/>
      <c r="BJ3857" s="65"/>
      <c r="BK3857" s="65"/>
      <c r="BL3857" s="99"/>
      <c r="BM3857" s="99"/>
      <c r="BN3857" s="99"/>
    </row>
    <row r="3858" spans="1:66" s="51" customFormat="1" ht="18" x14ac:dyDescent="0.25">
      <c r="A3858" s="507" t="s">
        <v>4223</v>
      </c>
      <c r="B3858" s="470"/>
      <c r="C3858" s="706"/>
      <c r="D3858" s="471" t="s">
        <v>4224</v>
      </c>
      <c r="E3858" s="472"/>
      <c r="F3858" s="472"/>
      <c r="G3858" s="472"/>
      <c r="H3858" s="622" t="s">
        <v>3785</v>
      </c>
      <c r="I3858" s="473" t="s">
        <v>4225</v>
      </c>
      <c r="J3858" s="472"/>
      <c r="K3858" s="472"/>
      <c r="L3858" s="561"/>
      <c r="M3858" s="698" t="s">
        <v>5240</v>
      </c>
      <c r="N3858" s="692" t="str">
        <f>IF(AND(ISTEXT($A3858), ISERROR($A3858+0)), HYPERLINK($BF3858, "Images"), "")</f>
        <v>Images</v>
      </c>
      <c r="O3858" s="694" t="s">
        <v>5264</v>
      </c>
      <c r="P3858" s="475"/>
      <c r="Q3858" s="476"/>
      <c r="R3858" s="476"/>
      <c r="S3858" s="477"/>
      <c r="T3858" s="102">
        <f t="shared" si="2858"/>
        <v>0</v>
      </c>
      <c r="U3858" s="78" t="str">
        <f>IF(NOT(ISNUMBER(G3858)), "", VLOOKUP(A3858,'Discount Lookup'!D:E,2,FALSE)*G3858)</f>
        <v/>
      </c>
      <c r="V3858" s="78" t="str">
        <f>IF(NOT(ISNUMBER(G3858)), "", VLOOKUP(A3858,'Discount Lookup'!G:H,2,FALSE)*G3858)</f>
        <v/>
      </c>
      <c r="W3858" s="102">
        <f t="shared" si="2859"/>
        <v>0</v>
      </c>
      <c r="X3858" s="102" t="str">
        <f t="shared" si="2860"/>
        <v>Chartreuse to Golden foliage</v>
      </c>
      <c r="Y3858" s="120" t="b">
        <f t="shared" si="2861"/>
        <v>0</v>
      </c>
      <c r="Z3858" s="117">
        <f t="shared" si="2862"/>
        <v>0</v>
      </c>
      <c r="AA3858" s="118"/>
      <c r="AB3858" s="118" t="str">
        <f t="shared" si="2863"/>
        <v/>
      </c>
      <c r="AC3858" s="712" t="str">
        <f>IF(AE3858="T2G","no charge",IF(AND(OR(PlanterYesMe="No",PlanterYesMe="N",PlanterYesMe="me"),H3858=""),"",IF(H3858="credit","NO install",IF(AND(K3858="",AE3858="me"),"EACH row",IF(AND(K3858="images",AE3858="me"),"EACH row",IF(D3858="","",IF(H3858="credit","",IF(AE3858="free","re-planting",IF(AE3858="me","   not ELP, by",IF(AND(OR(PlanterYesMe="Yes",PlanterYesMe="Y"),G3858&gt;0),(VLOOKUP(A3858,'Discount Lookup'!J:K,2)*G3858*(1-PlanterDiscount)*(1+PlanterDifficultyPercentage)),IF(AE3858="ELP",(VLOOKUP(A3858,'Discount Lookup'!J:K,2)*G3858*(1-PlanterDiscount)*(1+PlanterDifficultyPercentage)),IF(AE3858="free","re-planting",IF(G3858=0,"",IF(PlanterYesMe="",IF(AE3858="me","   not ELP, by",IF(AE3858="",IF(G3858&gt;0,(VLOOKUP(A3858,'Discount Lookup'!J:K,2)*G3858*(1-PlanterDiscount)*(1+PlanterDifficultyPercentage)),""),"")),"   not ELP, by"))))))))))))))</f>
        <v/>
      </c>
      <c r="AD3858" s="712"/>
      <c r="AE3858" s="513" t="str">
        <f t="shared" si="2864"/>
        <v/>
      </c>
      <c r="AF3858" s="713" t="str">
        <f t="shared" si="2865"/>
        <v/>
      </c>
      <c r="AG3858" s="713"/>
      <c r="AH3858" s="713"/>
      <c r="AI3858" s="112">
        <f>IF(H3858="credit",0,IF(AE3858="free",0,IF(AE3858="me",0,IF(G3858&gt;0,(VLOOKUP(A3858,'Discount Lookup'!J:K,2)*G3858),0))))</f>
        <v>0</v>
      </c>
      <c r="AJ3858" s="107" t="str">
        <f t="shared" ca="1" si="2866"/>
        <v/>
      </c>
      <c r="AK3858" s="714" t="str">
        <f t="shared" si="2867"/>
        <v/>
      </c>
      <c r="AL3858" s="714"/>
      <c r="AM3858" s="114" t="str">
        <f t="shared" si="2868"/>
        <v/>
      </c>
      <c r="AN3858" s="115"/>
      <c r="AO3858" s="116"/>
      <c r="AP3858" s="116"/>
      <c r="AQ3858" s="116"/>
      <c r="AR3858" s="116"/>
      <c r="AS3858" s="116"/>
      <c r="AT3858" s="116"/>
      <c r="AU3858" s="116"/>
      <c r="AV3858" s="78"/>
      <c r="AW3858" s="102"/>
      <c r="AX3858" s="78"/>
      <c r="AY3858" s="78"/>
      <c r="AZ3858" s="78"/>
      <c r="BA3858" s="78"/>
      <c r="BB3858" s="78"/>
      <c r="BC3858" s="78"/>
      <c r="BD3858" s="78"/>
      <c r="BE3858" s="465"/>
      <c r="BF3858" s="165" t="str">
        <f t="shared" si="2869"/>
        <v>https://www.google.com/search?tbm=isch&amp;q=Sedum%20rupestre%20%27Angelina%27%20Angelina%20Sedum</v>
      </c>
      <c r="BG3858" s="165" t="str">
        <f t="shared" si="2870"/>
        <v>S</v>
      </c>
      <c r="BH3858" s="65"/>
      <c r="BI3858" s="65"/>
      <c r="BJ3858" s="65"/>
      <c r="BK3858" s="65"/>
      <c r="BL3858" s="99"/>
      <c r="BM3858" s="99"/>
      <c r="BN3858" s="99"/>
    </row>
    <row r="3859" spans="1:66" s="51" customFormat="1" ht="15.75" x14ac:dyDescent="0.25">
      <c r="A3859" s="478">
        <v>2</v>
      </c>
      <c r="B3859" s="479" t="s">
        <v>291</v>
      </c>
      <c r="C3859" s="480" t="s">
        <v>5022</v>
      </c>
      <c r="D3859" s="481" t="s">
        <v>293</v>
      </c>
      <c r="E3859" s="482">
        <v>28.95</v>
      </c>
      <c r="F3859" s="483" t="s">
        <v>292</v>
      </c>
      <c r="G3859" s="484">
        <v>0</v>
      </c>
      <c r="H3859" s="688" t="str">
        <f>IF(G3859=0,"",IF(F3859="Buy",IF(G3859=1,"plant","plants"),IF(F3859&gt;0.01,"warranty","Error")))</f>
        <v/>
      </c>
      <c r="I3859" s="485">
        <f>IF(H3859="free",0,IF(H3859="credit",((E3859*(F3859))*G3859*-1),IF(F3859="Buy",(E3859*G3859),((E3859*(1-F3859))*G3859))))</f>
        <v>0</v>
      </c>
      <c r="J3859" s="485">
        <f>IF(H3859="warranty",0,(I3859*(_xlfn.SINGLE(SalesTaxPercentage))))</f>
        <v>0</v>
      </c>
      <c r="K3859" s="715">
        <f t="shared" ref="K3859" si="2893">I3859+J3859</f>
        <v>0</v>
      </c>
      <c r="L3859" s="715"/>
      <c r="M3859" s="689" t="str">
        <f ca="1">IF(AND(G3859&gt;0,E3859=0),"WARNING - no PRICE inserted",IF(H3859="free","FREE ~ no charge this plant",IF(H3859="credit",CONCATENATE("-$",ROUND(K3859*(1-_xlfn.SINGLE(T2GDiscount))*-1,2)," CREDIT after discount"),IF(_xlfn.SINGLE(T2GDiscount)=0,"",IF(G3859=0,"",IF(F3859="Buy",CONCATENATE("$",ROUND(K3859*(1-_xlfn.SINGLE(T2GDiscount)),2)," with ",(_xlfn.SINGLE(T2GDiscount)*100),"% discount"),CONCATENATE("$",ROUND(K3859*(1-_xlfn.SINGLE(T2GDiscount)),2)," with ",((_xlfn.SINGLE(T2GDiscount)*100+F3859*100)-(_xlfn.SINGLE(T2GDiscount)*100*F3859)),IF(F3859&gt;0,"% discounts",IF(_xlfn.SINGLE(NoWarrantyDiscount)&gt;0,"% discounts","% discount")))))))))</f>
        <v/>
      </c>
      <c r="N3859" s="690"/>
      <c r="O3859" s="486"/>
      <c r="P3859" s="486"/>
      <c r="Q3859" s="486"/>
      <c r="R3859" s="486"/>
      <c r="S3859" s="486"/>
      <c r="T3859" s="102">
        <f t="shared" si="2858"/>
        <v>0</v>
      </c>
      <c r="U3859" s="78">
        <f>IF(NOT(ISNUMBER(G3859)), "", VLOOKUP(A3859,'Discount Lookup'!D:E,2,FALSE)*G3859)</f>
        <v>0</v>
      </c>
      <c r="V3859" s="78">
        <f>IF(NOT(ISNUMBER(G3859)), "", VLOOKUP(A3859,'Discount Lookup'!G:H,2,FALSE)*G3859)</f>
        <v>0</v>
      </c>
      <c r="W3859" s="102">
        <f t="shared" si="2859"/>
        <v>0</v>
      </c>
      <c r="X3859" s="102">
        <f t="shared" si="2860"/>
        <v>0</v>
      </c>
      <c r="Y3859" s="120" t="b">
        <f t="shared" si="2861"/>
        <v>0</v>
      </c>
      <c r="Z3859" s="117">
        <f t="shared" si="2862"/>
        <v>0</v>
      </c>
      <c r="AA3859" s="118"/>
      <c r="AB3859" s="118" t="str">
        <f t="shared" si="2863"/>
        <v/>
      </c>
      <c r="AC3859" s="712" t="str">
        <f>IF(AE3859="T2G","no charge",IF(AND(OR(PlanterYesMe="No",PlanterYesMe="N",PlanterYesMe="me"),H3859=""),"",IF(H3859="credit","NO install",IF(AND(K3859="",AE3859="me"),"EACH row",IF(AND(K3859="images",AE3859="me"),"EACH row",IF(D3859="","",IF(H3859="credit","",IF(AE3859="free","re-planting",IF(AE3859="me","   not ELP, by",IF(AND(OR(PlanterYesMe="Yes",PlanterYesMe="Y"),G3859&gt;0),(VLOOKUP(A3859,'Discount Lookup'!J:K,2)*G3859*(1-PlanterDiscount)*(1+PlanterDifficultyPercentage)),IF(AE3859="ELP",(VLOOKUP(A3859,'Discount Lookup'!J:K,2)*G3859*(1-PlanterDiscount)*(1+PlanterDifficultyPercentage)),IF(AE3859="free","re-planting",IF(G3859=0,"",IF(PlanterYesMe="",IF(AE3859="me","   not ELP, by",IF(AE3859="",IF(G3859&gt;0,(VLOOKUP(A3859,'Discount Lookup'!J:K,2)*G3859*(1-PlanterDiscount)*(1+PlanterDifficultyPercentage)),""),"")),"   not ELP, by"))))))))))))))</f>
        <v/>
      </c>
      <c r="AD3859" s="712"/>
      <c r="AE3859" s="513" t="str">
        <f t="shared" si="2864"/>
        <v/>
      </c>
      <c r="AF3859" s="713" t="str">
        <f t="shared" si="2865"/>
        <v/>
      </c>
      <c r="AG3859" s="713"/>
      <c r="AH3859" s="713"/>
      <c r="AI3859" s="112">
        <f>IF(H3859="credit",0,IF(AE3859="free",0,IF(AE3859="me",0,IF(G3859&gt;0,(VLOOKUP(A3859,'Discount Lookup'!J:K,2)*G3859),0))))</f>
        <v>0</v>
      </c>
      <c r="AJ3859" s="107" t="str">
        <f t="shared" ca="1" si="2866"/>
        <v/>
      </c>
      <c r="AK3859" s="714" t="str">
        <f t="shared" si="2867"/>
        <v/>
      </c>
      <c r="AL3859" s="714"/>
      <c r="AM3859" s="114" t="str">
        <f t="shared" si="2868"/>
        <v/>
      </c>
      <c r="AN3859" s="115"/>
      <c r="AO3859" s="116"/>
      <c r="AP3859" s="116"/>
      <c r="AQ3859" s="116"/>
      <c r="AR3859" s="116"/>
      <c r="AS3859" s="116"/>
      <c r="AT3859" s="116"/>
      <c r="AU3859" s="116"/>
      <c r="AV3859" s="78"/>
      <c r="AW3859" s="102"/>
      <c r="AX3859" s="78"/>
      <c r="AY3859" s="78"/>
      <c r="AZ3859" s="78"/>
      <c r="BA3859" s="78"/>
      <c r="BB3859" s="78"/>
      <c r="BC3859" s="78"/>
      <c r="BD3859" s="78"/>
      <c r="BE3859" s="465"/>
      <c r="BF3859" s="165" t="str">
        <f t="shared" si="2869"/>
        <v>https://www.google.com/search?tbm=isch&amp;q=2%20G6</v>
      </c>
      <c r="BG3859" s="165" t="str">
        <f t="shared" si="2870"/>
        <v>S</v>
      </c>
      <c r="BH3859" s="65"/>
      <c r="BI3859" s="65"/>
      <c r="BJ3859" s="65"/>
      <c r="BK3859" s="65"/>
      <c r="BL3859" s="99"/>
      <c r="BM3859" s="99"/>
      <c r="BN3859" s="99"/>
    </row>
    <row r="3860" spans="1:66" s="51" customFormat="1" ht="16.5" x14ac:dyDescent="0.25">
      <c r="A3860" s="508" t="s">
        <v>4226</v>
      </c>
      <c r="B3860" s="487"/>
      <c r="C3860" s="707"/>
      <c r="D3860" s="487"/>
      <c r="E3860" s="487"/>
      <c r="F3860" s="488"/>
      <c r="G3860" s="489"/>
      <c r="H3860" s="487"/>
      <c r="I3860" s="490"/>
      <c r="J3860" s="490"/>
      <c r="K3860" s="491"/>
      <c r="L3860" s="547"/>
      <c r="M3860" s="528"/>
      <c r="N3860" s="492"/>
      <c r="O3860" s="493"/>
      <c r="P3860" s="494"/>
      <c r="Q3860" s="492"/>
      <c r="R3860" s="492"/>
      <c r="S3860" s="699" t="s">
        <v>5281</v>
      </c>
      <c r="T3860" s="102">
        <f t="shared" ref="T3860:T3923" si="2894">E3860*G3860</f>
        <v>0</v>
      </c>
      <c r="U3860" s="78" t="str">
        <f>IF(NOT(ISNUMBER(G3860)), "", VLOOKUP(A3860,'Discount Lookup'!D:E,2,FALSE)*G3860)</f>
        <v/>
      </c>
      <c r="V3860" s="78" t="str">
        <f>IF(NOT(ISNUMBER(G3860)), "", VLOOKUP(A3860,'Discount Lookup'!G:H,2,FALSE)*G3860)</f>
        <v/>
      </c>
      <c r="W3860" s="102">
        <f t="shared" ref="W3860:W3923" si="2895">IF(H3860="credit",0,E3860*(SalesTaxPercentage)*G3860)</f>
        <v>0</v>
      </c>
      <c r="X3860" s="102">
        <f t="shared" ref="X3860:X3923" si="2896">I3860</f>
        <v>0</v>
      </c>
      <c r="Y3860" s="120" t="b">
        <f t="shared" ref="Y3860:Y3923" si="2897">IF(AE3860="T2G",0,IF(H3860="credit",0,IF(G3860&gt;0,IF(AE3860="me","",G3860))))</f>
        <v>0</v>
      </c>
      <c r="Z3860" s="117">
        <f t="shared" ref="Z3860:Z3923" si="2898">IF(H3860="credit",G3860,0)</f>
        <v>0</v>
      </c>
      <c r="AA3860" s="118"/>
      <c r="AB3860" s="118" t="str">
        <f t="shared" ref="AB3860:AB3923" si="2899">IF(AE3860="T2G","by Trees2Go",IF(H3860="credit","CREDIT only ~",IF(AND(K3860="",AE3860=OR(PlanterYesMe="No",PlanterYesMe="N",PlanterYesMe="me")),"not THIS line⇨",IF(AND(K3860="images",AE3860="me"),"not THIS line⇨",IF(H3860="credit","",IF(G3860=0,"",IF(AE3860="me","",IF(OR(PlanterYesMe="No",PlanterYesMe="N",PlanterYesMe="me"),"",IF(AE3860="free","warranty",IF(OR(PlanterYesMe="yes",PlanterYesMe="y"),"Edison install:","to install:"))))))))))</f>
        <v/>
      </c>
      <c r="AC3860" s="712" t="str">
        <f>IF(AE3860="T2G","no charge",IF(AND(OR(PlanterYesMe="No",PlanterYesMe="N",PlanterYesMe="me"),H3860=""),"",IF(H3860="credit","NO install",IF(AND(K3860="",AE3860="me"),"EACH row",IF(AND(K3860="images",AE3860="me"),"EACH row",IF(D3860="","",IF(H3860="credit","",IF(AE3860="free","re-planting",IF(AE3860="me","   not ELP, by",IF(AND(OR(PlanterYesMe="Yes",PlanterYesMe="Y"),G3860&gt;0),(VLOOKUP(A3860,'Discount Lookup'!J:K,2)*G3860*(1-PlanterDiscount)*(1+PlanterDifficultyPercentage)),IF(AE3860="ELP",(VLOOKUP(A3860,'Discount Lookup'!J:K,2)*G3860*(1-PlanterDiscount)*(1+PlanterDifficultyPercentage)),IF(AE3860="free","re-planting",IF(G3860=0,"",IF(PlanterYesMe="",IF(AE3860="me","   not ELP, by",IF(AE3860="",IF(G3860&gt;0,(VLOOKUP(A3860,'Discount Lookup'!J:K,2)*G3860*(1-PlanterDiscount)*(1+PlanterDifficultyPercentage)),""),"")),"   not ELP, by"))))))))))))))</f>
        <v/>
      </c>
      <c r="AD3860" s="712"/>
      <c r="AE3860" s="513" t="str">
        <f t="shared" ref="AE3860:AE3923" si="2900">IF(H3860="credit","",IF(G3860=0,"",IF(OR(PlanterYesMe="No",PlanterYesMe="N",PlanterYesMe="me"),"me",IF(H3860="warranty","free",IF(OR(PlanterYesMe="yes",PlanterYesMe="y"),"ELP","")))))</f>
        <v/>
      </c>
      <c r="AF3860" s="713" t="str">
        <f t="shared" ref="AF3860:AF3923" si="2901">IF(OR(PlanterYesMe="No",PlanterYesMe="N",PlanterYesMe="me"),"",IF(H3860="credit","",IF(G3860&gt;0,(CONCATENATE((G3860)," quantity, ",(A3860)," ",B3860)),"")))</f>
        <v/>
      </c>
      <c r="AG3860" s="713"/>
      <c r="AH3860" s="713"/>
      <c r="AI3860" s="112">
        <f>IF(H3860="credit",0,IF(AE3860="free",0,IF(AE3860="me",0,IF(G3860&gt;0,(VLOOKUP(A3860,'Discount Lookup'!J:K,2)*G3860),0))))</f>
        <v>0</v>
      </c>
      <c r="AJ3860" s="107" t="str">
        <f t="shared" ref="AJ3860:AJ3923" ca="1" si="2902">IF(AND(ISREF(H3860),H3860="credit"),"",IF(AND(AND(OFFSET(G3860,0,0)=0,OFFSET(G3860,1,0)&gt;0,ISNUMBER(OFFSET(AC3860,1,0)),OFFSET(AC3860,1,0)&gt;0),OR(PlanterYesMe="yes",PlanterYesMe="y")),"T2G+ELP=",IF(AND(OFFSET(G3860,0,0)=0,OFFSET(G3860,1,0)&gt;0,ISNUMBER(OFFSET(AC3860,1,0)),OFFSET(AC3860,1,0)&gt;0),"if T2G+ELP=",IF(AND(OFFSET(G3860,0,0)=0,OFFSET(G3860,1,0)&gt;0),"T2G Subtotal",IF(H3860="credit","",IF(G3860=0,"",IF(AE3860="free",(K3860*(1-T2GDiscount)),IF(OR(PlanterYesMe="No",PlanterYesMe="N",PlanterYesMe="me"),(K3860*(1-T2GDiscount)),IF(OR(AE3860="me",AE3860="T2G"),(K3860*(1-T2GDiscount)),(K3860*(1-T2GDiscount))+AC3860)))))))))</f>
        <v/>
      </c>
      <c r="AK3860" s="714" t="str">
        <f t="shared" ref="AK3860:AK3923" si="2903">IF(H3860="credit","",IF(G3860=0,"",IF(OR(AE3860="me",AE3860="T2G"),"  delivery-only",IF(OR(PlanterYesMe="No",PlanterYesMe="N",PlanterYesMe="me"),"  delivery-only",CONCATENATE(" $",ROUND(AJ3860/G3860,2)," each")))))</f>
        <v/>
      </c>
      <c r="AL3860" s="714"/>
      <c r="AM3860" s="114" t="str">
        <f t="shared" ref="AM3860:AM3923" si="2904">IF(H3860="credit","",IF(AE3860="free","      ~ discounts included, no tax or planting fee applies ~",IF(G3860=0,"",IF(OR(PlanterYesMe="No",PlanterYesMe="N",PlanterYesMe="me"),CONCATENATE(" $",ROUND(AJ3860/G3860,2)," per plant, with tax &amp; discount"),IF(OR(AE3860="me",AE3860="T2G"),CONCATENATE(" $",ROUND(AJ3860/G3860,2)," per plant, with tax &amp; discount"),CONCATENATE("= $",ROUND((K3860*(1-T2GDiscount))/G3860,2)," per plant + $",AC3860/G3860,(" per planting      ~ includes tax &amp; discounts ~")))))))</f>
        <v/>
      </c>
      <c r="AN3860" s="115"/>
      <c r="AO3860" s="116"/>
      <c r="AP3860" s="116"/>
      <c r="AQ3860" s="116"/>
      <c r="AR3860" s="116"/>
      <c r="AS3860" s="116"/>
      <c r="AT3860" s="116"/>
      <c r="AU3860" s="116"/>
      <c r="AV3860" s="78"/>
      <c r="AW3860" s="102"/>
      <c r="AX3860" s="78"/>
      <c r="AY3860" s="78"/>
      <c r="AZ3860" s="78"/>
      <c r="BA3860" s="78"/>
      <c r="BB3860" s="78"/>
      <c r="BC3860" s="78"/>
      <c r="BD3860" s="78"/>
      <c r="BE3860" s="465"/>
      <c r="BF3860" s="165" t="str">
        <f t="shared" ref="BF3860:BF3923" si="2905">"https://www.google.com/search?tbm=isch&amp;q=" &amp; _xlfn.ENCODEURL($A3860 &amp; " " &amp; $D3860)</f>
        <v>https://www.google.com/search?tbm=isch&amp;q=Angelina%20Sedum%20forms%20a%20vivid%20Chartreuse%20mat%20that%20turns%20Copper-Orange%20in%20fall.%20Yellow%20summer%20blooms.%20Semi-evergreen%20</v>
      </c>
      <c r="BG3860" s="165" t="str">
        <f t="shared" ref="BG3860:BG3923" si="2906">IF(ISTEXT(A3860),LEFT(A3860,1),BG3859)</f>
        <v>A</v>
      </c>
      <c r="BH3860" s="65"/>
      <c r="BI3860" s="65"/>
      <c r="BJ3860" s="65"/>
      <c r="BK3860" s="65"/>
      <c r="BL3860" s="99"/>
      <c r="BM3860" s="99"/>
      <c r="BN3860" s="99"/>
    </row>
    <row r="3861" spans="1:66" s="51" customFormat="1" ht="19.5" thickBot="1" x14ac:dyDescent="0.3">
      <c r="A3861" s="686" t="s">
        <v>733</v>
      </c>
      <c r="B3861" s="73"/>
      <c r="C3861" s="708"/>
      <c r="D3861" s="73"/>
      <c r="E3861" s="73"/>
      <c r="F3861" s="496"/>
      <c r="G3861" s="73"/>
      <c r="H3861" s="73"/>
      <c r="I3861" s="73"/>
      <c r="J3861" s="497" t="s">
        <v>357</v>
      </c>
      <c r="K3861" s="498"/>
      <c r="L3861" s="562"/>
      <c r="M3861" s="73"/>
      <c r="N3861"/>
      <c r="O3861"/>
      <c r="P3861"/>
      <c r="Q3861"/>
      <c r="R3861"/>
      <c r="S3861"/>
      <c r="T3861" s="102">
        <f t="shared" si="2894"/>
        <v>0</v>
      </c>
      <c r="U3861" s="78" t="str">
        <f>IF(NOT(ISNUMBER(G3861)), "", VLOOKUP(A3861,'Discount Lookup'!D:E,2,FALSE)*G3861)</f>
        <v/>
      </c>
      <c r="V3861" s="78" t="str">
        <f>IF(NOT(ISNUMBER(G3861)), "", VLOOKUP(A3861,'Discount Lookup'!G:H,2,FALSE)*G3861)</f>
        <v/>
      </c>
      <c r="W3861" s="102">
        <f t="shared" si="2895"/>
        <v>0</v>
      </c>
      <c r="X3861" s="102">
        <f t="shared" si="2896"/>
        <v>0</v>
      </c>
      <c r="Y3861" s="120" t="b">
        <f t="shared" si="2897"/>
        <v>0</v>
      </c>
      <c r="Z3861" s="117">
        <f t="shared" si="2898"/>
        <v>0</v>
      </c>
      <c r="AA3861" s="118"/>
      <c r="AB3861" s="118" t="str">
        <f t="shared" si="2899"/>
        <v/>
      </c>
      <c r="AC3861" s="712" t="str">
        <f>IF(AE3861="T2G","no charge",IF(AND(OR(PlanterYesMe="No",PlanterYesMe="N",PlanterYesMe="me"),H3861=""),"",IF(H3861="credit","NO install",IF(AND(K3861="",AE3861="me"),"EACH row",IF(AND(K3861="images",AE3861="me"),"EACH row",IF(D3861="","",IF(H3861="credit","",IF(AE3861="free","re-planting",IF(AE3861="me","   not ELP, by",IF(AND(OR(PlanterYesMe="Yes",PlanterYesMe="Y"),G3861&gt;0),(VLOOKUP(A3861,'Discount Lookup'!J:K,2)*G3861*(1-PlanterDiscount)*(1+PlanterDifficultyPercentage)),IF(AE3861="ELP",(VLOOKUP(A3861,'Discount Lookup'!J:K,2)*G3861*(1-PlanterDiscount)*(1+PlanterDifficultyPercentage)),IF(AE3861="free","re-planting",IF(G3861=0,"",IF(PlanterYesMe="",IF(AE3861="me","   not ELP, by",IF(AE3861="",IF(G3861&gt;0,(VLOOKUP(A3861,'Discount Lookup'!J:K,2)*G3861*(1-PlanterDiscount)*(1+PlanterDifficultyPercentage)),""),"")),"   not ELP, by"))))))))))))))</f>
        <v/>
      </c>
      <c r="AD3861" s="712"/>
      <c r="AE3861" s="513" t="str">
        <f t="shared" si="2900"/>
        <v/>
      </c>
      <c r="AF3861" s="713" t="str">
        <f t="shared" si="2901"/>
        <v/>
      </c>
      <c r="AG3861" s="713"/>
      <c r="AH3861" s="713"/>
      <c r="AI3861" s="112">
        <f>IF(H3861="credit",0,IF(AE3861="free",0,IF(AE3861="me",0,IF(G3861&gt;0,(VLOOKUP(A3861,'Discount Lookup'!J:K,2)*G3861),0))))</f>
        <v>0</v>
      </c>
      <c r="AJ3861" s="107" t="str">
        <f t="shared" ca="1" si="2902"/>
        <v/>
      </c>
      <c r="AK3861" s="714" t="str">
        <f t="shared" si="2903"/>
        <v/>
      </c>
      <c r="AL3861" s="714"/>
      <c r="AM3861" s="114" t="str">
        <f t="shared" si="2904"/>
        <v/>
      </c>
      <c r="AN3861" s="115"/>
      <c r="AO3861" s="116"/>
      <c r="AP3861" s="116"/>
      <c r="AQ3861" s="116"/>
      <c r="AR3861" s="116"/>
      <c r="AS3861" s="116"/>
      <c r="AT3861" s="116"/>
      <c r="AU3861" s="116"/>
      <c r="AV3861" s="78"/>
      <c r="AW3861" s="102"/>
      <c r="AX3861" s="78"/>
      <c r="AY3861" s="78"/>
      <c r="AZ3861" s="78"/>
      <c r="BA3861" s="78"/>
      <c r="BB3861" s="78"/>
      <c r="BC3861" s="78"/>
      <c r="BD3861" s="78"/>
      <c r="BE3861" s="465"/>
      <c r="BF3861" s="165" t="str">
        <f t="shared" si="2905"/>
        <v>https://www.google.com/search?tbm=isch&amp;q=Selaginella%20%3D%20Spikemoss%20</v>
      </c>
      <c r="BG3861" s="165" t="str">
        <f t="shared" si="2906"/>
        <v>S</v>
      </c>
      <c r="BH3861" s="65"/>
      <c r="BI3861" s="65"/>
      <c r="BJ3861" s="65"/>
      <c r="BK3861" s="65"/>
      <c r="BL3861" s="99"/>
      <c r="BM3861" s="99"/>
      <c r="BN3861" s="99"/>
    </row>
    <row r="3862" spans="1:66" s="51" customFormat="1" ht="18" x14ac:dyDescent="0.25">
      <c r="A3862" s="507" t="s">
        <v>4227</v>
      </c>
      <c r="B3862" s="470"/>
      <c r="C3862" s="706"/>
      <c r="D3862" s="471" t="s">
        <v>4228</v>
      </c>
      <c r="E3862" s="472"/>
      <c r="F3862" s="472"/>
      <c r="G3862" s="472"/>
      <c r="H3862" s="622" t="s">
        <v>1525</v>
      </c>
      <c r="I3862" s="473" t="s">
        <v>430</v>
      </c>
      <c r="J3862" s="472"/>
      <c r="K3862" s="472"/>
      <c r="L3862" s="561"/>
      <c r="M3862" s="703" t="s">
        <v>5260</v>
      </c>
      <c r="N3862" s="692" t="str">
        <f>IF(AND(ISTEXT($A3862), ISERROR($A3862+0)), HYPERLINK($BF3862, "Images"), "")</f>
        <v>Images</v>
      </c>
      <c r="O3862" s="694" t="s">
        <v>5247</v>
      </c>
      <c r="P3862" s="475"/>
      <c r="Q3862" s="476"/>
      <c r="R3862" s="476"/>
      <c r="S3862" s="477"/>
      <c r="T3862" s="102">
        <f t="shared" si="2894"/>
        <v>0</v>
      </c>
      <c r="U3862" s="78" t="str">
        <f>IF(NOT(ISNUMBER(G3862)), "", VLOOKUP(A3862,'Discount Lookup'!D:E,2,FALSE)*G3862)</f>
        <v/>
      </c>
      <c r="V3862" s="78" t="str">
        <f>IF(NOT(ISNUMBER(G3862)), "", VLOOKUP(A3862,'Discount Lookup'!G:H,2,FALSE)*G3862)</f>
        <v/>
      </c>
      <c r="W3862" s="102">
        <f t="shared" si="2895"/>
        <v>0</v>
      </c>
      <c r="X3862" s="102" t="str">
        <f t="shared" si="2896"/>
        <v>Deep Green foliage</v>
      </c>
      <c r="Y3862" s="120" t="b">
        <f t="shared" si="2897"/>
        <v>0</v>
      </c>
      <c r="Z3862" s="117">
        <f t="shared" si="2898"/>
        <v>0</v>
      </c>
      <c r="AA3862" s="118"/>
      <c r="AB3862" s="118" t="str">
        <f t="shared" si="2899"/>
        <v/>
      </c>
      <c r="AC3862" s="712" t="str">
        <f>IF(AE3862="T2G","no charge",IF(AND(OR(PlanterYesMe="No",PlanterYesMe="N",PlanterYesMe="me"),H3862=""),"",IF(H3862="credit","NO install",IF(AND(K3862="",AE3862="me"),"EACH row",IF(AND(K3862="images",AE3862="me"),"EACH row",IF(D3862="","",IF(H3862="credit","",IF(AE3862="free","re-planting",IF(AE3862="me","   not ELP, by",IF(AND(OR(PlanterYesMe="Yes",PlanterYesMe="Y"),G3862&gt;0),(VLOOKUP(A3862,'Discount Lookup'!J:K,2)*G3862*(1-PlanterDiscount)*(1+PlanterDifficultyPercentage)),IF(AE3862="ELP",(VLOOKUP(A3862,'Discount Lookup'!J:K,2)*G3862*(1-PlanterDiscount)*(1+PlanterDifficultyPercentage)),IF(AE3862="free","re-planting",IF(G3862=0,"",IF(PlanterYesMe="",IF(AE3862="me","   not ELP, by",IF(AE3862="",IF(G3862&gt;0,(VLOOKUP(A3862,'Discount Lookup'!J:K,2)*G3862*(1-PlanterDiscount)*(1+PlanterDifficultyPercentage)),""),"")),"   not ELP, by"))))))))))))))</f>
        <v/>
      </c>
      <c r="AD3862" s="712"/>
      <c r="AE3862" s="513" t="str">
        <f t="shared" si="2900"/>
        <v/>
      </c>
      <c r="AF3862" s="713" t="str">
        <f t="shared" si="2901"/>
        <v/>
      </c>
      <c r="AG3862" s="713"/>
      <c r="AH3862" s="713"/>
      <c r="AI3862" s="112">
        <f>IF(H3862="credit",0,IF(AE3862="free",0,IF(AE3862="me",0,IF(G3862&gt;0,(VLOOKUP(A3862,'Discount Lookup'!J:K,2)*G3862),0))))</f>
        <v>0</v>
      </c>
      <c r="AJ3862" s="107" t="str">
        <f t="shared" ca="1" si="2902"/>
        <v/>
      </c>
      <c r="AK3862" s="714" t="str">
        <f t="shared" si="2903"/>
        <v/>
      </c>
      <c r="AL3862" s="714"/>
      <c r="AM3862" s="114" t="str">
        <f t="shared" si="2904"/>
        <v/>
      </c>
      <c r="AN3862" s="115"/>
      <c r="AO3862" s="116"/>
      <c r="AP3862" s="116"/>
      <c r="AQ3862" s="116"/>
      <c r="AR3862" s="116"/>
      <c r="AS3862" s="116"/>
      <c r="AT3862" s="116"/>
      <c r="AU3862" s="116"/>
      <c r="AV3862" s="78"/>
      <c r="AW3862" s="102"/>
      <c r="AX3862" s="78"/>
      <c r="AY3862" s="78"/>
      <c r="AZ3862" s="78"/>
      <c r="BA3862" s="78"/>
      <c r="BB3862" s="78"/>
      <c r="BC3862" s="78"/>
      <c r="BD3862" s="78"/>
      <c r="BE3862" s="465"/>
      <c r="BF3862" s="165" t="str">
        <f t="shared" si="2905"/>
        <v>https://www.google.com/search?tbm=isch&amp;q=Selaginella%20braunii%20Arborvitae%20Fern</v>
      </c>
      <c r="BG3862" s="165" t="str">
        <f t="shared" si="2906"/>
        <v>S</v>
      </c>
      <c r="BH3862" s="65"/>
      <c r="BI3862" s="65"/>
      <c r="BJ3862" s="65"/>
      <c r="BK3862" s="65"/>
      <c r="BL3862" s="99"/>
      <c r="BM3862" s="99"/>
      <c r="BN3862" s="99"/>
    </row>
    <row r="3863" spans="1:66" s="51" customFormat="1" ht="15.75" x14ac:dyDescent="0.25">
      <c r="A3863" s="478">
        <v>3</v>
      </c>
      <c r="B3863" s="479" t="s">
        <v>291</v>
      </c>
      <c r="C3863" s="480" t="s">
        <v>4229</v>
      </c>
      <c r="D3863" s="481" t="s">
        <v>299</v>
      </c>
      <c r="E3863" s="482">
        <v>31.95</v>
      </c>
      <c r="F3863" s="483" t="s">
        <v>292</v>
      </c>
      <c r="G3863" s="484">
        <v>0</v>
      </c>
      <c r="H3863" s="688" t="str">
        <f>IF(G3863=0,"",IF(F3863="Buy",IF(G3863=1,"plant","plants"),IF(F3863&gt;0.01,"warranty","Error")))</f>
        <v/>
      </c>
      <c r="I3863" s="485">
        <f>IF(H3863="free",0,IF(H3863="credit",((E3863*(F3863))*G3863*-1),IF(F3863="Buy",(E3863*G3863),((E3863*(1-F3863))*G3863))))</f>
        <v>0</v>
      </c>
      <c r="J3863" s="485">
        <f>IF(H3863="warranty",0,(I3863*(_xlfn.SINGLE(SalesTaxPercentage))))</f>
        <v>0</v>
      </c>
      <c r="K3863" s="715">
        <f t="shared" ref="K3863" si="2907">I3863+J3863</f>
        <v>0</v>
      </c>
      <c r="L3863" s="715"/>
      <c r="M3863" s="689" t="str">
        <f ca="1">IF(AND(G3863&gt;0,E3863=0),"WARNING - no PRICE inserted",IF(H3863="free","FREE ~ no charge this plant",IF(H3863="credit",CONCATENATE("-$",ROUND(K3863*(1-_xlfn.SINGLE(T2GDiscount))*-1,2)," CREDIT after discount"),IF(_xlfn.SINGLE(T2GDiscount)=0,"",IF(G3863=0,"",IF(F3863="Buy",CONCATENATE("$",ROUND(K3863*(1-_xlfn.SINGLE(T2GDiscount)),2)," with ",(_xlfn.SINGLE(T2GDiscount)*100),"% discount"),CONCATENATE("$",ROUND(K3863*(1-_xlfn.SINGLE(T2GDiscount)),2)," with ",((_xlfn.SINGLE(T2GDiscount)*100+F3863*100)-(_xlfn.SINGLE(T2GDiscount)*100*F3863)),IF(F3863&gt;0,"% discounts",IF(_xlfn.SINGLE(NoWarrantyDiscount)&gt;0,"% discounts","% discount")))))))))</f>
        <v/>
      </c>
      <c r="N3863" s="690"/>
      <c r="O3863" s="486"/>
      <c r="P3863" s="486"/>
      <c r="Q3863" s="486"/>
      <c r="R3863" s="486"/>
      <c r="S3863" s="486"/>
      <c r="T3863" s="102">
        <f t="shared" si="2894"/>
        <v>0</v>
      </c>
      <c r="U3863" s="78">
        <f>IF(NOT(ISNUMBER(G3863)), "", VLOOKUP(A3863,'Discount Lookup'!D:E,2,FALSE)*G3863)</f>
        <v>0</v>
      </c>
      <c r="V3863" s="78">
        <f>IF(NOT(ISNUMBER(G3863)), "", VLOOKUP(A3863,'Discount Lookup'!G:H,2,FALSE)*G3863)</f>
        <v>0</v>
      </c>
      <c r="W3863" s="102">
        <f t="shared" si="2895"/>
        <v>0</v>
      </c>
      <c r="X3863" s="102">
        <f t="shared" si="2896"/>
        <v>0</v>
      </c>
      <c r="Y3863" s="120" t="b">
        <f t="shared" si="2897"/>
        <v>0</v>
      </c>
      <c r="Z3863" s="117">
        <f t="shared" si="2898"/>
        <v>0</v>
      </c>
      <c r="AA3863" s="118"/>
      <c r="AB3863" s="118" t="str">
        <f t="shared" si="2899"/>
        <v/>
      </c>
      <c r="AC3863" s="712" t="str">
        <f>IF(AE3863="T2G","no charge",IF(AND(OR(PlanterYesMe="No",PlanterYesMe="N",PlanterYesMe="me"),H3863=""),"",IF(H3863="credit","NO install",IF(AND(K3863="",AE3863="me"),"EACH row",IF(AND(K3863="images",AE3863="me"),"EACH row",IF(D3863="","",IF(H3863="credit","",IF(AE3863="free","re-planting",IF(AE3863="me","   not ELP, by",IF(AND(OR(PlanterYesMe="Yes",PlanterYesMe="Y"),G3863&gt;0),(VLOOKUP(A3863,'Discount Lookup'!J:K,2)*G3863*(1-PlanterDiscount)*(1+PlanterDifficultyPercentage)),IF(AE3863="ELP",(VLOOKUP(A3863,'Discount Lookup'!J:K,2)*G3863*(1-PlanterDiscount)*(1+PlanterDifficultyPercentage)),IF(AE3863="free","re-planting",IF(G3863=0,"",IF(PlanterYesMe="",IF(AE3863="me","   not ELP, by",IF(AE3863="",IF(G3863&gt;0,(VLOOKUP(A3863,'Discount Lookup'!J:K,2)*G3863*(1-PlanterDiscount)*(1+PlanterDifficultyPercentage)),""),"")),"   not ELP, by"))))))))))))))</f>
        <v/>
      </c>
      <c r="AD3863" s="712"/>
      <c r="AE3863" s="513" t="str">
        <f t="shared" si="2900"/>
        <v/>
      </c>
      <c r="AF3863" s="713" t="str">
        <f t="shared" si="2901"/>
        <v/>
      </c>
      <c r="AG3863" s="713"/>
      <c r="AH3863" s="713"/>
      <c r="AI3863" s="112">
        <f>IF(H3863="credit",0,IF(AE3863="free",0,IF(AE3863="me",0,IF(G3863&gt;0,(VLOOKUP(A3863,'Discount Lookup'!J:K,2)*G3863),0))))</f>
        <v>0</v>
      </c>
      <c r="AJ3863" s="107" t="str">
        <f t="shared" ca="1" si="2902"/>
        <v/>
      </c>
      <c r="AK3863" s="714" t="str">
        <f t="shared" si="2903"/>
        <v/>
      </c>
      <c r="AL3863" s="714"/>
      <c r="AM3863" s="114" t="str">
        <f t="shared" si="2904"/>
        <v/>
      </c>
      <c r="AN3863" s="115"/>
      <c r="AO3863" s="116"/>
      <c r="AP3863" s="116"/>
      <c r="AQ3863" s="116"/>
      <c r="AR3863" s="116"/>
      <c r="AS3863" s="116"/>
      <c r="AT3863" s="116"/>
      <c r="AU3863" s="116"/>
      <c r="AV3863" s="78"/>
      <c r="AW3863" s="102"/>
      <c r="AX3863" s="78"/>
      <c r="AY3863" s="78"/>
      <c r="AZ3863" s="78"/>
      <c r="BA3863" s="78"/>
      <c r="BB3863" s="78"/>
      <c r="BC3863" s="78"/>
      <c r="BD3863" s="78"/>
      <c r="BE3863" s="465"/>
      <c r="BF3863" s="165" t="str">
        <f t="shared" si="2905"/>
        <v>https://www.google.com/search?tbm=isch&amp;q=3%20G4</v>
      </c>
      <c r="BG3863" s="165" t="str">
        <f t="shared" si="2906"/>
        <v>S</v>
      </c>
      <c r="BH3863" s="65"/>
      <c r="BI3863" s="65"/>
      <c r="BJ3863" s="65"/>
      <c r="BK3863" s="65"/>
      <c r="BL3863" s="99"/>
      <c r="BM3863" s="99"/>
      <c r="BN3863" s="99"/>
    </row>
    <row r="3864" spans="1:66" s="51" customFormat="1" ht="15.75" x14ac:dyDescent="0.25">
      <c r="A3864" s="705" t="s">
        <v>5529</v>
      </c>
      <c r="B3864" s="487"/>
      <c r="C3864" s="707"/>
      <c r="D3864" s="487"/>
      <c r="E3864" s="487"/>
      <c r="F3864" s="488"/>
      <c r="G3864" s="489"/>
      <c r="H3864" s="487"/>
      <c r="I3864" s="490"/>
      <c r="J3864" s="490"/>
      <c r="K3864" s="491"/>
      <c r="L3864" s="547"/>
      <c r="M3864" s="528"/>
      <c r="N3864" s="492"/>
      <c r="O3864" s="493"/>
      <c r="P3864" s="494"/>
      <c r="Q3864" s="492"/>
      <c r="R3864" s="492"/>
      <c r="S3864" s="699" t="s">
        <v>5259</v>
      </c>
      <c r="T3864" s="102">
        <f t="shared" si="2894"/>
        <v>0</v>
      </c>
      <c r="U3864" s="78" t="str">
        <f>IF(NOT(ISNUMBER(G3864)), "", VLOOKUP(A3864,'Discount Lookup'!D:E,2,FALSE)*G3864)</f>
        <v/>
      </c>
      <c r="V3864" s="78" t="str">
        <f>IF(NOT(ISNUMBER(G3864)), "", VLOOKUP(A3864,'Discount Lookup'!G:H,2,FALSE)*G3864)</f>
        <v/>
      </c>
      <c r="W3864" s="102">
        <f t="shared" si="2895"/>
        <v>0</v>
      </c>
      <c r="X3864" s="102">
        <f t="shared" si="2896"/>
        <v>0</v>
      </c>
      <c r="Y3864" s="120" t="b">
        <f t="shared" si="2897"/>
        <v>0</v>
      </c>
      <c r="Z3864" s="117">
        <f t="shared" si="2898"/>
        <v>0</v>
      </c>
      <c r="AA3864" s="118"/>
      <c r="AB3864" s="118" t="str">
        <f t="shared" si="2899"/>
        <v/>
      </c>
      <c r="AC3864" s="712" t="str">
        <f>IF(AE3864="T2G","no charge",IF(AND(OR(PlanterYesMe="No",PlanterYesMe="N",PlanterYesMe="me"),H3864=""),"",IF(H3864="credit","NO install",IF(AND(K3864="",AE3864="me"),"EACH row",IF(AND(K3864="images",AE3864="me"),"EACH row",IF(D3864="","",IF(H3864="credit","",IF(AE3864="free","re-planting",IF(AE3864="me","   not ELP, by",IF(AND(OR(PlanterYesMe="Yes",PlanterYesMe="Y"),G3864&gt;0),(VLOOKUP(A3864,'Discount Lookup'!J:K,2)*G3864*(1-PlanterDiscount)*(1+PlanterDifficultyPercentage)),IF(AE3864="ELP",(VLOOKUP(A3864,'Discount Lookup'!J:K,2)*G3864*(1-PlanterDiscount)*(1+PlanterDifficultyPercentage)),IF(AE3864="free","re-planting",IF(G3864=0,"",IF(PlanterYesMe="",IF(AE3864="me","   not ELP, by",IF(AE3864="",IF(G3864&gt;0,(VLOOKUP(A3864,'Discount Lookup'!J:K,2)*G3864*(1-PlanterDiscount)*(1+PlanterDifficultyPercentage)),""),"")),"   not ELP, by"))))))))))))))</f>
        <v/>
      </c>
      <c r="AD3864" s="712"/>
      <c r="AE3864" s="513" t="str">
        <f t="shared" si="2900"/>
        <v/>
      </c>
      <c r="AF3864" s="713" t="str">
        <f t="shared" si="2901"/>
        <v/>
      </c>
      <c r="AG3864" s="713"/>
      <c r="AH3864" s="713"/>
      <c r="AI3864" s="112">
        <f>IF(H3864="credit",0,IF(AE3864="free",0,IF(AE3864="me",0,IF(G3864&gt;0,(VLOOKUP(A3864,'Discount Lookup'!J:K,2)*G3864),0))))</f>
        <v>0</v>
      </c>
      <c r="AJ3864" s="107" t="str">
        <f t="shared" ca="1" si="2902"/>
        <v/>
      </c>
      <c r="AK3864" s="714" t="str">
        <f t="shared" si="2903"/>
        <v/>
      </c>
      <c r="AL3864" s="714"/>
      <c r="AM3864" s="114" t="str">
        <f t="shared" si="2904"/>
        <v/>
      </c>
      <c r="AN3864" s="115"/>
      <c r="AO3864" s="116"/>
      <c r="AP3864" s="116"/>
      <c r="AQ3864" s="116"/>
      <c r="AR3864" s="116"/>
      <c r="AS3864" s="116"/>
      <c r="AT3864" s="116"/>
      <c r="AU3864" s="116"/>
      <c r="AV3864" s="78"/>
      <c r="AW3864" s="102"/>
      <c r="AX3864" s="78"/>
      <c r="AY3864" s="78"/>
      <c r="AZ3864" s="78"/>
      <c r="BA3864" s="78"/>
      <c r="BB3864" s="78"/>
      <c r="BC3864" s="78"/>
      <c r="BD3864" s="78"/>
      <c r="BE3864" s="465"/>
      <c r="BF3864" s="165" t="str">
        <f t="shared" si="2905"/>
        <v>https://www.google.com/search?tbm=isch&amp;q=moist%20sites%F0%9F%92%A7GOOD%2C%20Arborvitae%20Fern%20is%20notable%20for%20its%20finely%20textured%2C%20lacy%20evergreen%20foliage%20that%20resembles%20a%20miniature%20fern.%20Not%20a%20true%20fern%20</v>
      </c>
      <c r="BG3864" s="165" t="str">
        <f t="shared" si="2906"/>
        <v>m</v>
      </c>
      <c r="BH3864" s="65"/>
      <c r="BI3864" s="65"/>
      <c r="BJ3864" s="65"/>
      <c r="BK3864" s="65"/>
      <c r="BL3864" s="99"/>
      <c r="BM3864" s="99"/>
      <c r="BN3864" s="99"/>
    </row>
    <row r="3865" spans="1:66" s="51" customFormat="1" ht="19.5" thickBot="1" x14ac:dyDescent="0.3">
      <c r="A3865" s="686" t="s">
        <v>734</v>
      </c>
      <c r="B3865" s="73"/>
      <c r="C3865" s="708"/>
      <c r="D3865" s="73"/>
      <c r="E3865" s="73"/>
      <c r="F3865" s="496"/>
      <c r="G3865" s="73"/>
      <c r="H3865" s="73"/>
      <c r="I3865" s="73"/>
      <c r="J3865" s="497" t="s">
        <v>357</v>
      </c>
      <c r="K3865" s="498"/>
      <c r="L3865" s="562"/>
      <c r="M3865" s="73"/>
      <c r="N3865"/>
      <c r="O3865"/>
      <c r="P3865"/>
      <c r="Q3865"/>
      <c r="R3865"/>
      <c r="S3865"/>
      <c r="T3865" s="102">
        <f t="shared" si="2894"/>
        <v>0</v>
      </c>
      <c r="U3865" s="78" t="str">
        <f>IF(NOT(ISNUMBER(G3865)), "", VLOOKUP(A3865,'Discount Lookup'!D:E,2,FALSE)*G3865)</f>
        <v/>
      </c>
      <c r="V3865" s="78" t="str">
        <f>IF(NOT(ISNUMBER(G3865)), "", VLOOKUP(A3865,'Discount Lookup'!G:H,2,FALSE)*G3865)</f>
        <v/>
      </c>
      <c r="W3865" s="102">
        <f t="shared" si="2895"/>
        <v>0</v>
      </c>
      <c r="X3865" s="102">
        <f t="shared" si="2896"/>
        <v>0</v>
      </c>
      <c r="Y3865" s="120" t="b">
        <f t="shared" si="2897"/>
        <v>0</v>
      </c>
      <c r="Z3865" s="117">
        <f t="shared" si="2898"/>
        <v>0</v>
      </c>
      <c r="AA3865" s="118"/>
      <c r="AB3865" s="118" t="str">
        <f t="shared" si="2899"/>
        <v/>
      </c>
      <c r="AC3865" s="712" t="str">
        <f>IF(AE3865="T2G","no charge",IF(AND(OR(PlanterYesMe="No",PlanterYesMe="N",PlanterYesMe="me"),H3865=""),"",IF(H3865="credit","NO install",IF(AND(K3865="",AE3865="me"),"EACH row",IF(AND(K3865="images",AE3865="me"),"EACH row",IF(D3865="","",IF(H3865="credit","",IF(AE3865="free","re-planting",IF(AE3865="me","   not ELP, by",IF(AND(OR(PlanterYesMe="Yes",PlanterYesMe="Y"),G3865&gt;0),(VLOOKUP(A3865,'Discount Lookup'!J:K,2)*G3865*(1-PlanterDiscount)*(1+PlanterDifficultyPercentage)),IF(AE3865="ELP",(VLOOKUP(A3865,'Discount Lookup'!J:K,2)*G3865*(1-PlanterDiscount)*(1+PlanterDifficultyPercentage)),IF(AE3865="free","re-planting",IF(G3865=0,"",IF(PlanterYesMe="",IF(AE3865="me","   not ELP, by",IF(AE3865="",IF(G3865&gt;0,(VLOOKUP(A3865,'Discount Lookup'!J:K,2)*G3865*(1-PlanterDiscount)*(1+PlanterDifficultyPercentage)),""),"")),"   not ELP, by"))))))))))))))</f>
        <v/>
      </c>
      <c r="AD3865" s="712"/>
      <c r="AE3865" s="513" t="str">
        <f t="shared" si="2900"/>
        <v/>
      </c>
      <c r="AF3865" s="713" t="str">
        <f t="shared" si="2901"/>
        <v/>
      </c>
      <c r="AG3865" s="713"/>
      <c r="AH3865" s="713"/>
      <c r="AI3865" s="112">
        <f>IF(H3865="credit",0,IF(AE3865="free",0,IF(AE3865="me",0,IF(G3865&gt;0,(VLOOKUP(A3865,'Discount Lookup'!J:K,2)*G3865),0))))</f>
        <v>0</v>
      </c>
      <c r="AJ3865" s="107" t="str">
        <f t="shared" ca="1" si="2902"/>
        <v/>
      </c>
      <c r="AK3865" s="714" t="str">
        <f t="shared" si="2903"/>
        <v/>
      </c>
      <c r="AL3865" s="714"/>
      <c r="AM3865" s="114" t="str">
        <f t="shared" si="2904"/>
        <v/>
      </c>
      <c r="AN3865" s="115"/>
      <c r="AO3865" s="116"/>
      <c r="AP3865" s="116"/>
      <c r="AQ3865" s="116"/>
      <c r="AR3865" s="116"/>
      <c r="AS3865" s="116"/>
      <c r="AT3865" s="116"/>
      <c r="AU3865" s="116"/>
      <c r="AV3865" s="78"/>
      <c r="AW3865" s="102"/>
      <c r="AX3865" s="78"/>
      <c r="AY3865" s="78"/>
      <c r="AZ3865" s="78"/>
      <c r="BA3865" s="78"/>
      <c r="BB3865" s="78"/>
      <c r="BC3865" s="78"/>
      <c r="BD3865" s="78"/>
      <c r="BE3865" s="465"/>
      <c r="BF3865" s="165" t="str">
        <f t="shared" si="2905"/>
        <v>https://www.google.com/search?tbm=isch&amp;q=Sequoia%20%3D%20Redwood%20</v>
      </c>
      <c r="BG3865" s="165" t="str">
        <f t="shared" si="2906"/>
        <v>S</v>
      </c>
      <c r="BH3865" s="65"/>
      <c r="BI3865" s="65"/>
      <c r="BJ3865" s="65"/>
      <c r="BK3865" s="65"/>
      <c r="BL3865" s="99"/>
      <c r="BM3865" s="99"/>
      <c r="BN3865" s="99"/>
    </row>
    <row r="3866" spans="1:66" s="51" customFormat="1" ht="18" x14ac:dyDescent="0.25">
      <c r="A3866" s="507" t="s">
        <v>735</v>
      </c>
      <c r="B3866" s="470"/>
      <c r="C3866" s="706"/>
      <c r="D3866" s="471" t="s">
        <v>736</v>
      </c>
      <c r="E3866" s="472"/>
      <c r="F3866" s="472"/>
      <c r="G3866" s="472"/>
      <c r="H3866" s="622" t="s">
        <v>737</v>
      </c>
      <c r="I3866" s="473" t="s">
        <v>431</v>
      </c>
      <c r="J3866" s="472"/>
      <c r="K3866" s="472"/>
      <c r="L3866" s="561"/>
      <c r="M3866" s="698" t="s">
        <v>5246</v>
      </c>
      <c r="N3866" s="692" t="str">
        <f>IF(AND(ISTEXT($A3866), ISERROR($A3866+0)), HYPERLINK($BF3866, "Images"), "")</f>
        <v>Images</v>
      </c>
      <c r="O3866" s="694" t="s">
        <v>5247</v>
      </c>
      <c r="P3866" s="475"/>
      <c r="Q3866" s="476"/>
      <c r="R3866" s="476"/>
      <c r="S3866" s="477"/>
      <c r="T3866" s="102">
        <f t="shared" si="2894"/>
        <v>0</v>
      </c>
      <c r="U3866" s="78" t="str">
        <f>IF(NOT(ISNUMBER(G3866)), "", VLOOKUP(A3866,'Discount Lookup'!D:E,2,FALSE)*G3866)</f>
        <v/>
      </c>
      <c r="V3866" s="78" t="str">
        <f>IF(NOT(ISNUMBER(G3866)), "", VLOOKUP(A3866,'Discount Lookup'!G:H,2,FALSE)*G3866)</f>
        <v/>
      </c>
      <c r="W3866" s="102">
        <f t="shared" si="2895"/>
        <v>0</v>
      </c>
      <c r="X3866" s="102" t="str">
        <f t="shared" si="2896"/>
        <v>Dark Green foliage</v>
      </c>
      <c r="Y3866" s="120" t="b">
        <f t="shared" si="2897"/>
        <v>0</v>
      </c>
      <c r="Z3866" s="117">
        <f t="shared" si="2898"/>
        <v>0</v>
      </c>
      <c r="AA3866" s="118"/>
      <c r="AB3866" s="118" t="str">
        <f t="shared" si="2899"/>
        <v/>
      </c>
      <c r="AC3866" s="712" t="str">
        <f>IF(AE3866="T2G","no charge",IF(AND(OR(PlanterYesMe="No",PlanterYesMe="N",PlanterYesMe="me"),H3866=""),"",IF(H3866="credit","NO install",IF(AND(K3866="",AE3866="me"),"EACH row",IF(AND(K3866="images",AE3866="me"),"EACH row",IF(D3866="","",IF(H3866="credit","",IF(AE3866="free","re-planting",IF(AE3866="me","   not ELP, by",IF(AND(OR(PlanterYesMe="Yes",PlanterYesMe="Y"),G3866&gt;0),(VLOOKUP(A3866,'Discount Lookup'!J:K,2)*G3866*(1-PlanterDiscount)*(1+PlanterDifficultyPercentage)),IF(AE3866="ELP",(VLOOKUP(A3866,'Discount Lookup'!J:K,2)*G3866*(1-PlanterDiscount)*(1+PlanterDifficultyPercentage)),IF(AE3866="free","re-planting",IF(G3866=0,"",IF(PlanterYesMe="",IF(AE3866="me","   not ELP, by",IF(AE3866="",IF(G3866&gt;0,(VLOOKUP(A3866,'Discount Lookup'!J:K,2)*G3866*(1-PlanterDiscount)*(1+PlanterDifficultyPercentage)),""),"")),"   not ELP, by"))))))))))))))</f>
        <v/>
      </c>
      <c r="AD3866" s="712"/>
      <c r="AE3866" s="513" t="str">
        <f t="shared" si="2900"/>
        <v/>
      </c>
      <c r="AF3866" s="713" t="str">
        <f t="shared" si="2901"/>
        <v/>
      </c>
      <c r="AG3866" s="713"/>
      <c r="AH3866" s="713"/>
      <c r="AI3866" s="112">
        <f>IF(H3866="credit",0,IF(AE3866="free",0,IF(AE3866="me",0,IF(G3866&gt;0,(VLOOKUP(A3866,'Discount Lookup'!J:K,2)*G3866),0))))</f>
        <v>0</v>
      </c>
      <c r="AJ3866" s="107" t="str">
        <f t="shared" ca="1" si="2902"/>
        <v/>
      </c>
      <c r="AK3866" s="714" t="str">
        <f t="shared" si="2903"/>
        <v/>
      </c>
      <c r="AL3866" s="714"/>
      <c r="AM3866" s="114" t="str">
        <f t="shared" si="2904"/>
        <v/>
      </c>
      <c r="AN3866" s="115"/>
      <c r="AO3866" s="116"/>
      <c r="AP3866" s="116"/>
      <c r="AQ3866" s="116"/>
      <c r="AR3866" s="116"/>
      <c r="AS3866" s="116"/>
      <c r="AT3866" s="116"/>
      <c r="AU3866" s="116"/>
      <c r="AV3866" s="78"/>
      <c r="AW3866" s="102"/>
      <c r="AX3866" s="78"/>
      <c r="AY3866" s="78"/>
      <c r="AZ3866" s="78"/>
      <c r="BA3866" s="78"/>
      <c r="BB3866" s="78"/>
      <c r="BC3866" s="78"/>
      <c r="BD3866" s="78"/>
      <c r="BE3866" s="465"/>
      <c r="BF3866" s="165" t="str">
        <f t="shared" si="2905"/>
        <v>https://www.google.com/search?tbm=isch&amp;q=Sequoia%20sempervirens%20%27Inman%20Select%27%20Inman%20Select%20Coast%20Redwood</v>
      </c>
      <c r="BG3866" s="165" t="str">
        <f t="shared" si="2906"/>
        <v>S</v>
      </c>
      <c r="BH3866" s="65"/>
      <c r="BI3866" s="65"/>
      <c r="BJ3866" s="65"/>
      <c r="BK3866" s="65"/>
      <c r="BL3866" s="99"/>
      <c r="BM3866" s="99"/>
      <c r="BN3866" s="99"/>
    </row>
    <row r="3867" spans="1:66" s="51" customFormat="1" ht="27" x14ac:dyDescent="0.25">
      <c r="A3867" s="478">
        <v>15</v>
      </c>
      <c r="B3867" s="479" t="s">
        <v>291</v>
      </c>
      <c r="C3867" s="480" t="s">
        <v>1004</v>
      </c>
      <c r="D3867" s="481" t="s">
        <v>299</v>
      </c>
      <c r="E3867" s="482">
        <v>293.95</v>
      </c>
      <c r="F3867" s="483" t="s">
        <v>292</v>
      </c>
      <c r="G3867" s="484">
        <v>0</v>
      </c>
      <c r="H3867" s="688" t="str">
        <f>IF(G3867=0,"",IF(F3867="Buy",IF(G3867=1,"plant","plants"),IF(F3867&gt;0.01,"warranty","Error")))</f>
        <v/>
      </c>
      <c r="I3867" s="485">
        <f>IF(H3867="free",0,IF(H3867="credit",((E3867*(F3867))*G3867*-1),IF(F3867="Buy",(E3867*G3867),((E3867*(1-F3867))*G3867))))</f>
        <v>0</v>
      </c>
      <c r="J3867" s="485">
        <f>IF(H3867="warranty",0,(I3867*(_xlfn.SINGLE(SalesTaxPercentage))))</f>
        <v>0</v>
      </c>
      <c r="K3867" s="715">
        <f t="shared" ref="K3867" si="2908">I3867+J3867</f>
        <v>0</v>
      </c>
      <c r="L3867" s="715"/>
      <c r="M3867" s="689" t="str">
        <f ca="1">IF(AND(G3867&gt;0,E3867=0),"WARNING - no PRICE inserted",IF(H3867="free","FREE ~ no charge this plant",IF(H3867="credit",CONCATENATE("-$",ROUND(K3867*(1-_xlfn.SINGLE(T2GDiscount))*-1,2)," CREDIT after discount"),IF(_xlfn.SINGLE(T2GDiscount)=0,"",IF(G3867=0,"",IF(F3867="Buy",CONCATENATE("$",ROUND(K3867*(1-_xlfn.SINGLE(T2GDiscount)),2)," with ",(_xlfn.SINGLE(T2GDiscount)*100),"% discount"),CONCATENATE("$",ROUND(K3867*(1-_xlfn.SINGLE(T2GDiscount)),2)," with ",((_xlfn.SINGLE(T2GDiscount)*100+F3867*100)-(_xlfn.SINGLE(T2GDiscount)*100*F3867)),IF(F3867&gt;0,"% discounts",IF(_xlfn.SINGLE(NoWarrantyDiscount)&gt;0,"% discounts","% discount")))))))))</f>
        <v/>
      </c>
      <c r="N3867" s="690"/>
      <c r="O3867" s="486"/>
      <c r="P3867" s="486"/>
      <c r="Q3867" s="486"/>
      <c r="R3867" s="486"/>
      <c r="S3867" s="486"/>
      <c r="T3867" s="102">
        <f t="shared" si="2894"/>
        <v>0</v>
      </c>
      <c r="U3867" s="78">
        <f>IF(NOT(ISNUMBER(G3867)), "", VLOOKUP(A3867,'Discount Lookup'!D:E,2,FALSE)*G3867)</f>
        <v>0</v>
      </c>
      <c r="V3867" s="78">
        <f>IF(NOT(ISNUMBER(G3867)), "", VLOOKUP(A3867,'Discount Lookup'!G:H,2,FALSE)*G3867)</f>
        <v>0</v>
      </c>
      <c r="W3867" s="102">
        <f t="shared" si="2895"/>
        <v>0</v>
      </c>
      <c r="X3867" s="102">
        <f t="shared" si="2896"/>
        <v>0</v>
      </c>
      <c r="Y3867" s="120" t="b">
        <f t="shared" si="2897"/>
        <v>0</v>
      </c>
      <c r="Z3867" s="117">
        <f t="shared" si="2898"/>
        <v>0</v>
      </c>
      <c r="AA3867" s="118"/>
      <c r="AB3867" s="118" t="str">
        <f t="shared" si="2899"/>
        <v/>
      </c>
      <c r="AC3867" s="712" t="str">
        <f>IF(AE3867="T2G","no charge",IF(AND(OR(PlanterYesMe="No",PlanterYesMe="N",PlanterYesMe="me"),H3867=""),"",IF(H3867="credit","NO install",IF(AND(K3867="",AE3867="me"),"EACH row",IF(AND(K3867="images",AE3867="me"),"EACH row",IF(D3867="","",IF(H3867="credit","",IF(AE3867="free","re-planting",IF(AE3867="me","   not ELP, by",IF(AND(OR(PlanterYesMe="Yes",PlanterYesMe="Y"),G3867&gt;0),(VLOOKUP(A3867,'Discount Lookup'!J:K,2)*G3867*(1-PlanterDiscount)*(1+PlanterDifficultyPercentage)),IF(AE3867="ELP",(VLOOKUP(A3867,'Discount Lookup'!J:K,2)*G3867*(1-PlanterDiscount)*(1+PlanterDifficultyPercentage)),IF(AE3867="free","re-planting",IF(G3867=0,"",IF(PlanterYesMe="",IF(AE3867="me","   not ELP, by",IF(AE3867="",IF(G3867&gt;0,(VLOOKUP(A3867,'Discount Lookup'!J:K,2)*G3867*(1-PlanterDiscount)*(1+PlanterDifficultyPercentage)),""),"")),"   not ELP, by"))))))))))))))</f>
        <v/>
      </c>
      <c r="AD3867" s="712"/>
      <c r="AE3867" s="513" t="str">
        <f t="shared" si="2900"/>
        <v/>
      </c>
      <c r="AF3867" s="713" t="str">
        <f t="shared" si="2901"/>
        <v/>
      </c>
      <c r="AG3867" s="713"/>
      <c r="AH3867" s="713"/>
      <c r="AI3867" s="112">
        <f>IF(H3867="credit",0,IF(AE3867="free",0,IF(AE3867="me",0,IF(G3867&gt;0,(VLOOKUP(A3867,'Discount Lookup'!J:K,2)*G3867),0))))</f>
        <v>0</v>
      </c>
      <c r="AJ3867" s="107" t="str">
        <f t="shared" ca="1" si="2902"/>
        <v/>
      </c>
      <c r="AK3867" s="714" t="str">
        <f t="shared" si="2903"/>
        <v/>
      </c>
      <c r="AL3867" s="714"/>
      <c r="AM3867" s="114" t="str">
        <f t="shared" si="2904"/>
        <v/>
      </c>
      <c r="AN3867" s="115"/>
      <c r="AO3867" s="116"/>
      <c r="AP3867" s="116"/>
      <c r="AQ3867" s="116"/>
      <c r="AR3867" s="116"/>
      <c r="AS3867" s="116"/>
      <c r="AT3867" s="116"/>
      <c r="AU3867" s="116"/>
      <c r="AV3867" s="78"/>
      <c r="AW3867" s="102"/>
      <c r="AX3867" s="78"/>
      <c r="AY3867" s="78"/>
      <c r="AZ3867" s="78"/>
      <c r="BA3867" s="78"/>
      <c r="BB3867" s="78"/>
      <c r="BC3867" s="78"/>
      <c r="BD3867" s="78"/>
      <c r="BE3867" s="465"/>
      <c r="BF3867" s="165" t="str">
        <f t="shared" si="2905"/>
        <v>https://www.google.com/search?tbm=isch&amp;q=15%20G4</v>
      </c>
      <c r="BG3867" s="165" t="str">
        <f t="shared" si="2906"/>
        <v>S</v>
      </c>
      <c r="BH3867" s="65"/>
      <c r="BI3867" s="65"/>
      <c r="BJ3867" s="65"/>
      <c r="BK3867" s="65"/>
      <c r="BL3867" s="99"/>
      <c r="BM3867" s="99"/>
      <c r="BN3867" s="99"/>
    </row>
    <row r="3868" spans="1:66" s="51" customFormat="1" ht="27" x14ac:dyDescent="0.25">
      <c r="A3868" s="478">
        <v>25</v>
      </c>
      <c r="B3868" s="479" t="s">
        <v>291</v>
      </c>
      <c r="C3868" s="480" t="s">
        <v>1005</v>
      </c>
      <c r="D3868" s="481" t="s">
        <v>299</v>
      </c>
      <c r="E3868" s="482">
        <v>408.95</v>
      </c>
      <c r="F3868" s="483" t="s">
        <v>292</v>
      </c>
      <c r="G3868" s="484">
        <v>0</v>
      </c>
      <c r="H3868" s="688" t="str">
        <f>IF(G3868=0,"",IF(F3868="Buy",IF(G3868=1,"plant","plants"),IF(F3868&gt;0.01,"warranty","Error")))</f>
        <v/>
      </c>
      <c r="I3868" s="485">
        <f>IF(H3868="free",0,IF(H3868="credit",((E3868*(F3868))*G3868*-1),IF(F3868="Buy",(E3868*G3868),((E3868*(1-F3868))*G3868))))</f>
        <v>0</v>
      </c>
      <c r="J3868" s="485">
        <f>IF(H3868="warranty",0,(I3868*(_xlfn.SINGLE(SalesTaxPercentage))))</f>
        <v>0</v>
      </c>
      <c r="K3868" s="715">
        <f t="shared" ref="K3868" si="2909">I3868+J3868</f>
        <v>0</v>
      </c>
      <c r="L3868" s="715"/>
      <c r="M3868" s="689" t="str">
        <f ca="1">IF(AND(G3868&gt;0,E3868=0),"WARNING - no PRICE inserted",IF(H3868="free","FREE ~ no charge this plant",IF(H3868="credit",CONCATENATE("-$",ROUND(K3868*(1-_xlfn.SINGLE(T2GDiscount))*-1,2)," CREDIT after discount"),IF(_xlfn.SINGLE(T2GDiscount)=0,"",IF(G3868=0,"",IF(F3868="Buy",CONCATENATE("$",ROUND(K3868*(1-_xlfn.SINGLE(T2GDiscount)),2)," with ",(_xlfn.SINGLE(T2GDiscount)*100),"% discount"),CONCATENATE("$",ROUND(K3868*(1-_xlfn.SINGLE(T2GDiscount)),2)," with ",((_xlfn.SINGLE(T2GDiscount)*100+F3868*100)-(_xlfn.SINGLE(T2GDiscount)*100*F3868)),IF(F3868&gt;0,"% discounts",IF(_xlfn.SINGLE(NoWarrantyDiscount)&gt;0,"% discounts","% discount")))))))))</f>
        <v/>
      </c>
      <c r="N3868" s="690"/>
      <c r="O3868" s="486"/>
      <c r="P3868" s="486"/>
      <c r="Q3868" s="486"/>
      <c r="R3868" s="486"/>
      <c r="S3868" s="486"/>
      <c r="T3868" s="102">
        <f t="shared" si="2894"/>
        <v>0</v>
      </c>
      <c r="U3868" s="78">
        <f>IF(NOT(ISNUMBER(G3868)), "", VLOOKUP(A3868,'Discount Lookup'!D:E,2,FALSE)*G3868)</f>
        <v>0</v>
      </c>
      <c r="V3868" s="78">
        <f>IF(NOT(ISNUMBER(G3868)), "", VLOOKUP(A3868,'Discount Lookup'!G:H,2,FALSE)*G3868)</f>
        <v>0</v>
      </c>
      <c r="W3868" s="102">
        <f t="shared" si="2895"/>
        <v>0</v>
      </c>
      <c r="X3868" s="102">
        <f t="shared" si="2896"/>
        <v>0</v>
      </c>
      <c r="Y3868" s="120" t="b">
        <f t="shared" si="2897"/>
        <v>0</v>
      </c>
      <c r="Z3868" s="117">
        <f t="shared" si="2898"/>
        <v>0</v>
      </c>
      <c r="AA3868" s="118"/>
      <c r="AB3868" s="118" t="str">
        <f t="shared" si="2899"/>
        <v/>
      </c>
      <c r="AC3868" s="712" t="str">
        <f>IF(AE3868="T2G","no charge",IF(AND(OR(PlanterYesMe="No",PlanterYesMe="N",PlanterYesMe="me"),H3868=""),"",IF(H3868="credit","NO install",IF(AND(K3868="",AE3868="me"),"EACH row",IF(AND(K3868="images",AE3868="me"),"EACH row",IF(D3868="","",IF(H3868="credit","",IF(AE3868="free","re-planting",IF(AE3868="me","   not ELP, by",IF(AND(OR(PlanterYesMe="Yes",PlanterYesMe="Y"),G3868&gt;0),(VLOOKUP(A3868,'Discount Lookup'!J:K,2)*G3868*(1-PlanterDiscount)*(1+PlanterDifficultyPercentage)),IF(AE3868="ELP",(VLOOKUP(A3868,'Discount Lookup'!J:K,2)*G3868*(1-PlanterDiscount)*(1+PlanterDifficultyPercentage)),IF(AE3868="free","re-planting",IF(G3868=0,"",IF(PlanterYesMe="",IF(AE3868="me","   not ELP, by",IF(AE3868="",IF(G3868&gt;0,(VLOOKUP(A3868,'Discount Lookup'!J:K,2)*G3868*(1-PlanterDiscount)*(1+PlanterDifficultyPercentage)),""),"")),"   not ELP, by"))))))))))))))</f>
        <v/>
      </c>
      <c r="AD3868" s="712"/>
      <c r="AE3868" s="513" t="str">
        <f t="shared" si="2900"/>
        <v/>
      </c>
      <c r="AF3868" s="713" t="str">
        <f t="shared" si="2901"/>
        <v/>
      </c>
      <c r="AG3868" s="713"/>
      <c r="AH3868" s="713"/>
      <c r="AI3868" s="112">
        <f>IF(H3868="credit",0,IF(AE3868="free",0,IF(AE3868="me",0,IF(G3868&gt;0,(VLOOKUP(A3868,'Discount Lookup'!J:K,2)*G3868),0))))</f>
        <v>0</v>
      </c>
      <c r="AJ3868" s="107" t="str">
        <f t="shared" ca="1" si="2902"/>
        <v/>
      </c>
      <c r="AK3868" s="714" t="str">
        <f t="shared" si="2903"/>
        <v/>
      </c>
      <c r="AL3868" s="714"/>
      <c r="AM3868" s="114" t="str">
        <f t="shared" si="2904"/>
        <v/>
      </c>
      <c r="AN3868" s="115"/>
      <c r="AO3868" s="116"/>
      <c r="AP3868" s="116"/>
      <c r="AQ3868" s="116"/>
      <c r="AR3868" s="116"/>
      <c r="AS3868" s="116"/>
      <c r="AT3868" s="116"/>
      <c r="AU3868" s="116"/>
      <c r="AV3868" s="78"/>
      <c r="AW3868" s="102"/>
      <c r="AX3868" s="78"/>
      <c r="AY3868" s="78"/>
      <c r="AZ3868" s="78"/>
      <c r="BA3868" s="78"/>
      <c r="BB3868" s="78"/>
      <c r="BC3868" s="78"/>
      <c r="BD3868" s="78"/>
      <c r="BE3868" s="465"/>
      <c r="BF3868" s="165" t="str">
        <f t="shared" si="2905"/>
        <v>https://www.google.com/search?tbm=isch&amp;q=25%20G4</v>
      </c>
      <c r="BG3868" s="165" t="str">
        <f t="shared" si="2906"/>
        <v>S</v>
      </c>
      <c r="BH3868" s="65"/>
      <c r="BI3868" s="65"/>
      <c r="BJ3868" s="65"/>
      <c r="BK3868" s="65"/>
      <c r="BL3868" s="99"/>
      <c r="BM3868" s="99"/>
      <c r="BN3868" s="99"/>
    </row>
    <row r="3869" spans="1:66" s="51" customFormat="1" ht="16.5" x14ac:dyDescent="0.25">
      <c r="A3869" s="705" t="s">
        <v>5530</v>
      </c>
      <c r="B3869" s="487"/>
      <c r="C3869" s="707"/>
      <c r="D3869" s="487"/>
      <c r="E3869" s="487"/>
      <c r="F3869" s="488"/>
      <c r="G3869" s="489"/>
      <c r="H3869" s="487"/>
      <c r="I3869" s="490"/>
      <c r="J3869" s="490"/>
      <c r="K3869" s="491"/>
      <c r="L3869" s="547"/>
      <c r="M3869" s="528"/>
      <c r="N3869" s="492"/>
      <c r="O3869" s="493"/>
      <c r="P3869" s="494"/>
      <c r="Q3869" s="492"/>
      <c r="R3869" s="492"/>
      <c r="S3869" s="699" t="s">
        <v>5268</v>
      </c>
      <c r="T3869" s="102">
        <f t="shared" si="2894"/>
        <v>0</v>
      </c>
      <c r="U3869" s="78" t="str">
        <f>IF(NOT(ISNUMBER(G3869)), "", VLOOKUP(A3869,'Discount Lookup'!D:E,2,FALSE)*G3869)</f>
        <v/>
      </c>
      <c r="V3869" s="78" t="str">
        <f>IF(NOT(ISNUMBER(G3869)), "", VLOOKUP(A3869,'Discount Lookup'!G:H,2,FALSE)*G3869)</f>
        <v/>
      </c>
      <c r="W3869" s="102">
        <f t="shared" si="2895"/>
        <v>0</v>
      </c>
      <c r="X3869" s="102">
        <f t="shared" si="2896"/>
        <v>0</v>
      </c>
      <c r="Y3869" s="120" t="b">
        <f t="shared" si="2897"/>
        <v>0</v>
      </c>
      <c r="Z3869" s="117">
        <f t="shared" si="2898"/>
        <v>0</v>
      </c>
      <c r="AA3869" s="118"/>
      <c r="AB3869" s="118" t="str">
        <f t="shared" si="2899"/>
        <v/>
      </c>
      <c r="AC3869" s="712" t="str">
        <f>IF(AE3869="T2G","no charge",IF(AND(OR(PlanterYesMe="No",PlanterYesMe="N",PlanterYesMe="me"),H3869=""),"",IF(H3869="credit","NO install",IF(AND(K3869="",AE3869="me"),"EACH row",IF(AND(K3869="images",AE3869="me"),"EACH row",IF(D3869="","",IF(H3869="credit","",IF(AE3869="free","re-planting",IF(AE3869="me","   not ELP, by",IF(AND(OR(PlanterYesMe="Yes",PlanterYesMe="Y"),G3869&gt;0),(VLOOKUP(A3869,'Discount Lookup'!J:K,2)*G3869*(1-PlanterDiscount)*(1+PlanterDifficultyPercentage)),IF(AE3869="ELP",(VLOOKUP(A3869,'Discount Lookup'!J:K,2)*G3869*(1-PlanterDiscount)*(1+PlanterDifficultyPercentage)),IF(AE3869="free","re-planting",IF(G3869=0,"",IF(PlanterYesMe="",IF(AE3869="me","   not ELP, by",IF(AE3869="",IF(G3869&gt;0,(VLOOKUP(A3869,'Discount Lookup'!J:K,2)*G3869*(1-PlanterDiscount)*(1+PlanterDifficultyPercentage)),""),"")),"   not ELP, by"))))))))))))))</f>
        <v/>
      </c>
      <c r="AD3869" s="712"/>
      <c r="AE3869" s="513" t="str">
        <f t="shared" si="2900"/>
        <v/>
      </c>
      <c r="AF3869" s="713" t="str">
        <f t="shared" si="2901"/>
        <v/>
      </c>
      <c r="AG3869" s="713"/>
      <c r="AH3869" s="713"/>
      <c r="AI3869" s="112">
        <f>IF(H3869="credit",0,IF(AE3869="free",0,IF(AE3869="me",0,IF(G3869&gt;0,(VLOOKUP(A3869,'Discount Lookup'!J:K,2)*G3869),0))))</f>
        <v>0</v>
      </c>
      <c r="AJ3869" s="107" t="str">
        <f t="shared" ca="1" si="2902"/>
        <v/>
      </c>
      <c r="AK3869" s="714" t="str">
        <f t="shared" si="2903"/>
        <v/>
      </c>
      <c r="AL3869" s="714"/>
      <c r="AM3869" s="114" t="str">
        <f t="shared" si="2904"/>
        <v/>
      </c>
      <c r="AN3869" s="115"/>
      <c r="AO3869" s="116"/>
      <c r="AP3869" s="116"/>
      <c r="AQ3869" s="116"/>
      <c r="AR3869" s="116"/>
      <c r="AS3869" s="116"/>
      <c r="AT3869" s="116"/>
      <c r="AU3869" s="116"/>
      <c r="AV3869" s="78"/>
      <c r="AW3869" s="102"/>
      <c r="AX3869" s="78"/>
      <c r="AY3869" s="78"/>
      <c r="AZ3869" s="78"/>
      <c r="BA3869" s="78"/>
      <c r="BB3869" s="78"/>
      <c r="BC3869" s="78"/>
      <c r="BD3869" s="78"/>
      <c r="BE3869" s="465"/>
      <c r="BF3869" s="165" t="str">
        <f t="shared" si="2905"/>
        <v>https://www.google.com/search?tbm=isch&amp;q=moist%20sites%F0%9F%92%A7GOOD%2C%20Inman%20Select%20better%20than%20other%20Redwood%20in%20the%20Southeast%2C%20as%20it%20tolerates%20cold%20and%20high%20humidity%20</v>
      </c>
      <c r="BG3869" s="165" t="str">
        <f t="shared" si="2906"/>
        <v>m</v>
      </c>
      <c r="BH3869" s="65"/>
      <c r="BI3869" s="65"/>
      <c r="BJ3869" s="65"/>
      <c r="BK3869" s="65"/>
      <c r="BL3869" s="99"/>
      <c r="BM3869" s="99"/>
      <c r="BN3869" s="99"/>
    </row>
    <row r="3870" spans="1:66" s="51" customFormat="1" ht="19.5" thickBot="1" x14ac:dyDescent="0.3">
      <c r="A3870" s="686" t="s">
        <v>738</v>
      </c>
      <c r="B3870" s="73"/>
      <c r="C3870" s="708"/>
      <c r="D3870" s="73"/>
      <c r="E3870" s="73"/>
      <c r="F3870" s="496"/>
      <c r="G3870" s="73"/>
      <c r="H3870" s="73"/>
      <c r="I3870" s="73"/>
      <c r="J3870" s="497" t="s">
        <v>357</v>
      </c>
      <c r="K3870" s="498"/>
      <c r="L3870" s="562"/>
      <c r="M3870" s="73"/>
      <c r="N3870"/>
      <c r="O3870"/>
      <c r="P3870"/>
      <c r="Q3870"/>
      <c r="R3870"/>
      <c r="S3870"/>
      <c r="T3870" s="102">
        <f t="shared" si="2894"/>
        <v>0</v>
      </c>
      <c r="U3870" s="78" t="str">
        <f>IF(NOT(ISNUMBER(G3870)), "", VLOOKUP(A3870,'Discount Lookup'!D:E,2,FALSE)*G3870)</f>
        <v/>
      </c>
      <c r="V3870" s="78" t="str">
        <f>IF(NOT(ISNUMBER(G3870)), "", VLOOKUP(A3870,'Discount Lookup'!G:H,2,FALSE)*G3870)</f>
        <v/>
      </c>
      <c r="W3870" s="102">
        <f t="shared" si="2895"/>
        <v>0</v>
      </c>
      <c r="X3870" s="102">
        <f t="shared" si="2896"/>
        <v>0</v>
      </c>
      <c r="Y3870" s="120" t="b">
        <f t="shared" si="2897"/>
        <v>0</v>
      </c>
      <c r="Z3870" s="117">
        <f t="shared" si="2898"/>
        <v>0</v>
      </c>
      <c r="AA3870" s="118"/>
      <c r="AB3870" s="118" t="str">
        <f t="shared" si="2899"/>
        <v/>
      </c>
      <c r="AC3870" s="712" t="str">
        <f>IF(AE3870="T2G","no charge",IF(AND(OR(PlanterYesMe="No",PlanterYesMe="N",PlanterYesMe="me"),H3870=""),"",IF(H3870="credit","NO install",IF(AND(K3870="",AE3870="me"),"EACH row",IF(AND(K3870="images",AE3870="me"),"EACH row",IF(D3870="","",IF(H3870="credit","",IF(AE3870="free","re-planting",IF(AE3870="me","   not ELP, by",IF(AND(OR(PlanterYesMe="Yes",PlanterYesMe="Y"),G3870&gt;0),(VLOOKUP(A3870,'Discount Lookup'!J:K,2)*G3870*(1-PlanterDiscount)*(1+PlanterDifficultyPercentage)),IF(AE3870="ELP",(VLOOKUP(A3870,'Discount Lookup'!J:K,2)*G3870*(1-PlanterDiscount)*(1+PlanterDifficultyPercentage)),IF(AE3870="free","re-planting",IF(G3870=0,"",IF(PlanterYesMe="",IF(AE3870="me","   not ELP, by",IF(AE3870="",IF(G3870&gt;0,(VLOOKUP(A3870,'Discount Lookup'!J:K,2)*G3870*(1-PlanterDiscount)*(1+PlanterDifficultyPercentage)),""),"")),"   not ELP, by"))))))))))))))</f>
        <v/>
      </c>
      <c r="AD3870" s="712"/>
      <c r="AE3870" s="513" t="str">
        <f t="shared" si="2900"/>
        <v/>
      </c>
      <c r="AF3870" s="713" t="str">
        <f t="shared" si="2901"/>
        <v/>
      </c>
      <c r="AG3870" s="713"/>
      <c r="AH3870" s="713"/>
      <c r="AI3870" s="112">
        <f>IF(H3870="credit",0,IF(AE3870="free",0,IF(AE3870="me",0,IF(G3870&gt;0,(VLOOKUP(A3870,'Discount Lookup'!J:K,2)*G3870),0))))</f>
        <v>0</v>
      </c>
      <c r="AJ3870" s="107" t="str">
        <f t="shared" ca="1" si="2902"/>
        <v/>
      </c>
      <c r="AK3870" s="714" t="str">
        <f t="shared" si="2903"/>
        <v/>
      </c>
      <c r="AL3870" s="714"/>
      <c r="AM3870" s="114" t="str">
        <f t="shared" si="2904"/>
        <v/>
      </c>
      <c r="AN3870" s="115"/>
      <c r="AO3870" s="116"/>
      <c r="AP3870" s="116"/>
      <c r="AQ3870" s="116"/>
      <c r="AR3870" s="116"/>
      <c r="AS3870" s="116"/>
      <c r="AT3870" s="116"/>
      <c r="AU3870" s="116"/>
      <c r="AV3870" s="78"/>
      <c r="AW3870" s="102"/>
      <c r="AX3870" s="78"/>
      <c r="AY3870" s="78"/>
      <c r="AZ3870" s="78"/>
      <c r="BA3870" s="78"/>
      <c r="BB3870" s="78"/>
      <c r="BC3870" s="78"/>
      <c r="BD3870" s="78"/>
      <c r="BE3870" s="465"/>
      <c r="BF3870" s="165" t="str">
        <f t="shared" si="2905"/>
        <v>https://www.google.com/search?tbm=isch&amp;q=Sorbaria%20%3D%20False%20Spirea%20</v>
      </c>
      <c r="BG3870" s="165" t="str">
        <f t="shared" si="2906"/>
        <v>S</v>
      </c>
      <c r="BH3870" s="65"/>
      <c r="BI3870" s="65"/>
      <c r="BJ3870" s="65"/>
      <c r="BK3870" s="65"/>
      <c r="BL3870" s="99"/>
      <c r="BM3870" s="99"/>
      <c r="BN3870" s="99"/>
    </row>
    <row r="3871" spans="1:66" s="51" customFormat="1" ht="18" x14ac:dyDescent="0.25">
      <c r="A3871" s="623" t="s">
        <v>4230</v>
      </c>
      <c r="B3871" s="624"/>
      <c r="C3871" s="709"/>
      <c r="D3871" s="625" t="s">
        <v>5821</v>
      </c>
      <c r="E3871" s="626"/>
      <c r="F3871" s="626"/>
      <c r="G3871" s="626"/>
      <c r="H3871" s="622" t="s">
        <v>1082</v>
      </c>
      <c r="I3871" s="627" t="s">
        <v>349</v>
      </c>
      <c r="J3871" s="628"/>
      <c r="K3871" s="628"/>
      <c r="L3871" s="629"/>
      <c r="M3871" s="700" t="s">
        <v>5249</v>
      </c>
      <c r="N3871" s="693" t="str">
        <f>IF(AND(ISTEXT($A3871), ISERROR($A3871+0)), HYPERLINK($BF3871, "Images"), "")</f>
        <v>Images</v>
      </c>
      <c r="O3871" s="695" t="s">
        <v>5264</v>
      </c>
      <c r="P3871" s="630"/>
      <c r="Q3871" s="631"/>
      <c r="R3871" s="632"/>
      <c r="S3871" s="633"/>
      <c r="T3871" s="102">
        <f t="shared" si="2894"/>
        <v>0</v>
      </c>
      <c r="U3871" s="78" t="str">
        <f>IF(NOT(ISNUMBER(G3871)), "", VLOOKUP(A3871,'Discount Lookup'!D:E,2,FALSE)*G3871)</f>
        <v/>
      </c>
      <c r="V3871" s="78" t="str">
        <f>IF(NOT(ISNUMBER(G3871)), "", VLOOKUP(A3871,'Discount Lookup'!G:H,2,FALSE)*G3871)</f>
        <v/>
      </c>
      <c r="W3871" s="102">
        <f t="shared" si="2895"/>
        <v>0</v>
      </c>
      <c r="X3871" s="102" t="str">
        <f t="shared" si="2896"/>
        <v>White bloom</v>
      </c>
      <c r="Y3871" s="120" t="b">
        <f t="shared" si="2897"/>
        <v>0</v>
      </c>
      <c r="Z3871" s="117">
        <f t="shared" si="2898"/>
        <v>0</v>
      </c>
      <c r="AA3871" s="118"/>
      <c r="AB3871" s="118" t="str">
        <f t="shared" si="2899"/>
        <v/>
      </c>
      <c r="AC3871" s="712" t="str">
        <f>IF(AE3871="T2G","no charge",IF(AND(OR(PlanterYesMe="No",PlanterYesMe="N",PlanterYesMe="me"),H3871=""),"",IF(H3871="credit","NO install",IF(AND(K3871="",AE3871="me"),"EACH row",IF(AND(K3871="images",AE3871="me"),"EACH row",IF(D3871="","",IF(H3871="credit","",IF(AE3871="free","re-planting",IF(AE3871="me","   not ELP, by",IF(AND(OR(PlanterYesMe="Yes",PlanterYesMe="Y"),G3871&gt;0),(VLOOKUP(A3871,'Discount Lookup'!J:K,2)*G3871*(1-PlanterDiscount)*(1+PlanterDifficultyPercentage)),IF(AE3871="ELP",(VLOOKUP(A3871,'Discount Lookup'!J:K,2)*G3871*(1-PlanterDiscount)*(1+PlanterDifficultyPercentage)),IF(AE3871="free","re-planting",IF(G3871=0,"",IF(PlanterYesMe="",IF(AE3871="me","   not ELP, by",IF(AE3871="",IF(G3871&gt;0,(VLOOKUP(A3871,'Discount Lookup'!J:K,2)*G3871*(1-PlanterDiscount)*(1+PlanterDifficultyPercentage)),""),"")),"   not ELP, by"))))))))))))))</f>
        <v/>
      </c>
      <c r="AD3871" s="712"/>
      <c r="AE3871" s="513" t="str">
        <f t="shared" si="2900"/>
        <v/>
      </c>
      <c r="AF3871" s="713" t="str">
        <f t="shared" si="2901"/>
        <v/>
      </c>
      <c r="AG3871" s="713"/>
      <c r="AH3871" s="713"/>
      <c r="AI3871" s="112">
        <f>IF(H3871="credit",0,IF(AE3871="free",0,IF(AE3871="me",0,IF(G3871&gt;0,(VLOOKUP(A3871,'Discount Lookup'!J:K,2)*G3871),0))))</f>
        <v>0</v>
      </c>
      <c r="AJ3871" s="107" t="str">
        <f t="shared" ca="1" si="2902"/>
        <v/>
      </c>
      <c r="AK3871" s="714" t="str">
        <f t="shared" si="2903"/>
        <v/>
      </c>
      <c r="AL3871" s="714"/>
      <c r="AM3871" s="114" t="str">
        <f t="shared" si="2904"/>
        <v/>
      </c>
      <c r="AN3871" s="115"/>
      <c r="AO3871" s="116"/>
      <c r="AP3871" s="116"/>
      <c r="AQ3871" s="116"/>
      <c r="AR3871" s="116"/>
      <c r="AS3871" s="116"/>
      <c r="AT3871" s="116"/>
      <c r="AU3871" s="116"/>
      <c r="AV3871" s="78"/>
      <c r="AW3871" s="102"/>
      <c r="AX3871" s="78"/>
      <c r="AY3871" s="78"/>
      <c r="AZ3871" s="78"/>
      <c r="BA3871" s="78"/>
      <c r="BB3871" s="78"/>
      <c r="BC3871" s="78"/>
      <c r="BD3871" s="78"/>
      <c r="BE3871" s="465"/>
      <c r="BF3871" s="165" t="str">
        <f t="shared" si="2905"/>
        <v>https://www.google.com/search?tbm=isch&amp;q=Sorbaria%20sorbifolia%20%27Bococot%27%20PP%2333639%20Cherry%20on%20Top%E2%84%A2%20Sorbaria</v>
      </c>
      <c r="BG3871" s="165" t="str">
        <f t="shared" si="2906"/>
        <v>S</v>
      </c>
      <c r="BH3871" s="65"/>
      <c r="BI3871" s="65"/>
      <c r="BJ3871" s="65"/>
      <c r="BK3871" s="65"/>
      <c r="BL3871" s="99"/>
      <c r="BM3871" s="99"/>
      <c r="BN3871" s="99"/>
    </row>
    <row r="3872" spans="1:66" s="51" customFormat="1" ht="15.75" x14ac:dyDescent="0.25">
      <c r="A3872" s="634">
        <v>1</v>
      </c>
      <c r="B3872" s="635" t="s">
        <v>291</v>
      </c>
      <c r="C3872" s="636"/>
      <c r="D3872" s="637" t="s">
        <v>329</v>
      </c>
      <c r="E3872" s="638">
        <v>30.95</v>
      </c>
      <c r="F3872" s="639" t="s">
        <v>292</v>
      </c>
      <c r="G3872" s="484">
        <v>0</v>
      </c>
      <c r="H3872" s="691" t="str">
        <f>IF(G3872=0,"",IF(F3872="Buy",IF(G3872=1,"plant","plants"),IF(F3872&gt;0.01,"warranty","Error")))</f>
        <v/>
      </c>
      <c r="I3872" s="640">
        <f>IF(H3872="free",0,IF(H3872="credit",((E3872*(F3872))*G3872*-1),IF(F3872="Buy",(E3872*G3872),((E3872*(1-F3872))*G3872))))</f>
        <v>0</v>
      </c>
      <c r="J3872" s="640">
        <f>IF(H3872="warranty",0,(I3872*(_xlfn.SINGLE(SalesTaxPercentage))))</f>
        <v>0</v>
      </c>
      <c r="K3872" s="716">
        <f t="shared" ref="K3872" si="2910">I3872+J3872</f>
        <v>0</v>
      </c>
      <c r="L3872" s="716"/>
      <c r="M3872" s="689" t="str">
        <f ca="1">IF(AND(G3872&gt;0,E3872=0),"WARNING - no PRICE inserted",IF(H3872="free","FREE ~ no charge this plant",IF(H3872="credit",CONCATENATE("-$",ROUND(K3872*(1-_xlfn.SINGLE(T2GDiscount))*-1,2)," CREDIT after discount"),IF(_xlfn.SINGLE(T2GDiscount)=0,"",IF(G3872=0,"",IF(F3872="Buy",CONCATENATE("$",ROUND(K3872*(1-_xlfn.SINGLE(T2GDiscount)),2)," with ",(_xlfn.SINGLE(T2GDiscount)*100),"% discount"),CONCATENATE("$",ROUND(K3872*(1-_xlfn.SINGLE(T2GDiscount)),2)," with ",((_xlfn.SINGLE(T2GDiscount)*100+F3872*100)-(_xlfn.SINGLE(T2GDiscount)*100*F3872)),IF(F3872&gt;0,"% discounts",IF(_xlfn.SINGLE(NoWarrantyDiscount)&gt;0,"% discounts","% discount")))))))))</f>
        <v/>
      </c>
      <c r="N3872" s="690"/>
      <c r="O3872" s="486"/>
      <c r="P3872" s="486"/>
      <c r="Q3872" s="486"/>
      <c r="R3872" s="486"/>
      <c r="S3872" s="486"/>
      <c r="T3872" s="102">
        <f t="shared" si="2894"/>
        <v>0</v>
      </c>
      <c r="U3872" s="78">
        <f>IF(NOT(ISNUMBER(G3872)), "", VLOOKUP(A3872,'Discount Lookup'!D:E,2,FALSE)*G3872)</f>
        <v>0</v>
      </c>
      <c r="V3872" s="78">
        <f>IF(NOT(ISNUMBER(G3872)), "", VLOOKUP(A3872,'Discount Lookup'!G:H,2,FALSE)*G3872)</f>
        <v>0</v>
      </c>
      <c r="W3872" s="102">
        <f t="shared" si="2895"/>
        <v>0</v>
      </c>
      <c r="X3872" s="102">
        <f t="shared" si="2896"/>
        <v>0</v>
      </c>
      <c r="Y3872" s="120" t="b">
        <f t="shared" si="2897"/>
        <v>0</v>
      </c>
      <c r="Z3872" s="117">
        <f t="shared" si="2898"/>
        <v>0</v>
      </c>
      <c r="AA3872" s="118"/>
      <c r="AB3872" s="118" t="str">
        <f t="shared" si="2899"/>
        <v/>
      </c>
      <c r="AC3872" s="712" t="str">
        <f>IF(AE3872="T2G","no charge",IF(AND(OR(PlanterYesMe="No",PlanterYesMe="N",PlanterYesMe="me"),H3872=""),"",IF(H3872="credit","NO install",IF(AND(K3872="",AE3872="me"),"EACH row",IF(AND(K3872="images",AE3872="me"),"EACH row",IF(D3872="","",IF(H3872="credit","",IF(AE3872="free","re-planting",IF(AE3872="me","   not ELP, by",IF(AND(OR(PlanterYesMe="Yes",PlanterYesMe="Y"),G3872&gt;0),(VLOOKUP(A3872,'Discount Lookup'!J:K,2)*G3872*(1-PlanterDiscount)*(1+PlanterDifficultyPercentage)),IF(AE3872="ELP",(VLOOKUP(A3872,'Discount Lookup'!J:K,2)*G3872*(1-PlanterDiscount)*(1+PlanterDifficultyPercentage)),IF(AE3872="free","re-planting",IF(G3872=0,"",IF(PlanterYesMe="",IF(AE3872="me","   not ELP, by",IF(AE3872="",IF(G3872&gt;0,(VLOOKUP(A3872,'Discount Lookup'!J:K,2)*G3872*(1-PlanterDiscount)*(1+PlanterDifficultyPercentage)),""),"")),"   not ELP, by"))))))))))))))</f>
        <v/>
      </c>
      <c r="AD3872" s="712"/>
      <c r="AE3872" s="513" t="str">
        <f t="shared" si="2900"/>
        <v/>
      </c>
      <c r="AF3872" s="713" t="str">
        <f t="shared" si="2901"/>
        <v/>
      </c>
      <c r="AG3872" s="713"/>
      <c r="AH3872" s="713"/>
      <c r="AI3872" s="112">
        <f>IF(H3872="credit",0,IF(AE3872="free",0,IF(AE3872="me",0,IF(G3872&gt;0,(VLOOKUP(A3872,'Discount Lookup'!J:K,2)*G3872),0))))</f>
        <v>0</v>
      </c>
      <c r="AJ3872" s="107" t="str">
        <f t="shared" ca="1" si="2902"/>
        <v/>
      </c>
      <c r="AK3872" s="714" t="str">
        <f t="shared" si="2903"/>
        <v/>
      </c>
      <c r="AL3872" s="714"/>
      <c r="AM3872" s="114" t="str">
        <f t="shared" si="2904"/>
        <v/>
      </c>
      <c r="AN3872" s="115"/>
      <c r="AO3872" s="116"/>
      <c r="AP3872" s="116"/>
      <c r="AQ3872" s="116"/>
      <c r="AR3872" s="116"/>
      <c r="AS3872" s="116"/>
      <c r="AT3872" s="116"/>
      <c r="AU3872" s="116"/>
      <c r="AV3872" s="78"/>
      <c r="AW3872" s="102"/>
      <c r="AX3872" s="78"/>
      <c r="AY3872" s="78"/>
      <c r="AZ3872" s="78"/>
      <c r="BA3872" s="78"/>
      <c r="BB3872" s="78"/>
      <c r="BC3872" s="78"/>
      <c r="BD3872" s="78"/>
      <c r="BE3872" s="465"/>
      <c r="BF3872" s="165" t="str">
        <f t="shared" si="2905"/>
        <v>https://www.google.com/search?tbm=isch&amp;q=1%20G2</v>
      </c>
      <c r="BG3872" s="165" t="str">
        <f t="shared" si="2906"/>
        <v>S</v>
      </c>
      <c r="BH3872" s="65"/>
      <c r="BI3872" s="65"/>
      <c r="BJ3872" s="65"/>
      <c r="BK3872" s="65"/>
      <c r="BL3872" s="99"/>
      <c r="BM3872" s="99"/>
      <c r="BN3872" s="99"/>
    </row>
    <row r="3873" spans="1:66" s="51" customFormat="1" ht="16.5" x14ac:dyDescent="0.25">
      <c r="A3873" s="704" t="s">
        <v>5531</v>
      </c>
      <c r="B3873" s="642"/>
      <c r="C3873" s="710"/>
      <c r="D3873" s="643"/>
      <c r="E3873" s="643"/>
      <c r="F3873" s="644"/>
      <c r="G3873" s="645"/>
      <c r="H3873" s="646"/>
      <c r="I3873" s="647"/>
      <c r="J3873" s="648"/>
      <c r="K3873" s="649"/>
      <c r="L3873" s="650"/>
      <c r="M3873" s="650"/>
      <c r="N3873" s="644"/>
      <c r="O3873" s="644"/>
      <c r="P3873" s="644"/>
      <c r="Q3873" s="644"/>
      <c r="R3873" s="644"/>
      <c r="S3873" s="701" t="s">
        <v>5251</v>
      </c>
      <c r="T3873" s="102">
        <f t="shared" si="2894"/>
        <v>0</v>
      </c>
      <c r="U3873" s="78" t="str">
        <f>IF(NOT(ISNUMBER(G3873)), "", VLOOKUP(A3873,'Discount Lookup'!D:E,2,FALSE)*G3873)</f>
        <v/>
      </c>
      <c r="V3873" s="78" t="str">
        <f>IF(NOT(ISNUMBER(G3873)), "", VLOOKUP(A3873,'Discount Lookup'!G:H,2,FALSE)*G3873)</f>
        <v/>
      </c>
      <c r="W3873" s="102">
        <f t="shared" si="2895"/>
        <v>0</v>
      </c>
      <c r="X3873" s="102">
        <f t="shared" si="2896"/>
        <v>0</v>
      </c>
      <c r="Y3873" s="120" t="b">
        <f t="shared" si="2897"/>
        <v>0</v>
      </c>
      <c r="Z3873" s="117">
        <f t="shared" si="2898"/>
        <v>0</v>
      </c>
      <c r="AA3873" s="118"/>
      <c r="AB3873" s="118" t="str">
        <f t="shared" si="2899"/>
        <v/>
      </c>
      <c r="AC3873" s="712" t="str">
        <f>IF(AE3873="T2G","no charge",IF(AND(OR(PlanterYesMe="No",PlanterYesMe="N",PlanterYesMe="me"),H3873=""),"",IF(H3873="credit","NO install",IF(AND(K3873="",AE3873="me"),"EACH row",IF(AND(K3873="images",AE3873="me"),"EACH row",IF(D3873="","",IF(H3873="credit","",IF(AE3873="free","re-planting",IF(AE3873="me","   not ELP, by",IF(AND(OR(PlanterYesMe="Yes",PlanterYesMe="Y"),G3873&gt;0),(VLOOKUP(A3873,'Discount Lookup'!J:K,2)*G3873*(1-PlanterDiscount)*(1+PlanterDifficultyPercentage)),IF(AE3873="ELP",(VLOOKUP(A3873,'Discount Lookup'!J:K,2)*G3873*(1-PlanterDiscount)*(1+PlanterDifficultyPercentage)),IF(AE3873="free","re-planting",IF(G3873=0,"",IF(PlanterYesMe="",IF(AE3873="me","   not ELP, by",IF(AE3873="",IF(G3873&gt;0,(VLOOKUP(A3873,'Discount Lookup'!J:K,2)*G3873*(1-PlanterDiscount)*(1+PlanterDifficultyPercentage)),""),"")),"   not ELP, by"))))))))))))))</f>
        <v/>
      </c>
      <c r="AD3873" s="712"/>
      <c r="AE3873" s="513" t="str">
        <f t="shared" si="2900"/>
        <v/>
      </c>
      <c r="AF3873" s="713" t="str">
        <f t="shared" si="2901"/>
        <v/>
      </c>
      <c r="AG3873" s="713"/>
      <c r="AH3873" s="713"/>
      <c r="AI3873" s="112">
        <f>IF(H3873="credit",0,IF(AE3873="free",0,IF(AE3873="me",0,IF(G3873&gt;0,(VLOOKUP(A3873,'Discount Lookup'!J:K,2)*G3873),0))))</f>
        <v>0</v>
      </c>
      <c r="AJ3873" s="107" t="str">
        <f t="shared" ca="1" si="2902"/>
        <v/>
      </c>
      <c r="AK3873" s="714" t="str">
        <f t="shared" si="2903"/>
        <v/>
      </c>
      <c r="AL3873" s="714"/>
      <c r="AM3873" s="114" t="str">
        <f t="shared" si="2904"/>
        <v/>
      </c>
      <c r="AN3873" s="115"/>
      <c r="AO3873" s="116"/>
      <c r="AP3873" s="116"/>
      <c r="AQ3873" s="116"/>
      <c r="AR3873" s="116"/>
      <c r="AS3873" s="116"/>
      <c r="AT3873" s="116"/>
      <c r="AU3873" s="116"/>
      <c r="AV3873" s="78"/>
      <c r="AW3873" s="102"/>
      <c r="AX3873" s="78"/>
      <c r="AY3873" s="78"/>
      <c r="AZ3873" s="78"/>
      <c r="BA3873" s="78"/>
      <c r="BB3873" s="78"/>
      <c r="BC3873" s="78"/>
      <c r="BD3873" s="78"/>
      <c r="BE3873" s="465"/>
      <c r="BF3873" s="165" t="str">
        <f t="shared" si="2905"/>
        <v>https://www.google.com/search?tbm=isch&amp;q=moist%20sites%F0%9F%92%A7OK%2C%20Cherry%20on%20Top%20is%20a%20vigorous%2C%20fern-leaved%20shrub%20with%20frothy%20summer%20blooms%2C%20followed%20by%20long-lasting%20Bright%20Cherry-Red%20seed%20bracts%20</v>
      </c>
      <c r="BG3873" s="165" t="str">
        <f t="shared" si="2906"/>
        <v>m</v>
      </c>
      <c r="BH3873" s="65"/>
      <c r="BI3873" s="65"/>
      <c r="BJ3873" s="65"/>
      <c r="BK3873" s="65"/>
      <c r="BL3873" s="99"/>
      <c r="BM3873" s="99"/>
      <c r="BN3873" s="99"/>
    </row>
    <row r="3874" spans="1:66" s="51" customFormat="1" ht="19.5" thickBot="1" x14ac:dyDescent="0.3">
      <c r="A3874" s="686" t="s">
        <v>739</v>
      </c>
      <c r="B3874" s="73"/>
      <c r="C3874" s="708"/>
      <c r="D3874" s="73"/>
      <c r="E3874" s="73"/>
      <c r="F3874" s="496"/>
      <c r="G3874" s="73"/>
      <c r="H3874" s="73"/>
      <c r="I3874" s="73"/>
      <c r="J3874" s="497" t="s">
        <v>357</v>
      </c>
      <c r="K3874" s="498"/>
      <c r="L3874" s="562"/>
      <c r="M3874" s="73"/>
      <c r="N3874"/>
      <c r="O3874"/>
      <c r="P3874"/>
      <c r="Q3874"/>
      <c r="R3874"/>
      <c r="S3874"/>
      <c r="T3874" s="102">
        <f t="shared" si="2894"/>
        <v>0</v>
      </c>
      <c r="U3874" s="78" t="str">
        <f>IF(NOT(ISNUMBER(G3874)), "", VLOOKUP(A3874,'Discount Lookup'!D:E,2,FALSE)*G3874)</f>
        <v/>
      </c>
      <c r="V3874" s="78" t="str">
        <f>IF(NOT(ISNUMBER(G3874)), "", VLOOKUP(A3874,'Discount Lookup'!G:H,2,FALSE)*G3874)</f>
        <v/>
      </c>
      <c r="W3874" s="102">
        <f t="shared" si="2895"/>
        <v>0</v>
      </c>
      <c r="X3874" s="102">
        <f t="shared" si="2896"/>
        <v>0</v>
      </c>
      <c r="Y3874" s="120" t="b">
        <f t="shared" si="2897"/>
        <v>0</v>
      </c>
      <c r="Z3874" s="117">
        <f t="shared" si="2898"/>
        <v>0</v>
      </c>
      <c r="AA3874" s="118"/>
      <c r="AB3874" s="118" t="str">
        <f t="shared" si="2899"/>
        <v/>
      </c>
      <c r="AC3874" s="712" t="str">
        <f>IF(AE3874="T2G","no charge",IF(AND(OR(PlanterYesMe="No",PlanterYesMe="N",PlanterYesMe="me"),H3874=""),"",IF(H3874="credit","NO install",IF(AND(K3874="",AE3874="me"),"EACH row",IF(AND(K3874="images",AE3874="me"),"EACH row",IF(D3874="","",IF(H3874="credit","",IF(AE3874="free","re-planting",IF(AE3874="me","   not ELP, by",IF(AND(OR(PlanterYesMe="Yes",PlanterYesMe="Y"),G3874&gt;0),(VLOOKUP(A3874,'Discount Lookup'!J:K,2)*G3874*(1-PlanterDiscount)*(1+PlanterDifficultyPercentage)),IF(AE3874="ELP",(VLOOKUP(A3874,'Discount Lookup'!J:K,2)*G3874*(1-PlanterDiscount)*(1+PlanterDifficultyPercentage)),IF(AE3874="free","re-planting",IF(G3874=0,"",IF(PlanterYesMe="",IF(AE3874="me","   not ELP, by",IF(AE3874="",IF(G3874&gt;0,(VLOOKUP(A3874,'Discount Lookup'!J:K,2)*G3874*(1-PlanterDiscount)*(1+PlanterDifficultyPercentage)),""),"")),"   not ELP, by"))))))))))))))</f>
        <v/>
      </c>
      <c r="AD3874" s="712"/>
      <c r="AE3874" s="513" t="str">
        <f t="shared" si="2900"/>
        <v/>
      </c>
      <c r="AF3874" s="713" t="str">
        <f t="shared" si="2901"/>
        <v/>
      </c>
      <c r="AG3874" s="713"/>
      <c r="AH3874" s="713"/>
      <c r="AI3874" s="112">
        <f>IF(H3874="credit",0,IF(AE3874="free",0,IF(AE3874="me",0,IF(G3874&gt;0,(VLOOKUP(A3874,'Discount Lookup'!J:K,2)*G3874),0))))</f>
        <v>0</v>
      </c>
      <c r="AJ3874" s="107" t="str">
        <f t="shared" ca="1" si="2902"/>
        <v/>
      </c>
      <c r="AK3874" s="714" t="str">
        <f t="shared" si="2903"/>
        <v/>
      </c>
      <c r="AL3874" s="714"/>
      <c r="AM3874" s="114" t="str">
        <f t="shared" si="2904"/>
        <v/>
      </c>
      <c r="AN3874" s="115"/>
      <c r="AO3874" s="116"/>
      <c r="AP3874" s="116"/>
      <c r="AQ3874" s="116"/>
      <c r="AR3874" s="116"/>
      <c r="AS3874" s="116"/>
      <c r="AT3874" s="116"/>
      <c r="AU3874" s="116"/>
      <c r="AV3874" s="78"/>
      <c r="AW3874" s="102"/>
      <c r="AX3874" s="78"/>
      <c r="AY3874" s="78"/>
      <c r="AZ3874" s="78"/>
      <c r="BA3874" s="78"/>
      <c r="BB3874" s="78"/>
      <c r="BC3874" s="78"/>
      <c r="BD3874" s="78"/>
      <c r="BE3874" s="465"/>
      <c r="BF3874" s="165" t="str">
        <f t="shared" si="2905"/>
        <v>https://www.google.com/search?tbm=isch&amp;q=Spiraea%20%3D%20Spiraea%20</v>
      </c>
      <c r="BG3874" s="165" t="str">
        <f t="shared" si="2906"/>
        <v>S</v>
      </c>
      <c r="BH3874" s="65"/>
      <c r="BI3874" s="65"/>
      <c r="BJ3874" s="65"/>
      <c r="BK3874" s="65"/>
      <c r="BL3874" s="99"/>
      <c r="BM3874" s="99"/>
      <c r="BN3874" s="99"/>
    </row>
    <row r="3875" spans="1:66" s="51" customFormat="1" ht="18" x14ac:dyDescent="0.25">
      <c r="A3875" s="623" t="s">
        <v>4231</v>
      </c>
      <c r="B3875" s="624"/>
      <c r="C3875" s="709"/>
      <c r="D3875" s="625" t="s">
        <v>5822</v>
      </c>
      <c r="E3875" s="626"/>
      <c r="F3875" s="626"/>
      <c r="G3875" s="626"/>
      <c r="H3875" s="622" t="s">
        <v>1104</v>
      </c>
      <c r="I3875" s="627" t="s">
        <v>349</v>
      </c>
      <c r="J3875" s="628"/>
      <c r="K3875" s="628"/>
      <c r="L3875" s="629"/>
      <c r="M3875" s="700" t="s">
        <v>5241</v>
      </c>
      <c r="N3875" s="693" t="str">
        <f>IF(AND(ISTEXT($A3875), ISERROR($A3875+0)), HYPERLINK($BF3875, "Images"), "")</f>
        <v>Images</v>
      </c>
      <c r="O3875" s="695" t="s">
        <v>5264</v>
      </c>
      <c r="P3875" s="630"/>
      <c r="Q3875" s="631"/>
      <c r="R3875" s="632"/>
      <c r="S3875" s="633"/>
      <c r="T3875" s="102">
        <f t="shared" si="2894"/>
        <v>0</v>
      </c>
      <c r="U3875" s="78" t="str">
        <f>IF(NOT(ISNUMBER(G3875)), "", VLOOKUP(A3875,'Discount Lookup'!D:E,2,FALSE)*G3875)</f>
        <v/>
      </c>
      <c r="V3875" s="78" t="str">
        <f>IF(NOT(ISNUMBER(G3875)), "", VLOOKUP(A3875,'Discount Lookup'!G:H,2,FALSE)*G3875)</f>
        <v/>
      </c>
      <c r="W3875" s="102">
        <f t="shared" si="2895"/>
        <v>0</v>
      </c>
      <c r="X3875" s="102" t="str">
        <f t="shared" si="2896"/>
        <v>White bloom</v>
      </c>
      <c r="Y3875" s="120" t="b">
        <f t="shared" si="2897"/>
        <v>0</v>
      </c>
      <c r="Z3875" s="117">
        <f t="shared" si="2898"/>
        <v>0</v>
      </c>
      <c r="AA3875" s="118"/>
      <c r="AB3875" s="118" t="str">
        <f t="shared" si="2899"/>
        <v/>
      </c>
      <c r="AC3875" s="712" t="str">
        <f>IF(AE3875="T2G","no charge",IF(AND(OR(PlanterYesMe="No",PlanterYesMe="N",PlanterYesMe="me"),H3875=""),"",IF(H3875="credit","NO install",IF(AND(K3875="",AE3875="me"),"EACH row",IF(AND(K3875="images",AE3875="me"),"EACH row",IF(D3875="","",IF(H3875="credit","",IF(AE3875="free","re-planting",IF(AE3875="me","   not ELP, by",IF(AND(OR(PlanterYesMe="Yes",PlanterYesMe="Y"),G3875&gt;0),(VLOOKUP(A3875,'Discount Lookup'!J:K,2)*G3875*(1-PlanterDiscount)*(1+PlanterDifficultyPercentage)),IF(AE3875="ELP",(VLOOKUP(A3875,'Discount Lookup'!J:K,2)*G3875*(1-PlanterDiscount)*(1+PlanterDifficultyPercentage)),IF(AE3875="free","re-planting",IF(G3875=0,"",IF(PlanterYesMe="",IF(AE3875="me","   not ELP, by",IF(AE3875="",IF(G3875&gt;0,(VLOOKUP(A3875,'Discount Lookup'!J:K,2)*G3875*(1-PlanterDiscount)*(1+PlanterDifficultyPercentage)),""),"")),"   not ELP, by"))))))))))))))</f>
        <v/>
      </c>
      <c r="AD3875" s="712"/>
      <c r="AE3875" s="513" t="str">
        <f t="shared" si="2900"/>
        <v/>
      </c>
      <c r="AF3875" s="713" t="str">
        <f t="shared" si="2901"/>
        <v/>
      </c>
      <c r="AG3875" s="713"/>
      <c r="AH3875" s="713"/>
      <c r="AI3875" s="112">
        <f>IF(H3875="credit",0,IF(AE3875="free",0,IF(AE3875="me",0,IF(G3875&gt;0,(VLOOKUP(A3875,'Discount Lookup'!J:K,2)*G3875),0))))</f>
        <v>0</v>
      </c>
      <c r="AJ3875" s="107" t="str">
        <f t="shared" ca="1" si="2902"/>
        <v/>
      </c>
      <c r="AK3875" s="714" t="str">
        <f t="shared" si="2903"/>
        <v/>
      </c>
      <c r="AL3875" s="714"/>
      <c r="AM3875" s="114" t="str">
        <f t="shared" si="2904"/>
        <v/>
      </c>
      <c r="AN3875" s="115"/>
      <c r="AO3875" s="116"/>
      <c r="AP3875" s="116"/>
      <c r="AQ3875" s="116"/>
      <c r="AR3875" s="116"/>
      <c r="AS3875" s="116"/>
      <c r="AT3875" s="116"/>
      <c r="AU3875" s="116"/>
      <c r="AV3875" s="78"/>
      <c r="AW3875" s="102"/>
      <c r="AX3875" s="78"/>
      <c r="AY3875" s="78"/>
      <c r="AZ3875" s="78"/>
      <c r="BA3875" s="78"/>
      <c r="BB3875" s="78"/>
      <c r="BC3875" s="78"/>
      <c r="BD3875" s="78"/>
      <c r="BE3875" s="465"/>
      <c r="BF3875" s="165" t="str">
        <f t="shared" si="2905"/>
        <v>https://www.google.com/search?tbm=isch&amp;q=Spiraea%20japonica%20%27Conspiyet%27%20Yeti%E2%84%A2%20Japanese%20Spirea</v>
      </c>
      <c r="BG3875" s="165" t="str">
        <f t="shared" si="2906"/>
        <v>S</v>
      </c>
      <c r="BH3875" s="65"/>
      <c r="BI3875" s="65"/>
      <c r="BJ3875" s="65"/>
      <c r="BK3875" s="65"/>
      <c r="BL3875" s="99"/>
      <c r="BM3875" s="99"/>
      <c r="BN3875" s="99"/>
    </row>
    <row r="3876" spans="1:66" s="51" customFormat="1" ht="15.75" x14ac:dyDescent="0.25">
      <c r="A3876" s="634">
        <v>3</v>
      </c>
      <c r="B3876" s="635" t="s">
        <v>291</v>
      </c>
      <c r="C3876" s="636" t="s">
        <v>4232</v>
      </c>
      <c r="D3876" s="637" t="s">
        <v>309</v>
      </c>
      <c r="E3876" s="638">
        <v>27.95</v>
      </c>
      <c r="F3876" s="639" t="s">
        <v>292</v>
      </c>
      <c r="G3876" s="484">
        <v>0</v>
      </c>
      <c r="H3876" s="691" t="str">
        <f>IF(G3876=0,"",IF(F3876="Buy",IF(G3876=1,"plant","plants"),IF(F3876&gt;0.01,"warranty","Error")))</f>
        <v/>
      </c>
      <c r="I3876" s="640">
        <f>IF(H3876="free",0,IF(H3876="credit",((E3876*(F3876))*G3876*-1),IF(F3876="Buy",(E3876*G3876),((E3876*(1-F3876))*G3876))))</f>
        <v>0</v>
      </c>
      <c r="J3876" s="640">
        <f>IF(H3876="warranty",0,(I3876*(_xlfn.SINGLE(SalesTaxPercentage))))</f>
        <v>0</v>
      </c>
      <c r="K3876" s="716">
        <f t="shared" ref="K3876" si="2911">I3876+J3876</f>
        <v>0</v>
      </c>
      <c r="L3876" s="716"/>
      <c r="M3876" s="689" t="str">
        <f ca="1">IF(AND(G3876&gt;0,E3876=0),"WARNING - no PRICE inserted",IF(H3876="free","FREE ~ no charge this plant",IF(H3876="credit",CONCATENATE("-$",ROUND(K3876*(1-_xlfn.SINGLE(T2GDiscount))*-1,2)," CREDIT after discount"),IF(_xlfn.SINGLE(T2GDiscount)=0,"",IF(G3876=0,"",IF(F3876="Buy",CONCATENATE("$",ROUND(K3876*(1-_xlfn.SINGLE(T2GDiscount)),2)," with ",(_xlfn.SINGLE(T2GDiscount)*100),"% discount"),CONCATENATE("$",ROUND(K3876*(1-_xlfn.SINGLE(T2GDiscount)),2)," with ",((_xlfn.SINGLE(T2GDiscount)*100+F3876*100)-(_xlfn.SINGLE(T2GDiscount)*100*F3876)),IF(F3876&gt;0,"% discounts",IF(_xlfn.SINGLE(NoWarrantyDiscount)&gt;0,"% discounts","% discount")))))))))</f>
        <v/>
      </c>
      <c r="N3876" s="690"/>
      <c r="O3876" s="486"/>
      <c r="P3876" s="486"/>
      <c r="Q3876" s="486"/>
      <c r="R3876" s="486"/>
      <c r="S3876" s="486"/>
      <c r="T3876" s="102">
        <f t="shared" si="2894"/>
        <v>0</v>
      </c>
      <c r="U3876" s="78">
        <f>IF(NOT(ISNUMBER(G3876)), "", VLOOKUP(A3876,'Discount Lookup'!D:E,2,FALSE)*G3876)</f>
        <v>0</v>
      </c>
      <c r="V3876" s="78">
        <f>IF(NOT(ISNUMBER(G3876)), "", VLOOKUP(A3876,'Discount Lookup'!G:H,2,FALSE)*G3876)</f>
        <v>0</v>
      </c>
      <c r="W3876" s="102">
        <f t="shared" si="2895"/>
        <v>0</v>
      </c>
      <c r="X3876" s="102">
        <f t="shared" si="2896"/>
        <v>0</v>
      </c>
      <c r="Y3876" s="120" t="b">
        <f t="shared" si="2897"/>
        <v>0</v>
      </c>
      <c r="Z3876" s="117">
        <f t="shared" si="2898"/>
        <v>0</v>
      </c>
      <c r="AA3876" s="118"/>
      <c r="AB3876" s="118" t="str">
        <f t="shared" si="2899"/>
        <v/>
      </c>
      <c r="AC3876" s="712" t="str">
        <f>IF(AE3876="T2G","no charge",IF(AND(OR(PlanterYesMe="No",PlanterYesMe="N",PlanterYesMe="me"),H3876=""),"",IF(H3876="credit","NO install",IF(AND(K3876="",AE3876="me"),"EACH row",IF(AND(K3876="images",AE3876="me"),"EACH row",IF(D3876="","",IF(H3876="credit","",IF(AE3876="free","re-planting",IF(AE3876="me","   not ELP, by",IF(AND(OR(PlanterYesMe="Yes",PlanterYesMe="Y"),G3876&gt;0),(VLOOKUP(A3876,'Discount Lookup'!J:K,2)*G3876*(1-PlanterDiscount)*(1+PlanterDifficultyPercentage)),IF(AE3876="ELP",(VLOOKUP(A3876,'Discount Lookup'!J:K,2)*G3876*(1-PlanterDiscount)*(1+PlanterDifficultyPercentage)),IF(AE3876="free","re-planting",IF(G3876=0,"",IF(PlanterYesMe="",IF(AE3876="me","   not ELP, by",IF(AE3876="",IF(G3876&gt;0,(VLOOKUP(A3876,'Discount Lookup'!J:K,2)*G3876*(1-PlanterDiscount)*(1+PlanterDifficultyPercentage)),""),"")),"   not ELP, by"))))))))))))))</f>
        <v/>
      </c>
      <c r="AD3876" s="712"/>
      <c r="AE3876" s="513" t="str">
        <f t="shared" si="2900"/>
        <v/>
      </c>
      <c r="AF3876" s="713" t="str">
        <f t="shared" si="2901"/>
        <v/>
      </c>
      <c r="AG3876" s="713"/>
      <c r="AH3876" s="713"/>
      <c r="AI3876" s="112">
        <f>IF(H3876="credit",0,IF(AE3876="free",0,IF(AE3876="me",0,IF(G3876&gt;0,(VLOOKUP(A3876,'Discount Lookup'!J:K,2)*G3876),0))))</f>
        <v>0</v>
      </c>
      <c r="AJ3876" s="107" t="str">
        <f t="shared" ca="1" si="2902"/>
        <v/>
      </c>
      <c r="AK3876" s="714" t="str">
        <f t="shared" si="2903"/>
        <v/>
      </c>
      <c r="AL3876" s="714"/>
      <c r="AM3876" s="114" t="str">
        <f t="shared" si="2904"/>
        <v/>
      </c>
      <c r="AN3876" s="115"/>
      <c r="AO3876" s="116"/>
      <c r="AP3876" s="116"/>
      <c r="AQ3876" s="116"/>
      <c r="AR3876" s="116"/>
      <c r="AS3876" s="116"/>
      <c r="AT3876" s="116"/>
      <c r="AU3876" s="116"/>
      <c r="AV3876" s="78"/>
      <c r="AW3876" s="102"/>
      <c r="AX3876" s="78"/>
      <c r="AY3876" s="78"/>
      <c r="AZ3876" s="78"/>
      <c r="BA3876" s="78"/>
      <c r="BB3876" s="78"/>
      <c r="BC3876" s="78"/>
      <c r="BD3876" s="78"/>
      <c r="BE3876" s="465"/>
      <c r="BF3876" s="165" t="str">
        <f t="shared" si="2905"/>
        <v>https://www.google.com/search?tbm=isch&amp;q=3%20G3</v>
      </c>
      <c r="BG3876" s="165" t="str">
        <f t="shared" si="2906"/>
        <v>S</v>
      </c>
      <c r="BH3876" s="65"/>
      <c r="BI3876" s="65"/>
      <c r="BJ3876" s="65"/>
      <c r="BK3876" s="65"/>
      <c r="BL3876" s="99"/>
      <c r="BM3876" s="99"/>
      <c r="BN3876" s="99"/>
    </row>
    <row r="3877" spans="1:66" s="51" customFormat="1" ht="17.25" thickBot="1" x14ac:dyDescent="0.3">
      <c r="A3877" s="641" t="s">
        <v>4848</v>
      </c>
      <c r="B3877" s="642"/>
      <c r="C3877" s="710"/>
      <c r="D3877" s="643"/>
      <c r="E3877" s="643"/>
      <c r="F3877" s="644"/>
      <c r="G3877" s="645"/>
      <c r="H3877" s="646"/>
      <c r="I3877" s="647"/>
      <c r="J3877" s="648"/>
      <c r="K3877" s="649"/>
      <c r="L3877" s="650"/>
      <c r="M3877" s="650"/>
      <c r="N3877" s="644"/>
      <c r="O3877" s="644"/>
      <c r="P3877" s="644"/>
      <c r="Q3877" s="644"/>
      <c r="R3877" s="644"/>
      <c r="S3877" s="701" t="s">
        <v>5271</v>
      </c>
      <c r="T3877" s="102">
        <f t="shared" si="2894"/>
        <v>0</v>
      </c>
      <c r="U3877" s="78" t="str">
        <f>IF(NOT(ISNUMBER(G3877)), "", VLOOKUP(A3877,'Discount Lookup'!D:E,2,FALSE)*G3877)</f>
        <v/>
      </c>
      <c r="V3877" s="78" t="str">
        <f>IF(NOT(ISNUMBER(G3877)), "", VLOOKUP(A3877,'Discount Lookup'!G:H,2,FALSE)*G3877)</f>
        <v/>
      </c>
      <c r="W3877" s="102">
        <f t="shared" si="2895"/>
        <v>0</v>
      </c>
      <c r="X3877" s="102">
        <f t="shared" si="2896"/>
        <v>0</v>
      </c>
      <c r="Y3877" s="120" t="b">
        <f t="shared" si="2897"/>
        <v>0</v>
      </c>
      <c r="Z3877" s="117">
        <f t="shared" si="2898"/>
        <v>0</v>
      </c>
      <c r="AA3877" s="118"/>
      <c r="AB3877" s="118" t="str">
        <f t="shared" si="2899"/>
        <v/>
      </c>
      <c r="AC3877" s="712" t="str">
        <f>IF(AE3877="T2G","no charge",IF(AND(OR(PlanterYesMe="No",PlanterYesMe="N",PlanterYesMe="me"),H3877=""),"",IF(H3877="credit","NO install",IF(AND(K3877="",AE3877="me"),"EACH row",IF(AND(K3877="images",AE3877="me"),"EACH row",IF(D3877="","",IF(H3877="credit","",IF(AE3877="free","re-planting",IF(AE3877="me","   not ELP, by",IF(AND(OR(PlanterYesMe="Yes",PlanterYesMe="Y"),G3877&gt;0),(VLOOKUP(A3877,'Discount Lookup'!J:K,2)*G3877*(1-PlanterDiscount)*(1+PlanterDifficultyPercentage)),IF(AE3877="ELP",(VLOOKUP(A3877,'Discount Lookup'!J:K,2)*G3877*(1-PlanterDiscount)*(1+PlanterDifficultyPercentage)),IF(AE3877="free","re-planting",IF(G3877=0,"",IF(PlanterYesMe="",IF(AE3877="me","   not ELP, by",IF(AE3877="",IF(G3877&gt;0,(VLOOKUP(A3877,'Discount Lookup'!J:K,2)*G3877*(1-PlanterDiscount)*(1+PlanterDifficultyPercentage)),""),"")),"   not ELP, by"))))))))))))))</f>
        <v/>
      </c>
      <c r="AD3877" s="712"/>
      <c r="AE3877" s="513" t="str">
        <f t="shared" si="2900"/>
        <v/>
      </c>
      <c r="AF3877" s="713" t="str">
        <f t="shared" si="2901"/>
        <v/>
      </c>
      <c r="AG3877" s="713"/>
      <c r="AH3877" s="713"/>
      <c r="AI3877" s="112">
        <f>IF(H3877="credit",0,IF(AE3877="free",0,IF(AE3877="me",0,IF(G3877&gt;0,(VLOOKUP(A3877,'Discount Lookup'!J:K,2)*G3877),0))))</f>
        <v>0</v>
      </c>
      <c r="AJ3877" s="107" t="str">
        <f t="shared" ca="1" si="2902"/>
        <v/>
      </c>
      <c r="AK3877" s="714" t="str">
        <f t="shared" si="2903"/>
        <v/>
      </c>
      <c r="AL3877" s="714"/>
      <c r="AM3877" s="114" t="str">
        <f t="shared" si="2904"/>
        <v/>
      </c>
      <c r="AN3877" s="115"/>
      <c r="AO3877" s="116"/>
      <c r="AP3877" s="116"/>
      <c r="AQ3877" s="116"/>
      <c r="AR3877" s="116"/>
      <c r="AS3877" s="116"/>
      <c r="AT3877" s="116"/>
      <c r="AU3877" s="116"/>
      <c r="AV3877" s="78"/>
      <c r="AW3877" s="102"/>
      <c r="AX3877" s="78"/>
      <c r="AY3877" s="78"/>
      <c r="AZ3877" s="78"/>
      <c r="BA3877" s="78"/>
      <c r="BB3877" s="78"/>
      <c r="BC3877" s="78"/>
      <c r="BD3877" s="78"/>
      <c r="BE3877" s="465"/>
      <c r="BF3877" s="165" t="str">
        <f t="shared" si="2905"/>
        <v>https://www.google.com/search?tbm=isch&amp;q=Yeti%20has%20Bright%20Green%20foliage%2C%20turning%20Yellow-Orange%20in%20fall.%20Summer%20bloom%2C%20on%20new%20wood%2C%20so%20prune%20late%20winter%20</v>
      </c>
      <c r="BG3877" s="165" t="str">
        <f t="shared" si="2906"/>
        <v>Y</v>
      </c>
      <c r="BH3877" s="65"/>
      <c r="BI3877" s="65"/>
      <c r="BJ3877" s="65"/>
      <c r="BK3877" s="65"/>
      <c r="BL3877" s="99"/>
      <c r="BM3877" s="99"/>
      <c r="BN3877" s="99"/>
    </row>
    <row r="3878" spans="1:66" s="51" customFormat="1" ht="18" x14ac:dyDescent="0.25">
      <c r="A3878" s="623" t="s">
        <v>4233</v>
      </c>
      <c r="B3878" s="624"/>
      <c r="C3878" s="709"/>
      <c r="D3878" s="625" t="s">
        <v>5823</v>
      </c>
      <c r="E3878" s="626"/>
      <c r="F3878" s="626"/>
      <c r="G3878" s="626"/>
      <c r="H3878" s="622" t="s">
        <v>1124</v>
      </c>
      <c r="I3878" s="627" t="s">
        <v>718</v>
      </c>
      <c r="J3878" s="628"/>
      <c r="K3878" s="628"/>
      <c r="L3878" s="629"/>
      <c r="M3878" s="700" t="s">
        <v>5241</v>
      </c>
      <c r="N3878" s="693" t="str">
        <f>IF(AND(ISTEXT($A3878), ISERROR($A3878+0)), HYPERLINK($BF3878, "Images"), "")</f>
        <v>Images</v>
      </c>
      <c r="O3878" s="695" t="s">
        <v>5247</v>
      </c>
      <c r="P3878" s="630"/>
      <c r="Q3878" s="631"/>
      <c r="R3878" s="632"/>
      <c r="S3878" s="633"/>
      <c r="T3878" s="102">
        <f t="shared" si="2894"/>
        <v>0</v>
      </c>
      <c r="U3878" s="78" t="str">
        <f>IF(NOT(ISNUMBER(G3878)), "", VLOOKUP(A3878,'Discount Lookup'!D:E,2,FALSE)*G3878)</f>
        <v/>
      </c>
      <c r="V3878" s="78" t="str">
        <f>IF(NOT(ISNUMBER(G3878)), "", VLOOKUP(A3878,'Discount Lookup'!G:H,2,FALSE)*G3878)</f>
        <v/>
      </c>
      <c r="W3878" s="102">
        <f t="shared" si="2895"/>
        <v>0</v>
      </c>
      <c r="X3878" s="102" t="str">
        <f t="shared" si="2896"/>
        <v>Fuchsia-Pink bloom</v>
      </c>
      <c r="Y3878" s="120" t="b">
        <f t="shared" si="2897"/>
        <v>0</v>
      </c>
      <c r="Z3878" s="117">
        <f t="shared" si="2898"/>
        <v>0</v>
      </c>
      <c r="AA3878" s="118"/>
      <c r="AB3878" s="118" t="str">
        <f t="shared" si="2899"/>
        <v/>
      </c>
      <c r="AC3878" s="712" t="str">
        <f>IF(AE3878="T2G","no charge",IF(AND(OR(PlanterYesMe="No",PlanterYesMe="N",PlanterYesMe="me"),H3878=""),"",IF(H3878="credit","NO install",IF(AND(K3878="",AE3878="me"),"EACH row",IF(AND(K3878="images",AE3878="me"),"EACH row",IF(D3878="","",IF(H3878="credit","",IF(AE3878="free","re-planting",IF(AE3878="me","   not ELP, by",IF(AND(OR(PlanterYesMe="Yes",PlanterYesMe="Y"),G3878&gt;0),(VLOOKUP(A3878,'Discount Lookup'!J:K,2)*G3878*(1-PlanterDiscount)*(1+PlanterDifficultyPercentage)),IF(AE3878="ELP",(VLOOKUP(A3878,'Discount Lookup'!J:K,2)*G3878*(1-PlanterDiscount)*(1+PlanterDifficultyPercentage)),IF(AE3878="free","re-planting",IF(G3878=0,"",IF(PlanterYesMe="",IF(AE3878="me","   not ELP, by",IF(AE3878="",IF(G3878&gt;0,(VLOOKUP(A3878,'Discount Lookup'!J:K,2)*G3878*(1-PlanterDiscount)*(1+PlanterDifficultyPercentage)),""),"")),"   not ELP, by"))))))))))))))</f>
        <v/>
      </c>
      <c r="AD3878" s="712"/>
      <c r="AE3878" s="513" t="str">
        <f t="shared" si="2900"/>
        <v/>
      </c>
      <c r="AF3878" s="713" t="str">
        <f t="shared" si="2901"/>
        <v/>
      </c>
      <c r="AG3878" s="713"/>
      <c r="AH3878" s="713"/>
      <c r="AI3878" s="112">
        <f>IF(H3878="credit",0,IF(AE3878="free",0,IF(AE3878="me",0,IF(G3878&gt;0,(VLOOKUP(A3878,'Discount Lookup'!J:K,2)*G3878),0))))</f>
        <v>0</v>
      </c>
      <c r="AJ3878" s="107" t="str">
        <f t="shared" ca="1" si="2902"/>
        <v/>
      </c>
      <c r="AK3878" s="714" t="str">
        <f t="shared" si="2903"/>
        <v/>
      </c>
      <c r="AL3878" s="714"/>
      <c r="AM3878" s="114" t="str">
        <f t="shared" si="2904"/>
        <v/>
      </c>
      <c r="AN3878" s="115"/>
      <c r="AO3878" s="116"/>
      <c r="AP3878" s="116"/>
      <c r="AQ3878" s="116"/>
      <c r="AR3878" s="116"/>
      <c r="AS3878" s="116"/>
      <c r="AT3878" s="116"/>
      <c r="AU3878" s="116"/>
      <c r="AV3878" s="78"/>
      <c r="AW3878" s="102"/>
      <c r="AX3878" s="78"/>
      <c r="AY3878" s="78"/>
      <c r="AZ3878" s="78"/>
      <c r="BA3878" s="78"/>
      <c r="BB3878" s="78"/>
      <c r="BC3878" s="78"/>
      <c r="BD3878" s="78"/>
      <c r="BE3878" s="465"/>
      <c r="BF3878" s="165" t="str">
        <f t="shared" si="2905"/>
        <v>https://www.google.com/search?tbm=isch&amp;q=Spiraea%20japonica%20%27DAVCOP01%27%20PP%2331996%20Empire%C2%AE%20Northern%20Lights%E2%84%A2%20Japanese%20Spirea</v>
      </c>
      <c r="BG3878" s="165" t="str">
        <f t="shared" si="2906"/>
        <v>S</v>
      </c>
      <c r="BH3878" s="65"/>
      <c r="BI3878" s="65"/>
      <c r="BJ3878" s="65"/>
      <c r="BK3878" s="65"/>
      <c r="BL3878" s="99"/>
      <c r="BM3878" s="99"/>
      <c r="BN3878" s="99"/>
    </row>
    <row r="3879" spans="1:66" s="51" customFormat="1" ht="15.75" x14ac:dyDescent="0.25">
      <c r="A3879" s="634">
        <v>3</v>
      </c>
      <c r="B3879" s="635" t="s">
        <v>291</v>
      </c>
      <c r="C3879" s="636" t="s">
        <v>4234</v>
      </c>
      <c r="D3879" s="637" t="s">
        <v>329</v>
      </c>
      <c r="E3879" s="638">
        <v>30.95</v>
      </c>
      <c r="F3879" s="639" t="s">
        <v>292</v>
      </c>
      <c r="G3879" s="484">
        <v>0</v>
      </c>
      <c r="H3879" s="691" t="str">
        <f>IF(G3879=0,"",IF(F3879="Buy",IF(G3879=1,"plant","plants"),IF(F3879&gt;0.01,"warranty","Error")))</f>
        <v/>
      </c>
      <c r="I3879" s="640">
        <f>IF(H3879="free",0,IF(H3879="credit",((E3879*(F3879))*G3879*-1),IF(F3879="Buy",(E3879*G3879),((E3879*(1-F3879))*G3879))))</f>
        <v>0</v>
      </c>
      <c r="J3879" s="640">
        <f>IF(H3879="warranty",0,(I3879*(_xlfn.SINGLE(SalesTaxPercentage))))</f>
        <v>0</v>
      </c>
      <c r="K3879" s="716">
        <f t="shared" ref="K3879" si="2912">I3879+J3879</f>
        <v>0</v>
      </c>
      <c r="L3879" s="716"/>
      <c r="M3879" s="689" t="str">
        <f ca="1">IF(AND(G3879&gt;0,E3879=0),"WARNING - no PRICE inserted",IF(H3879="free","FREE ~ no charge this plant",IF(H3879="credit",CONCATENATE("-$",ROUND(K3879*(1-_xlfn.SINGLE(T2GDiscount))*-1,2)," CREDIT after discount"),IF(_xlfn.SINGLE(T2GDiscount)=0,"",IF(G3879=0,"",IF(F3879="Buy",CONCATENATE("$",ROUND(K3879*(1-_xlfn.SINGLE(T2GDiscount)),2)," with ",(_xlfn.SINGLE(T2GDiscount)*100),"% discount"),CONCATENATE("$",ROUND(K3879*(1-_xlfn.SINGLE(T2GDiscount)),2)," with ",((_xlfn.SINGLE(T2GDiscount)*100+F3879*100)-(_xlfn.SINGLE(T2GDiscount)*100*F3879)),IF(F3879&gt;0,"% discounts",IF(_xlfn.SINGLE(NoWarrantyDiscount)&gt;0,"% discounts","% discount")))))))))</f>
        <v/>
      </c>
      <c r="N3879" s="690"/>
      <c r="O3879" s="486"/>
      <c r="P3879" s="486"/>
      <c r="Q3879" s="486"/>
      <c r="R3879" s="486"/>
      <c r="S3879" s="486"/>
      <c r="T3879" s="102">
        <f t="shared" si="2894"/>
        <v>0</v>
      </c>
      <c r="U3879" s="78">
        <f>IF(NOT(ISNUMBER(G3879)), "", VLOOKUP(A3879,'Discount Lookup'!D:E,2,FALSE)*G3879)</f>
        <v>0</v>
      </c>
      <c r="V3879" s="78">
        <f>IF(NOT(ISNUMBER(G3879)), "", VLOOKUP(A3879,'Discount Lookup'!G:H,2,FALSE)*G3879)</f>
        <v>0</v>
      </c>
      <c r="W3879" s="102">
        <f t="shared" si="2895"/>
        <v>0</v>
      </c>
      <c r="X3879" s="102">
        <f t="shared" si="2896"/>
        <v>0</v>
      </c>
      <c r="Y3879" s="120" t="b">
        <f t="shared" si="2897"/>
        <v>0</v>
      </c>
      <c r="Z3879" s="117">
        <f t="shared" si="2898"/>
        <v>0</v>
      </c>
      <c r="AA3879" s="118"/>
      <c r="AB3879" s="118" t="str">
        <f t="shared" si="2899"/>
        <v/>
      </c>
      <c r="AC3879" s="712" t="str">
        <f>IF(AE3879="T2G","no charge",IF(AND(OR(PlanterYesMe="No",PlanterYesMe="N",PlanterYesMe="me"),H3879=""),"",IF(H3879="credit","NO install",IF(AND(K3879="",AE3879="me"),"EACH row",IF(AND(K3879="images",AE3879="me"),"EACH row",IF(D3879="","",IF(H3879="credit","",IF(AE3879="free","re-planting",IF(AE3879="me","   not ELP, by",IF(AND(OR(PlanterYesMe="Yes",PlanterYesMe="Y"),G3879&gt;0),(VLOOKUP(A3879,'Discount Lookup'!J:K,2)*G3879*(1-PlanterDiscount)*(1+PlanterDifficultyPercentage)),IF(AE3879="ELP",(VLOOKUP(A3879,'Discount Lookup'!J:K,2)*G3879*(1-PlanterDiscount)*(1+PlanterDifficultyPercentage)),IF(AE3879="free","re-planting",IF(G3879=0,"",IF(PlanterYesMe="",IF(AE3879="me","   not ELP, by",IF(AE3879="",IF(G3879&gt;0,(VLOOKUP(A3879,'Discount Lookup'!J:K,2)*G3879*(1-PlanterDiscount)*(1+PlanterDifficultyPercentage)),""),"")),"   not ELP, by"))))))))))))))</f>
        <v/>
      </c>
      <c r="AD3879" s="712"/>
      <c r="AE3879" s="513" t="str">
        <f t="shared" si="2900"/>
        <v/>
      </c>
      <c r="AF3879" s="713" t="str">
        <f t="shared" si="2901"/>
        <v/>
      </c>
      <c r="AG3879" s="713"/>
      <c r="AH3879" s="713"/>
      <c r="AI3879" s="112">
        <f>IF(H3879="credit",0,IF(AE3879="free",0,IF(AE3879="me",0,IF(G3879&gt;0,(VLOOKUP(A3879,'Discount Lookup'!J:K,2)*G3879),0))))</f>
        <v>0</v>
      </c>
      <c r="AJ3879" s="107" t="str">
        <f t="shared" ca="1" si="2902"/>
        <v/>
      </c>
      <c r="AK3879" s="714" t="str">
        <f t="shared" si="2903"/>
        <v/>
      </c>
      <c r="AL3879" s="714"/>
      <c r="AM3879" s="114" t="str">
        <f t="shared" si="2904"/>
        <v/>
      </c>
      <c r="AN3879" s="115"/>
      <c r="AO3879" s="116"/>
      <c r="AP3879" s="116"/>
      <c r="AQ3879" s="116"/>
      <c r="AR3879" s="116"/>
      <c r="AS3879" s="116"/>
      <c r="AT3879" s="116"/>
      <c r="AU3879" s="116"/>
      <c r="AV3879" s="78"/>
      <c r="AW3879" s="102"/>
      <c r="AX3879" s="78"/>
      <c r="AY3879" s="78"/>
      <c r="AZ3879" s="78"/>
      <c r="BA3879" s="78"/>
      <c r="BB3879" s="78"/>
      <c r="BC3879" s="78"/>
      <c r="BD3879" s="78"/>
      <c r="BE3879" s="465"/>
      <c r="BF3879" s="165" t="str">
        <f t="shared" si="2905"/>
        <v>https://www.google.com/search?tbm=isch&amp;q=3%20G2</v>
      </c>
      <c r="BG3879" s="165" t="str">
        <f t="shared" si="2906"/>
        <v>S</v>
      </c>
      <c r="BH3879" s="65"/>
      <c r="BI3879" s="65"/>
      <c r="BJ3879" s="65"/>
      <c r="BK3879" s="65"/>
      <c r="BL3879" s="99"/>
      <c r="BM3879" s="99"/>
      <c r="BN3879" s="99"/>
    </row>
    <row r="3880" spans="1:66" s="51" customFormat="1" ht="17.25" thickBot="1" x14ac:dyDescent="0.3">
      <c r="A3880" s="641" t="s">
        <v>4849</v>
      </c>
      <c r="B3880" s="642"/>
      <c r="C3880" s="710"/>
      <c r="D3880" s="643"/>
      <c r="E3880" s="643"/>
      <c r="F3880" s="644"/>
      <c r="G3880" s="645"/>
      <c r="H3880" s="646"/>
      <c r="I3880" s="647"/>
      <c r="J3880" s="648"/>
      <c r="K3880" s="649"/>
      <c r="L3880" s="650"/>
      <c r="M3880" s="650"/>
      <c r="N3880" s="644"/>
      <c r="O3880" s="644"/>
      <c r="P3880" s="644"/>
      <c r="Q3880" s="644"/>
      <c r="R3880" s="644"/>
      <c r="S3880" s="701" t="s">
        <v>5271</v>
      </c>
      <c r="T3880" s="102">
        <f t="shared" si="2894"/>
        <v>0</v>
      </c>
      <c r="U3880" s="78" t="str">
        <f>IF(NOT(ISNUMBER(G3880)), "", VLOOKUP(A3880,'Discount Lookup'!D:E,2,FALSE)*G3880)</f>
        <v/>
      </c>
      <c r="V3880" s="78" t="str">
        <f>IF(NOT(ISNUMBER(G3880)), "", VLOOKUP(A3880,'Discount Lookup'!G:H,2,FALSE)*G3880)</f>
        <v/>
      </c>
      <c r="W3880" s="102">
        <f t="shared" si="2895"/>
        <v>0</v>
      </c>
      <c r="X3880" s="102">
        <f t="shared" si="2896"/>
        <v>0</v>
      </c>
      <c r="Y3880" s="120" t="b">
        <f t="shared" si="2897"/>
        <v>0</v>
      </c>
      <c r="Z3880" s="117">
        <f t="shared" si="2898"/>
        <v>0</v>
      </c>
      <c r="AA3880" s="118"/>
      <c r="AB3880" s="118" t="str">
        <f t="shared" si="2899"/>
        <v/>
      </c>
      <c r="AC3880" s="712" t="str">
        <f>IF(AE3880="T2G","no charge",IF(AND(OR(PlanterYesMe="No",PlanterYesMe="N",PlanterYesMe="me"),H3880=""),"",IF(H3880="credit","NO install",IF(AND(K3880="",AE3880="me"),"EACH row",IF(AND(K3880="images",AE3880="me"),"EACH row",IF(D3880="","",IF(H3880="credit","",IF(AE3880="free","re-planting",IF(AE3880="me","   not ELP, by",IF(AND(OR(PlanterYesMe="Yes",PlanterYesMe="Y"),G3880&gt;0),(VLOOKUP(A3880,'Discount Lookup'!J:K,2)*G3880*(1-PlanterDiscount)*(1+PlanterDifficultyPercentage)),IF(AE3880="ELP",(VLOOKUP(A3880,'Discount Lookup'!J:K,2)*G3880*(1-PlanterDiscount)*(1+PlanterDifficultyPercentage)),IF(AE3880="free","re-planting",IF(G3880=0,"",IF(PlanterYesMe="",IF(AE3880="me","   not ELP, by",IF(AE3880="",IF(G3880&gt;0,(VLOOKUP(A3880,'Discount Lookup'!J:K,2)*G3880*(1-PlanterDiscount)*(1+PlanterDifficultyPercentage)),""),"")),"   not ELP, by"))))))))))))))</f>
        <v/>
      </c>
      <c r="AD3880" s="712"/>
      <c r="AE3880" s="513" t="str">
        <f t="shared" si="2900"/>
        <v/>
      </c>
      <c r="AF3880" s="713" t="str">
        <f t="shared" si="2901"/>
        <v/>
      </c>
      <c r="AG3880" s="713"/>
      <c r="AH3880" s="713"/>
      <c r="AI3880" s="112">
        <f>IF(H3880="credit",0,IF(AE3880="free",0,IF(AE3880="me",0,IF(G3880&gt;0,(VLOOKUP(A3880,'Discount Lookup'!J:K,2)*G3880),0))))</f>
        <v>0</v>
      </c>
      <c r="AJ3880" s="107" t="str">
        <f t="shared" ca="1" si="2902"/>
        <v/>
      </c>
      <c r="AK3880" s="714" t="str">
        <f t="shared" si="2903"/>
        <v/>
      </c>
      <c r="AL3880" s="714"/>
      <c r="AM3880" s="114" t="str">
        <f t="shared" si="2904"/>
        <v/>
      </c>
      <c r="AN3880" s="115"/>
      <c r="AO3880" s="116"/>
      <c r="AP3880" s="116"/>
      <c r="AQ3880" s="116"/>
      <c r="AR3880" s="116"/>
      <c r="AS3880" s="116"/>
      <c r="AT3880" s="116"/>
      <c r="AU3880" s="116"/>
      <c r="AV3880" s="78"/>
      <c r="AW3880" s="102"/>
      <c r="AX3880" s="78"/>
      <c r="AY3880" s="78"/>
      <c r="AZ3880" s="78"/>
      <c r="BA3880" s="78"/>
      <c r="BB3880" s="78"/>
      <c r="BC3880" s="78"/>
      <c r="BD3880" s="78"/>
      <c r="BE3880" s="465"/>
      <c r="BF3880" s="165" t="str">
        <f t="shared" si="2905"/>
        <v>https://www.google.com/search?tbm=isch&amp;q=Northern%20Lights%20foliage%20emerges%20Bright%20Red%2C%20shifts%20to%20Yellow%2C%20and%20matures%20to%20Green.%20Summer%20bloom%2C%20on%20new%20wood%2C%20so%20prune%20late%20winter%20</v>
      </c>
      <c r="BG3880" s="165" t="str">
        <f t="shared" si="2906"/>
        <v>N</v>
      </c>
      <c r="BH3880" s="65"/>
      <c r="BI3880" s="65"/>
      <c r="BJ3880" s="65"/>
      <c r="BK3880" s="65"/>
      <c r="BL3880" s="99"/>
      <c r="BM3880" s="99"/>
      <c r="BN3880" s="99"/>
    </row>
    <row r="3881" spans="1:66" s="51" customFormat="1" ht="18" x14ac:dyDescent="0.25">
      <c r="A3881" s="623" t="s">
        <v>4235</v>
      </c>
      <c r="B3881" s="624"/>
      <c r="C3881" s="709"/>
      <c r="D3881" s="625" t="s">
        <v>5824</v>
      </c>
      <c r="E3881" s="626"/>
      <c r="F3881" s="626"/>
      <c r="G3881" s="626"/>
      <c r="H3881" s="622" t="s">
        <v>1104</v>
      </c>
      <c r="I3881" s="627" t="s">
        <v>1458</v>
      </c>
      <c r="J3881" s="628"/>
      <c r="K3881" s="628"/>
      <c r="L3881" s="629"/>
      <c r="M3881" s="700" t="s">
        <v>5241</v>
      </c>
      <c r="N3881" s="693" t="str">
        <f>IF(AND(ISTEXT($A3881), ISERROR($A3881+0)), HYPERLINK($BF3881, "Images"), "")</f>
        <v>Images</v>
      </c>
      <c r="O3881" s="695" t="s">
        <v>5247</v>
      </c>
      <c r="P3881" s="630"/>
      <c r="Q3881" s="631"/>
      <c r="R3881" s="632"/>
      <c r="S3881" s="633"/>
      <c r="T3881" s="102">
        <f t="shared" si="2894"/>
        <v>0</v>
      </c>
      <c r="U3881" s="78" t="str">
        <f>IF(NOT(ISNUMBER(G3881)), "", VLOOKUP(A3881,'Discount Lookup'!D:E,2,FALSE)*G3881)</f>
        <v/>
      </c>
      <c r="V3881" s="78" t="str">
        <f>IF(NOT(ISNUMBER(G3881)), "", VLOOKUP(A3881,'Discount Lookup'!G:H,2,FALSE)*G3881)</f>
        <v/>
      </c>
      <c r="W3881" s="102">
        <f t="shared" si="2895"/>
        <v>0</v>
      </c>
      <c r="X3881" s="102" t="str">
        <f t="shared" si="2896"/>
        <v>Pink bloom</v>
      </c>
      <c r="Y3881" s="120" t="b">
        <f t="shared" si="2897"/>
        <v>0</v>
      </c>
      <c r="Z3881" s="117">
        <f t="shared" si="2898"/>
        <v>0</v>
      </c>
      <c r="AA3881" s="118"/>
      <c r="AB3881" s="118" t="str">
        <f t="shared" si="2899"/>
        <v/>
      </c>
      <c r="AC3881" s="712" t="str">
        <f>IF(AE3881="T2G","no charge",IF(AND(OR(PlanterYesMe="No",PlanterYesMe="N",PlanterYesMe="me"),H3881=""),"",IF(H3881="credit","NO install",IF(AND(K3881="",AE3881="me"),"EACH row",IF(AND(K3881="images",AE3881="me"),"EACH row",IF(D3881="","",IF(H3881="credit","",IF(AE3881="free","re-planting",IF(AE3881="me","   not ELP, by",IF(AND(OR(PlanterYesMe="Yes",PlanterYesMe="Y"),G3881&gt;0),(VLOOKUP(A3881,'Discount Lookup'!J:K,2)*G3881*(1-PlanterDiscount)*(1+PlanterDifficultyPercentage)),IF(AE3881="ELP",(VLOOKUP(A3881,'Discount Lookup'!J:K,2)*G3881*(1-PlanterDiscount)*(1+PlanterDifficultyPercentage)),IF(AE3881="free","re-planting",IF(G3881=0,"",IF(PlanterYesMe="",IF(AE3881="me","   not ELP, by",IF(AE3881="",IF(G3881&gt;0,(VLOOKUP(A3881,'Discount Lookup'!J:K,2)*G3881*(1-PlanterDiscount)*(1+PlanterDifficultyPercentage)),""),"")),"   not ELP, by"))))))))))))))</f>
        <v/>
      </c>
      <c r="AD3881" s="712"/>
      <c r="AE3881" s="513" t="str">
        <f t="shared" si="2900"/>
        <v/>
      </c>
      <c r="AF3881" s="713" t="str">
        <f t="shared" si="2901"/>
        <v/>
      </c>
      <c r="AG3881" s="713"/>
      <c r="AH3881" s="713"/>
      <c r="AI3881" s="112">
        <f>IF(H3881="credit",0,IF(AE3881="free",0,IF(AE3881="me",0,IF(G3881&gt;0,(VLOOKUP(A3881,'Discount Lookup'!J:K,2)*G3881),0))))</f>
        <v>0</v>
      </c>
      <c r="AJ3881" s="107" t="str">
        <f t="shared" ca="1" si="2902"/>
        <v/>
      </c>
      <c r="AK3881" s="714" t="str">
        <f t="shared" si="2903"/>
        <v/>
      </c>
      <c r="AL3881" s="714"/>
      <c r="AM3881" s="114" t="str">
        <f t="shared" si="2904"/>
        <v/>
      </c>
      <c r="AN3881" s="115"/>
      <c r="AO3881" s="116"/>
      <c r="AP3881" s="116"/>
      <c r="AQ3881" s="116"/>
      <c r="AR3881" s="116"/>
      <c r="AS3881" s="116"/>
      <c r="AT3881" s="116"/>
      <c r="AU3881" s="116"/>
      <c r="AV3881" s="78"/>
      <c r="AW3881" s="102"/>
      <c r="AX3881" s="78"/>
      <c r="AY3881" s="78"/>
      <c r="AZ3881" s="78"/>
      <c r="BA3881" s="78"/>
      <c r="BB3881" s="78"/>
      <c r="BC3881" s="78"/>
      <c r="BD3881" s="78"/>
      <c r="BE3881" s="465"/>
      <c r="BF3881" s="165" t="str">
        <f t="shared" si="2905"/>
        <v>https://www.google.com/search?tbm=isch&amp;q=Spiraea%20japonica%20%27Golden%20Jack%27%20PPAF%20Poprocks%C2%AE%20Pineapple%20Japanese%20Spirea</v>
      </c>
      <c r="BG3881" s="165" t="str">
        <f t="shared" si="2906"/>
        <v>S</v>
      </c>
      <c r="BH3881" s="65"/>
      <c r="BI3881" s="65"/>
      <c r="BJ3881" s="65"/>
      <c r="BK3881" s="65"/>
      <c r="BL3881" s="99"/>
      <c r="BM3881" s="99"/>
      <c r="BN3881" s="99"/>
    </row>
    <row r="3882" spans="1:66" s="51" customFormat="1" ht="15.75" x14ac:dyDescent="0.25">
      <c r="A3882" s="634">
        <v>1</v>
      </c>
      <c r="B3882" s="635" t="s">
        <v>291</v>
      </c>
      <c r="C3882" s="636" t="s">
        <v>3416</v>
      </c>
      <c r="D3882" s="637" t="s">
        <v>329</v>
      </c>
      <c r="E3882" s="638">
        <v>28.95</v>
      </c>
      <c r="F3882" s="639" t="s">
        <v>292</v>
      </c>
      <c r="G3882" s="484">
        <v>0</v>
      </c>
      <c r="H3882" s="691" t="str">
        <f>IF(G3882=0,"",IF(F3882="Buy",IF(G3882=1,"plant","plants"),IF(F3882&gt;0.01,"warranty","Error")))</f>
        <v/>
      </c>
      <c r="I3882" s="640">
        <f>IF(H3882="free",0,IF(H3882="credit",((E3882*(F3882))*G3882*-1),IF(F3882="Buy",(E3882*G3882),((E3882*(1-F3882))*G3882))))</f>
        <v>0</v>
      </c>
      <c r="J3882" s="640">
        <f>IF(H3882="warranty",0,(I3882*(_xlfn.SINGLE(SalesTaxPercentage))))</f>
        <v>0</v>
      </c>
      <c r="K3882" s="716">
        <f t="shared" ref="K3882" si="2913">I3882+J3882</f>
        <v>0</v>
      </c>
      <c r="L3882" s="716"/>
      <c r="M3882" s="689" t="str">
        <f ca="1">IF(AND(G3882&gt;0,E3882=0),"WARNING - no PRICE inserted",IF(H3882="free","FREE ~ no charge this plant",IF(H3882="credit",CONCATENATE("-$",ROUND(K3882*(1-_xlfn.SINGLE(T2GDiscount))*-1,2)," CREDIT after discount"),IF(_xlfn.SINGLE(T2GDiscount)=0,"",IF(G3882=0,"",IF(F3882="Buy",CONCATENATE("$",ROUND(K3882*(1-_xlfn.SINGLE(T2GDiscount)),2)," with ",(_xlfn.SINGLE(T2GDiscount)*100),"% discount"),CONCATENATE("$",ROUND(K3882*(1-_xlfn.SINGLE(T2GDiscount)),2)," with ",((_xlfn.SINGLE(T2GDiscount)*100+F3882*100)-(_xlfn.SINGLE(T2GDiscount)*100*F3882)),IF(F3882&gt;0,"% discounts",IF(_xlfn.SINGLE(NoWarrantyDiscount)&gt;0,"% discounts","% discount")))))))))</f>
        <v/>
      </c>
      <c r="N3882" s="690"/>
      <c r="O3882" s="486"/>
      <c r="P3882" s="486"/>
      <c r="Q3882" s="486"/>
      <c r="R3882" s="486"/>
      <c r="S3882" s="486"/>
      <c r="T3882" s="102">
        <f t="shared" si="2894"/>
        <v>0</v>
      </c>
      <c r="U3882" s="78">
        <f>IF(NOT(ISNUMBER(G3882)), "", VLOOKUP(A3882,'Discount Lookup'!D:E,2,FALSE)*G3882)</f>
        <v>0</v>
      </c>
      <c r="V3882" s="78">
        <f>IF(NOT(ISNUMBER(G3882)), "", VLOOKUP(A3882,'Discount Lookup'!G:H,2,FALSE)*G3882)</f>
        <v>0</v>
      </c>
      <c r="W3882" s="102">
        <f t="shared" si="2895"/>
        <v>0</v>
      </c>
      <c r="X3882" s="102">
        <f t="shared" si="2896"/>
        <v>0</v>
      </c>
      <c r="Y3882" s="120" t="b">
        <f t="shared" si="2897"/>
        <v>0</v>
      </c>
      <c r="Z3882" s="117">
        <f t="shared" si="2898"/>
        <v>0</v>
      </c>
      <c r="AA3882" s="118"/>
      <c r="AB3882" s="118" t="str">
        <f t="shared" si="2899"/>
        <v/>
      </c>
      <c r="AC3882" s="712" t="str">
        <f>IF(AE3882="T2G","no charge",IF(AND(OR(PlanterYesMe="No",PlanterYesMe="N",PlanterYesMe="me"),H3882=""),"",IF(H3882="credit","NO install",IF(AND(K3882="",AE3882="me"),"EACH row",IF(AND(K3882="images",AE3882="me"),"EACH row",IF(D3882="","",IF(H3882="credit","",IF(AE3882="free","re-planting",IF(AE3882="me","   not ELP, by",IF(AND(OR(PlanterYesMe="Yes",PlanterYesMe="Y"),G3882&gt;0),(VLOOKUP(A3882,'Discount Lookup'!J:K,2)*G3882*(1-PlanterDiscount)*(1+PlanterDifficultyPercentage)),IF(AE3882="ELP",(VLOOKUP(A3882,'Discount Lookup'!J:K,2)*G3882*(1-PlanterDiscount)*(1+PlanterDifficultyPercentage)),IF(AE3882="free","re-planting",IF(G3882=0,"",IF(PlanterYesMe="",IF(AE3882="me","   not ELP, by",IF(AE3882="",IF(G3882&gt;0,(VLOOKUP(A3882,'Discount Lookup'!J:K,2)*G3882*(1-PlanterDiscount)*(1+PlanterDifficultyPercentage)),""),"")),"   not ELP, by"))))))))))))))</f>
        <v/>
      </c>
      <c r="AD3882" s="712"/>
      <c r="AE3882" s="513" t="str">
        <f t="shared" si="2900"/>
        <v/>
      </c>
      <c r="AF3882" s="713" t="str">
        <f t="shared" si="2901"/>
        <v/>
      </c>
      <c r="AG3882" s="713"/>
      <c r="AH3882" s="713"/>
      <c r="AI3882" s="112">
        <f>IF(H3882="credit",0,IF(AE3882="free",0,IF(AE3882="me",0,IF(G3882&gt;0,(VLOOKUP(A3882,'Discount Lookup'!J:K,2)*G3882),0))))</f>
        <v>0</v>
      </c>
      <c r="AJ3882" s="107" t="str">
        <f t="shared" ca="1" si="2902"/>
        <v/>
      </c>
      <c r="AK3882" s="714" t="str">
        <f t="shared" si="2903"/>
        <v/>
      </c>
      <c r="AL3882" s="714"/>
      <c r="AM3882" s="114" t="str">
        <f t="shared" si="2904"/>
        <v/>
      </c>
      <c r="AN3882" s="115"/>
      <c r="AO3882" s="116"/>
      <c r="AP3882" s="116"/>
      <c r="AQ3882" s="116"/>
      <c r="AR3882" s="116"/>
      <c r="AS3882" s="116"/>
      <c r="AT3882" s="116"/>
      <c r="AU3882" s="116"/>
      <c r="AV3882" s="78"/>
      <c r="AW3882" s="102"/>
      <c r="AX3882" s="78"/>
      <c r="AY3882" s="78"/>
      <c r="AZ3882" s="78"/>
      <c r="BA3882" s="78"/>
      <c r="BB3882" s="78"/>
      <c r="BC3882" s="78"/>
      <c r="BD3882" s="78"/>
      <c r="BE3882" s="465"/>
      <c r="BF3882" s="165" t="str">
        <f t="shared" si="2905"/>
        <v>https://www.google.com/search?tbm=isch&amp;q=1%20G2</v>
      </c>
      <c r="BG3882" s="165" t="str">
        <f t="shared" si="2906"/>
        <v>S</v>
      </c>
      <c r="BH3882" s="65"/>
      <c r="BI3882" s="65"/>
      <c r="BJ3882" s="65"/>
      <c r="BK3882" s="65"/>
      <c r="BL3882" s="99"/>
      <c r="BM3882" s="99"/>
      <c r="BN3882" s="99"/>
    </row>
    <row r="3883" spans="1:66" s="51" customFormat="1" ht="17.25" thickBot="1" x14ac:dyDescent="0.3">
      <c r="A3883" s="641" t="s">
        <v>4850</v>
      </c>
      <c r="B3883" s="642"/>
      <c r="C3883" s="710"/>
      <c r="D3883" s="643"/>
      <c r="E3883" s="643"/>
      <c r="F3883" s="644"/>
      <c r="G3883" s="645"/>
      <c r="H3883" s="646"/>
      <c r="I3883" s="647"/>
      <c r="J3883" s="648"/>
      <c r="K3883" s="649"/>
      <c r="L3883" s="650"/>
      <c r="M3883" s="650"/>
      <c r="N3883" s="644"/>
      <c r="O3883" s="644"/>
      <c r="P3883" s="644"/>
      <c r="Q3883" s="644"/>
      <c r="R3883" s="644"/>
      <c r="S3883" s="701" t="s">
        <v>5271</v>
      </c>
      <c r="T3883" s="102">
        <f t="shared" si="2894"/>
        <v>0</v>
      </c>
      <c r="U3883" s="78" t="str">
        <f>IF(NOT(ISNUMBER(G3883)), "", VLOOKUP(A3883,'Discount Lookup'!D:E,2,FALSE)*G3883)</f>
        <v/>
      </c>
      <c r="V3883" s="78" t="str">
        <f>IF(NOT(ISNUMBER(G3883)), "", VLOOKUP(A3883,'Discount Lookup'!G:H,2,FALSE)*G3883)</f>
        <v/>
      </c>
      <c r="W3883" s="102">
        <f t="shared" si="2895"/>
        <v>0</v>
      </c>
      <c r="X3883" s="102">
        <f t="shared" si="2896"/>
        <v>0</v>
      </c>
      <c r="Y3883" s="120" t="b">
        <f t="shared" si="2897"/>
        <v>0</v>
      </c>
      <c r="Z3883" s="117">
        <f t="shared" si="2898"/>
        <v>0</v>
      </c>
      <c r="AA3883" s="118"/>
      <c r="AB3883" s="118" t="str">
        <f t="shared" si="2899"/>
        <v/>
      </c>
      <c r="AC3883" s="712" t="str">
        <f>IF(AE3883="T2G","no charge",IF(AND(OR(PlanterYesMe="No",PlanterYesMe="N",PlanterYesMe="me"),H3883=""),"",IF(H3883="credit","NO install",IF(AND(K3883="",AE3883="me"),"EACH row",IF(AND(K3883="images",AE3883="me"),"EACH row",IF(D3883="","",IF(H3883="credit","",IF(AE3883="free","re-planting",IF(AE3883="me","   not ELP, by",IF(AND(OR(PlanterYesMe="Yes",PlanterYesMe="Y"),G3883&gt;0),(VLOOKUP(A3883,'Discount Lookup'!J:K,2)*G3883*(1-PlanterDiscount)*(1+PlanterDifficultyPercentage)),IF(AE3883="ELP",(VLOOKUP(A3883,'Discount Lookup'!J:K,2)*G3883*(1-PlanterDiscount)*(1+PlanterDifficultyPercentage)),IF(AE3883="free","re-planting",IF(G3883=0,"",IF(PlanterYesMe="",IF(AE3883="me","   not ELP, by",IF(AE3883="",IF(G3883&gt;0,(VLOOKUP(A3883,'Discount Lookup'!J:K,2)*G3883*(1-PlanterDiscount)*(1+PlanterDifficultyPercentage)),""),"")),"   not ELP, by"))))))))))))))</f>
        <v/>
      </c>
      <c r="AD3883" s="712"/>
      <c r="AE3883" s="513" t="str">
        <f t="shared" si="2900"/>
        <v/>
      </c>
      <c r="AF3883" s="713" t="str">
        <f t="shared" si="2901"/>
        <v/>
      </c>
      <c r="AG3883" s="713"/>
      <c r="AH3883" s="713"/>
      <c r="AI3883" s="112">
        <f>IF(H3883="credit",0,IF(AE3883="free",0,IF(AE3883="me",0,IF(G3883&gt;0,(VLOOKUP(A3883,'Discount Lookup'!J:K,2)*G3883),0))))</f>
        <v>0</v>
      </c>
      <c r="AJ3883" s="107" t="str">
        <f t="shared" ca="1" si="2902"/>
        <v/>
      </c>
      <c r="AK3883" s="714" t="str">
        <f t="shared" si="2903"/>
        <v/>
      </c>
      <c r="AL3883" s="714"/>
      <c r="AM3883" s="114" t="str">
        <f t="shared" si="2904"/>
        <v/>
      </c>
      <c r="AN3883" s="115"/>
      <c r="AO3883" s="116"/>
      <c r="AP3883" s="116"/>
      <c r="AQ3883" s="116"/>
      <c r="AR3883" s="116"/>
      <c r="AS3883" s="116"/>
      <c r="AT3883" s="116"/>
      <c r="AU3883" s="116"/>
      <c r="AV3883" s="78"/>
      <c r="AW3883" s="102"/>
      <c r="AX3883" s="78"/>
      <c r="AY3883" s="78"/>
      <c r="AZ3883" s="78"/>
      <c r="BA3883" s="78"/>
      <c r="BB3883" s="78"/>
      <c r="BC3883" s="78"/>
      <c r="BD3883" s="78"/>
      <c r="BE3883" s="465"/>
      <c r="BF3883" s="165" t="str">
        <f t="shared" si="2905"/>
        <v>https://www.google.com/search?tbm=isch&amp;q=Poprocks%20Pineapple%20has%20Chartreuse%20to%20Yellow%20foliage%2C%20turning%20Fiery%20Red%20in%20fall.%20Summer%20bloom%2C%20on%20new%20wood%2C%20so%20prune%20late%20winter%20</v>
      </c>
      <c r="BG3883" s="165" t="str">
        <f t="shared" si="2906"/>
        <v>P</v>
      </c>
      <c r="BH3883" s="65"/>
      <c r="BI3883" s="65"/>
      <c r="BJ3883" s="65"/>
      <c r="BK3883" s="65"/>
      <c r="BL3883" s="99"/>
      <c r="BM3883" s="99"/>
      <c r="BN3883" s="99"/>
    </row>
    <row r="3884" spans="1:66" s="51" customFormat="1" ht="18" x14ac:dyDescent="0.25">
      <c r="A3884" s="623" t="s">
        <v>4236</v>
      </c>
      <c r="B3884" s="624"/>
      <c r="C3884" s="709"/>
      <c r="D3884" s="625" t="s">
        <v>5209</v>
      </c>
      <c r="E3884" s="626"/>
      <c r="F3884" s="626"/>
      <c r="G3884" s="626"/>
      <c r="H3884" s="622" t="s">
        <v>1104</v>
      </c>
      <c r="I3884" s="627" t="s">
        <v>1783</v>
      </c>
      <c r="J3884" s="628"/>
      <c r="K3884" s="628"/>
      <c r="L3884" s="629"/>
      <c r="M3884" s="700" t="s">
        <v>5241</v>
      </c>
      <c r="N3884" s="693" t="str">
        <f>IF(AND(ISTEXT($A3884), ISERROR($A3884+0)), HYPERLINK($BF3884, "Images"), "")</f>
        <v>Images</v>
      </c>
      <c r="O3884" s="695" t="s">
        <v>5247</v>
      </c>
      <c r="P3884" s="630"/>
      <c r="Q3884" s="631"/>
      <c r="R3884" s="632"/>
      <c r="S3884" s="633"/>
      <c r="T3884" s="102">
        <f t="shared" si="2894"/>
        <v>0</v>
      </c>
      <c r="U3884" s="78" t="str">
        <f>IF(NOT(ISNUMBER(G3884)), "", VLOOKUP(A3884,'Discount Lookup'!D:E,2,FALSE)*G3884)</f>
        <v/>
      </c>
      <c r="V3884" s="78" t="str">
        <f>IF(NOT(ISNUMBER(G3884)), "", VLOOKUP(A3884,'Discount Lookup'!G:H,2,FALSE)*G3884)</f>
        <v/>
      </c>
      <c r="W3884" s="102">
        <f t="shared" si="2895"/>
        <v>0</v>
      </c>
      <c r="X3884" s="102" t="str">
        <f t="shared" si="2896"/>
        <v>Soft Pink bloom</v>
      </c>
      <c r="Y3884" s="120" t="b">
        <f t="shared" si="2897"/>
        <v>0</v>
      </c>
      <c r="Z3884" s="117">
        <f t="shared" si="2898"/>
        <v>0</v>
      </c>
      <c r="AA3884" s="118"/>
      <c r="AB3884" s="118" t="str">
        <f t="shared" si="2899"/>
        <v/>
      </c>
      <c r="AC3884" s="712" t="str">
        <f>IF(AE3884="T2G","no charge",IF(AND(OR(PlanterYesMe="No",PlanterYesMe="N",PlanterYesMe="me"),H3884=""),"",IF(H3884="credit","NO install",IF(AND(K3884="",AE3884="me"),"EACH row",IF(AND(K3884="images",AE3884="me"),"EACH row",IF(D3884="","",IF(H3884="credit","",IF(AE3884="free","re-planting",IF(AE3884="me","   not ELP, by",IF(AND(OR(PlanterYesMe="Yes",PlanterYesMe="Y"),G3884&gt;0),(VLOOKUP(A3884,'Discount Lookup'!J:K,2)*G3884*(1-PlanterDiscount)*(1+PlanterDifficultyPercentage)),IF(AE3884="ELP",(VLOOKUP(A3884,'Discount Lookup'!J:K,2)*G3884*(1-PlanterDiscount)*(1+PlanterDifficultyPercentage)),IF(AE3884="free","re-planting",IF(G3884=0,"",IF(PlanterYesMe="",IF(AE3884="me","   not ELP, by",IF(AE3884="",IF(G3884&gt;0,(VLOOKUP(A3884,'Discount Lookup'!J:K,2)*G3884*(1-PlanterDiscount)*(1+PlanterDifficultyPercentage)),""),"")),"   not ELP, by"))))))))))))))</f>
        <v/>
      </c>
      <c r="AD3884" s="712"/>
      <c r="AE3884" s="513" t="str">
        <f t="shared" si="2900"/>
        <v/>
      </c>
      <c r="AF3884" s="713" t="str">
        <f t="shared" si="2901"/>
        <v/>
      </c>
      <c r="AG3884" s="713"/>
      <c r="AH3884" s="713"/>
      <c r="AI3884" s="112">
        <f>IF(H3884="credit",0,IF(AE3884="free",0,IF(AE3884="me",0,IF(G3884&gt;0,(VLOOKUP(A3884,'Discount Lookup'!J:K,2)*G3884),0))))</f>
        <v>0</v>
      </c>
      <c r="AJ3884" s="107" t="str">
        <f t="shared" ca="1" si="2902"/>
        <v/>
      </c>
      <c r="AK3884" s="714" t="str">
        <f t="shared" si="2903"/>
        <v/>
      </c>
      <c r="AL3884" s="714"/>
      <c r="AM3884" s="114" t="str">
        <f t="shared" si="2904"/>
        <v/>
      </c>
      <c r="AN3884" s="115"/>
      <c r="AO3884" s="116"/>
      <c r="AP3884" s="116"/>
      <c r="AQ3884" s="116"/>
      <c r="AR3884" s="116"/>
      <c r="AS3884" s="116"/>
      <c r="AT3884" s="116"/>
      <c r="AU3884" s="116"/>
      <c r="AV3884" s="78"/>
      <c r="AW3884" s="102"/>
      <c r="AX3884" s="78"/>
      <c r="AY3884" s="78"/>
      <c r="AZ3884" s="78"/>
      <c r="BA3884" s="78"/>
      <c r="BB3884" s="78"/>
      <c r="BC3884" s="78"/>
      <c r="BD3884" s="78"/>
      <c r="BE3884" s="465"/>
      <c r="BF3884" s="165" t="str">
        <f t="shared" si="2905"/>
        <v>https://www.google.com/search?tbm=isch&amp;q=Spiraea%20japonica%20%27Lemon%20Princess%27%20Lemon%20Princess%20Japanese%20Spirea</v>
      </c>
      <c r="BG3884" s="165" t="str">
        <f t="shared" si="2906"/>
        <v>S</v>
      </c>
      <c r="BH3884" s="65"/>
      <c r="BI3884" s="65"/>
      <c r="BJ3884" s="65"/>
      <c r="BK3884" s="65"/>
      <c r="BL3884" s="99"/>
      <c r="BM3884" s="99"/>
      <c r="BN3884" s="99"/>
    </row>
    <row r="3885" spans="1:66" s="51" customFormat="1" ht="15.75" x14ac:dyDescent="0.25">
      <c r="A3885" s="634">
        <v>3</v>
      </c>
      <c r="B3885" s="635" t="s">
        <v>291</v>
      </c>
      <c r="C3885" s="636" t="s">
        <v>4237</v>
      </c>
      <c r="D3885" s="637" t="s">
        <v>309</v>
      </c>
      <c r="E3885" s="638">
        <v>22.95</v>
      </c>
      <c r="F3885" s="639" t="s">
        <v>292</v>
      </c>
      <c r="G3885" s="484">
        <v>0</v>
      </c>
      <c r="H3885" s="691" t="str">
        <f>IF(G3885=0,"",IF(F3885="Buy",IF(G3885=1,"plant","plants"),IF(F3885&gt;0.01,"warranty","Error")))</f>
        <v/>
      </c>
      <c r="I3885" s="640">
        <f>IF(H3885="free",0,IF(H3885="credit",((E3885*(F3885))*G3885*-1),IF(F3885="Buy",(E3885*G3885),((E3885*(1-F3885))*G3885))))</f>
        <v>0</v>
      </c>
      <c r="J3885" s="640">
        <f>IF(H3885="warranty",0,(I3885*(_xlfn.SINGLE(SalesTaxPercentage))))</f>
        <v>0</v>
      </c>
      <c r="K3885" s="716">
        <f t="shared" ref="K3885" si="2914">I3885+J3885</f>
        <v>0</v>
      </c>
      <c r="L3885" s="716"/>
      <c r="M3885" s="689" t="str">
        <f ca="1">IF(AND(G3885&gt;0,E3885=0),"WARNING - no PRICE inserted",IF(H3885="free","FREE ~ no charge this plant",IF(H3885="credit",CONCATENATE("-$",ROUND(K3885*(1-_xlfn.SINGLE(T2GDiscount))*-1,2)," CREDIT after discount"),IF(_xlfn.SINGLE(T2GDiscount)=0,"",IF(G3885=0,"",IF(F3885="Buy",CONCATENATE("$",ROUND(K3885*(1-_xlfn.SINGLE(T2GDiscount)),2)," with ",(_xlfn.SINGLE(T2GDiscount)*100),"% discount"),CONCATENATE("$",ROUND(K3885*(1-_xlfn.SINGLE(T2GDiscount)),2)," with ",((_xlfn.SINGLE(T2GDiscount)*100+F3885*100)-(_xlfn.SINGLE(T2GDiscount)*100*F3885)),IF(F3885&gt;0,"% discounts",IF(_xlfn.SINGLE(NoWarrantyDiscount)&gt;0,"% discounts","% discount")))))))))</f>
        <v/>
      </c>
      <c r="N3885" s="690"/>
      <c r="O3885" s="486"/>
      <c r="P3885" s="486"/>
      <c r="Q3885" s="486"/>
      <c r="R3885" s="486"/>
      <c r="S3885" s="486"/>
      <c r="T3885" s="102">
        <f t="shared" si="2894"/>
        <v>0</v>
      </c>
      <c r="U3885" s="78">
        <f>IF(NOT(ISNUMBER(G3885)), "", VLOOKUP(A3885,'Discount Lookup'!D:E,2,FALSE)*G3885)</f>
        <v>0</v>
      </c>
      <c r="V3885" s="78">
        <f>IF(NOT(ISNUMBER(G3885)), "", VLOOKUP(A3885,'Discount Lookup'!G:H,2,FALSE)*G3885)</f>
        <v>0</v>
      </c>
      <c r="W3885" s="102">
        <f t="shared" si="2895"/>
        <v>0</v>
      </c>
      <c r="X3885" s="102">
        <f t="shared" si="2896"/>
        <v>0</v>
      </c>
      <c r="Y3885" s="120" t="b">
        <f t="shared" si="2897"/>
        <v>0</v>
      </c>
      <c r="Z3885" s="117">
        <f t="shared" si="2898"/>
        <v>0</v>
      </c>
      <c r="AA3885" s="118"/>
      <c r="AB3885" s="118" t="str">
        <f t="shared" si="2899"/>
        <v/>
      </c>
      <c r="AC3885" s="712" t="str">
        <f>IF(AE3885="T2G","no charge",IF(AND(OR(PlanterYesMe="No",PlanterYesMe="N",PlanterYesMe="me"),H3885=""),"",IF(H3885="credit","NO install",IF(AND(K3885="",AE3885="me"),"EACH row",IF(AND(K3885="images",AE3885="me"),"EACH row",IF(D3885="","",IF(H3885="credit","",IF(AE3885="free","re-planting",IF(AE3885="me","   not ELP, by",IF(AND(OR(PlanterYesMe="Yes",PlanterYesMe="Y"),G3885&gt;0),(VLOOKUP(A3885,'Discount Lookup'!J:K,2)*G3885*(1-PlanterDiscount)*(1+PlanterDifficultyPercentage)),IF(AE3885="ELP",(VLOOKUP(A3885,'Discount Lookup'!J:K,2)*G3885*(1-PlanterDiscount)*(1+PlanterDifficultyPercentage)),IF(AE3885="free","re-planting",IF(G3885=0,"",IF(PlanterYesMe="",IF(AE3885="me","   not ELP, by",IF(AE3885="",IF(G3885&gt;0,(VLOOKUP(A3885,'Discount Lookup'!J:K,2)*G3885*(1-PlanterDiscount)*(1+PlanterDifficultyPercentage)),""),"")),"   not ELP, by"))))))))))))))</f>
        <v/>
      </c>
      <c r="AD3885" s="712"/>
      <c r="AE3885" s="513" t="str">
        <f t="shared" si="2900"/>
        <v/>
      </c>
      <c r="AF3885" s="713" t="str">
        <f t="shared" si="2901"/>
        <v/>
      </c>
      <c r="AG3885" s="713"/>
      <c r="AH3885" s="713"/>
      <c r="AI3885" s="112">
        <f>IF(H3885="credit",0,IF(AE3885="free",0,IF(AE3885="me",0,IF(G3885&gt;0,(VLOOKUP(A3885,'Discount Lookup'!J:K,2)*G3885),0))))</f>
        <v>0</v>
      </c>
      <c r="AJ3885" s="107" t="str">
        <f t="shared" ca="1" si="2902"/>
        <v/>
      </c>
      <c r="AK3885" s="714" t="str">
        <f t="shared" si="2903"/>
        <v/>
      </c>
      <c r="AL3885" s="714"/>
      <c r="AM3885" s="114" t="str">
        <f t="shared" si="2904"/>
        <v/>
      </c>
      <c r="AN3885" s="115"/>
      <c r="AO3885" s="116"/>
      <c r="AP3885" s="116"/>
      <c r="AQ3885" s="116"/>
      <c r="AR3885" s="116"/>
      <c r="AS3885" s="116"/>
      <c r="AT3885" s="116"/>
      <c r="AU3885" s="116"/>
      <c r="AV3885" s="78"/>
      <c r="AW3885" s="102"/>
      <c r="AX3885" s="78"/>
      <c r="AY3885" s="78"/>
      <c r="AZ3885" s="78"/>
      <c r="BA3885" s="78"/>
      <c r="BB3885" s="78"/>
      <c r="BC3885" s="78"/>
      <c r="BD3885" s="78"/>
      <c r="BE3885" s="465"/>
      <c r="BF3885" s="165" t="str">
        <f t="shared" si="2905"/>
        <v>https://www.google.com/search?tbm=isch&amp;q=3%20G3</v>
      </c>
      <c r="BG3885" s="165" t="str">
        <f t="shared" si="2906"/>
        <v>S</v>
      </c>
      <c r="BH3885" s="65"/>
      <c r="BI3885" s="65"/>
      <c r="BJ3885" s="65"/>
      <c r="BK3885" s="65"/>
      <c r="BL3885" s="99"/>
      <c r="BM3885" s="99"/>
      <c r="BN3885" s="99"/>
    </row>
    <row r="3886" spans="1:66" s="51" customFormat="1" ht="15.75" x14ac:dyDescent="0.25">
      <c r="A3886" s="634">
        <v>3</v>
      </c>
      <c r="B3886" s="635" t="s">
        <v>291</v>
      </c>
      <c r="C3886" s="636"/>
      <c r="D3886" s="637" t="s">
        <v>310</v>
      </c>
      <c r="E3886" s="638">
        <v>25.95</v>
      </c>
      <c r="F3886" s="639" t="s">
        <v>292</v>
      </c>
      <c r="G3886" s="484">
        <v>0</v>
      </c>
      <c r="H3886" s="691" t="str">
        <f>IF(G3886=0,"",IF(F3886="Buy",IF(G3886=1,"plant","plants"),IF(F3886&gt;0.01,"warranty","Error")))</f>
        <v/>
      </c>
      <c r="I3886" s="640">
        <f>IF(H3886="free",0,IF(H3886="credit",((E3886*(F3886))*G3886*-1),IF(F3886="Buy",(E3886*G3886),((E3886*(1-F3886))*G3886))))</f>
        <v>0</v>
      </c>
      <c r="J3886" s="640">
        <f>IF(H3886="warranty",0,(I3886*(_xlfn.SINGLE(SalesTaxPercentage))))</f>
        <v>0</v>
      </c>
      <c r="K3886" s="716">
        <f t="shared" ref="K3886" si="2915">I3886+J3886</f>
        <v>0</v>
      </c>
      <c r="L3886" s="716"/>
      <c r="M3886" s="689" t="str">
        <f ca="1">IF(AND(G3886&gt;0,E3886=0),"WARNING - no PRICE inserted",IF(H3886="free","FREE ~ no charge this plant",IF(H3886="credit",CONCATENATE("-$",ROUND(K3886*(1-_xlfn.SINGLE(T2GDiscount))*-1,2)," CREDIT after discount"),IF(_xlfn.SINGLE(T2GDiscount)=0,"",IF(G3886=0,"",IF(F3886="Buy",CONCATENATE("$",ROUND(K3886*(1-_xlfn.SINGLE(T2GDiscount)),2)," with ",(_xlfn.SINGLE(T2GDiscount)*100),"% discount"),CONCATENATE("$",ROUND(K3886*(1-_xlfn.SINGLE(T2GDiscount)),2)," with ",((_xlfn.SINGLE(T2GDiscount)*100+F3886*100)-(_xlfn.SINGLE(T2GDiscount)*100*F3886)),IF(F3886&gt;0,"% discounts",IF(_xlfn.SINGLE(NoWarrantyDiscount)&gt;0,"% discounts","% discount")))))))))</f>
        <v/>
      </c>
      <c r="N3886" s="690"/>
      <c r="O3886" s="486"/>
      <c r="P3886" s="486"/>
      <c r="Q3886" s="486"/>
      <c r="R3886" s="486"/>
      <c r="S3886" s="486"/>
      <c r="T3886" s="102">
        <f t="shared" si="2894"/>
        <v>0</v>
      </c>
      <c r="U3886" s="78">
        <f>IF(NOT(ISNUMBER(G3886)), "", VLOOKUP(A3886,'Discount Lookup'!D:E,2,FALSE)*G3886)</f>
        <v>0</v>
      </c>
      <c r="V3886" s="78">
        <f>IF(NOT(ISNUMBER(G3886)), "", VLOOKUP(A3886,'Discount Lookup'!G:H,2,FALSE)*G3886)</f>
        <v>0</v>
      </c>
      <c r="W3886" s="102">
        <f t="shared" si="2895"/>
        <v>0</v>
      </c>
      <c r="X3886" s="102">
        <f t="shared" si="2896"/>
        <v>0</v>
      </c>
      <c r="Y3886" s="120" t="b">
        <f t="shared" si="2897"/>
        <v>0</v>
      </c>
      <c r="Z3886" s="117">
        <f t="shared" si="2898"/>
        <v>0</v>
      </c>
      <c r="AA3886" s="118"/>
      <c r="AB3886" s="118" t="str">
        <f t="shared" si="2899"/>
        <v/>
      </c>
      <c r="AC3886" s="712" t="str">
        <f>IF(AE3886="T2G","no charge",IF(AND(OR(PlanterYesMe="No",PlanterYesMe="N",PlanterYesMe="me"),H3886=""),"",IF(H3886="credit","NO install",IF(AND(K3886="",AE3886="me"),"EACH row",IF(AND(K3886="images",AE3886="me"),"EACH row",IF(D3886="","",IF(H3886="credit","",IF(AE3886="free","re-planting",IF(AE3886="me","   not ELP, by",IF(AND(OR(PlanterYesMe="Yes",PlanterYesMe="Y"),G3886&gt;0),(VLOOKUP(A3886,'Discount Lookup'!J:K,2)*G3886*(1-PlanterDiscount)*(1+PlanterDifficultyPercentage)),IF(AE3886="ELP",(VLOOKUP(A3886,'Discount Lookup'!J:K,2)*G3886*(1-PlanterDiscount)*(1+PlanterDifficultyPercentage)),IF(AE3886="free","re-planting",IF(G3886=0,"",IF(PlanterYesMe="",IF(AE3886="me","   not ELP, by",IF(AE3886="",IF(G3886&gt;0,(VLOOKUP(A3886,'Discount Lookup'!J:K,2)*G3886*(1-PlanterDiscount)*(1+PlanterDifficultyPercentage)),""),"")),"   not ELP, by"))))))))))))))</f>
        <v/>
      </c>
      <c r="AD3886" s="712"/>
      <c r="AE3886" s="513" t="str">
        <f t="shared" si="2900"/>
        <v/>
      </c>
      <c r="AF3886" s="713" t="str">
        <f t="shared" si="2901"/>
        <v/>
      </c>
      <c r="AG3886" s="713"/>
      <c r="AH3886" s="713"/>
      <c r="AI3886" s="112">
        <f>IF(H3886="credit",0,IF(AE3886="free",0,IF(AE3886="me",0,IF(G3886&gt;0,(VLOOKUP(A3886,'Discount Lookup'!J:K,2)*G3886),0))))</f>
        <v>0</v>
      </c>
      <c r="AJ3886" s="107" t="str">
        <f t="shared" ca="1" si="2902"/>
        <v/>
      </c>
      <c r="AK3886" s="714" t="str">
        <f t="shared" si="2903"/>
        <v/>
      </c>
      <c r="AL3886" s="714"/>
      <c r="AM3886" s="114" t="str">
        <f t="shared" si="2904"/>
        <v/>
      </c>
      <c r="AN3886" s="115"/>
      <c r="AO3886" s="116"/>
      <c r="AP3886" s="116"/>
      <c r="AQ3886" s="116"/>
      <c r="AR3886" s="116"/>
      <c r="AS3886" s="116"/>
      <c r="AT3886" s="116"/>
      <c r="AU3886" s="116"/>
      <c r="AV3886" s="78"/>
      <c r="AW3886" s="102"/>
      <c r="AX3886" s="78"/>
      <c r="AY3886" s="78"/>
      <c r="AZ3886" s="78"/>
      <c r="BA3886" s="78"/>
      <c r="BB3886" s="78"/>
      <c r="BC3886" s="78"/>
      <c r="BD3886" s="78"/>
      <c r="BE3886" s="465"/>
      <c r="BF3886" s="165" t="str">
        <f t="shared" si="2905"/>
        <v>https://www.google.com/search?tbm=isch&amp;q=3%20G1</v>
      </c>
      <c r="BG3886" s="165" t="str">
        <f t="shared" si="2906"/>
        <v>S</v>
      </c>
      <c r="BH3886" s="65"/>
      <c r="BI3886" s="65"/>
      <c r="BJ3886" s="65"/>
      <c r="BK3886" s="65"/>
      <c r="BL3886" s="99"/>
      <c r="BM3886" s="99"/>
      <c r="BN3886" s="99"/>
    </row>
    <row r="3887" spans="1:66" s="51" customFormat="1" ht="15.75" x14ac:dyDescent="0.25">
      <c r="A3887" s="634">
        <v>3</v>
      </c>
      <c r="B3887" s="635" t="s">
        <v>291</v>
      </c>
      <c r="C3887" s="636" t="s">
        <v>4238</v>
      </c>
      <c r="D3887" s="637" t="s">
        <v>293</v>
      </c>
      <c r="E3887" s="638">
        <v>47.95</v>
      </c>
      <c r="F3887" s="639" t="s">
        <v>292</v>
      </c>
      <c r="G3887" s="484">
        <v>0</v>
      </c>
      <c r="H3887" s="691" t="str">
        <f>IF(G3887=0,"",IF(F3887="Buy",IF(G3887=1,"plant","plants"),IF(F3887&gt;0.01,"warranty","Error")))</f>
        <v/>
      </c>
      <c r="I3887" s="640">
        <f>IF(H3887="free",0,IF(H3887="credit",((E3887*(F3887))*G3887*-1),IF(F3887="Buy",(E3887*G3887),((E3887*(1-F3887))*G3887))))</f>
        <v>0</v>
      </c>
      <c r="J3887" s="640">
        <f>IF(H3887="warranty",0,(I3887*(_xlfn.SINGLE(SalesTaxPercentage))))</f>
        <v>0</v>
      </c>
      <c r="K3887" s="716">
        <f t="shared" ref="K3887" si="2916">I3887+J3887</f>
        <v>0</v>
      </c>
      <c r="L3887" s="716"/>
      <c r="M3887" s="689" t="str">
        <f ca="1">IF(AND(G3887&gt;0,E3887=0),"WARNING - no PRICE inserted",IF(H3887="free","FREE ~ no charge this plant",IF(H3887="credit",CONCATENATE("-$",ROUND(K3887*(1-_xlfn.SINGLE(T2GDiscount))*-1,2)," CREDIT after discount"),IF(_xlfn.SINGLE(T2GDiscount)=0,"",IF(G3887=0,"",IF(F3887="Buy",CONCATENATE("$",ROUND(K3887*(1-_xlfn.SINGLE(T2GDiscount)),2)," with ",(_xlfn.SINGLE(T2GDiscount)*100),"% discount"),CONCATENATE("$",ROUND(K3887*(1-_xlfn.SINGLE(T2GDiscount)),2)," with ",((_xlfn.SINGLE(T2GDiscount)*100+F3887*100)-(_xlfn.SINGLE(T2GDiscount)*100*F3887)),IF(F3887&gt;0,"% discounts",IF(_xlfn.SINGLE(NoWarrantyDiscount)&gt;0,"% discounts","% discount")))))))))</f>
        <v/>
      </c>
      <c r="N3887" s="690"/>
      <c r="O3887" s="486"/>
      <c r="P3887" s="486"/>
      <c r="Q3887" s="486"/>
      <c r="R3887" s="486"/>
      <c r="S3887" s="486"/>
      <c r="T3887" s="102">
        <f t="shared" si="2894"/>
        <v>0</v>
      </c>
      <c r="U3887" s="78">
        <f>IF(NOT(ISNUMBER(G3887)), "", VLOOKUP(A3887,'Discount Lookup'!D:E,2,FALSE)*G3887)</f>
        <v>0</v>
      </c>
      <c r="V3887" s="78">
        <f>IF(NOT(ISNUMBER(G3887)), "", VLOOKUP(A3887,'Discount Lookup'!G:H,2,FALSE)*G3887)</f>
        <v>0</v>
      </c>
      <c r="W3887" s="102">
        <f t="shared" si="2895"/>
        <v>0</v>
      </c>
      <c r="X3887" s="102">
        <f t="shared" si="2896"/>
        <v>0</v>
      </c>
      <c r="Y3887" s="120" t="b">
        <f t="shared" si="2897"/>
        <v>0</v>
      </c>
      <c r="Z3887" s="117">
        <f t="shared" si="2898"/>
        <v>0</v>
      </c>
      <c r="AA3887" s="118"/>
      <c r="AB3887" s="118" t="str">
        <f t="shared" si="2899"/>
        <v/>
      </c>
      <c r="AC3887" s="712" t="str">
        <f>IF(AE3887="T2G","no charge",IF(AND(OR(PlanterYesMe="No",PlanterYesMe="N",PlanterYesMe="me"),H3887=""),"",IF(H3887="credit","NO install",IF(AND(K3887="",AE3887="me"),"EACH row",IF(AND(K3887="images",AE3887="me"),"EACH row",IF(D3887="","",IF(H3887="credit","",IF(AE3887="free","re-planting",IF(AE3887="me","   not ELP, by",IF(AND(OR(PlanterYesMe="Yes",PlanterYesMe="Y"),G3887&gt;0),(VLOOKUP(A3887,'Discount Lookup'!J:K,2)*G3887*(1-PlanterDiscount)*(1+PlanterDifficultyPercentage)),IF(AE3887="ELP",(VLOOKUP(A3887,'Discount Lookup'!J:K,2)*G3887*(1-PlanterDiscount)*(1+PlanterDifficultyPercentage)),IF(AE3887="free","re-planting",IF(G3887=0,"",IF(PlanterYesMe="",IF(AE3887="me","   not ELP, by",IF(AE3887="",IF(G3887&gt;0,(VLOOKUP(A3887,'Discount Lookup'!J:K,2)*G3887*(1-PlanterDiscount)*(1+PlanterDifficultyPercentage)),""),"")),"   not ELP, by"))))))))))))))</f>
        <v/>
      </c>
      <c r="AD3887" s="712"/>
      <c r="AE3887" s="513" t="str">
        <f t="shared" si="2900"/>
        <v/>
      </c>
      <c r="AF3887" s="713" t="str">
        <f t="shared" si="2901"/>
        <v/>
      </c>
      <c r="AG3887" s="713"/>
      <c r="AH3887" s="713"/>
      <c r="AI3887" s="112">
        <f>IF(H3887="credit",0,IF(AE3887="free",0,IF(AE3887="me",0,IF(G3887&gt;0,(VLOOKUP(A3887,'Discount Lookup'!J:K,2)*G3887),0))))</f>
        <v>0</v>
      </c>
      <c r="AJ3887" s="107" t="str">
        <f t="shared" ca="1" si="2902"/>
        <v/>
      </c>
      <c r="AK3887" s="714" t="str">
        <f t="shared" si="2903"/>
        <v/>
      </c>
      <c r="AL3887" s="714"/>
      <c r="AM3887" s="114" t="str">
        <f t="shared" si="2904"/>
        <v/>
      </c>
      <c r="AN3887" s="115"/>
      <c r="AO3887" s="116"/>
      <c r="AP3887" s="116"/>
      <c r="AQ3887" s="116"/>
      <c r="AR3887" s="116"/>
      <c r="AS3887" s="116"/>
      <c r="AT3887" s="116"/>
      <c r="AU3887" s="116"/>
      <c r="AV3887" s="78"/>
      <c r="AW3887" s="102"/>
      <c r="AX3887" s="78"/>
      <c r="AY3887" s="78"/>
      <c r="AZ3887" s="78"/>
      <c r="BA3887" s="78"/>
      <c r="BB3887" s="78"/>
      <c r="BC3887" s="78"/>
      <c r="BD3887" s="78"/>
      <c r="BE3887" s="465"/>
      <c r="BF3887" s="165" t="str">
        <f t="shared" si="2905"/>
        <v>https://www.google.com/search?tbm=isch&amp;q=3%20G6</v>
      </c>
      <c r="BG3887" s="165" t="str">
        <f t="shared" si="2906"/>
        <v>S</v>
      </c>
      <c r="BH3887" s="65"/>
      <c r="BI3887" s="65"/>
      <c r="BJ3887" s="65"/>
      <c r="BK3887" s="65"/>
      <c r="BL3887" s="99"/>
      <c r="BM3887" s="99"/>
      <c r="BN3887" s="99"/>
    </row>
    <row r="3888" spans="1:66" s="51" customFormat="1" ht="17.25" thickBot="1" x14ac:dyDescent="0.3">
      <c r="A3888" s="641" t="s">
        <v>4851</v>
      </c>
      <c r="B3888" s="642"/>
      <c r="C3888" s="710"/>
      <c r="D3888" s="643"/>
      <c r="E3888" s="643"/>
      <c r="F3888" s="644"/>
      <c r="G3888" s="645"/>
      <c r="H3888" s="646"/>
      <c r="I3888" s="647"/>
      <c r="J3888" s="648"/>
      <c r="K3888" s="649"/>
      <c r="L3888" s="650"/>
      <c r="M3888" s="650"/>
      <c r="N3888" s="644"/>
      <c r="O3888" s="644"/>
      <c r="P3888" s="644"/>
      <c r="Q3888" s="644"/>
      <c r="R3888" s="644"/>
      <c r="S3888" s="701" t="s">
        <v>5271</v>
      </c>
      <c r="T3888" s="102">
        <f t="shared" si="2894"/>
        <v>0</v>
      </c>
      <c r="U3888" s="78" t="str">
        <f>IF(NOT(ISNUMBER(G3888)), "", VLOOKUP(A3888,'Discount Lookup'!D:E,2,FALSE)*G3888)</f>
        <v/>
      </c>
      <c r="V3888" s="78" t="str">
        <f>IF(NOT(ISNUMBER(G3888)), "", VLOOKUP(A3888,'Discount Lookup'!G:H,2,FALSE)*G3888)</f>
        <v/>
      </c>
      <c r="W3888" s="102">
        <f t="shared" si="2895"/>
        <v>0</v>
      </c>
      <c r="X3888" s="102">
        <f t="shared" si="2896"/>
        <v>0</v>
      </c>
      <c r="Y3888" s="120" t="b">
        <f t="shared" si="2897"/>
        <v>0</v>
      </c>
      <c r="Z3888" s="117">
        <f t="shared" si="2898"/>
        <v>0</v>
      </c>
      <c r="AA3888" s="118"/>
      <c r="AB3888" s="118" t="str">
        <f t="shared" si="2899"/>
        <v/>
      </c>
      <c r="AC3888" s="712" t="str">
        <f>IF(AE3888="T2G","no charge",IF(AND(OR(PlanterYesMe="No",PlanterYesMe="N",PlanterYesMe="me"),H3888=""),"",IF(H3888="credit","NO install",IF(AND(K3888="",AE3888="me"),"EACH row",IF(AND(K3888="images",AE3888="me"),"EACH row",IF(D3888="","",IF(H3888="credit","",IF(AE3888="free","re-planting",IF(AE3888="me","   not ELP, by",IF(AND(OR(PlanterYesMe="Yes",PlanterYesMe="Y"),G3888&gt;0),(VLOOKUP(A3888,'Discount Lookup'!J:K,2)*G3888*(1-PlanterDiscount)*(1+PlanterDifficultyPercentage)),IF(AE3888="ELP",(VLOOKUP(A3888,'Discount Lookup'!J:K,2)*G3888*(1-PlanterDiscount)*(1+PlanterDifficultyPercentage)),IF(AE3888="free","re-planting",IF(G3888=0,"",IF(PlanterYesMe="",IF(AE3888="me","   not ELP, by",IF(AE3888="",IF(G3888&gt;0,(VLOOKUP(A3888,'Discount Lookup'!J:K,2)*G3888*(1-PlanterDiscount)*(1+PlanterDifficultyPercentage)),""),"")),"   not ELP, by"))))))))))))))</f>
        <v/>
      </c>
      <c r="AD3888" s="712"/>
      <c r="AE3888" s="513" t="str">
        <f t="shared" si="2900"/>
        <v/>
      </c>
      <c r="AF3888" s="713" t="str">
        <f t="shared" si="2901"/>
        <v/>
      </c>
      <c r="AG3888" s="713"/>
      <c r="AH3888" s="713"/>
      <c r="AI3888" s="112">
        <f>IF(H3888="credit",0,IF(AE3888="free",0,IF(AE3888="me",0,IF(G3888&gt;0,(VLOOKUP(A3888,'Discount Lookup'!J:K,2)*G3888),0))))</f>
        <v>0</v>
      </c>
      <c r="AJ3888" s="107" t="str">
        <f t="shared" ca="1" si="2902"/>
        <v/>
      </c>
      <c r="AK3888" s="714" t="str">
        <f t="shared" si="2903"/>
        <v/>
      </c>
      <c r="AL3888" s="714"/>
      <c r="AM3888" s="114" t="str">
        <f t="shared" si="2904"/>
        <v/>
      </c>
      <c r="AN3888" s="115"/>
      <c r="AO3888" s="116"/>
      <c r="AP3888" s="116"/>
      <c r="AQ3888" s="116"/>
      <c r="AR3888" s="116"/>
      <c r="AS3888" s="116"/>
      <c r="AT3888" s="116"/>
      <c r="AU3888" s="116"/>
      <c r="AV3888" s="78"/>
      <c r="AW3888" s="102"/>
      <c r="AX3888" s="78"/>
      <c r="AY3888" s="78"/>
      <c r="AZ3888" s="78"/>
      <c r="BA3888" s="78"/>
      <c r="BB3888" s="78"/>
      <c r="BC3888" s="78"/>
      <c r="BD3888" s="78"/>
      <c r="BE3888" s="465"/>
      <c r="BF3888" s="165" t="str">
        <f t="shared" si="2905"/>
        <v>https://www.google.com/search?tbm=isch&amp;q=Lemon%20Princess%20has%20Lemon%20Yellow%20to%20Chartreuse%20foliage%2C%20some%20Orange-Red%20tones%20in%20fall.%20Summer%20bloom%2C%20on%20new%20wood%2C%20so%20prune%20late%20winter%20</v>
      </c>
      <c r="BG3888" s="165" t="str">
        <f t="shared" si="2906"/>
        <v>L</v>
      </c>
      <c r="BH3888" s="65"/>
      <c r="BI3888" s="65"/>
      <c r="BJ3888" s="65"/>
      <c r="BK3888" s="65"/>
      <c r="BL3888" s="99"/>
      <c r="BM3888" s="99"/>
      <c r="BN3888" s="99"/>
    </row>
    <row r="3889" spans="1:66" s="51" customFormat="1" ht="18" x14ac:dyDescent="0.25">
      <c r="A3889" s="623" t="s">
        <v>4239</v>
      </c>
      <c r="B3889" s="624"/>
      <c r="C3889" s="709"/>
      <c r="D3889" s="625" t="s">
        <v>5210</v>
      </c>
      <c r="E3889" s="626"/>
      <c r="F3889" s="626"/>
      <c r="G3889" s="626"/>
      <c r="H3889" s="622" t="s">
        <v>3981</v>
      </c>
      <c r="I3889" s="627" t="s">
        <v>1837</v>
      </c>
      <c r="J3889" s="628"/>
      <c r="K3889" s="628"/>
      <c r="L3889" s="629"/>
      <c r="M3889" s="700" t="s">
        <v>5241</v>
      </c>
      <c r="N3889" s="693" t="str">
        <f>IF(AND(ISTEXT($A3889), ISERROR($A3889+0)), HYPERLINK($BF3889, "Images"), "")</f>
        <v>Images</v>
      </c>
      <c r="O3889" s="695" t="s">
        <v>5247</v>
      </c>
      <c r="P3889" s="630"/>
      <c r="Q3889" s="631"/>
      <c r="R3889" s="632"/>
      <c r="S3889" s="633"/>
      <c r="T3889" s="102">
        <f t="shared" si="2894"/>
        <v>0</v>
      </c>
      <c r="U3889" s="78" t="str">
        <f>IF(NOT(ISNUMBER(G3889)), "", VLOOKUP(A3889,'Discount Lookup'!D:E,2,FALSE)*G3889)</f>
        <v/>
      </c>
      <c r="V3889" s="78" t="str">
        <f>IF(NOT(ISNUMBER(G3889)), "", VLOOKUP(A3889,'Discount Lookup'!G:H,2,FALSE)*G3889)</f>
        <v/>
      </c>
      <c r="W3889" s="102">
        <f t="shared" si="2895"/>
        <v>0</v>
      </c>
      <c r="X3889" s="102" t="str">
        <f t="shared" si="2896"/>
        <v>Rose-Pink bloom</v>
      </c>
      <c r="Y3889" s="120" t="b">
        <f t="shared" si="2897"/>
        <v>0</v>
      </c>
      <c r="Z3889" s="117">
        <f t="shared" si="2898"/>
        <v>0</v>
      </c>
      <c r="AA3889" s="118"/>
      <c r="AB3889" s="118" t="str">
        <f t="shared" si="2899"/>
        <v/>
      </c>
      <c r="AC3889" s="712" t="str">
        <f>IF(AE3889="T2G","no charge",IF(AND(OR(PlanterYesMe="No",PlanterYesMe="N",PlanterYesMe="me"),H3889=""),"",IF(H3889="credit","NO install",IF(AND(K3889="",AE3889="me"),"EACH row",IF(AND(K3889="images",AE3889="me"),"EACH row",IF(D3889="","",IF(H3889="credit","",IF(AE3889="free","re-planting",IF(AE3889="me","   not ELP, by",IF(AND(OR(PlanterYesMe="Yes",PlanterYesMe="Y"),G3889&gt;0),(VLOOKUP(A3889,'Discount Lookup'!J:K,2)*G3889*(1-PlanterDiscount)*(1+PlanterDifficultyPercentage)),IF(AE3889="ELP",(VLOOKUP(A3889,'Discount Lookup'!J:K,2)*G3889*(1-PlanterDiscount)*(1+PlanterDifficultyPercentage)),IF(AE3889="free","re-planting",IF(G3889=0,"",IF(PlanterYesMe="",IF(AE3889="me","   not ELP, by",IF(AE3889="",IF(G3889&gt;0,(VLOOKUP(A3889,'Discount Lookup'!J:K,2)*G3889*(1-PlanterDiscount)*(1+PlanterDifficultyPercentage)),""),"")),"   not ELP, by"))))))))))))))</f>
        <v/>
      </c>
      <c r="AD3889" s="712"/>
      <c r="AE3889" s="513" t="str">
        <f t="shared" si="2900"/>
        <v/>
      </c>
      <c r="AF3889" s="713" t="str">
        <f t="shared" si="2901"/>
        <v/>
      </c>
      <c r="AG3889" s="713"/>
      <c r="AH3889" s="713"/>
      <c r="AI3889" s="112">
        <f>IF(H3889="credit",0,IF(AE3889="free",0,IF(AE3889="me",0,IF(G3889&gt;0,(VLOOKUP(A3889,'Discount Lookup'!J:K,2)*G3889),0))))</f>
        <v>0</v>
      </c>
      <c r="AJ3889" s="107" t="str">
        <f t="shared" ca="1" si="2902"/>
        <v/>
      </c>
      <c r="AK3889" s="714" t="str">
        <f t="shared" si="2903"/>
        <v/>
      </c>
      <c r="AL3889" s="714"/>
      <c r="AM3889" s="114" t="str">
        <f t="shared" si="2904"/>
        <v/>
      </c>
      <c r="AN3889" s="115"/>
      <c r="AO3889" s="116"/>
      <c r="AP3889" s="116"/>
      <c r="AQ3889" s="116"/>
      <c r="AR3889" s="116"/>
      <c r="AS3889" s="116"/>
      <c r="AT3889" s="116"/>
      <c r="AU3889" s="116"/>
      <c r="AV3889" s="78"/>
      <c r="AW3889" s="102"/>
      <c r="AX3889" s="78"/>
      <c r="AY3889" s="78"/>
      <c r="AZ3889" s="78"/>
      <c r="BA3889" s="78"/>
      <c r="BB3889" s="78"/>
      <c r="BC3889" s="78"/>
      <c r="BD3889" s="78"/>
      <c r="BE3889" s="465"/>
      <c r="BF3889" s="165" t="str">
        <f t="shared" si="2905"/>
        <v>https://www.google.com/search?tbm=isch&amp;q=Spiraea%20japonica%20%27Little%20Princess%27%20Little%20Princess%20Japanese%20Spirea</v>
      </c>
      <c r="BG3889" s="165" t="str">
        <f t="shared" si="2906"/>
        <v>S</v>
      </c>
      <c r="BH3889" s="65"/>
      <c r="BI3889" s="65"/>
      <c r="BJ3889" s="65"/>
      <c r="BK3889" s="65"/>
      <c r="BL3889" s="99"/>
      <c r="BM3889" s="99"/>
      <c r="BN3889" s="99"/>
    </row>
    <row r="3890" spans="1:66" s="51" customFormat="1" ht="15.75" x14ac:dyDescent="0.25">
      <c r="A3890" s="634">
        <v>3</v>
      </c>
      <c r="B3890" s="635" t="s">
        <v>291</v>
      </c>
      <c r="C3890" s="636"/>
      <c r="D3890" s="637" t="s">
        <v>310</v>
      </c>
      <c r="E3890" s="638">
        <v>25.95</v>
      </c>
      <c r="F3890" s="639" t="s">
        <v>292</v>
      </c>
      <c r="G3890" s="484">
        <v>0</v>
      </c>
      <c r="H3890" s="691" t="str">
        <f>IF(G3890=0,"",IF(F3890="Buy",IF(G3890=1,"plant","plants"),IF(F3890&gt;0.01,"warranty","Error")))</f>
        <v/>
      </c>
      <c r="I3890" s="640">
        <f>IF(H3890="free",0,IF(H3890="credit",((E3890*(F3890))*G3890*-1),IF(F3890="Buy",(E3890*G3890),((E3890*(1-F3890))*G3890))))</f>
        <v>0</v>
      </c>
      <c r="J3890" s="640">
        <f>IF(H3890="warranty",0,(I3890*(_xlfn.SINGLE(SalesTaxPercentage))))</f>
        <v>0</v>
      </c>
      <c r="K3890" s="716">
        <f t="shared" ref="K3890" si="2917">I3890+J3890</f>
        <v>0</v>
      </c>
      <c r="L3890" s="716"/>
      <c r="M3890" s="689" t="str">
        <f ca="1">IF(AND(G3890&gt;0,E3890=0),"WARNING - no PRICE inserted",IF(H3890="free","FREE ~ no charge this plant",IF(H3890="credit",CONCATENATE("-$",ROUND(K3890*(1-_xlfn.SINGLE(T2GDiscount))*-1,2)," CREDIT after discount"),IF(_xlfn.SINGLE(T2GDiscount)=0,"",IF(G3890=0,"",IF(F3890="Buy",CONCATENATE("$",ROUND(K3890*(1-_xlfn.SINGLE(T2GDiscount)),2)," with ",(_xlfn.SINGLE(T2GDiscount)*100),"% discount"),CONCATENATE("$",ROUND(K3890*(1-_xlfn.SINGLE(T2GDiscount)),2)," with ",((_xlfn.SINGLE(T2GDiscount)*100+F3890*100)-(_xlfn.SINGLE(T2GDiscount)*100*F3890)),IF(F3890&gt;0,"% discounts",IF(_xlfn.SINGLE(NoWarrantyDiscount)&gt;0,"% discounts","% discount")))))))))</f>
        <v/>
      </c>
      <c r="N3890" s="690"/>
      <c r="O3890" s="486"/>
      <c r="P3890" s="486"/>
      <c r="Q3890" s="486"/>
      <c r="R3890" s="486"/>
      <c r="S3890" s="486"/>
      <c r="T3890" s="102">
        <f t="shared" si="2894"/>
        <v>0</v>
      </c>
      <c r="U3890" s="78">
        <f>IF(NOT(ISNUMBER(G3890)), "", VLOOKUP(A3890,'Discount Lookup'!D:E,2,FALSE)*G3890)</f>
        <v>0</v>
      </c>
      <c r="V3890" s="78">
        <f>IF(NOT(ISNUMBER(G3890)), "", VLOOKUP(A3890,'Discount Lookup'!G:H,2,FALSE)*G3890)</f>
        <v>0</v>
      </c>
      <c r="W3890" s="102">
        <f t="shared" si="2895"/>
        <v>0</v>
      </c>
      <c r="X3890" s="102">
        <f t="shared" si="2896"/>
        <v>0</v>
      </c>
      <c r="Y3890" s="120" t="b">
        <f t="shared" si="2897"/>
        <v>0</v>
      </c>
      <c r="Z3890" s="117">
        <f t="shared" si="2898"/>
        <v>0</v>
      </c>
      <c r="AA3890" s="118"/>
      <c r="AB3890" s="118" t="str">
        <f t="shared" si="2899"/>
        <v/>
      </c>
      <c r="AC3890" s="712" t="str">
        <f>IF(AE3890="T2G","no charge",IF(AND(OR(PlanterYesMe="No",PlanterYesMe="N",PlanterYesMe="me"),H3890=""),"",IF(H3890="credit","NO install",IF(AND(K3890="",AE3890="me"),"EACH row",IF(AND(K3890="images",AE3890="me"),"EACH row",IF(D3890="","",IF(H3890="credit","",IF(AE3890="free","re-planting",IF(AE3890="me","   not ELP, by",IF(AND(OR(PlanterYesMe="Yes",PlanterYesMe="Y"),G3890&gt;0),(VLOOKUP(A3890,'Discount Lookup'!J:K,2)*G3890*(1-PlanterDiscount)*(1+PlanterDifficultyPercentage)),IF(AE3890="ELP",(VLOOKUP(A3890,'Discount Lookup'!J:K,2)*G3890*(1-PlanterDiscount)*(1+PlanterDifficultyPercentage)),IF(AE3890="free","re-planting",IF(G3890=0,"",IF(PlanterYesMe="",IF(AE3890="me","   not ELP, by",IF(AE3890="",IF(G3890&gt;0,(VLOOKUP(A3890,'Discount Lookup'!J:K,2)*G3890*(1-PlanterDiscount)*(1+PlanterDifficultyPercentage)),""),"")),"   not ELP, by"))))))))))))))</f>
        <v/>
      </c>
      <c r="AD3890" s="712"/>
      <c r="AE3890" s="513" t="str">
        <f t="shared" si="2900"/>
        <v/>
      </c>
      <c r="AF3890" s="713" t="str">
        <f t="shared" si="2901"/>
        <v/>
      </c>
      <c r="AG3890" s="713"/>
      <c r="AH3890" s="713"/>
      <c r="AI3890" s="112">
        <f>IF(H3890="credit",0,IF(AE3890="free",0,IF(AE3890="me",0,IF(G3890&gt;0,(VLOOKUP(A3890,'Discount Lookup'!J:K,2)*G3890),0))))</f>
        <v>0</v>
      </c>
      <c r="AJ3890" s="107" t="str">
        <f t="shared" ca="1" si="2902"/>
        <v/>
      </c>
      <c r="AK3890" s="714" t="str">
        <f t="shared" si="2903"/>
        <v/>
      </c>
      <c r="AL3890" s="714"/>
      <c r="AM3890" s="114" t="str">
        <f t="shared" si="2904"/>
        <v/>
      </c>
      <c r="AN3890" s="115"/>
      <c r="AO3890" s="116"/>
      <c r="AP3890" s="116"/>
      <c r="AQ3890" s="116"/>
      <c r="AR3890" s="116"/>
      <c r="AS3890" s="116"/>
      <c r="AT3890" s="116"/>
      <c r="AU3890" s="116"/>
      <c r="AV3890" s="78"/>
      <c r="AW3890" s="102"/>
      <c r="AX3890" s="78"/>
      <c r="AY3890" s="78"/>
      <c r="AZ3890" s="78"/>
      <c r="BA3890" s="78"/>
      <c r="BB3890" s="78"/>
      <c r="BC3890" s="78"/>
      <c r="BD3890" s="78"/>
      <c r="BE3890" s="465"/>
      <c r="BF3890" s="165" t="str">
        <f t="shared" si="2905"/>
        <v>https://www.google.com/search?tbm=isch&amp;q=3%20G1</v>
      </c>
      <c r="BG3890" s="165" t="str">
        <f t="shared" si="2906"/>
        <v>S</v>
      </c>
      <c r="BH3890" s="65"/>
      <c r="BI3890" s="65"/>
      <c r="BJ3890" s="65"/>
      <c r="BK3890" s="65"/>
      <c r="BL3890" s="99"/>
      <c r="BM3890" s="99"/>
      <c r="BN3890" s="99"/>
    </row>
    <row r="3891" spans="1:66" s="51" customFormat="1" ht="15.75" x14ac:dyDescent="0.25">
      <c r="A3891" s="634">
        <v>3</v>
      </c>
      <c r="B3891" s="635" t="s">
        <v>291</v>
      </c>
      <c r="C3891" s="636" t="s">
        <v>4234</v>
      </c>
      <c r="D3891" s="637" t="s">
        <v>329</v>
      </c>
      <c r="E3891" s="638">
        <v>26.95</v>
      </c>
      <c r="F3891" s="639" t="s">
        <v>292</v>
      </c>
      <c r="G3891" s="484">
        <v>0</v>
      </c>
      <c r="H3891" s="691" t="str">
        <f>IF(G3891=0,"",IF(F3891="Buy",IF(G3891=1,"plant","plants"),IF(F3891&gt;0.01,"warranty","Error")))</f>
        <v/>
      </c>
      <c r="I3891" s="640">
        <f>IF(H3891="free",0,IF(H3891="credit",((E3891*(F3891))*G3891*-1),IF(F3891="Buy",(E3891*G3891),((E3891*(1-F3891))*G3891))))</f>
        <v>0</v>
      </c>
      <c r="J3891" s="640">
        <f>IF(H3891="warranty",0,(I3891*(_xlfn.SINGLE(SalesTaxPercentage))))</f>
        <v>0</v>
      </c>
      <c r="K3891" s="716">
        <f t="shared" ref="K3891" si="2918">I3891+J3891</f>
        <v>0</v>
      </c>
      <c r="L3891" s="716"/>
      <c r="M3891" s="689" t="str">
        <f ca="1">IF(AND(G3891&gt;0,E3891=0),"WARNING - no PRICE inserted",IF(H3891="free","FREE ~ no charge this plant",IF(H3891="credit",CONCATENATE("-$",ROUND(K3891*(1-_xlfn.SINGLE(T2GDiscount))*-1,2)," CREDIT after discount"),IF(_xlfn.SINGLE(T2GDiscount)=0,"",IF(G3891=0,"",IF(F3891="Buy",CONCATENATE("$",ROUND(K3891*(1-_xlfn.SINGLE(T2GDiscount)),2)," with ",(_xlfn.SINGLE(T2GDiscount)*100),"% discount"),CONCATENATE("$",ROUND(K3891*(1-_xlfn.SINGLE(T2GDiscount)),2)," with ",((_xlfn.SINGLE(T2GDiscount)*100+F3891*100)-(_xlfn.SINGLE(T2GDiscount)*100*F3891)),IF(F3891&gt;0,"% discounts",IF(_xlfn.SINGLE(NoWarrantyDiscount)&gt;0,"% discounts","% discount")))))))))</f>
        <v/>
      </c>
      <c r="N3891" s="690"/>
      <c r="O3891" s="486"/>
      <c r="P3891" s="486"/>
      <c r="Q3891" s="486"/>
      <c r="R3891" s="486"/>
      <c r="S3891" s="486"/>
      <c r="T3891" s="102">
        <f t="shared" si="2894"/>
        <v>0</v>
      </c>
      <c r="U3891" s="78">
        <f>IF(NOT(ISNUMBER(G3891)), "", VLOOKUP(A3891,'Discount Lookup'!D:E,2,FALSE)*G3891)</f>
        <v>0</v>
      </c>
      <c r="V3891" s="78">
        <f>IF(NOT(ISNUMBER(G3891)), "", VLOOKUP(A3891,'Discount Lookup'!G:H,2,FALSE)*G3891)</f>
        <v>0</v>
      </c>
      <c r="W3891" s="102">
        <f t="shared" si="2895"/>
        <v>0</v>
      </c>
      <c r="X3891" s="102">
        <f t="shared" si="2896"/>
        <v>0</v>
      </c>
      <c r="Y3891" s="120" t="b">
        <f t="shared" si="2897"/>
        <v>0</v>
      </c>
      <c r="Z3891" s="117">
        <f t="shared" si="2898"/>
        <v>0</v>
      </c>
      <c r="AA3891" s="118"/>
      <c r="AB3891" s="118" t="str">
        <f t="shared" si="2899"/>
        <v/>
      </c>
      <c r="AC3891" s="712" t="str">
        <f>IF(AE3891="T2G","no charge",IF(AND(OR(PlanterYesMe="No",PlanterYesMe="N",PlanterYesMe="me"),H3891=""),"",IF(H3891="credit","NO install",IF(AND(K3891="",AE3891="me"),"EACH row",IF(AND(K3891="images",AE3891="me"),"EACH row",IF(D3891="","",IF(H3891="credit","",IF(AE3891="free","re-planting",IF(AE3891="me","   not ELP, by",IF(AND(OR(PlanterYesMe="Yes",PlanterYesMe="Y"),G3891&gt;0),(VLOOKUP(A3891,'Discount Lookup'!J:K,2)*G3891*(1-PlanterDiscount)*(1+PlanterDifficultyPercentage)),IF(AE3891="ELP",(VLOOKUP(A3891,'Discount Lookup'!J:K,2)*G3891*(1-PlanterDiscount)*(1+PlanterDifficultyPercentage)),IF(AE3891="free","re-planting",IF(G3891=0,"",IF(PlanterYesMe="",IF(AE3891="me","   not ELP, by",IF(AE3891="",IF(G3891&gt;0,(VLOOKUP(A3891,'Discount Lookup'!J:K,2)*G3891*(1-PlanterDiscount)*(1+PlanterDifficultyPercentage)),""),"")),"   not ELP, by"))))))))))))))</f>
        <v/>
      </c>
      <c r="AD3891" s="712"/>
      <c r="AE3891" s="513" t="str">
        <f t="shared" si="2900"/>
        <v/>
      </c>
      <c r="AF3891" s="713" t="str">
        <f t="shared" si="2901"/>
        <v/>
      </c>
      <c r="AG3891" s="713"/>
      <c r="AH3891" s="713"/>
      <c r="AI3891" s="112">
        <f>IF(H3891="credit",0,IF(AE3891="free",0,IF(AE3891="me",0,IF(G3891&gt;0,(VLOOKUP(A3891,'Discount Lookup'!J:K,2)*G3891),0))))</f>
        <v>0</v>
      </c>
      <c r="AJ3891" s="107" t="str">
        <f t="shared" ca="1" si="2902"/>
        <v/>
      </c>
      <c r="AK3891" s="714" t="str">
        <f t="shared" si="2903"/>
        <v/>
      </c>
      <c r="AL3891" s="714"/>
      <c r="AM3891" s="114" t="str">
        <f t="shared" si="2904"/>
        <v/>
      </c>
      <c r="AN3891" s="115"/>
      <c r="AO3891" s="116"/>
      <c r="AP3891" s="116"/>
      <c r="AQ3891" s="116"/>
      <c r="AR3891" s="116"/>
      <c r="AS3891" s="116"/>
      <c r="AT3891" s="116"/>
      <c r="AU3891" s="116"/>
      <c r="AV3891" s="78"/>
      <c r="AW3891" s="102"/>
      <c r="AX3891" s="78"/>
      <c r="AY3891" s="78"/>
      <c r="AZ3891" s="78"/>
      <c r="BA3891" s="78"/>
      <c r="BB3891" s="78"/>
      <c r="BC3891" s="78"/>
      <c r="BD3891" s="78"/>
      <c r="BE3891" s="465"/>
      <c r="BF3891" s="165" t="str">
        <f t="shared" si="2905"/>
        <v>https://www.google.com/search?tbm=isch&amp;q=3%20G2</v>
      </c>
      <c r="BG3891" s="165" t="str">
        <f t="shared" si="2906"/>
        <v>S</v>
      </c>
      <c r="BH3891" s="65"/>
      <c r="BI3891" s="65"/>
      <c r="BJ3891" s="65"/>
      <c r="BK3891" s="65"/>
      <c r="BL3891" s="99"/>
      <c r="BM3891" s="99"/>
      <c r="BN3891" s="99"/>
    </row>
    <row r="3892" spans="1:66" s="51" customFormat="1" ht="17.25" thickBot="1" x14ac:dyDescent="0.3">
      <c r="A3892" s="641" t="s">
        <v>4852</v>
      </c>
      <c r="B3892" s="642"/>
      <c r="C3892" s="710"/>
      <c r="D3892" s="643"/>
      <c r="E3892" s="643"/>
      <c r="F3892" s="644"/>
      <c r="G3892" s="645"/>
      <c r="H3892" s="646"/>
      <c r="I3892" s="647"/>
      <c r="J3892" s="648"/>
      <c r="K3892" s="649"/>
      <c r="L3892" s="650"/>
      <c r="M3892" s="650"/>
      <c r="N3892" s="644"/>
      <c r="O3892" s="644"/>
      <c r="P3892" s="644"/>
      <c r="Q3892" s="644"/>
      <c r="R3892" s="644"/>
      <c r="S3892" s="701" t="s">
        <v>5271</v>
      </c>
      <c r="T3892" s="102">
        <f t="shared" si="2894"/>
        <v>0</v>
      </c>
      <c r="U3892" s="78" t="str">
        <f>IF(NOT(ISNUMBER(G3892)), "", VLOOKUP(A3892,'Discount Lookup'!D:E,2,FALSE)*G3892)</f>
        <v/>
      </c>
      <c r="V3892" s="78" t="str">
        <f>IF(NOT(ISNUMBER(G3892)), "", VLOOKUP(A3892,'Discount Lookup'!G:H,2,FALSE)*G3892)</f>
        <v/>
      </c>
      <c r="W3892" s="102">
        <f t="shared" si="2895"/>
        <v>0</v>
      </c>
      <c r="X3892" s="102">
        <f t="shared" si="2896"/>
        <v>0</v>
      </c>
      <c r="Y3892" s="120" t="b">
        <f t="shared" si="2897"/>
        <v>0</v>
      </c>
      <c r="Z3892" s="117">
        <f t="shared" si="2898"/>
        <v>0</v>
      </c>
      <c r="AA3892" s="118"/>
      <c r="AB3892" s="118" t="str">
        <f t="shared" si="2899"/>
        <v/>
      </c>
      <c r="AC3892" s="712" t="str">
        <f>IF(AE3892="T2G","no charge",IF(AND(OR(PlanterYesMe="No",PlanterYesMe="N",PlanterYesMe="me"),H3892=""),"",IF(H3892="credit","NO install",IF(AND(K3892="",AE3892="me"),"EACH row",IF(AND(K3892="images",AE3892="me"),"EACH row",IF(D3892="","",IF(H3892="credit","",IF(AE3892="free","re-planting",IF(AE3892="me","   not ELP, by",IF(AND(OR(PlanterYesMe="Yes",PlanterYesMe="Y"),G3892&gt;0),(VLOOKUP(A3892,'Discount Lookup'!J:K,2)*G3892*(1-PlanterDiscount)*(1+PlanterDifficultyPercentage)),IF(AE3892="ELP",(VLOOKUP(A3892,'Discount Lookup'!J:K,2)*G3892*(1-PlanterDiscount)*(1+PlanterDifficultyPercentage)),IF(AE3892="free","re-planting",IF(G3892=0,"",IF(PlanterYesMe="",IF(AE3892="me","   not ELP, by",IF(AE3892="",IF(G3892&gt;0,(VLOOKUP(A3892,'Discount Lookup'!J:K,2)*G3892*(1-PlanterDiscount)*(1+PlanterDifficultyPercentage)),""),"")),"   not ELP, by"))))))))))))))</f>
        <v/>
      </c>
      <c r="AD3892" s="712"/>
      <c r="AE3892" s="513" t="str">
        <f t="shared" si="2900"/>
        <v/>
      </c>
      <c r="AF3892" s="713" t="str">
        <f t="shared" si="2901"/>
        <v/>
      </c>
      <c r="AG3892" s="713"/>
      <c r="AH3892" s="713"/>
      <c r="AI3892" s="112">
        <f>IF(H3892="credit",0,IF(AE3892="free",0,IF(AE3892="me",0,IF(G3892&gt;0,(VLOOKUP(A3892,'Discount Lookup'!J:K,2)*G3892),0))))</f>
        <v>0</v>
      </c>
      <c r="AJ3892" s="107" t="str">
        <f t="shared" ca="1" si="2902"/>
        <v/>
      </c>
      <c r="AK3892" s="714" t="str">
        <f t="shared" si="2903"/>
        <v/>
      </c>
      <c r="AL3892" s="714"/>
      <c r="AM3892" s="114" t="str">
        <f t="shared" si="2904"/>
        <v/>
      </c>
      <c r="AN3892" s="115"/>
      <c r="AO3892" s="116"/>
      <c r="AP3892" s="116"/>
      <c r="AQ3892" s="116"/>
      <c r="AR3892" s="116"/>
      <c r="AS3892" s="116"/>
      <c r="AT3892" s="116"/>
      <c r="AU3892" s="116"/>
      <c r="AV3892" s="78"/>
      <c r="AW3892" s="102"/>
      <c r="AX3892" s="78"/>
      <c r="AY3892" s="78"/>
      <c r="AZ3892" s="78"/>
      <c r="BA3892" s="78"/>
      <c r="BB3892" s="78"/>
      <c r="BC3892" s="78"/>
      <c r="BD3892" s="78"/>
      <c r="BE3892" s="465"/>
      <c r="BF3892" s="165" t="str">
        <f t="shared" si="2905"/>
        <v>https://www.google.com/search?tbm=isch&amp;q=Little%20Princess%20has%20Mint%20Green%20foliage%2C%20with%20some%20Reddish-Bronze-Copper%20tones%20in%20fall.%20Summer%20bloom%2C%20on%20new%20wood%2C%20so%20prune%20late%20winter%20</v>
      </c>
      <c r="BG3892" s="165" t="str">
        <f t="shared" si="2906"/>
        <v>L</v>
      </c>
      <c r="BH3892" s="65"/>
      <c r="BI3892" s="65"/>
      <c r="BJ3892" s="65"/>
      <c r="BK3892" s="65"/>
      <c r="BL3892" s="99"/>
      <c r="BM3892" s="99"/>
      <c r="BN3892" s="99"/>
    </row>
    <row r="3893" spans="1:66" s="51" customFormat="1" ht="18" x14ac:dyDescent="0.25">
      <c r="A3893" s="623" t="s">
        <v>4240</v>
      </c>
      <c r="B3893" s="624"/>
      <c r="C3893" s="709"/>
      <c r="D3893" s="625" t="s">
        <v>5825</v>
      </c>
      <c r="E3893" s="626"/>
      <c r="F3893" s="626"/>
      <c r="G3893" s="626"/>
      <c r="H3893" s="622" t="s">
        <v>1124</v>
      </c>
      <c r="I3893" s="627" t="s">
        <v>2405</v>
      </c>
      <c r="J3893" s="628"/>
      <c r="K3893" s="628"/>
      <c r="L3893" s="629"/>
      <c r="M3893" s="700" t="s">
        <v>5241</v>
      </c>
      <c r="N3893" s="693" t="str">
        <f>IF(AND(ISTEXT($A3893), ISERROR($A3893+0)), HYPERLINK($BF3893, "Images"), "")</f>
        <v>Images</v>
      </c>
      <c r="O3893" s="695" t="s">
        <v>5247</v>
      </c>
      <c r="P3893" s="630"/>
      <c r="Q3893" s="631"/>
      <c r="R3893" s="632"/>
      <c r="S3893" s="633"/>
      <c r="T3893" s="102">
        <f t="shared" si="2894"/>
        <v>0</v>
      </c>
      <c r="U3893" s="78" t="str">
        <f>IF(NOT(ISNUMBER(G3893)), "", VLOOKUP(A3893,'Discount Lookup'!D:E,2,FALSE)*G3893)</f>
        <v/>
      </c>
      <c r="V3893" s="78" t="str">
        <f>IF(NOT(ISNUMBER(G3893)), "", VLOOKUP(A3893,'Discount Lookup'!G:H,2,FALSE)*G3893)</f>
        <v/>
      </c>
      <c r="W3893" s="102">
        <f t="shared" si="2895"/>
        <v>0</v>
      </c>
      <c r="X3893" s="102" t="str">
        <f t="shared" si="2896"/>
        <v>Bright Pink bloom</v>
      </c>
      <c r="Y3893" s="120" t="b">
        <f t="shared" si="2897"/>
        <v>0</v>
      </c>
      <c r="Z3893" s="117">
        <f t="shared" si="2898"/>
        <v>0</v>
      </c>
      <c r="AA3893" s="118"/>
      <c r="AB3893" s="118" t="str">
        <f t="shared" si="2899"/>
        <v/>
      </c>
      <c r="AC3893" s="712" t="str">
        <f>IF(AE3893="T2G","no charge",IF(AND(OR(PlanterYesMe="No",PlanterYesMe="N",PlanterYesMe="me"),H3893=""),"",IF(H3893="credit","NO install",IF(AND(K3893="",AE3893="me"),"EACH row",IF(AND(K3893="images",AE3893="me"),"EACH row",IF(D3893="","",IF(H3893="credit","",IF(AE3893="free","re-planting",IF(AE3893="me","   not ELP, by",IF(AND(OR(PlanterYesMe="Yes",PlanterYesMe="Y"),G3893&gt;0),(VLOOKUP(A3893,'Discount Lookup'!J:K,2)*G3893*(1-PlanterDiscount)*(1+PlanterDifficultyPercentage)),IF(AE3893="ELP",(VLOOKUP(A3893,'Discount Lookup'!J:K,2)*G3893*(1-PlanterDiscount)*(1+PlanterDifficultyPercentage)),IF(AE3893="free","re-planting",IF(G3893=0,"",IF(PlanterYesMe="",IF(AE3893="me","   not ELP, by",IF(AE3893="",IF(G3893&gt;0,(VLOOKUP(A3893,'Discount Lookup'!J:K,2)*G3893*(1-PlanterDiscount)*(1+PlanterDifficultyPercentage)),""),"")),"   not ELP, by"))))))))))))))</f>
        <v/>
      </c>
      <c r="AD3893" s="712"/>
      <c r="AE3893" s="513" t="str">
        <f t="shared" si="2900"/>
        <v/>
      </c>
      <c r="AF3893" s="713" t="str">
        <f t="shared" si="2901"/>
        <v/>
      </c>
      <c r="AG3893" s="713"/>
      <c r="AH3893" s="713"/>
      <c r="AI3893" s="112">
        <f>IF(H3893="credit",0,IF(AE3893="free",0,IF(AE3893="me",0,IF(G3893&gt;0,(VLOOKUP(A3893,'Discount Lookup'!J:K,2)*G3893),0))))</f>
        <v>0</v>
      </c>
      <c r="AJ3893" s="107" t="str">
        <f t="shared" ca="1" si="2902"/>
        <v/>
      </c>
      <c r="AK3893" s="714" t="str">
        <f t="shared" si="2903"/>
        <v/>
      </c>
      <c r="AL3893" s="714"/>
      <c r="AM3893" s="114" t="str">
        <f t="shared" si="2904"/>
        <v/>
      </c>
      <c r="AN3893" s="115"/>
      <c r="AO3893" s="116"/>
      <c r="AP3893" s="116"/>
      <c r="AQ3893" s="116"/>
      <c r="AR3893" s="116"/>
      <c r="AS3893" s="116"/>
      <c r="AT3893" s="116"/>
      <c r="AU3893" s="116"/>
      <c r="AV3893" s="78"/>
      <c r="AW3893" s="102"/>
      <c r="AX3893" s="78"/>
      <c r="AY3893" s="78"/>
      <c r="AZ3893" s="78"/>
      <c r="BA3893" s="78"/>
      <c r="BB3893" s="78"/>
      <c r="BC3893" s="78"/>
      <c r="BD3893" s="78"/>
      <c r="BE3893" s="465"/>
      <c r="BF3893" s="165" t="str">
        <f t="shared" si="2905"/>
        <v>https://www.google.com/search?tbm=isch&amp;q=Spiraea%20japonica%20%27Matgold%27%20PP%2328876%20Rainbow%20Fizz%E2%84%A2%20Japanese%20Spirea</v>
      </c>
      <c r="BG3893" s="165" t="str">
        <f t="shared" si="2906"/>
        <v>S</v>
      </c>
      <c r="BH3893" s="65"/>
      <c r="BI3893" s="65"/>
      <c r="BJ3893" s="65"/>
      <c r="BK3893" s="65"/>
      <c r="BL3893" s="99"/>
      <c r="BM3893" s="99"/>
      <c r="BN3893" s="99"/>
    </row>
    <row r="3894" spans="1:66" s="51" customFormat="1" ht="15.75" x14ac:dyDescent="0.25">
      <c r="A3894" s="634">
        <v>1</v>
      </c>
      <c r="B3894" s="635" t="s">
        <v>291</v>
      </c>
      <c r="C3894" s="636"/>
      <c r="D3894" s="637" t="s">
        <v>329</v>
      </c>
      <c r="E3894" s="638">
        <v>28.95</v>
      </c>
      <c r="F3894" s="639" t="s">
        <v>292</v>
      </c>
      <c r="G3894" s="484">
        <v>0</v>
      </c>
      <c r="H3894" s="691" t="str">
        <f>IF(G3894=0,"",IF(F3894="Buy",IF(G3894=1,"plant","plants"),IF(F3894&gt;0.01,"warranty","Error")))</f>
        <v/>
      </c>
      <c r="I3894" s="640">
        <f>IF(H3894="free",0,IF(H3894="credit",((E3894*(F3894))*G3894*-1),IF(F3894="Buy",(E3894*G3894),((E3894*(1-F3894))*G3894))))</f>
        <v>0</v>
      </c>
      <c r="J3894" s="640">
        <f>IF(H3894="warranty",0,(I3894*(_xlfn.SINGLE(SalesTaxPercentage))))</f>
        <v>0</v>
      </c>
      <c r="K3894" s="716">
        <f t="shared" ref="K3894" si="2919">I3894+J3894</f>
        <v>0</v>
      </c>
      <c r="L3894" s="716"/>
      <c r="M3894" s="689" t="str">
        <f ca="1">IF(AND(G3894&gt;0,E3894=0),"WARNING - no PRICE inserted",IF(H3894="free","FREE ~ no charge this plant",IF(H3894="credit",CONCATENATE("-$",ROUND(K3894*(1-_xlfn.SINGLE(T2GDiscount))*-1,2)," CREDIT after discount"),IF(_xlfn.SINGLE(T2GDiscount)=0,"",IF(G3894=0,"",IF(F3894="Buy",CONCATENATE("$",ROUND(K3894*(1-_xlfn.SINGLE(T2GDiscount)),2)," with ",(_xlfn.SINGLE(T2GDiscount)*100),"% discount"),CONCATENATE("$",ROUND(K3894*(1-_xlfn.SINGLE(T2GDiscount)),2)," with ",((_xlfn.SINGLE(T2GDiscount)*100+F3894*100)-(_xlfn.SINGLE(T2GDiscount)*100*F3894)),IF(F3894&gt;0,"% discounts",IF(_xlfn.SINGLE(NoWarrantyDiscount)&gt;0,"% discounts","% discount")))))))))</f>
        <v/>
      </c>
      <c r="N3894" s="690"/>
      <c r="O3894" s="486"/>
      <c r="P3894" s="486"/>
      <c r="Q3894" s="486"/>
      <c r="R3894" s="486"/>
      <c r="S3894" s="486"/>
      <c r="T3894" s="102">
        <f t="shared" si="2894"/>
        <v>0</v>
      </c>
      <c r="U3894" s="78">
        <f>IF(NOT(ISNUMBER(G3894)), "", VLOOKUP(A3894,'Discount Lookup'!D:E,2,FALSE)*G3894)</f>
        <v>0</v>
      </c>
      <c r="V3894" s="78">
        <f>IF(NOT(ISNUMBER(G3894)), "", VLOOKUP(A3894,'Discount Lookup'!G:H,2,FALSE)*G3894)</f>
        <v>0</v>
      </c>
      <c r="W3894" s="102">
        <f t="shared" si="2895"/>
        <v>0</v>
      </c>
      <c r="X3894" s="102">
        <f t="shared" si="2896"/>
        <v>0</v>
      </c>
      <c r="Y3894" s="120" t="b">
        <f t="shared" si="2897"/>
        <v>0</v>
      </c>
      <c r="Z3894" s="117">
        <f t="shared" si="2898"/>
        <v>0</v>
      </c>
      <c r="AA3894" s="118"/>
      <c r="AB3894" s="118" t="str">
        <f t="shared" si="2899"/>
        <v/>
      </c>
      <c r="AC3894" s="712" t="str">
        <f>IF(AE3894="T2G","no charge",IF(AND(OR(PlanterYesMe="No",PlanterYesMe="N",PlanterYesMe="me"),H3894=""),"",IF(H3894="credit","NO install",IF(AND(K3894="",AE3894="me"),"EACH row",IF(AND(K3894="images",AE3894="me"),"EACH row",IF(D3894="","",IF(H3894="credit","",IF(AE3894="free","re-planting",IF(AE3894="me","   not ELP, by",IF(AND(OR(PlanterYesMe="Yes",PlanterYesMe="Y"),G3894&gt;0),(VLOOKUP(A3894,'Discount Lookup'!J:K,2)*G3894*(1-PlanterDiscount)*(1+PlanterDifficultyPercentage)),IF(AE3894="ELP",(VLOOKUP(A3894,'Discount Lookup'!J:K,2)*G3894*(1-PlanterDiscount)*(1+PlanterDifficultyPercentage)),IF(AE3894="free","re-planting",IF(G3894=0,"",IF(PlanterYesMe="",IF(AE3894="me","   not ELP, by",IF(AE3894="",IF(G3894&gt;0,(VLOOKUP(A3894,'Discount Lookup'!J:K,2)*G3894*(1-PlanterDiscount)*(1+PlanterDifficultyPercentage)),""),"")),"   not ELP, by"))))))))))))))</f>
        <v/>
      </c>
      <c r="AD3894" s="712"/>
      <c r="AE3894" s="513" t="str">
        <f t="shared" si="2900"/>
        <v/>
      </c>
      <c r="AF3894" s="713" t="str">
        <f t="shared" si="2901"/>
        <v/>
      </c>
      <c r="AG3894" s="713"/>
      <c r="AH3894" s="713"/>
      <c r="AI3894" s="112">
        <f>IF(H3894="credit",0,IF(AE3894="free",0,IF(AE3894="me",0,IF(G3894&gt;0,(VLOOKUP(A3894,'Discount Lookup'!J:K,2)*G3894),0))))</f>
        <v>0</v>
      </c>
      <c r="AJ3894" s="107" t="str">
        <f t="shared" ca="1" si="2902"/>
        <v/>
      </c>
      <c r="AK3894" s="714" t="str">
        <f t="shared" si="2903"/>
        <v/>
      </c>
      <c r="AL3894" s="714"/>
      <c r="AM3894" s="114" t="str">
        <f t="shared" si="2904"/>
        <v/>
      </c>
      <c r="AN3894" s="115"/>
      <c r="AO3894" s="116"/>
      <c r="AP3894" s="116"/>
      <c r="AQ3894" s="116"/>
      <c r="AR3894" s="116"/>
      <c r="AS3894" s="116"/>
      <c r="AT3894" s="116"/>
      <c r="AU3894" s="116"/>
      <c r="AV3894" s="78"/>
      <c r="AW3894" s="102"/>
      <c r="AX3894" s="78"/>
      <c r="AY3894" s="78"/>
      <c r="AZ3894" s="78"/>
      <c r="BA3894" s="78"/>
      <c r="BB3894" s="78"/>
      <c r="BC3894" s="78"/>
      <c r="BD3894" s="78"/>
      <c r="BE3894" s="465"/>
      <c r="BF3894" s="165" t="str">
        <f t="shared" si="2905"/>
        <v>https://www.google.com/search?tbm=isch&amp;q=1%20G2</v>
      </c>
      <c r="BG3894" s="165" t="str">
        <f t="shared" si="2906"/>
        <v>S</v>
      </c>
      <c r="BH3894" s="65"/>
      <c r="BI3894" s="65"/>
      <c r="BJ3894" s="65"/>
      <c r="BK3894" s="65"/>
      <c r="BL3894" s="99"/>
      <c r="BM3894" s="99"/>
      <c r="BN3894" s="99"/>
    </row>
    <row r="3895" spans="1:66" s="51" customFormat="1" ht="17.25" thickBot="1" x14ac:dyDescent="0.3">
      <c r="A3895" s="641" t="s">
        <v>4853</v>
      </c>
      <c r="B3895" s="642"/>
      <c r="C3895" s="710"/>
      <c r="D3895" s="643"/>
      <c r="E3895" s="643"/>
      <c r="F3895" s="644"/>
      <c r="G3895" s="645"/>
      <c r="H3895" s="646"/>
      <c r="I3895" s="647"/>
      <c r="J3895" s="648"/>
      <c r="K3895" s="649"/>
      <c r="L3895" s="650"/>
      <c r="M3895" s="650"/>
      <c r="N3895" s="644"/>
      <c r="O3895" s="644"/>
      <c r="P3895" s="644"/>
      <c r="Q3895" s="644"/>
      <c r="R3895" s="644"/>
      <c r="S3895" s="701" t="s">
        <v>5271</v>
      </c>
      <c r="T3895" s="102">
        <f t="shared" si="2894"/>
        <v>0</v>
      </c>
      <c r="U3895" s="78" t="str">
        <f>IF(NOT(ISNUMBER(G3895)), "", VLOOKUP(A3895,'Discount Lookup'!D:E,2,FALSE)*G3895)</f>
        <v/>
      </c>
      <c r="V3895" s="78" t="str">
        <f>IF(NOT(ISNUMBER(G3895)), "", VLOOKUP(A3895,'Discount Lookup'!G:H,2,FALSE)*G3895)</f>
        <v/>
      </c>
      <c r="W3895" s="102">
        <f t="shared" si="2895"/>
        <v>0</v>
      </c>
      <c r="X3895" s="102">
        <f t="shared" si="2896"/>
        <v>0</v>
      </c>
      <c r="Y3895" s="120" t="b">
        <f t="shared" si="2897"/>
        <v>0</v>
      </c>
      <c r="Z3895" s="117">
        <f t="shared" si="2898"/>
        <v>0</v>
      </c>
      <c r="AA3895" s="118"/>
      <c r="AB3895" s="118" t="str">
        <f t="shared" si="2899"/>
        <v/>
      </c>
      <c r="AC3895" s="712" t="str">
        <f>IF(AE3895="T2G","no charge",IF(AND(OR(PlanterYesMe="No",PlanterYesMe="N",PlanterYesMe="me"),H3895=""),"",IF(H3895="credit","NO install",IF(AND(K3895="",AE3895="me"),"EACH row",IF(AND(K3895="images",AE3895="me"),"EACH row",IF(D3895="","",IF(H3895="credit","",IF(AE3895="free","re-planting",IF(AE3895="me","   not ELP, by",IF(AND(OR(PlanterYesMe="Yes",PlanterYesMe="Y"),G3895&gt;0),(VLOOKUP(A3895,'Discount Lookup'!J:K,2)*G3895*(1-PlanterDiscount)*(1+PlanterDifficultyPercentage)),IF(AE3895="ELP",(VLOOKUP(A3895,'Discount Lookup'!J:K,2)*G3895*(1-PlanterDiscount)*(1+PlanterDifficultyPercentage)),IF(AE3895="free","re-planting",IF(G3895=0,"",IF(PlanterYesMe="",IF(AE3895="me","   not ELP, by",IF(AE3895="",IF(G3895&gt;0,(VLOOKUP(A3895,'Discount Lookup'!J:K,2)*G3895*(1-PlanterDiscount)*(1+PlanterDifficultyPercentage)),""),"")),"   not ELP, by"))))))))))))))</f>
        <v/>
      </c>
      <c r="AD3895" s="712"/>
      <c r="AE3895" s="513" t="str">
        <f t="shared" si="2900"/>
        <v/>
      </c>
      <c r="AF3895" s="713" t="str">
        <f t="shared" si="2901"/>
        <v/>
      </c>
      <c r="AG3895" s="713"/>
      <c r="AH3895" s="713"/>
      <c r="AI3895" s="112">
        <f>IF(H3895="credit",0,IF(AE3895="free",0,IF(AE3895="me",0,IF(G3895&gt;0,(VLOOKUP(A3895,'Discount Lookup'!J:K,2)*G3895),0))))</f>
        <v>0</v>
      </c>
      <c r="AJ3895" s="107" t="str">
        <f t="shared" ca="1" si="2902"/>
        <v/>
      </c>
      <c r="AK3895" s="714" t="str">
        <f t="shared" si="2903"/>
        <v/>
      </c>
      <c r="AL3895" s="714"/>
      <c r="AM3895" s="114" t="str">
        <f t="shared" si="2904"/>
        <v/>
      </c>
      <c r="AN3895" s="115"/>
      <c r="AO3895" s="116"/>
      <c r="AP3895" s="116"/>
      <c r="AQ3895" s="116"/>
      <c r="AR3895" s="116"/>
      <c r="AS3895" s="116"/>
      <c r="AT3895" s="116"/>
      <c r="AU3895" s="116"/>
      <c r="AV3895" s="78"/>
      <c r="AW3895" s="102"/>
      <c r="AX3895" s="78"/>
      <c r="AY3895" s="78"/>
      <c r="AZ3895" s="78"/>
      <c r="BA3895" s="78"/>
      <c r="BB3895" s="78"/>
      <c r="BC3895" s="78"/>
      <c r="BD3895" s="78"/>
      <c r="BE3895" s="465"/>
      <c r="BF3895" s="165" t="str">
        <f t="shared" si="2905"/>
        <v>https://www.google.com/search?tbm=isch&amp;q=Rainbow%20Fizz%20has%20shifting%20Copper%20to%20Green%20to%20Gold%20foliage%2C%20with%20Orange-Red%20fall%20tones.%20Summer%20bloom%2C%20on%20new%20wood%2C%20so%20prune%20late%20winter%20</v>
      </c>
      <c r="BG3895" s="165" t="str">
        <f t="shared" si="2906"/>
        <v>R</v>
      </c>
      <c r="BH3895" s="65"/>
      <c r="BI3895" s="65"/>
      <c r="BJ3895" s="65"/>
      <c r="BK3895" s="65"/>
      <c r="BL3895" s="99"/>
      <c r="BM3895" s="99"/>
      <c r="BN3895" s="99"/>
    </row>
    <row r="3896" spans="1:66" s="51" customFormat="1" ht="18" x14ac:dyDescent="0.25">
      <c r="A3896" s="623" t="s">
        <v>4241</v>
      </c>
      <c r="B3896" s="624"/>
      <c r="C3896" s="709"/>
      <c r="D3896" s="625" t="s">
        <v>5910</v>
      </c>
      <c r="E3896" s="626"/>
      <c r="F3896" s="626"/>
      <c r="G3896" s="626"/>
      <c r="H3896" s="622" t="s">
        <v>1645</v>
      </c>
      <c r="I3896" s="627" t="s">
        <v>4242</v>
      </c>
      <c r="J3896" s="628"/>
      <c r="K3896" s="628"/>
      <c r="L3896" s="629"/>
      <c r="M3896" s="700" t="s">
        <v>5241</v>
      </c>
      <c r="N3896" s="693" t="str">
        <f>IF(AND(ISTEXT($A3896), ISERROR($A3896+0)), HYPERLINK($BF3896, "Images"), "")</f>
        <v>Images</v>
      </c>
      <c r="O3896" s="695" t="s">
        <v>5247</v>
      </c>
      <c r="P3896" s="630"/>
      <c r="Q3896" s="631"/>
      <c r="R3896" s="632"/>
      <c r="S3896" s="633"/>
      <c r="T3896" s="102">
        <f t="shared" si="2894"/>
        <v>0</v>
      </c>
      <c r="U3896" s="78" t="str">
        <f>IF(NOT(ISNUMBER(G3896)), "", VLOOKUP(A3896,'Discount Lookup'!D:E,2,FALSE)*G3896)</f>
        <v/>
      </c>
      <c r="V3896" s="78" t="str">
        <f>IF(NOT(ISNUMBER(G3896)), "", VLOOKUP(A3896,'Discount Lookup'!G:H,2,FALSE)*G3896)</f>
        <v/>
      </c>
      <c r="W3896" s="102">
        <f t="shared" si="2895"/>
        <v>0</v>
      </c>
      <c r="X3896" s="102" t="str">
        <f t="shared" si="2896"/>
        <v>Red-Purple bloom</v>
      </c>
      <c r="Y3896" s="120" t="b">
        <f t="shared" si="2897"/>
        <v>0</v>
      </c>
      <c r="Z3896" s="117">
        <f t="shared" si="2898"/>
        <v>0</v>
      </c>
      <c r="AA3896" s="118"/>
      <c r="AB3896" s="118" t="str">
        <f t="shared" si="2899"/>
        <v/>
      </c>
      <c r="AC3896" s="712" t="str">
        <f>IF(AE3896="T2G","no charge",IF(AND(OR(PlanterYesMe="No",PlanterYesMe="N",PlanterYesMe="me"),H3896=""),"",IF(H3896="credit","NO install",IF(AND(K3896="",AE3896="me"),"EACH row",IF(AND(K3896="images",AE3896="me"),"EACH row",IF(D3896="","",IF(H3896="credit","",IF(AE3896="free","re-planting",IF(AE3896="me","   not ELP, by",IF(AND(OR(PlanterYesMe="Yes",PlanterYesMe="Y"),G3896&gt;0),(VLOOKUP(A3896,'Discount Lookup'!J:K,2)*G3896*(1-PlanterDiscount)*(1+PlanterDifficultyPercentage)),IF(AE3896="ELP",(VLOOKUP(A3896,'Discount Lookup'!J:K,2)*G3896*(1-PlanterDiscount)*(1+PlanterDifficultyPercentage)),IF(AE3896="free","re-planting",IF(G3896=0,"",IF(PlanterYesMe="",IF(AE3896="me","   not ELP, by",IF(AE3896="",IF(G3896&gt;0,(VLOOKUP(A3896,'Discount Lookup'!J:K,2)*G3896*(1-PlanterDiscount)*(1+PlanterDifficultyPercentage)),""),"")),"   not ELP, by"))))))))))))))</f>
        <v/>
      </c>
      <c r="AD3896" s="712"/>
      <c r="AE3896" s="513" t="str">
        <f t="shared" si="2900"/>
        <v/>
      </c>
      <c r="AF3896" s="713" t="str">
        <f t="shared" si="2901"/>
        <v/>
      </c>
      <c r="AG3896" s="713"/>
      <c r="AH3896" s="713"/>
      <c r="AI3896" s="112">
        <f>IF(H3896="credit",0,IF(AE3896="free",0,IF(AE3896="me",0,IF(G3896&gt;0,(VLOOKUP(A3896,'Discount Lookup'!J:K,2)*G3896),0))))</f>
        <v>0</v>
      </c>
      <c r="AJ3896" s="107" t="str">
        <f t="shared" ca="1" si="2902"/>
        <v/>
      </c>
      <c r="AK3896" s="714" t="str">
        <f t="shared" si="2903"/>
        <v/>
      </c>
      <c r="AL3896" s="714"/>
      <c r="AM3896" s="114" t="str">
        <f t="shared" si="2904"/>
        <v/>
      </c>
      <c r="AN3896" s="115"/>
      <c r="AO3896" s="116"/>
      <c r="AP3896" s="116"/>
      <c r="AQ3896" s="116"/>
      <c r="AR3896" s="116"/>
      <c r="AS3896" s="116"/>
      <c r="AT3896" s="116"/>
      <c r="AU3896" s="116"/>
      <c r="AV3896" s="78"/>
      <c r="AW3896" s="102"/>
      <c r="AX3896" s="78"/>
      <c r="AY3896" s="78"/>
      <c r="AZ3896" s="78"/>
      <c r="BA3896" s="78"/>
      <c r="BB3896" s="78"/>
      <c r="BC3896" s="78"/>
      <c r="BD3896" s="78"/>
      <c r="BE3896" s="465"/>
      <c r="BF3896" s="165" t="str">
        <f t="shared" si="2905"/>
        <v>https://www.google.com/search?tbm=isch&amp;q=Spiraea%20japonica%20%27NCSX1%27%20PP%2328313%20Candy%20Corn%C2%AE%20Japanese%20Spirea%20%28DP%C2%AE%29</v>
      </c>
      <c r="BG3896" s="165" t="str">
        <f t="shared" si="2906"/>
        <v>S</v>
      </c>
      <c r="BH3896" s="65"/>
      <c r="BI3896" s="65"/>
      <c r="BJ3896" s="65"/>
      <c r="BK3896" s="65"/>
      <c r="BL3896" s="99"/>
      <c r="BM3896" s="99"/>
      <c r="BN3896" s="99"/>
    </row>
    <row r="3897" spans="1:66" s="51" customFormat="1" ht="15.75" x14ac:dyDescent="0.25">
      <c r="A3897" s="634">
        <v>3</v>
      </c>
      <c r="B3897" s="635" t="s">
        <v>291</v>
      </c>
      <c r="C3897" s="636"/>
      <c r="D3897" s="637" t="s">
        <v>310</v>
      </c>
      <c r="E3897" s="638">
        <v>36.950000000000003</v>
      </c>
      <c r="F3897" s="639" t="s">
        <v>292</v>
      </c>
      <c r="G3897" s="484">
        <v>0</v>
      </c>
      <c r="H3897" s="691" t="str">
        <f>IF(G3897=0,"",IF(F3897="Buy",IF(G3897=1,"plant","plants"),IF(F3897&gt;0.01,"warranty","Error")))</f>
        <v/>
      </c>
      <c r="I3897" s="640">
        <f>IF(H3897="free",0,IF(H3897="credit",((E3897*(F3897))*G3897*-1),IF(F3897="Buy",(E3897*G3897),((E3897*(1-F3897))*G3897))))</f>
        <v>0</v>
      </c>
      <c r="J3897" s="640">
        <f>IF(H3897="warranty",0,(I3897*(_xlfn.SINGLE(SalesTaxPercentage))))</f>
        <v>0</v>
      </c>
      <c r="K3897" s="716">
        <f t="shared" ref="K3897" si="2920">I3897+J3897</f>
        <v>0</v>
      </c>
      <c r="L3897" s="716"/>
      <c r="M3897" s="689" t="str">
        <f ca="1">IF(AND(G3897&gt;0,E3897=0),"WARNING - no PRICE inserted",IF(H3897="free","FREE ~ no charge this plant",IF(H3897="credit",CONCATENATE("-$",ROUND(K3897*(1-_xlfn.SINGLE(T2GDiscount))*-1,2)," CREDIT after discount"),IF(_xlfn.SINGLE(T2GDiscount)=0,"",IF(G3897=0,"",IF(F3897="Buy",CONCATENATE("$",ROUND(K3897*(1-_xlfn.SINGLE(T2GDiscount)),2)," with ",(_xlfn.SINGLE(T2GDiscount)*100),"% discount"),CONCATENATE("$",ROUND(K3897*(1-_xlfn.SINGLE(T2GDiscount)),2)," with ",((_xlfn.SINGLE(T2GDiscount)*100+F3897*100)-(_xlfn.SINGLE(T2GDiscount)*100*F3897)),IF(F3897&gt;0,"% discounts",IF(_xlfn.SINGLE(NoWarrantyDiscount)&gt;0,"% discounts","% discount")))))))))</f>
        <v/>
      </c>
      <c r="N3897" s="690"/>
      <c r="O3897" s="486"/>
      <c r="P3897" s="486"/>
      <c r="Q3897" s="486"/>
      <c r="R3897" s="486"/>
      <c r="S3897" s="486"/>
      <c r="T3897" s="102">
        <f t="shared" si="2894"/>
        <v>0</v>
      </c>
      <c r="U3897" s="78">
        <f>IF(NOT(ISNUMBER(G3897)), "", VLOOKUP(A3897,'Discount Lookup'!D:E,2,FALSE)*G3897)</f>
        <v>0</v>
      </c>
      <c r="V3897" s="78">
        <f>IF(NOT(ISNUMBER(G3897)), "", VLOOKUP(A3897,'Discount Lookup'!G:H,2,FALSE)*G3897)</f>
        <v>0</v>
      </c>
      <c r="W3897" s="102">
        <f t="shared" si="2895"/>
        <v>0</v>
      </c>
      <c r="X3897" s="102">
        <f t="shared" si="2896"/>
        <v>0</v>
      </c>
      <c r="Y3897" s="120" t="b">
        <f t="shared" si="2897"/>
        <v>0</v>
      </c>
      <c r="Z3897" s="117">
        <f t="shared" si="2898"/>
        <v>0</v>
      </c>
      <c r="AA3897" s="118"/>
      <c r="AB3897" s="118" t="str">
        <f t="shared" si="2899"/>
        <v/>
      </c>
      <c r="AC3897" s="712" t="str">
        <f>IF(AE3897="T2G","no charge",IF(AND(OR(PlanterYesMe="No",PlanterYesMe="N",PlanterYesMe="me"),H3897=""),"",IF(H3897="credit","NO install",IF(AND(K3897="",AE3897="me"),"EACH row",IF(AND(K3897="images",AE3897="me"),"EACH row",IF(D3897="","",IF(H3897="credit","",IF(AE3897="free","re-planting",IF(AE3897="me","   not ELP, by",IF(AND(OR(PlanterYesMe="Yes",PlanterYesMe="Y"),G3897&gt;0),(VLOOKUP(A3897,'Discount Lookup'!J:K,2)*G3897*(1-PlanterDiscount)*(1+PlanterDifficultyPercentage)),IF(AE3897="ELP",(VLOOKUP(A3897,'Discount Lookup'!J:K,2)*G3897*(1-PlanterDiscount)*(1+PlanterDifficultyPercentage)),IF(AE3897="free","re-planting",IF(G3897=0,"",IF(PlanterYesMe="",IF(AE3897="me","   not ELP, by",IF(AE3897="",IF(G3897&gt;0,(VLOOKUP(A3897,'Discount Lookup'!J:K,2)*G3897*(1-PlanterDiscount)*(1+PlanterDifficultyPercentage)),""),"")),"   not ELP, by"))))))))))))))</f>
        <v/>
      </c>
      <c r="AD3897" s="712"/>
      <c r="AE3897" s="513" t="str">
        <f t="shared" si="2900"/>
        <v/>
      </c>
      <c r="AF3897" s="713" t="str">
        <f t="shared" si="2901"/>
        <v/>
      </c>
      <c r="AG3897" s="713"/>
      <c r="AH3897" s="713"/>
      <c r="AI3897" s="112">
        <f>IF(H3897="credit",0,IF(AE3897="free",0,IF(AE3897="me",0,IF(G3897&gt;0,(VLOOKUP(A3897,'Discount Lookup'!J:K,2)*G3897),0))))</f>
        <v>0</v>
      </c>
      <c r="AJ3897" s="107" t="str">
        <f t="shared" ca="1" si="2902"/>
        <v/>
      </c>
      <c r="AK3897" s="714" t="str">
        <f t="shared" si="2903"/>
        <v/>
      </c>
      <c r="AL3897" s="714"/>
      <c r="AM3897" s="114" t="str">
        <f t="shared" si="2904"/>
        <v/>
      </c>
      <c r="AN3897" s="115"/>
      <c r="AO3897" s="116"/>
      <c r="AP3897" s="116"/>
      <c r="AQ3897" s="116"/>
      <c r="AR3897" s="116"/>
      <c r="AS3897" s="116"/>
      <c r="AT3897" s="116"/>
      <c r="AU3897" s="116"/>
      <c r="AV3897" s="78"/>
      <c r="AW3897" s="102"/>
      <c r="AX3897" s="78"/>
      <c r="AY3897" s="78"/>
      <c r="AZ3897" s="78"/>
      <c r="BA3897" s="78"/>
      <c r="BB3897" s="78"/>
      <c r="BC3897" s="78"/>
      <c r="BD3897" s="78"/>
      <c r="BE3897" s="465"/>
      <c r="BF3897" s="165" t="str">
        <f t="shared" si="2905"/>
        <v>https://www.google.com/search?tbm=isch&amp;q=3%20G1</v>
      </c>
      <c r="BG3897" s="165" t="str">
        <f t="shared" si="2906"/>
        <v>S</v>
      </c>
      <c r="BH3897" s="65"/>
      <c r="BI3897" s="65"/>
      <c r="BJ3897" s="65"/>
      <c r="BK3897" s="65"/>
      <c r="BL3897" s="99"/>
      <c r="BM3897" s="99"/>
      <c r="BN3897" s="99"/>
    </row>
    <row r="3898" spans="1:66" s="51" customFormat="1" ht="15.75" x14ac:dyDescent="0.25">
      <c r="A3898" s="634">
        <v>3</v>
      </c>
      <c r="B3898" s="635" t="s">
        <v>291</v>
      </c>
      <c r="C3898" s="636" t="s">
        <v>4652</v>
      </c>
      <c r="D3898" s="637" t="s">
        <v>311</v>
      </c>
      <c r="E3898" s="638">
        <v>42.95</v>
      </c>
      <c r="F3898" s="639" t="s">
        <v>292</v>
      </c>
      <c r="G3898" s="484">
        <v>0</v>
      </c>
      <c r="H3898" s="691" t="str">
        <f>IF(G3898=0,"",IF(F3898="Buy",IF(G3898=1,"plant","plants"),IF(F3898&gt;0.01,"warranty","Error")))</f>
        <v/>
      </c>
      <c r="I3898" s="640">
        <f>IF(H3898="free",0,IF(H3898="credit",((E3898*(F3898))*G3898*-1),IF(F3898="Buy",(E3898*G3898),((E3898*(1-F3898))*G3898))))</f>
        <v>0</v>
      </c>
      <c r="J3898" s="640">
        <f>IF(H3898="warranty",0,(I3898*(_xlfn.SINGLE(SalesTaxPercentage))))</f>
        <v>0</v>
      </c>
      <c r="K3898" s="716">
        <f t="shared" ref="K3898" si="2921">I3898+J3898</f>
        <v>0</v>
      </c>
      <c r="L3898" s="716"/>
      <c r="M3898" s="689" t="str">
        <f ca="1">IF(AND(G3898&gt;0,E3898=0),"WARNING - no PRICE inserted",IF(H3898="free","FREE ~ no charge this plant",IF(H3898="credit",CONCATENATE("-$",ROUND(K3898*(1-_xlfn.SINGLE(T2GDiscount))*-1,2)," CREDIT after discount"),IF(_xlfn.SINGLE(T2GDiscount)=0,"",IF(G3898=0,"",IF(F3898="Buy",CONCATENATE("$",ROUND(K3898*(1-_xlfn.SINGLE(T2GDiscount)),2)," with ",(_xlfn.SINGLE(T2GDiscount)*100),"% discount"),CONCATENATE("$",ROUND(K3898*(1-_xlfn.SINGLE(T2GDiscount)),2)," with ",((_xlfn.SINGLE(T2GDiscount)*100+F3898*100)-(_xlfn.SINGLE(T2GDiscount)*100*F3898)),IF(F3898&gt;0,"% discounts",IF(_xlfn.SINGLE(NoWarrantyDiscount)&gt;0,"% discounts","% discount")))))))))</f>
        <v/>
      </c>
      <c r="N3898" s="690"/>
      <c r="O3898" s="486"/>
      <c r="P3898" s="486"/>
      <c r="Q3898" s="486"/>
      <c r="R3898" s="486"/>
      <c r="S3898" s="486"/>
      <c r="T3898" s="102">
        <f t="shared" si="2894"/>
        <v>0</v>
      </c>
      <c r="U3898" s="78">
        <f>IF(NOT(ISNUMBER(G3898)), "", VLOOKUP(A3898,'Discount Lookup'!D:E,2,FALSE)*G3898)</f>
        <v>0</v>
      </c>
      <c r="V3898" s="78">
        <f>IF(NOT(ISNUMBER(G3898)), "", VLOOKUP(A3898,'Discount Lookup'!G:H,2,FALSE)*G3898)</f>
        <v>0</v>
      </c>
      <c r="W3898" s="102">
        <f t="shared" si="2895"/>
        <v>0</v>
      </c>
      <c r="X3898" s="102">
        <f t="shared" si="2896"/>
        <v>0</v>
      </c>
      <c r="Y3898" s="120" t="b">
        <f t="shared" si="2897"/>
        <v>0</v>
      </c>
      <c r="Z3898" s="117">
        <f t="shared" si="2898"/>
        <v>0</v>
      </c>
      <c r="AA3898" s="118"/>
      <c r="AB3898" s="118" t="str">
        <f t="shared" si="2899"/>
        <v/>
      </c>
      <c r="AC3898" s="712" t="str">
        <f>IF(AE3898="T2G","no charge",IF(AND(OR(PlanterYesMe="No",PlanterYesMe="N",PlanterYesMe="me"),H3898=""),"",IF(H3898="credit","NO install",IF(AND(K3898="",AE3898="me"),"EACH row",IF(AND(K3898="images",AE3898="me"),"EACH row",IF(D3898="","",IF(H3898="credit","",IF(AE3898="free","re-planting",IF(AE3898="me","   not ELP, by",IF(AND(OR(PlanterYesMe="Yes",PlanterYesMe="Y"),G3898&gt;0),(VLOOKUP(A3898,'Discount Lookup'!J:K,2)*G3898*(1-PlanterDiscount)*(1+PlanterDifficultyPercentage)),IF(AE3898="ELP",(VLOOKUP(A3898,'Discount Lookup'!J:K,2)*G3898*(1-PlanterDiscount)*(1+PlanterDifficultyPercentage)),IF(AE3898="free","re-planting",IF(G3898=0,"",IF(PlanterYesMe="",IF(AE3898="me","   not ELP, by",IF(AE3898="",IF(G3898&gt;0,(VLOOKUP(A3898,'Discount Lookup'!J:K,2)*G3898*(1-PlanterDiscount)*(1+PlanterDifficultyPercentage)),""),"")),"   not ELP, by"))))))))))))))</f>
        <v/>
      </c>
      <c r="AD3898" s="712"/>
      <c r="AE3898" s="513" t="str">
        <f t="shared" si="2900"/>
        <v/>
      </c>
      <c r="AF3898" s="713" t="str">
        <f t="shared" si="2901"/>
        <v/>
      </c>
      <c r="AG3898" s="713"/>
      <c r="AH3898" s="713"/>
      <c r="AI3898" s="112">
        <f>IF(H3898="credit",0,IF(AE3898="free",0,IF(AE3898="me",0,IF(G3898&gt;0,(VLOOKUP(A3898,'Discount Lookup'!J:K,2)*G3898),0))))</f>
        <v>0</v>
      </c>
      <c r="AJ3898" s="107" t="str">
        <f t="shared" ca="1" si="2902"/>
        <v/>
      </c>
      <c r="AK3898" s="714" t="str">
        <f t="shared" si="2903"/>
        <v/>
      </c>
      <c r="AL3898" s="714"/>
      <c r="AM3898" s="114" t="str">
        <f t="shared" si="2904"/>
        <v/>
      </c>
      <c r="AN3898" s="115"/>
      <c r="AO3898" s="116"/>
      <c r="AP3898" s="116"/>
      <c r="AQ3898" s="116"/>
      <c r="AR3898" s="116"/>
      <c r="AS3898" s="116"/>
      <c r="AT3898" s="116"/>
      <c r="AU3898" s="116"/>
      <c r="AV3898" s="78"/>
      <c r="AW3898" s="102"/>
      <c r="AX3898" s="78"/>
      <c r="AY3898" s="78"/>
      <c r="AZ3898" s="78"/>
      <c r="BA3898" s="78"/>
      <c r="BB3898" s="78"/>
      <c r="BC3898" s="78"/>
      <c r="BD3898" s="78"/>
      <c r="BE3898" s="465"/>
      <c r="BF3898" s="165" t="str">
        <f t="shared" si="2905"/>
        <v>https://www.google.com/search?tbm=isch&amp;q=3%20G5</v>
      </c>
      <c r="BG3898" s="165" t="str">
        <f t="shared" si="2906"/>
        <v>S</v>
      </c>
      <c r="BH3898" s="65"/>
      <c r="BI3898" s="65"/>
      <c r="BJ3898" s="65"/>
      <c r="BK3898" s="65"/>
      <c r="BL3898" s="99"/>
      <c r="BM3898" s="99"/>
      <c r="BN3898" s="99"/>
    </row>
    <row r="3899" spans="1:66" s="51" customFormat="1" ht="15.75" x14ac:dyDescent="0.25">
      <c r="A3899" s="634">
        <v>3</v>
      </c>
      <c r="B3899" s="635" t="s">
        <v>291</v>
      </c>
      <c r="C3899" s="636" t="s">
        <v>4243</v>
      </c>
      <c r="D3899" s="637" t="s">
        <v>293</v>
      </c>
      <c r="E3899" s="638">
        <v>50.95</v>
      </c>
      <c r="F3899" s="639" t="s">
        <v>292</v>
      </c>
      <c r="G3899" s="484">
        <v>0</v>
      </c>
      <c r="H3899" s="691" t="str">
        <f>IF(G3899=0,"",IF(F3899="Buy",IF(G3899=1,"plant","plants"),IF(F3899&gt;0.01,"warranty","Error")))</f>
        <v/>
      </c>
      <c r="I3899" s="640">
        <f>IF(H3899="free",0,IF(H3899="credit",((E3899*(F3899))*G3899*-1),IF(F3899="Buy",(E3899*G3899),((E3899*(1-F3899))*G3899))))</f>
        <v>0</v>
      </c>
      <c r="J3899" s="640">
        <f>IF(H3899="warranty",0,(I3899*(_xlfn.SINGLE(SalesTaxPercentage))))</f>
        <v>0</v>
      </c>
      <c r="K3899" s="716">
        <f t="shared" ref="K3899" si="2922">I3899+J3899</f>
        <v>0</v>
      </c>
      <c r="L3899" s="716"/>
      <c r="M3899" s="689" t="str">
        <f ca="1">IF(AND(G3899&gt;0,E3899=0),"WARNING - no PRICE inserted",IF(H3899="free","FREE ~ no charge this plant",IF(H3899="credit",CONCATENATE("-$",ROUND(K3899*(1-_xlfn.SINGLE(T2GDiscount))*-1,2)," CREDIT after discount"),IF(_xlfn.SINGLE(T2GDiscount)=0,"",IF(G3899=0,"",IF(F3899="Buy",CONCATENATE("$",ROUND(K3899*(1-_xlfn.SINGLE(T2GDiscount)),2)," with ",(_xlfn.SINGLE(T2GDiscount)*100),"% discount"),CONCATENATE("$",ROUND(K3899*(1-_xlfn.SINGLE(T2GDiscount)),2)," with ",((_xlfn.SINGLE(T2GDiscount)*100+F3899*100)-(_xlfn.SINGLE(T2GDiscount)*100*F3899)),IF(F3899&gt;0,"% discounts",IF(_xlfn.SINGLE(NoWarrantyDiscount)&gt;0,"% discounts","% discount")))))))))</f>
        <v/>
      </c>
      <c r="N3899" s="690"/>
      <c r="O3899" s="486"/>
      <c r="P3899" s="486"/>
      <c r="Q3899" s="486"/>
      <c r="R3899" s="486"/>
      <c r="S3899" s="486"/>
      <c r="T3899" s="102">
        <f t="shared" si="2894"/>
        <v>0</v>
      </c>
      <c r="U3899" s="78">
        <f>IF(NOT(ISNUMBER(G3899)), "", VLOOKUP(A3899,'Discount Lookup'!D:E,2,FALSE)*G3899)</f>
        <v>0</v>
      </c>
      <c r="V3899" s="78">
        <f>IF(NOT(ISNUMBER(G3899)), "", VLOOKUP(A3899,'Discount Lookup'!G:H,2,FALSE)*G3899)</f>
        <v>0</v>
      </c>
      <c r="W3899" s="102">
        <f t="shared" si="2895"/>
        <v>0</v>
      </c>
      <c r="X3899" s="102">
        <f t="shared" si="2896"/>
        <v>0</v>
      </c>
      <c r="Y3899" s="120" t="b">
        <f t="shared" si="2897"/>
        <v>0</v>
      </c>
      <c r="Z3899" s="117">
        <f t="shared" si="2898"/>
        <v>0</v>
      </c>
      <c r="AA3899" s="118"/>
      <c r="AB3899" s="118" t="str">
        <f t="shared" si="2899"/>
        <v/>
      </c>
      <c r="AC3899" s="712" t="str">
        <f>IF(AE3899="T2G","no charge",IF(AND(OR(PlanterYesMe="No",PlanterYesMe="N",PlanterYesMe="me"),H3899=""),"",IF(H3899="credit","NO install",IF(AND(K3899="",AE3899="me"),"EACH row",IF(AND(K3899="images",AE3899="me"),"EACH row",IF(D3899="","",IF(H3899="credit","",IF(AE3899="free","re-planting",IF(AE3899="me","   not ELP, by",IF(AND(OR(PlanterYesMe="Yes",PlanterYesMe="Y"),G3899&gt;0),(VLOOKUP(A3899,'Discount Lookup'!J:K,2)*G3899*(1-PlanterDiscount)*(1+PlanterDifficultyPercentage)),IF(AE3899="ELP",(VLOOKUP(A3899,'Discount Lookup'!J:K,2)*G3899*(1-PlanterDiscount)*(1+PlanterDifficultyPercentage)),IF(AE3899="free","re-planting",IF(G3899=0,"",IF(PlanterYesMe="",IF(AE3899="me","   not ELP, by",IF(AE3899="",IF(G3899&gt;0,(VLOOKUP(A3899,'Discount Lookup'!J:K,2)*G3899*(1-PlanterDiscount)*(1+PlanterDifficultyPercentage)),""),"")),"   not ELP, by"))))))))))))))</f>
        <v/>
      </c>
      <c r="AD3899" s="712"/>
      <c r="AE3899" s="513" t="str">
        <f t="shared" si="2900"/>
        <v/>
      </c>
      <c r="AF3899" s="713" t="str">
        <f t="shared" si="2901"/>
        <v/>
      </c>
      <c r="AG3899" s="713"/>
      <c r="AH3899" s="713"/>
      <c r="AI3899" s="112">
        <f>IF(H3899="credit",0,IF(AE3899="free",0,IF(AE3899="me",0,IF(G3899&gt;0,(VLOOKUP(A3899,'Discount Lookup'!J:K,2)*G3899),0))))</f>
        <v>0</v>
      </c>
      <c r="AJ3899" s="107" t="str">
        <f t="shared" ca="1" si="2902"/>
        <v/>
      </c>
      <c r="AK3899" s="714" t="str">
        <f t="shared" si="2903"/>
        <v/>
      </c>
      <c r="AL3899" s="714"/>
      <c r="AM3899" s="114" t="str">
        <f t="shared" si="2904"/>
        <v/>
      </c>
      <c r="AN3899" s="115"/>
      <c r="AO3899" s="116"/>
      <c r="AP3899" s="116"/>
      <c r="AQ3899" s="116"/>
      <c r="AR3899" s="116"/>
      <c r="AS3899" s="116"/>
      <c r="AT3899" s="116"/>
      <c r="AU3899" s="116"/>
      <c r="AV3899" s="78"/>
      <c r="AW3899" s="102"/>
      <c r="AX3899" s="78"/>
      <c r="AY3899" s="78"/>
      <c r="AZ3899" s="78"/>
      <c r="BA3899" s="78"/>
      <c r="BB3899" s="78"/>
      <c r="BC3899" s="78"/>
      <c r="BD3899" s="78"/>
      <c r="BE3899" s="465"/>
      <c r="BF3899" s="165" t="str">
        <f t="shared" si="2905"/>
        <v>https://www.google.com/search?tbm=isch&amp;q=3%20G6</v>
      </c>
      <c r="BG3899" s="165" t="str">
        <f t="shared" si="2906"/>
        <v>S</v>
      </c>
      <c r="BH3899" s="65"/>
      <c r="BI3899" s="65"/>
      <c r="BJ3899" s="65"/>
      <c r="BK3899" s="65"/>
      <c r="BL3899" s="99"/>
      <c r="BM3899" s="99"/>
      <c r="BN3899" s="99"/>
    </row>
    <row r="3900" spans="1:66" s="51" customFormat="1" ht="17.25" thickBot="1" x14ac:dyDescent="0.3">
      <c r="A3900" s="641" t="s">
        <v>4854</v>
      </c>
      <c r="B3900" s="642"/>
      <c r="C3900" s="710"/>
      <c r="D3900" s="643"/>
      <c r="E3900" s="643"/>
      <c r="F3900" s="644"/>
      <c r="G3900" s="645"/>
      <c r="H3900" s="646"/>
      <c r="I3900" s="647"/>
      <c r="J3900" s="648"/>
      <c r="K3900" s="649"/>
      <c r="L3900" s="650"/>
      <c r="M3900" s="650"/>
      <c r="N3900" s="644"/>
      <c r="O3900" s="644"/>
      <c r="P3900" s="644"/>
      <c r="Q3900" s="644"/>
      <c r="R3900" s="644"/>
      <c r="S3900" s="701" t="s">
        <v>5271</v>
      </c>
      <c r="T3900" s="102">
        <f t="shared" si="2894"/>
        <v>0</v>
      </c>
      <c r="U3900" s="78" t="str">
        <f>IF(NOT(ISNUMBER(G3900)), "", VLOOKUP(A3900,'Discount Lookup'!D:E,2,FALSE)*G3900)</f>
        <v/>
      </c>
      <c r="V3900" s="78" t="str">
        <f>IF(NOT(ISNUMBER(G3900)), "", VLOOKUP(A3900,'Discount Lookup'!G:H,2,FALSE)*G3900)</f>
        <v/>
      </c>
      <c r="W3900" s="102">
        <f t="shared" si="2895"/>
        <v>0</v>
      </c>
      <c r="X3900" s="102">
        <f t="shared" si="2896"/>
        <v>0</v>
      </c>
      <c r="Y3900" s="120" t="b">
        <f t="shared" si="2897"/>
        <v>0</v>
      </c>
      <c r="Z3900" s="117">
        <f t="shared" si="2898"/>
        <v>0</v>
      </c>
      <c r="AA3900" s="118"/>
      <c r="AB3900" s="118" t="str">
        <f t="shared" si="2899"/>
        <v/>
      </c>
      <c r="AC3900" s="712" t="str">
        <f>IF(AE3900="T2G","no charge",IF(AND(OR(PlanterYesMe="No",PlanterYesMe="N",PlanterYesMe="me"),H3900=""),"",IF(H3900="credit","NO install",IF(AND(K3900="",AE3900="me"),"EACH row",IF(AND(K3900="images",AE3900="me"),"EACH row",IF(D3900="","",IF(H3900="credit","",IF(AE3900="free","re-planting",IF(AE3900="me","   not ELP, by",IF(AND(OR(PlanterYesMe="Yes",PlanterYesMe="Y"),G3900&gt;0),(VLOOKUP(A3900,'Discount Lookup'!J:K,2)*G3900*(1-PlanterDiscount)*(1+PlanterDifficultyPercentage)),IF(AE3900="ELP",(VLOOKUP(A3900,'Discount Lookup'!J:K,2)*G3900*(1-PlanterDiscount)*(1+PlanterDifficultyPercentage)),IF(AE3900="free","re-planting",IF(G3900=0,"",IF(PlanterYesMe="",IF(AE3900="me","   not ELP, by",IF(AE3900="",IF(G3900&gt;0,(VLOOKUP(A3900,'Discount Lookup'!J:K,2)*G3900*(1-PlanterDiscount)*(1+PlanterDifficultyPercentage)),""),"")),"   not ELP, by"))))))))))))))</f>
        <v/>
      </c>
      <c r="AD3900" s="712"/>
      <c r="AE3900" s="513" t="str">
        <f t="shared" si="2900"/>
        <v/>
      </c>
      <c r="AF3900" s="713" t="str">
        <f t="shared" si="2901"/>
        <v/>
      </c>
      <c r="AG3900" s="713"/>
      <c r="AH3900" s="713"/>
      <c r="AI3900" s="112">
        <f>IF(H3900="credit",0,IF(AE3900="free",0,IF(AE3900="me",0,IF(G3900&gt;0,(VLOOKUP(A3900,'Discount Lookup'!J:K,2)*G3900),0))))</f>
        <v>0</v>
      </c>
      <c r="AJ3900" s="107" t="str">
        <f t="shared" ca="1" si="2902"/>
        <v/>
      </c>
      <c r="AK3900" s="714" t="str">
        <f t="shared" si="2903"/>
        <v/>
      </c>
      <c r="AL3900" s="714"/>
      <c r="AM3900" s="114" t="str">
        <f t="shared" si="2904"/>
        <v/>
      </c>
      <c r="AN3900" s="115"/>
      <c r="AO3900" s="116"/>
      <c r="AP3900" s="116"/>
      <c r="AQ3900" s="116"/>
      <c r="AR3900" s="116"/>
      <c r="AS3900" s="116"/>
      <c r="AT3900" s="116"/>
      <c r="AU3900" s="116"/>
      <c r="AV3900" s="78"/>
      <c r="AW3900" s="102"/>
      <c r="AX3900" s="78"/>
      <c r="AY3900" s="78"/>
      <c r="AZ3900" s="78"/>
      <c r="BA3900" s="78"/>
      <c r="BB3900" s="78"/>
      <c r="BC3900" s="78"/>
      <c r="BD3900" s="78"/>
      <c r="BE3900" s="465"/>
      <c r="BF3900" s="165" t="str">
        <f t="shared" si="2905"/>
        <v>https://www.google.com/search?tbm=isch&amp;q=Candy%20Corn%20foliage%20emerges%20Candy-Apple%20Red%2C%20shifts%20to%20Bright%20Yellow%2C%20then%20Orange-Red%20fall.%20%20Summer%20bloom%2C%20on%20new%20wood%2C%20so%20prune%20late%20winter%20</v>
      </c>
      <c r="BG3900" s="165" t="str">
        <f t="shared" si="2906"/>
        <v>C</v>
      </c>
      <c r="BH3900" s="65"/>
      <c r="BI3900" s="65"/>
      <c r="BJ3900" s="65"/>
      <c r="BK3900" s="65"/>
      <c r="BL3900" s="99"/>
      <c r="BM3900" s="99"/>
      <c r="BN3900" s="99"/>
    </row>
    <row r="3901" spans="1:66" s="51" customFormat="1" ht="18" x14ac:dyDescent="0.25">
      <c r="A3901" s="623" t="s">
        <v>4244</v>
      </c>
      <c r="B3901" s="624"/>
      <c r="C3901" s="709"/>
      <c r="D3901" s="625" t="s">
        <v>5826</v>
      </c>
      <c r="E3901" s="626"/>
      <c r="F3901" s="626"/>
      <c r="G3901" s="626"/>
      <c r="H3901" s="622" t="s">
        <v>1104</v>
      </c>
      <c r="I3901" s="627" t="s">
        <v>4245</v>
      </c>
      <c r="J3901" s="628"/>
      <c r="K3901" s="628"/>
      <c r="L3901" s="629"/>
      <c r="M3901" s="700" t="s">
        <v>5241</v>
      </c>
      <c r="N3901" s="693" t="str">
        <f>IF(AND(ISTEXT($A3901), ISERROR($A3901+0)), HYPERLINK($BF3901, "Images"), "")</f>
        <v>Images</v>
      </c>
      <c r="O3901" s="695" t="s">
        <v>5247</v>
      </c>
      <c r="P3901" s="630"/>
      <c r="Q3901" s="631"/>
      <c r="R3901" s="632"/>
      <c r="S3901" s="633"/>
      <c r="T3901" s="102">
        <f t="shared" si="2894"/>
        <v>0</v>
      </c>
      <c r="U3901" s="78" t="str">
        <f>IF(NOT(ISNUMBER(G3901)), "", VLOOKUP(A3901,'Discount Lookup'!D:E,2,FALSE)*G3901)</f>
        <v/>
      </c>
      <c r="V3901" s="78" t="str">
        <f>IF(NOT(ISNUMBER(G3901)), "", VLOOKUP(A3901,'Discount Lookup'!G:H,2,FALSE)*G3901)</f>
        <v/>
      </c>
      <c r="W3901" s="102">
        <f t="shared" si="2895"/>
        <v>0</v>
      </c>
      <c r="X3901" s="102" t="str">
        <f t="shared" si="2896"/>
        <v>Red-Purple-Pink bloom</v>
      </c>
      <c r="Y3901" s="120" t="b">
        <f t="shared" si="2897"/>
        <v>0</v>
      </c>
      <c r="Z3901" s="117">
        <f t="shared" si="2898"/>
        <v>0</v>
      </c>
      <c r="AA3901" s="118"/>
      <c r="AB3901" s="118" t="str">
        <f t="shared" si="2899"/>
        <v/>
      </c>
      <c r="AC3901" s="712" t="str">
        <f>IF(AE3901="T2G","no charge",IF(AND(OR(PlanterYesMe="No",PlanterYesMe="N",PlanterYesMe="me"),H3901=""),"",IF(H3901="credit","NO install",IF(AND(K3901="",AE3901="me"),"EACH row",IF(AND(K3901="images",AE3901="me"),"EACH row",IF(D3901="","",IF(H3901="credit","",IF(AE3901="free","re-planting",IF(AE3901="me","   not ELP, by",IF(AND(OR(PlanterYesMe="Yes",PlanterYesMe="Y"),G3901&gt;0),(VLOOKUP(A3901,'Discount Lookup'!J:K,2)*G3901*(1-PlanterDiscount)*(1+PlanterDifficultyPercentage)),IF(AE3901="ELP",(VLOOKUP(A3901,'Discount Lookup'!J:K,2)*G3901*(1-PlanterDiscount)*(1+PlanterDifficultyPercentage)),IF(AE3901="free","re-planting",IF(G3901=0,"",IF(PlanterYesMe="",IF(AE3901="me","   not ELP, by",IF(AE3901="",IF(G3901&gt;0,(VLOOKUP(A3901,'Discount Lookup'!J:K,2)*G3901*(1-PlanterDiscount)*(1+PlanterDifficultyPercentage)),""),"")),"   not ELP, by"))))))))))))))</f>
        <v/>
      </c>
      <c r="AD3901" s="712"/>
      <c r="AE3901" s="513" t="str">
        <f t="shared" si="2900"/>
        <v/>
      </c>
      <c r="AF3901" s="713" t="str">
        <f t="shared" si="2901"/>
        <v/>
      </c>
      <c r="AG3901" s="713"/>
      <c r="AH3901" s="713"/>
      <c r="AI3901" s="112">
        <f>IF(H3901="credit",0,IF(AE3901="free",0,IF(AE3901="me",0,IF(G3901&gt;0,(VLOOKUP(A3901,'Discount Lookup'!J:K,2)*G3901),0))))</f>
        <v>0</v>
      </c>
      <c r="AJ3901" s="107" t="str">
        <f t="shared" ca="1" si="2902"/>
        <v/>
      </c>
      <c r="AK3901" s="714" t="str">
        <f t="shared" si="2903"/>
        <v/>
      </c>
      <c r="AL3901" s="714"/>
      <c r="AM3901" s="114" t="str">
        <f t="shared" si="2904"/>
        <v/>
      </c>
      <c r="AN3901" s="115"/>
      <c r="AO3901" s="116"/>
      <c r="AP3901" s="116"/>
      <c r="AQ3901" s="116"/>
      <c r="AR3901" s="116"/>
      <c r="AS3901" s="116"/>
      <c r="AT3901" s="116"/>
      <c r="AU3901" s="116"/>
      <c r="AV3901" s="78"/>
      <c r="AW3901" s="102"/>
      <c r="AX3901" s="78"/>
      <c r="AY3901" s="78"/>
      <c r="AZ3901" s="78"/>
      <c r="BA3901" s="78"/>
      <c r="BB3901" s="78"/>
      <c r="BC3901" s="78"/>
      <c r="BD3901" s="78"/>
      <c r="BE3901" s="465"/>
      <c r="BF3901" s="165" t="str">
        <f t="shared" si="2905"/>
        <v>https://www.google.com/search?tbm=isch&amp;q=Spiraea%20japonica%20%27NCSX2%27%20PP%2330953%20Doozie%C2%AE%20Japanese%20Spirea</v>
      </c>
      <c r="BG3901" s="165" t="str">
        <f t="shared" si="2906"/>
        <v>S</v>
      </c>
      <c r="BH3901" s="65"/>
      <c r="BI3901" s="65"/>
      <c r="BJ3901" s="65"/>
      <c r="BK3901" s="65"/>
      <c r="BL3901" s="99"/>
      <c r="BM3901" s="99"/>
      <c r="BN3901" s="99"/>
    </row>
    <row r="3902" spans="1:66" s="51" customFormat="1" ht="15.75" x14ac:dyDescent="0.25">
      <c r="A3902" s="634">
        <v>3</v>
      </c>
      <c r="B3902" s="635" t="s">
        <v>291</v>
      </c>
      <c r="C3902" s="636" t="s">
        <v>4246</v>
      </c>
      <c r="D3902" s="637" t="s">
        <v>329</v>
      </c>
      <c r="E3902" s="638">
        <v>40.950000000000003</v>
      </c>
      <c r="F3902" s="639" t="s">
        <v>292</v>
      </c>
      <c r="G3902" s="484">
        <v>0</v>
      </c>
      <c r="H3902" s="691" t="str">
        <f>IF(G3902=0,"",IF(F3902="Buy",IF(G3902=1,"plant","plants"),IF(F3902&gt;0.01,"warranty","Error")))</f>
        <v/>
      </c>
      <c r="I3902" s="640">
        <f>IF(H3902="free",0,IF(H3902="credit",((E3902*(F3902))*G3902*-1),IF(F3902="Buy",(E3902*G3902),((E3902*(1-F3902))*G3902))))</f>
        <v>0</v>
      </c>
      <c r="J3902" s="640">
        <f>IF(H3902="warranty",0,(I3902*(_xlfn.SINGLE(SalesTaxPercentage))))</f>
        <v>0</v>
      </c>
      <c r="K3902" s="716">
        <f t="shared" ref="K3902" si="2923">I3902+J3902</f>
        <v>0</v>
      </c>
      <c r="L3902" s="716"/>
      <c r="M3902" s="689" t="str">
        <f ca="1">IF(AND(G3902&gt;0,E3902=0),"WARNING - no PRICE inserted",IF(H3902="free","FREE ~ no charge this plant",IF(H3902="credit",CONCATENATE("-$",ROUND(K3902*(1-_xlfn.SINGLE(T2GDiscount))*-1,2)," CREDIT after discount"),IF(_xlfn.SINGLE(T2GDiscount)=0,"",IF(G3902=0,"",IF(F3902="Buy",CONCATENATE("$",ROUND(K3902*(1-_xlfn.SINGLE(T2GDiscount)),2)," with ",(_xlfn.SINGLE(T2GDiscount)*100),"% discount"),CONCATENATE("$",ROUND(K3902*(1-_xlfn.SINGLE(T2GDiscount)),2)," with ",((_xlfn.SINGLE(T2GDiscount)*100+F3902*100)-(_xlfn.SINGLE(T2GDiscount)*100*F3902)),IF(F3902&gt;0,"% discounts",IF(_xlfn.SINGLE(NoWarrantyDiscount)&gt;0,"% discounts","% discount")))))))))</f>
        <v/>
      </c>
      <c r="N3902" s="690"/>
      <c r="O3902" s="486"/>
      <c r="P3902" s="486"/>
      <c r="Q3902" s="486"/>
      <c r="R3902" s="486"/>
      <c r="S3902" s="486"/>
      <c r="T3902" s="102">
        <f t="shared" si="2894"/>
        <v>0</v>
      </c>
      <c r="U3902" s="78">
        <f>IF(NOT(ISNUMBER(G3902)), "", VLOOKUP(A3902,'Discount Lookup'!D:E,2,FALSE)*G3902)</f>
        <v>0</v>
      </c>
      <c r="V3902" s="78">
        <f>IF(NOT(ISNUMBER(G3902)), "", VLOOKUP(A3902,'Discount Lookup'!G:H,2,FALSE)*G3902)</f>
        <v>0</v>
      </c>
      <c r="W3902" s="102">
        <f t="shared" si="2895"/>
        <v>0</v>
      </c>
      <c r="X3902" s="102">
        <f t="shared" si="2896"/>
        <v>0</v>
      </c>
      <c r="Y3902" s="120" t="b">
        <f t="shared" si="2897"/>
        <v>0</v>
      </c>
      <c r="Z3902" s="117">
        <f t="shared" si="2898"/>
        <v>0</v>
      </c>
      <c r="AA3902" s="118"/>
      <c r="AB3902" s="118" t="str">
        <f t="shared" si="2899"/>
        <v/>
      </c>
      <c r="AC3902" s="712" t="str">
        <f>IF(AE3902="T2G","no charge",IF(AND(OR(PlanterYesMe="No",PlanterYesMe="N",PlanterYesMe="me"),H3902=""),"",IF(H3902="credit","NO install",IF(AND(K3902="",AE3902="me"),"EACH row",IF(AND(K3902="images",AE3902="me"),"EACH row",IF(D3902="","",IF(H3902="credit","",IF(AE3902="free","re-planting",IF(AE3902="me","   not ELP, by",IF(AND(OR(PlanterYesMe="Yes",PlanterYesMe="Y"),G3902&gt;0),(VLOOKUP(A3902,'Discount Lookup'!J:K,2)*G3902*(1-PlanterDiscount)*(1+PlanterDifficultyPercentage)),IF(AE3902="ELP",(VLOOKUP(A3902,'Discount Lookup'!J:K,2)*G3902*(1-PlanterDiscount)*(1+PlanterDifficultyPercentage)),IF(AE3902="free","re-planting",IF(G3902=0,"",IF(PlanterYesMe="",IF(AE3902="me","   not ELP, by",IF(AE3902="",IF(G3902&gt;0,(VLOOKUP(A3902,'Discount Lookup'!J:K,2)*G3902*(1-PlanterDiscount)*(1+PlanterDifficultyPercentage)),""),"")),"   not ELP, by"))))))))))))))</f>
        <v/>
      </c>
      <c r="AD3902" s="712"/>
      <c r="AE3902" s="513" t="str">
        <f t="shared" si="2900"/>
        <v/>
      </c>
      <c r="AF3902" s="713" t="str">
        <f t="shared" si="2901"/>
        <v/>
      </c>
      <c r="AG3902" s="713"/>
      <c r="AH3902" s="713"/>
      <c r="AI3902" s="112">
        <f>IF(H3902="credit",0,IF(AE3902="free",0,IF(AE3902="me",0,IF(G3902&gt;0,(VLOOKUP(A3902,'Discount Lookup'!J:K,2)*G3902),0))))</f>
        <v>0</v>
      </c>
      <c r="AJ3902" s="107" t="str">
        <f t="shared" ca="1" si="2902"/>
        <v/>
      </c>
      <c r="AK3902" s="714" t="str">
        <f t="shared" si="2903"/>
        <v/>
      </c>
      <c r="AL3902" s="714"/>
      <c r="AM3902" s="114" t="str">
        <f t="shared" si="2904"/>
        <v/>
      </c>
      <c r="AN3902" s="115"/>
      <c r="AO3902" s="116"/>
      <c r="AP3902" s="116"/>
      <c r="AQ3902" s="116"/>
      <c r="AR3902" s="116"/>
      <c r="AS3902" s="116"/>
      <c r="AT3902" s="116"/>
      <c r="AU3902" s="116"/>
      <c r="AV3902" s="78"/>
      <c r="AW3902" s="102"/>
      <c r="AX3902" s="78"/>
      <c r="AY3902" s="78"/>
      <c r="AZ3902" s="78"/>
      <c r="BA3902" s="78"/>
      <c r="BB3902" s="78"/>
      <c r="BC3902" s="78"/>
      <c r="BD3902" s="78"/>
      <c r="BE3902" s="465"/>
      <c r="BF3902" s="165" t="str">
        <f t="shared" si="2905"/>
        <v>https://www.google.com/search?tbm=isch&amp;q=3%20G2</v>
      </c>
      <c r="BG3902" s="165" t="str">
        <f t="shared" si="2906"/>
        <v>S</v>
      </c>
      <c r="BH3902" s="65"/>
      <c r="BI3902" s="65"/>
      <c r="BJ3902" s="65"/>
      <c r="BK3902" s="65"/>
      <c r="BL3902" s="99"/>
      <c r="BM3902" s="99"/>
      <c r="BN3902" s="99"/>
    </row>
    <row r="3903" spans="1:66" s="51" customFormat="1" ht="17.25" thickBot="1" x14ac:dyDescent="0.3">
      <c r="A3903" s="641" t="s">
        <v>5237</v>
      </c>
      <c r="B3903" s="642"/>
      <c r="C3903" s="710"/>
      <c r="D3903" s="643"/>
      <c r="E3903" s="643"/>
      <c r="F3903" s="644"/>
      <c r="G3903" s="645"/>
      <c r="H3903" s="646"/>
      <c r="I3903" s="647"/>
      <c r="J3903" s="648"/>
      <c r="K3903" s="649"/>
      <c r="L3903" s="650"/>
      <c r="M3903" s="650"/>
      <c r="N3903" s="644"/>
      <c r="O3903" s="644"/>
      <c r="P3903" s="644"/>
      <c r="Q3903" s="644"/>
      <c r="R3903" s="644"/>
      <c r="S3903" s="701" t="s">
        <v>5271</v>
      </c>
      <c r="T3903" s="102">
        <f t="shared" si="2894"/>
        <v>0</v>
      </c>
      <c r="U3903" s="78" t="str">
        <f>IF(NOT(ISNUMBER(G3903)), "", VLOOKUP(A3903,'Discount Lookup'!D:E,2,FALSE)*G3903)</f>
        <v/>
      </c>
      <c r="V3903" s="78" t="str">
        <f>IF(NOT(ISNUMBER(G3903)), "", VLOOKUP(A3903,'Discount Lookup'!G:H,2,FALSE)*G3903)</f>
        <v/>
      </c>
      <c r="W3903" s="102">
        <f t="shared" si="2895"/>
        <v>0</v>
      </c>
      <c r="X3903" s="102">
        <f t="shared" si="2896"/>
        <v>0</v>
      </c>
      <c r="Y3903" s="120" t="b">
        <f t="shared" si="2897"/>
        <v>0</v>
      </c>
      <c r="Z3903" s="117">
        <f t="shared" si="2898"/>
        <v>0</v>
      </c>
      <c r="AA3903" s="118"/>
      <c r="AB3903" s="118" t="str">
        <f t="shared" si="2899"/>
        <v/>
      </c>
      <c r="AC3903" s="712" t="str">
        <f>IF(AE3903="T2G","no charge",IF(AND(OR(PlanterYesMe="No",PlanterYesMe="N",PlanterYesMe="me"),H3903=""),"",IF(H3903="credit","NO install",IF(AND(K3903="",AE3903="me"),"EACH row",IF(AND(K3903="images",AE3903="me"),"EACH row",IF(D3903="","",IF(H3903="credit","",IF(AE3903="free","re-planting",IF(AE3903="me","   not ELP, by",IF(AND(OR(PlanterYesMe="Yes",PlanterYesMe="Y"),G3903&gt;0),(VLOOKUP(A3903,'Discount Lookup'!J:K,2)*G3903*(1-PlanterDiscount)*(1+PlanterDifficultyPercentage)),IF(AE3903="ELP",(VLOOKUP(A3903,'Discount Lookup'!J:K,2)*G3903*(1-PlanterDiscount)*(1+PlanterDifficultyPercentage)),IF(AE3903="free","re-planting",IF(G3903=0,"",IF(PlanterYesMe="",IF(AE3903="me","   not ELP, by",IF(AE3903="",IF(G3903&gt;0,(VLOOKUP(A3903,'Discount Lookup'!J:K,2)*G3903*(1-PlanterDiscount)*(1+PlanterDifficultyPercentage)),""),"")),"   not ELP, by"))))))))))))))</f>
        <v/>
      </c>
      <c r="AD3903" s="712"/>
      <c r="AE3903" s="513" t="str">
        <f t="shared" si="2900"/>
        <v/>
      </c>
      <c r="AF3903" s="713" t="str">
        <f t="shared" si="2901"/>
        <v/>
      </c>
      <c r="AG3903" s="713"/>
      <c r="AH3903" s="713"/>
      <c r="AI3903" s="112">
        <f>IF(H3903="credit",0,IF(AE3903="free",0,IF(AE3903="me",0,IF(G3903&gt;0,(VLOOKUP(A3903,'Discount Lookup'!J:K,2)*G3903),0))))</f>
        <v>0</v>
      </c>
      <c r="AJ3903" s="107" t="str">
        <f t="shared" ca="1" si="2902"/>
        <v/>
      </c>
      <c r="AK3903" s="714" t="str">
        <f t="shared" si="2903"/>
        <v/>
      </c>
      <c r="AL3903" s="714"/>
      <c r="AM3903" s="114" t="str">
        <f t="shared" si="2904"/>
        <v/>
      </c>
      <c r="AN3903" s="115"/>
      <c r="AO3903" s="116"/>
      <c r="AP3903" s="116"/>
      <c r="AQ3903" s="116"/>
      <c r="AR3903" s="116"/>
      <c r="AS3903" s="116"/>
      <c r="AT3903" s="116"/>
      <c r="AU3903" s="116"/>
      <c r="AV3903" s="78"/>
      <c r="AW3903" s="102"/>
      <c r="AX3903" s="78"/>
      <c r="AY3903" s="78"/>
      <c r="AZ3903" s="78"/>
      <c r="BA3903" s="78"/>
      <c r="BB3903" s="78"/>
      <c r="BC3903" s="78"/>
      <c r="BD3903" s="78"/>
      <c r="BE3903" s="465"/>
      <c r="BF3903" s="165" t="str">
        <f t="shared" si="2905"/>
        <v>https://www.google.com/search?tbm=isch&amp;q=Doozie%20reblooms%20without%20deadheading.%20Red%20summer%20foliage%20matures%20to%20Green%2C%20Reddish%20fall.%20Summer%20blooms%2C%20on%20new%20wood%2C%20so%20prune%20late%20winter%20</v>
      </c>
      <c r="BG3903" s="165" t="str">
        <f t="shared" si="2906"/>
        <v>D</v>
      </c>
      <c r="BH3903" s="65"/>
      <c r="BI3903" s="65"/>
      <c r="BJ3903" s="65"/>
      <c r="BK3903" s="65"/>
      <c r="BL3903" s="99"/>
      <c r="BM3903" s="99"/>
      <c r="BN3903" s="99"/>
    </row>
    <row r="3904" spans="1:66" s="51" customFormat="1" ht="18" x14ac:dyDescent="0.25">
      <c r="A3904" s="623" t="s">
        <v>4247</v>
      </c>
      <c r="B3904" s="624"/>
      <c r="C3904" s="709"/>
      <c r="D3904" s="625" t="s">
        <v>5827</v>
      </c>
      <c r="E3904" s="626"/>
      <c r="F3904" s="626"/>
      <c r="G3904" s="626"/>
      <c r="H3904" s="622" t="s">
        <v>1439</v>
      </c>
      <c r="I3904" s="627" t="s">
        <v>4248</v>
      </c>
      <c r="J3904" s="628"/>
      <c r="K3904" s="628"/>
      <c r="L3904" s="629"/>
      <c r="M3904" s="700" t="s">
        <v>5241</v>
      </c>
      <c r="N3904" s="693" t="str">
        <f>IF(AND(ISTEXT($A3904), ISERROR($A3904+0)), HYPERLINK($BF3904, "Images"), "")</f>
        <v>Images</v>
      </c>
      <c r="O3904" s="695" t="s">
        <v>5247</v>
      </c>
      <c r="P3904" s="630"/>
      <c r="Q3904" s="631"/>
      <c r="R3904" s="632"/>
      <c r="S3904" s="633"/>
      <c r="T3904" s="102">
        <f t="shared" si="2894"/>
        <v>0</v>
      </c>
      <c r="U3904" s="78" t="str">
        <f>IF(NOT(ISNUMBER(G3904)), "", VLOOKUP(A3904,'Discount Lookup'!D:E,2,FALSE)*G3904)</f>
        <v/>
      </c>
      <c r="V3904" s="78" t="str">
        <f>IF(NOT(ISNUMBER(G3904)), "", VLOOKUP(A3904,'Discount Lookup'!G:H,2,FALSE)*G3904)</f>
        <v/>
      </c>
      <c r="W3904" s="102">
        <f t="shared" si="2895"/>
        <v>0</v>
      </c>
      <c r="X3904" s="102" t="str">
        <f t="shared" si="2896"/>
        <v>Candy-Pink bloom</v>
      </c>
      <c r="Y3904" s="120" t="b">
        <f t="shared" si="2897"/>
        <v>0</v>
      </c>
      <c r="Z3904" s="117">
        <f t="shared" si="2898"/>
        <v>0</v>
      </c>
      <c r="AA3904" s="118"/>
      <c r="AB3904" s="118" t="str">
        <f t="shared" si="2899"/>
        <v/>
      </c>
      <c r="AC3904" s="712" t="str">
        <f>IF(AE3904="T2G","no charge",IF(AND(OR(PlanterYesMe="No",PlanterYesMe="N",PlanterYesMe="me"),H3904=""),"",IF(H3904="credit","NO install",IF(AND(K3904="",AE3904="me"),"EACH row",IF(AND(K3904="images",AE3904="me"),"EACH row",IF(D3904="","",IF(H3904="credit","",IF(AE3904="free","re-planting",IF(AE3904="me","   not ELP, by",IF(AND(OR(PlanterYesMe="Yes",PlanterYesMe="Y"),G3904&gt;0),(VLOOKUP(A3904,'Discount Lookup'!J:K,2)*G3904*(1-PlanterDiscount)*(1+PlanterDifficultyPercentage)),IF(AE3904="ELP",(VLOOKUP(A3904,'Discount Lookup'!J:K,2)*G3904*(1-PlanterDiscount)*(1+PlanterDifficultyPercentage)),IF(AE3904="free","re-planting",IF(G3904=0,"",IF(PlanterYesMe="",IF(AE3904="me","   not ELP, by",IF(AE3904="",IF(G3904&gt;0,(VLOOKUP(A3904,'Discount Lookup'!J:K,2)*G3904*(1-PlanterDiscount)*(1+PlanterDifficultyPercentage)),""),"")),"   not ELP, by"))))))))))))))</f>
        <v/>
      </c>
      <c r="AD3904" s="712"/>
      <c r="AE3904" s="513" t="str">
        <f t="shared" si="2900"/>
        <v/>
      </c>
      <c r="AF3904" s="713" t="str">
        <f t="shared" si="2901"/>
        <v/>
      </c>
      <c r="AG3904" s="713"/>
      <c r="AH3904" s="713"/>
      <c r="AI3904" s="112">
        <f>IF(H3904="credit",0,IF(AE3904="free",0,IF(AE3904="me",0,IF(G3904&gt;0,(VLOOKUP(A3904,'Discount Lookup'!J:K,2)*G3904),0))))</f>
        <v>0</v>
      </c>
      <c r="AJ3904" s="107" t="str">
        <f t="shared" ca="1" si="2902"/>
        <v/>
      </c>
      <c r="AK3904" s="714" t="str">
        <f t="shared" si="2903"/>
        <v/>
      </c>
      <c r="AL3904" s="714"/>
      <c r="AM3904" s="114" t="str">
        <f t="shared" si="2904"/>
        <v/>
      </c>
      <c r="AN3904" s="115"/>
      <c r="AO3904" s="116"/>
      <c r="AP3904" s="116"/>
      <c r="AQ3904" s="116"/>
      <c r="AR3904" s="116"/>
      <c r="AS3904" s="116"/>
      <c r="AT3904" s="116"/>
      <c r="AU3904" s="116"/>
      <c r="AV3904" s="78"/>
      <c r="AW3904" s="102"/>
      <c r="AX3904" s="78"/>
      <c r="AY3904" s="78"/>
      <c r="AZ3904" s="78"/>
      <c r="BA3904" s="78"/>
      <c r="BB3904" s="78"/>
      <c r="BC3904" s="78"/>
      <c r="BD3904" s="78"/>
      <c r="BE3904" s="465"/>
      <c r="BF3904" s="165" t="str">
        <f t="shared" si="2905"/>
        <v>https://www.google.com/search?tbm=isch&amp;q=Spiraea%20japonica%20%27Odessa%27%20PP%2328508%20Poprocks%C2%AE%20Petite%20Japanese%20Spirea</v>
      </c>
      <c r="BG3904" s="165" t="str">
        <f t="shared" si="2906"/>
        <v>S</v>
      </c>
      <c r="BH3904" s="65"/>
      <c r="BI3904" s="65"/>
      <c r="BJ3904" s="65"/>
      <c r="BK3904" s="65"/>
      <c r="BL3904" s="99"/>
      <c r="BM3904" s="99"/>
      <c r="BN3904" s="99"/>
    </row>
    <row r="3905" spans="1:66" s="51" customFormat="1" ht="15.75" x14ac:dyDescent="0.25">
      <c r="A3905" s="634">
        <v>1</v>
      </c>
      <c r="B3905" s="635" t="s">
        <v>291</v>
      </c>
      <c r="C3905" s="636"/>
      <c r="D3905" s="637" t="s">
        <v>329</v>
      </c>
      <c r="E3905" s="638">
        <v>28.95</v>
      </c>
      <c r="F3905" s="639" t="s">
        <v>292</v>
      </c>
      <c r="G3905" s="484">
        <v>0</v>
      </c>
      <c r="H3905" s="691" t="str">
        <f>IF(G3905=0,"",IF(F3905="Buy",IF(G3905=1,"plant","plants"),IF(F3905&gt;0.01,"warranty","Error")))</f>
        <v/>
      </c>
      <c r="I3905" s="640">
        <f>IF(H3905="free",0,IF(H3905="credit",((E3905*(F3905))*G3905*-1),IF(F3905="Buy",(E3905*G3905),((E3905*(1-F3905))*G3905))))</f>
        <v>0</v>
      </c>
      <c r="J3905" s="640">
        <f>IF(H3905="warranty",0,(I3905*(_xlfn.SINGLE(SalesTaxPercentage))))</f>
        <v>0</v>
      </c>
      <c r="K3905" s="716">
        <f t="shared" ref="K3905" si="2924">I3905+J3905</f>
        <v>0</v>
      </c>
      <c r="L3905" s="716"/>
      <c r="M3905" s="689" t="str">
        <f ca="1">IF(AND(G3905&gt;0,E3905=0),"WARNING - no PRICE inserted",IF(H3905="free","FREE ~ no charge this plant",IF(H3905="credit",CONCATENATE("-$",ROUND(K3905*(1-_xlfn.SINGLE(T2GDiscount))*-1,2)," CREDIT after discount"),IF(_xlfn.SINGLE(T2GDiscount)=0,"",IF(G3905=0,"",IF(F3905="Buy",CONCATENATE("$",ROUND(K3905*(1-_xlfn.SINGLE(T2GDiscount)),2)," with ",(_xlfn.SINGLE(T2GDiscount)*100),"% discount"),CONCATENATE("$",ROUND(K3905*(1-_xlfn.SINGLE(T2GDiscount)),2)," with ",((_xlfn.SINGLE(T2GDiscount)*100+F3905*100)-(_xlfn.SINGLE(T2GDiscount)*100*F3905)),IF(F3905&gt;0,"% discounts",IF(_xlfn.SINGLE(NoWarrantyDiscount)&gt;0,"% discounts","% discount")))))))))</f>
        <v/>
      </c>
      <c r="N3905" s="690"/>
      <c r="O3905" s="486"/>
      <c r="P3905" s="486"/>
      <c r="Q3905" s="486"/>
      <c r="R3905" s="486"/>
      <c r="S3905" s="486"/>
      <c r="T3905" s="102">
        <f t="shared" si="2894"/>
        <v>0</v>
      </c>
      <c r="U3905" s="78">
        <f>IF(NOT(ISNUMBER(G3905)), "", VLOOKUP(A3905,'Discount Lookup'!D:E,2,FALSE)*G3905)</f>
        <v>0</v>
      </c>
      <c r="V3905" s="78">
        <f>IF(NOT(ISNUMBER(G3905)), "", VLOOKUP(A3905,'Discount Lookup'!G:H,2,FALSE)*G3905)</f>
        <v>0</v>
      </c>
      <c r="W3905" s="102">
        <f t="shared" si="2895"/>
        <v>0</v>
      </c>
      <c r="X3905" s="102">
        <f t="shared" si="2896"/>
        <v>0</v>
      </c>
      <c r="Y3905" s="120" t="b">
        <f t="shared" si="2897"/>
        <v>0</v>
      </c>
      <c r="Z3905" s="117">
        <f t="shared" si="2898"/>
        <v>0</v>
      </c>
      <c r="AA3905" s="118"/>
      <c r="AB3905" s="118" t="str">
        <f t="shared" si="2899"/>
        <v/>
      </c>
      <c r="AC3905" s="712" t="str">
        <f>IF(AE3905="T2G","no charge",IF(AND(OR(PlanterYesMe="No",PlanterYesMe="N",PlanterYesMe="me"),H3905=""),"",IF(H3905="credit","NO install",IF(AND(K3905="",AE3905="me"),"EACH row",IF(AND(K3905="images",AE3905="me"),"EACH row",IF(D3905="","",IF(H3905="credit","",IF(AE3905="free","re-planting",IF(AE3905="me","   not ELP, by",IF(AND(OR(PlanterYesMe="Yes",PlanterYesMe="Y"),G3905&gt;0),(VLOOKUP(A3905,'Discount Lookup'!J:K,2)*G3905*(1-PlanterDiscount)*(1+PlanterDifficultyPercentage)),IF(AE3905="ELP",(VLOOKUP(A3905,'Discount Lookup'!J:K,2)*G3905*(1-PlanterDiscount)*(1+PlanterDifficultyPercentage)),IF(AE3905="free","re-planting",IF(G3905=0,"",IF(PlanterYesMe="",IF(AE3905="me","   not ELP, by",IF(AE3905="",IF(G3905&gt;0,(VLOOKUP(A3905,'Discount Lookup'!J:K,2)*G3905*(1-PlanterDiscount)*(1+PlanterDifficultyPercentage)),""),"")),"   not ELP, by"))))))))))))))</f>
        <v/>
      </c>
      <c r="AD3905" s="712"/>
      <c r="AE3905" s="513" t="str">
        <f t="shared" si="2900"/>
        <v/>
      </c>
      <c r="AF3905" s="713" t="str">
        <f t="shared" si="2901"/>
        <v/>
      </c>
      <c r="AG3905" s="713"/>
      <c r="AH3905" s="713"/>
      <c r="AI3905" s="112">
        <f>IF(H3905="credit",0,IF(AE3905="free",0,IF(AE3905="me",0,IF(G3905&gt;0,(VLOOKUP(A3905,'Discount Lookup'!J:K,2)*G3905),0))))</f>
        <v>0</v>
      </c>
      <c r="AJ3905" s="107" t="str">
        <f t="shared" ca="1" si="2902"/>
        <v/>
      </c>
      <c r="AK3905" s="714" t="str">
        <f t="shared" si="2903"/>
        <v/>
      </c>
      <c r="AL3905" s="714"/>
      <c r="AM3905" s="114" t="str">
        <f t="shared" si="2904"/>
        <v/>
      </c>
      <c r="AN3905" s="115"/>
      <c r="AO3905" s="116"/>
      <c r="AP3905" s="116"/>
      <c r="AQ3905" s="116"/>
      <c r="AR3905" s="116"/>
      <c r="AS3905" s="116"/>
      <c r="AT3905" s="116"/>
      <c r="AU3905" s="116"/>
      <c r="AV3905" s="78"/>
      <c r="AW3905" s="102"/>
      <c r="AX3905" s="78"/>
      <c r="AY3905" s="78"/>
      <c r="AZ3905" s="78"/>
      <c r="BA3905" s="78"/>
      <c r="BB3905" s="78"/>
      <c r="BC3905" s="78"/>
      <c r="BD3905" s="78"/>
      <c r="BE3905" s="465"/>
      <c r="BF3905" s="165" t="str">
        <f t="shared" si="2905"/>
        <v>https://www.google.com/search?tbm=isch&amp;q=1%20G2</v>
      </c>
      <c r="BG3905" s="165" t="str">
        <f t="shared" si="2906"/>
        <v>S</v>
      </c>
      <c r="BH3905" s="65"/>
      <c r="BI3905" s="65"/>
      <c r="BJ3905" s="65"/>
      <c r="BK3905" s="65"/>
      <c r="BL3905" s="99"/>
      <c r="BM3905" s="99"/>
      <c r="BN3905" s="99"/>
    </row>
    <row r="3906" spans="1:66" s="51" customFormat="1" ht="17.25" thickBot="1" x14ac:dyDescent="0.3">
      <c r="A3906" s="641" t="s">
        <v>4855</v>
      </c>
      <c r="B3906" s="642"/>
      <c r="C3906" s="710"/>
      <c r="D3906" s="643"/>
      <c r="E3906" s="643"/>
      <c r="F3906" s="644"/>
      <c r="G3906" s="645"/>
      <c r="H3906" s="646"/>
      <c r="I3906" s="647"/>
      <c r="J3906" s="648"/>
      <c r="K3906" s="649"/>
      <c r="L3906" s="650"/>
      <c r="M3906" s="650"/>
      <c r="N3906" s="644"/>
      <c r="O3906" s="644"/>
      <c r="P3906" s="644"/>
      <c r="Q3906" s="644"/>
      <c r="R3906" s="644"/>
      <c r="S3906" s="701" t="s">
        <v>5271</v>
      </c>
      <c r="T3906" s="102">
        <f t="shared" si="2894"/>
        <v>0</v>
      </c>
      <c r="U3906" s="78" t="str">
        <f>IF(NOT(ISNUMBER(G3906)), "", VLOOKUP(A3906,'Discount Lookup'!D:E,2,FALSE)*G3906)</f>
        <v/>
      </c>
      <c r="V3906" s="78" t="str">
        <f>IF(NOT(ISNUMBER(G3906)), "", VLOOKUP(A3906,'Discount Lookup'!G:H,2,FALSE)*G3906)</f>
        <v/>
      </c>
      <c r="W3906" s="102">
        <f t="shared" si="2895"/>
        <v>0</v>
      </c>
      <c r="X3906" s="102">
        <f t="shared" si="2896"/>
        <v>0</v>
      </c>
      <c r="Y3906" s="120" t="b">
        <f t="shared" si="2897"/>
        <v>0</v>
      </c>
      <c r="Z3906" s="117">
        <f t="shared" si="2898"/>
        <v>0</v>
      </c>
      <c r="AA3906" s="118"/>
      <c r="AB3906" s="118" t="str">
        <f t="shared" si="2899"/>
        <v/>
      </c>
      <c r="AC3906" s="712" t="str">
        <f>IF(AE3906="T2G","no charge",IF(AND(OR(PlanterYesMe="No",PlanterYesMe="N",PlanterYesMe="me"),H3906=""),"",IF(H3906="credit","NO install",IF(AND(K3906="",AE3906="me"),"EACH row",IF(AND(K3906="images",AE3906="me"),"EACH row",IF(D3906="","",IF(H3906="credit","",IF(AE3906="free","re-planting",IF(AE3906="me","   not ELP, by",IF(AND(OR(PlanterYesMe="Yes",PlanterYesMe="Y"),G3906&gt;0),(VLOOKUP(A3906,'Discount Lookup'!J:K,2)*G3906*(1-PlanterDiscount)*(1+PlanterDifficultyPercentage)),IF(AE3906="ELP",(VLOOKUP(A3906,'Discount Lookup'!J:K,2)*G3906*(1-PlanterDiscount)*(1+PlanterDifficultyPercentage)),IF(AE3906="free","re-planting",IF(G3906=0,"",IF(PlanterYesMe="",IF(AE3906="me","   not ELP, by",IF(AE3906="",IF(G3906&gt;0,(VLOOKUP(A3906,'Discount Lookup'!J:K,2)*G3906*(1-PlanterDiscount)*(1+PlanterDifficultyPercentage)),""),"")),"   not ELP, by"))))))))))))))</f>
        <v/>
      </c>
      <c r="AD3906" s="712"/>
      <c r="AE3906" s="513" t="str">
        <f t="shared" si="2900"/>
        <v/>
      </c>
      <c r="AF3906" s="713" t="str">
        <f t="shared" si="2901"/>
        <v/>
      </c>
      <c r="AG3906" s="713"/>
      <c r="AH3906" s="713"/>
      <c r="AI3906" s="112">
        <f>IF(H3906="credit",0,IF(AE3906="free",0,IF(AE3906="me",0,IF(G3906&gt;0,(VLOOKUP(A3906,'Discount Lookup'!J:K,2)*G3906),0))))</f>
        <v>0</v>
      </c>
      <c r="AJ3906" s="107" t="str">
        <f t="shared" ca="1" si="2902"/>
        <v/>
      </c>
      <c r="AK3906" s="714" t="str">
        <f t="shared" si="2903"/>
        <v/>
      </c>
      <c r="AL3906" s="714"/>
      <c r="AM3906" s="114" t="str">
        <f t="shared" si="2904"/>
        <v/>
      </c>
      <c r="AN3906" s="115"/>
      <c r="AO3906" s="116"/>
      <c r="AP3906" s="116"/>
      <c r="AQ3906" s="116"/>
      <c r="AR3906" s="116"/>
      <c r="AS3906" s="116"/>
      <c r="AT3906" s="116"/>
      <c r="AU3906" s="116"/>
      <c r="AV3906" s="78"/>
      <c r="AW3906" s="102"/>
      <c r="AX3906" s="78"/>
      <c r="AY3906" s="78"/>
      <c r="AZ3906" s="78"/>
      <c r="BA3906" s="78"/>
      <c r="BB3906" s="78"/>
      <c r="BC3906" s="78"/>
      <c r="BD3906" s="78"/>
      <c r="BE3906" s="465"/>
      <c r="BF3906" s="165" t="str">
        <f t="shared" si="2905"/>
        <v>https://www.google.com/search?tbm=isch&amp;q=Poprocks%20Petite%20reblooms%20a%20lot%2C%20against%20Rich%20Green%20foliage%2C%20with%20Yellow-Copper-Red%20fall%20tones.%20%20Summer%20bloom%2C%20on%20new%20wood%2C%20so%20prune%20late%20winter%20</v>
      </c>
      <c r="BG3906" s="165" t="str">
        <f t="shared" si="2906"/>
        <v>P</v>
      </c>
      <c r="BH3906" s="65"/>
      <c r="BI3906" s="65"/>
      <c r="BJ3906" s="65"/>
      <c r="BK3906" s="65"/>
      <c r="BL3906" s="99"/>
      <c r="BM3906" s="99"/>
      <c r="BN3906" s="99"/>
    </row>
    <row r="3907" spans="1:66" s="51" customFormat="1" ht="18" x14ac:dyDescent="0.25">
      <c r="A3907" s="623" t="s">
        <v>4249</v>
      </c>
      <c r="B3907" s="624"/>
      <c r="C3907" s="709"/>
      <c r="D3907" s="625" t="s">
        <v>5828</v>
      </c>
      <c r="E3907" s="626"/>
      <c r="F3907" s="626"/>
      <c r="G3907" s="626"/>
      <c r="H3907" s="622" t="s">
        <v>1439</v>
      </c>
      <c r="I3907" s="627" t="s">
        <v>2405</v>
      </c>
      <c r="J3907" s="628"/>
      <c r="K3907" s="628"/>
      <c r="L3907" s="629"/>
      <c r="M3907" s="700" t="s">
        <v>5241</v>
      </c>
      <c r="N3907" s="693" t="str">
        <f>IF(AND(ISTEXT($A3907), ISERROR($A3907+0)), HYPERLINK($BF3907, "Images"), "")</f>
        <v>Images</v>
      </c>
      <c r="O3907" s="695" t="s">
        <v>5247</v>
      </c>
      <c r="P3907" s="630"/>
      <c r="Q3907" s="631"/>
      <c r="R3907" s="632"/>
      <c r="S3907" s="633"/>
      <c r="T3907" s="102">
        <f t="shared" si="2894"/>
        <v>0</v>
      </c>
      <c r="U3907" s="78" t="str">
        <f>IF(NOT(ISNUMBER(G3907)), "", VLOOKUP(A3907,'Discount Lookup'!D:E,2,FALSE)*G3907)</f>
        <v/>
      </c>
      <c r="V3907" s="78" t="str">
        <f>IF(NOT(ISNUMBER(G3907)), "", VLOOKUP(A3907,'Discount Lookup'!G:H,2,FALSE)*G3907)</f>
        <v/>
      </c>
      <c r="W3907" s="102">
        <f t="shared" si="2895"/>
        <v>0</v>
      </c>
      <c r="X3907" s="102" t="str">
        <f t="shared" si="2896"/>
        <v>Bright Pink bloom</v>
      </c>
      <c r="Y3907" s="120" t="b">
        <f t="shared" si="2897"/>
        <v>0</v>
      </c>
      <c r="Z3907" s="117">
        <f t="shared" si="2898"/>
        <v>0</v>
      </c>
      <c r="AA3907" s="118"/>
      <c r="AB3907" s="118" t="str">
        <f t="shared" si="2899"/>
        <v/>
      </c>
      <c r="AC3907" s="712" t="str">
        <f>IF(AE3907="T2G","no charge",IF(AND(OR(PlanterYesMe="No",PlanterYesMe="N",PlanterYesMe="me"),H3907=""),"",IF(H3907="credit","NO install",IF(AND(K3907="",AE3907="me"),"EACH row",IF(AND(K3907="images",AE3907="me"),"EACH row",IF(D3907="","",IF(H3907="credit","",IF(AE3907="free","re-planting",IF(AE3907="me","   not ELP, by",IF(AND(OR(PlanterYesMe="Yes",PlanterYesMe="Y"),G3907&gt;0),(VLOOKUP(A3907,'Discount Lookup'!J:K,2)*G3907*(1-PlanterDiscount)*(1+PlanterDifficultyPercentage)),IF(AE3907="ELP",(VLOOKUP(A3907,'Discount Lookup'!J:K,2)*G3907*(1-PlanterDiscount)*(1+PlanterDifficultyPercentage)),IF(AE3907="free","re-planting",IF(G3907=0,"",IF(PlanterYesMe="",IF(AE3907="me","   not ELP, by",IF(AE3907="",IF(G3907&gt;0,(VLOOKUP(A3907,'Discount Lookup'!J:K,2)*G3907*(1-PlanterDiscount)*(1+PlanterDifficultyPercentage)),""),"")),"   not ELP, by"))))))))))))))</f>
        <v/>
      </c>
      <c r="AD3907" s="712"/>
      <c r="AE3907" s="513" t="str">
        <f t="shared" si="2900"/>
        <v/>
      </c>
      <c r="AF3907" s="713" t="str">
        <f t="shared" si="2901"/>
        <v/>
      </c>
      <c r="AG3907" s="713"/>
      <c r="AH3907" s="713"/>
      <c r="AI3907" s="112">
        <f>IF(H3907="credit",0,IF(AE3907="free",0,IF(AE3907="me",0,IF(G3907&gt;0,(VLOOKUP(A3907,'Discount Lookup'!J:K,2)*G3907),0))))</f>
        <v>0</v>
      </c>
      <c r="AJ3907" s="107" t="str">
        <f t="shared" ca="1" si="2902"/>
        <v/>
      </c>
      <c r="AK3907" s="714" t="str">
        <f t="shared" si="2903"/>
        <v/>
      </c>
      <c r="AL3907" s="714"/>
      <c r="AM3907" s="114" t="str">
        <f t="shared" si="2904"/>
        <v/>
      </c>
      <c r="AN3907" s="115"/>
      <c r="AO3907" s="116"/>
      <c r="AP3907" s="116"/>
      <c r="AQ3907" s="116"/>
      <c r="AR3907" s="116"/>
      <c r="AS3907" s="116"/>
      <c r="AT3907" s="116"/>
      <c r="AU3907" s="116"/>
      <c r="AV3907" s="78"/>
      <c r="AW3907" s="102"/>
      <c r="AX3907" s="78"/>
      <c r="AY3907" s="78"/>
      <c r="AZ3907" s="78"/>
      <c r="BA3907" s="78"/>
      <c r="BB3907" s="78"/>
      <c r="BC3907" s="78"/>
      <c r="BD3907" s="78"/>
      <c r="BE3907" s="465"/>
      <c r="BF3907" s="165" t="str">
        <f t="shared" si="2905"/>
        <v>https://www.google.com/search?tbm=isch&amp;q=Spiraea%20x%20bumalda%20%27Walbuma%27%20PP%239363Exp.%20Magic%20Carpet%E2%84%A2%20Spirea</v>
      </c>
      <c r="BG3907" s="165" t="str">
        <f t="shared" si="2906"/>
        <v>S</v>
      </c>
      <c r="BH3907" s="65"/>
      <c r="BI3907" s="65"/>
      <c r="BJ3907" s="65"/>
      <c r="BK3907" s="65"/>
      <c r="BL3907" s="99"/>
      <c r="BM3907" s="99"/>
      <c r="BN3907" s="99"/>
    </row>
    <row r="3908" spans="1:66" s="51" customFormat="1" ht="15.75" x14ac:dyDescent="0.25">
      <c r="A3908" s="634">
        <v>3</v>
      </c>
      <c r="B3908" s="635" t="s">
        <v>291</v>
      </c>
      <c r="C3908" s="636" t="s">
        <v>3679</v>
      </c>
      <c r="D3908" s="637" t="s">
        <v>329</v>
      </c>
      <c r="E3908" s="638">
        <v>29.95</v>
      </c>
      <c r="F3908" s="639" t="s">
        <v>292</v>
      </c>
      <c r="G3908" s="484">
        <v>0</v>
      </c>
      <c r="H3908" s="691" t="str">
        <f>IF(G3908=0,"",IF(F3908="Buy",IF(G3908=1,"plant","plants"),IF(F3908&gt;0.01,"warranty","Error")))</f>
        <v/>
      </c>
      <c r="I3908" s="640">
        <f>IF(H3908="free",0,IF(H3908="credit",((E3908*(F3908))*G3908*-1),IF(F3908="Buy",(E3908*G3908),((E3908*(1-F3908))*G3908))))</f>
        <v>0</v>
      </c>
      <c r="J3908" s="640">
        <f>IF(H3908="warranty",0,(I3908*(_xlfn.SINGLE(SalesTaxPercentage))))</f>
        <v>0</v>
      </c>
      <c r="K3908" s="716">
        <f t="shared" ref="K3908" si="2925">I3908+J3908</f>
        <v>0</v>
      </c>
      <c r="L3908" s="716"/>
      <c r="M3908" s="689" t="str">
        <f ca="1">IF(AND(G3908&gt;0,E3908=0),"WARNING - no PRICE inserted",IF(H3908="free","FREE ~ no charge this plant",IF(H3908="credit",CONCATENATE("-$",ROUND(K3908*(1-_xlfn.SINGLE(T2GDiscount))*-1,2)," CREDIT after discount"),IF(_xlfn.SINGLE(T2GDiscount)=0,"",IF(G3908=0,"",IF(F3908="Buy",CONCATENATE("$",ROUND(K3908*(1-_xlfn.SINGLE(T2GDiscount)),2)," with ",(_xlfn.SINGLE(T2GDiscount)*100),"% discount"),CONCATENATE("$",ROUND(K3908*(1-_xlfn.SINGLE(T2GDiscount)),2)," with ",((_xlfn.SINGLE(T2GDiscount)*100+F3908*100)-(_xlfn.SINGLE(T2GDiscount)*100*F3908)),IF(F3908&gt;0,"% discounts",IF(_xlfn.SINGLE(NoWarrantyDiscount)&gt;0,"% discounts","% discount")))))))))</f>
        <v/>
      </c>
      <c r="N3908" s="690"/>
      <c r="O3908" s="486"/>
      <c r="P3908" s="486"/>
      <c r="Q3908" s="486"/>
      <c r="R3908" s="486"/>
      <c r="S3908" s="486"/>
      <c r="T3908" s="102">
        <f t="shared" si="2894"/>
        <v>0</v>
      </c>
      <c r="U3908" s="78">
        <f>IF(NOT(ISNUMBER(G3908)), "", VLOOKUP(A3908,'Discount Lookup'!D:E,2,FALSE)*G3908)</f>
        <v>0</v>
      </c>
      <c r="V3908" s="78">
        <f>IF(NOT(ISNUMBER(G3908)), "", VLOOKUP(A3908,'Discount Lookup'!G:H,2,FALSE)*G3908)</f>
        <v>0</v>
      </c>
      <c r="W3908" s="102">
        <f t="shared" si="2895"/>
        <v>0</v>
      </c>
      <c r="X3908" s="102">
        <f t="shared" si="2896"/>
        <v>0</v>
      </c>
      <c r="Y3908" s="120" t="b">
        <f t="shared" si="2897"/>
        <v>0</v>
      </c>
      <c r="Z3908" s="117">
        <f t="shared" si="2898"/>
        <v>0</v>
      </c>
      <c r="AA3908" s="118"/>
      <c r="AB3908" s="118" t="str">
        <f t="shared" si="2899"/>
        <v/>
      </c>
      <c r="AC3908" s="712" t="str">
        <f>IF(AE3908="T2G","no charge",IF(AND(OR(PlanterYesMe="No",PlanterYesMe="N",PlanterYesMe="me"),H3908=""),"",IF(H3908="credit","NO install",IF(AND(K3908="",AE3908="me"),"EACH row",IF(AND(K3908="images",AE3908="me"),"EACH row",IF(D3908="","",IF(H3908="credit","",IF(AE3908="free","re-planting",IF(AE3908="me","   not ELP, by",IF(AND(OR(PlanterYesMe="Yes",PlanterYesMe="Y"),G3908&gt;0),(VLOOKUP(A3908,'Discount Lookup'!J:K,2)*G3908*(1-PlanterDiscount)*(1+PlanterDifficultyPercentage)),IF(AE3908="ELP",(VLOOKUP(A3908,'Discount Lookup'!J:K,2)*G3908*(1-PlanterDiscount)*(1+PlanterDifficultyPercentage)),IF(AE3908="free","re-planting",IF(G3908=0,"",IF(PlanterYesMe="",IF(AE3908="me","   not ELP, by",IF(AE3908="",IF(G3908&gt;0,(VLOOKUP(A3908,'Discount Lookup'!J:K,2)*G3908*(1-PlanterDiscount)*(1+PlanterDifficultyPercentage)),""),"")),"   not ELP, by"))))))))))))))</f>
        <v/>
      </c>
      <c r="AD3908" s="712"/>
      <c r="AE3908" s="513" t="str">
        <f t="shared" si="2900"/>
        <v/>
      </c>
      <c r="AF3908" s="713" t="str">
        <f t="shared" si="2901"/>
        <v/>
      </c>
      <c r="AG3908" s="713"/>
      <c r="AH3908" s="713"/>
      <c r="AI3908" s="112">
        <f>IF(H3908="credit",0,IF(AE3908="free",0,IF(AE3908="me",0,IF(G3908&gt;0,(VLOOKUP(A3908,'Discount Lookup'!J:K,2)*G3908),0))))</f>
        <v>0</v>
      </c>
      <c r="AJ3908" s="107" t="str">
        <f t="shared" ca="1" si="2902"/>
        <v/>
      </c>
      <c r="AK3908" s="714" t="str">
        <f t="shared" si="2903"/>
        <v/>
      </c>
      <c r="AL3908" s="714"/>
      <c r="AM3908" s="114" t="str">
        <f t="shared" si="2904"/>
        <v/>
      </c>
      <c r="AN3908" s="115"/>
      <c r="AO3908" s="116"/>
      <c r="AP3908" s="116"/>
      <c r="AQ3908" s="116"/>
      <c r="AR3908" s="116"/>
      <c r="AS3908" s="116"/>
      <c r="AT3908" s="116"/>
      <c r="AU3908" s="116"/>
      <c r="AV3908" s="78"/>
      <c r="AW3908" s="102"/>
      <c r="AX3908" s="78"/>
      <c r="AY3908" s="78"/>
      <c r="AZ3908" s="78"/>
      <c r="BA3908" s="78"/>
      <c r="BB3908" s="78"/>
      <c r="BC3908" s="78"/>
      <c r="BD3908" s="78"/>
      <c r="BE3908" s="465"/>
      <c r="BF3908" s="165" t="str">
        <f t="shared" si="2905"/>
        <v>https://www.google.com/search?tbm=isch&amp;q=3%20G2</v>
      </c>
      <c r="BG3908" s="165" t="str">
        <f t="shared" si="2906"/>
        <v>S</v>
      </c>
      <c r="BH3908" s="65"/>
      <c r="BI3908" s="65"/>
      <c r="BJ3908" s="65"/>
      <c r="BK3908" s="65"/>
      <c r="BL3908" s="99"/>
      <c r="BM3908" s="99"/>
      <c r="BN3908" s="99"/>
    </row>
    <row r="3909" spans="1:66" s="51" customFormat="1" ht="17.25" thickBot="1" x14ac:dyDescent="0.3">
      <c r="A3909" s="641" t="s">
        <v>4947</v>
      </c>
      <c r="B3909" s="642"/>
      <c r="C3909" s="710"/>
      <c r="D3909" s="643"/>
      <c r="E3909" s="643"/>
      <c r="F3909" s="644"/>
      <c r="G3909" s="645"/>
      <c r="H3909" s="646"/>
      <c r="I3909" s="647"/>
      <c r="J3909" s="648"/>
      <c r="K3909" s="649"/>
      <c r="L3909" s="650"/>
      <c r="M3909" s="650"/>
      <c r="N3909" s="644"/>
      <c r="O3909" s="644"/>
      <c r="P3909" s="644"/>
      <c r="Q3909" s="644"/>
      <c r="R3909" s="644"/>
      <c r="S3909" s="701" t="s">
        <v>5271</v>
      </c>
      <c r="T3909" s="102">
        <f t="shared" si="2894"/>
        <v>0</v>
      </c>
      <c r="U3909" s="78" t="str">
        <f>IF(NOT(ISNUMBER(G3909)), "", VLOOKUP(A3909,'Discount Lookup'!D:E,2,FALSE)*G3909)</f>
        <v/>
      </c>
      <c r="V3909" s="78" t="str">
        <f>IF(NOT(ISNUMBER(G3909)), "", VLOOKUP(A3909,'Discount Lookup'!G:H,2,FALSE)*G3909)</f>
        <v/>
      </c>
      <c r="W3909" s="102">
        <f t="shared" si="2895"/>
        <v>0</v>
      </c>
      <c r="X3909" s="102">
        <f t="shared" si="2896"/>
        <v>0</v>
      </c>
      <c r="Y3909" s="120" t="b">
        <f t="shared" si="2897"/>
        <v>0</v>
      </c>
      <c r="Z3909" s="117">
        <f t="shared" si="2898"/>
        <v>0</v>
      </c>
      <c r="AA3909" s="118"/>
      <c r="AB3909" s="118" t="str">
        <f t="shared" si="2899"/>
        <v/>
      </c>
      <c r="AC3909" s="712" t="str">
        <f>IF(AE3909="T2G","no charge",IF(AND(OR(PlanterYesMe="No",PlanterYesMe="N",PlanterYesMe="me"),H3909=""),"",IF(H3909="credit","NO install",IF(AND(K3909="",AE3909="me"),"EACH row",IF(AND(K3909="images",AE3909="me"),"EACH row",IF(D3909="","",IF(H3909="credit","",IF(AE3909="free","re-planting",IF(AE3909="me","   not ELP, by",IF(AND(OR(PlanterYesMe="Yes",PlanterYesMe="Y"),G3909&gt;0),(VLOOKUP(A3909,'Discount Lookup'!J:K,2)*G3909*(1-PlanterDiscount)*(1+PlanterDifficultyPercentage)),IF(AE3909="ELP",(VLOOKUP(A3909,'Discount Lookup'!J:K,2)*G3909*(1-PlanterDiscount)*(1+PlanterDifficultyPercentage)),IF(AE3909="free","re-planting",IF(G3909=0,"",IF(PlanterYesMe="",IF(AE3909="me","   not ELP, by",IF(AE3909="",IF(G3909&gt;0,(VLOOKUP(A3909,'Discount Lookup'!J:K,2)*G3909*(1-PlanterDiscount)*(1+PlanterDifficultyPercentage)),""),"")),"   not ELP, by"))))))))))))))</f>
        <v/>
      </c>
      <c r="AD3909" s="712"/>
      <c r="AE3909" s="513" t="str">
        <f t="shared" si="2900"/>
        <v/>
      </c>
      <c r="AF3909" s="713" t="str">
        <f t="shared" si="2901"/>
        <v/>
      </c>
      <c r="AG3909" s="713"/>
      <c r="AH3909" s="713"/>
      <c r="AI3909" s="112">
        <f>IF(H3909="credit",0,IF(AE3909="free",0,IF(AE3909="me",0,IF(G3909&gt;0,(VLOOKUP(A3909,'Discount Lookup'!J:K,2)*G3909),0))))</f>
        <v>0</v>
      </c>
      <c r="AJ3909" s="107" t="str">
        <f t="shared" ca="1" si="2902"/>
        <v/>
      </c>
      <c r="AK3909" s="714" t="str">
        <f t="shared" si="2903"/>
        <v/>
      </c>
      <c r="AL3909" s="714"/>
      <c r="AM3909" s="114" t="str">
        <f t="shared" si="2904"/>
        <v/>
      </c>
      <c r="AN3909" s="115"/>
      <c r="AO3909" s="116"/>
      <c r="AP3909" s="116"/>
      <c r="AQ3909" s="116"/>
      <c r="AR3909" s="116"/>
      <c r="AS3909" s="116"/>
      <c r="AT3909" s="116"/>
      <c r="AU3909" s="116"/>
      <c r="AV3909" s="78"/>
      <c r="AW3909" s="102"/>
      <c r="AX3909" s="78"/>
      <c r="AY3909" s="78"/>
      <c r="AZ3909" s="78"/>
      <c r="BA3909" s="78"/>
      <c r="BB3909" s="78"/>
      <c r="BC3909" s="78"/>
      <c r="BD3909" s="78"/>
      <c r="BE3909" s="465"/>
      <c r="BF3909" s="165" t="str">
        <f t="shared" si="2905"/>
        <v>https://www.google.com/search?tbm=isch&amp;q=Magic%20Carpet%20has%20Golden-Yellow%20foliage%20%26%20Red%20tips.%20Russet%20to%20Orange-Red%20in%20fall.%20Non-Japanese%2C%20blooms%20on%20old%20wood%2C%20prune%20right%20after%20bloom%20</v>
      </c>
      <c r="BG3909" s="165" t="str">
        <f t="shared" si="2906"/>
        <v>M</v>
      </c>
      <c r="BH3909" s="65"/>
      <c r="BI3909" s="65"/>
      <c r="BJ3909" s="65"/>
      <c r="BK3909" s="65"/>
      <c r="BL3909" s="99"/>
      <c r="BM3909" s="99"/>
      <c r="BN3909" s="99"/>
    </row>
    <row r="3910" spans="1:66" s="51" customFormat="1" ht="18" x14ac:dyDescent="0.25">
      <c r="A3910" s="623" t="s">
        <v>5211</v>
      </c>
      <c r="B3910" s="624"/>
      <c r="C3910" s="709"/>
      <c r="D3910" s="625" t="s">
        <v>5212</v>
      </c>
      <c r="E3910" s="626"/>
      <c r="F3910" s="626"/>
      <c r="G3910" s="626"/>
      <c r="H3910" s="622" t="s">
        <v>1326</v>
      </c>
      <c r="I3910" s="627" t="s">
        <v>349</v>
      </c>
      <c r="J3910" s="628"/>
      <c r="K3910" s="628"/>
      <c r="L3910" s="629"/>
      <c r="M3910" s="700" t="s">
        <v>5241</v>
      </c>
      <c r="N3910" s="693" t="str">
        <f>IF(AND(ISTEXT($A3910), ISERROR($A3910+0)), HYPERLINK($BF3910, "Images"), "")</f>
        <v>Images</v>
      </c>
      <c r="O3910" s="695" t="s">
        <v>5247</v>
      </c>
      <c r="P3910" s="630"/>
      <c r="Q3910" s="631"/>
      <c r="R3910" s="632"/>
      <c r="S3910" s="633"/>
      <c r="T3910" s="102">
        <f t="shared" si="2894"/>
        <v>0</v>
      </c>
      <c r="U3910" s="78" t="str">
        <f>IF(NOT(ISNUMBER(G3910)), "", VLOOKUP(A3910,'Discount Lookup'!D:E,2,FALSE)*G3910)</f>
        <v/>
      </c>
      <c r="V3910" s="78" t="str">
        <f>IF(NOT(ISNUMBER(G3910)), "", VLOOKUP(A3910,'Discount Lookup'!G:H,2,FALSE)*G3910)</f>
        <v/>
      </c>
      <c r="W3910" s="102">
        <f t="shared" si="2895"/>
        <v>0</v>
      </c>
      <c r="X3910" s="102" t="str">
        <f t="shared" si="2896"/>
        <v>White bloom</v>
      </c>
      <c r="Y3910" s="120" t="b">
        <f t="shared" si="2897"/>
        <v>0</v>
      </c>
      <c r="Z3910" s="117">
        <f t="shared" si="2898"/>
        <v>0</v>
      </c>
      <c r="AA3910" s="118"/>
      <c r="AB3910" s="118" t="str">
        <f t="shared" si="2899"/>
        <v/>
      </c>
      <c r="AC3910" s="712" t="str">
        <f>IF(AE3910="T2G","no charge",IF(AND(OR(PlanterYesMe="No",PlanterYesMe="N",PlanterYesMe="me"),H3910=""),"",IF(H3910="credit","NO install",IF(AND(K3910="",AE3910="me"),"EACH row",IF(AND(K3910="images",AE3910="me"),"EACH row",IF(D3910="","",IF(H3910="credit","",IF(AE3910="free","re-planting",IF(AE3910="me","   not ELP, by",IF(AND(OR(PlanterYesMe="Yes",PlanterYesMe="Y"),G3910&gt;0),(VLOOKUP(A3910,'Discount Lookup'!J:K,2)*G3910*(1-PlanterDiscount)*(1+PlanterDifficultyPercentage)),IF(AE3910="ELP",(VLOOKUP(A3910,'Discount Lookup'!J:K,2)*G3910*(1-PlanterDiscount)*(1+PlanterDifficultyPercentage)),IF(AE3910="free","re-planting",IF(G3910=0,"",IF(PlanterYesMe="",IF(AE3910="me","   not ELP, by",IF(AE3910="",IF(G3910&gt;0,(VLOOKUP(A3910,'Discount Lookup'!J:K,2)*G3910*(1-PlanterDiscount)*(1+PlanterDifficultyPercentage)),""),"")),"   not ELP, by"))))))))))))))</f>
        <v/>
      </c>
      <c r="AD3910" s="712"/>
      <c r="AE3910" s="513" t="str">
        <f t="shared" si="2900"/>
        <v/>
      </c>
      <c r="AF3910" s="713" t="str">
        <f t="shared" si="2901"/>
        <v/>
      </c>
      <c r="AG3910" s="713"/>
      <c r="AH3910" s="713"/>
      <c r="AI3910" s="112">
        <f>IF(H3910="credit",0,IF(AE3910="free",0,IF(AE3910="me",0,IF(G3910&gt;0,(VLOOKUP(A3910,'Discount Lookup'!J:K,2)*G3910),0))))</f>
        <v>0</v>
      </c>
      <c r="AJ3910" s="107" t="str">
        <f t="shared" ca="1" si="2902"/>
        <v/>
      </c>
      <c r="AK3910" s="714" t="str">
        <f t="shared" si="2903"/>
        <v/>
      </c>
      <c r="AL3910" s="714"/>
      <c r="AM3910" s="114" t="str">
        <f t="shared" si="2904"/>
        <v/>
      </c>
      <c r="AN3910" s="115"/>
      <c r="AO3910" s="116"/>
      <c r="AP3910" s="116"/>
      <c r="AQ3910" s="116"/>
      <c r="AR3910" s="116"/>
      <c r="AS3910" s="116"/>
      <c r="AT3910" s="116"/>
      <c r="AU3910" s="116"/>
      <c r="AV3910" s="78"/>
      <c r="AW3910" s="102"/>
      <c r="AX3910" s="78"/>
      <c r="AY3910" s="78"/>
      <c r="AZ3910" s="78"/>
      <c r="BA3910" s="78"/>
      <c r="BB3910" s="78"/>
      <c r="BC3910" s="78"/>
      <c r="BD3910" s="78"/>
      <c r="BE3910" s="465"/>
      <c r="BF3910" s="165" t="str">
        <f t="shared" si="2905"/>
        <v>https://www.google.com/search?tbm=isch&amp;q=Spirea%20prunifolia%20%27Plena%27%20Bridal%20Wreath%20Spirea</v>
      </c>
      <c r="BG3910" s="165" t="str">
        <f t="shared" si="2906"/>
        <v>S</v>
      </c>
      <c r="BH3910" s="65"/>
      <c r="BI3910" s="65"/>
      <c r="BJ3910" s="65"/>
      <c r="BK3910" s="65"/>
      <c r="BL3910" s="99"/>
      <c r="BM3910" s="99"/>
      <c r="BN3910" s="99"/>
    </row>
    <row r="3911" spans="1:66" s="51" customFormat="1" ht="15.75" x14ac:dyDescent="0.25">
      <c r="A3911" s="634">
        <v>7</v>
      </c>
      <c r="B3911" s="635" t="s">
        <v>291</v>
      </c>
      <c r="C3911" s="636" t="s">
        <v>5213</v>
      </c>
      <c r="D3911" s="637" t="s">
        <v>299</v>
      </c>
      <c r="E3911" s="638">
        <v>68.95</v>
      </c>
      <c r="F3911" s="639" t="s">
        <v>292</v>
      </c>
      <c r="G3911" s="484">
        <v>0</v>
      </c>
      <c r="H3911" s="691" t="str">
        <f>IF(G3911=0,"",IF(F3911="Buy",IF(G3911=1,"plant","plants"),IF(F3911&gt;0.01,"warranty","Error")))</f>
        <v/>
      </c>
      <c r="I3911" s="640">
        <f>IF(H3911="free",0,IF(H3911="credit",((E3911*(F3911))*G3911*-1),IF(F3911="Buy",(E3911*G3911),((E3911*(1-F3911))*G3911))))</f>
        <v>0</v>
      </c>
      <c r="J3911" s="640">
        <f>IF(H3911="warranty",0,(I3911*(_xlfn.SINGLE(SalesTaxPercentage))))</f>
        <v>0</v>
      </c>
      <c r="K3911" s="716">
        <f t="shared" ref="K3911" si="2926">I3911+J3911</f>
        <v>0</v>
      </c>
      <c r="L3911" s="716"/>
      <c r="M3911" s="689" t="str">
        <f ca="1">IF(AND(G3911&gt;0,E3911=0),"WARNING - no PRICE inserted",IF(H3911="free","FREE ~ no charge this plant",IF(H3911="credit",CONCATENATE("-$",ROUND(K3911*(1-_xlfn.SINGLE(T2GDiscount))*-1,2)," CREDIT after discount"),IF(_xlfn.SINGLE(T2GDiscount)=0,"",IF(G3911=0,"",IF(F3911="Buy",CONCATENATE("$",ROUND(K3911*(1-_xlfn.SINGLE(T2GDiscount)),2)," with ",(_xlfn.SINGLE(T2GDiscount)*100),"% discount"),CONCATENATE("$",ROUND(K3911*(1-_xlfn.SINGLE(T2GDiscount)),2)," with ",((_xlfn.SINGLE(T2GDiscount)*100+F3911*100)-(_xlfn.SINGLE(T2GDiscount)*100*F3911)),IF(F3911&gt;0,"% discounts",IF(_xlfn.SINGLE(NoWarrantyDiscount)&gt;0,"% discounts","% discount")))))))))</f>
        <v/>
      </c>
      <c r="N3911" s="690"/>
      <c r="O3911" s="486"/>
      <c r="P3911" s="486"/>
      <c r="Q3911" s="486"/>
      <c r="R3911" s="486"/>
      <c r="S3911" s="486"/>
      <c r="T3911" s="102">
        <f t="shared" si="2894"/>
        <v>0</v>
      </c>
      <c r="U3911" s="78">
        <f>IF(NOT(ISNUMBER(G3911)), "", VLOOKUP(A3911,'Discount Lookup'!D:E,2,FALSE)*G3911)</f>
        <v>0</v>
      </c>
      <c r="V3911" s="78">
        <f>IF(NOT(ISNUMBER(G3911)), "", VLOOKUP(A3911,'Discount Lookup'!G:H,2,FALSE)*G3911)</f>
        <v>0</v>
      </c>
      <c r="W3911" s="102">
        <f t="shared" si="2895"/>
        <v>0</v>
      </c>
      <c r="X3911" s="102">
        <f t="shared" si="2896"/>
        <v>0</v>
      </c>
      <c r="Y3911" s="120" t="b">
        <f t="shared" si="2897"/>
        <v>0</v>
      </c>
      <c r="Z3911" s="117">
        <f t="shared" si="2898"/>
        <v>0</v>
      </c>
      <c r="AA3911" s="118"/>
      <c r="AB3911" s="118" t="str">
        <f t="shared" si="2899"/>
        <v/>
      </c>
      <c r="AC3911" s="712" t="str">
        <f>IF(AE3911="T2G","no charge",IF(AND(OR(PlanterYesMe="No",PlanterYesMe="N",PlanterYesMe="me"),H3911=""),"",IF(H3911="credit","NO install",IF(AND(K3911="",AE3911="me"),"EACH row",IF(AND(K3911="images",AE3911="me"),"EACH row",IF(D3911="","",IF(H3911="credit","",IF(AE3911="free","re-planting",IF(AE3911="me","   not ELP, by",IF(AND(OR(PlanterYesMe="Yes",PlanterYesMe="Y"),G3911&gt;0),(VLOOKUP(A3911,'Discount Lookup'!J:K,2)*G3911*(1-PlanterDiscount)*(1+PlanterDifficultyPercentage)),IF(AE3911="ELP",(VLOOKUP(A3911,'Discount Lookup'!J:K,2)*G3911*(1-PlanterDiscount)*(1+PlanterDifficultyPercentage)),IF(AE3911="free","re-planting",IF(G3911=0,"",IF(PlanterYesMe="",IF(AE3911="me","   not ELP, by",IF(AE3911="",IF(G3911&gt;0,(VLOOKUP(A3911,'Discount Lookup'!J:K,2)*G3911*(1-PlanterDiscount)*(1+PlanterDifficultyPercentage)),""),"")),"   not ELP, by"))))))))))))))</f>
        <v/>
      </c>
      <c r="AD3911" s="712"/>
      <c r="AE3911" s="513" t="str">
        <f t="shared" si="2900"/>
        <v/>
      </c>
      <c r="AF3911" s="713" t="str">
        <f t="shared" si="2901"/>
        <v/>
      </c>
      <c r="AG3911" s="713"/>
      <c r="AH3911" s="713"/>
      <c r="AI3911" s="112">
        <f>IF(H3911="credit",0,IF(AE3911="free",0,IF(AE3911="me",0,IF(G3911&gt;0,(VLOOKUP(A3911,'Discount Lookup'!J:K,2)*G3911),0))))</f>
        <v>0</v>
      </c>
      <c r="AJ3911" s="107" t="str">
        <f t="shared" ca="1" si="2902"/>
        <v/>
      </c>
      <c r="AK3911" s="714" t="str">
        <f t="shared" si="2903"/>
        <v/>
      </c>
      <c r="AL3911" s="714"/>
      <c r="AM3911" s="114" t="str">
        <f t="shared" si="2904"/>
        <v/>
      </c>
      <c r="AN3911" s="115"/>
      <c r="AO3911" s="116"/>
      <c r="AP3911" s="116"/>
      <c r="AQ3911" s="116"/>
      <c r="AR3911" s="116"/>
      <c r="AS3911" s="116"/>
      <c r="AT3911" s="116"/>
      <c r="AU3911" s="116"/>
      <c r="AV3911" s="78"/>
      <c r="AW3911" s="102"/>
      <c r="AX3911" s="78"/>
      <c r="AY3911" s="78"/>
      <c r="AZ3911" s="78"/>
      <c r="BA3911" s="78"/>
      <c r="BB3911" s="78"/>
      <c r="BC3911" s="78"/>
      <c r="BD3911" s="78"/>
      <c r="BE3911" s="465"/>
      <c r="BF3911" s="165" t="str">
        <f t="shared" si="2905"/>
        <v>https://www.google.com/search?tbm=isch&amp;q=7%20G4</v>
      </c>
      <c r="BG3911" s="165" t="str">
        <f t="shared" si="2906"/>
        <v>S</v>
      </c>
      <c r="BH3911" s="65"/>
      <c r="BI3911" s="65"/>
      <c r="BJ3911" s="65"/>
      <c r="BK3911" s="65"/>
      <c r="BL3911" s="99"/>
      <c r="BM3911" s="99"/>
      <c r="BN3911" s="99"/>
    </row>
    <row r="3912" spans="1:66" s="51" customFormat="1" ht="16.5" x14ac:dyDescent="0.25">
      <c r="A3912" s="641" t="s">
        <v>5214</v>
      </c>
      <c r="B3912" s="642"/>
      <c r="C3912" s="710"/>
      <c r="D3912" s="643"/>
      <c r="E3912" s="643"/>
      <c r="F3912" s="644"/>
      <c r="G3912" s="645"/>
      <c r="H3912" s="646"/>
      <c r="I3912" s="647"/>
      <c r="J3912" s="648"/>
      <c r="K3912" s="649"/>
      <c r="L3912" s="650"/>
      <c r="M3912" s="650"/>
      <c r="N3912" s="644"/>
      <c r="O3912" s="644"/>
      <c r="P3912" s="644"/>
      <c r="Q3912" s="644"/>
      <c r="R3912" s="644"/>
      <c r="S3912" s="701" t="s">
        <v>5271</v>
      </c>
      <c r="T3912" s="102">
        <f t="shared" si="2894"/>
        <v>0</v>
      </c>
      <c r="U3912" s="78" t="str">
        <f>IF(NOT(ISNUMBER(G3912)), "", VLOOKUP(A3912,'Discount Lookup'!D:E,2,FALSE)*G3912)</f>
        <v/>
      </c>
      <c r="V3912" s="78" t="str">
        <f>IF(NOT(ISNUMBER(G3912)), "", VLOOKUP(A3912,'Discount Lookup'!G:H,2,FALSE)*G3912)</f>
        <v/>
      </c>
      <c r="W3912" s="102">
        <f t="shared" si="2895"/>
        <v>0</v>
      </c>
      <c r="X3912" s="102">
        <f t="shared" si="2896"/>
        <v>0</v>
      </c>
      <c r="Y3912" s="120" t="b">
        <f t="shared" si="2897"/>
        <v>0</v>
      </c>
      <c r="Z3912" s="117">
        <f t="shared" si="2898"/>
        <v>0</v>
      </c>
      <c r="AA3912" s="118"/>
      <c r="AB3912" s="118" t="str">
        <f t="shared" si="2899"/>
        <v/>
      </c>
      <c r="AC3912" s="712" t="str">
        <f>IF(AE3912="T2G","no charge",IF(AND(OR(PlanterYesMe="No",PlanterYesMe="N",PlanterYesMe="me"),H3912=""),"",IF(H3912="credit","NO install",IF(AND(K3912="",AE3912="me"),"EACH row",IF(AND(K3912="images",AE3912="me"),"EACH row",IF(D3912="","",IF(H3912="credit","",IF(AE3912="free","re-planting",IF(AE3912="me","   not ELP, by",IF(AND(OR(PlanterYesMe="Yes",PlanterYesMe="Y"),G3912&gt;0),(VLOOKUP(A3912,'Discount Lookup'!J:K,2)*G3912*(1-PlanterDiscount)*(1+PlanterDifficultyPercentage)),IF(AE3912="ELP",(VLOOKUP(A3912,'Discount Lookup'!J:K,2)*G3912*(1-PlanterDiscount)*(1+PlanterDifficultyPercentage)),IF(AE3912="free","re-planting",IF(G3912=0,"",IF(PlanterYesMe="",IF(AE3912="me","   not ELP, by",IF(AE3912="",IF(G3912&gt;0,(VLOOKUP(A3912,'Discount Lookup'!J:K,2)*G3912*(1-PlanterDiscount)*(1+PlanterDifficultyPercentage)),""),"")),"   not ELP, by"))))))))))))))</f>
        <v/>
      </c>
      <c r="AD3912" s="712"/>
      <c r="AE3912" s="513" t="str">
        <f t="shared" si="2900"/>
        <v/>
      </c>
      <c r="AF3912" s="713" t="str">
        <f t="shared" si="2901"/>
        <v/>
      </c>
      <c r="AG3912" s="713"/>
      <c r="AH3912" s="713"/>
      <c r="AI3912" s="112">
        <f>IF(H3912="credit",0,IF(AE3912="free",0,IF(AE3912="me",0,IF(G3912&gt;0,(VLOOKUP(A3912,'Discount Lookup'!J:K,2)*G3912),0))))</f>
        <v>0</v>
      </c>
      <c r="AJ3912" s="107" t="str">
        <f t="shared" ca="1" si="2902"/>
        <v/>
      </c>
      <c r="AK3912" s="714" t="str">
        <f t="shared" si="2903"/>
        <v/>
      </c>
      <c r="AL3912" s="714"/>
      <c r="AM3912" s="114" t="str">
        <f t="shared" si="2904"/>
        <v/>
      </c>
      <c r="AN3912" s="115"/>
      <c r="AO3912" s="116"/>
      <c r="AP3912" s="116"/>
      <c r="AQ3912" s="116"/>
      <c r="AR3912" s="116"/>
      <c r="AS3912" s="116"/>
      <c r="AT3912" s="116"/>
      <c r="AU3912" s="116"/>
      <c r="AV3912" s="78"/>
      <c r="AW3912" s="102"/>
      <c r="AX3912" s="78"/>
      <c r="AY3912" s="78"/>
      <c r="AZ3912" s="78"/>
      <c r="BA3912" s="78"/>
      <c r="BB3912" s="78"/>
      <c r="BC3912" s="78"/>
      <c r="BD3912" s="78"/>
      <c r="BE3912" s="465"/>
      <c r="BF3912" s="165" t="str">
        <f t="shared" si="2905"/>
        <v>https://www.google.com/search?tbm=isch&amp;q=Bridal%20Wreath%20has%20graceful%20arching%20branches%20covered%20in%20double%20blooms%20each%20spring%2C%20with%20brilliant%20Tangerine-Orange%20fall%20color%20</v>
      </c>
      <c r="BG3912" s="165" t="str">
        <f t="shared" si="2906"/>
        <v>B</v>
      </c>
      <c r="BH3912" s="65"/>
      <c r="BI3912" s="65"/>
      <c r="BJ3912" s="65"/>
      <c r="BK3912" s="65"/>
      <c r="BL3912" s="99"/>
      <c r="BM3912" s="99"/>
      <c r="BN3912" s="99"/>
    </row>
    <row r="3913" spans="1:66" s="51" customFormat="1" ht="19.5" thickBot="1" x14ac:dyDescent="0.3">
      <c r="A3913" s="686" t="s">
        <v>740</v>
      </c>
      <c r="B3913" s="73"/>
      <c r="C3913" s="708"/>
      <c r="D3913" s="73"/>
      <c r="E3913" s="73"/>
      <c r="F3913" s="496"/>
      <c r="G3913" s="73"/>
      <c r="H3913" s="73"/>
      <c r="I3913" s="73"/>
      <c r="J3913" s="497" t="s">
        <v>357</v>
      </c>
      <c r="K3913" s="498"/>
      <c r="L3913" s="562"/>
      <c r="M3913" s="73"/>
      <c r="N3913"/>
      <c r="O3913"/>
      <c r="P3913"/>
      <c r="Q3913"/>
      <c r="R3913"/>
      <c r="S3913"/>
      <c r="T3913" s="102">
        <f t="shared" si="2894"/>
        <v>0</v>
      </c>
      <c r="U3913" s="78" t="str">
        <f>IF(NOT(ISNUMBER(G3913)), "", VLOOKUP(A3913,'Discount Lookup'!D:E,2,FALSE)*G3913)</f>
        <v/>
      </c>
      <c r="V3913" s="78" t="str">
        <f>IF(NOT(ISNUMBER(G3913)), "", VLOOKUP(A3913,'Discount Lookup'!G:H,2,FALSE)*G3913)</f>
        <v/>
      </c>
      <c r="W3913" s="102">
        <f t="shared" si="2895"/>
        <v>0</v>
      </c>
      <c r="X3913" s="102">
        <f t="shared" si="2896"/>
        <v>0</v>
      </c>
      <c r="Y3913" s="120" t="b">
        <f t="shared" si="2897"/>
        <v>0</v>
      </c>
      <c r="Z3913" s="117">
        <f t="shared" si="2898"/>
        <v>0</v>
      </c>
      <c r="AA3913" s="118"/>
      <c r="AB3913" s="118" t="str">
        <f t="shared" si="2899"/>
        <v/>
      </c>
      <c r="AC3913" s="712" t="str">
        <f>IF(AE3913="T2G","no charge",IF(AND(OR(PlanterYesMe="No",PlanterYesMe="N",PlanterYesMe="me"),H3913=""),"",IF(H3913="credit","NO install",IF(AND(K3913="",AE3913="me"),"EACH row",IF(AND(K3913="images",AE3913="me"),"EACH row",IF(D3913="","",IF(H3913="credit","",IF(AE3913="free","re-planting",IF(AE3913="me","   not ELP, by",IF(AND(OR(PlanterYesMe="Yes",PlanterYesMe="Y"),G3913&gt;0),(VLOOKUP(A3913,'Discount Lookup'!J:K,2)*G3913*(1-PlanterDiscount)*(1+PlanterDifficultyPercentage)),IF(AE3913="ELP",(VLOOKUP(A3913,'Discount Lookup'!J:K,2)*G3913*(1-PlanterDiscount)*(1+PlanterDifficultyPercentage)),IF(AE3913="free","re-planting",IF(G3913=0,"",IF(PlanterYesMe="",IF(AE3913="me","   not ELP, by",IF(AE3913="",IF(G3913&gt;0,(VLOOKUP(A3913,'Discount Lookup'!J:K,2)*G3913*(1-PlanterDiscount)*(1+PlanterDifficultyPercentage)),""),"")),"   not ELP, by"))))))))))))))</f>
        <v/>
      </c>
      <c r="AD3913" s="712"/>
      <c r="AE3913" s="513" t="str">
        <f t="shared" si="2900"/>
        <v/>
      </c>
      <c r="AF3913" s="713" t="str">
        <f t="shared" si="2901"/>
        <v/>
      </c>
      <c r="AG3913" s="713"/>
      <c r="AH3913" s="713"/>
      <c r="AI3913" s="112">
        <f>IF(H3913="credit",0,IF(AE3913="free",0,IF(AE3913="me",0,IF(G3913&gt;0,(VLOOKUP(A3913,'Discount Lookup'!J:K,2)*G3913),0))))</f>
        <v>0</v>
      </c>
      <c r="AJ3913" s="107" t="str">
        <f t="shared" ca="1" si="2902"/>
        <v/>
      </c>
      <c r="AK3913" s="714" t="str">
        <f t="shared" si="2903"/>
        <v/>
      </c>
      <c r="AL3913" s="714"/>
      <c r="AM3913" s="114" t="str">
        <f t="shared" si="2904"/>
        <v/>
      </c>
      <c r="AN3913" s="115"/>
      <c r="AO3913" s="116"/>
      <c r="AP3913" s="116"/>
      <c r="AQ3913" s="116"/>
      <c r="AR3913" s="116"/>
      <c r="AS3913" s="116"/>
      <c r="AT3913" s="116"/>
      <c r="AU3913" s="116"/>
      <c r="AV3913" s="78"/>
      <c r="AW3913" s="102"/>
      <c r="AX3913" s="78"/>
      <c r="AY3913" s="78"/>
      <c r="AZ3913" s="78"/>
      <c r="BA3913" s="78"/>
      <c r="BB3913" s="78"/>
      <c r="BC3913" s="78"/>
      <c r="BD3913" s="78"/>
      <c r="BE3913" s="465"/>
      <c r="BF3913" s="165" t="str">
        <f t="shared" si="2905"/>
        <v>https://www.google.com/search?tbm=isch&amp;q=Stewartia%20%3D%20Mountain%20Camellia%20</v>
      </c>
      <c r="BG3913" s="165" t="str">
        <f t="shared" si="2906"/>
        <v>S</v>
      </c>
      <c r="BH3913" s="65"/>
      <c r="BI3913" s="65"/>
      <c r="BJ3913" s="65"/>
      <c r="BK3913" s="65"/>
      <c r="BL3913" s="99"/>
      <c r="BM3913" s="99"/>
      <c r="BN3913" s="99"/>
    </row>
    <row r="3914" spans="1:66" s="51" customFormat="1" ht="18" x14ac:dyDescent="0.25">
      <c r="A3914" s="623" t="s">
        <v>4250</v>
      </c>
      <c r="B3914" s="624"/>
      <c r="C3914" s="709"/>
      <c r="D3914" s="625" t="s">
        <v>4251</v>
      </c>
      <c r="E3914" s="626"/>
      <c r="F3914" s="626"/>
      <c r="G3914" s="626"/>
      <c r="H3914" s="622" t="s">
        <v>1390</v>
      </c>
      <c r="I3914" s="627" t="s">
        <v>1876</v>
      </c>
      <c r="J3914" s="628"/>
      <c r="K3914" s="628"/>
      <c r="L3914" s="629"/>
      <c r="M3914" s="702" t="s">
        <v>5252</v>
      </c>
      <c r="N3914" s="693" t="str">
        <f>IF(AND(ISTEXT($A3914), ISERROR($A3914+0)), HYPERLINK($BF3914, "Images"), "")</f>
        <v>Images</v>
      </c>
      <c r="O3914" s="695" t="s">
        <v>5247</v>
      </c>
      <c r="P3914" s="630"/>
      <c r="Q3914" s="631"/>
      <c r="R3914" s="632"/>
      <c r="S3914" s="633"/>
      <c r="T3914" s="102">
        <f t="shared" si="2894"/>
        <v>0</v>
      </c>
      <c r="U3914" s="78" t="str">
        <f>IF(NOT(ISNUMBER(G3914)), "", VLOOKUP(A3914,'Discount Lookup'!D:E,2,FALSE)*G3914)</f>
        <v/>
      </c>
      <c r="V3914" s="78" t="str">
        <f>IF(NOT(ISNUMBER(G3914)), "", VLOOKUP(A3914,'Discount Lookup'!G:H,2,FALSE)*G3914)</f>
        <v/>
      </c>
      <c r="W3914" s="102">
        <f t="shared" si="2895"/>
        <v>0</v>
      </c>
      <c r="X3914" s="102" t="str">
        <f t="shared" si="2896"/>
        <v>White bloom, Yellow stamen</v>
      </c>
      <c r="Y3914" s="120" t="b">
        <f t="shared" si="2897"/>
        <v>0</v>
      </c>
      <c r="Z3914" s="117">
        <f t="shared" si="2898"/>
        <v>0</v>
      </c>
      <c r="AA3914" s="118"/>
      <c r="AB3914" s="118" t="str">
        <f t="shared" si="2899"/>
        <v/>
      </c>
      <c r="AC3914" s="712" t="str">
        <f>IF(AE3914="T2G","no charge",IF(AND(OR(PlanterYesMe="No",PlanterYesMe="N",PlanterYesMe="me"),H3914=""),"",IF(H3914="credit","NO install",IF(AND(K3914="",AE3914="me"),"EACH row",IF(AND(K3914="images",AE3914="me"),"EACH row",IF(D3914="","",IF(H3914="credit","",IF(AE3914="free","re-planting",IF(AE3914="me","   not ELP, by",IF(AND(OR(PlanterYesMe="Yes",PlanterYesMe="Y"),G3914&gt;0),(VLOOKUP(A3914,'Discount Lookup'!J:K,2)*G3914*(1-PlanterDiscount)*(1+PlanterDifficultyPercentage)),IF(AE3914="ELP",(VLOOKUP(A3914,'Discount Lookup'!J:K,2)*G3914*(1-PlanterDiscount)*(1+PlanterDifficultyPercentage)),IF(AE3914="free","re-planting",IF(G3914=0,"",IF(PlanterYesMe="",IF(AE3914="me","   not ELP, by",IF(AE3914="",IF(G3914&gt;0,(VLOOKUP(A3914,'Discount Lookup'!J:K,2)*G3914*(1-PlanterDiscount)*(1+PlanterDifficultyPercentage)),""),"")),"   not ELP, by"))))))))))))))</f>
        <v/>
      </c>
      <c r="AD3914" s="712"/>
      <c r="AE3914" s="513" t="str">
        <f t="shared" si="2900"/>
        <v/>
      </c>
      <c r="AF3914" s="713" t="str">
        <f t="shared" si="2901"/>
        <v/>
      </c>
      <c r="AG3914" s="713"/>
      <c r="AH3914" s="713"/>
      <c r="AI3914" s="112">
        <f>IF(H3914="credit",0,IF(AE3914="free",0,IF(AE3914="me",0,IF(G3914&gt;0,(VLOOKUP(A3914,'Discount Lookup'!J:K,2)*G3914),0))))</f>
        <v>0</v>
      </c>
      <c r="AJ3914" s="107" t="str">
        <f t="shared" ca="1" si="2902"/>
        <v/>
      </c>
      <c r="AK3914" s="714" t="str">
        <f t="shared" si="2903"/>
        <v/>
      </c>
      <c r="AL3914" s="714"/>
      <c r="AM3914" s="114" t="str">
        <f t="shared" si="2904"/>
        <v/>
      </c>
      <c r="AN3914" s="115"/>
      <c r="AO3914" s="116"/>
      <c r="AP3914" s="116"/>
      <c r="AQ3914" s="116"/>
      <c r="AR3914" s="116"/>
      <c r="AS3914" s="116"/>
      <c r="AT3914" s="116"/>
      <c r="AU3914" s="116"/>
      <c r="AV3914" s="78"/>
      <c r="AW3914" s="102"/>
      <c r="AX3914" s="78"/>
      <c r="AY3914" s="78"/>
      <c r="AZ3914" s="78"/>
      <c r="BA3914" s="78"/>
      <c r="BB3914" s="78"/>
      <c r="BC3914" s="78"/>
      <c r="BD3914" s="78"/>
      <c r="BE3914" s="465"/>
      <c r="BF3914" s="165" t="str">
        <f t="shared" si="2905"/>
        <v>https://www.google.com/search?tbm=isch&amp;q=Stewartia%20pseudocamellia%20Japanese%20Stewartia</v>
      </c>
      <c r="BG3914" s="165" t="str">
        <f t="shared" si="2906"/>
        <v>S</v>
      </c>
      <c r="BH3914" s="65"/>
      <c r="BI3914" s="65"/>
      <c r="BJ3914" s="65"/>
      <c r="BK3914" s="65"/>
      <c r="BL3914" s="99"/>
      <c r="BM3914" s="99"/>
      <c r="BN3914" s="99"/>
    </row>
    <row r="3915" spans="1:66" s="51" customFormat="1" ht="15.75" x14ac:dyDescent="0.25">
      <c r="A3915" s="634">
        <v>7</v>
      </c>
      <c r="B3915" s="635" t="s">
        <v>291</v>
      </c>
      <c r="C3915" s="636" t="s">
        <v>5215</v>
      </c>
      <c r="D3915" s="637" t="s">
        <v>299</v>
      </c>
      <c r="E3915" s="638">
        <v>155.94999999999999</v>
      </c>
      <c r="F3915" s="639" t="s">
        <v>292</v>
      </c>
      <c r="G3915" s="484">
        <v>0</v>
      </c>
      <c r="H3915" s="691" t="str">
        <f>IF(G3915=0,"",IF(F3915="Buy",IF(G3915=1,"plant","plants"),IF(F3915&gt;0.01,"warranty","Error")))</f>
        <v/>
      </c>
      <c r="I3915" s="640">
        <f>IF(H3915="free",0,IF(H3915="credit",((E3915*(F3915))*G3915*-1),IF(F3915="Buy",(E3915*G3915),((E3915*(1-F3915))*G3915))))</f>
        <v>0</v>
      </c>
      <c r="J3915" s="640">
        <f>IF(H3915="warranty",0,(I3915*(_xlfn.SINGLE(SalesTaxPercentage))))</f>
        <v>0</v>
      </c>
      <c r="K3915" s="716">
        <f t="shared" ref="K3915" si="2927">I3915+J3915</f>
        <v>0</v>
      </c>
      <c r="L3915" s="716"/>
      <c r="M3915" s="689" t="str">
        <f ca="1">IF(AND(G3915&gt;0,E3915=0),"WARNING - no PRICE inserted",IF(H3915="free","FREE ~ no charge this plant",IF(H3915="credit",CONCATENATE("-$",ROUND(K3915*(1-_xlfn.SINGLE(T2GDiscount))*-1,2)," CREDIT after discount"),IF(_xlfn.SINGLE(T2GDiscount)=0,"",IF(G3915=0,"",IF(F3915="Buy",CONCATENATE("$",ROUND(K3915*(1-_xlfn.SINGLE(T2GDiscount)),2)," with ",(_xlfn.SINGLE(T2GDiscount)*100),"% discount"),CONCATENATE("$",ROUND(K3915*(1-_xlfn.SINGLE(T2GDiscount)),2)," with ",((_xlfn.SINGLE(T2GDiscount)*100+F3915*100)-(_xlfn.SINGLE(T2GDiscount)*100*F3915)),IF(F3915&gt;0,"% discounts",IF(_xlfn.SINGLE(NoWarrantyDiscount)&gt;0,"% discounts","% discount")))))))))</f>
        <v/>
      </c>
      <c r="N3915" s="690"/>
      <c r="O3915" s="486"/>
      <c r="P3915" s="486"/>
      <c r="Q3915" s="486"/>
      <c r="R3915" s="486"/>
      <c r="S3915" s="486"/>
      <c r="T3915" s="102">
        <f t="shared" si="2894"/>
        <v>0</v>
      </c>
      <c r="U3915" s="78">
        <f>IF(NOT(ISNUMBER(G3915)), "", VLOOKUP(A3915,'Discount Lookup'!D:E,2,FALSE)*G3915)</f>
        <v>0</v>
      </c>
      <c r="V3915" s="78">
        <f>IF(NOT(ISNUMBER(G3915)), "", VLOOKUP(A3915,'Discount Lookup'!G:H,2,FALSE)*G3915)</f>
        <v>0</v>
      </c>
      <c r="W3915" s="102">
        <f t="shared" si="2895"/>
        <v>0</v>
      </c>
      <c r="X3915" s="102">
        <f t="shared" si="2896"/>
        <v>0</v>
      </c>
      <c r="Y3915" s="120" t="b">
        <f t="shared" si="2897"/>
        <v>0</v>
      </c>
      <c r="Z3915" s="117">
        <f t="shared" si="2898"/>
        <v>0</v>
      </c>
      <c r="AA3915" s="118"/>
      <c r="AB3915" s="118" t="str">
        <f t="shared" si="2899"/>
        <v/>
      </c>
      <c r="AC3915" s="712" t="str">
        <f>IF(AE3915="T2G","no charge",IF(AND(OR(PlanterYesMe="No",PlanterYesMe="N",PlanterYesMe="me"),H3915=""),"",IF(H3915="credit","NO install",IF(AND(K3915="",AE3915="me"),"EACH row",IF(AND(K3915="images",AE3915="me"),"EACH row",IF(D3915="","",IF(H3915="credit","",IF(AE3915="free","re-planting",IF(AE3915="me","   not ELP, by",IF(AND(OR(PlanterYesMe="Yes",PlanterYesMe="Y"),G3915&gt;0),(VLOOKUP(A3915,'Discount Lookup'!J:K,2)*G3915*(1-PlanterDiscount)*(1+PlanterDifficultyPercentage)),IF(AE3915="ELP",(VLOOKUP(A3915,'Discount Lookup'!J:K,2)*G3915*(1-PlanterDiscount)*(1+PlanterDifficultyPercentage)),IF(AE3915="free","re-planting",IF(G3915=0,"",IF(PlanterYesMe="",IF(AE3915="me","   not ELP, by",IF(AE3915="",IF(G3915&gt;0,(VLOOKUP(A3915,'Discount Lookup'!J:K,2)*G3915*(1-PlanterDiscount)*(1+PlanterDifficultyPercentage)),""),"")),"   not ELP, by"))))))))))))))</f>
        <v/>
      </c>
      <c r="AD3915" s="712"/>
      <c r="AE3915" s="513" t="str">
        <f t="shared" si="2900"/>
        <v/>
      </c>
      <c r="AF3915" s="713" t="str">
        <f t="shared" si="2901"/>
        <v/>
      </c>
      <c r="AG3915" s="713"/>
      <c r="AH3915" s="713"/>
      <c r="AI3915" s="112">
        <f>IF(H3915="credit",0,IF(AE3915="free",0,IF(AE3915="me",0,IF(G3915&gt;0,(VLOOKUP(A3915,'Discount Lookup'!J:K,2)*G3915),0))))</f>
        <v>0</v>
      </c>
      <c r="AJ3915" s="107" t="str">
        <f t="shared" ca="1" si="2902"/>
        <v/>
      </c>
      <c r="AK3915" s="714" t="str">
        <f t="shared" si="2903"/>
        <v/>
      </c>
      <c r="AL3915" s="714"/>
      <c r="AM3915" s="114" t="str">
        <f t="shared" si="2904"/>
        <v/>
      </c>
      <c r="AN3915" s="115"/>
      <c r="AO3915" s="116"/>
      <c r="AP3915" s="116"/>
      <c r="AQ3915" s="116"/>
      <c r="AR3915" s="116"/>
      <c r="AS3915" s="116"/>
      <c r="AT3915" s="116"/>
      <c r="AU3915" s="116"/>
      <c r="AV3915" s="78"/>
      <c r="AW3915" s="102"/>
      <c r="AX3915" s="78"/>
      <c r="AY3915" s="78"/>
      <c r="AZ3915" s="78"/>
      <c r="BA3915" s="78"/>
      <c r="BB3915" s="78"/>
      <c r="BC3915" s="78"/>
      <c r="BD3915" s="78"/>
      <c r="BE3915" s="465"/>
      <c r="BF3915" s="165" t="str">
        <f t="shared" si="2905"/>
        <v>https://www.google.com/search?tbm=isch&amp;q=7%20G4</v>
      </c>
      <c r="BG3915" s="165" t="str">
        <f t="shared" si="2906"/>
        <v>S</v>
      </c>
      <c r="BH3915" s="65"/>
      <c r="BI3915" s="65"/>
      <c r="BJ3915" s="65"/>
      <c r="BK3915" s="65"/>
      <c r="BL3915" s="99"/>
      <c r="BM3915" s="99"/>
      <c r="BN3915" s="99"/>
    </row>
    <row r="3916" spans="1:66" s="51" customFormat="1" ht="16.5" x14ac:dyDescent="0.25">
      <c r="A3916" s="704" t="s">
        <v>5532</v>
      </c>
      <c r="B3916" s="642"/>
      <c r="C3916" s="710"/>
      <c r="D3916" s="643"/>
      <c r="E3916" s="643"/>
      <c r="F3916" s="644"/>
      <c r="G3916" s="645"/>
      <c r="H3916" s="646"/>
      <c r="I3916" s="647"/>
      <c r="J3916" s="648"/>
      <c r="K3916" s="649"/>
      <c r="L3916" s="650"/>
      <c r="M3916" s="650"/>
      <c r="N3916" s="644"/>
      <c r="O3916" s="644"/>
      <c r="P3916" s="644"/>
      <c r="Q3916" s="644"/>
      <c r="R3916" s="644"/>
      <c r="S3916" s="651"/>
      <c r="T3916" s="102">
        <f t="shared" si="2894"/>
        <v>0</v>
      </c>
      <c r="U3916" s="78" t="str">
        <f>IF(NOT(ISNUMBER(G3916)), "", VLOOKUP(A3916,'Discount Lookup'!D:E,2,FALSE)*G3916)</f>
        <v/>
      </c>
      <c r="V3916" s="78" t="str">
        <f>IF(NOT(ISNUMBER(G3916)), "", VLOOKUP(A3916,'Discount Lookup'!G:H,2,FALSE)*G3916)</f>
        <v/>
      </c>
      <c r="W3916" s="102">
        <f t="shared" si="2895"/>
        <v>0</v>
      </c>
      <c r="X3916" s="102">
        <f t="shared" si="2896"/>
        <v>0</v>
      </c>
      <c r="Y3916" s="120" t="b">
        <f t="shared" si="2897"/>
        <v>0</v>
      </c>
      <c r="Z3916" s="117">
        <f t="shared" si="2898"/>
        <v>0</v>
      </c>
      <c r="AA3916" s="118"/>
      <c r="AB3916" s="118" t="str">
        <f t="shared" si="2899"/>
        <v/>
      </c>
      <c r="AC3916" s="712" t="str">
        <f>IF(AE3916="T2G","no charge",IF(AND(OR(PlanterYesMe="No",PlanterYesMe="N",PlanterYesMe="me"),H3916=""),"",IF(H3916="credit","NO install",IF(AND(K3916="",AE3916="me"),"EACH row",IF(AND(K3916="images",AE3916="me"),"EACH row",IF(D3916="","",IF(H3916="credit","",IF(AE3916="free","re-planting",IF(AE3916="me","   not ELP, by",IF(AND(OR(PlanterYesMe="Yes",PlanterYesMe="Y"),G3916&gt;0),(VLOOKUP(A3916,'Discount Lookup'!J:K,2)*G3916*(1-PlanterDiscount)*(1+PlanterDifficultyPercentage)),IF(AE3916="ELP",(VLOOKUP(A3916,'Discount Lookup'!J:K,2)*G3916*(1-PlanterDiscount)*(1+PlanterDifficultyPercentage)),IF(AE3916="free","re-planting",IF(G3916=0,"",IF(PlanterYesMe="",IF(AE3916="me","   not ELP, by",IF(AE3916="",IF(G3916&gt;0,(VLOOKUP(A3916,'Discount Lookup'!J:K,2)*G3916*(1-PlanterDiscount)*(1+PlanterDifficultyPercentage)),""),"")),"   not ELP, by"))))))))))))))</f>
        <v/>
      </c>
      <c r="AD3916" s="712"/>
      <c r="AE3916" s="513" t="str">
        <f t="shared" si="2900"/>
        <v/>
      </c>
      <c r="AF3916" s="713" t="str">
        <f t="shared" si="2901"/>
        <v/>
      </c>
      <c r="AG3916" s="713"/>
      <c r="AH3916" s="713"/>
      <c r="AI3916" s="112">
        <f>IF(H3916="credit",0,IF(AE3916="free",0,IF(AE3916="me",0,IF(G3916&gt;0,(VLOOKUP(A3916,'Discount Lookup'!J:K,2)*G3916),0))))</f>
        <v>0</v>
      </c>
      <c r="AJ3916" s="107" t="str">
        <f t="shared" ca="1" si="2902"/>
        <v/>
      </c>
      <c r="AK3916" s="714" t="str">
        <f t="shared" si="2903"/>
        <v/>
      </c>
      <c r="AL3916" s="714"/>
      <c r="AM3916" s="114" t="str">
        <f t="shared" si="2904"/>
        <v/>
      </c>
      <c r="AN3916" s="115"/>
      <c r="AO3916" s="116"/>
      <c r="AP3916" s="116"/>
      <c r="AQ3916" s="116"/>
      <c r="AR3916" s="116"/>
      <c r="AS3916" s="116"/>
      <c r="AT3916" s="116"/>
      <c r="AU3916" s="116"/>
      <c r="AV3916" s="78"/>
      <c r="AW3916" s="102"/>
      <c r="AX3916" s="78"/>
      <c r="AY3916" s="78"/>
      <c r="AZ3916" s="78"/>
      <c r="BA3916" s="78"/>
      <c r="BB3916" s="78"/>
      <c r="BC3916" s="78"/>
      <c r="BD3916" s="78"/>
      <c r="BE3916" s="465"/>
      <c r="BF3916" s="165" t="str">
        <f t="shared" si="2905"/>
        <v>https://www.google.com/search?tbm=isch&amp;q=moist%20sites%F0%9F%92%A7GOOD%2C%20Japanese%20Stewartia%20noted%20for%20camellia-like%20flowers%2C%20Orange-Red-Purple%20fall%20foliage%2C%20and%20Gray%3DBrown-Otange%20exfoliating%20bark%20</v>
      </c>
      <c r="BG3916" s="165" t="str">
        <f t="shared" si="2906"/>
        <v>m</v>
      </c>
      <c r="BH3916" s="65"/>
      <c r="BI3916" s="65"/>
      <c r="BJ3916" s="65"/>
      <c r="BK3916" s="65"/>
      <c r="BL3916" s="99"/>
      <c r="BM3916" s="99"/>
      <c r="BN3916" s="99"/>
    </row>
    <row r="3917" spans="1:66" s="51" customFormat="1" ht="19.5" thickBot="1" x14ac:dyDescent="0.3">
      <c r="A3917" s="686" t="s">
        <v>741</v>
      </c>
      <c r="B3917" s="73"/>
      <c r="C3917" s="708"/>
      <c r="D3917" s="73"/>
      <c r="E3917" s="73"/>
      <c r="F3917" s="496"/>
      <c r="G3917" s="73"/>
      <c r="H3917" s="73"/>
      <c r="I3917" s="73"/>
      <c r="J3917" s="497" t="s">
        <v>357</v>
      </c>
      <c r="K3917" s="498"/>
      <c r="L3917" s="562"/>
      <c r="M3917" s="73"/>
      <c r="N3917"/>
      <c r="O3917"/>
      <c r="P3917"/>
      <c r="Q3917"/>
      <c r="R3917"/>
      <c r="S3917"/>
      <c r="T3917" s="102">
        <f t="shared" si="2894"/>
        <v>0</v>
      </c>
      <c r="U3917" s="78" t="str">
        <f>IF(NOT(ISNUMBER(G3917)), "", VLOOKUP(A3917,'Discount Lookup'!D:E,2,FALSE)*G3917)</f>
        <v/>
      </c>
      <c r="V3917" s="78" t="str">
        <f>IF(NOT(ISNUMBER(G3917)), "", VLOOKUP(A3917,'Discount Lookup'!G:H,2,FALSE)*G3917)</f>
        <v/>
      </c>
      <c r="W3917" s="102">
        <f t="shared" si="2895"/>
        <v>0</v>
      </c>
      <c r="X3917" s="102">
        <f t="shared" si="2896"/>
        <v>0</v>
      </c>
      <c r="Y3917" s="120" t="b">
        <f t="shared" si="2897"/>
        <v>0</v>
      </c>
      <c r="Z3917" s="117">
        <f t="shared" si="2898"/>
        <v>0</v>
      </c>
      <c r="AA3917" s="118"/>
      <c r="AB3917" s="118" t="str">
        <f t="shared" si="2899"/>
        <v/>
      </c>
      <c r="AC3917" s="712" t="str">
        <f>IF(AE3917="T2G","no charge",IF(AND(OR(PlanterYesMe="No",PlanterYesMe="N",PlanterYesMe="me"),H3917=""),"",IF(H3917="credit","NO install",IF(AND(K3917="",AE3917="me"),"EACH row",IF(AND(K3917="images",AE3917="me"),"EACH row",IF(D3917="","",IF(H3917="credit","",IF(AE3917="free","re-planting",IF(AE3917="me","   not ELP, by",IF(AND(OR(PlanterYesMe="Yes",PlanterYesMe="Y"),G3917&gt;0),(VLOOKUP(A3917,'Discount Lookup'!J:K,2)*G3917*(1-PlanterDiscount)*(1+PlanterDifficultyPercentage)),IF(AE3917="ELP",(VLOOKUP(A3917,'Discount Lookup'!J:K,2)*G3917*(1-PlanterDiscount)*(1+PlanterDifficultyPercentage)),IF(AE3917="free","re-planting",IF(G3917=0,"",IF(PlanterYesMe="",IF(AE3917="me","   not ELP, by",IF(AE3917="",IF(G3917&gt;0,(VLOOKUP(A3917,'Discount Lookup'!J:K,2)*G3917*(1-PlanterDiscount)*(1+PlanterDifficultyPercentage)),""),"")),"   not ELP, by"))))))))))))))</f>
        <v/>
      </c>
      <c r="AD3917" s="712"/>
      <c r="AE3917" s="513" t="str">
        <f t="shared" si="2900"/>
        <v/>
      </c>
      <c r="AF3917" s="713" t="str">
        <f t="shared" si="2901"/>
        <v/>
      </c>
      <c r="AG3917" s="713"/>
      <c r="AH3917" s="713"/>
      <c r="AI3917" s="112">
        <f>IF(H3917="credit",0,IF(AE3917="free",0,IF(AE3917="me",0,IF(G3917&gt;0,(VLOOKUP(A3917,'Discount Lookup'!J:K,2)*G3917),0))))</f>
        <v>0</v>
      </c>
      <c r="AJ3917" s="107" t="str">
        <f t="shared" ca="1" si="2902"/>
        <v/>
      </c>
      <c r="AK3917" s="714" t="str">
        <f t="shared" si="2903"/>
        <v/>
      </c>
      <c r="AL3917" s="714"/>
      <c r="AM3917" s="114" t="str">
        <f t="shared" si="2904"/>
        <v/>
      </c>
      <c r="AN3917" s="115"/>
      <c r="AO3917" s="116"/>
      <c r="AP3917" s="116"/>
      <c r="AQ3917" s="116"/>
      <c r="AR3917" s="116"/>
      <c r="AS3917" s="116"/>
      <c r="AT3917" s="116"/>
      <c r="AU3917" s="116"/>
      <c r="AV3917" s="78"/>
      <c r="AW3917" s="102"/>
      <c r="AX3917" s="78"/>
      <c r="AY3917" s="78"/>
      <c r="AZ3917" s="78"/>
      <c r="BA3917" s="78"/>
      <c r="BB3917" s="78"/>
      <c r="BC3917" s="78"/>
      <c r="BD3917" s="78"/>
      <c r="BE3917" s="465"/>
      <c r="BF3917" s="165" t="str">
        <f t="shared" si="2905"/>
        <v>https://www.google.com/search?tbm=isch&amp;q=Styrax%20%3D%20Snowbell%20</v>
      </c>
      <c r="BG3917" s="165" t="str">
        <f t="shared" si="2906"/>
        <v>S</v>
      </c>
      <c r="BH3917" s="65"/>
      <c r="BI3917" s="65"/>
      <c r="BJ3917" s="65"/>
      <c r="BK3917" s="65"/>
      <c r="BL3917" s="99"/>
      <c r="BM3917" s="99"/>
      <c r="BN3917" s="99"/>
    </row>
    <row r="3918" spans="1:66" s="51" customFormat="1" ht="18" x14ac:dyDescent="0.25">
      <c r="A3918" s="623" t="s">
        <v>5100</v>
      </c>
      <c r="B3918" s="624"/>
      <c r="C3918" s="709"/>
      <c r="D3918" s="625" t="s">
        <v>5101</v>
      </c>
      <c r="E3918" s="626"/>
      <c r="F3918" s="626"/>
      <c r="G3918" s="626"/>
      <c r="H3918" s="622" t="s">
        <v>1528</v>
      </c>
      <c r="I3918" s="627" t="s">
        <v>349</v>
      </c>
      <c r="J3918" s="628"/>
      <c r="K3918" s="628"/>
      <c r="L3918" s="629"/>
      <c r="M3918" s="700" t="s">
        <v>5249</v>
      </c>
      <c r="N3918" s="693" t="str">
        <f>IF(AND(ISTEXT($A3918), ISERROR($A3918+0)), HYPERLINK($BF3918, "Images"), "")</f>
        <v>Images</v>
      </c>
      <c r="O3918" s="695" t="s">
        <v>5247</v>
      </c>
      <c r="P3918" s="630"/>
      <c r="Q3918" s="631"/>
      <c r="R3918" s="632"/>
      <c r="S3918" s="633" t="s">
        <v>294</v>
      </c>
      <c r="T3918" s="102">
        <f t="shared" si="2894"/>
        <v>0</v>
      </c>
      <c r="U3918" s="78" t="str">
        <f>IF(NOT(ISNUMBER(G3918)), "", VLOOKUP(A3918,'Discount Lookup'!D:E,2,FALSE)*G3918)</f>
        <v/>
      </c>
      <c r="V3918" s="78" t="str">
        <f>IF(NOT(ISNUMBER(G3918)), "", VLOOKUP(A3918,'Discount Lookup'!G:H,2,FALSE)*G3918)</f>
        <v/>
      </c>
      <c r="W3918" s="102">
        <f t="shared" si="2895"/>
        <v>0</v>
      </c>
      <c r="X3918" s="102" t="str">
        <f t="shared" si="2896"/>
        <v>White bloom</v>
      </c>
      <c r="Y3918" s="120" t="b">
        <f t="shared" si="2897"/>
        <v>0</v>
      </c>
      <c r="Z3918" s="117">
        <f t="shared" si="2898"/>
        <v>0</v>
      </c>
      <c r="AA3918" s="118"/>
      <c r="AB3918" s="118" t="str">
        <f t="shared" si="2899"/>
        <v/>
      </c>
      <c r="AC3918" s="712" t="str">
        <f>IF(AE3918="T2G","no charge",IF(AND(OR(PlanterYesMe="No",PlanterYesMe="N",PlanterYesMe="me"),H3918=""),"",IF(H3918="credit","NO install",IF(AND(K3918="",AE3918="me"),"EACH row",IF(AND(K3918="images",AE3918="me"),"EACH row",IF(D3918="","",IF(H3918="credit","",IF(AE3918="free","re-planting",IF(AE3918="me","   not ELP, by",IF(AND(OR(PlanterYesMe="Yes",PlanterYesMe="Y"),G3918&gt;0),(VLOOKUP(A3918,'Discount Lookup'!J:K,2)*G3918*(1-PlanterDiscount)*(1+PlanterDifficultyPercentage)),IF(AE3918="ELP",(VLOOKUP(A3918,'Discount Lookup'!J:K,2)*G3918*(1-PlanterDiscount)*(1+PlanterDifficultyPercentage)),IF(AE3918="free","re-planting",IF(G3918=0,"",IF(PlanterYesMe="",IF(AE3918="me","   not ELP, by",IF(AE3918="",IF(G3918&gt;0,(VLOOKUP(A3918,'Discount Lookup'!J:K,2)*G3918*(1-PlanterDiscount)*(1+PlanterDifficultyPercentage)),""),"")),"   not ELP, by"))))))))))))))</f>
        <v/>
      </c>
      <c r="AD3918" s="712"/>
      <c r="AE3918" s="513" t="str">
        <f t="shared" si="2900"/>
        <v/>
      </c>
      <c r="AF3918" s="713" t="str">
        <f t="shared" si="2901"/>
        <v/>
      </c>
      <c r="AG3918" s="713"/>
      <c r="AH3918" s="713"/>
      <c r="AI3918" s="112">
        <f>IF(H3918="credit",0,IF(AE3918="free",0,IF(AE3918="me",0,IF(G3918&gt;0,(VLOOKUP(A3918,'Discount Lookup'!J:K,2)*G3918),0))))</f>
        <v>0</v>
      </c>
      <c r="AJ3918" s="107" t="str">
        <f t="shared" ca="1" si="2902"/>
        <v/>
      </c>
      <c r="AK3918" s="714" t="str">
        <f t="shared" si="2903"/>
        <v/>
      </c>
      <c r="AL3918" s="714"/>
      <c r="AM3918" s="114" t="str">
        <f t="shared" si="2904"/>
        <v/>
      </c>
      <c r="AN3918" s="115"/>
      <c r="AO3918" s="116"/>
      <c r="AP3918" s="116"/>
      <c r="AQ3918" s="116"/>
      <c r="AR3918" s="116"/>
      <c r="AS3918" s="116"/>
      <c r="AT3918" s="116"/>
      <c r="AU3918" s="116"/>
      <c r="AV3918" s="78"/>
      <c r="AW3918" s="102"/>
      <c r="AX3918" s="78"/>
      <c r="AY3918" s="78"/>
      <c r="AZ3918" s="78"/>
      <c r="BA3918" s="78"/>
      <c r="BB3918" s="78"/>
      <c r="BC3918" s="78"/>
      <c r="BD3918" s="78"/>
      <c r="BE3918" s="465"/>
      <c r="BF3918" s="165" t="str">
        <f t="shared" si="2905"/>
        <v>https://www.google.com/search?tbm=isch&amp;q=Styrax%20americanus%20%27Baby%20Blue%27%20Baby%20Blue%20American%20Snowbell</v>
      </c>
      <c r="BG3918" s="165" t="str">
        <f t="shared" si="2906"/>
        <v>S</v>
      </c>
      <c r="BH3918" s="65"/>
      <c r="BI3918" s="65"/>
      <c r="BJ3918" s="65"/>
      <c r="BK3918" s="65"/>
      <c r="BL3918" s="99"/>
      <c r="BM3918" s="99"/>
      <c r="BN3918" s="99"/>
    </row>
    <row r="3919" spans="1:66" s="51" customFormat="1" ht="15.75" x14ac:dyDescent="0.25">
      <c r="A3919" s="634">
        <v>7</v>
      </c>
      <c r="B3919" s="635" t="s">
        <v>291</v>
      </c>
      <c r="C3919" s="636" t="s">
        <v>5102</v>
      </c>
      <c r="D3919" s="637" t="s">
        <v>299</v>
      </c>
      <c r="E3919" s="638">
        <v>109.95</v>
      </c>
      <c r="F3919" s="639" t="s">
        <v>292</v>
      </c>
      <c r="G3919" s="484">
        <v>0</v>
      </c>
      <c r="H3919" s="691" t="str">
        <f>IF(G3919=0,"",IF(F3919="Buy",IF(G3919=1,"plant","plants"),IF(F3919&gt;0.01,"warranty","Error")))</f>
        <v/>
      </c>
      <c r="I3919" s="640">
        <f>IF(H3919="free",0,IF(H3919="credit",((E3919*(F3919))*G3919*-1),IF(F3919="Buy",(E3919*G3919),((E3919*(1-F3919))*G3919))))</f>
        <v>0</v>
      </c>
      <c r="J3919" s="640">
        <f>IF(H3919="warranty",0,(I3919*(_xlfn.SINGLE(SalesTaxPercentage))))</f>
        <v>0</v>
      </c>
      <c r="K3919" s="716">
        <f t="shared" ref="K3919" si="2928">I3919+J3919</f>
        <v>0</v>
      </c>
      <c r="L3919" s="716"/>
      <c r="M3919" s="689" t="str">
        <f ca="1">IF(AND(G3919&gt;0,E3919=0),"WARNING - no PRICE inserted",IF(H3919="free","FREE ~ no charge this plant",IF(H3919="credit",CONCATENATE("-$",ROUND(K3919*(1-_xlfn.SINGLE(T2GDiscount))*-1,2)," CREDIT after discount"),IF(_xlfn.SINGLE(T2GDiscount)=0,"",IF(G3919=0,"",IF(F3919="Buy",CONCATENATE("$",ROUND(K3919*(1-_xlfn.SINGLE(T2GDiscount)),2)," with ",(_xlfn.SINGLE(T2GDiscount)*100),"% discount"),CONCATENATE("$",ROUND(K3919*(1-_xlfn.SINGLE(T2GDiscount)),2)," with ",((_xlfn.SINGLE(T2GDiscount)*100+F3919*100)-(_xlfn.SINGLE(T2GDiscount)*100*F3919)),IF(F3919&gt;0,"% discounts",IF(_xlfn.SINGLE(NoWarrantyDiscount)&gt;0,"% discounts","% discount")))))))))</f>
        <v/>
      </c>
      <c r="N3919" s="690"/>
      <c r="O3919" s="486"/>
      <c r="P3919" s="486"/>
      <c r="Q3919" s="486"/>
      <c r="R3919" s="486"/>
      <c r="S3919" s="486"/>
      <c r="T3919" s="102">
        <f t="shared" si="2894"/>
        <v>0</v>
      </c>
      <c r="U3919" s="78">
        <f>IF(NOT(ISNUMBER(G3919)), "", VLOOKUP(A3919,'Discount Lookup'!D:E,2,FALSE)*G3919)</f>
        <v>0</v>
      </c>
      <c r="V3919" s="78">
        <f>IF(NOT(ISNUMBER(G3919)), "", VLOOKUP(A3919,'Discount Lookup'!G:H,2,FALSE)*G3919)</f>
        <v>0</v>
      </c>
      <c r="W3919" s="102">
        <f t="shared" si="2895"/>
        <v>0</v>
      </c>
      <c r="X3919" s="102">
        <f t="shared" si="2896"/>
        <v>0</v>
      </c>
      <c r="Y3919" s="120" t="b">
        <f t="shared" si="2897"/>
        <v>0</v>
      </c>
      <c r="Z3919" s="117">
        <f t="shared" si="2898"/>
        <v>0</v>
      </c>
      <c r="AA3919" s="118"/>
      <c r="AB3919" s="118" t="str">
        <f t="shared" si="2899"/>
        <v/>
      </c>
      <c r="AC3919" s="712" t="str">
        <f>IF(AE3919="T2G","no charge",IF(AND(OR(PlanterYesMe="No",PlanterYesMe="N",PlanterYesMe="me"),H3919=""),"",IF(H3919="credit","NO install",IF(AND(K3919="",AE3919="me"),"EACH row",IF(AND(K3919="images",AE3919="me"),"EACH row",IF(D3919="","",IF(H3919="credit","",IF(AE3919="free","re-planting",IF(AE3919="me","   not ELP, by",IF(AND(OR(PlanterYesMe="Yes",PlanterYesMe="Y"),G3919&gt;0),(VLOOKUP(A3919,'Discount Lookup'!J:K,2)*G3919*(1-PlanterDiscount)*(1+PlanterDifficultyPercentage)),IF(AE3919="ELP",(VLOOKUP(A3919,'Discount Lookup'!J:K,2)*G3919*(1-PlanterDiscount)*(1+PlanterDifficultyPercentage)),IF(AE3919="free","re-planting",IF(G3919=0,"",IF(PlanterYesMe="",IF(AE3919="me","   not ELP, by",IF(AE3919="",IF(G3919&gt;0,(VLOOKUP(A3919,'Discount Lookup'!J:K,2)*G3919*(1-PlanterDiscount)*(1+PlanterDifficultyPercentage)),""),"")),"   not ELP, by"))))))))))))))</f>
        <v/>
      </c>
      <c r="AD3919" s="712"/>
      <c r="AE3919" s="513" t="str">
        <f t="shared" si="2900"/>
        <v/>
      </c>
      <c r="AF3919" s="713" t="str">
        <f t="shared" si="2901"/>
        <v/>
      </c>
      <c r="AG3919" s="713"/>
      <c r="AH3919" s="713"/>
      <c r="AI3919" s="112">
        <f>IF(H3919="credit",0,IF(AE3919="free",0,IF(AE3919="me",0,IF(G3919&gt;0,(VLOOKUP(A3919,'Discount Lookup'!J:K,2)*G3919),0))))</f>
        <v>0</v>
      </c>
      <c r="AJ3919" s="107" t="str">
        <f t="shared" ca="1" si="2902"/>
        <v/>
      </c>
      <c r="AK3919" s="714" t="str">
        <f t="shared" si="2903"/>
        <v/>
      </c>
      <c r="AL3919" s="714"/>
      <c r="AM3919" s="114" t="str">
        <f t="shared" si="2904"/>
        <v/>
      </c>
      <c r="AN3919" s="115"/>
      <c r="AO3919" s="116"/>
      <c r="AP3919" s="116"/>
      <c r="AQ3919" s="116"/>
      <c r="AR3919" s="116"/>
      <c r="AS3919" s="116"/>
      <c r="AT3919" s="116"/>
      <c r="AU3919" s="116"/>
      <c r="AV3919" s="78"/>
      <c r="AW3919" s="102"/>
      <c r="AX3919" s="78"/>
      <c r="AY3919" s="78"/>
      <c r="AZ3919" s="78"/>
      <c r="BA3919" s="78"/>
      <c r="BB3919" s="78"/>
      <c r="BC3919" s="78"/>
      <c r="BD3919" s="78"/>
      <c r="BE3919" s="465"/>
      <c r="BF3919" s="165" t="str">
        <f t="shared" si="2905"/>
        <v>https://www.google.com/search?tbm=isch&amp;q=7%20G4</v>
      </c>
      <c r="BG3919" s="165" t="str">
        <f t="shared" si="2906"/>
        <v>S</v>
      </c>
      <c r="BH3919" s="65"/>
      <c r="BI3919" s="65"/>
      <c r="BJ3919" s="65"/>
      <c r="BK3919" s="65"/>
      <c r="BL3919" s="99"/>
      <c r="BM3919" s="99"/>
      <c r="BN3919" s="99"/>
    </row>
    <row r="3920" spans="1:66" s="51" customFormat="1" ht="17.25" thickBot="1" x14ac:dyDescent="0.3">
      <c r="A3920" s="704" t="s">
        <v>5533</v>
      </c>
      <c r="B3920" s="642"/>
      <c r="C3920" s="710"/>
      <c r="D3920" s="643"/>
      <c r="E3920" s="643"/>
      <c r="F3920" s="644"/>
      <c r="G3920" s="645"/>
      <c r="H3920" s="646"/>
      <c r="I3920" s="647"/>
      <c r="J3920" s="648"/>
      <c r="K3920" s="649"/>
      <c r="L3920" s="650"/>
      <c r="M3920" s="650"/>
      <c r="N3920" s="644"/>
      <c r="O3920" s="644"/>
      <c r="P3920" s="644"/>
      <c r="Q3920" s="644"/>
      <c r="R3920" s="644"/>
      <c r="S3920" s="701" t="s">
        <v>5251</v>
      </c>
      <c r="T3920" s="102">
        <f t="shared" si="2894"/>
        <v>0</v>
      </c>
      <c r="U3920" s="78" t="str">
        <f>IF(NOT(ISNUMBER(G3920)), "", VLOOKUP(A3920,'Discount Lookup'!D:E,2,FALSE)*G3920)</f>
        <v/>
      </c>
      <c r="V3920" s="78" t="str">
        <f>IF(NOT(ISNUMBER(G3920)), "", VLOOKUP(A3920,'Discount Lookup'!G:H,2,FALSE)*G3920)</f>
        <v/>
      </c>
      <c r="W3920" s="102">
        <f t="shared" si="2895"/>
        <v>0</v>
      </c>
      <c r="X3920" s="102">
        <f t="shared" si="2896"/>
        <v>0</v>
      </c>
      <c r="Y3920" s="120" t="b">
        <f t="shared" si="2897"/>
        <v>0</v>
      </c>
      <c r="Z3920" s="117">
        <f t="shared" si="2898"/>
        <v>0</v>
      </c>
      <c r="AA3920" s="118"/>
      <c r="AB3920" s="118" t="str">
        <f t="shared" si="2899"/>
        <v/>
      </c>
      <c r="AC3920" s="712" t="str">
        <f>IF(AE3920="T2G","no charge",IF(AND(OR(PlanterYesMe="No",PlanterYesMe="N",PlanterYesMe="me"),H3920=""),"",IF(H3920="credit","NO install",IF(AND(K3920="",AE3920="me"),"EACH row",IF(AND(K3920="images",AE3920="me"),"EACH row",IF(D3920="","",IF(H3920="credit","",IF(AE3920="free","re-planting",IF(AE3920="me","   not ELP, by",IF(AND(OR(PlanterYesMe="Yes",PlanterYesMe="Y"),G3920&gt;0),(VLOOKUP(A3920,'Discount Lookup'!J:K,2)*G3920*(1-PlanterDiscount)*(1+PlanterDifficultyPercentage)),IF(AE3920="ELP",(VLOOKUP(A3920,'Discount Lookup'!J:K,2)*G3920*(1-PlanterDiscount)*(1+PlanterDifficultyPercentage)),IF(AE3920="free","re-planting",IF(G3920=0,"",IF(PlanterYesMe="",IF(AE3920="me","   not ELP, by",IF(AE3920="",IF(G3920&gt;0,(VLOOKUP(A3920,'Discount Lookup'!J:K,2)*G3920*(1-PlanterDiscount)*(1+PlanterDifficultyPercentage)),""),"")),"   not ELP, by"))))))))))))))</f>
        <v/>
      </c>
      <c r="AD3920" s="712"/>
      <c r="AE3920" s="513" t="str">
        <f t="shared" si="2900"/>
        <v/>
      </c>
      <c r="AF3920" s="713" t="str">
        <f t="shared" si="2901"/>
        <v/>
      </c>
      <c r="AG3920" s="713"/>
      <c r="AH3920" s="713"/>
      <c r="AI3920" s="112">
        <f>IF(H3920="credit",0,IF(AE3920="free",0,IF(AE3920="me",0,IF(G3920&gt;0,(VLOOKUP(A3920,'Discount Lookup'!J:K,2)*G3920),0))))</f>
        <v>0</v>
      </c>
      <c r="AJ3920" s="107" t="str">
        <f t="shared" ca="1" si="2902"/>
        <v/>
      </c>
      <c r="AK3920" s="714" t="str">
        <f t="shared" si="2903"/>
        <v/>
      </c>
      <c r="AL3920" s="714"/>
      <c r="AM3920" s="114" t="str">
        <f t="shared" si="2904"/>
        <v/>
      </c>
      <c r="AN3920" s="115"/>
      <c r="AO3920" s="116"/>
      <c r="AP3920" s="116"/>
      <c r="AQ3920" s="116"/>
      <c r="AR3920" s="116"/>
      <c r="AS3920" s="116"/>
      <c r="AT3920" s="116"/>
      <c r="AU3920" s="116"/>
      <c r="AV3920" s="78"/>
      <c r="AW3920" s="102"/>
      <c r="AX3920" s="78"/>
      <c r="AY3920" s="78"/>
      <c r="AZ3920" s="78"/>
      <c r="BA3920" s="78"/>
      <c r="BB3920" s="78"/>
      <c r="BC3920" s="78"/>
      <c r="BD3920" s="78"/>
      <c r="BE3920" s="465"/>
      <c r="BF3920" s="165" t="str">
        <f t="shared" si="2905"/>
        <v>https://www.google.com/search?tbm=isch&amp;q=moist%20sites%F0%9F%92%A7GOOD%2C%20Baby%20Blue%20named%20for%20striking%20Silvery-Blue%20new%20growth%2C%20turning%20more%20Blue-Green.%20Fragrant%2C%20bell-shaped%20spring%20blooms%20</v>
      </c>
      <c r="BG3920" s="165" t="str">
        <f t="shared" si="2906"/>
        <v>m</v>
      </c>
      <c r="BH3920" s="65"/>
      <c r="BI3920" s="65"/>
      <c r="BJ3920" s="65"/>
      <c r="BK3920" s="65"/>
      <c r="BL3920" s="99"/>
      <c r="BM3920" s="99"/>
      <c r="BN3920" s="99"/>
    </row>
    <row r="3921" spans="1:66" s="51" customFormat="1" ht="18" x14ac:dyDescent="0.25">
      <c r="A3921" s="623" t="s">
        <v>4252</v>
      </c>
      <c r="B3921" s="624"/>
      <c r="C3921" s="709"/>
      <c r="D3921" s="625" t="s">
        <v>4253</v>
      </c>
      <c r="E3921" s="626"/>
      <c r="F3921" s="626"/>
      <c r="G3921" s="626"/>
      <c r="H3921" s="622" t="s">
        <v>1506</v>
      </c>
      <c r="I3921" s="627" t="s">
        <v>349</v>
      </c>
      <c r="J3921" s="628"/>
      <c r="K3921" s="628"/>
      <c r="L3921" s="629"/>
      <c r="M3921" s="700" t="s">
        <v>5249</v>
      </c>
      <c r="N3921" s="693" t="str">
        <f>IF(AND(ISTEXT($A3921), ISERROR($A3921+0)), HYPERLINK($BF3921, "Images"), "")</f>
        <v>Images</v>
      </c>
      <c r="O3921" s="695" t="s">
        <v>5244</v>
      </c>
      <c r="P3921" s="630"/>
      <c r="Q3921" s="631"/>
      <c r="R3921" s="632"/>
      <c r="S3921" s="633"/>
      <c r="T3921" s="102">
        <f t="shared" si="2894"/>
        <v>0</v>
      </c>
      <c r="U3921" s="78" t="str">
        <f>IF(NOT(ISNUMBER(G3921)), "", VLOOKUP(A3921,'Discount Lookup'!D:E,2,FALSE)*G3921)</f>
        <v/>
      </c>
      <c r="V3921" s="78" t="str">
        <f>IF(NOT(ISNUMBER(G3921)), "", VLOOKUP(A3921,'Discount Lookup'!G:H,2,FALSE)*G3921)</f>
        <v/>
      </c>
      <c r="W3921" s="102">
        <f t="shared" si="2895"/>
        <v>0</v>
      </c>
      <c r="X3921" s="102" t="str">
        <f t="shared" si="2896"/>
        <v>White bloom</v>
      </c>
      <c r="Y3921" s="120" t="b">
        <f t="shared" si="2897"/>
        <v>0</v>
      </c>
      <c r="Z3921" s="117">
        <f t="shared" si="2898"/>
        <v>0</v>
      </c>
      <c r="AA3921" s="118"/>
      <c r="AB3921" s="118" t="str">
        <f t="shared" si="2899"/>
        <v/>
      </c>
      <c r="AC3921" s="712" t="str">
        <f>IF(AE3921="T2G","no charge",IF(AND(OR(PlanterYesMe="No",PlanterYesMe="N",PlanterYesMe="me"),H3921=""),"",IF(H3921="credit","NO install",IF(AND(K3921="",AE3921="me"),"EACH row",IF(AND(K3921="images",AE3921="me"),"EACH row",IF(D3921="","",IF(H3921="credit","",IF(AE3921="free","re-planting",IF(AE3921="me","   not ELP, by",IF(AND(OR(PlanterYesMe="Yes",PlanterYesMe="Y"),G3921&gt;0),(VLOOKUP(A3921,'Discount Lookup'!J:K,2)*G3921*(1-PlanterDiscount)*(1+PlanterDifficultyPercentage)),IF(AE3921="ELP",(VLOOKUP(A3921,'Discount Lookup'!J:K,2)*G3921*(1-PlanterDiscount)*(1+PlanterDifficultyPercentage)),IF(AE3921="free","re-planting",IF(G3921=0,"",IF(PlanterYesMe="",IF(AE3921="me","   not ELP, by",IF(AE3921="",IF(G3921&gt;0,(VLOOKUP(A3921,'Discount Lookup'!J:K,2)*G3921*(1-PlanterDiscount)*(1+PlanterDifficultyPercentage)),""),"")),"   not ELP, by"))))))))))))))</f>
        <v/>
      </c>
      <c r="AD3921" s="712"/>
      <c r="AE3921" s="513" t="str">
        <f t="shared" si="2900"/>
        <v/>
      </c>
      <c r="AF3921" s="713" t="str">
        <f t="shared" si="2901"/>
        <v/>
      </c>
      <c r="AG3921" s="713"/>
      <c r="AH3921" s="713"/>
      <c r="AI3921" s="112">
        <f>IF(H3921="credit",0,IF(AE3921="free",0,IF(AE3921="me",0,IF(G3921&gt;0,(VLOOKUP(A3921,'Discount Lookup'!J:K,2)*G3921),0))))</f>
        <v>0</v>
      </c>
      <c r="AJ3921" s="107" t="str">
        <f t="shared" ca="1" si="2902"/>
        <v/>
      </c>
      <c r="AK3921" s="714" t="str">
        <f t="shared" si="2903"/>
        <v/>
      </c>
      <c r="AL3921" s="714"/>
      <c r="AM3921" s="114" t="str">
        <f t="shared" si="2904"/>
        <v/>
      </c>
      <c r="AN3921" s="115"/>
      <c r="AO3921" s="116"/>
      <c r="AP3921" s="116"/>
      <c r="AQ3921" s="116"/>
      <c r="AR3921" s="116"/>
      <c r="AS3921" s="116"/>
      <c r="AT3921" s="116"/>
      <c r="AU3921" s="116"/>
      <c r="AV3921" s="78"/>
      <c r="AW3921" s="102"/>
      <c r="AX3921" s="78"/>
      <c r="AY3921" s="78"/>
      <c r="AZ3921" s="78"/>
      <c r="BA3921" s="78"/>
      <c r="BB3921" s="78"/>
      <c r="BC3921" s="78"/>
      <c r="BD3921" s="78"/>
      <c r="BE3921" s="465"/>
      <c r="BF3921" s="165" t="str">
        <f t="shared" si="2905"/>
        <v>https://www.google.com/search?tbm=isch&amp;q=Styrax%20japonicus%20Japanese%20Snowbell</v>
      </c>
      <c r="BG3921" s="165" t="str">
        <f t="shared" si="2906"/>
        <v>S</v>
      </c>
      <c r="BH3921" s="65"/>
      <c r="BI3921" s="65"/>
      <c r="BJ3921" s="65"/>
      <c r="BK3921" s="65"/>
      <c r="BL3921" s="99"/>
      <c r="BM3921" s="99"/>
      <c r="BN3921" s="99"/>
    </row>
    <row r="3922" spans="1:66" s="51" customFormat="1" ht="27" x14ac:dyDescent="0.25">
      <c r="A3922" s="634">
        <v>7</v>
      </c>
      <c r="B3922" s="635" t="s">
        <v>291</v>
      </c>
      <c r="C3922" s="636" t="s">
        <v>4254</v>
      </c>
      <c r="D3922" s="637" t="s">
        <v>299</v>
      </c>
      <c r="E3922" s="638">
        <v>95.95</v>
      </c>
      <c r="F3922" s="639" t="s">
        <v>292</v>
      </c>
      <c r="G3922" s="484">
        <v>0</v>
      </c>
      <c r="H3922" s="691" t="str">
        <f>IF(G3922=0,"",IF(F3922="Buy",IF(G3922=1,"plant","plants"),IF(F3922&gt;0.01,"warranty","Error")))</f>
        <v/>
      </c>
      <c r="I3922" s="640">
        <f>IF(H3922="free",0,IF(H3922="credit",((E3922*(F3922))*G3922*-1),IF(F3922="Buy",(E3922*G3922),((E3922*(1-F3922))*G3922))))</f>
        <v>0</v>
      </c>
      <c r="J3922" s="640">
        <f>IF(H3922="warranty",0,(I3922*(_xlfn.SINGLE(SalesTaxPercentage))))</f>
        <v>0</v>
      </c>
      <c r="K3922" s="716">
        <f t="shared" ref="K3922" si="2929">I3922+J3922</f>
        <v>0</v>
      </c>
      <c r="L3922" s="716"/>
      <c r="M3922" s="689" t="str">
        <f ca="1">IF(AND(G3922&gt;0,E3922=0),"WARNING - no PRICE inserted",IF(H3922="free","FREE ~ no charge this plant",IF(H3922="credit",CONCATENATE("-$",ROUND(K3922*(1-_xlfn.SINGLE(T2GDiscount))*-1,2)," CREDIT after discount"),IF(_xlfn.SINGLE(T2GDiscount)=0,"",IF(G3922=0,"",IF(F3922="Buy",CONCATENATE("$",ROUND(K3922*(1-_xlfn.SINGLE(T2GDiscount)),2)," with ",(_xlfn.SINGLE(T2GDiscount)*100),"% discount"),CONCATENATE("$",ROUND(K3922*(1-_xlfn.SINGLE(T2GDiscount)),2)," with ",((_xlfn.SINGLE(T2GDiscount)*100+F3922*100)-(_xlfn.SINGLE(T2GDiscount)*100*F3922)),IF(F3922&gt;0,"% discounts",IF(_xlfn.SINGLE(NoWarrantyDiscount)&gt;0,"% discounts","% discount")))))))))</f>
        <v/>
      </c>
      <c r="N3922" s="690"/>
      <c r="O3922" s="486"/>
      <c r="P3922" s="486"/>
      <c r="Q3922" s="486"/>
      <c r="R3922" s="486"/>
      <c r="S3922" s="486"/>
      <c r="T3922" s="102">
        <f t="shared" si="2894"/>
        <v>0</v>
      </c>
      <c r="U3922" s="78">
        <f>IF(NOT(ISNUMBER(G3922)), "", VLOOKUP(A3922,'Discount Lookup'!D:E,2,FALSE)*G3922)</f>
        <v>0</v>
      </c>
      <c r="V3922" s="78">
        <f>IF(NOT(ISNUMBER(G3922)), "", VLOOKUP(A3922,'Discount Lookup'!G:H,2,FALSE)*G3922)</f>
        <v>0</v>
      </c>
      <c r="W3922" s="102">
        <f t="shared" si="2895"/>
        <v>0</v>
      </c>
      <c r="X3922" s="102">
        <f t="shared" si="2896"/>
        <v>0</v>
      </c>
      <c r="Y3922" s="120" t="b">
        <f t="shared" si="2897"/>
        <v>0</v>
      </c>
      <c r="Z3922" s="117">
        <f t="shared" si="2898"/>
        <v>0</v>
      </c>
      <c r="AA3922" s="118"/>
      <c r="AB3922" s="118" t="str">
        <f t="shared" si="2899"/>
        <v/>
      </c>
      <c r="AC3922" s="712" t="str">
        <f>IF(AE3922="T2G","no charge",IF(AND(OR(PlanterYesMe="No",PlanterYesMe="N",PlanterYesMe="me"),H3922=""),"",IF(H3922="credit","NO install",IF(AND(K3922="",AE3922="me"),"EACH row",IF(AND(K3922="images",AE3922="me"),"EACH row",IF(D3922="","",IF(H3922="credit","",IF(AE3922="free","re-planting",IF(AE3922="me","   not ELP, by",IF(AND(OR(PlanterYesMe="Yes",PlanterYesMe="Y"),G3922&gt;0),(VLOOKUP(A3922,'Discount Lookup'!J:K,2)*G3922*(1-PlanterDiscount)*(1+PlanterDifficultyPercentage)),IF(AE3922="ELP",(VLOOKUP(A3922,'Discount Lookup'!J:K,2)*G3922*(1-PlanterDiscount)*(1+PlanterDifficultyPercentage)),IF(AE3922="free","re-planting",IF(G3922=0,"",IF(PlanterYesMe="",IF(AE3922="me","   not ELP, by",IF(AE3922="",IF(G3922&gt;0,(VLOOKUP(A3922,'Discount Lookup'!J:K,2)*G3922*(1-PlanterDiscount)*(1+PlanterDifficultyPercentage)),""),"")),"   not ELP, by"))))))))))))))</f>
        <v/>
      </c>
      <c r="AD3922" s="712"/>
      <c r="AE3922" s="513" t="str">
        <f t="shared" si="2900"/>
        <v/>
      </c>
      <c r="AF3922" s="713" t="str">
        <f t="shared" si="2901"/>
        <v/>
      </c>
      <c r="AG3922" s="713"/>
      <c r="AH3922" s="713"/>
      <c r="AI3922" s="112">
        <f>IF(H3922="credit",0,IF(AE3922="free",0,IF(AE3922="me",0,IF(G3922&gt;0,(VLOOKUP(A3922,'Discount Lookup'!J:K,2)*G3922),0))))</f>
        <v>0</v>
      </c>
      <c r="AJ3922" s="107" t="str">
        <f t="shared" ca="1" si="2902"/>
        <v/>
      </c>
      <c r="AK3922" s="714" t="str">
        <f t="shared" si="2903"/>
        <v/>
      </c>
      <c r="AL3922" s="714"/>
      <c r="AM3922" s="114" t="str">
        <f t="shared" si="2904"/>
        <v/>
      </c>
      <c r="AN3922" s="115"/>
      <c r="AO3922" s="116"/>
      <c r="AP3922" s="116"/>
      <c r="AQ3922" s="116"/>
      <c r="AR3922" s="116"/>
      <c r="AS3922" s="116"/>
      <c r="AT3922" s="116"/>
      <c r="AU3922" s="116"/>
      <c r="AV3922" s="78"/>
      <c r="AW3922" s="102"/>
      <c r="AX3922" s="78"/>
      <c r="AY3922" s="78"/>
      <c r="AZ3922" s="78"/>
      <c r="BA3922" s="78"/>
      <c r="BB3922" s="78"/>
      <c r="BC3922" s="78"/>
      <c r="BD3922" s="78"/>
      <c r="BE3922" s="465"/>
      <c r="BF3922" s="165" t="str">
        <f t="shared" si="2905"/>
        <v>https://www.google.com/search?tbm=isch&amp;q=7%20G4</v>
      </c>
      <c r="BG3922" s="165" t="str">
        <f t="shared" si="2906"/>
        <v>S</v>
      </c>
      <c r="BH3922" s="65"/>
      <c r="BI3922" s="65"/>
      <c r="BJ3922" s="65"/>
      <c r="BK3922" s="65"/>
      <c r="BL3922" s="99"/>
      <c r="BM3922" s="99"/>
      <c r="BN3922" s="99"/>
    </row>
    <row r="3923" spans="1:66" s="51" customFormat="1" ht="15.75" x14ac:dyDescent="0.25">
      <c r="A3923" s="634">
        <v>7</v>
      </c>
      <c r="B3923" s="635" t="s">
        <v>291</v>
      </c>
      <c r="C3923" s="636" t="s">
        <v>1253</v>
      </c>
      <c r="D3923" s="637" t="s">
        <v>329</v>
      </c>
      <c r="E3923" s="638">
        <v>113.95</v>
      </c>
      <c r="F3923" s="639" t="s">
        <v>292</v>
      </c>
      <c r="G3923" s="484">
        <v>0</v>
      </c>
      <c r="H3923" s="691" t="str">
        <f>IF(G3923=0,"",IF(F3923="Buy",IF(G3923=1,"plant","plants"),IF(F3923&gt;0.01,"warranty","Error")))</f>
        <v/>
      </c>
      <c r="I3923" s="640">
        <f>IF(H3923="free",0,IF(H3923="credit",((E3923*(F3923))*G3923*-1),IF(F3923="Buy",(E3923*G3923),((E3923*(1-F3923))*G3923))))</f>
        <v>0</v>
      </c>
      <c r="J3923" s="640">
        <f>IF(H3923="warranty",0,(I3923*(_xlfn.SINGLE(SalesTaxPercentage))))</f>
        <v>0</v>
      </c>
      <c r="K3923" s="716">
        <f t="shared" ref="K3923" si="2930">I3923+J3923</f>
        <v>0</v>
      </c>
      <c r="L3923" s="716"/>
      <c r="M3923" s="689" t="str">
        <f ca="1">IF(AND(G3923&gt;0,E3923=0),"WARNING - no PRICE inserted",IF(H3923="free","FREE ~ no charge this plant",IF(H3923="credit",CONCATENATE("-$",ROUND(K3923*(1-_xlfn.SINGLE(T2GDiscount))*-1,2)," CREDIT after discount"),IF(_xlfn.SINGLE(T2GDiscount)=0,"",IF(G3923=0,"",IF(F3923="Buy",CONCATENATE("$",ROUND(K3923*(1-_xlfn.SINGLE(T2GDiscount)),2)," with ",(_xlfn.SINGLE(T2GDiscount)*100),"% discount"),CONCATENATE("$",ROUND(K3923*(1-_xlfn.SINGLE(T2GDiscount)),2)," with ",((_xlfn.SINGLE(T2GDiscount)*100+F3923*100)-(_xlfn.SINGLE(T2GDiscount)*100*F3923)),IF(F3923&gt;0,"% discounts",IF(_xlfn.SINGLE(NoWarrantyDiscount)&gt;0,"% discounts","% discount")))))))))</f>
        <v/>
      </c>
      <c r="N3923" s="690"/>
      <c r="O3923" s="486"/>
      <c r="P3923" s="486"/>
      <c r="Q3923" s="486"/>
      <c r="R3923" s="486"/>
      <c r="S3923" s="486"/>
      <c r="T3923" s="102">
        <f t="shared" si="2894"/>
        <v>0</v>
      </c>
      <c r="U3923" s="78">
        <f>IF(NOT(ISNUMBER(G3923)), "", VLOOKUP(A3923,'Discount Lookup'!D:E,2,FALSE)*G3923)</f>
        <v>0</v>
      </c>
      <c r="V3923" s="78">
        <f>IF(NOT(ISNUMBER(G3923)), "", VLOOKUP(A3923,'Discount Lookup'!G:H,2,FALSE)*G3923)</f>
        <v>0</v>
      </c>
      <c r="W3923" s="102">
        <f t="shared" si="2895"/>
        <v>0</v>
      </c>
      <c r="X3923" s="102">
        <f t="shared" si="2896"/>
        <v>0</v>
      </c>
      <c r="Y3923" s="120" t="b">
        <f t="shared" si="2897"/>
        <v>0</v>
      </c>
      <c r="Z3923" s="117">
        <f t="shared" si="2898"/>
        <v>0</v>
      </c>
      <c r="AA3923" s="118"/>
      <c r="AB3923" s="118" t="str">
        <f t="shared" si="2899"/>
        <v/>
      </c>
      <c r="AC3923" s="712" t="str">
        <f>IF(AE3923="T2G","no charge",IF(AND(OR(PlanterYesMe="No",PlanterYesMe="N",PlanterYesMe="me"),H3923=""),"",IF(H3923="credit","NO install",IF(AND(K3923="",AE3923="me"),"EACH row",IF(AND(K3923="images",AE3923="me"),"EACH row",IF(D3923="","",IF(H3923="credit","",IF(AE3923="free","re-planting",IF(AE3923="me","   not ELP, by",IF(AND(OR(PlanterYesMe="Yes",PlanterYesMe="Y"),G3923&gt;0),(VLOOKUP(A3923,'Discount Lookup'!J:K,2)*G3923*(1-PlanterDiscount)*(1+PlanterDifficultyPercentage)),IF(AE3923="ELP",(VLOOKUP(A3923,'Discount Lookup'!J:K,2)*G3923*(1-PlanterDiscount)*(1+PlanterDifficultyPercentage)),IF(AE3923="free","re-planting",IF(G3923=0,"",IF(PlanterYesMe="",IF(AE3923="me","   not ELP, by",IF(AE3923="",IF(G3923&gt;0,(VLOOKUP(A3923,'Discount Lookup'!J:K,2)*G3923*(1-PlanterDiscount)*(1+PlanterDifficultyPercentage)),""),"")),"   not ELP, by"))))))))))))))</f>
        <v/>
      </c>
      <c r="AD3923" s="712"/>
      <c r="AE3923" s="513" t="str">
        <f t="shared" si="2900"/>
        <v/>
      </c>
      <c r="AF3923" s="713" t="str">
        <f t="shared" si="2901"/>
        <v/>
      </c>
      <c r="AG3923" s="713"/>
      <c r="AH3923" s="713"/>
      <c r="AI3923" s="112">
        <f>IF(H3923="credit",0,IF(AE3923="free",0,IF(AE3923="me",0,IF(G3923&gt;0,(VLOOKUP(A3923,'Discount Lookup'!J:K,2)*G3923),0))))</f>
        <v>0</v>
      </c>
      <c r="AJ3923" s="107" t="str">
        <f t="shared" ca="1" si="2902"/>
        <v/>
      </c>
      <c r="AK3923" s="714" t="str">
        <f t="shared" si="2903"/>
        <v/>
      </c>
      <c r="AL3923" s="714"/>
      <c r="AM3923" s="114" t="str">
        <f t="shared" si="2904"/>
        <v/>
      </c>
      <c r="AN3923" s="115"/>
      <c r="AO3923" s="116"/>
      <c r="AP3923" s="116"/>
      <c r="AQ3923" s="116"/>
      <c r="AR3923" s="116"/>
      <c r="AS3923" s="116"/>
      <c r="AT3923" s="116"/>
      <c r="AU3923" s="116"/>
      <c r="AV3923" s="78"/>
      <c r="AW3923" s="102"/>
      <c r="AX3923" s="78"/>
      <c r="AY3923" s="78"/>
      <c r="AZ3923" s="78"/>
      <c r="BA3923" s="78"/>
      <c r="BB3923" s="78"/>
      <c r="BC3923" s="78"/>
      <c r="BD3923" s="78"/>
      <c r="BE3923" s="465"/>
      <c r="BF3923" s="165" t="str">
        <f t="shared" si="2905"/>
        <v>https://www.google.com/search?tbm=isch&amp;q=7%20G2</v>
      </c>
      <c r="BG3923" s="165" t="str">
        <f t="shared" si="2906"/>
        <v>S</v>
      </c>
      <c r="BH3923" s="65"/>
      <c r="BI3923" s="65"/>
      <c r="BJ3923" s="65"/>
      <c r="BK3923" s="65"/>
      <c r="BL3923" s="99"/>
      <c r="BM3923" s="99"/>
      <c r="BN3923" s="99"/>
    </row>
    <row r="3924" spans="1:66" s="51" customFormat="1" ht="15.75" x14ac:dyDescent="0.25">
      <c r="A3924" s="634">
        <v>15</v>
      </c>
      <c r="B3924" s="635" t="s">
        <v>291</v>
      </c>
      <c r="C3924" s="636" t="s">
        <v>4255</v>
      </c>
      <c r="D3924" s="637" t="s">
        <v>299</v>
      </c>
      <c r="E3924" s="638">
        <v>173.95</v>
      </c>
      <c r="F3924" s="639" t="s">
        <v>292</v>
      </c>
      <c r="G3924" s="484">
        <v>0</v>
      </c>
      <c r="H3924" s="691" t="str">
        <f>IF(G3924=0,"",IF(F3924="Buy",IF(G3924=1,"plant","plants"),IF(F3924&gt;0.01,"warranty","Error")))</f>
        <v/>
      </c>
      <c r="I3924" s="640">
        <f>IF(H3924="free",0,IF(H3924="credit",((E3924*(F3924))*G3924*-1),IF(F3924="Buy",(E3924*G3924),((E3924*(1-F3924))*G3924))))</f>
        <v>0</v>
      </c>
      <c r="J3924" s="640">
        <f>IF(H3924="warranty",0,(I3924*(_xlfn.SINGLE(SalesTaxPercentage))))</f>
        <v>0</v>
      </c>
      <c r="K3924" s="716">
        <f t="shared" ref="K3924" si="2931">I3924+J3924</f>
        <v>0</v>
      </c>
      <c r="L3924" s="716"/>
      <c r="M3924" s="689" t="str">
        <f ca="1">IF(AND(G3924&gt;0,E3924=0),"WARNING - no PRICE inserted",IF(H3924="free","FREE ~ no charge this plant",IF(H3924="credit",CONCATENATE("-$",ROUND(K3924*(1-_xlfn.SINGLE(T2GDiscount))*-1,2)," CREDIT after discount"),IF(_xlfn.SINGLE(T2GDiscount)=0,"",IF(G3924=0,"",IF(F3924="Buy",CONCATENATE("$",ROUND(K3924*(1-_xlfn.SINGLE(T2GDiscount)),2)," with ",(_xlfn.SINGLE(T2GDiscount)*100),"% discount"),CONCATENATE("$",ROUND(K3924*(1-_xlfn.SINGLE(T2GDiscount)),2)," with ",((_xlfn.SINGLE(T2GDiscount)*100+F3924*100)-(_xlfn.SINGLE(T2GDiscount)*100*F3924)),IF(F3924&gt;0,"% discounts",IF(_xlfn.SINGLE(NoWarrantyDiscount)&gt;0,"% discounts","% discount")))))))))</f>
        <v/>
      </c>
      <c r="N3924" s="690"/>
      <c r="O3924" s="486"/>
      <c r="P3924" s="486"/>
      <c r="Q3924" s="486"/>
      <c r="R3924" s="486"/>
      <c r="S3924" s="486"/>
      <c r="T3924" s="102">
        <f t="shared" ref="T3924:T3987" si="2932">E3924*G3924</f>
        <v>0</v>
      </c>
      <c r="U3924" s="78">
        <f>IF(NOT(ISNUMBER(G3924)), "", VLOOKUP(A3924,'Discount Lookup'!D:E,2,FALSE)*G3924)</f>
        <v>0</v>
      </c>
      <c r="V3924" s="78">
        <f>IF(NOT(ISNUMBER(G3924)), "", VLOOKUP(A3924,'Discount Lookup'!G:H,2,FALSE)*G3924)</f>
        <v>0</v>
      </c>
      <c r="W3924" s="102">
        <f t="shared" ref="W3924:W3987" si="2933">IF(H3924="credit",0,E3924*(SalesTaxPercentage)*G3924)</f>
        <v>0</v>
      </c>
      <c r="X3924" s="102">
        <f t="shared" ref="X3924:X3987" si="2934">I3924</f>
        <v>0</v>
      </c>
      <c r="Y3924" s="120" t="b">
        <f t="shared" ref="Y3924:Y3987" si="2935">IF(AE3924="T2G",0,IF(H3924="credit",0,IF(G3924&gt;0,IF(AE3924="me","",G3924))))</f>
        <v>0</v>
      </c>
      <c r="Z3924" s="117">
        <f t="shared" ref="Z3924:Z3987" si="2936">IF(H3924="credit",G3924,0)</f>
        <v>0</v>
      </c>
      <c r="AA3924" s="118"/>
      <c r="AB3924" s="118" t="str">
        <f t="shared" ref="AB3924:AB3987" si="2937">IF(AE3924="T2G","by Trees2Go",IF(H3924="credit","CREDIT only ~",IF(AND(K3924="",AE3924=OR(PlanterYesMe="No",PlanterYesMe="N",PlanterYesMe="me")),"not THIS line⇨",IF(AND(K3924="images",AE3924="me"),"not THIS line⇨",IF(H3924="credit","",IF(G3924=0,"",IF(AE3924="me","",IF(OR(PlanterYesMe="No",PlanterYesMe="N",PlanterYesMe="me"),"",IF(AE3924="free","warranty",IF(OR(PlanterYesMe="yes",PlanterYesMe="y"),"Edison install:","to install:"))))))))))</f>
        <v/>
      </c>
      <c r="AC3924" s="712" t="str">
        <f>IF(AE3924="T2G","no charge",IF(AND(OR(PlanterYesMe="No",PlanterYesMe="N",PlanterYesMe="me"),H3924=""),"",IF(H3924="credit","NO install",IF(AND(K3924="",AE3924="me"),"EACH row",IF(AND(K3924="images",AE3924="me"),"EACH row",IF(D3924="","",IF(H3924="credit","",IF(AE3924="free","re-planting",IF(AE3924="me","   not ELP, by",IF(AND(OR(PlanterYesMe="Yes",PlanterYesMe="Y"),G3924&gt;0),(VLOOKUP(A3924,'Discount Lookup'!J:K,2)*G3924*(1-PlanterDiscount)*(1+PlanterDifficultyPercentage)),IF(AE3924="ELP",(VLOOKUP(A3924,'Discount Lookup'!J:K,2)*G3924*(1-PlanterDiscount)*(1+PlanterDifficultyPercentage)),IF(AE3924="free","re-planting",IF(G3924=0,"",IF(PlanterYesMe="",IF(AE3924="me","   not ELP, by",IF(AE3924="",IF(G3924&gt;0,(VLOOKUP(A3924,'Discount Lookup'!J:K,2)*G3924*(1-PlanterDiscount)*(1+PlanterDifficultyPercentage)),""),"")),"   not ELP, by"))))))))))))))</f>
        <v/>
      </c>
      <c r="AD3924" s="712"/>
      <c r="AE3924" s="513" t="str">
        <f t="shared" ref="AE3924:AE3987" si="2938">IF(H3924="credit","",IF(G3924=0,"",IF(OR(PlanterYesMe="No",PlanterYesMe="N",PlanterYesMe="me"),"me",IF(H3924="warranty","free",IF(OR(PlanterYesMe="yes",PlanterYesMe="y"),"ELP","")))))</f>
        <v/>
      </c>
      <c r="AF3924" s="713" t="str">
        <f t="shared" ref="AF3924:AF3987" si="2939">IF(OR(PlanterYesMe="No",PlanterYesMe="N",PlanterYesMe="me"),"",IF(H3924="credit","",IF(G3924&gt;0,(CONCATENATE((G3924)," quantity, ",(A3924)," ",B3924)),"")))</f>
        <v/>
      </c>
      <c r="AG3924" s="713"/>
      <c r="AH3924" s="713"/>
      <c r="AI3924" s="112">
        <f>IF(H3924="credit",0,IF(AE3924="free",0,IF(AE3924="me",0,IF(G3924&gt;0,(VLOOKUP(A3924,'Discount Lookup'!J:K,2)*G3924),0))))</f>
        <v>0</v>
      </c>
      <c r="AJ3924" s="107" t="str">
        <f t="shared" ref="AJ3924:AJ3987" ca="1" si="2940">IF(AND(ISREF(H3924),H3924="credit"),"",IF(AND(AND(OFFSET(G3924,0,0)=0,OFFSET(G3924,1,0)&gt;0,ISNUMBER(OFFSET(AC3924,1,0)),OFFSET(AC3924,1,0)&gt;0),OR(PlanterYesMe="yes",PlanterYesMe="y")),"T2G+ELP=",IF(AND(OFFSET(G3924,0,0)=0,OFFSET(G3924,1,0)&gt;0,ISNUMBER(OFFSET(AC3924,1,0)),OFFSET(AC3924,1,0)&gt;0),"if T2G+ELP=",IF(AND(OFFSET(G3924,0,0)=0,OFFSET(G3924,1,0)&gt;0),"T2G Subtotal",IF(H3924="credit","",IF(G3924=0,"",IF(AE3924="free",(K3924*(1-T2GDiscount)),IF(OR(PlanterYesMe="No",PlanterYesMe="N",PlanterYesMe="me"),(K3924*(1-T2GDiscount)),IF(OR(AE3924="me",AE3924="T2G"),(K3924*(1-T2GDiscount)),(K3924*(1-T2GDiscount))+AC3924)))))))))</f>
        <v/>
      </c>
      <c r="AK3924" s="714" t="str">
        <f t="shared" ref="AK3924:AK3987" si="2941">IF(H3924="credit","",IF(G3924=0,"",IF(OR(AE3924="me",AE3924="T2G"),"  delivery-only",IF(OR(PlanterYesMe="No",PlanterYesMe="N",PlanterYesMe="me"),"  delivery-only",CONCATENATE(" $",ROUND(AJ3924/G3924,2)," each")))))</f>
        <v/>
      </c>
      <c r="AL3924" s="714"/>
      <c r="AM3924" s="114" t="str">
        <f t="shared" ref="AM3924:AM3987" si="2942">IF(H3924="credit","",IF(AE3924="free","      ~ discounts included, no tax or planting fee applies ~",IF(G3924=0,"",IF(OR(PlanterYesMe="No",PlanterYesMe="N",PlanterYesMe="me"),CONCATENATE(" $",ROUND(AJ3924/G3924,2)," per plant, with tax &amp; discount"),IF(OR(AE3924="me",AE3924="T2G"),CONCATENATE(" $",ROUND(AJ3924/G3924,2)," per plant, with tax &amp; discount"),CONCATENATE("= $",ROUND((K3924*(1-T2GDiscount))/G3924,2)," per plant + $",AC3924/G3924,(" per planting      ~ includes tax &amp; discounts ~")))))))</f>
        <v/>
      </c>
      <c r="AN3924" s="115"/>
      <c r="AO3924" s="116"/>
      <c r="AP3924" s="116"/>
      <c r="AQ3924" s="116"/>
      <c r="AR3924" s="116"/>
      <c r="AS3924" s="116"/>
      <c r="AT3924" s="116"/>
      <c r="AU3924" s="116"/>
      <c r="AV3924" s="78"/>
      <c r="AW3924" s="102"/>
      <c r="AX3924" s="78"/>
      <c r="AY3924" s="78"/>
      <c r="AZ3924" s="78"/>
      <c r="BA3924" s="78"/>
      <c r="BB3924" s="78"/>
      <c r="BC3924" s="78"/>
      <c r="BD3924" s="78"/>
      <c r="BE3924" s="465"/>
      <c r="BF3924" s="165" t="str">
        <f t="shared" ref="BF3924:BF3987" si="2943">"https://www.google.com/search?tbm=isch&amp;q=" &amp; _xlfn.ENCODEURL($A3924 &amp; " " &amp; $D3924)</f>
        <v>https://www.google.com/search?tbm=isch&amp;q=15%20G4</v>
      </c>
      <c r="BG3924" s="165" t="str">
        <f t="shared" ref="BG3924:BG3987" si="2944">IF(ISTEXT(A3924),LEFT(A3924,1),BG3923)</f>
        <v>S</v>
      </c>
      <c r="BH3924" s="65"/>
      <c r="BI3924" s="65"/>
      <c r="BJ3924" s="65"/>
      <c r="BK3924" s="65"/>
      <c r="BL3924" s="99"/>
      <c r="BM3924" s="99"/>
      <c r="BN3924" s="99"/>
    </row>
    <row r="3925" spans="1:66" s="51" customFormat="1" ht="15.75" x14ac:dyDescent="0.25">
      <c r="A3925" s="634">
        <v>15</v>
      </c>
      <c r="B3925" s="635" t="s">
        <v>291</v>
      </c>
      <c r="C3925" s="636" t="s">
        <v>4256</v>
      </c>
      <c r="D3925" s="637" t="s">
        <v>293</v>
      </c>
      <c r="E3925" s="638">
        <v>269.95</v>
      </c>
      <c r="F3925" s="639" t="s">
        <v>292</v>
      </c>
      <c r="G3925" s="484">
        <v>0</v>
      </c>
      <c r="H3925" s="691" t="str">
        <f>IF(G3925=0,"",IF(F3925="Buy",IF(G3925=1,"plant","plants"),IF(F3925&gt;0.01,"warranty","Error")))</f>
        <v/>
      </c>
      <c r="I3925" s="640">
        <f>IF(H3925="free",0,IF(H3925="credit",((E3925*(F3925))*G3925*-1),IF(F3925="Buy",(E3925*G3925),((E3925*(1-F3925))*G3925))))</f>
        <v>0</v>
      </c>
      <c r="J3925" s="640">
        <f>IF(H3925="warranty",0,(I3925*(_xlfn.SINGLE(SalesTaxPercentage))))</f>
        <v>0</v>
      </c>
      <c r="K3925" s="716">
        <f t="shared" ref="K3925" si="2945">I3925+J3925</f>
        <v>0</v>
      </c>
      <c r="L3925" s="716"/>
      <c r="M3925" s="689" t="str">
        <f ca="1">IF(AND(G3925&gt;0,E3925=0),"WARNING - no PRICE inserted",IF(H3925="free","FREE ~ no charge this plant",IF(H3925="credit",CONCATENATE("-$",ROUND(K3925*(1-_xlfn.SINGLE(T2GDiscount))*-1,2)," CREDIT after discount"),IF(_xlfn.SINGLE(T2GDiscount)=0,"",IF(G3925=0,"",IF(F3925="Buy",CONCATENATE("$",ROUND(K3925*(1-_xlfn.SINGLE(T2GDiscount)),2)," with ",(_xlfn.SINGLE(T2GDiscount)*100),"% discount"),CONCATENATE("$",ROUND(K3925*(1-_xlfn.SINGLE(T2GDiscount)),2)," with ",((_xlfn.SINGLE(T2GDiscount)*100+F3925*100)-(_xlfn.SINGLE(T2GDiscount)*100*F3925)),IF(F3925&gt;0,"% discounts",IF(_xlfn.SINGLE(NoWarrantyDiscount)&gt;0,"% discounts","% discount")))))))))</f>
        <v/>
      </c>
      <c r="N3925" s="690"/>
      <c r="O3925" s="486"/>
      <c r="P3925" s="486"/>
      <c r="Q3925" s="486"/>
      <c r="R3925" s="486"/>
      <c r="S3925" s="486"/>
      <c r="T3925" s="102">
        <f t="shared" si="2932"/>
        <v>0</v>
      </c>
      <c r="U3925" s="78">
        <f>IF(NOT(ISNUMBER(G3925)), "", VLOOKUP(A3925,'Discount Lookup'!D:E,2,FALSE)*G3925)</f>
        <v>0</v>
      </c>
      <c r="V3925" s="78">
        <f>IF(NOT(ISNUMBER(G3925)), "", VLOOKUP(A3925,'Discount Lookup'!G:H,2,FALSE)*G3925)</f>
        <v>0</v>
      </c>
      <c r="W3925" s="102">
        <f t="shared" si="2933"/>
        <v>0</v>
      </c>
      <c r="X3925" s="102">
        <f t="shared" si="2934"/>
        <v>0</v>
      </c>
      <c r="Y3925" s="120" t="b">
        <f t="shared" si="2935"/>
        <v>0</v>
      </c>
      <c r="Z3925" s="117">
        <f t="shared" si="2936"/>
        <v>0</v>
      </c>
      <c r="AA3925" s="118"/>
      <c r="AB3925" s="118" t="str">
        <f t="shared" si="2937"/>
        <v/>
      </c>
      <c r="AC3925" s="712" t="str">
        <f>IF(AE3925="T2G","no charge",IF(AND(OR(PlanterYesMe="No",PlanterYesMe="N",PlanterYesMe="me"),H3925=""),"",IF(H3925="credit","NO install",IF(AND(K3925="",AE3925="me"),"EACH row",IF(AND(K3925="images",AE3925="me"),"EACH row",IF(D3925="","",IF(H3925="credit","",IF(AE3925="free","re-planting",IF(AE3925="me","   not ELP, by",IF(AND(OR(PlanterYesMe="Yes",PlanterYesMe="Y"),G3925&gt;0),(VLOOKUP(A3925,'Discount Lookup'!J:K,2)*G3925*(1-PlanterDiscount)*(1+PlanterDifficultyPercentage)),IF(AE3925="ELP",(VLOOKUP(A3925,'Discount Lookup'!J:K,2)*G3925*(1-PlanterDiscount)*(1+PlanterDifficultyPercentage)),IF(AE3925="free","re-planting",IF(G3925=0,"",IF(PlanterYesMe="",IF(AE3925="me","   not ELP, by",IF(AE3925="",IF(G3925&gt;0,(VLOOKUP(A3925,'Discount Lookup'!J:K,2)*G3925*(1-PlanterDiscount)*(1+PlanterDifficultyPercentage)),""),"")),"   not ELP, by"))))))))))))))</f>
        <v/>
      </c>
      <c r="AD3925" s="712"/>
      <c r="AE3925" s="513" t="str">
        <f t="shared" si="2938"/>
        <v/>
      </c>
      <c r="AF3925" s="713" t="str">
        <f t="shared" si="2939"/>
        <v/>
      </c>
      <c r="AG3925" s="713"/>
      <c r="AH3925" s="713"/>
      <c r="AI3925" s="112">
        <f>IF(H3925="credit",0,IF(AE3925="free",0,IF(AE3925="me",0,IF(G3925&gt;0,(VLOOKUP(A3925,'Discount Lookup'!J:K,2)*G3925),0))))</f>
        <v>0</v>
      </c>
      <c r="AJ3925" s="107" t="str">
        <f t="shared" ca="1" si="2940"/>
        <v/>
      </c>
      <c r="AK3925" s="714" t="str">
        <f t="shared" si="2941"/>
        <v/>
      </c>
      <c r="AL3925" s="714"/>
      <c r="AM3925" s="114" t="str">
        <f t="shared" si="2942"/>
        <v/>
      </c>
      <c r="AN3925" s="115"/>
      <c r="AO3925" s="116"/>
      <c r="AP3925" s="116"/>
      <c r="AQ3925" s="116"/>
      <c r="AR3925" s="116"/>
      <c r="AS3925" s="116"/>
      <c r="AT3925" s="116"/>
      <c r="AU3925" s="116"/>
      <c r="AV3925" s="78"/>
      <c r="AW3925" s="102"/>
      <c r="AX3925" s="78"/>
      <c r="AY3925" s="78"/>
      <c r="AZ3925" s="78"/>
      <c r="BA3925" s="78"/>
      <c r="BB3925" s="78"/>
      <c r="BC3925" s="78"/>
      <c r="BD3925" s="78"/>
      <c r="BE3925" s="465"/>
      <c r="BF3925" s="165" t="str">
        <f t="shared" si="2943"/>
        <v>https://www.google.com/search?tbm=isch&amp;q=15%20G6</v>
      </c>
      <c r="BG3925" s="165" t="str">
        <f t="shared" si="2944"/>
        <v>S</v>
      </c>
      <c r="BH3925" s="65"/>
      <c r="BI3925" s="65"/>
      <c r="BJ3925" s="65"/>
      <c r="BK3925" s="65"/>
      <c r="BL3925" s="99"/>
      <c r="BM3925" s="99"/>
      <c r="BN3925" s="99"/>
    </row>
    <row r="3926" spans="1:66" s="51" customFormat="1" ht="17.25" thickBot="1" x14ac:dyDescent="0.3">
      <c r="A3926" s="704" t="s">
        <v>5534</v>
      </c>
      <c r="B3926" s="642"/>
      <c r="C3926" s="710"/>
      <c r="D3926" s="643"/>
      <c r="E3926" s="643"/>
      <c r="F3926" s="644"/>
      <c r="G3926" s="645"/>
      <c r="H3926" s="646"/>
      <c r="I3926" s="647"/>
      <c r="J3926" s="648"/>
      <c r="K3926" s="649"/>
      <c r="L3926" s="650"/>
      <c r="M3926" s="650"/>
      <c r="N3926" s="644"/>
      <c r="O3926" s="644"/>
      <c r="P3926" s="644"/>
      <c r="Q3926" s="644"/>
      <c r="R3926" s="644"/>
      <c r="S3926" s="701" t="s">
        <v>5251</v>
      </c>
      <c r="T3926" s="102">
        <f t="shared" si="2932"/>
        <v>0</v>
      </c>
      <c r="U3926" s="78" t="str">
        <f>IF(NOT(ISNUMBER(G3926)), "", VLOOKUP(A3926,'Discount Lookup'!D:E,2,FALSE)*G3926)</f>
        <v/>
      </c>
      <c r="V3926" s="78" t="str">
        <f>IF(NOT(ISNUMBER(G3926)), "", VLOOKUP(A3926,'Discount Lookup'!G:H,2,FALSE)*G3926)</f>
        <v/>
      </c>
      <c r="W3926" s="102">
        <f t="shared" si="2933"/>
        <v>0</v>
      </c>
      <c r="X3926" s="102">
        <f t="shared" si="2934"/>
        <v>0</v>
      </c>
      <c r="Y3926" s="120" t="b">
        <f t="shared" si="2935"/>
        <v>0</v>
      </c>
      <c r="Z3926" s="117">
        <f t="shared" si="2936"/>
        <v>0</v>
      </c>
      <c r="AA3926" s="118"/>
      <c r="AB3926" s="118" t="str">
        <f t="shared" si="2937"/>
        <v/>
      </c>
      <c r="AC3926" s="712" t="str">
        <f>IF(AE3926="T2G","no charge",IF(AND(OR(PlanterYesMe="No",PlanterYesMe="N",PlanterYesMe="me"),H3926=""),"",IF(H3926="credit","NO install",IF(AND(K3926="",AE3926="me"),"EACH row",IF(AND(K3926="images",AE3926="me"),"EACH row",IF(D3926="","",IF(H3926="credit","",IF(AE3926="free","re-planting",IF(AE3926="me","   not ELP, by",IF(AND(OR(PlanterYesMe="Yes",PlanterYesMe="Y"),G3926&gt;0),(VLOOKUP(A3926,'Discount Lookup'!J:K,2)*G3926*(1-PlanterDiscount)*(1+PlanterDifficultyPercentage)),IF(AE3926="ELP",(VLOOKUP(A3926,'Discount Lookup'!J:K,2)*G3926*(1-PlanterDiscount)*(1+PlanterDifficultyPercentage)),IF(AE3926="free","re-planting",IF(G3926=0,"",IF(PlanterYesMe="",IF(AE3926="me","   not ELP, by",IF(AE3926="",IF(G3926&gt;0,(VLOOKUP(A3926,'Discount Lookup'!J:K,2)*G3926*(1-PlanterDiscount)*(1+PlanterDifficultyPercentage)),""),"")),"   not ELP, by"))))))))))))))</f>
        <v/>
      </c>
      <c r="AD3926" s="712"/>
      <c r="AE3926" s="513" t="str">
        <f t="shared" si="2938"/>
        <v/>
      </c>
      <c r="AF3926" s="713" t="str">
        <f t="shared" si="2939"/>
        <v/>
      </c>
      <c r="AG3926" s="713"/>
      <c r="AH3926" s="713"/>
      <c r="AI3926" s="112">
        <f>IF(H3926="credit",0,IF(AE3926="free",0,IF(AE3926="me",0,IF(G3926&gt;0,(VLOOKUP(A3926,'Discount Lookup'!J:K,2)*G3926),0))))</f>
        <v>0</v>
      </c>
      <c r="AJ3926" s="107" t="str">
        <f t="shared" ca="1" si="2940"/>
        <v/>
      </c>
      <c r="AK3926" s="714" t="str">
        <f t="shared" si="2941"/>
        <v/>
      </c>
      <c r="AL3926" s="714"/>
      <c r="AM3926" s="114" t="str">
        <f t="shared" si="2942"/>
        <v/>
      </c>
      <c r="AN3926" s="115"/>
      <c r="AO3926" s="116"/>
      <c r="AP3926" s="116"/>
      <c r="AQ3926" s="116"/>
      <c r="AR3926" s="116"/>
      <c r="AS3926" s="116"/>
      <c r="AT3926" s="116"/>
      <c r="AU3926" s="116"/>
      <c r="AV3926" s="78"/>
      <c r="AW3926" s="102"/>
      <c r="AX3926" s="78"/>
      <c r="AY3926" s="78"/>
      <c r="AZ3926" s="78"/>
      <c r="BA3926" s="78"/>
      <c r="BB3926" s="78"/>
      <c r="BC3926" s="78"/>
      <c r="BD3926" s="78"/>
      <c r="BE3926" s="465"/>
      <c r="BF3926" s="165" t="str">
        <f t="shared" si="2943"/>
        <v>https://www.google.com/search?tbm=isch&amp;q=moist%20sites%F0%9F%92%A7GOOD%2C%20Snowbell%20has%20pendulous%20clusters%20of%20fragrant%20bell-shaped%20flowers.%20Don%27t%20confuse%20with%20Snowball%20Viburnum%20</v>
      </c>
      <c r="BG3926" s="165" t="str">
        <f t="shared" si="2944"/>
        <v>m</v>
      </c>
      <c r="BH3926" s="65"/>
      <c r="BI3926" s="65"/>
      <c r="BJ3926" s="65"/>
      <c r="BK3926" s="65"/>
      <c r="BL3926" s="99"/>
      <c r="BM3926" s="99"/>
      <c r="BN3926" s="99"/>
    </row>
    <row r="3927" spans="1:66" s="51" customFormat="1" ht="18" x14ac:dyDescent="0.25">
      <c r="A3927" s="623" t="s">
        <v>4257</v>
      </c>
      <c r="B3927" s="624"/>
      <c r="C3927" s="709"/>
      <c r="D3927" s="625" t="s">
        <v>4258</v>
      </c>
      <c r="E3927" s="626"/>
      <c r="F3927" s="626"/>
      <c r="G3927" s="626"/>
      <c r="H3927" s="622" t="s">
        <v>331</v>
      </c>
      <c r="I3927" s="627" t="s">
        <v>349</v>
      </c>
      <c r="J3927" s="628"/>
      <c r="K3927" s="628"/>
      <c r="L3927" s="629"/>
      <c r="M3927" s="700" t="s">
        <v>5249</v>
      </c>
      <c r="N3927" s="693" t="str">
        <f>IF(AND(ISTEXT($A3927), ISERROR($A3927+0)), HYPERLINK($BF3927, "Images"), "")</f>
        <v>Images</v>
      </c>
      <c r="O3927" s="695" t="s">
        <v>5244</v>
      </c>
      <c r="P3927" s="630"/>
      <c r="Q3927" s="631"/>
      <c r="R3927" s="632"/>
      <c r="S3927" s="633"/>
      <c r="T3927" s="102">
        <f t="shared" si="2932"/>
        <v>0</v>
      </c>
      <c r="U3927" s="78" t="str">
        <f>IF(NOT(ISNUMBER(G3927)), "", VLOOKUP(A3927,'Discount Lookup'!D:E,2,FALSE)*G3927)</f>
        <v/>
      </c>
      <c r="V3927" s="78" t="str">
        <f>IF(NOT(ISNUMBER(G3927)), "", VLOOKUP(A3927,'Discount Lookup'!G:H,2,FALSE)*G3927)</f>
        <v/>
      </c>
      <c r="W3927" s="102">
        <f t="shared" si="2933"/>
        <v>0</v>
      </c>
      <c r="X3927" s="102" t="str">
        <f t="shared" si="2934"/>
        <v>White bloom</v>
      </c>
      <c r="Y3927" s="120" t="b">
        <f t="shared" si="2935"/>
        <v>0</v>
      </c>
      <c r="Z3927" s="117">
        <f t="shared" si="2936"/>
        <v>0</v>
      </c>
      <c r="AA3927" s="118"/>
      <c r="AB3927" s="118" t="str">
        <f t="shared" si="2937"/>
        <v/>
      </c>
      <c r="AC3927" s="712" t="str">
        <f>IF(AE3927="T2G","no charge",IF(AND(OR(PlanterYesMe="No",PlanterYesMe="N",PlanterYesMe="me"),H3927=""),"",IF(H3927="credit","NO install",IF(AND(K3927="",AE3927="me"),"EACH row",IF(AND(K3927="images",AE3927="me"),"EACH row",IF(D3927="","",IF(H3927="credit","",IF(AE3927="free","re-planting",IF(AE3927="me","   not ELP, by",IF(AND(OR(PlanterYesMe="Yes",PlanterYesMe="Y"),G3927&gt;0),(VLOOKUP(A3927,'Discount Lookup'!J:K,2)*G3927*(1-PlanterDiscount)*(1+PlanterDifficultyPercentage)),IF(AE3927="ELP",(VLOOKUP(A3927,'Discount Lookup'!J:K,2)*G3927*(1-PlanterDiscount)*(1+PlanterDifficultyPercentage)),IF(AE3927="free","re-planting",IF(G3927=0,"",IF(PlanterYesMe="",IF(AE3927="me","   not ELP, by",IF(AE3927="",IF(G3927&gt;0,(VLOOKUP(A3927,'Discount Lookup'!J:K,2)*G3927*(1-PlanterDiscount)*(1+PlanterDifficultyPercentage)),""),"")),"   not ELP, by"))))))))))))))</f>
        <v/>
      </c>
      <c r="AD3927" s="712"/>
      <c r="AE3927" s="513" t="str">
        <f t="shared" si="2938"/>
        <v/>
      </c>
      <c r="AF3927" s="713" t="str">
        <f t="shared" si="2939"/>
        <v/>
      </c>
      <c r="AG3927" s="713"/>
      <c r="AH3927" s="713"/>
      <c r="AI3927" s="112">
        <f>IF(H3927="credit",0,IF(AE3927="free",0,IF(AE3927="me",0,IF(G3927&gt;0,(VLOOKUP(A3927,'Discount Lookup'!J:K,2)*G3927),0))))</f>
        <v>0</v>
      </c>
      <c r="AJ3927" s="107" t="str">
        <f t="shared" ca="1" si="2940"/>
        <v/>
      </c>
      <c r="AK3927" s="714" t="str">
        <f t="shared" si="2941"/>
        <v/>
      </c>
      <c r="AL3927" s="714"/>
      <c r="AM3927" s="114" t="str">
        <f t="shared" si="2942"/>
        <v/>
      </c>
      <c r="AN3927" s="115"/>
      <c r="AO3927" s="116"/>
      <c r="AP3927" s="116"/>
      <c r="AQ3927" s="116"/>
      <c r="AR3927" s="116"/>
      <c r="AS3927" s="116"/>
      <c r="AT3927" s="116"/>
      <c r="AU3927" s="116"/>
      <c r="AV3927" s="78"/>
      <c r="AW3927" s="102"/>
      <c r="AX3927" s="78"/>
      <c r="AY3927" s="78"/>
      <c r="AZ3927" s="78"/>
      <c r="BA3927" s="78"/>
      <c r="BB3927" s="78"/>
      <c r="BC3927" s="78"/>
      <c r="BD3927" s="78"/>
      <c r="BE3927" s="465"/>
      <c r="BF3927" s="165" t="str">
        <f t="shared" si="2943"/>
        <v>https://www.google.com/search?tbm=isch&amp;q=Styrax%20japonicus%20%27Evening%20Light%27%20PP%2324168%20Evening%20Light%20Japanese%20Snowbell</v>
      </c>
      <c r="BG3927" s="165" t="str">
        <f t="shared" si="2944"/>
        <v>S</v>
      </c>
      <c r="BH3927" s="65"/>
      <c r="BI3927" s="65"/>
      <c r="BJ3927" s="65"/>
      <c r="BK3927" s="65"/>
      <c r="BL3927" s="99"/>
      <c r="BM3927" s="99"/>
      <c r="BN3927" s="99"/>
    </row>
    <row r="3928" spans="1:66" s="51" customFormat="1" ht="15.75" x14ac:dyDescent="0.25">
      <c r="A3928" s="634">
        <v>7</v>
      </c>
      <c r="B3928" s="635" t="s">
        <v>291</v>
      </c>
      <c r="C3928" s="636" t="s">
        <v>4259</v>
      </c>
      <c r="D3928" s="637" t="s">
        <v>299</v>
      </c>
      <c r="E3928" s="638">
        <v>155.94999999999999</v>
      </c>
      <c r="F3928" s="639" t="s">
        <v>292</v>
      </c>
      <c r="G3928" s="484">
        <v>0</v>
      </c>
      <c r="H3928" s="691" t="str">
        <f>IF(G3928=0,"",IF(F3928="Buy",IF(G3928=1,"plant","plants"),IF(F3928&gt;0.01,"warranty","Error")))</f>
        <v/>
      </c>
      <c r="I3928" s="640">
        <f>IF(H3928="free",0,IF(H3928="credit",((E3928*(F3928))*G3928*-1),IF(F3928="Buy",(E3928*G3928),((E3928*(1-F3928))*G3928))))</f>
        <v>0</v>
      </c>
      <c r="J3928" s="640">
        <f>IF(H3928="warranty",0,(I3928*(_xlfn.SINGLE(SalesTaxPercentage))))</f>
        <v>0</v>
      </c>
      <c r="K3928" s="716">
        <f t="shared" ref="K3928" si="2946">I3928+J3928</f>
        <v>0</v>
      </c>
      <c r="L3928" s="716"/>
      <c r="M3928" s="689" t="str">
        <f ca="1">IF(AND(G3928&gt;0,E3928=0),"WARNING - no PRICE inserted",IF(H3928="free","FREE ~ no charge this plant",IF(H3928="credit",CONCATENATE("-$",ROUND(K3928*(1-_xlfn.SINGLE(T2GDiscount))*-1,2)," CREDIT after discount"),IF(_xlfn.SINGLE(T2GDiscount)=0,"",IF(G3928=0,"",IF(F3928="Buy",CONCATENATE("$",ROUND(K3928*(1-_xlfn.SINGLE(T2GDiscount)),2)," with ",(_xlfn.SINGLE(T2GDiscount)*100),"% discount"),CONCATENATE("$",ROUND(K3928*(1-_xlfn.SINGLE(T2GDiscount)),2)," with ",((_xlfn.SINGLE(T2GDiscount)*100+F3928*100)-(_xlfn.SINGLE(T2GDiscount)*100*F3928)),IF(F3928&gt;0,"% discounts",IF(_xlfn.SINGLE(NoWarrantyDiscount)&gt;0,"% discounts","% discount")))))))))</f>
        <v/>
      </c>
      <c r="N3928" s="690"/>
      <c r="O3928" s="486"/>
      <c r="P3928" s="486"/>
      <c r="Q3928" s="486"/>
      <c r="R3928" s="486"/>
      <c r="S3928" s="486"/>
      <c r="T3928" s="102">
        <f t="shared" si="2932"/>
        <v>0</v>
      </c>
      <c r="U3928" s="78">
        <f>IF(NOT(ISNUMBER(G3928)), "", VLOOKUP(A3928,'Discount Lookup'!D:E,2,FALSE)*G3928)</f>
        <v>0</v>
      </c>
      <c r="V3928" s="78">
        <f>IF(NOT(ISNUMBER(G3928)), "", VLOOKUP(A3928,'Discount Lookup'!G:H,2,FALSE)*G3928)</f>
        <v>0</v>
      </c>
      <c r="W3928" s="102">
        <f t="shared" si="2933"/>
        <v>0</v>
      </c>
      <c r="X3928" s="102">
        <f t="shared" si="2934"/>
        <v>0</v>
      </c>
      <c r="Y3928" s="120" t="b">
        <f t="shared" si="2935"/>
        <v>0</v>
      </c>
      <c r="Z3928" s="117">
        <f t="shared" si="2936"/>
        <v>0</v>
      </c>
      <c r="AA3928" s="118"/>
      <c r="AB3928" s="118" t="str">
        <f t="shared" si="2937"/>
        <v/>
      </c>
      <c r="AC3928" s="712" t="str">
        <f>IF(AE3928="T2G","no charge",IF(AND(OR(PlanterYesMe="No",PlanterYesMe="N",PlanterYesMe="me"),H3928=""),"",IF(H3928="credit","NO install",IF(AND(K3928="",AE3928="me"),"EACH row",IF(AND(K3928="images",AE3928="me"),"EACH row",IF(D3928="","",IF(H3928="credit","",IF(AE3928="free","re-planting",IF(AE3928="me","   not ELP, by",IF(AND(OR(PlanterYesMe="Yes",PlanterYesMe="Y"),G3928&gt;0),(VLOOKUP(A3928,'Discount Lookup'!J:K,2)*G3928*(1-PlanterDiscount)*(1+PlanterDifficultyPercentage)),IF(AE3928="ELP",(VLOOKUP(A3928,'Discount Lookup'!J:K,2)*G3928*(1-PlanterDiscount)*(1+PlanterDifficultyPercentage)),IF(AE3928="free","re-planting",IF(G3928=0,"",IF(PlanterYesMe="",IF(AE3928="me","   not ELP, by",IF(AE3928="",IF(G3928&gt;0,(VLOOKUP(A3928,'Discount Lookup'!J:K,2)*G3928*(1-PlanterDiscount)*(1+PlanterDifficultyPercentage)),""),"")),"   not ELP, by"))))))))))))))</f>
        <v/>
      </c>
      <c r="AD3928" s="712"/>
      <c r="AE3928" s="513" t="str">
        <f t="shared" si="2938"/>
        <v/>
      </c>
      <c r="AF3928" s="713" t="str">
        <f t="shared" si="2939"/>
        <v/>
      </c>
      <c r="AG3928" s="713"/>
      <c r="AH3928" s="713"/>
      <c r="AI3928" s="112">
        <f>IF(H3928="credit",0,IF(AE3928="free",0,IF(AE3928="me",0,IF(G3928&gt;0,(VLOOKUP(A3928,'Discount Lookup'!J:K,2)*G3928),0))))</f>
        <v>0</v>
      </c>
      <c r="AJ3928" s="107" t="str">
        <f t="shared" ca="1" si="2940"/>
        <v/>
      </c>
      <c r="AK3928" s="714" t="str">
        <f t="shared" si="2941"/>
        <v/>
      </c>
      <c r="AL3928" s="714"/>
      <c r="AM3928" s="114" t="str">
        <f t="shared" si="2942"/>
        <v/>
      </c>
      <c r="AN3928" s="115"/>
      <c r="AO3928" s="116"/>
      <c r="AP3928" s="116"/>
      <c r="AQ3928" s="116"/>
      <c r="AR3928" s="116"/>
      <c r="AS3928" s="116"/>
      <c r="AT3928" s="116"/>
      <c r="AU3928" s="116"/>
      <c r="AV3928" s="78"/>
      <c r="AW3928" s="102"/>
      <c r="AX3928" s="78"/>
      <c r="AY3928" s="78"/>
      <c r="AZ3928" s="78"/>
      <c r="BA3928" s="78"/>
      <c r="BB3928" s="78"/>
      <c r="BC3928" s="78"/>
      <c r="BD3928" s="78"/>
      <c r="BE3928" s="465"/>
      <c r="BF3928" s="165" t="str">
        <f t="shared" si="2943"/>
        <v>https://www.google.com/search?tbm=isch&amp;q=7%20G4</v>
      </c>
      <c r="BG3928" s="165" t="str">
        <f t="shared" si="2944"/>
        <v>S</v>
      </c>
      <c r="BH3928" s="65"/>
      <c r="BI3928" s="65"/>
      <c r="BJ3928" s="65"/>
      <c r="BK3928" s="65"/>
      <c r="BL3928" s="99"/>
      <c r="BM3928" s="99"/>
      <c r="BN3928" s="99"/>
    </row>
    <row r="3929" spans="1:66" s="51" customFormat="1" ht="15.75" x14ac:dyDescent="0.25">
      <c r="A3929" s="634">
        <v>10</v>
      </c>
      <c r="B3929" s="635" t="s">
        <v>291</v>
      </c>
      <c r="C3929" s="636" t="s">
        <v>4260</v>
      </c>
      <c r="D3929" s="637" t="s">
        <v>299</v>
      </c>
      <c r="E3929" s="638">
        <v>178.95</v>
      </c>
      <c r="F3929" s="639" t="s">
        <v>292</v>
      </c>
      <c r="G3929" s="484">
        <v>0</v>
      </c>
      <c r="H3929" s="691" t="str">
        <f>IF(G3929=0,"",IF(F3929="Buy",IF(G3929=1,"plant","plants"),IF(F3929&gt;0.01,"warranty","Error")))</f>
        <v/>
      </c>
      <c r="I3929" s="640">
        <f>IF(H3929="free",0,IF(H3929="credit",((E3929*(F3929))*G3929*-1),IF(F3929="Buy",(E3929*G3929),((E3929*(1-F3929))*G3929))))</f>
        <v>0</v>
      </c>
      <c r="J3929" s="640">
        <f>IF(H3929="warranty",0,(I3929*(_xlfn.SINGLE(SalesTaxPercentage))))</f>
        <v>0</v>
      </c>
      <c r="K3929" s="716">
        <f t="shared" ref="K3929" si="2947">I3929+J3929</f>
        <v>0</v>
      </c>
      <c r="L3929" s="716"/>
      <c r="M3929" s="689" t="str">
        <f ca="1">IF(AND(G3929&gt;0,E3929=0),"WARNING - no PRICE inserted",IF(H3929="free","FREE ~ no charge this plant",IF(H3929="credit",CONCATENATE("-$",ROUND(K3929*(1-_xlfn.SINGLE(T2GDiscount))*-1,2)," CREDIT after discount"),IF(_xlfn.SINGLE(T2GDiscount)=0,"",IF(G3929=0,"",IF(F3929="Buy",CONCATENATE("$",ROUND(K3929*(1-_xlfn.SINGLE(T2GDiscount)),2)," with ",(_xlfn.SINGLE(T2GDiscount)*100),"% discount"),CONCATENATE("$",ROUND(K3929*(1-_xlfn.SINGLE(T2GDiscount)),2)," with ",((_xlfn.SINGLE(T2GDiscount)*100+F3929*100)-(_xlfn.SINGLE(T2GDiscount)*100*F3929)),IF(F3929&gt;0,"% discounts",IF(_xlfn.SINGLE(NoWarrantyDiscount)&gt;0,"% discounts","% discount")))))))))</f>
        <v/>
      </c>
      <c r="N3929" s="690"/>
      <c r="O3929" s="486"/>
      <c r="P3929" s="486"/>
      <c r="Q3929" s="486"/>
      <c r="R3929" s="486"/>
      <c r="S3929" s="486"/>
      <c r="T3929" s="102">
        <f t="shared" si="2932"/>
        <v>0</v>
      </c>
      <c r="U3929" s="78">
        <f>IF(NOT(ISNUMBER(G3929)), "", VLOOKUP(A3929,'Discount Lookup'!D:E,2,FALSE)*G3929)</f>
        <v>0</v>
      </c>
      <c r="V3929" s="78">
        <f>IF(NOT(ISNUMBER(G3929)), "", VLOOKUP(A3929,'Discount Lookup'!G:H,2,FALSE)*G3929)</f>
        <v>0</v>
      </c>
      <c r="W3929" s="102">
        <f t="shared" si="2933"/>
        <v>0</v>
      </c>
      <c r="X3929" s="102">
        <f t="shared" si="2934"/>
        <v>0</v>
      </c>
      <c r="Y3929" s="120" t="b">
        <f t="shared" si="2935"/>
        <v>0</v>
      </c>
      <c r="Z3929" s="117">
        <f t="shared" si="2936"/>
        <v>0</v>
      </c>
      <c r="AA3929" s="118"/>
      <c r="AB3929" s="118" t="str">
        <f t="shared" si="2937"/>
        <v/>
      </c>
      <c r="AC3929" s="712" t="str">
        <f>IF(AE3929="T2G","no charge",IF(AND(OR(PlanterYesMe="No",PlanterYesMe="N",PlanterYesMe="me"),H3929=""),"",IF(H3929="credit","NO install",IF(AND(K3929="",AE3929="me"),"EACH row",IF(AND(K3929="images",AE3929="me"),"EACH row",IF(D3929="","",IF(H3929="credit","",IF(AE3929="free","re-planting",IF(AE3929="me","   not ELP, by",IF(AND(OR(PlanterYesMe="Yes",PlanterYesMe="Y"),G3929&gt;0),(VLOOKUP(A3929,'Discount Lookup'!J:K,2)*G3929*(1-PlanterDiscount)*(1+PlanterDifficultyPercentage)),IF(AE3929="ELP",(VLOOKUP(A3929,'Discount Lookup'!J:K,2)*G3929*(1-PlanterDiscount)*(1+PlanterDifficultyPercentage)),IF(AE3929="free","re-planting",IF(G3929=0,"",IF(PlanterYesMe="",IF(AE3929="me","   not ELP, by",IF(AE3929="",IF(G3929&gt;0,(VLOOKUP(A3929,'Discount Lookup'!J:K,2)*G3929*(1-PlanterDiscount)*(1+PlanterDifficultyPercentage)),""),"")),"   not ELP, by"))))))))))))))</f>
        <v/>
      </c>
      <c r="AD3929" s="712"/>
      <c r="AE3929" s="513" t="str">
        <f t="shared" si="2938"/>
        <v/>
      </c>
      <c r="AF3929" s="713" t="str">
        <f t="shared" si="2939"/>
        <v/>
      </c>
      <c r="AG3929" s="713"/>
      <c r="AH3929" s="713"/>
      <c r="AI3929" s="112">
        <f>IF(H3929="credit",0,IF(AE3929="free",0,IF(AE3929="me",0,IF(G3929&gt;0,(VLOOKUP(A3929,'Discount Lookup'!J:K,2)*G3929),0))))</f>
        <v>0</v>
      </c>
      <c r="AJ3929" s="107" t="str">
        <f t="shared" ca="1" si="2940"/>
        <v/>
      </c>
      <c r="AK3929" s="714" t="str">
        <f t="shared" si="2941"/>
        <v/>
      </c>
      <c r="AL3929" s="714"/>
      <c r="AM3929" s="114" t="str">
        <f t="shared" si="2942"/>
        <v/>
      </c>
      <c r="AN3929" s="115"/>
      <c r="AO3929" s="116"/>
      <c r="AP3929" s="116"/>
      <c r="AQ3929" s="116"/>
      <c r="AR3929" s="116"/>
      <c r="AS3929" s="116"/>
      <c r="AT3929" s="116"/>
      <c r="AU3929" s="116"/>
      <c r="AV3929" s="78"/>
      <c r="AW3929" s="102"/>
      <c r="AX3929" s="78"/>
      <c r="AY3929" s="78"/>
      <c r="AZ3929" s="78"/>
      <c r="BA3929" s="78"/>
      <c r="BB3929" s="78"/>
      <c r="BC3929" s="78"/>
      <c r="BD3929" s="78"/>
      <c r="BE3929" s="465"/>
      <c r="BF3929" s="165" t="str">
        <f t="shared" si="2943"/>
        <v>https://www.google.com/search?tbm=isch&amp;q=10%20G4</v>
      </c>
      <c r="BG3929" s="165" t="str">
        <f t="shared" si="2944"/>
        <v>S</v>
      </c>
      <c r="BH3929" s="65"/>
      <c r="BI3929" s="65"/>
      <c r="BJ3929" s="65"/>
      <c r="BK3929" s="65"/>
      <c r="BL3929" s="99"/>
      <c r="BM3929" s="99"/>
      <c r="BN3929" s="99"/>
    </row>
    <row r="3930" spans="1:66" s="51" customFormat="1" ht="15.75" x14ac:dyDescent="0.25">
      <c r="A3930" s="634">
        <v>15</v>
      </c>
      <c r="B3930" s="635" t="s">
        <v>291</v>
      </c>
      <c r="C3930" s="636" t="s">
        <v>3943</v>
      </c>
      <c r="D3930" s="637" t="s">
        <v>299</v>
      </c>
      <c r="E3930" s="638">
        <v>240.95</v>
      </c>
      <c r="F3930" s="639" t="s">
        <v>292</v>
      </c>
      <c r="G3930" s="484">
        <v>0</v>
      </c>
      <c r="H3930" s="691" t="str">
        <f>IF(G3930=0,"",IF(F3930="Buy",IF(G3930=1,"plant","plants"),IF(F3930&gt;0.01,"warranty","Error")))</f>
        <v/>
      </c>
      <c r="I3930" s="640">
        <f>IF(H3930="free",0,IF(H3930="credit",((E3930*(F3930))*G3930*-1),IF(F3930="Buy",(E3930*G3930),((E3930*(1-F3930))*G3930))))</f>
        <v>0</v>
      </c>
      <c r="J3930" s="640">
        <f>IF(H3930="warranty",0,(I3930*(_xlfn.SINGLE(SalesTaxPercentage))))</f>
        <v>0</v>
      </c>
      <c r="K3930" s="716">
        <f t="shared" ref="K3930" si="2948">I3930+J3930</f>
        <v>0</v>
      </c>
      <c r="L3930" s="716"/>
      <c r="M3930" s="689" t="str">
        <f ca="1">IF(AND(G3930&gt;0,E3930=0),"WARNING - no PRICE inserted",IF(H3930="free","FREE ~ no charge this plant",IF(H3930="credit",CONCATENATE("-$",ROUND(K3930*(1-_xlfn.SINGLE(T2GDiscount))*-1,2)," CREDIT after discount"),IF(_xlfn.SINGLE(T2GDiscount)=0,"",IF(G3930=0,"",IF(F3930="Buy",CONCATENATE("$",ROUND(K3930*(1-_xlfn.SINGLE(T2GDiscount)),2)," with ",(_xlfn.SINGLE(T2GDiscount)*100),"% discount"),CONCATENATE("$",ROUND(K3930*(1-_xlfn.SINGLE(T2GDiscount)),2)," with ",((_xlfn.SINGLE(T2GDiscount)*100+F3930*100)-(_xlfn.SINGLE(T2GDiscount)*100*F3930)),IF(F3930&gt;0,"% discounts",IF(_xlfn.SINGLE(NoWarrantyDiscount)&gt;0,"% discounts","% discount")))))))))</f>
        <v/>
      </c>
      <c r="N3930" s="690"/>
      <c r="O3930" s="486"/>
      <c r="P3930" s="486"/>
      <c r="Q3930" s="486"/>
      <c r="R3930" s="486"/>
      <c r="S3930" s="486"/>
      <c r="T3930" s="102">
        <f t="shared" si="2932"/>
        <v>0</v>
      </c>
      <c r="U3930" s="78">
        <f>IF(NOT(ISNUMBER(G3930)), "", VLOOKUP(A3930,'Discount Lookup'!D:E,2,FALSE)*G3930)</f>
        <v>0</v>
      </c>
      <c r="V3930" s="78">
        <f>IF(NOT(ISNUMBER(G3930)), "", VLOOKUP(A3930,'Discount Lookup'!G:H,2,FALSE)*G3930)</f>
        <v>0</v>
      </c>
      <c r="W3930" s="102">
        <f t="shared" si="2933"/>
        <v>0</v>
      </c>
      <c r="X3930" s="102">
        <f t="shared" si="2934"/>
        <v>0</v>
      </c>
      <c r="Y3930" s="120" t="b">
        <f t="shared" si="2935"/>
        <v>0</v>
      </c>
      <c r="Z3930" s="117">
        <f t="shared" si="2936"/>
        <v>0</v>
      </c>
      <c r="AA3930" s="118"/>
      <c r="AB3930" s="118" t="str">
        <f t="shared" si="2937"/>
        <v/>
      </c>
      <c r="AC3930" s="712" t="str">
        <f>IF(AE3930="T2G","no charge",IF(AND(OR(PlanterYesMe="No",PlanterYesMe="N",PlanterYesMe="me"),H3930=""),"",IF(H3930="credit","NO install",IF(AND(K3930="",AE3930="me"),"EACH row",IF(AND(K3930="images",AE3930="me"),"EACH row",IF(D3930="","",IF(H3930="credit","",IF(AE3930="free","re-planting",IF(AE3930="me","   not ELP, by",IF(AND(OR(PlanterYesMe="Yes",PlanterYesMe="Y"),G3930&gt;0),(VLOOKUP(A3930,'Discount Lookup'!J:K,2)*G3930*(1-PlanterDiscount)*(1+PlanterDifficultyPercentage)),IF(AE3930="ELP",(VLOOKUP(A3930,'Discount Lookup'!J:K,2)*G3930*(1-PlanterDiscount)*(1+PlanterDifficultyPercentage)),IF(AE3930="free","re-planting",IF(G3930=0,"",IF(PlanterYesMe="",IF(AE3930="me","   not ELP, by",IF(AE3930="",IF(G3930&gt;0,(VLOOKUP(A3930,'Discount Lookup'!J:K,2)*G3930*(1-PlanterDiscount)*(1+PlanterDifficultyPercentage)),""),"")),"   not ELP, by"))))))))))))))</f>
        <v/>
      </c>
      <c r="AD3930" s="712"/>
      <c r="AE3930" s="513" t="str">
        <f t="shared" si="2938"/>
        <v/>
      </c>
      <c r="AF3930" s="713" t="str">
        <f t="shared" si="2939"/>
        <v/>
      </c>
      <c r="AG3930" s="713"/>
      <c r="AH3930" s="713"/>
      <c r="AI3930" s="112">
        <f>IF(H3930="credit",0,IF(AE3930="free",0,IF(AE3930="me",0,IF(G3930&gt;0,(VLOOKUP(A3930,'Discount Lookup'!J:K,2)*G3930),0))))</f>
        <v>0</v>
      </c>
      <c r="AJ3930" s="107" t="str">
        <f t="shared" ca="1" si="2940"/>
        <v/>
      </c>
      <c r="AK3930" s="714" t="str">
        <f t="shared" si="2941"/>
        <v/>
      </c>
      <c r="AL3930" s="714"/>
      <c r="AM3930" s="114" t="str">
        <f t="shared" si="2942"/>
        <v/>
      </c>
      <c r="AN3930" s="115"/>
      <c r="AO3930" s="116"/>
      <c r="AP3930" s="116"/>
      <c r="AQ3930" s="116"/>
      <c r="AR3930" s="116"/>
      <c r="AS3930" s="116"/>
      <c r="AT3930" s="116"/>
      <c r="AU3930" s="116"/>
      <c r="AV3930" s="78"/>
      <c r="AW3930" s="102"/>
      <c r="AX3930" s="78"/>
      <c r="AY3930" s="78"/>
      <c r="AZ3930" s="78"/>
      <c r="BA3930" s="78"/>
      <c r="BB3930" s="78"/>
      <c r="BC3930" s="78"/>
      <c r="BD3930" s="78"/>
      <c r="BE3930" s="465"/>
      <c r="BF3930" s="165" t="str">
        <f t="shared" si="2943"/>
        <v>https://www.google.com/search?tbm=isch&amp;q=15%20G4</v>
      </c>
      <c r="BG3930" s="165" t="str">
        <f t="shared" si="2944"/>
        <v>S</v>
      </c>
      <c r="BH3930" s="65"/>
      <c r="BI3930" s="65"/>
      <c r="BJ3930" s="65"/>
      <c r="BK3930" s="65"/>
      <c r="BL3930" s="99"/>
      <c r="BM3930" s="99"/>
      <c r="BN3930" s="99"/>
    </row>
    <row r="3931" spans="1:66" s="51" customFormat="1" ht="15.75" x14ac:dyDescent="0.25">
      <c r="A3931" s="634">
        <v>15</v>
      </c>
      <c r="B3931" s="635" t="s">
        <v>291</v>
      </c>
      <c r="C3931" s="636" t="s">
        <v>4653</v>
      </c>
      <c r="D3931" s="637" t="s">
        <v>311</v>
      </c>
      <c r="E3931" s="638">
        <v>263.95</v>
      </c>
      <c r="F3931" s="639" t="s">
        <v>292</v>
      </c>
      <c r="G3931" s="484">
        <v>0</v>
      </c>
      <c r="H3931" s="691" t="str">
        <f>IF(G3931=0,"",IF(F3931="Buy",IF(G3931=1,"plant","plants"),IF(F3931&gt;0.01,"warranty","Error")))</f>
        <v/>
      </c>
      <c r="I3931" s="640">
        <f>IF(H3931="free",0,IF(H3931="credit",((E3931*(F3931))*G3931*-1),IF(F3931="Buy",(E3931*G3931),((E3931*(1-F3931))*G3931))))</f>
        <v>0</v>
      </c>
      <c r="J3931" s="640">
        <f>IF(H3931="warranty",0,(I3931*(_xlfn.SINGLE(SalesTaxPercentage))))</f>
        <v>0</v>
      </c>
      <c r="K3931" s="716">
        <f t="shared" ref="K3931" si="2949">I3931+J3931</f>
        <v>0</v>
      </c>
      <c r="L3931" s="716"/>
      <c r="M3931" s="689" t="str">
        <f ca="1">IF(AND(G3931&gt;0,E3931=0),"WARNING - no PRICE inserted",IF(H3931="free","FREE ~ no charge this plant",IF(H3931="credit",CONCATENATE("-$",ROUND(K3931*(1-_xlfn.SINGLE(T2GDiscount))*-1,2)," CREDIT after discount"),IF(_xlfn.SINGLE(T2GDiscount)=0,"",IF(G3931=0,"",IF(F3931="Buy",CONCATENATE("$",ROUND(K3931*(1-_xlfn.SINGLE(T2GDiscount)),2)," with ",(_xlfn.SINGLE(T2GDiscount)*100),"% discount"),CONCATENATE("$",ROUND(K3931*(1-_xlfn.SINGLE(T2GDiscount)),2)," with ",((_xlfn.SINGLE(T2GDiscount)*100+F3931*100)-(_xlfn.SINGLE(T2GDiscount)*100*F3931)),IF(F3931&gt;0,"% discounts",IF(_xlfn.SINGLE(NoWarrantyDiscount)&gt;0,"% discounts","% discount")))))))))</f>
        <v/>
      </c>
      <c r="N3931" s="690"/>
      <c r="O3931" s="486"/>
      <c r="P3931" s="486"/>
      <c r="Q3931" s="486"/>
      <c r="R3931" s="486"/>
      <c r="S3931" s="486"/>
      <c r="T3931" s="102">
        <f t="shared" si="2932"/>
        <v>0</v>
      </c>
      <c r="U3931" s="78">
        <f>IF(NOT(ISNUMBER(G3931)), "", VLOOKUP(A3931,'Discount Lookup'!D:E,2,FALSE)*G3931)</f>
        <v>0</v>
      </c>
      <c r="V3931" s="78">
        <f>IF(NOT(ISNUMBER(G3931)), "", VLOOKUP(A3931,'Discount Lookup'!G:H,2,FALSE)*G3931)</f>
        <v>0</v>
      </c>
      <c r="W3931" s="102">
        <f t="shared" si="2933"/>
        <v>0</v>
      </c>
      <c r="X3931" s="102">
        <f t="shared" si="2934"/>
        <v>0</v>
      </c>
      <c r="Y3931" s="120" t="b">
        <f t="shared" si="2935"/>
        <v>0</v>
      </c>
      <c r="Z3931" s="117">
        <f t="shared" si="2936"/>
        <v>0</v>
      </c>
      <c r="AA3931" s="118"/>
      <c r="AB3931" s="118" t="str">
        <f t="shared" si="2937"/>
        <v/>
      </c>
      <c r="AC3931" s="712" t="str">
        <f>IF(AE3931="T2G","no charge",IF(AND(OR(PlanterYesMe="No",PlanterYesMe="N",PlanterYesMe="me"),H3931=""),"",IF(H3931="credit","NO install",IF(AND(K3931="",AE3931="me"),"EACH row",IF(AND(K3931="images",AE3931="me"),"EACH row",IF(D3931="","",IF(H3931="credit","",IF(AE3931="free","re-planting",IF(AE3931="me","   not ELP, by",IF(AND(OR(PlanterYesMe="Yes",PlanterYesMe="Y"),G3931&gt;0),(VLOOKUP(A3931,'Discount Lookup'!J:K,2)*G3931*(1-PlanterDiscount)*(1+PlanterDifficultyPercentage)),IF(AE3931="ELP",(VLOOKUP(A3931,'Discount Lookup'!J:K,2)*G3931*(1-PlanterDiscount)*(1+PlanterDifficultyPercentage)),IF(AE3931="free","re-planting",IF(G3931=0,"",IF(PlanterYesMe="",IF(AE3931="me","   not ELP, by",IF(AE3931="",IF(G3931&gt;0,(VLOOKUP(A3931,'Discount Lookup'!J:K,2)*G3931*(1-PlanterDiscount)*(1+PlanterDifficultyPercentage)),""),"")),"   not ELP, by"))))))))))))))</f>
        <v/>
      </c>
      <c r="AD3931" s="712"/>
      <c r="AE3931" s="513" t="str">
        <f t="shared" si="2938"/>
        <v/>
      </c>
      <c r="AF3931" s="713" t="str">
        <f t="shared" si="2939"/>
        <v/>
      </c>
      <c r="AG3931" s="713"/>
      <c r="AH3931" s="713"/>
      <c r="AI3931" s="112">
        <f>IF(H3931="credit",0,IF(AE3931="free",0,IF(AE3931="me",0,IF(G3931&gt;0,(VLOOKUP(A3931,'Discount Lookup'!J:K,2)*G3931),0))))</f>
        <v>0</v>
      </c>
      <c r="AJ3931" s="107" t="str">
        <f t="shared" ca="1" si="2940"/>
        <v/>
      </c>
      <c r="AK3931" s="714" t="str">
        <f t="shared" si="2941"/>
        <v/>
      </c>
      <c r="AL3931" s="714"/>
      <c r="AM3931" s="114" t="str">
        <f t="shared" si="2942"/>
        <v/>
      </c>
      <c r="AN3931" s="115"/>
      <c r="AO3931" s="116"/>
      <c r="AP3931" s="116"/>
      <c r="AQ3931" s="116"/>
      <c r="AR3931" s="116"/>
      <c r="AS3931" s="116"/>
      <c r="AT3931" s="116"/>
      <c r="AU3931" s="116"/>
      <c r="AV3931" s="78"/>
      <c r="AW3931" s="102"/>
      <c r="AX3931" s="78"/>
      <c r="AY3931" s="78"/>
      <c r="AZ3931" s="78"/>
      <c r="BA3931" s="78"/>
      <c r="BB3931" s="78"/>
      <c r="BC3931" s="78"/>
      <c r="BD3931" s="78"/>
      <c r="BE3931" s="465"/>
      <c r="BF3931" s="165" t="str">
        <f t="shared" si="2943"/>
        <v>https://www.google.com/search?tbm=isch&amp;q=15%20G5</v>
      </c>
      <c r="BG3931" s="165" t="str">
        <f t="shared" si="2944"/>
        <v>S</v>
      </c>
      <c r="BH3931" s="65"/>
      <c r="BI3931" s="65"/>
      <c r="BJ3931" s="65"/>
      <c r="BK3931" s="65"/>
      <c r="BL3931" s="99"/>
      <c r="BM3931" s="99"/>
      <c r="BN3931" s="99"/>
    </row>
    <row r="3932" spans="1:66" s="51" customFormat="1" ht="17.25" thickBot="1" x14ac:dyDescent="0.3">
      <c r="A3932" s="704" t="s">
        <v>5535</v>
      </c>
      <c r="B3932" s="642"/>
      <c r="C3932" s="710"/>
      <c r="D3932" s="643"/>
      <c r="E3932" s="643"/>
      <c r="F3932" s="644"/>
      <c r="G3932" s="645"/>
      <c r="H3932" s="646"/>
      <c r="I3932" s="647"/>
      <c r="J3932" s="648"/>
      <c r="K3932" s="649"/>
      <c r="L3932" s="650"/>
      <c r="M3932" s="650"/>
      <c r="N3932" s="644"/>
      <c r="O3932" s="644"/>
      <c r="P3932" s="644"/>
      <c r="Q3932" s="644"/>
      <c r="R3932" s="644"/>
      <c r="S3932" s="701" t="s">
        <v>5251</v>
      </c>
      <c r="T3932" s="102">
        <f t="shared" si="2932"/>
        <v>0</v>
      </c>
      <c r="U3932" s="78" t="str">
        <f>IF(NOT(ISNUMBER(G3932)), "", VLOOKUP(A3932,'Discount Lookup'!D:E,2,FALSE)*G3932)</f>
        <v/>
      </c>
      <c r="V3932" s="78" t="str">
        <f>IF(NOT(ISNUMBER(G3932)), "", VLOOKUP(A3932,'Discount Lookup'!G:H,2,FALSE)*G3932)</f>
        <v/>
      </c>
      <c r="W3932" s="102">
        <f t="shared" si="2933"/>
        <v>0</v>
      </c>
      <c r="X3932" s="102">
        <f t="shared" si="2934"/>
        <v>0</v>
      </c>
      <c r="Y3932" s="120" t="b">
        <f t="shared" si="2935"/>
        <v>0</v>
      </c>
      <c r="Z3932" s="117">
        <f t="shared" si="2936"/>
        <v>0</v>
      </c>
      <c r="AA3932" s="118"/>
      <c r="AB3932" s="118" t="str">
        <f t="shared" si="2937"/>
        <v/>
      </c>
      <c r="AC3932" s="712" t="str">
        <f>IF(AE3932="T2G","no charge",IF(AND(OR(PlanterYesMe="No",PlanterYesMe="N",PlanterYesMe="me"),H3932=""),"",IF(H3932="credit","NO install",IF(AND(K3932="",AE3932="me"),"EACH row",IF(AND(K3932="images",AE3932="me"),"EACH row",IF(D3932="","",IF(H3932="credit","",IF(AE3932="free","re-planting",IF(AE3932="me","   not ELP, by",IF(AND(OR(PlanterYesMe="Yes",PlanterYesMe="Y"),G3932&gt;0),(VLOOKUP(A3932,'Discount Lookup'!J:K,2)*G3932*(1-PlanterDiscount)*(1+PlanterDifficultyPercentage)),IF(AE3932="ELP",(VLOOKUP(A3932,'Discount Lookup'!J:K,2)*G3932*(1-PlanterDiscount)*(1+PlanterDifficultyPercentage)),IF(AE3932="free","re-planting",IF(G3932=0,"",IF(PlanterYesMe="",IF(AE3932="me","   not ELP, by",IF(AE3932="",IF(G3932&gt;0,(VLOOKUP(A3932,'Discount Lookup'!J:K,2)*G3932*(1-PlanterDiscount)*(1+PlanterDifficultyPercentage)),""),"")),"   not ELP, by"))))))))))))))</f>
        <v/>
      </c>
      <c r="AD3932" s="712"/>
      <c r="AE3932" s="513" t="str">
        <f t="shared" si="2938"/>
        <v/>
      </c>
      <c r="AF3932" s="713" t="str">
        <f t="shared" si="2939"/>
        <v/>
      </c>
      <c r="AG3932" s="713"/>
      <c r="AH3932" s="713"/>
      <c r="AI3932" s="112">
        <f>IF(H3932="credit",0,IF(AE3932="free",0,IF(AE3932="me",0,IF(G3932&gt;0,(VLOOKUP(A3932,'Discount Lookup'!J:K,2)*G3932),0))))</f>
        <v>0</v>
      </c>
      <c r="AJ3932" s="107" t="str">
        <f t="shared" ca="1" si="2940"/>
        <v/>
      </c>
      <c r="AK3932" s="714" t="str">
        <f t="shared" si="2941"/>
        <v/>
      </c>
      <c r="AL3932" s="714"/>
      <c r="AM3932" s="114" t="str">
        <f t="shared" si="2942"/>
        <v/>
      </c>
      <c r="AN3932" s="115"/>
      <c r="AO3932" s="116"/>
      <c r="AP3932" s="116"/>
      <c r="AQ3932" s="116"/>
      <c r="AR3932" s="116"/>
      <c r="AS3932" s="116"/>
      <c r="AT3932" s="116"/>
      <c r="AU3932" s="116"/>
      <c r="AV3932" s="78"/>
      <c r="AW3932" s="102"/>
      <c r="AX3932" s="78"/>
      <c r="AY3932" s="78"/>
      <c r="AZ3932" s="78"/>
      <c r="BA3932" s="78"/>
      <c r="BB3932" s="78"/>
      <c r="BC3932" s="78"/>
      <c r="BD3932" s="78"/>
      <c r="BE3932" s="465"/>
      <c r="BF3932" s="165" t="str">
        <f t="shared" si="2943"/>
        <v>https://www.google.com/search?tbm=isch&amp;q=moist%20sites%F0%9F%92%A7GOOD%2C%20Evening%20Light%20known%20for%20purple%20foliage%20and%20an%20upright%2C%20vase-shaped%20habit%20</v>
      </c>
      <c r="BG3932" s="165" t="str">
        <f t="shared" si="2944"/>
        <v>m</v>
      </c>
      <c r="BH3932" s="65"/>
      <c r="BI3932" s="65"/>
      <c r="BJ3932" s="65"/>
      <c r="BK3932" s="65"/>
      <c r="BL3932" s="99"/>
      <c r="BM3932" s="99"/>
      <c r="BN3932" s="99"/>
    </row>
    <row r="3933" spans="1:66" s="51" customFormat="1" ht="18" x14ac:dyDescent="0.25">
      <c r="A3933" s="623" t="s">
        <v>4261</v>
      </c>
      <c r="B3933" s="624"/>
      <c r="C3933" s="709"/>
      <c r="D3933" s="625" t="s">
        <v>4262</v>
      </c>
      <c r="E3933" s="626"/>
      <c r="F3933" s="626"/>
      <c r="G3933" s="626"/>
      <c r="H3933" s="622" t="s">
        <v>1471</v>
      </c>
      <c r="I3933" s="627" t="s">
        <v>349</v>
      </c>
      <c r="J3933" s="628"/>
      <c r="K3933" s="628"/>
      <c r="L3933" s="629"/>
      <c r="M3933" s="700" t="s">
        <v>5249</v>
      </c>
      <c r="N3933" s="693" t="str">
        <f>IF(AND(ISTEXT($A3933), ISERROR($A3933+0)), HYPERLINK($BF3933, "Images"), "")</f>
        <v>Images</v>
      </c>
      <c r="O3933" s="695" t="s">
        <v>5247</v>
      </c>
      <c r="P3933" s="630"/>
      <c r="Q3933" s="631"/>
      <c r="R3933" s="632"/>
      <c r="S3933" s="633"/>
      <c r="T3933" s="102">
        <f t="shared" si="2932"/>
        <v>0</v>
      </c>
      <c r="U3933" s="78" t="str">
        <f>IF(NOT(ISNUMBER(G3933)), "", VLOOKUP(A3933,'Discount Lookup'!D:E,2,FALSE)*G3933)</f>
        <v/>
      </c>
      <c r="V3933" s="78" t="str">
        <f>IF(NOT(ISNUMBER(G3933)), "", VLOOKUP(A3933,'Discount Lookup'!G:H,2,FALSE)*G3933)</f>
        <v/>
      </c>
      <c r="W3933" s="102">
        <f t="shared" si="2933"/>
        <v>0</v>
      </c>
      <c r="X3933" s="102" t="str">
        <f t="shared" si="2934"/>
        <v>White bloom</v>
      </c>
      <c r="Y3933" s="120" t="b">
        <f t="shared" si="2935"/>
        <v>0</v>
      </c>
      <c r="Z3933" s="117">
        <f t="shared" si="2936"/>
        <v>0</v>
      </c>
      <c r="AA3933" s="118"/>
      <c r="AB3933" s="118" t="str">
        <f t="shared" si="2937"/>
        <v/>
      </c>
      <c r="AC3933" s="712" t="str">
        <f>IF(AE3933="T2G","no charge",IF(AND(OR(PlanterYesMe="No",PlanterYesMe="N",PlanterYesMe="me"),H3933=""),"",IF(H3933="credit","NO install",IF(AND(K3933="",AE3933="me"),"EACH row",IF(AND(K3933="images",AE3933="me"),"EACH row",IF(D3933="","",IF(H3933="credit","",IF(AE3933="free","re-planting",IF(AE3933="me","   not ELP, by",IF(AND(OR(PlanterYesMe="Yes",PlanterYesMe="Y"),G3933&gt;0),(VLOOKUP(A3933,'Discount Lookup'!J:K,2)*G3933*(1-PlanterDiscount)*(1+PlanterDifficultyPercentage)),IF(AE3933="ELP",(VLOOKUP(A3933,'Discount Lookup'!J:K,2)*G3933*(1-PlanterDiscount)*(1+PlanterDifficultyPercentage)),IF(AE3933="free","re-planting",IF(G3933=0,"",IF(PlanterYesMe="",IF(AE3933="me","   not ELP, by",IF(AE3933="",IF(G3933&gt;0,(VLOOKUP(A3933,'Discount Lookup'!J:K,2)*G3933*(1-PlanterDiscount)*(1+PlanterDifficultyPercentage)),""),"")),"   not ELP, by"))))))))))))))</f>
        <v/>
      </c>
      <c r="AD3933" s="712"/>
      <c r="AE3933" s="513" t="str">
        <f t="shared" si="2938"/>
        <v/>
      </c>
      <c r="AF3933" s="713" t="str">
        <f t="shared" si="2939"/>
        <v/>
      </c>
      <c r="AG3933" s="713"/>
      <c r="AH3933" s="713"/>
      <c r="AI3933" s="112">
        <f>IF(H3933="credit",0,IF(AE3933="free",0,IF(AE3933="me",0,IF(G3933&gt;0,(VLOOKUP(A3933,'Discount Lookup'!J:K,2)*G3933),0))))</f>
        <v>0</v>
      </c>
      <c r="AJ3933" s="107" t="str">
        <f t="shared" ca="1" si="2940"/>
        <v/>
      </c>
      <c r="AK3933" s="714" t="str">
        <f t="shared" si="2941"/>
        <v/>
      </c>
      <c r="AL3933" s="714"/>
      <c r="AM3933" s="114" t="str">
        <f t="shared" si="2942"/>
        <v/>
      </c>
      <c r="AN3933" s="115"/>
      <c r="AO3933" s="116"/>
      <c r="AP3933" s="116"/>
      <c r="AQ3933" s="116"/>
      <c r="AR3933" s="116"/>
      <c r="AS3933" s="116"/>
      <c r="AT3933" s="116"/>
      <c r="AU3933" s="116"/>
      <c r="AV3933" s="78"/>
      <c r="AW3933" s="102"/>
      <c r="AX3933" s="78"/>
      <c r="AY3933" s="78"/>
      <c r="AZ3933" s="78"/>
      <c r="BA3933" s="78"/>
      <c r="BB3933" s="78"/>
      <c r="BC3933" s="78"/>
      <c r="BD3933" s="78"/>
      <c r="BE3933" s="465"/>
      <c r="BF3933" s="165" t="str">
        <f t="shared" si="2943"/>
        <v>https://www.google.com/search?tbm=isch&amp;q=Styrax%20japonicus%20%27Fragrant%20Fountain%27%20PP%2319664%20Fragrant%20Fountain%20Japanese%20Snowbell</v>
      </c>
      <c r="BG3933" s="165" t="str">
        <f t="shared" si="2944"/>
        <v>S</v>
      </c>
      <c r="BH3933" s="65"/>
      <c r="BI3933" s="65"/>
      <c r="BJ3933" s="65"/>
      <c r="BK3933" s="65"/>
      <c r="BL3933" s="99"/>
      <c r="BM3933" s="99"/>
      <c r="BN3933" s="99"/>
    </row>
    <row r="3934" spans="1:66" s="51" customFormat="1" ht="15.75" x14ac:dyDescent="0.25">
      <c r="A3934" s="634">
        <v>7</v>
      </c>
      <c r="B3934" s="635" t="s">
        <v>291</v>
      </c>
      <c r="C3934" s="636" t="s">
        <v>4263</v>
      </c>
      <c r="D3934" s="637" t="s">
        <v>299</v>
      </c>
      <c r="E3934" s="638">
        <v>160.94999999999999</v>
      </c>
      <c r="F3934" s="639" t="s">
        <v>292</v>
      </c>
      <c r="G3934" s="484">
        <v>0</v>
      </c>
      <c r="H3934" s="691" t="str">
        <f>IF(G3934=0,"",IF(F3934="Buy",IF(G3934=1,"plant","plants"),IF(F3934&gt;0.01,"warranty","Error")))</f>
        <v/>
      </c>
      <c r="I3934" s="640">
        <f>IF(H3934="free",0,IF(H3934="credit",((E3934*(F3934))*G3934*-1),IF(F3934="Buy",(E3934*G3934),((E3934*(1-F3934))*G3934))))</f>
        <v>0</v>
      </c>
      <c r="J3934" s="640">
        <f>IF(H3934="warranty",0,(I3934*(_xlfn.SINGLE(SalesTaxPercentage))))</f>
        <v>0</v>
      </c>
      <c r="K3934" s="716">
        <f t="shared" ref="K3934" si="2950">I3934+J3934</f>
        <v>0</v>
      </c>
      <c r="L3934" s="716"/>
      <c r="M3934" s="689" t="str">
        <f ca="1">IF(AND(G3934&gt;0,E3934=0),"WARNING - no PRICE inserted",IF(H3934="free","FREE ~ no charge this plant",IF(H3934="credit",CONCATENATE("-$",ROUND(K3934*(1-_xlfn.SINGLE(T2GDiscount))*-1,2)," CREDIT after discount"),IF(_xlfn.SINGLE(T2GDiscount)=0,"",IF(G3934=0,"",IF(F3934="Buy",CONCATENATE("$",ROUND(K3934*(1-_xlfn.SINGLE(T2GDiscount)),2)," with ",(_xlfn.SINGLE(T2GDiscount)*100),"% discount"),CONCATENATE("$",ROUND(K3934*(1-_xlfn.SINGLE(T2GDiscount)),2)," with ",((_xlfn.SINGLE(T2GDiscount)*100+F3934*100)-(_xlfn.SINGLE(T2GDiscount)*100*F3934)),IF(F3934&gt;0,"% discounts",IF(_xlfn.SINGLE(NoWarrantyDiscount)&gt;0,"% discounts","% discount")))))))))</f>
        <v/>
      </c>
      <c r="N3934" s="690"/>
      <c r="O3934" s="486"/>
      <c r="P3934" s="486"/>
      <c r="Q3934" s="486"/>
      <c r="R3934" s="486"/>
      <c r="S3934" s="486"/>
      <c r="T3934" s="102">
        <f t="shared" si="2932"/>
        <v>0</v>
      </c>
      <c r="U3934" s="78">
        <f>IF(NOT(ISNUMBER(G3934)), "", VLOOKUP(A3934,'Discount Lookup'!D:E,2,FALSE)*G3934)</f>
        <v>0</v>
      </c>
      <c r="V3934" s="78">
        <f>IF(NOT(ISNUMBER(G3934)), "", VLOOKUP(A3934,'Discount Lookup'!G:H,2,FALSE)*G3934)</f>
        <v>0</v>
      </c>
      <c r="W3934" s="102">
        <f t="shared" si="2933"/>
        <v>0</v>
      </c>
      <c r="X3934" s="102">
        <f t="shared" si="2934"/>
        <v>0</v>
      </c>
      <c r="Y3934" s="120" t="b">
        <f t="shared" si="2935"/>
        <v>0</v>
      </c>
      <c r="Z3934" s="117">
        <f t="shared" si="2936"/>
        <v>0</v>
      </c>
      <c r="AA3934" s="118"/>
      <c r="AB3934" s="118" t="str">
        <f t="shared" si="2937"/>
        <v/>
      </c>
      <c r="AC3934" s="712" t="str">
        <f>IF(AE3934="T2G","no charge",IF(AND(OR(PlanterYesMe="No",PlanterYesMe="N",PlanterYesMe="me"),H3934=""),"",IF(H3934="credit","NO install",IF(AND(K3934="",AE3934="me"),"EACH row",IF(AND(K3934="images",AE3934="me"),"EACH row",IF(D3934="","",IF(H3934="credit","",IF(AE3934="free","re-planting",IF(AE3934="me","   not ELP, by",IF(AND(OR(PlanterYesMe="Yes",PlanterYesMe="Y"),G3934&gt;0),(VLOOKUP(A3934,'Discount Lookup'!J:K,2)*G3934*(1-PlanterDiscount)*(1+PlanterDifficultyPercentage)),IF(AE3934="ELP",(VLOOKUP(A3934,'Discount Lookup'!J:K,2)*G3934*(1-PlanterDiscount)*(1+PlanterDifficultyPercentage)),IF(AE3934="free","re-planting",IF(G3934=0,"",IF(PlanterYesMe="",IF(AE3934="me","   not ELP, by",IF(AE3934="",IF(G3934&gt;0,(VLOOKUP(A3934,'Discount Lookup'!J:K,2)*G3934*(1-PlanterDiscount)*(1+PlanterDifficultyPercentage)),""),"")),"   not ELP, by"))))))))))))))</f>
        <v/>
      </c>
      <c r="AD3934" s="712"/>
      <c r="AE3934" s="513" t="str">
        <f t="shared" si="2938"/>
        <v/>
      </c>
      <c r="AF3934" s="713" t="str">
        <f t="shared" si="2939"/>
        <v/>
      </c>
      <c r="AG3934" s="713"/>
      <c r="AH3934" s="713"/>
      <c r="AI3934" s="112">
        <f>IF(H3934="credit",0,IF(AE3934="free",0,IF(AE3934="me",0,IF(G3934&gt;0,(VLOOKUP(A3934,'Discount Lookup'!J:K,2)*G3934),0))))</f>
        <v>0</v>
      </c>
      <c r="AJ3934" s="107" t="str">
        <f t="shared" ca="1" si="2940"/>
        <v/>
      </c>
      <c r="AK3934" s="714" t="str">
        <f t="shared" si="2941"/>
        <v/>
      </c>
      <c r="AL3934" s="714"/>
      <c r="AM3934" s="114" t="str">
        <f t="shared" si="2942"/>
        <v/>
      </c>
      <c r="AN3934" s="115"/>
      <c r="AO3934" s="116"/>
      <c r="AP3934" s="116"/>
      <c r="AQ3934" s="116"/>
      <c r="AR3934" s="116"/>
      <c r="AS3934" s="116"/>
      <c r="AT3934" s="116"/>
      <c r="AU3934" s="116"/>
      <c r="AV3934" s="78"/>
      <c r="AW3934" s="102"/>
      <c r="AX3934" s="78"/>
      <c r="AY3934" s="78"/>
      <c r="AZ3934" s="78"/>
      <c r="BA3934" s="78"/>
      <c r="BB3934" s="78"/>
      <c r="BC3934" s="78"/>
      <c r="BD3934" s="78"/>
      <c r="BE3934" s="465"/>
      <c r="BF3934" s="165" t="str">
        <f t="shared" si="2943"/>
        <v>https://www.google.com/search?tbm=isch&amp;q=7%20G4</v>
      </c>
      <c r="BG3934" s="165" t="str">
        <f t="shared" si="2944"/>
        <v>S</v>
      </c>
      <c r="BH3934" s="65"/>
      <c r="BI3934" s="65"/>
      <c r="BJ3934" s="65"/>
      <c r="BK3934" s="65"/>
      <c r="BL3934" s="99"/>
      <c r="BM3934" s="99"/>
      <c r="BN3934" s="99"/>
    </row>
    <row r="3935" spans="1:66" s="51" customFormat="1" ht="15.75" x14ac:dyDescent="0.25">
      <c r="A3935" s="634">
        <v>10</v>
      </c>
      <c r="B3935" s="635" t="s">
        <v>291</v>
      </c>
      <c r="C3935" s="636" t="s">
        <v>4264</v>
      </c>
      <c r="D3935" s="637" t="s">
        <v>299</v>
      </c>
      <c r="E3935" s="638">
        <v>192.95</v>
      </c>
      <c r="F3935" s="639" t="s">
        <v>292</v>
      </c>
      <c r="G3935" s="484">
        <v>0</v>
      </c>
      <c r="H3935" s="691" t="str">
        <f>IF(G3935=0,"",IF(F3935="Buy",IF(G3935=1,"plant","plants"),IF(F3935&gt;0.01,"warranty","Error")))</f>
        <v/>
      </c>
      <c r="I3935" s="640">
        <f>IF(H3935="free",0,IF(H3935="credit",((E3935*(F3935))*G3935*-1),IF(F3935="Buy",(E3935*G3935),((E3935*(1-F3935))*G3935))))</f>
        <v>0</v>
      </c>
      <c r="J3935" s="640">
        <f>IF(H3935="warranty",0,(I3935*(_xlfn.SINGLE(SalesTaxPercentage))))</f>
        <v>0</v>
      </c>
      <c r="K3935" s="716">
        <f t="shared" ref="K3935" si="2951">I3935+J3935</f>
        <v>0</v>
      </c>
      <c r="L3935" s="716"/>
      <c r="M3935" s="689" t="str">
        <f ca="1">IF(AND(G3935&gt;0,E3935=0),"WARNING - no PRICE inserted",IF(H3935="free","FREE ~ no charge this plant",IF(H3935="credit",CONCATENATE("-$",ROUND(K3935*(1-_xlfn.SINGLE(T2GDiscount))*-1,2)," CREDIT after discount"),IF(_xlfn.SINGLE(T2GDiscount)=0,"",IF(G3935=0,"",IF(F3935="Buy",CONCATENATE("$",ROUND(K3935*(1-_xlfn.SINGLE(T2GDiscount)),2)," with ",(_xlfn.SINGLE(T2GDiscount)*100),"% discount"),CONCATENATE("$",ROUND(K3935*(1-_xlfn.SINGLE(T2GDiscount)),2)," with ",((_xlfn.SINGLE(T2GDiscount)*100+F3935*100)-(_xlfn.SINGLE(T2GDiscount)*100*F3935)),IF(F3935&gt;0,"% discounts",IF(_xlfn.SINGLE(NoWarrantyDiscount)&gt;0,"% discounts","% discount")))))))))</f>
        <v/>
      </c>
      <c r="N3935" s="690"/>
      <c r="O3935" s="486"/>
      <c r="P3935" s="486"/>
      <c r="Q3935" s="486"/>
      <c r="R3935" s="486"/>
      <c r="S3935" s="486"/>
      <c r="T3935" s="102">
        <f t="shared" si="2932"/>
        <v>0</v>
      </c>
      <c r="U3935" s="78">
        <f>IF(NOT(ISNUMBER(G3935)), "", VLOOKUP(A3935,'Discount Lookup'!D:E,2,FALSE)*G3935)</f>
        <v>0</v>
      </c>
      <c r="V3935" s="78">
        <f>IF(NOT(ISNUMBER(G3935)), "", VLOOKUP(A3935,'Discount Lookup'!G:H,2,FALSE)*G3935)</f>
        <v>0</v>
      </c>
      <c r="W3935" s="102">
        <f t="shared" si="2933"/>
        <v>0</v>
      </c>
      <c r="X3935" s="102">
        <f t="shared" si="2934"/>
        <v>0</v>
      </c>
      <c r="Y3935" s="120" t="b">
        <f t="shared" si="2935"/>
        <v>0</v>
      </c>
      <c r="Z3935" s="117">
        <f t="shared" si="2936"/>
        <v>0</v>
      </c>
      <c r="AA3935" s="118"/>
      <c r="AB3935" s="118" t="str">
        <f t="shared" si="2937"/>
        <v/>
      </c>
      <c r="AC3935" s="712" t="str">
        <f>IF(AE3935="T2G","no charge",IF(AND(OR(PlanterYesMe="No",PlanterYesMe="N",PlanterYesMe="me"),H3935=""),"",IF(H3935="credit","NO install",IF(AND(K3935="",AE3935="me"),"EACH row",IF(AND(K3935="images",AE3935="me"),"EACH row",IF(D3935="","",IF(H3935="credit","",IF(AE3935="free","re-planting",IF(AE3935="me","   not ELP, by",IF(AND(OR(PlanterYesMe="Yes",PlanterYesMe="Y"),G3935&gt;0),(VLOOKUP(A3935,'Discount Lookup'!J:K,2)*G3935*(1-PlanterDiscount)*(1+PlanterDifficultyPercentage)),IF(AE3935="ELP",(VLOOKUP(A3935,'Discount Lookup'!J:K,2)*G3935*(1-PlanterDiscount)*(1+PlanterDifficultyPercentage)),IF(AE3935="free","re-planting",IF(G3935=0,"",IF(PlanterYesMe="",IF(AE3935="me","   not ELP, by",IF(AE3935="",IF(G3935&gt;0,(VLOOKUP(A3935,'Discount Lookup'!J:K,2)*G3935*(1-PlanterDiscount)*(1+PlanterDifficultyPercentage)),""),"")),"   not ELP, by"))))))))))))))</f>
        <v/>
      </c>
      <c r="AD3935" s="712"/>
      <c r="AE3935" s="513" t="str">
        <f t="shared" si="2938"/>
        <v/>
      </c>
      <c r="AF3935" s="713" t="str">
        <f t="shared" si="2939"/>
        <v/>
      </c>
      <c r="AG3935" s="713"/>
      <c r="AH3935" s="713"/>
      <c r="AI3935" s="112">
        <f>IF(H3935="credit",0,IF(AE3935="free",0,IF(AE3935="me",0,IF(G3935&gt;0,(VLOOKUP(A3935,'Discount Lookup'!J:K,2)*G3935),0))))</f>
        <v>0</v>
      </c>
      <c r="AJ3935" s="107" t="str">
        <f t="shared" ca="1" si="2940"/>
        <v/>
      </c>
      <c r="AK3935" s="714" t="str">
        <f t="shared" si="2941"/>
        <v/>
      </c>
      <c r="AL3935" s="714"/>
      <c r="AM3935" s="114" t="str">
        <f t="shared" si="2942"/>
        <v/>
      </c>
      <c r="AN3935" s="115"/>
      <c r="AO3935" s="116"/>
      <c r="AP3935" s="116"/>
      <c r="AQ3935" s="116"/>
      <c r="AR3935" s="116"/>
      <c r="AS3935" s="116"/>
      <c r="AT3935" s="116"/>
      <c r="AU3935" s="116"/>
      <c r="AV3935" s="78"/>
      <c r="AW3935" s="102"/>
      <c r="AX3935" s="78"/>
      <c r="AY3935" s="78"/>
      <c r="AZ3935" s="78"/>
      <c r="BA3935" s="78"/>
      <c r="BB3935" s="78"/>
      <c r="BC3935" s="78"/>
      <c r="BD3935" s="78"/>
      <c r="BE3935" s="465"/>
      <c r="BF3935" s="165" t="str">
        <f t="shared" si="2943"/>
        <v>https://www.google.com/search?tbm=isch&amp;q=10%20G4</v>
      </c>
      <c r="BG3935" s="165" t="str">
        <f t="shared" si="2944"/>
        <v>S</v>
      </c>
      <c r="BH3935" s="65"/>
      <c r="BI3935" s="65"/>
      <c r="BJ3935" s="65"/>
      <c r="BK3935" s="65"/>
      <c r="BL3935" s="99"/>
      <c r="BM3935" s="99"/>
      <c r="BN3935" s="99"/>
    </row>
    <row r="3936" spans="1:66" s="51" customFormat="1" ht="17.25" thickBot="1" x14ac:dyDescent="0.3">
      <c r="A3936" s="704" t="s">
        <v>5536</v>
      </c>
      <c r="B3936" s="642"/>
      <c r="C3936" s="710"/>
      <c r="D3936" s="643"/>
      <c r="E3936" s="643"/>
      <c r="F3936" s="644"/>
      <c r="G3936" s="645"/>
      <c r="H3936" s="646"/>
      <c r="I3936" s="647"/>
      <c r="J3936" s="648"/>
      <c r="K3936" s="649"/>
      <c r="L3936" s="650"/>
      <c r="M3936" s="650"/>
      <c r="N3936" s="644"/>
      <c r="O3936" s="644"/>
      <c r="P3936" s="644"/>
      <c r="Q3936" s="644"/>
      <c r="R3936" s="644"/>
      <c r="S3936" s="701" t="s">
        <v>5271</v>
      </c>
      <c r="T3936" s="102">
        <f t="shared" si="2932"/>
        <v>0</v>
      </c>
      <c r="U3936" s="78" t="str">
        <f>IF(NOT(ISNUMBER(G3936)), "", VLOOKUP(A3936,'Discount Lookup'!D:E,2,FALSE)*G3936)</f>
        <v/>
      </c>
      <c r="V3936" s="78" t="str">
        <f>IF(NOT(ISNUMBER(G3936)), "", VLOOKUP(A3936,'Discount Lookup'!G:H,2,FALSE)*G3936)</f>
        <v/>
      </c>
      <c r="W3936" s="102">
        <f t="shared" si="2933"/>
        <v>0</v>
      </c>
      <c r="X3936" s="102">
        <f t="shared" si="2934"/>
        <v>0</v>
      </c>
      <c r="Y3936" s="120" t="b">
        <f t="shared" si="2935"/>
        <v>0</v>
      </c>
      <c r="Z3936" s="117">
        <f t="shared" si="2936"/>
        <v>0</v>
      </c>
      <c r="AA3936" s="118"/>
      <c r="AB3936" s="118" t="str">
        <f t="shared" si="2937"/>
        <v/>
      </c>
      <c r="AC3936" s="712" t="str">
        <f>IF(AE3936="T2G","no charge",IF(AND(OR(PlanterYesMe="No",PlanterYesMe="N",PlanterYesMe="me"),H3936=""),"",IF(H3936="credit","NO install",IF(AND(K3936="",AE3936="me"),"EACH row",IF(AND(K3936="images",AE3936="me"),"EACH row",IF(D3936="","",IF(H3936="credit","",IF(AE3936="free","re-planting",IF(AE3936="me","   not ELP, by",IF(AND(OR(PlanterYesMe="Yes",PlanterYesMe="Y"),G3936&gt;0),(VLOOKUP(A3936,'Discount Lookup'!J:K,2)*G3936*(1-PlanterDiscount)*(1+PlanterDifficultyPercentage)),IF(AE3936="ELP",(VLOOKUP(A3936,'Discount Lookup'!J:K,2)*G3936*(1-PlanterDiscount)*(1+PlanterDifficultyPercentage)),IF(AE3936="free","re-planting",IF(G3936=0,"",IF(PlanterYesMe="",IF(AE3936="me","   not ELP, by",IF(AE3936="",IF(G3936&gt;0,(VLOOKUP(A3936,'Discount Lookup'!J:K,2)*G3936*(1-PlanterDiscount)*(1+PlanterDifficultyPercentage)),""),"")),"   not ELP, by"))))))))))))))</f>
        <v/>
      </c>
      <c r="AD3936" s="712"/>
      <c r="AE3936" s="513" t="str">
        <f t="shared" si="2938"/>
        <v/>
      </c>
      <c r="AF3936" s="713" t="str">
        <f t="shared" si="2939"/>
        <v/>
      </c>
      <c r="AG3936" s="713"/>
      <c r="AH3936" s="713"/>
      <c r="AI3936" s="112">
        <f>IF(H3936="credit",0,IF(AE3936="free",0,IF(AE3936="me",0,IF(G3936&gt;0,(VLOOKUP(A3936,'Discount Lookup'!J:K,2)*G3936),0))))</f>
        <v>0</v>
      </c>
      <c r="AJ3936" s="107" t="str">
        <f t="shared" ca="1" si="2940"/>
        <v/>
      </c>
      <c r="AK3936" s="714" t="str">
        <f t="shared" si="2941"/>
        <v/>
      </c>
      <c r="AL3936" s="714"/>
      <c r="AM3936" s="114" t="str">
        <f t="shared" si="2942"/>
        <v/>
      </c>
      <c r="AN3936" s="115"/>
      <c r="AO3936" s="116"/>
      <c r="AP3936" s="116"/>
      <c r="AQ3936" s="116"/>
      <c r="AR3936" s="116"/>
      <c r="AS3936" s="116"/>
      <c r="AT3936" s="116"/>
      <c r="AU3936" s="116"/>
      <c r="AV3936" s="78"/>
      <c r="AW3936" s="102"/>
      <c r="AX3936" s="78"/>
      <c r="AY3936" s="78"/>
      <c r="AZ3936" s="78"/>
      <c r="BA3936" s="78"/>
      <c r="BB3936" s="78"/>
      <c r="BC3936" s="78"/>
      <c r="BD3936" s="78"/>
      <c r="BE3936" s="465"/>
      <c r="BF3936" s="165" t="str">
        <f t="shared" si="2943"/>
        <v>https://www.google.com/search?tbm=isch&amp;q=moist%20sites%F0%9F%92%A7GOOD%2C%20Fragrant%20Fountain%20has%20cascading%20fragrant%20blooms%20and%20graceful%20weeping%20branches.%20Foliage%20is%20Deep%20Green%2C%20Yellow%20in%20fall%20</v>
      </c>
      <c r="BG3936" s="165" t="str">
        <f t="shared" si="2944"/>
        <v>m</v>
      </c>
      <c r="BH3936" s="65"/>
      <c r="BI3936" s="65"/>
      <c r="BJ3936" s="65"/>
      <c r="BK3936" s="65"/>
      <c r="BL3936" s="99"/>
      <c r="BM3936" s="99"/>
      <c r="BN3936" s="99"/>
    </row>
    <row r="3937" spans="1:66" s="51" customFormat="1" ht="18" x14ac:dyDescent="0.25">
      <c r="A3937" s="623" t="s">
        <v>4265</v>
      </c>
      <c r="B3937" s="624"/>
      <c r="C3937" s="709"/>
      <c r="D3937" s="625" t="s">
        <v>5829</v>
      </c>
      <c r="E3937" s="626"/>
      <c r="F3937" s="626"/>
      <c r="G3937" s="626"/>
      <c r="H3937" s="622" t="s">
        <v>1471</v>
      </c>
      <c r="I3937" s="627" t="s">
        <v>349</v>
      </c>
      <c r="J3937" s="628"/>
      <c r="K3937" s="628"/>
      <c r="L3937" s="629"/>
      <c r="M3937" s="700" t="s">
        <v>5249</v>
      </c>
      <c r="N3937" s="693" t="str">
        <f>IF(AND(ISTEXT($A3937), ISERROR($A3937+0)), HYPERLINK($BF3937, "Images"), "")</f>
        <v>Images</v>
      </c>
      <c r="O3937" s="695" t="s">
        <v>5247</v>
      </c>
      <c r="P3937" s="630"/>
      <c r="Q3937" s="631"/>
      <c r="R3937" s="632"/>
      <c r="S3937" s="633"/>
      <c r="T3937" s="102">
        <f t="shared" si="2932"/>
        <v>0</v>
      </c>
      <c r="U3937" s="78" t="str">
        <f>IF(NOT(ISNUMBER(G3937)), "", VLOOKUP(A3937,'Discount Lookup'!D:E,2,FALSE)*G3937)</f>
        <v/>
      </c>
      <c r="V3937" s="78" t="str">
        <f>IF(NOT(ISNUMBER(G3937)), "", VLOOKUP(A3937,'Discount Lookup'!G:H,2,FALSE)*G3937)</f>
        <v/>
      </c>
      <c r="W3937" s="102">
        <f t="shared" si="2933"/>
        <v>0</v>
      </c>
      <c r="X3937" s="102" t="str">
        <f t="shared" si="2934"/>
        <v>White bloom</v>
      </c>
      <c r="Y3937" s="120" t="b">
        <f t="shared" si="2935"/>
        <v>0</v>
      </c>
      <c r="Z3937" s="117">
        <f t="shared" si="2936"/>
        <v>0</v>
      </c>
      <c r="AA3937" s="118"/>
      <c r="AB3937" s="118" t="str">
        <f t="shared" si="2937"/>
        <v/>
      </c>
      <c r="AC3937" s="712" t="str">
        <f>IF(AE3937="T2G","no charge",IF(AND(OR(PlanterYesMe="No",PlanterYesMe="N",PlanterYesMe="me"),H3937=""),"",IF(H3937="credit","NO install",IF(AND(K3937="",AE3937="me"),"EACH row",IF(AND(K3937="images",AE3937="me"),"EACH row",IF(D3937="","",IF(H3937="credit","",IF(AE3937="free","re-planting",IF(AE3937="me","   not ELP, by",IF(AND(OR(PlanterYesMe="Yes",PlanterYesMe="Y"),G3937&gt;0),(VLOOKUP(A3937,'Discount Lookup'!J:K,2)*G3937*(1-PlanterDiscount)*(1+PlanterDifficultyPercentage)),IF(AE3937="ELP",(VLOOKUP(A3937,'Discount Lookup'!J:K,2)*G3937*(1-PlanterDiscount)*(1+PlanterDifficultyPercentage)),IF(AE3937="free","re-planting",IF(G3937=0,"",IF(PlanterYesMe="",IF(AE3937="me","   not ELP, by",IF(AE3937="",IF(G3937&gt;0,(VLOOKUP(A3937,'Discount Lookup'!J:K,2)*G3937*(1-PlanterDiscount)*(1+PlanterDifficultyPercentage)),""),"")),"   not ELP, by"))))))))))))))</f>
        <v/>
      </c>
      <c r="AD3937" s="712"/>
      <c r="AE3937" s="513" t="str">
        <f t="shared" si="2938"/>
        <v/>
      </c>
      <c r="AF3937" s="713" t="str">
        <f t="shared" si="2939"/>
        <v/>
      </c>
      <c r="AG3937" s="713"/>
      <c r="AH3937" s="713"/>
      <c r="AI3937" s="112">
        <f>IF(H3937="credit",0,IF(AE3937="free",0,IF(AE3937="me",0,IF(G3937&gt;0,(VLOOKUP(A3937,'Discount Lookup'!J:K,2)*G3937),0))))</f>
        <v>0</v>
      </c>
      <c r="AJ3937" s="107" t="str">
        <f t="shared" ca="1" si="2940"/>
        <v/>
      </c>
      <c r="AK3937" s="714" t="str">
        <f t="shared" si="2941"/>
        <v/>
      </c>
      <c r="AL3937" s="714"/>
      <c r="AM3937" s="114" t="str">
        <f t="shared" si="2942"/>
        <v/>
      </c>
      <c r="AN3937" s="115"/>
      <c r="AO3937" s="116"/>
      <c r="AP3937" s="116"/>
      <c r="AQ3937" s="116"/>
      <c r="AR3937" s="116"/>
      <c r="AS3937" s="116"/>
      <c r="AT3937" s="116"/>
      <c r="AU3937" s="116"/>
      <c r="AV3937" s="78"/>
      <c r="AW3937" s="102"/>
      <c r="AX3937" s="78"/>
      <c r="AY3937" s="78"/>
      <c r="AZ3937" s="78"/>
      <c r="BA3937" s="78"/>
      <c r="BB3937" s="78"/>
      <c r="BC3937" s="78"/>
      <c r="BD3937" s="78"/>
      <c r="BE3937" s="465"/>
      <c r="BF3937" s="165" t="str">
        <f t="shared" si="2943"/>
        <v>https://www.google.com/search?tbm=isch&amp;q=Styrax%20japonicus%20%27JFS%206SJ%27%20PP%2334817%20Nightfall%C2%AE%20Japanese%20Snowbell</v>
      </c>
      <c r="BG3937" s="165" t="str">
        <f t="shared" si="2944"/>
        <v>S</v>
      </c>
      <c r="BH3937" s="65"/>
      <c r="BI3937" s="65"/>
      <c r="BJ3937" s="65"/>
      <c r="BK3937" s="65"/>
      <c r="BL3937" s="99"/>
      <c r="BM3937" s="99"/>
      <c r="BN3937" s="99"/>
    </row>
    <row r="3938" spans="1:66" s="51" customFormat="1" ht="27" x14ac:dyDescent="0.25">
      <c r="A3938" s="634">
        <v>7</v>
      </c>
      <c r="B3938" s="635" t="s">
        <v>291</v>
      </c>
      <c r="C3938" s="636" t="s">
        <v>4266</v>
      </c>
      <c r="D3938" s="637" t="s">
        <v>299</v>
      </c>
      <c r="E3938" s="638">
        <v>178.95</v>
      </c>
      <c r="F3938" s="639" t="s">
        <v>292</v>
      </c>
      <c r="G3938" s="484">
        <v>0</v>
      </c>
      <c r="H3938" s="691" t="str">
        <f>IF(G3938=0,"",IF(F3938="Buy",IF(G3938=1,"plant","plants"),IF(F3938&gt;0.01,"warranty","Error")))</f>
        <v/>
      </c>
      <c r="I3938" s="640">
        <f>IF(H3938="free",0,IF(H3938="credit",((E3938*(F3938))*G3938*-1),IF(F3938="Buy",(E3938*G3938),((E3938*(1-F3938))*G3938))))</f>
        <v>0</v>
      </c>
      <c r="J3938" s="640">
        <f>IF(H3938="warranty",0,(I3938*(_xlfn.SINGLE(SalesTaxPercentage))))</f>
        <v>0</v>
      </c>
      <c r="K3938" s="716">
        <f t="shared" ref="K3938" si="2952">I3938+J3938</f>
        <v>0</v>
      </c>
      <c r="L3938" s="716"/>
      <c r="M3938" s="689" t="str">
        <f ca="1">IF(AND(G3938&gt;0,E3938=0),"WARNING - no PRICE inserted",IF(H3938="free","FREE ~ no charge this plant",IF(H3938="credit",CONCATENATE("-$",ROUND(K3938*(1-_xlfn.SINGLE(T2GDiscount))*-1,2)," CREDIT after discount"),IF(_xlfn.SINGLE(T2GDiscount)=0,"",IF(G3938=0,"",IF(F3938="Buy",CONCATENATE("$",ROUND(K3938*(1-_xlfn.SINGLE(T2GDiscount)),2)," with ",(_xlfn.SINGLE(T2GDiscount)*100),"% discount"),CONCATENATE("$",ROUND(K3938*(1-_xlfn.SINGLE(T2GDiscount)),2)," with ",((_xlfn.SINGLE(T2GDiscount)*100+F3938*100)-(_xlfn.SINGLE(T2GDiscount)*100*F3938)),IF(F3938&gt;0,"% discounts",IF(_xlfn.SINGLE(NoWarrantyDiscount)&gt;0,"% discounts","% discount")))))))))</f>
        <v/>
      </c>
      <c r="N3938" s="690"/>
      <c r="O3938" s="486"/>
      <c r="P3938" s="486"/>
      <c r="Q3938" s="486"/>
      <c r="R3938" s="486"/>
      <c r="S3938" s="486"/>
      <c r="T3938" s="102">
        <f t="shared" si="2932"/>
        <v>0</v>
      </c>
      <c r="U3938" s="78">
        <f>IF(NOT(ISNUMBER(G3938)), "", VLOOKUP(A3938,'Discount Lookup'!D:E,2,FALSE)*G3938)</f>
        <v>0</v>
      </c>
      <c r="V3938" s="78">
        <f>IF(NOT(ISNUMBER(G3938)), "", VLOOKUP(A3938,'Discount Lookup'!G:H,2,FALSE)*G3938)</f>
        <v>0</v>
      </c>
      <c r="W3938" s="102">
        <f t="shared" si="2933"/>
        <v>0</v>
      </c>
      <c r="X3938" s="102">
        <f t="shared" si="2934"/>
        <v>0</v>
      </c>
      <c r="Y3938" s="120" t="b">
        <f t="shared" si="2935"/>
        <v>0</v>
      </c>
      <c r="Z3938" s="117">
        <f t="shared" si="2936"/>
        <v>0</v>
      </c>
      <c r="AA3938" s="118"/>
      <c r="AB3938" s="118" t="str">
        <f t="shared" si="2937"/>
        <v/>
      </c>
      <c r="AC3938" s="712" t="str">
        <f>IF(AE3938="T2G","no charge",IF(AND(OR(PlanterYesMe="No",PlanterYesMe="N",PlanterYesMe="me"),H3938=""),"",IF(H3938="credit","NO install",IF(AND(K3938="",AE3938="me"),"EACH row",IF(AND(K3938="images",AE3938="me"),"EACH row",IF(D3938="","",IF(H3938="credit","",IF(AE3938="free","re-planting",IF(AE3938="me","   not ELP, by",IF(AND(OR(PlanterYesMe="Yes",PlanterYesMe="Y"),G3938&gt;0),(VLOOKUP(A3938,'Discount Lookup'!J:K,2)*G3938*(1-PlanterDiscount)*(1+PlanterDifficultyPercentage)),IF(AE3938="ELP",(VLOOKUP(A3938,'Discount Lookup'!J:K,2)*G3938*(1-PlanterDiscount)*(1+PlanterDifficultyPercentage)),IF(AE3938="free","re-planting",IF(G3938=0,"",IF(PlanterYesMe="",IF(AE3938="me","   not ELP, by",IF(AE3938="",IF(G3938&gt;0,(VLOOKUP(A3938,'Discount Lookup'!J:K,2)*G3938*(1-PlanterDiscount)*(1+PlanterDifficultyPercentage)),""),"")),"   not ELP, by"))))))))))))))</f>
        <v/>
      </c>
      <c r="AD3938" s="712"/>
      <c r="AE3938" s="513" t="str">
        <f t="shared" si="2938"/>
        <v/>
      </c>
      <c r="AF3938" s="713" t="str">
        <f t="shared" si="2939"/>
        <v/>
      </c>
      <c r="AG3938" s="713"/>
      <c r="AH3938" s="713"/>
      <c r="AI3938" s="112">
        <f>IF(H3938="credit",0,IF(AE3938="free",0,IF(AE3938="me",0,IF(G3938&gt;0,(VLOOKUP(A3938,'Discount Lookup'!J:K,2)*G3938),0))))</f>
        <v>0</v>
      </c>
      <c r="AJ3938" s="107" t="str">
        <f t="shared" ca="1" si="2940"/>
        <v/>
      </c>
      <c r="AK3938" s="714" t="str">
        <f t="shared" si="2941"/>
        <v/>
      </c>
      <c r="AL3938" s="714"/>
      <c r="AM3938" s="114" t="str">
        <f t="shared" si="2942"/>
        <v/>
      </c>
      <c r="AN3938" s="115"/>
      <c r="AO3938" s="116"/>
      <c r="AP3938" s="116"/>
      <c r="AQ3938" s="116"/>
      <c r="AR3938" s="116"/>
      <c r="AS3938" s="116"/>
      <c r="AT3938" s="116"/>
      <c r="AU3938" s="116"/>
      <c r="AV3938" s="78"/>
      <c r="AW3938" s="102"/>
      <c r="AX3938" s="78"/>
      <c r="AY3938" s="78"/>
      <c r="AZ3938" s="78"/>
      <c r="BA3938" s="78"/>
      <c r="BB3938" s="78"/>
      <c r="BC3938" s="78"/>
      <c r="BD3938" s="78"/>
      <c r="BE3938" s="465"/>
      <c r="BF3938" s="165" t="str">
        <f t="shared" si="2943"/>
        <v>https://www.google.com/search?tbm=isch&amp;q=7%20G4</v>
      </c>
      <c r="BG3938" s="165" t="str">
        <f t="shared" si="2944"/>
        <v>S</v>
      </c>
      <c r="BH3938" s="65"/>
      <c r="BI3938" s="65"/>
      <c r="BJ3938" s="65"/>
      <c r="BK3938" s="65"/>
      <c r="BL3938" s="99"/>
      <c r="BM3938" s="99"/>
      <c r="BN3938" s="99"/>
    </row>
    <row r="3939" spans="1:66" s="51" customFormat="1" ht="17.25" thickBot="1" x14ac:dyDescent="0.3">
      <c r="A3939" s="704" t="s">
        <v>5537</v>
      </c>
      <c r="B3939" s="642"/>
      <c r="C3939" s="710"/>
      <c r="D3939" s="643"/>
      <c r="E3939" s="643"/>
      <c r="F3939" s="644"/>
      <c r="G3939" s="645"/>
      <c r="H3939" s="646"/>
      <c r="I3939" s="647"/>
      <c r="J3939" s="648"/>
      <c r="K3939" s="649"/>
      <c r="L3939" s="650"/>
      <c r="M3939" s="650"/>
      <c r="N3939" s="644"/>
      <c r="O3939" s="644"/>
      <c r="P3939" s="644"/>
      <c r="Q3939" s="644"/>
      <c r="R3939" s="644"/>
      <c r="S3939" s="701" t="s">
        <v>5262</v>
      </c>
      <c r="T3939" s="102">
        <f t="shared" si="2932"/>
        <v>0</v>
      </c>
      <c r="U3939" s="78" t="str">
        <f>IF(NOT(ISNUMBER(G3939)), "", VLOOKUP(A3939,'Discount Lookup'!D:E,2,FALSE)*G3939)</f>
        <v/>
      </c>
      <c r="V3939" s="78" t="str">
        <f>IF(NOT(ISNUMBER(G3939)), "", VLOOKUP(A3939,'Discount Lookup'!G:H,2,FALSE)*G3939)</f>
        <v/>
      </c>
      <c r="W3939" s="102">
        <f t="shared" si="2933"/>
        <v>0</v>
      </c>
      <c r="X3939" s="102">
        <f t="shared" si="2934"/>
        <v>0</v>
      </c>
      <c r="Y3939" s="120" t="b">
        <f t="shared" si="2935"/>
        <v>0</v>
      </c>
      <c r="Z3939" s="117">
        <f t="shared" si="2936"/>
        <v>0</v>
      </c>
      <c r="AA3939" s="118"/>
      <c r="AB3939" s="118" t="str">
        <f t="shared" si="2937"/>
        <v/>
      </c>
      <c r="AC3939" s="712" t="str">
        <f>IF(AE3939="T2G","no charge",IF(AND(OR(PlanterYesMe="No",PlanterYesMe="N",PlanterYesMe="me"),H3939=""),"",IF(H3939="credit","NO install",IF(AND(K3939="",AE3939="me"),"EACH row",IF(AND(K3939="images",AE3939="me"),"EACH row",IF(D3939="","",IF(H3939="credit","",IF(AE3939="free","re-planting",IF(AE3939="me","   not ELP, by",IF(AND(OR(PlanterYesMe="Yes",PlanterYesMe="Y"),G3939&gt;0),(VLOOKUP(A3939,'Discount Lookup'!J:K,2)*G3939*(1-PlanterDiscount)*(1+PlanterDifficultyPercentage)),IF(AE3939="ELP",(VLOOKUP(A3939,'Discount Lookup'!J:K,2)*G3939*(1-PlanterDiscount)*(1+PlanterDifficultyPercentage)),IF(AE3939="free","re-planting",IF(G3939=0,"",IF(PlanterYesMe="",IF(AE3939="me","   not ELP, by",IF(AE3939="",IF(G3939&gt;0,(VLOOKUP(A3939,'Discount Lookup'!J:K,2)*G3939*(1-PlanterDiscount)*(1+PlanterDifficultyPercentage)),""),"")),"   not ELP, by"))))))))))))))</f>
        <v/>
      </c>
      <c r="AD3939" s="712"/>
      <c r="AE3939" s="513" t="str">
        <f t="shared" si="2938"/>
        <v/>
      </c>
      <c r="AF3939" s="713" t="str">
        <f t="shared" si="2939"/>
        <v/>
      </c>
      <c r="AG3939" s="713"/>
      <c r="AH3939" s="713"/>
      <c r="AI3939" s="112">
        <f>IF(H3939="credit",0,IF(AE3939="free",0,IF(AE3939="me",0,IF(G3939&gt;0,(VLOOKUP(A3939,'Discount Lookup'!J:K,2)*G3939),0))))</f>
        <v>0</v>
      </c>
      <c r="AJ3939" s="107" t="str">
        <f t="shared" ca="1" si="2940"/>
        <v/>
      </c>
      <c r="AK3939" s="714" t="str">
        <f t="shared" si="2941"/>
        <v/>
      </c>
      <c r="AL3939" s="714"/>
      <c r="AM3939" s="114" t="str">
        <f t="shared" si="2942"/>
        <v/>
      </c>
      <c r="AN3939" s="115"/>
      <c r="AO3939" s="116"/>
      <c r="AP3939" s="116"/>
      <c r="AQ3939" s="116"/>
      <c r="AR3939" s="116"/>
      <c r="AS3939" s="116"/>
      <c r="AT3939" s="116"/>
      <c r="AU3939" s="116"/>
      <c r="AV3939" s="78"/>
      <c r="AW3939" s="102"/>
      <c r="AX3939" s="78"/>
      <c r="AY3939" s="78"/>
      <c r="AZ3939" s="78"/>
      <c r="BA3939" s="78"/>
      <c r="BB3939" s="78"/>
      <c r="BC3939" s="78"/>
      <c r="BD3939" s="78"/>
      <c r="BE3939" s="465"/>
      <c r="BF3939" s="165" t="str">
        <f t="shared" si="2943"/>
        <v>https://www.google.com/search?tbm=isch&amp;q=moist%20sites%F0%9F%92%A7GOOD%2C%20Nightfall%20has%20cascading%20Purple%20foliage%20and%20fragrant%20bell-shaped%20blooms.%20Foliage%20turns%20Green%20over%20summer%20</v>
      </c>
      <c r="BG3939" s="165" t="str">
        <f t="shared" si="2944"/>
        <v>m</v>
      </c>
      <c r="BH3939" s="65"/>
      <c r="BI3939" s="65"/>
      <c r="BJ3939" s="65"/>
      <c r="BK3939" s="65"/>
      <c r="BL3939" s="99"/>
      <c r="BM3939" s="99"/>
      <c r="BN3939" s="99"/>
    </row>
    <row r="3940" spans="1:66" s="51" customFormat="1" ht="18" x14ac:dyDescent="0.25">
      <c r="A3940" s="623" t="s">
        <v>4267</v>
      </c>
      <c r="B3940" s="624"/>
      <c r="C3940" s="709"/>
      <c r="D3940" s="625" t="s">
        <v>5830</v>
      </c>
      <c r="E3940" s="626"/>
      <c r="F3940" s="626"/>
      <c r="G3940" s="626"/>
      <c r="H3940" s="622" t="s">
        <v>1977</v>
      </c>
      <c r="I3940" s="627" t="s">
        <v>4268</v>
      </c>
      <c r="J3940" s="628"/>
      <c r="K3940" s="628"/>
      <c r="L3940" s="629"/>
      <c r="M3940" s="700" t="s">
        <v>5249</v>
      </c>
      <c r="N3940" s="693" t="str">
        <f>IF(AND(ISTEXT($A3940), ISERROR($A3940+0)), HYPERLINK($BF3940, "Images"), "")</f>
        <v>Images</v>
      </c>
      <c r="O3940" s="695" t="s">
        <v>5244</v>
      </c>
      <c r="P3940" s="630"/>
      <c r="Q3940" s="631"/>
      <c r="R3940" s="632"/>
      <c r="S3940" s="633"/>
      <c r="T3940" s="102">
        <f t="shared" si="2932"/>
        <v>0</v>
      </c>
      <c r="U3940" s="78" t="str">
        <f>IF(NOT(ISNUMBER(G3940)), "", VLOOKUP(A3940,'Discount Lookup'!D:E,2,FALSE)*G3940)</f>
        <v/>
      </c>
      <c r="V3940" s="78" t="str">
        <f>IF(NOT(ISNUMBER(G3940)), "", VLOOKUP(A3940,'Discount Lookup'!G:H,2,FALSE)*G3940)</f>
        <v/>
      </c>
      <c r="W3940" s="102">
        <f t="shared" si="2933"/>
        <v>0</v>
      </c>
      <c r="X3940" s="102" t="str">
        <f t="shared" si="2934"/>
        <v>Pale Pink bloom</v>
      </c>
      <c r="Y3940" s="120" t="b">
        <f t="shared" si="2935"/>
        <v>0</v>
      </c>
      <c r="Z3940" s="117">
        <f t="shared" si="2936"/>
        <v>0</v>
      </c>
      <c r="AA3940" s="118"/>
      <c r="AB3940" s="118" t="str">
        <f t="shared" si="2937"/>
        <v/>
      </c>
      <c r="AC3940" s="712" t="str">
        <f>IF(AE3940="T2G","no charge",IF(AND(OR(PlanterYesMe="No",PlanterYesMe="N",PlanterYesMe="me"),H3940=""),"",IF(H3940="credit","NO install",IF(AND(K3940="",AE3940="me"),"EACH row",IF(AND(K3940="images",AE3940="me"),"EACH row",IF(D3940="","",IF(H3940="credit","",IF(AE3940="free","re-planting",IF(AE3940="me","   not ELP, by",IF(AND(OR(PlanterYesMe="Yes",PlanterYesMe="Y"),G3940&gt;0),(VLOOKUP(A3940,'Discount Lookup'!J:K,2)*G3940*(1-PlanterDiscount)*(1+PlanterDifficultyPercentage)),IF(AE3940="ELP",(VLOOKUP(A3940,'Discount Lookup'!J:K,2)*G3940*(1-PlanterDiscount)*(1+PlanterDifficultyPercentage)),IF(AE3940="free","re-planting",IF(G3940=0,"",IF(PlanterYesMe="",IF(AE3940="me","   not ELP, by",IF(AE3940="",IF(G3940&gt;0,(VLOOKUP(A3940,'Discount Lookup'!J:K,2)*G3940*(1-PlanterDiscount)*(1+PlanterDifficultyPercentage)),""),"")),"   not ELP, by"))))))))))))))</f>
        <v/>
      </c>
      <c r="AD3940" s="712"/>
      <c r="AE3940" s="513" t="str">
        <f t="shared" si="2938"/>
        <v/>
      </c>
      <c r="AF3940" s="713" t="str">
        <f t="shared" si="2939"/>
        <v/>
      </c>
      <c r="AG3940" s="713"/>
      <c r="AH3940" s="713"/>
      <c r="AI3940" s="112">
        <f>IF(H3940="credit",0,IF(AE3940="free",0,IF(AE3940="me",0,IF(G3940&gt;0,(VLOOKUP(A3940,'Discount Lookup'!J:K,2)*G3940),0))))</f>
        <v>0</v>
      </c>
      <c r="AJ3940" s="107" t="str">
        <f t="shared" ca="1" si="2940"/>
        <v/>
      </c>
      <c r="AK3940" s="714" t="str">
        <f t="shared" si="2941"/>
        <v/>
      </c>
      <c r="AL3940" s="714"/>
      <c r="AM3940" s="114" t="str">
        <f t="shared" si="2942"/>
        <v/>
      </c>
      <c r="AN3940" s="115"/>
      <c r="AO3940" s="116"/>
      <c r="AP3940" s="116"/>
      <c r="AQ3940" s="116"/>
      <c r="AR3940" s="116"/>
      <c r="AS3940" s="116"/>
      <c r="AT3940" s="116"/>
      <c r="AU3940" s="116"/>
      <c r="AV3940" s="78"/>
      <c r="AW3940" s="102"/>
      <c r="AX3940" s="78"/>
      <c r="AY3940" s="78"/>
      <c r="AZ3940" s="78"/>
      <c r="BA3940" s="78"/>
      <c r="BB3940" s="78"/>
      <c r="BC3940" s="78"/>
      <c r="BD3940" s="78"/>
      <c r="BE3940" s="465"/>
      <c r="BF3940" s="165" t="str">
        <f t="shared" si="2943"/>
        <v>https://www.google.com/search?tbm=isch&amp;q=Styrax%20japonicus%20%27JLWeeping%27%20PP%2323755%20Marley%27s%20Pink%20Parasol%C2%AE%20Japanese%20Snowbell</v>
      </c>
      <c r="BG3940" s="165" t="str">
        <f t="shared" si="2944"/>
        <v>S</v>
      </c>
      <c r="BH3940" s="65"/>
      <c r="BI3940" s="65"/>
      <c r="BJ3940" s="65"/>
      <c r="BK3940" s="65"/>
      <c r="BL3940" s="99"/>
      <c r="BM3940" s="99"/>
      <c r="BN3940" s="99"/>
    </row>
    <row r="3941" spans="1:66" s="51" customFormat="1" ht="15.75" x14ac:dyDescent="0.25">
      <c r="A3941" s="634">
        <v>7</v>
      </c>
      <c r="B3941" s="635" t="s">
        <v>291</v>
      </c>
      <c r="C3941" s="636" t="s">
        <v>4269</v>
      </c>
      <c r="D3941" s="637" t="s">
        <v>299</v>
      </c>
      <c r="E3941" s="638">
        <v>169.95</v>
      </c>
      <c r="F3941" s="639" t="s">
        <v>292</v>
      </c>
      <c r="G3941" s="484">
        <v>0</v>
      </c>
      <c r="H3941" s="691" t="str">
        <f>IF(G3941=0,"",IF(F3941="Buy",IF(G3941=1,"plant","plants"),IF(F3941&gt;0.01,"warranty","Error")))</f>
        <v/>
      </c>
      <c r="I3941" s="640">
        <f>IF(H3941="free",0,IF(H3941="credit",((E3941*(F3941))*G3941*-1),IF(F3941="Buy",(E3941*G3941),((E3941*(1-F3941))*G3941))))</f>
        <v>0</v>
      </c>
      <c r="J3941" s="640">
        <f>IF(H3941="warranty",0,(I3941*(_xlfn.SINGLE(SalesTaxPercentage))))</f>
        <v>0</v>
      </c>
      <c r="K3941" s="716">
        <f t="shared" ref="K3941" si="2953">I3941+J3941</f>
        <v>0</v>
      </c>
      <c r="L3941" s="716"/>
      <c r="M3941" s="689" t="str">
        <f ca="1">IF(AND(G3941&gt;0,E3941=0),"WARNING - no PRICE inserted",IF(H3941="free","FREE ~ no charge this plant",IF(H3941="credit",CONCATENATE("-$",ROUND(K3941*(1-_xlfn.SINGLE(T2GDiscount))*-1,2)," CREDIT after discount"),IF(_xlfn.SINGLE(T2GDiscount)=0,"",IF(G3941=0,"",IF(F3941="Buy",CONCATENATE("$",ROUND(K3941*(1-_xlfn.SINGLE(T2GDiscount)),2)," with ",(_xlfn.SINGLE(T2GDiscount)*100),"% discount"),CONCATENATE("$",ROUND(K3941*(1-_xlfn.SINGLE(T2GDiscount)),2)," with ",((_xlfn.SINGLE(T2GDiscount)*100+F3941*100)-(_xlfn.SINGLE(T2GDiscount)*100*F3941)),IF(F3941&gt;0,"% discounts",IF(_xlfn.SINGLE(NoWarrantyDiscount)&gt;0,"% discounts","% discount")))))))))</f>
        <v/>
      </c>
      <c r="N3941" s="690"/>
      <c r="O3941" s="486"/>
      <c r="P3941" s="486"/>
      <c r="Q3941" s="486"/>
      <c r="R3941" s="486"/>
      <c r="S3941" s="486"/>
      <c r="T3941" s="102">
        <f t="shared" si="2932"/>
        <v>0</v>
      </c>
      <c r="U3941" s="78">
        <f>IF(NOT(ISNUMBER(G3941)), "", VLOOKUP(A3941,'Discount Lookup'!D:E,2,FALSE)*G3941)</f>
        <v>0</v>
      </c>
      <c r="V3941" s="78">
        <f>IF(NOT(ISNUMBER(G3941)), "", VLOOKUP(A3941,'Discount Lookup'!G:H,2,FALSE)*G3941)</f>
        <v>0</v>
      </c>
      <c r="W3941" s="102">
        <f t="shared" si="2933"/>
        <v>0</v>
      </c>
      <c r="X3941" s="102">
        <f t="shared" si="2934"/>
        <v>0</v>
      </c>
      <c r="Y3941" s="120" t="b">
        <f t="shared" si="2935"/>
        <v>0</v>
      </c>
      <c r="Z3941" s="117">
        <f t="shared" si="2936"/>
        <v>0</v>
      </c>
      <c r="AA3941" s="118"/>
      <c r="AB3941" s="118" t="str">
        <f t="shared" si="2937"/>
        <v/>
      </c>
      <c r="AC3941" s="712" t="str">
        <f>IF(AE3941="T2G","no charge",IF(AND(OR(PlanterYesMe="No",PlanterYesMe="N",PlanterYesMe="me"),H3941=""),"",IF(H3941="credit","NO install",IF(AND(K3941="",AE3941="me"),"EACH row",IF(AND(K3941="images",AE3941="me"),"EACH row",IF(D3941="","",IF(H3941="credit","",IF(AE3941="free","re-planting",IF(AE3941="me","   not ELP, by",IF(AND(OR(PlanterYesMe="Yes",PlanterYesMe="Y"),G3941&gt;0),(VLOOKUP(A3941,'Discount Lookup'!J:K,2)*G3941*(1-PlanterDiscount)*(1+PlanterDifficultyPercentage)),IF(AE3941="ELP",(VLOOKUP(A3941,'Discount Lookup'!J:K,2)*G3941*(1-PlanterDiscount)*(1+PlanterDifficultyPercentage)),IF(AE3941="free","re-planting",IF(G3941=0,"",IF(PlanterYesMe="",IF(AE3941="me","   not ELP, by",IF(AE3941="",IF(G3941&gt;0,(VLOOKUP(A3941,'Discount Lookup'!J:K,2)*G3941*(1-PlanterDiscount)*(1+PlanterDifficultyPercentage)),""),"")),"   not ELP, by"))))))))))))))</f>
        <v/>
      </c>
      <c r="AD3941" s="712"/>
      <c r="AE3941" s="513" t="str">
        <f t="shared" si="2938"/>
        <v/>
      </c>
      <c r="AF3941" s="713" t="str">
        <f t="shared" si="2939"/>
        <v/>
      </c>
      <c r="AG3941" s="713"/>
      <c r="AH3941" s="713"/>
      <c r="AI3941" s="112">
        <f>IF(H3941="credit",0,IF(AE3941="free",0,IF(AE3941="me",0,IF(G3941&gt;0,(VLOOKUP(A3941,'Discount Lookup'!J:K,2)*G3941),0))))</f>
        <v>0</v>
      </c>
      <c r="AJ3941" s="107" t="str">
        <f t="shared" ca="1" si="2940"/>
        <v/>
      </c>
      <c r="AK3941" s="714" t="str">
        <f t="shared" si="2941"/>
        <v/>
      </c>
      <c r="AL3941" s="714"/>
      <c r="AM3941" s="114" t="str">
        <f t="shared" si="2942"/>
        <v/>
      </c>
      <c r="AN3941" s="115"/>
      <c r="AO3941" s="116"/>
      <c r="AP3941" s="116"/>
      <c r="AQ3941" s="116"/>
      <c r="AR3941" s="116"/>
      <c r="AS3941" s="116"/>
      <c r="AT3941" s="116"/>
      <c r="AU3941" s="116"/>
      <c r="AV3941" s="78"/>
      <c r="AW3941" s="102"/>
      <c r="AX3941" s="78"/>
      <c r="AY3941" s="78"/>
      <c r="AZ3941" s="78"/>
      <c r="BA3941" s="78"/>
      <c r="BB3941" s="78"/>
      <c r="BC3941" s="78"/>
      <c r="BD3941" s="78"/>
      <c r="BE3941" s="465"/>
      <c r="BF3941" s="165" t="str">
        <f t="shared" si="2943"/>
        <v>https://www.google.com/search?tbm=isch&amp;q=7%20G4</v>
      </c>
      <c r="BG3941" s="165" t="str">
        <f t="shared" si="2944"/>
        <v>S</v>
      </c>
      <c r="BH3941" s="65"/>
      <c r="BI3941" s="65"/>
      <c r="BJ3941" s="65"/>
      <c r="BK3941" s="65"/>
      <c r="BL3941" s="99"/>
      <c r="BM3941" s="99"/>
      <c r="BN3941" s="99"/>
    </row>
    <row r="3942" spans="1:66" s="51" customFormat="1" ht="15.75" x14ac:dyDescent="0.25">
      <c r="A3942" s="634">
        <v>10</v>
      </c>
      <c r="B3942" s="635" t="s">
        <v>291</v>
      </c>
      <c r="C3942" s="636" t="s">
        <v>4270</v>
      </c>
      <c r="D3942" s="637" t="s">
        <v>299</v>
      </c>
      <c r="E3942" s="638">
        <v>187.95</v>
      </c>
      <c r="F3942" s="639" t="s">
        <v>292</v>
      </c>
      <c r="G3942" s="484">
        <v>0</v>
      </c>
      <c r="H3942" s="691" t="str">
        <f>IF(G3942=0,"",IF(F3942="Buy",IF(G3942=1,"plant","plants"),IF(F3942&gt;0.01,"warranty","Error")))</f>
        <v/>
      </c>
      <c r="I3942" s="640">
        <f>IF(H3942="free",0,IF(H3942="credit",((E3942*(F3942))*G3942*-1),IF(F3942="Buy",(E3942*G3942),((E3942*(1-F3942))*G3942))))</f>
        <v>0</v>
      </c>
      <c r="J3942" s="640">
        <f>IF(H3942="warranty",0,(I3942*(_xlfn.SINGLE(SalesTaxPercentage))))</f>
        <v>0</v>
      </c>
      <c r="K3942" s="716">
        <f t="shared" ref="K3942" si="2954">I3942+J3942</f>
        <v>0</v>
      </c>
      <c r="L3942" s="716"/>
      <c r="M3942" s="689" t="str">
        <f ca="1">IF(AND(G3942&gt;0,E3942=0),"WARNING - no PRICE inserted",IF(H3942="free","FREE ~ no charge this plant",IF(H3942="credit",CONCATENATE("-$",ROUND(K3942*(1-_xlfn.SINGLE(T2GDiscount))*-1,2)," CREDIT after discount"),IF(_xlfn.SINGLE(T2GDiscount)=0,"",IF(G3942=0,"",IF(F3942="Buy",CONCATENATE("$",ROUND(K3942*(1-_xlfn.SINGLE(T2GDiscount)),2)," with ",(_xlfn.SINGLE(T2GDiscount)*100),"% discount"),CONCATENATE("$",ROUND(K3942*(1-_xlfn.SINGLE(T2GDiscount)),2)," with ",((_xlfn.SINGLE(T2GDiscount)*100+F3942*100)-(_xlfn.SINGLE(T2GDiscount)*100*F3942)),IF(F3942&gt;0,"% discounts",IF(_xlfn.SINGLE(NoWarrantyDiscount)&gt;0,"% discounts","% discount")))))))))</f>
        <v/>
      </c>
      <c r="N3942" s="690"/>
      <c r="O3942" s="486"/>
      <c r="P3942" s="486"/>
      <c r="Q3942" s="486"/>
      <c r="R3942" s="486"/>
      <c r="S3942" s="486"/>
      <c r="T3942" s="102">
        <f t="shared" si="2932"/>
        <v>0</v>
      </c>
      <c r="U3942" s="78">
        <f>IF(NOT(ISNUMBER(G3942)), "", VLOOKUP(A3942,'Discount Lookup'!D:E,2,FALSE)*G3942)</f>
        <v>0</v>
      </c>
      <c r="V3942" s="78">
        <f>IF(NOT(ISNUMBER(G3942)), "", VLOOKUP(A3942,'Discount Lookup'!G:H,2,FALSE)*G3942)</f>
        <v>0</v>
      </c>
      <c r="W3942" s="102">
        <f t="shared" si="2933"/>
        <v>0</v>
      </c>
      <c r="X3942" s="102">
        <f t="shared" si="2934"/>
        <v>0</v>
      </c>
      <c r="Y3942" s="120" t="b">
        <f t="shared" si="2935"/>
        <v>0</v>
      </c>
      <c r="Z3942" s="117">
        <f t="shared" si="2936"/>
        <v>0</v>
      </c>
      <c r="AA3942" s="118"/>
      <c r="AB3942" s="118" t="str">
        <f t="shared" si="2937"/>
        <v/>
      </c>
      <c r="AC3942" s="712" t="str">
        <f>IF(AE3942="T2G","no charge",IF(AND(OR(PlanterYesMe="No",PlanterYesMe="N",PlanterYesMe="me"),H3942=""),"",IF(H3942="credit","NO install",IF(AND(K3942="",AE3942="me"),"EACH row",IF(AND(K3942="images",AE3942="me"),"EACH row",IF(D3942="","",IF(H3942="credit","",IF(AE3942="free","re-planting",IF(AE3942="me","   not ELP, by",IF(AND(OR(PlanterYesMe="Yes",PlanterYesMe="Y"),G3942&gt;0),(VLOOKUP(A3942,'Discount Lookup'!J:K,2)*G3942*(1-PlanterDiscount)*(1+PlanterDifficultyPercentage)),IF(AE3942="ELP",(VLOOKUP(A3942,'Discount Lookup'!J:K,2)*G3942*(1-PlanterDiscount)*(1+PlanterDifficultyPercentage)),IF(AE3942="free","re-planting",IF(G3942=0,"",IF(PlanterYesMe="",IF(AE3942="me","   not ELP, by",IF(AE3942="",IF(G3942&gt;0,(VLOOKUP(A3942,'Discount Lookup'!J:K,2)*G3942*(1-PlanterDiscount)*(1+PlanterDifficultyPercentage)),""),"")),"   not ELP, by"))))))))))))))</f>
        <v/>
      </c>
      <c r="AD3942" s="712"/>
      <c r="AE3942" s="513" t="str">
        <f t="shared" si="2938"/>
        <v/>
      </c>
      <c r="AF3942" s="713" t="str">
        <f t="shared" si="2939"/>
        <v/>
      </c>
      <c r="AG3942" s="713"/>
      <c r="AH3942" s="713"/>
      <c r="AI3942" s="112">
        <f>IF(H3942="credit",0,IF(AE3942="free",0,IF(AE3942="me",0,IF(G3942&gt;0,(VLOOKUP(A3942,'Discount Lookup'!J:K,2)*G3942),0))))</f>
        <v>0</v>
      </c>
      <c r="AJ3942" s="107" t="str">
        <f t="shared" ca="1" si="2940"/>
        <v/>
      </c>
      <c r="AK3942" s="714" t="str">
        <f t="shared" si="2941"/>
        <v/>
      </c>
      <c r="AL3942" s="714"/>
      <c r="AM3942" s="114" t="str">
        <f t="shared" si="2942"/>
        <v/>
      </c>
      <c r="AN3942" s="115"/>
      <c r="AO3942" s="116"/>
      <c r="AP3942" s="116"/>
      <c r="AQ3942" s="116"/>
      <c r="AR3942" s="116"/>
      <c r="AS3942" s="116"/>
      <c r="AT3942" s="116"/>
      <c r="AU3942" s="116"/>
      <c r="AV3942" s="78"/>
      <c r="AW3942" s="102"/>
      <c r="AX3942" s="78"/>
      <c r="AY3942" s="78"/>
      <c r="AZ3942" s="78"/>
      <c r="BA3942" s="78"/>
      <c r="BB3942" s="78"/>
      <c r="BC3942" s="78"/>
      <c r="BD3942" s="78"/>
      <c r="BE3942" s="465"/>
      <c r="BF3942" s="165" t="str">
        <f t="shared" si="2943"/>
        <v>https://www.google.com/search?tbm=isch&amp;q=10%20G4</v>
      </c>
      <c r="BG3942" s="165" t="str">
        <f t="shared" si="2944"/>
        <v>S</v>
      </c>
      <c r="BH3942" s="65"/>
      <c r="BI3942" s="65"/>
      <c r="BJ3942" s="65"/>
      <c r="BK3942" s="65"/>
      <c r="BL3942" s="99"/>
      <c r="BM3942" s="99"/>
      <c r="BN3942" s="99"/>
    </row>
    <row r="3943" spans="1:66" s="51" customFormat="1" ht="15.75" x14ac:dyDescent="0.25">
      <c r="A3943" s="634">
        <v>15</v>
      </c>
      <c r="B3943" s="635" t="s">
        <v>291</v>
      </c>
      <c r="C3943" s="636" t="s">
        <v>4271</v>
      </c>
      <c r="D3943" s="637" t="s">
        <v>299</v>
      </c>
      <c r="E3943" s="638">
        <v>263.95</v>
      </c>
      <c r="F3943" s="639" t="s">
        <v>292</v>
      </c>
      <c r="G3943" s="484">
        <v>0</v>
      </c>
      <c r="H3943" s="691" t="str">
        <f>IF(G3943=0,"",IF(F3943="Buy",IF(G3943=1,"plant","plants"),IF(F3943&gt;0.01,"warranty","Error")))</f>
        <v/>
      </c>
      <c r="I3943" s="640">
        <f>IF(H3943="free",0,IF(H3943="credit",((E3943*(F3943))*G3943*-1),IF(F3943="Buy",(E3943*G3943),((E3943*(1-F3943))*G3943))))</f>
        <v>0</v>
      </c>
      <c r="J3943" s="640">
        <f>IF(H3943="warranty",0,(I3943*(_xlfn.SINGLE(SalesTaxPercentage))))</f>
        <v>0</v>
      </c>
      <c r="K3943" s="716">
        <f t="shared" ref="K3943" si="2955">I3943+J3943</f>
        <v>0</v>
      </c>
      <c r="L3943" s="716"/>
      <c r="M3943" s="689" t="str">
        <f ca="1">IF(AND(G3943&gt;0,E3943=0),"WARNING - no PRICE inserted",IF(H3943="free","FREE ~ no charge this plant",IF(H3943="credit",CONCATENATE("-$",ROUND(K3943*(1-_xlfn.SINGLE(T2GDiscount))*-1,2)," CREDIT after discount"),IF(_xlfn.SINGLE(T2GDiscount)=0,"",IF(G3943=0,"",IF(F3943="Buy",CONCATENATE("$",ROUND(K3943*(1-_xlfn.SINGLE(T2GDiscount)),2)," with ",(_xlfn.SINGLE(T2GDiscount)*100),"% discount"),CONCATENATE("$",ROUND(K3943*(1-_xlfn.SINGLE(T2GDiscount)),2)," with ",((_xlfn.SINGLE(T2GDiscount)*100+F3943*100)-(_xlfn.SINGLE(T2GDiscount)*100*F3943)),IF(F3943&gt;0,"% discounts",IF(_xlfn.SINGLE(NoWarrantyDiscount)&gt;0,"% discounts","% discount")))))))))</f>
        <v/>
      </c>
      <c r="N3943" s="690"/>
      <c r="O3943" s="486"/>
      <c r="P3943" s="486"/>
      <c r="Q3943" s="486"/>
      <c r="R3943" s="486"/>
      <c r="S3943" s="486"/>
      <c r="T3943" s="102">
        <f t="shared" si="2932"/>
        <v>0</v>
      </c>
      <c r="U3943" s="78">
        <f>IF(NOT(ISNUMBER(G3943)), "", VLOOKUP(A3943,'Discount Lookup'!D:E,2,FALSE)*G3943)</f>
        <v>0</v>
      </c>
      <c r="V3943" s="78">
        <f>IF(NOT(ISNUMBER(G3943)), "", VLOOKUP(A3943,'Discount Lookup'!G:H,2,FALSE)*G3943)</f>
        <v>0</v>
      </c>
      <c r="W3943" s="102">
        <f t="shared" si="2933"/>
        <v>0</v>
      </c>
      <c r="X3943" s="102">
        <f t="shared" si="2934"/>
        <v>0</v>
      </c>
      <c r="Y3943" s="120" t="b">
        <f t="shared" si="2935"/>
        <v>0</v>
      </c>
      <c r="Z3943" s="117">
        <f t="shared" si="2936"/>
        <v>0</v>
      </c>
      <c r="AA3943" s="118"/>
      <c r="AB3943" s="118" t="str">
        <f t="shared" si="2937"/>
        <v/>
      </c>
      <c r="AC3943" s="712" t="str">
        <f>IF(AE3943="T2G","no charge",IF(AND(OR(PlanterYesMe="No",PlanterYesMe="N",PlanterYesMe="me"),H3943=""),"",IF(H3943="credit","NO install",IF(AND(K3943="",AE3943="me"),"EACH row",IF(AND(K3943="images",AE3943="me"),"EACH row",IF(D3943="","",IF(H3943="credit","",IF(AE3943="free","re-planting",IF(AE3943="me","   not ELP, by",IF(AND(OR(PlanterYesMe="Yes",PlanterYesMe="Y"),G3943&gt;0),(VLOOKUP(A3943,'Discount Lookup'!J:K,2)*G3943*(1-PlanterDiscount)*(1+PlanterDifficultyPercentage)),IF(AE3943="ELP",(VLOOKUP(A3943,'Discount Lookup'!J:K,2)*G3943*(1-PlanterDiscount)*(1+PlanterDifficultyPercentage)),IF(AE3943="free","re-planting",IF(G3943=0,"",IF(PlanterYesMe="",IF(AE3943="me","   not ELP, by",IF(AE3943="",IF(G3943&gt;0,(VLOOKUP(A3943,'Discount Lookup'!J:K,2)*G3943*(1-PlanterDiscount)*(1+PlanterDifficultyPercentage)),""),"")),"   not ELP, by"))))))))))))))</f>
        <v/>
      </c>
      <c r="AD3943" s="712"/>
      <c r="AE3943" s="513" t="str">
        <f t="shared" si="2938"/>
        <v/>
      </c>
      <c r="AF3943" s="713" t="str">
        <f t="shared" si="2939"/>
        <v/>
      </c>
      <c r="AG3943" s="713"/>
      <c r="AH3943" s="713"/>
      <c r="AI3943" s="112">
        <f>IF(H3943="credit",0,IF(AE3943="free",0,IF(AE3943="me",0,IF(G3943&gt;0,(VLOOKUP(A3943,'Discount Lookup'!J:K,2)*G3943),0))))</f>
        <v>0</v>
      </c>
      <c r="AJ3943" s="107" t="str">
        <f t="shared" ca="1" si="2940"/>
        <v/>
      </c>
      <c r="AK3943" s="714" t="str">
        <f t="shared" si="2941"/>
        <v/>
      </c>
      <c r="AL3943" s="714"/>
      <c r="AM3943" s="114" t="str">
        <f t="shared" si="2942"/>
        <v/>
      </c>
      <c r="AN3943" s="115"/>
      <c r="AO3943" s="116"/>
      <c r="AP3943" s="116"/>
      <c r="AQ3943" s="116"/>
      <c r="AR3943" s="116"/>
      <c r="AS3943" s="116"/>
      <c r="AT3943" s="116"/>
      <c r="AU3943" s="116"/>
      <c r="AV3943" s="78"/>
      <c r="AW3943" s="102"/>
      <c r="AX3943" s="78"/>
      <c r="AY3943" s="78"/>
      <c r="AZ3943" s="78"/>
      <c r="BA3943" s="78"/>
      <c r="BB3943" s="78"/>
      <c r="BC3943" s="78"/>
      <c r="BD3943" s="78"/>
      <c r="BE3943" s="465"/>
      <c r="BF3943" s="165" t="str">
        <f t="shared" si="2943"/>
        <v>https://www.google.com/search?tbm=isch&amp;q=15%20G4</v>
      </c>
      <c r="BG3943" s="165" t="str">
        <f t="shared" si="2944"/>
        <v>S</v>
      </c>
      <c r="BH3943" s="65"/>
      <c r="BI3943" s="65"/>
      <c r="BJ3943" s="65"/>
      <c r="BK3943" s="65"/>
      <c r="BL3943" s="99"/>
      <c r="BM3943" s="99"/>
      <c r="BN3943" s="99"/>
    </row>
    <row r="3944" spans="1:66" s="51" customFormat="1" ht="15.75" x14ac:dyDescent="0.25">
      <c r="A3944" s="634">
        <v>15</v>
      </c>
      <c r="B3944" s="635" t="s">
        <v>291</v>
      </c>
      <c r="C3944" s="636" t="s">
        <v>4654</v>
      </c>
      <c r="D3944" s="637" t="s">
        <v>311</v>
      </c>
      <c r="E3944" s="638">
        <v>287.95</v>
      </c>
      <c r="F3944" s="639" t="s">
        <v>292</v>
      </c>
      <c r="G3944" s="484">
        <v>0</v>
      </c>
      <c r="H3944" s="691" t="str">
        <f>IF(G3944=0,"",IF(F3944="Buy",IF(G3944=1,"plant","plants"),IF(F3944&gt;0.01,"warranty","Error")))</f>
        <v/>
      </c>
      <c r="I3944" s="640">
        <f>IF(H3944="free",0,IF(H3944="credit",((E3944*(F3944))*G3944*-1),IF(F3944="Buy",(E3944*G3944),((E3944*(1-F3944))*G3944))))</f>
        <v>0</v>
      </c>
      <c r="J3944" s="640">
        <f>IF(H3944="warranty",0,(I3944*(_xlfn.SINGLE(SalesTaxPercentage))))</f>
        <v>0</v>
      </c>
      <c r="K3944" s="716">
        <f t="shared" ref="K3944" si="2956">I3944+J3944</f>
        <v>0</v>
      </c>
      <c r="L3944" s="716"/>
      <c r="M3944" s="689" t="str">
        <f ca="1">IF(AND(G3944&gt;0,E3944=0),"WARNING - no PRICE inserted",IF(H3944="free","FREE ~ no charge this plant",IF(H3944="credit",CONCATENATE("-$",ROUND(K3944*(1-_xlfn.SINGLE(T2GDiscount))*-1,2)," CREDIT after discount"),IF(_xlfn.SINGLE(T2GDiscount)=0,"",IF(G3944=0,"",IF(F3944="Buy",CONCATENATE("$",ROUND(K3944*(1-_xlfn.SINGLE(T2GDiscount)),2)," with ",(_xlfn.SINGLE(T2GDiscount)*100),"% discount"),CONCATENATE("$",ROUND(K3944*(1-_xlfn.SINGLE(T2GDiscount)),2)," with ",((_xlfn.SINGLE(T2GDiscount)*100+F3944*100)-(_xlfn.SINGLE(T2GDiscount)*100*F3944)),IF(F3944&gt;0,"% discounts",IF(_xlfn.SINGLE(NoWarrantyDiscount)&gt;0,"% discounts","% discount")))))))))</f>
        <v/>
      </c>
      <c r="N3944" s="690"/>
      <c r="O3944" s="486"/>
      <c r="P3944" s="486"/>
      <c r="Q3944" s="486"/>
      <c r="R3944" s="486"/>
      <c r="S3944" s="486"/>
      <c r="T3944" s="102">
        <f t="shared" si="2932"/>
        <v>0</v>
      </c>
      <c r="U3944" s="78">
        <f>IF(NOT(ISNUMBER(G3944)), "", VLOOKUP(A3944,'Discount Lookup'!D:E,2,FALSE)*G3944)</f>
        <v>0</v>
      </c>
      <c r="V3944" s="78">
        <f>IF(NOT(ISNUMBER(G3944)), "", VLOOKUP(A3944,'Discount Lookup'!G:H,2,FALSE)*G3944)</f>
        <v>0</v>
      </c>
      <c r="W3944" s="102">
        <f t="shared" si="2933"/>
        <v>0</v>
      </c>
      <c r="X3944" s="102">
        <f t="shared" si="2934"/>
        <v>0</v>
      </c>
      <c r="Y3944" s="120" t="b">
        <f t="shared" si="2935"/>
        <v>0</v>
      </c>
      <c r="Z3944" s="117">
        <f t="shared" si="2936"/>
        <v>0</v>
      </c>
      <c r="AA3944" s="118"/>
      <c r="AB3944" s="118" t="str">
        <f t="shared" si="2937"/>
        <v/>
      </c>
      <c r="AC3944" s="712" t="str">
        <f>IF(AE3944="T2G","no charge",IF(AND(OR(PlanterYesMe="No",PlanterYesMe="N",PlanterYesMe="me"),H3944=""),"",IF(H3944="credit","NO install",IF(AND(K3944="",AE3944="me"),"EACH row",IF(AND(K3944="images",AE3944="me"),"EACH row",IF(D3944="","",IF(H3944="credit","",IF(AE3944="free","re-planting",IF(AE3944="me","   not ELP, by",IF(AND(OR(PlanterYesMe="Yes",PlanterYesMe="Y"),G3944&gt;0),(VLOOKUP(A3944,'Discount Lookup'!J:K,2)*G3944*(1-PlanterDiscount)*(1+PlanterDifficultyPercentage)),IF(AE3944="ELP",(VLOOKUP(A3944,'Discount Lookup'!J:K,2)*G3944*(1-PlanterDiscount)*(1+PlanterDifficultyPercentage)),IF(AE3944="free","re-planting",IF(G3944=0,"",IF(PlanterYesMe="",IF(AE3944="me","   not ELP, by",IF(AE3944="",IF(G3944&gt;0,(VLOOKUP(A3944,'Discount Lookup'!J:K,2)*G3944*(1-PlanterDiscount)*(1+PlanterDifficultyPercentage)),""),"")),"   not ELP, by"))))))))))))))</f>
        <v/>
      </c>
      <c r="AD3944" s="712"/>
      <c r="AE3944" s="513" t="str">
        <f t="shared" si="2938"/>
        <v/>
      </c>
      <c r="AF3944" s="713" t="str">
        <f t="shared" si="2939"/>
        <v/>
      </c>
      <c r="AG3944" s="713"/>
      <c r="AH3944" s="713"/>
      <c r="AI3944" s="112">
        <f>IF(H3944="credit",0,IF(AE3944="free",0,IF(AE3944="me",0,IF(G3944&gt;0,(VLOOKUP(A3944,'Discount Lookup'!J:K,2)*G3944),0))))</f>
        <v>0</v>
      </c>
      <c r="AJ3944" s="107" t="str">
        <f t="shared" ca="1" si="2940"/>
        <v/>
      </c>
      <c r="AK3944" s="714" t="str">
        <f t="shared" si="2941"/>
        <v/>
      </c>
      <c r="AL3944" s="714"/>
      <c r="AM3944" s="114" t="str">
        <f t="shared" si="2942"/>
        <v/>
      </c>
      <c r="AN3944" s="115"/>
      <c r="AO3944" s="116"/>
      <c r="AP3944" s="116"/>
      <c r="AQ3944" s="116"/>
      <c r="AR3944" s="116"/>
      <c r="AS3944" s="116"/>
      <c r="AT3944" s="116"/>
      <c r="AU3944" s="116"/>
      <c r="AV3944" s="78"/>
      <c r="AW3944" s="102"/>
      <c r="AX3944" s="78"/>
      <c r="AY3944" s="78"/>
      <c r="AZ3944" s="78"/>
      <c r="BA3944" s="78"/>
      <c r="BB3944" s="78"/>
      <c r="BC3944" s="78"/>
      <c r="BD3944" s="78"/>
      <c r="BE3944" s="465"/>
      <c r="BF3944" s="165" t="str">
        <f t="shared" si="2943"/>
        <v>https://www.google.com/search?tbm=isch&amp;q=15%20G5</v>
      </c>
      <c r="BG3944" s="165" t="str">
        <f t="shared" si="2944"/>
        <v>S</v>
      </c>
      <c r="BH3944" s="65"/>
      <c r="BI3944" s="65"/>
      <c r="BJ3944" s="65"/>
      <c r="BK3944" s="65"/>
      <c r="BL3944" s="99"/>
      <c r="BM3944" s="99"/>
      <c r="BN3944" s="99"/>
    </row>
    <row r="3945" spans="1:66" s="51" customFormat="1" ht="27" x14ac:dyDescent="0.25">
      <c r="A3945" s="634">
        <v>25</v>
      </c>
      <c r="B3945" s="635" t="s">
        <v>291</v>
      </c>
      <c r="C3945" s="636" t="s">
        <v>4272</v>
      </c>
      <c r="D3945" s="637" t="s">
        <v>299</v>
      </c>
      <c r="E3945" s="638">
        <v>518.95000000000005</v>
      </c>
      <c r="F3945" s="639" t="s">
        <v>292</v>
      </c>
      <c r="G3945" s="484">
        <v>0</v>
      </c>
      <c r="H3945" s="691" t="str">
        <f>IF(G3945=0,"",IF(F3945="Buy",IF(G3945=1,"plant","plants"),IF(F3945&gt;0.01,"warranty","Error")))</f>
        <v/>
      </c>
      <c r="I3945" s="640">
        <f>IF(H3945="free",0,IF(H3945="credit",((E3945*(F3945))*G3945*-1),IF(F3945="Buy",(E3945*G3945),((E3945*(1-F3945))*G3945))))</f>
        <v>0</v>
      </c>
      <c r="J3945" s="640">
        <f>IF(H3945="warranty",0,(I3945*(_xlfn.SINGLE(SalesTaxPercentage))))</f>
        <v>0</v>
      </c>
      <c r="K3945" s="716">
        <f t="shared" ref="K3945" si="2957">I3945+J3945</f>
        <v>0</v>
      </c>
      <c r="L3945" s="716"/>
      <c r="M3945" s="689" t="str">
        <f ca="1">IF(AND(G3945&gt;0,E3945=0),"WARNING - no PRICE inserted",IF(H3945="free","FREE ~ no charge this plant",IF(H3945="credit",CONCATENATE("-$",ROUND(K3945*(1-_xlfn.SINGLE(T2GDiscount))*-1,2)," CREDIT after discount"),IF(_xlfn.SINGLE(T2GDiscount)=0,"",IF(G3945=0,"",IF(F3945="Buy",CONCATENATE("$",ROUND(K3945*(1-_xlfn.SINGLE(T2GDiscount)),2)," with ",(_xlfn.SINGLE(T2GDiscount)*100),"% discount"),CONCATENATE("$",ROUND(K3945*(1-_xlfn.SINGLE(T2GDiscount)),2)," with ",((_xlfn.SINGLE(T2GDiscount)*100+F3945*100)-(_xlfn.SINGLE(T2GDiscount)*100*F3945)),IF(F3945&gt;0,"% discounts",IF(_xlfn.SINGLE(NoWarrantyDiscount)&gt;0,"% discounts","% discount")))))))))</f>
        <v/>
      </c>
      <c r="N3945" s="690"/>
      <c r="O3945" s="486"/>
      <c r="P3945" s="486"/>
      <c r="Q3945" s="486"/>
      <c r="R3945" s="486"/>
      <c r="S3945" s="486"/>
      <c r="T3945" s="102">
        <f t="shared" si="2932"/>
        <v>0</v>
      </c>
      <c r="U3945" s="78">
        <f>IF(NOT(ISNUMBER(G3945)), "", VLOOKUP(A3945,'Discount Lookup'!D:E,2,FALSE)*G3945)</f>
        <v>0</v>
      </c>
      <c r="V3945" s="78">
        <f>IF(NOT(ISNUMBER(G3945)), "", VLOOKUP(A3945,'Discount Lookup'!G:H,2,FALSE)*G3945)</f>
        <v>0</v>
      </c>
      <c r="W3945" s="102">
        <f t="shared" si="2933"/>
        <v>0</v>
      </c>
      <c r="X3945" s="102">
        <f t="shared" si="2934"/>
        <v>0</v>
      </c>
      <c r="Y3945" s="120" t="b">
        <f t="shared" si="2935"/>
        <v>0</v>
      </c>
      <c r="Z3945" s="117">
        <f t="shared" si="2936"/>
        <v>0</v>
      </c>
      <c r="AA3945" s="118"/>
      <c r="AB3945" s="118" t="str">
        <f t="shared" si="2937"/>
        <v/>
      </c>
      <c r="AC3945" s="712" t="str">
        <f>IF(AE3945="T2G","no charge",IF(AND(OR(PlanterYesMe="No",PlanterYesMe="N",PlanterYesMe="me"),H3945=""),"",IF(H3945="credit","NO install",IF(AND(K3945="",AE3945="me"),"EACH row",IF(AND(K3945="images",AE3945="me"),"EACH row",IF(D3945="","",IF(H3945="credit","",IF(AE3945="free","re-planting",IF(AE3945="me","   not ELP, by",IF(AND(OR(PlanterYesMe="Yes",PlanterYesMe="Y"),G3945&gt;0),(VLOOKUP(A3945,'Discount Lookup'!J:K,2)*G3945*(1-PlanterDiscount)*(1+PlanterDifficultyPercentage)),IF(AE3945="ELP",(VLOOKUP(A3945,'Discount Lookup'!J:K,2)*G3945*(1-PlanterDiscount)*(1+PlanterDifficultyPercentage)),IF(AE3945="free","re-planting",IF(G3945=0,"",IF(PlanterYesMe="",IF(AE3945="me","   not ELP, by",IF(AE3945="",IF(G3945&gt;0,(VLOOKUP(A3945,'Discount Lookup'!J:K,2)*G3945*(1-PlanterDiscount)*(1+PlanterDifficultyPercentage)),""),"")),"   not ELP, by"))))))))))))))</f>
        <v/>
      </c>
      <c r="AD3945" s="712"/>
      <c r="AE3945" s="513" t="str">
        <f t="shared" si="2938"/>
        <v/>
      </c>
      <c r="AF3945" s="713" t="str">
        <f t="shared" si="2939"/>
        <v/>
      </c>
      <c r="AG3945" s="713"/>
      <c r="AH3945" s="713"/>
      <c r="AI3945" s="112">
        <f>IF(H3945="credit",0,IF(AE3945="free",0,IF(AE3945="me",0,IF(G3945&gt;0,(VLOOKUP(A3945,'Discount Lookup'!J:K,2)*G3945),0))))</f>
        <v>0</v>
      </c>
      <c r="AJ3945" s="107" t="str">
        <f t="shared" ca="1" si="2940"/>
        <v/>
      </c>
      <c r="AK3945" s="714" t="str">
        <f t="shared" si="2941"/>
        <v/>
      </c>
      <c r="AL3945" s="714"/>
      <c r="AM3945" s="114" t="str">
        <f t="shared" si="2942"/>
        <v/>
      </c>
      <c r="AN3945" s="115"/>
      <c r="AO3945" s="116"/>
      <c r="AP3945" s="116"/>
      <c r="AQ3945" s="116"/>
      <c r="AR3945" s="116"/>
      <c r="AS3945" s="116"/>
      <c r="AT3945" s="116"/>
      <c r="AU3945" s="116"/>
      <c r="AV3945" s="78"/>
      <c r="AW3945" s="102"/>
      <c r="AX3945" s="78"/>
      <c r="AY3945" s="78"/>
      <c r="AZ3945" s="78"/>
      <c r="BA3945" s="78"/>
      <c r="BB3945" s="78"/>
      <c r="BC3945" s="78"/>
      <c r="BD3945" s="78"/>
      <c r="BE3945" s="465"/>
      <c r="BF3945" s="165" t="str">
        <f t="shared" si="2943"/>
        <v>https://www.google.com/search?tbm=isch&amp;q=25%20G4</v>
      </c>
      <c r="BG3945" s="165" t="str">
        <f t="shared" si="2944"/>
        <v>S</v>
      </c>
      <c r="BH3945" s="65"/>
      <c r="BI3945" s="65"/>
      <c r="BJ3945" s="65"/>
      <c r="BK3945" s="65"/>
      <c r="BL3945" s="99"/>
      <c r="BM3945" s="99"/>
      <c r="BN3945" s="99"/>
    </row>
    <row r="3946" spans="1:66" s="51" customFormat="1" ht="17.25" thickBot="1" x14ac:dyDescent="0.3">
      <c r="A3946" s="704" t="s">
        <v>5538</v>
      </c>
      <c r="B3946" s="642"/>
      <c r="C3946" s="710"/>
      <c r="D3946" s="643"/>
      <c r="E3946" s="643"/>
      <c r="F3946" s="644"/>
      <c r="G3946" s="645"/>
      <c r="H3946" s="646"/>
      <c r="I3946" s="647"/>
      <c r="J3946" s="648"/>
      <c r="K3946" s="649"/>
      <c r="L3946" s="650"/>
      <c r="M3946" s="650"/>
      <c r="N3946" s="644"/>
      <c r="O3946" s="644"/>
      <c r="P3946" s="644"/>
      <c r="Q3946" s="644"/>
      <c r="R3946" s="644"/>
      <c r="S3946" s="701" t="s">
        <v>5251</v>
      </c>
      <c r="T3946" s="102">
        <f t="shared" si="2932"/>
        <v>0</v>
      </c>
      <c r="U3946" s="78" t="str">
        <f>IF(NOT(ISNUMBER(G3946)), "", VLOOKUP(A3946,'Discount Lookup'!D:E,2,FALSE)*G3946)</f>
        <v/>
      </c>
      <c r="V3946" s="78" t="str">
        <f>IF(NOT(ISNUMBER(G3946)), "", VLOOKUP(A3946,'Discount Lookup'!G:H,2,FALSE)*G3946)</f>
        <v/>
      </c>
      <c r="W3946" s="102">
        <f t="shared" si="2933"/>
        <v>0</v>
      </c>
      <c r="X3946" s="102">
        <f t="shared" si="2934"/>
        <v>0</v>
      </c>
      <c r="Y3946" s="120" t="b">
        <f t="shared" si="2935"/>
        <v>0</v>
      </c>
      <c r="Z3946" s="117">
        <f t="shared" si="2936"/>
        <v>0</v>
      </c>
      <c r="AA3946" s="118"/>
      <c r="AB3946" s="118" t="str">
        <f t="shared" si="2937"/>
        <v/>
      </c>
      <c r="AC3946" s="712" t="str">
        <f>IF(AE3946="T2G","no charge",IF(AND(OR(PlanterYesMe="No",PlanterYesMe="N",PlanterYesMe="me"),H3946=""),"",IF(H3946="credit","NO install",IF(AND(K3946="",AE3946="me"),"EACH row",IF(AND(K3946="images",AE3946="me"),"EACH row",IF(D3946="","",IF(H3946="credit","",IF(AE3946="free","re-planting",IF(AE3946="me","   not ELP, by",IF(AND(OR(PlanterYesMe="Yes",PlanterYesMe="Y"),G3946&gt;0),(VLOOKUP(A3946,'Discount Lookup'!J:K,2)*G3946*(1-PlanterDiscount)*(1+PlanterDifficultyPercentage)),IF(AE3946="ELP",(VLOOKUP(A3946,'Discount Lookup'!J:K,2)*G3946*(1-PlanterDiscount)*(1+PlanterDifficultyPercentage)),IF(AE3946="free","re-planting",IF(G3946=0,"",IF(PlanterYesMe="",IF(AE3946="me","   not ELP, by",IF(AE3946="",IF(G3946&gt;0,(VLOOKUP(A3946,'Discount Lookup'!J:K,2)*G3946*(1-PlanterDiscount)*(1+PlanterDifficultyPercentage)),""),"")),"   not ELP, by"))))))))))))))</f>
        <v/>
      </c>
      <c r="AD3946" s="712"/>
      <c r="AE3946" s="513" t="str">
        <f t="shared" si="2938"/>
        <v/>
      </c>
      <c r="AF3946" s="713" t="str">
        <f t="shared" si="2939"/>
        <v/>
      </c>
      <c r="AG3946" s="713"/>
      <c r="AH3946" s="713"/>
      <c r="AI3946" s="112">
        <f>IF(H3946="credit",0,IF(AE3946="free",0,IF(AE3946="me",0,IF(G3946&gt;0,(VLOOKUP(A3946,'Discount Lookup'!J:K,2)*G3946),0))))</f>
        <v>0</v>
      </c>
      <c r="AJ3946" s="107" t="str">
        <f t="shared" ca="1" si="2940"/>
        <v/>
      </c>
      <c r="AK3946" s="714" t="str">
        <f t="shared" si="2941"/>
        <v/>
      </c>
      <c r="AL3946" s="714"/>
      <c r="AM3946" s="114" t="str">
        <f t="shared" si="2942"/>
        <v/>
      </c>
      <c r="AN3946" s="115"/>
      <c r="AO3946" s="116"/>
      <c r="AP3946" s="116"/>
      <c r="AQ3946" s="116"/>
      <c r="AR3946" s="116"/>
      <c r="AS3946" s="116"/>
      <c r="AT3946" s="116"/>
      <c r="AU3946" s="116"/>
      <c r="AV3946" s="78"/>
      <c r="AW3946" s="102"/>
      <c r="AX3946" s="78"/>
      <c r="AY3946" s="78"/>
      <c r="AZ3946" s="78"/>
      <c r="BA3946" s="78"/>
      <c r="BB3946" s="78"/>
      <c r="BC3946" s="78"/>
      <c r="BD3946" s="78"/>
      <c r="BE3946" s="465"/>
      <c r="BF3946" s="165" t="str">
        <f t="shared" si="2943"/>
        <v>https://www.google.com/search?tbm=isch&amp;q=moist%20sites%F0%9F%92%A7GOOD%2C%20Marley%27s%20Pink%20has%20a%20light%20sweet%20cotton%20candy%20fragrance%2C%20blooming%20in%20May%20%26%20June.%20Orange%20to%20yellow%20fall%20foliage%20</v>
      </c>
      <c r="BG3946" s="165" t="str">
        <f t="shared" si="2944"/>
        <v>m</v>
      </c>
      <c r="BH3946" s="65"/>
      <c r="BI3946" s="65"/>
      <c r="BJ3946" s="65"/>
      <c r="BK3946" s="65"/>
      <c r="BL3946" s="99"/>
      <c r="BM3946" s="99"/>
      <c r="BN3946" s="99"/>
    </row>
    <row r="3947" spans="1:66" s="51" customFormat="1" ht="18" x14ac:dyDescent="0.25">
      <c r="A3947" s="623" t="s">
        <v>4273</v>
      </c>
      <c r="B3947" s="624"/>
      <c r="C3947" s="709"/>
      <c r="D3947" s="625" t="s">
        <v>4274</v>
      </c>
      <c r="E3947" s="626"/>
      <c r="F3947" s="626"/>
      <c r="G3947" s="626"/>
      <c r="H3947" s="622" t="s">
        <v>1163</v>
      </c>
      <c r="I3947" s="627" t="s">
        <v>1458</v>
      </c>
      <c r="J3947" s="628"/>
      <c r="K3947" s="628"/>
      <c r="L3947" s="629"/>
      <c r="M3947" s="700" t="s">
        <v>5249</v>
      </c>
      <c r="N3947" s="693" t="str">
        <f>IF(AND(ISTEXT($A3947), ISERROR($A3947+0)), HYPERLINK($BF3947, "Images"), "")</f>
        <v>Images</v>
      </c>
      <c r="O3947" s="695" t="s">
        <v>5244</v>
      </c>
      <c r="P3947" s="630"/>
      <c r="Q3947" s="631"/>
      <c r="R3947" s="632"/>
      <c r="S3947" s="633"/>
      <c r="T3947" s="102">
        <f t="shared" si="2932"/>
        <v>0</v>
      </c>
      <c r="U3947" s="78" t="str">
        <f>IF(NOT(ISNUMBER(G3947)), "", VLOOKUP(A3947,'Discount Lookup'!D:E,2,FALSE)*G3947)</f>
        <v/>
      </c>
      <c r="V3947" s="78" t="str">
        <f>IF(NOT(ISNUMBER(G3947)), "", VLOOKUP(A3947,'Discount Lookup'!G:H,2,FALSE)*G3947)</f>
        <v/>
      </c>
      <c r="W3947" s="102">
        <f t="shared" si="2933"/>
        <v>0</v>
      </c>
      <c r="X3947" s="102" t="str">
        <f t="shared" si="2934"/>
        <v>Pink bloom</v>
      </c>
      <c r="Y3947" s="120" t="b">
        <f t="shared" si="2935"/>
        <v>0</v>
      </c>
      <c r="Z3947" s="117">
        <f t="shared" si="2936"/>
        <v>0</v>
      </c>
      <c r="AA3947" s="118"/>
      <c r="AB3947" s="118" t="str">
        <f t="shared" si="2937"/>
        <v/>
      </c>
      <c r="AC3947" s="712" t="str">
        <f>IF(AE3947="T2G","no charge",IF(AND(OR(PlanterYesMe="No",PlanterYesMe="N",PlanterYesMe="me"),H3947=""),"",IF(H3947="credit","NO install",IF(AND(K3947="",AE3947="me"),"EACH row",IF(AND(K3947="images",AE3947="me"),"EACH row",IF(D3947="","",IF(H3947="credit","",IF(AE3947="free","re-planting",IF(AE3947="me","   not ELP, by",IF(AND(OR(PlanterYesMe="Yes",PlanterYesMe="Y"),G3947&gt;0),(VLOOKUP(A3947,'Discount Lookup'!J:K,2)*G3947*(1-PlanterDiscount)*(1+PlanterDifficultyPercentage)),IF(AE3947="ELP",(VLOOKUP(A3947,'Discount Lookup'!J:K,2)*G3947*(1-PlanterDiscount)*(1+PlanterDifficultyPercentage)),IF(AE3947="free","re-planting",IF(G3947=0,"",IF(PlanterYesMe="",IF(AE3947="me","   not ELP, by",IF(AE3947="",IF(G3947&gt;0,(VLOOKUP(A3947,'Discount Lookup'!J:K,2)*G3947*(1-PlanterDiscount)*(1+PlanterDifficultyPercentage)),""),"")),"   not ELP, by"))))))))))))))</f>
        <v/>
      </c>
      <c r="AD3947" s="712"/>
      <c r="AE3947" s="513" t="str">
        <f t="shared" si="2938"/>
        <v/>
      </c>
      <c r="AF3947" s="713" t="str">
        <f t="shared" si="2939"/>
        <v/>
      </c>
      <c r="AG3947" s="713"/>
      <c r="AH3947" s="713"/>
      <c r="AI3947" s="112">
        <f>IF(H3947="credit",0,IF(AE3947="free",0,IF(AE3947="me",0,IF(G3947&gt;0,(VLOOKUP(A3947,'Discount Lookup'!J:K,2)*G3947),0))))</f>
        <v>0</v>
      </c>
      <c r="AJ3947" s="107" t="str">
        <f t="shared" ca="1" si="2940"/>
        <v/>
      </c>
      <c r="AK3947" s="714" t="str">
        <f t="shared" si="2941"/>
        <v/>
      </c>
      <c r="AL3947" s="714"/>
      <c r="AM3947" s="114" t="str">
        <f t="shared" si="2942"/>
        <v/>
      </c>
      <c r="AN3947" s="115"/>
      <c r="AO3947" s="116"/>
      <c r="AP3947" s="116"/>
      <c r="AQ3947" s="116"/>
      <c r="AR3947" s="116"/>
      <c r="AS3947" s="116"/>
      <c r="AT3947" s="116"/>
      <c r="AU3947" s="116"/>
      <c r="AV3947" s="78"/>
      <c r="AW3947" s="102"/>
      <c r="AX3947" s="78"/>
      <c r="AY3947" s="78"/>
      <c r="AZ3947" s="78"/>
      <c r="BA3947" s="78"/>
      <c r="BB3947" s="78"/>
      <c r="BC3947" s="78"/>
      <c r="BD3947" s="78"/>
      <c r="BE3947" s="465"/>
      <c r="BF3947" s="165" t="str">
        <f t="shared" si="2943"/>
        <v>https://www.google.com/search?tbm=isch&amp;q=Styrax%20japonicus%20%27Pink%20Chimes%27%20Pink%20Chimes%20Japanese%20Snowbell</v>
      </c>
      <c r="BG3947" s="165" t="str">
        <f t="shared" si="2944"/>
        <v>S</v>
      </c>
      <c r="BH3947" s="65"/>
      <c r="BI3947" s="65"/>
      <c r="BJ3947" s="65"/>
      <c r="BK3947" s="65"/>
      <c r="BL3947" s="99"/>
      <c r="BM3947" s="99"/>
      <c r="BN3947" s="99"/>
    </row>
    <row r="3948" spans="1:66" s="51" customFormat="1" ht="15.75" x14ac:dyDescent="0.25">
      <c r="A3948" s="634">
        <v>15</v>
      </c>
      <c r="B3948" s="635" t="s">
        <v>291</v>
      </c>
      <c r="C3948" s="636" t="s">
        <v>5216</v>
      </c>
      <c r="D3948" s="637" t="s">
        <v>299</v>
      </c>
      <c r="E3948" s="638">
        <v>196.95</v>
      </c>
      <c r="F3948" s="639" t="s">
        <v>292</v>
      </c>
      <c r="G3948" s="484">
        <v>0</v>
      </c>
      <c r="H3948" s="691" t="str">
        <f>IF(G3948=0,"",IF(F3948="Buy",IF(G3948=1,"plant","plants"),IF(F3948&gt;0.01,"warranty","Error")))</f>
        <v/>
      </c>
      <c r="I3948" s="640">
        <f>IF(H3948="free",0,IF(H3948="credit",((E3948*(F3948))*G3948*-1),IF(F3948="Buy",(E3948*G3948),((E3948*(1-F3948))*G3948))))</f>
        <v>0</v>
      </c>
      <c r="J3948" s="640">
        <f>IF(H3948="warranty",0,(I3948*(_xlfn.SINGLE(SalesTaxPercentage))))</f>
        <v>0</v>
      </c>
      <c r="K3948" s="716">
        <f t="shared" ref="K3948" si="2958">I3948+J3948</f>
        <v>0</v>
      </c>
      <c r="L3948" s="716"/>
      <c r="M3948" s="689" t="str">
        <f ca="1">IF(AND(G3948&gt;0,E3948=0),"WARNING - no PRICE inserted",IF(H3948="free","FREE ~ no charge this plant",IF(H3948="credit",CONCATENATE("-$",ROUND(K3948*(1-_xlfn.SINGLE(T2GDiscount))*-1,2)," CREDIT after discount"),IF(_xlfn.SINGLE(T2GDiscount)=0,"",IF(G3948=0,"",IF(F3948="Buy",CONCATENATE("$",ROUND(K3948*(1-_xlfn.SINGLE(T2GDiscount)),2)," with ",(_xlfn.SINGLE(T2GDiscount)*100),"% discount"),CONCATENATE("$",ROUND(K3948*(1-_xlfn.SINGLE(T2GDiscount)),2)," with ",((_xlfn.SINGLE(T2GDiscount)*100+F3948*100)-(_xlfn.SINGLE(T2GDiscount)*100*F3948)),IF(F3948&gt;0,"% discounts",IF(_xlfn.SINGLE(NoWarrantyDiscount)&gt;0,"% discounts","% discount")))))))))</f>
        <v/>
      </c>
      <c r="N3948" s="690"/>
      <c r="O3948" s="486"/>
      <c r="P3948" s="486"/>
      <c r="Q3948" s="486"/>
      <c r="R3948" s="486"/>
      <c r="S3948" s="486"/>
      <c r="T3948" s="102">
        <f t="shared" si="2932"/>
        <v>0</v>
      </c>
      <c r="U3948" s="78">
        <f>IF(NOT(ISNUMBER(G3948)), "", VLOOKUP(A3948,'Discount Lookup'!D:E,2,FALSE)*G3948)</f>
        <v>0</v>
      </c>
      <c r="V3948" s="78">
        <f>IF(NOT(ISNUMBER(G3948)), "", VLOOKUP(A3948,'Discount Lookup'!G:H,2,FALSE)*G3948)</f>
        <v>0</v>
      </c>
      <c r="W3948" s="102">
        <f t="shared" si="2933"/>
        <v>0</v>
      </c>
      <c r="X3948" s="102">
        <f t="shared" si="2934"/>
        <v>0</v>
      </c>
      <c r="Y3948" s="120" t="b">
        <f t="shared" si="2935"/>
        <v>0</v>
      </c>
      <c r="Z3948" s="117">
        <f t="shared" si="2936"/>
        <v>0</v>
      </c>
      <c r="AA3948" s="118"/>
      <c r="AB3948" s="118" t="str">
        <f t="shared" si="2937"/>
        <v/>
      </c>
      <c r="AC3948" s="712" t="str">
        <f>IF(AE3948="T2G","no charge",IF(AND(OR(PlanterYesMe="No",PlanterYesMe="N",PlanterYesMe="me"),H3948=""),"",IF(H3948="credit","NO install",IF(AND(K3948="",AE3948="me"),"EACH row",IF(AND(K3948="images",AE3948="me"),"EACH row",IF(D3948="","",IF(H3948="credit","",IF(AE3948="free","re-planting",IF(AE3948="me","   not ELP, by",IF(AND(OR(PlanterYesMe="Yes",PlanterYesMe="Y"),G3948&gt;0),(VLOOKUP(A3948,'Discount Lookup'!J:K,2)*G3948*(1-PlanterDiscount)*(1+PlanterDifficultyPercentage)),IF(AE3948="ELP",(VLOOKUP(A3948,'Discount Lookup'!J:K,2)*G3948*(1-PlanterDiscount)*(1+PlanterDifficultyPercentage)),IF(AE3948="free","re-planting",IF(G3948=0,"",IF(PlanterYesMe="",IF(AE3948="me","   not ELP, by",IF(AE3948="",IF(G3948&gt;0,(VLOOKUP(A3948,'Discount Lookup'!J:K,2)*G3948*(1-PlanterDiscount)*(1+PlanterDifficultyPercentage)),""),"")),"   not ELP, by"))))))))))))))</f>
        <v/>
      </c>
      <c r="AD3948" s="712"/>
      <c r="AE3948" s="513" t="str">
        <f t="shared" si="2938"/>
        <v/>
      </c>
      <c r="AF3948" s="713" t="str">
        <f t="shared" si="2939"/>
        <v/>
      </c>
      <c r="AG3948" s="713"/>
      <c r="AH3948" s="713"/>
      <c r="AI3948" s="112">
        <f>IF(H3948="credit",0,IF(AE3948="free",0,IF(AE3948="me",0,IF(G3948&gt;0,(VLOOKUP(A3948,'Discount Lookup'!J:K,2)*G3948),0))))</f>
        <v>0</v>
      </c>
      <c r="AJ3948" s="107" t="str">
        <f t="shared" ca="1" si="2940"/>
        <v/>
      </c>
      <c r="AK3948" s="714" t="str">
        <f t="shared" si="2941"/>
        <v/>
      </c>
      <c r="AL3948" s="714"/>
      <c r="AM3948" s="114" t="str">
        <f t="shared" si="2942"/>
        <v/>
      </c>
      <c r="AN3948" s="115"/>
      <c r="AO3948" s="116"/>
      <c r="AP3948" s="116"/>
      <c r="AQ3948" s="116"/>
      <c r="AR3948" s="116"/>
      <c r="AS3948" s="116"/>
      <c r="AT3948" s="116"/>
      <c r="AU3948" s="116"/>
      <c r="AV3948" s="78"/>
      <c r="AW3948" s="102"/>
      <c r="AX3948" s="78"/>
      <c r="AY3948" s="78"/>
      <c r="AZ3948" s="78"/>
      <c r="BA3948" s="78"/>
      <c r="BB3948" s="78"/>
      <c r="BC3948" s="78"/>
      <c r="BD3948" s="78"/>
      <c r="BE3948" s="465"/>
      <c r="BF3948" s="165" t="str">
        <f t="shared" si="2943"/>
        <v>https://www.google.com/search?tbm=isch&amp;q=15%20G4</v>
      </c>
      <c r="BG3948" s="165" t="str">
        <f t="shared" si="2944"/>
        <v>S</v>
      </c>
      <c r="BH3948" s="65"/>
      <c r="BI3948" s="65"/>
      <c r="BJ3948" s="65"/>
      <c r="BK3948" s="65"/>
      <c r="BL3948" s="99"/>
      <c r="BM3948" s="99"/>
      <c r="BN3948" s="99"/>
    </row>
    <row r="3949" spans="1:66" s="51" customFormat="1" ht="17.25" thickBot="1" x14ac:dyDescent="0.3">
      <c r="A3949" s="704" t="s">
        <v>5539</v>
      </c>
      <c r="B3949" s="642"/>
      <c r="C3949" s="710"/>
      <c r="D3949" s="643"/>
      <c r="E3949" s="643"/>
      <c r="F3949" s="644"/>
      <c r="G3949" s="645"/>
      <c r="H3949" s="646"/>
      <c r="I3949" s="647"/>
      <c r="J3949" s="648"/>
      <c r="K3949" s="649"/>
      <c r="L3949" s="650"/>
      <c r="M3949" s="650"/>
      <c r="N3949" s="644"/>
      <c r="O3949" s="644"/>
      <c r="P3949" s="644"/>
      <c r="Q3949" s="644"/>
      <c r="R3949" s="644"/>
      <c r="S3949" s="701" t="s">
        <v>5251</v>
      </c>
      <c r="T3949" s="102">
        <f t="shared" si="2932"/>
        <v>0</v>
      </c>
      <c r="U3949" s="78" t="str">
        <f>IF(NOT(ISNUMBER(G3949)), "", VLOOKUP(A3949,'Discount Lookup'!D:E,2,FALSE)*G3949)</f>
        <v/>
      </c>
      <c r="V3949" s="78" t="str">
        <f>IF(NOT(ISNUMBER(G3949)), "", VLOOKUP(A3949,'Discount Lookup'!G:H,2,FALSE)*G3949)</f>
        <v/>
      </c>
      <c r="W3949" s="102">
        <f t="shared" si="2933"/>
        <v>0</v>
      </c>
      <c r="X3949" s="102">
        <f t="shared" si="2934"/>
        <v>0</v>
      </c>
      <c r="Y3949" s="120" t="b">
        <f t="shared" si="2935"/>
        <v>0</v>
      </c>
      <c r="Z3949" s="117">
        <f t="shared" si="2936"/>
        <v>0</v>
      </c>
      <c r="AA3949" s="118"/>
      <c r="AB3949" s="118" t="str">
        <f t="shared" si="2937"/>
        <v/>
      </c>
      <c r="AC3949" s="712" t="str">
        <f>IF(AE3949="T2G","no charge",IF(AND(OR(PlanterYesMe="No",PlanterYesMe="N",PlanterYesMe="me"),H3949=""),"",IF(H3949="credit","NO install",IF(AND(K3949="",AE3949="me"),"EACH row",IF(AND(K3949="images",AE3949="me"),"EACH row",IF(D3949="","",IF(H3949="credit","",IF(AE3949="free","re-planting",IF(AE3949="me","   not ELP, by",IF(AND(OR(PlanterYesMe="Yes",PlanterYesMe="Y"),G3949&gt;0),(VLOOKUP(A3949,'Discount Lookup'!J:K,2)*G3949*(1-PlanterDiscount)*(1+PlanterDifficultyPercentage)),IF(AE3949="ELP",(VLOOKUP(A3949,'Discount Lookup'!J:K,2)*G3949*(1-PlanterDiscount)*(1+PlanterDifficultyPercentage)),IF(AE3949="free","re-planting",IF(G3949=0,"",IF(PlanterYesMe="",IF(AE3949="me","   not ELP, by",IF(AE3949="",IF(G3949&gt;0,(VLOOKUP(A3949,'Discount Lookup'!J:K,2)*G3949*(1-PlanterDiscount)*(1+PlanterDifficultyPercentage)),""),"")),"   not ELP, by"))))))))))))))</f>
        <v/>
      </c>
      <c r="AD3949" s="712"/>
      <c r="AE3949" s="513" t="str">
        <f t="shared" si="2938"/>
        <v/>
      </c>
      <c r="AF3949" s="713" t="str">
        <f t="shared" si="2939"/>
        <v/>
      </c>
      <c r="AG3949" s="713"/>
      <c r="AH3949" s="713"/>
      <c r="AI3949" s="112">
        <f>IF(H3949="credit",0,IF(AE3949="free",0,IF(AE3949="me",0,IF(G3949&gt;0,(VLOOKUP(A3949,'Discount Lookup'!J:K,2)*G3949),0))))</f>
        <v>0</v>
      </c>
      <c r="AJ3949" s="107" t="str">
        <f t="shared" ca="1" si="2940"/>
        <v/>
      </c>
      <c r="AK3949" s="714" t="str">
        <f t="shared" si="2941"/>
        <v/>
      </c>
      <c r="AL3949" s="714"/>
      <c r="AM3949" s="114" t="str">
        <f t="shared" si="2942"/>
        <v/>
      </c>
      <c r="AN3949" s="115"/>
      <c r="AO3949" s="116"/>
      <c r="AP3949" s="116"/>
      <c r="AQ3949" s="116"/>
      <c r="AR3949" s="116"/>
      <c r="AS3949" s="116"/>
      <c r="AT3949" s="116"/>
      <c r="AU3949" s="116"/>
      <c r="AV3949" s="78"/>
      <c r="AW3949" s="102"/>
      <c r="AX3949" s="78"/>
      <c r="AY3949" s="78"/>
      <c r="AZ3949" s="78"/>
      <c r="BA3949" s="78"/>
      <c r="BB3949" s="78"/>
      <c r="BC3949" s="78"/>
      <c r="BD3949" s="78"/>
      <c r="BE3949" s="465"/>
      <c r="BF3949" s="165" t="str">
        <f t="shared" si="2943"/>
        <v>https://www.google.com/search?tbm=isch&amp;q=moist%20sites%F0%9F%92%A7GOOD%2C%20Pink%20Chimes%20has%20pendulous%20clusters%20of%20fragrant%20bell-shaped%20flowers%20</v>
      </c>
      <c r="BG3949" s="165" t="str">
        <f t="shared" si="2944"/>
        <v>m</v>
      </c>
      <c r="BH3949" s="65"/>
      <c r="BI3949" s="65"/>
      <c r="BJ3949" s="65"/>
      <c r="BK3949" s="65"/>
      <c r="BL3949" s="99"/>
      <c r="BM3949" s="99"/>
      <c r="BN3949" s="99"/>
    </row>
    <row r="3950" spans="1:66" s="51" customFormat="1" ht="18" x14ac:dyDescent="0.25">
      <c r="A3950" s="623" t="s">
        <v>5103</v>
      </c>
      <c r="B3950" s="624"/>
      <c r="C3950" s="709"/>
      <c r="D3950" s="625" t="s">
        <v>5911</v>
      </c>
      <c r="E3950" s="626"/>
      <c r="F3950" s="626"/>
      <c r="G3950" s="626"/>
      <c r="H3950" s="622" t="s">
        <v>5104</v>
      </c>
      <c r="I3950" s="627" t="s">
        <v>349</v>
      </c>
      <c r="J3950" s="628"/>
      <c r="K3950" s="628"/>
      <c r="L3950" s="629"/>
      <c r="M3950" s="700" t="s">
        <v>5249</v>
      </c>
      <c r="N3950" s="693" t="str">
        <f>IF(AND(ISTEXT($A3950), ISERROR($A3950+0)), HYPERLINK($BF3950, "Images"), "")</f>
        <v>Images</v>
      </c>
      <c r="O3950" s="695" t="s">
        <v>5247</v>
      </c>
      <c r="P3950" s="630"/>
      <c r="Q3950" s="631"/>
      <c r="R3950" s="632"/>
      <c r="S3950" s="633"/>
      <c r="T3950" s="102">
        <f t="shared" si="2932"/>
        <v>0</v>
      </c>
      <c r="U3950" s="78" t="str">
        <f>IF(NOT(ISNUMBER(G3950)), "", VLOOKUP(A3950,'Discount Lookup'!D:E,2,FALSE)*G3950)</f>
        <v/>
      </c>
      <c r="V3950" s="78" t="str">
        <f>IF(NOT(ISNUMBER(G3950)), "", VLOOKUP(A3950,'Discount Lookup'!G:H,2,FALSE)*G3950)</f>
        <v/>
      </c>
      <c r="W3950" s="102">
        <f t="shared" si="2933"/>
        <v>0</v>
      </c>
      <c r="X3950" s="102" t="str">
        <f t="shared" si="2934"/>
        <v>White bloom</v>
      </c>
      <c r="Y3950" s="120" t="b">
        <f t="shared" si="2935"/>
        <v>0</v>
      </c>
      <c r="Z3950" s="117">
        <f t="shared" si="2936"/>
        <v>0</v>
      </c>
      <c r="AA3950" s="118"/>
      <c r="AB3950" s="118" t="str">
        <f t="shared" si="2937"/>
        <v/>
      </c>
      <c r="AC3950" s="712" t="str">
        <f>IF(AE3950="T2G","no charge",IF(AND(OR(PlanterYesMe="No",PlanterYesMe="N",PlanterYesMe="me"),H3950=""),"",IF(H3950="credit","NO install",IF(AND(K3950="",AE3950="me"),"EACH row",IF(AND(K3950="images",AE3950="me"),"EACH row",IF(D3950="","",IF(H3950="credit","",IF(AE3950="free","re-planting",IF(AE3950="me","   not ELP, by",IF(AND(OR(PlanterYesMe="Yes",PlanterYesMe="Y"),G3950&gt;0),(VLOOKUP(A3950,'Discount Lookup'!J:K,2)*G3950*(1-PlanterDiscount)*(1+PlanterDifficultyPercentage)),IF(AE3950="ELP",(VLOOKUP(A3950,'Discount Lookup'!J:K,2)*G3950*(1-PlanterDiscount)*(1+PlanterDifficultyPercentage)),IF(AE3950="free","re-planting",IF(G3950=0,"",IF(PlanterYesMe="",IF(AE3950="me","   not ELP, by",IF(AE3950="",IF(G3950&gt;0,(VLOOKUP(A3950,'Discount Lookup'!J:K,2)*G3950*(1-PlanterDiscount)*(1+PlanterDifficultyPercentage)),""),"")),"   not ELP, by"))))))))))))))</f>
        <v/>
      </c>
      <c r="AD3950" s="712"/>
      <c r="AE3950" s="513" t="str">
        <f t="shared" si="2938"/>
        <v/>
      </c>
      <c r="AF3950" s="713" t="str">
        <f t="shared" si="2939"/>
        <v/>
      </c>
      <c r="AG3950" s="713"/>
      <c r="AH3950" s="713"/>
      <c r="AI3950" s="112">
        <f>IF(H3950="credit",0,IF(AE3950="free",0,IF(AE3950="me",0,IF(G3950&gt;0,(VLOOKUP(A3950,'Discount Lookup'!J:K,2)*G3950),0))))</f>
        <v>0</v>
      </c>
      <c r="AJ3950" s="107" t="str">
        <f t="shared" ca="1" si="2940"/>
        <v/>
      </c>
      <c r="AK3950" s="714" t="str">
        <f t="shared" si="2941"/>
        <v/>
      </c>
      <c r="AL3950" s="714"/>
      <c r="AM3950" s="114" t="str">
        <f t="shared" si="2942"/>
        <v/>
      </c>
      <c r="AN3950" s="115"/>
      <c r="AO3950" s="116"/>
      <c r="AP3950" s="116"/>
      <c r="AQ3950" s="116"/>
      <c r="AR3950" s="116"/>
      <c r="AS3950" s="116"/>
      <c r="AT3950" s="116"/>
      <c r="AU3950" s="116"/>
      <c r="AV3950" s="78"/>
      <c r="AW3950" s="102"/>
      <c r="AX3950" s="78"/>
      <c r="AY3950" s="78"/>
      <c r="AZ3950" s="78"/>
      <c r="BA3950" s="78"/>
      <c r="BB3950" s="78"/>
      <c r="BC3950" s="78"/>
      <c r="BD3950" s="78"/>
      <c r="BE3950" s="465"/>
      <c r="BF3950" s="165" t="str">
        <f t="shared" si="2943"/>
        <v>https://www.google.com/search?tbm=isch&amp;q=Styrax%20japonicus%20%27RNI-RIXRED%27%20PP%2335353%20Starway%20to%20Heaven%C2%AE%20Japanese%20Snowbell%20%28PW%C2%AE%29</v>
      </c>
      <c r="BG3950" s="165" t="str">
        <f t="shared" si="2944"/>
        <v>S</v>
      </c>
      <c r="BH3950" s="65"/>
      <c r="BI3950" s="65"/>
      <c r="BJ3950" s="65"/>
      <c r="BK3950" s="65"/>
      <c r="BL3950" s="99"/>
      <c r="BM3950" s="99"/>
      <c r="BN3950" s="99"/>
    </row>
    <row r="3951" spans="1:66" s="51" customFormat="1" ht="15.75" x14ac:dyDescent="0.25">
      <c r="A3951" s="634">
        <v>10</v>
      </c>
      <c r="B3951" s="635" t="s">
        <v>291</v>
      </c>
      <c r="C3951" s="636" t="s">
        <v>2051</v>
      </c>
      <c r="D3951" s="637" t="s">
        <v>299</v>
      </c>
      <c r="E3951" s="638">
        <v>173.95</v>
      </c>
      <c r="F3951" s="639" t="s">
        <v>292</v>
      </c>
      <c r="G3951" s="484">
        <v>0</v>
      </c>
      <c r="H3951" s="691" t="str">
        <f>IF(G3951=0,"",IF(F3951="Buy",IF(G3951=1,"plant","plants"),IF(F3951&gt;0.01,"warranty","Error")))</f>
        <v/>
      </c>
      <c r="I3951" s="640">
        <f>IF(H3951="free",0,IF(H3951="credit",((E3951*(F3951))*G3951*-1),IF(F3951="Buy",(E3951*G3951),((E3951*(1-F3951))*G3951))))</f>
        <v>0</v>
      </c>
      <c r="J3951" s="640">
        <f>IF(H3951="warranty",0,(I3951*(_xlfn.SINGLE(SalesTaxPercentage))))</f>
        <v>0</v>
      </c>
      <c r="K3951" s="716">
        <f t="shared" ref="K3951" si="2959">I3951+J3951</f>
        <v>0</v>
      </c>
      <c r="L3951" s="716"/>
      <c r="M3951" s="689" t="str">
        <f ca="1">IF(AND(G3951&gt;0,E3951=0),"WARNING - no PRICE inserted",IF(H3951="free","FREE ~ no charge this plant",IF(H3951="credit",CONCATENATE("-$",ROUND(K3951*(1-_xlfn.SINGLE(T2GDiscount))*-1,2)," CREDIT after discount"),IF(_xlfn.SINGLE(T2GDiscount)=0,"",IF(G3951=0,"",IF(F3951="Buy",CONCATENATE("$",ROUND(K3951*(1-_xlfn.SINGLE(T2GDiscount)),2)," with ",(_xlfn.SINGLE(T2GDiscount)*100),"% discount"),CONCATENATE("$",ROUND(K3951*(1-_xlfn.SINGLE(T2GDiscount)),2)," with ",((_xlfn.SINGLE(T2GDiscount)*100+F3951*100)-(_xlfn.SINGLE(T2GDiscount)*100*F3951)),IF(F3951&gt;0,"% discounts",IF(_xlfn.SINGLE(NoWarrantyDiscount)&gt;0,"% discounts","% discount")))))))))</f>
        <v/>
      </c>
      <c r="N3951" s="690"/>
      <c r="O3951" s="486"/>
      <c r="P3951" s="486"/>
      <c r="Q3951" s="486"/>
      <c r="R3951" s="486"/>
      <c r="S3951" s="486"/>
      <c r="T3951" s="102">
        <f t="shared" si="2932"/>
        <v>0</v>
      </c>
      <c r="U3951" s="78">
        <f>IF(NOT(ISNUMBER(G3951)), "", VLOOKUP(A3951,'Discount Lookup'!D:E,2,FALSE)*G3951)</f>
        <v>0</v>
      </c>
      <c r="V3951" s="78">
        <f>IF(NOT(ISNUMBER(G3951)), "", VLOOKUP(A3951,'Discount Lookup'!G:H,2,FALSE)*G3951)</f>
        <v>0</v>
      </c>
      <c r="W3951" s="102">
        <f t="shared" si="2933"/>
        <v>0</v>
      </c>
      <c r="X3951" s="102">
        <f t="shared" si="2934"/>
        <v>0</v>
      </c>
      <c r="Y3951" s="120" t="b">
        <f t="shared" si="2935"/>
        <v>0</v>
      </c>
      <c r="Z3951" s="117">
        <f t="shared" si="2936"/>
        <v>0</v>
      </c>
      <c r="AA3951" s="118"/>
      <c r="AB3951" s="118" t="str">
        <f t="shared" si="2937"/>
        <v/>
      </c>
      <c r="AC3951" s="712" t="str">
        <f>IF(AE3951="T2G","no charge",IF(AND(OR(PlanterYesMe="No",PlanterYesMe="N",PlanterYesMe="me"),H3951=""),"",IF(H3951="credit","NO install",IF(AND(K3951="",AE3951="me"),"EACH row",IF(AND(K3951="images",AE3951="me"),"EACH row",IF(D3951="","",IF(H3951="credit","",IF(AE3951="free","re-planting",IF(AE3951="me","   not ELP, by",IF(AND(OR(PlanterYesMe="Yes",PlanterYesMe="Y"),G3951&gt;0),(VLOOKUP(A3951,'Discount Lookup'!J:K,2)*G3951*(1-PlanterDiscount)*(1+PlanterDifficultyPercentage)),IF(AE3951="ELP",(VLOOKUP(A3951,'Discount Lookup'!J:K,2)*G3951*(1-PlanterDiscount)*(1+PlanterDifficultyPercentage)),IF(AE3951="free","re-planting",IF(G3951=0,"",IF(PlanterYesMe="",IF(AE3951="me","   not ELP, by",IF(AE3951="",IF(G3951&gt;0,(VLOOKUP(A3951,'Discount Lookup'!J:K,2)*G3951*(1-PlanterDiscount)*(1+PlanterDifficultyPercentage)),""),"")),"   not ELP, by"))))))))))))))</f>
        <v/>
      </c>
      <c r="AD3951" s="712"/>
      <c r="AE3951" s="513" t="str">
        <f t="shared" si="2938"/>
        <v/>
      </c>
      <c r="AF3951" s="713" t="str">
        <f t="shared" si="2939"/>
        <v/>
      </c>
      <c r="AG3951" s="713"/>
      <c r="AH3951" s="713"/>
      <c r="AI3951" s="112">
        <f>IF(H3951="credit",0,IF(AE3951="free",0,IF(AE3951="me",0,IF(G3951&gt;0,(VLOOKUP(A3951,'Discount Lookup'!J:K,2)*G3951),0))))</f>
        <v>0</v>
      </c>
      <c r="AJ3951" s="107" t="str">
        <f t="shared" ca="1" si="2940"/>
        <v/>
      </c>
      <c r="AK3951" s="714" t="str">
        <f t="shared" si="2941"/>
        <v/>
      </c>
      <c r="AL3951" s="714"/>
      <c r="AM3951" s="114" t="str">
        <f t="shared" si="2942"/>
        <v/>
      </c>
      <c r="AN3951" s="115"/>
      <c r="AO3951" s="116"/>
      <c r="AP3951" s="116"/>
      <c r="AQ3951" s="116"/>
      <c r="AR3951" s="116"/>
      <c r="AS3951" s="116"/>
      <c r="AT3951" s="116"/>
      <c r="AU3951" s="116"/>
      <c r="AV3951" s="78"/>
      <c r="AW3951" s="102"/>
      <c r="AX3951" s="78"/>
      <c r="AY3951" s="78"/>
      <c r="AZ3951" s="78"/>
      <c r="BA3951" s="78"/>
      <c r="BB3951" s="78"/>
      <c r="BC3951" s="78"/>
      <c r="BD3951" s="78"/>
      <c r="BE3951" s="465"/>
      <c r="BF3951" s="165" t="str">
        <f t="shared" si="2943"/>
        <v>https://www.google.com/search?tbm=isch&amp;q=10%20G4</v>
      </c>
      <c r="BG3951" s="165" t="str">
        <f t="shared" si="2944"/>
        <v>S</v>
      </c>
      <c r="BH3951" s="65"/>
      <c r="BI3951" s="65"/>
      <c r="BJ3951" s="65"/>
      <c r="BK3951" s="65"/>
      <c r="BL3951" s="99"/>
      <c r="BM3951" s="99"/>
      <c r="BN3951" s="99"/>
    </row>
    <row r="3952" spans="1:66" s="51" customFormat="1" ht="16.5" x14ac:dyDescent="0.25">
      <c r="A3952" s="704" t="s">
        <v>5540</v>
      </c>
      <c r="B3952" s="642"/>
      <c r="C3952" s="710"/>
      <c r="D3952" s="643"/>
      <c r="E3952" s="643"/>
      <c r="F3952" s="644"/>
      <c r="G3952" s="645"/>
      <c r="H3952" s="646"/>
      <c r="I3952" s="647"/>
      <c r="J3952" s="648"/>
      <c r="K3952" s="649"/>
      <c r="L3952" s="650"/>
      <c r="M3952" s="650"/>
      <c r="N3952" s="644"/>
      <c r="O3952" s="644"/>
      <c r="P3952" s="644"/>
      <c r="Q3952" s="644"/>
      <c r="R3952" s="644"/>
      <c r="S3952" s="701" t="s">
        <v>5251</v>
      </c>
      <c r="T3952" s="102">
        <f t="shared" si="2932"/>
        <v>0</v>
      </c>
      <c r="U3952" s="78" t="str">
        <f>IF(NOT(ISNUMBER(G3952)), "", VLOOKUP(A3952,'Discount Lookup'!D:E,2,FALSE)*G3952)</f>
        <v/>
      </c>
      <c r="V3952" s="78" t="str">
        <f>IF(NOT(ISNUMBER(G3952)), "", VLOOKUP(A3952,'Discount Lookup'!G:H,2,FALSE)*G3952)</f>
        <v/>
      </c>
      <c r="W3952" s="102">
        <f t="shared" si="2933"/>
        <v>0</v>
      </c>
      <c r="X3952" s="102">
        <f t="shared" si="2934"/>
        <v>0</v>
      </c>
      <c r="Y3952" s="120" t="b">
        <f t="shared" si="2935"/>
        <v>0</v>
      </c>
      <c r="Z3952" s="117">
        <f t="shared" si="2936"/>
        <v>0</v>
      </c>
      <c r="AA3952" s="118"/>
      <c r="AB3952" s="118" t="str">
        <f t="shared" si="2937"/>
        <v/>
      </c>
      <c r="AC3952" s="712" t="str">
        <f>IF(AE3952="T2G","no charge",IF(AND(OR(PlanterYesMe="No",PlanterYesMe="N",PlanterYesMe="me"),H3952=""),"",IF(H3952="credit","NO install",IF(AND(K3952="",AE3952="me"),"EACH row",IF(AND(K3952="images",AE3952="me"),"EACH row",IF(D3952="","",IF(H3952="credit","",IF(AE3952="free","re-planting",IF(AE3952="me","   not ELP, by",IF(AND(OR(PlanterYesMe="Yes",PlanterYesMe="Y"),G3952&gt;0),(VLOOKUP(A3952,'Discount Lookup'!J:K,2)*G3952*(1-PlanterDiscount)*(1+PlanterDifficultyPercentage)),IF(AE3952="ELP",(VLOOKUP(A3952,'Discount Lookup'!J:K,2)*G3952*(1-PlanterDiscount)*(1+PlanterDifficultyPercentage)),IF(AE3952="free","re-planting",IF(G3952=0,"",IF(PlanterYesMe="",IF(AE3952="me","   not ELP, by",IF(AE3952="",IF(G3952&gt;0,(VLOOKUP(A3952,'Discount Lookup'!J:K,2)*G3952*(1-PlanterDiscount)*(1+PlanterDifficultyPercentage)),""),"")),"   not ELP, by"))))))))))))))</f>
        <v/>
      </c>
      <c r="AD3952" s="712"/>
      <c r="AE3952" s="513" t="str">
        <f t="shared" si="2938"/>
        <v/>
      </c>
      <c r="AF3952" s="713" t="str">
        <f t="shared" si="2939"/>
        <v/>
      </c>
      <c r="AG3952" s="713"/>
      <c r="AH3952" s="713"/>
      <c r="AI3952" s="112">
        <f>IF(H3952="credit",0,IF(AE3952="free",0,IF(AE3952="me",0,IF(G3952&gt;0,(VLOOKUP(A3952,'Discount Lookup'!J:K,2)*G3952),0))))</f>
        <v>0</v>
      </c>
      <c r="AJ3952" s="107" t="str">
        <f t="shared" ca="1" si="2940"/>
        <v/>
      </c>
      <c r="AK3952" s="714" t="str">
        <f t="shared" si="2941"/>
        <v/>
      </c>
      <c r="AL3952" s="714"/>
      <c r="AM3952" s="114" t="str">
        <f t="shared" si="2942"/>
        <v/>
      </c>
      <c r="AN3952" s="115"/>
      <c r="AO3952" s="116"/>
      <c r="AP3952" s="116"/>
      <c r="AQ3952" s="116"/>
      <c r="AR3952" s="116"/>
      <c r="AS3952" s="116"/>
      <c r="AT3952" s="116"/>
      <c r="AU3952" s="116"/>
      <c r="AV3952" s="78"/>
      <c r="AW3952" s="102"/>
      <c r="AX3952" s="78"/>
      <c r="AY3952" s="78"/>
      <c r="AZ3952" s="78"/>
      <c r="BA3952" s="78"/>
      <c r="BB3952" s="78"/>
      <c r="BC3952" s="78"/>
      <c r="BD3952" s="78"/>
      <c r="BE3952" s="465"/>
      <c r="BF3952" s="165" t="str">
        <f t="shared" si="2943"/>
        <v>https://www.google.com/search?tbm=isch&amp;q=moist%20sites%F0%9F%92%A7GOOD%2C%20Starway%20to%20Heaven%20has%20abundant%2C%20fragrant%2C%20bell-shaped%20flowers%20and%20striking%20new%20Red%20foliage%2C%20turning%20Burgundy-Purple%20in%20fall%20</v>
      </c>
      <c r="BG3952" s="165" t="str">
        <f t="shared" si="2944"/>
        <v>m</v>
      </c>
      <c r="BH3952" s="65"/>
      <c r="BI3952" s="65"/>
      <c r="BJ3952" s="65"/>
      <c r="BK3952" s="65"/>
      <c r="BL3952" s="99"/>
      <c r="BM3952" s="99"/>
      <c r="BN3952" s="99"/>
    </row>
    <row r="3953" spans="1:66" s="51" customFormat="1" ht="19.5" thickBot="1" x14ac:dyDescent="0.3">
      <c r="A3953" s="686" t="s">
        <v>742</v>
      </c>
      <c r="B3953" s="73"/>
      <c r="C3953" s="708"/>
      <c r="D3953" s="73"/>
      <c r="E3953" s="73"/>
      <c r="F3953" s="496"/>
      <c r="G3953" s="73"/>
      <c r="H3953" s="73"/>
      <c r="I3953" s="73"/>
      <c r="J3953" s="497" t="s">
        <v>357</v>
      </c>
      <c r="K3953" s="498"/>
      <c r="L3953" s="562"/>
      <c r="M3953" s="73"/>
      <c r="N3953"/>
      <c r="O3953"/>
      <c r="P3953"/>
      <c r="Q3953"/>
      <c r="R3953"/>
      <c r="S3953"/>
      <c r="T3953" s="102">
        <f t="shared" si="2932"/>
        <v>0</v>
      </c>
      <c r="U3953" s="78" t="str">
        <f>IF(NOT(ISNUMBER(G3953)), "", VLOOKUP(A3953,'Discount Lookup'!D:E,2,FALSE)*G3953)</f>
        <v/>
      </c>
      <c r="V3953" s="78" t="str">
        <f>IF(NOT(ISNUMBER(G3953)), "", VLOOKUP(A3953,'Discount Lookup'!G:H,2,FALSE)*G3953)</f>
        <v/>
      </c>
      <c r="W3953" s="102">
        <f t="shared" si="2933"/>
        <v>0</v>
      </c>
      <c r="X3953" s="102">
        <f t="shared" si="2934"/>
        <v>0</v>
      </c>
      <c r="Y3953" s="120" t="b">
        <f t="shared" si="2935"/>
        <v>0</v>
      </c>
      <c r="Z3953" s="117">
        <f t="shared" si="2936"/>
        <v>0</v>
      </c>
      <c r="AA3953" s="118"/>
      <c r="AB3953" s="118" t="str">
        <f t="shared" si="2937"/>
        <v/>
      </c>
      <c r="AC3953" s="712" t="str">
        <f>IF(AE3953="T2G","no charge",IF(AND(OR(PlanterYesMe="No",PlanterYesMe="N",PlanterYesMe="me"),H3953=""),"",IF(H3953="credit","NO install",IF(AND(K3953="",AE3953="me"),"EACH row",IF(AND(K3953="images",AE3953="me"),"EACH row",IF(D3953="","",IF(H3953="credit","",IF(AE3953="free","re-planting",IF(AE3953="me","   not ELP, by",IF(AND(OR(PlanterYesMe="Yes",PlanterYesMe="Y"),G3953&gt;0),(VLOOKUP(A3953,'Discount Lookup'!J:K,2)*G3953*(1-PlanterDiscount)*(1+PlanterDifficultyPercentage)),IF(AE3953="ELP",(VLOOKUP(A3953,'Discount Lookup'!J:K,2)*G3953*(1-PlanterDiscount)*(1+PlanterDifficultyPercentage)),IF(AE3953="free","re-planting",IF(G3953=0,"",IF(PlanterYesMe="",IF(AE3953="me","   not ELP, by",IF(AE3953="",IF(G3953&gt;0,(VLOOKUP(A3953,'Discount Lookup'!J:K,2)*G3953*(1-PlanterDiscount)*(1+PlanterDifficultyPercentage)),""),"")),"   not ELP, by"))))))))))))))</f>
        <v/>
      </c>
      <c r="AD3953" s="712"/>
      <c r="AE3953" s="513" t="str">
        <f t="shared" si="2938"/>
        <v/>
      </c>
      <c r="AF3953" s="713" t="str">
        <f t="shared" si="2939"/>
        <v/>
      </c>
      <c r="AG3953" s="713"/>
      <c r="AH3953" s="713"/>
      <c r="AI3953" s="112">
        <f>IF(H3953="credit",0,IF(AE3953="free",0,IF(AE3953="me",0,IF(G3953&gt;0,(VLOOKUP(A3953,'Discount Lookup'!J:K,2)*G3953),0))))</f>
        <v>0</v>
      </c>
      <c r="AJ3953" s="107" t="str">
        <f t="shared" ca="1" si="2940"/>
        <v/>
      </c>
      <c r="AK3953" s="714" t="str">
        <f t="shared" si="2941"/>
        <v/>
      </c>
      <c r="AL3953" s="714"/>
      <c r="AM3953" s="114" t="str">
        <f t="shared" si="2942"/>
        <v/>
      </c>
      <c r="AN3953" s="115"/>
      <c r="AO3953" s="116"/>
      <c r="AP3953" s="116"/>
      <c r="AQ3953" s="116"/>
      <c r="AR3953" s="116"/>
      <c r="AS3953" s="116"/>
      <c r="AT3953" s="116"/>
      <c r="AU3953" s="116"/>
      <c r="AV3953" s="78"/>
      <c r="AW3953" s="102"/>
      <c r="AX3953" s="78"/>
      <c r="AY3953" s="78"/>
      <c r="AZ3953" s="78"/>
      <c r="BA3953" s="78"/>
      <c r="BB3953" s="78"/>
      <c r="BC3953" s="78"/>
      <c r="BD3953" s="78"/>
      <c r="BE3953" s="465"/>
      <c r="BF3953" s="165" t="str">
        <f t="shared" si="2943"/>
        <v>https://www.google.com/search?tbm=isch&amp;q=Symphyotrichum%20%3D%20Aster%20</v>
      </c>
      <c r="BG3953" s="165" t="str">
        <f t="shared" si="2944"/>
        <v>S</v>
      </c>
      <c r="BH3953" s="65"/>
      <c r="BI3953" s="65"/>
      <c r="BJ3953" s="65"/>
      <c r="BK3953" s="65"/>
      <c r="BL3953" s="99"/>
      <c r="BM3953" s="99"/>
      <c r="BN3953" s="99"/>
    </row>
    <row r="3954" spans="1:66" s="51" customFormat="1" ht="18" x14ac:dyDescent="0.25">
      <c r="A3954" s="623" t="s">
        <v>4275</v>
      </c>
      <c r="B3954" s="624"/>
      <c r="C3954" s="709"/>
      <c r="D3954" s="625" t="s">
        <v>4276</v>
      </c>
      <c r="E3954" s="626"/>
      <c r="F3954" s="626"/>
      <c r="G3954" s="626"/>
      <c r="H3954" s="622" t="s">
        <v>1484</v>
      </c>
      <c r="I3954" s="627" t="s">
        <v>4897</v>
      </c>
      <c r="J3954" s="628"/>
      <c r="K3954" s="628"/>
      <c r="L3954" s="629"/>
      <c r="M3954" s="700" t="s">
        <v>5241</v>
      </c>
      <c r="N3954" s="693" t="str">
        <f>IF(AND(ISTEXT($A3954), ISERROR($A3954+0)), HYPERLINK($BF3954, "Images"), "")</f>
        <v>Images</v>
      </c>
      <c r="O3954" s="695" t="s">
        <v>5247</v>
      </c>
      <c r="P3954" s="630"/>
      <c r="Q3954" s="631"/>
      <c r="R3954" s="632"/>
      <c r="S3954" s="633" t="s">
        <v>294</v>
      </c>
      <c r="T3954" s="102">
        <f t="shared" si="2932"/>
        <v>0</v>
      </c>
      <c r="U3954" s="78" t="str">
        <f>IF(NOT(ISNUMBER(G3954)), "", VLOOKUP(A3954,'Discount Lookup'!D:E,2,FALSE)*G3954)</f>
        <v/>
      </c>
      <c r="V3954" s="78" t="str">
        <f>IF(NOT(ISNUMBER(G3954)), "", VLOOKUP(A3954,'Discount Lookup'!G:H,2,FALSE)*G3954)</f>
        <v/>
      </c>
      <c r="W3954" s="102">
        <f t="shared" si="2933"/>
        <v>0</v>
      </c>
      <c r="X3954" s="102" t="str">
        <f t="shared" si="2934"/>
        <v>Deep Grape-Purple bloom</v>
      </c>
      <c r="Y3954" s="120" t="b">
        <f t="shared" si="2935"/>
        <v>0</v>
      </c>
      <c r="Z3954" s="117">
        <f t="shared" si="2936"/>
        <v>0</v>
      </c>
      <c r="AA3954" s="118"/>
      <c r="AB3954" s="118" t="str">
        <f t="shared" si="2937"/>
        <v/>
      </c>
      <c r="AC3954" s="712" t="str">
        <f>IF(AE3954="T2G","no charge",IF(AND(OR(PlanterYesMe="No",PlanterYesMe="N",PlanterYesMe="me"),H3954=""),"",IF(H3954="credit","NO install",IF(AND(K3954="",AE3954="me"),"EACH row",IF(AND(K3954="images",AE3954="me"),"EACH row",IF(D3954="","",IF(H3954="credit","",IF(AE3954="free","re-planting",IF(AE3954="me","   not ELP, by",IF(AND(OR(PlanterYesMe="Yes",PlanterYesMe="Y"),G3954&gt;0),(VLOOKUP(A3954,'Discount Lookup'!J:K,2)*G3954*(1-PlanterDiscount)*(1+PlanterDifficultyPercentage)),IF(AE3954="ELP",(VLOOKUP(A3954,'Discount Lookup'!J:K,2)*G3954*(1-PlanterDiscount)*(1+PlanterDifficultyPercentage)),IF(AE3954="free","re-planting",IF(G3954=0,"",IF(PlanterYesMe="",IF(AE3954="me","   not ELP, by",IF(AE3954="",IF(G3954&gt;0,(VLOOKUP(A3954,'Discount Lookup'!J:K,2)*G3954*(1-PlanterDiscount)*(1+PlanterDifficultyPercentage)),""),"")),"   not ELP, by"))))))))))))))</f>
        <v/>
      </c>
      <c r="AD3954" s="712"/>
      <c r="AE3954" s="513" t="str">
        <f t="shared" si="2938"/>
        <v/>
      </c>
      <c r="AF3954" s="713" t="str">
        <f t="shared" si="2939"/>
        <v/>
      </c>
      <c r="AG3954" s="713"/>
      <c r="AH3954" s="713"/>
      <c r="AI3954" s="112">
        <f>IF(H3954="credit",0,IF(AE3954="free",0,IF(AE3954="me",0,IF(G3954&gt;0,(VLOOKUP(A3954,'Discount Lookup'!J:K,2)*G3954),0))))</f>
        <v>0</v>
      </c>
      <c r="AJ3954" s="107" t="str">
        <f t="shared" ca="1" si="2940"/>
        <v/>
      </c>
      <c r="AK3954" s="714" t="str">
        <f t="shared" si="2941"/>
        <v/>
      </c>
      <c r="AL3954" s="714"/>
      <c r="AM3954" s="114" t="str">
        <f t="shared" si="2942"/>
        <v/>
      </c>
      <c r="AN3954" s="115"/>
      <c r="AO3954" s="116"/>
      <c r="AP3954" s="116"/>
      <c r="AQ3954" s="116"/>
      <c r="AR3954" s="116"/>
      <c r="AS3954" s="116"/>
      <c r="AT3954" s="116"/>
      <c r="AU3954" s="116"/>
      <c r="AV3954" s="78"/>
      <c r="AW3954" s="102"/>
      <c r="AX3954" s="78"/>
      <c r="AY3954" s="78"/>
      <c r="AZ3954" s="78"/>
      <c r="BA3954" s="78"/>
      <c r="BB3954" s="78"/>
      <c r="BC3954" s="78"/>
      <c r="BD3954" s="78"/>
      <c r="BE3954" s="465"/>
      <c r="BF3954" s="165" t="str">
        <f t="shared" si="2943"/>
        <v>https://www.google.com/search?tbm=isch&amp;q=Symphyotrichum%20novae-angliae%20%27Grape%20Crush%27%20PP%2333612%20Grape%20Crush%20New%20England%20Aster</v>
      </c>
      <c r="BG3954" s="165" t="str">
        <f t="shared" si="2944"/>
        <v>S</v>
      </c>
      <c r="BH3954" s="65"/>
      <c r="BI3954" s="65"/>
      <c r="BJ3954" s="65"/>
      <c r="BK3954" s="65"/>
      <c r="BL3954" s="99"/>
      <c r="BM3954" s="99"/>
      <c r="BN3954" s="99"/>
    </row>
    <row r="3955" spans="1:66" s="51" customFormat="1" ht="15.75" x14ac:dyDescent="0.25">
      <c r="A3955" s="634">
        <v>1</v>
      </c>
      <c r="B3955" s="635" t="s">
        <v>291</v>
      </c>
      <c r="C3955" s="636"/>
      <c r="D3955" s="637" t="s">
        <v>329</v>
      </c>
      <c r="E3955" s="638">
        <v>13.95</v>
      </c>
      <c r="F3955" s="639" t="s">
        <v>292</v>
      </c>
      <c r="G3955" s="484">
        <v>0</v>
      </c>
      <c r="H3955" s="691" t="str">
        <f>IF(G3955=0,"",IF(F3955="Buy",IF(G3955=1,"plant","plants"),IF(F3955&gt;0.01,"warranty","Error")))</f>
        <v/>
      </c>
      <c r="I3955" s="640">
        <f>IF(H3955="free",0,IF(H3955="credit",((E3955*(F3955))*G3955*-1),IF(F3955="Buy",(E3955*G3955),((E3955*(1-F3955))*G3955))))</f>
        <v>0</v>
      </c>
      <c r="J3955" s="640">
        <f>IF(H3955="warranty",0,(I3955*(_xlfn.SINGLE(SalesTaxPercentage))))</f>
        <v>0</v>
      </c>
      <c r="K3955" s="716">
        <f t="shared" ref="K3955" si="2960">I3955+J3955</f>
        <v>0</v>
      </c>
      <c r="L3955" s="716"/>
      <c r="M3955" s="689" t="str">
        <f ca="1">IF(AND(G3955&gt;0,E3955=0),"WARNING - no PRICE inserted",IF(H3955="free","FREE ~ no charge this plant",IF(H3955="credit",CONCATENATE("-$",ROUND(K3955*(1-_xlfn.SINGLE(T2GDiscount))*-1,2)," CREDIT after discount"),IF(_xlfn.SINGLE(T2GDiscount)=0,"",IF(G3955=0,"",IF(F3955="Buy",CONCATENATE("$",ROUND(K3955*(1-_xlfn.SINGLE(T2GDiscount)),2)," with ",(_xlfn.SINGLE(T2GDiscount)*100),"% discount"),CONCATENATE("$",ROUND(K3955*(1-_xlfn.SINGLE(T2GDiscount)),2)," with ",((_xlfn.SINGLE(T2GDiscount)*100+F3955*100)-(_xlfn.SINGLE(T2GDiscount)*100*F3955)),IF(F3955&gt;0,"% discounts",IF(_xlfn.SINGLE(NoWarrantyDiscount)&gt;0,"% discounts","% discount")))))))))</f>
        <v/>
      </c>
      <c r="N3955" s="690"/>
      <c r="O3955" s="486"/>
      <c r="P3955" s="486"/>
      <c r="Q3955" s="486"/>
      <c r="R3955" s="486"/>
      <c r="S3955" s="486"/>
      <c r="T3955" s="102">
        <f t="shared" si="2932"/>
        <v>0</v>
      </c>
      <c r="U3955" s="78">
        <f>IF(NOT(ISNUMBER(G3955)), "", VLOOKUP(A3955,'Discount Lookup'!D:E,2,FALSE)*G3955)</f>
        <v>0</v>
      </c>
      <c r="V3955" s="78">
        <f>IF(NOT(ISNUMBER(G3955)), "", VLOOKUP(A3955,'Discount Lookup'!G:H,2,FALSE)*G3955)</f>
        <v>0</v>
      </c>
      <c r="W3955" s="102">
        <f t="shared" si="2933"/>
        <v>0</v>
      </c>
      <c r="X3955" s="102">
        <f t="shared" si="2934"/>
        <v>0</v>
      </c>
      <c r="Y3955" s="120" t="b">
        <f t="shared" si="2935"/>
        <v>0</v>
      </c>
      <c r="Z3955" s="117">
        <f t="shared" si="2936"/>
        <v>0</v>
      </c>
      <c r="AA3955" s="118"/>
      <c r="AB3955" s="118" t="str">
        <f t="shared" si="2937"/>
        <v/>
      </c>
      <c r="AC3955" s="712" t="str">
        <f>IF(AE3955="T2G","no charge",IF(AND(OR(PlanterYesMe="No",PlanterYesMe="N",PlanterYesMe="me"),H3955=""),"",IF(H3955="credit","NO install",IF(AND(K3955="",AE3955="me"),"EACH row",IF(AND(K3955="images",AE3955="me"),"EACH row",IF(D3955="","",IF(H3955="credit","",IF(AE3955="free","re-planting",IF(AE3955="me","   not ELP, by",IF(AND(OR(PlanterYesMe="Yes",PlanterYesMe="Y"),G3955&gt;0),(VLOOKUP(A3955,'Discount Lookup'!J:K,2)*G3955*(1-PlanterDiscount)*(1+PlanterDifficultyPercentage)),IF(AE3955="ELP",(VLOOKUP(A3955,'Discount Lookup'!J:K,2)*G3955*(1-PlanterDiscount)*(1+PlanterDifficultyPercentage)),IF(AE3955="free","re-planting",IF(G3955=0,"",IF(PlanterYesMe="",IF(AE3955="me","   not ELP, by",IF(AE3955="",IF(G3955&gt;0,(VLOOKUP(A3955,'Discount Lookup'!J:K,2)*G3955*(1-PlanterDiscount)*(1+PlanterDifficultyPercentage)),""),"")),"   not ELP, by"))))))))))))))</f>
        <v/>
      </c>
      <c r="AD3955" s="712"/>
      <c r="AE3955" s="513" t="str">
        <f t="shared" si="2938"/>
        <v/>
      </c>
      <c r="AF3955" s="713" t="str">
        <f t="shared" si="2939"/>
        <v/>
      </c>
      <c r="AG3955" s="713"/>
      <c r="AH3955" s="713"/>
      <c r="AI3955" s="112">
        <f>IF(H3955="credit",0,IF(AE3955="free",0,IF(AE3955="me",0,IF(G3955&gt;0,(VLOOKUP(A3955,'Discount Lookup'!J:K,2)*G3955),0))))</f>
        <v>0</v>
      </c>
      <c r="AJ3955" s="107" t="str">
        <f t="shared" ca="1" si="2940"/>
        <v/>
      </c>
      <c r="AK3955" s="714" t="str">
        <f t="shared" si="2941"/>
        <v/>
      </c>
      <c r="AL3955" s="714"/>
      <c r="AM3955" s="114" t="str">
        <f t="shared" si="2942"/>
        <v/>
      </c>
      <c r="AN3955" s="115"/>
      <c r="AO3955" s="116"/>
      <c r="AP3955" s="116"/>
      <c r="AQ3955" s="116"/>
      <c r="AR3955" s="116"/>
      <c r="AS3955" s="116"/>
      <c r="AT3955" s="116"/>
      <c r="AU3955" s="116"/>
      <c r="AV3955" s="78"/>
      <c r="AW3955" s="102"/>
      <c r="AX3955" s="78"/>
      <c r="AY3955" s="78"/>
      <c r="AZ3955" s="78"/>
      <c r="BA3955" s="78"/>
      <c r="BB3955" s="78"/>
      <c r="BC3955" s="78"/>
      <c r="BD3955" s="78"/>
      <c r="BE3955" s="465"/>
      <c r="BF3955" s="165" t="str">
        <f t="shared" si="2943"/>
        <v>https://www.google.com/search?tbm=isch&amp;q=1%20G2</v>
      </c>
      <c r="BG3955" s="165" t="str">
        <f t="shared" si="2944"/>
        <v>S</v>
      </c>
      <c r="BH3955" s="65"/>
      <c r="BI3955" s="65"/>
      <c r="BJ3955" s="65"/>
      <c r="BK3955" s="65"/>
      <c r="BL3955" s="99"/>
      <c r="BM3955" s="99"/>
      <c r="BN3955" s="99"/>
    </row>
    <row r="3956" spans="1:66" s="51" customFormat="1" ht="17.25" thickBot="1" x14ac:dyDescent="0.3">
      <c r="A3956" s="704" t="s">
        <v>5541</v>
      </c>
      <c r="B3956" s="642"/>
      <c r="C3956" s="710"/>
      <c r="D3956" s="643"/>
      <c r="E3956" s="643"/>
      <c r="F3956" s="644"/>
      <c r="G3956" s="645"/>
      <c r="H3956" s="646"/>
      <c r="I3956" s="647"/>
      <c r="J3956" s="648"/>
      <c r="K3956" s="649"/>
      <c r="L3956" s="650"/>
      <c r="M3956" s="650"/>
      <c r="N3956" s="644"/>
      <c r="O3956" s="644"/>
      <c r="P3956" s="644"/>
      <c r="Q3956" s="644"/>
      <c r="R3956" s="644"/>
      <c r="S3956" s="701" t="s">
        <v>5262</v>
      </c>
      <c r="T3956" s="102">
        <f t="shared" si="2932"/>
        <v>0</v>
      </c>
      <c r="U3956" s="78" t="str">
        <f>IF(NOT(ISNUMBER(G3956)), "", VLOOKUP(A3956,'Discount Lookup'!D:E,2,FALSE)*G3956)</f>
        <v/>
      </c>
      <c r="V3956" s="78" t="str">
        <f>IF(NOT(ISNUMBER(G3956)), "", VLOOKUP(A3956,'Discount Lookup'!G:H,2,FALSE)*G3956)</f>
        <v/>
      </c>
      <c r="W3956" s="102">
        <f t="shared" si="2933"/>
        <v>0</v>
      </c>
      <c r="X3956" s="102">
        <f t="shared" si="2934"/>
        <v>0</v>
      </c>
      <c r="Y3956" s="120" t="b">
        <f t="shared" si="2935"/>
        <v>0</v>
      </c>
      <c r="Z3956" s="117">
        <f t="shared" si="2936"/>
        <v>0</v>
      </c>
      <c r="AA3956" s="118"/>
      <c r="AB3956" s="118" t="str">
        <f t="shared" si="2937"/>
        <v/>
      </c>
      <c r="AC3956" s="712" t="str">
        <f>IF(AE3956="T2G","no charge",IF(AND(OR(PlanterYesMe="No",PlanterYesMe="N",PlanterYesMe="me"),H3956=""),"",IF(H3956="credit","NO install",IF(AND(K3956="",AE3956="me"),"EACH row",IF(AND(K3956="images",AE3956="me"),"EACH row",IF(D3956="","",IF(H3956="credit","",IF(AE3956="free","re-planting",IF(AE3956="me","   not ELP, by",IF(AND(OR(PlanterYesMe="Yes",PlanterYesMe="Y"),G3956&gt;0),(VLOOKUP(A3956,'Discount Lookup'!J:K,2)*G3956*(1-PlanterDiscount)*(1+PlanterDifficultyPercentage)),IF(AE3956="ELP",(VLOOKUP(A3956,'Discount Lookup'!J:K,2)*G3956*(1-PlanterDiscount)*(1+PlanterDifficultyPercentage)),IF(AE3956="free","re-planting",IF(G3956=0,"",IF(PlanterYesMe="",IF(AE3956="me","   not ELP, by",IF(AE3956="",IF(G3956&gt;0,(VLOOKUP(A3956,'Discount Lookup'!J:K,2)*G3956*(1-PlanterDiscount)*(1+PlanterDifficultyPercentage)),""),"")),"   not ELP, by"))))))))))))))</f>
        <v/>
      </c>
      <c r="AD3956" s="712"/>
      <c r="AE3956" s="513" t="str">
        <f t="shared" si="2938"/>
        <v/>
      </c>
      <c r="AF3956" s="713" t="str">
        <f t="shared" si="2939"/>
        <v/>
      </c>
      <c r="AG3956" s="713"/>
      <c r="AH3956" s="713"/>
      <c r="AI3956" s="112">
        <f>IF(H3956="credit",0,IF(AE3956="free",0,IF(AE3956="me",0,IF(G3956&gt;0,(VLOOKUP(A3956,'Discount Lookup'!J:K,2)*G3956),0))))</f>
        <v>0</v>
      </c>
      <c r="AJ3956" s="107" t="str">
        <f t="shared" ca="1" si="2940"/>
        <v/>
      </c>
      <c r="AK3956" s="714" t="str">
        <f t="shared" si="2941"/>
        <v/>
      </c>
      <c r="AL3956" s="714"/>
      <c r="AM3956" s="114" t="str">
        <f t="shared" si="2942"/>
        <v/>
      </c>
      <c r="AN3956" s="115"/>
      <c r="AO3956" s="116"/>
      <c r="AP3956" s="116"/>
      <c r="AQ3956" s="116"/>
      <c r="AR3956" s="116"/>
      <c r="AS3956" s="116"/>
      <c r="AT3956" s="116"/>
      <c r="AU3956" s="116"/>
      <c r="AV3956" s="78"/>
      <c r="AW3956" s="102"/>
      <c r="AX3956" s="78"/>
      <c r="AY3956" s="78"/>
      <c r="AZ3956" s="78"/>
      <c r="BA3956" s="78"/>
      <c r="BB3956" s="78"/>
      <c r="BC3956" s="78"/>
      <c r="BD3956" s="78"/>
      <c r="BE3956" s="465"/>
      <c r="BF3956" s="165" t="str">
        <f t="shared" si="2943"/>
        <v>https://www.google.com/search?tbm=isch&amp;q=moist%20sites%F0%9F%92%A7OK%2C%20Grape%20Crush%20is%20notable%20for%20its%20numerous%2C%20late-season%20flowers%20that%20completely%20cover%20the%20plant%20in%20fall%2C%20and%20strong%20stems%20</v>
      </c>
      <c r="BG3956" s="165" t="str">
        <f t="shared" si="2944"/>
        <v>m</v>
      </c>
      <c r="BH3956" s="65"/>
      <c r="BI3956" s="65"/>
      <c r="BJ3956" s="65"/>
      <c r="BK3956" s="65"/>
      <c r="BL3956" s="99"/>
      <c r="BM3956" s="99"/>
      <c r="BN3956" s="99"/>
    </row>
    <row r="3957" spans="1:66" s="51" customFormat="1" ht="18" x14ac:dyDescent="0.25">
      <c r="A3957" s="623" t="s">
        <v>4277</v>
      </c>
      <c r="B3957" s="624"/>
      <c r="C3957" s="709"/>
      <c r="D3957" s="625" t="s">
        <v>4278</v>
      </c>
      <c r="E3957" s="626"/>
      <c r="F3957" s="626"/>
      <c r="G3957" s="626"/>
      <c r="H3957" s="622" t="s">
        <v>4898</v>
      </c>
      <c r="I3957" s="627" t="s">
        <v>1837</v>
      </c>
      <c r="J3957" s="628"/>
      <c r="K3957" s="628"/>
      <c r="L3957" s="629"/>
      <c r="M3957" s="700" t="s">
        <v>5241</v>
      </c>
      <c r="N3957" s="693" t="str">
        <f>IF(AND(ISTEXT($A3957), ISERROR($A3957+0)), HYPERLINK($BF3957, "Images"), "")</f>
        <v>Images</v>
      </c>
      <c r="O3957" s="695" t="s">
        <v>5247</v>
      </c>
      <c r="P3957" s="630"/>
      <c r="Q3957" s="631"/>
      <c r="R3957" s="632"/>
      <c r="S3957" s="633" t="s">
        <v>294</v>
      </c>
      <c r="T3957" s="102">
        <f t="shared" si="2932"/>
        <v>0</v>
      </c>
      <c r="U3957" s="78" t="str">
        <f>IF(NOT(ISNUMBER(G3957)), "", VLOOKUP(A3957,'Discount Lookup'!D:E,2,FALSE)*G3957)</f>
        <v/>
      </c>
      <c r="V3957" s="78" t="str">
        <f>IF(NOT(ISNUMBER(G3957)), "", VLOOKUP(A3957,'Discount Lookup'!G:H,2,FALSE)*G3957)</f>
        <v/>
      </c>
      <c r="W3957" s="102">
        <f t="shared" si="2933"/>
        <v>0</v>
      </c>
      <c r="X3957" s="102" t="str">
        <f t="shared" si="2934"/>
        <v>Rose-Pink bloom</v>
      </c>
      <c r="Y3957" s="120" t="b">
        <f t="shared" si="2935"/>
        <v>0</v>
      </c>
      <c r="Z3957" s="117">
        <f t="shared" si="2936"/>
        <v>0</v>
      </c>
      <c r="AA3957" s="118"/>
      <c r="AB3957" s="118" t="str">
        <f t="shared" si="2937"/>
        <v/>
      </c>
      <c r="AC3957" s="712" t="str">
        <f>IF(AE3957="T2G","no charge",IF(AND(OR(PlanterYesMe="No",PlanterYesMe="N",PlanterYesMe="me"),H3957=""),"",IF(H3957="credit","NO install",IF(AND(K3957="",AE3957="me"),"EACH row",IF(AND(K3957="images",AE3957="me"),"EACH row",IF(D3957="","",IF(H3957="credit","",IF(AE3957="free","re-planting",IF(AE3957="me","   not ELP, by",IF(AND(OR(PlanterYesMe="Yes",PlanterYesMe="Y"),G3957&gt;0),(VLOOKUP(A3957,'Discount Lookup'!J:K,2)*G3957*(1-PlanterDiscount)*(1+PlanterDifficultyPercentage)),IF(AE3957="ELP",(VLOOKUP(A3957,'Discount Lookup'!J:K,2)*G3957*(1-PlanterDiscount)*(1+PlanterDifficultyPercentage)),IF(AE3957="free","re-planting",IF(G3957=0,"",IF(PlanterYesMe="",IF(AE3957="me","   not ELP, by",IF(AE3957="",IF(G3957&gt;0,(VLOOKUP(A3957,'Discount Lookup'!J:K,2)*G3957*(1-PlanterDiscount)*(1+PlanterDifficultyPercentage)),""),"")),"   not ELP, by"))))))))))))))</f>
        <v/>
      </c>
      <c r="AD3957" s="712"/>
      <c r="AE3957" s="513" t="str">
        <f t="shared" si="2938"/>
        <v/>
      </c>
      <c r="AF3957" s="713" t="str">
        <f t="shared" si="2939"/>
        <v/>
      </c>
      <c r="AG3957" s="713"/>
      <c r="AH3957" s="713"/>
      <c r="AI3957" s="112">
        <f>IF(H3957="credit",0,IF(AE3957="free",0,IF(AE3957="me",0,IF(G3957&gt;0,(VLOOKUP(A3957,'Discount Lookup'!J:K,2)*G3957),0))))</f>
        <v>0</v>
      </c>
      <c r="AJ3957" s="107" t="str">
        <f t="shared" ca="1" si="2940"/>
        <v/>
      </c>
      <c r="AK3957" s="714" t="str">
        <f t="shared" si="2941"/>
        <v/>
      </c>
      <c r="AL3957" s="714"/>
      <c r="AM3957" s="114" t="str">
        <f t="shared" si="2942"/>
        <v/>
      </c>
      <c r="AN3957" s="115"/>
      <c r="AO3957" s="116"/>
      <c r="AP3957" s="116"/>
      <c r="AQ3957" s="116"/>
      <c r="AR3957" s="116"/>
      <c r="AS3957" s="116"/>
      <c r="AT3957" s="116"/>
      <c r="AU3957" s="116"/>
      <c r="AV3957" s="78"/>
      <c r="AW3957" s="102"/>
      <c r="AX3957" s="78"/>
      <c r="AY3957" s="78"/>
      <c r="AZ3957" s="78"/>
      <c r="BA3957" s="78"/>
      <c r="BB3957" s="78"/>
      <c r="BC3957" s="78"/>
      <c r="BD3957" s="78"/>
      <c r="BE3957" s="465"/>
      <c r="BF3957" s="165" t="str">
        <f t="shared" si="2943"/>
        <v>https://www.google.com/search?tbm=isch&amp;q=Symphyotrichum%20novae-angliae%20%27Pink%20Crush%27%20PP%2333628%20Pink%20Crush%20New%20England%20Aster</v>
      </c>
      <c r="BG3957" s="165" t="str">
        <f t="shared" si="2944"/>
        <v>S</v>
      </c>
      <c r="BH3957" s="65"/>
      <c r="BI3957" s="65"/>
      <c r="BJ3957" s="65"/>
      <c r="BK3957" s="65"/>
      <c r="BL3957" s="99"/>
      <c r="BM3957" s="99"/>
      <c r="BN3957" s="99"/>
    </row>
    <row r="3958" spans="1:66" s="51" customFormat="1" ht="15.75" x14ac:dyDescent="0.25">
      <c r="A3958" s="634">
        <v>1</v>
      </c>
      <c r="B3958" s="635" t="s">
        <v>291</v>
      </c>
      <c r="C3958" s="636"/>
      <c r="D3958" s="637" t="s">
        <v>329</v>
      </c>
      <c r="E3958" s="638">
        <v>13.95</v>
      </c>
      <c r="F3958" s="639" t="s">
        <v>292</v>
      </c>
      <c r="G3958" s="484">
        <v>0</v>
      </c>
      <c r="H3958" s="691" t="str">
        <f>IF(G3958=0,"",IF(F3958="Buy",IF(G3958=1,"plant","plants"),IF(F3958&gt;0.01,"warranty","Error")))</f>
        <v/>
      </c>
      <c r="I3958" s="640">
        <f>IF(H3958="free",0,IF(H3958="credit",((E3958*(F3958))*G3958*-1),IF(F3958="Buy",(E3958*G3958),((E3958*(1-F3958))*G3958))))</f>
        <v>0</v>
      </c>
      <c r="J3958" s="640">
        <f>IF(H3958="warranty",0,(I3958*(_xlfn.SINGLE(SalesTaxPercentage))))</f>
        <v>0</v>
      </c>
      <c r="K3958" s="716">
        <f t="shared" ref="K3958" si="2961">I3958+J3958</f>
        <v>0</v>
      </c>
      <c r="L3958" s="716"/>
      <c r="M3958" s="689" t="str">
        <f ca="1">IF(AND(G3958&gt;0,E3958=0),"WARNING - no PRICE inserted",IF(H3958="free","FREE ~ no charge this plant",IF(H3958="credit",CONCATENATE("-$",ROUND(K3958*(1-_xlfn.SINGLE(T2GDiscount))*-1,2)," CREDIT after discount"),IF(_xlfn.SINGLE(T2GDiscount)=0,"",IF(G3958=0,"",IF(F3958="Buy",CONCATENATE("$",ROUND(K3958*(1-_xlfn.SINGLE(T2GDiscount)),2)," with ",(_xlfn.SINGLE(T2GDiscount)*100),"% discount"),CONCATENATE("$",ROUND(K3958*(1-_xlfn.SINGLE(T2GDiscount)),2)," with ",((_xlfn.SINGLE(T2GDiscount)*100+F3958*100)-(_xlfn.SINGLE(T2GDiscount)*100*F3958)),IF(F3958&gt;0,"% discounts",IF(_xlfn.SINGLE(NoWarrantyDiscount)&gt;0,"% discounts","% discount")))))))))</f>
        <v/>
      </c>
      <c r="N3958" s="690"/>
      <c r="O3958" s="486"/>
      <c r="P3958" s="486"/>
      <c r="Q3958" s="486"/>
      <c r="R3958" s="486"/>
      <c r="S3958" s="486"/>
      <c r="T3958" s="102">
        <f t="shared" si="2932"/>
        <v>0</v>
      </c>
      <c r="U3958" s="78">
        <f>IF(NOT(ISNUMBER(G3958)), "", VLOOKUP(A3958,'Discount Lookup'!D:E,2,FALSE)*G3958)</f>
        <v>0</v>
      </c>
      <c r="V3958" s="78">
        <f>IF(NOT(ISNUMBER(G3958)), "", VLOOKUP(A3958,'Discount Lookup'!G:H,2,FALSE)*G3958)</f>
        <v>0</v>
      </c>
      <c r="W3958" s="102">
        <f t="shared" si="2933"/>
        <v>0</v>
      </c>
      <c r="X3958" s="102">
        <f t="shared" si="2934"/>
        <v>0</v>
      </c>
      <c r="Y3958" s="120" t="b">
        <f t="shared" si="2935"/>
        <v>0</v>
      </c>
      <c r="Z3958" s="117">
        <f t="shared" si="2936"/>
        <v>0</v>
      </c>
      <c r="AA3958" s="118"/>
      <c r="AB3958" s="118" t="str">
        <f t="shared" si="2937"/>
        <v/>
      </c>
      <c r="AC3958" s="712" t="str">
        <f>IF(AE3958="T2G","no charge",IF(AND(OR(PlanterYesMe="No",PlanterYesMe="N",PlanterYesMe="me"),H3958=""),"",IF(H3958="credit","NO install",IF(AND(K3958="",AE3958="me"),"EACH row",IF(AND(K3958="images",AE3958="me"),"EACH row",IF(D3958="","",IF(H3958="credit","",IF(AE3958="free","re-planting",IF(AE3958="me","   not ELP, by",IF(AND(OR(PlanterYesMe="Yes",PlanterYesMe="Y"),G3958&gt;0),(VLOOKUP(A3958,'Discount Lookup'!J:K,2)*G3958*(1-PlanterDiscount)*(1+PlanterDifficultyPercentage)),IF(AE3958="ELP",(VLOOKUP(A3958,'Discount Lookup'!J:K,2)*G3958*(1-PlanterDiscount)*(1+PlanterDifficultyPercentage)),IF(AE3958="free","re-planting",IF(G3958=0,"",IF(PlanterYesMe="",IF(AE3958="me","   not ELP, by",IF(AE3958="",IF(G3958&gt;0,(VLOOKUP(A3958,'Discount Lookup'!J:K,2)*G3958*(1-PlanterDiscount)*(1+PlanterDifficultyPercentage)),""),"")),"   not ELP, by"))))))))))))))</f>
        <v/>
      </c>
      <c r="AD3958" s="712"/>
      <c r="AE3958" s="513" t="str">
        <f t="shared" si="2938"/>
        <v/>
      </c>
      <c r="AF3958" s="713" t="str">
        <f t="shared" si="2939"/>
        <v/>
      </c>
      <c r="AG3958" s="713"/>
      <c r="AH3958" s="713"/>
      <c r="AI3958" s="112">
        <f>IF(H3958="credit",0,IF(AE3958="free",0,IF(AE3958="me",0,IF(G3958&gt;0,(VLOOKUP(A3958,'Discount Lookup'!J:K,2)*G3958),0))))</f>
        <v>0</v>
      </c>
      <c r="AJ3958" s="107" t="str">
        <f t="shared" ca="1" si="2940"/>
        <v/>
      </c>
      <c r="AK3958" s="714" t="str">
        <f t="shared" si="2941"/>
        <v/>
      </c>
      <c r="AL3958" s="714"/>
      <c r="AM3958" s="114" t="str">
        <f t="shared" si="2942"/>
        <v/>
      </c>
      <c r="AN3958" s="115"/>
      <c r="AO3958" s="116"/>
      <c r="AP3958" s="116"/>
      <c r="AQ3958" s="116"/>
      <c r="AR3958" s="116"/>
      <c r="AS3958" s="116"/>
      <c r="AT3958" s="116"/>
      <c r="AU3958" s="116"/>
      <c r="AV3958" s="78"/>
      <c r="AW3958" s="102"/>
      <c r="AX3958" s="78"/>
      <c r="AY3958" s="78"/>
      <c r="AZ3958" s="78"/>
      <c r="BA3958" s="78"/>
      <c r="BB3958" s="78"/>
      <c r="BC3958" s="78"/>
      <c r="BD3958" s="78"/>
      <c r="BE3958" s="465"/>
      <c r="BF3958" s="165" t="str">
        <f t="shared" si="2943"/>
        <v>https://www.google.com/search?tbm=isch&amp;q=1%20G2</v>
      </c>
      <c r="BG3958" s="165" t="str">
        <f t="shared" si="2944"/>
        <v>S</v>
      </c>
      <c r="BH3958" s="65"/>
      <c r="BI3958" s="65"/>
      <c r="BJ3958" s="65"/>
      <c r="BK3958" s="65"/>
      <c r="BL3958" s="99"/>
      <c r="BM3958" s="99"/>
      <c r="BN3958" s="99"/>
    </row>
    <row r="3959" spans="1:66" s="51" customFormat="1" ht="16.5" x14ac:dyDescent="0.25">
      <c r="A3959" s="704" t="s">
        <v>5542</v>
      </c>
      <c r="B3959" s="642"/>
      <c r="C3959" s="710"/>
      <c r="D3959" s="643"/>
      <c r="E3959" s="643"/>
      <c r="F3959" s="644"/>
      <c r="G3959" s="645"/>
      <c r="H3959" s="646"/>
      <c r="I3959" s="647"/>
      <c r="J3959" s="648"/>
      <c r="K3959" s="649"/>
      <c r="L3959" s="650"/>
      <c r="M3959" s="650"/>
      <c r="N3959" s="644"/>
      <c r="O3959" s="644"/>
      <c r="P3959" s="644"/>
      <c r="Q3959" s="644"/>
      <c r="R3959" s="644"/>
      <c r="S3959" s="701" t="s">
        <v>5262</v>
      </c>
      <c r="T3959" s="102">
        <f t="shared" si="2932"/>
        <v>0</v>
      </c>
      <c r="U3959" s="78" t="str">
        <f>IF(NOT(ISNUMBER(G3959)), "", VLOOKUP(A3959,'Discount Lookup'!D:E,2,FALSE)*G3959)</f>
        <v/>
      </c>
      <c r="V3959" s="78" t="str">
        <f>IF(NOT(ISNUMBER(G3959)), "", VLOOKUP(A3959,'Discount Lookup'!G:H,2,FALSE)*G3959)</f>
        <v/>
      </c>
      <c r="W3959" s="102">
        <f t="shared" si="2933"/>
        <v>0</v>
      </c>
      <c r="X3959" s="102">
        <f t="shared" si="2934"/>
        <v>0</v>
      </c>
      <c r="Y3959" s="120" t="b">
        <f t="shared" si="2935"/>
        <v>0</v>
      </c>
      <c r="Z3959" s="117">
        <f t="shared" si="2936"/>
        <v>0</v>
      </c>
      <c r="AA3959" s="118"/>
      <c r="AB3959" s="118" t="str">
        <f t="shared" si="2937"/>
        <v/>
      </c>
      <c r="AC3959" s="712" t="str">
        <f>IF(AE3959="T2G","no charge",IF(AND(OR(PlanterYesMe="No",PlanterYesMe="N",PlanterYesMe="me"),H3959=""),"",IF(H3959="credit","NO install",IF(AND(K3959="",AE3959="me"),"EACH row",IF(AND(K3959="images",AE3959="me"),"EACH row",IF(D3959="","",IF(H3959="credit","",IF(AE3959="free","re-planting",IF(AE3959="me","   not ELP, by",IF(AND(OR(PlanterYesMe="Yes",PlanterYesMe="Y"),G3959&gt;0),(VLOOKUP(A3959,'Discount Lookup'!J:K,2)*G3959*(1-PlanterDiscount)*(1+PlanterDifficultyPercentage)),IF(AE3959="ELP",(VLOOKUP(A3959,'Discount Lookup'!J:K,2)*G3959*(1-PlanterDiscount)*(1+PlanterDifficultyPercentage)),IF(AE3959="free","re-planting",IF(G3959=0,"",IF(PlanterYesMe="",IF(AE3959="me","   not ELP, by",IF(AE3959="",IF(G3959&gt;0,(VLOOKUP(A3959,'Discount Lookup'!J:K,2)*G3959*(1-PlanterDiscount)*(1+PlanterDifficultyPercentage)),""),"")),"   not ELP, by"))))))))))))))</f>
        <v/>
      </c>
      <c r="AD3959" s="712"/>
      <c r="AE3959" s="513" t="str">
        <f t="shared" si="2938"/>
        <v/>
      </c>
      <c r="AF3959" s="713" t="str">
        <f t="shared" si="2939"/>
        <v/>
      </c>
      <c r="AG3959" s="713"/>
      <c r="AH3959" s="713"/>
      <c r="AI3959" s="112">
        <f>IF(H3959="credit",0,IF(AE3959="free",0,IF(AE3959="me",0,IF(G3959&gt;0,(VLOOKUP(A3959,'Discount Lookup'!J:K,2)*G3959),0))))</f>
        <v>0</v>
      </c>
      <c r="AJ3959" s="107" t="str">
        <f t="shared" ca="1" si="2940"/>
        <v/>
      </c>
      <c r="AK3959" s="714" t="str">
        <f t="shared" si="2941"/>
        <v/>
      </c>
      <c r="AL3959" s="714"/>
      <c r="AM3959" s="114" t="str">
        <f t="shared" si="2942"/>
        <v/>
      </c>
      <c r="AN3959" s="115"/>
      <c r="AO3959" s="116"/>
      <c r="AP3959" s="116"/>
      <c r="AQ3959" s="116"/>
      <c r="AR3959" s="116"/>
      <c r="AS3959" s="116"/>
      <c r="AT3959" s="116"/>
      <c r="AU3959" s="116"/>
      <c r="AV3959" s="78"/>
      <c r="AW3959" s="102"/>
      <c r="AX3959" s="78"/>
      <c r="AY3959" s="78"/>
      <c r="AZ3959" s="78"/>
      <c r="BA3959" s="78"/>
      <c r="BB3959" s="78"/>
      <c r="BC3959" s="78"/>
      <c r="BD3959" s="78"/>
      <c r="BE3959" s="465"/>
      <c r="BF3959" s="165" t="str">
        <f t="shared" si="2943"/>
        <v>https://www.google.com/search?tbm=isch&amp;q=moist%20sites%F0%9F%92%A7OK%2C%20Pink%20Crush%20has%20very%20late-season%20flowers%20that%20bloom%20in%20abundance%2C%20and%20a%20strong%2C%20compact%20habit%20that%20requires%20no%20staking%20</v>
      </c>
      <c r="BG3959" s="165" t="str">
        <f t="shared" si="2944"/>
        <v>m</v>
      </c>
      <c r="BH3959" s="65"/>
      <c r="BI3959" s="65"/>
      <c r="BJ3959" s="65"/>
      <c r="BK3959" s="65"/>
      <c r="BL3959" s="99"/>
      <c r="BM3959" s="99"/>
      <c r="BN3959" s="99"/>
    </row>
    <row r="3960" spans="1:66" s="51" customFormat="1" ht="19.5" thickBot="1" x14ac:dyDescent="0.3">
      <c r="A3960" s="686" t="s">
        <v>743</v>
      </c>
      <c r="B3960" s="73"/>
      <c r="C3960" s="708"/>
      <c r="D3960" s="73"/>
      <c r="E3960" s="73"/>
      <c r="F3960" s="496"/>
      <c r="G3960" s="73"/>
      <c r="H3960" s="73"/>
      <c r="I3960" s="73"/>
      <c r="J3960" s="497" t="s">
        <v>357</v>
      </c>
      <c r="K3960" s="498"/>
      <c r="L3960" s="562"/>
      <c r="M3960" s="73"/>
      <c r="N3960"/>
      <c r="O3960"/>
      <c r="P3960"/>
      <c r="Q3960"/>
      <c r="R3960"/>
      <c r="S3960"/>
      <c r="T3960" s="102">
        <f t="shared" si="2932"/>
        <v>0</v>
      </c>
      <c r="U3960" s="78" t="str">
        <f>IF(NOT(ISNUMBER(G3960)), "", VLOOKUP(A3960,'Discount Lookup'!D:E,2,FALSE)*G3960)</f>
        <v/>
      </c>
      <c r="V3960" s="78" t="str">
        <f>IF(NOT(ISNUMBER(G3960)), "", VLOOKUP(A3960,'Discount Lookup'!G:H,2,FALSE)*G3960)</f>
        <v/>
      </c>
      <c r="W3960" s="102">
        <f t="shared" si="2933"/>
        <v>0</v>
      </c>
      <c r="X3960" s="102">
        <f t="shared" si="2934"/>
        <v>0</v>
      </c>
      <c r="Y3960" s="120" t="b">
        <f t="shared" si="2935"/>
        <v>0</v>
      </c>
      <c r="Z3960" s="117">
        <f t="shared" si="2936"/>
        <v>0</v>
      </c>
      <c r="AA3960" s="118"/>
      <c r="AB3960" s="118" t="str">
        <f t="shared" si="2937"/>
        <v/>
      </c>
      <c r="AC3960" s="712" t="str">
        <f>IF(AE3960="T2G","no charge",IF(AND(OR(PlanterYesMe="No",PlanterYesMe="N",PlanterYesMe="me"),H3960=""),"",IF(H3960="credit","NO install",IF(AND(K3960="",AE3960="me"),"EACH row",IF(AND(K3960="images",AE3960="me"),"EACH row",IF(D3960="","",IF(H3960="credit","",IF(AE3960="free","re-planting",IF(AE3960="me","   not ELP, by",IF(AND(OR(PlanterYesMe="Yes",PlanterYesMe="Y"),G3960&gt;0),(VLOOKUP(A3960,'Discount Lookup'!J:K,2)*G3960*(1-PlanterDiscount)*(1+PlanterDifficultyPercentage)),IF(AE3960="ELP",(VLOOKUP(A3960,'Discount Lookup'!J:K,2)*G3960*(1-PlanterDiscount)*(1+PlanterDifficultyPercentage)),IF(AE3960="free","re-planting",IF(G3960=0,"",IF(PlanterYesMe="",IF(AE3960="me","   not ELP, by",IF(AE3960="",IF(G3960&gt;0,(VLOOKUP(A3960,'Discount Lookup'!J:K,2)*G3960*(1-PlanterDiscount)*(1+PlanterDifficultyPercentage)),""),"")),"   not ELP, by"))))))))))))))</f>
        <v/>
      </c>
      <c r="AD3960" s="712"/>
      <c r="AE3960" s="513" t="str">
        <f t="shared" si="2938"/>
        <v/>
      </c>
      <c r="AF3960" s="713" t="str">
        <f t="shared" si="2939"/>
        <v/>
      </c>
      <c r="AG3960" s="713"/>
      <c r="AH3960" s="713"/>
      <c r="AI3960" s="112">
        <f>IF(H3960="credit",0,IF(AE3960="free",0,IF(AE3960="me",0,IF(G3960&gt;0,(VLOOKUP(A3960,'Discount Lookup'!J:K,2)*G3960),0))))</f>
        <v>0</v>
      </c>
      <c r="AJ3960" s="107" t="str">
        <f t="shared" ca="1" si="2940"/>
        <v/>
      </c>
      <c r="AK3960" s="714" t="str">
        <f t="shared" si="2941"/>
        <v/>
      </c>
      <c r="AL3960" s="714"/>
      <c r="AM3960" s="114" t="str">
        <f t="shared" si="2942"/>
        <v/>
      </c>
      <c r="AN3960" s="115"/>
      <c r="AO3960" s="116"/>
      <c r="AP3960" s="116"/>
      <c r="AQ3960" s="116"/>
      <c r="AR3960" s="116"/>
      <c r="AS3960" s="116"/>
      <c r="AT3960" s="116"/>
      <c r="AU3960" s="116"/>
      <c r="AV3960" s="78"/>
      <c r="AW3960" s="102"/>
      <c r="AX3960" s="78"/>
      <c r="AY3960" s="78"/>
      <c r="AZ3960" s="78"/>
      <c r="BA3960" s="78"/>
      <c r="BB3960" s="78"/>
      <c r="BC3960" s="78"/>
      <c r="BD3960" s="78"/>
      <c r="BE3960" s="465"/>
      <c r="BF3960" s="165" t="str">
        <f t="shared" si="2943"/>
        <v>https://www.google.com/search?tbm=isch&amp;q=Syringa%20%3D%20Lilac%20</v>
      </c>
      <c r="BG3960" s="165" t="str">
        <f t="shared" si="2944"/>
        <v>S</v>
      </c>
      <c r="BH3960" s="65"/>
      <c r="BI3960" s="65"/>
      <c r="BJ3960" s="65"/>
      <c r="BK3960" s="65"/>
      <c r="BL3960" s="99"/>
      <c r="BM3960" s="99"/>
      <c r="BN3960" s="99"/>
    </row>
    <row r="3961" spans="1:66" s="51" customFormat="1" ht="18" x14ac:dyDescent="0.25">
      <c r="A3961" s="623" t="s">
        <v>4279</v>
      </c>
      <c r="B3961" s="624"/>
      <c r="C3961" s="709"/>
      <c r="D3961" s="625" t="s">
        <v>5912</v>
      </c>
      <c r="E3961" s="626"/>
      <c r="F3961" s="626"/>
      <c r="G3961" s="626"/>
      <c r="H3961" s="622" t="s">
        <v>1126</v>
      </c>
      <c r="I3961" s="627" t="s">
        <v>4280</v>
      </c>
      <c r="J3961" s="628"/>
      <c r="K3961" s="628"/>
      <c r="L3961" s="629"/>
      <c r="M3961" s="700" t="s">
        <v>5241</v>
      </c>
      <c r="N3961" s="693" t="str">
        <f>IF(AND(ISTEXT($A3961), ISERROR($A3961+0)), HYPERLINK($BF3961, "Images"), "")</f>
        <v>Images</v>
      </c>
      <c r="O3961" s="695" t="s">
        <v>5247</v>
      </c>
      <c r="P3961" s="630"/>
      <c r="Q3961" s="631"/>
      <c r="R3961" s="632"/>
      <c r="S3961" s="633"/>
      <c r="T3961" s="102">
        <f t="shared" si="2932"/>
        <v>0</v>
      </c>
      <c r="U3961" s="78" t="str">
        <f>IF(NOT(ISNUMBER(G3961)), "", VLOOKUP(A3961,'Discount Lookup'!D:E,2,FALSE)*G3961)</f>
        <v/>
      </c>
      <c r="V3961" s="78" t="str">
        <f>IF(NOT(ISNUMBER(G3961)), "", VLOOKUP(A3961,'Discount Lookup'!G:H,2,FALSE)*G3961)</f>
        <v/>
      </c>
      <c r="W3961" s="102">
        <f t="shared" si="2933"/>
        <v>0</v>
      </c>
      <c r="X3961" s="102" t="str">
        <f t="shared" si="2934"/>
        <v>Pale Purple-Pink bloom</v>
      </c>
      <c r="Y3961" s="120" t="b">
        <f t="shared" si="2935"/>
        <v>0</v>
      </c>
      <c r="Z3961" s="117">
        <f t="shared" si="2936"/>
        <v>0</v>
      </c>
      <c r="AA3961" s="118"/>
      <c r="AB3961" s="118" t="str">
        <f t="shared" si="2937"/>
        <v/>
      </c>
      <c r="AC3961" s="712" t="str">
        <f>IF(AE3961="T2G","no charge",IF(AND(OR(PlanterYesMe="No",PlanterYesMe="N",PlanterYesMe="me"),H3961=""),"",IF(H3961="credit","NO install",IF(AND(K3961="",AE3961="me"),"EACH row",IF(AND(K3961="images",AE3961="me"),"EACH row",IF(D3961="","",IF(H3961="credit","",IF(AE3961="free","re-planting",IF(AE3961="me","   not ELP, by",IF(AND(OR(PlanterYesMe="Yes",PlanterYesMe="Y"),G3961&gt;0),(VLOOKUP(A3961,'Discount Lookup'!J:K,2)*G3961*(1-PlanterDiscount)*(1+PlanterDifficultyPercentage)),IF(AE3961="ELP",(VLOOKUP(A3961,'Discount Lookup'!J:K,2)*G3961*(1-PlanterDiscount)*(1+PlanterDifficultyPercentage)),IF(AE3961="free","re-planting",IF(G3961=0,"",IF(PlanterYesMe="",IF(AE3961="me","   not ELP, by",IF(AE3961="",IF(G3961&gt;0,(VLOOKUP(A3961,'Discount Lookup'!J:K,2)*G3961*(1-PlanterDiscount)*(1+PlanterDifficultyPercentage)),""),"")),"   not ELP, by"))))))))))))))</f>
        <v/>
      </c>
      <c r="AD3961" s="712"/>
      <c r="AE3961" s="513" t="str">
        <f t="shared" si="2938"/>
        <v/>
      </c>
      <c r="AF3961" s="713" t="str">
        <f t="shared" si="2939"/>
        <v/>
      </c>
      <c r="AG3961" s="713"/>
      <c r="AH3961" s="713"/>
      <c r="AI3961" s="112">
        <f>IF(H3961="credit",0,IF(AE3961="free",0,IF(AE3961="me",0,IF(G3961&gt;0,(VLOOKUP(A3961,'Discount Lookup'!J:K,2)*G3961),0))))</f>
        <v>0</v>
      </c>
      <c r="AJ3961" s="107" t="str">
        <f t="shared" ca="1" si="2940"/>
        <v/>
      </c>
      <c r="AK3961" s="714" t="str">
        <f t="shared" si="2941"/>
        <v/>
      </c>
      <c r="AL3961" s="714"/>
      <c r="AM3961" s="114" t="str">
        <f t="shared" si="2942"/>
        <v/>
      </c>
      <c r="AN3961" s="115"/>
      <c r="AO3961" s="116"/>
      <c r="AP3961" s="116"/>
      <c r="AQ3961" s="116"/>
      <c r="AR3961" s="116"/>
      <c r="AS3961" s="116"/>
      <c r="AT3961" s="116"/>
      <c r="AU3961" s="116"/>
      <c r="AV3961" s="78"/>
      <c r="AW3961" s="102"/>
      <c r="AX3961" s="78"/>
      <c r="AY3961" s="78"/>
      <c r="AZ3961" s="78"/>
      <c r="BA3961" s="78"/>
      <c r="BB3961" s="78"/>
      <c r="BC3961" s="78"/>
      <c r="BD3961" s="78"/>
      <c r="BE3961" s="465"/>
      <c r="BF3961" s="165" t="str">
        <f t="shared" si="2943"/>
        <v>https://www.google.com/search?tbm=isch&amp;q=Syringa%20%C3%97%20pubescens%20%27SMNSPTP%27%20PP%2335123%20Bloomerang%20Purpink%C2%AE%20Lilac%20%28PW%C2%AE%29</v>
      </c>
      <c r="BG3961" s="165" t="str">
        <f t="shared" si="2944"/>
        <v>S</v>
      </c>
      <c r="BH3961" s="65"/>
      <c r="BI3961" s="65"/>
      <c r="BJ3961" s="65"/>
      <c r="BK3961" s="65"/>
      <c r="BL3961" s="99"/>
      <c r="BM3961" s="99"/>
      <c r="BN3961" s="99"/>
    </row>
    <row r="3962" spans="1:66" s="51" customFormat="1" ht="15.75" x14ac:dyDescent="0.25">
      <c r="A3962" s="634">
        <v>3</v>
      </c>
      <c r="B3962" s="635" t="s">
        <v>291</v>
      </c>
      <c r="C3962" s="636" t="s">
        <v>5023</v>
      </c>
      <c r="D3962" s="637" t="s">
        <v>329</v>
      </c>
      <c r="E3962" s="638">
        <v>42.95</v>
      </c>
      <c r="F3962" s="639" t="s">
        <v>292</v>
      </c>
      <c r="G3962" s="484">
        <v>0</v>
      </c>
      <c r="H3962" s="691" t="str">
        <f>IF(G3962=0,"",IF(F3962="Buy",IF(G3962=1,"plant","plants"),IF(F3962&gt;0.01,"warranty","Error")))</f>
        <v/>
      </c>
      <c r="I3962" s="640">
        <f>IF(H3962="free",0,IF(H3962="credit",((E3962*(F3962))*G3962*-1),IF(F3962="Buy",(E3962*G3962),((E3962*(1-F3962))*G3962))))</f>
        <v>0</v>
      </c>
      <c r="J3962" s="640">
        <f>IF(H3962="warranty",0,(I3962*(_xlfn.SINGLE(SalesTaxPercentage))))</f>
        <v>0</v>
      </c>
      <c r="K3962" s="716">
        <f t="shared" ref="K3962" si="2962">I3962+J3962</f>
        <v>0</v>
      </c>
      <c r="L3962" s="716"/>
      <c r="M3962" s="689" t="str">
        <f ca="1">IF(AND(G3962&gt;0,E3962=0),"WARNING - no PRICE inserted",IF(H3962="free","FREE ~ no charge this plant",IF(H3962="credit",CONCATENATE("-$",ROUND(K3962*(1-_xlfn.SINGLE(T2GDiscount))*-1,2)," CREDIT after discount"),IF(_xlfn.SINGLE(T2GDiscount)=0,"",IF(G3962=0,"",IF(F3962="Buy",CONCATENATE("$",ROUND(K3962*(1-_xlfn.SINGLE(T2GDiscount)),2)," with ",(_xlfn.SINGLE(T2GDiscount)*100),"% discount"),CONCATENATE("$",ROUND(K3962*(1-_xlfn.SINGLE(T2GDiscount)),2)," with ",((_xlfn.SINGLE(T2GDiscount)*100+F3962*100)-(_xlfn.SINGLE(T2GDiscount)*100*F3962)),IF(F3962&gt;0,"% discounts",IF(_xlfn.SINGLE(NoWarrantyDiscount)&gt;0,"% discounts","% discount")))))))))</f>
        <v/>
      </c>
      <c r="N3962" s="690"/>
      <c r="O3962" s="486"/>
      <c r="P3962" s="486"/>
      <c r="Q3962" s="486"/>
      <c r="R3962" s="486"/>
      <c r="S3962" s="486"/>
      <c r="T3962" s="102">
        <f t="shared" si="2932"/>
        <v>0</v>
      </c>
      <c r="U3962" s="78">
        <f>IF(NOT(ISNUMBER(G3962)), "", VLOOKUP(A3962,'Discount Lookup'!D:E,2,FALSE)*G3962)</f>
        <v>0</v>
      </c>
      <c r="V3962" s="78">
        <f>IF(NOT(ISNUMBER(G3962)), "", VLOOKUP(A3962,'Discount Lookup'!G:H,2,FALSE)*G3962)</f>
        <v>0</v>
      </c>
      <c r="W3962" s="102">
        <f t="shared" si="2933"/>
        <v>0</v>
      </c>
      <c r="X3962" s="102">
        <f t="shared" si="2934"/>
        <v>0</v>
      </c>
      <c r="Y3962" s="120" t="b">
        <f t="shared" si="2935"/>
        <v>0</v>
      </c>
      <c r="Z3962" s="117">
        <f t="shared" si="2936"/>
        <v>0</v>
      </c>
      <c r="AA3962" s="118"/>
      <c r="AB3962" s="118" t="str">
        <f t="shared" si="2937"/>
        <v/>
      </c>
      <c r="AC3962" s="712" t="str">
        <f>IF(AE3962="T2G","no charge",IF(AND(OR(PlanterYesMe="No",PlanterYesMe="N",PlanterYesMe="me"),H3962=""),"",IF(H3962="credit","NO install",IF(AND(K3962="",AE3962="me"),"EACH row",IF(AND(K3962="images",AE3962="me"),"EACH row",IF(D3962="","",IF(H3962="credit","",IF(AE3962="free","re-planting",IF(AE3962="me","   not ELP, by",IF(AND(OR(PlanterYesMe="Yes",PlanterYesMe="Y"),G3962&gt;0),(VLOOKUP(A3962,'Discount Lookup'!J:K,2)*G3962*(1-PlanterDiscount)*(1+PlanterDifficultyPercentage)),IF(AE3962="ELP",(VLOOKUP(A3962,'Discount Lookup'!J:K,2)*G3962*(1-PlanterDiscount)*(1+PlanterDifficultyPercentage)),IF(AE3962="free","re-planting",IF(G3962=0,"",IF(PlanterYesMe="",IF(AE3962="me","   not ELP, by",IF(AE3962="",IF(G3962&gt;0,(VLOOKUP(A3962,'Discount Lookup'!J:K,2)*G3962*(1-PlanterDiscount)*(1+PlanterDifficultyPercentage)),""),"")),"   not ELP, by"))))))))))))))</f>
        <v/>
      </c>
      <c r="AD3962" s="712"/>
      <c r="AE3962" s="513" t="str">
        <f t="shared" si="2938"/>
        <v/>
      </c>
      <c r="AF3962" s="713" t="str">
        <f t="shared" si="2939"/>
        <v/>
      </c>
      <c r="AG3962" s="713"/>
      <c r="AH3962" s="713"/>
      <c r="AI3962" s="112">
        <f>IF(H3962="credit",0,IF(AE3962="free",0,IF(AE3962="me",0,IF(G3962&gt;0,(VLOOKUP(A3962,'Discount Lookup'!J:K,2)*G3962),0))))</f>
        <v>0</v>
      </c>
      <c r="AJ3962" s="107" t="str">
        <f t="shared" ca="1" si="2940"/>
        <v/>
      </c>
      <c r="AK3962" s="714" t="str">
        <f t="shared" si="2941"/>
        <v/>
      </c>
      <c r="AL3962" s="714"/>
      <c r="AM3962" s="114" t="str">
        <f t="shared" si="2942"/>
        <v/>
      </c>
      <c r="AN3962" s="115"/>
      <c r="AO3962" s="116"/>
      <c r="AP3962" s="116"/>
      <c r="AQ3962" s="116"/>
      <c r="AR3962" s="116"/>
      <c r="AS3962" s="116"/>
      <c r="AT3962" s="116"/>
      <c r="AU3962" s="116"/>
      <c r="AV3962" s="78"/>
      <c r="AW3962" s="102"/>
      <c r="AX3962" s="78"/>
      <c r="AY3962" s="78"/>
      <c r="AZ3962" s="78"/>
      <c r="BA3962" s="78"/>
      <c r="BB3962" s="78"/>
      <c r="BC3962" s="78"/>
      <c r="BD3962" s="78"/>
      <c r="BE3962" s="465"/>
      <c r="BF3962" s="165" t="str">
        <f t="shared" si="2943"/>
        <v>https://www.google.com/search?tbm=isch&amp;q=3%20G2</v>
      </c>
      <c r="BG3962" s="165" t="str">
        <f t="shared" si="2944"/>
        <v>S</v>
      </c>
      <c r="BH3962" s="65"/>
      <c r="BI3962" s="65"/>
      <c r="BJ3962" s="65"/>
      <c r="BK3962" s="65"/>
      <c r="BL3962" s="99"/>
      <c r="BM3962" s="99"/>
      <c r="BN3962" s="99"/>
    </row>
    <row r="3963" spans="1:66" s="51" customFormat="1" ht="17.25" thickBot="1" x14ac:dyDescent="0.3">
      <c r="A3963" s="641" t="s">
        <v>4856</v>
      </c>
      <c r="B3963" s="642"/>
      <c r="C3963" s="710"/>
      <c r="D3963" s="643"/>
      <c r="E3963" s="643"/>
      <c r="F3963" s="644"/>
      <c r="G3963" s="645"/>
      <c r="H3963" s="646"/>
      <c r="I3963" s="647"/>
      <c r="J3963" s="648"/>
      <c r="K3963" s="649"/>
      <c r="L3963" s="650"/>
      <c r="M3963" s="650"/>
      <c r="N3963" s="644"/>
      <c r="O3963" s="644"/>
      <c r="P3963" s="644"/>
      <c r="Q3963" s="644"/>
      <c r="R3963" s="644"/>
      <c r="S3963" s="701" t="s">
        <v>5271</v>
      </c>
      <c r="T3963" s="102">
        <f t="shared" si="2932"/>
        <v>0</v>
      </c>
      <c r="U3963" s="78" t="str">
        <f>IF(NOT(ISNUMBER(G3963)), "", VLOOKUP(A3963,'Discount Lookup'!D:E,2,FALSE)*G3963)</f>
        <v/>
      </c>
      <c r="V3963" s="78" t="str">
        <f>IF(NOT(ISNUMBER(G3963)), "", VLOOKUP(A3963,'Discount Lookup'!G:H,2,FALSE)*G3963)</f>
        <v/>
      </c>
      <c r="W3963" s="102">
        <f t="shared" si="2933"/>
        <v>0</v>
      </c>
      <c r="X3963" s="102">
        <f t="shared" si="2934"/>
        <v>0</v>
      </c>
      <c r="Y3963" s="120" t="b">
        <f t="shared" si="2935"/>
        <v>0</v>
      </c>
      <c r="Z3963" s="117">
        <f t="shared" si="2936"/>
        <v>0</v>
      </c>
      <c r="AA3963" s="118"/>
      <c r="AB3963" s="118" t="str">
        <f t="shared" si="2937"/>
        <v/>
      </c>
      <c r="AC3963" s="712" t="str">
        <f>IF(AE3963="T2G","no charge",IF(AND(OR(PlanterYesMe="No",PlanterYesMe="N",PlanterYesMe="me"),H3963=""),"",IF(H3963="credit","NO install",IF(AND(K3963="",AE3963="me"),"EACH row",IF(AND(K3963="images",AE3963="me"),"EACH row",IF(D3963="","",IF(H3963="credit","",IF(AE3963="free","re-planting",IF(AE3963="me","   not ELP, by",IF(AND(OR(PlanterYesMe="Yes",PlanterYesMe="Y"),G3963&gt;0),(VLOOKUP(A3963,'Discount Lookup'!J:K,2)*G3963*(1-PlanterDiscount)*(1+PlanterDifficultyPercentage)),IF(AE3963="ELP",(VLOOKUP(A3963,'Discount Lookup'!J:K,2)*G3963*(1-PlanterDiscount)*(1+PlanterDifficultyPercentage)),IF(AE3963="free","re-planting",IF(G3963=0,"",IF(PlanterYesMe="",IF(AE3963="me","   not ELP, by",IF(AE3963="",IF(G3963&gt;0,(VLOOKUP(A3963,'Discount Lookup'!J:K,2)*G3963*(1-PlanterDiscount)*(1+PlanterDifficultyPercentage)),""),"")),"   not ELP, by"))))))))))))))</f>
        <v/>
      </c>
      <c r="AD3963" s="712"/>
      <c r="AE3963" s="513" t="str">
        <f t="shared" si="2938"/>
        <v/>
      </c>
      <c r="AF3963" s="713" t="str">
        <f t="shared" si="2939"/>
        <v/>
      </c>
      <c r="AG3963" s="713"/>
      <c r="AH3963" s="713"/>
      <c r="AI3963" s="112">
        <f>IF(H3963="credit",0,IF(AE3963="free",0,IF(AE3963="me",0,IF(G3963&gt;0,(VLOOKUP(A3963,'Discount Lookup'!J:K,2)*G3963),0))))</f>
        <v>0</v>
      </c>
      <c r="AJ3963" s="107" t="str">
        <f t="shared" ca="1" si="2940"/>
        <v/>
      </c>
      <c r="AK3963" s="714" t="str">
        <f t="shared" si="2941"/>
        <v/>
      </c>
      <c r="AL3963" s="714"/>
      <c r="AM3963" s="114" t="str">
        <f t="shared" si="2942"/>
        <v/>
      </c>
      <c r="AN3963" s="115"/>
      <c r="AO3963" s="116"/>
      <c r="AP3963" s="116"/>
      <c r="AQ3963" s="116"/>
      <c r="AR3963" s="116"/>
      <c r="AS3963" s="116"/>
      <c r="AT3963" s="116"/>
      <c r="AU3963" s="116"/>
      <c r="AV3963" s="78"/>
      <c r="AW3963" s="102"/>
      <c r="AX3963" s="78"/>
      <c r="AY3963" s="78"/>
      <c r="AZ3963" s="78"/>
      <c r="BA3963" s="78"/>
      <c r="BB3963" s="78"/>
      <c r="BC3963" s="78"/>
      <c r="BD3963" s="78"/>
      <c r="BE3963" s="465"/>
      <c r="BF3963" s="165" t="str">
        <f t="shared" si="2943"/>
        <v>https://www.google.com/search?tbm=isch&amp;q=Purpink%20has%20intensely%20fragrant%2C%20tubular%20flowers%2C%20reblooming%20from%20spring%20into%20fall.%20Green%20foliage%20yellows%20in%20fall%20</v>
      </c>
      <c r="BG3963" s="165" t="str">
        <f t="shared" si="2944"/>
        <v>P</v>
      </c>
      <c r="BH3963" s="65"/>
      <c r="BI3963" s="65"/>
      <c r="BJ3963" s="65"/>
      <c r="BK3963" s="65"/>
      <c r="BL3963" s="99"/>
      <c r="BM3963" s="99"/>
      <c r="BN3963" s="99"/>
    </row>
    <row r="3964" spans="1:66" s="51" customFormat="1" ht="18" x14ac:dyDescent="0.25">
      <c r="A3964" s="623" t="s">
        <v>4281</v>
      </c>
      <c r="B3964" s="624"/>
      <c r="C3964" s="709"/>
      <c r="D3964" s="625" t="s">
        <v>5831</v>
      </c>
      <c r="E3964" s="626"/>
      <c r="F3964" s="626"/>
      <c r="G3964" s="626"/>
      <c r="H3964" s="622" t="s">
        <v>1207</v>
      </c>
      <c r="I3964" s="627" t="s">
        <v>4067</v>
      </c>
      <c r="J3964" s="628"/>
      <c r="K3964" s="628"/>
      <c r="L3964" s="629"/>
      <c r="M3964" s="700" t="s">
        <v>5241</v>
      </c>
      <c r="N3964" s="693" t="str">
        <f>IF(AND(ISTEXT($A3964), ISERROR($A3964+0)), HYPERLINK($BF3964, "Images"), "")</f>
        <v>Images</v>
      </c>
      <c r="O3964" s="695" t="s">
        <v>5264</v>
      </c>
      <c r="P3964" s="630"/>
      <c r="Q3964" s="631"/>
      <c r="R3964" s="632"/>
      <c r="S3964" s="633"/>
      <c r="T3964" s="102">
        <f t="shared" si="2932"/>
        <v>0</v>
      </c>
      <c r="U3964" s="78" t="str">
        <f>IF(NOT(ISNUMBER(G3964)), "", VLOOKUP(A3964,'Discount Lookup'!D:E,2,FALSE)*G3964)</f>
        <v/>
      </c>
      <c r="V3964" s="78" t="str">
        <f>IF(NOT(ISNUMBER(G3964)), "", VLOOKUP(A3964,'Discount Lookup'!G:H,2,FALSE)*G3964)</f>
        <v/>
      </c>
      <c r="W3964" s="102">
        <f t="shared" si="2933"/>
        <v>0</v>
      </c>
      <c r="X3964" s="102" t="str">
        <f t="shared" si="2934"/>
        <v>Reddish-Pink bloom</v>
      </c>
      <c r="Y3964" s="120" t="b">
        <f t="shared" si="2935"/>
        <v>0</v>
      </c>
      <c r="Z3964" s="117">
        <f t="shared" si="2936"/>
        <v>0</v>
      </c>
      <c r="AA3964" s="118"/>
      <c r="AB3964" s="118" t="str">
        <f t="shared" si="2937"/>
        <v/>
      </c>
      <c r="AC3964" s="712" t="str">
        <f>IF(AE3964="T2G","no charge",IF(AND(OR(PlanterYesMe="No",PlanterYesMe="N",PlanterYesMe="me"),H3964=""),"",IF(H3964="credit","NO install",IF(AND(K3964="",AE3964="me"),"EACH row",IF(AND(K3964="images",AE3964="me"),"EACH row",IF(D3964="","",IF(H3964="credit","",IF(AE3964="free","re-planting",IF(AE3964="me","   not ELP, by",IF(AND(OR(PlanterYesMe="Yes",PlanterYesMe="Y"),G3964&gt;0),(VLOOKUP(A3964,'Discount Lookup'!J:K,2)*G3964*(1-PlanterDiscount)*(1+PlanterDifficultyPercentage)),IF(AE3964="ELP",(VLOOKUP(A3964,'Discount Lookup'!J:K,2)*G3964*(1-PlanterDiscount)*(1+PlanterDifficultyPercentage)),IF(AE3964="free","re-planting",IF(G3964=0,"",IF(PlanterYesMe="",IF(AE3964="me","   not ELP, by",IF(AE3964="",IF(G3964&gt;0,(VLOOKUP(A3964,'Discount Lookup'!J:K,2)*G3964*(1-PlanterDiscount)*(1+PlanterDifficultyPercentage)),""),"")),"   not ELP, by"))))))))))))))</f>
        <v/>
      </c>
      <c r="AD3964" s="712"/>
      <c r="AE3964" s="513" t="str">
        <f t="shared" si="2938"/>
        <v/>
      </c>
      <c r="AF3964" s="713" t="str">
        <f t="shared" si="2939"/>
        <v/>
      </c>
      <c r="AG3964" s="713"/>
      <c r="AH3964" s="713"/>
      <c r="AI3964" s="112">
        <f>IF(H3964="credit",0,IF(AE3964="free",0,IF(AE3964="me",0,IF(G3964&gt;0,(VLOOKUP(A3964,'Discount Lookup'!J:K,2)*G3964),0))))</f>
        <v>0</v>
      </c>
      <c r="AJ3964" s="107" t="str">
        <f t="shared" ca="1" si="2940"/>
        <v/>
      </c>
      <c r="AK3964" s="714" t="str">
        <f t="shared" si="2941"/>
        <v/>
      </c>
      <c r="AL3964" s="714"/>
      <c r="AM3964" s="114" t="str">
        <f t="shared" si="2942"/>
        <v/>
      </c>
      <c r="AN3964" s="115"/>
      <c r="AO3964" s="116"/>
      <c r="AP3964" s="116"/>
      <c r="AQ3964" s="116"/>
      <c r="AR3964" s="116"/>
      <c r="AS3964" s="116"/>
      <c r="AT3964" s="116"/>
      <c r="AU3964" s="116"/>
      <c r="AV3964" s="78"/>
      <c r="AW3964" s="102"/>
      <c r="AX3964" s="78"/>
      <c r="AY3964" s="78"/>
      <c r="AZ3964" s="78"/>
      <c r="BA3964" s="78"/>
      <c r="BB3964" s="78"/>
      <c r="BC3964" s="78"/>
      <c r="BD3964" s="78"/>
      <c r="BE3964" s="465"/>
      <c r="BF3964" s="165" t="str">
        <f t="shared" si="2943"/>
        <v>https://www.google.com/search?tbm=isch&amp;q=Syringa%20%27Grecrimdoll%27%20PP%2310680%20Crimson%20Doll%C2%AE%20Lilac</v>
      </c>
      <c r="BG3964" s="165" t="str">
        <f t="shared" si="2944"/>
        <v>S</v>
      </c>
      <c r="BH3964" s="65"/>
      <c r="BI3964" s="65"/>
      <c r="BJ3964" s="65"/>
      <c r="BK3964" s="65"/>
      <c r="BL3964" s="99"/>
      <c r="BM3964" s="99"/>
      <c r="BN3964" s="99"/>
    </row>
    <row r="3965" spans="1:66" s="51" customFormat="1" ht="15.75" x14ac:dyDescent="0.25">
      <c r="A3965" s="634">
        <v>7</v>
      </c>
      <c r="B3965" s="635" t="s">
        <v>291</v>
      </c>
      <c r="C3965" s="636" t="s">
        <v>4282</v>
      </c>
      <c r="D3965" s="637" t="s">
        <v>299</v>
      </c>
      <c r="E3965" s="638">
        <v>91.95</v>
      </c>
      <c r="F3965" s="639" t="s">
        <v>292</v>
      </c>
      <c r="G3965" s="484">
        <v>0</v>
      </c>
      <c r="H3965" s="691" t="str">
        <f>IF(G3965=0,"",IF(F3965="Buy",IF(G3965=1,"plant","plants"),IF(F3965&gt;0.01,"warranty","Error")))</f>
        <v/>
      </c>
      <c r="I3965" s="640">
        <f>IF(H3965="free",0,IF(H3965="credit",((E3965*(F3965))*G3965*-1),IF(F3965="Buy",(E3965*G3965),((E3965*(1-F3965))*G3965))))</f>
        <v>0</v>
      </c>
      <c r="J3965" s="640">
        <f>IF(H3965="warranty",0,(I3965*(_xlfn.SINGLE(SalesTaxPercentage))))</f>
        <v>0</v>
      </c>
      <c r="K3965" s="716">
        <f t="shared" ref="K3965" si="2963">I3965+J3965</f>
        <v>0</v>
      </c>
      <c r="L3965" s="716"/>
      <c r="M3965" s="689" t="str">
        <f ca="1">IF(AND(G3965&gt;0,E3965=0),"WARNING - no PRICE inserted",IF(H3965="free","FREE ~ no charge this plant",IF(H3965="credit",CONCATENATE("-$",ROUND(K3965*(1-_xlfn.SINGLE(T2GDiscount))*-1,2)," CREDIT after discount"),IF(_xlfn.SINGLE(T2GDiscount)=0,"",IF(G3965=0,"",IF(F3965="Buy",CONCATENATE("$",ROUND(K3965*(1-_xlfn.SINGLE(T2GDiscount)),2)," with ",(_xlfn.SINGLE(T2GDiscount)*100),"% discount"),CONCATENATE("$",ROUND(K3965*(1-_xlfn.SINGLE(T2GDiscount)),2)," with ",((_xlfn.SINGLE(T2GDiscount)*100+F3965*100)-(_xlfn.SINGLE(T2GDiscount)*100*F3965)),IF(F3965&gt;0,"% discounts",IF(_xlfn.SINGLE(NoWarrantyDiscount)&gt;0,"% discounts","% discount")))))))))</f>
        <v/>
      </c>
      <c r="N3965" s="690"/>
      <c r="O3965" s="486"/>
      <c r="P3965" s="486"/>
      <c r="Q3965" s="486"/>
      <c r="R3965" s="486"/>
      <c r="S3965" s="486"/>
      <c r="T3965" s="102">
        <f t="shared" si="2932"/>
        <v>0</v>
      </c>
      <c r="U3965" s="78">
        <f>IF(NOT(ISNUMBER(G3965)), "", VLOOKUP(A3965,'Discount Lookup'!D:E,2,FALSE)*G3965)</f>
        <v>0</v>
      </c>
      <c r="V3965" s="78">
        <f>IF(NOT(ISNUMBER(G3965)), "", VLOOKUP(A3965,'Discount Lookup'!G:H,2,FALSE)*G3965)</f>
        <v>0</v>
      </c>
      <c r="W3965" s="102">
        <f t="shared" si="2933"/>
        <v>0</v>
      </c>
      <c r="X3965" s="102">
        <f t="shared" si="2934"/>
        <v>0</v>
      </c>
      <c r="Y3965" s="120" t="b">
        <f t="shared" si="2935"/>
        <v>0</v>
      </c>
      <c r="Z3965" s="117">
        <f t="shared" si="2936"/>
        <v>0</v>
      </c>
      <c r="AA3965" s="118"/>
      <c r="AB3965" s="118" t="str">
        <f t="shared" si="2937"/>
        <v/>
      </c>
      <c r="AC3965" s="712" t="str">
        <f>IF(AE3965="T2G","no charge",IF(AND(OR(PlanterYesMe="No",PlanterYesMe="N",PlanterYesMe="me"),H3965=""),"",IF(H3965="credit","NO install",IF(AND(K3965="",AE3965="me"),"EACH row",IF(AND(K3965="images",AE3965="me"),"EACH row",IF(D3965="","",IF(H3965="credit","",IF(AE3965="free","re-planting",IF(AE3965="me","   not ELP, by",IF(AND(OR(PlanterYesMe="Yes",PlanterYesMe="Y"),G3965&gt;0),(VLOOKUP(A3965,'Discount Lookup'!J:K,2)*G3965*(1-PlanterDiscount)*(1+PlanterDifficultyPercentage)),IF(AE3965="ELP",(VLOOKUP(A3965,'Discount Lookup'!J:K,2)*G3965*(1-PlanterDiscount)*(1+PlanterDifficultyPercentage)),IF(AE3965="free","re-planting",IF(G3965=0,"",IF(PlanterYesMe="",IF(AE3965="me","   not ELP, by",IF(AE3965="",IF(G3965&gt;0,(VLOOKUP(A3965,'Discount Lookup'!J:K,2)*G3965*(1-PlanterDiscount)*(1+PlanterDifficultyPercentage)),""),"")),"   not ELP, by"))))))))))))))</f>
        <v/>
      </c>
      <c r="AD3965" s="712"/>
      <c r="AE3965" s="513" t="str">
        <f t="shared" si="2938"/>
        <v/>
      </c>
      <c r="AF3965" s="713" t="str">
        <f t="shared" si="2939"/>
        <v/>
      </c>
      <c r="AG3965" s="713"/>
      <c r="AH3965" s="713"/>
      <c r="AI3965" s="112">
        <f>IF(H3965="credit",0,IF(AE3965="free",0,IF(AE3965="me",0,IF(G3965&gt;0,(VLOOKUP(A3965,'Discount Lookup'!J:K,2)*G3965),0))))</f>
        <v>0</v>
      </c>
      <c r="AJ3965" s="107" t="str">
        <f t="shared" ca="1" si="2940"/>
        <v/>
      </c>
      <c r="AK3965" s="714" t="str">
        <f t="shared" si="2941"/>
        <v/>
      </c>
      <c r="AL3965" s="714"/>
      <c r="AM3965" s="114" t="str">
        <f t="shared" si="2942"/>
        <v/>
      </c>
      <c r="AN3965" s="115"/>
      <c r="AO3965" s="116"/>
      <c r="AP3965" s="116"/>
      <c r="AQ3965" s="116"/>
      <c r="AR3965" s="116"/>
      <c r="AS3965" s="116"/>
      <c r="AT3965" s="116"/>
      <c r="AU3965" s="116"/>
      <c r="AV3965" s="78"/>
      <c r="AW3965" s="102"/>
      <c r="AX3965" s="78"/>
      <c r="AY3965" s="78"/>
      <c r="AZ3965" s="78"/>
      <c r="BA3965" s="78"/>
      <c r="BB3965" s="78"/>
      <c r="BC3965" s="78"/>
      <c r="BD3965" s="78"/>
      <c r="BE3965" s="465"/>
      <c r="BF3965" s="165" t="str">
        <f t="shared" si="2943"/>
        <v>https://www.google.com/search?tbm=isch&amp;q=7%20G4</v>
      </c>
      <c r="BG3965" s="165" t="str">
        <f t="shared" si="2944"/>
        <v>S</v>
      </c>
      <c r="BH3965" s="65"/>
      <c r="BI3965" s="65"/>
      <c r="BJ3965" s="65"/>
      <c r="BK3965" s="65"/>
      <c r="BL3965" s="99"/>
      <c r="BM3965" s="99"/>
      <c r="BN3965" s="99"/>
    </row>
    <row r="3966" spans="1:66" s="51" customFormat="1" ht="17.25" thickBot="1" x14ac:dyDescent="0.3">
      <c r="A3966" s="641" t="s">
        <v>4283</v>
      </c>
      <c r="B3966" s="642"/>
      <c r="C3966" s="710"/>
      <c r="D3966" s="643"/>
      <c r="E3966" s="643"/>
      <c r="F3966" s="644"/>
      <c r="G3966" s="645"/>
      <c r="H3966" s="646"/>
      <c r="I3966" s="647"/>
      <c r="J3966" s="648"/>
      <c r="K3966" s="649"/>
      <c r="L3966" s="650"/>
      <c r="M3966" s="650"/>
      <c r="N3966" s="644"/>
      <c r="O3966" s="644"/>
      <c r="P3966" s="644"/>
      <c r="Q3966" s="644"/>
      <c r="R3966" s="644"/>
      <c r="S3966" s="651"/>
      <c r="T3966" s="102">
        <f t="shared" si="2932"/>
        <v>0</v>
      </c>
      <c r="U3966" s="78" t="str">
        <f>IF(NOT(ISNUMBER(G3966)), "", VLOOKUP(A3966,'Discount Lookup'!D:E,2,FALSE)*G3966)</f>
        <v/>
      </c>
      <c r="V3966" s="78" t="str">
        <f>IF(NOT(ISNUMBER(G3966)), "", VLOOKUP(A3966,'Discount Lookup'!G:H,2,FALSE)*G3966)</f>
        <v/>
      </c>
      <c r="W3966" s="102">
        <f t="shared" si="2933"/>
        <v>0</v>
      </c>
      <c r="X3966" s="102">
        <f t="shared" si="2934"/>
        <v>0</v>
      </c>
      <c r="Y3966" s="120" t="b">
        <f t="shared" si="2935"/>
        <v>0</v>
      </c>
      <c r="Z3966" s="117">
        <f t="shared" si="2936"/>
        <v>0</v>
      </c>
      <c r="AA3966" s="118"/>
      <c r="AB3966" s="118" t="str">
        <f t="shared" si="2937"/>
        <v/>
      </c>
      <c r="AC3966" s="712" t="str">
        <f>IF(AE3966="T2G","no charge",IF(AND(OR(PlanterYesMe="No",PlanterYesMe="N",PlanterYesMe="me"),H3966=""),"",IF(H3966="credit","NO install",IF(AND(K3966="",AE3966="me"),"EACH row",IF(AND(K3966="images",AE3966="me"),"EACH row",IF(D3966="","",IF(H3966="credit","",IF(AE3966="free","re-planting",IF(AE3966="me","   not ELP, by",IF(AND(OR(PlanterYesMe="Yes",PlanterYesMe="Y"),G3966&gt;0),(VLOOKUP(A3966,'Discount Lookup'!J:K,2)*G3966*(1-PlanterDiscount)*(1+PlanterDifficultyPercentage)),IF(AE3966="ELP",(VLOOKUP(A3966,'Discount Lookup'!J:K,2)*G3966*(1-PlanterDiscount)*(1+PlanterDifficultyPercentage)),IF(AE3966="free","re-planting",IF(G3966=0,"",IF(PlanterYesMe="",IF(AE3966="me","   not ELP, by",IF(AE3966="",IF(G3966&gt;0,(VLOOKUP(A3966,'Discount Lookup'!J:K,2)*G3966*(1-PlanterDiscount)*(1+PlanterDifficultyPercentage)),""),"")),"   not ELP, by"))))))))))))))</f>
        <v/>
      </c>
      <c r="AD3966" s="712"/>
      <c r="AE3966" s="513" t="str">
        <f t="shared" si="2938"/>
        <v/>
      </c>
      <c r="AF3966" s="713" t="str">
        <f t="shared" si="2939"/>
        <v/>
      </c>
      <c r="AG3966" s="713"/>
      <c r="AH3966" s="713"/>
      <c r="AI3966" s="112">
        <f>IF(H3966="credit",0,IF(AE3966="free",0,IF(AE3966="me",0,IF(G3966&gt;0,(VLOOKUP(A3966,'Discount Lookup'!J:K,2)*G3966),0))))</f>
        <v>0</v>
      </c>
      <c r="AJ3966" s="107" t="str">
        <f t="shared" ca="1" si="2940"/>
        <v/>
      </c>
      <c r="AK3966" s="714" t="str">
        <f t="shared" si="2941"/>
        <v/>
      </c>
      <c r="AL3966" s="714"/>
      <c r="AM3966" s="114" t="str">
        <f t="shared" si="2942"/>
        <v/>
      </c>
      <c r="AN3966" s="115"/>
      <c r="AO3966" s="116"/>
      <c r="AP3966" s="116"/>
      <c r="AQ3966" s="116"/>
      <c r="AR3966" s="116"/>
      <c r="AS3966" s="116"/>
      <c r="AT3966" s="116"/>
      <c r="AU3966" s="116"/>
      <c r="AV3966" s="78"/>
      <c r="AW3966" s="102"/>
      <c r="AX3966" s="78"/>
      <c r="AY3966" s="78"/>
      <c r="AZ3966" s="78"/>
      <c r="BA3966" s="78"/>
      <c r="BB3966" s="78"/>
      <c r="BC3966" s="78"/>
      <c r="BD3966" s="78"/>
      <c r="BE3966" s="465"/>
      <c r="BF3966" s="165" t="str">
        <f t="shared" si="2943"/>
        <v>https://www.google.com/search?tbm=isch&amp;q=Crimson%20Doll%20Green%20foliage%20turns%20Yellow%20in%20fall.%20Fragrant.%20Smooth%20tan%20bark%20</v>
      </c>
      <c r="BG3966" s="165" t="str">
        <f t="shared" si="2944"/>
        <v>C</v>
      </c>
      <c r="BH3966" s="65"/>
      <c r="BI3966" s="65"/>
      <c r="BJ3966" s="65"/>
      <c r="BK3966" s="65"/>
      <c r="BL3966" s="99"/>
      <c r="BM3966" s="99"/>
      <c r="BN3966" s="99"/>
    </row>
    <row r="3967" spans="1:66" s="51" customFormat="1" ht="18" x14ac:dyDescent="0.25">
      <c r="A3967" s="623" t="s">
        <v>4284</v>
      </c>
      <c r="B3967" s="624"/>
      <c r="C3967" s="709"/>
      <c r="D3967" s="625" t="s">
        <v>4285</v>
      </c>
      <c r="E3967" s="626"/>
      <c r="F3967" s="626"/>
      <c r="G3967" s="626"/>
      <c r="H3967" s="622" t="s">
        <v>4286</v>
      </c>
      <c r="I3967" s="627" t="s">
        <v>2746</v>
      </c>
      <c r="J3967" s="628"/>
      <c r="K3967" s="628"/>
      <c r="L3967" s="629"/>
      <c r="M3967" s="700" t="s">
        <v>5241</v>
      </c>
      <c r="N3967" s="693" t="str">
        <f>IF(AND(ISTEXT($A3967), ISERROR($A3967+0)), HYPERLINK($BF3967, "Images"), "")</f>
        <v>Images</v>
      </c>
      <c r="O3967" s="695" t="s">
        <v>5264</v>
      </c>
      <c r="P3967" s="630"/>
      <c r="Q3967" s="631"/>
      <c r="R3967" s="632"/>
      <c r="S3967" s="633"/>
      <c r="T3967" s="102">
        <f t="shared" si="2932"/>
        <v>0</v>
      </c>
      <c r="U3967" s="78" t="str">
        <f>IF(NOT(ISNUMBER(G3967)), "", VLOOKUP(A3967,'Discount Lookup'!D:E,2,FALSE)*G3967)</f>
        <v/>
      </c>
      <c r="V3967" s="78" t="str">
        <f>IF(NOT(ISNUMBER(G3967)), "", VLOOKUP(A3967,'Discount Lookup'!G:H,2,FALSE)*G3967)</f>
        <v/>
      </c>
      <c r="W3967" s="102">
        <f t="shared" si="2933"/>
        <v>0</v>
      </c>
      <c r="X3967" s="102" t="str">
        <f t="shared" si="2934"/>
        <v>Pale Lavender bloom</v>
      </c>
      <c r="Y3967" s="120" t="b">
        <f t="shared" si="2935"/>
        <v>0</v>
      </c>
      <c r="Z3967" s="117">
        <f t="shared" si="2936"/>
        <v>0</v>
      </c>
      <c r="AA3967" s="118"/>
      <c r="AB3967" s="118" t="str">
        <f t="shared" si="2937"/>
        <v/>
      </c>
      <c r="AC3967" s="712" t="str">
        <f>IF(AE3967="T2G","no charge",IF(AND(OR(PlanterYesMe="No",PlanterYesMe="N",PlanterYesMe="me"),H3967=""),"",IF(H3967="credit","NO install",IF(AND(K3967="",AE3967="me"),"EACH row",IF(AND(K3967="images",AE3967="me"),"EACH row",IF(D3967="","",IF(H3967="credit","",IF(AE3967="free","re-planting",IF(AE3967="me","   not ELP, by",IF(AND(OR(PlanterYesMe="Yes",PlanterYesMe="Y"),G3967&gt;0),(VLOOKUP(A3967,'Discount Lookup'!J:K,2)*G3967*(1-PlanterDiscount)*(1+PlanterDifficultyPercentage)),IF(AE3967="ELP",(VLOOKUP(A3967,'Discount Lookup'!J:K,2)*G3967*(1-PlanterDiscount)*(1+PlanterDifficultyPercentage)),IF(AE3967="free","re-planting",IF(G3967=0,"",IF(PlanterYesMe="",IF(AE3967="me","   not ELP, by",IF(AE3967="",IF(G3967&gt;0,(VLOOKUP(A3967,'Discount Lookup'!J:K,2)*G3967*(1-PlanterDiscount)*(1+PlanterDifficultyPercentage)),""),"")),"   not ELP, by"))))))))))))))</f>
        <v/>
      </c>
      <c r="AD3967" s="712"/>
      <c r="AE3967" s="513" t="str">
        <f t="shared" si="2938"/>
        <v/>
      </c>
      <c r="AF3967" s="713" t="str">
        <f t="shared" si="2939"/>
        <v/>
      </c>
      <c r="AG3967" s="713"/>
      <c r="AH3967" s="713"/>
      <c r="AI3967" s="112">
        <f>IF(H3967="credit",0,IF(AE3967="free",0,IF(AE3967="me",0,IF(G3967&gt;0,(VLOOKUP(A3967,'Discount Lookup'!J:K,2)*G3967),0))))</f>
        <v>0</v>
      </c>
      <c r="AJ3967" s="107" t="str">
        <f t="shared" ca="1" si="2940"/>
        <v/>
      </c>
      <c r="AK3967" s="714" t="str">
        <f t="shared" si="2941"/>
        <v/>
      </c>
      <c r="AL3967" s="714"/>
      <c r="AM3967" s="114" t="str">
        <f t="shared" si="2942"/>
        <v/>
      </c>
      <c r="AN3967" s="115"/>
      <c r="AO3967" s="116"/>
      <c r="AP3967" s="116"/>
      <c r="AQ3967" s="116"/>
      <c r="AR3967" s="116"/>
      <c r="AS3967" s="116"/>
      <c r="AT3967" s="116"/>
      <c r="AU3967" s="116"/>
      <c r="AV3967" s="78"/>
      <c r="AW3967" s="102"/>
      <c r="AX3967" s="78"/>
      <c r="AY3967" s="78"/>
      <c r="AZ3967" s="78"/>
      <c r="BA3967" s="78"/>
      <c r="BB3967" s="78"/>
      <c r="BC3967" s="78"/>
      <c r="BD3967" s="78"/>
      <c r="BE3967" s="465"/>
      <c r="BF3967" s="165" t="str">
        <f t="shared" si="2943"/>
        <v>https://www.google.com/search?tbm=isch&amp;q=Syringa%20pubescens%20subsp.%20patula%20%27Miss%20Kim%27%20Miss%20Kim%20Lilac</v>
      </c>
      <c r="BG3967" s="165" t="str">
        <f t="shared" si="2944"/>
        <v>S</v>
      </c>
      <c r="BH3967" s="65"/>
      <c r="BI3967" s="65"/>
      <c r="BJ3967" s="65"/>
      <c r="BK3967" s="65"/>
      <c r="BL3967" s="99"/>
      <c r="BM3967" s="99"/>
      <c r="BN3967" s="99"/>
    </row>
    <row r="3968" spans="1:66" s="51" customFormat="1" ht="15.75" x14ac:dyDescent="0.25">
      <c r="A3968" s="634">
        <v>3</v>
      </c>
      <c r="B3968" s="635" t="s">
        <v>291</v>
      </c>
      <c r="C3968" s="636"/>
      <c r="D3968" s="637" t="s">
        <v>310</v>
      </c>
      <c r="E3968" s="638">
        <v>27.95</v>
      </c>
      <c r="F3968" s="639" t="s">
        <v>292</v>
      </c>
      <c r="G3968" s="484">
        <v>0</v>
      </c>
      <c r="H3968" s="691" t="str">
        <f>IF(G3968=0,"",IF(F3968="Buy",IF(G3968=1,"plant","plants"),IF(F3968&gt;0.01,"warranty","Error")))</f>
        <v/>
      </c>
      <c r="I3968" s="640">
        <f>IF(H3968="free",0,IF(H3968="credit",((E3968*(F3968))*G3968*-1),IF(F3968="Buy",(E3968*G3968),((E3968*(1-F3968))*G3968))))</f>
        <v>0</v>
      </c>
      <c r="J3968" s="640">
        <f>IF(H3968="warranty",0,(I3968*(_xlfn.SINGLE(SalesTaxPercentage))))</f>
        <v>0</v>
      </c>
      <c r="K3968" s="716">
        <f t="shared" ref="K3968" si="2964">I3968+J3968</f>
        <v>0</v>
      </c>
      <c r="L3968" s="716"/>
      <c r="M3968" s="689" t="str">
        <f ca="1">IF(AND(G3968&gt;0,E3968=0),"WARNING - no PRICE inserted",IF(H3968="free","FREE ~ no charge this plant",IF(H3968="credit",CONCATENATE("-$",ROUND(K3968*(1-_xlfn.SINGLE(T2GDiscount))*-1,2)," CREDIT after discount"),IF(_xlfn.SINGLE(T2GDiscount)=0,"",IF(G3968=0,"",IF(F3968="Buy",CONCATENATE("$",ROUND(K3968*(1-_xlfn.SINGLE(T2GDiscount)),2)," with ",(_xlfn.SINGLE(T2GDiscount)*100),"% discount"),CONCATENATE("$",ROUND(K3968*(1-_xlfn.SINGLE(T2GDiscount)),2)," with ",((_xlfn.SINGLE(T2GDiscount)*100+F3968*100)-(_xlfn.SINGLE(T2GDiscount)*100*F3968)),IF(F3968&gt;0,"% discounts",IF(_xlfn.SINGLE(NoWarrantyDiscount)&gt;0,"% discounts","% discount")))))))))</f>
        <v/>
      </c>
      <c r="N3968" s="690"/>
      <c r="O3968" s="486"/>
      <c r="P3968" s="486"/>
      <c r="Q3968" s="486"/>
      <c r="R3968" s="486"/>
      <c r="S3968" s="486"/>
      <c r="T3968" s="102">
        <f t="shared" si="2932"/>
        <v>0</v>
      </c>
      <c r="U3968" s="78">
        <f>IF(NOT(ISNUMBER(G3968)), "", VLOOKUP(A3968,'Discount Lookup'!D:E,2,FALSE)*G3968)</f>
        <v>0</v>
      </c>
      <c r="V3968" s="78">
        <f>IF(NOT(ISNUMBER(G3968)), "", VLOOKUP(A3968,'Discount Lookup'!G:H,2,FALSE)*G3968)</f>
        <v>0</v>
      </c>
      <c r="W3968" s="102">
        <f t="shared" si="2933"/>
        <v>0</v>
      </c>
      <c r="X3968" s="102">
        <f t="shared" si="2934"/>
        <v>0</v>
      </c>
      <c r="Y3968" s="120" t="b">
        <f t="shared" si="2935"/>
        <v>0</v>
      </c>
      <c r="Z3968" s="117">
        <f t="shared" si="2936"/>
        <v>0</v>
      </c>
      <c r="AA3968" s="118"/>
      <c r="AB3968" s="118" t="str">
        <f t="shared" si="2937"/>
        <v/>
      </c>
      <c r="AC3968" s="712" t="str">
        <f>IF(AE3968="T2G","no charge",IF(AND(OR(PlanterYesMe="No",PlanterYesMe="N",PlanterYesMe="me"),H3968=""),"",IF(H3968="credit","NO install",IF(AND(K3968="",AE3968="me"),"EACH row",IF(AND(K3968="images",AE3968="me"),"EACH row",IF(D3968="","",IF(H3968="credit","",IF(AE3968="free","re-planting",IF(AE3968="me","   not ELP, by",IF(AND(OR(PlanterYesMe="Yes",PlanterYesMe="Y"),G3968&gt;0),(VLOOKUP(A3968,'Discount Lookup'!J:K,2)*G3968*(1-PlanterDiscount)*(1+PlanterDifficultyPercentage)),IF(AE3968="ELP",(VLOOKUP(A3968,'Discount Lookup'!J:K,2)*G3968*(1-PlanterDiscount)*(1+PlanterDifficultyPercentage)),IF(AE3968="free","re-planting",IF(G3968=0,"",IF(PlanterYesMe="",IF(AE3968="me","   not ELP, by",IF(AE3968="",IF(G3968&gt;0,(VLOOKUP(A3968,'Discount Lookup'!J:K,2)*G3968*(1-PlanterDiscount)*(1+PlanterDifficultyPercentage)),""),"")),"   not ELP, by"))))))))))))))</f>
        <v/>
      </c>
      <c r="AD3968" s="712"/>
      <c r="AE3968" s="513" t="str">
        <f t="shared" si="2938"/>
        <v/>
      </c>
      <c r="AF3968" s="713" t="str">
        <f t="shared" si="2939"/>
        <v/>
      </c>
      <c r="AG3968" s="713"/>
      <c r="AH3968" s="713"/>
      <c r="AI3968" s="112">
        <f>IF(H3968="credit",0,IF(AE3968="free",0,IF(AE3968="me",0,IF(G3968&gt;0,(VLOOKUP(A3968,'Discount Lookup'!J:K,2)*G3968),0))))</f>
        <v>0</v>
      </c>
      <c r="AJ3968" s="107" t="str">
        <f t="shared" ca="1" si="2940"/>
        <v/>
      </c>
      <c r="AK3968" s="714" t="str">
        <f t="shared" si="2941"/>
        <v/>
      </c>
      <c r="AL3968" s="714"/>
      <c r="AM3968" s="114" t="str">
        <f t="shared" si="2942"/>
        <v/>
      </c>
      <c r="AN3968" s="115"/>
      <c r="AO3968" s="116"/>
      <c r="AP3968" s="116"/>
      <c r="AQ3968" s="116"/>
      <c r="AR3968" s="116"/>
      <c r="AS3968" s="116"/>
      <c r="AT3968" s="116"/>
      <c r="AU3968" s="116"/>
      <c r="AV3968" s="78"/>
      <c r="AW3968" s="102"/>
      <c r="AX3968" s="78"/>
      <c r="AY3968" s="78"/>
      <c r="AZ3968" s="78"/>
      <c r="BA3968" s="78"/>
      <c r="BB3968" s="78"/>
      <c r="BC3968" s="78"/>
      <c r="BD3968" s="78"/>
      <c r="BE3968" s="465"/>
      <c r="BF3968" s="165" t="str">
        <f t="shared" si="2943"/>
        <v>https://www.google.com/search?tbm=isch&amp;q=3%20G1</v>
      </c>
      <c r="BG3968" s="165" t="str">
        <f t="shared" si="2944"/>
        <v>S</v>
      </c>
      <c r="BH3968" s="65"/>
      <c r="BI3968" s="65"/>
      <c r="BJ3968" s="65"/>
      <c r="BK3968" s="65"/>
      <c r="BL3968" s="99"/>
      <c r="BM3968" s="99"/>
      <c r="BN3968" s="99"/>
    </row>
    <row r="3969" spans="1:66" s="51" customFormat="1" ht="15.75" x14ac:dyDescent="0.25">
      <c r="A3969" s="634">
        <v>7</v>
      </c>
      <c r="B3969" s="635" t="s">
        <v>291</v>
      </c>
      <c r="C3969" s="636" t="s">
        <v>4287</v>
      </c>
      <c r="D3969" s="637" t="s">
        <v>299</v>
      </c>
      <c r="E3969" s="638">
        <v>86.95</v>
      </c>
      <c r="F3969" s="639" t="s">
        <v>292</v>
      </c>
      <c r="G3969" s="484">
        <v>0</v>
      </c>
      <c r="H3969" s="691" t="str">
        <f>IF(G3969=0,"",IF(F3969="Buy",IF(G3969=1,"plant","plants"),IF(F3969&gt;0.01,"warranty","Error")))</f>
        <v/>
      </c>
      <c r="I3969" s="640">
        <f>IF(H3969="free",0,IF(H3969="credit",((E3969*(F3969))*G3969*-1),IF(F3969="Buy",(E3969*G3969),((E3969*(1-F3969))*G3969))))</f>
        <v>0</v>
      </c>
      <c r="J3969" s="640">
        <f>IF(H3969="warranty",0,(I3969*(_xlfn.SINGLE(SalesTaxPercentage))))</f>
        <v>0</v>
      </c>
      <c r="K3969" s="716">
        <f t="shared" ref="K3969" si="2965">I3969+J3969</f>
        <v>0</v>
      </c>
      <c r="L3969" s="716"/>
      <c r="M3969" s="689" t="str">
        <f ca="1">IF(AND(G3969&gt;0,E3969=0),"WARNING - no PRICE inserted",IF(H3969="free","FREE ~ no charge this plant",IF(H3969="credit",CONCATENATE("-$",ROUND(K3969*(1-_xlfn.SINGLE(T2GDiscount))*-1,2)," CREDIT after discount"),IF(_xlfn.SINGLE(T2GDiscount)=0,"",IF(G3969=0,"",IF(F3969="Buy",CONCATENATE("$",ROUND(K3969*(1-_xlfn.SINGLE(T2GDiscount)),2)," with ",(_xlfn.SINGLE(T2GDiscount)*100),"% discount"),CONCATENATE("$",ROUND(K3969*(1-_xlfn.SINGLE(T2GDiscount)),2)," with ",((_xlfn.SINGLE(T2GDiscount)*100+F3969*100)-(_xlfn.SINGLE(T2GDiscount)*100*F3969)),IF(F3969&gt;0,"% discounts",IF(_xlfn.SINGLE(NoWarrantyDiscount)&gt;0,"% discounts","% discount")))))))))</f>
        <v/>
      </c>
      <c r="N3969" s="690"/>
      <c r="O3969" s="486"/>
      <c r="P3969" s="486"/>
      <c r="Q3969" s="486"/>
      <c r="R3969" s="486"/>
      <c r="S3969" s="486"/>
      <c r="T3969" s="102">
        <f t="shared" si="2932"/>
        <v>0</v>
      </c>
      <c r="U3969" s="78">
        <f>IF(NOT(ISNUMBER(G3969)), "", VLOOKUP(A3969,'Discount Lookup'!D:E,2,FALSE)*G3969)</f>
        <v>0</v>
      </c>
      <c r="V3969" s="78">
        <f>IF(NOT(ISNUMBER(G3969)), "", VLOOKUP(A3969,'Discount Lookup'!G:H,2,FALSE)*G3969)</f>
        <v>0</v>
      </c>
      <c r="W3969" s="102">
        <f t="shared" si="2933"/>
        <v>0</v>
      </c>
      <c r="X3969" s="102">
        <f t="shared" si="2934"/>
        <v>0</v>
      </c>
      <c r="Y3969" s="120" t="b">
        <f t="shared" si="2935"/>
        <v>0</v>
      </c>
      <c r="Z3969" s="117">
        <f t="shared" si="2936"/>
        <v>0</v>
      </c>
      <c r="AA3969" s="118"/>
      <c r="AB3969" s="118" t="str">
        <f t="shared" si="2937"/>
        <v/>
      </c>
      <c r="AC3969" s="712" t="str">
        <f>IF(AE3969="T2G","no charge",IF(AND(OR(PlanterYesMe="No",PlanterYesMe="N",PlanterYesMe="me"),H3969=""),"",IF(H3969="credit","NO install",IF(AND(K3969="",AE3969="me"),"EACH row",IF(AND(K3969="images",AE3969="me"),"EACH row",IF(D3969="","",IF(H3969="credit","",IF(AE3969="free","re-planting",IF(AE3969="me","   not ELP, by",IF(AND(OR(PlanterYesMe="Yes",PlanterYesMe="Y"),G3969&gt;0),(VLOOKUP(A3969,'Discount Lookup'!J:K,2)*G3969*(1-PlanterDiscount)*(1+PlanterDifficultyPercentage)),IF(AE3969="ELP",(VLOOKUP(A3969,'Discount Lookup'!J:K,2)*G3969*(1-PlanterDiscount)*(1+PlanterDifficultyPercentage)),IF(AE3969="free","re-planting",IF(G3969=0,"",IF(PlanterYesMe="",IF(AE3969="me","   not ELP, by",IF(AE3969="",IF(G3969&gt;0,(VLOOKUP(A3969,'Discount Lookup'!J:K,2)*G3969*(1-PlanterDiscount)*(1+PlanterDifficultyPercentage)),""),"")),"   not ELP, by"))))))))))))))</f>
        <v/>
      </c>
      <c r="AD3969" s="712"/>
      <c r="AE3969" s="513" t="str">
        <f t="shared" si="2938"/>
        <v/>
      </c>
      <c r="AF3969" s="713" t="str">
        <f t="shared" si="2939"/>
        <v/>
      </c>
      <c r="AG3969" s="713"/>
      <c r="AH3969" s="713"/>
      <c r="AI3969" s="112">
        <f>IF(H3969="credit",0,IF(AE3969="free",0,IF(AE3969="me",0,IF(G3969&gt;0,(VLOOKUP(A3969,'Discount Lookup'!J:K,2)*G3969),0))))</f>
        <v>0</v>
      </c>
      <c r="AJ3969" s="107" t="str">
        <f t="shared" ca="1" si="2940"/>
        <v/>
      </c>
      <c r="AK3969" s="714" t="str">
        <f t="shared" si="2941"/>
        <v/>
      </c>
      <c r="AL3969" s="714"/>
      <c r="AM3969" s="114" t="str">
        <f t="shared" si="2942"/>
        <v/>
      </c>
      <c r="AN3969" s="115"/>
      <c r="AO3969" s="116"/>
      <c r="AP3969" s="116"/>
      <c r="AQ3969" s="116"/>
      <c r="AR3969" s="116"/>
      <c r="AS3969" s="116"/>
      <c r="AT3969" s="116"/>
      <c r="AU3969" s="116"/>
      <c r="AV3969" s="78"/>
      <c r="AW3969" s="102"/>
      <c r="AX3969" s="78"/>
      <c r="AY3969" s="78"/>
      <c r="AZ3969" s="78"/>
      <c r="BA3969" s="78"/>
      <c r="BB3969" s="78"/>
      <c r="BC3969" s="78"/>
      <c r="BD3969" s="78"/>
      <c r="BE3969" s="465"/>
      <c r="BF3969" s="165" t="str">
        <f t="shared" si="2943"/>
        <v>https://www.google.com/search?tbm=isch&amp;q=7%20G4</v>
      </c>
      <c r="BG3969" s="165" t="str">
        <f t="shared" si="2944"/>
        <v>S</v>
      </c>
      <c r="BH3969" s="65"/>
      <c r="BI3969" s="65"/>
      <c r="BJ3969" s="65"/>
      <c r="BK3969" s="65"/>
      <c r="BL3969" s="99"/>
      <c r="BM3969" s="99"/>
      <c r="BN3969" s="99"/>
    </row>
    <row r="3970" spans="1:66" s="51" customFormat="1" ht="27" x14ac:dyDescent="0.25">
      <c r="A3970" s="634">
        <v>7</v>
      </c>
      <c r="B3970" s="635" t="s">
        <v>291</v>
      </c>
      <c r="C3970" s="636" t="s">
        <v>4288</v>
      </c>
      <c r="D3970" s="637" t="s">
        <v>299</v>
      </c>
      <c r="E3970" s="638">
        <v>196.95</v>
      </c>
      <c r="F3970" s="639" t="s">
        <v>292</v>
      </c>
      <c r="G3970" s="484">
        <v>0</v>
      </c>
      <c r="H3970" s="691" t="str">
        <f>IF(G3970=0,"",IF(F3970="Buy",IF(G3970=1,"plant","plants"),IF(F3970&gt;0.01,"warranty","Error")))</f>
        <v/>
      </c>
      <c r="I3970" s="640">
        <f>IF(H3970="free",0,IF(H3970="credit",((E3970*(F3970))*G3970*-1),IF(F3970="Buy",(E3970*G3970),((E3970*(1-F3970))*G3970))))</f>
        <v>0</v>
      </c>
      <c r="J3970" s="640">
        <f>IF(H3970="warranty",0,(I3970*(_xlfn.SINGLE(SalesTaxPercentage))))</f>
        <v>0</v>
      </c>
      <c r="K3970" s="716">
        <f t="shared" ref="K3970" si="2966">I3970+J3970</f>
        <v>0</v>
      </c>
      <c r="L3970" s="716"/>
      <c r="M3970" s="689" t="str">
        <f ca="1">IF(AND(G3970&gt;0,E3970=0),"WARNING - no PRICE inserted",IF(H3970="free","FREE ~ no charge this plant",IF(H3970="credit",CONCATENATE("-$",ROUND(K3970*(1-_xlfn.SINGLE(T2GDiscount))*-1,2)," CREDIT after discount"),IF(_xlfn.SINGLE(T2GDiscount)=0,"",IF(G3970=0,"",IF(F3970="Buy",CONCATENATE("$",ROUND(K3970*(1-_xlfn.SINGLE(T2GDiscount)),2)," with ",(_xlfn.SINGLE(T2GDiscount)*100),"% discount"),CONCATENATE("$",ROUND(K3970*(1-_xlfn.SINGLE(T2GDiscount)),2)," with ",((_xlfn.SINGLE(T2GDiscount)*100+F3970*100)-(_xlfn.SINGLE(T2GDiscount)*100*F3970)),IF(F3970&gt;0,"% discounts",IF(_xlfn.SINGLE(NoWarrantyDiscount)&gt;0,"% discounts","% discount")))))))))</f>
        <v/>
      </c>
      <c r="N3970" s="690"/>
      <c r="O3970" s="486"/>
      <c r="P3970" s="486"/>
      <c r="Q3970" s="486"/>
      <c r="R3970" s="486"/>
      <c r="S3970" s="486"/>
      <c r="T3970" s="102">
        <f t="shared" si="2932"/>
        <v>0</v>
      </c>
      <c r="U3970" s="78">
        <f>IF(NOT(ISNUMBER(G3970)), "", VLOOKUP(A3970,'Discount Lookup'!D:E,2,FALSE)*G3970)</f>
        <v>0</v>
      </c>
      <c r="V3970" s="78">
        <f>IF(NOT(ISNUMBER(G3970)), "", VLOOKUP(A3970,'Discount Lookup'!G:H,2,FALSE)*G3970)</f>
        <v>0</v>
      </c>
      <c r="W3970" s="102">
        <f t="shared" si="2933"/>
        <v>0</v>
      </c>
      <c r="X3970" s="102">
        <f t="shared" si="2934"/>
        <v>0</v>
      </c>
      <c r="Y3970" s="120" t="b">
        <f t="shared" si="2935"/>
        <v>0</v>
      </c>
      <c r="Z3970" s="117">
        <f t="shared" si="2936"/>
        <v>0</v>
      </c>
      <c r="AA3970" s="118"/>
      <c r="AB3970" s="118" t="str">
        <f t="shared" si="2937"/>
        <v/>
      </c>
      <c r="AC3970" s="712" t="str">
        <f>IF(AE3970="T2G","no charge",IF(AND(OR(PlanterYesMe="No",PlanterYesMe="N",PlanterYesMe="me"),H3970=""),"",IF(H3970="credit","NO install",IF(AND(K3970="",AE3970="me"),"EACH row",IF(AND(K3970="images",AE3970="me"),"EACH row",IF(D3970="","",IF(H3970="credit","",IF(AE3970="free","re-planting",IF(AE3970="me","   not ELP, by",IF(AND(OR(PlanterYesMe="Yes",PlanterYesMe="Y"),G3970&gt;0),(VLOOKUP(A3970,'Discount Lookup'!J:K,2)*G3970*(1-PlanterDiscount)*(1+PlanterDifficultyPercentage)),IF(AE3970="ELP",(VLOOKUP(A3970,'Discount Lookup'!J:K,2)*G3970*(1-PlanterDiscount)*(1+PlanterDifficultyPercentage)),IF(AE3970="free","re-planting",IF(G3970=0,"",IF(PlanterYesMe="",IF(AE3970="me","   not ELP, by",IF(AE3970="",IF(G3970&gt;0,(VLOOKUP(A3970,'Discount Lookup'!J:K,2)*G3970*(1-PlanterDiscount)*(1+PlanterDifficultyPercentage)),""),"")),"   not ELP, by"))))))))))))))</f>
        <v/>
      </c>
      <c r="AD3970" s="712"/>
      <c r="AE3970" s="513" t="str">
        <f t="shared" si="2938"/>
        <v/>
      </c>
      <c r="AF3970" s="713" t="str">
        <f t="shared" si="2939"/>
        <v/>
      </c>
      <c r="AG3970" s="713"/>
      <c r="AH3970" s="713"/>
      <c r="AI3970" s="112">
        <f>IF(H3970="credit",0,IF(AE3970="free",0,IF(AE3970="me",0,IF(G3970&gt;0,(VLOOKUP(A3970,'Discount Lookup'!J:K,2)*G3970),0))))</f>
        <v>0</v>
      </c>
      <c r="AJ3970" s="107" t="str">
        <f t="shared" ca="1" si="2940"/>
        <v/>
      </c>
      <c r="AK3970" s="714" t="str">
        <f t="shared" si="2941"/>
        <v/>
      </c>
      <c r="AL3970" s="714"/>
      <c r="AM3970" s="114" t="str">
        <f t="shared" si="2942"/>
        <v/>
      </c>
      <c r="AN3970" s="115"/>
      <c r="AO3970" s="116"/>
      <c r="AP3970" s="116"/>
      <c r="AQ3970" s="116"/>
      <c r="AR3970" s="116"/>
      <c r="AS3970" s="116"/>
      <c r="AT3970" s="116"/>
      <c r="AU3970" s="116"/>
      <c r="AV3970" s="78"/>
      <c r="AW3970" s="102"/>
      <c r="AX3970" s="78"/>
      <c r="AY3970" s="78"/>
      <c r="AZ3970" s="78"/>
      <c r="BA3970" s="78"/>
      <c r="BB3970" s="78"/>
      <c r="BC3970" s="78"/>
      <c r="BD3970" s="78"/>
      <c r="BE3970" s="465"/>
      <c r="BF3970" s="165" t="str">
        <f t="shared" si="2943"/>
        <v>https://www.google.com/search?tbm=isch&amp;q=7%20G4</v>
      </c>
      <c r="BG3970" s="165" t="str">
        <f t="shared" si="2944"/>
        <v>S</v>
      </c>
      <c r="BH3970" s="65"/>
      <c r="BI3970" s="65"/>
      <c r="BJ3970" s="65"/>
      <c r="BK3970" s="65"/>
      <c r="BL3970" s="99"/>
      <c r="BM3970" s="99"/>
      <c r="BN3970" s="99"/>
    </row>
    <row r="3971" spans="1:66" s="51" customFormat="1" ht="17.25" thickBot="1" x14ac:dyDescent="0.3">
      <c r="A3971" s="641" t="s">
        <v>4289</v>
      </c>
      <c r="B3971" s="642"/>
      <c r="C3971" s="710"/>
      <c r="D3971" s="643"/>
      <c r="E3971" s="643"/>
      <c r="F3971" s="644"/>
      <c r="G3971" s="645"/>
      <c r="H3971" s="646"/>
      <c r="I3971" s="647"/>
      <c r="J3971" s="648"/>
      <c r="K3971" s="649"/>
      <c r="L3971" s="650"/>
      <c r="M3971" s="650"/>
      <c r="N3971" s="644"/>
      <c r="O3971" s="644"/>
      <c r="P3971" s="644"/>
      <c r="Q3971" s="644"/>
      <c r="R3971" s="644"/>
      <c r="S3971" s="651"/>
      <c r="T3971" s="102">
        <f t="shared" si="2932"/>
        <v>0</v>
      </c>
      <c r="U3971" s="78" t="str">
        <f>IF(NOT(ISNUMBER(G3971)), "", VLOOKUP(A3971,'Discount Lookup'!D:E,2,FALSE)*G3971)</f>
        <v/>
      </c>
      <c r="V3971" s="78" t="str">
        <f>IF(NOT(ISNUMBER(G3971)), "", VLOOKUP(A3971,'Discount Lookup'!G:H,2,FALSE)*G3971)</f>
        <v/>
      </c>
      <c r="W3971" s="102">
        <f t="shared" si="2933"/>
        <v>0</v>
      </c>
      <c r="X3971" s="102">
        <f t="shared" si="2934"/>
        <v>0</v>
      </c>
      <c r="Y3971" s="120" t="b">
        <f t="shared" si="2935"/>
        <v>0</v>
      </c>
      <c r="Z3971" s="117">
        <f t="shared" si="2936"/>
        <v>0</v>
      </c>
      <c r="AA3971" s="118"/>
      <c r="AB3971" s="118" t="str">
        <f t="shared" si="2937"/>
        <v/>
      </c>
      <c r="AC3971" s="712" t="str">
        <f>IF(AE3971="T2G","no charge",IF(AND(OR(PlanterYesMe="No",PlanterYesMe="N",PlanterYesMe="me"),H3971=""),"",IF(H3971="credit","NO install",IF(AND(K3971="",AE3971="me"),"EACH row",IF(AND(K3971="images",AE3971="me"),"EACH row",IF(D3971="","",IF(H3971="credit","",IF(AE3971="free","re-planting",IF(AE3971="me","   not ELP, by",IF(AND(OR(PlanterYesMe="Yes",PlanterYesMe="Y"),G3971&gt;0),(VLOOKUP(A3971,'Discount Lookup'!J:K,2)*G3971*(1-PlanterDiscount)*(1+PlanterDifficultyPercentage)),IF(AE3971="ELP",(VLOOKUP(A3971,'Discount Lookup'!J:K,2)*G3971*(1-PlanterDiscount)*(1+PlanterDifficultyPercentage)),IF(AE3971="free","re-planting",IF(G3971=0,"",IF(PlanterYesMe="",IF(AE3971="me","   not ELP, by",IF(AE3971="",IF(G3971&gt;0,(VLOOKUP(A3971,'Discount Lookup'!J:K,2)*G3971*(1-PlanterDiscount)*(1+PlanterDifficultyPercentage)),""),"")),"   not ELP, by"))))))))))))))</f>
        <v/>
      </c>
      <c r="AD3971" s="712"/>
      <c r="AE3971" s="513" t="str">
        <f t="shared" si="2938"/>
        <v/>
      </c>
      <c r="AF3971" s="713" t="str">
        <f t="shared" si="2939"/>
        <v/>
      </c>
      <c r="AG3971" s="713"/>
      <c r="AH3971" s="713"/>
      <c r="AI3971" s="112">
        <f>IF(H3971="credit",0,IF(AE3971="free",0,IF(AE3971="me",0,IF(G3971&gt;0,(VLOOKUP(A3971,'Discount Lookup'!J:K,2)*G3971),0))))</f>
        <v>0</v>
      </c>
      <c r="AJ3971" s="107" t="str">
        <f t="shared" ca="1" si="2940"/>
        <v/>
      </c>
      <c r="AK3971" s="714" t="str">
        <f t="shared" si="2941"/>
        <v/>
      </c>
      <c r="AL3971" s="714"/>
      <c r="AM3971" s="114" t="str">
        <f t="shared" si="2942"/>
        <v/>
      </c>
      <c r="AN3971" s="115"/>
      <c r="AO3971" s="116"/>
      <c r="AP3971" s="116"/>
      <c r="AQ3971" s="116"/>
      <c r="AR3971" s="116"/>
      <c r="AS3971" s="116"/>
      <c r="AT3971" s="116"/>
      <c r="AU3971" s="116"/>
      <c r="AV3971" s="78"/>
      <c r="AW3971" s="102"/>
      <c r="AX3971" s="78"/>
      <c r="AY3971" s="78"/>
      <c r="AZ3971" s="78"/>
      <c r="BA3971" s="78"/>
      <c r="BB3971" s="78"/>
      <c r="BC3971" s="78"/>
      <c r="BD3971" s="78"/>
      <c r="BE3971" s="465"/>
      <c r="BF3971" s="165" t="str">
        <f t="shared" si="2943"/>
        <v>https://www.google.com/search?tbm=isch&amp;q=Miss%20Kim%20dark%20green%20foliage%20turns%20burgundy%20in%20fall.%20Fragrant%20</v>
      </c>
      <c r="BG3971" s="165" t="str">
        <f t="shared" si="2944"/>
        <v>M</v>
      </c>
      <c r="BH3971" s="65"/>
      <c r="BI3971" s="65"/>
      <c r="BJ3971" s="65"/>
      <c r="BK3971" s="65"/>
      <c r="BL3971" s="99"/>
      <c r="BM3971" s="99"/>
      <c r="BN3971" s="99"/>
    </row>
    <row r="3972" spans="1:66" s="51" customFormat="1" ht="18" x14ac:dyDescent="0.25">
      <c r="A3972" s="623" t="s">
        <v>4290</v>
      </c>
      <c r="B3972" s="624"/>
      <c r="C3972" s="709"/>
      <c r="D3972" s="625" t="s">
        <v>5832</v>
      </c>
      <c r="E3972" s="626"/>
      <c r="F3972" s="626"/>
      <c r="G3972" s="626"/>
      <c r="H3972" s="622" t="s">
        <v>1124</v>
      </c>
      <c r="I3972" s="627" t="s">
        <v>4291</v>
      </c>
      <c r="J3972" s="628"/>
      <c r="K3972" s="628"/>
      <c r="L3972" s="629"/>
      <c r="M3972" s="700" t="s">
        <v>5241</v>
      </c>
      <c r="N3972" s="693" t="str">
        <f>IF(AND(ISTEXT($A3972), ISERROR($A3972+0)), HYPERLINK($BF3972, "Images"), "")</f>
        <v>Images</v>
      </c>
      <c r="O3972" s="695" t="s">
        <v>5247</v>
      </c>
      <c r="P3972" s="630"/>
      <c r="Q3972" s="631"/>
      <c r="R3972" s="632"/>
      <c r="S3972" s="633"/>
      <c r="T3972" s="102">
        <f t="shared" si="2932"/>
        <v>0</v>
      </c>
      <c r="U3972" s="78" t="str">
        <f>IF(NOT(ISNUMBER(G3972)), "", VLOOKUP(A3972,'Discount Lookup'!D:E,2,FALSE)*G3972)</f>
        <v/>
      </c>
      <c r="V3972" s="78" t="str">
        <f>IF(NOT(ISNUMBER(G3972)), "", VLOOKUP(A3972,'Discount Lookup'!G:H,2,FALSE)*G3972)</f>
        <v/>
      </c>
      <c r="W3972" s="102">
        <f t="shared" si="2933"/>
        <v>0</v>
      </c>
      <c r="X3972" s="102" t="str">
        <f t="shared" si="2934"/>
        <v>Soft Pink to Purple bloom</v>
      </c>
      <c r="Y3972" s="120" t="b">
        <f t="shared" si="2935"/>
        <v>0</v>
      </c>
      <c r="Z3972" s="117">
        <f t="shared" si="2936"/>
        <v>0</v>
      </c>
      <c r="AA3972" s="118"/>
      <c r="AB3972" s="118" t="str">
        <f t="shared" si="2937"/>
        <v/>
      </c>
      <c r="AC3972" s="712" t="str">
        <f>IF(AE3972="T2G","no charge",IF(AND(OR(PlanterYesMe="No",PlanterYesMe="N",PlanterYesMe="me"),H3972=""),"",IF(H3972="credit","NO install",IF(AND(K3972="",AE3972="me"),"EACH row",IF(AND(K3972="images",AE3972="me"),"EACH row",IF(D3972="","",IF(H3972="credit","",IF(AE3972="free","re-planting",IF(AE3972="me","   not ELP, by",IF(AND(OR(PlanterYesMe="Yes",PlanterYesMe="Y"),G3972&gt;0),(VLOOKUP(A3972,'Discount Lookup'!J:K,2)*G3972*(1-PlanterDiscount)*(1+PlanterDifficultyPercentage)),IF(AE3972="ELP",(VLOOKUP(A3972,'Discount Lookup'!J:K,2)*G3972*(1-PlanterDiscount)*(1+PlanterDifficultyPercentage)),IF(AE3972="free","re-planting",IF(G3972=0,"",IF(PlanterYesMe="",IF(AE3972="me","   not ELP, by",IF(AE3972="",IF(G3972&gt;0,(VLOOKUP(A3972,'Discount Lookup'!J:K,2)*G3972*(1-PlanterDiscount)*(1+PlanterDifficultyPercentage)),""),"")),"   not ELP, by"))))))))))))))</f>
        <v/>
      </c>
      <c r="AD3972" s="712"/>
      <c r="AE3972" s="513" t="str">
        <f t="shared" si="2938"/>
        <v/>
      </c>
      <c r="AF3972" s="713" t="str">
        <f t="shared" si="2939"/>
        <v/>
      </c>
      <c r="AG3972" s="713"/>
      <c r="AH3972" s="713"/>
      <c r="AI3972" s="112">
        <f>IF(H3972="credit",0,IF(AE3972="free",0,IF(AE3972="me",0,IF(G3972&gt;0,(VLOOKUP(A3972,'Discount Lookup'!J:K,2)*G3972),0))))</f>
        <v>0</v>
      </c>
      <c r="AJ3972" s="107" t="str">
        <f t="shared" ca="1" si="2940"/>
        <v/>
      </c>
      <c r="AK3972" s="714" t="str">
        <f t="shared" si="2941"/>
        <v/>
      </c>
      <c r="AL3972" s="714"/>
      <c r="AM3972" s="114" t="str">
        <f t="shared" si="2942"/>
        <v/>
      </c>
      <c r="AN3972" s="115"/>
      <c r="AO3972" s="116"/>
      <c r="AP3972" s="116"/>
      <c r="AQ3972" s="116"/>
      <c r="AR3972" s="116"/>
      <c r="AS3972" s="116"/>
      <c r="AT3972" s="116"/>
      <c r="AU3972" s="116"/>
      <c r="AV3972" s="78"/>
      <c r="AW3972" s="102"/>
      <c r="AX3972" s="78"/>
      <c r="AY3972" s="78"/>
      <c r="AZ3972" s="78"/>
      <c r="BA3972" s="78"/>
      <c r="BB3972" s="78"/>
      <c r="BC3972" s="78"/>
      <c r="BD3972" s="78"/>
      <c r="BE3972" s="465"/>
      <c r="BF3972" s="165" t="str">
        <f t="shared" si="2943"/>
        <v>https://www.google.com/search?tbm=isch&amp;q=Syringa%20%27SMNSPH%27%20PP%2335934%20Bloomerang%C2%AE%20Ballet%E2%84%A2%20Lilac</v>
      </c>
      <c r="BG3972" s="165" t="str">
        <f t="shared" si="2944"/>
        <v>S</v>
      </c>
      <c r="BH3972" s="65"/>
      <c r="BI3972" s="65"/>
      <c r="BJ3972" s="65"/>
      <c r="BK3972" s="65"/>
      <c r="BL3972" s="99"/>
      <c r="BM3972" s="99"/>
      <c r="BN3972" s="99"/>
    </row>
    <row r="3973" spans="1:66" s="51" customFormat="1" ht="15.75" x14ac:dyDescent="0.25">
      <c r="A3973" s="634">
        <v>3</v>
      </c>
      <c r="B3973" s="635" t="s">
        <v>291</v>
      </c>
      <c r="C3973" s="636" t="s">
        <v>4655</v>
      </c>
      <c r="D3973" s="637" t="s">
        <v>329</v>
      </c>
      <c r="E3973" s="638">
        <v>42.95</v>
      </c>
      <c r="F3973" s="639" t="s">
        <v>292</v>
      </c>
      <c r="G3973" s="484">
        <v>0</v>
      </c>
      <c r="H3973" s="691" t="str">
        <f>IF(G3973=0,"",IF(F3973="Buy",IF(G3973=1,"plant","plants"),IF(F3973&gt;0.01,"warranty","Error")))</f>
        <v/>
      </c>
      <c r="I3973" s="640">
        <f>IF(H3973="free",0,IF(H3973="credit",((E3973*(F3973))*G3973*-1),IF(F3973="Buy",(E3973*G3973),((E3973*(1-F3973))*G3973))))</f>
        <v>0</v>
      </c>
      <c r="J3973" s="640">
        <f>IF(H3973="warranty",0,(I3973*(_xlfn.SINGLE(SalesTaxPercentage))))</f>
        <v>0</v>
      </c>
      <c r="K3973" s="716">
        <f t="shared" ref="K3973" si="2967">I3973+J3973</f>
        <v>0</v>
      </c>
      <c r="L3973" s="716"/>
      <c r="M3973" s="689" t="str">
        <f ca="1">IF(AND(G3973&gt;0,E3973=0),"WARNING - no PRICE inserted",IF(H3973="free","FREE ~ no charge this plant",IF(H3973="credit",CONCATENATE("-$",ROUND(K3973*(1-_xlfn.SINGLE(T2GDiscount))*-1,2)," CREDIT after discount"),IF(_xlfn.SINGLE(T2GDiscount)=0,"",IF(G3973=0,"",IF(F3973="Buy",CONCATENATE("$",ROUND(K3973*(1-_xlfn.SINGLE(T2GDiscount)),2)," with ",(_xlfn.SINGLE(T2GDiscount)*100),"% discount"),CONCATENATE("$",ROUND(K3973*(1-_xlfn.SINGLE(T2GDiscount)),2)," with ",((_xlfn.SINGLE(T2GDiscount)*100+F3973*100)-(_xlfn.SINGLE(T2GDiscount)*100*F3973)),IF(F3973&gt;0,"% discounts",IF(_xlfn.SINGLE(NoWarrantyDiscount)&gt;0,"% discounts","% discount")))))))))</f>
        <v/>
      </c>
      <c r="N3973" s="690"/>
      <c r="O3973" s="486"/>
      <c r="P3973" s="486"/>
      <c r="Q3973" s="486"/>
      <c r="R3973" s="486"/>
      <c r="S3973" s="486"/>
      <c r="T3973" s="102">
        <f t="shared" si="2932"/>
        <v>0</v>
      </c>
      <c r="U3973" s="78">
        <f>IF(NOT(ISNUMBER(G3973)), "", VLOOKUP(A3973,'Discount Lookup'!D:E,2,FALSE)*G3973)</f>
        <v>0</v>
      </c>
      <c r="V3973" s="78">
        <f>IF(NOT(ISNUMBER(G3973)), "", VLOOKUP(A3973,'Discount Lookup'!G:H,2,FALSE)*G3973)</f>
        <v>0</v>
      </c>
      <c r="W3973" s="102">
        <f t="shared" si="2933"/>
        <v>0</v>
      </c>
      <c r="X3973" s="102">
        <f t="shared" si="2934"/>
        <v>0</v>
      </c>
      <c r="Y3973" s="120" t="b">
        <f t="shared" si="2935"/>
        <v>0</v>
      </c>
      <c r="Z3973" s="117">
        <f t="shared" si="2936"/>
        <v>0</v>
      </c>
      <c r="AA3973" s="118"/>
      <c r="AB3973" s="118" t="str">
        <f t="shared" si="2937"/>
        <v/>
      </c>
      <c r="AC3973" s="712" t="str">
        <f>IF(AE3973="T2G","no charge",IF(AND(OR(PlanterYesMe="No",PlanterYesMe="N",PlanterYesMe="me"),H3973=""),"",IF(H3973="credit","NO install",IF(AND(K3973="",AE3973="me"),"EACH row",IF(AND(K3973="images",AE3973="me"),"EACH row",IF(D3973="","",IF(H3973="credit","",IF(AE3973="free","re-planting",IF(AE3973="me","   not ELP, by",IF(AND(OR(PlanterYesMe="Yes",PlanterYesMe="Y"),G3973&gt;0),(VLOOKUP(A3973,'Discount Lookup'!J:K,2)*G3973*(1-PlanterDiscount)*(1+PlanterDifficultyPercentage)),IF(AE3973="ELP",(VLOOKUP(A3973,'Discount Lookup'!J:K,2)*G3973*(1-PlanterDiscount)*(1+PlanterDifficultyPercentage)),IF(AE3973="free","re-planting",IF(G3973=0,"",IF(PlanterYesMe="",IF(AE3973="me","   not ELP, by",IF(AE3973="",IF(G3973&gt;0,(VLOOKUP(A3973,'Discount Lookup'!J:K,2)*G3973*(1-PlanterDiscount)*(1+PlanterDifficultyPercentage)),""),"")),"   not ELP, by"))))))))))))))</f>
        <v/>
      </c>
      <c r="AD3973" s="712"/>
      <c r="AE3973" s="513" t="str">
        <f t="shared" si="2938"/>
        <v/>
      </c>
      <c r="AF3973" s="713" t="str">
        <f t="shared" si="2939"/>
        <v/>
      </c>
      <c r="AG3973" s="713"/>
      <c r="AH3973" s="713"/>
      <c r="AI3973" s="112">
        <f>IF(H3973="credit",0,IF(AE3973="free",0,IF(AE3973="me",0,IF(G3973&gt;0,(VLOOKUP(A3973,'Discount Lookup'!J:K,2)*G3973),0))))</f>
        <v>0</v>
      </c>
      <c r="AJ3973" s="107" t="str">
        <f t="shared" ca="1" si="2940"/>
        <v/>
      </c>
      <c r="AK3973" s="714" t="str">
        <f t="shared" si="2941"/>
        <v/>
      </c>
      <c r="AL3973" s="714"/>
      <c r="AM3973" s="114" t="str">
        <f t="shared" si="2942"/>
        <v/>
      </c>
      <c r="AN3973" s="115"/>
      <c r="AO3973" s="116"/>
      <c r="AP3973" s="116"/>
      <c r="AQ3973" s="116"/>
      <c r="AR3973" s="116"/>
      <c r="AS3973" s="116"/>
      <c r="AT3973" s="116"/>
      <c r="AU3973" s="116"/>
      <c r="AV3973" s="78"/>
      <c r="AW3973" s="102"/>
      <c r="AX3973" s="78"/>
      <c r="AY3973" s="78"/>
      <c r="AZ3973" s="78"/>
      <c r="BA3973" s="78"/>
      <c r="BB3973" s="78"/>
      <c r="BC3973" s="78"/>
      <c r="BD3973" s="78"/>
      <c r="BE3973" s="465"/>
      <c r="BF3973" s="165" t="str">
        <f t="shared" si="2943"/>
        <v>https://www.google.com/search?tbm=isch&amp;q=3%20G2</v>
      </c>
      <c r="BG3973" s="165" t="str">
        <f t="shared" si="2944"/>
        <v>S</v>
      </c>
      <c r="BH3973" s="65"/>
      <c r="BI3973" s="65"/>
      <c r="BJ3973" s="65"/>
      <c r="BK3973" s="65"/>
      <c r="BL3973" s="99"/>
      <c r="BM3973" s="99"/>
      <c r="BN3973" s="99"/>
    </row>
    <row r="3974" spans="1:66" s="51" customFormat="1" ht="16.5" x14ac:dyDescent="0.25">
      <c r="A3974" s="641" t="s">
        <v>4292</v>
      </c>
      <c r="B3974" s="642"/>
      <c r="C3974" s="710"/>
      <c r="D3974" s="643"/>
      <c r="E3974" s="643"/>
      <c r="F3974" s="644"/>
      <c r="G3974" s="645"/>
      <c r="H3974" s="646"/>
      <c r="I3974" s="647"/>
      <c r="J3974" s="648"/>
      <c r="K3974" s="649"/>
      <c r="L3974" s="650"/>
      <c r="M3974" s="650"/>
      <c r="N3974" s="644"/>
      <c r="O3974" s="644"/>
      <c r="P3974" s="644"/>
      <c r="Q3974" s="644"/>
      <c r="R3974" s="644"/>
      <c r="S3974" s="701" t="s">
        <v>5271</v>
      </c>
      <c r="T3974" s="102">
        <f t="shared" si="2932"/>
        <v>0</v>
      </c>
      <c r="U3974" s="78" t="str">
        <f>IF(NOT(ISNUMBER(G3974)), "", VLOOKUP(A3974,'Discount Lookup'!D:E,2,FALSE)*G3974)</f>
        <v/>
      </c>
      <c r="V3974" s="78" t="str">
        <f>IF(NOT(ISNUMBER(G3974)), "", VLOOKUP(A3974,'Discount Lookup'!G:H,2,FALSE)*G3974)</f>
        <v/>
      </c>
      <c r="W3974" s="102">
        <f t="shared" si="2933"/>
        <v>0</v>
      </c>
      <c r="X3974" s="102">
        <f t="shared" si="2934"/>
        <v>0</v>
      </c>
      <c r="Y3974" s="120" t="b">
        <f t="shared" si="2935"/>
        <v>0</v>
      </c>
      <c r="Z3974" s="117">
        <f t="shared" si="2936"/>
        <v>0</v>
      </c>
      <c r="AA3974" s="118"/>
      <c r="AB3974" s="118" t="str">
        <f t="shared" si="2937"/>
        <v/>
      </c>
      <c r="AC3974" s="712" t="str">
        <f>IF(AE3974="T2G","no charge",IF(AND(OR(PlanterYesMe="No",PlanterYesMe="N",PlanterYesMe="me"),H3974=""),"",IF(H3974="credit","NO install",IF(AND(K3974="",AE3974="me"),"EACH row",IF(AND(K3974="images",AE3974="me"),"EACH row",IF(D3974="","",IF(H3974="credit","",IF(AE3974="free","re-planting",IF(AE3974="me","   not ELP, by",IF(AND(OR(PlanterYesMe="Yes",PlanterYesMe="Y"),G3974&gt;0),(VLOOKUP(A3974,'Discount Lookup'!J:K,2)*G3974*(1-PlanterDiscount)*(1+PlanterDifficultyPercentage)),IF(AE3974="ELP",(VLOOKUP(A3974,'Discount Lookup'!J:K,2)*G3974*(1-PlanterDiscount)*(1+PlanterDifficultyPercentage)),IF(AE3974="free","re-planting",IF(G3974=0,"",IF(PlanterYesMe="",IF(AE3974="me","   not ELP, by",IF(AE3974="",IF(G3974&gt;0,(VLOOKUP(A3974,'Discount Lookup'!J:K,2)*G3974*(1-PlanterDiscount)*(1+PlanterDifficultyPercentage)),""),"")),"   not ELP, by"))))))))))))))</f>
        <v/>
      </c>
      <c r="AD3974" s="712"/>
      <c r="AE3974" s="513" t="str">
        <f t="shared" si="2938"/>
        <v/>
      </c>
      <c r="AF3974" s="713" t="str">
        <f t="shared" si="2939"/>
        <v/>
      </c>
      <c r="AG3974" s="713"/>
      <c r="AH3974" s="713"/>
      <c r="AI3974" s="112">
        <f>IF(H3974="credit",0,IF(AE3974="free",0,IF(AE3974="me",0,IF(G3974&gt;0,(VLOOKUP(A3974,'Discount Lookup'!J:K,2)*G3974),0))))</f>
        <v>0</v>
      </c>
      <c r="AJ3974" s="107" t="str">
        <f t="shared" ca="1" si="2940"/>
        <v/>
      </c>
      <c r="AK3974" s="714" t="str">
        <f t="shared" si="2941"/>
        <v/>
      </c>
      <c r="AL3974" s="714"/>
      <c r="AM3974" s="114" t="str">
        <f t="shared" si="2942"/>
        <v/>
      </c>
      <c r="AN3974" s="115"/>
      <c r="AO3974" s="116"/>
      <c r="AP3974" s="116"/>
      <c r="AQ3974" s="116"/>
      <c r="AR3974" s="116"/>
      <c r="AS3974" s="116"/>
      <c r="AT3974" s="116"/>
      <c r="AU3974" s="116"/>
      <c r="AV3974" s="78"/>
      <c r="AW3974" s="102"/>
      <c r="AX3974" s="78"/>
      <c r="AY3974" s="78"/>
      <c r="AZ3974" s="78"/>
      <c r="BA3974" s="78"/>
      <c r="BB3974" s="78"/>
      <c r="BC3974" s="78"/>
      <c r="BD3974" s="78"/>
      <c r="BE3974" s="465"/>
      <c r="BF3974" s="165" t="str">
        <f t="shared" si="2943"/>
        <v>https://www.google.com/search?tbm=isch&amp;q=Ballet%20is%20intensely%20fragrant%2C%20one%20of%20the%20strongest%20rebloomers%2C%20with%20flowers%20on%20old%20and%20new%20wood.%20Green%20foliage%20to%20leaf%20drop%20</v>
      </c>
      <c r="BG3974" s="165" t="str">
        <f t="shared" si="2944"/>
        <v>B</v>
      </c>
      <c r="BH3974" s="65"/>
      <c r="BI3974" s="65"/>
      <c r="BJ3974" s="65"/>
      <c r="BK3974" s="65"/>
      <c r="BL3974" s="99"/>
      <c r="BM3974" s="99"/>
      <c r="BN3974" s="99"/>
    </row>
    <row r="3975" spans="1:66" s="51" customFormat="1" ht="55.5" x14ac:dyDescent="0.25">
      <c r="A3975" s="520" t="s">
        <v>744</v>
      </c>
      <c r="B3975" s="501"/>
      <c r="C3975" s="502"/>
      <c r="D3975" s="502"/>
      <c r="E3975" s="502"/>
      <c r="F3975" s="502"/>
      <c r="G3975" s="502"/>
      <c r="H3975" s="502"/>
      <c r="I3975" s="502"/>
      <c r="J3975" s="502"/>
      <c r="K3975" s="509" t="s">
        <v>871</v>
      </c>
      <c r="L3975" s="503"/>
      <c r="M3975" s="563"/>
      <c r="N3975" s="504"/>
      <c r="O3975" s="504"/>
      <c r="P3975" s="504"/>
      <c r="Q3975" s="504"/>
      <c r="R3975" s="504"/>
      <c r="S3975" s="511" t="s">
        <v>1546</v>
      </c>
      <c r="T3975" s="102">
        <f t="shared" si="2932"/>
        <v>0</v>
      </c>
      <c r="U3975" s="78" t="str">
        <f>IF(NOT(ISNUMBER(G3975)), "", VLOOKUP(A3975,'Discount Lookup'!D:E,2,FALSE)*G3975)</f>
        <v/>
      </c>
      <c r="V3975" s="78" t="str">
        <f>IF(NOT(ISNUMBER(G3975)), "", VLOOKUP(A3975,'Discount Lookup'!G:H,2,FALSE)*G3975)</f>
        <v/>
      </c>
      <c r="W3975" s="102">
        <f t="shared" si="2933"/>
        <v>0</v>
      </c>
      <c r="X3975" s="102">
        <f t="shared" si="2934"/>
        <v>0</v>
      </c>
      <c r="Y3975" s="120" t="b">
        <f t="shared" si="2935"/>
        <v>0</v>
      </c>
      <c r="Z3975" s="117">
        <f t="shared" si="2936"/>
        <v>0</v>
      </c>
      <c r="AA3975" s="118"/>
      <c r="AB3975" s="118" t="str">
        <f t="shared" si="2937"/>
        <v/>
      </c>
      <c r="AC3975" s="712" t="str">
        <f>IF(AE3975="T2G","no charge",IF(AND(OR(PlanterYesMe="No",PlanterYesMe="N",PlanterYesMe="me"),H3975=""),"",IF(H3975="credit","NO install",IF(AND(K3975="",AE3975="me"),"EACH row",IF(AND(K3975="images",AE3975="me"),"EACH row",IF(D3975="","",IF(H3975="credit","",IF(AE3975="free","re-planting",IF(AE3975="me","   not ELP, by",IF(AND(OR(PlanterYesMe="Yes",PlanterYesMe="Y"),G3975&gt;0),(VLOOKUP(A3975,'Discount Lookup'!J:K,2)*G3975*(1-PlanterDiscount)*(1+PlanterDifficultyPercentage)),IF(AE3975="ELP",(VLOOKUP(A3975,'Discount Lookup'!J:K,2)*G3975*(1-PlanterDiscount)*(1+PlanterDifficultyPercentage)),IF(AE3975="free","re-planting",IF(G3975=0,"",IF(PlanterYesMe="",IF(AE3975="me","   not ELP, by",IF(AE3975="",IF(G3975&gt;0,(VLOOKUP(A3975,'Discount Lookup'!J:K,2)*G3975*(1-PlanterDiscount)*(1+PlanterDifficultyPercentage)),""),"")),"   not ELP, by"))))))))))))))</f>
        <v/>
      </c>
      <c r="AD3975" s="712"/>
      <c r="AE3975" s="513" t="str">
        <f t="shared" si="2938"/>
        <v/>
      </c>
      <c r="AF3975" s="713" t="str">
        <f t="shared" si="2939"/>
        <v/>
      </c>
      <c r="AG3975" s="713"/>
      <c r="AH3975" s="713"/>
      <c r="AI3975" s="112">
        <f>IF(H3975="credit",0,IF(AE3975="free",0,IF(AE3975="me",0,IF(G3975&gt;0,(VLOOKUP(A3975,'Discount Lookup'!J:K,2)*G3975),0))))</f>
        <v>0</v>
      </c>
      <c r="AJ3975" s="107" t="str">
        <f t="shared" ca="1" si="2940"/>
        <v/>
      </c>
      <c r="AK3975" s="714" t="str">
        <f t="shared" si="2941"/>
        <v/>
      </c>
      <c r="AL3975" s="714"/>
      <c r="AM3975" s="114" t="str">
        <f t="shared" si="2942"/>
        <v/>
      </c>
      <c r="AN3975" s="115"/>
      <c r="AO3975" s="116"/>
      <c r="AP3975" s="116"/>
      <c r="AQ3975" s="116"/>
      <c r="AR3975" s="116"/>
      <c r="AS3975" s="116"/>
      <c r="AT3975" s="116"/>
      <c r="AU3975" s="116"/>
      <c r="AV3975" s="78"/>
      <c r="AW3975" s="102"/>
      <c r="AX3975" s="78"/>
      <c r="AY3975" s="78"/>
      <c r="AZ3975" s="78"/>
      <c r="BA3975" s="78"/>
      <c r="BB3975" s="78"/>
      <c r="BC3975" s="78"/>
      <c r="BD3975" s="78"/>
      <c r="BE3975" s="465"/>
      <c r="BF3975" s="165" t="str">
        <f t="shared" si="2943"/>
        <v>https://www.google.com/search?tbm=isch&amp;q=T%20</v>
      </c>
      <c r="BG3975" s="165" t="str">
        <f t="shared" si="2944"/>
        <v>T</v>
      </c>
      <c r="BH3975" s="65"/>
      <c r="BI3975" s="65"/>
      <c r="BJ3975" s="65"/>
      <c r="BK3975" s="65"/>
      <c r="BL3975" s="99"/>
      <c r="BM3975" s="99"/>
      <c r="BN3975" s="99"/>
    </row>
    <row r="3976" spans="1:66" s="51" customFormat="1" ht="19.5" thickBot="1" x14ac:dyDescent="0.3">
      <c r="A3976" s="686" t="s">
        <v>745</v>
      </c>
      <c r="B3976" s="73"/>
      <c r="C3976" s="708"/>
      <c r="D3976" s="73"/>
      <c r="E3976" s="73"/>
      <c r="F3976" s="496"/>
      <c r="G3976" s="73"/>
      <c r="H3976" s="73"/>
      <c r="I3976" s="73"/>
      <c r="J3976" s="497" t="s">
        <v>357</v>
      </c>
      <c r="K3976" s="498"/>
      <c r="L3976" s="562"/>
      <c r="M3976" s="73"/>
      <c r="N3976"/>
      <c r="O3976"/>
      <c r="P3976"/>
      <c r="Q3976"/>
      <c r="R3976"/>
      <c r="S3976"/>
      <c r="T3976" s="102">
        <f t="shared" si="2932"/>
        <v>0</v>
      </c>
      <c r="U3976" s="78" t="str">
        <f>IF(NOT(ISNUMBER(G3976)), "", VLOOKUP(A3976,'Discount Lookup'!D:E,2,FALSE)*G3976)</f>
        <v/>
      </c>
      <c r="V3976" s="78" t="str">
        <f>IF(NOT(ISNUMBER(G3976)), "", VLOOKUP(A3976,'Discount Lookup'!G:H,2,FALSE)*G3976)</f>
        <v/>
      </c>
      <c r="W3976" s="102">
        <f t="shared" si="2933"/>
        <v>0</v>
      </c>
      <c r="X3976" s="102">
        <f t="shared" si="2934"/>
        <v>0</v>
      </c>
      <c r="Y3976" s="120" t="b">
        <f t="shared" si="2935"/>
        <v>0</v>
      </c>
      <c r="Z3976" s="117">
        <f t="shared" si="2936"/>
        <v>0</v>
      </c>
      <c r="AA3976" s="118"/>
      <c r="AB3976" s="118" t="str">
        <f t="shared" si="2937"/>
        <v/>
      </c>
      <c r="AC3976" s="712" t="str">
        <f>IF(AE3976="T2G","no charge",IF(AND(OR(PlanterYesMe="No",PlanterYesMe="N",PlanterYesMe="me"),H3976=""),"",IF(H3976="credit","NO install",IF(AND(K3976="",AE3976="me"),"EACH row",IF(AND(K3976="images",AE3976="me"),"EACH row",IF(D3976="","",IF(H3976="credit","",IF(AE3976="free","re-planting",IF(AE3976="me","   not ELP, by",IF(AND(OR(PlanterYesMe="Yes",PlanterYesMe="Y"),G3976&gt;0),(VLOOKUP(A3976,'Discount Lookup'!J:K,2)*G3976*(1-PlanterDiscount)*(1+PlanterDifficultyPercentage)),IF(AE3976="ELP",(VLOOKUP(A3976,'Discount Lookup'!J:K,2)*G3976*(1-PlanterDiscount)*(1+PlanterDifficultyPercentage)),IF(AE3976="free","re-planting",IF(G3976=0,"",IF(PlanterYesMe="",IF(AE3976="me","   not ELP, by",IF(AE3976="",IF(G3976&gt;0,(VLOOKUP(A3976,'Discount Lookup'!J:K,2)*G3976*(1-PlanterDiscount)*(1+PlanterDifficultyPercentage)),""),"")),"   not ELP, by"))))))))))))))</f>
        <v/>
      </c>
      <c r="AD3976" s="712"/>
      <c r="AE3976" s="513" t="str">
        <f t="shared" si="2938"/>
        <v/>
      </c>
      <c r="AF3976" s="713" t="str">
        <f t="shared" si="2939"/>
        <v/>
      </c>
      <c r="AG3976" s="713"/>
      <c r="AH3976" s="713"/>
      <c r="AI3976" s="112">
        <f>IF(H3976="credit",0,IF(AE3976="free",0,IF(AE3976="me",0,IF(G3976&gt;0,(VLOOKUP(A3976,'Discount Lookup'!J:K,2)*G3976),0))))</f>
        <v>0</v>
      </c>
      <c r="AJ3976" s="107" t="str">
        <f t="shared" ca="1" si="2940"/>
        <v/>
      </c>
      <c r="AK3976" s="714" t="str">
        <f t="shared" si="2941"/>
        <v/>
      </c>
      <c r="AL3976" s="714"/>
      <c r="AM3976" s="114" t="str">
        <f t="shared" si="2942"/>
        <v/>
      </c>
      <c r="AN3976" s="115"/>
      <c r="AO3976" s="116"/>
      <c r="AP3976" s="116"/>
      <c r="AQ3976" s="116"/>
      <c r="AR3976" s="116"/>
      <c r="AS3976" s="116"/>
      <c r="AT3976" s="116"/>
      <c r="AU3976" s="116"/>
      <c r="AV3976" s="78"/>
      <c r="AW3976" s="102"/>
      <c r="AX3976" s="78"/>
      <c r="AY3976" s="78"/>
      <c r="AZ3976" s="78"/>
      <c r="BA3976" s="78"/>
      <c r="BB3976" s="78"/>
      <c r="BC3976" s="78"/>
      <c r="BD3976" s="78"/>
      <c r="BE3976" s="465"/>
      <c r="BF3976" s="165" t="str">
        <f t="shared" si="2943"/>
        <v>https://www.google.com/search?tbm=isch&amp;q=Taxodium%20%3D%20Cypress%20</v>
      </c>
      <c r="BG3976" s="165" t="str">
        <f t="shared" si="2944"/>
        <v>T</v>
      </c>
      <c r="BH3976" s="65"/>
      <c r="BI3976" s="65"/>
      <c r="BJ3976" s="65"/>
      <c r="BK3976" s="65"/>
      <c r="BL3976" s="99"/>
      <c r="BM3976" s="99"/>
      <c r="BN3976" s="99"/>
    </row>
    <row r="3977" spans="1:66" s="51" customFormat="1" ht="18" x14ac:dyDescent="0.25">
      <c r="A3977" s="623" t="s">
        <v>4293</v>
      </c>
      <c r="B3977" s="624"/>
      <c r="C3977" s="709"/>
      <c r="D3977" s="625" t="s">
        <v>5833</v>
      </c>
      <c r="E3977" s="626"/>
      <c r="F3977" s="626"/>
      <c r="G3977" s="626"/>
      <c r="H3977" s="622" t="s">
        <v>737</v>
      </c>
      <c r="I3977" s="627" t="s">
        <v>433</v>
      </c>
      <c r="J3977" s="628"/>
      <c r="K3977" s="628"/>
      <c r="L3977" s="629"/>
      <c r="M3977" s="700" t="s">
        <v>5241</v>
      </c>
      <c r="N3977" s="693" t="str">
        <f>IF(AND(ISTEXT($A3977), ISERROR($A3977+0)), HYPERLINK($BF3977, "Images"), "")</f>
        <v>Images</v>
      </c>
      <c r="O3977" s="695" t="s">
        <v>5244</v>
      </c>
      <c r="P3977" s="630"/>
      <c r="Q3977" s="631"/>
      <c r="R3977" s="632"/>
      <c r="S3977" s="633" t="s">
        <v>294</v>
      </c>
      <c r="T3977" s="102">
        <f t="shared" si="2932"/>
        <v>0</v>
      </c>
      <c r="U3977" s="78" t="str">
        <f>IF(NOT(ISNUMBER(G3977)), "", VLOOKUP(A3977,'Discount Lookup'!D:E,2,FALSE)*G3977)</f>
        <v/>
      </c>
      <c r="V3977" s="78" t="str">
        <f>IF(NOT(ISNUMBER(G3977)), "", VLOOKUP(A3977,'Discount Lookup'!G:H,2,FALSE)*G3977)</f>
        <v/>
      </c>
      <c r="W3977" s="102">
        <f t="shared" si="2933"/>
        <v>0</v>
      </c>
      <c r="X3977" s="102" t="str">
        <f t="shared" si="2934"/>
        <v>Bright Green foliage</v>
      </c>
      <c r="Y3977" s="120" t="b">
        <f t="shared" si="2935"/>
        <v>0</v>
      </c>
      <c r="Z3977" s="117">
        <f t="shared" si="2936"/>
        <v>0</v>
      </c>
      <c r="AA3977" s="118"/>
      <c r="AB3977" s="118" t="str">
        <f t="shared" si="2937"/>
        <v/>
      </c>
      <c r="AC3977" s="712" t="str">
        <f>IF(AE3977="T2G","no charge",IF(AND(OR(PlanterYesMe="No",PlanterYesMe="N",PlanterYesMe="me"),H3977=""),"",IF(H3977="credit","NO install",IF(AND(K3977="",AE3977="me"),"EACH row",IF(AND(K3977="images",AE3977="me"),"EACH row",IF(D3977="","",IF(H3977="credit","",IF(AE3977="free","re-planting",IF(AE3977="me","   not ELP, by",IF(AND(OR(PlanterYesMe="Yes",PlanterYesMe="Y"),G3977&gt;0),(VLOOKUP(A3977,'Discount Lookup'!J:K,2)*G3977*(1-PlanterDiscount)*(1+PlanterDifficultyPercentage)),IF(AE3977="ELP",(VLOOKUP(A3977,'Discount Lookup'!J:K,2)*G3977*(1-PlanterDiscount)*(1+PlanterDifficultyPercentage)),IF(AE3977="free","re-planting",IF(G3977=0,"",IF(PlanterYesMe="",IF(AE3977="me","   not ELP, by",IF(AE3977="",IF(G3977&gt;0,(VLOOKUP(A3977,'Discount Lookup'!J:K,2)*G3977*(1-PlanterDiscount)*(1+PlanterDifficultyPercentage)),""),"")),"   not ELP, by"))))))))))))))</f>
        <v/>
      </c>
      <c r="AD3977" s="712"/>
      <c r="AE3977" s="513" t="str">
        <f t="shared" si="2938"/>
        <v/>
      </c>
      <c r="AF3977" s="713" t="str">
        <f t="shared" si="2939"/>
        <v/>
      </c>
      <c r="AG3977" s="713"/>
      <c r="AH3977" s="713"/>
      <c r="AI3977" s="112">
        <f>IF(H3977="credit",0,IF(AE3977="free",0,IF(AE3977="me",0,IF(G3977&gt;0,(VLOOKUP(A3977,'Discount Lookup'!J:K,2)*G3977),0))))</f>
        <v>0</v>
      </c>
      <c r="AJ3977" s="107" t="str">
        <f t="shared" ca="1" si="2940"/>
        <v/>
      </c>
      <c r="AK3977" s="714" t="str">
        <f t="shared" si="2941"/>
        <v/>
      </c>
      <c r="AL3977" s="714"/>
      <c r="AM3977" s="114" t="str">
        <f t="shared" si="2942"/>
        <v/>
      </c>
      <c r="AN3977" s="115"/>
      <c r="AO3977" s="116"/>
      <c r="AP3977" s="116"/>
      <c r="AQ3977" s="116"/>
      <c r="AR3977" s="116"/>
      <c r="AS3977" s="116"/>
      <c r="AT3977" s="116"/>
      <c r="AU3977" s="116"/>
      <c r="AV3977" s="78"/>
      <c r="AW3977" s="102"/>
      <c r="AX3977" s="78"/>
      <c r="AY3977" s="78"/>
      <c r="AZ3977" s="78"/>
      <c r="BA3977" s="78"/>
      <c r="BB3977" s="78"/>
      <c r="BC3977" s="78"/>
      <c r="BD3977" s="78"/>
      <c r="BE3977" s="465"/>
      <c r="BF3977" s="165" t="str">
        <f t="shared" si="2943"/>
        <v>https://www.google.com/search?tbm=isch&amp;q=Taxodium%20ascendens%20%27Debonair%27%20Debonair%C2%AE%20Pond%20Cypress</v>
      </c>
      <c r="BG3977" s="165" t="str">
        <f t="shared" si="2944"/>
        <v>T</v>
      </c>
      <c r="BH3977" s="65"/>
      <c r="BI3977" s="65"/>
      <c r="BJ3977" s="65"/>
      <c r="BK3977" s="65"/>
      <c r="BL3977" s="99"/>
      <c r="BM3977" s="99"/>
      <c r="BN3977" s="99"/>
    </row>
    <row r="3978" spans="1:66" s="51" customFormat="1" ht="15.75" x14ac:dyDescent="0.25">
      <c r="A3978" s="634">
        <v>15</v>
      </c>
      <c r="B3978" s="635" t="s">
        <v>291</v>
      </c>
      <c r="C3978" s="636" t="s">
        <v>4294</v>
      </c>
      <c r="D3978" s="637" t="s">
        <v>299</v>
      </c>
      <c r="E3978" s="638">
        <v>183.95</v>
      </c>
      <c r="F3978" s="639" t="s">
        <v>292</v>
      </c>
      <c r="G3978" s="484">
        <v>0</v>
      </c>
      <c r="H3978" s="691" t="str">
        <f>IF(G3978=0,"",IF(F3978="Buy",IF(G3978=1,"plant","plants"),IF(F3978&gt;0.01,"warranty","Error")))</f>
        <v/>
      </c>
      <c r="I3978" s="640">
        <f>IF(H3978="free",0,IF(H3978="credit",((E3978*(F3978))*G3978*-1),IF(F3978="Buy",(E3978*G3978),((E3978*(1-F3978))*G3978))))</f>
        <v>0</v>
      </c>
      <c r="J3978" s="640">
        <f>IF(H3978="warranty",0,(I3978*(_xlfn.SINGLE(SalesTaxPercentage))))</f>
        <v>0</v>
      </c>
      <c r="K3978" s="716">
        <f t="shared" ref="K3978" si="2968">I3978+J3978</f>
        <v>0</v>
      </c>
      <c r="L3978" s="716"/>
      <c r="M3978" s="689" t="str">
        <f ca="1">IF(AND(G3978&gt;0,E3978=0),"WARNING - no PRICE inserted",IF(H3978="free","FREE ~ no charge this plant",IF(H3978="credit",CONCATENATE("-$",ROUND(K3978*(1-_xlfn.SINGLE(T2GDiscount))*-1,2)," CREDIT after discount"),IF(_xlfn.SINGLE(T2GDiscount)=0,"",IF(G3978=0,"",IF(F3978="Buy",CONCATENATE("$",ROUND(K3978*(1-_xlfn.SINGLE(T2GDiscount)),2)," with ",(_xlfn.SINGLE(T2GDiscount)*100),"% discount"),CONCATENATE("$",ROUND(K3978*(1-_xlfn.SINGLE(T2GDiscount)),2)," with ",((_xlfn.SINGLE(T2GDiscount)*100+F3978*100)-(_xlfn.SINGLE(T2GDiscount)*100*F3978)),IF(F3978&gt;0,"% discounts",IF(_xlfn.SINGLE(NoWarrantyDiscount)&gt;0,"% discounts","% discount")))))))))</f>
        <v/>
      </c>
      <c r="N3978" s="690"/>
      <c r="O3978" s="486"/>
      <c r="P3978" s="486"/>
      <c r="Q3978" s="486"/>
      <c r="R3978" s="486"/>
      <c r="S3978" s="486"/>
      <c r="T3978" s="102">
        <f t="shared" si="2932"/>
        <v>0</v>
      </c>
      <c r="U3978" s="78">
        <f>IF(NOT(ISNUMBER(G3978)), "", VLOOKUP(A3978,'Discount Lookup'!D:E,2,FALSE)*G3978)</f>
        <v>0</v>
      </c>
      <c r="V3978" s="78">
        <f>IF(NOT(ISNUMBER(G3978)), "", VLOOKUP(A3978,'Discount Lookup'!G:H,2,FALSE)*G3978)</f>
        <v>0</v>
      </c>
      <c r="W3978" s="102">
        <f t="shared" si="2933"/>
        <v>0</v>
      </c>
      <c r="X3978" s="102">
        <f t="shared" si="2934"/>
        <v>0</v>
      </c>
      <c r="Y3978" s="120" t="b">
        <f t="shared" si="2935"/>
        <v>0</v>
      </c>
      <c r="Z3978" s="117">
        <f t="shared" si="2936"/>
        <v>0</v>
      </c>
      <c r="AA3978" s="118"/>
      <c r="AB3978" s="118" t="str">
        <f t="shared" si="2937"/>
        <v/>
      </c>
      <c r="AC3978" s="712" t="str">
        <f>IF(AE3978="T2G","no charge",IF(AND(OR(PlanterYesMe="No",PlanterYesMe="N",PlanterYesMe="me"),H3978=""),"",IF(H3978="credit","NO install",IF(AND(K3978="",AE3978="me"),"EACH row",IF(AND(K3978="images",AE3978="me"),"EACH row",IF(D3978="","",IF(H3978="credit","",IF(AE3978="free","re-planting",IF(AE3978="me","   not ELP, by",IF(AND(OR(PlanterYesMe="Yes",PlanterYesMe="Y"),G3978&gt;0),(VLOOKUP(A3978,'Discount Lookup'!J:K,2)*G3978*(1-PlanterDiscount)*(1+PlanterDifficultyPercentage)),IF(AE3978="ELP",(VLOOKUP(A3978,'Discount Lookup'!J:K,2)*G3978*(1-PlanterDiscount)*(1+PlanterDifficultyPercentage)),IF(AE3978="free","re-planting",IF(G3978=0,"",IF(PlanterYesMe="",IF(AE3978="me","   not ELP, by",IF(AE3978="",IF(G3978&gt;0,(VLOOKUP(A3978,'Discount Lookup'!J:K,2)*G3978*(1-PlanterDiscount)*(1+PlanterDifficultyPercentage)),""),"")),"   not ELP, by"))))))))))))))</f>
        <v/>
      </c>
      <c r="AD3978" s="712"/>
      <c r="AE3978" s="513" t="str">
        <f t="shared" si="2938"/>
        <v/>
      </c>
      <c r="AF3978" s="713" t="str">
        <f t="shared" si="2939"/>
        <v/>
      </c>
      <c r="AG3978" s="713"/>
      <c r="AH3978" s="713"/>
      <c r="AI3978" s="112">
        <f>IF(H3978="credit",0,IF(AE3978="free",0,IF(AE3978="me",0,IF(G3978&gt;0,(VLOOKUP(A3978,'Discount Lookup'!J:K,2)*G3978),0))))</f>
        <v>0</v>
      </c>
      <c r="AJ3978" s="107" t="str">
        <f t="shared" ca="1" si="2940"/>
        <v/>
      </c>
      <c r="AK3978" s="714" t="str">
        <f t="shared" si="2941"/>
        <v/>
      </c>
      <c r="AL3978" s="714"/>
      <c r="AM3978" s="114" t="str">
        <f t="shared" si="2942"/>
        <v/>
      </c>
      <c r="AN3978" s="115"/>
      <c r="AO3978" s="116"/>
      <c r="AP3978" s="116"/>
      <c r="AQ3978" s="116"/>
      <c r="AR3978" s="116"/>
      <c r="AS3978" s="116"/>
      <c r="AT3978" s="116"/>
      <c r="AU3978" s="116"/>
      <c r="AV3978" s="78"/>
      <c r="AW3978" s="102"/>
      <c r="AX3978" s="78"/>
      <c r="AY3978" s="78"/>
      <c r="AZ3978" s="78"/>
      <c r="BA3978" s="78"/>
      <c r="BB3978" s="78"/>
      <c r="BC3978" s="78"/>
      <c r="BD3978" s="78"/>
      <c r="BE3978" s="465"/>
      <c r="BF3978" s="165" t="str">
        <f t="shared" si="2943"/>
        <v>https://www.google.com/search?tbm=isch&amp;q=15%20G4</v>
      </c>
      <c r="BG3978" s="165" t="str">
        <f t="shared" si="2944"/>
        <v>T</v>
      </c>
      <c r="BH3978" s="65"/>
      <c r="BI3978" s="65"/>
      <c r="BJ3978" s="65"/>
      <c r="BK3978" s="65"/>
      <c r="BL3978" s="99"/>
      <c r="BM3978" s="99"/>
      <c r="BN3978" s="99"/>
    </row>
    <row r="3979" spans="1:66" s="51" customFormat="1" ht="15.75" x14ac:dyDescent="0.25">
      <c r="A3979" s="634">
        <v>25</v>
      </c>
      <c r="B3979" s="635" t="s">
        <v>291</v>
      </c>
      <c r="C3979" s="636" t="s">
        <v>4295</v>
      </c>
      <c r="D3979" s="637" t="s">
        <v>299</v>
      </c>
      <c r="E3979" s="638">
        <v>321.95</v>
      </c>
      <c r="F3979" s="639" t="s">
        <v>292</v>
      </c>
      <c r="G3979" s="484">
        <v>0</v>
      </c>
      <c r="H3979" s="691" t="str">
        <f>IF(G3979=0,"",IF(F3979="Buy",IF(G3979=1,"plant","plants"),IF(F3979&gt;0.01,"warranty","Error")))</f>
        <v/>
      </c>
      <c r="I3979" s="640">
        <f>IF(H3979="free",0,IF(H3979="credit",((E3979*(F3979))*G3979*-1),IF(F3979="Buy",(E3979*G3979),((E3979*(1-F3979))*G3979))))</f>
        <v>0</v>
      </c>
      <c r="J3979" s="640">
        <f>IF(H3979="warranty",0,(I3979*(_xlfn.SINGLE(SalesTaxPercentage))))</f>
        <v>0</v>
      </c>
      <c r="K3979" s="716">
        <f t="shared" ref="K3979" si="2969">I3979+J3979</f>
        <v>0</v>
      </c>
      <c r="L3979" s="716"/>
      <c r="M3979" s="689" t="str">
        <f ca="1">IF(AND(G3979&gt;0,E3979=0),"WARNING - no PRICE inserted",IF(H3979="free","FREE ~ no charge this plant",IF(H3979="credit",CONCATENATE("-$",ROUND(K3979*(1-_xlfn.SINGLE(T2GDiscount))*-1,2)," CREDIT after discount"),IF(_xlfn.SINGLE(T2GDiscount)=0,"",IF(G3979=0,"",IF(F3979="Buy",CONCATENATE("$",ROUND(K3979*(1-_xlfn.SINGLE(T2GDiscount)),2)," with ",(_xlfn.SINGLE(T2GDiscount)*100),"% discount"),CONCATENATE("$",ROUND(K3979*(1-_xlfn.SINGLE(T2GDiscount)),2)," with ",((_xlfn.SINGLE(T2GDiscount)*100+F3979*100)-(_xlfn.SINGLE(T2GDiscount)*100*F3979)),IF(F3979&gt;0,"% discounts",IF(_xlfn.SINGLE(NoWarrantyDiscount)&gt;0,"% discounts","% discount")))))))))</f>
        <v/>
      </c>
      <c r="N3979" s="690"/>
      <c r="O3979" s="486"/>
      <c r="P3979" s="486"/>
      <c r="Q3979" s="486"/>
      <c r="R3979" s="486"/>
      <c r="S3979" s="486"/>
      <c r="T3979" s="102">
        <f t="shared" si="2932"/>
        <v>0</v>
      </c>
      <c r="U3979" s="78">
        <f>IF(NOT(ISNUMBER(G3979)), "", VLOOKUP(A3979,'Discount Lookup'!D:E,2,FALSE)*G3979)</f>
        <v>0</v>
      </c>
      <c r="V3979" s="78">
        <f>IF(NOT(ISNUMBER(G3979)), "", VLOOKUP(A3979,'Discount Lookup'!G:H,2,FALSE)*G3979)</f>
        <v>0</v>
      </c>
      <c r="W3979" s="102">
        <f t="shared" si="2933"/>
        <v>0</v>
      </c>
      <c r="X3979" s="102">
        <f t="shared" si="2934"/>
        <v>0</v>
      </c>
      <c r="Y3979" s="120" t="b">
        <f t="shared" si="2935"/>
        <v>0</v>
      </c>
      <c r="Z3979" s="117">
        <f t="shared" si="2936"/>
        <v>0</v>
      </c>
      <c r="AA3979" s="118"/>
      <c r="AB3979" s="118" t="str">
        <f t="shared" si="2937"/>
        <v/>
      </c>
      <c r="AC3979" s="712" t="str">
        <f>IF(AE3979="T2G","no charge",IF(AND(OR(PlanterYesMe="No",PlanterYesMe="N",PlanterYesMe="me"),H3979=""),"",IF(H3979="credit","NO install",IF(AND(K3979="",AE3979="me"),"EACH row",IF(AND(K3979="images",AE3979="me"),"EACH row",IF(D3979="","",IF(H3979="credit","",IF(AE3979="free","re-planting",IF(AE3979="me","   not ELP, by",IF(AND(OR(PlanterYesMe="Yes",PlanterYesMe="Y"),G3979&gt;0),(VLOOKUP(A3979,'Discount Lookup'!J:K,2)*G3979*(1-PlanterDiscount)*(1+PlanterDifficultyPercentage)),IF(AE3979="ELP",(VLOOKUP(A3979,'Discount Lookup'!J:K,2)*G3979*(1-PlanterDiscount)*(1+PlanterDifficultyPercentage)),IF(AE3979="free","re-planting",IF(G3979=0,"",IF(PlanterYesMe="",IF(AE3979="me","   not ELP, by",IF(AE3979="",IF(G3979&gt;0,(VLOOKUP(A3979,'Discount Lookup'!J:K,2)*G3979*(1-PlanterDiscount)*(1+PlanterDifficultyPercentage)),""),"")),"   not ELP, by"))))))))))))))</f>
        <v/>
      </c>
      <c r="AD3979" s="712"/>
      <c r="AE3979" s="513" t="str">
        <f t="shared" si="2938"/>
        <v/>
      </c>
      <c r="AF3979" s="713" t="str">
        <f t="shared" si="2939"/>
        <v/>
      </c>
      <c r="AG3979" s="713"/>
      <c r="AH3979" s="713"/>
      <c r="AI3979" s="112">
        <f>IF(H3979="credit",0,IF(AE3979="free",0,IF(AE3979="me",0,IF(G3979&gt;0,(VLOOKUP(A3979,'Discount Lookup'!J:K,2)*G3979),0))))</f>
        <v>0</v>
      </c>
      <c r="AJ3979" s="107" t="str">
        <f t="shared" ca="1" si="2940"/>
        <v/>
      </c>
      <c r="AK3979" s="714" t="str">
        <f t="shared" si="2941"/>
        <v/>
      </c>
      <c r="AL3979" s="714"/>
      <c r="AM3979" s="114" t="str">
        <f t="shared" si="2942"/>
        <v/>
      </c>
      <c r="AN3979" s="115"/>
      <c r="AO3979" s="116"/>
      <c r="AP3979" s="116"/>
      <c r="AQ3979" s="116"/>
      <c r="AR3979" s="116"/>
      <c r="AS3979" s="116"/>
      <c r="AT3979" s="116"/>
      <c r="AU3979" s="116"/>
      <c r="AV3979" s="78"/>
      <c r="AW3979" s="102"/>
      <c r="AX3979" s="78"/>
      <c r="AY3979" s="78"/>
      <c r="AZ3979" s="78"/>
      <c r="BA3979" s="78"/>
      <c r="BB3979" s="78"/>
      <c r="BC3979" s="78"/>
      <c r="BD3979" s="78"/>
      <c r="BE3979" s="465"/>
      <c r="BF3979" s="165" t="str">
        <f t="shared" si="2943"/>
        <v>https://www.google.com/search?tbm=isch&amp;q=25%20G4</v>
      </c>
      <c r="BG3979" s="165" t="str">
        <f t="shared" si="2944"/>
        <v>T</v>
      </c>
      <c r="BH3979" s="65"/>
      <c r="BI3979" s="65"/>
      <c r="BJ3979" s="65"/>
      <c r="BK3979" s="65"/>
      <c r="BL3979" s="99"/>
      <c r="BM3979" s="99"/>
      <c r="BN3979" s="99"/>
    </row>
    <row r="3980" spans="1:66" s="51" customFormat="1" ht="17.25" thickBot="1" x14ac:dyDescent="0.3">
      <c r="A3980" s="704" t="s">
        <v>5543</v>
      </c>
      <c r="B3980" s="642"/>
      <c r="C3980" s="710"/>
      <c r="D3980" s="643"/>
      <c r="E3980" s="643"/>
      <c r="F3980" s="644"/>
      <c r="G3980" s="645"/>
      <c r="H3980" s="646"/>
      <c r="I3980" s="647"/>
      <c r="J3980" s="648"/>
      <c r="K3980" s="649"/>
      <c r="L3980" s="650"/>
      <c r="M3980" s="650"/>
      <c r="N3980" s="644"/>
      <c r="O3980" s="644"/>
      <c r="P3980" s="644"/>
      <c r="Q3980" s="644"/>
      <c r="R3980" s="644"/>
      <c r="S3980" s="701" t="s">
        <v>5253</v>
      </c>
      <c r="T3980" s="102">
        <f t="shared" si="2932"/>
        <v>0</v>
      </c>
      <c r="U3980" s="78" t="str">
        <f>IF(NOT(ISNUMBER(G3980)), "", VLOOKUP(A3980,'Discount Lookup'!D:E,2,FALSE)*G3980)</f>
        <v/>
      </c>
      <c r="V3980" s="78" t="str">
        <f>IF(NOT(ISNUMBER(G3980)), "", VLOOKUP(A3980,'Discount Lookup'!G:H,2,FALSE)*G3980)</f>
        <v/>
      </c>
      <c r="W3980" s="102">
        <f t="shared" si="2933"/>
        <v>0</v>
      </c>
      <c r="X3980" s="102">
        <f t="shared" si="2934"/>
        <v>0</v>
      </c>
      <c r="Y3980" s="120" t="b">
        <f t="shared" si="2935"/>
        <v>0</v>
      </c>
      <c r="Z3980" s="117">
        <f t="shared" si="2936"/>
        <v>0</v>
      </c>
      <c r="AA3980" s="118"/>
      <c r="AB3980" s="118" t="str">
        <f t="shared" si="2937"/>
        <v/>
      </c>
      <c r="AC3980" s="712" t="str">
        <f>IF(AE3980="T2G","no charge",IF(AND(OR(PlanterYesMe="No",PlanterYesMe="N",PlanterYesMe="me"),H3980=""),"",IF(H3980="credit","NO install",IF(AND(K3980="",AE3980="me"),"EACH row",IF(AND(K3980="images",AE3980="me"),"EACH row",IF(D3980="","",IF(H3980="credit","",IF(AE3980="free","re-planting",IF(AE3980="me","   not ELP, by",IF(AND(OR(PlanterYesMe="Yes",PlanterYesMe="Y"),G3980&gt;0),(VLOOKUP(A3980,'Discount Lookup'!J:K,2)*G3980*(1-PlanterDiscount)*(1+PlanterDifficultyPercentage)),IF(AE3980="ELP",(VLOOKUP(A3980,'Discount Lookup'!J:K,2)*G3980*(1-PlanterDiscount)*(1+PlanterDifficultyPercentage)),IF(AE3980="free","re-planting",IF(G3980=0,"",IF(PlanterYesMe="",IF(AE3980="me","   not ELP, by",IF(AE3980="",IF(G3980&gt;0,(VLOOKUP(A3980,'Discount Lookup'!J:K,2)*G3980*(1-PlanterDiscount)*(1+PlanterDifficultyPercentage)),""),"")),"   not ELP, by"))))))))))))))</f>
        <v/>
      </c>
      <c r="AD3980" s="712"/>
      <c r="AE3980" s="513" t="str">
        <f t="shared" si="2938"/>
        <v/>
      </c>
      <c r="AF3980" s="713" t="str">
        <f t="shared" si="2939"/>
        <v/>
      </c>
      <c r="AG3980" s="713"/>
      <c r="AH3980" s="713"/>
      <c r="AI3980" s="112">
        <f>IF(H3980="credit",0,IF(AE3980="free",0,IF(AE3980="me",0,IF(G3980&gt;0,(VLOOKUP(A3980,'Discount Lookup'!J:K,2)*G3980),0))))</f>
        <v>0</v>
      </c>
      <c r="AJ3980" s="107" t="str">
        <f t="shared" ca="1" si="2940"/>
        <v/>
      </c>
      <c r="AK3980" s="714" t="str">
        <f t="shared" si="2941"/>
        <v/>
      </c>
      <c r="AL3980" s="714"/>
      <c r="AM3980" s="114" t="str">
        <f t="shared" si="2942"/>
        <v/>
      </c>
      <c r="AN3980" s="115"/>
      <c r="AO3980" s="116"/>
      <c r="AP3980" s="116"/>
      <c r="AQ3980" s="116"/>
      <c r="AR3980" s="116"/>
      <c r="AS3980" s="116"/>
      <c r="AT3980" s="116"/>
      <c r="AU3980" s="116"/>
      <c r="AV3980" s="78"/>
      <c r="AW3980" s="102"/>
      <c r="AX3980" s="78"/>
      <c r="AY3980" s="78"/>
      <c r="AZ3980" s="78"/>
      <c r="BA3980" s="78"/>
      <c r="BB3980" s="78"/>
      <c r="BC3980" s="78"/>
      <c r="BD3980" s="78"/>
      <c r="BE3980" s="465"/>
      <c r="BF3980" s="165" t="str">
        <f t="shared" si="2943"/>
        <v>https://www.google.com/search?tbm=isch&amp;q=wet%20sites%F0%9F%92%A7BEST%2C%20Debonair%20known%20for%20rall%2C%20columnar%20shape%20and%20fine%2C%20delicate%20foliage.%20Less%20prone%20to%20grow%20%27knees%27%20in%20drier%20soils%20</v>
      </c>
      <c r="BG3980" s="165" t="str">
        <f t="shared" si="2944"/>
        <v>w</v>
      </c>
      <c r="BH3980" s="65"/>
      <c r="BI3980" s="65"/>
      <c r="BJ3980" s="65"/>
      <c r="BK3980" s="65"/>
      <c r="BL3980" s="99"/>
      <c r="BM3980" s="99"/>
      <c r="BN3980" s="99"/>
    </row>
    <row r="3981" spans="1:66" s="51" customFormat="1" ht="18" x14ac:dyDescent="0.25">
      <c r="A3981" s="623" t="s">
        <v>4296</v>
      </c>
      <c r="B3981" s="624"/>
      <c r="C3981" s="709"/>
      <c r="D3981" s="625" t="s">
        <v>4297</v>
      </c>
      <c r="E3981" s="626"/>
      <c r="F3981" s="626"/>
      <c r="G3981" s="626"/>
      <c r="H3981" s="622" t="s">
        <v>4298</v>
      </c>
      <c r="I3981" s="627" t="s">
        <v>4299</v>
      </c>
      <c r="J3981" s="628"/>
      <c r="K3981" s="628"/>
      <c r="L3981" s="629"/>
      <c r="M3981" s="700" t="s">
        <v>5249</v>
      </c>
      <c r="N3981" s="693" t="str">
        <f>IF(AND(ISTEXT($A3981), ISERROR($A3981+0)), HYPERLINK($BF3981, "Images"), "")</f>
        <v>Images</v>
      </c>
      <c r="O3981" s="695" t="s">
        <v>5264</v>
      </c>
      <c r="P3981" s="630"/>
      <c r="Q3981" s="631"/>
      <c r="R3981" s="632"/>
      <c r="S3981" s="633" t="s">
        <v>294</v>
      </c>
      <c r="T3981" s="102">
        <f t="shared" si="2932"/>
        <v>0</v>
      </c>
      <c r="U3981" s="78" t="str">
        <f>IF(NOT(ISNUMBER(G3981)), "", VLOOKUP(A3981,'Discount Lookup'!D:E,2,FALSE)*G3981)</f>
        <v/>
      </c>
      <c r="V3981" s="78" t="str">
        <f>IF(NOT(ISNUMBER(G3981)), "", VLOOKUP(A3981,'Discount Lookup'!G:H,2,FALSE)*G3981)</f>
        <v/>
      </c>
      <c r="W3981" s="102">
        <f t="shared" si="2933"/>
        <v>0</v>
      </c>
      <c r="X3981" s="102" t="str">
        <f t="shared" si="2934"/>
        <v>Light Green needles</v>
      </c>
      <c r="Y3981" s="120" t="b">
        <f t="shared" si="2935"/>
        <v>0</v>
      </c>
      <c r="Z3981" s="117">
        <f t="shared" si="2936"/>
        <v>0</v>
      </c>
      <c r="AA3981" s="118"/>
      <c r="AB3981" s="118" t="str">
        <f t="shared" si="2937"/>
        <v/>
      </c>
      <c r="AC3981" s="712" t="str">
        <f>IF(AE3981="T2G","no charge",IF(AND(OR(PlanterYesMe="No",PlanterYesMe="N",PlanterYesMe="me"),H3981=""),"",IF(H3981="credit","NO install",IF(AND(K3981="",AE3981="me"),"EACH row",IF(AND(K3981="images",AE3981="me"),"EACH row",IF(D3981="","",IF(H3981="credit","",IF(AE3981="free","re-planting",IF(AE3981="me","   not ELP, by",IF(AND(OR(PlanterYesMe="Yes",PlanterYesMe="Y"),G3981&gt;0),(VLOOKUP(A3981,'Discount Lookup'!J:K,2)*G3981*(1-PlanterDiscount)*(1+PlanterDifficultyPercentage)),IF(AE3981="ELP",(VLOOKUP(A3981,'Discount Lookup'!J:K,2)*G3981*(1-PlanterDiscount)*(1+PlanterDifficultyPercentage)),IF(AE3981="free","re-planting",IF(G3981=0,"",IF(PlanterYesMe="",IF(AE3981="me","   not ELP, by",IF(AE3981="",IF(G3981&gt;0,(VLOOKUP(A3981,'Discount Lookup'!J:K,2)*G3981*(1-PlanterDiscount)*(1+PlanterDifficultyPercentage)),""),"")),"   not ELP, by"))))))))))))))</f>
        <v/>
      </c>
      <c r="AD3981" s="712"/>
      <c r="AE3981" s="513" t="str">
        <f t="shared" si="2938"/>
        <v/>
      </c>
      <c r="AF3981" s="713" t="str">
        <f t="shared" si="2939"/>
        <v/>
      </c>
      <c r="AG3981" s="713"/>
      <c r="AH3981" s="713"/>
      <c r="AI3981" s="112">
        <f>IF(H3981="credit",0,IF(AE3981="free",0,IF(AE3981="me",0,IF(G3981&gt;0,(VLOOKUP(A3981,'Discount Lookup'!J:K,2)*G3981),0))))</f>
        <v>0</v>
      </c>
      <c r="AJ3981" s="107" t="str">
        <f t="shared" ca="1" si="2940"/>
        <v/>
      </c>
      <c r="AK3981" s="714" t="str">
        <f t="shared" si="2941"/>
        <v/>
      </c>
      <c r="AL3981" s="714"/>
      <c r="AM3981" s="114" t="str">
        <f t="shared" si="2942"/>
        <v/>
      </c>
      <c r="AN3981" s="115"/>
      <c r="AO3981" s="116"/>
      <c r="AP3981" s="116"/>
      <c r="AQ3981" s="116"/>
      <c r="AR3981" s="116"/>
      <c r="AS3981" s="116"/>
      <c r="AT3981" s="116"/>
      <c r="AU3981" s="116"/>
      <c r="AV3981" s="78"/>
      <c r="AW3981" s="102"/>
      <c r="AX3981" s="78"/>
      <c r="AY3981" s="78"/>
      <c r="AZ3981" s="78"/>
      <c r="BA3981" s="78"/>
      <c r="BB3981" s="78"/>
      <c r="BC3981" s="78"/>
      <c r="BD3981" s="78"/>
      <c r="BE3981" s="465"/>
      <c r="BF3981" s="165" t="str">
        <f t="shared" si="2943"/>
        <v>https://www.google.com/search?tbm=isch&amp;q=Taxodium%20distichum%20Bald%20Cypress%20</v>
      </c>
      <c r="BG3981" s="165" t="str">
        <f t="shared" si="2944"/>
        <v>T</v>
      </c>
      <c r="BH3981" s="65"/>
      <c r="BI3981" s="65"/>
      <c r="BJ3981" s="65"/>
      <c r="BK3981" s="65"/>
      <c r="BL3981" s="99"/>
      <c r="BM3981" s="99"/>
      <c r="BN3981" s="99"/>
    </row>
    <row r="3982" spans="1:66" s="51" customFormat="1" ht="15.75" x14ac:dyDescent="0.25">
      <c r="A3982" s="634">
        <v>7</v>
      </c>
      <c r="B3982" s="635" t="s">
        <v>291</v>
      </c>
      <c r="C3982" s="636" t="s">
        <v>4300</v>
      </c>
      <c r="D3982" s="637" t="s">
        <v>299</v>
      </c>
      <c r="E3982" s="638">
        <v>95.95</v>
      </c>
      <c r="F3982" s="639" t="s">
        <v>292</v>
      </c>
      <c r="G3982" s="484">
        <v>0</v>
      </c>
      <c r="H3982" s="691" t="str">
        <f>IF(G3982=0,"",IF(F3982="Buy",IF(G3982=1,"plant","plants"),IF(F3982&gt;0.01,"warranty","Error")))</f>
        <v/>
      </c>
      <c r="I3982" s="640">
        <f>IF(H3982="free",0,IF(H3982="credit",((E3982*(F3982))*G3982*-1),IF(F3982="Buy",(E3982*G3982),((E3982*(1-F3982))*G3982))))</f>
        <v>0</v>
      </c>
      <c r="J3982" s="640">
        <f>IF(H3982="warranty",0,(I3982*(_xlfn.SINGLE(SalesTaxPercentage))))</f>
        <v>0</v>
      </c>
      <c r="K3982" s="716">
        <f t="shared" ref="K3982" si="2970">I3982+J3982</f>
        <v>0</v>
      </c>
      <c r="L3982" s="716"/>
      <c r="M3982" s="689" t="str">
        <f ca="1">IF(AND(G3982&gt;0,E3982=0),"WARNING - no PRICE inserted",IF(H3982="free","FREE ~ no charge this plant",IF(H3982="credit",CONCATENATE("-$",ROUND(K3982*(1-_xlfn.SINGLE(T2GDiscount))*-1,2)," CREDIT after discount"),IF(_xlfn.SINGLE(T2GDiscount)=0,"",IF(G3982=0,"",IF(F3982="Buy",CONCATENATE("$",ROUND(K3982*(1-_xlfn.SINGLE(T2GDiscount)),2)," with ",(_xlfn.SINGLE(T2GDiscount)*100),"% discount"),CONCATENATE("$",ROUND(K3982*(1-_xlfn.SINGLE(T2GDiscount)),2)," with ",((_xlfn.SINGLE(T2GDiscount)*100+F3982*100)-(_xlfn.SINGLE(T2GDiscount)*100*F3982)),IF(F3982&gt;0,"% discounts",IF(_xlfn.SINGLE(NoWarrantyDiscount)&gt;0,"% discounts","% discount")))))))))</f>
        <v/>
      </c>
      <c r="N3982" s="690"/>
      <c r="O3982" s="486"/>
      <c r="P3982" s="486"/>
      <c r="Q3982" s="486"/>
      <c r="R3982" s="486"/>
      <c r="S3982" s="486"/>
      <c r="T3982" s="102">
        <f t="shared" si="2932"/>
        <v>0</v>
      </c>
      <c r="U3982" s="78">
        <f>IF(NOT(ISNUMBER(G3982)), "", VLOOKUP(A3982,'Discount Lookup'!D:E,2,FALSE)*G3982)</f>
        <v>0</v>
      </c>
      <c r="V3982" s="78">
        <f>IF(NOT(ISNUMBER(G3982)), "", VLOOKUP(A3982,'Discount Lookup'!G:H,2,FALSE)*G3982)</f>
        <v>0</v>
      </c>
      <c r="W3982" s="102">
        <f t="shared" si="2933"/>
        <v>0</v>
      </c>
      <c r="X3982" s="102">
        <f t="shared" si="2934"/>
        <v>0</v>
      </c>
      <c r="Y3982" s="120" t="b">
        <f t="shared" si="2935"/>
        <v>0</v>
      </c>
      <c r="Z3982" s="117">
        <f t="shared" si="2936"/>
        <v>0</v>
      </c>
      <c r="AA3982" s="118"/>
      <c r="AB3982" s="118" t="str">
        <f t="shared" si="2937"/>
        <v/>
      </c>
      <c r="AC3982" s="712" t="str">
        <f>IF(AE3982="T2G","no charge",IF(AND(OR(PlanterYesMe="No",PlanterYesMe="N",PlanterYesMe="me"),H3982=""),"",IF(H3982="credit","NO install",IF(AND(K3982="",AE3982="me"),"EACH row",IF(AND(K3982="images",AE3982="me"),"EACH row",IF(D3982="","",IF(H3982="credit","",IF(AE3982="free","re-planting",IF(AE3982="me","   not ELP, by",IF(AND(OR(PlanterYesMe="Yes",PlanterYesMe="Y"),G3982&gt;0),(VLOOKUP(A3982,'Discount Lookup'!J:K,2)*G3982*(1-PlanterDiscount)*(1+PlanterDifficultyPercentage)),IF(AE3982="ELP",(VLOOKUP(A3982,'Discount Lookup'!J:K,2)*G3982*(1-PlanterDiscount)*(1+PlanterDifficultyPercentage)),IF(AE3982="free","re-planting",IF(G3982=0,"",IF(PlanterYesMe="",IF(AE3982="me","   not ELP, by",IF(AE3982="",IF(G3982&gt;0,(VLOOKUP(A3982,'Discount Lookup'!J:K,2)*G3982*(1-PlanterDiscount)*(1+PlanterDifficultyPercentage)),""),"")),"   not ELP, by"))))))))))))))</f>
        <v/>
      </c>
      <c r="AD3982" s="712"/>
      <c r="AE3982" s="513" t="str">
        <f t="shared" si="2938"/>
        <v/>
      </c>
      <c r="AF3982" s="713" t="str">
        <f t="shared" si="2939"/>
        <v/>
      </c>
      <c r="AG3982" s="713"/>
      <c r="AH3982" s="713"/>
      <c r="AI3982" s="112">
        <f>IF(H3982="credit",0,IF(AE3982="free",0,IF(AE3982="me",0,IF(G3982&gt;0,(VLOOKUP(A3982,'Discount Lookup'!J:K,2)*G3982),0))))</f>
        <v>0</v>
      </c>
      <c r="AJ3982" s="107" t="str">
        <f t="shared" ca="1" si="2940"/>
        <v/>
      </c>
      <c r="AK3982" s="714" t="str">
        <f t="shared" si="2941"/>
        <v/>
      </c>
      <c r="AL3982" s="714"/>
      <c r="AM3982" s="114" t="str">
        <f t="shared" si="2942"/>
        <v/>
      </c>
      <c r="AN3982" s="115"/>
      <c r="AO3982" s="116"/>
      <c r="AP3982" s="116"/>
      <c r="AQ3982" s="116"/>
      <c r="AR3982" s="116"/>
      <c r="AS3982" s="116"/>
      <c r="AT3982" s="116"/>
      <c r="AU3982" s="116"/>
      <c r="AV3982" s="78"/>
      <c r="AW3982" s="102"/>
      <c r="AX3982" s="78"/>
      <c r="AY3982" s="78"/>
      <c r="AZ3982" s="78"/>
      <c r="BA3982" s="78"/>
      <c r="BB3982" s="78"/>
      <c r="BC3982" s="78"/>
      <c r="BD3982" s="78"/>
      <c r="BE3982" s="465"/>
      <c r="BF3982" s="165" t="str">
        <f t="shared" si="2943"/>
        <v>https://www.google.com/search?tbm=isch&amp;q=7%20G4</v>
      </c>
      <c r="BG3982" s="165" t="str">
        <f t="shared" si="2944"/>
        <v>T</v>
      </c>
      <c r="BH3982" s="65"/>
      <c r="BI3982" s="65"/>
      <c r="BJ3982" s="65"/>
      <c r="BK3982" s="65"/>
      <c r="BL3982" s="99"/>
      <c r="BM3982" s="99"/>
      <c r="BN3982" s="99"/>
    </row>
    <row r="3983" spans="1:66" s="51" customFormat="1" ht="27" x14ac:dyDescent="0.25">
      <c r="A3983" s="634">
        <v>15</v>
      </c>
      <c r="B3983" s="635" t="s">
        <v>291</v>
      </c>
      <c r="C3983" s="636" t="s">
        <v>4301</v>
      </c>
      <c r="D3983" s="637" t="s">
        <v>299</v>
      </c>
      <c r="E3983" s="638">
        <v>164.95</v>
      </c>
      <c r="F3983" s="639" t="s">
        <v>292</v>
      </c>
      <c r="G3983" s="484">
        <v>0</v>
      </c>
      <c r="H3983" s="691" t="str">
        <f>IF(G3983=0,"",IF(F3983="Buy",IF(G3983=1,"plant","plants"),IF(F3983&gt;0.01,"warranty","Error")))</f>
        <v/>
      </c>
      <c r="I3983" s="640">
        <f>IF(H3983="free",0,IF(H3983="credit",((E3983*(F3983))*G3983*-1),IF(F3983="Buy",(E3983*G3983),((E3983*(1-F3983))*G3983))))</f>
        <v>0</v>
      </c>
      <c r="J3983" s="640">
        <f>IF(H3983="warranty",0,(I3983*(_xlfn.SINGLE(SalesTaxPercentage))))</f>
        <v>0</v>
      </c>
      <c r="K3983" s="716">
        <f t="shared" ref="K3983" si="2971">I3983+J3983</f>
        <v>0</v>
      </c>
      <c r="L3983" s="716"/>
      <c r="M3983" s="689" t="str">
        <f ca="1">IF(AND(G3983&gt;0,E3983=0),"WARNING - no PRICE inserted",IF(H3983="free","FREE ~ no charge this plant",IF(H3983="credit",CONCATENATE("-$",ROUND(K3983*(1-_xlfn.SINGLE(T2GDiscount))*-1,2)," CREDIT after discount"),IF(_xlfn.SINGLE(T2GDiscount)=0,"",IF(G3983=0,"",IF(F3983="Buy",CONCATENATE("$",ROUND(K3983*(1-_xlfn.SINGLE(T2GDiscount)),2)," with ",(_xlfn.SINGLE(T2GDiscount)*100),"% discount"),CONCATENATE("$",ROUND(K3983*(1-_xlfn.SINGLE(T2GDiscount)),2)," with ",((_xlfn.SINGLE(T2GDiscount)*100+F3983*100)-(_xlfn.SINGLE(T2GDiscount)*100*F3983)),IF(F3983&gt;0,"% discounts",IF(_xlfn.SINGLE(NoWarrantyDiscount)&gt;0,"% discounts","% discount")))))))))</f>
        <v/>
      </c>
      <c r="N3983" s="690"/>
      <c r="O3983" s="486"/>
      <c r="P3983" s="486"/>
      <c r="Q3983" s="486"/>
      <c r="R3983" s="486"/>
      <c r="S3983" s="486"/>
      <c r="T3983" s="102">
        <f t="shared" si="2932"/>
        <v>0</v>
      </c>
      <c r="U3983" s="78">
        <f>IF(NOT(ISNUMBER(G3983)), "", VLOOKUP(A3983,'Discount Lookup'!D:E,2,FALSE)*G3983)</f>
        <v>0</v>
      </c>
      <c r="V3983" s="78">
        <f>IF(NOT(ISNUMBER(G3983)), "", VLOOKUP(A3983,'Discount Lookup'!G:H,2,FALSE)*G3983)</f>
        <v>0</v>
      </c>
      <c r="W3983" s="102">
        <f t="shared" si="2933"/>
        <v>0</v>
      </c>
      <c r="X3983" s="102">
        <f t="shared" si="2934"/>
        <v>0</v>
      </c>
      <c r="Y3983" s="120" t="b">
        <f t="shared" si="2935"/>
        <v>0</v>
      </c>
      <c r="Z3983" s="117">
        <f t="shared" si="2936"/>
        <v>0</v>
      </c>
      <c r="AA3983" s="118"/>
      <c r="AB3983" s="118" t="str">
        <f t="shared" si="2937"/>
        <v/>
      </c>
      <c r="AC3983" s="712" t="str">
        <f>IF(AE3983="T2G","no charge",IF(AND(OR(PlanterYesMe="No",PlanterYesMe="N",PlanterYesMe="me"),H3983=""),"",IF(H3983="credit","NO install",IF(AND(K3983="",AE3983="me"),"EACH row",IF(AND(K3983="images",AE3983="me"),"EACH row",IF(D3983="","",IF(H3983="credit","",IF(AE3983="free","re-planting",IF(AE3983="me","   not ELP, by",IF(AND(OR(PlanterYesMe="Yes",PlanterYesMe="Y"),G3983&gt;0),(VLOOKUP(A3983,'Discount Lookup'!J:K,2)*G3983*(1-PlanterDiscount)*(1+PlanterDifficultyPercentage)),IF(AE3983="ELP",(VLOOKUP(A3983,'Discount Lookup'!J:K,2)*G3983*(1-PlanterDiscount)*(1+PlanterDifficultyPercentage)),IF(AE3983="free","re-planting",IF(G3983=0,"",IF(PlanterYesMe="",IF(AE3983="me","   not ELP, by",IF(AE3983="",IF(G3983&gt;0,(VLOOKUP(A3983,'Discount Lookup'!J:K,2)*G3983*(1-PlanterDiscount)*(1+PlanterDifficultyPercentage)),""),"")),"   not ELP, by"))))))))))))))</f>
        <v/>
      </c>
      <c r="AD3983" s="712"/>
      <c r="AE3983" s="513" t="str">
        <f t="shared" si="2938"/>
        <v/>
      </c>
      <c r="AF3983" s="713" t="str">
        <f t="shared" si="2939"/>
        <v/>
      </c>
      <c r="AG3983" s="713"/>
      <c r="AH3983" s="713"/>
      <c r="AI3983" s="112">
        <f>IF(H3983="credit",0,IF(AE3983="free",0,IF(AE3983="me",0,IF(G3983&gt;0,(VLOOKUP(A3983,'Discount Lookup'!J:K,2)*G3983),0))))</f>
        <v>0</v>
      </c>
      <c r="AJ3983" s="107" t="str">
        <f t="shared" ca="1" si="2940"/>
        <v/>
      </c>
      <c r="AK3983" s="714" t="str">
        <f t="shared" si="2941"/>
        <v/>
      </c>
      <c r="AL3983" s="714"/>
      <c r="AM3983" s="114" t="str">
        <f t="shared" si="2942"/>
        <v/>
      </c>
      <c r="AN3983" s="115"/>
      <c r="AO3983" s="116"/>
      <c r="AP3983" s="116"/>
      <c r="AQ3983" s="116"/>
      <c r="AR3983" s="116"/>
      <c r="AS3983" s="116"/>
      <c r="AT3983" s="116"/>
      <c r="AU3983" s="116"/>
      <c r="AV3983" s="78"/>
      <c r="AW3983" s="102"/>
      <c r="AX3983" s="78"/>
      <c r="AY3983" s="78"/>
      <c r="AZ3983" s="78"/>
      <c r="BA3983" s="78"/>
      <c r="BB3983" s="78"/>
      <c r="BC3983" s="78"/>
      <c r="BD3983" s="78"/>
      <c r="BE3983" s="465"/>
      <c r="BF3983" s="165" t="str">
        <f t="shared" si="2943"/>
        <v>https://www.google.com/search?tbm=isch&amp;q=15%20G4</v>
      </c>
      <c r="BG3983" s="165" t="str">
        <f t="shared" si="2944"/>
        <v>T</v>
      </c>
      <c r="BH3983" s="65"/>
      <c r="BI3983" s="65"/>
      <c r="BJ3983" s="65"/>
      <c r="BK3983" s="65"/>
      <c r="BL3983" s="99"/>
      <c r="BM3983" s="99"/>
      <c r="BN3983" s="99"/>
    </row>
    <row r="3984" spans="1:66" s="51" customFormat="1" ht="15.75" x14ac:dyDescent="0.25">
      <c r="A3984" s="634">
        <v>15</v>
      </c>
      <c r="B3984" s="635" t="s">
        <v>291</v>
      </c>
      <c r="C3984" s="636" t="s">
        <v>4302</v>
      </c>
      <c r="D3984" s="637" t="s">
        <v>311</v>
      </c>
      <c r="E3984" s="638">
        <v>164.95</v>
      </c>
      <c r="F3984" s="639" t="s">
        <v>292</v>
      </c>
      <c r="G3984" s="484">
        <v>0</v>
      </c>
      <c r="H3984" s="691" t="str">
        <f>IF(G3984=0,"",IF(F3984="Buy",IF(G3984=1,"plant","plants"),IF(F3984&gt;0.01,"warranty","Error")))</f>
        <v/>
      </c>
      <c r="I3984" s="640">
        <f>IF(H3984="free",0,IF(H3984="credit",((E3984*(F3984))*G3984*-1),IF(F3984="Buy",(E3984*G3984),((E3984*(1-F3984))*G3984))))</f>
        <v>0</v>
      </c>
      <c r="J3984" s="640">
        <f>IF(H3984="warranty",0,(I3984*(_xlfn.SINGLE(SalesTaxPercentage))))</f>
        <v>0</v>
      </c>
      <c r="K3984" s="716">
        <f t="shared" ref="K3984" si="2972">I3984+J3984</f>
        <v>0</v>
      </c>
      <c r="L3984" s="716"/>
      <c r="M3984" s="689" t="str">
        <f ca="1">IF(AND(G3984&gt;0,E3984=0),"WARNING - no PRICE inserted",IF(H3984="free","FREE ~ no charge this plant",IF(H3984="credit",CONCATENATE("-$",ROUND(K3984*(1-_xlfn.SINGLE(T2GDiscount))*-1,2)," CREDIT after discount"),IF(_xlfn.SINGLE(T2GDiscount)=0,"",IF(G3984=0,"",IF(F3984="Buy",CONCATENATE("$",ROUND(K3984*(1-_xlfn.SINGLE(T2GDiscount)),2)," with ",(_xlfn.SINGLE(T2GDiscount)*100),"% discount"),CONCATENATE("$",ROUND(K3984*(1-_xlfn.SINGLE(T2GDiscount)),2)," with ",((_xlfn.SINGLE(T2GDiscount)*100+F3984*100)-(_xlfn.SINGLE(T2GDiscount)*100*F3984)),IF(F3984&gt;0,"% discounts",IF(_xlfn.SINGLE(NoWarrantyDiscount)&gt;0,"% discounts","% discount")))))))))</f>
        <v/>
      </c>
      <c r="N3984" s="690"/>
      <c r="O3984" s="486"/>
      <c r="P3984" s="486"/>
      <c r="Q3984" s="486"/>
      <c r="R3984" s="486"/>
      <c r="S3984" s="486"/>
      <c r="T3984" s="102">
        <f t="shared" si="2932"/>
        <v>0</v>
      </c>
      <c r="U3984" s="78">
        <f>IF(NOT(ISNUMBER(G3984)), "", VLOOKUP(A3984,'Discount Lookup'!D:E,2,FALSE)*G3984)</f>
        <v>0</v>
      </c>
      <c r="V3984" s="78">
        <f>IF(NOT(ISNUMBER(G3984)), "", VLOOKUP(A3984,'Discount Lookup'!G:H,2,FALSE)*G3984)</f>
        <v>0</v>
      </c>
      <c r="W3984" s="102">
        <f t="shared" si="2933"/>
        <v>0</v>
      </c>
      <c r="X3984" s="102">
        <f t="shared" si="2934"/>
        <v>0</v>
      </c>
      <c r="Y3984" s="120" t="b">
        <f t="shared" si="2935"/>
        <v>0</v>
      </c>
      <c r="Z3984" s="117">
        <f t="shared" si="2936"/>
        <v>0</v>
      </c>
      <c r="AA3984" s="118"/>
      <c r="AB3984" s="118" t="str">
        <f t="shared" si="2937"/>
        <v/>
      </c>
      <c r="AC3984" s="712" t="str">
        <f>IF(AE3984="T2G","no charge",IF(AND(OR(PlanterYesMe="No",PlanterYesMe="N",PlanterYesMe="me"),H3984=""),"",IF(H3984="credit","NO install",IF(AND(K3984="",AE3984="me"),"EACH row",IF(AND(K3984="images",AE3984="me"),"EACH row",IF(D3984="","",IF(H3984="credit","",IF(AE3984="free","re-planting",IF(AE3984="me","   not ELP, by",IF(AND(OR(PlanterYesMe="Yes",PlanterYesMe="Y"),G3984&gt;0),(VLOOKUP(A3984,'Discount Lookup'!J:K,2)*G3984*(1-PlanterDiscount)*(1+PlanterDifficultyPercentage)),IF(AE3984="ELP",(VLOOKUP(A3984,'Discount Lookup'!J:K,2)*G3984*(1-PlanterDiscount)*(1+PlanterDifficultyPercentage)),IF(AE3984="free","re-planting",IF(G3984=0,"",IF(PlanterYesMe="",IF(AE3984="me","   not ELP, by",IF(AE3984="",IF(G3984&gt;0,(VLOOKUP(A3984,'Discount Lookup'!J:K,2)*G3984*(1-PlanterDiscount)*(1+PlanterDifficultyPercentage)),""),"")),"   not ELP, by"))))))))))))))</f>
        <v/>
      </c>
      <c r="AD3984" s="712"/>
      <c r="AE3984" s="513" t="str">
        <f t="shared" si="2938"/>
        <v/>
      </c>
      <c r="AF3984" s="713" t="str">
        <f t="shared" si="2939"/>
        <v/>
      </c>
      <c r="AG3984" s="713"/>
      <c r="AH3984" s="713"/>
      <c r="AI3984" s="112">
        <f>IF(H3984="credit",0,IF(AE3984="free",0,IF(AE3984="me",0,IF(G3984&gt;0,(VLOOKUP(A3984,'Discount Lookup'!J:K,2)*G3984),0))))</f>
        <v>0</v>
      </c>
      <c r="AJ3984" s="107" t="str">
        <f t="shared" ca="1" si="2940"/>
        <v/>
      </c>
      <c r="AK3984" s="714" t="str">
        <f t="shared" si="2941"/>
        <v/>
      </c>
      <c r="AL3984" s="714"/>
      <c r="AM3984" s="114" t="str">
        <f t="shared" si="2942"/>
        <v/>
      </c>
      <c r="AN3984" s="115"/>
      <c r="AO3984" s="116"/>
      <c r="AP3984" s="116"/>
      <c r="AQ3984" s="116"/>
      <c r="AR3984" s="116"/>
      <c r="AS3984" s="116"/>
      <c r="AT3984" s="116"/>
      <c r="AU3984" s="116"/>
      <c r="AV3984" s="78"/>
      <c r="AW3984" s="102"/>
      <c r="AX3984" s="78"/>
      <c r="AY3984" s="78"/>
      <c r="AZ3984" s="78"/>
      <c r="BA3984" s="78"/>
      <c r="BB3984" s="78"/>
      <c r="BC3984" s="78"/>
      <c r="BD3984" s="78"/>
      <c r="BE3984" s="465"/>
      <c r="BF3984" s="165" t="str">
        <f t="shared" si="2943"/>
        <v>https://www.google.com/search?tbm=isch&amp;q=15%20G5</v>
      </c>
      <c r="BG3984" s="165" t="str">
        <f t="shared" si="2944"/>
        <v>T</v>
      </c>
      <c r="BH3984" s="65"/>
      <c r="BI3984" s="65"/>
      <c r="BJ3984" s="65"/>
      <c r="BK3984" s="65"/>
      <c r="BL3984" s="99"/>
      <c r="BM3984" s="99"/>
      <c r="BN3984" s="99"/>
    </row>
    <row r="3985" spans="1:66" s="51" customFormat="1" ht="17.25" thickBot="1" x14ac:dyDescent="0.3">
      <c r="A3985" s="704" t="s">
        <v>5544</v>
      </c>
      <c r="B3985" s="642"/>
      <c r="C3985" s="710"/>
      <c r="D3985" s="643"/>
      <c r="E3985" s="643"/>
      <c r="F3985" s="644"/>
      <c r="G3985" s="645"/>
      <c r="H3985" s="646"/>
      <c r="I3985" s="647"/>
      <c r="J3985" s="648"/>
      <c r="K3985" s="649"/>
      <c r="L3985" s="650"/>
      <c r="M3985" s="650"/>
      <c r="N3985" s="644"/>
      <c r="O3985" s="644"/>
      <c r="P3985" s="644"/>
      <c r="Q3985" s="644"/>
      <c r="R3985" s="644"/>
      <c r="S3985" s="701" t="s">
        <v>5251</v>
      </c>
      <c r="T3985" s="102">
        <f t="shared" si="2932"/>
        <v>0</v>
      </c>
      <c r="U3985" s="78" t="str">
        <f>IF(NOT(ISNUMBER(G3985)), "", VLOOKUP(A3985,'Discount Lookup'!D:E,2,FALSE)*G3985)</f>
        <v/>
      </c>
      <c r="V3985" s="78" t="str">
        <f>IF(NOT(ISNUMBER(G3985)), "", VLOOKUP(A3985,'Discount Lookup'!G:H,2,FALSE)*G3985)</f>
        <v/>
      </c>
      <c r="W3985" s="102">
        <f t="shared" si="2933"/>
        <v>0</v>
      </c>
      <c r="X3985" s="102">
        <f t="shared" si="2934"/>
        <v>0</v>
      </c>
      <c r="Y3985" s="120" t="b">
        <f t="shared" si="2935"/>
        <v>0</v>
      </c>
      <c r="Z3985" s="117">
        <f t="shared" si="2936"/>
        <v>0</v>
      </c>
      <c r="AA3985" s="118"/>
      <c r="AB3985" s="118" t="str">
        <f t="shared" si="2937"/>
        <v/>
      </c>
      <c r="AC3985" s="712" t="str">
        <f>IF(AE3985="T2G","no charge",IF(AND(OR(PlanterYesMe="No",PlanterYesMe="N",PlanterYesMe="me"),H3985=""),"",IF(H3985="credit","NO install",IF(AND(K3985="",AE3985="me"),"EACH row",IF(AND(K3985="images",AE3985="me"),"EACH row",IF(D3985="","",IF(H3985="credit","",IF(AE3985="free","re-planting",IF(AE3985="me","   not ELP, by",IF(AND(OR(PlanterYesMe="Yes",PlanterYesMe="Y"),G3985&gt;0),(VLOOKUP(A3985,'Discount Lookup'!J:K,2)*G3985*(1-PlanterDiscount)*(1+PlanterDifficultyPercentage)),IF(AE3985="ELP",(VLOOKUP(A3985,'Discount Lookup'!J:K,2)*G3985*(1-PlanterDiscount)*(1+PlanterDifficultyPercentage)),IF(AE3985="free","re-planting",IF(G3985=0,"",IF(PlanterYesMe="",IF(AE3985="me","   not ELP, by",IF(AE3985="",IF(G3985&gt;0,(VLOOKUP(A3985,'Discount Lookup'!J:K,2)*G3985*(1-PlanterDiscount)*(1+PlanterDifficultyPercentage)),""),"")),"   not ELP, by"))))))))))))))</f>
        <v/>
      </c>
      <c r="AD3985" s="712"/>
      <c r="AE3985" s="513" t="str">
        <f t="shared" si="2938"/>
        <v/>
      </c>
      <c r="AF3985" s="713" t="str">
        <f t="shared" si="2939"/>
        <v/>
      </c>
      <c r="AG3985" s="713"/>
      <c r="AH3985" s="713"/>
      <c r="AI3985" s="112">
        <f>IF(H3985="credit",0,IF(AE3985="free",0,IF(AE3985="me",0,IF(G3985&gt;0,(VLOOKUP(A3985,'Discount Lookup'!J:K,2)*G3985),0))))</f>
        <v>0</v>
      </c>
      <c r="AJ3985" s="107" t="str">
        <f t="shared" ca="1" si="2940"/>
        <v/>
      </c>
      <c r="AK3985" s="714" t="str">
        <f t="shared" si="2941"/>
        <v/>
      </c>
      <c r="AL3985" s="714"/>
      <c r="AM3985" s="114" t="str">
        <f t="shared" si="2942"/>
        <v/>
      </c>
      <c r="AN3985" s="115"/>
      <c r="AO3985" s="116"/>
      <c r="AP3985" s="116"/>
      <c r="AQ3985" s="116"/>
      <c r="AR3985" s="116"/>
      <c r="AS3985" s="116"/>
      <c r="AT3985" s="116"/>
      <c r="AU3985" s="116"/>
      <c r="AV3985" s="78"/>
      <c r="AW3985" s="102"/>
      <c r="AX3985" s="78"/>
      <c r="AY3985" s="78"/>
      <c r="AZ3985" s="78"/>
      <c r="BA3985" s="78"/>
      <c r="BB3985" s="78"/>
      <c r="BC3985" s="78"/>
      <c r="BD3985" s="78"/>
      <c r="BE3985" s="465"/>
      <c r="BF3985" s="165" t="str">
        <f t="shared" si="2943"/>
        <v>https://www.google.com/search?tbm=isch&amp;q=wet%20sites%F0%9F%92%A7BEST%2C%20Bald%20Cypress%20is%20the%20classic%20swamp%20tree%2C%20turning%20Copper-Red%20in%20the%20fall.%20It%20withstands%20dry%20to%20wet%2C%20heavy%20to%20light%20soils%20</v>
      </c>
      <c r="BG3985" s="165" t="str">
        <f t="shared" si="2944"/>
        <v>w</v>
      </c>
      <c r="BH3985" s="65"/>
      <c r="BI3985" s="65"/>
      <c r="BJ3985" s="65"/>
      <c r="BK3985" s="65"/>
      <c r="BL3985" s="99"/>
      <c r="BM3985" s="99"/>
      <c r="BN3985" s="99"/>
    </row>
    <row r="3986" spans="1:66" s="51" customFormat="1" ht="18" x14ac:dyDescent="0.25">
      <c r="A3986" s="623" t="s">
        <v>4303</v>
      </c>
      <c r="B3986" s="624"/>
      <c r="C3986" s="709"/>
      <c r="D3986" s="625" t="s">
        <v>4304</v>
      </c>
      <c r="E3986" s="626"/>
      <c r="F3986" s="626"/>
      <c r="G3986" s="626"/>
      <c r="H3986" s="622" t="s">
        <v>4305</v>
      </c>
      <c r="I3986" s="627" t="s">
        <v>3913</v>
      </c>
      <c r="J3986" s="628"/>
      <c r="K3986" s="628"/>
      <c r="L3986" s="629"/>
      <c r="M3986" s="700" t="s">
        <v>5249</v>
      </c>
      <c r="N3986" s="693" t="str">
        <f>IF(AND(ISTEXT($A3986), ISERROR($A3986+0)), HYPERLINK($BF3986, "Images"), "")</f>
        <v>Images</v>
      </c>
      <c r="O3986" s="695" t="s">
        <v>5247</v>
      </c>
      <c r="P3986" s="630"/>
      <c r="Q3986" s="631"/>
      <c r="R3986" s="632"/>
      <c r="S3986" s="633"/>
      <c r="T3986" s="102">
        <f t="shared" si="2932"/>
        <v>0</v>
      </c>
      <c r="U3986" s="78" t="str">
        <f>IF(NOT(ISNUMBER(G3986)), "", VLOOKUP(A3986,'Discount Lookup'!D:E,2,FALSE)*G3986)</f>
        <v/>
      </c>
      <c r="V3986" s="78" t="str">
        <f>IF(NOT(ISNUMBER(G3986)), "", VLOOKUP(A3986,'Discount Lookup'!G:H,2,FALSE)*G3986)</f>
        <v/>
      </c>
      <c r="W3986" s="102">
        <f t="shared" si="2933"/>
        <v>0</v>
      </c>
      <c r="X3986" s="102" t="str">
        <f t="shared" si="2934"/>
        <v>Bright Green needles</v>
      </c>
      <c r="Y3986" s="120" t="b">
        <f t="shared" si="2935"/>
        <v>0</v>
      </c>
      <c r="Z3986" s="117">
        <f t="shared" si="2936"/>
        <v>0</v>
      </c>
      <c r="AA3986" s="118"/>
      <c r="AB3986" s="118" t="str">
        <f t="shared" si="2937"/>
        <v/>
      </c>
      <c r="AC3986" s="712" t="str">
        <f>IF(AE3986="T2G","no charge",IF(AND(OR(PlanterYesMe="No",PlanterYesMe="N",PlanterYesMe="me"),H3986=""),"",IF(H3986="credit","NO install",IF(AND(K3986="",AE3986="me"),"EACH row",IF(AND(K3986="images",AE3986="me"),"EACH row",IF(D3986="","",IF(H3986="credit","",IF(AE3986="free","re-planting",IF(AE3986="me","   not ELP, by",IF(AND(OR(PlanterYesMe="Yes",PlanterYesMe="Y"),G3986&gt;0),(VLOOKUP(A3986,'Discount Lookup'!J:K,2)*G3986*(1-PlanterDiscount)*(1+PlanterDifficultyPercentage)),IF(AE3986="ELP",(VLOOKUP(A3986,'Discount Lookup'!J:K,2)*G3986*(1-PlanterDiscount)*(1+PlanterDifficultyPercentage)),IF(AE3986="free","re-planting",IF(G3986=0,"",IF(PlanterYesMe="",IF(AE3986="me","   not ELP, by",IF(AE3986="",IF(G3986&gt;0,(VLOOKUP(A3986,'Discount Lookup'!J:K,2)*G3986*(1-PlanterDiscount)*(1+PlanterDifficultyPercentage)),""),"")),"   not ELP, by"))))))))))))))</f>
        <v/>
      </c>
      <c r="AD3986" s="712"/>
      <c r="AE3986" s="513" t="str">
        <f t="shared" si="2938"/>
        <v/>
      </c>
      <c r="AF3986" s="713" t="str">
        <f t="shared" si="2939"/>
        <v/>
      </c>
      <c r="AG3986" s="713"/>
      <c r="AH3986" s="713"/>
      <c r="AI3986" s="112">
        <f>IF(H3986="credit",0,IF(AE3986="free",0,IF(AE3986="me",0,IF(G3986&gt;0,(VLOOKUP(A3986,'Discount Lookup'!J:K,2)*G3986),0))))</f>
        <v>0</v>
      </c>
      <c r="AJ3986" s="107" t="str">
        <f t="shared" ca="1" si="2940"/>
        <v/>
      </c>
      <c r="AK3986" s="714" t="str">
        <f t="shared" si="2941"/>
        <v/>
      </c>
      <c r="AL3986" s="714"/>
      <c r="AM3986" s="114" t="str">
        <f t="shared" si="2942"/>
        <v/>
      </c>
      <c r="AN3986" s="115"/>
      <c r="AO3986" s="116"/>
      <c r="AP3986" s="116"/>
      <c r="AQ3986" s="116"/>
      <c r="AR3986" s="116"/>
      <c r="AS3986" s="116"/>
      <c r="AT3986" s="116"/>
      <c r="AU3986" s="116"/>
      <c r="AV3986" s="78"/>
      <c r="AW3986" s="102"/>
      <c r="AX3986" s="78"/>
      <c r="AY3986" s="78"/>
      <c r="AZ3986" s="78"/>
      <c r="BA3986" s="78"/>
      <c r="BB3986" s="78"/>
      <c r="BC3986" s="78"/>
      <c r="BD3986" s="78"/>
      <c r="BE3986" s="465"/>
      <c r="BF3986" s="165" t="str">
        <f t="shared" si="2943"/>
        <v>https://www.google.com/search?tbm=isch&amp;q=Taxodium%20distichum%20%27Cascade%20Falls%27%20PP%2312296%20Cascade%20Falls%20Bald%20Cypress</v>
      </c>
      <c r="BG3986" s="165" t="str">
        <f t="shared" si="2944"/>
        <v>T</v>
      </c>
      <c r="BH3986" s="65"/>
      <c r="BI3986" s="65"/>
      <c r="BJ3986" s="65"/>
      <c r="BK3986" s="65"/>
      <c r="BL3986" s="99"/>
      <c r="BM3986" s="99"/>
      <c r="BN3986" s="99"/>
    </row>
    <row r="3987" spans="1:66" s="51" customFormat="1" ht="15.75" x14ac:dyDescent="0.25">
      <c r="A3987" s="634">
        <v>7</v>
      </c>
      <c r="B3987" s="635" t="s">
        <v>291</v>
      </c>
      <c r="C3987" s="636" t="s">
        <v>4306</v>
      </c>
      <c r="D3987" s="637" t="s">
        <v>299</v>
      </c>
      <c r="E3987" s="638">
        <v>132.94999999999999</v>
      </c>
      <c r="F3987" s="639" t="s">
        <v>292</v>
      </c>
      <c r="G3987" s="484">
        <v>0</v>
      </c>
      <c r="H3987" s="691" t="str">
        <f>IF(G3987=0,"",IF(F3987="Buy",IF(G3987=1,"plant","plants"),IF(F3987&gt;0.01,"warranty","Error")))</f>
        <v/>
      </c>
      <c r="I3987" s="640">
        <f>IF(H3987="free",0,IF(H3987="credit",((E3987*(F3987))*G3987*-1),IF(F3987="Buy",(E3987*G3987),((E3987*(1-F3987))*G3987))))</f>
        <v>0</v>
      </c>
      <c r="J3987" s="640">
        <f>IF(H3987="warranty",0,(I3987*(_xlfn.SINGLE(SalesTaxPercentage))))</f>
        <v>0</v>
      </c>
      <c r="K3987" s="716">
        <f t="shared" ref="K3987" si="2973">I3987+J3987</f>
        <v>0</v>
      </c>
      <c r="L3987" s="716"/>
      <c r="M3987" s="689" t="str">
        <f ca="1">IF(AND(G3987&gt;0,E3987=0),"WARNING - no PRICE inserted",IF(H3987="free","FREE ~ no charge this plant",IF(H3987="credit",CONCATENATE("-$",ROUND(K3987*(1-_xlfn.SINGLE(T2GDiscount))*-1,2)," CREDIT after discount"),IF(_xlfn.SINGLE(T2GDiscount)=0,"",IF(G3987=0,"",IF(F3987="Buy",CONCATENATE("$",ROUND(K3987*(1-_xlfn.SINGLE(T2GDiscount)),2)," with ",(_xlfn.SINGLE(T2GDiscount)*100),"% discount"),CONCATENATE("$",ROUND(K3987*(1-_xlfn.SINGLE(T2GDiscount)),2)," with ",((_xlfn.SINGLE(T2GDiscount)*100+F3987*100)-(_xlfn.SINGLE(T2GDiscount)*100*F3987)),IF(F3987&gt;0,"% discounts",IF(_xlfn.SINGLE(NoWarrantyDiscount)&gt;0,"% discounts","% discount")))))))))</f>
        <v/>
      </c>
      <c r="N3987" s="690"/>
      <c r="O3987" s="486"/>
      <c r="P3987" s="486"/>
      <c r="Q3987" s="486"/>
      <c r="R3987" s="486"/>
      <c r="S3987" s="486"/>
      <c r="T3987" s="102">
        <f t="shared" si="2932"/>
        <v>0</v>
      </c>
      <c r="U3987" s="78">
        <f>IF(NOT(ISNUMBER(G3987)), "", VLOOKUP(A3987,'Discount Lookup'!D:E,2,FALSE)*G3987)</f>
        <v>0</v>
      </c>
      <c r="V3987" s="78">
        <f>IF(NOT(ISNUMBER(G3987)), "", VLOOKUP(A3987,'Discount Lookup'!G:H,2,FALSE)*G3987)</f>
        <v>0</v>
      </c>
      <c r="W3987" s="102">
        <f t="shared" si="2933"/>
        <v>0</v>
      </c>
      <c r="X3987" s="102">
        <f t="shared" si="2934"/>
        <v>0</v>
      </c>
      <c r="Y3987" s="120" t="b">
        <f t="shared" si="2935"/>
        <v>0</v>
      </c>
      <c r="Z3987" s="117">
        <f t="shared" si="2936"/>
        <v>0</v>
      </c>
      <c r="AA3987" s="118"/>
      <c r="AB3987" s="118" t="str">
        <f t="shared" si="2937"/>
        <v/>
      </c>
      <c r="AC3987" s="712" t="str">
        <f>IF(AE3987="T2G","no charge",IF(AND(OR(PlanterYesMe="No",PlanterYesMe="N",PlanterYesMe="me"),H3987=""),"",IF(H3987="credit","NO install",IF(AND(K3987="",AE3987="me"),"EACH row",IF(AND(K3987="images",AE3987="me"),"EACH row",IF(D3987="","",IF(H3987="credit","",IF(AE3987="free","re-planting",IF(AE3987="me","   not ELP, by",IF(AND(OR(PlanterYesMe="Yes",PlanterYesMe="Y"),G3987&gt;0),(VLOOKUP(A3987,'Discount Lookup'!J:K,2)*G3987*(1-PlanterDiscount)*(1+PlanterDifficultyPercentage)),IF(AE3987="ELP",(VLOOKUP(A3987,'Discount Lookup'!J:K,2)*G3987*(1-PlanterDiscount)*(1+PlanterDifficultyPercentage)),IF(AE3987="free","re-planting",IF(G3987=0,"",IF(PlanterYesMe="",IF(AE3987="me","   not ELP, by",IF(AE3987="",IF(G3987&gt;0,(VLOOKUP(A3987,'Discount Lookup'!J:K,2)*G3987*(1-PlanterDiscount)*(1+PlanterDifficultyPercentage)),""),"")),"   not ELP, by"))))))))))))))</f>
        <v/>
      </c>
      <c r="AD3987" s="712"/>
      <c r="AE3987" s="513" t="str">
        <f t="shared" si="2938"/>
        <v/>
      </c>
      <c r="AF3987" s="713" t="str">
        <f t="shared" si="2939"/>
        <v/>
      </c>
      <c r="AG3987" s="713"/>
      <c r="AH3987" s="713"/>
      <c r="AI3987" s="112">
        <f>IF(H3987="credit",0,IF(AE3987="free",0,IF(AE3987="me",0,IF(G3987&gt;0,(VLOOKUP(A3987,'Discount Lookup'!J:K,2)*G3987),0))))</f>
        <v>0</v>
      </c>
      <c r="AJ3987" s="107" t="str">
        <f t="shared" ca="1" si="2940"/>
        <v/>
      </c>
      <c r="AK3987" s="714" t="str">
        <f t="shared" si="2941"/>
        <v/>
      </c>
      <c r="AL3987" s="714"/>
      <c r="AM3987" s="114" t="str">
        <f t="shared" si="2942"/>
        <v/>
      </c>
      <c r="AN3987" s="115"/>
      <c r="AO3987" s="116"/>
      <c r="AP3987" s="116"/>
      <c r="AQ3987" s="116"/>
      <c r="AR3987" s="116"/>
      <c r="AS3987" s="116"/>
      <c r="AT3987" s="116"/>
      <c r="AU3987" s="116"/>
      <c r="AV3987" s="78"/>
      <c r="AW3987" s="102"/>
      <c r="AX3987" s="78"/>
      <c r="AY3987" s="78"/>
      <c r="AZ3987" s="78"/>
      <c r="BA3987" s="78"/>
      <c r="BB3987" s="78"/>
      <c r="BC3987" s="78"/>
      <c r="BD3987" s="78"/>
      <c r="BE3987" s="465"/>
      <c r="BF3987" s="165" t="str">
        <f t="shared" si="2943"/>
        <v>https://www.google.com/search?tbm=isch&amp;q=7%20G4</v>
      </c>
      <c r="BG3987" s="165" t="str">
        <f t="shared" si="2944"/>
        <v>T</v>
      </c>
      <c r="BH3987" s="65"/>
      <c r="BI3987" s="65"/>
      <c r="BJ3987" s="65"/>
      <c r="BK3987" s="65"/>
      <c r="BL3987" s="99"/>
      <c r="BM3987" s="99"/>
      <c r="BN3987" s="99"/>
    </row>
    <row r="3988" spans="1:66" s="51" customFormat="1" ht="15.75" x14ac:dyDescent="0.25">
      <c r="A3988" s="634">
        <v>25</v>
      </c>
      <c r="B3988" s="635" t="s">
        <v>291</v>
      </c>
      <c r="C3988" s="636" t="s">
        <v>1304</v>
      </c>
      <c r="D3988" s="637" t="s">
        <v>299</v>
      </c>
      <c r="E3988" s="638">
        <v>332.95</v>
      </c>
      <c r="F3988" s="639" t="s">
        <v>292</v>
      </c>
      <c r="G3988" s="484">
        <v>0</v>
      </c>
      <c r="H3988" s="691" t="str">
        <f>IF(G3988=0,"",IF(F3988="Buy",IF(G3988=1,"plant","plants"),IF(F3988&gt;0.01,"warranty","Error")))</f>
        <v/>
      </c>
      <c r="I3988" s="640">
        <f>IF(H3988="free",0,IF(H3988="credit",((E3988*(F3988))*G3988*-1),IF(F3988="Buy",(E3988*G3988),((E3988*(1-F3988))*G3988))))</f>
        <v>0</v>
      </c>
      <c r="J3988" s="640">
        <f>IF(H3988="warranty",0,(I3988*(_xlfn.SINGLE(SalesTaxPercentage))))</f>
        <v>0</v>
      </c>
      <c r="K3988" s="716">
        <f t="shared" ref="K3988" si="2974">I3988+J3988</f>
        <v>0</v>
      </c>
      <c r="L3988" s="716"/>
      <c r="M3988" s="689" t="str">
        <f ca="1">IF(AND(G3988&gt;0,E3988=0),"WARNING - no PRICE inserted",IF(H3988="free","FREE ~ no charge this plant",IF(H3988="credit",CONCATENATE("-$",ROUND(K3988*(1-_xlfn.SINGLE(T2GDiscount))*-1,2)," CREDIT after discount"),IF(_xlfn.SINGLE(T2GDiscount)=0,"",IF(G3988=0,"",IF(F3988="Buy",CONCATENATE("$",ROUND(K3988*(1-_xlfn.SINGLE(T2GDiscount)),2)," with ",(_xlfn.SINGLE(T2GDiscount)*100),"% discount"),CONCATENATE("$",ROUND(K3988*(1-_xlfn.SINGLE(T2GDiscount)),2)," with ",((_xlfn.SINGLE(T2GDiscount)*100+F3988*100)-(_xlfn.SINGLE(T2GDiscount)*100*F3988)),IF(F3988&gt;0,"% discounts",IF(_xlfn.SINGLE(NoWarrantyDiscount)&gt;0,"% discounts","% discount")))))))))</f>
        <v/>
      </c>
      <c r="N3988" s="690"/>
      <c r="O3988" s="486"/>
      <c r="P3988" s="486"/>
      <c r="Q3988" s="486"/>
      <c r="R3988" s="486"/>
      <c r="S3988" s="486"/>
      <c r="T3988" s="102">
        <f t="shared" ref="T3988:T4051" si="2975">E3988*G3988</f>
        <v>0</v>
      </c>
      <c r="U3988" s="78">
        <f>IF(NOT(ISNUMBER(G3988)), "", VLOOKUP(A3988,'Discount Lookup'!D:E,2,FALSE)*G3988)</f>
        <v>0</v>
      </c>
      <c r="V3988" s="78">
        <f>IF(NOT(ISNUMBER(G3988)), "", VLOOKUP(A3988,'Discount Lookup'!G:H,2,FALSE)*G3988)</f>
        <v>0</v>
      </c>
      <c r="W3988" s="102">
        <f t="shared" ref="W3988:W4051" si="2976">IF(H3988="credit",0,E3988*(SalesTaxPercentage)*G3988)</f>
        <v>0</v>
      </c>
      <c r="X3988" s="102">
        <f t="shared" ref="X3988:X4051" si="2977">I3988</f>
        <v>0</v>
      </c>
      <c r="Y3988" s="120" t="b">
        <f t="shared" ref="Y3988:Y4051" si="2978">IF(AE3988="T2G",0,IF(H3988="credit",0,IF(G3988&gt;0,IF(AE3988="me","",G3988))))</f>
        <v>0</v>
      </c>
      <c r="Z3988" s="117">
        <f t="shared" ref="Z3988:Z4051" si="2979">IF(H3988="credit",G3988,0)</f>
        <v>0</v>
      </c>
      <c r="AA3988" s="118"/>
      <c r="AB3988" s="118" t="str">
        <f t="shared" ref="AB3988:AB4051" si="2980">IF(AE3988="T2G","by Trees2Go",IF(H3988="credit","CREDIT only ~",IF(AND(K3988="",AE3988=OR(PlanterYesMe="No",PlanterYesMe="N",PlanterYesMe="me")),"not THIS line⇨",IF(AND(K3988="images",AE3988="me"),"not THIS line⇨",IF(H3988="credit","",IF(G3988=0,"",IF(AE3988="me","",IF(OR(PlanterYesMe="No",PlanterYesMe="N",PlanterYesMe="me"),"",IF(AE3988="free","warranty",IF(OR(PlanterYesMe="yes",PlanterYesMe="y"),"Edison install:","to install:"))))))))))</f>
        <v/>
      </c>
      <c r="AC3988" s="712" t="str">
        <f>IF(AE3988="T2G","no charge",IF(AND(OR(PlanterYesMe="No",PlanterYesMe="N",PlanterYesMe="me"),H3988=""),"",IF(H3988="credit","NO install",IF(AND(K3988="",AE3988="me"),"EACH row",IF(AND(K3988="images",AE3988="me"),"EACH row",IF(D3988="","",IF(H3988="credit","",IF(AE3988="free","re-planting",IF(AE3988="me","   not ELP, by",IF(AND(OR(PlanterYesMe="Yes",PlanterYesMe="Y"),G3988&gt;0),(VLOOKUP(A3988,'Discount Lookup'!J:K,2)*G3988*(1-PlanterDiscount)*(1+PlanterDifficultyPercentage)),IF(AE3988="ELP",(VLOOKUP(A3988,'Discount Lookup'!J:K,2)*G3988*(1-PlanterDiscount)*(1+PlanterDifficultyPercentage)),IF(AE3988="free","re-planting",IF(G3988=0,"",IF(PlanterYesMe="",IF(AE3988="me","   not ELP, by",IF(AE3988="",IF(G3988&gt;0,(VLOOKUP(A3988,'Discount Lookup'!J:K,2)*G3988*(1-PlanterDiscount)*(1+PlanterDifficultyPercentage)),""),"")),"   not ELP, by"))))))))))))))</f>
        <v/>
      </c>
      <c r="AD3988" s="712"/>
      <c r="AE3988" s="513" t="str">
        <f t="shared" ref="AE3988:AE4051" si="2981">IF(H3988="credit","",IF(G3988=0,"",IF(OR(PlanterYesMe="No",PlanterYesMe="N",PlanterYesMe="me"),"me",IF(H3988="warranty","free",IF(OR(PlanterYesMe="yes",PlanterYesMe="y"),"ELP","")))))</f>
        <v/>
      </c>
      <c r="AF3988" s="713" t="str">
        <f t="shared" ref="AF3988:AF4051" si="2982">IF(OR(PlanterYesMe="No",PlanterYesMe="N",PlanterYesMe="me"),"",IF(H3988="credit","",IF(G3988&gt;0,(CONCATENATE((G3988)," quantity, ",(A3988)," ",B3988)),"")))</f>
        <v/>
      </c>
      <c r="AG3988" s="713"/>
      <c r="AH3988" s="713"/>
      <c r="AI3988" s="112">
        <f>IF(H3988="credit",0,IF(AE3988="free",0,IF(AE3988="me",0,IF(G3988&gt;0,(VLOOKUP(A3988,'Discount Lookup'!J:K,2)*G3988),0))))</f>
        <v>0</v>
      </c>
      <c r="AJ3988" s="107" t="str">
        <f t="shared" ref="AJ3988:AJ4051" ca="1" si="2983">IF(AND(ISREF(H3988),H3988="credit"),"",IF(AND(AND(OFFSET(G3988,0,0)=0,OFFSET(G3988,1,0)&gt;0,ISNUMBER(OFFSET(AC3988,1,0)),OFFSET(AC3988,1,0)&gt;0),OR(PlanterYesMe="yes",PlanterYesMe="y")),"T2G+ELP=",IF(AND(OFFSET(G3988,0,0)=0,OFFSET(G3988,1,0)&gt;0,ISNUMBER(OFFSET(AC3988,1,0)),OFFSET(AC3988,1,0)&gt;0),"if T2G+ELP=",IF(AND(OFFSET(G3988,0,0)=0,OFFSET(G3988,1,0)&gt;0),"T2G Subtotal",IF(H3988="credit","",IF(G3988=0,"",IF(AE3988="free",(K3988*(1-T2GDiscount)),IF(OR(PlanterYesMe="No",PlanterYesMe="N",PlanterYesMe="me"),(K3988*(1-T2GDiscount)),IF(OR(AE3988="me",AE3988="T2G"),(K3988*(1-T2GDiscount)),(K3988*(1-T2GDiscount))+AC3988)))))))))</f>
        <v/>
      </c>
      <c r="AK3988" s="714" t="str">
        <f t="shared" ref="AK3988:AK4051" si="2984">IF(H3988="credit","",IF(G3988=0,"",IF(OR(AE3988="me",AE3988="T2G"),"  delivery-only",IF(OR(PlanterYesMe="No",PlanterYesMe="N",PlanterYesMe="me"),"  delivery-only",CONCATENATE(" $",ROUND(AJ3988/G3988,2)," each")))))</f>
        <v/>
      </c>
      <c r="AL3988" s="714"/>
      <c r="AM3988" s="114" t="str">
        <f t="shared" ref="AM3988:AM4051" si="2985">IF(H3988="credit","",IF(AE3988="free","      ~ discounts included, no tax or planting fee applies ~",IF(G3988=0,"",IF(OR(PlanterYesMe="No",PlanterYesMe="N",PlanterYesMe="me"),CONCATENATE(" $",ROUND(AJ3988/G3988,2)," per plant, with tax &amp; discount"),IF(OR(AE3988="me",AE3988="T2G"),CONCATENATE(" $",ROUND(AJ3988/G3988,2)," per plant, with tax &amp; discount"),CONCATENATE("= $",ROUND((K3988*(1-T2GDiscount))/G3988,2)," per plant + $",AC3988/G3988,(" per planting      ~ includes tax &amp; discounts ~")))))))</f>
        <v/>
      </c>
      <c r="AN3988" s="115"/>
      <c r="AO3988" s="116"/>
      <c r="AP3988" s="116"/>
      <c r="AQ3988" s="116"/>
      <c r="AR3988" s="116"/>
      <c r="AS3988" s="116"/>
      <c r="AT3988" s="116"/>
      <c r="AU3988" s="116"/>
      <c r="AV3988" s="78"/>
      <c r="AW3988" s="102"/>
      <c r="AX3988" s="78"/>
      <c r="AY3988" s="78"/>
      <c r="AZ3988" s="78"/>
      <c r="BA3988" s="78"/>
      <c r="BB3988" s="78"/>
      <c r="BC3988" s="78"/>
      <c r="BD3988" s="78"/>
      <c r="BE3988" s="465"/>
      <c r="BF3988" s="165" t="str">
        <f t="shared" ref="BF3988:BF4051" si="2986">"https://www.google.com/search?tbm=isch&amp;q=" &amp; _xlfn.ENCODEURL($A3988 &amp; " " &amp; $D3988)</f>
        <v>https://www.google.com/search?tbm=isch&amp;q=25%20G4</v>
      </c>
      <c r="BG3988" s="165" t="str">
        <f t="shared" ref="BG3988:BG4051" si="2987">IF(ISTEXT(A3988),LEFT(A3988,1),BG3987)</f>
        <v>T</v>
      </c>
      <c r="BH3988" s="65"/>
      <c r="BI3988" s="65"/>
      <c r="BJ3988" s="65"/>
      <c r="BK3988" s="65"/>
      <c r="BL3988" s="99"/>
      <c r="BM3988" s="99"/>
      <c r="BN3988" s="99"/>
    </row>
    <row r="3989" spans="1:66" s="51" customFormat="1" ht="27" x14ac:dyDescent="0.25">
      <c r="A3989" s="634">
        <v>25</v>
      </c>
      <c r="B3989" s="635" t="s">
        <v>291</v>
      </c>
      <c r="C3989" s="636" t="s">
        <v>4307</v>
      </c>
      <c r="D3989" s="637" t="s">
        <v>299</v>
      </c>
      <c r="E3989" s="638">
        <v>449.95</v>
      </c>
      <c r="F3989" s="639" t="s">
        <v>292</v>
      </c>
      <c r="G3989" s="484">
        <v>0</v>
      </c>
      <c r="H3989" s="691" t="str">
        <f>IF(G3989=0,"",IF(F3989="Buy",IF(G3989=1,"plant","plants"),IF(F3989&gt;0.01,"warranty","Error")))</f>
        <v/>
      </c>
      <c r="I3989" s="640">
        <f>IF(H3989="free",0,IF(H3989="credit",((E3989*(F3989))*G3989*-1),IF(F3989="Buy",(E3989*G3989),((E3989*(1-F3989))*G3989))))</f>
        <v>0</v>
      </c>
      <c r="J3989" s="640">
        <f>IF(H3989="warranty",0,(I3989*(_xlfn.SINGLE(SalesTaxPercentage))))</f>
        <v>0</v>
      </c>
      <c r="K3989" s="716">
        <f t="shared" ref="K3989" si="2988">I3989+J3989</f>
        <v>0</v>
      </c>
      <c r="L3989" s="716"/>
      <c r="M3989" s="689" t="str">
        <f ca="1">IF(AND(G3989&gt;0,E3989=0),"WARNING - no PRICE inserted",IF(H3989="free","FREE ~ no charge this plant",IF(H3989="credit",CONCATENATE("-$",ROUND(K3989*(1-_xlfn.SINGLE(T2GDiscount))*-1,2)," CREDIT after discount"),IF(_xlfn.SINGLE(T2GDiscount)=0,"",IF(G3989=0,"",IF(F3989="Buy",CONCATENATE("$",ROUND(K3989*(1-_xlfn.SINGLE(T2GDiscount)),2)," with ",(_xlfn.SINGLE(T2GDiscount)*100),"% discount"),CONCATENATE("$",ROUND(K3989*(1-_xlfn.SINGLE(T2GDiscount)),2)," with ",((_xlfn.SINGLE(T2GDiscount)*100+F3989*100)-(_xlfn.SINGLE(T2GDiscount)*100*F3989)),IF(F3989&gt;0,"% discounts",IF(_xlfn.SINGLE(NoWarrantyDiscount)&gt;0,"% discounts","% discount")))))))))</f>
        <v/>
      </c>
      <c r="N3989" s="690"/>
      <c r="O3989" s="486"/>
      <c r="P3989" s="486"/>
      <c r="Q3989" s="486"/>
      <c r="R3989" s="486"/>
      <c r="S3989" s="486"/>
      <c r="T3989" s="102">
        <f t="shared" si="2975"/>
        <v>0</v>
      </c>
      <c r="U3989" s="78">
        <f>IF(NOT(ISNUMBER(G3989)), "", VLOOKUP(A3989,'Discount Lookup'!D:E,2,FALSE)*G3989)</f>
        <v>0</v>
      </c>
      <c r="V3989" s="78">
        <f>IF(NOT(ISNUMBER(G3989)), "", VLOOKUP(A3989,'Discount Lookup'!G:H,2,FALSE)*G3989)</f>
        <v>0</v>
      </c>
      <c r="W3989" s="102">
        <f t="shared" si="2976"/>
        <v>0</v>
      </c>
      <c r="X3989" s="102">
        <f t="shared" si="2977"/>
        <v>0</v>
      </c>
      <c r="Y3989" s="120" t="b">
        <f t="shared" si="2978"/>
        <v>0</v>
      </c>
      <c r="Z3989" s="117">
        <f t="shared" si="2979"/>
        <v>0</v>
      </c>
      <c r="AA3989" s="118"/>
      <c r="AB3989" s="118" t="str">
        <f t="shared" si="2980"/>
        <v/>
      </c>
      <c r="AC3989" s="712" t="str">
        <f>IF(AE3989="T2G","no charge",IF(AND(OR(PlanterYesMe="No",PlanterYesMe="N",PlanterYesMe="me"),H3989=""),"",IF(H3989="credit","NO install",IF(AND(K3989="",AE3989="me"),"EACH row",IF(AND(K3989="images",AE3989="me"),"EACH row",IF(D3989="","",IF(H3989="credit","",IF(AE3989="free","re-planting",IF(AE3989="me","   not ELP, by",IF(AND(OR(PlanterYesMe="Yes",PlanterYesMe="Y"),G3989&gt;0),(VLOOKUP(A3989,'Discount Lookup'!J:K,2)*G3989*(1-PlanterDiscount)*(1+PlanterDifficultyPercentage)),IF(AE3989="ELP",(VLOOKUP(A3989,'Discount Lookup'!J:K,2)*G3989*(1-PlanterDiscount)*(1+PlanterDifficultyPercentage)),IF(AE3989="free","re-planting",IF(G3989=0,"",IF(PlanterYesMe="",IF(AE3989="me","   not ELP, by",IF(AE3989="",IF(G3989&gt;0,(VLOOKUP(A3989,'Discount Lookup'!J:K,2)*G3989*(1-PlanterDiscount)*(1+PlanterDifficultyPercentage)),""),"")),"   not ELP, by"))))))))))))))</f>
        <v/>
      </c>
      <c r="AD3989" s="712"/>
      <c r="AE3989" s="513" t="str">
        <f t="shared" si="2981"/>
        <v/>
      </c>
      <c r="AF3989" s="713" t="str">
        <f t="shared" si="2982"/>
        <v/>
      </c>
      <c r="AG3989" s="713"/>
      <c r="AH3989" s="713"/>
      <c r="AI3989" s="112">
        <f>IF(H3989="credit",0,IF(AE3989="free",0,IF(AE3989="me",0,IF(G3989&gt;0,(VLOOKUP(A3989,'Discount Lookup'!J:K,2)*G3989),0))))</f>
        <v>0</v>
      </c>
      <c r="AJ3989" s="107" t="str">
        <f t="shared" ca="1" si="2983"/>
        <v/>
      </c>
      <c r="AK3989" s="714" t="str">
        <f t="shared" si="2984"/>
        <v/>
      </c>
      <c r="AL3989" s="714"/>
      <c r="AM3989" s="114" t="str">
        <f t="shared" si="2985"/>
        <v/>
      </c>
      <c r="AN3989" s="115"/>
      <c r="AO3989" s="116"/>
      <c r="AP3989" s="116"/>
      <c r="AQ3989" s="116"/>
      <c r="AR3989" s="116"/>
      <c r="AS3989" s="116"/>
      <c r="AT3989" s="116"/>
      <c r="AU3989" s="116"/>
      <c r="AV3989" s="78"/>
      <c r="AW3989" s="102"/>
      <c r="AX3989" s="78"/>
      <c r="AY3989" s="78"/>
      <c r="AZ3989" s="78"/>
      <c r="BA3989" s="78"/>
      <c r="BB3989" s="78"/>
      <c r="BC3989" s="78"/>
      <c r="BD3989" s="78"/>
      <c r="BE3989" s="465"/>
      <c r="BF3989" s="165" t="str">
        <f t="shared" si="2986"/>
        <v>https://www.google.com/search?tbm=isch&amp;q=25%20G4</v>
      </c>
      <c r="BG3989" s="165" t="str">
        <f t="shared" si="2987"/>
        <v>T</v>
      </c>
      <c r="BH3989" s="65"/>
      <c r="BI3989" s="65"/>
      <c r="BJ3989" s="65"/>
      <c r="BK3989" s="65"/>
      <c r="BL3989" s="99"/>
      <c r="BM3989" s="99"/>
      <c r="BN3989" s="99"/>
    </row>
    <row r="3990" spans="1:66" s="51" customFormat="1" ht="17.25" thickBot="1" x14ac:dyDescent="0.3">
      <c r="A3990" s="704" t="s">
        <v>5545</v>
      </c>
      <c r="B3990" s="642"/>
      <c r="C3990" s="710"/>
      <c r="D3990" s="643"/>
      <c r="E3990" s="643"/>
      <c r="F3990" s="644"/>
      <c r="G3990" s="645"/>
      <c r="H3990" s="646"/>
      <c r="I3990" s="647"/>
      <c r="J3990" s="648"/>
      <c r="K3990" s="649"/>
      <c r="L3990" s="650"/>
      <c r="M3990" s="650"/>
      <c r="N3990" s="644"/>
      <c r="O3990" s="644"/>
      <c r="P3990" s="644"/>
      <c r="Q3990" s="644"/>
      <c r="R3990" s="644"/>
      <c r="S3990" s="701" t="s">
        <v>5253</v>
      </c>
      <c r="T3990" s="102">
        <f t="shared" si="2975"/>
        <v>0</v>
      </c>
      <c r="U3990" s="78" t="str">
        <f>IF(NOT(ISNUMBER(G3990)), "", VLOOKUP(A3990,'Discount Lookup'!D:E,2,FALSE)*G3990)</f>
        <v/>
      </c>
      <c r="V3990" s="78" t="str">
        <f>IF(NOT(ISNUMBER(G3990)), "", VLOOKUP(A3990,'Discount Lookup'!G:H,2,FALSE)*G3990)</f>
        <v/>
      </c>
      <c r="W3990" s="102">
        <f t="shared" si="2976"/>
        <v>0</v>
      </c>
      <c r="X3990" s="102">
        <f t="shared" si="2977"/>
        <v>0</v>
      </c>
      <c r="Y3990" s="120" t="b">
        <f t="shared" si="2978"/>
        <v>0</v>
      </c>
      <c r="Z3990" s="117">
        <f t="shared" si="2979"/>
        <v>0</v>
      </c>
      <c r="AA3990" s="118"/>
      <c r="AB3990" s="118" t="str">
        <f t="shared" si="2980"/>
        <v/>
      </c>
      <c r="AC3990" s="712" t="str">
        <f>IF(AE3990="T2G","no charge",IF(AND(OR(PlanterYesMe="No",PlanterYesMe="N",PlanterYesMe="me"),H3990=""),"",IF(H3990="credit","NO install",IF(AND(K3990="",AE3990="me"),"EACH row",IF(AND(K3990="images",AE3990="me"),"EACH row",IF(D3990="","",IF(H3990="credit","",IF(AE3990="free","re-planting",IF(AE3990="me","   not ELP, by",IF(AND(OR(PlanterYesMe="Yes",PlanterYesMe="Y"),G3990&gt;0),(VLOOKUP(A3990,'Discount Lookup'!J:K,2)*G3990*(1-PlanterDiscount)*(1+PlanterDifficultyPercentage)),IF(AE3990="ELP",(VLOOKUP(A3990,'Discount Lookup'!J:K,2)*G3990*(1-PlanterDiscount)*(1+PlanterDifficultyPercentage)),IF(AE3990="free","re-planting",IF(G3990=0,"",IF(PlanterYesMe="",IF(AE3990="me","   not ELP, by",IF(AE3990="",IF(G3990&gt;0,(VLOOKUP(A3990,'Discount Lookup'!J:K,2)*G3990*(1-PlanterDiscount)*(1+PlanterDifficultyPercentage)),""),"")),"   not ELP, by"))))))))))))))</f>
        <v/>
      </c>
      <c r="AD3990" s="712"/>
      <c r="AE3990" s="513" t="str">
        <f t="shared" si="2981"/>
        <v/>
      </c>
      <c r="AF3990" s="713" t="str">
        <f t="shared" si="2982"/>
        <v/>
      </c>
      <c r="AG3990" s="713"/>
      <c r="AH3990" s="713"/>
      <c r="AI3990" s="112">
        <f>IF(H3990="credit",0,IF(AE3990="free",0,IF(AE3990="me",0,IF(G3990&gt;0,(VLOOKUP(A3990,'Discount Lookup'!J:K,2)*G3990),0))))</f>
        <v>0</v>
      </c>
      <c r="AJ3990" s="107" t="str">
        <f t="shared" ca="1" si="2983"/>
        <v/>
      </c>
      <c r="AK3990" s="714" t="str">
        <f t="shared" si="2984"/>
        <v/>
      </c>
      <c r="AL3990" s="714"/>
      <c r="AM3990" s="114" t="str">
        <f t="shared" si="2985"/>
        <v/>
      </c>
      <c r="AN3990" s="115"/>
      <c r="AO3990" s="116"/>
      <c r="AP3990" s="116"/>
      <c r="AQ3990" s="116"/>
      <c r="AR3990" s="116"/>
      <c r="AS3990" s="116"/>
      <c r="AT3990" s="116"/>
      <c r="AU3990" s="116"/>
      <c r="AV3990" s="78"/>
      <c r="AW3990" s="102"/>
      <c r="AX3990" s="78"/>
      <c r="AY3990" s="78"/>
      <c r="AZ3990" s="78"/>
      <c r="BA3990" s="78"/>
      <c r="BB3990" s="78"/>
      <c r="BC3990" s="78"/>
      <c r="BD3990" s="78"/>
      <c r="BE3990" s="465"/>
      <c r="BF3990" s="165" t="str">
        <f t="shared" si="2986"/>
        <v>https://www.google.com/search?tbm=isch&amp;q=wet%20sites%F0%9F%92%A7BEST%2C%20Cascade%20Falls%20needles%20emerge%20Bright%20Green%2C%20then%20Sage%20Green%2C%20then%20Orange-Copper%20in%20fall.%20Red-Brown%20exfoliating%20bark%20</v>
      </c>
      <c r="BG3990" s="165" t="str">
        <f t="shared" si="2987"/>
        <v>w</v>
      </c>
      <c r="BH3990" s="65"/>
      <c r="BI3990" s="65"/>
      <c r="BJ3990" s="65"/>
      <c r="BK3990" s="65"/>
      <c r="BL3990" s="99"/>
      <c r="BM3990" s="99"/>
      <c r="BN3990" s="99"/>
    </row>
    <row r="3991" spans="1:66" s="51" customFormat="1" ht="18" x14ac:dyDescent="0.25">
      <c r="A3991" s="623" t="s">
        <v>4308</v>
      </c>
      <c r="B3991" s="624"/>
      <c r="C3991" s="709"/>
      <c r="D3991" s="625" t="s">
        <v>4309</v>
      </c>
      <c r="E3991" s="626"/>
      <c r="F3991" s="626"/>
      <c r="G3991" s="626"/>
      <c r="H3991" s="622" t="s">
        <v>307</v>
      </c>
      <c r="I3991" s="627" t="s">
        <v>4299</v>
      </c>
      <c r="J3991" s="628"/>
      <c r="K3991" s="628"/>
      <c r="L3991" s="629"/>
      <c r="M3991" s="700" t="s">
        <v>5241</v>
      </c>
      <c r="N3991" s="693" t="str">
        <f>IF(AND(ISTEXT($A3991), ISERROR($A3991+0)), HYPERLINK($BF3991, "Images"), "")</f>
        <v>Images</v>
      </c>
      <c r="O3991" s="695" t="s">
        <v>5244</v>
      </c>
      <c r="P3991" s="630"/>
      <c r="Q3991" s="631"/>
      <c r="R3991" s="632"/>
      <c r="S3991" s="633" t="s">
        <v>294</v>
      </c>
      <c r="T3991" s="102">
        <f t="shared" si="2975"/>
        <v>0</v>
      </c>
      <c r="U3991" s="78" t="str">
        <f>IF(NOT(ISNUMBER(G3991)), "", VLOOKUP(A3991,'Discount Lookup'!D:E,2,FALSE)*G3991)</f>
        <v/>
      </c>
      <c r="V3991" s="78" t="str">
        <f>IF(NOT(ISNUMBER(G3991)), "", VLOOKUP(A3991,'Discount Lookup'!G:H,2,FALSE)*G3991)</f>
        <v/>
      </c>
      <c r="W3991" s="102">
        <f t="shared" si="2976"/>
        <v>0</v>
      </c>
      <c r="X3991" s="102" t="str">
        <f t="shared" si="2977"/>
        <v>Light Green needles</v>
      </c>
      <c r="Y3991" s="120" t="b">
        <f t="shared" si="2978"/>
        <v>0</v>
      </c>
      <c r="Z3991" s="117">
        <f t="shared" si="2979"/>
        <v>0</v>
      </c>
      <c r="AA3991" s="118"/>
      <c r="AB3991" s="118" t="str">
        <f t="shared" si="2980"/>
        <v/>
      </c>
      <c r="AC3991" s="712" t="str">
        <f>IF(AE3991="T2G","no charge",IF(AND(OR(PlanterYesMe="No",PlanterYesMe="N",PlanterYesMe="me"),H3991=""),"",IF(H3991="credit","NO install",IF(AND(K3991="",AE3991="me"),"EACH row",IF(AND(K3991="images",AE3991="me"),"EACH row",IF(D3991="","",IF(H3991="credit","",IF(AE3991="free","re-planting",IF(AE3991="me","   not ELP, by",IF(AND(OR(PlanterYesMe="Yes",PlanterYesMe="Y"),G3991&gt;0),(VLOOKUP(A3991,'Discount Lookup'!J:K,2)*G3991*(1-PlanterDiscount)*(1+PlanterDifficultyPercentage)),IF(AE3991="ELP",(VLOOKUP(A3991,'Discount Lookup'!J:K,2)*G3991*(1-PlanterDiscount)*(1+PlanterDifficultyPercentage)),IF(AE3991="free","re-planting",IF(G3991=0,"",IF(PlanterYesMe="",IF(AE3991="me","   not ELP, by",IF(AE3991="",IF(G3991&gt;0,(VLOOKUP(A3991,'Discount Lookup'!J:K,2)*G3991*(1-PlanterDiscount)*(1+PlanterDifficultyPercentage)),""),"")),"   not ELP, by"))))))))))))))</f>
        <v/>
      </c>
      <c r="AD3991" s="712"/>
      <c r="AE3991" s="513" t="str">
        <f t="shared" si="2981"/>
        <v/>
      </c>
      <c r="AF3991" s="713" t="str">
        <f t="shared" si="2982"/>
        <v/>
      </c>
      <c r="AG3991" s="713"/>
      <c r="AH3991" s="713"/>
      <c r="AI3991" s="112">
        <f>IF(H3991="credit",0,IF(AE3991="free",0,IF(AE3991="me",0,IF(G3991&gt;0,(VLOOKUP(A3991,'Discount Lookup'!J:K,2)*G3991),0))))</f>
        <v>0</v>
      </c>
      <c r="AJ3991" s="107" t="str">
        <f t="shared" ca="1" si="2983"/>
        <v/>
      </c>
      <c r="AK3991" s="714" t="str">
        <f t="shared" si="2984"/>
        <v/>
      </c>
      <c r="AL3991" s="714"/>
      <c r="AM3991" s="114" t="str">
        <f t="shared" si="2985"/>
        <v/>
      </c>
      <c r="AN3991" s="115"/>
      <c r="AO3991" s="116"/>
      <c r="AP3991" s="116"/>
      <c r="AQ3991" s="116"/>
      <c r="AR3991" s="116"/>
      <c r="AS3991" s="116"/>
      <c r="AT3991" s="116"/>
      <c r="AU3991" s="116"/>
      <c r="AV3991" s="78"/>
      <c r="AW3991" s="102"/>
      <c r="AX3991" s="78"/>
      <c r="AY3991" s="78"/>
      <c r="AZ3991" s="78"/>
      <c r="BA3991" s="78"/>
      <c r="BB3991" s="78"/>
      <c r="BC3991" s="78"/>
      <c r="BD3991" s="78"/>
      <c r="BE3991" s="465"/>
      <c r="BF3991" s="165" t="str">
        <f t="shared" si="2986"/>
        <v>https://www.google.com/search?tbm=isch&amp;q=Taxodium%20distichum%20%27Jim%27s%20Little%20Guy%27%20PP%2312296%20Jim%27s%20Little%20Guy%20Bald%20Cypress</v>
      </c>
      <c r="BG3991" s="165" t="str">
        <f t="shared" si="2987"/>
        <v>T</v>
      </c>
      <c r="BH3991" s="65"/>
      <c r="BI3991" s="65"/>
      <c r="BJ3991" s="65"/>
      <c r="BK3991" s="65"/>
      <c r="BL3991" s="99"/>
      <c r="BM3991" s="99"/>
      <c r="BN3991" s="99"/>
    </row>
    <row r="3992" spans="1:66" s="51" customFormat="1" ht="15.75" x14ac:dyDescent="0.25">
      <c r="A3992" s="634">
        <v>7</v>
      </c>
      <c r="B3992" s="635" t="s">
        <v>291</v>
      </c>
      <c r="C3992" s="636" t="s">
        <v>2444</v>
      </c>
      <c r="D3992" s="637" t="s">
        <v>299</v>
      </c>
      <c r="E3992" s="638">
        <v>132.94999999999999</v>
      </c>
      <c r="F3992" s="639" t="s">
        <v>292</v>
      </c>
      <c r="G3992" s="484">
        <v>0</v>
      </c>
      <c r="H3992" s="691" t="str">
        <f>IF(G3992=0,"",IF(F3992="Buy",IF(G3992=1,"plant","plants"),IF(F3992&gt;0.01,"warranty","Error")))</f>
        <v/>
      </c>
      <c r="I3992" s="640">
        <f>IF(H3992="free",0,IF(H3992="credit",((E3992*(F3992))*G3992*-1),IF(F3992="Buy",(E3992*G3992),((E3992*(1-F3992))*G3992))))</f>
        <v>0</v>
      </c>
      <c r="J3992" s="640">
        <f>IF(H3992="warranty",0,(I3992*(_xlfn.SINGLE(SalesTaxPercentage))))</f>
        <v>0</v>
      </c>
      <c r="K3992" s="716">
        <f t="shared" ref="K3992" si="2989">I3992+J3992</f>
        <v>0</v>
      </c>
      <c r="L3992" s="716"/>
      <c r="M3992" s="689" t="str">
        <f ca="1">IF(AND(G3992&gt;0,E3992=0),"WARNING - no PRICE inserted",IF(H3992="free","FREE ~ no charge this plant",IF(H3992="credit",CONCATENATE("-$",ROUND(K3992*(1-_xlfn.SINGLE(T2GDiscount))*-1,2)," CREDIT after discount"),IF(_xlfn.SINGLE(T2GDiscount)=0,"",IF(G3992=0,"",IF(F3992="Buy",CONCATENATE("$",ROUND(K3992*(1-_xlfn.SINGLE(T2GDiscount)),2)," with ",(_xlfn.SINGLE(T2GDiscount)*100),"% discount"),CONCATENATE("$",ROUND(K3992*(1-_xlfn.SINGLE(T2GDiscount)),2)," with ",((_xlfn.SINGLE(T2GDiscount)*100+F3992*100)-(_xlfn.SINGLE(T2GDiscount)*100*F3992)),IF(F3992&gt;0,"% discounts",IF(_xlfn.SINGLE(NoWarrantyDiscount)&gt;0,"% discounts","% discount")))))))))</f>
        <v/>
      </c>
      <c r="N3992" s="690"/>
      <c r="O3992" s="486"/>
      <c r="P3992" s="486"/>
      <c r="Q3992" s="486"/>
      <c r="R3992" s="486"/>
      <c r="S3992" s="486"/>
      <c r="T3992" s="102">
        <f t="shared" si="2975"/>
        <v>0</v>
      </c>
      <c r="U3992" s="78">
        <f>IF(NOT(ISNUMBER(G3992)), "", VLOOKUP(A3992,'Discount Lookup'!D:E,2,FALSE)*G3992)</f>
        <v>0</v>
      </c>
      <c r="V3992" s="78">
        <f>IF(NOT(ISNUMBER(G3992)), "", VLOOKUP(A3992,'Discount Lookup'!G:H,2,FALSE)*G3992)</f>
        <v>0</v>
      </c>
      <c r="W3992" s="102">
        <f t="shared" si="2976"/>
        <v>0</v>
      </c>
      <c r="X3992" s="102">
        <f t="shared" si="2977"/>
        <v>0</v>
      </c>
      <c r="Y3992" s="120" t="b">
        <f t="shared" si="2978"/>
        <v>0</v>
      </c>
      <c r="Z3992" s="117">
        <f t="shared" si="2979"/>
        <v>0</v>
      </c>
      <c r="AA3992" s="118"/>
      <c r="AB3992" s="118" t="str">
        <f t="shared" si="2980"/>
        <v/>
      </c>
      <c r="AC3992" s="712" t="str">
        <f>IF(AE3992="T2G","no charge",IF(AND(OR(PlanterYesMe="No",PlanterYesMe="N",PlanterYesMe="me"),H3992=""),"",IF(H3992="credit","NO install",IF(AND(K3992="",AE3992="me"),"EACH row",IF(AND(K3992="images",AE3992="me"),"EACH row",IF(D3992="","",IF(H3992="credit","",IF(AE3992="free","re-planting",IF(AE3992="me","   not ELP, by",IF(AND(OR(PlanterYesMe="Yes",PlanterYesMe="Y"),G3992&gt;0),(VLOOKUP(A3992,'Discount Lookup'!J:K,2)*G3992*(1-PlanterDiscount)*(1+PlanterDifficultyPercentage)),IF(AE3992="ELP",(VLOOKUP(A3992,'Discount Lookup'!J:K,2)*G3992*(1-PlanterDiscount)*(1+PlanterDifficultyPercentage)),IF(AE3992="free","re-planting",IF(G3992=0,"",IF(PlanterYesMe="",IF(AE3992="me","   not ELP, by",IF(AE3992="",IF(G3992&gt;0,(VLOOKUP(A3992,'Discount Lookup'!J:K,2)*G3992*(1-PlanterDiscount)*(1+PlanterDifficultyPercentage)),""),"")),"   not ELP, by"))))))))))))))</f>
        <v/>
      </c>
      <c r="AD3992" s="712"/>
      <c r="AE3992" s="513" t="str">
        <f t="shared" si="2981"/>
        <v/>
      </c>
      <c r="AF3992" s="713" t="str">
        <f t="shared" si="2982"/>
        <v/>
      </c>
      <c r="AG3992" s="713"/>
      <c r="AH3992" s="713"/>
      <c r="AI3992" s="112">
        <f>IF(H3992="credit",0,IF(AE3992="free",0,IF(AE3992="me",0,IF(G3992&gt;0,(VLOOKUP(A3992,'Discount Lookup'!J:K,2)*G3992),0))))</f>
        <v>0</v>
      </c>
      <c r="AJ3992" s="107" t="str">
        <f t="shared" ca="1" si="2983"/>
        <v/>
      </c>
      <c r="AK3992" s="714" t="str">
        <f t="shared" si="2984"/>
        <v/>
      </c>
      <c r="AL3992" s="714"/>
      <c r="AM3992" s="114" t="str">
        <f t="shared" si="2985"/>
        <v/>
      </c>
      <c r="AN3992" s="115"/>
      <c r="AO3992" s="116"/>
      <c r="AP3992" s="116"/>
      <c r="AQ3992" s="116"/>
      <c r="AR3992" s="116"/>
      <c r="AS3992" s="116"/>
      <c r="AT3992" s="116"/>
      <c r="AU3992" s="116"/>
      <c r="AV3992" s="78"/>
      <c r="AW3992" s="102"/>
      <c r="AX3992" s="78"/>
      <c r="AY3992" s="78"/>
      <c r="AZ3992" s="78"/>
      <c r="BA3992" s="78"/>
      <c r="BB3992" s="78"/>
      <c r="BC3992" s="78"/>
      <c r="BD3992" s="78"/>
      <c r="BE3992" s="465"/>
      <c r="BF3992" s="165" t="str">
        <f t="shared" si="2986"/>
        <v>https://www.google.com/search?tbm=isch&amp;q=7%20G4</v>
      </c>
      <c r="BG3992" s="165" t="str">
        <f t="shared" si="2987"/>
        <v>T</v>
      </c>
      <c r="BH3992" s="65"/>
      <c r="BI3992" s="65"/>
      <c r="BJ3992" s="65"/>
      <c r="BK3992" s="65"/>
      <c r="BL3992" s="99"/>
      <c r="BM3992" s="99"/>
      <c r="BN3992" s="99"/>
    </row>
    <row r="3993" spans="1:66" s="51" customFormat="1" ht="15.75" x14ac:dyDescent="0.25">
      <c r="A3993" s="634">
        <v>15</v>
      </c>
      <c r="B3993" s="635" t="s">
        <v>291</v>
      </c>
      <c r="C3993" s="636" t="s">
        <v>4310</v>
      </c>
      <c r="D3993" s="637" t="s">
        <v>299</v>
      </c>
      <c r="E3993" s="638">
        <v>284.95</v>
      </c>
      <c r="F3993" s="639" t="s">
        <v>292</v>
      </c>
      <c r="G3993" s="484">
        <v>0</v>
      </c>
      <c r="H3993" s="691" t="str">
        <f>IF(G3993=0,"",IF(F3993="Buy",IF(G3993=1,"plant","plants"),IF(F3993&gt;0.01,"warranty","Error")))</f>
        <v/>
      </c>
      <c r="I3993" s="640">
        <f>IF(H3993="free",0,IF(H3993="credit",((E3993*(F3993))*G3993*-1),IF(F3993="Buy",(E3993*G3993),((E3993*(1-F3993))*G3993))))</f>
        <v>0</v>
      </c>
      <c r="J3993" s="640">
        <f>IF(H3993="warranty",0,(I3993*(_xlfn.SINGLE(SalesTaxPercentage))))</f>
        <v>0</v>
      </c>
      <c r="K3993" s="716">
        <f t="shared" ref="K3993" si="2990">I3993+J3993</f>
        <v>0</v>
      </c>
      <c r="L3993" s="716"/>
      <c r="M3993" s="689" t="str">
        <f ca="1">IF(AND(G3993&gt;0,E3993=0),"WARNING - no PRICE inserted",IF(H3993="free","FREE ~ no charge this plant",IF(H3993="credit",CONCATENATE("-$",ROUND(K3993*(1-_xlfn.SINGLE(T2GDiscount))*-1,2)," CREDIT after discount"),IF(_xlfn.SINGLE(T2GDiscount)=0,"",IF(G3993=0,"",IF(F3993="Buy",CONCATENATE("$",ROUND(K3993*(1-_xlfn.SINGLE(T2GDiscount)),2)," with ",(_xlfn.SINGLE(T2GDiscount)*100),"% discount"),CONCATENATE("$",ROUND(K3993*(1-_xlfn.SINGLE(T2GDiscount)),2)," with ",((_xlfn.SINGLE(T2GDiscount)*100+F3993*100)-(_xlfn.SINGLE(T2GDiscount)*100*F3993)),IF(F3993&gt;0,"% discounts",IF(_xlfn.SINGLE(NoWarrantyDiscount)&gt;0,"% discounts","% discount")))))))))</f>
        <v/>
      </c>
      <c r="N3993" s="690"/>
      <c r="O3993" s="486"/>
      <c r="P3993" s="486"/>
      <c r="Q3993" s="486"/>
      <c r="R3993" s="486"/>
      <c r="S3993" s="486"/>
      <c r="T3993" s="102">
        <f t="shared" si="2975"/>
        <v>0</v>
      </c>
      <c r="U3993" s="78">
        <f>IF(NOT(ISNUMBER(G3993)), "", VLOOKUP(A3993,'Discount Lookup'!D:E,2,FALSE)*G3993)</f>
        <v>0</v>
      </c>
      <c r="V3993" s="78">
        <f>IF(NOT(ISNUMBER(G3993)), "", VLOOKUP(A3993,'Discount Lookup'!G:H,2,FALSE)*G3993)</f>
        <v>0</v>
      </c>
      <c r="W3993" s="102">
        <f t="shared" si="2976"/>
        <v>0</v>
      </c>
      <c r="X3993" s="102">
        <f t="shared" si="2977"/>
        <v>0</v>
      </c>
      <c r="Y3993" s="120" t="b">
        <f t="shared" si="2978"/>
        <v>0</v>
      </c>
      <c r="Z3993" s="117">
        <f t="shared" si="2979"/>
        <v>0</v>
      </c>
      <c r="AA3993" s="118"/>
      <c r="AB3993" s="118" t="str">
        <f t="shared" si="2980"/>
        <v/>
      </c>
      <c r="AC3993" s="712" t="str">
        <f>IF(AE3993="T2G","no charge",IF(AND(OR(PlanterYesMe="No",PlanterYesMe="N",PlanterYesMe="me"),H3993=""),"",IF(H3993="credit","NO install",IF(AND(K3993="",AE3993="me"),"EACH row",IF(AND(K3993="images",AE3993="me"),"EACH row",IF(D3993="","",IF(H3993="credit","",IF(AE3993="free","re-planting",IF(AE3993="me","   not ELP, by",IF(AND(OR(PlanterYesMe="Yes",PlanterYesMe="Y"),G3993&gt;0),(VLOOKUP(A3993,'Discount Lookup'!J:K,2)*G3993*(1-PlanterDiscount)*(1+PlanterDifficultyPercentage)),IF(AE3993="ELP",(VLOOKUP(A3993,'Discount Lookup'!J:K,2)*G3993*(1-PlanterDiscount)*(1+PlanterDifficultyPercentage)),IF(AE3993="free","re-planting",IF(G3993=0,"",IF(PlanterYesMe="",IF(AE3993="me","   not ELP, by",IF(AE3993="",IF(G3993&gt;0,(VLOOKUP(A3993,'Discount Lookup'!J:K,2)*G3993*(1-PlanterDiscount)*(1+PlanterDifficultyPercentage)),""),"")),"   not ELP, by"))))))))))))))</f>
        <v/>
      </c>
      <c r="AD3993" s="712"/>
      <c r="AE3993" s="513" t="str">
        <f t="shared" si="2981"/>
        <v/>
      </c>
      <c r="AF3993" s="713" t="str">
        <f t="shared" si="2982"/>
        <v/>
      </c>
      <c r="AG3993" s="713"/>
      <c r="AH3993" s="713"/>
      <c r="AI3993" s="112">
        <f>IF(H3993="credit",0,IF(AE3993="free",0,IF(AE3993="me",0,IF(G3993&gt;0,(VLOOKUP(A3993,'Discount Lookup'!J:K,2)*G3993),0))))</f>
        <v>0</v>
      </c>
      <c r="AJ3993" s="107" t="str">
        <f t="shared" ca="1" si="2983"/>
        <v/>
      </c>
      <c r="AK3993" s="714" t="str">
        <f t="shared" si="2984"/>
        <v/>
      </c>
      <c r="AL3993" s="714"/>
      <c r="AM3993" s="114" t="str">
        <f t="shared" si="2985"/>
        <v/>
      </c>
      <c r="AN3993" s="115"/>
      <c r="AO3993" s="116"/>
      <c r="AP3993" s="116"/>
      <c r="AQ3993" s="116"/>
      <c r="AR3993" s="116"/>
      <c r="AS3993" s="116"/>
      <c r="AT3993" s="116"/>
      <c r="AU3993" s="116"/>
      <c r="AV3993" s="78"/>
      <c r="AW3993" s="102"/>
      <c r="AX3993" s="78"/>
      <c r="AY3993" s="78"/>
      <c r="AZ3993" s="78"/>
      <c r="BA3993" s="78"/>
      <c r="BB3993" s="78"/>
      <c r="BC3993" s="78"/>
      <c r="BD3993" s="78"/>
      <c r="BE3993" s="465"/>
      <c r="BF3993" s="165" t="str">
        <f t="shared" si="2986"/>
        <v>https://www.google.com/search?tbm=isch&amp;q=15%20G4</v>
      </c>
      <c r="BG3993" s="165" t="str">
        <f t="shared" si="2987"/>
        <v>T</v>
      </c>
      <c r="BH3993" s="65"/>
      <c r="BI3993" s="65"/>
      <c r="BJ3993" s="65"/>
      <c r="BK3993" s="65"/>
      <c r="BL3993" s="99"/>
      <c r="BM3993" s="99"/>
      <c r="BN3993" s="99"/>
    </row>
    <row r="3994" spans="1:66" s="51" customFormat="1" ht="17.25" thickBot="1" x14ac:dyDescent="0.3">
      <c r="A3994" s="704" t="s">
        <v>5546</v>
      </c>
      <c r="B3994" s="642"/>
      <c r="C3994" s="710"/>
      <c r="D3994" s="643"/>
      <c r="E3994" s="643"/>
      <c r="F3994" s="644"/>
      <c r="G3994" s="645"/>
      <c r="H3994" s="646"/>
      <c r="I3994" s="647"/>
      <c r="J3994" s="648"/>
      <c r="K3994" s="649"/>
      <c r="L3994" s="650"/>
      <c r="M3994" s="650"/>
      <c r="N3994" s="644"/>
      <c r="O3994" s="644"/>
      <c r="P3994" s="644"/>
      <c r="Q3994" s="644"/>
      <c r="R3994" s="644"/>
      <c r="S3994" s="701" t="s">
        <v>5308</v>
      </c>
      <c r="T3994" s="102">
        <f t="shared" si="2975"/>
        <v>0</v>
      </c>
      <c r="U3994" s="78" t="str">
        <f>IF(NOT(ISNUMBER(G3994)), "", VLOOKUP(A3994,'Discount Lookup'!D:E,2,FALSE)*G3994)</f>
        <v/>
      </c>
      <c r="V3994" s="78" t="str">
        <f>IF(NOT(ISNUMBER(G3994)), "", VLOOKUP(A3994,'Discount Lookup'!G:H,2,FALSE)*G3994)</f>
        <v/>
      </c>
      <c r="W3994" s="102">
        <f t="shared" si="2976"/>
        <v>0</v>
      </c>
      <c r="X3994" s="102">
        <f t="shared" si="2977"/>
        <v>0</v>
      </c>
      <c r="Y3994" s="120" t="b">
        <f t="shared" si="2978"/>
        <v>0</v>
      </c>
      <c r="Z3994" s="117">
        <f t="shared" si="2979"/>
        <v>0</v>
      </c>
      <c r="AA3994" s="118"/>
      <c r="AB3994" s="118" t="str">
        <f t="shared" si="2980"/>
        <v/>
      </c>
      <c r="AC3994" s="712" t="str">
        <f>IF(AE3994="T2G","no charge",IF(AND(OR(PlanterYesMe="No",PlanterYesMe="N",PlanterYesMe="me"),H3994=""),"",IF(H3994="credit","NO install",IF(AND(K3994="",AE3994="me"),"EACH row",IF(AND(K3994="images",AE3994="me"),"EACH row",IF(D3994="","",IF(H3994="credit","",IF(AE3994="free","re-planting",IF(AE3994="me","   not ELP, by",IF(AND(OR(PlanterYesMe="Yes",PlanterYesMe="Y"),G3994&gt;0),(VLOOKUP(A3994,'Discount Lookup'!J:K,2)*G3994*(1-PlanterDiscount)*(1+PlanterDifficultyPercentage)),IF(AE3994="ELP",(VLOOKUP(A3994,'Discount Lookup'!J:K,2)*G3994*(1-PlanterDiscount)*(1+PlanterDifficultyPercentage)),IF(AE3994="free","re-planting",IF(G3994=0,"",IF(PlanterYesMe="",IF(AE3994="me","   not ELP, by",IF(AE3994="",IF(G3994&gt;0,(VLOOKUP(A3994,'Discount Lookup'!J:K,2)*G3994*(1-PlanterDiscount)*(1+PlanterDifficultyPercentage)),""),"")),"   not ELP, by"))))))))))))))</f>
        <v/>
      </c>
      <c r="AD3994" s="712"/>
      <c r="AE3994" s="513" t="str">
        <f t="shared" si="2981"/>
        <v/>
      </c>
      <c r="AF3994" s="713" t="str">
        <f t="shared" si="2982"/>
        <v/>
      </c>
      <c r="AG3994" s="713"/>
      <c r="AH3994" s="713"/>
      <c r="AI3994" s="112">
        <f>IF(H3994="credit",0,IF(AE3994="free",0,IF(AE3994="me",0,IF(G3994&gt;0,(VLOOKUP(A3994,'Discount Lookup'!J:K,2)*G3994),0))))</f>
        <v>0</v>
      </c>
      <c r="AJ3994" s="107" t="str">
        <f t="shared" ca="1" si="2983"/>
        <v/>
      </c>
      <c r="AK3994" s="714" t="str">
        <f t="shared" si="2984"/>
        <v/>
      </c>
      <c r="AL3994" s="714"/>
      <c r="AM3994" s="114" t="str">
        <f t="shared" si="2985"/>
        <v/>
      </c>
      <c r="AN3994" s="115"/>
      <c r="AO3994" s="116"/>
      <c r="AP3994" s="116"/>
      <c r="AQ3994" s="116"/>
      <c r="AR3994" s="116"/>
      <c r="AS3994" s="116"/>
      <c r="AT3994" s="116"/>
      <c r="AU3994" s="116"/>
      <c r="AV3994" s="78"/>
      <c r="AW3994" s="102"/>
      <c r="AX3994" s="78"/>
      <c r="AY3994" s="78"/>
      <c r="AZ3994" s="78"/>
      <c r="BA3994" s="78"/>
      <c r="BB3994" s="78"/>
      <c r="BC3994" s="78"/>
      <c r="BD3994" s="78"/>
      <c r="BE3994" s="465"/>
      <c r="BF3994" s="165" t="str">
        <f t="shared" si="2986"/>
        <v>https://www.google.com/search?tbm=isch&amp;q=wet%20sites%F0%9F%92%A7BEST%2C%20Jim%27s%20Little%20Guy%20mimics%20it%27s%20much%20larger%20siblings%2C%20with%20form%2C%20look%2C%20texture%2C%20and%20stateliness%20</v>
      </c>
      <c r="BG3994" s="165" t="str">
        <f t="shared" si="2987"/>
        <v>w</v>
      </c>
      <c r="BH3994" s="65"/>
      <c r="BI3994" s="65"/>
      <c r="BJ3994" s="65"/>
      <c r="BK3994" s="65"/>
      <c r="BL3994" s="99"/>
      <c r="BM3994" s="99"/>
      <c r="BN3994" s="99"/>
    </row>
    <row r="3995" spans="1:66" s="51" customFormat="1" ht="18" x14ac:dyDescent="0.25">
      <c r="A3995" s="623" t="s">
        <v>4311</v>
      </c>
      <c r="B3995" s="624"/>
      <c r="C3995" s="709"/>
      <c r="D3995" s="625" t="s">
        <v>4312</v>
      </c>
      <c r="E3995" s="626"/>
      <c r="F3995" s="626"/>
      <c r="G3995" s="626"/>
      <c r="H3995" s="622" t="s">
        <v>4298</v>
      </c>
      <c r="I3995" s="627" t="s">
        <v>683</v>
      </c>
      <c r="J3995" s="628"/>
      <c r="K3995" s="628"/>
      <c r="L3995" s="629"/>
      <c r="M3995" s="700" t="s">
        <v>5241</v>
      </c>
      <c r="N3995" s="693" t="str">
        <f>IF(AND(ISTEXT($A3995), ISERROR($A3995+0)), HYPERLINK($BF3995, "Images"), "")</f>
        <v>Images</v>
      </c>
      <c r="O3995" s="695" t="s">
        <v>5244</v>
      </c>
      <c r="P3995" s="630"/>
      <c r="Q3995" s="631"/>
      <c r="R3995" s="632"/>
      <c r="S3995" s="633" t="s">
        <v>294</v>
      </c>
      <c r="T3995" s="102">
        <f t="shared" si="2975"/>
        <v>0</v>
      </c>
      <c r="U3995" s="78" t="str">
        <f>IF(NOT(ISNUMBER(G3995)), "", VLOOKUP(A3995,'Discount Lookup'!D:E,2,FALSE)*G3995)</f>
        <v/>
      </c>
      <c r="V3995" s="78" t="str">
        <f>IF(NOT(ISNUMBER(G3995)), "", VLOOKUP(A3995,'Discount Lookup'!G:H,2,FALSE)*G3995)</f>
        <v/>
      </c>
      <c r="W3995" s="102">
        <f t="shared" si="2976"/>
        <v>0</v>
      </c>
      <c r="X3995" s="102" t="str">
        <f t="shared" si="2977"/>
        <v>Green needles</v>
      </c>
      <c r="Y3995" s="120" t="b">
        <f t="shared" si="2978"/>
        <v>0</v>
      </c>
      <c r="Z3995" s="117">
        <f t="shared" si="2979"/>
        <v>0</v>
      </c>
      <c r="AA3995" s="118"/>
      <c r="AB3995" s="118" t="str">
        <f t="shared" si="2980"/>
        <v/>
      </c>
      <c r="AC3995" s="712" t="str">
        <f>IF(AE3995="T2G","no charge",IF(AND(OR(PlanterYesMe="No",PlanterYesMe="N",PlanterYesMe="me"),H3995=""),"",IF(H3995="credit","NO install",IF(AND(K3995="",AE3995="me"),"EACH row",IF(AND(K3995="images",AE3995="me"),"EACH row",IF(D3995="","",IF(H3995="credit","",IF(AE3995="free","re-planting",IF(AE3995="me","   not ELP, by",IF(AND(OR(PlanterYesMe="Yes",PlanterYesMe="Y"),G3995&gt;0),(VLOOKUP(A3995,'Discount Lookup'!J:K,2)*G3995*(1-PlanterDiscount)*(1+PlanterDifficultyPercentage)),IF(AE3995="ELP",(VLOOKUP(A3995,'Discount Lookup'!J:K,2)*G3995*(1-PlanterDiscount)*(1+PlanterDifficultyPercentage)),IF(AE3995="free","re-planting",IF(G3995=0,"",IF(PlanterYesMe="",IF(AE3995="me","   not ELP, by",IF(AE3995="",IF(G3995&gt;0,(VLOOKUP(A3995,'Discount Lookup'!J:K,2)*G3995*(1-PlanterDiscount)*(1+PlanterDifficultyPercentage)),""),"")),"   not ELP, by"))))))))))))))</f>
        <v/>
      </c>
      <c r="AD3995" s="712"/>
      <c r="AE3995" s="513" t="str">
        <f t="shared" si="2981"/>
        <v/>
      </c>
      <c r="AF3995" s="713" t="str">
        <f t="shared" si="2982"/>
        <v/>
      </c>
      <c r="AG3995" s="713"/>
      <c r="AH3995" s="713"/>
      <c r="AI3995" s="112">
        <f>IF(H3995="credit",0,IF(AE3995="free",0,IF(AE3995="me",0,IF(G3995&gt;0,(VLOOKUP(A3995,'Discount Lookup'!J:K,2)*G3995),0))))</f>
        <v>0</v>
      </c>
      <c r="AJ3995" s="107" t="str">
        <f t="shared" ca="1" si="2983"/>
        <v/>
      </c>
      <c r="AK3995" s="714" t="str">
        <f t="shared" si="2984"/>
        <v/>
      </c>
      <c r="AL3995" s="714"/>
      <c r="AM3995" s="114" t="str">
        <f t="shared" si="2985"/>
        <v/>
      </c>
      <c r="AN3995" s="115"/>
      <c r="AO3995" s="116"/>
      <c r="AP3995" s="116"/>
      <c r="AQ3995" s="116"/>
      <c r="AR3995" s="116"/>
      <c r="AS3995" s="116"/>
      <c r="AT3995" s="116"/>
      <c r="AU3995" s="116"/>
      <c r="AV3995" s="78"/>
      <c r="AW3995" s="102"/>
      <c r="AX3995" s="78"/>
      <c r="AY3995" s="78"/>
      <c r="AZ3995" s="78"/>
      <c r="BA3995" s="78"/>
      <c r="BB3995" s="78"/>
      <c r="BC3995" s="78"/>
      <c r="BD3995" s="78"/>
      <c r="BE3995" s="465"/>
      <c r="BF3995" s="165" t="str">
        <f t="shared" si="2986"/>
        <v>https://www.google.com/search?tbm=isch&amp;q=Taxodium%20distichum%20%27PCN%20Select%27%20Panther%20Select%20Bald%20Cypress</v>
      </c>
      <c r="BG3995" s="165" t="str">
        <f t="shared" si="2987"/>
        <v>T</v>
      </c>
      <c r="BH3995" s="65"/>
      <c r="BI3995" s="65"/>
      <c r="BJ3995" s="65"/>
      <c r="BK3995" s="65"/>
      <c r="BL3995" s="99"/>
      <c r="BM3995" s="99"/>
      <c r="BN3995" s="99"/>
    </row>
    <row r="3996" spans="1:66" s="51" customFormat="1" ht="27" x14ac:dyDescent="0.25">
      <c r="A3996" s="634">
        <v>15</v>
      </c>
      <c r="B3996" s="635" t="s">
        <v>291</v>
      </c>
      <c r="C3996" s="636" t="s">
        <v>4313</v>
      </c>
      <c r="D3996" s="637" t="s">
        <v>299</v>
      </c>
      <c r="E3996" s="638">
        <v>183.95</v>
      </c>
      <c r="F3996" s="639" t="s">
        <v>292</v>
      </c>
      <c r="G3996" s="484">
        <v>0</v>
      </c>
      <c r="H3996" s="691" t="str">
        <f>IF(G3996=0,"",IF(F3996="Buy",IF(G3996=1,"plant","plants"),IF(F3996&gt;0.01,"warranty","Error")))</f>
        <v/>
      </c>
      <c r="I3996" s="640">
        <f>IF(H3996="free",0,IF(H3996="credit",((E3996*(F3996))*G3996*-1),IF(F3996="Buy",(E3996*G3996),((E3996*(1-F3996))*G3996))))</f>
        <v>0</v>
      </c>
      <c r="J3996" s="640">
        <f>IF(H3996="warranty",0,(I3996*(_xlfn.SINGLE(SalesTaxPercentage))))</f>
        <v>0</v>
      </c>
      <c r="K3996" s="716">
        <f t="shared" ref="K3996" si="2991">I3996+J3996</f>
        <v>0</v>
      </c>
      <c r="L3996" s="716"/>
      <c r="M3996" s="689" t="str">
        <f ca="1">IF(AND(G3996&gt;0,E3996=0),"WARNING - no PRICE inserted",IF(H3996="free","FREE ~ no charge this plant",IF(H3996="credit",CONCATENATE("-$",ROUND(K3996*(1-_xlfn.SINGLE(T2GDiscount))*-1,2)," CREDIT after discount"),IF(_xlfn.SINGLE(T2GDiscount)=0,"",IF(G3996=0,"",IF(F3996="Buy",CONCATENATE("$",ROUND(K3996*(1-_xlfn.SINGLE(T2GDiscount)),2)," with ",(_xlfn.SINGLE(T2GDiscount)*100),"% discount"),CONCATENATE("$",ROUND(K3996*(1-_xlfn.SINGLE(T2GDiscount)),2)," with ",((_xlfn.SINGLE(T2GDiscount)*100+F3996*100)-(_xlfn.SINGLE(T2GDiscount)*100*F3996)),IF(F3996&gt;0,"% discounts",IF(_xlfn.SINGLE(NoWarrantyDiscount)&gt;0,"% discounts","% discount")))))))))</f>
        <v/>
      </c>
      <c r="N3996" s="690"/>
      <c r="O3996" s="486"/>
      <c r="P3996" s="486"/>
      <c r="Q3996" s="486"/>
      <c r="R3996" s="486"/>
      <c r="S3996" s="486"/>
      <c r="T3996" s="102">
        <f t="shared" si="2975"/>
        <v>0</v>
      </c>
      <c r="U3996" s="78">
        <f>IF(NOT(ISNUMBER(G3996)), "", VLOOKUP(A3996,'Discount Lookup'!D:E,2,FALSE)*G3996)</f>
        <v>0</v>
      </c>
      <c r="V3996" s="78">
        <f>IF(NOT(ISNUMBER(G3996)), "", VLOOKUP(A3996,'Discount Lookup'!G:H,2,FALSE)*G3996)</f>
        <v>0</v>
      </c>
      <c r="W3996" s="102">
        <f t="shared" si="2976"/>
        <v>0</v>
      </c>
      <c r="X3996" s="102">
        <f t="shared" si="2977"/>
        <v>0</v>
      </c>
      <c r="Y3996" s="120" t="b">
        <f t="shared" si="2978"/>
        <v>0</v>
      </c>
      <c r="Z3996" s="117">
        <f t="shared" si="2979"/>
        <v>0</v>
      </c>
      <c r="AA3996" s="118"/>
      <c r="AB3996" s="118" t="str">
        <f t="shared" si="2980"/>
        <v/>
      </c>
      <c r="AC3996" s="712" t="str">
        <f>IF(AE3996="T2G","no charge",IF(AND(OR(PlanterYesMe="No",PlanterYesMe="N",PlanterYesMe="me"),H3996=""),"",IF(H3996="credit","NO install",IF(AND(K3996="",AE3996="me"),"EACH row",IF(AND(K3996="images",AE3996="me"),"EACH row",IF(D3996="","",IF(H3996="credit","",IF(AE3996="free","re-planting",IF(AE3996="me","   not ELP, by",IF(AND(OR(PlanterYesMe="Yes",PlanterYesMe="Y"),G3996&gt;0),(VLOOKUP(A3996,'Discount Lookup'!J:K,2)*G3996*(1-PlanterDiscount)*(1+PlanterDifficultyPercentage)),IF(AE3996="ELP",(VLOOKUP(A3996,'Discount Lookup'!J:K,2)*G3996*(1-PlanterDiscount)*(1+PlanterDifficultyPercentage)),IF(AE3996="free","re-planting",IF(G3996=0,"",IF(PlanterYesMe="",IF(AE3996="me","   not ELP, by",IF(AE3996="",IF(G3996&gt;0,(VLOOKUP(A3996,'Discount Lookup'!J:K,2)*G3996*(1-PlanterDiscount)*(1+PlanterDifficultyPercentage)),""),"")),"   not ELP, by"))))))))))))))</f>
        <v/>
      </c>
      <c r="AD3996" s="712"/>
      <c r="AE3996" s="513" t="str">
        <f t="shared" si="2981"/>
        <v/>
      </c>
      <c r="AF3996" s="713" t="str">
        <f t="shared" si="2982"/>
        <v/>
      </c>
      <c r="AG3996" s="713"/>
      <c r="AH3996" s="713"/>
      <c r="AI3996" s="112">
        <f>IF(H3996="credit",0,IF(AE3996="free",0,IF(AE3996="me",0,IF(G3996&gt;0,(VLOOKUP(A3996,'Discount Lookup'!J:K,2)*G3996),0))))</f>
        <v>0</v>
      </c>
      <c r="AJ3996" s="107" t="str">
        <f t="shared" ca="1" si="2983"/>
        <v/>
      </c>
      <c r="AK3996" s="714" t="str">
        <f t="shared" si="2984"/>
        <v/>
      </c>
      <c r="AL3996" s="714"/>
      <c r="AM3996" s="114" t="str">
        <f t="shared" si="2985"/>
        <v/>
      </c>
      <c r="AN3996" s="115"/>
      <c r="AO3996" s="116"/>
      <c r="AP3996" s="116"/>
      <c r="AQ3996" s="116"/>
      <c r="AR3996" s="116"/>
      <c r="AS3996" s="116"/>
      <c r="AT3996" s="116"/>
      <c r="AU3996" s="116"/>
      <c r="AV3996" s="78"/>
      <c r="AW3996" s="102"/>
      <c r="AX3996" s="78"/>
      <c r="AY3996" s="78"/>
      <c r="AZ3996" s="78"/>
      <c r="BA3996" s="78"/>
      <c r="BB3996" s="78"/>
      <c r="BC3996" s="78"/>
      <c r="BD3996" s="78"/>
      <c r="BE3996" s="465"/>
      <c r="BF3996" s="165" t="str">
        <f t="shared" si="2986"/>
        <v>https://www.google.com/search?tbm=isch&amp;q=15%20G4</v>
      </c>
      <c r="BG3996" s="165" t="str">
        <f t="shared" si="2987"/>
        <v>T</v>
      </c>
      <c r="BH3996" s="65"/>
      <c r="BI3996" s="65"/>
      <c r="BJ3996" s="65"/>
      <c r="BK3996" s="65"/>
      <c r="BL3996" s="99"/>
      <c r="BM3996" s="99"/>
      <c r="BN3996" s="99"/>
    </row>
    <row r="3997" spans="1:66" s="51" customFormat="1" ht="17.25" thickBot="1" x14ac:dyDescent="0.3">
      <c r="A3997" s="704" t="s">
        <v>5547</v>
      </c>
      <c r="B3997" s="642"/>
      <c r="C3997" s="710"/>
      <c r="D3997" s="643"/>
      <c r="E3997" s="643"/>
      <c r="F3997" s="644"/>
      <c r="G3997" s="645"/>
      <c r="H3997" s="646"/>
      <c r="I3997" s="647"/>
      <c r="J3997" s="648"/>
      <c r="K3997" s="649"/>
      <c r="L3997" s="650"/>
      <c r="M3997" s="650"/>
      <c r="N3997" s="644"/>
      <c r="O3997" s="644"/>
      <c r="P3997" s="644"/>
      <c r="Q3997" s="644"/>
      <c r="R3997" s="644"/>
      <c r="S3997" s="701" t="s">
        <v>5253</v>
      </c>
      <c r="T3997" s="102">
        <f t="shared" si="2975"/>
        <v>0</v>
      </c>
      <c r="U3997" s="78" t="str">
        <f>IF(NOT(ISNUMBER(G3997)), "", VLOOKUP(A3997,'Discount Lookup'!D:E,2,FALSE)*G3997)</f>
        <v/>
      </c>
      <c r="V3997" s="78" t="str">
        <f>IF(NOT(ISNUMBER(G3997)), "", VLOOKUP(A3997,'Discount Lookup'!G:H,2,FALSE)*G3997)</f>
        <v/>
      </c>
      <c r="W3997" s="102">
        <f t="shared" si="2976"/>
        <v>0</v>
      </c>
      <c r="X3997" s="102">
        <f t="shared" si="2977"/>
        <v>0</v>
      </c>
      <c r="Y3997" s="120" t="b">
        <f t="shared" si="2978"/>
        <v>0</v>
      </c>
      <c r="Z3997" s="117">
        <f t="shared" si="2979"/>
        <v>0</v>
      </c>
      <c r="AA3997" s="118"/>
      <c r="AB3997" s="118" t="str">
        <f t="shared" si="2980"/>
        <v/>
      </c>
      <c r="AC3997" s="712" t="str">
        <f>IF(AE3997="T2G","no charge",IF(AND(OR(PlanterYesMe="No",PlanterYesMe="N",PlanterYesMe="me"),H3997=""),"",IF(H3997="credit","NO install",IF(AND(K3997="",AE3997="me"),"EACH row",IF(AND(K3997="images",AE3997="me"),"EACH row",IF(D3997="","",IF(H3997="credit","",IF(AE3997="free","re-planting",IF(AE3997="me","   not ELP, by",IF(AND(OR(PlanterYesMe="Yes",PlanterYesMe="Y"),G3997&gt;0),(VLOOKUP(A3997,'Discount Lookup'!J:K,2)*G3997*(1-PlanterDiscount)*(1+PlanterDifficultyPercentage)),IF(AE3997="ELP",(VLOOKUP(A3997,'Discount Lookup'!J:K,2)*G3997*(1-PlanterDiscount)*(1+PlanterDifficultyPercentage)),IF(AE3997="free","re-planting",IF(G3997=0,"",IF(PlanterYesMe="",IF(AE3997="me","   not ELP, by",IF(AE3997="",IF(G3997&gt;0,(VLOOKUP(A3997,'Discount Lookup'!J:K,2)*G3997*(1-PlanterDiscount)*(1+PlanterDifficultyPercentage)),""),"")),"   not ELP, by"))))))))))))))</f>
        <v/>
      </c>
      <c r="AD3997" s="712"/>
      <c r="AE3997" s="513" t="str">
        <f t="shared" si="2981"/>
        <v/>
      </c>
      <c r="AF3997" s="713" t="str">
        <f t="shared" si="2982"/>
        <v/>
      </c>
      <c r="AG3997" s="713"/>
      <c r="AH3997" s="713"/>
      <c r="AI3997" s="112">
        <f>IF(H3997="credit",0,IF(AE3997="free",0,IF(AE3997="me",0,IF(G3997&gt;0,(VLOOKUP(A3997,'Discount Lookup'!J:K,2)*G3997),0))))</f>
        <v>0</v>
      </c>
      <c r="AJ3997" s="107" t="str">
        <f t="shared" ca="1" si="2983"/>
        <v/>
      </c>
      <c r="AK3997" s="714" t="str">
        <f t="shared" si="2984"/>
        <v/>
      </c>
      <c r="AL3997" s="714"/>
      <c r="AM3997" s="114" t="str">
        <f t="shared" si="2985"/>
        <v/>
      </c>
      <c r="AN3997" s="115"/>
      <c r="AO3997" s="116"/>
      <c r="AP3997" s="116"/>
      <c r="AQ3997" s="116"/>
      <c r="AR3997" s="116"/>
      <c r="AS3997" s="116"/>
      <c r="AT3997" s="116"/>
      <c r="AU3997" s="116"/>
      <c r="AV3997" s="78"/>
      <c r="AW3997" s="102"/>
      <c r="AX3997" s="78"/>
      <c r="AY3997" s="78"/>
      <c r="AZ3997" s="78"/>
      <c r="BA3997" s="78"/>
      <c r="BB3997" s="78"/>
      <c r="BC3997" s="78"/>
      <c r="BD3997" s="78"/>
      <c r="BE3997" s="465"/>
      <c r="BF3997" s="165" t="str">
        <f t="shared" si="2986"/>
        <v>https://www.google.com/search?tbm=isch&amp;q=wet%20sites%F0%9F%92%A7BEST%2C%20Panther%20Select%20bred%20for%20improved%20vigor%20and%20pyramidal%20form.%20Bright%2C%20feathery%20needles%20turn%20Rich%20Bronze%20to%20Copper%20in%20fall%20</v>
      </c>
      <c r="BG3997" s="165" t="str">
        <f t="shared" si="2987"/>
        <v>w</v>
      </c>
      <c r="BH3997" s="65"/>
      <c r="BI3997" s="65"/>
      <c r="BJ3997" s="65"/>
      <c r="BK3997" s="65"/>
      <c r="BL3997" s="99"/>
      <c r="BM3997" s="99"/>
      <c r="BN3997" s="99"/>
    </row>
    <row r="3998" spans="1:66" s="51" customFormat="1" ht="18" x14ac:dyDescent="0.25">
      <c r="A3998" s="623" t="s">
        <v>4814</v>
      </c>
      <c r="B3998" s="624"/>
      <c r="C3998" s="709"/>
      <c r="D3998" s="625" t="s">
        <v>4815</v>
      </c>
      <c r="E3998" s="626"/>
      <c r="F3998" s="626"/>
      <c r="G3998" s="626"/>
      <c r="H3998" s="622" t="s">
        <v>318</v>
      </c>
      <c r="I3998" s="627" t="s">
        <v>4816</v>
      </c>
      <c r="J3998" s="628"/>
      <c r="K3998" s="628"/>
      <c r="L3998" s="629"/>
      <c r="M3998" s="700" t="s">
        <v>5249</v>
      </c>
      <c r="N3998" s="693" t="str">
        <f>IF(AND(ISTEXT($A3998), ISERROR($A3998+0)), HYPERLINK($BF3998, "Images"), "")</f>
        <v>Images</v>
      </c>
      <c r="O3998" s="695" t="s">
        <v>5264</v>
      </c>
      <c r="P3998" s="630"/>
      <c r="Q3998" s="631"/>
      <c r="R3998" s="632"/>
      <c r="S3998" s="633" t="s">
        <v>294</v>
      </c>
      <c r="T3998" s="102">
        <f t="shared" si="2975"/>
        <v>0</v>
      </c>
      <c r="U3998" s="78" t="str">
        <f>IF(NOT(ISNUMBER(G3998)), "", VLOOKUP(A3998,'Discount Lookup'!D:E,2,FALSE)*G3998)</f>
        <v/>
      </c>
      <c r="V3998" s="78" t="str">
        <f>IF(NOT(ISNUMBER(G3998)), "", VLOOKUP(A3998,'Discount Lookup'!G:H,2,FALSE)*G3998)</f>
        <v/>
      </c>
      <c r="W3998" s="102">
        <f t="shared" si="2976"/>
        <v>0</v>
      </c>
      <c r="X3998" s="102" t="str">
        <f t="shared" si="2977"/>
        <v>Feathery Green needles</v>
      </c>
      <c r="Y3998" s="120" t="b">
        <f t="shared" si="2978"/>
        <v>0</v>
      </c>
      <c r="Z3998" s="117">
        <f t="shared" si="2979"/>
        <v>0</v>
      </c>
      <c r="AA3998" s="118"/>
      <c r="AB3998" s="118" t="str">
        <f t="shared" si="2980"/>
        <v/>
      </c>
      <c r="AC3998" s="712" t="str">
        <f>IF(AE3998="T2G","no charge",IF(AND(OR(PlanterYesMe="No",PlanterYesMe="N",PlanterYesMe="me"),H3998=""),"",IF(H3998="credit","NO install",IF(AND(K3998="",AE3998="me"),"EACH row",IF(AND(K3998="images",AE3998="me"),"EACH row",IF(D3998="","",IF(H3998="credit","",IF(AE3998="free","re-planting",IF(AE3998="me","   not ELP, by",IF(AND(OR(PlanterYesMe="Yes",PlanterYesMe="Y"),G3998&gt;0),(VLOOKUP(A3998,'Discount Lookup'!J:K,2)*G3998*(1-PlanterDiscount)*(1+PlanterDifficultyPercentage)),IF(AE3998="ELP",(VLOOKUP(A3998,'Discount Lookup'!J:K,2)*G3998*(1-PlanterDiscount)*(1+PlanterDifficultyPercentage)),IF(AE3998="free","re-planting",IF(G3998=0,"",IF(PlanterYesMe="",IF(AE3998="me","   not ELP, by",IF(AE3998="",IF(G3998&gt;0,(VLOOKUP(A3998,'Discount Lookup'!J:K,2)*G3998*(1-PlanterDiscount)*(1+PlanterDifficultyPercentage)),""),"")),"   not ELP, by"))))))))))))))</f>
        <v/>
      </c>
      <c r="AD3998" s="712"/>
      <c r="AE3998" s="513" t="str">
        <f t="shared" si="2981"/>
        <v/>
      </c>
      <c r="AF3998" s="713" t="str">
        <f t="shared" si="2982"/>
        <v/>
      </c>
      <c r="AG3998" s="713"/>
      <c r="AH3998" s="713"/>
      <c r="AI3998" s="112">
        <f>IF(H3998="credit",0,IF(AE3998="free",0,IF(AE3998="me",0,IF(G3998&gt;0,(VLOOKUP(A3998,'Discount Lookup'!J:K,2)*G3998),0))))</f>
        <v>0</v>
      </c>
      <c r="AJ3998" s="107" t="str">
        <f t="shared" ca="1" si="2983"/>
        <v/>
      </c>
      <c r="AK3998" s="714" t="str">
        <f t="shared" si="2984"/>
        <v/>
      </c>
      <c r="AL3998" s="714"/>
      <c r="AM3998" s="114" t="str">
        <f t="shared" si="2985"/>
        <v/>
      </c>
      <c r="AN3998" s="115"/>
      <c r="AO3998" s="116"/>
      <c r="AP3998" s="116"/>
      <c r="AQ3998" s="116"/>
      <c r="AR3998" s="116"/>
      <c r="AS3998" s="116"/>
      <c r="AT3998" s="116"/>
      <c r="AU3998" s="116"/>
      <c r="AV3998" s="78"/>
      <c r="AW3998" s="102"/>
      <c r="AX3998" s="78"/>
      <c r="AY3998" s="78"/>
      <c r="AZ3998" s="78"/>
      <c r="BA3998" s="78"/>
      <c r="BB3998" s="78"/>
      <c r="BC3998" s="78"/>
      <c r="BD3998" s="78"/>
      <c r="BE3998" s="465"/>
      <c r="BF3998" s="165" t="str">
        <f t="shared" si="2986"/>
        <v>https://www.google.com/search?tbm=isch&amp;q=Taxodium%20distichum%20%27Peve%20Minaret%27%20Peve%20Minaret%20Dwarf%20Bald%20Cypress</v>
      </c>
      <c r="BG3998" s="165" t="str">
        <f t="shared" si="2987"/>
        <v>T</v>
      </c>
      <c r="BH3998" s="65"/>
      <c r="BI3998" s="65"/>
      <c r="BJ3998" s="65"/>
      <c r="BK3998" s="65"/>
      <c r="BL3998" s="99"/>
      <c r="BM3998" s="99"/>
      <c r="BN3998" s="99"/>
    </row>
    <row r="3999" spans="1:66" s="51" customFormat="1" ht="15.75" x14ac:dyDescent="0.25">
      <c r="A3999" s="634">
        <v>7</v>
      </c>
      <c r="B3999" s="635" t="s">
        <v>291</v>
      </c>
      <c r="C3999" s="636" t="s">
        <v>4817</v>
      </c>
      <c r="D3999" s="637" t="s">
        <v>299</v>
      </c>
      <c r="E3999" s="638">
        <v>148.94999999999999</v>
      </c>
      <c r="F3999" s="639" t="s">
        <v>292</v>
      </c>
      <c r="G3999" s="484">
        <v>0</v>
      </c>
      <c r="H3999" s="691" t="str">
        <f>IF(G3999=0,"",IF(F3999="Buy",IF(G3999=1,"plant","plants"),IF(F3999&gt;0.01,"warranty","Error")))</f>
        <v/>
      </c>
      <c r="I3999" s="640">
        <f>IF(H3999="free",0,IF(H3999="credit",((E3999*(F3999))*G3999*-1),IF(F3999="Buy",(E3999*G3999),((E3999*(1-F3999))*G3999))))</f>
        <v>0</v>
      </c>
      <c r="J3999" s="640">
        <f>IF(H3999="warranty",0,(I3999*(_xlfn.SINGLE(SalesTaxPercentage))))</f>
        <v>0</v>
      </c>
      <c r="K3999" s="716">
        <f t="shared" ref="K3999" si="2992">I3999+J3999</f>
        <v>0</v>
      </c>
      <c r="L3999" s="716"/>
      <c r="M3999" s="689" t="str">
        <f ca="1">IF(AND(G3999&gt;0,E3999=0),"WARNING - no PRICE inserted",IF(H3999="free","FREE ~ no charge this plant",IF(H3999="credit",CONCATENATE("-$",ROUND(K3999*(1-_xlfn.SINGLE(T2GDiscount))*-1,2)," CREDIT after discount"),IF(_xlfn.SINGLE(T2GDiscount)=0,"",IF(G3999=0,"",IF(F3999="Buy",CONCATENATE("$",ROUND(K3999*(1-_xlfn.SINGLE(T2GDiscount)),2)," with ",(_xlfn.SINGLE(T2GDiscount)*100),"% discount"),CONCATENATE("$",ROUND(K3999*(1-_xlfn.SINGLE(T2GDiscount)),2)," with ",((_xlfn.SINGLE(T2GDiscount)*100+F3999*100)-(_xlfn.SINGLE(T2GDiscount)*100*F3999)),IF(F3999&gt;0,"% discounts",IF(_xlfn.SINGLE(NoWarrantyDiscount)&gt;0,"% discounts","% discount")))))))))</f>
        <v/>
      </c>
      <c r="N3999" s="690"/>
      <c r="O3999" s="486"/>
      <c r="P3999" s="486"/>
      <c r="Q3999" s="486"/>
      <c r="R3999" s="486"/>
      <c r="S3999" s="486"/>
      <c r="T3999" s="102">
        <f t="shared" si="2975"/>
        <v>0</v>
      </c>
      <c r="U3999" s="78">
        <f>IF(NOT(ISNUMBER(G3999)), "", VLOOKUP(A3999,'Discount Lookup'!D:E,2,FALSE)*G3999)</f>
        <v>0</v>
      </c>
      <c r="V3999" s="78">
        <f>IF(NOT(ISNUMBER(G3999)), "", VLOOKUP(A3999,'Discount Lookup'!G:H,2,FALSE)*G3999)</f>
        <v>0</v>
      </c>
      <c r="W3999" s="102">
        <f t="shared" si="2976"/>
        <v>0</v>
      </c>
      <c r="X3999" s="102">
        <f t="shared" si="2977"/>
        <v>0</v>
      </c>
      <c r="Y3999" s="120" t="b">
        <f t="shared" si="2978"/>
        <v>0</v>
      </c>
      <c r="Z3999" s="117">
        <f t="shared" si="2979"/>
        <v>0</v>
      </c>
      <c r="AA3999" s="118"/>
      <c r="AB3999" s="118" t="str">
        <f t="shared" si="2980"/>
        <v/>
      </c>
      <c r="AC3999" s="712" t="str">
        <f>IF(AE3999="T2G","no charge",IF(AND(OR(PlanterYesMe="No",PlanterYesMe="N",PlanterYesMe="me"),H3999=""),"",IF(H3999="credit","NO install",IF(AND(K3999="",AE3999="me"),"EACH row",IF(AND(K3999="images",AE3999="me"),"EACH row",IF(D3999="","",IF(H3999="credit","",IF(AE3999="free","re-planting",IF(AE3999="me","   not ELP, by",IF(AND(OR(PlanterYesMe="Yes",PlanterYesMe="Y"),G3999&gt;0),(VLOOKUP(A3999,'Discount Lookup'!J:K,2)*G3999*(1-PlanterDiscount)*(1+PlanterDifficultyPercentage)),IF(AE3999="ELP",(VLOOKUP(A3999,'Discount Lookup'!J:K,2)*G3999*(1-PlanterDiscount)*(1+PlanterDifficultyPercentage)),IF(AE3999="free","re-planting",IF(G3999=0,"",IF(PlanterYesMe="",IF(AE3999="me","   not ELP, by",IF(AE3999="",IF(G3999&gt;0,(VLOOKUP(A3999,'Discount Lookup'!J:K,2)*G3999*(1-PlanterDiscount)*(1+PlanterDifficultyPercentage)),""),"")),"   not ELP, by"))))))))))))))</f>
        <v/>
      </c>
      <c r="AD3999" s="712"/>
      <c r="AE3999" s="513" t="str">
        <f t="shared" si="2981"/>
        <v/>
      </c>
      <c r="AF3999" s="713" t="str">
        <f t="shared" si="2982"/>
        <v/>
      </c>
      <c r="AG3999" s="713"/>
      <c r="AH3999" s="713"/>
      <c r="AI3999" s="112">
        <f>IF(H3999="credit",0,IF(AE3999="free",0,IF(AE3999="me",0,IF(G3999&gt;0,(VLOOKUP(A3999,'Discount Lookup'!J:K,2)*G3999),0))))</f>
        <v>0</v>
      </c>
      <c r="AJ3999" s="107" t="str">
        <f t="shared" ca="1" si="2983"/>
        <v/>
      </c>
      <c r="AK3999" s="714" t="str">
        <f t="shared" si="2984"/>
        <v/>
      </c>
      <c r="AL3999" s="714"/>
      <c r="AM3999" s="114" t="str">
        <f t="shared" si="2985"/>
        <v/>
      </c>
      <c r="AN3999" s="115"/>
      <c r="AO3999" s="116"/>
      <c r="AP3999" s="116"/>
      <c r="AQ3999" s="116"/>
      <c r="AR3999" s="116"/>
      <c r="AS3999" s="116"/>
      <c r="AT3999" s="116"/>
      <c r="AU3999" s="116"/>
      <c r="AV3999" s="78"/>
      <c r="AW3999" s="102"/>
      <c r="AX3999" s="78"/>
      <c r="AY3999" s="78"/>
      <c r="AZ3999" s="78"/>
      <c r="BA3999" s="78"/>
      <c r="BB3999" s="78"/>
      <c r="BC3999" s="78"/>
      <c r="BD3999" s="78"/>
      <c r="BE3999" s="465"/>
      <c r="BF3999" s="165" t="str">
        <f t="shared" si="2986"/>
        <v>https://www.google.com/search?tbm=isch&amp;q=7%20G4</v>
      </c>
      <c r="BG3999" s="165" t="str">
        <f t="shared" si="2987"/>
        <v>T</v>
      </c>
      <c r="BH3999" s="65"/>
      <c r="BI3999" s="65"/>
      <c r="BJ3999" s="65"/>
      <c r="BK3999" s="65"/>
      <c r="BL3999" s="99"/>
      <c r="BM3999" s="99"/>
      <c r="BN3999" s="99"/>
    </row>
    <row r="4000" spans="1:66" s="51" customFormat="1" ht="15.75" x14ac:dyDescent="0.25">
      <c r="A4000" s="634">
        <v>15</v>
      </c>
      <c r="B4000" s="635" t="s">
        <v>291</v>
      </c>
      <c r="C4000" s="636" t="s">
        <v>4818</v>
      </c>
      <c r="D4000" s="637" t="s">
        <v>299</v>
      </c>
      <c r="E4000" s="638">
        <v>270.95</v>
      </c>
      <c r="F4000" s="639" t="s">
        <v>292</v>
      </c>
      <c r="G4000" s="484">
        <v>0</v>
      </c>
      <c r="H4000" s="691" t="str">
        <f>IF(G4000=0,"",IF(F4000="Buy",IF(G4000=1,"plant","plants"),IF(F4000&gt;0.01,"warranty","Error")))</f>
        <v/>
      </c>
      <c r="I4000" s="640">
        <f>IF(H4000="free",0,IF(H4000="credit",((E4000*(F4000))*G4000*-1),IF(F4000="Buy",(E4000*G4000),((E4000*(1-F4000))*G4000))))</f>
        <v>0</v>
      </c>
      <c r="J4000" s="640">
        <f>IF(H4000="warranty",0,(I4000*(_xlfn.SINGLE(SalesTaxPercentage))))</f>
        <v>0</v>
      </c>
      <c r="K4000" s="716">
        <f t="shared" ref="K4000" si="2993">I4000+J4000</f>
        <v>0</v>
      </c>
      <c r="L4000" s="716"/>
      <c r="M4000" s="689" t="str">
        <f ca="1">IF(AND(G4000&gt;0,E4000=0),"WARNING - no PRICE inserted",IF(H4000="free","FREE ~ no charge this plant",IF(H4000="credit",CONCATENATE("-$",ROUND(K4000*(1-_xlfn.SINGLE(T2GDiscount))*-1,2)," CREDIT after discount"),IF(_xlfn.SINGLE(T2GDiscount)=0,"",IF(G4000=0,"",IF(F4000="Buy",CONCATENATE("$",ROUND(K4000*(1-_xlfn.SINGLE(T2GDiscount)),2)," with ",(_xlfn.SINGLE(T2GDiscount)*100),"% discount"),CONCATENATE("$",ROUND(K4000*(1-_xlfn.SINGLE(T2GDiscount)),2)," with ",((_xlfn.SINGLE(T2GDiscount)*100+F4000*100)-(_xlfn.SINGLE(T2GDiscount)*100*F4000)),IF(F4000&gt;0,"% discounts",IF(_xlfn.SINGLE(NoWarrantyDiscount)&gt;0,"% discounts","% discount")))))))))</f>
        <v/>
      </c>
      <c r="N4000" s="690"/>
      <c r="O4000" s="486"/>
      <c r="P4000" s="486"/>
      <c r="Q4000" s="486"/>
      <c r="R4000" s="486"/>
      <c r="S4000" s="486"/>
      <c r="T4000" s="102">
        <f t="shared" si="2975"/>
        <v>0</v>
      </c>
      <c r="U4000" s="78">
        <f>IF(NOT(ISNUMBER(G4000)), "", VLOOKUP(A4000,'Discount Lookup'!D:E,2,FALSE)*G4000)</f>
        <v>0</v>
      </c>
      <c r="V4000" s="78">
        <f>IF(NOT(ISNUMBER(G4000)), "", VLOOKUP(A4000,'Discount Lookup'!G:H,2,FALSE)*G4000)</f>
        <v>0</v>
      </c>
      <c r="W4000" s="102">
        <f t="shared" si="2976"/>
        <v>0</v>
      </c>
      <c r="X4000" s="102">
        <f t="shared" si="2977"/>
        <v>0</v>
      </c>
      <c r="Y4000" s="120" t="b">
        <f t="shared" si="2978"/>
        <v>0</v>
      </c>
      <c r="Z4000" s="117">
        <f t="shared" si="2979"/>
        <v>0</v>
      </c>
      <c r="AA4000" s="118"/>
      <c r="AB4000" s="118" t="str">
        <f t="shared" si="2980"/>
        <v/>
      </c>
      <c r="AC4000" s="712" t="str">
        <f>IF(AE4000="T2G","no charge",IF(AND(OR(PlanterYesMe="No",PlanterYesMe="N",PlanterYesMe="me"),H4000=""),"",IF(H4000="credit","NO install",IF(AND(K4000="",AE4000="me"),"EACH row",IF(AND(K4000="images",AE4000="me"),"EACH row",IF(D4000="","",IF(H4000="credit","",IF(AE4000="free","re-planting",IF(AE4000="me","   not ELP, by",IF(AND(OR(PlanterYesMe="Yes",PlanterYesMe="Y"),G4000&gt;0),(VLOOKUP(A4000,'Discount Lookup'!J:K,2)*G4000*(1-PlanterDiscount)*(1+PlanterDifficultyPercentage)),IF(AE4000="ELP",(VLOOKUP(A4000,'Discount Lookup'!J:K,2)*G4000*(1-PlanterDiscount)*(1+PlanterDifficultyPercentage)),IF(AE4000="free","re-planting",IF(G4000=0,"",IF(PlanterYesMe="",IF(AE4000="me","   not ELP, by",IF(AE4000="",IF(G4000&gt;0,(VLOOKUP(A4000,'Discount Lookup'!J:K,2)*G4000*(1-PlanterDiscount)*(1+PlanterDifficultyPercentage)),""),"")),"   not ELP, by"))))))))))))))</f>
        <v/>
      </c>
      <c r="AD4000" s="712"/>
      <c r="AE4000" s="513" t="str">
        <f t="shared" si="2981"/>
        <v/>
      </c>
      <c r="AF4000" s="713" t="str">
        <f t="shared" si="2982"/>
        <v/>
      </c>
      <c r="AG4000" s="713"/>
      <c r="AH4000" s="713"/>
      <c r="AI4000" s="112">
        <f>IF(H4000="credit",0,IF(AE4000="free",0,IF(AE4000="me",0,IF(G4000&gt;0,(VLOOKUP(A4000,'Discount Lookup'!J:K,2)*G4000),0))))</f>
        <v>0</v>
      </c>
      <c r="AJ4000" s="107" t="str">
        <f t="shared" ca="1" si="2983"/>
        <v/>
      </c>
      <c r="AK4000" s="714" t="str">
        <f t="shared" si="2984"/>
        <v/>
      </c>
      <c r="AL4000" s="714"/>
      <c r="AM4000" s="114" t="str">
        <f t="shared" si="2985"/>
        <v/>
      </c>
      <c r="AN4000" s="115"/>
      <c r="AO4000" s="116"/>
      <c r="AP4000" s="116"/>
      <c r="AQ4000" s="116"/>
      <c r="AR4000" s="116"/>
      <c r="AS4000" s="116"/>
      <c r="AT4000" s="116"/>
      <c r="AU4000" s="116"/>
      <c r="AV4000" s="78"/>
      <c r="AW4000" s="102"/>
      <c r="AX4000" s="78"/>
      <c r="AY4000" s="78"/>
      <c r="AZ4000" s="78"/>
      <c r="BA4000" s="78"/>
      <c r="BB4000" s="78"/>
      <c r="BC4000" s="78"/>
      <c r="BD4000" s="78"/>
      <c r="BE4000" s="465"/>
      <c r="BF4000" s="165" t="str">
        <f t="shared" si="2986"/>
        <v>https://www.google.com/search?tbm=isch&amp;q=15%20G4</v>
      </c>
      <c r="BG4000" s="165" t="str">
        <f t="shared" si="2987"/>
        <v>T</v>
      </c>
      <c r="BH4000" s="65"/>
      <c r="BI4000" s="65"/>
      <c r="BJ4000" s="65"/>
      <c r="BK4000" s="65"/>
      <c r="BL4000" s="99"/>
      <c r="BM4000" s="99"/>
      <c r="BN4000" s="99"/>
    </row>
    <row r="4001" spans="1:66" s="51" customFormat="1" ht="17.25" thickBot="1" x14ac:dyDescent="0.3">
      <c r="A4001" s="704" t="s">
        <v>5548</v>
      </c>
      <c r="B4001" s="642"/>
      <c r="C4001" s="710"/>
      <c r="D4001" s="643"/>
      <c r="E4001" s="643"/>
      <c r="F4001" s="644"/>
      <c r="G4001" s="645"/>
      <c r="H4001" s="646"/>
      <c r="I4001" s="647"/>
      <c r="J4001" s="648"/>
      <c r="K4001" s="649"/>
      <c r="L4001" s="650"/>
      <c r="M4001" s="650"/>
      <c r="N4001" s="644"/>
      <c r="O4001" s="644"/>
      <c r="P4001" s="644"/>
      <c r="Q4001" s="644"/>
      <c r="R4001" s="644"/>
      <c r="S4001" s="651"/>
      <c r="T4001" s="102">
        <f t="shared" si="2975"/>
        <v>0</v>
      </c>
      <c r="U4001" s="78" t="str">
        <f>IF(NOT(ISNUMBER(G4001)), "", VLOOKUP(A4001,'Discount Lookup'!D:E,2,FALSE)*G4001)</f>
        <v/>
      </c>
      <c r="V4001" s="78" t="str">
        <f>IF(NOT(ISNUMBER(G4001)), "", VLOOKUP(A4001,'Discount Lookup'!G:H,2,FALSE)*G4001)</f>
        <v/>
      </c>
      <c r="W4001" s="102">
        <f t="shared" si="2976"/>
        <v>0</v>
      </c>
      <c r="X4001" s="102">
        <f t="shared" si="2977"/>
        <v>0</v>
      </c>
      <c r="Y4001" s="120" t="b">
        <f t="shared" si="2978"/>
        <v>0</v>
      </c>
      <c r="Z4001" s="117">
        <f t="shared" si="2979"/>
        <v>0</v>
      </c>
      <c r="AA4001" s="118"/>
      <c r="AB4001" s="118" t="str">
        <f t="shared" si="2980"/>
        <v/>
      </c>
      <c r="AC4001" s="712" t="str">
        <f>IF(AE4001="T2G","no charge",IF(AND(OR(PlanterYesMe="No",PlanterYesMe="N",PlanterYesMe="me"),H4001=""),"",IF(H4001="credit","NO install",IF(AND(K4001="",AE4001="me"),"EACH row",IF(AND(K4001="images",AE4001="me"),"EACH row",IF(D4001="","",IF(H4001="credit","",IF(AE4001="free","re-planting",IF(AE4001="me","   not ELP, by",IF(AND(OR(PlanterYesMe="Yes",PlanterYesMe="Y"),G4001&gt;0),(VLOOKUP(A4001,'Discount Lookup'!J:K,2)*G4001*(1-PlanterDiscount)*(1+PlanterDifficultyPercentage)),IF(AE4001="ELP",(VLOOKUP(A4001,'Discount Lookup'!J:K,2)*G4001*(1-PlanterDiscount)*(1+PlanterDifficultyPercentage)),IF(AE4001="free","re-planting",IF(G4001=0,"",IF(PlanterYesMe="",IF(AE4001="me","   not ELP, by",IF(AE4001="",IF(G4001&gt;0,(VLOOKUP(A4001,'Discount Lookup'!J:K,2)*G4001*(1-PlanterDiscount)*(1+PlanterDifficultyPercentage)),""),"")),"   not ELP, by"))))))))))))))</f>
        <v/>
      </c>
      <c r="AD4001" s="712"/>
      <c r="AE4001" s="513" t="str">
        <f t="shared" si="2981"/>
        <v/>
      </c>
      <c r="AF4001" s="713" t="str">
        <f t="shared" si="2982"/>
        <v/>
      </c>
      <c r="AG4001" s="713"/>
      <c r="AH4001" s="713"/>
      <c r="AI4001" s="112">
        <f>IF(H4001="credit",0,IF(AE4001="free",0,IF(AE4001="me",0,IF(G4001&gt;0,(VLOOKUP(A4001,'Discount Lookup'!J:K,2)*G4001),0))))</f>
        <v>0</v>
      </c>
      <c r="AJ4001" s="107" t="str">
        <f t="shared" ca="1" si="2983"/>
        <v/>
      </c>
      <c r="AK4001" s="714" t="str">
        <f t="shared" si="2984"/>
        <v/>
      </c>
      <c r="AL4001" s="714"/>
      <c r="AM4001" s="114" t="str">
        <f t="shared" si="2985"/>
        <v/>
      </c>
      <c r="AN4001" s="115"/>
      <c r="AO4001" s="116"/>
      <c r="AP4001" s="116"/>
      <c r="AQ4001" s="116"/>
      <c r="AR4001" s="116"/>
      <c r="AS4001" s="116"/>
      <c r="AT4001" s="116"/>
      <c r="AU4001" s="116"/>
      <c r="AV4001" s="78"/>
      <c r="AW4001" s="102"/>
      <c r="AX4001" s="78"/>
      <c r="AY4001" s="78"/>
      <c r="AZ4001" s="78"/>
      <c r="BA4001" s="78"/>
      <c r="BB4001" s="78"/>
      <c r="BC4001" s="78"/>
      <c r="BD4001" s="78"/>
      <c r="BE4001" s="465"/>
      <c r="BF4001" s="165" t="str">
        <f t="shared" si="2986"/>
        <v>https://www.google.com/search?tbm=isch&amp;q=wet%20sites%F0%9F%92%A7BEST%2C%20Peve%20Minaret%20foliage%20is%20feathery%20dark%20green%2C%20rust%20color%20in%20fall.%20Chestnut-red%20bark%20</v>
      </c>
      <c r="BG4001" s="165" t="str">
        <f t="shared" si="2987"/>
        <v>w</v>
      </c>
      <c r="BH4001" s="65"/>
      <c r="BI4001" s="65"/>
      <c r="BJ4001" s="65"/>
      <c r="BK4001" s="65"/>
      <c r="BL4001" s="99"/>
      <c r="BM4001" s="99"/>
      <c r="BN4001" s="99"/>
    </row>
    <row r="4002" spans="1:66" s="51" customFormat="1" ht="18" x14ac:dyDescent="0.25">
      <c r="A4002" s="623" t="s">
        <v>4314</v>
      </c>
      <c r="B4002" s="624"/>
      <c r="C4002" s="709"/>
      <c r="D4002" s="625" t="s">
        <v>4315</v>
      </c>
      <c r="E4002" s="626"/>
      <c r="F4002" s="626"/>
      <c r="G4002" s="626"/>
      <c r="H4002" s="622" t="s">
        <v>1642</v>
      </c>
      <c r="I4002" s="627" t="s">
        <v>683</v>
      </c>
      <c r="J4002" s="628"/>
      <c r="K4002" s="628"/>
      <c r="L4002" s="629"/>
      <c r="M4002" s="700" t="s">
        <v>5241</v>
      </c>
      <c r="N4002" s="693" t="str">
        <f>IF(AND(ISTEXT($A4002), ISERROR($A4002+0)), HYPERLINK($BF4002, "Images"), "")</f>
        <v>Images</v>
      </c>
      <c r="O4002" s="695" t="s">
        <v>5244</v>
      </c>
      <c r="P4002" s="630"/>
      <c r="Q4002" s="631"/>
      <c r="R4002" s="632"/>
      <c r="S4002" s="633" t="s">
        <v>294</v>
      </c>
      <c r="T4002" s="102">
        <f t="shared" si="2975"/>
        <v>0</v>
      </c>
      <c r="U4002" s="78" t="str">
        <f>IF(NOT(ISNUMBER(G4002)), "", VLOOKUP(A4002,'Discount Lookup'!D:E,2,FALSE)*G4002)</f>
        <v/>
      </c>
      <c r="V4002" s="78" t="str">
        <f>IF(NOT(ISNUMBER(G4002)), "", VLOOKUP(A4002,'Discount Lookup'!G:H,2,FALSE)*G4002)</f>
        <v/>
      </c>
      <c r="W4002" s="102">
        <f t="shared" si="2976"/>
        <v>0</v>
      </c>
      <c r="X4002" s="102" t="str">
        <f t="shared" si="2977"/>
        <v>Green needles</v>
      </c>
      <c r="Y4002" s="120" t="b">
        <f t="shared" si="2978"/>
        <v>0</v>
      </c>
      <c r="Z4002" s="117">
        <f t="shared" si="2979"/>
        <v>0</v>
      </c>
      <c r="AA4002" s="118"/>
      <c r="AB4002" s="118" t="str">
        <f t="shared" si="2980"/>
        <v/>
      </c>
      <c r="AC4002" s="712" t="str">
        <f>IF(AE4002="T2G","no charge",IF(AND(OR(PlanterYesMe="No",PlanterYesMe="N",PlanterYesMe="me"),H4002=""),"",IF(H4002="credit","NO install",IF(AND(K4002="",AE4002="me"),"EACH row",IF(AND(K4002="images",AE4002="me"),"EACH row",IF(D4002="","",IF(H4002="credit","",IF(AE4002="free","re-planting",IF(AE4002="me","   not ELP, by",IF(AND(OR(PlanterYesMe="Yes",PlanterYesMe="Y"),G4002&gt;0),(VLOOKUP(A4002,'Discount Lookup'!J:K,2)*G4002*(1-PlanterDiscount)*(1+PlanterDifficultyPercentage)),IF(AE4002="ELP",(VLOOKUP(A4002,'Discount Lookup'!J:K,2)*G4002*(1-PlanterDiscount)*(1+PlanterDifficultyPercentage)),IF(AE4002="free","re-planting",IF(G4002=0,"",IF(PlanterYesMe="",IF(AE4002="me","   not ELP, by",IF(AE4002="",IF(G4002&gt;0,(VLOOKUP(A4002,'Discount Lookup'!J:K,2)*G4002*(1-PlanterDiscount)*(1+PlanterDifficultyPercentage)),""),"")),"   not ELP, by"))))))))))))))</f>
        <v/>
      </c>
      <c r="AD4002" s="712"/>
      <c r="AE4002" s="513" t="str">
        <f t="shared" si="2981"/>
        <v/>
      </c>
      <c r="AF4002" s="713" t="str">
        <f t="shared" si="2982"/>
        <v/>
      </c>
      <c r="AG4002" s="713"/>
      <c r="AH4002" s="713"/>
      <c r="AI4002" s="112">
        <f>IF(H4002="credit",0,IF(AE4002="free",0,IF(AE4002="me",0,IF(G4002&gt;0,(VLOOKUP(A4002,'Discount Lookup'!J:K,2)*G4002),0))))</f>
        <v>0</v>
      </c>
      <c r="AJ4002" s="107" t="str">
        <f t="shared" ca="1" si="2983"/>
        <v/>
      </c>
      <c r="AK4002" s="714" t="str">
        <f t="shared" si="2984"/>
        <v/>
      </c>
      <c r="AL4002" s="714"/>
      <c r="AM4002" s="114" t="str">
        <f t="shared" si="2985"/>
        <v/>
      </c>
      <c r="AN4002" s="115"/>
      <c r="AO4002" s="116"/>
      <c r="AP4002" s="116"/>
      <c r="AQ4002" s="116"/>
      <c r="AR4002" s="116"/>
      <c r="AS4002" s="116"/>
      <c r="AT4002" s="116"/>
      <c r="AU4002" s="116"/>
      <c r="AV4002" s="78"/>
      <c r="AW4002" s="102"/>
      <c r="AX4002" s="78"/>
      <c r="AY4002" s="78"/>
      <c r="AZ4002" s="78"/>
      <c r="BA4002" s="78"/>
      <c r="BB4002" s="78"/>
      <c r="BC4002" s="78"/>
      <c r="BD4002" s="78"/>
      <c r="BE4002" s="465"/>
      <c r="BF4002" s="165" t="str">
        <f t="shared" si="2986"/>
        <v>https://www.google.com/search?tbm=isch&amp;q=Taxodium%20distichum%20%27Secrest%27%20Secrest%20Bald%20Cypress</v>
      </c>
      <c r="BG4002" s="165" t="str">
        <f t="shared" si="2987"/>
        <v>T</v>
      </c>
      <c r="BH4002" s="65"/>
      <c r="BI4002" s="65"/>
      <c r="BJ4002" s="65"/>
      <c r="BK4002" s="65"/>
      <c r="BL4002" s="99"/>
      <c r="BM4002" s="99"/>
      <c r="BN4002" s="99"/>
    </row>
    <row r="4003" spans="1:66" s="51" customFormat="1" ht="15.75" x14ac:dyDescent="0.25">
      <c r="A4003" s="634">
        <v>15</v>
      </c>
      <c r="B4003" s="635" t="s">
        <v>291</v>
      </c>
      <c r="C4003" s="636" t="s">
        <v>4316</v>
      </c>
      <c r="D4003" s="637" t="s">
        <v>299</v>
      </c>
      <c r="E4003" s="638">
        <v>401.95</v>
      </c>
      <c r="F4003" s="639" t="s">
        <v>292</v>
      </c>
      <c r="G4003" s="484">
        <v>0</v>
      </c>
      <c r="H4003" s="691" t="str">
        <f>IF(G4003=0,"",IF(F4003="Buy",IF(G4003=1,"plant","plants"),IF(F4003&gt;0.01,"warranty","Error")))</f>
        <v/>
      </c>
      <c r="I4003" s="640">
        <f>IF(H4003="free",0,IF(H4003="credit",((E4003*(F4003))*G4003*-1),IF(F4003="Buy",(E4003*G4003),((E4003*(1-F4003))*G4003))))</f>
        <v>0</v>
      </c>
      <c r="J4003" s="640">
        <f>IF(H4003="warranty",0,(I4003*(_xlfn.SINGLE(SalesTaxPercentage))))</f>
        <v>0</v>
      </c>
      <c r="K4003" s="716">
        <f t="shared" ref="K4003" si="2994">I4003+J4003</f>
        <v>0</v>
      </c>
      <c r="L4003" s="716"/>
      <c r="M4003" s="689" t="str">
        <f ca="1">IF(AND(G4003&gt;0,E4003=0),"WARNING - no PRICE inserted",IF(H4003="free","FREE ~ no charge this plant",IF(H4003="credit",CONCATENATE("-$",ROUND(K4003*(1-_xlfn.SINGLE(T2GDiscount))*-1,2)," CREDIT after discount"),IF(_xlfn.SINGLE(T2GDiscount)=0,"",IF(G4003=0,"",IF(F4003="Buy",CONCATENATE("$",ROUND(K4003*(1-_xlfn.SINGLE(T2GDiscount)),2)," with ",(_xlfn.SINGLE(T2GDiscount)*100),"% discount"),CONCATENATE("$",ROUND(K4003*(1-_xlfn.SINGLE(T2GDiscount)),2)," with ",((_xlfn.SINGLE(T2GDiscount)*100+F4003*100)-(_xlfn.SINGLE(T2GDiscount)*100*F4003)),IF(F4003&gt;0,"% discounts",IF(_xlfn.SINGLE(NoWarrantyDiscount)&gt;0,"% discounts","% discount")))))))))</f>
        <v/>
      </c>
      <c r="N4003" s="690"/>
      <c r="O4003" s="486"/>
      <c r="P4003" s="486"/>
      <c r="Q4003" s="486"/>
      <c r="R4003" s="486"/>
      <c r="S4003" s="486"/>
      <c r="T4003" s="102">
        <f t="shared" si="2975"/>
        <v>0</v>
      </c>
      <c r="U4003" s="78">
        <f>IF(NOT(ISNUMBER(G4003)), "", VLOOKUP(A4003,'Discount Lookup'!D:E,2,FALSE)*G4003)</f>
        <v>0</v>
      </c>
      <c r="V4003" s="78">
        <f>IF(NOT(ISNUMBER(G4003)), "", VLOOKUP(A4003,'Discount Lookup'!G:H,2,FALSE)*G4003)</f>
        <v>0</v>
      </c>
      <c r="W4003" s="102">
        <f t="shared" si="2976"/>
        <v>0</v>
      </c>
      <c r="X4003" s="102">
        <f t="shared" si="2977"/>
        <v>0</v>
      </c>
      <c r="Y4003" s="120" t="b">
        <f t="shared" si="2978"/>
        <v>0</v>
      </c>
      <c r="Z4003" s="117">
        <f t="shared" si="2979"/>
        <v>0</v>
      </c>
      <c r="AA4003" s="118"/>
      <c r="AB4003" s="118" t="str">
        <f t="shared" si="2980"/>
        <v/>
      </c>
      <c r="AC4003" s="712" t="str">
        <f>IF(AE4003="T2G","no charge",IF(AND(OR(PlanterYesMe="No",PlanterYesMe="N",PlanterYesMe="me"),H4003=""),"",IF(H4003="credit","NO install",IF(AND(K4003="",AE4003="me"),"EACH row",IF(AND(K4003="images",AE4003="me"),"EACH row",IF(D4003="","",IF(H4003="credit","",IF(AE4003="free","re-planting",IF(AE4003="me","   not ELP, by",IF(AND(OR(PlanterYesMe="Yes",PlanterYesMe="Y"),G4003&gt;0),(VLOOKUP(A4003,'Discount Lookup'!J:K,2)*G4003*(1-PlanterDiscount)*(1+PlanterDifficultyPercentage)),IF(AE4003="ELP",(VLOOKUP(A4003,'Discount Lookup'!J:K,2)*G4003*(1-PlanterDiscount)*(1+PlanterDifficultyPercentage)),IF(AE4003="free","re-planting",IF(G4003=0,"",IF(PlanterYesMe="",IF(AE4003="me","   not ELP, by",IF(AE4003="",IF(G4003&gt;0,(VLOOKUP(A4003,'Discount Lookup'!J:K,2)*G4003*(1-PlanterDiscount)*(1+PlanterDifficultyPercentage)),""),"")),"   not ELP, by"))))))))))))))</f>
        <v/>
      </c>
      <c r="AD4003" s="712"/>
      <c r="AE4003" s="513" t="str">
        <f t="shared" si="2981"/>
        <v/>
      </c>
      <c r="AF4003" s="713" t="str">
        <f t="shared" si="2982"/>
        <v/>
      </c>
      <c r="AG4003" s="713"/>
      <c r="AH4003" s="713"/>
      <c r="AI4003" s="112">
        <f>IF(H4003="credit",0,IF(AE4003="free",0,IF(AE4003="me",0,IF(G4003&gt;0,(VLOOKUP(A4003,'Discount Lookup'!J:K,2)*G4003),0))))</f>
        <v>0</v>
      </c>
      <c r="AJ4003" s="107" t="str">
        <f t="shared" ca="1" si="2983"/>
        <v/>
      </c>
      <c r="AK4003" s="714" t="str">
        <f t="shared" si="2984"/>
        <v/>
      </c>
      <c r="AL4003" s="714"/>
      <c r="AM4003" s="114" t="str">
        <f t="shared" si="2985"/>
        <v/>
      </c>
      <c r="AN4003" s="115"/>
      <c r="AO4003" s="116"/>
      <c r="AP4003" s="116"/>
      <c r="AQ4003" s="116"/>
      <c r="AR4003" s="116"/>
      <c r="AS4003" s="116"/>
      <c r="AT4003" s="116"/>
      <c r="AU4003" s="116"/>
      <c r="AV4003" s="78"/>
      <c r="AW4003" s="102"/>
      <c r="AX4003" s="78"/>
      <c r="AY4003" s="78"/>
      <c r="AZ4003" s="78"/>
      <c r="BA4003" s="78"/>
      <c r="BB4003" s="78"/>
      <c r="BC4003" s="78"/>
      <c r="BD4003" s="78"/>
      <c r="BE4003" s="465"/>
      <c r="BF4003" s="165" t="str">
        <f t="shared" si="2986"/>
        <v>https://www.google.com/search?tbm=isch&amp;q=15%20G4</v>
      </c>
      <c r="BG4003" s="165" t="str">
        <f t="shared" si="2987"/>
        <v>T</v>
      </c>
      <c r="BH4003" s="65"/>
      <c r="BI4003" s="65"/>
      <c r="BJ4003" s="65"/>
      <c r="BK4003" s="65"/>
      <c r="BL4003" s="99"/>
      <c r="BM4003" s="99"/>
      <c r="BN4003" s="99"/>
    </row>
    <row r="4004" spans="1:66" s="51" customFormat="1" ht="16.5" x14ac:dyDescent="0.25">
      <c r="A4004" s="704" t="s">
        <v>5549</v>
      </c>
      <c r="B4004" s="642"/>
      <c r="C4004" s="710"/>
      <c r="D4004" s="643"/>
      <c r="E4004" s="643"/>
      <c r="F4004" s="644"/>
      <c r="G4004" s="645"/>
      <c r="H4004" s="646"/>
      <c r="I4004" s="647"/>
      <c r="J4004" s="648"/>
      <c r="K4004" s="649"/>
      <c r="L4004" s="650"/>
      <c r="M4004" s="650"/>
      <c r="N4004" s="644"/>
      <c r="O4004" s="644"/>
      <c r="P4004" s="644"/>
      <c r="Q4004" s="644"/>
      <c r="R4004" s="644"/>
      <c r="S4004" s="701" t="s">
        <v>5269</v>
      </c>
      <c r="T4004" s="102">
        <f t="shared" si="2975"/>
        <v>0</v>
      </c>
      <c r="U4004" s="78" t="str">
        <f>IF(NOT(ISNUMBER(G4004)), "", VLOOKUP(A4004,'Discount Lookup'!D:E,2,FALSE)*G4004)</f>
        <v/>
      </c>
      <c r="V4004" s="78" t="str">
        <f>IF(NOT(ISNUMBER(G4004)), "", VLOOKUP(A4004,'Discount Lookup'!G:H,2,FALSE)*G4004)</f>
        <v/>
      </c>
      <c r="W4004" s="102">
        <f t="shared" si="2976"/>
        <v>0</v>
      </c>
      <c r="X4004" s="102">
        <f t="shared" si="2977"/>
        <v>0</v>
      </c>
      <c r="Y4004" s="120" t="b">
        <f t="shared" si="2978"/>
        <v>0</v>
      </c>
      <c r="Z4004" s="117">
        <f t="shared" si="2979"/>
        <v>0</v>
      </c>
      <c r="AA4004" s="118"/>
      <c r="AB4004" s="118" t="str">
        <f t="shared" si="2980"/>
        <v/>
      </c>
      <c r="AC4004" s="712" t="str">
        <f>IF(AE4004="T2G","no charge",IF(AND(OR(PlanterYesMe="No",PlanterYesMe="N",PlanterYesMe="me"),H4004=""),"",IF(H4004="credit","NO install",IF(AND(K4004="",AE4004="me"),"EACH row",IF(AND(K4004="images",AE4004="me"),"EACH row",IF(D4004="","",IF(H4004="credit","",IF(AE4004="free","re-planting",IF(AE4004="me","   not ELP, by",IF(AND(OR(PlanterYesMe="Yes",PlanterYesMe="Y"),G4004&gt;0),(VLOOKUP(A4004,'Discount Lookup'!J:K,2)*G4004*(1-PlanterDiscount)*(1+PlanterDifficultyPercentage)),IF(AE4004="ELP",(VLOOKUP(A4004,'Discount Lookup'!J:K,2)*G4004*(1-PlanterDiscount)*(1+PlanterDifficultyPercentage)),IF(AE4004="free","re-planting",IF(G4004=0,"",IF(PlanterYesMe="",IF(AE4004="me","   not ELP, by",IF(AE4004="",IF(G4004&gt;0,(VLOOKUP(A4004,'Discount Lookup'!J:K,2)*G4004*(1-PlanterDiscount)*(1+PlanterDifficultyPercentage)),""),"")),"   not ELP, by"))))))))))))))</f>
        <v/>
      </c>
      <c r="AD4004" s="712"/>
      <c r="AE4004" s="513" t="str">
        <f t="shared" si="2981"/>
        <v/>
      </c>
      <c r="AF4004" s="713" t="str">
        <f t="shared" si="2982"/>
        <v/>
      </c>
      <c r="AG4004" s="713"/>
      <c r="AH4004" s="713"/>
      <c r="AI4004" s="112">
        <f>IF(H4004="credit",0,IF(AE4004="free",0,IF(AE4004="me",0,IF(G4004&gt;0,(VLOOKUP(A4004,'Discount Lookup'!J:K,2)*G4004),0))))</f>
        <v>0</v>
      </c>
      <c r="AJ4004" s="107" t="str">
        <f t="shared" ca="1" si="2983"/>
        <v/>
      </c>
      <c r="AK4004" s="714" t="str">
        <f t="shared" si="2984"/>
        <v/>
      </c>
      <c r="AL4004" s="714"/>
      <c r="AM4004" s="114" t="str">
        <f t="shared" si="2985"/>
        <v/>
      </c>
      <c r="AN4004" s="115"/>
      <c r="AO4004" s="116"/>
      <c r="AP4004" s="116"/>
      <c r="AQ4004" s="116"/>
      <c r="AR4004" s="116"/>
      <c r="AS4004" s="116"/>
      <c r="AT4004" s="116"/>
      <c r="AU4004" s="116"/>
      <c r="AV4004" s="78"/>
      <c r="AW4004" s="102"/>
      <c r="AX4004" s="78"/>
      <c r="AY4004" s="78"/>
      <c r="AZ4004" s="78"/>
      <c r="BA4004" s="78"/>
      <c r="BB4004" s="78"/>
      <c r="BC4004" s="78"/>
      <c r="BD4004" s="78"/>
      <c r="BE4004" s="465"/>
      <c r="BF4004" s="165" t="str">
        <f t="shared" si="2986"/>
        <v>https://www.google.com/search?tbm=isch&amp;q=wet%20sites%F0%9F%92%A7BEST%2C%20Secrest%20is%20a%20unique%20dwarf%20of%20the%20Bald%20Cypress.%20Slow%20grower.%20Feathery%20needles%20turn%20Golde%20to%20Burnt-Orange%20in%20fall%20</v>
      </c>
      <c r="BG4004" s="165" t="str">
        <f t="shared" si="2987"/>
        <v>w</v>
      </c>
      <c r="BH4004" s="65"/>
      <c r="BI4004" s="65"/>
      <c r="BJ4004" s="65"/>
      <c r="BK4004" s="65"/>
      <c r="BL4004" s="99"/>
      <c r="BM4004" s="99"/>
      <c r="BN4004" s="99"/>
    </row>
    <row r="4005" spans="1:66" s="51" customFormat="1" ht="19.5" thickBot="1" x14ac:dyDescent="0.3">
      <c r="A4005" s="686" t="s">
        <v>4948</v>
      </c>
      <c r="B4005" s="73"/>
      <c r="C4005" s="708"/>
      <c r="D4005" s="73"/>
      <c r="E4005" s="73"/>
      <c r="F4005" s="496"/>
      <c r="G4005" s="73"/>
      <c r="H4005" s="73"/>
      <c r="I4005" s="73"/>
      <c r="J4005" s="497" t="s">
        <v>357</v>
      </c>
      <c r="K4005" s="498"/>
      <c r="L4005" s="562"/>
      <c r="M4005" s="73"/>
      <c r="N4005"/>
      <c r="O4005"/>
      <c r="P4005"/>
      <c r="Q4005"/>
      <c r="R4005"/>
      <c r="S4005"/>
      <c r="T4005" s="102">
        <f t="shared" si="2975"/>
        <v>0</v>
      </c>
      <c r="U4005" s="78" t="str">
        <f>IF(NOT(ISNUMBER(G4005)), "", VLOOKUP(A4005,'Discount Lookup'!D:E,2,FALSE)*G4005)</f>
        <v/>
      </c>
      <c r="V4005" s="78" t="str">
        <f>IF(NOT(ISNUMBER(G4005)), "", VLOOKUP(A4005,'Discount Lookup'!G:H,2,FALSE)*G4005)</f>
        <v/>
      </c>
      <c r="W4005" s="102">
        <f t="shared" si="2976"/>
        <v>0</v>
      </c>
      <c r="X4005" s="102">
        <f t="shared" si="2977"/>
        <v>0</v>
      </c>
      <c r="Y4005" s="120" t="b">
        <f t="shared" si="2978"/>
        <v>0</v>
      </c>
      <c r="Z4005" s="117">
        <f t="shared" si="2979"/>
        <v>0</v>
      </c>
      <c r="AA4005" s="118"/>
      <c r="AB4005" s="118" t="str">
        <f t="shared" si="2980"/>
        <v/>
      </c>
      <c r="AC4005" s="712" t="str">
        <f>IF(AE4005="T2G","no charge",IF(AND(OR(PlanterYesMe="No",PlanterYesMe="N",PlanterYesMe="me"),H4005=""),"",IF(H4005="credit","NO install",IF(AND(K4005="",AE4005="me"),"EACH row",IF(AND(K4005="images",AE4005="me"),"EACH row",IF(D4005="","",IF(H4005="credit","",IF(AE4005="free","re-planting",IF(AE4005="me","   not ELP, by",IF(AND(OR(PlanterYesMe="Yes",PlanterYesMe="Y"),G4005&gt;0),(VLOOKUP(A4005,'Discount Lookup'!J:K,2)*G4005*(1-PlanterDiscount)*(1+PlanterDifficultyPercentage)),IF(AE4005="ELP",(VLOOKUP(A4005,'Discount Lookup'!J:K,2)*G4005*(1-PlanterDiscount)*(1+PlanterDifficultyPercentage)),IF(AE4005="free","re-planting",IF(G4005=0,"",IF(PlanterYesMe="",IF(AE4005="me","   not ELP, by",IF(AE4005="",IF(G4005&gt;0,(VLOOKUP(A4005,'Discount Lookup'!J:K,2)*G4005*(1-PlanterDiscount)*(1+PlanterDifficultyPercentage)),""),"")),"   not ELP, by"))))))))))))))</f>
        <v/>
      </c>
      <c r="AD4005" s="712"/>
      <c r="AE4005" s="513" t="str">
        <f t="shared" si="2981"/>
        <v/>
      </c>
      <c r="AF4005" s="713" t="str">
        <f t="shared" si="2982"/>
        <v/>
      </c>
      <c r="AG4005" s="713"/>
      <c r="AH4005" s="713"/>
      <c r="AI4005" s="112">
        <f>IF(H4005="credit",0,IF(AE4005="free",0,IF(AE4005="me",0,IF(G4005&gt;0,(VLOOKUP(A4005,'Discount Lookup'!J:K,2)*G4005),0))))</f>
        <v>0</v>
      </c>
      <c r="AJ4005" s="107" t="str">
        <f t="shared" ca="1" si="2983"/>
        <v/>
      </c>
      <c r="AK4005" s="714" t="str">
        <f t="shared" si="2984"/>
        <v/>
      </c>
      <c r="AL4005" s="714"/>
      <c r="AM4005" s="114" t="str">
        <f t="shared" si="2985"/>
        <v/>
      </c>
      <c r="AN4005" s="115"/>
      <c r="AO4005" s="116"/>
      <c r="AP4005" s="116"/>
      <c r="AQ4005" s="116"/>
      <c r="AR4005" s="116"/>
      <c r="AS4005" s="116"/>
      <c r="AT4005" s="116"/>
      <c r="AU4005" s="116"/>
      <c r="AV4005" s="78"/>
      <c r="AW4005" s="102"/>
      <c r="AX4005" s="78"/>
      <c r="AY4005" s="78"/>
      <c r="AZ4005" s="78"/>
      <c r="BA4005" s="78"/>
      <c r="BB4005" s="78"/>
      <c r="BC4005" s="78"/>
      <c r="BD4005" s="78"/>
      <c r="BE4005" s="465"/>
      <c r="BF4005" s="165" t="str">
        <f t="shared" si="2986"/>
        <v>https://www.google.com/search?tbm=isch&amp;q=Taxus%20%3D%20true%20Yew%20%20%28Cephalotaxus%20%3D%20Japanese%20Yew%29%20</v>
      </c>
      <c r="BG4005" s="165" t="str">
        <f t="shared" si="2987"/>
        <v>T</v>
      </c>
      <c r="BH4005" s="65"/>
      <c r="BI4005" s="65"/>
      <c r="BJ4005" s="65"/>
      <c r="BK4005" s="65"/>
      <c r="BL4005" s="99"/>
      <c r="BM4005" s="99"/>
      <c r="BN4005" s="99"/>
    </row>
    <row r="4006" spans="1:66" s="51" customFormat="1" ht="18" x14ac:dyDescent="0.25">
      <c r="A4006" s="507" t="s">
        <v>746</v>
      </c>
      <c r="B4006" s="470"/>
      <c r="C4006" s="706"/>
      <c r="D4006" s="471" t="s">
        <v>747</v>
      </c>
      <c r="E4006" s="472"/>
      <c r="F4006" s="472"/>
      <c r="G4006" s="472"/>
      <c r="H4006" s="622" t="s">
        <v>534</v>
      </c>
      <c r="I4006" s="473" t="s">
        <v>431</v>
      </c>
      <c r="J4006" s="472"/>
      <c r="K4006" s="472"/>
      <c r="L4006" s="561"/>
      <c r="M4006" s="698" t="s">
        <v>5246</v>
      </c>
      <c r="N4006" s="692" t="str">
        <f>IF(AND(ISTEXT($A4006), ISERROR($A4006+0)), HYPERLINK($BF4006, "Images"), "")</f>
        <v>Images</v>
      </c>
      <c r="O4006" s="694" t="s">
        <v>5244</v>
      </c>
      <c r="P4006" s="475"/>
      <c r="Q4006" s="476"/>
      <c r="R4006" s="476"/>
      <c r="S4006" s="477"/>
      <c r="T4006" s="102">
        <f t="shared" si="2975"/>
        <v>0</v>
      </c>
      <c r="U4006" s="78" t="str">
        <f>IF(NOT(ISNUMBER(G4006)), "", VLOOKUP(A4006,'Discount Lookup'!D:E,2,FALSE)*G4006)</f>
        <v/>
      </c>
      <c r="V4006" s="78" t="str">
        <f>IF(NOT(ISNUMBER(G4006)), "", VLOOKUP(A4006,'Discount Lookup'!G:H,2,FALSE)*G4006)</f>
        <v/>
      </c>
      <c r="W4006" s="102">
        <f t="shared" si="2976"/>
        <v>0</v>
      </c>
      <c r="X4006" s="102" t="str">
        <f t="shared" si="2977"/>
        <v>Dark Green foliage</v>
      </c>
      <c r="Y4006" s="120" t="b">
        <f t="shared" si="2978"/>
        <v>0</v>
      </c>
      <c r="Z4006" s="117">
        <f t="shared" si="2979"/>
        <v>0</v>
      </c>
      <c r="AA4006" s="118"/>
      <c r="AB4006" s="118" t="str">
        <f t="shared" si="2980"/>
        <v/>
      </c>
      <c r="AC4006" s="712" t="str">
        <f>IF(AE4006="T2G","no charge",IF(AND(OR(PlanterYesMe="No",PlanterYesMe="N",PlanterYesMe="me"),H4006=""),"",IF(H4006="credit","NO install",IF(AND(K4006="",AE4006="me"),"EACH row",IF(AND(K4006="images",AE4006="me"),"EACH row",IF(D4006="","",IF(H4006="credit","",IF(AE4006="free","re-planting",IF(AE4006="me","   not ELP, by",IF(AND(OR(PlanterYesMe="Yes",PlanterYesMe="Y"),G4006&gt;0),(VLOOKUP(A4006,'Discount Lookup'!J:K,2)*G4006*(1-PlanterDiscount)*(1+PlanterDifficultyPercentage)),IF(AE4006="ELP",(VLOOKUP(A4006,'Discount Lookup'!J:K,2)*G4006*(1-PlanterDiscount)*(1+PlanterDifficultyPercentage)),IF(AE4006="free","re-planting",IF(G4006=0,"",IF(PlanterYesMe="",IF(AE4006="me","   not ELP, by",IF(AE4006="",IF(G4006&gt;0,(VLOOKUP(A4006,'Discount Lookup'!J:K,2)*G4006*(1-PlanterDiscount)*(1+PlanterDifficultyPercentage)),""),"")),"   not ELP, by"))))))))))))))</f>
        <v/>
      </c>
      <c r="AD4006" s="712"/>
      <c r="AE4006" s="513" t="str">
        <f t="shared" si="2981"/>
        <v/>
      </c>
      <c r="AF4006" s="713" t="str">
        <f t="shared" si="2982"/>
        <v/>
      </c>
      <c r="AG4006" s="713"/>
      <c r="AH4006" s="713"/>
      <c r="AI4006" s="112">
        <f>IF(H4006="credit",0,IF(AE4006="free",0,IF(AE4006="me",0,IF(G4006&gt;0,(VLOOKUP(A4006,'Discount Lookup'!J:K,2)*G4006),0))))</f>
        <v>0</v>
      </c>
      <c r="AJ4006" s="107" t="str">
        <f t="shared" ca="1" si="2983"/>
        <v/>
      </c>
      <c r="AK4006" s="714" t="str">
        <f t="shared" si="2984"/>
        <v/>
      </c>
      <c r="AL4006" s="714"/>
      <c r="AM4006" s="114" t="str">
        <f t="shared" si="2985"/>
        <v/>
      </c>
      <c r="AN4006" s="115"/>
      <c r="AO4006" s="116"/>
      <c r="AP4006" s="116"/>
      <c r="AQ4006" s="116"/>
      <c r="AR4006" s="116"/>
      <c r="AS4006" s="116"/>
      <c r="AT4006" s="116"/>
      <c r="AU4006" s="116"/>
      <c r="AV4006" s="78"/>
      <c r="AW4006" s="102"/>
      <c r="AX4006" s="78"/>
      <c r="AY4006" s="78"/>
      <c r="AZ4006" s="78"/>
      <c r="BA4006" s="78"/>
      <c r="BB4006" s="78"/>
      <c r="BC4006" s="78"/>
      <c r="BD4006" s="78"/>
      <c r="BE4006" s="465"/>
      <c r="BF4006" s="165" t="str">
        <f t="shared" si="2986"/>
        <v>https://www.google.com/search?tbm=isch&amp;q=Taxus%20cuspidata%20PP%23TACU%20Japanese%20Yew</v>
      </c>
      <c r="BG4006" s="165" t="str">
        <f t="shared" si="2987"/>
        <v>T</v>
      </c>
      <c r="BH4006" s="65"/>
      <c r="BI4006" s="65"/>
      <c r="BJ4006" s="65"/>
      <c r="BK4006" s="65"/>
      <c r="BL4006" s="99"/>
      <c r="BM4006" s="99"/>
      <c r="BN4006" s="99"/>
    </row>
    <row r="4007" spans="1:66" s="51" customFormat="1" ht="15.75" x14ac:dyDescent="0.25">
      <c r="A4007" s="478">
        <v>3</v>
      </c>
      <c r="B4007" s="479" t="s">
        <v>291</v>
      </c>
      <c r="C4007" s="480" t="s">
        <v>748</v>
      </c>
      <c r="D4007" s="481" t="s">
        <v>309</v>
      </c>
      <c r="E4007" s="482">
        <v>28.95</v>
      </c>
      <c r="F4007" s="483" t="s">
        <v>292</v>
      </c>
      <c r="G4007" s="484">
        <v>0</v>
      </c>
      <c r="H4007" s="688" t="str">
        <f>IF(G4007=0,"",IF(F4007="Buy",IF(G4007=1,"plant","plants"),IF(F4007&gt;0.01,"warranty","Error")))</f>
        <v/>
      </c>
      <c r="I4007" s="485">
        <f>IF(H4007="free",0,IF(H4007="credit",((E4007*(F4007))*G4007*-1),IF(F4007="Buy",(E4007*G4007),((E4007*(1-F4007))*G4007))))</f>
        <v>0</v>
      </c>
      <c r="J4007" s="485">
        <f>IF(H4007="warranty",0,(I4007*(_xlfn.SINGLE(SalesTaxPercentage))))</f>
        <v>0</v>
      </c>
      <c r="K4007" s="715">
        <f t="shared" ref="K4007" si="2995">I4007+J4007</f>
        <v>0</v>
      </c>
      <c r="L4007" s="715"/>
      <c r="M4007" s="689" t="str">
        <f ca="1">IF(AND(G4007&gt;0,E4007=0),"WARNING - no PRICE inserted",IF(H4007="free","FREE ~ no charge this plant",IF(H4007="credit",CONCATENATE("-$",ROUND(K4007*(1-_xlfn.SINGLE(T2GDiscount))*-1,2)," CREDIT after discount"),IF(_xlfn.SINGLE(T2GDiscount)=0,"",IF(G4007=0,"",IF(F4007="Buy",CONCATENATE("$",ROUND(K4007*(1-_xlfn.SINGLE(T2GDiscount)),2)," with ",(_xlfn.SINGLE(T2GDiscount)*100),"% discount"),CONCATENATE("$",ROUND(K4007*(1-_xlfn.SINGLE(T2GDiscount)),2)," with ",((_xlfn.SINGLE(T2GDiscount)*100+F4007*100)-(_xlfn.SINGLE(T2GDiscount)*100*F4007)),IF(F4007&gt;0,"% discounts",IF(_xlfn.SINGLE(NoWarrantyDiscount)&gt;0,"% discounts","% discount")))))))))</f>
        <v/>
      </c>
      <c r="N4007" s="690"/>
      <c r="O4007" s="486"/>
      <c r="P4007" s="486"/>
      <c r="Q4007" s="486"/>
      <c r="R4007" s="486"/>
      <c r="S4007" s="486"/>
      <c r="T4007" s="102">
        <f t="shared" si="2975"/>
        <v>0</v>
      </c>
      <c r="U4007" s="78">
        <f>IF(NOT(ISNUMBER(G4007)), "", VLOOKUP(A4007,'Discount Lookup'!D:E,2,FALSE)*G4007)</f>
        <v>0</v>
      </c>
      <c r="V4007" s="78">
        <f>IF(NOT(ISNUMBER(G4007)), "", VLOOKUP(A4007,'Discount Lookup'!G:H,2,FALSE)*G4007)</f>
        <v>0</v>
      </c>
      <c r="W4007" s="102">
        <f t="shared" si="2976"/>
        <v>0</v>
      </c>
      <c r="X4007" s="102">
        <f t="shared" si="2977"/>
        <v>0</v>
      </c>
      <c r="Y4007" s="120" t="b">
        <f t="shared" si="2978"/>
        <v>0</v>
      </c>
      <c r="Z4007" s="117">
        <f t="shared" si="2979"/>
        <v>0</v>
      </c>
      <c r="AA4007" s="118"/>
      <c r="AB4007" s="118" t="str">
        <f t="shared" si="2980"/>
        <v/>
      </c>
      <c r="AC4007" s="712" t="str">
        <f>IF(AE4007="T2G","no charge",IF(AND(OR(PlanterYesMe="No",PlanterYesMe="N",PlanterYesMe="me"),H4007=""),"",IF(H4007="credit","NO install",IF(AND(K4007="",AE4007="me"),"EACH row",IF(AND(K4007="images",AE4007="me"),"EACH row",IF(D4007="","",IF(H4007="credit","",IF(AE4007="free","re-planting",IF(AE4007="me","   not ELP, by",IF(AND(OR(PlanterYesMe="Yes",PlanterYesMe="Y"),G4007&gt;0),(VLOOKUP(A4007,'Discount Lookup'!J:K,2)*G4007*(1-PlanterDiscount)*(1+PlanterDifficultyPercentage)),IF(AE4007="ELP",(VLOOKUP(A4007,'Discount Lookup'!J:K,2)*G4007*(1-PlanterDiscount)*(1+PlanterDifficultyPercentage)),IF(AE4007="free","re-planting",IF(G4007=0,"",IF(PlanterYesMe="",IF(AE4007="me","   not ELP, by",IF(AE4007="",IF(G4007&gt;0,(VLOOKUP(A4007,'Discount Lookup'!J:K,2)*G4007*(1-PlanterDiscount)*(1+PlanterDifficultyPercentage)),""),"")),"   not ELP, by"))))))))))))))</f>
        <v/>
      </c>
      <c r="AD4007" s="712"/>
      <c r="AE4007" s="513" t="str">
        <f t="shared" si="2981"/>
        <v/>
      </c>
      <c r="AF4007" s="713" t="str">
        <f t="shared" si="2982"/>
        <v/>
      </c>
      <c r="AG4007" s="713"/>
      <c r="AH4007" s="713"/>
      <c r="AI4007" s="112">
        <f>IF(H4007="credit",0,IF(AE4007="free",0,IF(AE4007="me",0,IF(G4007&gt;0,(VLOOKUP(A4007,'Discount Lookup'!J:K,2)*G4007),0))))</f>
        <v>0</v>
      </c>
      <c r="AJ4007" s="107" t="str">
        <f t="shared" ca="1" si="2983"/>
        <v/>
      </c>
      <c r="AK4007" s="714" t="str">
        <f t="shared" si="2984"/>
        <v/>
      </c>
      <c r="AL4007" s="714"/>
      <c r="AM4007" s="114" t="str">
        <f t="shared" si="2985"/>
        <v/>
      </c>
      <c r="AN4007" s="115"/>
      <c r="AO4007" s="116"/>
      <c r="AP4007" s="116"/>
      <c r="AQ4007" s="116"/>
      <c r="AR4007" s="116"/>
      <c r="AS4007" s="116"/>
      <c r="AT4007" s="116"/>
      <c r="AU4007" s="116"/>
      <c r="AV4007" s="78"/>
      <c r="AW4007" s="102"/>
      <c r="AX4007" s="78"/>
      <c r="AY4007" s="78"/>
      <c r="AZ4007" s="78"/>
      <c r="BA4007" s="78"/>
      <c r="BB4007" s="78"/>
      <c r="BC4007" s="78"/>
      <c r="BD4007" s="78"/>
      <c r="BE4007" s="465"/>
      <c r="BF4007" s="165" t="str">
        <f t="shared" si="2986"/>
        <v>https://www.google.com/search?tbm=isch&amp;q=3%20G3</v>
      </c>
      <c r="BG4007" s="165" t="str">
        <f t="shared" si="2987"/>
        <v>T</v>
      </c>
      <c r="BH4007" s="65"/>
      <c r="BI4007" s="65"/>
      <c r="BJ4007" s="65"/>
      <c r="BK4007" s="65"/>
      <c r="BL4007" s="99"/>
      <c r="BM4007" s="99"/>
      <c r="BN4007" s="99"/>
    </row>
    <row r="4008" spans="1:66" s="51" customFormat="1" ht="15.75" x14ac:dyDescent="0.25">
      <c r="A4008" s="508" t="s">
        <v>749</v>
      </c>
      <c r="B4008" s="487"/>
      <c r="C4008" s="707"/>
      <c r="D4008" s="487"/>
      <c r="E4008" s="487"/>
      <c r="F4008" s="488"/>
      <c r="G4008" s="489"/>
      <c r="H4008" s="487"/>
      <c r="I4008" s="490"/>
      <c r="J4008" s="490"/>
      <c r="K4008" s="491"/>
      <c r="L4008" s="547"/>
      <c r="M4008" s="528"/>
      <c r="N4008" s="492"/>
      <c r="O4008" s="493"/>
      <c r="P4008" s="494"/>
      <c r="Q4008" s="492"/>
      <c r="R4008" s="492"/>
      <c r="S4008" s="495"/>
      <c r="T4008" s="102">
        <f t="shared" si="2975"/>
        <v>0</v>
      </c>
      <c r="U4008" s="78" t="str">
        <f>IF(NOT(ISNUMBER(G4008)), "", VLOOKUP(A4008,'Discount Lookup'!D:E,2,FALSE)*G4008)</f>
        <v/>
      </c>
      <c r="V4008" s="78" t="str">
        <f>IF(NOT(ISNUMBER(G4008)), "", VLOOKUP(A4008,'Discount Lookup'!G:H,2,FALSE)*G4008)</f>
        <v/>
      </c>
      <c r="W4008" s="102">
        <f t="shared" si="2976"/>
        <v>0</v>
      </c>
      <c r="X4008" s="102">
        <f t="shared" si="2977"/>
        <v>0</v>
      </c>
      <c r="Y4008" s="120" t="b">
        <f t="shared" si="2978"/>
        <v>0</v>
      </c>
      <c r="Z4008" s="117">
        <f t="shared" si="2979"/>
        <v>0</v>
      </c>
      <c r="AA4008" s="118"/>
      <c r="AB4008" s="118" t="str">
        <f t="shared" si="2980"/>
        <v/>
      </c>
      <c r="AC4008" s="712" t="str">
        <f>IF(AE4008="T2G","no charge",IF(AND(OR(PlanterYesMe="No",PlanterYesMe="N",PlanterYesMe="me"),H4008=""),"",IF(H4008="credit","NO install",IF(AND(K4008="",AE4008="me"),"EACH row",IF(AND(K4008="images",AE4008="me"),"EACH row",IF(D4008="","",IF(H4008="credit","",IF(AE4008="free","re-planting",IF(AE4008="me","   not ELP, by",IF(AND(OR(PlanterYesMe="Yes",PlanterYesMe="Y"),G4008&gt;0),(VLOOKUP(A4008,'Discount Lookup'!J:K,2)*G4008*(1-PlanterDiscount)*(1+PlanterDifficultyPercentage)),IF(AE4008="ELP",(VLOOKUP(A4008,'Discount Lookup'!J:K,2)*G4008*(1-PlanterDiscount)*(1+PlanterDifficultyPercentage)),IF(AE4008="free","re-planting",IF(G4008=0,"",IF(PlanterYesMe="",IF(AE4008="me","   not ELP, by",IF(AE4008="",IF(G4008&gt;0,(VLOOKUP(A4008,'Discount Lookup'!J:K,2)*G4008*(1-PlanterDiscount)*(1+PlanterDifficultyPercentage)),""),"")),"   not ELP, by"))))))))))))))</f>
        <v/>
      </c>
      <c r="AD4008" s="712"/>
      <c r="AE4008" s="513" t="str">
        <f t="shared" si="2981"/>
        <v/>
      </c>
      <c r="AF4008" s="713" t="str">
        <f t="shared" si="2982"/>
        <v/>
      </c>
      <c r="AG4008" s="713"/>
      <c r="AH4008" s="713"/>
      <c r="AI4008" s="112">
        <f>IF(H4008="credit",0,IF(AE4008="free",0,IF(AE4008="me",0,IF(G4008&gt;0,(VLOOKUP(A4008,'Discount Lookup'!J:K,2)*G4008),0))))</f>
        <v>0</v>
      </c>
      <c r="AJ4008" s="107" t="str">
        <f t="shared" ca="1" si="2983"/>
        <v/>
      </c>
      <c r="AK4008" s="714" t="str">
        <f t="shared" si="2984"/>
        <v/>
      </c>
      <c r="AL4008" s="714"/>
      <c r="AM4008" s="114" t="str">
        <f t="shared" si="2985"/>
        <v/>
      </c>
      <c r="AN4008" s="115"/>
      <c r="AO4008" s="116"/>
      <c r="AP4008" s="116"/>
      <c r="AQ4008" s="116"/>
      <c r="AR4008" s="116"/>
      <c r="AS4008" s="116"/>
      <c r="AT4008" s="116"/>
      <c r="AU4008" s="116"/>
      <c r="AV4008" s="78"/>
      <c r="AW4008" s="102"/>
      <c r="AX4008" s="78"/>
      <c r="AY4008" s="78"/>
      <c r="AZ4008" s="78"/>
      <c r="BA4008" s="78"/>
      <c r="BB4008" s="78"/>
      <c r="BC4008" s="78"/>
      <c r="BD4008" s="78"/>
      <c r="BE4008" s="465"/>
      <c r="BF4008" s="165" t="str">
        <f t="shared" si="2986"/>
        <v>https://www.google.com/search?tbm=isch&amp;q=Japanese%20Yew%20is%20not%20a%20true%20Yew%2C%20but%20very%20similar.%20It%20is%20low%20maintenance%2C%20durable%2C%20and%20tolerant%20of%20poor%20conditions%20</v>
      </c>
      <c r="BG4008" s="165" t="str">
        <f t="shared" si="2987"/>
        <v>J</v>
      </c>
      <c r="BH4008" s="65"/>
      <c r="BI4008" s="65"/>
      <c r="BJ4008" s="65"/>
      <c r="BK4008" s="65"/>
      <c r="BL4008" s="99"/>
      <c r="BM4008" s="99"/>
      <c r="BN4008" s="99"/>
    </row>
    <row r="4009" spans="1:66" s="51" customFormat="1" ht="19.5" thickBot="1" x14ac:dyDescent="0.3">
      <c r="A4009" s="686" t="s">
        <v>750</v>
      </c>
      <c r="B4009" s="73"/>
      <c r="C4009" s="708"/>
      <c r="D4009" s="73"/>
      <c r="E4009" s="73"/>
      <c r="F4009" s="496"/>
      <c r="G4009" s="73"/>
      <c r="H4009" s="73"/>
      <c r="I4009" s="73"/>
      <c r="J4009" s="497" t="s">
        <v>357</v>
      </c>
      <c r="K4009" s="498"/>
      <c r="L4009" s="562"/>
      <c r="M4009" s="73"/>
      <c r="N4009"/>
      <c r="O4009"/>
      <c r="P4009"/>
      <c r="Q4009"/>
      <c r="R4009"/>
      <c r="S4009"/>
      <c r="T4009" s="102">
        <f t="shared" si="2975"/>
        <v>0</v>
      </c>
      <c r="U4009" s="78" t="str">
        <f>IF(NOT(ISNUMBER(G4009)), "", VLOOKUP(A4009,'Discount Lookup'!D:E,2,FALSE)*G4009)</f>
        <v/>
      </c>
      <c r="V4009" s="78" t="str">
        <f>IF(NOT(ISNUMBER(G4009)), "", VLOOKUP(A4009,'Discount Lookup'!G:H,2,FALSE)*G4009)</f>
        <v/>
      </c>
      <c r="W4009" s="102">
        <f t="shared" si="2976"/>
        <v>0</v>
      </c>
      <c r="X4009" s="102">
        <f t="shared" si="2977"/>
        <v>0</v>
      </c>
      <c r="Y4009" s="120" t="b">
        <f t="shared" si="2978"/>
        <v>0</v>
      </c>
      <c r="Z4009" s="117">
        <f t="shared" si="2979"/>
        <v>0</v>
      </c>
      <c r="AA4009" s="118"/>
      <c r="AB4009" s="118" t="str">
        <f t="shared" si="2980"/>
        <v/>
      </c>
      <c r="AC4009" s="712" t="str">
        <f>IF(AE4009="T2G","no charge",IF(AND(OR(PlanterYesMe="No",PlanterYesMe="N",PlanterYesMe="me"),H4009=""),"",IF(H4009="credit","NO install",IF(AND(K4009="",AE4009="me"),"EACH row",IF(AND(K4009="images",AE4009="me"),"EACH row",IF(D4009="","",IF(H4009="credit","",IF(AE4009="free","re-planting",IF(AE4009="me","   not ELP, by",IF(AND(OR(PlanterYesMe="Yes",PlanterYesMe="Y"),G4009&gt;0),(VLOOKUP(A4009,'Discount Lookup'!J:K,2)*G4009*(1-PlanterDiscount)*(1+PlanterDifficultyPercentage)),IF(AE4009="ELP",(VLOOKUP(A4009,'Discount Lookup'!J:K,2)*G4009*(1-PlanterDiscount)*(1+PlanterDifficultyPercentage)),IF(AE4009="free","re-planting",IF(G4009=0,"",IF(PlanterYesMe="",IF(AE4009="me","   not ELP, by",IF(AE4009="",IF(G4009&gt;0,(VLOOKUP(A4009,'Discount Lookup'!J:K,2)*G4009*(1-PlanterDiscount)*(1+PlanterDifficultyPercentage)),""),"")),"   not ELP, by"))))))))))))))</f>
        <v/>
      </c>
      <c r="AD4009" s="712"/>
      <c r="AE4009" s="513" t="str">
        <f t="shared" si="2981"/>
        <v/>
      </c>
      <c r="AF4009" s="713" t="str">
        <f t="shared" si="2982"/>
        <v/>
      </c>
      <c r="AG4009" s="713"/>
      <c r="AH4009" s="713"/>
      <c r="AI4009" s="112">
        <f>IF(H4009="credit",0,IF(AE4009="free",0,IF(AE4009="me",0,IF(G4009&gt;0,(VLOOKUP(A4009,'Discount Lookup'!J:K,2)*G4009),0))))</f>
        <v>0</v>
      </c>
      <c r="AJ4009" s="107" t="str">
        <f t="shared" ca="1" si="2983"/>
        <v/>
      </c>
      <c r="AK4009" s="714" t="str">
        <f t="shared" si="2984"/>
        <v/>
      </c>
      <c r="AL4009" s="714"/>
      <c r="AM4009" s="114" t="str">
        <f t="shared" si="2985"/>
        <v/>
      </c>
      <c r="AN4009" s="115"/>
      <c r="AO4009" s="116"/>
      <c r="AP4009" s="116"/>
      <c r="AQ4009" s="116"/>
      <c r="AR4009" s="116"/>
      <c r="AS4009" s="116"/>
      <c r="AT4009" s="116"/>
      <c r="AU4009" s="116"/>
      <c r="AV4009" s="78"/>
      <c r="AW4009" s="102"/>
      <c r="AX4009" s="78"/>
      <c r="AY4009" s="78"/>
      <c r="AZ4009" s="78"/>
      <c r="BA4009" s="78"/>
      <c r="BB4009" s="78"/>
      <c r="BC4009" s="78"/>
      <c r="BD4009" s="78"/>
      <c r="BE4009" s="465"/>
      <c r="BF4009" s="165" t="str">
        <f t="shared" si="2986"/>
        <v>https://www.google.com/search?tbm=isch&amp;q=Ternstroemia%20%3D%20Cleyera%20</v>
      </c>
      <c r="BG4009" s="165" t="str">
        <f t="shared" si="2987"/>
        <v>T</v>
      </c>
      <c r="BH4009" s="65"/>
      <c r="BI4009" s="65"/>
      <c r="BJ4009" s="65"/>
      <c r="BK4009" s="65"/>
      <c r="BL4009" s="99"/>
      <c r="BM4009" s="99"/>
      <c r="BN4009" s="99"/>
    </row>
    <row r="4010" spans="1:66" s="51" customFormat="1" ht="18" x14ac:dyDescent="0.25">
      <c r="A4010" s="507" t="s">
        <v>4317</v>
      </c>
      <c r="B4010" s="470"/>
      <c r="C4010" s="706"/>
      <c r="D4010" s="471" t="s">
        <v>4318</v>
      </c>
      <c r="E4010" s="472"/>
      <c r="F4010" s="472"/>
      <c r="G4010" s="472"/>
      <c r="H4010" s="622" t="s">
        <v>1246</v>
      </c>
      <c r="I4010" s="473" t="s">
        <v>431</v>
      </c>
      <c r="J4010" s="472"/>
      <c r="K4010" s="472"/>
      <c r="L4010" s="561"/>
      <c r="M4010" s="698" t="s">
        <v>5246</v>
      </c>
      <c r="N4010" s="692" t="str">
        <f>IF(AND(ISTEXT($A4010), ISERROR($A4010+0)), HYPERLINK($BF4010, "Images"), "")</f>
        <v>Images</v>
      </c>
      <c r="O4010" s="694" t="s">
        <v>5247</v>
      </c>
      <c r="P4010" s="475"/>
      <c r="Q4010" s="476"/>
      <c r="R4010" s="476"/>
      <c r="S4010" s="477"/>
      <c r="T4010" s="102">
        <f t="shared" si="2975"/>
        <v>0</v>
      </c>
      <c r="U4010" s="78" t="str">
        <f>IF(NOT(ISNUMBER(G4010)), "", VLOOKUP(A4010,'Discount Lookup'!D:E,2,FALSE)*G4010)</f>
        <v/>
      </c>
      <c r="V4010" s="78" t="str">
        <f>IF(NOT(ISNUMBER(G4010)), "", VLOOKUP(A4010,'Discount Lookup'!G:H,2,FALSE)*G4010)</f>
        <v/>
      </c>
      <c r="W4010" s="102">
        <f t="shared" si="2976"/>
        <v>0</v>
      </c>
      <c r="X4010" s="102" t="str">
        <f t="shared" si="2977"/>
        <v>Dark Green foliage</v>
      </c>
      <c r="Y4010" s="120" t="b">
        <f t="shared" si="2978"/>
        <v>0</v>
      </c>
      <c r="Z4010" s="117">
        <f t="shared" si="2979"/>
        <v>0</v>
      </c>
      <c r="AA4010" s="118"/>
      <c r="AB4010" s="118" t="str">
        <f t="shared" si="2980"/>
        <v/>
      </c>
      <c r="AC4010" s="712" t="str">
        <f>IF(AE4010="T2G","no charge",IF(AND(OR(PlanterYesMe="No",PlanterYesMe="N",PlanterYesMe="me"),H4010=""),"",IF(H4010="credit","NO install",IF(AND(K4010="",AE4010="me"),"EACH row",IF(AND(K4010="images",AE4010="me"),"EACH row",IF(D4010="","",IF(H4010="credit","",IF(AE4010="free","re-planting",IF(AE4010="me","   not ELP, by",IF(AND(OR(PlanterYesMe="Yes",PlanterYesMe="Y"),G4010&gt;0),(VLOOKUP(A4010,'Discount Lookup'!J:K,2)*G4010*(1-PlanterDiscount)*(1+PlanterDifficultyPercentage)),IF(AE4010="ELP",(VLOOKUP(A4010,'Discount Lookup'!J:K,2)*G4010*(1-PlanterDiscount)*(1+PlanterDifficultyPercentage)),IF(AE4010="free","re-planting",IF(G4010=0,"",IF(PlanterYesMe="",IF(AE4010="me","   not ELP, by",IF(AE4010="",IF(G4010&gt;0,(VLOOKUP(A4010,'Discount Lookup'!J:K,2)*G4010*(1-PlanterDiscount)*(1+PlanterDifficultyPercentage)),""),"")),"   not ELP, by"))))))))))))))</f>
        <v/>
      </c>
      <c r="AD4010" s="712"/>
      <c r="AE4010" s="513" t="str">
        <f t="shared" si="2981"/>
        <v/>
      </c>
      <c r="AF4010" s="713" t="str">
        <f t="shared" si="2982"/>
        <v/>
      </c>
      <c r="AG4010" s="713"/>
      <c r="AH4010" s="713"/>
      <c r="AI4010" s="112">
        <f>IF(H4010="credit",0,IF(AE4010="free",0,IF(AE4010="me",0,IF(G4010&gt;0,(VLOOKUP(A4010,'Discount Lookup'!J:K,2)*G4010),0))))</f>
        <v>0</v>
      </c>
      <c r="AJ4010" s="107" t="str">
        <f t="shared" ca="1" si="2983"/>
        <v/>
      </c>
      <c r="AK4010" s="714" t="str">
        <f t="shared" si="2984"/>
        <v/>
      </c>
      <c r="AL4010" s="714"/>
      <c r="AM4010" s="114" t="str">
        <f t="shared" si="2985"/>
        <v/>
      </c>
      <c r="AN4010" s="115"/>
      <c r="AO4010" s="116"/>
      <c r="AP4010" s="116"/>
      <c r="AQ4010" s="116"/>
      <c r="AR4010" s="116"/>
      <c r="AS4010" s="116"/>
      <c r="AT4010" s="116"/>
      <c r="AU4010" s="116"/>
      <c r="AV4010" s="78"/>
      <c r="AW4010" s="102"/>
      <c r="AX4010" s="78"/>
      <c r="AY4010" s="78"/>
      <c r="AZ4010" s="78"/>
      <c r="BA4010" s="78"/>
      <c r="BB4010" s="78"/>
      <c r="BC4010" s="78"/>
      <c r="BD4010" s="78"/>
      <c r="BE4010" s="465"/>
      <c r="BF4010" s="165" t="str">
        <f t="shared" si="2986"/>
        <v>https://www.google.com/search?tbm=isch&amp;q=Ternstroemia%20gymnanthera%20Japanese%20Cleyera</v>
      </c>
      <c r="BG4010" s="165" t="str">
        <f t="shared" si="2987"/>
        <v>T</v>
      </c>
      <c r="BH4010" s="65"/>
      <c r="BI4010" s="65"/>
      <c r="BJ4010" s="65"/>
      <c r="BK4010" s="65"/>
      <c r="BL4010" s="99"/>
      <c r="BM4010" s="99"/>
      <c r="BN4010" s="99"/>
    </row>
    <row r="4011" spans="1:66" s="51" customFormat="1" ht="15.75" x14ac:dyDescent="0.25">
      <c r="A4011" s="478">
        <v>7</v>
      </c>
      <c r="B4011" s="479" t="s">
        <v>291</v>
      </c>
      <c r="C4011" s="480" t="s">
        <v>4319</v>
      </c>
      <c r="D4011" s="481" t="s">
        <v>299</v>
      </c>
      <c r="E4011" s="482">
        <v>86.95</v>
      </c>
      <c r="F4011" s="483" t="s">
        <v>292</v>
      </c>
      <c r="G4011" s="484">
        <v>0</v>
      </c>
      <c r="H4011" s="688" t="str">
        <f>IF(G4011=0,"",IF(F4011="Buy",IF(G4011=1,"plant","plants"),IF(F4011&gt;0.01,"warranty","Error")))</f>
        <v/>
      </c>
      <c r="I4011" s="485">
        <f>IF(H4011="free",0,IF(H4011="credit",((E4011*(F4011))*G4011*-1),IF(F4011="Buy",(E4011*G4011),((E4011*(1-F4011))*G4011))))</f>
        <v>0</v>
      </c>
      <c r="J4011" s="485">
        <f>IF(H4011="warranty",0,(I4011*(_xlfn.SINGLE(SalesTaxPercentage))))</f>
        <v>0</v>
      </c>
      <c r="K4011" s="715">
        <f t="shared" ref="K4011" si="2996">I4011+J4011</f>
        <v>0</v>
      </c>
      <c r="L4011" s="715"/>
      <c r="M4011" s="689" t="str">
        <f ca="1">IF(AND(G4011&gt;0,E4011=0),"WARNING - no PRICE inserted",IF(H4011="free","FREE ~ no charge this plant",IF(H4011="credit",CONCATENATE("-$",ROUND(K4011*(1-_xlfn.SINGLE(T2GDiscount))*-1,2)," CREDIT after discount"),IF(_xlfn.SINGLE(T2GDiscount)=0,"",IF(G4011=0,"",IF(F4011="Buy",CONCATENATE("$",ROUND(K4011*(1-_xlfn.SINGLE(T2GDiscount)),2)," with ",(_xlfn.SINGLE(T2GDiscount)*100),"% discount"),CONCATENATE("$",ROUND(K4011*(1-_xlfn.SINGLE(T2GDiscount)),2)," with ",((_xlfn.SINGLE(T2GDiscount)*100+F4011*100)-(_xlfn.SINGLE(T2GDiscount)*100*F4011)),IF(F4011&gt;0,"% discounts",IF(_xlfn.SINGLE(NoWarrantyDiscount)&gt;0,"% discounts","% discount")))))))))</f>
        <v/>
      </c>
      <c r="N4011" s="690"/>
      <c r="O4011" s="486"/>
      <c r="P4011" s="486"/>
      <c r="Q4011" s="486"/>
      <c r="R4011" s="486"/>
      <c r="S4011" s="486"/>
      <c r="T4011" s="102">
        <f t="shared" si="2975"/>
        <v>0</v>
      </c>
      <c r="U4011" s="78">
        <f>IF(NOT(ISNUMBER(G4011)), "", VLOOKUP(A4011,'Discount Lookup'!D:E,2,FALSE)*G4011)</f>
        <v>0</v>
      </c>
      <c r="V4011" s="78">
        <f>IF(NOT(ISNUMBER(G4011)), "", VLOOKUP(A4011,'Discount Lookup'!G:H,2,FALSE)*G4011)</f>
        <v>0</v>
      </c>
      <c r="W4011" s="102">
        <f t="shared" si="2976"/>
        <v>0</v>
      </c>
      <c r="X4011" s="102">
        <f t="shared" si="2977"/>
        <v>0</v>
      </c>
      <c r="Y4011" s="120" t="b">
        <f t="shared" si="2978"/>
        <v>0</v>
      </c>
      <c r="Z4011" s="117">
        <f t="shared" si="2979"/>
        <v>0</v>
      </c>
      <c r="AA4011" s="118"/>
      <c r="AB4011" s="118" t="str">
        <f t="shared" si="2980"/>
        <v/>
      </c>
      <c r="AC4011" s="712" t="str">
        <f>IF(AE4011="T2G","no charge",IF(AND(OR(PlanterYesMe="No",PlanterYesMe="N",PlanterYesMe="me"),H4011=""),"",IF(H4011="credit","NO install",IF(AND(K4011="",AE4011="me"),"EACH row",IF(AND(K4011="images",AE4011="me"),"EACH row",IF(D4011="","",IF(H4011="credit","",IF(AE4011="free","re-planting",IF(AE4011="me","   not ELP, by",IF(AND(OR(PlanterYesMe="Yes",PlanterYesMe="Y"),G4011&gt;0),(VLOOKUP(A4011,'Discount Lookup'!J:K,2)*G4011*(1-PlanterDiscount)*(1+PlanterDifficultyPercentage)),IF(AE4011="ELP",(VLOOKUP(A4011,'Discount Lookup'!J:K,2)*G4011*(1-PlanterDiscount)*(1+PlanterDifficultyPercentage)),IF(AE4011="free","re-planting",IF(G4011=0,"",IF(PlanterYesMe="",IF(AE4011="me","   not ELP, by",IF(AE4011="",IF(G4011&gt;0,(VLOOKUP(A4011,'Discount Lookup'!J:K,2)*G4011*(1-PlanterDiscount)*(1+PlanterDifficultyPercentage)),""),"")),"   not ELP, by"))))))))))))))</f>
        <v/>
      </c>
      <c r="AD4011" s="712"/>
      <c r="AE4011" s="513" t="str">
        <f t="shared" si="2981"/>
        <v/>
      </c>
      <c r="AF4011" s="713" t="str">
        <f t="shared" si="2982"/>
        <v/>
      </c>
      <c r="AG4011" s="713"/>
      <c r="AH4011" s="713"/>
      <c r="AI4011" s="112">
        <f>IF(H4011="credit",0,IF(AE4011="free",0,IF(AE4011="me",0,IF(G4011&gt;0,(VLOOKUP(A4011,'Discount Lookup'!J:K,2)*G4011),0))))</f>
        <v>0</v>
      </c>
      <c r="AJ4011" s="107" t="str">
        <f t="shared" ca="1" si="2983"/>
        <v/>
      </c>
      <c r="AK4011" s="714" t="str">
        <f t="shared" si="2984"/>
        <v/>
      </c>
      <c r="AL4011" s="714"/>
      <c r="AM4011" s="114" t="str">
        <f t="shared" si="2985"/>
        <v/>
      </c>
      <c r="AN4011" s="115"/>
      <c r="AO4011" s="116"/>
      <c r="AP4011" s="116"/>
      <c r="AQ4011" s="116"/>
      <c r="AR4011" s="116"/>
      <c r="AS4011" s="116"/>
      <c r="AT4011" s="116"/>
      <c r="AU4011" s="116"/>
      <c r="AV4011" s="78"/>
      <c r="AW4011" s="102"/>
      <c r="AX4011" s="78"/>
      <c r="AY4011" s="78"/>
      <c r="AZ4011" s="78"/>
      <c r="BA4011" s="78"/>
      <c r="BB4011" s="78"/>
      <c r="BC4011" s="78"/>
      <c r="BD4011" s="78"/>
      <c r="BE4011" s="465"/>
      <c r="BF4011" s="165" t="str">
        <f t="shared" si="2986"/>
        <v>https://www.google.com/search?tbm=isch&amp;q=7%20G4</v>
      </c>
      <c r="BG4011" s="165" t="str">
        <f t="shared" si="2987"/>
        <v>T</v>
      </c>
      <c r="BH4011" s="65"/>
      <c r="BI4011" s="65"/>
      <c r="BJ4011" s="65"/>
      <c r="BK4011" s="65"/>
      <c r="BL4011" s="99"/>
      <c r="BM4011" s="99"/>
      <c r="BN4011" s="99"/>
    </row>
    <row r="4012" spans="1:66" s="51" customFormat="1" ht="15.75" x14ac:dyDescent="0.25">
      <c r="A4012" s="478">
        <v>10</v>
      </c>
      <c r="B4012" s="479" t="s">
        <v>291</v>
      </c>
      <c r="C4012" s="480" t="s">
        <v>4656</v>
      </c>
      <c r="D4012" s="481" t="s">
        <v>293</v>
      </c>
      <c r="E4012" s="482">
        <v>104.95</v>
      </c>
      <c r="F4012" s="483" t="s">
        <v>292</v>
      </c>
      <c r="G4012" s="484">
        <v>0</v>
      </c>
      <c r="H4012" s="688" t="str">
        <f>IF(G4012=0,"",IF(F4012="Buy",IF(G4012=1,"plant","plants"),IF(F4012&gt;0.01,"warranty","Error")))</f>
        <v/>
      </c>
      <c r="I4012" s="485">
        <f>IF(H4012="free",0,IF(H4012="credit",((E4012*(F4012))*G4012*-1),IF(F4012="Buy",(E4012*G4012),((E4012*(1-F4012))*G4012))))</f>
        <v>0</v>
      </c>
      <c r="J4012" s="485">
        <f>IF(H4012="warranty",0,(I4012*(_xlfn.SINGLE(SalesTaxPercentage))))</f>
        <v>0</v>
      </c>
      <c r="K4012" s="715">
        <f t="shared" ref="K4012" si="2997">I4012+J4012</f>
        <v>0</v>
      </c>
      <c r="L4012" s="715"/>
      <c r="M4012" s="689" t="str">
        <f ca="1">IF(AND(G4012&gt;0,E4012=0),"WARNING - no PRICE inserted",IF(H4012="free","FREE ~ no charge this plant",IF(H4012="credit",CONCATENATE("-$",ROUND(K4012*(1-_xlfn.SINGLE(T2GDiscount))*-1,2)," CREDIT after discount"),IF(_xlfn.SINGLE(T2GDiscount)=0,"",IF(G4012=0,"",IF(F4012="Buy",CONCATENATE("$",ROUND(K4012*(1-_xlfn.SINGLE(T2GDiscount)),2)," with ",(_xlfn.SINGLE(T2GDiscount)*100),"% discount"),CONCATENATE("$",ROUND(K4012*(1-_xlfn.SINGLE(T2GDiscount)),2)," with ",((_xlfn.SINGLE(T2GDiscount)*100+F4012*100)-(_xlfn.SINGLE(T2GDiscount)*100*F4012)),IF(F4012&gt;0,"% discounts",IF(_xlfn.SINGLE(NoWarrantyDiscount)&gt;0,"% discounts","% discount")))))))))</f>
        <v/>
      </c>
      <c r="N4012" s="690"/>
      <c r="O4012" s="486"/>
      <c r="P4012" s="486"/>
      <c r="Q4012" s="486"/>
      <c r="R4012" s="486"/>
      <c r="S4012" s="486"/>
      <c r="T4012" s="102">
        <f t="shared" si="2975"/>
        <v>0</v>
      </c>
      <c r="U4012" s="78">
        <f>IF(NOT(ISNUMBER(G4012)), "", VLOOKUP(A4012,'Discount Lookup'!D:E,2,FALSE)*G4012)</f>
        <v>0</v>
      </c>
      <c r="V4012" s="78">
        <f>IF(NOT(ISNUMBER(G4012)), "", VLOOKUP(A4012,'Discount Lookup'!G:H,2,FALSE)*G4012)</f>
        <v>0</v>
      </c>
      <c r="W4012" s="102">
        <f t="shared" si="2976"/>
        <v>0</v>
      </c>
      <c r="X4012" s="102">
        <f t="shared" si="2977"/>
        <v>0</v>
      </c>
      <c r="Y4012" s="120" t="b">
        <f t="shared" si="2978"/>
        <v>0</v>
      </c>
      <c r="Z4012" s="117">
        <f t="shared" si="2979"/>
        <v>0</v>
      </c>
      <c r="AA4012" s="118"/>
      <c r="AB4012" s="118" t="str">
        <f t="shared" si="2980"/>
        <v/>
      </c>
      <c r="AC4012" s="712" t="str">
        <f>IF(AE4012="T2G","no charge",IF(AND(OR(PlanterYesMe="No",PlanterYesMe="N",PlanterYesMe="me"),H4012=""),"",IF(H4012="credit","NO install",IF(AND(K4012="",AE4012="me"),"EACH row",IF(AND(K4012="images",AE4012="me"),"EACH row",IF(D4012="","",IF(H4012="credit","",IF(AE4012="free","re-planting",IF(AE4012="me","   not ELP, by",IF(AND(OR(PlanterYesMe="Yes",PlanterYesMe="Y"),G4012&gt;0),(VLOOKUP(A4012,'Discount Lookup'!J:K,2)*G4012*(1-PlanterDiscount)*(1+PlanterDifficultyPercentage)),IF(AE4012="ELP",(VLOOKUP(A4012,'Discount Lookup'!J:K,2)*G4012*(1-PlanterDiscount)*(1+PlanterDifficultyPercentage)),IF(AE4012="free","re-planting",IF(G4012=0,"",IF(PlanterYesMe="",IF(AE4012="me","   not ELP, by",IF(AE4012="",IF(G4012&gt;0,(VLOOKUP(A4012,'Discount Lookup'!J:K,2)*G4012*(1-PlanterDiscount)*(1+PlanterDifficultyPercentage)),""),"")),"   not ELP, by"))))))))))))))</f>
        <v/>
      </c>
      <c r="AD4012" s="712"/>
      <c r="AE4012" s="513" t="str">
        <f t="shared" si="2981"/>
        <v/>
      </c>
      <c r="AF4012" s="713" t="str">
        <f t="shared" si="2982"/>
        <v/>
      </c>
      <c r="AG4012" s="713"/>
      <c r="AH4012" s="713"/>
      <c r="AI4012" s="112">
        <f>IF(H4012="credit",0,IF(AE4012="free",0,IF(AE4012="me",0,IF(G4012&gt;0,(VLOOKUP(A4012,'Discount Lookup'!J:K,2)*G4012),0))))</f>
        <v>0</v>
      </c>
      <c r="AJ4012" s="107" t="str">
        <f t="shared" ca="1" si="2983"/>
        <v/>
      </c>
      <c r="AK4012" s="714" t="str">
        <f t="shared" si="2984"/>
        <v/>
      </c>
      <c r="AL4012" s="714"/>
      <c r="AM4012" s="114" t="str">
        <f t="shared" si="2985"/>
        <v/>
      </c>
      <c r="AN4012" s="115"/>
      <c r="AO4012" s="116"/>
      <c r="AP4012" s="116"/>
      <c r="AQ4012" s="116"/>
      <c r="AR4012" s="116"/>
      <c r="AS4012" s="116"/>
      <c r="AT4012" s="116"/>
      <c r="AU4012" s="116"/>
      <c r="AV4012" s="78"/>
      <c r="AW4012" s="102"/>
      <c r="AX4012" s="78"/>
      <c r="AY4012" s="78"/>
      <c r="AZ4012" s="78"/>
      <c r="BA4012" s="78"/>
      <c r="BB4012" s="78"/>
      <c r="BC4012" s="78"/>
      <c r="BD4012" s="78"/>
      <c r="BE4012" s="465"/>
      <c r="BF4012" s="165" t="str">
        <f t="shared" si="2986"/>
        <v>https://www.google.com/search?tbm=isch&amp;q=10%20G6</v>
      </c>
      <c r="BG4012" s="165" t="str">
        <f t="shared" si="2987"/>
        <v>T</v>
      </c>
      <c r="BH4012" s="65"/>
      <c r="BI4012" s="65"/>
      <c r="BJ4012" s="65"/>
      <c r="BK4012" s="65"/>
      <c r="BL4012" s="99"/>
      <c r="BM4012" s="99"/>
      <c r="BN4012" s="99"/>
    </row>
    <row r="4013" spans="1:66" s="51" customFormat="1" ht="16.5" thickBot="1" x14ac:dyDescent="0.3">
      <c r="A4013" s="508" t="s">
        <v>4320</v>
      </c>
      <c r="B4013" s="487"/>
      <c r="C4013" s="707"/>
      <c r="D4013" s="487"/>
      <c r="E4013" s="487"/>
      <c r="F4013" s="488"/>
      <c r="G4013" s="489"/>
      <c r="H4013" s="487"/>
      <c r="I4013" s="490"/>
      <c r="J4013" s="490"/>
      <c r="K4013" s="491"/>
      <c r="L4013" s="547"/>
      <c r="M4013" s="528"/>
      <c r="N4013" s="492"/>
      <c r="O4013" s="493"/>
      <c r="P4013" s="494"/>
      <c r="Q4013" s="492"/>
      <c r="R4013" s="492"/>
      <c r="S4013" s="495"/>
      <c r="T4013" s="102">
        <f t="shared" si="2975"/>
        <v>0</v>
      </c>
      <c r="U4013" s="78" t="str">
        <f>IF(NOT(ISNUMBER(G4013)), "", VLOOKUP(A4013,'Discount Lookup'!D:E,2,FALSE)*G4013)</f>
        <v/>
      </c>
      <c r="V4013" s="78" t="str">
        <f>IF(NOT(ISNUMBER(G4013)), "", VLOOKUP(A4013,'Discount Lookup'!G:H,2,FALSE)*G4013)</f>
        <v/>
      </c>
      <c r="W4013" s="102">
        <f t="shared" si="2976"/>
        <v>0</v>
      </c>
      <c r="X4013" s="102">
        <f t="shared" si="2977"/>
        <v>0</v>
      </c>
      <c r="Y4013" s="120" t="b">
        <f t="shared" si="2978"/>
        <v>0</v>
      </c>
      <c r="Z4013" s="117">
        <f t="shared" si="2979"/>
        <v>0</v>
      </c>
      <c r="AA4013" s="118"/>
      <c r="AB4013" s="118" t="str">
        <f t="shared" si="2980"/>
        <v/>
      </c>
      <c r="AC4013" s="712" t="str">
        <f>IF(AE4013="T2G","no charge",IF(AND(OR(PlanterYesMe="No",PlanterYesMe="N",PlanterYesMe="me"),H4013=""),"",IF(H4013="credit","NO install",IF(AND(K4013="",AE4013="me"),"EACH row",IF(AND(K4013="images",AE4013="me"),"EACH row",IF(D4013="","",IF(H4013="credit","",IF(AE4013="free","re-planting",IF(AE4013="me","   not ELP, by",IF(AND(OR(PlanterYesMe="Yes",PlanterYesMe="Y"),G4013&gt;0),(VLOOKUP(A4013,'Discount Lookup'!J:K,2)*G4013*(1-PlanterDiscount)*(1+PlanterDifficultyPercentage)),IF(AE4013="ELP",(VLOOKUP(A4013,'Discount Lookup'!J:K,2)*G4013*(1-PlanterDiscount)*(1+PlanterDifficultyPercentage)),IF(AE4013="free","re-planting",IF(G4013=0,"",IF(PlanterYesMe="",IF(AE4013="me","   not ELP, by",IF(AE4013="",IF(G4013&gt;0,(VLOOKUP(A4013,'Discount Lookup'!J:K,2)*G4013*(1-PlanterDiscount)*(1+PlanterDifficultyPercentage)),""),"")),"   not ELP, by"))))))))))))))</f>
        <v/>
      </c>
      <c r="AD4013" s="712"/>
      <c r="AE4013" s="513" t="str">
        <f t="shared" si="2981"/>
        <v/>
      </c>
      <c r="AF4013" s="713" t="str">
        <f t="shared" si="2982"/>
        <v/>
      </c>
      <c r="AG4013" s="713"/>
      <c r="AH4013" s="713"/>
      <c r="AI4013" s="112">
        <f>IF(H4013="credit",0,IF(AE4013="free",0,IF(AE4013="me",0,IF(G4013&gt;0,(VLOOKUP(A4013,'Discount Lookup'!J:K,2)*G4013),0))))</f>
        <v>0</v>
      </c>
      <c r="AJ4013" s="107" t="str">
        <f t="shared" ca="1" si="2983"/>
        <v/>
      </c>
      <c r="AK4013" s="714" t="str">
        <f t="shared" si="2984"/>
        <v/>
      </c>
      <c r="AL4013" s="714"/>
      <c r="AM4013" s="114" t="str">
        <f t="shared" si="2985"/>
        <v/>
      </c>
      <c r="AN4013" s="115"/>
      <c r="AO4013" s="116"/>
      <c r="AP4013" s="116"/>
      <c r="AQ4013" s="116"/>
      <c r="AR4013" s="116"/>
      <c r="AS4013" s="116"/>
      <c r="AT4013" s="116"/>
      <c r="AU4013" s="116"/>
      <c r="AV4013" s="78"/>
      <c r="AW4013" s="102"/>
      <c r="AX4013" s="78"/>
      <c r="AY4013" s="78"/>
      <c r="AZ4013" s="78"/>
      <c r="BA4013" s="78"/>
      <c r="BB4013" s="78"/>
      <c r="BC4013" s="78"/>
      <c r="BD4013" s="78"/>
      <c r="BE4013" s="465"/>
      <c r="BF4013" s="165" t="str">
        <f t="shared" si="2986"/>
        <v>https://www.google.com/search?tbm=isch&amp;q=Cleyera%20foliage%20emerges%20Deep%20Red%2C%20turning%20Blue-Green%2C%20then%20Burgundy%20fall.%20Small%20White%20fragrant%20blooms.%20Small%20fruit%20</v>
      </c>
      <c r="BG4013" s="165" t="str">
        <f t="shared" si="2987"/>
        <v>C</v>
      </c>
      <c r="BH4013" s="65"/>
      <c r="BI4013" s="65"/>
      <c r="BJ4013" s="65"/>
      <c r="BK4013" s="65"/>
      <c r="BL4013" s="99"/>
      <c r="BM4013" s="99"/>
      <c r="BN4013" s="99"/>
    </row>
    <row r="4014" spans="1:66" s="51" customFormat="1" ht="18" x14ac:dyDescent="0.25">
      <c r="A4014" s="507" t="s">
        <v>4321</v>
      </c>
      <c r="B4014" s="470"/>
      <c r="C4014" s="706"/>
      <c r="D4014" s="471" t="s">
        <v>4322</v>
      </c>
      <c r="E4014" s="472"/>
      <c r="F4014" s="472"/>
      <c r="G4014" s="472"/>
      <c r="H4014" s="622" t="s">
        <v>1471</v>
      </c>
      <c r="I4014" s="473" t="s">
        <v>431</v>
      </c>
      <c r="J4014" s="472"/>
      <c r="K4014" s="472"/>
      <c r="L4014" s="561"/>
      <c r="M4014" s="698" t="s">
        <v>5246</v>
      </c>
      <c r="N4014" s="692" t="str">
        <f>IF(AND(ISTEXT($A4014), ISERROR($A4014+0)), HYPERLINK($BF4014, "Images"), "")</f>
        <v>Images</v>
      </c>
      <c r="O4014" s="694" t="s">
        <v>5247</v>
      </c>
      <c r="P4014" s="475"/>
      <c r="Q4014" s="476"/>
      <c r="R4014" s="476"/>
      <c r="S4014" s="477"/>
      <c r="T4014" s="102">
        <f t="shared" si="2975"/>
        <v>0</v>
      </c>
      <c r="U4014" s="78" t="str">
        <f>IF(NOT(ISNUMBER(G4014)), "", VLOOKUP(A4014,'Discount Lookup'!D:E,2,FALSE)*G4014)</f>
        <v/>
      </c>
      <c r="V4014" s="78" t="str">
        <f>IF(NOT(ISNUMBER(G4014)), "", VLOOKUP(A4014,'Discount Lookup'!G:H,2,FALSE)*G4014)</f>
        <v/>
      </c>
      <c r="W4014" s="102">
        <f t="shared" si="2976"/>
        <v>0</v>
      </c>
      <c r="X4014" s="102" t="str">
        <f t="shared" si="2977"/>
        <v>Dark Green foliage</v>
      </c>
      <c r="Y4014" s="120" t="b">
        <f t="shared" si="2978"/>
        <v>0</v>
      </c>
      <c r="Z4014" s="117">
        <f t="shared" si="2979"/>
        <v>0</v>
      </c>
      <c r="AA4014" s="118"/>
      <c r="AB4014" s="118" t="str">
        <f t="shared" si="2980"/>
        <v/>
      </c>
      <c r="AC4014" s="712" t="str">
        <f>IF(AE4014="T2G","no charge",IF(AND(OR(PlanterYesMe="No",PlanterYesMe="N",PlanterYesMe="me"),H4014=""),"",IF(H4014="credit","NO install",IF(AND(K4014="",AE4014="me"),"EACH row",IF(AND(K4014="images",AE4014="me"),"EACH row",IF(D4014="","",IF(H4014="credit","",IF(AE4014="free","re-planting",IF(AE4014="me","   not ELP, by",IF(AND(OR(PlanterYesMe="Yes",PlanterYesMe="Y"),G4014&gt;0),(VLOOKUP(A4014,'Discount Lookup'!J:K,2)*G4014*(1-PlanterDiscount)*(1+PlanterDifficultyPercentage)),IF(AE4014="ELP",(VLOOKUP(A4014,'Discount Lookup'!J:K,2)*G4014*(1-PlanterDiscount)*(1+PlanterDifficultyPercentage)),IF(AE4014="free","re-planting",IF(G4014=0,"",IF(PlanterYesMe="",IF(AE4014="me","   not ELP, by",IF(AE4014="",IF(G4014&gt;0,(VLOOKUP(A4014,'Discount Lookup'!J:K,2)*G4014*(1-PlanterDiscount)*(1+PlanterDifficultyPercentage)),""),"")),"   not ELP, by"))))))))))))))</f>
        <v/>
      </c>
      <c r="AD4014" s="712"/>
      <c r="AE4014" s="513" t="str">
        <f t="shared" si="2981"/>
        <v/>
      </c>
      <c r="AF4014" s="713" t="str">
        <f t="shared" si="2982"/>
        <v/>
      </c>
      <c r="AG4014" s="713"/>
      <c r="AH4014" s="713"/>
      <c r="AI4014" s="112">
        <f>IF(H4014="credit",0,IF(AE4014="free",0,IF(AE4014="me",0,IF(G4014&gt;0,(VLOOKUP(A4014,'Discount Lookup'!J:K,2)*G4014),0))))</f>
        <v>0</v>
      </c>
      <c r="AJ4014" s="107" t="str">
        <f t="shared" ca="1" si="2983"/>
        <v/>
      </c>
      <c r="AK4014" s="714" t="str">
        <f t="shared" si="2984"/>
        <v/>
      </c>
      <c r="AL4014" s="714"/>
      <c r="AM4014" s="114" t="str">
        <f t="shared" si="2985"/>
        <v/>
      </c>
      <c r="AN4014" s="115"/>
      <c r="AO4014" s="116"/>
      <c r="AP4014" s="116"/>
      <c r="AQ4014" s="116"/>
      <c r="AR4014" s="116"/>
      <c r="AS4014" s="116"/>
      <c r="AT4014" s="116"/>
      <c r="AU4014" s="116"/>
      <c r="AV4014" s="78"/>
      <c r="AW4014" s="102"/>
      <c r="AX4014" s="78"/>
      <c r="AY4014" s="78"/>
      <c r="AZ4014" s="78"/>
      <c r="BA4014" s="78"/>
      <c r="BB4014" s="78"/>
      <c r="BC4014" s="78"/>
      <c r="BD4014" s="78"/>
      <c r="BE4014" s="465"/>
      <c r="BF4014" s="165" t="str">
        <f t="shared" si="2986"/>
        <v>https://www.google.com/search?tbm=isch&amp;q=Ternstroemia%20gymnanthera%20%27Copper%20Crown%27%20Copper%20Crown%20Cleyera</v>
      </c>
      <c r="BG4014" s="165" t="str">
        <f t="shared" si="2987"/>
        <v>T</v>
      </c>
      <c r="BH4014" s="65"/>
      <c r="BI4014" s="65"/>
      <c r="BJ4014" s="65"/>
      <c r="BK4014" s="65"/>
      <c r="BL4014" s="99"/>
      <c r="BM4014" s="99"/>
      <c r="BN4014" s="99"/>
    </row>
    <row r="4015" spans="1:66" s="51" customFormat="1" ht="15.75" x14ac:dyDescent="0.25">
      <c r="A4015" s="478">
        <v>7</v>
      </c>
      <c r="B4015" s="479" t="s">
        <v>291</v>
      </c>
      <c r="C4015" s="480" t="s">
        <v>4323</v>
      </c>
      <c r="D4015" s="481" t="s">
        <v>299</v>
      </c>
      <c r="E4015" s="482">
        <v>91.95</v>
      </c>
      <c r="F4015" s="483" t="s">
        <v>292</v>
      </c>
      <c r="G4015" s="484">
        <v>0</v>
      </c>
      <c r="H4015" s="688" t="str">
        <f>IF(G4015=0,"",IF(F4015="Buy",IF(G4015=1,"plant","plants"),IF(F4015&gt;0.01,"warranty","Error")))</f>
        <v/>
      </c>
      <c r="I4015" s="485">
        <f>IF(H4015="free",0,IF(H4015="credit",((E4015*(F4015))*G4015*-1),IF(F4015="Buy",(E4015*G4015),((E4015*(1-F4015))*G4015))))</f>
        <v>0</v>
      </c>
      <c r="J4015" s="485">
        <f>IF(H4015="warranty",0,(I4015*(_xlfn.SINGLE(SalesTaxPercentage))))</f>
        <v>0</v>
      </c>
      <c r="K4015" s="715">
        <f t="shared" ref="K4015" si="2998">I4015+J4015</f>
        <v>0</v>
      </c>
      <c r="L4015" s="715"/>
      <c r="M4015" s="689" t="str">
        <f ca="1">IF(AND(G4015&gt;0,E4015=0),"WARNING - no PRICE inserted",IF(H4015="free","FREE ~ no charge this plant",IF(H4015="credit",CONCATENATE("-$",ROUND(K4015*(1-_xlfn.SINGLE(T2GDiscount))*-1,2)," CREDIT after discount"),IF(_xlfn.SINGLE(T2GDiscount)=0,"",IF(G4015=0,"",IF(F4015="Buy",CONCATENATE("$",ROUND(K4015*(1-_xlfn.SINGLE(T2GDiscount)),2)," with ",(_xlfn.SINGLE(T2GDiscount)*100),"% discount"),CONCATENATE("$",ROUND(K4015*(1-_xlfn.SINGLE(T2GDiscount)),2)," with ",((_xlfn.SINGLE(T2GDiscount)*100+F4015*100)-(_xlfn.SINGLE(T2GDiscount)*100*F4015)),IF(F4015&gt;0,"% discounts",IF(_xlfn.SINGLE(NoWarrantyDiscount)&gt;0,"% discounts","% discount")))))))))</f>
        <v/>
      </c>
      <c r="N4015" s="690"/>
      <c r="O4015" s="486"/>
      <c r="P4015" s="486"/>
      <c r="Q4015" s="486"/>
      <c r="R4015" s="486"/>
      <c r="S4015" s="486"/>
      <c r="T4015" s="102">
        <f t="shared" si="2975"/>
        <v>0</v>
      </c>
      <c r="U4015" s="78">
        <f>IF(NOT(ISNUMBER(G4015)), "", VLOOKUP(A4015,'Discount Lookup'!D:E,2,FALSE)*G4015)</f>
        <v>0</v>
      </c>
      <c r="V4015" s="78">
        <f>IF(NOT(ISNUMBER(G4015)), "", VLOOKUP(A4015,'Discount Lookup'!G:H,2,FALSE)*G4015)</f>
        <v>0</v>
      </c>
      <c r="W4015" s="102">
        <f t="shared" si="2976"/>
        <v>0</v>
      </c>
      <c r="X4015" s="102">
        <f t="shared" si="2977"/>
        <v>0</v>
      </c>
      <c r="Y4015" s="120" t="b">
        <f t="shared" si="2978"/>
        <v>0</v>
      </c>
      <c r="Z4015" s="117">
        <f t="shared" si="2979"/>
        <v>0</v>
      </c>
      <c r="AA4015" s="118"/>
      <c r="AB4015" s="118" t="str">
        <f t="shared" si="2980"/>
        <v/>
      </c>
      <c r="AC4015" s="712" t="str">
        <f>IF(AE4015="T2G","no charge",IF(AND(OR(PlanterYesMe="No",PlanterYesMe="N",PlanterYesMe="me"),H4015=""),"",IF(H4015="credit","NO install",IF(AND(K4015="",AE4015="me"),"EACH row",IF(AND(K4015="images",AE4015="me"),"EACH row",IF(D4015="","",IF(H4015="credit","",IF(AE4015="free","re-planting",IF(AE4015="me","   not ELP, by",IF(AND(OR(PlanterYesMe="Yes",PlanterYesMe="Y"),G4015&gt;0),(VLOOKUP(A4015,'Discount Lookup'!J:K,2)*G4015*(1-PlanterDiscount)*(1+PlanterDifficultyPercentage)),IF(AE4015="ELP",(VLOOKUP(A4015,'Discount Lookup'!J:K,2)*G4015*(1-PlanterDiscount)*(1+PlanterDifficultyPercentage)),IF(AE4015="free","re-planting",IF(G4015=0,"",IF(PlanterYesMe="",IF(AE4015="me","   not ELP, by",IF(AE4015="",IF(G4015&gt;0,(VLOOKUP(A4015,'Discount Lookup'!J:K,2)*G4015*(1-PlanterDiscount)*(1+PlanterDifficultyPercentage)),""),"")),"   not ELP, by"))))))))))))))</f>
        <v/>
      </c>
      <c r="AD4015" s="712"/>
      <c r="AE4015" s="513" t="str">
        <f t="shared" si="2981"/>
        <v/>
      </c>
      <c r="AF4015" s="713" t="str">
        <f t="shared" si="2982"/>
        <v/>
      </c>
      <c r="AG4015" s="713"/>
      <c r="AH4015" s="713"/>
      <c r="AI4015" s="112">
        <f>IF(H4015="credit",0,IF(AE4015="free",0,IF(AE4015="me",0,IF(G4015&gt;0,(VLOOKUP(A4015,'Discount Lookup'!J:K,2)*G4015),0))))</f>
        <v>0</v>
      </c>
      <c r="AJ4015" s="107" t="str">
        <f t="shared" ca="1" si="2983"/>
        <v/>
      </c>
      <c r="AK4015" s="714" t="str">
        <f t="shared" si="2984"/>
        <v/>
      </c>
      <c r="AL4015" s="714"/>
      <c r="AM4015" s="114" t="str">
        <f t="shared" si="2985"/>
        <v/>
      </c>
      <c r="AN4015" s="115"/>
      <c r="AO4015" s="116"/>
      <c r="AP4015" s="116"/>
      <c r="AQ4015" s="116"/>
      <c r="AR4015" s="116"/>
      <c r="AS4015" s="116"/>
      <c r="AT4015" s="116"/>
      <c r="AU4015" s="116"/>
      <c r="AV4015" s="78"/>
      <c r="AW4015" s="102"/>
      <c r="AX4015" s="78"/>
      <c r="AY4015" s="78"/>
      <c r="AZ4015" s="78"/>
      <c r="BA4015" s="78"/>
      <c r="BB4015" s="78"/>
      <c r="BC4015" s="78"/>
      <c r="BD4015" s="78"/>
      <c r="BE4015" s="465"/>
      <c r="BF4015" s="165" t="str">
        <f t="shared" si="2986"/>
        <v>https://www.google.com/search?tbm=isch&amp;q=7%20G4</v>
      </c>
      <c r="BG4015" s="165" t="str">
        <f t="shared" si="2987"/>
        <v>T</v>
      </c>
      <c r="BH4015" s="65"/>
      <c r="BI4015" s="65"/>
      <c r="BJ4015" s="65"/>
      <c r="BK4015" s="65"/>
      <c r="BL4015" s="99"/>
      <c r="BM4015" s="99"/>
      <c r="BN4015" s="99"/>
    </row>
    <row r="4016" spans="1:66" s="51" customFormat="1" ht="16.5" thickBot="1" x14ac:dyDescent="0.3">
      <c r="A4016" s="508" t="s">
        <v>4324</v>
      </c>
      <c r="B4016" s="487"/>
      <c r="C4016" s="707"/>
      <c r="D4016" s="487"/>
      <c r="E4016" s="487"/>
      <c r="F4016" s="488"/>
      <c r="G4016" s="489"/>
      <c r="H4016" s="487"/>
      <c r="I4016" s="490"/>
      <c r="J4016" s="490"/>
      <c r="K4016" s="491"/>
      <c r="L4016" s="547"/>
      <c r="M4016" s="528"/>
      <c r="N4016" s="492"/>
      <c r="O4016" s="493"/>
      <c r="P4016" s="494"/>
      <c r="Q4016" s="492"/>
      <c r="R4016" s="492"/>
      <c r="S4016" s="495"/>
      <c r="T4016" s="102">
        <f t="shared" si="2975"/>
        <v>0</v>
      </c>
      <c r="U4016" s="78" t="str">
        <f>IF(NOT(ISNUMBER(G4016)), "", VLOOKUP(A4016,'Discount Lookup'!D:E,2,FALSE)*G4016)</f>
        <v/>
      </c>
      <c r="V4016" s="78" t="str">
        <f>IF(NOT(ISNUMBER(G4016)), "", VLOOKUP(A4016,'Discount Lookup'!G:H,2,FALSE)*G4016)</f>
        <v/>
      </c>
      <c r="W4016" s="102">
        <f t="shared" si="2976"/>
        <v>0</v>
      </c>
      <c r="X4016" s="102">
        <f t="shared" si="2977"/>
        <v>0</v>
      </c>
      <c r="Y4016" s="120" t="b">
        <f t="shared" si="2978"/>
        <v>0</v>
      </c>
      <c r="Z4016" s="117">
        <f t="shared" si="2979"/>
        <v>0</v>
      </c>
      <c r="AA4016" s="118"/>
      <c r="AB4016" s="118" t="str">
        <f t="shared" si="2980"/>
        <v/>
      </c>
      <c r="AC4016" s="712" t="str">
        <f>IF(AE4016="T2G","no charge",IF(AND(OR(PlanterYesMe="No",PlanterYesMe="N",PlanterYesMe="me"),H4016=""),"",IF(H4016="credit","NO install",IF(AND(K4016="",AE4016="me"),"EACH row",IF(AND(K4016="images",AE4016="me"),"EACH row",IF(D4016="","",IF(H4016="credit","",IF(AE4016="free","re-planting",IF(AE4016="me","   not ELP, by",IF(AND(OR(PlanterYesMe="Yes",PlanterYesMe="Y"),G4016&gt;0),(VLOOKUP(A4016,'Discount Lookup'!J:K,2)*G4016*(1-PlanterDiscount)*(1+PlanterDifficultyPercentage)),IF(AE4016="ELP",(VLOOKUP(A4016,'Discount Lookup'!J:K,2)*G4016*(1-PlanterDiscount)*(1+PlanterDifficultyPercentage)),IF(AE4016="free","re-planting",IF(G4016=0,"",IF(PlanterYesMe="",IF(AE4016="me","   not ELP, by",IF(AE4016="",IF(G4016&gt;0,(VLOOKUP(A4016,'Discount Lookup'!J:K,2)*G4016*(1-PlanterDiscount)*(1+PlanterDifficultyPercentage)),""),"")),"   not ELP, by"))))))))))))))</f>
        <v/>
      </c>
      <c r="AD4016" s="712"/>
      <c r="AE4016" s="513" t="str">
        <f t="shared" si="2981"/>
        <v/>
      </c>
      <c r="AF4016" s="713" t="str">
        <f t="shared" si="2982"/>
        <v/>
      </c>
      <c r="AG4016" s="713"/>
      <c r="AH4016" s="713"/>
      <c r="AI4016" s="112">
        <f>IF(H4016="credit",0,IF(AE4016="free",0,IF(AE4016="me",0,IF(G4016&gt;0,(VLOOKUP(A4016,'Discount Lookup'!J:K,2)*G4016),0))))</f>
        <v>0</v>
      </c>
      <c r="AJ4016" s="107" t="str">
        <f t="shared" ca="1" si="2983"/>
        <v/>
      </c>
      <c r="AK4016" s="714" t="str">
        <f t="shared" si="2984"/>
        <v/>
      </c>
      <c r="AL4016" s="714"/>
      <c r="AM4016" s="114" t="str">
        <f t="shared" si="2985"/>
        <v/>
      </c>
      <c r="AN4016" s="115"/>
      <c r="AO4016" s="116"/>
      <c r="AP4016" s="116"/>
      <c r="AQ4016" s="116"/>
      <c r="AR4016" s="116"/>
      <c r="AS4016" s="116"/>
      <c r="AT4016" s="116"/>
      <c r="AU4016" s="116"/>
      <c r="AV4016" s="78"/>
      <c r="AW4016" s="102"/>
      <c r="AX4016" s="78"/>
      <c r="AY4016" s="78"/>
      <c r="AZ4016" s="78"/>
      <c r="BA4016" s="78"/>
      <c r="BB4016" s="78"/>
      <c r="BC4016" s="78"/>
      <c r="BD4016" s="78"/>
      <c r="BE4016" s="465"/>
      <c r="BF4016" s="165" t="str">
        <f t="shared" si="2986"/>
        <v>https://www.google.com/search?tbm=isch&amp;q=Copper%20Crown%20has%20vibrant%20foliage%20that%20transitions%20from%20Coppery-Red%20to%20Glossy%20Green%2C%20then%20Burgundy%20in%20fall.%20Small%20White%20bloom%20</v>
      </c>
      <c r="BG4016" s="165" t="str">
        <f t="shared" si="2987"/>
        <v>C</v>
      </c>
      <c r="BH4016" s="65"/>
      <c r="BI4016" s="65"/>
      <c r="BJ4016" s="65"/>
      <c r="BK4016" s="65"/>
      <c r="BL4016" s="99"/>
      <c r="BM4016" s="99"/>
      <c r="BN4016" s="99"/>
    </row>
    <row r="4017" spans="1:66" s="51" customFormat="1" ht="18" x14ac:dyDescent="0.25">
      <c r="A4017" s="507" t="s">
        <v>4325</v>
      </c>
      <c r="B4017" s="470"/>
      <c r="C4017" s="706"/>
      <c r="D4017" s="471" t="s">
        <v>5834</v>
      </c>
      <c r="E4017" s="472"/>
      <c r="F4017" s="472"/>
      <c r="G4017" s="472"/>
      <c r="H4017" s="622" t="s">
        <v>1082</v>
      </c>
      <c r="I4017" s="473" t="s">
        <v>4326</v>
      </c>
      <c r="J4017" s="472"/>
      <c r="K4017" s="472"/>
      <c r="L4017" s="561"/>
      <c r="M4017" s="698" t="s">
        <v>5246</v>
      </c>
      <c r="N4017" s="692" t="str">
        <f>IF(AND(ISTEXT($A4017), ISERROR($A4017+0)), HYPERLINK($BF4017, "Images"), "")</f>
        <v>Images</v>
      </c>
      <c r="O4017" s="694" t="s">
        <v>5247</v>
      </c>
      <c r="P4017" s="475"/>
      <c r="Q4017" s="476"/>
      <c r="R4017" s="476"/>
      <c r="S4017" s="477"/>
      <c r="T4017" s="102">
        <f t="shared" si="2975"/>
        <v>0</v>
      </c>
      <c r="U4017" s="78" t="str">
        <f>IF(NOT(ISNUMBER(G4017)), "", VLOOKUP(A4017,'Discount Lookup'!D:E,2,FALSE)*G4017)</f>
        <v/>
      </c>
      <c r="V4017" s="78" t="str">
        <f>IF(NOT(ISNUMBER(G4017)), "", VLOOKUP(A4017,'Discount Lookup'!G:H,2,FALSE)*G4017)</f>
        <v/>
      </c>
      <c r="W4017" s="102">
        <f t="shared" si="2976"/>
        <v>0</v>
      </c>
      <c r="X4017" s="102" t="str">
        <f t="shared" si="2977"/>
        <v>Golden-Orange foliage</v>
      </c>
      <c r="Y4017" s="120" t="b">
        <f t="shared" si="2978"/>
        <v>0</v>
      </c>
      <c r="Z4017" s="117">
        <f t="shared" si="2979"/>
        <v>0</v>
      </c>
      <c r="AA4017" s="118"/>
      <c r="AB4017" s="118" t="str">
        <f t="shared" si="2980"/>
        <v/>
      </c>
      <c r="AC4017" s="712" t="str">
        <f>IF(AE4017="T2G","no charge",IF(AND(OR(PlanterYesMe="No",PlanterYesMe="N",PlanterYesMe="me"),H4017=""),"",IF(H4017="credit","NO install",IF(AND(K4017="",AE4017="me"),"EACH row",IF(AND(K4017="images",AE4017="me"),"EACH row",IF(D4017="","",IF(H4017="credit","",IF(AE4017="free","re-planting",IF(AE4017="me","   not ELP, by",IF(AND(OR(PlanterYesMe="Yes",PlanterYesMe="Y"),G4017&gt;0),(VLOOKUP(A4017,'Discount Lookup'!J:K,2)*G4017*(1-PlanterDiscount)*(1+PlanterDifficultyPercentage)),IF(AE4017="ELP",(VLOOKUP(A4017,'Discount Lookup'!J:K,2)*G4017*(1-PlanterDiscount)*(1+PlanterDifficultyPercentage)),IF(AE4017="free","re-planting",IF(G4017=0,"",IF(PlanterYesMe="",IF(AE4017="me","   not ELP, by",IF(AE4017="",IF(G4017&gt;0,(VLOOKUP(A4017,'Discount Lookup'!J:K,2)*G4017*(1-PlanterDiscount)*(1+PlanterDifficultyPercentage)),""),"")),"   not ELP, by"))))))))))))))</f>
        <v/>
      </c>
      <c r="AD4017" s="712"/>
      <c r="AE4017" s="513" t="str">
        <f t="shared" si="2981"/>
        <v/>
      </c>
      <c r="AF4017" s="713" t="str">
        <f t="shared" si="2982"/>
        <v/>
      </c>
      <c r="AG4017" s="713"/>
      <c r="AH4017" s="713"/>
      <c r="AI4017" s="112">
        <f>IF(H4017="credit",0,IF(AE4017="free",0,IF(AE4017="me",0,IF(G4017&gt;0,(VLOOKUP(A4017,'Discount Lookup'!J:K,2)*G4017),0))))</f>
        <v>0</v>
      </c>
      <c r="AJ4017" s="107" t="str">
        <f t="shared" ca="1" si="2983"/>
        <v/>
      </c>
      <c r="AK4017" s="714" t="str">
        <f t="shared" si="2984"/>
        <v/>
      </c>
      <c r="AL4017" s="714"/>
      <c r="AM4017" s="114" t="str">
        <f t="shared" si="2985"/>
        <v/>
      </c>
      <c r="AN4017" s="115"/>
      <c r="AO4017" s="116"/>
      <c r="AP4017" s="116"/>
      <c r="AQ4017" s="116"/>
      <c r="AR4017" s="116"/>
      <c r="AS4017" s="116"/>
      <c r="AT4017" s="116"/>
      <c r="AU4017" s="116"/>
      <c r="AV4017" s="78"/>
      <c r="AW4017" s="102"/>
      <c r="AX4017" s="78"/>
      <c r="AY4017" s="78"/>
      <c r="AZ4017" s="78"/>
      <c r="BA4017" s="78"/>
      <c r="BB4017" s="78"/>
      <c r="BC4017" s="78"/>
      <c r="BD4017" s="78"/>
      <c r="BE4017" s="465"/>
      <c r="BF4017" s="165" t="str">
        <f t="shared" si="2986"/>
        <v>https://www.google.com/search?tbm=isch&amp;q=Ternstroemia%20gymnanthera%20%27Hunny%20Bun%27%20PP%2320787%20Hunny%20Bun%C2%AE%20Cleyera</v>
      </c>
      <c r="BG4017" s="165" t="str">
        <f t="shared" si="2987"/>
        <v>T</v>
      </c>
      <c r="BH4017" s="65"/>
      <c r="BI4017" s="65"/>
      <c r="BJ4017" s="65"/>
      <c r="BK4017" s="65"/>
      <c r="BL4017" s="99"/>
      <c r="BM4017" s="99"/>
      <c r="BN4017" s="99"/>
    </row>
    <row r="4018" spans="1:66" s="51" customFormat="1" ht="27" x14ac:dyDescent="0.25">
      <c r="A4018" s="478">
        <v>7</v>
      </c>
      <c r="B4018" s="479" t="s">
        <v>291</v>
      </c>
      <c r="C4018" s="480" t="s">
        <v>4327</v>
      </c>
      <c r="D4018" s="481" t="s">
        <v>299</v>
      </c>
      <c r="E4018" s="482">
        <v>104.95</v>
      </c>
      <c r="F4018" s="483" t="s">
        <v>292</v>
      </c>
      <c r="G4018" s="484">
        <v>0</v>
      </c>
      <c r="H4018" s="688" t="str">
        <f>IF(G4018=0,"",IF(F4018="Buy",IF(G4018=1,"plant","plants"),IF(F4018&gt;0.01,"warranty","Error")))</f>
        <v/>
      </c>
      <c r="I4018" s="485">
        <f>IF(H4018="free",0,IF(H4018="credit",((E4018*(F4018))*G4018*-1),IF(F4018="Buy",(E4018*G4018),((E4018*(1-F4018))*G4018))))</f>
        <v>0</v>
      </c>
      <c r="J4018" s="485">
        <f>IF(H4018="warranty",0,(I4018*(_xlfn.SINGLE(SalesTaxPercentage))))</f>
        <v>0</v>
      </c>
      <c r="K4018" s="715">
        <f t="shared" ref="K4018" si="2999">I4018+J4018</f>
        <v>0</v>
      </c>
      <c r="L4018" s="715"/>
      <c r="M4018" s="689" t="str">
        <f ca="1">IF(AND(G4018&gt;0,E4018=0),"WARNING - no PRICE inserted",IF(H4018="free","FREE ~ no charge this plant",IF(H4018="credit",CONCATENATE("-$",ROUND(K4018*(1-_xlfn.SINGLE(T2GDiscount))*-1,2)," CREDIT after discount"),IF(_xlfn.SINGLE(T2GDiscount)=0,"",IF(G4018=0,"",IF(F4018="Buy",CONCATENATE("$",ROUND(K4018*(1-_xlfn.SINGLE(T2GDiscount)),2)," with ",(_xlfn.SINGLE(T2GDiscount)*100),"% discount"),CONCATENATE("$",ROUND(K4018*(1-_xlfn.SINGLE(T2GDiscount)),2)," with ",((_xlfn.SINGLE(T2GDiscount)*100+F4018*100)-(_xlfn.SINGLE(T2GDiscount)*100*F4018)),IF(F4018&gt;0,"% discounts",IF(_xlfn.SINGLE(NoWarrantyDiscount)&gt;0,"% discounts","% discount")))))))))</f>
        <v/>
      </c>
      <c r="N4018" s="690"/>
      <c r="O4018" s="486"/>
      <c r="P4018" s="486"/>
      <c r="Q4018" s="486"/>
      <c r="R4018" s="486"/>
      <c r="S4018" s="486"/>
      <c r="T4018" s="102">
        <f t="shared" si="2975"/>
        <v>0</v>
      </c>
      <c r="U4018" s="78">
        <f>IF(NOT(ISNUMBER(G4018)), "", VLOOKUP(A4018,'Discount Lookup'!D:E,2,FALSE)*G4018)</f>
        <v>0</v>
      </c>
      <c r="V4018" s="78">
        <f>IF(NOT(ISNUMBER(G4018)), "", VLOOKUP(A4018,'Discount Lookup'!G:H,2,FALSE)*G4018)</f>
        <v>0</v>
      </c>
      <c r="W4018" s="102">
        <f t="shared" si="2976"/>
        <v>0</v>
      </c>
      <c r="X4018" s="102">
        <f t="shared" si="2977"/>
        <v>0</v>
      </c>
      <c r="Y4018" s="120" t="b">
        <f t="shared" si="2978"/>
        <v>0</v>
      </c>
      <c r="Z4018" s="117">
        <f t="shared" si="2979"/>
        <v>0</v>
      </c>
      <c r="AA4018" s="118"/>
      <c r="AB4018" s="118" t="str">
        <f t="shared" si="2980"/>
        <v/>
      </c>
      <c r="AC4018" s="712" t="str">
        <f>IF(AE4018="T2G","no charge",IF(AND(OR(PlanterYesMe="No",PlanterYesMe="N",PlanterYesMe="me"),H4018=""),"",IF(H4018="credit","NO install",IF(AND(K4018="",AE4018="me"),"EACH row",IF(AND(K4018="images",AE4018="me"),"EACH row",IF(D4018="","",IF(H4018="credit","",IF(AE4018="free","re-planting",IF(AE4018="me","   not ELP, by",IF(AND(OR(PlanterYesMe="Yes",PlanterYesMe="Y"),G4018&gt;0),(VLOOKUP(A4018,'Discount Lookup'!J:K,2)*G4018*(1-PlanterDiscount)*(1+PlanterDifficultyPercentage)),IF(AE4018="ELP",(VLOOKUP(A4018,'Discount Lookup'!J:K,2)*G4018*(1-PlanterDiscount)*(1+PlanterDifficultyPercentage)),IF(AE4018="free","re-planting",IF(G4018=0,"",IF(PlanterYesMe="",IF(AE4018="me","   not ELP, by",IF(AE4018="",IF(G4018&gt;0,(VLOOKUP(A4018,'Discount Lookup'!J:K,2)*G4018*(1-PlanterDiscount)*(1+PlanterDifficultyPercentage)),""),"")),"   not ELP, by"))))))))))))))</f>
        <v/>
      </c>
      <c r="AD4018" s="712"/>
      <c r="AE4018" s="513" t="str">
        <f t="shared" si="2981"/>
        <v/>
      </c>
      <c r="AF4018" s="713" t="str">
        <f t="shared" si="2982"/>
        <v/>
      </c>
      <c r="AG4018" s="713"/>
      <c r="AH4018" s="713"/>
      <c r="AI4018" s="112">
        <f>IF(H4018="credit",0,IF(AE4018="free",0,IF(AE4018="me",0,IF(G4018&gt;0,(VLOOKUP(A4018,'Discount Lookup'!J:K,2)*G4018),0))))</f>
        <v>0</v>
      </c>
      <c r="AJ4018" s="107" t="str">
        <f t="shared" ca="1" si="2983"/>
        <v/>
      </c>
      <c r="AK4018" s="714" t="str">
        <f t="shared" si="2984"/>
        <v/>
      </c>
      <c r="AL4018" s="714"/>
      <c r="AM4018" s="114" t="str">
        <f t="shared" si="2985"/>
        <v/>
      </c>
      <c r="AN4018" s="115"/>
      <c r="AO4018" s="116"/>
      <c r="AP4018" s="116"/>
      <c r="AQ4018" s="116"/>
      <c r="AR4018" s="116"/>
      <c r="AS4018" s="116"/>
      <c r="AT4018" s="116"/>
      <c r="AU4018" s="116"/>
      <c r="AV4018" s="78"/>
      <c r="AW4018" s="102"/>
      <c r="AX4018" s="78"/>
      <c r="AY4018" s="78"/>
      <c r="AZ4018" s="78"/>
      <c r="BA4018" s="78"/>
      <c r="BB4018" s="78"/>
      <c r="BC4018" s="78"/>
      <c r="BD4018" s="78"/>
      <c r="BE4018" s="465"/>
      <c r="BF4018" s="165" t="str">
        <f t="shared" si="2986"/>
        <v>https://www.google.com/search?tbm=isch&amp;q=7%20G4</v>
      </c>
      <c r="BG4018" s="165" t="str">
        <f t="shared" si="2987"/>
        <v>T</v>
      </c>
      <c r="BH4018" s="65"/>
      <c r="BI4018" s="65"/>
      <c r="BJ4018" s="65"/>
      <c r="BK4018" s="65"/>
      <c r="BL4018" s="99"/>
      <c r="BM4018" s="99"/>
      <c r="BN4018" s="99"/>
    </row>
    <row r="4019" spans="1:66" s="51" customFormat="1" ht="15.75" x14ac:dyDescent="0.25">
      <c r="A4019" s="508" t="s">
        <v>4819</v>
      </c>
      <c r="B4019" s="487"/>
      <c r="C4019" s="707"/>
      <c r="D4019" s="487"/>
      <c r="E4019" s="487"/>
      <c r="F4019" s="488"/>
      <c r="G4019" s="489"/>
      <c r="H4019" s="487"/>
      <c r="I4019" s="490"/>
      <c r="J4019" s="490"/>
      <c r="K4019" s="491"/>
      <c r="L4019" s="547"/>
      <c r="M4019" s="528"/>
      <c r="N4019" s="492"/>
      <c r="O4019" s="493"/>
      <c r="P4019" s="494"/>
      <c r="Q4019" s="492"/>
      <c r="R4019" s="492"/>
      <c r="S4019" s="495"/>
      <c r="T4019" s="102">
        <f t="shared" si="2975"/>
        <v>0</v>
      </c>
      <c r="U4019" s="78" t="str">
        <f>IF(NOT(ISNUMBER(G4019)), "", VLOOKUP(A4019,'Discount Lookup'!D:E,2,FALSE)*G4019)</f>
        <v/>
      </c>
      <c r="V4019" s="78" t="str">
        <f>IF(NOT(ISNUMBER(G4019)), "", VLOOKUP(A4019,'Discount Lookup'!G:H,2,FALSE)*G4019)</f>
        <v/>
      </c>
      <c r="W4019" s="102">
        <f t="shared" si="2976"/>
        <v>0</v>
      </c>
      <c r="X4019" s="102">
        <f t="shared" si="2977"/>
        <v>0</v>
      </c>
      <c r="Y4019" s="120" t="b">
        <f t="shared" si="2978"/>
        <v>0</v>
      </c>
      <c r="Z4019" s="117">
        <f t="shared" si="2979"/>
        <v>0</v>
      </c>
      <c r="AA4019" s="118"/>
      <c r="AB4019" s="118" t="str">
        <f t="shared" si="2980"/>
        <v/>
      </c>
      <c r="AC4019" s="712" t="str">
        <f>IF(AE4019="T2G","no charge",IF(AND(OR(PlanterYesMe="No",PlanterYesMe="N",PlanterYesMe="me"),H4019=""),"",IF(H4019="credit","NO install",IF(AND(K4019="",AE4019="me"),"EACH row",IF(AND(K4019="images",AE4019="me"),"EACH row",IF(D4019="","",IF(H4019="credit","",IF(AE4019="free","re-planting",IF(AE4019="me","   not ELP, by",IF(AND(OR(PlanterYesMe="Yes",PlanterYesMe="Y"),G4019&gt;0),(VLOOKUP(A4019,'Discount Lookup'!J:K,2)*G4019*(1-PlanterDiscount)*(1+PlanterDifficultyPercentage)),IF(AE4019="ELP",(VLOOKUP(A4019,'Discount Lookup'!J:K,2)*G4019*(1-PlanterDiscount)*(1+PlanterDifficultyPercentage)),IF(AE4019="free","re-planting",IF(G4019=0,"",IF(PlanterYesMe="",IF(AE4019="me","   not ELP, by",IF(AE4019="",IF(G4019&gt;0,(VLOOKUP(A4019,'Discount Lookup'!J:K,2)*G4019*(1-PlanterDiscount)*(1+PlanterDifficultyPercentage)),""),"")),"   not ELP, by"))))))))))))))</f>
        <v/>
      </c>
      <c r="AD4019" s="712"/>
      <c r="AE4019" s="513" t="str">
        <f t="shared" si="2981"/>
        <v/>
      </c>
      <c r="AF4019" s="713" t="str">
        <f t="shared" si="2982"/>
        <v/>
      </c>
      <c r="AG4019" s="713"/>
      <c r="AH4019" s="713"/>
      <c r="AI4019" s="112">
        <f>IF(H4019="credit",0,IF(AE4019="free",0,IF(AE4019="me",0,IF(G4019&gt;0,(VLOOKUP(A4019,'Discount Lookup'!J:K,2)*G4019),0))))</f>
        <v>0</v>
      </c>
      <c r="AJ4019" s="107" t="str">
        <f t="shared" ca="1" si="2983"/>
        <v/>
      </c>
      <c r="AK4019" s="714" t="str">
        <f t="shared" si="2984"/>
        <v/>
      </c>
      <c r="AL4019" s="714"/>
      <c r="AM4019" s="114" t="str">
        <f t="shared" si="2985"/>
        <v/>
      </c>
      <c r="AN4019" s="115"/>
      <c r="AO4019" s="116"/>
      <c r="AP4019" s="116"/>
      <c r="AQ4019" s="116"/>
      <c r="AR4019" s="116"/>
      <c r="AS4019" s="116"/>
      <c r="AT4019" s="116"/>
      <c r="AU4019" s="116"/>
      <c r="AV4019" s="78"/>
      <c r="AW4019" s="102"/>
      <c r="AX4019" s="78"/>
      <c r="AY4019" s="78"/>
      <c r="AZ4019" s="78"/>
      <c r="BA4019" s="78"/>
      <c r="BB4019" s="78"/>
      <c r="BC4019" s="78"/>
      <c r="BD4019" s="78"/>
      <c r="BE4019" s="465"/>
      <c r="BF4019" s="165" t="str">
        <f t="shared" si="2986"/>
        <v>https://www.google.com/search?tbm=isch&amp;q=Hunny%20Bun%20has%20fine-textured%20foliage%20that%20glows.%20New%20growth%20Coppery-Bronze.%20%20Small%2C%20fragrant%2C%20Creamy-White%20flower%20</v>
      </c>
      <c r="BG4019" s="165" t="str">
        <f t="shared" si="2987"/>
        <v>H</v>
      </c>
      <c r="BH4019" s="65"/>
      <c r="BI4019" s="65"/>
      <c r="BJ4019" s="65"/>
      <c r="BK4019" s="65"/>
      <c r="BL4019" s="99"/>
      <c r="BM4019" s="99"/>
      <c r="BN4019" s="99"/>
    </row>
    <row r="4020" spans="1:66" s="51" customFormat="1" ht="19.5" thickBot="1" x14ac:dyDescent="0.3">
      <c r="A4020" s="686" t="s">
        <v>751</v>
      </c>
      <c r="B4020" s="73"/>
      <c r="C4020" s="708"/>
      <c r="D4020" s="73"/>
      <c r="E4020" s="73"/>
      <c r="F4020" s="496"/>
      <c r="G4020" s="73"/>
      <c r="H4020" s="73"/>
      <c r="I4020" s="73"/>
      <c r="J4020" s="497" t="s">
        <v>357</v>
      </c>
      <c r="K4020" s="498"/>
      <c r="L4020" s="562"/>
      <c r="M4020" s="73"/>
      <c r="N4020"/>
      <c r="O4020"/>
      <c r="P4020"/>
      <c r="Q4020"/>
      <c r="R4020"/>
      <c r="S4020"/>
      <c r="T4020" s="102">
        <f t="shared" si="2975"/>
        <v>0</v>
      </c>
      <c r="U4020" s="78" t="str">
        <f>IF(NOT(ISNUMBER(G4020)), "", VLOOKUP(A4020,'Discount Lookup'!D:E,2,FALSE)*G4020)</f>
        <v/>
      </c>
      <c r="V4020" s="78" t="str">
        <f>IF(NOT(ISNUMBER(G4020)), "", VLOOKUP(A4020,'Discount Lookup'!G:H,2,FALSE)*G4020)</f>
        <v/>
      </c>
      <c r="W4020" s="102">
        <f t="shared" si="2976"/>
        <v>0</v>
      </c>
      <c r="X4020" s="102">
        <f t="shared" si="2977"/>
        <v>0</v>
      </c>
      <c r="Y4020" s="120" t="b">
        <f t="shared" si="2978"/>
        <v>0</v>
      </c>
      <c r="Z4020" s="117">
        <f t="shared" si="2979"/>
        <v>0</v>
      </c>
      <c r="AA4020" s="118"/>
      <c r="AB4020" s="118" t="str">
        <f t="shared" si="2980"/>
        <v/>
      </c>
      <c r="AC4020" s="712" t="str">
        <f>IF(AE4020="T2G","no charge",IF(AND(OR(PlanterYesMe="No",PlanterYesMe="N",PlanterYesMe="me"),H4020=""),"",IF(H4020="credit","NO install",IF(AND(K4020="",AE4020="me"),"EACH row",IF(AND(K4020="images",AE4020="me"),"EACH row",IF(D4020="","",IF(H4020="credit","",IF(AE4020="free","re-planting",IF(AE4020="me","   not ELP, by",IF(AND(OR(PlanterYesMe="Yes",PlanterYesMe="Y"),G4020&gt;0),(VLOOKUP(A4020,'Discount Lookup'!J:K,2)*G4020*(1-PlanterDiscount)*(1+PlanterDifficultyPercentage)),IF(AE4020="ELP",(VLOOKUP(A4020,'Discount Lookup'!J:K,2)*G4020*(1-PlanterDiscount)*(1+PlanterDifficultyPercentage)),IF(AE4020="free","re-planting",IF(G4020=0,"",IF(PlanterYesMe="",IF(AE4020="me","   not ELP, by",IF(AE4020="",IF(G4020&gt;0,(VLOOKUP(A4020,'Discount Lookup'!J:K,2)*G4020*(1-PlanterDiscount)*(1+PlanterDifficultyPercentage)),""),"")),"   not ELP, by"))))))))))))))</f>
        <v/>
      </c>
      <c r="AD4020" s="712"/>
      <c r="AE4020" s="513" t="str">
        <f t="shared" si="2981"/>
        <v/>
      </c>
      <c r="AF4020" s="713" t="str">
        <f t="shared" si="2982"/>
        <v/>
      </c>
      <c r="AG4020" s="713"/>
      <c r="AH4020" s="713"/>
      <c r="AI4020" s="112">
        <f>IF(H4020="credit",0,IF(AE4020="free",0,IF(AE4020="me",0,IF(G4020&gt;0,(VLOOKUP(A4020,'Discount Lookup'!J:K,2)*G4020),0))))</f>
        <v>0</v>
      </c>
      <c r="AJ4020" s="107" t="str">
        <f t="shared" ca="1" si="2983"/>
        <v/>
      </c>
      <c r="AK4020" s="714" t="str">
        <f t="shared" si="2984"/>
        <v/>
      </c>
      <c r="AL4020" s="714"/>
      <c r="AM4020" s="114" t="str">
        <f t="shared" si="2985"/>
        <v/>
      </c>
      <c r="AN4020" s="115"/>
      <c r="AO4020" s="116"/>
      <c r="AP4020" s="116"/>
      <c r="AQ4020" s="116"/>
      <c r="AR4020" s="116"/>
      <c r="AS4020" s="116"/>
      <c r="AT4020" s="116"/>
      <c r="AU4020" s="116"/>
      <c r="AV4020" s="78"/>
      <c r="AW4020" s="102"/>
      <c r="AX4020" s="78"/>
      <c r="AY4020" s="78"/>
      <c r="AZ4020" s="78"/>
      <c r="BA4020" s="78"/>
      <c r="BB4020" s="78"/>
      <c r="BC4020" s="78"/>
      <c r="BD4020" s="78"/>
      <c r="BE4020" s="465"/>
      <c r="BF4020" s="165" t="str">
        <f t="shared" si="2986"/>
        <v>https://www.google.com/search?tbm=isch&amp;q=Thuja%20%3D%20Arborvitae%20</v>
      </c>
      <c r="BG4020" s="165" t="str">
        <f t="shared" si="2987"/>
        <v>T</v>
      </c>
      <c r="BH4020" s="65"/>
      <c r="BI4020" s="65"/>
      <c r="BJ4020" s="65"/>
      <c r="BK4020" s="65"/>
      <c r="BL4020" s="99"/>
      <c r="BM4020" s="99"/>
      <c r="BN4020" s="99"/>
    </row>
    <row r="4021" spans="1:66" s="51" customFormat="1" ht="18" x14ac:dyDescent="0.25">
      <c r="A4021" s="507" t="s">
        <v>752</v>
      </c>
      <c r="B4021" s="470"/>
      <c r="C4021" s="706"/>
      <c r="D4021" s="471" t="s">
        <v>753</v>
      </c>
      <c r="E4021" s="472"/>
      <c r="F4021" s="472"/>
      <c r="G4021" s="472"/>
      <c r="H4021" s="622" t="s">
        <v>754</v>
      </c>
      <c r="I4021" s="473" t="s">
        <v>440</v>
      </c>
      <c r="J4021" s="472"/>
      <c r="K4021" s="472"/>
      <c r="L4021" s="561"/>
      <c r="M4021" s="698" t="s">
        <v>5246</v>
      </c>
      <c r="N4021" s="692" t="str">
        <f>IF(AND(ISTEXT($A4021), ISERROR($A4021+0)), HYPERLINK($BF4021, "Images"), "")</f>
        <v>Images</v>
      </c>
      <c r="O4021" s="694" t="s">
        <v>5286</v>
      </c>
      <c r="P4021" s="475"/>
      <c r="Q4021" s="476"/>
      <c r="R4021" s="476"/>
      <c r="S4021" s="477"/>
      <c r="T4021" s="102">
        <f t="shared" si="2975"/>
        <v>0</v>
      </c>
      <c r="U4021" s="78" t="str">
        <f>IF(NOT(ISNUMBER(G4021)), "", VLOOKUP(A4021,'Discount Lookup'!D:E,2,FALSE)*G4021)</f>
        <v/>
      </c>
      <c r="V4021" s="78" t="str">
        <f>IF(NOT(ISNUMBER(G4021)), "", VLOOKUP(A4021,'Discount Lookup'!G:H,2,FALSE)*G4021)</f>
        <v/>
      </c>
      <c r="W4021" s="102">
        <f t="shared" si="2976"/>
        <v>0</v>
      </c>
      <c r="X4021" s="102" t="str">
        <f t="shared" si="2977"/>
        <v>Rich Green foliage</v>
      </c>
      <c r="Y4021" s="120" t="b">
        <f t="shared" si="2978"/>
        <v>0</v>
      </c>
      <c r="Z4021" s="117">
        <f t="shared" si="2979"/>
        <v>0</v>
      </c>
      <c r="AA4021" s="118"/>
      <c r="AB4021" s="118" t="str">
        <f t="shared" si="2980"/>
        <v/>
      </c>
      <c r="AC4021" s="712" t="str">
        <f>IF(AE4021="T2G","no charge",IF(AND(OR(PlanterYesMe="No",PlanterYesMe="N",PlanterYesMe="me"),H4021=""),"",IF(H4021="credit","NO install",IF(AND(K4021="",AE4021="me"),"EACH row",IF(AND(K4021="images",AE4021="me"),"EACH row",IF(D4021="","",IF(H4021="credit","",IF(AE4021="free","re-planting",IF(AE4021="me","   not ELP, by",IF(AND(OR(PlanterYesMe="Yes",PlanterYesMe="Y"),G4021&gt;0),(VLOOKUP(A4021,'Discount Lookup'!J:K,2)*G4021*(1-PlanterDiscount)*(1+PlanterDifficultyPercentage)),IF(AE4021="ELP",(VLOOKUP(A4021,'Discount Lookup'!J:K,2)*G4021*(1-PlanterDiscount)*(1+PlanterDifficultyPercentage)),IF(AE4021="free","re-planting",IF(G4021=0,"",IF(PlanterYesMe="",IF(AE4021="me","   not ELP, by",IF(AE4021="",IF(G4021&gt;0,(VLOOKUP(A4021,'Discount Lookup'!J:K,2)*G4021*(1-PlanterDiscount)*(1+PlanterDifficultyPercentage)),""),"")),"   not ELP, by"))))))))))))))</f>
        <v/>
      </c>
      <c r="AD4021" s="712"/>
      <c r="AE4021" s="513" t="str">
        <f t="shared" si="2981"/>
        <v/>
      </c>
      <c r="AF4021" s="713" t="str">
        <f t="shared" si="2982"/>
        <v/>
      </c>
      <c r="AG4021" s="713"/>
      <c r="AH4021" s="713"/>
      <c r="AI4021" s="112">
        <f>IF(H4021="credit",0,IF(AE4021="free",0,IF(AE4021="me",0,IF(G4021&gt;0,(VLOOKUP(A4021,'Discount Lookup'!J:K,2)*G4021),0))))</f>
        <v>0</v>
      </c>
      <c r="AJ4021" s="107" t="str">
        <f t="shared" ca="1" si="2983"/>
        <v/>
      </c>
      <c r="AK4021" s="714" t="str">
        <f t="shared" si="2984"/>
        <v/>
      </c>
      <c r="AL4021" s="714"/>
      <c r="AM4021" s="114" t="str">
        <f t="shared" si="2985"/>
        <v/>
      </c>
      <c r="AN4021" s="115"/>
      <c r="AO4021" s="116"/>
      <c r="AP4021" s="116"/>
      <c r="AQ4021" s="116"/>
      <c r="AR4021" s="116"/>
      <c r="AS4021" s="116"/>
      <c r="AT4021" s="116"/>
      <c r="AU4021" s="116"/>
      <c r="AV4021" s="78"/>
      <c r="AW4021" s="102"/>
      <c r="AX4021" s="78"/>
      <c r="AY4021" s="78"/>
      <c r="AZ4021" s="78"/>
      <c r="BA4021" s="78"/>
      <c r="BB4021" s="78"/>
      <c r="BC4021" s="78"/>
      <c r="BD4021" s="78"/>
      <c r="BE4021" s="465"/>
      <c r="BF4021" s="165" t="str">
        <f t="shared" si="2986"/>
        <v>https://www.google.com/search?tbm=isch&amp;q=Thuja%20occidentalis%20%27American%20Pillar%27%20PP%2320209%20American%20Pillar%20Arborvitae</v>
      </c>
      <c r="BG4021" s="165" t="str">
        <f t="shared" si="2987"/>
        <v>T</v>
      </c>
      <c r="BH4021" s="65"/>
      <c r="BI4021" s="65"/>
      <c r="BJ4021" s="65"/>
      <c r="BK4021" s="65"/>
      <c r="BL4021" s="99"/>
      <c r="BM4021" s="99"/>
      <c r="BN4021" s="99"/>
    </row>
    <row r="4022" spans="1:66" s="51" customFormat="1" ht="27" x14ac:dyDescent="0.25">
      <c r="A4022" s="478">
        <v>3</v>
      </c>
      <c r="B4022" s="479" t="s">
        <v>291</v>
      </c>
      <c r="C4022" s="480" t="s">
        <v>1006</v>
      </c>
      <c r="D4022" s="481" t="s">
        <v>299</v>
      </c>
      <c r="E4022" s="482">
        <v>39.950000000000003</v>
      </c>
      <c r="F4022" s="483" t="s">
        <v>292</v>
      </c>
      <c r="G4022" s="484">
        <v>0</v>
      </c>
      <c r="H4022" s="688" t="str">
        <f>IF(G4022=0,"",IF(F4022="Buy",IF(G4022=1,"plant","plants"),IF(F4022&gt;0.01,"warranty","Error")))</f>
        <v/>
      </c>
      <c r="I4022" s="485">
        <f>IF(H4022="free",0,IF(H4022="credit",((E4022*(F4022))*G4022*-1),IF(F4022="Buy",(E4022*G4022),((E4022*(1-F4022))*G4022))))</f>
        <v>0</v>
      </c>
      <c r="J4022" s="485">
        <f>IF(H4022="warranty",0,(I4022*(_xlfn.SINGLE(SalesTaxPercentage))))</f>
        <v>0</v>
      </c>
      <c r="K4022" s="715">
        <f t="shared" ref="K4022" si="3000">I4022+J4022</f>
        <v>0</v>
      </c>
      <c r="L4022" s="715"/>
      <c r="M4022" s="689" t="str">
        <f ca="1">IF(AND(G4022&gt;0,E4022=0),"WARNING - no PRICE inserted",IF(H4022="free","FREE ~ no charge this plant",IF(H4022="credit",CONCATENATE("-$",ROUND(K4022*(1-_xlfn.SINGLE(T2GDiscount))*-1,2)," CREDIT after discount"),IF(_xlfn.SINGLE(T2GDiscount)=0,"",IF(G4022=0,"",IF(F4022="Buy",CONCATENATE("$",ROUND(K4022*(1-_xlfn.SINGLE(T2GDiscount)),2)," with ",(_xlfn.SINGLE(T2GDiscount)*100),"% discount"),CONCATENATE("$",ROUND(K4022*(1-_xlfn.SINGLE(T2GDiscount)),2)," with ",((_xlfn.SINGLE(T2GDiscount)*100+F4022*100)-(_xlfn.SINGLE(T2GDiscount)*100*F4022)),IF(F4022&gt;0,"% discounts",IF(_xlfn.SINGLE(NoWarrantyDiscount)&gt;0,"% discounts","% discount")))))))))</f>
        <v/>
      </c>
      <c r="N4022" s="690"/>
      <c r="O4022" s="486"/>
      <c r="P4022" s="486"/>
      <c r="Q4022" s="486"/>
      <c r="R4022" s="486"/>
      <c r="S4022" s="486"/>
      <c r="T4022" s="102">
        <f t="shared" si="2975"/>
        <v>0</v>
      </c>
      <c r="U4022" s="78">
        <f>IF(NOT(ISNUMBER(G4022)), "", VLOOKUP(A4022,'Discount Lookup'!D:E,2,FALSE)*G4022)</f>
        <v>0</v>
      </c>
      <c r="V4022" s="78">
        <f>IF(NOT(ISNUMBER(G4022)), "", VLOOKUP(A4022,'Discount Lookup'!G:H,2,FALSE)*G4022)</f>
        <v>0</v>
      </c>
      <c r="W4022" s="102">
        <f t="shared" si="2976"/>
        <v>0</v>
      </c>
      <c r="X4022" s="102">
        <f t="shared" si="2977"/>
        <v>0</v>
      </c>
      <c r="Y4022" s="120" t="b">
        <f t="shared" si="2978"/>
        <v>0</v>
      </c>
      <c r="Z4022" s="117">
        <f t="shared" si="2979"/>
        <v>0</v>
      </c>
      <c r="AA4022" s="118"/>
      <c r="AB4022" s="118" t="str">
        <f t="shared" si="2980"/>
        <v/>
      </c>
      <c r="AC4022" s="712" t="str">
        <f>IF(AE4022="T2G","no charge",IF(AND(OR(PlanterYesMe="No",PlanterYesMe="N",PlanterYesMe="me"),H4022=""),"",IF(H4022="credit","NO install",IF(AND(K4022="",AE4022="me"),"EACH row",IF(AND(K4022="images",AE4022="me"),"EACH row",IF(D4022="","",IF(H4022="credit","",IF(AE4022="free","re-planting",IF(AE4022="me","   not ELP, by",IF(AND(OR(PlanterYesMe="Yes",PlanterYesMe="Y"),G4022&gt;0),(VLOOKUP(A4022,'Discount Lookup'!J:K,2)*G4022*(1-PlanterDiscount)*(1+PlanterDifficultyPercentage)),IF(AE4022="ELP",(VLOOKUP(A4022,'Discount Lookup'!J:K,2)*G4022*(1-PlanterDiscount)*(1+PlanterDifficultyPercentage)),IF(AE4022="free","re-planting",IF(G4022=0,"",IF(PlanterYesMe="",IF(AE4022="me","   not ELP, by",IF(AE4022="",IF(G4022&gt;0,(VLOOKUP(A4022,'Discount Lookup'!J:K,2)*G4022*(1-PlanterDiscount)*(1+PlanterDifficultyPercentage)),""),"")),"   not ELP, by"))))))))))))))</f>
        <v/>
      </c>
      <c r="AD4022" s="712"/>
      <c r="AE4022" s="513" t="str">
        <f t="shared" si="2981"/>
        <v/>
      </c>
      <c r="AF4022" s="713" t="str">
        <f t="shared" si="2982"/>
        <v/>
      </c>
      <c r="AG4022" s="713"/>
      <c r="AH4022" s="713"/>
      <c r="AI4022" s="112">
        <f>IF(H4022="credit",0,IF(AE4022="free",0,IF(AE4022="me",0,IF(G4022&gt;0,(VLOOKUP(A4022,'Discount Lookup'!J:K,2)*G4022),0))))</f>
        <v>0</v>
      </c>
      <c r="AJ4022" s="107" t="str">
        <f t="shared" ca="1" si="2983"/>
        <v/>
      </c>
      <c r="AK4022" s="714" t="str">
        <f t="shared" si="2984"/>
        <v/>
      </c>
      <c r="AL4022" s="714"/>
      <c r="AM4022" s="114" t="str">
        <f t="shared" si="2985"/>
        <v/>
      </c>
      <c r="AN4022" s="115"/>
      <c r="AO4022" s="116"/>
      <c r="AP4022" s="116"/>
      <c r="AQ4022" s="116"/>
      <c r="AR4022" s="116"/>
      <c r="AS4022" s="116"/>
      <c r="AT4022" s="116"/>
      <c r="AU4022" s="116"/>
      <c r="AV4022" s="78"/>
      <c r="AW4022" s="102"/>
      <c r="AX4022" s="78"/>
      <c r="AY4022" s="78"/>
      <c r="AZ4022" s="78"/>
      <c r="BA4022" s="78"/>
      <c r="BB4022" s="78"/>
      <c r="BC4022" s="78"/>
      <c r="BD4022" s="78"/>
      <c r="BE4022" s="465"/>
      <c r="BF4022" s="165" t="str">
        <f t="shared" si="2986"/>
        <v>https://www.google.com/search?tbm=isch&amp;q=3%20G4</v>
      </c>
      <c r="BG4022" s="165" t="str">
        <f t="shared" si="2987"/>
        <v>T</v>
      </c>
      <c r="BH4022" s="65"/>
      <c r="BI4022" s="65"/>
      <c r="BJ4022" s="65"/>
      <c r="BK4022" s="65"/>
      <c r="BL4022" s="99"/>
      <c r="BM4022" s="99"/>
      <c r="BN4022" s="99"/>
    </row>
    <row r="4023" spans="1:66" s="51" customFormat="1" ht="15.75" x14ac:dyDescent="0.25">
      <c r="A4023" s="478">
        <v>15</v>
      </c>
      <c r="B4023" s="479" t="s">
        <v>291</v>
      </c>
      <c r="C4023" s="480" t="s">
        <v>755</v>
      </c>
      <c r="D4023" s="481" t="s">
        <v>293</v>
      </c>
      <c r="E4023" s="482">
        <v>126.95</v>
      </c>
      <c r="F4023" s="483" t="s">
        <v>292</v>
      </c>
      <c r="G4023" s="484">
        <v>0</v>
      </c>
      <c r="H4023" s="688" t="str">
        <f>IF(G4023=0,"",IF(F4023="Buy",IF(G4023=1,"plant","plants"),IF(F4023&gt;0.01,"warranty","Error")))</f>
        <v/>
      </c>
      <c r="I4023" s="485">
        <f>IF(H4023="free",0,IF(H4023="credit",((E4023*(F4023))*G4023*-1),IF(F4023="Buy",(E4023*G4023),((E4023*(1-F4023))*G4023))))</f>
        <v>0</v>
      </c>
      <c r="J4023" s="485">
        <f>IF(H4023="warranty",0,(I4023*(_xlfn.SINGLE(SalesTaxPercentage))))</f>
        <v>0</v>
      </c>
      <c r="K4023" s="715">
        <f t="shared" ref="K4023" si="3001">I4023+J4023</f>
        <v>0</v>
      </c>
      <c r="L4023" s="715"/>
      <c r="M4023" s="689" t="str">
        <f ca="1">IF(AND(G4023&gt;0,E4023=0),"WARNING - no PRICE inserted",IF(H4023="free","FREE ~ no charge this plant",IF(H4023="credit",CONCATENATE("-$",ROUND(K4023*(1-_xlfn.SINGLE(T2GDiscount))*-1,2)," CREDIT after discount"),IF(_xlfn.SINGLE(T2GDiscount)=0,"",IF(G4023=0,"",IF(F4023="Buy",CONCATENATE("$",ROUND(K4023*(1-_xlfn.SINGLE(T2GDiscount)),2)," with ",(_xlfn.SINGLE(T2GDiscount)*100),"% discount"),CONCATENATE("$",ROUND(K4023*(1-_xlfn.SINGLE(T2GDiscount)),2)," with ",((_xlfn.SINGLE(T2GDiscount)*100+F4023*100)-(_xlfn.SINGLE(T2GDiscount)*100*F4023)),IF(F4023&gt;0,"% discounts",IF(_xlfn.SINGLE(NoWarrantyDiscount)&gt;0,"% discounts","% discount")))))))))</f>
        <v/>
      </c>
      <c r="N4023" s="690"/>
      <c r="O4023" s="486"/>
      <c r="P4023" s="486"/>
      <c r="Q4023" s="486"/>
      <c r="R4023" s="486"/>
      <c r="S4023" s="486"/>
      <c r="T4023" s="102">
        <f t="shared" si="2975"/>
        <v>0</v>
      </c>
      <c r="U4023" s="78">
        <f>IF(NOT(ISNUMBER(G4023)), "", VLOOKUP(A4023,'Discount Lookup'!D:E,2,FALSE)*G4023)</f>
        <v>0</v>
      </c>
      <c r="V4023" s="78">
        <f>IF(NOT(ISNUMBER(G4023)), "", VLOOKUP(A4023,'Discount Lookup'!G:H,2,FALSE)*G4023)</f>
        <v>0</v>
      </c>
      <c r="W4023" s="102">
        <f t="shared" si="2976"/>
        <v>0</v>
      </c>
      <c r="X4023" s="102">
        <f t="shared" si="2977"/>
        <v>0</v>
      </c>
      <c r="Y4023" s="120" t="b">
        <f t="shared" si="2978"/>
        <v>0</v>
      </c>
      <c r="Z4023" s="117">
        <f t="shared" si="2979"/>
        <v>0</v>
      </c>
      <c r="AA4023" s="118"/>
      <c r="AB4023" s="118" t="str">
        <f t="shared" si="2980"/>
        <v/>
      </c>
      <c r="AC4023" s="712" t="str">
        <f>IF(AE4023="T2G","no charge",IF(AND(OR(PlanterYesMe="No",PlanterYesMe="N",PlanterYesMe="me"),H4023=""),"",IF(H4023="credit","NO install",IF(AND(K4023="",AE4023="me"),"EACH row",IF(AND(K4023="images",AE4023="me"),"EACH row",IF(D4023="","",IF(H4023="credit","",IF(AE4023="free","re-planting",IF(AE4023="me","   not ELP, by",IF(AND(OR(PlanterYesMe="Yes",PlanterYesMe="Y"),G4023&gt;0),(VLOOKUP(A4023,'Discount Lookup'!J:K,2)*G4023*(1-PlanterDiscount)*(1+PlanterDifficultyPercentage)),IF(AE4023="ELP",(VLOOKUP(A4023,'Discount Lookup'!J:K,2)*G4023*(1-PlanterDiscount)*(1+PlanterDifficultyPercentage)),IF(AE4023="free","re-planting",IF(G4023=0,"",IF(PlanterYesMe="",IF(AE4023="me","   not ELP, by",IF(AE4023="",IF(G4023&gt;0,(VLOOKUP(A4023,'Discount Lookup'!J:K,2)*G4023*(1-PlanterDiscount)*(1+PlanterDifficultyPercentage)),""),"")),"   not ELP, by"))))))))))))))</f>
        <v/>
      </c>
      <c r="AD4023" s="712"/>
      <c r="AE4023" s="513" t="str">
        <f t="shared" si="2981"/>
        <v/>
      </c>
      <c r="AF4023" s="713" t="str">
        <f t="shared" si="2982"/>
        <v/>
      </c>
      <c r="AG4023" s="713"/>
      <c r="AH4023" s="713"/>
      <c r="AI4023" s="112">
        <f>IF(H4023="credit",0,IF(AE4023="free",0,IF(AE4023="me",0,IF(G4023&gt;0,(VLOOKUP(A4023,'Discount Lookup'!J:K,2)*G4023),0))))</f>
        <v>0</v>
      </c>
      <c r="AJ4023" s="107" t="str">
        <f t="shared" ca="1" si="2983"/>
        <v/>
      </c>
      <c r="AK4023" s="714" t="str">
        <f t="shared" si="2984"/>
        <v/>
      </c>
      <c r="AL4023" s="714"/>
      <c r="AM4023" s="114" t="str">
        <f t="shared" si="2985"/>
        <v/>
      </c>
      <c r="AN4023" s="115"/>
      <c r="AO4023" s="116"/>
      <c r="AP4023" s="116"/>
      <c r="AQ4023" s="116"/>
      <c r="AR4023" s="116"/>
      <c r="AS4023" s="116"/>
      <c r="AT4023" s="116"/>
      <c r="AU4023" s="116"/>
      <c r="AV4023" s="78"/>
      <c r="AW4023" s="102"/>
      <c r="AX4023" s="78"/>
      <c r="AY4023" s="78"/>
      <c r="AZ4023" s="78"/>
      <c r="BA4023" s="78"/>
      <c r="BB4023" s="78"/>
      <c r="BC4023" s="78"/>
      <c r="BD4023" s="78"/>
      <c r="BE4023" s="465"/>
      <c r="BF4023" s="165" t="str">
        <f t="shared" si="2986"/>
        <v>https://www.google.com/search?tbm=isch&amp;q=15%20G6</v>
      </c>
      <c r="BG4023" s="165" t="str">
        <f t="shared" si="2987"/>
        <v>T</v>
      </c>
      <c r="BH4023" s="65"/>
      <c r="BI4023" s="65"/>
      <c r="BJ4023" s="65"/>
      <c r="BK4023" s="65"/>
      <c r="BL4023" s="99"/>
      <c r="BM4023" s="99"/>
      <c r="BN4023" s="99"/>
    </row>
    <row r="4024" spans="1:66" s="51" customFormat="1" ht="15.75" x14ac:dyDescent="0.25">
      <c r="A4024" s="478">
        <v>25</v>
      </c>
      <c r="B4024" s="479" t="s">
        <v>291</v>
      </c>
      <c r="C4024" s="480" t="s">
        <v>756</v>
      </c>
      <c r="D4024" s="481" t="s">
        <v>293</v>
      </c>
      <c r="E4024" s="482">
        <v>306.95</v>
      </c>
      <c r="F4024" s="483" t="s">
        <v>292</v>
      </c>
      <c r="G4024" s="484">
        <v>0</v>
      </c>
      <c r="H4024" s="688" t="str">
        <f>IF(G4024=0,"",IF(F4024="Buy",IF(G4024=1,"plant","plants"),IF(F4024&gt;0.01,"warranty","Error")))</f>
        <v/>
      </c>
      <c r="I4024" s="485">
        <f>IF(H4024="free",0,IF(H4024="credit",((E4024*(F4024))*G4024*-1),IF(F4024="Buy",(E4024*G4024),((E4024*(1-F4024))*G4024))))</f>
        <v>0</v>
      </c>
      <c r="J4024" s="485">
        <f>IF(H4024="warranty",0,(I4024*(_xlfn.SINGLE(SalesTaxPercentage))))</f>
        <v>0</v>
      </c>
      <c r="K4024" s="715">
        <f t="shared" ref="K4024" si="3002">I4024+J4024</f>
        <v>0</v>
      </c>
      <c r="L4024" s="715"/>
      <c r="M4024" s="689" t="str">
        <f ca="1">IF(AND(G4024&gt;0,E4024=0),"WARNING - no PRICE inserted",IF(H4024="free","FREE ~ no charge this plant",IF(H4024="credit",CONCATENATE("-$",ROUND(K4024*(1-_xlfn.SINGLE(T2GDiscount))*-1,2)," CREDIT after discount"),IF(_xlfn.SINGLE(T2GDiscount)=0,"",IF(G4024=0,"",IF(F4024="Buy",CONCATENATE("$",ROUND(K4024*(1-_xlfn.SINGLE(T2GDiscount)),2)," with ",(_xlfn.SINGLE(T2GDiscount)*100),"% discount"),CONCATENATE("$",ROUND(K4024*(1-_xlfn.SINGLE(T2GDiscount)),2)," with ",((_xlfn.SINGLE(T2GDiscount)*100+F4024*100)-(_xlfn.SINGLE(T2GDiscount)*100*F4024)),IF(F4024&gt;0,"% discounts",IF(_xlfn.SINGLE(NoWarrantyDiscount)&gt;0,"% discounts","% discount")))))))))</f>
        <v/>
      </c>
      <c r="N4024" s="690"/>
      <c r="O4024" s="486"/>
      <c r="P4024" s="486"/>
      <c r="Q4024" s="486"/>
      <c r="R4024" s="486"/>
      <c r="S4024" s="486"/>
      <c r="T4024" s="102">
        <f t="shared" si="2975"/>
        <v>0</v>
      </c>
      <c r="U4024" s="78">
        <f>IF(NOT(ISNUMBER(G4024)), "", VLOOKUP(A4024,'Discount Lookup'!D:E,2,FALSE)*G4024)</f>
        <v>0</v>
      </c>
      <c r="V4024" s="78">
        <f>IF(NOT(ISNUMBER(G4024)), "", VLOOKUP(A4024,'Discount Lookup'!G:H,2,FALSE)*G4024)</f>
        <v>0</v>
      </c>
      <c r="W4024" s="102">
        <f t="shared" si="2976"/>
        <v>0</v>
      </c>
      <c r="X4024" s="102">
        <f t="shared" si="2977"/>
        <v>0</v>
      </c>
      <c r="Y4024" s="120" t="b">
        <f t="shared" si="2978"/>
        <v>0</v>
      </c>
      <c r="Z4024" s="117">
        <f t="shared" si="2979"/>
        <v>0</v>
      </c>
      <c r="AA4024" s="118"/>
      <c r="AB4024" s="118" t="str">
        <f t="shared" si="2980"/>
        <v/>
      </c>
      <c r="AC4024" s="712" t="str">
        <f>IF(AE4024="T2G","no charge",IF(AND(OR(PlanterYesMe="No",PlanterYesMe="N",PlanterYesMe="me"),H4024=""),"",IF(H4024="credit","NO install",IF(AND(K4024="",AE4024="me"),"EACH row",IF(AND(K4024="images",AE4024="me"),"EACH row",IF(D4024="","",IF(H4024="credit","",IF(AE4024="free","re-planting",IF(AE4024="me","   not ELP, by",IF(AND(OR(PlanterYesMe="Yes",PlanterYesMe="Y"),G4024&gt;0),(VLOOKUP(A4024,'Discount Lookup'!J:K,2)*G4024*(1-PlanterDiscount)*(1+PlanterDifficultyPercentage)),IF(AE4024="ELP",(VLOOKUP(A4024,'Discount Lookup'!J:K,2)*G4024*(1-PlanterDiscount)*(1+PlanterDifficultyPercentage)),IF(AE4024="free","re-planting",IF(G4024=0,"",IF(PlanterYesMe="",IF(AE4024="me","   not ELP, by",IF(AE4024="",IF(G4024&gt;0,(VLOOKUP(A4024,'Discount Lookup'!J:K,2)*G4024*(1-PlanterDiscount)*(1+PlanterDifficultyPercentage)),""),"")),"   not ELP, by"))))))))))))))</f>
        <v/>
      </c>
      <c r="AD4024" s="712"/>
      <c r="AE4024" s="513" t="str">
        <f t="shared" si="2981"/>
        <v/>
      </c>
      <c r="AF4024" s="713" t="str">
        <f t="shared" si="2982"/>
        <v/>
      </c>
      <c r="AG4024" s="713"/>
      <c r="AH4024" s="713"/>
      <c r="AI4024" s="112">
        <f>IF(H4024="credit",0,IF(AE4024="free",0,IF(AE4024="me",0,IF(G4024&gt;0,(VLOOKUP(A4024,'Discount Lookup'!J:K,2)*G4024),0))))</f>
        <v>0</v>
      </c>
      <c r="AJ4024" s="107" t="str">
        <f t="shared" ca="1" si="2983"/>
        <v/>
      </c>
      <c r="AK4024" s="714" t="str">
        <f t="shared" si="2984"/>
        <v/>
      </c>
      <c r="AL4024" s="714"/>
      <c r="AM4024" s="114" t="str">
        <f t="shared" si="2985"/>
        <v/>
      </c>
      <c r="AN4024" s="115"/>
      <c r="AO4024" s="116"/>
      <c r="AP4024" s="116"/>
      <c r="AQ4024" s="116"/>
      <c r="AR4024" s="116"/>
      <c r="AS4024" s="116"/>
      <c r="AT4024" s="116"/>
      <c r="AU4024" s="116"/>
      <c r="AV4024" s="78"/>
      <c r="AW4024" s="102"/>
      <c r="AX4024" s="78"/>
      <c r="AY4024" s="78"/>
      <c r="AZ4024" s="78"/>
      <c r="BA4024" s="78"/>
      <c r="BB4024" s="78"/>
      <c r="BC4024" s="78"/>
      <c r="BD4024" s="78"/>
      <c r="BE4024" s="465"/>
      <c r="BF4024" s="165" t="str">
        <f t="shared" si="2986"/>
        <v>https://www.google.com/search?tbm=isch&amp;q=25%20G6</v>
      </c>
      <c r="BG4024" s="165" t="str">
        <f t="shared" si="2987"/>
        <v>T</v>
      </c>
      <c r="BH4024" s="65"/>
      <c r="BI4024" s="65"/>
      <c r="BJ4024" s="65"/>
      <c r="BK4024" s="65"/>
      <c r="BL4024" s="99"/>
      <c r="BM4024" s="99"/>
      <c r="BN4024" s="99"/>
    </row>
    <row r="4025" spans="1:66" s="51" customFormat="1" ht="16.5" thickBot="1" x14ac:dyDescent="0.3">
      <c r="A4025" s="508" t="s">
        <v>757</v>
      </c>
      <c r="B4025" s="487"/>
      <c r="C4025" s="707"/>
      <c r="D4025" s="487"/>
      <c r="E4025" s="487"/>
      <c r="F4025" s="488"/>
      <c r="G4025" s="489"/>
      <c r="H4025" s="487"/>
      <c r="I4025" s="490"/>
      <c r="J4025" s="490"/>
      <c r="K4025" s="491"/>
      <c r="L4025" s="547"/>
      <c r="M4025" s="528"/>
      <c r="N4025" s="492"/>
      <c r="O4025" s="493"/>
      <c r="P4025" s="494"/>
      <c r="Q4025" s="492"/>
      <c r="R4025" s="492"/>
      <c r="S4025" s="495"/>
      <c r="T4025" s="102">
        <f t="shared" si="2975"/>
        <v>0</v>
      </c>
      <c r="U4025" s="78" t="str">
        <f>IF(NOT(ISNUMBER(G4025)), "", VLOOKUP(A4025,'Discount Lookup'!D:E,2,FALSE)*G4025)</f>
        <v/>
      </c>
      <c r="V4025" s="78" t="str">
        <f>IF(NOT(ISNUMBER(G4025)), "", VLOOKUP(A4025,'Discount Lookup'!G:H,2,FALSE)*G4025)</f>
        <v/>
      </c>
      <c r="W4025" s="102">
        <f t="shared" si="2976"/>
        <v>0</v>
      </c>
      <c r="X4025" s="102">
        <f t="shared" si="2977"/>
        <v>0</v>
      </c>
      <c r="Y4025" s="120" t="b">
        <f t="shared" si="2978"/>
        <v>0</v>
      </c>
      <c r="Z4025" s="117">
        <f t="shared" si="2979"/>
        <v>0</v>
      </c>
      <c r="AA4025" s="118"/>
      <c r="AB4025" s="118" t="str">
        <f t="shared" si="2980"/>
        <v/>
      </c>
      <c r="AC4025" s="712" t="str">
        <f>IF(AE4025="T2G","no charge",IF(AND(OR(PlanterYesMe="No",PlanterYesMe="N",PlanterYesMe="me"),H4025=""),"",IF(H4025="credit","NO install",IF(AND(K4025="",AE4025="me"),"EACH row",IF(AND(K4025="images",AE4025="me"),"EACH row",IF(D4025="","",IF(H4025="credit","",IF(AE4025="free","re-planting",IF(AE4025="me","   not ELP, by",IF(AND(OR(PlanterYesMe="Yes",PlanterYesMe="Y"),G4025&gt;0),(VLOOKUP(A4025,'Discount Lookup'!J:K,2)*G4025*(1-PlanterDiscount)*(1+PlanterDifficultyPercentage)),IF(AE4025="ELP",(VLOOKUP(A4025,'Discount Lookup'!J:K,2)*G4025*(1-PlanterDiscount)*(1+PlanterDifficultyPercentage)),IF(AE4025="free","re-planting",IF(G4025=0,"",IF(PlanterYesMe="",IF(AE4025="me","   not ELP, by",IF(AE4025="",IF(G4025&gt;0,(VLOOKUP(A4025,'Discount Lookup'!J:K,2)*G4025*(1-PlanterDiscount)*(1+PlanterDifficultyPercentage)),""),"")),"   not ELP, by"))))))))))))))</f>
        <v/>
      </c>
      <c r="AD4025" s="712"/>
      <c r="AE4025" s="513" t="str">
        <f t="shared" si="2981"/>
        <v/>
      </c>
      <c r="AF4025" s="713" t="str">
        <f t="shared" si="2982"/>
        <v/>
      </c>
      <c r="AG4025" s="713"/>
      <c r="AH4025" s="713"/>
      <c r="AI4025" s="112">
        <f>IF(H4025="credit",0,IF(AE4025="free",0,IF(AE4025="me",0,IF(G4025&gt;0,(VLOOKUP(A4025,'Discount Lookup'!J:K,2)*G4025),0))))</f>
        <v>0</v>
      </c>
      <c r="AJ4025" s="107" t="str">
        <f t="shared" ca="1" si="2983"/>
        <v/>
      </c>
      <c r="AK4025" s="714" t="str">
        <f t="shared" si="2984"/>
        <v/>
      </c>
      <c r="AL4025" s="714"/>
      <c r="AM4025" s="114" t="str">
        <f t="shared" si="2985"/>
        <v/>
      </c>
      <c r="AN4025" s="115"/>
      <c r="AO4025" s="116"/>
      <c r="AP4025" s="116"/>
      <c r="AQ4025" s="116"/>
      <c r="AR4025" s="116"/>
      <c r="AS4025" s="116"/>
      <c r="AT4025" s="116"/>
      <c r="AU4025" s="116"/>
      <c r="AV4025" s="78"/>
      <c r="AW4025" s="102"/>
      <c r="AX4025" s="78"/>
      <c r="AY4025" s="78"/>
      <c r="AZ4025" s="78"/>
      <c r="BA4025" s="78"/>
      <c r="BB4025" s="78"/>
      <c r="BC4025" s="78"/>
      <c r="BD4025" s="78"/>
      <c r="BE4025" s="465"/>
      <c r="BF4025" s="165" t="str">
        <f t="shared" si="2986"/>
        <v>https://www.google.com/search?tbm=isch&amp;q=American%20Pillar%20is%20very%20fast%20growing%2C%20with%20a%20tight%20form%2C%20and%20a%20stronger%20root%20system%20than%20similar%20narrow%20plants%20</v>
      </c>
      <c r="BG4025" s="165" t="str">
        <f t="shared" si="2987"/>
        <v>A</v>
      </c>
      <c r="BH4025" s="65"/>
      <c r="BI4025" s="65"/>
      <c r="BJ4025" s="65"/>
      <c r="BK4025" s="65"/>
      <c r="BL4025" s="99"/>
      <c r="BM4025" s="99"/>
      <c r="BN4025" s="99"/>
    </row>
    <row r="4026" spans="1:66" s="51" customFormat="1" ht="18" x14ac:dyDescent="0.25">
      <c r="A4026" s="507" t="s">
        <v>4328</v>
      </c>
      <c r="B4026" s="470"/>
      <c r="C4026" s="706"/>
      <c r="D4026" s="471" t="s">
        <v>5835</v>
      </c>
      <c r="E4026" s="472"/>
      <c r="F4026" s="472"/>
      <c r="G4026" s="472"/>
      <c r="H4026" s="622" t="s">
        <v>1088</v>
      </c>
      <c r="I4026" s="473" t="s">
        <v>443</v>
      </c>
      <c r="J4026" s="472"/>
      <c r="K4026" s="472"/>
      <c r="L4026" s="561"/>
      <c r="M4026" s="698" t="s">
        <v>5246</v>
      </c>
      <c r="N4026" s="692" t="str">
        <f>IF(AND(ISTEXT($A4026), ISERROR($A4026+0)), HYPERLINK($BF4026, "Images"), "")</f>
        <v>Images</v>
      </c>
      <c r="O4026" s="694" t="s">
        <v>5264</v>
      </c>
      <c r="P4026" s="475"/>
      <c r="Q4026" s="476"/>
      <c r="R4026" s="476"/>
      <c r="S4026" s="477" t="s">
        <v>294</v>
      </c>
      <c r="T4026" s="102">
        <f t="shared" si="2975"/>
        <v>0</v>
      </c>
      <c r="U4026" s="78" t="str">
        <f>IF(NOT(ISNUMBER(G4026)), "", VLOOKUP(A4026,'Discount Lookup'!D:E,2,FALSE)*G4026)</f>
        <v/>
      </c>
      <c r="V4026" s="78" t="str">
        <f>IF(NOT(ISNUMBER(G4026)), "", VLOOKUP(A4026,'Discount Lookup'!G:H,2,FALSE)*G4026)</f>
        <v/>
      </c>
      <c r="W4026" s="102">
        <f t="shared" si="2976"/>
        <v>0</v>
      </c>
      <c r="X4026" s="102" t="str">
        <f t="shared" si="2977"/>
        <v>Golden-Yellow foliage</v>
      </c>
      <c r="Y4026" s="120" t="b">
        <f t="shared" si="2978"/>
        <v>0</v>
      </c>
      <c r="Z4026" s="117">
        <f t="shared" si="2979"/>
        <v>0</v>
      </c>
      <c r="AA4026" s="118"/>
      <c r="AB4026" s="118" t="str">
        <f t="shared" si="2980"/>
        <v/>
      </c>
      <c r="AC4026" s="712" t="str">
        <f>IF(AE4026="T2G","no charge",IF(AND(OR(PlanterYesMe="No",PlanterYesMe="N",PlanterYesMe="me"),H4026=""),"",IF(H4026="credit","NO install",IF(AND(K4026="",AE4026="me"),"EACH row",IF(AND(K4026="images",AE4026="me"),"EACH row",IF(D4026="","",IF(H4026="credit","",IF(AE4026="free","re-planting",IF(AE4026="me","   not ELP, by",IF(AND(OR(PlanterYesMe="Yes",PlanterYesMe="Y"),G4026&gt;0),(VLOOKUP(A4026,'Discount Lookup'!J:K,2)*G4026*(1-PlanterDiscount)*(1+PlanterDifficultyPercentage)),IF(AE4026="ELP",(VLOOKUP(A4026,'Discount Lookup'!J:K,2)*G4026*(1-PlanterDiscount)*(1+PlanterDifficultyPercentage)),IF(AE4026="free","re-planting",IF(G4026=0,"",IF(PlanterYesMe="",IF(AE4026="me","   not ELP, by",IF(AE4026="",IF(G4026&gt;0,(VLOOKUP(A4026,'Discount Lookup'!J:K,2)*G4026*(1-PlanterDiscount)*(1+PlanterDifficultyPercentage)),""),"")),"   not ELP, by"))))))))))))))</f>
        <v/>
      </c>
      <c r="AD4026" s="712"/>
      <c r="AE4026" s="513" t="str">
        <f t="shared" si="2981"/>
        <v/>
      </c>
      <c r="AF4026" s="713" t="str">
        <f t="shared" si="2982"/>
        <v/>
      </c>
      <c r="AG4026" s="713"/>
      <c r="AH4026" s="713"/>
      <c r="AI4026" s="112">
        <f>IF(H4026="credit",0,IF(AE4026="free",0,IF(AE4026="me",0,IF(G4026&gt;0,(VLOOKUP(A4026,'Discount Lookup'!J:K,2)*G4026),0))))</f>
        <v>0</v>
      </c>
      <c r="AJ4026" s="107" t="str">
        <f t="shared" ca="1" si="2983"/>
        <v/>
      </c>
      <c r="AK4026" s="714" t="str">
        <f t="shared" si="2984"/>
        <v/>
      </c>
      <c r="AL4026" s="714"/>
      <c r="AM4026" s="114" t="str">
        <f t="shared" si="2985"/>
        <v/>
      </c>
      <c r="AN4026" s="115"/>
      <c r="AO4026" s="116"/>
      <c r="AP4026" s="116"/>
      <c r="AQ4026" s="116"/>
      <c r="AR4026" s="116"/>
      <c r="AS4026" s="116"/>
      <c r="AT4026" s="116"/>
      <c r="AU4026" s="116"/>
      <c r="AV4026" s="78"/>
      <c r="AW4026" s="102"/>
      <c r="AX4026" s="78"/>
      <c r="AY4026" s="78"/>
      <c r="AZ4026" s="78"/>
      <c r="BA4026" s="78"/>
      <c r="BB4026" s="78"/>
      <c r="BC4026" s="78"/>
      <c r="BD4026" s="78"/>
      <c r="BE4026" s="465"/>
      <c r="BF4026" s="165" t="str">
        <f t="shared" si="2986"/>
        <v>https://www.google.com/search?tbm=isch&amp;q=Thuja%20occidentalis%20%27Anna%20van%20Vloten%27%20PP%2325868%20Anna%27s%20Magic%20Ball%C2%AE%20Arborvitae</v>
      </c>
      <c r="BG4026" s="165" t="str">
        <f t="shared" si="2987"/>
        <v>T</v>
      </c>
      <c r="BH4026" s="65"/>
      <c r="BI4026" s="65"/>
      <c r="BJ4026" s="65"/>
      <c r="BK4026" s="65"/>
      <c r="BL4026" s="99"/>
      <c r="BM4026" s="99"/>
      <c r="BN4026" s="99"/>
    </row>
    <row r="4027" spans="1:66" s="51" customFormat="1" ht="15.75" x14ac:dyDescent="0.25">
      <c r="A4027" s="478">
        <v>3</v>
      </c>
      <c r="B4027" s="479" t="s">
        <v>291</v>
      </c>
      <c r="C4027" s="480" t="s">
        <v>4329</v>
      </c>
      <c r="D4027" s="481" t="s">
        <v>311</v>
      </c>
      <c r="E4027" s="482">
        <v>45.95</v>
      </c>
      <c r="F4027" s="483" t="s">
        <v>292</v>
      </c>
      <c r="G4027" s="484">
        <v>0</v>
      </c>
      <c r="H4027" s="688" t="str">
        <f>IF(G4027=0,"",IF(F4027="Buy",IF(G4027=1,"plant","plants"),IF(F4027&gt;0.01,"warranty","Error")))</f>
        <v/>
      </c>
      <c r="I4027" s="485">
        <f>IF(H4027="free",0,IF(H4027="credit",((E4027*(F4027))*G4027*-1),IF(F4027="Buy",(E4027*G4027),((E4027*(1-F4027))*G4027))))</f>
        <v>0</v>
      </c>
      <c r="J4027" s="485">
        <f>IF(H4027="warranty",0,(I4027*(_xlfn.SINGLE(SalesTaxPercentage))))</f>
        <v>0</v>
      </c>
      <c r="K4027" s="715">
        <f t="shared" ref="K4027" si="3003">I4027+J4027</f>
        <v>0</v>
      </c>
      <c r="L4027" s="715"/>
      <c r="M4027" s="689" t="str">
        <f ca="1">IF(AND(G4027&gt;0,E4027=0),"WARNING - no PRICE inserted",IF(H4027="free","FREE ~ no charge this plant",IF(H4027="credit",CONCATENATE("-$",ROUND(K4027*(1-_xlfn.SINGLE(T2GDiscount))*-1,2)," CREDIT after discount"),IF(_xlfn.SINGLE(T2GDiscount)=0,"",IF(G4027=0,"",IF(F4027="Buy",CONCATENATE("$",ROUND(K4027*(1-_xlfn.SINGLE(T2GDiscount)),2)," with ",(_xlfn.SINGLE(T2GDiscount)*100),"% discount"),CONCATENATE("$",ROUND(K4027*(1-_xlfn.SINGLE(T2GDiscount)),2)," with ",((_xlfn.SINGLE(T2GDiscount)*100+F4027*100)-(_xlfn.SINGLE(T2GDiscount)*100*F4027)),IF(F4027&gt;0,"% discounts",IF(_xlfn.SINGLE(NoWarrantyDiscount)&gt;0,"% discounts","% discount")))))))))</f>
        <v/>
      </c>
      <c r="N4027" s="690"/>
      <c r="O4027" s="486"/>
      <c r="P4027" s="486"/>
      <c r="Q4027" s="486"/>
      <c r="R4027" s="486"/>
      <c r="S4027" s="486"/>
      <c r="T4027" s="102">
        <f t="shared" si="2975"/>
        <v>0</v>
      </c>
      <c r="U4027" s="78">
        <f>IF(NOT(ISNUMBER(G4027)), "", VLOOKUP(A4027,'Discount Lookup'!D:E,2,FALSE)*G4027)</f>
        <v>0</v>
      </c>
      <c r="V4027" s="78">
        <f>IF(NOT(ISNUMBER(G4027)), "", VLOOKUP(A4027,'Discount Lookup'!G:H,2,FALSE)*G4027)</f>
        <v>0</v>
      </c>
      <c r="W4027" s="102">
        <f t="shared" si="2976"/>
        <v>0</v>
      </c>
      <c r="X4027" s="102">
        <f t="shared" si="2977"/>
        <v>0</v>
      </c>
      <c r="Y4027" s="120" t="b">
        <f t="shared" si="2978"/>
        <v>0</v>
      </c>
      <c r="Z4027" s="117">
        <f t="shared" si="2979"/>
        <v>0</v>
      </c>
      <c r="AA4027" s="118"/>
      <c r="AB4027" s="118" t="str">
        <f t="shared" si="2980"/>
        <v/>
      </c>
      <c r="AC4027" s="712" t="str">
        <f>IF(AE4027="T2G","no charge",IF(AND(OR(PlanterYesMe="No",PlanterYesMe="N",PlanterYesMe="me"),H4027=""),"",IF(H4027="credit","NO install",IF(AND(K4027="",AE4027="me"),"EACH row",IF(AND(K4027="images",AE4027="me"),"EACH row",IF(D4027="","",IF(H4027="credit","",IF(AE4027="free","re-planting",IF(AE4027="me","   not ELP, by",IF(AND(OR(PlanterYesMe="Yes",PlanterYesMe="Y"),G4027&gt;0),(VLOOKUP(A4027,'Discount Lookup'!J:K,2)*G4027*(1-PlanterDiscount)*(1+PlanterDifficultyPercentage)),IF(AE4027="ELP",(VLOOKUP(A4027,'Discount Lookup'!J:K,2)*G4027*(1-PlanterDiscount)*(1+PlanterDifficultyPercentage)),IF(AE4027="free","re-planting",IF(G4027=0,"",IF(PlanterYesMe="",IF(AE4027="me","   not ELP, by",IF(AE4027="",IF(G4027&gt;0,(VLOOKUP(A4027,'Discount Lookup'!J:K,2)*G4027*(1-PlanterDiscount)*(1+PlanterDifficultyPercentage)),""),"")),"   not ELP, by"))))))))))))))</f>
        <v/>
      </c>
      <c r="AD4027" s="712"/>
      <c r="AE4027" s="513" t="str">
        <f t="shared" si="2981"/>
        <v/>
      </c>
      <c r="AF4027" s="713" t="str">
        <f t="shared" si="2982"/>
        <v/>
      </c>
      <c r="AG4027" s="713"/>
      <c r="AH4027" s="713"/>
      <c r="AI4027" s="112">
        <f>IF(H4027="credit",0,IF(AE4027="free",0,IF(AE4027="me",0,IF(G4027&gt;0,(VLOOKUP(A4027,'Discount Lookup'!J:K,2)*G4027),0))))</f>
        <v>0</v>
      </c>
      <c r="AJ4027" s="107" t="str">
        <f t="shared" ca="1" si="2983"/>
        <v/>
      </c>
      <c r="AK4027" s="714" t="str">
        <f t="shared" si="2984"/>
        <v/>
      </c>
      <c r="AL4027" s="714"/>
      <c r="AM4027" s="114" t="str">
        <f t="shared" si="2985"/>
        <v/>
      </c>
      <c r="AN4027" s="115"/>
      <c r="AO4027" s="116"/>
      <c r="AP4027" s="116"/>
      <c r="AQ4027" s="116"/>
      <c r="AR4027" s="116"/>
      <c r="AS4027" s="116"/>
      <c r="AT4027" s="116"/>
      <c r="AU4027" s="116"/>
      <c r="AV4027" s="78"/>
      <c r="AW4027" s="102"/>
      <c r="AX4027" s="78"/>
      <c r="AY4027" s="78"/>
      <c r="AZ4027" s="78"/>
      <c r="BA4027" s="78"/>
      <c r="BB4027" s="78"/>
      <c r="BC4027" s="78"/>
      <c r="BD4027" s="78"/>
      <c r="BE4027" s="465"/>
      <c r="BF4027" s="165" t="str">
        <f t="shared" si="2986"/>
        <v>https://www.google.com/search?tbm=isch&amp;q=3%20G5</v>
      </c>
      <c r="BG4027" s="165" t="str">
        <f t="shared" si="2987"/>
        <v>T</v>
      </c>
      <c r="BH4027" s="65"/>
      <c r="BI4027" s="65"/>
      <c r="BJ4027" s="65"/>
      <c r="BK4027" s="65"/>
      <c r="BL4027" s="99"/>
      <c r="BM4027" s="99"/>
      <c r="BN4027" s="99"/>
    </row>
    <row r="4028" spans="1:66" s="51" customFormat="1" ht="17.25" thickBot="1" x14ac:dyDescent="0.3">
      <c r="A4028" s="508" t="s">
        <v>4330</v>
      </c>
      <c r="B4028" s="487"/>
      <c r="C4028" s="707"/>
      <c r="D4028" s="487"/>
      <c r="E4028" s="487"/>
      <c r="F4028" s="488"/>
      <c r="G4028" s="489"/>
      <c r="H4028" s="487"/>
      <c r="I4028" s="490"/>
      <c r="J4028" s="490"/>
      <c r="K4028" s="491"/>
      <c r="L4028" s="547"/>
      <c r="M4028" s="528"/>
      <c r="N4028" s="492"/>
      <c r="O4028" s="493"/>
      <c r="P4028" s="494"/>
      <c r="Q4028" s="492"/>
      <c r="R4028" s="492"/>
      <c r="S4028" s="699" t="s">
        <v>5268</v>
      </c>
      <c r="T4028" s="102">
        <f t="shared" si="2975"/>
        <v>0</v>
      </c>
      <c r="U4028" s="78" t="str">
        <f>IF(NOT(ISNUMBER(G4028)), "", VLOOKUP(A4028,'Discount Lookup'!D:E,2,FALSE)*G4028)</f>
        <v/>
      </c>
      <c r="V4028" s="78" t="str">
        <f>IF(NOT(ISNUMBER(G4028)), "", VLOOKUP(A4028,'Discount Lookup'!G:H,2,FALSE)*G4028)</f>
        <v/>
      </c>
      <c r="W4028" s="102">
        <f t="shared" si="2976"/>
        <v>0</v>
      </c>
      <c r="X4028" s="102">
        <f t="shared" si="2977"/>
        <v>0</v>
      </c>
      <c r="Y4028" s="120" t="b">
        <f t="shared" si="2978"/>
        <v>0</v>
      </c>
      <c r="Z4028" s="117">
        <f t="shared" si="2979"/>
        <v>0</v>
      </c>
      <c r="AA4028" s="118"/>
      <c r="AB4028" s="118" t="str">
        <f t="shared" si="2980"/>
        <v/>
      </c>
      <c r="AC4028" s="712" t="str">
        <f>IF(AE4028="T2G","no charge",IF(AND(OR(PlanterYesMe="No",PlanterYesMe="N",PlanterYesMe="me"),H4028=""),"",IF(H4028="credit","NO install",IF(AND(K4028="",AE4028="me"),"EACH row",IF(AND(K4028="images",AE4028="me"),"EACH row",IF(D4028="","",IF(H4028="credit","",IF(AE4028="free","re-planting",IF(AE4028="me","   not ELP, by",IF(AND(OR(PlanterYesMe="Yes",PlanterYesMe="Y"),G4028&gt;0),(VLOOKUP(A4028,'Discount Lookup'!J:K,2)*G4028*(1-PlanterDiscount)*(1+PlanterDifficultyPercentage)),IF(AE4028="ELP",(VLOOKUP(A4028,'Discount Lookup'!J:K,2)*G4028*(1-PlanterDiscount)*(1+PlanterDifficultyPercentage)),IF(AE4028="free","re-planting",IF(G4028=0,"",IF(PlanterYesMe="",IF(AE4028="me","   not ELP, by",IF(AE4028="",IF(G4028&gt;0,(VLOOKUP(A4028,'Discount Lookup'!J:K,2)*G4028*(1-PlanterDiscount)*(1+PlanterDifficultyPercentage)),""),"")),"   not ELP, by"))))))))))))))</f>
        <v/>
      </c>
      <c r="AD4028" s="712"/>
      <c r="AE4028" s="513" t="str">
        <f t="shared" si="2981"/>
        <v/>
      </c>
      <c r="AF4028" s="713" t="str">
        <f t="shared" si="2982"/>
        <v/>
      </c>
      <c r="AG4028" s="713"/>
      <c r="AH4028" s="713"/>
      <c r="AI4028" s="112">
        <f>IF(H4028="credit",0,IF(AE4028="free",0,IF(AE4028="me",0,IF(G4028&gt;0,(VLOOKUP(A4028,'Discount Lookup'!J:K,2)*G4028),0))))</f>
        <v>0</v>
      </c>
      <c r="AJ4028" s="107" t="str">
        <f t="shared" ca="1" si="2983"/>
        <v/>
      </c>
      <c r="AK4028" s="714" t="str">
        <f t="shared" si="2984"/>
        <v/>
      </c>
      <c r="AL4028" s="714"/>
      <c r="AM4028" s="114" t="str">
        <f t="shared" si="2985"/>
        <v/>
      </c>
      <c r="AN4028" s="115"/>
      <c r="AO4028" s="116"/>
      <c r="AP4028" s="116"/>
      <c r="AQ4028" s="116"/>
      <c r="AR4028" s="116"/>
      <c r="AS4028" s="116"/>
      <c r="AT4028" s="116"/>
      <c r="AU4028" s="116"/>
      <c r="AV4028" s="78"/>
      <c r="AW4028" s="102"/>
      <c r="AX4028" s="78"/>
      <c r="AY4028" s="78"/>
      <c r="AZ4028" s="78"/>
      <c r="BA4028" s="78"/>
      <c r="BB4028" s="78"/>
      <c r="BC4028" s="78"/>
      <c r="BD4028" s="78"/>
      <c r="BE4028" s="465"/>
      <c r="BF4028" s="165" t="str">
        <f t="shared" si="2986"/>
        <v>https://www.google.com/search?tbm=isch&amp;q=Anna%27s%20Magic%20Ball%20foliage%20turns%20extra%20Golden%20in%20full%20sun.%20Very%20little%20if%20any%20Bronzing%20in%20winter%20</v>
      </c>
      <c r="BG4028" s="165" t="str">
        <f t="shared" si="2987"/>
        <v>A</v>
      </c>
      <c r="BH4028" s="65"/>
      <c r="BI4028" s="65"/>
      <c r="BJ4028" s="65"/>
      <c r="BK4028" s="65"/>
      <c r="BL4028" s="99"/>
      <c r="BM4028" s="99"/>
      <c r="BN4028" s="99"/>
    </row>
    <row r="4029" spans="1:66" s="51" customFormat="1" ht="18" x14ac:dyDescent="0.25">
      <c r="A4029" s="507" t="s">
        <v>758</v>
      </c>
      <c r="B4029" s="470"/>
      <c r="C4029" s="706"/>
      <c r="D4029" s="471" t="s">
        <v>5913</v>
      </c>
      <c r="E4029" s="472"/>
      <c r="F4029" s="472"/>
      <c r="G4029" s="472"/>
      <c r="H4029" s="622" t="s">
        <v>574</v>
      </c>
      <c r="I4029" s="473" t="s">
        <v>431</v>
      </c>
      <c r="J4029" s="472"/>
      <c r="K4029" s="472"/>
      <c r="L4029" s="561"/>
      <c r="M4029" s="698" t="s">
        <v>5246</v>
      </c>
      <c r="N4029" s="692" t="str">
        <f>IF(AND(ISTEXT($A4029), ISERROR($A4029+0)), HYPERLINK($BF4029, "Images"), "")</f>
        <v>Images</v>
      </c>
      <c r="O4029" s="694" t="s">
        <v>5264</v>
      </c>
      <c r="P4029" s="475"/>
      <c r="Q4029" s="476"/>
      <c r="R4029" s="476"/>
      <c r="S4029" s="477" t="s">
        <v>294</v>
      </c>
      <c r="T4029" s="102">
        <f t="shared" si="2975"/>
        <v>0</v>
      </c>
      <c r="U4029" s="78" t="str">
        <f>IF(NOT(ISNUMBER(G4029)), "", VLOOKUP(A4029,'Discount Lookup'!D:E,2,FALSE)*G4029)</f>
        <v/>
      </c>
      <c r="V4029" s="78" t="str">
        <f>IF(NOT(ISNUMBER(G4029)), "", VLOOKUP(A4029,'Discount Lookup'!G:H,2,FALSE)*G4029)</f>
        <v/>
      </c>
      <c r="W4029" s="102">
        <f t="shared" si="2976"/>
        <v>0</v>
      </c>
      <c r="X4029" s="102" t="str">
        <f t="shared" si="2977"/>
        <v>Dark Green foliage</v>
      </c>
      <c r="Y4029" s="120" t="b">
        <f t="shared" si="2978"/>
        <v>0</v>
      </c>
      <c r="Z4029" s="117">
        <f t="shared" si="2979"/>
        <v>0</v>
      </c>
      <c r="AA4029" s="118"/>
      <c r="AB4029" s="118" t="str">
        <f t="shared" si="2980"/>
        <v/>
      </c>
      <c r="AC4029" s="712" t="str">
        <f>IF(AE4029="T2G","no charge",IF(AND(OR(PlanterYesMe="No",PlanterYesMe="N",PlanterYesMe="me"),H4029=""),"",IF(H4029="credit","NO install",IF(AND(K4029="",AE4029="me"),"EACH row",IF(AND(K4029="images",AE4029="me"),"EACH row",IF(D4029="","",IF(H4029="credit","",IF(AE4029="free","re-planting",IF(AE4029="me","   not ELP, by",IF(AND(OR(PlanterYesMe="Yes",PlanterYesMe="Y"),G4029&gt;0),(VLOOKUP(A4029,'Discount Lookup'!J:K,2)*G4029*(1-PlanterDiscount)*(1+PlanterDifficultyPercentage)),IF(AE4029="ELP",(VLOOKUP(A4029,'Discount Lookup'!J:K,2)*G4029*(1-PlanterDiscount)*(1+PlanterDifficultyPercentage)),IF(AE4029="free","re-planting",IF(G4029=0,"",IF(PlanterYesMe="",IF(AE4029="me","   not ELP, by",IF(AE4029="",IF(G4029&gt;0,(VLOOKUP(A4029,'Discount Lookup'!J:K,2)*G4029*(1-PlanterDiscount)*(1+PlanterDifficultyPercentage)),""),"")),"   not ELP, by"))))))))))))))</f>
        <v/>
      </c>
      <c r="AD4029" s="712"/>
      <c r="AE4029" s="513" t="str">
        <f t="shared" si="2981"/>
        <v/>
      </c>
      <c r="AF4029" s="713" t="str">
        <f t="shared" si="2982"/>
        <v/>
      </c>
      <c r="AG4029" s="713"/>
      <c r="AH4029" s="713"/>
      <c r="AI4029" s="112">
        <f>IF(H4029="credit",0,IF(AE4029="free",0,IF(AE4029="me",0,IF(G4029&gt;0,(VLOOKUP(A4029,'Discount Lookup'!J:K,2)*G4029),0))))</f>
        <v>0</v>
      </c>
      <c r="AJ4029" s="107" t="str">
        <f t="shared" ca="1" si="2983"/>
        <v/>
      </c>
      <c r="AK4029" s="714" t="str">
        <f t="shared" si="2984"/>
        <v/>
      </c>
      <c r="AL4029" s="714"/>
      <c r="AM4029" s="114" t="str">
        <f t="shared" si="2985"/>
        <v/>
      </c>
      <c r="AN4029" s="115"/>
      <c r="AO4029" s="116"/>
      <c r="AP4029" s="116"/>
      <c r="AQ4029" s="116"/>
      <c r="AR4029" s="116"/>
      <c r="AS4029" s="116"/>
      <c r="AT4029" s="116"/>
      <c r="AU4029" s="116"/>
      <c r="AV4029" s="78"/>
      <c r="AW4029" s="102"/>
      <c r="AX4029" s="78"/>
      <c r="AY4029" s="78"/>
      <c r="AZ4029" s="78"/>
      <c r="BA4029" s="78"/>
      <c r="BB4029" s="78"/>
      <c r="BC4029" s="78"/>
      <c r="BD4029" s="78"/>
      <c r="BE4029" s="465"/>
      <c r="BF4029" s="165" t="str">
        <f t="shared" si="2986"/>
        <v>https://www.google.com/search?tbm=isch&amp;q=Thuja%20occidentalis%20%27Art%20Boe%27%20PP%2322174%20North%20Pole%C2%AE%20Arborvitae%20%28PW%C2%AE%29</v>
      </c>
      <c r="BG4029" s="165" t="str">
        <f t="shared" si="2987"/>
        <v>T</v>
      </c>
      <c r="BH4029" s="65"/>
      <c r="BI4029" s="65"/>
      <c r="BJ4029" s="65"/>
      <c r="BK4029" s="65"/>
      <c r="BL4029" s="99"/>
      <c r="BM4029" s="99"/>
      <c r="BN4029" s="99"/>
    </row>
    <row r="4030" spans="1:66" s="51" customFormat="1" ht="15.75" x14ac:dyDescent="0.25">
      <c r="A4030" s="478">
        <v>4</v>
      </c>
      <c r="B4030" s="479" t="s">
        <v>338</v>
      </c>
      <c r="C4030" s="480" t="s">
        <v>345</v>
      </c>
      <c r="D4030" s="481" t="s">
        <v>329</v>
      </c>
      <c r="E4030" s="482">
        <v>28.95</v>
      </c>
      <c r="F4030" s="483" t="s">
        <v>292</v>
      </c>
      <c r="G4030" s="484">
        <v>0</v>
      </c>
      <c r="H4030" s="688" t="str">
        <f>IF(G4030=0,"",IF(F4030="Buy",IF(G4030=1,"plant","plants"),IF(F4030&gt;0.01,"warranty","Error")))</f>
        <v/>
      </c>
      <c r="I4030" s="485">
        <f>IF(H4030="free",0,IF(H4030="credit",((E4030*(F4030))*G4030*-1),IF(F4030="Buy",(E4030*G4030),((E4030*(1-F4030))*G4030))))</f>
        <v>0</v>
      </c>
      <c r="J4030" s="485">
        <f>IF(H4030="warranty",0,(I4030*(_xlfn.SINGLE(SalesTaxPercentage))))</f>
        <v>0</v>
      </c>
      <c r="K4030" s="715">
        <f t="shared" ref="K4030" si="3004">I4030+J4030</f>
        <v>0</v>
      </c>
      <c r="L4030" s="715"/>
      <c r="M4030" s="689" t="str">
        <f ca="1">IF(AND(G4030&gt;0,E4030=0),"WARNING - no PRICE inserted",IF(H4030="free","FREE ~ no charge this plant",IF(H4030="credit",CONCATENATE("-$",ROUND(K4030*(1-_xlfn.SINGLE(T2GDiscount))*-1,2)," CREDIT after discount"),IF(_xlfn.SINGLE(T2GDiscount)=0,"",IF(G4030=0,"",IF(F4030="Buy",CONCATENATE("$",ROUND(K4030*(1-_xlfn.SINGLE(T2GDiscount)),2)," with ",(_xlfn.SINGLE(T2GDiscount)*100),"% discount"),CONCATENATE("$",ROUND(K4030*(1-_xlfn.SINGLE(T2GDiscount)),2)," with ",((_xlfn.SINGLE(T2GDiscount)*100+F4030*100)-(_xlfn.SINGLE(T2GDiscount)*100*F4030)),IF(F4030&gt;0,"% discounts",IF(_xlfn.SINGLE(NoWarrantyDiscount)&gt;0,"% discounts","% discount")))))))))</f>
        <v/>
      </c>
      <c r="N4030" s="690"/>
      <c r="O4030" s="486"/>
      <c r="P4030" s="486"/>
      <c r="Q4030" s="486"/>
      <c r="R4030" s="486"/>
      <c r="S4030" s="486"/>
      <c r="T4030" s="102">
        <f t="shared" si="2975"/>
        <v>0</v>
      </c>
      <c r="U4030" s="78">
        <f>IF(NOT(ISNUMBER(G4030)), "", VLOOKUP(A4030,'Discount Lookup'!D:E,2,FALSE)*G4030)</f>
        <v>0</v>
      </c>
      <c r="V4030" s="78">
        <f>IF(NOT(ISNUMBER(G4030)), "", VLOOKUP(A4030,'Discount Lookup'!G:H,2,FALSE)*G4030)</f>
        <v>0</v>
      </c>
      <c r="W4030" s="102">
        <f t="shared" si="2976"/>
        <v>0</v>
      </c>
      <c r="X4030" s="102">
        <f t="shared" si="2977"/>
        <v>0</v>
      </c>
      <c r="Y4030" s="120" t="b">
        <f t="shared" si="2978"/>
        <v>0</v>
      </c>
      <c r="Z4030" s="117">
        <f t="shared" si="2979"/>
        <v>0</v>
      </c>
      <c r="AA4030" s="118"/>
      <c r="AB4030" s="118" t="str">
        <f t="shared" si="2980"/>
        <v/>
      </c>
      <c r="AC4030" s="712" t="str">
        <f>IF(AE4030="T2G","no charge",IF(AND(OR(PlanterYesMe="No",PlanterYesMe="N",PlanterYesMe="me"),H4030=""),"",IF(H4030="credit","NO install",IF(AND(K4030="",AE4030="me"),"EACH row",IF(AND(K4030="images",AE4030="me"),"EACH row",IF(D4030="","",IF(H4030="credit","",IF(AE4030="free","re-planting",IF(AE4030="me","   not ELP, by",IF(AND(OR(PlanterYesMe="Yes",PlanterYesMe="Y"),G4030&gt;0),(VLOOKUP(A4030,'Discount Lookup'!J:K,2)*G4030*(1-PlanterDiscount)*(1+PlanterDifficultyPercentage)),IF(AE4030="ELP",(VLOOKUP(A4030,'Discount Lookup'!J:K,2)*G4030*(1-PlanterDiscount)*(1+PlanterDifficultyPercentage)),IF(AE4030="free","re-planting",IF(G4030=0,"",IF(PlanterYesMe="",IF(AE4030="me","   not ELP, by",IF(AE4030="",IF(G4030&gt;0,(VLOOKUP(A4030,'Discount Lookup'!J:K,2)*G4030*(1-PlanterDiscount)*(1+PlanterDifficultyPercentage)),""),"")),"   not ELP, by"))))))))))))))</f>
        <v/>
      </c>
      <c r="AD4030" s="712"/>
      <c r="AE4030" s="513" t="str">
        <f t="shared" si="2981"/>
        <v/>
      </c>
      <c r="AF4030" s="713" t="str">
        <f t="shared" si="2982"/>
        <v/>
      </c>
      <c r="AG4030" s="713"/>
      <c r="AH4030" s="713"/>
      <c r="AI4030" s="112">
        <f>IF(H4030="credit",0,IF(AE4030="free",0,IF(AE4030="me",0,IF(G4030&gt;0,(VLOOKUP(A4030,'Discount Lookup'!J:K,2)*G4030),0))))</f>
        <v>0</v>
      </c>
      <c r="AJ4030" s="107" t="str">
        <f t="shared" ca="1" si="2983"/>
        <v/>
      </c>
      <c r="AK4030" s="714" t="str">
        <f t="shared" si="2984"/>
        <v/>
      </c>
      <c r="AL4030" s="714"/>
      <c r="AM4030" s="114" t="str">
        <f t="shared" si="2985"/>
        <v/>
      </c>
      <c r="AN4030" s="115"/>
      <c r="AO4030" s="116"/>
      <c r="AP4030" s="116"/>
      <c r="AQ4030" s="116"/>
      <c r="AR4030" s="116"/>
      <c r="AS4030" s="116"/>
      <c r="AT4030" s="116"/>
      <c r="AU4030" s="116"/>
      <c r="AV4030" s="78"/>
      <c r="AW4030" s="102"/>
      <c r="AX4030" s="78"/>
      <c r="AY4030" s="78"/>
      <c r="AZ4030" s="78"/>
      <c r="BA4030" s="78"/>
      <c r="BB4030" s="78"/>
      <c r="BC4030" s="78"/>
      <c r="BD4030" s="78"/>
      <c r="BE4030" s="465"/>
      <c r="BF4030" s="165" t="str">
        <f t="shared" si="2986"/>
        <v>https://www.google.com/search?tbm=isch&amp;q=4%20G2</v>
      </c>
      <c r="BG4030" s="165" t="str">
        <f t="shared" si="2987"/>
        <v>T</v>
      </c>
      <c r="BH4030" s="65"/>
      <c r="BI4030" s="65"/>
      <c r="BJ4030" s="65"/>
      <c r="BK4030" s="65"/>
      <c r="BL4030" s="99"/>
      <c r="BM4030" s="99"/>
      <c r="BN4030" s="99"/>
    </row>
    <row r="4031" spans="1:66" s="51" customFormat="1" ht="15.75" x14ac:dyDescent="0.25">
      <c r="A4031" s="478">
        <v>1</v>
      </c>
      <c r="B4031" s="479" t="s">
        <v>291</v>
      </c>
      <c r="C4031" s="480"/>
      <c r="D4031" s="481" t="s">
        <v>329</v>
      </c>
      <c r="E4031" s="482">
        <v>32.950000000000003</v>
      </c>
      <c r="F4031" s="483" t="s">
        <v>292</v>
      </c>
      <c r="G4031" s="484">
        <v>0</v>
      </c>
      <c r="H4031" s="688" t="str">
        <f>IF(G4031=0,"",IF(F4031="Buy",IF(G4031=1,"plant","plants"),IF(F4031&gt;0.01,"warranty","Error")))</f>
        <v/>
      </c>
      <c r="I4031" s="485">
        <f>IF(H4031="free",0,IF(H4031="credit",((E4031*(F4031))*G4031*-1),IF(F4031="Buy",(E4031*G4031),((E4031*(1-F4031))*G4031))))</f>
        <v>0</v>
      </c>
      <c r="J4031" s="485">
        <f>IF(H4031="warranty",0,(I4031*(_xlfn.SINGLE(SalesTaxPercentage))))</f>
        <v>0</v>
      </c>
      <c r="K4031" s="715">
        <f t="shared" ref="K4031" si="3005">I4031+J4031</f>
        <v>0</v>
      </c>
      <c r="L4031" s="715"/>
      <c r="M4031" s="689" t="str">
        <f ca="1">IF(AND(G4031&gt;0,E4031=0),"WARNING - no PRICE inserted",IF(H4031="free","FREE ~ no charge this plant",IF(H4031="credit",CONCATENATE("-$",ROUND(K4031*(1-_xlfn.SINGLE(T2GDiscount))*-1,2)," CREDIT after discount"),IF(_xlfn.SINGLE(T2GDiscount)=0,"",IF(G4031=0,"",IF(F4031="Buy",CONCATENATE("$",ROUND(K4031*(1-_xlfn.SINGLE(T2GDiscount)),2)," with ",(_xlfn.SINGLE(T2GDiscount)*100),"% discount"),CONCATENATE("$",ROUND(K4031*(1-_xlfn.SINGLE(T2GDiscount)),2)," with ",((_xlfn.SINGLE(T2GDiscount)*100+F4031*100)-(_xlfn.SINGLE(T2GDiscount)*100*F4031)),IF(F4031&gt;0,"% discounts",IF(_xlfn.SINGLE(NoWarrantyDiscount)&gt;0,"% discounts","% discount")))))))))</f>
        <v/>
      </c>
      <c r="N4031" s="690"/>
      <c r="O4031" s="486"/>
      <c r="P4031" s="486"/>
      <c r="Q4031" s="486"/>
      <c r="R4031" s="486"/>
      <c r="S4031" s="486"/>
      <c r="T4031" s="102">
        <f t="shared" si="2975"/>
        <v>0</v>
      </c>
      <c r="U4031" s="78">
        <f>IF(NOT(ISNUMBER(G4031)), "", VLOOKUP(A4031,'Discount Lookup'!D:E,2,FALSE)*G4031)</f>
        <v>0</v>
      </c>
      <c r="V4031" s="78">
        <f>IF(NOT(ISNUMBER(G4031)), "", VLOOKUP(A4031,'Discount Lookup'!G:H,2,FALSE)*G4031)</f>
        <v>0</v>
      </c>
      <c r="W4031" s="102">
        <f t="shared" si="2976"/>
        <v>0</v>
      </c>
      <c r="X4031" s="102">
        <f t="shared" si="2977"/>
        <v>0</v>
      </c>
      <c r="Y4031" s="120" t="b">
        <f t="shared" si="2978"/>
        <v>0</v>
      </c>
      <c r="Z4031" s="117">
        <f t="shared" si="2979"/>
        <v>0</v>
      </c>
      <c r="AA4031" s="118"/>
      <c r="AB4031" s="118" t="str">
        <f t="shared" si="2980"/>
        <v/>
      </c>
      <c r="AC4031" s="712" t="str">
        <f>IF(AE4031="T2G","no charge",IF(AND(OR(PlanterYesMe="No",PlanterYesMe="N",PlanterYesMe="me"),H4031=""),"",IF(H4031="credit","NO install",IF(AND(K4031="",AE4031="me"),"EACH row",IF(AND(K4031="images",AE4031="me"),"EACH row",IF(D4031="","",IF(H4031="credit","",IF(AE4031="free","re-planting",IF(AE4031="me","   not ELP, by",IF(AND(OR(PlanterYesMe="Yes",PlanterYesMe="Y"),G4031&gt;0),(VLOOKUP(A4031,'Discount Lookup'!J:K,2)*G4031*(1-PlanterDiscount)*(1+PlanterDifficultyPercentage)),IF(AE4031="ELP",(VLOOKUP(A4031,'Discount Lookup'!J:K,2)*G4031*(1-PlanterDiscount)*(1+PlanterDifficultyPercentage)),IF(AE4031="free","re-planting",IF(G4031=0,"",IF(PlanterYesMe="",IF(AE4031="me","   not ELP, by",IF(AE4031="",IF(G4031&gt;0,(VLOOKUP(A4031,'Discount Lookup'!J:K,2)*G4031*(1-PlanterDiscount)*(1+PlanterDifficultyPercentage)),""),"")),"   not ELP, by"))))))))))))))</f>
        <v/>
      </c>
      <c r="AD4031" s="712"/>
      <c r="AE4031" s="513" t="str">
        <f t="shared" si="2981"/>
        <v/>
      </c>
      <c r="AF4031" s="713" t="str">
        <f t="shared" si="2982"/>
        <v/>
      </c>
      <c r="AG4031" s="713"/>
      <c r="AH4031" s="713"/>
      <c r="AI4031" s="112">
        <f>IF(H4031="credit",0,IF(AE4031="free",0,IF(AE4031="me",0,IF(G4031&gt;0,(VLOOKUP(A4031,'Discount Lookup'!J:K,2)*G4031),0))))</f>
        <v>0</v>
      </c>
      <c r="AJ4031" s="107" t="str">
        <f t="shared" ca="1" si="2983"/>
        <v/>
      </c>
      <c r="AK4031" s="714" t="str">
        <f t="shared" si="2984"/>
        <v/>
      </c>
      <c r="AL4031" s="714"/>
      <c r="AM4031" s="114" t="str">
        <f t="shared" si="2985"/>
        <v/>
      </c>
      <c r="AN4031" s="115"/>
      <c r="AO4031" s="116"/>
      <c r="AP4031" s="116"/>
      <c r="AQ4031" s="116"/>
      <c r="AR4031" s="116"/>
      <c r="AS4031" s="116"/>
      <c r="AT4031" s="116"/>
      <c r="AU4031" s="116"/>
      <c r="AV4031" s="78"/>
      <c r="AW4031" s="102"/>
      <c r="AX4031" s="78"/>
      <c r="AY4031" s="78"/>
      <c r="AZ4031" s="78"/>
      <c r="BA4031" s="78"/>
      <c r="BB4031" s="78"/>
      <c r="BC4031" s="78"/>
      <c r="BD4031" s="78"/>
      <c r="BE4031" s="465"/>
      <c r="BF4031" s="165" t="str">
        <f t="shared" si="2986"/>
        <v>https://www.google.com/search?tbm=isch&amp;q=1%20G2</v>
      </c>
      <c r="BG4031" s="165" t="str">
        <f t="shared" si="2987"/>
        <v>T</v>
      </c>
      <c r="BH4031" s="65"/>
      <c r="BI4031" s="65"/>
      <c r="BJ4031" s="65"/>
      <c r="BK4031" s="65"/>
      <c r="BL4031" s="99"/>
      <c r="BM4031" s="99"/>
      <c r="BN4031" s="99"/>
    </row>
    <row r="4032" spans="1:66" s="51" customFormat="1" ht="27" x14ac:dyDescent="0.25">
      <c r="A4032" s="478">
        <v>7</v>
      </c>
      <c r="B4032" s="479" t="s">
        <v>291</v>
      </c>
      <c r="C4032" s="480" t="s">
        <v>1007</v>
      </c>
      <c r="D4032" s="481" t="s">
        <v>299</v>
      </c>
      <c r="E4032" s="482">
        <v>104.95</v>
      </c>
      <c r="F4032" s="483" t="s">
        <v>292</v>
      </c>
      <c r="G4032" s="484">
        <v>0</v>
      </c>
      <c r="H4032" s="688" t="str">
        <f>IF(G4032=0,"",IF(F4032="Buy",IF(G4032=1,"plant","plants"),IF(F4032&gt;0.01,"warranty","Error")))</f>
        <v/>
      </c>
      <c r="I4032" s="485">
        <f>IF(H4032="free",0,IF(H4032="credit",((E4032*(F4032))*G4032*-1),IF(F4032="Buy",(E4032*G4032),((E4032*(1-F4032))*G4032))))</f>
        <v>0</v>
      </c>
      <c r="J4032" s="485">
        <f>IF(H4032="warranty",0,(I4032*(_xlfn.SINGLE(SalesTaxPercentage))))</f>
        <v>0</v>
      </c>
      <c r="K4032" s="715">
        <f t="shared" ref="K4032" si="3006">I4032+J4032</f>
        <v>0</v>
      </c>
      <c r="L4032" s="715"/>
      <c r="M4032" s="689" t="str">
        <f ca="1">IF(AND(G4032&gt;0,E4032=0),"WARNING - no PRICE inserted",IF(H4032="free","FREE ~ no charge this plant",IF(H4032="credit",CONCATENATE("-$",ROUND(K4032*(1-_xlfn.SINGLE(T2GDiscount))*-1,2)," CREDIT after discount"),IF(_xlfn.SINGLE(T2GDiscount)=0,"",IF(G4032=0,"",IF(F4032="Buy",CONCATENATE("$",ROUND(K4032*(1-_xlfn.SINGLE(T2GDiscount)),2)," with ",(_xlfn.SINGLE(T2GDiscount)*100),"% discount"),CONCATENATE("$",ROUND(K4032*(1-_xlfn.SINGLE(T2GDiscount)),2)," with ",((_xlfn.SINGLE(T2GDiscount)*100+F4032*100)-(_xlfn.SINGLE(T2GDiscount)*100*F4032)),IF(F4032&gt;0,"% discounts",IF(_xlfn.SINGLE(NoWarrantyDiscount)&gt;0,"% discounts","% discount")))))))))</f>
        <v/>
      </c>
      <c r="N4032" s="690"/>
      <c r="O4032" s="486"/>
      <c r="P4032" s="486"/>
      <c r="Q4032" s="486"/>
      <c r="R4032" s="486"/>
      <c r="S4032" s="486"/>
      <c r="T4032" s="102">
        <f t="shared" si="2975"/>
        <v>0</v>
      </c>
      <c r="U4032" s="78">
        <f>IF(NOT(ISNUMBER(G4032)), "", VLOOKUP(A4032,'Discount Lookup'!D:E,2,FALSE)*G4032)</f>
        <v>0</v>
      </c>
      <c r="V4032" s="78">
        <f>IF(NOT(ISNUMBER(G4032)), "", VLOOKUP(A4032,'Discount Lookup'!G:H,2,FALSE)*G4032)</f>
        <v>0</v>
      </c>
      <c r="W4032" s="102">
        <f t="shared" si="2976"/>
        <v>0</v>
      </c>
      <c r="X4032" s="102">
        <f t="shared" si="2977"/>
        <v>0</v>
      </c>
      <c r="Y4032" s="120" t="b">
        <f t="shared" si="2978"/>
        <v>0</v>
      </c>
      <c r="Z4032" s="117">
        <f t="shared" si="2979"/>
        <v>0</v>
      </c>
      <c r="AA4032" s="118"/>
      <c r="AB4032" s="118" t="str">
        <f t="shared" si="2980"/>
        <v/>
      </c>
      <c r="AC4032" s="712" t="str">
        <f>IF(AE4032="T2G","no charge",IF(AND(OR(PlanterYesMe="No",PlanterYesMe="N",PlanterYesMe="me"),H4032=""),"",IF(H4032="credit","NO install",IF(AND(K4032="",AE4032="me"),"EACH row",IF(AND(K4032="images",AE4032="me"),"EACH row",IF(D4032="","",IF(H4032="credit","",IF(AE4032="free","re-planting",IF(AE4032="me","   not ELP, by",IF(AND(OR(PlanterYesMe="Yes",PlanterYesMe="Y"),G4032&gt;0),(VLOOKUP(A4032,'Discount Lookup'!J:K,2)*G4032*(1-PlanterDiscount)*(1+PlanterDifficultyPercentage)),IF(AE4032="ELP",(VLOOKUP(A4032,'Discount Lookup'!J:K,2)*G4032*(1-PlanterDiscount)*(1+PlanterDifficultyPercentage)),IF(AE4032="free","re-planting",IF(G4032=0,"",IF(PlanterYesMe="",IF(AE4032="me","   not ELP, by",IF(AE4032="",IF(G4032&gt;0,(VLOOKUP(A4032,'Discount Lookup'!J:K,2)*G4032*(1-PlanterDiscount)*(1+PlanterDifficultyPercentage)),""),"")),"   not ELP, by"))))))))))))))</f>
        <v/>
      </c>
      <c r="AD4032" s="712"/>
      <c r="AE4032" s="513" t="str">
        <f t="shared" si="2981"/>
        <v/>
      </c>
      <c r="AF4032" s="713" t="str">
        <f t="shared" si="2982"/>
        <v/>
      </c>
      <c r="AG4032" s="713"/>
      <c r="AH4032" s="713"/>
      <c r="AI4032" s="112">
        <f>IF(H4032="credit",0,IF(AE4032="free",0,IF(AE4032="me",0,IF(G4032&gt;0,(VLOOKUP(A4032,'Discount Lookup'!J:K,2)*G4032),0))))</f>
        <v>0</v>
      </c>
      <c r="AJ4032" s="107" t="str">
        <f t="shared" ca="1" si="2983"/>
        <v/>
      </c>
      <c r="AK4032" s="714" t="str">
        <f t="shared" si="2984"/>
        <v/>
      </c>
      <c r="AL4032" s="714"/>
      <c r="AM4032" s="114" t="str">
        <f t="shared" si="2985"/>
        <v/>
      </c>
      <c r="AN4032" s="115"/>
      <c r="AO4032" s="116"/>
      <c r="AP4032" s="116"/>
      <c r="AQ4032" s="116"/>
      <c r="AR4032" s="116"/>
      <c r="AS4032" s="116"/>
      <c r="AT4032" s="116"/>
      <c r="AU4032" s="116"/>
      <c r="AV4032" s="78"/>
      <c r="AW4032" s="102"/>
      <c r="AX4032" s="78"/>
      <c r="AY4032" s="78"/>
      <c r="AZ4032" s="78"/>
      <c r="BA4032" s="78"/>
      <c r="BB4032" s="78"/>
      <c r="BC4032" s="78"/>
      <c r="BD4032" s="78"/>
      <c r="BE4032" s="465"/>
      <c r="BF4032" s="165" t="str">
        <f t="shared" si="2986"/>
        <v>https://www.google.com/search?tbm=isch&amp;q=7%20G4</v>
      </c>
      <c r="BG4032" s="165" t="str">
        <f t="shared" si="2987"/>
        <v>T</v>
      </c>
      <c r="BH4032" s="65"/>
      <c r="BI4032" s="65"/>
      <c r="BJ4032" s="65"/>
      <c r="BK4032" s="65"/>
      <c r="BL4032" s="99"/>
      <c r="BM4032" s="99"/>
      <c r="BN4032" s="99"/>
    </row>
    <row r="4033" spans="1:66" s="51" customFormat="1" ht="17.25" thickBot="1" x14ac:dyDescent="0.3">
      <c r="A4033" s="508" t="s">
        <v>4820</v>
      </c>
      <c r="B4033" s="487"/>
      <c r="C4033" s="707"/>
      <c r="D4033" s="487"/>
      <c r="E4033" s="487"/>
      <c r="F4033" s="488"/>
      <c r="G4033" s="489"/>
      <c r="H4033" s="487"/>
      <c r="I4033" s="490"/>
      <c r="J4033" s="490"/>
      <c r="K4033" s="491"/>
      <c r="L4033" s="547"/>
      <c r="M4033" s="528"/>
      <c r="N4033" s="492"/>
      <c r="O4033" s="493"/>
      <c r="P4033" s="494"/>
      <c r="Q4033" s="492"/>
      <c r="R4033" s="492"/>
      <c r="S4033" s="699" t="s">
        <v>5268</v>
      </c>
      <c r="T4033" s="102">
        <f t="shared" si="2975"/>
        <v>0</v>
      </c>
      <c r="U4033" s="78" t="str">
        <f>IF(NOT(ISNUMBER(G4033)), "", VLOOKUP(A4033,'Discount Lookup'!D:E,2,FALSE)*G4033)</f>
        <v/>
      </c>
      <c r="V4033" s="78" t="str">
        <f>IF(NOT(ISNUMBER(G4033)), "", VLOOKUP(A4033,'Discount Lookup'!G:H,2,FALSE)*G4033)</f>
        <v/>
      </c>
      <c r="W4033" s="102">
        <f t="shared" si="2976"/>
        <v>0</v>
      </c>
      <c r="X4033" s="102">
        <f t="shared" si="2977"/>
        <v>0</v>
      </c>
      <c r="Y4033" s="120" t="b">
        <f t="shared" si="2978"/>
        <v>0</v>
      </c>
      <c r="Z4033" s="117">
        <f t="shared" si="2979"/>
        <v>0</v>
      </c>
      <c r="AA4033" s="118"/>
      <c r="AB4033" s="118" t="str">
        <f t="shared" si="2980"/>
        <v/>
      </c>
      <c r="AC4033" s="712" t="str">
        <f>IF(AE4033="T2G","no charge",IF(AND(OR(PlanterYesMe="No",PlanterYesMe="N",PlanterYesMe="me"),H4033=""),"",IF(H4033="credit","NO install",IF(AND(K4033="",AE4033="me"),"EACH row",IF(AND(K4033="images",AE4033="me"),"EACH row",IF(D4033="","",IF(H4033="credit","",IF(AE4033="free","re-planting",IF(AE4033="me","   not ELP, by",IF(AND(OR(PlanterYesMe="Yes",PlanterYesMe="Y"),G4033&gt;0),(VLOOKUP(A4033,'Discount Lookup'!J:K,2)*G4033*(1-PlanterDiscount)*(1+PlanterDifficultyPercentage)),IF(AE4033="ELP",(VLOOKUP(A4033,'Discount Lookup'!J:K,2)*G4033*(1-PlanterDiscount)*(1+PlanterDifficultyPercentage)),IF(AE4033="free","re-planting",IF(G4033=0,"",IF(PlanterYesMe="",IF(AE4033="me","   not ELP, by",IF(AE4033="",IF(G4033&gt;0,(VLOOKUP(A4033,'Discount Lookup'!J:K,2)*G4033*(1-PlanterDiscount)*(1+PlanterDifficultyPercentage)),""),"")),"   not ELP, by"))))))))))))))</f>
        <v/>
      </c>
      <c r="AD4033" s="712"/>
      <c r="AE4033" s="513" t="str">
        <f t="shared" si="2981"/>
        <v/>
      </c>
      <c r="AF4033" s="713" t="str">
        <f t="shared" si="2982"/>
        <v/>
      </c>
      <c r="AG4033" s="713"/>
      <c r="AH4033" s="713"/>
      <c r="AI4033" s="112">
        <f>IF(H4033="credit",0,IF(AE4033="free",0,IF(AE4033="me",0,IF(G4033&gt;0,(VLOOKUP(A4033,'Discount Lookup'!J:K,2)*G4033),0))))</f>
        <v>0</v>
      </c>
      <c r="AJ4033" s="107" t="str">
        <f t="shared" ca="1" si="2983"/>
        <v/>
      </c>
      <c r="AK4033" s="714" t="str">
        <f t="shared" si="2984"/>
        <v/>
      </c>
      <c r="AL4033" s="714"/>
      <c r="AM4033" s="114" t="str">
        <f t="shared" si="2985"/>
        <v/>
      </c>
      <c r="AN4033" s="115"/>
      <c r="AO4033" s="116"/>
      <c r="AP4033" s="116"/>
      <c r="AQ4033" s="116"/>
      <c r="AR4033" s="116"/>
      <c r="AS4033" s="116"/>
      <c r="AT4033" s="116"/>
      <c r="AU4033" s="116"/>
      <c r="AV4033" s="78"/>
      <c r="AW4033" s="102"/>
      <c r="AX4033" s="78"/>
      <c r="AY4033" s="78"/>
      <c r="AZ4033" s="78"/>
      <c r="BA4033" s="78"/>
      <c r="BB4033" s="78"/>
      <c r="BC4033" s="78"/>
      <c r="BD4033" s="78"/>
      <c r="BE4033" s="465"/>
      <c r="BF4033" s="165" t="str">
        <f t="shared" si="2986"/>
        <v>https://www.google.com/search?tbm=isch&amp;q=North%20Pole%20Arborvitae%20will%20bronze%20out%20in%20winter%20much%20less%20than%20similar%20Arborvitae%20</v>
      </c>
      <c r="BG4033" s="165" t="str">
        <f t="shared" si="2987"/>
        <v>N</v>
      </c>
      <c r="BH4033" s="65"/>
      <c r="BI4033" s="65"/>
      <c r="BJ4033" s="65"/>
      <c r="BK4033" s="65"/>
      <c r="BL4033" s="99"/>
      <c r="BM4033" s="99"/>
      <c r="BN4033" s="99"/>
    </row>
    <row r="4034" spans="1:66" s="51" customFormat="1" ht="18" x14ac:dyDescent="0.25">
      <c r="A4034" s="507" t="s">
        <v>4331</v>
      </c>
      <c r="B4034" s="470"/>
      <c r="C4034" s="706"/>
      <c r="D4034" s="471" t="s">
        <v>5836</v>
      </c>
      <c r="E4034" s="472"/>
      <c r="F4034" s="472"/>
      <c r="G4034" s="472"/>
      <c r="H4034" s="622" t="s">
        <v>1104</v>
      </c>
      <c r="I4034" s="473" t="s">
        <v>3646</v>
      </c>
      <c r="J4034" s="472"/>
      <c r="K4034" s="472"/>
      <c r="L4034" s="561"/>
      <c r="M4034" s="698" t="s">
        <v>5246</v>
      </c>
      <c r="N4034" s="692" t="str">
        <f>IF(AND(ISTEXT($A4034), ISERROR($A4034+0)), HYPERLINK($BF4034, "Images"), "")</f>
        <v>Images</v>
      </c>
      <c r="O4034" s="694" t="s">
        <v>5264</v>
      </c>
      <c r="P4034" s="475"/>
      <c r="Q4034" s="476"/>
      <c r="R4034" s="476"/>
      <c r="S4034" s="477" t="s">
        <v>294</v>
      </c>
      <c r="T4034" s="102">
        <f t="shared" si="2975"/>
        <v>0</v>
      </c>
      <c r="U4034" s="78" t="str">
        <f>IF(NOT(ISNUMBER(G4034)), "", VLOOKUP(A4034,'Discount Lookup'!D:E,2,FALSE)*G4034)</f>
        <v/>
      </c>
      <c r="V4034" s="78" t="str">
        <f>IF(NOT(ISNUMBER(G4034)), "", VLOOKUP(A4034,'Discount Lookup'!G:H,2,FALSE)*G4034)</f>
        <v/>
      </c>
      <c r="W4034" s="102">
        <f t="shared" si="2976"/>
        <v>0</v>
      </c>
      <c r="X4034" s="102" t="str">
        <f t="shared" si="2977"/>
        <v>Bluish-Green foliage</v>
      </c>
      <c r="Y4034" s="120" t="b">
        <f t="shared" si="2978"/>
        <v>0</v>
      </c>
      <c r="Z4034" s="117">
        <f t="shared" si="2979"/>
        <v>0</v>
      </c>
      <c r="AA4034" s="118"/>
      <c r="AB4034" s="118" t="str">
        <f t="shared" si="2980"/>
        <v/>
      </c>
      <c r="AC4034" s="712" t="str">
        <f>IF(AE4034="T2G","no charge",IF(AND(OR(PlanterYesMe="No",PlanterYesMe="N",PlanterYesMe="me"),H4034=""),"",IF(H4034="credit","NO install",IF(AND(K4034="",AE4034="me"),"EACH row",IF(AND(K4034="images",AE4034="me"),"EACH row",IF(D4034="","",IF(H4034="credit","",IF(AE4034="free","re-planting",IF(AE4034="me","   not ELP, by",IF(AND(OR(PlanterYesMe="Yes",PlanterYesMe="Y"),G4034&gt;0),(VLOOKUP(A4034,'Discount Lookup'!J:K,2)*G4034*(1-PlanterDiscount)*(1+PlanterDifficultyPercentage)),IF(AE4034="ELP",(VLOOKUP(A4034,'Discount Lookup'!J:K,2)*G4034*(1-PlanterDiscount)*(1+PlanterDifficultyPercentage)),IF(AE4034="free","re-planting",IF(G4034=0,"",IF(PlanterYesMe="",IF(AE4034="me","   not ELP, by",IF(AE4034="",IF(G4034&gt;0,(VLOOKUP(A4034,'Discount Lookup'!J:K,2)*G4034*(1-PlanterDiscount)*(1+PlanterDifficultyPercentage)),""),"")),"   not ELP, by"))))))))))))))</f>
        <v/>
      </c>
      <c r="AD4034" s="712"/>
      <c r="AE4034" s="513" t="str">
        <f t="shared" si="2981"/>
        <v/>
      </c>
      <c r="AF4034" s="713" t="str">
        <f t="shared" si="2982"/>
        <v/>
      </c>
      <c r="AG4034" s="713"/>
      <c r="AH4034" s="713"/>
      <c r="AI4034" s="112">
        <f>IF(H4034="credit",0,IF(AE4034="free",0,IF(AE4034="me",0,IF(G4034&gt;0,(VLOOKUP(A4034,'Discount Lookup'!J:K,2)*G4034),0))))</f>
        <v>0</v>
      </c>
      <c r="AJ4034" s="107" t="str">
        <f t="shared" ca="1" si="2983"/>
        <v/>
      </c>
      <c r="AK4034" s="714" t="str">
        <f t="shared" si="2984"/>
        <v/>
      </c>
      <c r="AL4034" s="714"/>
      <c r="AM4034" s="114" t="str">
        <f t="shared" si="2985"/>
        <v/>
      </c>
      <c r="AN4034" s="115"/>
      <c r="AO4034" s="116"/>
      <c r="AP4034" s="116"/>
      <c r="AQ4034" s="116"/>
      <c r="AR4034" s="116"/>
      <c r="AS4034" s="116"/>
      <c r="AT4034" s="116"/>
      <c r="AU4034" s="116"/>
      <c r="AV4034" s="78"/>
      <c r="AW4034" s="102"/>
      <c r="AX4034" s="78"/>
      <c r="AY4034" s="78"/>
      <c r="AZ4034" s="78"/>
      <c r="BA4034" s="78"/>
      <c r="BB4034" s="78"/>
      <c r="BC4034" s="78"/>
      <c r="BD4034" s="78"/>
      <c r="BE4034" s="465"/>
      <c r="BF4034" s="165" t="str">
        <f t="shared" si="2986"/>
        <v>https://www.google.com/search?tbm=isch&amp;q=Thuja%20occidentalis%20%27Bobozam%27%20Mr.%20Bowling%20Ball%E2%84%A2%20Arborvitae</v>
      </c>
      <c r="BG4034" s="165" t="str">
        <f t="shared" si="2987"/>
        <v>T</v>
      </c>
      <c r="BH4034" s="65"/>
      <c r="BI4034" s="65"/>
      <c r="BJ4034" s="65"/>
      <c r="BK4034" s="65"/>
      <c r="BL4034" s="99"/>
      <c r="BM4034" s="99"/>
      <c r="BN4034" s="99"/>
    </row>
    <row r="4035" spans="1:66" s="51" customFormat="1" ht="27" x14ac:dyDescent="0.25">
      <c r="A4035" s="478">
        <v>3</v>
      </c>
      <c r="B4035" s="479" t="s">
        <v>291</v>
      </c>
      <c r="C4035" s="480" t="s">
        <v>5024</v>
      </c>
      <c r="D4035" s="481" t="s">
        <v>311</v>
      </c>
      <c r="E4035" s="482">
        <v>35.950000000000003</v>
      </c>
      <c r="F4035" s="483" t="s">
        <v>292</v>
      </c>
      <c r="G4035" s="484">
        <v>0</v>
      </c>
      <c r="H4035" s="688" t="str">
        <f>IF(G4035=0,"",IF(F4035="Buy",IF(G4035=1,"plant","plants"),IF(F4035&gt;0.01,"warranty","Error")))</f>
        <v/>
      </c>
      <c r="I4035" s="485">
        <f>IF(H4035="free",0,IF(H4035="credit",((E4035*(F4035))*G4035*-1),IF(F4035="Buy",(E4035*G4035),((E4035*(1-F4035))*G4035))))</f>
        <v>0</v>
      </c>
      <c r="J4035" s="485">
        <f>IF(H4035="warranty",0,(I4035*(_xlfn.SINGLE(SalesTaxPercentage))))</f>
        <v>0</v>
      </c>
      <c r="K4035" s="715">
        <f t="shared" ref="K4035" si="3007">I4035+J4035</f>
        <v>0</v>
      </c>
      <c r="L4035" s="715"/>
      <c r="M4035" s="689" t="str">
        <f ca="1">IF(AND(G4035&gt;0,E4035=0),"WARNING - no PRICE inserted",IF(H4035="free","FREE ~ no charge this plant",IF(H4035="credit",CONCATENATE("-$",ROUND(K4035*(1-_xlfn.SINGLE(T2GDiscount))*-1,2)," CREDIT after discount"),IF(_xlfn.SINGLE(T2GDiscount)=0,"",IF(G4035=0,"",IF(F4035="Buy",CONCATENATE("$",ROUND(K4035*(1-_xlfn.SINGLE(T2GDiscount)),2)," with ",(_xlfn.SINGLE(T2GDiscount)*100),"% discount"),CONCATENATE("$",ROUND(K4035*(1-_xlfn.SINGLE(T2GDiscount)),2)," with ",((_xlfn.SINGLE(T2GDiscount)*100+F4035*100)-(_xlfn.SINGLE(T2GDiscount)*100*F4035)),IF(F4035&gt;0,"% discounts",IF(_xlfn.SINGLE(NoWarrantyDiscount)&gt;0,"% discounts","% discount")))))))))</f>
        <v/>
      </c>
      <c r="N4035" s="690"/>
      <c r="O4035" s="486"/>
      <c r="P4035" s="486"/>
      <c r="Q4035" s="486"/>
      <c r="R4035" s="486"/>
      <c r="S4035" s="486"/>
      <c r="T4035" s="102">
        <f t="shared" si="2975"/>
        <v>0</v>
      </c>
      <c r="U4035" s="78">
        <f>IF(NOT(ISNUMBER(G4035)), "", VLOOKUP(A4035,'Discount Lookup'!D:E,2,FALSE)*G4035)</f>
        <v>0</v>
      </c>
      <c r="V4035" s="78">
        <f>IF(NOT(ISNUMBER(G4035)), "", VLOOKUP(A4035,'Discount Lookup'!G:H,2,FALSE)*G4035)</f>
        <v>0</v>
      </c>
      <c r="W4035" s="102">
        <f t="shared" si="2976"/>
        <v>0</v>
      </c>
      <c r="X4035" s="102">
        <f t="shared" si="2977"/>
        <v>0</v>
      </c>
      <c r="Y4035" s="120" t="b">
        <f t="shared" si="2978"/>
        <v>0</v>
      </c>
      <c r="Z4035" s="117">
        <f t="shared" si="2979"/>
        <v>0</v>
      </c>
      <c r="AA4035" s="118"/>
      <c r="AB4035" s="118" t="str">
        <f t="shared" si="2980"/>
        <v/>
      </c>
      <c r="AC4035" s="712" t="str">
        <f>IF(AE4035="T2G","no charge",IF(AND(OR(PlanterYesMe="No",PlanterYesMe="N",PlanterYesMe="me"),H4035=""),"",IF(H4035="credit","NO install",IF(AND(K4035="",AE4035="me"),"EACH row",IF(AND(K4035="images",AE4035="me"),"EACH row",IF(D4035="","",IF(H4035="credit","",IF(AE4035="free","re-planting",IF(AE4035="me","   not ELP, by",IF(AND(OR(PlanterYesMe="Yes",PlanterYesMe="Y"),G4035&gt;0),(VLOOKUP(A4035,'Discount Lookup'!J:K,2)*G4035*(1-PlanterDiscount)*(1+PlanterDifficultyPercentage)),IF(AE4035="ELP",(VLOOKUP(A4035,'Discount Lookup'!J:K,2)*G4035*(1-PlanterDiscount)*(1+PlanterDifficultyPercentage)),IF(AE4035="free","re-planting",IF(G4035=0,"",IF(PlanterYesMe="",IF(AE4035="me","   not ELP, by",IF(AE4035="",IF(G4035&gt;0,(VLOOKUP(A4035,'Discount Lookup'!J:K,2)*G4035*(1-PlanterDiscount)*(1+PlanterDifficultyPercentage)),""),"")),"   not ELP, by"))))))))))))))</f>
        <v/>
      </c>
      <c r="AD4035" s="712"/>
      <c r="AE4035" s="513" t="str">
        <f t="shared" si="2981"/>
        <v/>
      </c>
      <c r="AF4035" s="713" t="str">
        <f t="shared" si="2982"/>
        <v/>
      </c>
      <c r="AG4035" s="713"/>
      <c r="AH4035" s="713"/>
      <c r="AI4035" s="112">
        <f>IF(H4035="credit",0,IF(AE4035="free",0,IF(AE4035="me",0,IF(G4035&gt;0,(VLOOKUP(A4035,'Discount Lookup'!J:K,2)*G4035),0))))</f>
        <v>0</v>
      </c>
      <c r="AJ4035" s="107" t="str">
        <f t="shared" ca="1" si="2983"/>
        <v/>
      </c>
      <c r="AK4035" s="714" t="str">
        <f t="shared" si="2984"/>
        <v/>
      </c>
      <c r="AL4035" s="714"/>
      <c r="AM4035" s="114" t="str">
        <f t="shared" si="2985"/>
        <v/>
      </c>
      <c r="AN4035" s="115"/>
      <c r="AO4035" s="116"/>
      <c r="AP4035" s="116"/>
      <c r="AQ4035" s="116"/>
      <c r="AR4035" s="116"/>
      <c r="AS4035" s="116"/>
      <c r="AT4035" s="116"/>
      <c r="AU4035" s="116"/>
      <c r="AV4035" s="78"/>
      <c r="AW4035" s="102"/>
      <c r="AX4035" s="78"/>
      <c r="AY4035" s="78"/>
      <c r="AZ4035" s="78"/>
      <c r="BA4035" s="78"/>
      <c r="BB4035" s="78"/>
      <c r="BC4035" s="78"/>
      <c r="BD4035" s="78"/>
      <c r="BE4035" s="465"/>
      <c r="BF4035" s="165" t="str">
        <f t="shared" si="2986"/>
        <v>https://www.google.com/search?tbm=isch&amp;q=3%20G5</v>
      </c>
      <c r="BG4035" s="165" t="str">
        <f t="shared" si="2987"/>
        <v>T</v>
      </c>
      <c r="BH4035" s="65"/>
      <c r="BI4035" s="65"/>
      <c r="BJ4035" s="65"/>
      <c r="BK4035" s="65"/>
      <c r="BL4035" s="99"/>
      <c r="BM4035" s="99"/>
      <c r="BN4035" s="99"/>
    </row>
    <row r="4036" spans="1:66" s="51" customFormat="1" ht="15.75" x14ac:dyDescent="0.25">
      <c r="A4036" s="478">
        <v>7</v>
      </c>
      <c r="B4036" s="479" t="s">
        <v>291</v>
      </c>
      <c r="C4036" s="480" t="s">
        <v>4332</v>
      </c>
      <c r="D4036" s="481" t="s">
        <v>299</v>
      </c>
      <c r="E4036" s="482">
        <v>100.95</v>
      </c>
      <c r="F4036" s="483" t="s">
        <v>292</v>
      </c>
      <c r="G4036" s="484">
        <v>0</v>
      </c>
      <c r="H4036" s="688" t="str">
        <f>IF(G4036=0,"",IF(F4036="Buy",IF(G4036=1,"plant","plants"),IF(F4036&gt;0.01,"warranty","Error")))</f>
        <v/>
      </c>
      <c r="I4036" s="485">
        <f>IF(H4036="free",0,IF(H4036="credit",((E4036*(F4036))*G4036*-1),IF(F4036="Buy",(E4036*G4036),((E4036*(1-F4036))*G4036))))</f>
        <v>0</v>
      </c>
      <c r="J4036" s="485">
        <f>IF(H4036="warranty",0,(I4036*(_xlfn.SINGLE(SalesTaxPercentage))))</f>
        <v>0</v>
      </c>
      <c r="K4036" s="715">
        <f t="shared" ref="K4036" si="3008">I4036+J4036</f>
        <v>0</v>
      </c>
      <c r="L4036" s="715"/>
      <c r="M4036" s="689" t="str">
        <f ca="1">IF(AND(G4036&gt;0,E4036=0),"WARNING - no PRICE inserted",IF(H4036="free","FREE ~ no charge this plant",IF(H4036="credit",CONCATENATE("-$",ROUND(K4036*(1-_xlfn.SINGLE(T2GDiscount))*-1,2)," CREDIT after discount"),IF(_xlfn.SINGLE(T2GDiscount)=0,"",IF(G4036=0,"",IF(F4036="Buy",CONCATENATE("$",ROUND(K4036*(1-_xlfn.SINGLE(T2GDiscount)),2)," with ",(_xlfn.SINGLE(T2GDiscount)*100),"% discount"),CONCATENATE("$",ROUND(K4036*(1-_xlfn.SINGLE(T2GDiscount)),2)," with ",((_xlfn.SINGLE(T2GDiscount)*100+F4036*100)-(_xlfn.SINGLE(T2GDiscount)*100*F4036)),IF(F4036&gt;0,"% discounts",IF(_xlfn.SINGLE(NoWarrantyDiscount)&gt;0,"% discounts","% discount")))))))))</f>
        <v/>
      </c>
      <c r="N4036" s="690"/>
      <c r="O4036" s="486"/>
      <c r="P4036" s="486"/>
      <c r="Q4036" s="486"/>
      <c r="R4036" s="486"/>
      <c r="S4036" s="486"/>
      <c r="T4036" s="102">
        <f t="shared" si="2975"/>
        <v>0</v>
      </c>
      <c r="U4036" s="78">
        <f>IF(NOT(ISNUMBER(G4036)), "", VLOOKUP(A4036,'Discount Lookup'!D:E,2,FALSE)*G4036)</f>
        <v>0</v>
      </c>
      <c r="V4036" s="78">
        <f>IF(NOT(ISNUMBER(G4036)), "", VLOOKUP(A4036,'Discount Lookup'!G:H,2,FALSE)*G4036)</f>
        <v>0</v>
      </c>
      <c r="W4036" s="102">
        <f t="shared" si="2976"/>
        <v>0</v>
      </c>
      <c r="X4036" s="102">
        <f t="shared" si="2977"/>
        <v>0</v>
      </c>
      <c r="Y4036" s="120" t="b">
        <f t="shared" si="2978"/>
        <v>0</v>
      </c>
      <c r="Z4036" s="117">
        <f t="shared" si="2979"/>
        <v>0</v>
      </c>
      <c r="AA4036" s="118"/>
      <c r="AB4036" s="118" t="str">
        <f t="shared" si="2980"/>
        <v/>
      </c>
      <c r="AC4036" s="712" t="str">
        <f>IF(AE4036="T2G","no charge",IF(AND(OR(PlanterYesMe="No",PlanterYesMe="N",PlanterYesMe="me"),H4036=""),"",IF(H4036="credit","NO install",IF(AND(K4036="",AE4036="me"),"EACH row",IF(AND(K4036="images",AE4036="me"),"EACH row",IF(D4036="","",IF(H4036="credit","",IF(AE4036="free","re-planting",IF(AE4036="me","   not ELP, by",IF(AND(OR(PlanterYesMe="Yes",PlanterYesMe="Y"),G4036&gt;0),(VLOOKUP(A4036,'Discount Lookup'!J:K,2)*G4036*(1-PlanterDiscount)*(1+PlanterDifficultyPercentage)),IF(AE4036="ELP",(VLOOKUP(A4036,'Discount Lookup'!J:K,2)*G4036*(1-PlanterDiscount)*(1+PlanterDifficultyPercentage)),IF(AE4036="free","re-planting",IF(G4036=0,"",IF(PlanterYesMe="",IF(AE4036="me","   not ELP, by",IF(AE4036="",IF(G4036&gt;0,(VLOOKUP(A4036,'Discount Lookup'!J:K,2)*G4036*(1-PlanterDiscount)*(1+PlanterDifficultyPercentage)),""),"")),"   not ELP, by"))))))))))))))</f>
        <v/>
      </c>
      <c r="AD4036" s="712"/>
      <c r="AE4036" s="513" t="str">
        <f t="shared" si="2981"/>
        <v/>
      </c>
      <c r="AF4036" s="713" t="str">
        <f t="shared" si="2982"/>
        <v/>
      </c>
      <c r="AG4036" s="713"/>
      <c r="AH4036" s="713"/>
      <c r="AI4036" s="112">
        <f>IF(H4036="credit",0,IF(AE4036="free",0,IF(AE4036="me",0,IF(G4036&gt;0,(VLOOKUP(A4036,'Discount Lookup'!J:K,2)*G4036),0))))</f>
        <v>0</v>
      </c>
      <c r="AJ4036" s="107" t="str">
        <f t="shared" ca="1" si="2983"/>
        <v/>
      </c>
      <c r="AK4036" s="714" t="str">
        <f t="shared" si="2984"/>
        <v/>
      </c>
      <c r="AL4036" s="714"/>
      <c r="AM4036" s="114" t="str">
        <f t="shared" si="2985"/>
        <v/>
      </c>
      <c r="AN4036" s="115"/>
      <c r="AO4036" s="116"/>
      <c r="AP4036" s="116"/>
      <c r="AQ4036" s="116"/>
      <c r="AR4036" s="116"/>
      <c r="AS4036" s="116"/>
      <c r="AT4036" s="116"/>
      <c r="AU4036" s="116"/>
      <c r="AV4036" s="78"/>
      <c r="AW4036" s="102"/>
      <c r="AX4036" s="78"/>
      <c r="AY4036" s="78"/>
      <c r="AZ4036" s="78"/>
      <c r="BA4036" s="78"/>
      <c r="BB4036" s="78"/>
      <c r="BC4036" s="78"/>
      <c r="BD4036" s="78"/>
      <c r="BE4036" s="465"/>
      <c r="BF4036" s="165" t="str">
        <f t="shared" si="2986"/>
        <v>https://www.google.com/search?tbm=isch&amp;q=7%20G4</v>
      </c>
      <c r="BG4036" s="165" t="str">
        <f t="shared" si="2987"/>
        <v>T</v>
      </c>
      <c r="BH4036" s="65"/>
      <c r="BI4036" s="65"/>
      <c r="BJ4036" s="65"/>
      <c r="BK4036" s="65"/>
      <c r="BL4036" s="99"/>
      <c r="BM4036" s="99"/>
      <c r="BN4036" s="99"/>
    </row>
    <row r="4037" spans="1:66" s="51" customFormat="1" ht="15.75" x14ac:dyDescent="0.25">
      <c r="A4037" s="478">
        <v>7</v>
      </c>
      <c r="B4037" s="479" t="s">
        <v>291</v>
      </c>
      <c r="C4037" s="480" t="s">
        <v>4333</v>
      </c>
      <c r="D4037" s="481" t="s">
        <v>293</v>
      </c>
      <c r="E4037" s="482">
        <v>113.95</v>
      </c>
      <c r="F4037" s="483" t="s">
        <v>292</v>
      </c>
      <c r="G4037" s="484">
        <v>0</v>
      </c>
      <c r="H4037" s="688" t="str">
        <f>IF(G4037=0,"",IF(F4037="Buy",IF(G4037=1,"plant","plants"),IF(F4037&gt;0.01,"warranty","Error")))</f>
        <v/>
      </c>
      <c r="I4037" s="485">
        <f>IF(H4037="free",0,IF(H4037="credit",((E4037*(F4037))*G4037*-1),IF(F4037="Buy",(E4037*G4037),((E4037*(1-F4037))*G4037))))</f>
        <v>0</v>
      </c>
      <c r="J4037" s="485">
        <f>IF(H4037="warranty",0,(I4037*(_xlfn.SINGLE(SalesTaxPercentage))))</f>
        <v>0</v>
      </c>
      <c r="K4037" s="715">
        <f t="shared" ref="K4037" si="3009">I4037+J4037</f>
        <v>0</v>
      </c>
      <c r="L4037" s="715"/>
      <c r="M4037" s="689" t="str">
        <f ca="1">IF(AND(G4037&gt;0,E4037=0),"WARNING - no PRICE inserted",IF(H4037="free","FREE ~ no charge this plant",IF(H4037="credit",CONCATENATE("-$",ROUND(K4037*(1-_xlfn.SINGLE(T2GDiscount))*-1,2)," CREDIT after discount"),IF(_xlfn.SINGLE(T2GDiscount)=0,"",IF(G4037=0,"",IF(F4037="Buy",CONCATENATE("$",ROUND(K4037*(1-_xlfn.SINGLE(T2GDiscount)),2)," with ",(_xlfn.SINGLE(T2GDiscount)*100),"% discount"),CONCATENATE("$",ROUND(K4037*(1-_xlfn.SINGLE(T2GDiscount)),2)," with ",((_xlfn.SINGLE(T2GDiscount)*100+F4037*100)-(_xlfn.SINGLE(T2GDiscount)*100*F4037)),IF(F4037&gt;0,"% discounts",IF(_xlfn.SINGLE(NoWarrantyDiscount)&gt;0,"% discounts","% discount")))))))))</f>
        <v/>
      </c>
      <c r="N4037" s="690"/>
      <c r="O4037" s="486"/>
      <c r="P4037" s="486"/>
      <c r="Q4037" s="486"/>
      <c r="R4037" s="486"/>
      <c r="S4037" s="486"/>
      <c r="T4037" s="102">
        <f t="shared" si="2975"/>
        <v>0</v>
      </c>
      <c r="U4037" s="78">
        <f>IF(NOT(ISNUMBER(G4037)), "", VLOOKUP(A4037,'Discount Lookup'!D:E,2,FALSE)*G4037)</f>
        <v>0</v>
      </c>
      <c r="V4037" s="78">
        <f>IF(NOT(ISNUMBER(G4037)), "", VLOOKUP(A4037,'Discount Lookup'!G:H,2,FALSE)*G4037)</f>
        <v>0</v>
      </c>
      <c r="W4037" s="102">
        <f t="shared" si="2976"/>
        <v>0</v>
      </c>
      <c r="X4037" s="102">
        <f t="shared" si="2977"/>
        <v>0</v>
      </c>
      <c r="Y4037" s="120" t="b">
        <f t="shared" si="2978"/>
        <v>0</v>
      </c>
      <c r="Z4037" s="117">
        <f t="shared" si="2979"/>
        <v>0</v>
      </c>
      <c r="AA4037" s="118"/>
      <c r="AB4037" s="118" t="str">
        <f t="shared" si="2980"/>
        <v/>
      </c>
      <c r="AC4037" s="712" t="str">
        <f>IF(AE4037="T2G","no charge",IF(AND(OR(PlanterYesMe="No",PlanterYesMe="N",PlanterYesMe="me"),H4037=""),"",IF(H4037="credit","NO install",IF(AND(K4037="",AE4037="me"),"EACH row",IF(AND(K4037="images",AE4037="me"),"EACH row",IF(D4037="","",IF(H4037="credit","",IF(AE4037="free","re-planting",IF(AE4037="me","   not ELP, by",IF(AND(OR(PlanterYesMe="Yes",PlanterYesMe="Y"),G4037&gt;0),(VLOOKUP(A4037,'Discount Lookup'!J:K,2)*G4037*(1-PlanterDiscount)*(1+PlanterDifficultyPercentage)),IF(AE4037="ELP",(VLOOKUP(A4037,'Discount Lookup'!J:K,2)*G4037*(1-PlanterDiscount)*(1+PlanterDifficultyPercentage)),IF(AE4037="free","re-planting",IF(G4037=0,"",IF(PlanterYesMe="",IF(AE4037="me","   not ELP, by",IF(AE4037="",IF(G4037&gt;0,(VLOOKUP(A4037,'Discount Lookup'!J:K,2)*G4037*(1-PlanterDiscount)*(1+PlanterDifficultyPercentage)),""),"")),"   not ELP, by"))))))))))))))</f>
        <v/>
      </c>
      <c r="AD4037" s="712"/>
      <c r="AE4037" s="513" t="str">
        <f t="shared" si="2981"/>
        <v/>
      </c>
      <c r="AF4037" s="713" t="str">
        <f t="shared" si="2982"/>
        <v/>
      </c>
      <c r="AG4037" s="713"/>
      <c r="AH4037" s="713"/>
      <c r="AI4037" s="112">
        <f>IF(H4037="credit",0,IF(AE4037="free",0,IF(AE4037="me",0,IF(G4037&gt;0,(VLOOKUP(A4037,'Discount Lookup'!J:K,2)*G4037),0))))</f>
        <v>0</v>
      </c>
      <c r="AJ4037" s="107" t="str">
        <f t="shared" ca="1" si="2983"/>
        <v/>
      </c>
      <c r="AK4037" s="714" t="str">
        <f t="shared" si="2984"/>
        <v/>
      </c>
      <c r="AL4037" s="714"/>
      <c r="AM4037" s="114" t="str">
        <f t="shared" si="2985"/>
        <v/>
      </c>
      <c r="AN4037" s="115"/>
      <c r="AO4037" s="116"/>
      <c r="AP4037" s="116"/>
      <c r="AQ4037" s="116"/>
      <c r="AR4037" s="116"/>
      <c r="AS4037" s="116"/>
      <c r="AT4037" s="116"/>
      <c r="AU4037" s="116"/>
      <c r="AV4037" s="78"/>
      <c r="AW4037" s="102"/>
      <c r="AX4037" s="78"/>
      <c r="AY4037" s="78"/>
      <c r="AZ4037" s="78"/>
      <c r="BA4037" s="78"/>
      <c r="BB4037" s="78"/>
      <c r="BC4037" s="78"/>
      <c r="BD4037" s="78"/>
      <c r="BE4037" s="465"/>
      <c r="BF4037" s="165" t="str">
        <f t="shared" si="2986"/>
        <v>https://www.google.com/search?tbm=isch&amp;q=7%20G6</v>
      </c>
      <c r="BG4037" s="165" t="str">
        <f t="shared" si="2987"/>
        <v>T</v>
      </c>
      <c r="BH4037" s="65"/>
      <c r="BI4037" s="65"/>
      <c r="BJ4037" s="65"/>
      <c r="BK4037" s="65"/>
      <c r="BL4037" s="99"/>
      <c r="BM4037" s="99"/>
      <c r="BN4037" s="99"/>
    </row>
    <row r="4038" spans="1:66" s="51" customFormat="1" ht="15.75" x14ac:dyDescent="0.25">
      <c r="A4038" s="478">
        <v>15</v>
      </c>
      <c r="B4038" s="479" t="s">
        <v>291</v>
      </c>
      <c r="C4038" s="480" t="s">
        <v>4334</v>
      </c>
      <c r="D4038" s="481" t="s">
        <v>299</v>
      </c>
      <c r="E4038" s="482">
        <v>169.95</v>
      </c>
      <c r="F4038" s="483" t="s">
        <v>292</v>
      </c>
      <c r="G4038" s="484">
        <v>0</v>
      </c>
      <c r="H4038" s="688" t="str">
        <f>IF(G4038=0,"",IF(F4038="Buy",IF(G4038=1,"plant","plants"),IF(F4038&gt;0.01,"warranty","Error")))</f>
        <v/>
      </c>
      <c r="I4038" s="485">
        <f>IF(H4038="free",0,IF(H4038="credit",((E4038*(F4038))*G4038*-1),IF(F4038="Buy",(E4038*G4038),((E4038*(1-F4038))*G4038))))</f>
        <v>0</v>
      </c>
      <c r="J4038" s="485">
        <f>IF(H4038="warranty",0,(I4038*(_xlfn.SINGLE(SalesTaxPercentage))))</f>
        <v>0</v>
      </c>
      <c r="K4038" s="715">
        <f t="shared" ref="K4038" si="3010">I4038+J4038</f>
        <v>0</v>
      </c>
      <c r="L4038" s="715"/>
      <c r="M4038" s="689" t="str">
        <f ca="1">IF(AND(G4038&gt;0,E4038=0),"WARNING - no PRICE inserted",IF(H4038="free","FREE ~ no charge this plant",IF(H4038="credit",CONCATENATE("-$",ROUND(K4038*(1-_xlfn.SINGLE(T2GDiscount))*-1,2)," CREDIT after discount"),IF(_xlfn.SINGLE(T2GDiscount)=0,"",IF(G4038=0,"",IF(F4038="Buy",CONCATENATE("$",ROUND(K4038*(1-_xlfn.SINGLE(T2GDiscount)),2)," with ",(_xlfn.SINGLE(T2GDiscount)*100),"% discount"),CONCATENATE("$",ROUND(K4038*(1-_xlfn.SINGLE(T2GDiscount)),2)," with ",((_xlfn.SINGLE(T2GDiscount)*100+F4038*100)-(_xlfn.SINGLE(T2GDiscount)*100*F4038)),IF(F4038&gt;0,"% discounts",IF(_xlfn.SINGLE(NoWarrantyDiscount)&gt;0,"% discounts","% discount")))))))))</f>
        <v/>
      </c>
      <c r="N4038" s="690"/>
      <c r="O4038" s="486"/>
      <c r="P4038" s="486"/>
      <c r="Q4038" s="486"/>
      <c r="R4038" s="486"/>
      <c r="S4038" s="486"/>
      <c r="T4038" s="102">
        <f t="shared" si="2975"/>
        <v>0</v>
      </c>
      <c r="U4038" s="78">
        <f>IF(NOT(ISNUMBER(G4038)), "", VLOOKUP(A4038,'Discount Lookup'!D:E,2,FALSE)*G4038)</f>
        <v>0</v>
      </c>
      <c r="V4038" s="78">
        <f>IF(NOT(ISNUMBER(G4038)), "", VLOOKUP(A4038,'Discount Lookup'!G:H,2,FALSE)*G4038)</f>
        <v>0</v>
      </c>
      <c r="W4038" s="102">
        <f t="shared" si="2976"/>
        <v>0</v>
      </c>
      <c r="X4038" s="102">
        <f t="shared" si="2977"/>
        <v>0</v>
      </c>
      <c r="Y4038" s="120" t="b">
        <f t="shared" si="2978"/>
        <v>0</v>
      </c>
      <c r="Z4038" s="117">
        <f t="shared" si="2979"/>
        <v>0</v>
      </c>
      <c r="AA4038" s="118"/>
      <c r="AB4038" s="118" t="str">
        <f t="shared" si="2980"/>
        <v/>
      </c>
      <c r="AC4038" s="712" t="str">
        <f>IF(AE4038="T2G","no charge",IF(AND(OR(PlanterYesMe="No",PlanterYesMe="N",PlanterYesMe="me"),H4038=""),"",IF(H4038="credit","NO install",IF(AND(K4038="",AE4038="me"),"EACH row",IF(AND(K4038="images",AE4038="me"),"EACH row",IF(D4038="","",IF(H4038="credit","",IF(AE4038="free","re-planting",IF(AE4038="me","   not ELP, by",IF(AND(OR(PlanterYesMe="Yes",PlanterYesMe="Y"),G4038&gt;0),(VLOOKUP(A4038,'Discount Lookup'!J:K,2)*G4038*(1-PlanterDiscount)*(1+PlanterDifficultyPercentage)),IF(AE4038="ELP",(VLOOKUP(A4038,'Discount Lookup'!J:K,2)*G4038*(1-PlanterDiscount)*(1+PlanterDifficultyPercentage)),IF(AE4038="free","re-planting",IF(G4038=0,"",IF(PlanterYesMe="",IF(AE4038="me","   not ELP, by",IF(AE4038="",IF(G4038&gt;0,(VLOOKUP(A4038,'Discount Lookup'!J:K,2)*G4038*(1-PlanterDiscount)*(1+PlanterDifficultyPercentage)),""),"")),"   not ELP, by"))))))))))))))</f>
        <v/>
      </c>
      <c r="AD4038" s="712"/>
      <c r="AE4038" s="513" t="str">
        <f t="shared" si="2981"/>
        <v/>
      </c>
      <c r="AF4038" s="713" t="str">
        <f t="shared" si="2982"/>
        <v/>
      </c>
      <c r="AG4038" s="713"/>
      <c r="AH4038" s="713"/>
      <c r="AI4038" s="112">
        <f>IF(H4038="credit",0,IF(AE4038="free",0,IF(AE4038="me",0,IF(G4038&gt;0,(VLOOKUP(A4038,'Discount Lookup'!J:K,2)*G4038),0))))</f>
        <v>0</v>
      </c>
      <c r="AJ4038" s="107" t="str">
        <f t="shared" ca="1" si="2983"/>
        <v/>
      </c>
      <c r="AK4038" s="714" t="str">
        <f t="shared" si="2984"/>
        <v/>
      </c>
      <c r="AL4038" s="714"/>
      <c r="AM4038" s="114" t="str">
        <f t="shared" si="2985"/>
        <v/>
      </c>
      <c r="AN4038" s="115"/>
      <c r="AO4038" s="116"/>
      <c r="AP4038" s="116"/>
      <c r="AQ4038" s="116"/>
      <c r="AR4038" s="116"/>
      <c r="AS4038" s="116"/>
      <c r="AT4038" s="116"/>
      <c r="AU4038" s="116"/>
      <c r="AV4038" s="78"/>
      <c r="AW4038" s="102"/>
      <c r="AX4038" s="78"/>
      <c r="AY4038" s="78"/>
      <c r="AZ4038" s="78"/>
      <c r="BA4038" s="78"/>
      <c r="BB4038" s="78"/>
      <c r="BC4038" s="78"/>
      <c r="BD4038" s="78"/>
      <c r="BE4038" s="465"/>
      <c r="BF4038" s="165" t="str">
        <f t="shared" si="2986"/>
        <v>https://www.google.com/search?tbm=isch&amp;q=15%20G4</v>
      </c>
      <c r="BG4038" s="165" t="str">
        <f t="shared" si="2987"/>
        <v>T</v>
      </c>
      <c r="BH4038" s="65"/>
      <c r="BI4038" s="65"/>
      <c r="BJ4038" s="65"/>
      <c r="BK4038" s="65"/>
      <c r="BL4038" s="99"/>
      <c r="BM4038" s="99"/>
      <c r="BN4038" s="99"/>
    </row>
    <row r="4039" spans="1:66" s="51" customFormat="1" ht="17.25" thickBot="1" x14ac:dyDescent="0.3">
      <c r="A4039" s="508" t="s">
        <v>4821</v>
      </c>
      <c r="B4039" s="487"/>
      <c r="C4039" s="707"/>
      <c r="D4039" s="487"/>
      <c r="E4039" s="487"/>
      <c r="F4039" s="488"/>
      <c r="G4039" s="489"/>
      <c r="H4039" s="487"/>
      <c r="I4039" s="490"/>
      <c r="J4039" s="490"/>
      <c r="K4039" s="491"/>
      <c r="L4039" s="547"/>
      <c r="M4039" s="528"/>
      <c r="N4039" s="492"/>
      <c r="O4039" s="493"/>
      <c r="P4039" s="494"/>
      <c r="Q4039" s="492"/>
      <c r="R4039" s="492"/>
      <c r="S4039" s="699" t="s">
        <v>5268</v>
      </c>
      <c r="T4039" s="102">
        <f t="shared" si="2975"/>
        <v>0</v>
      </c>
      <c r="U4039" s="78" t="str">
        <f>IF(NOT(ISNUMBER(G4039)), "", VLOOKUP(A4039,'Discount Lookup'!D:E,2,FALSE)*G4039)</f>
        <v/>
      </c>
      <c r="V4039" s="78" t="str">
        <f>IF(NOT(ISNUMBER(G4039)), "", VLOOKUP(A4039,'Discount Lookup'!G:H,2,FALSE)*G4039)</f>
        <v/>
      </c>
      <c r="W4039" s="102">
        <f t="shared" si="2976"/>
        <v>0</v>
      </c>
      <c r="X4039" s="102">
        <f t="shared" si="2977"/>
        <v>0</v>
      </c>
      <c r="Y4039" s="120" t="b">
        <f t="shared" si="2978"/>
        <v>0</v>
      </c>
      <c r="Z4039" s="117">
        <f t="shared" si="2979"/>
        <v>0</v>
      </c>
      <c r="AA4039" s="118"/>
      <c r="AB4039" s="118" t="str">
        <f t="shared" si="2980"/>
        <v/>
      </c>
      <c r="AC4039" s="712" t="str">
        <f>IF(AE4039="T2G","no charge",IF(AND(OR(PlanterYesMe="No",PlanterYesMe="N",PlanterYesMe="me"),H4039=""),"",IF(H4039="credit","NO install",IF(AND(K4039="",AE4039="me"),"EACH row",IF(AND(K4039="images",AE4039="me"),"EACH row",IF(D4039="","",IF(H4039="credit","",IF(AE4039="free","re-planting",IF(AE4039="me","   not ELP, by",IF(AND(OR(PlanterYesMe="Yes",PlanterYesMe="Y"),G4039&gt;0),(VLOOKUP(A4039,'Discount Lookup'!J:K,2)*G4039*(1-PlanterDiscount)*(1+PlanterDifficultyPercentage)),IF(AE4039="ELP",(VLOOKUP(A4039,'Discount Lookup'!J:K,2)*G4039*(1-PlanterDiscount)*(1+PlanterDifficultyPercentage)),IF(AE4039="free","re-planting",IF(G4039=0,"",IF(PlanterYesMe="",IF(AE4039="me","   not ELP, by",IF(AE4039="",IF(G4039&gt;0,(VLOOKUP(A4039,'Discount Lookup'!J:K,2)*G4039*(1-PlanterDiscount)*(1+PlanterDifficultyPercentage)),""),"")),"   not ELP, by"))))))))))))))</f>
        <v/>
      </c>
      <c r="AD4039" s="712"/>
      <c r="AE4039" s="513" t="str">
        <f t="shared" si="2981"/>
        <v/>
      </c>
      <c r="AF4039" s="713" t="str">
        <f t="shared" si="2982"/>
        <v/>
      </c>
      <c r="AG4039" s="713"/>
      <c r="AH4039" s="713"/>
      <c r="AI4039" s="112">
        <f>IF(H4039="credit",0,IF(AE4039="free",0,IF(AE4039="me",0,IF(G4039&gt;0,(VLOOKUP(A4039,'Discount Lookup'!J:K,2)*G4039),0))))</f>
        <v>0</v>
      </c>
      <c r="AJ4039" s="107" t="str">
        <f t="shared" ca="1" si="2983"/>
        <v/>
      </c>
      <c r="AK4039" s="714" t="str">
        <f t="shared" si="2984"/>
        <v/>
      </c>
      <c r="AL4039" s="714"/>
      <c r="AM4039" s="114" t="str">
        <f t="shared" si="2985"/>
        <v/>
      </c>
      <c r="AN4039" s="115"/>
      <c r="AO4039" s="116"/>
      <c r="AP4039" s="116"/>
      <c r="AQ4039" s="116"/>
      <c r="AR4039" s="116"/>
      <c r="AS4039" s="116"/>
      <c r="AT4039" s="116"/>
      <c r="AU4039" s="116"/>
      <c r="AV4039" s="78"/>
      <c r="AW4039" s="102"/>
      <c r="AX4039" s="78"/>
      <c r="AY4039" s="78"/>
      <c r="AZ4039" s="78"/>
      <c r="BA4039" s="78"/>
      <c r="BB4039" s="78"/>
      <c r="BC4039" s="78"/>
      <c r="BD4039" s="78"/>
      <c r="BE4039" s="465"/>
      <c r="BF4039" s="165" t="str">
        <f t="shared" si="2986"/>
        <v>https://www.google.com/search?tbm=isch&amp;q=Mr.%20Bowling%20Ball%20forms%20a%20naturally%20round%2C%20dense%20globe%20of%20fine-textured%20foliage%2C%20requiring%20little%20to%20no%20pruning%20to%20maintain%20its%20neat%20shape%20</v>
      </c>
      <c r="BG4039" s="165" t="str">
        <f t="shared" si="2987"/>
        <v>M</v>
      </c>
      <c r="BH4039" s="65"/>
      <c r="BI4039" s="65"/>
      <c r="BJ4039" s="65"/>
      <c r="BK4039" s="65"/>
      <c r="BL4039" s="99"/>
      <c r="BM4039" s="99"/>
      <c r="BN4039" s="99"/>
    </row>
    <row r="4040" spans="1:66" s="51" customFormat="1" ht="18" x14ac:dyDescent="0.25">
      <c r="A4040" s="507" t="s">
        <v>4335</v>
      </c>
      <c r="B4040" s="470"/>
      <c r="C4040" s="706"/>
      <c r="D4040" s="471" t="s">
        <v>5837</v>
      </c>
      <c r="E4040" s="472"/>
      <c r="F4040" s="472"/>
      <c r="G4040" s="472"/>
      <c r="H4040" s="622" t="s">
        <v>4899</v>
      </c>
      <c r="I4040" s="473" t="s">
        <v>4336</v>
      </c>
      <c r="J4040" s="472"/>
      <c r="K4040" s="472"/>
      <c r="L4040" s="561"/>
      <c r="M4040" s="698" t="s">
        <v>5246</v>
      </c>
      <c r="N4040" s="692" t="str">
        <f>IF(AND(ISTEXT($A4040), ISERROR($A4040+0)), HYPERLINK($BF4040, "Images"), "")</f>
        <v>Images</v>
      </c>
      <c r="O4040" s="694" t="s">
        <v>5264</v>
      </c>
      <c r="P4040" s="475"/>
      <c r="Q4040" s="476"/>
      <c r="R4040" s="476"/>
      <c r="S4040" s="477" t="s">
        <v>294</v>
      </c>
      <c r="T4040" s="102">
        <f t="shared" si="2975"/>
        <v>0</v>
      </c>
      <c r="U4040" s="78" t="str">
        <f>IF(NOT(ISNUMBER(G4040)), "", VLOOKUP(A4040,'Discount Lookup'!D:E,2,FALSE)*G4040)</f>
        <v/>
      </c>
      <c r="V4040" s="78" t="str">
        <f>IF(NOT(ISNUMBER(G4040)), "", VLOOKUP(A4040,'Discount Lookup'!G:H,2,FALSE)*G4040)</f>
        <v/>
      </c>
      <c r="W4040" s="102">
        <f t="shared" si="2976"/>
        <v>0</v>
      </c>
      <c r="X4040" s="102" t="str">
        <f t="shared" si="2977"/>
        <v>Sage-Green foliage</v>
      </c>
      <c r="Y4040" s="120" t="b">
        <f t="shared" si="2978"/>
        <v>0</v>
      </c>
      <c r="Z4040" s="117">
        <f t="shared" si="2979"/>
        <v>0</v>
      </c>
      <c r="AA4040" s="118"/>
      <c r="AB4040" s="118" t="str">
        <f t="shared" si="2980"/>
        <v/>
      </c>
      <c r="AC4040" s="712" t="str">
        <f>IF(AE4040="T2G","no charge",IF(AND(OR(PlanterYesMe="No",PlanterYesMe="N",PlanterYesMe="me"),H4040=""),"",IF(H4040="credit","NO install",IF(AND(K4040="",AE4040="me"),"EACH row",IF(AND(K4040="images",AE4040="me"),"EACH row",IF(D4040="","",IF(H4040="credit","",IF(AE4040="free","re-planting",IF(AE4040="me","   not ELP, by",IF(AND(OR(PlanterYesMe="Yes",PlanterYesMe="Y"),G4040&gt;0),(VLOOKUP(A4040,'Discount Lookup'!J:K,2)*G4040*(1-PlanterDiscount)*(1+PlanterDifficultyPercentage)),IF(AE4040="ELP",(VLOOKUP(A4040,'Discount Lookup'!J:K,2)*G4040*(1-PlanterDiscount)*(1+PlanterDifficultyPercentage)),IF(AE4040="free","re-planting",IF(G4040=0,"",IF(PlanterYesMe="",IF(AE4040="me","   not ELP, by",IF(AE4040="",IF(G4040&gt;0,(VLOOKUP(A4040,'Discount Lookup'!J:K,2)*G4040*(1-PlanterDiscount)*(1+PlanterDifficultyPercentage)),""),"")),"   not ELP, by"))))))))))))))</f>
        <v/>
      </c>
      <c r="AD4040" s="712"/>
      <c r="AE4040" s="513" t="str">
        <f t="shared" si="2981"/>
        <v/>
      </c>
      <c r="AF4040" s="713" t="str">
        <f t="shared" si="2982"/>
        <v/>
      </c>
      <c r="AG4040" s="713"/>
      <c r="AH4040" s="713"/>
      <c r="AI4040" s="112">
        <f>IF(H4040="credit",0,IF(AE4040="free",0,IF(AE4040="me",0,IF(G4040&gt;0,(VLOOKUP(A4040,'Discount Lookup'!J:K,2)*G4040),0))))</f>
        <v>0</v>
      </c>
      <c r="AJ4040" s="107" t="str">
        <f t="shared" ca="1" si="2983"/>
        <v/>
      </c>
      <c r="AK4040" s="714" t="str">
        <f t="shared" si="2984"/>
        <v/>
      </c>
      <c r="AL4040" s="714"/>
      <c r="AM4040" s="114" t="str">
        <f t="shared" si="2985"/>
        <v/>
      </c>
      <c r="AN4040" s="115"/>
      <c r="AO4040" s="116"/>
      <c r="AP4040" s="116"/>
      <c r="AQ4040" s="116"/>
      <c r="AR4040" s="116"/>
      <c r="AS4040" s="116"/>
      <c r="AT4040" s="116"/>
      <c r="AU4040" s="116"/>
      <c r="AV4040" s="78"/>
      <c r="AW4040" s="102"/>
      <c r="AX4040" s="78"/>
      <c r="AY4040" s="78"/>
      <c r="AZ4040" s="78"/>
      <c r="BA4040" s="78"/>
      <c r="BB4040" s="78"/>
      <c r="BC4040" s="78"/>
      <c r="BD4040" s="78"/>
      <c r="BE4040" s="465"/>
      <c r="BF4040" s="165" t="str">
        <f t="shared" si="2986"/>
        <v>https://www.google.com/search?tbm=isch&amp;q=Thuja%20occidentalis%20%27Concesarini%27%20PP%2324013%20Pancake%E2%84%A2%20Arborvitae</v>
      </c>
      <c r="BG4040" s="165" t="str">
        <f t="shared" si="2987"/>
        <v>T</v>
      </c>
      <c r="BH4040" s="65"/>
      <c r="BI4040" s="65"/>
      <c r="BJ4040" s="65"/>
      <c r="BK4040" s="65"/>
      <c r="BL4040" s="99"/>
      <c r="BM4040" s="99"/>
      <c r="BN4040" s="99"/>
    </row>
    <row r="4041" spans="1:66" s="51" customFormat="1" ht="15.75" x14ac:dyDescent="0.25">
      <c r="A4041" s="478">
        <v>3</v>
      </c>
      <c r="B4041" s="479" t="s">
        <v>291</v>
      </c>
      <c r="C4041" s="480" t="s">
        <v>4337</v>
      </c>
      <c r="D4041" s="481" t="s">
        <v>311</v>
      </c>
      <c r="E4041" s="482">
        <v>36.950000000000003</v>
      </c>
      <c r="F4041" s="483" t="s">
        <v>292</v>
      </c>
      <c r="G4041" s="484">
        <v>0</v>
      </c>
      <c r="H4041" s="688" t="str">
        <f>IF(G4041=0,"",IF(F4041="Buy",IF(G4041=1,"plant","plants"),IF(F4041&gt;0.01,"warranty","Error")))</f>
        <v/>
      </c>
      <c r="I4041" s="485">
        <f>IF(H4041="free",0,IF(H4041="credit",((E4041*(F4041))*G4041*-1),IF(F4041="Buy",(E4041*G4041),((E4041*(1-F4041))*G4041))))</f>
        <v>0</v>
      </c>
      <c r="J4041" s="485">
        <f>IF(H4041="warranty",0,(I4041*(_xlfn.SINGLE(SalesTaxPercentage))))</f>
        <v>0</v>
      </c>
      <c r="K4041" s="715">
        <f t="shared" ref="K4041" si="3011">I4041+J4041</f>
        <v>0</v>
      </c>
      <c r="L4041" s="715"/>
      <c r="M4041" s="689" t="str">
        <f ca="1">IF(AND(G4041&gt;0,E4041=0),"WARNING - no PRICE inserted",IF(H4041="free","FREE ~ no charge this plant",IF(H4041="credit",CONCATENATE("-$",ROUND(K4041*(1-_xlfn.SINGLE(T2GDiscount))*-1,2)," CREDIT after discount"),IF(_xlfn.SINGLE(T2GDiscount)=0,"",IF(G4041=0,"",IF(F4041="Buy",CONCATENATE("$",ROUND(K4041*(1-_xlfn.SINGLE(T2GDiscount)),2)," with ",(_xlfn.SINGLE(T2GDiscount)*100),"% discount"),CONCATENATE("$",ROUND(K4041*(1-_xlfn.SINGLE(T2GDiscount)),2)," with ",((_xlfn.SINGLE(T2GDiscount)*100+F4041*100)-(_xlfn.SINGLE(T2GDiscount)*100*F4041)),IF(F4041&gt;0,"% discounts",IF(_xlfn.SINGLE(NoWarrantyDiscount)&gt;0,"% discounts","% discount")))))))))</f>
        <v/>
      </c>
      <c r="N4041" s="690"/>
      <c r="O4041" s="486"/>
      <c r="P4041" s="486"/>
      <c r="Q4041" s="486"/>
      <c r="R4041" s="486"/>
      <c r="S4041" s="486"/>
      <c r="T4041" s="102">
        <f t="shared" si="2975"/>
        <v>0</v>
      </c>
      <c r="U4041" s="78">
        <f>IF(NOT(ISNUMBER(G4041)), "", VLOOKUP(A4041,'Discount Lookup'!D:E,2,FALSE)*G4041)</f>
        <v>0</v>
      </c>
      <c r="V4041" s="78">
        <f>IF(NOT(ISNUMBER(G4041)), "", VLOOKUP(A4041,'Discount Lookup'!G:H,2,FALSE)*G4041)</f>
        <v>0</v>
      </c>
      <c r="W4041" s="102">
        <f t="shared" si="2976"/>
        <v>0</v>
      </c>
      <c r="X4041" s="102">
        <f t="shared" si="2977"/>
        <v>0</v>
      </c>
      <c r="Y4041" s="120" t="b">
        <f t="shared" si="2978"/>
        <v>0</v>
      </c>
      <c r="Z4041" s="117">
        <f t="shared" si="2979"/>
        <v>0</v>
      </c>
      <c r="AA4041" s="118"/>
      <c r="AB4041" s="118" t="str">
        <f t="shared" si="2980"/>
        <v/>
      </c>
      <c r="AC4041" s="712" t="str">
        <f>IF(AE4041="T2G","no charge",IF(AND(OR(PlanterYesMe="No",PlanterYesMe="N",PlanterYesMe="me"),H4041=""),"",IF(H4041="credit","NO install",IF(AND(K4041="",AE4041="me"),"EACH row",IF(AND(K4041="images",AE4041="me"),"EACH row",IF(D4041="","",IF(H4041="credit","",IF(AE4041="free","re-planting",IF(AE4041="me","   not ELP, by",IF(AND(OR(PlanterYesMe="Yes",PlanterYesMe="Y"),G4041&gt;0),(VLOOKUP(A4041,'Discount Lookup'!J:K,2)*G4041*(1-PlanterDiscount)*(1+PlanterDifficultyPercentage)),IF(AE4041="ELP",(VLOOKUP(A4041,'Discount Lookup'!J:K,2)*G4041*(1-PlanterDiscount)*(1+PlanterDifficultyPercentage)),IF(AE4041="free","re-planting",IF(G4041=0,"",IF(PlanterYesMe="",IF(AE4041="me","   not ELP, by",IF(AE4041="",IF(G4041&gt;0,(VLOOKUP(A4041,'Discount Lookup'!J:K,2)*G4041*(1-PlanterDiscount)*(1+PlanterDifficultyPercentage)),""),"")),"   not ELP, by"))))))))))))))</f>
        <v/>
      </c>
      <c r="AD4041" s="712"/>
      <c r="AE4041" s="513" t="str">
        <f t="shared" si="2981"/>
        <v/>
      </c>
      <c r="AF4041" s="713" t="str">
        <f t="shared" si="2982"/>
        <v/>
      </c>
      <c r="AG4041" s="713"/>
      <c r="AH4041" s="713"/>
      <c r="AI4041" s="112">
        <f>IF(H4041="credit",0,IF(AE4041="free",0,IF(AE4041="me",0,IF(G4041&gt;0,(VLOOKUP(A4041,'Discount Lookup'!J:K,2)*G4041),0))))</f>
        <v>0</v>
      </c>
      <c r="AJ4041" s="107" t="str">
        <f t="shared" ca="1" si="2983"/>
        <v/>
      </c>
      <c r="AK4041" s="714" t="str">
        <f t="shared" si="2984"/>
        <v/>
      </c>
      <c r="AL4041" s="714"/>
      <c r="AM4041" s="114" t="str">
        <f t="shared" si="2985"/>
        <v/>
      </c>
      <c r="AN4041" s="115"/>
      <c r="AO4041" s="116"/>
      <c r="AP4041" s="116"/>
      <c r="AQ4041" s="116"/>
      <c r="AR4041" s="116"/>
      <c r="AS4041" s="116"/>
      <c r="AT4041" s="116"/>
      <c r="AU4041" s="116"/>
      <c r="AV4041" s="78"/>
      <c r="AW4041" s="102"/>
      <c r="AX4041" s="78"/>
      <c r="AY4041" s="78"/>
      <c r="AZ4041" s="78"/>
      <c r="BA4041" s="78"/>
      <c r="BB4041" s="78"/>
      <c r="BC4041" s="78"/>
      <c r="BD4041" s="78"/>
      <c r="BE4041" s="465"/>
      <c r="BF4041" s="165" t="str">
        <f t="shared" si="2986"/>
        <v>https://www.google.com/search?tbm=isch&amp;q=3%20G5</v>
      </c>
      <c r="BG4041" s="165" t="str">
        <f t="shared" si="2987"/>
        <v>T</v>
      </c>
      <c r="BH4041" s="65"/>
      <c r="BI4041" s="65"/>
      <c r="BJ4041" s="65"/>
      <c r="BK4041" s="65"/>
      <c r="BL4041" s="99"/>
      <c r="BM4041" s="99"/>
      <c r="BN4041" s="99"/>
    </row>
    <row r="4042" spans="1:66" s="51" customFormat="1" ht="17.25" thickBot="1" x14ac:dyDescent="0.3">
      <c r="A4042" s="508" t="s">
        <v>4338</v>
      </c>
      <c r="B4042" s="487"/>
      <c r="C4042" s="707"/>
      <c r="D4042" s="487"/>
      <c r="E4042" s="487"/>
      <c r="F4042" s="488"/>
      <c r="G4042" s="489"/>
      <c r="H4042" s="487"/>
      <c r="I4042" s="490"/>
      <c r="J4042" s="490"/>
      <c r="K4042" s="491"/>
      <c r="L4042" s="547"/>
      <c r="M4042" s="528"/>
      <c r="N4042" s="492"/>
      <c r="O4042" s="493"/>
      <c r="P4042" s="494"/>
      <c r="Q4042" s="492"/>
      <c r="R4042" s="492"/>
      <c r="S4042" s="699" t="s">
        <v>5268</v>
      </c>
      <c r="T4042" s="102">
        <f t="shared" si="2975"/>
        <v>0</v>
      </c>
      <c r="U4042" s="78" t="str">
        <f>IF(NOT(ISNUMBER(G4042)), "", VLOOKUP(A4042,'Discount Lookup'!D:E,2,FALSE)*G4042)</f>
        <v/>
      </c>
      <c r="V4042" s="78" t="str">
        <f>IF(NOT(ISNUMBER(G4042)), "", VLOOKUP(A4042,'Discount Lookup'!G:H,2,FALSE)*G4042)</f>
        <v/>
      </c>
      <c r="W4042" s="102">
        <f t="shared" si="2976"/>
        <v>0</v>
      </c>
      <c r="X4042" s="102">
        <f t="shared" si="2977"/>
        <v>0</v>
      </c>
      <c r="Y4042" s="120" t="b">
        <f t="shared" si="2978"/>
        <v>0</v>
      </c>
      <c r="Z4042" s="117">
        <f t="shared" si="2979"/>
        <v>0</v>
      </c>
      <c r="AA4042" s="118"/>
      <c r="AB4042" s="118" t="str">
        <f t="shared" si="2980"/>
        <v/>
      </c>
      <c r="AC4042" s="712" t="str">
        <f>IF(AE4042="T2G","no charge",IF(AND(OR(PlanterYesMe="No",PlanterYesMe="N",PlanterYesMe="me"),H4042=""),"",IF(H4042="credit","NO install",IF(AND(K4042="",AE4042="me"),"EACH row",IF(AND(K4042="images",AE4042="me"),"EACH row",IF(D4042="","",IF(H4042="credit","",IF(AE4042="free","re-planting",IF(AE4042="me","   not ELP, by",IF(AND(OR(PlanterYesMe="Yes",PlanterYesMe="Y"),G4042&gt;0),(VLOOKUP(A4042,'Discount Lookup'!J:K,2)*G4042*(1-PlanterDiscount)*(1+PlanterDifficultyPercentage)),IF(AE4042="ELP",(VLOOKUP(A4042,'Discount Lookup'!J:K,2)*G4042*(1-PlanterDiscount)*(1+PlanterDifficultyPercentage)),IF(AE4042="free","re-planting",IF(G4042=0,"",IF(PlanterYesMe="",IF(AE4042="me","   not ELP, by",IF(AE4042="",IF(G4042&gt;0,(VLOOKUP(A4042,'Discount Lookup'!J:K,2)*G4042*(1-PlanterDiscount)*(1+PlanterDifficultyPercentage)),""),"")),"   not ELP, by"))))))))))))))</f>
        <v/>
      </c>
      <c r="AD4042" s="712"/>
      <c r="AE4042" s="513" t="str">
        <f t="shared" si="2981"/>
        <v/>
      </c>
      <c r="AF4042" s="713" t="str">
        <f t="shared" si="2982"/>
        <v/>
      </c>
      <c r="AG4042" s="713"/>
      <c r="AH4042" s="713"/>
      <c r="AI4042" s="112">
        <f>IF(H4042="credit",0,IF(AE4042="free",0,IF(AE4042="me",0,IF(G4042&gt;0,(VLOOKUP(A4042,'Discount Lookup'!J:K,2)*G4042),0))))</f>
        <v>0</v>
      </c>
      <c r="AJ4042" s="107" t="str">
        <f t="shared" ca="1" si="2983"/>
        <v/>
      </c>
      <c r="AK4042" s="714" t="str">
        <f t="shared" si="2984"/>
        <v/>
      </c>
      <c r="AL4042" s="714"/>
      <c r="AM4042" s="114" t="str">
        <f t="shared" si="2985"/>
        <v/>
      </c>
      <c r="AN4042" s="115"/>
      <c r="AO4042" s="116"/>
      <c r="AP4042" s="116"/>
      <c r="AQ4042" s="116"/>
      <c r="AR4042" s="116"/>
      <c r="AS4042" s="116"/>
      <c r="AT4042" s="116"/>
      <c r="AU4042" s="116"/>
      <c r="AV4042" s="78"/>
      <c r="AW4042" s="102"/>
      <c r="AX4042" s="78"/>
      <c r="AY4042" s="78"/>
      <c r="AZ4042" s="78"/>
      <c r="BA4042" s="78"/>
      <c r="BB4042" s="78"/>
      <c r="BC4042" s="78"/>
      <c r="BD4042" s="78"/>
      <c r="BE4042" s="465"/>
      <c r="BF4042" s="165" t="str">
        <f t="shared" si="2986"/>
        <v>https://www.google.com/search?tbm=isch&amp;q=Pancake%20named%20for%20its%20unique%2C%20flattened%2C%20pancake-like%20habit.%20%20Foliage%20turns%20Bluish-Bronze%20in%20winter%20</v>
      </c>
      <c r="BG4042" s="165" t="str">
        <f t="shared" si="2987"/>
        <v>P</v>
      </c>
      <c r="BH4042" s="65"/>
      <c r="BI4042" s="65"/>
      <c r="BJ4042" s="65"/>
      <c r="BK4042" s="65"/>
      <c r="BL4042" s="99"/>
      <c r="BM4042" s="99"/>
      <c r="BN4042" s="99"/>
    </row>
    <row r="4043" spans="1:66" s="51" customFormat="1" ht="18" x14ac:dyDescent="0.25">
      <c r="A4043" s="507" t="s">
        <v>4339</v>
      </c>
      <c r="B4043" s="470"/>
      <c r="C4043" s="706"/>
      <c r="D4043" s="471" t="s">
        <v>5838</v>
      </c>
      <c r="E4043" s="472"/>
      <c r="F4043" s="472"/>
      <c r="G4043" s="472"/>
      <c r="H4043" s="622" t="s">
        <v>1124</v>
      </c>
      <c r="I4043" s="473" t="s">
        <v>4340</v>
      </c>
      <c r="J4043" s="472"/>
      <c r="K4043" s="472"/>
      <c r="L4043" s="561"/>
      <c r="M4043" s="698" t="s">
        <v>5246</v>
      </c>
      <c r="N4043" s="692" t="str">
        <f>IF(AND(ISTEXT($A4043), ISERROR($A4043+0)), HYPERLINK($BF4043, "Images"), "")</f>
        <v>Images</v>
      </c>
      <c r="O4043" s="694" t="s">
        <v>5286</v>
      </c>
      <c r="P4043" s="475"/>
      <c r="Q4043" s="476"/>
      <c r="R4043" s="476"/>
      <c r="S4043" s="477" t="s">
        <v>294</v>
      </c>
      <c r="T4043" s="102">
        <f t="shared" si="2975"/>
        <v>0</v>
      </c>
      <c r="U4043" s="78" t="str">
        <f>IF(NOT(ISNUMBER(G4043)), "", VLOOKUP(A4043,'Discount Lookup'!D:E,2,FALSE)*G4043)</f>
        <v/>
      </c>
      <c r="V4043" s="78" t="str">
        <f>IF(NOT(ISNUMBER(G4043)), "", VLOOKUP(A4043,'Discount Lookup'!G:H,2,FALSE)*G4043)</f>
        <v/>
      </c>
      <c r="W4043" s="102">
        <f t="shared" si="2976"/>
        <v>0</v>
      </c>
      <c r="X4043" s="102" t="str">
        <f t="shared" si="2977"/>
        <v>Golden-Orange-Red foliage</v>
      </c>
      <c r="Y4043" s="120" t="b">
        <f t="shared" si="2978"/>
        <v>0</v>
      </c>
      <c r="Z4043" s="117">
        <f t="shared" si="2979"/>
        <v>0</v>
      </c>
      <c r="AA4043" s="118"/>
      <c r="AB4043" s="118" t="str">
        <f t="shared" si="2980"/>
        <v/>
      </c>
      <c r="AC4043" s="712" t="str">
        <f>IF(AE4043="T2G","no charge",IF(AND(OR(PlanterYesMe="No",PlanterYesMe="N",PlanterYesMe="me"),H4043=""),"",IF(H4043="credit","NO install",IF(AND(K4043="",AE4043="me"),"EACH row",IF(AND(K4043="images",AE4043="me"),"EACH row",IF(D4043="","",IF(H4043="credit","",IF(AE4043="free","re-planting",IF(AE4043="me","   not ELP, by",IF(AND(OR(PlanterYesMe="Yes",PlanterYesMe="Y"),G4043&gt;0),(VLOOKUP(A4043,'Discount Lookup'!J:K,2)*G4043*(1-PlanterDiscount)*(1+PlanterDifficultyPercentage)),IF(AE4043="ELP",(VLOOKUP(A4043,'Discount Lookup'!J:K,2)*G4043*(1-PlanterDiscount)*(1+PlanterDifficultyPercentage)),IF(AE4043="free","re-planting",IF(G4043=0,"",IF(PlanterYesMe="",IF(AE4043="me","   not ELP, by",IF(AE4043="",IF(G4043&gt;0,(VLOOKUP(A4043,'Discount Lookup'!J:K,2)*G4043*(1-PlanterDiscount)*(1+PlanterDifficultyPercentage)),""),"")),"   not ELP, by"))))))))))))))</f>
        <v/>
      </c>
      <c r="AD4043" s="712"/>
      <c r="AE4043" s="513" t="str">
        <f t="shared" si="2981"/>
        <v/>
      </c>
      <c r="AF4043" s="713" t="str">
        <f t="shared" si="2982"/>
        <v/>
      </c>
      <c r="AG4043" s="713"/>
      <c r="AH4043" s="713"/>
      <c r="AI4043" s="112">
        <f>IF(H4043="credit",0,IF(AE4043="free",0,IF(AE4043="me",0,IF(G4043&gt;0,(VLOOKUP(A4043,'Discount Lookup'!J:K,2)*G4043),0))))</f>
        <v>0</v>
      </c>
      <c r="AJ4043" s="107" t="str">
        <f t="shared" ca="1" si="2983"/>
        <v/>
      </c>
      <c r="AK4043" s="714" t="str">
        <f t="shared" si="2984"/>
        <v/>
      </c>
      <c r="AL4043" s="714"/>
      <c r="AM4043" s="114" t="str">
        <f t="shared" si="2985"/>
        <v/>
      </c>
      <c r="AN4043" s="115"/>
      <c r="AO4043" s="116"/>
      <c r="AP4043" s="116"/>
      <c r="AQ4043" s="116"/>
      <c r="AR4043" s="116"/>
      <c r="AS4043" s="116"/>
      <c r="AT4043" s="116"/>
      <c r="AU4043" s="116"/>
      <c r="AV4043" s="78"/>
      <c r="AW4043" s="102"/>
      <c r="AX4043" s="78"/>
      <c r="AY4043" s="78"/>
      <c r="AZ4043" s="78"/>
      <c r="BA4043" s="78"/>
      <c r="BB4043" s="78"/>
      <c r="BC4043" s="78"/>
      <c r="BD4043" s="78"/>
      <c r="BE4043" s="465"/>
      <c r="BF4043" s="165" t="str">
        <f t="shared" si="2986"/>
        <v>https://www.google.com/search?tbm=isch&amp;q=Thuja%20occidentalis%20%27Congabe%27%20PP%2319009%20Fire%20Chief%E2%84%A2%20Arborvitae</v>
      </c>
      <c r="BG4043" s="165" t="str">
        <f t="shared" si="2987"/>
        <v>T</v>
      </c>
      <c r="BH4043" s="65"/>
      <c r="BI4043" s="65"/>
      <c r="BJ4043" s="65"/>
      <c r="BK4043" s="65"/>
      <c r="BL4043" s="99"/>
      <c r="BM4043" s="99"/>
      <c r="BN4043" s="99"/>
    </row>
    <row r="4044" spans="1:66" s="51" customFormat="1" ht="27" x14ac:dyDescent="0.25">
      <c r="A4044" s="478">
        <v>3</v>
      </c>
      <c r="B4044" s="479" t="s">
        <v>291</v>
      </c>
      <c r="C4044" s="480" t="s">
        <v>5025</v>
      </c>
      <c r="D4044" s="481" t="s">
        <v>311</v>
      </c>
      <c r="E4044" s="482">
        <v>36.950000000000003</v>
      </c>
      <c r="F4044" s="483" t="s">
        <v>292</v>
      </c>
      <c r="G4044" s="484">
        <v>0</v>
      </c>
      <c r="H4044" s="688" t="str">
        <f>IF(G4044=0,"",IF(F4044="Buy",IF(G4044=1,"plant","plants"),IF(F4044&gt;0.01,"warranty","Error")))</f>
        <v/>
      </c>
      <c r="I4044" s="485">
        <f>IF(H4044="free",0,IF(H4044="credit",((E4044*(F4044))*G4044*-1),IF(F4044="Buy",(E4044*G4044),((E4044*(1-F4044))*G4044))))</f>
        <v>0</v>
      </c>
      <c r="J4044" s="485">
        <f>IF(H4044="warranty",0,(I4044*(_xlfn.SINGLE(SalesTaxPercentage))))</f>
        <v>0</v>
      </c>
      <c r="K4044" s="715">
        <f t="shared" ref="K4044" si="3012">I4044+J4044</f>
        <v>0</v>
      </c>
      <c r="L4044" s="715"/>
      <c r="M4044" s="689" t="str">
        <f ca="1">IF(AND(G4044&gt;0,E4044=0),"WARNING - no PRICE inserted",IF(H4044="free","FREE ~ no charge this plant",IF(H4044="credit",CONCATENATE("-$",ROUND(K4044*(1-_xlfn.SINGLE(T2GDiscount))*-1,2)," CREDIT after discount"),IF(_xlfn.SINGLE(T2GDiscount)=0,"",IF(G4044=0,"",IF(F4044="Buy",CONCATENATE("$",ROUND(K4044*(1-_xlfn.SINGLE(T2GDiscount)),2)," with ",(_xlfn.SINGLE(T2GDiscount)*100),"% discount"),CONCATENATE("$",ROUND(K4044*(1-_xlfn.SINGLE(T2GDiscount)),2)," with ",((_xlfn.SINGLE(T2GDiscount)*100+F4044*100)-(_xlfn.SINGLE(T2GDiscount)*100*F4044)),IF(F4044&gt;0,"% discounts",IF(_xlfn.SINGLE(NoWarrantyDiscount)&gt;0,"% discounts","% discount")))))))))</f>
        <v/>
      </c>
      <c r="N4044" s="690"/>
      <c r="O4044" s="486"/>
      <c r="P4044" s="486"/>
      <c r="Q4044" s="486"/>
      <c r="R4044" s="486"/>
      <c r="S4044" s="486"/>
      <c r="T4044" s="102">
        <f t="shared" si="2975"/>
        <v>0</v>
      </c>
      <c r="U4044" s="78">
        <f>IF(NOT(ISNUMBER(G4044)), "", VLOOKUP(A4044,'Discount Lookup'!D:E,2,FALSE)*G4044)</f>
        <v>0</v>
      </c>
      <c r="V4044" s="78">
        <f>IF(NOT(ISNUMBER(G4044)), "", VLOOKUP(A4044,'Discount Lookup'!G:H,2,FALSE)*G4044)</f>
        <v>0</v>
      </c>
      <c r="W4044" s="102">
        <f t="shared" si="2976"/>
        <v>0</v>
      </c>
      <c r="X4044" s="102">
        <f t="shared" si="2977"/>
        <v>0</v>
      </c>
      <c r="Y4044" s="120" t="b">
        <f t="shared" si="2978"/>
        <v>0</v>
      </c>
      <c r="Z4044" s="117">
        <f t="shared" si="2979"/>
        <v>0</v>
      </c>
      <c r="AA4044" s="118"/>
      <c r="AB4044" s="118" t="str">
        <f t="shared" si="2980"/>
        <v/>
      </c>
      <c r="AC4044" s="712" t="str">
        <f>IF(AE4044="T2G","no charge",IF(AND(OR(PlanterYesMe="No",PlanterYesMe="N",PlanterYesMe="me"),H4044=""),"",IF(H4044="credit","NO install",IF(AND(K4044="",AE4044="me"),"EACH row",IF(AND(K4044="images",AE4044="me"),"EACH row",IF(D4044="","",IF(H4044="credit","",IF(AE4044="free","re-planting",IF(AE4044="me","   not ELP, by",IF(AND(OR(PlanterYesMe="Yes",PlanterYesMe="Y"),G4044&gt;0),(VLOOKUP(A4044,'Discount Lookup'!J:K,2)*G4044*(1-PlanterDiscount)*(1+PlanterDifficultyPercentage)),IF(AE4044="ELP",(VLOOKUP(A4044,'Discount Lookup'!J:K,2)*G4044*(1-PlanterDiscount)*(1+PlanterDifficultyPercentage)),IF(AE4044="free","re-planting",IF(G4044=0,"",IF(PlanterYesMe="",IF(AE4044="me","   not ELP, by",IF(AE4044="",IF(G4044&gt;0,(VLOOKUP(A4044,'Discount Lookup'!J:K,2)*G4044*(1-PlanterDiscount)*(1+PlanterDifficultyPercentage)),""),"")),"   not ELP, by"))))))))))))))</f>
        <v/>
      </c>
      <c r="AD4044" s="712"/>
      <c r="AE4044" s="513" t="str">
        <f t="shared" si="2981"/>
        <v/>
      </c>
      <c r="AF4044" s="713" t="str">
        <f t="shared" si="2982"/>
        <v/>
      </c>
      <c r="AG4044" s="713"/>
      <c r="AH4044" s="713"/>
      <c r="AI4044" s="112">
        <f>IF(H4044="credit",0,IF(AE4044="free",0,IF(AE4044="me",0,IF(G4044&gt;0,(VLOOKUP(A4044,'Discount Lookup'!J:K,2)*G4044),0))))</f>
        <v>0</v>
      </c>
      <c r="AJ4044" s="107" t="str">
        <f t="shared" ca="1" si="2983"/>
        <v/>
      </c>
      <c r="AK4044" s="714" t="str">
        <f t="shared" si="2984"/>
        <v/>
      </c>
      <c r="AL4044" s="714"/>
      <c r="AM4044" s="114" t="str">
        <f t="shared" si="2985"/>
        <v/>
      </c>
      <c r="AN4044" s="115"/>
      <c r="AO4044" s="116"/>
      <c r="AP4044" s="116"/>
      <c r="AQ4044" s="116"/>
      <c r="AR4044" s="116"/>
      <c r="AS4044" s="116"/>
      <c r="AT4044" s="116"/>
      <c r="AU4044" s="116"/>
      <c r="AV4044" s="78"/>
      <c r="AW4044" s="102"/>
      <c r="AX4044" s="78"/>
      <c r="AY4044" s="78"/>
      <c r="AZ4044" s="78"/>
      <c r="BA4044" s="78"/>
      <c r="BB4044" s="78"/>
      <c r="BC4044" s="78"/>
      <c r="BD4044" s="78"/>
      <c r="BE4044" s="465"/>
      <c r="BF4044" s="165" t="str">
        <f t="shared" si="2986"/>
        <v>https://www.google.com/search?tbm=isch&amp;q=3%20G5</v>
      </c>
      <c r="BG4044" s="165" t="str">
        <f t="shared" si="2987"/>
        <v>T</v>
      </c>
      <c r="BH4044" s="65"/>
      <c r="BI4044" s="65"/>
      <c r="BJ4044" s="65"/>
      <c r="BK4044" s="65"/>
      <c r="BL4044" s="99"/>
      <c r="BM4044" s="99"/>
      <c r="BN4044" s="99"/>
    </row>
    <row r="4045" spans="1:66" s="51" customFormat="1" ht="15.75" x14ac:dyDescent="0.25">
      <c r="A4045" s="478">
        <v>3</v>
      </c>
      <c r="B4045" s="479" t="s">
        <v>291</v>
      </c>
      <c r="C4045" s="480" t="s">
        <v>4341</v>
      </c>
      <c r="D4045" s="481" t="s">
        <v>299</v>
      </c>
      <c r="E4045" s="482">
        <v>40.950000000000003</v>
      </c>
      <c r="F4045" s="483" t="s">
        <v>292</v>
      </c>
      <c r="G4045" s="484">
        <v>0</v>
      </c>
      <c r="H4045" s="688" t="str">
        <f>IF(G4045=0,"",IF(F4045="Buy",IF(G4045=1,"plant","plants"),IF(F4045&gt;0.01,"warranty","Error")))</f>
        <v/>
      </c>
      <c r="I4045" s="485">
        <f>IF(H4045="free",0,IF(H4045="credit",((E4045*(F4045))*G4045*-1),IF(F4045="Buy",(E4045*G4045),((E4045*(1-F4045))*G4045))))</f>
        <v>0</v>
      </c>
      <c r="J4045" s="485">
        <f>IF(H4045="warranty",0,(I4045*(_xlfn.SINGLE(SalesTaxPercentage))))</f>
        <v>0</v>
      </c>
      <c r="K4045" s="715">
        <f t="shared" ref="K4045" si="3013">I4045+J4045</f>
        <v>0</v>
      </c>
      <c r="L4045" s="715"/>
      <c r="M4045" s="689" t="str">
        <f ca="1">IF(AND(G4045&gt;0,E4045=0),"WARNING - no PRICE inserted",IF(H4045="free","FREE ~ no charge this plant",IF(H4045="credit",CONCATENATE("-$",ROUND(K4045*(1-_xlfn.SINGLE(T2GDiscount))*-1,2)," CREDIT after discount"),IF(_xlfn.SINGLE(T2GDiscount)=0,"",IF(G4045=0,"",IF(F4045="Buy",CONCATENATE("$",ROUND(K4045*(1-_xlfn.SINGLE(T2GDiscount)),2)," with ",(_xlfn.SINGLE(T2GDiscount)*100),"% discount"),CONCATENATE("$",ROUND(K4045*(1-_xlfn.SINGLE(T2GDiscount)),2)," with ",((_xlfn.SINGLE(T2GDiscount)*100+F4045*100)-(_xlfn.SINGLE(T2GDiscount)*100*F4045)),IF(F4045&gt;0,"% discounts",IF(_xlfn.SINGLE(NoWarrantyDiscount)&gt;0,"% discounts","% discount")))))))))</f>
        <v/>
      </c>
      <c r="N4045" s="690"/>
      <c r="O4045" s="486"/>
      <c r="P4045" s="486"/>
      <c r="Q4045" s="486"/>
      <c r="R4045" s="486"/>
      <c r="S4045" s="486"/>
      <c r="T4045" s="102">
        <f t="shared" si="2975"/>
        <v>0</v>
      </c>
      <c r="U4045" s="78">
        <f>IF(NOT(ISNUMBER(G4045)), "", VLOOKUP(A4045,'Discount Lookup'!D:E,2,FALSE)*G4045)</f>
        <v>0</v>
      </c>
      <c r="V4045" s="78">
        <f>IF(NOT(ISNUMBER(G4045)), "", VLOOKUP(A4045,'Discount Lookup'!G:H,2,FALSE)*G4045)</f>
        <v>0</v>
      </c>
      <c r="W4045" s="102">
        <f t="shared" si="2976"/>
        <v>0</v>
      </c>
      <c r="X4045" s="102">
        <f t="shared" si="2977"/>
        <v>0</v>
      </c>
      <c r="Y4045" s="120" t="b">
        <f t="shared" si="2978"/>
        <v>0</v>
      </c>
      <c r="Z4045" s="117">
        <f t="shared" si="2979"/>
        <v>0</v>
      </c>
      <c r="AA4045" s="118"/>
      <c r="AB4045" s="118" t="str">
        <f t="shared" si="2980"/>
        <v/>
      </c>
      <c r="AC4045" s="712" t="str">
        <f>IF(AE4045="T2G","no charge",IF(AND(OR(PlanterYesMe="No",PlanterYesMe="N",PlanterYesMe="me"),H4045=""),"",IF(H4045="credit","NO install",IF(AND(K4045="",AE4045="me"),"EACH row",IF(AND(K4045="images",AE4045="me"),"EACH row",IF(D4045="","",IF(H4045="credit","",IF(AE4045="free","re-planting",IF(AE4045="me","   not ELP, by",IF(AND(OR(PlanterYesMe="Yes",PlanterYesMe="Y"),G4045&gt;0),(VLOOKUP(A4045,'Discount Lookup'!J:K,2)*G4045*(1-PlanterDiscount)*(1+PlanterDifficultyPercentage)),IF(AE4045="ELP",(VLOOKUP(A4045,'Discount Lookup'!J:K,2)*G4045*(1-PlanterDiscount)*(1+PlanterDifficultyPercentage)),IF(AE4045="free","re-planting",IF(G4045=0,"",IF(PlanterYesMe="",IF(AE4045="me","   not ELP, by",IF(AE4045="",IF(G4045&gt;0,(VLOOKUP(A4045,'Discount Lookup'!J:K,2)*G4045*(1-PlanterDiscount)*(1+PlanterDifficultyPercentage)),""),"")),"   not ELP, by"))))))))))))))</f>
        <v/>
      </c>
      <c r="AD4045" s="712"/>
      <c r="AE4045" s="513" t="str">
        <f t="shared" si="2981"/>
        <v/>
      </c>
      <c r="AF4045" s="713" t="str">
        <f t="shared" si="2982"/>
        <v/>
      </c>
      <c r="AG4045" s="713"/>
      <c r="AH4045" s="713"/>
      <c r="AI4045" s="112">
        <f>IF(H4045="credit",0,IF(AE4045="free",0,IF(AE4045="me",0,IF(G4045&gt;0,(VLOOKUP(A4045,'Discount Lookup'!J:K,2)*G4045),0))))</f>
        <v>0</v>
      </c>
      <c r="AJ4045" s="107" t="str">
        <f t="shared" ca="1" si="2983"/>
        <v/>
      </c>
      <c r="AK4045" s="714" t="str">
        <f t="shared" si="2984"/>
        <v/>
      </c>
      <c r="AL4045" s="714"/>
      <c r="AM4045" s="114" t="str">
        <f t="shared" si="2985"/>
        <v/>
      </c>
      <c r="AN4045" s="115"/>
      <c r="AO4045" s="116"/>
      <c r="AP4045" s="116"/>
      <c r="AQ4045" s="116"/>
      <c r="AR4045" s="116"/>
      <c r="AS4045" s="116"/>
      <c r="AT4045" s="116"/>
      <c r="AU4045" s="116"/>
      <c r="AV4045" s="78"/>
      <c r="AW4045" s="102"/>
      <c r="AX4045" s="78"/>
      <c r="AY4045" s="78"/>
      <c r="AZ4045" s="78"/>
      <c r="BA4045" s="78"/>
      <c r="BB4045" s="78"/>
      <c r="BC4045" s="78"/>
      <c r="BD4045" s="78"/>
      <c r="BE4045" s="465"/>
      <c r="BF4045" s="165" t="str">
        <f t="shared" si="2986"/>
        <v>https://www.google.com/search?tbm=isch&amp;q=3%20G4</v>
      </c>
      <c r="BG4045" s="165" t="str">
        <f t="shared" si="2987"/>
        <v>T</v>
      </c>
      <c r="BH4045" s="65"/>
      <c r="BI4045" s="65"/>
      <c r="BJ4045" s="65"/>
      <c r="BK4045" s="65"/>
      <c r="BL4045" s="99"/>
      <c r="BM4045" s="99"/>
      <c r="BN4045" s="99"/>
    </row>
    <row r="4046" spans="1:66" s="51" customFormat="1" ht="15.75" x14ac:dyDescent="0.25">
      <c r="A4046" s="478">
        <v>5</v>
      </c>
      <c r="B4046" s="479" t="s">
        <v>291</v>
      </c>
      <c r="C4046" s="480" t="s">
        <v>4342</v>
      </c>
      <c r="D4046" s="481" t="s">
        <v>299</v>
      </c>
      <c r="E4046" s="482">
        <v>58.95</v>
      </c>
      <c r="F4046" s="483" t="s">
        <v>292</v>
      </c>
      <c r="G4046" s="484">
        <v>0</v>
      </c>
      <c r="H4046" s="688" t="str">
        <f>IF(G4046=0,"",IF(F4046="Buy",IF(G4046=1,"plant","plants"),IF(F4046&gt;0.01,"warranty","Error")))</f>
        <v/>
      </c>
      <c r="I4046" s="485">
        <f>IF(H4046="free",0,IF(H4046="credit",((E4046*(F4046))*G4046*-1),IF(F4046="Buy",(E4046*G4046),((E4046*(1-F4046))*G4046))))</f>
        <v>0</v>
      </c>
      <c r="J4046" s="485">
        <f>IF(H4046="warranty",0,(I4046*(_xlfn.SINGLE(SalesTaxPercentage))))</f>
        <v>0</v>
      </c>
      <c r="K4046" s="715">
        <f t="shared" ref="K4046" si="3014">I4046+J4046</f>
        <v>0</v>
      </c>
      <c r="L4046" s="715"/>
      <c r="M4046" s="689" t="str">
        <f ca="1">IF(AND(G4046&gt;0,E4046=0),"WARNING - no PRICE inserted",IF(H4046="free","FREE ~ no charge this plant",IF(H4046="credit",CONCATENATE("-$",ROUND(K4046*(1-_xlfn.SINGLE(T2GDiscount))*-1,2)," CREDIT after discount"),IF(_xlfn.SINGLE(T2GDiscount)=0,"",IF(G4046=0,"",IF(F4046="Buy",CONCATENATE("$",ROUND(K4046*(1-_xlfn.SINGLE(T2GDiscount)),2)," with ",(_xlfn.SINGLE(T2GDiscount)*100),"% discount"),CONCATENATE("$",ROUND(K4046*(1-_xlfn.SINGLE(T2GDiscount)),2)," with ",((_xlfn.SINGLE(T2GDiscount)*100+F4046*100)-(_xlfn.SINGLE(T2GDiscount)*100*F4046)),IF(F4046&gt;0,"% discounts",IF(_xlfn.SINGLE(NoWarrantyDiscount)&gt;0,"% discounts","% discount")))))))))</f>
        <v/>
      </c>
      <c r="N4046" s="690"/>
      <c r="O4046" s="486"/>
      <c r="P4046" s="486"/>
      <c r="Q4046" s="486"/>
      <c r="R4046" s="486"/>
      <c r="S4046" s="486"/>
      <c r="T4046" s="102">
        <f t="shared" si="2975"/>
        <v>0</v>
      </c>
      <c r="U4046" s="78">
        <f>IF(NOT(ISNUMBER(G4046)), "", VLOOKUP(A4046,'Discount Lookup'!D:E,2,FALSE)*G4046)</f>
        <v>0</v>
      </c>
      <c r="V4046" s="78">
        <f>IF(NOT(ISNUMBER(G4046)), "", VLOOKUP(A4046,'Discount Lookup'!G:H,2,FALSE)*G4046)</f>
        <v>0</v>
      </c>
      <c r="W4046" s="102">
        <f t="shared" si="2976"/>
        <v>0</v>
      </c>
      <c r="X4046" s="102">
        <f t="shared" si="2977"/>
        <v>0</v>
      </c>
      <c r="Y4046" s="120" t="b">
        <f t="shared" si="2978"/>
        <v>0</v>
      </c>
      <c r="Z4046" s="117">
        <f t="shared" si="2979"/>
        <v>0</v>
      </c>
      <c r="AA4046" s="118"/>
      <c r="AB4046" s="118" t="str">
        <f t="shared" si="2980"/>
        <v/>
      </c>
      <c r="AC4046" s="712" t="str">
        <f>IF(AE4046="T2G","no charge",IF(AND(OR(PlanterYesMe="No",PlanterYesMe="N",PlanterYesMe="me"),H4046=""),"",IF(H4046="credit","NO install",IF(AND(K4046="",AE4046="me"),"EACH row",IF(AND(K4046="images",AE4046="me"),"EACH row",IF(D4046="","",IF(H4046="credit","",IF(AE4046="free","re-planting",IF(AE4046="me","   not ELP, by",IF(AND(OR(PlanterYesMe="Yes",PlanterYesMe="Y"),G4046&gt;0),(VLOOKUP(A4046,'Discount Lookup'!J:K,2)*G4046*(1-PlanterDiscount)*(1+PlanterDifficultyPercentage)),IF(AE4046="ELP",(VLOOKUP(A4046,'Discount Lookup'!J:K,2)*G4046*(1-PlanterDiscount)*(1+PlanterDifficultyPercentage)),IF(AE4046="free","re-planting",IF(G4046=0,"",IF(PlanterYesMe="",IF(AE4046="me","   not ELP, by",IF(AE4046="",IF(G4046&gt;0,(VLOOKUP(A4046,'Discount Lookup'!J:K,2)*G4046*(1-PlanterDiscount)*(1+PlanterDifficultyPercentage)),""),"")),"   not ELP, by"))))))))))))))</f>
        <v/>
      </c>
      <c r="AD4046" s="712"/>
      <c r="AE4046" s="513" t="str">
        <f t="shared" si="2981"/>
        <v/>
      </c>
      <c r="AF4046" s="713" t="str">
        <f t="shared" si="2982"/>
        <v/>
      </c>
      <c r="AG4046" s="713"/>
      <c r="AH4046" s="713"/>
      <c r="AI4046" s="112">
        <f>IF(H4046="credit",0,IF(AE4046="free",0,IF(AE4046="me",0,IF(G4046&gt;0,(VLOOKUP(A4046,'Discount Lookup'!J:K,2)*G4046),0))))</f>
        <v>0</v>
      </c>
      <c r="AJ4046" s="107" t="str">
        <f t="shared" ca="1" si="2983"/>
        <v/>
      </c>
      <c r="AK4046" s="714" t="str">
        <f t="shared" si="2984"/>
        <v/>
      </c>
      <c r="AL4046" s="714"/>
      <c r="AM4046" s="114" t="str">
        <f t="shared" si="2985"/>
        <v/>
      </c>
      <c r="AN4046" s="115"/>
      <c r="AO4046" s="116"/>
      <c r="AP4046" s="116"/>
      <c r="AQ4046" s="116"/>
      <c r="AR4046" s="116"/>
      <c r="AS4046" s="116"/>
      <c r="AT4046" s="116"/>
      <c r="AU4046" s="116"/>
      <c r="AV4046" s="78"/>
      <c r="AW4046" s="102"/>
      <c r="AX4046" s="78"/>
      <c r="AY4046" s="78"/>
      <c r="AZ4046" s="78"/>
      <c r="BA4046" s="78"/>
      <c r="BB4046" s="78"/>
      <c r="BC4046" s="78"/>
      <c r="BD4046" s="78"/>
      <c r="BE4046" s="465"/>
      <c r="BF4046" s="165" t="str">
        <f t="shared" si="2986"/>
        <v>https://www.google.com/search?tbm=isch&amp;q=5%20G4</v>
      </c>
      <c r="BG4046" s="165" t="str">
        <f t="shared" si="2987"/>
        <v>T</v>
      </c>
      <c r="BH4046" s="65"/>
      <c r="BI4046" s="65"/>
      <c r="BJ4046" s="65"/>
      <c r="BK4046" s="65"/>
      <c r="BL4046" s="99"/>
      <c r="BM4046" s="99"/>
      <c r="BN4046" s="99"/>
    </row>
    <row r="4047" spans="1:66" s="51" customFormat="1" ht="15.75" x14ac:dyDescent="0.25">
      <c r="A4047" s="478">
        <v>7</v>
      </c>
      <c r="B4047" s="479" t="s">
        <v>291</v>
      </c>
      <c r="C4047" s="480" t="s">
        <v>4343</v>
      </c>
      <c r="D4047" s="481" t="s">
        <v>311</v>
      </c>
      <c r="E4047" s="482">
        <v>79.95</v>
      </c>
      <c r="F4047" s="483" t="s">
        <v>292</v>
      </c>
      <c r="G4047" s="484">
        <v>0</v>
      </c>
      <c r="H4047" s="688" t="str">
        <f>IF(G4047=0,"",IF(F4047="Buy",IF(G4047=1,"plant","plants"),IF(F4047&gt;0.01,"warranty","Error")))</f>
        <v/>
      </c>
      <c r="I4047" s="485">
        <f>IF(H4047="free",0,IF(H4047="credit",((E4047*(F4047))*G4047*-1),IF(F4047="Buy",(E4047*G4047),((E4047*(1-F4047))*G4047))))</f>
        <v>0</v>
      </c>
      <c r="J4047" s="485">
        <f>IF(H4047="warranty",0,(I4047*(_xlfn.SINGLE(SalesTaxPercentage))))</f>
        <v>0</v>
      </c>
      <c r="K4047" s="715">
        <f t="shared" ref="K4047" si="3015">I4047+J4047</f>
        <v>0</v>
      </c>
      <c r="L4047" s="715"/>
      <c r="M4047" s="689" t="str">
        <f ca="1">IF(AND(G4047&gt;0,E4047=0),"WARNING - no PRICE inserted",IF(H4047="free","FREE ~ no charge this plant",IF(H4047="credit",CONCATENATE("-$",ROUND(K4047*(1-_xlfn.SINGLE(T2GDiscount))*-1,2)," CREDIT after discount"),IF(_xlfn.SINGLE(T2GDiscount)=0,"",IF(G4047=0,"",IF(F4047="Buy",CONCATENATE("$",ROUND(K4047*(1-_xlfn.SINGLE(T2GDiscount)),2)," with ",(_xlfn.SINGLE(T2GDiscount)*100),"% discount"),CONCATENATE("$",ROUND(K4047*(1-_xlfn.SINGLE(T2GDiscount)),2)," with ",((_xlfn.SINGLE(T2GDiscount)*100+F4047*100)-(_xlfn.SINGLE(T2GDiscount)*100*F4047)),IF(F4047&gt;0,"% discounts",IF(_xlfn.SINGLE(NoWarrantyDiscount)&gt;0,"% discounts","% discount")))))))))</f>
        <v/>
      </c>
      <c r="N4047" s="690"/>
      <c r="O4047" s="486"/>
      <c r="P4047" s="486"/>
      <c r="Q4047" s="486"/>
      <c r="R4047" s="486"/>
      <c r="S4047" s="486"/>
      <c r="T4047" s="102">
        <f t="shared" si="2975"/>
        <v>0</v>
      </c>
      <c r="U4047" s="78">
        <f>IF(NOT(ISNUMBER(G4047)), "", VLOOKUP(A4047,'Discount Lookup'!D:E,2,FALSE)*G4047)</f>
        <v>0</v>
      </c>
      <c r="V4047" s="78">
        <f>IF(NOT(ISNUMBER(G4047)), "", VLOOKUP(A4047,'Discount Lookup'!G:H,2,FALSE)*G4047)</f>
        <v>0</v>
      </c>
      <c r="W4047" s="102">
        <f t="shared" si="2976"/>
        <v>0</v>
      </c>
      <c r="X4047" s="102">
        <f t="shared" si="2977"/>
        <v>0</v>
      </c>
      <c r="Y4047" s="120" t="b">
        <f t="shared" si="2978"/>
        <v>0</v>
      </c>
      <c r="Z4047" s="117">
        <f t="shared" si="2979"/>
        <v>0</v>
      </c>
      <c r="AA4047" s="118"/>
      <c r="AB4047" s="118" t="str">
        <f t="shared" si="2980"/>
        <v/>
      </c>
      <c r="AC4047" s="712" t="str">
        <f>IF(AE4047="T2G","no charge",IF(AND(OR(PlanterYesMe="No",PlanterYesMe="N",PlanterYesMe="me"),H4047=""),"",IF(H4047="credit","NO install",IF(AND(K4047="",AE4047="me"),"EACH row",IF(AND(K4047="images",AE4047="me"),"EACH row",IF(D4047="","",IF(H4047="credit","",IF(AE4047="free","re-planting",IF(AE4047="me","   not ELP, by",IF(AND(OR(PlanterYesMe="Yes",PlanterYesMe="Y"),G4047&gt;0),(VLOOKUP(A4047,'Discount Lookup'!J:K,2)*G4047*(1-PlanterDiscount)*(1+PlanterDifficultyPercentage)),IF(AE4047="ELP",(VLOOKUP(A4047,'Discount Lookup'!J:K,2)*G4047*(1-PlanterDiscount)*(1+PlanterDifficultyPercentage)),IF(AE4047="free","re-planting",IF(G4047=0,"",IF(PlanterYesMe="",IF(AE4047="me","   not ELP, by",IF(AE4047="",IF(G4047&gt;0,(VLOOKUP(A4047,'Discount Lookup'!J:K,2)*G4047*(1-PlanterDiscount)*(1+PlanterDifficultyPercentage)),""),"")),"   not ELP, by"))))))))))))))</f>
        <v/>
      </c>
      <c r="AD4047" s="712"/>
      <c r="AE4047" s="513" t="str">
        <f t="shared" si="2981"/>
        <v/>
      </c>
      <c r="AF4047" s="713" t="str">
        <f t="shared" si="2982"/>
        <v/>
      </c>
      <c r="AG4047" s="713"/>
      <c r="AH4047" s="713"/>
      <c r="AI4047" s="112">
        <f>IF(H4047="credit",0,IF(AE4047="free",0,IF(AE4047="me",0,IF(G4047&gt;0,(VLOOKUP(A4047,'Discount Lookup'!J:K,2)*G4047),0))))</f>
        <v>0</v>
      </c>
      <c r="AJ4047" s="107" t="str">
        <f t="shared" ca="1" si="2983"/>
        <v/>
      </c>
      <c r="AK4047" s="714" t="str">
        <f t="shared" si="2984"/>
        <v/>
      </c>
      <c r="AL4047" s="714"/>
      <c r="AM4047" s="114" t="str">
        <f t="shared" si="2985"/>
        <v/>
      </c>
      <c r="AN4047" s="115"/>
      <c r="AO4047" s="116"/>
      <c r="AP4047" s="116"/>
      <c r="AQ4047" s="116"/>
      <c r="AR4047" s="116"/>
      <c r="AS4047" s="116"/>
      <c r="AT4047" s="116"/>
      <c r="AU4047" s="116"/>
      <c r="AV4047" s="78"/>
      <c r="AW4047" s="102"/>
      <c r="AX4047" s="78"/>
      <c r="AY4047" s="78"/>
      <c r="AZ4047" s="78"/>
      <c r="BA4047" s="78"/>
      <c r="BB4047" s="78"/>
      <c r="BC4047" s="78"/>
      <c r="BD4047" s="78"/>
      <c r="BE4047" s="465"/>
      <c r="BF4047" s="165" t="str">
        <f t="shared" si="2986"/>
        <v>https://www.google.com/search?tbm=isch&amp;q=7%20G5</v>
      </c>
      <c r="BG4047" s="165" t="str">
        <f t="shared" si="2987"/>
        <v>T</v>
      </c>
      <c r="BH4047" s="65"/>
      <c r="BI4047" s="65"/>
      <c r="BJ4047" s="65"/>
      <c r="BK4047" s="65"/>
      <c r="BL4047" s="99"/>
      <c r="BM4047" s="99"/>
      <c r="BN4047" s="99"/>
    </row>
    <row r="4048" spans="1:66" s="51" customFormat="1" ht="16.5" thickBot="1" x14ac:dyDescent="0.3">
      <c r="A4048" s="508" t="s">
        <v>4344</v>
      </c>
      <c r="B4048" s="487"/>
      <c r="C4048" s="707"/>
      <c r="D4048" s="487"/>
      <c r="E4048" s="487"/>
      <c r="F4048" s="488"/>
      <c r="G4048" s="489"/>
      <c r="H4048" s="487"/>
      <c r="I4048" s="490"/>
      <c r="J4048" s="490"/>
      <c r="K4048" s="491"/>
      <c r="L4048" s="547"/>
      <c r="M4048" s="528"/>
      <c r="N4048" s="492"/>
      <c r="O4048" s="493"/>
      <c r="P4048" s="494"/>
      <c r="Q4048" s="492"/>
      <c r="R4048" s="492"/>
      <c r="S4048" s="495"/>
      <c r="T4048" s="102">
        <f t="shared" si="2975"/>
        <v>0</v>
      </c>
      <c r="U4048" s="78" t="str">
        <f>IF(NOT(ISNUMBER(G4048)), "", VLOOKUP(A4048,'Discount Lookup'!D:E,2,FALSE)*G4048)</f>
        <v/>
      </c>
      <c r="V4048" s="78" t="str">
        <f>IF(NOT(ISNUMBER(G4048)), "", VLOOKUP(A4048,'Discount Lookup'!G:H,2,FALSE)*G4048)</f>
        <v/>
      </c>
      <c r="W4048" s="102">
        <f t="shared" si="2976"/>
        <v>0</v>
      </c>
      <c r="X4048" s="102">
        <f t="shared" si="2977"/>
        <v>0</v>
      </c>
      <c r="Y4048" s="120" t="b">
        <f t="shared" si="2978"/>
        <v>0</v>
      </c>
      <c r="Z4048" s="117">
        <f t="shared" si="2979"/>
        <v>0</v>
      </c>
      <c r="AA4048" s="118"/>
      <c r="AB4048" s="118" t="str">
        <f t="shared" si="2980"/>
        <v/>
      </c>
      <c r="AC4048" s="712" t="str">
        <f>IF(AE4048="T2G","no charge",IF(AND(OR(PlanterYesMe="No",PlanterYesMe="N",PlanterYesMe="me"),H4048=""),"",IF(H4048="credit","NO install",IF(AND(K4048="",AE4048="me"),"EACH row",IF(AND(K4048="images",AE4048="me"),"EACH row",IF(D4048="","",IF(H4048="credit","",IF(AE4048="free","re-planting",IF(AE4048="me","   not ELP, by",IF(AND(OR(PlanterYesMe="Yes",PlanterYesMe="Y"),G4048&gt;0),(VLOOKUP(A4048,'Discount Lookup'!J:K,2)*G4048*(1-PlanterDiscount)*(1+PlanterDifficultyPercentage)),IF(AE4048="ELP",(VLOOKUP(A4048,'Discount Lookup'!J:K,2)*G4048*(1-PlanterDiscount)*(1+PlanterDifficultyPercentage)),IF(AE4048="free","re-planting",IF(G4048=0,"",IF(PlanterYesMe="",IF(AE4048="me","   not ELP, by",IF(AE4048="",IF(G4048&gt;0,(VLOOKUP(A4048,'Discount Lookup'!J:K,2)*G4048*(1-PlanterDiscount)*(1+PlanterDifficultyPercentage)),""),"")),"   not ELP, by"))))))))))))))</f>
        <v/>
      </c>
      <c r="AD4048" s="712"/>
      <c r="AE4048" s="513" t="str">
        <f t="shared" si="2981"/>
        <v/>
      </c>
      <c r="AF4048" s="713" t="str">
        <f t="shared" si="2982"/>
        <v/>
      </c>
      <c r="AG4048" s="713"/>
      <c r="AH4048" s="713"/>
      <c r="AI4048" s="112">
        <f>IF(H4048="credit",0,IF(AE4048="free",0,IF(AE4048="me",0,IF(G4048&gt;0,(VLOOKUP(A4048,'Discount Lookup'!J:K,2)*G4048),0))))</f>
        <v>0</v>
      </c>
      <c r="AJ4048" s="107" t="str">
        <f t="shared" ca="1" si="2983"/>
        <v/>
      </c>
      <c r="AK4048" s="714" t="str">
        <f t="shared" si="2984"/>
        <v/>
      </c>
      <c r="AL4048" s="714"/>
      <c r="AM4048" s="114" t="str">
        <f t="shared" si="2985"/>
        <v/>
      </c>
      <c r="AN4048" s="115"/>
      <c r="AO4048" s="116"/>
      <c r="AP4048" s="116"/>
      <c r="AQ4048" s="116"/>
      <c r="AR4048" s="116"/>
      <c r="AS4048" s="116"/>
      <c r="AT4048" s="116"/>
      <c r="AU4048" s="116"/>
      <c r="AV4048" s="78"/>
      <c r="AW4048" s="102"/>
      <c r="AX4048" s="78"/>
      <c r="AY4048" s="78"/>
      <c r="AZ4048" s="78"/>
      <c r="BA4048" s="78"/>
      <c r="BB4048" s="78"/>
      <c r="BC4048" s="78"/>
      <c r="BD4048" s="78"/>
      <c r="BE4048" s="465"/>
      <c r="BF4048" s="165" t="str">
        <f t="shared" si="2986"/>
        <v>https://www.google.com/search?tbm=isch&amp;q=Fire%20Chief%20is%20known%20for%20distinctive%20color%20shifts%2C%20from%20bright%20Gold%20in%20spring%2C%20to%20Orange%20in%20summer%2C%20to%20Red%20in%20fall%20</v>
      </c>
      <c r="BG4048" s="165" t="str">
        <f t="shared" si="2987"/>
        <v>F</v>
      </c>
      <c r="BH4048" s="65"/>
      <c r="BI4048" s="65"/>
      <c r="BJ4048" s="65"/>
      <c r="BK4048" s="65"/>
      <c r="BL4048" s="99"/>
      <c r="BM4048" s="99"/>
      <c r="BN4048" s="99"/>
    </row>
    <row r="4049" spans="1:66" s="51" customFormat="1" ht="18" x14ac:dyDescent="0.25">
      <c r="A4049" s="507" t="s">
        <v>759</v>
      </c>
      <c r="B4049" s="470"/>
      <c r="C4049" s="706"/>
      <c r="D4049" s="471" t="s">
        <v>760</v>
      </c>
      <c r="E4049" s="472"/>
      <c r="F4049" s="472"/>
      <c r="G4049" s="472"/>
      <c r="H4049" s="622" t="s">
        <v>754</v>
      </c>
      <c r="I4049" s="473" t="s">
        <v>431</v>
      </c>
      <c r="J4049" s="472"/>
      <c r="K4049" s="472"/>
      <c r="L4049" s="561"/>
      <c r="M4049" s="698" t="s">
        <v>5246</v>
      </c>
      <c r="N4049" s="692" t="str">
        <f>IF(AND(ISTEXT($A4049), ISERROR($A4049+0)), HYPERLINK($BF4049, "Images"), "")</f>
        <v>Images</v>
      </c>
      <c r="O4049" s="694" t="s">
        <v>5286</v>
      </c>
      <c r="P4049" s="475"/>
      <c r="Q4049" s="476"/>
      <c r="R4049" s="476"/>
      <c r="S4049" s="477" t="s">
        <v>294</v>
      </c>
      <c r="T4049" s="102">
        <f t="shared" si="2975"/>
        <v>0</v>
      </c>
      <c r="U4049" s="78" t="str">
        <f>IF(NOT(ISNUMBER(G4049)), "", VLOOKUP(A4049,'Discount Lookup'!D:E,2,FALSE)*G4049)</f>
        <v/>
      </c>
      <c r="V4049" s="78" t="str">
        <f>IF(NOT(ISNUMBER(G4049)), "", VLOOKUP(A4049,'Discount Lookup'!G:H,2,FALSE)*G4049)</f>
        <v/>
      </c>
      <c r="W4049" s="102">
        <f t="shared" si="2976"/>
        <v>0</v>
      </c>
      <c r="X4049" s="102" t="str">
        <f t="shared" si="2977"/>
        <v>Dark Green foliage</v>
      </c>
      <c r="Y4049" s="120" t="b">
        <f t="shared" si="2978"/>
        <v>0</v>
      </c>
      <c r="Z4049" s="117">
        <f t="shared" si="2979"/>
        <v>0</v>
      </c>
      <c r="AA4049" s="118"/>
      <c r="AB4049" s="118" t="str">
        <f t="shared" si="2980"/>
        <v/>
      </c>
      <c r="AC4049" s="712" t="str">
        <f>IF(AE4049="T2G","no charge",IF(AND(OR(PlanterYesMe="No",PlanterYesMe="N",PlanterYesMe="me"),H4049=""),"",IF(H4049="credit","NO install",IF(AND(K4049="",AE4049="me"),"EACH row",IF(AND(K4049="images",AE4049="me"),"EACH row",IF(D4049="","",IF(H4049="credit","",IF(AE4049="free","re-planting",IF(AE4049="me","   not ELP, by",IF(AND(OR(PlanterYesMe="Yes",PlanterYesMe="Y"),G4049&gt;0),(VLOOKUP(A4049,'Discount Lookup'!J:K,2)*G4049*(1-PlanterDiscount)*(1+PlanterDifficultyPercentage)),IF(AE4049="ELP",(VLOOKUP(A4049,'Discount Lookup'!J:K,2)*G4049*(1-PlanterDiscount)*(1+PlanterDifficultyPercentage)),IF(AE4049="free","re-planting",IF(G4049=0,"",IF(PlanterYesMe="",IF(AE4049="me","   not ELP, by",IF(AE4049="",IF(G4049&gt;0,(VLOOKUP(A4049,'Discount Lookup'!J:K,2)*G4049*(1-PlanterDiscount)*(1+PlanterDifficultyPercentage)),""),"")),"   not ELP, by"))))))))))))))</f>
        <v/>
      </c>
      <c r="AD4049" s="712"/>
      <c r="AE4049" s="513" t="str">
        <f t="shared" si="2981"/>
        <v/>
      </c>
      <c r="AF4049" s="713" t="str">
        <f t="shared" si="2982"/>
        <v/>
      </c>
      <c r="AG4049" s="713"/>
      <c r="AH4049" s="713"/>
      <c r="AI4049" s="112">
        <f>IF(H4049="credit",0,IF(AE4049="free",0,IF(AE4049="me",0,IF(G4049&gt;0,(VLOOKUP(A4049,'Discount Lookup'!J:K,2)*G4049),0))))</f>
        <v>0</v>
      </c>
      <c r="AJ4049" s="107" t="str">
        <f t="shared" ca="1" si="2983"/>
        <v/>
      </c>
      <c r="AK4049" s="714" t="str">
        <f t="shared" si="2984"/>
        <v/>
      </c>
      <c r="AL4049" s="714"/>
      <c r="AM4049" s="114" t="str">
        <f t="shared" si="2985"/>
        <v/>
      </c>
      <c r="AN4049" s="115"/>
      <c r="AO4049" s="116"/>
      <c r="AP4049" s="116"/>
      <c r="AQ4049" s="116"/>
      <c r="AR4049" s="116"/>
      <c r="AS4049" s="116"/>
      <c r="AT4049" s="116"/>
      <c r="AU4049" s="116"/>
      <c r="AV4049" s="78"/>
      <c r="AW4049" s="102"/>
      <c r="AX4049" s="78"/>
      <c r="AY4049" s="78"/>
      <c r="AZ4049" s="78"/>
      <c r="BA4049" s="78"/>
      <c r="BB4049" s="78"/>
      <c r="BC4049" s="78"/>
      <c r="BD4049" s="78"/>
      <c r="BE4049" s="465"/>
      <c r="BF4049" s="165" t="str">
        <f t="shared" si="2986"/>
        <v>https://www.google.com/search?tbm=isch&amp;q=Thuja%20occidentalis%20%27DeGroot%27s%20Spire%27%20DeGroot%27s%20Spire%20Arborvitae</v>
      </c>
      <c r="BG4049" s="165" t="str">
        <f t="shared" si="2987"/>
        <v>T</v>
      </c>
      <c r="BH4049" s="65"/>
      <c r="BI4049" s="65"/>
      <c r="BJ4049" s="65"/>
      <c r="BK4049" s="65"/>
      <c r="BL4049" s="99"/>
      <c r="BM4049" s="99"/>
      <c r="BN4049" s="99"/>
    </row>
    <row r="4050" spans="1:66" s="51" customFormat="1" ht="15.75" x14ac:dyDescent="0.25">
      <c r="A4050" s="478">
        <v>3</v>
      </c>
      <c r="B4050" s="479" t="s">
        <v>291</v>
      </c>
      <c r="C4050" s="480" t="s">
        <v>884</v>
      </c>
      <c r="D4050" s="481" t="s">
        <v>329</v>
      </c>
      <c r="E4050" s="482">
        <v>34.950000000000003</v>
      </c>
      <c r="F4050" s="483" t="s">
        <v>292</v>
      </c>
      <c r="G4050" s="484">
        <v>0</v>
      </c>
      <c r="H4050" s="688" t="str">
        <f t="shared" ref="H4050:H4057" si="3016">IF(G4050=0,"",IF(F4050="Buy",IF(G4050=1,"plant","plants"),IF(F4050&gt;0.01,"warranty","Error")))</f>
        <v/>
      </c>
      <c r="I4050" s="485">
        <f t="shared" ref="I4050:I4057" si="3017">IF(H4050="free",0,IF(H4050="credit",((E4050*(F4050))*G4050*-1),IF(F4050="Buy",(E4050*G4050),((E4050*(1-F4050))*G4050))))</f>
        <v>0</v>
      </c>
      <c r="J4050" s="485">
        <f t="shared" ref="J4050:J4057" si="3018">IF(H4050="warranty",0,(I4050*(_xlfn.SINGLE(SalesTaxPercentage))))</f>
        <v>0</v>
      </c>
      <c r="K4050" s="715">
        <f t="shared" ref="K4050" si="3019">I4050+J4050</f>
        <v>0</v>
      </c>
      <c r="L4050" s="715"/>
      <c r="M4050" s="689" t="str">
        <f t="shared" ref="M4050:M4057" ca="1" si="3020">IF(AND(G4050&gt;0,E4050=0),"WARNING - no PRICE inserted",IF(H4050="free","FREE ~ no charge this plant",IF(H4050="credit",CONCATENATE("-$",ROUND(K4050*(1-_xlfn.SINGLE(T2GDiscount))*-1,2)," CREDIT after discount"),IF(_xlfn.SINGLE(T2GDiscount)=0,"",IF(G4050=0,"",IF(F4050="Buy",CONCATENATE("$",ROUND(K4050*(1-_xlfn.SINGLE(T2GDiscount)),2)," with ",(_xlfn.SINGLE(T2GDiscount)*100),"% discount"),CONCATENATE("$",ROUND(K4050*(1-_xlfn.SINGLE(T2GDiscount)),2)," with ",((_xlfn.SINGLE(T2GDiscount)*100+F4050*100)-(_xlfn.SINGLE(T2GDiscount)*100*F4050)),IF(F4050&gt;0,"% discounts",IF(_xlfn.SINGLE(NoWarrantyDiscount)&gt;0,"% discounts","% discount")))))))))</f>
        <v/>
      </c>
      <c r="N4050" s="690"/>
      <c r="O4050" s="486"/>
      <c r="P4050" s="486"/>
      <c r="Q4050" s="486"/>
      <c r="R4050" s="486"/>
      <c r="S4050" s="486"/>
      <c r="T4050" s="102">
        <f t="shared" si="2975"/>
        <v>0</v>
      </c>
      <c r="U4050" s="78">
        <f>IF(NOT(ISNUMBER(G4050)), "", VLOOKUP(A4050,'Discount Lookup'!D:E,2,FALSE)*G4050)</f>
        <v>0</v>
      </c>
      <c r="V4050" s="78">
        <f>IF(NOT(ISNUMBER(G4050)), "", VLOOKUP(A4050,'Discount Lookup'!G:H,2,FALSE)*G4050)</f>
        <v>0</v>
      </c>
      <c r="W4050" s="102">
        <f t="shared" si="2976"/>
        <v>0</v>
      </c>
      <c r="X4050" s="102">
        <f t="shared" si="2977"/>
        <v>0</v>
      </c>
      <c r="Y4050" s="120" t="b">
        <f t="shared" si="2978"/>
        <v>0</v>
      </c>
      <c r="Z4050" s="117">
        <f t="shared" si="2979"/>
        <v>0</v>
      </c>
      <c r="AA4050" s="118"/>
      <c r="AB4050" s="118" t="str">
        <f t="shared" si="2980"/>
        <v/>
      </c>
      <c r="AC4050" s="712" t="str">
        <f>IF(AE4050="T2G","no charge",IF(AND(OR(PlanterYesMe="No",PlanterYesMe="N",PlanterYesMe="me"),H4050=""),"",IF(H4050="credit","NO install",IF(AND(K4050="",AE4050="me"),"EACH row",IF(AND(K4050="images",AE4050="me"),"EACH row",IF(D4050="","",IF(H4050="credit","",IF(AE4050="free","re-planting",IF(AE4050="me","   not ELP, by",IF(AND(OR(PlanterYesMe="Yes",PlanterYesMe="Y"),G4050&gt;0),(VLOOKUP(A4050,'Discount Lookup'!J:K,2)*G4050*(1-PlanterDiscount)*(1+PlanterDifficultyPercentage)),IF(AE4050="ELP",(VLOOKUP(A4050,'Discount Lookup'!J:K,2)*G4050*(1-PlanterDiscount)*(1+PlanterDifficultyPercentage)),IF(AE4050="free","re-planting",IF(G4050=0,"",IF(PlanterYesMe="",IF(AE4050="me","   not ELP, by",IF(AE4050="",IF(G4050&gt;0,(VLOOKUP(A4050,'Discount Lookup'!J:K,2)*G4050*(1-PlanterDiscount)*(1+PlanterDifficultyPercentage)),""),"")),"   not ELP, by"))))))))))))))</f>
        <v/>
      </c>
      <c r="AD4050" s="712"/>
      <c r="AE4050" s="513" t="str">
        <f t="shared" si="2981"/>
        <v/>
      </c>
      <c r="AF4050" s="713" t="str">
        <f t="shared" si="2982"/>
        <v/>
      </c>
      <c r="AG4050" s="713"/>
      <c r="AH4050" s="713"/>
      <c r="AI4050" s="112">
        <f>IF(H4050="credit",0,IF(AE4050="free",0,IF(AE4050="me",0,IF(G4050&gt;0,(VLOOKUP(A4050,'Discount Lookup'!J:K,2)*G4050),0))))</f>
        <v>0</v>
      </c>
      <c r="AJ4050" s="107" t="str">
        <f t="shared" ca="1" si="2983"/>
        <v/>
      </c>
      <c r="AK4050" s="714" t="str">
        <f t="shared" si="2984"/>
        <v/>
      </c>
      <c r="AL4050" s="714"/>
      <c r="AM4050" s="114" t="str">
        <f t="shared" si="2985"/>
        <v/>
      </c>
      <c r="AN4050" s="115"/>
      <c r="AO4050" s="116"/>
      <c r="AP4050" s="116"/>
      <c r="AQ4050" s="116"/>
      <c r="AR4050" s="116"/>
      <c r="AS4050" s="116"/>
      <c r="AT4050" s="116"/>
      <c r="AU4050" s="116"/>
      <c r="AV4050" s="78"/>
      <c r="AW4050" s="102"/>
      <c r="AX4050" s="78"/>
      <c r="AY4050" s="78"/>
      <c r="AZ4050" s="78"/>
      <c r="BA4050" s="78"/>
      <c r="BB4050" s="78"/>
      <c r="BC4050" s="78"/>
      <c r="BD4050" s="78"/>
      <c r="BE4050" s="465"/>
      <c r="BF4050" s="165" t="str">
        <f t="shared" si="2986"/>
        <v>https://www.google.com/search?tbm=isch&amp;q=3%20G2</v>
      </c>
      <c r="BG4050" s="165" t="str">
        <f t="shared" si="2987"/>
        <v>T</v>
      </c>
      <c r="BH4050" s="65"/>
      <c r="BI4050" s="65"/>
      <c r="BJ4050" s="65"/>
      <c r="BK4050" s="65"/>
      <c r="BL4050" s="99"/>
      <c r="BM4050" s="99"/>
      <c r="BN4050" s="99"/>
    </row>
    <row r="4051" spans="1:66" s="51" customFormat="1" ht="15.75" x14ac:dyDescent="0.25">
      <c r="A4051" s="478">
        <v>3</v>
      </c>
      <c r="B4051" s="479" t="s">
        <v>291</v>
      </c>
      <c r="C4051" s="480" t="s">
        <v>761</v>
      </c>
      <c r="D4051" s="481" t="s">
        <v>311</v>
      </c>
      <c r="E4051" s="482">
        <v>40.950000000000003</v>
      </c>
      <c r="F4051" s="483" t="s">
        <v>292</v>
      </c>
      <c r="G4051" s="484">
        <v>0</v>
      </c>
      <c r="H4051" s="688" t="str">
        <f t="shared" si="3016"/>
        <v/>
      </c>
      <c r="I4051" s="485">
        <f t="shared" si="3017"/>
        <v>0</v>
      </c>
      <c r="J4051" s="485">
        <f t="shared" si="3018"/>
        <v>0</v>
      </c>
      <c r="K4051" s="715">
        <f t="shared" ref="K4051" si="3021">I4051+J4051</f>
        <v>0</v>
      </c>
      <c r="L4051" s="715"/>
      <c r="M4051" s="689" t="str">
        <f t="shared" ca="1" si="3020"/>
        <v/>
      </c>
      <c r="N4051" s="690"/>
      <c r="O4051" s="486"/>
      <c r="P4051" s="486"/>
      <c r="Q4051" s="486"/>
      <c r="R4051" s="486"/>
      <c r="S4051" s="486"/>
      <c r="T4051" s="102">
        <f t="shared" si="2975"/>
        <v>0</v>
      </c>
      <c r="U4051" s="78">
        <f>IF(NOT(ISNUMBER(G4051)), "", VLOOKUP(A4051,'Discount Lookup'!D:E,2,FALSE)*G4051)</f>
        <v>0</v>
      </c>
      <c r="V4051" s="78">
        <f>IF(NOT(ISNUMBER(G4051)), "", VLOOKUP(A4051,'Discount Lookup'!G:H,2,FALSE)*G4051)</f>
        <v>0</v>
      </c>
      <c r="W4051" s="102">
        <f t="shared" si="2976"/>
        <v>0</v>
      </c>
      <c r="X4051" s="102">
        <f t="shared" si="2977"/>
        <v>0</v>
      </c>
      <c r="Y4051" s="120" t="b">
        <f t="shared" si="2978"/>
        <v>0</v>
      </c>
      <c r="Z4051" s="117">
        <f t="shared" si="2979"/>
        <v>0</v>
      </c>
      <c r="AA4051" s="118"/>
      <c r="AB4051" s="118" t="str">
        <f t="shared" si="2980"/>
        <v/>
      </c>
      <c r="AC4051" s="712" t="str">
        <f>IF(AE4051="T2G","no charge",IF(AND(OR(PlanterYesMe="No",PlanterYesMe="N",PlanterYesMe="me"),H4051=""),"",IF(H4051="credit","NO install",IF(AND(K4051="",AE4051="me"),"EACH row",IF(AND(K4051="images",AE4051="me"),"EACH row",IF(D4051="","",IF(H4051="credit","",IF(AE4051="free","re-planting",IF(AE4051="me","   not ELP, by",IF(AND(OR(PlanterYesMe="Yes",PlanterYesMe="Y"),G4051&gt;0),(VLOOKUP(A4051,'Discount Lookup'!J:K,2)*G4051*(1-PlanterDiscount)*(1+PlanterDifficultyPercentage)),IF(AE4051="ELP",(VLOOKUP(A4051,'Discount Lookup'!J:K,2)*G4051*(1-PlanterDiscount)*(1+PlanterDifficultyPercentage)),IF(AE4051="free","re-planting",IF(G4051=0,"",IF(PlanterYesMe="",IF(AE4051="me","   not ELP, by",IF(AE4051="",IF(G4051&gt;0,(VLOOKUP(A4051,'Discount Lookup'!J:K,2)*G4051*(1-PlanterDiscount)*(1+PlanterDifficultyPercentage)),""),"")),"   not ELP, by"))))))))))))))</f>
        <v/>
      </c>
      <c r="AD4051" s="712"/>
      <c r="AE4051" s="513" t="str">
        <f t="shared" si="2981"/>
        <v/>
      </c>
      <c r="AF4051" s="713" t="str">
        <f t="shared" si="2982"/>
        <v/>
      </c>
      <c r="AG4051" s="713"/>
      <c r="AH4051" s="713"/>
      <c r="AI4051" s="112">
        <f>IF(H4051="credit",0,IF(AE4051="free",0,IF(AE4051="me",0,IF(G4051&gt;0,(VLOOKUP(A4051,'Discount Lookup'!J:K,2)*G4051),0))))</f>
        <v>0</v>
      </c>
      <c r="AJ4051" s="107" t="str">
        <f t="shared" ca="1" si="2983"/>
        <v/>
      </c>
      <c r="AK4051" s="714" t="str">
        <f t="shared" si="2984"/>
        <v/>
      </c>
      <c r="AL4051" s="714"/>
      <c r="AM4051" s="114" t="str">
        <f t="shared" si="2985"/>
        <v/>
      </c>
      <c r="AN4051" s="115"/>
      <c r="AO4051" s="116"/>
      <c r="AP4051" s="116"/>
      <c r="AQ4051" s="116"/>
      <c r="AR4051" s="116"/>
      <c r="AS4051" s="116"/>
      <c r="AT4051" s="116"/>
      <c r="AU4051" s="116"/>
      <c r="AV4051" s="78"/>
      <c r="AW4051" s="102"/>
      <c r="AX4051" s="78"/>
      <c r="AY4051" s="78"/>
      <c r="AZ4051" s="78"/>
      <c r="BA4051" s="78"/>
      <c r="BB4051" s="78"/>
      <c r="BC4051" s="78"/>
      <c r="BD4051" s="78"/>
      <c r="BE4051" s="465"/>
      <c r="BF4051" s="165" t="str">
        <f t="shared" si="2986"/>
        <v>https://www.google.com/search?tbm=isch&amp;q=3%20G5</v>
      </c>
      <c r="BG4051" s="165" t="str">
        <f t="shared" si="2987"/>
        <v>T</v>
      </c>
      <c r="BH4051" s="65"/>
      <c r="BI4051" s="65"/>
      <c r="BJ4051" s="65"/>
      <c r="BK4051" s="65"/>
      <c r="BL4051" s="99"/>
      <c r="BM4051" s="99"/>
      <c r="BN4051" s="99"/>
    </row>
    <row r="4052" spans="1:66" s="51" customFormat="1" ht="15.75" x14ac:dyDescent="0.25">
      <c r="A4052" s="478">
        <v>7</v>
      </c>
      <c r="B4052" s="479" t="s">
        <v>291</v>
      </c>
      <c r="C4052" s="480" t="s">
        <v>859</v>
      </c>
      <c r="D4052" s="481" t="s">
        <v>309</v>
      </c>
      <c r="E4052" s="482">
        <v>56.95</v>
      </c>
      <c r="F4052" s="483" t="s">
        <v>292</v>
      </c>
      <c r="G4052" s="484">
        <v>0</v>
      </c>
      <c r="H4052" s="688" t="str">
        <f t="shared" si="3016"/>
        <v/>
      </c>
      <c r="I4052" s="485">
        <f t="shared" si="3017"/>
        <v>0</v>
      </c>
      <c r="J4052" s="485">
        <f t="shared" si="3018"/>
        <v>0</v>
      </c>
      <c r="K4052" s="715">
        <f t="shared" ref="K4052" si="3022">I4052+J4052</f>
        <v>0</v>
      </c>
      <c r="L4052" s="715"/>
      <c r="M4052" s="689" t="str">
        <f t="shared" ca="1" si="3020"/>
        <v/>
      </c>
      <c r="N4052" s="690"/>
      <c r="O4052" s="486"/>
      <c r="P4052" s="486"/>
      <c r="Q4052" s="486"/>
      <c r="R4052" s="486"/>
      <c r="S4052" s="486"/>
      <c r="T4052" s="102">
        <f t="shared" ref="T4052:T4115" si="3023">E4052*G4052</f>
        <v>0</v>
      </c>
      <c r="U4052" s="78">
        <f>IF(NOT(ISNUMBER(G4052)), "", VLOOKUP(A4052,'Discount Lookup'!D:E,2,FALSE)*G4052)</f>
        <v>0</v>
      </c>
      <c r="V4052" s="78">
        <f>IF(NOT(ISNUMBER(G4052)), "", VLOOKUP(A4052,'Discount Lookup'!G:H,2,FALSE)*G4052)</f>
        <v>0</v>
      </c>
      <c r="W4052" s="102">
        <f t="shared" ref="W4052:W4115" si="3024">IF(H4052="credit",0,E4052*(SalesTaxPercentage)*G4052)</f>
        <v>0</v>
      </c>
      <c r="X4052" s="102">
        <f t="shared" ref="X4052:X4115" si="3025">I4052</f>
        <v>0</v>
      </c>
      <c r="Y4052" s="120" t="b">
        <f t="shared" ref="Y4052:Y4115" si="3026">IF(AE4052="T2G",0,IF(H4052="credit",0,IF(G4052&gt;0,IF(AE4052="me","",G4052))))</f>
        <v>0</v>
      </c>
      <c r="Z4052" s="117">
        <f t="shared" ref="Z4052:Z4115" si="3027">IF(H4052="credit",G4052,0)</f>
        <v>0</v>
      </c>
      <c r="AA4052" s="118"/>
      <c r="AB4052" s="118" t="str">
        <f t="shared" ref="AB4052:AB4115" si="3028">IF(AE4052="T2G","by Trees2Go",IF(H4052="credit","CREDIT only ~",IF(AND(K4052="",AE4052=OR(PlanterYesMe="No",PlanterYesMe="N",PlanterYesMe="me")),"not THIS line⇨",IF(AND(K4052="images",AE4052="me"),"not THIS line⇨",IF(H4052="credit","",IF(G4052=0,"",IF(AE4052="me","",IF(OR(PlanterYesMe="No",PlanterYesMe="N",PlanterYesMe="me"),"",IF(AE4052="free","warranty",IF(OR(PlanterYesMe="yes",PlanterYesMe="y"),"Edison install:","to install:"))))))))))</f>
        <v/>
      </c>
      <c r="AC4052" s="712" t="str">
        <f>IF(AE4052="T2G","no charge",IF(AND(OR(PlanterYesMe="No",PlanterYesMe="N",PlanterYesMe="me"),H4052=""),"",IF(H4052="credit","NO install",IF(AND(K4052="",AE4052="me"),"EACH row",IF(AND(K4052="images",AE4052="me"),"EACH row",IF(D4052="","",IF(H4052="credit","",IF(AE4052="free","re-planting",IF(AE4052="me","   not ELP, by",IF(AND(OR(PlanterYesMe="Yes",PlanterYesMe="Y"),G4052&gt;0),(VLOOKUP(A4052,'Discount Lookup'!J:K,2)*G4052*(1-PlanterDiscount)*(1+PlanterDifficultyPercentage)),IF(AE4052="ELP",(VLOOKUP(A4052,'Discount Lookup'!J:K,2)*G4052*(1-PlanterDiscount)*(1+PlanterDifficultyPercentage)),IF(AE4052="free","re-planting",IF(G4052=0,"",IF(PlanterYesMe="",IF(AE4052="me","   not ELP, by",IF(AE4052="",IF(G4052&gt;0,(VLOOKUP(A4052,'Discount Lookup'!J:K,2)*G4052*(1-PlanterDiscount)*(1+PlanterDifficultyPercentage)),""),"")),"   not ELP, by"))))))))))))))</f>
        <v/>
      </c>
      <c r="AD4052" s="712"/>
      <c r="AE4052" s="513" t="str">
        <f t="shared" ref="AE4052:AE4115" si="3029">IF(H4052="credit","",IF(G4052=0,"",IF(OR(PlanterYesMe="No",PlanterYesMe="N",PlanterYesMe="me"),"me",IF(H4052="warranty","free",IF(OR(PlanterYesMe="yes",PlanterYesMe="y"),"ELP","")))))</f>
        <v/>
      </c>
      <c r="AF4052" s="713" t="str">
        <f t="shared" ref="AF4052:AF4115" si="3030">IF(OR(PlanterYesMe="No",PlanterYesMe="N",PlanterYesMe="me"),"",IF(H4052="credit","",IF(G4052&gt;0,(CONCATENATE((G4052)," quantity, ",(A4052)," ",B4052)),"")))</f>
        <v/>
      </c>
      <c r="AG4052" s="713"/>
      <c r="AH4052" s="713"/>
      <c r="AI4052" s="112">
        <f>IF(H4052="credit",0,IF(AE4052="free",0,IF(AE4052="me",0,IF(G4052&gt;0,(VLOOKUP(A4052,'Discount Lookup'!J:K,2)*G4052),0))))</f>
        <v>0</v>
      </c>
      <c r="AJ4052" s="107" t="str">
        <f t="shared" ref="AJ4052:AJ4115" ca="1" si="3031">IF(AND(ISREF(H4052),H4052="credit"),"",IF(AND(AND(OFFSET(G4052,0,0)=0,OFFSET(G4052,1,0)&gt;0,ISNUMBER(OFFSET(AC4052,1,0)),OFFSET(AC4052,1,0)&gt;0),OR(PlanterYesMe="yes",PlanterYesMe="y")),"T2G+ELP=",IF(AND(OFFSET(G4052,0,0)=0,OFFSET(G4052,1,0)&gt;0,ISNUMBER(OFFSET(AC4052,1,0)),OFFSET(AC4052,1,0)&gt;0),"if T2G+ELP=",IF(AND(OFFSET(G4052,0,0)=0,OFFSET(G4052,1,0)&gt;0),"T2G Subtotal",IF(H4052="credit","",IF(G4052=0,"",IF(AE4052="free",(K4052*(1-T2GDiscount)),IF(OR(PlanterYesMe="No",PlanterYesMe="N",PlanterYesMe="me"),(K4052*(1-T2GDiscount)),IF(OR(AE4052="me",AE4052="T2G"),(K4052*(1-T2GDiscount)),(K4052*(1-T2GDiscount))+AC4052)))))))))</f>
        <v/>
      </c>
      <c r="AK4052" s="714" t="str">
        <f t="shared" ref="AK4052:AK4115" si="3032">IF(H4052="credit","",IF(G4052=0,"",IF(OR(AE4052="me",AE4052="T2G"),"  delivery-only",IF(OR(PlanterYesMe="No",PlanterYesMe="N",PlanterYesMe="me"),"  delivery-only",CONCATENATE(" $",ROUND(AJ4052/G4052,2)," each")))))</f>
        <v/>
      </c>
      <c r="AL4052" s="714"/>
      <c r="AM4052" s="114" t="str">
        <f t="shared" ref="AM4052:AM4115" si="3033">IF(H4052="credit","",IF(AE4052="free","      ~ discounts included, no tax or planting fee applies ~",IF(G4052=0,"",IF(OR(PlanterYesMe="No",PlanterYesMe="N",PlanterYesMe="me"),CONCATENATE(" $",ROUND(AJ4052/G4052,2)," per plant, with tax &amp; discount"),IF(OR(AE4052="me",AE4052="T2G"),CONCATENATE(" $",ROUND(AJ4052/G4052,2)," per plant, with tax &amp; discount"),CONCATENATE("= $",ROUND((K4052*(1-T2GDiscount))/G4052,2)," per plant + $",AC4052/G4052,(" per planting      ~ includes tax &amp; discounts ~")))))))</f>
        <v/>
      </c>
      <c r="AN4052" s="115"/>
      <c r="AO4052" s="116"/>
      <c r="AP4052" s="116"/>
      <c r="AQ4052" s="116"/>
      <c r="AR4052" s="116"/>
      <c r="AS4052" s="116"/>
      <c r="AT4052" s="116"/>
      <c r="AU4052" s="116"/>
      <c r="AV4052" s="78"/>
      <c r="AW4052" s="102"/>
      <c r="AX4052" s="78"/>
      <c r="AY4052" s="78"/>
      <c r="AZ4052" s="78"/>
      <c r="BA4052" s="78"/>
      <c r="BB4052" s="78"/>
      <c r="BC4052" s="78"/>
      <c r="BD4052" s="78"/>
      <c r="BE4052" s="465"/>
      <c r="BF4052" s="165" t="str">
        <f t="shared" ref="BF4052:BF4115" si="3034">"https://www.google.com/search?tbm=isch&amp;q=" &amp; _xlfn.ENCODEURL($A4052 &amp; " " &amp; $D4052)</f>
        <v>https://www.google.com/search?tbm=isch&amp;q=7%20G3</v>
      </c>
      <c r="BG4052" s="165" t="str">
        <f t="shared" ref="BG4052:BG4115" si="3035">IF(ISTEXT(A4052),LEFT(A4052,1),BG4051)</f>
        <v>T</v>
      </c>
      <c r="BH4052" s="65"/>
      <c r="BI4052" s="65"/>
      <c r="BJ4052" s="65"/>
      <c r="BK4052" s="65"/>
      <c r="BL4052" s="99"/>
      <c r="BM4052" s="99"/>
      <c r="BN4052" s="99"/>
    </row>
    <row r="4053" spans="1:66" s="51" customFormat="1" ht="15.75" x14ac:dyDescent="0.25">
      <c r="A4053" s="478">
        <v>7</v>
      </c>
      <c r="B4053" s="479" t="s">
        <v>291</v>
      </c>
      <c r="C4053" s="480" t="s">
        <v>860</v>
      </c>
      <c r="D4053" s="481" t="s">
        <v>311</v>
      </c>
      <c r="E4053" s="482">
        <v>91.95</v>
      </c>
      <c r="F4053" s="483" t="s">
        <v>292</v>
      </c>
      <c r="G4053" s="484">
        <v>0</v>
      </c>
      <c r="H4053" s="688" t="str">
        <f t="shared" si="3016"/>
        <v/>
      </c>
      <c r="I4053" s="485">
        <f t="shared" si="3017"/>
        <v>0</v>
      </c>
      <c r="J4053" s="485">
        <f t="shared" si="3018"/>
        <v>0</v>
      </c>
      <c r="K4053" s="715">
        <f t="shared" ref="K4053" si="3036">I4053+J4053</f>
        <v>0</v>
      </c>
      <c r="L4053" s="715"/>
      <c r="M4053" s="689" t="str">
        <f t="shared" ca="1" si="3020"/>
        <v/>
      </c>
      <c r="N4053" s="690"/>
      <c r="O4053" s="486"/>
      <c r="P4053" s="486"/>
      <c r="Q4053" s="486"/>
      <c r="R4053" s="486"/>
      <c r="S4053" s="486"/>
      <c r="T4053" s="102">
        <f t="shared" si="3023"/>
        <v>0</v>
      </c>
      <c r="U4053" s="78">
        <f>IF(NOT(ISNUMBER(G4053)), "", VLOOKUP(A4053,'Discount Lookup'!D:E,2,FALSE)*G4053)</f>
        <v>0</v>
      </c>
      <c r="V4053" s="78">
        <f>IF(NOT(ISNUMBER(G4053)), "", VLOOKUP(A4053,'Discount Lookup'!G:H,2,FALSE)*G4053)</f>
        <v>0</v>
      </c>
      <c r="W4053" s="102">
        <f t="shared" si="3024"/>
        <v>0</v>
      </c>
      <c r="X4053" s="102">
        <f t="shared" si="3025"/>
        <v>0</v>
      </c>
      <c r="Y4053" s="120" t="b">
        <f t="shared" si="3026"/>
        <v>0</v>
      </c>
      <c r="Z4053" s="117">
        <f t="shared" si="3027"/>
        <v>0</v>
      </c>
      <c r="AA4053" s="118"/>
      <c r="AB4053" s="118" t="str">
        <f t="shared" si="3028"/>
        <v/>
      </c>
      <c r="AC4053" s="712" t="str">
        <f>IF(AE4053="T2G","no charge",IF(AND(OR(PlanterYesMe="No",PlanterYesMe="N",PlanterYesMe="me"),H4053=""),"",IF(H4053="credit","NO install",IF(AND(K4053="",AE4053="me"),"EACH row",IF(AND(K4053="images",AE4053="me"),"EACH row",IF(D4053="","",IF(H4053="credit","",IF(AE4053="free","re-planting",IF(AE4053="me","   not ELP, by",IF(AND(OR(PlanterYesMe="Yes",PlanterYesMe="Y"),G4053&gt;0),(VLOOKUP(A4053,'Discount Lookup'!J:K,2)*G4053*(1-PlanterDiscount)*(1+PlanterDifficultyPercentage)),IF(AE4053="ELP",(VLOOKUP(A4053,'Discount Lookup'!J:K,2)*G4053*(1-PlanterDiscount)*(1+PlanterDifficultyPercentage)),IF(AE4053="free","re-planting",IF(G4053=0,"",IF(PlanterYesMe="",IF(AE4053="me","   not ELP, by",IF(AE4053="",IF(G4053&gt;0,(VLOOKUP(A4053,'Discount Lookup'!J:K,2)*G4053*(1-PlanterDiscount)*(1+PlanterDifficultyPercentage)),""),"")),"   not ELP, by"))))))))))))))</f>
        <v/>
      </c>
      <c r="AD4053" s="712"/>
      <c r="AE4053" s="513" t="str">
        <f t="shared" si="3029"/>
        <v/>
      </c>
      <c r="AF4053" s="713" t="str">
        <f t="shared" si="3030"/>
        <v/>
      </c>
      <c r="AG4053" s="713"/>
      <c r="AH4053" s="713"/>
      <c r="AI4053" s="112">
        <f>IF(H4053="credit",0,IF(AE4053="free",0,IF(AE4053="me",0,IF(G4053&gt;0,(VLOOKUP(A4053,'Discount Lookup'!J:K,2)*G4053),0))))</f>
        <v>0</v>
      </c>
      <c r="AJ4053" s="107" t="str">
        <f t="shared" ca="1" si="3031"/>
        <v/>
      </c>
      <c r="AK4053" s="714" t="str">
        <f t="shared" si="3032"/>
        <v/>
      </c>
      <c r="AL4053" s="714"/>
      <c r="AM4053" s="114" t="str">
        <f t="shared" si="3033"/>
        <v/>
      </c>
      <c r="AN4053" s="115"/>
      <c r="AO4053" s="116"/>
      <c r="AP4053" s="116"/>
      <c r="AQ4053" s="116"/>
      <c r="AR4053" s="116"/>
      <c r="AS4053" s="116"/>
      <c r="AT4053" s="116"/>
      <c r="AU4053" s="116"/>
      <c r="AV4053" s="78"/>
      <c r="AW4053" s="102"/>
      <c r="AX4053" s="78"/>
      <c r="AY4053" s="78"/>
      <c r="AZ4053" s="78"/>
      <c r="BA4053" s="78"/>
      <c r="BB4053" s="78"/>
      <c r="BC4053" s="78"/>
      <c r="BD4053" s="78"/>
      <c r="BE4053" s="465"/>
      <c r="BF4053" s="165" t="str">
        <f t="shared" si="3034"/>
        <v>https://www.google.com/search?tbm=isch&amp;q=7%20G5</v>
      </c>
      <c r="BG4053" s="165" t="str">
        <f t="shared" si="3035"/>
        <v>T</v>
      </c>
      <c r="BH4053" s="65"/>
      <c r="BI4053" s="65"/>
      <c r="BJ4053" s="65"/>
      <c r="BK4053" s="65"/>
      <c r="BL4053" s="99"/>
      <c r="BM4053" s="99"/>
      <c r="BN4053" s="99"/>
    </row>
    <row r="4054" spans="1:66" s="51" customFormat="1" ht="15.75" x14ac:dyDescent="0.25">
      <c r="A4054" s="478">
        <v>7</v>
      </c>
      <c r="B4054" s="479" t="s">
        <v>291</v>
      </c>
      <c r="C4054" s="480" t="s">
        <v>1008</v>
      </c>
      <c r="D4054" s="481" t="s">
        <v>299</v>
      </c>
      <c r="E4054" s="482">
        <v>100.95</v>
      </c>
      <c r="F4054" s="483" t="s">
        <v>292</v>
      </c>
      <c r="G4054" s="484">
        <v>0</v>
      </c>
      <c r="H4054" s="688" t="str">
        <f t="shared" si="3016"/>
        <v/>
      </c>
      <c r="I4054" s="485">
        <f t="shared" si="3017"/>
        <v>0</v>
      </c>
      <c r="J4054" s="485">
        <f t="shared" si="3018"/>
        <v>0</v>
      </c>
      <c r="K4054" s="715">
        <f t="shared" ref="K4054" si="3037">I4054+J4054</f>
        <v>0</v>
      </c>
      <c r="L4054" s="715"/>
      <c r="M4054" s="689" t="str">
        <f t="shared" ca="1" si="3020"/>
        <v/>
      </c>
      <c r="N4054" s="690"/>
      <c r="O4054" s="486"/>
      <c r="P4054" s="486"/>
      <c r="Q4054" s="486"/>
      <c r="R4054" s="486"/>
      <c r="S4054" s="486"/>
      <c r="T4054" s="102">
        <f t="shared" si="3023"/>
        <v>0</v>
      </c>
      <c r="U4054" s="78">
        <f>IF(NOT(ISNUMBER(G4054)), "", VLOOKUP(A4054,'Discount Lookup'!D:E,2,FALSE)*G4054)</f>
        <v>0</v>
      </c>
      <c r="V4054" s="78">
        <f>IF(NOT(ISNUMBER(G4054)), "", VLOOKUP(A4054,'Discount Lookup'!G:H,2,FALSE)*G4054)</f>
        <v>0</v>
      </c>
      <c r="W4054" s="102">
        <f t="shared" si="3024"/>
        <v>0</v>
      </c>
      <c r="X4054" s="102">
        <f t="shared" si="3025"/>
        <v>0</v>
      </c>
      <c r="Y4054" s="120" t="b">
        <f t="shared" si="3026"/>
        <v>0</v>
      </c>
      <c r="Z4054" s="117">
        <f t="shared" si="3027"/>
        <v>0</v>
      </c>
      <c r="AA4054" s="118"/>
      <c r="AB4054" s="118" t="str">
        <f t="shared" si="3028"/>
        <v/>
      </c>
      <c r="AC4054" s="712" t="str">
        <f>IF(AE4054="T2G","no charge",IF(AND(OR(PlanterYesMe="No",PlanterYesMe="N",PlanterYesMe="me"),H4054=""),"",IF(H4054="credit","NO install",IF(AND(K4054="",AE4054="me"),"EACH row",IF(AND(K4054="images",AE4054="me"),"EACH row",IF(D4054="","",IF(H4054="credit","",IF(AE4054="free","re-planting",IF(AE4054="me","   not ELP, by",IF(AND(OR(PlanterYesMe="Yes",PlanterYesMe="Y"),G4054&gt;0),(VLOOKUP(A4054,'Discount Lookup'!J:K,2)*G4054*(1-PlanterDiscount)*(1+PlanterDifficultyPercentage)),IF(AE4054="ELP",(VLOOKUP(A4054,'Discount Lookup'!J:K,2)*G4054*(1-PlanterDiscount)*(1+PlanterDifficultyPercentage)),IF(AE4054="free","re-planting",IF(G4054=0,"",IF(PlanterYesMe="",IF(AE4054="me","   not ELP, by",IF(AE4054="",IF(G4054&gt;0,(VLOOKUP(A4054,'Discount Lookup'!J:K,2)*G4054*(1-PlanterDiscount)*(1+PlanterDifficultyPercentage)),""),"")),"   not ELP, by"))))))))))))))</f>
        <v/>
      </c>
      <c r="AD4054" s="712"/>
      <c r="AE4054" s="513" t="str">
        <f t="shared" si="3029"/>
        <v/>
      </c>
      <c r="AF4054" s="713" t="str">
        <f t="shared" si="3030"/>
        <v/>
      </c>
      <c r="AG4054" s="713"/>
      <c r="AH4054" s="713"/>
      <c r="AI4054" s="112">
        <f>IF(H4054="credit",0,IF(AE4054="free",0,IF(AE4054="me",0,IF(G4054&gt;0,(VLOOKUP(A4054,'Discount Lookup'!J:K,2)*G4054),0))))</f>
        <v>0</v>
      </c>
      <c r="AJ4054" s="107" t="str">
        <f t="shared" ca="1" si="3031"/>
        <v/>
      </c>
      <c r="AK4054" s="714" t="str">
        <f t="shared" si="3032"/>
        <v/>
      </c>
      <c r="AL4054" s="714"/>
      <c r="AM4054" s="114" t="str">
        <f t="shared" si="3033"/>
        <v/>
      </c>
      <c r="AN4054" s="115"/>
      <c r="AO4054" s="116"/>
      <c r="AP4054" s="116"/>
      <c r="AQ4054" s="116"/>
      <c r="AR4054" s="116"/>
      <c r="AS4054" s="116"/>
      <c r="AT4054" s="116"/>
      <c r="AU4054" s="116"/>
      <c r="AV4054" s="78"/>
      <c r="AW4054" s="102"/>
      <c r="AX4054" s="78"/>
      <c r="AY4054" s="78"/>
      <c r="AZ4054" s="78"/>
      <c r="BA4054" s="78"/>
      <c r="BB4054" s="78"/>
      <c r="BC4054" s="78"/>
      <c r="BD4054" s="78"/>
      <c r="BE4054" s="465"/>
      <c r="BF4054" s="165" t="str">
        <f t="shared" si="3034"/>
        <v>https://www.google.com/search?tbm=isch&amp;q=7%20G4</v>
      </c>
      <c r="BG4054" s="165" t="str">
        <f t="shared" si="3035"/>
        <v>T</v>
      </c>
      <c r="BH4054" s="65"/>
      <c r="BI4054" s="65"/>
      <c r="BJ4054" s="65"/>
      <c r="BK4054" s="65"/>
      <c r="BL4054" s="99"/>
      <c r="BM4054" s="99"/>
      <c r="BN4054" s="99"/>
    </row>
    <row r="4055" spans="1:66" s="51" customFormat="1" ht="15.75" x14ac:dyDescent="0.25">
      <c r="A4055" s="478">
        <v>15</v>
      </c>
      <c r="B4055" s="479" t="s">
        <v>291</v>
      </c>
      <c r="C4055" s="480" t="s">
        <v>861</v>
      </c>
      <c r="D4055" s="481" t="s">
        <v>309</v>
      </c>
      <c r="E4055" s="482">
        <v>155.94999999999999</v>
      </c>
      <c r="F4055" s="483" t="s">
        <v>292</v>
      </c>
      <c r="G4055" s="484">
        <v>0</v>
      </c>
      <c r="H4055" s="688" t="str">
        <f t="shared" si="3016"/>
        <v/>
      </c>
      <c r="I4055" s="485">
        <f t="shared" si="3017"/>
        <v>0</v>
      </c>
      <c r="J4055" s="485">
        <f t="shared" si="3018"/>
        <v>0</v>
      </c>
      <c r="K4055" s="715">
        <f t="shared" ref="K4055" si="3038">I4055+J4055</f>
        <v>0</v>
      </c>
      <c r="L4055" s="715"/>
      <c r="M4055" s="689" t="str">
        <f t="shared" ca="1" si="3020"/>
        <v/>
      </c>
      <c r="N4055" s="690"/>
      <c r="O4055" s="486"/>
      <c r="P4055" s="486"/>
      <c r="Q4055" s="486"/>
      <c r="R4055" s="486"/>
      <c r="S4055" s="486"/>
      <c r="T4055" s="102">
        <f t="shared" si="3023"/>
        <v>0</v>
      </c>
      <c r="U4055" s="78">
        <f>IF(NOT(ISNUMBER(G4055)), "", VLOOKUP(A4055,'Discount Lookup'!D:E,2,FALSE)*G4055)</f>
        <v>0</v>
      </c>
      <c r="V4055" s="78">
        <f>IF(NOT(ISNUMBER(G4055)), "", VLOOKUP(A4055,'Discount Lookup'!G:H,2,FALSE)*G4055)</f>
        <v>0</v>
      </c>
      <c r="W4055" s="102">
        <f t="shared" si="3024"/>
        <v>0</v>
      </c>
      <c r="X4055" s="102">
        <f t="shared" si="3025"/>
        <v>0</v>
      </c>
      <c r="Y4055" s="120" t="b">
        <f t="shared" si="3026"/>
        <v>0</v>
      </c>
      <c r="Z4055" s="117">
        <f t="shared" si="3027"/>
        <v>0</v>
      </c>
      <c r="AA4055" s="118"/>
      <c r="AB4055" s="118" t="str">
        <f t="shared" si="3028"/>
        <v/>
      </c>
      <c r="AC4055" s="712" t="str">
        <f>IF(AE4055="T2G","no charge",IF(AND(OR(PlanterYesMe="No",PlanterYesMe="N",PlanterYesMe="me"),H4055=""),"",IF(H4055="credit","NO install",IF(AND(K4055="",AE4055="me"),"EACH row",IF(AND(K4055="images",AE4055="me"),"EACH row",IF(D4055="","",IF(H4055="credit","",IF(AE4055="free","re-planting",IF(AE4055="me","   not ELP, by",IF(AND(OR(PlanterYesMe="Yes",PlanterYesMe="Y"),G4055&gt;0),(VLOOKUP(A4055,'Discount Lookup'!J:K,2)*G4055*(1-PlanterDiscount)*(1+PlanterDifficultyPercentage)),IF(AE4055="ELP",(VLOOKUP(A4055,'Discount Lookup'!J:K,2)*G4055*(1-PlanterDiscount)*(1+PlanterDifficultyPercentage)),IF(AE4055="free","re-planting",IF(G4055=0,"",IF(PlanterYesMe="",IF(AE4055="me","   not ELP, by",IF(AE4055="",IF(G4055&gt;0,(VLOOKUP(A4055,'Discount Lookup'!J:K,2)*G4055*(1-PlanterDiscount)*(1+PlanterDifficultyPercentage)),""),"")),"   not ELP, by"))))))))))))))</f>
        <v/>
      </c>
      <c r="AD4055" s="712"/>
      <c r="AE4055" s="513" t="str">
        <f t="shared" si="3029"/>
        <v/>
      </c>
      <c r="AF4055" s="713" t="str">
        <f t="shared" si="3030"/>
        <v/>
      </c>
      <c r="AG4055" s="713"/>
      <c r="AH4055" s="713"/>
      <c r="AI4055" s="112">
        <f>IF(H4055="credit",0,IF(AE4055="free",0,IF(AE4055="me",0,IF(G4055&gt;0,(VLOOKUP(A4055,'Discount Lookup'!J:K,2)*G4055),0))))</f>
        <v>0</v>
      </c>
      <c r="AJ4055" s="107" t="str">
        <f t="shared" ca="1" si="3031"/>
        <v/>
      </c>
      <c r="AK4055" s="714" t="str">
        <f t="shared" si="3032"/>
        <v/>
      </c>
      <c r="AL4055" s="714"/>
      <c r="AM4055" s="114" t="str">
        <f t="shared" si="3033"/>
        <v/>
      </c>
      <c r="AN4055" s="115"/>
      <c r="AO4055" s="116"/>
      <c r="AP4055" s="116"/>
      <c r="AQ4055" s="116"/>
      <c r="AR4055" s="116"/>
      <c r="AS4055" s="116"/>
      <c r="AT4055" s="116"/>
      <c r="AU4055" s="116"/>
      <c r="AV4055" s="78"/>
      <c r="AW4055" s="102"/>
      <c r="AX4055" s="78"/>
      <c r="AY4055" s="78"/>
      <c r="AZ4055" s="78"/>
      <c r="BA4055" s="78"/>
      <c r="BB4055" s="78"/>
      <c r="BC4055" s="78"/>
      <c r="BD4055" s="78"/>
      <c r="BE4055" s="465"/>
      <c r="BF4055" s="165" t="str">
        <f t="shared" si="3034"/>
        <v>https://www.google.com/search?tbm=isch&amp;q=15%20G3</v>
      </c>
      <c r="BG4055" s="165" t="str">
        <f t="shared" si="3035"/>
        <v>T</v>
      </c>
      <c r="BH4055" s="65"/>
      <c r="BI4055" s="65"/>
      <c r="BJ4055" s="65"/>
      <c r="BK4055" s="65"/>
      <c r="BL4055" s="99"/>
      <c r="BM4055" s="99"/>
      <c r="BN4055" s="99"/>
    </row>
    <row r="4056" spans="1:66" s="51" customFormat="1" ht="15.75" x14ac:dyDescent="0.25">
      <c r="A4056" s="478">
        <v>15</v>
      </c>
      <c r="B4056" s="479" t="s">
        <v>291</v>
      </c>
      <c r="C4056" s="480" t="s">
        <v>4657</v>
      </c>
      <c r="D4056" s="481" t="s">
        <v>293</v>
      </c>
      <c r="E4056" s="482">
        <v>173.95</v>
      </c>
      <c r="F4056" s="483" t="s">
        <v>292</v>
      </c>
      <c r="G4056" s="484">
        <v>0</v>
      </c>
      <c r="H4056" s="688" t="str">
        <f t="shared" si="3016"/>
        <v/>
      </c>
      <c r="I4056" s="485">
        <f t="shared" si="3017"/>
        <v>0</v>
      </c>
      <c r="J4056" s="485">
        <f t="shared" si="3018"/>
        <v>0</v>
      </c>
      <c r="K4056" s="715">
        <f t="shared" ref="K4056" si="3039">I4056+J4056</f>
        <v>0</v>
      </c>
      <c r="L4056" s="715"/>
      <c r="M4056" s="689" t="str">
        <f t="shared" ca="1" si="3020"/>
        <v/>
      </c>
      <c r="N4056" s="690"/>
      <c r="O4056" s="486"/>
      <c r="P4056" s="486"/>
      <c r="Q4056" s="486"/>
      <c r="R4056" s="486"/>
      <c r="S4056" s="486"/>
      <c r="T4056" s="102">
        <f t="shared" si="3023"/>
        <v>0</v>
      </c>
      <c r="U4056" s="78">
        <f>IF(NOT(ISNUMBER(G4056)), "", VLOOKUP(A4056,'Discount Lookup'!D:E,2,FALSE)*G4056)</f>
        <v>0</v>
      </c>
      <c r="V4056" s="78">
        <f>IF(NOT(ISNUMBER(G4056)), "", VLOOKUP(A4056,'Discount Lookup'!G:H,2,FALSE)*G4056)</f>
        <v>0</v>
      </c>
      <c r="W4056" s="102">
        <f t="shared" si="3024"/>
        <v>0</v>
      </c>
      <c r="X4056" s="102">
        <f t="shared" si="3025"/>
        <v>0</v>
      </c>
      <c r="Y4056" s="120" t="b">
        <f t="shared" si="3026"/>
        <v>0</v>
      </c>
      <c r="Z4056" s="117">
        <f t="shared" si="3027"/>
        <v>0</v>
      </c>
      <c r="AA4056" s="118"/>
      <c r="AB4056" s="118" t="str">
        <f t="shared" si="3028"/>
        <v/>
      </c>
      <c r="AC4056" s="712" t="str">
        <f>IF(AE4056="T2G","no charge",IF(AND(OR(PlanterYesMe="No",PlanterYesMe="N",PlanterYesMe="me"),H4056=""),"",IF(H4056="credit","NO install",IF(AND(K4056="",AE4056="me"),"EACH row",IF(AND(K4056="images",AE4056="me"),"EACH row",IF(D4056="","",IF(H4056="credit","",IF(AE4056="free","re-planting",IF(AE4056="me","   not ELP, by",IF(AND(OR(PlanterYesMe="Yes",PlanterYesMe="Y"),G4056&gt;0),(VLOOKUP(A4056,'Discount Lookup'!J:K,2)*G4056*(1-PlanterDiscount)*(1+PlanterDifficultyPercentage)),IF(AE4056="ELP",(VLOOKUP(A4056,'Discount Lookup'!J:K,2)*G4056*(1-PlanterDiscount)*(1+PlanterDifficultyPercentage)),IF(AE4056="free","re-planting",IF(G4056=0,"",IF(PlanterYesMe="",IF(AE4056="me","   not ELP, by",IF(AE4056="",IF(G4056&gt;0,(VLOOKUP(A4056,'Discount Lookup'!J:K,2)*G4056*(1-PlanterDiscount)*(1+PlanterDifficultyPercentage)),""),"")),"   not ELP, by"))))))))))))))</f>
        <v/>
      </c>
      <c r="AD4056" s="712"/>
      <c r="AE4056" s="513" t="str">
        <f t="shared" si="3029"/>
        <v/>
      </c>
      <c r="AF4056" s="713" t="str">
        <f t="shared" si="3030"/>
        <v/>
      </c>
      <c r="AG4056" s="713"/>
      <c r="AH4056" s="713"/>
      <c r="AI4056" s="112">
        <f>IF(H4056="credit",0,IF(AE4056="free",0,IF(AE4056="me",0,IF(G4056&gt;0,(VLOOKUP(A4056,'Discount Lookup'!J:K,2)*G4056),0))))</f>
        <v>0</v>
      </c>
      <c r="AJ4056" s="107" t="str">
        <f t="shared" ca="1" si="3031"/>
        <v/>
      </c>
      <c r="AK4056" s="714" t="str">
        <f t="shared" si="3032"/>
        <v/>
      </c>
      <c r="AL4056" s="714"/>
      <c r="AM4056" s="114" t="str">
        <f t="shared" si="3033"/>
        <v/>
      </c>
      <c r="AN4056" s="115"/>
      <c r="AO4056" s="116"/>
      <c r="AP4056" s="116"/>
      <c r="AQ4056" s="116"/>
      <c r="AR4056" s="116"/>
      <c r="AS4056" s="116"/>
      <c r="AT4056" s="116"/>
      <c r="AU4056" s="116"/>
      <c r="AV4056" s="78"/>
      <c r="AW4056" s="102"/>
      <c r="AX4056" s="78"/>
      <c r="AY4056" s="78"/>
      <c r="AZ4056" s="78"/>
      <c r="BA4056" s="78"/>
      <c r="BB4056" s="78"/>
      <c r="BC4056" s="78"/>
      <c r="BD4056" s="78"/>
      <c r="BE4056" s="465"/>
      <c r="BF4056" s="165" t="str">
        <f t="shared" si="3034"/>
        <v>https://www.google.com/search?tbm=isch&amp;q=15%20G6</v>
      </c>
      <c r="BG4056" s="165" t="str">
        <f t="shared" si="3035"/>
        <v>T</v>
      </c>
      <c r="BH4056" s="65"/>
      <c r="BI4056" s="65"/>
      <c r="BJ4056" s="65"/>
      <c r="BK4056" s="65"/>
      <c r="BL4056" s="99"/>
      <c r="BM4056" s="99"/>
      <c r="BN4056" s="99"/>
    </row>
    <row r="4057" spans="1:66" s="51" customFormat="1" ht="15.75" x14ac:dyDescent="0.25">
      <c r="A4057" s="478">
        <v>15</v>
      </c>
      <c r="B4057" s="479" t="s">
        <v>291</v>
      </c>
      <c r="C4057" s="480" t="s">
        <v>763</v>
      </c>
      <c r="D4057" s="481" t="s">
        <v>311</v>
      </c>
      <c r="E4057" s="482">
        <v>183.95</v>
      </c>
      <c r="F4057" s="483" t="s">
        <v>292</v>
      </c>
      <c r="G4057" s="484">
        <v>0</v>
      </c>
      <c r="H4057" s="688" t="str">
        <f t="shared" si="3016"/>
        <v/>
      </c>
      <c r="I4057" s="485">
        <f t="shared" si="3017"/>
        <v>0</v>
      </c>
      <c r="J4057" s="485">
        <f t="shared" si="3018"/>
        <v>0</v>
      </c>
      <c r="K4057" s="715">
        <f t="shared" ref="K4057" si="3040">I4057+J4057</f>
        <v>0</v>
      </c>
      <c r="L4057" s="715"/>
      <c r="M4057" s="689" t="str">
        <f t="shared" ca="1" si="3020"/>
        <v/>
      </c>
      <c r="N4057" s="690"/>
      <c r="O4057" s="486"/>
      <c r="P4057" s="486"/>
      <c r="Q4057" s="486"/>
      <c r="R4057" s="486"/>
      <c r="S4057" s="486"/>
      <c r="T4057" s="102">
        <f t="shared" si="3023"/>
        <v>0</v>
      </c>
      <c r="U4057" s="78">
        <f>IF(NOT(ISNUMBER(G4057)), "", VLOOKUP(A4057,'Discount Lookup'!D:E,2,FALSE)*G4057)</f>
        <v>0</v>
      </c>
      <c r="V4057" s="78">
        <f>IF(NOT(ISNUMBER(G4057)), "", VLOOKUP(A4057,'Discount Lookup'!G:H,2,FALSE)*G4057)</f>
        <v>0</v>
      </c>
      <c r="W4057" s="102">
        <f t="shared" si="3024"/>
        <v>0</v>
      </c>
      <c r="X4057" s="102">
        <f t="shared" si="3025"/>
        <v>0</v>
      </c>
      <c r="Y4057" s="120" t="b">
        <f t="shared" si="3026"/>
        <v>0</v>
      </c>
      <c r="Z4057" s="117">
        <f t="shared" si="3027"/>
        <v>0</v>
      </c>
      <c r="AA4057" s="118"/>
      <c r="AB4057" s="118" t="str">
        <f t="shared" si="3028"/>
        <v/>
      </c>
      <c r="AC4057" s="712" t="str">
        <f>IF(AE4057="T2G","no charge",IF(AND(OR(PlanterYesMe="No",PlanterYesMe="N",PlanterYesMe="me"),H4057=""),"",IF(H4057="credit","NO install",IF(AND(K4057="",AE4057="me"),"EACH row",IF(AND(K4057="images",AE4057="me"),"EACH row",IF(D4057="","",IF(H4057="credit","",IF(AE4057="free","re-planting",IF(AE4057="me","   not ELP, by",IF(AND(OR(PlanterYesMe="Yes",PlanterYesMe="Y"),G4057&gt;0),(VLOOKUP(A4057,'Discount Lookup'!J:K,2)*G4057*(1-PlanterDiscount)*(1+PlanterDifficultyPercentage)),IF(AE4057="ELP",(VLOOKUP(A4057,'Discount Lookup'!J:K,2)*G4057*(1-PlanterDiscount)*(1+PlanterDifficultyPercentage)),IF(AE4057="free","re-planting",IF(G4057=0,"",IF(PlanterYesMe="",IF(AE4057="me","   not ELP, by",IF(AE4057="",IF(G4057&gt;0,(VLOOKUP(A4057,'Discount Lookup'!J:K,2)*G4057*(1-PlanterDiscount)*(1+PlanterDifficultyPercentage)),""),"")),"   not ELP, by"))))))))))))))</f>
        <v/>
      </c>
      <c r="AD4057" s="712"/>
      <c r="AE4057" s="513" t="str">
        <f t="shared" si="3029"/>
        <v/>
      </c>
      <c r="AF4057" s="713" t="str">
        <f t="shared" si="3030"/>
        <v/>
      </c>
      <c r="AG4057" s="713"/>
      <c r="AH4057" s="713"/>
      <c r="AI4057" s="112">
        <f>IF(H4057="credit",0,IF(AE4057="free",0,IF(AE4057="me",0,IF(G4057&gt;0,(VLOOKUP(A4057,'Discount Lookup'!J:K,2)*G4057),0))))</f>
        <v>0</v>
      </c>
      <c r="AJ4057" s="107" t="str">
        <f t="shared" ca="1" si="3031"/>
        <v/>
      </c>
      <c r="AK4057" s="714" t="str">
        <f t="shared" si="3032"/>
        <v/>
      </c>
      <c r="AL4057" s="714"/>
      <c r="AM4057" s="114" t="str">
        <f t="shared" si="3033"/>
        <v/>
      </c>
      <c r="AN4057" s="115"/>
      <c r="AO4057" s="116"/>
      <c r="AP4057" s="116"/>
      <c r="AQ4057" s="116"/>
      <c r="AR4057" s="116"/>
      <c r="AS4057" s="116"/>
      <c r="AT4057" s="116"/>
      <c r="AU4057" s="116"/>
      <c r="AV4057" s="78"/>
      <c r="AW4057" s="102"/>
      <c r="AX4057" s="78"/>
      <c r="AY4057" s="78"/>
      <c r="AZ4057" s="78"/>
      <c r="BA4057" s="78"/>
      <c r="BB4057" s="78"/>
      <c r="BC4057" s="78"/>
      <c r="BD4057" s="78"/>
      <c r="BE4057" s="465"/>
      <c r="BF4057" s="165" t="str">
        <f t="shared" si="3034"/>
        <v>https://www.google.com/search?tbm=isch&amp;q=15%20G5</v>
      </c>
      <c r="BG4057" s="165" t="str">
        <f t="shared" si="3035"/>
        <v>T</v>
      </c>
      <c r="BH4057" s="65"/>
      <c r="BI4057" s="65"/>
      <c r="BJ4057" s="65"/>
      <c r="BK4057" s="65"/>
      <c r="BL4057" s="99"/>
      <c r="BM4057" s="99"/>
      <c r="BN4057" s="99"/>
    </row>
    <row r="4058" spans="1:66" s="51" customFormat="1" ht="16.5" thickBot="1" x14ac:dyDescent="0.3">
      <c r="A4058" s="508" t="s">
        <v>764</v>
      </c>
      <c r="B4058" s="487"/>
      <c r="C4058" s="707"/>
      <c r="D4058" s="487"/>
      <c r="E4058" s="487"/>
      <c r="F4058" s="488"/>
      <c r="G4058" s="489"/>
      <c r="H4058" s="487"/>
      <c r="I4058" s="490"/>
      <c r="J4058" s="490"/>
      <c r="K4058" s="491"/>
      <c r="L4058" s="547"/>
      <c r="M4058" s="528"/>
      <c r="N4058" s="492"/>
      <c r="O4058" s="493"/>
      <c r="P4058" s="494"/>
      <c r="Q4058" s="492"/>
      <c r="R4058" s="492"/>
      <c r="S4058" s="495"/>
      <c r="T4058" s="102">
        <f t="shared" si="3023"/>
        <v>0</v>
      </c>
      <c r="U4058" s="78" t="str">
        <f>IF(NOT(ISNUMBER(G4058)), "", VLOOKUP(A4058,'Discount Lookup'!D:E,2,FALSE)*G4058)</f>
        <v/>
      </c>
      <c r="V4058" s="78" t="str">
        <f>IF(NOT(ISNUMBER(G4058)), "", VLOOKUP(A4058,'Discount Lookup'!G:H,2,FALSE)*G4058)</f>
        <v/>
      </c>
      <c r="W4058" s="102">
        <f t="shared" si="3024"/>
        <v>0</v>
      </c>
      <c r="X4058" s="102">
        <f t="shared" si="3025"/>
        <v>0</v>
      </c>
      <c r="Y4058" s="120" t="b">
        <f t="shared" si="3026"/>
        <v>0</v>
      </c>
      <c r="Z4058" s="117">
        <f t="shared" si="3027"/>
        <v>0</v>
      </c>
      <c r="AA4058" s="118"/>
      <c r="AB4058" s="118" t="str">
        <f t="shared" si="3028"/>
        <v/>
      </c>
      <c r="AC4058" s="712" t="str">
        <f>IF(AE4058="T2G","no charge",IF(AND(OR(PlanterYesMe="No",PlanterYesMe="N",PlanterYesMe="me"),H4058=""),"",IF(H4058="credit","NO install",IF(AND(K4058="",AE4058="me"),"EACH row",IF(AND(K4058="images",AE4058="me"),"EACH row",IF(D4058="","",IF(H4058="credit","",IF(AE4058="free","re-planting",IF(AE4058="me","   not ELP, by",IF(AND(OR(PlanterYesMe="Yes",PlanterYesMe="Y"),G4058&gt;0),(VLOOKUP(A4058,'Discount Lookup'!J:K,2)*G4058*(1-PlanterDiscount)*(1+PlanterDifficultyPercentage)),IF(AE4058="ELP",(VLOOKUP(A4058,'Discount Lookup'!J:K,2)*G4058*(1-PlanterDiscount)*(1+PlanterDifficultyPercentage)),IF(AE4058="free","re-planting",IF(G4058=0,"",IF(PlanterYesMe="",IF(AE4058="me","   not ELP, by",IF(AE4058="",IF(G4058&gt;0,(VLOOKUP(A4058,'Discount Lookup'!J:K,2)*G4058*(1-PlanterDiscount)*(1+PlanterDifficultyPercentage)),""),"")),"   not ELP, by"))))))))))))))</f>
        <v/>
      </c>
      <c r="AD4058" s="712"/>
      <c r="AE4058" s="513" t="str">
        <f t="shared" si="3029"/>
        <v/>
      </c>
      <c r="AF4058" s="713" t="str">
        <f t="shared" si="3030"/>
        <v/>
      </c>
      <c r="AG4058" s="713"/>
      <c r="AH4058" s="713"/>
      <c r="AI4058" s="112">
        <f>IF(H4058="credit",0,IF(AE4058="free",0,IF(AE4058="me",0,IF(G4058&gt;0,(VLOOKUP(A4058,'Discount Lookup'!J:K,2)*G4058),0))))</f>
        <v>0</v>
      </c>
      <c r="AJ4058" s="107" t="str">
        <f t="shared" ca="1" si="3031"/>
        <v/>
      </c>
      <c r="AK4058" s="714" t="str">
        <f t="shared" si="3032"/>
        <v/>
      </c>
      <c r="AL4058" s="714"/>
      <c r="AM4058" s="114" t="str">
        <f t="shared" si="3033"/>
        <v/>
      </c>
      <c r="AN4058" s="115"/>
      <c r="AO4058" s="116"/>
      <c r="AP4058" s="116"/>
      <c r="AQ4058" s="116"/>
      <c r="AR4058" s="116"/>
      <c r="AS4058" s="116"/>
      <c r="AT4058" s="116"/>
      <c r="AU4058" s="116"/>
      <c r="AV4058" s="78"/>
      <c r="AW4058" s="102"/>
      <c r="AX4058" s="78"/>
      <c r="AY4058" s="78"/>
      <c r="AZ4058" s="78"/>
      <c r="BA4058" s="78"/>
      <c r="BB4058" s="78"/>
      <c r="BC4058" s="78"/>
      <c r="BD4058" s="78"/>
      <c r="BE4058" s="465"/>
      <c r="BF4058" s="165" t="str">
        <f t="shared" si="3034"/>
        <v>https://www.google.com/search?tbm=isch&amp;q=DeGroot%27s%20is%20indeed%20like%20a%20Spire%2C%20with%20just%20a%203%27%20width%20if%20maintained%20as%20a%20Single%20Stem.%20And%20lovely%20whorled%20foliage%21%20</v>
      </c>
      <c r="BG4058" s="165" t="str">
        <f t="shared" si="3035"/>
        <v>D</v>
      </c>
      <c r="BH4058" s="65"/>
      <c r="BI4058" s="65"/>
      <c r="BJ4058" s="65"/>
      <c r="BK4058" s="65"/>
      <c r="BL4058" s="99"/>
      <c r="BM4058" s="99"/>
      <c r="BN4058" s="99"/>
    </row>
    <row r="4059" spans="1:66" s="51" customFormat="1" ht="18" x14ac:dyDescent="0.25">
      <c r="A4059" s="507" t="s">
        <v>4345</v>
      </c>
      <c r="B4059" s="470"/>
      <c r="C4059" s="706"/>
      <c r="D4059" s="471" t="s">
        <v>4346</v>
      </c>
      <c r="E4059" s="472"/>
      <c r="F4059" s="472"/>
      <c r="G4059" s="472"/>
      <c r="H4059" s="622" t="s">
        <v>1124</v>
      </c>
      <c r="I4059" s="473" t="s">
        <v>443</v>
      </c>
      <c r="J4059" s="472"/>
      <c r="K4059" s="472"/>
      <c r="L4059" s="561"/>
      <c r="M4059" s="698" t="s">
        <v>5240</v>
      </c>
      <c r="N4059" s="692" t="str">
        <f>IF(AND(ISTEXT($A4059), ISERROR($A4059+0)), HYPERLINK($BF4059, "Images"), "")</f>
        <v>Images</v>
      </c>
      <c r="O4059" s="694" t="s">
        <v>5286</v>
      </c>
      <c r="P4059" s="475"/>
      <c r="Q4059" s="476"/>
      <c r="R4059" s="476"/>
      <c r="S4059" s="477" t="s">
        <v>294</v>
      </c>
      <c r="T4059" s="102">
        <f t="shared" si="3023"/>
        <v>0</v>
      </c>
      <c r="U4059" s="78" t="str">
        <f>IF(NOT(ISNUMBER(G4059)), "", VLOOKUP(A4059,'Discount Lookup'!D:E,2,FALSE)*G4059)</f>
        <v/>
      </c>
      <c r="V4059" s="78" t="str">
        <f>IF(NOT(ISNUMBER(G4059)), "", VLOOKUP(A4059,'Discount Lookup'!G:H,2,FALSE)*G4059)</f>
        <v/>
      </c>
      <c r="W4059" s="102">
        <f t="shared" si="3024"/>
        <v>0</v>
      </c>
      <c r="X4059" s="102" t="str">
        <f t="shared" si="3025"/>
        <v>Golden-Yellow foliage</v>
      </c>
      <c r="Y4059" s="120" t="b">
        <f t="shared" si="3026"/>
        <v>0</v>
      </c>
      <c r="Z4059" s="117">
        <f t="shared" si="3027"/>
        <v>0</v>
      </c>
      <c r="AA4059" s="118"/>
      <c r="AB4059" s="118" t="str">
        <f t="shared" si="3028"/>
        <v/>
      </c>
      <c r="AC4059" s="712" t="str">
        <f>IF(AE4059="T2G","no charge",IF(AND(OR(PlanterYesMe="No",PlanterYesMe="N",PlanterYesMe="me"),H4059=""),"",IF(H4059="credit","NO install",IF(AND(K4059="",AE4059="me"),"EACH row",IF(AND(K4059="images",AE4059="me"),"EACH row",IF(D4059="","",IF(H4059="credit","",IF(AE4059="free","re-planting",IF(AE4059="me","   not ELP, by",IF(AND(OR(PlanterYesMe="Yes",PlanterYesMe="Y"),G4059&gt;0),(VLOOKUP(A4059,'Discount Lookup'!J:K,2)*G4059*(1-PlanterDiscount)*(1+PlanterDifficultyPercentage)),IF(AE4059="ELP",(VLOOKUP(A4059,'Discount Lookup'!J:K,2)*G4059*(1-PlanterDiscount)*(1+PlanterDifficultyPercentage)),IF(AE4059="free","re-planting",IF(G4059=0,"",IF(PlanterYesMe="",IF(AE4059="me","   not ELP, by",IF(AE4059="",IF(G4059&gt;0,(VLOOKUP(A4059,'Discount Lookup'!J:K,2)*G4059*(1-PlanterDiscount)*(1+PlanterDifficultyPercentage)),""),"")),"   not ELP, by"))))))))))))))</f>
        <v/>
      </c>
      <c r="AD4059" s="712"/>
      <c r="AE4059" s="513" t="str">
        <f t="shared" si="3029"/>
        <v/>
      </c>
      <c r="AF4059" s="713" t="str">
        <f t="shared" si="3030"/>
        <v/>
      </c>
      <c r="AG4059" s="713"/>
      <c r="AH4059" s="713"/>
      <c r="AI4059" s="112">
        <f>IF(H4059="credit",0,IF(AE4059="free",0,IF(AE4059="me",0,IF(G4059&gt;0,(VLOOKUP(A4059,'Discount Lookup'!J:K,2)*G4059),0))))</f>
        <v>0</v>
      </c>
      <c r="AJ4059" s="107" t="str">
        <f t="shared" ca="1" si="3031"/>
        <v/>
      </c>
      <c r="AK4059" s="714" t="str">
        <f t="shared" si="3032"/>
        <v/>
      </c>
      <c r="AL4059" s="714"/>
      <c r="AM4059" s="114" t="str">
        <f t="shared" si="3033"/>
        <v/>
      </c>
      <c r="AN4059" s="115"/>
      <c r="AO4059" s="116"/>
      <c r="AP4059" s="116"/>
      <c r="AQ4059" s="116"/>
      <c r="AR4059" s="116"/>
      <c r="AS4059" s="116"/>
      <c r="AT4059" s="116"/>
      <c r="AU4059" s="116"/>
      <c r="AV4059" s="78"/>
      <c r="AW4059" s="102"/>
      <c r="AX4059" s="78"/>
      <c r="AY4059" s="78"/>
      <c r="AZ4059" s="78"/>
      <c r="BA4059" s="78"/>
      <c r="BB4059" s="78"/>
      <c r="BC4059" s="78"/>
      <c r="BD4059" s="78"/>
      <c r="BE4059" s="465"/>
      <c r="BF4059" s="165" t="str">
        <f t="shared" si="3034"/>
        <v>https://www.google.com/search?tbm=isch&amp;q=Thuja%20occidentalis%20%27Golden%20Globe%27%20Golden%20Globe%20Arborvitae</v>
      </c>
      <c r="BG4059" s="165" t="str">
        <f t="shared" si="3035"/>
        <v>T</v>
      </c>
      <c r="BH4059" s="65"/>
      <c r="BI4059" s="65"/>
      <c r="BJ4059" s="65"/>
      <c r="BK4059" s="65"/>
      <c r="BL4059" s="99"/>
      <c r="BM4059" s="99"/>
      <c r="BN4059" s="99"/>
    </row>
    <row r="4060" spans="1:66" s="51" customFormat="1" ht="27" x14ac:dyDescent="0.25">
      <c r="A4060" s="478">
        <v>7</v>
      </c>
      <c r="B4060" s="479" t="s">
        <v>291</v>
      </c>
      <c r="C4060" s="480" t="s">
        <v>4347</v>
      </c>
      <c r="D4060" s="481" t="s">
        <v>299</v>
      </c>
      <c r="E4060" s="482">
        <v>104.95</v>
      </c>
      <c r="F4060" s="483" t="s">
        <v>292</v>
      </c>
      <c r="G4060" s="484">
        <v>0</v>
      </c>
      <c r="H4060" s="688" t="str">
        <f>IF(G4060=0,"",IF(F4060="Buy",IF(G4060=1,"plant","plants"),IF(F4060&gt;0.01,"warranty","Error")))</f>
        <v/>
      </c>
      <c r="I4060" s="485">
        <f>IF(H4060="free",0,IF(H4060="credit",((E4060*(F4060))*G4060*-1),IF(F4060="Buy",(E4060*G4060),((E4060*(1-F4060))*G4060))))</f>
        <v>0</v>
      </c>
      <c r="J4060" s="485">
        <f>IF(H4060="warranty",0,(I4060*(_xlfn.SINGLE(SalesTaxPercentage))))</f>
        <v>0</v>
      </c>
      <c r="K4060" s="715">
        <f t="shared" ref="K4060" si="3041">I4060+J4060</f>
        <v>0</v>
      </c>
      <c r="L4060" s="715"/>
      <c r="M4060" s="689" t="str">
        <f ca="1">IF(AND(G4060&gt;0,E4060=0),"WARNING - no PRICE inserted",IF(H4060="free","FREE ~ no charge this plant",IF(H4060="credit",CONCATENATE("-$",ROUND(K4060*(1-_xlfn.SINGLE(T2GDiscount))*-1,2)," CREDIT after discount"),IF(_xlfn.SINGLE(T2GDiscount)=0,"",IF(G4060=0,"",IF(F4060="Buy",CONCATENATE("$",ROUND(K4060*(1-_xlfn.SINGLE(T2GDiscount)),2)," with ",(_xlfn.SINGLE(T2GDiscount)*100),"% discount"),CONCATENATE("$",ROUND(K4060*(1-_xlfn.SINGLE(T2GDiscount)),2)," with ",((_xlfn.SINGLE(T2GDiscount)*100+F4060*100)-(_xlfn.SINGLE(T2GDiscount)*100*F4060)),IF(F4060&gt;0,"% discounts",IF(_xlfn.SINGLE(NoWarrantyDiscount)&gt;0,"% discounts","% discount")))))))))</f>
        <v/>
      </c>
      <c r="N4060" s="690"/>
      <c r="O4060" s="486"/>
      <c r="P4060" s="486"/>
      <c r="Q4060" s="486"/>
      <c r="R4060" s="486"/>
      <c r="S4060" s="486"/>
      <c r="T4060" s="102">
        <f t="shared" si="3023"/>
        <v>0</v>
      </c>
      <c r="U4060" s="78">
        <f>IF(NOT(ISNUMBER(G4060)), "", VLOOKUP(A4060,'Discount Lookup'!D:E,2,FALSE)*G4060)</f>
        <v>0</v>
      </c>
      <c r="V4060" s="78">
        <f>IF(NOT(ISNUMBER(G4060)), "", VLOOKUP(A4060,'Discount Lookup'!G:H,2,FALSE)*G4060)</f>
        <v>0</v>
      </c>
      <c r="W4060" s="102">
        <f t="shared" si="3024"/>
        <v>0</v>
      </c>
      <c r="X4060" s="102">
        <f t="shared" si="3025"/>
        <v>0</v>
      </c>
      <c r="Y4060" s="120" t="b">
        <f t="shared" si="3026"/>
        <v>0</v>
      </c>
      <c r="Z4060" s="117">
        <f t="shared" si="3027"/>
        <v>0</v>
      </c>
      <c r="AA4060" s="118"/>
      <c r="AB4060" s="118" t="str">
        <f t="shared" si="3028"/>
        <v/>
      </c>
      <c r="AC4060" s="712" t="str">
        <f>IF(AE4060="T2G","no charge",IF(AND(OR(PlanterYesMe="No",PlanterYesMe="N",PlanterYesMe="me"),H4060=""),"",IF(H4060="credit","NO install",IF(AND(K4060="",AE4060="me"),"EACH row",IF(AND(K4060="images",AE4060="me"),"EACH row",IF(D4060="","",IF(H4060="credit","",IF(AE4060="free","re-planting",IF(AE4060="me","   not ELP, by",IF(AND(OR(PlanterYesMe="Yes",PlanterYesMe="Y"),G4060&gt;0),(VLOOKUP(A4060,'Discount Lookup'!J:K,2)*G4060*(1-PlanterDiscount)*(1+PlanterDifficultyPercentage)),IF(AE4060="ELP",(VLOOKUP(A4060,'Discount Lookup'!J:K,2)*G4060*(1-PlanterDiscount)*(1+PlanterDifficultyPercentage)),IF(AE4060="free","re-planting",IF(G4060=0,"",IF(PlanterYesMe="",IF(AE4060="me","   not ELP, by",IF(AE4060="",IF(G4060&gt;0,(VLOOKUP(A4060,'Discount Lookup'!J:K,2)*G4060*(1-PlanterDiscount)*(1+PlanterDifficultyPercentage)),""),"")),"   not ELP, by"))))))))))))))</f>
        <v/>
      </c>
      <c r="AD4060" s="712"/>
      <c r="AE4060" s="513" t="str">
        <f t="shared" si="3029"/>
        <v/>
      </c>
      <c r="AF4060" s="713" t="str">
        <f t="shared" si="3030"/>
        <v/>
      </c>
      <c r="AG4060" s="713"/>
      <c r="AH4060" s="713"/>
      <c r="AI4060" s="112">
        <f>IF(H4060="credit",0,IF(AE4060="free",0,IF(AE4060="me",0,IF(G4060&gt;0,(VLOOKUP(A4060,'Discount Lookup'!J:K,2)*G4060),0))))</f>
        <v>0</v>
      </c>
      <c r="AJ4060" s="107" t="str">
        <f t="shared" ca="1" si="3031"/>
        <v/>
      </c>
      <c r="AK4060" s="714" t="str">
        <f t="shared" si="3032"/>
        <v/>
      </c>
      <c r="AL4060" s="714"/>
      <c r="AM4060" s="114" t="str">
        <f t="shared" si="3033"/>
        <v/>
      </c>
      <c r="AN4060" s="115"/>
      <c r="AO4060" s="116"/>
      <c r="AP4060" s="116"/>
      <c r="AQ4060" s="116"/>
      <c r="AR4060" s="116"/>
      <c r="AS4060" s="116"/>
      <c r="AT4060" s="116"/>
      <c r="AU4060" s="116"/>
      <c r="AV4060" s="78"/>
      <c r="AW4060" s="102"/>
      <c r="AX4060" s="78"/>
      <c r="AY4060" s="78"/>
      <c r="AZ4060" s="78"/>
      <c r="BA4060" s="78"/>
      <c r="BB4060" s="78"/>
      <c r="BC4060" s="78"/>
      <c r="BD4060" s="78"/>
      <c r="BE4060" s="465"/>
      <c r="BF4060" s="165" t="str">
        <f t="shared" si="3034"/>
        <v>https://www.google.com/search?tbm=isch&amp;q=7%20G4</v>
      </c>
      <c r="BG4060" s="165" t="str">
        <f t="shared" si="3035"/>
        <v>T</v>
      </c>
      <c r="BH4060" s="65"/>
      <c r="BI4060" s="65"/>
      <c r="BJ4060" s="65"/>
      <c r="BK4060" s="65"/>
      <c r="BL4060" s="99"/>
      <c r="BM4060" s="99"/>
      <c r="BN4060" s="99"/>
    </row>
    <row r="4061" spans="1:66" s="51" customFormat="1" ht="16.5" thickBot="1" x14ac:dyDescent="0.3">
      <c r="A4061" s="508" t="s">
        <v>4348</v>
      </c>
      <c r="B4061" s="487"/>
      <c r="C4061" s="707"/>
      <c r="D4061" s="487"/>
      <c r="E4061" s="487"/>
      <c r="F4061" s="488"/>
      <c r="G4061" s="489"/>
      <c r="H4061" s="487"/>
      <c r="I4061" s="490"/>
      <c r="J4061" s="490"/>
      <c r="K4061" s="491"/>
      <c r="L4061" s="547"/>
      <c r="M4061" s="528"/>
      <c r="N4061" s="492"/>
      <c r="O4061" s="493"/>
      <c r="P4061" s="494"/>
      <c r="Q4061" s="492"/>
      <c r="R4061" s="492"/>
      <c r="S4061" s="495"/>
      <c r="T4061" s="102">
        <f t="shared" si="3023"/>
        <v>0</v>
      </c>
      <c r="U4061" s="78" t="str">
        <f>IF(NOT(ISNUMBER(G4061)), "", VLOOKUP(A4061,'Discount Lookup'!D:E,2,FALSE)*G4061)</f>
        <v/>
      </c>
      <c r="V4061" s="78" t="str">
        <f>IF(NOT(ISNUMBER(G4061)), "", VLOOKUP(A4061,'Discount Lookup'!G:H,2,FALSE)*G4061)</f>
        <v/>
      </c>
      <c r="W4061" s="102">
        <f t="shared" si="3024"/>
        <v>0</v>
      </c>
      <c r="X4061" s="102">
        <f t="shared" si="3025"/>
        <v>0</v>
      </c>
      <c r="Y4061" s="120" t="b">
        <f t="shared" si="3026"/>
        <v>0</v>
      </c>
      <c r="Z4061" s="117">
        <f t="shared" si="3027"/>
        <v>0</v>
      </c>
      <c r="AA4061" s="118"/>
      <c r="AB4061" s="118" t="str">
        <f t="shared" si="3028"/>
        <v/>
      </c>
      <c r="AC4061" s="712" t="str">
        <f>IF(AE4061="T2G","no charge",IF(AND(OR(PlanterYesMe="No",PlanterYesMe="N",PlanterYesMe="me"),H4061=""),"",IF(H4061="credit","NO install",IF(AND(K4061="",AE4061="me"),"EACH row",IF(AND(K4061="images",AE4061="me"),"EACH row",IF(D4061="","",IF(H4061="credit","",IF(AE4061="free","re-planting",IF(AE4061="me","   not ELP, by",IF(AND(OR(PlanterYesMe="Yes",PlanterYesMe="Y"),G4061&gt;0),(VLOOKUP(A4061,'Discount Lookup'!J:K,2)*G4061*(1-PlanterDiscount)*(1+PlanterDifficultyPercentage)),IF(AE4061="ELP",(VLOOKUP(A4061,'Discount Lookup'!J:K,2)*G4061*(1-PlanterDiscount)*(1+PlanterDifficultyPercentage)),IF(AE4061="free","re-planting",IF(G4061=0,"",IF(PlanterYesMe="",IF(AE4061="me","   not ELP, by",IF(AE4061="",IF(G4061&gt;0,(VLOOKUP(A4061,'Discount Lookup'!J:K,2)*G4061*(1-PlanterDiscount)*(1+PlanterDifficultyPercentage)),""),"")),"   not ELP, by"))))))))))))))</f>
        <v/>
      </c>
      <c r="AD4061" s="712"/>
      <c r="AE4061" s="513" t="str">
        <f t="shared" si="3029"/>
        <v/>
      </c>
      <c r="AF4061" s="713" t="str">
        <f t="shared" si="3030"/>
        <v/>
      </c>
      <c r="AG4061" s="713"/>
      <c r="AH4061" s="713"/>
      <c r="AI4061" s="112">
        <f>IF(H4061="credit",0,IF(AE4061="free",0,IF(AE4061="me",0,IF(G4061&gt;0,(VLOOKUP(A4061,'Discount Lookup'!J:K,2)*G4061),0))))</f>
        <v>0</v>
      </c>
      <c r="AJ4061" s="107" t="str">
        <f t="shared" ca="1" si="3031"/>
        <v/>
      </c>
      <c r="AK4061" s="714" t="str">
        <f t="shared" si="3032"/>
        <v/>
      </c>
      <c r="AL4061" s="714"/>
      <c r="AM4061" s="114" t="str">
        <f t="shared" si="3033"/>
        <v/>
      </c>
      <c r="AN4061" s="115"/>
      <c r="AO4061" s="116"/>
      <c r="AP4061" s="116"/>
      <c r="AQ4061" s="116"/>
      <c r="AR4061" s="116"/>
      <c r="AS4061" s="116"/>
      <c r="AT4061" s="116"/>
      <c r="AU4061" s="116"/>
      <c r="AV4061" s="78"/>
      <c r="AW4061" s="102"/>
      <c r="AX4061" s="78"/>
      <c r="AY4061" s="78"/>
      <c r="AZ4061" s="78"/>
      <c r="BA4061" s="78"/>
      <c r="BB4061" s="78"/>
      <c r="BC4061" s="78"/>
      <c r="BD4061" s="78"/>
      <c r="BE4061" s="465"/>
      <c r="BF4061" s="165" t="str">
        <f t="shared" si="3034"/>
        <v>https://www.google.com/search?tbm=isch&amp;q=Golden%20Globe%20is%20a%20dwarf%2C%20globe-shaped%20shrub%20prized%20for%20its%20dense%2C%20fine-textured%20foliage%20that%20holds%20it%27s%20bright%20color%20throughout%20the%20year%20</v>
      </c>
      <c r="BG4061" s="165" t="str">
        <f t="shared" si="3035"/>
        <v>G</v>
      </c>
      <c r="BH4061" s="65"/>
      <c r="BI4061" s="65"/>
      <c r="BJ4061" s="65"/>
      <c r="BK4061" s="65"/>
      <c r="BL4061" s="99"/>
      <c r="BM4061" s="99"/>
      <c r="BN4061" s="99"/>
    </row>
    <row r="4062" spans="1:66" s="51" customFormat="1" ht="18" x14ac:dyDescent="0.25">
      <c r="A4062" s="507" t="s">
        <v>4349</v>
      </c>
      <c r="B4062" s="470"/>
      <c r="C4062" s="706"/>
      <c r="D4062" s="471" t="s">
        <v>4350</v>
      </c>
      <c r="E4062" s="472"/>
      <c r="F4062" s="472"/>
      <c r="G4062" s="472"/>
      <c r="H4062" s="622" t="s">
        <v>1124</v>
      </c>
      <c r="I4062" s="473" t="s">
        <v>432</v>
      </c>
      <c r="J4062" s="472"/>
      <c r="K4062" s="472"/>
      <c r="L4062" s="561"/>
      <c r="M4062" s="698" t="s">
        <v>5246</v>
      </c>
      <c r="N4062" s="692" t="str">
        <f>IF(AND(ISTEXT($A4062), ISERROR($A4062+0)), HYPERLINK($BF4062, "Images"), "")</f>
        <v>Images</v>
      </c>
      <c r="O4062" s="694" t="s">
        <v>5286</v>
      </c>
      <c r="P4062" s="475"/>
      <c r="Q4062" s="476"/>
      <c r="R4062" s="476"/>
      <c r="S4062" s="477" t="s">
        <v>294</v>
      </c>
      <c r="T4062" s="102">
        <f t="shared" si="3023"/>
        <v>0</v>
      </c>
      <c r="U4062" s="78" t="str">
        <f>IF(NOT(ISNUMBER(G4062)), "", VLOOKUP(A4062,'Discount Lookup'!D:E,2,FALSE)*G4062)</f>
        <v/>
      </c>
      <c r="V4062" s="78" t="str">
        <f>IF(NOT(ISNUMBER(G4062)), "", VLOOKUP(A4062,'Discount Lookup'!G:H,2,FALSE)*G4062)</f>
        <v/>
      </c>
      <c r="W4062" s="102">
        <f t="shared" si="3024"/>
        <v>0</v>
      </c>
      <c r="X4062" s="102" t="str">
        <f t="shared" si="3025"/>
        <v>Green foliage</v>
      </c>
      <c r="Y4062" s="120" t="b">
        <f t="shared" si="3026"/>
        <v>0</v>
      </c>
      <c r="Z4062" s="117">
        <f t="shared" si="3027"/>
        <v>0</v>
      </c>
      <c r="AA4062" s="118"/>
      <c r="AB4062" s="118" t="str">
        <f t="shared" si="3028"/>
        <v/>
      </c>
      <c r="AC4062" s="712" t="str">
        <f>IF(AE4062="T2G","no charge",IF(AND(OR(PlanterYesMe="No",PlanterYesMe="N",PlanterYesMe="me"),H4062=""),"",IF(H4062="credit","NO install",IF(AND(K4062="",AE4062="me"),"EACH row",IF(AND(K4062="images",AE4062="me"),"EACH row",IF(D4062="","",IF(H4062="credit","",IF(AE4062="free","re-planting",IF(AE4062="me","   not ELP, by",IF(AND(OR(PlanterYesMe="Yes",PlanterYesMe="Y"),G4062&gt;0),(VLOOKUP(A4062,'Discount Lookup'!J:K,2)*G4062*(1-PlanterDiscount)*(1+PlanterDifficultyPercentage)),IF(AE4062="ELP",(VLOOKUP(A4062,'Discount Lookup'!J:K,2)*G4062*(1-PlanterDiscount)*(1+PlanterDifficultyPercentage)),IF(AE4062="free","re-planting",IF(G4062=0,"",IF(PlanterYesMe="",IF(AE4062="me","   not ELP, by",IF(AE4062="",IF(G4062&gt;0,(VLOOKUP(A4062,'Discount Lookup'!J:K,2)*G4062*(1-PlanterDiscount)*(1+PlanterDifficultyPercentage)),""),"")),"   not ELP, by"))))))))))))))</f>
        <v/>
      </c>
      <c r="AD4062" s="712"/>
      <c r="AE4062" s="513" t="str">
        <f t="shared" si="3029"/>
        <v/>
      </c>
      <c r="AF4062" s="713" t="str">
        <f t="shared" si="3030"/>
        <v/>
      </c>
      <c r="AG4062" s="713"/>
      <c r="AH4062" s="713"/>
      <c r="AI4062" s="112">
        <f>IF(H4062="credit",0,IF(AE4062="free",0,IF(AE4062="me",0,IF(G4062&gt;0,(VLOOKUP(A4062,'Discount Lookup'!J:K,2)*G4062),0))))</f>
        <v>0</v>
      </c>
      <c r="AJ4062" s="107" t="str">
        <f t="shared" ca="1" si="3031"/>
        <v/>
      </c>
      <c r="AK4062" s="714" t="str">
        <f t="shared" si="3032"/>
        <v/>
      </c>
      <c r="AL4062" s="714"/>
      <c r="AM4062" s="114" t="str">
        <f t="shared" si="3033"/>
        <v/>
      </c>
      <c r="AN4062" s="115"/>
      <c r="AO4062" s="116"/>
      <c r="AP4062" s="116"/>
      <c r="AQ4062" s="116"/>
      <c r="AR4062" s="116"/>
      <c r="AS4062" s="116"/>
      <c r="AT4062" s="116"/>
      <c r="AU4062" s="116"/>
      <c r="AV4062" s="78"/>
      <c r="AW4062" s="102"/>
      <c r="AX4062" s="78"/>
      <c r="AY4062" s="78"/>
      <c r="AZ4062" s="78"/>
      <c r="BA4062" s="78"/>
      <c r="BB4062" s="78"/>
      <c r="BC4062" s="78"/>
      <c r="BD4062" s="78"/>
      <c r="BE4062" s="465"/>
      <c r="BF4062" s="165" t="str">
        <f t="shared" si="3034"/>
        <v>https://www.google.com/search?tbm=isch&amp;q=Thuja%20occidentalis%20%27Hetz%20Midget%27%20Hetz%20Midget%20Arborvitae</v>
      </c>
      <c r="BG4062" s="165" t="str">
        <f t="shared" si="3035"/>
        <v>T</v>
      </c>
      <c r="BH4062" s="65"/>
      <c r="BI4062" s="65"/>
      <c r="BJ4062" s="65"/>
      <c r="BK4062" s="65"/>
      <c r="BL4062" s="99"/>
      <c r="BM4062" s="99"/>
      <c r="BN4062" s="99"/>
    </row>
    <row r="4063" spans="1:66" s="51" customFormat="1" ht="15.75" x14ac:dyDescent="0.25">
      <c r="A4063" s="478">
        <v>3</v>
      </c>
      <c r="B4063" s="479" t="s">
        <v>291</v>
      </c>
      <c r="C4063" s="480" t="s">
        <v>4351</v>
      </c>
      <c r="D4063" s="481" t="s">
        <v>309</v>
      </c>
      <c r="E4063" s="482">
        <v>24.95</v>
      </c>
      <c r="F4063" s="483" t="s">
        <v>292</v>
      </c>
      <c r="G4063" s="484">
        <v>0</v>
      </c>
      <c r="H4063" s="688" t="str">
        <f>IF(G4063=0,"",IF(F4063="Buy",IF(G4063=1,"plant","plants"),IF(F4063&gt;0.01,"warranty","Error")))</f>
        <v/>
      </c>
      <c r="I4063" s="485">
        <f>IF(H4063="free",0,IF(H4063="credit",((E4063*(F4063))*G4063*-1),IF(F4063="Buy",(E4063*G4063),((E4063*(1-F4063))*G4063))))</f>
        <v>0</v>
      </c>
      <c r="J4063" s="485">
        <f>IF(H4063="warranty",0,(I4063*(_xlfn.SINGLE(SalesTaxPercentage))))</f>
        <v>0</v>
      </c>
      <c r="K4063" s="715">
        <f t="shared" ref="K4063" si="3042">I4063+J4063</f>
        <v>0</v>
      </c>
      <c r="L4063" s="715"/>
      <c r="M4063" s="689" t="str">
        <f ca="1">IF(AND(G4063&gt;0,E4063=0),"WARNING - no PRICE inserted",IF(H4063="free","FREE ~ no charge this plant",IF(H4063="credit",CONCATENATE("-$",ROUND(K4063*(1-_xlfn.SINGLE(T2GDiscount))*-1,2)," CREDIT after discount"),IF(_xlfn.SINGLE(T2GDiscount)=0,"",IF(G4063=0,"",IF(F4063="Buy",CONCATENATE("$",ROUND(K4063*(1-_xlfn.SINGLE(T2GDiscount)),2)," with ",(_xlfn.SINGLE(T2GDiscount)*100),"% discount"),CONCATENATE("$",ROUND(K4063*(1-_xlfn.SINGLE(T2GDiscount)),2)," with ",((_xlfn.SINGLE(T2GDiscount)*100+F4063*100)-(_xlfn.SINGLE(T2GDiscount)*100*F4063)),IF(F4063&gt;0,"% discounts",IF(_xlfn.SINGLE(NoWarrantyDiscount)&gt;0,"% discounts","% discount")))))))))</f>
        <v/>
      </c>
      <c r="N4063" s="690"/>
      <c r="O4063" s="486"/>
      <c r="P4063" s="486"/>
      <c r="Q4063" s="486"/>
      <c r="R4063" s="486"/>
      <c r="S4063" s="486"/>
      <c r="T4063" s="102">
        <f t="shared" si="3023"/>
        <v>0</v>
      </c>
      <c r="U4063" s="78">
        <f>IF(NOT(ISNUMBER(G4063)), "", VLOOKUP(A4063,'Discount Lookup'!D:E,2,FALSE)*G4063)</f>
        <v>0</v>
      </c>
      <c r="V4063" s="78">
        <f>IF(NOT(ISNUMBER(G4063)), "", VLOOKUP(A4063,'Discount Lookup'!G:H,2,FALSE)*G4063)</f>
        <v>0</v>
      </c>
      <c r="W4063" s="102">
        <f t="shared" si="3024"/>
        <v>0</v>
      </c>
      <c r="X4063" s="102">
        <f t="shared" si="3025"/>
        <v>0</v>
      </c>
      <c r="Y4063" s="120" t="b">
        <f t="shared" si="3026"/>
        <v>0</v>
      </c>
      <c r="Z4063" s="117">
        <f t="shared" si="3027"/>
        <v>0</v>
      </c>
      <c r="AA4063" s="118"/>
      <c r="AB4063" s="118" t="str">
        <f t="shared" si="3028"/>
        <v/>
      </c>
      <c r="AC4063" s="712" t="str">
        <f>IF(AE4063="T2G","no charge",IF(AND(OR(PlanterYesMe="No",PlanterYesMe="N",PlanterYesMe="me"),H4063=""),"",IF(H4063="credit","NO install",IF(AND(K4063="",AE4063="me"),"EACH row",IF(AND(K4063="images",AE4063="me"),"EACH row",IF(D4063="","",IF(H4063="credit","",IF(AE4063="free","re-planting",IF(AE4063="me","   not ELP, by",IF(AND(OR(PlanterYesMe="Yes",PlanterYesMe="Y"),G4063&gt;0),(VLOOKUP(A4063,'Discount Lookup'!J:K,2)*G4063*(1-PlanterDiscount)*(1+PlanterDifficultyPercentage)),IF(AE4063="ELP",(VLOOKUP(A4063,'Discount Lookup'!J:K,2)*G4063*(1-PlanterDiscount)*(1+PlanterDifficultyPercentage)),IF(AE4063="free","re-planting",IF(G4063=0,"",IF(PlanterYesMe="",IF(AE4063="me","   not ELP, by",IF(AE4063="",IF(G4063&gt;0,(VLOOKUP(A4063,'Discount Lookup'!J:K,2)*G4063*(1-PlanterDiscount)*(1+PlanterDifficultyPercentage)),""),"")),"   not ELP, by"))))))))))))))</f>
        <v/>
      </c>
      <c r="AD4063" s="712"/>
      <c r="AE4063" s="513" t="str">
        <f t="shared" si="3029"/>
        <v/>
      </c>
      <c r="AF4063" s="713" t="str">
        <f t="shared" si="3030"/>
        <v/>
      </c>
      <c r="AG4063" s="713"/>
      <c r="AH4063" s="713"/>
      <c r="AI4063" s="112">
        <f>IF(H4063="credit",0,IF(AE4063="free",0,IF(AE4063="me",0,IF(G4063&gt;0,(VLOOKUP(A4063,'Discount Lookup'!J:K,2)*G4063),0))))</f>
        <v>0</v>
      </c>
      <c r="AJ4063" s="107" t="str">
        <f t="shared" ca="1" si="3031"/>
        <v/>
      </c>
      <c r="AK4063" s="714" t="str">
        <f t="shared" si="3032"/>
        <v/>
      </c>
      <c r="AL4063" s="714"/>
      <c r="AM4063" s="114" t="str">
        <f t="shared" si="3033"/>
        <v/>
      </c>
      <c r="AN4063" s="115"/>
      <c r="AO4063" s="116"/>
      <c r="AP4063" s="116"/>
      <c r="AQ4063" s="116"/>
      <c r="AR4063" s="116"/>
      <c r="AS4063" s="116"/>
      <c r="AT4063" s="116"/>
      <c r="AU4063" s="116"/>
      <c r="AV4063" s="78"/>
      <c r="AW4063" s="102"/>
      <c r="AX4063" s="78"/>
      <c r="AY4063" s="78"/>
      <c r="AZ4063" s="78"/>
      <c r="BA4063" s="78"/>
      <c r="BB4063" s="78"/>
      <c r="BC4063" s="78"/>
      <c r="BD4063" s="78"/>
      <c r="BE4063" s="465"/>
      <c r="BF4063" s="165" t="str">
        <f t="shared" si="3034"/>
        <v>https://www.google.com/search?tbm=isch&amp;q=3%20G3</v>
      </c>
      <c r="BG4063" s="165" t="str">
        <f t="shared" si="3035"/>
        <v>T</v>
      </c>
      <c r="BH4063" s="65"/>
      <c r="BI4063" s="65"/>
      <c r="BJ4063" s="65"/>
      <c r="BK4063" s="65"/>
      <c r="BL4063" s="99"/>
      <c r="BM4063" s="99"/>
      <c r="BN4063" s="99"/>
    </row>
    <row r="4064" spans="1:66" s="51" customFormat="1" ht="15.75" x14ac:dyDescent="0.25">
      <c r="A4064" s="478">
        <v>3</v>
      </c>
      <c r="B4064" s="479" t="s">
        <v>291</v>
      </c>
      <c r="C4064" s="480"/>
      <c r="D4064" s="481" t="s">
        <v>310</v>
      </c>
      <c r="E4064" s="482">
        <v>25.95</v>
      </c>
      <c r="F4064" s="483" t="s">
        <v>292</v>
      </c>
      <c r="G4064" s="484">
        <v>0</v>
      </c>
      <c r="H4064" s="688" t="str">
        <f>IF(G4064=0,"",IF(F4064="Buy",IF(G4064=1,"plant","plants"),IF(F4064&gt;0.01,"warranty","Error")))</f>
        <v/>
      </c>
      <c r="I4064" s="485">
        <f>IF(H4064="free",0,IF(H4064="credit",((E4064*(F4064))*G4064*-1),IF(F4064="Buy",(E4064*G4064),((E4064*(1-F4064))*G4064))))</f>
        <v>0</v>
      </c>
      <c r="J4064" s="485">
        <f>IF(H4064="warranty",0,(I4064*(_xlfn.SINGLE(SalesTaxPercentage))))</f>
        <v>0</v>
      </c>
      <c r="K4064" s="715">
        <f t="shared" ref="K4064" si="3043">I4064+J4064</f>
        <v>0</v>
      </c>
      <c r="L4064" s="715"/>
      <c r="M4064" s="689" t="str">
        <f ca="1">IF(AND(G4064&gt;0,E4064=0),"WARNING - no PRICE inserted",IF(H4064="free","FREE ~ no charge this plant",IF(H4064="credit",CONCATENATE("-$",ROUND(K4064*(1-_xlfn.SINGLE(T2GDiscount))*-1,2)," CREDIT after discount"),IF(_xlfn.SINGLE(T2GDiscount)=0,"",IF(G4064=0,"",IF(F4064="Buy",CONCATENATE("$",ROUND(K4064*(1-_xlfn.SINGLE(T2GDiscount)),2)," with ",(_xlfn.SINGLE(T2GDiscount)*100),"% discount"),CONCATENATE("$",ROUND(K4064*(1-_xlfn.SINGLE(T2GDiscount)),2)," with ",((_xlfn.SINGLE(T2GDiscount)*100+F4064*100)-(_xlfn.SINGLE(T2GDiscount)*100*F4064)),IF(F4064&gt;0,"% discounts",IF(_xlfn.SINGLE(NoWarrantyDiscount)&gt;0,"% discounts","% discount")))))))))</f>
        <v/>
      </c>
      <c r="N4064" s="690"/>
      <c r="O4064" s="486"/>
      <c r="P4064" s="486"/>
      <c r="Q4064" s="486"/>
      <c r="R4064" s="486"/>
      <c r="S4064" s="486"/>
      <c r="T4064" s="102">
        <f t="shared" si="3023"/>
        <v>0</v>
      </c>
      <c r="U4064" s="78">
        <f>IF(NOT(ISNUMBER(G4064)), "", VLOOKUP(A4064,'Discount Lookup'!D:E,2,FALSE)*G4064)</f>
        <v>0</v>
      </c>
      <c r="V4064" s="78">
        <f>IF(NOT(ISNUMBER(G4064)), "", VLOOKUP(A4064,'Discount Lookup'!G:H,2,FALSE)*G4064)</f>
        <v>0</v>
      </c>
      <c r="W4064" s="102">
        <f t="shared" si="3024"/>
        <v>0</v>
      </c>
      <c r="X4064" s="102">
        <f t="shared" si="3025"/>
        <v>0</v>
      </c>
      <c r="Y4064" s="120" t="b">
        <f t="shared" si="3026"/>
        <v>0</v>
      </c>
      <c r="Z4064" s="117">
        <f t="shared" si="3027"/>
        <v>0</v>
      </c>
      <c r="AA4064" s="118"/>
      <c r="AB4064" s="118" t="str">
        <f t="shared" si="3028"/>
        <v/>
      </c>
      <c r="AC4064" s="712" t="str">
        <f>IF(AE4064="T2G","no charge",IF(AND(OR(PlanterYesMe="No",PlanterYesMe="N",PlanterYesMe="me"),H4064=""),"",IF(H4064="credit","NO install",IF(AND(K4064="",AE4064="me"),"EACH row",IF(AND(K4064="images",AE4064="me"),"EACH row",IF(D4064="","",IF(H4064="credit","",IF(AE4064="free","re-planting",IF(AE4064="me","   not ELP, by",IF(AND(OR(PlanterYesMe="Yes",PlanterYesMe="Y"),G4064&gt;0),(VLOOKUP(A4064,'Discount Lookup'!J:K,2)*G4064*(1-PlanterDiscount)*(1+PlanterDifficultyPercentage)),IF(AE4064="ELP",(VLOOKUP(A4064,'Discount Lookup'!J:K,2)*G4064*(1-PlanterDiscount)*(1+PlanterDifficultyPercentage)),IF(AE4064="free","re-planting",IF(G4064=0,"",IF(PlanterYesMe="",IF(AE4064="me","   not ELP, by",IF(AE4064="",IF(G4064&gt;0,(VLOOKUP(A4064,'Discount Lookup'!J:K,2)*G4064*(1-PlanterDiscount)*(1+PlanterDifficultyPercentage)),""),"")),"   not ELP, by"))))))))))))))</f>
        <v/>
      </c>
      <c r="AD4064" s="712"/>
      <c r="AE4064" s="513" t="str">
        <f t="shared" si="3029"/>
        <v/>
      </c>
      <c r="AF4064" s="713" t="str">
        <f t="shared" si="3030"/>
        <v/>
      </c>
      <c r="AG4064" s="713"/>
      <c r="AH4064" s="713"/>
      <c r="AI4064" s="112">
        <f>IF(H4064="credit",0,IF(AE4064="free",0,IF(AE4064="me",0,IF(G4064&gt;0,(VLOOKUP(A4064,'Discount Lookup'!J:K,2)*G4064),0))))</f>
        <v>0</v>
      </c>
      <c r="AJ4064" s="107" t="str">
        <f t="shared" ca="1" si="3031"/>
        <v/>
      </c>
      <c r="AK4064" s="714" t="str">
        <f t="shared" si="3032"/>
        <v/>
      </c>
      <c r="AL4064" s="714"/>
      <c r="AM4064" s="114" t="str">
        <f t="shared" si="3033"/>
        <v/>
      </c>
      <c r="AN4064" s="115"/>
      <c r="AO4064" s="116"/>
      <c r="AP4064" s="116"/>
      <c r="AQ4064" s="116"/>
      <c r="AR4064" s="116"/>
      <c r="AS4064" s="116"/>
      <c r="AT4064" s="116"/>
      <c r="AU4064" s="116"/>
      <c r="AV4064" s="78"/>
      <c r="AW4064" s="102"/>
      <c r="AX4064" s="78"/>
      <c r="AY4064" s="78"/>
      <c r="AZ4064" s="78"/>
      <c r="BA4064" s="78"/>
      <c r="BB4064" s="78"/>
      <c r="BC4064" s="78"/>
      <c r="BD4064" s="78"/>
      <c r="BE4064" s="465"/>
      <c r="BF4064" s="165" t="str">
        <f t="shared" si="3034"/>
        <v>https://www.google.com/search?tbm=isch&amp;q=3%20G1</v>
      </c>
      <c r="BG4064" s="165" t="str">
        <f t="shared" si="3035"/>
        <v>T</v>
      </c>
      <c r="BH4064" s="65"/>
      <c r="BI4064" s="65"/>
      <c r="BJ4064" s="65"/>
      <c r="BK4064" s="65"/>
      <c r="BL4064" s="99"/>
      <c r="BM4064" s="99"/>
      <c r="BN4064" s="99"/>
    </row>
    <row r="4065" spans="1:66" s="51" customFormat="1" ht="15.75" x14ac:dyDescent="0.25">
      <c r="A4065" s="478">
        <v>5</v>
      </c>
      <c r="B4065" s="479" t="s">
        <v>291</v>
      </c>
      <c r="C4065" s="480" t="s">
        <v>4352</v>
      </c>
      <c r="D4065" s="481" t="s">
        <v>309</v>
      </c>
      <c r="E4065" s="482">
        <v>49.95</v>
      </c>
      <c r="F4065" s="483" t="s">
        <v>292</v>
      </c>
      <c r="G4065" s="484">
        <v>0</v>
      </c>
      <c r="H4065" s="688" t="str">
        <f>IF(G4065=0,"",IF(F4065="Buy",IF(G4065=1,"plant","plants"),IF(F4065&gt;0.01,"warranty","Error")))</f>
        <v/>
      </c>
      <c r="I4065" s="485">
        <f>IF(H4065="free",0,IF(H4065="credit",((E4065*(F4065))*G4065*-1),IF(F4065="Buy",(E4065*G4065),((E4065*(1-F4065))*G4065))))</f>
        <v>0</v>
      </c>
      <c r="J4065" s="485">
        <f>IF(H4065="warranty",0,(I4065*(_xlfn.SINGLE(SalesTaxPercentage))))</f>
        <v>0</v>
      </c>
      <c r="K4065" s="715">
        <f t="shared" ref="K4065" si="3044">I4065+J4065</f>
        <v>0</v>
      </c>
      <c r="L4065" s="715"/>
      <c r="M4065" s="689" t="str">
        <f ca="1">IF(AND(G4065&gt;0,E4065=0),"WARNING - no PRICE inserted",IF(H4065="free","FREE ~ no charge this plant",IF(H4065="credit",CONCATENATE("-$",ROUND(K4065*(1-_xlfn.SINGLE(T2GDiscount))*-1,2)," CREDIT after discount"),IF(_xlfn.SINGLE(T2GDiscount)=0,"",IF(G4065=0,"",IF(F4065="Buy",CONCATENATE("$",ROUND(K4065*(1-_xlfn.SINGLE(T2GDiscount)),2)," with ",(_xlfn.SINGLE(T2GDiscount)*100),"% discount"),CONCATENATE("$",ROUND(K4065*(1-_xlfn.SINGLE(T2GDiscount)),2)," with ",((_xlfn.SINGLE(T2GDiscount)*100+F4065*100)-(_xlfn.SINGLE(T2GDiscount)*100*F4065)),IF(F4065&gt;0,"% discounts",IF(_xlfn.SINGLE(NoWarrantyDiscount)&gt;0,"% discounts","% discount")))))))))</f>
        <v/>
      </c>
      <c r="N4065" s="690"/>
      <c r="O4065" s="486"/>
      <c r="P4065" s="486"/>
      <c r="Q4065" s="486"/>
      <c r="R4065" s="486"/>
      <c r="S4065" s="486"/>
      <c r="T4065" s="102">
        <f t="shared" si="3023"/>
        <v>0</v>
      </c>
      <c r="U4065" s="78">
        <f>IF(NOT(ISNUMBER(G4065)), "", VLOOKUP(A4065,'Discount Lookup'!D:E,2,FALSE)*G4065)</f>
        <v>0</v>
      </c>
      <c r="V4065" s="78">
        <f>IF(NOT(ISNUMBER(G4065)), "", VLOOKUP(A4065,'Discount Lookup'!G:H,2,FALSE)*G4065)</f>
        <v>0</v>
      </c>
      <c r="W4065" s="102">
        <f t="shared" si="3024"/>
        <v>0</v>
      </c>
      <c r="X4065" s="102">
        <f t="shared" si="3025"/>
        <v>0</v>
      </c>
      <c r="Y4065" s="120" t="b">
        <f t="shared" si="3026"/>
        <v>0</v>
      </c>
      <c r="Z4065" s="117">
        <f t="shared" si="3027"/>
        <v>0</v>
      </c>
      <c r="AA4065" s="118"/>
      <c r="AB4065" s="118" t="str">
        <f t="shared" si="3028"/>
        <v/>
      </c>
      <c r="AC4065" s="712" t="str">
        <f>IF(AE4065="T2G","no charge",IF(AND(OR(PlanterYesMe="No",PlanterYesMe="N",PlanterYesMe="me"),H4065=""),"",IF(H4065="credit","NO install",IF(AND(K4065="",AE4065="me"),"EACH row",IF(AND(K4065="images",AE4065="me"),"EACH row",IF(D4065="","",IF(H4065="credit","",IF(AE4065="free","re-planting",IF(AE4065="me","   not ELP, by",IF(AND(OR(PlanterYesMe="Yes",PlanterYesMe="Y"),G4065&gt;0),(VLOOKUP(A4065,'Discount Lookup'!J:K,2)*G4065*(1-PlanterDiscount)*(1+PlanterDifficultyPercentage)),IF(AE4065="ELP",(VLOOKUP(A4065,'Discount Lookup'!J:K,2)*G4065*(1-PlanterDiscount)*(1+PlanterDifficultyPercentage)),IF(AE4065="free","re-planting",IF(G4065=0,"",IF(PlanterYesMe="",IF(AE4065="me","   not ELP, by",IF(AE4065="",IF(G4065&gt;0,(VLOOKUP(A4065,'Discount Lookup'!J:K,2)*G4065*(1-PlanterDiscount)*(1+PlanterDifficultyPercentage)),""),"")),"   not ELP, by"))))))))))))))</f>
        <v/>
      </c>
      <c r="AD4065" s="712"/>
      <c r="AE4065" s="513" t="str">
        <f t="shared" si="3029"/>
        <v/>
      </c>
      <c r="AF4065" s="713" t="str">
        <f t="shared" si="3030"/>
        <v/>
      </c>
      <c r="AG4065" s="713"/>
      <c r="AH4065" s="713"/>
      <c r="AI4065" s="112">
        <f>IF(H4065="credit",0,IF(AE4065="free",0,IF(AE4065="me",0,IF(G4065&gt;0,(VLOOKUP(A4065,'Discount Lookup'!J:K,2)*G4065),0))))</f>
        <v>0</v>
      </c>
      <c r="AJ4065" s="107" t="str">
        <f t="shared" ca="1" si="3031"/>
        <v/>
      </c>
      <c r="AK4065" s="714" t="str">
        <f t="shared" si="3032"/>
        <v/>
      </c>
      <c r="AL4065" s="714"/>
      <c r="AM4065" s="114" t="str">
        <f t="shared" si="3033"/>
        <v/>
      </c>
      <c r="AN4065" s="115"/>
      <c r="AO4065" s="116"/>
      <c r="AP4065" s="116"/>
      <c r="AQ4065" s="116"/>
      <c r="AR4065" s="116"/>
      <c r="AS4065" s="116"/>
      <c r="AT4065" s="116"/>
      <c r="AU4065" s="116"/>
      <c r="AV4065" s="78"/>
      <c r="AW4065" s="102"/>
      <c r="AX4065" s="78"/>
      <c r="AY4065" s="78"/>
      <c r="AZ4065" s="78"/>
      <c r="BA4065" s="78"/>
      <c r="BB4065" s="78"/>
      <c r="BC4065" s="78"/>
      <c r="BD4065" s="78"/>
      <c r="BE4065" s="465"/>
      <c r="BF4065" s="165" t="str">
        <f t="shared" si="3034"/>
        <v>https://www.google.com/search?tbm=isch&amp;q=5%20G3</v>
      </c>
      <c r="BG4065" s="165" t="str">
        <f t="shared" si="3035"/>
        <v>T</v>
      </c>
      <c r="BH4065" s="65"/>
      <c r="BI4065" s="65"/>
      <c r="BJ4065" s="65"/>
      <c r="BK4065" s="65"/>
      <c r="BL4065" s="99"/>
      <c r="BM4065" s="99"/>
      <c r="BN4065" s="99"/>
    </row>
    <row r="4066" spans="1:66" s="51" customFormat="1" ht="15.75" x14ac:dyDescent="0.25">
      <c r="A4066" s="478">
        <v>7</v>
      </c>
      <c r="B4066" s="479" t="s">
        <v>291</v>
      </c>
      <c r="C4066" s="480" t="s">
        <v>5026</v>
      </c>
      <c r="D4066" s="481" t="s">
        <v>311</v>
      </c>
      <c r="E4066" s="482">
        <v>68.95</v>
      </c>
      <c r="F4066" s="483" t="s">
        <v>292</v>
      </c>
      <c r="G4066" s="484">
        <v>0</v>
      </c>
      <c r="H4066" s="688" t="str">
        <f>IF(G4066=0,"",IF(F4066="Buy",IF(G4066=1,"plant","plants"),IF(F4066&gt;0.01,"warranty","Error")))</f>
        <v/>
      </c>
      <c r="I4066" s="485">
        <f>IF(H4066="free",0,IF(H4066="credit",((E4066*(F4066))*G4066*-1),IF(F4066="Buy",(E4066*G4066),((E4066*(1-F4066))*G4066))))</f>
        <v>0</v>
      </c>
      <c r="J4066" s="485">
        <f>IF(H4066="warranty",0,(I4066*(_xlfn.SINGLE(SalesTaxPercentage))))</f>
        <v>0</v>
      </c>
      <c r="K4066" s="715">
        <f t="shared" ref="K4066" si="3045">I4066+J4066</f>
        <v>0</v>
      </c>
      <c r="L4066" s="715"/>
      <c r="M4066" s="689" t="str">
        <f ca="1">IF(AND(G4066&gt;0,E4066=0),"WARNING - no PRICE inserted",IF(H4066="free","FREE ~ no charge this plant",IF(H4066="credit",CONCATENATE("-$",ROUND(K4066*(1-_xlfn.SINGLE(T2GDiscount))*-1,2)," CREDIT after discount"),IF(_xlfn.SINGLE(T2GDiscount)=0,"",IF(G4066=0,"",IF(F4066="Buy",CONCATENATE("$",ROUND(K4066*(1-_xlfn.SINGLE(T2GDiscount)),2)," with ",(_xlfn.SINGLE(T2GDiscount)*100),"% discount"),CONCATENATE("$",ROUND(K4066*(1-_xlfn.SINGLE(T2GDiscount)),2)," with ",((_xlfn.SINGLE(T2GDiscount)*100+F4066*100)-(_xlfn.SINGLE(T2GDiscount)*100*F4066)),IF(F4066&gt;0,"% discounts",IF(_xlfn.SINGLE(NoWarrantyDiscount)&gt;0,"% discounts","% discount")))))))))</f>
        <v/>
      </c>
      <c r="N4066" s="690"/>
      <c r="O4066" s="486"/>
      <c r="P4066" s="486"/>
      <c r="Q4066" s="486"/>
      <c r="R4066" s="486"/>
      <c r="S4066" s="486"/>
      <c r="T4066" s="102">
        <f t="shared" si="3023"/>
        <v>0</v>
      </c>
      <c r="U4066" s="78">
        <f>IF(NOT(ISNUMBER(G4066)), "", VLOOKUP(A4066,'Discount Lookup'!D:E,2,FALSE)*G4066)</f>
        <v>0</v>
      </c>
      <c r="V4066" s="78">
        <f>IF(NOT(ISNUMBER(G4066)), "", VLOOKUP(A4066,'Discount Lookup'!G:H,2,FALSE)*G4066)</f>
        <v>0</v>
      </c>
      <c r="W4066" s="102">
        <f t="shared" si="3024"/>
        <v>0</v>
      </c>
      <c r="X4066" s="102">
        <f t="shared" si="3025"/>
        <v>0</v>
      </c>
      <c r="Y4066" s="120" t="b">
        <f t="shared" si="3026"/>
        <v>0</v>
      </c>
      <c r="Z4066" s="117">
        <f t="shared" si="3027"/>
        <v>0</v>
      </c>
      <c r="AA4066" s="118"/>
      <c r="AB4066" s="118" t="str">
        <f t="shared" si="3028"/>
        <v/>
      </c>
      <c r="AC4066" s="712" t="str">
        <f>IF(AE4066="T2G","no charge",IF(AND(OR(PlanterYesMe="No",PlanterYesMe="N",PlanterYesMe="me"),H4066=""),"",IF(H4066="credit","NO install",IF(AND(K4066="",AE4066="me"),"EACH row",IF(AND(K4066="images",AE4066="me"),"EACH row",IF(D4066="","",IF(H4066="credit","",IF(AE4066="free","re-planting",IF(AE4066="me","   not ELP, by",IF(AND(OR(PlanterYesMe="Yes",PlanterYesMe="Y"),G4066&gt;0),(VLOOKUP(A4066,'Discount Lookup'!J:K,2)*G4066*(1-PlanterDiscount)*(1+PlanterDifficultyPercentage)),IF(AE4066="ELP",(VLOOKUP(A4066,'Discount Lookup'!J:K,2)*G4066*(1-PlanterDiscount)*(1+PlanterDifficultyPercentage)),IF(AE4066="free","re-planting",IF(G4066=0,"",IF(PlanterYesMe="",IF(AE4066="me","   not ELP, by",IF(AE4066="",IF(G4066&gt;0,(VLOOKUP(A4066,'Discount Lookup'!J:K,2)*G4066*(1-PlanterDiscount)*(1+PlanterDifficultyPercentage)),""),"")),"   not ELP, by"))))))))))))))</f>
        <v/>
      </c>
      <c r="AD4066" s="712"/>
      <c r="AE4066" s="513" t="str">
        <f t="shared" si="3029"/>
        <v/>
      </c>
      <c r="AF4066" s="713" t="str">
        <f t="shared" si="3030"/>
        <v/>
      </c>
      <c r="AG4066" s="713"/>
      <c r="AH4066" s="713"/>
      <c r="AI4066" s="112">
        <f>IF(H4066="credit",0,IF(AE4066="free",0,IF(AE4066="me",0,IF(G4066&gt;0,(VLOOKUP(A4066,'Discount Lookup'!J:K,2)*G4066),0))))</f>
        <v>0</v>
      </c>
      <c r="AJ4066" s="107" t="str">
        <f t="shared" ca="1" si="3031"/>
        <v/>
      </c>
      <c r="AK4066" s="714" t="str">
        <f t="shared" si="3032"/>
        <v/>
      </c>
      <c r="AL4066" s="714"/>
      <c r="AM4066" s="114" t="str">
        <f t="shared" si="3033"/>
        <v/>
      </c>
      <c r="AN4066" s="115"/>
      <c r="AO4066" s="116"/>
      <c r="AP4066" s="116"/>
      <c r="AQ4066" s="116"/>
      <c r="AR4066" s="116"/>
      <c r="AS4066" s="116"/>
      <c r="AT4066" s="116"/>
      <c r="AU4066" s="116"/>
      <c r="AV4066" s="78"/>
      <c r="AW4066" s="102"/>
      <c r="AX4066" s="78"/>
      <c r="AY4066" s="78"/>
      <c r="AZ4066" s="78"/>
      <c r="BA4066" s="78"/>
      <c r="BB4066" s="78"/>
      <c r="BC4066" s="78"/>
      <c r="BD4066" s="78"/>
      <c r="BE4066" s="465"/>
      <c r="BF4066" s="165" t="str">
        <f t="shared" si="3034"/>
        <v>https://www.google.com/search?tbm=isch&amp;q=7%20G5</v>
      </c>
      <c r="BG4066" s="165" t="str">
        <f t="shared" si="3035"/>
        <v>T</v>
      </c>
      <c r="BH4066" s="65"/>
      <c r="BI4066" s="65"/>
      <c r="BJ4066" s="65"/>
      <c r="BK4066" s="65"/>
      <c r="BL4066" s="99"/>
      <c r="BM4066" s="99"/>
      <c r="BN4066" s="99"/>
    </row>
    <row r="4067" spans="1:66" s="51" customFormat="1" ht="16.5" thickBot="1" x14ac:dyDescent="0.3">
      <c r="A4067" s="508" t="s">
        <v>4353</v>
      </c>
      <c r="B4067" s="487"/>
      <c r="C4067" s="707"/>
      <c r="D4067" s="487"/>
      <c r="E4067" s="487"/>
      <c r="F4067" s="488"/>
      <c r="G4067" s="489"/>
      <c r="H4067" s="487"/>
      <c r="I4067" s="490"/>
      <c r="J4067" s="490"/>
      <c r="K4067" s="491"/>
      <c r="L4067" s="547"/>
      <c r="M4067" s="528"/>
      <c r="N4067" s="492"/>
      <c r="O4067" s="493"/>
      <c r="P4067" s="494"/>
      <c r="Q4067" s="492"/>
      <c r="R4067" s="492"/>
      <c r="S4067" s="495"/>
      <c r="T4067" s="102">
        <f t="shared" si="3023"/>
        <v>0</v>
      </c>
      <c r="U4067" s="78" t="str">
        <f>IF(NOT(ISNUMBER(G4067)), "", VLOOKUP(A4067,'Discount Lookup'!D:E,2,FALSE)*G4067)</f>
        <v/>
      </c>
      <c r="V4067" s="78" t="str">
        <f>IF(NOT(ISNUMBER(G4067)), "", VLOOKUP(A4067,'Discount Lookup'!G:H,2,FALSE)*G4067)</f>
        <v/>
      </c>
      <c r="W4067" s="102">
        <f t="shared" si="3024"/>
        <v>0</v>
      </c>
      <c r="X4067" s="102">
        <f t="shared" si="3025"/>
        <v>0</v>
      </c>
      <c r="Y4067" s="120" t="b">
        <f t="shared" si="3026"/>
        <v>0</v>
      </c>
      <c r="Z4067" s="117">
        <f t="shared" si="3027"/>
        <v>0</v>
      </c>
      <c r="AA4067" s="118"/>
      <c r="AB4067" s="118" t="str">
        <f t="shared" si="3028"/>
        <v/>
      </c>
      <c r="AC4067" s="712" t="str">
        <f>IF(AE4067="T2G","no charge",IF(AND(OR(PlanterYesMe="No",PlanterYesMe="N",PlanterYesMe="me"),H4067=""),"",IF(H4067="credit","NO install",IF(AND(K4067="",AE4067="me"),"EACH row",IF(AND(K4067="images",AE4067="me"),"EACH row",IF(D4067="","",IF(H4067="credit","",IF(AE4067="free","re-planting",IF(AE4067="me","   not ELP, by",IF(AND(OR(PlanterYesMe="Yes",PlanterYesMe="Y"),G4067&gt;0),(VLOOKUP(A4067,'Discount Lookup'!J:K,2)*G4067*(1-PlanterDiscount)*(1+PlanterDifficultyPercentage)),IF(AE4067="ELP",(VLOOKUP(A4067,'Discount Lookup'!J:K,2)*G4067*(1-PlanterDiscount)*(1+PlanterDifficultyPercentage)),IF(AE4067="free","re-planting",IF(G4067=0,"",IF(PlanterYesMe="",IF(AE4067="me","   not ELP, by",IF(AE4067="",IF(G4067&gt;0,(VLOOKUP(A4067,'Discount Lookup'!J:K,2)*G4067*(1-PlanterDiscount)*(1+PlanterDifficultyPercentage)),""),"")),"   not ELP, by"))))))))))))))</f>
        <v/>
      </c>
      <c r="AD4067" s="712"/>
      <c r="AE4067" s="513" t="str">
        <f t="shared" si="3029"/>
        <v/>
      </c>
      <c r="AF4067" s="713" t="str">
        <f t="shared" si="3030"/>
        <v/>
      </c>
      <c r="AG4067" s="713"/>
      <c r="AH4067" s="713"/>
      <c r="AI4067" s="112">
        <f>IF(H4067="credit",0,IF(AE4067="free",0,IF(AE4067="me",0,IF(G4067&gt;0,(VLOOKUP(A4067,'Discount Lookup'!J:K,2)*G4067),0))))</f>
        <v>0</v>
      </c>
      <c r="AJ4067" s="107" t="str">
        <f t="shared" ca="1" si="3031"/>
        <v/>
      </c>
      <c r="AK4067" s="714" t="str">
        <f t="shared" si="3032"/>
        <v/>
      </c>
      <c r="AL4067" s="714"/>
      <c r="AM4067" s="114" t="str">
        <f t="shared" si="3033"/>
        <v/>
      </c>
      <c r="AN4067" s="115"/>
      <c r="AO4067" s="116"/>
      <c r="AP4067" s="116"/>
      <c r="AQ4067" s="116"/>
      <c r="AR4067" s="116"/>
      <c r="AS4067" s="116"/>
      <c r="AT4067" s="116"/>
      <c r="AU4067" s="116"/>
      <c r="AV4067" s="78"/>
      <c r="AW4067" s="102"/>
      <c r="AX4067" s="78"/>
      <c r="AY4067" s="78"/>
      <c r="AZ4067" s="78"/>
      <c r="BA4067" s="78"/>
      <c r="BB4067" s="78"/>
      <c r="BC4067" s="78"/>
      <c r="BD4067" s="78"/>
      <c r="BE4067" s="465"/>
      <c r="BF4067" s="165" t="str">
        <f t="shared" si="3034"/>
        <v>https://www.google.com/search?tbm=isch&amp;q=Hetz%20Midget%20globe-shaped%20shrub%20with%20fine-textured%20foliage%20and%20a%20naturally%20rounded%20form%20that%20requires%20little%20to%20no%20shearing%20</v>
      </c>
      <c r="BG4067" s="165" t="str">
        <f t="shared" si="3035"/>
        <v>H</v>
      </c>
      <c r="BH4067" s="65"/>
      <c r="BI4067" s="65"/>
      <c r="BJ4067" s="65"/>
      <c r="BK4067" s="65"/>
      <c r="BL4067" s="99"/>
      <c r="BM4067" s="99"/>
      <c r="BN4067" s="99"/>
    </row>
    <row r="4068" spans="1:66" s="51" customFormat="1" ht="18" x14ac:dyDescent="0.25">
      <c r="A4068" s="507" t="s">
        <v>4822</v>
      </c>
      <c r="B4068" s="470"/>
      <c r="C4068" s="706"/>
      <c r="D4068" s="471" t="s">
        <v>4823</v>
      </c>
      <c r="E4068" s="472"/>
      <c r="F4068" s="472"/>
      <c r="G4068" s="472"/>
      <c r="H4068" s="622" t="s">
        <v>4824</v>
      </c>
      <c r="I4068" s="473" t="s">
        <v>443</v>
      </c>
      <c r="J4068" s="472"/>
      <c r="K4068" s="472"/>
      <c r="L4068" s="561"/>
      <c r="M4068" s="698" t="s">
        <v>5246</v>
      </c>
      <c r="N4068" s="692" t="str">
        <f>IF(AND(ISTEXT($A4068), ISERROR($A4068+0)), HYPERLINK($BF4068, "Images"), "")</f>
        <v>Images</v>
      </c>
      <c r="O4068" s="694" t="s">
        <v>5286</v>
      </c>
      <c r="P4068" s="475"/>
      <c r="Q4068" s="476"/>
      <c r="R4068" s="476"/>
      <c r="S4068" s="477" t="s">
        <v>294</v>
      </c>
      <c r="T4068" s="102">
        <f t="shared" si="3023"/>
        <v>0</v>
      </c>
      <c r="U4068" s="78" t="str">
        <f>IF(NOT(ISNUMBER(G4068)), "", VLOOKUP(A4068,'Discount Lookup'!D:E,2,FALSE)*G4068)</f>
        <v/>
      </c>
      <c r="V4068" s="78" t="str">
        <f>IF(NOT(ISNUMBER(G4068)), "", VLOOKUP(A4068,'Discount Lookup'!G:H,2,FALSE)*G4068)</f>
        <v/>
      </c>
      <c r="W4068" s="102">
        <f t="shared" si="3024"/>
        <v>0</v>
      </c>
      <c r="X4068" s="102" t="str">
        <f t="shared" si="3025"/>
        <v>Golden-Yellow foliage</v>
      </c>
      <c r="Y4068" s="120" t="b">
        <f t="shared" si="3026"/>
        <v>0</v>
      </c>
      <c r="Z4068" s="117">
        <f t="shared" si="3027"/>
        <v>0</v>
      </c>
      <c r="AA4068" s="118"/>
      <c r="AB4068" s="118" t="str">
        <f t="shared" si="3028"/>
        <v/>
      </c>
      <c r="AC4068" s="712" t="str">
        <f>IF(AE4068="T2G","no charge",IF(AND(OR(PlanterYesMe="No",PlanterYesMe="N",PlanterYesMe="me"),H4068=""),"",IF(H4068="credit","NO install",IF(AND(K4068="",AE4068="me"),"EACH row",IF(AND(K4068="images",AE4068="me"),"EACH row",IF(D4068="","",IF(H4068="credit","",IF(AE4068="free","re-planting",IF(AE4068="me","   not ELP, by",IF(AND(OR(PlanterYesMe="Yes",PlanterYesMe="Y"),G4068&gt;0),(VLOOKUP(A4068,'Discount Lookup'!J:K,2)*G4068*(1-PlanterDiscount)*(1+PlanterDifficultyPercentage)),IF(AE4068="ELP",(VLOOKUP(A4068,'Discount Lookup'!J:K,2)*G4068*(1-PlanterDiscount)*(1+PlanterDifficultyPercentage)),IF(AE4068="free","re-planting",IF(G4068=0,"",IF(PlanterYesMe="",IF(AE4068="me","   not ELP, by",IF(AE4068="",IF(G4068&gt;0,(VLOOKUP(A4068,'Discount Lookup'!J:K,2)*G4068*(1-PlanterDiscount)*(1+PlanterDifficultyPercentage)),""),"")),"   not ELP, by"))))))))))))))</f>
        <v/>
      </c>
      <c r="AD4068" s="712"/>
      <c r="AE4068" s="513" t="str">
        <f t="shared" si="3029"/>
        <v/>
      </c>
      <c r="AF4068" s="713" t="str">
        <f t="shared" si="3030"/>
        <v/>
      </c>
      <c r="AG4068" s="713"/>
      <c r="AH4068" s="713"/>
      <c r="AI4068" s="112">
        <f>IF(H4068="credit",0,IF(AE4068="free",0,IF(AE4068="me",0,IF(G4068&gt;0,(VLOOKUP(A4068,'Discount Lookup'!J:K,2)*G4068),0))))</f>
        <v>0</v>
      </c>
      <c r="AJ4068" s="107" t="str">
        <f t="shared" ca="1" si="3031"/>
        <v/>
      </c>
      <c r="AK4068" s="714" t="str">
        <f t="shared" si="3032"/>
        <v/>
      </c>
      <c r="AL4068" s="714"/>
      <c r="AM4068" s="114" t="str">
        <f t="shared" si="3033"/>
        <v/>
      </c>
      <c r="AN4068" s="115"/>
      <c r="AO4068" s="116"/>
      <c r="AP4068" s="116"/>
      <c r="AQ4068" s="116"/>
      <c r="AR4068" s="116"/>
      <c r="AS4068" s="116"/>
      <c r="AT4068" s="116"/>
      <c r="AU4068" s="116"/>
      <c r="AV4068" s="78"/>
      <c r="AW4068" s="102"/>
      <c r="AX4068" s="78"/>
      <c r="AY4068" s="78"/>
      <c r="AZ4068" s="78"/>
      <c r="BA4068" s="78"/>
      <c r="BB4068" s="78"/>
      <c r="BC4068" s="78"/>
      <c r="BD4068" s="78"/>
      <c r="BE4068" s="465"/>
      <c r="BF4068" s="165" t="str">
        <f t="shared" si="3034"/>
        <v>https://www.google.com/search?tbm=isch&amp;q=Thuja%20occidentalis%20%27Jantar%27%20PP%2322296%20Jantar%20Gold%20Arborvitae</v>
      </c>
      <c r="BG4068" s="165" t="str">
        <f t="shared" si="3035"/>
        <v>T</v>
      </c>
      <c r="BH4068" s="65"/>
      <c r="BI4068" s="65"/>
      <c r="BJ4068" s="65"/>
      <c r="BK4068" s="65"/>
      <c r="BL4068" s="99"/>
      <c r="BM4068" s="99"/>
      <c r="BN4068" s="99"/>
    </row>
    <row r="4069" spans="1:66" s="51" customFormat="1" ht="15.75" x14ac:dyDescent="0.25">
      <c r="A4069" s="478">
        <v>7</v>
      </c>
      <c r="B4069" s="479" t="s">
        <v>291</v>
      </c>
      <c r="C4069" s="480" t="s">
        <v>4825</v>
      </c>
      <c r="D4069" s="481" t="s">
        <v>299</v>
      </c>
      <c r="E4069" s="482">
        <v>123.95</v>
      </c>
      <c r="F4069" s="483" t="s">
        <v>292</v>
      </c>
      <c r="G4069" s="484">
        <v>0</v>
      </c>
      <c r="H4069" s="688" t="str">
        <f>IF(G4069=0,"",IF(F4069="Buy",IF(G4069=1,"plant","plants"),IF(F4069&gt;0.01,"warranty","Error")))</f>
        <v/>
      </c>
      <c r="I4069" s="485">
        <f>IF(H4069="free",0,IF(H4069="credit",((E4069*(F4069))*G4069*-1),IF(F4069="Buy",(E4069*G4069),((E4069*(1-F4069))*G4069))))</f>
        <v>0</v>
      </c>
      <c r="J4069" s="485">
        <f>IF(H4069="warranty",0,(I4069*(_xlfn.SINGLE(SalesTaxPercentage))))</f>
        <v>0</v>
      </c>
      <c r="K4069" s="715">
        <f t="shared" ref="K4069" si="3046">I4069+J4069</f>
        <v>0</v>
      </c>
      <c r="L4069" s="715"/>
      <c r="M4069" s="689" t="str">
        <f ca="1">IF(AND(G4069&gt;0,E4069=0),"WARNING - no PRICE inserted",IF(H4069="free","FREE ~ no charge this plant",IF(H4069="credit",CONCATENATE("-$",ROUND(K4069*(1-_xlfn.SINGLE(T2GDiscount))*-1,2)," CREDIT after discount"),IF(_xlfn.SINGLE(T2GDiscount)=0,"",IF(G4069=0,"",IF(F4069="Buy",CONCATENATE("$",ROUND(K4069*(1-_xlfn.SINGLE(T2GDiscount)),2)," with ",(_xlfn.SINGLE(T2GDiscount)*100),"% discount"),CONCATENATE("$",ROUND(K4069*(1-_xlfn.SINGLE(T2GDiscount)),2)," with ",((_xlfn.SINGLE(T2GDiscount)*100+F4069*100)-(_xlfn.SINGLE(T2GDiscount)*100*F4069)),IF(F4069&gt;0,"% discounts",IF(_xlfn.SINGLE(NoWarrantyDiscount)&gt;0,"% discounts","% discount")))))))))</f>
        <v/>
      </c>
      <c r="N4069" s="690"/>
      <c r="O4069" s="486"/>
      <c r="P4069" s="486"/>
      <c r="Q4069" s="486"/>
      <c r="R4069" s="486"/>
      <c r="S4069" s="486"/>
      <c r="T4069" s="102">
        <f t="shared" si="3023"/>
        <v>0</v>
      </c>
      <c r="U4069" s="78">
        <f>IF(NOT(ISNUMBER(G4069)), "", VLOOKUP(A4069,'Discount Lookup'!D:E,2,FALSE)*G4069)</f>
        <v>0</v>
      </c>
      <c r="V4069" s="78">
        <f>IF(NOT(ISNUMBER(G4069)), "", VLOOKUP(A4069,'Discount Lookup'!G:H,2,FALSE)*G4069)</f>
        <v>0</v>
      </c>
      <c r="W4069" s="102">
        <f t="shared" si="3024"/>
        <v>0</v>
      </c>
      <c r="X4069" s="102">
        <f t="shared" si="3025"/>
        <v>0</v>
      </c>
      <c r="Y4069" s="120" t="b">
        <f t="shared" si="3026"/>
        <v>0</v>
      </c>
      <c r="Z4069" s="117">
        <f t="shared" si="3027"/>
        <v>0</v>
      </c>
      <c r="AA4069" s="118"/>
      <c r="AB4069" s="118" t="str">
        <f t="shared" si="3028"/>
        <v/>
      </c>
      <c r="AC4069" s="712" t="str">
        <f>IF(AE4069="T2G","no charge",IF(AND(OR(PlanterYesMe="No",PlanterYesMe="N",PlanterYesMe="me"),H4069=""),"",IF(H4069="credit","NO install",IF(AND(K4069="",AE4069="me"),"EACH row",IF(AND(K4069="images",AE4069="me"),"EACH row",IF(D4069="","",IF(H4069="credit","",IF(AE4069="free","re-planting",IF(AE4069="me","   not ELP, by",IF(AND(OR(PlanterYesMe="Yes",PlanterYesMe="Y"),G4069&gt;0),(VLOOKUP(A4069,'Discount Lookup'!J:K,2)*G4069*(1-PlanterDiscount)*(1+PlanterDifficultyPercentage)),IF(AE4069="ELP",(VLOOKUP(A4069,'Discount Lookup'!J:K,2)*G4069*(1-PlanterDiscount)*(1+PlanterDifficultyPercentage)),IF(AE4069="free","re-planting",IF(G4069=0,"",IF(PlanterYesMe="",IF(AE4069="me","   not ELP, by",IF(AE4069="",IF(G4069&gt;0,(VLOOKUP(A4069,'Discount Lookup'!J:K,2)*G4069*(1-PlanterDiscount)*(1+PlanterDifficultyPercentage)),""),"")),"   not ELP, by"))))))))))))))</f>
        <v/>
      </c>
      <c r="AD4069" s="712"/>
      <c r="AE4069" s="513" t="str">
        <f t="shared" si="3029"/>
        <v/>
      </c>
      <c r="AF4069" s="713" t="str">
        <f t="shared" si="3030"/>
        <v/>
      </c>
      <c r="AG4069" s="713"/>
      <c r="AH4069" s="713"/>
      <c r="AI4069" s="112">
        <f>IF(H4069="credit",0,IF(AE4069="free",0,IF(AE4069="me",0,IF(G4069&gt;0,(VLOOKUP(A4069,'Discount Lookup'!J:K,2)*G4069),0))))</f>
        <v>0</v>
      </c>
      <c r="AJ4069" s="107" t="str">
        <f t="shared" ca="1" si="3031"/>
        <v/>
      </c>
      <c r="AK4069" s="714" t="str">
        <f t="shared" si="3032"/>
        <v/>
      </c>
      <c r="AL4069" s="714"/>
      <c r="AM4069" s="114" t="str">
        <f t="shared" si="3033"/>
        <v/>
      </c>
      <c r="AN4069" s="115"/>
      <c r="AO4069" s="116"/>
      <c r="AP4069" s="116"/>
      <c r="AQ4069" s="116"/>
      <c r="AR4069" s="116"/>
      <c r="AS4069" s="116"/>
      <c r="AT4069" s="116"/>
      <c r="AU4069" s="116"/>
      <c r="AV4069" s="78"/>
      <c r="AW4069" s="102"/>
      <c r="AX4069" s="78"/>
      <c r="AY4069" s="78"/>
      <c r="AZ4069" s="78"/>
      <c r="BA4069" s="78"/>
      <c r="BB4069" s="78"/>
      <c r="BC4069" s="78"/>
      <c r="BD4069" s="78"/>
      <c r="BE4069" s="465"/>
      <c r="BF4069" s="165" t="str">
        <f t="shared" si="3034"/>
        <v>https://www.google.com/search?tbm=isch&amp;q=7%20G4</v>
      </c>
      <c r="BG4069" s="165" t="str">
        <f t="shared" si="3035"/>
        <v>T</v>
      </c>
      <c r="BH4069" s="65"/>
      <c r="BI4069" s="65"/>
      <c r="BJ4069" s="65"/>
      <c r="BK4069" s="65"/>
      <c r="BL4069" s="99"/>
      <c r="BM4069" s="99"/>
      <c r="BN4069" s="99"/>
    </row>
    <row r="4070" spans="1:66" s="51" customFormat="1" ht="16.5" thickBot="1" x14ac:dyDescent="0.3">
      <c r="A4070" s="508" t="s">
        <v>4826</v>
      </c>
      <c r="B4070" s="487"/>
      <c r="C4070" s="707"/>
      <c r="D4070" s="487"/>
      <c r="E4070" s="487"/>
      <c r="F4070" s="488"/>
      <c r="G4070" s="489"/>
      <c r="H4070" s="487"/>
      <c r="I4070" s="490"/>
      <c r="J4070" s="490"/>
      <c r="K4070" s="491"/>
      <c r="L4070" s="547"/>
      <c r="M4070" s="528"/>
      <c r="N4070" s="492"/>
      <c r="O4070" s="493"/>
      <c r="P4070" s="494"/>
      <c r="Q4070" s="492"/>
      <c r="R4070" s="492"/>
      <c r="S4070" s="495"/>
      <c r="T4070" s="102">
        <f t="shared" si="3023"/>
        <v>0</v>
      </c>
      <c r="U4070" s="78" t="str">
        <f>IF(NOT(ISNUMBER(G4070)), "", VLOOKUP(A4070,'Discount Lookup'!D:E,2,FALSE)*G4070)</f>
        <v/>
      </c>
      <c r="V4070" s="78" t="str">
        <f>IF(NOT(ISNUMBER(G4070)), "", VLOOKUP(A4070,'Discount Lookup'!G:H,2,FALSE)*G4070)</f>
        <v/>
      </c>
      <c r="W4070" s="102">
        <f t="shared" si="3024"/>
        <v>0</v>
      </c>
      <c r="X4070" s="102">
        <f t="shared" si="3025"/>
        <v>0</v>
      </c>
      <c r="Y4070" s="120" t="b">
        <f t="shared" si="3026"/>
        <v>0</v>
      </c>
      <c r="Z4070" s="117">
        <f t="shared" si="3027"/>
        <v>0</v>
      </c>
      <c r="AA4070" s="118"/>
      <c r="AB4070" s="118" t="str">
        <f t="shared" si="3028"/>
        <v/>
      </c>
      <c r="AC4070" s="712" t="str">
        <f>IF(AE4070="T2G","no charge",IF(AND(OR(PlanterYesMe="No",PlanterYesMe="N",PlanterYesMe="me"),H4070=""),"",IF(H4070="credit","NO install",IF(AND(K4070="",AE4070="me"),"EACH row",IF(AND(K4070="images",AE4070="me"),"EACH row",IF(D4070="","",IF(H4070="credit","",IF(AE4070="free","re-planting",IF(AE4070="me","   not ELP, by",IF(AND(OR(PlanterYesMe="Yes",PlanterYesMe="Y"),G4070&gt;0),(VLOOKUP(A4070,'Discount Lookup'!J:K,2)*G4070*(1-PlanterDiscount)*(1+PlanterDifficultyPercentage)),IF(AE4070="ELP",(VLOOKUP(A4070,'Discount Lookup'!J:K,2)*G4070*(1-PlanterDiscount)*(1+PlanterDifficultyPercentage)),IF(AE4070="free","re-planting",IF(G4070=0,"",IF(PlanterYesMe="",IF(AE4070="me","   not ELP, by",IF(AE4070="",IF(G4070&gt;0,(VLOOKUP(A4070,'Discount Lookup'!J:K,2)*G4070*(1-PlanterDiscount)*(1+PlanterDifficultyPercentage)),""),"")),"   not ELP, by"))))))))))))))</f>
        <v/>
      </c>
      <c r="AD4070" s="712"/>
      <c r="AE4070" s="513" t="str">
        <f t="shared" si="3029"/>
        <v/>
      </c>
      <c r="AF4070" s="713" t="str">
        <f t="shared" si="3030"/>
        <v/>
      </c>
      <c r="AG4070" s="713"/>
      <c r="AH4070" s="713"/>
      <c r="AI4070" s="112">
        <f>IF(H4070="credit",0,IF(AE4070="free",0,IF(AE4070="me",0,IF(G4070&gt;0,(VLOOKUP(A4070,'Discount Lookup'!J:K,2)*G4070),0))))</f>
        <v>0</v>
      </c>
      <c r="AJ4070" s="107" t="str">
        <f t="shared" ca="1" si="3031"/>
        <v/>
      </c>
      <c r="AK4070" s="714" t="str">
        <f t="shared" si="3032"/>
        <v/>
      </c>
      <c r="AL4070" s="714"/>
      <c r="AM4070" s="114" t="str">
        <f t="shared" si="3033"/>
        <v/>
      </c>
      <c r="AN4070" s="115"/>
      <c r="AO4070" s="116"/>
      <c r="AP4070" s="116"/>
      <c r="AQ4070" s="116"/>
      <c r="AR4070" s="116"/>
      <c r="AS4070" s="116"/>
      <c r="AT4070" s="116"/>
      <c r="AU4070" s="116"/>
      <c r="AV4070" s="78"/>
      <c r="AW4070" s="102"/>
      <c r="AX4070" s="78"/>
      <c r="AY4070" s="78"/>
      <c r="AZ4070" s="78"/>
      <c r="BA4070" s="78"/>
      <c r="BB4070" s="78"/>
      <c r="BC4070" s="78"/>
      <c r="BD4070" s="78"/>
      <c r="BE4070" s="465"/>
      <c r="BF4070" s="165" t="str">
        <f t="shared" si="3034"/>
        <v>https://www.google.com/search?tbm=isch&amp;q=Jantar%27%20means%20%22amber%22%20in%20Polish%20%28it%27s%20origin%29%2C%20which%20describes%20it%27s%20winter%20hue.%20Denser%20foliage%20than%20other%20Arborvitae%20</v>
      </c>
      <c r="BG4070" s="165" t="str">
        <f t="shared" si="3035"/>
        <v>J</v>
      </c>
      <c r="BH4070" s="65"/>
      <c r="BI4070" s="65"/>
      <c r="BJ4070" s="65"/>
      <c r="BK4070" s="65"/>
      <c r="BL4070" s="99"/>
      <c r="BM4070" s="99"/>
      <c r="BN4070" s="99"/>
    </row>
    <row r="4071" spans="1:66" s="51" customFormat="1" ht="18" x14ac:dyDescent="0.25">
      <c r="A4071" s="507" t="s">
        <v>765</v>
      </c>
      <c r="B4071" s="470"/>
      <c r="C4071" s="706"/>
      <c r="D4071" s="471" t="s">
        <v>5839</v>
      </c>
      <c r="E4071" s="472"/>
      <c r="F4071" s="472"/>
      <c r="G4071" s="472"/>
      <c r="H4071" s="622" t="s">
        <v>568</v>
      </c>
      <c r="I4071" s="473" t="s">
        <v>433</v>
      </c>
      <c r="J4071" s="472"/>
      <c r="K4071" s="472"/>
      <c r="L4071" s="561"/>
      <c r="M4071" s="698" t="s">
        <v>5246</v>
      </c>
      <c r="N4071" s="692" t="str">
        <f>IF(AND(ISTEXT($A4071), ISERROR($A4071+0)), HYPERLINK($BF4071, "Images"), "")</f>
        <v>Images</v>
      </c>
      <c r="O4071" s="694" t="s">
        <v>5264</v>
      </c>
      <c r="P4071" s="475"/>
      <c r="Q4071" s="476"/>
      <c r="R4071" s="476"/>
      <c r="S4071" s="477"/>
      <c r="T4071" s="102">
        <f t="shared" si="3023"/>
        <v>0</v>
      </c>
      <c r="U4071" s="78" t="str">
        <f>IF(NOT(ISNUMBER(G4071)), "", VLOOKUP(A4071,'Discount Lookup'!D:E,2,FALSE)*G4071)</f>
        <v/>
      </c>
      <c r="V4071" s="78" t="str">
        <f>IF(NOT(ISNUMBER(G4071)), "", VLOOKUP(A4071,'Discount Lookup'!G:H,2,FALSE)*G4071)</f>
        <v/>
      </c>
      <c r="W4071" s="102">
        <f t="shared" si="3024"/>
        <v>0</v>
      </c>
      <c r="X4071" s="102" t="str">
        <f t="shared" si="3025"/>
        <v>Bright Green foliage</v>
      </c>
      <c r="Y4071" s="120" t="b">
        <f t="shared" si="3026"/>
        <v>0</v>
      </c>
      <c r="Z4071" s="117">
        <f t="shared" si="3027"/>
        <v>0</v>
      </c>
      <c r="AA4071" s="118"/>
      <c r="AB4071" s="118" t="str">
        <f t="shared" si="3028"/>
        <v/>
      </c>
      <c r="AC4071" s="712" t="str">
        <f>IF(AE4071="T2G","no charge",IF(AND(OR(PlanterYesMe="No",PlanterYesMe="N",PlanterYesMe="me"),H4071=""),"",IF(H4071="credit","NO install",IF(AND(K4071="",AE4071="me"),"EACH row",IF(AND(K4071="images",AE4071="me"),"EACH row",IF(D4071="","",IF(H4071="credit","",IF(AE4071="free","re-planting",IF(AE4071="me","   not ELP, by",IF(AND(OR(PlanterYesMe="Yes",PlanterYesMe="Y"),G4071&gt;0),(VLOOKUP(A4071,'Discount Lookup'!J:K,2)*G4071*(1-PlanterDiscount)*(1+PlanterDifficultyPercentage)),IF(AE4071="ELP",(VLOOKUP(A4071,'Discount Lookup'!J:K,2)*G4071*(1-PlanterDiscount)*(1+PlanterDifficultyPercentage)),IF(AE4071="free","re-planting",IF(G4071=0,"",IF(PlanterYesMe="",IF(AE4071="me","   not ELP, by",IF(AE4071="",IF(G4071&gt;0,(VLOOKUP(A4071,'Discount Lookup'!J:K,2)*G4071*(1-PlanterDiscount)*(1+PlanterDifficultyPercentage)),""),"")),"   not ELP, by"))))))))))))))</f>
        <v/>
      </c>
      <c r="AD4071" s="712"/>
      <c r="AE4071" s="513" t="str">
        <f t="shared" si="3029"/>
        <v/>
      </c>
      <c r="AF4071" s="713" t="str">
        <f t="shared" si="3030"/>
        <v/>
      </c>
      <c r="AG4071" s="713"/>
      <c r="AH4071" s="713"/>
      <c r="AI4071" s="112">
        <f>IF(H4071="credit",0,IF(AE4071="free",0,IF(AE4071="me",0,IF(G4071&gt;0,(VLOOKUP(A4071,'Discount Lookup'!J:K,2)*G4071),0))))</f>
        <v>0</v>
      </c>
      <c r="AJ4071" s="107" t="str">
        <f t="shared" ca="1" si="3031"/>
        <v/>
      </c>
      <c r="AK4071" s="714" t="str">
        <f t="shared" si="3032"/>
        <v/>
      </c>
      <c r="AL4071" s="714"/>
      <c r="AM4071" s="114" t="str">
        <f t="shared" si="3033"/>
        <v/>
      </c>
      <c r="AN4071" s="115"/>
      <c r="AO4071" s="116"/>
      <c r="AP4071" s="116"/>
      <c r="AQ4071" s="116"/>
      <c r="AR4071" s="116"/>
      <c r="AS4071" s="116"/>
      <c r="AT4071" s="116"/>
      <c r="AU4071" s="116"/>
      <c r="AV4071" s="78"/>
      <c r="AW4071" s="102"/>
      <c r="AX4071" s="78"/>
      <c r="AY4071" s="78"/>
      <c r="AZ4071" s="78"/>
      <c r="BA4071" s="78"/>
      <c r="BB4071" s="78"/>
      <c r="BC4071" s="78"/>
      <c r="BD4071" s="78"/>
      <c r="BE4071" s="465"/>
      <c r="BF4071" s="165" t="str">
        <f t="shared" si="3034"/>
        <v>https://www.google.com/search?tbm=isch&amp;q=Thuja%20occidentalis%20%27King%20of%20Brabant%27%20PP%2329678%20Private%20Jet%E2%84%A2%20Arborvitae</v>
      </c>
      <c r="BG4071" s="165" t="str">
        <f t="shared" si="3035"/>
        <v>T</v>
      </c>
      <c r="BH4071" s="65"/>
      <c r="BI4071" s="65"/>
      <c r="BJ4071" s="65"/>
      <c r="BK4071" s="65"/>
      <c r="BL4071" s="99"/>
      <c r="BM4071" s="99"/>
      <c r="BN4071" s="99"/>
    </row>
    <row r="4072" spans="1:66" s="51" customFormat="1" ht="15.75" x14ac:dyDescent="0.25">
      <c r="A4072" s="478">
        <v>1</v>
      </c>
      <c r="B4072" s="479" t="s">
        <v>291</v>
      </c>
      <c r="C4072" s="480" t="s">
        <v>700</v>
      </c>
      <c r="D4072" s="481" t="s">
        <v>329</v>
      </c>
      <c r="E4072" s="482">
        <v>29.95</v>
      </c>
      <c r="F4072" s="483" t="s">
        <v>292</v>
      </c>
      <c r="G4072" s="484">
        <v>0</v>
      </c>
      <c r="H4072" s="688" t="str">
        <f>IF(G4072=0,"",IF(F4072="Buy",IF(G4072=1,"plant","plants"),IF(F4072&gt;0.01,"warranty","Error")))</f>
        <v/>
      </c>
      <c r="I4072" s="485">
        <f>IF(H4072="free",0,IF(H4072="credit",((E4072*(F4072))*G4072*-1),IF(F4072="Buy",(E4072*G4072),((E4072*(1-F4072))*G4072))))</f>
        <v>0</v>
      </c>
      <c r="J4072" s="485">
        <f>IF(H4072="warranty",0,(I4072*(_xlfn.SINGLE(SalesTaxPercentage))))</f>
        <v>0</v>
      </c>
      <c r="K4072" s="715">
        <f t="shared" ref="K4072" si="3047">I4072+J4072</f>
        <v>0</v>
      </c>
      <c r="L4072" s="715"/>
      <c r="M4072" s="689" t="str">
        <f ca="1">IF(AND(G4072&gt;0,E4072=0),"WARNING - no PRICE inserted",IF(H4072="free","FREE ~ no charge this plant",IF(H4072="credit",CONCATENATE("-$",ROUND(K4072*(1-_xlfn.SINGLE(T2GDiscount))*-1,2)," CREDIT after discount"),IF(_xlfn.SINGLE(T2GDiscount)=0,"",IF(G4072=0,"",IF(F4072="Buy",CONCATENATE("$",ROUND(K4072*(1-_xlfn.SINGLE(T2GDiscount)),2)," with ",(_xlfn.SINGLE(T2GDiscount)*100),"% discount"),CONCATENATE("$",ROUND(K4072*(1-_xlfn.SINGLE(T2GDiscount)),2)," with ",((_xlfn.SINGLE(T2GDiscount)*100+F4072*100)-(_xlfn.SINGLE(T2GDiscount)*100*F4072)),IF(F4072&gt;0,"% discounts",IF(_xlfn.SINGLE(NoWarrantyDiscount)&gt;0,"% discounts","% discount")))))))))</f>
        <v/>
      </c>
      <c r="N4072" s="690"/>
      <c r="O4072" s="486"/>
      <c r="P4072" s="486"/>
      <c r="Q4072" s="486"/>
      <c r="R4072" s="486"/>
      <c r="S4072" s="486"/>
      <c r="T4072" s="102">
        <f t="shared" si="3023"/>
        <v>0</v>
      </c>
      <c r="U4072" s="78">
        <f>IF(NOT(ISNUMBER(G4072)), "", VLOOKUP(A4072,'Discount Lookup'!D:E,2,FALSE)*G4072)</f>
        <v>0</v>
      </c>
      <c r="V4072" s="78">
        <f>IF(NOT(ISNUMBER(G4072)), "", VLOOKUP(A4072,'Discount Lookup'!G:H,2,FALSE)*G4072)</f>
        <v>0</v>
      </c>
      <c r="W4072" s="102">
        <f t="shared" si="3024"/>
        <v>0</v>
      </c>
      <c r="X4072" s="102">
        <f t="shared" si="3025"/>
        <v>0</v>
      </c>
      <c r="Y4072" s="120" t="b">
        <f t="shared" si="3026"/>
        <v>0</v>
      </c>
      <c r="Z4072" s="117">
        <f t="shared" si="3027"/>
        <v>0</v>
      </c>
      <c r="AA4072" s="118"/>
      <c r="AB4072" s="118" t="str">
        <f t="shared" si="3028"/>
        <v/>
      </c>
      <c r="AC4072" s="712" t="str">
        <f>IF(AE4072="T2G","no charge",IF(AND(OR(PlanterYesMe="No",PlanterYesMe="N",PlanterYesMe="me"),H4072=""),"",IF(H4072="credit","NO install",IF(AND(K4072="",AE4072="me"),"EACH row",IF(AND(K4072="images",AE4072="me"),"EACH row",IF(D4072="","",IF(H4072="credit","",IF(AE4072="free","re-planting",IF(AE4072="me","   not ELP, by",IF(AND(OR(PlanterYesMe="Yes",PlanterYesMe="Y"),G4072&gt;0),(VLOOKUP(A4072,'Discount Lookup'!J:K,2)*G4072*(1-PlanterDiscount)*(1+PlanterDifficultyPercentage)),IF(AE4072="ELP",(VLOOKUP(A4072,'Discount Lookup'!J:K,2)*G4072*(1-PlanterDiscount)*(1+PlanterDifficultyPercentage)),IF(AE4072="free","re-planting",IF(G4072=0,"",IF(PlanterYesMe="",IF(AE4072="me","   not ELP, by",IF(AE4072="",IF(G4072&gt;0,(VLOOKUP(A4072,'Discount Lookup'!J:K,2)*G4072*(1-PlanterDiscount)*(1+PlanterDifficultyPercentage)),""),"")),"   not ELP, by"))))))))))))))</f>
        <v/>
      </c>
      <c r="AD4072" s="712"/>
      <c r="AE4072" s="513" t="str">
        <f t="shared" si="3029"/>
        <v/>
      </c>
      <c r="AF4072" s="713" t="str">
        <f t="shared" si="3030"/>
        <v/>
      </c>
      <c r="AG4072" s="713"/>
      <c r="AH4072" s="713"/>
      <c r="AI4072" s="112">
        <f>IF(H4072="credit",0,IF(AE4072="free",0,IF(AE4072="me",0,IF(G4072&gt;0,(VLOOKUP(A4072,'Discount Lookup'!J:K,2)*G4072),0))))</f>
        <v>0</v>
      </c>
      <c r="AJ4072" s="107" t="str">
        <f t="shared" ca="1" si="3031"/>
        <v/>
      </c>
      <c r="AK4072" s="714" t="str">
        <f t="shared" si="3032"/>
        <v/>
      </c>
      <c r="AL4072" s="714"/>
      <c r="AM4072" s="114" t="str">
        <f t="shared" si="3033"/>
        <v/>
      </c>
      <c r="AN4072" s="115"/>
      <c r="AO4072" s="116"/>
      <c r="AP4072" s="116"/>
      <c r="AQ4072" s="116"/>
      <c r="AR4072" s="116"/>
      <c r="AS4072" s="116"/>
      <c r="AT4072" s="116"/>
      <c r="AU4072" s="116"/>
      <c r="AV4072" s="78"/>
      <c r="AW4072" s="102"/>
      <c r="AX4072" s="78"/>
      <c r="AY4072" s="78"/>
      <c r="AZ4072" s="78"/>
      <c r="BA4072" s="78"/>
      <c r="BB4072" s="78"/>
      <c r="BC4072" s="78"/>
      <c r="BD4072" s="78"/>
      <c r="BE4072" s="465"/>
      <c r="BF4072" s="165" t="str">
        <f t="shared" si="3034"/>
        <v>https://www.google.com/search?tbm=isch&amp;q=1%20G2</v>
      </c>
      <c r="BG4072" s="165" t="str">
        <f t="shared" si="3035"/>
        <v>T</v>
      </c>
      <c r="BH4072" s="65"/>
      <c r="BI4072" s="65"/>
      <c r="BJ4072" s="65"/>
      <c r="BK4072" s="65"/>
      <c r="BL4072" s="99"/>
      <c r="BM4072" s="99"/>
      <c r="BN4072" s="99"/>
    </row>
    <row r="4073" spans="1:66" s="51" customFormat="1" ht="17.25" thickBot="1" x14ac:dyDescent="0.3">
      <c r="A4073" s="508" t="s">
        <v>4827</v>
      </c>
      <c r="B4073" s="487"/>
      <c r="C4073" s="707"/>
      <c r="D4073" s="487"/>
      <c r="E4073" s="487"/>
      <c r="F4073" s="488"/>
      <c r="G4073" s="489"/>
      <c r="H4073" s="487"/>
      <c r="I4073" s="490"/>
      <c r="J4073" s="490"/>
      <c r="K4073" s="491"/>
      <c r="L4073" s="547"/>
      <c r="M4073" s="528"/>
      <c r="N4073" s="492"/>
      <c r="O4073" s="493"/>
      <c r="P4073" s="494"/>
      <c r="Q4073" s="492"/>
      <c r="R4073" s="492"/>
      <c r="S4073" s="699" t="s">
        <v>5268</v>
      </c>
      <c r="T4073" s="102">
        <f t="shared" si="3023"/>
        <v>0</v>
      </c>
      <c r="U4073" s="78" t="str">
        <f>IF(NOT(ISNUMBER(G4073)), "", VLOOKUP(A4073,'Discount Lookup'!D:E,2,FALSE)*G4073)</f>
        <v/>
      </c>
      <c r="V4073" s="78" t="str">
        <f>IF(NOT(ISNUMBER(G4073)), "", VLOOKUP(A4073,'Discount Lookup'!G:H,2,FALSE)*G4073)</f>
        <v/>
      </c>
      <c r="W4073" s="102">
        <f t="shared" si="3024"/>
        <v>0</v>
      </c>
      <c r="X4073" s="102">
        <f t="shared" si="3025"/>
        <v>0</v>
      </c>
      <c r="Y4073" s="120" t="b">
        <f t="shared" si="3026"/>
        <v>0</v>
      </c>
      <c r="Z4073" s="117">
        <f t="shared" si="3027"/>
        <v>0</v>
      </c>
      <c r="AA4073" s="118"/>
      <c r="AB4073" s="118" t="str">
        <f t="shared" si="3028"/>
        <v/>
      </c>
      <c r="AC4073" s="712" t="str">
        <f>IF(AE4073="T2G","no charge",IF(AND(OR(PlanterYesMe="No",PlanterYesMe="N",PlanterYesMe="me"),H4073=""),"",IF(H4073="credit","NO install",IF(AND(K4073="",AE4073="me"),"EACH row",IF(AND(K4073="images",AE4073="me"),"EACH row",IF(D4073="","",IF(H4073="credit","",IF(AE4073="free","re-planting",IF(AE4073="me","   not ELP, by",IF(AND(OR(PlanterYesMe="Yes",PlanterYesMe="Y"),G4073&gt;0),(VLOOKUP(A4073,'Discount Lookup'!J:K,2)*G4073*(1-PlanterDiscount)*(1+PlanterDifficultyPercentage)),IF(AE4073="ELP",(VLOOKUP(A4073,'Discount Lookup'!J:K,2)*G4073*(1-PlanterDiscount)*(1+PlanterDifficultyPercentage)),IF(AE4073="free","re-planting",IF(G4073=0,"",IF(PlanterYesMe="",IF(AE4073="me","   not ELP, by",IF(AE4073="",IF(G4073&gt;0,(VLOOKUP(A4073,'Discount Lookup'!J:K,2)*G4073*(1-PlanterDiscount)*(1+PlanterDifficultyPercentage)),""),"")),"   not ELP, by"))))))))))))))</f>
        <v/>
      </c>
      <c r="AD4073" s="712"/>
      <c r="AE4073" s="513" t="str">
        <f t="shared" si="3029"/>
        <v/>
      </c>
      <c r="AF4073" s="713" t="str">
        <f t="shared" si="3030"/>
        <v/>
      </c>
      <c r="AG4073" s="713"/>
      <c r="AH4073" s="713"/>
      <c r="AI4073" s="112">
        <f>IF(H4073="credit",0,IF(AE4073="free",0,IF(AE4073="me",0,IF(G4073&gt;0,(VLOOKUP(A4073,'Discount Lookup'!J:K,2)*G4073),0))))</f>
        <v>0</v>
      </c>
      <c r="AJ4073" s="107" t="str">
        <f t="shared" ca="1" si="3031"/>
        <v/>
      </c>
      <c r="AK4073" s="714" t="str">
        <f t="shared" si="3032"/>
        <v/>
      </c>
      <c r="AL4073" s="714"/>
      <c r="AM4073" s="114" t="str">
        <f t="shared" si="3033"/>
        <v/>
      </c>
      <c r="AN4073" s="115"/>
      <c r="AO4073" s="116"/>
      <c r="AP4073" s="116"/>
      <c r="AQ4073" s="116"/>
      <c r="AR4073" s="116"/>
      <c r="AS4073" s="116"/>
      <c r="AT4073" s="116"/>
      <c r="AU4073" s="116"/>
      <c r="AV4073" s="78"/>
      <c r="AW4073" s="102"/>
      <c r="AX4073" s="78"/>
      <c r="AY4073" s="78"/>
      <c r="AZ4073" s="78"/>
      <c r="BA4073" s="78"/>
      <c r="BB4073" s="78"/>
      <c r="BC4073" s="78"/>
      <c r="BD4073" s="78"/>
      <c r="BE4073" s="465"/>
      <c r="BF4073" s="165" t="str">
        <f t="shared" si="3034"/>
        <v>https://www.google.com/search?tbm=isch&amp;q=Private%20Jet%20grows%20fast%2C%20stays%20tight%20and%20narrow%2C%20has%20improved%20winter%20color%2C%20and%20resists%20disease%20better%20</v>
      </c>
      <c r="BG4073" s="165" t="str">
        <f t="shared" si="3035"/>
        <v>P</v>
      </c>
      <c r="BH4073" s="65"/>
      <c r="BI4073" s="65"/>
      <c r="BJ4073" s="65"/>
      <c r="BK4073" s="65"/>
      <c r="BL4073" s="99"/>
      <c r="BM4073" s="99"/>
      <c r="BN4073" s="99"/>
    </row>
    <row r="4074" spans="1:66" s="51" customFormat="1" ht="18" x14ac:dyDescent="0.25">
      <c r="A4074" s="507" t="s">
        <v>766</v>
      </c>
      <c r="B4074" s="470"/>
      <c r="C4074" s="706"/>
      <c r="D4074" s="471" t="s">
        <v>5840</v>
      </c>
      <c r="E4074" s="472"/>
      <c r="F4074" s="472"/>
      <c r="G4074" s="472"/>
      <c r="H4074" s="622" t="s">
        <v>515</v>
      </c>
      <c r="I4074" s="473" t="s">
        <v>767</v>
      </c>
      <c r="J4074" s="472"/>
      <c r="K4074" s="472"/>
      <c r="L4074" s="561"/>
      <c r="M4074" s="698" t="s">
        <v>5246</v>
      </c>
      <c r="N4074" s="692" t="str">
        <f>IF(AND(ISTEXT($A4074), ISERROR($A4074+0)), HYPERLINK($BF4074, "Images"), "")</f>
        <v>Images</v>
      </c>
      <c r="O4074" s="694" t="s">
        <v>5286</v>
      </c>
      <c r="P4074" s="475"/>
      <c r="Q4074" s="476"/>
      <c r="R4074" s="476"/>
      <c r="S4074" s="477" t="s">
        <v>294</v>
      </c>
      <c r="T4074" s="102">
        <f t="shared" si="3023"/>
        <v>0</v>
      </c>
      <c r="U4074" s="78" t="str">
        <f>IF(NOT(ISNUMBER(G4074)), "", VLOOKUP(A4074,'Discount Lookup'!D:E,2,FALSE)*G4074)</f>
        <v/>
      </c>
      <c r="V4074" s="78" t="str">
        <f>IF(NOT(ISNUMBER(G4074)), "", VLOOKUP(A4074,'Discount Lookup'!G:H,2,FALSE)*G4074)</f>
        <v/>
      </c>
      <c r="W4074" s="102">
        <f t="shared" si="3024"/>
        <v>0</v>
      </c>
      <c r="X4074" s="102" t="str">
        <f t="shared" si="3025"/>
        <v>Emerald-Green foliage</v>
      </c>
      <c r="Y4074" s="120" t="b">
        <f t="shared" si="3026"/>
        <v>0</v>
      </c>
      <c r="Z4074" s="117">
        <f t="shared" si="3027"/>
        <v>0</v>
      </c>
      <c r="AA4074" s="118"/>
      <c r="AB4074" s="118" t="str">
        <f t="shared" si="3028"/>
        <v/>
      </c>
      <c r="AC4074" s="712" t="str">
        <f>IF(AE4074="T2G","no charge",IF(AND(OR(PlanterYesMe="No",PlanterYesMe="N",PlanterYesMe="me"),H4074=""),"",IF(H4074="credit","NO install",IF(AND(K4074="",AE4074="me"),"EACH row",IF(AND(K4074="images",AE4074="me"),"EACH row",IF(D4074="","",IF(H4074="credit","",IF(AE4074="free","re-planting",IF(AE4074="me","   not ELP, by",IF(AND(OR(PlanterYesMe="Yes",PlanterYesMe="Y"),G4074&gt;0),(VLOOKUP(A4074,'Discount Lookup'!J:K,2)*G4074*(1-PlanterDiscount)*(1+PlanterDifficultyPercentage)),IF(AE4074="ELP",(VLOOKUP(A4074,'Discount Lookup'!J:K,2)*G4074*(1-PlanterDiscount)*(1+PlanterDifficultyPercentage)),IF(AE4074="free","re-planting",IF(G4074=0,"",IF(PlanterYesMe="",IF(AE4074="me","   not ELP, by",IF(AE4074="",IF(G4074&gt;0,(VLOOKUP(A4074,'Discount Lookup'!J:K,2)*G4074*(1-PlanterDiscount)*(1+PlanterDifficultyPercentage)),""),"")),"   not ELP, by"))))))))))))))</f>
        <v/>
      </c>
      <c r="AD4074" s="712"/>
      <c r="AE4074" s="513" t="str">
        <f t="shared" si="3029"/>
        <v/>
      </c>
      <c r="AF4074" s="713" t="str">
        <f t="shared" si="3030"/>
        <v/>
      </c>
      <c r="AG4074" s="713"/>
      <c r="AH4074" s="713"/>
      <c r="AI4074" s="112">
        <f>IF(H4074="credit",0,IF(AE4074="free",0,IF(AE4074="me",0,IF(G4074&gt;0,(VLOOKUP(A4074,'Discount Lookup'!J:K,2)*G4074),0))))</f>
        <v>0</v>
      </c>
      <c r="AJ4074" s="107" t="str">
        <f t="shared" ca="1" si="3031"/>
        <v/>
      </c>
      <c r="AK4074" s="714" t="str">
        <f t="shared" si="3032"/>
        <v/>
      </c>
      <c r="AL4074" s="714"/>
      <c r="AM4074" s="114" t="str">
        <f t="shared" si="3033"/>
        <v/>
      </c>
      <c r="AN4074" s="115"/>
      <c r="AO4074" s="116"/>
      <c r="AP4074" s="116"/>
      <c r="AQ4074" s="116"/>
      <c r="AR4074" s="116"/>
      <c r="AS4074" s="116"/>
      <c r="AT4074" s="116"/>
      <c r="AU4074" s="116"/>
      <c r="AV4074" s="78"/>
      <c r="AW4074" s="102"/>
      <c r="AX4074" s="78"/>
      <c r="AY4074" s="78"/>
      <c r="AZ4074" s="78"/>
      <c r="BA4074" s="78"/>
      <c r="BB4074" s="78"/>
      <c r="BC4074" s="78"/>
      <c r="BD4074" s="78"/>
      <c r="BE4074" s="465"/>
      <c r="BF4074" s="165" t="str">
        <f t="shared" si="3034"/>
        <v>https://www.google.com/search?tbm=isch&amp;q=Thuja%20occidentalis%20%27Lilshreckthu%27%20PP%2333785%20Emerald%20Squeeze%E2%84%A2%20Arborvitae</v>
      </c>
      <c r="BG4074" s="165" t="str">
        <f t="shared" si="3035"/>
        <v>T</v>
      </c>
      <c r="BH4074" s="65"/>
      <c r="BI4074" s="65"/>
      <c r="BJ4074" s="65"/>
      <c r="BK4074" s="65"/>
      <c r="BL4074" s="99"/>
      <c r="BM4074" s="99"/>
      <c r="BN4074" s="99"/>
    </row>
    <row r="4075" spans="1:66" s="51" customFormat="1" ht="15.75" x14ac:dyDescent="0.25">
      <c r="A4075" s="478">
        <v>7</v>
      </c>
      <c r="B4075" s="479" t="s">
        <v>291</v>
      </c>
      <c r="C4075" s="480" t="s">
        <v>1009</v>
      </c>
      <c r="D4075" s="481" t="s">
        <v>299</v>
      </c>
      <c r="E4075" s="482">
        <v>109.95</v>
      </c>
      <c r="F4075" s="483" t="s">
        <v>292</v>
      </c>
      <c r="G4075" s="484">
        <v>0</v>
      </c>
      <c r="H4075" s="688" t="str">
        <f>IF(G4075=0,"",IF(F4075="Buy",IF(G4075=1,"plant","plants"),IF(F4075&gt;0.01,"warranty","Error")))</f>
        <v/>
      </c>
      <c r="I4075" s="485">
        <f>IF(H4075="free",0,IF(H4075="credit",((E4075*(F4075))*G4075*-1),IF(F4075="Buy",(E4075*G4075),((E4075*(1-F4075))*G4075))))</f>
        <v>0</v>
      </c>
      <c r="J4075" s="485">
        <f>IF(H4075="warranty",0,(I4075*(_xlfn.SINGLE(SalesTaxPercentage))))</f>
        <v>0</v>
      </c>
      <c r="K4075" s="715">
        <f t="shared" ref="K4075" si="3048">I4075+J4075</f>
        <v>0</v>
      </c>
      <c r="L4075" s="715"/>
      <c r="M4075" s="689" t="str">
        <f ca="1">IF(AND(G4075&gt;0,E4075=0),"WARNING - no PRICE inserted",IF(H4075="free","FREE ~ no charge this plant",IF(H4075="credit",CONCATENATE("-$",ROUND(K4075*(1-_xlfn.SINGLE(T2GDiscount))*-1,2)," CREDIT after discount"),IF(_xlfn.SINGLE(T2GDiscount)=0,"",IF(G4075=0,"",IF(F4075="Buy",CONCATENATE("$",ROUND(K4075*(1-_xlfn.SINGLE(T2GDiscount)),2)," with ",(_xlfn.SINGLE(T2GDiscount)*100),"% discount"),CONCATENATE("$",ROUND(K4075*(1-_xlfn.SINGLE(T2GDiscount)),2)," with ",((_xlfn.SINGLE(T2GDiscount)*100+F4075*100)-(_xlfn.SINGLE(T2GDiscount)*100*F4075)),IF(F4075&gt;0,"% discounts",IF(_xlfn.SINGLE(NoWarrantyDiscount)&gt;0,"% discounts","% discount")))))))))</f>
        <v/>
      </c>
      <c r="N4075" s="690"/>
      <c r="O4075" s="486"/>
      <c r="P4075" s="486"/>
      <c r="Q4075" s="486"/>
      <c r="R4075" s="486"/>
      <c r="S4075" s="486"/>
      <c r="T4075" s="102">
        <f t="shared" si="3023"/>
        <v>0</v>
      </c>
      <c r="U4075" s="78">
        <f>IF(NOT(ISNUMBER(G4075)), "", VLOOKUP(A4075,'Discount Lookup'!D:E,2,FALSE)*G4075)</f>
        <v>0</v>
      </c>
      <c r="V4075" s="78">
        <f>IF(NOT(ISNUMBER(G4075)), "", VLOOKUP(A4075,'Discount Lookup'!G:H,2,FALSE)*G4075)</f>
        <v>0</v>
      </c>
      <c r="W4075" s="102">
        <f t="shared" si="3024"/>
        <v>0</v>
      </c>
      <c r="X4075" s="102">
        <f t="shared" si="3025"/>
        <v>0</v>
      </c>
      <c r="Y4075" s="120" t="b">
        <f t="shared" si="3026"/>
        <v>0</v>
      </c>
      <c r="Z4075" s="117">
        <f t="shared" si="3027"/>
        <v>0</v>
      </c>
      <c r="AA4075" s="118"/>
      <c r="AB4075" s="118" t="str">
        <f t="shared" si="3028"/>
        <v/>
      </c>
      <c r="AC4075" s="712" t="str">
        <f>IF(AE4075="T2G","no charge",IF(AND(OR(PlanterYesMe="No",PlanterYesMe="N",PlanterYesMe="me"),H4075=""),"",IF(H4075="credit","NO install",IF(AND(K4075="",AE4075="me"),"EACH row",IF(AND(K4075="images",AE4075="me"),"EACH row",IF(D4075="","",IF(H4075="credit","",IF(AE4075="free","re-planting",IF(AE4075="me","   not ELP, by",IF(AND(OR(PlanterYesMe="Yes",PlanterYesMe="Y"),G4075&gt;0),(VLOOKUP(A4075,'Discount Lookup'!J:K,2)*G4075*(1-PlanterDiscount)*(1+PlanterDifficultyPercentage)),IF(AE4075="ELP",(VLOOKUP(A4075,'Discount Lookup'!J:K,2)*G4075*(1-PlanterDiscount)*(1+PlanterDifficultyPercentage)),IF(AE4075="free","re-planting",IF(G4075=0,"",IF(PlanterYesMe="",IF(AE4075="me","   not ELP, by",IF(AE4075="",IF(G4075&gt;0,(VLOOKUP(A4075,'Discount Lookup'!J:K,2)*G4075*(1-PlanterDiscount)*(1+PlanterDifficultyPercentage)),""),"")),"   not ELP, by"))))))))))))))</f>
        <v/>
      </c>
      <c r="AD4075" s="712"/>
      <c r="AE4075" s="513" t="str">
        <f t="shared" si="3029"/>
        <v/>
      </c>
      <c r="AF4075" s="713" t="str">
        <f t="shared" si="3030"/>
        <v/>
      </c>
      <c r="AG4075" s="713"/>
      <c r="AH4075" s="713"/>
      <c r="AI4075" s="112">
        <f>IF(H4075="credit",0,IF(AE4075="free",0,IF(AE4075="me",0,IF(G4075&gt;0,(VLOOKUP(A4075,'Discount Lookup'!J:K,2)*G4075),0))))</f>
        <v>0</v>
      </c>
      <c r="AJ4075" s="107" t="str">
        <f t="shared" ca="1" si="3031"/>
        <v/>
      </c>
      <c r="AK4075" s="714" t="str">
        <f t="shared" si="3032"/>
        <v/>
      </c>
      <c r="AL4075" s="714"/>
      <c r="AM4075" s="114" t="str">
        <f t="shared" si="3033"/>
        <v/>
      </c>
      <c r="AN4075" s="115"/>
      <c r="AO4075" s="116"/>
      <c r="AP4075" s="116"/>
      <c r="AQ4075" s="116"/>
      <c r="AR4075" s="116"/>
      <c r="AS4075" s="116"/>
      <c r="AT4075" s="116"/>
      <c r="AU4075" s="116"/>
      <c r="AV4075" s="78"/>
      <c r="AW4075" s="102"/>
      <c r="AX4075" s="78"/>
      <c r="AY4075" s="78"/>
      <c r="AZ4075" s="78"/>
      <c r="BA4075" s="78"/>
      <c r="BB4075" s="78"/>
      <c r="BC4075" s="78"/>
      <c r="BD4075" s="78"/>
      <c r="BE4075" s="465"/>
      <c r="BF4075" s="165" t="str">
        <f t="shared" si="3034"/>
        <v>https://www.google.com/search?tbm=isch&amp;q=7%20G4</v>
      </c>
      <c r="BG4075" s="165" t="str">
        <f t="shared" si="3035"/>
        <v>T</v>
      </c>
      <c r="BH4075" s="65"/>
      <c r="BI4075" s="65"/>
      <c r="BJ4075" s="65"/>
      <c r="BK4075" s="65"/>
      <c r="BL4075" s="99"/>
      <c r="BM4075" s="99"/>
      <c r="BN4075" s="99"/>
    </row>
    <row r="4076" spans="1:66" s="51" customFormat="1" ht="15.75" x14ac:dyDescent="0.25">
      <c r="A4076" s="478">
        <v>25</v>
      </c>
      <c r="B4076" s="479" t="s">
        <v>291</v>
      </c>
      <c r="C4076" s="480" t="s">
        <v>768</v>
      </c>
      <c r="D4076" s="481" t="s">
        <v>293</v>
      </c>
      <c r="E4076" s="482">
        <v>338.95</v>
      </c>
      <c r="F4076" s="483" t="s">
        <v>292</v>
      </c>
      <c r="G4076" s="484">
        <v>0</v>
      </c>
      <c r="H4076" s="688" t="str">
        <f>IF(G4076=0,"",IF(F4076="Buy",IF(G4076=1,"plant","plants"),IF(F4076&gt;0.01,"warranty","Error")))</f>
        <v/>
      </c>
      <c r="I4076" s="485">
        <f>IF(H4076="free",0,IF(H4076="credit",((E4076*(F4076))*G4076*-1),IF(F4076="Buy",(E4076*G4076),((E4076*(1-F4076))*G4076))))</f>
        <v>0</v>
      </c>
      <c r="J4076" s="485">
        <f>IF(H4076="warranty",0,(I4076*(_xlfn.SINGLE(SalesTaxPercentage))))</f>
        <v>0</v>
      </c>
      <c r="K4076" s="715">
        <f t="shared" ref="K4076" si="3049">I4076+J4076</f>
        <v>0</v>
      </c>
      <c r="L4076" s="715"/>
      <c r="M4076" s="689" t="str">
        <f ca="1">IF(AND(G4076&gt;0,E4076=0),"WARNING - no PRICE inserted",IF(H4076="free","FREE ~ no charge this plant",IF(H4076="credit",CONCATENATE("-$",ROUND(K4076*(1-_xlfn.SINGLE(T2GDiscount))*-1,2)," CREDIT after discount"),IF(_xlfn.SINGLE(T2GDiscount)=0,"",IF(G4076=0,"",IF(F4076="Buy",CONCATENATE("$",ROUND(K4076*(1-_xlfn.SINGLE(T2GDiscount)),2)," with ",(_xlfn.SINGLE(T2GDiscount)*100),"% discount"),CONCATENATE("$",ROUND(K4076*(1-_xlfn.SINGLE(T2GDiscount)),2)," with ",((_xlfn.SINGLE(T2GDiscount)*100+F4076*100)-(_xlfn.SINGLE(T2GDiscount)*100*F4076)),IF(F4076&gt;0,"% discounts",IF(_xlfn.SINGLE(NoWarrantyDiscount)&gt;0,"% discounts","% discount")))))))))</f>
        <v/>
      </c>
      <c r="N4076" s="690"/>
      <c r="O4076" s="486"/>
      <c r="P4076" s="486"/>
      <c r="Q4076" s="486"/>
      <c r="R4076" s="486"/>
      <c r="S4076" s="486"/>
      <c r="T4076" s="102">
        <f t="shared" si="3023"/>
        <v>0</v>
      </c>
      <c r="U4076" s="78">
        <f>IF(NOT(ISNUMBER(G4076)), "", VLOOKUP(A4076,'Discount Lookup'!D:E,2,FALSE)*G4076)</f>
        <v>0</v>
      </c>
      <c r="V4076" s="78">
        <f>IF(NOT(ISNUMBER(G4076)), "", VLOOKUP(A4076,'Discount Lookup'!G:H,2,FALSE)*G4076)</f>
        <v>0</v>
      </c>
      <c r="W4076" s="102">
        <f t="shared" si="3024"/>
        <v>0</v>
      </c>
      <c r="X4076" s="102">
        <f t="shared" si="3025"/>
        <v>0</v>
      </c>
      <c r="Y4076" s="120" t="b">
        <f t="shared" si="3026"/>
        <v>0</v>
      </c>
      <c r="Z4076" s="117">
        <f t="shared" si="3027"/>
        <v>0</v>
      </c>
      <c r="AA4076" s="118"/>
      <c r="AB4076" s="118" t="str">
        <f t="shared" si="3028"/>
        <v/>
      </c>
      <c r="AC4076" s="712" t="str">
        <f>IF(AE4076="T2G","no charge",IF(AND(OR(PlanterYesMe="No",PlanterYesMe="N",PlanterYesMe="me"),H4076=""),"",IF(H4076="credit","NO install",IF(AND(K4076="",AE4076="me"),"EACH row",IF(AND(K4076="images",AE4076="me"),"EACH row",IF(D4076="","",IF(H4076="credit","",IF(AE4076="free","re-planting",IF(AE4076="me","   not ELP, by",IF(AND(OR(PlanterYesMe="Yes",PlanterYesMe="Y"),G4076&gt;0),(VLOOKUP(A4076,'Discount Lookup'!J:K,2)*G4076*(1-PlanterDiscount)*(1+PlanterDifficultyPercentage)),IF(AE4076="ELP",(VLOOKUP(A4076,'Discount Lookup'!J:K,2)*G4076*(1-PlanterDiscount)*(1+PlanterDifficultyPercentage)),IF(AE4076="free","re-planting",IF(G4076=0,"",IF(PlanterYesMe="",IF(AE4076="me","   not ELP, by",IF(AE4076="",IF(G4076&gt;0,(VLOOKUP(A4076,'Discount Lookup'!J:K,2)*G4076*(1-PlanterDiscount)*(1+PlanterDifficultyPercentage)),""),"")),"   not ELP, by"))))))))))))))</f>
        <v/>
      </c>
      <c r="AD4076" s="712"/>
      <c r="AE4076" s="513" t="str">
        <f t="shared" si="3029"/>
        <v/>
      </c>
      <c r="AF4076" s="713" t="str">
        <f t="shared" si="3030"/>
        <v/>
      </c>
      <c r="AG4076" s="713"/>
      <c r="AH4076" s="713"/>
      <c r="AI4076" s="112">
        <f>IF(H4076="credit",0,IF(AE4076="free",0,IF(AE4076="me",0,IF(G4076&gt;0,(VLOOKUP(A4076,'Discount Lookup'!J:K,2)*G4076),0))))</f>
        <v>0</v>
      </c>
      <c r="AJ4076" s="107" t="str">
        <f t="shared" ca="1" si="3031"/>
        <v/>
      </c>
      <c r="AK4076" s="714" t="str">
        <f t="shared" si="3032"/>
        <v/>
      </c>
      <c r="AL4076" s="714"/>
      <c r="AM4076" s="114" t="str">
        <f t="shared" si="3033"/>
        <v/>
      </c>
      <c r="AN4076" s="115"/>
      <c r="AO4076" s="116"/>
      <c r="AP4076" s="116"/>
      <c r="AQ4076" s="116"/>
      <c r="AR4076" s="116"/>
      <c r="AS4076" s="116"/>
      <c r="AT4076" s="116"/>
      <c r="AU4076" s="116"/>
      <c r="AV4076" s="78"/>
      <c r="AW4076" s="102"/>
      <c r="AX4076" s="78"/>
      <c r="AY4076" s="78"/>
      <c r="AZ4076" s="78"/>
      <c r="BA4076" s="78"/>
      <c r="BB4076" s="78"/>
      <c r="BC4076" s="78"/>
      <c r="BD4076" s="78"/>
      <c r="BE4076" s="465"/>
      <c r="BF4076" s="165" t="str">
        <f t="shared" si="3034"/>
        <v>https://www.google.com/search?tbm=isch&amp;q=25%20G6</v>
      </c>
      <c r="BG4076" s="165" t="str">
        <f t="shared" si="3035"/>
        <v>T</v>
      </c>
      <c r="BH4076" s="65"/>
      <c r="BI4076" s="65"/>
      <c r="BJ4076" s="65"/>
      <c r="BK4076" s="65"/>
      <c r="BL4076" s="99"/>
      <c r="BM4076" s="99"/>
      <c r="BN4076" s="99"/>
    </row>
    <row r="4077" spans="1:66" s="51" customFormat="1" ht="16.5" thickBot="1" x14ac:dyDescent="0.3">
      <c r="A4077" s="508" t="s">
        <v>769</v>
      </c>
      <c r="B4077" s="487"/>
      <c r="C4077" s="707"/>
      <c r="D4077" s="487"/>
      <c r="E4077" s="487"/>
      <c r="F4077" s="488"/>
      <c r="G4077" s="489"/>
      <c r="H4077" s="487"/>
      <c r="I4077" s="490"/>
      <c r="J4077" s="490"/>
      <c r="K4077" s="491"/>
      <c r="L4077" s="547"/>
      <c r="M4077" s="528"/>
      <c r="N4077" s="492"/>
      <c r="O4077" s="493"/>
      <c r="P4077" s="494"/>
      <c r="Q4077" s="492"/>
      <c r="R4077" s="492"/>
      <c r="S4077" s="495"/>
      <c r="T4077" s="102">
        <f t="shared" si="3023"/>
        <v>0</v>
      </c>
      <c r="U4077" s="78" t="str">
        <f>IF(NOT(ISNUMBER(G4077)), "", VLOOKUP(A4077,'Discount Lookup'!D:E,2,FALSE)*G4077)</f>
        <v/>
      </c>
      <c r="V4077" s="78" t="str">
        <f>IF(NOT(ISNUMBER(G4077)), "", VLOOKUP(A4077,'Discount Lookup'!G:H,2,FALSE)*G4077)</f>
        <v/>
      </c>
      <c r="W4077" s="102">
        <f t="shared" si="3024"/>
        <v>0</v>
      </c>
      <c r="X4077" s="102">
        <f t="shared" si="3025"/>
        <v>0</v>
      </c>
      <c r="Y4077" s="120" t="b">
        <f t="shared" si="3026"/>
        <v>0</v>
      </c>
      <c r="Z4077" s="117">
        <f t="shared" si="3027"/>
        <v>0</v>
      </c>
      <c r="AA4077" s="118"/>
      <c r="AB4077" s="118" t="str">
        <f t="shared" si="3028"/>
        <v/>
      </c>
      <c r="AC4077" s="712" t="str">
        <f>IF(AE4077="T2G","no charge",IF(AND(OR(PlanterYesMe="No",PlanterYesMe="N",PlanterYesMe="me"),H4077=""),"",IF(H4077="credit","NO install",IF(AND(K4077="",AE4077="me"),"EACH row",IF(AND(K4077="images",AE4077="me"),"EACH row",IF(D4077="","",IF(H4077="credit","",IF(AE4077="free","re-planting",IF(AE4077="me","   not ELP, by",IF(AND(OR(PlanterYesMe="Yes",PlanterYesMe="Y"),G4077&gt;0),(VLOOKUP(A4077,'Discount Lookup'!J:K,2)*G4077*(1-PlanterDiscount)*(1+PlanterDifficultyPercentage)),IF(AE4077="ELP",(VLOOKUP(A4077,'Discount Lookup'!J:K,2)*G4077*(1-PlanterDiscount)*(1+PlanterDifficultyPercentage)),IF(AE4077="free","re-planting",IF(G4077=0,"",IF(PlanterYesMe="",IF(AE4077="me","   not ELP, by",IF(AE4077="",IF(G4077&gt;0,(VLOOKUP(A4077,'Discount Lookup'!J:K,2)*G4077*(1-PlanterDiscount)*(1+PlanterDifficultyPercentage)),""),"")),"   not ELP, by"))))))))))))))</f>
        <v/>
      </c>
      <c r="AD4077" s="712"/>
      <c r="AE4077" s="513" t="str">
        <f t="shared" si="3029"/>
        <v/>
      </c>
      <c r="AF4077" s="713" t="str">
        <f t="shared" si="3030"/>
        <v/>
      </c>
      <c r="AG4077" s="713"/>
      <c r="AH4077" s="713"/>
      <c r="AI4077" s="112">
        <f>IF(H4077="credit",0,IF(AE4077="free",0,IF(AE4077="me",0,IF(G4077&gt;0,(VLOOKUP(A4077,'Discount Lookup'!J:K,2)*G4077),0))))</f>
        <v>0</v>
      </c>
      <c r="AJ4077" s="107" t="str">
        <f t="shared" ca="1" si="3031"/>
        <v/>
      </c>
      <c r="AK4077" s="714" t="str">
        <f t="shared" si="3032"/>
        <v/>
      </c>
      <c r="AL4077" s="714"/>
      <c r="AM4077" s="114" t="str">
        <f t="shared" si="3033"/>
        <v/>
      </c>
      <c r="AN4077" s="115"/>
      <c r="AO4077" s="116"/>
      <c r="AP4077" s="116"/>
      <c r="AQ4077" s="116"/>
      <c r="AR4077" s="116"/>
      <c r="AS4077" s="116"/>
      <c r="AT4077" s="116"/>
      <c r="AU4077" s="116"/>
      <c r="AV4077" s="78"/>
      <c r="AW4077" s="102"/>
      <c r="AX4077" s="78"/>
      <c r="AY4077" s="78"/>
      <c r="AZ4077" s="78"/>
      <c r="BA4077" s="78"/>
      <c r="BB4077" s="78"/>
      <c r="BC4077" s="78"/>
      <c r="BD4077" s="78"/>
      <c r="BE4077" s="465"/>
      <c r="BF4077" s="165" t="str">
        <f t="shared" si="3034"/>
        <v>https://www.google.com/search?tbm=isch&amp;q=Emerald%20Squeeze%20is%20similar%20to%20Emerald%20Arborvitae%2C%20with%20durable%20color%20that%20lasts%20through%20winter%20without%20bronzing%20</v>
      </c>
      <c r="BG4077" s="165" t="str">
        <f t="shared" si="3035"/>
        <v>E</v>
      </c>
      <c r="BH4077" s="65"/>
      <c r="BI4077" s="65"/>
      <c r="BJ4077" s="65"/>
      <c r="BK4077" s="65"/>
      <c r="BL4077" s="99"/>
      <c r="BM4077" s="99"/>
      <c r="BN4077" s="99"/>
    </row>
    <row r="4078" spans="1:66" s="51" customFormat="1" ht="18" x14ac:dyDescent="0.25">
      <c r="A4078" s="507" t="s">
        <v>4354</v>
      </c>
      <c r="B4078" s="470"/>
      <c r="C4078" s="706"/>
      <c r="D4078" s="471" t="s">
        <v>4355</v>
      </c>
      <c r="E4078" s="472"/>
      <c r="F4078" s="472"/>
      <c r="G4078" s="472"/>
      <c r="H4078" s="622" t="s">
        <v>1124</v>
      </c>
      <c r="I4078" s="473" t="s">
        <v>1983</v>
      </c>
      <c r="J4078" s="472"/>
      <c r="K4078" s="472"/>
      <c r="L4078" s="561"/>
      <c r="M4078" s="698" t="s">
        <v>5246</v>
      </c>
      <c r="N4078" s="692" t="str">
        <f>IF(AND(ISTEXT($A4078), ISERROR($A4078+0)), HYPERLINK($BF4078, "Images"), "")</f>
        <v>Images</v>
      </c>
      <c r="O4078" s="694" t="s">
        <v>5264</v>
      </c>
      <c r="P4078" s="475"/>
      <c r="Q4078" s="476"/>
      <c r="R4078" s="476"/>
      <c r="S4078" s="477"/>
      <c r="T4078" s="102">
        <f t="shared" si="3023"/>
        <v>0</v>
      </c>
      <c r="U4078" s="78" t="str">
        <f>IF(NOT(ISNUMBER(G4078)), "", VLOOKUP(A4078,'Discount Lookup'!D:E,2,FALSE)*G4078)</f>
        <v/>
      </c>
      <c r="V4078" s="78" t="str">
        <f>IF(NOT(ISNUMBER(G4078)), "", VLOOKUP(A4078,'Discount Lookup'!G:H,2,FALSE)*G4078)</f>
        <v/>
      </c>
      <c r="W4078" s="102">
        <f t="shared" si="3024"/>
        <v>0</v>
      </c>
      <c r="X4078" s="102" t="str">
        <f t="shared" si="3025"/>
        <v>Emerald Green foliage</v>
      </c>
      <c r="Y4078" s="120" t="b">
        <f t="shared" si="3026"/>
        <v>0</v>
      </c>
      <c r="Z4078" s="117">
        <f t="shared" si="3027"/>
        <v>0</v>
      </c>
      <c r="AA4078" s="118"/>
      <c r="AB4078" s="118" t="str">
        <f t="shared" si="3028"/>
        <v/>
      </c>
      <c r="AC4078" s="712" t="str">
        <f>IF(AE4078="T2G","no charge",IF(AND(OR(PlanterYesMe="No",PlanterYesMe="N",PlanterYesMe="me"),H4078=""),"",IF(H4078="credit","NO install",IF(AND(K4078="",AE4078="me"),"EACH row",IF(AND(K4078="images",AE4078="me"),"EACH row",IF(D4078="","",IF(H4078="credit","",IF(AE4078="free","re-planting",IF(AE4078="me","   not ELP, by",IF(AND(OR(PlanterYesMe="Yes",PlanterYesMe="Y"),G4078&gt;0),(VLOOKUP(A4078,'Discount Lookup'!J:K,2)*G4078*(1-PlanterDiscount)*(1+PlanterDifficultyPercentage)),IF(AE4078="ELP",(VLOOKUP(A4078,'Discount Lookup'!J:K,2)*G4078*(1-PlanterDiscount)*(1+PlanterDifficultyPercentage)),IF(AE4078="free","re-planting",IF(G4078=0,"",IF(PlanterYesMe="",IF(AE4078="me","   not ELP, by",IF(AE4078="",IF(G4078&gt;0,(VLOOKUP(A4078,'Discount Lookup'!J:K,2)*G4078*(1-PlanterDiscount)*(1+PlanterDifficultyPercentage)),""),"")),"   not ELP, by"))))))))))))))</f>
        <v/>
      </c>
      <c r="AD4078" s="712"/>
      <c r="AE4078" s="513" t="str">
        <f t="shared" si="3029"/>
        <v/>
      </c>
      <c r="AF4078" s="713" t="str">
        <f t="shared" si="3030"/>
        <v/>
      </c>
      <c r="AG4078" s="713"/>
      <c r="AH4078" s="713"/>
      <c r="AI4078" s="112">
        <f>IF(H4078="credit",0,IF(AE4078="free",0,IF(AE4078="me",0,IF(G4078&gt;0,(VLOOKUP(A4078,'Discount Lookup'!J:K,2)*G4078),0))))</f>
        <v>0</v>
      </c>
      <c r="AJ4078" s="107" t="str">
        <f t="shared" ca="1" si="3031"/>
        <v/>
      </c>
      <c r="AK4078" s="714" t="str">
        <f t="shared" si="3032"/>
        <v/>
      </c>
      <c r="AL4078" s="714"/>
      <c r="AM4078" s="114" t="str">
        <f t="shared" si="3033"/>
        <v/>
      </c>
      <c r="AN4078" s="115"/>
      <c r="AO4078" s="116"/>
      <c r="AP4078" s="116"/>
      <c r="AQ4078" s="116"/>
      <c r="AR4078" s="116"/>
      <c r="AS4078" s="116"/>
      <c r="AT4078" s="116"/>
      <c r="AU4078" s="116"/>
      <c r="AV4078" s="78"/>
      <c r="AW4078" s="102"/>
      <c r="AX4078" s="78"/>
      <c r="AY4078" s="78"/>
      <c r="AZ4078" s="78"/>
      <c r="BA4078" s="78"/>
      <c r="BB4078" s="78"/>
      <c r="BC4078" s="78"/>
      <c r="BD4078" s="78"/>
      <c r="BE4078" s="465"/>
      <c r="BF4078" s="165" t="str">
        <f t="shared" si="3034"/>
        <v>https://www.google.com/search?tbm=isch&amp;q=Thuja%20occidentalis%20%27Little%20Giant%27%20Little%20Giant%20Arborvitae</v>
      </c>
      <c r="BG4078" s="165" t="str">
        <f t="shared" si="3035"/>
        <v>T</v>
      </c>
      <c r="BH4078" s="65"/>
      <c r="BI4078" s="65"/>
      <c r="BJ4078" s="65"/>
      <c r="BK4078" s="65"/>
      <c r="BL4078" s="99"/>
      <c r="BM4078" s="99"/>
      <c r="BN4078" s="99"/>
    </row>
    <row r="4079" spans="1:66" s="51" customFormat="1" ht="15.75" x14ac:dyDescent="0.25">
      <c r="A4079" s="478">
        <v>3</v>
      </c>
      <c r="B4079" s="479" t="s">
        <v>291</v>
      </c>
      <c r="C4079" s="480" t="s">
        <v>4356</v>
      </c>
      <c r="D4079" s="481" t="s">
        <v>311</v>
      </c>
      <c r="E4079" s="482">
        <v>34.950000000000003</v>
      </c>
      <c r="F4079" s="483" t="s">
        <v>292</v>
      </c>
      <c r="G4079" s="484">
        <v>0</v>
      </c>
      <c r="H4079" s="688" t="str">
        <f>IF(G4079=0,"",IF(F4079="Buy",IF(G4079=1,"plant","plants"),IF(F4079&gt;0.01,"warranty","Error")))</f>
        <v/>
      </c>
      <c r="I4079" s="485">
        <f>IF(H4079="free",0,IF(H4079="credit",((E4079*(F4079))*G4079*-1),IF(F4079="Buy",(E4079*G4079),((E4079*(1-F4079))*G4079))))</f>
        <v>0</v>
      </c>
      <c r="J4079" s="485">
        <f>IF(H4079="warranty",0,(I4079*(_xlfn.SINGLE(SalesTaxPercentage))))</f>
        <v>0</v>
      </c>
      <c r="K4079" s="715">
        <f t="shared" ref="K4079" si="3050">I4079+J4079</f>
        <v>0</v>
      </c>
      <c r="L4079" s="715"/>
      <c r="M4079" s="689" t="str">
        <f ca="1">IF(AND(G4079&gt;0,E4079=0),"WARNING - no PRICE inserted",IF(H4079="free","FREE ~ no charge this plant",IF(H4079="credit",CONCATENATE("-$",ROUND(K4079*(1-_xlfn.SINGLE(T2GDiscount))*-1,2)," CREDIT after discount"),IF(_xlfn.SINGLE(T2GDiscount)=0,"",IF(G4079=0,"",IF(F4079="Buy",CONCATENATE("$",ROUND(K4079*(1-_xlfn.SINGLE(T2GDiscount)),2)," with ",(_xlfn.SINGLE(T2GDiscount)*100),"% discount"),CONCATENATE("$",ROUND(K4079*(1-_xlfn.SINGLE(T2GDiscount)),2)," with ",((_xlfn.SINGLE(T2GDiscount)*100+F4079*100)-(_xlfn.SINGLE(T2GDiscount)*100*F4079)),IF(F4079&gt;0,"% discounts",IF(_xlfn.SINGLE(NoWarrantyDiscount)&gt;0,"% discounts","% discount")))))))))</f>
        <v/>
      </c>
      <c r="N4079" s="690"/>
      <c r="O4079" s="486"/>
      <c r="P4079" s="486"/>
      <c r="Q4079" s="486"/>
      <c r="R4079" s="486"/>
      <c r="S4079" s="486"/>
      <c r="T4079" s="102">
        <f t="shared" si="3023"/>
        <v>0</v>
      </c>
      <c r="U4079" s="78">
        <f>IF(NOT(ISNUMBER(G4079)), "", VLOOKUP(A4079,'Discount Lookup'!D:E,2,FALSE)*G4079)</f>
        <v>0</v>
      </c>
      <c r="V4079" s="78">
        <f>IF(NOT(ISNUMBER(G4079)), "", VLOOKUP(A4079,'Discount Lookup'!G:H,2,FALSE)*G4079)</f>
        <v>0</v>
      </c>
      <c r="W4079" s="102">
        <f t="shared" si="3024"/>
        <v>0</v>
      </c>
      <c r="X4079" s="102">
        <f t="shared" si="3025"/>
        <v>0</v>
      </c>
      <c r="Y4079" s="120" t="b">
        <f t="shared" si="3026"/>
        <v>0</v>
      </c>
      <c r="Z4079" s="117">
        <f t="shared" si="3027"/>
        <v>0</v>
      </c>
      <c r="AA4079" s="118"/>
      <c r="AB4079" s="118" t="str">
        <f t="shared" si="3028"/>
        <v/>
      </c>
      <c r="AC4079" s="712" t="str">
        <f>IF(AE4079="T2G","no charge",IF(AND(OR(PlanterYesMe="No",PlanterYesMe="N",PlanterYesMe="me"),H4079=""),"",IF(H4079="credit","NO install",IF(AND(K4079="",AE4079="me"),"EACH row",IF(AND(K4079="images",AE4079="me"),"EACH row",IF(D4079="","",IF(H4079="credit","",IF(AE4079="free","re-planting",IF(AE4079="me","   not ELP, by",IF(AND(OR(PlanterYesMe="Yes",PlanterYesMe="Y"),G4079&gt;0),(VLOOKUP(A4079,'Discount Lookup'!J:K,2)*G4079*(1-PlanterDiscount)*(1+PlanterDifficultyPercentage)),IF(AE4079="ELP",(VLOOKUP(A4079,'Discount Lookup'!J:K,2)*G4079*(1-PlanterDiscount)*(1+PlanterDifficultyPercentage)),IF(AE4079="free","re-planting",IF(G4079=0,"",IF(PlanterYesMe="",IF(AE4079="me","   not ELP, by",IF(AE4079="",IF(G4079&gt;0,(VLOOKUP(A4079,'Discount Lookup'!J:K,2)*G4079*(1-PlanterDiscount)*(1+PlanterDifficultyPercentage)),""),"")),"   not ELP, by"))))))))))))))</f>
        <v/>
      </c>
      <c r="AD4079" s="712"/>
      <c r="AE4079" s="513" t="str">
        <f t="shared" si="3029"/>
        <v/>
      </c>
      <c r="AF4079" s="713" t="str">
        <f t="shared" si="3030"/>
        <v/>
      </c>
      <c r="AG4079" s="713"/>
      <c r="AH4079" s="713"/>
      <c r="AI4079" s="112">
        <f>IF(H4079="credit",0,IF(AE4079="free",0,IF(AE4079="me",0,IF(G4079&gt;0,(VLOOKUP(A4079,'Discount Lookup'!J:K,2)*G4079),0))))</f>
        <v>0</v>
      </c>
      <c r="AJ4079" s="107" t="str">
        <f t="shared" ca="1" si="3031"/>
        <v/>
      </c>
      <c r="AK4079" s="714" t="str">
        <f t="shared" si="3032"/>
        <v/>
      </c>
      <c r="AL4079" s="714"/>
      <c r="AM4079" s="114" t="str">
        <f t="shared" si="3033"/>
        <v/>
      </c>
      <c r="AN4079" s="115"/>
      <c r="AO4079" s="116"/>
      <c r="AP4079" s="116"/>
      <c r="AQ4079" s="116"/>
      <c r="AR4079" s="116"/>
      <c r="AS4079" s="116"/>
      <c r="AT4079" s="116"/>
      <c r="AU4079" s="116"/>
      <c r="AV4079" s="78"/>
      <c r="AW4079" s="102"/>
      <c r="AX4079" s="78"/>
      <c r="AY4079" s="78"/>
      <c r="AZ4079" s="78"/>
      <c r="BA4079" s="78"/>
      <c r="BB4079" s="78"/>
      <c r="BC4079" s="78"/>
      <c r="BD4079" s="78"/>
      <c r="BE4079" s="465"/>
      <c r="BF4079" s="165" t="str">
        <f t="shared" si="3034"/>
        <v>https://www.google.com/search?tbm=isch&amp;q=3%20G5</v>
      </c>
      <c r="BG4079" s="165" t="str">
        <f t="shared" si="3035"/>
        <v>T</v>
      </c>
      <c r="BH4079" s="65"/>
      <c r="BI4079" s="65"/>
      <c r="BJ4079" s="65"/>
      <c r="BK4079" s="65"/>
      <c r="BL4079" s="99"/>
      <c r="BM4079" s="99"/>
      <c r="BN4079" s="99"/>
    </row>
    <row r="4080" spans="1:66" s="51" customFormat="1" ht="17.25" thickBot="1" x14ac:dyDescent="0.3">
      <c r="A4080" s="508" t="s">
        <v>4357</v>
      </c>
      <c r="B4080" s="487"/>
      <c r="C4080" s="707"/>
      <c r="D4080" s="487"/>
      <c r="E4080" s="487"/>
      <c r="F4080" s="488"/>
      <c r="G4080" s="489"/>
      <c r="H4080" s="487"/>
      <c r="I4080" s="490"/>
      <c r="J4080" s="490"/>
      <c r="K4080" s="491"/>
      <c r="L4080" s="547"/>
      <c r="M4080" s="528"/>
      <c r="N4080" s="492"/>
      <c r="O4080" s="493"/>
      <c r="P4080" s="494"/>
      <c r="Q4080" s="492"/>
      <c r="R4080" s="492"/>
      <c r="S4080" s="699" t="s">
        <v>5268</v>
      </c>
      <c r="T4080" s="102">
        <f t="shared" si="3023"/>
        <v>0</v>
      </c>
      <c r="U4080" s="78" t="str">
        <f>IF(NOT(ISNUMBER(G4080)), "", VLOOKUP(A4080,'Discount Lookup'!D:E,2,FALSE)*G4080)</f>
        <v/>
      </c>
      <c r="V4080" s="78" t="str">
        <f>IF(NOT(ISNUMBER(G4080)), "", VLOOKUP(A4080,'Discount Lookup'!G:H,2,FALSE)*G4080)</f>
        <v/>
      </c>
      <c r="W4080" s="102">
        <f t="shared" si="3024"/>
        <v>0</v>
      </c>
      <c r="X4080" s="102">
        <f t="shared" si="3025"/>
        <v>0</v>
      </c>
      <c r="Y4080" s="120" t="b">
        <f t="shared" si="3026"/>
        <v>0</v>
      </c>
      <c r="Z4080" s="117">
        <f t="shared" si="3027"/>
        <v>0</v>
      </c>
      <c r="AA4080" s="118"/>
      <c r="AB4080" s="118" t="str">
        <f t="shared" si="3028"/>
        <v/>
      </c>
      <c r="AC4080" s="712" t="str">
        <f>IF(AE4080="T2G","no charge",IF(AND(OR(PlanterYesMe="No",PlanterYesMe="N",PlanterYesMe="me"),H4080=""),"",IF(H4080="credit","NO install",IF(AND(K4080="",AE4080="me"),"EACH row",IF(AND(K4080="images",AE4080="me"),"EACH row",IF(D4080="","",IF(H4080="credit","",IF(AE4080="free","re-planting",IF(AE4080="me","   not ELP, by",IF(AND(OR(PlanterYesMe="Yes",PlanterYesMe="Y"),G4080&gt;0),(VLOOKUP(A4080,'Discount Lookup'!J:K,2)*G4080*(1-PlanterDiscount)*(1+PlanterDifficultyPercentage)),IF(AE4080="ELP",(VLOOKUP(A4080,'Discount Lookup'!J:K,2)*G4080*(1-PlanterDiscount)*(1+PlanterDifficultyPercentage)),IF(AE4080="free","re-planting",IF(G4080=0,"",IF(PlanterYesMe="",IF(AE4080="me","   not ELP, by",IF(AE4080="",IF(G4080&gt;0,(VLOOKUP(A4080,'Discount Lookup'!J:K,2)*G4080*(1-PlanterDiscount)*(1+PlanterDifficultyPercentage)),""),"")),"   not ELP, by"))))))))))))))</f>
        <v/>
      </c>
      <c r="AD4080" s="712"/>
      <c r="AE4080" s="513" t="str">
        <f t="shared" si="3029"/>
        <v/>
      </c>
      <c r="AF4080" s="713" t="str">
        <f t="shared" si="3030"/>
        <v/>
      </c>
      <c r="AG4080" s="713"/>
      <c r="AH4080" s="713"/>
      <c r="AI4080" s="112">
        <f>IF(H4080="credit",0,IF(AE4080="free",0,IF(AE4080="me",0,IF(G4080&gt;0,(VLOOKUP(A4080,'Discount Lookup'!J:K,2)*G4080),0))))</f>
        <v>0</v>
      </c>
      <c r="AJ4080" s="107" t="str">
        <f t="shared" ca="1" si="3031"/>
        <v/>
      </c>
      <c r="AK4080" s="714" t="str">
        <f t="shared" si="3032"/>
        <v/>
      </c>
      <c r="AL4080" s="714"/>
      <c r="AM4080" s="114" t="str">
        <f t="shared" si="3033"/>
        <v/>
      </c>
      <c r="AN4080" s="115"/>
      <c r="AO4080" s="116"/>
      <c r="AP4080" s="116"/>
      <c r="AQ4080" s="116"/>
      <c r="AR4080" s="116"/>
      <c r="AS4080" s="116"/>
      <c r="AT4080" s="116"/>
      <c r="AU4080" s="116"/>
      <c r="AV4080" s="78"/>
      <c r="AW4080" s="102"/>
      <c r="AX4080" s="78"/>
      <c r="AY4080" s="78"/>
      <c r="AZ4080" s="78"/>
      <c r="BA4080" s="78"/>
      <c r="BB4080" s="78"/>
      <c r="BC4080" s="78"/>
      <c r="BD4080" s="78"/>
      <c r="BE4080" s="465"/>
      <c r="BF4080" s="165" t="str">
        <f t="shared" si="3034"/>
        <v>https://www.google.com/search?tbm=isch&amp;q=Little%20Giant%20forms%20a%20dense%2C%20perfectly%20round%20globe%20of%20soft%20foliage%2C%20requiring%20little%20to%20no%20pruning.%20Color%20holds%20through%20winter%20</v>
      </c>
      <c r="BG4080" s="165" t="str">
        <f t="shared" si="3035"/>
        <v>L</v>
      </c>
      <c r="BH4080" s="65"/>
      <c r="BI4080" s="65"/>
      <c r="BJ4080" s="65"/>
      <c r="BK4080" s="65"/>
      <c r="BL4080" s="99"/>
      <c r="BM4080" s="99"/>
      <c r="BN4080" s="99"/>
    </row>
    <row r="4081" spans="1:66" s="51" customFormat="1" ht="18" x14ac:dyDescent="0.25">
      <c r="A4081" s="507" t="s">
        <v>4358</v>
      </c>
      <c r="B4081" s="470"/>
      <c r="C4081" s="706"/>
      <c r="D4081" s="471" t="s">
        <v>4359</v>
      </c>
      <c r="E4081" s="472"/>
      <c r="F4081" s="472"/>
      <c r="G4081" s="472"/>
      <c r="H4081" s="622" t="s">
        <v>1270</v>
      </c>
      <c r="I4081" s="473" t="s">
        <v>433</v>
      </c>
      <c r="J4081" s="472"/>
      <c r="K4081" s="472"/>
      <c r="L4081" s="561"/>
      <c r="M4081" s="698" t="s">
        <v>5246</v>
      </c>
      <c r="N4081" s="692" t="str">
        <f>IF(AND(ISTEXT($A4081), ISERROR($A4081+0)), HYPERLINK($BF4081, "Images"), "")</f>
        <v>Images</v>
      </c>
      <c r="O4081" s="694" t="s">
        <v>5264</v>
      </c>
      <c r="P4081" s="475"/>
      <c r="Q4081" s="476"/>
      <c r="R4081" s="476"/>
      <c r="S4081" s="477"/>
      <c r="T4081" s="102">
        <f t="shared" si="3023"/>
        <v>0</v>
      </c>
      <c r="U4081" s="78" t="str">
        <f>IF(NOT(ISNUMBER(G4081)), "", VLOOKUP(A4081,'Discount Lookup'!D:E,2,FALSE)*G4081)</f>
        <v/>
      </c>
      <c r="V4081" s="78" t="str">
        <f>IF(NOT(ISNUMBER(G4081)), "", VLOOKUP(A4081,'Discount Lookup'!G:H,2,FALSE)*G4081)</f>
        <v/>
      </c>
      <c r="W4081" s="102">
        <f t="shared" si="3024"/>
        <v>0</v>
      </c>
      <c r="X4081" s="102" t="str">
        <f t="shared" si="3025"/>
        <v>Bright Green foliage</v>
      </c>
      <c r="Y4081" s="120" t="b">
        <f t="shared" si="3026"/>
        <v>0</v>
      </c>
      <c r="Z4081" s="117">
        <f t="shared" si="3027"/>
        <v>0</v>
      </c>
      <c r="AA4081" s="118"/>
      <c r="AB4081" s="118" t="str">
        <f t="shared" si="3028"/>
        <v/>
      </c>
      <c r="AC4081" s="712" t="str">
        <f>IF(AE4081="T2G","no charge",IF(AND(OR(PlanterYesMe="No",PlanterYesMe="N",PlanterYesMe="me"),H4081=""),"",IF(H4081="credit","NO install",IF(AND(K4081="",AE4081="me"),"EACH row",IF(AND(K4081="images",AE4081="me"),"EACH row",IF(D4081="","",IF(H4081="credit","",IF(AE4081="free","re-planting",IF(AE4081="me","   not ELP, by",IF(AND(OR(PlanterYesMe="Yes",PlanterYesMe="Y"),G4081&gt;0),(VLOOKUP(A4081,'Discount Lookup'!J:K,2)*G4081*(1-PlanterDiscount)*(1+PlanterDifficultyPercentage)),IF(AE4081="ELP",(VLOOKUP(A4081,'Discount Lookup'!J:K,2)*G4081*(1-PlanterDiscount)*(1+PlanterDifficultyPercentage)),IF(AE4081="free","re-planting",IF(G4081=0,"",IF(PlanterYesMe="",IF(AE4081="me","   not ELP, by",IF(AE4081="",IF(G4081&gt;0,(VLOOKUP(A4081,'Discount Lookup'!J:K,2)*G4081*(1-PlanterDiscount)*(1+PlanterDifficultyPercentage)),""),"")),"   not ELP, by"))))))))))))))</f>
        <v/>
      </c>
      <c r="AD4081" s="712"/>
      <c r="AE4081" s="513" t="str">
        <f t="shared" si="3029"/>
        <v/>
      </c>
      <c r="AF4081" s="713" t="str">
        <f t="shared" si="3030"/>
        <v/>
      </c>
      <c r="AG4081" s="713"/>
      <c r="AH4081" s="713"/>
      <c r="AI4081" s="112">
        <f>IF(H4081="credit",0,IF(AE4081="free",0,IF(AE4081="me",0,IF(G4081&gt;0,(VLOOKUP(A4081,'Discount Lookup'!J:K,2)*G4081),0))))</f>
        <v>0</v>
      </c>
      <c r="AJ4081" s="107" t="str">
        <f t="shared" ca="1" si="3031"/>
        <v/>
      </c>
      <c r="AK4081" s="714" t="str">
        <f t="shared" si="3032"/>
        <v/>
      </c>
      <c r="AL4081" s="714"/>
      <c r="AM4081" s="114" t="str">
        <f t="shared" si="3033"/>
        <v/>
      </c>
      <c r="AN4081" s="115"/>
      <c r="AO4081" s="116"/>
      <c r="AP4081" s="116"/>
      <c r="AQ4081" s="116"/>
      <c r="AR4081" s="116"/>
      <c r="AS4081" s="116"/>
      <c r="AT4081" s="116"/>
      <c r="AU4081" s="116"/>
      <c r="AV4081" s="78"/>
      <c r="AW4081" s="102"/>
      <c r="AX4081" s="78"/>
      <c r="AY4081" s="78"/>
      <c r="AZ4081" s="78"/>
      <c r="BA4081" s="78"/>
      <c r="BB4081" s="78"/>
      <c r="BC4081" s="78"/>
      <c r="BD4081" s="78"/>
      <c r="BE4081" s="465"/>
      <c r="BF4081" s="165" t="str">
        <f t="shared" si="3034"/>
        <v>https://www.google.com/search?tbm=isch&amp;q=Thuja%20occidentalis%20%27Little%20Sprout%27%20PP%2320354%20Little%20Sprout%20Arborvitae</v>
      </c>
      <c r="BG4081" s="165" t="str">
        <f t="shared" si="3035"/>
        <v>T</v>
      </c>
      <c r="BH4081" s="65"/>
      <c r="BI4081" s="65"/>
      <c r="BJ4081" s="65"/>
      <c r="BK4081" s="65"/>
      <c r="BL4081" s="99"/>
      <c r="BM4081" s="99"/>
      <c r="BN4081" s="99"/>
    </row>
    <row r="4082" spans="1:66" s="51" customFormat="1" ht="27" x14ac:dyDescent="0.25">
      <c r="A4082" s="478">
        <v>7</v>
      </c>
      <c r="B4082" s="479" t="s">
        <v>291</v>
      </c>
      <c r="C4082" s="480" t="s">
        <v>4360</v>
      </c>
      <c r="D4082" s="481" t="s">
        <v>299</v>
      </c>
      <c r="E4082" s="482">
        <v>79.95</v>
      </c>
      <c r="F4082" s="483" t="s">
        <v>292</v>
      </c>
      <c r="G4082" s="484">
        <v>0</v>
      </c>
      <c r="H4082" s="688" t="str">
        <f>IF(G4082=0,"",IF(F4082="Buy",IF(G4082=1,"plant","plants"),IF(F4082&gt;0.01,"warranty","Error")))</f>
        <v/>
      </c>
      <c r="I4082" s="485">
        <f>IF(H4082="free",0,IF(H4082="credit",((E4082*(F4082))*G4082*-1),IF(F4082="Buy",(E4082*G4082),((E4082*(1-F4082))*G4082))))</f>
        <v>0</v>
      </c>
      <c r="J4082" s="485">
        <f>IF(H4082="warranty",0,(I4082*(_xlfn.SINGLE(SalesTaxPercentage))))</f>
        <v>0</v>
      </c>
      <c r="K4082" s="715">
        <f t="shared" ref="K4082" si="3051">I4082+J4082</f>
        <v>0</v>
      </c>
      <c r="L4082" s="715"/>
      <c r="M4082" s="689" t="str">
        <f ca="1">IF(AND(G4082&gt;0,E4082=0),"WARNING - no PRICE inserted",IF(H4082="free","FREE ~ no charge this plant",IF(H4082="credit",CONCATENATE("-$",ROUND(K4082*(1-_xlfn.SINGLE(T2GDiscount))*-1,2)," CREDIT after discount"),IF(_xlfn.SINGLE(T2GDiscount)=0,"",IF(G4082=0,"",IF(F4082="Buy",CONCATENATE("$",ROUND(K4082*(1-_xlfn.SINGLE(T2GDiscount)),2)," with ",(_xlfn.SINGLE(T2GDiscount)*100),"% discount"),CONCATENATE("$",ROUND(K4082*(1-_xlfn.SINGLE(T2GDiscount)),2)," with ",((_xlfn.SINGLE(T2GDiscount)*100+F4082*100)-(_xlfn.SINGLE(T2GDiscount)*100*F4082)),IF(F4082&gt;0,"% discounts",IF(_xlfn.SINGLE(NoWarrantyDiscount)&gt;0,"% discounts","% discount")))))))))</f>
        <v/>
      </c>
      <c r="N4082" s="690"/>
      <c r="O4082" s="486"/>
      <c r="P4082" s="486"/>
      <c r="Q4082" s="486"/>
      <c r="R4082" s="486"/>
      <c r="S4082" s="486"/>
      <c r="T4082" s="102">
        <f t="shared" si="3023"/>
        <v>0</v>
      </c>
      <c r="U4082" s="78">
        <f>IF(NOT(ISNUMBER(G4082)), "", VLOOKUP(A4082,'Discount Lookup'!D:E,2,FALSE)*G4082)</f>
        <v>0</v>
      </c>
      <c r="V4082" s="78">
        <f>IF(NOT(ISNUMBER(G4082)), "", VLOOKUP(A4082,'Discount Lookup'!G:H,2,FALSE)*G4082)</f>
        <v>0</v>
      </c>
      <c r="W4082" s="102">
        <f t="shared" si="3024"/>
        <v>0</v>
      </c>
      <c r="X4082" s="102">
        <f t="shared" si="3025"/>
        <v>0</v>
      </c>
      <c r="Y4082" s="120" t="b">
        <f t="shared" si="3026"/>
        <v>0</v>
      </c>
      <c r="Z4082" s="117">
        <f t="shared" si="3027"/>
        <v>0</v>
      </c>
      <c r="AA4082" s="118"/>
      <c r="AB4082" s="118" t="str">
        <f t="shared" si="3028"/>
        <v/>
      </c>
      <c r="AC4082" s="712" t="str">
        <f>IF(AE4082="T2G","no charge",IF(AND(OR(PlanterYesMe="No",PlanterYesMe="N",PlanterYesMe="me"),H4082=""),"",IF(H4082="credit","NO install",IF(AND(K4082="",AE4082="me"),"EACH row",IF(AND(K4082="images",AE4082="me"),"EACH row",IF(D4082="","",IF(H4082="credit","",IF(AE4082="free","re-planting",IF(AE4082="me","   not ELP, by",IF(AND(OR(PlanterYesMe="Yes",PlanterYesMe="Y"),G4082&gt;0),(VLOOKUP(A4082,'Discount Lookup'!J:K,2)*G4082*(1-PlanterDiscount)*(1+PlanterDifficultyPercentage)),IF(AE4082="ELP",(VLOOKUP(A4082,'Discount Lookup'!J:K,2)*G4082*(1-PlanterDiscount)*(1+PlanterDifficultyPercentage)),IF(AE4082="free","re-planting",IF(G4082=0,"",IF(PlanterYesMe="",IF(AE4082="me","   not ELP, by",IF(AE4082="",IF(G4082&gt;0,(VLOOKUP(A4082,'Discount Lookup'!J:K,2)*G4082*(1-PlanterDiscount)*(1+PlanterDifficultyPercentage)),""),"")),"   not ELP, by"))))))))))))))</f>
        <v/>
      </c>
      <c r="AD4082" s="712"/>
      <c r="AE4082" s="513" t="str">
        <f t="shared" si="3029"/>
        <v/>
      </c>
      <c r="AF4082" s="713" t="str">
        <f t="shared" si="3030"/>
        <v/>
      </c>
      <c r="AG4082" s="713"/>
      <c r="AH4082" s="713"/>
      <c r="AI4082" s="112">
        <f>IF(H4082="credit",0,IF(AE4082="free",0,IF(AE4082="me",0,IF(G4082&gt;0,(VLOOKUP(A4082,'Discount Lookup'!J:K,2)*G4082),0))))</f>
        <v>0</v>
      </c>
      <c r="AJ4082" s="107" t="str">
        <f t="shared" ca="1" si="3031"/>
        <v/>
      </c>
      <c r="AK4082" s="714" t="str">
        <f t="shared" si="3032"/>
        <v/>
      </c>
      <c r="AL4082" s="714"/>
      <c r="AM4082" s="114" t="str">
        <f t="shared" si="3033"/>
        <v/>
      </c>
      <c r="AN4082" s="115"/>
      <c r="AO4082" s="116"/>
      <c r="AP4082" s="116"/>
      <c r="AQ4082" s="116"/>
      <c r="AR4082" s="116"/>
      <c r="AS4082" s="116"/>
      <c r="AT4082" s="116"/>
      <c r="AU4082" s="116"/>
      <c r="AV4082" s="78"/>
      <c r="AW4082" s="102"/>
      <c r="AX4082" s="78"/>
      <c r="AY4082" s="78"/>
      <c r="AZ4082" s="78"/>
      <c r="BA4082" s="78"/>
      <c r="BB4082" s="78"/>
      <c r="BC4082" s="78"/>
      <c r="BD4082" s="78"/>
      <c r="BE4082" s="465"/>
      <c r="BF4082" s="165" t="str">
        <f t="shared" si="3034"/>
        <v>https://www.google.com/search?tbm=isch&amp;q=7%20G4</v>
      </c>
      <c r="BG4082" s="165" t="str">
        <f t="shared" si="3035"/>
        <v>T</v>
      </c>
      <c r="BH4082" s="65"/>
      <c r="BI4082" s="65"/>
      <c r="BJ4082" s="65"/>
      <c r="BK4082" s="65"/>
      <c r="BL4082" s="99"/>
      <c r="BM4082" s="99"/>
      <c r="BN4082" s="99"/>
    </row>
    <row r="4083" spans="1:66" s="51" customFormat="1" ht="27" x14ac:dyDescent="0.25">
      <c r="A4083" s="478">
        <v>15</v>
      </c>
      <c r="B4083" s="479" t="s">
        <v>291</v>
      </c>
      <c r="C4083" s="480" t="s">
        <v>4361</v>
      </c>
      <c r="D4083" s="481" t="s">
        <v>299</v>
      </c>
      <c r="E4083" s="482">
        <v>169.95</v>
      </c>
      <c r="F4083" s="483" t="s">
        <v>292</v>
      </c>
      <c r="G4083" s="484">
        <v>0</v>
      </c>
      <c r="H4083" s="688" t="str">
        <f>IF(G4083=0,"",IF(F4083="Buy",IF(G4083=1,"plant","plants"),IF(F4083&gt;0.01,"warranty","Error")))</f>
        <v/>
      </c>
      <c r="I4083" s="485">
        <f>IF(H4083="free",0,IF(H4083="credit",((E4083*(F4083))*G4083*-1),IF(F4083="Buy",(E4083*G4083),((E4083*(1-F4083))*G4083))))</f>
        <v>0</v>
      </c>
      <c r="J4083" s="485">
        <f>IF(H4083="warranty",0,(I4083*(_xlfn.SINGLE(SalesTaxPercentage))))</f>
        <v>0</v>
      </c>
      <c r="K4083" s="715">
        <f t="shared" ref="K4083" si="3052">I4083+J4083</f>
        <v>0</v>
      </c>
      <c r="L4083" s="715"/>
      <c r="M4083" s="689" t="str">
        <f ca="1">IF(AND(G4083&gt;0,E4083=0),"WARNING - no PRICE inserted",IF(H4083="free","FREE ~ no charge this plant",IF(H4083="credit",CONCATENATE("-$",ROUND(K4083*(1-_xlfn.SINGLE(T2GDiscount))*-1,2)," CREDIT after discount"),IF(_xlfn.SINGLE(T2GDiscount)=0,"",IF(G4083=0,"",IF(F4083="Buy",CONCATENATE("$",ROUND(K4083*(1-_xlfn.SINGLE(T2GDiscount)),2)," with ",(_xlfn.SINGLE(T2GDiscount)*100),"% discount"),CONCATENATE("$",ROUND(K4083*(1-_xlfn.SINGLE(T2GDiscount)),2)," with ",((_xlfn.SINGLE(T2GDiscount)*100+F4083*100)-(_xlfn.SINGLE(T2GDiscount)*100*F4083)),IF(F4083&gt;0,"% discounts",IF(_xlfn.SINGLE(NoWarrantyDiscount)&gt;0,"% discounts","% discount")))))))))</f>
        <v/>
      </c>
      <c r="N4083" s="690"/>
      <c r="O4083" s="486"/>
      <c r="P4083" s="486"/>
      <c r="Q4083" s="486"/>
      <c r="R4083" s="486"/>
      <c r="S4083" s="486"/>
      <c r="T4083" s="102">
        <f t="shared" si="3023"/>
        <v>0</v>
      </c>
      <c r="U4083" s="78">
        <f>IF(NOT(ISNUMBER(G4083)), "", VLOOKUP(A4083,'Discount Lookup'!D:E,2,FALSE)*G4083)</f>
        <v>0</v>
      </c>
      <c r="V4083" s="78">
        <f>IF(NOT(ISNUMBER(G4083)), "", VLOOKUP(A4083,'Discount Lookup'!G:H,2,FALSE)*G4083)</f>
        <v>0</v>
      </c>
      <c r="W4083" s="102">
        <f t="shared" si="3024"/>
        <v>0</v>
      </c>
      <c r="X4083" s="102">
        <f t="shared" si="3025"/>
        <v>0</v>
      </c>
      <c r="Y4083" s="120" t="b">
        <f t="shared" si="3026"/>
        <v>0</v>
      </c>
      <c r="Z4083" s="117">
        <f t="shared" si="3027"/>
        <v>0</v>
      </c>
      <c r="AA4083" s="118"/>
      <c r="AB4083" s="118" t="str">
        <f t="shared" si="3028"/>
        <v/>
      </c>
      <c r="AC4083" s="712" t="str">
        <f>IF(AE4083="T2G","no charge",IF(AND(OR(PlanterYesMe="No",PlanterYesMe="N",PlanterYesMe="me"),H4083=""),"",IF(H4083="credit","NO install",IF(AND(K4083="",AE4083="me"),"EACH row",IF(AND(K4083="images",AE4083="me"),"EACH row",IF(D4083="","",IF(H4083="credit","",IF(AE4083="free","re-planting",IF(AE4083="me","   not ELP, by",IF(AND(OR(PlanterYesMe="Yes",PlanterYesMe="Y"),G4083&gt;0),(VLOOKUP(A4083,'Discount Lookup'!J:K,2)*G4083*(1-PlanterDiscount)*(1+PlanterDifficultyPercentage)),IF(AE4083="ELP",(VLOOKUP(A4083,'Discount Lookup'!J:K,2)*G4083*(1-PlanterDiscount)*(1+PlanterDifficultyPercentage)),IF(AE4083="free","re-planting",IF(G4083=0,"",IF(PlanterYesMe="",IF(AE4083="me","   not ELP, by",IF(AE4083="",IF(G4083&gt;0,(VLOOKUP(A4083,'Discount Lookup'!J:K,2)*G4083*(1-PlanterDiscount)*(1+PlanterDifficultyPercentage)),""),"")),"   not ELP, by"))))))))))))))</f>
        <v/>
      </c>
      <c r="AD4083" s="712"/>
      <c r="AE4083" s="513" t="str">
        <f t="shared" si="3029"/>
        <v/>
      </c>
      <c r="AF4083" s="713" t="str">
        <f t="shared" si="3030"/>
        <v/>
      </c>
      <c r="AG4083" s="713"/>
      <c r="AH4083" s="713"/>
      <c r="AI4083" s="112">
        <f>IF(H4083="credit",0,IF(AE4083="free",0,IF(AE4083="me",0,IF(G4083&gt;0,(VLOOKUP(A4083,'Discount Lookup'!J:K,2)*G4083),0))))</f>
        <v>0</v>
      </c>
      <c r="AJ4083" s="107" t="str">
        <f t="shared" ca="1" si="3031"/>
        <v/>
      </c>
      <c r="AK4083" s="714" t="str">
        <f t="shared" si="3032"/>
        <v/>
      </c>
      <c r="AL4083" s="714"/>
      <c r="AM4083" s="114" t="str">
        <f t="shared" si="3033"/>
        <v/>
      </c>
      <c r="AN4083" s="115"/>
      <c r="AO4083" s="116"/>
      <c r="AP4083" s="116"/>
      <c r="AQ4083" s="116"/>
      <c r="AR4083" s="116"/>
      <c r="AS4083" s="116"/>
      <c r="AT4083" s="116"/>
      <c r="AU4083" s="116"/>
      <c r="AV4083" s="78"/>
      <c r="AW4083" s="102"/>
      <c r="AX4083" s="78"/>
      <c r="AY4083" s="78"/>
      <c r="AZ4083" s="78"/>
      <c r="BA4083" s="78"/>
      <c r="BB4083" s="78"/>
      <c r="BC4083" s="78"/>
      <c r="BD4083" s="78"/>
      <c r="BE4083" s="465"/>
      <c r="BF4083" s="165" t="str">
        <f t="shared" si="3034"/>
        <v>https://www.google.com/search?tbm=isch&amp;q=15%20G4</v>
      </c>
      <c r="BG4083" s="165" t="str">
        <f t="shared" si="3035"/>
        <v>T</v>
      </c>
      <c r="BH4083" s="65"/>
      <c r="BI4083" s="65"/>
      <c r="BJ4083" s="65"/>
      <c r="BK4083" s="65"/>
      <c r="BL4083" s="99"/>
      <c r="BM4083" s="99"/>
      <c r="BN4083" s="99"/>
    </row>
    <row r="4084" spans="1:66" s="51" customFormat="1" ht="16.5" thickBot="1" x14ac:dyDescent="0.3">
      <c r="A4084" s="508" t="s">
        <v>4362</v>
      </c>
      <c r="B4084" s="487"/>
      <c r="C4084" s="707"/>
      <c r="D4084" s="487"/>
      <c r="E4084" s="487"/>
      <c r="F4084" s="488"/>
      <c r="G4084" s="489"/>
      <c r="H4084" s="487"/>
      <c r="I4084" s="490"/>
      <c r="J4084" s="490"/>
      <c r="K4084" s="491"/>
      <c r="L4084" s="547"/>
      <c r="M4084" s="528"/>
      <c r="N4084" s="492"/>
      <c r="O4084" s="493"/>
      <c r="P4084" s="494"/>
      <c r="Q4084" s="492"/>
      <c r="R4084" s="492"/>
      <c r="S4084" s="495"/>
      <c r="T4084" s="102">
        <f t="shared" si="3023"/>
        <v>0</v>
      </c>
      <c r="U4084" s="78" t="str">
        <f>IF(NOT(ISNUMBER(G4084)), "", VLOOKUP(A4084,'Discount Lookup'!D:E,2,FALSE)*G4084)</f>
        <v/>
      </c>
      <c r="V4084" s="78" t="str">
        <f>IF(NOT(ISNUMBER(G4084)), "", VLOOKUP(A4084,'Discount Lookup'!G:H,2,FALSE)*G4084)</f>
        <v/>
      </c>
      <c r="W4084" s="102">
        <f t="shared" si="3024"/>
        <v>0</v>
      </c>
      <c r="X4084" s="102">
        <f t="shared" si="3025"/>
        <v>0</v>
      </c>
      <c r="Y4084" s="120" t="b">
        <f t="shared" si="3026"/>
        <v>0</v>
      </c>
      <c r="Z4084" s="117">
        <f t="shared" si="3027"/>
        <v>0</v>
      </c>
      <c r="AA4084" s="118"/>
      <c r="AB4084" s="118" t="str">
        <f t="shared" si="3028"/>
        <v/>
      </c>
      <c r="AC4084" s="712" t="str">
        <f>IF(AE4084="T2G","no charge",IF(AND(OR(PlanterYesMe="No",PlanterYesMe="N",PlanterYesMe="me"),H4084=""),"",IF(H4084="credit","NO install",IF(AND(K4084="",AE4084="me"),"EACH row",IF(AND(K4084="images",AE4084="me"),"EACH row",IF(D4084="","",IF(H4084="credit","",IF(AE4084="free","re-planting",IF(AE4084="me","   not ELP, by",IF(AND(OR(PlanterYesMe="Yes",PlanterYesMe="Y"),G4084&gt;0),(VLOOKUP(A4084,'Discount Lookup'!J:K,2)*G4084*(1-PlanterDiscount)*(1+PlanterDifficultyPercentage)),IF(AE4084="ELP",(VLOOKUP(A4084,'Discount Lookup'!J:K,2)*G4084*(1-PlanterDiscount)*(1+PlanterDifficultyPercentage)),IF(AE4084="free","re-planting",IF(G4084=0,"",IF(PlanterYesMe="",IF(AE4084="me","   not ELP, by",IF(AE4084="",IF(G4084&gt;0,(VLOOKUP(A4084,'Discount Lookup'!J:K,2)*G4084*(1-PlanterDiscount)*(1+PlanterDifficultyPercentage)),""),"")),"   not ELP, by"))))))))))))))</f>
        <v/>
      </c>
      <c r="AD4084" s="712"/>
      <c r="AE4084" s="513" t="str">
        <f t="shared" si="3029"/>
        <v/>
      </c>
      <c r="AF4084" s="713" t="str">
        <f t="shared" si="3030"/>
        <v/>
      </c>
      <c r="AG4084" s="713"/>
      <c r="AH4084" s="713"/>
      <c r="AI4084" s="112">
        <f>IF(H4084="credit",0,IF(AE4084="free",0,IF(AE4084="me",0,IF(G4084&gt;0,(VLOOKUP(A4084,'Discount Lookup'!J:K,2)*G4084),0))))</f>
        <v>0</v>
      </c>
      <c r="AJ4084" s="107" t="str">
        <f t="shared" ca="1" si="3031"/>
        <v/>
      </c>
      <c r="AK4084" s="714" t="str">
        <f t="shared" si="3032"/>
        <v/>
      </c>
      <c r="AL4084" s="714"/>
      <c r="AM4084" s="114" t="str">
        <f t="shared" si="3033"/>
        <v/>
      </c>
      <c r="AN4084" s="115"/>
      <c r="AO4084" s="116"/>
      <c r="AP4084" s="116"/>
      <c r="AQ4084" s="116"/>
      <c r="AR4084" s="116"/>
      <c r="AS4084" s="116"/>
      <c r="AT4084" s="116"/>
      <c r="AU4084" s="116"/>
      <c r="AV4084" s="78"/>
      <c r="AW4084" s="102"/>
      <c r="AX4084" s="78"/>
      <c r="AY4084" s="78"/>
      <c r="AZ4084" s="78"/>
      <c r="BA4084" s="78"/>
      <c r="BB4084" s="78"/>
      <c r="BC4084" s="78"/>
      <c r="BD4084" s="78"/>
      <c r="BE4084" s="465"/>
      <c r="BF4084" s="165" t="str">
        <f t="shared" si="3034"/>
        <v>https://www.google.com/search?tbm=isch&amp;q=Little%20Sprout%20offers%20tidy%2C%20globe-shaped%20greenery%20with%20year-round%20color%20and%20minimal%20upkeep.%20Reddish-Brown%20bark%20does%20not%20exfoliate%20</v>
      </c>
      <c r="BG4084" s="165" t="str">
        <f t="shared" si="3035"/>
        <v>L</v>
      </c>
      <c r="BH4084" s="65"/>
      <c r="BI4084" s="65"/>
      <c r="BJ4084" s="65"/>
      <c r="BK4084" s="65"/>
      <c r="BL4084" s="99"/>
      <c r="BM4084" s="99"/>
      <c r="BN4084" s="99"/>
    </row>
    <row r="4085" spans="1:66" s="51" customFormat="1" ht="18" x14ac:dyDescent="0.25">
      <c r="A4085" s="507" t="s">
        <v>4363</v>
      </c>
      <c r="B4085" s="470"/>
      <c r="C4085" s="706"/>
      <c r="D4085" s="471" t="s">
        <v>5841</v>
      </c>
      <c r="E4085" s="472"/>
      <c r="F4085" s="472"/>
      <c r="G4085" s="472"/>
      <c r="H4085" s="622" t="s">
        <v>1498</v>
      </c>
      <c r="I4085" s="473" t="s">
        <v>4364</v>
      </c>
      <c r="J4085" s="472"/>
      <c r="K4085" s="472"/>
      <c r="L4085" s="561"/>
      <c r="M4085" s="698" t="s">
        <v>5240</v>
      </c>
      <c r="N4085" s="692" t="str">
        <f>IF(AND(ISTEXT($A4085), ISERROR($A4085+0)), HYPERLINK($BF4085, "Images"), "")</f>
        <v>Images</v>
      </c>
      <c r="O4085" s="694" t="s">
        <v>5264</v>
      </c>
      <c r="P4085" s="475"/>
      <c r="Q4085" s="476"/>
      <c r="R4085" s="476"/>
      <c r="S4085" s="477" t="s">
        <v>294</v>
      </c>
      <c r="T4085" s="102">
        <f t="shared" si="3023"/>
        <v>0</v>
      </c>
      <c r="U4085" s="78" t="str">
        <f>IF(NOT(ISNUMBER(G4085)), "", VLOOKUP(A4085,'Discount Lookup'!D:E,2,FALSE)*G4085)</f>
        <v/>
      </c>
      <c r="V4085" s="78" t="str">
        <f>IF(NOT(ISNUMBER(G4085)), "", VLOOKUP(A4085,'Discount Lookup'!G:H,2,FALSE)*G4085)</f>
        <v/>
      </c>
      <c r="W4085" s="102">
        <f t="shared" si="3024"/>
        <v>0</v>
      </c>
      <c r="X4085" s="102" t="str">
        <f t="shared" si="3025"/>
        <v>Lemon-Yellow foliage</v>
      </c>
      <c r="Y4085" s="120" t="b">
        <f t="shared" si="3026"/>
        <v>0</v>
      </c>
      <c r="Z4085" s="117">
        <f t="shared" si="3027"/>
        <v>0</v>
      </c>
      <c r="AA4085" s="118"/>
      <c r="AB4085" s="118" t="str">
        <f t="shared" si="3028"/>
        <v/>
      </c>
      <c r="AC4085" s="712" t="str">
        <f>IF(AE4085="T2G","no charge",IF(AND(OR(PlanterYesMe="No",PlanterYesMe="N",PlanterYesMe="me"),H4085=""),"",IF(H4085="credit","NO install",IF(AND(K4085="",AE4085="me"),"EACH row",IF(AND(K4085="images",AE4085="me"),"EACH row",IF(D4085="","",IF(H4085="credit","",IF(AE4085="free","re-planting",IF(AE4085="me","   not ELP, by",IF(AND(OR(PlanterYesMe="Yes",PlanterYesMe="Y"),G4085&gt;0),(VLOOKUP(A4085,'Discount Lookup'!J:K,2)*G4085*(1-PlanterDiscount)*(1+PlanterDifficultyPercentage)),IF(AE4085="ELP",(VLOOKUP(A4085,'Discount Lookup'!J:K,2)*G4085*(1-PlanterDiscount)*(1+PlanterDifficultyPercentage)),IF(AE4085="free","re-planting",IF(G4085=0,"",IF(PlanterYesMe="",IF(AE4085="me","   not ELP, by",IF(AE4085="",IF(G4085&gt;0,(VLOOKUP(A4085,'Discount Lookup'!J:K,2)*G4085*(1-PlanterDiscount)*(1+PlanterDifficultyPercentage)),""),"")),"   not ELP, by"))))))))))))))</f>
        <v/>
      </c>
      <c r="AD4085" s="712"/>
      <c r="AE4085" s="513" t="str">
        <f t="shared" si="3029"/>
        <v/>
      </c>
      <c r="AF4085" s="713" t="str">
        <f t="shared" si="3030"/>
        <v/>
      </c>
      <c r="AG4085" s="713"/>
      <c r="AH4085" s="713"/>
      <c r="AI4085" s="112">
        <f>IF(H4085="credit",0,IF(AE4085="free",0,IF(AE4085="me",0,IF(G4085&gt;0,(VLOOKUP(A4085,'Discount Lookup'!J:K,2)*G4085),0))))</f>
        <v>0</v>
      </c>
      <c r="AJ4085" s="107" t="str">
        <f t="shared" ca="1" si="3031"/>
        <v/>
      </c>
      <c r="AK4085" s="714" t="str">
        <f t="shared" si="3032"/>
        <v/>
      </c>
      <c r="AL4085" s="714"/>
      <c r="AM4085" s="114" t="str">
        <f t="shared" si="3033"/>
        <v/>
      </c>
      <c r="AN4085" s="115"/>
      <c r="AO4085" s="116"/>
      <c r="AP4085" s="116"/>
      <c r="AQ4085" s="116"/>
      <c r="AR4085" s="116"/>
      <c r="AS4085" s="116"/>
      <c r="AT4085" s="116"/>
      <c r="AU4085" s="116"/>
      <c r="AV4085" s="78"/>
      <c r="AW4085" s="102"/>
      <c r="AX4085" s="78"/>
      <c r="AY4085" s="78"/>
      <c r="AZ4085" s="78"/>
      <c r="BA4085" s="78"/>
      <c r="BB4085" s="78"/>
      <c r="BC4085" s="78"/>
      <c r="BD4085" s="78"/>
      <c r="BE4085" s="465"/>
      <c r="BF4085" s="165" t="str">
        <f t="shared" si="3034"/>
        <v>https://www.google.com/search?tbm=isch&amp;q=Thuja%20occidentalis%20%27RutThu3%27%20PP%2335206%20Lemon%20Burst%C2%AE%20Arborvitae</v>
      </c>
      <c r="BG4085" s="165" t="str">
        <f t="shared" si="3035"/>
        <v>T</v>
      </c>
      <c r="BH4085" s="65"/>
      <c r="BI4085" s="65"/>
      <c r="BJ4085" s="65"/>
      <c r="BK4085" s="65"/>
      <c r="BL4085" s="99"/>
      <c r="BM4085" s="99"/>
      <c r="BN4085" s="99"/>
    </row>
    <row r="4086" spans="1:66" s="51" customFormat="1" ht="15.75" x14ac:dyDescent="0.25">
      <c r="A4086" s="478">
        <v>3</v>
      </c>
      <c r="B4086" s="479" t="s">
        <v>291</v>
      </c>
      <c r="C4086" s="480" t="s">
        <v>4365</v>
      </c>
      <c r="D4086" s="481" t="s">
        <v>299</v>
      </c>
      <c r="E4086" s="482">
        <v>40.950000000000003</v>
      </c>
      <c r="F4086" s="483" t="s">
        <v>292</v>
      </c>
      <c r="G4086" s="484">
        <v>0</v>
      </c>
      <c r="H4086" s="688" t="str">
        <f>IF(G4086=0,"",IF(F4086="Buy",IF(G4086=1,"plant","plants"),IF(F4086&gt;0.01,"warranty","Error")))</f>
        <v/>
      </c>
      <c r="I4086" s="485">
        <f>IF(H4086="free",0,IF(H4086="credit",((E4086*(F4086))*G4086*-1),IF(F4086="Buy",(E4086*G4086),((E4086*(1-F4086))*G4086))))</f>
        <v>0</v>
      </c>
      <c r="J4086" s="485">
        <f>IF(H4086="warranty",0,(I4086*(_xlfn.SINGLE(SalesTaxPercentage))))</f>
        <v>0</v>
      </c>
      <c r="K4086" s="715">
        <f t="shared" ref="K4086" si="3053">I4086+J4086</f>
        <v>0</v>
      </c>
      <c r="L4086" s="715"/>
      <c r="M4086" s="689" t="str">
        <f ca="1">IF(AND(G4086&gt;0,E4086=0),"WARNING - no PRICE inserted",IF(H4086="free","FREE ~ no charge this plant",IF(H4086="credit",CONCATENATE("-$",ROUND(K4086*(1-_xlfn.SINGLE(T2GDiscount))*-1,2)," CREDIT after discount"),IF(_xlfn.SINGLE(T2GDiscount)=0,"",IF(G4086=0,"",IF(F4086="Buy",CONCATENATE("$",ROUND(K4086*(1-_xlfn.SINGLE(T2GDiscount)),2)," with ",(_xlfn.SINGLE(T2GDiscount)*100),"% discount"),CONCATENATE("$",ROUND(K4086*(1-_xlfn.SINGLE(T2GDiscount)),2)," with ",((_xlfn.SINGLE(T2GDiscount)*100+F4086*100)-(_xlfn.SINGLE(T2GDiscount)*100*F4086)),IF(F4086&gt;0,"% discounts",IF(_xlfn.SINGLE(NoWarrantyDiscount)&gt;0,"% discounts","% discount")))))))))</f>
        <v/>
      </c>
      <c r="N4086" s="690"/>
      <c r="O4086" s="486"/>
      <c r="P4086" s="486"/>
      <c r="Q4086" s="486"/>
      <c r="R4086" s="486"/>
      <c r="S4086" s="486"/>
      <c r="T4086" s="102">
        <f t="shared" si="3023"/>
        <v>0</v>
      </c>
      <c r="U4086" s="78">
        <f>IF(NOT(ISNUMBER(G4086)), "", VLOOKUP(A4086,'Discount Lookup'!D:E,2,FALSE)*G4086)</f>
        <v>0</v>
      </c>
      <c r="V4086" s="78">
        <f>IF(NOT(ISNUMBER(G4086)), "", VLOOKUP(A4086,'Discount Lookup'!G:H,2,FALSE)*G4086)</f>
        <v>0</v>
      </c>
      <c r="W4086" s="102">
        <f t="shared" si="3024"/>
        <v>0</v>
      </c>
      <c r="X4086" s="102">
        <f t="shared" si="3025"/>
        <v>0</v>
      </c>
      <c r="Y4086" s="120" t="b">
        <f t="shared" si="3026"/>
        <v>0</v>
      </c>
      <c r="Z4086" s="117">
        <f t="shared" si="3027"/>
        <v>0</v>
      </c>
      <c r="AA4086" s="118"/>
      <c r="AB4086" s="118" t="str">
        <f t="shared" si="3028"/>
        <v/>
      </c>
      <c r="AC4086" s="712" t="str">
        <f>IF(AE4086="T2G","no charge",IF(AND(OR(PlanterYesMe="No",PlanterYesMe="N",PlanterYesMe="me"),H4086=""),"",IF(H4086="credit","NO install",IF(AND(K4086="",AE4086="me"),"EACH row",IF(AND(K4086="images",AE4086="me"),"EACH row",IF(D4086="","",IF(H4086="credit","",IF(AE4086="free","re-planting",IF(AE4086="me","   not ELP, by",IF(AND(OR(PlanterYesMe="Yes",PlanterYesMe="Y"),G4086&gt;0),(VLOOKUP(A4086,'Discount Lookup'!J:K,2)*G4086*(1-PlanterDiscount)*(1+PlanterDifficultyPercentage)),IF(AE4086="ELP",(VLOOKUP(A4086,'Discount Lookup'!J:K,2)*G4086*(1-PlanterDiscount)*(1+PlanterDifficultyPercentage)),IF(AE4086="free","re-planting",IF(G4086=0,"",IF(PlanterYesMe="",IF(AE4086="me","   not ELP, by",IF(AE4086="",IF(G4086&gt;0,(VLOOKUP(A4086,'Discount Lookup'!J:K,2)*G4086*(1-PlanterDiscount)*(1+PlanterDifficultyPercentage)),""),"")),"   not ELP, by"))))))))))))))</f>
        <v/>
      </c>
      <c r="AD4086" s="712"/>
      <c r="AE4086" s="513" t="str">
        <f t="shared" si="3029"/>
        <v/>
      </c>
      <c r="AF4086" s="713" t="str">
        <f t="shared" si="3030"/>
        <v/>
      </c>
      <c r="AG4086" s="713"/>
      <c r="AH4086" s="713"/>
      <c r="AI4086" s="112">
        <f>IF(H4086="credit",0,IF(AE4086="free",0,IF(AE4086="me",0,IF(G4086&gt;0,(VLOOKUP(A4086,'Discount Lookup'!J:K,2)*G4086),0))))</f>
        <v>0</v>
      </c>
      <c r="AJ4086" s="107" t="str">
        <f t="shared" ca="1" si="3031"/>
        <v/>
      </c>
      <c r="AK4086" s="714" t="str">
        <f t="shared" si="3032"/>
        <v/>
      </c>
      <c r="AL4086" s="714"/>
      <c r="AM4086" s="114" t="str">
        <f t="shared" si="3033"/>
        <v/>
      </c>
      <c r="AN4086" s="115"/>
      <c r="AO4086" s="116"/>
      <c r="AP4086" s="116"/>
      <c r="AQ4086" s="116"/>
      <c r="AR4086" s="116"/>
      <c r="AS4086" s="116"/>
      <c r="AT4086" s="116"/>
      <c r="AU4086" s="116"/>
      <c r="AV4086" s="78"/>
      <c r="AW4086" s="102"/>
      <c r="AX4086" s="78"/>
      <c r="AY4086" s="78"/>
      <c r="AZ4086" s="78"/>
      <c r="BA4086" s="78"/>
      <c r="BB4086" s="78"/>
      <c r="BC4086" s="78"/>
      <c r="BD4086" s="78"/>
      <c r="BE4086" s="465"/>
      <c r="BF4086" s="165" t="str">
        <f t="shared" si="3034"/>
        <v>https://www.google.com/search?tbm=isch&amp;q=3%20G4</v>
      </c>
      <c r="BG4086" s="165" t="str">
        <f t="shared" si="3035"/>
        <v>T</v>
      </c>
      <c r="BH4086" s="65"/>
      <c r="BI4086" s="65"/>
      <c r="BJ4086" s="65"/>
      <c r="BK4086" s="65"/>
      <c r="BL4086" s="99"/>
      <c r="BM4086" s="99"/>
      <c r="BN4086" s="99"/>
    </row>
    <row r="4087" spans="1:66" s="51" customFormat="1" ht="17.25" thickBot="1" x14ac:dyDescent="0.3">
      <c r="A4087" s="508" t="s">
        <v>4828</v>
      </c>
      <c r="B4087" s="487"/>
      <c r="C4087" s="707"/>
      <c r="D4087" s="487"/>
      <c r="E4087" s="487"/>
      <c r="F4087" s="488"/>
      <c r="G4087" s="489"/>
      <c r="H4087" s="487"/>
      <c r="I4087" s="490"/>
      <c r="J4087" s="490"/>
      <c r="K4087" s="491"/>
      <c r="L4087" s="547"/>
      <c r="M4087" s="528"/>
      <c r="N4087" s="492"/>
      <c r="O4087" s="493"/>
      <c r="P4087" s="494"/>
      <c r="Q4087" s="492"/>
      <c r="R4087" s="492"/>
      <c r="S4087" s="699" t="s">
        <v>5268</v>
      </c>
      <c r="T4087" s="102">
        <f t="shared" si="3023"/>
        <v>0</v>
      </c>
      <c r="U4087" s="78" t="str">
        <f>IF(NOT(ISNUMBER(G4087)), "", VLOOKUP(A4087,'Discount Lookup'!D:E,2,FALSE)*G4087)</f>
        <v/>
      </c>
      <c r="V4087" s="78" t="str">
        <f>IF(NOT(ISNUMBER(G4087)), "", VLOOKUP(A4087,'Discount Lookup'!G:H,2,FALSE)*G4087)</f>
        <v/>
      </c>
      <c r="W4087" s="102">
        <f t="shared" si="3024"/>
        <v>0</v>
      </c>
      <c r="X4087" s="102">
        <f t="shared" si="3025"/>
        <v>0</v>
      </c>
      <c r="Y4087" s="120" t="b">
        <f t="shared" si="3026"/>
        <v>0</v>
      </c>
      <c r="Z4087" s="117">
        <f t="shared" si="3027"/>
        <v>0</v>
      </c>
      <c r="AA4087" s="118"/>
      <c r="AB4087" s="118" t="str">
        <f t="shared" si="3028"/>
        <v/>
      </c>
      <c r="AC4087" s="712" t="str">
        <f>IF(AE4087="T2G","no charge",IF(AND(OR(PlanterYesMe="No",PlanterYesMe="N",PlanterYesMe="me"),H4087=""),"",IF(H4087="credit","NO install",IF(AND(K4087="",AE4087="me"),"EACH row",IF(AND(K4087="images",AE4087="me"),"EACH row",IF(D4087="","",IF(H4087="credit","",IF(AE4087="free","re-planting",IF(AE4087="me","   not ELP, by",IF(AND(OR(PlanterYesMe="Yes",PlanterYesMe="Y"),G4087&gt;0),(VLOOKUP(A4087,'Discount Lookup'!J:K,2)*G4087*(1-PlanterDiscount)*(1+PlanterDifficultyPercentage)),IF(AE4087="ELP",(VLOOKUP(A4087,'Discount Lookup'!J:K,2)*G4087*(1-PlanterDiscount)*(1+PlanterDifficultyPercentage)),IF(AE4087="free","re-planting",IF(G4087=0,"",IF(PlanterYesMe="",IF(AE4087="me","   not ELP, by",IF(AE4087="",IF(G4087&gt;0,(VLOOKUP(A4087,'Discount Lookup'!J:K,2)*G4087*(1-PlanterDiscount)*(1+PlanterDifficultyPercentage)),""),"")),"   not ELP, by"))))))))))))))</f>
        <v/>
      </c>
      <c r="AD4087" s="712"/>
      <c r="AE4087" s="513" t="str">
        <f t="shared" si="3029"/>
        <v/>
      </c>
      <c r="AF4087" s="713" t="str">
        <f t="shared" si="3030"/>
        <v/>
      </c>
      <c r="AG4087" s="713"/>
      <c r="AH4087" s="713"/>
      <c r="AI4087" s="112">
        <f>IF(H4087="credit",0,IF(AE4087="free",0,IF(AE4087="me",0,IF(G4087&gt;0,(VLOOKUP(A4087,'Discount Lookup'!J:K,2)*G4087),0))))</f>
        <v>0</v>
      </c>
      <c r="AJ4087" s="107" t="str">
        <f t="shared" ca="1" si="3031"/>
        <v/>
      </c>
      <c r="AK4087" s="714" t="str">
        <f t="shared" si="3032"/>
        <v/>
      </c>
      <c r="AL4087" s="714"/>
      <c r="AM4087" s="114" t="str">
        <f t="shared" si="3033"/>
        <v/>
      </c>
      <c r="AN4087" s="115"/>
      <c r="AO4087" s="116"/>
      <c r="AP4087" s="116"/>
      <c r="AQ4087" s="116"/>
      <c r="AR4087" s="116"/>
      <c r="AS4087" s="116"/>
      <c r="AT4087" s="116"/>
      <c r="AU4087" s="116"/>
      <c r="AV4087" s="78"/>
      <c r="AW4087" s="102"/>
      <c r="AX4087" s="78"/>
      <c r="AY4087" s="78"/>
      <c r="AZ4087" s="78"/>
      <c r="BA4087" s="78"/>
      <c r="BB4087" s="78"/>
      <c r="BC4087" s="78"/>
      <c r="BD4087" s="78"/>
      <c r="BE4087" s="465"/>
      <c r="BF4087" s="165" t="str">
        <f t="shared" si="3034"/>
        <v>https://www.google.com/search?tbm=isch&amp;q=Lemon%20Burst%20holds%20it%27s%20bold%20Golden%20foliage%20year-round.%20Green%20interior.%20Resists%20common%20needle%20blight%20</v>
      </c>
      <c r="BG4087" s="165" t="str">
        <f t="shared" si="3035"/>
        <v>L</v>
      </c>
      <c r="BH4087" s="65"/>
      <c r="BI4087" s="65"/>
      <c r="BJ4087" s="65"/>
      <c r="BK4087" s="65"/>
      <c r="BL4087" s="99"/>
      <c r="BM4087" s="99"/>
      <c r="BN4087" s="99"/>
    </row>
    <row r="4088" spans="1:66" s="51" customFormat="1" ht="18" x14ac:dyDescent="0.25">
      <c r="A4088" s="507" t="s">
        <v>770</v>
      </c>
      <c r="B4088" s="470"/>
      <c r="C4088" s="706"/>
      <c r="D4088" s="471" t="s">
        <v>5842</v>
      </c>
      <c r="E4088" s="472"/>
      <c r="F4088" s="472"/>
      <c r="G4088" s="472"/>
      <c r="H4088" s="622" t="s">
        <v>754</v>
      </c>
      <c r="I4088" s="473" t="s">
        <v>432</v>
      </c>
      <c r="J4088" s="472"/>
      <c r="K4088" s="472"/>
      <c r="L4088" s="561"/>
      <c r="M4088" s="698" t="s">
        <v>5240</v>
      </c>
      <c r="N4088" s="692" t="str">
        <f>IF(AND(ISTEXT($A4088), ISERROR($A4088+0)), HYPERLINK($BF4088, "Images"), "")</f>
        <v>Images</v>
      </c>
      <c r="O4088" s="694" t="s">
        <v>5264</v>
      </c>
      <c r="P4088" s="475"/>
      <c r="Q4088" s="476"/>
      <c r="R4088" s="476"/>
      <c r="S4088" s="477"/>
      <c r="T4088" s="102">
        <f t="shared" si="3023"/>
        <v>0</v>
      </c>
      <c r="U4088" s="78" t="str">
        <f>IF(NOT(ISNUMBER(G4088)), "", VLOOKUP(A4088,'Discount Lookup'!D:E,2,FALSE)*G4088)</f>
        <v/>
      </c>
      <c r="V4088" s="78" t="str">
        <f>IF(NOT(ISNUMBER(G4088)), "", VLOOKUP(A4088,'Discount Lookup'!G:H,2,FALSE)*G4088)</f>
        <v/>
      </c>
      <c r="W4088" s="102">
        <f t="shared" si="3024"/>
        <v>0</v>
      </c>
      <c r="X4088" s="102" t="str">
        <f t="shared" si="3025"/>
        <v>Green foliage</v>
      </c>
      <c r="Y4088" s="120" t="b">
        <f t="shared" si="3026"/>
        <v>0</v>
      </c>
      <c r="Z4088" s="117">
        <f t="shared" si="3027"/>
        <v>0</v>
      </c>
      <c r="AA4088" s="118"/>
      <c r="AB4088" s="118" t="str">
        <f t="shared" si="3028"/>
        <v/>
      </c>
      <c r="AC4088" s="712" t="str">
        <f>IF(AE4088="T2G","no charge",IF(AND(OR(PlanterYesMe="No",PlanterYesMe="N",PlanterYesMe="me"),H4088=""),"",IF(H4088="credit","NO install",IF(AND(K4088="",AE4088="me"),"EACH row",IF(AND(K4088="images",AE4088="me"),"EACH row",IF(D4088="","",IF(H4088="credit","",IF(AE4088="free","re-planting",IF(AE4088="me","   not ELP, by",IF(AND(OR(PlanterYesMe="Yes",PlanterYesMe="Y"),G4088&gt;0),(VLOOKUP(A4088,'Discount Lookup'!J:K,2)*G4088*(1-PlanterDiscount)*(1+PlanterDifficultyPercentage)),IF(AE4088="ELP",(VLOOKUP(A4088,'Discount Lookup'!J:K,2)*G4088*(1-PlanterDiscount)*(1+PlanterDifficultyPercentage)),IF(AE4088="free","re-planting",IF(G4088=0,"",IF(PlanterYesMe="",IF(AE4088="me","   not ELP, by",IF(AE4088="",IF(G4088&gt;0,(VLOOKUP(A4088,'Discount Lookup'!J:K,2)*G4088*(1-PlanterDiscount)*(1+PlanterDifficultyPercentage)),""),"")),"   not ELP, by"))))))))))))))</f>
        <v/>
      </c>
      <c r="AD4088" s="712"/>
      <c r="AE4088" s="513" t="str">
        <f t="shared" si="3029"/>
        <v/>
      </c>
      <c r="AF4088" s="713" t="str">
        <f t="shared" si="3030"/>
        <v/>
      </c>
      <c r="AG4088" s="713"/>
      <c r="AH4088" s="713"/>
      <c r="AI4088" s="112">
        <f>IF(H4088="credit",0,IF(AE4088="free",0,IF(AE4088="me",0,IF(G4088&gt;0,(VLOOKUP(A4088,'Discount Lookup'!J:K,2)*G4088),0))))</f>
        <v>0</v>
      </c>
      <c r="AJ4088" s="107" t="str">
        <f t="shared" ca="1" si="3031"/>
        <v/>
      </c>
      <c r="AK4088" s="714" t="str">
        <f t="shared" si="3032"/>
        <v/>
      </c>
      <c r="AL4088" s="714"/>
      <c r="AM4088" s="114" t="str">
        <f t="shared" si="3033"/>
        <v/>
      </c>
      <c r="AN4088" s="115"/>
      <c r="AO4088" s="116"/>
      <c r="AP4088" s="116"/>
      <c r="AQ4088" s="116"/>
      <c r="AR4088" s="116"/>
      <c r="AS4088" s="116"/>
      <c r="AT4088" s="116"/>
      <c r="AU4088" s="116"/>
      <c r="AV4088" s="78"/>
      <c r="AW4088" s="102"/>
      <c r="AX4088" s="78"/>
      <c r="AY4088" s="78"/>
      <c r="AZ4088" s="78"/>
      <c r="BA4088" s="78"/>
      <c r="BB4088" s="78"/>
      <c r="BC4088" s="78"/>
      <c r="BD4088" s="78"/>
      <c r="BE4088" s="465"/>
      <c r="BF4088" s="165" t="str">
        <f t="shared" si="3034"/>
        <v>https://www.google.com/search?tbm=isch&amp;q=Thuja%20occidentalis%20%27RutThu5%27%20PP%2335180%20Tall%20Guy%C2%AE%20Arborvitae</v>
      </c>
      <c r="BG4088" s="165" t="str">
        <f t="shared" si="3035"/>
        <v>T</v>
      </c>
      <c r="BH4088" s="65"/>
      <c r="BI4088" s="65"/>
      <c r="BJ4088" s="65"/>
      <c r="BK4088" s="65"/>
      <c r="BL4088" s="99"/>
      <c r="BM4088" s="99"/>
      <c r="BN4088" s="99"/>
    </row>
    <row r="4089" spans="1:66" s="51" customFormat="1" ht="15.75" x14ac:dyDescent="0.25">
      <c r="A4089" s="478">
        <v>15</v>
      </c>
      <c r="B4089" s="479" t="s">
        <v>291</v>
      </c>
      <c r="C4089" s="480" t="s">
        <v>771</v>
      </c>
      <c r="D4089" s="481" t="s">
        <v>293</v>
      </c>
      <c r="E4089" s="482">
        <v>93.95</v>
      </c>
      <c r="F4089" s="483" t="s">
        <v>292</v>
      </c>
      <c r="G4089" s="484">
        <v>0</v>
      </c>
      <c r="H4089" s="688" t="str">
        <f>IF(G4089=0,"",IF(F4089="Buy",IF(G4089=1,"plant","plants"),IF(F4089&gt;0.01,"warranty","Error")))</f>
        <v/>
      </c>
      <c r="I4089" s="485">
        <f>IF(H4089="free",0,IF(H4089="credit",((E4089*(F4089))*G4089*-1),IF(F4089="Buy",(E4089*G4089),((E4089*(1-F4089))*G4089))))</f>
        <v>0</v>
      </c>
      <c r="J4089" s="485">
        <f>IF(H4089="warranty",0,(I4089*(_xlfn.SINGLE(SalesTaxPercentage))))</f>
        <v>0</v>
      </c>
      <c r="K4089" s="715">
        <f t="shared" ref="K4089" si="3054">I4089+J4089</f>
        <v>0</v>
      </c>
      <c r="L4089" s="715"/>
      <c r="M4089" s="689" t="str">
        <f ca="1">IF(AND(G4089&gt;0,E4089=0),"WARNING - no PRICE inserted",IF(H4089="free","FREE ~ no charge this plant",IF(H4089="credit",CONCATENATE("-$",ROUND(K4089*(1-_xlfn.SINGLE(T2GDiscount))*-1,2)," CREDIT after discount"),IF(_xlfn.SINGLE(T2GDiscount)=0,"",IF(G4089=0,"",IF(F4089="Buy",CONCATENATE("$",ROUND(K4089*(1-_xlfn.SINGLE(T2GDiscount)),2)," with ",(_xlfn.SINGLE(T2GDiscount)*100),"% discount"),CONCATENATE("$",ROUND(K4089*(1-_xlfn.SINGLE(T2GDiscount)),2)," with ",((_xlfn.SINGLE(T2GDiscount)*100+F4089*100)-(_xlfn.SINGLE(T2GDiscount)*100*F4089)),IF(F4089&gt;0,"% discounts",IF(_xlfn.SINGLE(NoWarrantyDiscount)&gt;0,"% discounts","% discount")))))))))</f>
        <v/>
      </c>
      <c r="N4089" s="690"/>
      <c r="O4089" s="486"/>
      <c r="P4089" s="486"/>
      <c r="Q4089" s="486"/>
      <c r="R4089" s="486"/>
      <c r="S4089" s="486"/>
      <c r="T4089" s="102">
        <f t="shared" si="3023"/>
        <v>0</v>
      </c>
      <c r="U4089" s="78">
        <f>IF(NOT(ISNUMBER(G4089)), "", VLOOKUP(A4089,'Discount Lookup'!D:E,2,FALSE)*G4089)</f>
        <v>0</v>
      </c>
      <c r="V4089" s="78">
        <f>IF(NOT(ISNUMBER(G4089)), "", VLOOKUP(A4089,'Discount Lookup'!G:H,2,FALSE)*G4089)</f>
        <v>0</v>
      </c>
      <c r="W4089" s="102">
        <f t="shared" si="3024"/>
        <v>0</v>
      </c>
      <c r="X4089" s="102">
        <f t="shared" si="3025"/>
        <v>0</v>
      </c>
      <c r="Y4089" s="120" t="b">
        <f t="shared" si="3026"/>
        <v>0</v>
      </c>
      <c r="Z4089" s="117">
        <f t="shared" si="3027"/>
        <v>0</v>
      </c>
      <c r="AA4089" s="118"/>
      <c r="AB4089" s="118" t="str">
        <f t="shared" si="3028"/>
        <v/>
      </c>
      <c r="AC4089" s="712" t="str">
        <f>IF(AE4089="T2G","no charge",IF(AND(OR(PlanterYesMe="No",PlanterYesMe="N",PlanterYesMe="me"),H4089=""),"",IF(H4089="credit","NO install",IF(AND(K4089="",AE4089="me"),"EACH row",IF(AND(K4089="images",AE4089="me"),"EACH row",IF(D4089="","",IF(H4089="credit","",IF(AE4089="free","re-planting",IF(AE4089="me","   not ELP, by",IF(AND(OR(PlanterYesMe="Yes",PlanterYesMe="Y"),G4089&gt;0),(VLOOKUP(A4089,'Discount Lookup'!J:K,2)*G4089*(1-PlanterDiscount)*(1+PlanterDifficultyPercentage)),IF(AE4089="ELP",(VLOOKUP(A4089,'Discount Lookup'!J:K,2)*G4089*(1-PlanterDiscount)*(1+PlanterDifficultyPercentage)),IF(AE4089="free","re-planting",IF(G4089=0,"",IF(PlanterYesMe="",IF(AE4089="me","   not ELP, by",IF(AE4089="",IF(G4089&gt;0,(VLOOKUP(A4089,'Discount Lookup'!J:K,2)*G4089*(1-PlanterDiscount)*(1+PlanterDifficultyPercentage)),""),"")),"   not ELP, by"))))))))))))))</f>
        <v/>
      </c>
      <c r="AD4089" s="712"/>
      <c r="AE4089" s="513" t="str">
        <f t="shared" si="3029"/>
        <v/>
      </c>
      <c r="AF4089" s="713" t="str">
        <f t="shared" si="3030"/>
        <v/>
      </c>
      <c r="AG4089" s="713"/>
      <c r="AH4089" s="713"/>
      <c r="AI4089" s="112">
        <f>IF(H4089="credit",0,IF(AE4089="free",0,IF(AE4089="me",0,IF(G4089&gt;0,(VLOOKUP(A4089,'Discount Lookup'!J:K,2)*G4089),0))))</f>
        <v>0</v>
      </c>
      <c r="AJ4089" s="107" t="str">
        <f t="shared" ca="1" si="3031"/>
        <v/>
      </c>
      <c r="AK4089" s="714" t="str">
        <f t="shared" si="3032"/>
        <v/>
      </c>
      <c r="AL4089" s="714"/>
      <c r="AM4089" s="114" t="str">
        <f t="shared" si="3033"/>
        <v/>
      </c>
      <c r="AN4089" s="115"/>
      <c r="AO4089" s="116"/>
      <c r="AP4089" s="116"/>
      <c r="AQ4089" s="116"/>
      <c r="AR4089" s="116"/>
      <c r="AS4089" s="116"/>
      <c r="AT4089" s="116"/>
      <c r="AU4089" s="116"/>
      <c r="AV4089" s="78"/>
      <c r="AW4089" s="102"/>
      <c r="AX4089" s="78"/>
      <c r="AY4089" s="78"/>
      <c r="AZ4089" s="78"/>
      <c r="BA4089" s="78"/>
      <c r="BB4089" s="78"/>
      <c r="BC4089" s="78"/>
      <c r="BD4089" s="78"/>
      <c r="BE4089" s="465"/>
      <c r="BF4089" s="165" t="str">
        <f t="shared" si="3034"/>
        <v>https://www.google.com/search?tbm=isch&amp;q=15%20G6</v>
      </c>
      <c r="BG4089" s="165" t="str">
        <f t="shared" si="3035"/>
        <v>T</v>
      </c>
      <c r="BH4089" s="65"/>
      <c r="BI4089" s="65"/>
      <c r="BJ4089" s="65"/>
      <c r="BK4089" s="65"/>
      <c r="BL4089" s="99"/>
      <c r="BM4089" s="99"/>
      <c r="BN4089" s="99"/>
    </row>
    <row r="4090" spans="1:66" s="51" customFormat="1" ht="17.25" thickBot="1" x14ac:dyDescent="0.3">
      <c r="A4090" s="508" t="s">
        <v>4829</v>
      </c>
      <c r="B4090" s="487"/>
      <c r="C4090" s="707"/>
      <c r="D4090" s="487"/>
      <c r="E4090" s="487"/>
      <c r="F4090" s="488"/>
      <c r="G4090" s="489"/>
      <c r="H4090" s="487"/>
      <c r="I4090" s="490"/>
      <c r="J4090" s="490"/>
      <c r="K4090" s="491"/>
      <c r="L4090" s="547"/>
      <c r="M4090" s="528"/>
      <c r="N4090" s="492"/>
      <c r="O4090" s="493"/>
      <c r="P4090" s="494"/>
      <c r="Q4090" s="492"/>
      <c r="R4090" s="492"/>
      <c r="S4090" s="699" t="s">
        <v>5268</v>
      </c>
      <c r="T4090" s="102">
        <f t="shared" si="3023"/>
        <v>0</v>
      </c>
      <c r="U4090" s="78" t="str">
        <f>IF(NOT(ISNUMBER(G4090)), "", VLOOKUP(A4090,'Discount Lookup'!D:E,2,FALSE)*G4090)</f>
        <v/>
      </c>
      <c r="V4090" s="78" t="str">
        <f>IF(NOT(ISNUMBER(G4090)), "", VLOOKUP(A4090,'Discount Lookup'!G:H,2,FALSE)*G4090)</f>
        <v/>
      </c>
      <c r="W4090" s="102">
        <f t="shared" si="3024"/>
        <v>0</v>
      </c>
      <c r="X4090" s="102">
        <f t="shared" si="3025"/>
        <v>0</v>
      </c>
      <c r="Y4090" s="120" t="b">
        <f t="shared" si="3026"/>
        <v>0</v>
      </c>
      <c r="Z4090" s="117">
        <f t="shared" si="3027"/>
        <v>0</v>
      </c>
      <c r="AA4090" s="118"/>
      <c r="AB4090" s="118" t="str">
        <f t="shared" si="3028"/>
        <v/>
      </c>
      <c r="AC4090" s="712" t="str">
        <f>IF(AE4090="T2G","no charge",IF(AND(OR(PlanterYesMe="No",PlanterYesMe="N",PlanterYesMe="me"),H4090=""),"",IF(H4090="credit","NO install",IF(AND(K4090="",AE4090="me"),"EACH row",IF(AND(K4090="images",AE4090="me"),"EACH row",IF(D4090="","",IF(H4090="credit","",IF(AE4090="free","re-planting",IF(AE4090="me","   not ELP, by",IF(AND(OR(PlanterYesMe="Yes",PlanterYesMe="Y"),G4090&gt;0),(VLOOKUP(A4090,'Discount Lookup'!J:K,2)*G4090*(1-PlanterDiscount)*(1+PlanterDifficultyPercentage)),IF(AE4090="ELP",(VLOOKUP(A4090,'Discount Lookup'!J:K,2)*G4090*(1-PlanterDiscount)*(1+PlanterDifficultyPercentage)),IF(AE4090="free","re-planting",IF(G4090=0,"",IF(PlanterYesMe="",IF(AE4090="me","   not ELP, by",IF(AE4090="",IF(G4090&gt;0,(VLOOKUP(A4090,'Discount Lookup'!J:K,2)*G4090*(1-PlanterDiscount)*(1+PlanterDifficultyPercentage)),""),"")),"   not ELP, by"))))))))))))))</f>
        <v/>
      </c>
      <c r="AD4090" s="712"/>
      <c r="AE4090" s="513" t="str">
        <f t="shared" si="3029"/>
        <v/>
      </c>
      <c r="AF4090" s="713" t="str">
        <f t="shared" si="3030"/>
        <v/>
      </c>
      <c r="AG4090" s="713"/>
      <c r="AH4090" s="713"/>
      <c r="AI4090" s="112">
        <f>IF(H4090="credit",0,IF(AE4090="free",0,IF(AE4090="me",0,IF(G4090&gt;0,(VLOOKUP(A4090,'Discount Lookup'!J:K,2)*G4090),0))))</f>
        <v>0</v>
      </c>
      <c r="AJ4090" s="107" t="str">
        <f t="shared" ca="1" si="3031"/>
        <v/>
      </c>
      <c r="AK4090" s="714" t="str">
        <f t="shared" si="3032"/>
        <v/>
      </c>
      <c r="AL4090" s="714"/>
      <c r="AM4090" s="114" t="str">
        <f t="shared" si="3033"/>
        <v/>
      </c>
      <c r="AN4090" s="115"/>
      <c r="AO4090" s="116"/>
      <c r="AP4090" s="116"/>
      <c r="AQ4090" s="116"/>
      <c r="AR4090" s="116"/>
      <c r="AS4090" s="116"/>
      <c r="AT4090" s="116"/>
      <c r="AU4090" s="116"/>
      <c r="AV4090" s="78"/>
      <c r="AW4090" s="102"/>
      <c r="AX4090" s="78"/>
      <c r="AY4090" s="78"/>
      <c r="AZ4090" s="78"/>
      <c r="BA4090" s="78"/>
      <c r="BB4090" s="78"/>
      <c r="BC4090" s="78"/>
      <c r="BD4090" s="78"/>
      <c r="BE4090" s="465"/>
      <c r="BF4090" s="165" t="str">
        <f t="shared" si="3034"/>
        <v>https://www.google.com/search?tbm=isch&amp;q=Tall%20Guy%20has%20fragrant%2C%20fan-like%20foliage%20offer%20year-round%20structure%20with%20minimal%20maintenance%20</v>
      </c>
      <c r="BG4090" s="165" t="str">
        <f t="shared" si="3035"/>
        <v>T</v>
      </c>
      <c r="BH4090" s="65"/>
      <c r="BI4090" s="65"/>
      <c r="BJ4090" s="65"/>
      <c r="BK4090" s="65"/>
      <c r="BL4090" s="99"/>
      <c r="BM4090" s="99"/>
      <c r="BN4090" s="99"/>
    </row>
    <row r="4091" spans="1:66" s="51" customFormat="1" ht="18" x14ac:dyDescent="0.25">
      <c r="A4091" s="507" t="s">
        <v>772</v>
      </c>
      <c r="B4091" s="470"/>
      <c r="C4091" s="706"/>
      <c r="D4091" s="471" t="s">
        <v>773</v>
      </c>
      <c r="E4091" s="472"/>
      <c r="F4091" s="472"/>
      <c r="G4091" s="472"/>
      <c r="H4091" s="622" t="s">
        <v>339</v>
      </c>
      <c r="I4091" s="473" t="s">
        <v>767</v>
      </c>
      <c r="J4091" s="472"/>
      <c r="K4091" s="472"/>
      <c r="L4091" s="561"/>
      <c r="M4091" s="698" t="s">
        <v>5240</v>
      </c>
      <c r="N4091" s="692" t="str">
        <f>IF(AND(ISTEXT($A4091), ISERROR($A4091+0)), HYPERLINK($BF4091, "Images"), "")</f>
        <v>Images</v>
      </c>
      <c r="O4091" s="694" t="s">
        <v>5286</v>
      </c>
      <c r="P4091" s="475"/>
      <c r="Q4091" s="476"/>
      <c r="R4091" s="476"/>
      <c r="S4091" s="477" t="s">
        <v>294</v>
      </c>
      <c r="T4091" s="102">
        <f t="shared" si="3023"/>
        <v>0</v>
      </c>
      <c r="U4091" s="78" t="str">
        <f>IF(NOT(ISNUMBER(G4091)), "", VLOOKUP(A4091,'Discount Lookup'!D:E,2,FALSE)*G4091)</f>
        <v/>
      </c>
      <c r="V4091" s="78" t="str">
        <f>IF(NOT(ISNUMBER(G4091)), "", VLOOKUP(A4091,'Discount Lookup'!G:H,2,FALSE)*G4091)</f>
        <v/>
      </c>
      <c r="W4091" s="102">
        <f t="shared" si="3024"/>
        <v>0</v>
      </c>
      <c r="X4091" s="102" t="str">
        <f t="shared" si="3025"/>
        <v>Emerald-Green foliage</v>
      </c>
      <c r="Y4091" s="120" t="b">
        <f t="shared" si="3026"/>
        <v>0</v>
      </c>
      <c r="Z4091" s="117">
        <f t="shared" si="3027"/>
        <v>0</v>
      </c>
      <c r="AA4091" s="118"/>
      <c r="AB4091" s="118" t="str">
        <f t="shared" si="3028"/>
        <v/>
      </c>
      <c r="AC4091" s="712" t="str">
        <f>IF(AE4091="T2G","no charge",IF(AND(OR(PlanterYesMe="No",PlanterYesMe="N",PlanterYesMe="me"),H4091=""),"",IF(H4091="credit","NO install",IF(AND(K4091="",AE4091="me"),"EACH row",IF(AND(K4091="images",AE4091="me"),"EACH row",IF(D4091="","",IF(H4091="credit","",IF(AE4091="free","re-planting",IF(AE4091="me","   not ELP, by",IF(AND(OR(PlanterYesMe="Yes",PlanterYesMe="Y"),G4091&gt;0),(VLOOKUP(A4091,'Discount Lookup'!J:K,2)*G4091*(1-PlanterDiscount)*(1+PlanterDifficultyPercentage)),IF(AE4091="ELP",(VLOOKUP(A4091,'Discount Lookup'!J:K,2)*G4091*(1-PlanterDiscount)*(1+PlanterDifficultyPercentage)),IF(AE4091="free","re-planting",IF(G4091=0,"",IF(PlanterYesMe="",IF(AE4091="me","   not ELP, by",IF(AE4091="",IF(G4091&gt;0,(VLOOKUP(A4091,'Discount Lookup'!J:K,2)*G4091*(1-PlanterDiscount)*(1+PlanterDifficultyPercentage)),""),"")),"   not ELP, by"))))))))))))))</f>
        <v/>
      </c>
      <c r="AD4091" s="712"/>
      <c r="AE4091" s="513" t="str">
        <f t="shared" si="3029"/>
        <v/>
      </c>
      <c r="AF4091" s="713" t="str">
        <f t="shared" si="3030"/>
        <v/>
      </c>
      <c r="AG4091" s="713"/>
      <c r="AH4091" s="713"/>
      <c r="AI4091" s="112">
        <f>IF(H4091="credit",0,IF(AE4091="free",0,IF(AE4091="me",0,IF(G4091&gt;0,(VLOOKUP(A4091,'Discount Lookup'!J:K,2)*G4091),0))))</f>
        <v>0</v>
      </c>
      <c r="AJ4091" s="107" t="str">
        <f t="shared" ca="1" si="3031"/>
        <v/>
      </c>
      <c r="AK4091" s="714" t="str">
        <f t="shared" si="3032"/>
        <v/>
      </c>
      <c r="AL4091" s="714"/>
      <c r="AM4091" s="114" t="str">
        <f t="shared" si="3033"/>
        <v/>
      </c>
      <c r="AN4091" s="115"/>
      <c r="AO4091" s="116"/>
      <c r="AP4091" s="116"/>
      <c r="AQ4091" s="116"/>
      <c r="AR4091" s="116"/>
      <c r="AS4091" s="116"/>
      <c r="AT4091" s="116"/>
      <c r="AU4091" s="116"/>
      <c r="AV4091" s="78"/>
      <c r="AW4091" s="102"/>
      <c r="AX4091" s="78"/>
      <c r="AY4091" s="78"/>
      <c r="AZ4091" s="78"/>
      <c r="BA4091" s="78"/>
      <c r="BB4091" s="78"/>
      <c r="BC4091" s="78"/>
      <c r="BD4091" s="78"/>
      <c r="BE4091" s="465"/>
      <c r="BF4091" s="165" t="str">
        <f t="shared" si="3034"/>
        <v>https://www.google.com/search?tbm=isch&amp;q=Thuja%20occidentalis%20%27Smaragd%27%20Emerald%20Arborvitae</v>
      </c>
      <c r="BG4091" s="165" t="str">
        <f t="shared" si="3035"/>
        <v>T</v>
      </c>
      <c r="BH4091" s="65"/>
      <c r="BI4091" s="65"/>
      <c r="BJ4091" s="65"/>
      <c r="BK4091" s="65"/>
      <c r="BL4091" s="99"/>
      <c r="BM4091" s="99"/>
      <c r="BN4091" s="99"/>
    </row>
    <row r="4092" spans="1:66" s="51" customFormat="1" ht="15.75" x14ac:dyDescent="0.25">
      <c r="A4092" s="478">
        <v>3</v>
      </c>
      <c r="B4092" s="479" t="s">
        <v>291</v>
      </c>
      <c r="C4092" s="480" t="s">
        <v>346</v>
      </c>
      <c r="D4092" s="481" t="s">
        <v>310</v>
      </c>
      <c r="E4092" s="482">
        <v>25.95</v>
      </c>
      <c r="F4092" s="483" t="s">
        <v>292</v>
      </c>
      <c r="G4092" s="484">
        <v>0</v>
      </c>
      <c r="H4092" s="688" t="str">
        <f t="shared" ref="H4092:H4115" si="3055">IF(G4092=0,"",IF(F4092="Buy",IF(G4092=1,"plant","plants"),IF(F4092&gt;0.01,"warranty","Error")))</f>
        <v/>
      </c>
      <c r="I4092" s="485">
        <f t="shared" ref="I4092:I4115" si="3056">IF(H4092="free",0,IF(H4092="credit",((E4092*(F4092))*G4092*-1),IF(F4092="Buy",(E4092*G4092),((E4092*(1-F4092))*G4092))))</f>
        <v>0</v>
      </c>
      <c r="J4092" s="485">
        <f t="shared" ref="J4092:J4115" si="3057">IF(H4092="warranty",0,(I4092*(_xlfn.SINGLE(SalesTaxPercentage))))</f>
        <v>0</v>
      </c>
      <c r="K4092" s="715">
        <f t="shared" ref="K4092" si="3058">I4092+J4092</f>
        <v>0</v>
      </c>
      <c r="L4092" s="715"/>
      <c r="M4092" s="689" t="str">
        <f t="shared" ref="M4092:M4115" ca="1" si="3059">IF(AND(G4092&gt;0,E4092=0),"WARNING - no PRICE inserted",IF(H4092="free","FREE ~ no charge this plant",IF(H4092="credit",CONCATENATE("-$",ROUND(K4092*(1-_xlfn.SINGLE(T2GDiscount))*-1,2)," CREDIT after discount"),IF(_xlfn.SINGLE(T2GDiscount)=0,"",IF(G4092=0,"",IF(F4092="Buy",CONCATENATE("$",ROUND(K4092*(1-_xlfn.SINGLE(T2GDiscount)),2)," with ",(_xlfn.SINGLE(T2GDiscount)*100),"% discount"),CONCATENATE("$",ROUND(K4092*(1-_xlfn.SINGLE(T2GDiscount)),2)," with ",((_xlfn.SINGLE(T2GDiscount)*100+F4092*100)-(_xlfn.SINGLE(T2GDiscount)*100*F4092)),IF(F4092&gt;0,"% discounts",IF(_xlfn.SINGLE(NoWarrantyDiscount)&gt;0,"% discounts","% discount")))))))))</f>
        <v/>
      </c>
      <c r="N4092" s="690"/>
      <c r="O4092" s="486"/>
      <c r="P4092" s="486"/>
      <c r="Q4092" s="486"/>
      <c r="R4092" s="486"/>
      <c r="S4092" s="486"/>
      <c r="T4092" s="102">
        <f t="shared" si="3023"/>
        <v>0</v>
      </c>
      <c r="U4092" s="78">
        <f>IF(NOT(ISNUMBER(G4092)), "", VLOOKUP(A4092,'Discount Lookup'!D:E,2,FALSE)*G4092)</f>
        <v>0</v>
      </c>
      <c r="V4092" s="78">
        <f>IF(NOT(ISNUMBER(G4092)), "", VLOOKUP(A4092,'Discount Lookup'!G:H,2,FALSE)*G4092)</f>
        <v>0</v>
      </c>
      <c r="W4092" s="102">
        <f t="shared" si="3024"/>
        <v>0</v>
      </c>
      <c r="X4092" s="102">
        <f t="shared" si="3025"/>
        <v>0</v>
      </c>
      <c r="Y4092" s="120" t="b">
        <f t="shared" si="3026"/>
        <v>0</v>
      </c>
      <c r="Z4092" s="117">
        <f t="shared" si="3027"/>
        <v>0</v>
      </c>
      <c r="AA4092" s="118"/>
      <c r="AB4092" s="118" t="str">
        <f t="shared" si="3028"/>
        <v/>
      </c>
      <c r="AC4092" s="712" t="str">
        <f>IF(AE4092="T2G","no charge",IF(AND(OR(PlanterYesMe="No",PlanterYesMe="N",PlanterYesMe="me"),H4092=""),"",IF(H4092="credit","NO install",IF(AND(K4092="",AE4092="me"),"EACH row",IF(AND(K4092="images",AE4092="me"),"EACH row",IF(D4092="","",IF(H4092="credit","",IF(AE4092="free","re-planting",IF(AE4092="me","   not ELP, by",IF(AND(OR(PlanterYesMe="Yes",PlanterYesMe="Y"),G4092&gt;0),(VLOOKUP(A4092,'Discount Lookup'!J:K,2)*G4092*(1-PlanterDiscount)*(1+PlanterDifficultyPercentage)),IF(AE4092="ELP",(VLOOKUP(A4092,'Discount Lookup'!J:K,2)*G4092*(1-PlanterDiscount)*(1+PlanterDifficultyPercentage)),IF(AE4092="free","re-planting",IF(G4092=0,"",IF(PlanterYesMe="",IF(AE4092="me","   not ELP, by",IF(AE4092="",IF(G4092&gt;0,(VLOOKUP(A4092,'Discount Lookup'!J:K,2)*G4092*(1-PlanterDiscount)*(1+PlanterDifficultyPercentage)),""),"")),"   not ELP, by"))))))))))))))</f>
        <v/>
      </c>
      <c r="AD4092" s="712"/>
      <c r="AE4092" s="513" t="str">
        <f t="shared" si="3029"/>
        <v/>
      </c>
      <c r="AF4092" s="713" t="str">
        <f t="shared" si="3030"/>
        <v/>
      </c>
      <c r="AG4092" s="713"/>
      <c r="AH4092" s="713"/>
      <c r="AI4092" s="112">
        <f>IF(H4092="credit",0,IF(AE4092="free",0,IF(AE4092="me",0,IF(G4092&gt;0,(VLOOKUP(A4092,'Discount Lookup'!J:K,2)*G4092),0))))</f>
        <v>0</v>
      </c>
      <c r="AJ4092" s="107" t="str">
        <f t="shared" ca="1" si="3031"/>
        <v/>
      </c>
      <c r="AK4092" s="714" t="str">
        <f t="shared" si="3032"/>
        <v/>
      </c>
      <c r="AL4092" s="714"/>
      <c r="AM4092" s="114" t="str">
        <f t="shared" si="3033"/>
        <v/>
      </c>
      <c r="AN4092" s="115"/>
      <c r="AO4092" s="116"/>
      <c r="AP4092" s="116"/>
      <c r="AQ4092" s="116"/>
      <c r="AR4092" s="116"/>
      <c r="AS4092" s="116"/>
      <c r="AT4092" s="116"/>
      <c r="AU4092" s="116"/>
      <c r="AV4092" s="78"/>
      <c r="AW4092" s="102"/>
      <c r="AX4092" s="78"/>
      <c r="AY4092" s="78"/>
      <c r="AZ4092" s="78"/>
      <c r="BA4092" s="78"/>
      <c r="BB4092" s="78"/>
      <c r="BC4092" s="78"/>
      <c r="BD4092" s="78"/>
      <c r="BE4092" s="465"/>
      <c r="BF4092" s="165" t="str">
        <f t="shared" si="3034"/>
        <v>https://www.google.com/search?tbm=isch&amp;q=3%20G1</v>
      </c>
      <c r="BG4092" s="165" t="str">
        <f t="shared" si="3035"/>
        <v>T</v>
      </c>
      <c r="BH4092" s="65"/>
      <c r="BI4092" s="65"/>
      <c r="BJ4092" s="65"/>
      <c r="BK4092" s="65"/>
      <c r="BL4092" s="99"/>
      <c r="BM4092" s="99"/>
      <c r="BN4092" s="99"/>
    </row>
    <row r="4093" spans="1:66" s="51" customFormat="1" ht="15.75" x14ac:dyDescent="0.25">
      <c r="A4093" s="478">
        <v>3</v>
      </c>
      <c r="B4093" s="479" t="s">
        <v>291</v>
      </c>
      <c r="C4093" s="480" t="s">
        <v>862</v>
      </c>
      <c r="D4093" s="481" t="s">
        <v>309</v>
      </c>
      <c r="E4093" s="482">
        <v>26.95</v>
      </c>
      <c r="F4093" s="483" t="s">
        <v>292</v>
      </c>
      <c r="G4093" s="484">
        <v>0</v>
      </c>
      <c r="H4093" s="688" t="str">
        <f t="shared" si="3055"/>
        <v/>
      </c>
      <c r="I4093" s="485">
        <f t="shared" si="3056"/>
        <v>0</v>
      </c>
      <c r="J4093" s="485">
        <f t="shared" si="3057"/>
        <v>0</v>
      </c>
      <c r="K4093" s="715">
        <f t="shared" ref="K4093" si="3060">I4093+J4093</f>
        <v>0</v>
      </c>
      <c r="L4093" s="715"/>
      <c r="M4093" s="689" t="str">
        <f t="shared" ca="1" si="3059"/>
        <v/>
      </c>
      <c r="N4093" s="690"/>
      <c r="O4093" s="486"/>
      <c r="P4093" s="486"/>
      <c r="Q4093" s="486"/>
      <c r="R4093" s="486"/>
      <c r="S4093" s="486"/>
      <c r="T4093" s="102">
        <f t="shared" si="3023"/>
        <v>0</v>
      </c>
      <c r="U4093" s="78">
        <f>IF(NOT(ISNUMBER(G4093)), "", VLOOKUP(A4093,'Discount Lookup'!D:E,2,FALSE)*G4093)</f>
        <v>0</v>
      </c>
      <c r="V4093" s="78">
        <f>IF(NOT(ISNUMBER(G4093)), "", VLOOKUP(A4093,'Discount Lookup'!G:H,2,FALSE)*G4093)</f>
        <v>0</v>
      </c>
      <c r="W4093" s="102">
        <f t="shared" si="3024"/>
        <v>0</v>
      </c>
      <c r="X4093" s="102">
        <f t="shared" si="3025"/>
        <v>0</v>
      </c>
      <c r="Y4093" s="120" t="b">
        <f t="shared" si="3026"/>
        <v>0</v>
      </c>
      <c r="Z4093" s="117">
        <f t="shared" si="3027"/>
        <v>0</v>
      </c>
      <c r="AA4093" s="118"/>
      <c r="AB4093" s="118" t="str">
        <f t="shared" si="3028"/>
        <v/>
      </c>
      <c r="AC4093" s="712" t="str">
        <f>IF(AE4093="T2G","no charge",IF(AND(OR(PlanterYesMe="No",PlanterYesMe="N",PlanterYesMe="me"),H4093=""),"",IF(H4093="credit","NO install",IF(AND(K4093="",AE4093="me"),"EACH row",IF(AND(K4093="images",AE4093="me"),"EACH row",IF(D4093="","",IF(H4093="credit","",IF(AE4093="free","re-planting",IF(AE4093="me","   not ELP, by",IF(AND(OR(PlanterYesMe="Yes",PlanterYesMe="Y"),G4093&gt;0),(VLOOKUP(A4093,'Discount Lookup'!J:K,2)*G4093*(1-PlanterDiscount)*(1+PlanterDifficultyPercentage)),IF(AE4093="ELP",(VLOOKUP(A4093,'Discount Lookup'!J:K,2)*G4093*(1-PlanterDiscount)*(1+PlanterDifficultyPercentage)),IF(AE4093="free","re-planting",IF(G4093=0,"",IF(PlanterYesMe="",IF(AE4093="me","   not ELP, by",IF(AE4093="",IF(G4093&gt;0,(VLOOKUP(A4093,'Discount Lookup'!J:K,2)*G4093*(1-PlanterDiscount)*(1+PlanterDifficultyPercentage)),""),"")),"   not ELP, by"))))))))))))))</f>
        <v/>
      </c>
      <c r="AD4093" s="712"/>
      <c r="AE4093" s="513" t="str">
        <f t="shared" si="3029"/>
        <v/>
      </c>
      <c r="AF4093" s="713" t="str">
        <f t="shared" si="3030"/>
        <v/>
      </c>
      <c r="AG4093" s="713"/>
      <c r="AH4093" s="713"/>
      <c r="AI4093" s="112">
        <f>IF(H4093="credit",0,IF(AE4093="free",0,IF(AE4093="me",0,IF(G4093&gt;0,(VLOOKUP(A4093,'Discount Lookup'!J:K,2)*G4093),0))))</f>
        <v>0</v>
      </c>
      <c r="AJ4093" s="107" t="str">
        <f t="shared" ca="1" si="3031"/>
        <v/>
      </c>
      <c r="AK4093" s="714" t="str">
        <f t="shared" si="3032"/>
        <v/>
      </c>
      <c r="AL4093" s="714"/>
      <c r="AM4093" s="114" t="str">
        <f t="shared" si="3033"/>
        <v/>
      </c>
      <c r="AN4093" s="115"/>
      <c r="AO4093" s="116"/>
      <c r="AP4093" s="116"/>
      <c r="AQ4093" s="116"/>
      <c r="AR4093" s="116"/>
      <c r="AS4093" s="116"/>
      <c r="AT4093" s="116"/>
      <c r="AU4093" s="116"/>
      <c r="AV4093" s="78"/>
      <c r="AW4093" s="102"/>
      <c r="AX4093" s="78"/>
      <c r="AY4093" s="78"/>
      <c r="AZ4093" s="78"/>
      <c r="BA4093" s="78"/>
      <c r="BB4093" s="78"/>
      <c r="BC4093" s="78"/>
      <c r="BD4093" s="78"/>
      <c r="BE4093" s="465"/>
      <c r="BF4093" s="165" t="str">
        <f t="shared" si="3034"/>
        <v>https://www.google.com/search?tbm=isch&amp;q=3%20G3</v>
      </c>
      <c r="BG4093" s="165" t="str">
        <f t="shared" si="3035"/>
        <v>T</v>
      </c>
      <c r="BH4093" s="65"/>
      <c r="BI4093" s="65"/>
      <c r="BJ4093" s="65"/>
      <c r="BK4093" s="65"/>
      <c r="BL4093" s="99"/>
      <c r="BM4093" s="99"/>
      <c r="BN4093" s="99"/>
    </row>
    <row r="4094" spans="1:66" s="51" customFormat="1" ht="15.75" x14ac:dyDescent="0.25">
      <c r="A4094" s="478">
        <v>3</v>
      </c>
      <c r="B4094" s="479" t="s">
        <v>291</v>
      </c>
      <c r="C4094" s="480"/>
      <c r="D4094" s="481" t="s">
        <v>329</v>
      </c>
      <c r="E4094" s="482">
        <v>28.95</v>
      </c>
      <c r="F4094" s="483" t="s">
        <v>292</v>
      </c>
      <c r="G4094" s="484">
        <v>0</v>
      </c>
      <c r="H4094" s="688" t="str">
        <f t="shared" si="3055"/>
        <v/>
      </c>
      <c r="I4094" s="485">
        <f t="shared" si="3056"/>
        <v>0</v>
      </c>
      <c r="J4094" s="485">
        <f t="shared" si="3057"/>
        <v>0</v>
      </c>
      <c r="K4094" s="715">
        <f t="shared" ref="K4094" si="3061">I4094+J4094</f>
        <v>0</v>
      </c>
      <c r="L4094" s="715"/>
      <c r="M4094" s="689" t="str">
        <f t="shared" ca="1" si="3059"/>
        <v/>
      </c>
      <c r="N4094" s="690"/>
      <c r="O4094" s="486"/>
      <c r="P4094" s="486"/>
      <c r="Q4094" s="486"/>
      <c r="R4094" s="486"/>
      <c r="S4094" s="486"/>
      <c r="T4094" s="102">
        <f t="shared" si="3023"/>
        <v>0</v>
      </c>
      <c r="U4094" s="78">
        <f>IF(NOT(ISNUMBER(G4094)), "", VLOOKUP(A4094,'Discount Lookup'!D:E,2,FALSE)*G4094)</f>
        <v>0</v>
      </c>
      <c r="V4094" s="78">
        <f>IF(NOT(ISNUMBER(G4094)), "", VLOOKUP(A4094,'Discount Lookup'!G:H,2,FALSE)*G4094)</f>
        <v>0</v>
      </c>
      <c r="W4094" s="102">
        <f t="shared" si="3024"/>
        <v>0</v>
      </c>
      <c r="X4094" s="102">
        <f t="shared" si="3025"/>
        <v>0</v>
      </c>
      <c r="Y4094" s="120" t="b">
        <f t="shared" si="3026"/>
        <v>0</v>
      </c>
      <c r="Z4094" s="117">
        <f t="shared" si="3027"/>
        <v>0</v>
      </c>
      <c r="AA4094" s="118"/>
      <c r="AB4094" s="118" t="str">
        <f t="shared" si="3028"/>
        <v/>
      </c>
      <c r="AC4094" s="712" t="str">
        <f>IF(AE4094="T2G","no charge",IF(AND(OR(PlanterYesMe="No",PlanterYesMe="N",PlanterYesMe="me"),H4094=""),"",IF(H4094="credit","NO install",IF(AND(K4094="",AE4094="me"),"EACH row",IF(AND(K4094="images",AE4094="me"),"EACH row",IF(D4094="","",IF(H4094="credit","",IF(AE4094="free","re-planting",IF(AE4094="me","   not ELP, by",IF(AND(OR(PlanterYesMe="Yes",PlanterYesMe="Y"),G4094&gt;0),(VLOOKUP(A4094,'Discount Lookup'!J:K,2)*G4094*(1-PlanterDiscount)*(1+PlanterDifficultyPercentage)),IF(AE4094="ELP",(VLOOKUP(A4094,'Discount Lookup'!J:K,2)*G4094*(1-PlanterDiscount)*(1+PlanterDifficultyPercentage)),IF(AE4094="free","re-planting",IF(G4094=0,"",IF(PlanterYesMe="",IF(AE4094="me","   not ELP, by",IF(AE4094="",IF(G4094&gt;0,(VLOOKUP(A4094,'Discount Lookup'!J:K,2)*G4094*(1-PlanterDiscount)*(1+PlanterDifficultyPercentage)),""),"")),"   not ELP, by"))))))))))))))</f>
        <v/>
      </c>
      <c r="AD4094" s="712"/>
      <c r="AE4094" s="513" t="str">
        <f t="shared" si="3029"/>
        <v/>
      </c>
      <c r="AF4094" s="713" t="str">
        <f t="shared" si="3030"/>
        <v/>
      </c>
      <c r="AG4094" s="713"/>
      <c r="AH4094" s="713"/>
      <c r="AI4094" s="112">
        <f>IF(H4094="credit",0,IF(AE4094="free",0,IF(AE4094="me",0,IF(G4094&gt;0,(VLOOKUP(A4094,'Discount Lookup'!J:K,2)*G4094),0))))</f>
        <v>0</v>
      </c>
      <c r="AJ4094" s="107" t="str">
        <f t="shared" ca="1" si="3031"/>
        <v/>
      </c>
      <c r="AK4094" s="714" t="str">
        <f t="shared" si="3032"/>
        <v/>
      </c>
      <c r="AL4094" s="714"/>
      <c r="AM4094" s="114" t="str">
        <f t="shared" si="3033"/>
        <v/>
      </c>
      <c r="AN4094" s="115"/>
      <c r="AO4094" s="116"/>
      <c r="AP4094" s="116"/>
      <c r="AQ4094" s="116"/>
      <c r="AR4094" s="116"/>
      <c r="AS4094" s="116"/>
      <c r="AT4094" s="116"/>
      <c r="AU4094" s="116"/>
      <c r="AV4094" s="78"/>
      <c r="AW4094" s="102"/>
      <c r="AX4094" s="78"/>
      <c r="AY4094" s="78"/>
      <c r="AZ4094" s="78"/>
      <c r="BA4094" s="78"/>
      <c r="BB4094" s="78"/>
      <c r="BC4094" s="78"/>
      <c r="BD4094" s="78"/>
      <c r="BE4094" s="465"/>
      <c r="BF4094" s="165" t="str">
        <f t="shared" si="3034"/>
        <v>https://www.google.com/search?tbm=isch&amp;q=3%20G2</v>
      </c>
      <c r="BG4094" s="165" t="str">
        <f t="shared" si="3035"/>
        <v>T</v>
      </c>
      <c r="BH4094" s="65"/>
      <c r="BI4094" s="65"/>
      <c r="BJ4094" s="65"/>
      <c r="BK4094" s="65"/>
      <c r="BL4094" s="99"/>
      <c r="BM4094" s="99"/>
      <c r="BN4094" s="99"/>
    </row>
    <row r="4095" spans="1:66" s="51" customFormat="1" ht="15.75" x14ac:dyDescent="0.25">
      <c r="A4095" s="478">
        <v>3</v>
      </c>
      <c r="B4095" s="479" t="s">
        <v>291</v>
      </c>
      <c r="C4095" s="480" t="s">
        <v>512</v>
      </c>
      <c r="D4095" s="481" t="s">
        <v>311</v>
      </c>
      <c r="E4095" s="482">
        <v>33.950000000000003</v>
      </c>
      <c r="F4095" s="483" t="s">
        <v>292</v>
      </c>
      <c r="G4095" s="484">
        <v>0</v>
      </c>
      <c r="H4095" s="688" t="str">
        <f t="shared" si="3055"/>
        <v/>
      </c>
      <c r="I4095" s="485">
        <f t="shared" si="3056"/>
        <v>0</v>
      </c>
      <c r="J4095" s="485">
        <f t="shared" si="3057"/>
        <v>0</v>
      </c>
      <c r="K4095" s="715">
        <f t="shared" ref="K4095" si="3062">I4095+J4095</f>
        <v>0</v>
      </c>
      <c r="L4095" s="715"/>
      <c r="M4095" s="689" t="str">
        <f t="shared" ca="1" si="3059"/>
        <v/>
      </c>
      <c r="N4095" s="690"/>
      <c r="O4095" s="486"/>
      <c r="P4095" s="486"/>
      <c r="Q4095" s="486"/>
      <c r="R4095" s="486"/>
      <c r="S4095" s="486"/>
      <c r="T4095" s="102">
        <f t="shared" si="3023"/>
        <v>0</v>
      </c>
      <c r="U4095" s="78">
        <f>IF(NOT(ISNUMBER(G4095)), "", VLOOKUP(A4095,'Discount Lookup'!D:E,2,FALSE)*G4095)</f>
        <v>0</v>
      </c>
      <c r="V4095" s="78">
        <f>IF(NOT(ISNUMBER(G4095)), "", VLOOKUP(A4095,'Discount Lookup'!G:H,2,FALSE)*G4095)</f>
        <v>0</v>
      </c>
      <c r="W4095" s="102">
        <f t="shared" si="3024"/>
        <v>0</v>
      </c>
      <c r="X4095" s="102">
        <f t="shared" si="3025"/>
        <v>0</v>
      </c>
      <c r="Y4095" s="120" t="b">
        <f t="shared" si="3026"/>
        <v>0</v>
      </c>
      <c r="Z4095" s="117">
        <f t="shared" si="3027"/>
        <v>0</v>
      </c>
      <c r="AA4095" s="118"/>
      <c r="AB4095" s="118" t="str">
        <f t="shared" si="3028"/>
        <v/>
      </c>
      <c r="AC4095" s="712" t="str">
        <f>IF(AE4095="T2G","no charge",IF(AND(OR(PlanterYesMe="No",PlanterYesMe="N",PlanterYesMe="me"),H4095=""),"",IF(H4095="credit","NO install",IF(AND(K4095="",AE4095="me"),"EACH row",IF(AND(K4095="images",AE4095="me"),"EACH row",IF(D4095="","",IF(H4095="credit","",IF(AE4095="free","re-planting",IF(AE4095="me","   not ELP, by",IF(AND(OR(PlanterYesMe="Yes",PlanterYesMe="Y"),G4095&gt;0),(VLOOKUP(A4095,'Discount Lookup'!J:K,2)*G4095*(1-PlanterDiscount)*(1+PlanterDifficultyPercentage)),IF(AE4095="ELP",(VLOOKUP(A4095,'Discount Lookup'!J:K,2)*G4095*(1-PlanterDiscount)*(1+PlanterDifficultyPercentage)),IF(AE4095="free","re-planting",IF(G4095=0,"",IF(PlanterYesMe="",IF(AE4095="me","   not ELP, by",IF(AE4095="",IF(G4095&gt;0,(VLOOKUP(A4095,'Discount Lookup'!J:K,2)*G4095*(1-PlanterDiscount)*(1+PlanterDifficultyPercentage)),""),"")),"   not ELP, by"))))))))))))))</f>
        <v/>
      </c>
      <c r="AD4095" s="712"/>
      <c r="AE4095" s="513" t="str">
        <f t="shared" si="3029"/>
        <v/>
      </c>
      <c r="AF4095" s="713" t="str">
        <f t="shared" si="3030"/>
        <v/>
      </c>
      <c r="AG4095" s="713"/>
      <c r="AH4095" s="713"/>
      <c r="AI4095" s="112">
        <f>IF(H4095="credit",0,IF(AE4095="free",0,IF(AE4095="me",0,IF(G4095&gt;0,(VLOOKUP(A4095,'Discount Lookup'!J:K,2)*G4095),0))))</f>
        <v>0</v>
      </c>
      <c r="AJ4095" s="107" t="str">
        <f t="shared" ca="1" si="3031"/>
        <v/>
      </c>
      <c r="AK4095" s="714" t="str">
        <f t="shared" si="3032"/>
        <v/>
      </c>
      <c r="AL4095" s="714"/>
      <c r="AM4095" s="114" t="str">
        <f t="shared" si="3033"/>
        <v/>
      </c>
      <c r="AN4095" s="115"/>
      <c r="AO4095" s="116"/>
      <c r="AP4095" s="116"/>
      <c r="AQ4095" s="116"/>
      <c r="AR4095" s="116"/>
      <c r="AS4095" s="116"/>
      <c r="AT4095" s="116"/>
      <c r="AU4095" s="116"/>
      <c r="AV4095" s="78"/>
      <c r="AW4095" s="102"/>
      <c r="AX4095" s="78"/>
      <c r="AY4095" s="78"/>
      <c r="AZ4095" s="78"/>
      <c r="BA4095" s="78"/>
      <c r="BB4095" s="78"/>
      <c r="BC4095" s="78"/>
      <c r="BD4095" s="78"/>
      <c r="BE4095" s="465"/>
      <c r="BF4095" s="165" t="str">
        <f t="shared" si="3034"/>
        <v>https://www.google.com/search?tbm=isch&amp;q=3%20G5</v>
      </c>
      <c r="BG4095" s="165" t="str">
        <f t="shared" si="3035"/>
        <v>T</v>
      </c>
      <c r="BH4095" s="65"/>
      <c r="BI4095" s="65"/>
      <c r="BJ4095" s="65"/>
      <c r="BK4095" s="65"/>
      <c r="BL4095" s="99"/>
      <c r="BM4095" s="99"/>
      <c r="BN4095" s="99"/>
    </row>
    <row r="4096" spans="1:66" s="51" customFormat="1" ht="15.75" x14ac:dyDescent="0.25">
      <c r="A4096" s="478">
        <v>7</v>
      </c>
      <c r="B4096" s="479" t="s">
        <v>291</v>
      </c>
      <c r="C4096" s="480" t="s">
        <v>863</v>
      </c>
      <c r="D4096" s="481" t="s">
        <v>309</v>
      </c>
      <c r="E4096" s="482">
        <v>68.95</v>
      </c>
      <c r="F4096" s="483" t="s">
        <v>292</v>
      </c>
      <c r="G4096" s="484">
        <v>0</v>
      </c>
      <c r="H4096" s="688" t="str">
        <f t="shared" si="3055"/>
        <v/>
      </c>
      <c r="I4096" s="485">
        <f t="shared" si="3056"/>
        <v>0</v>
      </c>
      <c r="J4096" s="485">
        <f t="shared" si="3057"/>
        <v>0</v>
      </c>
      <c r="K4096" s="715">
        <f t="shared" ref="K4096" si="3063">I4096+J4096</f>
        <v>0</v>
      </c>
      <c r="L4096" s="715"/>
      <c r="M4096" s="689" t="str">
        <f t="shared" ca="1" si="3059"/>
        <v/>
      </c>
      <c r="N4096" s="690"/>
      <c r="O4096" s="486"/>
      <c r="P4096" s="486"/>
      <c r="Q4096" s="486"/>
      <c r="R4096" s="486"/>
      <c r="S4096" s="486"/>
      <c r="T4096" s="102">
        <f t="shared" si="3023"/>
        <v>0</v>
      </c>
      <c r="U4096" s="78">
        <f>IF(NOT(ISNUMBER(G4096)), "", VLOOKUP(A4096,'Discount Lookup'!D:E,2,FALSE)*G4096)</f>
        <v>0</v>
      </c>
      <c r="V4096" s="78">
        <f>IF(NOT(ISNUMBER(G4096)), "", VLOOKUP(A4096,'Discount Lookup'!G:H,2,FALSE)*G4096)</f>
        <v>0</v>
      </c>
      <c r="W4096" s="102">
        <f t="shared" si="3024"/>
        <v>0</v>
      </c>
      <c r="X4096" s="102">
        <f t="shared" si="3025"/>
        <v>0</v>
      </c>
      <c r="Y4096" s="120" t="b">
        <f t="shared" si="3026"/>
        <v>0</v>
      </c>
      <c r="Z4096" s="117">
        <f t="shared" si="3027"/>
        <v>0</v>
      </c>
      <c r="AA4096" s="118"/>
      <c r="AB4096" s="118" t="str">
        <f t="shared" si="3028"/>
        <v/>
      </c>
      <c r="AC4096" s="712" t="str">
        <f>IF(AE4096="T2G","no charge",IF(AND(OR(PlanterYesMe="No",PlanterYesMe="N",PlanterYesMe="me"),H4096=""),"",IF(H4096="credit","NO install",IF(AND(K4096="",AE4096="me"),"EACH row",IF(AND(K4096="images",AE4096="me"),"EACH row",IF(D4096="","",IF(H4096="credit","",IF(AE4096="free","re-planting",IF(AE4096="me","   not ELP, by",IF(AND(OR(PlanterYesMe="Yes",PlanterYesMe="Y"),G4096&gt;0),(VLOOKUP(A4096,'Discount Lookup'!J:K,2)*G4096*(1-PlanterDiscount)*(1+PlanterDifficultyPercentage)),IF(AE4096="ELP",(VLOOKUP(A4096,'Discount Lookup'!J:K,2)*G4096*(1-PlanterDiscount)*(1+PlanterDifficultyPercentage)),IF(AE4096="free","re-planting",IF(G4096=0,"",IF(PlanterYesMe="",IF(AE4096="me","   not ELP, by",IF(AE4096="",IF(G4096&gt;0,(VLOOKUP(A4096,'Discount Lookup'!J:K,2)*G4096*(1-PlanterDiscount)*(1+PlanterDifficultyPercentage)),""),"")),"   not ELP, by"))))))))))))))</f>
        <v/>
      </c>
      <c r="AD4096" s="712"/>
      <c r="AE4096" s="513" t="str">
        <f t="shared" si="3029"/>
        <v/>
      </c>
      <c r="AF4096" s="713" t="str">
        <f t="shared" si="3030"/>
        <v/>
      </c>
      <c r="AG4096" s="713"/>
      <c r="AH4096" s="713"/>
      <c r="AI4096" s="112">
        <f>IF(H4096="credit",0,IF(AE4096="free",0,IF(AE4096="me",0,IF(G4096&gt;0,(VLOOKUP(A4096,'Discount Lookup'!J:K,2)*G4096),0))))</f>
        <v>0</v>
      </c>
      <c r="AJ4096" s="107" t="str">
        <f t="shared" ca="1" si="3031"/>
        <v/>
      </c>
      <c r="AK4096" s="714" t="str">
        <f t="shared" si="3032"/>
        <v/>
      </c>
      <c r="AL4096" s="714"/>
      <c r="AM4096" s="114" t="str">
        <f t="shared" si="3033"/>
        <v/>
      </c>
      <c r="AN4096" s="115"/>
      <c r="AO4096" s="116"/>
      <c r="AP4096" s="116"/>
      <c r="AQ4096" s="116"/>
      <c r="AR4096" s="116"/>
      <c r="AS4096" s="116"/>
      <c r="AT4096" s="116"/>
      <c r="AU4096" s="116"/>
      <c r="AV4096" s="78"/>
      <c r="AW4096" s="102"/>
      <c r="AX4096" s="78"/>
      <c r="AY4096" s="78"/>
      <c r="AZ4096" s="78"/>
      <c r="BA4096" s="78"/>
      <c r="BB4096" s="78"/>
      <c r="BC4096" s="78"/>
      <c r="BD4096" s="78"/>
      <c r="BE4096" s="465"/>
      <c r="BF4096" s="165" t="str">
        <f t="shared" si="3034"/>
        <v>https://www.google.com/search?tbm=isch&amp;q=7%20G3</v>
      </c>
      <c r="BG4096" s="165" t="str">
        <f t="shared" si="3035"/>
        <v>T</v>
      </c>
      <c r="BH4096" s="65"/>
      <c r="BI4096" s="65"/>
      <c r="BJ4096" s="65"/>
      <c r="BK4096" s="65"/>
      <c r="BL4096" s="99"/>
      <c r="BM4096" s="99"/>
      <c r="BN4096" s="99"/>
    </row>
    <row r="4097" spans="1:66" s="51" customFormat="1" ht="15.75" x14ac:dyDescent="0.25">
      <c r="A4097" s="478">
        <v>7</v>
      </c>
      <c r="B4097" s="479" t="s">
        <v>291</v>
      </c>
      <c r="C4097" s="480" t="s">
        <v>1010</v>
      </c>
      <c r="D4097" s="481" t="s">
        <v>299</v>
      </c>
      <c r="E4097" s="482">
        <v>95.95</v>
      </c>
      <c r="F4097" s="483" t="s">
        <v>292</v>
      </c>
      <c r="G4097" s="484">
        <v>0</v>
      </c>
      <c r="H4097" s="688" t="str">
        <f t="shared" si="3055"/>
        <v/>
      </c>
      <c r="I4097" s="485">
        <f t="shared" si="3056"/>
        <v>0</v>
      </c>
      <c r="J4097" s="485">
        <f t="shared" si="3057"/>
        <v>0</v>
      </c>
      <c r="K4097" s="715">
        <f t="shared" ref="K4097" si="3064">I4097+J4097</f>
        <v>0</v>
      </c>
      <c r="L4097" s="715"/>
      <c r="M4097" s="689" t="str">
        <f t="shared" ca="1" si="3059"/>
        <v/>
      </c>
      <c r="N4097" s="690"/>
      <c r="O4097" s="486"/>
      <c r="P4097" s="486"/>
      <c r="Q4097" s="486"/>
      <c r="R4097" s="486"/>
      <c r="S4097" s="486"/>
      <c r="T4097" s="102">
        <f t="shared" si="3023"/>
        <v>0</v>
      </c>
      <c r="U4097" s="78">
        <f>IF(NOT(ISNUMBER(G4097)), "", VLOOKUP(A4097,'Discount Lookup'!D:E,2,FALSE)*G4097)</f>
        <v>0</v>
      </c>
      <c r="V4097" s="78">
        <f>IF(NOT(ISNUMBER(G4097)), "", VLOOKUP(A4097,'Discount Lookup'!G:H,2,FALSE)*G4097)</f>
        <v>0</v>
      </c>
      <c r="W4097" s="102">
        <f t="shared" si="3024"/>
        <v>0</v>
      </c>
      <c r="X4097" s="102">
        <f t="shared" si="3025"/>
        <v>0</v>
      </c>
      <c r="Y4097" s="120" t="b">
        <f t="shared" si="3026"/>
        <v>0</v>
      </c>
      <c r="Z4097" s="117">
        <f t="shared" si="3027"/>
        <v>0</v>
      </c>
      <c r="AA4097" s="118"/>
      <c r="AB4097" s="118" t="str">
        <f t="shared" si="3028"/>
        <v/>
      </c>
      <c r="AC4097" s="712" t="str">
        <f>IF(AE4097="T2G","no charge",IF(AND(OR(PlanterYesMe="No",PlanterYesMe="N",PlanterYesMe="me"),H4097=""),"",IF(H4097="credit","NO install",IF(AND(K4097="",AE4097="me"),"EACH row",IF(AND(K4097="images",AE4097="me"),"EACH row",IF(D4097="","",IF(H4097="credit","",IF(AE4097="free","re-planting",IF(AE4097="me","   not ELP, by",IF(AND(OR(PlanterYesMe="Yes",PlanterYesMe="Y"),G4097&gt;0),(VLOOKUP(A4097,'Discount Lookup'!J:K,2)*G4097*(1-PlanterDiscount)*(1+PlanterDifficultyPercentage)),IF(AE4097="ELP",(VLOOKUP(A4097,'Discount Lookup'!J:K,2)*G4097*(1-PlanterDiscount)*(1+PlanterDifficultyPercentage)),IF(AE4097="free","re-planting",IF(G4097=0,"",IF(PlanterYesMe="",IF(AE4097="me","   not ELP, by",IF(AE4097="",IF(G4097&gt;0,(VLOOKUP(A4097,'Discount Lookup'!J:K,2)*G4097*(1-PlanterDiscount)*(1+PlanterDifficultyPercentage)),""),"")),"   not ELP, by"))))))))))))))</f>
        <v/>
      </c>
      <c r="AD4097" s="712"/>
      <c r="AE4097" s="513" t="str">
        <f t="shared" si="3029"/>
        <v/>
      </c>
      <c r="AF4097" s="713" t="str">
        <f t="shared" si="3030"/>
        <v/>
      </c>
      <c r="AG4097" s="713"/>
      <c r="AH4097" s="713"/>
      <c r="AI4097" s="112">
        <f>IF(H4097="credit",0,IF(AE4097="free",0,IF(AE4097="me",0,IF(G4097&gt;0,(VLOOKUP(A4097,'Discount Lookup'!J:K,2)*G4097),0))))</f>
        <v>0</v>
      </c>
      <c r="AJ4097" s="107" t="str">
        <f t="shared" ca="1" si="3031"/>
        <v/>
      </c>
      <c r="AK4097" s="714" t="str">
        <f t="shared" si="3032"/>
        <v/>
      </c>
      <c r="AL4097" s="714"/>
      <c r="AM4097" s="114" t="str">
        <f t="shared" si="3033"/>
        <v/>
      </c>
      <c r="AN4097" s="115"/>
      <c r="AO4097" s="116"/>
      <c r="AP4097" s="116"/>
      <c r="AQ4097" s="116"/>
      <c r="AR4097" s="116"/>
      <c r="AS4097" s="116"/>
      <c r="AT4097" s="116"/>
      <c r="AU4097" s="116"/>
      <c r="AV4097" s="78"/>
      <c r="AW4097" s="102"/>
      <c r="AX4097" s="78"/>
      <c r="AY4097" s="78"/>
      <c r="AZ4097" s="78"/>
      <c r="BA4097" s="78"/>
      <c r="BB4097" s="78"/>
      <c r="BC4097" s="78"/>
      <c r="BD4097" s="78"/>
      <c r="BE4097" s="465"/>
      <c r="BF4097" s="165" t="str">
        <f t="shared" si="3034"/>
        <v>https://www.google.com/search?tbm=isch&amp;q=7%20G4</v>
      </c>
      <c r="BG4097" s="165" t="str">
        <f t="shared" si="3035"/>
        <v>T</v>
      </c>
      <c r="BH4097" s="65"/>
      <c r="BI4097" s="65"/>
      <c r="BJ4097" s="65"/>
      <c r="BK4097" s="65"/>
      <c r="BL4097" s="99"/>
      <c r="BM4097" s="99"/>
      <c r="BN4097" s="99"/>
    </row>
    <row r="4098" spans="1:66" s="51" customFormat="1" ht="27" x14ac:dyDescent="0.25">
      <c r="A4098" s="478">
        <v>7</v>
      </c>
      <c r="B4098" s="479" t="s">
        <v>291</v>
      </c>
      <c r="C4098" s="480" t="s">
        <v>1011</v>
      </c>
      <c r="D4098" s="481" t="s">
        <v>299</v>
      </c>
      <c r="E4098" s="482">
        <v>95.95</v>
      </c>
      <c r="F4098" s="483" t="s">
        <v>292</v>
      </c>
      <c r="G4098" s="484">
        <v>0</v>
      </c>
      <c r="H4098" s="688" t="str">
        <f t="shared" si="3055"/>
        <v/>
      </c>
      <c r="I4098" s="485">
        <f t="shared" si="3056"/>
        <v>0</v>
      </c>
      <c r="J4098" s="485">
        <f t="shared" si="3057"/>
        <v>0</v>
      </c>
      <c r="K4098" s="715">
        <f t="shared" ref="K4098" si="3065">I4098+J4098</f>
        <v>0</v>
      </c>
      <c r="L4098" s="715"/>
      <c r="M4098" s="689" t="str">
        <f t="shared" ca="1" si="3059"/>
        <v/>
      </c>
      <c r="N4098" s="690"/>
      <c r="O4098" s="486"/>
      <c r="P4098" s="486"/>
      <c r="Q4098" s="486"/>
      <c r="R4098" s="486"/>
      <c r="S4098" s="486"/>
      <c r="T4098" s="102">
        <f t="shared" si="3023"/>
        <v>0</v>
      </c>
      <c r="U4098" s="78">
        <f>IF(NOT(ISNUMBER(G4098)), "", VLOOKUP(A4098,'Discount Lookup'!D:E,2,FALSE)*G4098)</f>
        <v>0</v>
      </c>
      <c r="V4098" s="78">
        <f>IF(NOT(ISNUMBER(G4098)), "", VLOOKUP(A4098,'Discount Lookup'!G:H,2,FALSE)*G4098)</f>
        <v>0</v>
      </c>
      <c r="W4098" s="102">
        <f t="shared" si="3024"/>
        <v>0</v>
      </c>
      <c r="X4098" s="102">
        <f t="shared" si="3025"/>
        <v>0</v>
      </c>
      <c r="Y4098" s="120" t="b">
        <f t="shared" si="3026"/>
        <v>0</v>
      </c>
      <c r="Z4098" s="117">
        <f t="shared" si="3027"/>
        <v>0</v>
      </c>
      <c r="AA4098" s="118"/>
      <c r="AB4098" s="118" t="str">
        <f t="shared" si="3028"/>
        <v/>
      </c>
      <c r="AC4098" s="712" t="str">
        <f>IF(AE4098="T2G","no charge",IF(AND(OR(PlanterYesMe="No",PlanterYesMe="N",PlanterYesMe="me"),H4098=""),"",IF(H4098="credit","NO install",IF(AND(K4098="",AE4098="me"),"EACH row",IF(AND(K4098="images",AE4098="me"),"EACH row",IF(D4098="","",IF(H4098="credit","",IF(AE4098="free","re-planting",IF(AE4098="me","   not ELP, by",IF(AND(OR(PlanterYesMe="Yes",PlanterYesMe="Y"),G4098&gt;0),(VLOOKUP(A4098,'Discount Lookup'!J:K,2)*G4098*(1-PlanterDiscount)*(1+PlanterDifficultyPercentage)),IF(AE4098="ELP",(VLOOKUP(A4098,'Discount Lookup'!J:K,2)*G4098*(1-PlanterDiscount)*(1+PlanterDifficultyPercentage)),IF(AE4098="free","re-planting",IF(G4098=0,"",IF(PlanterYesMe="",IF(AE4098="me","   not ELP, by",IF(AE4098="",IF(G4098&gt;0,(VLOOKUP(A4098,'Discount Lookup'!J:K,2)*G4098*(1-PlanterDiscount)*(1+PlanterDifficultyPercentage)),""),"")),"   not ELP, by"))))))))))))))</f>
        <v/>
      </c>
      <c r="AD4098" s="712"/>
      <c r="AE4098" s="513" t="str">
        <f t="shared" si="3029"/>
        <v/>
      </c>
      <c r="AF4098" s="713" t="str">
        <f t="shared" si="3030"/>
        <v/>
      </c>
      <c r="AG4098" s="713"/>
      <c r="AH4098" s="713"/>
      <c r="AI4098" s="112">
        <f>IF(H4098="credit",0,IF(AE4098="free",0,IF(AE4098="me",0,IF(G4098&gt;0,(VLOOKUP(A4098,'Discount Lookup'!J:K,2)*G4098),0))))</f>
        <v>0</v>
      </c>
      <c r="AJ4098" s="107" t="str">
        <f t="shared" ca="1" si="3031"/>
        <v/>
      </c>
      <c r="AK4098" s="714" t="str">
        <f t="shared" si="3032"/>
        <v/>
      </c>
      <c r="AL4098" s="714"/>
      <c r="AM4098" s="114" t="str">
        <f t="shared" si="3033"/>
        <v/>
      </c>
      <c r="AN4098" s="115"/>
      <c r="AO4098" s="116"/>
      <c r="AP4098" s="116"/>
      <c r="AQ4098" s="116"/>
      <c r="AR4098" s="116"/>
      <c r="AS4098" s="116"/>
      <c r="AT4098" s="116"/>
      <c r="AU4098" s="116"/>
      <c r="AV4098" s="78"/>
      <c r="AW4098" s="102"/>
      <c r="AX4098" s="78"/>
      <c r="AY4098" s="78"/>
      <c r="AZ4098" s="78"/>
      <c r="BA4098" s="78"/>
      <c r="BB4098" s="78"/>
      <c r="BC4098" s="78"/>
      <c r="BD4098" s="78"/>
      <c r="BE4098" s="465"/>
      <c r="BF4098" s="165" t="str">
        <f t="shared" si="3034"/>
        <v>https://www.google.com/search?tbm=isch&amp;q=7%20G4</v>
      </c>
      <c r="BG4098" s="165" t="str">
        <f t="shared" si="3035"/>
        <v>T</v>
      </c>
      <c r="BH4098" s="65"/>
      <c r="BI4098" s="65"/>
      <c r="BJ4098" s="65"/>
      <c r="BK4098" s="65"/>
      <c r="BL4098" s="99"/>
      <c r="BM4098" s="99"/>
      <c r="BN4098" s="99"/>
    </row>
    <row r="4099" spans="1:66" s="51" customFormat="1" ht="27" x14ac:dyDescent="0.25">
      <c r="A4099" s="478">
        <v>7</v>
      </c>
      <c r="B4099" s="479" t="s">
        <v>291</v>
      </c>
      <c r="C4099" s="480" t="s">
        <v>774</v>
      </c>
      <c r="D4099" s="481" t="s">
        <v>309</v>
      </c>
      <c r="E4099" s="482">
        <v>107.95</v>
      </c>
      <c r="F4099" s="483" t="s">
        <v>292</v>
      </c>
      <c r="G4099" s="484">
        <v>0</v>
      </c>
      <c r="H4099" s="688" t="str">
        <f t="shared" si="3055"/>
        <v/>
      </c>
      <c r="I4099" s="485">
        <f t="shared" si="3056"/>
        <v>0</v>
      </c>
      <c r="J4099" s="485">
        <f t="shared" si="3057"/>
        <v>0</v>
      </c>
      <c r="K4099" s="715">
        <f t="shared" ref="K4099" si="3066">I4099+J4099</f>
        <v>0</v>
      </c>
      <c r="L4099" s="715"/>
      <c r="M4099" s="689" t="str">
        <f t="shared" ca="1" si="3059"/>
        <v/>
      </c>
      <c r="N4099" s="690"/>
      <c r="O4099" s="486"/>
      <c r="P4099" s="486"/>
      <c r="Q4099" s="486"/>
      <c r="R4099" s="486"/>
      <c r="S4099" s="486"/>
      <c r="T4099" s="102">
        <f t="shared" si="3023"/>
        <v>0</v>
      </c>
      <c r="U4099" s="78">
        <f>IF(NOT(ISNUMBER(G4099)), "", VLOOKUP(A4099,'Discount Lookup'!D:E,2,FALSE)*G4099)</f>
        <v>0</v>
      </c>
      <c r="V4099" s="78">
        <f>IF(NOT(ISNUMBER(G4099)), "", VLOOKUP(A4099,'Discount Lookup'!G:H,2,FALSE)*G4099)</f>
        <v>0</v>
      </c>
      <c r="W4099" s="102">
        <f t="shared" si="3024"/>
        <v>0</v>
      </c>
      <c r="X4099" s="102">
        <f t="shared" si="3025"/>
        <v>0</v>
      </c>
      <c r="Y4099" s="120" t="b">
        <f t="shared" si="3026"/>
        <v>0</v>
      </c>
      <c r="Z4099" s="117">
        <f t="shared" si="3027"/>
        <v>0</v>
      </c>
      <c r="AA4099" s="118"/>
      <c r="AB4099" s="118" t="str">
        <f t="shared" si="3028"/>
        <v/>
      </c>
      <c r="AC4099" s="712" t="str">
        <f>IF(AE4099="T2G","no charge",IF(AND(OR(PlanterYesMe="No",PlanterYesMe="N",PlanterYesMe="me"),H4099=""),"",IF(H4099="credit","NO install",IF(AND(K4099="",AE4099="me"),"EACH row",IF(AND(K4099="images",AE4099="me"),"EACH row",IF(D4099="","",IF(H4099="credit","",IF(AE4099="free","re-planting",IF(AE4099="me","   not ELP, by",IF(AND(OR(PlanterYesMe="Yes",PlanterYesMe="Y"),G4099&gt;0),(VLOOKUP(A4099,'Discount Lookup'!J:K,2)*G4099*(1-PlanterDiscount)*(1+PlanterDifficultyPercentage)),IF(AE4099="ELP",(VLOOKUP(A4099,'Discount Lookup'!J:K,2)*G4099*(1-PlanterDiscount)*(1+PlanterDifficultyPercentage)),IF(AE4099="free","re-planting",IF(G4099=0,"",IF(PlanterYesMe="",IF(AE4099="me","   not ELP, by",IF(AE4099="",IF(G4099&gt;0,(VLOOKUP(A4099,'Discount Lookup'!J:K,2)*G4099*(1-PlanterDiscount)*(1+PlanterDifficultyPercentage)),""),"")),"   not ELP, by"))))))))))))))</f>
        <v/>
      </c>
      <c r="AD4099" s="712"/>
      <c r="AE4099" s="513" t="str">
        <f t="shared" si="3029"/>
        <v/>
      </c>
      <c r="AF4099" s="713" t="str">
        <f t="shared" si="3030"/>
        <v/>
      </c>
      <c r="AG4099" s="713"/>
      <c r="AH4099" s="713"/>
      <c r="AI4099" s="112">
        <f>IF(H4099="credit",0,IF(AE4099="free",0,IF(AE4099="me",0,IF(G4099&gt;0,(VLOOKUP(A4099,'Discount Lookup'!J:K,2)*G4099),0))))</f>
        <v>0</v>
      </c>
      <c r="AJ4099" s="107" t="str">
        <f t="shared" ca="1" si="3031"/>
        <v/>
      </c>
      <c r="AK4099" s="714" t="str">
        <f t="shared" si="3032"/>
        <v/>
      </c>
      <c r="AL4099" s="714"/>
      <c r="AM4099" s="114" t="str">
        <f t="shared" si="3033"/>
        <v/>
      </c>
      <c r="AN4099" s="115"/>
      <c r="AO4099" s="116"/>
      <c r="AP4099" s="116"/>
      <c r="AQ4099" s="116"/>
      <c r="AR4099" s="116"/>
      <c r="AS4099" s="116"/>
      <c r="AT4099" s="116"/>
      <c r="AU4099" s="116"/>
      <c r="AV4099" s="78"/>
      <c r="AW4099" s="102"/>
      <c r="AX4099" s="78"/>
      <c r="AY4099" s="78"/>
      <c r="AZ4099" s="78"/>
      <c r="BA4099" s="78"/>
      <c r="BB4099" s="78"/>
      <c r="BC4099" s="78"/>
      <c r="BD4099" s="78"/>
      <c r="BE4099" s="465"/>
      <c r="BF4099" s="165" t="str">
        <f t="shared" si="3034"/>
        <v>https://www.google.com/search?tbm=isch&amp;q=7%20G3</v>
      </c>
      <c r="BG4099" s="165" t="str">
        <f t="shared" si="3035"/>
        <v>T</v>
      </c>
      <c r="BH4099" s="65"/>
      <c r="BI4099" s="65"/>
      <c r="BJ4099" s="65"/>
      <c r="BK4099" s="65"/>
      <c r="BL4099" s="99"/>
      <c r="BM4099" s="99"/>
      <c r="BN4099" s="99"/>
    </row>
    <row r="4100" spans="1:66" s="51" customFormat="1" ht="15.75" x14ac:dyDescent="0.25">
      <c r="A4100" s="478">
        <v>7</v>
      </c>
      <c r="B4100" s="479" t="s">
        <v>291</v>
      </c>
      <c r="C4100" s="480" t="s">
        <v>775</v>
      </c>
      <c r="D4100" s="481" t="s">
        <v>309</v>
      </c>
      <c r="E4100" s="482">
        <v>131.94999999999999</v>
      </c>
      <c r="F4100" s="483" t="s">
        <v>292</v>
      </c>
      <c r="G4100" s="484">
        <v>0</v>
      </c>
      <c r="H4100" s="688" t="str">
        <f t="shared" si="3055"/>
        <v/>
      </c>
      <c r="I4100" s="485">
        <f t="shared" si="3056"/>
        <v>0</v>
      </c>
      <c r="J4100" s="485">
        <f t="shared" si="3057"/>
        <v>0</v>
      </c>
      <c r="K4100" s="715">
        <f t="shared" ref="K4100" si="3067">I4100+J4100</f>
        <v>0</v>
      </c>
      <c r="L4100" s="715"/>
      <c r="M4100" s="689" t="str">
        <f t="shared" ca="1" si="3059"/>
        <v/>
      </c>
      <c r="N4100" s="690"/>
      <c r="O4100" s="486"/>
      <c r="P4100" s="486"/>
      <c r="Q4100" s="486"/>
      <c r="R4100" s="486"/>
      <c r="S4100" s="486"/>
      <c r="T4100" s="102">
        <f t="shared" si="3023"/>
        <v>0</v>
      </c>
      <c r="U4100" s="78">
        <f>IF(NOT(ISNUMBER(G4100)), "", VLOOKUP(A4100,'Discount Lookup'!D:E,2,FALSE)*G4100)</f>
        <v>0</v>
      </c>
      <c r="V4100" s="78">
        <f>IF(NOT(ISNUMBER(G4100)), "", VLOOKUP(A4100,'Discount Lookup'!G:H,2,FALSE)*G4100)</f>
        <v>0</v>
      </c>
      <c r="W4100" s="102">
        <f t="shared" si="3024"/>
        <v>0</v>
      </c>
      <c r="X4100" s="102">
        <f t="shared" si="3025"/>
        <v>0</v>
      </c>
      <c r="Y4100" s="120" t="b">
        <f t="shared" si="3026"/>
        <v>0</v>
      </c>
      <c r="Z4100" s="117">
        <f t="shared" si="3027"/>
        <v>0</v>
      </c>
      <c r="AA4100" s="118"/>
      <c r="AB4100" s="118" t="str">
        <f t="shared" si="3028"/>
        <v/>
      </c>
      <c r="AC4100" s="712" t="str">
        <f>IF(AE4100="T2G","no charge",IF(AND(OR(PlanterYesMe="No",PlanterYesMe="N",PlanterYesMe="me"),H4100=""),"",IF(H4100="credit","NO install",IF(AND(K4100="",AE4100="me"),"EACH row",IF(AND(K4100="images",AE4100="me"),"EACH row",IF(D4100="","",IF(H4100="credit","",IF(AE4100="free","re-planting",IF(AE4100="me","   not ELP, by",IF(AND(OR(PlanterYesMe="Yes",PlanterYesMe="Y"),G4100&gt;0),(VLOOKUP(A4100,'Discount Lookup'!J:K,2)*G4100*(1-PlanterDiscount)*(1+PlanterDifficultyPercentage)),IF(AE4100="ELP",(VLOOKUP(A4100,'Discount Lookup'!J:K,2)*G4100*(1-PlanterDiscount)*(1+PlanterDifficultyPercentage)),IF(AE4100="free","re-planting",IF(G4100=0,"",IF(PlanterYesMe="",IF(AE4100="me","   not ELP, by",IF(AE4100="",IF(G4100&gt;0,(VLOOKUP(A4100,'Discount Lookup'!J:K,2)*G4100*(1-PlanterDiscount)*(1+PlanterDifficultyPercentage)),""),"")),"   not ELP, by"))))))))))))))</f>
        <v/>
      </c>
      <c r="AD4100" s="712"/>
      <c r="AE4100" s="513" t="str">
        <f t="shared" si="3029"/>
        <v/>
      </c>
      <c r="AF4100" s="713" t="str">
        <f t="shared" si="3030"/>
        <v/>
      </c>
      <c r="AG4100" s="713"/>
      <c r="AH4100" s="713"/>
      <c r="AI4100" s="112">
        <f>IF(H4100="credit",0,IF(AE4100="free",0,IF(AE4100="me",0,IF(G4100&gt;0,(VLOOKUP(A4100,'Discount Lookup'!J:K,2)*G4100),0))))</f>
        <v>0</v>
      </c>
      <c r="AJ4100" s="107" t="str">
        <f t="shared" ca="1" si="3031"/>
        <v/>
      </c>
      <c r="AK4100" s="714" t="str">
        <f t="shared" si="3032"/>
        <v/>
      </c>
      <c r="AL4100" s="714"/>
      <c r="AM4100" s="114" t="str">
        <f t="shared" si="3033"/>
        <v/>
      </c>
      <c r="AN4100" s="115"/>
      <c r="AO4100" s="116"/>
      <c r="AP4100" s="116"/>
      <c r="AQ4100" s="116"/>
      <c r="AR4100" s="116"/>
      <c r="AS4100" s="116"/>
      <c r="AT4100" s="116"/>
      <c r="AU4100" s="116"/>
      <c r="AV4100" s="78"/>
      <c r="AW4100" s="102"/>
      <c r="AX4100" s="78"/>
      <c r="AY4100" s="78"/>
      <c r="AZ4100" s="78"/>
      <c r="BA4100" s="78"/>
      <c r="BB4100" s="78"/>
      <c r="BC4100" s="78"/>
      <c r="BD4100" s="78"/>
      <c r="BE4100" s="465"/>
      <c r="BF4100" s="165" t="str">
        <f t="shared" si="3034"/>
        <v>https://www.google.com/search?tbm=isch&amp;q=7%20G3</v>
      </c>
      <c r="BG4100" s="165" t="str">
        <f t="shared" si="3035"/>
        <v>T</v>
      </c>
      <c r="BH4100" s="65"/>
      <c r="BI4100" s="65"/>
      <c r="BJ4100" s="65"/>
      <c r="BK4100" s="65"/>
      <c r="BL4100" s="99"/>
      <c r="BM4100" s="99"/>
      <c r="BN4100" s="99"/>
    </row>
    <row r="4101" spans="1:66" s="51" customFormat="1" ht="15.75" x14ac:dyDescent="0.25">
      <c r="A4101" s="478">
        <v>10</v>
      </c>
      <c r="B4101" s="479" t="s">
        <v>291</v>
      </c>
      <c r="C4101" s="480"/>
      <c r="D4101" s="481" t="s">
        <v>329</v>
      </c>
      <c r="E4101" s="482">
        <v>142.94999999999999</v>
      </c>
      <c r="F4101" s="483" t="s">
        <v>292</v>
      </c>
      <c r="G4101" s="484">
        <v>0</v>
      </c>
      <c r="H4101" s="688" t="str">
        <f t="shared" si="3055"/>
        <v/>
      </c>
      <c r="I4101" s="485">
        <f t="shared" si="3056"/>
        <v>0</v>
      </c>
      <c r="J4101" s="485">
        <f t="shared" si="3057"/>
        <v>0</v>
      </c>
      <c r="K4101" s="715">
        <f t="shared" ref="K4101" si="3068">I4101+J4101</f>
        <v>0</v>
      </c>
      <c r="L4101" s="715"/>
      <c r="M4101" s="689" t="str">
        <f t="shared" ca="1" si="3059"/>
        <v/>
      </c>
      <c r="N4101" s="690"/>
      <c r="O4101" s="486"/>
      <c r="P4101" s="486"/>
      <c r="Q4101" s="486"/>
      <c r="R4101" s="486"/>
      <c r="S4101" s="486"/>
      <c r="T4101" s="102">
        <f t="shared" si="3023"/>
        <v>0</v>
      </c>
      <c r="U4101" s="78">
        <f>IF(NOT(ISNUMBER(G4101)), "", VLOOKUP(A4101,'Discount Lookup'!D:E,2,FALSE)*G4101)</f>
        <v>0</v>
      </c>
      <c r="V4101" s="78">
        <f>IF(NOT(ISNUMBER(G4101)), "", VLOOKUP(A4101,'Discount Lookup'!G:H,2,FALSE)*G4101)</f>
        <v>0</v>
      </c>
      <c r="W4101" s="102">
        <f t="shared" si="3024"/>
        <v>0</v>
      </c>
      <c r="X4101" s="102">
        <f t="shared" si="3025"/>
        <v>0</v>
      </c>
      <c r="Y4101" s="120" t="b">
        <f t="shared" si="3026"/>
        <v>0</v>
      </c>
      <c r="Z4101" s="117">
        <f t="shared" si="3027"/>
        <v>0</v>
      </c>
      <c r="AA4101" s="118"/>
      <c r="AB4101" s="118" t="str">
        <f t="shared" si="3028"/>
        <v/>
      </c>
      <c r="AC4101" s="712" t="str">
        <f>IF(AE4101="T2G","no charge",IF(AND(OR(PlanterYesMe="No",PlanterYesMe="N",PlanterYesMe="me"),H4101=""),"",IF(H4101="credit","NO install",IF(AND(K4101="",AE4101="me"),"EACH row",IF(AND(K4101="images",AE4101="me"),"EACH row",IF(D4101="","",IF(H4101="credit","",IF(AE4101="free","re-planting",IF(AE4101="me","   not ELP, by",IF(AND(OR(PlanterYesMe="Yes",PlanterYesMe="Y"),G4101&gt;0),(VLOOKUP(A4101,'Discount Lookup'!J:K,2)*G4101*(1-PlanterDiscount)*(1+PlanterDifficultyPercentage)),IF(AE4101="ELP",(VLOOKUP(A4101,'Discount Lookup'!J:K,2)*G4101*(1-PlanterDiscount)*(1+PlanterDifficultyPercentage)),IF(AE4101="free","re-planting",IF(G4101=0,"",IF(PlanterYesMe="",IF(AE4101="me","   not ELP, by",IF(AE4101="",IF(G4101&gt;0,(VLOOKUP(A4101,'Discount Lookup'!J:K,2)*G4101*(1-PlanterDiscount)*(1+PlanterDifficultyPercentage)),""),"")),"   not ELP, by"))))))))))))))</f>
        <v/>
      </c>
      <c r="AD4101" s="712"/>
      <c r="AE4101" s="513" t="str">
        <f t="shared" si="3029"/>
        <v/>
      </c>
      <c r="AF4101" s="713" t="str">
        <f t="shared" si="3030"/>
        <v/>
      </c>
      <c r="AG4101" s="713"/>
      <c r="AH4101" s="713"/>
      <c r="AI4101" s="112">
        <f>IF(H4101="credit",0,IF(AE4101="free",0,IF(AE4101="me",0,IF(G4101&gt;0,(VLOOKUP(A4101,'Discount Lookup'!J:K,2)*G4101),0))))</f>
        <v>0</v>
      </c>
      <c r="AJ4101" s="107" t="str">
        <f t="shared" ca="1" si="3031"/>
        <v/>
      </c>
      <c r="AK4101" s="714" t="str">
        <f t="shared" si="3032"/>
        <v/>
      </c>
      <c r="AL4101" s="714"/>
      <c r="AM4101" s="114" t="str">
        <f t="shared" si="3033"/>
        <v/>
      </c>
      <c r="AN4101" s="115"/>
      <c r="AO4101" s="116"/>
      <c r="AP4101" s="116"/>
      <c r="AQ4101" s="116"/>
      <c r="AR4101" s="116"/>
      <c r="AS4101" s="116"/>
      <c r="AT4101" s="116"/>
      <c r="AU4101" s="116"/>
      <c r="AV4101" s="78"/>
      <c r="AW4101" s="102"/>
      <c r="AX4101" s="78"/>
      <c r="AY4101" s="78"/>
      <c r="AZ4101" s="78"/>
      <c r="BA4101" s="78"/>
      <c r="BB4101" s="78"/>
      <c r="BC4101" s="78"/>
      <c r="BD4101" s="78"/>
      <c r="BE4101" s="465"/>
      <c r="BF4101" s="165" t="str">
        <f t="shared" si="3034"/>
        <v>https://www.google.com/search?tbm=isch&amp;q=10%20G2</v>
      </c>
      <c r="BG4101" s="165" t="str">
        <f t="shared" si="3035"/>
        <v>T</v>
      </c>
      <c r="BH4101" s="65"/>
      <c r="BI4101" s="65"/>
      <c r="BJ4101" s="65"/>
      <c r="BK4101" s="65"/>
      <c r="BL4101" s="99"/>
      <c r="BM4101" s="99"/>
      <c r="BN4101" s="99"/>
    </row>
    <row r="4102" spans="1:66" s="51" customFormat="1" ht="15.75" x14ac:dyDescent="0.25">
      <c r="A4102" s="478">
        <v>10</v>
      </c>
      <c r="B4102" s="479" t="s">
        <v>291</v>
      </c>
      <c r="C4102" s="480" t="s">
        <v>1012</v>
      </c>
      <c r="D4102" s="481" t="s">
        <v>299</v>
      </c>
      <c r="E4102" s="482">
        <v>148.94999999999999</v>
      </c>
      <c r="F4102" s="483" t="s">
        <v>292</v>
      </c>
      <c r="G4102" s="484">
        <v>0</v>
      </c>
      <c r="H4102" s="688" t="str">
        <f t="shared" si="3055"/>
        <v/>
      </c>
      <c r="I4102" s="485">
        <f t="shared" si="3056"/>
        <v>0</v>
      </c>
      <c r="J4102" s="485">
        <f t="shared" si="3057"/>
        <v>0</v>
      </c>
      <c r="K4102" s="715">
        <f t="shared" ref="K4102" si="3069">I4102+J4102</f>
        <v>0</v>
      </c>
      <c r="L4102" s="715"/>
      <c r="M4102" s="689" t="str">
        <f t="shared" ca="1" si="3059"/>
        <v/>
      </c>
      <c r="N4102" s="690"/>
      <c r="O4102" s="486"/>
      <c r="P4102" s="486"/>
      <c r="Q4102" s="486"/>
      <c r="R4102" s="486"/>
      <c r="S4102" s="486"/>
      <c r="T4102" s="102">
        <f t="shared" si="3023"/>
        <v>0</v>
      </c>
      <c r="U4102" s="78">
        <f>IF(NOT(ISNUMBER(G4102)), "", VLOOKUP(A4102,'Discount Lookup'!D:E,2,FALSE)*G4102)</f>
        <v>0</v>
      </c>
      <c r="V4102" s="78">
        <f>IF(NOT(ISNUMBER(G4102)), "", VLOOKUP(A4102,'Discount Lookup'!G:H,2,FALSE)*G4102)</f>
        <v>0</v>
      </c>
      <c r="W4102" s="102">
        <f t="shared" si="3024"/>
        <v>0</v>
      </c>
      <c r="X4102" s="102">
        <f t="shared" si="3025"/>
        <v>0</v>
      </c>
      <c r="Y4102" s="120" t="b">
        <f t="shared" si="3026"/>
        <v>0</v>
      </c>
      <c r="Z4102" s="117">
        <f t="shared" si="3027"/>
        <v>0</v>
      </c>
      <c r="AA4102" s="118"/>
      <c r="AB4102" s="118" t="str">
        <f t="shared" si="3028"/>
        <v/>
      </c>
      <c r="AC4102" s="712" t="str">
        <f>IF(AE4102="T2G","no charge",IF(AND(OR(PlanterYesMe="No",PlanterYesMe="N",PlanterYesMe="me"),H4102=""),"",IF(H4102="credit","NO install",IF(AND(K4102="",AE4102="me"),"EACH row",IF(AND(K4102="images",AE4102="me"),"EACH row",IF(D4102="","",IF(H4102="credit","",IF(AE4102="free","re-planting",IF(AE4102="me","   not ELP, by",IF(AND(OR(PlanterYesMe="Yes",PlanterYesMe="Y"),G4102&gt;0),(VLOOKUP(A4102,'Discount Lookup'!J:K,2)*G4102*(1-PlanterDiscount)*(1+PlanterDifficultyPercentage)),IF(AE4102="ELP",(VLOOKUP(A4102,'Discount Lookup'!J:K,2)*G4102*(1-PlanterDiscount)*(1+PlanterDifficultyPercentage)),IF(AE4102="free","re-planting",IF(G4102=0,"",IF(PlanterYesMe="",IF(AE4102="me","   not ELP, by",IF(AE4102="",IF(G4102&gt;0,(VLOOKUP(A4102,'Discount Lookup'!J:K,2)*G4102*(1-PlanterDiscount)*(1+PlanterDifficultyPercentage)),""),"")),"   not ELP, by"))))))))))))))</f>
        <v/>
      </c>
      <c r="AD4102" s="712"/>
      <c r="AE4102" s="513" t="str">
        <f t="shared" si="3029"/>
        <v/>
      </c>
      <c r="AF4102" s="713" t="str">
        <f t="shared" si="3030"/>
        <v/>
      </c>
      <c r="AG4102" s="713"/>
      <c r="AH4102" s="713"/>
      <c r="AI4102" s="112">
        <f>IF(H4102="credit",0,IF(AE4102="free",0,IF(AE4102="me",0,IF(G4102&gt;0,(VLOOKUP(A4102,'Discount Lookup'!J:K,2)*G4102),0))))</f>
        <v>0</v>
      </c>
      <c r="AJ4102" s="107" t="str">
        <f t="shared" ca="1" si="3031"/>
        <v/>
      </c>
      <c r="AK4102" s="714" t="str">
        <f t="shared" si="3032"/>
        <v/>
      </c>
      <c r="AL4102" s="714"/>
      <c r="AM4102" s="114" t="str">
        <f t="shared" si="3033"/>
        <v/>
      </c>
      <c r="AN4102" s="115"/>
      <c r="AO4102" s="116"/>
      <c r="AP4102" s="116"/>
      <c r="AQ4102" s="116"/>
      <c r="AR4102" s="116"/>
      <c r="AS4102" s="116"/>
      <c r="AT4102" s="116"/>
      <c r="AU4102" s="116"/>
      <c r="AV4102" s="78"/>
      <c r="AW4102" s="102"/>
      <c r="AX4102" s="78"/>
      <c r="AY4102" s="78"/>
      <c r="AZ4102" s="78"/>
      <c r="BA4102" s="78"/>
      <c r="BB4102" s="78"/>
      <c r="BC4102" s="78"/>
      <c r="BD4102" s="78"/>
      <c r="BE4102" s="465"/>
      <c r="BF4102" s="165" t="str">
        <f t="shared" si="3034"/>
        <v>https://www.google.com/search?tbm=isch&amp;q=10%20G4</v>
      </c>
      <c r="BG4102" s="165" t="str">
        <f t="shared" si="3035"/>
        <v>T</v>
      </c>
      <c r="BH4102" s="65"/>
      <c r="BI4102" s="65"/>
      <c r="BJ4102" s="65"/>
      <c r="BK4102" s="65"/>
      <c r="BL4102" s="99"/>
      <c r="BM4102" s="99"/>
      <c r="BN4102" s="99"/>
    </row>
    <row r="4103" spans="1:66" s="51" customFormat="1" ht="15.75" x14ac:dyDescent="0.25">
      <c r="A4103" s="478">
        <v>15</v>
      </c>
      <c r="B4103" s="479" t="s">
        <v>291</v>
      </c>
      <c r="C4103" s="480" t="s">
        <v>864</v>
      </c>
      <c r="D4103" s="481" t="s">
        <v>309</v>
      </c>
      <c r="E4103" s="482">
        <v>155.94999999999999</v>
      </c>
      <c r="F4103" s="483" t="s">
        <v>292</v>
      </c>
      <c r="G4103" s="484">
        <v>0</v>
      </c>
      <c r="H4103" s="688" t="str">
        <f t="shared" si="3055"/>
        <v/>
      </c>
      <c r="I4103" s="485">
        <f t="shared" si="3056"/>
        <v>0</v>
      </c>
      <c r="J4103" s="485">
        <f t="shared" si="3057"/>
        <v>0</v>
      </c>
      <c r="K4103" s="715">
        <f t="shared" ref="K4103" si="3070">I4103+J4103</f>
        <v>0</v>
      </c>
      <c r="L4103" s="715"/>
      <c r="M4103" s="689" t="str">
        <f t="shared" ca="1" si="3059"/>
        <v/>
      </c>
      <c r="N4103" s="690"/>
      <c r="O4103" s="486"/>
      <c r="P4103" s="486"/>
      <c r="Q4103" s="486"/>
      <c r="R4103" s="486"/>
      <c r="S4103" s="486"/>
      <c r="T4103" s="102">
        <f t="shared" si="3023"/>
        <v>0</v>
      </c>
      <c r="U4103" s="78">
        <f>IF(NOT(ISNUMBER(G4103)), "", VLOOKUP(A4103,'Discount Lookup'!D:E,2,FALSE)*G4103)</f>
        <v>0</v>
      </c>
      <c r="V4103" s="78">
        <f>IF(NOT(ISNUMBER(G4103)), "", VLOOKUP(A4103,'Discount Lookup'!G:H,2,FALSE)*G4103)</f>
        <v>0</v>
      </c>
      <c r="W4103" s="102">
        <f t="shared" si="3024"/>
        <v>0</v>
      </c>
      <c r="X4103" s="102">
        <f t="shared" si="3025"/>
        <v>0</v>
      </c>
      <c r="Y4103" s="120" t="b">
        <f t="shared" si="3026"/>
        <v>0</v>
      </c>
      <c r="Z4103" s="117">
        <f t="shared" si="3027"/>
        <v>0</v>
      </c>
      <c r="AA4103" s="118"/>
      <c r="AB4103" s="118" t="str">
        <f t="shared" si="3028"/>
        <v/>
      </c>
      <c r="AC4103" s="712" t="str">
        <f>IF(AE4103="T2G","no charge",IF(AND(OR(PlanterYesMe="No",PlanterYesMe="N",PlanterYesMe="me"),H4103=""),"",IF(H4103="credit","NO install",IF(AND(K4103="",AE4103="me"),"EACH row",IF(AND(K4103="images",AE4103="me"),"EACH row",IF(D4103="","",IF(H4103="credit","",IF(AE4103="free","re-planting",IF(AE4103="me","   not ELP, by",IF(AND(OR(PlanterYesMe="Yes",PlanterYesMe="Y"),G4103&gt;0),(VLOOKUP(A4103,'Discount Lookup'!J:K,2)*G4103*(1-PlanterDiscount)*(1+PlanterDifficultyPercentage)),IF(AE4103="ELP",(VLOOKUP(A4103,'Discount Lookup'!J:K,2)*G4103*(1-PlanterDiscount)*(1+PlanterDifficultyPercentage)),IF(AE4103="free","re-planting",IF(G4103=0,"",IF(PlanterYesMe="",IF(AE4103="me","   not ELP, by",IF(AE4103="",IF(G4103&gt;0,(VLOOKUP(A4103,'Discount Lookup'!J:K,2)*G4103*(1-PlanterDiscount)*(1+PlanterDifficultyPercentage)),""),"")),"   not ELP, by"))))))))))))))</f>
        <v/>
      </c>
      <c r="AD4103" s="712"/>
      <c r="AE4103" s="513" t="str">
        <f t="shared" si="3029"/>
        <v/>
      </c>
      <c r="AF4103" s="713" t="str">
        <f t="shared" si="3030"/>
        <v/>
      </c>
      <c r="AG4103" s="713"/>
      <c r="AH4103" s="713"/>
      <c r="AI4103" s="112">
        <f>IF(H4103="credit",0,IF(AE4103="free",0,IF(AE4103="me",0,IF(G4103&gt;0,(VLOOKUP(A4103,'Discount Lookup'!J:K,2)*G4103),0))))</f>
        <v>0</v>
      </c>
      <c r="AJ4103" s="107" t="str">
        <f t="shared" ca="1" si="3031"/>
        <v/>
      </c>
      <c r="AK4103" s="714" t="str">
        <f t="shared" si="3032"/>
        <v/>
      </c>
      <c r="AL4103" s="714"/>
      <c r="AM4103" s="114" t="str">
        <f t="shared" si="3033"/>
        <v/>
      </c>
      <c r="AN4103" s="115"/>
      <c r="AO4103" s="116"/>
      <c r="AP4103" s="116"/>
      <c r="AQ4103" s="116"/>
      <c r="AR4103" s="116"/>
      <c r="AS4103" s="116"/>
      <c r="AT4103" s="116"/>
      <c r="AU4103" s="116"/>
      <c r="AV4103" s="78"/>
      <c r="AW4103" s="102"/>
      <c r="AX4103" s="78"/>
      <c r="AY4103" s="78"/>
      <c r="AZ4103" s="78"/>
      <c r="BA4103" s="78"/>
      <c r="BB4103" s="78"/>
      <c r="BC4103" s="78"/>
      <c r="BD4103" s="78"/>
      <c r="BE4103" s="465"/>
      <c r="BF4103" s="165" t="str">
        <f t="shared" si="3034"/>
        <v>https://www.google.com/search?tbm=isch&amp;q=15%20G3</v>
      </c>
      <c r="BG4103" s="165" t="str">
        <f t="shared" si="3035"/>
        <v>T</v>
      </c>
      <c r="BH4103" s="65"/>
      <c r="BI4103" s="65"/>
      <c r="BJ4103" s="65"/>
      <c r="BK4103" s="65"/>
      <c r="BL4103" s="99"/>
      <c r="BM4103" s="99"/>
      <c r="BN4103" s="99"/>
    </row>
    <row r="4104" spans="1:66" s="51" customFormat="1" ht="15.75" x14ac:dyDescent="0.25">
      <c r="A4104" s="478">
        <v>15</v>
      </c>
      <c r="B4104" s="479" t="s">
        <v>291</v>
      </c>
      <c r="C4104" s="480" t="s">
        <v>887</v>
      </c>
      <c r="D4104" s="481" t="s">
        <v>293</v>
      </c>
      <c r="E4104" s="482">
        <v>173.95</v>
      </c>
      <c r="F4104" s="483" t="s">
        <v>292</v>
      </c>
      <c r="G4104" s="484">
        <v>0</v>
      </c>
      <c r="H4104" s="688" t="str">
        <f t="shared" si="3055"/>
        <v/>
      </c>
      <c r="I4104" s="485">
        <f t="shared" si="3056"/>
        <v>0</v>
      </c>
      <c r="J4104" s="485">
        <f t="shared" si="3057"/>
        <v>0</v>
      </c>
      <c r="K4104" s="715">
        <f t="shared" ref="K4104" si="3071">I4104+J4104</f>
        <v>0</v>
      </c>
      <c r="L4104" s="715"/>
      <c r="M4104" s="689" t="str">
        <f t="shared" ca="1" si="3059"/>
        <v/>
      </c>
      <c r="N4104" s="690"/>
      <c r="O4104" s="486"/>
      <c r="P4104" s="486"/>
      <c r="Q4104" s="486"/>
      <c r="R4104" s="486"/>
      <c r="S4104" s="486"/>
      <c r="T4104" s="102">
        <f t="shared" si="3023"/>
        <v>0</v>
      </c>
      <c r="U4104" s="78">
        <f>IF(NOT(ISNUMBER(G4104)), "", VLOOKUP(A4104,'Discount Lookup'!D:E,2,FALSE)*G4104)</f>
        <v>0</v>
      </c>
      <c r="V4104" s="78">
        <f>IF(NOT(ISNUMBER(G4104)), "", VLOOKUP(A4104,'Discount Lookup'!G:H,2,FALSE)*G4104)</f>
        <v>0</v>
      </c>
      <c r="W4104" s="102">
        <f t="shared" si="3024"/>
        <v>0</v>
      </c>
      <c r="X4104" s="102">
        <f t="shared" si="3025"/>
        <v>0</v>
      </c>
      <c r="Y4104" s="120" t="b">
        <f t="shared" si="3026"/>
        <v>0</v>
      </c>
      <c r="Z4104" s="117">
        <f t="shared" si="3027"/>
        <v>0</v>
      </c>
      <c r="AA4104" s="118"/>
      <c r="AB4104" s="118" t="str">
        <f t="shared" si="3028"/>
        <v/>
      </c>
      <c r="AC4104" s="712" t="str">
        <f>IF(AE4104="T2G","no charge",IF(AND(OR(PlanterYesMe="No",PlanterYesMe="N",PlanterYesMe="me"),H4104=""),"",IF(H4104="credit","NO install",IF(AND(K4104="",AE4104="me"),"EACH row",IF(AND(K4104="images",AE4104="me"),"EACH row",IF(D4104="","",IF(H4104="credit","",IF(AE4104="free","re-planting",IF(AE4104="me","   not ELP, by",IF(AND(OR(PlanterYesMe="Yes",PlanterYesMe="Y"),G4104&gt;0),(VLOOKUP(A4104,'Discount Lookup'!J:K,2)*G4104*(1-PlanterDiscount)*(1+PlanterDifficultyPercentage)),IF(AE4104="ELP",(VLOOKUP(A4104,'Discount Lookup'!J:K,2)*G4104*(1-PlanterDiscount)*(1+PlanterDifficultyPercentage)),IF(AE4104="free","re-planting",IF(G4104=0,"",IF(PlanterYesMe="",IF(AE4104="me","   not ELP, by",IF(AE4104="",IF(G4104&gt;0,(VLOOKUP(A4104,'Discount Lookup'!J:K,2)*G4104*(1-PlanterDiscount)*(1+PlanterDifficultyPercentage)),""),"")),"   not ELP, by"))))))))))))))</f>
        <v/>
      </c>
      <c r="AD4104" s="712"/>
      <c r="AE4104" s="513" t="str">
        <f t="shared" si="3029"/>
        <v/>
      </c>
      <c r="AF4104" s="713" t="str">
        <f t="shared" si="3030"/>
        <v/>
      </c>
      <c r="AG4104" s="713"/>
      <c r="AH4104" s="713"/>
      <c r="AI4104" s="112">
        <f>IF(H4104="credit",0,IF(AE4104="free",0,IF(AE4104="me",0,IF(G4104&gt;0,(VLOOKUP(A4104,'Discount Lookup'!J:K,2)*G4104),0))))</f>
        <v>0</v>
      </c>
      <c r="AJ4104" s="107" t="str">
        <f t="shared" ca="1" si="3031"/>
        <v/>
      </c>
      <c r="AK4104" s="714" t="str">
        <f t="shared" si="3032"/>
        <v/>
      </c>
      <c r="AL4104" s="714"/>
      <c r="AM4104" s="114" t="str">
        <f t="shared" si="3033"/>
        <v/>
      </c>
      <c r="AN4104" s="115"/>
      <c r="AO4104" s="116"/>
      <c r="AP4104" s="116"/>
      <c r="AQ4104" s="116"/>
      <c r="AR4104" s="116"/>
      <c r="AS4104" s="116"/>
      <c r="AT4104" s="116"/>
      <c r="AU4104" s="116"/>
      <c r="AV4104" s="78"/>
      <c r="AW4104" s="102"/>
      <c r="AX4104" s="78"/>
      <c r="AY4104" s="78"/>
      <c r="AZ4104" s="78"/>
      <c r="BA4104" s="78"/>
      <c r="BB4104" s="78"/>
      <c r="BC4104" s="78"/>
      <c r="BD4104" s="78"/>
      <c r="BE4104" s="465"/>
      <c r="BF4104" s="165" t="str">
        <f t="shared" si="3034"/>
        <v>https://www.google.com/search?tbm=isch&amp;q=15%20G6</v>
      </c>
      <c r="BG4104" s="165" t="str">
        <f t="shared" si="3035"/>
        <v>T</v>
      </c>
      <c r="BH4104" s="65"/>
      <c r="BI4104" s="65"/>
      <c r="BJ4104" s="65"/>
      <c r="BK4104" s="65"/>
      <c r="BL4104" s="99"/>
      <c r="BM4104" s="99"/>
      <c r="BN4104" s="99"/>
    </row>
    <row r="4105" spans="1:66" s="51" customFormat="1" ht="27" x14ac:dyDescent="0.25">
      <c r="A4105" s="478">
        <v>7</v>
      </c>
      <c r="B4105" s="479" t="s">
        <v>291</v>
      </c>
      <c r="C4105" s="480" t="s">
        <v>1013</v>
      </c>
      <c r="D4105" s="481" t="s">
        <v>299</v>
      </c>
      <c r="E4105" s="482">
        <v>252.95</v>
      </c>
      <c r="F4105" s="483" t="s">
        <v>292</v>
      </c>
      <c r="G4105" s="484">
        <v>0</v>
      </c>
      <c r="H4105" s="688" t="str">
        <f t="shared" si="3055"/>
        <v/>
      </c>
      <c r="I4105" s="485">
        <f t="shared" si="3056"/>
        <v>0</v>
      </c>
      <c r="J4105" s="485">
        <f t="shared" si="3057"/>
        <v>0</v>
      </c>
      <c r="K4105" s="715">
        <f t="shared" ref="K4105" si="3072">I4105+J4105</f>
        <v>0</v>
      </c>
      <c r="L4105" s="715"/>
      <c r="M4105" s="689" t="str">
        <f t="shared" ca="1" si="3059"/>
        <v/>
      </c>
      <c r="N4105" s="690"/>
      <c r="O4105" s="486"/>
      <c r="P4105" s="486"/>
      <c r="Q4105" s="486"/>
      <c r="R4105" s="486"/>
      <c r="S4105" s="486"/>
      <c r="T4105" s="102">
        <f t="shared" si="3023"/>
        <v>0</v>
      </c>
      <c r="U4105" s="78">
        <f>IF(NOT(ISNUMBER(G4105)), "", VLOOKUP(A4105,'Discount Lookup'!D:E,2,FALSE)*G4105)</f>
        <v>0</v>
      </c>
      <c r="V4105" s="78">
        <f>IF(NOT(ISNUMBER(G4105)), "", VLOOKUP(A4105,'Discount Lookup'!G:H,2,FALSE)*G4105)</f>
        <v>0</v>
      </c>
      <c r="W4105" s="102">
        <f t="shared" si="3024"/>
        <v>0</v>
      </c>
      <c r="X4105" s="102">
        <f t="shared" si="3025"/>
        <v>0</v>
      </c>
      <c r="Y4105" s="120" t="b">
        <f t="shared" si="3026"/>
        <v>0</v>
      </c>
      <c r="Z4105" s="117">
        <f t="shared" si="3027"/>
        <v>0</v>
      </c>
      <c r="AA4105" s="118"/>
      <c r="AB4105" s="118" t="str">
        <f t="shared" si="3028"/>
        <v/>
      </c>
      <c r="AC4105" s="712" t="str">
        <f>IF(AE4105="T2G","no charge",IF(AND(OR(PlanterYesMe="No",PlanterYesMe="N",PlanterYesMe="me"),H4105=""),"",IF(H4105="credit","NO install",IF(AND(K4105="",AE4105="me"),"EACH row",IF(AND(K4105="images",AE4105="me"),"EACH row",IF(D4105="","",IF(H4105="credit","",IF(AE4105="free","re-planting",IF(AE4105="me","   not ELP, by",IF(AND(OR(PlanterYesMe="Yes",PlanterYesMe="Y"),G4105&gt;0),(VLOOKUP(A4105,'Discount Lookup'!J:K,2)*G4105*(1-PlanterDiscount)*(1+PlanterDifficultyPercentage)),IF(AE4105="ELP",(VLOOKUP(A4105,'Discount Lookup'!J:K,2)*G4105*(1-PlanterDiscount)*(1+PlanterDifficultyPercentage)),IF(AE4105="free","re-planting",IF(G4105=0,"",IF(PlanterYesMe="",IF(AE4105="me","   not ELP, by",IF(AE4105="",IF(G4105&gt;0,(VLOOKUP(A4105,'Discount Lookup'!J:K,2)*G4105*(1-PlanterDiscount)*(1+PlanterDifficultyPercentage)),""),"")),"   not ELP, by"))))))))))))))</f>
        <v/>
      </c>
      <c r="AD4105" s="712"/>
      <c r="AE4105" s="513" t="str">
        <f t="shared" si="3029"/>
        <v/>
      </c>
      <c r="AF4105" s="713" t="str">
        <f t="shared" si="3030"/>
        <v/>
      </c>
      <c r="AG4105" s="713"/>
      <c r="AH4105" s="713"/>
      <c r="AI4105" s="112">
        <f>IF(H4105="credit",0,IF(AE4105="free",0,IF(AE4105="me",0,IF(G4105&gt;0,(VLOOKUP(A4105,'Discount Lookup'!J:K,2)*G4105),0))))</f>
        <v>0</v>
      </c>
      <c r="AJ4105" s="107" t="str">
        <f t="shared" ca="1" si="3031"/>
        <v/>
      </c>
      <c r="AK4105" s="714" t="str">
        <f t="shared" si="3032"/>
        <v/>
      </c>
      <c r="AL4105" s="714"/>
      <c r="AM4105" s="114" t="str">
        <f t="shared" si="3033"/>
        <v/>
      </c>
      <c r="AN4105" s="115"/>
      <c r="AO4105" s="116"/>
      <c r="AP4105" s="116"/>
      <c r="AQ4105" s="116"/>
      <c r="AR4105" s="116"/>
      <c r="AS4105" s="116"/>
      <c r="AT4105" s="116"/>
      <c r="AU4105" s="116"/>
      <c r="AV4105" s="78"/>
      <c r="AW4105" s="102"/>
      <c r="AX4105" s="78"/>
      <c r="AY4105" s="78"/>
      <c r="AZ4105" s="78"/>
      <c r="BA4105" s="78"/>
      <c r="BB4105" s="78"/>
      <c r="BC4105" s="78"/>
      <c r="BD4105" s="78"/>
      <c r="BE4105" s="465"/>
      <c r="BF4105" s="165" t="str">
        <f t="shared" si="3034"/>
        <v>https://www.google.com/search?tbm=isch&amp;q=7%20G4</v>
      </c>
      <c r="BG4105" s="165" t="str">
        <f t="shared" si="3035"/>
        <v>T</v>
      </c>
      <c r="BH4105" s="65"/>
      <c r="BI4105" s="65"/>
      <c r="BJ4105" s="65"/>
      <c r="BK4105" s="65"/>
      <c r="BL4105" s="99"/>
      <c r="BM4105" s="99"/>
      <c r="BN4105" s="99"/>
    </row>
    <row r="4106" spans="1:66" s="51" customFormat="1" ht="27" x14ac:dyDescent="0.25">
      <c r="A4106" s="478">
        <v>20</v>
      </c>
      <c r="B4106" s="479" t="s">
        <v>291</v>
      </c>
      <c r="C4106" s="480" t="s">
        <v>1014</v>
      </c>
      <c r="D4106" s="481" t="s">
        <v>299</v>
      </c>
      <c r="E4106" s="482">
        <v>263.95</v>
      </c>
      <c r="F4106" s="483" t="s">
        <v>292</v>
      </c>
      <c r="G4106" s="484">
        <v>0</v>
      </c>
      <c r="H4106" s="688" t="str">
        <f t="shared" si="3055"/>
        <v/>
      </c>
      <c r="I4106" s="485">
        <f t="shared" si="3056"/>
        <v>0</v>
      </c>
      <c r="J4106" s="485">
        <f t="shared" si="3057"/>
        <v>0</v>
      </c>
      <c r="K4106" s="715">
        <f t="shared" ref="K4106" si="3073">I4106+J4106</f>
        <v>0</v>
      </c>
      <c r="L4106" s="715"/>
      <c r="M4106" s="689" t="str">
        <f t="shared" ca="1" si="3059"/>
        <v/>
      </c>
      <c r="N4106" s="690"/>
      <c r="O4106" s="486"/>
      <c r="P4106" s="486"/>
      <c r="Q4106" s="486"/>
      <c r="R4106" s="486"/>
      <c r="S4106" s="486"/>
      <c r="T4106" s="102">
        <f t="shared" si="3023"/>
        <v>0</v>
      </c>
      <c r="U4106" s="78">
        <f>IF(NOT(ISNUMBER(G4106)), "", VLOOKUP(A4106,'Discount Lookup'!D:E,2,FALSE)*G4106)</f>
        <v>0</v>
      </c>
      <c r="V4106" s="78">
        <f>IF(NOT(ISNUMBER(G4106)), "", VLOOKUP(A4106,'Discount Lookup'!G:H,2,FALSE)*G4106)</f>
        <v>0</v>
      </c>
      <c r="W4106" s="102">
        <f t="shared" si="3024"/>
        <v>0</v>
      </c>
      <c r="X4106" s="102">
        <f t="shared" si="3025"/>
        <v>0</v>
      </c>
      <c r="Y4106" s="120" t="b">
        <f t="shared" si="3026"/>
        <v>0</v>
      </c>
      <c r="Z4106" s="117">
        <f t="shared" si="3027"/>
        <v>0</v>
      </c>
      <c r="AA4106" s="118"/>
      <c r="AB4106" s="118" t="str">
        <f t="shared" si="3028"/>
        <v/>
      </c>
      <c r="AC4106" s="712" t="str">
        <f>IF(AE4106="T2G","no charge",IF(AND(OR(PlanterYesMe="No",PlanterYesMe="N",PlanterYesMe="me"),H4106=""),"",IF(H4106="credit","NO install",IF(AND(K4106="",AE4106="me"),"EACH row",IF(AND(K4106="images",AE4106="me"),"EACH row",IF(D4106="","",IF(H4106="credit","",IF(AE4106="free","re-planting",IF(AE4106="me","   not ELP, by",IF(AND(OR(PlanterYesMe="Yes",PlanterYesMe="Y"),G4106&gt;0),(VLOOKUP(A4106,'Discount Lookup'!J:K,2)*G4106*(1-PlanterDiscount)*(1+PlanterDifficultyPercentage)),IF(AE4106="ELP",(VLOOKUP(A4106,'Discount Lookup'!J:K,2)*G4106*(1-PlanterDiscount)*(1+PlanterDifficultyPercentage)),IF(AE4106="free","re-planting",IF(G4106=0,"",IF(PlanterYesMe="",IF(AE4106="me","   not ELP, by",IF(AE4106="",IF(G4106&gt;0,(VLOOKUP(A4106,'Discount Lookup'!J:K,2)*G4106*(1-PlanterDiscount)*(1+PlanterDifficultyPercentage)),""),"")),"   not ELP, by"))))))))))))))</f>
        <v/>
      </c>
      <c r="AD4106" s="712"/>
      <c r="AE4106" s="513" t="str">
        <f t="shared" si="3029"/>
        <v/>
      </c>
      <c r="AF4106" s="713" t="str">
        <f t="shared" si="3030"/>
        <v/>
      </c>
      <c r="AG4106" s="713"/>
      <c r="AH4106" s="713"/>
      <c r="AI4106" s="112">
        <f>IF(H4106="credit",0,IF(AE4106="free",0,IF(AE4106="me",0,IF(G4106&gt;0,(VLOOKUP(A4106,'Discount Lookup'!J:K,2)*G4106),0))))</f>
        <v>0</v>
      </c>
      <c r="AJ4106" s="107" t="str">
        <f t="shared" ca="1" si="3031"/>
        <v/>
      </c>
      <c r="AK4106" s="714" t="str">
        <f t="shared" si="3032"/>
        <v/>
      </c>
      <c r="AL4106" s="714"/>
      <c r="AM4106" s="114" t="str">
        <f t="shared" si="3033"/>
        <v/>
      </c>
      <c r="AN4106" s="115"/>
      <c r="AO4106" s="116"/>
      <c r="AP4106" s="116"/>
      <c r="AQ4106" s="116"/>
      <c r="AR4106" s="116"/>
      <c r="AS4106" s="116"/>
      <c r="AT4106" s="116"/>
      <c r="AU4106" s="116"/>
      <c r="AV4106" s="78"/>
      <c r="AW4106" s="102"/>
      <c r="AX4106" s="78"/>
      <c r="AY4106" s="78"/>
      <c r="AZ4106" s="78"/>
      <c r="BA4106" s="78"/>
      <c r="BB4106" s="78"/>
      <c r="BC4106" s="78"/>
      <c r="BD4106" s="78"/>
      <c r="BE4106" s="465"/>
      <c r="BF4106" s="165" t="str">
        <f t="shared" si="3034"/>
        <v>https://www.google.com/search?tbm=isch&amp;q=20%20G4</v>
      </c>
      <c r="BG4106" s="165" t="str">
        <f t="shared" si="3035"/>
        <v>T</v>
      </c>
      <c r="BH4106" s="65"/>
      <c r="BI4106" s="65"/>
      <c r="BJ4106" s="65"/>
      <c r="BK4106" s="65"/>
      <c r="BL4106" s="99"/>
      <c r="BM4106" s="99"/>
      <c r="BN4106" s="99"/>
    </row>
    <row r="4107" spans="1:66" s="51" customFormat="1" ht="15.75" x14ac:dyDescent="0.25">
      <c r="A4107" s="478">
        <v>20</v>
      </c>
      <c r="B4107" s="479" t="s">
        <v>291</v>
      </c>
      <c r="C4107" s="480" t="s">
        <v>776</v>
      </c>
      <c r="D4107" s="481" t="s">
        <v>293</v>
      </c>
      <c r="E4107" s="482">
        <v>289.95</v>
      </c>
      <c r="F4107" s="483" t="s">
        <v>292</v>
      </c>
      <c r="G4107" s="484">
        <v>0</v>
      </c>
      <c r="H4107" s="688" t="str">
        <f t="shared" si="3055"/>
        <v/>
      </c>
      <c r="I4107" s="485">
        <f t="shared" si="3056"/>
        <v>0</v>
      </c>
      <c r="J4107" s="485">
        <f t="shared" si="3057"/>
        <v>0</v>
      </c>
      <c r="K4107" s="715">
        <f t="shared" ref="K4107" si="3074">I4107+J4107</f>
        <v>0</v>
      </c>
      <c r="L4107" s="715"/>
      <c r="M4107" s="689" t="str">
        <f t="shared" ca="1" si="3059"/>
        <v/>
      </c>
      <c r="N4107" s="690"/>
      <c r="O4107" s="486"/>
      <c r="P4107" s="486"/>
      <c r="Q4107" s="486"/>
      <c r="R4107" s="486"/>
      <c r="S4107" s="486"/>
      <c r="T4107" s="102">
        <f t="shared" si="3023"/>
        <v>0</v>
      </c>
      <c r="U4107" s="78">
        <f>IF(NOT(ISNUMBER(G4107)), "", VLOOKUP(A4107,'Discount Lookup'!D:E,2,FALSE)*G4107)</f>
        <v>0</v>
      </c>
      <c r="V4107" s="78">
        <f>IF(NOT(ISNUMBER(G4107)), "", VLOOKUP(A4107,'Discount Lookup'!G:H,2,FALSE)*G4107)</f>
        <v>0</v>
      </c>
      <c r="W4107" s="102">
        <f t="shared" si="3024"/>
        <v>0</v>
      </c>
      <c r="X4107" s="102">
        <f t="shared" si="3025"/>
        <v>0</v>
      </c>
      <c r="Y4107" s="120" t="b">
        <f t="shared" si="3026"/>
        <v>0</v>
      </c>
      <c r="Z4107" s="117">
        <f t="shared" si="3027"/>
        <v>0</v>
      </c>
      <c r="AA4107" s="118"/>
      <c r="AB4107" s="118" t="str">
        <f t="shared" si="3028"/>
        <v/>
      </c>
      <c r="AC4107" s="712" t="str">
        <f>IF(AE4107="T2G","no charge",IF(AND(OR(PlanterYesMe="No",PlanterYesMe="N",PlanterYesMe="me"),H4107=""),"",IF(H4107="credit","NO install",IF(AND(K4107="",AE4107="me"),"EACH row",IF(AND(K4107="images",AE4107="me"),"EACH row",IF(D4107="","",IF(H4107="credit","",IF(AE4107="free","re-planting",IF(AE4107="me","   not ELP, by",IF(AND(OR(PlanterYesMe="Yes",PlanterYesMe="Y"),G4107&gt;0),(VLOOKUP(A4107,'Discount Lookup'!J:K,2)*G4107*(1-PlanterDiscount)*(1+PlanterDifficultyPercentage)),IF(AE4107="ELP",(VLOOKUP(A4107,'Discount Lookup'!J:K,2)*G4107*(1-PlanterDiscount)*(1+PlanterDifficultyPercentage)),IF(AE4107="free","re-planting",IF(G4107=0,"",IF(PlanterYesMe="",IF(AE4107="me","   not ELP, by",IF(AE4107="",IF(G4107&gt;0,(VLOOKUP(A4107,'Discount Lookup'!J:K,2)*G4107*(1-PlanterDiscount)*(1+PlanterDifficultyPercentage)),""),"")),"   not ELP, by"))))))))))))))</f>
        <v/>
      </c>
      <c r="AD4107" s="712"/>
      <c r="AE4107" s="513" t="str">
        <f t="shared" si="3029"/>
        <v/>
      </c>
      <c r="AF4107" s="713" t="str">
        <f t="shared" si="3030"/>
        <v/>
      </c>
      <c r="AG4107" s="713"/>
      <c r="AH4107" s="713"/>
      <c r="AI4107" s="112">
        <f>IF(H4107="credit",0,IF(AE4107="free",0,IF(AE4107="me",0,IF(G4107&gt;0,(VLOOKUP(A4107,'Discount Lookup'!J:K,2)*G4107),0))))</f>
        <v>0</v>
      </c>
      <c r="AJ4107" s="107" t="str">
        <f t="shared" ca="1" si="3031"/>
        <v/>
      </c>
      <c r="AK4107" s="714" t="str">
        <f t="shared" si="3032"/>
        <v/>
      </c>
      <c r="AL4107" s="714"/>
      <c r="AM4107" s="114" t="str">
        <f t="shared" si="3033"/>
        <v/>
      </c>
      <c r="AN4107" s="115"/>
      <c r="AO4107" s="116"/>
      <c r="AP4107" s="116"/>
      <c r="AQ4107" s="116"/>
      <c r="AR4107" s="116"/>
      <c r="AS4107" s="116"/>
      <c r="AT4107" s="116"/>
      <c r="AU4107" s="116"/>
      <c r="AV4107" s="78"/>
      <c r="AW4107" s="102"/>
      <c r="AX4107" s="78"/>
      <c r="AY4107" s="78"/>
      <c r="AZ4107" s="78"/>
      <c r="BA4107" s="78"/>
      <c r="BB4107" s="78"/>
      <c r="BC4107" s="78"/>
      <c r="BD4107" s="78"/>
      <c r="BE4107" s="465"/>
      <c r="BF4107" s="165" t="str">
        <f t="shared" si="3034"/>
        <v>https://www.google.com/search?tbm=isch&amp;q=20%20G6</v>
      </c>
      <c r="BG4107" s="165" t="str">
        <f t="shared" si="3035"/>
        <v>T</v>
      </c>
      <c r="BH4107" s="65"/>
      <c r="BI4107" s="65"/>
      <c r="BJ4107" s="65"/>
      <c r="BK4107" s="65"/>
      <c r="BL4107" s="99"/>
      <c r="BM4107" s="99"/>
      <c r="BN4107" s="99"/>
    </row>
    <row r="4108" spans="1:66" s="51" customFormat="1" ht="27" x14ac:dyDescent="0.25">
      <c r="A4108" s="478">
        <v>15</v>
      </c>
      <c r="B4108" s="479" t="s">
        <v>291</v>
      </c>
      <c r="C4108" s="480" t="s">
        <v>1015</v>
      </c>
      <c r="D4108" s="481" t="s">
        <v>299</v>
      </c>
      <c r="E4108" s="482">
        <v>309.95</v>
      </c>
      <c r="F4108" s="483" t="s">
        <v>292</v>
      </c>
      <c r="G4108" s="484">
        <v>0</v>
      </c>
      <c r="H4108" s="688" t="str">
        <f t="shared" si="3055"/>
        <v/>
      </c>
      <c r="I4108" s="485">
        <f t="shared" si="3056"/>
        <v>0</v>
      </c>
      <c r="J4108" s="485">
        <f t="shared" si="3057"/>
        <v>0</v>
      </c>
      <c r="K4108" s="715">
        <f t="shared" ref="K4108" si="3075">I4108+J4108</f>
        <v>0</v>
      </c>
      <c r="L4108" s="715"/>
      <c r="M4108" s="689" t="str">
        <f t="shared" ca="1" si="3059"/>
        <v/>
      </c>
      <c r="N4108" s="690"/>
      <c r="O4108" s="486"/>
      <c r="P4108" s="486"/>
      <c r="Q4108" s="486"/>
      <c r="R4108" s="486"/>
      <c r="S4108" s="486"/>
      <c r="T4108" s="102">
        <f t="shared" si="3023"/>
        <v>0</v>
      </c>
      <c r="U4108" s="78">
        <f>IF(NOT(ISNUMBER(G4108)), "", VLOOKUP(A4108,'Discount Lookup'!D:E,2,FALSE)*G4108)</f>
        <v>0</v>
      </c>
      <c r="V4108" s="78">
        <f>IF(NOT(ISNUMBER(G4108)), "", VLOOKUP(A4108,'Discount Lookup'!G:H,2,FALSE)*G4108)</f>
        <v>0</v>
      </c>
      <c r="W4108" s="102">
        <f t="shared" si="3024"/>
        <v>0</v>
      </c>
      <c r="X4108" s="102">
        <f t="shared" si="3025"/>
        <v>0</v>
      </c>
      <c r="Y4108" s="120" t="b">
        <f t="shared" si="3026"/>
        <v>0</v>
      </c>
      <c r="Z4108" s="117">
        <f t="shared" si="3027"/>
        <v>0</v>
      </c>
      <c r="AA4108" s="118"/>
      <c r="AB4108" s="118" t="str">
        <f t="shared" si="3028"/>
        <v/>
      </c>
      <c r="AC4108" s="712" t="str">
        <f>IF(AE4108="T2G","no charge",IF(AND(OR(PlanterYesMe="No",PlanterYesMe="N",PlanterYesMe="me"),H4108=""),"",IF(H4108="credit","NO install",IF(AND(K4108="",AE4108="me"),"EACH row",IF(AND(K4108="images",AE4108="me"),"EACH row",IF(D4108="","",IF(H4108="credit","",IF(AE4108="free","re-planting",IF(AE4108="me","   not ELP, by",IF(AND(OR(PlanterYesMe="Yes",PlanterYesMe="Y"),G4108&gt;0),(VLOOKUP(A4108,'Discount Lookup'!J:K,2)*G4108*(1-PlanterDiscount)*(1+PlanterDifficultyPercentage)),IF(AE4108="ELP",(VLOOKUP(A4108,'Discount Lookup'!J:K,2)*G4108*(1-PlanterDiscount)*(1+PlanterDifficultyPercentage)),IF(AE4108="free","re-planting",IF(G4108=0,"",IF(PlanterYesMe="",IF(AE4108="me","   not ELP, by",IF(AE4108="",IF(G4108&gt;0,(VLOOKUP(A4108,'Discount Lookup'!J:K,2)*G4108*(1-PlanterDiscount)*(1+PlanterDifficultyPercentage)),""),"")),"   not ELP, by"))))))))))))))</f>
        <v/>
      </c>
      <c r="AD4108" s="712"/>
      <c r="AE4108" s="513" t="str">
        <f t="shared" si="3029"/>
        <v/>
      </c>
      <c r="AF4108" s="713" t="str">
        <f t="shared" si="3030"/>
        <v/>
      </c>
      <c r="AG4108" s="713"/>
      <c r="AH4108" s="713"/>
      <c r="AI4108" s="112">
        <f>IF(H4108="credit",0,IF(AE4108="free",0,IF(AE4108="me",0,IF(G4108&gt;0,(VLOOKUP(A4108,'Discount Lookup'!J:K,2)*G4108),0))))</f>
        <v>0</v>
      </c>
      <c r="AJ4108" s="107" t="str">
        <f t="shared" ca="1" si="3031"/>
        <v/>
      </c>
      <c r="AK4108" s="714" t="str">
        <f t="shared" si="3032"/>
        <v/>
      </c>
      <c r="AL4108" s="714"/>
      <c r="AM4108" s="114" t="str">
        <f t="shared" si="3033"/>
        <v/>
      </c>
      <c r="AN4108" s="115"/>
      <c r="AO4108" s="116"/>
      <c r="AP4108" s="116"/>
      <c r="AQ4108" s="116"/>
      <c r="AR4108" s="116"/>
      <c r="AS4108" s="116"/>
      <c r="AT4108" s="116"/>
      <c r="AU4108" s="116"/>
      <c r="AV4108" s="78"/>
      <c r="AW4108" s="102"/>
      <c r="AX4108" s="78"/>
      <c r="AY4108" s="78"/>
      <c r="AZ4108" s="78"/>
      <c r="BA4108" s="78"/>
      <c r="BB4108" s="78"/>
      <c r="BC4108" s="78"/>
      <c r="BD4108" s="78"/>
      <c r="BE4108" s="465"/>
      <c r="BF4108" s="165" t="str">
        <f t="shared" si="3034"/>
        <v>https://www.google.com/search?tbm=isch&amp;q=15%20G4</v>
      </c>
      <c r="BG4108" s="165" t="str">
        <f t="shared" si="3035"/>
        <v>T</v>
      </c>
      <c r="BH4108" s="65"/>
      <c r="BI4108" s="65"/>
      <c r="BJ4108" s="65"/>
      <c r="BK4108" s="65"/>
      <c r="BL4108" s="99"/>
      <c r="BM4108" s="99"/>
      <c r="BN4108" s="99"/>
    </row>
    <row r="4109" spans="1:66" s="51" customFormat="1" ht="27" x14ac:dyDescent="0.25">
      <c r="A4109" s="478">
        <v>15</v>
      </c>
      <c r="B4109" s="479" t="s">
        <v>291</v>
      </c>
      <c r="C4109" s="480" t="s">
        <v>1016</v>
      </c>
      <c r="D4109" s="481" t="s">
        <v>299</v>
      </c>
      <c r="E4109" s="482">
        <v>339.95</v>
      </c>
      <c r="F4109" s="483" t="s">
        <v>292</v>
      </c>
      <c r="G4109" s="484">
        <v>0</v>
      </c>
      <c r="H4109" s="688" t="str">
        <f t="shared" si="3055"/>
        <v/>
      </c>
      <c r="I4109" s="485">
        <f t="shared" si="3056"/>
        <v>0</v>
      </c>
      <c r="J4109" s="485">
        <f t="shared" si="3057"/>
        <v>0</v>
      </c>
      <c r="K4109" s="715">
        <f t="shared" ref="K4109" si="3076">I4109+J4109</f>
        <v>0</v>
      </c>
      <c r="L4109" s="715"/>
      <c r="M4109" s="689" t="str">
        <f t="shared" ca="1" si="3059"/>
        <v/>
      </c>
      <c r="N4109" s="690"/>
      <c r="O4109" s="486"/>
      <c r="P4109" s="486"/>
      <c r="Q4109" s="486"/>
      <c r="R4109" s="486"/>
      <c r="S4109" s="486"/>
      <c r="T4109" s="102">
        <f t="shared" si="3023"/>
        <v>0</v>
      </c>
      <c r="U4109" s="78">
        <f>IF(NOT(ISNUMBER(G4109)), "", VLOOKUP(A4109,'Discount Lookup'!D:E,2,FALSE)*G4109)</f>
        <v>0</v>
      </c>
      <c r="V4109" s="78">
        <f>IF(NOT(ISNUMBER(G4109)), "", VLOOKUP(A4109,'Discount Lookup'!G:H,2,FALSE)*G4109)</f>
        <v>0</v>
      </c>
      <c r="W4109" s="102">
        <f t="shared" si="3024"/>
        <v>0</v>
      </c>
      <c r="X4109" s="102">
        <f t="shared" si="3025"/>
        <v>0</v>
      </c>
      <c r="Y4109" s="120" t="b">
        <f t="shared" si="3026"/>
        <v>0</v>
      </c>
      <c r="Z4109" s="117">
        <f t="shared" si="3027"/>
        <v>0</v>
      </c>
      <c r="AA4109" s="118"/>
      <c r="AB4109" s="118" t="str">
        <f t="shared" si="3028"/>
        <v/>
      </c>
      <c r="AC4109" s="712" t="str">
        <f>IF(AE4109="T2G","no charge",IF(AND(OR(PlanterYesMe="No",PlanterYesMe="N",PlanterYesMe="me"),H4109=""),"",IF(H4109="credit","NO install",IF(AND(K4109="",AE4109="me"),"EACH row",IF(AND(K4109="images",AE4109="me"),"EACH row",IF(D4109="","",IF(H4109="credit","",IF(AE4109="free","re-planting",IF(AE4109="me","   not ELP, by",IF(AND(OR(PlanterYesMe="Yes",PlanterYesMe="Y"),G4109&gt;0),(VLOOKUP(A4109,'Discount Lookup'!J:K,2)*G4109*(1-PlanterDiscount)*(1+PlanterDifficultyPercentage)),IF(AE4109="ELP",(VLOOKUP(A4109,'Discount Lookup'!J:K,2)*G4109*(1-PlanterDiscount)*(1+PlanterDifficultyPercentage)),IF(AE4109="free","re-planting",IF(G4109=0,"",IF(PlanterYesMe="",IF(AE4109="me","   not ELP, by",IF(AE4109="",IF(G4109&gt;0,(VLOOKUP(A4109,'Discount Lookup'!J:K,2)*G4109*(1-PlanterDiscount)*(1+PlanterDifficultyPercentage)),""),"")),"   not ELP, by"))))))))))))))</f>
        <v/>
      </c>
      <c r="AD4109" s="712"/>
      <c r="AE4109" s="513" t="str">
        <f t="shared" si="3029"/>
        <v/>
      </c>
      <c r="AF4109" s="713" t="str">
        <f t="shared" si="3030"/>
        <v/>
      </c>
      <c r="AG4109" s="713"/>
      <c r="AH4109" s="713"/>
      <c r="AI4109" s="112">
        <f>IF(H4109="credit",0,IF(AE4109="free",0,IF(AE4109="me",0,IF(G4109&gt;0,(VLOOKUP(A4109,'Discount Lookup'!J:K,2)*G4109),0))))</f>
        <v>0</v>
      </c>
      <c r="AJ4109" s="107" t="str">
        <f t="shared" ca="1" si="3031"/>
        <v/>
      </c>
      <c r="AK4109" s="714" t="str">
        <f t="shared" si="3032"/>
        <v/>
      </c>
      <c r="AL4109" s="714"/>
      <c r="AM4109" s="114" t="str">
        <f t="shared" si="3033"/>
        <v/>
      </c>
      <c r="AN4109" s="115"/>
      <c r="AO4109" s="116"/>
      <c r="AP4109" s="116"/>
      <c r="AQ4109" s="116"/>
      <c r="AR4109" s="116"/>
      <c r="AS4109" s="116"/>
      <c r="AT4109" s="116"/>
      <c r="AU4109" s="116"/>
      <c r="AV4109" s="78"/>
      <c r="AW4109" s="102"/>
      <c r="AX4109" s="78"/>
      <c r="AY4109" s="78"/>
      <c r="AZ4109" s="78"/>
      <c r="BA4109" s="78"/>
      <c r="BB4109" s="78"/>
      <c r="BC4109" s="78"/>
      <c r="BD4109" s="78"/>
      <c r="BE4109" s="465"/>
      <c r="BF4109" s="165" t="str">
        <f t="shared" si="3034"/>
        <v>https://www.google.com/search?tbm=isch&amp;q=15%20G4</v>
      </c>
      <c r="BG4109" s="165" t="str">
        <f t="shared" si="3035"/>
        <v>T</v>
      </c>
      <c r="BH4109" s="65"/>
      <c r="BI4109" s="65"/>
      <c r="BJ4109" s="65"/>
      <c r="BK4109" s="65"/>
      <c r="BL4109" s="99"/>
      <c r="BM4109" s="99"/>
      <c r="BN4109" s="99"/>
    </row>
    <row r="4110" spans="1:66" s="51" customFormat="1" ht="15.75" x14ac:dyDescent="0.25">
      <c r="A4110" s="478">
        <v>25</v>
      </c>
      <c r="B4110" s="479" t="s">
        <v>291</v>
      </c>
      <c r="C4110" s="480" t="s">
        <v>1017</v>
      </c>
      <c r="D4110" s="481" t="s">
        <v>299</v>
      </c>
      <c r="E4110" s="482">
        <v>378.95</v>
      </c>
      <c r="F4110" s="483" t="s">
        <v>292</v>
      </c>
      <c r="G4110" s="484">
        <v>0</v>
      </c>
      <c r="H4110" s="688" t="str">
        <f t="shared" si="3055"/>
        <v/>
      </c>
      <c r="I4110" s="485">
        <f t="shared" si="3056"/>
        <v>0</v>
      </c>
      <c r="J4110" s="485">
        <f t="shared" si="3057"/>
        <v>0</v>
      </c>
      <c r="K4110" s="715">
        <f t="shared" ref="K4110" si="3077">I4110+J4110</f>
        <v>0</v>
      </c>
      <c r="L4110" s="715"/>
      <c r="M4110" s="689" t="str">
        <f t="shared" ca="1" si="3059"/>
        <v/>
      </c>
      <c r="N4110" s="690"/>
      <c r="O4110" s="486"/>
      <c r="P4110" s="486"/>
      <c r="Q4110" s="486"/>
      <c r="R4110" s="486"/>
      <c r="S4110" s="486"/>
      <c r="T4110" s="102">
        <f t="shared" si="3023"/>
        <v>0</v>
      </c>
      <c r="U4110" s="78">
        <f>IF(NOT(ISNUMBER(G4110)), "", VLOOKUP(A4110,'Discount Lookup'!D:E,2,FALSE)*G4110)</f>
        <v>0</v>
      </c>
      <c r="V4110" s="78">
        <f>IF(NOT(ISNUMBER(G4110)), "", VLOOKUP(A4110,'Discount Lookup'!G:H,2,FALSE)*G4110)</f>
        <v>0</v>
      </c>
      <c r="W4110" s="102">
        <f t="shared" si="3024"/>
        <v>0</v>
      </c>
      <c r="X4110" s="102">
        <f t="shared" si="3025"/>
        <v>0</v>
      </c>
      <c r="Y4110" s="120" t="b">
        <f t="shared" si="3026"/>
        <v>0</v>
      </c>
      <c r="Z4110" s="117">
        <f t="shared" si="3027"/>
        <v>0</v>
      </c>
      <c r="AA4110" s="118"/>
      <c r="AB4110" s="118" t="str">
        <f t="shared" si="3028"/>
        <v/>
      </c>
      <c r="AC4110" s="712" t="str">
        <f>IF(AE4110="T2G","no charge",IF(AND(OR(PlanterYesMe="No",PlanterYesMe="N",PlanterYesMe="me"),H4110=""),"",IF(H4110="credit","NO install",IF(AND(K4110="",AE4110="me"),"EACH row",IF(AND(K4110="images",AE4110="me"),"EACH row",IF(D4110="","",IF(H4110="credit","",IF(AE4110="free","re-planting",IF(AE4110="me","   not ELP, by",IF(AND(OR(PlanterYesMe="Yes",PlanterYesMe="Y"),G4110&gt;0),(VLOOKUP(A4110,'Discount Lookup'!J:K,2)*G4110*(1-PlanterDiscount)*(1+PlanterDifficultyPercentage)),IF(AE4110="ELP",(VLOOKUP(A4110,'Discount Lookup'!J:K,2)*G4110*(1-PlanterDiscount)*(1+PlanterDifficultyPercentage)),IF(AE4110="free","re-planting",IF(G4110=0,"",IF(PlanterYesMe="",IF(AE4110="me","   not ELP, by",IF(AE4110="",IF(G4110&gt;0,(VLOOKUP(A4110,'Discount Lookup'!J:K,2)*G4110*(1-PlanterDiscount)*(1+PlanterDifficultyPercentage)),""),"")),"   not ELP, by"))))))))))))))</f>
        <v/>
      </c>
      <c r="AD4110" s="712"/>
      <c r="AE4110" s="513" t="str">
        <f t="shared" si="3029"/>
        <v/>
      </c>
      <c r="AF4110" s="713" t="str">
        <f t="shared" si="3030"/>
        <v/>
      </c>
      <c r="AG4110" s="713"/>
      <c r="AH4110" s="713"/>
      <c r="AI4110" s="112">
        <f>IF(H4110="credit",0,IF(AE4110="free",0,IF(AE4110="me",0,IF(G4110&gt;0,(VLOOKUP(A4110,'Discount Lookup'!J:K,2)*G4110),0))))</f>
        <v>0</v>
      </c>
      <c r="AJ4110" s="107" t="str">
        <f t="shared" ca="1" si="3031"/>
        <v/>
      </c>
      <c r="AK4110" s="714" t="str">
        <f t="shared" si="3032"/>
        <v/>
      </c>
      <c r="AL4110" s="714"/>
      <c r="AM4110" s="114" t="str">
        <f t="shared" si="3033"/>
        <v/>
      </c>
      <c r="AN4110" s="115"/>
      <c r="AO4110" s="116"/>
      <c r="AP4110" s="116"/>
      <c r="AQ4110" s="116"/>
      <c r="AR4110" s="116"/>
      <c r="AS4110" s="116"/>
      <c r="AT4110" s="116"/>
      <c r="AU4110" s="116"/>
      <c r="AV4110" s="78"/>
      <c r="AW4110" s="102"/>
      <c r="AX4110" s="78"/>
      <c r="AY4110" s="78"/>
      <c r="AZ4110" s="78"/>
      <c r="BA4110" s="78"/>
      <c r="BB4110" s="78"/>
      <c r="BC4110" s="78"/>
      <c r="BD4110" s="78"/>
      <c r="BE4110" s="465"/>
      <c r="BF4110" s="165" t="str">
        <f t="shared" si="3034"/>
        <v>https://www.google.com/search?tbm=isch&amp;q=25%20G4</v>
      </c>
      <c r="BG4110" s="165" t="str">
        <f t="shared" si="3035"/>
        <v>T</v>
      </c>
      <c r="BH4110" s="65"/>
      <c r="BI4110" s="65"/>
      <c r="BJ4110" s="65"/>
      <c r="BK4110" s="65"/>
      <c r="BL4110" s="99"/>
      <c r="BM4110" s="99"/>
      <c r="BN4110" s="99"/>
    </row>
    <row r="4111" spans="1:66" s="51" customFormat="1" ht="15.75" x14ac:dyDescent="0.25">
      <c r="A4111" s="478">
        <v>20</v>
      </c>
      <c r="B4111" s="479" t="s">
        <v>291</v>
      </c>
      <c r="C4111" s="480" t="s">
        <v>1018</v>
      </c>
      <c r="D4111" s="481" t="s">
        <v>299</v>
      </c>
      <c r="E4111" s="482">
        <v>408.95</v>
      </c>
      <c r="F4111" s="483" t="s">
        <v>292</v>
      </c>
      <c r="G4111" s="484">
        <v>0</v>
      </c>
      <c r="H4111" s="688" t="str">
        <f t="shared" si="3055"/>
        <v/>
      </c>
      <c r="I4111" s="485">
        <f t="shared" si="3056"/>
        <v>0</v>
      </c>
      <c r="J4111" s="485">
        <f t="shared" si="3057"/>
        <v>0</v>
      </c>
      <c r="K4111" s="715">
        <f t="shared" ref="K4111" si="3078">I4111+J4111</f>
        <v>0</v>
      </c>
      <c r="L4111" s="715"/>
      <c r="M4111" s="689" t="str">
        <f t="shared" ca="1" si="3059"/>
        <v/>
      </c>
      <c r="N4111" s="690"/>
      <c r="O4111" s="486"/>
      <c r="P4111" s="486"/>
      <c r="Q4111" s="486"/>
      <c r="R4111" s="486"/>
      <c r="S4111" s="486"/>
      <c r="T4111" s="102">
        <f t="shared" si="3023"/>
        <v>0</v>
      </c>
      <c r="U4111" s="78">
        <f>IF(NOT(ISNUMBER(G4111)), "", VLOOKUP(A4111,'Discount Lookup'!D:E,2,FALSE)*G4111)</f>
        <v>0</v>
      </c>
      <c r="V4111" s="78">
        <f>IF(NOT(ISNUMBER(G4111)), "", VLOOKUP(A4111,'Discount Lookup'!G:H,2,FALSE)*G4111)</f>
        <v>0</v>
      </c>
      <c r="W4111" s="102">
        <f t="shared" si="3024"/>
        <v>0</v>
      </c>
      <c r="X4111" s="102">
        <f t="shared" si="3025"/>
        <v>0</v>
      </c>
      <c r="Y4111" s="120" t="b">
        <f t="shared" si="3026"/>
        <v>0</v>
      </c>
      <c r="Z4111" s="117">
        <f t="shared" si="3027"/>
        <v>0</v>
      </c>
      <c r="AA4111" s="118"/>
      <c r="AB4111" s="118" t="str">
        <f t="shared" si="3028"/>
        <v/>
      </c>
      <c r="AC4111" s="712" t="str">
        <f>IF(AE4111="T2G","no charge",IF(AND(OR(PlanterYesMe="No",PlanterYesMe="N",PlanterYesMe="me"),H4111=""),"",IF(H4111="credit","NO install",IF(AND(K4111="",AE4111="me"),"EACH row",IF(AND(K4111="images",AE4111="me"),"EACH row",IF(D4111="","",IF(H4111="credit","",IF(AE4111="free","re-planting",IF(AE4111="me","   not ELP, by",IF(AND(OR(PlanterYesMe="Yes",PlanterYesMe="Y"),G4111&gt;0),(VLOOKUP(A4111,'Discount Lookup'!J:K,2)*G4111*(1-PlanterDiscount)*(1+PlanterDifficultyPercentage)),IF(AE4111="ELP",(VLOOKUP(A4111,'Discount Lookup'!J:K,2)*G4111*(1-PlanterDiscount)*(1+PlanterDifficultyPercentage)),IF(AE4111="free","re-planting",IF(G4111=0,"",IF(PlanterYesMe="",IF(AE4111="me","   not ELP, by",IF(AE4111="",IF(G4111&gt;0,(VLOOKUP(A4111,'Discount Lookup'!J:K,2)*G4111*(1-PlanterDiscount)*(1+PlanterDifficultyPercentage)),""),"")),"   not ELP, by"))))))))))))))</f>
        <v/>
      </c>
      <c r="AD4111" s="712"/>
      <c r="AE4111" s="513" t="str">
        <f t="shared" si="3029"/>
        <v/>
      </c>
      <c r="AF4111" s="713" t="str">
        <f t="shared" si="3030"/>
        <v/>
      </c>
      <c r="AG4111" s="713"/>
      <c r="AH4111" s="713"/>
      <c r="AI4111" s="112">
        <f>IF(H4111="credit",0,IF(AE4111="free",0,IF(AE4111="me",0,IF(G4111&gt;0,(VLOOKUP(A4111,'Discount Lookup'!J:K,2)*G4111),0))))</f>
        <v>0</v>
      </c>
      <c r="AJ4111" s="107" t="str">
        <f t="shared" ca="1" si="3031"/>
        <v/>
      </c>
      <c r="AK4111" s="714" t="str">
        <f t="shared" si="3032"/>
        <v/>
      </c>
      <c r="AL4111" s="714"/>
      <c r="AM4111" s="114" t="str">
        <f t="shared" si="3033"/>
        <v/>
      </c>
      <c r="AN4111" s="115"/>
      <c r="AO4111" s="116"/>
      <c r="AP4111" s="116"/>
      <c r="AQ4111" s="116"/>
      <c r="AR4111" s="116"/>
      <c r="AS4111" s="116"/>
      <c r="AT4111" s="116"/>
      <c r="AU4111" s="116"/>
      <c r="AV4111" s="78"/>
      <c r="AW4111" s="102"/>
      <c r="AX4111" s="78"/>
      <c r="AY4111" s="78"/>
      <c r="AZ4111" s="78"/>
      <c r="BA4111" s="78"/>
      <c r="BB4111" s="78"/>
      <c r="BC4111" s="78"/>
      <c r="BD4111" s="78"/>
      <c r="BE4111" s="465"/>
      <c r="BF4111" s="165" t="str">
        <f t="shared" si="3034"/>
        <v>https://www.google.com/search?tbm=isch&amp;q=20%20G4</v>
      </c>
      <c r="BG4111" s="165" t="str">
        <f t="shared" si="3035"/>
        <v>T</v>
      </c>
      <c r="BH4111" s="65"/>
      <c r="BI4111" s="65"/>
      <c r="BJ4111" s="65"/>
      <c r="BK4111" s="65"/>
      <c r="BL4111" s="99"/>
      <c r="BM4111" s="99"/>
      <c r="BN4111" s="99"/>
    </row>
    <row r="4112" spans="1:66" s="51" customFormat="1" ht="15.75" x14ac:dyDescent="0.25">
      <c r="A4112" s="478">
        <v>20</v>
      </c>
      <c r="B4112" s="479" t="s">
        <v>291</v>
      </c>
      <c r="C4112" s="480" t="s">
        <v>1019</v>
      </c>
      <c r="D4112" s="481" t="s">
        <v>299</v>
      </c>
      <c r="E4112" s="482">
        <v>431.95</v>
      </c>
      <c r="F4112" s="483" t="s">
        <v>292</v>
      </c>
      <c r="G4112" s="484">
        <v>0</v>
      </c>
      <c r="H4112" s="688" t="str">
        <f t="shared" si="3055"/>
        <v/>
      </c>
      <c r="I4112" s="485">
        <f t="shared" si="3056"/>
        <v>0</v>
      </c>
      <c r="J4112" s="485">
        <f t="shared" si="3057"/>
        <v>0</v>
      </c>
      <c r="K4112" s="715">
        <f t="shared" ref="K4112" si="3079">I4112+J4112</f>
        <v>0</v>
      </c>
      <c r="L4112" s="715"/>
      <c r="M4112" s="689" t="str">
        <f t="shared" ca="1" si="3059"/>
        <v/>
      </c>
      <c r="N4112" s="690"/>
      <c r="O4112" s="486"/>
      <c r="P4112" s="486"/>
      <c r="Q4112" s="486"/>
      <c r="R4112" s="486"/>
      <c r="S4112" s="486"/>
      <c r="T4112" s="102">
        <f t="shared" si="3023"/>
        <v>0</v>
      </c>
      <c r="U4112" s="78">
        <f>IF(NOT(ISNUMBER(G4112)), "", VLOOKUP(A4112,'Discount Lookup'!D:E,2,FALSE)*G4112)</f>
        <v>0</v>
      </c>
      <c r="V4112" s="78">
        <f>IF(NOT(ISNUMBER(G4112)), "", VLOOKUP(A4112,'Discount Lookup'!G:H,2,FALSE)*G4112)</f>
        <v>0</v>
      </c>
      <c r="W4112" s="102">
        <f t="shared" si="3024"/>
        <v>0</v>
      </c>
      <c r="X4112" s="102">
        <f t="shared" si="3025"/>
        <v>0</v>
      </c>
      <c r="Y4112" s="120" t="b">
        <f t="shared" si="3026"/>
        <v>0</v>
      </c>
      <c r="Z4112" s="117">
        <f t="shared" si="3027"/>
        <v>0</v>
      </c>
      <c r="AA4112" s="118"/>
      <c r="AB4112" s="118" t="str">
        <f t="shared" si="3028"/>
        <v/>
      </c>
      <c r="AC4112" s="712" t="str">
        <f>IF(AE4112="T2G","no charge",IF(AND(OR(PlanterYesMe="No",PlanterYesMe="N",PlanterYesMe="me"),H4112=""),"",IF(H4112="credit","NO install",IF(AND(K4112="",AE4112="me"),"EACH row",IF(AND(K4112="images",AE4112="me"),"EACH row",IF(D4112="","",IF(H4112="credit","",IF(AE4112="free","re-planting",IF(AE4112="me","   not ELP, by",IF(AND(OR(PlanterYesMe="Yes",PlanterYesMe="Y"),G4112&gt;0),(VLOOKUP(A4112,'Discount Lookup'!J:K,2)*G4112*(1-PlanterDiscount)*(1+PlanterDifficultyPercentage)),IF(AE4112="ELP",(VLOOKUP(A4112,'Discount Lookup'!J:K,2)*G4112*(1-PlanterDiscount)*(1+PlanterDifficultyPercentage)),IF(AE4112="free","re-planting",IF(G4112=0,"",IF(PlanterYesMe="",IF(AE4112="me","   not ELP, by",IF(AE4112="",IF(G4112&gt;0,(VLOOKUP(A4112,'Discount Lookup'!J:K,2)*G4112*(1-PlanterDiscount)*(1+PlanterDifficultyPercentage)),""),"")),"   not ELP, by"))))))))))))))</f>
        <v/>
      </c>
      <c r="AD4112" s="712"/>
      <c r="AE4112" s="513" t="str">
        <f t="shared" si="3029"/>
        <v/>
      </c>
      <c r="AF4112" s="713" t="str">
        <f t="shared" si="3030"/>
        <v/>
      </c>
      <c r="AG4112" s="713"/>
      <c r="AH4112" s="713"/>
      <c r="AI4112" s="112">
        <f>IF(H4112="credit",0,IF(AE4112="free",0,IF(AE4112="me",0,IF(G4112&gt;0,(VLOOKUP(A4112,'Discount Lookup'!J:K,2)*G4112),0))))</f>
        <v>0</v>
      </c>
      <c r="AJ4112" s="107" t="str">
        <f t="shared" ca="1" si="3031"/>
        <v/>
      </c>
      <c r="AK4112" s="714" t="str">
        <f t="shared" si="3032"/>
        <v/>
      </c>
      <c r="AL4112" s="714"/>
      <c r="AM4112" s="114" t="str">
        <f t="shared" si="3033"/>
        <v/>
      </c>
      <c r="AN4112" s="115"/>
      <c r="AO4112" s="116"/>
      <c r="AP4112" s="116"/>
      <c r="AQ4112" s="116"/>
      <c r="AR4112" s="116"/>
      <c r="AS4112" s="116"/>
      <c r="AT4112" s="116"/>
      <c r="AU4112" s="116"/>
      <c r="AV4112" s="78"/>
      <c r="AW4112" s="102"/>
      <c r="AX4112" s="78"/>
      <c r="AY4112" s="78"/>
      <c r="AZ4112" s="78"/>
      <c r="BA4112" s="78"/>
      <c r="BB4112" s="78"/>
      <c r="BC4112" s="78"/>
      <c r="BD4112" s="78"/>
      <c r="BE4112" s="465"/>
      <c r="BF4112" s="165" t="str">
        <f t="shared" si="3034"/>
        <v>https://www.google.com/search?tbm=isch&amp;q=20%20G4</v>
      </c>
      <c r="BG4112" s="165" t="str">
        <f t="shared" si="3035"/>
        <v>T</v>
      </c>
      <c r="BH4112" s="65"/>
      <c r="BI4112" s="65"/>
      <c r="BJ4112" s="65"/>
      <c r="BK4112" s="65"/>
      <c r="BL4112" s="99"/>
      <c r="BM4112" s="99"/>
      <c r="BN4112" s="99"/>
    </row>
    <row r="4113" spans="1:66" s="51" customFormat="1" ht="15.75" x14ac:dyDescent="0.25">
      <c r="A4113" s="478">
        <v>25</v>
      </c>
      <c r="B4113" s="479" t="s">
        <v>291</v>
      </c>
      <c r="C4113" s="480" t="s">
        <v>5217</v>
      </c>
      <c r="D4113" s="481" t="s">
        <v>299</v>
      </c>
      <c r="E4113" s="482">
        <v>609.95000000000005</v>
      </c>
      <c r="F4113" s="483" t="s">
        <v>292</v>
      </c>
      <c r="G4113" s="484">
        <v>0</v>
      </c>
      <c r="H4113" s="688" t="str">
        <f t="shared" si="3055"/>
        <v/>
      </c>
      <c r="I4113" s="485">
        <f t="shared" si="3056"/>
        <v>0</v>
      </c>
      <c r="J4113" s="485">
        <f t="shared" si="3057"/>
        <v>0</v>
      </c>
      <c r="K4113" s="715">
        <f t="shared" ref="K4113" si="3080">I4113+J4113</f>
        <v>0</v>
      </c>
      <c r="L4113" s="715"/>
      <c r="M4113" s="689" t="str">
        <f t="shared" ca="1" si="3059"/>
        <v/>
      </c>
      <c r="N4113" s="690"/>
      <c r="O4113" s="486"/>
      <c r="P4113" s="486"/>
      <c r="Q4113" s="486"/>
      <c r="R4113" s="486"/>
      <c r="S4113" s="486"/>
      <c r="T4113" s="102">
        <f t="shared" si="3023"/>
        <v>0</v>
      </c>
      <c r="U4113" s="78">
        <f>IF(NOT(ISNUMBER(G4113)), "", VLOOKUP(A4113,'Discount Lookup'!D:E,2,FALSE)*G4113)</f>
        <v>0</v>
      </c>
      <c r="V4113" s="78">
        <f>IF(NOT(ISNUMBER(G4113)), "", VLOOKUP(A4113,'Discount Lookup'!G:H,2,FALSE)*G4113)</f>
        <v>0</v>
      </c>
      <c r="W4113" s="102">
        <f t="shared" si="3024"/>
        <v>0</v>
      </c>
      <c r="X4113" s="102">
        <f t="shared" si="3025"/>
        <v>0</v>
      </c>
      <c r="Y4113" s="120" t="b">
        <f t="shared" si="3026"/>
        <v>0</v>
      </c>
      <c r="Z4113" s="117">
        <f t="shared" si="3027"/>
        <v>0</v>
      </c>
      <c r="AA4113" s="118"/>
      <c r="AB4113" s="118" t="str">
        <f t="shared" si="3028"/>
        <v/>
      </c>
      <c r="AC4113" s="712" t="str">
        <f>IF(AE4113="T2G","no charge",IF(AND(OR(PlanterYesMe="No",PlanterYesMe="N",PlanterYesMe="me"),H4113=""),"",IF(H4113="credit","NO install",IF(AND(K4113="",AE4113="me"),"EACH row",IF(AND(K4113="images",AE4113="me"),"EACH row",IF(D4113="","",IF(H4113="credit","",IF(AE4113="free","re-planting",IF(AE4113="me","   not ELP, by",IF(AND(OR(PlanterYesMe="Yes",PlanterYesMe="Y"),G4113&gt;0),(VLOOKUP(A4113,'Discount Lookup'!J:K,2)*G4113*(1-PlanterDiscount)*(1+PlanterDifficultyPercentage)),IF(AE4113="ELP",(VLOOKUP(A4113,'Discount Lookup'!J:K,2)*G4113*(1-PlanterDiscount)*(1+PlanterDifficultyPercentage)),IF(AE4113="free","re-planting",IF(G4113=0,"",IF(PlanterYesMe="",IF(AE4113="me","   not ELP, by",IF(AE4113="",IF(G4113&gt;0,(VLOOKUP(A4113,'Discount Lookup'!J:K,2)*G4113*(1-PlanterDiscount)*(1+PlanterDifficultyPercentage)),""),"")),"   not ELP, by"))))))))))))))</f>
        <v/>
      </c>
      <c r="AD4113" s="712"/>
      <c r="AE4113" s="513" t="str">
        <f t="shared" si="3029"/>
        <v/>
      </c>
      <c r="AF4113" s="713" t="str">
        <f t="shared" si="3030"/>
        <v/>
      </c>
      <c r="AG4113" s="713"/>
      <c r="AH4113" s="713"/>
      <c r="AI4113" s="112">
        <f>IF(H4113="credit",0,IF(AE4113="free",0,IF(AE4113="me",0,IF(G4113&gt;0,(VLOOKUP(A4113,'Discount Lookup'!J:K,2)*G4113),0))))</f>
        <v>0</v>
      </c>
      <c r="AJ4113" s="107" t="str">
        <f t="shared" ca="1" si="3031"/>
        <v/>
      </c>
      <c r="AK4113" s="714" t="str">
        <f t="shared" si="3032"/>
        <v/>
      </c>
      <c r="AL4113" s="714"/>
      <c r="AM4113" s="114" t="str">
        <f t="shared" si="3033"/>
        <v/>
      </c>
      <c r="AN4113" s="115"/>
      <c r="AO4113" s="116"/>
      <c r="AP4113" s="116"/>
      <c r="AQ4113" s="116"/>
      <c r="AR4113" s="116"/>
      <c r="AS4113" s="116"/>
      <c r="AT4113" s="116"/>
      <c r="AU4113" s="116"/>
      <c r="AV4113" s="78"/>
      <c r="AW4113" s="102"/>
      <c r="AX4113" s="78"/>
      <c r="AY4113" s="78"/>
      <c r="AZ4113" s="78"/>
      <c r="BA4113" s="78"/>
      <c r="BB4113" s="78"/>
      <c r="BC4113" s="78"/>
      <c r="BD4113" s="78"/>
      <c r="BE4113" s="465"/>
      <c r="BF4113" s="165" t="str">
        <f t="shared" si="3034"/>
        <v>https://www.google.com/search?tbm=isch&amp;q=25%20G4</v>
      </c>
      <c r="BG4113" s="165" t="str">
        <f t="shared" si="3035"/>
        <v>T</v>
      </c>
      <c r="BH4113" s="65"/>
      <c r="BI4113" s="65"/>
      <c r="BJ4113" s="65"/>
      <c r="BK4113" s="65"/>
      <c r="BL4113" s="99"/>
      <c r="BM4113" s="99"/>
      <c r="BN4113" s="99"/>
    </row>
    <row r="4114" spans="1:66" s="51" customFormat="1" ht="27" x14ac:dyDescent="0.25">
      <c r="A4114" s="478">
        <v>25</v>
      </c>
      <c r="B4114" s="479" t="s">
        <v>291</v>
      </c>
      <c r="C4114" s="480" t="s">
        <v>1020</v>
      </c>
      <c r="D4114" s="481" t="s">
        <v>299</v>
      </c>
      <c r="E4114" s="482">
        <v>1308.95</v>
      </c>
      <c r="F4114" s="483" t="s">
        <v>292</v>
      </c>
      <c r="G4114" s="484">
        <v>0</v>
      </c>
      <c r="H4114" s="688" t="str">
        <f t="shared" si="3055"/>
        <v/>
      </c>
      <c r="I4114" s="485">
        <f t="shared" si="3056"/>
        <v>0</v>
      </c>
      <c r="J4114" s="485">
        <f t="shared" si="3057"/>
        <v>0</v>
      </c>
      <c r="K4114" s="715">
        <f t="shared" ref="K4114" si="3081">I4114+J4114</f>
        <v>0</v>
      </c>
      <c r="L4114" s="715"/>
      <c r="M4114" s="689" t="str">
        <f t="shared" ca="1" si="3059"/>
        <v/>
      </c>
      <c r="N4114" s="690"/>
      <c r="O4114" s="486"/>
      <c r="P4114" s="486"/>
      <c r="Q4114" s="486"/>
      <c r="R4114" s="486"/>
      <c r="S4114" s="486"/>
      <c r="T4114" s="102">
        <f t="shared" si="3023"/>
        <v>0</v>
      </c>
      <c r="U4114" s="78">
        <f>IF(NOT(ISNUMBER(G4114)), "", VLOOKUP(A4114,'Discount Lookup'!D:E,2,FALSE)*G4114)</f>
        <v>0</v>
      </c>
      <c r="V4114" s="78">
        <f>IF(NOT(ISNUMBER(G4114)), "", VLOOKUP(A4114,'Discount Lookup'!G:H,2,FALSE)*G4114)</f>
        <v>0</v>
      </c>
      <c r="W4114" s="102">
        <f t="shared" si="3024"/>
        <v>0</v>
      </c>
      <c r="X4114" s="102">
        <f t="shared" si="3025"/>
        <v>0</v>
      </c>
      <c r="Y4114" s="120" t="b">
        <f t="shared" si="3026"/>
        <v>0</v>
      </c>
      <c r="Z4114" s="117">
        <f t="shared" si="3027"/>
        <v>0</v>
      </c>
      <c r="AA4114" s="118"/>
      <c r="AB4114" s="118" t="str">
        <f t="shared" si="3028"/>
        <v/>
      </c>
      <c r="AC4114" s="712" t="str">
        <f>IF(AE4114="T2G","no charge",IF(AND(OR(PlanterYesMe="No",PlanterYesMe="N",PlanterYesMe="me"),H4114=""),"",IF(H4114="credit","NO install",IF(AND(K4114="",AE4114="me"),"EACH row",IF(AND(K4114="images",AE4114="me"),"EACH row",IF(D4114="","",IF(H4114="credit","",IF(AE4114="free","re-planting",IF(AE4114="me","   not ELP, by",IF(AND(OR(PlanterYesMe="Yes",PlanterYesMe="Y"),G4114&gt;0),(VLOOKUP(A4114,'Discount Lookup'!J:K,2)*G4114*(1-PlanterDiscount)*(1+PlanterDifficultyPercentage)),IF(AE4114="ELP",(VLOOKUP(A4114,'Discount Lookup'!J:K,2)*G4114*(1-PlanterDiscount)*(1+PlanterDifficultyPercentage)),IF(AE4114="free","re-planting",IF(G4114=0,"",IF(PlanterYesMe="",IF(AE4114="me","   not ELP, by",IF(AE4114="",IF(G4114&gt;0,(VLOOKUP(A4114,'Discount Lookup'!J:K,2)*G4114*(1-PlanterDiscount)*(1+PlanterDifficultyPercentage)),""),"")),"   not ELP, by"))))))))))))))</f>
        <v/>
      </c>
      <c r="AD4114" s="712"/>
      <c r="AE4114" s="513" t="str">
        <f t="shared" si="3029"/>
        <v/>
      </c>
      <c r="AF4114" s="713" t="str">
        <f t="shared" si="3030"/>
        <v/>
      </c>
      <c r="AG4114" s="713"/>
      <c r="AH4114" s="713"/>
      <c r="AI4114" s="112">
        <f>IF(H4114="credit",0,IF(AE4114="free",0,IF(AE4114="me",0,IF(G4114&gt;0,(VLOOKUP(A4114,'Discount Lookup'!J:K,2)*G4114),0))))</f>
        <v>0</v>
      </c>
      <c r="AJ4114" s="107" t="str">
        <f t="shared" ca="1" si="3031"/>
        <v/>
      </c>
      <c r="AK4114" s="714" t="str">
        <f t="shared" si="3032"/>
        <v/>
      </c>
      <c r="AL4114" s="714"/>
      <c r="AM4114" s="114" t="str">
        <f t="shared" si="3033"/>
        <v/>
      </c>
      <c r="AN4114" s="115"/>
      <c r="AO4114" s="116"/>
      <c r="AP4114" s="116"/>
      <c r="AQ4114" s="116"/>
      <c r="AR4114" s="116"/>
      <c r="AS4114" s="116"/>
      <c r="AT4114" s="116"/>
      <c r="AU4114" s="116"/>
      <c r="AV4114" s="78"/>
      <c r="AW4114" s="102"/>
      <c r="AX4114" s="78"/>
      <c r="AY4114" s="78"/>
      <c r="AZ4114" s="78"/>
      <c r="BA4114" s="78"/>
      <c r="BB4114" s="78"/>
      <c r="BC4114" s="78"/>
      <c r="BD4114" s="78"/>
      <c r="BE4114" s="465"/>
      <c r="BF4114" s="165" t="str">
        <f t="shared" si="3034"/>
        <v>https://www.google.com/search?tbm=isch&amp;q=25%20G4</v>
      </c>
      <c r="BG4114" s="165" t="str">
        <f t="shared" si="3035"/>
        <v>T</v>
      </c>
      <c r="BH4114" s="65"/>
      <c r="BI4114" s="65"/>
      <c r="BJ4114" s="65"/>
      <c r="BK4114" s="65"/>
      <c r="BL4114" s="99"/>
      <c r="BM4114" s="99"/>
      <c r="BN4114" s="99"/>
    </row>
    <row r="4115" spans="1:66" s="51" customFormat="1" ht="27" x14ac:dyDescent="0.25">
      <c r="A4115" s="478">
        <v>25</v>
      </c>
      <c r="B4115" s="479" t="s">
        <v>291</v>
      </c>
      <c r="C4115" s="480" t="s">
        <v>1021</v>
      </c>
      <c r="D4115" s="481" t="s">
        <v>299</v>
      </c>
      <c r="E4115" s="482">
        <v>1308.95</v>
      </c>
      <c r="F4115" s="483" t="s">
        <v>292</v>
      </c>
      <c r="G4115" s="484">
        <v>0</v>
      </c>
      <c r="H4115" s="688" t="str">
        <f t="shared" si="3055"/>
        <v/>
      </c>
      <c r="I4115" s="485">
        <f t="shared" si="3056"/>
        <v>0</v>
      </c>
      <c r="J4115" s="485">
        <f t="shared" si="3057"/>
        <v>0</v>
      </c>
      <c r="K4115" s="715">
        <f t="shared" ref="K4115" si="3082">I4115+J4115</f>
        <v>0</v>
      </c>
      <c r="L4115" s="715"/>
      <c r="M4115" s="689" t="str">
        <f t="shared" ca="1" si="3059"/>
        <v/>
      </c>
      <c r="N4115" s="690"/>
      <c r="O4115" s="486"/>
      <c r="P4115" s="486"/>
      <c r="Q4115" s="486"/>
      <c r="R4115" s="486"/>
      <c r="S4115" s="486"/>
      <c r="T4115" s="102">
        <f t="shared" si="3023"/>
        <v>0</v>
      </c>
      <c r="U4115" s="78">
        <f>IF(NOT(ISNUMBER(G4115)), "", VLOOKUP(A4115,'Discount Lookup'!D:E,2,FALSE)*G4115)</f>
        <v>0</v>
      </c>
      <c r="V4115" s="78">
        <f>IF(NOT(ISNUMBER(G4115)), "", VLOOKUP(A4115,'Discount Lookup'!G:H,2,FALSE)*G4115)</f>
        <v>0</v>
      </c>
      <c r="W4115" s="102">
        <f t="shared" si="3024"/>
        <v>0</v>
      </c>
      <c r="X4115" s="102">
        <f t="shared" si="3025"/>
        <v>0</v>
      </c>
      <c r="Y4115" s="120" t="b">
        <f t="shared" si="3026"/>
        <v>0</v>
      </c>
      <c r="Z4115" s="117">
        <f t="shared" si="3027"/>
        <v>0</v>
      </c>
      <c r="AA4115" s="118"/>
      <c r="AB4115" s="118" t="str">
        <f t="shared" si="3028"/>
        <v/>
      </c>
      <c r="AC4115" s="712" t="str">
        <f>IF(AE4115="T2G","no charge",IF(AND(OR(PlanterYesMe="No",PlanterYesMe="N",PlanterYesMe="me"),H4115=""),"",IF(H4115="credit","NO install",IF(AND(K4115="",AE4115="me"),"EACH row",IF(AND(K4115="images",AE4115="me"),"EACH row",IF(D4115="","",IF(H4115="credit","",IF(AE4115="free","re-planting",IF(AE4115="me","   not ELP, by",IF(AND(OR(PlanterYesMe="Yes",PlanterYesMe="Y"),G4115&gt;0),(VLOOKUP(A4115,'Discount Lookup'!J:K,2)*G4115*(1-PlanterDiscount)*(1+PlanterDifficultyPercentage)),IF(AE4115="ELP",(VLOOKUP(A4115,'Discount Lookup'!J:K,2)*G4115*(1-PlanterDiscount)*(1+PlanterDifficultyPercentage)),IF(AE4115="free","re-planting",IF(G4115=0,"",IF(PlanterYesMe="",IF(AE4115="me","   not ELP, by",IF(AE4115="",IF(G4115&gt;0,(VLOOKUP(A4115,'Discount Lookup'!J:K,2)*G4115*(1-PlanterDiscount)*(1+PlanterDifficultyPercentage)),""),"")),"   not ELP, by"))))))))))))))</f>
        <v/>
      </c>
      <c r="AD4115" s="712"/>
      <c r="AE4115" s="513" t="str">
        <f t="shared" si="3029"/>
        <v/>
      </c>
      <c r="AF4115" s="713" t="str">
        <f t="shared" si="3030"/>
        <v/>
      </c>
      <c r="AG4115" s="713"/>
      <c r="AH4115" s="713"/>
      <c r="AI4115" s="112">
        <f>IF(H4115="credit",0,IF(AE4115="free",0,IF(AE4115="me",0,IF(G4115&gt;0,(VLOOKUP(A4115,'Discount Lookup'!J:K,2)*G4115),0))))</f>
        <v>0</v>
      </c>
      <c r="AJ4115" s="107" t="str">
        <f t="shared" ca="1" si="3031"/>
        <v/>
      </c>
      <c r="AK4115" s="714" t="str">
        <f t="shared" si="3032"/>
        <v/>
      </c>
      <c r="AL4115" s="714"/>
      <c r="AM4115" s="114" t="str">
        <f t="shared" si="3033"/>
        <v/>
      </c>
      <c r="AN4115" s="115"/>
      <c r="AO4115" s="116"/>
      <c r="AP4115" s="116"/>
      <c r="AQ4115" s="116"/>
      <c r="AR4115" s="116"/>
      <c r="AS4115" s="116"/>
      <c r="AT4115" s="116"/>
      <c r="AU4115" s="116"/>
      <c r="AV4115" s="78"/>
      <c r="AW4115" s="102"/>
      <c r="AX4115" s="78"/>
      <c r="AY4115" s="78"/>
      <c r="AZ4115" s="78"/>
      <c r="BA4115" s="78"/>
      <c r="BB4115" s="78"/>
      <c r="BC4115" s="78"/>
      <c r="BD4115" s="78"/>
      <c r="BE4115" s="465"/>
      <c r="BF4115" s="165" t="str">
        <f t="shared" si="3034"/>
        <v>https://www.google.com/search?tbm=isch&amp;q=25%20G4</v>
      </c>
      <c r="BG4115" s="165" t="str">
        <f t="shared" si="3035"/>
        <v>T</v>
      </c>
      <c r="BH4115" s="65"/>
      <c r="BI4115" s="65"/>
      <c r="BJ4115" s="65"/>
      <c r="BK4115" s="65"/>
      <c r="BL4115" s="99"/>
      <c r="BM4115" s="99"/>
      <c r="BN4115" s="99"/>
    </row>
    <row r="4116" spans="1:66" s="51" customFormat="1" ht="16.5" thickBot="1" x14ac:dyDescent="0.3">
      <c r="A4116" s="508" t="s">
        <v>876</v>
      </c>
      <c r="B4116" s="487"/>
      <c r="C4116" s="707"/>
      <c r="D4116" s="487"/>
      <c r="E4116" s="487"/>
      <c r="F4116" s="488"/>
      <c r="G4116" s="489"/>
      <c r="H4116" s="487"/>
      <c r="I4116" s="490"/>
      <c r="J4116" s="490"/>
      <c r="K4116" s="491"/>
      <c r="L4116" s="547"/>
      <c r="M4116" s="528"/>
      <c r="N4116" s="492"/>
      <c r="O4116" s="493"/>
      <c r="P4116" s="494"/>
      <c r="Q4116" s="492"/>
      <c r="R4116" s="492"/>
      <c r="S4116" s="495"/>
      <c r="T4116" s="102">
        <f t="shared" ref="T4116:T4179" si="3083">E4116*G4116</f>
        <v>0</v>
      </c>
      <c r="U4116" s="78" t="str">
        <f>IF(NOT(ISNUMBER(G4116)), "", VLOOKUP(A4116,'Discount Lookup'!D:E,2,FALSE)*G4116)</f>
        <v/>
      </c>
      <c r="V4116" s="78" t="str">
        <f>IF(NOT(ISNUMBER(G4116)), "", VLOOKUP(A4116,'Discount Lookup'!G:H,2,FALSE)*G4116)</f>
        <v/>
      </c>
      <c r="W4116" s="102">
        <f t="shared" ref="W4116:W4179" si="3084">IF(H4116="credit",0,E4116*(SalesTaxPercentage)*G4116)</f>
        <v>0</v>
      </c>
      <c r="X4116" s="102">
        <f t="shared" ref="X4116:X4179" si="3085">I4116</f>
        <v>0</v>
      </c>
      <c r="Y4116" s="120" t="b">
        <f t="shared" ref="Y4116:Y4179" si="3086">IF(AE4116="T2G",0,IF(H4116="credit",0,IF(G4116&gt;0,IF(AE4116="me","",G4116))))</f>
        <v>0</v>
      </c>
      <c r="Z4116" s="117">
        <f t="shared" ref="Z4116:Z4179" si="3087">IF(H4116="credit",G4116,0)</f>
        <v>0</v>
      </c>
      <c r="AA4116" s="118"/>
      <c r="AB4116" s="118" t="str">
        <f t="shared" ref="AB4116:AB4179" si="3088">IF(AE4116="T2G","by Trees2Go",IF(H4116="credit","CREDIT only ~",IF(AND(K4116="",AE4116=OR(PlanterYesMe="No",PlanterYesMe="N",PlanterYesMe="me")),"not THIS line⇨",IF(AND(K4116="images",AE4116="me"),"not THIS line⇨",IF(H4116="credit","",IF(G4116=0,"",IF(AE4116="me","",IF(OR(PlanterYesMe="No",PlanterYesMe="N",PlanterYesMe="me"),"",IF(AE4116="free","warranty",IF(OR(PlanterYesMe="yes",PlanterYesMe="y"),"Edison install:","to install:"))))))))))</f>
        <v/>
      </c>
      <c r="AC4116" s="712" t="str">
        <f>IF(AE4116="T2G","no charge",IF(AND(OR(PlanterYesMe="No",PlanterYesMe="N",PlanterYesMe="me"),H4116=""),"",IF(H4116="credit","NO install",IF(AND(K4116="",AE4116="me"),"EACH row",IF(AND(K4116="images",AE4116="me"),"EACH row",IF(D4116="","",IF(H4116="credit","",IF(AE4116="free","re-planting",IF(AE4116="me","   not ELP, by",IF(AND(OR(PlanterYesMe="Yes",PlanterYesMe="Y"),G4116&gt;0),(VLOOKUP(A4116,'Discount Lookup'!J:K,2)*G4116*(1-PlanterDiscount)*(1+PlanterDifficultyPercentage)),IF(AE4116="ELP",(VLOOKUP(A4116,'Discount Lookup'!J:K,2)*G4116*(1-PlanterDiscount)*(1+PlanterDifficultyPercentage)),IF(AE4116="free","re-planting",IF(G4116=0,"",IF(PlanterYesMe="",IF(AE4116="me","   not ELP, by",IF(AE4116="",IF(G4116&gt;0,(VLOOKUP(A4116,'Discount Lookup'!J:K,2)*G4116*(1-PlanterDiscount)*(1+PlanterDifficultyPercentage)),""),"")),"   not ELP, by"))))))))))))))</f>
        <v/>
      </c>
      <c r="AD4116" s="712"/>
      <c r="AE4116" s="513" t="str">
        <f t="shared" ref="AE4116:AE4179" si="3089">IF(H4116="credit","",IF(G4116=0,"",IF(OR(PlanterYesMe="No",PlanterYesMe="N",PlanterYesMe="me"),"me",IF(H4116="warranty","free",IF(OR(PlanterYesMe="yes",PlanterYesMe="y"),"ELP","")))))</f>
        <v/>
      </c>
      <c r="AF4116" s="713" t="str">
        <f t="shared" ref="AF4116:AF4179" si="3090">IF(OR(PlanterYesMe="No",PlanterYesMe="N",PlanterYesMe="me"),"",IF(H4116="credit","",IF(G4116&gt;0,(CONCATENATE((G4116)," quantity, ",(A4116)," ",B4116)),"")))</f>
        <v/>
      </c>
      <c r="AG4116" s="713"/>
      <c r="AH4116" s="713"/>
      <c r="AI4116" s="112">
        <f>IF(H4116="credit",0,IF(AE4116="free",0,IF(AE4116="me",0,IF(G4116&gt;0,(VLOOKUP(A4116,'Discount Lookup'!J:K,2)*G4116),0))))</f>
        <v>0</v>
      </c>
      <c r="AJ4116" s="107" t="str">
        <f t="shared" ref="AJ4116:AJ4179" ca="1" si="3091">IF(AND(ISREF(H4116),H4116="credit"),"",IF(AND(AND(OFFSET(G4116,0,0)=0,OFFSET(G4116,1,0)&gt;0,ISNUMBER(OFFSET(AC4116,1,0)),OFFSET(AC4116,1,0)&gt;0),OR(PlanterYesMe="yes",PlanterYesMe="y")),"T2G+ELP=",IF(AND(OFFSET(G4116,0,0)=0,OFFSET(G4116,1,0)&gt;0,ISNUMBER(OFFSET(AC4116,1,0)),OFFSET(AC4116,1,0)&gt;0),"if T2G+ELP=",IF(AND(OFFSET(G4116,0,0)=0,OFFSET(G4116,1,0)&gt;0),"T2G Subtotal",IF(H4116="credit","",IF(G4116=0,"",IF(AE4116="free",(K4116*(1-T2GDiscount)),IF(OR(PlanterYesMe="No",PlanterYesMe="N",PlanterYesMe="me"),(K4116*(1-T2GDiscount)),IF(OR(AE4116="me",AE4116="T2G"),(K4116*(1-T2GDiscount)),(K4116*(1-T2GDiscount))+AC4116)))))))))</f>
        <v/>
      </c>
      <c r="AK4116" s="714" t="str">
        <f t="shared" ref="AK4116:AK4179" si="3092">IF(H4116="credit","",IF(G4116=0,"",IF(OR(AE4116="me",AE4116="T2G"),"  delivery-only",IF(OR(PlanterYesMe="No",PlanterYesMe="N",PlanterYesMe="me"),"  delivery-only",CONCATENATE(" $",ROUND(AJ4116/G4116,2)," each")))))</f>
        <v/>
      </c>
      <c r="AL4116" s="714"/>
      <c r="AM4116" s="114" t="str">
        <f t="shared" ref="AM4116:AM4179" si="3093">IF(H4116="credit","",IF(AE4116="free","      ~ discounts included, no tax or planting fee applies ~",IF(G4116=0,"",IF(OR(PlanterYesMe="No",PlanterYesMe="N",PlanterYesMe="me"),CONCATENATE(" $",ROUND(AJ4116/G4116,2)," per plant, with tax &amp; discount"),IF(OR(AE4116="me",AE4116="T2G"),CONCATENATE(" $",ROUND(AJ4116/G4116,2)," per plant, with tax &amp; discount"),CONCATENATE("= $",ROUND((K4116*(1-T2GDiscount))/G4116,2)," per plant + $",AC4116/G4116,(" per planting      ~ includes tax &amp; discounts ~")))))))</f>
        <v/>
      </c>
      <c r="AN4116" s="115"/>
      <c r="AO4116" s="116"/>
      <c r="AP4116" s="116"/>
      <c r="AQ4116" s="116"/>
      <c r="AR4116" s="116"/>
      <c r="AS4116" s="116"/>
      <c r="AT4116" s="116"/>
      <c r="AU4116" s="116"/>
      <c r="AV4116" s="78"/>
      <c r="AW4116" s="102"/>
      <c r="AX4116" s="78"/>
      <c r="AY4116" s="78"/>
      <c r="AZ4116" s="78"/>
      <c r="BA4116" s="78"/>
      <c r="BB4116" s="78"/>
      <c r="BC4116" s="78"/>
      <c r="BD4116" s="78"/>
      <c r="BE4116" s="465"/>
      <c r="BF4116" s="165" t="str">
        <f t="shared" ref="BF4116:BF4179" si="3094">"https://www.google.com/search?tbm=isch&amp;q=" &amp; _xlfn.ENCODEURL($A4116 &amp; " " &amp; $D4116)</f>
        <v>https://www.google.com/search?tbm=isch&amp;q=Emerald%20is%20named%20for%20it%27s%20year-round%20color%2C%20with%20little%20winter%20bronzing%20</v>
      </c>
      <c r="BG4116" s="165" t="str">
        <f t="shared" ref="BG4116:BG4179" si="3095">IF(ISTEXT(A4116),LEFT(A4116,1),BG4115)</f>
        <v>E</v>
      </c>
      <c r="BH4116" s="65"/>
      <c r="BI4116" s="65"/>
      <c r="BJ4116" s="65"/>
      <c r="BK4116" s="65"/>
      <c r="BL4116" s="99"/>
      <c r="BM4116" s="99"/>
      <c r="BN4116" s="99"/>
    </row>
    <row r="4117" spans="1:66" s="51" customFormat="1" ht="18" x14ac:dyDescent="0.25">
      <c r="A4117" s="507" t="s">
        <v>4366</v>
      </c>
      <c r="B4117" s="470"/>
      <c r="C4117" s="706"/>
      <c r="D4117" s="471" t="s">
        <v>5914</v>
      </c>
      <c r="E4117" s="472"/>
      <c r="F4117" s="472"/>
      <c r="G4117" s="472"/>
      <c r="H4117" s="622" t="s">
        <v>1088</v>
      </c>
      <c r="I4117" s="473" t="s">
        <v>430</v>
      </c>
      <c r="J4117" s="472"/>
      <c r="K4117" s="472"/>
      <c r="L4117" s="561"/>
      <c r="M4117" s="698" t="s">
        <v>5246</v>
      </c>
      <c r="N4117" s="692" t="str">
        <f>IF(AND(ISTEXT($A4117), ISERROR($A4117+0)), HYPERLINK($BF4117, "Images"), "")</f>
        <v>Images</v>
      </c>
      <c r="O4117" s="694" t="s">
        <v>5286</v>
      </c>
      <c r="P4117" s="475"/>
      <c r="Q4117" s="476"/>
      <c r="R4117" s="476"/>
      <c r="S4117" s="477" t="s">
        <v>294</v>
      </c>
      <c r="T4117" s="102">
        <f t="shared" si="3083"/>
        <v>0</v>
      </c>
      <c r="U4117" s="78" t="str">
        <f>IF(NOT(ISNUMBER(G4117)), "", VLOOKUP(A4117,'Discount Lookup'!D:E,2,FALSE)*G4117)</f>
        <v/>
      </c>
      <c r="V4117" s="78" t="str">
        <f>IF(NOT(ISNUMBER(G4117)), "", VLOOKUP(A4117,'Discount Lookup'!G:H,2,FALSE)*G4117)</f>
        <v/>
      </c>
      <c r="W4117" s="102">
        <f t="shared" si="3084"/>
        <v>0</v>
      </c>
      <c r="X4117" s="102" t="str">
        <f t="shared" si="3085"/>
        <v>Deep Green foliage</v>
      </c>
      <c r="Y4117" s="120" t="b">
        <f t="shared" si="3086"/>
        <v>0</v>
      </c>
      <c r="Z4117" s="117">
        <f t="shared" si="3087"/>
        <v>0</v>
      </c>
      <c r="AA4117" s="118"/>
      <c r="AB4117" s="118" t="str">
        <f t="shared" si="3088"/>
        <v/>
      </c>
      <c r="AC4117" s="712" t="str">
        <f>IF(AE4117="T2G","no charge",IF(AND(OR(PlanterYesMe="No",PlanterYesMe="N",PlanterYesMe="me"),H4117=""),"",IF(H4117="credit","NO install",IF(AND(K4117="",AE4117="me"),"EACH row",IF(AND(K4117="images",AE4117="me"),"EACH row",IF(D4117="","",IF(H4117="credit","",IF(AE4117="free","re-planting",IF(AE4117="me","   not ELP, by",IF(AND(OR(PlanterYesMe="Yes",PlanterYesMe="Y"),G4117&gt;0),(VLOOKUP(A4117,'Discount Lookup'!J:K,2)*G4117*(1-PlanterDiscount)*(1+PlanterDifficultyPercentage)),IF(AE4117="ELP",(VLOOKUP(A4117,'Discount Lookup'!J:K,2)*G4117*(1-PlanterDiscount)*(1+PlanterDifficultyPercentage)),IF(AE4117="free","re-planting",IF(G4117=0,"",IF(PlanterYesMe="",IF(AE4117="me","   not ELP, by",IF(AE4117="",IF(G4117&gt;0,(VLOOKUP(A4117,'Discount Lookup'!J:K,2)*G4117*(1-PlanterDiscount)*(1+PlanterDifficultyPercentage)),""),"")),"   not ELP, by"))))))))))))))</f>
        <v/>
      </c>
      <c r="AD4117" s="712"/>
      <c r="AE4117" s="513" t="str">
        <f t="shared" si="3089"/>
        <v/>
      </c>
      <c r="AF4117" s="713" t="str">
        <f t="shared" si="3090"/>
        <v/>
      </c>
      <c r="AG4117" s="713"/>
      <c r="AH4117" s="713"/>
      <c r="AI4117" s="112">
        <f>IF(H4117="credit",0,IF(AE4117="free",0,IF(AE4117="me",0,IF(G4117&gt;0,(VLOOKUP(A4117,'Discount Lookup'!J:K,2)*G4117),0))))</f>
        <v>0</v>
      </c>
      <c r="AJ4117" s="107" t="str">
        <f t="shared" ca="1" si="3091"/>
        <v/>
      </c>
      <c r="AK4117" s="714" t="str">
        <f t="shared" si="3092"/>
        <v/>
      </c>
      <c r="AL4117" s="714"/>
      <c r="AM4117" s="114" t="str">
        <f t="shared" si="3093"/>
        <v/>
      </c>
      <c r="AN4117" s="115"/>
      <c r="AO4117" s="116"/>
      <c r="AP4117" s="116"/>
      <c r="AQ4117" s="116"/>
      <c r="AR4117" s="116"/>
      <c r="AS4117" s="116"/>
      <c r="AT4117" s="116"/>
      <c r="AU4117" s="116"/>
      <c r="AV4117" s="78"/>
      <c r="AW4117" s="102"/>
      <c r="AX4117" s="78"/>
      <c r="AY4117" s="78"/>
      <c r="AZ4117" s="78"/>
      <c r="BA4117" s="78"/>
      <c r="BB4117" s="78"/>
      <c r="BC4117" s="78"/>
      <c r="BD4117" s="78"/>
      <c r="BE4117" s="465"/>
      <c r="BF4117" s="165" t="str">
        <f t="shared" si="3094"/>
        <v>https://www.google.com/search?tbm=isch&amp;q=Thuja%20occidentalis%20%27SMNTOBAB%27%20PP%2330761%20Tater%20Tot%C2%AE%20Arborvitae%20%28PW%C2%AE%29</v>
      </c>
      <c r="BG4117" s="165" t="str">
        <f t="shared" si="3095"/>
        <v>T</v>
      </c>
      <c r="BH4117" s="65"/>
      <c r="BI4117" s="65"/>
      <c r="BJ4117" s="65"/>
      <c r="BK4117" s="65"/>
      <c r="BL4117" s="99"/>
      <c r="BM4117" s="99"/>
      <c r="BN4117" s="99"/>
    </row>
    <row r="4118" spans="1:66" s="51" customFormat="1" ht="15.75" x14ac:dyDescent="0.25">
      <c r="A4118" s="478">
        <v>7</v>
      </c>
      <c r="B4118" s="479" t="s">
        <v>291</v>
      </c>
      <c r="C4118" s="480" t="s">
        <v>4367</v>
      </c>
      <c r="D4118" s="481" t="s">
        <v>299</v>
      </c>
      <c r="E4118" s="482">
        <v>111.95</v>
      </c>
      <c r="F4118" s="483" t="s">
        <v>292</v>
      </c>
      <c r="G4118" s="484">
        <v>0</v>
      </c>
      <c r="H4118" s="688" t="str">
        <f>IF(G4118=0,"",IF(F4118="Buy",IF(G4118=1,"plant","plants"),IF(F4118&gt;0.01,"warranty","Error")))</f>
        <v/>
      </c>
      <c r="I4118" s="485">
        <f>IF(H4118="free",0,IF(H4118="credit",((E4118*(F4118))*G4118*-1),IF(F4118="Buy",(E4118*G4118),((E4118*(1-F4118))*G4118))))</f>
        <v>0</v>
      </c>
      <c r="J4118" s="485">
        <f>IF(H4118="warranty",0,(I4118*(_xlfn.SINGLE(SalesTaxPercentage))))</f>
        <v>0</v>
      </c>
      <c r="K4118" s="715">
        <f t="shared" ref="K4118" si="3096">I4118+J4118</f>
        <v>0</v>
      </c>
      <c r="L4118" s="715"/>
      <c r="M4118" s="689" t="str">
        <f ca="1">IF(AND(G4118&gt;0,E4118=0),"WARNING - no PRICE inserted",IF(H4118="free","FREE ~ no charge this plant",IF(H4118="credit",CONCATENATE("-$",ROUND(K4118*(1-_xlfn.SINGLE(T2GDiscount))*-1,2)," CREDIT after discount"),IF(_xlfn.SINGLE(T2GDiscount)=0,"",IF(G4118=0,"",IF(F4118="Buy",CONCATENATE("$",ROUND(K4118*(1-_xlfn.SINGLE(T2GDiscount)),2)," with ",(_xlfn.SINGLE(T2GDiscount)*100),"% discount"),CONCATENATE("$",ROUND(K4118*(1-_xlfn.SINGLE(T2GDiscount)),2)," with ",((_xlfn.SINGLE(T2GDiscount)*100+F4118*100)-(_xlfn.SINGLE(T2GDiscount)*100*F4118)),IF(F4118&gt;0,"% discounts",IF(_xlfn.SINGLE(NoWarrantyDiscount)&gt;0,"% discounts","% discount")))))))))</f>
        <v/>
      </c>
      <c r="N4118" s="690"/>
      <c r="O4118" s="486"/>
      <c r="P4118" s="486"/>
      <c r="Q4118" s="486"/>
      <c r="R4118" s="486"/>
      <c r="S4118" s="486"/>
      <c r="T4118" s="102">
        <f t="shared" si="3083"/>
        <v>0</v>
      </c>
      <c r="U4118" s="78">
        <f>IF(NOT(ISNUMBER(G4118)), "", VLOOKUP(A4118,'Discount Lookup'!D:E,2,FALSE)*G4118)</f>
        <v>0</v>
      </c>
      <c r="V4118" s="78">
        <f>IF(NOT(ISNUMBER(G4118)), "", VLOOKUP(A4118,'Discount Lookup'!G:H,2,FALSE)*G4118)</f>
        <v>0</v>
      </c>
      <c r="W4118" s="102">
        <f t="shared" si="3084"/>
        <v>0</v>
      </c>
      <c r="X4118" s="102">
        <f t="shared" si="3085"/>
        <v>0</v>
      </c>
      <c r="Y4118" s="120" t="b">
        <f t="shared" si="3086"/>
        <v>0</v>
      </c>
      <c r="Z4118" s="117">
        <f t="shared" si="3087"/>
        <v>0</v>
      </c>
      <c r="AA4118" s="118"/>
      <c r="AB4118" s="118" t="str">
        <f t="shared" si="3088"/>
        <v/>
      </c>
      <c r="AC4118" s="712" t="str">
        <f>IF(AE4118="T2G","no charge",IF(AND(OR(PlanterYesMe="No",PlanterYesMe="N",PlanterYesMe="me"),H4118=""),"",IF(H4118="credit","NO install",IF(AND(K4118="",AE4118="me"),"EACH row",IF(AND(K4118="images",AE4118="me"),"EACH row",IF(D4118="","",IF(H4118="credit","",IF(AE4118="free","re-planting",IF(AE4118="me","   not ELP, by",IF(AND(OR(PlanterYesMe="Yes",PlanterYesMe="Y"),G4118&gt;0),(VLOOKUP(A4118,'Discount Lookup'!J:K,2)*G4118*(1-PlanterDiscount)*(1+PlanterDifficultyPercentage)),IF(AE4118="ELP",(VLOOKUP(A4118,'Discount Lookup'!J:K,2)*G4118*(1-PlanterDiscount)*(1+PlanterDifficultyPercentage)),IF(AE4118="free","re-planting",IF(G4118=0,"",IF(PlanterYesMe="",IF(AE4118="me","   not ELP, by",IF(AE4118="",IF(G4118&gt;0,(VLOOKUP(A4118,'Discount Lookup'!J:K,2)*G4118*(1-PlanterDiscount)*(1+PlanterDifficultyPercentage)),""),"")),"   not ELP, by"))))))))))))))</f>
        <v/>
      </c>
      <c r="AD4118" s="712"/>
      <c r="AE4118" s="513" t="str">
        <f t="shared" si="3089"/>
        <v/>
      </c>
      <c r="AF4118" s="713" t="str">
        <f t="shared" si="3090"/>
        <v/>
      </c>
      <c r="AG4118" s="713"/>
      <c r="AH4118" s="713"/>
      <c r="AI4118" s="112">
        <f>IF(H4118="credit",0,IF(AE4118="free",0,IF(AE4118="me",0,IF(G4118&gt;0,(VLOOKUP(A4118,'Discount Lookup'!J:K,2)*G4118),0))))</f>
        <v>0</v>
      </c>
      <c r="AJ4118" s="107" t="str">
        <f t="shared" ca="1" si="3091"/>
        <v/>
      </c>
      <c r="AK4118" s="714" t="str">
        <f t="shared" si="3092"/>
        <v/>
      </c>
      <c r="AL4118" s="714"/>
      <c r="AM4118" s="114" t="str">
        <f t="shared" si="3093"/>
        <v/>
      </c>
      <c r="AN4118" s="115"/>
      <c r="AO4118" s="116"/>
      <c r="AP4118" s="116"/>
      <c r="AQ4118" s="116"/>
      <c r="AR4118" s="116"/>
      <c r="AS4118" s="116"/>
      <c r="AT4118" s="116"/>
      <c r="AU4118" s="116"/>
      <c r="AV4118" s="78"/>
      <c r="AW4118" s="102"/>
      <c r="AX4118" s="78"/>
      <c r="AY4118" s="78"/>
      <c r="AZ4118" s="78"/>
      <c r="BA4118" s="78"/>
      <c r="BB4118" s="78"/>
      <c r="BC4118" s="78"/>
      <c r="BD4118" s="78"/>
      <c r="BE4118" s="465"/>
      <c r="BF4118" s="165" t="str">
        <f t="shared" si="3094"/>
        <v>https://www.google.com/search?tbm=isch&amp;q=7%20G4</v>
      </c>
      <c r="BG4118" s="165" t="str">
        <f t="shared" si="3095"/>
        <v>T</v>
      </c>
      <c r="BH4118" s="65"/>
      <c r="BI4118" s="65"/>
      <c r="BJ4118" s="65"/>
      <c r="BK4118" s="65"/>
      <c r="BL4118" s="99"/>
      <c r="BM4118" s="99"/>
      <c r="BN4118" s="99"/>
    </row>
    <row r="4119" spans="1:66" s="51" customFormat="1" ht="15.75" x14ac:dyDescent="0.25">
      <c r="A4119" s="478">
        <v>10</v>
      </c>
      <c r="B4119" s="479" t="s">
        <v>291</v>
      </c>
      <c r="C4119" s="480" t="s">
        <v>4368</v>
      </c>
      <c r="D4119" s="481" t="s">
        <v>299</v>
      </c>
      <c r="E4119" s="482">
        <v>183.95</v>
      </c>
      <c r="F4119" s="483" t="s">
        <v>292</v>
      </c>
      <c r="G4119" s="484">
        <v>0</v>
      </c>
      <c r="H4119" s="688" t="str">
        <f>IF(G4119=0,"",IF(F4119="Buy",IF(G4119=1,"plant","plants"),IF(F4119&gt;0.01,"warranty","Error")))</f>
        <v/>
      </c>
      <c r="I4119" s="485">
        <f>IF(H4119="free",0,IF(H4119="credit",((E4119*(F4119))*G4119*-1),IF(F4119="Buy",(E4119*G4119),((E4119*(1-F4119))*G4119))))</f>
        <v>0</v>
      </c>
      <c r="J4119" s="485">
        <f>IF(H4119="warranty",0,(I4119*(_xlfn.SINGLE(SalesTaxPercentage))))</f>
        <v>0</v>
      </c>
      <c r="K4119" s="715">
        <f t="shared" ref="K4119" si="3097">I4119+J4119</f>
        <v>0</v>
      </c>
      <c r="L4119" s="715"/>
      <c r="M4119" s="689" t="str">
        <f ca="1">IF(AND(G4119&gt;0,E4119=0),"WARNING - no PRICE inserted",IF(H4119="free","FREE ~ no charge this plant",IF(H4119="credit",CONCATENATE("-$",ROUND(K4119*(1-_xlfn.SINGLE(T2GDiscount))*-1,2)," CREDIT after discount"),IF(_xlfn.SINGLE(T2GDiscount)=0,"",IF(G4119=0,"",IF(F4119="Buy",CONCATENATE("$",ROUND(K4119*(1-_xlfn.SINGLE(T2GDiscount)),2)," with ",(_xlfn.SINGLE(T2GDiscount)*100),"% discount"),CONCATENATE("$",ROUND(K4119*(1-_xlfn.SINGLE(T2GDiscount)),2)," with ",((_xlfn.SINGLE(T2GDiscount)*100+F4119*100)-(_xlfn.SINGLE(T2GDiscount)*100*F4119)),IF(F4119&gt;0,"% discounts",IF(_xlfn.SINGLE(NoWarrantyDiscount)&gt;0,"% discounts","% discount")))))))))</f>
        <v/>
      </c>
      <c r="N4119" s="690"/>
      <c r="O4119" s="486"/>
      <c r="P4119" s="486"/>
      <c r="Q4119" s="486"/>
      <c r="R4119" s="486"/>
      <c r="S4119" s="486"/>
      <c r="T4119" s="102">
        <f t="shared" si="3083"/>
        <v>0</v>
      </c>
      <c r="U4119" s="78">
        <f>IF(NOT(ISNUMBER(G4119)), "", VLOOKUP(A4119,'Discount Lookup'!D:E,2,FALSE)*G4119)</f>
        <v>0</v>
      </c>
      <c r="V4119" s="78">
        <f>IF(NOT(ISNUMBER(G4119)), "", VLOOKUP(A4119,'Discount Lookup'!G:H,2,FALSE)*G4119)</f>
        <v>0</v>
      </c>
      <c r="W4119" s="102">
        <f t="shared" si="3084"/>
        <v>0</v>
      </c>
      <c r="X4119" s="102">
        <f t="shared" si="3085"/>
        <v>0</v>
      </c>
      <c r="Y4119" s="120" t="b">
        <f t="shared" si="3086"/>
        <v>0</v>
      </c>
      <c r="Z4119" s="117">
        <f t="shared" si="3087"/>
        <v>0</v>
      </c>
      <c r="AA4119" s="118"/>
      <c r="AB4119" s="118" t="str">
        <f t="shared" si="3088"/>
        <v/>
      </c>
      <c r="AC4119" s="712" t="str">
        <f>IF(AE4119="T2G","no charge",IF(AND(OR(PlanterYesMe="No",PlanterYesMe="N",PlanterYesMe="me"),H4119=""),"",IF(H4119="credit","NO install",IF(AND(K4119="",AE4119="me"),"EACH row",IF(AND(K4119="images",AE4119="me"),"EACH row",IF(D4119="","",IF(H4119="credit","",IF(AE4119="free","re-planting",IF(AE4119="me","   not ELP, by",IF(AND(OR(PlanterYesMe="Yes",PlanterYesMe="Y"),G4119&gt;0),(VLOOKUP(A4119,'Discount Lookup'!J:K,2)*G4119*(1-PlanterDiscount)*(1+PlanterDifficultyPercentage)),IF(AE4119="ELP",(VLOOKUP(A4119,'Discount Lookup'!J:K,2)*G4119*(1-PlanterDiscount)*(1+PlanterDifficultyPercentage)),IF(AE4119="free","re-planting",IF(G4119=0,"",IF(PlanterYesMe="",IF(AE4119="me","   not ELP, by",IF(AE4119="",IF(G4119&gt;0,(VLOOKUP(A4119,'Discount Lookup'!J:K,2)*G4119*(1-PlanterDiscount)*(1+PlanterDifficultyPercentage)),""),"")),"   not ELP, by"))))))))))))))</f>
        <v/>
      </c>
      <c r="AD4119" s="712"/>
      <c r="AE4119" s="513" t="str">
        <f t="shared" si="3089"/>
        <v/>
      </c>
      <c r="AF4119" s="713" t="str">
        <f t="shared" si="3090"/>
        <v/>
      </c>
      <c r="AG4119" s="713"/>
      <c r="AH4119" s="713"/>
      <c r="AI4119" s="112">
        <f>IF(H4119="credit",0,IF(AE4119="free",0,IF(AE4119="me",0,IF(G4119&gt;0,(VLOOKUP(A4119,'Discount Lookup'!J:K,2)*G4119),0))))</f>
        <v>0</v>
      </c>
      <c r="AJ4119" s="107" t="str">
        <f t="shared" ca="1" si="3091"/>
        <v/>
      </c>
      <c r="AK4119" s="714" t="str">
        <f t="shared" si="3092"/>
        <v/>
      </c>
      <c r="AL4119" s="714"/>
      <c r="AM4119" s="114" t="str">
        <f t="shared" si="3093"/>
        <v/>
      </c>
      <c r="AN4119" s="115"/>
      <c r="AO4119" s="116"/>
      <c r="AP4119" s="116"/>
      <c r="AQ4119" s="116"/>
      <c r="AR4119" s="116"/>
      <c r="AS4119" s="116"/>
      <c r="AT4119" s="116"/>
      <c r="AU4119" s="116"/>
      <c r="AV4119" s="78"/>
      <c r="AW4119" s="102"/>
      <c r="AX4119" s="78"/>
      <c r="AY4119" s="78"/>
      <c r="AZ4119" s="78"/>
      <c r="BA4119" s="78"/>
      <c r="BB4119" s="78"/>
      <c r="BC4119" s="78"/>
      <c r="BD4119" s="78"/>
      <c r="BE4119" s="465"/>
      <c r="BF4119" s="165" t="str">
        <f t="shared" si="3094"/>
        <v>https://www.google.com/search?tbm=isch&amp;q=10%20G4</v>
      </c>
      <c r="BG4119" s="165" t="str">
        <f t="shared" si="3095"/>
        <v>T</v>
      </c>
      <c r="BH4119" s="65"/>
      <c r="BI4119" s="65"/>
      <c r="BJ4119" s="65"/>
      <c r="BK4119" s="65"/>
      <c r="BL4119" s="99"/>
      <c r="BM4119" s="99"/>
      <c r="BN4119" s="99"/>
    </row>
    <row r="4120" spans="1:66" s="51" customFormat="1" ht="16.5" thickBot="1" x14ac:dyDescent="0.3">
      <c r="A4120" s="508" t="s">
        <v>4830</v>
      </c>
      <c r="B4120" s="487"/>
      <c r="C4120" s="707"/>
      <c r="D4120" s="487"/>
      <c r="E4120" s="487"/>
      <c r="F4120" s="488"/>
      <c r="G4120" s="489"/>
      <c r="H4120" s="487"/>
      <c r="I4120" s="490"/>
      <c r="J4120" s="490"/>
      <c r="K4120" s="491"/>
      <c r="L4120" s="547"/>
      <c r="M4120" s="528"/>
      <c r="N4120" s="492"/>
      <c r="O4120" s="493"/>
      <c r="P4120" s="494"/>
      <c r="Q4120" s="492"/>
      <c r="R4120" s="492"/>
      <c r="S4120" s="495"/>
      <c r="T4120" s="102">
        <f t="shared" si="3083"/>
        <v>0</v>
      </c>
      <c r="U4120" s="78" t="str">
        <f>IF(NOT(ISNUMBER(G4120)), "", VLOOKUP(A4120,'Discount Lookup'!D:E,2,FALSE)*G4120)</f>
        <v/>
      </c>
      <c r="V4120" s="78" t="str">
        <f>IF(NOT(ISNUMBER(G4120)), "", VLOOKUP(A4120,'Discount Lookup'!G:H,2,FALSE)*G4120)</f>
        <v/>
      </c>
      <c r="W4120" s="102">
        <f t="shared" si="3084"/>
        <v>0</v>
      </c>
      <c r="X4120" s="102">
        <f t="shared" si="3085"/>
        <v>0</v>
      </c>
      <c r="Y4120" s="120" t="b">
        <f t="shared" si="3086"/>
        <v>0</v>
      </c>
      <c r="Z4120" s="117">
        <f t="shared" si="3087"/>
        <v>0</v>
      </c>
      <c r="AA4120" s="118"/>
      <c r="AB4120" s="118" t="str">
        <f t="shared" si="3088"/>
        <v/>
      </c>
      <c r="AC4120" s="712" t="str">
        <f>IF(AE4120="T2G","no charge",IF(AND(OR(PlanterYesMe="No",PlanterYesMe="N",PlanterYesMe="me"),H4120=""),"",IF(H4120="credit","NO install",IF(AND(K4120="",AE4120="me"),"EACH row",IF(AND(K4120="images",AE4120="me"),"EACH row",IF(D4120="","",IF(H4120="credit","",IF(AE4120="free","re-planting",IF(AE4120="me","   not ELP, by",IF(AND(OR(PlanterYesMe="Yes",PlanterYesMe="Y"),G4120&gt;0),(VLOOKUP(A4120,'Discount Lookup'!J:K,2)*G4120*(1-PlanterDiscount)*(1+PlanterDifficultyPercentage)),IF(AE4120="ELP",(VLOOKUP(A4120,'Discount Lookup'!J:K,2)*G4120*(1-PlanterDiscount)*(1+PlanterDifficultyPercentage)),IF(AE4120="free","re-planting",IF(G4120=0,"",IF(PlanterYesMe="",IF(AE4120="me","   not ELP, by",IF(AE4120="",IF(G4120&gt;0,(VLOOKUP(A4120,'Discount Lookup'!J:K,2)*G4120*(1-PlanterDiscount)*(1+PlanterDifficultyPercentage)),""),"")),"   not ELP, by"))))))))))))))</f>
        <v/>
      </c>
      <c r="AD4120" s="712"/>
      <c r="AE4120" s="513" t="str">
        <f t="shared" si="3089"/>
        <v/>
      </c>
      <c r="AF4120" s="713" t="str">
        <f t="shared" si="3090"/>
        <v/>
      </c>
      <c r="AG4120" s="713"/>
      <c r="AH4120" s="713"/>
      <c r="AI4120" s="112">
        <f>IF(H4120="credit",0,IF(AE4120="free",0,IF(AE4120="me",0,IF(G4120&gt;0,(VLOOKUP(A4120,'Discount Lookup'!J:K,2)*G4120),0))))</f>
        <v>0</v>
      </c>
      <c r="AJ4120" s="107" t="str">
        <f t="shared" ca="1" si="3091"/>
        <v/>
      </c>
      <c r="AK4120" s="714" t="str">
        <f t="shared" si="3092"/>
        <v/>
      </c>
      <c r="AL4120" s="714"/>
      <c r="AM4120" s="114" t="str">
        <f t="shared" si="3093"/>
        <v/>
      </c>
      <c r="AN4120" s="115"/>
      <c r="AO4120" s="116"/>
      <c r="AP4120" s="116"/>
      <c r="AQ4120" s="116"/>
      <c r="AR4120" s="116"/>
      <c r="AS4120" s="116"/>
      <c r="AT4120" s="116"/>
      <c r="AU4120" s="116"/>
      <c r="AV4120" s="78"/>
      <c r="AW4120" s="102"/>
      <c r="AX4120" s="78"/>
      <c r="AY4120" s="78"/>
      <c r="AZ4120" s="78"/>
      <c r="BA4120" s="78"/>
      <c r="BB4120" s="78"/>
      <c r="BC4120" s="78"/>
      <c r="BD4120" s="78"/>
      <c r="BE4120" s="465"/>
      <c r="BF4120" s="165" t="str">
        <f t="shared" si="3094"/>
        <v>https://www.google.com/search?tbm=isch&amp;q=Tator%20Tot%20has%20fragrant%2C%20fan-like%20foliage%20</v>
      </c>
      <c r="BG4120" s="165" t="str">
        <f t="shared" si="3095"/>
        <v>T</v>
      </c>
      <c r="BH4120" s="65"/>
      <c r="BI4120" s="65"/>
      <c r="BJ4120" s="65"/>
      <c r="BK4120" s="65"/>
      <c r="BL4120" s="99"/>
      <c r="BM4120" s="99"/>
      <c r="BN4120" s="99"/>
    </row>
    <row r="4121" spans="1:66" s="51" customFormat="1" ht="18" x14ac:dyDescent="0.25">
      <c r="A4121" s="507" t="s">
        <v>777</v>
      </c>
      <c r="B4121" s="470"/>
      <c r="C4121" s="706"/>
      <c r="D4121" s="471" t="s">
        <v>5915</v>
      </c>
      <c r="E4121" s="472"/>
      <c r="F4121" s="472"/>
      <c r="G4121" s="472"/>
      <c r="H4121" s="622" t="s">
        <v>778</v>
      </c>
      <c r="I4121" s="473" t="s">
        <v>440</v>
      </c>
      <c r="J4121" s="472"/>
      <c r="K4121" s="472"/>
      <c r="L4121" s="561"/>
      <c r="M4121" s="698" t="s">
        <v>5246</v>
      </c>
      <c r="N4121" s="692" t="str">
        <f>IF(AND(ISTEXT($A4121), ISERROR($A4121+0)), HYPERLINK($BF4121, "Images"), "")</f>
        <v>Images</v>
      </c>
      <c r="O4121" s="694" t="s">
        <v>5286</v>
      </c>
      <c r="P4121" s="475"/>
      <c r="Q4121" s="476"/>
      <c r="R4121" s="476"/>
      <c r="S4121" s="477"/>
      <c r="T4121" s="102">
        <f t="shared" si="3083"/>
        <v>0</v>
      </c>
      <c r="U4121" s="78" t="str">
        <f>IF(NOT(ISNUMBER(G4121)), "", VLOOKUP(A4121,'Discount Lookup'!D:E,2,FALSE)*G4121)</f>
        <v/>
      </c>
      <c r="V4121" s="78" t="str">
        <f>IF(NOT(ISNUMBER(G4121)), "", VLOOKUP(A4121,'Discount Lookup'!G:H,2,FALSE)*G4121)</f>
        <v/>
      </c>
      <c r="W4121" s="102">
        <f t="shared" si="3084"/>
        <v>0</v>
      </c>
      <c r="X4121" s="102" t="str">
        <f t="shared" si="3085"/>
        <v>Rich Green foliage</v>
      </c>
      <c r="Y4121" s="120" t="b">
        <f t="shared" si="3086"/>
        <v>0</v>
      </c>
      <c r="Z4121" s="117">
        <f t="shared" si="3087"/>
        <v>0</v>
      </c>
      <c r="AA4121" s="118"/>
      <c r="AB4121" s="118" t="str">
        <f t="shared" si="3088"/>
        <v/>
      </c>
      <c r="AC4121" s="712" t="str">
        <f>IF(AE4121="T2G","no charge",IF(AND(OR(PlanterYesMe="No",PlanterYesMe="N",PlanterYesMe="me"),H4121=""),"",IF(H4121="credit","NO install",IF(AND(K4121="",AE4121="me"),"EACH row",IF(AND(K4121="images",AE4121="me"),"EACH row",IF(D4121="","",IF(H4121="credit","",IF(AE4121="free","re-planting",IF(AE4121="me","   not ELP, by",IF(AND(OR(PlanterYesMe="Yes",PlanterYesMe="Y"),G4121&gt;0),(VLOOKUP(A4121,'Discount Lookup'!J:K,2)*G4121*(1-PlanterDiscount)*(1+PlanterDifficultyPercentage)),IF(AE4121="ELP",(VLOOKUP(A4121,'Discount Lookup'!J:K,2)*G4121*(1-PlanterDiscount)*(1+PlanterDifficultyPercentage)),IF(AE4121="free","re-planting",IF(G4121=0,"",IF(PlanterYesMe="",IF(AE4121="me","   not ELP, by",IF(AE4121="",IF(G4121&gt;0,(VLOOKUP(A4121,'Discount Lookup'!J:K,2)*G4121*(1-PlanterDiscount)*(1+PlanterDifficultyPercentage)),""),"")),"   not ELP, by"))))))))))))))</f>
        <v/>
      </c>
      <c r="AD4121" s="712"/>
      <c r="AE4121" s="513" t="str">
        <f t="shared" si="3089"/>
        <v/>
      </c>
      <c r="AF4121" s="713" t="str">
        <f t="shared" si="3090"/>
        <v/>
      </c>
      <c r="AG4121" s="713"/>
      <c r="AH4121" s="713"/>
      <c r="AI4121" s="112">
        <f>IF(H4121="credit",0,IF(AE4121="free",0,IF(AE4121="me",0,IF(G4121&gt;0,(VLOOKUP(A4121,'Discount Lookup'!J:K,2)*G4121),0))))</f>
        <v>0</v>
      </c>
      <c r="AJ4121" s="107" t="str">
        <f t="shared" ca="1" si="3091"/>
        <v/>
      </c>
      <c r="AK4121" s="714" t="str">
        <f t="shared" si="3092"/>
        <v/>
      </c>
      <c r="AL4121" s="714"/>
      <c r="AM4121" s="114" t="str">
        <f t="shared" si="3093"/>
        <v/>
      </c>
      <c r="AN4121" s="115"/>
      <c r="AO4121" s="116"/>
      <c r="AP4121" s="116"/>
      <c r="AQ4121" s="116"/>
      <c r="AR4121" s="116"/>
      <c r="AS4121" s="116"/>
      <c r="AT4121" s="116"/>
      <c r="AU4121" s="116"/>
      <c r="AV4121" s="78"/>
      <c r="AW4121" s="102"/>
      <c r="AX4121" s="78"/>
      <c r="AY4121" s="78"/>
      <c r="AZ4121" s="78"/>
      <c r="BA4121" s="78"/>
      <c r="BB4121" s="78"/>
      <c r="BC4121" s="78"/>
      <c r="BD4121" s="78"/>
      <c r="BE4121" s="465"/>
      <c r="BF4121" s="165" t="str">
        <f t="shared" si="3094"/>
        <v>https://www.google.com/search?tbm=isch&amp;q=Thuja%20occidentalis%20%27SMNTOO%27%20PP%2334292%20Sting%C2%AE%20Arborvitae%20%28PW%C2%AE%29</v>
      </c>
      <c r="BG4121" s="165" t="str">
        <f t="shared" si="3095"/>
        <v>T</v>
      </c>
      <c r="BH4121" s="65"/>
      <c r="BI4121" s="65"/>
      <c r="BJ4121" s="65"/>
      <c r="BK4121" s="65"/>
      <c r="BL4121" s="99"/>
      <c r="BM4121" s="99"/>
      <c r="BN4121" s="99"/>
    </row>
    <row r="4122" spans="1:66" s="51" customFormat="1" ht="15.75" x14ac:dyDescent="0.25">
      <c r="A4122" s="478">
        <v>3</v>
      </c>
      <c r="B4122" s="479" t="s">
        <v>291</v>
      </c>
      <c r="C4122" s="480" t="s">
        <v>426</v>
      </c>
      <c r="D4122" s="481" t="s">
        <v>311</v>
      </c>
      <c r="E4122" s="482">
        <v>42.95</v>
      </c>
      <c r="F4122" s="483" t="s">
        <v>292</v>
      </c>
      <c r="G4122" s="484">
        <v>0</v>
      </c>
      <c r="H4122" s="688" t="str">
        <f>IF(G4122=0,"",IF(F4122="Buy",IF(G4122=1,"plant","plants"),IF(F4122&gt;0.01,"warranty","Error")))</f>
        <v/>
      </c>
      <c r="I4122" s="485">
        <f>IF(H4122="free",0,IF(H4122="credit",((E4122*(F4122))*G4122*-1),IF(F4122="Buy",(E4122*G4122),((E4122*(1-F4122))*G4122))))</f>
        <v>0</v>
      </c>
      <c r="J4122" s="485">
        <f>IF(H4122="warranty",0,(I4122*(_xlfn.SINGLE(SalesTaxPercentage))))</f>
        <v>0</v>
      </c>
      <c r="K4122" s="715">
        <f t="shared" ref="K4122" si="3098">I4122+J4122</f>
        <v>0</v>
      </c>
      <c r="L4122" s="715"/>
      <c r="M4122" s="689" t="str">
        <f ca="1">IF(AND(G4122&gt;0,E4122=0),"WARNING - no PRICE inserted",IF(H4122="free","FREE ~ no charge this plant",IF(H4122="credit",CONCATENATE("-$",ROUND(K4122*(1-_xlfn.SINGLE(T2GDiscount))*-1,2)," CREDIT after discount"),IF(_xlfn.SINGLE(T2GDiscount)=0,"",IF(G4122=0,"",IF(F4122="Buy",CONCATENATE("$",ROUND(K4122*(1-_xlfn.SINGLE(T2GDiscount)),2)," with ",(_xlfn.SINGLE(T2GDiscount)*100),"% discount"),CONCATENATE("$",ROUND(K4122*(1-_xlfn.SINGLE(T2GDiscount)),2)," with ",((_xlfn.SINGLE(T2GDiscount)*100+F4122*100)-(_xlfn.SINGLE(T2GDiscount)*100*F4122)),IF(F4122&gt;0,"% discounts",IF(_xlfn.SINGLE(NoWarrantyDiscount)&gt;0,"% discounts","% discount")))))))))</f>
        <v/>
      </c>
      <c r="N4122" s="690"/>
      <c r="O4122" s="486"/>
      <c r="P4122" s="486"/>
      <c r="Q4122" s="486"/>
      <c r="R4122" s="486"/>
      <c r="S4122" s="486"/>
      <c r="T4122" s="102">
        <f t="shared" si="3083"/>
        <v>0</v>
      </c>
      <c r="U4122" s="78">
        <f>IF(NOT(ISNUMBER(G4122)), "", VLOOKUP(A4122,'Discount Lookup'!D:E,2,FALSE)*G4122)</f>
        <v>0</v>
      </c>
      <c r="V4122" s="78">
        <f>IF(NOT(ISNUMBER(G4122)), "", VLOOKUP(A4122,'Discount Lookup'!G:H,2,FALSE)*G4122)</f>
        <v>0</v>
      </c>
      <c r="W4122" s="102">
        <f t="shared" si="3084"/>
        <v>0</v>
      </c>
      <c r="X4122" s="102">
        <f t="shared" si="3085"/>
        <v>0</v>
      </c>
      <c r="Y4122" s="120" t="b">
        <f t="shared" si="3086"/>
        <v>0</v>
      </c>
      <c r="Z4122" s="117">
        <f t="shared" si="3087"/>
        <v>0</v>
      </c>
      <c r="AA4122" s="118"/>
      <c r="AB4122" s="118" t="str">
        <f t="shared" si="3088"/>
        <v/>
      </c>
      <c r="AC4122" s="712" t="str">
        <f>IF(AE4122="T2G","no charge",IF(AND(OR(PlanterYesMe="No",PlanterYesMe="N",PlanterYesMe="me"),H4122=""),"",IF(H4122="credit","NO install",IF(AND(K4122="",AE4122="me"),"EACH row",IF(AND(K4122="images",AE4122="me"),"EACH row",IF(D4122="","",IF(H4122="credit","",IF(AE4122="free","re-planting",IF(AE4122="me","   not ELP, by",IF(AND(OR(PlanterYesMe="Yes",PlanterYesMe="Y"),G4122&gt;0),(VLOOKUP(A4122,'Discount Lookup'!J:K,2)*G4122*(1-PlanterDiscount)*(1+PlanterDifficultyPercentage)),IF(AE4122="ELP",(VLOOKUP(A4122,'Discount Lookup'!J:K,2)*G4122*(1-PlanterDiscount)*(1+PlanterDifficultyPercentage)),IF(AE4122="free","re-planting",IF(G4122=0,"",IF(PlanterYesMe="",IF(AE4122="me","   not ELP, by",IF(AE4122="",IF(G4122&gt;0,(VLOOKUP(A4122,'Discount Lookup'!J:K,2)*G4122*(1-PlanterDiscount)*(1+PlanterDifficultyPercentage)),""),"")),"   not ELP, by"))))))))))))))</f>
        <v/>
      </c>
      <c r="AD4122" s="712"/>
      <c r="AE4122" s="513" t="str">
        <f t="shared" si="3089"/>
        <v/>
      </c>
      <c r="AF4122" s="713" t="str">
        <f t="shared" si="3090"/>
        <v/>
      </c>
      <c r="AG4122" s="713"/>
      <c r="AH4122" s="713"/>
      <c r="AI4122" s="112">
        <f>IF(H4122="credit",0,IF(AE4122="free",0,IF(AE4122="me",0,IF(G4122&gt;0,(VLOOKUP(A4122,'Discount Lookup'!J:K,2)*G4122),0))))</f>
        <v>0</v>
      </c>
      <c r="AJ4122" s="107" t="str">
        <f t="shared" ca="1" si="3091"/>
        <v/>
      </c>
      <c r="AK4122" s="714" t="str">
        <f t="shared" si="3092"/>
        <v/>
      </c>
      <c r="AL4122" s="714"/>
      <c r="AM4122" s="114" t="str">
        <f t="shared" si="3093"/>
        <v/>
      </c>
      <c r="AN4122" s="115"/>
      <c r="AO4122" s="116"/>
      <c r="AP4122" s="116"/>
      <c r="AQ4122" s="116"/>
      <c r="AR4122" s="116"/>
      <c r="AS4122" s="116"/>
      <c r="AT4122" s="116"/>
      <c r="AU4122" s="116"/>
      <c r="AV4122" s="78"/>
      <c r="AW4122" s="102"/>
      <c r="AX4122" s="78"/>
      <c r="AY4122" s="78"/>
      <c r="AZ4122" s="78"/>
      <c r="BA4122" s="78"/>
      <c r="BB4122" s="78"/>
      <c r="BC4122" s="78"/>
      <c r="BD4122" s="78"/>
      <c r="BE4122" s="465"/>
      <c r="BF4122" s="165" t="str">
        <f t="shared" si="3094"/>
        <v>https://www.google.com/search?tbm=isch&amp;q=3%20G5</v>
      </c>
      <c r="BG4122" s="165" t="str">
        <f t="shared" si="3095"/>
        <v>T</v>
      </c>
      <c r="BH4122" s="65"/>
      <c r="BI4122" s="65"/>
      <c r="BJ4122" s="65"/>
      <c r="BK4122" s="65"/>
      <c r="BL4122" s="99"/>
      <c r="BM4122" s="99"/>
      <c r="BN4122" s="99"/>
    </row>
    <row r="4123" spans="1:66" s="51" customFormat="1" ht="17.25" thickBot="1" x14ac:dyDescent="0.3">
      <c r="A4123" s="508" t="s">
        <v>779</v>
      </c>
      <c r="B4123" s="487"/>
      <c r="C4123" s="707"/>
      <c r="D4123" s="487"/>
      <c r="E4123" s="487"/>
      <c r="F4123" s="488"/>
      <c r="G4123" s="489"/>
      <c r="H4123" s="487"/>
      <c r="I4123" s="490"/>
      <c r="J4123" s="490"/>
      <c r="K4123" s="491"/>
      <c r="L4123" s="547"/>
      <c r="M4123" s="528"/>
      <c r="N4123" s="492"/>
      <c r="O4123" s="493"/>
      <c r="P4123" s="494"/>
      <c r="Q4123" s="492"/>
      <c r="R4123" s="492"/>
      <c r="S4123" s="699" t="s">
        <v>5268</v>
      </c>
      <c r="T4123" s="102">
        <f t="shared" si="3083"/>
        <v>0</v>
      </c>
      <c r="U4123" s="78" t="str">
        <f>IF(NOT(ISNUMBER(G4123)), "", VLOOKUP(A4123,'Discount Lookup'!D:E,2,FALSE)*G4123)</f>
        <v/>
      </c>
      <c r="V4123" s="78" t="str">
        <f>IF(NOT(ISNUMBER(G4123)), "", VLOOKUP(A4123,'Discount Lookup'!G:H,2,FALSE)*G4123)</f>
        <v/>
      </c>
      <c r="W4123" s="102">
        <f t="shared" si="3084"/>
        <v>0</v>
      </c>
      <c r="X4123" s="102">
        <f t="shared" si="3085"/>
        <v>0</v>
      </c>
      <c r="Y4123" s="120" t="b">
        <f t="shared" si="3086"/>
        <v>0</v>
      </c>
      <c r="Z4123" s="117">
        <f t="shared" si="3087"/>
        <v>0</v>
      </c>
      <c r="AA4123" s="118"/>
      <c r="AB4123" s="118" t="str">
        <f t="shared" si="3088"/>
        <v/>
      </c>
      <c r="AC4123" s="712" t="str">
        <f>IF(AE4123="T2G","no charge",IF(AND(OR(PlanterYesMe="No",PlanterYesMe="N",PlanterYesMe="me"),H4123=""),"",IF(H4123="credit","NO install",IF(AND(K4123="",AE4123="me"),"EACH row",IF(AND(K4123="images",AE4123="me"),"EACH row",IF(D4123="","",IF(H4123="credit","",IF(AE4123="free","re-planting",IF(AE4123="me","   not ELP, by",IF(AND(OR(PlanterYesMe="Yes",PlanterYesMe="Y"),G4123&gt;0),(VLOOKUP(A4123,'Discount Lookup'!J:K,2)*G4123*(1-PlanterDiscount)*(1+PlanterDifficultyPercentage)),IF(AE4123="ELP",(VLOOKUP(A4123,'Discount Lookup'!J:K,2)*G4123*(1-PlanterDiscount)*(1+PlanterDifficultyPercentage)),IF(AE4123="free","re-planting",IF(G4123=0,"",IF(PlanterYesMe="",IF(AE4123="me","   not ELP, by",IF(AE4123="",IF(G4123&gt;0,(VLOOKUP(A4123,'Discount Lookup'!J:K,2)*G4123*(1-PlanterDiscount)*(1+PlanterDifficultyPercentage)),""),"")),"   not ELP, by"))))))))))))))</f>
        <v/>
      </c>
      <c r="AD4123" s="712"/>
      <c r="AE4123" s="513" t="str">
        <f t="shared" si="3089"/>
        <v/>
      </c>
      <c r="AF4123" s="713" t="str">
        <f t="shared" si="3090"/>
        <v/>
      </c>
      <c r="AG4123" s="713"/>
      <c r="AH4123" s="713"/>
      <c r="AI4123" s="112">
        <f>IF(H4123="credit",0,IF(AE4123="free",0,IF(AE4123="me",0,IF(G4123&gt;0,(VLOOKUP(A4123,'Discount Lookup'!J:K,2)*G4123),0))))</f>
        <v>0</v>
      </c>
      <c r="AJ4123" s="107" t="str">
        <f t="shared" ca="1" si="3091"/>
        <v/>
      </c>
      <c r="AK4123" s="714" t="str">
        <f t="shared" si="3092"/>
        <v/>
      </c>
      <c r="AL4123" s="714"/>
      <c r="AM4123" s="114" t="str">
        <f t="shared" si="3093"/>
        <v/>
      </c>
      <c r="AN4123" s="115"/>
      <c r="AO4123" s="116"/>
      <c r="AP4123" s="116"/>
      <c r="AQ4123" s="116"/>
      <c r="AR4123" s="116"/>
      <c r="AS4123" s="116"/>
      <c r="AT4123" s="116"/>
      <c r="AU4123" s="116"/>
      <c r="AV4123" s="78"/>
      <c r="AW4123" s="102"/>
      <c r="AX4123" s="78"/>
      <c r="AY4123" s="78"/>
      <c r="AZ4123" s="78"/>
      <c r="BA4123" s="78"/>
      <c r="BB4123" s="78"/>
      <c r="BC4123" s="78"/>
      <c r="BD4123" s="78"/>
      <c r="BE4123" s="465"/>
      <c r="BF4123" s="165" t="str">
        <f t="shared" si="3094"/>
        <v>https://www.google.com/search?tbm=isch&amp;q=Sting%20is%20an%20exceptionally%20narrow%2C%20columnar%20evergreen%20prized%20for%20its%20sword-like%20silhouette%20and%20rich%20foliage%20that%20holds%20its%20color%20year-round%20</v>
      </c>
      <c r="BG4123" s="165" t="str">
        <f t="shared" si="3095"/>
        <v>S</v>
      </c>
      <c r="BH4123" s="65"/>
      <c r="BI4123" s="65"/>
      <c r="BJ4123" s="65"/>
      <c r="BK4123" s="65"/>
      <c r="BL4123" s="99"/>
      <c r="BM4123" s="99"/>
      <c r="BN4123" s="99"/>
    </row>
    <row r="4124" spans="1:66" s="51" customFormat="1" ht="18" x14ac:dyDescent="0.25">
      <c r="A4124" s="507" t="s">
        <v>780</v>
      </c>
      <c r="B4124" s="470"/>
      <c r="C4124" s="706"/>
      <c r="D4124" s="471" t="s">
        <v>781</v>
      </c>
      <c r="E4124" s="472"/>
      <c r="F4124" s="472"/>
      <c r="G4124" s="472"/>
      <c r="H4124" s="622" t="s">
        <v>339</v>
      </c>
      <c r="I4124" s="473" t="s">
        <v>443</v>
      </c>
      <c r="J4124" s="472"/>
      <c r="K4124" s="472"/>
      <c r="L4124" s="561"/>
      <c r="M4124" s="698" t="s">
        <v>5240</v>
      </c>
      <c r="N4124" s="692" t="str">
        <f>IF(AND(ISTEXT($A4124), ISERROR($A4124+0)), HYPERLINK($BF4124, "Images"), "")</f>
        <v>Images</v>
      </c>
      <c r="O4124" s="694" t="s">
        <v>5286</v>
      </c>
      <c r="P4124" s="475"/>
      <c r="Q4124" s="476"/>
      <c r="R4124" s="476"/>
      <c r="S4124" s="477"/>
      <c r="T4124" s="102">
        <f t="shared" si="3083"/>
        <v>0</v>
      </c>
      <c r="U4124" s="78" t="str">
        <f>IF(NOT(ISNUMBER(G4124)), "", VLOOKUP(A4124,'Discount Lookup'!D:E,2,FALSE)*G4124)</f>
        <v/>
      </c>
      <c r="V4124" s="78" t="str">
        <f>IF(NOT(ISNUMBER(G4124)), "", VLOOKUP(A4124,'Discount Lookup'!G:H,2,FALSE)*G4124)</f>
        <v/>
      </c>
      <c r="W4124" s="102">
        <f t="shared" si="3084"/>
        <v>0</v>
      </c>
      <c r="X4124" s="102" t="str">
        <f t="shared" si="3085"/>
        <v>Golden-Yellow foliage</v>
      </c>
      <c r="Y4124" s="120" t="b">
        <f t="shared" si="3086"/>
        <v>0</v>
      </c>
      <c r="Z4124" s="117">
        <f t="shared" si="3087"/>
        <v>0</v>
      </c>
      <c r="AA4124" s="118"/>
      <c r="AB4124" s="118" t="str">
        <f t="shared" si="3088"/>
        <v/>
      </c>
      <c r="AC4124" s="712" t="str">
        <f>IF(AE4124="T2G","no charge",IF(AND(OR(PlanterYesMe="No",PlanterYesMe="N",PlanterYesMe="me"),H4124=""),"",IF(H4124="credit","NO install",IF(AND(K4124="",AE4124="me"),"EACH row",IF(AND(K4124="images",AE4124="me"),"EACH row",IF(D4124="","",IF(H4124="credit","",IF(AE4124="free","re-planting",IF(AE4124="me","   not ELP, by",IF(AND(OR(PlanterYesMe="Yes",PlanterYesMe="Y"),G4124&gt;0),(VLOOKUP(A4124,'Discount Lookup'!J:K,2)*G4124*(1-PlanterDiscount)*(1+PlanterDifficultyPercentage)),IF(AE4124="ELP",(VLOOKUP(A4124,'Discount Lookup'!J:K,2)*G4124*(1-PlanterDiscount)*(1+PlanterDifficultyPercentage)),IF(AE4124="free","re-planting",IF(G4124=0,"",IF(PlanterYesMe="",IF(AE4124="me","   not ELP, by",IF(AE4124="",IF(G4124&gt;0,(VLOOKUP(A4124,'Discount Lookup'!J:K,2)*G4124*(1-PlanterDiscount)*(1+PlanterDifficultyPercentage)),""),"")),"   not ELP, by"))))))))))))))</f>
        <v/>
      </c>
      <c r="AD4124" s="712"/>
      <c r="AE4124" s="513" t="str">
        <f t="shared" si="3089"/>
        <v/>
      </c>
      <c r="AF4124" s="713" t="str">
        <f t="shared" si="3090"/>
        <v/>
      </c>
      <c r="AG4124" s="713"/>
      <c r="AH4124" s="713"/>
      <c r="AI4124" s="112">
        <f>IF(H4124="credit",0,IF(AE4124="free",0,IF(AE4124="me",0,IF(G4124&gt;0,(VLOOKUP(A4124,'Discount Lookup'!J:K,2)*G4124),0))))</f>
        <v>0</v>
      </c>
      <c r="AJ4124" s="107" t="str">
        <f t="shared" ca="1" si="3091"/>
        <v/>
      </c>
      <c r="AK4124" s="714" t="str">
        <f t="shared" si="3092"/>
        <v/>
      </c>
      <c r="AL4124" s="714"/>
      <c r="AM4124" s="114" t="str">
        <f t="shared" si="3093"/>
        <v/>
      </c>
      <c r="AN4124" s="115"/>
      <c r="AO4124" s="116"/>
      <c r="AP4124" s="116"/>
      <c r="AQ4124" s="116"/>
      <c r="AR4124" s="116"/>
      <c r="AS4124" s="116"/>
      <c r="AT4124" s="116"/>
      <c r="AU4124" s="116"/>
      <c r="AV4124" s="78"/>
      <c r="AW4124" s="102"/>
      <c r="AX4124" s="78"/>
      <c r="AY4124" s="78"/>
      <c r="AZ4124" s="78"/>
      <c r="BA4124" s="78"/>
      <c r="BB4124" s="78"/>
      <c r="BC4124" s="78"/>
      <c r="BD4124" s="78"/>
      <c r="BE4124" s="465"/>
      <c r="BF4124" s="165" t="str">
        <f t="shared" si="3094"/>
        <v>https://www.google.com/search?tbm=isch&amp;q=Thuja%20occidentalis%20%27SMTOYB%27%20PP%2325388%20Powdered%20Gold%20Arborvitae</v>
      </c>
      <c r="BG4124" s="165" t="str">
        <f t="shared" si="3095"/>
        <v>T</v>
      </c>
      <c r="BH4124" s="65"/>
      <c r="BI4124" s="65"/>
      <c r="BJ4124" s="65"/>
      <c r="BK4124" s="65"/>
      <c r="BL4124" s="99"/>
      <c r="BM4124" s="99"/>
      <c r="BN4124" s="99"/>
    </row>
    <row r="4125" spans="1:66" s="51" customFormat="1" ht="27" x14ac:dyDescent="0.25">
      <c r="A4125" s="478">
        <v>15</v>
      </c>
      <c r="B4125" s="479" t="s">
        <v>291</v>
      </c>
      <c r="C4125" s="480" t="s">
        <v>4658</v>
      </c>
      <c r="D4125" s="481" t="s">
        <v>309</v>
      </c>
      <c r="E4125" s="482">
        <v>155.94999999999999</v>
      </c>
      <c r="F4125" s="483" t="s">
        <v>292</v>
      </c>
      <c r="G4125" s="484">
        <v>0</v>
      </c>
      <c r="H4125" s="688" t="str">
        <f>IF(G4125=0,"",IF(F4125="Buy",IF(G4125=1,"plant","plants"),IF(F4125&gt;0.01,"warranty","Error")))</f>
        <v/>
      </c>
      <c r="I4125" s="485">
        <f>IF(H4125="free",0,IF(H4125="credit",((E4125*(F4125))*G4125*-1),IF(F4125="Buy",(E4125*G4125),((E4125*(1-F4125))*G4125))))</f>
        <v>0</v>
      </c>
      <c r="J4125" s="485">
        <f>IF(H4125="warranty",0,(I4125*(_xlfn.SINGLE(SalesTaxPercentage))))</f>
        <v>0</v>
      </c>
      <c r="K4125" s="715">
        <f t="shared" ref="K4125" si="3099">I4125+J4125</f>
        <v>0</v>
      </c>
      <c r="L4125" s="715"/>
      <c r="M4125" s="689" t="str">
        <f ca="1">IF(AND(G4125&gt;0,E4125=0),"WARNING - no PRICE inserted",IF(H4125="free","FREE ~ no charge this plant",IF(H4125="credit",CONCATENATE("-$",ROUND(K4125*(1-_xlfn.SINGLE(T2GDiscount))*-1,2)," CREDIT after discount"),IF(_xlfn.SINGLE(T2GDiscount)=0,"",IF(G4125=0,"",IF(F4125="Buy",CONCATENATE("$",ROUND(K4125*(1-_xlfn.SINGLE(T2GDiscount)),2)," with ",(_xlfn.SINGLE(T2GDiscount)*100),"% discount"),CONCATENATE("$",ROUND(K4125*(1-_xlfn.SINGLE(T2GDiscount)),2)," with ",((_xlfn.SINGLE(T2GDiscount)*100+F4125*100)-(_xlfn.SINGLE(T2GDiscount)*100*F4125)),IF(F4125&gt;0,"% discounts",IF(_xlfn.SINGLE(NoWarrantyDiscount)&gt;0,"% discounts","% discount")))))))))</f>
        <v/>
      </c>
      <c r="N4125" s="690"/>
      <c r="O4125" s="486"/>
      <c r="P4125" s="486"/>
      <c r="Q4125" s="486"/>
      <c r="R4125" s="486"/>
      <c r="S4125" s="486"/>
      <c r="T4125" s="102">
        <f t="shared" si="3083"/>
        <v>0</v>
      </c>
      <c r="U4125" s="78">
        <f>IF(NOT(ISNUMBER(G4125)), "", VLOOKUP(A4125,'Discount Lookup'!D:E,2,FALSE)*G4125)</f>
        <v>0</v>
      </c>
      <c r="V4125" s="78">
        <f>IF(NOT(ISNUMBER(G4125)), "", VLOOKUP(A4125,'Discount Lookup'!G:H,2,FALSE)*G4125)</f>
        <v>0</v>
      </c>
      <c r="W4125" s="102">
        <f t="shared" si="3084"/>
        <v>0</v>
      </c>
      <c r="X4125" s="102">
        <f t="shared" si="3085"/>
        <v>0</v>
      </c>
      <c r="Y4125" s="120" t="b">
        <f t="shared" si="3086"/>
        <v>0</v>
      </c>
      <c r="Z4125" s="117">
        <f t="shared" si="3087"/>
        <v>0</v>
      </c>
      <c r="AA4125" s="118"/>
      <c r="AB4125" s="118" t="str">
        <f t="shared" si="3088"/>
        <v/>
      </c>
      <c r="AC4125" s="712" t="str">
        <f>IF(AE4125="T2G","no charge",IF(AND(OR(PlanterYesMe="No",PlanterYesMe="N",PlanterYesMe="me"),H4125=""),"",IF(H4125="credit","NO install",IF(AND(K4125="",AE4125="me"),"EACH row",IF(AND(K4125="images",AE4125="me"),"EACH row",IF(D4125="","",IF(H4125="credit","",IF(AE4125="free","re-planting",IF(AE4125="me","   not ELP, by",IF(AND(OR(PlanterYesMe="Yes",PlanterYesMe="Y"),G4125&gt;0),(VLOOKUP(A4125,'Discount Lookup'!J:K,2)*G4125*(1-PlanterDiscount)*(1+PlanterDifficultyPercentage)),IF(AE4125="ELP",(VLOOKUP(A4125,'Discount Lookup'!J:K,2)*G4125*(1-PlanterDiscount)*(1+PlanterDifficultyPercentage)),IF(AE4125="free","re-planting",IF(G4125=0,"",IF(PlanterYesMe="",IF(AE4125="me","   not ELP, by",IF(AE4125="",IF(G4125&gt;0,(VLOOKUP(A4125,'Discount Lookup'!J:K,2)*G4125*(1-PlanterDiscount)*(1+PlanterDifficultyPercentage)),""),"")),"   not ELP, by"))))))))))))))</f>
        <v/>
      </c>
      <c r="AD4125" s="712"/>
      <c r="AE4125" s="513" t="str">
        <f t="shared" si="3089"/>
        <v/>
      </c>
      <c r="AF4125" s="713" t="str">
        <f t="shared" si="3090"/>
        <v/>
      </c>
      <c r="AG4125" s="713"/>
      <c r="AH4125" s="713"/>
      <c r="AI4125" s="112">
        <f>IF(H4125="credit",0,IF(AE4125="free",0,IF(AE4125="me",0,IF(G4125&gt;0,(VLOOKUP(A4125,'Discount Lookup'!J:K,2)*G4125),0))))</f>
        <v>0</v>
      </c>
      <c r="AJ4125" s="107" t="str">
        <f t="shared" ca="1" si="3091"/>
        <v/>
      </c>
      <c r="AK4125" s="714" t="str">
        <f t="shared" si="3092"/>
        <v/>
      </c>
      <c r="AL4125" s="714"/>
      <c r="AM4125" s="114" t="str">
        <f t="shared" si="3093"/>
        <v/>
      </c>
      <c r="AN4125" s="115"/>
      <c r="AO4125" s="116"/>
      <c r="AP4125" s="116"/>
      <c r="AQ4125" s="116"/>
      <c r="AR4125" s="116"/>
      <c r="AS4125" s="116"/>
      <c r="AT4125" s="116"/>
      <c r="AU4125" s="116"/>
      <c r="AV4125" s="78"/>
      <c r="AW4125" s="102"/>
      <c r="AX4125" s="78"/>
      <c r="AY4125" s="78"/>
      <c r="AZ4125" s="78"/>
      <c r="BA4125" s="78"/>
      <c r="BB4125" s="78"/>
      <c r="BC4125" s="78"/>
      <c r="BD4125" s="78"/>
      <c r="BE4125" s="465"/>
      <c r="BF4125" s="165" t="str">
        <f t="shared" si="3094"/>
        <v>https://www.google.com/search?tbm=isch&amp;q=15%20G3</v>
      </c>
      <c r="BG4125" s="165" t="str">
        <f t="shared" si="3095"/>
        <v>T</v>
      </c>
      <c r="BH4125" s="65"/>
      <c r="BI4125" s="65"/>
      <c r="BJ4125" s="65"/>
      <c r="BK4125" s="65"/>
      <c r="BL4125" s="99"/>
      <c r="BM4125" s="99"/>
      <c r="BN4125" s="99"/>
    </row>
    <row r="4126" spans="1:66" s="51" customFormat="1" ht="16.5" thickBot="1" x14ac:dyDescent="0.3">
      <c r="A4126" s="508" t="s">
        <v>782</v>
      </c>
      <c r="B4126" s="487"/>
      <c r="C4126" s="707"/>
      <c r="D4126" s="487"/>
      <c r="E4126" s="487"/>
      <c r="F4126" s="488"/>
      <c r="G4126" s="489"/>
      <c r="H4126" s="487"/>
      <c r="I4126" s="490"/>
      <c r="J4126" s="490"/>
      <c r="K4126" s="491"/>
      <c r="L4126" s="547"/>
      <c r="M4126" s="528"/>
      <c r="N4126" s="492"/>
      <c r="O4126" s="493"/>
      <c r="P4126" s="494"/>
      <c r="Q4126" s="492"/>
      <c r="R4126" s="492"/>
      <c r="S4126" s="495"/>
      <c r="T4126" s="102">
        <f t="shared" si="3083"/>
        <v>0</v>
      </c>
      <c r="U4126" s="78" t="str">
        <f>IF(NOT(ISNUMBER(G4126)), "", VLOOKUP(A4126,'Discount Lookup'!D:E,2,FALSE)*G4126)</f>
        <v/>
      </c>
      <c r="V4126" s="78" t="str">
        <f>IF(NOT(ISNUMBER(G4126)), "", VLOOKUP(A4126,'Discount Lookup'!G:H,2,FALSE)*G4126)</f>
        <v/>
      </c>
      <c r="W4126" s="102">
        <f t="shared" si="3084"/>
        <v>0</v>
      </c>
      <c r="X4126" s="102">
        <f t="shared" si="3085"/>
        <v>0</v>
      </c>
      <c r="Y4126" s="120" t="b">
        <f t="shared" si="3086"/>
        <v>0</v>
      </c>
      <c r="Z4126" s="117">
        <f t="shared" si="3087"/>
        <v>0</v>
      </c>
      <c r="AA4126" s="118"/>
      <c r="AB4126" s="118" t="str">
        <f t="shared" si="3088"/>
        <v/>
      </c>
      <c r="AC4126" s="712" t="str">
        <f>IF(AE4126="T2G","no charge",IF(AND(OR(PlanterYesMe="No",PlanterYesMe="N",PlanterYesMe="me"),H4126=""),"",IF(H4126="credit","NO install",IF(AND(K4126="",AE4126="me"),"EACH row",IF(AND(K4126="images",AE4126="me"),"EACH row",IF(D4126="","",IF(H4126="credit","",IF(AE4126="free","re-planting",IF(AE4126="me","   not ELP, by",IF(AND(OR(PlanterYesMe="Yes",PlanterYesMe="Y"),G4126&gt;0),(VLOOKUP(A4126,'Discount Lookup'!J:K,2)*G4126*(1-PlanterDiscount)*(1+PlanterDifficultyPercentage)),IF(AE4126="ELP",(VLOOKUP(A4126,'Discount Lookup'!J:K,2)*G4126*(1-PlanterDiscount)*(1+PlanterDifficultyPercentage)),IF(AE4126="free","re-planting",IF(G4126=0,"",IF(PlanterYesMe="",IF(AE4126="me","   not ELP, by",IF(AE4126="",IF(G4126&gt;0,(VLOOKUP(A4126,'Discount Lookup'!J:K,2)*G4126*(1-PlanterDiscount)*(1+PlanterDifficultyPercentage)),""),"")),"   not ELP, by"))))))))))))))</f>
        <v/>
      </c>
      <c r="AD4126" s="712"/>
      <c r="AE4126" s="513" t="str">
        <f t="shared" si="3089"/>
        <v/>
      </c>
      <c r="AF4126" s="713" t="str">
        <f t="shared" si="3090"/>
        <v/>
      </c>
      <c r="AG4126" s="713"/>
      <c r="AH4126" s="713"/>
      <c r="AI4126" s="112">
        <f>IF(H4126="credit",0,IF(AE4126="free",0,IF(AE4126="me",0,IF(G4126&gt;0,(VLOOKUP(A4126,'Discount Lookup'!J:K,2)*G4126),0))))</f>
        <v>0</v>
      </c>
      <c r="AJ4126" s="107" t="str">
        <f t="shared" ca="1" si="3091"/>
        <v/>
      </c>
      <c r="AK4126" s="714" t="str">
        <f t="shared" si="3092"/>
        <v/>
      </c>
      <c r="AL4126" s="714"/>
      <c r="AM4126" s="114" t="str">
        <f t="shared" si="3093"/>
        <v/>
      </c>
      <c r="AN4126" s="115"/>
      <c r="AO4126" s="116"/>
      <c r="AP4126" s="116"/>
      <c r="AQ4126" s="116"/>
      <c r="AR4126" s="116"/>
      <c r="AS4126" s="116"/>
      <c r="AT4126" s="116"/>
      <c r="AU4126" s="116"/>
      <c r="AV4126" s="78"/>
      <c r="AW4126" s="102"/>
      <c r="AX4126" s="78"/>
      <c r="AY4126" s="78"/>
      <c r="AZ4126" s="78"/>
      <c r="BA4126" s="78"/>
      <c r="BB4126" s="78"/>
      <c r="BC4126" s="78"/>
      <c r="BD4126" s="78"/>
      <c r="BE4126" s="465"/>
      <c r="BF4126" s="165" t="str">
        <f t="shared" si="3094"/>
        <v>https://www.google.com/search?tbm=isch&amp;q=Powdered%20Gold%20is%20a%20compact%20evergreen%20with%20vibrant%20Golden%20foliage%20that%20adds%20year-round%20color.%20Aromatic%20foliage%20when%20crushed%20</v>
      </c>
      <c r="BG4126" s="165" t="str">
        <f t="shared" si="3095"/>
        <v>P</v>
      </c>
      <c r="BH4126" s="65"/>
      <c r="BI4126" s="65"/>
      <c r="BJ4126" s="65"/>
      <c r="BK4126" s="65"/>
      <c r="BL4126" s="99"/>
      <c r="BM4126" s="99"/>
      <c r="BN4126" s="99"/>
    </row>
    <row r="4127" spans="1:66" s="51" customFormat="1" ht="18" x14ac:dyDescent="0.25">
      <c r="A4127" s="507" t="s">
        <v>4369</v>
      </c>
      <c r="B4127" s="470"/>
      <c r="C4127" s="706"/>
      <c r="D4127" s="471" t="s">
        <v>4370</v>
      </c>
      <c r="E4127" s="472"/>
      <c r="F4127" s="472"/>
      <c r="G4127" s="472"/>
      <c r="H4127" s="622" t="s">
        <v>330</v>
      </c>
      <c r="I4127" s="473" t="s">
        <v>443</v>
      </c>
      <c r="J4127" s="472"/>
      <c r="K4127" s="472"/>
      <c r="L4127" s="561"/>
      <c r="M4127" s="698" t="s">
        <v>5246</v>
      </c>
      <c r="N4127" s="692" t="str">
        <f>IF(AND(ISTEXT($A4127), ISERROR($A4127+0)), HYPERLINK($BF4127, "Images"), "")</f>
        <v>Images</v>
      </c>
      <c r="O4127" s="694" t="s">
        <v>5264</v>
      </c>
      <c r="P4127" s="475"/>
      <c r="Q4127" s="476"/>
      <c r="R4127" s="476"/>
      <c r="S4127" s="477"/>
      <c r="T4127" s="102">
        <f t="shared" si="3083"/>
        <v>0</v>
      </c>
      <c r="U4127" s="78" t="str">
        <f>IF(NOT(ISNUMBER(G4127)), "", VLOOKUP(A4127,'Discount Lookup'!D:E,2,FALSE)*G4127)</f>
        <v/>
      </c>
      <c r="V4127" s="78" t="str">
        <f>IF(NOT(ISNUMBER(G4127)), "", VLOOKUP(A4127,'Discount Lookup'!G:H,2,FALSE)*G4127)</f>
        <v/>
      </c>
      <c r="W4127" s="102">
        <f t="shared" si="3084"/>
        <v>0</v>
      </c>
      <c r="X4127" s="102" t="str">
        <f t="shared" si="3085"/>
        <v>Golden-Yellow foliage</v>
      </c>
      <c r="Y4127" s="120" t="b">
        <f t="shared" si="3086"/>
        <v>0</v>
      </c>
      <c r="Z4127" s="117">
        <f t="shared" si="3087"/>
        <v>0</v>
      </c>
      <c r="AA4127" s="118"/>
      <c r="AB4127" s="118" t="str">
        <f t="shared" si="3088"/>
        <v/>
      </c>
      <c r="AC4127" s="712" t="str">
        <f>IF(AE4127="T2G","no charge",IF(AND(OR(PlanterYesMe="No",PlanterYesMe="N",PlanterYesMe="me"),H4127=""),"",IF(H4127="credit","NO install",IF(AND(K4127="",AE4127="me"),"EACH row",IF(AND(K4127="images",AE4127="me"),"EACH row",IF(D4127="","",IF(H4127="credit","",IF(AE4127="free","re-planting",IF(AE4127="me","   not ELP, by",IF(AND(OR(PlanterYesMe="Yes",PlanterYesMe="Y"),G4127&gt;0),(VLOOKUP(A4127,'Discount Lookup'!J:K,2)*G4127*(1-PlanterDiscount)*(1+PlanterDifficultyPercentage)),IF(AE4127="ELP",(VLOOKUP(A4127,'Discount Lookup'!J:K,2)*G4127*(1-PlanterDiscount)*(1+PlanterDifficultyPercentage)),IF(AE4127="free","re-planting",IF(G4127=0,"",IF(PlanterYesMe="",IF(AE4127="me","   not ELP, by",IF(AE4127="",IF(G4127&gt;0,(VLOOKUP(A4127,'Discount Lookup'!J:K,2)*G4127*(1-PlanterDiscount)*(1+PlanterDifficultyPercentage)),""),"")),"   not ELP, by"))))))))))))))</f>
        <v/>
      </c>
      <c r="AD4127" s="712"/>
      <c r="AE4127" s="513" t="str">
        <f t="shared" si="3089"/>
        <v/>
      </c>
      <c r="AF4127" s="713" t="str">
        <f t="shared" si="3090"/>
        <v/>
      </c>
      <c r="AG4127" s="713"/>
      <c r="AH4127" s="713"/>
      <c r="AI4127" s="112">
        <f>IF(H4127="credit",0,IF(AE4127="free",0,IF(AE4127="me",0,IF(G4127&gt;0,(VLOOKUP(A4127,'Discount Lookup'!J:K,2)*G4127),0))))</f>
        <v>0</v>
      </c>
      <c r="AJ4127" s="107" t="str">
        <f t="shared" ca="1" si="3091"/>
        <v/>
      </c>
      <c r="AK4127" s="714" t="str">
        <f t="shared" si="3092"/>
        <v/>
      </c>
      <c r="AL4127" s="714"/>
      <c r="AM4127" s="114" t="str">
        <f t="shared" si="3093"/>
        <v/>
      </c>
      <c r="AN4127" s="115"/>
      <c r="AO4127" s="116"/>
      <c r="AP4127" s="116"/>
      <c r="AQ4127" s="116"/>
      <c r="AR4127" s="116"/>
      <c r="AS4127" s="116"/>
      <c r="AT4127" s="116"/>
      <c r="AU4127" s="116"/>
      <c r="AV4127" s="78"/>
      <c r="AW4127" s="102"/>
      <c r="AX4127" s="78"/>
      <c r="AY4127" s="78"/>
      <c r="AZ4127" s="78"/>
      <c r="BA4127" s="78"/>
      <c r="BB4127" s="78"/>
      <c r="BC4127" s="78"/>
      <c r="BD4127" s="78"/>
      <c r="BE4127" s="465"/>
      <c r="BF4127" s="165" t="str">
        <f t="shared" si="3094"/>
        <v>https://www.google.com/search?tbm=isch&amp;q=Thuja%20occidentalis%20%27Sunkist%27%20Sunkist%20Arborvitae</v>
      </c>
      <c r="BG4127" s="165" t="str">
        <f t="shared" si="3095"/>
        <v>T</v>
      </c>
      <c r="BH4127" s="65"/>
      <c r="BI4127" s="65"/>
      <c r="BJ4127" s="65"/>
      <c r="BK4127" s="65"/>
      <c r="BL4127" s="99"/>
      <c r="BM4127" s="99"/>
      <c r="BN4127" s="99"/>
    </row>
    <row r="4128" spans="1:66" s="51" customFormat="1" ht="15.75" x14ac:dyDescent="0.25">
      <c r="A4128" s="478">
        <v>3</v>
      </c>
      <c r="B4128" s="479" t="s">
        <v>291</v>
      </c>
      <c r="C4128" s="480" t="s">
        <v>4371</v>
      </c>
      <c r="D4128" s="481" t="s">
        <v>309</v>
      </c>
      <c r="E4128" s="482">
        <v>24.95</v>
      </c>
      <c r="F4128" s="483" t="s">
        <v>292</v>
      </c>
      <c r="G4128" s="484">
        <v>0</v>
      </c>
      <c r="H4128" s="688" t="str">
        <f>IF(G4128=0,"",IF(F4128="Buy",IF(G4128=1,"plant","plants"),IF(F4128&gt;0.01,"warranty","Error")))</f>
        <v/>
      </c>
      <c r="I4128" s="485">
        <f>IF(H4128="free",0,IF(H4128="credit",((E4128*(F4128))*G4128*-1),IF(F4128="Buy",(E4128*G4128),((E4128*(1-F4128))*G4128))))</f>
        <v>0</v>
      </c>
      <c r="J4128" s="485">
        <f>IF(H4128="warranty",0,(I4128*(_xlfn.SINGLE(SalesTaxPercentage))))</f>
        <v>0</v>
      </c>
      <c r="K4128" s="715">
        <f t="shared" ref="K4128" si="3100">I4128+J4128</f>
        <v>0</v>
      </c>
      <c r="L4128" s="715"/>
      <c r="M4128" s="689" t="str">
        <f ca="1">IF(AND(G4128&gt;0,E4128=0),"WARNING - no PRICE inserted",IF(H4128="free","FREE ~ no charge this plant",IF(H4128="credit",CONCATENATE("-$",ROUND(K4128*(1-_xlfn.SINGLE(T2GDiscount))*-1,2)," CREDIT after discount"),IF(_xlfn.SINGLE(T2GDiscount)=0,"",IF(G4128=0,"",IF(F4128="Buy",CONCATENATE("$",ROUND(K4128*(1-_xlfn.SINGLE(T2GDiscount)),2)," with ",(_xlfn.SINGLE(T2GDiscount)*100),"% discount"),CONCATENATE("$",ROUND(K4128*(1-_xlfn.SINGLE(T2GDiscount)),2)," with ",((_xlfn.SINGLE(T2GDiscount)*100+F4128*100)-(_xlfn.SINGLE(T2GDiscount)*100*F4128)),IF(F4128&gt;0,"% discounts",IF(_xlfn.SINGLE(NoWarrantyDiscount)&gt;0,"% discounts","% discount")))))))))</f>
        <v/>
      </c>
      <c r="N4128" s="690"/>
      <c r="O4128" s="486"/>
      <c r="P4128" s="486"/>
      <c r="Q4128" s="486"/>
      <c r="R4128" s="486"/>
      <c r="S4128" s="486"/>
      <c r="T4128" s="102">
        <f t="shared" si="3083"/>
        <v>0</v>
      </c>
      <c r="U4128" s="78">
        <f>IF(NOT(ISNUMBER(G4128)), "", VLOOKUP(A4128,'Discount Lookup'!D:E,2,FALSE)*G4128)</f>
        <v>0</v>
      </c>
      <c r="V4128" s="78">
        <f>IF(NOT(ISNUMBER(G4128)), "", VLOOKUP(A4128,'Discount Lookup'!G:H,2,FALSE)*G4128)</f>
        <v>0</v>
      </c>
      <c r="W4128" s="102">
        <f t="shared" si="3084"/>
        <v>0</v>
      </c>
      <c r="X4128" s="102">
        <f t="shared" si="3085"/>
        <v>0</v>
      </c>
      <c r="Y4128" s="120" t="b">
        <f t="shared" si="3086"/>
        <v>0</v>
      </c>
      <c r="Z4128" s="117">
        <f t="shared" si="3087"/>
        <v>0</v>
      </c>
      <c r="AA4128" s="118"/>
      <c r="AB4128" s="118" t="str">
        <f t="shared" si="3088"/>
        <v/>
      </c>
      <c r="AC4128" s="712" t="str">
        <f>IF(AE4128="T2G","no charge",IF(AND(OR(PlanterYesMe="No",PlanterYesMe="N",PlanterYesMe="me"),H4128=""),"",IF(H4128="credit","NO install",IF(AND(K4128="",AE4128="me"),"EACH row",IF(AND(K4128="images",AE4128="me"),"EACH row",IF(D4128="","",IF(H4128="credit","",IF(AE4128="free","re-planting",IF(AE4128="me","   not ELP, by",IF(AND(OR(PlanterYesMe="Yes",PlanterYesMe="Y"),G4128&gt;0),(VLOOKUP(A4128,'Discount Lookup'!J:K,2)*G4128*(1-PlanterDiscount)*(1+PlanterDifficultyPercentage)),IF(AE4128="ELP",(VLOOKUP(A4128,'Discount Lookup'!J:K,2)*G4128*(1-PlanterDiscount)*(1+PlanterDifficultyPercentage)),IF(AE4128="free","re-planting",IF(G4128=0,"",IF(PlanterYesMe="",IF(AE4128="me","   not ELP, by",IF(AE4128="",IF(G4128&gt;0,(VLOOKUP(A4128,'Discount Lookup'!J:K,2)*G4128*(1-PlanterDiscount)*(1+PlanterDifficultyPercentage)),""),"")),"   not ELP, by"))))))))))))))</f>
        <v/>
      </c>
      <c r="AD4128" s="712"/>
      <c r="AE4128" s="513" t="str">
        <f t="shared" si="3089"/>
        <v/>
      </c>
      <c r="AF4128" s="713" t="str">
        <f t="shared" si="3090"/>
        <v/>
      </c>
      <c r="AG4128" s="713"/>
      <c r="AH4128" s="713"/>
      <c r="AI4128" s="112">
        <f>IF(H4128="credit",0,IF(AE4128="free",0,IF(AE4128="me",0,IF(G4128&gt;0,(VLOOKUP(A4128,'Discount Lookup'!J:K,2)*G4128),0))))</f>
        <v>0</v>
      </c>
      <c r="AJ4128" s="107" t="str">
        <f t="shared" ca="1" si="3091"/>
        <v/>
      </c>
      <c r="AK4128" s="714" t="str">
        <f t="shared" si="3092"/>
        <v/>
      </c>
      <c r="AL4128" s="714"/>
      <c r="AM4128" s="114" t="str">
        <f t="shared" si="3093"/>
        <v/>
      </c>
      <c r="AN4128" s="115"/>
      <c r="AO4128" s="116"/>
      <c r="AP4128" s="116"/>
      <c r="AQ4128" s="116"/>
      <c r="AR4128" s="116"/>
      <c r="AS4128" s="116"/>
      <c r="AT4128" s="116"/>
      <c r="AU4128" s="116"/>
      <c r="AV4128" s="78"/>
      <c r="AW4128" s="102"/>
      <c r="AX4128" s="78"/>
      <c r="AY4128" s="78"/>
      <c r="AZ4128" s="78"/>
      <c r="BA4128" s="78"/>
      <c r="BB4128" s="78"/>
      <c r="BC4128" s="78"/>
      <c r="BD4128" s="78"/>
      <c r="BE4128" s="465"/>
      <c r="BF4128" s="165" t="str">
        <f t="shared" si="3094"/>
        <v>https://www.google.com/search?tbm=isch&amp;q=3%20G3</v>
      </c>
      <c r="BG4128" s="165" t="str">
        <f t="shared" si="3095"/>
        <v>T</v>
      </c>
      <c r="BH4128" s="65"/>
      <c r="BI4128" s="65"/>
      <c r="BJ4128" s="65"/>
      <c r="BK4128" s="65"/>
      <c r="BL4128" s="99"/>
      <c r="BM4128" s="99"/>
      <c r="BN4128" s="99"/>
    </row>
    <row r="4129" spans="1:66" s="51" customFormat="1" ht="27" x14ac:dyDescent="0.25">
      <c r="A4129" s="478">
        <v>5</v>
      </c>
      <c r="B4129" s="479" t="s">
        <v>291</v>
      </c>
      <c r="C4129" s="480" t="s">
        <v>4372</v>
      </c>
      <c r="D4129" s="481" t="s">
        <v>299</v>
      </c>
      <c r="E4129" s="482">
        <v>68.95</v>
      </c>
      <c r="F4129" s="483" t="s">
        <v>292</v>
      </c>
      <c r="G4129" s="484">
        <v>0</v>
      </c>
      <c r="H4129" s="688" t="str">
        <f>IF(G4129=0,"",IF(F4129="Buy",IF(G4129=1,"plant","plants"),IF(F4129&gt;0.01,"warranty","Error")))</f>
        <v/>
      </c>
      <c r="I4129" s="485">
        <f>IF(H4129="free",0,IF(H4129="credit",((E4129*(F4129))*G4129*-1),IF(F4129="Buy",(E4129*G4129),((E4129*(1-F4129))*G4129))))</f>
        <v>0</v>
      </c>
      <c r="J4129" s="485">
        <f>IF(H4129="warranty",0,(I4129*(_xlfn.SINGLE(SalesTaxPercentage))))</f>
        <v>0</v>
      </c>
      <c r="K4129" s="715">
        <f t="shared" ref="K4129" si="3101">I4129+J4129</f>
        <v>0</v>
      </c>
      <c r="L4129" s="715"/>
      <c r="M4129" s="689" t="str">
        <f ca="1">IF(AND(G4129&gt;0,E4129=0),"WARNING - no PRICE inserted",IF(H4129="free","FREE ~ no charge this plant",IF(H4129="credit",CONCATENATE("-$",ROUND(K4129*(1-_xlfn.SINGLE(T2GDiscount))*-1,2)," CREDIT after discount"),IF(_xlfn.SINGLE(T2GDiscount)=0,"",IF(G4129=0,"",IF(F4129="Buy",CONCATENATE("$",ROUND(K4129*(1-_xlfn.SINGLE(T2GDiscount)),2)," with ",(_xlfn.SINGLE(T2GDiscount)*100),"% discount"),CONCATENATE("$",ROUND(K4129*(1-_xlfn.SINGLE(T2GDiscount)),2)," with ",((_xlfn.SINGLE(T2GDiscount)*100+F4129*100)-(_xlfn.SINGLE(T2GDiscount)*100*F4129)),IF(F4129&gt;0,"% discounts",IF(_xlfn.SINGLE(NoWarrantyDiscount)&gt;0,"% discounts","% discount")))))))))</f>
        <v/>
      </c>
      <c r="N4129" s="690"/>
      <c r="O4129" s="486"/>
      <c r="P4129" s="486"/>
      <c r="Q4129" s="486"/>
      <c r="R4129" s="486"/>
      <c r="S4129" s="486"/>
      <c r="T4129" s="102">
        <f t="shared" si="3083"/>
        <v>0</v>
      </c>
      <c r="U4129" s="78">
        <f>IF(NOT(ISNUMBER(G4129)), "", VLOOKUP(A4129,'Discount Lookup'!D:E,2,FALSE)*G4129)</f>
        <v>0</v>
      </c>
      <c r="V4129" s="78">
        <f>IF(NOT(ISNUMBER(G4129)), "", VLOOKUP(A4129,'Discount Lookup'!G:H,2,FALSE)*G4129)</f>
        <v>0</v>
      </c>
      <c r="W4129" s="102">
        <f t="shared" si="3084"/>
        <v>0</v>
      </c>
      <c r="X4129" s="102">
        <f t="shared" si="3085"/>
        <v>0</v>
      </c>
      <c r="Y4129" s="120" t="b">
        <f t="shared" si="3086"/>
        <v>0</v>
      </c>
      <c r="Z4129" s="117">
        <f t="shared" si="3087"/>
        <v>0</v>
      </c>
      <c r="AA4129" s="118"/>
      <c r="AB4129" s="118" t="str">
        <f t="shared" si="3088"/>
        <v/>
      </c>
      <c r="AC4129" s="712" t="str">
        <f>IF(AE4129="T2G","no charge",IF(AND(OR(PlanterYesMe="No",PlanterYesMe="N",PlanterYesMe="me"),H4129=""),"",IF(H4129="credit","NO install",IF(AND(K4129="",AE4129="me"),"EACH row",IF(AND(K4129="images",AE4129="me"),"EACH row",IF(D4129="","",IF(H4129="credit","",IF(AE4129="free","re-planting",IF(AE4129="me","   not ELP, by",IF(AND(OR(PlanterYesMe="Yes",PlanterYesMe="Y"),G4129&gt;0),(VLOOKUP(A4129,'Discount Lookup'!J:K,2)*G4129*(1-PlanterDiscount)*(1+PlanterDifficultyPercentage)),IF(AE4129="ELP",(VLOOKUP(A4129,'Discount Lookup'!J:K,2)*G4129*(1-PlanterDiscount)*(1+PlanterDifficultyPercentage)),IF(AE4129="free","re-planting",IF(G4129=0,"",IF(PlanterYesMe="",IF(AE4129="me","   not ELP, by",IF(AE4129="",IF(G4129&gt;0,(VLOOKUP(A4129,'Discount Lookup'!J:K,2)*G4129*(1-PlanterDiscount)*(1+PlanterDifficultyPercentage)),""),"")),"   not ELP, by"))))))))))))))</f>
        <v/>
      </c>
      <c r="AD4129" s="712"/>
      <c r="AE4129" s="513" t="str">
        <f t="shared" si="3089"/>
        <v/>
      </c>
      <c r="AF4129" s="713" t="str">
        <f t="shared" si="3090"/>
        <v/>
      </c>
      <c r="AG4129" s="713"/>
      <c r="AH4129" s="713"/>
      <c r="AI4129" s="112">
        <f>IF(H4129="credit",0,IF(AE4129="free",0,IF(AE4129="me",0,IF(G4129&gt;0,(VLOOKUP(A4129,'Discount Lookup'!J:K,2)*G4129),0))))</f>
        <v>0</v>
      </c>
      <c r="AJ4129" s="107" t="str">
        <f t="shared" ca="1" si="3091"/>
        <v/>
      </c>
      <c r="AK4129" s="714" t="str">
        <f t="shared" si="3092"/>
        <v/>
      </c>
      <c r="AL4129" s="714"/>
      <c r="AM4129" s="114" t="str">
        <f t="shared" si="3093"/>
        <v/>
      </c>
      <c r="AN4129" s="115"/>
      <c r="AO4129" s="116"/>
      <c r="AP4129" s="116"/>
      <c r="AQ4129" s="116"/>
      <c r="AR4129" s="116"/>
      <c r="AS4129" s="116"/>
      <c r="AT4129" s="116"/>
      <c r="AU4129" s="116"/>
      <c r="AV4129" s="78"/>
      <c r="AW4129" s="102"/>
      <c r="AX4129" s="78"/>
      <c r="AY4129" s="78"/>
      <c r="AZ4129" s="78"/>
      <c r="BA4129" s="78"/>
      <c r="BB4129" s="78"/>
      <c r="BC4129" s="78"/>
      <c r="BD4129" s="78"/>
      <c r="BE4129" s="465"/>
      <c r="BF4129" s="165" t="str">
        <f t="shared" si="3094"/>
        <v>https://www.google.com/search?tbm=isch&amp;q=5%20G4</v>
      </c>
      <c r="BG4129" s="165" t="str">
        <f t="shared" si="3095"/>
        <v>T</v>
      </c>
      <c r="BH4129" s="65"/>
      <c r="BI4129" s="65"/>
      <c r="BJ4129" s="65"/>
      <c r="BK4129" s="65"/>
      <c r="BL4129" s="99"/>
      <c r="BM4129" s="99"/>
      <c r="BN4129" s="99"/>
    </row>
    <row r="4130" spans="1:66" s="51" customFormat="1" ht="27" x14ac:dyDescent="0.25">
      <c r="A4130" s="478">
        <v>7</v>
      </c>
      <c r="B4130" s="479" t="s">
        <v>291</v>
      </c>
      <c r="C4130" s="480" t="s">
        <v>4373</v>
      </c>
      <c r="D4130" s="481" t="s">
        <v>299</v>
      </c>
      <c r="E4130" s="482">
        <v>91.95</v>
      </c>
      <c r="F4130" s="483" t="s">
        <v>292</v>
      </c>
      <c r="G4130" s="484">
        <v>0</v>
      </c>
      <c r="H4130" s="688" t="str">
        <f>IF(G4130=0,"",IF(F4130="Buy",IF(G4130=1,"plant","plants"),IF(F4130&gt;0.01,"warranty","Error")))</f>
        <v/>
      </c>
      <c r="I4130" s="485">
        <f>IF(H4130="free",0,IF(H4130="credit",((E4130*(F4130))*G4130*-1),IF(F4130="Buy",(E4130*G4130),((E4130*(1-F4130))*G4130))))</f>
        <v>0</v>
      </c>
      <c r="J4130" s="485">
        <f>IF(H4130="warranty",0,(I4130*(_xlfn.SINGLE(SalesTaxPercentage))))</f>
        <v>0</v>
      </c>
      <c r="K4130" s="715">
        <f t="shared" ref="K4130" si="3102">I4130+J4130</f>
        <v>0</v>
      </c>
      <c r="L4130" s="715"/>
      <c r="M4130" s="689" t="str">
        <f ca="1">IF(AND(G4130&gt;0,E4130=0),"WARNING - no PRICE inserted",IF(H4130="free","FREE ~ no charge this plant",IF(H4130="credit",CONCATENATE("-$",ROUND(K4130*(1-_xlfn.SINGLE(T2GDiscount))*-1,2)," CREDIT after discount"),IF(_xlfn.SINGLE(T2GDiscount)=0,"",IF(G4130=0,"",IF(F4130="Buy",CONCATENATE("$",ROUND(K4130*(1-_xlfn.SINGLE(T2GDiscount)),2)," with ",(_xlfn.SINGLE(T2GDiscount)*100),"% discount"),CONCATENATE("$",ROUND(K4130*(1-_xlfn.SINGLE(T2GDiscount)),2)," with ",((_xlfn.SINGLE(T2GDiscount)*100+F4130*100)-(_xlfn.SINGLE(T2GDiscount)*100*F4130)),IF(F4130&gt;0,"% discounts",IF(_xlfn.SINGLE(NoWarrantyDiscount)&gt;0,"% discounts","% discount")))))))))</f>
        <v/>
      </c>
      <c r="N4130" s="690"/>
      <c r="O4130" s="486"/>
      <c r="P4130" s="486"/>
      <c r="Q4130" s="486"/>
      <c r="R4130" s="486"/>
      <c r="S4130" s="486"/>
      <c r="T4130" s="102">
        <f t="shared" si="3083"/>
        <v>0</v>
      </c>
      <c r="U4130" s="78">
        <f>IF(NOT(ISNUMBER(G4130)), "", VLOOKUP(A4130,'Discount Lookup'!D:E,2,FALSE)*G4130)</f>
        <v>0</v>
      </c>
      <c r="V4130" s="78">
        <f>IF(NOT(ISNUMBER(G4130)), "", VLOOKUP(A4130,'Discount Lookup'!G:H,2,FALSE)*G4130)</f>
        <v>0</v>
      </c>
      <c r="W4130" s="102">
        <f t="shared" si="3084"/>
        <v>0</v>
      </c>
      <c r="X4130" s="102">
        <f t="shared" si="3085"/>
        <v>0</v>
      </c>
      <c r="Y4130" s="120" t="b">
        <f t="shared" si="3086"/>
        <v>0</v>
      </c>
      <c r="Z4130" s="117">
        <f t="shared" si="3087"/>
        <v>0</v>
      </c>
      <c r="AA4130" s="118"/>
      <c r="AB4130" s="118" t="str">
        <f t="shared" si="3088"/>
        <v/>
      </c>
      <c r="AC4130" s="712" t="str">
        <f>IF(AE4130="T2G","no charge",IF(AND(OR(PlanterYesMe="No",PlanterYesMe="N",PlanterYesMe="me"),H4130=""),"",IF(H4130="credit","NO install",IF(AND(K4130="",AE4130="me"),"EACH row",IF(AND(K4130="images",AE4130="me"),"EACH row",IF(D4130="","",IF(H4130="credit","",IF(AE4130="free","re-planting",IF(AE4130="me","   not ELP, by",IF(AND(OR(PlanterYesMe="Yes",PlanterYesMe="Y"),G4130&gt;0),(VLOOKUP(A4130,'Discount Lookup'!J:K,2)*G4130*(1-PlanterDiscount)*(1+PlanterDifficultyPercentage)),IF(AE4130="ELP",(VLOOKUP(A4130,'Discount Lookup'!J:K,2)*G4130*(1-PlanterDiscount)*(1+PlanterDifficultyPercentage)),IF(AE4130="free","re-planting",IF(G4130=0,"",IF(PlanterYesMe="",IF(AE4130="me","   not ELP, by",IF(AE4130="",IF(G4130&gt;0,(VLOOKUP(A4130,'Discount Lookup'!J:K,2)*G4130*(1-PlanterDiscount)*(1+PlanterDifficultyPercentage)),""),"")),"   not ELP, by"))))))))))))))</f>
        <v/>
      </c>
      <c r="AD4130" s="712"/>
      <c r="AE4130" s="513" t="str">
        <f t="shared" si="3089"/>
        <v/>
      </c>
      <c r="AF4130" s="713" t="str">
        <f t="shared" si="3090"/>
        <v/>
      </c>
      <c r="AG4130" s="713"/>
      <c r="AH4130" s="713"/>
      <c r="AI4130" s="112">
        <f>IF(H4130="credit",0,IF(AE4130="free",0,IF(AE4130="me",0,IF(G4130&gt;0,(VLOOKUP(A4130,'Discount Lookup'!J:K,2)*G4130),0))))</f>
        <v>0</v>
      </c>
      <c r="AJ4130" s="107" t="str">
        <f t="shared" ca="1" si="3091"/>
        <v/>
      </c>
      <c r="AK4130" s="714" t="str">
        <f t="shared" si="3092"/>
        <v/>
      </c>
      <c r="AL4130" s="714"/>
      <c r="AM4130" s="114" t="str">
        <f t="shared" si="3093"/>
        <v/>
      </c>
      <c r="AN4130" s="115"/>
      <c r="AO4130" s="116"/>
      <c r="AP4130" s="116"/>
      <c r="AQ4130" s="116"/>
      <c r="AR4130" s="116"/>
      <c r="AS4130" s="116"/>
      <c r="AT4130" s="116"/>
      <c r="AU4130" s="116"/>
      <c r="AV4130" s="78"/>
      <c r="AW4130" s="102"/>
      <c r="AX4130" s="78"/>
      <c r="AY4130" s="78"/>
      <c r="AZ4130" s="78"/>
      <c r="BA4130" s="78"/>
      <c r="BB4130" s="78"/>
      <c r="BC4130" s="78"/>
      <c r="BD4130" s="78"/>
      <c r="BE4130" s="465"/>
      <c r="BF4130" s="165" t="str">
        <f t="shared" si="3094"/>
        <v>https://www.google.com/search?tbm=isch&amp;q=7%20G4</v>
      </c>
      <c r="BG4130" s="165" t="str">
        <f t="shared" si="3095"/>
        <v>T</v>
      </c>
      <c r="BH4130" s="65"/>
      <c r="BI4130" s="65"/>
      <c r="BJ4130" s="65"/>
      <c r="BK4130" s="65"/>
      <c r="BL4130" s="99"/>
      <c r="BM4130" s="99"/>
      <c r="BN4130" s="99"/>
    </row>
    <row r="4131" spans="1:66" s="51" customFormat="1" ht="17.25" thickBot="1" x14ac:dyDescent="0.3">
      <c r="A4131" s="508" t="s">
        <v>4374</v>
      </c>
      <c r="B4131" s="487"/>
      <c r="C4131" s="707"/>
      <c r="D4131" s="487"/>
      <c r="E4131" s="487"/>
      <c r="F4131" s="488"/>
      <c r="G4131" s="489"/>
      <c r="H4131" s="487"/>
      <c r="I4131" s="490"/>
      <c r="J4131" s="490"/>
      <c r="K4131" s="491"/>
      <c r="L4131" s="547"/>
      <c r="M4131" s="528"/>
      <c r="N4131" s="492"/>
      <c r="O4131" s="493"/>
      <c r="P4131" s="494"/>
      <c r="Q4131" s="492"/>
      <c r="R4131" s="492"/>
      <c r="S4131" s="699" t="s">
        <v>5268</v>
      </c>
      <c r="T4131" s="102">
        <f t="shared" si="3083"/>
        <v>0</v>
      </c>
      <c r="U4131" s="78" t="str">
        <f>IF(NOT(ISNUMBER(G4131)), "", VLOOKUP(A4131,'Discount Lookup'!D:E,2,FALSE)*G4131)</f>
        <v/>
      </c>
      <c r="V4131" s="78" t="str">
        <f>IF(NOT(ISNUMBER(G4131)), "", VLOOKUP(A4131,'Discount Lookup'!G:H,2,FALSE)*G4131)</f>
        <v/>
      </c>
      <c r="W4131" s="102">
        <f t="shared" si="3084"/>
        <v>0</v>
      </c>
      <c r="X4131" s="102">
        <f t="shared" si="3085"/>
        <v>0</v>
      </c>
      <c r="Y4131" s="120" t="b">
        <f t="shared" si="3086"/>
        <v>0</v>
      </c>
      <c r="Z4131" s="117">
        <f t="shared" si="3087"/>
        <v>0</v>
      </c>
      <c r="AA4131" s="118"/>
      <c r="AB4131" s="118" t="str">
        <f t="shared" si="3088"/>
        <v/>
      </c>
      <c r="AC4131" s="712" t="str">
        <f>IF(AE4131="T2G","no charge",IF(AND(OR(PlanterYesMe="No",PlanterYesMe="N",PlanterYesMe="me"),H4131=""),"",IF(H4131="credit","NO install",IF(AND(K4131="",AE4131="me"),"EACH row",IF(AND(K4131="images",AE4131="me"),"EACH row",IF(D4131="","",IF(H4131="credit","",IF(AE4131="free","re-planting",IF(AE4131="me","   not ELP, by",IF(AND(OR(PlanterYesMe="Yes",PlanterYesMe="Y"),G4131&gt;0),(VLOOKUP(A4131,'Discount Lookup'!J:K,2)*G4131*(1-PlanterDiscount)*(1+PlanterDifficultyPercentage)),IF(AE4131="ELP",(VLOOKUP(A4131,'Discount Lookup'!J:K,2)*G4131*(1-PlanterDiscount)*(1+PlanterDifficultyPercentage)),IF(AE4131="free","re-planting",IF(G4131=0,"",IF(PlanterYesMe="",IF(AE4131="me","   not ELP, by",IF(AE4131="",IF(G4131&gt;0,(VLOOKUP(A4131,'Discount Lookup'!J:K,2)*G4131*(1-PlanterDiscount)*(1+PlanterDifficultyPercentage)),""),"")),"   not ELP, by"))))))))))))))</f>
        <v/>
      </c>
      <c r="AD4131" s="712"/>
      <c r="AE4131" s="513" t="str">
        <f t="shared" si="3089"/>
        <v/>
      </c>
      <c r="AF4131" s="713" t="str">
        <f t="shared" si="3090"/>
        <v/>
      </c>
      <c r="AG4131" s="713"/>
      <c r="AH4131" s="713"/>
      <c r="AI4131" s="112">
        <f>IF(H4131="credit",0,IF(AE4131="free",0,IF(AE4131="me",0,IF(G4131&gt;0,(VLOOKUP(A4131,'Discount Lookup'!J:K,2)*G4131),0))))</f>
        <v>0</v>
      </c>
      <c r="AJ4131" s="107" t="str">
        <f t="shared" ca="1" si="3091"/>
        <v/>
      </c>
      <c r="AK4131" s="714" t="str">
        <f t="shared" si="3092"/>
        <v/>
      </c>
      <c r="AL4131" s="714"/>
      <c r="AM4131" s="114" t="str">
        <f t="shared" si="3093"/>
        <v/>
      </c>
      <c r="AN4131" s="115"/>
      <c r="AO4131" s="116"/>
      <c r="AP4131" s="116"/>
      <c r="AQ4131" s="116"/>
      <c r="AR4131" s="116"/>
      <c r="AS4131" s="116"/>
      <c r="AT4131" s="116"/>
      <c r="AU4131" s="116"/>
      <c r="AV4131" s="78"/>
      <c r="AW4131" s="102"/>
      <c r="AX4131" s="78"/>
      <c r="AY4131" s="78"/>
      <c r="AZ4131" s="78"/>
      <c r="BA4131" s="78"/>
      <c r="BB4131" s="78"/>
      <c r="BC4131" s="78"/>
      <c r="BD4131" s="78"/>
      <c r="BE4131" s="465"/>
      <c r="BF4131" s="165" t="str">
        <f t="shared" si="3094"/>
        <v>https://www.google.com/search?tbm=isch&amp;q=Sunkist%20is%20Green%2FLemon-Yellow%20in%20the%20spring%2C%20turning%20more%20Golden%20for%20fall%2Fwinter%20</v>
      </c>
      <c r="BG4131" s="165" t="str">
        <f t="shared" si="3095"/>
        <v>S</v>
      </c>
      <c r="BH4131" s="65"/>
      <c r="BI4131" s="65"/>
      <c r="BJ4131" s="65"/>
      <c r="BK4131" s="65"/>
      <c r="BL4131" s="99"/>
      <c r="BM4131" s="99"/>
      <c r="BN4131" s="99"/>
    </row>
    <row r="4132" spans="1:66" s="51" customFormat="1" ht="18" x14ac:dyDescent="0.25">
      <c r="A4132" s="507" t="s">
        <v>783</v>
      </c>
      <c r="B4132" s="470"/>
      <c r="C4132" s="706"/>
      <c r="D4132" s="471" t="s">
        <v>784</v>
      </c>
      <c r="E4132" s="472"/>
      <c r="F4132" s="472"/>
      <c r="G4132" s="472"/>
      <c r="H4132" s="622" t="s">
        <v>340</v>
      </c>
      <c r="I4132" s="473" t="s">
        <v>443</v>
      </c>
      <c r="J4132" s="472"/>
      <c r="K4132" s="472"/>
      <c r="L4132" s="561"/>
      <c r="M4132" s="698" t="s">
        <v>5246</v>
      </c>
      <c r="N4132" s="692" t="str">
        <f>IF(AND(ISTEXT($A4132), ISERROR($A4132+0)), HYPERLINK($BF4132, "Images"), "")</f>
        <v>Images</v>
      </c>
      <c r="O4132" s="694" t="s">
        <v>5286</v>
      </c>
      <c r="P4132" s="475"/>
      <c r="Q4132" s="476"/>
      <c r="R4132" s="476"/>
      <c r="S4132" s="477" t="s">
        <v>294</v>
      </c>
      <c r="T4132" s="102">
        <f t="shared" si="3083"/>
        <v>0</v>
      </c>
      <c r="U4132" s="78" t="str">
        <f>IF(NOT(ISNUMBER(G4132)), "", VLOOKUP(A4132,'Discount Lookup'!D:E,2,FALSE)*G4132)</f>
        <v/>
      </c>
      <c r="V4132" s="78" t="str">
        <f>IF(NOT(ISNUMBER(G4132)), "", VLOOKUP(A4132,'Discount Lookup'!G:H,2,FALSE)*G4132)</f>
        <v/>
      </c>
      <c r="W4132" s="102">
        <f t="shared" si="3084"/>
        <v>0</v>
      </c>
      <c r="X4132" s="102" t="str">
        <f t="shared" si="3085"/>
        <v>Golden-Yellow foliage</v>
      </c>
      <c r="Y4132" s="120" t="b">
        <f t="shared" si="3086"/>
        <v>0</v>
      </c>
      <c r="Z4132" s="117">
        <f t="shared" si="3087"/>
        <v>0</v>
      </c>
      <c r="AA4132" s="118"/>
      <c r="AB4132" s="118" t="str">
        <f t="shared" si="3088"/>
        <v/>
      </c>
      <c r="AC4132" s="712" t="str">
        <f>IF(AE4132="T2G","no charge",IF(AND(OR(PlanterYesMe="No",PlanterYesMe="N",PlanterYesMe="me"),H4132=""),"",IF(H4132="credit","NO install",IF(AND(K4132="",AE4132="me"),"EACH row",IF(AND(K4132="images",AE4132="me"),"EACH row",IF(D4132="","",IF(H4132="credit","",IF(AE4132="free","re-planting",IF(AE4132="me","   not ELP, by",IF(AND(OR(PlanterYesMe="Yes",PlanterYesMe="Y"),G4132&gt;0),(VLOOKUP(A4132,'Discount Lookup'!J:K,2)*G4132*(1-PlanterDiscount)*(1+PlanterDifficultyPercentage)),IF(AE4132="ELP",(VLOOKUP(A4132,'Discount Lookup'!J:K,2)*G4132*(1-PlanterDiscount)*(1+PlanterDifficultyPercentage)),IF(AE4132="free","re-planting",IF(G4132=0,"",IF(PlanterYesMe="",IF(AE4132="me","   not ELP, by",IF(AE4132="",IF(G4132&gt;0,(VLOOKUP(A4132,'Discount Lookup'!J:K,2)*G4132*(1-PlanterDiscount)*(1+PlanterDifficultyPercentage)),""),"")),"   not ELP, by"))))))))))))))</f>
        <v/>
      </c>
      <c r="AD4132" s="712"/>
      <c r="AE4132" s="513" t="str">
        <f t="shared" si="3089"/>
        <v/>
      </c>
      <c r="AF4132" s="713" t="str">
        <f t="shared" si="3090"/>
        <v/>
      </c>
      <c r="AG4132" s="713"/>
      <c r="AH4132" s="713"/>
      <c r="AI4132" s="112">
        <f>IF(H4132="credit",0,IF(AE4132="free",0,IF(AE4132="me",0,IF(G4132&gt;0,(VLOOKUP(A4132,'Discount Lookup'!J:K,2)*G4132),0))))</f>
        <v>0</v>
      </c>
      <c r="AJ4132" s="107" t="str">
        <f t="shared" ca="1" si="3091"/>
        <v/>
      </c>
      <c r="AK4132" s="714" t="str">
        <f t="shared" si="3092"/>
        <v/>
      </c>
      <c r="AL4132" s="714"/>
      <c r="AM4132" s="114" t="str">
        <f t="shared" si="3093"/>
        <v/>
      </c>
      <c r="AN4132" s="115"/>
      <c r="AO4132" s="116"/>
      <c r="AP4132" s="116"/>
      <c r="AQ4132" s="116"/>
      <c r="AR4132" s="116"/>
      <c r="AS4132" s="116"/>
      <c r="AT4132" s="116"/>
      <c r="AU4132" s="116"/>
      <c r="AV4132" s="78"/>
      <c r="AW4132" s="102"/>
      <c r="AX4132" s="78"/>
      <c r="AY4132" s="78"/>
      <c r="AZ4132" s="78"/>
      <c r="BA4132" s="78"/>
      <c r="BB4132" s="78"/>
      <c r="BC4132" s="78"/>
      <c r="BD4132" s="78"/>
      <c r="BE4132" s="465"/>
      <c r="BF4132" s="165" t="str">
        <f t="shared" si="3094"/>
        <v>https://www.google.com/search?tbm=isch&amp;q=Thuja%20occidentalis%20%27Yellow%20Ribbon%27%20Yellow%20Ribbon%20Arborvitae</v>
      </c>
      <c r="BG4132" s="165" t="str">
        <f t="shared" si="3095"/>
        <v>T</v>
      </c>
      <c r="BH4132" s="65"/>
      <c r="BI4132" s="65"/>
      <c r="BJ4132" s="65"/>
      <c r="BK4132" s="65"/>
      <c r="BL4132" s="99"/>
      <c r="BM4132" s="99"/>
      <c r="BN4132" s="99"/>
    </row>
    <row r="4133" spans="1:66" s="51" customFormat="1" ht="15.75" x14ac:dyDescent="0.25">
      <c r="A4133" s="478">
        <v>3</v>
      </c>
      <c r="B4133" s="479" t="s">
        <v>291</v>
      </c>
      <c r="C4133" s="480" t="s">
        <v>341</v>
      </c>
      <c r="D4133" s="481" t="s">
        <v>310</v>
      </c>
      <c r="E4133" s="482">
        <v>27.95</v>
      </c>
      <c r="F4133" s="483" t="s">
        <v>292</v>
      </c>
      <c r="G4133" s="484">
        <v>0</v>
      </c>
      <c r="H4133" s="688" t="str">
        <f>IF(G4133=0,"",IF(F4133="Buy",IF(G4133=1,"plant","plants"),IF(F4133&gt;0.01,"warranty","Error")))</f>
        <v/>
      </c>
      <c r="I4133" s="485">
        <f>IF(H4133="free",0,IF(H4133="credit",((E4133*(F4133))*G4133*-1),IF(F4133="Buy",(E4133*G4133),((E4133*(1-F4133))*G4133))))</f>
        <v>0</v>
      </c>
      <c r="J4133" s="485">
        <f>IF(H4133="warranty",0,(I4133*(_xlfn.SINGLE(SalesTaxPercentage))))</f>
        <v>0</v>
      </c>
      <c r="K4133" s="715">
        <f t="shared" ref="K4133" si="3103">I4133+J4133</f>
        <v>0</v>
      </c>
      <c r="L4133" s="715"/>
      <c r="M4133" s="689" t="str">
        <f ca="1">IF(AND(G4133&gt;0,E4133=0),"WARNING - no PRICE inserted",IF(H4133="free","FREE ~ no charge this plant",IF(H4133="credit",CONCATENATE("-$",ROUND(K4133*(1-_xlfn.SINGLE(T2GDiscount))*-1,2)," CREDIT after discount"),IF(_xlfn.SINGLE(T2GDiscount)=0,"",IF(G4133=0,"",IF(F4133="Buy",CONCATENATE("$",ROUND(K4133*(1-_xlfn.SINGLE(T2GDiscount)),2)," with ",(_xlfn.SINGLE(T2GDiscount)*100),"% discount"),CONCATENATE("$",ROUND(K4133*(1-_xlfn.SINGLE(T2GDiscount)),2)," with ",((_xlfn.SINGLE(T2GDiscount)*100+F4133*100)-(_xlfn.SINGLE(T2GDiscount)*100*F4133)),IF(F4133&gt;0,"% discounts",IF(_xlfn.SINGLE(NoWarrantyDiscount)&gt;0,"% discounts","% discount")))))))))</f>
        <v/>
      </c>
      <c r="N4133" s="690"/>
      <c r="O4133" s="486"/>
      <c r="P4133" s="486"/>
      <c r="Q4133" s="486"/>
      <c r="R4133" s="486"/>
      <c r="S4133" s="486"/>
      <c r="T4133" s="102">
        <f t="shared" si="3083"/>
        <v>0</v>
      </c>
      <c r="U4133" s="78">
        <f>IF(NOT(ISNUMBER(G4133)), "", VLOOKUP(A4133,'Discount Lookup'!D:E,2,FALSE)*G4133)</f>
        <v>0</v>
      </c>
      <c r="V4133" s="78">
        <f>IF(NOT(ISNUMBER(G4133)), "", VLOOKUP(A4133,'Discount Lookup'!G:H,2,FALSE)*G4133)</f>
        <v>0</v>
      </c>
      <c r="W4133" s="102">
        <f t="shared" si="3084"/>
        <v>0</v>
      </c>
      <c r="X4133" s="102">
        <f t="shared" si="3085"/>
        <v>0</v>
      </c>
      <c r="Y4133" s="120" t="b">
        <f t="shared" si="3086"/>
        <v>0</v>
      </c>
      <c r="Z4133" s="117">
        <f t="shared" si="3087"/>
        <v>0</v>
      </c>
      <c r="AA4133" s="118"/>
      <c r="AB4133" s="118" t="str">
        <f t="shared" si="3088"/>
        <v/>
      </c>
      <c r="AC4133" s="712" t="str">
        <f>IF(AE4133="T2G","no charge",IF(AND(OR(PlanterYesMe="No",PlanterYesMe="N",PlanterYesMe="me"),H4133=""),"",IF(H4133="credit","NO install",IF(AND(K4133="",AE4133="me"),"EACH row",IF(AND(K4133="images",AE4133="me"),"EACH row",IF(D4133="","",IF(H4133="credit","",IF(AE4133="free","re-planting",IF(AE4133="me","   not ELP, by",IF(AND(OR(PlanterYesMe="Yes",PlanterYesMe="Y"),G4133&gt;0),(VLOOKUP(A4133,'Discount Lookup'!J:K,2)*G4133*(1-PlanterDiscount)*(1+PlanterDifficultyPercentage)),IF(AE4133="ELP",(VLOOKUP(A4133,'Discount Lookup'!J:K,2)*G4133*(1-PlanterDiscount)*(1+PlanterDifficultyPercentage)),IF(AE4133="free","re-planting",IF(G4133=0,"",IF(PlanterYesMe="",IF(AE4133="me","   not ELP, by",IF(AE4133="",IF(G4133&gt;0,(VLOOKUP(A4133,'Discount Lookup'!J:K,2)*G4133*(1-PlanterDiscount)*(1+PlanterDifficultyPercentage)),""),"")),"   not ELP, by"))))))))))))))</f>
        <v/>
      </c>
      <c r="AD4133" s="712"/>
      <c r="AE4133" s="513" t="str">
        <f t="shared" si="3089"/>
        <v/>
      </c>
      <c r="AF4133" s="713" t="str">
        <f t="shared" si="3090"/>
        <v/>
      </c>
      <c r="AG4133" s="713"/>
      <c r="AH4133" s="713"/>
      <c r="AI4133" s="112">
        <f>IF(H4133="credit",0,IF(AE4133="free",0,IF(AE4133="me",0,IF(G4133&gt;0,(VLOOKUP(A4133,'Discount Lookup'!J:K,2)*G4133),0))))</f>
        <v>0</v>
      </c>
      <c r="AJ4133" s="107" t="str">
        <f t="shared" ca="1" si="3091"/>
        <v/>
      </c>
      <c r="AK4133" s="714" t="str">
        <f t="shared" si="3092"/>
        <v/>
      </c>
      <c r="AL4133" s="714"/>
      <c r="AM4133" s="114" t="str">
        <f t="shared" si="3093"/>
        <v/>
      </c>
      <c r="AN4133" s="115"/>
      <c r="AO4133" s="116"/>
      <c r="AP4133" s="116"/>
      <c r="AQ4133" s="116"/>
      <c r="AR4133" s="116"/>
      <c r="AS4133" s="116"/>
      <c r="AT4133" s="116"/>
      <c r="AU4133" s="116"/>
      <c r="AV4133" s="78"/>
      <c r="AW4133" s="102"/>
      <c r="AX4133" s="78"/>
      <c r="AY4133" s="78"/>
      <c r="AZ4133" s="78"/>
      <c r="BA4133" s="78"/>
      <c r="BB4133" s="78"/>
      <c r="BC4133" s="78"/>
      <c r="BD4133" s="78"/>
      <c r="BE4133" s="465"/>
      <c r="BF4133" s="165" t="str">
        <f t="shared" si="3094"/>
        <v>https://www.google.com/search?tbm=isch&amp;q=3%20G1</v>
      </c>
      <c r="BG4133" s="165" t="str">
        <f t="shared" si="3095"/>
        <v>T</v>
      </c>
      <c r="BH4133" s="65"/>
      <c r="BI4133" s="65"/>
      <c r="BJ4133" s="65"/>
      <c r="BK4133" s="65"/>
      <c r="BL4133" s="99"/>
      <c r="BM4133" s="99"/>
      <c r="BN4133" s="99"/>
    </row>
    <row r="4134" spans="1:66" s="51" customFormat="1" ht="15.75" x14ac:dyDescent="0.25">
      <c r="A4134" s="478">
        <v>7</v>
      </c>
      <c r="B4134" s="479" t="s">
        <v>291</v>
      </c>
      <c r="C4134" s="480"/>
      <c r="D4134" s="481" t="s">
        <v>310</v>
      </c>
      <c r="E4134" s="482">
        <v>68.95</v>
      </c>
      <c r="F4134" s="483" t="s">
        <v>292</v>
      </c>
      <c r="G4134" s="484">
        <v>0</v>
      </c>
      <c r="H4134" s="688" t="str">
        <f>IF(G4134=0,"",IF(F4134="Buy",IF(G4134=1,"plant","plants"),IF(F4134&gt;0.01,"warranty","Error")))</f>
        <v/>
      </c>
      <c r="I4134" s="485">
        <f>IF(H4134="free",0,IF(H4134="credit",((E4134*(F4134))*G4134*-1),IF(F4134="Buy",(E4134*G4134),((E4134*(1-F4134))*G4134))))</f>
        <v>0</v>
      </c>
      <c r="J4134" s="485">
        <f>IF(H4134="warranty",0,(I4134*(_xlfn.SINGLE(SalesTaxPercentage))))</f>
        <v>0</v>
      </c>
      <c r="K4134" s="715">
        <f t="shared" ref="K4134" si="3104">I4134+J4134</f>
        <v>0</v>
      </c>
      <c r="L4134" s="715"/>
      <c r="M4134" s="689" t="str">
        <f ca="1">IF(AND(G4134&gt;0,E4134=0),"WARNING - no PRICE inserted",IF(H4134="free","FREE ~ no charge this plant",IF(H4134="credit",CONCATENATE("-$",ROUND(K4134*(1-_xlfn.SINGLE(T2GDiscount))*-1,2)," CREDIT after discount"),IF(_xlfn.SINGLE(T2GDiscount)=0,"",IF(G4134=0,"",IF(F4134="Buy",CONCATENATE("$",ROUND(K4134*(1-_xlfn.SINGLE(T2GDiscount)),2)," with ",(_xlfn.SINGLE(T2GDiscount)*100),"% discount"),CONCATENATE("$",ROUND(K4134*(1-_xlfn.SINGLE(T2GDiscount)),2)," with ",((_xlfn.SINGLE(T2GDiscount)*100+F4134*100)-(_xlfn.SINGLE(T2GDiscount)*100*F4134)),IF(F4134&gt;0,"% discounts",IF(_xlfn.SINGLE(NoWarrantyDiscount)&gt;0,"% discounts","% discount")))))))))</f>
        <v/>
      </c>
      <c r="N4134" s="690"/>
      <c r="O4134" s="486"/>
      <c r="P4134" s="486"/>
      <c r="Q4134" s="486"/>
      <c r="R4134" s="486"/>
      <c r="S4134" s="486"/>
      <c r="T4134" s="102">
        <f t="shared" si="3083"/>
        <v>0</v>
      </c>
      <c r="U4134" s="78">
        <f>IF(NOT(ISNUMBER(G4134)), "", VLOOKUP(A4134,'Discount Lookup'!D:E,2,FALSE)*G4134)</f>
        <v>0</v>
      </c>
      <c r="V4134" s="78">
        <f>IF(NOT(ISNUMBER(G4134)), "", VLOOKUP(A4134,'Discount Lookup'!G:H,2,FALSE)*G4134)</f>
        <v>0</v>
      </c>
      <c r="W4134" s="102">
        <f t="shared" si="3084"/>
        <v>0</v>
      </c>
      <c r="X4134" s="102">
        <f t="shared" si="3085"/>
        <v>0</v>
      </c>
      <c r="Y4134" s="120" t="b">
        <f t="shared" si="3086"/>
        <v>0</v>
      </c>
      <c r="Z4134" s="117">
        <f t="shared" si="3087"/>
        <v>0</v>
      </c>
      <c r="AA4134" s="118"/>
      <c r="AB4134" s="118" t="str">
        <f t="shared" si="3088"/>
        <v/>
      </c>
      <c r="AC4134" s="712" t="str">
        <f>IF(AE4134="T2G","no charge",IF(AND(OR(PlanterYesMe="No",PlanterYesMe="N",PlanterYesMe="me"),H4134=""),"",IF(H4134="credit","NO install",IF(AND(K4134="",AE4134="me"),"EACH row",IF(AND(K4134="images",AE4134="me"),"EACH row",IF(D4134="","",IF(H4134="credit","",IF(AE4134="free","re-planting",IF(AE4134="me","   not ELP, by",IF(AND(OR(PlanterYesMe="Yes",PlanterYesMe="Y"),G4134&gt;0),(VLOOKUP(A4134,'Discount Lookup'!J:K,2)*G4134*(1-PlanterDiscount)*(1+PlanterDifficultyPercentage)),IF(AE4134="ELP",(VLOOKUP(A4134,'Discount Lookup'!J:K,2)*G4134*(1-PlanterDiscount)*(1+PlanterDifficultyPercentage)),IF(AE4134="free","re-planting",IF(G4134=0,"",IF(PlanterYesMe="",IF(AE4134="me","   not ELP, by",IF(AE4134="",IF(G4134&gt;0,(VLOOKUP(A4134,'Discount Lookup'!J:K,2)*G4134*(1-PlanterDiscount)*(1+PlanterDifficultyPercentage)),""),"")),"   not ELP, by"))))))))))))))</f>
        <v/>
      </c>
      <c r="AD4134" s="712"/>
      <c r="AE4134" s="513" t="str">
        <f t="shared" si="3089"/>
        <v/>
      </c>
      <c r="AF4134" s="713" t="str">
        <f t="shared" si="3090"/>
        <v/>
      </c>
      <c r="AG4134" s="713"/>
      <c r="AH4134" s="713"/>
      <c r="AI4134" s="112">
        <f>IF(H4134="credit",0,IF(AE4134="free",0,IF(AE4134="me",0,IF(G4134&gt;0,(VLOOKUP(A4134,'Discount Lookup'!J:K,2)*G4134),0))))</f>
        <v>0</v>
      </c>
      <c r="AJ4134" s="107" t="str">
        <f t="shared" ca="1" si="3091"/>
        <v/>
      </c>
      <c r="AK4134" s="714" t="str">
        <f t="shared" si="3092"/>
        <v/>
      </c>
      <c r="AL4134" s="714"/>
      <c r="AM4134" s="114" t="str">
        <f t="shared" si="3093"/>
        <v/>
      </c>
      <c r="AN4134" s="115"/>
      <c r="AO4134" s="116"/>
      <c r="AP4134" s="116"/>
      <c r="AQ4134" s="116"/>
      <c r="AR4134" s="116"/>
      <c r="AS4134" s="116"/>
      <c r="AT4134" s="116"/>
      <c r="AU4134" s="116"/>
      <c r="AV4134" s="78"/>
      <c r="AW4134" s="102"/>
      <c r="AX4134" s="78"/>
      <c r="AY4134" s="78"/>
      <c r="AZ4134" s="78"/>
      <c r="BA4134" s="78"/>
      <c r="BB4134" s="78"/>
      <c r="BC4134" s="78"/>
      <c r="BD4134" s="78"/>
      <c r="BE4134" s="465"/>
      <c r="BF4134" s="165" t="str">
        <f t="shared" si="3094"/>
        <v>https://www.google.com/search?tbm=isch&amp;q=7%20G1</v>
      </c>
      <c r="BG4134" s="165" t="str">
        <f t="shared" si="3095"/>
        <v>T</v>
      </c>
      <c r="BH4134" s="65"/>
      <c r="BI4134" s="65"/>
      <c r="BJ4134" s="65"/>
      <c r="BK4134" s="65"/>
      <c r="BL4134" s="99"/>
      <c r="BM4134" s="99"/>
      <c r="BN4134" s="99"/>
    </row>
    <row r="4135" spans="1:66" s="51" customFormat="1" ht="15.75" x14ac:dyDescent="0.25">
      <c r="A4135" s="478">
        <v>7</v>
      </c>
      <c r="B4135" s="479" t="s">
        <v>291</v>
      </c>
      <c r="C4135" s="480" t="s">
        <v>1022</v>
      </c>
      <c r="D4135" s="481" t="s">
        <v>299</v>
      </c>
      <c r="E4135" s="482">
        <v>104.95</v>
      </c>
      <c r="F4135" s="483" t="s">
        <v>292</v>
      </c>
      <c r="G4135" s="484">
        <v>0</v>
      </c>
      <c r="H4135" s="688" t="str">
        <f>IF(G4135=0,"",IF(F4135="Buy",IF(G4135=1,"plant","plants"),IF(F4135&gt;0.01,"warranty","Error")))</f>
        <v/>
      </c>
      <c r="I4135" s="485">
        <f>IF(H4135="free",0,IF(H4135="credit",((E4135*(F4135))*G4135*-1),IF(F4135="Buy",(E4135*G4135),((E4135*(1-F4135))*G4135))))</f>
        <v>0</v>
      </c>
      <c r="J4135" s="485">
        <f>IF(H4135="warranty",0,(I4135*(_xlfn.SINGLE(SalesTaxPercentage))))</f>
        <v>0</v>
      </c>
      <c r="K4135" s="715">
        <f t="shared" ref="K4135" si="3105">I4135+J4135</f>
        <v>0</v>
      </c>
      <c r="L4135" s="715"/>
      <c r="M4135" s="689" t="str">
        <f ca="1">IF(AND(G4135&gt;0,E4135=0),"WARNING - no PRICE inserted",IF(H4135="free","FREE ~ no charge this plant",IF(H4135="credit",CONCATENATE("-$",ROUND(K4135*(1-_xlfn.SINGLE(T2GDiscount))*-1,2)," CREDIT after discount"),IF(_xlfn.SINGLE(T2GDiscount)=0,"",IF(G4135=0,"",IF(F4135="Buy",CONCATENATE("$",ROUND(K4135*(1-_xlfn.SINGLE(T2GDiscount)),2)," with ",(_xlfn.SINGLE(T2GDiscount)*100),"% discount"),CONCATENATE("$",ROUND(K4135*(1-_xlfn.SINGLE(T2GDiscount)),2)," with ",((_xlfn.SINGLE(T2GDiscount)*100+F4135*100)-(_xlfn.SINGLE(T2GDiscount)*100*F4135)),IF(F4135&gt;0,"% discounts",IF(_xlfn.SINGLE(NoWarrantyDiscount)&gt;0,"% discounts","% discount")))))))))</f>
        <v/>
      </c>
      <c r="N4135" s="690"/>
      <c r="O4135" s="486"/>
      <c r="P4135" s="486"/>
      <c r="Q4135" s="486"/>
      <c r="R4135" s="486"/>
      <c r="S4135" s="486"/>
      <c r="T4135" s="102">
        <f t="shared" si="3083"/>
        <v>0</v>
      </c>
      <c r="U4135" s="78">
        <f>IF(NOT(ISNUMBER(G4135)), "", VLOOKUP(A4135,'Discount Lookup'!D:E,2,FALSE)*G4135)</f>
        <v>0</v>
      </c>
      <c r="V4135" s="78">
        <f>IF(NOT(ISNUMBER(G4135)), "", VLOOKUP(A4135,'Discount Lookup'!G:H,2,FALSE)*G4135)</f>
        <v>0</v>
      </c>
      <c r="W4135" s="102">
        <f t="shared" si="3084"/>
        <v>0</v>
      </c>
      <c r="X4135" s="102">
        <f t="shared" si="3085"/>
        <v>0</v>
      </c>
      <c r="Y4135" s="120" t="b">
        <f t="shared" si="3086"/>
        <v>0</v>
      </c>
      <c r="Z4135" s="117">
        <f t="shared" si="3087"/>
        <v>0</v>
      </c>
      <c r="AA4135" s="118"/>
      <c r="AB4135" s="118" t="str">
        <f t="shared" si="3088"/>
        <v/>
      </c>
      <c r="AC4135" s="712" t="str">
        <f>IF(AE4135="T2G","no charge",IF(AND(OR(PlanterYesMe="No",PlanterYesMe="N",PlanterYesMe="me"),H4135=""),"",IF(H4135="credit","NO install",IF(AND(K4135="",AE4135="me"),"EACH row",IF(AND(K4135="images",AE4135="me"),"EACH row",IF(D4135="","",IF(H4135="credit","",IF(AE4135="free","re-planting",IF(AE4135="me","   not ELP, by",IF(AND(OR(PlanterYesMe="Yes",PlanterYesMe="Y"),G4135&gt;0),(VLOOKUP(A4135,'Discount Lookup'!J:K,2)*G4135*(1-PlanterDiscount)*(1+PlanterDifficultyPercentage)),IF(AE4135="ELP",(VLOOKUP(A4135,'Discount Lookup'!J:K,2)*G4135*(1-PlanterDiscount)*(1+PlanterDifficultyPercentage)),IF(AE4135="free","re-planting",IF(G4135=0,"",IF(PlanterYesMe="",IF(AE4135="me","   not ELP, by",IF(AE4135="",IF(G4135&gt;0,(VLOOKUP(A4135,'Discount Lookup'!J:K,2)*G4135*(1-PlanterDiscount)*(1+PlanterDifficultyPercentage)),""),"")),"   not ELP, by"))))))))))))))</f>
        <v/>
      </c>
      <c r="AD4135" s="712"/>
      <c r="AE4135" s="513" t="str">
        <f t="shared" si="3089"/>
        <v/>
      </c>
      <c r="AF4135" s="713" t="str">
        <f t="shared" si="3090"/>
        <v/>
      </c>
      <c r="AG4135" s="713"/>
      <c r="AH4135" s="713"/>
      <c r="AI4135" s="112">
        <f>IF(H4135="credit",0,IF(AE4135="free",0,IF(AE4135="me",0,IF(G4135&gt;0,(VLOOKUP(A4135,'Discount Lookup'!J:K,2)*G4135),0))))</f>
        <v>0</v>
      </c>
      <c r="AJ4135" s="107" t="str">
        <f t="shared" ca="1" si="3091"/>
        <v/>
      </c>
      <c r="AK4135" s="714" t="str">
        <f t="shared" si="3092"/>
        <v/>
      </c>
      <c r="AL4135" s="714"/>
      <c r="AM4135" s="114" t="str">
        <f t="shared" si="3093"/>
        <v/>
      </c>
      <c r="AN4135" s="115"/>
      <c r="AO4135" s="116"/>
      <c r="AP4135" s="116"/>
      <c r="AQ4135" s="116"/>
      <c r="AR4135" s="116"/>
      <c r="AS4135" s="116"/>
      <c r="AT4135" s="116"/>
      <c r="AU4135" s="116"/>
      <c r="AV4135" s="78"/>
      <c r="AW4135" s="102"/>
      <c r="AX4135" s="78"/>
      <c r="AY4135" s="78"/>
      <c r="AZ4135" s="78"/>
      <c r="BA4135" s="78"/>
      <c r="BB4135" s="78"/>
      <c r="BC4135" s="78"/>
      <c r="BD4135" s="78"/>
      <c r="BE4135" s="465"/>
      <c r="BF4135" s="165" t="str">
        <f t="shared" si="3094"/>
        <v>https://www.google.com/search?tbm=isch&amp;q=7%20G4</v>
      </c>
      <c r="BG4135" s="165" t="str">
        <f t="shared" si="3095"/>
        <v>T</v>
      </c>
      <c r="BH4135" s="65"/>
      <c r="BI4135" s="65"/>
      <c r="BJ4135" s="65"/>
      <c r="BK4135" s="65"/>
      <c r="BL4135" s="99"/>
      <c r="BM4135" s="99"/>
      <c r="BN4135" s="99"/>
    </row>
    <row r="4136" spans="1:66" s="51" customFormat="1" ht="15.75" x14ac:dyDescent="0.25">
      <c r="A4136" s="478">
        <v>15</v>
      </c>
      <c r="B4136" s="479" t="s">
        <v>291</v>
      </c>
      <c r="C4136" s="480" t="s">
        <v>1023</v>
      </c>
      <c r="D4136" s="481" t="s">
        <v>299</v>
      </c>
      <c r="E4136" s="482">
        <v>206.95</v>
      </c>
      <c r="F4136" s="483" t="s">
        <v>292</v>
      </c>
      <c r="G4136" s="484">
        <v>0</v>
      </c>
      <c r="H4136" s="688" t="str">
        <f>IF(G4136=0,"",IF(F4136="Buy",IF(G4136=1,"plant","plants"),IF(F4136&gt;0.01,"warranty","Error")))</f>
        <v/>
      </c>
      <c r="I4136" s="485">
        <f>IF(H4136="free",0,IF(H4136="credit",((E4136*(F4136))*G4136*-1),IF(F4136="Buy",(E4136*G4136),((E4136*(1-F4136))*G4136))))</f>
        <v>0</v>
      </c>
      <c r="J4136" s="485">
        <f>IF(H4136="warranty",0,(I4136*(_xlfn.SINGLE(SalesTaxPercentage))))</f>
        <v>0</v>
      </c>
      <c r="K4136" s="715">
        <f t="shared" ref="K4136" si="3106">I4136+J4136</f>
        <v>0</v>
      </c>
      <c r="L4136" s="715"/>
      <c r="M4136" s="689" t="str">
        <f ca="1">IF(AND(G4136&gt;0,E4136=0),"WARNING - no PRICE inserted",IF(H4136="free","FREE ~ no charge this plant",IF(H4136="credit",CONCATENATE("-$",ROUND(K4136*(1-_xlfn.SINGLE(T2GDiscount))*-1,2)," CREDIT after discount"),IF(_xlfn.SINGLE(T2GDiscount)=0,"",IF(G4136=0,"",IF(F4136="Buy",CONCATENATE("$",ROUND(K4136*(1-_xlfn.SINGLE(T2GDiscount)),2)," with ",(_xlfn.SINGLE(T2GDiscount)*100),"% discount"),CONCATENATE("$",ROUND(K4136*(1-_xlfn.SINGLE(T2GDiscount)),2)," with ",((_xlfn.SINGLE(T2GDiscount)*100+F4136*100)-(_xlfn.SINGLE(T2GDiscount)*100*F4136)),IF(F4136&gt;0,"% discounts",IF(_xlfn.SINGLE(NoWarrantyDiscount)&gt;0,"% discounts","% discount")))))))))</f>
        <v/>
      </c>
      <c r="N4136" s="690"/>
      <c r="O4136" s="486"/>
      <c r="P4136" s="486"/>
      <c r="Q4136" s="486"/>
      <c r="R4136" s="486"/>
      <c r="S4136" s="486"/>
      <c r="T4136" s="102">
        <f t="shared" si="3083"/>
        <v>0</v>
      </c>
      <c r="U4136" s="78">
        <f>IF(NOT(ISNUMBER(G4136)), "", VLOOKUP(A4136,'Discount Lookup'!D:E,2,FALSE)*G4136)</f>
        <v>0</v>
      </c>
      <c r="V4136" s="78">
        <f>IF(NOT(ISNUMBER(G4136)), "", VLOOKUP(A4136,'Discount Lookup'!G:H,2,FALSE)*G4136)</f>
        <v>0</v>
      </c>
      <c r="W4136" s="102">
        <f t="shared" si="3084"/>
        <v>0</v>
      </c>
      <c r="X4136" s="102">
        <f t="shared" si="3085"/>
        <v>0</v>
      </c>
      <c r="Y4136" s="120" t="b">
        <f t="shared" si="3086"/>
        <v>0</v>
      </c>
      <c r="Z4136" s="117">
        <f t="shared" si="3087"/>
        <v>0</v>
      </c>
      <c r="AA4136" s="118"/>
      <c r="AB4136" s="118" t="str">
        <f t="shared" si="3088"/>
        <v/>
      </c>
      <c r="AC4136" s="712" t="str">
        <f>IF(AE4136="T2G","no charge",IF(AND(OR(PlanterYesMe="No",PlanterYesMe="N",PlanterYesMe="me"),H4136=""),"",IF(H4136="credit","NO install",IF(AND(K4136="",AE4136="me"),"EACH row",IF(AND(K4136="images",AE4136="me"),"EACH row",IF(D4136="","",IF(H4136="credit","",IF(AE4136="free","re-planting",IF(AE4136="me","   not ELP, by",IF(AND(OR(PlanterYesMe="Yes",PlanterYesMe="Y"),G4136&gt;0),(VLOOKUP(A4136,'Discount Lookup'!J:K,2)*G4136*(1-PlanterDiscount)*(1+PlanterDifficultyPercentage)),IF(AE4136="ELP",(VLOOKUP(A4136,'Discount Lookup'!J:K,2)*G4136*(1-PlanterDiscount)*(1+PlanterDifficultyPercentage)),IF(AE4136="free","re-planting",IF(G4136=0,"",IF(PlanterYesMe="",IF(AE4136="me","   not ELP, by",IF(AE4136="",IF(G4136&gt;0,(VLOOKUP(A4136,'Discount Lookup'!J:K,2)*G4136*(1-PlanterDiscount)*(1+PlanterDifficultyPercentage)),""),"")),"   not ELP, by"))))))))))))))</f>
        <v/>
      </c>
      <c r="AD4136" s="712"/>
      <c r="AE4136" s="513" t="str">
        <f t="shared" si="3089"/>
        <v/>
      </c>
      <c r="AF4136" s="713" t="str">
        <f t="shared" si="3090"/>
        <v/>
      </c>
      <c r="AG4136" s="713"/>
      <c r="AH4136" s="713"/>
      <c r="AI4136" s="112">
        <f>IF(H4136="credit",0,IF(AE4136="free",0,IF(AE4136="me",0,IF(G4136&gt;0,(VLOOKUP(A4136,'Discount Lookup'!J:K,2)*G4136),0))))</f>
        <v>0</v>
      </c>
      <c r="AJ4136" s="107" t="str">
        <f t="shared" ca="1" si="3091"/>
        <v/>
      </c>
      <c r="AK4136" s="714" t="str">
        <f t="shared" si="3092"/>
        <v/>
      </c>
      <c r="AL4136" s="714"/>
      <c r="AM4136" s="114" t="str">
        <f t="shared" si="3093"/>
        <v/>
      </c>
      <c r="AN4136" s="115"/>
      <c r="AO4136" s="116"/>
      <c r="AP4136" s="116"/>
      <c r="AQ4136" s="116"/>
      <c r="AR4136" s="116"/>
      <c r="AS4136" s="116"/>
      <c r="AT4136" s="116"/>
      <c r="AU4136" s="116"/>
      <c r="AV4136" s="78"/>
      <c r="AW4136" s="102"/>
      <c r="AX4136" s="78"/>
      <c r="AY4136" s="78"/>
      <c r="AZ4136" s="78"/>
      <c r="BA4136" s="78"/>
      <c r="BB4136" s="78"/>
      <c r="BC4136" s="78"/>
      <c r="BD4136" s="78"/>
      <c r="BE4136" s="465"/>
      <c r="BF4136" s="165" t="str">
        <f t="shared" si="3094"/>
        <v>https://www.google.com/search?tbm=isch&amp;q=15%20G4</v>
      </c>
      <c r="BG4136" s="165" t="str">
        <f t="shared" si="3095"/>
        <v>T</v>
      </c>
      <c r="BH4136" s="65"/>
      <c r="BI4136" s="65"/>
      <c r="BJ4136" s="65"/>
      <c r="BK4136" s="65"/>
      <c r="BL4136" s="99"/>
      <c r="BM4136" s="99"/>
      <c r="BN4136" s="99"/>
    </row>
    <row r="4137" spans="1:66" s="51" customFormat="1" ht="16.5" thickBot="1" x14ac:dyDescent="0.3">
      <c r="A4137" s="508" t="s">
        <v>785</v>
      </c>
      <c r="B4137" s="487"/>
      <c r="C4137" s="707"/>
      <c r="D4137" s="487"/>
      <c r="E4137" s="487"/>
      <c r="F4137" s="488"/>
      <c r="G4137" s="489"/>
      <c r="H4137" s="487"/>
      <c r="I4137" s="490"/>
      <c r="J4137" s="490"/>
      <c r="K4137" s="491"/>
      <c r="L4137" s="547"/>
      <c r="M4137" s="528"/>
      <c r="N4137" s="492"/>
      <c r="O4137" s="493"/>
      <c r="P4137" s="494"/>
      <c r="Q4137" s="492"/>
      <c r="R4137" s="492"/>
      <c r="S4137" s="495"/>
      <c r="T4137" s="102">
        <f t="shared" si="3083"/>
        <v>0</v>
      </c>
      <c r="U4137" s="78" t="str">
        <f>IF(NOT(ISNUMBER(G4137)), "", VLOOKUP(A4137,'Discount Lookup'!D:E,2,FALSE)*G4137)</f>
        <v/>
      </c>
      <c r="V4137" s="78" t="str">
        <f>IF(NOT(ISNUMBER(G4137)), "", VLOOKUP(A4137,'Discount Lookup'!G:H,2,FALSE)*G4137)</f>
        <v/>
      </c>
      <c r="W4137" s="102">
        <f t="shared" si="3084"/>
        <v>0</v>
      </c>
      <c r="X4137" s="102">
        <f t="shared" si="3085"/>
        <v>0</v>
      </c>
      <c r="Y4137" s="120" t="b">
        <f t="shared" si="3086"/>
        <v>0</v>
      </c>
      <c r="Z4137" s="117">
        <f t="shared" si="3087"/>
        <v>0</v>
      </c>
      <c r="AA4137" s="118"/>
      <c r="AB4137" s="118" t="str">
        <f t="shared" si="3088"/>
        <v/>
      </c>
      <c r="AC4137" s="712" t="str">
        <f>IF(AE4137="T2G","no charge",IF(AND(OR(PlanterYesMe="No",PlanterYesMe="N",PlanterYesMe="me"),H4137=""),"",IF(H4137="credit","NO install",IF(AND(K4137="",AE4137="me"),"EACH row",IF(AND(K4137="images",AE4137="me"),"EACH row",IF(D4137="","",IF(H4137="credit","",IF(AE4137="free","re-planting",IF(AE4137="me","   not ELP, by",IF(AND(OR(PlanterYesMe="Yes",PlanterYesMe="Y"),G4137&gt;0),(VLOOKUP(A4137,'Discount Lookup'!J:K,2)*G4137*(1-PlanterDiscount)*(1+PlanterDifficultyPercentage)),IF(AE4137="ELP",(VLOOKUP(A4137,'Discount Lookup'!J:K,2)*G4137*(1-PlanterDiscount)*(1+PlanterDifficultyPercentage)),IF(AE4137="free","re-planting",IF(G4137=0,"",IF(PlanterYesMe="",IF(AE4137="me","   not ELP, by",IF(AE4137="",IF(G4137&gt;0,(VLOOKUP(A4137,'Discount Lookup'!J:K,2)*G4137*(1-PlanterDiscount)*(1+PlanterDifficultyPercentage)),""),"")),"   not ELP, by"))))))))))))))</f>
        <v/>
      </c>
      <c r="AD4137" s="712"/>
      <c r="AE4137" s="513" t="str">
        <f t="shared" si="3089"/>
        <v/>
      </c>
      <c r="AF4137" s="713" t="str">
        <f t="shared" si="3090"/>
        <v/>
      </c>
      <c r="AG4137" s="713"/>
      <c r="AH4137" s="713"/>
      <c r="AI4137" s="112">
        <f>IF(H4137="credit",0,IF(AE4137="free",0,IF(AE4137="me",0,IF(G4137&gt;0,(VLOOKUP(A4137,'Discount Lookup'!J:K,2)*G4137),0))))</f>
        <v>0</v>
      </c>
      <c r="AJ4137" s="107" t="str">
        <f t="shared" ca="1" si="3091"/>
        <v/>
      </c>
      <c r="AK4137" s="714" t="str">
        <f t="shared" si="3092"/>
        <v/>
      </c>
      <c r="AL4137" s="714"/>
      <c r="AM4137" s="114" t="str">
        <f t="shared" si="3093"/>
        <v/>
      </c>
      <c r="AN4137" s="115"/>
      <c r="AO4137" s="116"/>
      <c r="AP4137" s="116"/>
      <c r="AQ4137" s="116"/>
      <c r="AR4137" s="116"/>
      <c r="AS4137" s="116"/>
      <c r="AT4137" s="116"/>
      <c r="AU4137" s="116"/>
      <c r="AV4137" s="78"/>
      <c r="AW4137" s="102"/>
      <c r="AX4137" s="78"/>
      <c r="AY4137" s="78"/>
      <c r="AZ4137" s="78"/>
      <c r="BA4137" s="78"/>
      <c r="BB4137" s="78"/>
      <c r="BC4137" s="78"/>
      <c r="BD4137" s="78"/>
      <c r="BE4137" s="465"/>
      <c r="BF4137" s="165" t="str">
        <f t="shared" si="3094"/>
        <v>https://www.google.com/search?tbm=isch&amp;q=Yellow%20Ribbon%20foliage%20emerges%20Yellow-Orange%20in%20spring%2C%20than%20matures%20to%20Medium%20Green.%20Foliage%20has%20a%20mild%20cedar-like%20aroma%20when%20crushed%20</v>
      </c>
      <c r="BG4137" s="165" t="str">
        <f t="shared" si="3095"/>
        <v>Y</v>
      </c>
      <c r="BH4137" s="65"/>
      <c r="BI4137" s="65"/>
      <c r="BJ4137" s="65"/>
      <c r="BK4137" s="65"/>
      <c r="BL4137" s="99"/>
      <c r="BM4137" s="99"/>
      <c r="BN4137" s="99"/>
    </row>
    <row r="4138" spans="1:66" s="51" customFormat="1" ht="18" x14ac:dyDescent="0.25">
      <c r="A4138" s="507" t="s">
        <v>4375</v>
      </c>
      <c r="B4138" s="470"/>
      <c r="C4138" s="706"/>
      <c r="D4138" s="471" t="s">
        <v>4376</v>
      </c>
      <c r="E4138" s="472"/>
      <c r="F4138" s="472"/>
      <c r="G4138" s="472"/>
      <c r="H4138" s="622" t="s">
        <v>1498</v>
      </c>
      <c r="I4138" s="473" t="s">
        <v>443</v>
      </c>
      <c r="J4138" s="472"/>
      <c r="K4138" s="472"/>
      <c r="L4138" s="561"/>
      <c r="M4138" s="698" t="s">
        <v>5240</v>
      </c>
      <c r="N4138" s="692" t="str">
        <f>IF(AND(ISTEXT($A4138), ISERROR($A4138+0)), HYPERLINK($BF4138, "Images"), "")</f>
        <v>Images</v>
      </c>
      <c r="O4138" s="694" t="s">
        <v>5264</v>
      </c>
      <c r="P4138" s="475"/>
      <c r="Q4138" s="476"/>
      <c r="R4138" s="476"/>
      <c r="S4138" s="477"/>
      <c r="T4138" s="102">
        <f t="shared" si="3083"/>
        <v>0</v>
      </c>
      <c r="U4138" s="78" t="str">
        <f>IF(NOT(ISNUMBER(G4138)), "", VLOOKUP(A4138,'Discount Lookup'!D:E,2,FALSE)*G4138)</f>
        <v/>
      </c>
      <c r="V4138" s="78" t="str">
        <f>IF(NOT(ISNUMBER(G4138)), "", VLOOKUP(A4138,'Discount Lookup'!G:H,2,FALSE)*G4138)</f>
        <v/>
      </c>
      <c r="W4138" s="102">
        <f t="shared" si="3084"/>
        <v>0</v>
      </c>
      <c r="X4138" s="102" t="str">
        <f t="shared" si="3085"/>
        <v>Golden-Yellow foliage</v>
      </c>
      <c r="Y4138" s="120" t="b">
        <f t="shared" si="3086"/>
        <v>0</v>
      </c>
      <c r="Z4138" s="117">
        <f t="shared" si="3087"/>
        <v>0</v>
      </c>
      <c r="AA4138" s="118"/>
      <c r="AB4138" s="118" t="str">
        <f t="shared" si="3088"/>
        <v/>
      </c>
      <c r="AC4138" s="712" t="str">
        <f>IF(AE4138="T2G","no charge",IF(AND(OR(PlanterYesMe="No",PlanterYesMe="N",PlanterYesMe="me"),H4138=""),"",IF(H4138="credit","NO install",IF(AND(K4138="",AE4138="me"),"EACH row",IF(AND(K4138="images",AE4138="me"),"EACH row",IF(D4138="","",IF(H4138="credit","",IF(AE4138="free","re-planting",IF(AE4138="me","   not ELP, by",IF(AND(OR(PlanterYesMe="Yes",PlanterYesMe="Y"),G4138&gt;0),(VLOOKUP(A4138,'Discount Lookup'!J:K,2)*G4138*(1-PlanterDiscount)*(1+PlanterDifficultyPercentage)),IF(AE4138="ELP",(VLOOKUP(A4138,'Discount Lookup'!J:K,2)*G4138*(1-PlanterDiscount)*(1+PlanterDifficultyPercentage)),IF(AE4138="free","re-planting",IF(G4138=0,"",IF(PlanterYesMe="",IF(AE4138="me","   not ELP, by",IF(AE4138="",IF(G4138&gt;0,(VLOOKUP(A4138,'Discount Lookup'!J:K,2)*G4138*(1-PlanterDiscount)*(1+PlanterDifficultyPercentage)),""),"")),"   not ELP, by"))))))))))))))</f>
        <v/>
      </c>
      <c r="AD4138" s="712"/>
      <c r="AE4138" s="513" t="str">
        <f t="shared" si="3089"/>
        <v/>
      </c>
      <c r="AF4138" s="713" t="str">
        <f t="shared" si="3090"/>
        <v/>
      </c>
      <c r="AG4138" s="713"/>
      <c r="AH4138" s="713"/>
      <c r="AI4138" s="112">
        <f>IF(H4138="credit",0,IF(AE4138="free",0,IF(AE4138="me",0,IF(G4138&gt;0,(VLOOKUP(A4138,'Discount Lookup'!J:K,2)*G4138),0))))</f>
        <v>0</v>
      </c>
      <c r="AJ4138" s="107" t="str">
        <f t="shared" ca="1" si="3091"/>
        <v/>
      </c>
      <c r="AK4138" s="714" t="str">
        <f t="shared" si="3092"/>
        <v/>
      </c>
      <c r="AL4138" s="714"/>
      <c r="AM4138" s="114" t="str">
        <f t="shared" si="3093"/>
        <v/>
      </c>
      <c r="AN4138" s="115"/>
      <c r="AO4138" s="116"/>
      <c r="AP4138" s="116"/>
      <c r="AQ4138" s="116"/>
      <c r="AR4138" s="116"/>
      <c r="AS4138" s="116"/>
      <c r="AT4138" s="116"/>
      <c r="AU4138" s="116"/>
      <c r="AV4138" s="78"/>
      <c r="AW4138" s="102"/>
      <c r="AX4138" s="78"/>
      <c r="AY4138" s="78"/>
      <c r="AZ4138" s="78"/>
      <c r="BA4138" s="78"/>
      <c r="BB4138" s="78"/>
      <c r="BC4138" s="78"/>
      <c r="BD4138" s="78"/>
      <c r="BE4138" s="465"/>
      <c r="BF4138" s="165" t="str">
        <f t="shared" si="3094"/>
        <v>https://www.google.com/search?tbm=isch&amp;q=Thuja%20orientalis%20%27Franky%20Boy%27%20Franky%20Boy%20Chinese%20Arborvitae</v>
      </c>
      <c r="BG4138" s="165" t="str">
        <f t="shared" si="3095"/>
        <v>T</v>
      </c>
      <c r="BH4138" s="65"/>
      <c r="BI4138" s="65"/>
      <c r="BJ4138" s="65"/>
      <c r="BK4138" s="65"/>
      <c r="BL4138" s="99"/>
      <c r="BM4138" s="99"/>
      <c r="BN4138" s="99"/>
    </row>
    <row r="4139" spans="1:66" s="51" customFormat="1" ht="15.75" x14ac:dyDescent="0.25">
      <c r="A4139" s="478">
        <v>3</v>
      </c>
      <c r="B4139" s="479" t="s">
        <v>291</v>
      </c>
      <c r="C4139" s="480" t="s">
        <v>4377</v>
      </c>
      <c r="D4139" s="481" t="s">
        <v>299</v>
      </c>
      <c r="E4139" s="482">
        <v>58.95</v>
      </c>
      <c r="F4139" s="483" t="s">
        <v>292</v>
      </c>
      <c r="G4139" s="484">
        <v>0</v>
      </c>
      <c r="H4139" s="688" t="str">
        <f>IF(G4139=0,"",IF(F4139="Buy",IF(G4139=1,"plant","plants"),IF(F4139&gt;0.01,"warranty","Error")))</f>
        <v/>
      </c>
      <c r="I4139" s="485">
        <f>IF(H4139="free",0,IF(H4139="credit",((E4139*(F4139))*G4139*-1),IF(F4139="Buy",(E4139*G4139),((E4139*(1-F4139))*G4139))))</f>
        <v>0</v>
      </c>
      <c r="J4139" s="485">
        <f>IF(H4139="warranty",0,(I4139*(_xlfn.SINGLE(SalesTaxPercentage))))</f>
        <v>0</v>
      </c>
      <c r="K4139" s="715">
        <f t="shared" ref="K4139" si="3107">I4139+J4139</f>
        <v>0</v>
      </c>
      <c r="L4139" s="715"/>
      <c r="M4139" s="689" t="str">
        <f ca="1">IF(AND(G4139&gt;0,E4139=0),"WARNING - no PRICE inserted",IF(H4139="free","FREE ~ no charge this plant",IF(H4139="credit",CONCATENATE("-$",ROUND(K4139*(1-_xlfn.SINGLE(T2GDiscount))*-1,2)," CREDIT after discount"),IF(_xlfn.SINGLE(T2GDiscount)=0,"",IF(G4139=0,"",IF(F4139="Buy",CONCATENATE("$",ROUND(K4139*(1-_xlfn.SINGLE(T2GDiscount)),2)," with ",(_xlfn.SINGLE(T2GDiscount)*100),"% discount"),CONCATENATE("$",ROUND(K4139*(1-_xlfn.SINGLE(T2GDiscount)),2)," with ",((_xlfn.SINGLE(T2GDiscount)*100+F4139*100)-(_xlfn.SINGLE(T2GDiscount)*100*F4139)),IF(F4139&gt;0,"% discounts",IF(_xlfn.SINGLE(NoWarrantyDiscount)&gt;0,"% discounts","% discount")))))))))</f>
        <v/>
      </c>
      <c r="N4139" s="690"/>
      <c r="O4139" s="486"/>
      <c r="P4139" s="486"/>
      <c r="Q4139" s="486"/>
      <c r="R4139" s="486"/>
      <c r="S4139" s="486"/>
      <c r="T4139" s="102">
        <f t="shared" si="3083"/>
        <v>0</v>
      </c>
      <c r="U4139" s="78">
        <f>IF(NOT(ISNUMBER(G4139)), "", VLOOKUP(A4139,'Discount Lookup'!D:E,2,FALSE)*G4139)</f>
        <v>0</v>
      </c>
      <c r="V4139" s="78">
        <f>IF(NOT(ISNUMBER(G4139)), "", VLOOKUP(A4139,'Discount Lookup'!G:H,2,FALSE)*G4139)</f>
        <v>0</v>
      </c>
      <c r="W4139" s="102">
        <f t="shared" si="3084"/>
        <v>0</v>
      </c>
      <c r="X4139" s="102">
        <f t="shared" si="3085"/>
        <v>0</v>
      </c>
      <c r="Y4139" s="120" t="b">
        <f t="shared" si="3086"/>
        <v>0</v>
      </c>
      <c r="Z4139" s="117">
        <f t="shared" si="3087"/>
        <v>0</v>
      </c>
      <c r="AA4139" s="118"/>
      <c r="AB4139" s="118" t="str">
        <f t="shared" si="3088"/>
        <v/>
      </c>
      <c r="AC4139" s="712" t="str">
        <f>IF(AE4139="T2G","no charge",IF(AND(OR(PlanterYesMe="No",PlanterYesMe="N",PlanterYesMe="me"),H4139=""),"",IF(H4139="credit","NO install",IF(AND(K4139="",AE4139="me"),"EACH row",IF(AND(K4139="images",AE4139="me"),"EACH row",IF(D4139="","",IF(H4139="credit","",IF(AE4139="free","re-planting",IF(AE4139="me","   not ELP, by",IF(AND(OR(PlanterYesMe="Yes",PlanterYesMe="Y"),G4139&gt;0),(VLOOKUP(A4139,'Discount Lookup'!J:K,2)*G4139*(1-PlanterDiscount)*(1+PlanterDifficultyPercentage)),IF(AE4139="ELP",(VLOOKUP(A4139,'Discount Lookup'!J:K,2)*G4139*(1-PlanterDiscount)*(1+PlanterDifficultyPercentage)),IF(AE4139="free","re-planting",IF(G4139=0,"",IF(PlanterYesMe="",IF(AE4139="me","   not ELP, by",IF(AE4139="",IF(G4139&gt;0,(VLOOKUP(A4139,'Discount Lookup'!J:K,2)*G4139*(1-PlanterDiscount)*(1+PlanterDifficultyPercentage)),""),"")),"   not ELP, by"))))))))))))))</f>
        <v/>
      </c>
      <c r="AD4139" s="712"/>
      <c r="AE4139" s="513" t="str">
        <f t="shared" si="3089"/>
        <v/>
      </c>
      <c r="AF4139" s="713" t="str">
        <f t="shared" si="3090"/>
        <v/>
      </c>
      <c r="AG4139" s="713"/>
      <c r="AH4139" s="713"/>
      <c r="AI4139" s="112">
        <f>IF(H4139="credit",0,IF(AE4139="free",0,IF(AE4139="me",0,IF(G4139&gt;0,(VLOOKUP(A4139,'Discount Lookup'!J:K,2)*G4139),0))))</f>
        <v>0</v>
      </c>
      <c r="AJ4139" s="107" t="str">
        <f t="shared" ca="1" si="3091"/>
        <v/>
      </c>
      <c r="AK4139" s="714" t="str">
        <f t="shared" si="3092"/>
        <v/>
      </c>
      <c r="AL4139" s="714"/>
      <c r="AM4139" s="114" t="str">
        <f t="shared" si="3093"/>
        <v/>
      </c>
      <c r="AN4139" s="115"/>
      <c r="AO4139" s="116"/>
      <c r="AP4139" s="116"/>
      <c r="AQ4139" s="116"/>
      <c r="AR4139" s="116"/>
      <c r="AS4139" s="116"/>
      <c r="AT4139" s="116"/>
      <c r="AU4139" s="116"/>
      <c r="AV4139" s="78"/>
      <c r="AW4139" s="102"/>
      <c r="AX4139" s="78"/>
      <c r="AY4139" s="78"/>
      <c r="AZ4139" s="78"/>
      <c r="BA4139" s="78"/>
      <c r="BB4139" s="78"/>
      <c r="BC4139" s="78"/>
      <c r="BD4139" s="78"/>
      <c r="BE4139" s="465"/>
      <c r="BF4139" s="165" t="str">
        <f t="shared" si="3094"/>
        <v>https://www.google.com/search?tbm=isch&amp;q=3%20G4</v>
      </c>
      <c r="BG4139" s="165" t="str">
        <f t="shared" si="3095"/>
        <v>T</v>
      </c>
      <c r="BH4139" s="65"/>
      <c r="BI4139" s="65"/>
      <c r="BJ4139" s="65"/>
      <c r="BK4139" s="65"/>
      <c r="BL4139" s="99"/>
      <c r="BM4139" s="99"/>
      <c r="BN4139" s="99"/>
    </row>
    <row r="4140" spans="1:66" s="51" customFormat="1" ht="15.75" x14ac:dyDescent="0.25">
      <c r="A4140" s="478">
        <v>7</v>
      </c>
      <c r="B4140" s="479" t="s">
        <v>291</v>
      </c>
      <c r="C4140" s="480" t="s">
        <v>4378</v>
      </c>
      <c r="D4140" s="481" t="s">
        <v>299</v>
      </c>
      <c r="E4140" s="482">
        <v>160.94999999999999</v>
      </c>
      <c r="F4140" s="483" t="s">
        <v>292</v>
      </c>
      <c r="G4140" s="484">
        <v>0</v>
      </c>
      <c r="H4140" s="688" t="str">
        <f>IF(G4140=0,"",IF(F4140="Buy",IF(G4140=1,"plant","plants"),IF(F4140&gt;0.01,"warranty","Error")))</f>
        <v/>
      </c>
      <c r="I4140" s="485">
        <f>IF(H4140="free",0,IF(H4140="credit",((E4140*(F4140))*G4140*-1),IF(F4140="Buy",(E4140*G4140),((E4140*(1-F4140))*G4140))))</f>
        <v>0</v>
      </c>
      <c r="J4140" s="485">
        <f>IF(H4140="warranty",0,(I4140*(_xlfn.SINGLE(SalesTaxPercentage))))</f>
        <v>0</v>
      </c>
      <c r="K4140" s="715">
        <f t="shared" ref="K4140" si="3108">I4140+J4140</f>
        <v>0</v>
      </c>
      <c r="L4140" s="715"/>
      <c r="M4140" s="689" t="str">
        <f ca="1">IF(AND(G4140&gt;0,E4140=0),"WARNING - no PRICE inserted",IF(H4140="free","FREE ~ no charge this plant",IF(H4140="credit",CONCATENATE("-$",ROUND(K4140*(1-_xlfn.SINGLE(T2GDiscount))*-1,2)," CREDIT after discount"),IF(_xlfn.SINGLE(T2GDiscount)=0,"",IF(G4140=0,"",IF(F4140="Buy",CONCATENATE("$",ROUND(K4140*(1-_xlfn.SINGLE(T2GDiscount)),2)," with ",(_xlfn.SINGLE(T2GDiscount)*100),"% discount"),CONCATENATE("$",ROUND(K4140*(1-_xlfn.SINGLE(T2GDiscount)),2)," with ",((_xlfn.SINGLE(T2GDiscount)*100+F4140*100)-(_xlfn.SINGLE(T2GDiscount)*100*F4140)),IF(F4140&gt;0,"% discounts",IF(_xlfn.SINGLE(NoWarrantyDiscount)&gt;0,"% discounts","% discount")))))))))</f>
        <v/>
      </c>
      <c r="N4140" s="690"/>
      <c r="O4140" s="486"/>
      <c r="P4140" s="486"/>
      <c r="Q4140" s="486"/>
      <c r="R4140" s="486"/>
      <c r="S4140" s="486"/>
      <c r="T4140" s="102">
        <f t="shared" si="3083"/>
        <v>0</v>
      </c>
      <c r="U4140" s="78">
        <f>IF(NOT(ISNUMBER(G4140)), "", VLOOKUP(A4140,'Discount Lookup'!D:E,2,FALSE)*G4140)</f>
        <v>0</v>
      </c>
      <c r="V4140" s="78">
        <f>IF(NOT(ISNUMBER(G4140)), "", VLOOKUP(A4140,'Discount Lookup'!G:H,2,FALSE)*G4140)</f>
        <v>0</v>
      </c>
      <c r="W4140" s="102">
        <f t="shared" si="3084"/>
        <v>0</v>
      </c>
      <c r="X4140" s="102">
        <f t="shared" si="3085"/>
        <v>0</v>
      </c>
      <c r="Y4140" s="120" t="b">
        <f t="shared" si="3086"/>
        <v>0</v>
      </c>
      <c r="Z4140" s="117">
        <f t="shared" si="3087"/>
        <v>0</v>
      </c>
      <c r="AA4140" s="118"/>
      <c r="AB4140" s="118" t="str">
        <f t="shared" si="3088"/>
        <v/>
      </c>
      <c r="AC4140" s="712" t="str">
        <f>IF(AE4140="T2G","no charge",IF(AND(OR(PlanterYesMe="No",PlanterYesMe="N",PlanterYesMe="me"),H4140=""),"",IF(H4140="credit","NO install",IF(AND(K4140="",AE4140="me"),"EACH row",IF(AND(K4140="images",AE4140="me"),"EACH row",IF(D4140="","",IF(H4140="credit","",IF(AE4140="free","re-planting",IF(AE4140="me","   not ELP, by",IF(AND(OR(PlanterYesMe="Yes",PlanterYesMe="Y"),G4140&gt;0),(VLOOKUP(A4140,'Discount Lookup'!J:K,2)*G4140*(1-PlanterDiscount)*(1+PlanterDifficultyPercentage)),IF(AE4140="ELP",(VLOOKUP(A4140,'Discount Lookup'!J:K,2)*G4140*(1-PlanterDiscount)*(1+PlanterDifficultyPercentage)),IF(AE4140="free","re-planting",IF(G4140=0,"",IF(PlanterYesMe="",IF(AE4140="me","   not ELP, by",IF(AE4140="",IF(G4140&gt;0,(VLOOKUP(A4140,'Discount Lookup'!J:K,2)*G4140*(1-PlanterDiscount)*(1+PlanterDifficultyPercentage)),""),"")),"   not ELP, by"))))))))))))))</f>
        <v/>
      </c>
      <c r="AD4140" s="712"/>
      <c r="AE4140" s="513" t="str">
        <f t="shared" si="3089"/>
        <v/>
      </c>
      <c r="AF4140" s="713" t="str">
        <f t="shared" si="3090"/>
        <v/>
      </c>
      <c r="AG4140" s="713"/>
      <c r="AH4140" s="713"/>
      <c r="AI4140" s="112">
        <f>IF(H4140="credit",0,IF(AE4140="free",0,IF(AE4140="me",0,IF(G4140&gt;0,(VLOOKUP(A4140,'Discount Lookup'!J:K,2)*G4140),0))))</f>
        <v>0</v>
      </c>
      <c r="AJ4140" s="107" t="str">
        <f t="shared" ca="1" si="3091"/>
        <v/>
      </c>
      <c r="AK4140" s="714" t="str">
        <f t="shared" si="3092"/>
        <v/>
      </c>
      <c r="AL4140" s="714"/>
      <c r="AM4140" s="114" t="str">
        <f t="shared" si="3093"/>
        <v/>
      </c>
      <c r="AN4140" s="115"/>
      <c r="AO4140" s="116"/>
      <c r="AP4140" s="116"/>
      <c r="AQ4140" s="116"/>
      <c r="AR4140" s="116"/>
      <c r="AS4140" s="116"/>
      <c r="AT4140" s="116"/>
      <c r="AU4140" s="116"/>
      <c r="AV4140" s="78"/>
      <c r="AW4140" s="102"/>
      <c r="AX4140" s="78"/>
      <c r="AY4140" s="78"/>
      <c r="AZ4140" s="78"/>
      <c r="BA4140" s="78"/>
      <c r="BB4140" s="78"/>
      <c r="BC4140" s="78"/>
      <c r="BD4140" s="78"/>
      <c r="BE4140" s="465"/>
      <c r="BF4140" s="165" t="str">
        <f t="shared" si="3094"/>
        <v>https://www.google.com/search?tbm=isch&amp;q=7%20G4</v>
      </c>
      <c r="BG4140" s="165" t="str">
        <f t="shared" si="3095"/>
        <v>T</v>
      </c>
      <c r="BH4140" s="65"/>
      <c r="BI4140" s="65"/>
      <c r="BJ4140" s="65"/>
      <c r="BK4140" s="65"/>
      <c r="BL4140" s="99"/>
      <c r="BM4140" s="99"/>
      <c r="BN4140" s="99"/>
    </row>
    <row r="4141" spans="1:66" s="51" customFormat="1" ht="27" x14ac:dyDescent="0.25">
      <c r="A4141" s="478">
        <v>7</v>
      </c>
      <c r="B4141" s="479" t="s">
        <v>291</v>
      </c>
      <c r="C4141" s="480" t="s">
        <v>4379</v>
      </c>
      <c r="D4141" s="481" t="s">
        <v>299</v>
      </c>
      <c r="E4141" s="482">
        <v>263.95</v>
      </c>
      <c r="F4141" s="483" t="s">
        <v>292</v>
      </c>
      <c r="G4141" s="484">
        <v>0</v>
      </c>
      <c r="H4141" s="688" t="str">
        <f>IF(G4141=0,"",IF(F4141="Buy",IF(G4141=1,"plant","plants"),IF(F4141&gt;0.01,"warranty","Error")))</f>
        <v/>
      </c>
      <c r="I4141" s="485">
        <f>IF(H4141="free",0,IF(H4141="credit",((E4141*(F4141))*G4141*-1),IF(F4141="Buy",(E4141*G4141),((E4141*(1-F4141))*G4141))))</f>
        <v>0</v>
      </c>
      <c r="J4141" s="485">
        <f>IF(H4141="warranty",0,(I4141*(_xlfn.SINGLE(SalesTaxPercentage))))</f>
        <v>0</v>
      </c>
      <c r="K4141" s="715">
        <f t="shared" ref="K4141" si="3109">I4141+J4141</f>
        <v>0</v>
      </c>
      <c r="L4141" s="715"/>
      <c r="M4141" s="689" t="str">
        <f ca="1">IF(AND(G4141&gt;0,E4141=0),"WARNING - no PRICE inserted",IF(H4141="free","FREE ~ no charge this plant",IF(H4141="credit",CONCATENATE("-$",ROUND(K4141*(1-_xlfn.SINGLE(T2GDiscount))*-1,2)," CREDIT after discount"),IF(_xlfn.SINGLE(T2GDiscount)=0,"",IF(G4141=0,"",IF(F4141="Buy",CONCATENATE("$",ROUND(K4141*(1-_xlfn.SINGLE(T2GDiscount)),2)," with ",(_xlfn.SINGLE(T2GDiscount)*100),"% discount"),CONCATENATE("$",ROUND(K4141*(1-_xlfn.SINGLE(T2GDiscount)),2)," with ",((_xlfn.SINGLE(T2GDiscount)*100+F4141*100)-(_xlfn.SINGLE(T2GDiscount)*100*F4141)),IF(F4141&gt;0,"% discounts",IF(_xlfn.SINGLE(NoWarrantyDiscount)&gt;0,"% discounts","% discount")))))))))</f>
        <v/>
      </c>
      <c r="N4141" s="690"/>
      <c r="O4141" s="486"/>
      <c r="P4141" s="486"/>
      <c r="Q4141" s="486"/>
      <c r="R4141" s="486"/>
      <c r="S4141" s="486"/>
      <c r="T4141" s="102">
        <f t="shared" si="3083"/>
        <v>0</v>
      </c>
      <c r="U4141" s="78">
        <f>IF(NOT(ISNUMBER(G4141)), "", VLOOKUP(A4141,'Discount Lookup'!D:E,2,FALSE)*G4141)</f>
        <v>0</v>
      </c>
      <c r="V4141" s="78">
        <f>IF(NOT(ISNUMBER(G4141)), "", VLOOKUP(A4141,'Discount Lookup'!G:H,2,FALSE)*G4141)</f>
        <v>0</v>
      </c>
      <c r="W4141" s="102">
        <f t="shared" si="3084"/>
        <v>0</v>
      </c>
      <c r="X4141" s="102">
        <f t="shared" si="3085"/>
        <v>0</v>
      </c>
      <c r="Y4141" s="120" t="b">
        <f t="shared" si="3086"/>
        <v>0</v>
      </c>
      <c r="Z4141" s="117">
        <f t="shared" si="3087"/>
        <v>0</v>
      </c>
      <c r="AA4141" s="118"/>
      <c r="AB4141" s="118" t="str">
        <f t="shared" si="3088"/>
        <v/>
      </c>
      <c r="AC4141" s="712" t="str">
        <f>IF(AE4141="T2G","no charge",IF(AND(OR(PlanterYesMe="No",PlanterYesMe="N",PlanterYesMe="me"),H4141=""),"",IF(H4141="credit","NO install",IF(AND(K4141="",AE4141="me"),"EACH row",IF(AND(K4141="images",AE4141="me"),"EACH row",IF(D4141="","",IF(H4141="credit","",IF(AE4141="free","re-planting",IF(AE4141="me","   not ELP, by",IF(AND(OR(PlanterYesMe="Yes",PlanterYesMe="Y"),G4141&gt;0),(VLOOKUP(A4141,'Discount Lookup'!J:K,2)*G4141*(1-PlanterDiscount)*(1+PlanterDifficultyPercentage)),IF(AE4141="ELP",(VLOOKUP(A4141,'Discount Lookup'!J:K,2)*G4141*(1-PlanterDiscount)*(1+PlanterDifficultyPercentage)),IF(AE4141="free","re-planting",IF(G4141=0,"",IF(PlanterYesMe="",IF(AE4141="me","   not ELP, by",IF(AE4141="",IF(G4141&gt;0,(VLOOKUP(A4141,'Discount Lookup'!J:K,2)*G4141*(1-PlanterDiscount)*(1+PlanterDifficultyPercentage)),""),"")),"   not ELP, by"))))))))))))))</f>
        <v/>
      </c>
      <c r="AD4141" s="712"/>
      <c r="AE4141" s="513" t="str">
        <f t="shared" si="3089"/>
        <v/>
      </c>
      <c r="AF4141" s="713" t="str">
        <f t="shared" si="3090"/>
        <v/>
      </c>
      <c r="AG4141" s="713"/>
      <c r="AH4141" s="713"/>
      <c r="AI4141" s="112">
        <f>IF(H4141="credit",0,IF(AE4141="free",0,IF(AE4141="me",0,IF(G4141&gt;0,(VLOOKUP(A4141,'Discount Lookup'!J:K,2)*G4141),0))))</f>
        <v>0</v>
      </c>
      <c r="AJ4141" s="107" t="str">
        <f t="shared" ca="1" si="3091"/>
        <v/>
      </c>
      <c r="AK4141" s="714" t="str">
        <f t="shared" si="3092"/>
        <v/>
      </c>
      <c r="AL4141" s="714"/>
      <c r="AM4141" s="114" t="str">
        <f t="shared" si="3093"/>
        <v/>
      </c>
      <c r="AN4141" s="115"/>
      <c r="AO4141" s="116"/>
      <c r="AP4141" s="116"/>
      <c r="AQ4141" s="116"/>
      <c r="AR4141" s="116"/>
      <c r="AS4141" s="116"/>
      <c r="AT4141" s="116"/>
      <c r="AU4141" s="116"/>
      <c r="AV4141" s="78"/>
      <c r="AW4141" s="102"/>
      <c r="AX4141" s="78"/>
      <c r="AY4141" s="78"/>
      <c r="AZ4141" s="78"/>
      <c r="BA4141" s="78"/>
      <c r="BB4141" s="78"/>
      <c r="BC4141" s="78"/>
      <c r="BD4141" s="78"/>
      <c r="BE4141" s="465"/>
      <c r="BF4141" s="165" t="str">
        <f t="shared" si="3094"/>
        <v>https://www.google.com/search?tbm=isch&amp;q=7%20G4</v>
      </c>
      <c r="BG4141" s="165" t="str">
        <f t="shared" si="3095"/>
        <v>T</v>
      </c>
      <c r="BH4141" s="65"/>
      <c r="BI4141" s="65"/>
      <c r="BJ4141" s="65"/>
      <c r="BK4141" s="65"/>
      <c r="BL4141" s="99"/>
      <c r="BM4141" s="99"/>
      <c r="BN4141" s="99"/>
    </row>
    <row r="4142" spans="1:66" s="51" customFormat="1" ht="17.25" thickBot="1" x14ac:dyDescent="0.3">
      <c r="A4142" s="508" t="s">
        <v>4380</v>
      </c>
      <c r="B4142" s="487"/>
      <c r="C4142" s="707"/>
      <c r="D4142" s="487"/>
      <c r="E4142" s="487"/>
      <c r="F4142" s="488"/>
      <c r="G4142" s="489"/>
      <c r="H4142" s="487"/>
      <c r="I4142" s="490"/>
      <c r="J4142" s="490"/>
      <c r="K4142" s="491"/>
      <c r="L4142" s="547"/>
      <c r="M4142" s="528"/>
      <c r="N4142" s="492"/>
      <c r="O4142" s="493"/>
      <c r="P4142" s="494"/>
      <c r="Q4142" s="492"/>
      <c r="R4142" s="492"/>
      <c r="S4142" s="699" t="s">
        <v>5268</v>
      </c>
      <c r="T4142" s="102">
        <f t="shared" si="3083"/>
        <v>0</v>
      </c>
      <c r="U4142" s="78" t="str">
        <f>IF(NOT(ISNUMBER(G4142)), "", VLOOKUP(A4142,'Discount Lookup'!D:E,2,FALSE)*G4142)</f>
        <v/>
      </c>
      <c r="V4142" s="78" t="str">
        <f>IF(NOT(ISNUMBER(G4142)), "", VLOOKUP(A4142,'Discount Lookup'!G:H,2,FALSE)*G4142)</f>
        <v/>
      </c>
      <c r="W4142" s="102">
        <f t="shared" si="3084"/>
        <v>0</v>
      </c>
      <c r="X4142" s="102">
        <f t="shared" si="3085"/>
        <v>0</v>
      </c>
      <c r="Y4142" s="120" t="b">
        <f t="shared" si="3086"/>
        <v>0</v>
      </c>
      <c r="Z4142" s="117">
        <f t="shared" si="3087"/>
        <v>0</v>
      </c>
      <c r="AA4142" s="118"/>
      <c r="AB4142" s="118" t="str">
        <f t="shared" si="3088"/>
        <v/>
      </c>
      <c r="AC4142" s="712" t="str">
        <f>IF(AE4142="T2G","no charge",IF(AND(OR(PlanterYesMe="No",PlanterYesMe="N",PlanterYesMe="me"),H4142=""),"",IF(H4142="credit","NO install",IF(AND(K4142="",AE4142="me"),"EACH row",IF(AND(K4142="images",AE4142="me"),"EACH row",IF(D4142="","",IF(H4142="credit","",IF(AE4142="free","re-planting",IF(AE4142="me","   not ELP, by",IF(AND(OR(PlanterYesMe="Yes",PlanterYesMe="Y"),G4142&gt;0),(VLOOKUP(A4142,'Discount Lookup'!J:K,2)*G4142*(1-PlanterDiscount)*(1+PlanterDifficultyPercentage)),IF(AE4142="ELP",(VLOOKUP(A4142,'Discount Lookup'!J:K,2)*G4142*(1-PlanterDiscount)*(1+PlanterDifficultyPercentage)),IF(AE4142="free","re-planting",IF(G4142=0,"",IF(PlanterYesMe="",IF(AE4142="me","   not ELP, by",IF(AE4142="",IF(G4142&gt;0,(VLOOKUP(A4142,'Discount Lookup'!J:K,2)*G4142*(1-PlanterDiscount)*(1+PlanterDifficultyPercentage)),""),"")),"   not ELP, by"))))))))))))))</f>
        <v/>
      </c>
      <c r="AD4142" s="712"/>
      <c r="AE4142" s="513" t="str">
        <f t="shared" si="3089"/>
        <v/>
      </c>
      <c r="AF4142" s="713" t="str">
        <f t="shared" si="3090"/>
        <v/>
      </c>
      <c r="AG4142" s="713"/>
      <c r="AH4142" s="713"/>
      <c r="AI4142" s="112">
        <f>IF(H4142="credit",0,IF(AE4142="free",0,IF(AE4142="me",0,IF(G4142&gt;0,(VLOOKUP(A4142,'Discount Lookup'!J:K,2)*G4142),0))))</f>
        <v>0</v>
      </c>
      <c r="AJ4142" s="107" t="str">
        <f t="shared" ca="1" si="3091"/>
        <v/>
      </c>
      <c r="AK4142" s="714" t="str">
        <f t="shared" si="3092"/>
        <v/>
      </c>
      <c r="AL4142" s="714"/>
      <c r="AM4142" s="114" t="str">
        <f t="shared" si="3093"/>
        <v/>
      </c>
      <c r="AN4142" s="115"/>
      <c r="AO4142" s="116"/>
      <c r="AP4142" s="116"/>
      <c r="AQ4142" s="116"/>
      <c r="AR4142" s="116"/>
      <c r="AS4142" s="116"/>
      <c r="AT4142" s="116"/>
      <c r="AU4142" s="116"/>
      <c r="AV4142" s="78"/>
      <c r="AW4142" s="102"/>
      <c r="AX4142" s="78"/>
      <c r="AY4142" s="78"/>
      <c r="AZ4142" s="78"/>
      <c r="BA4142" s="78"/>
      <c r="BB4142" s="78"/>
      <c r="BC4142" s="78"/>
      <c r="BD4142" s="78"/>
      <c r="BE4142" s="465"/>
      <c r="BF4142" s="165" t="str">
        <f t="shared" si="3094"/>
        <v>https://www.google.com/search?tbm=isch&amp;q=Franky%20Boy%20has%20grass-like%20foliage%20and%20pendulous%20texture%20for%20a%20unique%20ornamental%20presence.%20Warm%20Bronze%20in%20winter%20</v>
      </c>
      <c r="BG4142" s="165" t="str">
        <f t="shared" si="3095"/>
        <v>F</v>
      </c>
      <c r="BH4142" s="65"/>
      <c r="BI4142" s="65"/>
      <c r="BJ4142" s="65"/>
      <c r="BK4142" s="65"/>
      <c r="BL4142" s="99"/>
      <c r="BM4142" s="99"/>
      <c r="BN4142" s="99"/>
    </row>
    <row r="4143" spans="1:66" s="51" customFormat="1" ht="18" x14ac:dyDescent="0.25">
      <c r="A4143" s="507" t="s">
        <v>786</v>
      </c>
      <c r="B4143" s="470"/>
      <c r="C4143" s="706"/>
      <c r="D4143" s="471" t="s">
        <v>5843</v>
      </c>
      <c r="E4143" s="472"/>
      <c r="F4143" s="472"/>
      <c r="G4143" s="472"/>
      <c r="H4143" s="622" t="s">
        <v>787</v>
      </c>
      <c r="I4143" s="473" t="s">
        <v>443</v>
      </c>
      <c r="J4143" s="472"/>
      <c r="K4143" s="472"/>
      <c r="L4143" s="561"/>
      <c r="M4143" s="698" t="s">
        <v>5240</v>
      </c>
      <c r="N4143" s="692" t="str">
        <f>IF(AND(ISTEXT($A4143), ISERROR($A4143+0)), HYPERLINK($BF4143, "Images"), "")</f>
        <v>Images</v>
      </c>
      <c r="O4143" s="694" t="s">
        <v>5286</v>
      </c>
      <c r="P4143" s="475"/>
      <c r="Q4143" s="476"/>
      <c r="R4143" s="476"/>
      <c r="S4143" s="477"/>
      <c r="T4143" s="102">
        <f t="shared" si="3083"/>
        <v>0</v>
      </c>
      <c r="U4143" s="78" t="str">
        <f>IF(NOT(ISNUMBER(G4143)), "", VLOOKUP(A4143,'Discount Lookup'!D:E,2,FALSE)*G4143)</f>
        <v/>
      </c>
      <c r="V4143" s="78" t="str">
        <f>IF(NOT(ISNUMBER(G4143)), "", VLOOKUP(A4143,'Discount Lookup'!G:H,2,FALSE)*G4143)</f>
        <v/>
      </c>
      <c r="W4143" s="102">
        <f t="shared" si="3084"/>
        <v>0</v>
      </c>
      <c r="X4143" s="102" t="str">
        <f t="shared" si="3085"/>
        <v>Golden-Yellow foliage</v>
      </c>
      <c r="Y4143" s="120" t="b">
        <f t="shared" si="3086"/>
        <v>0</v>
      </c>
      <c r="Z4143" s="117">
        <f t="shared" si="3087"/>
        <v>0</v>
      </c>
      <c r="AA4143" s="118"/>
      <c r="AB4143" s="118" t="str">
        <f t="shared" si="3088"/>
        <v/>
      </c>
      <c r="AC4143" s="712" t="str">
        <f>IF(AE4143="T2G","no charge",IF(AND(OR(PlanterYesMe="No",PlanterYesMe="N",PlanterYesMe="me"),H4143=""),"",IF(H4143="credit","NO install",IF(AND(K4143="",AE4143="me"),"EACH row",IF(AND(K4143="images",AE4143="me"),"EACH row",IF(D4143="","",IF(H4143="credit","",IF(AE4143="free","re-planting",IF(AE4143="me","   not ELP, by",IF(AND(OR(PlanterYesMe="Yes",PlanterYesMe="Y"),G4143&gt;0),(VLOOKUP(A4143,'Discount Lookup'!J:K,2)*G4143*(1-PlanterDiscount)*(1+PlanterDifficultyPercentage)),IF(AE4143="ELP",(VLOOKUP(A4143,'Discount Lookup'!J:K,2)*G4143*(1-PlanterDiscount)*(1+PlanterDifficultyPercentage)),IF(AE4143="free","re-planting",IF(G4143=0,"",IF(PlanterYesMe="",IF(AE4143="me","   not ELP, by",IF(AE4143="",IF(G4143&gt;0,(VLOOKUP(A4143,'Discount Lookup'!J:K,2)*G4143*(1-PlanterDiscount)*(1+PlanterDifficultyPercentage)),""),"")),"   not ELP, by"))))))))))))))</f>
        <v/>
      </c>
      <c r="AD4143" s="712"/>
      <c r="AE4143" s="513" t="str">
        <f t="shared" si="3089"/>
        <v/>
      </c>
      <c r="AF4143" s="713" t="str">
        <f t="shared" si="3090"/>
        <v/>
      </c>
      <c r="AG4143" s="713"/>
      <c r="AH4143" s="713"/>
      <c r="AI4143" s="112">
        <f>IF(H4143="credit",0,IF(AE4143="free",0,IF(AE4143="me",0,IF(G4143&gt;0,(VLOOKUP(A4143,'Discount Lookup'!J:K,2)*G4143),0))))</f>
        <v>0</v>
      </c>
      <c r="AJ4143" s="107" t="str">
        <f t="shared" ca="1" si="3091"/>
        <v/>
      </c>
      <c r="AK4143" s="714" t="str">
        <f t="shared" si="3092"/>
        <v/>
      </c>
      <c r="AL4143" s="714"/>
      <c r="AM4143" s="114" t="str">
        <f t="shared" si="3093"/>
        <v/>
      </c>
      <c r="AN4143" s="115"/>
      <c r="AO4143" s="116"/>
      <c r="AP4143" s="116"/>
      <c r="AQ4143" s="116"/>
      <c r="AR4143" s="116"/>
      <c r="AS4143" s="116"/>
      <c r="AT4143" s="116"/>
      <c r="AU4143" s="116"/>
      <c r="AV4143" s="78"/>
      <c r="AW4143" s="102"/>
      <c r="AX4143" s="78"/>
      <c r="AY4143" s="78"/>
      <c r="AZ4143" s="78"/>
      <c r="BA4143" s="78"/>
      <c r="BB4143" s="78"/>
      <c r="BC4143" s="78"/>
      <c r="BD4143" s="78"/>
      <c r="BE4143" s="465"/>
      <c r="BF4143" s="165" t="str">
        <f t="shared" si="3094"/>
        <v>https://www.google.com/search?tbm=isch&amp;q=Thuja%20plicata%20%274EVER%27%20PP%2319267%20Forever%20Goldy%E2%84%A2%20Arborvitae</v>
      </c>
      <c r="BG4143" s="165" t="str">
        <f t="shared" si="3095"/>
        <v>T</v>
      </c>
      <c r="BH4143" s="65"/>
      <c r="BI4143" s="65"/>
      <c r="BJ4143" s="65"/>
      <c r="BK4143" s="65"/>
      <c r="BL4143" s="99"/>
      <c r="BM4143" s="99"/>
      <c r="BN4143" s="99"/>
    </row>
    <row r="4144" spans="1:66" s="51" customFormat="1" ht="15.75" x14ac:dyDescent="0.25">
      <c r="A4144" s="478">
        <v>3</v>
      </c>
      <c r="B4144" s="479" t="s">
        <v>291</v>
      </c>
      <c r="C4144" s="480" t="s">
        <v>788</v>
      </c>
      <c r="D4144" s="481" t="s">
        <v>311</v>
      </c>
      <c r="E4144" s="482">
        <v>36.950000000000003</v>
      </c>
      <c r="F4144" s="483" t="s">
        <v>292</v>
      </c>
      <c r="G4144" s="484">
        <v>0</v>
      </c>
      <c r="H4144" s="688" t="str">
        <f>IF(G4144=0,"",IF(F4144="Buy",IF(G4144=1,"plant","plants"),IF(F4144&gt;0.01,"warranty","Error")))</f>
        <v/>
      </c>
      <c r="I4144" s="485">
        <f>IF(H4144="free",0,IF(H4144="credit",((E4144*(F4144))*G4144*-1),IF(F4144="Buy",(E4144*G4144),((E4144*(1-F4144))*G4144))))</f>
        <v>0</v>
      </c>
      <c r="J4144" s="485">
        <f>IF(H4144="warranty",0,(I4144*(_xlfn.SINGLE(SalesTaxPercentage))))</f>
        <v>0</v>
      </c>
      <c r="K4144" s="715">
        <f t="shared" ref="K4144" si="3110">I4144+J4144</f>
        <v>0</v>
      </c>
      <c r="L4144" s="715"/>
      <c r="M4144" s="689" t="str">
        <f ca="1">IF(AND(G4144&gt;0,E4144=0),"WARNING - no PRICE inserted",IF(H4144="free","FREE ~ no charge this plant",IF(H4144="credit",CONCATENATE("-$",ROUND(K4144*(1-_xlfn.SINGLE(T2GDiscount))*-1,2)," CREDIT after discount"),IF(_xlfn.SINGLE(T2GDiscount)=0,"",IF(G4144=0,"",IF(F4144="Buy",CONCATENATE("$",ROUND(K4144*(1-_xlfn.SINGLE(T2GDiscount)),2)," with ",(_xlfn.SINGLE(T2GDiscount)*100),"% discount"),CONCATENATE("$",ROUND(K4144*(1-_xlfn.SINGLE(T2GDiscount)),2)," with ",((_xlfn.SINGLE(T2GDiscount)*100+F4144*100)-(_xlfn.SINGLE(T2GDiscount)*100*F4144)),IF(F4144&gt;0,"% discounts",IF(_xlfn.SINGLE(NoWarrantyDiscount)&gt;0,"% discounts","% discount")))))))))</f>
        <v/>
      </c>
      <c r="N4144" s="690"/>
      <c r="O4144" s="486"/>
      <c r="P4144" s="486"/>
      <c r="Q4144" s="486"/>
      <c r="R4144" s="486"/>
      <c r="S4144" s="486"/>
      <c r="T4144" s="102">
        <f t="shared" si="3083"/>
        <v>0</v>
      </c>
      <c r="U4144" s="78">
        <f>IF(NOT(ISNUMBER(G4144)), "", VLOOKUP(A4144,'Discount Lookup'!D:E,2,FALSE)*G4144)</f>
        <v>0</v>
      </c>
      <c r="V4144" s="78">
        <f>IF(NOT(ISNUMBER(G4144)), "", VLOOKUP(A4144,'Discount Lookup'!G:H,2,FALSE)*G4144)</f>
        <v>0</v>
      </c>
      <c r="W4144" s="102">
        <f t="shared" si="3084"/>
        <v>0</v>
      </c>
      <c r="X4144" s="102">
        <f t="shared" si="3085"/>
        <v>0</v>
      </c>
      <c r="Y4144" s="120" t="b">
        <f t="shared" si="3086"/>
        <v>0</v>
      </c>
      <c r="Z4144" s="117">
        <f t="shared" si="3087"/>
        <v>0</v>
      </c>
      <c r="AA4144" s="118"/>
      <c r="AB4144" s="118" t="str">
        <f t="shared" si="3088"/>
        <v/>
      </c>
      <c r="AC4144" s="712" t="str">
        <f>IF(AE4144="T2G","no charge",IF(AND(OR(PlanterYesMe="No",PlanterYesMe="N",PlanterYesMe="me"),H4144=""),"",IF(H4144="credit","NO install",IF(AND(K4144="",AE4144="me"),"EACH row",IF(AND(K4144="images",AE4144="me"),"EACH row",IF(D4144="","",IF(H4144="credit","",IF(AE4144="free","re-planting",IF(AE4144="me","   not ELP, by",IF(AND(OR(PlanterYesMe="Yes",PlanterYesMe="Y"),G4144&gt;0),(VLOOKUP(A4144,'Discount Lookup'!J:K,2)*G4144*(1-PlanterDiscount)*(1+PlanterDifficultyPercentage)),IF(AE4144="ELP",(VLOOKUP(A4144,'Discount Lookup'!J:K,2)*G4144*(1-PlanterDiscount)*(1+PlanterDifficultyPercentage)),IF(AE4144="free","re-planting",IF(G4144=0,"",IF(PlanterYesMe="",IF(AE4144="me","   not ELP, by",IF(AE4144="",IF(G4144&gt;0,(VLOOKUP(A4144,'Discount Lookup'!J:K,2)*G4144*(1-PlanterDiscount)*(1+PlanterDifficultyPercentage)),""),"")),"   not ELP, by"))))))))))))))</f>
        <v/>
      </c>
      <c r="AD4144" s="712"/>
      <c r="AE4144" s="513" t="str">
        <f t="shared" si="3089"/>
        <v/>
      </c>
      <c r="AF4144" s="713" t="str">
        <f t="shared" si="3090"/>
        <v/>
      </c>
      <c r="AG4144" s="713"/>
      <c r="AH4144" s="713"/>
      <c r="AI4144" s="112">
        <f>IF(H4144="credit",0,IF(AE4144="free",0,IF(AE4144="me",0,IF(G4144&gt;0,(VLOOKUP(A4144,'Discount Lookup'!J:K,2)*G4144),0))))</f>
        <v>0</v>
      </c>
      <c r="AJ4144" s="107" t="str">
        <f t="shared" ca="1" si="3091"/>
        <v/>
      </c>
      <c r="AK4144" s="714" t="str">
        <f t="shared" si="3092"/>
        <v/>
      </c>
      <c r="AL4144" s="714"/>
      <c r="AM4144" s="114" t="str">
        <f t="shared" si="3093"/>
        <v/>
      </c>
      <c r="AN4144" s="115"/>
      <c r="AO4144" s="116"/>
      <c r="AP4144" s="116"/>
      <c r="AQ4144" s="116"/>
      <c r="AR4144" s="116"/>
      <c r="AS4144" s="116"/>
      <c r="AT4144" s="116"/>
      <c r="AU4144" s="116"/>
      <c r="AV4144" s="78"/>
      <c r="AW4144" s="102"/>
      <c r="AX4144" s="78"/>
      <c r="AY4144" s="78"/>
      <c r="AZ4144" s="78"/>
      <c r="BA4144" s="78"/>
      <c r="BB4144" s="78"/>
      <c r="BC4144" s="78"/>
      <c r="BD4144" s="78"/>
      <c r="BE4144" s="465"/>
      <c r="BF4144" s="165" t="str">
        <f t="shared" si="3094"/>
        <v>https://www.google.com/search?tbm=isch&amp;q=3%20G5</v>
      </c>
      <c r="BG4144" s="165" t="str">
        <f t="shared" si="3095"/>
        <v>T</v>
      </c>
      <c r="BH4144" s="65"/>
      <c r="BI4144" s="65"/>
      <c r="BJ4144" s="65"/>
      <c r="BK4144" s="65"/>
      <c r="BL4144" s="99"/>
      <c r="BM4144" s="99"/>
      <c r="BN4144" s="99"/>
    </row>
    <row r="4145" spans="1:66" s="51" customFormat="1" ht="15.75" x14ac:dyDescent="0.25">
      <c r="A4145" s="478">
        <v>7</v>
      </c>
      <c r="B4145" s="479" t="s">
        <v>291</v>
      </c>
      <c r="C4145" s="480" t="s">
        <v>865</v>
      </c>
      <c r="D4145" s="481" t="s">
        <v>311</v>
      </c>
      <c r="E4145" s="482">
        <v>79.95</v>
      </c>
      <c r="F4145" s="483" t="s">
        <v>292</v>
      </c>
      <c r="G4145" s="484">
        <v>0</v>
      </c>
      <c r="H4145" s="688" t="str">
        <f>IF(G4145=0,"",IF(F4145="Buy",IF(G4145=1,"plant","plants"),IF(F4145&gt;0.01,"warranty","Error")))</f>
        <v/>
      </c>
      <c r="I4145" s="485">
        <f>IF(H4145="free",0,IF(H4145="credit",((E4145*(F4145))*G4145*-1),IF(F4145="Buy",(E4145*G4145),((E4145*(1-F4145))*G4145))))</f>
        <v>0</v>
      </c>
      <c r="J4145" s="485">
        <f>IF(H4145="warranty",0,(I4145*(_xlfn.SINGLE(SalesTaxPercentage))))</f>
        <v>0</v>
      </c>
      <c r="K4145" s="715">
        <f t="shared" ref="K4145" si="3111">I4145+J4145</f>
        <v>0</v>
      </c>
      <c r="L4145" s="715"/>
      <c r="M4145" s="689" t="str">
        <f ca="1">IF(AND(G4145&gt;0,E4145=0),"WARNING - no PRICE inserted",IF(H4145="free","FREE ~ no charge this plant",IF(H4145="credit",CONCATENATE("-$",ROUND(K4145*(1-_xlfn.SINGLE(T2GDiscount))*-1,2)," CREDIT after discount"),IF(_xlfn.SINGLE(T2GDiscount)=0,"",IF(G4145=0,"",IF(F4145="Buy",CONCATENATE("$",ROUND(K4145*(1-_xlfn.SINGLE(T2GDiscount)),2)," with ",(_xlfn.SINGLE(T2GDiscount)*100),"% discount"),CONCATENATE("$",ROUND(K4145*(1-_xlfn.SINGLE(T2GDiscount)),2)," with ",((_xlfn.SINGLE(T2GDiscount)*100+F4145*100)-(_xlfn.SINGLE(T2GDiscount)*100*F4145)),IF(F4145&gt;0,"% discounts",IF(_xlfn.SINGLE(NoWarrantyDiscount)&gt;0,"% discounts","% discount")))))))))</f>
        <v/>
      </c>
      <c r="N4145" s="690"/>
      <c r="O4145" s="486"/>
      <c r="P4145" s="486"/>
      <c r="Q4145" s="486"/>
      <c r="R4145" s="486"/>
      <c r="S4145" s="486"/>
      <c r="T4145" s="102">
        <f t="shared" si="3083"/>
        <v>0</v>
      </c>
      <c r="U4145" s="78">
        <f>IF(NOT(ISNUMBER(G4145)), "", VLOOKUP(A4145,'Discount Lookup'!D:E,2,FALSE)*G4145)</f>
        <v>0</v>
      </c>
      <c r="V4145" s="78">
        <f>IF(NOT(ISNUMBER(G4145)), "", VLOOKUP(A4145,'Discount Lookup'!G:H,2,FALSE)*G4145)</f>
        <v>0</v>
      </c>
      <c r="W4145" s="102">
        <f t="shared" si="3084"/>
        <v>0</v>
      </c>
      <c r="X4145" s="102">
        <f t="shared" si="3085"/>
        <v>0</v>
      </c>
      <c r="Y4145" s="120" t="b">
        <f t="shared" si="3086"/>
        <v>0</v>
      </c>
      <c r="Z4145" s="117">
        <f t="shared" si="3087"/>
        <v>0</v>
      </c>
      <c r="AA4145" s="118"/>
      <c r="AB4145" s="118" t="str">
        <f t="shared" si="3088"/>
        <v/>
      </c>
      <c r="AC4145" s="712" t="str">
        <f>IF(AE4145="T2G","no charge",IF(AND(OR(PlanterYesMe="No",PlanterYesMe="N",PlanterYesMe="me"),H4145=""),"",IF(H4145="credit","NO install",IF(AND(K4145="",AE4145="me"),"EACH row",IF(AND(K4145="images",AE4145="me"),"EACH row",IF(D4145="","",IF(H4145="credit","",IF(AE4145="free","re-planting",IF(AE4145="me","   not ELP, by",IF(AND(OR(PlanterYesMe="Yes",PlanterYesMe="Y"),G4145&gt;0),(VLOOKUP(A4145,'Discount Lookup'!J:K,2)*G4145*(1-PlanterDiscount)*(1+PlanterDifficultyPercentage)),IF(AE4145="ELP",(VLOOKUP(A4145,'Discount Lookup'!J:K,2)*G4145*(1-PlanterDiscount)*(1+PlanterDifficultyPercentage)),IF(AE4145="free","re-planting",IF(G4145=0,"",IF(PlanterYesMe="",IF(AE4145="me","   not ELP, by",IF(AE4145="",IF(G4145&gt;0,(VLOOKUP(A4145,'Discount Lookup'!J:K,2)*G4145*(1-PlanterDiscount)*(1+PlanterDifficultyPercentage)),""),"")),"   not ELP, by"))))))))))))))</f>
        <v/>
      </c>
      <c r="AD4145" s="712"/>
      <c r="AE4145" s="513" t="str">
        <f t="shared" si="3089"/>
        <v/>
      </c>
      <c r="AF4145" s="713" t="str">
        <f t="shared" si="3090"/>
        <v/>
      </c>
      <c r="AG4145" s="713"/>
      <c r="AH4145" s="713"/>
      <c r="AI4145" s="112">
        <f>IF(H4145="credit",0,IF(AE4145="free",0,IF(AE4145="me",0,IF(G4145&gt;0,(VLOOKUP(A4145,'Discount Lookup'!J:K,2)*G4145),0))))</f>
        <v>0</v>
      </c>
      <c r="AJ4145" s="107" t="str">
        <f t="shared" ca="1" si="3091"/>
        <v/>
      </c>
      <c r="AK4145" s="714" t="str">
        <f t="shared" si="3092"/>
        <v/>
      </c>
      <c r="AL4145" s="714"/>
      <c r="AM4145" s="114" t="str">
        <f t="shared" si="3093"/>
        <v/>
      </c>
      <c r="AN4145" s="115"/>
      <c r="AO4145" s="116"/>
      <c r="AP4145" s="116"/>
      <c r="AQ4145" s="116"/>
      <c r="AR4145" s="116"/>
      <c r="AS4145" s="116"/>
      <c r="AT4145" s="116"/>
      <c r="AU4145" s="116"/>
      <c r="AV4145" s="78"/>
      <c r="AW4145" s="102"/>
      <c r="AX4145" s="78"/>
      <c r="AY4145" s="78"/>
      <c r="AZ4145" s="78"/>
      <c r="BA4145" s="78"/>
      <c r="BB4145" s="78"/>
      <c r="BC4145" s="78"/>
      <c r="BD4145" s="78"/>
      <c r="BE4145" s="465"/>
      <c r="BF4145" s="165" t="str">
        <f t="shared" si="3094"/>
        <v>https://www.google.com/search?tbm=isch&amp;q=7%20G5</v>
      </c>
      <c r="BG4145" s="165" t="str">
        <f t="shared" si="3095"/>
        <v>T</v>
      </c>
      <c r="BH4145" s="65"/>
      <c r="BI4145" s="65"/>
      <c r="BJ4145" s="65"/>
      <c r="BK4145" s="65"/>
      <c r="BL4145" s="99"/>
      <c r="BM4145" s="99"/>
      <c r="BN4145" s="99"/>
    </row>
    <row r="4146" spans="1:66" s="51" customFormat="1" ht="15.75" x14ac:dyDescent="0.25">
      <c r="A4146" s="478">
        <v>7</v>
      </c>
      <c r="B4146" s="479" t="s">
        <v>291</v>
      </c>
      <c r="C4146" s="480" t="s">
        <v>1024</v>
      </c>
      <c r="D4146" s="481" t="s">
        <v>299</v>
      </c>
      <c r="E4146" s="482">
        <v>100.95</v>
      </c>
      <c r="F4146" s="483" t="s">
        <v>292</v>
      </c>
      <c r="G4146" s="484">
        <v>0</v>
      </c>
      <c r="H4146" s="688" t="str">
        <f>IF(G4146=0,"",IF(F4146="Buy",IF(G4146=1,"plant","plants"),IF(F4146&gt;0.01,"warranty","Error")))</f>
        <v/>
      </c>
      <c r="I4146" s="485">
        <f>IF(H4146="free",0,IF(H4146="credit",((E4146*(F4146))*G4146*-1),IF(F4146="Buy",(E4146*G4146),((E4146*(1-F4146))*G4146))))</f>
        <v>0</v>
      </c>
      <c r="J4146" s="485">
        <f>IF(H4146="warranty",0,(I4146*(_xlfn.SINGLE(SalesTaxPercentage))))</f>
        <v>0</v>
      </c>
      <c r="K4146" s="715">
        <f t="shared" ref="K4146" si="3112">I4146+J4146</f>
        <v>0</v>
      </c>
      <c r="L4146" s="715"/>
      <c r="M4146" s="689" t="str">
        <f ca="1">IF(AND(G4146&gt;0,E4146=0),"WARNING - no PRICE inserted",IF(H4146="free","FREE ~ no charge this plant",IF(H4146="credit",CONCATENATE("-$",ROUND(K4146*(1-_xlfn.SINGLE(T2GDiscount))*-1,2)," CREDIT after discount"),IF(_xlfn.SINGLE(T2GDiscount)=0,"",IF(G4146=0,"",IF(F4146="Buy",CONCATENATE("$",ROUND(K4146*(1-_xlfn.SINGLE(T2GDiscount)),2)," with ",(_xlfn.SINGLE(T2GDiscount)*100),"% discount"),CONCATENATE("$",ROUND(K4146*(1-_xlfn.SINGLE(T2GDiscount)),2)," with ",((_xlfn.SINGLE(T2GDiscount)*100+F4146*100)-(_xlfn.SINGLE(T2GDiscount)*100*F4146)),IF(F4146&gt;0,"% discounts",IF(_xlfn.SINGLE(NoWarrantyDiscount)&gt;0,"% discounts","% discount")))))))))</f>
        <v/>
      </c>
      <c r="N4146" s="690"/>
      <c r="O4146" s="486"/>
      <c r="P4146" s="486"/>
      <c r="Q4146" s="486"/>
      <c r="R4146" s="486"/>
      <c r="S4146" s="486"/>
      <c r="T4146" s="102">
        <f t="shared" si="3083"/>
        <v>0</v>
      </c>
      <c r="U4146" s="78">
        <f>IF(NOT(ISNUMBER(G4146)), "", VLOOKUP(A4146,'Discount Lookup'!D:E,2,FALSE)*G4146)</f>
        <v>0</v>
      </c>
      <c r="V4146" s="78">
        <f>IF(NOT(ISNUMBER(G4146)), "", VLOOKUP(A4146,'Discount Lookup'!G:H,2,FALSE)*G4146)</f>
        <v>0</v>
      </c>
      <c r="W4146" s="102">
        <f t="shared" si="3084"/>
        <v>0</v>
      </c>
      <c r="X4146" s="102">
        <f t="shared" si="3085"/>
        <v>0</v>
      </c>
      <c r="Y4146" s="120" t="b">
        <f t="shared" si="3086"/>
        <v>0</v>
      </c>
      <c r="Z4146" s="117">
        <f t="shared" si="3087"/>
        <v>0</v>
      </c>
      <c r="AA4146" s="118"/>
      <c r="AB4146" s="118" t="str">
        <f t="shared" si="3088"/>
        <v/>
      </c>
      <c r="AC4146" s="712" t="str">
        <f>IF(AE4146="T2G","no charge",IF(AND(OR(PlanterYesMe="No",PlanterYesMe="N",PlanterYesMe="me"),H4146=""),"",IF(H4146="credit","NO install",IF(AND(K4146="",AE4146="me"),"EACH row",IF(AND(K4146="images",AE4146="me"),"EACH row",IF(D4146="","",IF(H4146="credit","",IF(AE4146="free","re-planting",IF(AE4146="me","   not ELP, by",IF(AND(OR(PlanterYesMe="Yes",PlanterYesMe="Y"),G4146&gt;0),(VLOOKUP(A4146,'Discount Lookup'!J:K,2)*G4146*(1-PlanterDiscount)*(1+PlanterDifficultyPercentage)),IF(AE4146="ELP",(VLOOKUP(A4146,'Discount Lookup'!J:K,2)*G4146*(1-PlanterDiscount)*(1+PlanterDifficultyPercentage)),IF(AE4146="free","re-planting",IF(G4146=0,"",IF(PlanterYesMe="",IF(AE4146="me","   not ELP, by",IF(AE4146="",IF(G4146&gt;0,(VLOOKUP(A4146,'Discount Lookup'!J:K,2)*G4146*(1-PlanterDiscount)*(1+PlanterDifficultyPercentage)),""),"")),"   not ELP, by"))))))))))))))</f>
        <v/>
      </c>
      <c r="AD4146" s="712"/>
      <c r="AE4146" s="513" t="str">
        <f t="shared" si="3089"/>
        <v/>
      </c>
      <c r="AF4146" s="713" t="str">
        <f t="shared" si="3090"/>
        <v/>
      </c>
      <c r="AG4146" s="713"/>
      <c r="AH4146" s="713"/>
      <c r="AI4146" s="112">
        <f>IF(H4146="credit",0,IF(AE4146="free",0,IF(AE4146="me",0,IF(G4146&gt;0,(VLOOKUP(A4146,'Discount Lookup'!J:K,2)*G4146),0))))</f>
        <v>0</v>
      </c>
      <c r="AJ4146" s="107" t="str">
        <f t="shared" ca="1" si="3091"/>
        <v/>
      </c>
      <c r="AK4146" s="714" t="str">
        <f t="shared" si="3092"/>
        <v/>
      </c>
      <c r="AL4146" s="714"/>
      <c r="AM4146" s="114" t="str">
        <f t="shared" si="3093"/>
        <v/>
      </c>
      <c r="AN4146" s="115"/>
      <c r="AO4146" s="116"/>
      <c r="AP4146" s="116"/>
      <c r="AQ4146" s="116"/>
      <c r="AR4146" s="116"/>
      <c r="AS4146" s="116"/>
      <c r="AT4146" s="116"/>
      <c r="AU4146" s="116"/>
      <c r="AV4146" s="78"/>
      <c r="AW4146" s="102"/>
      <c r="AX4146" s="78"/>
      <c r="AY4146" s="78"/>
      <c r="AZ4146" s="78"/>
      <c r="BA4146" s="78"/>
      <c r="BB4146" s="78"/>
      <c r="BC4146" s="78"/>
      <c r="BD4146" s="78"/>
      <c r="BE4146" s="465"/>
      <c r="BF4146" s="165" t="str">
        <f t="shared" si="3094"/>
        <v>https://www.google.com/search?tbm=isch&amp;q=7%20G4</v>
      </c>
      <c r="BG4146" s="165" t="str">
        <f t="shared" si="3095"/>
        <v>T</v>
      </c>
      <c r="BH4146" s="65"/>
      <c r="BI4146" s="65"/>
      <c r="BJ4146" s="65"/>
      <c r="BK4146" s="65"/>
      <c r="BL4146" s="99"/>
      <c r="BM4146" s="99"/>
      <c r="BN4146" s="99"/>
    </row>
    <row r="4147" spans="1:66" s="51" customFormat="1" ht="15.75" x14ac:dyDescent="0.25">
      <c r="A4147" s="478">
        <v>15</v>
      </c>
      <c r="B4147" s="479" t="s">
        <v>291</v>
      </c>
      <c r="C4147" s="480" t="s">
        <v>4659</v>
      </c>
      <c r="D4147" s="481" t="s">
        <v>293</v>
      </c>
      <c r="E4147" s="482">
        <v>178.95</v>
      </c>
      <c r="F4147" s="483" t="s">
        <v>292</v>
      </c>
      <c r="G4147" s="484">
        <v>0</v>
      </c>
      <c r="H4147" s="688" t="str">
        <f>IF(G4147=0,"",IF(F4147="Buy",IF(G4147=1,"plant","plants"),IF(F4147&gt;0.01,"warranty","Error")))</f>
        <v/>
      </c>
      <c r="I4147" s="485">
        <f>IF(H4147="free",0,IF(H4147="credit",((E4147*(F4147))*G4147*-1),IF(F4147="Buy",(E4147*G4147),((E4147*(1-F4147))*G4147))))</f>
        <v>0</v>
      </c>
      <c r="J4147" s="485">
        <f>IF(H4147="warranty",0,(I4147*(_xlfn.SINGLE(SalesTaxPercentage))))</f>
        <v>0</v>
      </c>
      <c r="K4147" s="715">
        <f t="shared" ref="K4147" si="3113">I4147+J4147</f>
        <v>0</v>
      </c>
      <c r="L4147" s="715"/>
      <c r="M4147" s="689" t="str">
        <f ca="1">IF(AND(G4147&gt;0,E4147=0),"WARNING - no PRICE inserted",IF(H4147="free","FREE ~ no charge this plant",IF(H4147="credit",CONCATENATE("-$",ROUND(K4147*(1-_xlfn.SINGLE(T2GDiscount))*-1,2)," CREDIT after discount"),IF(_xlfn.SINGLE(T2GDiscount)=0,"",IF(G4147=0,"",IF(F4147="Buy",CONCATENATE("$",ROUND(K4147*(1-_xlfn.SINGLE(T2GDiscount)),2)," with ",(_xlfn.SINGLE(T2GDiscount)*100),"% discount"),CONCATENATE("$",ROUND(K4147*(1-_xlfn.SINGLE(T2GDiscount)),2)," with ",((_xlfn.SINGLE(T2GDiscount)*100+F4147*100)-(_xlfn.SINGLE(T2GDiscount)*100*F4147)),IF(F4147&gt;0,"% discounts",IF(_xlfn.SINGLE(NoWarrantyDiscount)&gt;0,"% discounts","% discount")))))))))</f>
        <v/>
      </c>
      <c r="N4147" s="690"/>
      <c r="O4147" s="486"/>
      <c r="P4147" s="486"/>
      <c r="Q4147" s="486"/>
      <c r="R4147" s="486"/>
      <c r="S4147" s="486"/>
      <c r="T4147" s="102">
        <f t="shared" si="3083"/>
        <v>0</v>
      </c>
      <c r="U4147" s="78">
        <f>IF(NOT(ISNUMBER(G4147)), "", VLOOKUP(A4147,'Discount Lookup'!D:E,2,FALSE)*G4147)</f>
        <v>0</v>
      </c>
      <c r="V4147" s="78">
        <f>IF(NOT(ISNUMBER(G4147)), "", VLOOKUP(A4147,'Discount Lookup'!G:H,2,FALSE)*G4147)</f>
        <v>0</v>
      </c>
      <c r="W4147" s="102">
        <f t="shared" si="3084"/>
        <v>0</v>
      </c>
      <c r="X4147" s="102">
        <f t="shared" si="3085"/>
        <v>0</v>
      </c>
      <c r="Y4147" s="120" t="b">
        <f t="shared" si="3086"/>
        <v>0</v>
      </c>
      <c r="Z4147" s="117">
        <f t="shared" si="3087"/>
        <v>0</v>
      </c>
      <c r="AA4147" s="118"/>
      <c r="AB4147" s="118" t="str">
        <f t="shared" si="3088"/>
        <v/>
      </c>
      <c r="AC4147" s="712" t="str">
        <f>IF(AE4147="T2G","no charge",IF(AND(OR(PlanterYesMe="No",PlanterYesMe="N",PlanterYesMe="me"),H4147=""),"",IF(H4147="credit","NO install",IF(AND(K4147="",AE4147="me"),"EACH row",IF(AND(K4147="images",AE4147="me"),"EACH row",IF(D4147="","",IF(H4147="credit","",IF(AE4147="free","re-planting",IF(AE4147="me","   not ELP, by",IF(AND(OR(PlanterYesMe="Yes",PlanterYesMe="Y"),G4147&gt;0),(VLOOKUP(A4147,'Discount Lookup'!J:K,2)*G4147*(1-PlanterDiscount)*(1+PlanterDifficultyPercentage)),IF(AE4147="ELP",(VLOOKUP(A4147,'Discount Lookup'!J:K,2)*G4147*(1-PlanterDiscount)*(1+PlanterDifficultyPercentage)),IF(AE4147="free","re-planting",IF(G4147=0,"",IF(PlanterYesMe="",IF(AE4147="me","   not ELP, by",IF(AE4147="",IF(G4147&gt;0,(VLOOKUP(A4147,'Discount Lookup'!J:K,2)*G4147*(1-PlanterDiscount)*(1+PlanterDifficultyPercentage)),""),"")),"   not ELP, by"))))))))))))))</f>
        <v/>
      </c>
      <c r="AD4147" s="712"/>
      <c r="AE4147" s="513" t="str">
        <f t="shared" si="3089"/>
        <v/>
      </c>
      <c r="AF4147" s="713" t="str">
        <f t="shared" si="3090"/>
        <v/>
      </c>
      <c r="AG4147" s="713"/>
      <c r="AH4147" s="713"/>
      <c r="AI4147" s="112">
        <f>IF(H4147="credit",0,IF(AE4147="free",0,IF(AE4147="me",0,IF(G4147&gt;0,(VLOOKUP(A4147,'Discount Lookup'!J:K,2)*G4147),0))))</f>
        <v>0</v>
      </c>
      <c r="AJ4147" s="107" t="str">
        <f t="shared" ca="1" si="3091"/>
        <v/>
      </c>
      <c r="AK4147" s="714" t="str">
        <f t="shared" si="3092"/>
        <v/>
      </c>
      <c r="AL4147" s="714"/>
      <c r="AM4147" s="114" t="str">
        <f t="shared" si="3093"/>
        <v/>
      </c>
      <c r="AN4147" s="115"/>
      <c r="AO4147" s="116"/>
      <c r="AP4147" s="116"/>
      <c r="AQ4147" s="116"/>
      <c r="AR4147" s="116"/>
      <c r="AS4147" s="116"/>
      <c r="AT4147" s="116"/>
      <c r="AU4147" s="116"/>
      <c r="AV4147" s="78"/>
      <c r="AW4147" s="102"/>
      <c r="AX4147" s="78"/>
      <c r="AY4147" s="78"/>
      <c r="AZ4147" s="78"/>
      <c r="BA4147" s="78"/>
      <c r="BB4147" s="78"/>
      <c r="BC4147" s="78"/>
      <c r="BD4147" s="78"/>
      <c r="BE4147" s="465"/>
      <c r="BF4147" s="165" t="str">
        <f t="shared" si="3094"/>
        <v>https://www.google.com/search?tbm=isch&amp;q=15%20G6</v>
      </c>
      <c r="BG4147" s="165" t="str">
        <f t="shared" si="3095"/>
        <v>T</v>
      </c>
      <c r="BH4147" s="65"/>
      <c r="BI4147" s="65"/>
      <c r="BJ4147" s="65"/>
      <c r="BK4147" s="65"/>
      <c r="BL4147" s="99"/>
      <c r="BM4147" s="99"/>
      <c r="BN4147" s="99"/>
    </row>
    <row r="4148" spans="1:66" s="51" customFormat="1" ht="15.75" x14ac:dyDescent="0.25">
      <c r="A4148" s="478">
        <v>15</v>
      </c>
      <c r="B4148" s="479" t="s">
        <v>291</v>
      </c>
      <c r="C4148" s="480" t="s">
        <v>939</v>
      </c>
      <c r="D4148" s="481" t="s">
        <v>299</v>
      </c>
      <c r="E4148" s="482">
        <v>215.95</v>
      </c>
      <c r="F4148" s="483" t="s">
        <v>292</v>
      </c>
      <c r="G4148" s="484">
        <v>0</v>
      </c>
      <c r="H4148" s="688" t="str">
        <f>IF(G4148=0,"",IF(F4148="Buy",IF(G4148=1,"plant","plants"),IF(F4148&gt;0.01,"warranty","Error")))</f>
        <v/>
      </c>
      <c r="I4148" s="485">
        <f>IF(H4148="free",0,IF(H4148="credit",((E4148*(F4148))*G4148*-1),IF(F4148="Buy",(E4148*G4148),((E4148*(1-F4148))*G4148))))</f>
        <v>0</v>
      </c>
      <c r="J4148" s="485">
        <f>IF(H4148="warranty",0,(I4148*(_xlfn.SINGLE(SalesTaxPercentage))))</f>
        <v>0</v>
      </c>
      <c r="K4148" s="715">
        <f t="shared" ref="K4148" si="3114">I4148+J4148</f>
        <v>0</v>
      </c>
      <c r="L4148" s="715"/>
      <c r="M4148" s="689" t="str">
        <f ca="1">IF(AND(G4148&gt;0,E4148=0),"WARNING - no PRICE inserted",IF(H4148="free","FREE ~ no charge this plant",IF(H4148="credit",CONCATENATE("-$",ROUND(K4148*(1-_xlfn.SINGLE(T2GDiscount))*-1,2)," CREDIT after discount"),IF(_xlfn.SINGLE(T2GDiscount)=0,"",IF(G4148=0,"",IF(F4148="Buy",CONCATENATE("$",ROUND(K4148*(1-_xlfn.SINGLE(T2GDiscount)),2)," with ",(_xlfn.SINGLE(T2GDiscount)*100),"% discount"),CONCATENATE("$",ROUND(K4148*(1-_xlfn.SINGLE(T2GDiscount)),2)," with ",((_xlfn.SINGLE(T2GDiscount)*100+F4148*100)-(_xlfn.SINGLE(T2GDiscount)*100*F4148)),IF(F4148&gt;0,"% discounts",IF(_xlfn.SINGLE(NoWarrantyDiscount)&gt;0,"% discounts","% discount")))))))))</f>
        <v/>
      </c>
      <c r="N4148" s="690"/>
      <c r="O4148" s="486"/>
      <c r="P4148" s="486"/>
      <c r="Q4148" s="486"/>
      <c r="R4148" s="486"/>
      <c r="S4148" s="486"/>
      <c r="T4148" s="102">
        <f t="shared" si="3083"/>
        <v>0</v>
      </c>
      <c r="U4148" s="78">
        <f>IF(NOT(ISNUMBER(G4148)), "", VLOOKUP(A4148,'Discount Lookup'!D:E,2,FALSE)*G4148)</f>
        <v>0</v>
      </c>
      <c r="V4148" s="78">
        <f>IF(NOT(ISNUMBER(G4148)), "", VLOOKUP(A4148,'Discount Lookup'!G:H,2,FALSE)*G4148)</f>
        <v>0</v>
      </c>
      <c r="W4148" s="102">
        <f t="shared" si="3084"/>
        <v>0</v>
      </c>
      <c r="X4148" s="102">
        <f t="shared" si="3085"/>
        <v>0</v>
      </c>
      <c r="Y4148" s="120" t="b">
        <f t="shared" si="3086"/>
        <v>0</v>
      </c>
      <c r="Z4148" s="117">
        <f t="shared" si="3087"/>
        <v>0</v>
      </c>
      <c r="AA4148" s="118"/>
      <c r="AB4148" s="118" t="str">
        <f t="shared" si="3088"/>
        <v/>
      </c>
      <c r="AC4148" s="712" t="str">
        <f>IF(AE4148="T2G","no charge",IF(AND(OR(PlanterYesMe="No",PlanterYesMe="N",PlanterYesMe="me"),H4148=""),"",IF(H4148="credit","NO install",IF(AND(K4148="",AE4148="me"),"EACH row",IF(AND(K4148="images",AE4148="me"),"EACH row",IF(D4148="","",IF(H4148="credit","",IF(AE4148="free","re-planting",IF(AE4148="me","   not ELP, by",IF(AND(OR(PlanterYesMe="Yes",PlanterYesMe="Y"),G4148&gt;0),(VLOOKUP(A4148,'Discount Lookup'!J:K,2)*G4148*(1-PlanterDiscount)*(1+PlanterDifficultyPercentage)),IF(AE4148="ELP",(VLOOKUP(A4148,'Discount Lookup'!J:K,2)*G4148*(1-PlanterDiscount)*(1+PlanterDifficultyPercentage)),IF(AE4148="free","re-planting",IF(G4148=0,"",IF(PlanterYesMe="",IF(AE4148="me","   not ELP, by",IF(AE4148="",IF(G4148&gt;0,(VLOOKUP(A4148,'Discount Lookup'!J:K,2)*G4148*(1-PlanterDiscount)*(1+PlanterDifficultyPercentage)),""),"")),"   not ELP, by"))))))))))))))</f>
        <v/>
      </c>
      <c r="AD4148" s="712"/>
      <c r="AE4148" s="513" t="str">
        <f t="shared" si="3089"/>
        <v/>
      </c>
      <c r="AF4148" s="713" t="str">
        <f t="shared" si="3090"/>
        <v/>
      </c>
      <c r="AG4148" s="713"/>
      <c r="AH4148" s="713"/>
      <c r="AI4148" s="112">
        <f>IF(H4148="credit",0,IF(AE4148="free",0,IF(AE4148="me",0,IF(G4148&gt;0,(VLOOKUP(A4148,'Discount Lookup'!J:K,2)*G4148),0))))</f>
        <v>0</v>
      </c>
      <c r="AJ4148" s="107" t="str">
        <f t="shared" ca="1" si="3091"/>
        <v/>
      </c>
      <c r="AK4148" s="714" t="str">
        <f t="shared" si="3092"/>
        <v/>
      </c>
      <c r="AL4148" s="714"/>
      <c r="AM4148" s="114" t="str">
        <f t="shared" si="3093"/>
        <v/>
      </c>
      <c r="AN4148" s="115"/>
      <c r="AO4148" s="116"/>
      <c r="AP4148" s="116"/>
      <c r="AQ4148" s="116"/>
      <c r="AR4148" s="116"/>
      <c r="AS4148" s="116"/>
      <c r="AT4148" s="116"/>
      <c r="AU4148" s="116"/>
      <c r="AV4148" s="78"/>
      <c r="AW4148" s="102"/>
      <c r="AX4148" s="78"/>
      <c r="AY4148" s="78"/>
      <c r="AZ4148" s="78"/>
      <c r="BA4148" s="78"/>
      <c r="BB4148" s="78"/>
      <c r="BC4148" s="78"/>
      <c r="BD4148" s="78"/>
      <c r="BE4148" s="465"/>
      <c r="BF4148" s="165" t="str">
        <f t="shared" si="3094"/>
        <v>https://www.google.com/search?tbm=isch&amp;q=15%20G4</v>
      </c>
      <c r="BG4148" s="165" t="str">
        <f t="shared" si="3095"/>
        <v>T</v>
      </c>
      <c r="BH4148" s="65"/>
      <c r="BI4148" s="65"/>
      <c r="BJ4148" s="65"/>
      <c r="BK4148" s="65"/>
      <c r="BL4148" s="99"/>
      <c r="BM4148" s="99"/>
      <c r="BN4148" s="99"/>
    </row>
    <row r="4149" spans="1:66" s="51" customFormat="1" ht="16.5" thickBot="1" x14ac:dyDescent="0.3">
      <c r="A4149" s="705" t="s">
        <v>5550</v>
      </c>
      <c r="B4149" s="487"/>
      <c r="C4149" s="707"/>
      <c r="D4149" s="487"/>
      <c r="E4149" s="487"/>
      <c r="F4149" s="488"/>
      <c r="G4149" s="489"/>
      <c r="H4149" s="487"/>
      <c r="I4149" s="490"/>
      <c r="J4149" s="490"/>
      <c r="K4149" s="491"/>
      <c r="L4149" s="547"/>
      <c r="M4149" s="528"/>
      <c r="N4149" s="492"/>
      <c r="O4149" s="493"/>
      <c r="P4149" s="494"/>
      <c r="Q4149" s="492"/>
      <c r="R4149" s="492"/>
      <c r="S4149" s="495"/>
      <c r="T4149" s="102">
        <f t="shared" si="3083"/>
        <v>0</v>
      </c>
      <c r="U4149" s="78" t="str">
        <f>IF(NOT(ISNUMBER(G4149)), "", VLOOKUP(A4149,'Discount Lookup'!D:E,2,FALSE)*G4149)</f>
        <v/>
      </c>
      <c r="V4149" s="78" t="str">
        <f>IF(NOT(ISNUMBER(G4149)), "", VLOOKUP(A4149,'Discount Lookup'!G:H,2,FALSE)*G4149)</f>
        <v/>
      </c>
      <c r="W4149" s="102">
        <f t="shared" si="3084"/>
        <v>0</v>
      </c>
      <c r="X4149" s="102">
        <f t="shared" si="3085"/>
        <v>0</v>
      </c>
      <c r="Y4149" s="120" t="b">
        <f t="shared" si="3086"/>
        <v>0</v>
      </c>
      <c r="Z4149" s="117">
        <f t="shared" si="3087"/>
        <v>0</v>
      </c>
      <c r="AA4149" s="118"/>
      <c r="AB4149" s="118" t="str">
        <f t="shared" si="3088"/>
        <v/>
      </c>
      <c r="AC4149" s="712" t="str">
        <f>IF(AE4149="T2G","no charge",IF(AND(OR(PlanterYesMe="No",PlanterYesMe="N",PlanterYesMe="me"),H4149=""),"",IF(H4149="credit","NO install",IF(AND(K4149="",AE4149="me"),"EACH row",IF(AND(K4149="images",AE4149="me"),"EACH row",IF(D4149="","",IF(H4149="credit","",IF(AE4149="free","re-planting",IF(AE4149="me","   not ELP, by",IF(AND(OR(PlanterYesMe="Yes",PlanterYesMe="Y"),G4149&gt;0),(VLOOKUP(A4149,'Discount Lookup'!J:K,2)*G4149*(1-PlanterDiscount)*(1+PlanterDifficultyPercentage)),IF(AE4149="ELP",(VLOOKUP(A4149,'Discount Lookup'!J:K,2)*G4149*(1-PlanterDiscount)*(1+PlanterDifficultyPercentage)),IF(AE4149="free","re-planting",IF(G4149=0,"",IF(PlanterYesMe="",IF(AE4149="me","   not ELP, by",IF(AE4149="",IF(G4149&gt;0,(VLOOKUP(A4149,'Discount Lookup'!J:K,2)*G4149*(1-PlanterDiscount)*(1+PlanterDifficultyPercentage)),""),"")),"   not ELP, by"))))))))))))))</f>
        <v/>
      </c>
      <c r="AD4149" s="712"/>
      <c r="AE4149" s="513" t="str">
        <f t="shared" si="3089"/>
        <v/>
      </c>
      <c r="AF4149" s="713" t="str">
        <f t="shared" si="3090"/>
        <v/>
      </c>
      <c r="AG4149" s="713"/>
      <c r="AH4149" s="713"/>
      <c r="AI4149" s="112">
        <f>IF(H4149="credit",0,IF(AE4149="free",0,IF(AE4149="me",0,IF(G4149&gt;0,(VLOOKUP(A4149,'Discount Lookup'!J:K,2)*G4149),0))))</f>
        <v>0</v>
      </c>
      <c r="AJ4149" s="107" t="str">
        <f t="shared" ca="1" si="3091"/>
        <v/>
      </c>
      <c r="AK4149" s="714" t="str">
        <f t="shared" si="3092"/>
        <v/>
      </c>
      <c r="AL4149" s="714"/>
      <c r="AM4149" s="114" t="str">
        <f t="shared" si="3093"/>
        <v/>
      </c>
      <c r="AN4149" s="115"/>
      <c r="AO4149" s="116"/>
      <c r="AP4149" s="116"/>
      <c r="AQ4149" s="116"/>
      <c r="AR4149" s="116"/>
      <c r="AS4149" s="116"/>
      <c r="AT4149" s="116"/>
      <c r="AU4149" s="116"/>
      <c r="AV4149" s="78"/>
      <c r="AW4149" s="102"/>
      <c r="AX4149" s="78"/>
      <c r="AY4149" s="78"/>
      <c r="AZ4149" s="78"/>
      <c r="BA4149" s="78"/>
      <c r="BB4149" s="78"/>
      <c r="BC4149" s="78"/>
      <c r="BD4149" s="78"/>
      <c r="BE4149" s="465"/>
      <c r="BF4149" s="165" t="str">
        <f t="shared" si="3094"/>
        <v>https://www.google.com/search?tbm=isch&amp;q=moist%20sites%F0%9F%92%A7OK%2C%20Forever%20Goldy%20maintains%20year-round%20color%20better%20than%20any%20other%20similar%20Arborvitae.%20Reddish-brown%20bark%20exfoliates%20</v>
      </c>
      <c r="BG4149" s="165" t="str">
        <f t="shared" si="3095"/>
        <v>m</v>
      </c>
      <c r="BH4149" s="65"/>
      <c r="BI4149" s="65"/>
      <c r="BJ4149" s="65"/>
      <c r="BK4149" s="65"/>
      <c r="BL4149" s="99"/>
      <c r="BM4149" s="99"/>
      <c r="BN4149" s="99"/>
    </row>
    <row r="4150" spans="1:66" s="51" customFormat="1" ht="18" x14ac:dyDescent="0.25">
      <c r="A4150" s="507" t="s">
        <v>789</v>
      </c>
      <c r="B4150" s="470"/>
      <c r="C4150" s="706"/>
      <c r="D4150" s="471" t="s">
        <v>5844</v>
      </c>
      <c r="E4150" s="472"/>
      <c r="F4150" s="472"/>
      <c r="G4150" s="472"/>
      <c r="H4150" s="622" t="s">
        <v>574</v>
      </c>
      <c r="I4150" s="473" t="s">
        <v>790</v>
      </c>
      <c r="J4150" s="472"/>
      <c r="K4150" s="472"/>
      <c r="L4150" s="561"/>
      <c r="M4150" s="698" t="s">
        <v>5240</v>
      </c>
      <c r="N4150" s="692" t="str">
        <f>IF(AND(ISTEXT($A4150), ISERROR($A4150+0)), HYPERLINK($BF4150, "Images"), "")</f>
        <v>Images</v>
      </c>
      <c r="O4150" s="694" t="s">
        <v>5264</v>
      </c>
      <c r="P4150" s="475"/>
      <c r="Q4150" s="476"/>
      <c r="R4150" s="476"/>
      <c r="S4150" s="477"/>
      <c r="T4150" s="102">
        <f t="shared" si="3083"/>
        <v>0</v>
      </c>
      <c r="U4150" s="78" t="str">
        <f>IF(NOT(ISNUMBER(G4150)), "", VLOOKUP(A4150,'Discount Lookup'!D:E,2,FALSE)*G4150)</f>
        <v/>
      </c>
      <c r="V4150" s="78" t="str">
        <f>IF(NOT(ISNUMBER(G4150)), "", VLOOKUP(A4150,'Discount Lookup'!G:H,2,FALSE)*G4150)</f>
        <v/>
      </c>
      <c r="W4150" s="102">
        <f t="shared" si="3084"/>
        <v>0</v>
      </c>
      <c r="X4150" s="102" t="str">
        <f t="shared" si="3085"/>
        <v>Green foliage, Yellow tips</v>
      </c>
      <c r="Y4150" s="120" t="b">
        <f t="shared" si="3086"/>
        <v>0</v>
      </c>
      <c r="Z4150" s="117">
        <f t="shared" si="3087"/>
        <v>0</v>
      </c>
      <c r="AA4150" s="118"/>
      <c r="AB4150" s="118" t="str">
        <f t="shared" si="3088"/>
        <v/>
      </c>
      <c r="AC4150" s="712" t="str">
        <f>IF(AE4150="T2G","no charge",IF(AND(OR(PlanterYesMe="No",PlanterYesMe="N",PlanterYesMe="me"),H4150=""),"",IF(H4150="credit","NO install",IF(AND(K4150="",AE4150="me"),"EACH row",IF(AND(K4150="images",AE4150="me"),"EACH row",IF(D4150="","",IF(H4150="credit","",IF(AE4150="free","re-planting",IF(AE4150="me","   not ELP, by",IF(AND(OR(PlanterYesMe="Yes",PlanterYesMe="Y"),G4150&gt;0),(VLOOKUP(A4150,'Discount Lookup'!J:K,2)*G4150*(1-PlanterDiscount)*(1+PlanterDifficultyPercentage)),IF(AE4150="ELP",(VLOOKUP(A4150,'Discount Lookup'!J:K,2)*G4150*(1-PlanterDiscount)*(1+PlanterDifficultyPercentage)),IF(AE4150="free","re-planting",IF(G4150=0,"",IF(PlanterYesMe="",IF(AE4150="me","   not ELP, by",IF(AE4150="",IF(G4150&gt;0,(VLOOKUP(A4150,'Discount Lookup'!J:K,2)*G4150*(1-PlanterDiscount)*(1+PlanterDifficultyPercentage)),""),"")),"   not ELP, by"))))))))))))))</f>
        <v/>
      </c>
      <c r="AD4150" s="712"/>
      <c r="AE4150" s="513" t="str">
        <f t="shared" si="3089"/>
        <v/>
      </c>
      <c r="AF4150" s="713" t="str">
        <f t="shared" si="3090"/>
        <v/>
      </c>
      <c r="AG4150" s="713"/>
      <c r="AH4150" s="713"/>
      <c r="AI4150" s="112">
        <f>IF(H4150="credit",0,IF(AE4150="free",0,IF(AE4150="me",0,IF(G4150&gt;0,(VLOOKUP(A4150,'Discount Lookup'!J:K,2)*G4150),0))))</f>
        <v>0</v>
      </c>
      <c r="AJ4150" s="107" t="str">
        <f t="shared" ca="1" si="3091"/>
        <v/>
      </c>
      <c r="AK4150" s="714" t="str">
        <f t="shared" si="3092"/>
        <v/>
      </c>
      <c r="AL4150" s="714"/>
      <c r="AM4150" s="114" t="str">
        <f t="shared" si="3093"/>
        <v/>
      </c>
      <c r="AN4150" s="115"/>
      <c r="AO4150" s="116"/>
      <c r="AP4150" s="116"/>
      <c r="AQ4150" s="116"/>
      <c r="AR4150" s="116"/>
      <c r="AS4150" s="116"/>
      <c r="AT4150" s="116"/>
      <c r="AU4150" s="116"/>
      <c r="AV4150" s="78"/>
      <c r="AW4150" s="102"/>
      <c r="AX4150" s="78"/>
      <c r="AY4150" s="78"/>
      <c r="AZ4150" s="78"/>
      <c r="BA4150" s="78"/>
      <c r="BB4150" s="78"/>
      <c r="BC4150" s="78"/>
      <c r="BD4150" s="78"/>
      <c r="BE4150" s="465"/>
      <c r="BF4150" s="165" t="str">
        <f t="shared" si="3094"/>
        <v>https://www.google.com/search?tbm=isch&amp;q=Thuja%20plicata%20%27De%20Rakt%27%20PP%2319926%20Sugar%20and%20Spice%C2%AE%20Arborvitae</v>
      </c>
      <c r="BG4150" s="165" t="str">
        <f t="shared" si="3095"/>
        <v>T</v>
      </c>
      <c r="BH4150" s="65"/>
      <c r="BI4150" s="65"/>
      <c r="BJ4150" s="65"/>
      <c r="BK4150" s="65"/>
      <c r="BL4150" s="99"/>
      <c r="BM4150" s="99"/>
      <c r="BN4150" s="99"/>
    </row>
    <row r="4151" spans="1:66" s="51" customFormat="1" ht="15.75" x14ac:dyDescent="0.25">
      <c r="A4151" s="478">
        <v>7</v>
      </c>
      <c r="B4151" s="479" t="s">
        <v>291</v>
      </c>
      <c r="C4151" s="480" t="s">
        <v>920</v>
      </c>
      <c r="D4151" s="481" t="s">
        <v>299</v>
      </c>
      <c r="E4151" s="482">
        <v>95.95</v>
      </c>
      <c r="F4151" s="483" t="s">
        <v>292</v>
      </c>
      <c r="G4151" s="484">
        <v>0</v>
      </c>
      <c r="H4151" s="688" t="str">
        <f>IF(G4151=0,"",IF(F4151="Buy",IF(G4151=1,"plant","plants"),IF(F4151&gt;0.01,"warranty","Error")))</f>
        <v/>
      </c>
      <c r="I4151" s="485">
        <f>IF(H4151="free",0,IF(H4151="credit",((E4151*(F4151))*G4151*-1),IF(F4151="Buy",(E4151*G4151),((E4151*(1-F4151))*G4151))))</f>
        <v>0</v>
      </c>
      <c r="J4151" s="485">
        <f>IF(H4151="warranty",0,(I4151*(_xlfn.SINGLE(SalesTaxPercentage))))</f>
        <v>0</v>
      </c>
      <c r="K4151" s="715">
        <f t="shared" ref="K4151" si="3115">I4151+J4151</f>
        <v>0</v>
      </c>
      <c r="L4151" s="715"/>
      <c r="M4151" s="689" t="str">
        <f ca="1">IF(AND(G4151&gt;0,E4151=0),"WARNING - no PRICE inserted",IF(H4151="free","FREE ~ no charge this plant",IF(H4151="credit",CONCATENATE("-$",ROUND(K4151*(1-_xlfn.SINGLE(T2GDiscount))*-1,2)," CREDIT after discount"),IF(_xlfn.SINGLE(T2GDiscount)=0,"",IF(G4151=0,"",IF(F4151="Buy",CONCATENATE("$",ROUND(K4151*(1-_xlfn.SINGLE(T2GDiscount)),2)," with ",(_xlfn.SINGLE(T2GDiscount)*100),"% discount"),CONCATENATE("$",ROUND(K4151*(1-_xlfn.SINGLE(T2GDiscount)),2)," with ",((_xlfn.SINGLE(T2GDiscount)*100+F4151*100)-(_xlfn.SINGLE(T2GDiscount)*100*F4151)),IF(F4151&gt;0,"% discounts",IF(_xlfn.SINGLE(NoWarrantyDiscount)&gt;0,"% discounts","% discount")))))))))</f>
        <v/>
      </c>
      <c r="N4151" s="690"/>
      <c r="O4151" s="486"/>
      <c r="P4151" s="486"/>
      <c r="Q4151" s="486"/>
      <c r="R4151" s="486"/>
      <c r="S4151" s="486"/>
      <c r="T4151" s="102">
        <f t="shared" si="3083"/>
        <v>0</v>
      </c>
      <c r="U4151" s="78">
        <f>IF(NOT(ISNUMBER(G4151)), "", VLOOKUP(A4151,'Discount Lookup'!D:E,2,FALSE)*G4151)</f>
        <v>0</v>
      </c>
      <c r="V4151" s="78">
        <f>IF(NOT(ISNUMBER(G4151)), "", VLOOKUP(A4151,'Discount Lookup'!G:H,2,FALSE)*G4151)</f>
        <v>0</v>
      </c>
      <c r="W4151" s="102">
        <f t="shared" si="3084"/>
        <v>0</v>
      </c>
      <c r="X4151" s="102">
        <f t="shared" si="3085"/>
        <v>0</v>
      </c>
      <c r="Y4151" s="120" t="b">
        <f t="shared" si="3086"/>
        <v>0</v>
      </c>
      <c r="Z4151" s="117">
        <f t="shared" si="3087"/>
        <v>0</v>
      </c>
      <c r="AA4151" s="118"/>
      <c r="AB4151" s="118" t="str">
        <f t="shared" si="3088"/>
        <v/>
      </c>
      <c r="AC4151" s="712" t="str">
        <f>IF(AE4151="T2G","no charge",IF(AND(OR(PlanterYesMe="No",PlanterYesMe="N",PlanterYesMe="me"),H4151=""),"",IF(H4151="credit","NO install",IF(AND(K4151="",AE4151="me"),"EACH row",IF(AND(K4151="images",AE4151="me"),"EACH row",IF(D4151="","",IF(H4151="credit","",IF(AE4151="free","re-planting",IF(AE4151="me","   not ELP, by",IF(AND(OR(PlanterYesMe="Yes",PlanterYesMe="Y"),G4151&gt;0),(VLOOKUP(A4151,'Discount Lookup'!J:K,2)*G4151*(1-PlanterDiscount)*(1+PlanterDifficultyPercentage)),IF(AE4151="ELP",(VLOOKUP(A4151,'Discount Lookup'!J:K,2)*G4151*(1-PlanterDiscount)*(1+PlanterDifficultyPercentage)),IF(AE4151="free","re-planting",IF(G4151=0,"",IF(PlanterYesMe="",IF(AE4151="me","   not ELP, by",IF(AE4151="",IF(G4151&gt;0,(VLOOKUP(A4151,'Discount Lookup'!J:K,2)*G4151*(1-PlanterDiscount)*(1+PlanterDifficultyPercentage)),""),"")),"   not ELP, by"))))))))))))))</f>
        <v/>
      </c>
      <c r="AD4151" s="712"/>
      <c r="AE4151" s="513" t="str">
        <f t="shared" si="3089"/>
        <v/>
      </c>
      <c r="AF4151" s="713" t="str">
        <f t="shared" si="3090"/>
        <v/>
      </c>
      <c r="AG4151" s="713"/>
      <c r="AH4151" s="713"/>
      <c r="AI4151" s="112">
        <f>IF(H4151="credit",0,IF(AE4151="free",0,IF(AE4151="me",0,IF(G4151&gt;0,(VLOOKUP(A4151,'Discount Lookup'!J:K,2)*G4151),0))))</f>
        <v>0</v>
      </c>
      <c r="AJ4151" s="107" t="str">
        <f t="shared" ca="1" si="3091"/>
        <v/>
      </c>
      <c r="AK4151" s="714" t="str">
        <f t="shared" si="3092"/>
        <v/>
      </c>
      <c r="AL4151" s="714"/>
      <c r="AM4151" s="114" t="str">
        <f t="shared" si="3093"/>
        <v/>
      </c>
      <c r="AN4151" s="115"/>
      <c r="AO4151" s="116"/>
      <c r="AP4151" s="116"/>
      <c r="AQ4151" s="116"/>
      <c r="AR4151" s="116"/>
      <c r="AS4151" s="116"/>
      <c r="AT4151" s="116"/>
      <c r="AU4151" s="116"/>
      <c r="AV4151" s="78"/>
      <c r="AW4151" s="102"/>
      <c r="AX4151" s="78"/>
      <c r="AY4151" s="78"/>
      <c r="AZ4151" s="78"/>
      <c r="BA4151" s="78"/>
      <c r="BB4151" s="78"/>
      <c r="BC4151" s="78"/>
      <c r="BD4151" s="78"/>
      <c r="BE4151" s="465"/>
      <c r="BF4151" s="165" t="str">
        <f t="shared" si="3094"/>
        <v>https://www.google.com/search?tbm=isch&amp;q=7%20G4</v>
      </c>
      <c r="BG4151" s="165" t="str">
        <f t="shared" si="3095"/>
        <v>T</v>
      </c>
      <c r="BH4151" s="65"/>
      <c r="BI4151" s="65"/>
      <c r="BJ4151" s="65"/>
      <c r="BK4151" s="65"/>
      <c r="BL4151" s="99"/>
      <c r="BM4151" s="99"/>
      <c r="BN4151" s="99"/>
    </row>
    <row r="4152" spans="1:66" s="51" customFormat="1" ht="15.75" x14ac:dyDescent="0.25">
      <c r="A4152" s="478">
        <v>15</v>
      </c>
      <c r="B4152" s="479" t="s">
        <v>291</v>
      </c>
      <c r="C4152" s="480" t="s">
        <v>1025</v>
      </c>
      <c r="D4152" s="481" t="s">
        <v>299</v>
      </c>
      <c r="E4152" s="482">
        <v>169.95</v>
      </c>
      <c r="F4152" s="483" t="s">
        <v>292</v>
      </c>
      <c r="G4152" s="484">
        <v>0</v>
      </c>
      <c r="H4152" s="688" t="str">
        <f>IF(G4152=0,"",IF(F4152="Buy",IF(G4152=1,"plant","plants"),IF(F4152&gt;0.01,"warranty","Error")))</f>
        <v/>
      </c>
      <c r="I4152" s="485">
        <f>IF(H4152="free",0,IF(H4152="credit",((E4152*(F4152))*G4152*-1),IF(F4152="Buy",(E4152*G4152),((E4152*(1-F4152))*G4152))))</f>
        <v>0</v>
      </c>
      <c r="J4152" s="485">
        <f>IF(H4152="warranty",0,(I4152*(_xlfn.SINGLE(SalesTaxPercentage))))</f>
        <v>0</v>
      </c>
      <c r="K4152" s="715">
        <f t="shared" ref="K4152" si="3116">I4152+J4152</f>
        <v>0</v>
      </c>
      <c r="L4152" s="715"/>
      <c r="M4152" s="689" t="str">
        <f ca="1">IF(AND(G4152&gt;0,E4152=0),"WARNING - no PRICE inserted",IF(H4152="free","FREE ~ no charge this plant",IF(H4152="credit",CONCATENATE("-$",ROUND(K4152*(1-_xlfn.SINGLE(T2GDiscount))*-1,2)," CREDIT after discount"),IF(_xlfn.SINGLE(T2GDiscount)=0,"",IF(G4152=0,"",IF(F4152="Buy",CONCATENATE("$",ROUND(K4152*(1-_xlfn.SINGLE(T2GDiscount)),2)," with ",(_xlfn.SINGLE(T2GDiscount)*100),"% discount"),CONCATENATE("$",ROUND(K4152*(1-_xlfn.SINGLE(T2GDiscount)),2)," with ",((_xlfn.SINGLE(T2GDiscount)*100+F4152*100)-(_xlfn.SINGLE(T2GDiscount)*100*F4152)),IF(F4152&gt;0,"% discounts",IF(_xlfn.SINGLE(NoWarrantyDiscount)&gt;0,"% discounts","% discount")))))))))</f>
        <v/>
      </c>
      <c r="N4152" s="690"/>
      <c r="O4152" s="486"/>
      <c r="P4152" s="486"/>
      <c r="Q4152" s="486"/>
      <c r="R4152" s="486"/>
      <c r="S4152" s="486"/>
      <c r="T4152" s="102">
        <f t="shared" si="3083"/>
        <v>0</v>
      </c>
      <c r="U4152" s="78">
        <f>IF(NOT(ISNUMBER(G4152)), "", VLOOKUP(A4152,'Discount Lookup'!D:E,2,FALSE)*G4152)</f>
        <v>0</v>
      </c>
      <c r="V4152" s="78">
        <f>IF(NOT(ISNUMBER(G4152)), "", VLOOKUP(A4152,'Discount Lookup'!G:H,2,FALSE)*G4152)</f>
        <v>0</v>
      </c>
      <c r="W4152" s="102">
        <f t="shared" si="3084"/>
        <v>0</v>
      </c>
      <c r="X4152" s="102">
        <f t="shared" si="3085"/>
        <v>0</v>
      </c>
      <c r="Y4152" s="120" t="b">
        <f t="shared" si="3086"/>
        <v>0</v>
      </c>
      <c r="Z4152" s="117">
        <f t="shared" si="3087"/>
        <v>0</v>
      </c>
      <c r="AA4152" s="118"/>
      <c r="AB4152" s="118" t="str">
        <f t="shared" si="3088"/>
        <v/>
      </c>
      <c r="AC4152" s="712" t="str">
        <f>IF(AE4152="T2G","no charge",IF(AND(OR(PlanterYesMe="No",PlanterYesMe="N",PlanterYesMe="me"),H4152=""),"",IF(H4152="credit","NO install",IF(AND(K4152="",AE4152="me"),"EACH row",IF(AND(K4152="images",AE4152="me"),"EACH row",IF(D4152="","",IF(H4152="credit","",IF(AE4152="free","re-planting",IF(AE4152="me","   not ELP, by",IF(AND(OR(PlanterYesMe="Yes",PlanterYesMe="Y"),G4152&gt;0),(VLOOKUP(A4152,'Discount Lookup'!J:K,2)*G4152*(1-PlanterDiscount)*(1+PlanterDifficultyPercentage)),IF(AE4152="ELP",(VLOOKUP(A4152,'Discount Lookup'!J:K,2)*G4152*(1-PlanterDiscount)*(1+PlanterDifficultyPercentage)),IF(AE4152="free","re-planting",IF(G4152=0,"",IF(PlanterYesMe="",IF(AE4152="me","   not ELP, by",IF(AE4152="",IF(G4152&gt;0,(VLOOKUP(A4152,'Discount Lookup'!J:K,2)*G4152*(1-PlanterDiscount)*(1+PlanterDifficultyPercentage)),""),"")),"   not ELP, by"))))))))))))))</f>
        <v/>
      </c>
      <c r="AD4152" s="712"/>
      <c r="AE4152" s="513" t="str">
        <f t="shared" si="3089"/>
        <v/>
      </c>
      <c r="AF4152" s="713" t="str">
        <f t="shared" si="3090"/>
        <v/>
      </c>
      <c r="AG4152" s="713"/>
      <c r="AH4152" s="713"/>
      <c r="AI4152" s="112">
        <f>IF(H4152="credit",0,IF(AE4152="free",0,IF(AE4152="me",0,IF(G4152&gt;0,(VLOOKUP(A4152,'Discount Lookup'!J:K,2)*G4152),0))))</f>
        <v>0</v>
      </c>
      <c r="AJ4152" s="107" t="str">
        <f t="shared" ca="1" si="3091"/>
        <v/>
      </c>
      <c r="AK4152" s="714" t="str">
        <f t="shared" si="3092"/>
        <v/>
      </c>
      <c r="AL4152" s="714"/>
      <c r="AM4152" s="114" t="str">
        <f t="shared" si="3093"/>
        <v/>
      </c>
      <c r="AN4152" s="115"/>
      <c r="AO4152" s="116"/>
      <c r="AP4152" s="116"/>
      <c r="AQ4152" s="116"/>
      <c r="AR4152" s="116"/>
      <c r="AS4152" s="116"/>
      <c r="AT4152" s="116"/>
      <c r="AU4152" s="116"/>
      <c r="AV4152" s="78"/>
      <c r="AW4152" s="102"/>
      <c r="AX4152" s="78"/>
      <c r="AY4152" s="78"/>
      <c r="AZ4152" s="78"/>
      <c r="BA4152" s="78"/>
      <c r="BB4152" s="78"/>
      <c r="BC4152" s="78"/>
      <c r="BD4152" s="78"/>
      <c r="BE4152" s="465"/>
      <c r="BF4152" s="165" t="str">
        <f t="shared" si="3094"/>
        <v>https://www.google.com/search?tbm=isch&amp;q=15%20G4</v>
      </c>
      <c r="BG4152" s="165" t="str">
        <f t="shared" si="3095"/>
        <v>T</v>
      </c>
      <c r="BH4152" s="65"/>
      <c r="BI4152" s="65"/>
      <c r="BJ4152" s="65"/>
      <c r="BK4152" s="65"/>
      <c r="BL4152" s="99"/>
      <c r="BM4152" s="99"/>
      <c r="BN4152" s="99"/>
    </row>
    <row r="4153" spans="1:66" s="51" customFormat="1" ht="16.5" thickBot="1" x14ac:dyDescent="0.3">
      <c r="A4153" s="705" t="s">
        <v>5551</v>
      </c>
      <c r="B4153" s="487"/>
      <c r="C4153" s="707"/>
      <c r="D4153" s="487"/>
      <c r="E4153" s="487"/>
      <c r="F4153" s="488"/>
      <c r="G4153" s="489"/>
      <c r="H4153" s="487"/>
      <c r="I4153" s="490"/>
      <c r="J4153" s="490"/>
      <c r="K4153" s="491"/>
      <c r="L4153" s="547"/>
      <c r="M4153" s="528"/>
      <c r="N4153" s="492"/>
      <c r="O4153" s="493"/>
      <c r="P4153" s="494"/>
      <c r="Q4153" s="492"/>
      <c r="R4153" s="492"/>
      <c r="S4153" s="495"/>
      <c r="T4153" s="102">
        <f t="shared" si="3083"/>
        <v>0</v>
      </c>
      <c r="U4153" s="78" t="str">
        <f>IF(NOT(ISNUMBER(G4153)), "", VLOOKUP(A4153,'Discount Lookup'!D:E,2,FALSE)*G4153)</f>
        <v/>
      </c>
      <c r="V4153" s="78" t="str">
        <f>IF(NOT(ISNUMBER(G4153)), "", VLOOKUP(A4153,'Discount Lookup'!G:H,2,FALSE)*G4153)</f>
        <v/>
      </c>
      <c r="W4153" s="102">
        <f t="shared" si="3084"/>
        <v>0</v>
      </c>
      <c r="X4153" s="102">
        <f t="shared" si="3085"/>
        <v>0</v>
      </c>
      <c r="Y4153" s="120" t="b">
        <f t="shared" si="3086"/>
        <v>0</v>
      </c>
      <c r="Z4153" s="117">
        <f t="shared" si="3087"/>
        <v>0</v>
      </c>
      <c r="AA4153" s="118"/>
      <c r="AB4153" s="118" t="str">
        <f t="shared" si="3088"/>
        <v/>
      </c>
      <c r="AC4153" s="712" t="str">
        <f>IF(AE4153="T2G","no charge",IF(AND(OR(PlanterYesMe="No",PlanterYesMe="N",PlanterYesMe="me"),H4153=""),"",IF(H4153="credit","NO install",IF(AND(K4153="",AE4153="me"),"EACH row",IF(AND(K4153="images",AE4153="me"),"EACH row",IF(D4153="","",IF(H4153="credit","",IF(AE4153="free","re-planting",IF(AE4153="me","   not ELP, by",IF(AND(OR(PlanterYesMe="Yes",PlanterYesMe="Y"),G4153&gt;0),(VLOOKUP(A4153,'Discount Lookup'!J:K,2)*G4153*(1-PlanterDiscount)*(1+PlanterDifficultyPercentage)),IF(AE4153="ELP",(VLOOKUP(A4153,'Discount Lookup'!J:K,2)*G4153*(1-PlanterDiscount)*(1+PlanterDifficultyPercentage)),IF(AE4153="free","re-planting",IF(G4153=0,"",IF(PlanterYesMe="",IF(AE4153="me","   not ELP, by",IF(AE4153="",IF(G4153&gt;0,(VLOOKUP(A4153,'Discount Lookup'!J:K,2)*G4153*(1-PlanterDiscount)*(1+PlanterDifficultyPercentage)),""),"")),"   not ELP, by"))))))))))))))</f>
        <v/>
      </c>
      <c r="AD4153" s="712"/>
      <c r="AE4153" s="513" t="str">
        <f t="shared" si="3089"/>
        <v/>
      </c>
      <c r="AF4153" s="713" t="str">
        <f t="shared" si="3090"/>
        <v/>
      </c>
      <c r="AG4153" s="713"/>
      <c r="AH4153" s="713"/>
      <c r="AI4153" s="112">
        <f>IF(H4153="credit",0,IF(AE4153="free",0,IF(AE4153="me",0,IF(G4153&gt;0,(VLOOKUP(A4153,'Discount Lookup'!J:K,2)*G4153),0))))</f>
        <v>0</v>
      </c>
      <c r="AJ4153" s="107" t="str">
        <f t="shared" ca="1" si="3091"/>
        <v/>
      </c>
      <c r="AK4153" s="714" t="str">
        <f t="shared" si="3092"/>
        <v/>
      </c>
      <c r="AL4153" s="714"/>
      <c r="AM4153" s="114" t="str">
        <f t="shared" si="3093"/>
        <v/>
      </c>
      <c r="AN4153" s="115"/>
      <c r="AO4153" s="116"/>
      <c r="AP4153" s="116"/>
      <c r="AQ4153" s="116"/>
      <c r="AR4153" s="116"/>
      <c r="AS4153" s="116"/>
      <c r="AT4153" s="116"/>
      <c r="AU4153" s="116"/>
      <c r="AV4153" s="78"/>
      <c r="AW4153" s="102"/>
      <c r="AX4153" s="78"/>
      <c r="AY4153" s="78"/>
      <c r="AZ4153" s="78"/>
      <c r="BA4153" s="78"/>
      <c r="BB4153" s="78"/>
      <c r="BC4153" s="78"/>
      <c r="BD4153" s="78"/>
      <c r="BE4153" s="465"/>
      <c r="BF4153" s="165" t="str">
        <f t="shared" si="3094"/>
        <v>https://www.google.com/search?tbm=isch&amp;q=moist%20sites%F0%9F%92%A7OK%2C%20Sugar%20%26%20Spice%20has%20scented%2C%20soft%2C%20feathery%20variegated%20foliage%20that%20retains%20color%20through%20winter.%20Pyramidal%20form.%20Improved%20heat%20resistance%20</v>
      </c>
      <c r="BG4153" s="165" t="str">
        <f t="shared" si="3095"/>
        <v>m</v>
      </c>
      <c r="BH4153" s="65"/>
      <c r="BI4153" s="65"/>
      <c r="BJ4153" s="65"/>
      <c r="BK4153" s="65"/>
      <c r="BL4153" s="99"/>
      <c r="BM4153" s="99"/>
      <c r="BN4153" s="99"/>
    </row>
    <row r="4154" spans="1:66" s="51" customFormat="1" ht="18" x14ac:dyDescent="0.25">
      <c r="A4154" s="507" t="s">
        <v>791</v>
      </c>
      <c r="B4154" s="470"/>
      <c r="C4154" s="706"/>
      <c r="D4154" s="471" t="s">
        <v>792</v>
      </c>
      <c r="E4154" s="472"/>
      <c r="F4154" s="472"/>
      <c r="G4154" s="472"/>
      <c r="H4154" s="622" t="s">
        <v>793</v>
      </c>
      <c r="I4154" s="473" t="s">
        <v>432</v>
      </c>
      <c r="J4154" s="472"/>
      <c r="K4154" s="472"/>
      <c r="L4154" s="561"/>
      <c r="M4154" s="698" t="s">
        <v>5240</v>
      </c>
      <c r="N4154" s="692" t="str">
        <f>IF(AND(ISTEXT($A4154), ISERROR($A4154+0)), HYPERLINK($BF4154, "Images"), "")</f>
        <v>Images</v>
      </c>
      <c r="O4154" s="694" t="s">
        <v>5264</v>
      </c>
      <c r="P4154" s="475"/>
      <c r="Q4154" s="476"/>
      <c r="R4154" s="476"/>
      <c r="S4154" s="477"/>
      <c r="T4154" s="102">
        <f t="shared" si="3083"/>
        <v>0</v>
      </c>
      <c r="U4154" s="78" t="str">
        <f>IF(NOT(ISNUMBER(G4154)), "", VLOOKUP(A4154,'Discount Lookup'!D:E,2,FALSE)*G4154)</f>
        <v/>
      </c>
      <c r="V4154" s="78" t="str">
        <f>IF(NOT(ISNUMBER(G4154)), "", VLOOKUP(A4154,'Discount Lookup'!G:H,2,FALSE)*G4154)</f>
        <v/>
      </c>
      <c r="W4154" s="102">
        <f t="shared" si="3084"/>
        <v>0</v>
      </c>
      <c r="X4154" s="102" t="str">
        <f t="shared" si="3085"/>
        <v>Green foliage</v>
      </c>
      <c r="Y4154" s="120" t="b">
        <f t="shared" si="3086"/>
        <v>0</v>
      </c>
      <c r="Z4154" s="117">
        <f t="shared" si="3087"/>
        <v>0</v>
      </c>
      <c r="AA4154" s="118"/>
      <c r="AB4154" s="118" t="str">
        <f t="shared" si="3088"/>
        <v/>
      </c>
      <c r="AC4154" s="712" t="str">
        <f>IF(AE4154="T2G","no charge",IF(AND(OR(PlanterYesMe="No",PlanterYesMe="N",PlanterYesMe="me"),H4154=""),"",IF(H4154="credit","NO install",IF(AND(K4154="",AE4154="me"),"EACH row",IF(AND(K4154="images",AE4154="me"),"EACH row",IF(D4154="","",IF(H4154="credit","",IF(AE4154="free","re-planting",IF(AE4154="me","   not ELP, by",IF(AND(OR(PlanterYesMe="Yes",PlanterYesMe="Y"),G4154&gt;0),(VLOOKUP(A4154,'Discount Lookup'!J:K,2)*G4154*(1-PlanterDiscount)*(1+PlanterDifficultyPercentage)),IF(AE4154="ELP",(VLOOKUP(A4154,'Discount Lookup'!J:K,2)*G4154*(1-PlanterDiscount)*(1+PlanterDifficultyPercentage)),IF(AE4154="free","re-planting",IF(G4154=0,"",IF(PlanterYesMe="",IF(AE4154="me","   not ELP, by",IF(AE4154="",IF(G4154&gt;0,(VLOOKUP(A4154,'Discount Lookup'!J:K,2)*G4154*(1-PlanterDiscount)*(1+PlanterDifficultyPercentage)),""),"")),"   not ELP, by"))))))))))))))</f>
        <v/>
      </c>
      <c r="AD4154" s="712"/>
      <c r="AE4154" s="513" t="str">
        <f t="shared" si="3089"/>
        <v/>
      </c>
      <c r="AF4154" s="713" t="str">
        <f t="shared" si="3090"/>
        <v/>
      </c>
      <c r="AG4154" s="713"/>
      <c r="AH4154" s="713"/>
      <c r="AI4154" s="112">
        <f>IF(H4154="credit",0,IF(AE4154="free",0,IF(AE4154="me",0,IF(G4154&gt;0,(VLOOKUP(A4154,'Discount Lookup'!J:K,2)*G4154),0))))</f>
        <v>0</v>
      </c>
      <c r="AJ4154" s="107" t="str">
        <f t="shared" ca="1" si="3091"/>
        <v/>
      </c>
      <c r="AK4154" s="714" t="str">
        <f t="shared" si="3092"/>
        <v/>
      </c>
      <c r="AL4154" s="714"/>
      <c r="AM4154" s="114" t="str">
        <f t="shared" si="3093"/>
        <v/>
      </c>
      <c r="AN4154" s="115"/>
      <c r="AO4154" s="116"/>
      <c r="AP4154" s="116"/>
      <c r="AQ4154" s="116"/>
      <c r="AR4154" s="116"/>
      <c r="AS4154" s="116"/>
      <c r="AT4154" s="116"/>
      <c r="AU4154" s="116"/>
      <c r="AV4154" s="78"/>
      <c r="AW4154" s="102"/>
      <c r="AX4154" s="78"/>
      <c r="AY4154" s="78"/>
      <c r="AZ4154" s="78"/>
      <c r="BA4154" s="78"/>
      <c r="BB4154" s="78"/>
      <c r="BC4154" s="78"/>
      <c r="BD4154" s="78"/>
      <c r="BE4154" s="465"/>
      <c r="BF4154" s="165" t="str">
        <f t="shared" si="3094"/>
        <v>https://www.google.com/search?tbm=isch&amp;q=Thuja%20plicata%20%27Green%20Giant%27%20Green%20Giant%20Arborvitae</v>
      </c>
      <c r="BG4154" s="165" t="str">
        <f t="shared" si="3095"/>
        <v>T</v>
      </c>
      <c r="BH4154" s="65"/>
      <c r="BI4154" s="65"/>
      <c r="BJ4154" s="65"/>
      <c r="BK4154" s="65"/>
      <c r="BL4154" s="99"/>
      <c r="BM4154" s="99"/>
      <c r="BN4154" s="99"/>
    </row>
    <row r="4155" spans="1:66" s="51" customFormat="1" ht="15.75" x14ac:dyDescent="0.25">
      <c r="A4155" s="478">
        <v>1</v>
      </c>
      <c r="B4155" s="479" t="s">
        <v>291</v>
      </c>
      <c r="C4155" s="480"/>
      <c r="D4155" s="481" t="s">
        <v>310</v>
      </c>
      <c r="E4155" s="482">
        <v>7.95</v>
      </c>
      <c r="F4155" s="483" t="s">
        <v>292</v>
      </c>
      <c r="G4155" s="484">
        <v>0</v>
      </c>
      <c r="H4155" s="688" t="str">
        <f t="shared" ref="H4155:H4169" si="3117">IF(G4155=0,"",IF(F4155="Buy",IF(G4155=1,"plant","plants"),IF(F4155&gt;0.01,"warranty","Error")))</f>
        <v/>
      </c>
      <c r="I4155" s="485">
        <f t="shared" ref="I4155:I4169" si="3118">IF(H4155="free",0,IF(H4155="credit",((E4155*(F4155))*G4155*-1),IF(F4155="Buy",(E4155*G4155),((E4155*(1-F4155))*G4155))))</f>
        <v>0</v>
      </c>
      <c r="J4155" s="485">
        <f t="shared" ref="J4155:J4169" si="3119">IF(H4155="warranty",0,(I4155*(_xlfn.SINGLE(SalesTaxPercentage))))</f>
        <v>0</v>
      </c>
      <c r="K4155" s="715">
        <f t="shared" ref="K4155" si="3120">I4155+J4155</f>
        <v>0</v>
      </c>
      <c r="L4155" s="715"/>
      <c r="M4155" s="689" t="str">
        <f t="shared" ref="M4155:M4169" ca="1" si="3121">IF(AND(G4155&gt;0,E4155=0),"WARNING - no PRICE inserted",IF(H4155="free","FREE ~ no charge this plant",IF(H4155="credit",CONCATENATE("-$",ROUND(K4155*(1-_xlfn.SINGLE(T2GDiscount))*-1,2)," CREDIT after discount"),IF(_xlfn.SINGLE(T2GDiscount)=0,"",IF(G4155=0,"",IF(F4155="Buy",CONCATENATE("$",ROUND(K4155*(1-_xlfn.SINGLE(T2GDiscount)),2)," with ",(_xlfn.SINGLE(T2GDiscount)*100),"% discount"),CONCATENATE("$",ROUND(K4155*(1-_xlfn.SINGLE(T2GDiscount)),2)," with ",((_xlfn.SINGLE(T2GDiscount)*100+F4155*100)-(_xlfn.SINGLE(T2GDiscount)*100*F4155)),IF(F4155&gt;0,"% discounts",IF(_xlfn.SINGLE(NoWarrantyDiscount)&gt;0,"% discounts","% discount")))))))))</f>
        <v/>
      </c>
      <c r="N4155" s="690"/>
      <c r="O4155" s="486"/>
      <c r="P4155" s="486"/>
      <c r="Q4155" s="486"/>
      <c r="R4155" s="486"/>
      <c r="S4155" s="486"/>
      <c r="T4155" s="102">
        <f t="shared" si="3083"/>
        <v>0</v>
      </c>
      <c r="U4155" s="78">
        <f>IF(NOT(ISNUMBER(G4155)), "", VLOOKUP(A4155,'Discount Lookup'!D:E,2,FALSE)*G4155)</f>
        <v>0</v>
      </c>
      <c r="V4155" s="78">
        <f>IF(NOT(ISNUMBER(G4155)), "", VLOOKUP(A4155,'Discount Lookup'!G:H,2,FALSE)*G4155)</f>
        <v>0</v>
      </c>
      <c r="W4155" s="102">
        <f t="shared" si="3084"/>
        <v>0</v>
      </c>
      <c r="X4155" s="102">
        <f t="shared" si="3085"/>
        <v>0</v>
      </c>
      <c r="Y4155" s="120" t="b">
        <f t="shared" si="3086"/>
        <v>0</v>
      </c>
      <c r="Z4155" s="117">
        <f t="shared" si="3087"/>
        <v>0</v>
      </c>
      <c r="AA4155" s="118"/>
      <c r="AB4155" s="118" t="str">
        <f t="shared" si="3088"/>
        <v/>
      </c>
      <c r="AC4155" s="712" t="str">
        <f>IF(AE4155="T2G","no charge",IF(AND(OR(PlanterYesMe="No",PlanterYesMe="N",PlanterYesMe="me"),H4155=""),"",IF(H4155="credit","NO install",IF(AND(K4155="",AE4155="me"),"EACH row",IF(AND(K4155="images",AE4155="me"),"EACH row",IF(D4155="","",IF(H4155="credit","",IF(AE4155="free","re-planting",IF(AE4155="me","   not ELP, by",IF(AND(OR(PlanterYesMe="Yes",PlanterYesMe="Y"),G4155&gt;0),(VLOOKUP(A4155,'Discount Lookup'!J:K,2)*G4155*(1-PlanterDiscount)*(1+PlanterDifficultyPercentage)),IF(AE4155="ELP",(VLOOKUP(A4155,'Discount Lookup'!J:K,2)*G4155*(1-PlanterDiscount)*(1+PlanterDifficultyPercentage)),IF(AE4155="free","re-planting",IF(G4155=0,"",IF(PlanterYesMe="",IF(AE4155="me","   not ELP, by",IF(AE4155="",IF(G4155&gt;0,(VLOOKUP(A4155,'Discount Lookup'!J:K,2)*G4155*(1-PlanterDiscount)*(1+PlanterDifficultyPercentage)),""),"")),"   not ELP, by"))))))))))))))</f>
        <v/>
      </c>
      <c r="AD4155" s="712"/>
      <c r="AE4155" s="513" t="str">
        <f t="shared" si="3089"/>
        <v/>
      </c>
      <c r="AF4155" s="713" t="str">
        <f t="shared" si="3090"/>
        <v/>
      </c>
      <c r="AG4155" s="713"/>
      <c r="AH4155" s="713"/>
      <c r="AI4155" s="112">
        <f>IF(H4155="credit",0,IF(AE4155="free",0,IF(AE4155="me",0,IF(G4155&gt;0,(VLOOKUP(A4155,'Discount Lookup'!J:K,2)*G4155),0))))</f>
        <v>0</v>
      </c>
      <c r="AJ4155" s="107" t="str">
        <f t="shared" ca="1" si="3091"/>
        <v/>
      </c>
      <c r="AK4155" s="714" t="str">
        <f t="shared" si="3092"/>
        <v/>
      </c>
      <c r="AL4155" s="714"/>
      <c r="AM4155" s="114" t="str">
        <f t="shared" si="3093"/>
        <v/>
      </c>
      <c r="AN4155" s="115"/>
      <c r="AO4155" s="116"/>
      <c r="AP4155" s="116"/>
      <c r="AQ4155" s="116"/>
      <c r="AR4155" s="116"/>
      <c r="AS4155" s="116"/>
      <c r="AT4155" s="116"/>
      <c r="AU4155" s="116"/>
      <c r="AV4155" s="78"/>
      <c r="AW4155" s="102"/>
      <c r="AX4155" s="78"/>
      <c r="AY4155" s="78"/>
      <c r="AZ4155" s="78"/>
      <c r="BA4155" s="78"/>
      <c r="BB4155" s="78"/>
      <c r="BC4155" s="78"/>
      <c r="BD4155" s="78"/>
      <c r="BE4155" s="465"/>
      <c r="BF4155" s="165" t="str">
        <f t="shared" si="3094"/>
        <v>https://www.google.com/search?tbm=isch&amp;q=1%20G1</v>
      </c>
      <c r="BG4155" s="165" t="str">
        <f t="shared" si="3095"/>
        <v>T</v>
      </c>
      <c r="BH4155" s="65"/>
      <c r="BI4155" s="65"/>
      <c r="BJ4155" s="65"/>
      <c r="BK4155" s="65"/>
      <c r="BL4155" s="99"/>
      <c r="BM4155" s="99"/>
      <c r="BN4155" s="99"/>
    </row>
    <row r="4156" spans="1:66" s="51" customFormat="1" ht="15.75" x14ac:dyDescent="0.25">
      <c r="A4156" s="478">
        <v>1</v>
      </c>
      <c r="B4156" s="479" t="s">
        <v>291</v>
      </c>
      <c r="C4156" s="480" t="s">
        <v>917</v>
      </c>
      <c r="D4156" s="481" t="s">
        <v>311</v>
      </c>
      <c r="E4156" s="482">
        <v>10.95</v>
      </c>
      <c r="F4156" s="483" t="s">
        <v>292</v>
      </c>
      <c r="G4156" s="484">
        <v>0</v>
      </c>
      <c r="H4156" s="688" t="str">
        <f t="shared" si="3117"/>
        <v/>
      </c>
      <c r="I4156" s="485">
        <f t="shared" si="3118"/>
        <v>0</v>
      </c>
      <c r="J4156" s="485">
        <f t="shared" si="3119"/>
        <v>0</v>
      </c>
      <c r="K4156" s="715">
        <f t="shared" ref="K4156" si="3122">I4156+J4156</f>
        <v>0</v>
      </c>
      <c r="L4156" s="715"/>
      <c r="M4156" s="689" t="str">
        <f t="shared" ca="1" si="3121"/>
        <v/>
      </c>
      <c r="N4156" s="690"/>
      <c r="O4156" s="486"/>
      <c r="P4156" s="486"/>
      <c r="Q4156" s="486"/>
      <c r="R4156" s="486"/>
      <c r="S4156" s="486"/>
      <c r="T4156" s="102">
        <f t="shared" si="3083"/>
        <v>0</v>
      </c>
      <c r="U4156" s="78">
        <f>IF(NOT(ISNUMBER(G4156)), "", VLOOKUP(A4156,'Discount Lookup'!D:E,2,FALSE)*G4156)</f>
        <v>0</v>
      </c>
      <c r="V4156" s="78">
        <f>IF(NOT(ISNUMBER(G4156)), "", VLOOKUP(A4156,'Discount Lookup'!G:H,2,FALSE)*G4156)</f>
        <v>0</v>
      </c>
      <c r="W4156" s="102">
        <f t="shared" si="3084"/>
        <v>0</v>
      </c>
      <c r="X4156" s="102">
        <f t="shared" si="3085"/>
        <v>0</v>
      </c>
      <c r="Y4156" s="120" t="b">
        <f t="shared" si="3086"/>
        <v>0</v>
      </c>
      <c r="Z4156" s="117">
        <f t="shared" si="3087"/>
        <v>0</v>
      </c>
      <c r="AA4156" s="118"/>
      <c r="AB4156" s="118" t="str">
        <f t="shared" si="3088"/>
        <v/>
      </c>
      <c r="AC4156" s="712" t="str">
        <f>IF(AE4156="T2G","no charge",IF(AND(OR(PlanterYesMe="No",PlanterYesMe="N",PlanterYesMe="me"),H4156=""),"",IF(H4156="credit","NO install",IF(AND(K4156="",AE4156="me"),"EACH row",IF(AND(K4156="images",AE4156="me"),"EACH row",IF(D4156="","",IF(H4156="credit","",IF(AE4156="free","re-planting",IF(AE4156="me","   not ELP, by",IF(AND(OR(PlanterYesMe="Yes",PlanterYesMe="Y"),G4156&gt;0),(VLOOKUP(A4156,'Discount Lookup'!J:K,2)*G4156*(1-PlanterDiscount)*(1+PlanterDifficultyPercentage)),IF(AE4156="ELP",(VLOOKUP(A4156,'Discount Lookup'!J:K,2)*G4156*(1-PlanterDiscount)*(1+PlanterDifficultyPercentage)),IF(AE4156="free","re-planting",IF(G4156=0,"",IF(PlanterYesMe="",IF(AE4156="me","   not ELP, by",IF(AE4156="",IF(G4156&gt;0,(VLOOKUP(A4156,'Discount Lookup'!J:K,2)*G4156*(1-PlanterDiscount)*(1+PlanterDifficultyPercentage)),""),"")),"   not ELP, by"))))))))))))))</f>
        <v/>
      </c>
      <c r="AD4156" s="712"/>
      <c r="AE4156" s="513" t="str">
        <f t="shared" si="3089"/>
        <v/>
      </c>
      <c r="AF4156" s="713" t="str">
        <f t="shared" si="3090"/>
        <v/>
      </c>
      <c r="AG4156" s="713"/>
      <c r="AH4156" s="713"/>
      <c r="AI4156" s="112">
        <f>IF(H4156="credit",0,IF(AE4156="free",0,IF(AE4156="me",0,IF(G4156&gt;0,(VLOOKUP(A4156,'Discount Lookup'!J:K,2)*G4156),0))))</f>
        <v>0</v>
      </c>
      <c r="AJ4156" s="107" t="str">
        <f t="shared" ca="1" si="3091"/>
        <v/>
      </c>
      <c r="AK4156" s="714" t="str">
        <f t="shared" si="3092"/>
        <v/>
      </c>
      <c r="AL4156" s="714"/>
      <c r="AM4156" s="114" t="str">
        <f t="shared" si="3093"/>
        <v/>
      </c>
      <c r="AN4156" s="115"/>
      <c r="AO4156" s="116"/>
      <c r="AP4156" s="116"/>
      <c r="AQ4156" s="116"/>
      <c r="AR4156" s="116"/>
      <c r="AS4156" s="116"/>
      <c r="AT4156" s="116"/>
      <c r="AU4156" s="116"/>
      <c r="AV4156" s="78"/>
      <c r="AW4156" s="102"/>
      <c r="AX4156" s="78"/>
      <c r="AY4156" s="78"/>
      <c r="AZ4156" s="78"/>
      <c r="BA4156" s="78"/>
      <c r="BB4156" s="78"/>
      <c r="BC4156" s="78"/>
      <c r="BD4156" s="78"/>
      <c r="BE4156" s="465"/>
      <c r="BF4156" s="165" t="str">
        <f t="shared" si="3094"/>
        <v>https://www.google.com/search?tbm=isch&amp;q=1%20G5</v>
      </c>
      <c r="BG4156" s="165" t="str">
        <f t="shared" si="3095"/>
        <v>T</v>
      </c>
      <c r="BH4156" s="65"/>
      <c r="BI4156" s="65"/>
      <c r="BJ4156" s="65"/>
      <c r="BK4156" s="65"/>
      <c r="BL4156" s="99"/>
      <c r="BM4156" s="99"/>
      <c r="BN4156" s="99"/>
    </row>
    <row r="4157" spans="1:66" s="51" customFormat="1" ht="15.75" x14ac:dyDescent="0.25">
      <c r="A4157" s="478">
        <v>3</v>
      </c>
      <c r="B4157" s="479" t="s">
        <v>291</v>
      </c>
      <c r="C4157" s="480" t="s">
        <v>794</v>
      </c>
      <c r="D4157" s="481" t="s">
        <v>309</v>
      </c>
      <c r="E4157" s="482">
        <v>24.95</v>
      </c>
      <c r="F4157" s="483" t="s">
        <v>292</v>
      </c>
      <c r="G4157" s="484">
        <v>0</v>
      </c>
      <c r="H4157" s="688" t="str">
        <f t="shared" si="3117"/>
        <v/>
      </c>
      <c r="I4157" s="485">
        <f t="shared" si="3118"/>
        <v>0</v>
      </c>
      <c r="J4157" s="485">
        <f t="shared" si="3119"/>
        <v>0</v>
      </c>
      <c r="K4157" s="715">
        <f t="shared" ref="K4157" si="3123">I4157+J4157</f>
        <v>0</v>
      </c>
      <c r="L4157" s="715"/>
      <c r="M4157" s="689" t="str">
        <f t="shared" ca="1" si="3121"/>
        <v/>
      </c>
      <c r="N4157" s="690"/>
      <c r="O4157" s="486"/>
      <c r="P4157" s="486"/>
      <c r="Q4157" s="486"/>
      <c r="R4157" s="486"/>
      <c r="S4157" s="486"/>
      <c r="T4157" s="102">
        <f t="shared" si="3083"/>
        <v>0</v>
      </c>
      <c r="U4157" s="78">
        <f>IF(NOT(ISNUMBER(G4157)), "", VLOOKUP(A4157,'Discount Lookup'!D:E,2,FALSE)*G4157)</f>
        <v>0</v>
      </c>
      <c r="V4157" s="78">
        <f>IF(NOT(ISNUMBER(G4157)), "", VLOOKUP(A4157,'Discount Lookup'!G:H,2,FALSE)*G4157)</f>
        <v>0</v>
      </c>
      <c r="W4157" s="102">
        <f t="shared" si="3084"/>
        <v>0</v>
      </c>
      <c r="X4157" s="102">
        <f t="shared" si="3085"/>
        <v>0</v>
      </c>
      <c r="Y4157" s="120" t="b">
        <f t="shared" si="3086"/>
        <v>0</v>
      </c>
      <c r="Z4157" s="117">
        <f t="shared" si="3087"/>
        <v>0</v>
      </c>
      <c r="AA4157" s="118"/>
      <c r="AB4157" s="118" t="str">
        <f t="shared" si="3088"/>
        <v/>
      </c>
      <c r="AC4157" s="712" t="str">
        <f>IF(AE4157="T2G","no charge",IF(AND(OR(PlanterYesMe="No",PlanterYesMe="N",PlanterYesMe="me"),H4157=""),"",IF(H4157="credit","NO install",IF(AND(K4157="",AE4157="me"),"EACH row",IF(AND(K4157="images",AE4157="me"),"EACH row",IF(D4157="","",IF(H4157="credit","",IF(AE4157="free","re-planting",IF(AE4157="me","   not ELP, by",IF(AND(OR(PlanterYesMe="Yes",PlanterYesMe="Y"),G4157&gt;0),(VLOOKUP(A4157,'Discount Lookup'!J:K,2)*G4157*(1-PlanterDiscount)*(1+PlanterDifficultyPercentage)),IF(AE4157="ELP",(VLOOKUP(A4157,'Discount Lookup'!J:K,2)*G4157*(1-PlanterDiscount)*(1+PlanterDifficultyPercentage)),IF(AE4157="free","re-planting",IF(G4157=0,"",IF(PlanterYesMe="",IF(AE4157="me","   not ELP, by",IF(AE4157="",IF(G4157&gt;0,(VLOOKUP(A4157,'Discount Lookup'!J:K,2)*G4157*(1-PlanterDiscount)*(1+PlanterDifficultyPercentage)),""),"")),"   not ELP, by"))))))))))))))</f>
        <v/>
      </c>
      <c r="AD4157" s="712"/>
      <c r="AE4157" s="513" t="str">
        <f t="shared" si="3089"/>
        <v/>
      </c>
      <c r="AF4157" s="713" t="str">
        <f t="shared" si="3090"/>
        <v/>
      </c>
      <c r="AG4157" s="713"/>
      <c r="AH4157" s="713"/>
      <c r="AI4157" s="112">
        <f>IF(H4157="credit",0,IF(AE4157="free",0,IF(AE4157="me",0,IF(G4157&gt;0,(VLOOKUP(A4157,'Discount Lookup'!J:K,2)*G4157),0))))</f>
        <v>0</v>
      </c>
      <c r="AJ4157" s="107" t="str">
        <f t="shared" ca="1" si="3091"/>
        <v/>
      </c>
      <c r="AK4157" s="714" t="str">
        <f t="shared" si="3092"/>
        <v/>
      </c>
      <c r="AL4157" s="714"/>
      <c r="AM4157" s="114" t="str">
        <f t="shared" si="3093"/>
        <v/>
      </c>
      <c r="AN4157" s="115"/>
      <c r="AO4157" s="116"/>
      <c r="AP4157" s="116"/>
      <c r="AQ4157" s="116"/>
      <c r="AR4157" s="116"/>
      <c r="AS4157" s="116"/>
      <c r="AT4157" s="116"/>
      <c r="AU4157" s="116"/>
      <c r="AV4157" s="78"/>
      <c r="AW4157" s="102"/>
      <c r="AX4157" s="78"/>
      <c r="AY4157" s="78"/>
      <c r="AZ4157" s="78"/>
      <c r="BA4157" s="78"/>
      <c r="BB4157" s="78"/>
      <c r="BC4157" s="78"/>
      <c r="BD4157" s="78"/>
      <c r="BE4157" s="465"/>
      <c r="BF4157" s="165" t="str">
        <f t="shared" si="3094"/>
        <v>https://www.google.com/search?tbm=isch&amp;q=3%20G3</v>
      </c>
      <c r="BG4157" s="165" t="str">
        <f t="shared" si="3095"/>
        <v>T</v>
      </c>
      <c r="BH4157" s="65"/>
      <c r="BI4157" s="65"/>
      <c r="BJ4157" s="65"/>
      <c r="BK4157" s="65"/>
      <c r="BL4157" s="99"/>
      <c r="BM4157" s="99"/>
      <c r="BN4157" s="99"/>
    </row>
    <row r="4158" spans="1:66" s="51" customFormat="1" ht="15.75" x14ac:dyDescent="0.25">
      <c r="A4158" s="478">
        <v>3</v>
      </c>
      <c r="B4158" s="479" t="s">
        <v>291</v>
      </c>
      <c r="C4158" s="480" t="s">
        <v>335</v>
      </c>
      <c r="D4158" s="481" t="s">
        <v>310</v>
      </c>
      <c r="E4158" s="482">
        <v>25.95</v>
      </c>
      <c r="F4158" s="483" t="s">
        <v>292</v>
      </c>
      <c r="G4158" s="484">
        <v>0</v>
      </c>
      <c r="H4158" s="688" t="str">
        <f t="shared" si="3117"/>
        <v/>
      </c>
      <c r="I4158" s="485">
        <f t="shared" si="3118"/>
        <v>0</v>
      </c>
      <c r="J4158" s="485">
        <f t="shared" si="3119"/>
        <v>0</v>
      </c>
      <c r="K4158" s="715">
        <f t="shared" ref="K4158" si="3124">I4158+J4158</f>
        <v>0</v>
      </c>
      <c r="L4158" s="715"/>
      <c r="M4158" s="689" t="str">
        <f t="shared" ca="1" si="3121"/>
        <v/>
      </c>
      <c r="N4158" s="690"/>
      <c r="O4158" s="486"/>
      <c r="P4158" s="486"/>
      <c r="Q4158" s="486"/>
      <c r="R4158" s="486"/>
      <c r="S4158" s="486"/>
      <c r="T4158" s="102">
        <f t="shared" si="3083"/>
        <v>0</v>
      </c>
      <c r="U4158" s="78">
        <f>IF(NOT(ISNUMBER(G4158)), "", VLOOKUP(A4158,'Discount Lookup'!D:E,2,FALSE)*G4158)</f>
        <v>0</v>
      </c>
      <c r="V4158" s="78">
        <f>IF(NOT(ISNUMBER(G4158)), "", VLOOKUP(A4158,'Discount Lookup'!G:H,2,FALSE)*G4158)</f>
        <v>0</v>
      </c>
      <c r="W4158" s="102">
        <f t="shared" si="3084"/>
        <v>0</v>
      </c>
      <c r="X4158" s="102">
        <f t="shared" si="3085"/>
        <v>0</v>
      </c>
      <c r="Y4158" s="120" t="b">
        <f t="shared" si="3086"/>
        <v>0</v>
      </c>
      <c r="Z4158" s="117">
        <f t="shared" si="3087"/>
        <v>0</v>
      </c>
      <c r="AA4158" s="118"/>
      <c r="AB4158" s="118" t="str">
        <f t="shared" si="3088"/>
        <v/>
      </c>
      <c r="AC4158" s="712" t="str">
        <f>IF(AE4158="T2G","no charge",IF(AND(OR(PlanterYesMe="No",PlanterYesMe="N",PlanterYesMe="me"),H4158=""),"",IF(H4158="credit","NO install",IF(AND(K4158="",AE4158="me"),"EACH row",IF(AND(K4158="images",AE4158="me"),"EACH row",IF(D4158="","",IF(H4158="credit","",IF(AE4158="free","re-planting",IF(AE4158="me","   not ELP, by",IF(AND(OR(PlanterYesMe="Yes",PlanterYesMe="Y"),G4158&gt;0),(VLOOKUP(A4158,'Discount Lookup'!J:K,2)*G4158*(1-PlanterDiscount)*(1+PlanterDifficultyPercentage)),IF(AE4158="ELP",(VLOOKUP(A4158,'Discount Lookup'!J:K,2)*G4158*(1-PlanterDiscount)*(1+PlanterDifficultyPercentage)),IF(AE4158="free","re-planting",IF(G4158=0,"",IF(PlanterYesMe="",IF(AE4158="me","   not ELP, by",IF(AE4158="",IF(G4158&gt;0,(VLOOKUP(A4158,'Discount Lookup'!J:K,2)*G4158*(1-PlanterDiscount)*(1+PlanterDifficultyPercentage)),""),"")),"   not ELP, by"))))))))))))))</f>
        <v/>
      </c>
      <c r="AD4158" s="712"/>
      <c r="AE4158" s="513" t="str">
        <f t="shared" si="3089"/>
        <v/>
      </c>
      <c r="AF4158" s="713" t="str">
        <f t="shared" si="3090"/>
        <v/>
      </c>
      <c r="AG4158" s="713"/>
      <c r="AH4158" s="713"/>
      <c r="AI4158" s="112">
        <f>IF(H4158="credit",0,IF(AE4158="free",0,IF(AE4158="me",0,IF(G4158&gt;0,(VLOOKUP(A4158,'Discount Lookup'!J:K,2)*G4158),0))))</f>
        <v>0</v>
      </c>
      <c r="AJ4158" s="107" t="str">
        <f t="shared" ca="1" si="3091"/>
        <v/>
      </c>
      <c r="AK4158" s="714" t="str">
        <f t="shared" si="3092"/>
        <v/>
      </c>
      <c r="AL4158" s="714"/>
      <c r="AM4158" s="114" t="str">
        <f t="shared" si="3093"/>
        <v/>
      </c>
      <c r="AN4158" s="115"/>
      <c r="AO4158" s="116"/>
      <c r="AP4158" s="116"/>
      <c r="AQ4158" s="116"/>
      <c r="AR4158" s="116"/>
      <c r="AS4158" s="116"/>
      <c r="AT4158" s="116"/>
      <c r="AU4158" s="116"/>
      <c r="AV4158" s="78"/>
      <c r="AW4158" s="102"/>
      <c r="AX4158" s="78"/>
      <c r="AY4158" s="78"/>
      <c r="AZ4158" s="78"/>
      <c r="BA4158" s="78"/>
      <c r="BB4158" s="78"/>
      <c r="BC4158" s="78"/>
      <c r="BD4158" s="78"/>
      <c r="BE4158" s="465"/>
      <c r="BF4158" s="165" t="str">
        <f t="shared" si="3094"/>
        <v>https://www.google.com/search?tbm=isch&amp;q=3%20G1</v>
      </c>
      <c r="BG4158" s="165" t="str">
        <f t="shared" si="3095"/>
        <v>T</v>
      </c>
      <c r="BH4158" s="65"/>
      <c r="BI4158" s="65"/>
      <c r="BJ4158" s="65"/>
      <c r="BK4158" s="65"/>
      <c r="BL4158" s="99"/>
      <c r="BM4158" s="99"/>
      <c r="BN4158" s="99"/>
    </row>
    <row r="4159" spans="1:66" s="51" customFormat="1" ht="15.75" x14ac:dyDescent="0.25">
      <c r="A4159" s="478">
        <v>7</v>
      </c>
      <c r="B4159" s="479" t="s">
        <v>291</v>
      </c>
      <c r="C4159" s="480" t="s">
        <v>5218</v>
      </c>
      <c r="D4159" s="481" t="s">
        <v>299</v>
      </c>
      <c r="E4159" s="482">
        <v>79.95</v>
      </c>
      <c r="F4159" s="483" t="s">
        <v>292</v>
      </c>
      <c r="G4159" s="484">
        <v>0</v>
      </c>
      <c r="H4159" s="688" t="str">
        <f t="shared" si="3117"/>
        <v/>
      </c>
      <c r="I4159" s="485">
        <f t="shared" si="3118"/>
        <v>0</v>
      </c>
      <c r="J4159" s="485">
        <f t="shared" si="3119"/>
        <v>0</v>
      </c>
      <c r="K4159" s="715">
        <f t="shared" ref="K4159" si="3125">I4159+J4159</f>
        <v>0</v>
      </c>
      <c r="L4159" s="715"/>
      <c r="M4159" s="689" t="str">
        <f t="shared" ca="1" si="3121"/>
        <v/>
      </c>
      <c r="N4159" s="690"/>
      <c r="O4159" s="486"/>
      <c r="P4159" s="486"/>
      <c r="Q4159" s="486"/>
      <c r="R4159" s="486"/>
      <c r="S4159" s="486"/>
      <c r="T4159" s="102">
        <f t="shared" si="3083"/>
        <v>0</v>
      </c>
      <c r="U4159" s="78">
        <f>IF(NOT(ISNUMBER(G4159)), "", VLOOKUP(A4159,'Discount Lookup'!D:E,2,FALSE)*G4159)</f>
        <v>0</v>
      </c>
      <c r="V4159" s="78">
        <f>IF(NOT(ISNUMBER(G4159)), "", VLOOKUP(A4159,'Discount Lookup'!G:H,2,FALSE)*G4159)</f>
        <v>0</v>
      </c>
      <c r="W4159" s="102">
        <f t="shared" si="3084"/>
        <v>0</v>
      </c>
      <c r="X4159" s="102">
        <f t="shared" si="3085"/>
        <v>0</v>
      </c>
      <c r="Y4159" s="120" t="b">
        <f t="shared" si="3086"/>
        <v>0</v>
      </c>
      <c r="Z4159" s="117">
        <f t="shared" si="3087"/>
        <v>0</v>
      </c>
      <c r="AA4159" s="118"/>
      <c r="AB4159" s="118" t="str">
        <f t="shared" si="3088"/>
        <v/>
      </c>
      <c r="AC4159" s="712" t="str">
        <f>IF(AE4159="T2G","no charge",IF(AND(OR(PlanterYesMe="No",PlanterYesMe="N",PlanterYesMe="me"),H4159=""),"",IF(H4159="credit","NO install",IF(AND(K4159="",AE4159="me"),"EACH row",IF(AND(K4159="images",AE4159="me"),"EACH row",IF(D4159="","",IF(H4159="credit","",IF(AE4159="free","re-planting",IF(AE4159="me","   not ELP, by",IF(AND(OR(PlanterYesMe="Yes",PlanterYesMe="Y"),G4159&gt;0),(VLOOKUP(A4159,'Discount Lookup'!J:K,2)*G4159*(1-PlanterDiscount)*(1+PlanterDifficultyPercentage)),IF(AE4159="ELP",(VLOOKUP(A4159,'Discount Lookup'!J:K,2)*G4159*(1-PlanterDiscount)*(1+PlanterDifficultyPercentage)),IF(AE4159="free","re-planting",IF(G4159=0,"",IF(PlanterYesMe="",IF(AE4159="me","   not ELP, by",IF(AE4159="",IF(G4159&gt;0,(VLOOKUP(A4159,'Discount Lookup'!J:K,2)*G4159*(1-PlanterDiscount)*(1+PlanterDifficultyPercentage)),""),"")),"   not ELP, by"))))))))))))))</f>
        <v/>
      </c>
      <c r="AD4159" s="712"/>
      <c r="AE4159" s="513" t="str">
        <f t="shared" si="3089"/>
        <v/>
      </c>
      <c r="AF4159" s="713" t="str">
        <f t="shared" si="3090"/>
        <v/>
      </c>
      <c r="AG4159" s="713"/>
      <c r="AH4159" s="713"/>
      <c r="AI4159" s="112">
        <f>IF(H4159="credit",0,IF(AE4159="free",0,IF(AE4159="me",0,IF(G4159&gt;0,(VLOOKUP(A4159,'Discount Lookup'!J:K,2)*G4159),0))))</f>
        <v>0</v>
      </c>
      <c r="AJ4159" s="107" t="str">
        <f t="shared" ca="1" si="3091"/>
        <v/>
      </c>
      <c r="AK4159" s="714" t="str">
        <f t="shared" si="3092"/>
        <v/>
      </c>
      <c r="AL4159" s="714"/>
      <c r="AM4159" s="114" t="str">
        <f t="shared" si="3093"/>
        <v/>
      </c>
      <c r="AN4159" s="115"/>
      <c r="AO4159" s="116"/>
      <c r="AP4159" s="116"/>
      <c r="AQ4159" s="116"/>
      <c r="AR4159" s="116"/>
      <c r="AS4159" s="116"/>
      <c r="AT4159" s="116"/>
      <c r="AU4159" s="116"/>
      <c r="AV4159" s="78"/>
      <c r="AW4159" s="102"/>
      <c r="AX4159" s="78"/>
      <c r="AY4159" s="78"/>
      <c r="AZ4159" s="78"/>
      <c r="BA4159" s="78"/>
      <c r="BB4159" s="78"/>
      <c r="BC4159" s="78"/>
      <c r="BD4159" s="78"/>
      <c r="BE4159" s="465"/>
      <c r="BF4159" s="165" t="str">
        <f t="shared" si="3094"/>
        <v>https://www.google.com/search?tbm=isch&amp;q=7%20G4</v>
      </c>
      <c r="BG4159" s="165" t="str">
        <f t="shared" si="3095"/>
        <v>T</v>
      </c>
      <c r="BH4159" s="65"/>
      <c r="BI4159" s="65"/>
      <c r="BJ4159" s="65"/>
      <c r="BK4159" s="65"/>
      <c r="BL4159" s="99"/>
      <c r="BM4159" s="99"/>
      <c r="BN4159" s="99"/>
    </row>
    <row r="4160" spans="1:66" s="51" customFormat="1" ht="15.75" x14ac:dyDescent="0.25">
      <c r="A4160" s="478">
        <v>10</v>
      </c>
      <c r="B4160" s="479" t="s">
        <v>291</v>
      </c>
      <c r="C4160" s="480" t="s">
        <v>11</v>
      </c>
      <c r="D4160" s="481" t="s">
        <v>310</v>
      </c>
      <c r="E4160" s="482">
        <v>114.95</v>
      </c>
      <c r="F4160" s="483" t="s">
        <v>292</v>
      </c>
      <c r="G4160" s="484">
        <v>0</v>
      </c>
      <c r="H4160" s="688" t="str">
        <f t="shared" si="3117"/>
        <v/>
      </c>
      <c r="I4160" s="485">
        <f t="shared" si="3118"/>
        <v>0</v>
      </c>
      <c r="J4160" s="485">
        <f t="shared" si="3119"/>
        <v>0</v>
      </c>
      <c r="K4160" s="715">
        <f t="shared" ref="K4160" si="3126">I4160+J4160</f>
        <v>0</v>
      </c>
      <c r="L4160" s="715"/>
      <c r="M4160" s="689" t="str">
        <f t="shared" ca="1" si="3121"/>
        <v/>
      </c>
      <c r="N4160" s="690"/>
      <c r="O4160" s="486"/>
      <c r="P4160" s="486"/>
      <c r="Q4160" s="486"/>
      <c r="R4160" s="486"/>
      <c r="S4160" s="486"/>
      <c r="T4160" s="102">
        <f t="shared" si="3083"/>
        <v>0</v>
      </c>
      <c r="U4160" s="78">
        <f>IF(NOT(ISNUMBER(G4160)), "", VLOOKUP(A4160,'Discount Lookup'!D:E,2,FALSE)*G4160)</f>
        <v>0</v>
      </c>
      <c r="V4160" s="78">
        <f>IF(NOT(ISNUMBER(G4160)), "", VLOOKUP(A4160,'Discount Lookup'!G:H,2,FALSE)*G4160)</f>
        <v>0</v>
      </c>
      <c r="W4160" s="102">
        <f t="shared" si="3084"/>
        <v>0</v>
      </c>
      <c r="X4160" s="102">
        <f t="shared" si="3085"/>
        <v>0</v>
      </c>
      <c r="Y4160" s="120" t="b">
        <f t="shared" si="3086"/>
        <v>0</v>
      </c>
      <c r="Z4160" s="117">
        <f t="shared" si="3087"/>
        <v>0</v>
      </c>
      <c r="AA4160" s="118"/>
      <c r="AB4160" s="118" t="str">
        <f t="shared" si="3088"/>
        <v/>
      </c>
      <c r="AC4160" s="712" t="str">
        <f>IF(AE4160="T2G","no charge",IF(AND(OR(PlanterYesMe="No",PlanterYesMe="N",PlanterYesMe="me"),H4160=""),"",IF(H4160="credit","NO install",IF(AND(K4160="",AE4160="me"),"EACH row",IF(AND(K4160="images",AE4160="me"),"EACH row",IF(D4160="","",IF(H4160="credit","",IF(AE4160="free","re-planting",IF(AE4160="me","   not ELP, by",IF(AND(OR(PlanterYesMe="Yes",PlanterYesMe="Y"),G4160&gt;0),(VLOOKUP(A4160,'Discount Lookup'!J:K,2)*G4160*(1-PlanterDiscount)*(1+PlanterDifficultyPercentage)),IF(AE4160="ELP",(VLOOKUP(A4160,'Discount Lookup'!J:K,2)*G4160*(1-PlanterDiscount)*(1+PlanterDifficultyPercentage)),IF(AE4160="free","re-planting",IF(G4160=0,"",IF(PlanterYesMe="",IF(AE4160="me","   not ELP, by",IF(AE4160="",IF(G4160&gt;0,(VLOOKUP(A4160,'Discount Lookup'!J:K,2)*G4160*(1-PlanterDiscount)*(1+PlanterDifficultyPercentage)),""),"")),"   not ELP, by"))))))))))))))</f>
        <v/>
      </c>
      <c r="AD4160" s="712"/>
      <c r="AE4160" s="513" t="str">
        <f t="shared" si="3089"/>
        <v/>
      </c>
      <c r="AF4160" s="713" t="str">
        <f t="shared" si="3090"/>
        <v/>
      </c>
      <c r="AG4160" s="713"/>
      <c r="AH4160" s="713"/>
      <c r="AI4160" s="112">
        <f>IF(H4160="credit",0,IF(AE4160="free",0,IF(AE4160="me",0,IF(G4160&gt;0,(VLOOKUP(A4160,'Discount Lookup'!J:K,2)*G4160),0))))</f>
        <v>0</v>
      </c>
      <c r="AJ4160" s="107" t="str">
        <f t="shared" ca="1" si="3091"/>
        <v/>
      </c>
      <c r="AK4160" s="714" t="str">
        <f t="shared" si="3092"/>
        <v/>
      </c>
      <c r="AL4160" s="714"/>
      <c r="AM4160" s="114" t="str">
        <f t="shared" si="3093"/>
        <v/>
      </c>
      <c r="AN4160" s="115"/>
      <c r="AO4160" s="116"/>
      <c r="AP4160" s="116"/>
      <c r="AQ4160" s="116"/>
      <c r="AR4160" s="116"/>
      <c r="AS4160" s="116"/>
      <c r="AT4160" s="116"/>
      <c r="AU4160" s="116"/>
      <c r="AV4160" s="78"/>
      <c r="AW4160" s="102"/>
      <c r="AX4160" s="78"/>
      <c r="AY4160" s="78"/>
      <c r="AZ4160" s="78"/>
      <c r="BA4160" s="78"/>
      <c r="BB4160" s="78"/>
      <c r="BC4160" s="78"/>
      <c r="BD4160" s="78"/>
      <c r="BE4160" s="465"/>
      <c r="BF4160" s="165" t="str">
        <f t="shared" si="3094"/>
        <v>https://www.google.com/search?tbm=isch&amp;q=10%20G1</v>
      </c>
      <c r="BG4160" s="165" t="str">
        <f t="shared" si="3095"/>
        <v>T</v>
      </c>
      <c r="BH4160" s="65"/>
      <c r="BI4160" s="65"/>
      <c r="BJ4160" s="65"/>
      <c r="BK4160" s="65"/>
      <c r="BL4160" s="99"/>
      <c r="BM4160" s="99"/>
      <c r="BN4160" s="99"/>
    </row>
    <row r="4161" spans="1:66" s="51" customFormat="1" ht="15.75" x14ac:dyDescent="0.25">
      <c r="A4161" s="478">
        <v>15</v>
      </c>
      <c r="B4161" s="479" t="s">
        <v>291</v>
      </c>
      <c r="C4161" s="480" t="s">
        <v>795</v>
      </c>
      <c r="D4161" s="481" t="s">
        <v>309</v>
      </c>
      <c r="E4161" s="482">
        <v>155.94999999999999</v>
      </c>
      <c r="F4161" s="483" t="s">
        <v>292</v>
      </c>
      <c r="G4161" s="484">
        <v>0</v>
      </c>
      <c r="H4161" s="688" t="str">
        <f t="shared" si="3117"/>
        <v/>
      </c>
      <c r="I4161" s="485">
        <f t="shared" si="3118"/>
        <v>0</v>
      </c>
      <c r="J4161" s="485">
        <f t="shared" si="3119"/>
        <v>0</v>
      </c>
      <c r="K4161" s="715">
        <f t="shared" ref="K4161" si="3127">I4161+J4161</f>
        <v>0</v>
      </c>
      <c r="L4161" s="715"/>
      <c r="M4161" s="689" t="str">
        <f t="shared" ca="1" si="3121"/>
        <v/>
      </c>
      <c r="N4161" s="690"/>
      <c r="O4161" s="486"/>
      <c r="P4161" s="486"/>
      <c r="Q4161" s="486"/>
      <c r="R4161" s="486"/>
      <c r="S4161" s="486"/>
      <c r="T4161" s="102">
        <f t="shared" si="3083"/>
        <v>0</v>
      </c>
      <c r="U4161" s="78">
        <f>IF(NOT(ISNUMBER(G4161)), "", VLOOKUP(A4161,'Discount Lookup'!D:E,2,FALSE)*G4161)</f>
        <v>0</v>
      </c>
      <c r="V4161" s="78">
        <f>IF(NOT(ISNUMBER(G4161)), "", VLOOKUP(A4161,'Discount Lookup'!G:H,2,FALSE)*G4161)</f>
        <v>0</v>
      </c>
      <c r="W4161" s="102">
        <f t="shared" si="3084"/>
        <v>0</v>
      </c>
      <c r="X4161" s="102">
        <f t="shared" si="3085"/>
        <v>0</v>
      </c>
      <c r="Y4161" s="120" t="b">
        <f t="shared" si="3086"/>
        <v>0</v>
      </c>
      <c r="Z4161" s="117">
        <f t="shared" si="3087"/>
        <v>0</v>
      </c>
      <c r="AA4161" s="118"/>
      <c r="AB4161" s="118" t="str">
        <f t="shared" si="3088"/>
        <v/>
      </c>
      <c r="AC4161" s="712" t="str">
        <f>IF(AE4161="T2G","no charge",IF(AND(OR(PlanterYesMe="No",PlanterYesMe="N",PlanterYesMe="me"),H4161=""),"",IF(H4161="credit","NO install",IF(AND(K4161="",AE4161="me"),"EACH row",IF(AND(K4161="images",AE4161="me"),"EACH row",IF(D4161="","",IF(H4161="credit","",IF(AE4161="free","re-planting",IF(AE4161="me","   not ELP, by",IF(AND(OR(PlanterYesMe="Yes",PlanterYesMe="Y"),G4161&gt;0),(VLOOKUP(A4161,'Discount Lookup'!J:K,2)*G4161*(1-PlanterDiscount)*(1+PlanterDifficultyPercentage)),IF(AE4161="ELP",(VLOOKUP(A4161,'Discount Lookup'!J:K,2)*G4161*(1-PlanterDiscount)*(1+PlanterDifficultyPercentage)),IF(AE4161="free","re-planting",IF(G4161=0,"",IF(PlanterYesMe="",IF(AE4161="me","   not ELP, by",IF(AE4161="",IF(G4161&gt;0,(VLOOKUP(A4161,'Discount Lookup'!J:K,2)*G4161*(1-PlanterDiscount)*(1+PlanterDifficultyPercentage)),""),"")),"   not ELP, by"))))))))))))))</f>
        <v/>
      </c>
      <c r="AD4161" s="712"/>
      <c r="AE4161" s="513" t="str">
        <f t="shared" si="3089"/>
        <v/>
      </c>
      <c r="AF4161" s="713" t="str">
        <f t="shared" si="3090"/>
        <v/>
      </c>
      <c r="AG4161" s="713"/>
      <c r="AH4161" s="713"/>
      <c r="AI4161" s="112">
        <f>IF(H4161="credit",0,IF(AE4161="free",0,IF(AE4161="me",0,IF(G4161&gt;0,(VLOOKUP(A4161,'Discount Lookup'!J:K,2)*G4161),0))))</f>
        <v>0</v>
      </c>
      <c r="AJ4161" s="107" t="str">
        <f t="shared" ca="1" si="3091"/>
        <v/>
      </c>
      <c r="AK4161" s="714" t="str">
        <f t="shared" si="3092"/>
        <v/>
      </c>
      <c r="AL4161" s="714"/>
      <c r="AM4161" s="114" t="str">
        <f t="shared" si="3093"/>
        <v/>
      </c>
      <c r="AN4161" s="115"/>
      <c r="AO4161" s="116"/>
      <c r="AP4161" s="116"/>
      <c r="AQ4161" s="116"/>
      <c r="AR4161" s="116"/>
      <c r="AS4161" s="116"/>
      <c r="AT4161" s="116"/>
      <c r="AU4161" s="116"/>
      <c r="AV4161" s="78"/>
      <c r="AW4161" s="102"/>
      <c r="AX4161" s="78"/>
      <c r="AY4161" s="78"/>
      <c r="AZ4161" s="78"/>
      <c r="BA4161" s="78"/>
      <c r="BB4161" s="78"/>
      <c r="BC4161" s="78"/>
      <c r="BD4161" s="78"/>
      <c r="BE4161" s="465"/>
      <c r="BF4161" s="165" t="str">
        <f t="shared" si="3094"/>
        <v>https://www.google.com/search?tbm=isch&amp;q=15%20G3</v>
      </c>
      <c r="BG4161" s="165" t="str">
        <f t="shared" si="3095"/>
        <v>T</v>
      </c>
      <c r="BH4161" s="65"/>
      <c r="BI4161" s="65"/>
      <c r="BJ4161" s="65"/>
      <c r="BK4161" s="65"/>
      <c r="BL4161" s="99"/>
      <c r="BM4161" s="99"/>
      <c r="BN4161" s="99"/>
    </row>
    <row r="4162" spans="1:66" s="51" customFormat="1" ht="15.75" x14ac:dyDescent="0.25">
      <c r="A4162" s="478">
        <v>15</v>
      </c>
      <c r="B4162" s="479" t="s">
        <v>291</v>
      </c>
      <c r="C4162" s="480" t="s">
        <v>866</v>
      </c>
      <c r="D4162" s="481" t="s">
        <v>311</v>
      </c>
      <c r="E4162" s="482">
        <v>165.95</v>
      </c>
      <c r="F4162" s="483" t="s">
        <v>292</v>
      </c>
      <c r="G4162" s="484">
        <v>0</v>
      </c>
      <c r="H4162" s="688" t="str">
        <f t="shared" si="3117"/>
        <v/>
      </c>
      <c r="I4162" s="485">
        <f t="shared" si="3118"/>
        <v>0</v>
      </c>
      <c r="J4162" s="485">
        <f t="shared" si="3119"/>
        <v>0</v>
      </c>
      <c r="K4162" s="715">
        <f t="shared" ref="K4162" si="3128">I4162+J4162</f>
        <v>0</v>
      </c>
      <c r="L4162" s="715"/>
      <c r="M4162" s="689" t="str">
        <f t="shared" ca="1" si="3121"/>
        <v/>
      </c>
      <c r="N4162" s="690"/>
      <c r="O4162" s="486"/>
      <c r="P4162" s="486"/>
      <c r="Q4162" s="486"/>
      <c r="R4162" s="486"/>
      <c r="S4162" s="486"/>
      <c r="T4162" s="102">
        <f t="shared" si="3083"/>
        <v>0</v>
      </c>
      <c r="U4162" s="78">
        <f>IF(NOT(ISNUMBER(G4162)), "", VLOOKUP(A4162,'Discount Lookup'!D:E,2,FALSE)*G4162)</f>
        <v>0</v>
      </c>
      <c r="V4162" s="78">
        <f>IF(NOT(ISNUMBER(G4162)), "", VLOOKUP(A4162,'Discount Lookup'!G:H,2,FALSE)*G4162)</f>
        <v>0</v>
      </c>
      <c r="W4162" s="102">
        <f t="shared" si="3084"/>
        <v>0</v>
      </c>
      <c r="X4162" s="102">
        <f t="shared" si="3085"/>
        <v>0</v>
      </c>
      <c r="Y4162" s="120" t="b">
        <f t="shared" si="3086"/>
        <v>0</v>
      </c>
      <c r="Z4162" s="117">
        <f t="shared" si="3087"/>
        <v>0</v>
      </c>
      <c r="AA4162" s="118"/>
      <c r="AB4162" s="118" t="str">
        <f t="shared" si="3088"/>
        <v/>
      </c>
      <c r="AC4162" s="712" t="str">
        <f>IF(AE4162="T2G","no charge",IF(AND(OR(PlanterYesMe="No",PlanterYesMe="N",PlanterYesMe="me"),H4162=""),"",IF(H4162="credit","NO install",IF(AND(K4162="",AE4162="me"),"EACH row",IF(AND(K4162="images",AE4162="me"),"EACH row",IF(D4162="","",IF(H4162="credit","",IF(AE4162="free","re-planting",IF(AE4162="me","   not ELP, by",IF(AND(OR(PlanterYesMe="Yes",PlanterYesMe="Y"),G4162&gt;0),(VLOOKUP(A4162,'Discount Lookup'!J:K,2)*G4162*(1-PlanterDiscount)*(1+PlanterDifficultyPercentage)),IF(AE4162="ELP",(VLOOKUP(A4162,'Discount Lookup'!J:K,2)*G4162*(1-PlanterDiscount)*(1+PlanterDifficultyPercentage)),IF(AE4162="free","re-planting",IF(G4162=0,"",IF(PlanterYesMe="",IF(AE4162="me","   not ELP, by",IF(AE4162="",IF(G4162&gt;0,(VLOOKUP(A4162,'Discount Lookup'!J:K,2)*G4162*(1-PlanterDiscount)*(1+PlanterDifficultyPercentage)),""),"")),"   not ELP, by"))))))))))))))</f>
        <v/>
      </c>
      <c r="AD4162" s="712"/>
      <c r="AE4162" s="513" t="str">
        <f t="shared" si="3089"/>
        <v/>
      </c>
      <c r="AF4162" s="713" t="str">
        <f t="shared" si="3090"/>
        <v/>
      </c>
      <c r="AG4162" s="713"/>
      <c r="AH4162" s="713"/>
      <c r="AI4162" s="112">
        <f>IF(H4162="credit",0,IF(AE4162="free",0,IF(AE4162="me",0,IF(G4162&gt;0,(VLOOKUP(A4162,'Discount Lookup'!J:K,2)*G4162),0))))</f>
        <v>0</v>
      </c>
      <c r="AJ4162" s="107" t="str">
        <f t="shared" ca="1" si="3091"/>
        <v/>
      </c>
      <c r="AK4162" s="714" t="str">
        <f t="shared" si="3092"/>
        <v/>
      </c>
      <c r="AL4162" s="714"/>
      <c r="AM4162" s="114" t="str">
        <f t="shared" si="3093"/>
        <v/>
      </c>
      <c r="AN4162" s="115"/>
      <c r="AO4162" s="116"/>
      <c r="AP4162" s="116"/>
      <c r="AQ4162" s="116"/>
      <c r="AR4162" s="116"/>
      <c r="AS4162" s="116"/>
      <c r="AT4162" s="116"/>
      <c r="AU4162" s="116"/>
      <c r="AV4162" s="78"/>
      <c r="AW4162" s="102"/>
      <c r="AX4162" s="78"/>
      <c r="AY4162" s="78"/>
      <c r="AZ4162" s="78"/>
      <c r="BA4162" s="78"/>
      <c r="BB4162" s="78"/>
      <c r="BC4162" s="78"/>
      <c r="BD4162" s="78"/>
      <c r="BE4162" s="465"/>
      <c r="BF4162" s="165" t="str">
        <f t="shared" si="3094"/>
        <v>https://www.google.com/search?tbm=isch&amp;q=15%20G5</v>
      </c>
      <c r="BG4162" s="165" t="str">
        <f t="shared" si="3095"/>
        <v>T</v>
      </c>
      <c r="BH4162" s="65"/>
      <c r="BI4162" s="65"/>
      <c r="BJ4162" s="65"/>
      <c r="BK4162" s="65"/>
      <c r="BL4162" s="99"/>
      <c r="BM4162" s="99"/>
      <c r="BN4162" s="99"/>
    </row>
    <row r="4163" spans="1:66" s="51" customFormat="1" ht="15.75" x14ac:dyDescent="0.25">
      <c r="A4163" s="478">
        <v>15</v>
      </c>
      <c r="B4163" s="479" t="s">
        <v>291</v>
      </c>
      <c r="C4163" s="480" t="s">
        <v>985</v>
      </c>
      <c r="D4163" s="481" t="s">
        <v>299</v>
      </c>
      <c r="E4163" s="482">
        <v>169.95</v>
      </c>
      <c r="F4163" s="483" t="s">
        <v>292</v>
      </c>
      <c r="G4163" s="484">
        <v>0</v>
      </c>
      <c r="H4163" s="688" t="str">
        <f t="shared" si="3117"/>
        <v/>
      </c>
      <c r="I4163" s="485">
        <f t="shared" si="3118"/>
        <v>0</v>
      </c>
      <c r="J4163" s="485">
        <f t="shared" si="3119"/>
        <v>0</v>
      </c>
      <c r="K4163" s="715">
        <f t="shared" ref="K4163" si="3129">I4163+J4163</f>
        <v>0</v>
      </c>
      <c r="L4163" s="715"/>
      <c r="M4163" s="689" t="str">
        <f t="shared" ca="1" si="3121"/>
        <v/>
      </c>
      <c r="N4163" s="690"/>
      <c r="O4163" s="486"/>
      <c r="P4163" s="486"/>
      <c r="Q4163" s="486"/>
      <c r="R4163" s="486"/>
      <c r="S4163" s="486"/>
      <c r="T4163" s="102">
        <f t="shared" si="3083"/>
        <v>0</v>
      </c>
      <c r="U4163" s="78">
        <f>IF(NOT(ISNUMBER(G4163)), "", VLOOKUP(A4163,'Discount Lookup'!D:E,2,FALSE)*G4163)</f>
        <v>0</v>
      </c>
      <c r="V4163" s="78">
        <f>IF(NOT(ISNUMBER(G4163)), "", VLOOKUP(A4163,'Discount Lookup'!G:H,2,FALSE)*G4163)</f>
        <v>0</v>
      </c>
      <c r="W4163" s="102">
        <f t="shared" si="3084"/>
        <v>0</v>
      </c>
      <c r="X4163" s="102">
        <f t="shared" si="3085"/>
        <v>0</v>
      </c>
      <c r="Y4163" s="120" t="b">
        <f t="shared" si="3086"/>
        <v>0</v>
      </c>
      <c r="Z4163" s="117">
        <f t="shared" si="3087"/>
        <v>0</v>
      </c>
      <c r="AA4163" s="118"/>
      <c r="AB4163" s="118" t="str">
        <f t="shared" si="3088"/>
        <v/>
      </c>
      <c r="AC4163" s="712" t="str">
        <f>IF(AE4163="T2G","no charge",IF(AND(OR(PlanterYesMe="No",PlanterYesMe="N",PlanterYesMe="me"),H4163=""),"",IF(H4163="credit","NO install",IF(AND(K4163="",AE4163="me"),"EACH row",IF(AND(K4163="images",AE4163="me"),"EACH row",IF(D4163="","",IF(H4163="credit","",IF(AE4163="free","re-planting",IF(AE4163="me","   not ELP, by",IF(AND(OR(PlanterYesMe="Yes",PlanterYesMe="Y"),G4163&gt;0),(VLOOKUP(A4163,'Discount Lookup'!J:K,2)*G4163*(1-PlanterDiscount)*(1+PlanterDifficultyPercentage)),IF(AE4163="ELP",(VLOOKUP(A4163,'Discount Lookup'!J:K,2)*G4163*(1-PlanterDiscount)*(1+PlanterDifficultyPercentage)),IF(AE4163="free","re-planting",IF(G4163=0,"",IF(PlanterYesMe="",IF(AE4163="me","   not ELP, by",IF(AE4163="",IF(G4163&gt;0,(VLOOKUP(A4163,'Discount Lookup'!J:K,2)*G4163*(1-PlanterDiscount)*(1+PlanterDifficultyPercentage)),""),"")),"   not ELP, by"))))))))))))))</f>
        <v/>
      </c>
      <c r="AD4163" s="712"/>
      <c r="AE4163" s="513" t="str">
        <f t="shared" si="3089"/>
        <v/>
      </c>
      <c r="AF4163" s="713" t="str">
        <f t="shared" si="3090"/>
        <v/>
      </c>
      <c r="AG4163" s="713"/>
      <c r="AH4163" s="713"/>
      <c r="AI4163" s="112">
        <f>IF(H4163="credit",0,IF(AE4163="free",0,IF(AE4163="me",0,IF(G4163&gt;0,(VLOOKUP(A4163,'Discount Lookup'!J:K,2)*G4163),0))))</f>
        <v>0</v>
      </c>
      <c r="AJ4163" s="107" t="str">
        <f t="shared" ca="1" si="3091"/>
        <v/>
      </c>
      <c r="AK4163" s="714" t="str">
        <f t="shared" si="3092"/>
        <v/>
      </c>
      <c r="AL4163" s="714"/>
      <c r="AM4163" s="114" t="str">
        <f t="shared" si="3093"/>
        <v/>
      </c>
      <c r="AN4163" s="115"/>
      <c r="AO4163" s="116"/>
      <c r="AP4163" s="116"/>
      <c r="AQ4163" s="116"/>
      <c r="AR4163" s="116"/>
      <c r="AS4163" s="116"/>
      <c r="AT4163" s="116"/>
      <c r="AU4163" s="116"/>
      <c r="AV4163" s="78"/>
      <c r="AW4163" s="102"/>
      <c r="AX4163" s="78"/>
      <c r="AY4163" s="78"/>
      <c r="AZ4163" s="78"/>
      <c r="BA4163" s="78"/>
      <c r="BB4163" s="78"/>
      <c r="BC4163" s="78"/>
      <c r="BD4163" s="78"/>
      <c r="BE4163" s="465"/>
      <c r="BF4163" s="165" t="str">
        <f t="shared" si="3094"/>
        <v>https://www.google.com/search?tbm=isch&amp;q=15%20G4</v>
      </c>
      <c r="BG4163" s="165" t="str">
        <f t="shared" si="3095"/>
        <v>T</v>
      </c>
      <c r="BH4163" s="65"/>
      <c r="BI4163" s="65"/>
      <c r="BJ4163" s="65"/>
      <c r="BK4163" s="65"/>
      <c r="BL4163" s="99"/>
      <c r="BM4163" s="99"/>
      <c r="BN4163" s="99"/>
    </row>
    <row r="4164" spans="1:66" s="51" customFormat="1" ht="15.75" x14ac:dyDescent="0.25">
      <c r="A4164" s="478">
        <v>25</v>
      </c>
      <c r="B4164" s="479" t="s">
        <v>291</v>
      </c>
      <c r="C4164" s="480" t="s">
        <v>797</v>
      </c>
      <c r="D4164" s="481" t="s">
        <v>309</v>
      </c>
      <c r="E4164" s="482">
        <v>249.95</v>
      </c>
      <c r="F4164" s="483" t="s">
        <v>292</v>
      </c>
      <c r="G4164" s="484">
        <v>0</v>
      </c>
      <c r="H4164" s="688" t="str">
        <f t="shared" si="3117"/>
        <v/>
      </c>
      <c r="I4164" s="485">
        <f t="shared" si="3118"/>
        <v>0</v>
      </c>
      <c r="J4164" s="485">
        <f t="shared" si="3119"/>
        <v>0</v>
      </c>
      <c r="K4164" s="715">
        <f t="shared" ref="K4164" si="3130">I4164+J4164</f>
        <v>0</v>
      </c>
      <c r="L4164" s="715"/>
      <c r="M4164" s="689" t="str">
        <f t="shared" ca="1" si="3121"/>
        <v/>
      </c>
      <c r="N4164" s="690"/>
      <c r="O4164" s="486"/>
      <c r="P4164" s="486"/>
      <c r="Q4164" s="486"/>
      <c r="R4164" s="486"/>
      <c r="S4164" s="486"/>
      <c r="T4164" s="102">
        <f t="shared" si="3083"/>
        <v>0</v>
      </c>
      <c r="U4164" s="78">
        <f>IF(NOT(ISNUMBER(G4164)), "", VLOOKUP(A4164,'Discount Lookup'!D:E,2,FALSE)*G4164)</f>
        <v>0</v>
      </c>
      <c r="V4164" s="78">
        <f>IF(NOT(ISNUMBER(G4164)), "", VLOOKUP(A4164,'Discount Lookup'!G:H,2,FALSE)*G4164)</f>
        <v>0</v>
      </c>
      <c r="W4164" s="102">
        <f t="shared" si="3084"/>
        <v>0</v>
      </c>
      <c r="X4164" s="102">
        <f t="shared" si="3085"/>
        <v>0</v>
      </c>
      <c r="Y4164" s="120" t="b">
        <f t="shared" si="3086"/>
        <v>0</v>
      </c>
      <c r="Z4164" s="117">
        <f t="shared" si="3087"/>
        <v>0</v>
      </c>
      <c r="AA4164" s="118"/>
      <c r="AB4164" s="118" t="str">
        <f t="shared" si="3088"/>
        <v/>
      </c>
      <c r="AC4164" s="712" t="str">
        <f>IF(AE4164="T2G","no charge",IF(AND(OR(PlanterYesMe="No",PlanterYesMe="N",PlanterYesMe="me"),H4164=""),"",IF(H4164="credit","NO install",IF(AND(K4164="",AE4164="me"),"EACH row",IF(AND(K4164="images",AE4164="me"),"EACH row",IF(D4164="","",IF(H4164="credit","",IF(AE4164="free","re-planting",IF(AE4164="me","   not ELP, by",IF(AND(OR(PlanterYesMe="Yes",PlanterYesMe="Y"),G4164&gt;0),(VLOOKUP(A4164,'Discount Lookup'!J:K,2)*G4164*(1-PlanterDiscount)*(1+PlanterDifficultyPercentage)),IF(AE4164="ELP",(VLOOKUP(A4164,'Discount Lookup'!J:K,2)*G4164*(1-PlanterDiscount)*(1+PlanterDifficultyPercentage)),IF(AE4164="free","re-planting",IF(G4164=0,"",IF(PlanterYesMe="",IF(AE4164="me","   not ELP, by",IF(AE4164="",IF(G4164&gt;0,(VLOOKUP(A4164,'Discount Lookup'!J:K,2)*G4164*(1-PlanterDiscount)*(1+PlanterDifficultyPercentage)),""),"")),"   not ELP, by"))))))))))))))</f>
        <v/>
      </c>
      <c r="AD4164" s="712"/>
      <c r="AE4164" s="513" t="str">
        <f t="shared" si="3089"/>
        <v/>
      </c>
      <c r="AF4164" s="713" t="str">
        <f t="shared" si="3090"/>
        <v/>
      </c>
      <c r="AG4164" s="713"/>
      <c r="AH4164" s="713"/>
      <c r="AI4164" s="112">
        <f>IF(H4164="credit",0,IF(AE4164="free",0,IF(AE4164="me",0,IF(G4164&gt;0,(VLOOKUP(A4164,'Discount Lookup'!J:K,2)*G4164),0))))</f>
        <v>0</v>
      </c>
      <c r="AJ4164" s="107" t="str">
        <f t="shared" ca="1" si="3091"/>
        <v/>
      </c>
      <c r="AK4164" s="714" t="str">
        <f t="shared" si="3092"/>
        <v/>
      </c>
      <c r="AL4164" s="714"/>
      <c r="AM4164" s="114" t="str">
        <f t="shared" si="3093"/>
        <v/>
      </c>
      <c r="AN4164" s="115"/>
      <c r="AO4164" s="116"/>
      <c r="AP4164" s="116"/>
      <c r="AQ4164" s="116"/>
      <c r="AR4164" s="116"/>
      <c r="AS4164" s="116"/>
      <c r="AT4164" s="116"/>
      <c r="AU4164" s="116"/>
      <c r="AV4164" s="78"/>
      <c r="AW4164" s="102"/>
      <c r="AX4164" s="78"/>
      <c r="AY4164" s="78"/>
      <c r="AZ4164" s="78"/>
      <c r="BA4164" s="78"/>
      <c r="BB4164" s="78"/>
      <c r="BC4164" s="78"/>
      <c r="BD4164" s="78"/>
      <c r="BE4164" s="465"/>
      <c r="BF4164" s="165" t="str">
        <f t="shared" si="3094"/>
        <v>https://www.google.com/search?tbm=isch&amp;q=25%20G3</v>
      </c>
      <c r="BG4164" s="165" t="str">
        <f t="shared" si="3095"/>
        <v>T</v>
      </c>
      <c r="BH4164" s="65"/>
      <c r="BI4164" s="65"/>
      <c r="BJ4164" s="65"/>
      <c r="BK4164" s="65"/>
      <c r="BL4164" s="99"/>
      <c r="BM4164" s="99"/>
      <c r="BN4164" s="99"/>
    </row>
    <row r="4165" spans="1:66" s="51" customFormat="1" ht="15.75" x14ac:dyDescent="0.25">
      <c r="A4165" s="478">
        <v>25</v>
      </c>
      <c r="B4165" s="479" t="s">
        <v>291</v>
      </c>
      <c r="C4165" s="480" t="s">
        <v>1026</v>
      </c>
      <c r="D4165" s="481" t="s">
        <v>299</v>
      </c>
      <c r="E4165" s="482">
        <v>298.95</v>
      </c>
      <c r="F4165" s="483" t="s">
        <v>292</v>
      </c>
      <c r="G4165" s="484">
        <v>0</v>
      </c>
      <c r="H4165" s="688" t="str">
        <f t="shared" si="3117"/>
        <v/>
      </c>
      <c r="I4165" s="485">
        <f t="shared" si="3118"/>
        <v>0</v>
      </c>
      <c r="J4165" s="485">
        <f t="shared" si="3119"/>
        <v>0</v>
      </c>
      <c r="K4165" s="715">
        <f t="shared" ref="K4165" si="3131">I4165+J4165</f>
        <v>0</v>
      </c>
      <c r="L4165" s="715"/>
      <c r="M4165" s="689" t="str">
        <f t="shared" ca="1" si="3121"/>
        <v/>
      </c>
      <c r="N4165" s="690"/>
      <c r="O4165" s="486"/>
      <c r="P4165" s="486"/>
      <c r="Q4165" s="486"/>
      <c r="R4165" s="486"/>
      <c r="S4165" s="486"/>
      <c r="T4165" s="102">
        <f t="shared" si="3083"/>
        <v>0</v>
      </c>
      <c r="U4165" s="78">
        <f>IF(NOT(ISNUMBER(G4165)), "", VLOOKUP(A4165,'Discount Lookup'!D:E,2,FALSE)*G4165)</f>
        <v>0</v>
      </c>
      <c r="V4165" s="78">
        <f>IF(NOT(ISNUMBER(G4165)), "", VLOOKUP(A4165,'Discount Lookup'!G:H,2,FALSE)*G4165)</f>
        <v>0</v>
      </c>
      <c r="W4165" s="102">
        <f t="shared" si="3084"/>
        <v>0</v>
      </c>
      <c r="X4165" s="102">
        <f t="shared" si="3085"/>
        <v>0</v>
      </c>
      <c r="Y4165" s="120" t="b">
        <f t="shared" si="3086"/>
        <v>0</v>
      </c>
      <c r="Z4165" s="117">
        <f t="shared" si="3087"/>
        <v>0</v>
      </c>
      <c r="AA4165" s="118"/>
      <c r="AB4165" s="118" t="str">
        <f t="shared" si="3088"/>
        <v/>
      </c>
      <c r="AC4165" s="712" t="str">
        <f>IF(AE4165="T2G","no charge",IF(AND(OR(PlanterYesMe="No",PlanterYesMe="N",PlanterYesMe="me"),H4165=""),"",IF(H4165="credit","NO install",IF(AND(K4165="",AE4165="me"),"EACH row",IF(AND(K4165="images",AE4165="me"),"EACH row",IF(D4165="","",IF(H4165="credit","",IF(AE4165="free","re-planting",IF(AE4165="me","   not ELP, by",IF(AND(OR(PlanterYesMe="Yes",PlanterYesMe="Y"),G4165&gt;0),(VLOOKUP(A4165,'Discount Lookup'!J:K,2)*G4165*(1-PlanterDiscount)*(1+PlanterDifficultyPercentage)),IF(AE4165="ELP",(VLOOKUP(A4165,'Discount Lookup'!J:K,2)*G4165*(1-PlanterDiscount)*(1+PlanterDifficultyPercentage)),IF(AE4165="free","re-planting",IF(G4165=0,"",IF(PlanterYesMe="",IF(AE4165="me","   not ELP, by",IF(AE4165="",IF(G4165&gt;0,(VLOOKUP(A4165,'Discount Lookup'!J:K,2)*G4165*(1-PlanterDiscount)*(1+PlanterDifficultyPercentage)),""),"")),"   not ELP, by"))))))))))))))</f>
        <v/>
      </c>
      <c r="AD4165" s="712"/>
      <c r="AE4165" s="513" t="str">
        <f t="shared" si="3089"/>
        <v/>
      </c>
      <c r="AF4165" s="713" t="str">
        <f t="shared" si="3090"/>
        <v/>
      </c>
      <c r="AG4165" s="713"/>
      <c r="AH4165" s="713"/>
      <c r="AI4165" s="112">
        <f>IF(H4165="credit",0,IF(AE4165="free",0,IF(AE4165="me",0,IF(G4165&gt;0,(VLOOKUP(A4165,'Discount Lookup'!J:K,2)*G4165),0))))</f>
        <v>0</v>
      </c>
      <c r="AJ4165" s="107" t="str">
        <f t="shared" ca="1" si="3091"/>
        <v/>
      </c>
      <c r="AK4165" s="714" t="str">
        <f t="shared" si="3092"/>
        <v/>
      </c>
      <c r="AL4165" s="714"/>
      <c r="AM4165" s="114" t="str">
        <f t="shared" si="3093"/>
        <v/>
      </c>
      <c r="AN4165" s="115"/>
      <c r="AO4165" s="116"/>
      <c r="AP4165" s="116"/>
      <c r="AQ4165" s="116"/>
      <c r="AR4165" s="116"/>
      <c r="AS4165" s="116"/>
      <c r="AT4165" s="116"/>
      <c r="AU4165" s="116"/>
      <c r="AV4165" s="78"/>
      <c r="AW4165" s="102"/>
      <c r="AX4165" s="78"/>
      <c r="AY4165" s="78"/>
      <c r="AZ4165" s="78"/>
      <c r="BA4165" s="78"/>
      <c r="BB4165" s="78"/>
      <c r="BC4165" s="78"/>
      <c r="BD4165" s="78"/>
      <c r="BE4165" s="465"/>
      <c r="BF4165" s="165" t="str">
        <f t="shared" si="3094"/>
        <v>https://www.google.com/search?tbm=isch&amp;q=25%20G4</v>
      </c>
      <c r="BG4165" s="165" t="str">
        <f t="shared" si="3095"/>
        <v>T</v>
      </c>
      <c r="BH4165" s="65"/>
      <c r="BI4165" s="65"/>
      <c r="BJ4165" s="65"/>
      <c r="BK4165" s="65"/>
      <c r="BL4165" s="99"/>
      <c r="BM4165" s="99"/>
      <c r="BN4165" s="99"/>
    </row>
    <row r="4166" spans="1:66" s="51" customFormat="1" ht="15.75" x14ac:dyDescent="0.25">
      <c r="A4166" s="478">
        <v>25</v>
      </c>
      <c r="B4166" s="479" t="s">
        <v>291</v>
      </c>
      <c r="C4166" s="480" t="s">
        <v>888</v>
      </c>
      <c r="D4166" s="481" t="s">
        <v>293</v>
      </c>
      <c r="E4166" s="482">
        <v>309.95</v>
      </c>
      <c r="F4166" s="483" t="s">
        <v>292</v>
      </c>
      <c r="G4166" s="484">
        <v>0</v>
      </c>
      <c r="H4166" s="688" t="str">
        <f t="shared" si="3117"/>
        <v/>
      </c>
      <c r="I4166" s="485">
        <f t="shared" si="3118"/>
        <v>0</v>
      </c>
      <c r="J4166" s="485">
        <f t="shared" si="3119"/>
        <v>0</v>
      </c>
      <c r="K4166" s="715">
        <f t="shared" ref="K4166" si="3132">I4166+J4166</f>
        <v>0</v>
      </c>
      <c r="L4166" s="715"/>
      <c r="M4166" s="689" t="str">
        <f t="shared" ca="1" si="3121"/>
        <v/>
      </c>
      <c r="N4166" s="690"/>
      <c r="O4166" s="486"/>
      <c r="P4166" s="486"/>
      <c r="Q4166" s="486"/>
      <c r="R4166" s="486"/>
      <c r="S4166" s="486"/>
      <c r="T4166" s="102">
        <f t="shared" si="3083"/>
        <v>0</v>
      </c>
      <c r="U4166" s="78">
        <f>IF(NOT(ISNUMBER(G4166)), "", VLOOKUP(A4166,'Discount Lookup'!D:E,2,FALSE)*G4166)</f>
        <v>0</v>
      </c>
      <c r="V4166" s="78">
        <f>IF(NOT(ISNUMBER(G4166)), "", VLOOKUP(A4166,'Discount Lookup'!G:H,2,FALSE)*G4166)</f>
        <v>0</v>
      </c>
      <c r="W4166" s="102">
        <f t="shared" si="3084"/>
        <v>0</v>
      </c>
      <c r="X4166" s="102">
        <f t="shared" si="3085"/>
        <v>0</v>
      </c>
      <c r="Y4166" s="120" t="b">
        <f t="shared" si="3086"/>
        <v>0</v>
      </c>
      <c r="Z4166" s="117">
        <f t="shared" si="3087"/>
        <v>0</v>
      </c>
      <c r="AA4166" s="118"/>
      <c r="AB4166" s="118" t="str">
        <f t="shared" si="3088"/>
        <v/>
      </c>
      <c r="AC4166" s="712" t="str">
        <f>IF(AE4166="T2G","no charge",IF(AND(OR(PlanterYesMe="No",PlanterYesMe="N",PlanterYesMe="me"),H4166=""),"",IF(H4166="credit","NO install",IF(AND(K4166="",AE4166="me"),"EACH row",IF(AND(K4166="images",AE4166="me"),"EACH row",IF(D4166="","",IF(H4166="credit","",IF(AE4166="free","re-planting",IF(AE4166="me","   not ELP, by",IF(AND(OR(PlanterYesMe="Yes",PlanterYesMe="Y"),G4166&gt;0),(VLOOKUP(A4166,'Discount Lookup'!J:K,2)*G4166*(1-PlanterDiscount)*(1+PlanterDifficultyPercentage)),IF(AE4166="ELP",(VLOOKUP(A4166,'Discount Lookup'!J:K,2)*G4166*(1-PlanterDiscount)*(1+PlanterDifficultyPercentage)),IF(AE4166="free","re-planting",IF(G4166=0,"",IF(PlanterYesMe="",IF(AE4166="me","   not ELP, by",IF(AE4166="",IF(G4166&gt;0,(VLOOKUP(A4166,'Discount Lookup'!J:K,2)*G4166*(1-PlanterDiscount)*(1+PlanterDifficultyPercentage)),""),"")),"   not ELP, by"))))))))))))))</f>
        <v/>
      </c>
      <c r="AD4166" s="712"/>
      <c r="AE4166" s="513" t="str">
        <f t="shared" si="3089"/>
        <v/>
      </c>
      <c r="AF4166" s="713" t="str">
        <f t="shared" si="3090"/>
        <v/>
      </c>
      <c r="AG4166" s="713"/>
      <c r="AH4166" s="713"/>
      <c r="AI4166" s="112">
        <f>IF(H4166="credit",0,IF(AE4166="free",0,IF(AE4166="me",0,IF(G4166&gt;0,(VLOOKUP(A4166,'Discount Lookup'!J:K,2)*G4166),0))))</f>
        <v>0</v>
      </c>
      <c r="AJ4166" s="107" t="str">
        <f t="shared" ca="1" si="3091"/>
        <v/>
      </c>
      <c r="AK4166" s="714" t="str">
        <f t="shared" si="3092"/>
        <v/>
      </c>
      <c r="AL4166" s="714"/>
      <c r="AM4166" s="114" t="str">
        <f t="shared" si="3093"/>
        <v/>
      </c>
      <c r="AN4166" s="115"/>
      <c r="AO4166" s="116"/>
      <c r="AP4166" s="116"/>
      <c r="AQ4166" s="116"/>
      <c r="AR4166" s="116"/>
      <c r="AS4166" s="116"/>
      <c r="AT4166" s="116"/>
      <c r="AU4166" s="116"/>
      <c r="AV4166" s="78"/>
      <c r="AW4166" s="102"/>
      <c r="AX4166" s="78"/>
      <c r="AY4166" s="78"/>
      <c r="AZ4166" s="78"/>
      <c r="BA4166" s="78"/>
      <c r="BB4166" s="78"/>
      <c r="BC4166" s="78"/>
      <c r="BD4166" s="78"/>
      <c r="BE4166" s="465"/>
      <c r="BF4166" s="165" t="str">
        <f t="shared" si="3094"/>
        <v>https://www.google.com/search?tbm=isch&amp;q=25%20G6</v>
      </c>
      <c r="BG4166" s="165" t="str">
        <f t="shared" si="3095"/>
        <v>T</v>
      </c>
      <c r="BH4166" s="65"/>
      <c r="BI4166" s="65"/>
      <c r="BJ4166" s="65"/>
      <c r="BK4166" s="65"/>
      <c r="BL4166" s="99"/>
      <c r="BM4166" s="99"/>
      <c r="BN4166" s="99"/>
    </row>
    <row r="4167" spans="1:66" s="51" customFormat="1" ht="15.75" x14ac:dyDescent="0.25">
      <c r="A4167" s="478">
        <v>30</v>
      </c>
      <c r="B4167" s="479" t="s">
        <v>291</v>
      </c>
      <c r="C4167" s="480" t="s">
        <v>867</v>
      </c>
      <c r="D4167" s="481" t="s">
        <v>311</v>
      </c>
      <c r="E4167" s="482">
        <v>341.95</v>
      </c>
      <c r="F4167" s="483" t="s">
        <v>292</v>
      </c>
      <c r="G4167" s="484">
        <v>0</v>
      </c>
      <c r="H4167" s="688" t="str">
        <f t="shared" si="3117"/>
        <v/>
      </c>
      <c r="I4167" s="485">
        <f t="shared" si="3118"/>
        <v>0</v>
      </c>
      <c r="J4167" s="485">
        <f t="shared" si="3119"/>
        <v>0</v>
      </c>
      <c r="K4167" s="715">
        <f t="shared" ref="K4167" si="3133">I4167+J4167</f>
        <v>0</v>
      </c>
      <c r="L4167" s="715"/>
      <c r="M4167" s="689" t="str">
        <f t="shared" ca="1" si="3121"/>
        <v/>
      </c>
      <c r="N4167" s="690"/>
      <c r="O4167" s="486"/>
      <c r="P4167" s="486"/>
      <c r="Q4167" s="486"/>
      <c r="R4167" s="486"/>
      <c r="S4167" s="486"/>
      <c r="T4167" s="102">
        <f t="shared" si="3083"/>
        <v>0</v>
      </c>
      <c r="U4167" s="78">
        <f>IF(NOT(ISNUMBER(G4167)), "", VLOOKUP(A4167,'Discount Lookup'!D:E,2,FALSE)*G4167)</f>
        <v>0</v>
      </c>
      <c r="V4167" s="78">
        <f>IF(NOT(ISNUMBER(G4167)), "", VLOOKUP(A4167,'Discount Lookup'!G:H,2,FALSE)*G4167)</f>
        <v>0</v>
      </c>
      <c r="W4167" s="102">
        <f t="shared" si="3084"/>
        <v>0</v>
      </c>
      <c r="X4167" s="102">
        <f t="shared" si="3085"/>
        <v>0</v>
      </c>
      <c r="Y4167" s="120" t="b">
        <f t="shared" si="3086"/>
        <v>0</v>
      </c>
      <c r="Z4167" s="117">
        <f t="shared" si="3087"/>
        <v>0</v>
      </c>
      <c r="AA4167" s="118"/>
      <c r="AB4167" s="118" t="str">
        <f t="shared" si="3088"/>
        <v/>
      </c>
      <c r="AC4167" s="712" t="str">
        <f>IF(AE4167="T2G","no charge",IF(AND(OR(PlanterYesMe="No",PlanterYesMe="N",PlanterYesMe="me"),H4167=""),"",IF(H4167="credit","NO install",IF(AND(K4167="",AE4167="me"),"EACH row",IF(AND(K4167="images",AE4167="me"),"EACH row",IF(D4167="","",IF(H4167="credit","",IF(AE4167="free","re-planting",IF(AE4167="me","   not ELP, by",IF(AND(OR(PlanterYesMe="Yes",PlanterYesMe="Y"),G4167&gt;0),(VLOOKUP(A4167,'Discount Lookup'!J:K,2)*G4167*(1-PlanterDiscount)*(1+PlanterDifficultyPercentage)),IF(AE4167="ELP",(VLOOKUP(A4167,'Discount Lookup'!J:K,2)*G4167*(1-PlanterDiscount)*(1+PlanterDifficultyPercentage)),IF(AE4167="free","re-planting",IF(G4167=0,"",IF(PlanterYesMe="",IF(AE4167="me","   not ELP, by",IF(AE4167="",IF(G4167&gt;0,(VLOOKUP(A4167,'Discount Lookup'!J:K,2)*G4167*(1-PlanterDiscount)*(1+PlanterDifficultyPercentage)),""),"")),"   not ELP, by"))))))))))))))</f>
        <v/>
      </c>
      <c r="AD4167" s="712"/>
      <c r="AE4167" s="513" t="str">
        <f t="shared" si="3089"/>
        <v/>
      </c>
      <c r="AF4167" s="713" t="str">
        <f t="shared" si="3090"/>
        <v/>
      </c>
      <c r="AG4167" s="713"/>
      <c r="AH4167" s="713"/>
      <c r="AI4167" s="112">
        <f>IF(H4167="credit",0,IF(AE4167="free",0,IF(AE4167="me",0,IF(G4167&gt;0,(VLOOKUP(A4167,'Discount Lookup'!J:K,2)*G4167),0))))</f>
        <v>0</v>
      </c>
      <c r="AJ4167" s="107" t="str">
        <f t="shared" ca="1" si="3091"/>
        <v/>
      </c>
      <c r="AK4167" s="714" t="str">
        <f t="shared" si="3092"/>
        <v/>
      </c>
      <c r="AL4167" s="714"/>
      <c r="AM4167" s="114" t="str">
        <f t="shared" si="3093"/>
        <v/>
      </c>
      <c r="AN4167" s="115"/>
      <c r="AO4167" s="116"/>
      <c r="AP4167" s="116"/>
      <c r="AQ4167" s="116"/>
      <c r="AR4167" s="116"/>
      <c r="AS4167" s="116"/>
      <c r="AT4167" s="116"/>
      <c r="AU4167" s="116"/>
      <c r="AV4167" s="78"/>
      <c r="AW4167" s="102"/>
      <c r="AX4167" s="78"/>
      <c r="AY4167" s="78"/>
      <c r="AZ4167" s="78"/>
      <c r="BA4167" s="78"/>
      <c r="BB4167" s="78"/>
      <c r="BC4167" s="78"/>
      <c r="BD4167" s="78"/>
      <c r="BE4167" s="465"/>
      <c r="BF4167" s="165" t="str">
        <f t="shared" si="3094"/>
        <v>https://www.google.com/search?tbm=isch&amp;q=30%20G5</v>
      </c>
      <c r="BG4167" s="165" t="str">
        <f t="shared" si="3095"/>
        <v>T</v>
      </c>
      <c r="BH4167" s="65"/>
      <c r="BI4167" s="65"/>
      <c r="BJ4167" s="65"/>
      <c r="BK4167" s="65"/>
      <c r="BL4167" s="99"/>
      <c r="BM4167" s="99"/>
      <c r="BN4167" s="99"/>
    </row>
    <row r="4168" spans="1:66" s="51" customFormat="1" ht="15.75" x14ac:dyDescent="0.25">
      <c r="A4168" s="478">
        <v>45</v>
      </c>
      <c r="B4168" s="479" t="s">
        <v>291</v>
      </c>
      <c r="C4168" s="480" t="s">
        <v>798</v>
      </c>
      <c r="D4168" s="481" t="s">
        <v>293</v>
      </c>
      <c r="E4168" s="482">
        <v>665.95</v>
      </c>
      <c r="F4168" s="483" t="s">
        <v>292</v>
      </c>
      <c r="G4168" s="484">
        <v>0</v>
      </c>
      <c r="H4168" s="688" t="str">
        <f t="shared" si="3117"/>
        <v/>
      </c>
      <c r="I4168" s="485">
        <f t="shared" si="3118"/>
        <v>0</v>
      </c>
      <c r="J4168" s="485">
        <f t="shared" si="3119"/>
        <v>0</v>
      </c>
      <c r="K4168" s="715">
        <f t="shared" ref="K4168" si="3134">I4168+J4168</f>
        <v>0</v>
      </c>
      <c r="L4168" s="715"/>
      <c r="M4168" s="689" t="str">
        <f t="shared" ca="1" si="3121"/>
        <v/>
      </c>
      <c r="N4168" s="690"/>
      <c r="O4168" s="486"/>
      <c r="P4168" s="486"/>
      <c r="Q4168" s="486"/>
      <c r="R4168" s="486"/>
      <c r="S4168" s="486"/>
      <c r="T4168" s="102">
        <f t="shared" si="3083"/>
        <v>0</v>
      </c>
      <c r="U4168" s="78">
        <f>IF(NOT(ISNUMBER(G4168)), "", VLOOKUP(A4168,'Discount Lookup'!D:E,2,FALSE)*G4168)</f>
        <v>0</v>
      </c>
      <c r="V4168" s="78">
        <f>IF(NOT(ISNUMBER(G4168)), "", VLOOKUP(A4168,'Discount Lookup'!G:H,2,FALSE)*G4168)</f>
        <v>0</v>
      </c>
      <c r="W4168" s="102">
        <f t="shared" si="3084"/>
        <v>0</v>
      </c>
      <c r="X4168" s="102">
        <f t="shared" si="3085"/>
        <v>0</v>
      </c>
      <c r="Y4168" s="120" t="b">
        <f t="shared" si="3086"/>
        <v>0</v>
      </c>
      <c r="Z4168" s="117">
        <f t="shared" si="3087"/>
        <v>0</v>
      </c>
      <c r="AA4168" s="118"/>
      <c r="AB4168" s="118" t="str">
        <f t="shared" si="3088"/>
        <v/>
      </c>
      <c r="AC4168" s="712" t="str">
        <f>IF(AE4168="T2G","no charge",IF(AND(OR(PlanterYesMe="No",PlanterYesMe="N",PlanterYesMe="me"),H4168=""),"",IF(H4168="credit","NO install",IF(AND(K4168="",AE4168="me"),"EACH row",IF(AND(K4168="images",AE4168="me"),"EACH row",IF(D4168="","",IF(H4168="credit","",IF(AE4168="free","re-planting",IF(AE4168="me","   not ELP, by",IF(AND(OR(PlanterYesMe="Yes",PlanterYesMe="Y"),G4168&gt;0),(VLOOKUP(A4168,'Discount Lookup'!J:K,2)*G4168*(1-PlanterDiscount)*(1+PlanterDifficultyPercentage)),IF(AE4168="ELP",(VLOOKUP(A4168,'Discount Lookup'!J:K,2)*G4168*(1-PlanterDiscount)*(1+PlanterDifficultyPercentage)),IF(AE4168="free","re-planting",IF(G4168=0,"",IF(PlanterYesMe="",IF(AE4168="me","   not ELP, by",IF(AE4168="",IF(G4168&gt;0,(VLOOKUP(A4168,'Discount Lookup'!J:K,2)*G4168*(1-PlanterDiscount)*(1+PlanterDifficultyPercentage)),""),"")),"   not ELP, by"))))))))))))))</f>
        <v/>
      </c>
      <c r="AD4168" s="712"/>
      <c r="AE4168" s="513" t="str">
        <f t="shared" si="3089"/>
        <v/>
      </c>
      <c r="AF4168" s="713" t="str">
        <f t="shared" si="3090"/>
        <v/>
      </c>
      <c r="AG4168" s="713"/>
      <c r="AH4168" s="713"/>
      <c r="AI4168" s="112">
        <f>IF(H4168="credit",0,IF(AE4168="free",0,IF(AE4168="me",0,IF(G4168&gt;0,(VLOOKUP(A4168,'Discount Lookup'!J:K,2)*G4168),0))))</f>
        <v>0</v>
      </c>
      <c r="AJ4168" s="107" t="str">
        <f t="shared" ca="1" si="3091"/>
        <v/>
      </c>
      <c r="AK4168" s="714" t="str">
        <f t="shared" si="3092"/>
        <v/>
      </c>
      <c r="AL4168" s="714"/>
      <c r="AM4168" s="114" t="str">
        <f t="shared" si="3093"/>
        <v/>
      </c>
      <c r="AN4168" s="115"/>
      <c r="AO4168" s="116"/>
      <c r="AP4168" s="116"/>
      <c r="AQ4168" s="116"/>
      <c r="AR4168" s="116"/>
      <c r="AS4168" s="116"/>
      <c r="AT4168" s="116"/>
      <c r="AU4168" s="116"/>
      <c r="AV4168" s="78"/>
      <c r="AW4168" s="102"/>
      <c r="AX4168" s="78"/>
      <c r="AY4168" s="78"/>
      <c r="AZ4168" s="78"/>
      <c r="BA4168" s="78"/>
      <c r="BB4168" s="78"/>
      <c r="BC4168" s="78"/>
      <c r="BD4168" s="78"/>
      <c r="BE4168" s="465"/>
      <c r="BF4168" s="165" t="str">
        <f t="shared" si="3094"/>
        <v>https://www.google.com/search?tbm=isch&amp;q=45%20G6</v>
      </c>
      <c r="BG4168" s="165" t="str">
        <f t="shared" si="3095"/>
        <v>T</v>
      </c>
      <c r="BH4168" s="65"/>
      <c r="BI4168" s="65"/>
      <c r="BJ4168" s="65"/>
      <c r="BK4168" s="65"/>
      <c r="BL4168" s="99"/>
      <c r="BM4168" s="99"/>
      <c r="BN4168" s="99"/>
    </row>
    <row r="4169" spans="1:66" s="51" customFormat="1" ht="27" x14ac:dyDescent="0.25">
      <c r="A4169" s="478">
        <v>65</v>
      </c>
      <c r="B4169" s="479" t="s">
        <v>291</v>
      </c>
      <c r="C4169" s="480" t="s">
        <v>1027</v>
      </c>
      <c r="D4169" s="481" t="s">
        <v>299</v>
      </c>
      <c r="E4169" s="482">
        <v>788.95</v>
      </c>
      <c r="F4169" s="483" t="s">
        <v>292</v>
      </c>
      <c r="G4169" s="484">
        <v>0</v>
      </c>
      <c r="H4169" s="688" t="str">
        <f t="shared" si="3117"/>
        <v/>
      </c>
      <c r="I4169" s="485">
        <f t="shared" si="3118"/>
        <v>0</v>
      </c>
      <c r="J4169" s="485">
        <f t="shared" si="3119"/>
        <v>0</v>
      </c>
      <c r="K4169" s="715">
        <f t="shared" ref="K4169" si="3135">I4169+J4169</f>
        <v>0</v>
      </c>
      <c r="L4169" s="715"/>
      <c r="M4169" s="689" t="str">
        <f t="shared" ca="1" si="3121"/>
        <v/>
      </c>
      <c r="N4169" s="690"/>
      <c r="O4169" s="486"/>
      <c r="P4169" s="486"/>
      <c r="Q4169" s="486"/>
      <c r="R4169" s="486"/>
      <c r="S4169" s="486"/>
      <c r="T4169" s="102">
        <f t="shared" si="3083"/>
        <v>0</v>
      </c>
      <c r="U4169" s="78">
        <f>IF(NOT(ISNUMBER(G4169)), "", VLOOKUP(A4169,'Discount Lookup'!D:E,2,FALSE)*G4169)</f>
        <v>0</v>
      </c>
      <c r="V4169" s="78">
        <f>IF(NOT(ISNUMBER(G4169)), "", VLOOKUP(A4169,'Discount Lookup'!G:H,2,FALSE)*G4169)</f>
        <v>0</v>
      </c>
      <c r="W4169" s="102">
        <f t="shared" si="3084"/>
        <v>0</v>
      </c>
      <c r="X4169" s="102">
        <f t="shared" si="3085"/>
        <v>0</v>
      </c>
      <c r="Y4169" s="120" t="b">
        <f t="shared" si="3086"/>
        <v>0</v>
      </c>
      <c r="Z4169" s="117">
        <f t="shared" si="3087"/>
        <v>0</v>
      </c>
      <c r="AA4169" s="118"/>
      <c r="AB4169" s="118" t="str">
        <f t="shared" si="3088"/>
        <v/>
      </c>
      <c r="AC4169" s="712" t="str">
        <f>IF(AE4169="T2G","no charge",IF(AND(OR(PlanterYesMe="No",PlanterYesMe="N",PlanterYesMe="me"),H4169=""),"",IF(H4169="credit","NO install",IF(AND(K4169="",AE4169="me"),"EACH row",IF(AND(K4169="images",AE4169="me"),"EACH row",IF(D4169="","",IF(H4169="credit","",IF(AE4169="free","re-planting",IF(AE4169="me","   not ELP, by",IF(AND(OR(PlanterYesMe="Yes",PlanterYesMe="Y"),G4169&gt;0),(VLOOKUP(A4169,'Discount Lookup'!J:K,2)*G4169*(1-PlanterDiscount)*(1+PlanterDifficultyPercentage)),IF(AE4169="ELP",(VLOOKUP(A4169,'Discount Lookup'!J:K,2)*G4169*(1-PlanterDiscount)*(1+PlanterDifficultyPercentage)),IF(AE4169="free","re-planting",IF(G4169=0,"",IF(PlanterYesMe="",IF(AE4169="me","   not ELP, by",IF(AE4169="",IF(G4169&gt;0,(VLOOKUP(A4169,'Discount Lookup'!J:K,2)*G4169*(1-PlanterDiscount)*(1+PlanterDifficultyPercentage)),""),"")),"   not ELP, by"))))))))))))))</f>
        <v/>
      </c>
      <c r="AD4169" s="712"/>
      <c r="AE4169" s="513" t="str">
        <f t="shared" si="3089"/>
        <v/>
      </c>
      <c r="AF4169" s="713" t="str">
        <f t="shared" si="3090"/>
        <v/>
      </c>
      <c r="AG4169" s="713"/>
      <c r="AH4169" s="713"/>
      <c r="AI4169" s="112">
        <f>IF(H4169="credit",0,IF(AE4169="free",0,IF(AE4169="me",0,IF(G4169&gt;0,(VLOOKUP(A4169,'Discount Lookup'!J:K,2)*G4169),0))))</f>
        <v>0</v>
      </c>
      <c r="AJ4169" s="107" t="str">
        <f t="shared" ca="1" si="3091"/>
        <v/>
      </c>
      <c r="AK4169" s="714" t="str">
        <f t="shared" si="3092"/>
        <v/>
      </c>
      <c r="AL4169" s="714"/>
      <c r="AM4169" s="114" t="str">
        <f t="shared" si="3093"/>
        <v/>
      </c>
      <c r="AN4169" s="115"/>
      <c r="AO4169" s="116"/>
      <c r="AP4169" s="116"/>
      <c r="AQ4169" s="116"/>
      <c r="AR4169" s="116"/>
      <c r="AS4169" s="116"/>
      <c r="AT4169" s="116"/>
      <c r="AU4169" s="116"/>
      <c r="AV4169" s="78"/>
      <c r="AW4169" s="102"/>
      <c r="AX4169" s="78"/>
      <c r="AY4169" s="78"/>
      <c r="AZ4169" s="78"/>
      <c r="BA4169" s="78"/>
      <c r="BB4169" s="78"/>
      <c r="BC4169" s="78"/>
      <c r="BD4169" s="78"/>
      <c r="BE4169" s="465"/>
      <c r="BF4169" s="165" t="str">
        <f t="shared" si="3094"/>
        <v>https://www.google.com/search?tbm=isch&amp;q=65%20G4</v>
      </c>
      <c r="BG4169" s="165" t="str">
        <f t="shared" si="3095"/>
        <v>T</v>
      </c>
      <c r="BH4169" s="65"/>
      <c r="BI4169" s="65"/>
      <c r="BJ4169" s="65"/>
      <c r="BK4169" s="65"/>
      <c r="BL4169" s="99"/>
      <c r="BM4169" s="99"/>
      <c r="BN4169" s="99"/>
    </row>
    <row r="4170" spans="1:66" s="51" customFormat="1" ht="16.5" thickBot="1" x14ac:dyDescent="0.3">
      <c r="A4170" s="508" t="s">
        <v>878</v>
      </c>
      <c r="B4170" s="487"/>
      <c r="C4170" s="707"/>
      <c r="D4170" s="487"/>
      <c r="E4170" s="487"/>
      <c r="F4170" s="488"/>
      <c r="G4170" s="489"/>
      <c r="H4170" s="487"/>
      <c r="I4170" s="490"/>
      <c r="J4170" s="490"/>
      <c r="K4170" s="491"/>
      <c r="L4170" s="547"/>
      <c r="M4170" s="528"/>
      <c r="N4170" s="492"/>
      <c r="O4170" s="493"/>
      <c r="P4170" s="494"/>
      <c r="Q4170" s="492"/>
      <c r="R4170" s="492"/>
      <c r="S4170" s="495"/>
      <c r="T4170" s="102">
        <f t="shared" si="3083"/>
        <v>0</v>
      </c>
      <c r="U4170" s="78" t="str">
        <f>IF(NOT(ISNUMBER(G4170)), "", VLOOKUP(A4170,'Discount Lookup'!D:E,2,FALSE)*G4170)</f>
        <v/>
      </c>
      <c r="V4170" s="78" t="str">
        <f>IF(NOT(ISNUMBER(G4170)), "", VLOOKUP(A4170,'Discount Lookup'!G:H,2,FALSE)*G4170)</f>
        <v/>
      </c>
      <c r="W4170" s="102">
        <f t="shared" si="3084"/>
        <v>0</v>
      </c>
      <c r="X4170" s="102">
        <f t="shared" si="3085"/>
        <v>0</v>
      </c>
      <c r="Y4170" s="120" t="b">
        <f t="shared" si="3086"/>
        <v>0</v>
      </c>
      <c r="Z4170" s="117">
        <f t="shared" si="3087"/>
        <v>0</v>
      </c>
      <c r="AA4170" s="118"/>
      <c r="AB4170" s="118" t="str">
        <f t="shared" si="3088"/>
        <v/>
      </c>
      <c r="AC4170" s="712" t="str">
        <f>IF(AE4170="T2G","no charge",IF(AND(OR(PlanterYesMe="No",PlanterYesMe="N",PlanterYesMe="me"),H4170=""),"",IF(H4170="credit","NO install",IF(AND(K4170="",AE4170="me"),"EACH row",IF(AND(K4170="images",AE4170="me"),"EACH row",IF(D4170="","",IF(H4170="credit","",IF(AE4170="free","re-planting",IF(AE4170="me","   not ELP, by",IF(AND(OR(PlanterYesMe="Yes",PlanterYesMe="Y"),G4170&gt;0),(VLOOKUP(A4170,'Discount Lookup'!J:K,2)*G4170*(1-PlanterDiscount)*(1+PlanterDifficultyPercentage)),IF(AE4170="ELP",(VLOOKUP(A4170,'Discount Lookup'!J:K,2)*G4170*(1-PlanterDiscount)*(1+PlanterDifficultyPercentage)),IF(AE4170="free","re-planting",IF(G4170=0,"",IF(PlanterYesMe="",IF(AE4170="me","   not ELP, by",IF(AE4170="",IF(G4170&gt;0,(VLOOKUP(A4170,'Discount Lookup'!J:K,2)*G4170*(1-PlanterDiscount)*(1+PlanterDifficultyPercentage)),""),"")),"   not ELP, by"))))))))))))))</f>
        <v/>
      </c>
      <c r="AD4170" s="712"/>
      <c r="AE4170" s="513" t="str">
        <f t="shared" si="3089"/>
        <v/>
      </c>
      <c r="AF4170" s="713" t="str">
        <f t="shared" si="3090"/>
        <v/>
      </c>
      <c r="AG4170" s="713"/>
      <c r="AH4170" s="713"/>
      <c r="AI4170" s="112">
        <f>IF(H4170="credit",0,IF(AE4170="free",0,IF(AE4170="me",0,IF(G4170&gt;0,(VLOOKUP(A4170,'Discount Lookup'!J:K,2)*G4170),0))))</f>
        <v>0</v>
      </c>
      <c r="AJ4170" s="107" t="str">
        <f t="shared" ca="1" si="3091"/>
        <v/>
      </c>
      <c r="AK4170" s="714" t="str">
        <f t="shared" si="3092"/>
        <v/>
      </c>
      <c r="AL4170" s="714"/>
      <c r="AM4170" s="114" t="str">
        <f t="shared" si="3093"/>
        <v/>
      </c>
      <c r="AN4170" s="115"/>
      <c r="AO4170" s="116"/>
      <c r="AP4170" s="116"/>
      <c r="AQ4170" s="116"/>
      <c r="AR4170" s="116"/>
      <c r="AS4170" s="116"/>
      <c r="AT4170" s="116"/>
      <c r="AU4170" s="116"/>
      <c r="AV4170" s="78"/>
      <c r="AW4170" s="102"/>
      <c r="AX4170" s="78"/>
      <c r="AY4170" s="78"/>
      <c r="AZ4170" s="78"/>
      <c r="BA4170" s="78"/>
      <c r="BB4170" s="78"/>
      <c r="BC4170" s="78"/>
      <c r="BD4170" s="78"/>
      <c r="BE4170" s="465"/>
      <c r="BF4170" s="165" t="str">
        <f t="shared" si="3094"/>
        <v>https://www.google.com/search?tbm=isch&amp;q=Green%20Giant%20grows%20fast%2C%20keeps%20a%20narrow%20profile%2C%20and%20stays%20dense%20to%20the%20ground.%20Some%20winter%20bronzing%2C%20like%20most%20Arborvitae.%20Best%20alternate%20to%20Leyland%20Cypress%20</v>
      </c>
      <c r="BG4170" s="165" t="str">
        <f t="shared" si="3095"/>
        <v>G</v>
      </c>
      <c r="BH4170" s="65"/>
      <c r="BI4170" s="65"/>
      <c r="BJ4170" s="65"/>
      <c r="BK4170" s="65"/>
      <c r="BL4170" s="99"/>
      <c r="BM4170" s="99"/>
      <c r="BN4170" s="99"/>
    </row>
    <row r="4171" spans="1:66" s="51" customFormat="1" ht="18" x14ac:dyDescent="0.25">
      <c r="A4171" s="507" t="s">
        <v>4381</v>
      </c>
      <c r="B4171" s="470"/>
      <c r="C4171" s="706"/>
      <c r="D4171" s="471" t="s">
        <v>4382</v>
      </c>
      <c r="E4171" s="472"/>
      <c r="F4171" s="472"/>
      <c r="G4171" s="472"/>
      <c r="H4171" s="622" t="s">
        <v>1082</v>
      </c>
      <c r="I4171" s="473" t="s">
        <v>1133</v>
      </c>
      <c r="J4171" s="472"/>
      <c r="K4171" s="472"/>
      <c r="L4171" s="561"/>
      <c r="M4171" s="698" t="s">
        <v>5246</v>
      </c>
      <c r="N4171" s="692" t="str">
        <f>IF(AND(ISTEXT($A4171), ISERROR($A4171+0)), HYPERLINK($BF4171, "Images"), "")</f>
        <v>Images</v>
      </c>
      <c r="O4171" s="694" t="s">
        <v>5247</v>
      </c>
      <c r="P4171" s="475"/>
      <c r="Q4171" s="476"/>
      <c r="R4171" s="476"/>
      <c r="S4171" s="477"/>
      <c r="T4171" s="102">
        <f t="shared" si="3083"/>
        <v>0</v>
      </c>
      <c r="U4171" s="78" t="str">
        <f>IF(NOT(ISNUMBER(G4171)), "", VLOOKUP(A4171,'Discount Lookup'!D:E,2,FALSE)*G4171)</f>
        <v/>
      </c>
      <c r="V4171" s="78" t="str">
        <f>IF(NOT(ISNUMBER(G4171)), "", VLOOKUP(A4171,'Discount Lookup'!G:H,2,FALSE)*G4171)</f>
        <v/>
      </c>
      <c r="W4171" s="102">
        <f t="shared" si="3084"/>
        <v>0</v>
      </c>
      <c r="X4171" s="102" t="str">
        <f t="shared" si="3085"/>
        <v>Glossy Green foliage</v>
      </c>
      <c r="Y4171" s="120" t="b">
        <f t="shared" si="3086"/>
        <v>0</v>
      </c>
      <c r="Z4171" s="117">
        <f t="shared" si="3087"/>
        <v>0</v>
      </c>
      <c r="AA4171" s="118"/>
      <c r="AB4171" s="118" t="str">
        <f t="shared" si="3088"/>
        <v/>
      </c>
      <c r="AC4171" s="712" t="str">
        <f>IF(AE4171="T2G","no charge",IF(AND(OR(PlanterYesMe="No",PlanterYesMe="N",PlanterYesMe="me"),H4171=""),"",IF(H4171="credit","NO install",IF(AND(K4171="",AE4171="me"),"EACH row",IF(AND(K4171="images",AE4171="me"),"EACH row",IF(D4171="","",IF(H4171="credit","",IF(AE4171="free","re-planting",IF(AE4171="me","   not ELP, by",IF(AND(OR(PlanterYesMe="Yes",PlanterYesMe="Y"),G4171&gt;0),(VLOOKUP(A4171,'Discount Lookup'!J:K,2)*G4171*(1-PlanterDiscount)*(1+PlanterDifficultyPercentage)),IF(AE4171="ELP",(VLOOKUP(A4171,'Discount Lookup'!J:K,2)*G4171*(1-PlanterDiscount)*(1+PlanterDifficultyPercentage)),IF(AE4171="free","re-planting",IF(G4171=0,"",IF(PlanterYesMe="",IF(AE4171="me","   not ELP, by",IF(AE4171="",IF(G4171&gt;0,(VLOOKUP(A4171,'Discount Lookup'!J:K,2)*G4171*(1-PlanterDiscount)*(1+PlanterDifficultyPercentage)),""),"")),"   not ELP, by"))))))))))))))</f>
        <v/>
      </c>
      <c r="AD4171" s="712"/>
      <c r="AE4171" s="513" t="str">
        <f t="shared" si="3089"/>
        <v/>
      </c>
      <c r="AF4171" s="713" t="str">
        <f t="shared" si="3090"/>
        <v/>
      </c>
      <c r="AG4171" s="713"/>
      <c r="AH4171" s="713"/>
      <c r="AI4171" s="112">
        <f>IF(H4171="credit",0,IF(AE4171="free",0,IF(AE4171="me",0,IF(G4171&gt;0,(VLOOKUP(A4171,'Discount Lookup'!J:K,2)*G4171),0))))</f>
        <v>0</v>
      </c>
      <c r="AJ4171" s="107" t="str">
        <f t="shared" ca="1" si="3091"/>
        <v/>
      </c>
      <c r="AK4171" s="714" t="str">
        <f t="shared" si="3092"/>
        <v/>
      </c>
      <c r="AL4171" s="714"/>
      <c r="AM4171" s="114" t="str">
        <f t="shared" si="3093"/>
        <v/>
      </c>
      <c r="AN4171" s="115"/>
      <c r="AO4171" s="116"/>
      <c r="AP4171" s="116"/>
      <c r="AQ4171" s="116"/>
      <c r="AR4171" s="116"/>
      <c r="AS4171" s="116"/>
      <c r="AT4171" s="116"/>
      <c r="AU4171" s="116"/>
      <c r="AV4171" s="78"/>
      <c r="AW4171" s="102"/>
      <c r="AX4171" s="78"/>
      <c r="AY4171" s="78"/>
      <c r="AZ4171" s="78"/>
      <c r="BA4171" s="78"/>
      <c r="BB4171" s="78"/>
      <c r="BC4171" s="78"/>
      <c r="BD4171" s="78"/>
      <c r="BE4171" s="465"/>
      <c r="BF4171" s="165" t="str">
        <f t="shared" si="3094"/>
        <v>https://www.google.com/search?tbm=isch&amp;q=Thuja%20plicata%20%27Whipcord%27%20Whipcord%20Western%20Red%20Cedar</v>
      </c>
      <c r="BG4171" s="165" t="str">
        <f t="shared" si="3095"/>
        <v>T</v>
      </c>
      <c r="BH4171" s="65"/>
      <c r="BI4171" s="65"/>
      <c r="BJ4171" s="65"/>
      <c r="BK4171" s="65"/>
      <c r="BL4171" s="99"/>
      <c r="BM4171" s="99"/>
      <c r="BN4171" s="99"/>
    </row>
    <row r="4172" spans="1:66" s="51" customFormat="1" ht="27" x14ac:dyDescent="0.25">
      <c r="A4172" s="478">
        <v>7</v>
      </c>
      <c r="B4172" s="479" t="s">
        <v>291</v>
      </c>
      <c r="C4172" s="480" t="s">
        <v>4383</v>
      </c>
      <c r="D4172" s="481" t="s">
        <v>299</v>
      </c>
      <c r="E4172" s="482">
        <v>247.95</v>
      </c>
      <c r="F4172" s="483" t="s">
        <v>292</v>
      </c>
      <c r="G4172" s="484">
        <v>0</v>
      </c>
      <c r="H4172" s="688" t="str">
        <f>IF(G4172=0,"",IF(F4172="Buy",IF(G4172=1,"plant","plants"),IF(F4172&gt;0.01,"warranty","Error")))</f>
        <v/>
      </c>
      <c r="I4172" s="485">
        <f>IF(H4172="free",0,IF(H4172="credit",((E4172*(F4172))*G4172*-1),IF(F4172="Buy",(E4172*G4172),((E4172*(1-F4172))*G4172))))</f>
        <v>0</v>
      </c>
      <c r="J4172" s="485">
        <f>IF(H4172="warranty",0,(I4172*(_xlfn.SINGLE(SalesTaxPercentage))))</f>
        <v>0</v>
      </c>
      <c r="K4172" s="715">
        <f t="shared" ref="K4172" si="3136">I4172+J4172</f>
        <v>0</v>
      </c>
      <c r="L4172" s="715"/>
      <c r="M4172" s="689" t="str">
        <f ca="1">IF(AND(G4172&gt;0,E4172=0),"WARNING - no PRICE inserted",IF(H4172="free","FREE ~ no charge this plant",IF(H4172="credit",CONCATENATE("-$",ROUND(K4172*(1-_xlfn.SINGLE(T2GDiscount))*-1,2)," CREDIT after discount"),IF(_xlfn.SINGLE(T2GDiscount)=0,"",IF(G4172=0,"",IF(F4172="Buy",CONCATENATE("$",ROUND(K4172*(1-_xlfn.SINGLE(T2GDiscount)),2)," with ",(_xlfn.SINGLE(T2GDiscount)*100),"% discount"),CONCATENATE("$",ROUND(K4172*(1-_xlfn.SINGLE(T2GDiscount)),2)," with ",((_xlfn.SINGLE(T2GDiscount)*100+F4172*100)-(_xlfn.SINGLE(T2GDiscount)*100*F4172)),IF(F4172&gt;0,"% discounts",IF(_xlfn.SINGLE(NoWarrantyDiscount)&gt;0,"% discounts","% discount")))))))))</f>
        <v/>
      </c>
      <c r="N4172" s="690"/>
      <c r="O4172" s="486"/>
      <c r="P4172" s="486"/>
      <c r="Q4172" s="486"/>
      <c r="R4172" s="486"/>
      <c r="S4172" s="486"/>
      <c r="T4172" s="102">
        <f t="shared" si="3083"/>
        <v>0</v>
      </c>
      <c r="U4172" s="78">
        <f>IF(NOT(ISNUMBER(G4172)), "", VLOOKUP(A4172,'Discount Lookup'!D:E,2,FALSE)*G4172)</f>
        <v>0</v>
      </c>
      <c r="V4172" s="78">
        <f>IF(NOT(ISNUMBER(G4172)), "", VLOOKUP(A4172,'Discount Lookup'!G:H,2,FALSE)*G4172)</f>
        <v>0</v>
      </c>
      <c r="W4172" s="102">
        <f t="shared" si="3084"/>
        <v>0</v>
      </c>
      <c r="X4172" s="102">
        <f t="shared" si="3085"/>
        <v>0</v>
      </c>
      <c r="Y4172" s="120" t="b">
        <f t="shared" si="3086"/>
        <v>0</v>
      </c>
      <c r="Z4172" s="117">
        <f t="shared" si="3087"/>
        <v>0</v>
      </c>
      <c r="AA4172" s="118"/>
      <c r="AB4172" s="118" t="str">
        <f t="shared" si="3088"/>
        <v/>
      </c>
      <c r="AC4172" s="712" t="str">
        <f>IF(AE4172="T2G","no charge",IF(AND(OR(PlanterYesMe="No",PlanterYesMe="N",PlanterYesMe="me"),H4172=""),"",IF(H4172="credit","NO install",IF(AND(K4172="",AE4172="me"),"EACH row",IF(AND(K4172="images",AE4172="me"),"EACH row",IF(D4172="","",IF(H4172="credit","",IF(AE4172="free","re-planting",IF(AE4172="me","   not ELP, by",IF(AND(OR(PlanterYesMe="Yes",PlanterYesMe="Y"),G4172&gt;0),(VLOOKUP(A4172,'Discount Lookup'!J:K,2)*G4172*(1-PlanterDiscount)*(1+PlanterDifficultyPercentage)),IF(AE4172="ELP",(VLOOKUP(A4172,'Discount Lookup'!J:K,2)*G4172*(1-PlanterDiscount)*(1+PlanterDifficultyPercentage)),IF(AE4172="free","re-planting",IF(G4172=0,"",IF(PlanterYesMe="",IF(AE4172="me","   not ELP, by",IF(AE4172="",IF(G4172&gt;0,(VLOOKUP(A4172,'Discount Lookup'!J:K,2)*G4172*(1-PlanterDiscount)*(1+PlanterDifficultyPercentage)),""),"")),"   not ELP, by"))))))))))))))</f>
        <v/>
      </c>
      <c r="AD4172" s="712"/>
      <c r="AE4172" s="513" t="str">
        <f t="shared" si="3089"/>
        <v/>
      </c>
      <c r="AF4172" s="713" t="str">
        <f t="shared" si="3090"/>
        <v/>
      </c>
      <c r="AG4172" s="713"/>
      <c r="AH4172" s="713"/>
      <c r="AI4172" s="112">
        <f>IF(H4172="credit",0,IF(AE4172="free",0,IF(AE4172="me",0,IF(G4172&gt;0,(VLOOKUP(A4172,'Discount Lookup'!J:K,2)*G4172),0))))</f>
        <v>0</v>
      </c>
      <c r="AJ4172" s="107" t="str">
        <f t="shared" ca="1" si="3091"/>
        <v/>
      </c>
      <c r="AK4172" s="714" t="str">
        <f t="shared" si="3092"/>
        <v/>
      </c>
      <c r="AL4172" s="714"/>
      <c r="AM4172" s="114" t="str">
        <f t="shared" si="3093"/>
        <v/>
      </c>
      <c r="AN4172" s="115"/>
      <c r="AO4172" s="116"/>
      <c r="AP4172" s="116"/>
      <c r="AQ4172" s="116"/>
      <c r="AR4172" s="116"/>
      <c r="AS4172" s="116"/>
      <c r="AT4172" s="116"/>
      <c r="AU4172" s="116"/>
      <c r="AV4172" s="78"/>
      <c r="AW4172" s="102"/>
      <c r="AX4172" s="78"/>
      <c r="AY4172" s="78"/>
      <c r="AZ4172" s="78"/>
      <c r="BA4172" s="78"/>
      <c r="BB4172" s="78"/>
      <c r="BC4172" s="78"/>
      <c r="BD4172" s="78"/>
      <c r="BE4172" s="465"/>
      <c r="BF4172" s="165" t="str">
        <f t="shared" si="3094"/>
        <v>https://www.google.com/search?tbm=isch&amp;q=7%20G4</v>
      </c>
      <c r="BG4172" s="165" t="str">
        <f t="shared" si="3095"/>
        <v>T</v>
      </c>
      <c r="BH4172" s="65"/>
      <c r="BI4172" s="65"/>
      <c r="BJ4172" s="65"/>
      <c r="BK4172" s="65"/>
      <c r="BL4172" s="99"/>
      <c r="BM4172" s="99"/>
      <c r="BN4172" s="99"/>
    </row>
    <row r="4173" spans="1:66" s="51" customFormat="1" ht="16.5" thickBot="1" x14ac:dyDescent="0.3">
      <c r="A4173" s="508" t="s">
        <v>4384</v>
      </c>
      <c r="B4173" s="487"/>
      <c r="C4173" s="707"/>
      <c r="D4173" s="487"/>
      <c r="E4173" s="487"/>
      <c r="F4173" s="488"/>
      <c r="G4173" s="489"/>
      <c r="H4173" s="487"/>
      <c r="I4173" s="490"/>
      <c r="J4173" s="490"/>
      <c r="K4173" s="491"/>
      <c r="L4173" s="547"/>
      <c r="M4173" s="528"/>
      <c r="N4173" s="492"/>
      <c r="O4173" s="493"/>
      <c r="P4173" s="494"/>
      <c r="Q4173" s="492"/>
      <c r="R4173" s="492"/>
      <c r="S4173" s="495"/>
      <c r="T4173" s="102">
        <f t="shared" si="3083"/>
        <v>0</v>
      </c>
      <c r="U4173" s="78" t="str">
        <f>IF(NOT(ISNUMBER(G4173)), "", VLOOKUP(A4173,'Discount Lookup'!D:E,2,FALSE)*G4173)</f>
        <v/>
      </c>
      <c r="V4173" s="78" t="str">
        <f>IF(NOT(ISNUMBER(G4173)), "", VLOOKUP(A4173,'Discount Lookup'!G:H,2,FALSE)*G4173)</f>
        <v/>
      </c>
      <c r="W4173" s="102">
        <f t="shared" si="3084"/>
        <v>0</v>
      </c>
      <c r="X4173" s="102">
        <f t="shared" si="3085"/>
        <v>0</v>
      </c>
      <c r="Y4173" s="120" t="b">
        <f t="shared" si="3086"/>
        <v>0</v>
      </c>
      <c r="Z4173" s="117">
        <f t="shared" si="3087"/>
        <v>0</v>
      </c>
      <c r="AA4173" s="118"/>
      <c r="AB4173" s="118" t="str">
        <f t="shared" si="3088"/>
        <v/>
      </c>
      <c r="AC4173" s="712" t="str">
        <f>IF(AE4173="T2G","no charge",IF(AND(OR(PlanterYesMe="No",PlanterYesMe="N",PlanterYesMe="me"),H4173=""),"",IF(H4173="credit","NO install",IF(AND(K4173="",AE4173="me"),"EACH row",IF(AND(K4173="images",AE4173="me"),"EACH row",IF(D4173="","",IF(H4173="credit","",IF(AE4173="free","re-planting",IF(AE4173="me","   not ELP, by",IF(AND(OR(PlanterYesMe="Yes",PlanterYesMe="Y"),G4173&gt;0),(VLOOKUP(A4173,'Discount Lookup'!J:K,2)*G4173*(1-PlanterDiscount)*(1+PlanterDifficultyPercentage)),IF(AE4173="ELP",(VLOOKUP(A4173,'Discount Lookup'!J:K,2)*G4173*(1-PlanterDiscount)*(1+PlanterDifficultyPercentage)),IF(AE4173="free","re-planting",IF(G4173=0,"",IF(PlanterYesMe="",IF(AE4173="me","   not ELP, by",IF(AE4173="",IF(G4173&gt;0,(VLOOKUP(A4173,'Discount Lookup'!J:K,2)*G4173*(1-PlanterDiscount)*(1+PlanterDifficultyPercentage)),""),"")),"   not ELP, by"))))))))))))))</f>
        <v/>
      </c>
      <c r="AD4173" s="712"/>
      <c r="AE4173" s="513" t="str">
        <f t="shared" si="3089"/>
        <v/>
      </c>
      <c r="AF4173" s="713" t="str">
        <f t="shared" si="3090"/>
        <v/>
      </c>
      <c r="AG4173" s="713"/>
      <c r="AH4173" s="713"/>
      <c r="AI4173" s="112">
        <f>IF(H4173="credit",0,IF(AE4173="free",0,IF(AE4173="me",0,IF(G4173&gt;0,(VLOOKUP(A4173,'Discount Lookup'!J:K,2)*G4173),0))))</f>
        <v>0</v>
      </c>
      <c r="AJ4173" s="107" t="str">
        <f t="shared" ca="1" si="3091"/>
        <v/>
      </c>
      <c r="AK4173" s="714" t="str">
        <f t="shared" si="3092"/>
        <v/>
      </c>
      <c r="AL4173" s="714"/>
      <c r="AM4173" s="114" t="str">
        <f t="shared" si="3093"/>
        <v/>
      </c>
      <c r="AN4173" s="115"/>
      <c r="AO4173" s="116"/>
      <c r="AP4173" s="116"/>
      <c r="AQ4173" s="116"/>
      <c r="AR4173" s="116"/>
      <c r="AS4173" s="116"/>
      <c r="AT4173" s="116"/>
      <c r="AU4173" s="116"/>
      <c r="AV4173" s="78"/>
      <c r="AW4173" s="102"/>
      <c r="AX4173" s="78"/>
      <c r="AY4173" s="78"/>
      <c r="AZ4173" s="78"/>
      <c r="BA4173" s="78"/>
      <c r="BB4173" s="78"/>
      <c r="BC4173" s="78"/>
      <c r="BD4173" s="78"/>
      <c r="BE4173" s="465"/>
      <c r="BF4173" s="165" t="str">
        <f t="shared" si="3094"/>
        <v>https://www.google.com/search?tbm=isch&amp;q=Whipcord%20captivates%20with%20its%20rope-like%20green%20foliage%20and%20sculptural%20mounding%20form.%20Reddish-brown%2C%20fibrous%20bark%20may%20peel%20in%20strips%20at%20maturity%20</v>
      </c>
      <c r="BG4173" s="165" t="str">
        <f t="shared" si="3095"/>
        <v>W</v>
      </c>
      <c r="BH4173" s="65"/>
      <c r="BI4173" s="65"/>
      <c r="BJ4173" s="65"/>
      <c r="BK4173" s="65"/>
      <c r="BL4173" s="99"/>
      <c r="BM4173" s="99"/>
      <c r="BN4173" s="99"/>
    </row>
    <row r="4174" spans="1:66" s="51" customFormat="1" ht="18" x14ac:dyDescent="0.25">
      <c r="A4174" s="507" t="s">
        <v>799</v>
      </c>
      <c r="B4174" s="470"/>
      <c r="C4174" s="706"/>
      <c r="D4174" s="471" t="s">
        <v>5845</v>
      </c>
      <c r="E4174" s="472"/>
      <c r="F4174" s="472"/>
      <c r="G4174" s="472"/>
      <c r="H4174" s="622" t="s">
        <v>568</v>
      </c>
      <c r="I4174" s="473" t="s">
        <v>431</v>
      </c>
      <c r="J4174" s="472"/>
      <c r="K4174" s="472"/>
      <c r="L4174" s="561"/>
      <c r="M4174" s="698" t="s">
        <v>5240</v>
      </c>
      <c r="N4174" s="692" t="str">
        <f>IF(AND(ISTEXT($A4174), ISERROR($A4174+0)), HYPERLINK($BF4174, "Images"), "")</f>
        <v>Images</v>
      </c>
      <c r="O4174" s="694" t="s">
        <v>5247</v>
      </c>
      <c r="P4174" s="475"/>
      <c r="Q4174" s="476"/>
      <c r="R4174" s="476"/>
      <c r="S4174" s="477"/>
      <c r="T4174" s="102">
        <f t="shared" si="3083"/>
        <v>0</v>
      </c>
      <c r="U4174" s="78" t="str">
        <f>IF(NOT(ISNUMBER(G4174)), "", VLOOKUP(A4174,'Discount Lookup'!D:E,2,FALSE)*G4174)</f>
        <v/>
      </c>
      <c r="V4174" s="78" t="str">
        <f>IF(NOT(ISNUMBER(G4174)), "", VLOOKUP(A4174,'Discount Lookup'!G:H,2,FALSE)*G4174)</f>
        <v/>
      </c>
      <c r="W4174" s="102">
        <f t="shared" si="3084"/>
        <v>0</v>
      </c>
      <c r="X4174" s="102" t="str">
        <f t="shared" si="3085"/>
        <v>Dark Green foliage</v>
      </c>
      <c r="Y4174" s="120" t="b">
        <f t="shared" si="3086"/>
        <v>0</v>
      </c>
      <c r="Z4174" s="117">
        <f t="shared" si="3087"/>
        <v>0</v>
      </c>
      <c r="AA4174" s="118"/>
      <c r="AB4174" s="118" t="str">
        <f t="shared" si="3088"/>
        <v/>
      </c>
      <c r="AC4174" s="712" t="str">
        <f>IF(AE4174="T2G","no charge",IF(AND(OR(PlanterYesMe="No",PlanterYesMe="N",PlanterYesMe="me"),H4174=""),"",IF(H4174="credit","NO install",IF(AND(K4174="",AE4174="me"),"EACH row",IF(AND(K4174="images",AE4174="me"),"EACH row",IF(D4174="","",IF(H4174="credit","",IF(AE4174="free","re-planting",IF(AE4174="me","   not ELP, by",IF(AND(OR(PlanterYesMe="Yes",PlanterYesMe="Y"),G4174&gt;0),(VLOOKUP(A4174,'Discount Lookup'!J:K,2)*G4174*(1-PlanterDiscount)*(1+PlanterDifficultyPercentage)),IF(AE4174="ELP",(VLOOKUP(A4174,'Discount Lookup'!J:K,2)*G4174*(1-PlanterDiscount)*(1+PlanterDifficultyPercentage)),IF(AE4174="free","re-planting",IF(G4174=0,"",IF(PlanterYesMe="",IF(AE4174="me","   not ELP, by",IF(AE4174="",IF(G4174&gt;0,(VLOOKUP(A4174,'Discount Lookup'!J:K,2)*G4174*(1-PlanterDiscount)*(1+PlanterDifficultyPercentage)),""),"")),"   not ELP, by"))))))))))))))</f>
        <v/>
      </c>
      <c r="AD4174" s="712"/>
      <c r="AE4174" s="513" t="str">
        <f t="shared" si="3089"/>
        <v/>
      </c>
      <c r="AF4174" s="713" t="str">
        <f t="shared" si="3090"/>
        <v/>
      </c>
      <c r="AG4174" s="713"/>
      <c r="AH4174" s="713"/>
      <c r="AI4174" s="112">
        <f>IF(H4174="credit",0,IF(AE4174="free",0,IF(AE4174="me",0,IF(G4174&gt;0,(VLOOKUP(A4174,'Discount Lookup'!J:K,2)*G4174),0))))</f>
        <v>0</v>
      </c>
      <c r="AJ4174" s="107" t="str">
        <f t="shared" ca="1" si="3091"/>
        <v/>
      </c>
      <c r="AK4174" s="714" t="str">
        <f t="shared" si="3092"/>
        <v/>
      </c>
      <c r="AL4174" s="714"/>
      <c r="AM4174" s="114" t="str">
        <f t="shared" si="3093"/>
        <v/>
      </c>
      <c r="AN4174" s="115"/>
      <c r="AO4174" s="116"/>
      <c r="AP4174" s="116"/>
      <c r="AQ4174" s="116"/>
      <c r="AR4174" s="116"/>
      <c r="AS4174" s="116"/>
      <c r="AT4174" s="116"/>
      <c r="AU4174" s="116"/>
      <c r="AV4174" s="78"/>
      <c r="AW4174" s="102"/>
      <c r="AX4174" s="78"/>
      <c r="AY4174" s="78"/>
      <c r="AZ4174" s="78"/>
      <c r="BA4174" s="78"/>
      <c r="BB4174" s="78"/>
      <c r="BC4174" s="78"/>
      <c r="BD4174" s="78"/>
      <c r="BE4174" s="465"/>
      <c r="BF4174" s="165" t="str">
        <f t="shared" si="3094"/>
        <v>https://www.google.com/search?tbm=isch&amp;q=Thuja%20plicata%20x%20standishii%20%27Bonafide%27%20PP%2334073%20Bonafide%E2%84%A2%20Arborvitae</v>
      </c>
      <c r="BG4174" s="165" t="str">
        <f t="shared" si="3095"/>
        <v>T</v>
      </c>
      <c r="BH4174" s="65"/>
      <c r="BI4174" s="65"/>
      <c r="BJ4174" s="65"/>
      <c r="BK4174" s="65"/>
      <c r="BL4174" s="99"/>
      <c r="BM4174" s="99"/>
      <c r="BN4174" s="99"/>
    </row>
    <row r="4175" spans="1:66" s="51" customFormat="1" ht="15.75" x14ac:dyDescent="0.25">
      <c r="A4175" s="478">
        <v>15</v>
      </c>
      <c r="B4175" s="479" t="s">
        <v>291</v>
      </c>
      <c r="C4175" s="480" t="s">
        <v>4660</v>
      </c>
      <c r="D4175" s="481" t="s">
        <v>293</v>
      </c>
      <c r="E4175" s="482">
        <v>308.95</v>
      </c>
      <c r="F4175" s="483" t="s">
        <v>292</v>
      </c>
      <c r="G4175" s="484">
        <v>0</v>
      </c>
      <c r="H4175" s="688" t="str">
        <f>IF(G4175=0,"",IF(F4175="Buy",IF(G4175=1,"plant","plants"),IF(F4175&gt;0.01,"warranty","Error")))</f>
        <v/>
      </c>
      <c r="I4175" s="485">
        <f>IF(H4175="free",0,IF(H4175="credit",((E4175*(F4175))*G4175*-1),IF(F4175="Buy",(E4175*G4175),((E4175*(1-F4175))*G4175))))</f>
        <v>0</v>
      </c>
      <c r="J4175" s="485">
        <f>IF(H4175="warranty",0,(I4175*(_xlfn.SINGLE(SalesTaxPercentage))))</f>
        <v>0</v>
      </c>
      <c r="K4175" s="715">
        <f t="shared" ref="K4175" si="3137">I4175+J4175</f>
        <v>0</v>
      </c>
      <c r="L4175" s="715"/>
      <c r="M4175" s="689" t="str">
        <f ca="1">IF(AND(G4175&gt;0,E4175=0),"WARNING - no PRICE inserted",IF(H4175="free","FREE ~ no charge this plant",IF(H4175="credit",CONCATENATE("-$",ROUND(K4175*(1-_xlfn.SINGLE(T2GDiscount))*-1,2)," CREDIT after discount"),IF(_xlfn.SINGLE(T2GDiscount)=0,"",IF(G4175=0,"",IF(F4175="Buy",CONCATENATE("$",ROUND(K4175*(1-_xlfn.SINGLE(T2GDiscount)),2)," with ",(_xlfn.SINGLE(T2GDiscount)*100),"% discount"),CONCATENATE("$",ROUND(K4175*(1-_xlfn.SINGLE(T2GDiscount)),2)," with ",((_xlfn.SINGLE(T2GDiscount)*100+F4175*100)-(_xlfn.SINGLE(T2GDiscount)*100*F4175)),IF(F4175&gt;0,"% discounts",IF(_xlfn.SINGLE(NoWarrantyDiscount)&gt;0,"% discounts","% discount")))))))))</f>
        <v/>
      </c>
      <c r="N4175" s="690"/>
      <c r="O4175" s="486"/>
      <c r="P4175" s="486"/>
      <c r="Q4175" s="486"/>
      <c r="R4175" s="486"/>
      <c r="S4175" s="486"/>
      <c r="T4175" s="102">
        <f t="shared" si="3083"/>
        <v>0</v>
      </c>
      <c r="U4175" s="78">
        <f>IF(NOT(ISNUMBER(G4175)), "", VLOOKUP(A4175,'Discount Lookup'!D:E,2,FALSE)*G4175)</f>
        <v>0</v>
      </c>
      <c r="V4175" s="78">
        <f>IF(NOT(ISNUMBER(G4175)), "", VLOOKUP(A4175,'Discount Lookup'!G:H,2,FALSE)*G4175)</f>
        <v>0</v>
      </c>
      <c r="W4175" s="102">
        <f t="shared" si="3084"/>
        <v>0</v>
      </c>
      <c r="X4175" s="102">
        <f t="shared" si="3085"/>
        <v>0</v>
      </c>
      <c r="Y4175" s="120" t="b">
        <f t="shared" si="3086"/>
        <v>0</v>
      </c>
      <c r="Z4175" s="117">
        <f t="shared" si="3087"/>
        <v>0</v>
      </c>
      <c r="AA4175" s="118"/>
      <c r="AB4175" s="118" t="str">
        <f t="shared" si="3088"/>
        <v/>
      </c>
      <c r="AC4175" s="712" t="str">
        <f>IF(AE4175="T2G","no charge",IF(AND(OR(PlanterYesMe="No",PlanterYesMe="N",PlanterYesMe="me"),H4175=""),"",IF(H4175="credit","NO install",IF(AND(K4175="",AE4175="me"),"EACH row",IF(AND(K4175="images",AE4175="me"),"EACH row",IF(D4175="","",IF(H4175="credit","",IF(AE4175="free","re-planting",IF(AE4175="me","   not ELP, by",IF(AND(OR(PlanterYesMe="Yes",PlanterYesMe="Y"),G4175&gt;0),(VLOOKUP(A4175,'Discount Lookup'!J:K,2)*G4175*(1-PlanterDiscount)*(1+PlanterDifficultyPercentage)),IF(AE4175="ELP",(VLOOKUP(A4175,'Discount Lookup'!J:K,2)*G4175*(1-PlanterDiscount)*(1+PlanterDifficultyPercentage)),IF(AE4175="free","re-planting",IF(G4175=0,"",IF(PlanterYesMe="",IF(AE4175="me","   not ELP, by",IF(AE4175="",IF(G4175&gt;0,(VLOOKUP(A4175,'Discount Lookup'!J:K,2)*G4175*(1-PlanterDiscount)*(1+PlanterDifficultyPercentage)),""),"")),"   not ELP, by"))))))))))))))</f>
        <v/>
      </c>
      <c r="AD4175" s="712"/>
      <c r="AE4175" s="513" t="str">
        <f t="shared" si="3089"/>
        <v/>
      </c>
      <c r="AF4175" s="713" t="str">
        <f t="shared" si="3090"/>
        <v/>
      </c>
      <c r="AG4175" s="713"/>
      <c r="AH4175" s="713"/>
      <c r="AI4175" s="112">
        <f>IF(H4175="credit",0,IF(AE4175="free",0,IF(AE4175="me",0,IF(G4175&gt;0,(VLOOKUP(A4175,'Discount Lookup'!J:K,2)*G4175),0))))</f>
        <v>0</v>
      </c>
      <c r="AJ4175" s="107" t="str">
        <f t="shared" ca="1" si="3091"/>
        <v/>
      </c>
      <c r="AK4175" s="714" t="str">
        <f t="shared" si="3092"/>
        <v/>
      </c>
      <c r="AL4175" s="714"/>
      <c r="AM4175" s="114" t="str">
        <f t="shared" si="3093"/>
        <v/>
      </c>
      <c r="AN4175" s="115"/>
      <c r="AO4175" s="116"/>
      <c r="AP4175" s="116"/>
      <c r="AQ4175" s="116"/>
      <c r="AR4175" s="116"/>
      <c r="AS4175" s="116"/>
      <c r="AT4175" s="116"/>
      <c r="AU4175" s="116"/>
      <c r="AV4175" s="78"/>
      <c r="AW4175" s="102"/>
      <c r="AX4175" s="78"/>
      <c r="AY4175" s="78"/>
      <c r="AZ4175" s="78"/>
      <c r="BA4175" s="78"/>
      <c r="BB4175" s="78"/>
      <c r="BC4175" s="78"/>
      <c r="BD4175" s="78"/>
      <c r="BE4175" s="465"/>
      <c r="BF4175" s="165" t="str">
        <f t="shared" si="3094"/>
        <v>https://www.google.com/search?tbm=isch&amp;q=15%20G6</v>
      </c>
      <c r="BG4175" s="165" t="str">
        <f t="shared" si="3095"/>
        <v>T</v>
      </c>
      <c r="BH4175" s="65"/>
      <c r="BI4175" s="65"/>
      <c r="BJ4175" s="65"/>
      <c r="BK4175" s="65"/>
      <c r="BL4175" s="99"/>
      <c r="BM4175" s="99"/>
      <c r="BN4175" s="99"/>
    </row>
    <row r="4176" spans="1:66" s="51" customFormat="1" ht="15.75" x14ac:dyDescent="0.25">
      <c r="A4176" s="478">
        <v>25</v>
      </c>
      <c r="B4176" s="479" t="s">
        <v>291</v>
      </c>
      <c r="C4176" s="480" t="s">
        <v>607</v>
      </c>
      <c r="D4176" s="481" t="s">
        <v>293</v>
      </c>
      <c r="E4176" s="482">
        <v>403.95</v>
      </c>
      <c r="F4176" s="483" t="s">
        <v>292</v>
      </c>
      <c r="G4176" s="484">
        <v>0</v>
      </c>
      <c r="H4176" s="688" t="str">
        <f>IF(G4176=0,"",IF(F4176="Buy",IF(G4176=1,"plant","plants"),IF(F4176&gt;0.01,"warranty","Error")))</f>
        <v/>
      </c>
      <c r="I4176" s="485">
        <f>IF(H4176="free",0,IF(H4176="credit",((E4176*(F4176))*G4176*-1),IF(F4176="Buy",(E4176*G4176),((E4176*(1-F4176))*G4176))))</f>
        <v>0</v>
      </c>
      <c r="J4176" s="485">
        <f>IF(H4176="warranty",0,(I4176*(_xlfn.SINGLE(SalesTaxPercentage))))</f>
        <v>0</v>
      </c>
      <c r="K4176" s="715">
        <f t="shared" ref="K4176" si="3138">I4176+J4176</f>
        <v>0</v>
      </c>
      <c r="L4176" s="715"/>
      <c r="M4176" s="689" t="str">
        <f ca="1">IF(AND(G4176&gt;0,E4176=0),"WARNING - no PRICE inserted",IF(H4176="free","FREE ~ no charge this plant",IF(H4176="credit",CONCATENATE("-$",ROUND(K4176*(1-_xlfn.SINGLE(T2GDiscount))*-1,2)," CREDIT after discount"),IF(_xlfn.SINGLE(T2GDiscount)=0,"",IF(G4176=0,"",IF(F4176="Buy",CONCATENATE("$",ROUND(K4176*(1-_xlfn.SINGLE(T2GDiscount)),2)," with ",(_xlfn.SINGLE(T2GDiscount)*100),"% discount"),CONCATENATE("$",ROUND(K4176*(1-_xlfn.SINGLE(T2GDiscount)),2)," with ",((_xlfn.SINGLE(T2GDiscount)*100+F4176*100)-(_xlfn.SINGLE(T2GDiscount)*100*F4176)),IF(F4176&gt;0,"% discounts",IF(_xlfn.SINGLE(NoWarrantyDiscount)&gt;0,"% discounts","% discount")))))))))</f>
        <v/>
      </c>
      <c r="N4176" s="690"/>
      <c r="O4176" s="486"/>
      <c r="P4176" s="486"/>
      <c r="Q4176" s="486"/>
      <c r="R4176" s="486"/>
      <c r="S4176" s="486"/>
      <c r="T4176" s="102">
        <f t="shared" si="3083"/>
        <v>0</v>
      </c>
      <c r="U4176" s="78">
        <f>IF(NOT(ISNUMBER(G4176)), "", VLOOKUP(A4176,'Discount Lookup'!D:E,2,FALSE)*G4176)</f>
        <v>0</v>
      </c>
      <c r="V4176" s="78">
        <f>IF(NOT(ISNUMBER(G4176)), "", VLOOKUP(A4176,'Discount Lookup'!G:H,2,FALSE)*G4176)</f>
        <v>0</v>
      </c>
      <c r="W4176" s="102">
        <f t="shared" si="3084"/>
        <v>0</v>
      </c>
      <c r="X4176" s="102">
        <f t="shared" si="3085"/>
        <v>0</v>
      </c>
      <c r="Y4176" s="120" t="b">
        <f t="shared" si="3086"/>
        <v>0</v>
      </c>
      <c r="Z4176" s="117">
        <f t="shared" si="3087"/>
        <v>0</v>
      </c>
      <c r="AA4176" s="118"/>
      <c r="AB4176" s="118" t="str">
        <f t="shared" si="3088"/>
        <v/>
      </c>
      <c r="AC4176" s="712" t="str">
        <f>IF(AE4176="T2G","no charge",IF(AND(OR(PlanterYesMe="No",PlanterYesMe="N",PlanterYesMe="me"),H4176=""),"",IF(H4176="credit","NO install",IF(AND(K4176="",AE4176="me"),"EACH row",IF(AND(K4176="images",AE4176="me"),"EACH row",IF(D4176="","",IF(H4176="credit","",IF(AE4176="free","re-planting",IF(AE4176="me","   not ELP, by",IF(AND(OR(PlanterYesMe="Yes",PlanterYesMe="Y"),G4176&gt;0),(VLOOKUP(A4176,'Discount Lookup'!J:K,2)*G4176*(1-PlanterDiscount)*(1+PlanterDifficultyPercentage)),IF(AE4176="ELP",(VLOOKUP(A4176,'Discount Lookup'!J:K,2)*G4176*(1-PlanterDiscount)*(1+PlanterDifficultyPercentage)),IF(AE4176="free","re-planting",IF(G4176=0,"",IF(PlanterYesMe="",IF(AE4176="me","   not ELP, by",IF(AE4176="",IF(G4176&gt;0,(VLOOKUP(A4176,'Discount Lookup'!J:K,2)*G4176*(1-PlanterDiscount)*(1+PlanterDifficultyPercentage)),""),"")),"   not ELP, by"))))))))))))))</f>
        <v/>
      </c>
      <c r="AD4176" s="712"/>
      <c r="AE4176" s="513" t="str">
        <f t="shared" si="3089"/>
        <v/>
      </c>
      <c r="AF4176" s="713" t="str">
        <f t="shared" si="3090"/>
        <v/>
      </c>
      <c r="AG4176" s="713"/>
      <c r="AH4176" s="713"/>
      <c r="AI4176" s="112">
        <f>IF(H4176="credit",0,IF(AE4176="free",0,IF(AE4176="me",0,IF(G4176&gt;0,(VLOOKUP(A4176,'Discount Lookup'!J:K,2)*G4176),0))))</f>
        <v>0</v>
      </c>
      <c r="AJ4176" s="107" t="str">
        <f t="shared" ca="1" si="3091"/>
        <v/>
      </c>
      <c r="AK4176" s="714" t="str">
        <f t="shared" si="3092"/>
        <v/>
      </c>
      <c r="AL4176" s="714"/>
      <c r="AM4176" s="114" t="str">
        <f t="shared" si="3093"/>
        <v/>
      </c>
      <c r="AN4176" s="115"/>
      <c r="AO4176" s="116"/>
      <c r="AP4176" s="116"/>
      <c r="AQ4176" s="116"/>
      <c r="AR4176" s="116"/>
      <c r="AS4176" s="116"/>
      <c r="AT4176" s="116"/>
      <c r="AU4176" s="116"/>
      <c r="AV4176" s="78"/>
      <c r="AW4176" s="102"/>
      <c r="AX4176" s="78"/>
      <c r="AY4176" s="78"/>
      <c r="AZ4176" s="78"/>
      <c r="BA4176" s="78"/>
      <c r="BB4176" s="78"/>
      <c r="BC4176" s="78"/>
      <c r="BD4176" s="78"/>
      <c r="BE4176" s="465"/>
      <c r="BF4176" s="165" t="str">
        <f t="shared" si="3094"/>
        <v>https://www.google.com/search?tbm=isch&amp;q=25%20G6</v>
      </c>
      <c r="BG4176" s="165" t="str">
        <f t="shared" si="3095"/>
        <v>T</v>
      </c>
      <c r="BH4176" s="65"/>
      <c r="BI4176" s="65"/>
      <c r="BJ4176" s="65"/>
      <c r="BK4176" s="65"/>
      <c r="BL4176" s="99"/>
      <c r="BM4176" s="99"/>
      <c r="BN4176" s="99"/>
    </row>
    <row r="4177" spans="1:66" s="51" customFormat="1" ht="15.75" x14ac:dyDescent="0.25">
      <c r="A4177" s="478">
        <v>45</v>
      </c>
      <c r="B4177" s="479" t="s">
        <v>291</v>
      </c>
      <c r="C4177" s="480" t="s">
        <v>889</v>
      </c>
      <c r="D4177" s="481" t="s">
        <v>293</v>
      </c>
      <c r="E4177" s="482">
        <v>665.95</v>
      </c>
      <c r="F4177" s="483" t="s">
        <v>292</v>
      </c>
      <c r="G4177" s="484">
        <v>0</v>
      </c>
      <c r="H4177" s="688" t="str">
        <f>IF(G4177=0,"",IF(F4177="Buy",IF(G4177=1,"plant","plants"),IF(F4177&gt;0.01,"warranty","Error")))</f>
        <v/>
      </c>
      <c r="I4177" s="485">
        <f>IF(H4177="free",0,IF(H4177="credit",((E4177*(F4177))*G4177*-1),IF(F4177="Buy",(E4177*G4177),((E4177*(1-F4177))*G4177))))</f>
        <v>0</v>
      </c>
      <c r="J4177" s="485">
        <f>IF(H4177="warranty",0,(I4177*(_xlfn.SINGLE(SalesTaxPercentage))))</f>
        <v>0</v>
      </c>
      <c r="K4177" s="715">
        <f t="shared" ref="K4177" si="3139">I4177+J4177</f>
        <v>0</v>
      </c>
      <c r="L4177" s="715"/>
      <c r="M4177" s="689" t="str">
        <f ca="1">IF(AND(G4177&gt;0,E4177=0),"WARNING - no PRICE inserted",IF(H4177="free","FREE ~ no charge this plant",IF(H4177="credit",CONCATENATE("-$",ROUND(K4177*(1-_xlfn.SINGLE(T2GDiscount))*-1,2)," CREDIT after discount"),IF(_xlfn.SINGLE(T2GDiscount)=0,"",IF(G4177=0,"",IF(F4177="Buy",CONCATENATE("$",ROUND(K4177*(1-_xlfn.SINGLE(T2GDiscount)),2)," with ",(_xlfn.SINGLE(T2GDiscount)*100),"% discount"),CONCATENATE("$",ROUND(K4177*(1-_xlfn.SINGLE(T2GDiscount)),2)," with ",((_xlfn.SINGLE(T2GDiscount)*100+F4177*100)-(_xlfn.SINGLE(T2GDiscount)*100*F4177)),IF(F4177&gt;0,"% discounts",IF(_xlfn.SINGLE(NoWarrantyDiscount)&gt;0,"% discounts","% discount")))))))))</f>
        <v/>
      </c>
      <c r="N4177" s="690"/>
      <c r="O4177" s="486"/>
      <c r="P4177" s="486"/>
      <c r="Q4177" s="486"/>
      <c r="R4177" s="486"/>
      <c r="S4177" s="486"/>
      <c r="T4177" s="102">
        <f t="shared" si="3083"/>
        <v>0</v>
      </c>
      <c r="U4177" s="78">
        <f>IF(NOT(ISNUMBER(G4177)), "", VLOOKUP(A4177,'Discount Lookup'!D:E,2,FALSE)*G4177)</f>
        <v>0</v>
      </c>
      <c r="V4177" s="78">
        <f>IF(NOT(ISNUMBER(G4177)), "", VLOOKUP(A4177,'Discount Lookup'!G:H,2,FALSE)*G4177)</f>
        <v>0</v>
      </c>
      <c r="W4177" s="102">
        <f t="shared" si="3084"/>
        <v>0</v>
      </c>
      <c r="X4177" s="102">
        <f t="shared" si="3085"/>
        <v>0</v>
      </c>
      <c r="Y4177" s="120" t="b">
        <f t="shared" si="3086"/>
        <v>0</v>
      </c>
      <c r="Z4177" s="117">
        <f t="shared" si="3087"/>
        <v>0</v>
      </c>
      <c r="AA4177" s="118"/>
      <c r="AB4177" s="118" t="str">
        <f t="shared" si="3088"/>
        <v/>
      </c>
      <c r="AC4177" s="712" t="str">
        <f>IF(AE4177="T2G","no charge",IF(AND(OR(PlanterYesMe="No",PlanterYesMe="N",PlanterYesMe="me"),H4177=""),"",IF(H4177="credit","NO install",IF(AND(K4177="",AE4177="me"),"EACH row",IF(AND(K4177="images",AE4177="me"),"EACH row",IF(D4177="","",IF(H4177="credit","",IF(AE4177="free","re-planting",IF(AE4177="me","   not ELP, by",IF(AND(OR(PlanterYesMe="Yes",PlanterYesMe="Y"),G4177&gt;0),(VLOOKUP(A4177,'Discount Lookup'!J:K,2)*G4177*(1-PlanterDiscount)*(1+PlanterDifficultyPercentage)),IF(AE4177="ELP",(VLOOKUP(A4177,'Discount Lookup'!J:K,2)*G4177*(1-PlanterDiscount)*(1+PlanterDifficultyPercentage)),IF(AE4177="free","re-planting",IF(G4177=0,"",IF(PlanterYesMe="",IF(AE4177="me","   not ELP, by",IF(AE4177="",IF(G4177&gt;0,(VLOOKUP(A4177,'Discount Lookup'!J:K,2)*G4177*(1-PlanterDiscount)*(1+PlanterDifficultyPercentage)),""),"")),"   not ELP, by"))))))))))))))</f>
        <v/>
      </c>
      <c r="AD4177" s="712"/>
      <c r="AE4177" s="513" t="str">
        <f t="shared" si="3089"/>
        <v/>
      </c>
      <c r="AF4177" s="713" t="str">
        <f t="shared" si="3090"/>
        <v/>
      </c>
      <c r="AG4177" s="713"/>
      <c r="AH4177" s="713"/>
      <c r="AI4177" s="112">
        <f>IF(H4177="credit",0,IF(AE4177="free",0,IF(AE4177="me",0,IF(G4177&gt;0,(VLOOKUP(A4177,'Discount Lookup'!J:K,2)*G4177),0))))</f>
        <v>0</v>
      </c>
      <c r="AJ4177" s="107" t="str">
        <f t="shared" ca="1" si="3091"/>
        <v/>
      </c>
      <c r="AK4177" s="714" t="str">
        <f t="shared" si="3092"/>
        <v/>
      </c>
      <c r="AL4177" s="714"/>
      <c r="AM4177" s="114" t="str">
        <f t="shared" si="3093"/>
        <v/>
      </c>
      <c r="AN4177" s="115"/>
      <c r="AO4177" s="116"/>
      <c r="AP4177" s="116"/>
      <c r="AQ4177" s="116"/>
      <c r="AR4177" s="116"/>
      <c r="AS4177" s="116"/>
      <c r="AT4177" s="116"/>
      <c r="AU4177" s="116"/>
      <c r="AV4177" s="78"/>
      <c r="AW4177" s="102"/>
      <c r="AX4177" s="78"/>
      <c r="AY4177" s="78"/>
      <c r="AZ4177" s="78"/>
      <c r="BA4177" s="78"/>
      <c r="BB4177" s="78"/>
      <c r="BC4177" s="78"/>
      <c r="BD4177" s="78"/>
      <c r="BE4177" s="465"/>
      <c r="BF4177" s="165" t="str">
        <f t="shared" si="3094"/>
        <v>https://www.google.com/search?tbm=isch&amp;q=45%20G6</v>
      </c>
      <c r="BG4177" s="165" t="str">
        <f t="shared" si="3095"/>
        <v>T</v>
      </c>
      <c r="BH4177" s="65"/>
      <c r="BI4177" s="65"/>
      <c r="BJ4177" s="65"/>
      <c r="BK4177" s="65"/>
      <c r="BL4177" s="99"/>
      <c r="BM4177" s="99"/>
      <c r="BN4177" s="99"/>
    </row>
    <row r="4178" spans="1:66" s="51" customFormat="1" ht="15.75" x14ac:dyDescent="0.25">
      <c r="A4178" s="705" t="s">
        <v>5552</v>
      </c>
      <c r="B4178" s="487"/>
      <c r="C4178" s="707"/>
      <c r="D4178" s="487"/>
      <c r="E4178" s="487"/>
      <c r="F4178" s="488"/>
      <c r="G4178" s="489"/>
      <c r="H4178" s="487"/>
      <c r="I4178" s="490"/>
      <c r="J4178" s="490"/>
      <c r="K4178" s="491"/>
      <c r="L4178" s="547"/>
      <c r="M4178" s="528"/>
      <c r="N4178" s="492"/>
      <c r="O4178" s="493"/>
      <c r="P4178" s="494"/>
      <c r="Q4178" s="492"/>
      <c r="R4178" s="492"/>
      <c r="S4178" s="495"/>
      <c r="T4178" s="102">
        <f t="shared" si="3083"/>
        <v>0</v>
      </c>
      <c r="U4178" s="78" t="str">
        <f>IF(NOT(ISNUMBER(G4178)), "", VLOOKUP(A4178,'Discount Lookup'!D:E,2,FALSE)*G4178)</f>
        <v/>
      </c>
      <c r="V4178" s="78" t="str">
        <f>IF(NOT(ISNUMBER(G4178)), "", VLOOKUP(A4178,'Discount Lookup'!G:H,2,FALSE)*G4178)</f>
        <v/>
      </c>
      <c r="W4178" s="102">
        <f t="shared" si="3084"/>
        <v>0</v>
      </c>
      <c r="X4178" s="102">
        <f t="shared" si="3085"/>
        <v>0</v>
      </c>
      <c r="Y4178" s="120" t="b">
        <f t="shared" si="3086"/>
        <v>0</v>
      </c>
      <c r="Z4178" s="117">
        <f t="shared" si="3087"/>
        <v>0</v>
      </c>
      <c r="AA4178" s="118"/>
      <c r="AB4178" s="118" t="str">
        <f t="shared" si="3088"/>
        <v/>
      </c>
      <c r="AC4178" s="712" t="str">
        <f>IF(AE4178="T2G","no charge",IF(AND(OR(PlanterYesMe="No",PlanterYesMe="N",PlanterYesMe="me"),H4178=""),"",IF(H4178="credit","NO install",IF(AND(K4178="",AE4178="me"),"EACH row",IF(AND(K4178="images",AE4178="me"),"EACH row",IF(D4178="","",IF(H4178="credit","",IF(AE4178="free","re-planting",IF(AE4178="me","   not ELP, by",IF(AND(OR(PlanterYesMe="Yes",PlanterYesMe="Y"),G4178&gt;0),(VLOOKUP(A4178,'Discount Lookup'!J:K,2)*G4178*(1-PlanterDiscount)*(1+PlanterDifficultyPercentage)),IF(AE4178="ELP",(VLOOKUP(A4178,'Discount Lookup'!J:K,2)*G4178*(1-PlanterDiscount)*(1+PlanterDifficultyPercentage)),IF(AE4178="free","re-planting",IF(G4178=0,"",IF(PlanterYesMe="",IF(AE4178="me","   not ELP, by",IF(AE4178="",IF(G4178&gt;0,(VLOOKUP(A4178,'Discount Lookup'!J:K,2)*G4178*(1-PlanterDiscount)*(1+PlanterDifficultyPercentage)),""),"")),"   not ELP, by"))))))))))))))</f>
        <v/>
      </c>
      <c r="AD4178" s="712"/>
      <c r="AE4178" s="513" t="str">
        <f t="shared" si="3089"/>
        <v/>
      </c>
      <c r="AF4178" s="713" t="str">
        <f t="shared" si="3090"/>
        <v/>
      </c>
      <c r="AG4178" s="713"/>
      <c r="AH4178" s="713"/>
      <c r="AI4178" s="112">
        <f>IF(H4178="credit",0,IF(AE4178="free",0,IF(AE4178="me",0,IF(G4178&gt;0,(VLOOKUP(A4178,'Discount Lookup'!J:K,2)*G4178),0))))</f>
        <v>0</v>
      </c>
      <c r="AJ4178" s="107" t="str">
        <f t="shared" ca="1" si="3091"/>
        <v/>
      </c>
      <c r="AK4178" s="714" t="str">
        <f t="shared" si="3092"/>
        <v/>
      </c>
      <c r="AL4178" s="714"/>
      <c r="AM4178" s="114" t="str">
        <f t="shared" si="3093"/>
        <v/>
      </c>
      <c r="AN4178" s="115"/>
      <c r="AO4178" s="116"/>
      <c r="AP4178" s="116"/>
      <c r="AQ4178" s="116"/>
      <c r="AR4178" s="116"/>
      <c r="AS4178" s="116"/>
      <c r="AT4178" s="116"/>
      <c r="AU4178" s="116"/>
      <c r="AV4178" s="78"/>
      <c r="AW4178" s="102"/>
      <c r="AX4178" s="78"/>
      <c r="AY4178" s="78"/>
      <c r="AZ4178" s="78"/>
      <c r="BA4178" s="78"/>
      <c r="BB4178" s="78"/>
      <c r="BC4178" s="78"/>
      <c r="BD4178" s="78"/>
      <c r="BE4178" s="465"/>
      <c r="BF4178" s="165" t="str">
        <f t="shared" si="3094"/>
        <v>https://www.google.com/search?tbm=isch&amp;q=moist%20sites%F0%9F%92%A7OK%2C%20Bonafide%20is%20an%20exceptionally%20narrow%2C%20dense%20evergreen%20admired%20for%20its%20vibrant%20foliage%20that%20resists%20winter%20bronzing%20</v>
      </c>
      <c r="BG4178" s="165" t="str">
        <f t="shared" si="3095"/>
        <v>m</v>
      </c>
      <c r="BH4178" s="65"/>
      <c r="BI4178" s="65"/>
      <c r="BJ4178" s="65"/>
      <c r="BK4178" s="65"/>
      <c r="BL4178" s="99"/>
      <c r="BM4178" s="99"/>
      <c r="BN4178" s="99"/>
    </row>
    <row r="4179" spans="1:66" s="51" customFormat="1" ht="19.5" thickBot="1" x14ac:dyDescent="0.3">
      <c r="A4179" s="686" t="s">
        <v>800</v>
      </c>
      <c r="B4179" s="73"/>
      <c r="C4179" s="708"/>
      <c r="D4179" s="73"/>
      <c r="E4179" s="73"/>
      <c r="F4179" s="496"/>
      <c r="G4179" s="73"/>
      <c r="H4179" s="73"/>
      <c r="I4179" s="73"/>
      <c r="J4179" s="497" t="s">
        <v>357</v>
      </c>
      <c r="K4179" s="498"/>
      <c r="L4179" s="562"/>
      <c r="M4179" s="73"/>
      <c r="N4179"/>
      <c r="O4179"/>
      <c r="P4179"/>
      <c r="Q4179"/>
      <c r="R4179"/>
      <c r="S4179"/>
      <c r="T4179" s="102">
        <f t="shared" si="3083"/>
        <v>0</v>
      </c>
      <c r="U4179" s="78" t="str">
        <f>IF(NOT(ISNUMBER(G4179)), "", VLOOKUP(A4179,'Discount Lookup'!D:E,2,FALSE)*G4179)</f>
        <v/>
      </c>
      <c r="V4179" s="78" t="str">
        <f>IF(NOT(ISNUMBER(G4179)), "", VLOOKUP(A4179,'Discount Lookup'!G:H,2,FALSE)*G4179)</f>
        <v/>
      </c>
      <c r="W4179" s="102">
        <f t="shared" si="3084"/>
        <v>0</v>
      </c>
      <c r="X4179" s="102">
        <f t="shared" si="3085"/>
        <v>0</v>
      </c>
      <c r="Y4179" s="120" t="b">
        <f t="shared" si="3086"/>
        <v>0</v>
      </c>
      <c r="Z4179" s="117">
        <f t="shared" si="3087"/>
        <v>0</v>
      </c>
      <c r="AA4179" s="118"/>
      <c r="AB4179" s="118" t="str">
        <f t="shared" si="3088"/>
        <v/>
      </c>
      <c r="AC4179" s="712" t="str">
        <f>IF(AE4179="T2G","no charge",IF(AND(OR(PlanterYesMe="No",PlanterYesMe="N",PlanterYesMe="me"),H4179=""),"",IF(H4179="credit","NO install",IF(AND(K4179="",AE4179="me"),"EACH row",IF(AND(K4179="images",AE4179="me"),"EACH row",IF(D4179="","",IF(H4179="credit","",IF(AE4179="free","re-planting",IF(AE4179="me","   not ELP, by",IF(AND(OR(PlanterYesMe="Yes",PlanterYesMe="Y"),G4179&gt;0),(VLOOKUP(A4179,'Discount Lookup'!J:K,2)*G4179*(1-PlanterDiscount)*(1+PlanterDifficultyPercentage)),IF(AE4179="ELP",(VLOOKUP(A4179,'Discount Lookup'!J:K,2)*G4179*(1-PlanterDiscount)*(1+PlanterDifficultyPercentage)),IF(AE4179="free","re-planting",IF(G4179=0,"",IF(PlanterYesMe="",IF(AE4179="me","   not ELP, by",IF(AE4179="",IF(G4179&gt;0,(VLOOKUP(A4179,'Discount Lookup'!J:K,2)*G4179*(1-PlanterDiscount)*(1+PlanterDifficultyPercentage)),""),"")),"   not ELP, by"))))))))))))))</f>
        <v/>
      </c>
      <c r="AD4179" s="712"/>
      <c r="AE4179" s="513" t="str">
        <f t="shared" si="3089"/>
        <v/>
      </c>
      <c r="AF4179" s="713" t="str">
        <f t="shared" si="3090"/>
        <v/>
      </c>
      <c r="AG4179" s="713"/>
      <c r="AH4179" s="713"/>
      <c r="AI4179" s="112">
        <f>IF(H4179="credit",0,IF(AE4179="free",0,IF(AE4179="me",0,IF(G4179&gt;0,(VLOOKUP(A4179,'Discount Lookup'!J:K,2)*G4179),0))))</f>
        <v>0</v>
      </c>
      <c r="AJ4179" s="107" t="str">
        <f t="shared" ca="1" si="3091"/>
        <v/>
      </c>
      <c r="AK4179" s="714" t="str">
        <f t="shared" si="3092"/>
        <v/>
      </c>
      <c r="AL4179" s="714"/>
      <c r="AM4179" s="114" t="str">
        <f t="shared" si="3093"/>
        <v/>
      </c>
      <c r="AN4179" s="115"/>
      <c r="AO4179" s="116"/>
      <c r="AP4179" s="116"/>
      <c r="AQ4179" s="116"/>
      <c r="AR4179" s="116"/>
      <c r="AS4179" s="116"/>
      <c r="AT4179" s="116"/>
      <c r="AU4179" s="116"/>
      <c r="AV4179" s="78"/>
      <c r="AW4179" s="102"/>
      <c r="AX4179" s="78"/>
      <c r="AY4179" s="78"/>
      <c r="AZ4179" s="78"/>
      <c r="BA4179" s="78"/>
      <c r="BB4179" s="78"/>
      <c r="BC4179" s="78"/>
      <c r="BD4179" s="78"/>
      <c r="BE4179" s="465"/>
      <c r="BF4179" s="165" t="str">
        <f t="shared" si="3094"/>
        <v>https://www.google.com/search?tbm=isch&amp;q=Thujopsis%20%3D%20Hiba%20Arborvitae%20</v>
      </c>
      <c r="BG4179" s="165" t="str">
        <f t="shared" si="3095"/>
        <v>T</v>
      </c>
      <c r="BH4179" s="65"/>
      <c r="BI4179" s="65"/>
      <c r="BJ4179" s="65"/>
      <c r="BK4179" s="65"/>
      <c r="BL4179" s="99"/>
      <c r="BM4179" s="99"/>
      <c r="BN4179" s="99"/>
    </row>
    <row r="4180" spans="1:66" s="51" customFormat="1" ht="18" x14ac:dyDescent="0.25">
      <c r="A4180" s="507" t="s">
        <v>801</v>
      </c>
      <c r="B4180" s="470"/>
      <c r="C4180" s="706"/>
      <c r="D4180" s="471" t="s">
        <v>802</v>
      </c>
      <c r="E4180" s="472"/>
      <c r="F4180" s="472"/>
      <c r="G4180" s="472"/>
      <c r="H4180" s="622" t="s">
        <v>334</v>
      </c>
      <c r="I4180" s="473" t="s">
        <v>431</v>
      </c>
      <c r="J4180" s="472"/>
      <c r="K4180" s="472"/>
      <c r="L4180" s="561"/>
      <c r="M4180" s="698" t="s">
        <v>5246</v>
      </c>
      <c r="N4180" s="692" t="str">
        <f>IF(AND(ISTEXT($A4180), ISERROR($A4180+0)), HYPERLINK($BF4180, "Images"), "")</f>
        <v>Images</v>
      </c>
      <c r="O4180" s="694" t="s">
        <v>5264</v>
      </c>
      <c r="P4180" s="475"/>
      <c r="Q4180" s="476"/>
      <c r="R4180" s="476"/>
      <c r="S4180" s="477"/>
      <c r="T4180" s="102">
        <f t="shared" ref="T4180:T4243" si="3140">E4180*G4180</f>
        <v>0</v>
      </c>
      <c r="U4180" s="78" t="str">
        <f>IF(NOT(ISNUMBER(G4180)), "", VLOOKUP(A4180,'Discount Lookup'!D:E,2,FALSE)*G4180)</f>
        <v/>
      </c>
      <c r="V4180" s="78" t="str">
        <f>IF(NOT(ISNUMBER(G4180)), "", VLOOKUP(A4180,'Discount Lookup'!G:H,2,FALSE)*G4180)</f>
        <v/>
      </c>
      <c r="W4180" s="102">
        <f t="shared" ref="W4180:W4243" si="3141">IF(H4180="credit",0,E4180*(SalesTaxPercentage)*G4180)</f>
        <v>0</v>
      </c>
      <c r="X4180" s="102" t="str">
        <f t="shared" ref="X4180:X4243" si="3142">I4180</f>
        <v>Dark Green foliage</v>
      </c>
      <c r="Y4180" s="120" t="b">
        <f t="shared" ref="Y4180:Y4243" si="3143">IF(AE4180="T2G",0,IF(H4180="credit",0,IF(G4180&gt;0,IF(AE4180="me","",G4180))))</f>
        <v>0</v>
      </c>
      <c r="Z4180" s="117">
        <f t="shared" ref="Z4180:Z4243" si="3144">IF(H4180="credit",G4180,0)</f>
        <v>0</v>
      </c>
      <c r="AA4180" s="118"/>
      <c r="AB4180" s="118" t="str">
        <f t="shared" ref="AB4180:AB4243" si="3145">IF(AE4180="T2G","by Trees2Go",IF(H4180="credit","CREDIT only ~",IF(AND(K4180="",AE4180=OR(PlanterYesMe="No",PlanterYesMe="N",PlanterYesMe="me")),"not THIS line⇨",IF(AND(K4180="images",AE4180="me"),"not THIS line⇨",IF(H4180="credit","",IF(G4180=0,"",IF(AE4180="me","",IF(OR(PlanterYesMe="No",PlanterYesMe="N",PlanterYesMe="me"),"",IF(AE4180="free","warranty",IF(OR(PlanterYesMe="yes",PlanterYesMe="y"),"Edison install:","to install:"))))))))))</f>
        <v/>
      </c>
      <c r="AC4180" s="712" t="str">
        <f>IF(AE4180="T2G","no charge",IF(AND(OR(PlanterYesMe="No",PlanterYesMe="N",PlanterYesMe="me"),H4180=""),"",IF(H4180="credit","NO install",IF(AND(K4180="",AE4180="me"),"EACH row",IF(AND(K4180="images",AE4180="me"),"EACH row",IF(D4180="","",IF(H4180="credit","",IF(AE4180="free","re-planting",IF(AE4180="me","   not ELP, by",IF(AND(OR(PlanterYesMe="Yes",PlanterYesMe="Y"),G4180&gt;0),(VLOOKUP(A4180,'Discount Lookup'!J:K,2)*G4180*(1-PlanterDiscount)*(1+PlanterDifficultyPercentage)),IF(AE4180="ELP",(VLOOKUP(A4180,'Discount Lookup'!J:K,2)*G4180*(1-PlanterDiscount)*(1+PlanterDifficultyPercentage)),IF(AE4180="free","re-planting",IF(G4180=0,"",IF(PlanterYesMe="",IF(AE4180="me","   not ELP, by",IF(AE4180="",IF(G4180&gt;0,(VLOOKUP(A4180,'Discount Lookup'!J:K,2)*G4180*(1-PlanterDiscount)*(1+PlanterDifficultyPercentage)),""),"")),"   not ELP, by"))))))))))))))</f>
        <v/>
      </c>
      <c r="AD4180" s="712"/>
      <c r="AE4180" s="513" t="str">
        <f t="shared" ref="AE4180:AE4243" si="3146">IF(H4180="credit","",IF(G4180=0,"",IF(OR(PlanterYesMe="No",PlanterYesMe="N",PlanterYesMe="me"),"me",IF(H4180="warranty","free",IF(OR(PlanterYesMe="yes",PlanterYesMe="y"),"ELP","")))))</f>
        <v/>
      </c>
      <c r="AF4180" s="713" t="str">
        <f t="shared" ref="AF4180:AF4243" si="3147">IF(OR(PlanterYesMe="No",PlanterYesMe="N",PlanterYesMe="me"),"",IF(H4180="credit","",IF(G4180&gt;0,(CONCATENATE((G4180)," quantity, ",(A4180)," ",B4180)),"")))</f>
        <v/>
      </c>
      <c r="AG4180" s="713"/>
      <c r="AH4180" s="713"/>
      <c r="AI4180" s="112">
        <f>IF(H4180="credit",0,IF(AE4180="free",0,IF(AE4180="me",0,IF(G4180&gt;0,(VLOOKUP(A4180,'Discount Lookup'!J:K,2)*G4180),0))))</f>
        <v>0</v>
      </c>
      <c r="AJ4180" s="107" t="str">
        <f t="shared" ref="AJ4180:AJ4243" ca="1" si="3148">IF(AND(ISREF(H4180),H4180="credit"),"",IF(AND(AND(OFFSET(G4180,0,0)=0,OFFSET(G4180,1,0)&gt;0,ISNUMBER(OFFSET(AC4180,1,0)),OFFSET(AC4180,1,0)&gt;0),OR(PlanterYesMe="yes",PlanterYesMe="y")),"T2G+ELP=",IF(AND(OFFSET(G4180,0,0)=0,OFFSET(G4180,1,0)&gt;0,ISNUMBER(OFFSET(AC4180,1,0)),OFFSET(AC4180,1,0)&gt;0),"if T2G+ELP=",IF(AND(OFFSET(G4180,0,0)=0,OFFSET(G4180,1,0)&gt;0),"T2G Subtotal",IF(H4180="credit","",IF(G4180=0,"",IF(AE4180="free",(K4180*(1-T2GDiscount)),IF(OR(PlanterYesMe="No",PlanterYesMe="N",PlanterYesMe="me"),(K4180*(1-T2GDiscount)),IF(OR(AE4180="me",AE4180="T2G"),(K4180*(1-T2GDiscount)),(K4180*(1-T2GDiscount))+AC4180)))))))))</f>
        <v/>
      </c>
      <c r="AK4180" s="714" t="str">
        <f t="shared" ref="AK4180:AK4243" si="3149">IF(H4180="credit","",IF(G4180=0,"",IF(OR(AE4180="me",AE4180="T2G"),"  delivery-only",IF(OR(PlanterYesMe="No",PlanterYesMe="N",PlanterYesMe="me"),"  delivery-only",CONCATENATE(" $",ROUND(AJ4180/G4180,2)," each")))))</f>
        <v/>
      </c>
      <c r="AL4180" s="714"/>
      <c r="AM4180" s="114" t="str">
        <f t="shared" ref="AM4180:AM4243" si="3150">IF(H4180="credit","",IF(AE4180="free","      ~ discounts included, no tax or planting fee applies ~",IF(G4180=0,"",IF(OR(PlanterYesMe="No",PlanterYesMe="N",PlanterYesMe="me"),CONCATENATE(" $",ROUND(AJ4180/G4180,2)," per plant, with tax &amp; discount"),IF(OR(AE4180="me",AE4180="T2G"),CONCATENATE(" $",ROUND(AJ4180/G4180,2)," per plant, with tax &amp; discount"),CONCATENATE("= $",ROUND((K4180*(1-T2GDiscount))/G4180,2)," per plant + $",AC4180/G4180,(" per planting      ~ includes tax &amp; discounts ~")))))))</f>
        <v/>
      </c>
      <c r="AN4180" s="115"/>
      <c r="AO4180" s="116"/>
      <c r="AP4180" s="116"/>
      <c r="AQ4180" s="116"/>
      <c r="AR4180" s="116"/>
      <c r="AS4180" s="116"/>
      <c r="AT4180" s="116"/>
      <c r="AU4180" s="116"/>
      <c r="AV4180" s="78"/>
      <c r="AW4180" s="102"/>
      <c r="AX4180" s="78"/>
      <c r="AY4180" s="78"/>
      <c r="AZ4180" s="78"/>
      <c r="BA4180" s="78"/>
      <c r="BB4180" s="78"/>
      <c r="BC4180" s="78"/>
      <c r="BD4180" s="78"/>
      <c r="BE4180" s="465"/>
      <c r="BF4180" s="165" t="str">
        <f t="shared" ref="BF4180:BF4243" si="3151">"https://www.google.com/search?tbm=isch&amp;q=" &amp; _xlfn.ENCODEURL($A4180 &amp; " " &amp; $D4180)</f>
        <v>https://www.google.com/search?tbm=isch&amp;q=Thujopsis%20dolabrata%20%27Jurassic%20Park%27%20Jurassic%20Park%20Thujopsis</v>
      </c>
      <c r="BG4180" s="165" t="str">
        <f t="shared" ref="BG4180:BG4243" si="3152">IF(ISTEXT(A4180),LEFT(A4180,1),BG4179)</f>
        <v>T</v>
      </c>
      <c r="BH4180" s="65"/>
      <c r="BI4180" s="65"/>
      <c r="BJ4180" s="65"/>
      <c r="BK4180" s="65"/>
      <c r="BL4180" s="99"/>
      <c r="BM4180" s="99"/>
      <c r="BN4180" s="99"/>
    </row>
    <row r="4181" spans="1:66" s="51" customFormat="1" ht="15.75" x14ac:dyDescent="0.25">
      <c r="A4181" s="478">
        <v>7</v>
      </c>
      <c r="B4181" s="479" t="s">
        <v>291</v>
      </c>
      <c r="C4181" s="480" t="s">
        <v>1028</v>
      </c>
      <c r="D4181" s="481" t="s">
        <v>299</v>
      </c>
      <c r="E4181" s="482">
        <v>111.95</v>
      </c>
      <c r="F4181" s="483" t="s">
        <v>292</v>
      </c>
      <c r="G4181" s="484">
        <v>0</v>
      </c>
      <c r="H4181" s="688" t="str">
        <f>IF(G4181=0,"",IF(F4181="Buy",IF(G4181=1,"plant","plants"),IF(F4181&gt;0.01,"warranty","Error")))</f>
        <v/>
      </c>
      <c r="I4181" s="485">
        <f>IF(H4181="free",0,IF(H4181="credit",((E4181*(F4181))*G4181*-1),IF(F4181="Buy",(E4181*G4181),((E4181*(1-F4181))*G4181))))</f>
        <v>0</v>
      </c>
      <c r="J4181" s="485">
        <f>IF(H4181="warranty",0,(I4181*(_xlfn.SINGLE(SalesTaxPercentage))))</f>
        <v>0</v>
      </c>
      <c r="K4181" s="715">
        <f t="shared" ref="K4181" si="3153">I4181+J4181</f>
        <v>0</v>
      </c>
      <c r="L4181" s="715"/>
      <c r="M4181" s="689" t="str">
        <f ca="1">IF(AND(G4181&gt;0,E4181=0),"WARNING - no PRICE inserted",IF(H4181="free","FREE ~ no charge this plant",IF(H4181="credit",CONCATENATE("-$",ROUND(K4181*(1-_xlfn.SINGLE(T2GDiscount))*-1,2)," CREDIT after discount"),IF(_xlfn.SINGLE(T2GDiscount)=0,"",IF(G4181=0,"",IF(F4181="Buy",CONCATENATE("$",ROUND(K4181*(1-_xlfn.SINGLE(T2GDiscount)),2)," with ",(_xlfn.SINGLE(T2GDiscount)*100),"% discount"),CONCATENATE("$",ROUND(K4181*(1-_xlfn.SINGLE(T2GDiscount)),2)," with ",((_xlfn.SINGLE(T2GDiscount)*100+F4181*100)-(_xlfn.SINGLE(T2GDiscount)*100*F4181)),IF(F4181&gt;0,"% discounts",IF(_xlfn.SINGLE(NoWarrantyDiscount)&gt;0,"% discounts","% discount")))))))))</f>
        <v/>
      </c>
      <c r="N4181" s="690"/>
      <c r="O4181" s="486"/>
      <c r="P4181" s="486"/>
      <c r="Q4181" s="486"/>
      <c r="R4181" s="486"/>
      <c r="S4181" s="486"/>
      <c r="T4181" s="102">
        <f t="shared" si="3140"/>
        <v>0</v>
      </c>
      <c r="U4181" s="78">
        <f>IF(NOT(ISNUMBER(G4181)), "", VLOOKUP(A4181,'Discount Lookup'!D:E,2,FALSE)*G4181)</f>
        <v>0</v>
      </c>
      <c r="V4181" s="78">
        <f>IF(NOT(ISNUMBER(G4181)), "", VLOOKUP(A4181,'Discount Lookup'!G:H,2,FALSE)*G4181)</f>
        <v>0</v>
      </c>
      <c r="W4181" s="102">
        <f t="shared" si="3141"/>
        <v>0</v>
      </c>
      <c r="X4181" s="102">
        <f t="shared" si="3142"/>
        <v>0</v>
      </c>
      <c r="Y4181" s="120" t="b">
        <f t="shared" si="3143"/>
        <v>0</v>
      </c>
      <c r="Z4181" s="117">
        <f t="shared" si="3144"/>
        <v>0</v>
      </c>
      <c r="AA4181" s="118"/>
      <c r="AB4181" s="118" t="str">
        <f t="shared" si="3145"/>
        <v/>
      </c>
      <c r="AC4181" s="712" t="str">
        <f>IF(AE4181="T2G","no charge",IF(AND(OR(PlanterYesMe="No",PlanterYesMe="N",PlanterYesMe="me"),H4181=""),"",IF(H4181="credit","NO install",IF(AND(K4181="",AE4181="me"),"EACH row",IF(AND(K4181="images",AE4181="me"),"EACH row",IF(D4181="","",IF(H4181="credit","",IF(AE4181="free","re-planting",IF(AE4181="me","   not ELP, by",IF(AND(OR(PlanterYesMe="Yes",PlanterYesMe="Y"),G4181&gt;0),(VLOOKUP(A4181,'Discount Lookup'!J:K,2)*G4181*(1-PlanterDiscount)*(1+PlanterDifficultyPercentage)),IF(AE4181="ELP",(VLOOKUP(A4181,'Discount Lookup'!J:K,2)*G4181*(1-PlanterDiscount)*(1+PlanterDifficultyPercentage)),IF(AE4181="free","re-planting",IF(G4181=0,"",IF(PlanterYesMe="",IF(AE4181="me","   not ELP, by",IF(AE4181="",IF(G4181&gt;0,(VLOOKUP(A4181,'Discount Lookup'!J:K,2)*G4181*(1-PlanterDiscount)*(1+PlanterDifficultyPercentage)),""),"")),"   not ELP, by"))))))))))))))</f>
        <v/>
      </c>
      <c r="AD4181" s="712"/>
      <c r="AE4181" s="513" t="str">
        <f t="shared" si="3146"/>
        <v/>
      </c>
      <c r="AF4181" s="713" t="str">
        <f t="shared" si="3147"/>
        <v/>
      </c>
      <c r="AG4181" s="713"/>
      <c r="AH4181" s="713"/>
      <c r="AI4181" s="112">
        <f>IF(H4181="credit",0,IF(AE4181="free",0,IF(AE4181="me",0,IF(G4181&gt;0,(VLOOKUP(A4181,'Discount Lookup'!J:K,2)*G4181),0))))</f>
        <v>0</v>
      </c>
      <c r="AJ4181" s="107" t="str">
        <f t="shared" ca="1" si="3148"/>
        <v/>
      </c>
      <c r="AK4181" s="714" t="str">
        <f t="shared" si="3149"/>
        <v/>
      </c>
      <c r="AL4181" s="714"/>
      <c r="AM4181" s="114" t="str">
        <f t="shared" si="3150"/>
        <v/>
      </c>
      <c r="AN4181" s="115"/>
      <c r="AO4181" s="116"/>
      <c r="AP4181" s="116"/>
      <c r="AQ4181" s="116"/>
      <c r="AR4181" s="116"/>
      <c r="AS4181" s="116"/>
      <c r="AT4181" s="116"/>
      <c r="AU4181" s="116"/>
      <c r="AV4181" s="78"/>
      <c r="AW4181" s="102"/>
      <c r="AX4181" s="78"/>
      <c r="AY4181" s="78"/>
      <c r="AZ4181" s="78"/>
      <c r="BA4181" s="78"/>
      <c r="BB4181" s="78"/>
      <c r="BC4181" s="78"/>
      <c r="BD4181" s="78"/>
      <c r="BE4181" s="465"/>
      <c r="BF4181" s="165" t="str">
        <f t="shared" si="3151"/>
        <v>https://www.google.com/search?tbm=isch&amp;q=7%20G4</v>
      </c>
      <c r="BG4181" s="165" t="str">
        <f t="shared" si="3152"/>
        <v>T</v>
      </c>
      <c r="BH4181" s="65"/>
      <c r="BI4181" s="65"/>
      <c r="BJ4181" s="65"/>
      <c r="BK4181" s="65"/>
      <c r="BL4181" s="99"/>
      <c r="BM4181" s="99"/>
      <c r="BN4181" s="99"/>
    </row>
    <row r="4182" spans="1:66" s="51" customFormat="1" ht="15.75" x14ac:dyDescent="0.25">
      <c r="A4182" s="705" t="s">
        <v>5553</v>
      </c>
      <c r="B4182" s="487"/>
      <c r="C4182" s="707"/>
      <c r="D4182" s="487"/>
      <c r="E4182" s="487"/>
      <c r="F4182" s="488"/>
      <c r="G4182" s="489"/>
      <c r="H4182" s="487"/>
      <c r="I4182" s="490"/>
      <c r="J4182" s="490"/>
      <c r="K4182" s="491"/>
      <c r="L4182" s="547"/>
      <c r="M4182" s="528"/>
      <c r="N4182" s="492"/>
      <c r="O4182" s="493"/>
      <c r="P4182" s="494"/>
      <c r="Q4182" s="492"/>
      <c r="R4182" s="492"/>
      <c r="S4182" s="495"/>
      <c r="T4182" s="102">
        <f t="shared" si="3140"/>
        <v>0</v>
      </c>
      <c r="U4182" s="78" t="str">
        <f>IF(NOT(ISNUMBER(G4182)), "", VLOOKUP(A4182,'Discount Lookup'!D:E,2,FALSE)*G4182)</f>
        <v/>
      </c>
      <c r="V4182" s="78" t="str">
        <f>IF(NOT(ISNUMBER(G4182)), "", VLOOKUP(A4182,'Discount Lookup'!G:H,2,FALSE)*G4182)</f>
        <v/>
      </c>
      <c r="W4182" s="102">
        <f t="shared" si="3141"/>
        <v>0</v>
      </c>
      <c r="X4182" s="102">
        <f t="shared" si="3142"/>
        <v>0</v>
      </c>
      <c r="Y4182" s="120" t="b">
        <f t="shared" si="3143"/>
        <v>0</v>
      </c>
      <c r="Z4182" s="117">
        <f t="shared" si="3144"/>
        <v>0</v>
      </c>
      <c r="AA4182" s="118"/>
      <c r="AB4182" s="118" t="str">
        <f t="shared" si="3145"/>
        <v/>
      </c>
      <c r="AC4182" s="712" t="str">
        <f>IF(AE4182="T2G","no charge",IF(AND(OR(PlanterYesMe="No",PlanterYesMe="N",PlanterYesMe="me"),H4182=""),"",IF(H4182="credit","NO install",IF(AND(K4182="",AE4182="me"),"EACH row",IF(AND(K4182="images",AE4182="me"),"EACH row",IF(D4182="","",IF(H4182="credit","",IF(AE4182="free","re-planting",IF(AE4182="me","   not ELP, by",IF(AND(OR(PlanterYesMe="Yes",PlanterYesMe="Y"),G4182&gt;0),(VLOOKUP(A4182,'Discount Lookup'!J:K,2)*G4182*(1-PlanterDiscount)*(1+PlanterDifficultyPercentage)),IF(AE4182="ELP",(VLOOKUP(A4182,'Discount Lookup'!J:K,2)*G4182*(1-PlanterDiscount)*(1+PlanterDifficultyPercentage)),IF(AE4182="free","re-planting",IF(G4182=0,"",IF(PlanterYesMe="",IF(AE4182="me","   not ELP, by",IF(AE4182="",IF(G4182&gt;0,(VLOOKUP(A4182,'Discount Lookup'!J:K,2)*G4182*(1-PlanterDiscount)*(1+PlanterDifficultyPercentage)),""),"")),"   not ELP, by"))))))))))))))</f>
        <v/>
      </c>
      <c r="AD4182" s="712"/>
      <c r="AE4182" s="513" t="str">
        <f t="shared" si="3146"/>
        <v/>
      </c>
      <c r="AF4182" s="713" t="str">
        <f t="shared" si="3147"/>
        <v/>
      </c>
      <c r="AG4182" s="713"/>
      <c r="AH4182" s="713"/>
      <c r="AI4182" s="112">
        <f>IF(H4182="credit",0,IF(AE4182="free",0,IF(AE4182="me",0,IF(G4182&gt;0,(VLOOKUP(A4182,'Discount Lookup'!J:K,2)*G4182),0))))</f>
        <v>0</v>
      </c>
      <c r="AJ4182" s="107" t="str">
        <f t="shared" ca="1" si="3148"/>
        <v/>
      </c>
      <c r="AK4182" s="714" t="str">
        <f t="shared" si="3149"/>
        <v/>
      </c>
      <c r="AL4182" s="714"/>
      <c r="AM4182" s="114" t="str">
        <f t="shared" si="3150"/>
        <v/>
      </c>
      <c r="AN4182" s="115"/>
      <c r="AO4182" s="116"/>
      <c r="AP4182" s="116"/>
      <c r="AQ4182" s="116"/>
      <c r="AR4182" s="116"/>
      <c r="AS4182" s="116"/>
      <c r="AT4182" s="116"/>
      <c r="AU4182" s="116"/>
      <c r="AV4182" s="78"/>
      <c r="AW4182" s="102"/>
      <c r="AX4182" s="78"/>
      <c r="AY4182" s="78"/>
      <c r="AZ4182" s="78"/>
      <c r="BA4182" s="78"/>
      <c r="BB4182" s="78"/>
      <c r="BC4182" s="78"/>
      <c r="BD4182" s="78"/>
      <c r="BE4182" s="465"/>
      <c r="BF4182" s="165" t="str">
        <f t="shared" si="3151"/>
        <v>https://www.google.com/search?tbm=isch&amp;q=moist%20sites%F0%9F%92%A7GOOD%2C%20Jurassic%20Park%20named%20for%20it%27s%20scale-like%20foliage%20and%20Silvery-White%20undersides%20to%20needles%20</v>
      </c>
      <c r="BG4182" s="165" t="str">
        <f t="shared" si="3152"/>
        <v>m</v>
      </c>
      <c r="BH4182" s="65"/>
      <c r="BI4182" s="65"/>
      <c r="BJ4182" s="65"/>
      <c r="BK4182" s="65"/>
      <c r="BL4182" s="99"/>
      <c r="BM4182" s="99"/>
      <c r="BN4182" s="99"/>
    </row>
    <row r="4183" spans="1:66" s="51" customFormat="1" ht="19.5" thickBot="1" x14ac:dyDescent="0.3">
      <c r="A4183" s="686" t="s">
        <v>803</v>
      </c>
      <c r="B4183" s="73"/>
      <c r="C4183" s="708"/>
      <c r="D4183" s="73"/>
      <c r="E4183" s="73"/>
      <c r="F4183" s="496"/>
      <c r="G4183" s="73"/>
      <c r="H4183" s="73"/>
      <c r="I4183" s="73"/>
      <c r="J4183" s="497" t="s">
        <v>357</v>
      </c>
      <c r="K4183" s="498"/>
      <c r="L4183" s="562"/>
      <c r="M4183" s="73"/>
      <c r="N4183"/>
      <c r="O4183"/>
      <c r="P4183"/>
      <c r="Q4183"/>
      <c r="R4183"/>
      <c r="S4183"/>
      <c r="T4183" s="102">
        <f t="shared" si="3140"/>
        <v>0</v>
      </c>
      <c r="U4183" s="78" t="str">
        <f>IF(NOT(ISNUMBER(G4183)), "", VLOOKUP(A4183,'Discount Lookup'!D:E,2,FALSE)*G4183)</f>
        <v/>
      </c>
      <c r="V4183" s="78" t="str">
        <f>IF(NOT(ISNUMBER(G4183)), "", VLOOKUP(A4183,'Discount Lookup'!G:H,2,FALSE)*G4183)</f>
        <v/>
      </c>
      <c r="W4183" s="102">
        <f t="shared" si="3141"/>
        <v>0</v>
      </c>
      <c r="X4183" s="102">
        <f t="shared" si="3142"/>
        <v>0</v>
      </c>
      <c r="Y4183" s="120" t="b">
        <f t="shared" si="3143"/>
        <v>0</v>
      </c>
      <c r="Z4183" s="117">
        <f t="shared" si="3144"/>
        <v>0</v>
      </c>
      <c r="AA4183" s="118"/>
      <c r="AB4183" s="118" t="str">
        <f t="shared" si="3145"/>
        <v/>
      </c>
      <c r="AC4183" s="712" t="str">
        <f>IF(AE4183="T2G","no charge",IF(AND(OR(PlanterYesMe="No",PlanterYesMe="N",PlanterYesMe="me"),H4183=""),"",IF(H4183="credit","NO install",IF(AND(K4183="",AE4183="me"),"EACH row",IF(AND(K4183="images",AE4183="me"),"EACH row",IF(D4183="","",IF(H4183="credit","",IF(AE4183="free","re-planting",IF(AE4183="me","   not ELP, by",IF(AND(OR(PlanterYesMe="Yes",PlanterYesMe="Y"),G4183&gt;0),(VLOOKUP(A4183,'Discount Lookup'!J:K,2)*G4183*(1-PlanterDiscount)*(1+PlanterDifficultyPercentage)),IF(AE4183="ELP",(VLOOKUP(A4183,'Discount Lookup'!J:K,2)*G4183*(1-PlanterDiscount)*(1+PlanterDifficultyPercentage)),IF(AE4183="free","re-planting",IF(G4183=0,"",IF(PlanterYesMe="",IF(AE4183="me","   not ELP, by",IF(AE4183="",IF(G4183&gt;0,(VLOOKUP(A4183,'Discount Lookup'!J:K,2)*G4183*(1-PlanterDiscount)*(1+PlanterDifficultyPercentage)),""),"")),"   not ELP, by"))))))))))))))</f>
        <v/>
      </c>
      <c r="AD4183" s="712"/>
      <c r="AE4183" s="513" t="str">
        <f t="shared" si="3146"/>
        <v/>
      </c>
      <c r="AF4183" s="713" t="str">
        <f t="shared" si="3147"/>
        <v/>
      </c>
      <c r="AG4183" s="713"/>
      <c r="AH4183" s="713"/>
      <c r="AI4183" s="112">
        <f>IF(H4183="credit",0,IF(AE4183="free",0,IF(AE4183="me",0,IF(G4183&gt;0,(VLOOKUP(A4183,'Discount Lookup'!J:K,2)*G4183),0))))</f>
        <v>0</v>
      </c>
      <c r="AJ4183" s="107" t="str">
        <f t="shared" ca="1" si="3148"/>
        <v/>
      </c>
      <c r="AK4183" s="714" t="str">
        <f t="shared" si="3149"/>
        <v/>
      </c>
      <c r="AL4183" s="714"/>
      <c r="AM4183" s="114" t="str">
        <f t="shared" si="3150"/>
        <v/>
      </c>
      <c r="AN4183" s="115"/>
      <c r="AO4183" s="116"/>
      <c r="AP4183" s="116"/>
      <c r="AQ4183" s="116"/>
      <c r="AR4183" s="116"/>
      <c r="AS4183" s="116"/>
      <c r="AT4183" s="116"/>
      <c r="AU4183" s="116"/>
      <c r="AV4183" s="78"/>
      <c r="AW4183" s="102"/>
      <c r="AX4183" s="78"/>
      <c r="AY4183" s="78"/>
      <c r="AZ4183" s="78"/>
      <c r="BA4183" s="78"/>
      <c r="BB4183" s="78"/>
      <c r="BC4183" s="78"/>
      <c r="BD4183" s="78"/>
      <c r="BE4183" s="465"/>
      <c r="BF4183" s="165" t="str">
        <f t="shared" si="3151"/>
        <v>https://www.google.com/search?tbm=isch&amp;q=Trachelospermum%20%3D%20Confederate%20Jasmine%20</v>
      </c>
      <c r="BG4183" s="165" t="str">
        <f t="shared" si="3152"/>
        <v>T</v>
      </c>
      <c r="BH4183" s="65"/>
      <c r="BI4183" s="65"/>
      <c r="BJ4183" s="65"/>
      <c r="BK4183" s="65"/>
      <c r="BL4183" s="99"/>
      <c r="BM4183" s="99"/>
      <c r="BN4183" s="99"/>
    </row>
    <row r="4184" spans="1:66" s="51" customFormat="1" ht="18" x14ac:dyDescent="0.25">
      <c r="A4184" s="507" t="s">
        <v>4385</v>
      </c>
      <c r="B4184" s="470"/>
      <c r="C4184" s="706"/>
      <c r="D4184" s="471" t="s">
        <v>4386</v>
      </c>
      <c r="E4184" s="472"/>
      <c r="F4184" s="472"/>
      <c r="G4184" s="472"/>
      <c r="H4184" s="622" t="s">
        <v>4387</v>
      </c>
      <c r="I4184" s="473" t="s">
        <v>431</v>
      </c>
      <c r="J4184" s="472"/>
      <c r="K4184" s="472"/>
      <c r="L4184" s="561"/>
      <c r="M4184" s="698" t="s">
        <v>5246</v>
      </c>
      <c r="N4184" s="692" t="str">
        <f>IF(AND(ISTEXT($A4184), ISERROR($A4184+0)), HYPERLINK($BF4184, "Images"), "")</f>
        <v>Images</v>
      </c>
      <c r="O4184" s="694" t="s">
        <v>5247</v>
      </c>
      <c r="P4184" s="475"/>
      <c r="Q4184" s="476"/>
      <c r="R4184" s="476"/>
      <c r="S4184" s="477"/>
      <c r="T4184" s="102">
        <f t="shared" si="3140"/>
        <v>0</v>
      </c>
      <c r="U4184" s="78" t="str">
        <f>IF(NOT(ISNUMBER(G4184)), "", VLOOKUP(A4184,'Discount Lookup'!D:E,2,FALSE)*G4184)</f>
        <v/>
      </c>
      <c r="V4184" s="78" t="str">
        <f>IF(NOT(ISNUMBER(G4184)), "", VLOOKUP(A4184,'Discount Lookup'!G:H,2,FALSE)*G4184)</f>
        <v/>
      </c>
      <c r="W4184" s="102">
        <f t="shared" si="3141"/>
        <v>0</v>
      </c>
      <c r="X4184" s="102" t="str">
        <f t="shared" si="3142"/>
        <v>Dark Green foliage</v>
      </c>
      <c r="Y4184" s="120" t="b">
        <f t="shared" si="3143"/>
        <v>0</v>
      </c>
      <c r="Z4184" s="117">
        <f t="shared" si="3144"/>
        <v>0</v>
      </c>
      <c r="AA4184" s="118"/>
      <c r="AB4184" s="118" t="str">
        <f t="shared" si="3145"/>
        <v/>
      </c>
      <c r="AC4184" s="712" t="str">
        <f>IF(AE4184="T2G","no charge",IF(AND(OR(PlanterYesMe="No",PlanterYesMe="N",PlanterYesMe="me"),H4184=""),"",IF(H4184="credit","NO install",IF(AND(K4184="",AE4184="me"),"EACH row",IF(AND(K4184="images",AE4184="me"),"EACH row",IF(D4184="","",IF(H4184="credit","",IF(AE4184="free","re-planting",IF(AE4184="me","   not ELP, by",IF(AND(OR(PlanterYesMe="Yes",PlanterYesMe="Y"),G4184&gt;0),(VLOOKUP(A4184,'Discount Lookup'!J:K,2)*G4184*(1-PlanterDiscount)*(1+PlanterDifficultyPercentage)),IF(AE4184="ELP",(VLOOKUP(A4184,'Discount Lookup'!J:K,2)*G4184*(1-PlanterDiscount)*(1+PlanterDifficultyPercentage)),IF(AE4184="free","re-planting",IF(G4184=0,"",IF(PlanterYesMe="",IF(AE4184="me","   not ELP, by",IF(AE4184="",IF(G4184&gt;0,(VLOOKUP(A4184,'Discount Lookup'!J:K,2)*G4184*(1-PlanterDiscount)*(1+PlanterDifficultyPercentage)),""),"")),"   not ELP, by"))))))))))))))</f>
        <v/>
      </c>
      <c r="AD4184" s="712"/>
      <c r="AE4184" s="513" t="str">
        <f t="shared" si="3146"/>
        <v/>
      </c>
      <c r="AF4184" s="713" t="str">
        <f t="shared" si="3147"/>
        <v/>
      </c>
      <c r="AG4184" s="713"/>
      <c r="AH4184" s="713"/>
      <c r="AI4184" s="112">
        <f>IF(H4184="credit",0,IF(AE4184="free",0,IF(AE4184="me",0,IF(G4184&gt;0,(VLOOKUP(A4184,'Discount Lookup'!J:K,2)*G4184),0))))</f>
        <v>0</v>
      </c>
      <c r="AJ4184" s="107" t="str">
        <f t="shared" ca="1" si="3148"/>
        <v/>
      </c>
      <c r="AK4184" s="714" t="str">
        <f t="shared" si="3149"/>
        <v/>
      </c>
      <c r="AL4184" s="714"/>
      <c r="AM4184" s="114" t="str">
        <f t="shared" si="3150"/>
        <v/>
      </c>
      <c r="AN4184" s="115"/>
      <c r="AO4184" s="116"/>
      <c r="AP4184" s="116"/>
      <c r="AQ4184" s="116"/>
      <c r="AR4184" s="116"/>
      <c r="AS4184" s="116"/>
      <c r="AT4184" s="116"/>
      <c r="AU4184" s="116"/>
      <c r="AV4184" s="78"/>
      <c r="AW4184" s="102"/>
      <c r="AX4184" s="78"/>
      <c r="AY4184" s="78"/>
      <c r="AZ4184" s="78"/>
      <c r="BA4184" s="78"/>
      <c r="BB4184" s="78"/>
      <c r="BC4184" s="78"/>
      <c r="BD4184" s="78"/>
      <c r="BE4184" s="465"/>
      <c r="BF4184" s="165" t="str">
        <f t="shared" si="3151"/>
        <v>https://www.google.com/search?tbm=isch&amp;q=Trachelospermum%20asiaticum%20Asiatic%20Jasmine%20Vine</v>
      </c>
      <c r="BG4184" s="165" t="str">
        <f t="shared" si="3152"/>
        <v>T</v>
      </c>
      <c r="BH4184" s="65"/>
      <c r="BI4184" s="65"/>
      <c r="BJ4184" s="65"/>
      <c r="BK4184" s="65"/>
      <c r="BL4184" s="99"/>
      <c r="BM4184" s="99"/>
      <c r="BN4184" s="99"/>
    </row>
    <row r="4185" spans="1:66" s="51" customFormat="1" ht="15.75" x14ac:dyDescent="0.25">
      <c r="A4185" s="478">
        <v>1</v>
      </c>
      <c r="B4185" s="479" t="s">
        <v>291</v>
      </c>
      <c r="C4185" s="480" t="s">
        <v>5027</v>
      </c>
      <c r="D4185" s="481" t="s">
        <v>293</v>
      </c>
      <c r="E4185" s="482">
        <v>16.95</v>
      </c>
      <c r="F4185" s="483" t="s">
        <v>292</v>
      </c>
      <c r="G4185" s="484">
        <v>0</v>
      </c>
      <c r="H4185" s="688" t="str">
        <f>IF(G4185=0,"",IF(F4185="Buy",IF(G4185=1,"plant","plants"),IF(F4185&gt;0.01,"warranty","Error")))</f>
        <v/>
      </c>
      <c r="I4185" s="485">
        <f>IF(H4185="free",0,IF(H4185="credit",((E4185*(F4185))*G4185*-1),IF(F4185="Buy",(E4185*G4185),((E4185*(1-F4185))*G4185))))</f>
        <v>0</v>
      </c>
      <c r="J4185" s="485">
        <f>IF(H4185="warranty",0,(I4185*(_xlfn.SINGLE(SalesTaxPercentage))))</f>
        <v>0</v>
      </c>
      <c r="K4185" s="715">
        <f t="shared" ref="K4185" si="3154">I4185+J4185</f>
        <v>0</v>
      </c>
      <c r="L4185" s="715"/>
      <c r="M4185" s="689" t="str">
        <f ca="1">IF(AND(G4185&gt;0,E4185=0),"WARNING - no PRICE inserted",IF(H4185="free","FREE ~ no charge this plant",IF(H4185="credit",CONCATENATE("-$",ROUND(K4185*(1-_xlfn.SINGLE(T2GDiscount))*-1,2)," CREDIT after discount"),IF(_xlfn.SINGLE(T2GDiscount)=0,"",IF(G4185=0,"",IF(F4185="Buy",CONCATENATE("$",ROUND(K4185*(1-_xlfn.SINGLE(T2GDiscount)),2)," with ",(_xlfn.SINGLE(T2GDiscount)*100),"% discount"),CONCATENATE("$",ROUND(K4185*(1-_xlfn.SINGLE(T2GDiscount)),2)," with ",((_xlfn.SINGLE(T2GDiscount)*100+F4185*100)-(_xlfn.SINGLE(T2GDiscount)*100*F4185)),IF(F4185&gt;0,"% discounts",IF(_xlfn.SINGLE(NoWarrantyDiscount)&gt;0,"% discounts","% discount")))))))))</f>
        <v/>
      </c>
      <c r="N4185" s="690"/>
      <c r="O4185" s="486"/>
      <c r="P4185" s="486"/>
      <c r="Q4185" s="486"/>
      <c r="R4185" s="486"/>
      <c r="S4185" s="486"/>
      <c r="T4185" s="102">
        <f t="shared" si="3140"/>
        <v>0</v>
      </c>
      <c r="U4185" s="78">
        <f>IF(NOT(ISNUMBER(G4185)), "", VLOOKUP(A4185,'Discount Lookup'!D:E,2,FALSE)*G4185)</f>
        <v>0</v>
      </c>
      <c r="V4185" s="78">
        <f>IF(NOT(ISNUMBER(G4185)), "", VLOOKUP(A4185,'Discount Lookup'!G:H,2,FALSE)*G4185)</f>
        <v>0</v>
      </c>
      <c r="W4185" s="102">
        <f t="shared" si="3141"/>
        <v>0</v>
      </c>
      <c r="X4185" s="102">
        <f t="shared" si="3142"/>
        <v>0</v>
      </c>
      <c r="Y4185" s="120" t="b">
        <f t="shared" si="3143"/>
        <v>0</v>
      </c>
      <c r="Z4185" s="117">
        <f t="shared" si="3144"/>
        <v>0</v>
      </c>
      <c r="AA4185" s="118"/>
      <c r="AB4185" s="118" t="str">
        <f t="shared" si="3145"/>
        <v/>
      </c>
      <c r="AC4185" s="712" t="str">
        <f>IF(AE4185="T2G","no charge",IF(AND(OR(PlanterYesMe="No",PlanterYesMe="N",PlanterYesMe="me"),H4185=""),"",IF(H4185="credit","NO install",IF(AND(K4185="",AE4185="me"),"EACH row",IF(AND(K4185="images",AE4185="me"),"EACH row",IF(D4185="","",IF(H4185="credit","",IF(AE4185="free","re-planting",IF(AE4185="me","   not ELP, by",IF(AND(OR(PlanterYesMe="Yes",PlanterYesMe="Y"),G4185&gt;0),(VLOOKUP(A4185,'Discount Lookup'!J:K,2)*G4185*(1-PlanterDiscount)*(1+PlanterDifficultyPercentage)),IF(AE4185="ELP",(VLOOKUP(A4185,'Discount Lookup'!J:K,2)*G4185*(1-PlanterDiscount)*(1+PlanterDifficultyPercentage)),IF(AE4185="free","re-planting",IF(G4185=0,"",IF(PlanterYesMe="",IF(AE4185="me","   not ELP, by",IF(AE4185="",IF(G4185&gt;0,(VLOOKUP(A4185,'Discount Lookup'!J:K,2)*G4185*(1-PlanterDiscount)*(1+PlanterDifficultyPercentage)),""),"")),"   not ELP, by"))))))))))))))</f>
        <v/>
      </c>
      <c r="AD4185" s="712"/>
      <c r="AE4185" s="513" t="str">
        <f t="shared" si="3146"/>
        <v/>
      </c>
      <c r="AF4185" s="713" t="str">
        <f t="shared" si="3147"/>
        <v/>
      </c>
      <c r="AG4185" s="713"/>
      <c r="AH4185" s="713"/>
      <c r="AI4185" s="112">
        <f>IF(H4185="credit",0,IF(AE4185="free",0,IF(AE4185="me",0,IF(G4185&gt;0,(VLOOKUP(A4185,'Discount Lookup'!J:K,2)*G4185),0))))</f>
        <v>0</v>
      </c>
      <c r="AJ4185" s="107" t="str">
        <f t="shared" ca="1" si="3148"/>
        <v/>
      </c>
      <c r="AK4185" s="714" t="str">
        <f t="shared" si="3149"/>
        <v/>
      </c>
      <c r="AL4185" s="714"/>
      <c r="AM4185" s="114" t="str">
        <f t="shared" si="3150"/>
        <v/>
      </c>
      <c r="AN4185" s="115"/>
      <c r="AO4185" s="116"/>
      <c r="AP4185" s="116"/>
      <c r="AQ4185" s="116"/>
      <c r="AR4185" s="116"/>
      <c r="AS4185" s="116"/>
      <c r="AT4185" s="116"/>
      <c r="AU4185" s="116"/>
      <c r="AV4185" s="78"/>
      <c r="AW4185" s="102"/>
      <c r="AX4185" s="78"/>
      <c r="AY4185" s="78"/>
      <c r="AZ4185" s="78"/>
      <c r="BA4185" s="78"/>
      <c r="BB4185" s="78"/>
      <c r="BC4185" s="78"/>
      <c r="BD4185" s="78"/>
      <c r="BE4185" s="465"/>
      <c r="BF4185" s="165" t="str">
        <f t="shared" si="3151"/>
        <v>https://www.google.com/search?tbm=isch&amp;q=1%20G6</v>
      </c>
      <c r="BG4185" s="165" t="str">
        <f t="shared" si="3152"/>
        <v>T</v>
      </c>
      <c r="BH4185" s="65"/>
      <c r="BI4185" s="65"/>
      <c r="BJ4185" s="65"/>
      <c r="BK4185" s="65"/>
      <c r="BL4185" s="99"/>
      <c r="BM4185" s="99"/>
      <c r="BN4185" s="99"/>
    </row>
    <row r="4186" spans="1:66" s="51" customFormat="1" ht="15.75" x14ac:dyDescent="0.25">
      <c r="A4186" s="478">
        <v>1</v>
      </c>
      <c r="B4186" s="479" t="s">
        <v>291</v>
      </c>
      <c r="C4186" s="480" t="s">
        <v>5028</v>
      </c>
      <c r="D4186" s="481" t="s">
        <v>293</v>
      </c>
      <c r="E4186" s="482">
        <v>16.95</v>
      </c>
      <c r="F4186" s="483" t="s">
        <v>292</v>
      </c>
      <c r="G4186" s="484">
        <v>0</v>
      </c>
      <c r="H4186" s="688" t="str">
        <f>IF(G4186=0,"",IF(F4186="Buy",IF(G4186=1,"plant","plants"),IF(F4186&gt;0.01,"warranty","Error")))</f>
        <v/>
      </c>
      <c r="I4186" s="485">
        <f>IF(H4186="free",0,IF(H4186="credit",((E4186*(F4186))*G4186*-1),IF(F4186="Buy",(E4186*G4186),((E4186*(1-F4186))*G4186))))</f>
        <v>0</v>
      </c>
      <c r="J4186" s="485">
        <f>IF(H4186="warranty",0,(I4186*(_xlfn.SINGLE(SalesTaxPercentage))))</f>
        <v>0</v>
      </c>
      <c r="K4186" s="715">
        <f t="shared" ref="K4186" si="3155">I4186+J4186</f>
        <v>0</v>
      </c>
      <c r="L4186" s="715"/>
      <c r="M4186" s="689" t="str">
        <f ca="1">IF(AND(G4186&gt;0,E4186=0),"WARNING - no PRICE inserted",IF(H4186="free","FREE ~ no charge this plant",IF(H4186="credit",CONCATENATE("-$",ROUND(K4186*(1-_xlfn.SINGLE(T2GDiscount))*-1,2)," CREDIT after discount"),IF(_xlfn.SINGLE(T2GDiscount)=0,"",IF(G4186=0,"",IF(F4186="Buy",CONCATENATE("$",ROUND(K4186*(1-_xlfn.SINGLE(T2GDiscount)),2)," with ",(_xlfn.SINGLE(T2GDiscount)*100),"% discount"),CONCATENATE("$",ROUND(K4186*(1-_xlfn.SINGLE(T2GDiscount)),2)," with ",((_xlfn.SINGLE(T2GDiscount)*100+F4186*100)-(_xlfn.SINGLE(T2GDiscount)*100*F4186)),IF(F4186&gt;0,"% discounts",IF(_xlfn.SINGLE(NoWarrantyDiscount)&gt;0,"% discounts","% discount")))))))))</f>
        <v/>
      </c>
      <c r="N4186" s="690"/>
      <c r="O4186" s="486"/>
      <c r="P4186" s="486"/>
      <c r="Q4186" s="486"/>
      <c r="R4186" s="486"/>
      <c r="S4186" s="486"/>
      <c r="T4186" s="102">
        <f t="shared" si="3140"/>
        <v>0</v>
      </c>
      <c r="U4186" s="78">
        <f>IF(NOT(ISNUMBER(G4186)), "", VLOOKUP(A4186,'Discount Lookup'!D:E,2,FALSE)*G4186)</f>
        <v>0</v>
      </c>
      <c r="V4186" s="78">
        <f>IF(NOT(ISNUMBER(G4186)), "", VLOOKUP(A4186,'Discount Lookup'!G:H,2,FALSE)*G4186)</f>
        <v>0</v>
      </c>
      <c r="W4186" s="102">
        <f t="shared" si="3141"/>
        <v>0</v>
      </c>
      <c r="X4186" s="102">
        <f t="shared" si="3142"/>
        <v>0</v>
      </c>
      <c r="Y4186" s="120" t="b">
        <f t="shared" si="3143"/>
        <v>0</v>
      </c>
      <c r="Z4186" s="117">
        <f t="shared" si="3144"/>
        <v>0</v>
      </c>
      <c r="AA4186" s="118"/>
      <c r="AB4186" s="118" t="str">
        <f t="shared" si="3145"/>
        <v/>
      </c>
      <c r="AC4186" s="712" t="str">
        <f>IF(AE4186="T2G","no charge",IF(AND(OR(PlanterYesMe="No",PlanterYesMe="N",PlanterYesMe="me"),H4186=""),"",IF(H4186="credit","NO install",IF(AND(K4186="",AE4186="me"),"EACH row",IF(AND(K4186="images",AE4186="me"),"EACH row",IF(D4186="","",IF(H4186="credit","",IF(AE4186="free","re-planting",IF(AE4186="me","   not ELP, by",IF(AND(OR(PlanterYesMe="Yes",PlanterYesMe="Y"),G4186&gt;0),(VLOOKUP(A4186,'Discount Lookup'!J:K,2)*G4186*(1-PlanterDiscount)*(1+PlanterDifficultyPercentage)),IF(AE4186="ELP",(VLOOKUP(A4186,'Discount Lookup'!J:K,2)*G4186*(1-PlanterDiscount)*(1+PlanterDifficultyPercentage)),IF(AE4186="free","re-planting",IF(G4186=0,"",IF(PlanterYesMe="",IF(AE4186="me","   not ELP, by",IF(AE4186="",IF(G4186&gt;0,(VLOOKUP(A4186,'Discount Lookup'!J:K,2)*G4186*(1-PlanterDiscount)*(1+PlanterDifficultyPercentage)),""),"")),"   not ELP, by"))))))))))))))</f>
        <v/>
      </c>
      <c r="AD4186" s="712"/>
      <c r="AE4186" s="513" t="str">
        <f t="shared" si="3146"/>
        <v/>
      </c>
      <c r="AF4186" s="713" t="str">
        <f t="shared" si="3147"/>
        <v/>
      </c>
      <c r="AG4186" s="713"/>
      <c r="AH4186" s="713"/>
      <c r="AI4186" s="112">
        <f>IF(H4186="credit",0,IF(AE4186="free",0,IF(AE4186="me",0,IF(G4186&gt;0,(VLOOKUP(A4186,'Discount Lookup'!J:K,2)*G4186),0))))</f>
        <v>0</v>
      </c>
      <c r="AJ4186" s="107" t="str">
        <f t="shared" ca="1" si="3148"/>
        <v/>
      </c>
      <c r="AK4186" s="714" t="str">
        <f t="shared" si="3149"/>
        <v/>
      </c>
      <c r="AL4186" s="714"/>
      <c r="AM4186" s="114" t="str">
        <f t="shared" si="3150"/>
        <v/>
      </c>
      <c r="AN4186" s="115"/>
      <c r="AO4186" s="116"/>
      <c r="AP4186" s="116"/>
      <c r="AQ4186" s="116"/>
      <c r="AR4186" s="116"/>
      <c r="AS4186" s="116"/>
      <c r="AT4186" s="116"/>
      <c r="AU4186" s="116"/>
      <c r="AV4186" s="78"/>
      <c r="AW4186" s="102"/>
      <c r="AX4186" s="78"/>
      <c r="AY4186" s="78"/>
      <c r="AZ4186" s="78"/>
      <c r="BA4186" s="78"/>
      <c r="BB4186" s="78"/>
      <c r="BC4186" s="78"/>
      <c r="BD4186" s="78"/>
      <c r="BE4186" s="465"/>
      <c r="BF4186" s="165" t="str">
        <f t="shared" si="3151"/>
        <v>https://www.google.com/search?tbm=isch&amp;q=1%20G6</v>
      </c>
      <c r="BG4186" s="165" t="str">
        <f t="shared" si="3152"/>
        <v>T</v>
      </c>
      <c r="BH4186" s="65"/>
      <c r="BI4186" s="65"/>
      <c r="BJ4186" s="65"/>
      <c r="BK4186" s="65"/>
      <c r="BL4186" s="99"/>
      <c r="BM4186" s="99"/>
      <c r="BN4186" s="99"/>
    </row>
    <row r="4187" spans="1:66" s="51" customFormat="1" ht="16.5" thickBot="1" x14ac:dyDescent="0.3">
      <c r="A4187" s="508" t="s">
        <v>4388</v>
      </c>
      <c r="B4187" s="487"/>
      <c r="C4187" s="707"/>
      <c r="D4187" s="487"/>
      <c r="E4187" s="487"/>
      <c r="F4187" s="488"/>
      <c r="G4187" s="489"/>
      <c r="H4187" s="487"/>
      <c r="I4187" s="490"/>
      <c r="J4187" s="490"/>
      <c r="K4187" s="491"/>
      <c r="L4187" s="547"/>
      <c r="M4187" s="528"/>
      <c r="N4187" s="492"/>
      <c r="O4187" s="493"/>
      <c r="P4187" s="494"/>
      <c r="Q4187" s="492"/>
      <c r="R4187" s="492"/>
      <c r="S4187" s="495"/>
      <c r="T4187" s="102">
        <f t="shared" si="3140"/>
        <v>0</v>
      </c>
      <c r="U4187" s="78" t="str">
        <f>IF(NOT(ISNUMBER(G4187)), "", VLOOKUP(A4187,'Discount Lookup'!D:E,2,FALSE)*G4187)</f>
        <v/>
      </c>
      <c r="V4187" s="78" t="str">
        <f>IF(NOT(ISNUMBER(G4187)), "", VLOOKUP(A4187,'Discount Lookup'!G:H,2,FALSE)*G4187)</f>
        <v/>
      </c>
      <c r="W4187" s="102">
        <f t="shared" si="3141"/>
        <v>0</v>
      </c>
      <c r="X4187" s="102">
        <f t="shared" si="3142"/>
        <v>0</v>
      </c>
      <c r="Y4187" s="120" t="b">
        <f t="shared" si="3143"/>
        <v>0</v>
      </c>
      <c r="Z4187" s="117">
        <f t="shared" si="3144"/>
        <v>0</v>
      </c>
      <c r="AA4187" s="118"/>
      <c r="AB4187" s="118" t="str">
        <f t="shared" si="3145"/>
        <v/>
      </c>
      <c r="AC4187" s="712" t="str">
        <f>IF(AE4187="T2G","no charge",IF(AND(OR(PlanterYesMe="No",PlanterYesMe="N",PlanterYesMe="me"),H4187=""),"",IF(H4187="credit","NO install",IF(AND(K4187="",AE4187="me"),"EACH row",IF(AND(K4187="images",AE4187="me"),"EACH row",IF(D4187="","",IF(H4187="credit","",IF(AE4187="free","re-planting",IF(AE4187="me","   not ELP, by",IF(AND(OR(PlanterYesMe="Yes",PlanterYesMe="Y"),G4187&gt;0),(VLOOKUP(A4187,'Discount Lookup'!J:K,2)*G4187*(1-PlanterDiscount)*(1+PlanterDifficultyPercentage)),IF(AE4187="ELP",(VLOOKUP(A4187,'Discount Lookup'!J:K,2)*G4187*(1-PlanterDiscount)*(1+PlanterDifficultyPercentage)),IF(AE4187="free","re-planting",IF(G4187=0,"",IF(PlanterYesMe="",IF(AE4187="me","   not ELP, by",IF(AE4187="",IF(G4187&gt;0,(VLOOKUP(A4187,'Discount Lookup'!J:K,2)*G4187*(1-PlanterDiscount)*(1+PlanterDifficultyPercentage)),""),"")),"   not ELP, by"))))))))))))))</f>
        <v/>
      </c>
      <c r="AD4187" s="712"/>
      <c r="AE4187" s="513" t="str">
        <f t="shared" si="3146"/>
        <v/>
      </c>
      <c r="AF4187" s="713" t="str">
        <f t="shared" si="3147"/>
        <v/>
      </c>
      <c r="AG4187" s="713"/>
      <c r="AH4187" s="713"/>
      <c r="AI4187" s="112">
        <f>IF(H4187="credit",0,IF(AE4187="free",0,IF(AE4187="me",0,IF(G4187&gt;0,(VLOOKUP(A4187,'Discount Lookup'!J:K,2)*G4187),0))))</f>
        <v>0</v>
      </c>
      <c r="AJ4187" s="107" t="str">
        <f t="shared" ca="1" si="3148"/>
        <v/>
      </c>
      <c r="AK4187" s="714" t="str">
        <f t="shared" si="3149"/>
        <v/>
      </c>
      <c r="AL4187" s="714"/>
      <c r="AM4187" s="114" t="str">
        <f t="shared" si="3150"/>
        <v/>
      </c>
      <c r="AN4187" s="115"/>
      <c r="AO4187" s="116"/>
      <c r="AP4187" s="116"/>
      <c r="AQ4187" s="116"/>
      <c r="AR4187" s="116"/>
      <c r="AS4187" s="116"/>
      <c r="AT4187" s="116"/>
      <c r="AU4187" s="116"/>
      <c r="AV4187" s="78"/>
      <c r="AW4187" s="102"/>
      <c r="AX4187" s="78"/>
      <c r="AY4187" s="78"/>
      <c r="AZ4187" s="78"/>
      <c r="BA4187" s="78"/>
      <c r="BB4187" s="78"/>
      <c r="BC4187" s="78"/>
      <c r="BD4187" s="78"/>
      <c r="BE4187" s="465"/>
      <c r="BF4187" s="165" t="str">
        <f t="shared" si="3151"/>
        <v>https://www.google.com/search?tbm=isch&amp;q=Asiatic%20jasmine%20forms%20a%20durable%2C%20evergreen%20carpet%20that%20can%20be%20invasive.%20Will%20climb%20if%20supported.%20Creamy%20Yellow%2C%20lightly%20fragrant%20blooms%20</v>
      </c>
      <c r="BG4187" s="165" t="str">
        <f t="shared" si="3152"/>
        <v>A</v>
      </c>
      <c r="BH4187" s="65"/>
      <c r="BI4187" s="65"/>
      <c r="BJ4187" s="65"/>
      <c r="BK4187" s="65"/>
      <c r="BL4187" s="99"/>
      <c r="BM4187" s="99"/>
      <c r="BN4187" s="99"/>
    </row>
    <row r="4188" spans="1:66" s="51" customFormat="1" ht="18" x14ac:dyDescent="0.25">
      <c r="A4188" s="507" t="s">
        <v>4389</v>
      </c>
      <c r="B4188" s="470"/>
      <c r="C4188" s="706"/>
      <c r="D4188" s="471" t="s">
        <v>5846</v>
      </c>
      <c r="E4188" s="472"/>
      <c r="F4188" s="472"/>
      <c r="G4188" s="472"/>
      <c r="H4188" s="622" t="s">
        <v>3426</v>
      </c>
      <c r="I4188" s="473" t="s">
        <v>4390</v>
      </c>
      <c r="J4188" s="472"/>
      <c r="K4188" s="472"/>
      <c r="L4188" s="561"/>
      <c r="M4188" s="698" t="s">
        <v>5246</v>
      </c>
      <c r="N4188" s="692" t="str">
        <f>IF(AND(ISTEXT($A4188), ISERROR($A4188+0)), HYPERLINK($BF4188, "Images"), "")</f>
        <v>Images</v>
      </c>
      <c r="O4188" s="694" t="s">
        <v>5247</v>
      </c>
      <c r="P4188" s="475"/>
      <c r="Q4188" s="476"/>
      <c r="R4188" s="476"/>
      <c r="S4188" s="477"/>
      <c r="T4188" s="102">
        <f t="shared" si="3140"/>
        <v>0</v>
      </c>
      <c r="U4188" s="78" t="str">
        <f>IF(NOT(ISNUMBER(G4188)), "", VLOOKUP(A4188,'Discount Lookup'!D:E,2,FALSE)*G4188)</f>
        <v/>
      </c>
      <c r="V4188" s="78" t="str">
        <f>IF(NOT(ISNUMBER(G4188)), "", VLOOKUP(A4188,'Discount Lookup'!G:H,2,FALSE)*G4188)</f>
        <v/>
      </c>
      <c r="W4188" s="102">
        <f t="shared" si="3141"/>
        <v>0</v>
      </c>
      <c r="X4188" s="102" t="str">
        <f t="shared" si="3142"/>
        <v>Green &amp; White variegation</v>
      </c>
      <c r="Y4188" s="120" t="b">
        <f t="shared" si="3143"/>
        <v>0</v>
      </c>
      <c r="Z4188" s="117">
        <f t="shared" si="3144"/>
        <v>0</v>
      </c>
      <c r="AA4188" s="118"/>
      <c r="AB4188" s="118" t="str">
        <f t="shared" si="3145"/>
        <v/>
      </c>
      <c r="AC4188" s="712" t="str">
        <f>IF(AE4188="T2G","no charge",IF(AND(OR(PlanterYesMe="No",PlanterYesMe="N",PlanterYesMe="me"),H4188=""),"",IF(H4188="credit","NO install",IF(AND(K4188="",AE4188="me"),"EACH row",IF(AND(K4188="images",AE4188="me"),"EACH row",IF(D4188="","",IF(H4188="credit","",IF(AE4188="free","re-planting",IF(AE4188="me","   not ELP, by",IF(AND(OR(PlanterYesMe="Yes",PlanterYesMe="Y"),G4188&gt;0),(VLOOKUP(A4188,'Discount Lookup'!J:K,2)*G4188*(1-PlanterDiscount)*(1+PlanterDifficultyPercentage)),IF(AE4188="ELP",(VLOOKUP(A4188,'Discount Lookup'!J:K,2)*G4188*(1-PlanterDiscount)*(1+PlanterDifficultyPercentage)),IF(AE4188="free","re-planting",IF(G4188=0,"",IF(PlanterYesMe="",IF(AE4188="me","   not ELP, by",IF(AE4188="",IF(G4188&gt;0,(VLOOKUP(A4188,'Discount Lookup'!J:K,2)*G4188*(1-PlanterDiscount)*(1+PlanterDifficultyPercentage)),""),"")),"   not ELP, by"))))))))))))))</f>
        <v/>
      </c>
      <c r="AD4188" s="712"/>
      <c r="AE4188" s="513" t="str">
        <f t="shared" si="3146"/>
        <v/>
      </c>
      <c r="AF4188" s="713" t="str">
        <f t="shared" si="3147"/>
        <v/>
      </c>
      <c r="AG4188" s="713"/>
      <c r="AH4188" s="713"/>
      <c r="AI4188" s="112">
        <f>IF(H4188="credit",0,IF(AE4188="free",0,IF(AE4188="me",0,IF(G4188&gt;0,(VLOOKUP(A4188,'Discount Lookup'!J:K,2)*G4188),0))))</f>
        <v>0</v>
      </c>
      <c r="AJ4188" s="107" t="str">
        <f t="shared" ca="1" si="3148"/>
        <v/>
      </c>
      <c r="AK4188" s="714" t="str">
        <f t="shared" si="3149"/>
        <v/>
      </c>
      <c r="AL4188" s="714"/>
      <c r="AM4188" s="114" t="str">
        <f t="shared" si="3150"/>
        <v/>
      </c>
      <c r="AN4188" s="115"/>
      <c r="AO4188" s="116"/>
      <c r="AP4188" s="116"/>
      <c r="AQ4188" s="116"/>
      <c r="AR4188" s="116"/>
      <c r="AS4188" s="116"/>
      <c r="AT4188" s="116"/>
      <c r="AU4188" s="116"/>
      <c r="AV4188" s="78"/>
      <c r="AW4188" s="102"/>
      <c r="AX4188" s="78"/>
      <c r="AY4188" s="78"/>
      <c r="AZ4188" s="78"/>
      <c r="BA4188" s="78"/>
      <c r="BB4188" s="78"/>
      <c r="BC4188" s="78"/>
      <c r="BD4188" s="78"/>
      <c r="BE4188" s="465"/>
      <c r="BF4188" s="165" t="str">
        <f t="shared" si="3151"/>
        <v>https://www.google.com/search?tbm=isch&amp;q=Trachelospermum%20asiaticum%20%27HOSNS%27%20Snow-N-Summer%E2%84%A2%20Asiatic%20Jasmine%20Vine</v>
      </c>
      <c r="BG4188" s="165" t="str">
        <f t="shared" si="3152"/>
        <v>T</v>
      </c>
      <c r="BH4188" s="65"/>
      <c r="BI4188" s="65"/>
      <c r="BJ4188" s="65"/>
      <c r="BK4188" s="65"/>
      <c r="BL4188" s="99"/>
      <c r="BM4188" s="99"/>
      <c r="BN4188" s="99"/>
    </row>
    <row r="4189" spans="1:66" s="51" customFormat="1" ht="15.75" x14ac:dyDescent="0.25">
      <c r="A4189" s="478">
        <v>1</v>
      </c>
      <c r="B4189" s="479" t="s">
        <v>291</v>
      </c>
      <c r="C4189" s="480" t="s">
        <v>5029</v>
      </c>
      <c r="D4189" s="481" t="s">
        <v>293</v>
      </c>
      <c r="E4189" s="482">
        <v>13.95</v>
      </c>
      <c r="F4189" s="483" t="s">
        <v>292</v>
      </c>
      <c r="G4189" s="484">
        <v>0</v>
      </c>
      <c r="H4189" s="688" t="str">
        <f>IF(G4189=0,"",IF(F4189="Buy",IF(G4189=1,"plant","plants"),IF(F4189&gt;0.01,"warranty","Error")))</f>
        <v/>
      </c>
      <c r="I4189" s="485">
        <f>IF(H4189="free",0,IF(H4189="credit",((E4189*(F4189))*G4189*-1),IF(F4189="Buy",(E4189*G4189),((E4189*(1-F4189))*G4189))))</f>
        <v>0</v>
      </c>
      <c r="J4189" s="485">
        <f>IF(H4189="warranty",0,(I4189*(_xlfn.SINGLE(SalesTaxPercentage))))</f>
        <v>0</v>
      </c>
      <c r="K4189" s="715">
        <f t="shared" ref="K4189" si="3156">I4189+J4189</f>
        <v>0</v>
      </c>
      <c r="L4189" s="715"/>
      <c r="M4189" s="689" t="str">
        <f ca="1">IF(AND(G4189&gt;0,E4189=0),"WARNING - no PRICE inserted",IF(H4189="free","FREE ~ no charge this plant",IF(H4189="credit",CONCATENATE("-$",ROUND(K4189*(1-_xlfn.SINGLE(T2GDiscount))*-1,2)," CREDIT after discount"),IF(_xlfn.SINGLE(T2GDiscount)=0,"",IF(G4189=0,"",IF(F4189="Buy",CONCATENATE("$",ROUND(K4189*(1-_xlfn.SINGLE(T2GDiscount)),2)," with ",(_xlfn.SINGLE(T2GDiscount)*100),"% discount"),CONCATENATE("$",ROUND(K4189*(1-_xlfn.SINGLE(T2GDiscount)),2)," with ",((_xlfn.SINGLE(T2GDiscount)*100+F4189*100)-(_xlfn.SINGLE(T2GDiscount)*100*F4189)),IF(F4189&gt;0,"% discounts",IF(_xlfn.SINGLE(NoWarrantyDiscount)&gt;0,"% discounts","% discount")))))))))</f>
        <v/>
      </c>
      <c r="N4189" s="690"/>
      <c r="O4189" s="486"/>
      <c r="P4189" s="486"/>
      <c r="Q4189" s="486"/>
      <c r="R4189" s="486"/>
      <c r="S4189" s="486"/>
      <c r="T4189" s="102">
        <f t="shared" si="3140"/>
        <v>0</v>
      </c>
      <c r="U4189" s="78">
        <f>IF(NOT(ISNUMBER(G4189)), "", VLOOKUP(A4189,'Discount Lookup'!D:E,2,FALSE)*G4189)</f>
        <v>0</v>
      </c>
      <c r="V4189" s="78">
        <f>IF(NOT(ISNUMBER(G4189)), "", VLOOKUP(A4189,'Discount Lookup'!G:H,2,FALSE)*G4189)</f>
        <v>0</v>
      </c>
      <c r="W4189" s="102">
        <f t="shared" si="3141"/>
        <v>0</v>
      </c>
      <c r="X4189" s="102">
        <f t="shared" si="3142"/>
        <v>0</v>
      </c>
      <c r="Y4189" s="120" t="b">
        <f t="shared" si="3143"/>
        <v>0</v>
      </c>
      <c r="Z4189" s="117">
        <f t="shared" si="3144"/>
        <v>0</v>
      </c>
      <c r="AA4189" s="118"/>
      <c r="AB4189" s="118" t="str">
        <f t="shared" si="3145"/>
        <v/>
      </c>
      <c r="AC4189" s="712" t="str">
        <f>IF(AE4189="T2G","no charge",IF(AND(OR(PlanterYesMe="No",PlanterYesMe="N",PlanterYesMe="me"),H4189=""),"",IF(H4189="credit","NO install",IF(AND(K4189="",AE4189="me"),"EACH row",IF(AND(K4189="images",AE4189="me"),"EACH row",IF(D4189="","",IF(H4189="credit","",IF(AE4189="free","re-planting",IF(AE4189="me","   not ELP, by",IF(AND(OR(PlanterYesMe="Yes",PlanterYesMe="Y"),G4189&gt;0),(VLOOKUP(A4189,'Discount Lookup'!J:K,2)*G4189*(1-PlanterDiscount)*(1+PlanterDifficultyPercentage)),IF(AE4189="ELP",(VLOOKUP(A4189,'Discount Lookup'!J:K,2)*G4189*(1-PlanterDiscount)*(1+PlanterDifficultyPercentage)),IF(AE4189="free","re-planting",IF(G4189=0,"",IF(PlanterYesMe="",IF(AE4189="me","   not ELP, by",IF(AE4189="",IF(G4189&gt;0,(VLOOKUP(A4189,'Discount Lookup'!J:K,2)*G4189*(1-PlanterDiscount)*(1+PlanterDifficultyPercentage)),""),"")),"   not ELP, by"))))))))))))))</f>
        <v/>
      </c>
      <c r="AD4189" s="712"/>
      <c r="AE4189" s="513" t="str">
        <f t="shared" si="3146"/>
        <v/>
      </c>
      <c r="AF4189" s="713" t="str">
        <f t="shared" si="3147"/>
        <v/>
      </c>
      <c r="AG4189" s="713"/>
      <c r="AH4189" s="713"/>
      <c r="AI4189" s="112">
        <f>IF(H4189="credit",0,IF(AE4189="free",0,IF(AE4189="me",0,IF(G4189&gt;0,(VLOOKUP(A4189,'Discount Lookup'!J:K,2)*G4189),0))))</f>
        <v>0</v>
      </c>
      <c r="AJ4189" s="107" t="str">
        <f t="shared" ca="1" si="3148"/>
        <v/>
      </c>
      <c r="AK4189" s="714" t="str">
        <f t="shared" si="3149"/>
        <v/>
      </c>
      <c r="AL4189" s="714"/>
      <c r="AM4189" s="114" t="str">
        <f t="shared" si="3150"/>
        <v/>
      </c>
      <c r="AN4189" s="115"/>
      <c r="AO4189" s="116"/>
      <c r="AP4189" s="116"/>
      <c r="AQ4189" s="116"/>
      <c r="AR4189" s="116"/>
      <c r="AS4189" s="116"/>
      <c r="AT4189" s="116"/>
      <c r="AU4189" s="116"/>
      <c r="AV4189" s="78"/>
      <c r="AW4189" s="102"/>
      <c r="AX4189" s="78"/>
      <c r="AY4189" s="78"/>
      <c r="AZ4189" s="78"/>
      <c r="BA4189" s="78"/>
      <c r="BB4189" s="78"/>
      <c r="BC4189" s="78"/>
      <c r="BD4189" s="78"/>
      <c r="BE4189" s="465"/>
      <c r="BF4189" s="165" t="str">
        <f t="shared" si="3151"/>
        <v>https://www.google.com/search?tbm=isch&amp;q=1%20G6</v>
      </c>
      <c r="BG4189" s="165" t="str">
        <f t="shared" si="3152"/>
        <v>T</v>
      </c>
      <c r="BH4189" s="65"/>
      <c r="BI4189" s="65"/>
      <c r="BJ4189" s="65"/>
      <c r="BK4189" s="65"/>
      <c r="BL4189" s="99"/>
      <c r="BM4189" s="99"/>
      <c r="BN4189" s="99"/>
    </row>
    <row r="4190" spans="1:66" s="51" customFormat="1" ht="15.75" x14ac:dyDescent="0.25">
      <c r="A4190" s="478">
        <v>3</v>
      </c>
      <c r="B4190" s="479" t="s">
        <v>291</v>
      </c>
      <c r="C4190" s="480" t="s">
        <v>5029</v>
      </c>
      <c r="D4190" s="481" t="s">
        <v>293</v>
      </c>
      <c r="E4190" s="482">
        <v>20.95</v>
      </c>
      <c r="F4190" s="483" t="s">
        <v>292</v>
      </c>
      <c r="G4190" s="484">
        <v>0</v>
      </c>
      <c r="H4190" s="688" t="str">
        <f>IF(G4190=0,"",IF(F4190="Buy",IF(G4190=1,"plant","plants"),IF(F4190&gt;0.01,"warranty","Error")))</f>
        <v/>
      </c>
      <c r="I4190" s="485">
        <f>IF(H4190="free",0,IF(H4190="credit",((E4190*(F4190))*G4190*-1),IF(F4190="Buy",(E4190*G4190),((E4190*(1-F4190))*G4190))))</f>
        <v>0</v>
      </c>
      <c r="J4190" s="485">
        <f>IF(H4190="warranty",0,(I4190*(_xlfn.SINGLE(SalesTaxPercentage))))</f>
        <v>0</v>
      </c>
      <c r="K4190" s="715">
        <f t="shared" ref="K4190" si="3157">I4190+J4190</f>
        <v>0</v>
      </c>
      <c r="L4190" s="715"/>
      <c r="M4190" s="689" t="str">
        <f ca="1">IF(AND(G4190&gt;0,E4190=0),"WARNING - no PRICE inserted",IF(H4190="free","FREE ~ no charge this plant",IF(H4190="credit",CONCATENATE("-$",ROUND(K4190*(1-_xlfn.SINGLE(T2GDiscount))*-1,2)," CREDIT after discount"),IF(_xlfn.SINGLE(T2GDiscount)=0,"",IF(G4190=0,"",IF(F4190="Buy",CONCATENATE("$",ROUND(K4190*(1-_xlfn.SINGLE(T2GDiscount)),2)," with ",(_xlfn.SINGLE(T2GDiscount)*100),"% discount"),CONCATENATE("$",ROUND(K4190*(1-_xlfn.SINGLE(T2GDiscount)),2)," with ",((_xlfn.SINGLE(T2GDiscount)*100+F4190*100)-(_xlfn.SINGLE(T2GDiscount)*100*F4190)),IF(F4190&gt;0,"% discounts",IF(_xlfn.SINGLE(NoWarrantyDiscount)&gt;0,"% discounts","% discount")))))))))</f>
        <v/>
      </c>
      <c r="N4190" s="690"/>
      <c r="O4190" s="486"/>
      <c r="P4190" s="486"/>
      <c r="Q4190" s="486"/>
      <c r="R4190" s="486"/>
      <c r="S4190" s="486"/>
      <c r="T4190" s="102">
        <f t="shared" si="3140"/>
        <v>0</v>
      </c>
      <c r="U4190" s="78">
        <f>IF(NOT(ISNUMBER(G4190)), "", VLOOKUP(A4190,'Discount Lookup'!D:E,2,FALSE)*G4190)</f>
        <v>0</v>
      </c>
      <c r="V4190" s="78">
        <f>IF(NOT(ISNUMBER(G4190)), "", VLOOKUP(A4190,'Discount Lookup'!G:H,2,FALSE)*G4190)</f>
        <v>0</v>
      </c>
      <c r="W4190" s="102">
        <f t="shared" si="3141"/>
        <v>0</v>
      </c>
      <c r="X4190" s="102">
        <f t="shared" si="3142"/>
        <v>0</v>
      </c>
      <c r="Y4190" s="120" t="b">
        <f t="shared" si="3143"/>
        <v>0</v>
      </c>
      <c r="Z4190" s="117">
        <f t="shared" si="3144"/>
        <v>0</v>
      </c>
      <c r="AA4190" s="118"/>
      <c r="AB4190" s="118" t="str">
        <f t="shared" si="3145"/>
        <v/>
      </c>
      <c r="AC4190" s="712" t="str">
        <f>IF(AE4190="T2G","no charge",IF(AND(OR(PlanterYesMe="No",PlanterYesMe="N",PlanterYesMe="me"),H4190=""),"",IF(H4190="credit","NO install",IF(AND(K4190="",AE4190="me"),"EACH row",IF(AND(K4190="images",AE4190="me"),"EACH row",IF(D4190="","",IF(H4190="credit","",IF(AE4190="free","re-planting",IF(AE4190="me","   not ELP, by",IF(AND(OR(PlanterYesMe="Yes",PlanterYesMe="Y"),G4190&gt;0),(VLOOKUP(A4190,'Discount Lookup'!J:K,2)*G4190*(1-PlanterDiscount)*(1+PlanterDifficultyPercentage)),IF(AE4190="ELP",(VLOOKUP(A4190,'Discount Lookup'!J:K,2)*G4190*(1-PlanterDiscount)*(1+PlanterDifficultyPercentage)),IF(AE4190="free","re-planting",IF(G4190=0,"",IF(PlanterYesMe="",IF(AE4190="me","   not ELP, by",IF(AE4190="",IF(G4190&gt;0,(VLOOKUP(A4190,'Discount Lookup'!J:K,2)*G4190*(1-PlanterDiscount)*(1+PlanterDifficultyPercentage)),""),"")),"   not ELP, by"))))))))))))))</f>
        <v/>
      </c>
      <c r="AD4190" s="712"/>
      <c r="AE4190" s="513" t="str">
        <f t="shared" si="3146"/>
        <v/>
      </c>
      <c r="AF4190" s="713" t="str">
        <f t="shared" si="3147"/>
        <v/>
      </c>
      <c r="AG4190" s="713"/>
      <c r="AH4190" s="713"/>
      <c r="AI4190" s="112">
        <f>IF(H4190="credit",0,IF(AE4190="free",0,IF(AE4190="me",0,IF(G4190&gt;0,(VLOOKUP(A4190,'Discount Lookup'!J:K,2)*G4190),0))))</f>
        <v>0</v>
      </c>
      <c r="AJ4190" s="107" t="str">
        <f t="shared" ca="1" si="3148"/>
        <v/>
      </c>
      <c r="AK4190" s="714" t="str">
        <f t="shared" si="3149"/>
        <v/>
      </c>
      <c r="AL4190" s="714"/>
      <c r="AM4190" s="114" t="str">
        <f t="shared" si="3150"/>
        <v/>
      </c>
      <c r="AN4190" s="115"/>
      <c r="AO4190" s="116"/>
      <c r="AP4190" s="116"/>
      <c r="AQ4190" s="116"/>
      <c r="AR4190" s="116"/>
      <c r="AS4190" s="116"/>
      <c r="AT4190" s="116"/>
      <c r="AU4190" s="116"/>
      <c r="AV4190" s="78"/>
      <c r="AW4190" s="102"/>
      <c r="AX4190" s="78"/>
      <c r="AY4190" s="78"/>
      <c r="AZ4190" s="78"/>
      <c r="BA4190" s="78"/>
      <c r="BB4190" s="78"/>
      <c r="BC4190" s="78"/>
      <c r="BD4190" s="78"/>
      <c r="BE4190" s="465"/>
      <c r="BF4190" s="165" t="str">
        <f t="shared" si="3151"/>
        <v>https://www.google.com/search?tbm=isch&amp;q=3%20G6</v>
      </c>
      <c r="BG4190" s="165" t="str">
        <f t="shared" si="3152"/>
        <v>T</v>
      </c>
      <c r="BH4190" s="65"/>
      <c r="BI4190" s="65"/>
      <c r="BJ4190" s="65"/>
      <c r="BK4190" s="65"/>
      <c r="BL4190" s="99"/>
      <c r="BM4190" s="99"/>
      <c r="BN4190" s="99"/>
    </row>
    <row r="4191" spans="1:66" s="51" customFormat="1" ht="17.25" thickBot="1" x14ac:dyDescent="0.3">
      <c r="A4191" s="508" t="s">
        <v>4391</v>
      </c>
      <c r="B4191" s="487"/>
      <c r="C4191" s="707"/>
      <c r="D4191" s="487"/>
      <c r="E4191" s="487"/>
      <c r="F4191" s="488"/>
      <c r="G4191" s="489"/>
      <c r="H4191" s="487"/>
      <c r="I4191" s="490"/>
      <c r="J4191" s="490"/>
      <c r="K4191" s="491"/>
      <c r="L4191" s="547"/>
      <c r="M4191" s="528"/>
      <c r="N4191" s="492"/>
      <c r="O4191" s="493"/>
      <c r="P4191" s="494"/>
      <c r="Q4191" s="492"/>
      <c r="R4191" s="492"/>
      <c r="S4191" s="699" t="s">
        <v>5268</v>
      </c>
      <c r="T4191" s="102">
        <f t="shared" si="3140"/>
        <v>0</v>
      </c>
      <c r="U4191" s="78" t="str">
        <f>IF(NOT(ISNUMBER(G4191)), "", VLOOKUP(A4191,'Discount Lookup'!D:E,2,FALSE)*G4191)</f>
        <v/>
      </c>
      <c r="V4191" s="78" t="str">
        <f>IF(NOT(ISNUMBER(G4191)), "", VLOOKUP(A4191,'Discount Lookup'!G:H,2,FALSE)*G4191)</f>
        <v/>
      </c>
      <c r="W4191" s="102">
        <f t="shared" si="3141"/>
        <v>0</v>
      </c>
      <c r="X4191" s="102">
        <f t="shared" si="3142"/>
        <v>0</v>
      </c>
      <c r="Y4191" s="120" t="b">
        <f t="shared" si="3143"/>
        <v>0</v>
      </c>
      <c r="Z4191" s="117">
        <f t="shared" si="3144"/>
        <v>0</v>
      </c>
      <c r="AA4191" s="118"/>
      <c r="AB4191" s="118" t="str">
        <f t="shared" si="3145"/>
        <v/>
      </c>
      <c r="AC4191" s="712" t="str">
        <f>IF(AE4191="T2G","no charge",IF(AND(OR(PlanterYesMe="No",PlanterYesMe="N",PlanterYesMe="me"),H4191=""),"",IF(H4191="credit","NO install",IF(AND(K4191="",AE4191="me"),"EACH row",IF(AND(K4191="images",AE4191="me"),"EACH row",IF(D4191="","",IF(H4191="credit","",IF(AE4191="free","re-planting",IF(AE4191="me","   not ELP, by",IF(AND(OR(PlanterYesMe="Yes",PlanterYesMe="Y"),G4191&gt;0),(VLOOKUP(A4191,'Discount Lookup'!J:K,2)*G4191*(1-PlanterDiscount)*(1+PlanterDifficultyPercentage)),IF(AE4191="ELP",(VLOOKUP(A4191,'Discount Lookup'!J:K,2)*G4191*(1-PlanterDiscount)*(1+PlanterDifficultyPercentage)),IF(AE4191="free","re-planting",IF(G4191=0,"",IF(PlanterYesMe="",IF(AE4191="me","   not ELP, by",IF(AE4191="",IF(G4191&gt;0,(VLOOKUP(A4191,'Discount Lookup'!J:K,2)*G4191*(1-PlanterDiscount)*(1+PlanterDifficultyPercentage)),""),"")),"   not ELP, by"))))))))))))))</f>
        <v/>
      </c>
      <c r="AD4191" s="712"/>
      <c r="AE4191" s="513" t="str">
        <f t="shared" si="3146"/>
        <v/>
      </c>
      <c r="AF4191" s="713" t="str">
        <f t="shared" si="3147"/>
        <v/>
      </c>
      <c r="AG4191" s="713"/>
      <c r="AH4191" s="713"/>
      <c r="AI4191" s="112">
        <f>IF(H4191="credit",0,IF(AE4191="free",0,IF(AE4191="me",0,IF(G4191&gt;0,(VLOOKUP(A4191,'Discount Lookup'!J:K,2)*G4191),0))))</f>
        <v>0</v>
      </c>
      <c r="AJ4191" s="107" t="str">
        <f t="shared" ca="1" si="3148"/>
        <v/>
      </c>
      <c r="AK4191" s="714" t="str">
        <f t="shared" si="3149"/>
        <v/>
      </c>
      <c r="AL4191" s="714"/>
      <c r="AM4191" s="114" t="str">
        <f t="shared" si="3150"/>
        <v/>
      </c>
      <c r="AN4191" s="115"/>
      <c r="AO4191" s="116"/>
      <c r="AP4191" s="116"/>
      <c r="AQ4191" s="116"/>
      <c r="AR4191" s="116"/>
      <c r="AS4191" s="116"/>
      <c r="AT4191" s="116"/>
      <c r="AU4191" s="116"/>
      <c r="AV4191" s="78"/>
      <c r="AW4191" s="102"/>
      <c r="AX4191" s="78"/>
      <c r="AY4191" s="78"/>
      <c r="AZ4191" s="78"/>
      <c r="BA4191" s="78"/>
      <c r="BB4191" s="78"/>
      <c r="BC4191" s="78"/>
      <c r="BD4191" s="78"/>
      <c r="BE4191" s="465"/>
      <c r="BF4191" s="165" t="str">
        <f t="shared" si="3151"/>
        <v>https://www.google.com/search?tbm=isch&amp;q=Snow-N-Summer%20known%20for%20it%27s%20tricolor%20foliage%2C%20emerging%20White%2C%20then%20variegated.%20Can%20be%20invasive.%20Can%20be%20trained%20to%20climb%20up%20a%20trellis%20</v>
      </c>
      <c r="BG4191" s="165" t="str">
        <f t="shared" si="3152"/>
        <v>S</v>
      </c>
      <c r="BH4191" s="65"/>
      <c r="BI4191" s="65"/>
      <c r="BJ4191" s="65"/>
      <c r="BK4191" s="65"/>
      <c r="BL4191" s="99"/>
      <c r="BM4191" s="99"/>
      <c r="BN4191" s="99"/>
    </row>
    <row r="4192" spans="1:66" s="51" customFormat="1" ht="18" x14ac:dyDescent="0.25">
      <c r="A4192" s="507" t="s">
        <v>4392</v>
      </c>
      <c r="B4192" s="470"/>
      <c r="C4192" s="706"/>
      <c r="D4192" s="471" t="s">
        <v>4393</v>
      </c>
      <c r="E4192" s="472"/>
      <c r="F4192" s="472"/>
      <c r="G4192" s="472"/>
      <c r="H4192" s="622" t="s">
        <v>3094</v>
      </c>
      <c r="I4192" s="473" t="s">
        <v>4394</v>
      </c>
      <c r="J4192" s="472"/>
      <c r="K4192" s="472"/>
      <c r="L4192" s="561"/>
      <c r="M4192" s="698" t="s">
        <v>5246</v>
      </c>
      <c r="N4192" s="692" t="str">
        <f>IF(AND(ISTEXT($A4192), ISERROR($A4192+0)), HYPERLINK($BF4192, "Images"), "")</f>
        <v>Images</v>
      </c>
      <c r="O4192" s="694" t="s">
        <v>5247</v>
      </c>
      <c r="P4192" s="475"/>
      <c r="Q4192" s="476"/>
      <c r="R4192" s="476"/>
      <c r="S4192" s="477"/>
      <c r="T4192" s="102">
        <f t="shared" si="3140"/>
        <v>0</v>
      </c>
      <c r="U4192" s="78" t="str">
        <f>IF(NOT(ISNUMBER(G4192)), "", VLOOKUP(A4192,'Discount Lookup'!D:E,2,FALSE)*G4192)</f>
        <v/>
      </c>
      <c r="V4192" s="78" t="str">
        <f>IF(NOT(ISNUMBER(G4192)), "", VLOOKUP(A4192,'Discount Lookup'!G:H,2,FALSE)*G4192)</f>
        <v/>
      </c>
      <c r="W4192" s="102">
        <f t="shared" si="3141"/>
        <v>0</v>
      </c>
      <c r="X4192" s="102" t="str">
        <f t="shared" si="3142"/>
        <v>Multicolor foliage</v>
      </c>
      <c r="Y4192" s="120" t="b">
        <f t="shared" si="3143"/>
        <v>0</v>
      </c>
      <c r="Z4192" s="117">
        <f t="shared" si="3144"/>
        <v>0</v>
      </c>
      <c r="AA4192" s="118"/>
      <c r="AB4192" s="118" t="str">
        <f t="shared" si="3145"/>
        <v/>
      </c>
      <c r="AC4192" s="712" t="str">
        <f>IF(AE4192="T2G","no charge",IF(AND(OR(PlanterYesMe="No",PlanterYesMe="N",PlanterYesMe="me"),H4192=""),"",IF(H4192="credit","NO install",IF(AND(K4192="",AE4192="me"),"EACH row",IF(AND(K4192="images",AE4192="me"),"EACH row",IF(D4192="","",IF(H4192="credit","",IF(AE4192="free","re-planting",IF(AE4192="me","   not ELP, by",IF(AND(OR(PlanterYesMe="Yes",PlanterYesMe="Y"),G4192&gt;0),(VLOOKUP(A4192,'Discount Lookup'!J:K,2)*G4192*(1-PlanterDiscount)*(1+PlanterDifficultyPercentage)),IF(AE4192="ELP",(VLOOKUP(A4192,'Discount Lookup'!J:K,2)*G4192*(1-PlanterDiscount)*(1+PlanterDifficultyPercentage)),IF(AE4192="free","re-planting",IF(G4192=0,"",IF(PlanterYesMe="",IF(AE4192="me","   not ELP, by",IF(AE4192="",IF(G4192&gt;0,(VLOOKUP(A4192,'Discount Lookup'!J:K,2)*G4192*(1-PlanterDiscount)*(1+PlanterDifficultyPercentage)),""),"")),"   not ELP, by"))))))))))))))</f>
        <v/>
      </c>
      <c r="AD4192" s="712"/>
      <c r="AE4192" s="513" t="str">
        <f t="shared" si="3146"/>
        <v/>
      </c>
      <c r="AF4192" s="713" t="str">
        <f t="shared" si="3147"/>
        <v/>
      </c>
      <c r="AG4192" s="713"/>
      <c r="AH4192" s="713"/>
      <c r="AI4192" s="112">
        <f>IF(H4192="credit",0,IF(AE4192="free",0,IF(AE4192="me",0,IF(G4192&gt;0,(VLOOKUP(A4192,'Discount Lookup'!J:K,2)*G4192),0))))</f>
        <v>0</v>
      </c>
      <c r="AJ4192" s="107" t="str">
        <f t="shared" ca="1" si="3148"/>
        <v/>
      </c>
      <c r="AK4192" s="714" t="str">
        <f t="shared" si="3149"/>
        <v/>
      </c>
      <c r="AL4192" s="714"/>
      <c r="AM4192" s="114" t="str">
        <f t="shared" si="3150"/>
        <v/>
      </c>
      <c r="AN4192" s="115"/>
      <c r="AO4192" s="116"/>
      <c r="AP4192" s="116"/>
      <c r="AQ4192" s="116"/>
      <c r="AR4192" s="116"/>
      <c r="AS4192" s="116"/>
      <c r="AT4192" s="116"/>
      <c r="AU4192" s="116"/>
      <c r="AV4192" s="78"/>
      <c r="AW4192" s="102"/>
      <c r="AX4192" s="78"/>
      <c r="AY4192" s="78"/>
      <c r="AZ4192" s="78"/>
      <c r="BA4192" s="78"/>
      <c r="BB4192" s="78"/>
      <c r="BC4192" s="78"/>
      <c r="BD4192" s="78"/>
      <c r="BE4192" s="465"/>
      <c r="BF4192" s="165" t="str">
        <f t="shared" si="3151"/>
        <v>https://www.google.com/search?tbm=isch&amp;q=Trachelospermum%20asiaticum%20%27Summer%20Sunset%27%20Summer%20Sunset%20Asiatic%20Jasmine%20Vine</v>
      </c>
      <c r="BG4192" s="165" t="str">
        <f t="shared" si="3152"/>
        <v>T</v>
      </c>
      <c r="BH4192" s="65"/>
      <c r="BI4192" s="65"/>
      <c r="BJ4192" s="65"/>
      <c r="BK4192" s="65"/>
      <c r="BL4192" s="99"/>
      <c r="BM4192" s="99"/>
      <c r="BN4192" s="99"/>
    </row>
    <row r="4193" spans="1:66" s="51" customFormat="1" ht="15.75" x14ac:dyDescent="0.25">
      <c r="A4193" s="478">
        <v>1</v>
      </c>
      <c r="B4193" s="479" t="s">
        <v>291</v>
      </c>
      <c r="C4193" s="480"/>
      <c r="D4193" s="481" t="s">
        <v>329</v>
      </c>
      <c r="E4193" s="482">
        <v>13.95</v>
      </c>
      <c r="F4193" s="483" t="s">
        <v>292</v>
      </c>
      <c r="G4193" s="484">
        <v>0</v>
      </c>
      <c r="H4193" s="688" t="str">
        <f>IF(G4193=0,"",IF(F4193="Buy",IF(G4193=1,"plant","plants"),IF(F4193&gt;0.01,"warranty","Error")))</f>
        <v/>
      </c>
      <c r="I4193" s="485">
        <f>IF(H4193="free",0,IF(H4193="credit",((E4193*(F4193))*G4193*-1),IF(F4193="Buy",(E4193*G4193),((E4193*(1-F4193))*G4193))))</f>
        <v>0</v>
      </c>
      <c r="J4193" s="485">
        <f>IF(H4193="warranty",0,(I4193*(_xlfn.SINGLE(SalesTaxPercentage))))</f>
        <v>0</v>
      </c>
      <c r="K4193" s="715">
        <f t="shared" ref="K4193" si="3158">I4193+J4193</f>
        <v>0</v>
      </c>
      <c r="L4193" s="715"/>
      <c r="M4193" s="689" t="str">
        <f ca="1">IF(AND(G4193&gt;0,E4193=0),"WARNING - no PRICE inserted",IF(H4193="free","FREE ~ no charge this plant",IF(H4193="credit",CONCATENATE("-$",ROUND(K4193*(1-_xlfn.SINGLE(T2GDiscount))*-1,2)," CREDIT after discount"),IF(_xlfn.SINGLE(T2GDiscount)=0,"",IF(G4193=0,"",IF(F4193="Buy",CONCATENATE("$",ROUND(K4193*(1-_xlfn.SINGLE(T2GDiscount)),2)," with ",(_xlfn.SINGLE(T2GDiscount)*100),"% discount"),CONCATENATE("$",ROUND(K4193*(1-_xlfn.SINGLE(T2GDiscount)),2)," with ",((_xlfn.SINGLE(T2GDiscount)*100+F4193*100)-(_xlfn.SINGLE(T2GDiscount)*100*F4193)),IF(F4193&gt;0,"% discounts",IF(_xlfn.SINGLE(NoWarrantyDiscount)&gt;0,"% discounts","% discount")))))))))</f>
        <v/>
      </c>
      <c r="N4193" s="690"/>
      <c r="O4193" s="486"/>
      <c r="P4193" s="486"/>
      <c r="Q4193" s="486"/>
      <c r="R4193" s="486"/>
      <c r="S4193" s="486"/>
      <c r="T4193" s="102">
        <f t="shared" si="3140"/>
        <v>0</v>
      </c>
      <c r="U4193" s="78">
        <f>IF(NOT(ISNUMBER(G4193)), "", VLOOKUP(A4193,'Discount Lookup'!D:E,2,FALSE)*G4193)</f>
        <v>0</v>
      </c>
      <c r="V4193" s="78">
        <f>IF(NOT(ISNUMBER(G4193)), "", VLOOKUP(A4193,'Discount Lookup'!G:H,2,FALSE)*G4193)</f>
        <v>0</v>
      </c>
      <c r="W4193" s="102">
        <f t="shared" si="3141"/>
        <v>0</v>
      </c>
      <c r="X4193" s="102">
        <f t="shared" si="3142"/>
        <v>0</v>
      </c>
      <c r="Y4193" s="120" t="b">
        <f t="shared" si="3143"/>
        <v>0</v>
      </c>
      <c r="Z4193" s="117">
        <f t="shared" si="3144"/>
        <v>0</v>
      </c>
      <c r="AA4193" s="118"/>
      <c r="AB4193" s="118" t="str">
        <f t="shared" si="3145"/>
        <v/>
      </c>
      <c r="AC4193" s="712" t="str">
        <f>IF(AE4193="T2G","no charge",IF(AND(OR(PlanterYesMe="No",PlanterYesMe="N",PlanterYesMe="me"),H4193=""),"",IF(H4193="credit","NO install",IF(AND(K4193="",AE4193="me"),"EACH row",IF(AND(K4193="images",AE4193="me"),"EACH row",IF(D4193="","",IF(H4193="credit","",IF(AE4193="free","re-planting",IF(AE4193="me","   not ELP, by",IF(AND(OR(PlanterYesMe="Yes",PlanterYesMe="Y"),G4193&gt;0),(VLOOKUP(A4193,'Discount Lookup'!J:K,2)*G4193*(1-PlanterDiscount)*(1+PlanterDifficultyPercentage)),IF(AE4193="ELP",(VLOOKUP(A4193,'Discount Lookup'!J:K,2)*G4193*(1-PlanterDiscount)*(1+PlanterDifficultyPercentage)),IF(AE4193="free","re-planting",IF(G4193=0,"",IF(PlanterYesMe="",IF(AE4193="me","   not ELP, by",IF(AE4193="",IF(G4193&gt;0,(VLOOKUP(A4193,'Discount Lookup'!J:K,2)*G4193*(1-PlanterDiscount)*(1+PlanterDifficultyPercentage)),""),"")),"   not ELP, by"))))))))))))))</f>
        <v/>
      </c>
      <c r="AD4193" s="712"/>
      <c r="AE4193" s="513" t="str">
        <f t="shared" si="3146"/>
        <v/>
      </c>
      <c r="AF4193" s="713" t="str">
        <f t="shared" si="3147"/>
        <v/>
      </c>
      <c r="AG4193" s="713"/>
      <c r="AH4193" s="713"/>
      <c r="AI4193" s="112">
        <f>IF(H4193="credit",0,IF(AE4193="free",0,IF(AE4193="me",0,IF(G4193&gt;0,(VLOOKUP(A4193,'Discount Lookup'!J:K,2)*G4193),0))))</f>
        <v>0</v>
      </c>
      <c r="AJ4193" s="107" t="str">
        <f t="shared" ca="1" si="3148"/>
        <v/>
      </c>
      <c r="AK4193" s="714" t="str">
        <f t="shared" si="3149"/>
        <v/>
      </c>
      <c r="AL4193" s="714"/>
      <c r="AM4193" s="114" t="str">
        <f t="shared" si="3150"/>
        <v/>
      </c>
      <c r="AN4193" s="115"/>
      <c r="AO4193" s="116"/>
      <c r="AP4193" s="116"/>
      <c r="AQ4193" s="116"/>
      <c r="AR4193" s="116"/>
      <c r="AS4193" s="116"/>
      <c r="AT4193" s="116"/>
      <c r="AU4193" s="116"/>
      <c r="AV4193" s="78"/>
      <c r="AW4193" s="102"/>
      <c r="AX4193" s="78"/>
      <c r="AY4193" s="78"/>
      <c r="AZ4193" s="78"/>
      <c r="BA4193" s="78"/>
      <c r="BB4193" s="78"/>
      <c r="BC4193" s="78"/>
      <c r="BD4193" s="78"/>
      <c r="BE4193" s="465"/>
      <c r="BF4193" s="165" t="str">
        <f t="shared" si="3151"/>
        <v>https://www.google.com/search?tbm=isch&amp;q=1%20G2</v>
      </c>
      <c r="BG4193" s="165" t="str">
        <f t="shared" si="3152"/>
        <v>T</v>
      </c>
      <c r="BH4193" s="65"/>
      <c r="BI4193" s="65"/>
      <c r="BJ4193" s="65"/>
      <c r="BK4193" s="65"/>
      <c r="BL4193" s="99"/>
      <c r="BM4193" s="99"/>
      <c r="BN4193" s="99"/>
    </row>
    <row r="4194" spans="1:66" s="51" customFormat="1" ht="16.5" thickBot="1" x14ac:dyDescent="0.3">
      <c r="A4194" s="508" t="s">
        <v>5238</v>
      </c>
      <c r="B4194" s="487"/>
      <c r="C4194" s="707"/>
      <c r="D4194" s="487"/>
      <c r="E4194" s="487"/>
      <c r="F4194" s="488"/>
      <c r="G4194" s="489"/>
      <c r="H4194" s="487"/>
      <c r="I4194" s="490"/>
      <c r="J4194" s="490"/>
      <c r="K4194" s="491"/>
      <c r="L4194" s="547"/>
      <c r="M4194" s="528"/>
      <c r="N4194" s="492"/>
      <c r="O4194" s="493"/>
      <c r="P4194" s="494"/>
      <c r="Q4194" s="492"/>
      <c r="R4194" s="492"/>
      <c r="S4194" s="495"/>
      <c r="T4194" s="102">
        <f t="shared" si="3140"/>
        <v>0</v>
      </c>
      <c r="U4194" s="78" t="str">
        <f>IF(NOT(ISNUMBER(G4194)), "", VLOOKUP(A4194,'Discount Lookup'!D:E,2,FALSE)*G4194)</f>
        <v/>
      </c>
      <c r="V4194" s="78" t="str">
        <f>IF(NOT(ISNUMBER(G4194)), "", VLOOKUP(A4194,'Discount Lookup'!G:H,2,FALSE)*G4194)</f>
        <v/>
      </c>
      <c r="W4194" s="102">
        <f t="shared" si="3141"/>
        <v>0</v>
      </c>
      <c r="X4194" s="102">
        <f t="shared" si="3142"/>
        <v>0</v>
      </c>
      <c r="Y4194" s="120" t="b">
        <f t="shared" si="3143"/>
        <v>0</v>
      </c>
      <c r="Z4194" s="117">
        <f t="shared" si="3144"/>
        <v>0</v>
      </c>
      <c r="AA4194" s="118"/>
      <c r="AB4194" s="118" t="str">
        <f t="shared" si="3145"/>
        <v/>
      </c>
      <c r="AC4194" s="712" t="str">
        <f>IF(AE4194="T2G","no charge",IF(AND(OR(PlanterYesMe="No",PlanterYesMe="N",PlanterYesMe="me"),H4194=""),"",IF(H4194="credit","NO install",IF(AND(K4194="",AE4194="me"),"EACH row",IF(AND(K4194="images",AE4194="me"),"EACH row",IF(D4194="","",IF(H4194="credit","",IF(AE4194="free","re-planting",IF(AE4194="me","   not ELP, by",IF(AND(OR(PlanterYesMe="Yes",PlanterYesMe="Y"),G4194&gt;0),(VLOOKUP(A4194,'Discount Lookup'!J:K,2)*G4194*(1-PlanterDiscount)*(1+PlanterDifficultyPercentage)),IF(AE4194="ELP",(VLOOKUP(A4194,'Discount Lookup'!J:K,2)*G4194*(1-PlanterDiscount)*(1+PlanterDifficultyPercentage)),IF(AE4194="free","re-planting",IF(G4194=0,"",IF(PlanterYesMe="",IF(AE4194="me","   not ELP, by",IF(AE4194="",IF(G4194&gt;0,(VLOOKUP(A4194,'Discount Lookup'!J:K,2)*G4194*(1-PlanterDiscount)*(1+PlanterDifficultyPercentage)),""),"")),"   not ELP, by"))))))))))))))</f>
        <v/>
      </c>
      <c r="AD4194" s="712"/>
      <c r="AE4194" s="513" t="str">
        <f t="shared" si="3146"/>
        <v/>
      </c>
      <c r="AF4194" s="713" t="str">
        <f t="shared" si="3147"/>
        <v/>
      </c>
      <c r="AG4194" s="713"/>
      <c r="AH4194" s="713"/>
      <c r="AI4194" s="112">
        <f>IF(H4194="credit",0,IF(AE4194="free",0,IF(AE4194="me",0,IF(G4194&gt;0,(VLOOKUP(A4194,'Discount Lookup'!J:K,2)*G4194),0))))</f>
        <v>0</v>
      </c>
      <c r="AJ4194" s="107" t="str">
        <f t="shared" ca="1" si="3148"/>
        <v/>
      </c>
      <c r="AK4194" s="714" t="str">
        <f t="shared" si="3149"/>
        <v/>
      </c>
      <c r="AL4194" s="714"/>
      <c r="AM4194" s="114" t="str">
        <f t="shared" si="3150"/>
        <v/>
      </c>
      <c r="AN4194" s="115"/>
      <c r="AO4194" s="116"/>
      <c r="AP4194" s="116"/>
      <c r="AQ4194" s="116"/>
      <c r="AR4194" s="116"/>
      <c r="AS4194" s="116"/>
      <c r="AT4194" s="116"/>
      <c r="AU4194" s="116"/>
      <c r="AV4194" s="78"/>
      <c r="AW4194" s="102"/>
      <c r="AX4194" s="78"/>
      <c r="AY4194" s="78"/>
      <c r="AZ4194" s="78"/>
      <c r="BA4194" s="78"/>
      <c r="BB4194" s="78"/>
      <c r="BC4194" s="78"/>
      <c r="BD4194" s="78"/>
      <c r="BE4194" s="465"/>
      <c r="BF4194" s="165" t="str">
        <f t="shared" si="3151"/>
        <v>https://www.google.com/search?tbm=isch&amp;q=Summer%20Sunset%20paints%20beds%20with%20Orange-to-Gold%20variegation%20that%20settles%20to%20Glossy%20Green%2C%20forming%20a%20fragrant%2C%20durable%20evergreen%20carpet.%20Will%20climb%20with%20support%20</v>
      </c>
      <c r="BG4194" s="165" t="str">
        <f t="shared" si="3152"/>
        <v>S</v>
      </c>
      <c r="BH4194" s="65"/>
      <c r="BI4194" s="65"/>
      <c r="BJ4194" s="65"/>
      <c r="BK4194" s="65"/>
      <c r="BL4194" s="99"/>
      <c r="BM4194" s="99"/>
      <c r="BN4194" s="99"/>
    </row>
    <row r="4195" spans="1:66" s="51" customFormat="1" ht="18" x14ac:dyDescent="0.25">
      <c r="A4195" s="507" t="s">
        <v>4395</v>
      </c>
      <c r="B4195" s="470"/>
      <c r="C4195" s="706"/>
      <c r="D4195" s="471" t="s">
        <v>4396</v>
      </c>
      <c r="E4195" s="472"/>
      <c r="F4195" s="472"/>
      <c r="G4195" s="472"/>
      <c r="H4195" s="622" t="s">
        <v>4397</v>
      </c>
      <c r="I4195" s="473" t="s">
        <v>431</v>
      </c>
      <c r="J4195" s="472"/>
      <c r="K4195" s="472"/>
      <c r="L4195" s="561"/>
      <c r="M4195" s="698" t="s">
        <v>5243</v>
      </c>
      <c r="N4195" s="692" t="str">
        <f>IF(AND(ISTEXT($A4195), ISERROR($A4195+0)), HYPERLINK($BF4195, "Images"), "")</f>
        <v>Images</v>
      </c>
      <c r="O4195" s="694" t="s">
        <v>5247</v>
      </c>
      <c r="P4195" s="475"/>
      <c r="Q4195" s="476"/>
      <c r="R4195" s="476"/>
      <c r="S4195" s="477"/>
      <c r="T4195" s="102">
        <f t="shared" si="3140"/>
        <v>0</v>
      </c>
      <c r="U4195" s="78" t="str">
        <f>IF(NOT(ISNUMBER(G4195)), "", VLOOKUP(A4195,'Discount Lookup'!D:E,2,FALSE)*G4195)</f>
        <v/>
      </c>
      <c r="V4195" s="78" t="str">
        <f>IF(NOT(ISNUMBER(G4195)), "", VLOOKUP(A4195,'Discount Lookup'!G:H,2,FALSE)*G4195)</f>
        <v/>
      </c>
      <c r="W4195" s="102">
        <f t="shared" si="3141"/>
        <v>0</v>
      </c>
      <c r="X4195" s="102" t="str">
        <f t="shared" si="3142"/>
        <v>Dark Green foliage</v>
      </c>
      <c r="Y4195" s="120" t="b">
        <f t="shared" si="3143"/>
        <v>0</v>
      </c>
      <c r="Z4195" s="117">
        <f t="shared" si="3144"/>
        <v>0</v>
      </c>
      <c r="AA4195" s="118"/>
      <c r="AB4195" s="118" t="str">
        <f t="shared" si="3145"/>
        <v/>
      </c>
      <c r="AC4195" s="712" t="str">
        <f>IF(AE4195="T2G","no charge",IF(AND(OR(PlanterYesMe="No",PlanterYesMe="N",PlanterYesMe="me"),H4195=""),"",IF(H4195="credit","NO install",IF(AND(K4195="",AE4195="me"),"EACH row",IF(AND(K4195="images",AE4195="me"),"EACH row",IF(D4195="","",IF(H4195="credit","",IF(AE4195="free","re-planting",IF(AE4195="me","   not ELP, by",IF(AND(OR(PlanterYesMe="Yes",PlanterYesMe="Y"),G4195&gt;0),(VLOOKUP(A4195,'Discount Lookup'!J:K,2)*G4195*(1-PlanterDiscount)*(1+PlanterDifficultyPercentage)),IF(AE4195="ELP",(VLOOKUP(A4195,'Discount Lookup'!J:K,2)*G4195*(1-PlanterDiscount)*(1+PlanterDifficultyPercentage)),IF(AE4195="free","re-planting",IF(G4195=0,"",IF(PlanterYesMe="",IF(AE4195="me","   not ELP, by",IF(AE4195="",IF(G4195&gt;0,(VLOOKUP(A4195,'Discount Lookup'!J:K,2)*G4195*(1-PlanterDiscount)*(1+PlanterDifficultyPercentage)),""),"")),"   not ELP, by"))))))))))))))</f>
        <v/>
      </c>
      <c r="AD4195" s="712"/>
      <c r="AE4195" s="513" t="str">
        <f t="shared" si="3146"/>
        <v/>
      </c>
      <c r="AF4195" s="713" t="str">
        <f t="shared" si="3147"/>
        <v/>
      </c>
      <c r="AG4195" s="713"/>
      <c r="AH4195" s="713"/>
      <c r="AI4195" s="112">
        <f>IF(H4195="credit",0,IF(AE4195="free",0,IF(AE4195="me",0,IF(G4195&gt;0,(VLOOKUP(A4195,'Discount Lookup'!J:K,2)*G4195),0))))</f>
        <v>0</v>
      </c>
      <c r="AJ4195" s="107" t="str">
        <f t="shared" ca="1" si="3148"/>
        <v/>
      </c>
      <c r="AK4195" s="714" t="str">
        <f t="shared" si="3149"/>
        <v/>
      </c>
      <c r="AL4195" s="714"/>
      <c r="AM4195" s="114" t="str">
        <f t="shared" si="3150"/>
        <v/>
      </c>
      <c r="AN4195" s="115"/>
      <c r="AO4195" s="116"/>
      <c r="AP4195" s="116"/>
      <c r="AQ4195" s="116"/>
      <c r="AR4195" s="116"/>
      <c r="AS4195" s="116"/>
      <c r="AT4195" s="116"/>
      <c r="AU4195" s="116"/>
      <c r="AV4195" s="78"/>
      <c r="AW4195" s="102"/>
      <c r="AX4195" s="78"/>
      <c r="AY4195" s="78"/>
      <c r="AZ4195" s="78"/>
      <c r="BA4195" s="78"/>
      <c r="BB4195" s="78"/>
      <c r="BC4195" s="78"/>
      <c r="BD4195" s="78"/>
      <c r="BE4195" s="465"/>
      <c r="BF4195" s="165" t="str">
        <f t="shared" si="3151"/>
        <v>https://www.google.com/search?tbm=isch&amp;q=Trachelospermum%20jasminoides%20Confederate%20Jasmine%20Vine</v>
      </c>
      <c r="BG4195" s="165" t="str">
        <f t="shared" si="3152"/>
        <v>T</v>
      </c>
      <c r="BH4195" s="65"/>
      <c r="BI4195" s="65"/>
      <c r="BJ4195" s="65"/>
      <c r="BK4195" s="65"/>
      <c r="BL4195" s="99"/>
      <c r="BM4195" s="99"/>
      <c r="BN4195" s="99"/>
    </row>
    <row r="4196" spans="1:66" s="51" customFormat="1" ht="15.75" x14ac:dyDescent="0.25">
      <c r="A4196" s="478">
        <v>3</v>
      </c>
      <c r="B4196" s="479" t="s">
        <v>291</v>
      </c>
      <c r="C4196" s="480"/>
      <c r="D4196" s="481" t="s">
        <v>310</v>
      </c>
      <c r="E4196" s="482">
        <v>30.95</v>
      </c>
      <c r="F4196" s="483" t="s">
        <v>292</v>
      </c>
      <c r="G4196" s="484">
        <v>0</v>
      </c>
      <c r="H4196" s="688" t="str">
        <f>IF(G4196=0,"",IF(F4196="Buy",IF(G4196=1,"plant","plants"),IF(F4196&gt;0.01,"warranty","Error")))</f>
        <v/>
      </c>
      <c r="I4196" s="485">
        <f>IF(H4196="free",0,IF(H4196="credit",((E4196*(F4196))*G4196*-1),IF(F4196="Buy",(E4196*G4196),((E4196*(1-F4196))*G4196))))</f>
        <v>0</v>
      </c>
      <c r="J4196" s="485">
        <f>IF(H4196="warranty",0,(I4196*(_xlfn.SINGLE(SalesTaxPercentage))))</f>
        <v>0</v>
      </c>
      <c r="K4196" s="715">
        <f t="shared" ref="K4196" si="3159">I4196+J4196</f>
        <v>0</v>
      </c>
      <c r="L4196" s="715"/>
      <c r="M4196" s="689" t="str">
        <f ca="1">IF(AND(G4196&gt;0,E4196=0),"WARNING - no PRICE inserted",IF(H4196="free","FREE ~ no charge this plant",IF(H4196="credit",CONCATENATE("-$",ROUND(K4196*(1-_xlfn.SINGLE(T2GDiscount))*-1,2)," CREDIT after discount"),IF(_xlfn.SINGLE(T2GDiscount)=0,"",IF(G4196=0,"",IF(F4196="Buy",CONCATENATE("$",ROUND(K4196*(1-_xlfn.SINGLE(T2GDiscount)),2)," with ",(_xlfn.SINGLE(T2GDiscount)*100),"% discount"),CONCATENATE("$",ROUND(K4196*(1-_xlfn.SINGLE(T2GDiscount)),2)," with ",((_xlfn.SINGLE(T2GDiscount)*100+F4196*100)-(_xlfn.SINGLE(T2GDiscount)*100*F4196)),IF(F4196&gt;0,"% discounts",IF(_xlfn.SINGLE(NoWarrantyDiscount)&gt;0,"% discounts","% discount")))))))))</f>
        <v/>
      </c>
      <c r="N4196" s="690"/>
      <c r="O4196" s="486"/>
      <c r="P4196" s="486"/>
      <c r="Q4196" s="486"/>
      <c r="R4196" s="486"/>
      <c r="S4196" s="486"/>
      <c r="T4196" s="102">
        <f t="shared" si="3140"/>
        <v>0</v>
      </c>
      <c r="U4196" s="78">
        <f>IF(NOT(ISNUMBER(G4196)), "", VLOOKUP(A4196,'Discount Lookup'!D:E,2,FALSE)*G4196)</f>
        <v>0</v>
      </c>
      <c r="V4196" s="78">
        <f>IF(NOT(ISNUMBER(G4196)), "", VLOOKUP(A4196,'Discount Lookup'!G:H,2,FALSE)*G4196)</f>
        <v>0</v>
      </c>
      <c r="W4196" s="102">
        <f t="shared" si="3141"/>
        <v>0</v>
      </c>
      <c r="X4196" s="102">
        <f t="shared" si="3142"/>
        <v>0</v>
      </c>
      <c r="Y4196" s="120" t="b">
        <f t="shared" si="3143"/>
        <v>0</v>
      </c>
      <c r="Z4196" s="117">
        <f t="shared" si="3144"/>
        <v>0</v>
      </c>
      <c r="AA4196" s="118"/>
      <c r="AB4196" s="118" t="str">
        <f t="shared" si="3145"/>
        <v/>
      </c>
      <c r="AC4196" s="712" t="str">
        <f>IF(AE4196="T2G","no charge",IF(AND(OR(PlanterYesMe="No",PlanterYesMe="N",PlanterYesMe="me"),H4196=""),"",IF(H4196="credit","NO install",IF(AND(K4196="",AE4196="me"),"EACH row",IF(AND(K4196="images",AE4196="me"),"EACH row",IF(D4196="","",IF(H4196="credit","",IF(AE4196="free","re-planting",IF(AE4196="me","   not ELP, by",IF(AND(OR(PlanterYesMe="Yes",PlanterYesMe="Y"),G4196&gt;0),(VLOOKUP(A4196,'Discount Lookup'!J:K,2)*G4196*(1-PlanterDiscount)*(1+PlanterDifficultyPercentage)),IF(AE4196="ELP",(VLOOKUP(A4196,'Discount Lookup'!J:K,2)*G4196*(1-PlanterDiscount)*(1+PlanterDifficultyPercentage)),IF(AE4196="free","re-planting",IF(G4196=0,"",IF(PlanterYesMe="",IF(AE4196="me","   not ELP, by",IF(AE4196="",IF(G4196&gt;0,(VLOOKUP(A4196,'Discount Lookup'!J:K,2)*G4196*(1-PlanterDiscount)*(1+PlanterDifficultyPercentage)),""),"")),"   not ELP, by"))))))))))))))</f>
        <v/>
      </c>
      <c r="AD4196" s="712"/>
      <c r="AE4196" s="513" t="str">
        <f t="shared" si="3146"/>
        <v/>
      </c>
      <c r="AF4196" s="713" t="str">
        <f t="shared" si="3147"/>
        <v/>
      </c>
      <c r="AG4196" s="713"/>
      <c r="AH4196" s="713"/>
      <c r="AI4196" s="112">
        <f>IF(H4196="credit",0,IF(AE4196="free",0,IF(AE4196="me",0,IF(G4196&gt;0,(VLOOKUP(A4196,'Discount Lookup'!J:K,2)*G4196),0))))</f>
        <v>0</v>
      </c>
      <c r="AJ4196" s="107" t="str">
        <f t="shared" ca="1" si="3148"/>
        <v/>
      </c>
      <c r="AK4196" s="714" t="str">
        <f t="shared" si="3149"/>
        <v/>
      </c>
      <c r="AL4196" s="714"/>
      <c r="AM4196" s="114" t="str">
        <f t="shared" si="3150"/>
        <v/>
      </c>
      <c r="AN4196" s="115"/>
      <c r="AO4196" s="116"/>
      <c r="AP4196" s="116"/>
      <c r="AQ4196" s="116"/>
      <c r="AR4196" s="116"/>
      <c r="AS4196" s="116"/>
      <c r="AT4196" s="116"/>
      <c r="AU4196" s="116"/>
      <c r="AV4196" s="78"/>
      <c r="AW4196" s="102"/>
      <c r="AX4196" s="78"/>
      <c r="AY4196" s="78"/>
      <c r="AZ4196" s="78"/>
      <c r="BA4196" s="78"/>
      <c r="BB4196" s="78"/>
      <c r="BC4196" s="78"/>
      <c r="BD4196" s="78"/>
      <c r="BE4196" s="465"/>
      <c r="BF4196" s="165" t="str">
        <f t="shared" si="3151"/>
        <v>https://www.google.com/search?tbm=isch&amp;q=3%20G1</v>
      </c>
      <c r="BG4196" s="165" t="str">
        <f t="shared" si="3152"/>
        <v>T</v>
      </c>
      <c r="BH4196" s="65"/>
      <c r="BI4196" s="65"/>
      <c r="BJ4196" s="65"/>
      <c r="BK4196" s="65"/>
      <c r="BL4196" s="99"/>
      <c r="BM4196" s="99"/>
      <c r="BN4196" s="99"/>
    </row>
    <row r="4197" spans="1:66" s="51" customFormat="1" ht="15.75" x14ac:dyDescent="0.25">
      <c r="A4197" s="478">
        <v>3</v>
      </c>
      <c r="B4197" s="479" t="s">
        <v>291</v>
      </c>
      <c r="C4197" s="480"/>
      <c r="D4197" s="481" t="s">
        <v>329</v>
      </c>
      <c r="E4197" s="482">
        <v>31.95</v>
      </c>
      <c r="F4197" s="483" t="s">
        <v>292</v>
      </c>
      <c r="G4197" s="484">
        <v>0</v>
      </c>
      <c r="H4197" s="688" t="str">
        <f>IF(G4197=0,"",IF(F4197="Buy",IF(G4197=1,"plant","plants"),IF(F4197&gt;0.01,"warranty","Error")))</f>
        <v/>
      </c>
      <c r="I4197" s="485">
        <f>IF(H4197="free",0,IF(H4197="credit",((E4197*(F4197))*G4197*-1),IF(F4197="Buy",(E4197*G4197),((E4197*(1-F4197))*G4197))))</f>
        <v>0</v>
      </c>
      <c r="J4197" s="485">
        <f>IF(H4197="warranty",0,(I4197*(_xlfn.SINGLE(SalesTaxPercentage))))</f>
        <v>0</v>
      </c>
      <c r="K4197" s="715">
        <f t="shared" ref="K4197" si="3160">I4197+J4197</f>
        <v>0</v>
      </c>
      <c r="L4197" s="715"/>
      <c r="M4197" s="689" t="str">
        <f ca="1">IF(AND(G4197&gt;0,E4197=0),"WARNING - no PRICE inserted",IF(H4197="free","FREE ~ no charge this plant",IF(H4197="credit",CONCATENATE("-$",ROUND(K4197*(1-_xlfn.SINGLE(T2GDiscount))*-1,2)," CREDIT after discount"),IF(_xlfn.SINGLE(T2GDiscount)=0,"",IF(G4197=0,"",IF(F4197="Buy",CONCATENATE("$",ROUND(K4197*(1-_xlfn.SINGLE(T2GDiscount)),2)," with ",(_xlfn.SINGLE(T2GDiscount)*100),"% discount"),CONCATENATE("$",ROUND(K4197*(1-_xlfn.SINGLE(T2GDiscount)),2)," with ",((_xlfn.SINGLE(T2GDiscount)*100+F4197*100)-(_xlfn.SINGLE(T2GDiscount)*100*F4197)),IF(F4197&gt;0,"% discounts",IF(_xlfn.SINGLE(NoWarrantyDiscount)&gt;0,"% discounts","% discount")))))))))</f>
        <v/>
      </c>
      <c r="N4197" s="690"/>
      <c r="O4197" s="486"/>
      <c r="P4197" s="486"/>
      <c r="Q4197" s="486"/>
      <c r="R4197" s="486"/>
      <c r="S4197" s="486"/>
      <c r="T4197" s="102">
        <f t="shared" si="3140"/>
        <v>0</v>
      </c>
      <c r="U4197" s="78">
        <f>IF(NOT(ISNUMBER(G4197)), "", VLOOKUP(A4197,'Discount Lookup'!D:E,2,FALSE)*G4197)</f>
        <v>0</v>
      </c>
      <c r="V4197" s="78">
        <f>IF(NOT(ISNUMBER(G4197)), "", VLOOKUP(A4197,'Discount Lookup'!G:H,2,FALSE)*G4197)</f>
        <v>0</v>
      </c>
      <c r="W4197" s="102">
        <f t="shared" si="3141"/>
        <v>0</v>
      </c>
      <c r="X4197" s="102">
        <f t="shared" si="3142"/>
        <v>0</v>
      </c>
      <c r="Y4197" s="120" t="b">
        <f t="shared" si="3143"/>
        <v>0</v>
      </c>
      <c r="Z4197" s="117">
        <f t="shared" si="3144"/>
        <v>0</v>
      </c>
      <c r="AA4197" s="118"/>
      <c r="AB4197" s="118" t="str">
        <f t="shared" si="3145"/>
        <v/>
      </c>
      <c r="AC4197" s="712" t="str">
        <f>IF(AE4197="T2G","no charge",IF(AND(OR(PlanterYesMe="No",PlanterYesMe="N",PlanterYesMe="me"),H4197=""),"",IF(H4197="credit","NO install",IF(AND(K4197="",AE4197="me"),"EACH row",IF(AND(K4197="images",AE4197="me"),"EACH row",IF(D4197="","",IF(H4197="credit","",IF(AE4197="free","re-planting",IF(AE4197="me","   not ELP, by",IF(AND(OR(PlanterYesMe="Yes",PlanterYesMe="Y"),G4197&gt;0),(VLOOKUP(A4197,'Discount Lookup'!J:K,2)*G4197*(1-PlanterDiscount)*(1+PlanterDifficultyPercentage)),IF(AE4197="ELP",(VLOOKUP(A4197,'Discount Lookup'!J:K,2)*G4197*(1-PlanterDiscount)*(1+PlanterDifficultyPercentage)),IF(AE4197="free","re-planting",IF(G4197=0,"",IF(PlanterYesMe="",IF(AE4197="me","   not ELP, by",IF(AE4197="",IF(G4197&gt;0,(VLOOKUP(A4197,'Discount Lookup'!J:K,2)*G4197*(1-PlanterDiscount)*(1+PlanterDifficultyPercentage)),""),"")),"   not ELP, by"))))))))))))))</f>
        <v/>
      </c>
      <c r="AD4197" s="712"/>
      <c r="AE4197" s="513" t="str">
        <f t="shared" si="3146"/>
        <v/>
      </c>
      <c r="AF4197" s="713" t="str">
        <f t="shared" si="3147"/>
        <v/>
      </c>
      <c r="AG4197" s="713"/>
      <c r="AH4197" s="713"/>
      <c r="AI4197" s="112">
        <f>IF(H4197="credit",0,IF(AE4197="free",0,IF(AE4197="me",0,IF(G4197&gt;0,(VLOOKUP(A4197,'Discount Lookup'!J:K,2)*G4197),0))))</f>
        <v>0</v>
      </c>
      <c r="AJ4197" s="107" t="str">
        <f t="shared" ca="1" si="3148"/>
        <v/>
      </c>
      <c r="AK4197" s="714" t="str">
        <f t="shared" si="3149"/>
        <v/>
      </c>
      <c r="AL4197" s="714"/>
      <c r="AM4197" s="114" t="str">
        <f t="shared" si="3150"/>
        <v/>
      </c>
      <c r="AN4197" s="115"/>
      <c r="AO4197" s="116"/>
      <c r="AP4197" s="116"/>
      <c r="AQ4197" s="116"/>
      <c r="AR4197" s="116"/>
      <c r="AS4197" s="116"/>
      <c r="AT4197" s="116"/>
      <c r="AU4197" s="116"/>
      <c r="AV4197" s="78"/>
      <c r="AW4197" s="102"/>
      <c r="AX4197" s="78"/>
      <c r="AY4197" s="78"/>
      <c r="AZ4197" s="78"/>
      <c r="BA4197" s="78"/>
      <c r="BB4197" s="78"/>
      <c r="BC4197" s="78"/>
      <c r="BD4197" s="78"/>
      <c r="BE4197" s="465"/>
      <c r="BF4197" s="165" t="str">
        <f t="shared" si="3151"/>
        <v>https://www.google.com/search?tbm=isch&amp;q=3%20G2</v>
      </c>
      <c r="BG4197" s="165" t="str">
        <f t="shared" si="3152"/>
        <v>T</v>
      </c>
      <c r="BH4197" s="65"/>
      <c r="BI4197" s="65"/>
      <c r="BJ4197" s="65"/>
      <c r="BK4197" s="65"/>
      <c r="BL4197" s="99"/>
      <c r="BM4197" s="99"/>
      <c r="BN4197" s="99"/>
    </row>
    <row r="4198" spans="1:66" s="51" customFormat="1" ht="15.75" x14ac:dyDescent="0.25">
      <c r="A4198" s="478">
        <v>3</v>
      </c>
      <c r="B4198" s="479" t="s">
        <v>291</v>
      </c>
      <c r="C4198" s="480" t="s">
        <v>4398</v>
      </c>
      <c r="D4198" s="481" t="s">
        <v>293</v>
      </c>
      <c r="E4198" s="482">
        <v>52.95</v>
      </c>
      <c r="F4198" s="483" t="s">
        <v>292</v>
      </c>
      <c r="G4198" s="484">
        <v>0</v>
      </c>
      <c r="H4198" s="688" t="str">
        <f>IF(G4198=0,"",IF(F4198="Buy",IF(G4198=1,"plant","plants"),IF(F4198&gt;0.01,"warranty","Error")))</f>
        <v/>
      </c>
      <c r="I4198" s="485">
        <f>IF(H4198="free",0,IF(H4198="credit",((E4198*(F4198))*G4198*-1),IF(F4198="Buy",(E4198*G4198),((E4198*(1-F4198))*G4198))))</f>
        <v>0</v>
      </c>
      <c r="J4198" s="485">
        <f>IF(H4198="warranty",0,(I4198*(_xlfn.SINGLE(SalesTaxPercentage))))</f>
        <v>0</v>
      </c>
      <c r="K4198" s="715">
        <f t="shared" ref="K4198" si="3161">I4198+J4198</f>
        <v>0</v>
      </c>
      <c r="L4198" s="715"/>
      <c r="M4198" s="689" t="str">
        <f ca="1">IF(AND(G4198&gt;0,E4198=0),"WARNING - no PRICE inserted",IF(H4198="free","FREE ~ no charge this plant",IF(H4198="credit",CONCATENATE("-$",ROUND(K4198*(1-_xlfn.SINGLE(T2GDiscount))*-1,2)," CREDIT after discount"),IF(_xlfn.SINGLE(T2GDiscount)=0,"",IF(G4198=0,"",IF(F4198="Buy",CONCATENATE("$",ROUND(K4198*(1-_xlfn.SINGLE(T2GDiscount)),2)," with ",(_xlfn.SINGLE(T2GDiscount)*100),"% discount"),CONCATENATE("$",ROUND(K4198*(1-_xlfn.SINGLE(T2GDiscount)),2)," with ",((_xlfn.SINGLE(T2GDiscount)*100+F4198*100)-(_xlfn.SINGLE(T2GDiscount)*100*F4198)),IF(F4198&gt;0,"% discounts",IF(_xlfn.SINGLE(NoWarrantyDiscount)&gt;0,"% discounts","% discount")))))))))</f>
        <v/>
      </c>
      <c r="N4198" s="690"/>
      <c r="O4198" s="486"/>
      <c r="P4198" s="486"/>
      <c r="Q4198" s="486"/>
      <c r="R4198" s="486"/>
      <c r="S4198" s="486"/>
      <c r="T4198" s="102">
        <f t="shared" si="3140"/>
        <v>0</v>
      </c>
      <c r="U4198" s="78">
        <f>IF(NOT(ISNUMBER(G4198)), "", VLOOKUP(A4198,'Discount Lookup'!D:E,2,FALSE)*G4198)</f>
        <v>0</v>
      </c>
      <c r="V4198" s="78">
        <f>IF(NOT(ISNUMBER(G4198)), "", VLOOKUP(A4198,'Discount Lookup'!G:H,2,FALSE)*G4198)</f>
        <v>0</v>
      </c>
      <c r="W4198" s="102">
        <f t="shared" si="3141"/>
        <v>0</v>
      </c>
      <c r="X4198" s="102">
        <f t="shared" si="3142"/>
        <v>0</v>
      </c>
      <c r="Y4198" s="120" t="b">
        <f t="shared" si="3143"/>
        <v>0</v>
      </c>
      <c r="Z4198" s="117">
        <f t="shared" si="3144"/>
        <v>0</v>
      </c>
      <c r="AA4198" s="118"/>
      <c r="AB4198" s="118" t="str">
        <f t="shared" si="3145"/>
        <v/>
      </c>
      <c r="AC4198" s="712" t="str">
        <f>IF(AE4198="T2G","no charge",IF(AND(OR(PlanterYesMe="No",PlanterYesMe="N",PlanterYesMe="me"),H4198=""),"",IF(H4198="credit","NO install",IF(AND(K4198="",AE4198="me"),"EACH row",IF(AND(K4198="images",AE4198="me"),"EACH row",IF(D4198="","",IF(H4198="credit","",IF(AE4198="free","re-planting",IF(AE4198="me","   not ELP, by",IF(AND(OR(PlanterYesMe="Yes",PlanterYesMe="Y"),G4198&gt;0),(VLOOKUP(A4198,'Discount Lookup'!J:K,2)*G4198*(1-PlanterDiscount)*(1+PlanterDifficultyPercentage)),IF(AE4198="ELP",(VLOOKUP(A4198,'Discount Lookup'!J:K,2)*G4198*(1-PlanterDiscount)*(1+PlanterDifficultyPercentage)),IF(AE4198="free","re-planting",IF(G4198=0,"",IF(PlanterYesMe="",IF(AE4198="me","   not ELP, by",IF(AE4198="",IF(G4198&gt;0,(VLOOKUP(A4198,'Discount Lookup'!J:K,2)*G4198*(1-PlanterDiscount)*(1+PlanterDifficultyPercentage)),""),"")),"   not ELP, by"))))))))))))))</f>
        <v/>
      </c>
      <c r="AD4198" s="712"/>
      <c r="AE4198" s="513" t="str">
        <f t="shared" si="3146"/>
        <v/>
      </c>
      <c r="AF4198" s="713" t="str">
        <f t="shared" si="3147"/>
        <v/>
      </c>
      <c r="AG4198" s="713"/>
      <c r="AH4198" s="713"/>
      <c r="AI4198" s="112">
        <f>IF(H4198="credit",0,IF(AE4198="free",0,IF(AE4198="me",0,IF(G4198&gt;0,(VLOOKUP(A4198,'Discount Lookup'!J:K,2)*G4198),0))))</f>
        <v>0</v>
      </c>
      <c r="AJ4198" s="107" t="str">
        <f t="shared" ca="1" si="3148"/>
        <v/>
      </c>
      <c r="AK4198" s="714" t="str">
        <f t="shared" si="3149"/>
        <v/>
      </c>
      <c r="AL4198" s="714"/>
      <c r="AM4198" s="114" t="str">
        <f t="shared" si="3150"/>
        <v/>
      </c>
      <c r="AN4198" s="115"/>
      <c r="AO4198" s="116"/>
      <c r="AP4198" s="116"/>
      <c r="AQ4198" s="116"/>
      <c r="AR4198" s="116"/>
      <c r="AS4198" s="116"/>
      <c r="AT4198" s="116"/>
      <c r="AU4198" s="116"/>
      <c r="AV4198" s="78"/>
      <c r="AW4198" s="102"/>
      <c r="AX4198" s="78"/>
      <c r="AY4198" s="78"/>
      <c r="AZ4198" s="78"/>
      <c r="BA4198" s="78"/>
      <c r="BB4198" s="78"/>
      <c r="BC4198" s="78"/>
      <c r="BD4198" s="78"/>
      <c r="BE4198" s="465"/>
      <c r="BF4198" s="165" t="str">
        <f t="shared" si="3151"/>
        <v>https://www.google.com/search?tbm=isch&amp;q=3%20G6</v>
      </c>
      <c r="BG4198" s="165" t="str">
        <f t="shared" si="3152"/>
        <v>T</v>
      </c>
      <c r="BH4198" s="65"/>
      <c r="BI4198" s="65"/>
      <c r="BJ4198" s="65"/>
      <c r="BK4198" s="65"/>
      <c r="BL4198" s="99"/>
      <c r="BM4198" s="99"/>
      <c r="BN4198" s="99"/>
    </row>
    <row r="4199" spans="1:66" s="51" customFormat="1" ht="15.75" x14ac:dyDescent="0.25">
      <c r="A4199" s="508" t="s">
        <v>4399</v>
      </c>
      <c r="B4199" s="487"/>
      <c r="C4199" s="707"/>
      <c r="D4199" s="487"/>
      <c r="E4199" s="487"/>
      <c r="F4199" s="488"/>
      <c r="G4199" s="489"/>
      <c r="H4199" s="487"/>
      <c r="I4199" s="490"/>
      <c r="J4199" s="490"/>
      <c r="K4199" s="491"/>
      <c r="L4199" s="547"/>
      <c r="M4199" s="528"/>
      <c r="N4199" s="492"/>
      <c r="O4199" s="493"/>
      <c r="P4199" s="494"/>
      <c r="Q4199" s="492"/>
      <c r="R4199" s="492"/>
      <c r="S4199" s="495"/>
      <c r="T4199" s="102">
        <f t="shared" si="3140"/>
        <v>0</v>
      </c>
      <c r="U4199" s="78" t="str">
        <f>IF(NOT(ISNUMBER(G4199)), "", VLOOKUP(A4199,'Discount Lookup'!D:E,2,FALSE)*G4199)</f>
        <v/>
      </c>
      <c r="V4199" s="78" t="str">
        <f>IF(NOT(ISNUMBER(G4199)), "", VLOOKUP(A4199,'Discount Lookup'!G:H,2,FALSE)*G4199)</f>
        <v/>
      </c>
      <c r="W4199" s="102">
        <f t="shared" si="3141"/>
        <v>0</v>
      </c>
      <c r="X4199" s="102">
        <f t="shared" si="3142"/>
        <v>0</v>
      </c>
      <c r="Y4199" s="120" t="b">
        <f t="shared" si="3143"/>
        <v>0</v>
      </c>
      <c r="Z4199" s="117">
        <f t="shared" si="3144"/>
        <v>0</v>
      </c>
      <c r="AA4199" s="118"/>
      <c r="AB4199" s="118" t="str">
        <f t="shared" si="3145"/>
        <v/>
      </c>
      <c r="AC4199" s="712" t="str">
        <f>IF(AE4199="T2G","no charge",IF(AND(OR(PlanterYesMe="No",PlanterYesMe="N",PlanterYesMe="me"),H4199=""),"",IF(H4199="credit","NO install",IF(AND(K4199="",AE4199="me"),"EACH row",IF(AND(K4199="images",AE4199="me"),"EACH row",IF(D4199="","",IF(H4199="credit","",IF(AE4199="free","re-planting",IF(AE4199="me","   not ELP, by",IF(AND(OR(PlanterYesMe="Yes",PlanterYesMe="Y"),G4199&gt;0),(VLOOKUP(A4199,'Discount Lookup'!J:K,2)*G4199*(1-PlanterDiscount)*(1+PlanterDifficultyPercentage)),IF(AE4199="ELP",(VLOOKUP(A4199,'Discount Lookup'!J:K,2)*G4199*(1-PlanterDiscount)*(1+PlanterDifficultyPercentage)),IF(AE4199="free","re-planting",IF(G4199=0,"",IF(PlanterYesMe="",IF(AE4199="me","   not ELP, by",IF(AE4199="",IF(G4199&gt;0,(VLOOKUP(A4199,'Discount Lookup'!J:K,2)*G4199*(1-PlanterDiscount)*(1+PlanterDifficultyPercentage)),""),"")),"   not ELP, by"))))))))))))))</f>
        <v/>
      </c>
      <c r="AD4199" s="712"/>
      <c r="AE4199" s="513" t="str">
        <f t="shared" si="3146"/>
        <v/>
      </c>
      <c r="AF4199" s="713" t="str">
        <f t="shared" si="3147"/>
        <v/>
      </c>
      <c r="AG4199" s="713"/>
      <c r="AH4199" s="713"/>
      <c r="AI4199" s="112">
        <f>IF(H4199="credit",0,IF(AE4199="free",0,IF(AE4199="me",0,IF(G4199&gt;0,(VLOOKUP(A4199,'Discount Lookup'!J:K,2)*G4199),0))))</f>
        <v>0</v>
      </c>
      <c r="AJ4199" s="107" t="str">
        <f t="shared" ca="1" si="3148"/>
        <v/>
      </c>
      <c r="AK4199" s="714" t="str">
        <f t="shared" si="3149"/>
        <v/>
      </c>
      <c r="AL4199" s="714"/>
      <c r="AM4199" s="114" t="str">
        <f t="shared" si="3150"/>
        <v/>
      </c>
      <c r="AN4199" s="115"/>
      <c r="AO4199" s="116"/>
      <c r="AP4199" s="116"/>
      <c r="AQ4199" s="116"/>
      <c r="AR4199" s="116"/>
      <c r="AS4199" s="116"/>
      <c r="AT4199" s="116"/>
      <c r="AU4199" s="116"/>
      <c r="AV4199" s="78"/>
      <c r="AW4199" s="102"/>
      <c r="AX4199" s="78"/>
      <c r="AY4199" s="78"/>
      <c r="AZ4199" s="78"/>
      <c r="BA4199" s="78"/>
      <c r="BB4199" s="78"/>
      <c r="BC4199" s="78"/>
      <c r="BD4199" s="78"/>
      <c r="BE4199" s="465"/>
      <c r="BF4199" s="165" t="str">
        <f t="shared" si="3151"/>
        <v>https://www.google.com/search?tbm=isch&amp;q=Confederate%20%28AKA%20%27Star%27%29%20Jasmine%20has%20shiny%20foliage%20that%20is%20attractive%20even%20after%20the%20fragrant%20Creamy%20White%20blooms%20pass.%20Will%20climb%20with%20support%20</v>
      </c>
      <c r="BG4199" s="165" t="str">
        <f t="shared" si="3152"/>
        <v>C</v>
      </c>
      <c r="BH4199" s="65"/>
      <c r="BI4199" s="65"/>
      <c r="BJ4199" s="65"/>
      <c r="BK4199" s="65"/>
      <c r="BL4199" s="99"/>
      <c r="BM4199" s="99"/>
      <c r="BN4199" s="99"/>
    </row>
    <row r="4200" spans="1:66" s="51" customFormat="1" ht="19.5" thickBot="1" x14ac:dyDescent="0.3">
      <c r="A4200" s="686" t="s">
        <v>804</v>
      </c>
      <c r="B4200" s="73"/>
      <c r="C4200" s="708"/>
      <c r="D4200" s="73"/>
      <c r="E4200" s="73"/>
      <c r="F4200" s="496"/>
      <c r="G4200" s="73"/>
      <c r="H4200" s="73"/>
      <c r="I4200" s="73"/>
      <c r="J4200" s="497" t="s">
        <v>357</v>
      </c>
      <c r="K4200" s="498"/>
      <c r="L4200" s="562"/>
      <c r="M4200" s="73"/>
      <c r="N4200"/>
      <c r="O4200"/>
      <c r="P4200"/>
      <c r="Q4200"/>
      <c r="R4200"/>
      <c r="S4200"/>
      <c r="T4200" s="102">
        <f t="shared" si="3140"/>
        <v>0</v>
      </c>
      <c r="U4200" s="78" t="str">
        <f>IF(NOT(ISNUMBER(G4200)), "", VLOOKUP(A4200,'Discount Lookup'!D:E,2,FALSE)*G4200)</f>
        <v/>
      </c>
      <c r="V4200" s="78" t="str">
        <f>IF(NOT(ISNUMBER(G4200)), "", VLOOKUP(A4200,'Discount Lookup'!G:H,2,FALSE)*G4200)</f>
        <v/>
      </c>
      <c r="W4200" s="102">
        <f t="shared" si="3141"/>
        <v>0</v>
      </c>
      <c r="X4200" s="102">
        <f t="shared" si="3142"/>
        <v>0</v>
      </c>
      <c r="Y4200" s="120" t="b">
        <f t="shared" si="3143"/>
        <v>0</v>
      </c>
      <c r="Z4200" s="117">
        <f t="shared" si="3144"/>
        <v>0</v>
      </c>
      <c r="AA4200" s="118"/>
      <c r="AB4200" s="118" t="str">
        <f t="shared" si="3145"/>
        <v/>
      </c>
      <c r="AC4200" s="712" t="str">
        <f>IF(AE4200="T2G","no charge",IF(AND(OR(PlanterYesMe="No",PlanterYesMe="N",PlanterYesMe="me"),H4200=""),"",IF(H4200="credit","NO install",IF(AND(K4200="",AE4200="me"),"EACH row",IF(AND(K4200="images",AE4200="me"),"EACH row",IF(D4200="","",IF(H4200="credit","",IF(AE4200="free","re-planting",IF(AE4200="me","   not ELP, by",IF(AND(OR(PlanterYesMe="Yes",PlanterYesMe="Y"),G4200&gt;0),(VLOOKUP(A4200,'Discount Lookup'!J:K,2)*G4200*(1-PlanterDiscount)*(1+PlanterDifficultyPercentage)),IF(AE4200="ELP",(VLOOKUP(A4200,'Discount Lookup'!J:K,2)*G4200*(1-PlanterDiscount)*(1+PlanterDifficultyPercentage)),IF(AE4200="free","re-planting",IF(G4200=0,"",IF(PlanterYesMe="",IF(AE4200="me","   not ELP, by",IF(AE4200="",IF(G4200&gt;0,(VLOOKUP(A4200,'Discount Lookup'!J:K,2)*G4200*(1-PlanterDiscount)*(1+PlanterDifficultyPercentage)),""),"")),"   not ELP, by"))))))))))))))</f>
        <v/>
      </c>
      <c r="AD4200" s="712"/>
      <c r="AE4200" s="513" t="str">
        <f t="shared" si="3146"/>
        <v/>
      </c>
      <c r="AF4200" s="713" t="str">
        <f t="shared" si="3147"/>
        <v/>
      </c>
      <c r="AG4200" s="713"/>
      <c r="AH4200" s="713"/>
      <c r="AI4200" s="112">
        <f>IF(H4200="credit",0,IF(AE4200="free",0,IF(AE4200="me",0,IF(G4200&gt;0,(VLOOKUP(A4200,'Discount Lookup'!J:K,2)*G4200),0))))</f>
        <v>0</v>
      </c>
      <c r="AJ4200" s="107" t="str">
        <f t="shared" ca="1" si="3148"/>
        <v/>
      </c>
      <c r="AK4200" s="714" t="str">
        <f t="shared" si="3149"/>
        <v/>
      </c>
      <c r="AL4200" s="714"/>
      <c r="AM4200" s="114" t="str">
        <f t="shared" si="3150"/>
        <v/>
      </c>
      <c r="AN4200" s="115"/>
      <c r="AO4200" s="116"/>
      <c r="AP4200" s="116"/>
      <c r="AQ4200" s="116"/>
      <c r="AR4200" s="116"/>
      <c r="AS4200" s="116"/>
      <c r="AT4200" s="116"/>
      <c r="AU4200" s="116"/>
      <c r="AV4200" s="78"/>
      <c r="AW4200" s="102"/>
      <c r="AX4200" s="78"/>
      <c r="AY4200" s="78"/>
      <c r="AZ4200" s="78"/>
      <c r="BA4200" s="78"/>
      <c r="BB4200" s="78"/>
      <c r="BC4200" s="78"/>
      <c r="BD4200" s="78"/>
      <c r="BE4200" s="465"/>
      <c r="BF4200" s="165" t="str">
        <f t="shared" si="3151"/>
        <v>https://www.google.com/search?tbm=isch&amp;q=Trachycarpus%20%3D%20Windmill%20Palm%20</v>
      </c>
      <c r="BG4200" s="165" t="str">
        <f t="shared" si="3152"/>
        <v>T</v>
      </c>
      <c r="BH4200" s="65"/>
      <c r="BI4200" s="65"/>
      <c r="BJ4200" s="65"/>
      <c r="BK4200" s="65"/>
      <c r="BL4200" s="99"/>
      <c r="BM4200" s="99"/>
      <c r="BN4200" s="99"/>
    </row>
    <row r="4201" spans="1:66" s="51" customFormat="1" ht="18" x14ac:dyDescent="0.25">
      <c r="A4201" s="507" t="s">
        <v>805</v>
      </c>
      <c r="B4201" s="470"/>
      <c r="C4201" s="706"/>
      <c r="D4201" s="471" t="s">
        <v>806</v>
      </c>
      <c r="E4201" s="472"/>
      <c r="F4201" s="472"/>
      <c r="G4201" s="472"/>
      <c r="H4201" s="622" t="s">
        <v>658</v>
      </c>
      <c r="I4201" s="473" t="s">
        <v>807</v>
      </c>
      <c r="J4201" s="472"/>
      <c r="K4201" s="472"/>
      <c r="L4201" s="561"/>
      <c r="M4201" s="698" t="s">
        <v>5246</v>
      </c>
      <c r="N4201" s="692" t="str">
        <f>IF(AND(ISTEXT($A4201), ISERROR($A4201+0)), HYPERLINK($BF4201, "Images"), "")</f>
        <v>Images</v>
      </c>
      <c r="O4201" s="694" t="s">
        <v>5244</v>
      </c>
      <c r="P4201" s="475"/>
      <c r="Q4201" s="476"/>
      <c r="R4201" s="476"/>
      <c r="S4201" s="477"/>
      <c r="T4201" s="102">
        <f t="shared" si="3140"/>
        <v>0</v>
      </c>
      <c r="U4201" s="78" t="str">
        <f>IF(NOT(ISNUMBER(G4201)), "", VLOOKUP(A4201,'Discount Lookup'!D:E,2,FALSE)*G4201)</f>
        <v/>
      </c>
      <c r="V4201" s="78" t="str">
        <f>IF(NOT(ISNUMBER(G4201)), "", VLOOKUP(A4201,'Discount Lookup'!G:H,2,FALSE)*G4201)</f>
        <v/>
      </c>
      <c r="W4201" s="102">
        <f t="shared" si="3141"/>
        <v>0</v>
      </c>
      <c r="X4201" s="102" t="str">
        <f t="shared" si="3142"/>
        <v>Deep Green fronds</v>
      </c>
      <c r="Y4201" s="120" t="b">
        <f t="shared" si="3143"/>
        <v>0</v>
      </c>
      <c r="Z4201" s="117">
        <f t="shared" si="3144"/>
        <v>0</v>
      </c>
      <c r="AA4201" s="118"/>
      <c r="AB4201" s="118" t="str">
        <f t="shared" si="3145"/>
        <v/>
      </c>
      <c r="AC4201" s="712" t="str">
        <f>IF(AE4201="T2G","no charge",IF(AND(OR(PlanterYesMe="No",PlanterYesMe="N",PlanterYesMe="me"),H4201=""),"",IF(H4201="credit","NO install",IF(AND(K4201="",AE4201="me"),"EACH row",IF(AND(K4201="images",AE4201="me"),"EACH row",IF(D4201="","",IF(H4201="credit","",IF(AE4201="free","re-planting",IF(AE4201="me","   not ELP, by",IF(AND(OR(PlanterYesMe="Yes",PlanterYesMe="Y"),G4201&gt;0),(VLOOKUP(A4201,'Discount Lookup'!J:K,2)*G4201*(1-PlanterDiscount)*(1+PlanterDifficultyPercentage)),IF(AE4201="ELP",(VLOOKUP(A4201,'Discount Lookup'!J:K,2)*G4201*(1-PlanterDiscount)*(1+PlanterDifficultyPercentage)),IF(AE4201="free","re-planting",IF(G4201=0,"",IF(PlanterYesMe="",IF(AE4201="me","   not ELP, by",IF(AE4201="",IF(G4201&gt;0,(VLOOKUP(A4201,'Discount Lookup'!J:K,2)*G4201*(1-PlanterDiscount)*(1+PlanterDifficultyPercentage)),""),"")),"   not ELP, by"))))))))))))))</f>
        <v/>
      </c>
      <c r="AD4201" s="712"/>
      <c r="AE4201" s="513" t="str">
        <f t="shared" si="3146"/>
        <v/>
      </c>
      <c r="AF4201" s="713" t="str">
        <f t="shared" si="3147"/>
        <v/>
      </c>
      <c r="AG4201" s="713"/>
      <c r="AH4201" s="713"/>
      <c r="AI4201" s="112">
        <f>IF(H4201="credit",0,IF(AE4201="free",0,IF(AE4201="me",0,IF(G4201&gt;0,(VLOOKUP(A4201,'Discount Lookup'!J:K,2)*G4201),0))))</f>
        <v>0</v>
      </c>
      <c r="AJ4201" s="107" t="str">
        <f t="shared" ca="1" si="3148"/>
        <v/>
      </c>
      <c r="AK4201" s="714" t="str">
        <f t="shared" si="3149"/>
        <v/>
      </c>
      <c r="AL4201" s="714"/>
      <c r="AM4201" s="114" t="str">
        <f t="shared" si="3150"/>
        <v/>
      </c>
      <c r="AN4201" s="115"/>
      <c r="AO4201" s="116"/>
      <c r="AP4201" s="116"/>
      <c r="AQ4201" s="116"/>
      <c r="AR4201" s="116"/>
      <c r="AS4201" s="116"/>
      <c r="AT4201" s="116"/>
      <c r="AU4201" s="116"/>
      <c r="AV4201" s="78"/>
      <c r="AW4201" s="102"/>
      <c r="AX4201" s="78"/>
      <c r="AY4201" s="78"/>
      <c r="AZ4201" s="78"/>
      <c r="BA4201" s="78"/>
      <c r="BB4201" s="78"/>
      <c r="BC4201" s="78"/>
      <c r="BD4201" s="78"/>
      <c r="BE4201" s="465"/>
      <c r="BF4201" s="165" t="str">
        <f t="shared" si="3151"/>
        <v>https://www.google.com/search?tbm=isch&amp;q=Trachycarpus%20fortunei%20Windmill%20Palm%2C%20Chusan%20Palm</v>
      </c>
      <c r="BG4201" s="165" t="str">
        <f t="shared" si="3152"/>
        <v>T</v>
      </c>
      <c r="BH4201" s="65"/>
      <c r="BI4201" s="65"/>
      <c r="BJ4201" s="65"/>
      <c r="BK4201" s="65"/>
      <c r="BL4201" s="99"/>
      <c r="BM4201" s="99"/>
      <c r="BN4201" s="99"/>
    </row>
    <row r="4202" spans="1:66" s="51" customFormat="1" ht="15.75" x14ac:dyDescent="0.25">
      <c r="A4202" s="478">
        <v>15</v>
      </c>
      <c r="B4202" s="479" t="s">
        <v>291</v>
      </c>
      <c r="C4202" s="480" t="s">
        <v>868</v>
      </c>
      <c r="D4202" s="481" t="s">
        <v>309</v>
      </c>
      <c r="E4202" s="482">
        <v>186.95</v>
      </c>
      <c r="F4202" s="483" t="s">
        <v>292</v>
      </c>
      <c r="G4202" s="484">
        <v>0</v>
      </c>
      <c r="H4202" s="688" t="str">
        <f>IF(G4202=0,"",IF(F4202="Buy",IF(G4202=1,"plant","plants"),IF(F4202&gt;0.01,"warranty","Error")))</f>
        <v/>
      </c>
      <c r="I4202" s="485">
        <f>IF(H4202="free",0,IF(H4202="credit",((E4202*(F4202))*G4202*-1),IF(F4202="Buy",(E4202*G4202),((E4202*(1-F4202))*G4202))))</f>
        <v>0</v>
      </c>
      <c r="J4202" s="485">
        <f>IF(H4202="warranty",0,(I4202*(_xlfn.SINGLE(SalesTaxPercentage))))</f>
        <v>0</v>
      </c>
      <c r="K4202" s="715">
        <f t="shared" ref="K4202" si="3162">I4202+J4202</f>
        <v>0</v>
      </c>
      <c r="L4202" s="715"/>
      <c r="M4202" s="689" t="str">
        <f ca="1">IF(AND(G4202&gt;0,E4202=0),"WARNING - no PRICE inserted",IF(H4202="free","FREE ~ no charge this plant",IF(H4202="credit",CONCATENATE("-$",ROUND(K4202*(1-_xlfn.SINGLE(T2GDiscount))*-1,2)," CREDIT after discount"),IF(_xlfn.SINGLE(T2GDiscount)=0,"",IF(G4202=0,"",IF(F4202="Buy",CONCATENATE("$",ROUND(K4202*(1-_xlfn.SINGLE(T2GDiscount)),2)," with ",(_xlfn.SINGLE(T2GDiscount)*100),"% discount"),CONCATENATE("$",ROUND(K4202*(1-_xlfn.SINGLE(T2GDiscount)),2)," with ",((_xlfn.SINGLE(T2GDiscount)*100+F4202*100)-(_xlfn.SINGLE(T2GDiscount)*100*F4202)),IF(F4202&gt;0,"% discounts",IF(_xlfn.SINGLE(NoWarrantyDiscount)&gt;0,"% discounts","% discount")))))))))</f>
        <v/>
      </c>
      <c r="N4202" s="690"/>
      <c r="O4202" s="486"/>
      <c r="P4202" s="486"/>
      <c r="Q4202" s="486"/>
      <c r="R4202" s="486"/>
      <c r="S4202" s="486"/>
      <c r="T4202" s="102">
        <f t="shared" si="3140"/>
        <v>0</v>
      </c>
      <c r="U4202" s="78">
        <f>IF(NOT(ISNUMBER(G4202)), "", VLOOKUP(A4202,'Discount Lookup'!D:E,2,FALSE)*G4202)</f>
        <v>0</v>
      </c>
      <c r="V4202" s="78">
        <f>IF(NOT(ISNUMBER(G4202)), "", VLOOKUP(A4202,'Discount Lookup'!G:H,2,FALSE)*G4202)</f>
        <v>0</v>
      </c>
      <c r="W4202" s="102">
        <f t="shared" si="3141"/>
        <v>0</v>
      </c>
      <c r="X4202" s="102">
        <f t="shared" si="3142"/>
        <v>0</v>
      </c>
      <c r="Y4202" s="120" t="b">
        <f t="shared" si="3143"/>
        <v>0</v>
      </c>
      <c r="Z4202" s="117">
        <f t="shared" si="3144"/>
        <v>0</v>
      </c>
      <c r="AA4202" s="118"/>
      <c r="AB4202" s="118" t="str">
        <f t="shared" si="3145"/>
        <v/>
      </c>
      <c r="AC4202" s="712" t="str">
        <f>IF(AE4202="T2G","no charge",IF(AND(OR(PlanterYesMe="No",PlanterYesMe="N",PlanterYesMe="me"),H4202=""),"",IF(H4202="credit","NO install",IF(AND(K4202="",AE4202="me"),"EACH row",IF(AND(K4202="images",AE4202="me"),"EACH row",IF(D4202="","",IF(H4202="credit","",IF(AE4202="free","re-planting",IF(AE4202="me","   not ELP, by",IF(AND(OR(PlanterYesMe="Yes",PlanterYesMe="Y"),G4202&gt;0),(VLOOKUP(A4202,'Discount Lookup'!J:K,2)*G4202*(1-PlanterDiscount)*(1+PlanterDifficultyPercentage)),IF(AE4202="ELP",(VLOOKUP(A4202,'Discount Lookup'!J:K,2)*G4202*(1-PlanterDiscount)*(1+PlanterDifficultyPercentage)),IF(AE4202="free","re-planting",IF(G4202=0,"",IF(PlanterYesMe="",IF(AE4202="me","   not ELP, by",IF(AE4202="",IF(G4202&gt;0,(VLOOKUP(A4202,'Discount Lookup'!J:K,2)*G4202*(1-PlanterDiscount)*(1+PlanterDifficultyPercentage)),""),"")),"   not ELP, by"))))))))))))))</f>
        <v/>
      </c>
      <c r="AD4202" s="712"/>
      <c r="AE4202" s="513" t="str">
        <f t="shared" si="3146"/>
        <v/>
      </c>
      <c r="AF4202" s="713" t="str">
        <f t="shared" si="3147"/>
        <v/>
      </c>
      <c r="AG4202" s="713"/>
      <c r="AH4202" s="713"/>
      <c r="AI4202" s="112">
        <f>IF(H4202="credit",0,IF(AE4202="free",0,IF(AE4202="me",0,IF(G4202&gt;0,(VLOOKUP(A4202,'Discount Lookup'!J:K,2)*G4202),0))))</f>
        <v>0</v>
      </c>
      <c r="AJ4202" s="107" t="str">
        <f t="shared" ca="1" si="3148"/>
        <v/>
      </c>
      <c r="AK4202" s="714" t="str">
        <f t="shared" si="3149"/>
        <v/>
      </c>
      <c r="AL4202" s="714"/>
      <c r="AM4202" s="114" t="str">
        <f t="shared" si="3150"/>
        <v/>
      </c>
      <c r="AN4202" s="115"/>
      <c r="AO4202" s="116"/>
      <c r="AP4202" s="116"/>
      <c r="AQ4202" s="116"/>
      <c r="AR4202" s="116"/>
      <c r="AS4202" s="116"/>
      <c r="AT4202" s="116"/>
      <c r="AU4202" s="116"/>
      <c r="AV4202" s="78"/>
      <c r="AW4202" s="102"/>
      <c r="AX4202" s="78"/>
      <c r="AY4202" s="78"/>
      <c r="AZ4202" s="78"/>
      <c r="BA4202" s="78"/>
      <c r="BB4202" s="78"/>
      <c r="BC4202" s="78"/>
      <c r="BD4202" s="78"/>
      <c r="BE4202" s="465"/>
      <c r="BF4202" s="165" t="str">
        <f t="shared" si="3151"/>
        <v>https://www.google.com/search?tbm=isch&amp;q=15%20G3</v>
      </c>
      <c r="BG4202" s="165" t="str">
        <f t="shared" si="3152"/>
        <v>T</v>
      </c>
      <c r="BH4202" s="65"/>
      <c r="BI4202" s="65"/>
      <c r="BJ4202" s="65"/>
      <c r="BK4202" s="65"/>
      <c r="BL4202" s="99"/>
      <c r="BM4202" s="99"/>
      <c r="BN4202" s="99"/>
    </row>
    <row r="4203" spans="1:66" s="51" customFormat="1" ht="15.75" x14ac:dyDescent="0.25">
      <c r="A4203" s="705" t="s">
        <v>5554</v>
      </c>
      <c r="B4203" s="487"/>
      <c r="C4203" s="707"/>
      <c r="D4203" s="487"/>
      <c r="E4203" s="487"/>
      <c r="F4203" s="488"/>
      <c r="G4203" s="489"/>
      <c r="H4203" s="487"/>
      <c r="I4203" s="490"/>
      <c r="J4203" s="490"/>
      <c r="K4203" s="491"/>
      <c r="L4203" s="547"/>
      <c r="M4203" s="528"/>
      <c r="N4203" s="492"/>
      <c r="O4203" s="493"/>
      <c r="P4203" s="494"/>
      <c r="Q4203" s="492"/>
      <c r="R4203" s="492"/>
      <c r="S4203" s="495"/>
      <c r="T4203" s="102">
        <f t="shared" si="3140"/>
        <v>0</v>
      </c>
      <c r="U4203" s="78" t="str">
        <f>IF(NOT(ISNUMBER(G4203)), "", VLOOKUP(A4203,'Discount Lookup'!D:E,2,FALSE)*G4203)</f>
        <v/>
      </c>
      <c r="V4203" s="78" t="str">
        <f>IF(NOT(ISNUMBER(G4203)), "", VLOOKUP(A4203,'Discount Lookup'!G:H,2,FALSE)*G4203)</f>
        <v/>
      </c>
      <c r="W4203" s="102">
        <f t="shared" si="3141"/>
        <v>0</v>
      </c>
      <c r="X4203" s="102">
        <f t="shared" si="3142"/>
        <v>0</v>
      </c>
      <c r="Y4203" s="120" t="b">
        <f t="shared" si="3143"/>
        <v>0</v>
      </c>
      <c r="Z4203" s="117">
        <f t="shared" si="3144"/>
        <v>0</v>
      </c>
      <c r="AA4203" s="118"/>
      <c r="AB4203" s="118" t="str">
        <f t="shared" si="3145"/>
        <v/>
      </c>
      <c r="AC4203" s="712" t="str">
        <f>IF(AE4203="T2G","no charge",IF(AND(OR(PlanterYesMe="No",PlanterYesMe="N",PlanterYesMe="me"),H4203=""),"",IF(H4203="credit","NO install",IF(AND(K4203="",AE4203="me"),"EACH row",IF(AND(K4203="images",AE4203="me"),"EACH row",IF(D4203="","",IF(H4203="credit","",IF(AE4203="free","re-planting",IF(AE4203="me","   not ELP, by",IF(AND(OR(PlanterYesMe="Yes",PlanterYesMe="Y"),G4203&gt;0),(VLOOKUP(A4203,'Discount Lookup'!J:K,2)*G4203*(1-PlanterDiscount)*(1+PlanterDifficultyPercentage)),IF(AE4203="ELP",(VLOOKUP(A4203,'Discount Lookup'!J:K,2)*G4203*(1-PlanterDiscount)*(1+PlanterDifficultyPercentage)),IF(AE4203="free","re-planting",IF(G4203=0,"",IF(PlanterYesMe="",IF(AE4203="me","   not ELP, by",IF(AE4203="",IF(G4203&gt;0,(VLOOKUP(A4203,'Discount Lookup'!J:K,2)*G4203*(1-PlanterDiscount)*(1+PlanterDifficultyPercentage)),""),"")),"   not ELP, by"))))))))))))))</f>
        <v/>
      </c>
      <c r="AD4203" s="712"/>
      <c r="AE4203" s="513" t="str">
        <f t="shared" si="3146"/>
        <v/>
      </c>
      <c r="AF4203" s="713" t="str">
        <f t="shared" si="3147"/>
        <v/>
      </c>
      <c r="AG4203" s="713"/>
      <c r="AH4203" s="713"/>
      <c r="AI4203" s="112">
        <f>IF(H4203="credit",0,IF(AE4203="free",0,IF(AE4203="me",0,IF(G4203&gt;0,(VLOOKUP(A4203,'Discount Lookup'!J:K,2)*G4203),0))))</f>
        <v>0</v>
      </c>
      <c r="AJ4203" s="107" t="str">
        <f t="shared" ca="1" si="3148"/>
        <v/>
      </c>
      <c r="AK4203" s="714" t="str">
        <f t="shared" si="3149"/>
        <v/>
      </c>
      <c r="AL4203" s="714"/>
      <c r="AM4203" s="114" t="str">
        <f t="shared" si="3150"/>
        <v/>
      </c>
      <c r="AN4203" s="115"/>
      <c r="AO4203" s="116"/>
      <c r="AP4203" s="116"/>
      <c r="AQ4203" s="116"/>
      <c r="AR4203" s="116"/>
      <c r="AS4203" s="116"/>
      <c r="AT4203" s="116"/>
      <c r="AU4203" s="116"/>
      <c r="AV4203" s="78"/>
      <c r="AW4203" s="102"/>
      <c r="AX4203" s="78"/>
      <c r="AY4203" s="78"/>
      <c r="AZ4203" s="78"/>
      <c r="BA4203" s="78"/>
      <c r="BB4203" s="78"/>
      <c r="BC4203" s="78"/>
      <c r="BD4203" s="78"/>
      <c r="BE4203" s="465"/>
      <c r="BF4203" s="165" t="str">
        <f t="shared" si="3151"/>
        <v>https://www.google.com/search?tbm=isch&amp;q=moist%20sites%F0%9F%92%A7OK%2C%20Windmill%20is%20the%20sturdiest%20of%20palms%20for%20our%20zone%2C%20able%20to%20withstand%20low%20temperatures%20and%20snow%20loads%20</v>
      </c>
      <c r="BG4203" s="165" t="str">
        <f t="shared" si="3152"/>
        <v>m</v>
      </c>
      <c r="BH4203" s="65"/>
      <c r="BI4203" s="65"/>
      <c r="BJ4203" s="65"/>
      <c r="BK4203" s="65"/>
      <c r="BL4203" s="99"/>
      <c r="BM4203" s="99"/>
      <c r="BN4203" s="99"/>
    </row>
    <row r="4204" spans="1:66" s="51" customFormat="1" ht="19.5" thickBot="1" x14ac:dyDescent="0.3">
      <c r="A4204" s="686" t="s">
        <v>808</v>
      </c>
      <c r="B4204" s="73"/>
      <c r="C4204" s="708"/>
      <c r="D4204" s="73"/>
      <c r="E4204" s="73"/>
      <c r="F4204" s="496"/>
      <c r="G4204" s="73"/>
      <c r="H4204" s="73"/>
      <c r="I4204" s="73"/>
      <c r="J4204" s="497" t="s">
        <v>357</v>
      </c>
      <c r="K4204" s="498"/>
      <c r="L4204" s="562"/>
      <c r="M4204" s="73"/>
      <c r="N4204"/>
      <c r="O4204"/>
      <c r="P4204"/>
      <c r="Q4204"/>
      <c r="R4204"/>
      <c r="S4204"/>
      <c r="T4204" s="102">
        <f t="shared" si="3140"/>
        <v>0</v>
      </c>
      <c r="U4204" s="78" t="str">
        <f>IF(NOT(ISNUMBER(G4204)), "", VLOOKUP(A4204,'Discount Lookup'!D:E,2,FALSE)*G4204)</f>
        <v/>
      </c>
      <c r="V4204" s="78" t="str">
        <f>IF(NOT(ISNUMBER(G4204)), "", VLOOKUP(A4204,'Discount Lookup'!G:H,2,FALSE)*G4204)</f>
        <v/>
      </c>
      <c r="W4204" s="102">
        <f t="shared" si="3141"/>
        <v>0</v>
      </c>
      <c r="X4204" s="102">
        <f t="shared" si="3142"/>
        <v>0</v>
      </c>
      <c r="Y4204" s="120" t="b">
        <f t="shared" si="3143"/>
        <v>0</v>
      </c>
      <c r="Z4204" s="117">
        <f t="shared" si="3144"/>
        <v>0</v>
      </c>
      <c r="AA4204" s="118"/>
      <c r="AB4204" s="118" t="str">
        <f t="shared" si="3145"/>
        <v/>
      </c>
      <c r="AC4204" s="712" t="str">
        <f>IF(AE4204="T2G","no charge",IF(AND(OR(PlanterYesMe="No",PlanterYesMe="N",PlanterYesMe="me"),H4204=""),"",IF(H4204="credit","NO install",IF(AND(K4204="",AE4204="me"),"EACH row",IF(AND(K4204="images",AE4204="me"),"EACH row",IF(D4204="","",IF(H4204="credit","",IF(AE4204="free","re-planting",IF(AE4204="me","   not ELP, by",IF(AND(OR(PlanterYesMe="Yes",PlanterYesMe="Y"),G4204&gt;0),(VLOOKUP(A4204,'Discount Lookup'!J:K,2)*G4204*(1-PlanterDiscount)*(1+PlanterDifficultyPercentage)),IF(AE4204="ELP",(VLOOKUP(A4204,'Discount Lookup'!J:K,2)*G4204*(1-PlanterDiscount)*(1+PlanterDifficultyPercentage)),IF(AE4204="free","re-planting",IF(G4204=0,"",IF(PlanterYesMe="",IF(AE4204="me","   not ELP, by",IF(AE4204="",IF(G4204&gt;0,(VLOOKUP(A4204,'Discount Lookup'!J:K,2)*G4204*(1-PlanterDiscount)*(1+PlanterDifficultyPercentage)),""),"")),"   not ELP, by"))))))))))))))</f>
        <v/>
      </c>
      <c r="AD4204" s="712"/>
      <c r="AE4204" s="513" t="str">
        <f t="shared" si="3146"/>
        <v/>
      </c>
      <c r="AF4204" s="713" t="str">
        <f t="shared" si="3147"/>
        <v/>
      </c>
      <c r="AG4204" s="713"/>
      <c r="AH4204" s="713"/>
      <c r="AI4204" s="112">
        <f>IF(H4204="credit",0,IF(AE4204="free",0,IF(AE4204="me",0,IF(G4204&gt;0,(VLOOKUP(A4204,'Discount Lookup'!J:K,2)*G4204),0))))</f>
        <v>0</v>
      </c>
      <c r="AJ4204" s="107" t="str">
        <f t="shared" ca="1" si="3148"/>
        <v/>
      </c>
      <c r="AK4204" s="714" t="str">
        <f t="shared" si="3149"/>
        <v/>
      </c>
      <c r="AL4204" s="714"/>
      <c r="AM4204" s="114" t="str">
        <f t="shared" si="3150"/>
        <v/>
      </c>
      <c r="AN4204" s="115"/>
      <c r="AO4204" s="116"/>
      <c r="AP4204" s="116"/>
      <c r="AQ4204" s="116"/>
      <c r="AR4204" s="116"/>
      <c r="AS4204" s="116"/>
      <c r="AT4204" s="116"/>
      <c r="AU4204" s="116"/>
      <c r="AV4204" s="78"/>
      <c r="AW4204" s="102"/>
      <c r="AX4204" s="78"/>
      <c r="AY4204" s="78"/>
      <c r="AZ4204" s="78"/>
      <c r="BA4204" s="78"/>
      <c r="BB4204" s="78"/>
      <c r="BC4204" s="78"/>
      <c r="BD4204" s="78"/>
      <c r="BE4204" s="465"/>
      <c r="BF4204" s="165" t="str">
        <f t="shared" si="3151"/>
        <v>https://www.google.com/search?tbm=isch&amp;q=Tradescantia%20%3D%20Spiderwort%20</v>
      </c>
      <c r="BG4204" s="165" t="str">
        <f t="shared" si="3152"/>
        <v>T</v>
      </c>
      <c r="BH4204" s="65"/>
      <c r="BI4204" s="65"/>
      <c r="BJ4204" s="65"/>
      <c r="BK4204" s="65"/>
      <c r="BL4204" s="99"/>
      <c r="BM4204" s="99"/>
      <c r="BN4204" s="99"/>
    </row>
    <row r="4205" spans="1:66" s="51" customFormat="1" ht="18" x14ac:dyDescent="0.25">
      <c r="A4205" s="507" t="s">
        <v>4400</v>
      </c>
      <c r="B4205" s="470"/>
      <c r="C4205" s="706"/>
      <c r="D4205" s="471" t="s">
        <v>4401</v>
      </c>
      <c r="E4205" s="472"/>
      <c r="F4205" s="472"/>
      <c r="G4205" s="472"/>
      <c r="H4205" s="622" t="s">
        <v>2423</v>
      </c>
      <c r="I4205" s="473" t="s">
        <v>4402</v>
      </c>
      <c r="J4205" s="472"/>
      <c r="K4205" s="472"/>
      <c r="L4205" s="561"/>
      <c r="M4205" s="698" t="s">
        <v>5246</v>
      </c>
      <c r="N4205" s="692" t="str">
        <f>IF(AND(ISTEXT($A4205), ISERROR($A4205+0)), HYPERLINK($BF4205, "Images"), "")</f>
        <v>Images</v>
      </c>
      <c r="O4205" s="694" t="s">
        <v>5244</v>
      </c>
      <c r="P4205" s="475"/>
      <c r="Q4205" s="476"/>
      <c r="R4205" s="476"/>
      <c r="S4205" s="477"/>
      <c r="T4205" s="102">
        <f t="shared" si="3140"/>
        <v>0</v>
      </c>
      <c r="U4205" s="78" t="str">
        <f>IF(NOT(ISNUMBER(G4205)), "", VLOOKUP(A4205,'Discount Lookup'!D:E,2,FALSE)*G4205)</f>
        <v/>
      </c>
      <c r="V4205" s="78" t="str">
        <f>IF(NOT(ISNUMBER(G4205)), "", VLOOKUP(A4205,'Discount Lookup'!G:H,2,FALSE)*G4205)</f>
        <v/>
      </c>
      <c r="W4205" s="102">
        <f t="shared" si="3141"/>
        <v>0</v>
      </c>
      <c r="X4205" s="102" t="str">
        <f t="shared" si="3142"/>
        <v>Blue-Purple bloom</v>
      </c>
      <c r="Y4205" s="120" t="b">
        <f t="shared" si="3143"/>
        <v>0</v>
      </c>
      <c r="Z4205" s="117">
        <f t="shared" si="3144"/>
        <v>0</v>
      </c>
      <c r="AA4205" s="118"/>
      <c r="AB4205" s="118" t="str">
        <f t="shared" si="3145"/>
        <v/>
      </c>
      <c r="AC4205" s="712" t="str">
        <f>IF(AE4205="T2G","no charge",IF(AND(OR(PlanterYesMe="No",PlanterYesMe="N",PlanterYesMe="me"),H4205=""),"",IF(H4205="credit","NO install",IF(AND(K4205="",AE4205="me"),"EACH row",IF(AND(K4205="images",AE4205="me"),"EACH row",IF(D4205="","",IF(H4205="credit","",IF(AE4205="free","re-planting",IF(AE4205="me","   not ELP, by",IF(AND(OR(PlanterYesMe="Yes",PlanterYesMe="Y"),G4205&gt;0),(VLOOKUP(A4205,'Discount Lookup'!J:K,2)*G4205*(1-PlanterDiscount)*(1+PlanterDifficultyPercentage)),IF(AE4205="ELP",(VLOOKUP(A4205,'Discount Lookup'!J:K,2)*G4205*(1-PlanterDiscount)*(1+PlanterDifficultyPercentage)),IF(AE4205="free","re-planting",IF(G4205=0,"",IF(PlanterYesMe="",IF(AE4205="me","   not ELP, by",IF(AE4205="",IF(G4205&gt;0,(VLOOKUP(A4205,'Discount Lookup'!J:K,2)*G4205*(1-PlanterDiscount)*(1+PlanterDifficultyPercentage)),""),"")),"   not ELP, by"))))))))))))))</f>
        <v/>
      </c>
      <c r="AD4205" s="712"/>
      <c r="AE4205" s="513" t="str">
        <f t="shared" si="3146"/>
        <v/>
      </c>
      <c r="AF4205" s="713" t="str">
        <f t="shared" si="3147"/>
        <v/>
      </c>
      <c r="AG4205" s="713"/>
      <c r="AH4205" s="713"/>
      <c r="AI4205" s="112">
        <f>IF(H4205="credit",0,IF(AE4205="free",0,IF(AE4205="me",0,IF(G4205&gt;0,(VLOOKUP(A4205,'Discount Lookup'!J:K,2)*G4205),0))))</f>
        <v>0</v>
      </c>
      <c r="AJ4205" s="107" t="str">
        <f t="shared" ca="1" si="3148"/>
        <v/>
      </c>
      <c r="AK4205" s="714" t="str">
        <f t="shared" si="3149"/>
        <v/>
      </c>
      <c r="AL4205" s="714"/>
      <c r="AM4205" s="114" t="str">
        <f t="shared" si="3150"/>
        <v/>
      </c>
      <c r="AN4205" s="115"/>
      <c r="AO4205" s="116"/>
      <c r="AP4205" s="116"/>
      <c r="AQ4205" s="116"/>
      <c r="AR4205" s="116"/>
      <c r="AS4205" s="116"/>
      <c r="AT4205" s="116"/>
      <c r="AU4205" s="116"/>
      <c r="AV4205" s="78"/>
      <c r="AW4205" s="102"/>
      <c r="AX4205" s="78"/>
      <c r="AY4205" s="78"/>
      <c r="AZ4205" s="78"/>
      <c r="BA4205" s="78"/>
      <c r="BB4205" s="78"/>
      <c r="BC4205" s="78"/>
      <c r="BD4205" s="78"/>
      <c r="BE4205" s="465"/>
      <c r="BF4205" s="165" t="str">
        <f t="shared" si="3151"/>
        <v>https://www.google.com/search?tbm=isch&amp;q=Tradescantia%20x%20andersoniana%20%27Sweet%20Kate%27%20PP%2312078%20Sweet%20Kate%20Purple%20Heart</v>
      </c>
      <c r="BG4205" s="165" t="str">
        <f t="shared" si="3152"/>
        <v>T</v>
      </c>
      <c r="BH4205" s="65"/>
      <c r="BI4205" s="65"/>
      <c r="BJ4205" s="65"/>
      <c r="BK4205" s="65"/>
      <c r="BL4205" s="99"/>
      <c r="BM4205" s="99"/>
      <c r="BN4205" s="99"/>
    </row>
    <row r="4206" spans="1:66" s="51" customFormat="1" ht="15.75" x14ac:dyDescent="0.25">
      <c r="A4206" s="478">
        <v>1</v>
      </c>
      <c r="B4206" s="479" t="s">
        <v>291</v>
      </c>
      <c r="C4206" s="480"/>
      <c r="D4206" s="481" t="s">
        <v>329</v>
      </c>
      <c r="E4206" s="482">
        <v>12.95</v>
      </c>
      <c r="F4206" s="483" t="s">
        <v>292</v>
      </c>
      <c r="G4206" s="484">
        <v>0</v>
      </c>
      <c r="H4206" s="688" t="str">
        <f>IF(G4206=0,"",IF(F4206="Buy",IF(G4206=1,"plant","plants"),IF(F4206&gt;0.01,"warranty","Error")))</f>
        <v/>
      </c>
      <c r="I4206" s="485">
        <f>IF(H4206="free",0,IF(H4206="credit",((E4206*(F4206))*G4206*-1),IF(F4206="Buy",(E4206*G4206),((E4206*(1-F4206))*G4206))))</f>
        <v>0</v>
      </c>
      <c r="J4206" s="485">
        <f>IF(H4206="warranty",0,(I4206*(_xlfn.SINGLE(SalesTaxPercentage))))</f>
        <v>0</v>
      </c>
      <c r="K4206" s="715">
        <f t="shared" ref="K4206" si="3163">I4206+J4206</f>
        <v>0</v>
      </c>
      <c r="L4206" s="715"/>
      <c r="M4206" s="689" t="str">
        <f ca="1">IF(AND(G4206&gt;0,E4206=0),"WARNING - no PRICE inserted",IF(H4206="free","FREE ~ no charge this plant",IF(H4206="credit",CONCATENATE("-$",ROUND(K4206*(1-_xlfn.SINGLE(T2GDiscount))*-1,2)," CREDIT after discount"),IF(_xlfn.SINGLE(T2GDiscount)=0,"",IF(G4206=0,"",IF(F4206="Buy",CONCATENATE("$",ROUND(K4206*(1-_xlfn.SINGLE(T2GDiscount)),2)," with ",(_xlfn.SINGLE(T2GDiscount)*100),"% discount"),CONCATENATE("$",ROUND(K4206*(1-_xlfn.SINGLE(T2GDiscount)),2)," with ",((_xlfn.SINGLE(T2GDiscount)*100+F4206*100)-(_xlfn.SINGLE(T2GDiscount)*100*F4206)),IF(F4206&gt;0,"% discounts",IF(_xlfn.SINGLE(NoWarrantyDiscount)&gt;0,"% discounts","% discount")))))))))</f>
        <v/>
      </c>
      <c r="N4206" s="690"/>
      <c r="O4206" s="486"/>
      <c r="P4206" s="486"/>
      <c r="Q4206" s="486"/>
      <c r="R4206" s="486"/>
      <c r="S4206" s="486"/>
      <c r="T4206" s="102">
        <f t="shared" si="3140"/>
        <v>0</v>
      </c>
      <c r="U4206" s="78">
        <f>IF(NOT(ISNUMBER(G4206)), "", VLOOKUP(A4206,'Discount Lookup'!D:E,2,FALSE)*G4206)</f>
        <v>0</v>
      </c>
      <c r="V4206" s="78">
        <f>IF(NOT(ISNUMBER(G4206)), "", VLOOKUP(A4206,'Discount Lookup'!G:H,2,FALSE)*G4206)</f>
        <v>0</v>
      </c>
      <c r="W4206" s="102">
        <f t="shared" si="3141"/>
        <v>0</v>
      </c>
      <c r="X4206" s="102">
        <f t="shared" si="3142"/>
        <v>0</v>
      </c>
      <c r="Y4206" s="120" t="b">
        <f t="shared" si="3143"/>
        <v>0</v>
      </c>
      <c r="Z4206" s="117">
        <f t="shared" si="3144"/>
        <v>0</v>
      </c>
      <c r="AA4206" s="118"/>
      <c r="AB4206" s="118" t="str">
        <f t="shared" si="3145"/>
        <v/>
      </c>
      <c r="AC4206" s="712" t="str">
        <f>IF(AE4206="T2G","no charge",IF(AND(OR(PlanterYesMe="No",PlanterYesMe="N",PlanterYesMe="me"),H4206=""),"",IF(H4206="credit","NO install",IF(AND(K4206="",AE4206="me"),"EACH row",IF(AND(K4206="images",AE4206="me"),"EACH row",IF(D4206="","",IF(H4206="credit","",IF(AE4206="free","re-planting",IF(AE4206="me","   not ELP, by",IF(AND(OR(PlanterYesMe="Yes",PlanterYesMe="Y"),G4206&gt;0),(VLOOKUP(A4206,'Discount Lookup'!J:K,2)*G4206*(1-PlanterDiscount)*(1+PlanterDifficultyPercentage)),IF(AE4206="ELP",(VLOOKUP(A4206,'Discount Lookup'!J:K,2)*G4206*(1-PlanterDiscount)*(1+PlanterDifficultyPercentage)),IF(AE4206="free","re-planting",IF(G4206=0,"",IF(PlanterYesMe="",IF(AE4206="me","   not ELP, by",IF(AE4206="",IF(G4206&gt;0,(VLOOKUP(A4206,'Discount Lookup'!J:K,2)*G4206*(1-PlanterDiscount)*(1+PlanterDifficultyPercentage)),""),"")),"   not ELP, by"))))))))))))))</f>
        <v/>
      </c>
      <c r="AD4206" s="712"/>
      <c r="AE4206" s="513" t="str">
        <f t="shared" si="3146"/>
        <v/>
      </c>
      <c r="AF4206" s="713" t="str">
        <f t="shared" si="3147"/>
        <v/>
      </c>
      <c r="AG4206" s="713"/>
      <c r="AH4206" s="713"/>
      <c r="AI4206" s="112">
        <f>IF(H4206="credit",0,IF(AE4206="free",0,IF(AE4206="me",0,IF(G4206&gt;0,(VLOOKUP(A4206,'Discount Lookup'!J:K,2)*G4206),0))))</f>
        <v>0</v>
      </c>
      <c r="AJ4206" s="107" t="str">
        <f t="shared" ca="1" si="3148"/>
        <v/>
      </c>
      <c r="AK4206" s="714" t="str">
        <f t="shared" si="3149"/>
        <v/>
      </c>
      <c r="AL4206" s="714"/>
      <c r="AM4206" s="114" t="str">
        <f t="shared" si="3150"/>
        <v/>
      </c>
      <c r="AN4206" s="115"/>
      <c r="AO4206" s="116"/>
      <c r="AP4206" s="116"/>
      <c r="AQ4206" s="116"/>
      <c r="AR4206" s="116"/>
      <c r="AS4206" s="116"/>
      <c r="AT4206" s="116"/>
      <c r="AU4206" s="116"/>
      <c r="AV4206" s="78"/>
      <c r="AW4206" s="102"/>
      <c r="AX4206" s="78"/>
      <c r="AY4206" s="78"/>
      <c r="AZ4206" s="78"/>
      <c r="BA4206" s="78"/>
      <c r="BB4206" s="78"/>
      <c r="BC4206" s="78"/>
      <c r="BD4206" s="78"/>
      <c r="BE4206" s="465"/>
      <c r="BF4206" s="165" t="str">
        <f t="shared" si="3151"/>
        <v>https://www.google.com/search?tbm=isch&amp;q=1%20G2</v>
      </c>
      <c r="BG4206" s="165" t="str">
        <f t="shared" si="3152"/>
        <v>T</v>
      </c>
      <c r="BH4206" s="65"/>
      <c r="BI4206" s="65"/>
      <c r="BJ4206" s="65"/>
      <c r="BK4206" s="65"/>
      <c r="BL4206" s="99"/>
      <c r="BM4206" s="99"/>
      <c r="BN4206" s="99"/>
    </row>
    <row r="4207" spans="1:66" s="51" customFormat="1" ht="15.75" x14ac:dyDescent="0.25">
      <c r="A4207" s="705" t="s">
        <v>5555</v>
      </c>
      <c r="B4207" s="487"/>
      <c r="C4207" s="707"/>
      <c r="D4207" s="487"/>
      <c r="E4207" s="487"/>
      <c r="F4207" s="488"/>
      <c r="G4207" s="489"/>
      <c r="H4207" s="487"/>
      <c r="I4207" s="490"/>
      <c r="J4207" s="490"/>
      <c r="K4207" s="491"/>
      <c r="L4207" s="547"/>
      <c r="M4207" s="528"/>
      <c r="N4207" s="492"/>
      <c r="O4207" s="493"/>
      <c r="P4207" s="494"/>
      <c r="Q4207" s="492"/>
      <c r="R4207" s="492"/>
      <c r="S4207" s="696" t="s">
        <v>5255</v>
      </c>
      <c r="T4207" s="102">
        <f t="shared" si="3140"/>
        <v>0</v>
      </c>
      <c r="U4207" s="78" t="str">
        <f>IF(NOT(ISNUMBER(G4207)), "", VLOOKUP(A4207,'Discount Lookup'!D:E,2,FALSE)*G4207)</f>
        <v/>
      </c>
      <c r="V4207" s="78" t="str">
        <f>IF(NOT(ISNUMBER(G4207)), "", VLOOKUP(A4207,'Discount Lookup'!G:H,2,FALSE)*G4207)</f>
        <v/>
      </c>
      <c r="W4207" s="102">
        <f t="shared" si="3141"/>
        <v>0</v>
      </c>
      <c r="X4207" s="102">
        <f t="shared" si="3142"/>
        <v>0</v>
      </c>
      <c r="Y4207" s="120" t="b">
        <f t="shared" si="3143"/>
        <v>0</v>
      </c>
      <c r="Z4207" s="117">
        <f t="shared" si="3144"/>
        <v>0</v>
      </c>
      <c r="AA4207" s="118"/>
      <c r="AB4207" s="118" t="str">
        <f t="shared" si="3145"/>
        <v/>
      </c>
      <c r="AC4207" s="712" t="str">
        <f>IF(AE4207="T2G","no charge",IF(AND(OR(PlanterYesMe="No",PlanterYesMe="N",PlanterYesMe="me"),H4207=""),"",IF(H4207="credit","NO install",IF(AND(K4207="",AE4207="me"),"EACH row",IF(AND(K4207="images",AE4207="me"),"EACH row",IF(D4207="","",IF(H4207="credit","",IF(AE4207="free","re-planting",IF(AE4207="me","   not ELP, by",IF(AND(OR(PlanterYesMe="Yes",PlanterYesMe="Y"),G4207&gt;0),(VLOOKUP(A4207,'Discount Lookup'!J:K,2)*G4207*(1-PlanterDiscount)*(1+PlanterDifficultyPercentage)),IF(AE4207="ELP",(VLOOKUP(A4207,'Discount Lookup'!J:K,2)*G4207*(1-PlanterDiscount)*(1+PlanterDifficultyPercentage)),IF(AE4207="free","re-planting",IF(G4207=0,"",IF(PlanterYesMe="",IF(AE4207="me","   not ELP, by",IF(AE4207="",IF(G4207&gt;0,(VLOOKUP(A4207,'Discount Lookup'!J:K,2)*G4207*(1-PlanterDiscount)*(1+PlanterDifficultyPercentage)),""),"")),"   not ELP, by"))))))))))))))</f>
        <v/>
      </c>
      <c r="AD4207" s="712"/>
      <c r="AE4207" s="513" t="str">
        <f t="shared" si="3146"/>
        <v/>
      </c>
      <c r="AF4207" s="713" t="str">
        <f t="shared" si="3147"/>
        <v/>
      </c>
      <c r="AG4207" s="713"/>
      <c r="AH4207" s="713"/>
      <c r="AI4207" s="112">
        <f>IF(H4207="credit",0,IF(AE4207="free",0,IF(AE4207="me",0,IF(G4207&gt;0,(VLOOKUP(A4207,'Discount Lookup'!J:K,2)*G4207),0))))</f>
        <v>0</v>
      </c>
      <c r="AJ4207" s="107" t="str">
        <f t="shared" ca="1" si="3148"/>
        <v/>
      </c>
      <c r="AK4207" s="714" t="str">
        <f t="shared" si="3149"/>
        <v/>
      </c>
      <c r="AL4207" s="714"/>
      <c r="AM4207" s="114" t="str">
        <f t="shared" si="3150"/>
        <v/>
      </c>
      <c r="AN4207" s="115"/>
      <c r="AO4207" s="116"/>
      <c r="AP4207" s="116"/>
      <c r="AQ4207" s="116"/>
      <c r="AR4207" s="116"/>
      <c r="AS4207" s="116"/>
      <c r="AT4207" s="116"/>
      <c r="AU4207" s="116"/>
      <c r="AV4207" s="78"/>
      <c r="AW4207" s="102"/>
      <c r="AX4207" s="78"/>
      <c r="AY4207" s="78"/>
      <c r="AZ4207" s="78"/>
      <c r="BA4207" s="78"/>
      <c r="BB4207" s="78"/>
      <c r="BC4207" s="78"/>
      <c r="BD4207" s="78"/>
      <c r="BE4207" s="465"/>
      <c r="BF4207" s="165" t="str">
        <f t="shared" si="3151"/>
        <v>https://www.google.com/search?tbm=isch&amp;q=moist%20sites%F0%9F%92%A7BEST%2C%20Sweet%20Kate%2C%20aka%20%22Spiderwort%22%2C%20has%20a%20chartreuse%2Flime%20foliage%20that%20is%20a%20standout%20even%20without%20the%20mid-season%20blooms%20</v>
      </c>
      <c r="BG4207" s="165" t="str">
        <f t="shared" si="3152"/>
        <v>m</v>
      </c>
      <c r="BH4207" s="65"/>
      <c r="BI4207" s="65"/>
      <c r="BJ4207" s="65"/>
      <c r="BK4207" s="65"/>
      <c r="BL4207" s="99"/>
      <c r="BM4207" s="99"/>
      <c r="BN4207" s="99"/>
    </row>
    <row r="4208" spans="1:66" s="51" customFormat="1" ht="19.5" thickBot="1" x14ac:dyDescent="0.3">
      <c r="A4208" s="686" t="s">
        <v>809</v>
      </c>
      <c r="B4208" s="73"/>
      <c r="C4208" s="708"/>
      <c r="D4208" s="73"/>
      <c r="E4208" s="73"/>
      <c r="F4208" s="496"/>
      <c r="G4208" s="73"/>
      <c r="H4208" s="73"/>
      <c r="I4208" s="73"/>
      <c r="J4208" s="497" t="s">
        <v>357</v>
      </c>
      <c r="K4208" s="498"/>
      <c r="L4208" s="562"/>
      <c r="M4208" s="73"/>
      <c r="N4208"/>
      <c r="O4208"/>
      <c r="P4208"/>
      <c r="Q4208"/>
      <c r="R4208"/>
      <c r="S4208"/>
      <c r="T4208" s="102">
        <f t="shared" si="3140"/>
        <v>0</v>
      </c>
      <c r="U4208" s="78" t="str">
        <f>IF(NOT(ISNUMBER(G4208)), "", VLOOKUP(A4208,'Discount Lookup'!D:E,2,FALSE)*G4208)</f>
        <v/>
      </c>
      <c r="V4208" s="78" t="str">
        <f>IF(NOT(ISNUMBER(G4208)), "", VLOOKUP(A4208,'Discount Lookup'!G:H,2,FALSE)*G4208)</f>
        <v/>
      </c>
      <c r="W4208" s="102">
        <f t="shared" si="3141"/>
        <v>0</v>
      </c>
      <c r="X4208" s="102">
        <f t="shared" si="3142"/>
        <v>0</v>
      </c>
      <c r="Y4208" s="120" t="b">
        <f t="shared" si="3143"/>
        <v>0</v>
      </c>
      <c r="Z4208" s="117">
        <f t="shared" si="3144"/>
        <v>0</v>
      </c>
      <c r="AA4208" s="118"/>
      <c r="AB4208" s="118" t="str">
        <f t="shared" si="3145"/>
        <v/>
      </c>
      <c r="AC4208" s="712" t="str">
        <f>IF(AE4208="T2G","no charge",IF(AND(OR(PlanterYesMe="No",PlanterYesMe="N",PlanterYesMe="me"),H4208=""),"",IF(H4208="credit","NO install",IF(AND(K4208="",AE4208="me"),"EACH row",IF(AND(K4208="images",AE4208="me"),"EACH row",IF(D4208="","",IF(H4208="credit","",IF(AE4208="free","re-planting",IF(AE4208="me","   not ELP, by",IF(AND(OR(PlanterYesMe="Yes",PlanterYesMe="Y"),G4208&gt;0),(VLOOKUP(A4208,'Discount Lookup'!J:K,2)*G4208*(1-PlanterDiscount)*(1+PlanterDifficultyPercentage)),IF(AE4208="ELP",(VLOOKUP(A4208,'Discount Lookup'!J:K,2)*G4208*(1-PlanterDiscount)*(1+PlanterDifficultyPercentage)),IF(AE4208="free","re-planting",IF(G4208=0,"",IF(PlanterYesMe="",IF(AE4208="me","   not ELP, by",IF(AE4208="",IF(G4208&gt;0,(VLOOKUP(A4208,'Discount Lookup'!J:K,2)*G4208*(1-PlanterDiscount)*(1+PlanterDifficultyPercentage)),""),"")),"   not ELP, by"))))))))))))))</f>
        <v/>
      </c>
      <c r="AD4208" s="712"/>
      <c r="AE4208" s="513" t="str">
        <f t="shared" si="3146"/>
        <v/>
      </c>
      <c r="AF4208" s="713" t="str">
        <f t="shared" si="3147"/>
        <v/>
      </c>
      <c r="AG4208" s="713"/>
      <c r="AH4208" s="713"/>
      <c r="AI4208" s="112">
        <f>IF(H4208="credit",0,IF(AE4208="free",0,IF(AE4208="me",0,IF(G4208&gt;0,(VLOOKUP(A4208,'Discount Lookup'!J:K,2)*G4208),0))))</f>
        <v>0</v>
      </c>
      <c r="AJ4208" s="107" t="str">
        <f t="shared" ca="1" si="3148"/>
        <v/>
      </c>
      <c r="AK4208" s="714" t="str">
        <f t="shared" si="3149"/>
        <v/>
      </c>
      <c r="AL4208" s="714"/>
      <c r="AM4208" s="114" t="str">
        <f t="shared" si="3150"/>
        <v/>
      </c>
      <c r="AN4208" s="115"/>
      <c r="AO4208" s="116"/>
      <c r="AP4208" s="116"/>
      <c r="AQ4208" s="116"/>
      <c r="AR4208" s="116"/>
      <c r="AS4208" s="116"/>
      <c r="AT4208" s="116"/>
      <c r="AU4208" s="116"/>
      <c r="AV4208" s="78"/>
      <c r="AW4208" s="102"/>
      <c r="AX4208" s="78"/>
      <c r="AY4208" s="78"/>
      <c r="AZ4208" s="78"/>
      <c r="BA4208" s="78"/>
      <c r="BB4208" s="78"/>
      <c r="BC4208" s="78"/>
      <c r="BD4208" s="78"/>
      <c r="BE4208" s="465"/>
      <c r="BF4208" s="165" t="str">
        <f t="shared" si="3151"/>
        <v>https://www.google.com/search?tbm=isch&amp;q=Tsuga%20%3D%20Hemlock%20</v>
      </c>
      <c r="BG4208" s="165" t="str">
        <f t="shared" si="3152"/>
        <v>T</v>
      </c>
      <c r="BH4208" s="65"/>
      <c r="BI4208" s="65"/>
      <c r="BJ4208" s="65"/>
      <c r="BK4208" s="65"/>
      <c r="BL4208" s="99"/>
      <c r="BM4208" s="99"/>
      <c r="BN4208" s="99"/>
    </row>
    <row r="4209" spans="1:66" s="51" customFormat="1" ht="18" x14ac:dyDescent="0.25">
      <c r="A4209" s="507" t="s">
        <v>4403</v>
      </c>
      <c r="B4209" s="470"/>
      <c r="C4209" s="706"/>
      <c r="D4209" s="471" t="s">
        <v>4404</v>
      </c>
      <c r="E4209" s="472"/>
      <c r="F4209" s="472"/>
      <c r="G4209" s="472"/>
      <c r="H4209" s="622" t="s">
        <v>1207</v>
      </c>
      <c r="I4209" s="473" t="s">
        <v>4405</v>
      </c>
      <c r="J4209" s="472"/>
      <c r="K4209" s="472"/>
      <c r="L4209" s="561"/>
      <c r="M4209" s="703" t="s">
        <v>5274</v>
      </c>
      <c r="N4209" s="692" t="str">
        <f>IF(AND(ISTEXT($A4209), ISERROR($A4209+0)), HYPERLINK($BF4209, "Images"), "")</f>
        <v>Images</v>
      </c>
      <c r="O4209" s="694" t="s">
        <v>5286</v>
      </c>
      <c r="P4209" s="475"/>
      <c r="Q4209" s="476"/>
      <c r="R4209" s="476"/>
      <c r="S4209" s="477" t="s">
        <v>294</v>
      </c>
      <c r="T4209" s="102">
        <f t="shared" si="3140"/>
        <v>0</v>
      </c>
      <c r="U4209" s="78" t="str">
        <f>IF(NOT(ISNUMBER(G4209)), "", VLOOKUP(A4209,'Discount Lookup'!D:E,2,FALSE)*G4209)</f>
        <v/>
      </c>
      <c r="V4209" s="78" t="str">
        <f>IF(NOT(ISNUMBER(G4209)), "", VLOOKUP(A4209,'Discount Lookup'!G:H,2,FALSE)*G4209)</f>
        <v/>
      </c>
      <c r="W4209" s="102">
        <f t="shared" si="3141"/>
        <v>0</v>
      </c>
      <c r="X4209" s="102" t="str">
        <f t="shared" si="3142"/>
        <v>Green needles, White tips</v>
      </c>
      <c r="Y4209" s="120" t="b">
        <f t="shared" si="3143"/>
        <v>0</v>
      </c>
      <c r="Z4209" s="117">
        <f t="shared" si="3144"/>
        <v>0</v>
      </c>
      <c r="AA4209" s="118"/>
      <c r="AB4209" s="118" t="str">
        <f t="shared" si="3145"/>
        <v/>
      </c>
      <c r="AC4209" s="712" t="str">
        <f>IF(AE4209="T2G","no charge",IF(AND(OR(PlanterYesMe="No",PlanterYesMe="N",PlanterYesMe="me"),H4209=""),"",IF(H4209="credit","NO install",IF(AND(K4209="",AE4209="me"),"EACH row",IF(AND(K4209="images",AE4209="me"),"EACH row",IF(D4209="","",IF(H4209="credit","",IF(AE4209="free","re-planting",IF(AE4209="me","   not ELP, by",IF(AND(OR(PlanterYesMe="Yes",PlanterYesMe="Y"),G4209&gt;0),(VLOOKUP(A4209,'Discount Lookup'!J:K,2)*G4209*(1-PlanterDiscount)*(1+PlanterDifficultyPercentage)),IF(AE4209="ELP",(VLOOKUP(A4209,'Discount Lookup'!J:K,2)*G4209*(1-PlanterDiscount)*(1+PlanterDifficultyPercentage)),IF(AE4209="free","re-planting",IF(G4209=0,"",IF(PlanterYesMe="",IF(AE4209="me","   not ELP, by",IF(AE4209="",IF(G4209&gt;0,(VLOOKUP(A4209,'Discount Lookup'!J:K,2)*G4209*(1-PlanterDiscount)*(1+PlanterDifficultyPercentage)),""),"")),"   not ELP, by"))))))))))))))</f>
        <v/>
      </c>
      <c r="AD4209" s="712"/>
      <c r="AE4209" s="513" t="str">
        <f t="shared" si="3146"/>
        <v/>
      </c>
      <c r="AF4209" s="713" t="str">
        <f t="shared" si="3147"/>
        <v/>
      </c>
      <c r="AG4209" s="713"/>
      <c r="AH4209" s="713"/>
      <c r="AI4209" s="112">
        <f>IF(H4209="credit",0,IF(AE4209="free",0,IF(AE4209="me",0,IF(G4209&gt;0,(VLOOKUP(A4209,'Discount Lookup'!J:K,2)*G4209),0))))</f>
        <v>0</v>
      </c>
      <c r="AJ4209" s="107" t="str">
        <f t="shared" ca="1" si="3148"/>
        <v/>
      </c>
      <c r="AK4209" s="714" t="str">
        <f t="shared" si="3149"/>
        <v/>
      </c>
      <c r="AL4209" s="714"/>
      <c r="AM4209" s="114" t="str">
        <f t="shared" si="3150"/>
        <v/>
      </c>
      <c r="AN4209" s="115"/>
      <c r="AO4209" s="116"/>
      <c r="AP4209" s="116"/>
      <c r="AQ4209" s="116"/>
      <c r="AR4209" s="116"/>
      <c r="AS4209" s="116"/>
      <c r="AT4209" s="116"/>
      <c r="AU4209" s="116"/>
      <c r="AV4209" s="78"/>
      <c r="AW4209" s="102"/>
      <c r="AX4209" s="78"/>
      <c r="AY4209" s="78"/>
      <c r="AZ4209" s="78"/>
      <c r="BA4209" s="78"/>
      <c r="BB4209" s="78"/>
      <c r="BC4209" s="78"/>
      <c r="BD4209" s="78"/>
      <c r="BE4209" s="465"/>
      <c r="BF4209" s="165" t="str">
        <f t="shared" si="3151"/>
        <v>https://www.google.com/search?tbm=isch&amp;q=Tsuga%20canadensis%20%27Gentsch%20White%27%20Gentsch%20White%20Canadian%20Hemlock</v>
      </c>
      <c r="BG4209" s="165" t="str">
        <f t="shared" si="3152"/>
        <v>T</v>
      </c>
      <c r="BH4209" s="65"/>
      <c r="BI4209" s="65"/>
      <c r="BJ4209" s="65"/>
      <c r="BK4209" s="65"/>
      <c r="BL4209" s="99"/>
      <c r="BM4209" s="99"/>
      <c r="BN4209" s="99"/>
    </row>
    <row r="4210" spans="1:66" s="51" customFormat="1" ht="15.75" x14ac:dyDescent="0.25">
      <c r="A4210" s="478">
        <v>10</v>
      </c>
      <c r="B4210" s="479" t="s">
        <v>291</v>
      </c>
      <c r="C4210" s="480" t="s">
        <v>4406</v>
      </c>
      <c r="D4210" s="481" t="s">
        <v>299</v>
      </c>
      <c r="E4210" s="482">
        <v>316.95</v>
      </c>
      <c r="F4210" s="483" t="s">
        <v>292</v>
      </c>
      <c r="G4210" s="484">
        <v>0</v>
      </c>
      <c r="H4210" s="688" t="str">
        <f>IF(G4210=0,"",IF(F4210="Buy",IF(G4210=1,"plant","plants"),IF(F4210&gt;0.01,"warranty","Error")))</f>
        <v/>
      </c>
      <c r="I4210" s="485">
        <f>IF(H4210="free",0,IF(H4210="credit",((E4210*(F4210))*G4210*-1),IF(F4210="Buy",(E4210*G4210),((E4210*(1-F4210))*G4210))))</f>
        <v>0</v>
      </c>
      <c r="J4210" s="485">
        <f>IF(H4210="warranty",0,(I4210*(_xlfn.SINGLE(SalesTaxPercentage))))</f>
        <v>0</v>
      </c>
      <c r="K4210" s="715">
        <f t="shared" ref="K4210" si="3164">I4210+J4210</f>
        <v>0</v>
      </c>
      <c r="L4210" s="715"/>
      <c r="M4210" s="689" t="str">
        <f ca="1">IF(AND(G4210&gt;0,E4210=0),"WARNING - no PRICE inserted",IF(H4210="free","FREE ~ no charge this plant",IF(H4210="credit",CONCATENATE("-$",ROUND(K4210*(1-_xlfn.SINGLE(T2GDiscount))*-1,2)," CREDIT after discount"),IF(_xlfn.SINGLE(T2GDiscount)=0,"",IF(G4210=0,"",IF(F4210="Buy",CONCATENATE("$",ROUND(K4210*(1-_xlfn.SINGLE(T2GDiscount)),2)," with ",(_xlfn.SINGLE(T2GDiscount)*100),"% discount"),CONCATENATE("$",ROUND(K4210*(1-_xlfn.SINGLE(T2GDiscount)),2)," with ",((_xlfn.SINGLE(T2GDiscount)*100+F4210*100)-(_xlfn.SINGLE(T2GDiscount)*100*F4210)),IF(F4210&gt;0,"% discounts",IF(_xlfn.SINGLE(NoWarrantyDiscount)&gt;0,"% discounts","% discount")))))))))</f>
        <v/>
      </c>
      <c r="N4210" s="690"/>
      <c r="O4210" s="486"/>
      <c r="P4210" s="486"/>
      <c r="Q4210" s="486"/>
      <c r="R4210" s="486"/>
      <c r="S4210" s="486"/>
      <c r="T4210" s="102">
        <f t="shared" si="3140"/>
        <v>0</v>
      </c>
      <c r="U4210" s="78">
        <f>IF(NOT(ISNUMBER(G4210)), "", VLOOKUP(A4210,'Discount Lookup'!D:E,2,FALSE)*G4210)</f>
        <v>0</v>
      </c>
      <c r="V4210" s="78">
        <f>IF(NOT(ISNUMBER(G4210)), "", VLOOKUP(A4210,'Discount Lookup'!G:H,2,FALSE)*G4210)</f>
        <v>0</v>
      </c>
      <c r="W4210" s="102">
        <f t="shared" si="3141"/>
        <v>0</v>
      </c>
      <c r="X4210" s="102">
        <f t="shared" si="3142"/>
        <v>0</v>
      </c>
      <c r="Y4210" s="120" t="b">
        <f t="shared" si="3143"/>
        <v>0</v>
      </c>
      <c r="Z4210" s="117">
        <f t="shared" si="3144"/>
        <v>0</v>
      </c>
      <c r="AA4210" s="118"/>
      <c r="AB4210" s="118" t="str">
        <f t="shared" si="3145"/>
        <v/>
      </c>
      <c r="AC4210" s="712" t="str">
        <f>IF(AE4210="T2G","no charge",IF(AND(OR(PlanterYesMe="No",PlanterYesMe="N",PlanterYesMe="me"),H4210=""),"",IF(H4210="credit","NO install",IF(AND(K4210="",AE4210="me"),"EACH row",IF(AND(K4210="images",AE4210="me"),"EACH row",IF(D4210="","",IF(H4210="credit","",IF(AE4210="free","re-planting",IF(AE4210="me","   not ELP, by",IF(AND(OR(PlanterYesMe="Yes",PlanterYesMe="Y"),G4210&gt;0),(VLOOKUP(A4210,'Discount Lookup'!J:K,2)*G4210*(1-PlanterDiscount)*(1+PlanterDifficultyPercentage)),IF(AE4210="ELP",(VLOOKUP(A4210,'Discount Lookup'!J:K,2)*G4210*(1-PlanterDiscount)*(1+PlanterDifficultyPercentage)),IF(AE4210="free","re-planting",IF(G4210=0,"",IF(PlanterYesMe="",IF(AE4210="me","   not ELP, by",IF(AE4210="",IF(G4210&gt;0,(VLOOKUP(A4210,'Discount Lookup'!J:K,2)*G4210*(1-PlanterDiscount)*(1+PlanterDifficultyPercentage)),""),"")),"   not ELP, by"))))))))))))))</f>
        <v/>
      </c>
      <c r="AD4210" s="712"/>
      <c r="AE4210" s="513" t="str">
        <f t="shared" si="3146"/>
        <v/>
      </c>
      <c r="AF4210" s="713" t="str">
        <f t="shared" si="3147"/>
        <v/>
      </c>
      <c r="AG4210" s="713"/>
      <c r="AH4210" s="713"/>
      <c r="AI4210" s="112">
        <f>IF(H4210="credit",0,IF(AE4210="free",0,IF(AE4210="me",0,IF(G4210&gt;0,(VLOOKUP(A4210,'Discount Lookup'!J:K,2)*G4210),0))))</f>
        <v>0</v>
      </c>
      <c r="AJ4210" s="107" t="str">
        <f t="shared" ca="1" si="3148"/>
        <v/>
      </c>
      <c r="AK4210" s="714" t="str">
        <f t="shared" si="3149"/>
        <v/>
      </c>
      <c r="AL4210" s="714"/>
      <c r="AM4210" s="114" t="str">
        <f t="shared" si="3150"/>
        <v/>
      </c>
      <c r="AN4210" s="115"/>
      <c r="AO4210" s="116"/>
      <c r="AP4210" s="116"/>
      <c r="AQ4210" s="116"/>
      <c r="AR4210" s="116"/>
      <c r="AS4210" s="116"/>
      <c r="AT4210" s="116"/>
      <c r="AU4210" s="116"/>
      <c r="AV4210" s="78"/>
      <c r="AW4210" s="102"/>
      <c r="AX4210" s="78"/>
      <c r="AY4210" s="78"/>
      <c r="AZ4210" s="78"/>
      <c r="BA4210" s="78"/>
      <c r="BB4210" s="78"/>
      <c r="BC4210" s="78"/>
      <c r="BD4210" s="78"/>
      <c r="BE4210" s="465"/>
      <c r="BF4210" s="165" t="str">
        <f t="shared" si="3151"/>
        <v>https://www.google.com/search?tbm=isch&amp;q=10%20G4</v>
      </c>
      <c r="BG4210" s="165" t="str">
        <f t="shared" si="3152"/>
        <v>T</v>
      </c>
      <c r="BH4210" s="65"/>
      <c r="BI4210" s="65"/>
      <c r="BJ4210" s="65"/>
      <c r="BK4210" s="65"/>
      <c r="BL4210" s="99"/>
      <c r="BM4210" s="99"/>
      <c r="BN4210" s="99"/>
    </row>
    <row r="4211" spans="1:66" s="51" customFormat="1" ht="16.5" thickBot="1" x14ac:dyDescent="0.3">
      <c r="A4211" s="705" t="s">
        <v>5556</v>
      </c>
      <c r="B4211" s="487"/>
      <c r="C4211" s="707"/>
      <c r="D4211" s="487"/>
      <c r="E4211" s="487"/>
      <c r="F4211" s="488"/>
      <c r="G4211" s="489"/>
      <c r="H4211" s="487"/>
      <c r="I4211" s="490"/>
      <c r="J4211" s="490"/>
      <c r="K4211" s="491"/>
      <c r="L4211" s="547"/>
      <c r="M4211" s="528"/>
      <c r="N4211" s="492"/>
      <c r="O4211" s="493"/>
      <c r="P4211" s="494"/>
      <c r="Q4211" s="492"/>
      <c r="R4211" s="492"/>
      <c r="S4211" s="495"/>
      <c r="T4211" s="102">
        <f t="shared" si="3140"/>
        <v>0</v>
      </c>
      <c r="U4211" s="78" t="str">
        <f>IF(NOT(ISNUMBER(G4211)), "", VLOOKUP(A4211,'Discount Lookup'!D:E,2,FALSE)*G4211)</f>
        <v/>
      </c>
      <c r="V4211" s="78" t="str">
        <f>IF(NOT(ISNUMBER(G4211)), "", VLOOKUP(A4211,'Discount Lookup'!G:H,2,FALSE)*G4211)</f>
        <v/>
      </c>
      <c r="W4211" s="102">
        <f t="shared" si="3141"/>
        <v>0</v>
      </c>
      <c r="X4211" s="102">
        <f t="shared" si="3142"/>
        <v>0</v>
      </c>
      <c r="Y4211" s="120" t="b">
        <f t="shared" si="3143"/>
        <v>0</v>
      </c>
      <c r="Z4211" s="117">
        <f t="shared" si="3144"/>
        <v>0</v>
      </c>
      <c r="AA4211" s="118"/>
      <c r="AB4211" s="118" t="str">
        <f t="shared" si="3145"/>
        <v/>
      </c>
      <c r="AC4211" s="712" t="str">
        <f>IF(AE4211="T2G","no charge",IF(AND(OR(PlanterYesMe="No",PlanterYesMe="N",PlanterYesMe="me"),H4211=""),"",IF(H4211="credit","NO install",IF(AND(K4211="",AE4211="me"),"EACH row",IF(AND(K4211="images",AE4211="me"),"EACH row",IF(D4211="","",IF(H4211="credit","",IF(AE4211="free","re-planting",IF(AE4211="me","   not ELP, by",IF(AND(OR(PlanterYesMe="Yes",PlanterYesMe="Y"),G4211&gt;0),(VLOOKUP(A4211,'Discount Lookup'!J:K,2)*G4211*(1-PlanterDiscount)*(1+PlanterDifficultyPercentage)),IF(AE4211="ELP",(VLOOKUP(A4211,'Discount Lookup'!J:K,2)*G4211*(1-PlanterDiscount)*(1+PlanterDifficultyPercentage)),IF(AE4211="free","re-planting",IF(G4211=0,"",IF(PlanterYesMe="",IF(AE4211="me","   not ELP, by",IF(AE4211="",IF(G4211&gt;0,(VLOOKUP(A4211,'Discount Lookup'!J:K,2)*G4211*(1-PlanterDiscount)*(1+PlanterDifficultyPercentage)),""),"")),"   not ELP, by"))))))))))))))</f>
        <v/>
      </c>
      <c r="AD4211" s="712"/>
      <c r="AE4211" s="513" t="str">
        <f t="shared" si="3146"/>
        <v/>
      </c>
      <c r="AF4211" s="713" t="str">
        <f t="shared" si="3147"/>
        <v/>
      </c>
      <c r="AG4211" s="713"/>
      <c r="AH4211" s="713"/>
      <c r="AI4211" s="112">
        <f>IF(H4211="credit",0,IF(AE4211="free",0,IF(AE4211="me",0,IF(G4211&gt;0,(VLOOKUP(A4211,'Discount Lookup'!J:K,2)*G4211),0))))</f>
        <v>0</v>
      </c>
      <c r="AJ4211" s="107" t="str">
        <f t="shared" ca="1" si="3148"/>
        <v/>
      </c>
      <c r="AK4211" s="714" t="str">
        <f t="shared" si="3149"/>
        <v/>
      </c>
      <c r="AL4211" s="714"/>
      <c r="AM4211" s="114" t="str">
        <f t="shared" si="3150"/>
        <v/>
      </c>
      <c r="AN4211" s="115"/>
      <c r="AO4211" s="116"/>
      <c r="AP4211" s="116"/>
      <c r="AQ4211" s="116"/>
      <c r="AR4211" s="116"/>
      <c r="AS4211" s="116"/>
      <c r="AT4211" s="116"/>
      <c r="AU4211" s="116"/>
      <c r="AV4211" s="78"/>
      <c r="AW4211" s="102"/>
      <c r="AX4211" s="78"/>
      <c r="AY4211" s="78"/>
      <c r="AZ4211" s="78"/>
      <c r="BA4211" s="78"/>
      <c r="BB4211" s="78"/>
      <c r="BC4211" s="78"/>
      <c r="BD4211" s="78"/>
      <c r="BE4211" s="465"/>
      <c r="BF4211" s="165" t="str">
        <f t="shared" si="3151"/>
        <v>https://www.google.com/search?tbm=isch&amp;q=moist%20sites%F0%9F%92%A7BEST%2C%20Gentsch%20White%20features%20striking%20Creamy%20White-tipped%20foliage%20that%20intensifies%20in%20fall%20and%20winter.%20Slow%20growing%20</v>
      </c>
      <c r="BG4211" s="165" t="str">
        <f t="shared" si="3152"/>
        <v>m</v>
      </c>
      <c r="BH4211" s="65"/>
      <c r="BI4211" s="65"/>
      <c r="BJ4211" s="65"/>
      <c r="BK4211" s="65"/>
      <c r="BL4211" s="99"/>
      <c r="BM4211" s="99"/>
      <c r="BN4211" s="99"/>
    </row>
    <row r="4212" spans="1:66" s="51" customFormat="1" ht="18" x14ac:dyDescent="0.25">
      <c r="A4212" s="507" t="s">
        <v>4407</v>
      </c>
      <c r="B4212" s="470"/>
      <c r="C4212" s="706"/>
      <c r="D4212" s="471" t="s">
        <v>4408</v>
      </c>
      <c r="E4212" s="472"/>
      <c r="F4212" s="472"/>
      <c r="G4212" s="472"/>
      <c r="H4212" s="622" t="s">
        <v>1124</v>
      </c>
      <c r="I4212" s="473" t="s">
        <v>1944</v>
      </c>
      <c r="J4212" s="472"/>
      <c r="K4212" s="472"/>
      <c r="L4212" s="561"/>
      <c r="M4212" s="703" t="s">
        <v>5274</v>
      </c>
      <c r="N4212" s="692" t="str">
        <f>IF(AND(ISTEXT($A4212), ISERROR($A4212+0)), HYPERLINK($BF4212, "Images"), "")</f>
        <v>Images</v>
      </c>
      <c r="O4212" s="694" t="s">
        <v>5286</v>
      </c>
      <c r="P4212" s="475"/>
      <c r="Q4212" s="476"/>
      <c r="R4212" s="476"/>
      <c r="S4212" s="477" t="s">
        <v>294</v>
      </c>
      <c r="T4212" s="102">
        <f t="shared" si="3140"/>
        <v>0</v>
      </c>
      <c r="U4212" s="78" t="str">
        <f>IF(NOT(ISNUMBER(G4212)), "", VLOOKUP(A4212,'Discount Lookup'!D:E,2,FALSE)*G4212)</f>
        <v/>
      </c>
      <c r="V4212" s="78" t="str">
        <f>IF(NOT(ISNUMBER(G4212)), "", VLOOKUP(A4212,'Discount Lookup'!G:H,2,FALSE)*G4212)</f>
        <v/>
      </c>
      <c r="W4212" s="102">
        <f t="shared" si="3141"/>
        <v>0</v>
      </c>
      <c r="X4212" s="102" t="str">
        <f t="shared" si="3142"/>
        <v>Bluish-Green needles</v>
      </c>
      <c r="Y4212" s="120" t="b">
        <f t="shared" si="3143"/>
        <v>0</v>
      </c>
      <c r="Z4212" s="117">
        <f t="shared" si="3144"/>
        <v>0</v>
      </c>
      <c r="AA4212" s="118"/>
      <c r="AB4212" s="118" t="str">
        <f t="shared" si="3145"/>
        <v/>
      </c>
      <c r="AC4212" s="712" t="str">
        <f>IF(AE4212="T2G","no charge",IF(AND(OR(PlanterYesMe="No",PlanterYesMe="N",PlanterYesMe="me"),H4212=""),"",IF(H4212="credit","NO install",IF(AND(K4212="",AE4212="me"),"EACH row",IF(AND(K4212="images",AE4212="me"),"EACH row",IF(D4212="","",IF(H4212="credit","",IF(AE4212="free","re-planting",IF(AE4212="me","   not ELP, by",IF(AND(OR(PlanterYesMe="Yes",PlanterYesMe="Y"),G4212&gt;0),(VLOOKUP(A4212,'Discount Lookup'!J:K,2)*G4212*(1-PlanterDiscount)*(1+PlanterDifficultyPercentage)),IF(AE4212="ELP",(VLOOKUP(A4212,'Discount Lookup'!J:K,2)*G4212*(1-PlanterDiscount)*(1+PlanterDifficultyPercentage)),IF(AE4212="free","re-planting",IF(G4212=0,"",IF(PlanterYesMe="",IF(AE4212="me","   not ELP, by",IF(AE4212="",IF(G4212&gt;0,(VLOOKUP(A4212,'Discount Lookup'!J:K,2)*G4212*(1-PlanterDiscount)*(1+PlanterDifficultyPercentage)),""),"")),"   not ELP, by"))))))))))))))</f>
        <v/>
      </c>
      <c r="AD4212" s="712"/>
      <c r="AE4212" s="513" t="str">
        <f t="shared" si="3146"/>
        <v/>
      </c>
      <c r="AF4212" s="713" t="str">
        <f t="shared" si="3147"/>
        <v/>
      </c>
      <c r="AG4212" s="713"/>
      <c r="AH4212" s="713"/>
      <c r="AI4212" s="112">
        <f>IF(H4212="credit",0,IF(AE4212="free",0,IF(AE4212="me",0,IF(G4212&gt;0,(VLOOKUP(A4212,'Discount Lookup'!J:K,2)*G4212),0))))</f>
        <v>0</v>
      </c>
      <c r="AJ4212" s="107" t="str">
        <f t="shared" ca="1" si="3148"/>
        <v/>
      </c>
      <c r="AK4212" s="714" t="str">
        <f t="shared" si="3149"/>
        <v/>
      </c>
      <c r="AL4212" s="714"/>
      <c r="AM4212" s="114" t="str">
        <f t="shared" si="3150"/>
        <v/>
      </c>
      <c r="AN4212" s="115"/>
      <c r="AO4212" s="116"/>
      <c r="AP4212" s="116"/>
      <c r="AQ4212" s="116"/>
      <c r="AR4212" s="116"/>
      <c r="AS4212" s="116"/>
      <c r="AT4212" s="116"/>
      <c r="AU4212" s="116"/>
      <c r="AV4212" s="78"/>
      <c r="AW4212" s="102"/>
      <c r="AX4212" s="78"/>
      <c r="AY4212" s="78"/>
      <c r="AZ4212" s="78"/>
      <c r="BA4212" s="78"/>
      <c r="BB4212" s="78"/>
      <c r="BC4212" s="78"/>
      <c r="BD4212" s="78"/>
      <c r="BE4212" s="465"/>
      <c r="BF4212" s="165" t="str">
        <f t="shared" si="3151"/>
        <v>https://www.google.com/search?tbm=isch&amp;q=Tsuga%20canadensis%20%27Moon%20Frost%27%20Moon%20Frost%20Canadian%20Hemlock</v>
      </c>
      <c r="BG4212" s="165" t="str">
        <f t="shared" si="3152"/>
        <v>T</v>
      </c>
      <c r="BH4212" s="65"/>
      <c r="BI4212" s="65"/>
      <c r="BJ4212" s="65"/>
      <c r="BK4212" s="65"/>
      <c r="BL4212" s="99"/>
      <c r="BM4212" s="99"/>
      <c r="BN4212" s="99"/>
    </row>
    <row r="4213" spans="1:66" s="51" customFormat="1" ht="27" x14ac:dyDescent="0.25">
      <c r="A4213" s="478">
        <v>7</v>
      </c>
      <c r="B4213" s="479" t="s">
        <v>291</v>
      </c>
      <c r="C4213" s="480" t="s">
        <v>5219</v>
      </c>
      <c r="D4213" s="481" t="s">
        <v>299</v>
      </c>
      <c r="E4213" s="482">
        <v>196.95</v>
      </c>
      <c r="F4213" s="483" t="s">
        <v>292</v>
      </c>
      <c r="G4213" s="484">
        <v>0</v>
      </c>
      <c r="H4213" s="688" t="str">
        <f>IF(G4213=0,"",IF(F4213="Buy",IF(G4213=1,"plant","plants"),IF(F4213&gt;0.01,"warranty","Error")))</f>
        <v/>
      </c>
      <c r="I4213" s="485">
        <f>IF(H4213="free",0,IF(H4213="credit",((E4213*(F4213))*G4213*-1),IF(F4213="Buy",(E4213*G4213),((E4213*(1-F4213))*G4213))))</f>
        <v>0</v>
      </c>
      <c r="J4213" s="485">
        <f>IF(H4213="warranty",0,(I4213*(_xlfn.SINGLE(SalesTaxPercentage))))</f>
        <v>0</v>
      </c>
      <c r="K4213" s="715">
        <f t="shared" ref="K4213" si="3165">I4213+J4213</f>
        <v>0</v>
      </c>
      <c r="L4213" s="715"/>
      <c r="M4213" s="689" t="str">
        <f ca="1">IF(AND(G4213&gt;0,E4213=0),"WARNING - no PRICE inserted",IF(H4213="free","FREE ~ no charge this plant",IF(H4213="credit",CONCATENATE("-$",ROUND(K4213*(1-_xlfn.SINGLE(T2GDiscount))*-1,2)," CREDIT after discount"),IF(_xlfn.SINGLE(T2GDiscount)=0,"",IF(G4213=0,"",IF(F4213="Buy",CONCATENATE("$",ROUND(K4213*(1-_xlfn.SINGLE(T2GDiscount)),2)," with ",(_xlfn.SINGLE(T2GDiscount)*100),"% discount"),CONCATENATE("$",ROUND(K4213*(1-_xlfn.SINGLE(T2GDiscount)),2)," with ",((_xlfn.SINGLE(T2GDiscount)*100+F4213*100)-(_xlfn.SINGLE(T2GDiscount)*100*F4213)),IF(F4213&gt;0,"% discounts",IF(_xlfn.SINGLE(NoWarrantyDiscount)&gt;0,"% discounts","% discount")))))))))</f>
        <v/>
      </c>
      <c r="N4213" s="690"/>
      <c r="O4213" s="486"/>
      <c r="P4213" s="486"/>
      <c r="Q4213" s="486"/>
      <c r="R4213" s="486"/>
      <c r="S4213" s="486"/>
      <c r="T4213" s="102">
        <f t="shared" si="3140"/>
        <v>0</v>
      </c>
      <c r="U4213" s="78">
        <f>IF(NOT(ISNUMBER(G4213)), "", VLOOKUP(A4213,'Discount Lookup'!D:E,2,FALSE)*G4213)</f>
        <v>0</v>
      </c>
      <c r="V4213" s="78">
        <f>IF(NOT(ISNUMBER(G4213)), "", VLOOKUP(A4213,'Discount Lookup'!G:H,2,FALSE)*G4213)</f>
        <v>0</v>
      </c>
      <c r="W4213" s="102">
        <f t="shared" si="3141"/>
        <v>0</v>
      </c>
      <c r="X4213" s="102">
        <f t="shared" si="3142"/>
        <v>0</v>
      </c>
      <c r="Y4213" s="120" t="b">
        <f t="shared" si="3143"/>
        <v>0</v>
      </c>
      <c r="Z4213" s="117">
        <f t="shared" si="3144"/>
        <v>0</v>
      </c>
      <c r="AA4213" s="118"/>
      <c r="AB4213" s="118" t="str">
        <f t="shared" si="3145"/>
        <v/>
      </c>
      <c r="AC4213" s="712" t="str">
        <f>IF(AE4213="T2G","no charge",IF(AND(OR(PlanterYesMe="No",PlanterYesMe="N",PlanterYesMe="me"),H4213=""),"",IF(H4213="credit","NO install",IF(AND(K4213="",AE4213="me"),"EACH row",IF(AND(K4213="images",AE4213="me"),"EACH row",IF(D4213="","",IF(H4213="credit","",IF(AE4213="free","re-planting",IF(AE4213="me","   not ELP, by",IF(AND(OR(PlanterYesMe="Yes",PlanterYesMe="Y"),G4213&gt;0),(VLOOKUP(A4213,'Discount Lookup'!J:K,2)*G4213*(1-PlanterDiscount)*(1+PlanterDifficultyPercentage)),IF(AE4213="ELP",(VLOOKUP(A4213,'Discount Lookup'!J:K,2)*G4213*(1-PlanterDiscount)*(1+PlanterDifficultyPercentage)),IF(AE4213="free","re-planting",IF(G4213=0,"",IF(PlanterYesMe="",IF(AE4213="me","   not ELP, by",IF(AE4213="",IF(G4213&gt;0,(VLOOKUP(A4213,'Discount Lookup'!J:K,2)*G4213*(1-PlanterDiscount)*(1+PlanterDifficultyPercentage)),""),"")),"   not ELP, by"))))))))))))))</f>
        <v/>
      </c>
      <c r="AD4213" s="712"/>
      <c r="AE4213" s="513" t="str">
        <f t="shared" si="3146"/>
        <v/>
      </c>
      <c r="AF4213" s="713" t="str">
        <f t="shared" si="3147"/>
        <v/>
      </c>
      <c r="AG4213" s="713"/>
      <c r="AH4213" s="713"/>
      <c r="AI4213" s="112">
        <f>IF(H4213="credit",0,IF(AE4213="free",0,IF(AE4213="me",0,IF(G4213&gt;0,(VLOOKUP(A4213,'Discount Lookup'!J:K,2)*G4213),0))))</f>
        <v>0</v>
      </c>
      <c r="AJ4213" s="107" t="str">
        <f t="shared" ca="1" si="3148"/>
        <v/>
      </c>
      <c r="AK4213" s="714" t="str">
        <f t="shared" si="3149"/>
        <v/>
      </c>
      <c r="AL4213" s="714"/>
      <c r="AM4213" s="114" t="str">
        <f t="shared" si="3150"/>
        <v/>
      </c>
      <c r="AN4213" s="115"/>
      <c r="AO4213" s="116"/>
      <c r="AP4213" s="116"/>
      <c r="AQ4213" s="116"/>
      <c r="AR4213" s="116"/>
      <c r="AS4213" s="116"/>
      <c r="AT4213" s="116"/>
      <c r="AU4213" s="116"/>
      <c r="AV4213" s="78"/>
      <c r="AW4213" s="102"/>
      <c r="AX4213" s="78"/>
      <c r="AY4213" s="78"/>
      <c r="AZ4213" s="78"/>
      <c r="BA4213" s="78"/>
      <c r="BB4213" s="78"/>
      <c r="BC4213" s="78"/>
      <c r="BD4213" s="78"/>
      <c r="BE4213" s="465"/>
      <c r="BF4213" s="165" t="str">
        <f t="shared" si="3151"/>
        <v>https://www.google.com/search?tbm=isch&amp;q=7%20G4</v>
      </c>
      <c r="BG4213" s="165" t="str">
        <f t="shared" si="3152"/>
        <v>T</v>
      </c>
      <c r="BH4213" s="65"/>
      <c r="BI4213" s="65"/>
      <c r="BJ4213" s="65"/>
      <c r="BK4213" s="65"/>
      <c r="BL4213" s="99"/>
      <c r="BM4213" s="99"/>
      <c r="BN4213" s="99"/>
    </row>
    <row r="4214" spans="1:66" s="51" customFormat="1" ht="15.75" x14ac:dyDescent="0.25">
      <c r="A4214" s="705" t="s">
        <v>5557</v>
      </c>
      <c r="B4214" s="487"/>
      <c r="C4214" s="707"/>
      <c r="D4214" s="487"/>
      <c r="E4214" s="487"/>
      <c r="F4214" s="488"/>
      <c r="G4214" s="489"/>
      <c r="H4214" s="487"/>
      <c r="I4214" s="490"/>
      <c r="J4214" s="490"/>
      <c r="K4214" s="491"/>
      <c r="L4214" s="547"/>
      <c r="M4214" s="528"/>
      <c r="N4214" s="492"/>
      <c r="O4214" s="493"/>
      <c r="P4214" s="494"/>
      <c r="Q4214" s="492"/>
      <c r="R4214" s="492"/>
      <c r="S4214" s="495"/>
      <c r="T4214" s="102">
        <f t="shared" si="3140"/>
        <v>0</v>
      </c>
      <c r="U4214" s="78" t="str">
        <f>IF(NOT(ISNUMBER(G4214)), "", VLOOKUP(A4214,'Discount Lookup'!D:E,2,FALSE)*G4214)</f>
        <v/>
      </c>
      <c r="V4214" s="78" t="str">
        <f>IF(NOT(ISNUMBER(G4214)), "", VLOOKUP(A4214,'Discount Lookup'!G:H,2,FALSE)*G4214)</f>
        <v/>
      </c>
      <c r="W4214" s="102">
        <f t="shared" si="3141"/>
        <v>0</v>
      </c>
      <c r="X4214" s="102">
        <f t="shared" si="3142"/>
        <v>0</v>
      </c>
      <c r="Y4214" s="120" t="b">
        <f t="shared" si="3143"/>
        <v>0</v>
      </c>
      <c r="Z4214" s="117">
        <f t="shared" si="3144"/>
        <v>0</v>
      </c>
      <c r="AA4214" s="118"/>
      <c r="AB4214" s="118" t="str">
        <f t="shared" si="3145"/>
        <v/>
      </c>
      <c r="AC4214" s="712" t="str">
        <f>IF(AE4214="T2G","no charge",IF(AND(OR(PlanterYesMe="No",PlanterYesMe="N",PlanterYesMe="me"),H4214=""),"",IF(H4214="credit","NO install",IF(AND(K4214="",AE4214="me"),"EACH row",IF(AND(K4214="images",AE4214="me"),"EACH row",IF(D4214="","",IF(H4214="credit","",IF(AE4214="free","re-planting",IF(AE4214="me","   not ELP, by",IF(AND(OR(PlanterYesMe="Yes",PlanterYesMe="Y"),G4214&gt;0),(VLOOKUP(A4214,'Discount Lookup'!J:K,2)*G4214*(1-PlanterDiscount)*(1+PlanterDifficultyPercentage)),IF(AE4214="ELP",(VLOOKUP(A4214,'Discount Lookup'!J:K,2)*G4214*(1-PlanterDiscount)*(1+PlanterDifficultyPercentage)),IF(AE4214="free","re-planting",IF(G4214=0,"",IF(PlanterYesMe="",IF(AE4214="me","   not ELP, by",IF(AE4214="",IF(G4214&gt;0,(VLOOKUP(A4214,'Discount Lookup'!J:K,2)*G4214*(1-PlanterDiscount)*(1+PlanterDifficultyPercentage)),""),"")),"   not ELP, by"))))))))))))))</f>
        <v/>
      </c>
      <c r="AD4214" s="712"/>
      <c r="AE4214" s="513" t="str">
        <f t="shared" si="3146"/>
        <v/>
      </c>
      <c r="AF4214" s="713" t="str">
        <f t="shared" si="3147"/>
        <v/>
      </c>
      <c r="AG4214" s="713"/>
      <c r="AH4214" s="713"/>
      <c r="AI4214" s="112">
        <f>IF(H4214="credit",0,IF(AE4214="free",0,IF(AE4214="me",0,IF(G4214&gt;0,(VLOOKUP(A4214,'Discount Lookup'!J:K,2)*G4214),0))))</f>
        <v>0</v>
      </c>
      <c r="AJ4214" s="107" t="str">
        <f t="shared" ca="1" si="3148"/>
        <v/>
      </c>
      <c r="AK4214" s="714" t="str">
        <f t="shared" si="3149"/>
        <v/>
      </c>
      <c r="AL4214" s="714"/>
      <c r="AM4214" s="114" t="str">
        <f t="shared" si="3150"/>
        <v/>
      </c>
      <c r="AN4214" s="115"/>
      <c r="AO4214" s="116"/>
      <c r="AP4214" s="116"/>
      <c r="AQ4214" s="116"/>
      <c r="AR4214" s="116"/>
      <c r="AS4214" s="116"/>
      <c r="AT4214" s="116"/>
      <c r="AU4214" s="116"/>
      <c r="AV4214" s="78"/>
      <c r="AW4214" s="102"/>
      <c r="AX4214" s="78"/>
      <c r="AY4214" s="78"/>
      <c r="AZ4214" s="78"/>
      <c r="BA4214" s="78"/>
      <c r="BB4214" s="78"/>
      <c r="BC4214" s="78"/>
      <c r="BD4214" s="78"/>
      <c r="BE4214" s="465"/>
      <c r="BF4214" s="165" t="str">
        <f t="shared" si="3151"/>
        <v>https://www.google.com/search?tbm=isch&amp;q=moist%20sites%F0%9F%92%A7BEST%2C%20Moon%20Frost%20features%20Frosty%20White%20new%20growth%20that%20blushes%20Pink%20in%20winter%2C%20with%20a%20compact%20globe%20form%20and%20finely%20textured%20foliage%20</v>
      </c>
      <c r="BG4214" s="165" t="str">
        <f t="shared" si="3152"/>
        <v>m</v>
      </c>
      <c r="BH4214" s="65"/>
      <c r="BI4214" s="65"/>
      <c r="BJ4214" s="65"/>
      <c r="BK4214" s="65"/>
      <c r="BL4214" s="99"/>
      <c r="BM4214" s="99"/>
      <c r="BN4214" s="99"/>
    </row>
    <row r="4215" spans="1:66" s="51" customFormat="1" ht="55.5" x14ac:dyDescent="0.25">
      <c r="A4215" s="520" t="s">
        <v>810</v>
      </c>
      <c r="B4215" s="501"/>
      <c r="C4215" s="502"/>
      <c r="D4215" s="502"/>
      <c r="E4215" s="502"/>
      <c r="F4215" s="502"/>
      <c r="G4215" s="502"/>
      <c r="H4215" s="502"/>
      <c r="I4215" s="502"/>
      <c r="J4215" s="502"/>
      <c r="K4215" s="509" t="s">
        <v>871</v>
      </c>
      <c r="L4215" s="503"/>
      <c r="M4215" s="563"/>
      <c r="N4215" s="504"/>
      <c r="O4215" s="504"/>
      <c r="P4215" s="504"/>
      <c r="Q4215" s="504"/>
      <c r="R4215" s="504"/>
      <c r="S4215" s="511" t="s">
        <v>1546</v>
      </c>
      <c r="T4215" s="102">
        <f t="shared" si="3140"/>
        <v>0</v>
      </c>
      <c r="U4215" s="78" t="str">
        <f>IF(NOT(ISNUMBER(G4215)), "", VLOOKUP(A4215,'Discount Lookup'!D:E,2,FALSE)*G4215)</f>
        <v/>
      </c>
      <c r="V4215" s="78" t="str">
        <f>IF(NOT(ISNUMBER(G4215)), "", VLOOKUP(A4215,'Discount Lookup'!G:H,2,FALSE)*G4215)</f>
        <v/>
      </c>
      <c r="W4215" s="102">
        <f t="shared" si="3141"/>
        <v>0</v>
      </c>
      <c r="X4215" s="102">
        <f t="shared" si="3142"/>
        <v>0</v>
      </c>
      <c r="Y4215" s="120" t="b">
        <f t="shared" si="3143"/>
        <v>0</v>
      </c>
      <c r="Z4215" s="117">
        <f t="shared" si="3144"/>
        <v>0</v>
      </c>
      <c r="AA4215" s="118"/>
      <c r="AB4215" s="118" t="str">
        <f t="shared" si="3145"/>
        <v/>
      </c>
      <c r="AC4215" s="712" t="str">
        <f>IF(AE4215="T2G","no charge",IF(AND(OR(PlanterYesMe="No",PlanterYesMe="N",PlanterYesMe="me"),H4215=""),"",IF(H4215="credit","NO install",IF(AND(K4215="",AE4215="me"),"EACH row",IF(AND(K4215="images",AE4215="me"),"EACH row",IF(D4215="","",IF(H4215="credit","",IF(AE4215="free","re-planting",IF(AE4215="me","   not ELP, by",IF(AND(OR(PlanterYesMe="Yes",PlanterYesMe="Y"),G4215&gt;0),(VLOOKUP(A4215,'Discount Lookup'!J:K,2)*G4215*(1-PlanterDiscount)*(1+PlanterDifficultyPercentage)),IF(AE4215="ELP",(VLOOKUP(A4215,'Discount Lookup'!J:K,2)*G4215*(1-PlanterDiscount)*(1+PlanterDifficultyPercentage)),IF(AE4215="free","re-planting",IF(G4215=0,"",IF(PlanterYesMe="",IF(AE4215="me","   not ELP, by",IF(AE4215="",IF(G4215&gt;0,(VLOOKUP(A4215,'Discount Lookup'!J:K,2)*G4215*(1-PlanterDiscount)*(1+PlanterDifficultyPercentage)),""),"")),"   not ELP, by"))))))))))))))</f>
        <v/>
      </c>
      <c r="AD4215" s="712"/>
      <c r="AE4215" s="513" t="str">
        <f t="shared" si="3146"/>
        <v/>
      </c>
      <c r="AF4215" s="713" t="str">
        <f t="shared" si="3147"/>
        <v/>
      </c>
      <c r="AG4215" s="713"/>
      <c r="AH4215" s="713"/>
      <c r="AI4215" s="112">
        <f>IF(H4215="credit",0,IF(AE4215="free",0,IF(AE4215="me",0,IF(G4215&gt;0,(VLOOKUP(A4215,'Discount Lookup'!J:K,2)*G4215),0))))</f>
        <v>0</v>
      </c>
      <c r="AJ4215" s="107" t="str">
        <f t="shared" ca="1" si="3148"/>
        <v/>
      </c>
      <c r="AK4215" s="714" t="str">
        <f t="shared" si="3149"/>
        <v/>
      </c>
      <c r="AL4215" s="714"/>
      <c r="AM4215" s="114" t="str">
        <f t="shared" si="3150"/>
        <v/>
      </c>
      <c r="AN4215" s="115"/>
      <c r="AO4215" s="116"/>
      <c r="AP4215" s="116"/>
      <c r="AQ4215" s="116"/>
      <c r="AR4215" s="116"/>
      <c r="AS4215" s="116"/>
      <c r="AT4215" s="116"/>
      <c r="AU4215" s="116"/>
      <c r="AV4215" s="78"/>
      <c r="AW4215" s="102"/>
      <c r="AX4215" s="78"/>
      <c r="AY4215" s="78"/>
      <c r="AZ4215" s="78"/>
      <c r="BA4215" s="78"/>
      <c r="BB4215" s="78"/>
      <c r="BC4215" s="78"/>
      <c r="BD4215" s="78"/>
      <c r="BE4215" s="465"/>
      <c r="BF4215" s="165" t="str">
        <f t="shared" si="3151"/>
        <v>https://www.google.com/search?tbm=isch&amp;q=U%20</v>
      </c>
      <c r="BG4215" s="165" t="str">
        <f t="shared" si="3152"/>
        <v>U</v>
      </c>
      <c r="BH4215" s="65"/>
      <c r="BI4215" s="65"/>
      <c r="BJ4215" s="65"/>
      <c r="BK4215" s="65"/>
      <c r="BL4215" s="99"/>
      <c r="BM4215" s="99"/>
      <c r="BN4215" s="99"/>
    </row>
    <row r="4216" spans="1:66" s="51" customFormat="1" ht="19.5" thickBot="1" x14ac:dyDescent="0.3">
      <c r="A4216" s="686" t="s">
        <v>811</v>
      </c>
      <c r="B4216" s="73"/>
      <c r="C4216" s="708"/>
      <c r="D4216" s="73"/>
      <c r="E4216" s="73"/>
      <c r="F4216" s="496"/>
      <c r="G4216" s="73"/>
      <c r="H4216" s="73"/>
      <c r="I4216" s="73"/>
      <c r="J4216" s="497" t="s">
        <v>357</v>
      </c>
      <c r="K4216" s="498"/>
      <c r="L4216" s="562"/>
      <c r="M4216" s="73"/>
      <c r="N4216"/>
      <c r="O4216"/>
      <c r="P4216"/>
      <c r="Q4216"/>
      <c r="R4216"/>
      <c r="S4216"/>
      <c r="T4216" s="102">
        <f t="shared" si="3140"/>
        <v>0</v>
      </c>
      <c r="U4216" s="78" t="str">
        <f>IF(NOT(ISNUMBER(G4216)), "", VLOOKUP(A4216,'Discount Lookup'!D:E,2,FALSE)*G4216)</f>
        <v/>
      </c>
      <c r="V4216" s="78" t="str">
        <f>IF(NOT(ISNUMBER(G4216)), "", VLOOKUP(A4216,'Discount Lookup'!G:H,2,FALSE)*G4216)</f>
        <v/>
      </c>
      <c r="W4216" s="102">
        <f t="shared" si="3141"/>
        <v>0</v>
      </c>
      <c r="X4216" s="102">
        <f t="shared" si="3142"/>
        <v>0</v>
      </c>
      <c r="Y4216" s="120" t="b">
        <f t="shared" si="3143"/>
        <v>0</v>
      </c>
      <c r="Z4216" s="117">
        <f t="shared" si="3144"/>
        <v>0</v>
      </c>
      <c r="AA4216" s="118"/>
      <c r="AB4216" s="118" t="str">
        <f t="shared" si="3145"/>
        <v/>
      </c>
      <c r="AC4216" s="712" t="str">
        <f>IF(AE4216="T2G","no charge",IF(AND(OR(PlanterYesMe="No",PlanterYesMe="N",PlanterYesMe="me"),H4216=""),"",IF(H4216="credit","NO install",IF(AND(K4216="",AE4216="me"),"EACH row",IF(AND(K4216="images",AE4216="me"),"EACH row",IF(D4216="","",IF(H4216="credit","",IF(AE4216="free","re-planting",IF(AE4216="me","   not ELP, by",IF(AND(OR(PlanterYesMe="Yes",PlanterYesMe="Y"),G4216&gt;0),(VLOOKUP(A4216,'Discount Lookup'!J:K,2)*G4216*(1-PlanterDiscount)*(1+PlanterDifficultyPercentage)),IF(AE4216="ELP",(VLOOKUP(A4216,'Discount Lookup'!J:K,2)*G4216*(1-PlanterDiscount)*(1+PlanterDifficultyPercentage)),IF(AE4216="free","re-planting",IF(G4216=0,"",IF(PlanterYesMe="",IF(AE4216="me","   not ELP, by",IF(AE4216="",IF(G4216&gt;0,(VLOOKUP(A4216,'Discount Lookup'!J:K,2)*G4216*(1-PlanterDiscount)*(1+PlanterDifficultyPercentage)),""),"")),"   not ELP, by"))))))))))))))</f>
        <v/>
      </c>
      <c r="AD4216" s="712"/>
      <c r="AE4216" s="513" t="str">
        <f t="shared" si="3146"/>
        <v/>
      </c>
      <c r="AF4216" s="713" t="str">
        <f t="shared" si="3147"/>
        <v/>
      </c>
      <c r="AG4216" s="713"/>
      <c r="AH4216" s="713"/>
      <c r="AI4216" s="112">
        <f>IF(H4216="credit",0,IF(AE4216="free",0,IF(AE4216="me",0,IF(G4216&gt;0,(VLOOKUP(A4216,'Discount Lookup'!J:K,2)*G4216),0))))</f>
        <v>0</v>
      </c>
      <c r="AJ4216" s="107" t="str">
        <f t="shared" ca="1" si="3148"/>
        <v/>
      </c>
      <c r="AK4216" s="714" t="str">
        <f t="shared" si="3149"/>
        <v/>
      </c>
      <c r="AL4216" s="714"/>
      <c r="AM4216" s="114" t="str">
        <f t="shared" si="3150"/>
        <v/>
      </c>
      <c r="AN4216" s="115"/>
      <c r="AO4216" s="116"/>
      <c r="AP4216" s="116"/>
      <c r="AQ4216" s="116"/>
      <c r="AR4216" s="116"/>
      <c r="AS4216" s="116"/>
      <c r="AT4216" s="116"/>
      <c r="AU4216" s="116"/>
      <c r="AV4216" s="78"/>
      <c r="AW4216" s="102"/>
      <c r="AX4216" s="78"/>
      <c r="AY4216" s="78"/>
      <c r="AZ4216" s="78"/>
      <c r="BA4216" s="78"/>
      <c r="BB4216" s="78"/>
      <c r="BC4216" s="78"/>
      <c r="BD4216" s="78"/>
      <c r="BE4216" s="465"/>
      <c r="BF4216" s="165" t="str">
        <f t="shared" si="3151"/>
        <v>https://www.google.com/search?tbm=isch&amp;q=Ulmus%20%3D%20Elm%20</v>
      </c>
      <c r="BG4216" s="165" t="str">
        <f t="shared" si="3152"/>
        <v>U</v>
      </c>
      <c r="BH4216" s="65"/>
      <c r="BI4216" s="65"/>
      <c r="BJ4216" s="65"/>
      <c r="BK4216" s="65"/>
      <c r="BL4216" s="99"/>
      <c r="BM4216" s="99"/>
      <c r="BN4216" s="99"/>
    </row>
    <row r="4217" spans="1:66" s="51" customFormat="1" ht="18" x14ac:dyDescent="0.25">
      <c r="A4217" s="623" t="s">
        <v>4409</v>
      </c>
      <c r="B4217" s="624"/>
      <c r="C4217" s="709"/>
      <c r="D4217" s="625" t="s">
        <v>4410</v>
      </c>
      <c r="E4217" s="626"/>
      <c r="F4217" s="626"/>
      <c r="G4217" s="626"/>
      <c r="H4217" s="622" t="s">
        <v>1321</v>
      </c>
      <c r="I4217" s="627" t="s">
        <v>431</v>
      </c>
      <c r="J4217" s="628"/>
      <c r="K4217" s="628"/>
      <c r="L4217" s="629"/>
      <c r="M4217" s="700" t="s">
        <v>5241</v>
      </c>
      <c r="N4217" s="693" t="str">
        <f>IF(AND(ISTEXT($A4217), ISERROR($A4217+0)), HYPERLINK($BF4217, "Images"), "")</f>
        <v>Images</v>
      </c>
      <c r="O4217" s="695" t="s">
        <v>5247</v>
      </c>
      <c r="P4217" s="630"/>
      <c r="Q4217" s="631"/>
      <c r="R4217" s="632"/>
      <c r="S4217" s="633" t="s">
        <v>294</v>
      </c>
      <c r="T4217" s="102">
        <f t="shared" si="3140"/>
        <v>0</v>
      </c>
      <c r="U4217" s="78" t="str">
        <f>IF(NOT(ISNUMBER(G4217)), "", VLOOKUP(A4217,'Discount Lookup'!D:E,2,FALSE)*G4217)</f>
        <v/>
      </c>
      <c r="V4217" s="78" t="str">
        <f>IF(NOT(ISNUMBER(G4217)), "", VLOOKUP(A4217,'Discount Lookup'!G:H,2,FALSE)*G4217)</f>
        <v/>
      </c>
      <c r="W4217" s="102">
        <f t="shared" si="3141"/>
        <v>0</v>
      </c>
      <c r="X4217" s="102" t="str">
        <f t="shared" si="3142"/>
        <v>Dark Green foliage</v>
      </c>
      <c r="Y4217" s="120" t="b">
        <f t="shared" si="3143"/>
        <v>0</v>
      </c>
      <c r="Z4217" s="117">
        <f t="shared" si="3144"/>
        <v>0</v>
      </c>
      <c r="AA4217" s="118"/>
      <c r="AB4217" s="118" t="str">
        <f t="shared" si="3145"/>
        <v/>
      </c>
      <c r="AC4217" s="712" t="str">
        <f>IF(AE4217="T2G","no charge",IF(AND(OR(PlanterYesMe="No",PlanterYesMe="N",PlanterYesMe="me"),H4217=""),"",IF(H4217="credit","NO install",IF(AND(K4217="",AE4217="me"),"EACH row",IF(AND(K4217="images",AE4217="me"),"EACH row",IF(D4217="","",IF(H4217="credit","",IF(AE4217="free","re-planting",IF(AE4217="me","   not ELP, by",IF(AND(OR(PlanterYesMe="Yes",PlanterYesMe="Y"),G4217&gt;0),(VLOOKUP(A4217,'Discount Lookup'!J:K,2)*G4217*(1-PlanterDiscount)*(1+PlanterDifficultyPercentage)),IF(AE4217="ELP",(VLOOKUP(A4217,'Discount Lookup'!J:K,2)*G4217*(1-PlanterDiscount)*(1+PlanterDifficultyPercentage)),IF(AE4217="free","re-planting",IF(G4217=0,"",IF(PlanterYesMe="",IF(AE4217="me","   not ELP, by",IF(AE4217="",IF(G4217&gt;0,(VLOOKUP(A4217,'Discount Lookup'!J:K,2)*G4217*(1-PlanterDiscount)*(1+PlanterDifficultyPercentage)),""),"")),"   not ELP, by"))))))))))))))</f>
        <v/>
      </c>
      <c r="AD4217" s="712"/>
      <c r="AE4217" s="513" t="str">
        <f t="shared" si="3146"/>
        <v/>
      </c>
      <c r="AF4217" s="713" t="str">
        <f t="shared" si="3147"/>
        <v/>
      </c>
      <c r="AG4217" s="713"/>
      <c r="AH4217" s="713"/>
      <c r="AI4217" s="112">
        <f>IF(H4217="credit",0,IF(AE4217="free",0,IF(AE4217="me",0,IF(G4217&gt;0,(VLOOKUP(A4217,'Discount Lookup'!J:K,2)*G4217),0))))</f>
        <v>0</v>
      </c>
      <c r="AJ4217" s="107" t="str">
        <f t="shared" ca="1" si="3148"/>
        <v/>
      </c>
      <c r="AK4217" s="714" t="str">
        <f t="shared" si="3149"/>
        <v/>
      </c>
      <c r="AL4217" s="714"/>
      <c r="AM4217" s="114" t="str">
        <f t="shared" si="3150"/>
        <v/>
      </c>
      <c r="AN4217" s="115"/>
      <c r="AO4217" s="116"/>
      <c r="AP4217" s="116"/>
      <c r="AQ4217" s="116"/>
      <c r="AR4217" s="116"/>
      <c r="AS4217" s="116"/>
      <c r="AT4217" s="116"/>
      <c r="AU4217" s="116"/>
      <c r="AV4217" s="78"/>
      <c r="AW4217" s="102"/>
      <c r="AX4217" s="78"/>
      <c r="AY4217" s="78"/>
      <c r="AZ4217" s="78"/>
      <c r="BA4217" s="78"/>
      <c r="BB4217" s="78"/>
      <c r="BC4217" s="78"/>
      <c r="BD4217" s="78"/>
      <c r="BE4217" s="465"/>
      <c r="BF4217" s="165" t="str">
        <f t="shared" si="3151"/>
        <v>https://www.google.com/search?tbm=isch&amp;q=Ulmus%20alata%20%27Lace%20Parasol%27%20Lace%20Parasol%20Winged%20Elm</v>
      </c>
      <c r="BG4217" s="165" t="str">
        <f t="shared" si="3152"/>
        <v>U</v>
      </c>
      <c r="BH4217" s="65"/>
      <c r="BI4217" s="65"/>
      <c r="BJ4217" s="65"/>
      <c r="BK4217" s="65"/>
      <c r="BL4217" s="99"/>
      <c r="BM4217" s="99"/>
      <c r="BN4217" s="99"/>
    </row>
    <row r="4218" spans="1:66" s="51" customFormat="1" ht="27" x14ac:dyDescent="0.25">
      <c r="A4218" s="634">
        <v>65</v>
      </c>
      <c r="B4218" s="635" t="s">
        <v>291</v>
      </c>
      <c r="C4218" s="636" t="s">
        <v>4411</v>
      </c>
      <c r="D4218" s="637" t="s">
        <v>299</v>
      </c>
      <c r="E4218" s="638">
        <v>1169.95</v>
      </c>
      <c r="F4218" s="639" t="s">
        <v>292</v>
      </c>
      <c r="G4218" s="484">
        <v>0</v>
      </c>
      <c r="H4218" s="691" t="str">
        <f>IF(G4218=0,"",IF(F4218="Buy",IF(G4218=1,"plant","plants"),IF(F4218&gt;0.01,"warranty","Error")))</f>
        <v/>
      </c>
      <c r="I4218" s="640">
        <f>IF(H4218="free",0,IF(H4218="credit",((E4218*(F4218))*G4218*-1),IF(F4218="Buy",(E4218*G4218),((E4218*(1-F4218))*G4218))))</f>
        <v>0</v>
      </c>
      <c r="J4218" s="640">
        <f>IF(H4218="warranty",0,(I4218*(_xlfn.SINGLE(SalesTaxPercentage))))</f>
        <v>0</v>
      </c>
      <c r="K4218" s="716">
        <f t="shared" ref="K4218" si="3166">I4218+J4218</f>
        <v>0</v>
      </c>
      <c r="L4218" s="716"/>
      <c r="M4218" s="689" t="str">
        <f ca="1">IF(AND(G4218&gt;0,E4218=0),"WARNING - no PRICE inserted",IF(H4218="free","FREE ~ no charge this plant",IF(H4218="credit",CONCATENATE("-$",ROUND(K4218*(1-_xlfn.SINGLE(T2GDiscount))*-1,2)," CREDIT after discount"),IF(_xlfn.SINGLE(T2GDiscount)=0,"",IF(G4218=0,"",IF(F4218="Buy",CONCATENATE("$",ROUND(K4218*(1-_xlfn.SINGLE(T2GDiscount)),2)," with ",(_xlfn.SINGLE(T2GDiscount)*100),"% discount"),CONCATENATE("$",ROUND(K4218*(1-_xlfn.SINGLE(T2GDiscount)),2)," with ",((_xlfn.SINGLE(T2GDiscount)*100+F4218*100)-(_xlfn.SINGLE(T2GDiscount)*100*F4218)),IF(F4218&gt;0,"% discounts",IF(_xlfn.SINGLE(NoWarrantyDiscount)&gt;0,"% discounts","% discount")))))))))</f>
        <v/>
      </c>
      <c r="N4218" s="690"/>
      <c r="O4218" s="486"/>
      <c r="P4218" s="486"/>
      <c r="Q4218" s="486"/>
      <c r="R4218" s="486"/>
      <c r="S4218" s="486"/>
      <c r="T4218" s="102">
        <f t="shared" si="3140"/>
        <v>0</v>
      </c>
      <c r="U4218" s="78">
        <f>IF(NOT(ISNUMBER(G4218)), "", VLOOKUP(A4218,'Discount Lookup'!D:E,2,FALSE)*G4218)</f>
        <v>0</v>
      </c>
      <c r="V4218" s="78">
        <f>IF(NOT(ISNUMBER(G4218)), "", VLOOKUP(A4218,'Discount Lookup'!G:H,2,FALSE)*G4218)</f>
        <v>0</v>
      </c>
      <c r="W4218" s="102">
        <f t="shared" si="3141"/>
        <v>0</v>
      </c>
      <c r="X4218" s="102">
        <f t="shared" si="3142"/>
        <v>0</v>
      </c>
      <c r="Y4218" s="120" t="b">
        <f t="shared" si="3143"/>
        <v>0</v>
      </c>
      <c r="Z4218" s="117">
        <f t="shared" si="3144"/>
        <v>0</v>
      </c>
      <c r="AA4218" s="118"/>
      <c r="AB4218" s="118" t="str">
        <f t="shared" si="3145"/>
        <v/>
      </c>
      <c r="AC4218" s="712" t="str">
        <f>IF(AE4218="T2G","no charge",IF(AND(OR(PlanterYesMe="No",PlanterYesMe="N",PlanterYesMe="me"),H4218=""),"",IF(H4218="credit","NO install",IF(AND(K4218="",AE4218="me"),"EACH row",IF(AND(K4218="images",AE4218="me"),"EACH row",IF(D4218="","",IF(H4218="credit","",IF(AE4218="free","re-planting",IF(AE4218="me","   not ELP, by",IF(AND(OR(PlanterYesMe="Yes",PlanterYesMe="Y"),G4218&gt;0),(VLOOKUP(A4218,'Discount Lookup'!J:K,2)*G4218*(1-PlanterDiscount)*(1+PlanterDifficultyPercentage)),IF(AE4218="ELP",(VLOOKUP(A4218,'Discount Lookup'!J:K,2)*G4218*(1-PlanterDiscount)*(1+PlanterDifficultyPercentage)),IF(AE4218="free","re-planting",IF(G4218=0,"",IF(PlanterYesMe="",IF(AE4218="me","   not ELP, by",IF(AE4218="",IF(G4218&gt;0,(VLOOKUP(A4218,'Discount Lookup'!J:K,2)*G4218*(1-PlanterDiscount)*(1+PlanterDifficultyPercentage)),""),"")),"   not ELP, by"))))))))))))))</f>
        <v/>
      </c>
      <c r="AD4218" s="712"/>
      <c r="AE4218" s="513" t="str">
        <f t="shared" si="3146"/>
        <v/>
      </c>
      <c r="AF4218" s="713" t="str">
        <f t="shared" si="3147"/>
        <v/>
      </c>
      <c r="AG4218" s="713"/>
      <c r="AH4218" s="713"/>
      <c r="AI4218" s="112">
        <f>IF(H4218="credit",0,IF(AE4218="free",0,IF(AE4218="me",0,IF(G4218&gt;0,(VLOOKUP(A4218,'Discount Lookup'!J:K,2)*G4218),0))))</f>
        <v>0</v>
      </c>
      <c r="AJ4218" s="107" t="str">
        <f t="shared" ca="1" si="3148"/>
        <v/>
      </c>
      <c r="AK4218" s="714" t="str">
        <f t="shared" si="3149"/>
        <v/>
      </c>
      <c r="AL4218" s="714"/>
      <c r="AM4218" s="114" t="str">
        <f t="shared" si="3150"/>
        <v/>
      </c>
      <c r="AN4218" s="115"/>
      <c r="AO4218" s="116"/>
      <c r="AP4218" s="116"/>
      <c r="AQ4218" s="116"/>
      <c r="AR4218" s="116"/>
      <c r="AS4218" s="116"/>
      <c r="AT4218" s="116"/>
      <c r="AU4218" s="116"/>
      <c r="AV4218" s="78"/>
      <c r="AW4218" s="102"/>
      <c r="AX4218" s="78"/>
      <c r="AY4218" s="78"/>
      <c r="AZ4218" s="78"/>
      <c r="BA4218" s="78"/>
      <c r="BB4218" s="78"/>
      <c r="BC4218" s="78"/>
      <c r="BD4218" s="78"/>
      <c r="BE4218" s="465"/>
      <c r="BF4218" s="165" t="str">
        <f t="shared" si="3151"/>
        <v>https://www.google.com/search?tbm=isch&amp;q=65%20G4</v>
      </c>
      <c r="BG4218" s="165" t="str">
        <f t="shared" si="3152"/>
        <v>U</v>
      </c>
      <c r="BH4218" s="65"/>
      <c r="BI4218" s="65"/>
      <c r="BJ4218" s="65"/>
      <c r="BK4218" s="65"/>
      <c r="BL4218" s="99"/>
      <c r="BM4218" s="99"/>
      <c r="BN4218" s="99"/>
    </row>
    <row r="4219" spans="1:66" s="51" customFormat="1" ht="17.25" thickBot="1" x14ac:dyDescent="0.3">
      <c r="A4219" s="641" t="s">
        <v>4412</v>
      </c>
      <c r="B4219" s="642"/>
      <c r="C4219" s="710"/>
      <c r="D4219" s="643"/>
      <c r="E4219" s="643"/>
      <c r="F4219" s="644"/>
      <c r="G4219" s="645"/>
      <c r="H4219" s="646"/>
      <c r="I4219" s="647"/>
      <c r="J4219" s="648"/>
      <c r="K4219" s="649"/>
      <c r="L4219" s="650"/>
      <c r="M4219" s="650"/>
      <c r="N4219" s="644"/>
      <c r="O4219" s="644"/>
      <c r="P4219" s="644"/>
      <c r="Q4219" s="644"/>
      <c r="R4219" s="644"/>
      <c r="S4219" s="701" t="s">
        <v>5262</v>
      </c>
      <c r="T4219" s="102">
        <f t="shared" si="3140"/>
        <v>0</v>
      </c>
      <c r="U4219" s="78" t="str">
        <f>IF(NOT(ISNUMBER(G4219)), "", VLOOKUP(A4219,'Discount Lookup'!D:E,2,FALSE)*G4219)</f>
        <v/>
      </c>
      <c r="V4219" s="78" t="str">
        <f>IF(NOT(ISNUMBER(G4219)), "", VLOOKUP(A4219,'Discount Lookup'!G:H,2,FALSE)*G4219)</f>
        <v/>
      </c>
      <c r="W4219" s="102">
        <f t="shared" si="3141"/>
        <v>0</v>
      </c>
      <c r="X4219" s="102">
        <f t="shared" si="3142"/>
        <v>0</v>
      </c>
      <c r="Y4219" s="120" t="b">
        <f t="shared" si="3143"/>
        <v>0</v>
      </c>
      <c r="Z4219" s="117">
        <f t="shared" si="3144"/>
        <v>0</v>
      </c>
      <c r="AA4219" s="118"/>
      <c r="AB4219" s="118" t="str">
        <f t="shared" si="3145"/>
        <v/>
      </c>
      <c r="AC4219" s="712" t="str">
        <f>IF(AE4219="T2G","no charge",IF(AND(OR(PlanterYesMe="No",PlanterYesMe="N",PlanterYesMe="me"),H4219=""),"",IF(H4219="credit","NO install",IF(AND(K4219="",AE4219="me"),"EACH row",IF(AND(K4219="images",AE4219="me"),"EACH row",IF(D4219="","",IF(H4219="credit","",IF(AE4219="free","re-planting",IF(AE4219="me","   not ELP, by",IF(AND(OR(PlanterYesMe="Yes",PlanterYesMe="Y"),G4219&gt;0),(VLOOKUP(A4219,'Discount Lookup'!J:K,2)*G4219*(1-PlanterDiscount)*(1+PlanterDifficultyPercentage)),IF(AE4219="ELP",(VLOOKUP(A4219,'Discount Lookup'!J:K,2)*G4219*(1-PlanterDiscount)*(1+PlanterDifficultyPercentage)),IF(AE4219="free","re-planting",IF(G4219=0,"",IF(PlanterYesMe="",IF(AE4219="me","   not ELP, by",IF(AE4219="",IF(G4219&gt;0,(VLOOKUP(A4219,'Discount Lookup'!J:K,2)*G4219*(1-PlanterDiscount)*(1+PlanterDifficultyPercentage)),""),"")),"   not ELP, by"))))))))))))))</f>
        <v/>
      </c>
      <c r="AD4219" s="712"/>
      <c r="AE4219" s="513" t="str">
        <f t="shared" si="3146"/>
        <v/>
      </c>
      <c r="AF4219" s="713" t="str">
        <f t="shared" si="3147"/>
        <v/>
      </c>
      <c r="AG4219" s="713"/>
      <c r="AH4219" s="713"/>
      <c r="AI4219" s="112">
        <f>IF(H4219="credit",0,IF(AE4219="free",0,IF(AE4219="me",0,IF(G4219&gt;0,(VLOOKUP(A4219,'Discount Lookup'!J:K,2)*G4219),0))))</f>
        <v>0</v>
      </c>
      <c r="AJ4219" s="107" t="str">
        <f t="shared" ca="1" si="3148"/>
        <v/>
      </c>
      <c r="AK4219" s="714" t="str">
        <f t="shared" si="3149"/>
        <v/>
      </c>
      <c r="AL4219" s="714"/>
      <c r="AM4219" s="114" t="str">
        <f t="shared" si="3150"/>
        <v/>
      </c>
      <c r="AN4219" s="115"/>
      <c r="AO4219" s="116"/>
      <c r="AP4219" s="116"/>
      <c r="AQ4219" s="116"/>
      <c r="AR4219" s="116"/>
      <c r="AS4219" s="116"/>
      <c r="AT4219" s="116"/>
      <c r="AU4219" s="116"/>
      <c r="AV4219" s="78"/>
      <c r="AW4219" s="102"/>
      <c r="AX4219" s="78"/>
      <c r="AY4219" s="78"/>
      <c r="AZ4219" s="78"/>
      <c r="BA4219" s="78"/>
      <c r="BB4219" s="78"/>
      <c r="BC4219" s="78"/>
      <c r="BD4219" s="78"/>
      <c r="BE4219" s="465"/>
      <c r="BF4219" s="165" t="str">
        <f t="shared" si="3151"/>
        <v>https://www.google.com/search?tbm=isch&amp;q=Original%20Lace%20Parasol%20moved%20to%20JC%20Raulston%20Arboretum.%20Dramatic%20look%2C%20even%20in%20winter%2C%20with%20winged%20bark.%20Vivid%20Yellow%20fall%20foliage%20</v>
      </c>
      <c r="BG4219" s="165" t="str">
        <f t="shared" si="3152"/>
        <v>O</v>
      </c>
      <c r="BH4219" s="65"/>
      <c r="BI4219" s="65"/>
      <c r="BJ4219" s="65"/>
      <c r="BK4219" s="65"/>
      <c r="BL4219" s="99"/>
      <c r="BM4219" s="99"/>
      <c r="BN4219" s="99"/>
    </row>
    <row r="4220" spans="1:66" s="51" customFormat="1" ht="18" x14ac:dyDescent="0.25">
      <c r="A4220" s="623" t="s">
        <v>4413</v>
      </c>
      <c r="B4220" s="624"/>
      <c r="C4220" s="709"/>
      <c r="D4220" s="625" t="s">
        <v>4414</v>
      </c>
      <c r="E4220" s="626"/>
      <c r="F4220" s="626"/>
      <c r="G4220" s="626"/>
      <c r="H4220" s="622" t="s">
        <v>2510</v>
      </c>
      <c r="I4220" s="627" t="s">
        <v>431</v>
      </c>
      <c r="J4220" s="628"/>
      <c r="K4220" s="628"/>
      <c r="L4220" s="629"/>
      <c r="M4220" s="700" t="s">
        <v>5241</v>
      </c>
      <c r="N4220" s="693" t="str">
        <f>IF(AND(ISTEXT($A4220), ISERROR($A4220+0)), HYPERLINK($BF4220, "Images"), "")</f>
        <v>Images</v>
      </c>
      <c r="O4220" s="695" t="s">
        <v>5247</v>
      </c>
      <c r="P4220" s="630"/>
      <c r="Q4220" s="631"/>
      <c r="R4220" s="632"/>
      <c r="S4220" s="633" t="s">
        <v>294</v>
      </c>
      <c r="T4220" s="102">
        <f t="shared" si="3140"/>
        <v>0</v>
      </c>
      <c r="U4220" s="78" t="str">
        <f>IF(NOT(ISNUMBER(G4220)), "", VLOOKUP(A4220,'Discount Lookup'!D:E,2,FALSE)*G4220)</f>
        <v/>
      </c>
      <c r="V4220" s="78" t="str">
        <f>IF(NOT(ISNUMBER(G4220)), "", VLOOKUP(A4220,'Discount Lookup'!G:H,2,FALSE)*G4220)</f>
        <v/>
      </c>
      <c r="W4220" s="102">
        <f t="shared" si="3141"/>
        <v>0</v>
      </c>
      <c r="X4220" s="102" t="str">
        <f t="shared" si="3142"/>
        <v>Dark Green foliage</v>
      </c>
      <c r="Y4220" s="120" t="b">
        <f t="shared" si="3143"/>
        <v>0</v>
      </c>
      <c r="Z4220" s="117">
        <f t="shared" si="3144"/>
        <v>0</v>
      </c>
      <c r="AA4220" s="118"/>
      <c r="AB4220" s="118" t="str">
        <f t="shared" si="3145"/>
        <v/>
      </c>
      <c r="AC4220" s="712" t="str">
        <f>IF(AE4220="T2G","no charge",IF(AND(OR(PlanterYesMe="No",PlanterYesMe="N",PlanterYesMe="me"),H4220=""),"",IF(H4220="credit","NO install",IF(AND(K4220="",AE4220="me"),"EACH row",IF(AND(K4220="images",AE4220="me"),"EACH row",IF(D4220="","",IF(H4220="credit","",IF(AE4220="free","re-planting",IF(AE4220="me","   not ELP, by",IF(AND(OR(PlanterYesMe="Yes",PlanterYesMe="Y"),G4220&gt;0),(VLOOKUP(A4220,'Discount Lookup'!J:K,2)*G4220*(1-PlanterDiscount)*(1+PlanterDifficultyPercentage)),IF(AE4220="ELP",(VLOOKUP(A4220,'Discount Lookup'!J:K,2)*G4220*(1-PlanterDiscount)*(1+PlanterDifficultyPercentage)),IF(AE4220="free","re-planting",IF(G4220=0,"",IF(PlanterYesMe="",IF(AE4220="me","   not ELP, by",IF(AE4220="",IF(G4220&gt;0,(VLOOKUP(A4220,'Discount Lookup'!J:K,2)*G4220*(1-PlanterDiscount)*(1+PlanterDifficultyPercentage)),""),"")),"   not ELP, by"))))))))))))))</f>
        <v/>
      </c>
      <c r="AD4220" s="712"/>
      <c r="AE4220" s="513" t="str">
        <f t="shared" si="3146"/>
        <v/>
      </c>
      <c r="AF4220" s="713" t="str">
        <f t="shared" si="3147"/>
        <v/>
      </c>
      <c r="AG4220" s="713"/>
      <c r="AH4220" s="713"/>
      <c r="AI4220" s="112">
        <f>IF(H4220="credit",0,IF(AE4220="free",0,IF(AE4220="me",0,IF(G4220&gt;0,(VLOOKUP(A4220,'Discount Lookup'!J:K,2)*G4220),0))))</f>
        <v>0</v>
      </c>
      <c r="AJ4220" s="107" t="str">
        <f t="shared" ca="1" si="3148"/>
        <v/>
      </c>
      <c r="AK4220" s="714" t="str">
        <f t="shared" si="3149"/>
        <v/>
      </c>
      <c r="AL4220" s="714"/>
      <c r="AM4220" s="114" t="str">
        <f t="shared" si="3150"/>
        <v/>
      </c>
      <c r="AN4220" s="115"/>
      <c r="AO4220" s="116"/>
      <c r="AP4220" s="116"/>
      <c r="AQ4220" s="116"/>
      <c r="AR4220" s="116"/>
      <c r="AS4220" s="116"/>
      <c r="AT4220" s="116"/>
      <c r="AU4220" s="116"/>
      <c r="AV4220" s="78"/>
      <c r="AW4220" s="102"/>
      <c r="AX4220" s="78"/>
      <c r="AY4220" s="78"/>
      <c r="AZ4220" s="78"/>
      <c r="BA4220" s="78"/>
      <c r="BB4220" s="78"/>
      <c r="BC4220" s="78"/>
      <c r="BD4220" s="78"/>
      <c r="BE4220" s="465"/>
      <c r="BF4220" s="165" t="str">
        <f t="shared" si="3151"/>
        <v>https://www.google.com/search?tbm=isch&amp;q=Ulmus%20americana%20%27Princeton%27%20Princeton%20Elm</v>
      </c>
      <c r="BG4220" s="165" t="str">
        <f t="shared" si="3152"/>
        <v>U</v>
      </c>
      <c r="BH4220" s="65"/>
      <c r="BI4220" s="65"/>
      <c r="BJ4220" s="65"/>
      <c r="BK4220" s="65"/>
      <c r="BL4220" s="99"/>
      <c r="BM4220" s="99"/>
      <c r="BN4220" s="99"/>
    </row>
    <row r="4221" spans="1:66" s="51" customFormat="1" ht="27" x14ac:dyDescent="0.25">
      <c r="A4221" s="634">
        <v>7</v>
      </c>
      <c r="B4221" s="635" t="s">
        <v>291</v>
      </c>
      <c r="C4221" s="636" t="s">
        <v>4415</v>
      </c>
      <c r="D4221" s="637" t="s">
        <v>299</v>
      </c>
      <c r="E4221" s="638">
        <v>107.95</v>
      </c>
      <c r="F4221" s="639" t="s">
        <v>292</v>
      </c>
      <c r="G4221" s="484">
        <v>0</v>
      </c>
      <c r="H4221" s="691" t="str">
        <f>IF(G4221=0,"",IF(F4221="Buy",IF(G4221=1,"plant","plants"),IF(F4221&gt;0.01,"warranty","Error")))</f>
        <v/>
      </c>
      <c r="I4221" s="640">
        <f>IF(H4221="free",0,IF(H4221="credit",((E4221*(F4221))*G4221*-1),IF(F4221="Buy",(E4221*G4221),((E4221*(1-F4221))*G4221))))</f>
        <v>0</v>
      </c>
      <c r="J4221" s="640">
        <f>IF(H4221="warranty",0,(I4221*(_xlfn.SINGLE(SalesTaxPercentage))))</f>
        <v>0</v>
      </c>
      <c r="K4221" s="716">
        <f t="shared" ref="K4221" si="3167">I4221+J4221</f>
        <v>0</v>
      </c>
      <c r="L4221" s="716"/>
      <c r="M4221" s="689" t="str">
        <f ca="1">IF(AND(G4221&gt;0,E4221=0),"WARNING - no PRICE inserted",IF(H4221="free","FREE ~ no charge this plant",IF(H4221="credit",CONCATENATE("-$",ROUND(K4221*(1-_xlfn.SINGLE(T2GDiscount))*-1,2)," CREDIT after discount"),IF(_xlfn.SINGLE(T2GDiscount)=0,"",IF(G4221=0,"",IF(F4221="Buy",CONCATENATE("$",ROUND(K4221*(1-_xlfn.SINGLE(T2GDiscount)),2)," with ",(_xlfn.SINGLE(T2GDiscount)*100),"% discount"),CONCATENATE("$",ROUND(K4221*(1-_xlfn.SINGLE(T2GDiscount)),2)," with ",((_xlfn.SINGLE(T2GDiscount)*100+F4221*100)-(_xlfn.SINGLE(T2GDiscount)*100*F4221)),IF(F4221&gt;0,"% discounts",IF(_xlfn.SINGLE(NoWarrantyDiscount)&gt;0,"% discounts","% discount")))))))))</f>
        <v/>
      </c>
      <c r="N4221" s="690"/>
      <c r="O4221" s="486"/>
      <c r="P4221" s="486"/>
      <c r="Q4221" s="486"/>
      <c r="R4221" s="486"/>
      <c r="S4221" s="486"/>
      <c r="T4221" s="102">
        <f t="shared" si="3140"/>
        <v>0</v>
      </c>
      <c r="U4221" s="78">
        <f>IF(NOT(ISNUMBER(G4221)), "", VLOOKUP(A4221,'Discount Lookup'!D:E,2,FALSE)*G4221)</f>
        <v>0</v>
      </c>
      <c r="V4221" s="78">
        <f>IF(NOT(ISNUMBER(G4221)), "", VLOOKUP(A4221,'Discount Lookup'!G:H,2,FALSE)*G4221)</f>
        <v>0</v>
      </c>
      <c r="W4221" s="102">
        <f t="shared" si="3141"/>
        <v>0</v>
      </c>
      <c r="X4221" s="102">
        <f t="shared" si="3142"/>
        <v>0</v>
      </c>
      <c r="Y4221" s="120" t="b">
        <f t="shared" si="3143"/>
        <v>0</v>
      </c>
      <c r="Z4221" s="117">
        <f t="shared" si="3144"/>
        <v>0</v>
      </c>
      <c r="AA4221" s="118"/>
      <c r="AB4221" s="118" t="str">
        <f t="shared" si="3145"/>
        <v/>
      </c>
      <c r="AC4221" s="712" t="str">
        <f>IF(AE4221="T2G","no charge",IF(AND(OR(PlanterYesMe="No",PlanterYesMe="N",PlanterYesMe="me"),H4221=""),"",IF(H4221="credit","NO install",IF(AND(K4221="",AE4221="me"),"EACH row",IF(AND(K4221="images",AE4221="me"),"EACH row",IF(D4221="","",IF(H4221="credit","",IF(AE4221="free","re-planting",IF(AE4221="me","   not ELP, by",IF(AND(OR(PlanterYesMe="Yes",PlanterYesMe="Y"),G4221&gt;0),(VLOOKUP(A4221,'Discount Lookup'!J:K,2)*G4221*(1-PlanterDiscount)*(1+PlanterDifficultyPercentage)),IF(AE4221="ELP",(VLOOKUP(A4221,'Discount Lookup'!J:K,2)*G4221*(1-PlanterDiscount)*(1+PlanterDifficultyPercentage)),IF(AE4221="free","re-planting",IF(G4221=0,"",IF(PlanterYesMe="",IF(AE4221="me","   not ELP, by",IF(AE4221="",IF(G4221&gt;0,(VLOOKUP(A4221,'Discount Lookup'!J:K,2)*G4221*(1-PlanterDiscount)*(1+PlanterDifficultyPercentage)),""),"")),"   not ELP, by"))))))))))))))</f>
        <v/>
      </c>
      <c r="AD4221" s="712"/>
      <c r="AE4221" s="513" t="str">
        <f t="shared" si="3146"/>
        <v/>
      </c>
      <c r="AF4221" s="713" t="str">
        <f t="shared" si="3147"/>
        <v/>
      </c>
      <c r="AG4221" s="713"/>
      <c r="AH4221" s="713"/>
      <c r="AI4221" s="112">
        <f>IF(H4221="credit",0,IF(AE4221="free",0,IF(AE4221="me",0,IF(G4221&gt;0,(VLOOKUP(A4221,'Discount Lookup'!J:K,2)*G4221),0))))</f>
        <v>0</v>
      </c>
      <c r="AJ4221" s="107" t="str">
        <f t="shared" ca="1" si="3148"/>
        <v/>
      </c>
      <c r="AK4221" s="714" t="str">
        <f t="shared" si="3149"/>
        <v/>
      </c>
      <c r="AL4221" s="714"/>
      <c r="AM4221" s="114" t="str">
        <f t="shared" si="3150"/>
        <v/>
      </c>
      <c r="AN4221" s="115"/>
      <c r="AO4221" s="116"/>
      <c r="AP4221" s="116"/>
      <c r="AQ4221" s="116"/>
      <c r="AR4221" s="116"/>
      <c r="AS4221" s="116"/>
      <c r="AT4221" s="116"/>
      <c r="AU4221" s="116"/>
      <c r="AV4221" s="78"/>
      <c r="AW4221" s="102"/>
      <c r="AX4221" s="78"/>
      <c r="AY4221" s="78"/>
      <c r="AZ4221" s="78"/>
      <c r="BA4221" s="78"/>
      <c r="BB4221" s="78"/>
      <c r="BC4221" s="78"/>
      <c r="BD4221" s="78"/>
      <c r="BE4221" s="465"/>
      <c r="BF4221" s="165" t="str">
        <f t="shared" si="3151"/>
        <v>https://www.google.com/search?tbm=isch&amp;q=7%20G4</v>
      </c>
      <c r="BG4221" s="165" t="str">
        <f t="shared" si="3152"/>
        <v>U</v>
      </c>
      <c r="BH4221" s="65"/>
      <c r="BI4221" s="65"/>
      <c r="BJ4221" s="65"/>
      <c r="BK4221" s="65"/>
      <c r="BL4221" s="99"/>
      <c r="BM4221" s="99"/>
      <c r="BN4221" s="99"/>
    </row>
    <row r="4222" spans="1:66" s="51" customFormat="1" ht="27" x14ac:dyDescent="0.25">
      <c r="A4222" s="634">
        <v>15</v>
      </c>
      <c r="B4222" s="635" t="s">
        <v>291</v>
      </c>
      <c r="C4222" s="636" t="s">
        <v>5220</v>
      </c>
      <c r="D4222" s="637" t="s">
        <v>299</v>
      </c>
      <c r="E4222" s="638">
        <v>178.95</v>
      </c>
      <c r="F4222" s="639" t="s">
        <v>292</v>
      </c>
      <c r="G4222" s="484">
        <v>0</v>
      </c>
      <c r="H4222" s="691" t="str">
        <f>IF(G4222=0,"",IF(F4222="Buy",IF(G4222=1,"plant","plants"),IF(F4222&gt;0.01,"warranty","Error")))</f>
        <v/>
      </c>
      <c r="I4222" s="640">
        <f>IF(H4222="free",0,IF(H4222="credit",((E4222*(F4222))*G4222*-1),IF(F4222="Buy",(E4222*G4222),((E4222*(1-F4222))*G4222))))</f>
        <v>0</v>
      </c>
      <c r="J4222" s="640">
        <f>IF(H4222="warranty",0,(I4222*(_xlfn.SINGLE(SalesTaxPercentage))))</f>
        <v>0</v>
      </c>
      <c r="K4222" s="716">
        <f t="shared" ref="K4222" si="3168">I4222+J4222</f>
        <v>0</v>
      </c>
      <c r="L4222" s="716"/>
      <c r="M4222" s="689" t="str">
        <f ca="1">IF(AND(G4222&gt;0,E4222=0),"WARNING - no PRICE inserted",IF(H4222="free","FREE ~ no charge this plant",IF(H4222="credit",CONCATENATE("-$",ROUND(K4222*(1-_xlfn.SINGLE(T2GDiscount))*-1,2)," CREDIT after discount"),IF(_xlfn.SINGLE(T2GDiscount)=0,"",IF(G4222=0,"",IF(F4222="Buy",CONCATENATE("$",ROUND(K4222*(1-_xlfn.SINGLE(T2GDiscount)),2)," with ",(_xlfn.SINGLE(T2GDiscount)*100),"% discount"),CONCATENATE("$",ROUND(K4222*(1-_xlfn.SINGLE(T2GDiscount)),2)," with ",((_xlfn.SINGLE(T2GDiscount)*100+F4222*100)-(_xlfn.SINGLE(T2GDiscount)*100*F4222)),IF(F4222&gt;0,"% discounts",IF(_xlfn.SINGLE(NoWarrantyDiscount)&gt;0,"% discounts","% discount")))))))))</f>
        <v/>
      </c>
      <c r="N4222" s="690"/>
      <c r="O4222" s="486"/>
      <c r="P4222" s="486"/>
      <c r="Q4222" s="486"/>
      <c r="R4222" s="486"/>
      <c r="S4222" s="486"/>
      <c r="T4222" s="102">
        <f t="shared" si="3140"/>
        <v>0</v>
      </c>
      <c r="U4222" s="78">
        <f>IF(NOT(ISNUMBER(G4222)), "", VLOOKUP(A4222,'Discount Lookup'!D:E,2,FALSE)*G4222)</f>
        <v>0</v>
      </c>
      <c r="V4222" s="78">
        <f>IF(NOT(ISNUMBER(G4222)), "", VLOOKUP(A4222,'Discount Lookup'!G:H,2,FALSE)*G4222)</f>
        <v>0</v>
      </c>
      <c r="W4222" s="102">
        <f t="shared" si="3141"/>
        <v>0</v>
      </c>
      <c r="X4222" s="102">
        <f t="shared" si="3142"/>
        <v>0</v>
      </c>
      <c r="Y4222" s="120" t="b">
        <f t="shared" si="3143"/>
        <v>0</v>
      </c>
      <c r="Z4222" s="117">
        <f t="shared" si="3144"/>
        <v>0</v>
      </c>
      <c r="AA4222" s="118"/>
      <c r="AB4222" s="118" t="str">
        <f t="shared" si="3145"/>
        <v/>
      </c>
      <c r="AC4222" s="712" t="str">
        <f>IF(AE4222="T2G","no charge",IF(AND(OR(PlanterYesMe="No",PlanterYesMe="N",PlanterYesMe="me"),H4222=""),"",IF(H4222="credit","NO install",IF(AND(K4222="",AE4222="me"),"EACH row",IF(AND(K4222="images",AE4222="me"),"EACH row",IF(D4222="","",IF(H4222="credit","",IF(AE4222="free","re-planting",IF(AE4222="me","   not ELP, by",IF(AND(OR(PlanterYesMe="Yes",PlanterYesMe="Y"),G4222&gt;0),(VLOOKUP(A4222,'Discount Lookup'!J:K,2)*G4222*(1-PlanterDiscount)*(1+PlanterDifficultyPercentage)),IF(AE4222="ELP",(VLOOKUP(A4222,'Discount Lookup'!J:K,2)*G4222*(1-PlanterDiscount)*(1+PlanterDifficultyPercentage)),IF(AE4222="free","re-planting",IF(G4222=0,"",IF(PlanterYesMe="",IF(AE4222="me","   not ELP, by",IF(AE4222="",IF(G4222&gt;0,(VLOOKUP(A4222,'Discount Lookup'!J:K,2)*G4222*(1-PlanterDiscount)*(1+PlanterDifficultyPercentage)),""),"")),"   not ELP, by"))))))))))))))</f>
        <v/>
      </c>
      <c r="AD4222" s="712"/>
      <c r="AE4222" s="513" t="str">
        <f t="shared" si="3146"/>
        <v/>
      </c>
      <c r="AF4222" s="713" t="str">
        <f t="shared" si="3147"/>
        <v/>
      </c>
      <c r="AG4222" s="713"/>
      <c r="AH4222" s="713"/>
      <c r="AI4222" s="112">
        <f>IF(H4222="credit",0,IF(AE4222="free",0,IF(AE4222="me",0,IF(G4222&gt;0,(VLOOKUP(A4222,'Discount Lookup'!J:K,2)*G4222),0))))</f>
        <v>0</v>
      </c>
      <c r="AJ4222" s="107" t="str">
        <f t="shared" ca="1" si="3148"/>
        <v/>
      </c>
      <c r="AK4222" s="714" t="str">
        <f t="shared" si="3149"/>
        <v/>
      </c>
      <c r="AL4222" s="714"/>
      <c r="AM4222" s="114" t="str">
        <f t="shared" si="3150"/>
        <v/>
      </c>
      <c r="AN4222" s="115"/>
      <c r="AO4222" s="116"/>
      <c r="AP4222" s="116"/>
      <c r="AQ4222" s="116"/>
      <c r="AR4222" s="116"/>
      <c r="AS4222" s="116"/>
      <c r="AT4222" s="116"/>
      <c r="AU4222" s="116"/>
      <c r="AV4222" s="78"/>
      <c r="AW4222" s="102"/>
      <c r="AX4222" s="78"/>
      <c r="AY4222" s="78"/>
      <c r="AZ4222" s="78"/>
      <c r="BA4222" s="78"/>
      <c r="BB4222" s="78"/>
      <c r="BC4222" s="78"/>
      <c r="BD4222" s="78"/>
      <c r="BE4222" s="465"/>
      <c r="BF4222" s="165" t="str">
        <f t="shared" si="3151"/>
        <v>https://www.google.com/search?tbm=isch&amp;q=15%20G4</v>
      </c>
      <c r="BG4222" s="165" t="str">
        <f t="shared" si="3152"/>
        <v>U</v>
      </c>
      <c r="BH4222" s="65"/>
      <c r="BI4222" s="65"/>
      <c r="BJ4222" s="65"/>
      <c r="BK4222" s="65"/>
      <c r="BL4222" s="99"/>
      <c r="BM4222" s="99"/>
      <c r="BN4222" s="99"/>
    </row>
    <row r="4223" spans="1:66" s="51" customFormat="1" ht="15.75" x14ac:dyDescent="0.25">
      <c r="A4223" s="634">
        <v>25</v>
      </c>
      <c r="B4223" s="635" t="s">
        <v>291</v>
      </c>
      <c r="C4223" s="636" t="s">
        <v>5221</v>
      </c>
      <c r="D4223" s="637" t="s">
        <v>299</v>
      </c>
      <c r="E4223" s="638">
        <v>334.95</v>
      </c>
      <c r="F4223" s="639" t="s">
        <v>292</v>
      </c>
      <c r="G4223" s="484">
        <v>0</v>
      </c>
      <c r="H4223" s="691" t="str">
        <f>IF(G4223=0,"",IF(F4223="Buy",IF(G4223=1,"plant","plants"),IF(F4223&gt;0.01,"warranty","Error")))</f>
        <v/>
      </c>
      <c r="I4223" s="640">
        <f>IF(H4223="free",0,IF(H4223="credit",((E4223*(F4223))*G4223*-1),IF(F4223="Buy",(E4223*G4223),((E4223*(1-F4223))*G4223))))</f>
        <v>0</v>
      </c>
      <c r="J4223" s="640">
        <f>IF(H4223="warranty",0,(I4223*(_xlfn.SINGLE(SalesTaxPercentage))))</f>
        <v>0</v>
      </c>
      <c r="K4223" s="716">
        <f t="shared" ref="K4223" si="3169">I4223+J4223</f>
        <v>0</v>
      </c>
      <c r="L4223" s="716"/>
      <c r="M4223" s="689" t="str">
        <f ca="1">IF(AND(G4223&gt;0,E4223=0),"WARNING - no PRICE inserted",IF(H4223="free","FREE ~ no charge this plant",IF(H4223="credit",CONCATENATE("-$",ROUND(K4223*(1-_xlfn.SINGLE(T2GDiscount))*-1,2)," CREDIT after discount"),IF(_xlfn.SINGLE(T2GDiscount)=0,"",IF(G4223=0,"",IF(F4223="Buy",CONCATENATE("$",ROUND(K4223*(1-_xlfn.SINGLE(T2GDiscount)),2)," with ",(_xlfn.SINGLE(T2GDiscount)*100),"% discount"),CONCATENATE("$",ROUND(K4223*(1-_xlfn.SINGLE(T2GDiscount)),2)," with ",((_xlfn.SINGLE(T2GDiscount)*100+F4223*100)-(_xlfn.SINGLE(T2GDiscount)*100*F4223)),IF(F4223&gt;0,"% discounts",IF(_xlfn.SINGLE(NoWarrantyDiscount)&gt;0,"% discounts","% discount")))))))))</f>
        <v/>
      </c>
      <c r="N4223" s="690"/>
      <c r="O4223" s="486"/>
      <c r="P4223" s="486"/>
      <c r="Q4223" s="486"/>
      <c r="R4223" s="486"/>
      <c r="S4223" s="486"/>
      <c r="T4223" s="102">
        <f t="shared" si="3140"/>
        <v>0</v>
      </c>
      <c r="U4223" s="78">
        <f>IF(NOT(ISNUMBER(G4223)), "", VLOOKUP(A4223,'Discount Lookup'!D:E,2,FALSE)*G4223)</f>
        <v>0</v>
      </c>
      <c r="V4223" s="78">
        <f>IF(NOT(ISNUMBER(G4223)), "", VLOOKUP(A4223,'Discount Lookup'!G:H,2,FALSE)*G4223)</f>
        <v>0</v>
      </c>
      <c r="W4223" s="102">
        <f t="shared" si="3141"/>
        <v>0</v>
      </c>
      <c r="X4223" s="102">
        <f t="shared" si="3142"/>
        <v>0</v>
      </c>
      <c r="Y4223" s="120" t="b">
        <f t="shared" si="3143"/>
        <v>0</v>
      </c>
      <c r="Z4223" s="117">
        <f t="shared" si="3144"/>
        <v>0</v>
      </c>
      <c r="AA4223" s="118"/>
      <c r="AB4223" s="118" t="str">
        <f t="shared" si="3145"/>
        <v/>
      </c>
      <c r="AC4223" s="712" t="str">
        <f>IF(AE4223="T2G","no charge",IF(AND(OR(PlanterYesMe="No",PlanterYesMe="N",PlanterYesMe="me"),H4223=""),"",IF(H4223="credit","NO install",IF(AND(K4223="",AE4223="me"),"EACH row",IF(AND(K4223="images",AE4223="me"),"EACH row",IF(D4223="","",IF(H4223="credit","",IF(AE4223="free","re-planting",IF(AE4223="me","   not ELP, by",IF(AND(OR(PlanterYesMe="Yes",PlanterYesMe="Y"),G4223&gt;0),(VLOOKUP(A4223,'Discount Lookup'!J:K,2)*G4223*(1-PlanterDiscount)*(1+PlanterDifficultyPercentage)),IF(AE4223="ELP",(VLOOKUP(A4223,'Discount Lookup'!J:K,2)*G4223*(1-PlanterDiscount)*(1+PlanterDifficultyPercentage)),IF(AE4223="free","re-planting",IF(G4223=0,"",IF(PlanterYesMe="",IF(AE4223="me","   not ELP, by",IF(AE4223="",IF(G4223&gt;0,(VLOOKUP(A4223,'Discount Lookup'!J:K,2)*G4223*(1-PlanterDiscount)*(1+PlanterDifficultyPercentage)),""),"")),"   not ELP, by"))))))))))))))</f>
        <v/>
      </c>
      <c r="AD4223" s="712"/>
      <c r="AE4223" s="513" t="str">
        <f t="shared" si="3146"/>
        <v/>
      </c>
      <c r="AF4223" s="713" t="str">
        <f t="shared" si="3147"/>
        <v/>
      </c>
      <c r="AG4223" s="713"/>
      <c r="AH4223" s="713"/>
      <c r="AI4223" s="112">
        <f>IF(H4223="credit",0,IF(AE4223="free",0,IF(AE4223="me",0,IF(G4223&gt;0,(VLOOKUP(A4223,'Discount Lookup'!J:K,2)*G4223),0))))</f>
        <v>0</v>
      </c>
      <c r="AJ4223" s="107" t="str">
        <f t="shared" ca="1" si="3148"/>
        <v/>
      </c>
      <c r="AK4223" s="714" t="str">
        <f t="shared" si="3149"/>
        <v/>
      </c>
      <c r="AL4223" s="714"/>
      <c r="AM4223" s="114" t="str">
        <f t="shared" si="3150"/>
        <v/>
      </c>
      <c r="AN4223" s="115"/>
      <c r="AO4223" s="116"/>
      <c r="AP4223" s="116"/>
      <c r="AQ4223" s="116"/>
      <c r="AR4223" s="116"/>
      <c r="AS4223" s="116"/>
      <c r="AT4223" s="116"/>
      <c r="AU4223" s="116"/>
      <c r="AV4223" s="78"/>
      <c r="AW4223" s="102"/>
      <c r="AX4223" s="78"/>
      <c r="AY4223" s="78"/>
      <c r="AZ4223" s="78"/>
      <c r="BA4223" s="78"/>
      <c r="BB4223" s="78"/>
      <c r="BC4223" s="78"/>
      <c r="BD4223" s="78"/>
      <c r="BE4223" s="465"/>
      <c r="BF4223" s="165" t="str">
        <f t="shared" si="3151"/>
        <v>https://www.google.com/search?tbm=isch&amp;q=25%20G4</v>
      </c>
      <c r="BG4223" s="165" t="str">
        <f t="shared" si="3152"/>
        <v>U</v>
      </c>
      <c r="BH4223" s="65"/>
      <c r="BI4223" s="65"/>
      <c r="BJ4223" s="65"/>
      <c r="BK4223" s="65"/>
      <c r="BL4223" s="99"/>
      <c r="BM4223" s="99"/>
      <c r="BN4223" s="99"/>
    </row>
    <row r="4224" spans="1:66" s="51" customFormat="1" ht="15.75" x14ac:dyDescent="0.25">
      <c r="A4224" s="634">
        <v>25</v>
      </c>
      <c r="B4224" s="635" t="s">
        <v>291</v>
      </c>
      <c r="C4224" s="636" t="s">
        <v>4417</v>
      </c>
      <c r="D4224" s="637" t="s">
        <v>293</v>
      </c>
      <c r="E4224" s="638">
        <v>377.95</v>
      </c>
      <c r="F4224" s="639" t="s">
        <v>292</v>
      </c>
      <c r="G4224" s="484">
        <v>0</v>
      </c>
      <c r="H4224" s="691" t="str">
        <f>IF(G4224=0,"",IF(F4224="Buy",IF(G4224=1,"plant","plants"),IF(F4224&gt;0.01,"warranty","Error")))</f>
        <v/>
      </c>
      <c r="I4224" s="640">
        <f>IF(H4224="free",0,IF(H4224="credit",((E4224*(F4224))*G4224*-1),IF(F4224="Buy",(E4224*G4224),((E4224*(1-F4224))*G4224))))</f>
        <v>0</v>
      </c>
      <c r="J4224" s="640">
        <f>IF(H4224="warranty",0,(I4224*(_xlfn.SINGLE(SalesTaxPercentage))))</f>
        <v>0</v>
      </c>
      <c r="K4224" s="716">
        <f t="shared" ref="K4224" si="3170">I4224+J4224</f>
        <v>0</v>
      </c>
      <c r="L4224" s="716"/>
      <c r="M4224" s="689" t="str">
        <f ca="1">IF(AND(G4224&gt;0,E4224=0),"WARNING - no PRICE inserted",IF(H4224="free","FREE ~ no charge this plant",IF(H4224="credit",CONCATENATE("-$",ROUND(K4224*(1-_xlfn.SINGLE(T2GDiscount))*-1,2)," CREDIT after discount"),IF(_xlfn.SINGLE(T2GDiscount)=0,"",IF(G4224=0,"",IF(F4224="Buy",CONCATENATE("$",ROUND(K4224*(1-_xlfn.SINGLE(T2GDiscount)),2)," with ",(_xlfn.SINGLE(T2GDiscount)*100),"% discount"),CONCATENATE("$",ROUND(K4224*(1-_xlfn.SINGLE(T2GDiscount)),2)," with ",((_xlfn.SINGLE(T2GDiscount)*100+F4224*100)-(_xlfn.SINGLE(T2GDiscount)*100*F4224)),IF(F4224&gt;0,"% discounts",IF(_xlfn.SINGLE(NoWarrantyDiscount)&gt;0,"% discounts","% discount")))))))))</f>
        <v/>
      </c>
      <c r="N4224" s="690"/>
      <c r="O4224" s="486"/>
      <c r="P4224" s="486"/>
      <c r="Q4224" s="486"/>
      <c r="R4224" s="486"/>
      <c r="S4224" s="486"/>
      <c r="T4224" s="102">
        <f t="shared" si="3140"/>
        <v>0</v>
      </c>
      <c r="U4224" s="78">
        <f>IF(NOT(ISNUMBER(G4224)), "", VLOOKUP(A4224,'Discount Lookup'!D:E,2,FALSE)*G4224)</f>
        <v>0</v>
      </c>
      <c r="V4224" s="78">
        <f>IF(NOT(ISNUMBER(G4224)), "", VLOOKUP(A4224,'Discount Lookup'!G:H,2,FALSE)*G4224)</f>
        <v>0</v>
      </c>
      <c r="W4224" s="102">
        <f t="shared" si="3141"/>
        <v>0</v>
      </c>
      <c r="X4224" s="102">
        <f t="shared" si="3142"/>
        <v>0</v>
      </c>
      <c r="Y4224" s="120" t="b">
        <f t="shared" si="3143"/>
        <v>0</v>
      </c>
      <c r="Z4224" s="117">
        <f t="shared" si="3144"/>
        <v>0</v>
      </c>
      <c r="AA4224" s="118"/>
      <c r="AB4224" s="118" t="str">
        <f t="shared" si="3145"/>
        <v/>
      </c>
      <c r="AC4224" s="712" t="str">
        <f>IF(AE4224="T2G","no charge",IF(AND(OR(PlanterYesMe="No",PlanterYesMe="N",PlanterYesMe="me"),H4224=""),"",IF(H4224="credit","NO install",IF(AND(K4224="",AE4224="me"),"EACH row",IF(AND(K4224="images",AE4224="me"),"EACH row",IF(D4224="","",IF(H4224="credit","",IF(AE4224="free","re-planting",IF(AE4224="me","   not ELP, by",IF(AND(OR(PlanterYesMe="Yes",PlanterYesMe="Y"),G4224&gt;0),(VLOOKUP(A4224,'Discount Lookup'!J:K,2)*G4224*(1-PlanterDiscount)*(1+PlanterDifficultyPercentage)),IF(AE4224="ELP",(VLOOKUP(A4224,'Discount Lookup'!J:K,2)*G4224*(1-PlanterDiscount)*(1+PlanterDifficultyPercentage)),IF(AE4224="free","re-planting",IF(G4224=0,"",IF(PlanterYesMe="",IF(AE4224="me","   not ELP, by",IF(AE4224="",IF(G4224&gt;0,(VLOOKUP(A4224,'Discount Lookup'!J:K,2)*G4224*(1-PlanterDiscount)*(1+PlanterDifficultyPercentage)),""),"")),"   not ELP, by"))))))))))))))</f>
        <v/>
      </c>
      <c r="AD4224" s="712"/>
      <c r="AE4224" s="513" t="str">
        <f t="shared" si="3146"/>
        <v/>
      </c>
      <c r="AF4224" s="713" t="str">
        <f t="shared" si="3147"/>
        <v/>
      </c>
      <c r="AG4224" s="713"/>
      <c r="AH4224" s="713"/>
      <c r="AI4224" s="112">
        <f>IF(H4224="credit",0,IF(AE4224="free",0,IF(AE4224="me",0,IF(G4224&gt;0,(VLOOKUP(A4224,'Discount Lookup'!J:K,2)*G4224),0))))</f>
        <v>0</v>
      </c>
      <c r="AJ4224" s="107" t="str">
        <f t="shared" ca="1" si="3148"/>
        <v/>
      </c>
      <c r="AK4224" s="714" t="str">
        <f t="shared" si="3149"/>
        <v/>
      </c>
      <c r="AL4224" s="714"/>
      <c r="AM4224" s="114" t="str">
        <f t="shared" si="3150"/>
        <v/>
      </c>
      <c r="AN4224" s="115"/>
      <c r="AO4224" s="116"/>
      <c r="AP4224" s="116"/>
      <c r="AQ4224" s="116"/>
      <c r="AR4224" s="116"/>
      <c r="AS4224" s="116"/>
      <c r="AT4224" s="116"/>
      <c r="AU4224" s="116"/>
      <c r="AV4224" s="78"/>
      <c r="AW4224" s="102"/>
      <c r="AX4224" s="78"/>
      <c r="AY4224" s="78"/>
      <c r="AZ4224" s="78"/>
      <c r="BA4224" s="78"/>
      <c r="BB4224" s="78"/>
      <c r="BC4224" s="78"/>
      <c r="BD4224" s="78"/>
      <c r="BE4224" s="465"/>
      <c r="BF4224" s="165" t="str">
        <f t="shared" si="3151"/>
        <v>https://www.google.com/search?tbm=isch&amp;q=25%20G6</v>
      </c>
      <c r="BG4224" s="165" t="str">
        <f t="shared" si="3152"/>
        <v>U</v>
      </c>
      <c r="BH4224" s="65"/>
      <c r="BI4224" s="65"/>
      <c r="BJ4224" s="65"/>
      <c r="BK4224" s="65"/>
      <c r="BL4224" s="99"/>
      <c r="BM4224" s="99"/>
      <c r="BN4224" s="99"/>
    </row>
    <row r="4225" spans="1:66" s="51" customFormat="1" ht="17.25" thickBot="1" x14ac:dyDescent="0.3">
      <c r="A4225" s="704" t="s">
        <v>5558</v>
      </c>
      <c r="B4225" s="642"/>
      <c r="C4225" s="710"/>
      <c r="D4225" s="643"/>
      <c r="E4225" s="643"/>
      <c r="F4225" s="644"/>
      <c r="G4225" s="645"/>
      <c r="H4225" s="646"/>
      <c r="I4225" s="647"/>
      <c r="J4225" s="648"/>
      <c r="K4225" s="649"/>
      <c r="L4225" s="650"/>
      <c r="M4225" s="650"/>
      <c r="N4225" s="644"/>
      <c r="O4225" s="644"/>
      <c r="P4225" s="644"/>
      <c r="Q4225" s="644"/>
      <c r="R4225" s="644"/>
      <c r="S4225" s="701" t="s">
        <v>5253</v>
      </c>
      <c r="T4225" s="102">
        <f t="shared" si="3140"/>
        <v>0</v>
      </c>
      <c r="U4225" s="78" t="str">
        <f>IF(NOT(ISNUMBER(G4225)), "", VLOOKUP(A4225,'Discount Lookup'!D:E,2,FALSE)*G4225)</f>
        <v/>
      </c>
      <c r="V4225" s="78" t="str">
        <f>IF(NOT(ISNUMBER(G4225)), "", VLOOKUP(A4225,'Discount Lookup'!G:H,2,FALSE)*G4225)</f>
        <v/>
      </c>
      <c r="W4225" s="102">
        <f t="shared" si="3141"/>
        <v>0</v>
      </c>
      <c r="X4225" s="102">
        <f t="shared" si="3142"/>
        <v>0</v>
      </c>
      <c r="Y4225" s="120" t="b">
        <f t="shared" si="3143"/>
        <v>0</v>
      </c>
      <c r="Z4225" s="117">
        <f t="shared" si="3144"/>
        <v>0</v>
      </c>
      <c r="AA4225" s="118"/>
      <c r="AB4225" s="118" t="str">
        <f t="shared" si="3145"/>
        <v/>
      </c>
      <c r="AC4225" s="712" t="str">
        <f>IF(AE4225="T2G","no charge",IF(AND(OR(PlanterYesMe="No",PlanterYesMe="N",PlanterYesMe="me"),H4225=""),"",IF(H4225="credit","NO install",IF(AND(K4225="",AE4225="me"),"EACH row",IF(AND(K4225="images",AE4225="me"),"EACH row",IF(D4225="","",IF(H4225="credit","",IF(AE4225="free","re-planting",IF(AE4225="me","   not ELP, by",IF(AND(OR(PlanterYesMe="Yes",PlanterYesMe="Y"),G4225&gt;0),(VLOOKUP(A4225,'Discount Lookup'!J:K,2)*G4225*(1-PlanterDiscount)*(1+PlanterDifficultyPercentage)),IF(AE4225="ELP",(VLOOKUP(A4225,'Discount Lookup'!J:K,2)*G4225*(1-PlanterDiscount)*(1+PlanterDifficultyPercentage)),IF(AE4225="free","re-planting",IF(G4225=0,"",IF(PlanterYesMe="",IF(AE4225="me","   not ELP, by",IF(AE4225="",IF(G4225&gt;0,(VLOOKUP(A4225,'Discount Lookup'!J:K,2)*G4225*(1-PlanterDiscount)*(1+PlanterDifficultyPercentage)),""),"")),"   not ELP, by"))))))))))))))</f>
        <v/>
      </c>
      <c r="AD4225" s="712"/>
      <c r="AE4225" s="513" t="str">
        <f t="shared" si="3146"/>
        <v/>
      </c>
      <c r="AF4225" s="713" t="str">
        <f t="shared" si="3147"/>
        <v/>
      </c>
      <c r="AG4225" s="713"/>
      <c r="AH4225" s="713"/>
      <c r="AI4225" s="112">
        <f>IF(H4225="credit",0,IF(AE4225="free",0,IF(AE4225="me",0,IF(G4225&gt;0,(VLOOKUP(A4225,'Discount Lookup'!J:K,2)*G4225),0))))</f>
        <v>0</v>
      </c>
      <c r="AJ4225" s="107" t="str">
        <f t="shared" ca="1" si="3148"/>
        <v/>
      </c>
      <c r="AK4225" s="714" t="str">
        <f t="shared" si="3149"/>
        <v/>
      </c>
      <c r="AL4225" s="714"/>
      <c r="AM4225" s="114" t="str">
        <f t="shared" si="3150"/>
        <v/>
      </c>
      <c r="AN4225" s="115"/>
      <c r="AO4225" s="116"/>
      <c r="AP4225" s="116"/>
      <c r="AQ4225" s="116"/>
      <c r="AR4225" s="116"/>
      <c r="AS4225" s="116"/>
      <c r="AT4225" s="116"/>
      <c r="AU4225" s="116"/>
      <c r="AV4225" s="78"/>
      <c r="AW4225" s="102"/>
      <c r="AX4225" s="78"/>
      <c r="AY4225" s="78"/>
      <c r="AZ4225" s="78"/>
      <c r="BA4225" s="78"/>
      <c r="BB4225" s="78"/>
      <c r="BC4225" s="78"/>
      <c r="BD4225" s="78"/>
      <c r="BE4225" s="465"/>
      <c r="BF4225" s="165" t="str">
        <f t="shared" si="3151"/>
        <v>https://www.google.com/search?tbm=isch&amp;q=moist%20sites%F0%9F%92%A7GOOD%2C%20Princeton%20Elm%20is%20best%20replacemnt%20for%20classic%20American%20Elm%20%28most%20lost%20to%20Dutch%20Elm%20disease%29.%20Yellow-Orange%20in%20fall%20</v>
      </c>
      <c r="BG4225" s="165" t="str">
        <f t="shared" si="3152"/>
        <v>m</v>
      </c>
      <c r="BH4225" s="65"/>
      <c r="BI4225" s="65"/>
      <c r="BJ4225" s="65"/>
      <c r="BK4225" s="65"/>
      <c r="BL4225" s="99"/>
      <c r="BM4225" s="99"/>
      <c r="BN4225" s="99"/>
    </row>
    <row r="4226" spans="1:66" s="51" customFormat="1" ht="18" x14ac:dyDescent="0.25">
      <c r="A4226" s="623" t="s">
        <v>4831</v>
      </c>
      <c r="B4226" s="624"/>
      <c r="C4226" s="709"/>
      <c r="D4226" s="625" t="s">
        <v>5847</v>
      </c>
      <c r="E4226" s="626"/>
      <c r="F4226" s="626"/>
      <c r="G4226" s="626"/>
      <c r="H4226" s="622" t="s">
        <v>1925</v>
      </c>
      <c r="I4226" s="627" t="s">
        <v>431</v>
      </c>
      <c r="J4226" s="628"/>
      <c r="K4226" s="628"/>
      <c r="L4226" s="629"/>
      <c r="M4226" s="700" t="s">
        <v>5241</v>
      </c>
      <c r="N4226" s="693" t="str">
        <f>IF(AND(ISTEXT($A4226), ISERROR($A4226+0)), HYPERLINK($BF4226, "Images"), "")</f>
        <v>Images</v>
      </c>
      <c r="O4226" s="695" t="s">
        <v>5247</v>
      </c>
      <c r="P4226" s="630"/>
      <c r="Q4226" s="631"/>
      <c r="R4226" s="632"/>
      <c r="S4226" s="633"/>
      <c r="T4226" s="102">
        <f t="shared" si="3140"/>
        <v>0</v>
      </c>
      <c r="U4226" s="78" t="str">
        <f>IF(NOT(ISNUMBER(G4226)), "", VLOOKUP(A4226,'Discount Lookup'!D:E,2,FALSE)*G4226)</f>
        <v/>
      </c>
      <c r="V4226" s="78" t="str">
        <f>IF(NOT(ISNUMBER(G4226)), "", VLOOKUP(A4226,'Discount Lookup'!G:H,2,FALSE)*G4226)</f>
        <v/>
      </c>
      <c r="W4226" s="102">
        <f t="shared" si="3141"/>
        <v>0</v>
      </c>
      <c r="X4226" s="102" t="str">
        <f t="shared" si="3142"/>
        <v>Dark Green foliage</v>
      </c>
      <c r="Y4226" s="120" t="b">
        <f t="shared" si="3143"/>
        <v>0</v>
      </c>
      <c r="Z4226" s="117">
        <f t="shared" si="3144"/>
        <v>0</v>
      </c>
      <c r="AA4226" s="118"/>
      <c r="AB4226" s="118" t="str">
        <f t="shared" si="3145"/>
        <v/>
      </c>
      <c r="AC4226" s="712" t="str">
        <f>IF(AE4226="T2G","no charge",IF(AND(OR(PlanterYesMe="No",PlanterYesMe="N",PlanterYesMe="me"),H4226=""),"",IF(H4226="credit","NO install",IF(AND(K4226="",AE4226="me"),"EACH row",IF(AND(K4226="images",AE4226="me"),"EACH row",IF(D4226="","",IF(H4226="credit","",IF(AE4226="free","re-planting",IF(AE4226="me","   not ELP, by",IF(AND(OR(PlanterYesMe="Yes",PlanterYesMe="Y"),G4226&gt;0),(VLOOKUP(A4226,'Discount Lookup'!J:K,2)*G4226*(1-PlanterDiscount)*(1+PlanterDifficultyPercentage)),IF(AE4226="ELP",(VLOOKUP(A4226,'Discount Lookup'!J:K,2)*G4226*(1-PlanterDiscount)*(1+PlanterDifficultyPercentage)),IF(AE4226="free","re-planting",IF(G4226=0,"",IF(PlanterYesMe="",IF(AE4226="me","   not ELP, by",IF(AE4226="",IF(G4226&gt;0,(VLOOKUP(A4226,'Discount Lookup'!J:K,2)*G4226*(1-PlanterDiscount)*(1+PlanterDifficultyPercentage)),""),"")),"   not ELP, by"))))))))))))))</f>
        <v/>
      </c>
      <c r="AD4226" s="712"/>
      <c r="AE4226" s="513" t="str">
        <f t="shared" si="3146"/>
        <v/>
      </c>
      <c r="AF4226" s="713" t="str">
        <f t="shared" si="3147"/>
        <v/>
      </c>
      <c r="AG4226" s="713"/>
      <c r="AH4226" s="713"/>
      <c r="AI4226" s="112">
        <f>IF(H4226="credit",0,IF(AE4226="free",0,IF(AE4226="me",0,IF(G4226&gt;0,(VLOOKUP(A4226,'Discount Lookup'!J:K,2)*G4226),0))))</f>
        <v>0</v>
      </c>
      <c r="AJ4226" s="107" t="str">
        <f t="shared" ca="1" si="3148"/>
        <v/>
      </c>
      <c r="AK4226" s="714" t="str">
        <f t="shared" si="3149"/>
        <v/>
      </c>
      <c r="AL4226" s="714"/>
      <c r="AM4226" s="114" t="str">
        <f t="shared" si="3150"/>
        <v/>
      </c>
      <c r="AN4226" s="115"/>
      <c r="AO4226" s="116"/>
      <c r="AP4226" s="116"/>
      <c r="AQ4226" s="116"/>
      <c r="AR4226" s="116"/>
      <c r="AS4226" s="116"/>
      <c r="AT4226" s="116"/>
      <c r="AU4226" s="116"/>
      <c r="AV4226" s="78"/>
      <c r="AW4226" s="102"/>
      <c r="AX4226" s="78"/>
      <c r="AY4226" s="78"/>
      <c r="AZ4226" s="78"/>
      <c r="BA4226" s="78"/>
      <c r="BB4226" s="78"/>
      <c r="BC4226" s="78"/>
      <c r="BD4226" s="78"/>
      <c r="BE4226" s="465"/>
      <c r="BF4226" s="165" t="str">
        <f t="shared" si="3151"/>
        <v>https://www.google.com/search?tbm=isch&amp;q=Ulmus%20parvifolia%20%27BSNUPF%27%20PP%2317655%20Everclear%C2%AE%20Lacebark%20Elm</v>
      </c>
      <c r="BG4226" s="165" t="str">
        <f t="shared" si="3152"/>
        <v>U</v>
      </c>
      <c r="BH4226" s="65"/>
      <c r="BI4226" s="65"/>
      <c r="BJ4226" s="65"/>
      <c r="BK4226" s="65"/>
      <c r="BL4226" s="99"/>
      <c r="BM4226" s="99"/>
      <c r="BN4226" s="99"/>
    </row>
    <row r="4227" spans="1:66" s="51" customFormat="1" ht="15.75" x14ac:dyDescent="0.25">
      <c r="A4227" s="634">
        <v>7</v>
      </c>
      <c r="B4227" s="635" t="s">
        <v>291</v>
      </c>
      <c r="C4227" s="636" t="s">
        <v>924</v>
      </c>
      <c r="D4227" s="637" t="s">
        <v>299</v>
      </c>
      <c r="E4227" s="638">
        <v>109.95</v>
      </c>
      <c r="F4227" s="639" t="s">
        <v>292</v>
      </c>
      <c r="G4227" s="484">
        <v>0</v>
      </c>
      <c r="H4227" s="691" t="str">
        <f>IF(G4227=0,"",IF(F4227="Buy",IF(G4227=1,"plant","plants"),IF(F4227&gt;0.01,"warranty","Error")))</f>
        <v/>
      </c>
      <c r="I4227" s="640">
        <f>IF(H4227="free",0,IF(H4227="credit",((E4227*(F4227))*G4227*-1),IF(F4227="Buy",(E4227*G4227),((E4227*(1-F4227))*G4227))))</f>
        <v>0</v>
      </c>
      <c r="J4227" s="640">
        <f>IF(H4227="warranty",0,(I4227*(_xlfn.SINGLE(SalesTaxPercentage))))</f>
        <v>0</v>
      </c>
      <c r="K4227" s="716">
        <f t="shared" ref="K4227" si="3171">I4227+J4227</f>
        <v>0</v>
      </c>
      <c r="L4227" s="716"/>
      <c r="M4227" s="689" t="str">
        <f ca="1">IF(AND(G4227&gt;0,E4227=0),"WARNING - no PRICE inserted",IF(H4227="free","FREE ~ no charge this plant",IF(H4227="credit",CONCATENATE("-$",ROUND(K4227*(1-_xlfn.SINGLE(T2GDiscount))*-1,2)," CREDIT after discount"),IF(_xlfn.SINGLE(T2GDiscount)=0,"",IF(G4227=0,"",IF(F4227="Buy",CONCATENATE("$",ROUND(K4227*(1-_xlfn.SINGLE(T2GDiscount)),2)," with ",(_xlfn.SINGLE(T2GDiscount)*100),"% discount"),CONCATENATE("$",ROUND(K4227*(1-_xlfn.SINGLE(T2GDiscount)),2)," with ",((_xlfn.SINGLE(T2GDiscount)*100+F4227*100)-(_xlfn.SINGLE(T2GDiscount)*100*F4227)),IF(F4227&gt;0,"% discounts",IF(_xlfn.SINGLE(NoWarrantyDiscount)&gt;0,"% discounts","% discount")))))))))</f>
        <v/>
      </c>
      <c r="N4227" s="690"/>
      <c r="O4227" s="486"/>
      <c r="P4227" s="486"/>
      <c r="Q4227" s="486"/>
      <c r="R4227" s="486"/>
      <c r="S4227" s="486"/>
      <c r="T4227" s="102">
        <f t="shared" si="3140"/>
        <v>0</v>
      </c>
      <c r="U4227" s="78">
        <f>IF(NOT(ISNUMBER(G4227)), "", VLOOKUP(A4227,'Discount Lookup'!D:E,2,FALSE)*G4227)</f>
        <v>0</v>
      </c>
      <c r="V4227" s="78">
        <f>IF(NOT(ISNUMBER(G4227)), "", VLOOKUP(A4227,'Discount Lookup'!G:H,2,FALSE)*G4227)</f>
        <v>0</v>
      </c>
      <c r="W4227" s="102">
        <f t="shared" si="3141"/>
        <v>0</v>
      </c>
      <c r="X4227" s="102">
        <f t="shared" si="3142"/>
        <v>0</v>
      </c>
      <c r="Y4227" s="120" t="b">
        <f t="shared" si="3143"/>
        <v>0</v>
      </c>
      <c r="Z4227" s="117">
        <f t="shared" si="3144"/>
        <v>0</v>
      </c>
      <c r="AA4227" s="118"/>
      <c r="AB4227" s="118" t="str">
        <f t="shared" si="3145"/>
        <v/>
      </c>
      <c r="AC4227" s="712" t="str">
        <f>IF(AE4227="T2G","no charge",IF(AND(OR(PlanterYesMe="No",PlanterYesMe="N",PlanterYesMe="me"),H4227=""),"",IF(H4227="credit","NO install",IF(AND(K4227="",AE4227="me"),"EACH row",IF(AND(K4227="images",AE4227="me"),"EACH row",IF(D4227="","",IF(H4227="credit","",IF(AE4227="free","re-planting",IF(AE4227="me","   not ELP, by",IF(AND(OR(PlanterYesMe="Yes",PlanterYesMe="Y"),G4227&gt;0),(VLOOKUP(A4227,'Discount Lookup'!J:K,2)*G4227*(1-PlanterDiscount)*(1+PlanterDifficultyPercentage)),IF(AE4227="ELP",(VLOOKUP(A4227,'Discount Lookup'!J:K,2)*G4227*(1-PlanterDiscount)*(1+PlanterDifficultyPercentage)),IF(AE4227="free","re-planting",IF(G4227=0,"",IF(PlanterYesMe="",IF(AE4227="me","   not ELP, by",IF(AE4227="",IF(G4227&gt;0,(VLOOKUP(A4227,'Discount Lookup'!J:K,2)*G4227*(1-PlanterDiscount)*(1+PlanterDifficultyPercentage)),""),"")),"   not ELP, by"))))))))))))))</f>
        <v/>
      </c>
      <c r="AD4227" s="712"/>
      <c r="AE4227" s="513" t="str">
        <f t="shared" si="3146"/>
        <v/>
      </c>
      <c r="AF4227" s="713" t="str">
        <f t="shared" si="3147"/>
        <v/>
      </c>
      <c r="AG4227" s="713"/>
      <c r="AH4227" s="713"/>
      <c r="AI4227" s="112">
        <f>IF(H4227="credit",0,IF(AE4227="free",0,IF(AE4227="me",0,IF(G4227&gt;0,(VLOOKUP(A4227,'Discount Lookup'!J:K,2)*G4227),0))))</f>
        <v>0</v>
      </c>
      <c r="AJ4227" s="107" t="str">
        <f t="shared" ca="1" si="3148"/>
        <v/>
      </c>
      <c r="AK4227" s="714" t="str">
        <f t="shared" si="3149"/>
        <v/>
      </c>
      <c r="AL4227" s="714"/>
      <c r="AM4227" s="114" t="str">
        <f t="shared" si="3150"/>
        <v/>
      </c>
      <c r="AN4227" s="115"/>
      <c r="AO4227" s="116"/>
      <c r="AP4227" s="116"/>
      <c r="AQ4227" s="116"/>
      <c r="AR4227" s="116"/>
      <c r="AS4227" s="116"/>
      <c r="AT4227" s="116"/>
      <c r="AU4227" s="116"/>
      <c r="AV4227" s="78"/>
      <c r="AW4227" s="102"/>
      <c r="AX4227" s="78"/>
      <c r="AY4227" s="78"/>
      <c r="AZ4227" s="78"/>
      <c r="BA4227" s="78"/>
      <c r="BB4227" s="78"/>
      <c r="BC4227" s="78"/>
      <c r="BD4227" s="78"/>
      <c r="BE4227" s="465"/>
      <c r="BF4227" s="165" t="str">
        <f t="shared" si="3151"/>
        <v>https://www.google.com/search?tbm=isch&amp;q=7%20G4</v>
      </c>
      <c r="BG4227" s="165" t="str">
        <f t="shared" si="3152"/>
        <v>U</v>
      </c>
      <c r="BH4227" s="65"/>
      <c r="BI4227" s="65"/>
      <c r="BJ4227" s="65"/>
      <c r="BK4227" s="65"/>
      <c r="BL4227" s="99"/>
      <c r="BM4227" s="99"/>
      <c r="BN4227" s="99"/>
    </row>
    <row r="4228" spans="1:66" s="51" customFormat="1" ht="16.5" x14ac:dyDescent="0.25">
      <c r="A4228" s="641" t="s">
        <v>4832</v>
      </c>
      <c r="B4228" s="642"/>
      <c r="C4228" s="710"/>
      <c r="D4228" s="643"/>
      <c r="E4228" s="643"/>
      <c r="F4228" s="644"/>
      <c r="G4228" s="645"/>
      <c r="H4228" s="646"/>
      <c r="I4228" s="647"/>
      <c r="J4228" s="648"/>
      <c r="K4228" s="649"/>
      <c r="L4228" s="650"/>
      <c r="M4228" s="650"/>
      <c r="N4228" s="644"/>
      <c r="O4228" s="644"/>
      <c r="P4228" s="644"/>
      <c r="Q4228" s="644"/>
      <c r="R4228" s="644"/>
      <c r="S4228" s="701" t="s">
        <v>5262</v>
      </c>
      <c r="T4228" s="102">
        <f t="shared" si="3140"/>
        <v>0</v>
      </c>
      <c r="U4228" s="78" t="str">
        <f>IF(NOT(ISNUMBER(G4228)), "", VLOOKUP(A4228,'Discount Lookup'!D:E,2,FALSE)*G4228)</f>
        <v/>
      </c>
      <c r="V4228" s="78" t="str">
        <f>IF(NOT(ISNUMBER(G4228)), "", VLOOKUP(A4228,'Discount Lookup'!G:H,2,FALSE)*G4228)</f>
        <v/>
      </c>
      <c r="W4228" s="102">
        <f t="shared" si="3141"/>
        <v>0</v>
      </c>
      <c r="X4228" s="102">
        <f t="shared" si="3142"/>
        <v>0</v>
      </c>
      <c r="Y4228" s="120" t="b">
        <f t="shared" si="3143"/>
        <v>0</v>
      </c>
      <c r="Z4228" s="117">
        <f t="shared" si="3144"/>
        <v>0</v>
      </c>
      <c r="AA4228" s="118"/>
      <c r="AB4228" s="118" t="str">
        <f t="shared" si="3145"/>
        <v/>
      </c>
      <c r="AC4228" s="712" t="str">
        <f>IF(AE4228="T2G","no charge",IF(AND(OR(PlanterYesMe="No",PlanterYesMe="N",PlanterYesMe="me"),H4228=""),"",IF(H4228="credit","NO install",IF(AND(K4228="",AE4228="me"),"EACH row",IF(AND(K4228="images",AE4228="me"),"EACH row",IF(D4228="","",IF(H4228="credit","",IF(AE4228="free","re-planting",IF(AE4228="me","   not ELP, by",IF(AND(OR(PlanterYesMe="Yes",PlanterYesMe="Y"),G4228&gt;0),(VLOOKUP(A4228,'Discount Lookup'!J:K,2)*G4228*(1-PlanterDiscount)*(1+PlanterDifficultyPercentage)),IF(AE4228="ELP",(VLOOKUP(A4228,'Discount Lookup'!J:K,2)*G4228*(1-PlanterDiscount)*(1+PlanterDifficultyPercentage)),IF(AE4228="free","re-planting",IF(G4228=0,"",IF(PlanterYesMe="",IF(AE4228="me","   not ELP, by",IF(AE4228="",IF(G4228&gt;0,(VLOOKUP(A4228,'Discount Lookup'!J:K,2)*G4228*(1-PlanterDiscount)*(1+PlanterDifficultyPercentage)),""),"")),"   not ELP, by"))))))))))))))</f>
        <v/>
      </c>
      <c r="AD4228" s="712"/>
      <c r="AE4228" s="513" t="str">
        <f t="shared" si="3146"/>
        <v/>
      </c>
      <c r="AF4228" s="713" t="str">
        <f t="shared" si="3147"/>
        <v/>
      </c>
      <c r="AG4228" s="713"/>
      <c r="AH4228" s="713"/>
      <c r="AI4228" s="112">
        <f>IF(H4228="credit",0,IF(AE4228="free",0,IF(AE4228="me",0,IF(G4228&gt;0,(VLOOKUP(A4228,'Discount Lookup'!J:K,2)*G4228),0))))</f>
        <v>0</v>
      </c>
      <c r="AJ4228" s="107" t="str">
        <f t="shared" ca="1" si="3148"/>
        <v/>
      </c>
      <c r="AK4228" s="714" t="str">
        <f t="shared" si="3149"/>
        <v/>
      </c>
      <c r="AL4228" s="714"/>
      <c r="AM4228" s="114" t="str">
        <f t="shared" si="3150"/>
        <v/>
      </c>
      <c r="AN4228" s="115"/>
      <c r="AO4228" s="116"/>
      <c r="AP4228" s="116"/>
      <c r="AQ4228" s="116"/>
      <c r="AR4228" s="116"/>
      <c r="AS4228" s="116"/>
      <c r="AT4228" s="116"/>
      <c r="AU4228" s="116"/>
      <c r="AV4228" s="78"/>
      <c r="AW4228" s="102"/>
      <c r="AX4228" s="78"/>
      <c r="AY4228" s="78"/>
      <c r="AZ4228" s="78"/>
      <c r="BA4228" s="78"/>
      <c r="BB4228" s="78"/>
      <c r="BC4228" s="78"/>
      <c r="BD4228" s="78"/>
      <c r="BE4228" s="465"/>
      <c r="BF4228" s="165" t="str">
        <f t="shared" si="3151"/>
        <v>https://www.google.com/search?tbm=isch&amp;q=Everclear%20has%20a%20narrow%20form%20that%20fits%20in%20more%20places.%20Very%20resistant%20to%20Dutch%20Elm%20disease.%20Yellow-Brown%20fall%20foliage%20</v>
      </c>
      <c r="BG4228" s="165" t="str">
        <f t="shared" si="3152"/>
        <v>E</v>
      </c>
      <c r="BH4228" s="65"/>
      <c r="BI4228" s="65"/>
      <c r="BJ4228" s="65"/>
      <c r="BK4228" s="65"/>
      <c r="BL4228" s="99"/>
      <c r="BM4228" s="99"/>
      <c r="BN4228" s="99"/>
    </row>
    <row r="4229" spans="1:66" s="51" customFormat="1" ht="55.5" x14ac:dyDescent="0.25">
      <c r="A4229" s="520" t="s">
        <v>812</v>
      </c>
      <c r="B4229" s="501"/>
      <c r="C4229" s="502"/>
      <c r="D4229" s="502"/>
      <c r="E4229" s="502"/>
      <c r="F4229" s="502"/>
      <c r="G4229" s="502"/>
      <c r="H4229" s="502"/>
      <c r="I4229" s="502"/>
      <c r="J4229" s="502"/>
      <c r="K4229" s="509" t="s">
        <v>871</v>
      </c>
      <c r="L4229" s="503"/>
      <c r="M4229" s="563"/>
      <c r="N4229" s="504"/>
      <c r="O4229" s="504"/>
      <c r="P4229" s="504"/>
      <c r="Q4229" s="504"/>
      <c r="R4229" s="504"/>
      <c r="S4229" s="511" t="s">
        <v>1546</v>
      </c>
      <c r="T4229" s="102">
        <f t="shared" si="3140"/>
        <v>0</v>
      </c>
      <c r="U4229" s="78" t="str">
        <f>IF(NOT(ISNUMBER(G4229)), "", VLOOKUP(A4229,'Discount Lookup'!D:E,2,FALSE)*G4229)</f>
        <v/>
      </c>
      <c r="V4229" s="78" t="str">
        <f>IF(NOT(ISNUMBER(G4229)), "", VLOOKUP(A4229,'Discount Lookup'!G:H,2,FALSE)*G4229)</f>
        <v/>
      </c>
      <c r="W4229" s="102">
        <f t="shared" si="3141"/>
        <v>0</v>
      </c>
      <c r="X4229" s="102">
        <f t="shared" si="3142"/>
        <v>0</v>
      </c>
      <c r="Y4229" s="120" t="b">
        <f t="shared" si="3143"/>
        <v>0</v>
      </c>
      <c r="Z4229" s="117">
        <f t="shared" si="3144"/>
        <v>0</v>
      </c>
      <c r="AA4229" s="118"/>
      <c r="AB4229" s="118" t="str">
        <f t="shared" si="3145"/>
        <v/>
      </c>
      <c r="AC4229" s="712" t="str">
        <f>IF(AE4229="T2G","no charge",IF(AND(OR(PlanterYesMe="No",PlanterYesMe="N",PlanterYesMe="me"),H4229=""),"",IF(H4229="credit","NO install",IF(AND(K4229="",AE4229="me"),"EACH row",IF(AND(K4229="images",AE4229="me"),"EACH row",IF(D4229="","",IF(H4229="credit","",IF(AE4229="free","re-planting",IF(AE4229="me","   not ELP, by",IF(AND(OR(PlanterYesMe="Yes",PlanterYesMe="Y"),G4229&gt;0),(VLOOKUP(A4229,'Discount Lookup'!J:K,2)*G4229*(1-PlanterDiscount)*(1+PlanterDifficultyPercentage)),IF(AE4229="ELP",(VLOOKUP(A4229,'Discount Lookup'!J:K,2)*G4229*(1-PlanterDiscount)*(1+PlanterDifficultyPercentage)),IF(AE4229="free","re-planting",IF(G4229=0,"",IF(PlanterYesMe="",IF(AE4229="me","   not ELP, by",IF(AE4229="",IF(G4229&gt;0,(VLOOKUP(A4229,'Discount Lookup'!J:K,2)*G4229*(1-PlanterDiscount)*(1+PlanterDifficultyPercentage)),""),"")),"   not ELP, by"))))))))))))))</f>
        <v/>
      </c>
      <c r="AD4229" s="712"/>
      <c r="AE4229" s="513" t="str">
        <f t="shared" si="3146"/>
        <v/>
      </c>
      <c r="AF4229" s="713" t="str">
        <f t="shared" si="3147"/>
        <v/>
      </c>
      <c r="AG4229" s="713"/>
      <c r="AH4229" s="713"/>
      <c r="AI4229" s="112">
        <f>IF(H4229="credit",0,IF(AE4229="free",0,IF(AE4229="me",0,IF(G4229&gt;0,(VLOOKUP(A4229,'Discount Lookup'!J:K,2)*G4229),0))))</f>
        <v>0</v>
      </c>
      <c r="AJ4229" s="107" t="str">
        <f t="shared" ca="1" si="3148"/>
        <v/>
      </c>
      <c r="AK4229" s="714" t="str">
        <f t="shared" si="3149"/>
        <v/>
      </c>
      <c r="AL4229" s="714"/>
      <c r="AM4229" s="114" t="str">
        <f t="shared" si="3150"/>
        <v/>
      </c>
      <c r="AN4229" s="115"/>
      <c r="AO4229" s="116"/>
      <c r="AP4229" s="116"/>
      <c r="AQ4229" s="116"/>
      <c r="AR4229" s="116"/>
      <c r="AS4229" s="116"/>
      <c r="AT4229" s="116"/>
      <c r="AU4229" s="116"/>
      <c r="AV4229" s="78"/>
      <c r="AW4229" s="102"/>
      <c r="AX4229" s="78"/>
      <c r="AY4229" s="78"/>
      <c r="AZ4229" s="78"/>
      <c r="BA4229" s="78"/>
      <c r="BB4229" s="78"/>
      <c r="BC4229" s="78"/>
      <c r="BD4229" s="78"/>
      <c r="BE4229" s="465"/>
      <c r="BF4229" s="165" t="str">
        <f t="shared" si="3151"/>
        <v>https://www.google.com/search?tbm=isch&amp;q=V%20</v>
      </c>
      <c r="BG4229" s="165" t="str">
        <f t="shared" si="3152"/>
        <v>V</v>
      </c>
      <c r="BH4229" s="65"/>
      <c r="BI4229" s="65"/>
      <c r="BJ4229" s="65"/>
      <c r="BK4229" s="65"/>
      <c r="BL4229" s="99"/>
      <c r="BM4229" s="99"/>
      <c r="BN4229" s="99"/>
    </row>
    <row r="4230" spans="1:66" s="51" customFormat="1" ht="19.5" thickBot="1" x14ac:dyDescent="0.3">
      <c r="A4230" s="686" t="s">
        <v>4949</v>
      </c>
      <c r="B4230" s="73"/>
      <c r="C4230" s="708"/>
      <c r="D4230" s="73"/>
      <c r="E4230" s="73"/>
      <c r="F4230" s="496"/>
      <c r="G4230" s="73"/>
      <c r="H4230" s="73"/>
      <c r="I4230" s="73"/>
      <c r="J4230" s="497" t="s">
        <v>357</v>
      </c>
      <c r="K4230" s="498"/>
      <c r="L4230" s="562"/>
      <c r="M4230" s="73"/>
      <c r="N4230"/>
      <c r="O4230"/>
      <c r="P4230"/>
      <c r="Q4230"/>
      <c r="R4230"/>
      <c r="S4230"/>
      <c r="T4230" s="102">
        <f t="shared" si="3140"/>
        <v>0</v>
      </c>
      <c r="U4230" s="78" t="str">
        <f>IF(NOT(ISNUMBER(G4230)), "", VLOOKUP(A4230,'Discount Lookup'!D:E,2,FALSE)*G4230)</f>
        <v/>
      </c>
      <c r="V4230" s="78" t="str">
        <f>IF(NOT(ISNUMBER(G4230)), "", VLOOKUP(A4230,'Discount Lookup'!G:H,2,FALSE)*G4230)</f>
        <v/>
      </c>
      <c r="W4230" s="102">
        <f t="shared" si="3141"/>
        <v>0</v>
      </c>
      <c r="X4230" s="102">
        <f t="shared" si="3142"/>
        <v>0</v>
      </c>
      <c r="Y4230" s="120" t="b">
        <f t="shared" si="3143"/>
        <v>0</v>
      </c>
      <c r="Z4230" s="117">
        <f t="shared" si="3144"/>
        <v>0</v>
      </c>
      <c r="AA4230" s="118"/>
      <c r="AB4230" s="118" t="str">
        <f t="shared" si="3145"/>
        <v/>
      </c>
      <c r="AC4230" s="712" t="str">
        <f>IF(AE4230="T2G","no charge",IF(AND(OR(PlanterYesMe="No",PlanterYesMe="N",PlanterYesMe="me"),H4230=""),"",IF(H4230="credit","NO install",IF(AND(K4230="",AE4230="me"),"EACH row",IF(AND(K4230="images",AE4230="me"),"EACH row",IF(D4230="","",IF(H4230="credit","",IF(AE4230="free","re-planting",IF(AE4230="me","   not ELP, by",IF(AND(OR(PlanterYesMe="Yes",PlanterYesMe="Y"),G4230&gt;0),(VLOOKUP(A4230,'Discount Lookup'!J:K,2)*G4230*(1-PlanterDiscount)*(1+PlanterDifficultyPercentage)),IF(AE4230="ELP",(VLOOKUP(A4230,'Discount Lookup'!J:K,2)*G4230*(1-PlanterDiscount)*(1+PlanterDifficultyPercentage)),IF(AE4230="free","re-planting",IF(G4230=0,"",IF(PlanterYesMe="",IF(AE4230="me","   not ELP, by",IF(AE4230="",IF(G4230&gt;0,(VLOOKUP(A4230,'Discount Lookup'!J:K,2)*G4230*(1-PlanterDiscount)*(1+PlanterDifficultyPercentage)),""),"")),"   not ELP, by"))))))))))))))</f>
        <v/>
      </c>
      <c r="AD4230" s="712"/>
      <c r="AE4230" s="513" t="str">
        <f t="shared" si="3146"/>
        <v/>
      </c>
      <c r="AF4230" s="713" t="str">
        <f t="shared" si="3147"/>
        <v/>
      </c>
      <c r="AG4230" s="713"/>
      <c r="AH4230" s="713"/>
      <c r="AI4230" s="112">
        <f>IF(H4230="credit",0,IF(AE4230="free",0,IF(AE4230="me",0,IF(G4230&gt;0,(VLOOKUP(A4230,'Discount Lookup'!J:K,2)*G4230),0))))</f>
        <v>0</v>
      </c>
      <c r="AJ4230" s="107" t="str">
        <f t="shared" ca="1" si="3148"/>
        <v/>
      </c>
      <c r="AK4230" s="714" t="str">
        <f t="shared" si="3149"/>
        <v/>
      </c>
      <c r="AL4230" s="714"/>
      <c r="AM4230" s="114" t="str">
        <f t="shared" si="3150"/>
        <v/>
      </c>
      <c r="AN4230" s="115"/>
      <c r="AO4230" s="116"/>
      <c r="AP4230" s="116"/>
      <c r="AQ4230" s="116"/>
      <c r="AR4230" s="116"/>
      <c r="AS4230" s="116"/>
      <c r="AT4230" s="116"/>
      <c r="AU4230" s="116"/>
      <c r="AV4230" s="78"/>
      <c r="AW4230" s="102"/>
      <c r="AX4230" s="78"/>
      <c r="AY4230" s="78"/>
      <c r="AZ4230" s="78"/>
      <c r="BA4230" s="78"/>
      <c r="BB4230" s="78"/>
      <c r="BC4230" s="78"/>
      <c r="BD4230" s="78"/>
      <c r="BE4230" s="465"/>
      <c r="BF4230" s="165" t="str">
        <f t="shared" si="3151"/>
        <v>https://www.google.com/search?tbm=isch&amp;q=Vac.%20%3D%20Blueberry%20%28Vaccinium%29%20</v>
      </c>
      <c r="BG4230" s="165" t="str">
        <f t="shared" si="3152"/>
        <v>V</v>
      </c>
      <c r="BH4230" s="65"/>
      <c r="BI4230" s="65"/>
      <c r="BJ4230" s="65"/>
      <c r="BK4230" s="65"/>
      <c r="BL4230" s="99"/>
      <c r="BM4230" s="99"/>
      <c r="BN4230" s="99"/>
    </row>
    <row r="4231" spans="1:66" s="51" customFormat="1" ht="18" x14ac:dyDescent="0.25">
      <c r="A4231" s="623" t="s">
        <v>4418</v>
      </c>
      <c r="B4231" s="624"/>
      <c r="C4231" s="709"/>
      <c r="D4231" s="625" t="s">
        <v>4419</v>
      </c>
      <c r="E4231" s="626"/>
      <c r="F4231" s="626"/>
      <c r="G4231" s="626"/>
      <c r="H4231" s="622" t="s">
        <v>1246</v>
      </c>
      <c r="I4231" s="627" t="s">
        <v>349</v>
      </c>
      <c r="J4231" s="628"/>
      <c r="K4231" s="628"/>
      <c r="L4231" s="629"/>
      <c r="M4231" s="700" t="s">
        <v>5241</v>
      </c>
      <c r="N4231" s="693" t="str">
        <f>IF(AND(ISTEXT($A4231), ISERROR($A4231+0)), HYPERLINK($BF4231, "Images"), "")</f>
        <v>Images</v>
      </c>
      <c r="O4231" s="695" t="s">
        <v>5286</v>
      </c>
      <c r="P4231" s="630"/>
      <c r="Q4231" s="631"/>
      <c r="R4231" s="632"/>
      <c r="S4231" s="633" t="s">
        <v>294</v>
      </c>
      <c r="T4231" s="102">
        <f t="shared" si="3140"/>
        <v>0</v>
      </c>
      <c r="U4231" s="78" t="str">
        <f>IF(NOT(ISNUMBER(G4231)), "", VLOOKUP(A4231,'Discount Lookup'!D:E,2,FALSE)*G4231)</f>
        <v/>
      </c>
      <c r="V4231" s="78" t="str">
        <f>IF(NOT(ISNUMBER(G4231)), "", VLOOKUP(A4231,'Discount Lookup'!G:H,2,FALSE)*G4231)</f>
        <v/>
      </c>
      <c r="W4231" s="102">
        <f t="shared" si="3141"/>
        <v>0</v>
      </c>
      <c r="X4231" s="102" t="str">
        <f t="shared" si="3142"/>
        <v>White bloom</v>
      </c>
      <c r="Y4231" s="120" t="b">
        <f t="shared" si="3143"/>
        <v>0</v>
      </c>
      <c r="Z4231" s="117">
        <f t="shared" si="3144"/>
        <v>0</v>
      </c>
      <c r="AA4231" s="118"/>
      <c r="AB4231" s="118" t="str">
        <f t="shared" si="3145"/>
        <v/>
      </c>
      <c r="AC4231" s="712" t="str">
        <f>IF(AE4231="T2G","no charge",IF(AND(OR(PlanterYesMe="No",PlanterYesMe="N",PlanterYesMe="me"),H4231=""),"",IF(H4231="credit","NO install",IF(AND(K4231="",AE4231="me"),"EACH row",IF(AND(K4231="images",AE4231="me"),"EACH row",IF(D4231="","",IF(H4231="credit","",IF(AE4231="free","re-planting",IF(AE4231="me","   not ELP, by",IF(AND(OR(PlanterYesMe="Yes",PlanterYesMe="Y"),G4231&gt;0),(VLOOKUP(A4231,'Discount Lookup'!J:K,2)*G4231*(1-PlanterDiscount)*(1+PlanterDifficultyPercentage)),IF(AE4231="ELP",(VLOOKUP(A4231,'Discount Lookup'!J:K,2)*G4231*(1-PlanterDiscount)*(1+PlanterDifficultyPercentage)),IF(AE4231="free","re-planting",IF(G4231=0,"",IF(PlanterYesMe="",IF(AE4231="me","   not ELP, by",IF(AE4231="",IF(G4231&gt;0,(VLOOKUP(A4231,'Discount Lookup'!J:K,2)*G4231*(1-PlanterDiscount)*(1+PlanterDifficultyPercentage)),""),"")),"   not ELP, by"))))))))))))))</f>
        <v/>
      </c>
      <c r="AD4231" s="712"/>
      <c r="AE4231" s="513" t="str">
        <f t="shared" si="3146"/>
        <v/>
      </c>
      <c r="AF4231" s="713" t="str">
        <f t="shared" si="3147"/>
        <v/>
      </c>
      <c r="AG4231" s="713"/>
      <c r="AH4231" s="713"/>
      <c r="AI4231" s="112">
        <f>IF(H4231="credit",0,IF(AE4231="free",0,IF(AE4231="me",0,IF(G4231&gt;0,(VLOOKUP(A4231,'Discount Lookup'!J:K,2)*G4231),0))))</f>
        <v>0</v>
      </c>
      <c r="AJ4231" s="107" t="str">
        <f t="shared" ca="1" si="3148"/>
        <v/>
      </c>
      <c r="AK4231" s="714" t="str">
        <f t="shared" si="3149"/>
        <v/>
      </c>
      <c r="AL4231" s="714"/>
      <c r="AM4231" s="114" t="str">
        <f t="shared" si="3150"/>
        <v/>
      </c>
      <c r="AN4231" s="115"/>
      <c r="AO4231" s="116"/>
      <c r="AP4231" s="116"/>
      <c r="AQ4231" s="116"/>
      <c r="AR4231" s="116"/>
      <c r="AS4231" s="116"/>
      <c r="AT4231" s="116"/>
      <c r="AU4231" s="116"/>
      <c r="AV4231" s="78"/>
      <c r="AW4231" s="102"/>
      <c r="AX4231" s="78"/>
      <c r="AY4231" s="78"/>
      <c r="AZ4231" s="78"/>
      <c r="BA4231" s="78"/>
      <c r="BB4231" s="78"/>
      <c r="BC4231" s="78"/>
      <c r="BD4231" s="78"/>
      <c r="BE4231" s="465"/>
      <c r="BF4231" s="165" t="str">
        <f t="shared" si="3151"/>
        <v>https://www.google.com/search?tbm=isch&amp;q=Vac.%20ashei%20%27Powderblue%27%20Powderblue%20Blueberry</v>
      </c>
      <c r="BG4231" s="165" t="str">
        <f t="shared" si="3152"/>
        <v>V</v>
      </c>
      <c r="BH4231" s="65"/>
      <c r="BI4231" s="65"/>
      <c r="BJ4231" s="65"/>
      <c r="BK4231" s="65"/>
      <c r="BL4231" s="99"/>
      <c r="BM4231" s="99"/>
      <c r="BN4231" s="99"/>
    </row>
    <row r="4232" spans="1:66" s="51" customFormat="1" ht="15.75" x14ac:dyDescent="0.25">
      <c r="A4232" s="634">
        <v>3</v>
      </c>
      <c r="B4232" s="635" t="s">
        <v>291</v>
      </c>
      <c r="C4232" s="636"/>
      <c r="D4232" s="637" t="s">
        <v>310</v>
      </c>
      <c r="E4232" s="638">
        <v>25.95</v>
      </c>
      <c r="F4232" s="639" t="s">
        <v>292</v>
      </c>
      <c r="G4232" s="484">
        <v>0</v>
      </c>
      <c r="H4232" s="691" t="str">
        <f>IF(G4232=0,"",IF(F4232="Buy",IF(G4232=1,"plant","plants"),IF(F4232&gt;0.01,"warranty","Error")))</f>
        <v/>
      </c>
      <c r="I4232" s="640">
        <f>IF(H4232="free",0,IF(H4232="credit",((E4232*(F4232))*G4232*-1),IF(F4232="Buy",(E4232*G4232),((E4232*(1-F4232))*G4232))))</f>
        <v>0</v>
      </c>
      <c r="J4232" s="640">
        <f>IF(H4232="warranty",0,(I4232*(_xlfn.SINGLE(SalesTaxPercentage))))</f>
        <v>0</v>
      </c>
      <c r="K4232" s="716">
        <f t="shared" ref="K4232" si="3172">I4232+J4232</f>
        <v>0</v>
      </c>
      <c r="L4232" s="716"/>
      <c r="M4232" s="689" t="str">
        <f ca="1">IF(AND(G4232&gt;0,E4232=0),"WARNING - no PRICE inserted",IF(H4232="free","FREE ~ no charge this plant",IF(H4232="credit",CONCATENATE("-$",ROUND(K4232*(1-_xlfn.SINGLE(T2GDiscount))*-1,2)," CREDIT after discount"),IF(_xlfn.SINGLE(T2GDiscount)=0,"",IF(G4232=0,"",IF(F4232="Buy",CONCATENATE("$",ROUND(K4232*(1-_xlfn.SINGLE(T2GDiscount)),2)," with ",(_xlfn.SINGLE(T2GDiscount)*100),"% discount"),CONCATENATE("$",ROUND(K4232*(1-_xlfn.SINGLE(T2GDiscount)),2)," with ",((_xlfn.SINGLE(T2GDiscount)*100+F4232*100)-(_xlfn.SINGLE(T2GDiscount)*100*F4232)),IF(F4232&gt;0,"% discounts",IF(_xlfn.SINGLE(NoWarrantyDiscount)&gt;0,"% discounts","% discount")))))))))</f>
        <v/>
      </c>
      <c r="N4232" s="690"/>
      <c r="O4232" s="486"/>
      <c r="P4232" s="486"/>
      <c r="Q4232" s="486"/>
      <c r="R4232" s="486"/>
      <c r="S4232" s="486"/>
      <c r="T4232" s="102">
        <f t="shared" si="3140"/>
        <v>0</v>
      </c>
      <c r="U4232" s="78">
        <f>IF(NOT(ISNUMBER(G4232)), "", VLOOKUP(A4232,'Discount Lookup'!D:E,2,FALSE)*G4232)</f>
        <v>0</v>
      </c>
      <c r="V4232" s="78">
        <f>IF(NOT(ISNUMBER(G4232)), "", VLOOKUP(A4232,'Discount Lookup'!G:H,2,FALSE)*G4232)</f>
        <v>0</v>
      </c>
      <c r="W4232" s="102">
        <f t="shared" si="3141"/>
        <v>0</v>
      </c>
      <c r="X4232" s="102">
        <f t="shared" si="3142"/>
        <v>0</v>
      </c>
      <c r="Y4232" s="120" t="b">
        <f t="shared" si="3143"/>
        <v>0</v>
      </c>
      <c r="Z4232" s="117">
        <f t="shared" si="3144"/>
        <v>0</v>
      </c>
      <c r="AA4232" s="118"/>
      <c r="AB4232" s="118" t="str">
        <f t="shared" si="3145"/>
        <v/>
      </c>
      <c r="AC4232" s="712" t="str">
        <f>IF(AE4232="T2G","no charge",IF(AND(OR(PlanterYesMe="No",PlanterYesMe="N",PlanterYesMe="me"),H4232=""),"",IF(H4232="credit","NO install",IF(AND(K4232="",AE4232="me"),"EACH row",IF(AND(K4232="images",AE4232="me"),"EACH row",IF(D4232="","",IF(H4232="credit","",IF(AE4232="free","re-planting",IF(AE4232="me","   not ELP, by",IF(AND(OR(PlanterYesMe="Yes",PlanterYesMe="Y"),G4232&gt;0),(VLOOKUP(A4232,'Discount Lookup'!J:K,2)*G4232*(1-PlanterDiscount)*(1+PlanterDifficultyPercentage)),IF(AE4232="ELP",(VLOOKUP(A4232,'Discount Lookup'!J:K,2)*G4232*(1-PlanterDiscount)*(1+PlanterDifficultyPercentage)),IF(AE4232="free","re-planting",IF(G4232=0,"",IF(PlanterYesMe="",IF(AE4232="me","   not ELP, by",IF(AE4232="",IF(G4232&gt;0,(VLOOKUP(A4232,'Discount Lookup'!J:K,2)*G4232*(1-PlanterDiscount)*(1+PlanterDifficultyPercentage)),""),"")),"   not ELP, by"))))))))))))))</f>
        <v/>
      </c>
      <c r="AD4232" s="712"/>
      <c r="AE4232" s="513" t="str">
        <f t="shared" si="3146"/>
        <v/>
      </c>
      <c r="AF4232" s="713" t="str">
        <f t="shared" si="3147"/>
        <v/>
      </c>
      <c r="AG4232" s="713"/>
      <c r="AH4232" s="713"/>
      <c r="AI4232" s="112">
        <f>IF(H4232="credit",0,IF(AE4232="free",0,IF(AE4232="me",0,IF(G4232&gt;0,(VLOOKUP(A4232,'Discount Lookup'!J:K,2)*G4232),0))))</f>
        <v>0</v>
      </c>
      <c r="AJ4232" s="107" t="str">
        <f t="shared" ca="1" si="3148"/>
        <v/>
      </c>
      <c r="AK4232" s="714" t="str">
        <f t="shared" si="3149"/>
        <v/>
      </c>
      <c r="AL4232" s="714"/>
      <c r="AM4232" s="114" t="str">
        <f t="shared" si="3150"/>
        <v/>
      </c>
      <c r="AN4232" s="115"/>
      <c r="AO4232" s="116"/>
      <c r="AP4232" s="116"/>
      <c r="AQ4232" s="116"/>
      <c r="AR4232" s="116"/>
      <c r="AS4232" s="116"/>
      <c r="AT4232" s="116"/>
      <c r="AU4232" s="116"/>
      <c r="AV4232" s="78"/>
      <c r="AW4232" s="102"/>
      <c r="AX4232" s="78"/>
      <c r="AY4232" s="78"/>
      <c r="AZ4232" s="78"/>
      <c r="BA4232" s="78"/>
      <c r="BB4232" s="78"/>
      <c r="BC4232" s="78"/>
      <c r="BD4232" s="78"/>
      <c r="BE4232" s="465"/>
      <c r="BF4232" s="165" t="str">
        <f t="shared" si="3151"/>
        <v>https://www.google.com/search?tbm=isch&amp;q=3%20G1</v>
      </c>
      <c r="BG4232" s="165" t="str">
        <f t="shared" si="3152"/>
        <v>V</v>
      </c>
      <c r="BH4232" s="65"/>
      <c r="BI4232" s="65"/>
      <c r="BJ4232" s="65"/>
      <c r="BK4232" s="65"/>
      <c r="BL4232" s="99"/>
      <c r="BM4232" s="99"/>
      <c r="BN4232" s="99"/>
    </row>
    <row r="4233" spans="1:66" s="51" customFormat="1" ht="15.75" x14ac:dyDescent="0.25">
      <c r="A4233" s="634">
        <v>3</v>
      </c>
      <c r="B4233" s="635" t="s">
        <v>291</v>
      </c>
      <c r="C4233" s="636" t="s">
        <v>4420</v>
      </c>
      <c r="D4233" s="637" t="s">
        <v>311</v>
      </c>
      <c r="E4233" s="638">
        <v>33.950000000000003</v>
      </c>
      <c r="F4233" s="639" t="s">
        <v>292</v>
      </c>
      <c r="G4233" s="484">
        <v>0</v>
      </c>
      <c r="H4233" s="691" t="str">
        <f>IF(G4233=0,"",IF(F4233="Buy",IF(G4233=1,"plant","plants"),IF(F4233&gt;0.01,"warranty","Error")))</f>
        <v/>
      </c>
      <c r="I4233" s="640">
        <f>IF(H4233="free",0,IF(H4233="credit",((E4233*(F4233))*G4233*-1),IF(F4233="Buy",(E4233*G4233),((E4233*(1-F4233))*G4233))))</f>
        <v>0</v>
      </c>
      <c r="J4233" s="640">
        <f>IF(H4233="warranty",0,(I4233*(_xlfn.SINGLE(SalesTaxPercentage))))</f>
        <v>0</v>
      </c>
      <c r="K4233" s="716">
        <f t="shared" ref="K4233" si="3173">I4233+J4233</f>
        <v>0</v>
      </c>
      <c r="L4233" s="716"/>
      <c r="M4233" s="689" t="str">
        <f ca="1">IF(AND(G4233&gt;0,E4233=0),"WARNING - no PRICE inserted",IF(H4233="free","FREE ~ no charge this plant",IF(H4233="credit",CONCATENATE("-$",ROUND(K4233*(1-_xlfn.SINGLE(T2GDiscount))*-1,2)," CREDIT after discount"),IF(_xlfn.SINGLE(T2GDiscount)=0,"",IF(G4233=0,"",IF(F4233="Buy",CONCATENATE("$",ROUND(K4233*(1-_xlfn.SINGLE(T2GDiscount)),2)," with ",(_xlfn.SINGLE(T2GDiscount)*100),"% discount"),CONCATENATE("$",ROUND(K4233*(1-_xlfn.SINGLE(T2GDiscount)),2)," with ",((_xlfn.SINGLE(T2GDiscount)*100+F4233*100)-(_xlfn.SINGLE(T2GDiscount)*100*F4233)),IF(F4233&gt;0,"% discounts",IF(_xlfn.SINGLE(NoWarrantyDiscount)&gt;0,"% discounts","% discount")))))))))</f>
        <v/>
      </c>
      <c r="N4233" s="690"/>
      <c r="O4233" s="486"/>
      <c r="P4233" s="486"/>
      <c r="Q4233" s="486"/>
      <c r="R4233" s="486"/>
      <c r="S4233" s="486"/>
      <c r="T4233" s="102">
        <f t="shared" si="3140"/>
        <v>0</v>
      </c>
      <c r="U4233" s="78">
        <f>IF(NOT(ISNUMBER(G4233)), "", VLOOKUP(A4233,'Discount Lookup'!D:E,2,FALSE)*G4233)</f>
        <v>0</v>
      </c>
      <c r="V4233" s="78">
        <f>IF(NOT(ISNUMBER(G4233)), "", VLOOKUP(A4233,'Discount Lookup'!G:H,2,FALSE)*G4233)</f>
        <v>0</v>
      </c>
      <c r="W4233" s="102">
        <f t="shared" si="3141"/>
        <v>0</v>
      </c>
      <c r="X4233" s="102">
        <f t="shared" si="3142"/>
        <v>0</v>
      </c>
      <c r="Y4233" s="120" t="b">
        <f t="shared" si="3143"/>
        <v>0</v>
      </c>
      <c r="Z4233" s="117">
        <f t="shared" si="3144"/>
        <v>0</v>
      </c>
      <c r="AA4233" s="118"/>
      <c r="AB4233" s="118" t="str">
        <f t="shared" si="3145"/>
        <v/>
      </c>
      <c r="AC4233" s="712" t="str">
        <f>IF(AE4233="T2G","no charge",IF(AND(OR(PlanterYesMe="No",PlanterYesMe="N",PlanterYesMe="me"),H4233=""),"",IF(H4233="credit","NO install",IF(AND(K4233="",AE4233="me"),"EACH row",IF(AND(K4233="images",AE4233="me"),"EACH row",IF(D4233="","",IF(H4233="credit","",IF(AE4233="free","re-planting",IF(AE4233="me","   not ELP, by",IF(AND(OR(PlanterYesMe="Yes",PlanterYesMe="Y"),G4233&gt;0),(VLOOKUP(A4233,'Discount Lookup'!J:K,2)*G4233*(1-PlanterDiscount)*(1+PlanterDifficultyPercentage)),IF(AE4233="ELP",(VLOOKUP(A4233,'Discount Lookup'!J:K,2)*G4233*(1-PlanterDiscount)*(1+PlanterDifficultyPercentage)),IF(AE4233="free","re-planting",IF(G4233=0,"",IF(PlanterYesMe="",IF(AE4233="me","   not ELP, by",IF(AE4233="",IF(G4233&gt;0,(VLOOKUP(A4233,'Discount Lookup'!J:K,2)*G4233*(1-PlanterDiscount)*(1+PlanterDifficultyPercentage)),""),"")),"   not ELP, by"))))))))))))))</f>
        <v/>
      </c>
      <c r="AD4233" s="712"/>
      <c r="AE4233" s="513" t="str">
        <f t="shared" si="3146"/>
        <v/>
      </c>
      <c r="AF4233" s="713" t="str">
        <f t="shared" si="3147"/>
        <v/>
      </c>
      <c r="AG4233" s="713"/>
      <c r="AH4233" s="713"/>
      <c r="AI4233" s="112">
        <f>IF(H4233="credit",0,IF(AE4233="free",0,IF(AE4233="me",0,IF(G4233&gt;0,(VLOOKUP(A4233,'Discount Lookup'!J:K,2)*G4233),0))))</f>
        <v>0</v>
      </c>
      <c r="AJ4233" s="107" t="str">
        <f t="shared" ca="1" si="3148"/>
        <v/>
      </c>
      <c r="AK4233" s="714" t="str">
        <f t="shared" si="3149"/>
        <v/>
      </c>
      <c r="AL4233" s="714"/>
      <c r="AM4233" s="114" t="str">
        <f t="shared" si="3150"/>
        <v/>
      </c>
      <c r="AN4233" s="115"/>
      <c r="AO4233" s="116"/>
      <c r="AP4233" s="116"/>
      <c r="AQ4233" s="116"/>
      <c r="AR4233" s="116"/>
      <c r="AS4233" s="116"/>
      <c r="AT4233" s="116"/>
      <c r="AU4233" s="116"/>
      <c r="AV4233" s="78"/>
      <c r="AW4233" s="102"/>
      <c r="AX4233" s="78"/>
      <c r="AY4233" s="78"/>
      <c r="AZ4233" s="78"/>
      <c r="BA4233" s="78"/>
      <c r="BB4233" s="78"/>
      <c r="BC4233" s="78"/>
      <c r="BD4233" s="78"/>
      <c r="BE4233" s="465"/>
      <c r="BF4233" s="165" t="str">
        <f t="shared" si="3151"/>
        <v>https://www.google.com/search?tbm=isch&amp;q=3%20G5</v>
      </c>
      <c r="BG4233" s="165" t="str">
        <f t="shared" si="3152"/>
        <v>V</v>
      </c>
      <c r="BH4233" s="65"/>
      <c r="BI4233" s="65"/>
      <c r="BJ4233" s="65"/>
      <c r="BK4233" s="65"/>
      <c r="BL4233" s="99"/>
      <c r="BM4233" s="99"/>
      <c r="BN4233" s="99"/>
    </row>
    <row r="4234" spans="1:66" s="51" customFormat="1" ht="17.25" thickBot="1" x14ac:dyDescent="0.3">
      <c r="A4234" s="704" t="s">
        <v>5559</v>
      </c>
      <c r="B4234" s="642"/>
      <c r="C4234" s="710"/>
      <c r="D4234" s="643"/>
      <c r="E4234" s="643"/>
      <c r="F4234" s="644"/>
      <c r="G4234" s="645"/>
      <c r="H4234" s="646"/>
      <c r="I4234" s="647"/>
      <c r="J4234" s="648"/>
      <c r="K4234" s="649"/>
      <c r="L4234" s="650"/>
      <c r="M4234" s="650"/>
      <c r="N4234" s="644"/>
      <c r="O4234" s="644"/>
      <c r="P4234" s="644"/>
      <c r="Q4234" s="644"/>
      <c r="R4234" s="644"/>
      <c r="S4234" s="701" t="s">
        <v>5309</v>
      </c>
      <c r="T4234" s="102">
        <f t="shared" si="3140"/>
        <v>0</v>
      </c>
      <c r="U4234" s="78" t="str">
        <f>IF(NOT(ISNUMBER(G4234)), "", VLOOKUP(A4234,'Discount Lookup'!D:E,2,FALSE)*G4234)</f>
        <v/>
      </c>
      <c r="V4234" s="78" t="str">
        <f>IF(NOT(ISNUMBER(G4234)), "", VLOOKUP(A4234,'Discount Lookup'!G:H,2,FALSE)*G4234)</f>
        <v/>
      </c>
      <c r="W4234" s="102">
        <f t="shared" si="3141"/>
        <v>0</v>
      </c>
      <c r="X4234" s="102">
        <f t="shared" si="3142"/>
        <v>0</v>
      </c>
      <c r="Y4234" s="120" t="b">
        <f t="shared" si="3143"/>
        <v>0</v>
      </c>
      <c r="Z4234" s="117">
        <f t="shared" si="3144"/>
        <v>0</v>
      </c>
      <c r="AA4234" s="118"/>
      <c r="AB4234" s="118" t="str">
        <f t="shared" si="3145"/>
        <v/>
      </c>
      <c r="AC4234" s="712" t="str">
        <f>IF(AE4234="T2G","no charge",IF(AND(OR(PlanterYesMe="No",PlanterYesMe="N",PlanterYesMe="me"),H4234=""),"",IF(H4234="credit","NO install",IF(AND(K4234="",AE4234="me"),"EACH row",IF(AND(K4234="images",AE4234="me"),"EACH row",IF(D4234="","",IF(H4234="credit","",IF(AE4234="free","re-planting",IF(AE4234="me","   not ELP, by",IF(AND(OR(PlanterYesMe="Yes",PlanterYesMe="Y"),G4234&gt;0),(VLOOKUP(A4234,'Discount Lookup'!J:K,2)*G4234*(1-PlanterDiscount)*(1+PlanterDifficultyPercentage)),IF(AE4234="ELP",(VLOOKUP(A4234,'Discount Lookup'!J:K,2)*G4234*(1-PlanterDiscount)*(1+PlanterDifficultyPercentage)),IF(AE4234="free","re-planting",IF(G4234=0,"",IF(PlanterYesMe="",IF(AE4234="me","   not ELP, by",IF(AE4234="",IF(G4234&gt;0,(VLOOKUP(A4234,'Discount Lookup'!J:K,2)*G4234*(1-PlanterDiscount)*(1+PlanterDifficultyPercentage)),""),"")),"   not ELP, by"))))))))))))))</f>
        <v/>
      </c>
      <c r="AD4234" s="712"/>
      <c r="AE4234" s="513" t="str">
        <f t="shared" si="3146"/>
        <v/>
      </c>
      <c r="AF4234" s="713" t="str">
        <f t="shared" si="3147"/>
        <v/>
      </c>
      <c r="AG4234" s="713"/>
      <c r="AH4234" s="713"/>
      <c r="AI4234" s="112">
        <f>IF(H4234="credit",0,IF(AE4234="free",0,IF(AE4234="me",0,IF(G4234&gt;0,(VLOOKUP(A4234,'Discount Lookup'!J:K,2)*G4234),0))))</f>
        <v>0</v>
      </c>
      <c r="AJ4234" s="107" t="str">
        <f t="shared" ca="1" si="3148"/>
        <v/>
      </c>
      <c r="AK4234" s="714" t="str">
        <f t="shared" si="3149"/>
        <v/>
      </c>
      <c r="AL4234" s="714"/>
      <c r="AM4234" s="114" t="str">
        <f t="shared" si="3150"/>
        <v/>
      </c>
      <c r="AN4234" s="115"/>
      <c r="AO4234" s="116"/>
      <c r="AP4234" s="116"/>
      <c r="AQ4234" s="116"/>
      <c r="AR4234" s="116"/>
      <c r="AS4234" s="116"/>
      <c r="AT4234" s="116"/>
      <c r="AU4234" s="116"/>
      <c r="AV4234" s="78"/>
      <c r="AW4234" s="102"/>
      <c r="AX4234" s="78"/>
      <c r="AY4234" s="78"/>
      <c r="AZ4234" s="78"/>
      <c r="BA4234" s="78"/>
      <c r="BB4234" s="78"/>
      <c r="BC4234" s="78"/>
      <c r="BD4234" s="78"/>
      <c r="BE4234" s="465"/>
      <c r="BF4234" s="165" t="str">
        <f t="shared" si="3151"/>
        <v>https://www.google.com/search?tbm=isch&amp;q=moist%20sites%F0%9F%92%A7BEST%2C%20Powderblue%20produces%20mid%2Flate-season%20large%2C%20light-blue%2C%20sweet%20berries.%20Pollinate%20with%20Tifblue%2C%20Premier.%20Burgundy-Orange%20in%20fall%20</v>
      </c>
      <c r="BG4234" s="165" t="str">
        <f t="shared" si="3152"/>
        <v>m</v>
      </c>
      <c r="BH4234" s="65"/>
      <c r="BI4234" s="65"/>
      <c r="BJ4234" s="65"/>
      <c r="BK4234" s="65"/>
      <c r="BL4234" s="99"/>
      <c r="BM4234" s="99"/>
      <c r="BN4234" s="99"/>
    </row>
    <row r="4235" spans="1:66" s="51" customFormat="1" ht="18" x14ac:dyDescent="0.25">
      <c r="A4235" s="623" t="s">
        <v>4421</v>
      </c>
      <c r="B4235" s="624"/>
      <c r="C4235" s="709"/>
      <c r="D4235" s="625" t="s">
        <v>4422</v>
      </c>
      <c r="E4235" s="626"/>
      <c r="F4235" s="626"/>
      <c r="G4235" s="626"/>
      <c r="H4235" s="622" t="s">
        <v>1246</v>
      </c>
      <c r="I4235" s="627" t="s">
        <v>4423</v>
      </c>
      <c r="J4235" s="628"/>
      <c r="K4235" s="628"/>
      <c r="L4235" s="629"/>
      <c r="M4235" s="700" t="s">
        <v>5241</v>
      </c>
      <c r="N4235" s="693" t="str">
        <f>IF(AND(ISTEXT($A4235), ISERROR($A4235+0)), HYPERLINK($BF4235, "Images"), "")</f>
        <v>Images</v>
      </c>
      <c r="O4235" s="695" t="s">
        <v>5286</v>
      </c>
      <c r="P4235" s="630"/>
      <c r="Q4235" s="631"/>
      <c r="R4235" s="632"/>
      <c r="S4235" s="633" t="s">
        <v>294</v>
      </c>
      <c r="T4235" s="102">
        <f t="shared" si="3140"/>
        <v>0</v>
      </c>
      <c r="U4235" s="78" t="str">
        <f>IF(NOT(ISNUMBER(G4235)), "", VLOOKUP(A4235,'Discount Lookup'!D:E,2,FALSE)*G4235)</f>
        <v/>
      </c>
      <c r="V4235" s="78" t="str">
        <f>IF(NOT(ISNUMBER(G4235)), "", VLOOKUP(A4235,'Discount Lookup'!G:H,2,FALSE)*G4235)</f>
        <v/>
      </c>
      <c r="W4235" s="102">
        <f t="shared" si="3141"/>
        <v>0</v>
      </c>
      <c r="X4235" s="102" t="str">
        <f t="shared" si="3142"/>
        <v>White to pale Pink bloom</v>
      </c>
      <c r="Y4235" s="120" t="b">
        <f t="shared" si="3143"/>
        <v>0</v>
      </c>
      <c r="Z4235" s="117">
        <f t="shared" si="3144"/>
        <v>0</v>
      </c>
      <c r="AA4235" s="118"/>
      <c r="AB4235" s="118" t="str">
        <f t="shared" si="3145"/>
        <v/>
      </c>
      <c r="AC4235" s="712" t="str">
        <f>IF(AE4235="T2G","no charge",IF(AND(OR(PlanterYesMe="No",PlanterYesMe="N",PlanterYesMe="me"),H4235=""),"",IF(H4235="credit","NO install",IF(AND(K4235="",AE4235="me"),"EACH row",IF(AND(K4235="images",AE4235="me"),"EACH row",IF(D4235="","",IF(H4235="credit","",IF(AE4235="free","re-planting",IF(AE4235="me","   not ELP, by",IF(AND(OR(PlanterYesMe="Yes",PlanterYesMe="Y"),G4235&gt;0),(VLOOKUP(A4235,'Discount Lookup'!J:K,2)*G4235*(1-PlanterDiscount)*(1+PlanterDifficultyPercentage)),IF(AE4235="ELP",(VLOOKUP(A4235,'Discount Lookup'!J:K,2)*G4235*(1-PlanterDiscount)*(1+PlanterDifficultyPercentage)),IF(AE4235="free","re-planting",IF(G4235=0,"",IF(PlanterYesMe="",IF(AE4235="me","   not ELP, by",IF(AE4235="",IF(G4235&gt;0,(VLOOKUP(A4235,'Discount Lookup'!J:K,2)*G4235*(1-PlanterDiscount)*(1+PlanterDifficultyPercentage)),""),"")),"   not ELP, by"))))))))))))))</f>
        <v/>
      </c>
      <c r="AD4235" s="712"/>
      <c r="AE4235" s="513" t="str">
        <f t="shared" si="3146"/>
        <v/>
      </c>
      <c r="AF4235" s="713" t="str">
        <f t="shared" si="3147"/>
        <v/>
      </c>
      <c r="AG4235" s="713"/>
      <c r="AH4235" s="713"/>
      <c r="AI4235" s="112">
        <f>IF(H4235="credit",0,IF(AE4235="free",0,IF(AE4235="me",0,IF(G4235&gt;0,(VLOOKUP(A4235,'Discount Lookup'!J:K,2)*G4235),0))))</f>
        <v>0</v>
      </c>
      <c r="AJ4235" s="107" t="str">
        <f t="shared" ca="1" si="3148"/>
        <v/>
      </c>
      <c r="AK4235" s="714" t="str">
        <f t="shared" si="3149"/>
        <v/>
      </c>
      <c r="AL4235" s="714"/>
      <c r="AM4235" s="114" t="str">
        <f t="shared" si="3150"/>
        <v/>
      </c>
      <c r="AN4235" s="115"/>
      <c r="AO4235" s="116"/>
      <c r="AP4235" s="116"/>
      <c r="AQ4235" s="116"/>
      <c r="AR4235" s="116"/>
      <c r="AS4235" s="116"/>
      <c r="AT4235" s="116"/>
      <c r="AU4235" s="116"/>
      <c r="AV4235" s="78"/>
      <c r="AW4235" s="102"/>
      <c r="AX4235" s="78"/>
      <c r="AY4235" s="78"/>
      <c r="AZ4235" s="78"/>
      <c r="BA4235" s="78"/>
      <c r="BB4235" s="78"/>
      <c r="BC4235" s="78"/>
      <c r="BD4235" s="78"/>
      <c r="BE4235" s="465"/>
      <c r="BF4235" s="165" t="str">
        <f t="shared" si="3151"/>
        <v>https://www.google.com/search?tbm=isch&amp;q=Vac.%20ashei%20%27Tifblue%27%20Tifblue%20Blueberry</v>
      </c>
      <c r="BG4235" s="165" t="str">
        <f t="shared" si="3152"/>
        <v>V</v>
      </c>
      <c r="BH4235" s="65"/>
      <c r="BI4235" s="65"/>
      <c r="BJ4235" s="65"/>
      <c r="BK4235" s="65"/>
      <c r="BL4235" s="99"/>
      <c r="BM4235" s="99"/>
      <c r="BN4235" s="99"/>
    </row>
    <row r="4236" spans="1:66" s="51" customFormat="1" ht="15.75" x14ac:dyDescent="0.25">
      <c r="A4236" s="634">
        <v>3</v>
      </c>
      <c r="B4236" s="635" t="s">
        <v>291</v>
      </c>
      <c r="C4236" s="636"/>
      <c r="D4236" s="637" t="s">
        <v>310</v>
      </c>
      <c r="E4236" s="638">
        <v>25.95</v>
      </c>
      <c r="F4236" s="639" t="s">
        <v>292</v>
      </c>
      <c r="G4236" s="484">
        <v>0</v>
      </c>
      <c r="H4236" s="691" t="str">
        <f>IF(G4236=0,"",IF(F4236="Buy",IF(G4236=1,"plant","plants"),IF(F4236&gt;0.01,"warranty","Error")))</f>
        <v/>
      </c>
      <c r="I4236" s="640">
        <f>IF(H4236="free",0,IF(H4236="credit",((E4236*(F4236))*G4236*-1),IF(F4236="Buy",(E4236*G4236),((E4236*(1-F4236))*G4236))))</f>
        <v>0</v>
      </c>
      <c r="J4236" s="640">
        <f>IF(H4236="warranty",0,(I4236*(_xlfn.SINGLE(SalesTaxPercentage))))</f>
        <v>0</v>
      </c>
      <c r="K4236" s="716">
        <f t="shared" ref="K4236" si="3174">I4236+J4236</f>
        <v>0</v>
      </c>
      <c r="L4236" s="716"/>
      <c r="M4236" s="689" t="str">
        <f ca="1">IF(AND(G4236&gt;0,E4236=0),"WARNING - no PRICE inserted",IF(H4236="free","FREE ~ no charge this plant",IF(H4236="credit",CONCATENATE("-$",ROUND(K4236*(1-_xlfn.SINGLE(T2GDiscount))*-1,2)," CREDIT after discount"),IF(_xlfn.SINGLE(T2GDiscount)=0,"",IF(G4236=0,"",IF(F4236="Buy",CONCATENATE("$",ROUND(K4236*(1-_xlfn.SINGLE(T2GDiscount)),2)," with ",(_xlfn.SINGLE(T2GDiscount)*100),"% discount"),CONCATENATE("$",ROUND(K4236*(1-_xlfn.SINGLE(T2GDiscount)),2)," with ",((_xlfn.SINGLE(T2GDiscount)*100+F4236*100)-(_xlfn.SINGLE(T2GDiscount)*100*F4236)),IF(F4236&gt;0,"% discounts",IF(_xlfn.SINGLE(NoWarrantyDiscount)&gt;0,"% discounts","% discount")))))))))</f>
        <v/>
      </c>
      <c r="N4236" s="690"/>
      <c r="O4236" s="486"/>
      <c r="P4236" s="486"/>
      <c r="Q4236" s="486"/>
      <c r="R4236" s="486"/>
      <c r="S4236" s="486"/>
      <c r="T4236" s="102">
        <f t="shared" si="3140"/>
        <v>0</v>
      </c>
      <c r="U4236" s="78">
        <f>IF(NOT(ISNUMBER(G4236)), "", VLOOKUP(A4236,'Discount Lookup'!D:E,2,FALSE)*G4236)</f>
        <v>0</v>
      </c>
      <c r="V4236" s="78">
        <f>IF(NOT(ISNUMBER(G4236)), "", VLOOKUP(A4236,'Discount Lookup'!G:H,2,FALSE)*G4236)</f>
        <v>0</v>
      </c>
      <c r="W4236" s="102">
        <f t="shared" si="3141"/>
        <v>0</v>
      </c>
      <c r="X4236" s="102">
        <f t="shared" si="3142"/>
        <v>0</v>
      </c>
      <c r="Y4236" s="120" t="b">
        <f t="shared" si="3143"/>
        <v>0</v>
      </c>
      <c r="Z4236" s="117">
        <f t="shared" si="3144"/>
        <v>0</v>
      </c>
      <c r="AA4236" s="118"/>
      <c r="AB4236" s="118" t="str">
        <f t="shared" si="3145"/>
        <v/>
      </c>
      <c r="AC4236" s="712" t="str">
        <f>IF(AE4236="T2G","no charge",IF(AND(OR(PlanterYesMe="No",PlanterYesMe="N",PlanterYesMe="me"),H4236=""),"",IF(H4236="credit","NO install",IF(AND(K4236="",AE4236="me"),"EACH row",IF(AND(K4236="images",AE4236="me"),"EACH row",IF(D4236="","",IF(H4236="credit","",IF(AE4236="free","re-planting",IF(AE4236="me","   not ELP, by",IF(AND(OR(PlanterYesMe="Yes",PlanterYesMe="Y"),G4236&gt;0),(VLOOKUP(A4236,'Discount Lookup'!J:K,2)*G4236*(1-PlanterDiscount)*(1+PlanterDifficultyPercentage)),IF(AE4236="ELP",(VLOOKUP(A4236,'Discount Lookup'!J:K,2)*G4236*(1-PlanterDiscount)*(1+PlanterDifficultyPercentage)),IF(AE4236="free","re-planting",IF(G4236=0,"",IF(PlanterYesMe="",IF(AE4236="me","   not ELP, by",IF(AE4236="",IF(G4236&gt;0,(VLOOKUP(A4236,'Discount Lookup'!J:K,2)*G4236*(1-PlanterDiscount)*(1+PlanterDifficultyPercentage)),""),"")),"   not ELP, by"))))))))))))))</f>
        <v/>
      </c>
      <c r="AD4236" s="712"/>
      <c r="AE4236" s="513" t="str">
        <f t="shared" si="3146"/>
        <v/>
      </c>
      <c r="AF4236" s="713" t="str">
        <f t="shared" si="3147"/>
        <v/>
      </c>
      <c r="AG4236" s="713"/>
      <c r="AH4236" s="713"/>
      <c r="AI4236" s="112">
        <f>IF(H4236="credit",0,IF(AE4236="free",0,IF(AE4236="me",0,IF(G4236&gt;0,(VLOOKUP(A4236,'Discount Lookup'!J:K,2)*G4236),0))))</f>
        <v>0</v>
      </c>
      <c r="AJ4236" s="107" t="str">
        <f t="shared" ca="1" si="3148"/>
        <v/>
      </c>
      <c r="AK4236" s="714" t="str">
        <f t="shared" si="3149"/>
        <v/>
      </c>
      <c r="AL4236" s="714"/>
      <c r="AM4236" s="114" t="str">
        <f t="shared" si="3150"/>
        <v/>
      </c>
      <c r="AN4236" s="115"/>
      <c r="AO4236" s="116"/>
      <c r="AP4236" s="116"/>
      <c r="AQ4236" s="116"/>
      <c r="AR4236" s="116"/>
      <c r="AS4236" s="116"/>
      <c r="AT4236" s="116"/>
      <c r="AU4236" s="116"/>
      <c r="AV4236" s="78"/>
      <c r="AW4236" s="102"/>
      <c r="AX4236" s="78"/>
      <c r="AY4236" s="78"/>
      <c r="AZ4236" s="78"/>
      <c r="BA4236" s="78"/>
      <c r="BB4236" s="78"/>
      <c r="BC4236" s="78"/>
      <c r="BD4236" s="78"/>
      <c r="BE4236" s="465"/>
      <c r="BF4236" s="165" t="str">
        <f t="shared" si="3151"/>
        <v>https://www.google.com/search?tbm=isch&amp;q=3%20G1</v>
      </c>
      <c r="BG4236" s="165" t="str">
        <f t="shared" si="3152"/>
        <v>V</v>
      </c>
      <c r="BH4236" s="65"/>
      <c r="BI4236" s="65"/>
      <c r="BJ4236" s="65"/>
      <c r="BK4236" s="65"/>
      <c r="BL4236" s="99"/>
      <c r="BM4236" s="99"/>
      <c r="BN4236" s="99"/>
    </row>
    <row r="4237" spans="1:66" s="51" customFormat="1" ht="15.75" x14ac:dyDescent="0.25">
      <c r="A4237" s="634">
        <v>3</v>
      </c>
      <c r="B4237" s="635" t="s">
        <v>291</v>
      </c>
      <c r="C4237" s="636" t="s">
        <v>4424</v>
      </c>
      <c r="D4237" s="637" t="s">
        <v>311</v>
      </c>
      <c r="E4237" s="638">
        <v>32.950000000000003</v>
      </c>
      <c r="F4237" s="639" t="s">
        <v>292</v>
      </c>
      <c r="G4237" s="484">
        <v>0</v>
      </c>
      <c r="H4237" s="691" t="str">
        <f>IF(G4237=0,"",IF(F4237="Buy",IF(G4237=1,"plant","plants"),IF(F4237&gt;0.01,"warranty","Error")))</f>
        <v/>
      </c>
      <c r="I4237" s="640">
        <f>IF(H4237="free",0,IF(H4237="credit",((E4237*(F4237))*G4237*-1),IF(F4237="Buy",(E4237*G4237),((E4237*(1-F4237))*G4237))))</f>
        <v>0</v>
      </c>
      <c r="J4237" s="640">
        <f>IF(H4237="warranty",0,(I4237*(_xlfn.SINGLE(SalesTaxPercentage))))</f>
        <v>0</v>
      </c>
      <c r="K4237" s="716">
        <f t="shared" ref="K4237" si="3175">I4237+J4237</f>
        <v>0</v>
      </c>
      <c r="L4237" s="716"/>
      <c r="M4237" s="689" t="str">
        <f ca="1">IF(AND(G4237&gt;0,E4237=0),"WARNING - no PRICE inserted",IF(H4237="free","FREE ~ no charge this plant",IF(H4237="credit",CONCATENATE("-$",ROUND(K4237*(1-_xlfn.SINGLE(T2GDiscount))*-1,2)," CREDIT after discount"),IF(_xlfn.SINGLE(T2GDiscount)=0,"",IF(G4237=0,"",IF(F4237="Buy",CONCATENATE("$",ROUND(K4237*(1-_xlfn.SINGLE(T2GDiscount)),2)," with ",(_xlfn.SINGLE(T2GDiscount)*100),"% discount"),CONCATENATE("$",ROUND(K4237*(1-_xlfn.SINGLE(T2GDiscount)),2)," with ",((_xlfn.SINGLE(T2GDiscount)*100+F4237*100)-(_xlfn.SINGLE(T2GDiscount)*100*F4237)),IF(F4237&gt;0,"% discounts",IF(_xlfn.SINGLE(NoWarrantyDiscount)&gt;0,"% discounts","% discount")))))))))</f>
        <v/>
      </c>
      <c r="N4237" s="690"/>
      <c r="O4237" s="486"/>
      <c r="P4237" s="486"/>
      <c r="Q4237" s="486"/>
      <c r="R4237" s="486"/>
      <c r="S4237" s="486"/>
      <c r="T4237" s="102">
        <f t="shared" si="3140"/>
        <v>0</v>
      </c>
      <c r="U4237" s="78">
        <f>IF(NOT(ISNUMBER(G4237)), "", VLOOKUP(A4237,'Discount Lookup'!D:E,2,FALSE)*G4237)</f>
        <v>0</v>
      </c>
      <c r="V4237" s="78">
        <f>IF(NOT(ISNUMBER(G4237)), "", VLOOKUP(A4237,'Discount Lookup'!G:H,2,FALSE)*G4237)</f>
        <v>0</v>
      </c>
      <c r="W4237" s="102">
        <f t="shared" si="3141"/>
        <v>0</v>
      </c>
      <c r="X4237" s="102">
        <f t="shared" si="3142"/>
        <v>0</v>
      </c>
      <c r="Y4237" s="120" t="b">
        <f t="shared" si="3143"/>
        <v>0</v>
      </c>
      <c r="Z4237" s="117">
        <f t="shared" si="3144"/>
        <v>0</v>
      </c>
      <c r="AA4237" s="118"/>
      <c r="AB4237" s="118" t="str">
        <f t="shared" si="3145"/>
        <v/>
      </c>
      <c r="AC4237" s="712" t="str">
        <f>IF(AE4237="T2G","no charge",IF(AND(OR(PlanterYesMe="No",PlanterYesMe="N",PlanterYesMe="me"),H4237=""),"",IF(H4237="credit","NO install",IF(AND(K4237="",AE4237="me"),"EACH row",IF(AND(K4237="images",AE4237="me"),"EACH row",IF(D4237="","",IF(H4237="credit","",IF(AE4237="free","re-planting",IF(AE4237="me","   not ELP, by",IF(AND(OR(PlanterYesMe="Yes",PlanterYesMe="Y"),G4237&gt;0),(VLOOKUP(A4237,'Discount Lookup'!J:K,2)*G4237*(1-PlanterDiscount)*(1+PlanterDifficultyPercentage)),IF(AE4237="ELP",(VLOOKUP(A4237,'Discount Lookup'!J:K,2)*G4237*(1-PlanterDiscount)*(1+PlanterDifficultyPercentage)),IF(AE4237="free","re-planting",IF(G4237=0,"",IF(PlanterYesMe="",IF(AE4237="me","   not ELP, by",IF(AE4237="",IF(G4237&gt;0,(VLOOKUP(A4237,'Discount Lookup'!J:K,2)*G4237*(1-PlanterDiscount)*(1+PlanterDifficultyPercentage)),""),"")),"   not ELP, by"))))))))))))))</f>
        <v/>
      </c>
      <c r="AD4237" s="712"/>
      <c r="AE4237" s="513" t="str">
        <f t="shared" si="3146"/>
        <v/>
      </c>
      <c r="AF4237" s="713" t="str">
        <f t="shared" si="3147"/>
        <v/>
      </c>
      <c r="AG4237" s="713"/>
      <c r="AH4237" s="713"/>
      <c r="AI4237" s="112">
        <f>IF(H4237="credit",0,IF(AE4237="free",0,IF(AE4237="me",0,IF(G4237&gt;0,(VLOOKUP(A4237,'Discount Lookup'!J:K,2)*G4237),0))))</f>
        <v>0</v>
      </c>
      <c r="AJ4237" s="107" t="str">
        <f t="shared" ca="1" si="3148"/>
        <v/>
      </c>
      <c r="AK4237" s="714" t="str">
        <f t="shared" si="3149"/>
        <v/>
      </c>
      <c r="AL4237" s="714"/>
      <c r="AM4237" s="114" t="str">
        <f t="shared" si="3150"/>
        <v/>
      </c>
      <c r="AN4237" s="115"/>
      <c r="AO4237" s="116"/>
      <c r="AP4237" s="116"/>
      <c r="AQ4237" s="116"/>
      <c r="AR4237" s="116"/>
      <c r="AS4237" s="116"/>
      <c r="AT4237" s="116"/>
      <c r="AU4237" s="116"/>
      <c r="AV4237" s="78"/>
      <c r="AW4237" s="102"/>
      <c r="AX4237" s="78"/>
      <c r="AY4237" s="78"/>
      <c r="AZ4237" s="78"/>
      <c r="BA4237" s="78"/>
      <c r="BB4237" s="78"/>
      <c r="BC4237" s="78"/>
      <c r="BD4237" s="78"/>
      <c r="BE4237" s="465"/>
      <c r="BF4237" s="165" t="str">
        <f t="shared" si="3151"/>
        <v>https://www.google.com/search?tbm=isch&amp;q=3%20G5</v>
      </c>
      <c r="BG4237" s="165" t="str">
        <f t="shared" si="3152"/>
        <v>V</v>
      </c>
      <c r="BH4237" s="65"/>
      <c r="BI4237" s="65"/>
      <c r="BJ4237" s="65"/>
      <c r="BK4237" s="65"/>
      <c r="BL4237" s="99"/>
      <c r="BM4237" s="99"/>
      <c r="BN4237" s="99"/>
    </row>
    <row r="4238" spans="1:66" s="51" customFormat="1" ht="17.25" thickBot="1" x14ac:dyDescent="0.3">
      <c r="A4238" s="704" t="s">
        <v>5560</v>
      </c>
      <c r="B4238" s="642"/>
      <c r="C4238" s="710"/>
      <c r="D4238" s="643"/>
      <c r="E4238" s="643"/>
      <c r="F4238" s="644"/>
      <c r="G4238" s="645"/>
      <c r="H4238" s="646"/>
      <c r="I4238" s="647"/>
      <c r="J4238" s="648"/>
      <c r="K4238" s="649"/>
      <c r="L4238" s="650"/>
      <c r="M4238" s="650"/>
      <c r="N4238" s="644"/>
      <c r="O4238" s="644"/>
      <c r="P4238" s="644"/>
      <c r="Q4238" s="644"/>
      <c r="R4238" s="644"/>
      <c r="S4238" s="701" t="s">
        <v>5309</v>
      </c>
      <c r="T4238" s="102">
        <f t="shared" si="3140"/>
        <v>0</v>
      </c>
      <c r="U4238" s="78" t="str">
        <f>IF(NOT(ISNUMBER(G4238)), "", VLOOKUP(A4238,'Discount Lookup'!D:E,2,FALSE)*G4238)</f>
        <v/>
      </c>
      <c r="V4238" s="78" t="str">
        <f>IF(NOT(ISNUMBER(G4238)), "", VLOOKUP(A4238,'Discount Lookup'!G:H,2,FALSE)*G4238)</f>
        <v/>
      </c>
      <c r="W4238" s="102">
        <f t="shared" si="3141"/>
        <v>0</v>
      </c>
      <c r="X4238" s="102">
        <f t="shared" si="3142"/>
        <v>0</v>
      </c>
      <c r="Y4238" s="120" t="b">
        <f t="shared" si="3143"/>
        <v>0</v>
      </c>
      <c r="Z4238" s="117">
        <f t="shared" si="3144"/>
        <v>0</v>
      </c>
      <c r="AA4238" s="118"/>
      <c r="AB4238" s="118" t="str">
        <f t="shared" si="3145"/>
        <v/>
      </c>
      <c r="AC4238" s="712" t="str">
        <f>IF(AE4238="T2G","no charge",IF(AND(OR(PlanterYesMe="No",PlanterYesMe="N",PlanterYesMe="me"),H4238=""),"",IF(H4238="credit","NO install",IF(AND(K4238="",AE4238="me"),"EACH row",IF(AND(K4238="images",AE4238="me"),"EACH row",IF(D4238="","",IF(H4238="credit","",IF(AE4238="free","re-planting",IF(AE4238="me","   not ELP, by",IF(AND(OR(PlanterYesMe="Yes",PlanterYesMe="Y"),G4238&gt;0),(VLOOKUP(A4238,'Discount Lookup'!J:K,2)*G4238*(1-PlanterDiscount)*(1+PlanterDifficultyPercentage)),IF(AE4238="ELP",(VLOOKUP(A4238,'Discount Lookup'!J:K,2)*G4238*(1-PlanterDiscount)*(1+PlanterDifficultyPercentage)),IF(AE4238="free","re-planting",IF(G4238=0,"",IF(PlanterYesMe="",IF(AE4238="me","   not ELP, by",IF(AE4238="",IF(G4238&gt;0,(VLOOKUP(A4238,'Discount Lookup'!J:K,2)*G4238*(1-PlanterDiscount)*(1+PlanterDifficultyPercentage)),""),"")),"   not ELP, by"))))))))))))))</f>
        <v/>
      </c>
      <c r="AD4238" s="712"/>
      <c r="AE4238" s="513" t="str">
        <f t="shared" si="3146"/>
        <v/>
      </c>
      <c r="AF4238" s="713" t="str">
        <f t="shared" si="3147"/>
        <v/>
      </c>
      <c r="AG4238" s="713"/>
      <c r="AH4238" s="713"/>
      <c r="AI4238" s="112">
        <f>IF(H4238="credit",0,IF(AE4238="free",0,IF(AE4238="me",0,IF(G4238&gt;0,(VLOOKUP(A4238,'Discount Lookup'!J:K,2)*G4238),0))))</f>
        <v>0</v>
      </c>
      <c r="AJ4238" s="107" t="str">
        <f t="shared" ca="1" si="3148"/>
        <v/>
      </c>
      <c r="AK4238" s="714" t="str">
        <f t="shared" si="3149"/>
        <v/>
      </c>
      <c r="AL4238" s="714"/>
      <c r="AM4238" s="114" t="str">
        <f t="shared" si="3150"/>
        <v/>
      </c>
      <c r="AN4238" s="115"/>
      <c r="AO4238" s="116"/>
      <c r="AP4238" s="116"/>
      <c r="AQ4238" s="116"/>
      <c r="AR4238" s="116"/>
      <c r="AS4238" s="116"/>
      <c r="AT4238" s="116"/>
      <c r="AU4238" s="116"/>
      <c r="AV4238" s="78"/>
      <c r="AW4238" s="102"/>
      <c r="AX4238" s="78"/>
      <c r="AY4238" s="78"/>
      <c r="AZ4238" s="78"/>
      <c r="BA4238" s="78"/>
      <c r="BB4238" s="78"/>
      <c r="BC4238" s="78"/>
      <c r="BD4238" s="78"/>
      <c r="BE4238" s="465"/>
      <c r="BF4238" s="165" t="str">
        <f t="shared" si="3151"/>
        <v>https://www.google.com/search?tbm=isch&amp;q=moist%20sites%F0%9F%92%A7BEST%2C%20Tifblue%20is%20mid%2Flate%20season%20producer%20of%20sweet%2Ftart%20berries.%20Pollinate%20with%20Powderblue%2C%20Climax.%20Most%20cold%20hardy.%20Orange-Red%20in%20fall%20</v>
      </c>
      <c r="BG4238" s="165" t="str">
        <f t="shared" si="3152"/>
        <v>m</v>
      </c>
      <c r="BH4238" s="65"/>
      <c r="BI4238" s="65"/>
      <c r="BJ4238" s="65"/>
      <c r="BK4238" s="65"/>
      <c r="BL4238" s="99"/>
      <c r="BM4238" s="99"/>
      <c r="BN4238" s="99"/>
    </row>
    <row r="4239" spans="1:66" s="51" customFormat="1" ht="18" x14ac:dyDescent="0.25">
      <c r="A4239" s="623" t="s">
        <v>4425</v>
      </c>
      <c r="B4239" s="624"/>
      <c r="C4239" s="709"/>
      <c r="D4239" s="625" t="s">
        <v>4426</v>
      </c>
      <c r="E4239" s="626"/>
      <c r="F4239" s="626"/>
      <c r="G4239" s="626"/>
      <c r="H4239" s="622" t="s">
        <v>1471</v>
      </c>
      <c r="I4239" s="627" t="s">
        <v>4423</v>
      </c>
      <c r="J4239" s="628"/>
      <c r="K4239" s="628"/>
      <c r="L4239" s="629"/>
      <c r="M4239" s="700" t="s">
        <v>5241</v>
      </c>
      <c r="N4239" s="693" t="str">
        <f>IF(AND(ISTEXT($A4239), ISERROR($A4239+0)), HYPERLINK($BF4239, "Images"), "")</f>
        <v>Images</v>
      </c>
      <c r="O4239" s="695" t="s">
        <v>5286</v>
      </c>
      <c r="P4239" s="630"/>
      <c r="Q4239" s="631"/>
      <c r="R4239" s="632"/>
      <c r="S4239" s="633" t="s">
        <v>294</v>
      </c>
      <c r="T4239" s="102">
        <f t="shared" si="3140"/>
        <v>0</v>
      </c>
      <c r="U4239" s="78" t="str">
        <f>IF(NOT(ISNUMBER(G4239)), "", VLOOKUP(A4239,'Discount Lookup'!D:E,2,FALSE)*G4239)</f>
        <v/>
      </c>
      <c r="V4239" s="78" t="str">
        <f>IF(NOT(ISNUMBER(G4239)), "", VLOOKUP(A4239,'Discount Lookup'!G:H,2,FALSE)*G4239)</f>
        <v/>
      </c>
      <c r="W4239" s="102">
        <f t="shared" si="3141"/>
        <v>0</v>
      </c>
      <c r="X4239" s="102" t="str">
        <f t="shared" si="3142"/>
        <v>White to pale Pink bloom</v>
      </c>
      <c r="Y4239" s="120" t="b">
        <f t="shared" si="3143"/>
        <v>0</v>
      </c>
      <c r="Z4239" s="117">
        <f t="shared" si="3144"/>
        <v>0</v>
      </c>
      <c r="AA4239" s="118"/>
      <c r="AB4239" s="118" t="str">
        <f t="shared" si="3145"/>
        <v/>
      </c>
      <c r="AC4239" s="712" t="str">
        <f>IF(AE4239="T2G","no charge",IF(AND(OR(PlanterYesMe="No",PlanterYesMe="N",PlanterYesMe="me"),H4239=""),"",IF(H4239="credit","NO install",IF(AND(K4239="",AE4239="me"),"EACH row",IF(AND(K4239="images",AE4239="me"),"EACH row",IF(D4239="","",IF(H4239="credit","",IF(AE4239="free","re-planting",IF(AE4239="me","   not ELP, by",IF(AND(OR(PlanterYesMe="Yes",PlanterYesMe="Y"),G4239&gt;0),(VLOOKUP(A4239,'Discount Lookup'!J:K,2)*G4239*(1-PlanterDiscount)*(1+PlanterDifficultyPercentage)),IF(AE4239="ELP",(VLOOKUP(A4239,'Discount Lookup'!J:K,2)*G4239*(1-PlanterDiscount)*(1+PlanterDifficultyPercentage)),IF(AE4239="free","re-planting",IF(G4239=0,"",IF(PlanterYesMe="",IF(AE4239="me","   not ELP, by",IF(AE4239="",IF(G4239&gt;0,(VLOOKUP(A4239,'Discount Lookup'!J:K,2)*G4239*(1-PlanterDiscount)*(1+PlanterDifficultyPercentage)),""),"")),"   not ELP, by"))))))))))))))</f>
        <v/>
      </c>
      <c r="AD4239" s="712"/>
      <c r="AE4239" s="513" t="str">
        <f t="shared" si="3146"/>
        <v/>
      </c>
      <c r="AF4239" s="713" t="str">
        <f t="shared" si="3147"/>
        <v/>
      </c>
      <c r="AG4239" s="713"/>
      <c r="AH4239" s="713"/>
      <c r="AI4239" s="112">
        <f>IF(H4239="credit",0,IF(AE4239="free",0,IF(AE4239="me",0,IF(G4239&gt;0,(VLOOKUP(A4239,'Discount Lookup'!J:K,2)*G4239),0))))</f>
        <v>0</v>
      </c>
      <c r="AJ4239" s="107" t="str">
        <f t="shared" ca="1" si="3148"/>
        <v/>
      </c>
      <c r="AK4239" s="714" t="str">
        <f t="shared" si="3149"/>
        <v/>
      </c>
      <c r="AL4239" s="714"/>
      <c r="AM4239" s="114" t="str">
        <f t="shared" si="3150"/>
        <v/>
      </c>
      <c r="AN4239" s="115"/>
      <c r="AO4239" s="116"/>
      <c r="AP4239" s="116"/>
      <c r="AQ4239" s="116"/>
      <c r="AR4239" s="116"/>
      <c r="AS4239" s="116"/>
      <c r="AT4239" s="116"/>
      <c r="AU4239" s="116"/>
      <c r="AV4239" s="78"/>
      <c r="AW4239" s="102"/>
      <c r="AX4239" s="78"/>
      <c r="AY4239" s="78"/>
      <c r="AZ4239" s="78"/>
      <c r="BA4239" s="78"/>
      <c r="BB4239" s="78"/>
      <c r="BC4239" s="78"/>
      <c r="BD4239" s="78"/>
      <c r="BE4239" s="465"/>
      <c r="BF4239" s="165" t="str">
        <f t="shared" si="3151"/>
        <v>https://www.google.com/search?tbm=isch&amp;q=Vac.%20corymbosum%20%27Climax%27%20Climax%20Blueberry</v>
      </c>
      <c r="BG4239" s="165" t="str">
        <f t="shared" si="3152"/>
        <v>V</v>
      </c>
      <c r="BH4239" s="65"/>
      <c r="BI4239" s="65"/>
      <c r="BJ4239" s="65"/>
      <c r="BK4239" s="65"/>
      <c r="BL4239" s="99"/>
      <c r="BM4239" s="99"/>
      <c r="BN4239" s="99"/>
    </row>
    <row r="4240" spans="1:66" s="51" customFormat="1" ht="15.75" x14ac:dyDescent="0.25">
      <c r="A4240" s="634">
        <v>3</v>
      </c>
      <c r="B4240" s="635" t="s">
        <v>291</v>
      </c>
      <c r="C4240" s="636" t="s">
        <v>700</v>
      </c>
      <c r="D4240" s="637" t="s">
        <v>329</v>
      </c>
      <c r="E4240" s="638">
        <v>26.95</v>
      </c>
      <c r="F4240" s="639" t="s">
        <v>292</v>
      </c>
      <c r="G4240" s="484">
        <v>0</v>
      </c>
      <c r="H4240" s="691" t="str">
        <f>IF(G4240=0,"",IF(F4240="Buy",IF(G4240=1,"plant","plants"),IF(F4240&gt;0.01,"warranty","Error")))</f>
        <v/>
      </c>
      <c r="I4240" s="640">
        <f>IF(H4240="free",0,IF(H4240="credit",((E4240*(F4240))*G4240*-1),IF(F4240="Buy",(E4240*G4240),((E4240*(1-F4240))*G4240))))</f>
        <v>0</v>
      </c>
      <c r="J4240" s="640">
        <f>IF(H4240="warranty",0,(I4240*(_xlfn.SINGLE(SalesTaxPercentage))))</f>
        <v>0</v>
      </c>
      <c r="K4240" s="716">
        <f t="shared" ref="K4240" si="3176">I4240+J4240</f>
        <v>0</v>
      </c>
      <c r="L4240" s="716"/>
      <c r="M4240" s="689" t="str">
        <f ca="1">IF(AND(G4240&gt;0,E4240=0),"WARNING - no PRICE inserted",IF(H4240="free","FREE ~ no charge this plant",IF(H4240="credit",CONCATENATE("-$",ROUND(K4240*(1-_xlfn.SINGLE(T2GDiscount))*-1,2)," CREDIT after discount"),IF(_xlfn.SINGLE(T2GDiscount)=0,"",IF(G4240=0,"",IF(F4240="Buy",CONCATENATE("$",ROUND(K4240*(1-_xlfn.SINGLE(T2GDiscount)),2)," with ",(_xlfn.SINGLE(T2GDiscount)*100),"% discount"),CONCATENATE("$",ROUND(K4240*(1-_xlfn.SINGLE(T2GDiscount)),2)," with ",((_xlfn.SINGLE(T2GDiscount)*100+F4240*100)-(_xlfn.SINGLE(T2GDiscount)*100*F4240)),IF(F4240&gt;0,"% discounts",IF(_xlfn.SINGLE(NoWarrantyDiscount)&gt;0,"% discounts","% discount")))))))))</f>
        <v/>
      </c>
      <c r="N4240" s="690"/>
      <c r="O4240" s="486"/>
      <c r="P4240" s="486"/>
      <c r="Q4240" s="486"/>
      <c r="R4240" s="486"/>
      <c r="S4240" s="486"/>
      <c r="T4240" s="102">
        <f t="shared" si="3140"/>
        <v>0</v>
      </c>
      <c r="U4240" s="78">
        <f>IF(NOT(ISNUMBER(G4240)), "", VLOOKUP(A4240,'Discount Lookup'!D:E,2,FALSE)*G4240)</f>
        <v>0</v>
      </c>
      <c r="V4240" s="78">
        <f>IF(NOT(ISNUMBER(G4240)), "", VLOOKUP(A4240,'Discount Lookup'!G:H,2,FALSE)*G4240)</f>
        <v>0</v>
      </c>
      <c r="W4240" s="102">
        <f t="shared" si="3141"/>
        <v>0</v>
      </c>
      <c r="X4240" s="102">
        <f t="shared" si="3142"/>
        <v>0</v>
      </c>
      <c r="Y4240" s="120" t="b">
        <f t="shared" si="3143"/>
        <v>0</v>
      </c>
      <c r="Z4240" s="117">
        <f t="shared" si="3144"/>
        <v>0</v>
      </c>
      <c r="AA4240" s="118"/>
      <c r="AB4240" s="118" t="str">
        <f t="shared" si="3145"/>
        <v/>
      </c>
      <c r="AC4240" s="712" t="str">
        <f>IF(AE4240="T2G","no charge",IF(AND(OR(PlanterYesMe="No",PlanterYesMe="N",PlanterYesMe="me"),H4240=""),"",IF(H4240="credit","NO install",IF(AND(K4240="",AE4240="me"),"EACH row",IF(AND(K4240="images",AE4240="me"),"EACH row",IF(D4240="","",IF(H4240="credit","",IF(AE4240="free","re-planting",IF(AE4240="me","   not ELP, by",IF(AND(OR(PlanterYesMe="Yes",PlanterYesMe="Y"),G4240&gt;0),(VLOOKUP(A4240,'Discount Lookup'!J:K,2)*G4240*(1-PlanterDiscount)*(1+PlanterDifficultyPercentage)),IF(AE4240="ELP",(VLOOKUP(A4240,'Discount Lookup'!J:K,2)*G4240*(1-PlanterDiscount)*(1+PlanterDifficultyPercentage)),IF(AE4240="free","re-planting",IF(G4240=0,"",IF(PlanterYesMe="",IF(AE4240="me","   not ELP, by",IF(AE4240="",IF(G4240&gt;0,(VLOOKUP(A4240,'Discount Lookup'!J:K,2)*G4240*(1-PlanterDiscount)*(1+PlanterDifficultyPercentage)),""),"")),"   not ELP, by"))))))))))))))</f>
        <v/>
      </c>
      <c r="AD4240" s="712"/>
      <c r="AE4240" s="513" t="str">
        <f t="shared" si="3146"/>
        <v/>
      </c>
      <c r="AF4240" s="713" t="str">
        <f t="shared" si="3147"/>
        <v/>
      </c>
      <c r="AG4240" s="713"/>
      <c r="AH4240" s="713"/>
      <c r="AI4240" s="112">
        <f>IF(H4240="credit",0,IF(AE4240="free",0,IF(AE4240="me",0,IF(G4240&gt;0,(VLOOKUP(A4240,'Discount Lookup'!J:K,2)*G4240),0))))</f>
        <v>0</v>
      </c>
      <c r="AJ4240" s="107" t="str">
        <f t="shared" ca="1" si="3148"/>
        <v/>
      </c>
      <c r="AK4240" s="714" t="str">
        <f t="shared" si="3149"/>
        <v/>
      </c>
      <c r="AL4240" s="714"/>
      <c r="AM4240" s="114" t="str">
        <f t="shared" si="3150"/>
        <v/>
      </c>
      <c r="AN4240" s="115"/>
      <c r="AO4240" s="116"/>
      <c r="AP4240" s="116"/>
      <c r="AQ4240" s="116"/>
      <c r="AR4240" s="116"/>
      <c r="AS4240" s="116"/>
      <c r="AT4240" s="116"/>
      <c r="AU4240" s="116"/>
      <c r="AV4240" s="78"/>
      <c r="AW4240" s="102"/>
      <c r="AX4240" s="78"/>
      <c r="AY4240" s="78"/>
      <c r="AZ4240" s="78"/>
      <c r="BA4240" s="78"/>
      <c r="BB4240" s="78"/>
      <c r="BC4240" s="78"/>
      <c r="BD4240" s="78"/>
      <c r="BE4240" s="465"/>
      <c r="BF4240" s="165" t="str">
        <f t="shared" si="3151"/>
        <v>https://www.google.com/search?tbm=isch&amp;q=3%20G2</v>
      </c>
      <c r="BG4240" s="165" t="str">
        <f t="shared" si="3152"/>
        <v>V</v>
      </c>
      <c r="BH4240" s="65"/>
      <c r="BI4240" s="65"/>
      <c r="BJ4240" s="65"/>
      <c r="BK4240" s="65"/>
      <c r="BL4240" s="99"/>
      <c r="BM4240" s="99"/>
      <c r="BN4240" s="99"/>
    </row>
    <row r="4241" spans="1:66" s="51" customFormat="1" ht="17.25" thickBot="1" x14ac:dyDescent="0.3">
      <c r="A4241" s="704" t="s">
        <v>5561</v>
      </c>
      <c r="B4241" s="642"/>
      <c r="C4241" s="710"/>
      <c r="D4241" s="643"/>
      <c r="E4241" s="643"/>
      <c r="F4241" s="644"/>
      <c r="G4241" s="645"/>
      <c r="H4241" s="646"/>
      <c r="I4241" s="647"/>
      <c r="J4241" s="648"/>
      <c r="K4241" s="649"/>
      <c r="L4241" s="650"/>
      <c r="M4241" s="650"/>
      <c r="N4241" s="644"/>
      <c r="O4241" s="644"/>
      <c r="P4241" s="644"/>
      <c r="Q4241" s="644"/>
      <c r="R4241" s="644"/>
      <c r="S4241" s="701" t="s">
        <v>5309</v>
      </c>
      <c r="T4241" s="102">
        <f t="shared" si="3140"/>
        <v>0</v>
      </c>
      <c r="U4241" s="78" t="str">
        <f>IF(NOT(ISNUMBER(G4241)), "", VLOOKUP(A4241,'Discount Lookup'!D:E,2,FALSE)*G4241)</f>
        <v/>
      </c>
      <c r="V4241" s="78" t="str">
        <f>IF(NOT(ISNUMBER(G4241)), "", VLOOKUP(A4241,'Discount Lookup'!G:H,2,FALSE)*G4241)</f>
        <v/>
      </c>
      <c r="W4241" s="102">
        <f t="shared" si="3141"/>
        <v>0</v>
      </c>
      <c r="X4241" s="102">
        <f t="shared" si="3142"/>
        <v>0</v>
      </c>
      <c r="Y4241" s="120" t="b">
        <f t="shared" si="3143"/>
        <v>0</v>
      </c>
      <c r="Z4241" s="117">
        <f t="shared" si="3144"/>
        <v>0</v>
      </c>
      <c r="AA4241" s="118"/>
      <c r="AB4241" s="118" t="str">
        <f t="shared" si="3145"/>
        <v/>
      </c>
      <c r="AC4241" s="712" t="str">
        <f>IF(AE4241="T2G","no charge",IF(AND(OR(PlanterYesMe="No",PlanterYesMe="N",PlanterYesMe="me"),H4241=""),"",IF(H4241="credit","NO install",IF(AND(K4241="",AE4241="me"),"EACH row",IF(AND(K4241="images",AE4241="me"),"EACH row",IF(D4241="","",IF(H4241="credit","",IF(AE4241="free","re-planting",IF(AE4241="me","   not ELP, by",IF(AND(OR(PlanterYesMe="Yes",PlanterYesMe="Y"),G4241&gt;0),(VLOOKUP(A4241,'Discount Lookup'!J:K,2)*G4241*(1-PlanterDiscount)*(1+PlanterDifficultyPercentage)),IF(AE4241="ELP",(VLOOKUP(A4241,'Discount Lookup'!J:K,2)*G4241*(1-PlanterDiscount)*(1+PlanterDifficultyPercentage)),IF(AE4241="free","re-planting",IF(G4241=0,"",IF(PlanterYesMe="",IF(AE4241="me","   not ELP, by",IF(AE4241="",IF(G4241&gt;0,(VLOOKUP(A4241,'Discount Lookup'!J:K,2)*G4241*(1-PlanterDiscount)*(1+PlanterDifficultyPercentage)),""),"")),"   not ELP, by"))))))))))))))</f>
        <v/>
      </c>
      <c r="AD4241" s="712"/>
      <c r="AE4241" s="513" t="str">
        <f t="shared" si="3146"/>
        <v/>
      </c>
      <c r="AF4241" s="713" t="str">
        <f t="shared" si="3147"/>
        <v/>
      </c>
      <c r="AG4241" s="713"/>
      <c r="AH4241" s="713"/>
      <c r="AI4241" s="112">
        <f>IF(H4241="credit",0,IF(AE4241="free",0,IF(AE4241="me",0,IF(G4241&gt;0,(VLOOKUP(A4241,'Discount Lookup'!J:K,2)*G4241),0))))</f>
        <v>0</v>
      </c>
      <c r="AJ4241" s="107" t="str">
        <f t="shared" ca="1" si="3148"/>
        <v/>
      </c>
      <c r="AK4241" s="714" t="str">
        <f t="shared" si="3149"/>
        <v/>
      </c>
      <c r="AL4241" s="714"/>
      <c r="AM4241" s="114" t="str">
        <f t="shared" si="3150"/>
        <v/>
      </c>
      <c r="AN4241" s="115"/>
      <c r="AO4241" s="116"/>
      <c r="AP4241" s="116"/>
      <c r="AQ4241" s="116"/>
      <c r="AR4241" s="116"/>
      <c r="AS4241" s="116"/>
      <c r="AT4241" s="116"/>
      <c r="AU4241" s="116"/>
      <c r="AV4241" s="78"/>
      <c r="AW4241" s="102"/>
      <c r="AX4241" s="78"/>
      <c r="AY4241" s="78"/>
      <c r="AZ4241" s="78"/>
      <c r="BA4241" s="78"/>
      <c r="BB4241" s="78"/>
      <c r="BC4241" s="78"/>
      <c r="BD4241" s="78"/>
      <c r="BE4241" s="465"/>
      <c r="BF4241" s="165" t="str">
        <f t="shared" si="3151"/>
        <v>https://www.google.com/search?tbm=isch&amp;q=moist%20sites%F0%9F%92%A7BEST%2C%20Climax%20produces%20early%20large%2C%20dark%20berries.%20Great%20pollinator%2C%20but%20needs%20cross-pollination%20of%20Premier%20or%20Tifblue.%20Orange-Red%20in%20fall%20</v>
      </c>
      <c r="BG4241" s="165" t="str">
        <f t="shared" si="3152"/>
        <v>m</v>
      </c>
      <c r="BH4241" s="65"/>
      <c r="BI4241" s="65"/>
      <c r="BJ4241" s="65"/>
      <c r="BK4241" s="65"/>
      <c r="BL4241" s="99"/>
      <c r="BM4241" s="99"/>
      <c r="BN4241" s="99"/>
    </row>
    <row r="4242" spans="1:66" s="51" customFormat="1" ht="18" x14ac:dyDescent="0.25">
      <c r="A4242" s="623" t="s">
        <v>4427</v>
      </c>
      <c r="B4242" s="624"/>
      <c r="C4242" s="709"/>
      <c r="D4242" s="625" t="s">
        <v>4428</v>
      </c>
      <c r="E4242" s="626"/>
      <c r="F4242" s="626"/>
      <c r="G4242" s="626"/>
      <c r="H4242" s="622" t="s">
        <v>1264</v>
      </c>
      <c r="I4242" s="627" t="s">
        <v>4423</v>
      </c>
      <c r="J4242" s="628"/>
      <c r="K4242" s="628"/>
      <c r="L4242" s="629"/>
      <c r="M4242" s="700" t="s">
        <v>5241</v>
      </c>
      <c r="N4242" s="693" t="str">
        <f>IF(AND(ISTEXT($A4242), ISERROR($A4242+0)), HYPERLINK($BF4242, "Images"), "")</f>
        <v>Images</v>
      </c>
      <c r="O4242" s="695" t="s">
        <v>5286</v>
      </c>
      <c r="P4242" s="630"/>
      <c r="Q4242" s="631"/>
      <c r="R4242" s="632"/>
      <c r="S4242" s="633" t="s">
        <v>294</v>
      </c>
      <c r="T4242" s="102">
        <f t="shared" si="3140"/>
        <v>0</v>
      </c>
      <c r="U4242" s="78" t="str">
        <f>IF(NOT(ISNUMBER(G4242)), "", VLOOKUP(A4242,'Discount Lookup'!D:E,2,FALSE)*G4242)</f>
        <v/>
      </c>
      <c r="V4242" s="78" t="str">
        <f>IF(NOT(ISNUMBER(G4242)), "", VLOOKUP(A4242,'Discount Lookup'!G:H,2,FALSE)*G4242)</f>
        <v/>
      </c>
      <c r="W4242" s="102">
        <f t="shared" si="3141"/>
        <v>0</v>
      </c>
      <c r="X4242" s="102" t="str">
        <f t="shared" si="3142"/>
        <v>White to pale Pink bloom</v>
      </c>
      <c r="Y4242" s="120" t="b">
        <f t="shared" si="3143"/>
        <v>0</v>
      </c>
      <c r="Z4242" s="117">
        <f t="shared" si="3144"/>
        <v>0</v>
      </c>
      <c r="AA4242" s="118"/>
      <c r="AB4242" s="118" t="str">
        <f t="shared" si="3145"/>
        <v/>
      </c>
      <c r="AC4242" s="712" t="str">
        <f>IF(AE4242="T2G","no charge",IF(AND(OR(PlanterYesMe="No",PlanterYesMe="N",PlanterYesMe="me"),H4242=""),"",IF(H4242="credit","NO install",IF(AND(K4242="",AE4242="me"),"EACH row",IF(AND(K4242="images",AE4242="me"),"EACH row",IF(D4242="","",IF(H4242="credit","",IF(AE4242="free","re-planting",IF(AE4242="me","   not ELP, by",IF(AND(OR(PlanterYesMe="Yes",PlanterYesMe="Y"),G4242&gt;0),(VLOOKUP(A4242,'Discount Lookup'!J:K,2)*G4242*(1-PlanterDiscount)*(1+PlanterDifficultyPercentage)),IF(AE4242="ELP",(VLOOKUP(A4242,'Discount Lookup'!J:K,2)*G4242*(1-PlanterDiscount)*(1+PlanterDifficultyPercentage)),IF(AE4242="free","re-planting",IF(G4242=0,"",IF(PlanterYesMe="",IF(AE4242="me","   not ELP, by",IF(AE4242="",IF(G4242&gt;0,(VLOOKUP(A4242,'Discount Lookup'!J:K,2)*G4242*(1-PlanterDiscount)*(1+PlanterDifficultyPercentage)),""),"")),"   not ELP, by"))))))))))))))</f>
        <v/>
      </c>
      <c r="AD4242" s="712"/>
      <c r="AE4242" s="513" t="str">
        <f t="shared" si="3146"/>
        <v/>
      </c>
      <c r="AF4242" s="713" t="str">
        <f t="shared" si="3147"/>
        <v/>
      </c>
      <c r="AG4242" s="713"/>
      <c r="AH4242" s="713"/>
      <c r="AI4242" s="112">
        <f>IF(H4242="credit",0,IF(AE4242="free",0,IF(AE4242="me",0,IF(G4242&gt;0,(VLOOKUP(A4242,'Discount Lookup'!J:K,2)*G4242),0))))</f>
        <v>0</v>
      </c>
      <c r="AJ4242" s="107" t="str">
        <f t="shared" ca="1" si="3148"/>
        <v/>
      </c>
      <c r="AK4242" s="714" t="str">
        <f t="shared" si="3149"/>
        <v/>
      </c>
      <c r="AL4242" s="714"/>
      <c r="AM4242" s="114" t="str">
        <f t="shared" si="3150"/>
        <v/>
      </c>
      <c r="AN4242" s="115"/>
      <c r="AO4242" s="116"/>
      <c r="AP4242" s="116"/>
      <c r="AQ4242" s="116"/>
      <c r="AR4242" s="116"/>
      <c r="AS4242" s="116"/>
      <c r="AT4242" s="116"/>
      <c r="AU4242" s="116"/>
      <c r="AV4242" s="78"/>
      <c r="AW4242" s="102"/>
      <c r="AX4242" s="78"/>
      <c r="AY4242" s="78"/>
      <c r="AZ4242" s="78"/>
      <c r="BA4242" s="78"/>
      <c r="BB4242" s="78"/>
      <c r="BC4242" s="78"/>
      <c r="BD4242" s="78"/>
      <c r="BE4242" s="465"/>
      <c r="BF4242" s="165" t="str">
        <f t="shared" si="3151"/>
        <v>https://www.google.com/search?tbm=isch&amp;q=Vac.%20corymbosum%20%27Premier%27%20Premier%20Blueberry</v>
      </c>
      <c r="BG4242" s="165" t="str">
        <f t="shared" si="3152"/>
        <v>V</v>
      </c>
      <c r="BH4242" s="65"/>
      <c r="BI4242" s="65"/>
      <c r="BJ4242" s="65"/>
      <c r="BK4242" s="65"/>
      <c r="BL4242" s="99"/>
      <c r="BM4242" s="99"/>
      <c r="BN4242" s="99"/>
    </row>
    <row r="4243" spans="1:66" s="51" customFormat="1" ht="15.75" x14ac:dyDescent="0.25">
      <c r="A4243" s="634">
        <v>3</v>
      </c>
      <c r="B4243" s="635" t="s">
        <v>291</v>
      </c>
      <c r="C4243" s="636"/>
      <c r="D4243" s="637" t="s">
        <v>310</v>
      </c>
      <c r="E4243" s="638">
        <v>25.95</v>
      </c>
      <c r="F4243" s="639" t="s">
        <v>292</v>
      </c>
      <c r="G4243" s="484">
        <v>0</v>
      </c>
      <c r="H4243" s="691" t="str">
        <f>IF(G4243=0,"",IF(F4243="Buy",IF(G4243=1,"plant","plants"),IF(F4243&gt;0.01,"warranty","Error")))</f>
        <v/>
      </c>
      <c r="I4243" s="640">
        <f>IF(H4243="free",0,IF(H4243="credit",((E4243*(F4243))*G4243*-1),IF(F4243="Buy",(E4243*G4243),((E4243*(1-F4243))*G4243))))</f>
        <v>0</v>
      </c>
      <c r="J4243" s="640">
        <f>IF(H4243="warranty",0,(I4243*(_xlfn.SINGLE(SalesTaxPercentage))))</f>
        <v>0</v>
      </c>
      <c r="K4243" s="716">
        <f t="shared" ref="K4243" si="3177">I4243+J4243</f>
        <v>0</v>
      </c>
      <c r="L4243" s="716"/>
      <c r="M4243" s="689" t="str">
        <f ca="1">IF(AND(G4243&gt;0,E4243=0),"WARNING - no PRICE inserted",IF(H4243="free","FREE ~ no charge this plant",IF(H4243="credit",CONCATENATE("-$",ROUND(K4243*(1-_xlfn.SINGLE(T2GDiscount))*-1,2)," CREDIT after discount"),IF(_xlfn.SINGLE(T2GDiscount)=0,"",IF(G4243=0,"",IF(F4243="Buy",CONCATENATE("$",ROUND(K4243*(1-_xlfn.SINGLE(T2GDiscount)),2)," with ",(_xlfn.SINGLE(T2GDiscount)*100),"% discount"),CONCATENATE("$",ROUND(K4243*(1-_xlfn.SINGLE(T2GDiscount)),2)," with ",((_xlfn.SINGLE(T2GDiscount)*100+F4243*100)-(_xlfn.SINGLE(T2GDiscount)*100*F4243)),IF(F4243&gt;0,"% discounts",IF(_xlfn.SINGLE(NoWarrantyDiscount)&gt;0,"% discounts","% discount")))))))))</f>
        <v/>
      </c>
      <c r="N4243" s="690"/>
      <c r="O4243" s="486"/>
      <c r="P4243" s="486"/>
      <c r="Q4243" s="486"/>
      <c r="R4243" s="486"/>
      <c r="S4243" s="486"/>
      <c r="T4243" s="102">
        <f t="shared" si="3140"/>
        <v>0</v>
      </c>
      <c r="U4243" s="78">
        <f>IF(NOT(ISNUMBER(G4243)), "", VLOOKUP(A4243,'Discount Lookup'!D:E,2,FALSE)*G4243)</f>
        <v>0</v>
      </c>
      <c r="V4243" s="78">
        <f>IF(NOT(ISNUMBER(G4243)), "", VLOOKUP(A4243,'Discount Lookup'!G:H,2,FALSE)*G4243)</f>
        <v>0</v>
      </c>
      <c r="W4243" s="102">
        <f t="shared" si="3141"/>
        <v>0</v>
      </c>
      <c r="X4243" s="102">
        <f t="shared" si="3142"/>
        <v>0</v>
      </c>
      <c r="Y4243" s="120" t="b">
        <f t="shared" si="3143"/>
        <v>0</v>
      </c>
      <c r="Z4243" s="117">
        <f t="shared" si="3144"/>
        <v>0</v>
      </c>
      <c r="AA4243" s="118"/>
      <c r="AB4243" s="118" t="str">
        <f t="shared" si="3145"/>
        <v/>
      </c>
      <c r="AC4243" s="712" t="str">
        <f>IF(AE4243="T2G","no charge",IF(AND(OR(PlanterYesMe="No",PlanterYesMe="N",PlanterYesMe="me"),H4243=""),"",IF(H4243="credit","NO install",IF(AND(K4243="",AE4243="me"),"EACH row",IF(AND(K4243="images",AE4243="me"),"EACH row",IF(D4243="","",IF(H4243="credit","",IF(AE4243="free","re-planting",IF(AE4243="me","   not ELP, by",IF(AND(OR(PlanterYesMe="Yes",PlanterYesMe="Y"),G4243&gt;0),(VLOOKUP(A4243,'Discount Lookup'!J:K,2)*G4243*(1-PlanterDiscount)*(1+PlanterDifficultyPercentage)),IF(AE4243="ELP",(VLOOKUP(A4243,'Discount Lookup'!J:K,2)*G4243*(1-PlanterDiscount)*(1+PlanterDifficultyPercentage)),IF(AE4243="free","re-planting",IF(G4243=0,"",IF(PlanterYesMe="",IF(AE4243="me","   not ELP, by",IF(AE4243="",IF(G4243&gt;0,(VLOOKUP(A4243,'Discount Lookup'!J:K,2)*G4243*(1-PlanterDiscount)*(1+PlanterDifficultyPercentage)),""),"")),"   not ELP, by"))))))))))))))</f>
        <v/>
      </c>
      <c r="AD4243" s="712"/>
      <c r="AE4243" s="513" t="str">
        <f t="shared" si="3146"/>
        <v/>
      </c>
      <c r="AF4243" s="713" t="str">
        <f t="shared" si="3147"/>
        <v/>
      </c>
      <c r="AG4243" s="713"/>
      <c r="AH4243" s="713"/>
      <c r="AI4243" s="112">
        <f>IF(H4243="credit",0,IF(AE4243="free",0,IF(AE4243="me",0,IF(G4243&gt;0,(VLOOKUP(A4243,'Discount Lookup'!J:K,2)*G4243),0))))</f>
        <v>0</v>
      </c>
      <c r="AJ4243" s="107" t="str">
        <f t="shared" ca="1" si="3148"/>
        <v/>
      </c>
      <c r="AK4243" s="714" t="str">
        <f t="shared" si="3149"/>
        <v/>
      </c>
      <c r="AL4243" s="714"/>
      <c r="AM4243" s="114" t="str">
        <f t="shared" si="3150"/>
        <v/>
      </c>
      <c r="AN4243" s="115"/>
      <c r="AO4243" s="116"/>
      <c r="AP4243" s="116"/>
      <c r="AQ4243" s="116"/>
      <c r="AR4243" s="116"/>
      <c r="AS4243" s="116"/>
      <c r="AT4243" s="116"/>
      <c r="AU4243" s="116"/>
      <c r="AV4243" s="78"/>
      <c r="AW4243" s="102"/>
      <c r="AX4243" s="78"/>
      <c r="AY4243" s="78"/>
      <c r="AZ4243" s="78"/>
      <c r="BA4243" s="78"/>
      <c r="BB4243" s="78"/>
      <c r="BC4243" s="78"/>
      <c r="BD4243" s="78"/>
      <c r="BE4243" s="465"/>
      <c r="BF4243" s="165" t="str">
        <f t="shared" si="3151"/>
        <v>https://www.google.com/search?tbm=isch&amp;q=3%20G1</v>
      </c>
      <c r="BG4243" s="165" t="str">
        <f t="shared" si="3152"/>
        <v>V</v>
      </c>
      <c r="BH4243" s="65"/>
      <c r="BI4243" s="65"/>
      <c r="BJ4243" s="65"/>
      <c r="BK4243" s="65"/>
      <c r="BL4243" s="99"/>
      <c r="BM4243" s="99"/>
      <c r="BN4243" s="99"/>
    </row>
    <row r="4244" spans="1:66" s="51" customFormat="1" ht="17.25" thickBot="1" x14ac:dyDescent="0.3">
      <c r="A4244" s="704" t="s">
        <v>5562</v>
      </c>
      <c r="B4244" s="642"/>
      <c r="C4244" s="710"/>
      <c r="D4244" s="643"/>
      <c r="E4244" s="643"/>
      <c r="F4244" s="644"/>
      <c r="G4244" s="645"/>
      <c r="H4244" s="646"/>
      <c r="I4244" s="647"/>
      <c r="J4244" s="648"/>
      <c r="K4244" s="649"/>
      <c r="L4244" s="650"/>
      <c r="M4244" s="650"/>
      <c r="N4244" s="644"/>
      <c r="O4244" s="644"/>
      <c r="P4244" s="644"/>
      <c r="Q4244" s="644"/>
      <c r="R4244" s="644"/>
      <c r="S4244" s="701" t="s">
        <v>5309</v>
      </c>
      <c r="T4244" s="102">
        <f t="shared" ref="T4244:T4307" si="3178">E4244*G4244</f>
        <v>0</v>
      </c>
      <c r="U4244" s="78" t="str">
        <f>IF(NOT(ISNUMBER(G4244)), "", VLOOKUP(A4244,'Discount Lookup'!D:E,2,FALSE)*G4244)</f>
        <v/>
      </c>
      <c r="V4244" s="78" t="str">
        <f>IF(NOT(ISNUMBER(G4244)), "", VLOOKUP(A4244,'Discount Lookup'!G:H,2,FALSE)*G4244)</f>
        <v/>
      </c>
      <c r="W4244" s="102">
        <f t="shared" ref="W4244:W4307" si="3179">IF(H4244="credit",0,E4244*(SalesTaxPercentage)*G4244)</f>
        <v>0</v>
      </c>
      <c r="X4244" s="102">
        <f t="shared" ref="X4244:X4307" si="3180">I4244</f>
        <v>0</v>
      </c>
      <c r="Y4244" s="120" t="b">
        <f t="shared" ref="Y4244:Y4307" si="3181">IF(AE4244="T2G",0,IF(H4244="credit",0,IF(G4244&gt;0,IF(AE4244="me","",G4244))))</f>
        <v>0</v>
      </c>
      <c r="Z4244" s="117">
        <f t="shared" ref="Z4244:Z4307" si="3182">IF(H4244="credit",G4244,0)</f>
        <v>0</v>
      </c>
      <c r="AA4244" s="118"/>
      <c r="AB4244" s="118" t="str">
        <f t="shared" ref="AB4244:AB4307" si="3183">IF(AE4244="T2G","by Trees2Go",IF(H4244="credit","CREDIT only ~",IF(AND(K4244="",AE4244=OR(PlanterYesMe="No",PlanterYesMe="N",PlanterYesMe="me")),"not THIS line⇨",IF(AND(K4244="images",AE4244="me"),"not THIS line⇨",IF(H4244="credit","",IF(G4244=0,"",IF(AE4244="me","",IF(OR(PlanterYesMe="No",PlanterYesMe="N",PlanterYesMe="me"),"",IF(AE4244="free","warranty",IF(OR(PlanterYesMe="yes",PlanterYesMe="y"),"Edison install:","to install:"))))))))))</f>
        <v/>
      </c>
      <c r="AC4244" s="712" t="str">
        <f>IF(AE4244="T2G","no charge",IF(AND(OR(PlanterYesMe="No",PlanterYesMe="N",PlanterYesMe="me"),H4244=""),"",IF(H4244="credit","NO install",IF(AND(K4244="",AE4244="me"),"EACH row",IF(AND(K4244="images",AE4244="me"),"EACH row",IF(D4244="","",IF(H4244="credit","",IF(AE4244="free","re-planting",IF(AE4244="me","   not ELP, by",IF(AND(OR(PlanterYesMe="Yes",PlanterYesMe="Y"),G4244&gt;0),(VLOOKUP(A4244,'Discount Lookup'!J:K,2)*G4244*(1-PlanterDiscount)*(1+PlanterDifficultyPercentage)),IF(AE4244="ELP",(VLOOKUP(A4244,'Discount Lookup'!J:K,2)*G4244*(1-PlanterDiscount)*(1+PlanterDifficultyPercentage)),IF(AE4244="free","re-planting",IF(G4244=0,"",IF(PlanterYesMe="",IF(AE4244="me","   not ELP, by",IF(AE4244="",IF(G4244&gt;0,(VLOOKUP(A4244,'Discount Lookup'!J:K,2)*G4244*(1-PlanterDiscount)*(1+PlanterDifficultyPercentage)),""),"")),"   not ELP, by"))))))))))))))</f>
        <v/>
      </c>
      <c r="AD4244" s="712"/>
      <c r="AE4244" s="513" t="str">
        <f t="shared" ref="AE4244:AE4307" si="3184">IF(H4244="credit","",IF(G4244=0,"",IF(OR(PlanterYesMe="No",PlanterYesMe="N",PlanterYesMe="me"),"me",IF(H4244="warranty","free",IF(OR(PlanterYesMe="yes",PlanterYesMe="y"),"ELP","")))))</f>
        <v/>
      </c>
      <c r="AF4244" s="713" t="str">
        <f t="shared" ref="AF4244:AF4307" si="3185">IF(OR(PlanterYesMe="No",PlanterYesMe="N",PlanterYesMe="me"),"",IF(H4244="credit","",IF(G4244&gt;0,(CONCATENATE((G4244)," quantity, ",(A4244)," ",B4244)),"")))</f>
        <v/>
      </c>
      <c r="AG4244" s="713"/>
      <c r="AH4244" s="713"/>
      <c r="AI4244" s="112">
        <f>IF(H4244="credit",0,IF(AE4244="free",0,IF(AE4244="me",0,IF(G4244&gt;0,(VLOOKUP(A4244,'Discount Lookup'!J:K,2)*G4244),0))))</f>
        <v>0</v>
      </c>
      <c r="AJ4244" s="107" t="str">
        <f t="shared" ref="AJ4244:AJ4307" ca="1" si="3186">IF(AND(ISREF(H4244),H4244="credit"),"",IF(AND(AND(OFFSET(G4244,0,0)=0,OFFSET(G4244,1,0)&gt;0,ISNUMBER(OFFSET(AC4244,1,0)),OFFSET(AC4244,1,0)&gt;0),OR(PlanterYesMe="yes",PlanterYesMe="y")),"T2G+ELP=",IF(AND(OFFSET(G4244,0,0)=0,OFFSET(G4244,1,0)&gt;0,ISNUMBER(OFFSET(AC4244,1,0)),OFFSET(AC4244,1,0)&gt;0),"if T2G+ELP=",IF(AND(OFFSET(G4244,0,0)=0,OFFSET(G4244,1,0)&gt;0),"T2G Subtotal",IF(H4244="credit","",IF(G4244=0,"",IF(AE4244="free",(K4244*(1-T2GDiscount)),IF(OR(PlanterYesMe="No",PlanterYesMe="N",PlanterYesMe="me"),(K4244*(1-T2GDiscount)),IF(OR(AE4244="me",AE4244="T2G"),(K4244*(1-T2GDiscount)),(K4244*(1-T2GDiscount))+AC4244)))))))))</f>
        <v/>
      </c>
      <c r="AK4244" s="714" t="str">
        <f t="shared" ref="AK4244:AK4307" si="3187">IF(H4244="credit","",IF(G4244=0,"",IF(OR(AE4244="me",AE4244="T2G"),"  delivery-only",IF(OR(PlanterYesMe="No",PlanterYesMe="N",PlanterYesMe="me"),"  delivery-only",CONCATENATE(" $",ROUND(AJ4244/G4244,2)," each")))))</f>
        <v/>
      </c>
      <c r="AL4244" s="714"/>
      <c r="AM4244" s="114" t="str">
        <f t="shared" ref="AM4244:AM4307" si="3188">IF(H4244="credit","",IF(AE4244="free","      ~ discounts included, no tax or planting fee applies ~",IF(G4244=0,"",IF(OR(PlanterYesMe="No",PlanterYesMe="N",PlanterYesMe="me"),CONCATENATE(" $",ROUND(AJ4244/G4244,2)," per plant, with tax &amp; discount"),IF(OR(AE4244="me",AE4244="T2G"),CONCATENATE(" $",ROUND(AJ4244/G4244,2)," per plant, with tax &amp; discount"),CONCATENATE("= $",ROUND((K4244*(1-T2GDiscount))/G4244,2)," per plant + $",AC4244/G4244,(" per planting      ~ includes tax &amp; discounts ~")))))))</f>
        <v/>
      </c>
      <c r="AN4244" s="115"/>
      <c r="AO4244" s="116"/>
      <c r="AP4244" s="116"/>
      <c r="AQ4244" s="116"/>
      <c r="AR4244" s="116"/>
      <c r="AS4244" s="116"/>
      <c r="AT4244" s="116"/>
      <c r="AU4244" s="116"/>
      <c r="AV4244" s="78"/>
      <c r="AW4244" s="102"/>
      <c r="AX4244" s="78"/>
      <c r="AY4244" s="78"/>
      <c r="AZ4244" s="78"/>
      <c r="BA4244" s="78"/>
      <c r="BB4244" s="78"/>
      <c r="BC4244" s="78"/>
      <c r="BD4244" s="78"/>
      <c r="BE4244" s="465"/>
      <c r="BF4244" s="165" t="str">
        <f t="shared" ref="BF4244:BF4307" si="3189">"https://www.google.com/search?tbm=isch&amp;q=" &amp; _xlfn.ENCODEURL($A4244 &amp; " " &amp; $D4244)</f>
        <v>https://www.google.com/search?tbm=isch&amp;q=moist%20sites%F0%9F%92%A7BEST%2C%20Premier%20is%20mid-season%20producer%20of%20large%2C%20light-blue%2C%20tasty%20berries.%20Pollinate%20with%20Climax%2C%20Tifblue%2C%20Powderblue.%20Orange-Red%20in%20fall%20</v>
      </c>
      <c r="BG4244" s="165" t="str">
        <f t="shared" ref="BG4244:BG4307" si="3190">IF(ISTEXT(A4244),LEFT(A4244,1),BG4243)</f>
        <v>m</v>
      </c>
      <c r="BH4244" s="65"/>
      <c r="BI4244" s="65"/>
      <c r="BJ4244" s="65"/>
      <c r="BK4244" s="65"/>
      <c r="BL4244" s="99"/>
      <c r="BM4244" s="99"/>
      <c r="BN4244" s="99"/>
    </row>
    <row r="4245" spans="1:66" s="51" customFormat="1" ht="18" x14ac:dyDescent="0.25">
      <c r="A4245" s="623" t="s">
        <v>4429</v>
      </c>
      <c r="B4245" s="624"/>
      <c r="C4245" s="709"/>
      <c r="D4245" s="625" t="s">
        <v>5848</v>
      </c>
      <c r="E4245" s="626"/>
      <c r="F4245" s="626"/>
      <c r="G4245" s="626"/>
      <c r="H4245" s="622" t="s">
        <v>2462</v>
      </c>
      <c r="I4245" s="627" t="s">
        <v>349</v>
      </c>
      <c r="J4245" s="628"/>
      <c r="K4245" s="628"/>
      <c r="L4245" s="629"/>
      <c r="M4245" s="700" t="s">
        <v>5241</v>
      </c>
      <c r="N4245" s="693" t="str">
        <f>IF(AND(ISTEXT($A4245), ISERROR($A4245+0)), HYPERLINK($BF4245, "Images"), "")</f>
        <v>Images</v>
      </c>
      <c r="O4245" s="695" t="s">
        <v>5286</v>
      </c>
      <c r="P4245" s="630"/>
      <c r="Q4245" s="631"/>
      <c r="R4245" s="632"/>
      <c r="S4245" s="633" t="s">
        <v>294</v>
      </c>
      <c r="T4245" s="102">
        <f t="shared" si="3178"/>
        <v>0</v>
      </c>
      <c r="U4245" s="78" t="str">
        <f>IF(NOT(ISNUMBER(G4245)), "", VLOOKUP(A4245,'Discount Lookup'!D:E,2,FALSE)*G4245)</f>
        <v/>
      </c>
      <c r="V4245" s="78" t="str">
        <f>IF(NOT(ISNUMBER(G4245)), "", VLOOKUP(A4245,'Discount Lookup'!G:H,2,FALSE)*G4245)</f>
        <v/>
      </c>
      <c r="W4245" s="102">
        <f t="shared" si="3179"/>
        <v>0</v>
      </c>
      <c r="X4245" s="102" t="str">
        <f t="shared" si="3180"/>
        <v>White bloom</v>
      </c>
      <c r="Y4245" s="120" t="b">
        <f t="shared" si="3181"/>
        <v>0</v>
      </c>
      <c r="Z4245" s="117">
        <f t="shared" si="3182"/>
        <v>0</v>
      </c>
      <c r="AA4245" s="118"/>
      <c r="AB4245" s="118" t="str">
        <f t="shared" si="3183"/>
        <v/>
      </c>
      <c r="AC4245" s="712" t="str">
        <f>IF(AE4245="T2G","no charge",IF(AND(OR(PlanterYesMe="No",PlanterYesMe="N",PlanterYesMe="me"),H4245=""),"",IF(H4245="credit","NO install",IF(AND(K4245="",AE4245="me"),"EACH row",IF(AND(K4245="images",AE4245="me"),"EACH row",IF(D4245="","",IF(H4245="credit","",IF(AE4245="free","re-planting",IF(AE4245="me","   not ELP, by",IF(AND(OR(PlanterYesMe="Yes",PlanterYesMe="Y"),G4245&gt;0),(VLOOKUP(A4245,'Discount Lookup'!J:K,2)*G4245*(1-PlanterDiscount)*(1+PlanterDifficultyPercentage)),IF(AE4245="ELP",(VLOOKUP(A4245,'Discount Lookup'!J:K,2)*G4245*(1-PlanterDiscount)*(1+PlanterDifficultyPercentage)),IF(AE4245="free","re-planting",IF(G4245=0,"",IF(PlanterYesMe="",IF(AE4245="me","   not ELP, by",IF(AE4245="",IF(G4245&gt;0,(VLOOKUP(A4245,'Discount Lookup'!J:K,2)*G4245*(1-PlanterDiscount)*(1+PlanterDifficultyPercentage)),""),"")),"   not ELP, by"))))))))))))))</f>
        <v/>
      </c>
      <c r="AD4245" s="712"/>
      <c r="AE4245" s="513" t="str">
        <f t="shared" si="3184"/>
        <v/>
      </c>
      <c r="AF4245" s="713" t="str">
        <f t="shared" si="3185"/>
        <v/>
      </c>
      <c r="AG4245" s="713"/>
      <c r="AH4245" s="713"/>
      <c r="AI4245" s="112">
        <f>IF(H4245="credit",0,IF(AE4245="free",0,IF(AE4245="me",0,IF(G4245&gt;0,(VLOOKUP(A4245,'Discount Lookup'!J:K,2)*G4245),0))))</f>
        <v>0</v>
      </c>
      <c r="AJ4245" s="107" t="str">
        <f t="shared" ca="1" si="3186"/>
        <v/>
      </c>
      <c r="AK4245" s="714" t="str">
        <f t="shared" si="3187"/>
        <v/>
      </c>
      <c r="AL4245" s="714"/>
      <c r="AM4245" s="114" t="str">
        <f t="shared" si="3188"/>
        <v/>
      </c>
      <c r="AN4245" s="115"/>
      <c r="AO4245" s="116"/>
      <c r="AP4245" s="116"/>
      <c r="AQ4245" s="116"/>
      <c r="AR4245" s="116"/>
      <c r="AS4245" s="116"/>
      <c r="AT4245" s="116"/>
      <c r="AU4245" s="116"/>
      <c r="AV4245" s="78"/>
      <c r="AW4245" s="102"/>
      <c r="AX4245" s="78"/>
      <c r="AY4245" s="78"/>
      <c r="AZ4245" s="78"/>
      <c r="BA4245" s="78"/>
      <c r="BB4245" s="78"/>
      <c r="BC4245" s="78"/>
      <c r="BD4245" s="78"/>
      <c r="BE4245" s="465"/>
      <c r="BF4245" s="165" t="str">
        <f t="shared" si="3189"/>
        <v>https://www.google.com/search?tbm=isch&amp;q=Vac.%20corymbosum%20%27ZF06-043%27%20PP%2323325%20Peach%20Sorbet%C2%AE%20Blueberry</v>
      </c>
      <c r="BG4245" s="165" t="str">
        <f t="shared" si="3190"/>
        <v>V</v>
      </c>
      <c r="BH4245" s="65"/>
      <c r="BI4245" s="65"/>
      <c r="BJ4245" s="65"/>
      <c r="BK4245" s="65"/>
      <c r="BL4245" s="99"/>
      <c r="BM4245" s="99"/>
      <c r="BN4245" s="99"/>
    </row>
    <row r="4246" spans="1:66" s="51" customFormat="1" ht="15.75" x14ac:dyDescent="0.25">
      <c r="A4246" s="634">
        <v>1</v>
      </c>
      <c r="B4246" s="635" t="s">
        <v>291</v>
      </c>
      <c r="C4246" s="636"/>
      <c r="D4246" s="637" t="s">
        <v>329</v>
      </c>
      <c r="E4246" s="638">
        <v>27.95</v>
      </c>
      <c r="F4246" s="639" t="s">
        <v>292</v>
      </c>
      <c r="G4246" s="484">
        <v>0</v>
      </c>
      <c r="H4246" s="691" t="str">
        <f>IF(G4246=0,"",IF(F4246="Buy",IF(G4246=1,"plant","plants"),IF(F4246&gt;0.01,"warranty","Error")))</f>
        <v/>
      </c>
      <c r="I4246" s="640">
        <f>IF(H4246="free",0,IF(H4246="credit",((E4246*(F4246))*G4246*-1),IF(F4246="Buy",(E4246*G4246),((E4246*(1-F4246))*G4246))))</f>
        <v>0</v>
      </c>
      <c r="J4246" s="640">
        <f>IF(H4246="warranty",0,(I4246*(_xlfn.SINGLE(SalesTaxPercentage))))</f>
        <v>0</v>
      </c>
      <c r="K4246" s="716">
        <f t="shared" ref="K4246" si="3191">I4246+J4246</f>
        <v>0</v>
      </c>
      <c r="L4246" s="716"/>
      <c r="M4246" s="689" t="str">
        <f ca="1">IF(AND(G4246&gt;0,E4246=0),"WARNING - no PRICE inserted",IF(H4246="free","FREE ~ no charge this plant",IF(H4246="credit",CONCATENATE("-$",ROUND(K4246*(1-_xlfn.SINGLE(T2GDiscount))*-1,2)," CREDIT after discount"),IF(_xlfn.SINGLE(T2GDiscount)=0,"",IF(G4246=0,"",IF(F4246="Buy",CONCATENATE("$",ROUND(K4246*(1-_xlfn.SINGLE(T2GDiscount)),2)," with ",(_xlfn.SINGLE(T2GDiscount)*100),"% discount"),CONCATENATE("$",ROUND(K4246*(1-_xlfn.SINGLE(T2GDiscount)),2)," with ",((_xlfn.SINGLE(T2GDiscount)*100+F4246*100)-(_xlfn.SINGLE(T2GDiscount)*100*F4246)),IF(F4246&gt;0,"% discounts",IF(_xlfn.SINGLE(NoWarrantyDiscount)&gt;0,"% discounts","% discount")))))))))</f>
        <v/>
      </c>
      <c r="N4246" s="690"/>
      <c r="O4246" s="486"/>
      <c r="P4246" s="486"/>
      <c r="Q4246" s="486"/>
      <c r="R4246" s="486"/>
      <c r="S4246" s="486"/>
      <c r="T4246" s="102">
        <f t="shared" si="3178"/>
        <v>0</v>
      </c>
      <c r="U4246" s="78">
        <f>IF(NOT(ISNUMBER(G4246)), "", VLOOKUP(A4246,'Discount Lookup'!D:E,2,FALSE)*G4246)</f>
        <v>0</v>
      </c>
      <c r="V4246" s="78">
        <f>IF(NOT(ISNUMBER(G4246)), "", VLOOKUP(A4246,'Discount Lookup'!G:H,2,FALSE)*G4246)</f>
        <v>0</v>
      </c>
      <c r="W4246" s="102">
        <f t="shared" si="3179"/>
        <v>0</v>
      </c>
      <c r="X4246" s="102">
        <f t="shared" si="3180"/>
        <v>0</v>
      </c>
      <c r="Y4246" s="120" t="b">
        <f t="shared" si="3181"/>
        <v>0</v>
      </c>
      <c r="Z4246" s="117">
        <f t="shared" si="3182"/>
        <v>0</v>
      </c>
      <c r="AA4246" s="118"/>
      <c r="AB4246" s="118" t="str">
        <f t="shared" si="3183"/>
        <v/>
      </c>
      <c r="AC4246" s="712" t="str">
        <f>IF(AE4246="T2G","no charge",IF(AND(OR(PlanterYesMe="No",PlanterYesMe="N",PlanterYesMe="me"),H4246=""),"",IF(H4246="credit","NO install",IF(AND(K4246="",AE4246="me"),"EACH row",IF(AND(K4246="images",AE4246="me"),"EACH row",IF(D4246="","",IF(H4246="credit","",IF(AE4246="free","re-planting",IF(AE4246="me","   not ELP, by",IF(AND(OR(PlanterYesMe="Yes",PlanterYesMe="Y"),G4246&gt;0),(VLOOKUP(A4246,'Discount Lookup'!J:K,2)*G4246*(1-PlanterDiscount)*(1+PlanterDifficultyPercentage)),IF(AE4246="ELP",(VLOOKUP(A4246,'Discount Lookup'!J:K,2)*G4246*(1-PlanterDiscount)*(1+PlanterDifficultyPercentage)),IF(AE4246="free","re-planting",IF(G4246=0,"",IF(PlanterYesMe="",IF(AE4246="me","   not ELP, by",IF(AE4246="",IF(G4246&gt;0,(VLOOKUP(A4246,'Discount Lookup'!J:K,2)*G4246*(1-PlanterDiscount)*(1+PlanterDifficultyPercentage)),""),"")),"   not ELP, by"))))))))))))))</f>
        <v/>
      </c>
      <c r="AD4246" s="712"/>
      <c r="AE4246" s="513" t="str">
        <f t="shared" si="3184"/>
        <v/>
      </c>
      <c r="AF4246" s="713" t="str">
        <f t="shared" si="3185"/>
        <v/>
      </c>
      <c r="AG4246" s="713"/>
      <c r="AH4246" s="713"/>
      <c r="AI4246" s="112">
        <f>IF(H4246="credit",0,IF(AE4246="free",0,IF(AE4246="me",0,IF(G4246&gt;0,(VLOOKUP(A4246,'Discount Lookup'!J:K,2)*G4246),0))))</f>
        <v>0</v>
      </c>
      <c r="AJ4246" s="107" t="str">
        <f t="shared" ca="1" si="3186"/>
        <v/>
      </c>
      <c r="AK4246" s="714" t="str">
        <f t="shared" si="3187"/>
        <v/>
      </c>
      <c r="AL4246" s="714"/>
      <c r="AM4246" s="114" t="str">
        <f t="shared" si="3188"/>
        <v/>
      </c>
      <c r="AN4246" s="115"/>
      <c r="AO4246" s="116"/>
      <c r="AP4246" s="116"/>
      <c r="AQ4246" s="116"/>
      <c r="AR4246" s="116"/>
      <c r="AS4246" s="116"/>
      <c r="AT4246" s="116"/>
      <c r="AU4246" s="116"/>
      <c r="AV4246" s="78"/>
      <c r="AW4246" s="102"/>
      <c r="AX4246" s="78"/>
      <c r="AY4246" s="78"/>
      <c r="AZ4246" s="78"/>
      <c r="BA4246" s="78"/>
      <c r="BB4246" s="78"/>
      <c r="BC4246" s="78"/>
      <c r="BD4246" s="78"/>
      <c r="BE4246" s="465"/>
      <c r="BF4246" s="165" t="str">
        <f t="shared" si="3189"/>
        <v>https://www.google.com/search?tbm=isch&amp;q=1%20G2</v>
      </c>
      <c r="BG4246" s="165" t="str">
        <f t="shared" si="3190"/>
        <v>V</v>
      </c>
      <c r="BH4246" s="65"/>
      <c r="BI4246" s="65"/>
      <c r="BJ4246" s="65"/>
      <c r="BK4246" s="65"/>
      <c r="BL4246" s="99"/>
      <c r="BM4246" s="99"/>
      <c r="BN4246" s="99"/>
    </row>
    <row r="4247" spans="1:66" s="51" customFormat="1" ht="17.25" thickBot="1" x14ac:dyDescent="0.3">
      <c r="A4247" s="704" t="s">
        <v>5563</v>
      </c>
      <c r="B4247" s="642"/>
      <c r="C4247" s="710"/>
      <c r="D4247" s="643"/>
      <c r="E4247" s="643"/>
      <c r="F4247" s="644"/>
      <c r="G4247" s="645"/>
      <c r="H4247" s="646"/>
      <c r="I4247" s="647"/>
      <c r="J4247" s="648"/>
      <c r="K4247" s="649"/>
      <c r="L4247" s="650"/>
      <c r="M4247" s="650"/>
      <c r="N4247" s="644"/>
      <c r="O4247" s="644"/>
      <c r="P4247" s="644"/>
      <c r="Q4247" s="644"/>
      <c r="R4247" s="644"/>
      <c r="S4247" s="701" t="s">
        <v>5310</v>
      </c>
      <c r="T4247" s="102">
        <f t="shared" si="3178"/>
        <v>0</v>
      </c>
      <c r="U4247" s="78" t="str">
        <f>IF(NOT(ISNUMBER(G4247)), "", VLOOKUP(A4247,'Discount Lookup'!D:E,2,FALSE)*G4247)</f>
        <v/>
      </c>
      <c r="V4247" s="78" t="str">
        <f>IF(NOT(ISNUMBER(G4247)), "", VLOOKUP(A4247,'Discount Lookup'!G:H,2,FALSE)*G4247)</f>
        <v/>
      </c>
      <c r="W4247" s="102">
        <f t="shared" si="3179"/>
        <v>0</v>
      </c>
      <c r="X4247" s="102">
        <f t="shared" si="3180"/>
        <v>0</v>
      </c>
      <c r="Y4247" s="120" t="b">
        <f t="shared" si="3181"/>
        <v>0</v>
      </c>
      <c r="Z4247" s="117">
        <f t="shared" si="3182"/>
        <v>0</v>
      </c>
      <c r="AA4247" s="118"/>
      <c r="AB4247" s="118" t="str">
        <f t="shared" si="3183"/>
        <v/>
      </c>
      <c r="AC4247" s="712" t="str">
        <f>IF(AE4247="T2G","no charge",IF(AND(OR(PlanterYesMe="No",PlanterYesMe="N",PlanterYesMe="me"),H4247=""),"",IF(H4247="credit","NO install",IF(AND(K4247="",AE4247="me"),"EACH row",IF(AND(K4247="images",AE4247="me"),"EACH row",IF(D4247="","",IF(H4247="credit","",IF(AE4247="free","re-planting",IF(AE4247="me","   not ELP, by",IF(AND(OR(PlanterYesMe="Yes",PlanterYesMe="Y"),G4247&gt;0),(VLOOKUP(A4247,'Discount Lookup'!J:K,2)*G4247*(1-PlanterDiscount)*(1+PlanterDifficultyPercentage)),IF(AE4247="ELP",(VLOOKUP(A4247,'Discount Lookup'!J:K,2)*G4247*(1-PlanterDiscount)*(1+PlanterDifficultyPercentage)),IF(AE4247="free","re-planting",IF(G4247=0,"",IF(PlanterYesMe="",IF(AE4247="me","   not ELP, by",IF(AE4247="",IF(G4247&gt;0,(VLOOKUP(A4247,'Discount Lookup'!J:K,2)*G4247*(1-PlanterDiscount)*(1+PlanterDifficultyPercentage)),""),"")),"   not ELP, by"))))))))))))))</f>
        <v/>
      </c>
      <c r="AD4247" s="712"/>
      <c r="AE4247" s="513" t="str">
        <f t="shared" si="3184"/>
        <v/>
      </c>
      <c r="AF4247" s="713" t="str">
        <f t="shared" si="3185"/>
        <v/>
      </c>
      <c r="AG4247" s="713"/>
      <c r="AH4247" s="713"/>
      <c r="AI4247" s="112">
        <f>IF(H4247="credit",0,IF(AE4247="free",0,IF(AE4247="me",0,IF(G4247&gt;0,(VLOOKUP(A4247,'Discount Lookup'!J:K,2)*G4247),0))))</f>
        <v>0</v>
      </c>
      <c r="AJ4247" s="107" t="str">
        <f t="shared" ca="1" si="3186"/>
        <v/>
      </c>
      <c r="AK4247" s="714" t="str">
        <f t="shared" si="3187"/>
        <v/>
      </c>
      <c r="AL4247" s="714"/>
      <c r="AM4247" s="114" t="str">
        <f t="shared" si="3188"/>
        <v/>
      </c>
      <c r="AN4247" s="115"/>
      <c r="AO4247" s="116"/>
      <c r="AP4247" s="116"/>
      <c r="AQ4247" s="116"/>
      <c r="AR4247" s="116"/>
      <c r="AS4247" s="116"/>
      <c r="AT4247" s="116"/>
      <c r="AU4247" s="116"/>
      <c r="AV4247" s="78"/>
      <c r="AW4247" s="102"/>
      <c r="AX4247" s="78"/>
      <c r="AY4247" s="78"/>
      <c r="AZ4247" s="78"/>
      <c r="BA4247" s="78"/>
      <c r="BB4247" s="78"/>
      <c r="BC4247" s="78"/>
      <c r="BD4247" s="78"/>
      <c r="BE4247" s="465"/>
      <c r="BF4247" s="165" t="str">
        <f t="shared" si="3189"/>
        <v>https://www.google.com/search?tbm=isch&amp;q=moist%20sites%F0%9F%92%A7BEST%2C%20Peach%20Sorbet%20is%20mid-season%20sweet%2C%20tasty%20berries.%20Self%20pollinating.%20Foliage%20emerges%20Peach%2C%20Pink%2C%20and%20Orange%2C%20then%20Green%20</v>
      </c>
      <c r="BG4247" s="165" t="str">
        <f t="shared" si="3190"/>
        <v>m</v>
      </c>
      <c r="BH4247" s="65"/>
      <c r="BI4247" s="65"/>
      <c r="BJ4247" s="65"/>
      <c r="BK4247" s="65"/>
      <c r="BL4247" s="99"/>
      <c r="BM4247" s="99"/>
      <c r="BN4247" s="99"/>
    </row>
    <row r="4248" spans="1:66" s="51" customFormat="1" ht="18" x14ac:dyDescent="0.25">
      <c r="A4248" s="623" t="s">
        <v>4430</v>
      </c>
      <c r="B4248" s="624"/>
      <c r="C4248" s="709"/>
      <c r="D4248" s="625" t="s">
        <v>5916</v>
      </c>
      <c r="E4248" s="626"/>
      <c r="F4248" s="626"/>
      <c r="G4248" s="626"/>
      <c r="H4248" s="622" t="s">
        <v>1124</v>
      </c>
      <c r="I4248" s="627" t="s">
        <v>349</v>
      </c>
      <c r="J4248" s="628"/>
      <c r="K4248" s="628"/>
      <c r="L4248" s="629"/>
      <c r="M4248" s="700" t="s">
        <v>5241</v>
      </c>
      <c r="N4248" s="693" t="str">
        <f>IF(AND(ISTEXT($A4248), ISERROR($A4248+0)), HYPERLINK($BF4248, "Images"), "")</f>
        <v>Images</v>
      </c>
      <c r="O4248" s="695" t="s">
        <v>5286</v>
      </c>
      <c r="P4248" s="630"/>
      <c r="Q4248" s="631"/>
      <c r="R4248" s="632"/>
      <c r="S4248" s="633" t="s">
        <v>294</v>
      </c>
      <c r="T4248" s="102">
        <f t="shared" si="3178"/>
        <v>0</v>
      </c>
      <c r="U4248" s="78" t="str">
        <f>IF(NOT(ISNUMBER(G4248)), "", VLOOKUP(A4248,'Discount Lookup'!D:E,2,FALSE)*G4248)</f>
        <v/>
      </c>
      <c r="V4248" s="78" t="str">
        <f>IF(NOT(ISNUMBER(G4248)), "", VLOOKUP(A4248,'Discount Lookup'!G:H,2,FALSE)*G4248)</f>
        <v/>
      </c>
      <c r="W4248" s="102">
        <f t="shared" si="3179"/>
        <v>0</v>
      </c>
      <c r="X4248" s="102" t="str">
        <f t="shared" si="3180"/>
        <v>White bloom</v>
      </c>
      <c r="Y4248" s="120" t="b">
        <f t="shared" si="3181"/>
        <v>0</v>
      </c>
      <c r="Z4248" s="117">
        <f t="shared" si="3182"/>
        <v>0</v>
      </c>
      <c r="AA4248" s="118"/>
      <c r="AB4248" s="118" t="str">
        <f t="shared" si="3183"/>
        <v/>
      </c>
      <c r="AC4248" s="712" t="str">
        <f>IF(AE4248="T2G","no charge",IF(AND(OR(PlanterYesMe="No",PlanterYesMe="N",PlanterYesMe="me"),H4248=""),"",IF(H4248="credit","NO install",IF(AND(K4248="",AE4248="me"),"EACH row",IF(AND(K4248="images",AE4248="me"),"EACH row",IF(D4248="","",IF(H4248="credit","",IF(AE4248="free","re-planting",IF(AE4248="me","   not ELP, by",IF(AND(OR(PlanterYesMe="Yes",PlanterYesMe="Y"),G4248&gt;0),(VLOOKUP(A4248,'Discount Lookup'!J:K,2)*G4248*(1-PlanterDiscount)*(1+PlanterDifficultyPercentage)),IF(AE4248="ELP",(VLOOKUP(A4248,'Discount Lookup'!J:K,2)*G4248*(1-PlanterDiscount)*(1+PlanterDifficultyPercentage)),IF(AE4248="free","re-planting",IF(G4248=0,"",IF(PlanterYesMe="",IF(AE4248="me","   not ELP, by",IF(AE4248="",IF(G4248&gt;0,(VLOOKUP(A4248,'Discount Lookup'!J:K,2)*G4248*(1-PlanterDiscount)*(1+PlanterDifficultyPercentage)),""),"")),"   not ELP, by"))))))))))))))</f>
        <v/>
      </c>
      <c r="AD4248" s="712"/>
      <c r="AE4248" s="513" t="str">
        <f t="shared" si="3184"/>
        <v/>
      </c>
      <c r="AF4248" s="713" t="str">
        <f t="shared" si="3185"/>
        <v/>
      </c>
      <c r="AG4248" s="713"/>
      <c r="AH4248" s="713"/>
      <c r="AI4248" s="112">
        <f>IF(H4248="credit",0,IF(AE4248="free",0,IF(AE4248="me",0,IF(G4248&gt;0,(VLOOKUP(A4248,'Discount Lookup'!J:K,2)*G4248),0))))</f>
        <v>0</v>
      </c>
      <c r="AJ4248" s="107" t="str">
        <f t="shared" ca="1" si="3186"/>
        <v/>
      </c>
      <c r="AK4248" s="714" t="str">
        <f t="shared" si="3187"/>
        <v/>
      </c>
      <c r="AL4248" s="714"/>
      <c r="AM4248" s="114" t="str">
        <f t="shared" si="3188"/>
        <v/>
      </c>
      <c r="AN4248" s="115"/>
      <c r="AO4248" s="116"/>
      <c r="AP4248" s="116"/>
      <c r="AQ4248" s="116"/>
      <c r="AR4248" s="116"/>
      <c r="AS4248" s="116"/>
      <c r="AT4248" s="116"/>
      <c r="AU4248" s="116"/>
      <c r="AV4248" s="78"/>
      <c r="AW4248" s="102"/>
      <c r="AX4248" s="78"/>
      <c r="AY4248" s="78"/>
      <c r="AZ4248" s="78"/>
      <c r="BA4248" s="78"/>
      <c r="BB4248" s="78"/>
      <c r="BC4248" s="78"/>
      <c r="BD4248" s="78"/>
      <c r="BE4248" s="465"/>
      <c r="BF4248" s="165" t="str">
        <f t="shared" si="3189"/>
        <v>https://www.google.com/search?tbm=isch&amp;q=Vac.%20corymbosum%20%27ZF06-079%27%20PP%2323336%20Pink%20Icing%C2%AE%20Blueberry%20%28BB%C2%AE%29</v>
      </c>
      <c r="BG4248" s="165" t="str">
        <f t="shared" si="3190"/>
        <v>V</v>
      </c>
      <c r="BH4248" s="65"/>
      <c r="BI4248" s="65"/>
      <c r="BJ4248" s="65"/>
      <c r="BK4248" s="65"/>
      <c r="BL4248" s="99"/>
      <c r="BM4248" s="99"/>
      <c r="BN4248" s="99"/>
    </row>
    <row r="4249" spans="1:66" s="51" customFormat="1" ht="15.75" x14ac:dyDescent="0.25">
      <c r="A4249" s="634">
        <v>2</v>
      </c>
      <c r="B4249" s="635" t="s">
        <v>291</v>
      </c>
      <c r="C4249" s="636"/>
      <c r="D4249" s="637" t="s">
        <v>310</v>
      </c>
      <c r="E4249" s="638">
        <v>34.950000000000003</v>
      </c>
      <c r="F4249" s="639" t="s">
        <v>292</v>
      </c>
      <c r="G4249" s="484">
        <v>0</v>
      </c>
      <c r="H4249" s="691" t="str">
        <f>IF(G4249=0,"",IF(F4249="Buy",IF(G4249=1,"plant","plants"),IF(F4249&gt;0.01,"warranty","Error")))</f>
        <v/>
      </c>
      <c r="I4249" s="640">
        <f>IF(H4249="free",0,IF(H4249="credit",((E4249*(F4249))*G4249*-1),IF(F4249="Buy",(E4249*G4249),((E4249*(1-F4249))*G4249))))</f>
        <v>0</v>
      </c>
      <c r="J4249" s="640">
        <f>IF(H4249="warranty",0,(I4249*(_xlfn.SINGLE(SalesTaxPercentage))))</f>
        <v>0</v>
      </c>
      <c r="K4249" s="716">
        <f t="shared" ref="K4249" si="3192">I4249+J4249</f>
        <v>0</v>
      </c>
      <c r="L4249" s="716"/>
      <c r="M4249" s="689" t="str">
        <f ca="1">IF(AND(G4249&gt;0,E4249=0),"WARNING - no PRICE inserted",IF(H4249="free","FREE ~ no charge this plant",IF(H4249="credit",CONCATENATE("-$",ROUND(K4249*(1-_xlfn.SINGLE(T2GDiscount))*-1,2)," CREDIT after discount"),IF(_xlfn.SINGLE(T2GDiscount)=0,"",IF(G4249=0,"",IF(F4249="Buy",CONCATENATE("$",ROUND(K4249*(1-_xlfn.SINGLE(T2GDiscount)),2)," with ",(_xlfn.SINGLE(T2GDiscount)*100),"% discount"),CONCATENATE("$",ROUND(K4249*(1-_xlfn.SINGLE(T2GDiscount)),2)," with ",((_xlfn.SINGLE(T2GDiscount)*100+F4249*100)-(_xlfn.SINGLE(T2GDiscount)*100*F4249)),IF(F4249&gt;0,"% discounts",IF(_xlfn.SINGLE(NoWarrantyDiscount)&gt;0,"% discounts","% discount")))))))))</f>
        <v/>
      </c>
      <c r="N4249" s="690"/>
      <c r="O4249" s="486"/>
      <c r="P4249" s="486"/>
      <c r="Q4249" s="486"/>
      <c r="R4249" s="486"/>
      <c r="S4249" s="486"/>
      <c r="T4249" s="102">
        <f t="shared" si="3178"/>
        <v>0</v>
      </c>
      <c r="U4249" s="78">
        <f>IF(NOT(ISNUMBER(G4249)), "", VLOOKUP(A4249,'Discount Lookup'!D:E,2,FALSE)*G4249)</f>
        <v>0</v>
      </c>
      <c r="V4249" s="78">
        <f>IF(NOT(ISNUMBER(G4249)), "", VLOOKUP(A4249,'Discount Lookup'!G:H,2,FALSE)*G4249)</f>
        <v>0</v>
      </c>
      <c r="W4249" s="102">
        <f t="shared" si="3179"/>
        <v>0</v>
      </c>
      <c r="X4249" s="102">
        <f t="shared" si="3180"/>
        <v>0</v>
      </c>
      <c r="Y4249" s="120" t="b">
        <f t="shared" si="3181"/>
        <v>0</v>
      </c>
      <c r="Z4249" s="117">
        <f t="shared" si="3182"/>
        <v>0</v>
      </c>
      <c r="AA4249" s="118"/>
      <c r="AB4249" s="118" t="str">
        <f t="shared" si="3183"/>
        <v/>
      </c>
      <c r="AC4249" s="712" t="str">
        <f>IF(AE4249="T2G","no charge",IF(AND(OR(PlanterYesMe="No",PlanterYesMe="N",PlanterYesMe="me"),H4249=""),"",IF(H4249="credit","NO install",IF(AND(K4249="",AE4249="me"),"EACH row",IF(AND(K4249="images",AE4249="me"),"EACH row",IF(D4249="","",IF(H4249="credit","",IF(AE4249="free","re-planting",IF(AE4249="me","   not ELP, by",IF(AND(OR(PlanterYesMe="Yes",PlanterYesMe="Y"),G4249&gt;0),(VLOOKUP(A4249,'Discount Lookup'!J:K,2)*G4249*(1-PlanterDiscount)*(1+PlanterDifficultyPercentage)),IF(AE4249="ELP",(VLOOKUP(A4249,'Discount Lookup'!J:K,2)*G4249*(1-PlanterDiscount)*(1+PlanterDifficultyPercentage)),IF(AE4249="free","re-planting",IF(G4249=0,"",IF(PlanterYesMe="",IF(AE4249="me","   not ELP, by",IF(AE4249="",IF(G4249&gt;0,(VLOOKUP(A4249,'Discount Lookup'!J:K,2)*G4249*(1-PlanterDiscount)*(1+PlanterDifficultyPercentage)),""),"")),"   not ELP, by"))))))))))))))</f>
        <v/>
      </c>
      <c r="AD4249" s="712"/>
      <c r="AE4249" s="513" t="str">
        <f t="shared" si="3184"/>
        <v/>
      </c>
      <c r="AF4249" s="713" t="str">
        <f t="shared" si="3185"/>
        <v/>
      </c>
      <c r="AG4249" s="713"/>
      <c r="AH4249" s="713"/>
      <c r="AI4249" s="112">
        <f>IF(H4249="credit",0,IF(AE4249="free",0,IF(AE4249="me",0,IF(G4249&gt;0,(VLOOKUP(A4249,'Discount Lookup'!J:K,2)*G4249),0))))</f>
        <v>0</v>
      </c>
      <c r="AJ4249" s="107" t="str">
        <f t="shared" ca="1" si="3186"/>
        <v/>
      </c>
      <c r="AK4249" s="714" t="str">
        <f t="shared" si="3187"/>
        <v/>
      </c>
      <c r="AL4249" s="714"/>
      <c r="AM4249" s="114" t="str">
        <f t="shared" si="3188"/>
        <v/>
      </c>
      <c r="AN4249" s="115"/>
      <c r="AO4249" s="116"/>
      <c r="AP4249" s="116"/>
      <c r="AQ4249" s="116"/>
      <c r="AR4249" s="116"/>
      <c r="AS4249" s="116"/>
      <c r="AT4249" s="116"/>
      <c r="AU4249" s="116"/>
      <c r="AV4249" s="78"/>
      <c r="AW4249" s="102"/>
      <c r="AX4249" s="78"/>
      <c r="AY4249" s="78"/>
      <c r="AZ4249" s="78"/>
      <c r="BA4249" s="78"/>
      <c r="BB4249" s="78"/>
      <c r="BC4249" s="78"/>
      <c r="BD4249" s="78"/>
      <c r="BE4249" s="465"/>
      <c r="BF4249" s="165" t="str">
        <f t="shared" si="3189"/>
        <v>https://www.google.com/search?tbm=isch&amp;q=2%20G1</v>
      </c>
      <c r="BG4249" s="165" t="str">
        <f t="shared" si="3190"/>
        <v>V</v>
      </c>
      <c r="BH4249" s="65"/>
      <c r="BI4249" s="65"/>
      <c r="BJ4249" s="65"/>
      <c r="BK4249" s="65"/>
      <c r="BL4249" s="99"/>
      <c r="BM4249" s="99"/>
      <c r="BN4249" s="99"/>
    </row>
    <row r="4250" spans="1:66" s="51" customFormat="1" ht="17.25" thickBot="1" x14ac:dyDescent="0.3">
      <c r="A4250" s="704" t="s">
        <v>5564</v>
      </c>
      <c r="B4250" s="642"/>
      <c r="C4250" s="710"/>
      <c r="D4250" s="643"/>
      <c r="E4250" s="643"/>
      <c r="F4250" s="644"/>
      <c r="G4250" s="645"/>
      <c r="H4250" s="646"/>
      <c r="I4250" s="647"/>
      <c r="J4250" s="648"/>
      <c r="K4250" s="649"/>
      <c r="L4250" s="650"/>
      <c r="M4250" s="650"/>
      <c r="N4250" s="644"/>
      <c r="O4250" s="644"/>
      <c r="P4250" s="644"/>
      <c r="Q4250" s="644"/>
      <c r="R4250" s="644"/>
      <c r="S4250" s="701" t="s">
        <v>5310</v>
      </c>
      <c r="T4250" s="102">
        <f t="shared" si="3178"/>
        <v>0</v>
      </c>
      <c r="U4250" s="78" t="str">
        <f>IF(NOT(ISNUMBER(G4250)), "", VLOOKUP(A4250,'Discount Lookup'!D:E,2,FALSE)*G4250)</f>
        <v/>
      </c>
      <c r="V4250" s="78" t="str">
        <f>IF(NOT(ISNUMBER(G4250)), "", VLOOKUP(A4250,'Discount Lookup'!G:H,2,FALSE)*G4250)</f>
        <v/>
      </c>
      <c r="W4250" s="102">
        <f t="shared" si="3179"/>
        <v>0</v>
      </c>
      <c r="X4250" s="102">
        <f t="shared" si="3180"/>
        <v>0</v>
      </c>
      <c r="Y4250" s="120" t="b">
        <f t="shared" si="3181"/>
        <v>0</v>
      </c>
      <c r="Z4250" s="117">
        <f t="shared" si="3182"/>
        <v>0</v>
      </c>
      <c r="AA4250" s="118"/>
      <c r="AB4250" s="118" t="str">
        <f t="shared" si="3183"/>
        <v/>
      </c>
      <c r="AC4250" s="712" t="str">
        <f>IF(AE4250="T2G","no charge",IF(AND(OR(PlanterYesMe="No",PlanterYesMe="N",PlanterYesMe="me"),H4250=""),"",IF(H4250="credit","NO install",IF(AND(K4250="",AE4250="me"),"EACH row",IF(AND(K4250="images",AE4250="me"),"EACH row",IF(D4250="","",IF(H4250="credit","",IF(AE4250="free","re-planting",IF(AE4250="me","   not ELP, by",IF(AND(OR(PlanterYesMe="Yes",PlanterYesMe="Y"),G4250&gt;0),(VLOOKUP(A4250,'Discount Lookup'!J:K,2)*G4250*(1-PlanterDiscount)*(1+PlanterDifficultyPercentage)),IF(AE4250="ELP",(VLOOKUP(A4250,'Discount Lookup'!J:K,2)*G4250*(1-PlanterDiscount)*(1+PlanterDifficultyPercentage)),IF(AE4250="free","re-planting",IF(G4250=0,"",IF(PlanterYesMe="",IF(AE4250="me","   not ELP, by",IF(AE4250="",IF(G4250&gt;0,(VLOOKUP(A4250,'Discount Lookup'!J:K,2)*G4250*(1-PlanterDiscount)*(1+PlanterDifficultyPercentage)),""),"")),"   not ELP, by"))))))))))))))</f>
        <v/>
      </c>
      <c r="AD4250" s="712"/>
      <c r="AE4250" s="513" t="str">
        <f t="shared" si="3184"/>
        <v/>
      </c>
      <c r="AF4250" s="713" t="str">
        <f t="shared" si="3185"/>
        <v/>
      </c>
      <c r="AG4250" s="713"/>
      <c r="AH4250" s="713"/>
      <c r="AI4250" s="112">
        <f>IF(H4250="credit",0,IF(AE4250="free",0,IF(AE4250="me",0,IF(G4250&gt;0,(VLOOKUP(A4250,'Discount Lookup'!J:K,2)*G4250),0))))</f>
        <v>0</v>
      </c>
      <c r="AJ4250" s="107" t="str">
        <f t="shared" ca="1" si="3186"/>
        <v/>
      </c>
      <c r="AK4250" s="714" t="str">
        <f t="shared" si="3187"/>
        <v/>
      </c>
      <c r="AL4250" s="714"/>
      <c r="AM4250" s="114" t="str">
        <f t="shared" si="3188"/>
        <v/>
      </c>
      <c r="AN4250" s="115"/>
      <c r="AO4250" s="116"/>
      <c r="AP4250" s="116"/>
      <c r="AQ4250" s="116"/>
      <c r="AR4250" s="116"/>
      <c r="AS4250" s="116"/>
      <c r="AT4250" s="116"/>
      <c r="AU4250" s="116"/>
      <c r="AV4250" s="78"/>
      <c r="AW4250" s="102"/>
      <c r="AX4250" s="78"/>
      <c r="AY4250" s="78"/>
      <c r="AZ4250" s="78"/>
      <c r="BA4250" s="78"/>
      <c r="BB4250" s="78"/>
      <c r="BC4250" s="78"/>
      <c r="BD4250" s="78"/>
      <c r="BE4250" s="465"/>
      <c r="BF4250" s="165" t="str">
        <f t="shared" si="3189"/>
        <v>https://www.google.com/search?tbm=isch&amp;q=moist%20sites%F0%9F%92%A7BEST%2C%20Pink%20Icing%20is%20mid-season%20large%2C%20sweet%20berries.%20Self-pollinating.%20Mild%20fragrance.%20Foliage%20emerges%20Pink-Blue-Deep%20Green.%20Turquoise%20fall%20</v>
      </c>
      <c r="BG4250" s="165" t="str">
        <f t="shared" si="3190"/>
        <v>m</v>
      </c>
      <c r="BH4250" s="65"/>
      <c r="BI4250" s="65"/>
      <c r="BJ4250" s="65"/>
      <c r="BK4250" s="65"/>
      <c r="BL4250" s="99"/>
      <c r="BM4250" s="99"/>
      <c r="BN4250" s="99"/>
    </row>
    <row r="4251" spans="1:66" s="51" customFormat="1" ht="18" x14ac:dyDescent="0.25">
      <c r="A4251" s="507" t="s">
        <v>4431</v>
      </c>
      <c r="B4251" s="470"/>
      <c r="C4251" s="706"/>
      <c r="D4251" s="471" t="s">
        <v>5849</v>
      </c>
      <c r="E4251" s="472"/>
      <c r="F4251" s="472"/>
      <c r="G4251" s="472"/>
      <c r="H4251" s="622" t="s">
        <v>2462</v>
      </c>
      <c r="I4251" s="473" t="s">
        <v>349</v>
      </c>
      <c r="J4251" s="472"/>
      <c r="K4251" s="472"/>
      <c r="L4251" s="561"/>
      <c r="M4251" s="698" t="s">
        <v>5240</v>
      </c>
      <c r="N4251" s="692" t="str">
        <f>IF(AND(ISTEXT($A4251), ISERROR($A4251+0)), HYPERLINK($BF4251, "Images"), "")</f>
        <v>Images</v>
      </c>
      <c r="O4251" s="694" t="s">
        <v>5286</v>
      </c>
      <c r="P4251" s="475"/>
      <c r="Q4251" s="476"/>
      <c r="R4251" s="476"/>
      <c r="S4251" s="477" t="s">
        <v>294</v>
      </c>
      <c r="T4251" s="102">
        <f t="shared" si="3178"/>
        <v>0</v>
      </c>
      <c r="U4251" s="78" t="str">
        <f>IF(NOT(ISNUMBER(G4251)), "", VLOOKUP(A4251,'Discount Lookup'!D:E,2,FALSE)*G4251)</f>
        <v/>
      </c>
      <c r="V4251" s="78" t="str">
        <f>IF(NOT(ISNUMBER(G4251)), "", VLOOKUP(A4251,'Discount Lookup'!G:H,2,FALSE)*G4251)</f>
        <v/>
      </c>
      <c r="W4251" s="102">
        <f t="shared" si="3179"/>
        <v>0</v>
      </c>
      <c r="X4251" s="102" t="str">
        <f t="shared" si="3180"/>
        <v>White bloom</v>
      </c>
      <c r="Y4251" s="120" t="b">
        <f t="shared" si="3181"/>
        <v>0</v>
      </c>
      <c r="Z4251" s="117">
        <f t="shared" si="3182"/>
        <v>0</v>
      </c>
      <c r="AA4251" s="118"/>
      <c r="AB4251" s="118" t="str">
        <f t="shared" si="3183"/>
        <v/>
      </c>
      <c r="AC4251" s="712" t="str">
        <f>IF(AE4251="T2G","no charge",IF(AND(OR(PlanterYesMe="No",PlanterYesMe="N",PlanterYesMe="me"),H4251=""),"",IF(H4251="credit","NO install",IF(AND(K4251="",AE4251="me"),"EACH row",IF(AND(K4251="images",AE4251="me"),"EACH row",IF(D4251="","",IF(H4251="credit","",IF(AE4251="free","re-planting",IF(AE4251="me","   not ELP, by",IF(AND(OR(PlanterYesMe="Yes",PlanterYesMe="Y"),G4251&gt;0),(VLOOKUP(A4251,'Discount Lookup'!J:K,2)*G4251*(1-PlanterDiscount)*(1+PlanterDifficultyPercentage)),IF(AE4251="ELP",(VLOOKUP(A4251,'Discount Lookup'!J:K,2)*G4251*(1-PlanterDiscount)*(1+PlanterDifficultyPercentage)),IF(AE4251="free","re-planting",IF(G4251=0,"",IF(PlanterYesMe="",IF(AE4251="me","   not ELP, by",IF(AE4251="",IF(G4251&gt;0,(VLOOKUP(A4251,'Discount Lookup'!J:K,2)*G4251*(1-PlanterDiscount)*(1+PlanterDifficultyPercentage)),""),"")),"   not ELP, by"))))))))))))))</f>
        <v/>
      </c>
      <c r="AD4251" s="712"/>
      <c r="AE4251" s="513" t="str">
        <f t="shared" si="3184"/>
        <v/>
      </c>
      <c r="AF4251" s="713" t="str">
        <f t="shared" si="3185"/>
        <v/>
      </c>
      <c r="AG4251" s="713"/>
      <c r="AH4251" s="713"/>
      <c r="AI4251" s="112">
        <f>IF(H4251="credit",0,IF(AE4251="free",0,IF(AE4251="me",0,IF(G4251&gt;0,(VLOOKUP(A4251,'Discount Lookup'!J:K,2)*G4251),0))))</f>
        <v>0</v>
      </c>
      <c r="AJ4251" s="107" t="str">
        <f t="shared" ca="1" si="3186"/>
        <v/>
      </c>
      <c r="AK4251" s="714" t="str">
        <f t="shared" si="3187"/>
        <v/>
      </c>
      <c r="AL4251" s="714"/>
      <c r="AM4251" s="114" t="str">
        <f t="shared" si="3188"/>
        <v/>
      </c>
      <c r="AN4251" s="115"/>
      <c r="AO4251" s="116"/>
      <c r="AP4251" s="116"/>
      <c r="AQ4251" s="116"/>
      <c r="AR4251" s="116"/>
      <c r="AS4251" s="116"/>
      <c r="AT4251" s="116"/>
      <c r="AU4251" s="116"/>
      <c r="AV4251" s="78"/>
      <c r="AW4251" s="102"/>
      <c r="AX4251" s="78"/>
      <c r="AY4251" s="78"/>
      <c r="AZ4251" s="78"/>
      <c r="BA4251" s="78"/>
      <c r="BB4251" s="78"/>
      <c r="BC4251" s="78"/>
      <c r="BD4251" s="78"/>
      <c r="BE4251" s="465"/>
      <c r="BF4251" s="165" t="str">
        <f t="shared" si="3189"/>
        <v>https://www.google.com/search?tbm=isch&amp;q=Vac.%20corymbosum%20%27ZF08-095%27%20PP%2325467%20BerryBux%C2%AE%20Blueberry</v>
      </c>
      <c r="BG4251" s="165" t="str">
        <f t="shared" si="3190"/>
        <v>V</v>
      </c>
      <c r="BH4251" s="65"/>
      <c r="BI4251" s="65"/>
      <c r="BJ4251" s="65"/>
      <c r="BK4251" s="65"/>
      <c r="BL4251" s="99"/>
      <c r="BM4251" s="99"/>
      <c r="BN4251" s="99"/>
    </row>
    <row r="4252" spans="1:66" s="51" customFormat="1" ht="15.75" x14ac:dyDescent="0.25">
      <c r="A4252" s="478">
        <v>1</v>
      </c>
      <c r="B4252" s="479" t="s">
        <v>291</v>
      </c>
      <c r="C4252" s="480"/>
      <c r="D4252" s="481" t="s">
        <v>329</v>
      </c>
      <c r="E4252" s="482">
        <v>30.95</v>
      </c>
      <c r="F4252" s="483" t="s">
        <v>292</v>
      </c>
      <c r="G4252" s="484">
        <v>0</v>
      </c>
      <c r="H4252" s="688" t="str">
        <f>IF(G4252=0,"",IF(F4252="Buy",IF(G4252=1,"plant","plants"),IF(F4252&gt;0.01,"warranty","Error")))</f>
        <v/>
      </c>
      <c r="I4252" s="485">
        <f>IF(H4252="free",0,IF(H4252="credit",((E4252*(F4252))*G4252*-1),IF(F4252="Buy",(E4252*G4252),((E4252*(1-F4252))*G4252))))</f>
        <v>0</v>
      </c>
      <c r="J4252" s="485">
        <f>IF(H4252="warranty",0,(I4252*(_xlfn.SINGLE(SalesTaxPercentage))))</f>
        <v>0</v>
      </c>
      <c r="K4252" s="715">
        <f t="shared" ref="K4252" si="3193">I4252+J4252</f>
        <v>0</v>
      </c>
      <c r="L4252" s="715"/>
      <c r="M4252" s="689" t="str">
        <f ca="1">IF(AND(G4252&gt;0,E4252=0),"WARNING - no PRICE inserted",IF(H4252="free","FREE ~ no charge this plant",IF(H4252="credit",CONCATENATE("-$",ROUND(K4252*(1-_xlfn.SINGLE(T2GDiscount))*-1,2)," CREDIT after discount"),IF(_xlfn.SINGLE(T2GDiscount)=0,"",IF(G4252=0,"",IF(F4252="Buy",CONCATENATE("$",ROUND(K4252*(1-_xlfn.SINGLE(T2GDiscount)),2)," with ",(_xlfn.SINGLE(T2GDiscount)*100),"% discount"),CONCATENATE("$",ROUND(K4252*(1-_xlfn.SINGLE(T2GDiscount)),2)," with ",((_xlfn.SINGLE(T2GDiscount)*100+F4252*100)-(_xlfn.SINGLE(T2GDiscount)*100*F4252)),IF(F4252&gt;0,"% discounts",IF(_xlfn.SINGLE(NoWarrantyDiscount)&gt;0,"% discounts","% discount")))))))))</f>
        <v/>
      </c>
      <c r="N4252" s="690"/>
      <c r="O4252" s="486"/>
      <c r="P4252" s="486"/>
      <c r="Q4252" s="486"/>
      <c r="R4252" s="486"/>
      <c r="S4252" s="486"/>
      <c r="T4252" s="102">
        <f t="shared" si="3178"/>
        <v>0</v>
      </c>
      <c r="U4252" s="78">
        <f>IF(NOT(ISNUMBER(G4252)), "", VLOOKUP(A4252,'Discount Lookup'!D:E,2,FALSE)*G4252)</f>
        <v>0</v>
      </c>
      <c r="V4252" s="78">
        <f>IF(NOT(ISNUMBER(G4252)), "", VLOOKUP(A4252,'Discount Lookup'!G:H,2,FALSE)*G4252)</f>
        <v>0</v>
      </c>
      <c r="W4252" s="102">
        <f t="shared" si="3179"/>
        <v>0</v>
      </c>
      <c r="X4252" s="102">
        <f t="shared" si="3180"/>
        <v>0</v>
      </c>
      <c r="Y4252" s="120" t="b">
        <f t="shared" si="3181"/>
        <v>0</v>
      </c>
      <c r="Z4252" s="117">
        <f t="shared" si="3182"/>
        <v>0</v>
      </c>
      <c r="AA4252" s="118"/>
      <c r="AB4252" s="118" t="str">
        <f t="shared" si="3183"/>
        <v/>
      </c>
      <c r="AC4252" s="712" t="str">
        <f>IF(AE4252="T2G","no charge",IF(AND(OR(PlanterYesMe="No",PlanterYesMe="N",PlanterYesMe="me"),H4252=""),"",IF(H4252="credit","NO install",IF(AND(K4252="",AE4252="me"),"EACH row",IF(AND(K4252="images",AE4252="me"),"EACH row",IF(D4252="","",IF(H4252="credit","",IF(AE4252="free","re-planting",IF(AE4252="me","   not ELP, by",IF(AND(OR(PlanterYesMe="Yes",PlanterYesMe="Y"),G4252&gt;0),(VLOOKUP(A4252,'Discount Lookup'!J:K,2)*G4252*(1-PlanterDiscount)*(1+PlanterDifficultyPercentage)),IF(AE4252="ELP",(VLOOKUP(A4252,'Discount Lookup'!J:K,2)*G4252*(1-PlanterDiscount)*(1+PlanterDifficultyPercentage)),IF(AE4252="free","re-planting",IF(G4252=0,"",IF(PlanterYesMe="",IF(AE4252="me","   not ELP, by",IF(AE4252="",IF(G4252&gt;0,(VLOOKUP(A4252,'Discount Lookup'!J:K,2)*G4252*(1-PlanterDiscount)*(1+PlanterDifficultyPercentage)),""),"")),"   not ELP, by"))))))))))))))</f>
        <v/>
      </c>
      <c r="AD4252" s="712"/>
      <c r="AE4252" s="513" t="str">
        <f t="shared" si="3184"/>
        <v/>
      </c>
      <c r="AF4252" s="713" t="str">
        <f t="shared" si="3185"/>
        <v/>
      </c>
      <c r="AG4252" s="713"/>
      <c r="AH4252" s="713"/>
      <c r="AI4252" s="112">
        <f>IF(H4252="credit",0,IF(AE4252="free",0,IF(AE4252="me",0,IF(G4252&gt;0,(VLOOKUP(A4252,'Discount Lookup'!J:K,2)*G4252),0))))</f>
        <v>0</v>
      </c>
      <c r="AJ4252" s="107" t="str">
        <f t="shared" ca="1" si="3186"/>
        <v/>
      </c>
      <c r="AK4252" s="714" t="str">
        <f t="shared" si="3187"/>
        <v/>
      </c>
      <c r="AL4252" s="714"/>
      <c r="AM4252" s="114" t="str">
        <f t="shared" si="3188"/>
        <v/>
      </c>
      <c r="AN4252" s="115"/>
      <c r="AO4252" s="116"/>
      <c r="AP4252" s="116"/>
      <c r="AQ4252" s="116"/>
      <c r="AR4252" s="116"/>
      <c r="AS4252" s="116"/>
      <c r="AT4252" s="116"/>
      <c r="AU4252" s="116"/>
      <c r="AV4252" s="78"/>
      <c r="AW4252" s="102"/>
      <c r="AX4252" s="78"/>
      <c r="AY4252" s="78"/>
      <c r="AZ4252" s="78"/>
      <c r="BA4252" s="78"/>
      <c r="BB4252" s="78"/>
      <c r="BC4252" s="78"/>
      <c r="BD4252" s="78"/>
      <c r="BE4252" s="465"/>
      <c r="BF4252" s="165" t="str">
        <f t="shared" si="3189"/>
        <v>https://www.google.com/search?tbm=isch&amp;q=1%20G2</v>
      </c>
      <c r="BG4252" s="165" t="str">
        <f t="shared" si="3190"/>
        <v>V</v>
      </c>
      <c r="BH4252" s="65"/>
      <c r="BI4252" s="65"/>
      <c r="BJ4252" s="65"/>
      <c r="BK4252" s="65"/>
      <c r="BL4252" s="99"/>
      <c r="BM4252" s="99"/>
      <c r="BN4252" s="99"/>
    </row>
    <row r="4253" spans="1:66" s="51" customFormat="1" ht="17.25" thickBot="1" x14ac:dyDescent="0.3">
      <c r="A4253" s="705" t="s">
        <v>5565</v>
      </c>
      <c r="B4253" s="487"/>
      <c r="C4253" s="707"/>
      <c r="D4253" s="487"/>
      <c r="E4253" s="487"/>
      <c r="F4253" s="488"/>
      <c r="G4253" s="489"/>
      <c r="H4253" s="487"/>
      <c r="I4253" s="490"/>
      <c r="J4253" s="490"/>
      <c r="K4253" s="491"/>
      <c r="L4253" s="547"/>
      <c r="M4253" s="528"/>
      <c r="N4253" s="492"/>
      <c r="O4253" s="493"/>
      <c r="P4253" s="494"/>
      <c r="Q4253" s="492"/>
      <c r="R4253" s="492"/>
      <c r="S4253" s="699" t="s">
        <v>5311</v>
      </c>
      <c r="T4253" s="102">
        <f t="shared" si="3178"/>
        <v>0</v>
      </c>
      <c r="U4253" s="78" t="str">
        <f>IF(NOT(ISNUMBER(G4253)), "", VLOOKUP(A4253,'Discount Lookup'!D:E,2,FALSE)*G4253)</f>
        <v/>
      </c>
      <c r="V4253" s="78" t="str">
        <f>IF(NOT(ISNUMBER(G4253)), "", VLOOKUP(A4253,'Discount Lookup'!G:H,2,FALSE)*G4253)</f>
        <v/>
      </c>
      <c r="W4253" s="102">
        <f t="shared" si="3179"/>
        <v>0</v>
      </c>
      <c r="X4253" s="102">
        <f t="shared" si="3180"/>
        <v>0</v>
      </c>
      <c r="Y4253" s="120" t="b">
        <f t="shared" si="3181"/>
        <v>0</v>
      </c>
      <c r="Z4253" s="117">
        <f t="shared" si="3182"/>
        <v>0</v>
      </c>
      <c r="AA4253" s="118"/>
      <c r="AB4253" s="118" t="str">
        <f t="shared" si="3183"/>
        <v/>
      </c>
      <c r="AC4253" s="712" t="str">
        <f>IF(AE4253="T2G","no charge",IF(AND(OR(PlanterYesMe="No",PlanterYesMe="N",PlanterYesMe="me"),H4253=""),"",IF(H4253="credit","NO install",IF(AND(K4253="",AE4253="me"),"EACH row",IF(AND(K4253="images",AE4253="me"),"EACH row",IF(D4253="","",IF(H4253="credit","",IF(AE4253="free","re-planting",IF(AE4253="me","   not ELP, by",IF(AND(OR(PlanterYesMe="Yes",PlanterYesMe="Y"),G4253&gt;0),(VLOOKUP(A4253,'Discount Lookup'!J:K,2)*G4253*(1-PlanterDiscount)*(1+PlanterDifficultyPercentage)),IF(AE4253="ELP",(VLOOKUP(A4253,'Discount Lookup'!J:K,2)*G4253*(1-PlanterDiscount)*(1+PlanterDifficultyPercentage)),IF(AE4253="free","re-planting",IF(G4253=0,"",IF(PlanterYesMe="",IF(AE4253="me","   not ELP, by",IF(AE4253="",IF(G4253&gt;0,(VLOOKUP(A4253,'Discount Lookup'!J:K,2)*G4253*(1-PlanterDiscount)*(1+PlanterDifficultyPercentage)),""),"")),"   not ELP, by"))))))))))))))</f>
        <v/>
      </c>
      <c r="AD4253" s="712"/>
      <c r="AE4253" s="513" t="str">
        <f t="shared" si="3184"/>
        <v/>
      </c>
      <c r="AF4253" s="713" t="str">
        <f t="shared" si="3185"/>
        <v/>
      </c>
      <c r="AG4253" s="713"/>
      <c r="AH4253" s="713"/>
      <c r="AI4253" s="112">
        <f>IF(H4253="credit",0,IF(AE4253="free",0,IF(AE4253="me",0,IF(G4253&gt;0,(VLOOKUP(A4253,'Discount Lookup'!J:K,2)*G4253),0))))</f>
        <v>0</v>
      </c>
      <c r="AJ4253" s="107" t="str">
        <f t="shared" ca="1" si="3186"/>
        <v/>
      </c>
      <c r="AK4253" s="714" t="str">
        <f t="shared" si="3187"/>
        <v/>
      </c>
      <c r="AL4253" s="714"/>
      <c r="AM4253" s="114" t="str">
        <f t="shared" si="3188"/>
        <v/>
      </c>
      <c r="AN4253" s="115"/>
      <c r="AO4253" s="116"/>
      <c r="AP4253" s="116"/>
      <c r="AQ4253" s="116"/>
      <c r="AR4253" s="116"/>
      <c r="AS4253" s="116"/>
      <c r="AT4253" s="116"/>
      <c r="AU4253" s="116"/>
      <c r="AV4253" s="78"/>
      <c r="AW4253" s="102"/>
      <c r="AX4253" s="78"/>
      <c r="AY4253" s="78"/>
      <c r="AZ4253" s="78"/>
      <c r="BA4253" s="78"/>
      <c r="BB4253" s="78"/>
      <c r="BC4253" s="78"/>
      <c r="BD4253" s="78"/>
      <c r="BE4253" s="465"/>
      <c r="BF4253" s="165" t="str">
        <f t="shared" si="3189"/>
        <v>https://www.google.com/search?tbm=isch&amp;q=moist%20sites%F0%9F%92%A7BEST%2C%20BerryBux%20is%20mid-season%20small%2C%20sweet%20berries.%20Pollinate%20with%20Peach%20Sorbet%2C%20Pink%20Icing.%20May%20retain%20Red%20fall%20foliage%20in%20mild%20winters%20</v>
      </c>
      <c r="BG4253" s="165" t="str">
        <f t="shared" si="3190"/>
        <v>m</v>
      </c>
      <c r="BH4253" s="65"/>
      <c r="BI4253" s="65"/>
      <c r="BJ4253" s="65"/>
      <c r="BK4253" s="65"/>
      <c r="BL4253" s="99"/>
      <c r="BM4253" s="99"/>
      <c r="BN4253" s="99"/>
    </row>
    <row r="4254" spans="1:66" s="51" customFormat="1" ht="18" x14ac:dyDescent="0.25">
      <c r="A4254" s="507" t="s">
        <v>4432</v>
      </c>
      <c r="B4254" s="470"/>
      <c r="C4254" s="706"/>
      <c r="D4254" s="471" t="s">
        <v>4433</v>
      </c>
      <c r="E4254" s="472"/>
      <c r="F4254" s="472"/>
      <c r="G4254" s="472"/>
      <c r="H4254" s="622" t="s">
        <v>1439</v>
      </c>
      <c r="I4254" s="473" t="s">
        <v>4434</v>
      </c>
      <c r="J4254" s="472"/>
      <c r="K4254" s="472"/>
      <c r="L4254" s="561"/>
      <c r="M4254" s="698" t="s">
        <v>5240</v>
      </c>
      <c r="N4254" s="692" t="str">
        <f>IF(AND(ISTEXT($A4254), ISERROR($A4254+0)), HYPERLINK($BF4254, "Images"), "")</f>
        <v>Images</v>
      </c>
      <c r="O4254" s="694" t="s">
        <v>5286</v>
      </c>
      <c r="P4254" s="475"/>
      <c r="Q4254" s="476"/>
      <c r="R4254" s="476"/>
      <c r="S4254" s="477" t="s">
        <v>294</v>
      </c>
      <c r="T4254" s="102">
        <f t="shared" si="3178"/>
        <v>0</v>
      </c>
      <c r="U4254" s="78" t="str">
        <f>IF(NOT(ISNUMBER(G4254)), "", VLOOKUP(A4254,'Discount Lookup'!D:E,2,FALSE)*G4254)</f>
        <v/>
      </c>
      <c r="V4254" s="78" t="str">
        <f>IF(NOT(ISNUMBER(G4254)), "", VLOOKUP(A4254,'Discount Lookup'!G:H,2,FALSE)*G4254)</f>
        <v/>
      </c>
      <c r="W4254" s="102">
        <f t="shared" si="3179"/>
        <v>0</v>
      </c>
      <c r="X4254" s="102" t="str">
        <f t="shared" si="3180"/>
        <v>Pale Pink to White bloom</v>
      </c>
      <c r="Y4254" s="120" t="b">
        <f t="shared" si="3181"/>
        <v>0</v>
      </c>
      <c r="Z4254" s="117">
        <f t="shared" si="3182"/>
        <v>0</v>
      </c>
      <c r="AA4254" s="118"/>
      <c r="AB4254" s="118" t="str">
        <f t="shared" si="3183"/>
        <v/>
      </c>
      <c r="AC4254" s="712" t="str">
        <f>IF(AE4254="T2G","no charge",IF(AND(OR(PlanterYesMe="No",PlanterYesMe="N",PlanterYesMe="me"),H4254=""),"",IF(H4254="credit","NO install",IF(AND(K4254="",AE4254="me"),"EACH row",IF(AND(K4254="images",AE4254="me"),"EACH row",IF(D4254="","",IF(H4254="credit","",IF(AE4254="free","re-planting",IF(AE4254="me","   not ELP, by",IF(AND(OR(PlanterYesMe="Yes",PlanterYesMe="Y"),G4254&gt;0),(VLOOKUP(A4254,'Discount Lookup'!J:K,2)*G4254*(1-PlanterDiscount)*(1+PlanterDifficultyPercentage)),IF(AE4254="ELP",(VLOOKUP(A4254,'Discount Lookup'!J:K,2)*G4254*(1-PlanterDiscount)*(1+PlanterDifficultyPercentage)),IF(AE4254="free","re-planting",IF(G4254=0,"",IF(PlanterYesMe="",IF(AE4254="me","   not ELP, by",IF(AE4254="",IF(G4254&gt;0,(VLOOKUP(A4254,'Discount Lookup'!J:K,2)*G4254*(1-PlanterDiscount)*(1+PlanterDifficultyPercentage)),""),"")),"   not ELP, by"))))))))))))))</f>
        <v/>
      </c>
      <c r="AD4254" s="712"/>
      <c r="AE4254" s="513" t="str">
        <f t="shared" si="3184"/>
        <v/>
      </c>
      <c r="AF4254" s="713" t="str">
        <f t="shared" si="3185"/>
        <v/>
      </c>
      <c r="AG4254" s="713"/>
      <c r="AH4254" s="713"/>
      <c r="AI4254" s="112">
        <f>IF(H4254="credit",0,IF(AE4254="free",0,IF(AE4254="me",0,IF(G4254&gt;0,(VLOOKUP(A4254,'Discount Lookup'!J:K,2)*G4254),0))))</f>
        <v>0</v>
      </c>
      <c r="AJ4254" s="107" t="str">
        <f t="shared" ca="1" si="3186"/>
        <v/>
      </c>
      <c r="AK4254" s="714" t="str">
        <f t="shared" si="3187"/>
        <v/>
      </c>
      <c r="AL4254" s="714"/>
      <c r="AM4254" s="114" t="str">
        <f t="shared" si="3188"/>
        <v/>
      </c>
      <c r="AN4254" s="115"/>
      <c r="AO4254" s="116"/>
      <c r="AP4254" s="116"/>
      <c r="AQ4254" s="116"/>
      <c r="AR4254" s="116"/>
      <c r="AS4254" s="116"/>
      <c r="AT4254" s="116"/>
      <c r="AU4254" s="116"/>
      <c r="AV4254" s="78"/>
      <c r="AW4254" s="102"/>
      <c r="AX4254" s="78"/>
      <c r="AY4254" s="78"/>
      <c r="AZ4254" s="78"/>
      <c r="BA4254" s="78"/>
      <c r="BB4254" s="78"/>
      <c r="BC4254" s="78"/>
      <c r="BD4254" s="78"/>
      <c r="BE4254" s="465"/>
      <c r="BF4254" s="165" t="str">
        <f t="shared" si="3189"/>
        <v>https://www.google.com/search?tbm=isch&amp;q=Vac.%20darrowii%20%27Rosa%27s%20Blush%27%20Rosa%27s%20Blush%20Dwarf%20Blueberry</v>
      </c>
      <c r="BG4254" s="165" t="str">
        <f t="shared" si="3190"/>
        <v>V</v>
      </c>
      <c r="BH4254" s="65"/>
      <c r="BI4254" s="65"/>
      <c r="BJ4254" s="65"/>
      <c r="BK4254" s="65"/>
      <c r="BL4254" s="99"/>
      <c r="BM4254" s="99"/>
      <c r="BN4254" s="99"/>
    </row>
    <row r="4255" spans="1:66" s="51" customFormat="1" ht="15.75" x14ac:dyDescent="0.25">
      <c r="A4255" s="478">
        <v>3</v>
      </c>
      <c r="B4255" s="479" t="s">
        <v>291</v>
      </c>
      <c r="C4255" s="480" t="s">
        <v>1871</v>
      </c>
      <c r="D4255" s="481" t="s">
        <v>310</v>
      </c>
      <c r="E4255" s="482">
        <v>30.95</v>
      </c>
      <c r="F4255" s="483" t="s">
        <v>292</v>
      </c>
      <c r="G4255" s="484">
        <v>0</v>
      </c>
      <c r="H4255" s="688" t="str">
        <f>IF(G4255=0,"",IF(F4255="Buy",IF(G4255=1,"plant","plants"),IF(F4255&gt;0.01,"warranty","Error")))</f>
        <v/>
      </c>
      <c r="I4255" s="485">
        <f>IF(H4255="free",0,IF(H4255="credit",((E4255*(F4255))*G4255*-1),IF(F4255="Buy",(E4255*G4255),((E4255*(1-F4255))*G4255))))</f>
        <v>0</v>
      </c>
      <c r="J4255" s="485">
        <f>IF(H4255="warranty",0,(I4255*(_xlfn.SINGLE(SalesTaxPercentage))))</f>
        <v>0</v>
      </c>
      <c r="K4255" s="715">
        <f t="shared" ref="K4255" si="3194">I4255+J4255</f>
        <v>0</v>
      </c>
      <c r="L4255" s="715"/>
      <c r="M4255" s="689" t="str">
        <f ca="1">IF(AND(G4255&gt;0,E4255=0),"WARNING - no PRICE inserted",IF(H4255="free","FREE ~ no charge this plant",IF(H4255="credit",CONCATENATE("-$",ROUND(K4255*(1-_xlfn.SINGLE(T2GDiscount))*-1,2)," CREDIT after discount"),IF(_xlfn.SINGLE(T2GDiscount)=0,"",IF(G4255=0,"",IF(F4255="Buy",CONCATENATE("$",ROUND(K4255*(1-_xlfn.SINGLE(T2GDiscount)),2)," with ",(_xlfn.SINGLE(T2GDiscount)*100),"% discount"),CONCATENATE("$",ROUND(K4255*(1-_xlfn.SINGLE(T2GDiscount)),2)," with ",((_xlfn.SINGLE(T2GDiscount)*100+F4255*100)-(_xlfn.SINGLE(T2GDiscount)*100*F4255)),IF(F4255&gt;0,"% discounts",IF(_xlfn.SINGLE(NoWarrantyDiscount)&gt;0,"% discounts","% discount")))))))))</f>
        <v/>
      </c>
      <c r="N4255" s="690"/>
      <c r="O4255" s="486"/>
      <c r="P4255" s="486"/>
      <c r="Q4255" s="486"/>
      <c r="R4255" s="486"/>
      <c r="S4255" s="486"/>
      <c r="T4255" s="102">
        <f t="shared" si="3178"/>
        <v>0</v>
      </c>
      <c r="U4255" s="78">
        <f>IF(NOT(ISNUMBER(G4255)), "", VLOOKUP(A4255,'Discount Lookup'!D:E,2,FALSE)*G4255)</f>
        <v>0</v>
      </c>
      <c r="V4255" s="78">
        <f>IF(NOT(ISNUMBER(G4255)), "", VLOOKUP(A4255,'Discount Lookup'!G:H,2,FALSE)*G4255)</f>
        <v>0</v>
      </c>
      <c r="W4255" s="102">
        <f t="shared" si="3179"/>
        <v>0</v>
      </c>
      <c r="X4255" s="102">
        <f t="shared" si="3180"/>
        <v>0</v>
      </c>
      <c r="Y4255" s="120" t="b">
        <f t="shared" si="3181"/>
        <v>0</v>
      </c>
      <c r="Z4255" s="117">
        <f t="shared" si="3182"/>
        <v>0</v>
      </c>
      <c r="AA4255" s="118"/>
      <c r="AB4255" s="118" t="str">
        <f t="shared" si="3183"/>
        <v/>
      </c>
      <c r="AC4255" s="712" t="str">
        <f>IF(AE4255="T2G","no charge",IF(AND(OR(PlanterYesMe="No",PlanterYesMe="N",PlanterYesMe="me"),H4255=""),"",IF(H4255="credit","NO install",IF(AND(K4255="",AE4255="me"),"EACH row",IF(AND(K4255="images",AE4255="me"),"EACH row",IF(D4255="","",IF(H4255="credit","",IF(AE4255="free","re-planting",IF(AE4255="me","   not ELP, by",IF(AND(OR(PlanterYesMe="Yes",PlanterYesMe="Y"),G4255&gt;0),(VLOOKUP(A4255,'Discount Lookup'!J:K,2)*G4255*(1-PlanterDiscount)*(1+PlanterDifficultyPercentage)),IF(AE4255="ELP",(VLOOKUP(A4255,'Discount Lookup'!J:K,2)*G4255*(1-PlanterDiscount)*(1+PlanterDifficultyPercentage)),IF(AE4255="free","re-planting",IF(G4255=0,"",IF(PlanterYesMe="",IF(AE4255="me","   not ELP, by",IF(AE4255="",IF(G4255&gt;0,(VLOOKUP(A4255,'Discount Lookup'!J:K,2)*G4255*(1-PlanterDiscount)*(1+PlanterDifficultyPercentage)),""),"")),"   not ELP, by"))))))))))))))</f>
        <v/>
      </c>
      <c r="AD4255" s="712"/>
      <c r="AE4255" s="513" t="str">
        <f t="shared" si="3184"/>
        <v/>
      </c>
      <c r="AF4255" s="713" t="str">
        <f t="shared" si="3185"/>
        <v/>
      </c>
      <c r="AG4255" s="713"/>
      <c r="AH4255" s="713"/>
      <c r="AI4255" s="112">
        <f>IF(H4255="credit",0,IF(AE4255="free",0,IF(AE4255="me",0,IF(G4255&gt;0,(VLOOKUP(A4255,'Discount Lookup'!J:K,2)*G4255),0))))</f>
        <v>0</v>
      </c>
      <c r="AJ4255" s="107" t="str">
        <f t="shared" ca="1" si="3186"/>
        <v/>
      </c>
      <c r="AK4255" s="714" t="str">
        <f t="shared" si="3187"/>
        <v/>
      </c>
      <c r="AL4255" s="714"/>
      <c r="AM4255" s="114" t="str">
        <f t="shared" si="3188"/>
        <v/>
      </c>
      <c r="AN4255" s="115"/>
      <c r="AO4255" s="116"/>
      <c r="AP4255" s="116"/>
      <c r="AQ4255" s="116"/>
      <c r="AR4255" s="116"/>
      <c r="AS4255" s="116"/>
      <c r="AT4255" s="116"/>
      <c r="AU4255" s="116"/>
      <c r="AV4255" s="78"/>
      <c r="AW4255" s="102"/>
      <c r="AX4255" s="78"/>
      <c r="AY4255" s="78"/>
      <c r="AZ4255" s="78"/>
      <c r="BA4255" s="78"/>
      <c r="BB4255" s="78"/>
      <c r="BC4255" s="78"/>
      <c r="BD4255" s="78"/>
      <c r="BE4255" s="465"/>
      <c r="BF4255" s="165" t="str">
        <f t="shared" si="3189"/>
        <v>https://www.google.com/search?tbm=isch&amp;q=3%20G1</v>
      </c>
      <c r="BG4255" s="165" t="str">
        <f t="shared" si="3190"/>
        <v>V</v>
      </c>
      <c r="BH4255" s="65"/>
      <c r="BI4255" s="65"/>
      <c r="BJ4255" s="65"/>
      <c r="BK4255" s="65"/>
      <c r="BL4255" s="99"/>
      <c r="BM4255" s="99"/>
      <c r="BN4255" s="99"/>
    </row>
    <row r="4256" spans="1:66" s="51" customFormat="1" ht="15.75" x14ac:dyDescent="0.25">
      <c r="A4256" s="478">
        <v>3</v>
      </c>
      <c r="B4256" s="479" t="s">
        <v>291</v>
      </c>
      <c r="C4256" s="480" t="s">
        <v>4435</v>
      </c>
      <c r="D4256" s="481" t="s">
        <v>299</v>
      </c>
      <c r="E4256" s="482">
        <v>35.950000000000003</v>
      </c>
      <c r="F4256" s="483" t="s">
        <v>292</v>
      </c>
      <c r="G4256" s="484">
        <v>0</v>
      </c>
      <c r="H4256" s="688" t="str">
        <f>IF(G4256=0,"",IF(F4256="Buy",IF(G4256=1,"plant","plants"),IF(F4256&gt;0.01,"warranty","Error")))</f>
        <v/>
      </c>
      <c r="I4256" s="485">
        <f>IF(H4256="free",0,IF(H4256="credit",((E4256*(F4256))*G4256*-1),IF(F4256="Buy",(E4256*G4256),((E4256*(1-F4256))*G4256))))</f>
        <v>0</v>
      </c>
      <c r="J4256" s="485">
        <f>IF(H4256="warranty",0,(I4256*(_xlfn.SINGLE(SalesTaxPercentage))))</f>
        <v>0</v>
      </c>
      <c r="K4256" s="715">
        <f t="shared" ref="K4256" si="3195">I4256+J4256</f>
        <v>0</v>
      </c>
      <c r="L4256" s="715"/>
      <c r="M4256" s="689" t="str">
        <f ca="1">IF(AND(G4256&gt;0,E4256=0),"WARNING - no PRICE inserted",IF(H4256="free","FREE ~ no charge this plant",IF(H4256="credit",CONCATENATE("-$",ROUND(K4256*(1-_xlfn.SINGLE(T2GDiscount))*-1,2)," CREDIT after discount"),IF(_xlfn.SINGLE(T2GDiscount)=0,"",IF(G4256=0,"",IF(F4256="Buy",CONCATENATE("$",ROUND(K4256*(1-_xlfn.SINGLE(T2GDiscount)),2)," with ",(_xlfn.SINGLE(T2GDiscount)*100),"% discount"),CONCATENATE("$",ROUND(K4256*(1-_xlfn.SINGLE(T2GDiscount)),2)," with ",((_xlfn.SINGLE(T2GDiscount)*100+F4256*100)-(_xlfn.SINGLE(T2GDiscount)*100*F4256)),IF(F4256&gt;0,"% discounts",IF(_xlfn.SINGLE(NoWarrantyDiscount)&gt;0,"% discounts","% discount")))))))))</f>
        <v/>
      </c>
      <c r="N4256" s="690"/>
      <c r="O4256" s="486"/>
      <c r="P4256" s="486"/>
      <c r="Q4256" s="486"/>
      <c r="R4256" s="486"/>
      <c r="S4256" s="486"/>
      <c r="T4256" s="102">
        <f t="shared" si="3178"/>
        <v>0</v>
      </c>
      <c r="U4256" s="78">
        <f>IF(NOT(ISNUMBER(G4256)), "", VLOOKUP(A4256,'Discount Lookup'!D:E,2,FALSE)*G4256)</f>
        <v>0</v>
      </c>
      <c r="V4256" s="78">
        <f>IF(NOT(ISNUMBER(G4256)), "", VLOOKUP(A4256,'Discount Lookup'!G:H,2,FALSE)*G4256)</f>
        <v>0</v>
      </c>
      <c r="W4256" s="102">
        <f t="shared" si="3179"/>
        <v>0</v>
      </c>
      <c r="X4256" s="102">
        <f t="shared" si="3180"/>
        <v>0</v>
      </c>
      <c r="Y4256" s="120" t="b">
        <f t="shared" si="3181"/>
        <v>0</v>
      </c>
      <c r="Z4256" s="117">
        <f t="shared" si="3182"/>
        <v>0</v>
      </c>
      <c r="AA4256" s="118"/>
      <c r="AB4256" s="118" t="str">
        <f t="shared" si="3183"/>
        <v/>
      </c>
      <c r="AC4256" s="712" t="str">
        <f>IF(AE4256="T2G","no charge",IF(AND(OR(PlanterYesMe="No",PlanterYesMe="N",PlanterYesMe="me"),H4256=""),"",IF(H4256="credit","NO install",IF(AND(K4256="",AE4256="me"),"EACH row",IF(AND(K4256="images",AE4256="me"),"EACH row",IF(D4256="","",IF(H4256="credit","",IF(AE4256="free","re-planting",IF(AE4256="me","   not ELP, by",IF(AND(OR(PlanterYesMe="Yes",PlanterYesMe="Y"),G4256&gt;0),(VLOOKUP(A4256,'Discount Lookup'!J:K,2)*G4256*(1-PlanterDiscount)*(1+PlanterDifficultyPercentage)),IF(AE4256="ELP",(VLOOKUP(A4256,'Discount Lookup'!J:K,2)*G4256*(1-PlanterDiscount)*(1+PlanterDifficultyPercentage)),IF(AE4256="free","re-planting",IF(G4256=0,"",IF(PlanterYesMe="",IF(AE4256="me","   not ELP, by",IF(AE4256="",IF(G4256&gt;0,(VLOOKUP(A4256,'Discount Lookup'!J:K,2)*G4256*(1-PlanterDiscount)*(1+PlanterDifficultyPercentage)),""),"")),"   not ELP, by"))))))))))))))</f>
        <v/>
      </c>
      <c r="AD4256" s="712"/>
      <c r="AE4256" s="513" t="str">
        <f t="shared" si="3184"/>
        <v/>
      </c>
      <c r="AF4256" s="713" t="str">
        <f t="shared" si="3185"/>
        <v/>
      </c>
      <c r="AG4256" s="713"/>
      <c r="AH4256" s="713"/>
      <c r="AI4256" s="112">
        <f>IF(H4256="credit",0,IF(AE4256="free",0,IF(AE4256="me",0,IF(G4256&gt;0,(VLOOKUP(A4256,'Discount Lookup'!J:K,2)*G4256),0))))</f>
        <v>0</v>
      </c>
      <c r="AJ4256" s="107" t="str">
        <f t="shared" ca="1" si="3186"/>
        <v/>
      </c>
      <c r="AK4256" s="714" t="str">
        <f t="shared" si="3187"/>
        <v/>
      </c>
      <c r="AL4256" s="714"/>
      <c r="AM4256" s="114" t="str">
        <f t="shared" si="3188"/>
        <v/>
      </c>
      <c r="AN4256" s="115"/>
      <c r="AO4256" s="116"/>
      <c r="AP4256" s="116"/>
      <c r="AQ4256" s="116"/>
      <c r="AR4256" s="116"/>
      <c r="AS4256" s="116"/>
      <c r="AT4256" s="116"/>
      <c r="AU4256" s="116"/>
      <c r="AV4256" s="78"/>
      <c r="AW4256" s="102"/>
      <c r="AX4256" s="78"/>
      <c r="AY4256" s="78"/>
      <c r="AZ4256" s="78"/>
      <c r="BA4256" s="78"/>
      <c r="BB4256" s="78"/>
      <c r="BC4256" s="78"/>
      <c r="BD4256" s="78"/>
      <c r="BE4256" s="465"/>
      <c r="BF4256" s="165" t="str">
        <f t="shared" si="3189"/>
        <v>https://www.google.com/search?tbm=isch&amp;q=3%20G4</v>
      </c>
      <c r="BG4256" s="165" t="str">
        <f t="shared" si="3190"/>
        <v>V</v>
      </c>
      <c r="BH4256" s="65"/>
      <c r="BI4256" s="65"/>
      <c r="BJ4256" s="65"/>
      <c r="BK4256" s="65"/>
      <c r="BL4256" s="99"/>
      <c r="BM4256" s="99"/>
      <c r="BN4256" s="99"/>
    </row>
    <row r="4257" spans="1:66" s="51" customFormat="1" ht="15.75" x14ac:dyDescent="0.25">
      <c r="A4257" s="478">
        <v>3</v>
      </c>
      <c r="B4257" s="479" t="s">
        <v>291</v>
      </c>
      <c r="C4257" s="480" t="s">
        <v>4436</v>
      </c>
      <c r="D4257" s="481" t="s">
        <v>311</v>
      </c>
      <c r="E4257" s="482">
        <v>35.950000000000003</v>
      </c>
      <c r="F4257" s="483" t="s">
        <v>292</v>
      </c>
      <c r="G4257" s="484">
        <v>0</v>
      </c>
      <c r="H4257" s="688" t="str">
        <f>IF(G4257=0,"",IF(F4257="Buy",IF(G4257=1,"plant","plants"),IF(F4257&gt;0.01,"warranty","Error")))</f>
        <v/>
      </c>
      <c r="I4257" s="485">
        <f>IF(H4257="free",0,IF(H4257="credit",((E4257*(F4257))*G4257*-1),IF(F4257="Buy",(E4257*G4257),((E4257*(1-F4257))*G4257))))</f>
        <v>0</v>
      </c>
      <c r="J4257" s="485">
        <f>IF(H4257="warranty",0,(I4257*(_xlfn.SINGLE(SalesTaxPercentage))))</f>
        <v>0</v>
      </c>
      <c r="K4257" s="715">
        <f t="shared" ref="K4257" si="3196">I4257+J4257</f>
        <v>0</v>
      </c>
      <c r="L4257" s="715"/>
      <c r="M4257" s="689" t="str">
        <f ca="1">IF(AND(G4257&gt;0,E4257=0),"WARNING - no PRICE inserted",IF(H4257="free","FREE ~ no charge this plant",IF(H4257="credit",CONCATENATE("-$",ROUND(K4257*(1-_xlfn.SINGLE(T2GDiscount))*-1,2)," CREDIT after discount"),IF(_xlfn.SINGLE(T2GDiscount)=0,"",IF(G4257=0,"",IF(F4257="Buy",CONCATENATE("$",ROUND(K4257*(1-_xlfn.SINGLE(T2GDiscount)),2)," with ",(_xlfn.SINGLE(T2GDiscount)*100),"% discount"),CONCATENATE("$",ROUND(K4257*(1-_xlfn.SINGLE(T2GDiscount)),2)," with ",((_xlfn.SINGLE(T2GDiscount)*100+F4257*100)-(_xlfn.SINGLE(T2GDiscount)*100*F4257)),IF(F4257&gt;0,"% discounts",IF(_xlfn.SINGLE(NoWarrantyDiscount)&gt;0,"% discounts","% discount")))))))))</f>
        <v/>
      </c>
      <c r="N4257" s="690"/>
      <c r="O4257" s="486"/>
      <c r="P4257" s="486"/>
      <c r="Q4257" s="486"/>
      <c r="R4257" s="486"/>
      <c r="S4257" s="486"/>
      <c r="T4257" s="102">
        <f t="shared" si="3178"/>
        <v>0</v>
      </c>
      <c r="U4257" s="78">
        <f>IF(NOT(ISNUMBER(G4257)), "", VLOOKUP(A4257,'Discount Lookup'!D:E,2,FALSE)*G4257)</f>
        <v>0</v>
      </c>
      <c r="V4257" s="78">
        <f>IF(NOT(ISNUMBER(G4257)), "", VLOOKUP(A4257,'Discount Lookup'!G:H,2,FALSE)*G4257)</f>
        <v>0</v>
      </c>
      <c r="W4257" s="102">
        <f t="shared" si="3179"/>
        <v>0</v>
      </c>
      <c r="X4257" s="102">
        <f t="shared" si="3180"/>
        <v>0</v>
      </c>
      <c r="Y4257" s="120" t="b">
        <f t="shared" si="3181"/>
        <v>0</v>
      </c>
      <c r="Z4257" s="117">
        <f t="shared" si="3182"/>
        <v>0</v>
      </c>
      <c r="AA4257" s="118"/>
      <c r="AB4257" s="118" t="str">
        <f t="shared" si="3183"/>
        <v/>
      </c>
      <c r="AC4257" s="712" t="str">
        <f>IF(AE4257="T2G","no charge",IF(AND(OR(PlanterYesMe="No",PlanterYesMe="N",PlanterYesMe="me"),H4257=""),"",IF(H4257="credit","NO install",IF(AND(K4257="",AE4257="me"),"EACH row",IF(AND(K4257="images",AE4257="me"),"EACH row",IF(D4257="","",IF(H4257="credit","",IF(AE4257="free","re-planting",IF(AE4257="me","   not ELP, by",IF(AND(OR(PlanterYesMe="Yes",PlanterYesMe="Y"),G4257&gt;0),(VLOOKUP(A4257,'Discount Lookup'!J:K,2)*G4257*(1-PlanterDiscount)*(1+PlanterDifficultyPercentage)),IF(AE4257="ELP",(VLOOKUP(A4257,'Discount Lookup'!J:K,2)*G4257*(1-PlanterDiscount)*(1+PlanterDifficultyPercentage)),IF(AE4257="free","re-planting",IF(G4257=0,"",IF(PlanterYesMe="",IF(AE4257="me","   not ELP, by",IF(AE4257="",IF(G4257&gt;0,(VLOOKUP(A4257,'Discount Lookup'!J:K,2)*G4257*(1-PlanterDiscount)*(1+PlanterDifficultyPercentage)),""),"")),"   not ELP, by"))))))))))))))</f>
        <v/>
      </c>
      <c r="AD4257" s="712"/>
      <c r="AE4257" s="513" t="str">
        <f t="shared" si="3184"/>
        <v/>
      </c>
      <c r="AF4257" s="713" t="str">
        <f t="shared" si="3185"/>
        <v/>
      </c>
      <c r="AG4257" s="713"/>
      <c r="AH4257" s="713"/>
      <c r="AI4257" s="112">
        <f>IF(H4257="credit",0,IF(AE4257="free",0,IF(AE4257="me",0,IF(G4257&gt;0,(VLOOKUP(A4257,'Discount Lookup'!J:K,2)*G4257),0))))</f>
        <v>0</v>
      </c>
      <c r="AJ4257" s="107" t="str">
        <f t="shared" ca="1" si="3186"/>
        <v/>
      </c>
      <c r="AK4257" s="714" t="str">
        <f t="shared" si="3187"/>
        <v/>
      </c>
      <c r="AL4257" s="714"/>
      <c r="AM4257" s="114" t="str">
        <f t="shared" si="3188"/>
        <v/>
      </c>
      <c r="AN4257" s="115"/>
      <c r="AO4257" s="116"/>
      <c r="AP4257" s="116"/>
      <c r="AQ4257" s="116"/>
      <c r="AR4257" s="116"/>
      <c r="AS4257" s="116"/>
      <c r="AT4257" s="116"/>
      <c r="AU4257" s="116"/>
      <c r="AV4257" s="78"/>
      <c r="AW4257" s="102"/>
      <c r="AX4257" s="78"/>
      <c r="AY4257" s="78"/>
      <c r="AZ4257" s="78"/>
      <c r="BA4257" s="78"/>
      <c r="BB4257" s="78"/>
      <c r="BC4257" s="78"/>
      <c r="BD4257" s="78"/>
      <c r="BE4257" s="465"/>
      <c r="BF4257" s="165" t="str">
        <f t="shared" si="3189"/>
        <v>https://www.google.com/search?tbm=isch&amp;q=3%20G5</v>
      </c>
      <c r="BG4257" s="165" t="str">
        <f t="shared" si="3190"/>
        <v>V</v>
      </c>
      <c r="BH4257" s="65"/>
      <c r="BI4257" s="65"/>
      <c r="BJ4257" s="65"/>
      <c r="BK4257" s="65"/>
      <c r="BL4257" s="99"/>
      <c r="BM4257" s="99"/>
      <c r="BN4257" s="99"/>
    </row>
    <row r="4258" spans="1:66" s="51" customFormat="1" ht="17.25" thickBot="1" x14ac:dyDescent="0.3">
      <c r="A4258" s="705" t="s">
        <v>5566</v>
      </c>
      <c r="B4258" s="487"/>
      <c r="C4258" s="707"/>
      <c r="D4258" s="487"/>
      <c r="E4258" s="487"/>
      <c r="F4258" s="488"/>
      <c r="G4258" s="489"/>
      <c r="H4258" s="487"/>
      <c r="I4258" s="490"/>
      <c r="J4258" s="490"/>
      <c r="K4258" s="491"/>
      <c r="L4258" s="547"/>
      <c r="M4258" s="528"/>
      <c r="N4258" s="492"/>
      <c r="O4258" s="493"/>
      <c r="P4258" s="494"/>
      <c r="Q4258" s="492"/>
      <c r="R4258" s="492"/>
      <c r="S4258" s="699" t="s">
        <v>5311</v>
      </c>
      <c r="T4258" s="102">
        <f t="shared" si="3178"/>
        <v>0</v>
      </c>
      <c r="U4258" s="78" t="str">
        <f>IF(NOT(ISNUMBER(G4258)), "", VLOOKUP(A4258,'Discount Lookup'!D:E,2,FALSE)*G4258)</f>
        <v/>
      </c>
      <c r="V4258" s="78" t="str">
        <f>IF(NOT(ISNUMBER(G4258)), "", VLOOKUP(A4258,'Discount Lookup'!G:H,2,FALSE)*G4258)</f>
        <v/>
      </c>
      <c r="W4258" s="102">
        <f t="shared" si="3179"/>
        <v>0</v>
      </c>
      <c r="X4258" s="102">
        <f t="shared" si="3180"/>
        <v>0</v>
      </c>
      <c r="Y4258" s="120" t="b">
        <f t="shared" si="3181"/>
        <v>0</v>
      </c>
      <c r="Z4258" s="117">
        <f t="shared" si="3182"/>
        <v>0</v>
      </c>
      <c r="AA4258" s="118"/>
      <c r="AB4258" s="118" t="str">
        <f t="shared" si="3183"/>
        <v/>
      </c>
      <c r="AC4258" s="712" t="str">
        <f>IF(AE4258="T2G","no charge",IF(AND(OR(PlanterYesMe="No",PlanterYesMe="N",PlanterYesMe="me"),H4258=""),"",IF(H4258="credit","NO install",IF(AND(K4258="",AE4258="me"),"EACH row",IF(AND(K4258="images",AE4258="me"),"EACH row",IF(D4258="","",IF(H4258="credit","",IF(AE4258="free","re-planting",IF(AE4258="me","   not ELP, by",IF(AND(OR(PlanterYesMe="Yes",PlanterYesMe="Y"),G4258&gt;0),(VLOOKUP(A4258,'Discount Lookup'!J:K,2)*G4258*(1-PlanterDiscount)*(1+PlanterDifficultyPercentage)),IF(AE4258="ELP",(VLOOKUP(A4258,'Discount Lookup'!J:K,2)*G4258*(1-PlanterDiscount)*(1+PlanterDifficultyPercentage)),IF(AE4258="free","re-planting",IF(G4258=0,"",IF(PlanterYesMe="",IF(AE4258="me","   not ELP, by",IF(AE4258="",IF(G4258&gt;0,(VLOOKUP(A4258,'Discount Lookup'!J:K,2)*G4258*(1-PlanterDiscount)*(1+PlanterDifficultyPercentage)),""),"")),"   not ELP, by"))))))))))))))</f>
        <v/>
      </c>
      <c r="AD4258" s="712"/>
      <c r="AE4258" s="513" t="str">
        <f t="shared" si="3184"/>
        <v/>
      </c>
      <c r="AF4258" s="713" t="str">
        <f t="shared" si="3185"/>
        <v/>
      </c>
      <c r="AG4258" s="713"/>
      <c r="AH4258" s="713"/>
      <c r="AI4258" s="112">
        <f>IF(H4258="credit",0,IF(AE4258="free",0,IF(AE4258="me",0,IF(G4258&gt;0,(VLOOKUP(A4258,'Discount Lookup'!J:K,2)*G4258),0))))</f>
        <v>0</v>
      </c>
      <c r="AJ4258" s="107" t="str">
        <f t="shared" ca="1" si="3186"/>
        <v/>
      </c>
      <c r="AK4258" s="714" t="str">
        <f t="shared" si="3187"/>
        <v/>
      </c>
      <c r="AL4258" s="714"/>
      <c r="AM4258" s="114" t="str">
        <f t="shared" si="3188"/>
        <v/>
      </c>
      <c r="AN4258" s="115"/>
      <c r="AO4258" s="116"/>
      <c r="AP4258" s="116"/>
      <c r="AQ4258" s="116"/>
      <c r="AR4258" s="116"/>
      <c r="AS4258" s="116"/>
      <c r="AT4258" s="116"/>
      <c r="AU4258" s="116"/>
      <c r="AV4258" s="78"/>
      <c r="AW4258" s="102"/>
      <c r="AX4258" s="78"/>
      <c r="AY4258" s="78"/>
      <c r="AZ4258" s="78"/>
      <c r="BA4258" s="78"/>
      <c r="BB4258" s="78"/>
      <c r="BC4258" s="78"/>
      <c r="BD4258" s="78"/>
      <c r="BE4258" s="465"/>
      <c r="BF4258" s="165" t="str">
        <f t="shared" si="3189"/>
        <v>https://www.google.com/search?tbm=isch&amp;q=moist%20sites%F0%9F%92%A7BEST%2C%20Rosa%27s%20Blush%20is%20late%20season%20small%2C%20sweet%20berries.%20Partially%20self-fertile%2C%20but%20pollinate%20with%20Peach%20Sorbet.%20Colorful%20foliage%20all%20year%20long%20</v>
      </c>
      <c r="BG4258" s="165" t="str">
        <f t="shared" si="3190"/>
        <v>m</v>
      </c>
      <c r="BH4258" s="65"/>
      <c r="BI4258" s="65"/>
      <c r="BJ4258" s="65"/>
      <c r="BK4258" s="65"/>
      <c r="BL4258" s="99"/>
      <c r="BM4258" s="99"/>
      <c r="BN4258" s="99"/>
    </row>
    <row r="4259" spans="1:66" s="51" customFormat="1" ht="18" x14ac:dyDescent="0.25">
      <c r="A4259" s="623" t="s">
        <v>4437</v>
      </c>
      <c r="B4259" s="624"/>
      <c r="C4259" s="709"/>
      <c r="D4259" s="625" t="s">
        <v>5850</v>
      </c>
      <c r="E4259" s="626"/>
      <c r="F4259" s="626"/>
      <c r="G4259" s="626"/>
      <c r="H4259" s="622" t="s">
        <v>1439</v>
      </c>
      <c r="I4259" s="627" t="s">
        <v>4423</v>
      </c>
      <c r="J4259" s="628"/>
      <c r="K4259" s="628"/>
      <c r="L4259" s="629"/>
      <c r="M4259" s="700" t="s">
        <v>5241</v>
      </c>
      <c r="N4259" s="693" t="str">
        <f>IF(AND(ISTEXT($A4259), ISERROR($A4259+0)), HYPERLINK($BF4259, "Images"), "")</f>
        <v>Images</v>
      </c>
      <c r="O4259" s="695" t="s">
        <v>5286</v>
      </c>
      <c r="P4259" s="630"/>
      <c r="Q4259" s="631"/>
      <c r="R4259" s="632"/>
      <c r="S4259" s="633"/>
      <c r="T4259" s="102">
        <f t="shared" si="3178"/>
        <v>0</v>
      </c>
      <c r="U4259" s="78" t="str">
        <f>IF(NOT(ISNUMBER(G4259)), "", VLOOKUP(A4259,'Discount Lookup'!D:E,2,FALSE)*G4259)</f>
        <v/>
      </c>
      <c r="V4259" s="78" t="str">
        <f>IF(NOT(ISNUMBER(G4259)), "", VLOOKUP(A4259,'Discount Lookup'!G:H,2,FALSE)*G4259)</f>
        <v/>
      </c>
      <c r="W4259" s="102">
        <f t="shared" si="3179"/>
        <v>0</v>
      </c>
      <c r="X4259" s="102" t="str">
        <f t="shared" si="3180"/>
        <v>White to pale Pink bloom</v>
      </c>
      <c r="Y4259" s="120" t="b">
        <f t="shared" si="3181"/>
        <v>0</v>
      </c>
      <c r="Z4259" s="117">
        <f t="shared" si="3182"/>
        <v>0</v>
      </c>
      <c r="AA4259" s="118"/>
      <c r="AB4259" s="118" t="str">
        <f t="shared" si="3183"/>
        <v/>
      </c>
      <c r="AC4259" s="712" t="str">
        <f>IF(AE4259="T2G","no charge",IF(AND(OR(PlanterYesMe="No",PlanterYesMe="N",PlanterYesMe="me"),H4259=""),"",IF(H4259="credit","NO install",IF(AND(K4259="",AE4259="me"),"EACH row",IF(AND(K4259="images",AE4259="me"),"EACH row",IF(D4259="","",IF(H4259="credit","",IF(AE4259="free","re-planting",IF(AE4259="me","   not ELP, by",IF(AND(OR(PlanterYesMe="Yes",PlanterYesMe="Y"),G4259&gt;0),(VLOOKUP(A4259,'Discount Lookup'!J:K,2)*G4259*(1-PlanterDiscount)*(1+PlanterDifficultyPercentage)),IF(AE4259="ELP",(VLOOKUP(A4259,'Discount Lookup'!J:K,2)*G4259*(1-PlanterDiscount)*(1+PlanterDifficultyPercentage)),IF(AE4259="free","re-planting",IF(G4259=0,"",IF(PlanterYesMe="",IF(AE4259="me","   not ELP, by",IF(AE4259="",IF(G4259&gt;0,(VLOOKUP(A4259,'Discount Lookup'!J:K,2)*G4259*(1-PlanterDiscount)*(1+PlanterDifficultyPercentage)),""),"")),"   not ELP, by"))))))))))))))</f>
        <v/>
      </c>
      <c r="AD4259" s="712"/>
      <c r="AE4259" s="513" t="str">
        <f t="shared" si="3184"/>
        <v/>
      </c>
      <c r="AF4259" s="713" t="str">
        <f t="shared" si="3185"/>
        <v/>
      </c>
      <c r="AG4259" s="713"/>
      <c r="AH4259" s="713"/>
      <c r="AI4259" s="112">
        <f>IF(H4259="credit",0,IF(AE4259="free",0,IF(AE4259="me",0,IF(G4259&gt;0,(VLOOKUP(A4259,'Discount Lookup'!J:K,2)*G4259),0))))</f>
        <v>0</v>
      </c>
      <c r="AJ4259" s="107" t="str">
        <f t="shared" ca="1" si="3186"/>
        <v/>
      </c>
      <c r="AK4259" s="714" t="str">
        <f t="shared" si="3187"/>
        <v/>
      </c>
      <c r="AL4259" s="714"/>
      <c r="AM4259" s="114" t="str">
        <f t="shared" si="3188"/>
        <v/>
      </c>
      <c r="AN4259" s="115"/>
      <c r="AO4259" s="116"/>
      <c r="AP4259" s="116"/>
      <c r="AQ4259" s="116"/>
      <c r="AR4259" s="116"/>
      <c r="AS4259" s="116"/>
      <c r="AT4259" s="116"/>
      <c r="AU4259" s="116"/>
      <c r="AV4259" s="78"/>
      <c r="AW4259" s="102"/>
      <c r="AX4259" s="78"/>
      <c r="AY4259" s="78"/>
      <c r="AZ4259" s="78"/>
      <c r="BA4259" s="78"/>
      <c r="BB4259" s="78"/>
      <c r="BC4259" s="78"/>
      <c r="BD4259" s="78"/>
      <c r="BE4259" s="465"/>
      <c r="BF4259" s="165" t="str">
        <f t="shared" si="3189"/>
        <v>https://www.google.com/search?tbm=isch&amp;q=Vac.%20hybrid%20%27FC12-187%27%20PP%2332185%20Midnight%20Cascade%E2%84%A2%20Blueberry</v>
      </c>
      <c r="BG4259" s="165" t="str">
        <f t="shared" si="3190"/>
        <v>V</v>
      </c>
      <c r="BH4259" s="65"/>
      <c r="BI4259" s="65"/>
      <c r="BJ4259" s="65"/>
      <c r="BK4259" s="65"/>
      <c r="BL4259" s="99"/>
      <c r="BM4259" s="99"/>
      <c r="BN4259" s="99"/>
    </row>
    <row r="4260" spans="1:66" s="51" customFormat="1" ht="15.75" x14ac:dyDescent="0.25">
      <c r="A4260" s="634">
        <v>1</v>
      </c>
      <c r="B4260" s="635" t="s">
        <v>291</v>
      </c>
      <c r="C4260" s="636" t="s">
        <v>3662</v>
      </c>
      <c r="D4260" s="637" t="s">
        <v>329</v>
      </c>
      <c r="E4260" s="638">
        <v>30.95</v>
      </c>
      <c r="F4260" s="639" t="s">
        <v>292</v>
      </c>
      <c r="G4260" s="484">
        <v>0</v>
      </c>
      <c r="H4260" s="691" t="str">
        <f>IF(G4260=0,"",IF(F4260="Buy",IF(G4260=1,"plant","plants"),IF(F4260&gt;0.01,"warranty","Error")))</f>
        <v/>
      </c>
      <c r="I4260" s="640">
        <f>IF(H4260="free",0,IF(H4260="credit",((E4260*(F4260))*G4260*-1),IF(F4260="Buy",(E4260*G4260),((E4260*(1-F4260))*G4260))))</f>
        <v>0</v>
      </c>
      <c r="J4260" s="640">
        <f>IF(H4260="warranty",0,(I4260*(_xlfn.SINGLE(SalesTaxPercentage))))</f>
        <v>0</v>
      </c>
      <c r="K4260" s="716">
        <f t="shared" ref="K4260" si="3197">I4260+J4260</f>
        <v>0</v>
      </c>
      <c r="L4260" s="716"/>
      <c r="M4260" s="689" t="str">
        <f ca="1">IF(AND(G4260&gt;0,E4260=0),"WARNING - no PRICE inserted",IF(H4260="free","FREE ~ no charge this plant",IF(H4260="credit",CONCATENATE("-$",ROUND(K4260*(1-_xlfn.SINGLE(T2GDiscount))*-1,2)," CREDIT after discount"),IF(_xlfn.SINGLE(T2GDiscount)=0,"",IF(G4260=0,"",IF(F4260="Buy",CONCATENATE("$",ROUND(K4260*(1-_xlfn.SINGLE(T2GDiscount)),2)," with ",(_xlfn.SINGLE(T2GDiscount)*100),"% discount"),CONCATENATE("$",ROUND(K4260*(1-_xlfn.SINGLE(T2GDiscount)),2)," with ",((_xlfn.SINGLE(T2GDiscount)*100+F4260*100)-(_xlfn.SINGLE(T2GDiscount)*100*F4260)),IF(F4260&gt;0,"% discounts",IF(_xlfn.SINGLE(NoWarrantyDiscount)&gt;0,"% discounts","% discount")))))))))</f>
        <v/>
      </c>
      <c r="N4260" s="690"/>
      <c r="O4260" s="486"/>
      <c r="P4260" s="486"/>
      <c r="Q4260" s="486"/>
      <c r="R4260" s="486"/>
      <c r="S4260" s="486"/>
      <c r="T4260" s="102">
        <f t="shared" si="3178"/>
        <v>0</v>
      </c>
      <c r="U4260" s="78">
        <f>IF(NOT(ISNUMBER(G4260)), "", VLOOKUP(A4260,'Discount Lookup'!D:E,2,FALSE)*G4260)</f>
        <v>0</v>
      </c>
      <c r="V4260" s="78">
        <f>IF(NOT(ISNUMBER(G4260)), "", VLOOKUP(A4260,'Discount Lookup'!G:H,2,FALSE)*G4260)</f>
        <v>0</v>
      </c>
      <c r="W4260" s="102">
        <f t="shared" si="3179"/>
        <v>0</v>
      </c>
      <c r="X4260" s="102">
        <f t="shared" si="3180"/>
        <v>0</v>
      </c>
      <c r="Y4260" s="120" t="b">
        <f t="shared" si="3181"/>
        <v>0</v>
      </c>
      <c r="Z4260" s="117">
        <f t="shared" si="3182"/>
        <v>0</v>
      </c>
      <c r="AA4260" s="118"/>
      <c r="AB4260" s="118" t="str">
        <f t="shared" si="3183"/>
        <v/>
      </c>
      <c r="AC4260" s="712" t="str">
        <f>IF(AE4260="T2G","no charge",IF(AND(OR(PlanterYesMe="No",PlanterYesMe="N",PlanterYesMe="me"),H4260=""),"",IF(H4260="credit","NO install",IF(AND(K4260="",AE4260="me"),"EACH row",IF(AND(K4260="images",AE4260="me"),"EACH row",IF(D4260="","",IF(H4260="credit","",IF(AE4260="free","re-planting",IF(AE4260="me","   not ELP, by",IF(AND(OR(PlanterYesMe="Yes",PlanterYesMe="Y"),G4260&gt;0),(VLOOKUP(A4260,'Discount Lookup'!J:K,2)*G4260*(1-PlanterDiscount)*(1+PlanterDifficultyPercentage)),IF(AE4260="ELP",(VLOOKUP(A4260,'Discount Lookup'!J:K,2)*G4260*(1-PlanterDiscount)*(1+PlanterDifficultyPercentage)),IF(AE4260="free","re-planting",IF(G4260=0,"",IF(PlanterYesMe="",IF(AE4260="me","   not ELP, by",IF(AE4260="",IF(G4260&gt;0,(VLOOKUP(A4260,'Discount Lookup'!J:K,2)*G4260*(1-PlanterDiscount)*(1+PlanterDifficultyPercentage)),""),"")),"   not ELP, by"))))))))))))))</f>
        <v/>
      </c>
      <c r="AD4260" s="712"/>
      <c r="AE4260" s="513" t="str">
        <f t="shared" si="3184"/>
        <v/>
      </c>
      <c r="AF4260" s="713" t="str">
        <f t="shared" si="3185"/>
        <v/>
      </c>
      <c r="AG4260" s="713"/>
      <c r="AH4260" s="713"/>
      <c r="AI4260" s="112">
        <f>IF(H4260="credit",0,IF(AE4260="free",0,IF(AE4260="me",0,IF(G4260&gt;0,(VLOOKUP(A4260,'Discount Lookup'!J:K,2)*G4260),0))))</f>
        <v>0</v>
      </c>
      <c r="AJ4260" s="107" t="str">
        <f t="shared" ca="1" si="3186"/>
        <v/>
      </c>
      <c r="AK4260" s="714" t="str">
        <f t="shared" si="3187"/>
        <v/>
      </c>
      <c r="AL4260" s="714"/>
      <c r="AM4260" s="114" t="str">
        <f t="shared" si="3188"/>
        <v/>
      </c>
      <c r="AN4260" s="115"/>
      <c r="AO4260" s="116"/>
      <c r="AP4260" s="116"/>
      <c r="AQ4260" s="116"/>
      <c r="AR4260" s="116"/>
      <c r="AS4260" s="116"/>
      <c r="AT4260" s="116"/>
      <c r="AU4260" s="116"/>
      <c r="AV4260" s="78"/>
      <c r="AW4260" s="102"/>
      <c r="AX4260" s="78"/>
      <c r="AY4260" s="78"/>
      <c r="AZ4260" s="78"/>
      <c r="BA4260" s="78"/>
      <c r="BB4260" s="78"/>
      <c r="BC4260" s="78"/>
      <c r="BD4260" s="78"/>
      <c r="BE4260" s="465"/>
      <c r="BF4260" s="165" t="str">
        <f t="shared" si="3189"/>
        <v>https://www.google.com/search?tbm=isch&amp;q=1%20G2</v>
      </c>
      <c r="BG4260" s="165" t="str">
        <f t="shared" si="3190"/>
        <v>V</v>
      </c>
      <c r="BH4260" s="65"/>
      <c r="BI4260" s="65"/>
      <c r="BJ4260" s="65"/>
      <c r="BK4260" s="65"/>
      <c r="BL4260" s="99"/>
      <c r="BM4260" s="99"/>
      <c r="BN4260" s="99"/>
    </row>
    <row r="4261" spans="1:66" s="51" customFormat="1" ht="16.5" x14ac:dyDescent="0.25">
      <c r="A4261" s="704" t="s">
        <v>5567</v>
      </c>
      <c r="B4261" s="642"/>
      <c r="C4261" s="710"/>
      <c r="D4261" s="643"/>
      <c r="E4261" s="643"/>
      <c r="F4261" s="644"/>
      <c r="G4261" s="645"/>
      <c r="H4261" s="646"/>
      <c r="I4261" s="647"/>
      <c r="J4261" s="648"/>
      <c r="K4261" s="649"/>
      <c r="L4261" s="650"/>
      <c r="M4261" s="650"/>
      <c r="N4261" s="644"/>
      <c r="O4261" s="644"/>
      <c r="P4261" s="644"/>
      <c r="Q4261" s="644"/>
      <c r="R4261" s="644"/>
      <c r="S4261" s="701" t="s">
        <v>5310</v>
      </c>
      <c r="T4261" s="102">
        <f t="shared" si="3178"/>
        <v>0</v>
      </c>
      <c r="U4261" s="78" t="str">
        <f>IF(NOT(ISNUMBER(G4261)), "", VLOOKUP(A4261,'Discount Lookup'!D:E,2,FALSE)*G4261)</f>
        <v/>
      </c>
      <c r="V4261" s="78" t="str">
        <f>IF(NOT(ISNUMBER(G4261)), "", VLOOKUP(A4261,'Discount Lookup'!G:H,2,FALSE)*G4261)</f>
        <v/>
      </c>
      <c r="W4261" s="102">
        <f t="shared" si="3179"/>
        <v>0</v>
      </c>
      <c r="X4261" s="102">
        <f t="shared" si="3180"/>
        <v>0</v>
      </c>
      <c r="Y4261" s="120" t="b">
        <f t="shared" si="3181"/>
        <v>0</v>
      </c>
      <c r="Z4261" s="117">
        <f t="shared" si="3182"/>
        <v>0</v>
      </c>
      <c r="AA4261" s="118"/>
      <c r="AB4261" s="118" t="str">
        <f t="shared" si="3183"/>
        <v/>
      </c>
      <c r="AC4261" s="712" t="str">
        <f>IF(AE4261="T2G","no charge",IF(AND(OR(PlanterYesMe="No",PlanterYesMe="N",PlanterYesMe="me"),H4261=""),"",IF(H4261="credit","NO install",IF(AND(K4261="",AE4261="me"),"EACH row",IF(AND(K4261="images",AE4261="me"),"EACH row",IF(D4261="","",IF(H4261="credit","",IF(AE4261="free","re-planting",IF(AE4261="me","   not ELP, by",IF(AND(OR(PlanterYesMe="Yes",PlanterYesMe="Y"),G4261&gt;0),(VLOOKUP(A4261,'Discount Lookup'!J:K,2)*G4261*(1-PlanterDiscount)*(1+PlanterDifficultyPercentage)),IF(AE4261="ELP",(VLOOKUP(A4261,'Discount Lookup'!J:K,2)*G4261*(1-PlanterDiscount)*(1+PlanterDifficultyPercentage)),IF(AE4261="free","re-planting",IF(G4261=0,"",IF(PlanterYesMe="",IF(AE4261="me","   not ELP, by",IF(AE4261="",IF(G4261&gt;0,(VLOOKUP(A4261,'Discount Lookup'!J:K,2)*G4261*(1-PlanterDiscount)*(1+PlanterDifficultyPercentage)),""),"")),"   not ELP, by"))))))))))))))</f>
        <v/>
      </c>
      <c r="AD4261" s="712"/>
      <c r="AE4261" s="513" t="str">
        <f t="shared" si="3184"/>
        <v/>
      </c>
      <c r="AF4261" s="713" t="str">
        <f t="shared" si="3185"/>
        <v/>
      </c>
      <c r="AG4261" s="713"/>
      <c r="AH4261" s="713"/>
      <c r="AI4261" s="112">
        <f>IF(H4261="credit",0,IF(AE4261="free",0,IF(AE4261="me",0,IF(G4261&gt;0,(VLOOKUP(A4261,'Discount Lookup'!J:K,2)*G4261),0))))</f>
        <v>0</v>
      </c>
      <c r="AJ4261" s="107" t="str">
        <f t="shared" ca="1" si="3186"/>
        <v/>
      </c>
      <c r="AK4261" s="714" t="str">
        <f t="shared" si="3187"/>
        <v/>
      </c>
      <c r="AL4261" s="714"/>
      <c r="AM4261" s="114" t="str">
        <f t="shared" si="3188"/>
        <v/>
      </c>
      <c r="AN4261" s="115"/>
      <c r="AO4261" s="116"/>
      <c r="AP4261" s="116"/>
      <c r="AQ4261" s="116"/>
      <c r="AR4261" s="116"/>
      <c r="AS4261" s="116"/>
      <c r="AT4261" s="116"/>
      <c r="AU4261" s="116"/>
      <c r="AV4261" s="78"/>
      <c r="AW4261" s="102"/>
      <c r="AX4261" s="78"/>
      <c r="AY4261" s="78"/>
      <c r="AZ4261" s="78"/>
      <c r="BA4261" s="78"/>
      <c r="BB4261" s="78"/>
      <c r="BC4261" s="78"/>
      <c r="BD4261" s="78"/>
      <c r="BE4261" s="465"/>
      <c r="BF4261" s="165" t="str">
        <f t="shared" si="3189"/>
        <v>https://www.google.com/search?tbm=isch&amp;q=moist%20sites%F0%9F%92%A7BEST%2C%20Midnight%20Cascade%20is%20long%2C%20mid%2Flate-season%20sweet%20berries.%20Pollinate%20with%20Peach%20Sorbet%2C%20Pink%20Icing.%20Cascades.%20Burgundy%20in%20fall%20</v>
      </c>
      <c r="BG4261" s="165" t="str">
        <f t="shared" si="3190"/>
        <v>m</v>
      </c>
      <c r="BH4261" s="65"/>
      <c r="BI4261" s="65"/>
      <c r="BJ4261" s="65"/>
      <c r="BK4261" s="65"/>
      <c r="BL4261" s="99"/>
      <c r="BM4261" s="99"/>
      <c r="BN4261" s="99"/>
    </row>
    <row r="4262" spans="1:66" s="51" customFormat="1" ht="19.5" thickBot="1" x14ac:dyDescent="0.3">
      <c r="A4262" s="686" t="s">
        <v>813</v>
      </c>
      <c r="B4262" s="73"/>
      <c r="C4262" s="708"/>
      <c r="D4262" s="73"/>
      <c r="E4262" s="73"/>
      <c r="F4262" s="496"/>
      <c r="G4262" s="73"/>
      <c r="H4262" s="73"/>
      <c r="I4262" s="73"/>
      <c r="J4262" s="497" t="s">
        <v>357</v>
      </c>
      <c r="K4262" s="498"/>
      <c r="L4262" s="562"/>
      <c r="M4262" s="73"/>
      <c r="N4262"/>
      <c r="O4262"/>
      <c r="P4262"/>
      <c r="Q4262"/>
      <c r="R4262"/>
      <c r="S4262"/>
      <c r="T4262" s="102">
        <f t="shared" si="3178"/>
        <v>0</v>
      </c>
      <c r="U4262" s="78" t="str">
        <f>IF(NOT(ISNUMBER(G4262)), "", VLOOKUP(A4262,'Discount Lookup'!D:E,2,FALSE)*G4262)</f>
        <v/>
      </c>
      <c r="V4262" s="78" t="str">
        <f>IF(NOT(ISNUMBER(G4262)), "", VLOOKUP(A4262,'Discount Lookup'!G:H,2,FALSE)*G4262)</f>
        <v/>
      </c>
      <c r="W4262" s="102">
        <f t="shared" si="3179"/>
        <v>0</v>
      </c>
      <c r="X4262" s="102">
        <f t="shared" si="3180"/>
        <v>0</v>
      </c>
      <c r="Y4262" s="120" t="b">
        <f t="shared" si="3181"/>
        <v>0</v>
      </c>
      <c r="Z4262" s="117">
        <f t="shared" si="3182"/>
        <v>0</v>
      </c>
      <c r="AA4262" s="118"/>
      <c r="AB4262" s="118" t="str">
        <f t="shared" si="3183"/>
        <v/>
      </c>
      <c r="AC4262" s="712" t="str">
        <f>IF(AE4262="T2G","no charge",IF(AND(OR(PlanterYesMe="No",PlanterYesMe="N",PlanterYesMe="me"),H4262=""),"",IF(H4262="credit","NO install",IF(AND(K4262="",AE4262="me"),"EACH row",IF(AND(K4262="images",AE4262="me"),"EACH row",IF(D4262="","",IF(H4262="credit","",IF(AE4262="free","re-planting",IF(AE4262="me","   not ELP, by",IF(AND(OR(PlanterYesMe="Yes",PlanterYesMe="Y"),G4262&gt;0),(VLOOKUP(A4262,'Discount Lookup'!J:K,2)*G4262*(1-PlanterDiscount)*(1+PlanterDifficultyPercentage)),IF(AE4262="ELP",(VLOOKUP(A4262,'Discount Lookup'!J:K,2)*G4262*(1-PlanterDiscount)*(1+PlanterDifficultyPercentage)),IF(AE4262="free","re-planting",IF(G4262=0,"",IF(PlanterYesMe="",IF(AE4262="me","   not ELP, by",IF(AE4262="",IF(G4262&gt;0,(VLOOKUP(A4262,'Discount Lookup'!J:K,2)*G4262*(1-PlanterDiscount)*(1+PlanterDifficultyPercentage)),""),"")),"   not ELP, by"))))))))))))))</f>
        <v/>
      </c>
      <c r="AD4262" s="712"/>
      <c r="AE4262" s="513" t="str">
        <f t="shared" si="3184"/>
        <v/>
      </c>
      <c r="AF4262" s="713" t="str">
        <f t="shared" si="3185"/>
        <v/>
      </c>
      <c r="AG4262" s="713"/>
      <c r="AH4262" s="713"/>
      <c r="AI4262" s="112">
        <f>IF(H4262="credit",0,IF(AE4262="free",0,IF(AE4262="me",0,IF(G4262&gt;0,(VLOOKUP(A4262,'Discount Lookup'!J:K,2)*G4262),0))))</f>
        <v>0</v>
      </c>
      <c r="AJ4262" s="107" t="str">
        <f t="shared" ca="1" si="3186"/>
        <v/>
      </c>
      <c r="AK4262" s="714" t="str">
        <f t="shared" si="3187"/>
        <v/>
      </c>
      <c r="AL4262" s="714"/>
      <c r="AM4262" s="114" t="str">
        <f t="shared" si="3188"/>
        <v/>
      </c>
      <c r="AN4262" s="115"/>
      <c r="AO4262" s="116"/>
      <c r="AP4262" s="116"/>
      <c r="AQ4262" s="116"/>
      <c r="AR4262" s="116"/>
      <c r="AS4262" s="116"/>
      <c r="AT4262" s="116"/>
      <c r="AU4262" s="116"/>
      <c r="AV4262" s="78"/>
      <c r="AW4262" s="102"/>
      <c r="AX4262" s="78"/>
      <c r="AY4262" s="78"/>
      <c r="AZ4262" s="78"/>
      <c r="BA4262" s="78"/>
      <c r="BB4262" s="78"/>
      <c r="BC4262" s="78"/>
      <c r="BD4262" s="78"/>
      <c r="BE4262" s="465"/>
      <c r="BF4262" s="165" t="str">
        <f t="shared" si="3189"/>
        <v>https://www.google.com/search?tbm=isch&amp;q=Verbascum%20%3D%20Mullein%20</v>
      </c>
      <c r="BG4262" s="165" t="str">
        <f t="shared" si="3190"/>
        <v>V</v>
      </c>
      <c r="BH4262" s="65"/>
      <c r="BI4262" s="65"/>
      <c r="BJ4262" s="65"/>
      <c r="BK4262" s="65"/>
      <c r="BL4262" s="99"/>
      <c r="BM4262" s="99"/>
      <c r="BN4262" s="99"/>
    </row>
    <row r="4263" spans="1:66" s="51" customFormat="1" ht="18" x14ac:dyDescent="0.25">
      <c r="A4263" s="623" t="s">
        <v>4438</v>
      </c>
      <c r="B4263" s="624"/>
      <c r="C4263" s="709"/>
      <c r="D4263" s="625" t="s">
        <v>4439</v>
      </c>
      <c r="E4263" s="626"/>
      <c r="F4263" s="626"/>
      <c r="G4263" s="626"/>
      <c r="H4263" s="622" t="s">
        <v>1407</v>
      </c>
      <c r="I4263" s="627" t="s">
        <v>4440</v>
      </c>
      <c r="J4263" s="628"/>
      <c r="K4263" s="628"/>
      <c r="L4263" s="629"/>
      <c r="M4263" s="700" t="s">
        <v>5241</v>
      </c>
      <c r="N4263" s="693" t="str">
        <f>IF(AND(ISTEXT($A4263), ISERROR($A4263+0)), HYPERLINK($BF4263, "Images"), "")</f>
        <v>Images</v>
      </c>
      <c r="O4263" s="695" t="s">
        <v>5244</v>
      </c>
      <c r="P4263" s="630"/>
      <c r="Q4263" s="631"/>
      <c r="R4263" s="632"/>
      <c r="S4263" s="633"/>
      <c r="T4263" s="102">
        <f t="shared" si="3178"/>
        <v>0</v>
      </c>
      <c r="U4263" s="78" t="str">
        <f>IF(NOT(ISNUMBER(G4263)), "", VLOOKUP(A4263,'Discount Lookup'!D:E,2,FALSE)*G4263)</f>
        <v/>
      </c>
      <c r="V4263" s="78" t="str">
        <f>IF(NOT(ISNUMBER(G4263)), "", VLOOKUP(A4263,'Discount Lookup'!G:H,2,FALSE)*G4263)</f>
        <v/>
      </c>
      <c r="W4263" s="102">
        <f t="shared" si="3179"/>
        <v>0</v>
      </c>
      <c r="X4263" s="102" t="str">
        <f t="shared" si="3180"/>
        <v>Peach, Pink, Lavender, Yellow blooms</v>
      </c>
      <c r="Y4263" s="120" t="b">
        <f t="shared" si="3181"/>
        <v>0</v>
      </c>
      <c r="Z4263" s="117">
        <f t="shared" si="3182"/>
        <v>0</v>
      </c>
      <c r="AA4263" s="118"/>
      <c r="AB4263" s="118" t="str">
        <f t="shared" si="3183"/>
        <v/>
      </c>
      <c r="AC4263" s="712" t="str">
        <f>IF(AE4263="T2G","no charge",IF(AND(OR(PlanterYesMe="No",PlanterYesMe="N",PlanterYesMe="me"),H4263=""),"",IF(H4263="credit","NO install",IF(AND(K4263="",AE4263="me"),"EACH row",IF(AND(K4263="images",AE4263="me"),"EACH row",IF(D4263="","",IF(H4263="credit","",IF(AE4263="free","re-planting",IF(AE4263="me","   not ELP, by",IF(AND(OR(PlanterYesMe="Yes",PlanterYesMe="Y"),G4263&gt;0),(VLOOKUP(A4263,'Discount Lookup'!J:K,2)*G4263*(1-PlanterDiscount)*(1+PlanterDifficultyPercentage)),IF(AE4263="ELP",(VLOOKUP(A4263,'Discount Lookup'!J:K,2)*G4263*(1-PlanterDiscount)*(1+PlanterDifficultyPercentage)),IF(AE4263="free","re-planting",IF(G4263=0,"",IF(PlanterYesMe="",IF(AE4263="me","   not ELP, by",IF(AE4263="",IF(G4263&gt;0,(VLOOKUP(A4263,'Discount Lookup'!J:K,2)*G4263*(1-PlanterDiscount)*(1+PlanterDifficultyPercentage)),""),"")),"   not ELP, by"))))))))))))))</f>
        <v/>
      </c>
      <c r="AD4263" s="712"/>
      <c r="AE4263" s="513" t="str">
        <f t="shared" si="3184"/>
        <v/>
      </c>
      <c r="AF4263" s="713" t="str">
        <f t="shared" si="3185"/>
        <v/>
      </c>
      <c r="AG4263" s="713"/>
      <c r="AH4263" s="713"/>
      <c r="AI4263" s="112">
        <f>IF(H4263="credit",0,IF(AE4263="free",0,IF(AE4263="me",0,IF(G4263&gt;0,(VLOOKUP(A4263,'Discount Lookup'!J:K,2)*G4263),0))))</f>
        <v>0</v>
      </c>
      <c r="AJ4263" s="107" t="str">
        <f t="shared" ca="1" si="3186"/>
        <v/>
      </c>
      <c r="AK4263" s="714" t="str">
        <f t="shared" si="3187"/>
        <v/>
      </c>
      <c r="AL4263" s="714"/>
      <c r="AM4263" s="114" t="str">
        <f t="shared" si="3188"/>
        <v/>
      </c>
      <c r="AN4263" s="115"/>
      <c r="AO4263" s="116"/>
      <c r="AP4263" s="116"/>
      <c r="AQ4263" s="116"/>
      <c r="AR4263" s="116"/>
      <c r="AS4263" s="116"/>
      <c r="AT4263" s="116"/>
      <c r="AU4263" s="116"/>
      <c r="AV4263" s="78"/>
      <c r="AW4263" s="102"/>
      <c r="AX4263" s="78"/>
      <c r="AY4263" s="78"/>
      <c r="AZ4263" s="78"/>
      <c r="BA4263" s="78"/>
      <c r="BB4263" s="78"/>
      <c r="BC4263" s="78"/>
      <c r="BD4263" s="78"/>
      <c r="BE4263" s="465"/>
      <c r="BF4263" s="165" t="str">
        <f t="shared" si="3189"/>
        <v>https://www.google.com/search?tbm=isch&amp;q=Verbascum%20%27Southern%20Charm%27%20Southern%20Charm%20Verbascum</v>
      </c>
      <c r="BG4263" s="165" t="str">
        <f t="shared" si="3190"/>
        <v>V</v>
      </c>
      <c r="BH4263" s="65"/>
      <c r="BI4263" s="65"/>
      <c r="BJ4263" s="65"/>
      <c r="BK4263" s="65"/>
      <c r="BL4263" s="99"/>
      <c r="BM4263" s="99"/>
      <c r="BN4263" s="99"/>
    </row>
    <row r="4264" spans="1:66" s="51" customFormat="1" ht="27" x14ac:dyDescent="0.25">
      <c r="A4264" s="634">
        <v>2</v>
      </c>
      <c r="B4264" s="635" t="s">
        <v>291</v>
      </c>
      <c r="C4264" s="636" t="s">
        <v>5030</v>
      </c>
      <c r="D4264" s="637" t="s">
        <v>293</v>
      </c>
      <c r="E4264" s="638">
        <v>28.95</v>
      </c>
      <c r="F4264" s="639" t="s">
        <v>292</v>
      </c>
      <c r="G4264" s="484">
        <v>0</v>
      </c>
      <c r="H4264" s="691" t="str">
        <f>IF(G4264=0,"",IF(F4264="Buy",IF(G4264=1,"plant","plants"),IF(F4264&gt;0.01,"warranty","Error")))</f>
        <v/>
      </c>
      <c r="I4264" s="640">
        <f>IF(H4264="free",0,IF(H4264="credit",((E4264*(F4264))*G4264*-1),IF(F4264="Buy",(E4264*G4264),((E4264*(1-F4264))*G4264))))</f>
        <v>0</v>
      </c>
      <c r="J4264" s="640">
        <f>IF(H4264="warranty",0,(I4264*(_xlfn.SINGLE(SalesTaxPercentage))))</f>
        <v>0</v>
      </c>
      <c r="K4264" s="716">
        <f t="shared" ref="K4264" si="3198">I4264+J4264</f>
        <v>0</v>
      </c>
      <c r="L4264" s="716"/>
      <c r="M4264" s="689" t="str">
        <f ca="1">IF(AND(G4264&gt;0,E4264=0),"WARNING - no PRICE inserted",IF(H4264="free","FREE ~ no charge this plant",IF(H4264="credit",CONCATENATE("-$",ROUND(K4264*(1-_xlfn.SINGLE(T2GDiscount))*-1,2)," CREDIT after discount"),IF(_xlfn.SINGLE(T2GDiscount)=0,"",IF(G4264=0,"",IF(F4264="Buy",CONCATENATE("$",ROUND(K4264*(1-_xlfn.SINGLE(T2GDiscount)),2)," with ",(_xlfn.SINGLE(T2GDiscount)*100),"% discount"),CONCATENATE("$",ROUND(K4264*(1-_xlfn.SINGLE(T2GDiscount)),2)," with ",((_xlfn.SINGLE(T2GDiscount)*100+F4264*100)-(_xlfn.SINGLE(T2GDiscount)*100*F4264)),IF(F4264&gt;0,"% discounts",IF(_xlfn.SINGLE(NoWarrantyDiscount)&gt;0,"% discounts","% discount")))))))))</f>
        <v/>
      </c>
      <c r="N4264" s="690"/>
      <c r="O4264" s="486"/>
      <c r="P4264" s="486"/>
      <c r="Q4264" s="486"/>
      <c r="R4264" s="486"/>
      <c r="S4264" s="486"/>
      <c r="T4264" s="102">
        <f t="shared" si="3178"/>
        <v>0</v>
      </c>
      <c r="U4264" s="78">
        <f>IF(NOT(ISNUMBER(G4264)), "", VLOOKUP(A4264,'Discount Lookup'!D:E,2,FALSE)*G4264)</f>
        <v>0</v>
      </c>
      <c r="V4264" s="78">
        <f>IF(NOT(ISNUMBER(G4264)), "", VLOOKUP(A4264,'Discount Lookup'!G:H,2,FALSE)*G4264)</f>
        <v>0</v>
      </c>
      <c r="W4264" s="102">
        <f t="shared" si="3179"/>
        <v>0</v>
      </c>
      <c r="X4264" s="102">
        <f t="shared" si="3180"/>
        <v>0</v>
      </c>
      <c r="Y4264" s="120" t="b">
        <f t="shared" si="3181"/>
        <v>0</v>
      </c>
      <c r="Z4264" s="117">
        <f t="shared" si="3182"/>
        <v>0</v>
      </c>
      <c r="AA4264" s="118"/>
      <c r="AB4264" s="118" t="str">
        <f t="shared" si="3183"/>
        <v/>
      </c>
      <c r="AC4264" s="712" t="str">
        <f>IF(AE4264="T2G","no charge",IF(AND(OR(PlanterYesMe="No",PlanterYesMe="N",PlanterYesMe="me"),H4264=""),"",IF(H4264="credit","NO install",IF(AND(K4264="",AE4264="me"),"EACH row",IF(AND(K4264="images",AE4264="me"),"EACH row",IF(D4264="","",IF(H4264="credit","",IF(AE4264="free","re-planting",IF(AE4264="me","   not ELP, by",IF(AND(OR(PlanterYesMe="Yes",PlanterYesMe="Y"),G4264&gt;0),(VLOOKUP(A4264,'Discount Lookup'!J:K,2)*G4264*(1-PlanterDiscount)*(1+PlanterDifficultyPercentage)),IF(AE4264="ELP",(VLOOKUP(A4264,'Discount Lookup'!J:K,2)*G4264*(1-PlanterDiscount)*(1+PlanterDifficultyPercentage)),IF(AE4264="free","re-planting",IF(G4264=0,"",IF(PlanterYesMe="",IF(AE4264="me","   not ELP, by",IF(AE4264="",IF(G4264&gt;0,(VLOOKUP(A4264,'Discount Lookup'!J:K,2)*G4264*(1-PlanterDiscount)*(1+PlanterDifficultyPercentage)),""),"")),"   not ELP, by"))))))))))))))</f>
        <v/>
      </c>
      <c r="AD4264" s="712"/>
      <c r="AE4264" s="513" t="str">
        <f t="shared" si="3184"/>
        <v/>
      </c>
      <c r="AF4264" s="713" t="str">
        <f t="shared" si="3185"/>
        <v/>
      </c>
      <c r="AG4264" s="713"/>
      <c r="AH4264" s="713"/>
      <c r="AI4264" s="112">
        <f>IF(H4264="credit",0,IF(AE4264="free",0,IF(AE4264="me",0,IF(G4264&gt;0,(VLOOKUP(A4264,'Discount Lookup'!J:K,2)*G4264),0))))</f>
        <v>0</v>
      </c>
      <c r="AJ4264" s="107" t="str">
        <f t="shared" ca="1" si="3186"/>
        <v/>
      </c>
      <c r="AK4264" s="714" t="str">
        <f t="shared" si="3187"/>
        <v/>
      </c>
      <c r="AL4264" s="714"/>
      <c r="AM4264" s="114" t="str">
        <f t="shared" si="3188"/>
        <v/>
      </c>
      <c r="AN4264" s="115"/>
      <c r="AO4264" s="116"/>
      <c r="AP4264" s="116"/>
      <c r="AQ4264" s="116"/>
      <c r="AR4264" s="116"/>
      <c r="AS4264" s="116"/>
      <c r="AT4264" s="116"/>
      <c r="AU4264" s="116"/>
      <c r="AV4264" s="78"/>
      <c r="AW4264" s="102"/>
      <c r="AX4264" s="78"/>
      <c r="AY4264" s="78"/>
      <c r="AZ4264" s="78"/>
      <c r="BA4264" s="78"/>
      <c r="BB4264" s="78"/>
      <c r="BC4264" s="78"/>
      <c r="BD4264" s="78"/>
      <c r="BE4264" s="465"/>
      <c r="BF4264" s="165" t="str">
        <f t="shared" si="3189"/>
        <v>https://www.google.com/search?tbm=isch&amp;q=2%20G6</v>
      </c>
      <c r="BG4264" s="165" t="str">
        <f t="shared" si="3190"/>
        <v>V</v>
      </c>
      <c r="BH4264" s="65"/>
      <c r="BI4264" s="65"/>
      <c r="BJ4264" s="65"/>
      <c r="BK4264" s="65"/>
      <c r="BL4264" s="99"/>
      <c r="BM4264" s="99"/>
      <c r="BN4264" s="99"/>
    </row>
    <row r="4265" spans="1:66" s="51" customFormat="1" ht="16.5" x14ac:dyDescent="0.25">
      <c r="A4265" s="641" t="s">
        <v>4441</v>
      </c>
      <c r="B4265" s="642"/>
      <c r="C4265" s="710"/>
      <c r="D4265" s="643"/>
      <c r="E4265" s="643"/>
      <c r="F4265" s="644"/>
      <c r="G4265" s="645"/>
      <c r="H4265" s="646"/>
      <c r="I4265" s="647"/>
      <c r="J4265" s="648"/>
      <c r="K4265" s="649"/>
      <c r="L4265" s="650"/>
      <c r="M4265" s="650"/>
      <c r="N4265" s="644"/>
      <c r="O4265" s="644"/>
      <c r="P4265" s="644"/>
      <c r="Q4265" s="644"/>
      <c r="R4265" s="644"/>
      <c r="S4265" s="701" t="s">
        <v>5271</v>
      </c>
      <c r="T4265" s="102">
        <f t="shared" si="3178"/>
        <v>0</v>
      </c>
      <c r="U4265" s="78" t="str">
        <f>IF(NOT(ISNUMBER(G4265)), "", VLOOKUP(A4265,'Discount Lookup'!D:E,2,FALSE)*G4265)</f>
        <v/>
      </c>
      <c r="V4265" s="78" t="str">
        <f>IF(NOT(ISNUMBER(G4265)), "", VLOOKUP(A4265,'Discount Lookup'!G:H,2,FALSE)*G4265)</f>
        <v/>
      </c>
      <c r="W4265" s="102">
        <f t="shared" si="3179"/>
        <v>0</v>
      </c>
      <c r="X4265" s="102">
        <f t="shared" si="3180"/>
        <v>0</v>
      </c>
      <c r="Y4265" s="120" t="b">
        <f t="shared" si="3181"/>
        <v>0</v>
      </c>
      <c r="Z4265" s="117">
        <f t="shared" si="3182"/>
        <v>0</v>
      </c>
      <c r="AA4265" s="118"/>
      <c r="AB4265" s="118" t="str">
        <f t="shared" si="3183"/>
        <v/>
      </c>
      <c r="AC4265" s="712" t="str">
        <f>IF(AE4265="T2G","no charge",IF(AND(OR(PlanterYesMe="No",PlanterYesMe="N",PlanterYesMe="me"),H4265=""),"",IF(H4265="credit","NO install",IF(AND(K4265="",AE4265="me"),"EACH row",IF(AND(K4265="images",AE4265="me"),"EACH row",IF(D4265="","",IF(H4265="credit","",IF(AE4265="free","re-planting",IF(AE4265="me","   not ELP, by",IF(AND(OR(PlanterYesMe="Yes",PlanterYesMe="Y"),G4265&gt;0),(VLOOKUP(A4265,'Discount Lookup'!J:K,2)*G4265*(1-PlanterDiscount)*(1+PlanterDifficultyPercentage)),IF(AE4265="ELP",(VLOOKUP(A4265,'Discount Lookup'!J:K,2)*G4265*(1-PlanterDiscount)*(1+PlanterDifficultyPercentage)),IF(AE4265="free","re-planting",IF(G4265=0,"",IF(PlanterYesMe="",IF(AE4265="me","   not ELP, by",IF(AE4265="",IF(G4265&gt;0,(VLOOKUP(A4265,'Discount Lookup'!J:K,2)*G4265*(1-PlanterDiscount)*(1+PlanterDifficultyPercentage)),""),"")),"   not ELP, by"))))))))))))))</f>
        <v/>
      </c>
      <c r="AD4265" s="712"/>
      <c r="AE4265" s="513" t="str">
        <f t="shared" si="3184"/>
        <v/>
      </c>
      <c r="AF4265" s="713" t="str">
        <f t="shared" si="3185"/>
        <v/>
      </c>
      <c r="AG4265" s="713"/>
      <c r="AH4265" s="713"/>
      <c r="AI4265" s="112">
        <f>IF(H4265="credit",0,IF(AE4265="free",0,IF(AE4265="me",0,IF(G4265&gt;0,(VLOOKUP(A4265,'Discount Lookup'!J:K,2)*G4265),0))))</f>
        <v>0</v>
      </c>
      <c r="AJ4265" s="107" t="str">
        <f t="shared" ca="1" si="3186"/>
        <v/>
      </c>
      <c r="AK4265" s="714" t="str">
        <f t="shared" si="3187"/>
        <v/>
      </c>
      <c r="AL4265" s="714"/>
      <c r="AM4265" s="114" t="str">
        <f t="shared" si="3188"/>
        <v/>
      </c>
      <c r="AN4265" s="115"/>
      <c r="AO4265" s="116"/>
      <c r="AP4265" s="116"/>
      <c r="AQ4265" s="116"/>
      <c r="AR4265" s="116"/>
      <c r="AS4265" s="116"/>
      <c r="AT4265" s="116"/>
      <c r="AU4265" s="116"/>
      <c r="AV4265" s="78"/>
      <c r="AW4265" s="102"/>
      <c r="AX4265" s="78"/>
      <c r="AY4265" s="78"/>
      <c r="AZ4265" s="78"/>
      <c r="BA4265" s="78"/>
      <c r="BB4265" s="78"/>
      <c r="BC4265" s="78"/>
      <c r="BD4265" s="78"/>
      <c r="BE4265" s="465"/>
      <c r="BF4265" s="165" t="str">
        <f t="shared" si="3189"/>
        <v>https://www.google.com/search?tbm=isch&amp;q=Southern%20Charm%20delivers%20vertical%20elegance%20with%20Pastel%20flower%20spikes%20and%20Silvery%20foliage.%20Excellent%20flowers%20for%20cutting%20</v>
      </c>
      <c r="BG4265" s="165" t="str">
        <f t="shared" si="3190"/>
        <v>S</v>
      </c>
      <c r="BH4265" s="65"/>
      <c r="BI4265" s="65"/>
      <c r="BJ4265" s="65"/>
      <c r="BK4265" s="65"/>
      <c r="BL4265" s="99"/>
      <c r="BM4265" s="99"/>
      <c r="BN4265" s="99"/>
    </row>
    <row r="4266" spans="1:66" s="51" customFormat="1" ht="19.5" thickBot="1" x14ac:dyDescent="0.3">
      <c r="A4266" s="686" t="s">
        <v>814</v>
      </c>
      <c r="B4266" s="73"/>
      <c r="C4266" s="708"/>
      <c r="D4266" s="73"/>
      <c r="E4266" s="73"/>
      <c r="F4266" s="496"/>
      <c r="G4266" s="73"/>
      <c r="H4266" s="73"/>
      <c r="I4266" s="73"/>
      <c r="J4266" s="497" t="s">
        <v>357</v>
      </c>
      <c r="K4266" s="498"/>
      <c r="L4266" s="562"/>
      <c r="M4266" s="73"/>
      <c r="N4266"/>
      <c r="O4266"/>
      <c r="P4266"/>
      <c r="Q4266"/>
      <c r="R4266"/>
      <c r="S4266"/>
      <c r="T4266" s="102">
        <f t="shared" si="3178"/>
        <v>0</v>
      </c>
      <c r="U4266" s="78" t="str">
        <f>IF(NOT(ISNUMBER(G4266)), "", VLOOKUP(A4266,'Discount Lookup'!D:E,2,FALSE)*G4266)</f>
        <v/>
      </c>
      <c r="V4266" s="78" t="str">
        <f>IF(NOT(ISNUMBER(G4266)), "", VLOOKUP(A4266,'Discount Lookup'!G:H,2,FALSE)*G4266)</f>
        <v/>
      </c>
      <c r="W4266" s="102">
        <f t="shared" si="3179"/>
        <v>0</v>
      </c>
      <c r="X4266" s="102">
        <f t="shared" si="3180"/>
        <v>0</v>
      </c>
      <c r="Y4266" s="120" t="b">
        <f t="shared" si="3181"/>
        <v>0</v>
      </c>
      <c r="Z4266" s="117">
        <f t="shared" si="3182"/>
        <v>0</v>
      </c>
      <c r="AA4266" s="118"/>
      <c r="AB4266" s="118" t="str">
        <f t="shared" si="3183"/>
        <v/>
      </c>
      <c r="AC4266" s="712" t="str">
        <f>IF(AE4266="T2G","no charge",IF(AND(OR(PlanterYesMe="No",PlanterYesMe="N",PlanterYesMe="me"),H4266=""),"",IF(H4266="credit","NO install",IF(AND(K4266="",AE4266="me"),"EACH row",IF(AND(K4266="images",AE4266="me"),"EACH row",IF(D4266="","",IF(H4266="credit","",IF(AE4266="free","re-planting",IF(AE4266="me","   not ELP, by",IF(AND(OR(PlanterYesMe="Yes",PlanterYesMe="Y"),G4266&gt;0),(VLOOKUP(A4266,'Discount Lookup'!J:K,2)*G4266*(1-PlanterDiscount)*(1+PlanterDifficultyPercentage)),IF(AE4266="ELP",(VLOOKUP(A4266,'Discount Lookup'!J:K,2)*G4266*(1-PlanterDiscount)*(1+PlanterDifficultyPercentage)),IF(AE4266="free","re-planting",IF(G4266=0,"",IF(PlanterYesMe="",IF(AE4266="me","   not ELP, by",IF(AE4266="",IF(G4266&gt;0,(VLOOKUP(A4266,'Discount Lookup'!J:K,2)*G4266*(1-PlanterDiscount)*(1+PlanterDifficultyPercentage)),""),"")),"   not ELP, by"))))))))))))))</f>
        <v/>
      </c>
      <c r="AD4266" s="712"/>
      <c r="AE4266" s="513" t="str">
        <f t="shared" si="3184"/>
        <v/>
      </c>
      <c r="AF4266" s="713" t="str">
        <f t="shared" si="3185"/>
        <v/>
      </c>
      <c r="AG4266" s="713"/>
      <c r="AH4266" s="713"/>
      <c r="AI4266" s="112">
        <f>IF(H4266="credit",0,IF(AE4266="free",0,IF(AE4266="me",0,IF(G4266&gt;0,(VLOOKUP(A4266,'Discount Lookup'!J:K,2)*G4266),0))))</f>
        <v>0</v>
      </c>
      <c r="AJ4266" s="107" t="str">
        <f t="shared" ca="1" si="3186"/>
        <v/>
      </c>
      <c r="AK4266" s="714" t="str">
        <f t="shared" si="3187"/>
        <v/>
      </c>
      <c r="AL4266" s="714"/>
      <c r="AM4266" s="114" t="str">
        <f t="shared" si="3188"/>
        <v/>
      </c>
      <c r="AN4266" s="115"/>
      <c r="AO4266" s="116"/>
      <c r="AP4266" s="116"/>
      <c r="AQ4266" s="116"/>
      <c r="AR4266" s="116"/>
      <c r="AS4266" s="116"/>
      <c r="AT4266" s="116"/>
      <c r="AU4266" s="116"/>
      <c r="AV4266" s="78"/>
      <c r="AW4266" s="102"/>
      <c r="AX4266" s="78"/>
      <c r="AY4266" s="78"/>
      <c r="AZ4266" s="78"/>
      <c r="BA4266" s="78"/>
      <c r="BB4266" s="78"/>
      <c r="BC4266" s="78"/>
      <c r="BD4266" s="78"/>
      <c r="BE4266" s="465"/>
      <c r="BF4266" s="165" t="str">
        <f t="shared" si="3189"/>
        <v>https://www.google.com/search?tbm=isch&amp;q=Verbena%20%3D%20Vervain%20</v>
      </c>
      <c r="BG4266" s="165" t="str">
        <f t="shared" si="3190"/>
        <v>V</v>
      </c>
      <c r="BH4266" s="65"/>
      <c r="BI4266" s="65"/>
      <c r="BJ4266" s="65"/>
      <c r="BK4266" s="65"/>
      <c r="BL4266" s="99"/>
      <c r="BM4266" s="99"/>
      <c r="BN4266" s="99"/>
    </row>
    <row r="4267" spans="1:66" s="51" customFormat="1" ht="18" x14ac:dyDescent="0.25">
      <c r="A4267" s="507" t="s">
        <v>4442</v>
      </c>
      <c r="B4267" s="470"/>
      <c r="C4267" s="706"/>
      <c r="D4267" s="471" t="s">
        <v>4443</v>
      </c>
      <c r="E4267" s="472"/>
      <c r="F4267" s="472"/>
      <c r="G4267" s="472"/>
      <c r="H4267" s="622" t="s">
        <v>4900</v>
      </c>
      <c r="I4267" s="473" t="s">
        <v>1458</v>
      </c>
      <c r="J4267" s="472"/>
      <c r="K4267" s="472"/>
      <c r="L4267" s="561"/>
      <c r="M4267" s="698" t="s">
        <v>5246</v>
      </c>
      <c r="N4267" s="692" t="str">
        <f>IF(AND(ISTEXT($A4267), ISERROR($A4267+0)), HYPERLINK($BF4267, "Images"), "")</f>
        <v>Images</v>
      </c>
      <c r="O4267" s="694" t="s">
        <v>5247</v>
      </c>
      <c r="P4267" s="475"/>
      <c r="Q4267" s="476"/>
      <c r="R4267" s="476"/>
      <c r="S4267" s="477" t="s">
        <v>294</v>
      </c>
      <c r="T4267" s="102">
        <f t="shared" si="3178"/>
        <v>0</v>
      </c>
      <c r="U4267" s="78" t="str">
        <f>IF(NOT(ISNUMBER(G4267)), "", VLOOKUP(A4267,'Discount Lookup'!D:E,2,FALSE)*G4267)</f>
        <v/>
      </c>
      <c r="V4267" s="78" t="str">
        <f>IF(NOT(ISNUMBER(G4267)), "", VLOOKUP(A4267,'Discount Lookup'!G:H,2,FALSE)*G4267)</f>
        <v/>
      </c>
      <c r="W4267" s="102">
        <f t="shared" si="3179"/>
        <v>0</v>
      </c>
      <c r="X4267" s="102" t="str">
        <f t="shared" si="3180"/>
        <v>Pink bloom</v>
      </c>
      <c r="Y4267" s="120" t="b">
        <f t="shared" si="3181"/>
        <v>0</v>
      </c>
      <c r="Z4267" s="117">
        <f t="shared" si="3182"/>
        <v>0</v>
      </c>
      <c r="AA4267" s="118"/>
      <c r="AB4267" s="118" t="str">
        <f t="shared" si="3183"/>
        <v/>
      </c>
      <c r="AC4267" s="712" t="str">
        <f>IF(AE4267="T2G","no charge",IF(AND(OR(PlanterYesMe="No",PlanterYesMe="N",PlanterYesMe="me"),H4267=""),"",IF(H4267="credit","NO install",IF(AND(K4267="",AE4267="me"),"EACH row",IF(AND(K4267="images",AE4267="me"),"EACH row",IF(D4267="","",IF(H4267="credit","",IF(AE4267="free","re-planting",IF(AE4267="me","   not ELP, by",IF(AND(OR(PlanterYesMe="Yes",PlanterYesMe="Y"),G4267&gt;0),(VLOOKUP(A4267,'Discount Lookup'!J:K,2)*G4267*(1-PlanterDiscount)*(1+PlanterDifficultyPercentage)),IF(AE4267="ELP",(VLOOKUP(A4267,'Discount Lookup'!J:K,2)*G4267*(1-PlanterDiscount)*(1+PlanterDifficultyPercentage)),IF(AE4267="free","re-planting",IF(G4267=0,"",IF(PlanterYesMe="",IF(AE4267="me","   not ELP, by",IF(AE4267="",IF(G4267&gt;0,(VLOOKUP(A4267,'Discount Lookup'!J:K,2)*G4267*(1-PlanterDiscount)*(1+PlanterDifficultyPercentage)),""),"")),"   not ELP, by"))))))))))))))</f>
        <v/>
      </c>
      <c r="AD4267" s="712"/>
      <c r="AE4267" s="513" t="str">
        <f t="shared" si="3184"/>
        <v/>
      </c>
      <c r="AF4267" s="713" t="str">
        <f t="shared" si="3185"/>
        <v/>
      </c>
      <c r="AG4267" s="713"/>
      <c r="AH4267" s="713"/>
      <c r="AI4267" s="112">
        <f>IF(H4267="credit",0,IF(AE4267="free",0,IF(AE4267="me",0,IF(G4267&gt;0,(VLOOKUP(A4267,'Discount Lookup'!J:K,2)*G4267),0))))</f>
        <v>0</v>
      </c>
      <c r="AJ4267" s="107" t="str">
        <f t="shared" ca="1" si="3186"/>
        <v/>
      </c>
      <c r="AK4267" s="714" t="str">
        <f t="shared" si="3187"/>
        <v/>
      </c>
      <c r="AL4267" s="714"/>
      <c r="AM4267" s="114" t="str">
        <f t="shared" si="3188"/>
        <v/>
      </c>
      <c r="AN4267" s="115"/>
      <c r="AO4267" s="116"/>
      <c r="AP4267" s="116"/>
      <c r="AQ4267" s="116"/>
      <c r="AR4267" s="116"/>
      <c r="AS4267" s="116"/>
      <c r="AT4267" s="116"/>
      <c r="AU4267" s="116"/>
      <c r="AV4267" s="78"/>
      <c r="AW4267" s="102"/>
      <c r="AX4267" s="78"/>
      <c r="AY4267" s="78"/>
      <c r="AZ4267" s="78"/>
      <c r="BA4267" s="78"/>
      <c r="BB4267" s="78"/>
      <c r="BC4267" s="78"/>
      <c r="BD4267" s="78"/>
      <c r="BE4267" s="465"/>
      <c r="BF4267" s="165" t="str">
        <f t="shared" si="3189"/>
        <v>https://www.google.com/search?tbm=isch&amp;q=Verbena%20canadensis%20%27Homestead%20Hot%20Pink%27%20PP%2334360%20Homestead%20Hot%20Pink%20Verbena</v>
      </c>
      <c r="BG4267" s="165" t="str">
        <f t="shared" si="3190"/>
        <v>V</v>
      </c>
      <c r="BH4267" s="65"/>
      <c r="BI4267" s="65"/>
      <c r="BJ4267" s="65"/>
      <c r="BK4267" s="65"/>
      <c r="BL4267" s="99"/>
      <c r="BM4267" s="99"/>
      <c r="BN4267" s="99"/>
    </row>
    <row r="4268" spans="1:66" s="51" customFormat="1" ht="15.75" x14ac:dyDescent="0.25">
      <c r="A4268" s="478">
        <v>2</v>
      </c>
      <c r="B4268" s="479" t="s">
        <v>291</v>
      </c>
      <c r="C4268" s="480" t="s">
        <v>5031</v>
      </c>
      <c r="D4268" s="481" t="s">
        <v>293</v>
      </c>
      <c r="E4268" s="482">
        <v>28.95</v>
      </c>
      <c r="F4268" s="483" t="s">
        <v>292</v>
      </c>
      <c r="G4268" s="484">
        <v>0</v>
      </c>
      <c r="H4268" s="688" t="str">
        <f>IF(G4268=0,"",IF(F4268="Buy",IF(G4268=1,"plant","plants"),IF(F4268&gt;0.01,"warranty","Error")))</f>
        <v/>
      </c>
      <c r="I4268" s="485">
        <f>IF(H4268="free",0,IF(H4268="credit",((E4268*(F4268))*G4268*-1),IF(F4268="Buy",(E4268*G4268),((E4268*(1-F4268))*G4268))))</f>
        <v>0</v>
      </c>
      <c r="J4268" s="485">
        <f>IF(H4268="warranty",0,(I4268*(_xlfn.SINGLE(SalesTaxPercentage))))</f>
        <v>0</v>
      </c>
      <c r="K4268" s="715">
        <f t="shared" ref="K4268" si="3199">I4268+J4268</f>
        <v>0</v>
      </c>
      <c r="L4268" s="715"/>
      <c r="M4268" s="689" t="str">
        <f ca="1">IF(AND(G4268&gt;0,E4268=0),"WARNING - no PRICE inserted",IF(H4268="free","FREE ~ no charge this plant",IF(H4268="credit",CONCATENATE("-$",ROUND(K4268*(1-_xlfn.SINGLE(T2GDiscount))*-1,2)," CREDIT after discount"),IF(_xlfn.SINGLE(T2GDiscount)=0,"",IF(G4268=0,"",IF(F4268="Buy",CONCATENATE("$",ROUND(K4268*(1-_xlfn.SINGLE(T2GDiscount)),2)," with ",(_xlfn.SINGLE(T2GDiscount)*100),"% discount"),CONCATENATE("$",ROUND(K4268*(1-_xlfn.SINGLE(T2GDiscount)),2)," with ",((_xlfn.SINGLE(T2GDiscount)*100+F4268*100)-(_xlfn.SINGLE(T2GDiscount)*100*F4268)),IF(F4268&gt;0,"% discounts",IF(_xlfn.SINGLE(NoWarrantyDiscount)&gt;0,"% discounts","% discount")))))))))</f>
        <v/>
      </c>
      <c r="N4268" s="690"/>
      <c r="O4268" s="486"/>
      <c r="P4268" s="486"/>
      <c r="Q4268" s="486"/>
      <c r="R4268" s="486"/>
      <c r="S4268" s="486"/>
      <c r="T4268" s="102">
        <f t="shared" si="3178"/>
        <v>0</v>
      </c>
      <c r="U4268" s="78">
        <f>IF(NOT(ISNUMBER(G4268)), "", VLOOKUP(A4268,'Discount Lookup'!D:E,2,FALSE)*G4268)</f>
        <v>0</v>
      </c>
      <c r="V4268" s="78">
        <f>IF(NOT(ISNUMBER(G4268)), "", VLOOKUP(A4268,'Discount Lookup'!G:H,2,FALSE)*G4268)</f>
        <v>0</v>
      </c>
      <c r="W4268" s="102">
        <f t="shared" si="3179"/>
        <v>0</v>
      </c>
      <c r="X4268" s="102">
        <f t="shared" si="3180"/>
        <v>0</v>
      </c>
      <c r="Y4268" s="120" t="b">
        <f t="shared" si="3181"/>
        <v>0</v>
      </c>
      <c r="Z4268" s="117">
        <f t="shared" si="3182"/>
        <v>0</v>
      </c>
      <c r="AA4268" s="118"/>
      <c r="AB4268" s="118" t="str">
        <f t="shared" si="3183"/>
        <v/>
      </c>
      <c r="AC4268" s="712" t="str">
        <f>IF(AE4268="T2G","no charge",IF(AND(OR(PlanterYesMe="No",PlanterYesMe="N",PlanterYesMe="me"),H4268=""),"",IF(H4268="credit","NO install",IF(AND(K4268="",AE4268="me"),"EACH row",IF(AND(K4268="images",AE4268="me"),"EACH row",IF(D4268="","",IF(H4268="credit","",IF(AE4268="free","re-planting",IF(AE4268="me","   not ELP, by",IF(AND(OR(PlanterYesMe="Yes",PlanterYesMe="Y"),G4268&gt;0),(VLOOKUP(A4268,'Discount Lookup'!J:K,2)*G4268*(1-PlanterDiscount)*(1+PlanterDifficultyPercentage)),IF(AE4268="ELP",(VLOOKUP(A4268,'Discount Lookup'!J:K,2)*G4268*(1-PlanterDiscount)*(1+PlanterDifficultyPercentage)),IF(AE4268="free","re-planting",IF(G4268=0,"",IF(PlanterYesMe="",IF(AE4268="me","   not ELP, by",IF(AE4268="",IF(G4268&gt;0,(VLOOKUP(A4268,'Discount Lookup'!J:K,2)*G4268*(1-PlanterDiscount)*(1+PlanterDifficultyPercentage)),""),"")),"   not ELP, by"))))))))))))))</f>
        <v/>
      </c>
      <c r="AD4268" s="712"/>
      <c r="AE4268" s="513" t="str">
        <f t="shared" si="3184"/>
        <v/>
      </c>
      <c r="AF4268" s="713" t="str">
        <f t="shared" si="3185"/>
        <v/>
      </c>
      <c r="AG4268" s="713"/>
      <c r="AH4268" s="713"/>
      <c r="AI4268" s="112">
        <f>IF(H4268="credit",0,IF(AE4268="free",0,IF(AE4268="me",0,IF(G4268&gt;0,(VLOOKUP(A4268,'Discount Lookup'!J:K,2)*G4268),0))))</f>
        <v>0</v>
      </c>
      <c r="AJ4268" s="107" t="str">
        <f t="shared" ca="1" si="3186"/>
        <v/>
      </c>
      <c r="AK4268" s="714" t="str">
        <f t="shared" si="3187"/>
        <v/>
      </c>
      <c r="AL4268" s="714"/>
      <c r="AM4268" s="114" t="str">
        <f t="shared" si="3188"/>
        <v/>
      </c>
      <c r="AN4268" s="115"/>
      <c r="AO4268" s="116"/>
      <c r="AP4268" s="116"/>
      <c r="AQ4268" s="116"/>
      <c r="AR4268" s="116"/>
      <c r="AS4268" s="116"/>
      <c r="AT4268" s="116"/>
      <c r="AU4268" s="116"/>
      <c r="AV4268" s="78"/>
      <c r="AW4268" s="102"/>
      <c r="AX4268" s="78"/>
      <c r="AY4268" s="78"/>
      <c r="AZ4268" s="78"/>
      <c r="BA4268" s="78"/>
      <c r="BB4268" s="78"/>
      <c r="BC4268" s="78"/>
      <c r="BD4268" s="78"/>
      <c r="BE4268" s="465"/>
      <c r="BF4268" s="165" t="str">
        <f t="shared" si="3189"/>
        <v>https://www.google.com/search?tbm=isch&amp;q=2%20G6</v>
      </c>
      <c r="BG4268" s="165" t="str">
        <f t="shared" si="3190"/>
        <v>V</v>
      </c>
      <c r="BH4268" s="65"/>
      <c r="BI4268" s="65"/>
      <c r="BJ4268" s="65"/>
      <c r="BK4268" s="65"/>
      <c r="BL4268" s="99"/>
      <c r="BM4268" s="99"/>
      <c r="BN4268" s="99"/>
    </row>
    <row r="4269" spans="1:66" s="51" customFormat="1" ht="17.25" thickBot="1" x14ac:dyDescent="0.3">
      <c r="A4269" s="508" t="s">
        <v>4444</v>
      </c>
      <c r="B4269" s="487"/>
      <c r="C4269" s="707"/>
      <c r="D4269" s="487"/>
      <c r="E4269" s="487"/>
      <c r="F4269" s="488"/>
      <c r="G4269" s="489"/>
      <c r="H4269" s="487"/>
      <c r="I4269" s="490"/>
      <c r="J4269" s="490"/>
      <c r="K4269" s="491"/>
      <c r="L4269" s="547"/>
      <c r="M4269" s="528"/>
      <c r="N4269" s="492"/>
      <c r="O4269" s="493"/>
      <c r="P4269" s="494"/>
      <c r="Q4269" s="492"/>
      <c r="R4269" s="492"/>
      <c r="S4269" s="699" t="s">
        <v>5248</v>
      </c>
      <c r="T4269" s="102">
        <f t="shared" si="3178"/>
        <v>0</v>
      </c>
      <c r="U4269" s="78" t="str">
        <f>IF(NOT(ISNUMBER(G4269)), "", VLOOKUP(A4269,'Discount Lookup'!D:E,2,FALSE)*G4269)</f>
        <v/>
      </c>
      <c r="V4269" s="78" t="str">
        <f>IF(NOT(ISNUMBER(G4269)), "", VLOOKUP(A4269,'Discount Lookup'!G:H,2,FALSE)*G4269)</f>
        <v/>
      </c>
      <c r="W4269" s="102">
        <f t="shared" si="3179"/>
        <v>0</v>
      </c>
      <c r="X4269" s="102">
        <f t="shared" si="3180"/>
        <v>0</v>
      </c>
      <c r="Y4269" s="120" t="b">
        <f t="shared" si="3181"/>
        <v>0</v>
      </c>
      <c r="Z4269" s="117">
        <f t="shared" si="3182"/>
        <v>0</v>
      </c>
      <c r="AA4269" s="118"/>
      <c r="AB4269" s="118" t="str">
        <f t="shared" si="3183"/>
        <v/>
      </c>
      <c r="AC4269" s="712" t="str">
        <f>IF(AE4269="T2G","no charge",IF(AND(OR(PlanterYesMe="No",PlanterYesMe="N",PlanterYesMe="me"),H4269=""),"",IF(H4269="credit","NO install",IF(AND(K4269="",AE4269="me"),"EACH row",IF(AND(K4269="images",AE4269="me"),"EACH row",IF(D4269="","",IF(H4269="credit","",IF(AE4269="free","re-planting",IF(AE4269="me","   not ELP, by",IF(AND(OR(PlanterYesMe="Yes",PlanterYesMe="Y"),G4269&gt;0),(VLOOKUP(A4269,'Discount Lookup'!J:K,2)*G4269*(1-PlanterDiscount)*(1+PlanterDifficultyPercentage)),IF(AE4269="ELP",(VLOOKUP(A4269,'Discount Lookup'!J:K,2)*G4269*(1-PlanterDiscount)*(1+PlanterDifficultyPercentage)),IF(AE4269="free","re-planting",IF(G4269=0,"",IF(PlanterYesMe="",IF(AE4269="me","   not ELP, by",IF(AE4269="",IF(G4269&gt;0,(VLOOKUP(A4269,'Discount Lookup'!J:K,2)*G4269*(1-PlanterDiscount)*(1+PlanterDifficultyPercentage)),""),"")),"   not ELP, by"))))))))))))))</f>
        <v/>
      </c>
      <c r="AD4269" s="712"/>
      <c r="AE4269" s="513" t="str">
        <f t="shared" si="3184"/>
        <v/>
      </c>
      <c r="AF4269" s="713" t="str">
        <f t="shared" si="3185"/>
        <v/>
      </c>
      <c r="AG4269" s="713"/>
      <c r="AH4269" s="713"/>
      <c r="AI4269" s="112">
        <f>IF(H4269="credit",0,IF(AE4269="free",0,IF(AE4269="me",0,IF(G4269&gt;0,(VLOOKUP(A4269,'Discount Lookup'!J:K,2)*G4269),0))))</f>
        <v>0</v>
      </c>
      <c r="AJ4269" s="107" t="str">
        <f t="shared" ca="1" si="3186"/>
        <v/>
      </c>
      <c r="AK4269" s="714" t="str">
        <f t="shared" si="3187"/>
        <v/>
      </c>
      <c r="AL4269" s="714"/>
      <c r="AM4269" s="114" t="str">
        <f t="shared" si="3188"/>
        <v/>
      </c>
      <c r="AN4269" s="115"/>
      <c r="AO4269" s="116"/>
      <c r="AP4269" s="116"/>
      <c r="AQ4269" s="116"/>
      <c r="AR4269" s="116"/>
      <c r="AS4269" s="116"/>
      <c r="AT4269" s="116"/>
      <c r="AU4269" s="116"/>
      <c r="AV4269" s="78"/>
      <c r="AW4269" s="102"/>
      <c r="AX4269" s="78"/>
      <c r="AY4269" s="78"/>
      <c r="AZ4269" s="78"/>
      <c r="BA4269" s="78"/>
      <c r="BB4269" s="78"/>
      <c r="BC4269" s="78"/>
      <c r="BD4269" s="78"/>
      <c r="BE4269" s="465"/>
      <c r="BF4269" s="165" t="str">
        <f t="shared" si="3189"/>
        <v>https://www.google.com/search?tbm=isch&amp;q=Homestead%27%20Hot%20Pink%20bloom%2C%20like%20other%20Verbena%2C%20has%20star-shaped%20flowers%20that%20bloom%20May%20through%20frost.%20</v>
      </c>
      <c r="BG4269" s="165" t="str">
        <f t="shared" si="3190"/>
        <v>H</v>
      </c>
      <c r="BH4269" s="65"/>
      <c r="BI4269" s="65"/>
      <c r="BJ4269" s="65"/>
      <c r="BK4269" s="65"/>
      <c r="BL4269" s="99"/>
      <c r="BM4269" s="99"/>
      <c r="BN4269" s="99"/>
    </row>
    <row r="4270" spans="1:66" s="51" customFormat="1" ht="18" x14ac:dyDescent="0.25">
      <c r="A4270" s="507" t="s">
        <v>4445</v>
      </c>
      <c r="B4270" s="470"/>
      <c r="C4270" s="706"/>
      <c r="D4270" s="471" t="s">
        <v>4446</v>
      </c>
      <c r="E4270" s="472"/>
      <c r="F4270" s="472"/>
      <c r="G4270" s="472"/>
      <c r="H4270" s="622" t="s">
        <v>4900</v>
      </c>
      <c r="I4270" s="473" t="s">
        <v>1450</v>
      </c>
      <c r="J4270" s="472"/>
      <c r="K4270" s="472"/>
      <c r="L4270" s="561"/>
      <c r="M4270" s="698" t="s">
        <v>5246</v>
      </c>
      <c r="N4270" s="692" t="str">
        <f>IF(AND(ISTEXT($A4270), ISERROR($A4270+0)), HYPERLINK($BF4270, "Images"), "")</f>
        <v>Images</v>
      </c>
      <c r="O4270" s="694" t="s">
        <v>5247</v>
      </c>
      <c r="P4270" s="475"/>
      <c r="Q4270" s="476"/>
      <c r="R4270" s="476"/>
      <c r="S4270" s="477" t="s">
        <v>294</v>
      </c>
      <c r="T4270" s="102">
        <f t="shared" si="3178"/>
        <v>0</v>
      </c>
      <c r="U4270" s="78" t="str">
        <f>IF(NOT(ISNUMBER(G4270)), "", VLOOKUP(A4270,'Discount Lookup'!D:E,2,FALSE)*G4270)</f>
        <v/>
      </c>
      <c r="V4270" s="78" t="str">
        <f>IF(NOT(ISNUMBER(G4270)), "", VLOOKUP(A4270,'Discount Lookup'!G:H,2,FALSE)*G4270)</f>
        <v/>
      </c>
      <c r="W4270" s="102">
        <f t="shared" si="3179"/>
        <v>0</v>
      </c>
      <c r="X4270" s="102" t="str">
        <f t="shared" si="3180"/>
        <v>Purple bloom</v>
      </c>
      <c r="Y4270" s="120" t="b">
        <f t="shared" si="3181"/>
        <v>0</v>
      </c>
      <c r="Z4270" s="117">
        <f t="shared" si="3182"/>
        <v>0</v>
      </c>
      <c r="AA4270" s="118"/>
      <c r="AB4270" s="118" t="str">
        <f t="shared" si="3183"/>
        <v/>
      </c>
      <c r="AC4270" s="712" t="str">
        <f>IF(AE4270="T2G","no charge",IF(AND(OR(PlanterYesMe="No",PlanterYesMe="N",PlanterYesMe="me"),H4270=""),"",IF(H4270="credit","NO install",IF(AND(K4270="",AE4270="me"),"EACH row",IF(AND(K4270="images",AE4270="me"),"EACH row",IF(D4270="","",IF(H4270="credit","",IF(AE4270="free","re-planting",IF(AE4270="me","   not ELP, by",IF(AND(OR(PlanterYesMe="Yes",PlanterYesMe="Y"),G4270&gt;0),(VLOOKUP(A4270,'Discount Lookup'!J:K,2)*G4270*(1-PlanterDiscount)*(1+PlanterDifficultyPercentage)),IF(AE4270="ELP",(VLOOKUP(A4270,'Discount Lookup'!J:K,2)*G4270*(1-PlanterDiscount)*(1+PlanterDifficultyPercentage)),IF(AE4270="free","re-planting",IF(G4270=0,"",IF(PlanterYesMe="",IF(AE4270="me","   not ELP, by",IF(AE4270="",IF(G4270&gt;0,(VLOOKUP(A4270,'Discount Lookup'!J:K,2)*G4270*(1-PlanterDiscount)*(1+PlanterDifficultyPercentage)),""),"")),"   not ELP, by"))))))))))))))</f>
        <v/>
      </c>
      <c r="AD4270" s="712"/>
      <c r="AE4270" s="513" t="str">
        <f t="shared" si="3184"/>
        <v/>
      </c>
      <c r="AF4270" s="713" t="str">
        <f t="shared" si="3185"/>
        <v/>
      </c>
      <c r="AG4270" s="713"/>
      <c r="AH4270" s="713"/>
      <c r="AI4270" s="112">
        <f>IF(H4270="credit",0,IF(AE4270="free",0,IF(AE4270="me",0,IF(G4270&gt;0,(VLOOKUP(A4270,'Discount Lookup'!J:K,2)*G4270),0))))</f>
        <v>0</v>
      </c>
      <c r="AJ4270" s="107" t="str">
        <f t="shared" ca="1" si="3186"/>
        <v/>
      </c>
      <c r="AK4270" s="714" t="str">
        <f t="shared" si="3187"/>
        <v/>
      </c>
      <c r="AL4270" s="714"/>
      <c r="AM4270" s="114" t="str">
        <f t="shared" si="3188"/>
        <v/>
      </c>
      <c r="AN4270" s="115"/>
      <c r="AO4270" s="116"/>
      <c r="AP4270" s="116"/>
      <c r="AQ4270" s="116"/>
      <c r="AR4270" s="116"/>
      <c r="AS4270" s="116"/>
      <c r="AT4270" s="116"/>
      <c r="AU4270" s="116"/>
      <c r="AV4270" s="78"/>
      <c r="AW4270" s="102"/>
      <c r="AX4270" s="78"/>
      <c r="AY4270" s="78"/>
      <c r="AZ4270" s="78"/>
      <c r="BA4270" s="78"/>
      <c r="BB4270" s="78"/>
      <c r="BC4270" s="78"/>
      <c r="BD4270" s="78"/>
      <c r="BE4270" s="465"/>
      <c r="BF4270" s="165" t="str">
        <f t="shared" si="3189"/>
        <v>https://www.google.com/search?tbm=isch&amp;q=Verbena%20canadensis%20%27Homestead%20Purple%27%20Homestead%20Purple%20Verbena</v>
      </c>
      <c r="BG4270" s="165" t="str">
        <f t="shared" si="3190"/>
        <v>V</v>
      </c>
      <c r="BH4270" s="65"/>
      <c r="BI4270" s="65"/>
      <c r="BJ4270" s="65"/>
      <c r="BK4270" s="65"/>
      <c r="BL4270" s="99"/>
      <c r="BM4270" s="99"/>
      <c r="BN4270" s="99"/>
    </row>
    <row r="4271" spans="1:66" s="51" customFormat="1" ht="15.75" x14ac:dyDescent="0.25">
      <c r="A4271" s="478">
        <v>2</v>
      </c>
      <c r="B4271" s="479" t="s">
        <v>291</v>
      </c>
      <c r="C4271" s="480" t="s">
        <v>5032</v>
      </c>
      <c r="D4271" s="481" t="s">
        <v>293</v>
      </c>
      <c r="E4271" s="482">
        <v>28.95</v>
      </c>
      <c r="F4271" s="483" t="s">
        <v>292</v>
      </c>
      <c r="G4271" s="484">
        <v>0</v>
      </c>
      <c r="H4271" s="688" t="str">
        <f>IF(G4271=0,"",IF(F4271="Buy",IF(G4271=1,"plant","plants"),IF(F4271&gt;0.01,"warranty","Error")))</f>
        <v/>
      </c>
      <c r="I4271" s="485">
        <f>IF(H4271="free",0,IF(H4271="credit",((E4271*(F4271))*G4271*-1),IF(F4271="Buy",(E4271*G4271),((E4271*(1-F4271))*G4271))))</f>
        <v>0</v>
      </c>
      <c r="J4271" s="485">
        <f>IF(H4271="warranty",0,(I4271*(_xlfn.SINGLE(SalesTaxPercentage))))</f>
        <v>0</v>
      </c>
      <c r="K4271" s="715">
        <f t="shared" ref="K4271" si="3200">I4271+J4271</f>
        <v>0</v>
      </c>
      <c r="L4271" s="715"/>
      <c r="M4271" s="689" t="str">
        <f ca="1">IF(AND(G4271&gt;0,E4271=0),"WARNING - no PRICE inserted",IF(H4271="free","FREE ~ no charge this plant",IF(H4271="credit",CONCATENATE("-$",ROUND(K4271*(1-_xlfn.SINGLE(T2GDiscount))*-1,2)," CREDIT after discount"),IF(_xlfn.SINGLE(T2GDiscount)=0,"",IF(G4271=0,"",IF(F4271="Buy",CONCATENATE("$",ROUND(K4271*(1-_xlfn.SINGLE(T2GDiscount)),2)," with ",(_xlfn.SINGLE(T2GDiscount)*100),"% discount"),CONCATENATE("$",ROUND(K4271*(1-_xlfn.SINGLE(T2GDiscount)),2)," with ",((_xlfn.SINGLE(T2GDiscount)*100+F4271*100)-(_xlfn.SINGLE(T2GDiscount)*100*F4271)),IF(F4271&gt;0,"% discounts",IF(_xlfn.SINGLE(NoWarrantyDiscount)&gt;0,"% discounts","% discount")))))))))</f>
        <v/>
      </c>
      <c r="N4271" s="690"/>
      <c r="O4271" s="486"/>
      <c r="P4271" s="486"/>
      <c r="Q4271" s="486"/>
      <c r="R4271" s="486"/>
      <c r="S4271" s="486"/>
      <c r="T4271" s="102">
        <f t="shared" si="3178"/>
        <v>0</v>
      </c>
      <c r="U4271" s="78">
        <f>IF(NOT(ISNUMBER(G4271)), "", VLOOKUP(A4271,'Discount Lookup'!D:E,2,FALSE)*G4271)</f>
        <v>0</v>
      </c>
      <c r="V4271" s="78">
        <f>IF(NOT(ISNUMBER(G4271)), "", VLOOKUP(A4271,'Discount Lookup'!G:H,2,FALSE)*G4271)</f>
        <v>0</v>
      </c>
      <c r="W4271" s="102">
        <f t="shared" si="3179"/>
        <v>0</v>
      </c>
      <c r="X4271" s="102">
        <f t="shared" si="3180"/>
        <v>0</v>
      </c>
      <c r="Y4271" s="120" t="b">
        <f t="shared" si="3181"/>
        <v>0</v>
      </c>
      <c r="Z4271" s="117">
        <f t="shared" si="3182"/>
        <v>0</v>
      </c>
      <c r="AA4271" s="118"/>
      <c r="AB4271" s="118" t="str">
        <f t="shared" si="3183"/>
        <v/>
      </c>
      <c r="AC4271" s="712" t="str">
        <f>IF(AE4271="T2G","no charge",IF(AND(OR(PlanterYesMe="No",PlanterYesMe="N",PlanterYesMe="me"),H4271=""),"",IF(H4271="credit","NO install",IF(AND(K4271="",AE4271="me"),"EACH row",IF(AND(K4271="images",AE4271="me"),"EACH row",IF(D4271="","",IF(H4271="credit","",IF(AE4271="free","re-planting",IF(AE4271="me","   not ELP, by",IF(AND(OR(PlanterYesMe="Yes",PlanterYesMe="Y"),G4271&gt;0),(VLOOKUP(A4271,'Discount Lookup'!J:K,2)*G4271*(1-PlanterDiscount)*(1+PlanterDifficultyPercentage)),IF(AE4271="ELP",(VLOOKUP(A4271,'Discount Lookup'!J:K,2)*G4271*(1-PlanterDiscount)*(1+PlanterDifficultyPercentage)),IF(AE4271="free","re-planting",IF(G4271=0,"",IF(PlanterYesMe="",IF(AE4271="me","   not ELP, by",IF(AE4271="",IF(G4271&gt;0,(VLOOKUP(A4271,'Discount Lookup'!J:K,2)*G4271*(1-PlanterDiscount)*(1+PlanterDifficultyPercentage)),""),"")),"   not ELP, by"))))))))))))))</f>
        <v/>
      </c>
      <c r="AD4271" s="712"/>
      <c r="AE4271" s="513" t="str">
        <f t="shared" si="3184"/>
        <v/>
      </c>
      <c r="AF4271" s="713" t="str">
        <f t="shared" si="3185"/>
        <v/>
      </c>
      <c r="AG4271" s="713"/>
      <c r="AH4271" s="713"/>
      <c r="AI4271" s="112">
        <f>IF(H4271="credit",0,IF(AE4271="free",0,IF(AE4271="me",0,IF(G4271&gt;0,(VLOOKUP(A4271,'Discount Lookup'!J:K,2)*G4271),0))))</f>
        <v>0</v>
      </c>
      <c r="AJ4271" s="107" t="str">
        <f t="shared" ca="1" si="3186"/>
        <v/>
      </c>
      <c r="AK4271" s="714" t="str">
        <f t="shared" si="3187"/>
        <v/>
      </c>
      <c r="AL4271" s="714"/>
      <c r="AM4271" s="114" t="str">
        <f t="shared" si="3188"/>
        <v/>
      </c>
      <c r="AN4271" s="115"/>
      <c r="AO4271" s="116"/>
      <c r="AP4271" s="116"/>
      <c r="AQ4271" s="116"/>
      <c r="AR4271" s="116"/>
      <c r="AS4271" s="116"/>
      <c r="AT4271" s="116"/>
      <c r="AU4271" s="116"/>
      <c r="AV4271" s="78"/>
      <c r="AW4271" s="102"/>
      <c r="AX4271" s="78"/>
      <c r="AY4271" s="78"/>
      <c r="AZ4271" s="78"/>
      <c r="BA4271" s="78"/>
      <c r="BB4271" s="78"/>
      <c r="BC4271" s="78"/>
      <c r="BD4271" s="78"/>
      <c r="BE4271" s="465"/>
      <c r="BF4271" s="165" t="str">
        <f t="shared" si="3189"/>
        <v>https://www.google.com/search?tbm=isch&amp;q=2%20G6</v>
      </c>
      <c r="BG4271" s="165" t="str">
        <f t="shared" si="3190"/>
        <v>V</v>
      </c>
      <c r="BH4271" s="65"/>
      <c r="BI4271" s="65"/>
      <c r="BJ4271" s="65"/>
      <c r="BK4271" s="65"/>
      <c r="BL4271" s="99"/>
      <c r="BM4271" s="99"/>
      <c r="BN4271" s="99"/>
    </row>
    <row r="4272" spans="1:66" s="51" customFormat="1" ht="17.25" thickBot="1" x14ac:dyDescent="0.3">
      <c r="A4272" s="508" t="s">
        <v>4447</v>
      </c>
      <c r="B4272" s="487"/>
      <c r="C4272" s="707"/>
      <c r="D4272" s="487"/>
      <c r="E4272" s="487"/>
      <c r="F4272" s="488"/>
      <c r="G4272" s="489"/>
      <c r="H4272" s="487"/>
      <c r="I4272" s="490"/>
      <c r="J4272" s="490"/>
      <c r="K4272" s="491"/>
      <c r="L4272" s="547"/>
      <c r="M4272" s="528"/>
      <c r="N4272" s="492"/>
      <c r="O4272" s="493"/>
      <c r="P4272" s="494"/>
      <c r="Q4272" s="492"/>
      <c r="R4272" s="492"/>
      <c r="S4272" s="699" t="s">
        <v>5248</v>
      </c>
      <c r="T4272" s="102">
        <f t="shared" si="3178"/>
        <v>0</v>
      </c>
      <c r="U4272" s="78" t="str">
        <f>IF(NOT(ISNUMBER(G4272)), "", VLOOKUP(A4272,'Discount Lookup'!D:E,2,FALSE)*G4272)</f>
        <v/>
      </c>
      <c r="V4272" s="78" t="str">
        <f>IF(NOT(ISNUMBER(G4272)), "", VLOOKUP(A4272,'Discount Lookup'!G:H,2,FALSE)*G4272)</f>
        <v/>
      </c>
      <c r="W4272" s="102">
        <f t="shared" si="3179"/>
        <v>0</v>
      </c>
      <c r="X4272" s="102">
        <f t="shared" si="3180"/>
        <v>0</v>
      </c>
      <c r="Y4272" s="120" t="b">
        <f t="shared" si="3181"/>
        <v>0</v>
      </c>
      <c r="Z4272" s="117">
        <f t="shared" si="3182"/>
        <v>0</v>
      </c>
      <c r="AA4272" s="118"/>
      <c r="AB4272" s="118" t="str">
        <f t="shared" si="3183"/>
        <v/>
      </c>
      <c r="AC4272" s="712" t="str">
        <f>IF(AE4272="T2G","no charge",IF(AND(OR(PlanterYesMe="No",PlanterYesMe="N",PlanterYesMe="me"),H4272=""),"",IF(H4272="credit","NO install",IF(AND(K4272="",AE4272="me"),"EACH row",IF(AND(K4272="images",AE4272="me"),"EACH row",IF(D4272="","",IF(H4272="credit","",IF(AE4272="free","re-planting",IF(AE4272="me","   not ELP, by",IF(AND(OR(PlanterYesMe="Yes",PlanterYesMe="Y"),G4272&gt;0),(VLOOKUP(A4272,'Discount Lookup'!J:K,2)*G4272*(1-PlanterDiscount)*(1+PlanterDifficultyPercentage)),IF(AE4272="ELP",(VLOOKUP(A4272,'Discount Lookup'!J:K,2)*G4272*(1-PlanterDiscount)*(1+PlanterDifficultyPercentage)),IF(AE4272="free","re-planting",IF(G4272=0,"",IF(PlanterYesMe="",IF(AE4272="me","   not ELP, by",IF(AE4272="",IF(G4272&gt;0,(VLOOKUP(A4272,'Discount Lookup'!J:K,2)*G4272*(1-PlanterDiscount)*(1+PlanterDifficultyPercentage)),""),"")),"   not ELP, by"))))))))))))))</f>
        <v/>
      </c>
      <c r="AD4272" s="712"/>
      <c r="AE4272" s="513" t="str">
        <f t="shared" si="3184"/>
        <v/>
      </c>
      <c r="AF4272" s="713" t="str">
        <f t="shared" si="3185"/>
        <v/>
      </c>
      <c r="AG4272" s="713"/>
      <c r="AH4272" s="713"/>
      <c r="AI4272" s="112">
        <f>IF(H4272="credit",0,IF(AE4272="free",0,IF(AE4272="me",0,IF(G4272&gt;0,(VLOOKUP(A4272,'Discount Lookup'!J:K,2)*G4272),0))))</f>
        <v>0</v>
      </c>
      <c r="AJ4272" s="107" t="str">
        <f t="shared" ca="1" si="3186"/>
        <v/>
      </c>
      <c r="AK4272" s="714" t="str">
        <f t="shared" si="3187"/>
        <v/>
      </c>
      <c r="AL4272" s="714"/>
      <c r="AM4272" s="114" t="str">
        <f t="shared" si="3188"/>
        <v/>
      </c>
      <c r="AN4272" s="115"/>
      <c r="AO4272" s="116"/>
      <c r="AP4272" s="116"/>
      <c r="AQ4272" s="116"/>
      <c r="AR4272" s="116"/>
      <c r="AS4272" s="116"/>
      <c r="AT4272" s="116"/>
      <c r="AU4272" s="116"/>
      <c r="AV4272" s="78"/>
      <c r="AW4272" s="102"/>
      <c r="AX4272" s="78"/>
      <c r="AY4272" s="78"/>
      <c r="AZ4272" s="78"/>
      <c r="BA4272" s="78"/>
      <c r="BB4272" s="78"/>
      <c r="BC4272" s="78"/>
      <c r="BD4272" s="78"/>
      <c r="BE4272" s="465"/>
      <c r="BF4272" s="165" t="str">
        <f t="shared" si="3189"/>
        <v>https://www.google.com/search?tbm=isch&amp;q=Homestead%20Purple%2C%20like%20other%20Verbena%2C%20wil%20spill%20over%20an%20edge.%20Inconspicuous%20fruit.%20</v>
      </c>
      <c r="BG4272" s="165" t="str">
        <f t="shared" si="3190"/>
        <v>H</v>
      </c>
      <c r="BH4272" s="65"/>
      <c r="BI4272" s="65"/>
      <c r="BJ4272" s="65"/>
      <c r="BK4272" s="65"/>
      <c r="BL4272" s="99"/>
      <c r="BM4272" s="99"/>
      <c r="BN4272" s="99"/>
    </row>
    <row r="4273" spans="1:66" s="51" customFormat="1" ht="18" x14ac:dyDescent="0.25">
      <c r="A4273" s="623" t="s">
        <v>4448</v>
      </c>
      <c r="B4273" s="624"/>
      <c r="C4273" s="709"/>
      <c r="D4273" s="625" t="s">
        <v>5851</v>
      </c>
      <c r="E4273" s="626"/>
      <c r="F4273" s="626"/>
      <c r="G4273" s="626"/>
      <c r="H4273" s="622" t="s">
        <v>4900</v>
      </c>
      <c r="I4273" s="627" t="s">
        <v>4901</v>
      </c>
      <c r="J4273" s="628"/>
      <c r="K4273" s="628"/>
      <c r="L4273" s="629"/>
      <c r="M4273" s="700" t="s">
        <v>5241</v>
      </c>
      <c r="N4273" s="693" t="str">
        <f>IF(AND(ISTEXT($A4273), ISERROR($A4273+0)), HYPERLINK($BF4273, "Images"), "")</f>
        <v>Images</v>
      </c>
      <c r="O4273" s="695" t="s">
        <v>5247</v>
      </c>
      <c r="P4273" s="630"/>
      <c r="Q4273" s="631"/>
      <c r="R4273" s="632"/>
      <c r="S4273" s="633"/>
      <c r="T4273" s="102">
        <f t="shared" si="3178"/>
        <v>0</v>
      </c>
      <c r="U4273" s="78" t="str">
        <f>IF(NOT(ISNUMBER(G4273)), "", VLOOKUP(A4273,'Discount Lookup'!D:E,2,FALSE)*G4273)</f>
        <v/>
      </c>
      <c r="V4273" s="78" t="str">
        <f>IF(NOT(ISNUMBER(G4273)), "", VLOOKUP(A4273,'Discount Lookup'!G:H,2,FALSE)*G4273)</f>
        <v/>
      </c>
      <c r="W4273" s="102">
        <f t="shared" si="3179"/>
        <v>0</v>
      </c>
      <c r="X4273" s="102" t="str">
        <f t="shared" si="3180"/>
        <v>Bright Red, Deep Red eye</v>
      </c>
      <c r="Y4273" s="120" t="b">
        <f t="shared" si="3181"/>
        <v>0</v>
      </c>
      <c r="Z4273" s="117">
        <f t="shared" si="3182"/>
        <v>0</v>
      </c>
      <c r="AA4273" s="118"/>
      <c r="AB4273" s="118" t="str">
        <f t="shared" si="3183"/>
        <v/>
      </c>
      <c r="AC4273" s="712" t="str">
        <f>IF(AE4273="T2G","no charge",IF(AND(OR(PlanterYesMe="No",PlanterYesMe="N",PlanterYesMe="me"),H4273=""),"",IF(H4273="credit","NO install",IF(AND(K4273="",AE4273="me"),"EACH row",IF(AND(K4273="images",AE4273="me"),"EACH row",IF(D4273="","",IF(H4273="credit","",IF(AE4273="free","re-planting",IF(AE4273="me","   not ELP, by",IF(AND(OR(PlanterYesMe="Yes",PlanterYesMe="Y"),G4273&gt;0),(VLOOKUP(A4273,'Discount Lookup'!J:K,2)*G4273*(1-PlanterDiscount)*(1+PlanterDifficultyPercentage)),IF(AE4273="ELP",(VLOOKUP(A4273,'Discount Lookup'!J:K,2)*G4273*(1-PlanterDiscount)*(1+PlanterDifficultyPercentage)),IF(AE4273="free","re-planting",IF(G4273=0,"",IF(PlanterYesMe="",IF(AE4273="me","   not ELP, by",IF(AE4273="",IF(G4273&gt;0,(VLOOKUP(A4273,'Discount Lookup'!J:K,2)*G4273*(1-PlanterDiscount)*(1+PlanterDifficultyPercentage)),""),"")),"   not ELP, by"))))))))))))))</f>
        <v/>
      </c>
      <c r="AD4273" s="712"/>
      <c r="AE4273" s="513" t="str">
        <f t="shared" si="3184"/>
        <v/>
      </c>
      <c r="AF4273" s="713" t="str">
        <f t="shared" si="3185"/>
        <v/>
      </c>
      <c r="AG4273" s="713"/>
      <c r="AH4273" s="713"/>
      <c r="AI4273" s="112">
        <f>IF(H4273="credit",0,IF(AE4273="free",0,IF(AE4273="me",0,IF(G4273&gt;0,(VLOOKUP(A4273,'Discount Lookup'!J:K,2)*G4273),0))))</f>
        <v>0</v>
      </c>
      <c r="AJ4273" s="107" t="str">
        <f t="shared" ca="1" si="3186"/>
        <v/>
      </c>
      <c r="AK4273" s="714" t="str">
        <f t="shared" si="3187"/>
        <v/>
      </c>
      <c r="AL4273" s="714"/>
      <c r="AM4273" s="114" t="str">
        <f t="shared" si="3188"/>
        <v/>
      </c>
      <c r="AN4273" s="115"/>
      <c r="AO4273" s="116"/>
      <c r="AP4273" s="116"/>
      <c r="AQ4273" s="116"/>
      <c r="AR4273" s="116"/>
      <c r="AS4273" s="116"/>
      <c r="AT4273" s="116"/>
      <c r="AU4273" s="116"/>
      <c r="AV4273" s="78"/>
      <c r="AW4273" s="102"/>
      <c r="AX4273" s="78"/>
      <c r="AY4273" s="78"/>
      <c r="AZ4273" s="78"/>
      <c r="BA4273" s="78"/>
      <c r="BB4273" s="78"/>
      <c r="BC4273" s="78"/>
      <c r="BD4273" s="78"/>
      <c r="BE4273" s="465"/>
      <c r="BF4273" s="165" t="str">
        <f t="shared" si="3189"/>
        <v>https://www.google.com/search?tbm=isch&amp;q=Verbena%20x%20hybrida%20%27Balendred%27%20PP%2326132%20EnduraScape%E2%84%A2%20Red%20Verbena</v>
      </c>
      <c r="BG4273" s="165" t="str">
        <f t="shared" si="3190"/>
        <v>V</v>
      </c>
      <c r="BH4273" s="65"/>
      <c r="BI4273" s="65"/>
      <c r="BJ4273" s="65"/>
      <c r="BK4273" s="65"/>
      <c r="BL4273" s="99"/>
      <c r="BM4273" s="99"/>
      <c r="BN4273" s="99"/>
    </row>
    <row r="4274" spans="1:66" s="51" customFormat="1" ht="15.75" x14ac:dyDescent="0.25">
      <c r="A4274" s="634">
        <v>1</v>
      </c>
      <c r="B4274" s="635" t="s">
        <v>291</v>
      </c>
      <c r="C4274" s="636"/>
      <c r="D4274" s="637" t="s">
        <v>329</v>
      </c>
      <c r="E4274" s="638">
        <v>12.95</v>
      </c>
      <c r="F4274" s="639" t="s">
        <v>292</v>
      </c>
      <c r="G4274" s="484">
        <v>0</v>
      </c>
      <c r="H4274" s="691" t="str">
        <f>IF(G4274=0,"",IF(F4274="Buy",IF(G4274=1,"plant","plants"),IF(F4274&gt;0.01,"warranty","Error")))</f>
        <v/>
      </c>
      <c r="I4274" s="640">
        <f>IF(H4274="free",0,IF(H4274="credit",((E4274*(F4274))*G4274*-1),IF(F4274="Buy",(E4274*G4274),((E4274*(1-F4274))*G4274))))</f>
        <v>0</v>
      </c>
      <c r="J4274" s="640">
        <f>IF(H4274="warranty",0,(I4274*(_xlfn.SINGLE(SalesTaxPercentage))))</f>
        <v>0</v>
      </c>
      <c r="K4274" s="716">
        <f t="shared" ref="K4274" si="3201">I4274+J4274</f>
        <v>0</v>
      </c>
      <c r="L4274" s="716"/>
      <c r="M4274" s="689" t="str">
        <f ca="1">IF(AND(G4274&gt;0,E4274=0),"WARNING - no PRICE inserted",IF(H4274="free","FREE ~ no charge this plant",IF(H4274="credit",CONCATENATE("-$",ROUND(K4274*(1-_xlfn.SINGLE(T2GDiscount))*-1,2)," CREDIT after discount"),IF(_xlfn.SINGLE(T2GDiscount)=0,"",IF(G4274=0,"",IF(F4274="Buy",CONCATENATE("$",ROUND(K4274*(1-_xlfn.SINGLE(T2GDiscount)),2)," with ",(_xlfn.SINGLE(T2GDiscount)*100),"% discount"),CONCATENATE("$",ROUND(K4274*(1-_xlfn.SINGLE(T2GDiscount)),2)," with ",((_xlfn.SINGLE(T2GDiscount)*100+F4274*100)-(_xlfn.SINGLE(T2GDiscount)*100*F4274)),IF(F4274&gt;0,"% discounts",IF(_xlfn.SINGLE(NoWarrantyDiscount)&gt;0,"% discounts","% discount")))))))))</f>
        <v/>
      </c>
      <c r="N4274" s="690"/>
      <c r="O4274" s="486"/>
      <c r="P4274" s="486"/>
      <c r="Q4274" s="486"/>
      <c r="R4274" s="486"/>
      <c r="S4274" s="486"/>
      <c r="T4274" s="102">
        <f t="shared" si="3178"/>
        <v>0</v>
      </c>
      <c r="U4274" s="78">
        <f>IF(NOT(ISNUMBER(G4274)), "", VLOOKUP(A4274,'Discount Lookup'!D:E,2,FALSE)*G4274)</f>
        <v>0</v>
      </c>
      <c r="V4274" s="78">
        <f>IF(NOT(ISNUMBER(G4274)), "", VLOOKUP(A4274,'Discount Lookup'!G:H,2,FALSE)*G4274)</f>
        <v>0</v>
      </c>
      <c r="W4274" s="102">
        <f t="shared" si="3179"/>
        <v>0</v>
      </c>
      <c r="X4274" s="102">
        <f t="shared" si="3180"/>
        <v>0</v>
      </c>
      <c r="Y4274" s="120" t="b">
        <f t="shared" si="3181"/>
        <v>0</v>
      </c>
      <c r="Z4274" s="117">
        <f t="shared" si="3182"/>
        <v>0</v>
      </c>
      <c r="AA4274" s="118"/>
      <c r="AB4274" s="118" t="str">
        <f t="shared" si="3183"/>
        <v/>
      </c>
      <c r="AC4274" s="712" t="str">
        <f>IF(AE4274="T2G","no charge",IF(AND(OR(PlanterYesMe="No",PlanterYesMe="N",PlanterYesMe="me"),H4274=""),"",IF(H4274="credit","NO install",IF(AND(K4274="",AE4274="me"),"EACH row",IF(AND(K4274="images",AE4274="me"),"EACH row",IF(D4274="","",IF(H4274="credit","",IF(AE4274="free","re-planting",IF(AE4274="me","   not ELP, by",IF(AND(OR(PlanterYesMe="Yes",PlanterYesMe="Y"),G4274&gt;0),(VLOOKUP(A4274,'Discount Lookup'!J:K,2)*G4274*(1-PlanterDiscount)*(1+PlanterDifficultyPercentage)),IF(AE4274="ELP",(VLOOKUP(A4274,'Discount Lookup'!J:K,2)*G4274*(1-PlanterDiscount)*(1+PlanterDifficultyPercentage)),IF(AE4274="free","re-planting",IF(G4274=0,"",IF(PlanterYesMe="",IF(AE4274="me","   not ELP, by",IF(AE4274="",IF(G4274&gt;0,(VLOOKUP(A4274,'Discount Lookup'!J:K,2)*G4274*(1-PlanterDiscount)*(1+PlanterDifficultyPercentage)),""),"")),"   not ELP, by"))))))))))))))</f>
        <v/>
      </c>
      <c r="AD4274" s="712"/>
      <c r="AE4274" s="513" t="str">
        <f t="shared" si="3184"/>
        <v/>
      </c>
      <c r="AF4274" s="713" t="str">
        <f t="shared" si="3185"/>
        <v/>
      </c>
      <c r="AG4274" s="713"/>
      <c r="AH4274" s="713"/>
      <c r="AI4274" s="112">
        <f>IF(H4274="credit",0,IF(AE4274="free",0,IF(AE4274="me",0,IF(G4274&gt;0,(VLOOKUP(A4274,'Discount Lookup'!J:K,2)*G4274),0))))</f>
        <v>0</v>
      </c>
      <c r="AJ4274" s="107" t="str">
        <f t="shared" ca="1" si="3186"/>
        <v/>
      </c>
      <c r="AK4274" s="714" t="str">
        <f t="shared" si="3187"/>
        <v/>
      </c>
      <c r="AL4274" s="714"/>
      <c r="AM4274" s="114" t="str">
        <f t="shared" si="3188"/>
        <v/>
      </c>
      <c r="AN4274" s="115"/>
      <c r="AO4274" s="116"/>
      <c r="AP4274" s="116"/>
      <c r="AQ4274" s="116"/>
      <c r="AR4274" s="116"/>
      <c r="AS4274" s="116"/>
      <c r="AT4274" s="116"/>
      <c r="AU4274" s="116"/>
      <c r="AV4274" s="78"/>
      <c r="AW4274" s="102"/>
      <c r="AX4274" s="78"/>
      <c r="AY4274" s="78"/>
      <c r="AZ4274" s="78"/>
      <c r="BA4274" s="78"/>
      <c r="BB4274" s="78"/>
      <c r="BC4274" s="78"/>
      <c r="BD4274" s="78"/>
      <c r="BE4274" s="465"/>
      <c r="BF4274" s="165" t="str">
        <f t="shared" si="3189"/>
        <v>https://www.google.com/search?tbm=isch&amp;q=1%20G2</v>
      </c>
      <c r="BG4274" s="165" t="str">
        <f t="shared" si="3190"/>
        <v>V</v>
      </c>
      <c r="BH4274" s="65"/>
      <c r="BI4274" s="65"/>
      <c r="BJ4274" s="65"/>
      <c r="BK4274" s="65"/>
      <c r="BL4274" s="99"/>
      <c r="BM4274" s="99"/>
      <c r="BN4274" s="99"/>
    </row>
    <row r="4275" spans="1:66" s="51" customFormat="1" ht="16.5" x14ac:dyDescent="0.25">
      <c r="A4275" s="641" t="s">
        <v>4902</v>
      </c>
      <c r="B4275" s="642"/>
      <c r="C4275" s="710"/>
      <c r="D4275" s="643"/>
      <c r="E4275" s="643"/>
      <c r="F4275" s="644"/>
      <c r="G4275" s="645"/>
      <c r="H4275" s="646"/>
      <c r="I4275" s="647"/>
      <c r="J4275" s="648"/>
      <c r="K4275" s="649"/>
      <c r="L4275" s="650"/>
      <c r="M4275" s="650"/>
      <c r="N4275" s="644"/>
      <c r="O4275" s="644"/>
      <c r="P4275" s="644"/>
      <c r="Q4275" s="644"/>
      <c r="R4275" s="644"/>
      <c r="S4275" s="701" t="s">
        <v>5273</v>
      </c>
      <c r="T4275" s="102">
        <f t="shared" si="3178"/>
        <v>0</v>
      </c>
      <c r="U4275" s="78" t="str">
        <f>IF(NOT(ISNUMBER(G4275)), "", VLOOKUP(A4275,'Discount Lookup'!D:E,2,FALSE)*G4275)</f>
        <v/>
      </c>
      <c r="V4275" s="78" t="str">
        <f>IF(NOT(ISNUMBER(G4275)), "", VLOOKUP(A4275,'Discount Lookup'!G:H,2,FALSE)*G4275)</f>
        <v/>
      </c>
      <c r="W4275" s="102">
        <f t="shared" si="3179"/>
        <v>0</v>
      </c>
      <c r="X4275" s="102">
        <f t="shared" si="3180"/>
        <v>0</v>
      </c>
      <c r="Y4275" s="120" t="b">
        <f t="shared" si="3181"/>
        <v>0</v>
      </c>
      <c r="Z4275" s="117">
        <f t="shared" si="3182"/>
        <v>0</v>
      </c>
      <c r="AA4275" s="118"/>
      <c r="AB4275" s="118" t="str">
        <f t="shared" si="3183"/>
        <v/>
      </c>
      <c r="AC4275" s="712" t="str">
        <f>IF(AE4275="T2G","no charge",IF(AND(OR(PlanterYesMe="No",PlanterYesMe="N",PlanterYesMe="me"),H4275=""),"",IF(H4275="credit","NO install",IF(AND(K4275="",AE4275="me"),"EACH row",IF(AND(K4275="images",AE4275="me"),"EACH row",IF(D4275="","",IF(H4275="credit","",IF(AE4275="free","re-planting",IF(AE4275="me","   not ELP, by",IF(AND(OR(PlanterYesMe="Yes",PlanterYesMe="Y"),G4275&gt;0),(VLOOKUP(A4275,'Discount Lookup'!J:K,2)*G4275*(1-PlanterDiscount)*(1+PlanterDifficultyPercentage)),IF(AE4275="ELP",(VLOOKUP(A4275,'Discount Lookup'!J:K,2)*G4275*(1-PlanterDiscount)*(1+PlanterDifficultyPercentage)),IF(AE4275="free","re-planting",IF(G4275=0,"",IF(PlanterYesMe="",IF(AE4275="me","   not ELP, by",IF(AE4275="",IF(G4275&gt;0,(VLOOKUP(A4275,'Discount Lookup'!J:K,2)*G4275*(1-PlanterDiscount)*(1+PlanterDifficultyPercentage)),""),"")),"   not ELP, by"))))))))))))))</f>
        <v/>
      </c>
      <c r="AD4275" s="712"/>
      <c r="AE4275" s="513" t="str">
        <f t="shared" si="3184"/>
        <v/>
      </c>
      <c r="AF4275" s="713" t="str">
        <f t="shared" si="3185"/>
        <v/>
      </c>
      <c r="AG4275" s="713"/>
      <c r="AH4275" s="713"/>
      <c r="AI4275" s="112">
        <f>IF(H4275="credit",0,IF(AE4275="free",0,IF(AE4275="me",0,IF(G4275&gt;0,(VLOOKUP(A4275,'Discount Lookup'!J:K,2)*G4275),0))))</f>
        <v>0</v>
      </c>
      <c r="AJ4275" s="107" t="str">
        <f t="shared" ca="1" si="3186"/>
        <v/>
      </c>
      <c r="AK4275" s="714" t="str">
        <f t="shared" si="3187"/>
        <v/>
      </c>
      <c r="AL4275" s="714"/>
      <c r="AM4275" s="114" t="str">
        <f t="shared" si="3188"/>
        <v/>
      </c>
      <c r="AN4275" s="115"/>
      <c r="AO4275" s="116"/>
      <c r="AP4275" s="116"/>
      <c r="AQ4275" s="116"/>
      <c r="AR4275" s="116"/>
      <c r="AS4275" s="116"/>
      <c r="AT4275" s="116"/>
      <c r="AU4275" s="116"/>
      <c r="AV4275" s="78"/>
      <c r="AW4275" s="102"/>
      <c r="AX4275" s="78"/>
      <c r="AY4275" s="78"/>
      <c r="AZ4275" s="78"/>
      <c r="BA4275" s="78"/>
      <c r="BB4275" s="78"/>
      <c r="BC4275" s="78"/>
      <c r="BD4275" s="78"/>
      <c r="BE4275" s="465"/>
      <c r="BF4275" s="165" t="str">
        <f t="shared" si="3189"/>
        <v>https://www.google.com/search?tbm=isch&amp;q=EnduraScape%20Red%20delivers%20nonstop%20blooms%20with%20heat%20and%20cold%20tolerance%2C%20mildew%20resistance%2C%20and%20vigorous%20spreading%20habit%20</v>
      </c>
      <c r="BG4275" s="165" t="str">
        <f t="shared" si="3190"/>
        <v>E</v>
      </c>
      <c r="BH4275" s="65"/>
      <c r="BI4275" s="65"/>
      <c r="BJ4275" s="65"/>
      <c r="BK4275" s="65"/>
      <c r="BL4275" s="99"/>
      <c r="BM4275" s="99"/>
      <c r="BN4275" s="99"/>
    </row>
    <row r="4276" spans="1:66" s="51" customFormat="1" ht="19.5" thickBot="1" x14ac:dyDescent="0.3">
      <c r="A4276" s="686" t="s">
        <v>815</v>
      </c>
      <c r="B4276" s="73"/>
      <c r="C4276" s="708"/>
      <c r="D4276" s="73"/>
      <c r="E4276" s="73"/>
      <c r="F4276" s="496"/>
      <c r="G4276" s="73"/>
      <c r="H4276" s="73"/>
      <c r="I4276" s="73"/>
      <c r="J4276" s="497" t="s">
        <v>357</v>
      </c>
      <c r="K4276" s="498"/>
      <c r="L4276" s="562"/>
      <c r="M4276" s="73"/>
      <c r="N4276"/>
      <c r="O4276"/>
      <c r="P4276"/>
      <c r="Q4276"/>
      <c r="R4276"/>
      <c r="S4276"/>
      <c r="T4276" s="102">
        <f t="shared" si="3178"/>
        <v>0</v>
      </c>
      <c r="U4276" s="78" t="str">
        <f>IF(NOT(ISNUMBER(G4276)), "", VLOOKUP(A4276,'Discount Lookup'!D:E,2,FALSE)*G4276)</f>
        <v/>
      </c>
      <c r="V4276" s="78" t="str">
        <f>IF(NOT(ISNUMBER(G4276)), "", VLOOKUP(A4276,'Discount Lookup'!G:H,2,FALSE)*G4276)</f>
        <v/>
      </c>
      <c r="W4276" s="102">
        <f t="shared" si="3179"/>
        <v>0</v>
      </c>
      <c r="X4276" s="102">
        <f t="shared" si="3180"/>
        <v>0</v>
      </c>
      <c r="Y4276" s="120" t="b">
        <f t="shared" si="3181"/>
        <v>0</v>
      </c>
      <c r="Z4276" s="117">
        <f t="shared" si="3182"/>
        <v>0</v>
      </c>
      <c r="AA4276" s="118"/>
      <c r="AB4276" s="118" t="str">
        <f t="shared" si="3183"/>
        <v/>
      </c>
      <c r="AC4276" s="712" t="str">
        <f>IF(AE4276="T2G","no charge",IF(AND(OR(PlanterYesMe="No",PlanterYesMe="N",PlanterYesMe="me"),H4276=""),"",IF(H4276="credit","NO install",IF(AND(K4276="",AE4276="me"),"EACH row",IF(AND(K4276="images",AE4276="me"),"EACH row",IF(D4276="","",IF(H4276="credit","",IF(AE4276="free","re-planting",IF(AE4276="me","   not ELP, by",IF(AND(OR(PlanterYesMe="Yes",PlanterYesMe="Y"),G4276&gt;0),(VLOOKUP(A4276,'Discount Lookup'!J:K,2)*G4276*(1-PlanterDiscount)*(1+PlanterDifficultyPercentage)),IF(AE4276="ELP",(VLOOKUP(A4276,'Discount Lookup'!J:K,2)*G4276*(1-PlanterDiscount)*(1+PlanterDifficultyPercentage)),IF(AE4276="free","re-planting",IF(G4276=0,"",IF(PlanterYesMe="",IF(AE4276="me","   not ELP, by",IF(AE4276="",IF(G4276&gt;0,(VLOOKUP(A4276,'Discount Lookup'!J:K,2)*G4276*(1-PlanterDiscount)*(1+PlanterDifficultyPercentage)),""),"")),"   not ELP, by"))))))))))))))</f>
        <v/>
      </c>
      <c r="AD4276" s="712"/>
      <c r="AE4276" s="513" t="str">
        <f t="shared" si="3184"/>
        <v/>
      </c>
      <c r="AF4276" s="713" t="str">
        <f t="shared" si="3185"/>
        <v/>
      </c>
      <c r="AG4276" s="713"/>
      <c r="AH4276" s="713"/>
      <c r="AI4276" s="112">
        <f>IF(H4276="credit",0,IF(AE4276="free",0,IF(AE4276="me",0,IF(G4276&gt;0,(VLOOKUP(A4276,'Discount Lookup'!J:K,2)*G4276),0))))</f>
        <v>0</v>
      </c>
      <c r="AJ4276" s="107" t="str">
        <f t="shared" ca="1" si="3186"/>
        <v/>
      </c>
      <c r="AK4276" s="714" t="str">
        <f t="shared" si="3187"/>
        <v/>
      </c>
      <c r="AL4276" s="714"/>
      <c r="AM4276" s="114" t="str">
        <f t="shared" si="3188"/>
        <v/>
      </c>
      <c r="AN4276" s="115"/>
      <c r="AO4276" s="116"/>
      <c r="AP4276" s="116"/>
      <c r="AQ4276" s="116"/>
      <c r="AR4276" s="116"/>
      <c r="AS4276" s="116"/>
      <c r="AT4276" s="116"/>
      <c r="AU4276" s="116"/>
      <c r="AV4276" s="78"/>
      <c r="AW4276" s="102"/>
      <c r="AX4276" s="78"/>
      <c r="AY4276" s="78"/>
      <c r="AZ4276" s="78"/>
      <c r="BA4276" s="78"/>
      <c r="BB4276" s="78"/>
      <c r="BC4276" s="78"/>
      <c r="BD4276" s="78"/>
      <c r="BE4276" s="465"/>
      <c r="BF4276" s="165" t="str">
        <f t="shared" si="3189"/>
        <v>https://www.google.com/search?tbm=isch&amp;q=Veronica%20%3D%20Speedwell%20</v>
      </c>
      <c r="BG4276" s="165" t="str">
        <f t="shared" si="3190"/>
        <v>V</v>
      </c>
      <c r="BH4276" s="65"/>
      <c r="BI4276" s="65"/>
      <c r="BJ4276" s="65"/>
      <c r="BK4276" s="65"/>
      <c r="BL4276" s="99"/>
      <c r="BM4276" s="99"/>
      <c r="BN4276" s="99"/>
    </row>
    <row r="4277" spans="1:66" s="51" customFormat="1" ht="18" x14ac:dyDescent="0.25">
      <c r="A4277" s="623" t="s">
        <v>4449</v>
      </c>
      <c r="B4277" s="624"/>
      <c r="C4277" s="709"/>
      <c r="D4277" s="625" t="s">
        <v>4450</v>
      </c>
      <c r="E4277" s="626"/>
      <c r="F4277" s="626"/>
      <c r="G4277" s="626"/>
      <c r="H4277" s="622" t="s">
        <v>4903</v>
      </c>
      <c r="I4277" s="627" t="s">
        <v>4904</v>
      </c>
      <c r="J4277" s="628"/>
      <c r="K4277" s="628"/>
      <c r="L4277" s="629"/>
      <c r="M4277" s="700" t="s">
        <v>5249</v>
      </c>
      <c r="N4277" s="693" t="str">
        <f>IF(AND(ISTEXT($A4277), ISERROR($A4277+0)), HYPERLINK($BF4277, "Images"), "")</f>
        <v>Images</v>
      </c>
      <c r="O4277" s="695" t="s">
        <v>5244</v>
      </c>
      <c r="P4277" s="630"/>
      <c r="Q4277" s="631"/>
      <c r="R4277" s="632"/>
      <c r="S4277" s="633"/>
      <c r="T4277" s="102">
        <f t="shared" si="3178"/>
        <v>0</v>
      </c>
      <c r="U4277" s="78" t="str">
        <f>IF(NOT(ISNUMBER(G4277)), "", VLOOKUP(A4277,'Discount Lookup'!D:E,2,FALSE)*G4277)</f>
        <v/>
      </c>
      <c r="V4277" s="78" t="str">
        <f>IF(NOT(ISNUMBER(G4277)), "", VLOOKUP(A4277,'Discount Lookup'!G:H,2,FALSE)*G4277)</f>
        <v/>
      </c>
      <c r="W4277" s="102">
        <f t="shared" si="3179"/>
        <v>0</v>
      </c>
      <c r="X4277" s="102" t="str">
        <f t="shared" si="3180"/>
        <v>Rich Blue, Pearly White eye</v>
      </c>
      <c r="Y4277" s="120" t="b">
        <f t="shared" si="3181"/>
        <v>0</v>
      </c>
      <c r="Z4277" s="117">
        <f t="shared" si="3182"/>
        <v>0</v>
      </c>
      <c r="AA4277" s="118"/>
      <c r="AB4277" s="118" t="str">
        <f t="shared" si="3183"/>
        <v/>
      </c>
      <c r="AC4277" s="712" t="str">
        <f>IF(AE4277="T2G","no charge",IF(AND(OR(PlanterYesMe="No",PlanterYesMe="N",PlanterYesMe="me"),H4277=""),"",IF(H4277="credit","NO install",IF(AND(K4277="",AE4277="me"),"EACH row",IF(AND(K4277="images",AE4277="me"),"EACH row",IF(D4277="","",IF(H4277="credit","",IF(AE4277="free","re-planting",IF(AE4277="me","   not ELP, by",IF(AND(OR(PlanterYesMe="Yes",PlanterYesMe="Y"),G4277&gt;0),(VLOOKUP(A4277,'Discount Lookup'!J:K,2)*G4277*(1-PlanterDiscount)*(1+PlanterDifficultyPercentage)),IF(AE4277="ELP",(VLOOKUP(A4277,'Discount Lookup'!J:K,2)*G4277*(1-PlanterDiscount)*(1+PlanterDifficultyPercentage)),IF(AE4277="free","re-planting",IF(G4277=0,"",IF(PlanterYesMe="",IF(AE4277="me","   not ELP, by",IF(AE4277="",IF(G4277&gt;0,(VLOOKUP(A4277,'Discount Lookup'!J:K,2)*G4277*(1-PlanterDiscount)*(1+PlanterDifficultyPercentage)),""),"")),"   not ELP, by"))))))))))))))</f>
        <v/>
      </c>
      <c r="AD4277" s="712"/>
      <c r="AE4277" s="513" t="str">
        <f t="shared" si="3184"/>
        <v/>
      </c>
      <c r="AF4277" s="713" t="str">
        <f t="shared" si="3185"/>
        <v/>
      </c>
      <c r="AG4277" s="713"/>
      <c r="AH4277" s="713"/>
      <c r="AI4277" s="112">
        <f>IF(H4277="credit",0,IF(AE4277="free",0,IF(AE4277="me",0,IF(G4277&gt;0,(VLOOKUP(A4277,'Discount Lookup'!J:K,2)*G4277),0))))</f>
        <v>0</v>
      </c>
      <c r="AJ4277" s="107" t="str">
        <f t="shared" ca="1" si="3186"/>
        <v/>
      </c>
      <c r="AK4277" s="714" t="str">
        <f t="shared" si="3187"/>
        <v/>
      </c>
      <c r="AL4277" s="714"/>
      <c r="AM4277" s="114" t="str">
        <f t="shared" si="3188"/>
        <v/>
      </c>
      <c r="AN4277" s="115"/>
      <c r="AO4277" s="116"/>
      <c r="AP4277" s="116"/>
      <c r="AQ4277" s="116"/>
      <c r="AR4277" s="116"/>
      <c r="AS4277" s="116"/>
      <c r="AT4277" s="116"/>
      <c r="AU4277" s="116"/>
      <c r="AV4277" s="78"/>
      <c r="AW4277" s="102"/>
      <c r="AX4277" s="78"/>
      <c r="AY4277" s="78"/>
      <c r="AZ4277" s="78"/>
      <c r="BA4277" s="78"/>
      <c r="BB4277" s="78"/>
      <c r="BC4277" s="78"/>
      <c r="BD4277" s="78"/>
      <c r="BE4277" s="465"/>
      <c r="BF4277" s="165" t="str">
        <f t="shared" si="3189"/>
        <v>https://www.google.com/search?tbm=isch&amp;q=Veronica%20peduncularis%20%27Georgia%20Blue%27%20Georgia%20Blue%20Speedwell</v>
      </c>
      <c r="BG4277" s="165" t="str">
        <f t="shared" si="3190"/>
        <v>V</v>
      </c>
      <c r="BH4277" s="65"/>
      <c r="BI4277" s="65"/>
      <c r="BJ4277" s="65"/>
      <c r="BK4277" s="65"/>
      <c r="BL4277" s="99"/>
      <c r="BM4277" s="99"/>
      <c r="BN4277" s="99"/>
    </row>
    <row r="4278" spans="1:66" s="51" customFormat="1" ht="15.75" x14ac:dyDescent="0.25">
      <c r="A4278" s="634">
        <v>2</v>
      </c>
      <c r="B4278" s="635" t="s">
        <v>291</v>
      </c>
      <c r="C4278" s="636" t="s">
        <v>5033</v>
      </c>
      <c r="D4278" s="637" t="s">
        <v>293</v>
      </c>
      <c r="E4278" s="638">
        <v>20.95</v>
      </c>
      <c r="F4278" s="639" t="s">
        <v>292</v>
      </c>
      <c r="G4278" s="484">
        <v>0</v>
      </c>
      <c r="H4278" s="691" t="str">
        <f>IF(G4278=0,"",IF(F4278="Buy",IF(G4278=1,"plant","plants"),IF(F4278&gt;0.01,"warranty","Error")))</f>
        <v/>
      </c>
      <c r="I4278" s="640">
        <f>IF(H4278="free",0,IF(H4278="credit",((E4278*(F4278))*G4278*-1),IF(F4278="Buy",(E4278*G4278),((E4278*(1-F4278))*G4278))))</f>
        <v>0</v>
      </c>
      <c r="J4278" s="640">
        <f>IF(H4278="warranty",0,(I4278*(_xlfn.SINGLE(SalesTaxPercentage))))</f>
        <v>0</v>
      </c>
      <c r="K4278" s="716">
        <f t="shared" ref="K4278" si="3202">I4278+J4278</f>
        <v>0</v>
      </c>
      <c r="L4278" s="716"/>
      <c r="M4278" s="689" t="str">
        <f ca="1">IF(AND(G4278&gt;0,E4278=0),"WARNING - no PRICE inserted",IF(H4278="free","FREE ~ no charge this plant",IF(H4278="credit",CONCATENATE("-$",ROUND(K4278*(1-_xlfn.SINGLE(T2GDiscount))*-1,2)," CREDIT after discount"),IF(_xlfn.SINGLE(T2GDiscount)=0,"",IF(G4278=0,"",IF(F4278="Buy",CONCATENATE("$",ROUND(K4278*(1-_xlfn.SINGLE(T2GDiscount)),2)," with ",(_xlfn.SINGLE(T2GDiscount)*100),"% discount"),CONCATENATE("$",ROUND(K4278*(1-_xlfn.SINGLE(T2GDiscount)),2)," with ",((_xlfn.SINGLE(T2GDiscount)*100+F4278*100)-(_xlfn.SINGLE(T2GDiscount)*100*F4278)),IF(F4278&gt;0,"% discounts",IF(_xlfn.SINGLE(NoWarrantyDiscount)&gt;0,"% discounts","% discount")))))))))</f>
        <v/>
      </c>
      <c r="N4278" s="690"/>
      <c r="O4278" s="486"/>
      <c r="P4278" s="486"/>
      <c r="Q4278" s="486"/>
      <c r="R4278" s="486"/>
      <c r="S4278" s="486"/>
      <c r="T4278" s="102">
        <f t="shared" si="3178"/>
        <v>0</v>
      </c>
      <c r="U4278" s="78">
        <f>IF(NOT(ISNUMBER(G4278)), "", VLOOKUP(A4278,'Discount Lookup'!D:E,2,FALSE)*G4278)</f>
        <v>0</v>
      </c>
      <c r="V4278" s="78">
        <f>IF(NOT(ISNUMBER(G4278)), "", VLOOKUP(A4278,'Discount Lookup'!G:H,2,FALSE)*G4278)</f>
        <v>0</v>
      </c>
      <c r="W4278" s="102">
        <f t="shared" si="3179"/>
        <v>0</v>
      </c>
      <c r="X4278" s="102">
        <f t="shared" si="3180"/>
        <v>0</v>
      </c>
      <c r="Y4278" s="120" t="b">
        <f t="shared" si="3181"/>
        <v>0</v>
      </c>
      <c r="Z4278" s="117">
        <f t="shared" si="3182"/>
        <v>0</v>
      </c>
      <c r="AA4278" s="118"/>
      <c r="AB4278" s="118" t="str">
        <f t="shared" si="3183"/>
        <v/>
      </c>
      <c r="AC4278" s="712" t="str">
        <f>IF(AE4278="T2G","no charge",IF(AND(OR(PlanterYesMe="No",PlanterYesMe="N",PlanterYesMe="me"),H4278=""),"",IF(H4278="credit","NO install",IF(AND(K4278="",AE4278="me"),"EACH row",IF(AND(K4278="images",AE4278="me"),"EACH row",IF(D4278="","",IF(H4278="credit","",IF(AE4278="free","re-planting",IF(AE4278="me","   not ELP, by",IF(AND(OR(PlanterYesMe="Yes",PlanterYesMe="Y"),G4278&gt;0),(VLOOKUP(A4278,'Discount Lookup'!J:K,2)*G4278*(1-PlanterDiscount)*(1+PlanterDifficultyPercentage)),IF(AE4278="ELP",(VLOOKUP(A4278,'Discount Lookup'!J:K,2)*G4278*(1-PlanterDiscount)*(1+PlanterDifficultyPercentage)),IF(AE4278="free","re-planting",IF(G4278=0,"",IF(PlanterYesMe="",IF(AE4278="me","   not ELP, by",IF(AE4278="",IF(G4278&gt;0,(VLOOKUP(A4278,'Discount Lookup'!J:K,2)*G4278*(1-PlanterDiscount)*(1+PlanterDifficultyPercentage)),""),"")),"   not ELP, by"))))))))))))))</f>
        <v/>
      </c>
      <c r="AD4278" s="712"/>
      <c r="AE4278" s="513" t="str">
        <f t="shared" si="3184"/>
        <v/>
      </c>
      <c r="AF4278" s="713" t="str">
        <f t="shared" si="3185"/>
        <v/>
      </c>
      <c r="AG4278" s="713"/>
      <c r="AH4278" s="713"/>
      <c r="AI4278" s="112">
        <f>IF(H4278="credit",0,IF(AE4278="free",0,IF(AE4278="me",0,IF(G4278&gt;0,(VLOOKUP(A4278,'Discount Lookup'!J:K,2)*G4278),0))))</f>
        <v>0</v>
      </c>
      <c r="AJ4278" s="107" t="str">
        <f t="shared" ca="1" si="3186"/>
        <v/>
      </c>
      <c r="AK4278" s="714" t="str">
        <f t="shared" si="3187"/>
        <v/>
      </c>
      <c r="AL4278" s="714"/>
      <c r="AM4278" s="114" t="str">
        <f t="shared" si="3188"/>
        <v/>
      </c>
      <c r="AN4278" s="115"/>
      <c r="AO4278" s="116"/>
      <c r="AP4278" s="116"/>
      <c r="AQ4278" s="116"/>
      <c r="AR4278" s="116"/>
      <c r="AS4278" s="116"/>
      <c r="AT4278" s="116"/>
      <c r="AU4278" s="116"/>
      <c r="AV4278" s="78"/>
      <c r="AW4278" s="102"/>
      <c r="AX4278" s="78"/>
      <c r="AY4278" s="78"/>
      <c r="AZ4278" s="78"/>
      <c r="BA4278" s="78"/>
      <c r="BB4278" s="78"/>
      <c r="BC4278" s="78"/>
      <c r="BD4278" s="78"/>
      <c r="BE4278" s="465"/>
      <c r="BF4278" s="165" t="str">
        <f t="shared" si="3189"/>
        <v>https://www.google.com/search?tbm=isch&amp;q=2%20G6</v>
      </c>
      <c r="BG4278" s="165" t="str">
        <f t="shared" si="3190"/>
        <v>V</v>
      </c>
      <c r="BH4278" s="65"/>
      <c r="BI4278" s="65"/>
      <c r="BJ4278" s="65"/>
      <c r="BK4278" s="65"/>
      <c r="BL4278" s="99"/>
      <c r="BM4278" s="99"/>
      <c r="BN4278" s="99"/>
    </row>
    <row r="4279" spans="1:66" s="51" customFormat="1" ht="16.5" x14ac:dyDescent="0.25">
      <c r="A4279" s="641" t="s">
        <v>4905</v>
      </c>
      <c r="B4279" s="642"/>
      <c r="C4279" s="710"/>
      <c r="D4279" s="643"/>
      <c r="E4279" s="643"/>
      <c r="F4279" s="644"/>
      <c r="G4279" s="645"/>
      <c r="H4279" s="646"/>
      <c r="I4279" s="647"/>
      <c r="J4279" s="648"/>
      <c r="K4279" s="649"/>
      <c r="L4279" s="650"/>
      <c r="M4279" s="650"/>
      <c r="N4279" s="644"/>
      <c r="O4279" s="644"/>
      <c r="P4279" s="644"/>
      <c r="Q4279" s="644"/>
      <c r="R4279" s="644"/>
      <c r="S4279" s="701" t="s">
        <v>5271</v>
      </c>
      <c r="T4279" s="102">
        <f t="shared" si="3178"/>
        <v>0</v>
      </c>
      <c r="U4279" s="78" t="str">
        <f>IF(NOT(ISNUMBER(G4279)), "", VLOOKUP(A4279,'Discount Lookup'!D:E,2,FALSE)*G4279)</f>
        <v/>
      </c>
      <c r="V4279" s="78" t="str">
        <f>IF(NOT(ISNUMBER(G4279)), "", VLOOKUP(A4279,'Discount Lookup'!G:H,2,FALSE)*G4279)</f>
        <v/>
      </c>
      <c r="W4279" s="102">
        <f t="shared" si="3179"/>
        <v>0</v>
      </c>
      <c r="X4279" s="102">
        <f t="shared" si="3180"/>
        <v>0</v>
      </c>
      <c r="Y4279" s="120" t="b">
        <f t="shared" si="3181"/>
        <v>0</v>
      </c>
      <c r="Z4279" s="117">
        <f t="shared" si="3182"/>
        <v>0</v>
      </c>
      <c r="AA4279" s="118"/>
      <c r="AB4279" s="118" t="str">
        <f t="shared" si="3183"/>
        <v/>
      </c>
      <c r="AC4279" s="712" t="str">
        <f>IF(AE4279="T2G","no charge",IF(AND(OR(PlanterYesMe="No",PlanterYesMe="N",PlanterYesMe="me"),H4279=""),"",IF(H4279="credit","NO install",IF(AND(K4279="",AE4279="me"),"EACH row",IF(AND(K4279="images",AE4279="me"),"EACH row",IF(D4279="","",IF(H4279="credit","",IF(AE4279="free","re-planting",IF(AE4279="me","   not ELP, by",IF(AND(OR(PlanterYesMe="Yes",PlanterYesMe="Y"),G4279&gt;0),(VLOOKUP(A4279,'Discount Lookup'!J:K,2)*G4279*(1-PlanterDiscount)*(1+PlanterDifficultyPercentage)),IF(AE4279="ELP",(VLOOKUP(A4279,'Discount Lookup'!J:K,2)*G4279*(1-PlanterDiscount)*(1+PlanterDifficultyPercentage)),IF(AE4279="free","re-planting",IF(G4279=0,"",IF(PlanterYesMe="",IF(AE4279="me","   not ELP, by",IF(AE4279="",IF(G4279&gt;0,(VLOOKUP(A4279,'Discount Lookup'!J:K,2)*G4279*(1-PlanterDiscount)*(1+PlanterDifficultyPercentage)),""),"")),"   not ELP, by"))))))))))))))</f>
        <v/>
      </c>
      <c r="AD4279" s="712"/>
      <c r="AE4279" s="513" t="str">
        <f t="shared" si="3184"/>
        <v/>
      </c>
      <c r="AF4279" s="713" t="str">
        <f t="shared" si="3185"/>
        <v/>
      </c>
      <c r="AG4279" s="713"/>
      <c r="AH4279" s="713"/>
      <c r="AI4279" s="112">
        <f>IF(H4279="credit",0,IF(AE4279="free",0,IF(AE4279="me",0,IF(G4279&gt;0,(VLOOKUP(A4279,'Discount Lookup'!J:K,2)*G4279),0))))</f>
        <v>0</v>
      </c>
      <c r="AJ4279" s="107" t="str">
        <f t="shared" ca="1" si="3186"/>
        <v/>
      </c>
      <c r="AK4279" s="714" t="str">
        <f t="shared" si="3187"/>
        <v/>
      </c>
      <c r="AL4279" s="714"/>
      <c r="AM4279" s="114" t="str">
        <f t="shared" si="3188"/>
        <v/>
      </c>
      <c r="AN4279" s="115"/>
      <c r="AO4279" s="116"/>
      <c r="AP4279" s="116"/>
      <c r="AQ4279" s="116"/>
      <c r="AR4279" s="116"/>
      <c r="AS4279" s="116"/>
      <c r="AT4279" s="116"/>
      <c r="AU4279" s="116"/>
      <c r="AV4279" s="78"/>
      <c r="AW4279" s="102"/>
      <c r="AX4279" s="78"/>
      <c r="AY4279" s="78"/>
      <c r="AZ4279" s="78"/>
      <c r="BA4279" s="78"/>
      <c r="BB4279" s="78"/>
      <c r="BC4279" s="78"/>
      <c r="BD4279" s="78"/>
      <c r="BE4279" s="465"/>
      <c r="BF4279" s="165" t="str">
        <f t="shared" si="3189"/>
        <v>https://www.google.com/search?tbm=isch&amp;q=Georgia%20Blue%20is%20notable%20for%20its%20vigorous%2C%20low-growing%20evergreen%20mat%20of%20foliage%20that%20turns%20a%20beautiful%20Bronze-Purple%20in%20cooler%20weather%20</v>
      </c>
      <c r="BG4279" s="165" t="str">
        <f t="shared" si="3190"/>
        <v>G</v>
      </c>
      <c r="BH4279" s="65"/>
      <c r="BI4279" s="65"/>
      <c r="BJ4279" s="65"/>
      <c r="BK4279" s="65"/>
      <c r="BL4279" s="99"/>
      <c r="BM4279" s="99"/>
      <c r="BN4279" s="99"/>
    </row>
    <row r="4280" spans="1:66" s="51" customFormat="1" ht="19.5" thickBot="1" x14ac:dyDescent="0.3">
      <c r="A4280" s="686" t="s">
        <v>816</v>
      </c>
      <c r="B4280" s="73"/>
      <c r="C4280" s="708"/>
      <c r="D4280" s="73"/>
      <c r="E4280" s="73"/>
      <c r="F4280" s="496"/>
      <c r="G4280" s="73"/>
      <c r="H4280" s="73"/>
      <c r="I4280" s="73"/>
      <c r="J4280" s="497" t="s">
        <v>357</v>
      </c>
      <c r="K4280" s="498"/>
      <c r="L4280" s="562"/>
      <c r="M4280" s="73"/>
      <c r="N4280"/>
      <c r="O4280"/>
      <c r="P4280"/>
      <c r="Q4280"/>
      <c r="R4280"/>
      <c r="S4280"/>
      <c r="T4280" s="102">
        <f t="shared" si="3178"/>
        <v>0</v>
      </c>
      <c r="U4280" s="78" t="str">
        <f>IF(NOT(ISNUMBER(G4280)), "", VLOOKUP(A4280,'Discount Lookup'!D:E,2,FALSE)*G4280)</f>
        <v/>
      </c>
      <c r="V4280" s="78" t="str">
        <f>IF(NOT(ISNUMBER(G4280)), "", VLOOKUP(A4280,'Discount Lookup'!G:H,2,FALSE)*G4280)</f>
        <v/>
      </c>
      <c r="W4280" s="102">
        <f t="shared" si="3179"/>
        <v>0</v>
      </c>
      <c r="X4280" s="102">
        <f t="shared" si="3180"/>
        <v>0</v>
      </c>
      <c r="Y4280" s="120" t="b">
        <f t="shared" si="3181"/>
        <v>0</v>
      </c>
      <c r="Z4280" s="117">
        <f t="shared" si="3182"/>
        <v>0</v>
      </c>
      <c r="AA4280" s="118"/>
      <c r="AB4280" s="118" t="str">
        <f t="shared" si="3183"/>
        <v/>
      </c>
      <c r="AC4280" s="712" t="str">
        <f>IF(AE4280="T2G","no charge",IF(AND(OR(PlanterYesMe="No",PlanterYesMe="N",PlanterYesMe="me"),H4280=""),"",IF(H4280="credit","NO install",IF(AND(K4280="",AE4280="me"),"EACH row",IF(AND(K4280="images",AE4280="me"),"EACH row",IF(D4280="","",IF(H4280="credit","",IF(AE4280="free","re-planting",IF(AE4280="me","   not ELP, by",IF(AND(OR(PlanterYesMe="Yes",PlanterYesMe="Y"),G4280&gt;0),(VLOOKUP(A4280,'Discount Lookup'!J:K,2)*G4280*(1-PlanterDiscount)*(1+PlanterDifficultyPercentage)),IF(AE4280="ELP",(VLOOKUP(A4280,'Discount Lookup'!J:K,2)*G4280*(1-PlanterDiscount)*(1+PlanterDifficultyPercentage)),IF(AE4280="free","re-planting",IF(G4280=0,"",IF(PlanterYesMe="",IF(AE4280="me","   not ELP, by",IF(AE4280="",IF(G4280&gt;0,(VLOOKUP(A4280,'Discount Lookup'!J:K,2)*G4280*(1-PlanterDiscount)*(1+PlanterDifficultyPercentage)),""),"")),"   not ELP, by"))))))))))))))</f>
        <v/>
      </c>
      <c r="AD4280" s="712"/>
      <c r="AE4280" s="513" t="str">
        <f t="shared" si="3184"/>
        <v/>
      </c>
      <c r="AF4280" s="713" t="str">
        <f t="shared" si="3185"/>
        <v/>
      </c>
      <c r="AG4280" s="713"/>
      <c r="AH4280" s="713"/>
      <c r="AI4280" s="112">
        <f>IF(H4280="credit",0,IF(AE4280="free",0,IF(AE4280="me",0,IF(G4280&gt;0,(VLOOKUP(A4280,'Discount Lookup'!J:K,2)*G4280),0))))</f>
        <v>0</v>
      </c>
      <c r="AJ4280" s="107" t="str">
        <f t="shared" ca="1" si="3186"/>
        <v/>
      </c>
      <c r="AK4280" s="714" t="str">
        <f t="shared" si="3187"/>
        <v/>
      </c>
      <c r="AL4280" s="714"/>
      <c r="AM4280" s="114" t="str">
        <f t="shared" si="3188"/>
        <v/>
      </c>
      <c r="AN4280" s="115"/>
      <c r="AO4280" s="116"/>
      <c r="AP4280" s="116"/>
      <c r="AQ4280" s="116"/>
      <c r="AR4280" s="116"/>
      <c r="AS4280" s="116"/>
      <c r="AT4280" s="116"/>
      <c r="AU4280" s="116"/>
      <c r="AV4280" s="78"/>
      <c r="AW4280" s="102"/>
      <c r="AX4280" s="78"/>
      <c r="AY4280" s="78"/>
      <c r="AZ4280" s="78"/>
      <c r="BA4280" s="78"/>
      <c r="BB4280" s="78"/>
      <c r="BC4280" s="78"/>
      <c r="BD4280" s="78"/>
      <c r="BE4280" s="465"/>
      <c r="BF4280" s="165" t="str">
        <f t="shared" si="3189"/>
        <v>https://www.google.com/search?tbm=isch&amp;q=Viburnum%20%3D%20Arrowwood%20</v>
      </c>
      <c r="BG4280" s="165" t="str">
        <f t="shared" si="3190"/>
        <v>V</v>
      </c>
      <c r="BH4280" s="65"/>
      <c r="BI4280" s="65"/>
      <c r="BJ4280" s="65"/>
      <c r="BK4280" s="65"/>
      <c r="BL4280" s="99"/>
      <c r="BM4280" s="99"/>
      <c r="BN4280" s="99"/>
    </row>
    <row r="4281" spans="1:66" s="51" customFormat="1" ht="18" x14ac:dyDescent="0.25">
      <c r="A4281" s="507" t="s">
        <v>5105</v>
      </c>
      <c r="B4281" s="470"/>
      <c r="C4281" s="706"/>
      <c r="D4281" s="471" t="s">
        <v>5852</v>
      </c>
      <c r="E4281" s="472"/>
      <c r="F4281" s="472"/>
      <c r="G4281" s="472"/>
      <c r="H4281" s="622" t="s">
        <v>1366</v>
      </c>
      <c r="I4281" s="473" t="s">
        <v>349</v>
      </c>
      <c r="J4281" s="472"/>
      <c r="K4281" s="472"/>
      <c r="L4281" s="561"/>
      <c r="M4281" s="698" t="s">
        <v>5246</v>
      </c>
      <c r="N4281" s="692" t="str">
        <f>IF(AND(ISTEXT($A4281), ISERROR($A4281+0)), HYPERLINK($BF4281, "Images"), "")</f>
        <v>Images</v>
      </c>
      <c r="O4281" s="694" t="s">
        <v>5247</v>
      </c>
      <c r="P4281" s="475"/>
      <c r="Q4281" s="476"/>
      <c r="R4281" s="476"/>
      <c r="S4281" s="477"/>
      <c r="T4281" s="102">
        <f t="shared" si="3178"/>
        <v>0</v>
      </c>
      <c r="U4281" s="78" t="str">
        <f>IF(NOT(ISNUMBER(G4281)), "", VLOOKUP(A4281,'Discount Lookup'!D:E,2,FALSE)*G4281)</f>
        <v/>
      </c>
      <c r="V4281" s="78" t="str">
        <f>IF(NOT(ISNUMBER(G4281)), "", VLOOKUP(A4281,'Discount Lookup'!G:H,2,FALSE)*G4281)</f>
        <v/>
      </c>
      <c r="W4281" s="102">
        <f t="shared" si="3179"/>
        <v>0</v>
      </c>
      <c r="X4281" s="102" t="str">
        <f t="shared" si="3180"/>
        <v>White bloom</v>
      </c>
      <c r="Y4281" s="120" t="b">
        <f t="shared" si="3181"/>
        <v>0</v>
      </c>
      <c r="Z4281" s="117">
        <f t="shared" si="3182"/>
        <v>0</v>
      </c>
      <c r="AA4281" s="118"/>
      <c r="AB4281" s="118" t="str">
        <f t="shared" si="3183"/>
        <v/>
      </c>
      <c r="AC4281" s="712" t="str">
        <f>IF(AE4281="T2G","no charge",IF(AND(OR(PlanterYesMe="No",PlanterYesMe="N",PlanterYesMe="me"),H4281=""),"",IF(H4281="credit","NO install",IF(AND(K4281="",AE4281="me"),"EACH row",IF(AND(K4281="images",AE4281="me"),"EACH row",IF(D4281="","",IF(H4281="credit","",IF(AE4281="free","re-planting",IF(AE4281="me","   not ELP, by",IF(AND(OR(PlanterYesMe="Yes",PlanterYesMe="Y"),G4281&gt;0),(VLOOKUP(A4281,'Discount Lookup'!J:K,2)*G4281*(1-PlanterDiscount)*(1+PlanterDifficultyPercentage)),IF(AE4281="ELP",(VLOOKUP(A4281,'Discount Lookup'!J:K,2)*G4281*(1-PlanterDiscount)*(1+PlanterDifficultyPercentage)),IF(AE4281="free","re-planting",IF(G4281=0,"",IF(PlanterYesMe="",IF(AE4281="me","   not ELP, by",IF(AE4281="",IF(G4281&gt;0,(VLOOKUP(A4281,'Discount Lookup'!J:K,2)*G4281*(1-PlanterDiscount)*(1+PlanterDifficultyPercentage)),""),"")),"   not ELP, by"))))))))))))))</f>
        <v/>
      </c>
      <c r="AD4281" s="712"/>
      <c r="AE4281" s="513" t="str">
        <f t="shared" si="3184"/>
        <v/>
      </c>
      <c r="AF4281" s="713" t="str">
        <f t="shared" si="3185"/>
        <v/>
      </c>
      <c r="AG4281" s="713"/>
      <c r="AH4281" s="713"/>
      <c r="AI4281" s="112">
        <f>IF(H4281="credit",0,IF(AE4281="free",0,IF(AE4281="me",0,IF(G4281&gt;0,(VLOOKUP(A4281,'Discount Lookup'!J:K,2)*G4281),0))))</f>
        <v>0</v>
      </c>
      <c r="AJ4281" s="107" t="str">
        <f t="shared" ca="1" si="3186"/>
        <v/>
      </c>
      <c r="AK4281" s="714" t="str">
        <f t="shared" si="3187"/>
        <v/>
      </c>
      <c r="AL4281" s="714"/>
      <c r="AM4281" s="114" t="str">
        <f t="shared" si="3188"/>
        <v/>
      </c>
      <c r="AN4281" s="115"/>
      <c r="AO4281" s="116"/>
      <c r="AP4281" s="116"/>
      <c r="AQ4281" s="116"/>
      <c r="AR4281" s="116"/>
      <c r="AS4281" s="116"/>
      <c r="AT4281" s="116"/>
      <c r="AU4281" s="116"/>
      <c r="AV4281" s="78"/>
      <c r="AW4281" s="102"/>
      <c r="AX4281" s="78"/>
      <c r="AY4281" s="78"/>
      <c r="AZ4281" s="78"/>
      <c r="BA4281" s="78"/>
      <c r="BB4281" s="78"/>
      <c r="BC4281" s="78"/>
      <c r="BD4281" s="78"/>
      <c r="BE4281" s="465"/>
      <c r="BF4281" s="165" t="str">
        <f t="shared" si="3189"/>
        <v>https://www.google.com/search?tbm=isch&amp;q=Viburnum%20%C3%97%20%27Yardline%27%20Yardline%C2%AE%20Viburnum</v>
      </c>
      <c r="BG4281" s="165" t="str">
        <f t="shared" si="3190"/>
        <v>V</v>
      </c>
      <c r="BH4281" s="65"/>
      <c r="BI4281" s="65"/>
      <c r="BJ4281" s="65"/>
      <c r="BK4281" s="65"/>
      <c r="BL4281" s="99"/>
      <c r="BM4281" s="99"/>
      <c r="BN4281" s="99"/>
    </row>
    <row r="4282" spans="1:66" s="51" customFormat="1" ht="15.75" x14ac:dyDescent="0.25">
      <c r="A4282" s="478">
        <v>10</v>
      </c>
      <c r="B4282" s="479" t="s">
        <v>291</v>
      </c>
      <c r="C4282" s="480" t="s">
        <v>4416</v>
      </c>
      <c r="D4282" s="481" t="s">
        <v>299</v>
      </c>
      <c r="E4282" s="482">
        <v>104.95</v>
      </c>
      <c r="F4282" s="483" t="s">
        <v>292</v>
      </c>
      <c r="G4282" s="484">
        <v>0</v>
      </c>
      <c r="H4282" s="688" t="str">
        <f>IF(G4282=0,"",IF(F4282="Buy",IF(G4282=1,"plant","plants"),IF(F4282&gt;0.01,"warranty","Error")))</f>
        <v/>
      </c>
      <c r="I4282" s="485">
        <f>IF(H4282="free",0,IF(H4282="credit",((E4282*(F4282))*G4282*-1),IF(F4282="Buy",(E4282*G4282),((E4282*(1-F4282))*G4282))))</f>
        <v>0</v>
      </c>
      <c r="J4282" s="485">
        <f>IF(H4282="warranty",0,(I4282*(_xlfn.SINGLE(SalesTaxPercentage))))</f>
        <v>0</v>
      </c>
      <c r="K4282" s="715">
        <f t="shared" ref="K4282" si="3203">I4282+J4282</f>
        <v>0</v>
      </c>
      <c r="L4282" s="715"/>
      <c r="M4282" s="689" t="str">
        <f ca="1">IF(AND(G4282&gt;0,E4282=0),"WARNING - no PRICE inserted",IF(H4282="free","FREE ~ no charge this plant",IF(H4282="credit",CONCATENATE("-$",ROUND(K4282*(1-_xlfn.SINGLE(T2GDiscount))*-1,2)," CREDIT after discount"),IF(_xlfn.SINGLE(T2GDiscount)=0,"",IF(G4282=0,"",IF(F4282="Buy",CONCATENATE("$",ROUND(K4282*(1-_xlfn.SINGLE(T2GDiscount)),2)," with ",(_xlfn.SINGLE(T2GDiscount)*100),"% discount"),CONCATENATE("$",ROUND(K4282*(1-_xlfn.SINGLE(T2GDiscount)),2)," with ",((_xlfn.SINGLE(T2GDiscount)*100+F4282*100)-(_xlfn.SINGLE(T2GDiscount)*100*F4282)),IF(F4282&gt;0,"% discounts",IF(_xlfn.SINGLE(NoWarrantyDiscount)&gt;0,"% discounts","% discount")))))))))</f>
        <v/>
      </c>
      <c r="N4282" s="690"/>
      <c r="O4282" s="486"/>
      <c r="P4282" s="486"/>
      <c r="Q4282" s="486"/>
      <c r="R4282" s="486"/>
      <c r="S4282" s="486"/>
      <c r="T4282" s="102">
        <f t="shared" si="3178"/>
        <v>0</v>
      </c>
      <c r="U4282" s="78">
        <f>IF(NOT(ISNUMBER(G4282)), "", VLOOKUP(A4282,'Discount Lookup'!D:E,2,FALSE)*G4282)</f>
        <v>0</v>
      </c>
      <c r="V4282" s="78">
        <f>IF(NOT(ISNUMBER(G4282)), "", VLOOKUP(A4282,'Discount Lookup'!G:H,2,FALSE)*G4282)</f>
        <v>0</v>
      </c>
      <c r="W4282" s="102">
        <f t="shared" si="3179"/>
        <v>0</v>
      </c>
      <c r="X4282" s="102">
        <f t="shared" si="3180"/>
        <v>0</v>
      </c>
      <c r="Y4282" s="120" t="b">
        <f t="shared" si="3181"/>
        <v>0</v>
      </c>
      <c r="Z4282" s="117">
        <f t="shared" si="3182"/>
        <v>0</v>
      </c>
      <c r="AA4282" s="118"/>
      <c r="AB4282" s="118" t="str">
        <f t="shared" si="3183"/>
        <v/>
      </c>
      <c r="AC4282" s="712" t="str">
        <f>IF(AE4282="T2G","no charge",IF(AND(OR(PlanterYesMe="No",PlanterYesMe="N",PlanterYesMe="me"),H4282=""),"",IF(H4282="credit","NO install",IF(AND(K4282="",AE4282="me"),"EACH row",IF(AND(K4282="images",AE4282="me"),"EACH row",IF(D4282="","",IF(H4282="credit","",IF(AE4282="free","re-planting",IF(AE4282="me","   not ELP, by",IF(AND(OR(PlanterYesMe="Yes",PlanterYesMe="Y"),G4282&gt;0),(VLOOKUP(A4282,'Discount Lookup'!J:K,2)*G4282*(1-PlanterDiscount)*(1+PlanterDifficultyPercentage)),IF(AE4282="ELP",(VLOOKUP(A4282,'Discount Lookup'!J:K,2)*G4282*(1-PlanterDiscount)*(1+PlanterDifficultyPercentage)),IF(AE4282="free","re-planting",IF(G4282=0,"",IF(PlanterYesMe="",IF(AE4282="me","   not ELP, by",IF(AE4282="",IF(G4282&gt;0,(VLOOKUP(A4282,'Discount Lookup'!J:K,2)*G4282*(1-PlanterDiscount)*(1+PlanterDifficultyPercentage)),""),"")),"   not ELP, by"))))))))))))))</f>
        <v/>
      </c>
      <c r="AD4282" s="712"/>
      <c r="AE4282" s="513" t="str">
        <f t="shared" si="3184"/>
        <v/>
      </c>
      <c r="AF4282" s="713" t="str">
        <f t="shared" si="3185"/>
        <v/>
      </c>
      <c r="AG4282" s="713"/>
      <c r="AH4282" s="713"/>
      <c r="AI4282" s="112">
        <f>IF(H4282="credit",0,IF(AE4282="free",0,IF(AE4282="me",0,IF(G4282&gt;0,(VLOOKUP(A4282,'Discount Lookup'!J:K,2)*G4282),0))))</f>
        <v>0</v>
      </c>
      <c r="AJ4282" s="107" t="str">
        <f t="shared" ca="1" si="3186"/>
        <v/>
      </c>
      <c r="AK4282" s="714" t="str">
        <f t="shared" si="3187"/>
        <v/>
      </c>
      <c r="AL4282" s="714"/>
      <c r="AM4282" s="114" t="str">
        <f t="shared" si="3188"/>
        <v/>
      </c>
      <c r="AN4282" s="115"/>
      <c r="AO4282" s="116"/>
      <c r="AP4282" s="116"/>
      <c r="AQ4282" s="116"/>
      <c r="AR4282" s="116"/>
      <c r="AS4282" s="116"/>
      <c r="AT4282" s="116"/>
      <c r="AU4282" s="116"/>
      <c r="AV4282" s="78"/>
      <c r="AW4282" s="102"/>
      <c r="AX4282" s="78"/>
      <c r="AY4282" s="78"/>
      <c r="AZ4282" s="78"/>
      <c r="BA4282" s="78"/>
      <c r="BB4282" s="78"/>
      <c r="BC4282" s="78"/>
      <c r="BD4282" s="78"/>
      <c r="BE4282" s="465"/>
      <c r="BF4282" s="165" t="str">
        <f t="shared" si="3189"/>
        <v>https://www.google.com/search?tbm=isch&amp;q=10%20G4</v>
      </c>
      <c r="BG4282" s="165" t="str">
        <f t="shared" si="3190"/>
        <v>V</v>
      </c>
      <c r="BH4282" s="65"/>
      <c r="BI4282" s="65"/>
      <c r="BJ4282" s="65"/>
      <c r="BK4282" s="65"/>
      <c r="BL4282" s="99"/>
      <c r="BM4282" s="99"/>
      <c r="BN4282" s="99"/>
    </row>
    <row r="4283" spans="1:66" s="51" customFormat="1" ht="17.25" thickBot="1" x14ac:dyDescent="0.3">
      <c r="A4283" s="508" t="s">
        <v>5106</v>
      </c>
      <c r="B4283" s="487"/>
      <c r="C4283" s="707"/>
      <c r="D4283" s="487"/>
      <c r="E4283" s="487"/>
      <c r="F4283" s="488"/>
      <c r="G4283" s="489"/>
      <c r="H4283" s="487"/>
      <c r="I4283" s="490"/>
      <c r="J4283" s="490"/>
      <c r="K4283" s="491"/>
      <c r="L4283" s="547"/>
      <c r="M4283" s="528"/>
      <c r="N4283" s="492"/>
      <c r="O4283" s="493"/>
      <c r="P4283" s="494"/>
      <c r="Q4283" s="492"/>
      <c r="R4283" s="492"/>
      <c r="S4283" s="699" t="s">
        <v>5268</v>
      </c>
      <c r="T4283" s="102">
        <f t="shared" si="3178"/>
        <v>0</v>
      </c>
      <c r="U4283" s="78" t="str">
        <f>IF(NOT(ISNUMBER(G4283)), "", VLOOKUP(A4283,'Discount Lookup'!D:E,2,FALSE)*G4283)</f>
        <v/>
      </c>
      <c r="V4283" s="78" t="str">
        <f>IF(NOT(ISNUMBER(G4283)), "", VLOOKUP(A4283,'Discount Lookup'!G:H,2,FALSE)*G4283)</f>
        <v/>
      </c>
      <c r="W4283" s="102">
        <f t="shared" si="3179"/>
        <v>0</v>
      </c>
      <c r="X4283" s="102">
        <f t="shared" si="3180"/>
        <v>0</v>
      </c>
      <c r="Y4283" s="120" t="b">
        <f t="shared" si="3181"/>
        <v>0</v>
      </c>
      <c r="Z4283" s="117">
        <f t="shared" si="3182"/>
        <v>0</v>
      </c>
      <c r="AA4283" s="118"/>
      <c r="AB4283" s="118" t="str">
        <f t="shared" si="3183"/>
        <v/>
      </c>
      <c r="AC4283" s="712" t="str">
        <f>IF(AE4283="T2G","no charge",IF(AND(OR(PlanterYesMe="No",PlanterYesMe="N",PlanterYesMe="me"),H4283=""),"",IF(H4283="credit","NO install",IF(AND(K4283="",AE4283="me"),"EACH row",IF(AND(K4283="images",AE4283="me"),"EACH row",IF(D4283="","",IF(H4283="credit","",IF(AE4283="free","re-planting",IF(AE4283="me","   not ELP, by",IF(AND(OR(PlanterYesMe="Yes",PlanterYesMe="Y"),G4283&gt;0),(VLOOKUP(A4283,'Discount Lookup'!J:K,2)*G4283*(1-PlanterDiscount)*(1+PlanterDifficultyPercentage)),IF(AE4283="ELP",(VLOOKUP(A4283,'Discount Lookup'!J:K,2)*G4283*(1-PlanterDiscount)*(1+PlanterDifficultyPercentage)),IF(AE4283="free","re-planting",IF(G4283=0,"",IF(PlanterYesMe="",IF(AE4283="me","   not ELP, by",IF(AE4283="",IF(G4283&gt;0,(VLOOKUP(A4283,'Discount Lookup'!J:K,2)*G4283*(1-PlanterDiscount)*(1+PlanterDifficultyPercentage)),""),"")),"   not ELP, by"))))))))))))))</f>
        <v/>
      </c>
      <c r="AD4283" s="712"/>
      <c r="AE4283" s="513" t="str">
        <f t="shared" si="3184"/>
        <v/>
      </c>
      <c r="AF4283" s="713" t="str">
        <f t="shared" si="3185"/>
        <v/>
      </c>
      <c r="AG4283" s="713"/>
      <c r="AH4283" s="713"/>
      <c r="AI4283" s="112">
        <f>IF(H4283="credit",0,IF(AE4283="free",0,IF(AE4283="me",0,IF(G4283&gt;0,(VLOOKUP(A4283,'Discount Lookup'!J:K,2)*G4283),0))))</f>
        <v>0</v>
      </c>
      <c r="AJ4283" s="107" t="str">
        <f t="shared" ca="1" si="3186"/>
        <v/>
      </c>
      <c r="AK4283" s="714" t="str">
        <f t="shared" si="3187"/>
        <v/>
      </c>
      <c r="AL4283" s="714"/>
      <c r="AM4283" s="114" t="str">
        <f t="shared" si="3188"/>
        <v/>
      </c>
      <c r="AN4283" s="115"/>
      <c r="AO4283" s="116"/>
      <c r="AP4283" s="116"/>
      <c r="AQ4283" s="116"/>
      <c r="AR4283" s="116"/>
      <c r="AS4283" s="116"/>
      <c r="AT4283" s="116"/>
      <c r="AU4283" s="116"/>
      <c r="AV4283" s="78"/>
      <c r="AW4283" s="102"/>
      <c r="AX4283" s="78"/>
      <c r="AY4283" s="78"/>
      <c r="AZ4283" s="78"/>
      <c r="BA4283" s="78"/>
      <c r="BB4283" s="78"/>
      <c r="BC4283" s="78"/>
      <c r="BD4283" s="78"/>
      <c r="BE4283" s="465"/>
      <c r="BF4283" s="165" t="str">
        <f t="shared" si="3189"/>
        <v>https://www.google.com/search?tbm=isch&amp;q=Yardline%20has%20fragrant%20spring%20blooms%2C%20glossy%20foliage%2C%20and%20a%20narrow%20upright%20habit.%20Red%20berries%20if%20a%20pollinator%20like%20V.%20awabuki%20is%20nearby%20</v>
      </c>
      <c r="BG4283" s="165" t="str">
        <f t="shared" si="3190"/>
        <v>Y</v>
      </c>
      <c r="BH4283" s="65"/>
      <c r="BI4283" s="65"/>
      <c r="BJ4283" s="65"/>
      <c r="BK4283" s="65"/>
      <c r="BL4283" s="99"/>
      <c r="BM4283" s="99"/>
      <c r="BN4283" s="99"/>
    </row>
    <row r="4284" spans="1:66" s="51" customFormat="1" ht="18" x14ac:dyDescent="0.25">
      <c r="A4284" s="507" t="s">
        <v>817</v>
      </c>
      <c r="B4284" s="470"/>
      <c r="C4284" s="706"/>
      <c r="D4284" s="471" t="s">
        <v>818</v>
      </c>
      <c r="E4284" s="472"/>
      <c r="F4284" s="472"/>
      <c r="G4284" s="472"/>
      <c r="H4284" s="622" t="s">
        <v>833</v>
      </c>
      <c r="I4284" s="473" t="s">
        <v>349</v>
      </c>
      <c r="J4284" s="472"/>
      <c r="K4284" s="472"/>
      <c r="L4284" s="561"/>
      <c r="M4284" s="698" t="s">
        <v>5246</v>
      </c>
      <c r="N4284" s="692" t="str">
        <f>IF(AND(ISTEXT($A4284), ISERROR($A4284+0)), HYPERLINK($BF4284, "Images"), "")</f>
        <v>Images</v>
      </c>
      <c r="O4284" s="694" t="s">
        <v>5247</v>
      </c>
      <c r="P4284" s="475"/>
      <c r="Q4284" s="476"/>
      <c r="R4284" s="476"/>
      <c r="S4284" s="477"/>
      <c r="T4284" s="102">
        <f t="shared" si="3178"/>
        <v>0</v>
      </c>
      <c r="U4284" s="78" t="str">
        <f>IF(NOT(ISNUMBER(G4284)), "", VLOOKUP(A4284,'Discount Lookup'!D:E,2,FALSE)*G4284)</f>
        <v/>
      </c>
      <c r="V4284" s="78" t="str">
        <f>IF(NOT(ISNUMBER(G4284)), "", VLOOKUP(A4284,'Discount Lookup'!G:H,2,FALSE)*G4284)</f>
        <v/>
      </c>
      <c r="W4284" s="102">
        <f t="shared" si="3179"/>
        <v>0</v>
      </c>
      <c r="X4284" s="102" t="str">
        <f t="shared" si="3180"/>
        <v>White bloom</v>
      </c>
      <c r="Y4284" s="120" t="b">
        <f t="shared" si="3181"/>
        <v>0</v>
      </c>
      <c r="Z4284" s="117">
        <f t="shared" si="3182"/>
        <v>0</v>
      </c>
      <c r="AA4284" s="118"/>
      <c r="AB4284" s="118" t="str">
        <f t="shared" si="3183"/>
        <v/>
      </c>
      <c r="AC4284" s="712" t="str">
        <f>IF(AE4284="T2G","no charge",IF(AND(OR(PlanterYesMe="No",PlanterYesMe="N",PlanterYesMe="me"),H4284=""),"",IF(H4284="credit","NO install",IF(AND(K4284="",AE4284="me"),"EACH row",IF(AND(K4284="images",AE4284="me"),"EACH row",IF(D4284="","",IF(H4284="credit","",IF(AE4284="free","re-planting",IF(AE4284="me","   not ELP, by",IF(AND(OR(PlanterYesMe="Yes",PlanterYesMe="Y"),G4284&gt;0),(VLOOKUP(A4284,'Discount Lookup'!J:K,2)*G4284*(1-PlanterDiscount)*(1+PlanterDifficultyPercentage)),IF(AE4284="ELP",(VLOOKUP(A4284,'Discount Lookup'!J:K,2)*G4284*(1-PlanterDiscount)*(1+PlanterDifficultyPercentage)),IF(AE4284="free","re-planting",IF(G4284=0,"",IF(PlanterYesMe="",IF(AE4284="me","   not ELP, by",IF(AE4284="",IF(G4284&gt;0,(VLOOKUP(A4284,'Discount Lookup'!J:K,2)*G4284*(1-PlanterDiscount)*(1+PlanterDifficultyPercentage)),""),"")),"   not ELP, by"))))))))))))))</f>
        <v/>
      </c>
      <c r="AD4284" s="712"/>
      <c r="AE4284" s="513" t="str">
        <f t="shared" si="3184"/>
        <v/>
      </c>
      <c r="AF4284" s="713" t="str">
        <f t="shared" si="3185"/>
        <v/>
      </c>
      <c r="AG4284" s="713"/>
      <c r="AH4284" s="713"/>
      <c r="AI4284" s="112">
        <f>IF(H4284="credit",0,IF(AE4284="free",0,IF(AE4284="me",0,IF(G4284&gt;0,(VLOOKUP(A4284,'Discount Lookup'!J:K,2)*G4284),0))))</f>
        <v>0</v>
      </c>
      <c r="AJ4284" s="107" t="str">
        <f t="shared" ca="1" si="3186"/>
        <v/>
      </c>
      <c r="AK4284" s="714" t="str">
        <f t="shared" si="3187"/>
        <v/>
      </c>
      <c r="AL4284" s="714"/>
      <c r="AM4284" s="114" t="str">
        <f t="shared" si="3188"/>
        <v/>
      </c>
      <c r="AN4284" s="115"/>
      <c r="AO4284" s="116"/>
      <c r="AP4284" s="116"/>
      <c r="AQ4284" s="116"/>
      <c r="AR4284" s="116"/>
      <c r="AS4284" s="116"/>
      <c r="AT4284" s="116"/>
      <c r="AU4284" s="116"/>
      <c r="AV4284" s="78"/>
      <c r="AW4284" s="102"/>
      <c r="AX4284" s="78"/>
      <c r="AY4284" s="78"/>
      <c r="AZ4284" s="78"/>
      <c r="BA4284" s="78"/>
      <c r="BB4284" s="78"/>
      <c r="BC4284" s="78"/>
      <c r="BD4284" s="78"/>
      <c r="BE4284" s="465"/>
      <c r="BF4284" s="165" t="str">
        <f t="shared" si="3189"/>
        <v>https://www.google.com/search?tbm=isch&amp;q=Viburnum%20awabuki%20%27Chindo%27%20PP%2336488%20Chindo%20Viburnum</v>
      </c>
      <c r="BG4284" s="165" t="str">
        <f t="shared" si="3190"/>
        <v>V</v>
      </c>
      <c r="BH4284" s="65"/>
      <c r="BI4284" s="65"/>
      <c r="BJ4284" s="65"/>
      <c r="BK4284" s="65"/>
      <c r="BL4284" s="99"/>
      <c r="BM4284" s="99"/>
      <c r="BN4284" s="99"/>
    </row>
    <row r="4285" spans="1:66" s="51" customFormat="1" ht="15.75" x14ac:dyDescent="0.25">
      <c r="A4285" s="478">
        <v>3</v>
      </c>
      <c r="B4285" s="479" t="s">
        <v>291</v>
      </c>
      <c r="C4285" s="480" t="s">
        <v>336</v>
      </c>
      <c r="D4285" s="481" t="s">
        <v>310</v>
      </c>
      <c r="E4285" s="482">
        <v>26.95</v>
      </c>
      <c r="F4285" s="483" t="s">
        <v>292</v>
      </c>
      <c r="G4285" s="484">
        <v>0</v>
      </c>
      <c r="H4285" s="688" t="str">
        <f t="shared" ref="H4285:H4296" si="3204">IF(G4285=0,"",IF(F4285="Buy",IF(G4285=1,"plant","plants"),IF(F4285&gt;0.01,"warranty","Error")))</f>
        <v/>
      </c>
      <c r="I4285" s="485">
        <f t="shared" ref="I4285:I4296" si="3205">IF(H4285="free",0,IF(H4285="credit",((E4285*(F4285))*G4285*-1),IF(F4285="Buy",(E4285*G4285),((E4285*(1-F4285))*G4285))))</f>
        <v>0</v>
      </c>
      <c r="J4285" s="485">
        <f t="shared" ref="J4285:J4296" si="3206">IF(H4285="warranty",0,(I4285*(_xlfn.SINGLE(SalesTaxPercentage))))</f>
        <v>0</v>
      </c>
      <c r="K4285" s="715">
        <f t="shared" ref="K4285" si="3207">I4285+J4285</f>
        <v>0</v>
      </c>
      <c r="L4285" s="715"/>
      <c r="M4285" s="689" t="str">
        <f t="shared" ref="M4285:M4296" ca="1" si="3208">IF(AND(G4285&gt;0,E4285=0),"WARNING - no PRICE inserted",IF(H4285="free","FREE ~ no charge this plant",IF(H4285="credit",CONCATENATE("-$",ROUND(K4285*(1-_xlfn.SINGLE(T2GDiscount))*-1,2)," CREDIT after discount"),IF(_xlfn.SINGLE(T2GDiscount)=0,"",IF(G4285=0,"",IF(F4285="Buy",CONCATENATE("$",ROUND(K4285*(1-_xlfn.SINGLE(T2GDiscount)),2)," with ",(_xlfn.SINGLE(T2GDiscount)*100),"% discount"),CONCATENATE("$",ROUND(K4285*(1-_xlfn.SINGLE(T2GDiscount)),2)," with ",((_xlfn.SINGLE(T2GDiscount)*100+F4285*100)-(_xlfn.SINGLE(T2GDiscount)*100*F4285)),IF(F4285&gt;0,"% discounts",IF(_xlfn.SINGLE(NoWarrantyDiscount)&gt;0,"% discounts","% discount")))))))))</f>
        <v/>
      </c>
      <c r="N4285" s="690"/>
      <c r="O4285" s="486"/>
      <c r="P4285" s="486"/>
      <c r="Q4285" s="486"/>
      <c r="R4285" s="486"/>
      <c r="S4285" s="486"/>
      <c r="T4285" s="102">
        <f t="shared" si="3178"/>
        <v>0</v>
      </c>
      <c r="U4285" s="78">
        <f>IF(NOT(ISNUMBER(G4285)), "", VLOOKUP(A4285,'Discount Lookup'!D:E,2,FALSE)*G4285)</f>
        <v>0</v>
      </c>
      <c r="V4285" s="78">
        <f>IF(NOT(ISNUMBER(G4285)), "", VLOOKUP(A4285,'Discount Lookup'!G:H,2,FALSE)*G4285)</f>
        <v>0</v>
      </c>
      <c r="W4285" s="102">
        <f t="shared" si="3179"/>
        <v>0</v>
      </c>
      <c r="X4285" s="102">
        <f t="shared" si="3180"/>
        <v>0</v>
      </c>
      <c r="Y4285" s="120" t="b">
        <f t="shared" si="3181"/>
        <v>0</v>
      </c>
      <c r="Z4285" s="117">
        <f t="shared" si="3182"/>
        <v>0</v>
      </c>
      <c r="AA4285" s="118"/>
      <c r="AB4285" s="118" t="str">
        <f t="shared" si="3183"/>
        <v/>
      </c>
      <c r="AC4285" s="712" t="str">
        <f>IF(AE4285="T2G","no charge",IF(AND(OR(PlanterYesMe="No",PlanterYesMe="N",PlanterYesMe="me"),H4285=""),"",IF(H4285="credit","NO install",IF(AND(K4285="",AE4285="me"),"EACH row",IF(AND(K4285="images",AE4285="me"),"EACH row",IF(D4285="","",IF(H4285="credit","",IF(AE4285="free","re-planting",IF(AE4285="me","   not ELP, by",IF(AND(OR(PlanterYesMe="Yes",PlanterYesMe="Y"),G4285&gt;0),(VLOOKUP(A4285,'Discount Lookup'!J:K,2)*G4285*(1-PlanterDiscount)*(1+PlanterDifficultyPercentage)),IF(AE4285="ELP",(VLOOKUP(A4285,'Discount Lookup'!J:K,2)*G4285*(1-PlanterDiscount)*(1+PlanterDifficultyPercentage)),IF(AE4285="free","re-planting",IF(G4285=0,"",IF(PlanterYesMe="",IF(AE4285="me","   not ELP, by",IF(AE4285="",IF(G4285&gt;0,(VLOOKUP(A4285,'Discount Lookup'!J:K,2)*G4285*(1-PlanterDiscount)*(1+PlanterDifficultyPercentage)),""),"")),"   not ELP, by"))))))))))))))</f>
        <v/>
      </c>
      <c r="AD4285" s="712"/>
      <c r="AE4285" s="513" t="str">
        <f t="shared" si="3184"/>
        <v/>
      </c>
      <c r="AF4285" s="713" t="str">
        <f t="shared" si="3185"/>
        <v/>
      </c>
      <c r="AG4285" s="713"/>
      <c r="AH4285" s="713"/>
      <c r="AI4285" s="112">
        <f>IF(H4285="credit",0,IF(AE4285="free",0,IF(AE4285="me",0,IF(G4285&gt;0,(VLOOKUP(A4285,'Discount Lookup'!J:K,2)*G4285),0))))</f>
        <v>0</v>
      </c>
      <c r="AJ4285" s="107" t="str">
        <f t="shared" ca="1" si="3186"/>
        <v/>
      </c>
      <c r="AK4285" s="714" t="str">
        <f t="shared" si="3187"/>
        <v/>
      </c>
      <c r="AL4285" s="714"/>
      <c r="AM4285" s="114" t="str">
        <f t="shared" si="3188"/>
        <v/>
      </c>
      <c r="AN4285" s="115"/>
      <c r="AO4285" s="116"/>
      <c r="AP4285" s="116"/>
      <c r="AQ4285" s="116"/>
      <c r="AR4285" s="116"/>
      <c r="AS4285" s="116"/>
      <c r="AT4285" s="116"/>
      <c r="AU4285" s="116"/>
      <c r="AV4285" s="78"/>
      <c r="AW4285" s="102"/>
      <c r="AX4285" s="78"/>
      <c r="AY4285" s="78"/>
      <c r="AZ4285" s="78"/>
      <c r="BA4285" s="78"/>
      <c r="BB4285" s="78"/>
      <c r="BC4285" s="78"/>
      <c r="BD4285" s="78"/>
      <c r="BE4285" s="465"/>
      <c r="BF4285" s="165" t="str">
        <f t="shared" si="3189"/>
        <v>https://www.google.com/search?tbm=isch&amp;q=3%20G1</v>
      </c>
      <c r="BG4285" s="165" t="str">
        <f t="shared" si="3190"/>
        <v>V</v>
      </c>
      <c r="BH4285" s="65"/>
      <c r="BI4285" s="65"/>
      <c r="BJ4285" s="65"/>
      <c r="BK4285" s="65"/>
      <c r="BL4285" s="99"/>
      <c r="BM4285" s="99"/>
      <c r="BN4285" s="99"/>
    </row>
    <row r="4286" spans="1:66" s="51" customFormat="1" ht="15.75" x14ac:dyDescent="0.25">
      <c r="A4286" s="478">
        <v>3</v>
      </c>
      <c r="B4286" s="479" t="s">
        <v>291</v>
      </c>
      <c r="C4286" s="480"/>
      <c r="D4286" s="481" t="s">
        <v>329</v>
      </c>
      <c r="E4286" s="482">
        <v>33.950000000000003</v>
      </c>
      <c r="F4286" s="483" t="s">
        <v>292</v>
      </c>
      <c r="G4286" s="484">
        <v>0</v>
      </c>
      <c r="H4286" s="688" t="str">
        <f t="shared" si="3204"/>
        <v/>
      </c>
      <c r="I4286" s="485">
        <f t="shared" si="3205"/>
        <v>0</v>
      </c>
      <c r="J4286" s="485">
        <f t="shared" si="3206"/>
        <v>0</v>
      </c>
      <c r="K4286" s="715">
        <f t="shared" ref="K4286" si="3209">I4286+J4286</f>
        <v>0</v>
      </c>
      <c r="L4286" s="715"/>
      <c r="M4286" s="689" t="str">
        <f t="shared" ca="1" si="3208"/>
        <v/>
      </c>
      <c r="N4286" s="690"/>
      <c r="O4286" s="486"/>
      <c r="P4286" s="486"/>
      <c r="Q4286" s="486"/>
      <c r="R4286" s="486"/>
      <c r="S4286" s="486"/>
      <c r="T4286" s="102">
        <f t="shared" si="3178"/>
        <v>0</v>
      </c>
      <c r="U4286" s="78">
        <f>IF(NOT(ISNUMBER(G4286)), "", VLOOKUP(A4286,'Discount Lookup'!D:E,2,FALSE)*G4286)</f>
        <v>0</v>
      </c>
      <c r="V4286" s="78">
        <f>IF(NOT(ISNUMBER(G4286)), "", VLOOKUP(A4286,'Discount Lookup'!G:H,2,FALSE)*G4286)</f>
        <v>0</v>
      </c>
      <c r="W4286" s="102">
        <f t="shared" si="3179"/>
        <v>0</v>
      </c>
      <c r="X4286" s="102">
        <f t="shared" si="3180"/>
        <v>0</v>
      </c>
      <c r="Y4286" s="120" t="b">
        <f t="shared" si="3181"/>
        <v>0</v>
      </c>
      <c r="Z4286" s="117">
        <f t="shared" si="3182"/>
        <v>0</v>
      </c>
      <c r="AA4286" s="118"/>
      <c r="AB4286" s="118" t="str">
        <f t="shared" si="3183"/>
        <v/>
      </c>
      <c r="AC4286" s="712" t="str">
        <f>IF(AE4286="T2G","no charge",IF(AND(OR(PlanterYesMe="No",PlanterYesMe="N",PlanterYesMe="me"),H4286=""),"",IF(H4286="credit","NO install",IF(AND(K4286="",AE4286="me"),"EACH row",IF(AND(K4286="images",AE4286="me"),"EACH row",IF(D4286="","",IF(H4286="credit","",IF(AE4286="free","re-planting",IF(AE4286="me","   not ELP, by",IF(AND(OR(PlanterYesMe="Yes",PlanterYesMe="Y"),G4286&gt;0),(VLOOKUP(A4286,'Discount Lookup'!J:K,2)*G4286*(1-PlanterDiscount)*(1+PlanterDifficultyPercentage)),IF(AE4286="ELP",(VLOOKUP(A4286,'Discount Lookup'!J:K,2)*G4286*(1-PlanterDiscount)*(1+PlanterDifficultyPercentage)),IF(AE4286="free","re-planting",IF(G4286=0,"",IF(PlanterYesMe="",IF(AE4286="me","   not ELP, by",IF(AE4286="",IF(G4286&gt;0,(VLOOKUP(A4286,'Discount Lookup'!J:K,2)*G4286*(1-PlanterDiscount)*(1+PlanterDifficultyPercentage)),""),"")),"   not ELP, by"))))))))))))))</f>
        <v/>
      </c>
      <c r="AD4286" s="712"/>
      <c r="AE4286" s="513" t="str">
        <f t="shared" si="3184"/>
        <v/>
      </c>
      <c r="AF4286" s="713" t="str">
        <f t="shared" si="3185"/>
        <v/>
      </c>
      <c r="AG4286" s="713"/>
      <c r="AH4286" s="713"/>
      <c r="AI4286" s="112">
        <f>IF(H4286="credit",0,IF(AE4286="free",0,IF(AE4286="me",0,IF(G4286&gt;0,(VLOOKUP(A4286,'Discount Lookup'!J:K,2)*G4286),0))))</f>
        <v>0</v>
      </c>
      <c r="AJ4286" s="107" t="str">
        <f t="shared" ca="1" si="3186"/>
        <v/>
      </c>
      <c r="AK4286" s="714" t="str">
        <f t="shared" si="3187"/>
        <v/>
      </c>
      <c r="AL4286" s="714"/>
      <c r="AM4286" s="114" t="str">
        <f t="shared" si="3188"/>
        <v/>
      </c>
      <c r="AN4286" s="115"/>
      <c r="AO4286" s="116"/>
      <c r="AP4286" s="116"/>
      <c r="AQ4286" s="116"/>
      <c r="AR4286" s="116"/>
      <c r="AS4286" s="116"/>
      <c r="AT4286" s="116"/>
      <c r="AU4286" s="116"/>
      <c r="AV4286" s="78"/>
      <c r="AW4286" s="102"/>
      <c r="AX4286" s="78"/>
      <c r="AY4286" s="78"/>
      <c r="AZ4286" s="78"/>
      <c r="BA4286" s="78"/>
      <c r="BB4286" s="78"/>
      <c r="BC4286" s="78"/>
      <c r="BD4286" s="78"/>
      <c r="BE4286" s="465"/>
      <c r="BF4286" s="165" t="str">
        <f t="shared" si="3189"/>
        <v>https://www.google.com/search?tbm=isch&amp;q=3%20G2</v>
      </c>
      <c r="BG4286" s="165" t="str">
        <f t="shared" si="3190"/>
        <v>V</v>
      </c>
      <c r="BH4286" s="65"/>
      <c r="BI4286" s="65"/>
      <c r="BJ4286" s="65"/>
      <c r="BK4286" s="65"/>
      <c r="BL4286" s="99"/>
      <c r="BM4286" s="99"/>
      <c r="BN4286" s="99"/>
    </row>
    <row r="4287" spans="1:66" s="51" customFormat="1" ht="15.75" x14ac:dyDescent="0.25">
      <c r="A4287" s="478">
        <v>7</v>
      </c>
      <c r="B4287" s="479" t="s">
        <v>291</v>
      </c>
      <c r="C4287" s="480" t="s">
        <v>644</v>
      </c>
      <c r="D4287" s="481" t="s">
        <v>311</v>
      </c>
      <c r="E4287" s="482">
        <v>68.95</v>
      </c>
      <c r="F4287" s="483" t="s">
        <v>292</v>
      </c>
      <c r="G4287" s="484">
        <v>0</v>
      </c>
      <c r="H4287" s="688" t="str">
        <f t="shared" si="3204"/>
        <v/>
      </c>
      <c r="I4287" s="485">
        <f t="shared" si="3205"/>
        <v>0</v>
      </c>
      <c r="J4287" s="485">
        <f t="shared" si="3206"/>
        <v>0</v>
      </c>
      <c r="K4287" s="715">
        <f t="shared" ref="K4287" si="3210">I4287+J4287</f>
        <v>0</v>
      </c>
      <c r="L4287" s="715"/>
      <c r="M4287" s="689" t="str">
        <f t="shared" ca="1" si="3208"/>
        <v/>
      </c>
      <c r="N4287" s="690"/>
      <c r="O4287" s="486"/>
      <c r="P4287" s="486"/>
      <c r="Q4287" s="486"/>
      <c r="R4287" s="486"/>
      <c r="S4287" s="486"/>
      <c r="T4287" s="102">
        <f t="shared" si="3178"/>
        <v>0</v>
      </c>
      <c r="U4287" s="78">
        <f>IF(NOT(ISNUMBER(G4287)), "", VLOOKUP(A4287,'Discount Lookup'!D:E,2,FALSE)*G4287)</f>
        <v>0</v>
      </c>
      <c r="V4287" s="78">
        <f>IF(NOT(ISNUMBER(G4287)), "", VLOOKUP(A4287,'Discount Lookup'!G:H,2,FALSE)*G4287)</f>
        <v>0</v>
      </c>
      <c r="W4287" s="102">
        <f t="shared" si="3179"/>
        <v>0</v>
      </c>
      <c r="X4287" s="102">
        <f t="shared" si="3180"/>
        <v>0</v>
      </c>
      <c r="Y4287" s="120" t="b">
        <f t="shared" si="3181"/>
        <v>0</v>
      </c>
      <c r="Z4287" s="117">
        <f t="shared" si="3182"/>
        <v>0</v>
      </c>
      <c r="AA4287" s="118"/>
      <c r="AB4287" s="118" t="str">
        <f t="shared" si="3183"/>
        <v/>
      </c>
      <c r="AC4287" s="712" t="str">
        <f>IF(AE4287="T2G","no charge",IF(AND(OR(PlanterYesMe="No",PlanterYesMe="N",PlanterYesMe="me"),H4287=""),"",IF(H4287="credit","NO install",IF(AND(K4287="",AE4287="me"),"EACH row",IF(AND(K4287="images",AE4287="me"),"EACH row",IF(D4287="","",IF(H4287="credit","",IF(AE4287="free","re-planting",IF(AE4287="me","   not ELP, by",IF(AND(OR(PlanterYesMe="Yes",PlanterYesMe="Y"),G4287&gt;0),(VLOOKUP(A4287,'Discount Lookup'!J:K,2)*G4287*(1-PlanterDiscount)*(1+PlanterDifficultyPercentage)),IF(AE4287="ELP",(VLOOKUP(A4287,'Discount Lookup'!J:K,2)*G4287*(1-PlanterDiscount)*(1+PlanterDifficultyPercentage)),IF(AE4287="free","re-planting",IF(G4287=0,"",IF(PlanterYesMe="",IF(AE4287="me","   not ELP, by",IF(AE4287="",IF(G4287&gt;0,(VLOOKUP(A4287,'Discount Lookup'!J:K,2)*G4287*(1-PlanterDiscount)*(1+PlanterDifficultyPercentage)),""),"")),"   not ELP, by"))))))))))))))</f>
        <v/>
      </c>
      <c r="AD4287" s="712"/>
      <c r="AE4287" s="513" t="str">
        <f t="shared" si="3184"/>
        <v/>
      </c>
      <c r="AF4287" s="713" t="str">
        <f t="shared" si="3185"/>
        <v/>
      </c>
      <c r="AG4287" s="713"/>
      <c r="AH4287" s="713"/>
      <c r="AI4287" s="112">
        <f>IF(H4287="credit",0,IF(AE4287="free",0,IF(AE4287="me",0,IF(G4287&gt;0,(VLOOKUP(A4287,'Discount Lookup'!J:K,2)*G4287),0))))</f>
        <v>0</v>
      </c>
      <c r="AJ4287" s="107" t="str">
        <f t="shared" ca="1" si="3186"/>
        <v/>
      </c>
      <c r="AK4287" s="714" t="str">
        <f t="shared" si="3187"/>
        <v/>
      </c>
      <c r="AL4287" s="714"/>
      <c r="AM4287" s="114" t="str">
        <f t="shared" si="3188"/>
        <v/>
      </c>
      <c r="AN4287" s="115"/>
      <c r="AO4287" s="116"/>
      <c r="AP4287" s="116"/>
      <c r="AQ4287" s="116"/>
      <c r="AR4287" s="116"/>
      <c r="AS4287" s="116"/>
      <c r="AT4287" s="116"/>
      <c r="AU4287" s="116"/>
      <c r="AV4287" s="78"/>
      <c r="AW4287" s="102"/>
      <c r="AX4287" s="78"/>
      <c r="AY4287" s="78"/>
      <c r="AZ4287" s="78"/>
      <c r="BA4287" s="78"/>
      <c r="BB4287" s="78"/>
      <c r="BC4287" s="78"/>
      <c r="BD4287" s="78"/>
      <c r="BE4287" s="465"/>
      <c r="BF4287" s="165" t="str">
        <f t="shared" si="3189"/>
        <v>https://www.google.com/search?tbm=isch&amp;q=7%20G5</v>
      </c>
      <c r="BG4287" s="165" t="str">
        <f t="shared" si="3190"/>
        <v>V</v>
      </c>
      <c r="BH4287" s="65"/>
      <c r="BI4287" s="65"/>
      <c r="BJ4287" s="65"/>
      <c r="BK4287" s="65"/>
      <c r="BL4287" s="99"/>
      <c r="BM4287" s="99"/>
      <c r="BN4287" s="99"/>
    </row>
    <row r="4288" spans="1:66" s="51" customFormat="1" ht="15.75" x14ac:dyDescent="0.25">
      <c r="A4288" s="478">
        <v>7</v>
      </c>
      <c r="B4288" s="479" t="s">
        <v>291</v>
      </c>
      <c r="C4288" s="480" t="s">
        <v>1029</v>
      </c>
      <c r="D4288" s="481" t="s">
        <v>299</v>
      </c>
      <c r="E4288" s="482">
        <v>81.95</v>
      </c>
      <c r="F4288" s="483" t="s">
        <v>292</v>
      </c>
      <c r="G4288" s="484">
        <v>0</v>
      </c>
      <c r="H4288" s="688" t="str">
        <f t="shared" si="3204"/>
        <v/>
      </c>
      <c r="I4288" s="485">
        <f t="shared" si="3205"/>
        <v>0</v>
      </c>
      <c r="J4288" s="485">
        <f t="shared" si="3206"/>
        <v>0</v>
      </c>
      <c r="K4288" s="715">
        <f t="shared" ref="K4288" si="3211">I4288+J4288</f>
        <v>0</v>
      </c>
      <c r="L4288" s="715"/>
      <c r="M4288" s="689" t="str">
        <f t="shared" ca="1" si="3208"/>
        <v/>
      </c>
      <c r="N4288" s="690"/>
      <c r="O4288" s="486"/>
      <c r="P4288" s="486"/>
      <c r="Q4288" s="486"/>
      <c r="R4288" s="486"/>
      <c r="S4288" s="486"/>
      <c r="T4288" s="102">
        <f t="shared" si="3178"/>
        <v>0</v>
      </c>
      <c r="U4288" s="78">
        <f>IF(NOT(ISNUMBER(G4288)), "", VLOOKUP(A4288,'Discount Lookup'!D:E,2,FALSE)*G4288)</f>
        <v>0</v>
      </c>
      <c r="V4288" s="78">
        <f>IF(NOT(ISNUMBER(G4288)), "", VLOOKUP(A4288,'Discount Lookup'!G:H,2,FALSE)*G4288)</f>
        <v>0</v>
      </c>
      <c r="W4288" s="102">
        <f t="shared" si="3179"/>
        <v>0</v>
      </c>
      <c r="X4288" s="102">
        <f t="shared" si="3180"/>
        <v>0</v>
      </c>
      <c r="Y4288" s="120" t="b">
        <f t="shared" si="3181"/>
        <v>0</v>
      </c>
      <c r="Z4288" s="117">
        <f t="shared" si="3182"/>
        <v>0</v>
      </c>
      <c r="AA4288" s="118"/>
      <c r="AB4288" s="118" t="str">
        <f t="shared" si="3183"/>
        <v/>
      </c>
      <c r="AC4288" s="712" t="str">
        <f>IF(AE4288="T2G","no charge",IF(AND(OR(PlanterYesMe="No",PlanterYesMe="N",PlanterYesMe="me"),H4288=""),"",IF(H4288="credit","NO install",IF(AND(K4288="",AE4288="me"),"EACH row",IF(AND(K4288="images",AE4288="me"),"EACH row",IF(D4288="","",IF(H4288="credit","",IF(AE4288="free","re-planting",IF(AE4288="me","   not ELP, by",IF(AND(OR(PlanterYesMe="Yes",PlanterYesMe="Y"),G4288&gt;0),(VLOOKUP(A4288,'Discount Lookup'!J:K,2)*G4288*(1-PlanterDiscount)*(1+PlanterDifficultyPercentage)),IF(AE4288="ELP",(VLOOKUP(A4288,'Discount Lookup'!J:K,2)*G4288*(1-PlanterDiscount)*(1+PlanterDifficultyPercentage)),IF(AE4288="free","re-planting",IF(G4288=0,"",IF(PlanterYesMe="",IF(AE4288="me","   not ELP, by",IF(AE4288="",IF(G4288&gt;0,(VLOOKUP(A4288,'Discount Lookup'!J:K,2)*G4288*(1-PlanterDiscount)*(1+PlanterDifficultyPercentage)),""),"")),"   not ELP, by"))))))))))))))</f>
        <v/>
      </c>
      <c r="AD4288" s="712"/>
      <c r="AE4288" s="513" t="str">
        <f t="shared" si="3184"/>
        <v/>
      </c>
      <c r="AF4288" s="713" t="str">
        <f t="shared" si="3185"/>
        <v/>
      </c>
      <c r="AG4288" s="713"/>
      <c r="AH4288" s="713"/>
      <c r="AI4288" s="112">
        <f>IF(H4288="credit",0,IF(AE4288="free",0,IF(AE4288="me",0,IF(G4288&gt;0,(VLOOKUP(A4288,'Discount Lookup'!J:K,2)*G4288),0))))</f>
        <v>0</v>
      </c>
      <c r="AJ4288" s="107" t="str">
        <f t="shared" ca="1" si="3186"/>
        <v/>
      </c>
      <c r="AK4288" s="714" t="str">
        <f t="shared" si="3187"/>
        <v/>
      </c>
      <c r="AL4288" s="714"/>
      <c r="AM4288" s="114" t="str">
        <f t="shared" si="3188"/>
        <v/>
      </c>
      <c r="AN4288" s="115"/>
      <c r="AO4288" s="116"/>
      <c r="AP4288" s="116"/>
      <c r="AQ4288" s="116"/>
      <c r="AR4288" s="116"/>
      <c r="AS4288" s="116"/>
      <c r="AT4288" s="116"/>
      <c r="AU4288" s="116"/>
      <c r="AV4288" s="78"/>
      <c r="AW4288" s="102"/>
      <c r="AX4288" s="78"/>
      <c r="AY4288" s="78"/>
      <c r="AZ4288" s="78"/>
      <c r="BA4288" s="78"/>
      <c r="BB4288" s="78"/>
      <c r="BC4288" s="78"/>
      <c r="BD4288" s="78"/>
      <c r="BE4288" s="465"/>
      <c r="BF4288" s="165" t="str">
        <f t="shared" si="3189"/>
        <v>https://www.google.com/search?tbm=isch&amp;q=7%20G4</v>
      </c>
      <c r="BG4288" s="165" t="str">
        <f t="shared" si="3190"/>
        <v>V</v>
      </c>
      <c r="BH4288" s="65"/>
      <c r="BI4288" s="65"/>
      <c r="BJ4288" s="65"/>
      <c r="BK4288" s="65"/>
      <c r="BL4288" s="99"/>
      <c r="BM4288" s="99"/>
      <c r="BN4288" s="99"/>
    </row>
    <row r="4289" spans="1:66" s="51" customFormat="1" ht="15.75" x14ac:dyDescent="0.25">
      <c r="A4289" s="478">
        <v>15</v>
      </c>
      <c r="B4289" s="479" t="s">
        <v>291</v>
      </c>
      <c r="C4289" s="480" t="s">
        <v>869</v>
      </c>
      <c r="D4289" s="481" t="s">
        <v>309</v>
      </c>
      <c r="E4289" s="482">
        <v>155.94999999999999</v>
      </c>
      <c r="F4289" s="483" t="s">
        <v>292</v>
      </c>
      <c r="G4289" s="484">
        <v>0</v>
      </c>
      <c r="H4289" s="688" t="str">
        <f t="shared" si="3204"/>
        <v/>
      </c>
      <c r="I4289" s="485">
        <f t="shared" si="3205"/>
        <v>0</v>
      </c>
      <c r="J4289" s="485">
        <f t="shared" si="3206"/>
        <v>0</v>
      </c>
      <c r="K4289" s="715">
        <f t="shared" ref="K4289" si="3212">I4289+J4289</f>
        <v>0</v>
      </c>
      <c r="L4289" s="715"/>
      <c r="M4289" s="689" t="str">
        <f t="shared" ca="1" si="3208"/>
        <v/>
      </c>
      <c r="N4289" s="690"/>
      <c r="O4289" s="486"/>
      <c r="P4289" s="486"/>
      <c r="Q4289" s="486"/>
      <c r="R4289" s="486"/>
      <c r="S4289" s="486"/>
      <c r="T4289" s="102">
        <f t="shared" si="3178"/>
        <v>0</v>
      </c>
      <c r="U4289" s="78">
        <f>IF(NOT(ISNUMBER(G4289)), "", VLOOKUP(A4289,'Discount Lookup'!D:E,2,FALSE)*G4289)</f>
        <v>0</v>
      </c>
      <c r="V4289" s="78">
        <f>IF(NOT(ISNUMBER(G4289)), "", VLOOKUP(A4289,'Discount Lookup'!G:H,2,FALSE)*G4289)</f>
        <v>0</v>
      </c>
      <c r="W4289" s="102">
        <f t="shared" si="3179"/>
        <v>0</v>
      </c>
      <c r="X4289" s="102">
        <f t="shared" si="3180"/>
        <v>0</v>
      </c>
      <c r="Y4289" s="120" t="b">
        <f t="shared" si="3181"/>
        <v>0</v>
      </c>
      <c r="Z4289" s="117">
        <f t="shared" si="3182"/>
        <v>0</v>
      </c>
      <c r="AA4289" s="118"/>
      <c r="AB4289" s="118" t="str">
        <f t="shared" si="3183"/>
        <v/>
      </c>
      <c r="AC4289" s="712" t="str">
        <f>IF(AE4289="T2G","no charge",IF(AND(OR(PlanterYesMe="No",PlanterYesMe="N",PlanterYesMe="me"),H4289=""),"",IF(H4289="credit","NO install",IF(AND(K4289="",AE4289="me"),"EACH row",IF(AND(K4289="images",AE4289="me"),"EACH row",IF(D4289="","",IF(H4289="credit","",IF(AE4289="free","re-planting",IF(AE4289="me","   not ELP, by",IF(AND(OR(PlanterYesMe="Yes",PlanterYesMe="Y"),G4289&gt;0),(VLOOKUP(A4289,'Discount Lookup'!J:K,2)*G4289*(1-PlanterDiscount)*(1+PlanterDifficultyPercentage)),IF(AE4289="ELP",(VLOOKUP(A4289,'Discount Lookup'!J:K,2)*G4289*(1-PlanterDiscount)*(1+PlanterDifficultyPercentage)),IF(AE4289="free","re-planting",IF(G4289=0,"",IF(PlanterYesMe="",IF(AE4289="me","   not ELP, by",IF(AE4289="",IF(G4289&gt;0,(VLOOKUP(A4289,'Discount Lookup'!J:K,2)*G4289*(1-PlanterDiscount)*(1+PlanterDifficultyPercentage)),""),"")),"   not ELP, by"))))))))))))))</f>
        <v/>
      </c>
      <c r="AD4289" s="712"/>
      <c r="AE4289" s="513" t="str">
        <f t="shared" si="3184"/>
        <v/>
      </c>
      <c r="AF4289" s="713" t="str">
        <f t="shared" si="3185"/>
        <v/>
      </c>
      <c r="AG4289" s="713"/>
      <c r="AH4289" s="713"/>
      <c r="AI4289" s="112">
        <f>IF(H4289="credit",0,IF(AE4289="free",0,IF(AE4289="me",0,IF(G4289&gt;0,(VLOOKUP(A4289,'Discount Lookup'!J:K,2)*G4289),0))))</f>
        <v>0</v>
      </c>
      <c r="AJ4289" s="107" t="str">
        <f t="shared" ca="1" si="3186"/>
        <v/>
      </c>
      <c r="AK4289" s="714" t="str">
        <f t="shared" si="3187"/>
        <v/>
      </c>
      <c r="AL4289" s="714"/>
      <c r="AM4289" s="114" t="str">
        <f t="shared" si="3188"/>
        <v/>
      </c>
      <c r="AN4289" s="115"/>
      <c r="AO4289" s="116"/>
      <c r="AP4289" s="116"/>
      <c r="AQ4289" s="116"/>
      <c r="AR4289" s="116"/>
      <c r="AS4289" s="116"/>
      <c r="AT4289" s="116"/>
      <c r="AU4289" s="116"/>
      <c r="AV4289" s="78"/>
      <c r="AW4289" s="102"/>
      <c r="AX4289" s="78"/>
      <c r="AY4289" s="78"/>
      <c r="AZ4289" s="78"/>
      <c r="BA4289" s="78"/>
      <c r="BB4289" s="78"/>
      <c r="BC4289" s="78"/>
      <c r="BD4289" s="78"/>
      <c r="BE4289" s="465"/>
      <c r="BF4289" s="165" t="str">
        <f t="shared" si="3189"/>
        <v>https://www.google.com/search?tbm=isch&amp;q=15%20G3</v>
      </c>
      <c r="BG4289" s="165" t="str">
        <f t="shared" si="3190"/>
        <v>V</v>
      </c>
      <c r="BH4289" s="65"/>
      <c r="BI4289" s="65"/>
      <c r="BJ4289" s="65"/>
      <c r="BK4289" s="65"/>
      <c r="BL4289" s="99"/>
      <c r="BM4289" s="99"/>
      <c r="BN4289" s="99"/>
    </row>
    <row r="4290" spans="1:66" s="51" customFormat="1" ht="15.75" x14ac:dyDescent="0.25">
      <c r="A4290" s="478">
        <v>15</v>
      </c>
      <c r="B4290" s="479" t="s">
        <v>291</v>
      </c>
      <c r="C4290" s="480" t="s">
        <v>5222</v>
      </c>
      <c r="D4290" s="481" t="s">
        <v>299</v>
      </c>
      <c r="E4290" s="482">
        <v>155.94999999999999</v>
      </c>
      <c r="F4290" s="483" t="s">
        <v>292</v>
      </c>
      <c r="G4290" s="484">
        <v>0</v>
      </c>
      <c r="H4290" s="688" t="str">
        <f t="shared" si="3204"/>
        <v/>
      </c>
      <c r="I4290" s="485">
        <f t="shared" si="3205"/>
        <v>0</v>
      </c>
      <c r="J4290" s="485">
        <f t="shared" si="3206"/>
        <v>0</v>
      </c>
      <c r="K4290" s="715">
        <f t="shared" ref="K4290" si="3213">I4290+J4290</f>
        <v>0</v>
      </c>
      <c r="L4290" s="715"/>
      <c r="M4290" s="689" t="str">
        <f t="shared" ca="1" si="3208"/>
        <v/>
      </c>
      <c r="N4290" s="690"/>
      <c r="O4290" s="486"/>
      <c r="P4290" s="486"/>
      <c r="Q4290" s="486"/>
      <c r="R4290" s="486"/>
      <c r="S4290" s="486"/>
      <c r="T4290" s="102">
        <f t="shared" si="3178"/>
        <v>0</v>
      </c>
      <c r="U4290" s="78">
        <f>IF(NOT(ISNUMBER(G4290)), "", VLOOKUP(A4290,'Discount Lookup'!D:E,2,FALSE)*G4290)</f>
        <v>0</v>
      </c>
      <c r="V4290" s="78">
        <f>IF(NOT(ISNUMBER(G4290)), "", VLOOKUP(A4290,'Discount Lookup'!G:H,2,FALSE)*G4290)</f>
        <v>0</v>
      </c>
      <c r="W4290" s="102">
        <f t="shared" si="3179"/>
        <v>0</v>
      </c>
      <c r="X4290" s="102">
        <f t="shared" si="3180"/>
        <v>0</v>
      </c>
      <c r="Y4290" s="120" t="b">
        <f t="shared" si="3181"/>
        <v>0</v>
      </c>
      <c r="Z4290" s="117">
        <f t="shared" si="3182"/>
        <v>0</v>
      </c>
      <c r="AA4290" s="118"/>
      <c r="AB4290" s="118" t="str">
        <f t="shared" si="3183"/>
        <v/>
      </c>
      <c r="AC4290" s="712" t="str">
        <f>IF(AE4290="T2G","no charge",IF(AND(OR(PlanterYesMe="No",PlanterYesMe="N",PlanterYesMe="me"),H4290=""),"",IF(H4290="credit","NO install",IF(AND(K4290="",AE4290="me"),"EACH row",IF(AND(K4290="images",AE4290="me"),"EACH row",IF(D4290="","",IF(H4290="credit","",IF(AE4290="free","re-planting",IF(AE4290="me","   not ELP, by",IF(AND(OR(PlanterYesMe="Yes",PlanterYesMe="Y"),G4290&gt;0),(VLOOKUP(A4290,'Discount Lookup'!J:K,2)*G4290*(1-PlanterDiscount)*(1+PlanterDifficultyPercentage)),IF(AE4290="ELP",(VLOOKUP(A4290,'Discount Lookup'!J:K,2)*G4290*(1-PlanterDiscount)*(1+PlanterDifficultyPercentage)),IF(AE4290="free","re-planting",IF(G4290=0,"",IF(PlanterYesMe="",IF(AE4290="me","   not ELP, by",IF(AE4290="",IF(G4290&gt;0,(VLOOKUP(A4290,'Discount Lookup'!J:K,2)*G4290*(1-PlanterDiscount)*(1+PlanterDifficultyPercentage)),""),"")),"   not ELP, by"))))))))))))))</f>
        <v/>
      </c>
      <c r="AD4290" s="712"/>
      <c r="AE4290" s="513" t="str">
        <f t="shared" si="3184"/>
        <v/>
      </c>
      <c r="AF4290" s="713" t="str">
        <f t="shared" si="3185"/>
        <v/>
      </c>
      <c r="AG4290" s="713"/>
      <c r="AH4290" s="713"/>
      <c r="AI4290" s="112">
        <f>IF(H4290="credit",0,IF(AE4290="free",0,IF(AE4290="me",0,IF(G4290&gt;0,(VLOOKUP(A4290,'Discount Lookup'!J:K,2)*G4290),0))))</f>
        <v>0</v>
      </c>
      <c r="AJ4290" s="107" t="str">
        <f t="shared" ca="1" si="3186"/>
        <v/>
      </c>
      <c r="AK4290" s="714" t="str">
        <f t="shared" si="3187"/>
        <v/>
      </c>
      <c r="AL4290" s="714"/>
      <c r="AM4290" s="114" t="str">
        <f t="shared" si="3188"/>
        <v/>
      </c>
      <c r="AN4290" s="115"/>
      <c r="AO4290" s="116"/>
      <c r="AP4290" s="116"/>
      <c r="AQ4290" s="116"/>
      <c r="AR4290" s="116"/>
      <c r="AS4290" s="116"/>
      <c r="AT4290" s="116"/>
      <c r="AU4290" s="116"/>
      <c r="AV4290" s="78"/>
      <c r="AW4290" s="102"/>
      <c r="AX4290" s="78"/>
      <c r="AY4290" s="78"/>
      <c r="AZ4290" s="78"/>
      <c r="BA4290" s="78"/>
      <c r="BB4290" s="78"/>
      <c r="BC4290" s="78"/>
      <c r="BD4290" s="78"/>
      <c r="BE4290" s="465"/>
      <c r="BF4290" s="165" t="str">
        <f t="shared" si="3189"/>
        <v>https://www.google.com/search?tbm=isch&amp;q=15%20G4</v>
      </c>
      <c r="BG4290" s="165" t="str">
        <f t="shared" si="3190"/>
        <v>V</v>
      </c>
      <c r="BH4290" s="65"/>
      <c r="BI4290" s="65"/>
      <c r="BJ4290" s="65"/>
      <c r="BK4290" s="65"/>
      <c r="BL4290" s="99"/>
      <c r="BM4290" s="99"/>
      <c r="BN4290" s="99"/>
    </row>
    <row r="4291" spans="1:66" s="51" customFormat="1" ht="15.75" x14ac:dyDescent="0.25">
      <c r="A4291" s="478">
        <v>15</v>
      </c>
      <c r="B4291" s="479" t="s">
        <v>291</v>
      </c>
      <c r="C4291" s="480"/>
      <c r="D4291" s="481" t="s">
        <v>311</v>
      </c>
      <c r="E4291" s="482">
        <v>171.95</v>
      </c>
      <c r="F4291" s="483" t="s">
        <v>292</v>
      </c>
      <c r="G4291" s="484">
        <v>0</v>
      </c>
      <c r="H4291" s="688" t="str">
        <f t="shared" si="3204"/>
        <v/>
      </c>
      <c r="I4291" s="485">
        <f t="shared" si="3205"/>
        <v>0</v>
      </c>
      <c r="J4291" s="485">
        <f t="shared" si="3206"/>
        <v>0</v>
      </c>
      <c r="K4291" s="715">
        <f t="shared" ref="K4291" si="3214">I4291+J4291</f>
        <v>0</v>
      </c>
      <c r="L4291" s="715"/>
      <c r="M4291" s="689" t="str">
        <f t="shared" ca="1" si="3208"/>
        <v/>
      </c>
      <c r="N4291" s="690"/>
      <c r="O4291" s="486"/>
      <c r="P4291" s="486"/>
      <c r="Q4291" s="486"/>
      <c r="R4291" s="486"/>
      <c r="S4291" s="486"/>
      <c r="T4291" s="102">
        <f t="shared" si="3178"/>
        <v>0</v>
      </c>
      <c r="U4291" s="78">
        <f>IF(NOT(ISNUMBER(G4291)), "", VLOOKUP(A4291,'Discount Lookup'!D:E,2,FALSE)*G4291)</f>
        <v>0</v>
      </c>
      <c r="V4291" s="78">
        <f>IF(NOT(ISNUMBER(G4291)), "", VLOOKUP(A4291,'Discount Lookup'!G:H,2,FALSE)*G4291)</f>
        <v>0</v>
      </c>
      <c r="W4291" s="102">
        <f t="shared" si="3179"/>
        <v>0</v>
      </c>
      <c r="X4291" s="102">
        <f t="shared" si="3180"/>
        <v>0</v>
      </c>
      <c r="Y4291" s="120" t="b">
        <f t="shared" si="3181"/>
        <v>0</v>
      </c>
      <c r="Z4291" s="117">
        <f t="shared" si="3182"/>
        <v>0</v>
      </c>
      <c r="AA4291" s="118"/>
      <c r="AB4291" s="118" t="str">
        <f t="shared" si="3183"/>
        <v/>
      </c>
      <c r="AC4291" s="712" t="str">
        <f>IF(AE4291="T2G","no charge",IF(AND(OR(PlanterYesMe="No",PlanterYesMe="N",PlanterYesMe="me"),H4291=""),"",IF(H4291="credit","NO install",IF(AND(K4291="",AE4291="me"),"EACH row",IF(AND(K4291="images",AE4291="me"),"EACH row",IF(D4291="","",IF(H4291="credit","",IF(AE4291="free","re-planting",IF(AE4291="me","   not ELP, by",IF(AND(OR(PlanterYesMe="Yes",PlanterYesMe="Y"),G4291&gt;0),(VLOOKUP(A4291,'Discount Lookup'!J:K,2)*G4291*(1-PlanterDiscount)*(1+PlanterDifficultyPercentage)),IF(AE4291="ELP",(VLOOKUP(A4291,'Discount Lookup'!J:K,2)*G4291*(1-PlanterDiscount)*(1+PlanterDifficultyPercentage)),IF(AE4291="free","re-planting",IF(G4291=0,"",IF(PlanterYesMe="",IF(AE4291="me","   not ELP, by",IF(AE4291="",IF(G4291&gt;0,(VLOOKUP(A4291,'Discount Lookup'!J:K,2)*G4291*(1-PlanterDiscount)*(1+PlanterDifficultyPercentage)),""),"")),"   not ELP, by"))))))))))))))</f>
        <v/>
      </c>
      <c r="AD4291" s="712"/>
      <c r="AE4291" s="513" t="str">
        <f t="shared" si="3184"/>
        <v/>
      </c>
      <c r="AF4291" s="713" t="str">
        <f t="shared" si="3185"/>
        <v/>
      </c>
      <c r="AG4291" s="713"/>
      <c r="AH4291" s="713"/>
      <c r="AI4291" s="112">
        <f>IF(H4291="credit",0,IF(AE4291="free",0,IF(AE4291="me",0,IF(G4291&gt;0,(VLOOKUP(A4291,'Discount Lookup'!J:K,2)*G4291),0))))</f>
        <v>0</v>
      </c>
      <c r="AJ4291" s="107" t="str">
        <f t="shared" ca="1" si="3186"/>
        <v/>
      </c>
      <c r="AK4291" s="714" t="str">
        <f t="shared" si="3187"/>
        <v/>
      </c>
      <c r="AL4291" s="714"/>
      <c r="AM4291" s="114" t="str">
        <f t="shared" si="3188"/>
        <v/>
      </c>
      <c r="AN4291" s="115"/>
      <c r="AO4291" s="116"/>
      <c r="AP4291" s="116"/>
      <c r="AQ4291" s="116"/>
      <c r="AR4291" s="116"/>
      <c r="AS4291" s="116"/>
      <c r="AT4291" s="116"/>
      <c r="AU4291" s="116"/>
      <c r="AV4291" s="78"/>
      <c r="AW4291" s="102"/>
      <c r="AX4291" s="78"/>
      <c r="AY4291" s="78"/>
      <c r="AZ4291" s="78"/>
      <c r="BA4291" s="78"/>
      <c r="BB4291" s="78"/>
      <c r="BC4291" s="78"/>
      <c r="BD4291" s="78"/>
      <c r="BE4291" s="465"/>
      <c r="BF4291" s="165" t="str">
        <f t="shared" si="3189"/>
        <v>https://www.google.com/search?tbm=isch&amp;q=15%20G5</v>
      </c>
      <c r="BG4291" s="165" t="str">
        <f t="shared" si="3190"/>
        <v>V</v>
      </c>
      <c r="BH4291" s="65"/>
      <c r="BI4291" s="65"/>
      <c r="BJ4291" s="65"/>
      <c r="BK4291" s="65"/>
      <c r="BL4291" s="99"/>
      <c r="BM4291" s="99"/>
      <c r="BN4291" s="99"/>
    </row>
    <row r="4292" spans="1:66" s="51" customFormat="1" ht="15.75" x14ac:dyDescent="0.25">
      <c r="A4292" s="478">
        <v>15</v>
      </c>
      <c r="B4292" s="479" t="s">
        <v>291</v>
      </c>
      <c r="C4292" s="480" t="s">
        <v>13</v>
      </c>
      <c r="D4292" s="481" t="s">
        <v>329</v>
      </c>
      <c r="E4292" s="482">
        <v>175.95</v>
      </c>
      <c r="F4292" s="483" t="s">
        <v>292</v>
      </c>
      <c r="G4292" s="484">
        <v>0</v>
      </c>
      <c r="H4292" s="688" t="str">
        <f t="shared" si="3204"/>
        <v/>
      </c>
      <c r="I4292" s="485">
        <f t="shared" si="3205"/>
        <v>0</v>
      </c>
      <c r="J4292" s="485">
        <f t="shared" si="3206"/>
        <v>0</v>
      </c>
      <c r="K4292" s="715">
        <f t="shared" ref="K4292" si="3215">I4292+J4292</f>
        <v>0</v>
      </c>
      <c r="L4292" s="715"/>
      <c r="M4292" s="689" t="str">
        <f t="shared" ca="1" si="3208"/>
        <v/>
      </c>
      <c r="N4292" s="690"/>
      <c r="O4292" s="486"/>
      <c r="P4292" s="486"/>
      <c r="Q4292" s="486"/>
      <c r="R4292" s="486"/>
      <c r="S4292" s="486"/>
      <c r="T4292" s="102">
        <f t="shared" si="3178"/>
        <v>0</v>
      </c>
      <c r="U4292" s="78">
        <f>IF(NOT(ISNUMBER(G4292)), "", VLOOKUP(A4292,'Discount Lookup'!D:E,2,FALSE)*G4292)</f>
        <v>0</v>
      </c>
      <c r="V4292" s="78">
        <f>IF(NOT(ISNUMBER(G4292)), "", VLOOKUP(A4292,'Discount Lookup'!G:H,2,FALSE)*G4292)</f>
        <v>0</v>
      </c>
      <c r="W4292" s="102">
        <f t="shared" si="3179"/>
        <v>0</v>
      </c>
      <c r="X4292" s="102">
        <f t="shared" si="3180"/>
        <v>0</v>
      </c>
      <c r="Y4292" s="120" t="b">
        <f t="shared" si="3181"/>
        <v>0</v>
      </c>
      <c r="Z4292" s="117">
        <f t="shared" si="3182"/>
        <v>0</v>
      </c>
      <c r="AA4292" s="118"/>
      <c r="AB4292" s="118" t="str">
        <f t="shared" si="3183"/>
        <v/>
      </c>
      <c r="AC4292" s="712" t="str">
        <f>IF(AE4292="T2G","no charge",IF(AND(OR(PlanterYesMe="No",PlanterYesMe="N",PlanterYesMe="me"),H4292=""),"",IF(H4292="credit","NO install",IF(AND(K4292="",AE4292="me"),"EACH row",IF(AND(K4292="images",AE4292="me"),"EACH row",IF(D4292="","",IF(H4292="credit","",IF(AE4292="free","re-planting",IF(AE4292="me","   not ELP, by",IF(AND(OR(PlanterYesMe="Yes",PlanterYesMe="Y"),G4292&gt;0),(VLOOKUP(A4292,'Discount Lookup'!J:K,2)*G4292*(1-PlanterDiscount)*(1+PlanterDifficultyPercentage)),IF(AE4292="ELP",(VLOOKUP(A4292,'Discount Lookup'!J:K,2)*G4292*(1-PlanterDiscount)*(1+PlanterDifficultyPercentage)),IF(AE4292="free","re-planting",IF(G4292=0,"",IF(PlanterYesMe="",IF(AE4292="me","   not ELP, by",IF(AE4292="",IF(G4292&gt;0,(VLOOKUP(A4292,'Discount Lookup'!J:K,2)*G4292*(1-PlanterDiscount)*(1+PlanterDifficultyPercentage)),""),"")),"   not ELP, by"))))))))))))))</f>
        <v/>
      </c>
      <c r="AD4292" s="712"/>
      <c r="AE4292" s="513" t="str">
        <f t="shared" si="3184"/>
        <v/>
      </c>
      <c r="AF4292" s="713" t="str">
        <f t="shared" si="3185"/>
        <v/>
      </c>
      <c r="AG4292" s="713"/>
      <c r="AH4292" s="713"/>
      <c r="AI4292" s="112">
        <f>IF(H4292="credit",0,IF(AE4292="free",0,IF(AE4292="me",0,IF(G4292&gt;0,(VLOOKUP(A4292,'Discount Lookup'!J:K,2)*G4292),0))))</f>
        <v>0</v>
      </c>
      <c r="AJ4292" s="107" t="str">
        <f t="shared" ca="1" si="3186"/>
        <v/>
      </c>
      <c r="AK4292" s="714" t="str">
        <f t="shared" si="3187"/>
        <v/>
      </c>
      <c r="AL4292" s="714"/>
      <c r="AM4292" s="114" t="str">
        <f t="shared" si="3188"/>
        <v/>
      </c>
      <c r="AN4292" s="115"/>
      <c r="AO4292" s="116"/>
      <c r="AP4292" s="116"/>
      <c r="AQ4292" s="116"/>
      <c r="AR4292" s="116"/>
      <c r="AS4292" s="116"/>
      <c r="AT4292" s="116"/>
      <c r="AU4292" s="116"/>
      <c r="AV4292" s="78"/>
      <c r="AW4292" s="102"/>
      <c r="AX4292" s="78"/>
      <c r="AY4292" s="78"/>
      <c r="AZ4292" s="78"/>
      <c r="BA4292" s="78"/>
      <c r="BB4292" s="78"/>
      <c r="BC4292" s="78"/>
      <c r="BD4292" s="78"/>
      <c r="BE4292" s="465"/>
      <c r="BF4292" s="165" t="str">
        <f t="shared" si="3189"/>
        <v>https://www.google.com/search?tbm=isch&amp;q=15%20G2</v>
      </c>
      <c r="BG4292" s="165" t="str">
        <f t="shared" si="3190"/>
        <v>V</v>
      </c>
      <c r="BH4292" s="65"/>
      <c r="BI4292" s="65"/>
      <c r="BJ4292" s="65"/>
      <c r="BK4292" s="65"/>
      <c r="BL4292" s="99"/>
      <c r="BM4292" s="99"/>
      <c r="BN4292" s="99"/>
    </row>
    <row r="4293" spans="1:66" s="51" customFormat="1" ht="15.75" x14ac:dyDescent="0.25">
      <c r="A4293" s="478">
        <v>20</v>
      </c>
      <c r="B4293" s="479" t="s">
        <v>291</v>
      </c>
      <c r="C4293" s="480" t="s">
        <v>819</v>
      </c>
      <c r="D4293" s="481" t="s">
        <v>293</v>
      </c>
      <c r="E4293" s="482">
        <v>269.95</v>
      </c>
      <c r="F4293" s="483" t="s">
        <v>292</v>
      </c>
      <c r="G4293" s="484">
        <v>0</v>
      </c>
      <c r="H4293" s="688" t="str">
        <f t="shared" si="3204"/>
        <v/>
      </c>
      <c r="I4293" s="485">
        <f t="shared" si="3205"/>
        <v>0</v>
      </c>
      <c r="J4293" s="485">
        <f t="shared" si="3206"/>
        <v>0</v>
      </c>
      <c r="K4293" s="715">
        <f t="shared" ref="K4293" si="3216">I4293+J4293</f>
        <v>0</v>
      </c>
      <c r="L4293" s="715"/>
      <c r="M4293" s="689" t="str">
        <f t="shared" ca="1" si="3208"/>
        <v/>
      </c>
      <c r="N4293" s="690"/>
      <c r="O4293" s="486"/>
      <c r="P4293" s="486"/>
      <c r="Q4293" s="486"/>
      <c r="R4293" s="486"/>
      <c r="S4293" s="486"/>
      <c r="T4293" s="102">
        <f t="shared" si="3178"/>
        <v>0</v>
      </c>
      <c r="U4293" s="78">
        <f>IF(NOT(ISNUMBER(G4293)), "", VLOOKUP(A4293,'Discount Lookup'!D:E,2,FALSE)*G4293)</f>
        <v>0</v>
      </c>
      <c r="V4293" s="78">
        <f>IF(NOT(ISNUMBER(G4293)), "", VLOOKUP(A4293,'Discount Lookup'!G:H,2,FALSE)*G4293)</f>
        <v>0</v>
      </c>
      <c r="W4293" s="102">
        <f t="shared" si="3179"/>
        <v>0</v>
      </c>
      <c r="X4293" s="102">
        <f t="shared" si="3180"/>
        <v>0</v>
      </c>
      <c r="Y4293" s="120" t="b">
        <f t="shared" si="3181"/>
        <v>0</v>
      </c>
      <c r="Z4293" s="117">
        <f t="shared" si="3182"/>
        <v>0</v>
      </c>
      <c r="AA4293" s="118"/>
      <c r="AB4293" s="118" t="str">
        <f t="shared" si="3183"/>
        <v/>
      </c>
      <c r="AC4293" s="712" t="str">
        <f>IF(AE4293="T2G","no charge",IF(AND(OR(PlanterYesMe="No",PlanterYesMe="N",PlanterYesMe="me"),H4293=""),"",IF(H4293="credit","NO install",IF(AND(K4293="",AE4293="me"),"EACH row",IF(AND(K4293="images",AE4293="me"),"EACH row",IF(D4293="","",IF(H4293="credit","",IF(AE4293="free","re-planting",IF(AE4293="me","   not ELP, by",IF(AND(OR(PlanterYesMe="Yes",PlanterYesMe="Y"),G4293&gt;0),(VLOOKUP(A4293,'Discount Lookup'!J:K,2)*G4293*(1-PlanterDiscount)*(1+PlanterDifficultyPercentage)),IF(AE4293="ELP",(VLOOKUP(A4293,'Discount Lookup'!J:K,2)*G4293*(1-PlanterDiscount)*(1+PlanterDifficultyPercentage)),IF(AE4293="free","re-planting",IF(G4293=0,"",IF(PlanterYesMe="",IF(AE4293="me","   not ELP, by",IF(AE4293="",IF(G4293&gt;0,(VLOOKUP(A4293,'Discount Lookup'!J:K,2)*G4293*(1-PlanterDiscount)*(1+PlanterDifficultyPercentage)),""),"")),"   not ELP, by"))))))))))))))</f>
        <v/>
      </c>
      <c r="AD4293" s="712"/>
      <c r="AE4293" s="513" t="str">
        <f t="shared" si="3184"/>
        <v/>
      </c>
      <c r="AF4293" s="713" t="str">
        <f t="shared" si="3185"/>
        <v/>
      </c>
      <c r="AG4293" s="713"/>
      <c r="AH4293" s="713"/>
      <c r="AI4293" s="112">
        <f>IF(H4293="credit",0,IF(AE4293="free",0,IF(AE4293="me",0,IF(G4293&gt;0,(VLOOKUP(A4293,'Discount Lookup'!J:K,2)*G4293),0))))</f>
        <v>0</v>
      </c>
      <c r="AJ4293" s="107" t="str">
        <f t="shared" ca="1" si="3186"/>
        <v/>
      </c>
      <c r="AK4293" s="714" t="str">
        <f t="shared" si="3187"/>
        <v/>
      </c>
      <c r="AL4293" s="714"/>
      <c r="AM4293" s="114" t="str">
        <f t="shared" si="3188"/>
        <v/>
      </c>
      <c r="AN4293" s="115"/>
      <c r="AO4293" s="116"/>
      <c r="AP4293" s="116"/>
      <c r="AQ4293" s="116"/>
      <c r="AR4293" s="116"/>
      <c r="AS4293" s="116"/>
      <c r="AT4293" s="116"/>
      <c r="AU4293" s="116"/>
      <c r="AV4293" s="78"/>
      <c r="AW4293" s="102"/>
      <c r="AX4293" s="78"/>
      <c r="AY4293" s="78"/>
      <c r="AZ4293" s="78"/>
      <c r="BA4293" s="78"/>
      <c r="BB4293" s="78"/>
      <c r="BC4293" s="78"/>
      <c r="BD4293" s="78"/>
      <c r="BE4293" s="465"/>
      <c r="BF4293" s="165" t="str">
        <f t="shared" si="3189"/>
        <v>https://www.google.com/search?tbm=isch&amp;q=20%20G6</v>
      </c>
      <c r="BG4293" s="165" t="str">
        <f t="shared" si="3190"/>
        <v>V</v>
      </c>
      <c r="BH4293" s="65"/>
      <c r="BI4293" s="65"/>
      <c r="BJ4293" s="65"/>
      <c r="BK4293" s="65"/>
      <c r="BL4293" s="99"/>
      <c r="BM4293" s="99"/>
      <c r="BN4293" s="99"/>
    </row>
    <row r="4294" spans="1:66" s="51" customFormat="1" ht="27" x14ac:dyDescent="0.25">
      <c r="A4294" s="478">
        <v>45</v>
      </c>
      <c r="B4294" s="479" t="s">
        <v>291</v>
      </c>
      <c r="C4294" s="480" t="s">
        <v>1030</v>
      </c>
      <c r="D4294" s="481" t="s">
        <v>299</v>
      </c>
      <c r="E4294" s="482">
        <v>432.95</v>
      </c>
      <c r="F4294" s="483" t="s">
        <v>292</v>
      </c>
      <c r="G4294" s="484">
        <v>0</v>
      </c>
      <c r="H4294" s="688" t="str">
        <f t="shared" si="3204"/>
        <v/>
      </c>
      <c r="I4294" s="485">
        <f t="shared" si="3205"/>
        <v>0</v>
      </c>
      <c r="J4294" s="485">
        <f t="shared" si="3206"/>
        <v>0</v>
      </c>
      <c r="K4294" s="715">
        <f t="shared" ref="K4294" si="3217">I4294+J4294</f>
        <v>0</v>
      </c>
      <c r="L4294" s="715"/>
      <c r="M4294" s="689" t="str">
        <f t="shared" ca="1" si="3208"/>
        <v/>
      </c>
      <c r="N4294" s="690"/>
      <c r="O4294" s="486"/>
      <c r="P4294" s="486"/>
      <c r="Q4294" s="486"/>
      <c r="R4294" s="486"/>
      <c r="S4294" s="486"/>
      <c r="T4294" s="102">
        <f t="shared" si="3178"/>
        <v>0</v>
      </c>
      <c r="U4294" s="78">
        <f>IF(NOT(ISNUMBER(G4294)), "", VLOOKUP(A4294,'Discount Lookup'!D:E,2,FALSE)*G4294)</f>
        <v>0</v>
      </c>
      <c r="V4294" s="78">
        <f>IF(NOT(ISNUMBER(G4294)), "", VLOOKUP(A4294,'Discount Lookup'!G:H,2,FALSE)*G4294)</f>
        <v>0</v>
      </c>
      <c r="W4294" s="102">
        <f t="shared" si="3179"/>
        <v>0</v>
      </c>
      <c r="X4294" s="102">
        <f t="shared" si="3180"/>
        <v>0</v>
      </c>
      <c r="Y4294" s="120" t="b">
        <f t="shared" si="3181"/>
        <v>0</v>
      </c>
      <c r="Z4294" s="117">
        <f t="shared" si="3182"/>
        <v>0</v>
      </c>
      <c r="AA4294" s="118"/>
      <c r="AB4294" s="118" t="str">
        <f t="shared" si="3183"/>
        <v/>
      </c>
      <c r="AC4294" s="712" t="str">
        <f>IF(AE4294="T2G","no charge",IF(AND(OR(PlanterYesMe="No",PlanterYesMe="N",PlanterYesMe="me"),H4294=""),"",IF(H4294="credit","NO install",IF(AND(K4294="",AE4294="me"),"EACH row",IF(AND(K4294="images",AE4294="me"),"EACH row",IF(D4294="","",IF(H4294="credit","",IF(AE4294="free","re-planting",IF(AE4294="me","   not ELP, by",IF(AND(OR(PlanterYesMe="Yes",PlanterYesMe="Y"),G4294&gt;0),(VLOOKUP(A4294,'Discount Lookup'!J:K,2)*G4294*(1-PlanterDiscount)*(1+PlanterDifficultyPercentage)),IF(AE4294="ELP",(VLOOKUP(A4294,'Discount Lookup'!J:K,2)*G4294*(1-PlanterDiscount)*(1+PlanterDifficultyPercentage)),IF(AE4294="free","re-planting",IF(G4294=0,"",IF(PlanterYesMe="",IF(AE4294="me","   not ELP, by",IF(AE4294="",IF(G4294&gt;0,(VLOOKUP(A4294,'Discount Lookup'!J:K,2)*G4294*(1-PlanterDiscount)*(1+PlanterDifficultyPercentage)),""),"")),"   not ELP, by"))))))))))))))</f>
        <v/>
      </c>
      <c r="AD4294" s="712"/>
      <c r="AE4294" s="513" t="str">
        <f t="shared" si="3184"/>
        <v/>
      </c>
      <c r="AF4294" s="713" t="str">
        <f t="shared" si="3185"/>
        <v/>
      </c>
      <c r="AG4294" s="713"/>
      <c r="AH4294" s="713"/>
      <c r="AI4294" s="112">
        <f>IF(H4294="credit",0,IF(AE4294="free",0,IF(AE4294="me",0,IF(G4294&gt;0,(VLOOKUP(A4294,'Discount Lookup'!J:K,2)*G4294),0))))</f>
        <v>0</v>
      </c>
      <c r="AJ4294" s="107" t="str">
        <f t="shared" ca="1" si="3186"/>
        <v/>
      </c>
      <c r="AK4294" s="714" t="str">
        <f t="shared" si="3187"/>
        <v/>
      </c>
      <c r="AL4294" s="714"/>
      <c r="AM4294" s="114" t="str">
        <f t="shared" si="3188"/>
        <v/>
      </c>
      <c r="AN4294" s="115"/>
      <c r="AO4294" s="116"/>
      <c r="AP4294" s="116"/>
      <c r="AQ4294" s="116"/>
      <c r="AR4294" s="116"/>
      <c r="AS4294" s="116"/>
      <c r="AT4294" s="116"/>
      <c r="AU4294" s="116"/>
      <c r="AV4294" s="78"/>
      <c r="AW4294" s="102"/>
      <c r="AX4294" s="78"/>
      <c r="AY4294" s="78"/>
      <c r="AZ4294" s="78"/>
      <c r="BA4294" s="78"/>
      <c r="BB4294" s="78"/>
      <c r="BC4294" s="78"/>
      <c r="BD4294" s="78"/>
      <c r="BE4294" s="465"/>
      <c r="BF4294" s="165" t="str">
        <f t="shared" si="3189"/>
        <v>https://www.google.com/search?tbm=isch&amp;q=45%20G4</v>
      </c>
      <c r="BG4294" s="165" t="str">
        <f t="shared" si="3190"/>
        <v>V</v>
      </c>
      <c r="BH4294" s="65"/>
      <c r="BI4294" s="65"/>
      <c r="BJ4294" s="65"/>
      <c r="BK4294" s="65"/>
      <c r="BL4294" s="99"/>
      <c r="BM4294" s="99"/>
      <c r="BN4294" s="99"/>
    </row>
    <row r="4295" spans="1:66" s="51" customFormat="1" ht="15.75" x14ac:dyDescent="0.25">
      <c r="A4295" s="478">
        <v>65</v>
      </c>
      <c r="B4295" s="479" t="s">
        <v>291</v>
      </c>
      <c r="C4295" s="480" t="s">
        <v>4661</v>
      </c>
      <c r="D4295" s="481" t="s">
        <v>299</v>
      </c>
      <c r="E4295" s="482">
        <v>598.95000000000005</v>
      </c>
      <c r="F4295" s="483" t="s">
        <v>292</v>
      </c>
      <c r="G4295" s="484">
        <v>0</v>
      </c>
      <c r="H4295" s="688" t="str">
        <f t="shared" si="3204"/>
        <v/>
      </c>
      <c r="I4295" s="485">
        <f t="shared" si="3205"/>
        <v>0</v>
      </c>
      <c r="J4295" s="485">
        <f t="shared" si="3206"/>
        <v>0</v>
      </c>
      <c r="K4295" s="715">
        <f t="shared" ref="K4295" si="3218">I4295+J4295</f>
        <v>0</v>
      </c>
      <c r="L4295" s="715"/>
      <c r="M4295" s="689" t="str">
        <f t="shared" ca="1" si="3208"/>
        <v/>
      </c>
      <c r="N4295" s="690"/>
      <c r="O4295" s="486"/>
      <c r="P4295" s="486"/>
      <c r="Q4295" s="486"/>
      <c r="R4295" s="486"/>
      <c r="S4295" s="486"/>
      <c r="T4295" s="102">
        <f t="shared" si="3178"/>
        <v>0</v>
      </c>
      <c r="U4295" s="78">
        <f>IF(NOT(ISNUMBER(G4295)), "", VLOOKUP(A4295,'Discount Lookup'!D:E,2,FALSE)*G4295)</f>
        <v>0</v>
      </c>
      <c r="V4295" s="78">
        <f>IF(NOT(ISNUMBER(G4295)), "", VLOOKUP(A4295,'Discount Lookup'!G:H,2,FALSE)*G4295)</f>
        <v>0</v>
      </c>
      <c r="W4295" s="102">
        <f t="shared" si="3179"/>
        <v>0</v>
      </c>
      <c r="X4295" s="102">
        <f t="shared" si="3180"/>
        <v>0</v>
      </c>
      <c r="Y4295" s="120" t="b">
        <f t="shared" si="3181"/>
        <v>0</v>
      </c>
      <c r="Z4295" s="117">
        <f t="shared" si="3182"/>
        <v>0</v>
      </c>
      <c r="AA4295" s="118"/>
      <c r="AB4295" s="118" t="str">
        <f t="shared" si="3183"/>
        <v/>
      </c>
      <c r="AC4295" s="712" t="str">
        <f>IF(AE4295="T2G","no charge",IF(AND(OR(PlanterYesMe="No",PlanterYesMe="N",PlanterYesMe="me"),H4295=""),"",IF(H4295="credit","NO install",IF(AND(K4295="",AE4295="me"),"EACH row",IF(AND(K4295="images",AE4295="me"),"EACH row",IF(D4295="","",IF(H4295="credit","",IF(AE4295="free","re-planting",IF(AE4295="me","   not ELP, by",IF(AND(OR(PlanterYesMe="Yes",PlanterYesMe="Y"),G4295&gt;0),(VLOOKUP(A4295,'Discount Lookup'!J:K,2)*G4295*(1-PlanterDiscount)*(1+PlanterDifficultyPercentage)),IF(AE4295="ELP",(VLOOKUP(A4295,'Discount Lookup'!J:K,2)*G4295*(1-PlanterDiscount)*(1+PlanterDifficultyPercentage)),IF(AE4295="free","re-planting",IF(G4295=0,"",IF(PlanterYesMe="",IF(AE4295="me","   not ELP, by",IF(AE4295="",IF(G4295&gt;0,(VLOOKUP(A4295,'Discount Lookup'!J:K,2)*G4295*(1-PlanterDiscount)*(1+PlanterDifficultyPercentage)),""),"")),"   not ELP, by"))))))))))))))</f>
        <v/>
      </c>
      <c r="AD4295" s="712"/>
      <c r="AE4295" s="513" t="str">
        <f t="shared" si="3184"/>
        <v/>
      </c>
      <c r="AF4295" s="713" t="str">
        <f t="shared" si="3185"/>
        <v/>
      </c>
      <c r="AG4295" s="713"/>
      <c r="AH4295" s="713"/>
      <c r="AI4295" s="112">
        <f>IF(H4295="credit",0,IF(AE4295="free",0,IF(AE4295="me",0,IF(G4295&gt;0,(VLOOKUP(A4295,'Discount Lookup'!J:K,2)*G4295),0))))</f>
        <v>0</v>
      </c>
      <c r="AJ4295" s="107" t="str">
        <f t="shared" ca="1" si="3186"/>
        <v/>
      </c>
      <c r="AK4295" s="714" t="str">
        <f t="shared" si="3187"/>
        <v/>
      </c>
      <c r="AL4295" s="714"/>
      <c r="AM4295" s="114" t="str">
        <f t="shared" si="3188"/>
        <v/>
      </c>
      <c r="AN4295" s="115"/>
      <c r="AO4295" s="116"/>
      <c r="AP4295" s="116"/>
      <c r="AQ4295" s="116"/>
      <c r="AR4295" s="116"/>
      <c r="AS4295" s="116"/>
      <c r="AT4295" s="116"/>
      <c r="AU4295" s="116"/>
      <c r="AV4295" s="78"/>
      <c r="AW4295" s="102"/>
      <c r="AX4295" s="78"/>
      <c r="AY4295" s="78"/>
      <c r="AZ4295" s="78"/>
      <c r="BA4295" s="78"/>
      <c r="BB4295" s="78"/>
      <c r="BC4295" s="78"/>
      <c r="BD4295" s="78"/>
      <c r="BE4295" s="465"/>
      <c r="BF4295" s="165" t="str">
        <f t="shared" si="3189"/>
        <v>https://www.google.com/search?tbm=isch&amp;q=65%20G4</v>
      </c>
      <c r="BG4295" s="165" t="str">
        <f t="shared" si="3190"/>
        <v>V</v>
      </c>
      <c r="BH4295" s="65"/>
      <c r="BI4295" s="65"/>
      <c r="BJ4295" s="65"/>
      <c r="BK4295" s="65"/>
      <c r="BL4295" s="99"/>
      <c r="BM4295" s="99"/>
      <c r="BN4295" s="99"/>
    </row>
    <row r="4296" spans="1:66" s="51" customFormat="1" ht="15.75" x14ac:dyDescent="0.25">
      <c r="A4296" s="478">
        <v>45</v>
      </c>
      <c r="B4296" s="479" t="s">
        <v>291</v>
      </c>
      <c r="C4296" s="480" t="s">
        <v>4662</v>
      </c>
      <c r="D4296" s="481" t="s">
        <v>293</v>
      </c>
      <c r="E4296" s="482">
        <v>645.95000000000005</v>
      </c>
      <c r="F4296" s="483" t="s">
        <v>292</v>
      </c>
      <c r="G4296" s="484">
        <v>0</v>
      </c>
      <c r="H4296" s="688" t="str">
        <f t="shared" si="3204"/>
        <v/>
      </c>
      <c r="I4296" s="485">
        <f t="shared" si="3205"/>
        <v>0</v>
      </c>
      <c r="J4296" s="485">
        <f t="shared" si="3206"/>
        <v>0</v>
      </c>
      <c r="K4296" s="715">
        <f t="shared" ref="K4296" si="3219">I4296+J4296</f>
        <v>0</v>
      </c>
      <c r="L4296" s="715"/>
      <c r="M4296" s="689" t="str">
        <f t="shared" ca="1" si="3208"/>
        <v/>
      </c>
      <c r="N4296" s="690"/>
      <c r="O4296" s="486"/>
      <c r="P4296" s="486"/>
      <c r="Q4296" s="486"/>
      <c r="R4296" s="486"/>
      <c r="S4296" s="486"/>
      <c r="T4296" s="102">
        <f t="shared" si="3178"/>
        <v>0</v>
      </c>
      <c r="U4296" s="78">
        <f>IF(NOT(ISNUMBER(G4296)), "", VLOOKUP(A4296,'Discount Lookup'!D:E,2,FALSE)*G4296)</f>
        <v>0</v>
      </c>
      <c r="V4296" s="78">
        <f>IF(NOT(ISNUMBER(G4296)), "", VLOOKUP(A4296,'Discount Lookup'!G:H,2,FALSE)*G4296)</f>
        <v>0</v>
      </c>
      <c r="W4296" s="102">
        <f t="shared" si="3179"/>
        <v>0</v>
      </c>
      <c r="X4296" s="102">
        <f t="shared" si="3180"/>
        <v>0</v>
      </c>
      <c r="Y4296" s="120" t="b">
        <f t="shared" si="3181"/>
        <v>0</v>
      </c>
      <c r="Z4296" s="117">
        <f t="shared" si="3182"/>
        <v>0</v>
      </c>
      <c r="AA4296" s="118"/>
      <c r="AB4296" s="118" t="str">
        <f t="shared" si="3183"/>
        <v/>
      </c>
      <c r="AC4296" s="712" t="str">
        <f>IF(AE4296="T2G","no charge",IF(AND(OR(PlanterYesMe="No",PlanterYesMe="N",PlanterYesMe="me"),H4296=""),"",IF(H4296="credit","NO install",IF(AND(K4296="",AE4296="me"),"EACH row",IF(AND(K4296="images",AE4296="me"),"EACH row",IF(D4296="","",IF(H4296="credit","",IF(AE4296="free","re-planting",IF(AE4296="me","   not ELP, by",IF(AND(OR(PlanterYesMe="Yes",PlanterYesMe="Y"),G4296&gt;0),(VLOOKUP(A4296,'Discount Lookup'!J:K,2)*G4296*(1-PlanterDiscount)*(1+PlanterDifficultyPercentage)),IF(AE4296="ELP",(VLOOKUP(A4296,'Discount Lookup'!J:K,2)*G4296*(1-PlanterDiscount)*(1+PlanterDifficultyPercentage)),IF(AE4296="free","re-planting",IF(G4296=0,"",IF(PlanterYesMe="",IF(AE4296="me","   not ELP, by",IF(AE4296="",IF(G4296&gt;0,(VLOOKUP(A4296,'Discount Lookup'!J:K,2)*G4296*(1-PlanterDiscount)*(1+PlanterDifficultyPercentage)),""),"")),"   not ELP, by"))))))))))))))</f>
        <v/>
      </c>
      <c r="AD4296" s="712"/>
      <c r="AE4296" s="513" t="str">
        <f t="shared" si="3184"/>
        <v/>
      </c>
      <c r="AF4296" s="713" t="str">
        <f t="shared" si="3185"/>
        <v/>
      </c>
      <c r="AG4296" s="713"/>
      <c r="AH4296" s="713"/>
      <c r="AI4296" s="112">
        <f>IF(H4296="credit",0,IF(AE4296="free",0,IF(AE4296="me",0,IF(G4296&gt;0,(VLOOKUP(A4296,'Discount Lookup'!J:K,2)*G4296),0))))</f>
        <v>0</v>
      </c>
      <c r="AJ4296" s="107" t="str">
        <f t="shared" ca="1" si="3186"/>
        <v/>
      </c>
      <c r="AK4296" s="714" t="str">
        <f t="shared" si="3187"/>
        <v/>
      </c>
      <c r="AL4296" s="714"/>
      <c r="AM4296" s="114" t="str">
        <f t="shared" si="3188"/>
        <v/>
      </c>
      <c r="AN4296" s="115"/>
      <c r="AO4296" s="116"/>
      <c r="AP4296" s="116"/>
      <c r="AQ4296" s="116"/>
      <c r="AR4296" s="116"/>
      <c r="AS4296" s="116"/>
      <c r="AT4296" s="116"/>
      <c r="AU4296" s="116"/>
      <c r="AV4296" s="78"/>
      <c r="AW4296" s="102"/>
      <c r="AX4296" s="78"/>
      <c r="AY4296" s="78"/>
      <c r="AZ4296" s="78"/>
      <c r="BA4296" s="78"/>
      <c r="BB4296" s="78"/>
      <c r="BC4296" s="78"/>
      <c r="BD4296" s="78"/>
      <c r="BE4296" s="465"/>
      <c r="BF4296" s="165" t="str">
        <f t="shared" si="3189"/>
        <v>https://www.google.com/search?tbm=isch&amp;q=45%20G6</v>
      </c>
      <c r="BG4296" s="165" t="str">
        <f t="shared" si="3190"/>
        <v>V</v>
      </c>
      <c r="BH4296" s="65"/>
      <c r="BI4296" s="65"/>
      <c r="BJ4296" s="65"/>
      <c r="BK4296" s="65"/>
      <c r="BL4296" s="99"/>
      <c r="BM4296" s="99"/>
      <c r="BN4296" s="99"/>
    </row>
    <row r="4297" spans="1:66" s="51" customFormat="1" ht="17.25" thickBot="1" x14ac:dyDescent="0.3">
      <c r="A4297" s="508" t="s">
        <v>834</v>
      </c>
      <c r="B4297" s="487"/>
      <c r="C4297" s="707"/>
      <c r="D4297" s="487"/>
      <c r="E4297" s="487"/>
      <c r="F4297" s="488"/>
      <c r="G4297" s="489"/>
      <c r="H4297" s="487"/>
      <c r="I4297" s="490"/>
      <c r="J4297" s="490"/>
      <c r="K4297" s="491"/>
      <c r="L4297" s="547"/>
      <c r="M4297" s="528"/>
      <c r="N4297" s="492"/>
      <c r="O4297" s="493"/>
      <c r="P4297" s="494"/>
      <c r="Q4297" s="492"/>
      <c r="R4297" s="492"/>
      <c r="S4297" s="699" t="s">
        <v>5268</v>
      </c>
      <c r="T4297" s="102">
        <f t="shared" si="3178"/>
        <v>0</v>
      </c>
      <c r="U4297" s="78" t="str">
        <f>IF(NOT(ISNUMBER(G4297)), "", VLOOKUP(A4297,'Discount Lookup'!D:E,2,FALSE)*G4297)</f>
        <v/>
      </c>
      <c r="V4297" s="78" t="str">
        <f>IF(NOT(ISNUMBER(G4297)), "", VLOOKUP(A4297,'Discount Lookup'!G:H,2,FALSE)*G4297)</f>
        <v/>
      </c>
      <c r="W4297" s="102">
        <f t="shared" si="3179"/>
        <v>0</v>
      </c>
      <c r="X4297" s="102">
        <f t="shared" si="3180"/>
        <v>0</v>
      </c>
      <c r="Y4297" s="120" t="b">
        <f t="shared" si="3181"/>
        <v>0</v>
      </c>
      <c r="Z4297" s="117">
        <f t="shared" si="3182"/>
        <v>0</v>
      </c>
      <c r="AA4297" s="118"/>
      <c r="AB4297" s="118" t="str">
        <f t="shared" si="3183"/>
        <v/>
      </c>
      <c r="AC4297" s="712" t="str">
        <f>IF(AE4297="T2G","no charge",IF(AND(OR(PlanterYesMe="No",PlanterYesMe="N",PlanterYesMe="me"),H4297=""),"",IF(H4297="credit","NO install",IF(AND(K4297="",AE4297="me"),"EACH row",IF(AND(K4297="images",AE4297="me"),"EACH row",IF(D4297="","",IF(H4297="credit","",IF(AE4297="free","re-planting",IF(AE4297="me","   not ELP, by",IF(AND(OR(PlanterYesMe="Yes",PlanterYesMe="Y"),G4297&gt;0),(VLOOKUP(A4297,'Discount Lookup'!J:K,2)*G4297*(1-PlanterDiscount)*(1+PlanterDifficultyPercentage)),IF(AE4297="ELP",(VLOOKUP(A4297,'Discount Lookup'!J:K,2)*G4297*(1-PlanterDiscount)*(1+PlanterDifficultyPercentage)),IF(AE4297="free","re-planting",IF(G4297=0,"",IF(PlanterYesMe="",IF(AE4297="me","   not ELP, by",IF(AE4297="",IF(G4297&gt;0,(VLOOKUP(A4297,'Discount Lookup'!J:K,2)*G4297*(1-PlanterDiscount)*(1+PlanterDifficultyPercentage)),""),"")),"   not ELP, by"))))))))))))))</f>
        <v/>
      </c>
      <c r="AD4297" s="712"/>
      <c r="AE4297" s="513" t="str">
        <f t="shared" si="3184"/>
        <v/>
      </c>
      <c r="AF4297" s="713" t="str">
        <f t="shared" si="3185"/>
        <v/>
      </c>
      <c r="AG4297" s="713"/>
      <c r="AH4297" s="713"/>
      <c r="AI4297" s="112">
        <f>IF(H4297="credit",0,IF(AE4297="free",0,IF(AE4297="me",0,IF(G4297&gt;0,(VLOOKUP(A4297,'Discount Lookup'!J:K,2)*G4297),0))))</f>
        <v>0</v>
      </c>
      <c r="AJ4297" s="107" t="str">
        <f t="shared" ca="1" si="3186"/>
        <v/>
      </c>
      <c r="AK4297" s="714" t="str">
        <f t="shared" si="3187"/>
        <v/>
      </c>
      <c r="AL4297" s="714"/>
      <c r="AM4297" s="114" t="str">
        <f t="shared" si="3188"/>
        <v/>
      </c>
      <c r="AN4297" s="115"/>
      <c r="AO4297" s="116"/>
      <c r="AP4297" s="116"/>
      <c r="AQ4297" s="116"/>
      <c r="AR4297" s="116"/>
      <c r="AS4297" s="116"/>
      <c r="AT4297" s="116"/>
      <c r="AU4297" s="116"/>
      <c r="AV4297" s="78"/>
      <c r="AW4297" s="102"/>
      <c r="AX4297" s="78"/>
      <c r="AY4297" s="78"/>
      <c r="AZ4297" s="78"/>
      <c r="BA4297" s="78"/>
      <c r="BB4297" s="78"/>
      <c r="BC4297" s="78"/>
      <c r="BD4297" s="78"/>
      <c r="BE4297" s="465"/>
      <c r="BF4297" s="165" t="str">
        <f t="shared" si="3189"/>
        <v>https://www.google.com/search?tbm=isch&amp;q=Chindo%20offers%20glossy%20%E2%80%9Cmirror%E2%80%9D%20leaves%2C%20fragrant%20spring%20blooms%2C%20and%20showy%20Red%20fruit%20on%20a%20fast%2C%20pyramidal%20form%20</v>
      </c>
      <c r="BG4297" s="165" t="str">
        <f t="shared" si="3190"/>
        <v>C</v>
      </c>
      <c r="BH4297" s="65"/>
      <c r="BI4297" s="65"/>
      <c r="BJ4297" s="65"/>
      <c r="BK4297" s="65"/>
      <c r="BL4297" s="99"/>
      <c r="BM4297" s="99"/>
      <c r="BN4297" s="99"/>
    </row>
    <row r="4298" spans="1:66" s="51" customFormat="1" ht="18" x14ac:dyDescent="0.25">
      <c r="A4298" s="623" t="s">
        <v>4451</v>
      </c>
      <c r="B4298" s="624"/>
      <c r="C4298" s="709"/>
      <c r="D4298" s="625" t="s">
        <v>4452</v>
      </c>
      <c r="E4298" s="626"/>
      <c r="F4298" s="626"/>
      <c r="G4298" s="626"/>
      <c r="H4298" s="622" t="s">
        <v>1217</v>
      </c>
      <c r="I4298" s="627" t="s">
        <v>4453</v>
      </c>
      <c r="J4298" s="628"/>
      <c r="K4298" s="628"/>
      <c r="L4298" s="629"/>
      <c r="M4298" s="700" t="s">
        <v>5249</v>
      </c>
      <c r="N4298" s="693" t="str">
        <f>IF(AND(ISTEXT($A4298), ISERROR($A4298+0)), HYPERLINK($BF4298, "Images"), "")</f>
        <v>Images</v>
      </c>
      <c r="O4298" s="695" t="s">
        <v>5247</v>
      </c>
      <c r="P4298" s="630"/>
      <c r="Q4298" s="631"/>
      <c r="R4298" s="632"/>
      <c r="S4298" s="633"/>
      <c r="T4298" s="102">
        <f t="shared" si="3178"/>
        <v>0</v>
      </c>
      <c r="U4298" s="78" t="str">
        <f>IF(NOT(ISNUMBER(G4298)), "", VLOOKUP(A4298,'Discount Lookup'!D:E,2,FALSE)*G4298)</f>
        <v/>
      </c>
      <c r="V4298" s="78" t="str">
        <f>IF(NOT(ISNUMBER(G4298)), "", VLOOKUP(A4298,'Discount Lookup'!G:H,2,FALSE)*G4298)</f>
        <v/>
      </c>
      <c r="W4298" s="102">
        <f t="shared" si="3179"/>
        <v>0</v>
      </c>
      <c r="X4298" s="102" t="str">
        <f t="shared" si="3180"/>
        <v>Pink buds open White</v>
      </c>
      <c r="Y4298" s="120" t="b">
        <f t="shared" si="3181"/>
        <v>0</v>
      </c>
      <c r="Z4298" s="117">
        <f t="shared" si="3182"/>
        <v>0</v>
      </c>
      <c r="AA4298" s="118"/>
      <c r="AB4298" s="118" t="str">
        <f t="shared" si="3183"/>
        <v/>
      </c>
      <c r="AC4298" s="712" t="str">
        <f>IF(AE4298="T2G","no charge",IF(AND(OR(PlanterYesMe="No",PlanterYesMe="N",PlanterYesMe="me"),H4298=""),"",IF(H4298="credit","NO install",IF(AND(K4298="",AE4298="me"),"EACH row",IF(AND(K4298="images",AE4298="me"),"EACH row",IF(D4298="","",IF(H4298="credit","",IF(AE4298="free","re-planting",IF(AE4298="me","   not ELP, by",IF(AND(OR(PlanterYesMe="Yes",PlanterYesMe="Y"),G4298&gt;0),(VLOOKUP(A4298,'Discount Lookup'!J:K,2)*G4298*(1-PlanterDiscount)*(1+PlanterDifficultyPercentage)),IF(AE4298="ELP",(VLOOKUP(A4298,'Discount Lookup'!J:K,2)*G4298*(1-PlanterDiscount)*(1+PlanterDifficultyPercentage)),IF(AE4298="free","re-planting",IF(G4298=0,"",IF(PlanterYesMe="",IF(AE4298="me","   not ELP, by",IF(AE4298="",IF(G4298&gt;0,(VLOOKUP(A4298,'Discount Lookup'!J:K,2)*G4298*(1-PlanterDiscount)*(1+PlanterDifficultyPercentage)),""),"")),"   not ELP, by"))))))))))))))</f>
        <v/>
      </c>
      <c r="AD4298" s="712"/>
      <c r="AE4298" s="513" t="str">
        <f t="shared" si="3184"/>
        <v/>
      </c>
      <c r="AF4298" s="713" t="str">
        <f t="shared" si="3185"/>
        <v/>
      </c>
      <c r="AG4298" s="713"/>
      <c r="AH4298" s="713"/>
      <c r="AI4298" s="112">
        <f>IF(H4298="credit",0,IF(AE4298="free",0,IF(AE4298="me",0,IF(G4298&gt;0,(VLOOKUP(A4298,'Discount Lookup'!J:K,2)*G4298),0))))</f>
        <v>0</v>
      </c>
      <c r="AJ4298" s="107" t="str">
        <f t="shared" ca="1" si="3186"/>
        <v/>
      </c>
      <c r="AK4298" s="714" t="str">
        <f t="shared" si="3187"/>
        <v/>
      </c>
      <c r="AL4298" s="714"/>
      <c r="AM4298" s="114" t="str">
        <f t="shared" si="3188"/>
        <v/>
      </c>
      <c r="AN4298" s="115"/>
      <c r="AO4298" s="116"/>
      <c r="AP4298" s="116"/>
      <c r="AQ4298" s="116"/>
      <c r="AR4298" s="116"/>
      <c r="AS4298" s="116"/>
      <c r="AT4298" s="116"/>
      <c r="AU4298" s="116"/>
      <c r="AV4298" s="78"/>
      <c r="AW4298" s="102"/>
      <c r="AX4298" s="78"/>
      <c r="AY4298" s="78"/>
      <c r="AZ4298" s="78"/>
      <c r="BA4298" s="78"/>
      <c r="BB4298" s="78"/>
      <c r="BC4298" s="78"/>
      <c r="BD4298" s="78"/>
      <c r="BE4298" s="465"/>
      <c r="BF4298" s="165" t="str">
        <f t="shared" si="3189"/>
        <v>https://www.google.com/search?tbm=isch&amp;q=Viburnum%20carlesii%20Koreanspice%20viburnum</v>
      </c>
      <c r="BG4298" s="165" t="str">
        <f t="shared" si="3190"/>
        <v>V</v>
      </c>
      <c r="BH4298" s="65"/>
      <c r="BI4298" s="65"/>
      <c r="BJ4298" s="65"/>
      <c r="BK4298" s="65"/>
      <c r="BL4298" s="99"/>
      <c r="BM4298" s="99"/>
      <c r="BN4298" s="99"/>
    </row>
    <row r="4299" spans="1:66" s="51" customFormat="1" ht="15.75" x14ac:dyDescent="0.25">
      <c r="A4299" s="634">
        <v>3</v>
      </c>
      <c r="B4299" s="635" t="s">
        <v>291</v>
      </c>
      <c r="C4299" s="636" t="s">
        <v>5223</v>
      </c>
      <c r="D4299" s="637" t="s">
        <v>299</v>
      </c>
      <c r="E4299" s="638">
        <v>40.950000000000003</v>
      </c>
      <c r="F4299" s="639" t="s">
        <v>292</v>
      </c>
      <c r="G4299" s="484">
        <v>0</v>
      </c>
      <c r="H4299" s="691" t="str">
        <f>IF(G4299=0,"",IF(F4299="Buy",IF(G4299=1,"plant","plants"),IF(F4299&gt;0.01,"warranty","Error")))</f>
        <v/>
      </c>
      <c r="I4299" s="640">
        <f>IF(H4299="free",0,IF(H4299="credit",((E4299*(F4299))*G4299*-1),IF(F4299="Buy",(E4299*G4299),((E4299*(1-F4299))*G4299))))</f>
        <v>0</v>
      </c>
      <c r="J4299" s="640">
        <f>IF(H4299="warranty",0,(I4299*(_xlfn.SINGLE(SalesTaxPercentage))))</f>
        <v>0</v>
      </c>
      <c r="K4299" s="716">
        <f t="shared" ref="K4299" si="3220">I4299+J4299</f>
        <v>0</v>
      </c>
      <c r="L4299" s="716"/>
      <c r="M4299" s="689" t="str">
        <f ca="1">IF(AND(G4299&gt;0,E4299=0),"WARNING - no PRICE inserted",IF(H4299="free","FREE ~ no charge this plant",IF(H4299="credit",CONCATENATE("-$",ROUND(K4299*(1-_xlfn.SINGLE(T2GDiscount))*-1,2)," CREDIT after discount"),IF(_xlfn.SINGLE(T2GDiscount)=0,"",IF(G4299=0,"",IF(F4299="Buy",CONCATENATE("$",ROUND(K4299*(1-_xlfn.SINGLE(T2GDiscount)),2)," with ",(_xlfn.SINGLE(T2GDiscount)*100),"% discount"),CONCATENATE("$",ROUND(K4299*(1-_xlfn.SINGLE(T2GDiscount)),2)," with ",((_xlfn.SINGLE(T2GDiscount)*100+F4299*100)-(_xlfn.SINGLE(T2GDiscount)*100*F4299)),IF(F4299&gt;0,"% discounts",IF(_xlfn.SINGLE(NoWarrantyDiscount)&gt;0,"% discounts","% discount")))))))))</f>
        <v/>
      </c>
      <c r="N4299" s="690"/>
      <c r="O4299" s="486"/>
      <c r="P4299" s="486"/>
      <c r="Q4299" s="486"/>
      <c r="R4299" s="486"/>
      <c r="S4299" s="486"/>
      <c r="T4299" s="102">
        <f t="shared" si="3178"/>
        <v>0</v>
      </c>
      <c r="U4299" s="78">
        <f>IF(NOT(ISNUMBER(G4299)), "", VLOOKUP(A4299,'Discount Lookup'!D:E,2,FALSE)*G4299)</f>
        <v>0</v>
      </c>
      <c r="V4299" s="78">
        <f>IF(NOT(ISNUMBER(G4299)), "", VLOOKUP(A4299,'Discount Lookup'!G:H,2,FALSE)*G4299)</f>
        <v>0</v>
      </c>
      <c r="W4299" s="102">
        <f t="shared" si="3179"/>
        <v>0</v>
      </c>
      <c r="X4299" s="102">
        <f t="shared" si="3180"/>
        <v>0</v>
      </c>
      <c r="Y4299" s="120" t="b">
        <f t="shared" si="3181"/>
        <v>0</v>
      </c>
      <c r="Z4299" s="117">
        <f t="shared" si="3182"/>
        <v>0</v>
      </c>
      <c r="AA4299" s="118"/>
      <c r="AB4299" s="118" t="str">
        <f t="shared" si="3183"/>
        <v/>
      </c>
      <c r="AC4299" s="712" t="str">
        <f>IF(AE4299="T2G","no charge",IF(AND(OR(PlanterYesMe="No",PlanterYesMe="N",PlanterYesMe="me"),H4299=""),"",IF(H4299="credit","NO install",IF(AND(K4299="",AE4299="me"),"EACH row",IF(AND(K4299="images",AE4299="me"),"EACH row",IF(D4299="","",IF(H4299="credit","",IF(AE4299="free","re-planting",IF(AE4299="me","   not ELP, by",IF(AND(OR(PlanterYesMe="Yes",PlanterYesMe="Y"),G4299&gt;0),(VLOOKUP(A4299,'Discount Lookup'!J:K,2)*G4299*(1-PlanterDiscount)*(1+PlanterDifficultyPercentage)),IF(AE4299="ELP",(VLOOKUP(A4299,'Discount Lookup'!J:K,2)*G4299*(1-PlanterDiscount)*(1+PlanterDifficultyPercentage)),IF(AE4299="free","re-planting",IF(G4299=0,"",IF(PlanterYesMe="",IF(AE4299="me","   not ELP, by",IF(AE4299="",IF(G4299&gt;0,(VLOOKUP(A4299,'Discount Lookup'!J:K,2)*G4299*(1-PlanterDiscount)*(1+PlanterDifficultyPercentage)),""),"")),"   not ELP, by"))))))))))))))</f>
        <v/>
      </c>
      <c r="AD4299" s="712"/>
      <c r="AE4299" s="513" t="str">
        <f t="shared" si="3184"/>
        <v/>
      </c>
      <c r="AF4299" s="713" t="str">
        <f t="shared" si="3185"/>
        <v/>
      </c>
      <c r="AG4299" s="713"/>
      <c r="AH4299" s="713"/>
      <c r="AI4299" s="112">
        <f>IF(H4299="credit",0,IF(AE4299="free",0,IF(AE4299="me",0,IF(G4299&gt;0,(VLOOKUP(A4299,'Discount Lookup'!J:K,2)*G4299),0))))</f>
        <v>0</v>
      </c>
      <c r="AJ4299" s="107" t="str">
        <f t="shared" ca="1" si="3186"/>
        <v/>
      </c>
      <c r="AK4299" s="714" t="str">
        <f t="shared" si="3187"/>
        <v/>
      </c>
      <c r="AL4299" s="714"/>
      <c r="AM4299" s="114" t="str">
        <f t="shared" si="3188"/>
        <v/>
      </c>
      <c r="AN4299" s="115"/>
      <c r="AO4299" s="116"/>
      <c r="AP4299" s="116"/>
      <c r="AQ4299" s="116"/>
      <c r="AR4299" s="116"/>
      <c r="AS4299" s="116"/>
      <c r="AT4299" s="116"/>
      <c r="AU4299" s="116"/>
      <c r="AV4299" s="78"/>
      <c r="AW4299" s="102"/>
      <c r="AX4299" s="78"/>
      <c r="AY4299" s="78"/>
      <c r="AZ4299" s="78"/>
      <c r="BA4299" s="78"/>
      <c r="BB4299" s="78"/>
      <c r="BC4299" s="78"/>
      <c r="BD4299" s="78"/>
      <c r="BE4299" s="465"/>
      <c r="BF4299" s="165" t="str">
        <f t="shared" si="3189"/>
        <v>https://www.google.com/search?tbm=isch&amp;q=3%20G4</v>
      </c>
      <c r="BG4299" s="165" t="str">
        <f t="shared" si="3190"/>
        <v>V</v>
      </c>
      <c r="BH4299" s="65"/>
      <c r="BI4299" s="65"/>
      <c r="BJ4299" s="65"/>
      <c r="BK4299" s="65"/>
      <c r="BL4299" s="99"/>
      <c r="BM4299" s="99"/>
      <c r="BN4299" s="99"/>
    </row>
    <row r="4300" spans="1:66" s="51" customFormat="1" ht="17.25" thickBot="1" x14ac:dyDescent="0.3">
      <c r="A4300" s="641" t="s">
        <v>4454</v>
      </c>
      <c r="B4300" s="642"/>
      <c r="C4300" s="710"/>
      <c r="D4300" s="643"/>
      <c r="E4300" s="643"/>
      <c r="F4300" s="644"/>
      <c r="G4300" s="645"/>
      <c r="H4300" s="646"/>
      <c r="I4300" s="647"/>
      <c r="J4300" s="648"/>
      <c r="K4300" s="649"/>
      <c r="L4300" s="650"/>
      <c r="M4300" s="650"/>
      <c r="N4300" s="644"/>
      <c r="O4300" s="644"/>
      <c r="P4300" s="644"/>
      <c r="Q4300" s="644"/>
      <c r="R4300" s="644"/>
      <c r="S4300" s="701" t="s">
        <v>5251</v>
      </c>
      <c r="T4300" s="102">
        <f t="shared" si="3178"/>
        <v>0</v>
      </c>
      <c r="U4300" s="78" t="str">
        <f>IF(NOT(ISNUMBER(G4300)), "", VLOOKUP(A4300,'Discount Lookup'!D:E,2,FALSE)*G4300)</f>
        <v/>
      </c>
      <c r="V4300" s="78" t="str">
        <f>IF(NOT(ISNUMBER(G4300)), "", VLOOKUP(A4300,'Discount Lookup'!G:H,2,FALSE)*G4300)</f>
        <v/>
      </c>
      <c r="W4300" s="102">
        <f t="shared" si="3179"/>
        <v>0</v>
      </c>
      <c r="X4300" s="102">
        <f t="shared" si="3180"/>
        <v>0</v>
      </c>
      <c r="Y4300" s="120" t="b">
        <f t="shared" si="3181"/>
        <v>0</v>
      </c>
      <c r="Z4300" s="117">
        <f t="shared" si="3182"/>
        <v>0</v>
      </c>
      <c r="AA4300" s="118"/>
      <c r="AB4300" s="118" t="str">
        <f t="shared" si="3183"/>
        <v/>
      </c>
      <c r="AC4300" s="712" t="str">
        <f>IF(AE4300="T2G","no charge",IF(AND(OR(PlanterYesMe="No",PlanterYesMe="N",PlanterYesMe="me"),H4300=""),"",IF(H4300="credit","NO install",IF(AND(K4300="",AE4300="me"),"EACH row",IF(AND(K4300="images",AE4300="me"),"EACH row",IF(D4300="","",IF(H4300="credit","",IF(AE4300="free","re-planting",IF(AE4300="me","   not ELP, by",IF(AND(OR(PlanterYesMe="Yes",PlanterYesMe="Y"),G4300&gt;0),(VLOOKUP(A4300,'Discount Lookup'!J:K,2)*G4300*(1-PlanterDiscount)*(1+PlanterDifficultyPercentage)),IF(AE4300="ELP",(VLOOKUP(A4300,'Discount Lookup'!J:K,2)*G4300*(1-PlanterDiscount)*(1+PlanterDifficultyPercentage)),IF(AE4300="free","re-planting",IF(G4300=0,"",IF(PlanterYesMe="",IF(AE4300="me","   not ELP, by",IF(AE4300="",IF(G4300&gt;0,(VLOOKUP(A4300,'Discount Lookup'!J:K,2)*G4300*(1-PlanterDiscount)*(1+PlanterDifficultyPercentage)),""),"")),"   not ELP, by"))))))))))))))</f>
        <v/>
      </c>
      <c r="AD4300" s="712"/>
      <c r="AE4300" s="513" t="str">
        <f t="shared" si="3184"/>
        <v/>
      </c>
      <c r="AF4300" s="713" t="str">
        <f t="shared" si="3185"/>
        <v/>
      </c>
      <c r="AG4300" s="713"/>
      <c r="AH4300" s="713"/>
      <c r="AI4300" s="112">
        <f>IF(H4300="credit",0,IF(AE4300="free",0,IF(AE4300="me",0,IF(G4300&gt;0,(VLOOKUP(A4300,'Discount Lookup'!J:K,2)*G4300),0))))</f>
        <v>0</v>
      </c>
      <c r="AJ4300" s="107" t="str">
        <f t="shared" ca="1" si="3186"/>
        <v/>
      </c>
      <c r="AK4300" s="714" t="str">
        <f t="shared" si="3187"/>
        <v/>
      </c>
      <c r="AL4300" s="714"/>
      <c r="AM4300" s="114" t="str">
        <f t="shared" si="3188"/>
        <v/>
      </c>
      <c r="AN4300" s="115"/>
      <c r="AO4300" s="116"/>
      <c r="AP4300" s="116"/>
      <c r="AQ4300" s="116"/>
      <c r="AR4300" s="116"/>
      <c r="AS4300" s="116"/>
      <c r="AT4300" s="116"/>
      <c r="AU4300" s="116"/>
      <c r="AV4300" s="78"/>
      <c r="AW4300" s="102"/>
      <c r="AX4300" s="78"/>
      <c r="AY4300" s="78"/>
      <c r="AZ4300" s="78"/>
      <c r="BA4300" s="78"/>
      <c r="BB4300" s="78"/>
      <c r="BC4300" s="78"/>
      <c r="BD4300" s="78"/>
      <c r="BE4300" s="465"/>
      <c r="BF4300" s="165" t="str">
        <f t="shared" si="3189"/>
        <v>https://www.google.com/search?tbm=isch&amp;q=Koreanspice%20known%20for%20incredibly%20fragrant%20flower%20clusters%20that%20bloom%20in%20early%20spring%2C%20and%20its%20attractive%20Reddish-Purple%20fall%20foliage%20</v>
      </c>
      <c r="BG4300" s="165" t="str">
        <f t="shared" si="3190"/>
        <v>K</v>
      </c>
      <c r="BH4300" s="65"/>
      <c r="BI4300" s="65"/>
      <c r="BJ4300" s="65"/>
      <c r="BK4300" s="65"/>
      <c r="BL4300" s="99"/>
      <c r="BM4300" s="99"/>
      <c r="BN4300" s="99"/>
    </row>
    <row r="4301" spans="1:66" s="51" customFormat="1" ht="18" x14ac:dyDescent="0.25">
      <c r="A4301" s="623" t="s">
        <v>4455</v>
      </c>
      <c r="B4301" s="624"/>
      <c r="C4301" s="709"/>
      <c r="D4301" s="625" t="s">
        <v>5853</v>
      </c>
      <c r="E4301" s="626"/>
      <c r="F4301" s="626"/>
      <c r="G4301" s="626"/>
      <c r="H4301" s="622" t="s">
        <v>4456</v>
      </c>
      <c r="I4301" s="627" t="s">
        <v>350</v>
      </c>
      <c r="J4301" s="628"/>
      <c r="K4301" s="628"/>
      <c r="L4301" s="629"/>
      <c r="M4301" s="700" t="s">
        <v>5249</v>
      </c>
      <c r="N4301" s="693" t="str">
        <f>IF(AND(ISTEXT($A4301), ISERROR($A4301+0)), HYPERLINK($BF4301, "Images"), "")</f>
        <v>Images</v>
      </c>
      <c r="O4301" s="695" t="s">
        <v>5247</v>
      </c>
      <c r="P4301" s="630"/>
      <c r="Q4301" s="631"/>
      <c r="R4301" s="632"/>
      <c r="S4301" s="633"/>
      <c r="T4301" s="102">
        <f t="shared" si="3178"/>
        <v>0</v>
      </c>
      <c r="U4301" s="78" t="str">
        <f>IF(NOT(ISNUMBER(G4301)), "", VLOOKUP(A4301,'Discount Lookup'!D:E,2,FALSE)*G4301)</f>
        <v/>
      </c>
      <c r="V4301" s="78" t="str">
        <f>IF(NOT(ISNUMBER(G4301)), "", VLOOKUP(A4301,'Discount Lookup'!G:H,2,FALSE)*G4301)</f>
        <v/>
      </c>
      <c r="W4301" s="102">
        <f t="shared" si="3179"/>
        <v>0</v>
      </c>
      <c r="X4301" s="102" t="str">
        <f t="shared" si="3180"/>
        <v>Creamy White bloom</v>
      </c>
      <c r="Y4301" s="120" t="b">
        <f t="shared" si="3181"/>
        <v>0</v>
      </c>
      <c r="Z4301" s="117">
        <f t="shared" si="3182"/>
        <v>0</v>
      </c>
      <c r="AA4301" s="118"/>
      <c r="AB4301" s="118" t="str">
        <f t="shared" si="3183"/>
        <v/>
      </c>
      <c r="AC4301" s="712" t="str">
        <f>IF(AE4301="T2G","no charge",IF(AND(OR(PlanterYesMe="No",PlanterYesMe="N",PlanterYesMe="me"),H4301=""),"",IF(H4301="credit","NO install",IF(AND(K4301="",AE4301="me"),"EACH row",IF(AND(K4301="images",AE4301="me"),"EACH row",IF(D4301="","",IF(H4301="credit","",IF(AE4301="free","re-planting",IF(AE4301="me","   not ELP, by",IF(AND(OR(PlanterYesMe="Yes",PlanterYesMe="Y"),G4301&gt;0),(VLOOKUP(A4301,'Discount Lookup'!J:K,2)*G4301*(1-PlanterDiscount)*(1+PlanterDifficultyPercentage)),IF(AE4301="ELP",(VLOOKUP(A4301,'Discount Lookup'!J:K,2)*G4301*(1-PlanterDiscount)*(1+PlanterDifficultyPercentage)),IF(AE4301="free","re-planting",IF(G4301=0,"",IF(PlanterYesMe="",IF(AE4301="me","   not ELP, by",IF(AE4301="",IF(G4301&gt;0,(VLOOKUP(A4301,'Discount Lookup'!J:K,2)*G4301*(1-PlanterDiscount)*(1+PlanterDifficultyPercentage)),""),"")),"   not ELP, by"))))))))))))))</f>
        <v/>
      </c>
      <c r="AD4301" s="712"/>
      <c r="AE4301" s="513" t="str">
        <f t="shared" si="3184"/>
        <v/>
      </c>
      <c r="AF4301" s="713" t="str">
        <f t="shared" si="3185"/>
        <v/>
      </c>
      <c r="AG4301" s="713"/>
      <c r="AH4301" s="713"/>
      <c r="AI4301" s="112">
        <f>IF(H4301="credit",0,IF(AE4301="free",0,IF(AE4301="me",0,IF(G4301&gt;0,(VLOOKUP(A4301,'Discount Lookup'!J:K,2)*G4301),0))))</f>
        <v>0</v>
      </c>
      <c r="AJ4301" s="107" t="str">
        <f t="shared" ca="1" si="3186"/>
        <v/>
      </c>
      <c r="AK4301" s="714" t="str">
        <f t="shared" si="3187"/>
        <v/>
      </c>
      <c r="AL4301" s="714"/>
      <c r="AM4301" s="114" t="str">
        <f t="shared" si="3188"/>
        <v/>
      </c>
      <c r="AN4301" s="115"/>
      <c r="AO4301" s="116"/>
      <c r="AP4301" s="116"/>
      <c r="AQ4301" s="116"/>
      <c r="AR4301" s="116"/>
      <c r="AS4301" s="116"/>
      <c r="AT4301" s="116"/>
      <c r="AU4301" s="116"/>
      <c r="AV4301" s="78"/>
      <c r="AW4301" s="102"/>
      <c r="AX4301" s="78"/>
      <c r="AY4301" s="78"/>
      <c r="AZ4301" s="78"/>
      <c r="BA4301" s="78"/>
      <c r="BB4301" s="78"/>
      <c r="BC4301" s="78"/>
      <c r="BD4301" s="78"/>
      <c r="BE4301" s="465"/>
      <c r="BF4301" s="165" t="str">
        <f t="shared" si="3189"/>
        <v>https://www.google.com/search?tbm=isch&amp;q=Viburnum%20dentatum%20%27Christom%27%20PP%2316889P3%20Blue%20Muffin%C2%AE%20Arrowwood%20Viburnum</v>
      </c>
      <c r="BG4301" s="165" t="str">
        <f t="shared" si="3190"/>
        <v>V</v>
      </c>
      <c r="BH4301" s="65"/>
      <c r="BI4301" s="65"/>
      <c r="BJ4301" s="65"/>
      <c r="BK4301" s="65"/>
      <c r="BL4301" s="99"/>
      <c r="BM4301" s="99"/>
      <c r="BN4301" s="99"/>
    </row>
    <row r="4302" spans="1:66" s="51" customFormat="1" ht="15.75" x14ac:dyDescent="0.25">
      <c r="A4302" s="634">
        <v>3</v>
      </c>
      <c r="B4302" s="635" t="s">
        <v>291</v>
      </c>
      <c r="C4302" s="636" t="s">
        <v>4457</v>
      </c>
      <c r="D4302" s="637" t="s">
        <v>329</v>
      </c>
      <c r="E4302" s="638">
        <v>38.950000000000003</v>
      </c>
      <c r="F4302" s="639" t="s">
        <v>292</v>
      </c>
      <c r="G4302" s="484">
        <v>0</v>
      </c>
      <c r="H4302" s="691" t="str">
        <f>IF(G4302=0,"",IF(F4302="Buy",IF(G4302=1,"plant","plants"),IF(F4302&gt;0.01,"warranty","Error")))</f>
        <v/>
      </c>
      <c r="I4302" s="640">
        <f>IF(H4302="free",0,IF(H4302="credit",((E4302*(F4302))*G4302*-1),IF(F4302="Buy",(E4302*G4302),((E4302*(1-F4302))*G4302))))</f>
        <v>0</v>
      </c>
      <c r="J4302" s="640">
        <f>IF(H4302="warranty",0,(I4302*(_xlfn.SINGLE(SalesTaxPercentage))))</f>
        <v>0</v>
      </c>
      <c r="K4302" s="716">
        <f t="shared" ref="K4302" si="3221">I4302+J4302</f>
        <v>0</v>
      </c>
      <c r="L4302" s="716"/>
      <c r="M4302" s="689" t="str">
        <f ca="1">IF(AND(G4302&gt;0,E4302=0),"WARNING - no PRICE inserted",IF(H4302="free","FREE ~ no charge this plant",IF(H4302="credit",CONCATENATE("-$",ROUND(K4302*(1-_xlfn.SINGLE(T2GDiscount))*-1,2)," CREDIT after discount"),IF(_xlfn.SINGLE(T2GDiscount)=0,"",IF(G4302=0,"",IF(F4302="Buy",CONCATENATE("$",ROUND(K4302*(1-_xlfn.SINGLE(T2GDiscount)),2)," with ",(_xlfn.SINGLE(T2GDiscount)*100),"% discount"),CONCATENATE("$",ROUND(K4302*(1-_xlfn.SINGLE(T2GDiscount)),2)," with ",((_xlfn.SINGLE(T2GDiscount)*100+F4302*100)-(_xlfn.SINGLE(T2GDiscount)*100*F4302)),IF(F4302&gt;0,"% discounts",IF(_xlfn.SINGLE(NoWarrantyDiscount)&gt;0,"% discounts","% discount")))))))))</f>
        <v/>
      </c>
      <c r="N4302" s="690"/>
      <c r="O4302" s="486"/>
      <c r="P4302" s="486"/>
      <c r="Q4302" s="486"/>
      <c r="R4302" s="486"/>
      <c r="S4302" s="486"/>
      <c r="T4302" s="102">
        <f t="shared" si="3178"/>
        <v>0</v>
      </c>
      <c r="U4302" s="78">
        <f>IF(NOT(ISNUMBER(G4302)), "", VLOOKUP(A4302,'Discount Lookup'!D:E,2,FALSE)*G4302)</f>
        <v>0</v>
      </c>
      <c r="V4302" s="78">
        <f>IF(NOT(ISNUMBER(G4302)), "", VLOOKUP(A4302,'Discount Lookup'!G:H,2,FALSE)*G4302)</f>
        <v>0</v>
      </c>
      <c r="W4302" s="102">
        <f t="shared" si="3179"/>
        <v>0</v>
      </c>
      <c r="X4302" s="102">
        <f t="shared" si="3180"/>
        <v>0</v>
      </c>
      <c r="Y4302" s="120" t="b">
        <f t="shared" si="3181"/>
        <v>0</v>
      </c>
      <c r="Z4302" s="117">
        <f t="shared" si="3182"/>
        <v>0</v>
      </c>
      <c r="AA4302" s="118"/>
      <c r="AB4302" s="118" t="str">
        <f t="shared" si="3183"/>
        <v/>
      </c>
      <c r="AC4302" s="712" t="str">
        <f>IF(AE4302="T2G","no charge",IF(AND(OR(PlanterYesMe="No",PlanterYesMe="N",PlanterYesMe="me"),H4302=""),"",IF(H4302="credit","NO install",IF(AND(K4302="",AE4302="me"),"EACH row",IF(AND(K4302="images",AE4302="me"),"EACH row",IF(D4302="","",IF(H4302="credit","",IF(AE4302="free","re-planting",IF(AE4302="me","   not ELP, by",IF(AND(OR(PlanterYesMe="Yes",PlanterYesMe="Y"),G4302&gt;0),(VLOOKUP(A4302,'Discount Lookup'!J:K,2)*G4302*(1-PlanterDiscount)*(1+PlanterDifficultyPercentage)),IF(AE4302="ELP",(VLOOKUP(A4302,'Discount Lookup'!J:K,2)*G4302*(1-PlanterDiscount)*(1+PlanterDifficultyPercentage)),IF(AE4302="free","re-planting",IF(G4302=0,"",IF(PlanterYesMe="",IF(AE4302="me","   not ELP, by",IF(AE4302="",IF(G4302&gt;0,(VLOOKUP(A4302,'Discount Lookup'!J:K,2)*G4302*(1-PlanterDiscount)*(1+PlanterDifficultyPercentage)),""),"")),"   not ELP, by"))))))))))))))</f>
        <v/>
      </c>
      <c r="AD4302" s="712"/>
      <c r="AE4302" s="513" t="str">
        <f t="shared" si="3184"/>
        <v/>
      </c>
      <c r="AF4302" s="713" t="str">
        <f t="shared" si="3185"/>
        <v/>
      </c>
      <c r="AG4302" s="713"/>
      <c r="AH4302" s="713"/>
      <c r="AI4302" s="112">
        <f>IF(H4302="credit",0,IF(AE4302="free",0,IF(AE4302="me",0,IF(G4302&gt;0,(VLOOKUP(A4302,'Discount Lookup'!J:K,2)*G4302),0))))</f>
        <v>0</v>
      </c>
      <c r="AJ4302" s="107" t="str">
        <f t="shared" ca="1" si="3186"/>
        <v/>
      </c>
      <c r="AK4302" s="714" t="str">
        <f t="shared" si="3187"/>
        <v/>
      </c>
      <c r="AL4302" s="714"/>
      <c r="AM4302" s="114" t="str">
        <f t="shared" si="3188"/>
        <v/>
      </c>
      <c r="AN4302" s="115"/>
      <c r="AO4302" s="116"/>
      <c r="AP4302" s="116"/>
      <c r="AQ4302" s="116"/>
      <c r="AR4302" s="116"/>
      <c r="AS4302" s="116"/>
      <c r="AT4302" s="116"/>
      <c r="AU4302" s="116"/>
      <c r="AV4302" s="78"/>
      <c r="AW4302" s="102"/>
      <c r="AX4302" s="78"/>
      <c r="AY4302" s="78"/>
      <c r="AZ4302" s="78"/>
      <c r="BA4302" s="78"/>
      <c r="BB4302" s="78"/>
      <c r="BC4302" s="78"/>
      <c r="BD4302" s="78"/>
      <c r="BE4302" s="465"/>
      <c r="BF4302" s="165" t="str">
        <f t="shared" si="3189"/>
        <v>https://www.google.com/search?tbm=isch&amp;q=3%20G2</v>
      </c>
      <c r="BG4302" s="165" t="str">
        <f t="shared" si="3190"/>
        <v>V</v>
      </c>
      <c r="BH4302" s="65"/>
      <c r="BI4302" s="65"/>
      <c r="BJ4302" s="65"/>
      <c r="BK4302" s="65"/>
      <c r="BL4302" s="99"/>
      <c r="BM4302" s="99"/>
      <c r="BN4302" s="99"/>
    </row>
    <row r="4303" spans="1:66" s="51" customFormat="1" ht="17.25" thickBot="1" x14ac:dyDescent="0.3">
      <c r="A4303" s="704" t="s">
        <v>5568</v>
      </c>
      <c r="B4303" s="642"/>
      <c r="C4303" s="710"/>
      <c r="D4303" s="643"/>
      <c r="E4303" s="643"/>
      <c r="F4303" s="644"/>
      <c r="G4303" s="645"/>
      <c r="H4303" s="646"/>
      <c r="I4303" s="647"/>
      <c r="J4303" s="648"/>
      <c r="K4303" s="649"/>
      <c r="L4303" s="650"/>
      <c r="M4303" s="650"/>
      <c r="N4303" s="644"/>
      <c r="O4303" s="644"/>
      <c r="P4303" s="644"/>
      <c r="Q4303" s="644"/>
      <c r="R4303" s="644"/>
      <c r="S4303" s="701" t="s">
        <v>5272</v>
      </c>
      <c r="T4303" s="102">
        <f t="shared" si="3178"/>
        <v>0</v>
      </c>
      <c r="U4303" s="78" t="str">
        <f>IF(NOT(ISNUMBER(G4303)), "", VLOOKUP(A4303,'Discount Lookup'!D:E,2,FALSE)*G4303)</f>
        <v/>
      </c>
      <c r="V4303" s="78" t="str">
        <f>IF(NOT(ISNUMBER(G4303)), "", VLOOKUP(A4303,'Discount Lookup'!G:H,2,FALSE)*G4303)</f>
        <v/>
      </c>
      <c r="W4303" s="102">
        <f t="shared" si="3179"/>
        <v>0</v>
      </c>
      <c r="X4303" s="102">
        <f t="shared" si="3180"/>
        <v>0</v>
      </c>
      <c r="Y4303" s="120" t="b">
        <f t="shared" si="3181"/>
        <v>0</v>
      </c>
      <c r="Z4303" s="117">
        <f t="shared" si="3182"/>
        <v>0</v>
      </c>
      <c r="AA4303" s="118"/>
      <c r="AB4303" s="118" t="str">
        <f t="shared" si="3183"/>
        <v/>
      </c>
      <c r="AC4303" s="712" t="str">
        <f>IF(AE4303="T2G","no charge",IF(AND(OR(PlanterYesMe="No",PlanterYesMe="N",PlanterYesMe="me"),H4303=""),"",IF(H4303="credit","NO install",IF(AND(K4303="",AE4303="me"),"EACH row",IF(AND(K4303="images",AE4303="me"),"EACH row",IF(D4303="","",IF(H4303="credit","",IF(AE4303="free","re-planting",IF(AE4303="me","   not ELP, by",IF(AND(OR(PlanterYesMe="Yes",PlanterYesMe="Y"),G4303&gt;0),(VLOOKUP(A4303,'Discount Lookup'!J:K,2)*G4303*(1-PlanterDiscount)*(1+PlanterDifficultyPercentage)),IF(AE4303="ELP",(VLOOKUP(A4303,'Discount Lookup'!J:K,2)*G4303*(1-PlanterDiscount)*(1+PlanterDifficultyPercentage)),IF(AE4303="free","re-planting",IF(G4303=0,"",IF(PlanterYesMe="",IF(AE4303="me","   not ELP, by",IF(AE4303="",IF(G4303&gt;0,(VLOOKUP(A4303,'Discount Lookup'!J:K,2)*G4303*(1-PlanterDiscount)*(1+PlanterDifficultyPercentage)),""),"")),"   not ELP, by"))))))))))))))</f>
        <v/>
      </c>
      <c r="AD4303" s="712"/>
      <c r="AE4303" s="513" t="str">
        <f t="shared" si="3184"/>
        <v/>
      </c>
      <c r="AF4303" s="713" t="str">
        <f t="shared" si="3185"/>
        <v/>
      </c>
      <c r="AG4303" s="713"/>
      <c r="AH4303" s="713"/>
      <c r="AI4303" s="112">
        <f>IF(H4303="credit",0,IF(AE4303="free",0,IF(AE4303="me",0,IF(G4303&gt;0,(VLOOKUP(A4303,'Discount Lookup'!J:K,2)*G4303),0))))</f>
        <v>0</v>
      </c>
      <c r="AJ4303" s="107" t="str">
        <f t="shared" ca="1" si="3186"/>
        <v/>
      </c>
      <c r="AK4303" s="714" t="str">
        <f t="shared" si="3187"/>
        <v/>
      </c>
      <c r="AL4303" s="714"/>
      <c r="AM4303" s="114" t="str">
        <f t="shared" si="3188"/>
        <v/>
      </c>
      <c r="AN4303" s="115"/>
      <c r="AO4303" s="116"/>
      <c r="AP4303" s="116"/>
      <c r="AQ4303" s="116"/>
      <c r="AR4303" s="116"/>
      <c r="AS4303" s="116"/>
      <c r="AT4303" s="116"/>
      <c r="AU4303" s="116"/>
      <c r="AV4303" s="78"/>
      <c r="AW4303" s="102"/>
      <c r="AX4303" s="78"/>
      <c r="AY4303" s="78"/>
      <c r="AZ4303" s="78"/>
      <c r="BA4303" s="78"/>
      <c r="BB4303" s="78"/>
      <c r="BC4303" s="78"/>
      <c r="BD4303" s="78"/>
      <c r="BE4303" s="465"/>
      <c r="BF4303" s="165" t="str">
        <f t="shared" si="3189"/>
        <v>https://www.google.com/search?tbm=isch&amp;q=moist%20sites%F0%9F%92%A7GOOD%2C%20Blue%20Muffin%20has%20vibrant%20Purple-Red%20foliage%2C%20turning%20Gold%20in%20fall.%20Intense%20Blue%20berries%2C%20if%20pollinated%20</v>
      </c>
      <c r="BG4303" s="165" t="str">
        <f t="shared" si="3190"/>
        <v>m</v>
      </c>
      <c r="BH4303" s="65"/>
      <c r="BI4303" s="65"/>
      <c r="BJ4303" s="65"/>
      <c r="BK4303" s="65"/>
      <c r="BL4303" s="99"/>
      <c r="BM4303" s="99"/>
      <c r="BN4303" s="99"/>
    </row>
    <row r="4304" spans="1:66" s="51" customFormat="1" ht="18" x14ac:dyDescent="0.25">
      <c r="A4304" s="623" t="s">
        <v>4458</v>
      </c>
      <c r="B4304" s="624"/>
      <c r="C4304" s="709"/>
      <c r="D4304" s="625" t="s">
        <v>4459</v>
      </c>
      <c r="E4304" s="626"/>
      <c r="F4304" s="626"/>
      <c r="G4304" s="626"/>
      <c r="H4304" s="622" t="s">
        <v>327</v>
      </c>
      <c r="I4304" s="627" t="s">
        <v>349</v>
      </c>
      <c r="J4304" s="628"/>
      <c r="K4304" s="628"/>
      <c r="L4304" s="629"/>
      <c r="M4304" s="700" t="s">
        <v>5249</v>
      </c>
      <c r="N4304" s="693" t="str">
        <f>IF(AND(ISTEXT($A4304), ISERROR($A4304+0)), HYPERLINK($BF4304, "Images"), "")</f>
        <v>Images</v>
      </c>
      <c r="O4304" s="695" t="s">
        <v>5247</v>
      </c>
      <c r="P4304" s="630"/>
      <c r="Q4304" s="631"/>
      <c r="R4304" s="632"/>
      <c r="S4304" s="633"/>
      <c r="T4304" s="102">
        <f t="shared" si="3178"/>
        <v>0</v>
      </c>
      <c r="U4304" s="78" t="str">
        <f>IF(NOT(ISNUMBER(G4304)), "", VLOOKUP(A4304,'Discount Lookup'!D:E,2,FALSE)*G4304)</f>
        <v/>
      </c>
      <c r="V4304" s="78" t="str">
        <f>IF(NOT(ISNUMBER(G4304)), "", VLOOKUP(A4304,'Discount Lookup'!G:H,2,FALSE)*G4304)</f>
        <v/>
      </c>
      <c r="W4304" s="102">
        <f t="shared" si="3179"/>
        <v>0</v>
      </c>
      <c r="X4304" s="102" t="str">
        <f t="shared" si="3180"/>
        <v>White bloom</v>
      </c>
      <c r="Y4304" s="120" t="b">
        <f t="shared" si="3181"/>
        <v>0</v>
      </c>
      <c r="Z4304" s="117">
        <f t="shared" si="3182"/>
        <v>0</v>
      </c>
      <c r="AA4304" s="118"/>
      <c r="AB4304" s="118" t="str">
        <f t="shared" si="3183"/>
        <v/>
      </c>
      <c r="AC4304" s="712" t="str">
        <f>IF(AE4304="T2G","no charge",IF(AND(OR(PlanterYesMe="No",PlanterYesMe="N",PlanterYesMe="me"),H4304=""),"",IF(H4304="credit","NO install",IF(AND(K4304="",AE4304="me"),"EACH row",IF(AND(K4304="images",AE4304="me"),"EACH row",IF(D4304="","",IF(H4304="credit","",IF(AE4304="free","re-planting",IF(AE4304="me","   not ELP, by",IF(AND(OR(PlanterYesMe="Yes",PlanterYesMe="Y"),G4304&gt;0),(VLOOKUP(A4304,'Discount Lookup'!J:K,2)*G4304*(1-PlanterDiscount)*(1+PlanterDifficultyPercentage)),IF(AE4304="ELP",(VLOOKUP(A4304,'Discount Lookup'!J:K,2)*G4304*(1-PlanterDiscount)*(1+PlanterDifficultyPercentage)),IF(AE4304="free","re-planting",IF(G4304=0,"",IF(PlanterYesMe="",IF(AE4304="me","   not ELP, by",IF(AE4304="",IF(G4304&gt;0,(VLOOKUP(A4304,'Discount Lookup'!J:K,2)*G4304*(1-PlanterDiscount)*(1+PlanterDifficultyPercentage)),""),"")),"   not ELP, by"))))))))))))))</f>
        <v/>
      </c>
      <c r="AD4304" s="712"/>
      <c r="AE4304" s="513" t="str">
        <f t="shared" si="3184"/>
        <v/>
      </c>
      <c r="AF4304" s="713" t="str">
        <f t="shared" si="3185"/>
        <v/>
      </c>
      <c r="AG4304" s="713"/>
      <c r="AH4304" s="713"/>
      <c r="AI4304" s="112">
        <f>IF(H4304="credit",0,IF(AE4304="free",0,IF(AE4304="me",0,IF(G4304&gt;0,(VLOOKUP(A4304,'Discount Lookup'!J:K,2)*G4304),0))))</f>
        <v>0</v>
      </c>
      <c r="AJ4304" s="107" t="str">
        <f t="shared" ca="1" si="3186"/>
        <v/>
      </c>
      <c r="AK4304" s="714" t="str">
        <f t="shared" si="3187"/>
        <v/>
      </c>
      <c r="AL4304" s="714"/>
      <c r="AM4304" s="114" t="str">
        <f t="shared" si="3188"/>
        <v/>
      </c>
      <c r="AN4304" s="115"/>
      <c r="AO4304" s="116"/>
      <c r="AP4304" s="116"/>
      <c r="AQ4304" s="116"/>
      <c r="AR4304" s="116"/>
      <c r="AS4304" s="116"/>
      <c r="AT4304" s="116"/>
      <c r="AU4304" s="116"/>
      <c r="AV4304" s="78"/>
      <c r="AW4304" s="102"/>
      <c r="AX4304" s="78"/>
      <c r="AY4304" s="78"/>
      <c r="AZ4304" s="78"/>
      <c r="BA4304" s="78"/>
      <c r="BB4304" s="78"/>
      <c r="BC4304" s="78"/>
      <c r="BD4304" s="78"/>
      <c r="BE4304" s="465"/>
      <c r="BF4304" s="165" t="str">
        <f t="shared" si="3189"/>
        <v>https://www.google.com/search?tbm=isch&amp;q=Viburnum%20macrocephalum%20Chinese%20Snowball%20Viburnum</v>
      </c>
      <c r="BG4304" s="165" t="str">
        <f t="shared" si="3190"/>
        <v>V</v>
      </c>
      <c r="BH4304" s="65"/>
      <c r="BI4304" s="65"/>
      <c r="BJ4304" s="65"/>
      <c r="BK4304" s="65"/>
      <c r="BL4304" s="99"/>
      <c r="BM4304" s="99"/>
      <c r="BN4304" s="99"/>
    </row>
    <row r="4305" spans="1:66" s="51" customFormat="1" ht="15.75" x14ac:dyDescent="0.25">
      <c r="A4305" s="634">
        <v>3</v>
      </c>
      <c r="B4305" s="635" t="s">
        <v>291</v>
      </c>
      <c r="C4305" s="636" t="s">
        <v>18</v>
      </c>
      <c r="D4305" s="637" t="s">
        <v>310</v>
      </c>
      <c r="E4305" s="638">
        <v>27.95</v>
      </c>
      <c r="F4305" s="639" t="s">
        <v>292</v>
      </c>
      <c r="G4305" s="484">
        <v>0</v>
      </c>
      <c r="H4305" s="691" t="str">
        <f t="shared" ref="H4305:H4313" si="3222">IF(G4305=0,"",IF(F4305="Buy",IF(G4305=1,"plant","plants"),IF(F4305&gt;0.01,"warranty","Error")))</f>
        <v/>
      </c>
      <c r="I4305" s="640">
        <f t="shared" ref="I4305:I4313" si="3223">IF(H4305="free",0,IF(H4305="credit",((E4305*(F4305))*G4305*-1),IF(F4305="Buy",(E4305*G4305),((E4305*(1-F4305))*G4305))))</f>
        <v>0</v>
      </c>
      <c r="J4305" s="640">
        <f t="shared" ref="J4305:J4313" si="3224">IF(H4305="warranty",0,(I4305*(_xlfn.SINGLE(SalesTaxPercentage))))</f>
        <v>0</v>
      </c>
      <c r="K4305" s="716">
        <f t="shared" ref="K4305" si="3225">I4305+J4305</f>
        <v>0</v>
      </c>
      <c r="L4305" s="716"/>
      <c r="M4305" s="689" t="str">
        <f t="shared" ref="M4305:M4313" ca="1" si="3226">IF(AND(G4305&gt;0,E4305=0),"WARNING - no PRICE inserted",IF(H4305="free","FREE ~ no charge this plant",IF(H4305="credit",CONCATENATE("-$",ROUND(K4305*(1-_xlfn.SINGLE(T2GDiscount))*-1,2)," CREDIT after discount"),IF(_xlfn.SINGLE(T2GDiscount)=0,"",IF(G4305=0,"",IF(F4305="Buy",CONCATENATE("$",ROUND(K4305*(1-_xlfn.SINGLE(T2GDiscount)),2)," with ",(_xlfn.SINGLE(T2GDiscount)*100),"% discount"),CONCATENATE("$",ROUND(K4305*(1-_xlfn.SINGLE(T2GDiscount)),2)," with ",((_xlfn.SINGLE(T2GDiscount)*100+F4305*100)-(_xlfn.SINGLE(T2GDiscount)*100*F4305)),IF(F4305&gt;0,"% discounts",IF(_xlfn.SINGLE(NoWarrantyDiscount)&gt;0,"% discounts","% discount")))))))))</f>
        <v/>
      </c>
      <c r="N4305" s="690"/>
      <c r="O4305" s="486"/>
      <c r="P4305" s="486"/>
      <c r="Q4305" s="486"/>
      <c r="R4305" s="486"/>
      <c r="S4305" s="486"/>
      <c r="T4305" s="102">
        <f t="shared" si="3178"/>
        <v>0</v>
      </c>
      <c r="U4305" s="78">
        <f>IF(NOT(ISNUMBER(G4305)), "", VLOOKUP(A4305,'Discount Lookup'!D:E,2,FALSE)*G4305)</f>
        <v>0</v>
      </c>
      <c r="V4305" s="78">
        <f>IF(NOT(ISNUMBER(G4305)), "", VLOOKUP(A4305,'Discount Lookup'!G:H,2,FALSE)*G4305)</f>
        <v>0</v>
      </c>
      <c r="W4305" s="102">
        <f t="shared" si="3179"/>
        <v>0</v>
      </c>
      <c r="X4305" s="102">
        <f t="shared" si="3180"/>
        <v>0</v>
      </c>
      <c r="Y4305" s="120" t="b">
        <f t="shared" si="3181"/>
        <v>0</v>
      </c>
      <c r="Z4305" s="117">
        <f t="shared" si="3182"/>
        <v>0</v>
      </c>
      <c r="AA4305" s="118"/>
      <c r="AB4305" s="118" t="str">
        <f t="shared" si="3183"/>
        <v/>
      </c>
      <c r="AC4305" s="712" t="str">
        <f>IF(AE4305="T2G","no charge",IF(AND(OR(PlanterYesMe="No",PlanterYesMe="N",PlanterYesMe="me"),H4305=""),"",IF(H4305="credit","NO install",IF(AND(K4305="",AE4305="me"),"EACH row",IF(AND(K4305="images",AE4305="me"),"EACH row",IF(D4305="","",IF(H4305="credit","",IF(AE4305="free","re-planting",IF(AE4305="me","   not ELP, by",IF(AND(OR(PlanterYesMe="Yes",PlanterYesMe="Y"),G4305&gt;0),(VLOOKUP(A4305,'Discount Lookup'!J:K,2)*G4305*(1-PlanterDiscount)*(1+PlanterDifficultyPercentage)),IF(AE4305="ELP",(VLOOKUP(A4305,'Discount Lookup'!J:K,2)*G4305*(1-PlanterDiscount)*(1+PlanterDifficultyPercentage)),IF(AE4305="free","re-planting",IF(G4305=0,"",IF(PlanterYesMe="",IF(AE4305="me","   not ELP, by",IF(AE4305="",IF(G4305&gt;0,(VLOOKUP(A4305,'Discount Lookup'!J:K,2)*G4305*(1-PlanterDiscount)*(1+PlanterDifficultyPercentage)),""),"")),"   not ELP, by"))))))))))))))</f>
        <v/>
      </c>
      <c r="AD4305" s="712"/>
      <c r="AE4305" s="513" t="str">
        <f t="shared" si="3184"/>
        <v/>
      </c>
      <c r="AF4305" s="713" t="str">
        <f t="shared" si="3185"/>
        <v/>
      </c>
      <c r="AG4305" s="713"/>
      <c r="AH4305" s="713"/>
      <c r="AI4305" s="112">
        <f>IF(H4305="credit",0,IF(AE4305="free",0,IF(AE4305="me",0,IF(G4305&gt;0,(VLOOKUP(A4305,'Discount Lookup'!J:K,2)*G4305),0))))</f>
        <v>0</v>
      </c>
      <c r="AJ4305" s="107" t="str">
        <f t="shared" ca="1" si="3186"/>
        <v/>
      </c>
      <c r="AK4305" s="714" t="str">
        <f t="shared" si="3187"/>
        <v/>
      </c>
      <c r="AL4305" s="714"/>
      <c r="AM4305" s="114" t="str">
        <f t="shared" si="3188"/>
        <v/>
      </c>
      <c r="AN4305" s="115"/>
      <c r="AO4305" s="116"/>
      <c r="AP4305" s="116"/>
      <c r="AQ4305" s="116"/>
      <c r="AR4305" s="116"/>
      <c r="AS4305" s="116"/>
      <c r="AT4305" s="116"/>
      <c r="AU4305" s="116"/>
      <c r="AV4305" s="78"/>
      <c r="AW4305" s="102"/>
      <c r="AX4305" s="78"/>
      <c r="AY4305" s="78"/>
      <c r="AZ4305" s="78"/>
      <c r="BA4305" s="78"/>
      <c r="BB4305" s="78"/>
      <c r="BC4305" s="78"/>
      <c r="BD4305" s="78"/>
      <c r="BE4305" s="465"/>
      <c r="BF4305" s="165" t="str">
        <f t="shared" si="3189"/>
        <v>https://www.google.com/search?tbm=isch&amp;q=3%20G1</v>
      </c>
      <c r="BG4305" s="165" t="str">
        <f t="shared" si="3190"/>
        <v>V</v>
      </c>
      <c r="BH4305" s="65"/>
      <c r="BI4305" s="65"/>
      <c r="BJ4305" s="65"/>
      <c r="BK4305" s="65"/>
      <c r="BL4305" s="99"/>
      <c r="BM4305" s="99"/>
      <c r="BN4305" s="99"/>
    </row>
    <row r="4306" spans="1:66" s="51" customFormat="1" ht="15.75" x14ac:dyDescent="0.25">
      <c r="A4306" s="634">
        <v>3</v>
      </c>
      <c r="B4306" s="635" t="s">
        <v>291</v>
      </c>
      <c r="C4306" s="636" t="s">
        <v>2865</v>
      </c>
      <c r="D4306" s="637" t="s">
        <v>329</v>
      </c>
      <c r="E4306" s="638">
        <v>29.95</v>
      </c>
      <c r="F4306" s="639" t="s">
        <v>292</v>
      </c>
      <c r="G4306" s="484">
        <v>0</v>
      </c>
      <c r="H4306" s="691" t="str">
        <f t="shared" si="3222"/>
        <v/>
      </c>
      <c r="I4306" s="640">
        <f t="shared" si="3223"/>
        <v>0</v>
      </c>
      <c r="J4306" s="640">
        <f t="shared" si="3224"/>
        <v>0</v>
      </c>
      <c r="K4306" s="716">
        <f t="shared" ref="K4306" si="3227">I4306+J4306</f>
        <v>0</v>
      </c>
      <c r="L4306" s="716"/>
      <c r="M4306" s="689" t="str">
        <f t="shared" ca="1" si="3226"/>
        <v/>
      </c>
      <c r="N4306" s="690"/>
      <c r="O4306" s="486"/>
      <c r="P4306" s="486"/>
      <c r="Q4306" s="486"/>
      <c r="R4306" s="486"/>
      <c r="S4306" s="486"/>
      <c r="T4306" s="102">
        <f t="shared" si="3178"/>
        <v>0</v>
      </c>
      <c r="U4306" s="78">
        <f>IF(NOT(ISNUMBER(G4306)), "", VLOOKUP(A4306,'Discount Lookup'!D:E,2,FALSE)*G4306)</f>
        <v>0</v>
      </c>
      <c r="V4306" s="78">
        <f>IF(NOT(ISNUMBER(G4306)), "", VLOOKUP(A4306,'Discount Lookup'!G:H,2,FALSE)*G4306)</f>
        <v>0</v>
      </c>
      <c r="W4306" s="102">
        <f t="shared" si="3179"/>
        <v>0</v>
      </c>
      <c r="X4306" s="102">
        <f t="shared" si="3180"/>
        <v>0</v>
      </c>
      <c r="Y4306" s="120" t="b">
        <f t="shared" si="3181"/>
        <v>0</v>
      </c>
      <c r="Z4306" s="117">
        <f t="shared" si="3182"/>
        <v>0</v>
      </c>
      <c r="AA4306" s="118"/>
      <c r="AB4306" s="118" t="str">
        <f t="shared" si="3183"/>
        <v/>
      </c>
      <c r="AC4306" s="712" t="str">
        <f>IF(AE4306="T2G","no charge",IF(AND(OR(PlanterYesMe="No",PlanterYesMe="N",PlanterYesMe="me"),H4306=""),"",IF(H4306="credit","NO install",IF(AND(K4306="",AE4306="me"),"EACH row",IF(AND(K4306="images",AE4306="me"),"EACH row",IF(D4306="","",IF(H4306="credit","",IF(AE4306="free","re-planting",IF(AE4306="me","   not ELP, by",IF(AND(OR(PlanterYesMe="Yes",PlanterYesMe="Y"),G4306&gt;0),(VLOOKUP(A4306,'Discount Lookup'!J:K,2)*G4306*(1-PlanterDiscount)*(1+PlanterDifficultyPercentage)),IF(AE4306="ELP",(VLOOKUP(A4306,'Discount Lookup'!J:K,2)*G4306*(1-PlanterDiscount)*(1+PlanterDifficultyPercentage)),IF(AE4306="free","re-planting",IF(G4306=0,"",IF(PlanterYesMe="",IF(AE4306="me","   not ELP, by",IF(AE4306="",IF(G4306&gt;0,(VLOOKUP(A4306,'Discount Lookup'!J:K,2)*G4306*(1-PlanterDiscount)*(1+PlanterDifficultyPercentage)),""),"")),"   not ELP, by"))))))))))))))</f>
        <v/>
      </c>
      <c r="AD4306" s="712"/>
      <c r="AE4306" s="513" t="str">
        <f t="shared" si="3184"/>
        <v/>
      </c>
      <c r="AF4306" s="713" t="str">
        <f t="shared" si="3185"/>
        <v/>
      </c>
      <c r="AG4306" s="713"/>
      <c r="AH4306" s="713"/>
      <c r="AI4306" s="112">
        <f>IF(H4306="credit",0,IF(AE4306="free",0,IF(AE4306="me",0,IF(G4306&gt;0,(VLOOKUP(A4306,'Discount Lookup'!J:K,2)*G4306),0))))</f>
        <v>0</v>
      </c>
      <c r="AJ4306" s="107" t="str">
        <f t="shared" ca="1" si="3186"/>
        <v/>
      </c>
      <c r="AK4306" s="714" t="str">
        <f t="shared" si="3187"/>
        <v/>
      </c>
      <c r="AL4306" s="714"/>
      <c r="AM4306" s="114" t="str">
        <f t="shared" si="3188"/>
        <v/>
      </c>
      <c r="AN4306" s="115"/>
      <c r="AO4306" s="116"/>
      <c r="AP4306" s="116"/>
      <c r="AQ4306" s="116"/>
      <c r="AR4306" s="116"/>
      <c r="AS4306" s="116"/>
      <c r="AT4306" s="116"/>
      <c r="AU4306" s="116"/>
      <c r="AV4306" s="78"/>
      <c r="AW4306" s="102"/>
      <c r="AX4306" s="78"/>
      <c r="AY4306" s="78"/>
      <c r="AZ4306" s="78"/>
      <c r="BA4306" s="78"/>
      <c r="BB4306" s="78"/>
      <c r="BC4306" s="78"/>
      <c r="BD4306" s="78"/>
      <c r="BE4306" s="465"/>
      <c r="BF4306" s="165" t="str">
        <f t="shared" si="3189"/>
        <v>https://www.google.com/search?tbm=isch&amp;q=3%20G2</v>
      </c>
      <c r="BG4306" s="165" t="str">
        <f t="shared" si="3190"/>
        <v>V</v>
      </c>
      <c r="BH4306" s="65"/>
      <c r="BI4306" s="65"/>
      <c r="BJ4306" s="65"/>
      <c r="BK4306" s="65"/>
      <c r="BL4306" s="99"/>
      <c r="BM4306" s="99"/>
      <c r="BN4306" s="99"/>
    </row>
    <row r="4307" spans="1:66" s="51" customFormat="1" ht="15.75" x14ac:dyDescent="0.25">
      <c r="A4307" s="634">
        <v>3</v>
      </c>
      <c r="B4307" s="635" t="s">
        <v>291</v>
      </c>
      <c r="C4307" s="636" t="s">
        <v>5239</v>
      </c>
      <c r="D4307" s="637" t="s">
        <v>299</v>
      </c>
      <c r="E4307" s="638">
        <v>35.950000000000003</v>
      </c>
      <c r="F4307" s="639" t="s">
        <v>292</v>
      </c>
      <c r="G4307" s="484">
        <v>0</v>
      </c>
      <c r="H4307" s="691" t="str">
        <f t="shared" si="3222"/>
        <v/>
      </c>
      <c r="I4307" s="640">
        <f t="shared" si="3223"/>
        <v>0</v>
      </c>
      <c r="J4307" s="640">
        <f t="shared" si="3224"/>
        <v>0</v>
      </c>
      <c r="K4307" s="716">
        <f t="shared" ref="K4307" si="3228">I4307+J4307</f>
        <v>0</v>
      </c>
      <c r="L4307" s="716"/>
      <c r="M4307" s="689" t="str">
        <f t="shared" ca="1" si="3226"/>
        <v/>
      </c>
      <c r="N4307" s="690"/>
      <c r="O4307" s="486"/>
      <c r="P4307" s="486"/>
      <c r="Q4307" s="486"/>
      <c r="R4307" s="486"/>
      <c r="S4307" s="486"/>
      <c r="T4307" s="102">
        <f t="shared" si="3178"/>
        <v>0</v>
      </c>
      <c r="U4307" s="78">
        <f>IF(NOT(ISNUMBER(G4307)), "", VLOOKUP(A4307,'Discount Lookup'!D:E,2,FALSE)*G4307)</f>
        <v>0</v>
      </c>
      <c r="V4307" s="78">
        <f>IF(NOT(ISNUMBER(G4307)), "", VLOOKUP(A4307,'Discount Lookup'!G:H,2,FALSE)*G4307)</f>
        <v>0</v>
      </c>
      <c r="W4307" s="102">
        <f t="shared" si="3179"/>
        <v>0</v>
      </c>
      <c r="X4307" s="102">
        <f t="shared" si="3180"/>
        <v>0</v>
      </c>
      <c r="Y4307" s="120" t="b">
        <f t="shared" si="3181"/>
        <v>0</v>
      </c>
      <c r="Z4307" s="117">
        <f t="shared" si="3182"/>
        <v>0</v>
      </c>
      <c r="AA4307" s="118"/>
      <c r="AB4307" s="118" t="str">
        <f t="shared" si="3183"/>
        <v/>
      </c>
      <c r="AC4307" s="712" t="str">
        <f>IF(AE4307="T2G","no charge",IF(AND(OR(PlanterYesMe="No",PlanterYesMe="N",PlanterYesMe="me"),H4307=""),"",IF(H4307="credit","NO install",IF(AND(K4307="",AE4307="me"),"EACH row",IF(AND(K4307="images",AE4307="me"),"EACH row",IF(D4307="","",IF(H4307="credit","",IF(AE4307="free","re-planting",IF(AE4307="me","   not ELP, by",IF(AND(OR(PlanterYesMe="Yes",PlanterYesMe="Y"),G4307&gt;0),(VLOOKUP(A4307,'Discount Lookup'!J:K,2)*G4307*(1-PlanterDiscount)*(1+PlanterDifficultyPercentage)),IF(AE4307="ELP",(VLOOKUP(A4307,'Discount Lookup'!J:K,2)*G4307*(1-PlanterDiscount)*(1+PlanterDifficultyPercentage)),IF(AE4307="free","re-planting",IF(G4307=0,"",IF(PlanterYesMe="",IF(AE4307="me","   not ELP, by",IF(AE4307="",IF(G4307&gt;0,(VLOOKUP(A4307,'Discount Lookup'!J:K,2)*G4307*(1-PlanterDiscount)*(1+PlanterDifficultyPercentage)),""),"")),"   not ELP, by"))))))))))))))</f>
        <v/>
      </c>
      <c r="AD4307" s="712"/>
      <c r="AE4307" s="513" t="str">
        <f t="shared" si="3184"/>
        <v/>
      </c>
      <c r="AF4307" s="713" t="str">
        <f t="shared" si="3185"/>
        <v/>
      </c>
      <c r="AG4307" s="713"/>
      <c r="AH4307" s="713"/>
      <c r="AI4307" s="112">
        <f>IF(H4307="credit",0,IF(AE4307="free",0,IF(AE4307="me",0,IF(G4307&gt;0,(VLOOKUP(A4307,'Discount Lookup'!J:K,2)*G4307),0))))</f>
        <v>0</v>
      </c>
      <c r="AJ4307" s="107" t="str">
        <f t="shared" ca="1" si="3186"/>
        <v/>
      </c>
      <c r="AK4307" s="714" t="str">
        <f t="shared" si="3187"/>
        <v/>
      </c>
      <c r="AL4307" s="714"/>
      <c r="AM4307" s="114" t="str">
        <f t="shared" si="3188"/>
        <v/>
      </c>
      <c r="AN4307" s="115"/>
      <c r="AO4307" s="116"/>
      <c r="AP4307" s="116"/>
      <c r="AQ4307" s="116"/>
      <c r="AR4307" s="116"/>
      <c r="AS4307" s="116"/>
      <c r="AT4307" s="116"/>
      <c r="AU4307" s="116"/>
      <c r="AV4307" s="78"/>
      <c r="AW4307" s="102"/>
      <c r="AX4307" s="78"/>
      <c r="AY4307" s="78"/>
      <c r="AZ4307" s="78"/>
      <c r="BA4307" s="78"/>
      <c r="BB4307" s="78"/>
      <c r="BC4307" s="78"/>
      <c r="BD4307" s="78"/>
      <c r="BE4307" s="465"/>
      <c r="BF4307" s="165" t="str">
        <f t="shared" si="3189"/>
        <v>https://www.google.com/search?tbm=isch&amp;q=3%20G4</v>
      </c>
      <c r="BG4307" s="165" t="str">
        <f t="shared" si="3190"/>
        <v>V</v>
      </c>
      <c r="BH4307" s="65"/>
      <c r="BI4307" s="65"/>
      <c r="BJ4307" s="65"/>
      <c r="BK4307" s="65"/>
      <c r="BL4307" s="99"/>
      <c r="BM4307" s="99"/>
      <c r="BN4307" s="99"/>
    </row>
    <row r="4308" spans="1:66" s="51" customFormat="1" ht="27" x14ac:dyDescent="0.25">
      <c r="A4308" s="634">
        <v>3</v>
      </c>
      <c r="B4308" s="635" t="s">
        <v>291</v>
      </c>
      <c r="C4308" s="636" t="s">
        <v>4460</v>
      </c>
      <c r="D4308" s="637" t="s">
        <v>311</v>
      </c>
      <c r="E4308" s="638">
        <v>35.950000000000003</v>
      </c>
      <c r="F4308" s="639" t="s">
        <v>292</v>
      </c>
      <c r="G4308" s="484">
        <v>0</v>
      </c>
      <c r="H4308" s="691" t="str">
        <f t="shared" si="3222"/>
        <v/>
      </c>
      <c r="I4308" s="640">
        <f t="shared" si="3223"/>
        <v>0</v>
      </c>
      <c r="J4308" s="640">
        <f t="shared" si="3224"/>
        <v>0</v>
      </c>
      <c r="K4308" s="716">
        <f t="shared" ref="K4308" si="3229">I4308+J4308</f>
        <v>0</v>
      </c>
      <c r="L4308" s="716"/>
      <c r="M4308" s="689" t="str">
        <f t="shared" ca="1" si="3226"/>
        <v/>
      </c>
      <c r="N4308" s="690"/>
      <c r="O4308" s="486"/>
      <c r="P4308" s="486"/>
      <c r="Q4308" s="486"/>
      <c r="R4308" s="486"/>
      <c r="S4308" s="486"/>
      <c r="T4308" s="102">
        <f t="shared" ref="T4308:T4371" si="3230">E4308*G4308</f>
        <v>0</v>
      </c>
      <c r="U4308" s="78">
        <f>IF(NOT(ISNUMBER(G4308)), "", VLOOKUP(A4308,'Discount Lookup'!D:E,2,FALSE)*G4308)</f>
        <v>0</v>
      </c>
      <c r="V4308" s="78">
        <f>IF(NOT(ISNUMBER(G4308)), "", VLOOKUP(A4308,'Discount Lookup'!G:H,2,FALSE)*G4308)</f>
        <v>0</v>
      </c>
      <c r="W4308" s="102">
        <f t="shared" ref="W4308:W4371" si="3231">IF(H4308="credit",0,E4308*(SalesTaxPercentage)*G4308)</f>
        <v>0</v>
      </c>
      <c r="X4308" s="102">
        <f t="shared" ref="X4308:X4371" si="3232">I4308</f>
        <v>0</v>
      </c>
      <c r="Y4308" s="120" t="b">
        <f t="shared" ref="Y4308:Y4371" si="3233">IF(AE4308="T2G",0,IF(H4308="credit",0,IF(G4308&gt;0,IF(AE4308="me","",G4308))))</f>
        <v>0</v>
      </c>
      <c r="Z4308" s="117">
        <f t="shared" ref="Z4308:Z4371" si="3234">IF(H4308="credit",G4308,0)</f>
        <v>0</v>
      </c>
      <c r="AA4308" s="118"/>
      <c r="AB4308" s="118" t="str">
        <f t="shared" ref="AB4308:AB4371" si="3235">IF(AE4308="T2G","by Trees2Go",IF(H4308="credit","CREDIT only ~",IF(AND(K4308="",AE4308=OR(PlanterYesMe="No",PlanterYesMe="N",PlanterYesMe="me")),"not THIS line⇨",IF(AND(K4308="images",AE4308="me"),"not THIS line⇨",IF(H4308="credit","",IF(G4308=0,"",IF(AE4308="me","",IF(OR(PlanterYesMe="No",PlanterYesMe="N",PlanterYesMe="me"),"",IF(AE4308="free","warranty",IF(OR(PlanterYesMe="yes",PlanterYesMe="y"),"Edison install:","to install:"))))))))))</f>
        <v/>
      </c>
      <c r="AC4308" s="712" t="str">
        <f>IF(AE4308="T2G","no charge",IF(AND(OR(PlanterYesMe="No",PlanterYesMe="N",PlanterYesMe="me"),H4308=""),"",IF(H4308="credit","NO install",IF(AND(K4308="",AE4308="me"),"EACH row",IF(AND(K4308="images",AE4308="me"),"EACH row",IF(D4308="","",IF(H4308="credit","",IF(AE4308="free","re-planting",IF(AE4308="me","   not ELP, by",IF(AND(OR(PlanterYesMe="Yes",PlanterYesMe="Y"),G4308&gt;0),(VLOOKUP(A4308,'Discount Lookup'!J:K,2)*G4308*(1-PlanterDiscount)*(1+PlanterDifficultyPercentage)),IF(AE4308="ELP",(VLOOKUP(A4308,'Discount Lookup'!J:K,2)*G4308*(1-PlanterDiscount)*(1+PlanterDifficultyPercentage)),IF(AE4308="free","re-planting",IF(G4308=0,"",IF(PlanterYesMe="",IF(AE4308="me","   not ELP, by",IF(AE4308="",IF(G4308&gt;0,(VLOOKUP(A4308,'Discount Lookup'!J:K,2)*G4308*(1-PlanterDiscount)*(1+PlanterDifficultyPercentage)),""),"")),"   not ELP, by"))))))))))))))</f>
        <v/>
      </c>
      <c r="AD4308" s="712"/>
      <c r="AE4308" s="513" t="str">
        <f t="shared" ref="AE4308:AE4371" si="3236">IF(H4308="credit","",IF(G4308=0,"",IF(OR(PlanterYesMe="No",PlanterYesMe="N",PlanterYesMe="me"),"me",IF(H4308="warranty","free",IF(OR(PlanterYesMe="yes",PlanterYesMe="y"),"ELP","")))))</f>
        <v/>
      </c>
      <c r="AF4308" s="713" t="str">
        <f t="shared" ref="AF4308:AF4371" si="3237">IF(OR(PlanterYesMe="No",PlanterYesMe="N",PlanterYesMe="me"),"",IF(H4308="credit","",IF(G4308&gt;0,(CONCATENATE((G4308)," quantity, ",(A4308)," ",B4308)),"")))</f>
        <v/>
      </c>
      <c r="AG4308" s="713"/>
      <c r="AH4308" s="713"/>
      <c r="AI4308" s="112">
        <f>IF(H4308="credit",0,IF(AE4308="free",0,IF(AE4308="me",0,IF(G4308&gt;0,(VLOOKUP(A4308,'Discount Lookup'!J:K,2)*G4308),0))))</f>
        <v>0</v>
      </c>
      <c r="AJ4308" s="107" t="str">
        <f t="shared" ref="AJ4308:AJ4371" ca="1" si="3238">IF(AND(ISREF(H4308),H4308="credit"),"",IF(AND(AND(OFFSET(G4308,0,0)=0,OFFSET(G4308,1,0)&gt;0,ISNUMBER(OFFSET(AC4308,1,0)),OFFSET(AC4308,1,0)&gt;0),OR(PlanterYesMe="yes",PlanterYesMe="y")),"T2G+ELP=",IF(AND(OFFSET(G4308,0,0)=0,OFFSET(G4308,1,0)&gt;0,ISNUMBER(OFFSET(AC4308,1,0)),OFFSET(AC4308,1,0)&gt;0),"if T2G+ELP=",IF(AND(OFFSET(G4308,0,0)=0,OFFSET(G4308,1,0)&gt;0),"T2G Subtotal",IF(H4308="credit","",IF(G4308=0,"",IF(AE4308="free",(K4308*(1-T2GDiscount)),IF(OR(PlanterYesMe="No",PlanterYesMe="N",PlanterYesMe="me"),(K4308*(1-T2GDiscount)),IF(OR(AE4308="me",AE4308="T2G"),(K4308*(1-T2GDiscount)),(K4308*(1-T2GDiscount))+AC4308)))))))))</f>
        <v/>
      </c>
      <c r="AK4308" s="714" t="str">
        <f t="shared" ref="AK4308:AK4371" si="3239">IF(H4308="credit","",IF(G4308=0,"",IF(OR(AE4308="me",AE4308="T2G"),"  delivery-only",IF(OR(PlanterYesMe="No",PlanterYesMe="N",PlanterYesMe="me"),"  delivery-only",CONCATENATE(" $",ROUND(AJ4308/G4308,2)," each")))))</f>
        <v/>
      </c>
      <c r="AL4308" s="714"/>
      <c r="AM4308" s="114" t="str">
        <f t="shared" ref="AM4308:AM4371" si="3240">IF(H4308="credit","",IF(AE4308="free","      ~ discounts included, no tax or planting fee applies ~",IF(G4308=0,"",IF(OR(PlanterYesMe="No",PlanterYesMe="N",PlanterYesMe="me"),CONCATENATE(" $",ROUND(AJ4308/G4308,2)," per plant, with tax &amp; discount"),IF(OR(AE4308="me",AE4308="T2G"),CONCATENATE(" $",ROUND(AJ4308/G4308,2)," per plant, with tax &amp; discount"),CONCATENATE("= $",ROUND((K4308*(1-T2GDiscount))/G4308,2)," per plant + $",AC4308/G4308,(" per planting      ~ includes tax &amp; discounts ~")))))))</f>
        <v/>
      </c>
      <c r="AN4308" s="115"/>
      <c r="AO4308" s="116"/>
      <c r="AP4308" s="116"/>
      <c r="AQ4308" s="116"/>
      <c r="AR4308" s="116"/>
      <c r="AS4308" s="116"/>
      <c r="AT4308" s="116"/>
      <c r="AU4308" s="116"/>
      <c r="AV4308" s="78"/>
      <c r="AW4308" s="102"/>
      <c r="AX4308" s="78"/>
      <c r="AY4308" s="78"/>
      <c r="AZ4308" s="78"/>
      <c r="BA4308" s="78"/>
      <c r="BB4308" s="78"/>
      <c r="BC4308" s="78"/>
      <c r="BD4308" s="78"/>
      <c r="BE4308" s="465"/>
      <c r="BF4308" s="165" t="str">
        <f t="shared" ref="BF4308:BF4371" si="3241">"https://www.google.com/search?tbm=isch&amp;q=" &amp; _xlfn.ENCODEURL($A4308 &amp; " " &amp; $D4308)</f>
        <v>https://www.google.com/search?tbm=isch&amp;q=3%20G5</v>
      </c>
      <c r="BG4308" s="165" t="str">
        <f t="shared" ref="BG4308:BG4371" si="3242">IF(ISTEXT(A4308),LEFT(A4308,1),BG4307)</f>
        <v>V</v>
      </c>
      <c r="BH4308" s="65"/>
      <c r="BI4308" s="65"/>
      <c r="BJ4308" s="65"/>
      <c r="BK4308" s="65"/>
      <c r="BL4308" s="99"/>
      <c r="BM4308" s="99"/>
      <c r="BN4308" s="99"/>
    </row>
    <row r="4309" spans="1:66" s="51" customFormat="1" ht="15.75" x14ac:dyDescent="0.25">
      <c r="A4309" s="634">
        <v>7</v>
      </c>
      <c r="B4309" s="635" t="s">
        <v>291</v>
      </c>
      <c r="C4309" s="636" t="s">
        <v>4461</v>
      </c>
      <c r="D4309" s="637" t="s">
        <v>311</v>
      </c>
      <c r="E4309" s="638">
        <v>79.95</v>
      </c>
      <c r="F4309" s="639" t="s">
        <v>292</v>
      </c>
      <c r="G4309" s="484">
        <v>0</v>
      </c>
      <c r="H4309" s="691" t="str">
        <f t="shared" si="3222"/>
        <v/>
      </c>
      <c r="I4309" s="640">
        <f t="shared" si="3223"/>
        <v>0</v>
      </c>
      <c r="J4309" s="640">
        <f t="shared" si="3224"/>
        <v>0</v>
      </c>
      <c r="K4309" s="716">
        <f t="shared" ref="K4309" si="3243">I4309+J4309</f>
        <v>0</v>
      </c>
      <c r="L4309" s="716"/>
      <c r="M4309" s="689" t="str">
        <f t="shared" ca="1" si="3226"/>
        <v/>
      </c>
      <c r="N4309" s="690"/>
      <c r="O4309" s="486"/>
      <c r="P4309" s="486"/>
      <c r="Q4309" s="486"/>
      <c r="R4309" s="486"/>
      <c r="S4309" s="486"/>
      <c r="T4309" s="102">
        <f t="shared" si="3230"/>
        <v>0</v>
      </c>
      <c r="U4309" s="78">
        <f>IF(NOT(ISNUMBER(G4309)), "", VLOOKUP(A4309,'Discount Lookup'!D:E,2,FALSE)*G4309)</f>
        <v>0</v>
      </c>
      <c r="V4309" s="78">
        <f>IF(NOT(ISNUMBER(G4309)), "", VLOOKUP(A4309,'Discount Lookup'!G:H,2,FALSE)*G4309)</f>
        <v>0</v>
      </c>
      <c r="W4309" s="102">
        <f t="shared" si="3231"/>
        <v>0</v>
      </c>
      <c r="X4309" s="102">
        <f t="shared" si="3232"/>
        <v>0</v>
      </c>
      <c r="Y4309" s="120" t="b">
        <f t="shared" si="3233"/>
        <v>0</v>
      </c>
      <c r="Z4309" s="117">
        <f t="shared" si="3234"/>
        <v>0</v>
      </c>
      <c r="AA4309" s="118"/>
      <c r="AB4309" s="118" t="str">
        <f t="shared" si="3235"/>
        <v/>
      </c>
      <c r="AC4309" s="712" t="str">
        <f>IF(AE4309="T2G","no charge",IF(AND(OR(PlanterYesMe="No",PlanterYesMe="N",PlanterYesMe="me"),H4309=""),"",IF(H4309="credit","NO install",IF(AND(K4309="",AE4309="me"),"EACH row",IF(AND(K4309="images",AE4309="me"),"EACH row",IF(D4309="","",IF(H4309="credit","",IF(AE4309="free","re-planting",IF(AE4309="me","   not ELP, by",IF(AND(OR(PlanterYesMe="Yes",PlanterYesMe="Y"),G4309&gt;0),(VLOOKUP(A4309,'Discount Lookup'!J:K,2)*G4309*(1-PlanterDiscount)*(1+PlanterDifficultyPercentage)),IF(AE4309="ELP",(VLOOKUP(A4309,'Discount Lookup'!J:K,2)*G4309*(1-PlanterDiscount)*(1+PlanterDifficultyPercentage)),IF(AE4309="free","re-planting",IF(G4309=0,"",IF(PlanterYesMe="",IF(AE4309="me","   not ELP, by",IF(AE4309="",IF(G4309&gt;0,(VLOOKUP(A4309,'Discount Lookup'!J:K,2)*G4309*(1-PlanterDiscount)*(1+PlanterDifficultyPercentage)),""),"")),"   not ELP, by"))))))))))))))</f>
        <v/>
      </c>
      <c r="AD4309" s="712"/>
      <c r="AE4309" s="513" t="str">
        <f t="shared" si="3236"/>
        <v/>
      </c>
      <c r="AF4309" s="713" t="str">
        <f t="shared" si="3237"/>
        <v/>
      </c>
      <c r="AG4309" s="713"/>
      <c r="AH4309" s="713"/>
      <c r="AI4309" s="112">
        <f>IF(H4309="credit",0,IF(AE4309="free",0,IF(AE4309="me",0,IF(G4309&gt;0,(VLOOKUP(A4309,'Discount Lookup'!J:K,2)*G4309),0))))</f>
        <v>0</v>
      </c>
      <c r="AJ4309" s="107" t="str">
        <f t="shared" ca="1" si="3238"/>
        <v/>
      </c>
      <c r="AK4309" s="714" t="str">
        <f t="shared" si="3239"/>
        <v/>
      </c>
      <c r="AL4309" s="714"/>
      <c r="AM4309" s="114" t="str">
        <f t="shared" si="3240"/>
        <v/>
      </c>
      <c r="AN4309" s="115"/>
      <c r="AO4309" s="116"/>
      <c r="AP4309" s="116"/>
      <c r="AQ4309" s="116"/>
      <c r="AR4309" s="116"/>
      <c r="AS4309" s="116"/>
      <c r="AT4309" s="116"/>
      <c r="AU4309" s="116"/>
      <c r="AV4309" s="78"/>
      <c r="AW4309" s="102"/>
      <c r="AX4309" s="78"/>
      <c r="AY4309" s="78"/>
      <c r="AZ4309" s="78"/>
      <c r="BA4309" s="78"/>
      <c r="BB4309" s="78"/>
      <c r="BC4309" s="78"/>
      <c r="BD4309" s="78"/>
      <c r="BE4309" s="465"/>
      <c r="BF4309" s="165" t="str">
        <f t="shared" si="3241"/>
        <v>https://www.google.com/search?tbm=isch&amp;q=7%20G5</v>
      </c>
      <c r="BG4309" s="165" t="str">
        <f t="shared" si="3242"/>
        <v>V</v>
      </c>
      <c r="BH4309" s="65"/>
      <c r="BI4309" s="65"/>
      <c r="BJ4309" s="65"/>
      <c r="BK4309" s="65"/>
      <c r="BL4309" s="99"/>
      <c r="BM4309" s="99"/>
      <c r="BN4309" s="99"/>
    </row>
    <row r="4310" spans="1:66" s="51" customFormat="1" ht="27" x14ac:dyDescent="0.25">
      <c r="A4310" s="634">
        <v>7</v>
      </c>
      <c r="B4310" s="635" t="s">
        <v>291</v>
      </c>
      <c r="C4310" s="636" t="s">
        <v>4462</v>
      </c>
      <c r="D4310" s="637" t="s">
        <v>299</v>
      </c>
      <c r="E4310" s="638">
        <v>86.95</v>
      </c>
      <c r="F4310" s="639" t="s">
        <v>292</v>
      </c>
      <c r="G4310" s="484">
        <v>0</v>
      </c>
      <c r="H4310" s="691" t="str">
        <f t="shared" si="3222"/>
        <v/>
      </c>
      <c r="I4310" s="640">
        <f t="shared" si="3223"/>
        <v>0</v>
      </c>
      <c r="J4310" s="640">
        <f t="shared" si="3224"/>
        <v>0</v>
      </c>
      <c r="K4310" s="716">
        <f t="shared" ref="K4310" si="3244">I4310+J4310</f>
        <v>0</v>
      </c>
      <c r="L4310" s="716"/>
      <c r="M4310" s="689" t="str">
        <f t="shared" ca="1" si="3226"/>
        <v/>
      </c>
      <c r="N4310" s="690"/>
      <c r="O4310" s="486"/>
      <c r="P4310" s="486"/>
      <c r="Q4310" s="486"/>
      <c r="R4310" s="486"/>
      <c r="S4310" s="486"/>
      <c r="T4310" s="102">
        <f t="shared" si="3230"/>
        <v>0</v>
      </c>
      <c r="U4310" s="78">
        <f>IF(NOT(ISNUMBER(G4310)), "", VLOOKUP(A4310,'Discount Lookup'!D:E,2,FALSE)*G4310)</f>
        <v>0</v>
      </c>
      <c r="V4310" s="78">
        <f>IF(NOT(ISNUMBER(G4310)), "", VLOOKUP(A4310,'Discount Lookup'!G:H,2,FALSE)*G4310)</f>
        <v>0</v>
      </c>
      <c r="W4310" s="102">
        <f t="shared" si="3231"/>
        <v>0</v>
      </c>
      <c r="X4310" s="102">
        <f t="shared" si="3232"/>
        <v>0</v>
      </c>
      <c r="Y4310" s="120" t="b">
        <f t="shared" si="3233"/>
        <v>0</v>
      </c>
      <c r="Z4310" s="117">
        <f t="shared" si="3234"/>
        <v>0</v>
      </c>
      <c r="AA4310" s="118"/>
      <c r="AB4310" s="118" t="str">
        <f t="shared" si="3235"/>
        <v/>
      </c>
      <c r="AC4310" s="712" t="str">
        <f>IF(AE4310="T2G","no charge",IF(AND(OR(PlanterYesMe="No",PlanterYesMe="N",PlanterYesMe="me"),H4310=""),"",IF(H4310="credit","NO install",IF(AND(K4310="",AE4310="me"),"EACH row",IF(AND(K4310="images",AE4310="me"),"EACH row",IF(D4310="","",IF(H4310="credit","",IF(AE4310="free","re-planting",IF(AE4310="me","   not ELP, by",IF(AND(OR(PlanterYesMe="Yes",PlanterYesMe="Y"),G4310&gt;0),(VLOOKUP(A4310,'Discount Lookup'!J:K,2)*G4310*(1-PlanterDiscount)*(1+PlanterDifficultyPercentage)),IF(AE4310="ELP",(VLOOKUP(A4310,'Discount Lookup'!J:K,2)*G4310*(1-PlanterDiscount)*(1+PlanterDifficultyPercentage)),IF(AE4310="free","re-planting",IF(G4310=0,"",IF(PlanterYesMe="",IF(AE4310="me","   not ELP, by",IF(AE4310="",IF(G4310&gt;0,(VLOOKUP(A4310,'Discount Lookup'!J:K,2)*G4310*(1-PlanterDiscount)*(1+PlanterDifficultyPercentage)),""),"")),"   not ELP, by"))))))))))))))</f>
        <v/>
      </c>
      <c r="AD4310" s="712"/>
      <c r="AE4310" s="513" t="str">
        <f t="shared" si="3236"/>
        <v/>
      </c>
      <c r="AF4310" s="713" t="str">
        <f t="shared" si="3237"/>
        <v/>
      </c>
      <c r="AG4310" s="713"/>
      <c r="AH4310" s="713"/>
      <c r="AI4310" s="112">
        <f>IF(H4310="credit",0,IF(AE4310="free",0,IF(AE4310="me",0,IF(G4310&gt;0,(VLOOKUP(A4310,'Discount Lookup'!J:K,2)*G4310),0))))</f>
        <v>0</v>
      </c>
      <c r="AJ4310" s="107" t="str">
        <f t="shared" ca="1" si="3238"/>
        <v/>
      </c>
      <c r="AK4310" s="714" t="str">
        <f t="shared" si="3239"/>
        <v/>
      </c>
      <c r="AL4310" s="714"/>
      <c r="AM4310" s="114" t="str">
        <f t="shared" si="3240"/>
        <v/>
      </c>
      <c r="AN4310" s="115"/>
      <c r="AO4310" s="116"/>
      <c r="AP4310" s="116"/>
      <c r="AQ4310" s="116"/>
      <c r="AR4310" s="116"/>
      <c r="AS4310" s="116"/>
      <c r="AT4310" s="116"/>
      <c r="AU4310" s="116"/>
      <c r="AV4310" s="78"/>
      <c r="AW4310" s="102"/>
      <c r="AX4310" s="78"/>
      <c r="AY4310" s="78"/>
      <c r="AZ4310" s="78"/>
      <c r="BA4310" s="78"/>
      <c r="BB4310" s="78"/>
      <c r="BC4310" s="78"/>
      <c r="BD4310" s="78"/>
      <c r="BE4310" s="465"/>
      <c r="BF4310" s="165" t="str">
        <f t="shared" si="3241"/>
        <v>https://www.google.com/search?tbm=isch&amp;q=7%20G4</v>
      </c>
      <c r="BG4310" s="165" t="str">
        <f t="shared" si="3242"/>
        <v>V</v>
      </c>
      <c r="BH4310" s="65"/>
      <c r="BI4310" s="65"/>
      <c r="BJ4310" s="65"/>
      <c r="BK4310" s="65"/>
      <c r="BL4310" s="99"/>
      <c r="BM4310" s="99"/>
      <c r="BN4310" s="99"/>
    </row>
    <row r="4311" spans="1:66" s="51" customFormat="1" ht="27" x14ac:dyDescent="0.25">
      <c r="A4311" s="634">
        <v>7</v>
      </c>
      <c r="B4311" s="635" t="s">
        <v>291</v>
      </c>
      <c r="C4311" s="636" t="s">
        <v>4463</v>
      </c>
      <c r="D4311" s="637" t="s">
        <v>299</v>
      </c>
      <c r="E4311" s="638">
        <v>118.95</v>
      </c>
      <c r="F4311" s="639" t="s">
        <v>292</v>
      </c>
      <c r="G4311" s="484">
        <v>0</v>
      </c>
      <c r="H4311" s="691" t="str">
        <f t="shared" si="3222"/>
        <v/>
      </c>
      <c r="I4311" s="640">
        <f t="shared" si="3223"/>
        <v>0</v>
      </c>
      <c r="J4311" s="640">
        <f t="shared" si="3224"/>
        <v>0</v>
      </c>
      <c r="K4311" s="716">
        <f t="shared" ref="K4311" si="3245">I4311+J4311</f>
        <v>0</v>
      </c>
      <c r="L4311" s="716"/>
      <c r="M4311" s="689" t="str">
        <f t="shared" ca="1" si="3226"/>
        <v/>
      </c>
      <c r="N4311" s="690"/>
      <c r="O4311" s="486"/>
      <c r="P4311" s="486"/>
      <c r="Q4311" s="486"/>
      <c r="R4311" s="486"/>
      <c r="S4311" s="486"/>
      <c r="T4311" s="102">
        <f t="shared" si="3230"/>
        <v>0</v>
      </c>
      <c r="U4311" s="78">
        <f>IF(NOT(ISNUMBER(G4311)), "", VLOOKUP(A4311,'Discount Lookup'!D:E,2,FALSE)*G4311)</f>
        <v>0</v>
      </c>
      <c r="V4311" s="78">
        <f>IF(NOT(ISNUMBER(G4311)), "", VLOOKUP(A4311,'Discount Lookup'!G:H,2,FALSE)*G4311)</f>
        <v>0</v>
      </c>
      <c r="W4311" s="102">
        <f t="shared" si="3231"/>
        <v>0</v>
      </c>
      <c r="X4311" s="102">
        <f t="shared" si="3232"/>
        <v>0</v>
      </c>
      <c r="Y4311" s="120" t="b">
        <f t="shared" si="3233"/>
        <v>0</v>
      </c>
      <c r="Z4311" s="117">
        <f t="shared" si="3234"/>
        <v>0</v>
      </c>
      <c r="AA4311" s="118"/>
      <c r="AB4311" s="118" t="str">
        <f t="shared" si="3235"/>
        <v/>
      </c>
      <c r="AC4311" s="712" t="str">
        <f>IF(AE4311="T2G","no charge",IF(AND(OR(PlanterYesMe="No",PlanterYesMe="N",PlanterYesMe="me"),H4311=""),"",IF(H4311="credit","NO install",IF(AND(K4311="",AE4311="me"),"EACH row",IF(AND(K4311="images",AE4311="me"),"EACH row",IF(D4311="","",IF(H4311="credit","",IF(AE4311="free","re-planting",IF(AE4311="me","   not ELP, by",IF(AND(OR(PlanterYesMe="Yes",PlanterYesMe="Y"),G4311&gt;0),(VLOOKUP(A4311,'Discount Lookup'!J:K,2)*G4311*(1-PlanterDiscount)*(1+PlanterDifficultyPercentage)),IF(AE4311="ELP",(VLOOKUP(A4311,'Discount Lookup'!J:K,2)*G4311*(1-PlanterDiscount)*(1+PlanterDifficultyPercentage)),IF(AE4311="free","re-planting",IF(G4311=0,"",IF(PlanterYesMe="",IF(AE4311="me","   not ELP, by",IF(AE4311="",IF(G4311&gt;0,(VLOOKUP(A4311,'Discount Lookup'!J:K,2)*G4311*(1-PlanterDiscount)*(1+PlanterDifficultyPercentage)),""),"")),"   not ELP, by"))))))))))))))</f>
        <v/>
      </c>
      <c r="AD4311" s="712"/>
      <c r="AE4311" s="513" t="str">
        <f t="shared" si="3236"/>
        <v/>
      </c>
      <c r="AF4311" s="713" t="str">
        <f t="shared" si="3237"/>
        <v/>
      </c>
      <c r="AG4311" s="713"/>
      <c r="AH4311" s="713"/>
      <c r="AI4311" s="112">
        <f>IF(H4311="credit",0,IF(AE4311="free",0,IF(AE4311="me",0,IF(G4311&gt;0,(VLOOKUP(A4311,'Discount Lookup'!J:K,2)*G4311),0))))</f>
        <v>0</v>
      </c>
      <c r="AJ4311" s="107" t="str">
        <f t="shared" ca="1" si="3238"/>
        <v/>
      </c>
      <c r="AK4311" s="714" t="str">
        <f t="shared" si="3239"/>
        <v/>
      </c>
      <c r="AL4311" s="714"/>
      <c r="AM4311" s="114" t="str">
        <f t="shared" si="3240"/>
        <v/>
      </c>
      <c r="AN4311" s="115"/>
      <c r="AO4311" s="116"/>
      <c r="AP4311" s="116"/>
      <c r="AQ4311" s="116"/>
      <c r="AR4311" s="116"/>
      <c r="AS4311" s="116"/>
      <c r="AT4311" s="116"/>
      <c r="AU4311" s="116"/>
      <c r="AV4311" s="78"/>
      <c r="AW4311" s="102"/>
      <c r="AX4311" s="78"/>
      <c r="AY4311" s="78"/>
      <c r="AZ4311" s="78"/>
      <c r="BA4311" s="78"/>
      <c r="BB4311" s="78"/>
      <c r="BC4311" s="78"/>
      <c r="BD4311" s="78"/>
      <c r="BE4311" s="465"/>
      <c r="BF4311" s="165" t="str">
        <f t="shared" si="3241"/>
        <v>https://www.google.com/search?tbm=isch&amp;q=7%20G4</v>
      </c>
      <c r="BG4311" s="165" t="str">
        <f t="shared" si="3242"/>
        <v>V</v>
      </c>
      <c r="BH4311" s="65"/>
      <c r="BI4311" s="65"/>
      <c r="BJ4311" s="65"/>
      <c r="BK4311" s="65"/>
      <c r="BL4311" s="99"/>
      <c r="BM4311" s="99"/>
      <c r="BN4311" s="99"/>
    </row>
    <row r="4312" spans="1:66" s="51" customFormat="1" ht="15.75" x14ac:dyDescent="0.25">
      <c r="A4312" s="634">
        <v>15</v>
      </c>
      <c r="B4312" s="635" t="s">
        <v>291</v>
      </c>
      <c r="C4312" s="636" t="s">
        <v>4464</v>
      </c>
      <c r="D4312" s="637" t="s">
        <v>311</v>
      </c>
      <c r="E4312" s="638">
        <v>171.95</v>
      </c>
      <c r="F4312" s="639" t="s">
        <v>292</v>
      </c>
      <c r="G4312" s="484">
        <v>0</v>
      </c>
      <c r="H4312" s="691" t="str">
        <f t="shared" si="3222"/>
        <v/>
      </c>
      <c r="I4312" s="640">
        <f t="shared" si="3223"/>
        <v>0</v>
      </c>
      <c r="J4312" s="640">
        <f t="shared" si="3224"/>
        <v>0</v>
      </c>
      <c r="K4312" s="716">
        <f t="shared" ref="K4312" si="3246">I4312+J4312</f>
        <v>0</v>
      </c>
      <c r="L4312" s="716"/>
      <c r="M4312" s="689" t="str">
        <f t="shared" ca="1" si="3226"/>
        <v/>
      </c>
      <c r="N4312" s="690"/>
      <c r="O4312" s="486"/>
      <c r="P4312" s="486"/>
      <c r="Q4312" s="486"/>
      <c r="R4312" s="486"/>
      <c r="S4312" s="486"/>
      <c r="T4312" s="102">
        <f t="shared" si="3230"/>
        <v>0</v>
      </c>
      <c r="U4312" s="78">
        <f>IF(NOT(ISNUMBER(G4312)), "", VLOOKUP(A4312,'Discount Lookup'!D:E,2,FALSE)*G4312)</f>
        <v>0</v>
      </c>
      <c r="V4312" s="78">
        <f>IF(NOT(ISNUMBER(G4312)), "", VLOOKUP(A4312,'Discount Lookup'!G:H,2,FALSE)*G4312)</f>
        <v>0</v>
      </c>
      <c r="W4312" s="102">
        <f t="shared" si="3231"/>
        <v>0</v>
      </c>
      <c r="X4312" s="102">
        <f t="shared" si="3232"/>
        <v>0</v>
      </c>
      <c r="Y4312" s="120" t="b">
        <f t="shared" si="3233"/>
        <v>0</v>
      </c>
      <c r="Z4312" s="117">
        <f t="shared" si="3234"/>
        <v>0</v>
      </c>
      <c r="AA4312" s="118"/>
      <c r="AB4312" s="118" t="str">
        <f t="shared" si="3235"/>
        <v/>
      </c>
      <c r="AC4312" s="712" t="str">
        <f>IF(AE4312="T2G","no charge",IF(AND(OR(PlanterYesMe="No",PlanterYesMe="N",PlanterYesMe="me"),H4312=""),"",IF(H4312="credit","NO install",IF(AND(K4312="",AE4312="me"),"EACH row",IF(AND(K4312="images",AE4312="me"),"EACH row",IF(D4312="","",IF(H4312="credit","",IF(AE4312="free","re-planting",IF(AE4312="me","   not ELP, by",IF(AND(OR(PlanterYesMe="Yes",PlanterYesMe="Y"),G4312&gt;0),(VLOOKUP(A4312,'Discount Lookup'!J:K,2)*G4312*(1-PlanterDiscount)*(1+PlanterDifficultyPercentage)),IF(AE4312="ELP",(VLOOKUP(A4312,'Discount Lookup'!J:K,2)*G4312*(1-PlanterDiscount)*(1+PlanterDifficultyPercentage)),IF(AE4312="free","re-planting",IF(G4312=0,"",IF(PlanterYesMe="",IF(AE4312="me","   not ELP, by",IF(AE4312="",IF(G4312&gt;0,(VLOOKUP(A4312,'Discount Lookup'!J:K,2)*G4312*(1-PlanterDiscount)*(1+PlanterDifficultyPercentage)),""),"")),"   not ELP, by"))))))))))))))</f>
        <v/>
      </c>
      <c r="AD4312" s="712"/>
      <c r="AE4312" s="513" t="str">
        <f t="shared" si="3236"/>
        <v/>
      </c>
      <c r="AF4312" s="713" t="str">
        <f t="shared" si="3237"/>
        <v/>
      </c>
      <c r="AG4312" s="713"/>
      <c r="AH4312" s="713"/>
      <c r="AI4312" s="112">
        <f>IF(H4312="credit",0,IF(AE4312="free",0,IF(AE4312="me",0,IF(G4312&gt;0,(VLOOKUP(A4312,'Discount Lookup'!J:K,2)*G4312),0))))</f>
        <v>0</v>
      </c>
      <c r="AJ4312" s="107" t="str">
        <f t="shared" ca="1" si="3238"/>
        <v/>
      </c>
      <c r="AK4312" s="714" t="str">
        <f t="shared" si="3239"/>
        <v/>
      </c>
      <c r="AL4312" s="714"/>
      <c r="AM4312" s="114" t="str">
        <f t="shared" si="3240"/>
        <v/>
      </c>
      <c r="AN4312" s="115"/>
      <c r="AO4312" s="116"/>
      <c r="AP4312" s="116"/>
      <c r="AQ4312" s="116"/>
      <c r="AR4312" s="116"/>
      <c r="AS4312" s="116"/>
      <c r="AT4312" s="116"/>
      <c r="AU4312" s="116"/>
      <c r="AV4312" s="78"/>
      <c r="AW4312" s="102"/>
      <c r="AX4312" s="78"/>
      <c r="AY4312" s="78"/>
      <c r="AZ4312" s="78"/>
      <c r="BA4312" s="78"/>
      <c r="BB4312" s="78"/>
      <c r="BC4312" s="78"/>
      <c r="BD4312" s="78"/>
      <c r="BE4312" s="465"/>
      <c r="BF4312" s="165" t="str">
        <f t="shared" si="3241"/>
        <v>https://www.google.com/search?tbm=isch&amp;q=15%20G5</v>
      </c>
      <c r="BG4312" s="165" t="str">
        <f t="shared" si="3242"/>
        <v>V</v>
      </c>
      <c r="BH4312" s="65"/>
      <c r="BI4312" s="65"/>
      <c r="BJ4312" s="65"/>
      <c r="BK4312" s="65"/>
      <c r="BL4312" s="99"/>
      <c r="BM4312" s="99"/>
      <c r="BN4312" s="99"/>
    </row>
    <row r="4313" spans="1:66" s="51" customFormat="1" ht="15.75" x14ac:dyDescent="0.25">
      <c r="A4313" s="634">
        <v>15</v>
      </c>
      <c r="B4313" s="635" t="s">
        <v>291</v>
      </c>
      <c r="C4313" s="636" t="s">
        <v>4465</v>
      </c>
      <c r="D4313" s="637" t="s">
        <v>299</v>
      </c>
      <c r="E4313" s="638">
        <v>192.95</v>
      </c>
      <c r="F4313" s="639" t="s">
        <v>292</v>
      </c>
      <c r="G4313" s="484">
        <v>0</v>
      </c>
      <c r="H4313" s="691" t="str">
        <f t="shared" si="3222"/>
        <v/>
      </c>
      <c r="I4313" s="640">
        <f t="shared" si="3223"/>
        <v>0</v>
      </c>
      <c r="J4313" s="640">
        <f t="shared" si="3224"/>
        <v>0</v>
      </c>
      <c r="K4313" s="716">
        <f t="shared" ref="K4313" si="3247">I4313+J4313</f>
        <v>0</v>
      </c>
      <c r="L4313" s="716"/>
      <c r="M4313" s="689" t="str">
        <f t="shared" ca="1" si="3226"/>
        <v/>
      </c>
      <c r="N4313" s="690"/>
      <c r="O4313" s="486"/>
      <c r="P4313" s="486"/>
      <c r="Q4313" s="486"/>
      <c r="R4313" s="486"/>
      <c r="S4313" s="486"/>
      <c r="T4313" s="102">
        <f t="shared" si="3230"/>
        <v>0</v>
      </c>
      <c r="U4313" s="78">
        <f>IF(NOT(ISNUMBER(G4313)), "", VLOOKUP(A4313,'Discount Lookup'!D:E,2,FALSE)*G4313)</f>
        <v>0</v>
      </c>
      <c r="V4313" s="78">
        <f>IF(NOT(ISNUMBER(G4313)), "", VLOOKUP(A4313,'Discount Lookup'!G:H,2,FALSE)*G4313)</f>
        <v>0</v>
      </c>
      <c r="W4313" s="102">
        <f t="shared" si="3231"/>
        <v>0</v>
      </c>
      <c r="X4313" s="102">
        <f t="shared" si="3232"/>
        <v>0</v>
      </c>
      <c r="Y4313" s="120" t="b">
        <f t="shared" si="3233"/>
        <v>0</v>
      </c>
      <c r="Z4313" s="117">
        <f t="shared" si="3234"/>
        <v>0</v>
      </c>
      <c r="AA4313" s="118"/>
      <c r="AB4313" s="118" t="str">
        <f t="shared" si="3235"/>
        <v/>
      </c>
      <c r="AC4313" s="712" t="str">
        <f>IF(AE4313="T2G","no charge",IF(AND(OR(PlanterYesMe="No",PlanterYesMe="N",PlanterYesMe="me"),H4313=""),"",IF(H4313="credit","NO install",IF(AND(K4313="",AE4313="me"),"EACH row",IF(AND(K4313="images",AE4313="me"),"EACH row",IF(D4313="","",IF(H4313="credit","",IF(AE4313="free","re-planting",IF(AE4313="me","   not ELP, by",IF(AND(OR(PlanterYesMe="Yes",PlanterYesMe="Y"),G4313&gt;0),(VLOOKUP(A4313,'Discount Lookup'!J:K,2)*G4313*(1-PlanterDiscount)*(1+PlanterDifficultyPercentage)),IF(AE4313="ELP",(VLOOKUP(A4313,'Discount Lookup'!J:K,2)*G4313*(1-PlanterDiscount)*(1+PlanterDifficultyPercentage)),IF(AE4313="free","re-planting",IF(G4313=0,"",IF(PlanterYesMe="",IF(AE4313="me","   not ELP, by",IF(AE4313="",IF(G4313&gt;0,(VLOOKUP(A4313,'Discount Lookup'!J:K,2)*G4313*(1-PlanterDiscount)*(1+PlanterDifficultyPercentage)),""),"")),"   not ELP, by"))))))))))))))</f>
        <v/>
      </c>
      <c r="AD4313" s="712"/>
      <c r="AE4313" s="513" t="str">
        <f t="shared" si="3236"/>
        <v/>
      </c>
      <c r="AF4313" s="713" t="str">
        <f t="shared" si="3237"/>
        <v/>
      </c>
      <c r="AG4313" s="713"/>
      <c r="AH4313" s="713"/>
      <c r="AI4313" s="112">
        <f>IF(H4313="credit",0,IF(AE4313="free",0,IF(AE4313="me",0,IF(G4313&gt;0,(VLOOKUP(A4313,'Discount Lookup'!J:K,2)*G4313),0))))</f>
        <v>0</v>
      </c>
      <c r="AJ4313" s="107" t="str">
        <f t="shared" ca="1" si="3238"/>
        <v/>
      </c>
      <c r="AK4313" s="714" t="str">
        <f t="shared" si="3239"/>
        <v/>
      </c>
      <c r="AL4313" s="714"/>
      <c r="AM4313" s="114" t="str">
        <f t="shared" si="3240"/>
        <v/>
      </c>
      <c r="AN4313" s="115"/>
      <c r="AO4313" s="116"/>
      <c r="AP4313" s="116"/>
      <c r="AQ4313" s="116"/>
      <c r="AR4313" s="116"/>
      <c r="AS4313" s="116"/>
      <c r="AT4313" s="116"/>
      <c r="AU4313" s="116"/>
      <c r="AV4313" s="78"/>
      <c r="AW4313" s="102"/>
      <c r="AX4313" s="78"/>
      <c r="AY4313" s="78"/>
      <c r="AZ4313" s="78"/>
      <c r="BA4313" s="78"/>
      <c r="BB4313" s="78"/>
      <c r="BC4313" s="78"/>
      <c r="BD4313" s="78"/>
      <c r="BE4313" s="465"/>
      <c r="BF4313" s="165" t="str">
        <f t="shared" si="3241"/>
        <v>https://www.google.com/search?tbm=isch&amp;q=15%20G4</v>
      </c>
      <c r="BG4313" s="165" t="str">
        <f t="shared" si="3242"/>
        <v>V</v>
      </c>
      <c r="BH4313" s="65"/>
      <c r="BI4313" s="65"/>
      <c r="BJ4313" s="65"/>
      <c r="BK4313" s="65"/>
      <c r="BL4313" s="99"/>
      <c r="BM4313" s="99"/>
      <c r="BN4313" s="99"/>
    </row>
    <row r="4314" spans="1:66" s="51" customFormat="1" ht="17.25" thickBot="1" x14ac:dyDescent="0.3">
      <c r="A4314" s="641" t="s">
        <v>4466</v>
      </c>
      <c r="B4314" s="642"/>
      <c r="C4314" s="710"/>
      <c r="D4314" s="643"/>
      <c r="E4314" s="643"/>
      <c r="F4314" s="644"/>
      <c r="G4314" s="645"/>
      <c r="H4314" s="646"/>
      <c r="I4314" s="647"/>
      <c r="J4314" s="648"/>
      <c r="K4314" s="649"/>
      <c r="L4314" s="650"/>
      <c r="M4314" s="650"/>
      <c r="N4314" s="644"/>
      <c r="O4314" s="644"/>
      <c r="P4314" s="644"/>
      <c r="Q4314" s="644"/>
      <c r="R4314" s="644"/>
      <c r="S4314" s="701" t="s">
        <v>5271</v>
      </c>
      <c r="T4314" s="102">
        <f t="shared" si="3230"/>
        <v>0</v>
      </c>
      <c r="U4314" s="78" t="str">
        <f>IF(NOT(ISNUMBER(G4314)), "", VLOOKUP(A4314,'Discount Lookup'!D:E,2,FALSE)*G4314)</f>
        <v/>
      </c>
      <c r="V4314" s="78" t="str">
        <f>IF(NOT(ISNUMBER(G4314)), "", VLOOKUP(A4314,'Discount Lookup'!G:H,2,FALSE)*G4314)</f>
        <v/>
      </c>
      <c r="W4314" s="102">
        <f t="shared" si="3231"/>
        <v>0</v>
      </c>
      <c r="X4314" s="102">
        <f t="shared" si="3232"/>
        <v>0</v>
      </c>
      <c r="Y4314" s="120" t="b">
        <f t="shared" si="3233"/>
        <v>0</v>
      </c>
      <c r="Z4314" s="117">
        <f t="shared" si="3234"/>
        <v>0</v>
      </c>
      <c r="AA4314" s="118"/>
      <c r="AB4314" s="118" t="str">
        <f t="shared" si="3235"/>
        <v/>
      </c>
      <c r="AC4314" s="712" t="str">
        <f>IF(AE4314="T2G","no charge",IF(AND(OR(PlanterYesMe="No",PlanterYesMe="N",PlanterYesMe="me"),H4314=""),"",IF(H4314="credit","NO install",IF(AND(K4314="",AE4314="me"),"EACH row",IF(AND(K4314="images",AE4314="me"),"EACH row",IF(D4314="","",IF(H4314="credit","",IF(AE4314="free","re-planting",IF(AE4314="me","   not ELP, by",IF(AND(OR(PlanterYesMe="Yes",PlanterYesMe="Y"),G4314&gt;0),(VLOOKUP(A4314,'Discount Lookup'!J:K,2)*G4314*(1-PlanterDiscount)*(1+PlanterDifficultyPercentage)),IF(AE4314="ELP",(VLOOKUP(A4314,'Discount Lookup'!J:K,2)*G4314*(1-PlanterDiscount)*(1+PlanterDifficultyPercentage)),IF(AE4314="free","re-planting",IF(G4314=0,"",IF(PlanterYesMe="",IF(AE4314="me","   not ELP, by",IF(AE4314="",IF(G4314&gt;0,(VLOOKUP(A4314,'Discount Lookup'!J:K,2)*G4314*(1-PlanterDiscount)*(1+PlanterDifficultyPercentage)),""),"")),"   not ELP, by"))))))))))))))</f>
        <v/>
      </c>
      <c r="AD4314" s="712"/>
      <c r="AE4314" s="513" t="str">
        <f t="shared" si="3236"/>
        <v/>
      </c>
      <c r="AF4314" s="713" t="str">
        <f t="shared" si="3237"/>
        <v/>
      </c>
      <c r="AG4314" s="713"/>
      <c r="AH4314" s="713"/>
      <c r="AI4314" s="112">
        <f>IF(H4314="credit",0,IF(AE4314="free",0,IF(AE4314="me",0,IF(G4314&gt;0,(VLOOKUP(A4314,'Discount Lookup'!J:K,2)*G4314),0))))</f>
        <v>0</v>
      </c>
      <c r="AJ4314" s="107" t="str">
        <f t="shared" ca="1" si="3238"/>
        <v/>
      </c>
      <c r="AK4314" s="714" t="str">
        <f t="shared" si="3239"/>
        <v/>
      </c>
      <c r="AL4314" s="714"/>
      <c r="AM4314" s="114" t="str">
        <f t="shared" si="3240"/>
        <v/>
      </c>
      <c r="AN4314" s="115"/>
      <c r="AO4314" s="116"/>
      <c r="AP4314" s="116"/>
      <c r="AQ4314" s="116"/>
      <c r="AR4314" s="116"/>
      <c r="AS4314" s="116"/>
      <c r="AT4314" s="116"/>
      <c r="AU4314" s="116"/>
      <c r="AV4314" s="78"/>
      <c r="AW4314" s="102"/>
      <c r="AX4314" s="78"/>
      <c r="AY4314" s="78"/>
      <c r="AZ4314" s="78"/>
      <c r="BA4314" s="78"/>
      <c r="BB4314" s="78"/>
      <c r="BC4314" s="78"/>
      <c r="BD4314" s="78"/>
      <c r="BE4314" s="465"/>
      <c r="BF4314" s="165" t="str">
        <f t="shared" si="3241"/>
        <v>https://www.google.com/search?tbm=isch&amp;q=Chinese%20Snowbal%20has%20striking%20snowball-like%20clusters%20of%20flowers%2C%20up%20to%208%22%20diameter.%20May%20stay%20evergreen%20in%20mild%20winters%20</v>
      </c>
      <c r="BG4314" s="165" t="str">
        <f t="shared" si="3242"/>
        <v>C</v>
      </c>
      <c r="BH4314" s="65"/>
      <c r="BI4314" s="65"/>
      <c r="BJ4314" s="65"/>
      <c r="BK4314" s="65"/>
      <c r="BL4314" s="99"/>
      <c r="BM4314" s="99"/>
      <c r="BN4314" s="99"/>
    </row>
    <row r="4315" spans="1:66" s="51" customFormat="1" ht="18" x14ac:dyDescent="0.25">
      <c r="A4315" s="507" t="s">
        <v>4467</v>
      </c>
      <c r="B4315" s="470"/>
      <c r="C4315" s="706"/>
      <c r="D4315" s="471" t="s">
        <v>4468</v>
      </c>
      <c r="E4315" s="472"/>
      <c r="F4315" s="472"/>
      <c r="G4315" s="472"/>
      <c r="H4315" s="622" t="s">
        <v>318</v>
      </c>
      <c r="I4315" s="473" t="s">
        <v>2229</v>
      </c>
      <c r="J4315" s="472"/>
      <c r="K4315" s="472"/>
      <c r="L4315" s="561"/>
      <c r="M4315" s="698" t="s">
        <v>5246</v>
      </c>
      <c r="N4315" s="692" t="str">
        <f>IF(AND(ISTEXT($A4315), ISERROR($A4315+0)), HYPERLINK($BF4315, "Images"), "")</f>
        <v>Images</v>
      </c>
      <c r="O4315" s="694" t="s">
        <v>5244</v>
      </c>
      <c r="P4315" s="475"/>
      <c r="Q4315" s="476"/>
      <c r="R4315" s="476"/>
      <c r="S4315" s="477"/>
      <c r="T4315" s="102">
        <f t="shared" si="3230"/>
        <v>0</v>
      </c>
      <c r="U4315" s="78" t="str">
        <f>IF(NOT(ISNUMBER(G4315)), "", VLOOKUP(A4315,'Discount Lookup'!D:E,2,FALSE)*G4315)</f>
        <v/>
      </c>
      <c r="V4315" s="78" t="str">
        <f>IF(NOT(ISNUMBER(G4315)), "", VLOOKUP(A4315,'Discount Lookup'!G:H,2,FALSE)*G4315)</f>
        <v/>
      </c>
      <c r="W4315" s="102">
        <f t="shared" si="3231"/>
        <v>0</v>
      </c>
      <c r="X4315" s="102" t="str">
        <f t="shared" si="3232"/>
        <v>Pure White bloom</v>
      </c>
      <c r="Y4315" s="120" t="b">
        <f t="shared" si="3233"/>
        <v>0</v>
      </c>
      <c r="Z4315" s="117">
        <f t="shared" si="3234"/>
        <v>0</v>
      </c>
      <c r="AA4315" s="118"/>
      <c r="AB4315" s="118" t="str">
        <f t="shared" si="3235"/>
        <v/>
      </c>
      <c r="AC4315" s="712" t="str">
        <f>IF(AE4315="T2G","no charge",IF(AND(OR(PlanterYesMe="No",PlanterYesMe="N",PlanterYesMe="me"),H4315=""),"",IF(H4315="credit","NO install",IF(AND(K4315="",AE4315="me"),"EACH row",IF(AND(K4315="images",AE4315="me"),"EACH row",IF(D4315="","",IF(H4315="credit","",IF(AE4315="free","re-planting",IF(AE4315="me","   not ELP, by",IF(AND(OR(PlanterYesMe="Yes",PlanterYesMe="Y"),G4315&gt;0),(VLOOKUP(A4315,'Discount Lookup'!J:K,2)*G4315*(1-PlanterDiscount)*(1+PlanterDifficultyPercentage)),IF(AE4315="ELP",(VLOOKUP(A4315,'Discount Lookup'!J:K,2)*G4315*(1-PlanterDiscount)*(1+PlanterDifficultyPercentage)),IF(AE4315="free","re-planting",IF(G4315=0,"",IF(PlanterYesMe="",IF(AE4315="me","   not ELP, by",IF(AE4315="",IF(G4315&gt;0,(VLOOKUP(A4315,'Discount Lookup'!J:K,2)*G4315*(1-PlanterDiscount)*(1+PlanterDifficultyPercentage)),""),"")),"   not ELP, by"))))))))))))))</f>
        <v/>
      </c>
      <c r="AD4315" s="712"/>
      <c r="AE4315" s="513" t="str">
        <f t="shared" si="3236"/>
        <v/>
      </c>
      <c r="AF4315" s="713" t="str">
        <f t="shared" si="3237"/>
        <v/>
      </c>
      <c r="AG4315" s="713"/>
      <c r="AH4315" s="713"/>
      <c r="AI4315" s="112">
        <f>IF(H4315="credit",0,IF(AE4315="free",0,IF(AE4315="me",0,IF(G4315&gt;0,(VLOOKUP(A4315,'Discount Lookup'!J:K,2)*G4315),0))))</f>
        <v>0</v>
      </c>
      <c r="AJ4315" s="107" t="str">
        <f t="shared" ca="1" si="3238"/>
        <v/>
      </c>
      <c r="AK4315" s="714" t="str">
        <f t="shared" si="3239"/>
        <v/>
      </c>
      <c r="AL4315" s="714"/>
      <c r="AM4315" s="114" t="str">
        <f t="shared" si="3240"/>
        <v/>
      </c>
      <c r="AN4315" s="115"/>
      <c r="AO4315" s="116"/>
      <c r="AP4315" s="116"/>
      <c r="AQ4315" s="116"/>
      <c r="AR4315" s="116"/>
      <c r="AS4315" s="116"/>
      <c r="AT4315" s="116"/>
      <c r="AU4315" s="116"/>
      <c r="AV4315" s="78"/>
      <c r="AW4315" s="102"/>
      <c r="AX4315" s="78"/>
      <c r="AY4315" s="78"/>
      <c r="AZ4315" s="78"/>
      <c r="BA4315" s="78"/>
      <c r="BB4315" s="78"/>
      <c r="BC4315" s="78"/>
      <c r="BD4315" s="78"/>
      <c r="BE4315" s="465"/>
      <c r="BF4315" s="165" t="str">
        <f t="shared" si="3241"/>
        <v>https://www.google.com/search?tbm=isch&amp;q=Viburnum%20%27Nantucket%27%20Nantucket%20Viburnum</v>
      </c>
      <c r="BG4315" s="165" t="str">
        <f t="shared" si="3242"/>
        <v>V</v>
      </c>
      <c r="BH4315" s="65"/>
      <c r="BI4315" s="65"/>
      <c r="BJ4315" s="65"/>
      <c r="BK4315" s="65"/>
      <c r="BL4315" s="99"/>
      <c r="BM4315" s="99"/>
      <c r="BN4315" s="99"/>
    </row>
    <row r="4316" spans="1:66" s="51" customFormat="1" ht="15.75" x14ac:dyDescent="0.25">
      <c r="A4316" s="478">
        <v>3</v>
      </c>
      <c r="B4316" s="479" t="s">
        <v>291</v>
      </c>
      <c r="C4316" s="480" t="s">
        <v>4469</v>
      </c>
      <c r="D4316" s="481" t="s">
        <v>299</v>
      </c>
      <c r="E4316" s="482">
        <v>33.950000000000003</v>
      </c>
      <c r="F4316" s="483" t="s">
        <v>292</v>
      </c>
      <c r="G4316" s="484">
        <v>0</v>
      </c>
      <c r="H4316" s="688" t="str">
        <f>IF(G4316=0,"",IF(F4316="Buy",IF(G4316=1,"plant","plants"),IF(F4316&gt;0.01,"warranty","Error")))</f>
        <v/>
      </c>
      <c r="I4316" s="485">
        <f>IF(H4316="free",0,IF(H4316="credit",((E4316*(F4316))*G4316*-1),IF(F4316="Buy",(E4316*G4316),((E4316*(1-F4316))*G4316))))</f>
        <v>0</v>
      </c>
      <c r="J4316" s="485">
        <f>IF(H4316="warranty",0,(I4316*(_xlfn.SINGLE(SalesTaxPercentage))))</f>
        <v>0</v>
      </c>
      <c r="K4316" s="715">
        <f t="shared" ref="K4316" si="3248">I4316+J4316</f>
        <v>0</v>
      </c>
      <c r="L4316" s="715"/>
      <c r="M4316" s="689" t="str">
        <f ca="1">IF(AND(G4316&gt;0,E4316=0),"WARNING - no PRICE inserted",IF(H4316="free","FREE ~ no charge this plant",IF(H4316="credit",CONCATENATE("-$",ROUND(K4316*(1-_xlfn.SINGLE(T2GDiscount))*-1,2)," CREDIT after discount"),IF(_xlfn.SINGLE(T2GDiscount)=0,"",IF(G4316=0,"",IF(F4316="Buy",CONCATENATE("$",ROUND(K4316*(1-_xlfn.SINGLE(T2GDiscount)),2)," with ",(_xlfn.SINGLE(T2GDiscount)*100),"% discount"),CONCATENATE("$",ROUND(K4316*(1-_xlfn.SINGLE(T2GDiscount)),2)," with ",((_xlfn.SINGLE(T2GDiscount)*100+F4316*100)-(_xlfn.SINGLE(T2GDiscount)*100*F4316)),IF(F4316&gt;0,"% discounts",IF(_xlfn.SINGLE(NoWarrantyDiscount)&gt;0,"% discounts","% discount")))))))))</f>
        <v/>
      </c>
      <c r="N4316" s="690"/>
      <c r="O4316" s="486"/>
      <c r="P4316" s="486"/>
      <c r="Q4316" s="486"/>
      <c r="R4316" s="486"/>
      <c r="S4316" s="486"/>
      <c r="T4316" s="102">
        <f t="shared" si="3230"/>
        <v>0</v>
      </c>
      <c r="U4316" s="78">
        <f>IF(NOT(ISNUMBER(G4316)), "", VLOOKUP(A4316,'Discount Lookup'!D:E,2,FALSE)*G4316)</f>
        <v>0</v>
      </c>
      <c r="V4316" s="78">
        <f>IF(NOT(ISNUMBER(G4316)), "", VLOOKUP(A4316,'Discount Lookup'!G:H,2,FALSE)*G4316)</f>
        <v>0</v>
      </c>
      <c r="W4316" s="102">
        <f t="shared" si="3231"/>
        <v>0</v>
      </c>
      <c r="X4316" s="102">
        <f t="shared" si="3232"/>
        <v>0</v>
      </c>
      <c r="Y4316" s="120" t="b">
        <f t="shared" si="3233"/>
        <v>0</v>
      </c>
      <c r="Z4316" s="117">
        <f t="shared" si="3234"/>
        <v>0</v>
      </c>
      <c r="AA4316" s="118"/>
      <c r="AB4316" s="118" t="str">
        <f t="shared" si="3235"/>
        <v/>
      </c>
      <c r="AC4316" s="712" t="str">
        <f>IF(AE4316="T2G","no charge",IF(AND(OR(PlanterYesMe="No",PlanterYesMe="N",PlanterYesMe="me"),H4316=""),"",IF(H4316="credit","NO install",IF(AND(K4316="",AE4316="me"),"EACH row",IF(AND(K4316="images",AE4316="me"),"EACH row",IF(D4316="","",IF(H4316="credit","",IF(AE4316="free","re-planting",IF(AE4316="me","   not ELP, by",IF(AND(OR(PlanterYesMe="Yes",PlanterYesMe="Y"),G4316&gt;0),(VLOOKUP(A4316,'Discount Lookup'!J:K,2)*G4316*(1-PlanterDiscount)*(1+PlanterDifficultyPercentage)),IF(AE4316="ELP",(VLOOKUP(A4316,'Discount Lookup'!J:K,2)*G4316*(1-PlanterDiscount)*(1+PlanterDifficultyPercentage)),IF(AE4316="free","re-planting",IF(G4316=0,"",IF(PlanterYesMe="",IF(AE4316="me","   not ELP, by",IF(AE4316="",IF(G4316&gt;0,(VLOOKUP(A4316,'Discount Lookup'!J:K,2)*G4316*(1-PlanterDiscount)*(1+PlanterDifficultyPercentage)),""),"")),"   not ELP, by"))))))))))))))</f>
        <v/>
      </c>
      <c r="AD4316" s="712"/>
      <c r="AE4316" s="513" t="str">
        <f t="shared" si="3236"/>
        <v/>
      </c>
      <c r="AF4316" s="713" t="str">
        <f t="shared" si="3237"/>
        <v/>
      </c>
      <c r="AG4316" s="713"/>
      <c r="AH4316" s="713"/>
      <c r="AI4316" s="112">
        <f>IF(H4316="credit",0,IF(AE4316="free",0,IF(AE4316="me",0,IF(G4316&gt;0,(VLOOKUP(A4316,'Discount Lookup'!J:K,2)*G4316),0))))</f>
        <v>0</v>
      </c>
      <c r="AJ4316" s="107" t="str">
        <f t="shared" ca="1" si="3238"/>
        <v/>
      </c>
      <c r="AK4316" s="714" t="str">
        <f t="shared" si="3239"/>
        <v/>
      </c>
      <c r="AL4316" s="714"/>
      <c r="AM4316" s="114" t="str">
        <f t="shared" si="3240"/>
        <v/>
      </c>
      <c r="AN4316" s="115"/>
      <c r="AO4316" s="116"/>
      <c r="AP4316" s="116"/>
      <c r="AQ4316" s="116"/>
      <c r="AR4316" s="116"/>
      <c r="AS4316" s="116"/>
      <c r="AT4316" s="116"/>
      <c r="AU4316" s="116"/>
      <c r="AV4316" s="78"/>
      <c r="AW4316" s="102"/>
      <c r="AX4316" s="78"/>
      <c r="AY4316" s="78"/>
      <c r="AZ4316" s="78"/>
      <c r="BA4316" s="78"/>
      <c r="BB4316" s="78"/>
      <c r="BC4316" s="78"/>
      <c r="BD4316" s="78"/>
      <c r="BE4316" s="465"/>
      <c r="BF4316" s="165" t="str">
        <f t="shared" si="3241"/>
        <v>https://www.google.com/search?tbm=isch&amp;q=3%20G4</v>
      </c>
      <c r="BG4316" s="165" t="str">
        <f t="shared" si="3242"/>
        <v>V</v>
      </c>
      <c r="BH4316" s="65"/>
      <c r="BI4316" s="65"/>
      <c r="BJ4316" s="65"/>
      <c r="BK4316" s="65"/>
      <c r="BL4316" s="99"/>
      <c r="BM4316" s="99"/>
      <c r="BN4316" s="99"/>
    </row>
    <row r="4317" spans="1:66" s="51" customFormat="1" ht="17.25" thickBot="1" x14ac:dyDescent="0.3">
      <c r="A4317" s="508" t="s">
        <v>4470</v>
      </c>
      <c r="B4317" s="487"/>
      <c r="C4317" s="707"/>
      <c r="D4317" s="487"/>
      <c r="E4317" s="487"/>
      <c r="F4317" s="488"/>
      <c r="G4317" s="489"/>
      <c r="H4317" s="487"/>
      <c r="I4317" s="490"/>
      <c r="J4317" s="490"/>
      <c r="K4317" s="491"/>
      <c r="L4317" s="547"/>
      <c r="M4317" s="528"/>
      <c r="N4317" s="492"/>
      <c r="O4317" s="493"/>
      <c r="P4317" s="494"/>
      <c r="Q4317" s="492"/>
      <c r="R4317" s="492"/>
      <c r="S4317" s="699" t="s">
        <v>5268</v>
      </c>
      <c r="T4317" s="102">
        <f t="shared" si="3230"/>
        <v>0</v>
      </c>
      <c r="U4317" s="78" t="str">
        <f>IF(NOT(ISNUMBER(G4317)), "", VLOOKUP(A4317,'Discount Lookup'!D:E,2,FALSE)*G4317)</f>
        <v/>
      </c>
      <c r="V4317" s="78" t="str">
        <f>IF(NOT(ISNUMBER(G4317)), "", VLOOKUP(A4317,'Discount Lookup'!G:H,2,FALSE)*G4317)</f>
        <v/>
      </c>
      <c r="W4317" s="102">
        <f t="shared" si="3231"/>
        <v>0</v>
      </c>
      <c r="X4317" s="102">
        <f t="shared" si="3232"/>
        <v>0</v>
      </c>
      <c r="Y4317" s="120" t="b">
        <f t="shared" si="3233"/>
        <v>0</v>
      </c>
      <c r="Z4317" s="117">
        <f t="shared" si="3234"/>
        <v>0</v>
      </c>
      <c r="AA4317" s="118"/>
      <c r="AB4317" s="118" t="str">
        <f t="shared" si="3235"/>
        <v/>
      </c>
      <c r="AC4317" s="712" t="str">
        <f>IF(AE4317="T2G","no charge",IF(AND(OR(PlanterYesMe="No",PlanterYesMe="N",PlanterYesMe="me"),H4317=""),"",IF(H4317="credit","NO install",IF(AND(K4317="",AE4317="me"),"EACH row",IF(AND(K4317="images",AE4317="me"),"EACH row",IF(D4317="","",IF(H4317="credit","",IF(AE4317="free","re-planting",IF(AE4317="me","   not ELP, by",IF(AND(OR(PlanterYesMe="Yes",PlanterYesMe="Y"),G4317&gt;0),(VLOOKUP(A4317,'Discount Lookup'!J:K,2)*G4317*(1-PlanterDiscount)*(1+PlanterDifficultyPercentage)),IF(AE4317="ELP",(VLOOKUP(A4317,'Discount Lookup'!J:K,2)*G4317*(1-PlanterDiscount)*(1+PlanterDifficultyPercentage)),IF(AE4317="free","re-planting",IF(G4317=0,"",IF(PlanterYesMe="",IF(AE4317="me","   not ELP, by",IF(AE4317="",IF(G4317&gt;0,(VLOOKUP(A4317,'Discount Lookup'!J:K,2)*G4317*(1-PlanterDiscount)*(1+PlanterDifficultyPercentage)),""),"")),"   not ELP, by"))))))))))))))</f>
        <v/>
      </c>
      <c r="AD4317" s="712"/>
      <c r="AE4317" s="513" t="str">
        <f t="shared" si="3236"/>
        <v/>
      </c>
      <c r="AF4317" s="713" t="str">
        <f t="shared" si="3237"/>
        <v/>
      </c>
      <c r="AG4317" s="713"/>
      <c r="AH4317" s="713"/>
      <c r="AI4317" s="112">
        <f>IF(H4317="credit",0,IF(AE4317="free",0,IF(AE4317="me",0,IF(G4317&gt;0,(VLOOKUP(A4317,'Discount Lookup'!J:K,2)*G4317),0))))</f>
        <v>0</v>
      </c>
      <c r="AJ4317" s="107" t="str">
        <f t="shared" ca="1" si="3238"/>
        <v/>
      </c>
      <c r="AK4317" s="714" t="str">
        <f t="shared" si="3239"/>
        <v/>
      </c>
      <c r="AL4317" s="714"/>
      <c r="AM4317" s="114" t="str">
        <f t="shared" si="3240"/>
        <v/>
      </c>
      <c r="AN4317" s="115"/>
      <c r="AO4317" s="116"/>
      <c r="AP4317" s="116"/>
      <c r="AQ4317" s="116"/>
      <c r="AR4317" s="116"/>
      <c r="AS4317" s="116"/>
      <c r="AT4317" s="116"/>
      <c r="AU4317" s="116"/>
      <c r="AV4317" s="78"/>
      <c r="AW4317" s="102"/>
      <c r="AX4317" s="78"/>
      <c r="AY4317" s="78"/>
      <c r="AZ4317" s="78"/>
      <c r="BA4317" s="78"/>
      <c r="BB4317" s="78"/>
      <c r="BC4317" s="78"/>
      <c r="BD4317" s="78"/>
      <c r="BE4317" s="465"/>
      <c r="BF4317" s="165" t="str">
        <f t="shared" si="3241"/>
        <v>https://www.google.com/search?tbm=isch&amp;q=Nantucket%20offers%20mildly%20fragrant%2C%20showy%20spring%20snowballs%20on%20glossy%20semi-evergreen%20foliage%2C%20with%20strong%20heat%20tolerance%20</v>
      </c>
      <c r="BG4317" s="165" t="str">
        <f t="shared" si="3242"/>
        <v>N</v>
      </c>
      <c r="BH4317" s="65"/>
      <c r="BI4317" s="65"/>
      <c r="BJ4317" s="65"/>
      <c r="BK4317" s="65"/>
      <c r="BL4317" s="99"/>
      <c r="BM4317" s="99"/>
      <c r="BN4317" s="99"/>
    </row>
    <row r="4318" spans="1:66" s="51" customFormat="1" ht="18" x14ac:dyDescent="0.25">
      <c r="A4318" s="507" t="s">
        <v>4471</v>
      </c>
      <c r="B4318" s="470"/>
      <c r="C4318" s="706"/>
      <c r="D4318" s="471" t="s">
        <v>4472</v>
      </c>
      <c r="E4318" s="472"/>
      <c r="F4318" s="472"/>
      <c r="G4318" s="472"/>
      <c r="H4318" s="622" t="s">
        <v>1124</v>
      </c>
      <c r="I4318" s="473" t="s">
        <v>349</v>
      </c>
      <c r="J4318" s="472"/>
      <c r="K4318" s="472"/>
      <c r="L4318" s="561"/>
      <c r="M4318" s="698" t="s">
        <v>5246</v>
      </c>
      <c r="N4318" s="692" t="str">
        <f>IF(AND(ISTEXT($A4318), ISERROR($A4318+0)), HYPERLINK($BF4318, "Images"), "")</f>
        <v>Images</v>
      </c>
      <c r="O4318" s="694" t="s">
        <v>5247</v>
      </c>
      <c r="P4318" s="475"/>
      <c r="Q4318" s="476"/>
      <c r="R4318" s="476"/>
      <c r="S4318" s="477" t="s">
        <v>294</v>
      </c>
      <c r="T4318" s="102">
        <f t="shared" si="3230"/>
        <v>0</v>
      </c>
      <c r="U4318" s="78" t="str">
        <f>IF(NOT(ISNUMBER(G4318)), "", VLOOKUP(A4318,'Discount Lookup'!D:E,2,FALSE)*G4318)</f>
        <v/>
      </c>
      <c r="V4318" s="78" t="str">
        <f>IF(NOT(ISNUMBER(G4318)), "", VLOOKUP(A4318,'Discount Lookup'!G:H,2,FALSE)*G4318)</f>
        <v/>
      </c>
      <c r="W4318" s="102">
        <f t="shared" si="3231"/>
        <v>0</v>
      </c>
      <c r="X4318" s="102" t="str">
        <f t="shared" si="3232"/>
        <v>White bloom</v>
      </c>
      <c r="Y4318" s="120" t="b">
        <f t="shared" si="3233"/>
        <v>0</v>
      </c>
      <c r="Z4318" s="117">
        <f t="shared" si="3234"/>
        <v>0</v>
      </c>
      <c r="AA4318" s="118"/>
      <c r="AB4318" s="118" t="str">
        <f t="shared" si="3235"/>
        <v/>
      </c>
      <c r="AC4318" s="712" t="str">
        <f>IF(AE4318="T2G","no charge",IF(AND(OR(PlanterYesMe="No",PlanterYesMe="N",PlanterYesMe="me"),H4318=""),"",IF(H4318="credit","NO install",IF(AND(K4318="",AE4318="me"),"EACH row",IF(AND(K4318="images",AE4318="me"),"EACH row",IF(D4318="","",IF(H4318="credit","",IF(AE4318="free","re-planting",IF(AE4318="me","   not ELP, by",IF(AND(OR(PlanterYesMe="Yes",PlanterYesMe="Y"),G4318&gt;0),(VLOOKUP(A4318,'Discount Lookup'!J:K,2)*G4318*(1-PlanterDiscount)*(1+PlanterDifficultyPercentage)),IF(AE4318="ELP",(VLOOKUP(A4318,'Discount Lookup'!J:K,2)*G4318*(1-PlanterDiscount)*(1+PlanterDifficultyPercentage)),IF(AE4318="free","re-planting",IF(G4318=0,"",IF(PlanterYesMe="",IF(AE4318="me","   not ELP, by",IF(AE4318="",IF(G4318&gt;0,(VLOOKUP(A4318,'Discount Lookup'!J:K,2)*G4318*(1-PlanterDiscount)*(1+PlanterDifficultyPercentage)),""),"")),"   not ELP, by"))))))))))))))</f>
        <v/>
      </c>
      <c r="AD4318" s="712"/>
      <c r="AE4318" s="513" t="str">
        <f t="shared" si="3236"/>
        <v/>
      </c>
      <c r="AF4318" s="713" t="str">
        <f t="shared" si="3237"/>
        <v/>
      </c>
      <c r="AG4318" s="713"/>
      <c r="AH4318" s="713"/>
      <c r="AI4318" s="112">
        <f>IF(H4318="credit",0,IF(AE4318="free",0,IF(AE4318="me",0,IF(G4318&gt;0,(VLOOKUP(A4318,'Discount Lookup'!J:K,2)*G4318),0))))</f>
        <v>0</v>
      </c>
      <c r="AJ4318" s="107" t="str">
        <f t="shared" ca="1" si="3238"/>
        <v/>
      </c>
      <c r="AK4318" s="714" t="str">
        <f t="shared" si="3239"/>
        <v/>
      </c>
      <c r="AL4318" s="714"/>
      <c r="AM4318" s="114" t="str">
        <f t="shared" si="3240"/>
        <v/>
      </c>
      <c r="AN4318" s="115"/>
      <c r="AO4318" s="116"/>
      <c r="AP4318" s="116"/>
      <c r="AQ4318" s="116"/>
      <c r="AR4318" s="116"/>
      <c r="AS4318" s="116"/>
      <c r="AT4318" s="116"/>
      <c r="AU4318" s="116"/>
      <c r="AV4318" s="78"/>
      <c r="AW4318" s="102"/>
      <c r="AX4318" s="78"/>
      <c r="AY4318" s="78"/>
      <c r="AZ4318" s="78"/>
      <c r="BA4318" s="78"/>
      <c r="BB4318" s="78"/>
      <c r="BC4318" s="78"/>
      <c r="BD4318" s="78"/>
      <c r="BE4318" s="465"/>
      <c r="BF4318" s="165" t="str">
        <f t="shared" si="3241"/>
        <v>https://www.google.com/search?tbm=isch&amp;q=Viburnum%20obovatum%20%27Raulston%20Hardy%27%20Raulston%20Hardy%20Viburnum</v>
      </c>
      <c r="BG4318" s="165" t="str">
        <f t="shared" si="3242"/>
        <v>V</v>
      </c>
      <c r="BH4318" s="65"/>
      <c r="BI4318" s="65"/>
      <c r="BJ4318" s="65"/>
      <c r="BK4318" s="65"/>
      <c r="BL4318" s="99"/>
      <c r="BM4318" s="99"/>
      <c r="BN4318" s="99"/>
    </row>
    <row r="4319" spans="1:66" s="51" customFormat="1" ht="15.75" x14ac:dyDescent="0.25">
      <c r="A4319" s="478">
        <v>3</v>
      </c>
      <c r="B4319" s="479" t="s">
        <v>291</v>
      </c>
      <c r="C4319" s="480"/>
      <c r="D4319" s="481" t="s">
        <v>310</v>
      </c>
      <c r="E4319" s="482">
        <v>33.950000000000003</v>
      </c>
      <c r="F4319" s="483" t="s">
        <v>292</v>
      </c>
      <c r="G4319" s="484">
        <v>0</v>
      </c>
      <c r="H4319" s="688" t="str">
        <f>IF(G4319=0,"",IF(F4319="Buy",IF(G4319=1,"plant","plants"),IF(F4319&gt;0.01,"warranty","Error")))</f>
        <v/>
      </c>
      <c r="I4319" s="485">
        <f>IF(H4319="free",0,IF(H4319="credit",((E4319*(F4319))*G4319*-1),IF(F4319="Buy",(E4319*G4319),((E4319*(1-F4319))*G4319))))</f>
        <v>0</v>
      </c>
      <c r="J4319" s="485">
        <f>IF(H4319="warranty",0,(I4319*(_xlfn.SINGLE(SalesTaxPercentage))))</f>
        <v>0</v>
      </c>
      <c r="K4319" s="715">
        <f t="shared" ref="K4319" si="3249">I4319+J4319</f>
        <v>0</v>
      </c>
      <c r="L4319" s="715"/>
      <c r="M4319" s="689" t="str">
        <f ca="1">IF(AND(G4319&gt;0,E4319=0),"WARNING - no PRICE inserted",IF(H4319="free","FREE ~ no charge this plant",IF(H4319="credit",CONCATENATE("-$",ROUND(K4319*(1-_xlfn.SINGLE(T2GDiscount))*-1,2)," CREDIT after discount"),IF(_xlfn.SINGLE(T2GDiscount)=0,"",IF(G4319=0,"",IF(F4319="Buy",CONCATENATE("$",ROUND(K4319*(1-_xlfn.SINGLE(T2GDiscount)),2)," with ",(_xlfn.SINGLE(T2GDiscount)*100),"% discount"),CONCATENATE("$",ROUND(K4319*(1-_xlfn.SINGLE(T2GDiscount)),2)," with ",((_xlfn.SINGLE(T2GDiscount)*100+F4319*100)-(_xlfn.SINGLE(T2GDiscount)*100*F4319)),IF(F4319&gt;0,"% discounts",IF(_xlfn.SINGLE(NoWarrantyDiscount)&gt;0,"% discounts","% discount")))))))))</f>
        <v/>
      </c>
      <c r="N4319" s="690"/>
      <c r="O4319" s="486"/>
      <c r="P4319" s="486"/>
      <c r="Q4319" s="486"/>
      <c r="R4319" s="486"/>
      <c r="S4319" s="486"/>
      <c r="T4319" s="102">
        <f t="shared" si="3230"/>
        <v>0</v>
      </c>
      <c r="U4319" s="78">
        <f>IF(NOT(ISNUMBER(G4319)), "", VLOOKUP(A4319,'Discount Lookup'!D:E,2,FALSE)*G4319)</f>
        <v>0</v>
      </c>
      <c r="V4319" s="78">
        <f>IF(NOT(ISNUMBER(G4319)), "", VLOOKUP(A4319,'Discount Lookup'!G:H,2,FALSE)*G4319)</f>
        <v>0</v>
      </c>
      <c r="W4319" s="102">
        <f t="shared" si="3231"/>
        <v>0</v>
      </c>
      <c r="X4319" s="102">
        <f t="shared" si="3232"/>
        <v>0</v>
      </c>
      <c r="Y4319" s="120" t="b">
        <f t="shared" si="3233"/>
        <v>0</v>
      </c>
      <c r="Z4319" s="117">
        <f t="shared" si="3234"/>
        <v>0</v>
      </c>
      <c r="AA4319" s="118"/>
      <c r="AB4319" s="118" t="str">
        <f t="shared" si="3235"/>
        <v/>
      </c>
      <c r="AC4319" s="712" t="str">
        <f>IF(AE4319="T2G","no charge",IF(AND(OR(PlanterYesMe="No",PlanterYesMe="N",PlanterYesMe="me"),H4319=""),"",IF(H4319="credit","NO install",IF(AND(K4319="",AE4319="me"),"EACH row",IF(AND(K4319="images",AE4319="me"),"EACH row",IF(D4319="","",IF(H4319="credit","",IF(AE4319="free","re-planting",IF(AE4319="me","   not ELP, by",IF(AND(OR(PlanterYesMe="Yes",PlanterYesMe="Y"),G4319&gt;0),(VLOOKUP(A4319,'Discount Lookup'!J:K,2)*G4319*(1-PlanterDiscount)*(1+PlanterDifficultyPercentage)),IF(AE4319="ELP",(VLOOKUP(A4319,'Discount Lookup'!J:K,2)*G4319*(1-PlanterDiscount)*(1+PlanterDifficultyPercentage)),IF(AE4319="free","re-planting",IF(G4319=0,"",IF(PlanterYesMe="",IF(AE4319="me","   not ELP, by",IF(AE4319="",IF(G4319&gt;0,(VLOOKUP(A4319,'Discount Lookup'!J:K,2)*G4319*(1-PlanterDiscount)*(1+PlanterDifficultyPercentage)),""),"")),"   not ELP, by"))))))))))))))</f>
        <v/>
      </c>
      <c r="AD4319" s="712"/>
      <c r="AE4319" s="513" t="str">
        <f t="shared" si="3236"/>
        <v/>
      </c>
      <c r="AF4319" s="713" t="str">
        <f t="shared" si="3237"/>
        <v/>
      </c>
      <c r="AG4319" s="713"/>
      <c r="AH4319" s="713"/>
      <c r="AI4319" s="112">
        <f>IF(H4319="credit",0,IF(AE4319="free",0,IF(AE4319="me",0,IF(G4319&gt;0,(VLOOKUP(A4319,'Discount Lookup'!J:K,2)*G4319),0))))</f>
        <v>0</v>
      </c>
      <c r="AJ4319" s="107" t="str">
        <f t="shared" ca="1" si="3238"/>
        <v/>
      </c>
      <c r="AK4319" s="714" t="str">
        <f t="shared" si="3239"/>
        <v/>
      </c>
      <c r="AL4319" s="714"/>
      <c r="AM4319" s="114" t="str">
        <f t="shared" si="3240"/>
        <v/>
      </c>
      <c r="AN4319" s="115"/>
      <c r="AO4319" s="116"/>
      <c r="AP4319" s="116"/>
      <c r="AQ4319" s="116"/>
      <c r="AR4319" s="116"/>
      <c r="AS4319" s="116"/>
      <c r="AT4319" s="116"/>
      <c r="AU4319" s="116"/>
      <c r="AV4319" s="78"/>
      <c r="AW4319" s="102"/>
      <c r="AX4319" s="78"/>
      <c r="AY4319" s="78"/>
      <c r="AZ4319" s="78"/>
      <c r="BA4319" s="78"/>
      <c r="BB4319" s="78"/>
      <c r="BC4319" s="78"/>
      <c r="BD4319" s="78"/>
      <c r="BE4319" s="465"/>
      <c r="BF4319" s="165" t="str">
        <f t="shared" si="3241"/>
        <v>https://www.google.com/search?tbm=isch&amp;q=3%20G1</v>
      </c>
      <c r="BG4319" s="165" t="str">
        <f t="shared" si="3242"/>
        <v>V</v>
      </c>
      <c r="BH4319" s="65"/>
      <c r="BI4319" s="65"/>
      <c r="BJ4319" s="65"/>
      <c r="BK4319" s="65"/>
      <c r="BL4319" s="99"/>
      <c r="BM4319" s="99"/>
      <c r="BN4319" s="99"/>
    </row>
    <row r="4320" spans="1:66" s="51" customFormat="1" ht="15.75" x14ac:dyDescent="0.25">
      <c r="A4320" s="478">
        <v>3</v>
      </c>
      <c r="B4320" s="479" t="s">
        <v>291</v>
      </c>
      <c r="C4320" s="480" t="s">
        <v>4473</v>
      </c>
      <c r="D4320" s="481" t="s">
        <v>293</v>
      </c>
      <c r="E4320" s="482">
        <v>56.95</v>
      </c>
      <c r="F4320" s="483" t="s">
        <v>292</v>
      </c>
      <c r="G4320" s="484">
        <v>0</v>
      </c>
      <c r="H4320" s="688" t="str">
        <f>IF(G4320=0,"",IF(F4320="Buy",IF(G4320=1,"plant","plants"),IF(F4320&gt;0.01,"warranty","Error")))</f>
        <v/>
      </c>
      <c r="I4320" s="485">
        <f>IF(H4320="free",0,IF(H4320="credit",((E4320*(F4320))*G4320*-1),IF(F4320="Buy",(E4320*G4320),((E4320*(1-F4320))*G4320))))</f>
        <v>0</v>
      </c>
      <c r="J4320" s="485">
        <f>IF(H4320="warranty",0,(I4320*(_xlfn.SINGLE(SalesTaxPercentage))))</f>
        <v>0</v>
      </c>
      <c r="K4320" s="715">
        <f t="shared" ref="K4320" si="3250">I4320+J4320</f>
        <v>0</v>
      </c>
      <c r="L4320" s="715"/>
      <c r="M4320" s="689" t="str">
        <f ca="1">IF(AND(G4320&gt;0,E4320=0),"WARNING - no PRICE inserted",IF(H4320="free","FREE ~ no charge this plant",IF(H4320="credit",CONCATENATE("-$",ROUND(K4320*(1-_xlfn.SINGLE(T2GDiscount))*-1,2)," CREDIT after discount"),IF(_xlfn.SINGLE(T2GDiscount)=0,"",IF(G4320=0,"",IF(F4320="Buy",CONCATENATE("$",ROUND(K4320*(1-_xlfn.SINGLE(T2GDiscount)),2)," with ",(_xlfn.SINGLE(T2GDiscount)*100),"% discount"),CONCATENATE("$",ROUND(K4320*(1-_xlfn.SINGLE(T2GDiscount)),2)," with ",((_xlfn.SINGLE(T2GDiscount)*100+F4320*100)-(_xlfn.SINGLE(T2GDiscount)*100*F4320)),IF(F4320&gt;0,"% discounts",IF(_xlfn.SINGLE(NoWarrantyDiscount)&gt;0,"% discounts","% discount")))))))))</f>
        <v/>
      </c>
      <c r="N4320" s="690"/>
      <c r="O4320" s="486"/>
      <c r="P4320" s="486"/>
      <c r="Q4320" s="486"/>
      <c r="R4320" s="486"/>
      <c r="S4320" s="486"/>
      <c r="T4320" s="102">
        <f t="shared" si="3230"/>
        <v>0</v>
      </c>
      <c r="U4320" s="78">
        <f>IF(NOT(ISNUMBER(G4320)), "", VLOOKUP(A4320,'Discount Lookup'!D:E,2,FALSE)*G4320)</f>
        <v>0</v>
      </c>
      <c r="V4320" s="78">
        <f>IF(NOT(ISNUMBER(G4320)), "", VLOOKUP(A4320,'Discount Lookup'!G:H,2,FALSE)*G4320)</f>
        <v>0</v>
      </c>
      <c r="W4320" s="102">
        <f t="shared" si="3231"/>
        <v>0</v>
      </c>
      <c r="X4320" s="102">
        <f t="shared" si="3232"/>
        <v>0</v>
      </c>
      <c r="Y4320" s="120" t="b">
        <f t="shared" si="3233"/>
        <v>0</v>
      </c>
      <c r="Z4320" s="117">
        <f t="shared" si="3234"/>
        <v>0</v>
      </c>
      <c r="AA4320" s="118"/>
      <c r="AB4320" s="118" t="str">
        <f t="shared" si="3235"/>
        <v/>
      </c>
      <c r="AC4320" s="712" t="str">
        <f>IF(AE4320="T2G","no charge",IF(AND(OR(PlanterYesMe="No",PlanterYesMe="N",PlanterYesMe="me"),H4320=""),"",IF(H4320="credit","NO install",IF(AND(K4320="",AE4320="me"),"EACH row",IF(AND(K4320="images",AE4320="me"),"EACH row",IF(D4320="","",IF(H4320="credit","",IF(AE4320="free","re-planting",IF(AE4320="me","   not ELP, by",IF(AND(OR(PlanterYesMe="Yes",PlanterYesMe="Y"),G4320&gt;0),(VLOOKUP(A4320,'Discount Lookup'!J:K,2)*G4320*(1-PlanterDiscount)*(1+PlanterDifficultyPercentage)),IF(AE4320="ELP",(VLOOKUP(A4320,'Discount Lookup'!J:K,2)*G4320*(1-PlanterDiscount)*(1+PlanterDifficultyPercentage)),IF(AE4320="free","re-planting",IF(G4320=0,"",IF(PlanterYesMe="",IF(AE4320="me","   not ELP, by",IF(AE4320="",IF(G4320&gt;0,(VLOOKUP(A4320,'Discount Lookup'!J:K,2)*G4320*(1-PlanterDiscount)*(1+PlanterDifficultyPercentage)),""),"")),"   not ELP, by"))))))))))))))</f>
        <v/>
      </c>
      <c r="AD4320" s="712"/>
      <c r="AE4320" s="513" t="str">
        <f t="shared" si="3236"/>
        <v/>
      </c>
      <c r="AF4320" s="713" t="str">
        <f t="shared" si="3237"/>
        <v/>
      </c>
      <c r="AG4320" s="713"/>
      <c r="AH4320" s="713"/>
      <c r="AI4320" s="112">
        <f>IF(H4320="credit",0,IF(AE4320="free",0,IF(AE4320="me",0,IF(G4320&gt;0,(VLOOKUP(A4320,'Discount Lookup'!J:K,2)*G4320),0))))</f>
        <v>0</v>
      </c>
      <c r="AJ4320" s="107" t="str">
        <f t="shared" ca="1" si="3238"/>
        <v/>
      </c>
      <c r="AK4320" s="714" t="str">
        <f t="shared" si="3239"/>
        <v/>
      </c>
      <c r="AL4320" s="714"/>
      <c r="AM4320" s="114" t="str">
        <f t="shared" si="3240"/>
        <v/>
      </c>
      <c r="AN4320" s="115"/>
      <c r="AO4320" s="116"/>
      <c r="AP4320" s="116"/>
      <c r="AQ4320" s="116"/>
      <c r="AR4320" s="116"/>
      <c r="AS4320" s="116"/>
      <c r="AT4320" s="116"/>
      <c r="AU4320" s="116"/>
      <c r="AV4320" s="78"/>
      <c r="AW4320" s="102"/>
      <c r="AX4320" s="78"/>
      <c r="AY4320" s="78"/>
      <c r="AZ4320" s="78"/>
      <c r="BA4320" s="78"/>
      <c r="BB4320" s="78"/>
      <c r="BC4320" s="78"/>
      <c r="BD4320" s="78"/>
      <c r="BE4320" s="465"/>
      <c r="BF4320" s="165" t="str">
        <f t="shared" si="3241"/>
        <v>https://www.google.com/search?tbm=isch&amp;q=3%20G6</v>
      </c>
      <c r="BG4320" s="165" t="str">
        <f t="shared" si="3242"/>
        <v>V</v>
      </c>
      <c r="BH4320" s="65"/>
      <c r="BI4320" s="65"/>
      <c r="BJ4320" s="65"/>
      <c r="BK4320" s="65"/>
      <c r="BL4320" s="99"/>
      <c r="BM4320" s="99"/>
      <c r="BN4320" s="99"/>
    </row>
    <row r="4321" spans="1:66" s="51" customFormat="1" ht="15.75" x14ac:dyDescent="0.25">
      <c r="A4321" s="478">
        <v>5</v>
      </c>
      <c r="B4321" s="479" t="s">
        <v>291</v>
      </c>
      <c r="C4321" s="480" t="s">
        <v>4663</v>
      </c>
      <c r="D4321" s="481" t="s">
        <v>299</v>
      </c>
      <c r="E4321" s="482">
        <v>86.95</v>
      </c>
      <c r="F4321" s="483" t="s">
        <v>292</v>
      </c>
      <c r="G4321" s="484">
        <v>0</v>
      </c>
      <c r="H4321" s="688" t="str">
        <f>IF(G4321=0,"",IF(F4321="Buy",IF(G4321=1,"plant","plants"),IF(F4321&gt;0.01,"warranty","Error")))</f>
        <v/>
      </c>
      <c r="I4321" s="485">
        <f>IF(H4321="free",0,IF(H4321="credit",((E4321*(F4321))*G4321*-1),IF(F4321="Buy",(E4321*G4321),((E4321*(1-F4321))*G4321))))</f>
        <v>0</v>
      </c>
      <c r="J4321" s="485">
        <f>IF(H4321="warranty",0,(I4321*(_xlfn.SINGLE(SalesTaxPercentage))))</f>
        <v>0</v>
      </c>
      <c r="K4321" s="715">
        <f t="shared" ref="K4321" si="3251">I4321+J4321</f>
        <v>0</v>
      </c>
      <c r="L4321" s="715"/>
      <c r="M4321" s="689" t="str">
        <f ca="1">IF(AND(G4321&gt;0,E4321=0),"WARNING - no PRICE inserted",IF(H4321="free","FREE ~ no charge this plant",IF(H4321="credit",CONCATENATE("-$",ROUND(K4321*(1-_xlfn.SINGLE(T2GDiscount))*-1,2)," CREDIT after discount"),IF(_xlfn.SINGLE(T2GDiscount)=0,"",IF(G4321=0,"",IF(F4321="Buy",CONCATENATE("$",ROUND(K4321*(1-_xlfn.SINGLE(T2GDiscount)),2)," with ",(_xlfn.SINGLE(T2GDiscount)*100),"% discount"),CONCATENATE("$",ROUND(K4321*(1-_xlfn.SINGLE(T2GDiscount)),2)," with ",((_xlfn.SINGLE(T2GDiscount)*100+F4321*100)-(_xlfn.SINGLE(T2GDiscount)*100*F4321)),IF(F4321&gt;0,"% discounts",IF(_xlfn.SINGLE(NoWarrantyDiscount)&gt;0,"% discounts","% discount")))))))))</f>
        <v/>
      </c>
      <c r="N4321" s="690"/>
      <c r="O4321" s="486"/>
      <c r="P4321" s="486"/>
      <c r="Q4321" s="486"/>
      <c r="R4321" s="486"/>
      <c r="S4321" s="486"/>
      <c r="T4321" s="102">
        <f t="shared" si="3230"/>
        <v>0</v>
      </c>
      <c r="U4321" s="78">
        <f>IF(NOT(ISNUMBER(G4321)), "", VLOOKUP(A4321,'Discount Lookup'!D:E,2,FALSE)*G4321)</f>
        <v>0</v>
      </c>
      <c r="V4321" s="78">
        <f>IF(NOT(ISNUMBER(G4321)), "", VLOOKUP(A4321,'Discount Lookup'!G:H,2,FALSE)*G4321)</f>
        <v>0</v>
      </c>
      <c r="W4321" s="102">
        <f t="shared" si="3231"/>
        <v>0</v>
      </c>
      <c r="X4321" s="102">
        <f t="shared" si="3232"/>
        <v>0</v>
      </c>
      <c r="Y4321" s="120" t="b">
        <f t="shared" si="3233"/>
        <v>0</v>
      </c>
      <c r="Z4321" s="117">
        <f t="shared" si="3234"/>
        <v>0</v>
      </c>
      <c r="AA4321" s="118"/>
      <c r="AB4321" s="118" t="str">
        <f t="shared" si="3235"/>
        <v/>
      </c>
      <c r="AC4321" s="712" t="str">
        <f>IF(AE4321="T2G","no charge",IF(AND(OR(PlanterYesMe="No",PlanterYesMe="N",PlanterYesMe="me"),H4321=""),"",IF(H4321="credit","NO install",IF(AND(K4321="",AE4321="me"),"EACH row",IF(AND(K4321="images",AE4321="me"),"EACH row",IF(D4321="","",IF(H4321="credit","",IF(AE4321="free","re-planting",IF(AE4321="me","   not ELP, by",IF(AND(OR(PlanterYesMe="Yes",PlanterYesMe="Y"),G4321&gt;0),(VLOOKUP(A4321,'Discount Lookup'!J:K,2)*G4321*(1-PlanterDiscount)*(1+PlanterDifficultyPercentage)),IF(AE4321="ELP",(VLOOKUP(A4321,'Discount Lookup'!J:K,2)*G4321*(1-PlanterDiscount)*(1+PlanterDifficultyPercentage)),IF(AE4321="free","re-planting",IF(G4321=0,"",IF(PlanterYesMe="",IF(AE4321="me","   not ELP, by",IF(AE4321="",IF(G4321&gt;0,(VLOOKUP(A4321,'Discount Lookup'!J:K,2)*G4321*(1-PlanterDiscount)*(1+PlanterDifficultyPercentage)),""),"")),"   not ELP, by"))))))))))))))</f>
        <v/>
      </c>
      <c r="AD4321" s="712"/>
      <c r="AE4321" s="513" t="str">
        <f t="shared" si="3236"/>
        <v/>
      </c>
      <c r="AF4321" s="713" t="str">
        <f t="shared" si="3237"/>
        <v/>
      </c>
      <c r="AG4321" s="713"/>
      <c r="AH4321" s="713"/>
      <c r="AI4321" s="112">
        <f>IF(H4321="credit",0,IF(AE4321="free",0,IF(AE4321="me",0,IF(G4321&gt;0,(VLOOKUP(A4321,'Discount Lookup'!J:K,2)*G4321),0))))</f>
        <v>0</v>
      </c>
      <c r="AJ4321" s="107" t="str">
        <f t="shared" ca="1" si="3238"/>
        <v/>
      </c>
      <c r="AK4321" s="714" t="str">
        <f t="shared" si="3239"/>
        <v/>
      </c>
      <c r="AL4321" s="714"/>
      <c r="AM4321" s="114" t="str">
        <f t="shared" si="3240"/>
        <v/>
      </c>
      <c r="AN4321" s="115"/>
      <c r="AO4321" s="116"/>
      <c r="AP4321" s="116"/>
      <c r="AQ4321" s="116"/>
      <c r="AR4321" s="116"/>
      <c r="AS4321" s="116"/>
      <c r="AT4321" s="116"/>
      <c r="AU4321" s="116"/>
      <c r="AV4321" s="78"/>
      <c r="AW4321" s="102"/>
      <c r="AX4321" s="78"/>
      <c r="AY4321" s="78"/>
      <c r="AZ4321" s="78"/>
      <c r="BA4321" s="78"/>
      <c r="BB4321" s="78"/>
      <c r="BC4321" s="78"/>
      <c r="BD4321" s="78"/>
      <c r="BE4321" s="465"/>
      <c r="BF4321" s="165" t="str">
        <f t="shared" si="3241"/>
        <v>https://www.google.com/search?tbm=isch&amp;q=5%20G4</v>
      </c>
      <c r="BG4321" s="165" t="str">
        <f t="shared" si="3242"/>
        <v>V</v>
      </c>
      <c r="BH4321" s="65"/>
      <c r="BI4321" s="65"/>
      <c r="BJ4321" s="65"/>
      <c r="BK4321" s="65"/>
      <c r="BL4321" s="99"/>
      <c r="BM4321" s="99"/>
      <c r="BN4321" s="99"/>
    </row>
    <row r="4322" spans="1:66" s="51" customFormat="1" ht="17.25" thickBot="1" x14ac:dyDescent="0.3">
      <c r="A4322" s="705" t="s">
        <v>5569</v>
      </c>
      <c r="B4322" s="487"/>
      <c r="C4322" s="707"/>
      <c r="D4322" s="487"/>
      <c r="E4322" s="487"/>
      <c r="F4322" s="488"/>
      <c r="G4322" s="489"/>
      <c r="H4322" s="487"/>
      <c r="I4322" s="490"/>
      <c r="J4322" s="490"/>
      <c r="K4322" s="491"/>
      <c r="L4322" s="547"/>
      <c r="M4322" s="528"/>
      <c r="N4322" s="492"/>
      <c r="O4322" s="493"/>
      <c r="P4322" s="494"/>
      <c r="Q4322" s="492"/>
      <c r="R4322" s="492"/>
      <c r="S4322" s="699" t="s">
        <v>5280</v>
      </c>
      <c r="T4322" s="102">
        <f t="shared" si="3230"/>
        <v>0</v>
      </c>
      <c r="U4322" s="78" t="str">
        <f>IF(NOT(ISNUMBER(G4322)), "", VLOOKUP(A4322,'Discount Lookup'!D:E,2,FALSE)*G4322)</f>
        <v/>
      </c>
      <c r="V4322" s="78" t="str">
        <f>IF(NOT(ISNUMBER(G4322)), "", VLOOKUP(A4322,'Discount Lookup'!G:H,2,FALSE)*G4322)</f>
        <v/>
      </c>
      <c r="W4322" s="102">
        <f t="shared" si="3231"/>
        <v>0</v>
      </c>
      <c r="X4322" s="102">
        <f t="shared" si="3232"/>
        <v>0</v>
      </c>
      <c r="Y4322" s="120" t="b">
        <f t="shared" si="3233"/>
        <v>0</v>
      </c>
      <c r="Z4322" s="117">
        <f t="shared" si="3234"/>
        <v>0</v>
      </c>
      <c r="AA4322" s="118"/>
      <c r="AB4322" s="118" t="str">
        <f t="shared" si="3235"/>
        <v/>
      </c>
      <c r="AC4322" s="712" t="str">
        <f>IF(AE4322="T2G","no charge",IF(AND(OR(PlanterYesMe="No",PlanterYesMe="N",PlanterYesMe="me"),H4322=""),"",IF(H4322="credit","NO install",IF(AND(K4322="",AE4322="me"),"EACH row",IF(AND(K4322="images",AE4322="me"),"EACH row",IF(D4322="","",IF(H4322="credit","",IF(AE4322="free","re-planting",IF(AE4322="me","   not ELP, by",IF(AND(OR(PlanterYesMe="Yes",PlanterYesMe="Y"),G4322&gt;0),(VLOOKUP(A4322,'Discount Lookup'!J:K,2)*G4322*(1-PlanterDiscount)*(1+PlanterDifficultyPercentage)),IF(AE4322="ELP",(VLOOKUP(A4322,'Discount Lookup'!J:K,2)*G4322*(1-PlanterDiscount)*(1+PlanterDifficultyPercentage)),IF(AE4322="free","re-planting",IF(G4322=0,"",IF(PlanterYesMe="",IF(AE4322="me","   not ELP, by",IF(AE4322="",IF(G4322&gt;0,(VLOOKUP(A4322,'Discount Lookup'!J:K,2)*G4322*(1-PlanterDiscount)*(1+PlanterDifficultyPercentage)),""),"")),"   not ELP, by"))))))))))))))</f>
        <v/>
      </c>
      <c r="AD4322" s="712"/>
      <c r="AE4322" s="513" t="str">
        <f t="shared" si="3236"/>
        <v/>
      </c>
      <c r="AF4322" s="713" t="str">
        <f t="shared" si="3237"/>
        <v/>
      </c>
      <c r="AG4322" s="713"/>
      <c r="AH4322" s="713"/>
      <c r="AI4322" s="112">
        <f>IF(H4322="credit",0,IF(AE4322="free",0,IF(AE4322="me",0,IF(G4322&gt;0,(VLOOKUP(A4322,'Discount Lookup'!J:K,2)*G4322),0))))</f>
        <v>0</v>
      </c>
      <c r="AJ4322" s="107" t="str">
        <f t="shared" ca="1" si="3238"/>
        <v/>
      </c>
      <c r="AK4322" s="714" t="str">
        <f t="shared" si="3239"/>
        <v/>
      </c>
      <c r="AL4322" s="714"/>
      <c r="AM4322" s="114" t="str">
        <f t="shared" si="3240"/>
        <v/>
      </c>
      <c r="AN4322" s="115"/>
      <c r="AO4322" s="116"/>
      <c r="AP4322" s="116"/>
      <c r="AQ4322" s="116"/>
      <c r="AR4322" s="116"/>
      <c r="AS4322" s="116"/>
      <c r="AT4322" s="116"/>
      <c r="AU4322" s="116"/>
      <c r="AV4322" s="78"/>
      <c r="AW4322" s="102"/>
      <c r="AX4322" s="78"/>
      <c r="AY4322" s="78"/>
      <c r="AZ4322" s="78"/>
      <c r="BA4322" s="78"/>
      <c r="BB4322" s="78"/>
      <c r="BC4322" s="78"/>
      <c r="BD4322" s="78"/>
      <c r="BE4322" s="465"/>
      <c r="BF4322" s="165" t="str">
        <f t="shared" si="3241"/>
        <v>https://www.google.com/search?tbm=isch&amp;q=moist%20sites%F0%9F%92%A7BEST%2C%20Raulston%20Hardy%20is%20durable%2C%20with%20Glossy%20Green%20foliage%2C%20many%20White%20flowers%20in%20spring%2C%20and%20then%20black%20fruit%20</v>
      </c>
      <c r="BG4322" s="165" t="str">
        <f t="shared" si="3242"/>
        <v>m</v>
      </c>
      <c r="BH4322" s="65"/>
      <c r="BI4322" s="65"/>
      <c r="BJ4322" s="65"/>
      <c r="BK4322" s="65"/>
      <c r="BL4322" s="99"/>
      <c r="BM4322" s="99"/>
      <c r="BN4322" s="99"/>
    </row>
    <row r="4323" spans="1:66" s="51" customFormat="1" ht="18" x14ac:dyDescent="0.25">
      <c r="A4323" s="623" t="s">
        <v>4474</v>
      </c>
      <c r="B4323" s="624"/>
      <c r="C4323" s="709"/>
      <c r="D4323" s="625" t="s">
        <v>4475</v>
      </c>
      <c r="E4323" s="626"/>
      <c r="F4323" s="626"/>
      <c r="G4323" s="626"/>
      <c r="H4323" s="622" t="s">
        <v>1419</v>
      </c>
      <c r="I4323" s="627" t="s">
        <v>4476</v>
      </c>
      <c r="J4323" s="628"/>
      <c r="K4323" s="628"/>
      <c r="L4323" s="629"/>
      <c r="M4323" s="700" t="s">
        <v>5249</v>
      </c>
      <c r="N4323" s="693" t="str">
        <f>IF(AND(ISTEXT($A4323), ISERROR($A4323+0)), HYPERLINK($BF4323, "Images"), "")</f>
        <v>Images</v>
      </c>
      <c r="O4323" s="695" t="s">
        <v>5247</v>
      </c>
      <c r="P4323" s="630"/>
      <c r="Q4323" s="631"/>
      <c r="R4323" s="632"/>
      <c r="S4323" s="633"/>
      <c r="T4323" s="102">
        <f t="shared" si="3230"/>
        <v>0</v>
      </c>
      <c r="U4323" s="78" t="str">
        <f>IF(NOT(ISNUMBER(G4323)), "", VLOOKUP(A4323,'Discount Lookup'!D:E,2,FALSE)*G4323)</f>
        <v/>
      </c>
      <c r="V4323" s="78" t="str">
        <f>IF(NOT(ISNUMBER(G4323)), "", VLOOKUP(A4323,'Discount Lookup'!G:H,2,FALSE)*G4323)</f>
        <v/>
      </c>
      <c r="W4323" s="102">
        <f t="shared" si="3231"/>
        <v>0</v>
      </c>
      <c r="X4323" s="102" t="str">
        <f t="shared" si="3232"/>
        <v>Green to White bloom</v>
      </c>
      <c r="Y4323" s="120" t="b">
        <f t="shared" si="3233"/>
        <v>0</v>
      </c>
      <c r="Z4323" s="117">
        <f t="shared" si="3234"/>
        <v>0</v>
      </c>
      <c r="AA4323" s="118"/>
      <c r="AB4323" s="118" t="str">
        <f t="shared" si="3235"/>
        <v/>
      </c>
      <c r="AC4323" s="712" t="str">
        <f>IF(AE4323="T2G","no charge",IF(AND(OR(PlanterYesMe="No",PlanterYesMe="N",PlanterYesMe="me"),H4323=""),"",IF(H4323="credit","NO install",IF(AND(K4323="",AE4323="me"),"EACH row",IF(AND(K4323="images",AE4323="me"),"EACH row",IF(D4323="","",IF(H4323="credit","",IF(AE4323="free","re-planting",IF(AE4323="me","   not ELP, by",IF(AND(OR(PlanterYesMe="Yes",PlanterYesMe="Y"),G4323&gt;0),(VLOOKUP(A4323,'Discount Lookup'!J:K,2)*G4323*(1-PlanterDiscount)*(1+PlanterDifficultyPercentage)),IF(AE4323="ELP",(VLOOKUP(A4323,'Discount Lookup'!J:K,2)*G4323*(1-PlanterDiscount)*(1+PlanterDifficultyPercentage)),IF(AE4323="free","re-planting",IF(G4323=0,"",IF(PlanterYesMe="",IF(AE4323="me","   not ELP, by",IF(AE4323="",IF(G4323&gt;0,(VLOOKUP(A4323,'Discount Lookup'!J:K,2)*G4323*(1-PlanterDiscount)*(1+PlanterDifficultyPercentage)),""),"")),"   not ELP, by"))))))))))))))</f>
        <v/>
      </c>
      <c r="AD4323" s="712"/>
      <c r="AE4323" s="513" t="str">
        <f t="shared" si="3236"/>
        <v/>
      </c>
      <c r="AF4323" s="713" t="str">
        <f t="shared" si="3237"/>
        <v/>
      </c>
      <c r="AG4323" s="713"/>
      <c r="AH4323" s="713"/>
      <c r="AI4323" s="112">
        <f>IF(H4323="credit",0,IF(AE4323="free",0,IF(AE4323="me",0,IF(G4323&gt;0,(VLOOKUP(A4323,'Discount Lookup'!J:K,2)*G4323),0))))</f>
        <v>0</v>
      </c>
      <c r="AJ4323" s="107" t="str">
        <f t="shared" ca="1" si="3238"/>
        <v/>
      </c>
      <c r="AK4323" s="714" t="str">
        <f t="shared" si="3239"/>
        <v/>
      </c>
      <c r="AL4323" s="714"/>
      <c r="AM4323" s="114" t="str">
        <f t="shared" si="3240"/>
        <v/>
      </c>
      <c r="AN4323" s="115"/>
      <c r="AO4323" s="116"/>
      <c r="AP4323" s="116"/>
      <c r="AQ4323" s="116"/>
      <c r="AR4323" s="116"/>
      <c r="AS4323" s="116"/>
      <c r="AT4323" s="116"/>
      <c r="AU4323" s="116"/>
      <c r="AV4323" s="78"/>
      <c r="AW4323" s="102"/>
      <c r="AX4323" s="78"/>
      <c r="AY4323" s="78"/>
      <c r="AZ4323" s="78"/>
      <c r="BA4323" s="78"/>
      <c r="BB4323" s="78"/>
      <c r="BC4323" s="78"/>
      <c r="BD4323" s="78"/>
      <c r="BE4323" s="465"/>
      <c r="BF4323" s="165" t="str">
        <f t="shared" si="3241"/>
        <v>https://www.google.com/search?tbm=isch&amp;q=Viburnum%20opulus%20%27Roseum%27%20European%20Snowball%20Viburnum</v>
      </c>
      <c r="BG4323" s="165" t="str">
        <f t="shared" si="3242"/>
        <v>V</v>
      </c>
      <c r="BH4323" s="65"/>
      <c r="BI4323" s="65"/>
      <c r="BJ4323" s="65"/>
      <c r="BK4323" s="65"/>
      <c r="BL4323" s="99"/>
      <c r="BM4323" s="99"/>
      <c r="BN4323" s="99"/>
    </row>
    <row r="4324" spans="1:66" s="51" customFormat="1" ht="27" x14ac:dyDescent="0.25">
      <c r="A4324" s="634">
        <v>15</v>
      </c>
      <c r="B4324" s="635" t="s">
        <v>291</v>
      </c>
      <c r="C4324" s="636" t="s">
        <v>4477</v>
      </c>
      <c r="D4324" s="637" t="s">
        <v>299</v>
      </c>
      <c r="E4324" s="638">
        <v>196.95</v>
      </c>
      <c r="F4324" s="639" t="s">
        <v>292</v>
      </c>
      <c r="G4324" s="484">
        <v>0</v>
      </c>
      <c r="H4324" s="691" t="str">
        <f>IF(G4324=0,"",IF(F4324="Buy",IF(G4324=1,"plant","plants"),IF(F4324&gt;0.01,"warranty","Error")))</f>
        <v/>
      </c>
      <c r="I4324" s="640">
        <f>IF(H4324="free",0,IF(H4324="credit",((E4324*(F4324))*G4324*-1),IF(F4324="Buy",(E4324*G4324),((E4324*(1-F4324))*G4324))))</f>
        <v>0</v>
      </c>
      <c r="J4324" s="640">
        <f>IF(H4324="warranty",0,(I4324*(_xlfn.SINGLE(SalesTaxPercentage))))</f>
        <v>0</v>
      </c>
      <c r="K4324" s="716">
        <f t="shared" ref="K4324" si="3252">I4324+J4324</f>
        <v>0</v>
      </c>
      <c r="L4324" s="716"/>
      <c r="M4324" s="689" t="str">
        <f ca="1">IF(AND(G4324&gt;0,E4324=0),"WARNING - no PRICE inserted",IF(H4324="free","FREE ~ no charge this plant",IF(H4324="credit",CONCATENATE("-$",ROUND(K4324*(1-_xlfn.SINGLE(T2GDiscount))*-1,2)," CREDIT after discount"),IF(_xlfn.SINGLE(T2GDiscount)=0,"",IF(G4324=0,"",IF(F4324="Buy",CONCATENATE("$",ROUND(K4324*(1-_xlfn.SINGLE(T2GDiscount)),2)," with ",(_xlfn.SINGLE(T2GDiscount)*100),"% discount"),CONCATENATE("$",ROUND(K4324*(1-_xlfn.SINGLE(T2GDiscount)),2)," with ",((_xlfn.SINGLE(T2GDiscount)*100+F4324*100)-(_xlfn.SINGLE(T2GDiscount)*100*F4324)),IF(F4324&gt;0,"% discounts",IF(_xlfn.SINGLE(NoWarrantyDiscount)&gt;0,"% discounts","% discount")))))))))</f>
        <v/>
      </c>
      <c r="N4324" s="690"/>
      <c r="O4324" s="486"/>
      <c r="P4324" s="486"/>
      <c r="Q4324" s="486"/>
      <c r="R4324" s="486"/>
      <c r="S4324" s="486"/>
      <c r="T4324" s="102">
        <f t="shared" si="3230"/>
        <v>0</v>
      </c>
      <c r="U4324" s="78">
        <f>IF(NOT(ISNUMBER(G4324)), "", VLOOKUP(A4324,'Discount Lookup'!D:E,2,FALSE)*G4324)</f>
        <v>0</v>
      </c>
      <c r="V4324" s="78">
        <f>IF(NOT(ISNUMBER(G4324)), "", VLOOKUP(A4324,'Discount Lookup'!G:H,2,FALSE)*G4324)</f>
        <v>0</v>
      </c>
      <c r="W4324" s="102">
        <f t="shared" si="3231"/>
        <v>0</v>
      </c>
      <c r="X4324" s="102">
        <f t="shared" si="3232"/>
        <v>0</v>
      </c>
      <c r="Y4324" s="120" t="b">
        <f t="shared" si="3233"/>
        <v>0</v>
      </c>
      <c r="Z4324" s="117">
        <f t="shared" si="3234"/>
        <v>0</v>
      </c>
      <c r="AA4324" s="118"/>
      <c r="AB4324" s="118" t="str">
        <f t="shared" si="3235"/>
        <v/>
      </c>
      <c r="AC4324" s="712" t="str">
        <f>IF(AE4324="T2G","no charge",IF(AND(OR(PlanterYesMe="No",PlanterYesMe="N",PlanterYesMe="me"),H4324=""),"",IF(H4324="credit","NO install",IF(AND(K4324="",AE4324="me"),"EACH row",IF(AND(K4324="images",AE4324="me"),"EACH row",IF(D4324="","",IF(H4324="credit","",IF(AE4324="free","re-planting",IF(AE4324="me","   not ELP, by",IF(AND(OR(PlanterYesMe="Yes",PlanterYesMe="Y"),G4324&gt;0),(VLOOKUP(A4324,'Discount Lookup'!J:K,2)*G4324*(1-PlanterDiscount)*(1+PlanterDifficultyPercentage)),IF(AE4324="ELP",(VLOOKUP(A4324,'Discount Lookup'!J:K,2)*G4324*(1-PlanterDiscount)*(1+PlanterDifficultyPercentage)),IF(AE4324="free","re-planting",IF(G4324=0,"",IF(PlanterYesMe="",IF(AE4324="me","   not ELP, by",IF(AE4324="",IF(G4324&gt;0,(VLOOKUP(A4324,'Discount Lookup'!J:K,2)*G4324*(1-PlanterDiscount)*(1+PlanterDifficultyPercentage)),""),"")),"   not ELP, by"))))))))))))))</f>
        <v/>
      </c>
      <c r="AD4324" s="712"/>
      <c r="AE4324" s="513" t="str">
        <f t="shared" si="3236"/>
        <v/>
      </c>
      <c r="AF4324" s="713" t="str">
        <f t="shared" si="3237"/>
        <v/>
      </c>
      <c r="AG4324" s="713"/>
      <c r="AH4324" s="713"/>
      <c r="AI4324" s="112">
        <f>IF(H4324="credit",0,IF(AE4324="free",0,IF(AE4324="me",0,IF(G4324&gt;0,(VLOOKUP(A4324,'Discount Lookup'!J:K,2)*G4324),0))))</f>
        <v>0</v>
      </c>
      <c r="AJ4324" s="107" t="str">
        <f t="shared" ca="1" si="3238"/>
        <v/>
      </c>
      <c r="AK4324" s="714" t="str">
        <f t="shared" si="3239"/>
        <v/>
      </c>
      <c r="AL4324" s="714"/>
      <c r="AM4324" s="114" t="str">
        <f t="shared" si="3240"/>
        <v/>
      </c>
      <c r="AN4324" s="115"/>
      <c r="AO4324" s="116"/>
      <c r="AP4324" s="116"/>
      <c r="AQ4324" s="116"/>
      <c r="AR4324" s="116"/>
      <c r="AS4324" s="116"/>
      <c r="AT4324" s="116"/>
      <c r="AU4324" s="116"/>
      <c r="AV4324" s="78"/>
      <c r="AW4324" s="102"/>
      <c r="AX4324" s="78"/>
      <c r="AY4324" s="78"/>
      <c r="AZ4324" s="78"/>
      <c r="BA4324" s="78"/>
      <c r="BB4324" s="78"/>
      <c r="BC4324" s="78"/>
      <c r="BD4324" s="78"/>
      <c r="BE4324" s="465"/>
      <c r="BF4324" s="165" t="str">
        <f t="shared" si="3241"/>
        <v>https://www.google.com/search?tbm=isch&amp;q=15%20G4</v>
      </c>
      <c r="BG4324" s="165" t="str">
        <f t="shared" si="3242"/>
        <v>V</v>
      </c>
      <c r="BH4324" s="65"/>
      <c r="BI4324" s="65"/>
      <c r="BJ4324" s="65"/>
      <c r="BK4324" s="65"/>
      <c r="BL4324" s="99"/>
      <c r="BM4324" s="99"/>
      <c r="BN4324" s="99"/>
    </row>
    <row r="4325" spans="1:66" s="51" customFormat="1" ht="17.25" thickBot="1" x14ac:dyDescent="0.3">
      <c r="A4325" s="704" t="s">
        <v>5570</v>
      </c>
      <c r="B4325" s="642"/>
      <c r="C4325" s="710"/>
      <c r="D4325" s="643"/>
      <c r="E4325" s="643"/>
      <c r="F4325" s="644"/>
      <c r="G4325" s="645"/>
      <c r="H4325" s="646"/>
      <c r="I4325" s="647"/>
      <c r="J4325" s="648"/>
      <c r="K4325" s="649"/>
      <c r="L4325" s="650"/>
      <c r="M4325" s="650"/>
      <c r="N4325" s="644"/>
      <c r="O4325" s="644"/>
      <c r="P4325" s="644"/>
      <c r="Q4325" s="644"/>
      <c r="R4325" s="644"/>
      <c r="S4325" s="651"/>
      <c r="T4325" s="102">
        <f t="shared" si="3230"/>
        <v>0</v>
      </c>
      <c r="U4325" s="78" t="str">
        <f>IF(NOT(ISNUMBER(G4325)), "", VLOOKUP(A4325,'Discount Lookup'!D:E,2,FALSE)*G4325)</f>
        <v/>
      </c>
      <c r="V4325" s="78" t="str">
        <f>IF(NOT(ISNUMBER(G4325)), "", VLOOKUP(A4325,'Discount Lookup'!G:H,2,FALSE)*G4325)</f>
        <v/>
      </c>
      <c r="W4325" s="102">
        <f t="shared" si="3231"/>
        <v>0</v>
      </c>
      <c r="X4325" s="102">
        <f t="shared" si="3232"/>
        <v>0</v>
      </c>
      <c r="Y4325" s="120" t="b">
        <f t="shared" si="3233"/>
        <v>0</v>
      </c>
      <c r="Z4325" s="117">
        <f t="shared" si="3234"/>
        <v>0</v>
      </c>
      <c r="AA4325" s="118"/>
      <c r="AB4325" s="118" t="str">
        <f t="shared" si="3235"/>
        <v/>
      </c>
      <c r="AC4325" s="712" t="str">
        <f>IF(AE4325="T2G","no charge",IF(AND(OR(PlanterYesMe="No",PlanterYesMe="N",PlanterYesMe="me"),H4325=""),"",IF(H4325="credit","NO install",IF(AND(K4325="",AE4325="me"),"EACH row",IF(AND(K4325="images",AE4325="me"),"EACH row",IF(D4325="","",IF(H4325="credit","",IF(AE4325="free","re-planting",IF(AE4325="me","   not ELP, by",IF(AND(OR(PlanterYesMe="Yes",PlanterYesMe="Y"),G4325&gt;0),(VLOOKUP(A4325,'Discount Lookup'!J:K,2)*G4325*(1-PlanterDiscount)*(1+PlanterDifficultyPercentage)),IF(AE4325="ELP",(VLOOKUP(A4325,'Discount Lookup'!J:K,2)*G4325*(1-PlanterDiscount)*(1+PlanterDifficultyPercentage)),IF(AE4325="free","re-planting",IF(G4325=0,"",IF(PlanterYesMe="",IF(AE4325="me","   not ELP, by",IF(AE4325="",IF(G4325&gt;0,(VLOOKUP(A4325,'Discount Lookup'!J:K,2)*G4325*(1-PlanterDiscount)*(1+PlanterDifficultyPercentage)),""),"")),"   not ELP, by"))))))))))))))</f>
        <v/>
      </c>
      <c r="AD4325" s="712"/>
      <c r="AE4325" s="513" t="str">
        <f t="shared" si="3236"/>
        <v/>
      </c>
      <c r="AF4325" s="713" t="str">
        <f t="shared" si="3237"/>
        <v/>
      </c>
      <c r="AG4325" s="713"/>
      <c r="AH4325" s="713"/>
      <c r="AI4325" s="112">
        <f>IF(H4325="credit",0,IF(AE4325="free",0,IF(AE4325="me",0,IF(G4325&gt;0,(VLOOKUP(A4325,'Discount Lookup'!J:K,2)*G4325),0))))</f>
        <v>0</v>
      </c>
      <c r="AJ4325" s="107" t="str">
        <f t="shared" ca="1" si="3238"/>
        <v/>
      </c>
      <c r="AK4325" s="714" t="str">
        <f t="shared" si="3239"/>
        <v/>
      </c>
      <c r="AL4325" s="714"/>
      <c r="AM4325" s="114" t="str">
        <f t="shared" si="3240"/>
        <v/>
      </c>
      <c r="AN4325" s="115"/>
      <c r="AO4325" s="116"/>
      <c r="AP4325" s="116"/>
      <c r="AQ4325" s="116"/>
      <c r="AR4325" s="116"/>
      <c r="AS4325" s="116"/>
      <c r="AT4325" s="116"/>
      <c r="AU4325" s="116"/>
      <c r="AV4325" s="78"/>
      <c r="AW4325" s="102"/>
      <c r="AX4325" s="78"/>
      <c r="AY4325" s="78"/>
      <c r="AZ4325" s="78"/>
      <c r="BA4325" s="78"/>
      <c r="BB4325" s="78"/>
      <c r="BC4325" s="78"/>
      <c r="BD4325" s="78"/>
      <c r="BE4325" s="465"/>
      <c r="BF4325" s="165" t="str">
        <f t="shared" si="3241"/>
        <v>https://www.google.com/search?tbm=isch&amp;q=moist%20sites%F0%9F%92%A7GOOD%2C%20European%20Snowball%20has%20large%2C%20sterile%20snowball%20blooms%20that%20age%20from%20Green%20to%20White%20to%20Blush-Pink.%20Sterile%2C%20so%20no%20fruit.%20Orange-Red%20fall%20color%20</v>
      </c>
      <c r="BG4325" s="165" t="str">
        <f t="shared" si="3242"/>
        <v>m</v>
      </c>
      <c r="BH4325" s="65"/>
      <c r="BI4325" s="65"/>
      <c r="BJ4325" s="65"/>
      <c r="BK4325" s="65"/>
      <c r="BL4325" s="99"/>
      <c r="BM4325" s="99"/>
      <c r="BN4325" s="99"/>
    </row>
    <row r="4326" spans="1:66" s="51" customFormat="1" ht="18" x14ac:dyDescent="0.25">
      <c r="A4326" s="623" t="s">
        <v>4478</v>
      </c>
      <c r="B4326" s="624"/>
      <c r="C4326" s="709"/>
      <c r="D4326" s="625" t="s">
        <v>4479</v>
      </c>
      <c r="E4326" s="626"/>
      <c r="F4326" s="626"/>
      <c r="G4326" s="626"/>
      <c r="H4326" s="622" t="s">
        <v>1572</v>
      </c>
      <c r="I4326" s="627" t="s">
        <v>4476</v>
      </c>
      <c r="J4326" s="628"/>
      <c r="K4326" s="628"/>
      <c r="L4326" s="629"/>
      <c r="M4326" s="700" t="s">
        <v>5249</v>
      </c>
      <c r="N4326" s="693" t="str">
        <f>IF(AND(ISTEXT($A4326), ISERROR($A4326+0)), HYPERLINK($BF4326, "Images"), "")</f>
        <v>Images</v>
      </c>
      <c r="O4326" s="695" t="s">
        <v>5247</v>
      </c>
      <c r="P4326" s="630"/>
      <c r="Q4326" s="631"/>
      <c r="R4326" s="632"/>
      <c r="S4326" s="633"/>
      <c r="T4326" s="102">
        <f t="shared" si="3230"/>
        <v>0</v>
      </c>
      <c r="U4326" s="78" t="str">
        <f>IF(NOT(ISNUMBER(G4326)), "", VLOOKUP(A4326,'Discount Lookup'!D:E,2,FALSE)*G4326)</f>
        <v/>
      </c>
      <c r="V4326" s="78" t="str">
        <f>IF(NOT(ISNUMBER(G4326)), "", VLOOKUP(A4326,'Discount Lookup'!G:H,2,FALSE)*G4326)</f>
        <v/>
      </c>
      <c r="W4326" s="102">
        <f t="shared" si="3231"/>
        <v>0</v>
      </c>
      <c r="X4326" s="102" t="str">
        <f t="shared" si="3232"/>
        <v>Green to White bloom</v>
      </c>
      <c r="Y4326" s="120" t="b">
        <f t="shared" si="3233"/>
        <v>0</v>
      </c>
      <c r="Z4326" s="117">
        <f t="shared" si="3234"/>
        <v>0</v>
      </c>
      <c r="AA4326" s="118"/>
      <c r="AB4326" s="118" t="str">
        <f t="shared" si="3235"/>
        <v/>
      </c>
      <c r="AC4326" s="712" t="str">
        <f>IF(AE4326="T2G","no charge",IF(AND(OR(PlanterYesMe="No",PlanterYesMe="N",PlanterYesMe="me"),H4326=""),"",IF(H4326="credit","NO install",IF(AND(K4326="",AE4326="me"),"EACH row",IF(AND(K4326="images",AE4326="me"),"EACH row",IF(D4326="","",IF(H4326="credit","",IF(AE4326="free","re-planting",IF(AE4326="me","   not ELP, by",IF(AND(OR(PlanterYesMe="Yes",PlanterYesMe="Y"),G4326&gt;0),(VLOOKUP(A4326,'Discount Lookup'!J:K,2)*G4326*(1-PlanterDiscount)*(1+PlanterDifficultyPercentage)),IF(AE4326="ELP",(VLOOKUP(A4326,'Discount Lookup'!J:K,2)*G4326*(1-PlanterDiscount)*(1+PlanterDifficultyPercentage)),IF(AE4326="free","re-planting",IF(G4326=0,"",IF(PlanterYesMe="",IF(AE4326="me","   not ELP, by",IF(AE4326="",IF(G4326&gt;0,(VLOOKUP(A4326,'Discount Lookup'!J:K,2)*G4326*(1-PlanterDiscount)*(1+PlanterDifficultyPercentage)),""),"")),"   not ELP, by"))))))))))))))</f>
        <v/>
      </c>
      <c r="AD4326" s="712"/>
      <c r="AE4326" s="513" t="str">
        <f t="shared" si="3236"/>
        <v/>
      </c>
      <c r="AF4326" s="713" t="str">
        <f t="shared" si="3237"/>
        <v/>
      </c>
      <c r="AG4326" s="713"/>
      <c r="AH4326" s="713"/>
      <c r="AI4326" s="112">
        <f>IF(H4326="credit",0,IF(AE4326="free",0,IF(AE4326="me",0,IF(G4326&gt;0,(VLOOKUP(A4326,'Discount Lookup'!J:K,2)*G4326),0))))</f>
        <v>0</v>
      </c>
      <c r="AJ4326" s="107" t="str">
        <f t="shared" ca="1" si="3238"/>
        <v/>
      </c>
      <c r="AK4326" s="714" t="str">
        <f t="shared" si="3239"/>
        <v/>
      </c>
      <c r="AL4326" s="714"/>
      <c r="AM4326" s="114" t="str">
        <f t="shared" si="3240"/>
        <v/>
      </c>
      <c r="AN4326" s="115"/>
      <c r="AO4326" s="116"/>
      <c r="AP4326" s="116"/>
      <c r="AQ4326" s="116"/>
      <c r="AR4326" s="116"/>
      <c r="AS4326" s="116"/>
      <c r="AT4326" s="116"/>
      <c r="AU4326" s="116"/>
      <c r="AV4326" s="78"/>
      <c r="AW4326" s="102"/>
      <c r="AX4326" s="78"/>
      <c r="AY4326" s="78"/>
      <c r="AZ4326" s="78"/>
      <c r="BA4326" s="78"/>
      <c r="BB4326" s="78"/>
      <c r="BC4326" s="78"/>
      <c r="BD4326" s="78"/>
      <c r="BE4326" s="465"/>
      <c r="BF4326" s="165" t="str">
        <f t="shared" si="3241"/>
        <v>https://www.google.com/search?tbm=isch&amp;q=Viburnum%20opulus%20%27Sterile%27%20Eastern%20Snowball%20Viburnum</v>
      </c>
      <c r="BG4326" s="165" t="str">
        <f t="shared" si="3242"/>
        <v>V</v>
      </c>
      <c r="BH4326" s="65"/>
      <c r="BI4326" s="65"/>
      <c r="BJ4326" s="65"/>
      <c r="BK4326" s="65"/>
      <c r="BL4326" s="99"/>
      <c r="BM4326" s="99"/>
      <c r="BN4326" s="99"/>
    </row>
    <row r="4327" spans="1:66" s="51" customFormat="1" ht="15.75" x14ac:dyDescent="0.25">
      <c r="A4327" s="634">
        <v>3</v>
      </c>
      <c r="B4327" s="635" t="s">
        <v>291</v>
      </c>
      <c r="C4327" s="636" t="s">
        <v>2878</v>
      </c>
      <c r="D4327" s="637" t="s">
        <v>329</v>
      </c>
      <c r="E4327" s="638">
        <v>30.95</v>
      </c>
      <c r="F4327" s="639" t="s">
        <v>292</v>
      </c>
      <c r="G4327" s="484">
        <v>0</v>
      </c>
      <c r="H4327" s="691" t="str">
        <f>IF(G4327=0,"",IF(F4327="Buy",IF(G4327=1,"plant","plants"),IF(F4327&gt;0.01,"warranty","Error")))</f>
        <v/>
      </c>
      <c r="I4327" s="640">
        <f>IF(H4327="free",0,IF(H4327="credit",((E4327*(F4327))*G4327*-1),IF(F4327="Buy",(E4327*G4327),((E4327*(1-F4327))*G4327))))</f>
        <v>0</v>
      </c>
      <c r="J4327" s="640">
        <f>IF(H4327="warranty",0,(I4327*(_xlfn.SINGLE(SalesTaxPercentage))))</f>
        <v>0</v>
      </c>
      <c r="K4327" s="716">
        <f t="shared" ref="K4327" si="3253">I4327+J4327</f>
        <v>0</v>
      </c>
      <c r="L4327" s="716"/>
      <c r="M4327" s="689" t="str">
        <f ca="1">IF(AND(G4327&gt;0,E4327=0),"WARNING - no PRICE inserted",IF(H4327="free","FREE ~ no charge this plant",IF(H4327="credit",CONCATENATE("-$",ROUND(K4327*(1-_xlfn.SINGLE(T2GDiscount))*-1,2)," CREDIT after discount"),IF(_xlfn.SINGLE(T2GDiscount)=0,"",IF(G4327=0,"",IF(F4327="Buy",CONCATENATE("$",ROUND(K4327*(1-_xlfn.SINGLE(T2GDiscount)),2)," with ",(_xlfn.SINGLE(T2GDiscount)*100),"% discount"),CONCATENATE("$",ROUND(K4327*(1-_xlfn.SINGLE(T2GDiscount)),2)," with ",((_xlfn.SINGLE(T2GDiscount)*100+F4327*100)-(_xlfn.SINGLE(T2GDiscount)*100*F4327)),IF(F4327&gt;0,"% discounts",IF(_xlfn.SINGLE(NoWarrantyDiscount)&gt;0,"% discounts","% discount")))))))))</f>
        <v/>
      </c>
      <c r="N4327" s="690"/>
      <c r="O4327" s="486"/>
      <c r="P4327" s="486"/>
      <c r="Q4327" s="486"/>
      <c r="R4327" s="486"/>
      <c r="S4327" s="486"/>
      <c r="T4327" s="102">
        <f t="shared" si="3230"/>
        <v>0</v>
      </c>
      <c r="U4327" s="78">
        <f>IF(NOT(ISNUMBER(G4327)), "", VLOOKUP(A4327,'Discount Lookup'!D:E,2,FALSE)*G4327)</f>
        <v>0</v>
      </c>
      <c r="V4327" s="78">
        <f>IF(NOT(ISNUMBER(G4327)), "", VLOOKUP(A4327,'Discount Lookup'!G:H,2,FALSE)*G4327)</f>
        <v>0</v>
      </c>
      <c r="W4327" s="102">
        <f t="shared" si="3231"/>
        <v>0</v>
      </c>
      <c r="X4327" s="102">
        <f t="shared" si="3232"/>
        <v>0</v>
      </c>
      <c r="Y4327" s="120" t="b">
        <f t="shared" si="3233"/>
        <v>0</v>
      </c>
      <c r="Z4327" s="117">
        <f t="shared" si="3234"/>
        <v>0</v>
      </c>
      <c r="AA4327" s="118"/>
      <c r="AB4327" s="118" t="str">
        <f t="shared" si="3235"/>
        <v/>
      </c>
      <c r="AC4327" s="712" t="str">
        <f>IF(AE4327="T2G","no charge",IF(AND(OR(PlanterYesMe="No",PlanterYesMe="N",PlanterYesMe="me"),H4327=""),"",IF(H4327="credit","NO install",IF(AND(K4327="",AE4327="me"),"EACH row",IF(AND(K4327="images",AE4327="me"),"EACH row",IF(D4327="","",IF(H4327="credit","",IF(AE4327="free","re-planting",IF(AE4327="me","   not ELP, by",IF(AND(OR(PlanterYesMe="Yes",PlanterYesMe="Y"),G4327&gt;0),(VLOOKUP(A4327,'Discount Lookup'!J:K,2)*G4327*(1-PlanterDiscount)*(1+PlanterDifficultyPercentage)),IF(AE4327="ELP",(VLOOKUP(A4327,'Discount Lookup'!J:K,2)*G4327*(1-PlanterDiscount)*(1+PlanterDifficultyPercentage)),IF(AE4327="free","re-planting",IF(G4327=0,"",IF(PlanterYesMe="",IF(AE4327="me","   not ELP, by",IF(AE4327="",IF(G4327&gt;0,(VLOOKUP(A4327,'Discount Lookup'!J:K,2)*G4327*(1-PlanterDiscount)*(1+PlanterDifficultyPercentage)),""),"")),"   not ELP, by"))))))))))))))</f>
        <v/>
      </c>
      <c r="AD4327" s="712"/>
      <c r="AE4327" s="513" t="str">
        <f t="shared" si="3236"/>
        <v/>
      </c>
      <c r="AF4327" s="713" t="str">
        <f t="shared" si="3237"/>
        <v/>
      </c>
      <c r="AG4327" s="713"/>
      <c r="AH4327" s="713"/>
      <c r="AI4327" s="112">
        <f>IF(H4327="credit",0,IF(AE4327="free",0,IF(AE4327="me",0,IF(G4327&gt;0,(VLOOKUP(A4327,'Discount Lookup'!J:K,2)*G4327),0))))</f>
        <v>0</v>
      </c>
      <c r="AJ4327" s="107" t="str">
        <f t="shared" ca="1" si="3238"/>
        <v/>
      </c>
      <c r="AK4327" s="714" t="str">
        <f t="shared" si="3239"/>
        <v/>
      </c>
      <c r="AL4327" s="714"/>
      <c r="AM4327" s="114" t="str">
        <f t="shared" si="3240"/>
        <v/>
      </c>
      <c r="AN4327" s="115"/>
      <c r="AO4327" s="116"/>
      <c r="AP4327" s="116"/>
      <c r="AQ4327" s="116"/>
      <c r="AR4327" s="116"/>
      <c r="AS4327" s="116"/>
      <c r="AT4327" s="116"/>
      <c r="AU4327" s="116"/>
      <c r="AV4327" s="78"/>
      <c r="AW4327" s="102"/>
      <c r="AX4327" s="78"/>
      <c r="AY4327" s="78"/>
      <c r="AZ4327" s="78"/>
      <c r="BA4327" s="78"/>
      <c r="BB4327" s="78"/>
      <c r="BC4327" s="78"/>
      <c r="BD4327" s="78"/>
      <c r="BE4327" s="465"/>
      <c r="BF4327" s="165" t="str">
        <f t="shared" si="3241"/>
        <v>https://www.google.com/search?tbm=isch&amp;q=3%20G2</v>
      </c>
      <c r="BG4327" s="165" t="str">
        <f t="shared" si="3242"/>
        <v>V</v>
      </c>
      <c r="BH4327" s="65"/>
      <c r="BI4327" s="65"/>
      <c r="BJ4327" s="65"/>
      <c r="BK4327" s="65"/>
      <c r="BL4327" s="99"/>
      <c r="BM4327" s="99"/>
      <c r="BN4327" s="99"/>
    </row>
    <row r="4328" spans="1:66" s="51" customFormat="1" ht="15.75" x14ac:dyDescent="0.25">
      <c r="A4328" s="634">
        <v>3</v>
      </c>
      <c r="B4328" s="635" t="s">
        <v>291</v>
      </c>
      <c r="C4328" s="636" t="s">
        <v>4480</v>
      </c>
      <c r="D4328" s="637" t="s">
        <v>311</v>
      </c>
      <c r="E4328" s="638">
        <v>33.950000000000003</v>
      </c>
      <c r="F4328" s="639" t="s">
        <v>292</v>
      </c>
      <c r="G4328" s="484">
        <v>0</v>
      </c>
      <c r="H4328" s="691" t="str">
        <f>IF(G4328=0,"",IF(F4328="Buy",IF(G4328=1,"plant","plants"),IF(F4328&gt;0.01,"warranty","Error")))</f>
        <v/>
      </c>
      <c r="I4328" s="640">
        <f>IF(H4328="free",0,IF(H4328="credit",((E4328*(F4328))*G4328*-1),IF(F4328="Buy",(E4328*G4328),((E4328*(1-F4328))*G4328))))</f>
        <v>0</v>
      </c>
      <c r="J4328" s="640">
        <f>IF(H4328="warranty",0,(I4328*(_xlfn.SINGLE(SalesTaxPercentage))))</f>
        <v>0</v>
      </c>
      <c r="K4328" s="716">
        <f t="shared" ref="K4328" si="3254">I4328+J4328</f>
        <v>0</v>
      </c>
      <c r="L4328" s="716"/>
      <c r="M4328" s="689" t="str">
        <f ca="1">IF(AND(G4328&gt;0,E4328=0),"WARNING - no PRICE inserted",IF(H4328="free","FREE ~ no charge this plant",IF(H4328="credit",CONCATENATE("-$",ROUND(K4328*(1-_xlfn.SINGLE(T2GDiscount))*-1,2)," CREDIT after discount"),IF(_xlfn.SINGLE(T2GDiscount)=0,"",IF(G4328=0,"",IF(F4328="Buy",CONCATENATE("$",ROUND(K4328*(1-_xlfn.SINGLE(T2GDiscount)),2)," with ",(_xlfn.SINGLE(T2GDiscount)*100),"% discount"),CONCATENATE("$",ROUND(K4328*(1-_xlfn.SINGLE(T2GDiscount)),2)," with ",((_xlfn.SINGLE(T2GDiscount)*100+F4328*100)-(_xlfn.SINGLE(T2GDiscount)*100*F4328)),IF(F4328&gt;0,"% discounts",IF(_xlfn.SINGLE(NoWarrantyDiscount)&gt;0,"% discounts","% discount")))))))))</f>
        <v/>
      </c>
      <c r="N4328" s="690"/>
      <c r="O4328" s="486"/>
      <c r="P4328" s="486"/>
      <c r="Q4328" s="486"/>
      <c r="R4328" s="486"/>
      <c r="S4328" s="486"/>
      <c r="T4328" s="102">
        <f t="shared" si="3230"/>
        <v>0</v>
      </c>
      <c r="U4328" s="78">
        <f>IF(NOT(ISNUMBER(G4328)), "", VLOOKUP(A4328,'Discount Lookup'!D:E,2,FALSE)*G4328)</f>
        <v>0</v>
      </c>
      <c r="V4328" s="78">
        <f>IF(NOT(ISNUMBER(G4328)), "", VLOOKUP(A4328,'Discount Lookup'!G:H,2,FALSE)*G4328)</f>
        <v>0</v>
      </c>
      <c r="W4328" s="102">
        <f t="shared" si="3231"/>
        <v>0</v>
      </c>
      <c r="X4328" s="102">
        <f t="shared" si="3232"/>
        <v>0</v>
      </c>
      <c r="Y4328" s="120" t="b">
        <f t="shared" si="3233"/>
        <v>0</v>
      </c>
      <c r="Z4328" s="117">
        <f t="shared" si="3234"/>
        <v>0</v>
      </c>
      <c r="AA4328" s="118"/>
      <c r="AB4328" s="118" t="str">
        <f t="shared" si="3235"/>
        <v/>
      </c>
      <c r="AC4328" s="712" t="str">
        <f>IF(AE4328="T2G","no charge",IF(AND(OR(PlanterYesMe="No",PlanterYesMe="N",PlanterYesMe="me"),H4328=""),"",IF(H4328="credit","NO install",IF(AND(K4328="",AE4328="me"),"EACH row",IF(AND(K4328="images",AE4328="me"),"EACH row",IF(D4328="","",IF(H4328="credit","",IF(AE4328="free","re-planting",IF(AE4328="me","   not ELP, by",IF(AND(OR(PlanterYesMe="Yes",PlanterYesMe="Y"),G4328&gt;0),(VLOOKUP(A4328,'Discount Lookup'!J:K,2)*G4328*(1-PlanterDiscount)*(1+PlanterDifficultyPercentage)),IF(AE4328="ELP",(VLOOKUP(A4328,'Discount Lookup'!J:K,2)*G4328*(1-PlanterDiscount)*(1+PlanterDifficultyPercentage)),IF(AE4328="free","re-planting",IF(G4328=0,"",IF(PlanterYesMe="",IF(AE4328="me","   not ELP, by",IF(AE4328="",IF(G4328&gt;0,(VLOOKUP(A4328,'Discount Lookup'!J:K,2)*G4328*(1-PlanterDiscount)*(1+PlanterDifficultyPercentage)),""),"")),"   not ELP, by"))))))))))))))</f>
        <v/>
      </c>
      <c r="AD4328" s="712"/>
      <c r="AE4328" s="513" t="str">
        <f t="shared" si="3236"/>
        <v/>
      </c>
      <c r="AF4328" s="713" t="str">
        <f t="shared" si="3237"/>
        <v/>
      </c>
      <c r="AG4328" s="713"/>
      <c r="AH4328" s="713"/>
      <c r="AI4328" s="112">
        <f>IF(H4328="credit",0,IF(AE4328="free",0,IF(AE4328="me",0,IF(G4328&gt;0,(VLOOKUP(A4328,'Discount Lookup'!J:K,2)*G4328),0))))</f>
        <v>0</v>
      </c>
      <c r="AJ4328" s="107" t="str">
        <f t="shared" ca="1" si="3238"/>
        <v/>
      </c>
      <c r="AK4328" s="714" t="str">
        <f t="shared" si="3239"/>
        <v/>
      </c>
      <c r="AL4328" s="714"/>
      <c r="AM4328" s="114" t="str">
        <f t="shared" si="3240"/>
        <v/>
      </c>
      <c r="AN4328" s="115"/>
      <c r="AO4328" s="116"/>
      <c r="AP4328" s="116"/>
      <c r="AQ4328" s="116"/>
      <c r="AR4328" s="116"/>
      <c r="AS4328" s="116"/>
      <c r="AT4328" s="116"/>
      <c r="AU4328" s="116"/>
      <c r="AV4328" s="78"/>
      <c r="AW4328" s="102"/>
      <c r="AX4328" s="78"/>
      <c r="AY4328" s="78"/>
      <c r="AZ4328" s="78"/>
      <c r="BA4328" s="78"/>
      <c r="BB4328" s="78"/>
      <c r="BC4328" s="78"/>
      <c r="BD4328" s="78"/>
      <c r="BE4328" s="465"/>
      <c r="BF4328" s="165" t="str">
        <f t="shared" si="3241"/>
        <v>https://www.google.com/search?tbm=isch&amp;q=3%20G5</v>
      </c>
      <c r="BG4328" s="165" t="str">
        <f t="shared" si="3242"/>
        <v>V</v>
      </c>
      <c r="BH4328" s="65"/>
      <c r="BI4328" s="65"/>
      <c r="BJ4328" s="65"/>
      <c r="BK4328" s="65"/>
      <c r="BL4328" s="99"/>
      <c r="BM4328" s="99"/>
      <c r="BN4328" s="99"/>
    </row>
    <row r="4329" spans="1:66" s="51" customFormat="1" ht="17.25" thickBot="1" x14ac:dyDescent="0.3">
      <c r="A4329" s="704" t="s">
        <v>5571</v>
      </c>
      <c r="B4329" s="642"/>
      <c r="C4329" s="710"/>
      <c r="D4329" s="643"/>
      <c r="E4329" s="643"/>
      <c r="F4329" s="644"/>
      <c r="G4329" s="645"/>
      <c r="H4329" s="646"/>
      <c r="I4329" s="647"/>
      <c r="J4329" s="648"/>
      <c r="K4329" s="649"/>
      <c r="L4329" s="650"/>
      <c r="M4329" s="650"/>
      <c r="N4329" s="644"/>
      <c r="O4329" s="644"/>
      <c r="P4329" s="644"/>
      <c r="Q4329" s="644"/>
      <c r="R4329" s="644"/>
      <c r="S4329" s="651"/>
      <c r="T4329" s="102">
        <f t="shared" si="3230"/>
        <v>0</v>
      </c>
      <c r="U4329" s="78" t="str">
        <f>IF(NOT(ISNUMBER(G4329)), "", VLOOKUP(A4329,'Discount Lookup'!D:E,2,FALSE)*G4329)</f>
        <v/>
      </c>
      <c r="V4329" s="78" t="str">
        <f>IF(NOT(ISNUMBER(G4329)), "", VLOOKUP(A4329,'Discount Lookup'!G:H,2,FALSE)*G4329)</f>
        <v/>
      </c>
      <c r="W4329" s="102">
        <f t="shared" si="3231"/>
        <v>0</v>
      </c>
      <c r="X4329" s="102">
        <f t="shared" si="3232"/>
        <v>0</v>
      </c>
      <c r="Y4329" s="120" t="b">
        <f t="shared" si="3233"/>
        <v>0</v>
      </c>
      <c r="Z4329" s="117">
        <f t="shared" si="3234"/>
        <v>0</v>
      </c>
      <c r="AA4329" s="118"/>
      <c r="AB4329" s="118" t="str">
        <f t="shared" si="3235"/>
        <v/>
      </c>
      <c r="AC4329" s="712" t="str">
        <f>IF(AE4329="T2G","no charge",IF(AND(OR(PlanterYesMe="No",PlanterYesMe="N",PlanterYesMe="me"),H4329=""),"",IF(H4329="credit","NO install",IF(AND(K4329="",AE4329="me"),"EACH row",IF(AND(K4329="images",AE4329="me"),"EACH row",IF(D4329="","",IF(H4329="credit","",IF(AE4329="free","re-planting",IF(AE4329="me","   not ELP, by",IF(AND(OR(PlanterYesMe="Yes",PlanterYesMe="Y"),G4329&gt;0),(VLOOKUP(A4329,'Discount Lookup'!J:K,2)*G4329*(1-PlanterDiscount)*(1+PlanterDifficultyPercentage)),IF(AE4329="ELP",(VLOOKUP(A4329,'Discount Lookup'!J:K,2)*G4329*(1-PlanterDiscount)*(1+PlanterDifficultyPercentage)),IF(AE4329="free","re-planting",IF(G4329=0,"",IF(PlanterYesMe="",IF(AE4329="me","   not ELP, by",IF(AE4329="",IF(G4329&gt;0,(VLOOKUP(A4329,'Discount Lookup'!J:K,2)*G4329*(1-PlanterDiscount)*(1+PlanterDifficultyPercentage)),""),"")),"   not ELP, by"))))))))))))))</f>
        <v/>
      </c>
      <c r="AD4329" s="712"/>
      <c r="AE4329" s="513" t="str">
        <f t="shared" si="3236"/>
        <v/>
      </c>
      <c r="AF4329" s="713" t="str">
        <f t="shared" si="3237"/>
        <v/>
      </c>
      <c r="AG4329" s="713"/>
      <c r="AH4329" s="713"/>
      <c r="AI4329" s="112">
        <f>IF(H4329="credit",0,IF(AE4329="free",0,IF(AE4329="me",0,IF(G4329&gt;0,(VLOOKUP(A4329,'Discount Lookup'!J:K,2)*G4329),0))))</f>
        <v>0</v>
      </c>
      <c r="AJ4329" s="107" t="str">
        <f t="shared" ca="1" si="3238"/>
        <v/>
      </c>
      <c r="AK4329" s="714" t="str">
        <f t="shared" si="3239"/>
        <v/>
      </c>
      <c r="AL4329" s="714"/>
      <c r="AM4329" s="114" t="str">
        <f t="shared" si="3240"/>
        <v/>
      </c>
      <c r="AN4329" s="115"/>
      <c r="AO4329" s="116"/>
      <c r="AP4329" s="116"/>
      <c r="AQ4329" s="116"/>
      <c r="AR4329" s="116"/>
      <c r="AS4329" s="116"/>
      <c r="AT4329" s="116"/>
      <c r="AU4329" s="116"/>
      <c r="AV4329" s="78"/>
      <c r="AW4329" s="102"/>
      <c r="AX4329" s="78"/>
      <c r="AY4329" s="78"/>
      <c r="AZ4329" s="78"/>
      <c r="BA4329" s="78"/>
      <c r="BB4329" s="78"/>
      <c r="BC4329" s="78"/>
      <c r="BD4329" s="78"/>
      <c r="BE4329" s="465"/>
      <c r="BF4329" s="165" t="str">
        <f t="shared" si="3241"/>
        <v>https://www.google.com/search?tbm=isch&amp;q=moist%20sites%F0%9F%92%A7GOOD%2C%20Eastern%20Snowball%20delivers%20a%20profusion%20of%20showy%2C%20sterile%20snowball-shaped%20blooms%20and%20vivid%20Red-Purple%20fall%20foliage.%20Sterile%2C%20so%20no%20fruit%20</v>
      </c>
      <c r="BG4329" s="165" t="str">
        <f t="shared" si="3242"/>
        <v>m</v>
      </c>
      <c r="BH4329" s="65"/>
      <c r="BI4329" s="65"/>
      <c r="BJ4329" s="65"/>
      <c r="BK4329" s="65"/>
      <c r="BL4329" s="99"/>
      <c r="BM4329" s="99"/>
      <c r="BN4329" s="99"/>
    </row>
    <row r="4330" spans="1:66" s="51" customFormat="1" ht="18" x14ac:dyDescent="0.25">
      <c r="A4330" s="623" t="s">
        <v>4481</v>
      </c>
      <c r="B4330" s="624"/>
      <c r="C4330" s="709"/>
      <c r="D4330" s="625" t="s">
        <v>4482</v>
      </c>
      <c r="E4330" s="626"/>
      <c r="F4330" s="626"/>
      <c r="G4330" s="626"/>
      <c r="H4330" s="622" t="s">
        <v>1360</v>
      </c>
      <c r="I4330" s="627" t="s">
        <v>349</v>
      </c>
      <c r="J4330" s="628"/>
      <c r="K4330" s="628"/>
      <c r="L4330" s="629"/>
      <c r="M4330" s="700" t="s">
        <v>5249</v>
      </c>
      <c r="N4330" s="693" t="str">
        <f>IF(AND(ISTEXT($A4330), ISERROR($A4330+0)), HYPERLINK($BF4330, "Images"), "")</f>
        <v>Images</v>
      </c>
      <c r="O4330" s="695" t="s">
        <v>5247</v>
      </c>
      <c r="P4330" s="630"/>
      <c r="Q4330" s="631"/>
      <c r="R4330" s="632"/>
      <c r="S4330" s="633"/>
      <c r="T4330" s="102">
        <f t="shared" si="3230"/>
        <v>0</v>
      </c>
      <c r="U4330" s="78" t="str">
        <f>IF(NOT(ISNUMBER(G4330)), "", VLOOKUP(A4330,'Discount Lookup'!D:E,2,FALSE)*G4330)</f>
        <v/>
      </c>
      <c r="V4330" s="78" t="str">
        <f>IF(NOT(ISNUMBER(G4330)), "", VLOOKUP(A4330,'Discount Lookup'!G:H,2,FALSE)*G4330)</f>
        <v/>
      </c>
      <c r="W4330" s="102">
        <f t="shared" si="3231"/>
        <v>0</v>
      </c>
      <c r="X4330" s="102" t="str">
        <f t="shared" si="3232"/>
        <v>White bloom</v>
      </c>
      <c r="Y4330" s="120" t="b">
        <f t="shared" si="3233"/>
        <v>0</v>
      </c>
      <c r="Z4330" s="117">
        <f t="shared" si="3234"/>
        <v>0</v>
      </c>
      <c r="AA4330" s="118"/>
      <c r="AB4330" s="118" t="str">
        <f t="shared" si="3235"/>
        <v/>
      </c>
      <c r="AC4330" s="712" t="str">
        <f>IF(AE4330="T2G","no charge",IF(AND(OR(PlanterYesMe="No",PlanterYesMe="N",PlanterYesMe="me"),H4330=""),"",IF(H4330="credit","NO install",IF(AND(K4330="",AE4330="me"),"EACH row",IF(AND(K4330="images",AE4330="me"),"EACH row",IF(D4330="","",IF(H4330="credit","",IF(AE4330="free","re-planting",IF(AE4330="me","   not ELP, by",IF(AND(OR(PlanterYesMe="Yes",PlanterYesMe="Y"),G4330&gt;0),(VLOOKUP(A4330,'Discount Lookup'!J:K,2)*G4330*(1-PlanterDiscount)*(1+PlanterDifficultyPercentage)),IF(AE4330="ELP",(VLOOKUP(A4330,'Discount Lookup'!J:K,2)*G4330*(1-PlanterDiscount)*(1+PlanterDifficultyPercentage)),IF(AE4330="free","re-planting",IF(G4330=0,"",IF(PlanterYesMe="",IF(AE4330="me","   not ELP, by",IF(AE4330="",IF(G4330&gt;0,(VLOOKUP(A4330,'Discount Lookup'!J:K,2)*G4330*(1-PlanterDiscount)*(1+PlanterDifficultyPercentage)),""),"")),"   not ELP, by"))))))))))))))</f>
        <v/>
      </c>
      <c r="AD4330" s="712"/>
      <c r="AE4330" s="513" t="str">
        <f t="shared" si="3236"/>
        <v/>
      </c>
      <c r="AF4330" s="713" t="str">
        <f t="shared" si="3237"/>
        <v/>
      </c>
      <c r="AG4330" s="713"/>
      <c r="AH4330" s="713"/>
      <c r="AI4330" s="112">
        <f>IF(H4330="credit",0,IF(AE4330="free",0,IF(AE4330="me",0,IF(G4330&gt;0,(VLOOKUP(A4330,'Discount Lookup'!J:K,2)*G4330),0))))</f>
        <v>0</v>
      </c>
      <c r="AJ4330" s="107" t="str">
        <f t="shared" ca="1" si="3238"/>
        <v/>
      </c>
      <c r="AK4330" s="714" t="str">
        <f t="shared" si="3239"/>
        <v/>
      </c>
      <c r="AL4330" s="714"/>
      <c r="AM4330" s="114" t="str">
        <f t="shared" si="3240"/>
        <v/>
      </c>
      <c r="AN4330" s="115"/>
      <c r="AO4330" s="116"/>
      <c r="AP4330" s="116"/>
      <c r="AQ4330" s="116"/>
      <c r="AR4330" s="116"/>
      <c r="AS4330" s="116"/>
      <c r="AT4330" s="116"/>
      <c r="AU4330" s="116"/>
      <c r="AV4330" s="78"/>
      <c r="AW4330" s="102"/>
      <c r="AX4330" s="78"/>
      <c r="AY4330" s="78"/>
      <c r="AZ4330" s="78"/>
      <c r="BA4330" s="78"/>
      <c r="BB4330" s="78"/>
      <c r="BC4330" s="78"/>
      <c r="BD4330" s="78"/>
      <c r="BE4330" s="465"/>
      <c r="BF4330" s="165" t="str">
        <f t="shared" si="3241"/>
        <v>https://www.google.com/search?tbm=isch&amp;q=Viburnum%20plicatum%20%27Mariesii%27%20Doublefile%20Viburnum</v>
      </c>
      <c r="BG4330" s="165" t="str">
        <f t="shared" si="3242"/>
        <v>V</v>
      </c>
      <c r="BH4330" s="65"/>
      <c r="BI4330" s="65"/>
      <c r="BJ4330" s="65"/>
      <c r="BK4330" s="65"/>
      <c r="BL4330" s="99"/>
      <c r="BM4330" s="99"/>
      <c r="BN4330" s="99"/>
    </row>
    <row r="4331" spans="1:66" s="51" customFormat="1" ht="15.75" x14ac:dyDescent="0.25">
      <c r="A4331" s="634">
        <v>3</v>
      </c>
      <c r="B4331" s="635" t="s">
        <v>291</v>
      </c>
      <c r="C4331" s="636" t="s">
        <v>4483</v>
      </c>
      <c r="D4331" s="637" t="s">
        <v>329</v>
      </c>
      <c r="E4331" s="638">
        <v>31.95</v>
      </c>
      <c r="F4331" s="639" t="s">
        <v>292</v>
      </c>
      <c r="G4331" s="484">
        <v>0</v>
      </c>
      <c r="H4331" s="691" t="str">
        <f>IF(G4331=0,"",IF(F4331="Buy",IF(G4331=1,"plant","plants"),IF(F4331&gt;0.01,"warranty","Error")))</f>
        <v/>
      </c>
      <c r="I4331" s="640">
        <f>IF(H4331="free",0,IF(H4331="credit",((E4331*(F4331))*G4331*-1),IF(F4331="Buy",(E4331*G4331),((E4331*(1-F4331))*G4331))))</f>
        <v>0</v>
      </c>
      <c r="J4331" s="640">
        <f>IF(H4331="warranty",0,(I4331*(_xlfn.SINGLE(SalesTaxPercentage))))</f>
        <v>0</v>
      </c>
      <c r="K4331" s="716">
        <f t="shared" ref="K4331" si="3255">I4331+J4331</f>
        <v>0</v>
      </c>
      <c r="L4331" s="716"/>
      <c r="M4331" s="689" t="str">
        <f ca="1">IF(AND(G4331&gt;0,E4331=0),"WARNING - no PRICE inserted",IF(H4331="free","FREE ~ no charge this plant",IF(H4331="credit",CONCATENATE("-$",ROUND(K4331*(1-_xlfn.SINGLE(T2GDiscount))*-1,2)," CREDIT after discount"),IF(_xlfn.SINGLE(T2GDiscount)=0,"",IF(G4331=0,"",IF(F4331="Buy",CONCATENATE("$",ROUND(K4331*(1-_xlfn.SINGLE(T2GDiscount)),2)," with ",(_xlfn.SINGLE(T2GDiscount)*100),"% discount"),CONCATENATE("$",ROUND(K4331*(1-_xlfn.SINGLE(T2GDiscount)),2)," with ",((_xlfn.SINGLE(T2GDiscount)*100+F4331*100)-(_xlfn.SINGLE(T2GDiscount)*100*F4331)),IF(F4331&gt;0,"% discounts",IF(_xlfn.SINGLE(NoWarrantyDiscount)&gt;0,"% discounts","% discount")))))))))</f>
        <v/>
      </c>
      <c r="N4331" s="690"/>
      <c r="O4331" s="486"/>
      <c r="P4331" s="486"/>
      <c r="Q4331" s="486"/>
      <c r="R4331" s="486"/>
      <c r="S4331" s="486"/>
      <c r="T4331" s="102">
        <f t="shared" si="3230"/>
        <v>0</v>
      </c>
      <c r="U4331" s="78">
        <f>IF(NOT(ISNUMBER(G4331)), "", VLOOKUP(A4331,'Discount Lookup'!D:E,2,FALSE)*G4331)</f>
        <v>0</v>
      </c>
      <c r="V4331" s="78">
        <f>IF(NOT(ISNUMBER(G4331)), "", VLOOKUP(A4331,'Discount Lookup'!G:H,2,FALSE)*G4331)</f>
        <v>0</v>
      </c>
      <c r="W4331" s="102">
        <f t="shared" si="3231"/>
        <v>0</v>
      </c>
      <c r="X4331" s="102">
        <f t="shared" si="3232"/>
        <v>0</v>
      </c>
      <c r="Y4331" s="120" t="b">
        <f t="shared" si="3233"/>
        <v>0</v>
      </c>
      <c r="Z4331" s="117">
        <f t="shared" si="3234"/>
        <v>0</v>
      </c>
      <c r="AA4331" s="118"/>
      <c r="AB4331" s="118" t="str">
        <f t="shared" si="3235"/>
        <v/>
      </c>
      <c r="AC4331" s="712" t="str">
        <f>IF(AE4331="T2G","no charge",IF(AND(OR(PlanterYesMe="No",PlanterYesMe="N",PlanterYesMe="me"),H4331=""),"",IF(H4331="credit","NO install",IF(AND(K4331="",AE4331="me"),"EACH row",IF(AND(K4331="images",AE4331="me"),"EACH row",IF(D4331="","",IF(H4331="credit","",IF(AE4331="free","re-planting",IF(AE4331="me","   not ELP, by",IF(AND(OR(PlanterYesMe="Yes",PlanterYesMe="Y"),G4331&gt;0),(VLOOKUP(A4331,'Discount Lookup'!J:K,2)*G4331*(1-PlanterDiscount)*(1+PlanterDifficultyPercentage)),IF(AE4331="ELP",(VLOOKUP(A4331,'Discount Lookup'!J:K,2)*G4331*(1-PlanterDiscount)*(1+PlanterDifficultyPercentage)),IF(AE4331="free","re-planting",IF(G4331=0,"",IF(PlanterYesMe="",IF(AE4331="me","   not ELP, by",IF(AE4331="",IF(G4331&gt;0,(VLOOKUP(A4331,'Discount Lookup'!J:K,2)*G4331*(1-PlanterDiscount)*(1+PlanterDifficultyPercentage)),""),"")),"   not ELP, by"))))))))))))))</f>
        <v/>
      </c>
      <c r="AD4331" s="712"/>
      <c r="AE4331" s="513" t="str">
        <f t="shared" si="3236"/>
        <v/>
      </c>
      <c r="AF4331" s="713" t="str">
        <f t="shared" si="3237"/>
        <v/>
      </c>
      <c r="AG4331" s="713"/>
      <c r="AH4331" s="713"/>
      <c r="AI4331" s="112">
        <f>IF(H4331="credit",0,IF(AE4331="free",0,IF(AE4331="me",0,IF(G4331&gt;0,(VLOOKUP(A4331,'Discount Lookup'!J:K,2)*G4331),0))))</f>
        <v>0</v>
      </c>
      <c r="AJ4331" s="107" t="str">
        <f t="shared" ca="1" si="3238"/>
        <v/>
      </c>
      <c r="AK4331" s="714" t="str">
        <f t="shared" si="3239"/>
        <v/>
      </c>
      <c r="AL4331" s="714"/>
      <c r="AM4331" s="114" t="str">
        <f t="shared" si="3240"/>
        <v/>
      </c>
      <c r="AN4331" s="115"/>
      <c r="AO4331" s="116"/>
      <c r="AP4331" s="116"/>
      <c r="AQ4331" s="116"/>
      <c r="AR4331" s="116"/>
      <c r="AS4331" s="116"/>
      <c r="AT4331" s="116"/>
      <c r="AU4331" s="116"/>
      <c r="AV4331" s="78"/>
      <c r="AW4331" s="102"/>
      <c r="AX4331" s="78"/>
      <c r="AY4331" s="78"/>
      <c r="AZ4331" s="78"/>
      <c r="BA4331" s="78"/>
      <c r="BB4331" s="78"/>
      <c r="BC4331" s="78"/>
      <c r="BD4331" s="78"/>
      <c r="BE4331" s="465"/>
      <c r="BF4331" s="165" t="str">
        <f t="shared" si="3241"/>
        <v>https://www.google.com/search?tbm=isch&amp;q=3%20G2</v>
      </c>
      <c r="BG4331" s="165" t="str">
        <f t="shared" si="3242"/>
        <v>V</v>
      </c>
      <c r="BH4331" s="65"/>
      <c r="BI4331" s="65"/>
      <c r="BJ4331" s="65"/>
      <c r="BK4331" s="65"/>
      <c r="BL4331" s="99"/>
      <c r="BM4331" s="99"/>
      <c r="BN4331" s="99"/>
    </row>
    <row r="4332" spans="1:66" s="51" customFormat="1" ht="17.25" thickBot="1" x14ac:dyDescent="0.3">
      <c r="A4332" s="641" t="s">
        <v>4484</v>
      </c>
      <c r="B4332" s="642"/>
      <c r="C4332" s="710"/>
      <c r="D4332" s="643"/>
      <c r="E4332" s="643"/>
      <c r="F4332" s="644"/>
      <c r="G4332" s="645"/>
      <c r="H4332" s="646"/>
      <c r="I4332" s="647"/>
      <c r="J4332" s="648"/>
      <c r="K4332" s="649"/>
      <c r="L4332" s="650"/>
      <c r="M4332" s="650"/>
      <c r="N4332" s="644"/>
      <c r="O4332" s="644"/>
      <c r="P4332" s="644"/>
      <c r="Q4332" s="644"/>
      <c r="R4332" s="644"/>
      <c r="S4332" s="701" t="s">
        <v>5261</v>
      </c>
      <c r="T4332" s="102">
        <f t="shared" si="3230"/>
        <v>0</v>
      </c>
      <c r="U4332" s="78" t="str">
        <f>IF(NOT(ISNUMBER(G4332)), "", VLOOKUP(A4332,'Discount Lookup'!D:E,2,FALSE)*G4332)</f>
        <v/>
      </c>
      <c r="V4332" s="78" t="str">
        <f>IF(NOT(ISNUMBER(G4332)), "", VLOOKUP(A4332,'Discount Lookup'!G:H,2,FALSE)*G4332)</f>
        <v/>
      </c>
      <c r="W4332" s="102">
        <f t="shared" si="3231"/>
        <v>0</v>
      </c>
      <c r="X4332" s="102">
        <f t="shared" si="3232"/>
        <v>0</v>
      </c>
      <c r="Y4332" s="120" t="b">
        <f t="shared" si="3233"/>
        <v>0</v>
      </c>
      <c r="Z4332" s="117">
        <f t="shared" si="3234"/>
        <v>0</v>
      </c>
      <c r="AA4332" s="118"/>
      <c r="AB4332" s="118" t="str">
        <f t="shared" si="3235"/>
        <v/>
      </c>
      <c r="AC4332" s="712" t="str">
        <f>IF(AE4332="T2G","no charge",IF(AND(OR(PlanterYesMe="No",PlanterYesMe="N",PlanterYesMe="me"),H4332=""),"",IF(H4332="credit","NO install",IF(AND(K4332="",AE4332="me"),"EACH row",IF(AND(K4332="images",AE4332="me"),"EACH row",IF(D4332="","",IF(H4332="credit","",IF(AE4332="free","re-planting",IF(AE4332="me","   not ELP, by",IF(AND(OR(PlanterYesMe="Yes",PlanterYesMe="Y"),G4332&gt;0),(VLOOKUP(A4332,'Discount Lookup'!J:K,2)*G4332*(1-PlanterDiscount)*(1+PlanterDifficultyPercentage)),IF(AE4332="ELP",(VLOOKUP(A4332,'Discount Lookup'!J:K,2)*G4332*(1-PlanterDiscount)*(1+PlanterDifficultyPercentage)),IF(AE4332="free","re-planting",IF(G4332=0,"",IF(PlanterYesMe="",IF(AE4332="me","   not ELP, by",IF(AE4332="",IF(G4332&gt;0,(VLOOKUP(A4332,'Discount Lookup'!J:K,2)*G4332*(1-PlanterDiscount)*(1+PlanterDifficultyPercentage)),""),"")),"   not ELP, by"))))))))))))))</f>
        <v/>
      </c>
      <c r="AD4332" s="712"/>
      <c r="AE4332" s="513" t="str">
        <f t="shared" si="3236"/>
        <v/>
      </c>
      <c r="AF4332" s="713" t="str">
        <f t="shared" si="3237"/>
        <v/>
      </c>
      <c r="AG4332" s="713"/>
      <c r="AH4332" s="713"/>
      <c r="AI4332" s="112">
        <f>IF(H4332="credit",0,IF(AE4332="free",0,IF(AE4332="me",0,IF(G4332&gt;0,(VLOOKUP(A4332,'Discount Lookup'!J:K,2)*G4332),0))))</f>
        <v>0</v>
      </c>
      <c r="AJ4332" s="107" t="str">
        <f t="shared" ca="1" si="3238"/>
        <v/>
      </c>
      <c r="AK4332" s="714" t="str">
        <f t="shared" si="3239"/>
        <v/>
      </c>
      <c r="AL4332" s="714"/>
      <c r="AM4332" s="114" t="str">
        <f t="shared" si="3240"/>
        <v/>
      </c>
      <c r="AN4332" s="115"/>
      <c r="AO4332" s="116"/>
      <c r="AP4332" s="116"/>
      <c r="AQ4332" s="116"/>
      <c r="AR4332" s="116"/>
      <c r="AS4332" s="116"/>
      <c r="AT4332" s="116"/>
      <c r="AU4332" s="116"/>
      <c r="AV4332" s="78"/>
      <c r="AW4332" s="102"/>
      <c r="AX4332" s="78"/>
      <c r="AY4332" s="78"/>
      <c r="AZ4332" s="78"/>
      <c r="BA4332" s="78"/>
      <c r="BB4332" s="78"/>
      <c r="BC4332" s="78"/>
      <c r="BD4332" s="78"/>
      <c r="BE4332" s="465"/>
      <c r="BF4332" s="165" t="str">
        <f t="shared" si="3241"/>
        <v>https://www.google.com/search?tbm=isch&amp;q=Doublefile%20has%20tiered%20horizontal%20branching%2C%20great%20spring%20lacecap%20blooms%2C%20and%20Red-to-Burgundy%20fall%20foliage.%20</v>
      </c>
      <c r="BG4332" s="165" t="str">
        <f t="shared" si="3242"/>
        <v>D</v>
      </c>
      <c r="BH4332" s="65"/>
      <c r="BI4332" s="65"/>
      <c r="BJ4332" s="65"/>
      <c r="BK4332" s="65"/>
      <c r="BL4332" s="99"/>
      <c r="BM4332" s="99"/>
      <c r="BN4332" s="99"/>
    </row>
    <row r="4333" spans="1:66" s="51" customFormat="1" ht="18" x14ac:dyDescent="0.25">
      <c r="A4333" s="623" t="s">
        <v>4485</v>
      </c>
      <c r="B4333" s="624"/>
      <c r="C4333" s="709"/>
      <c r="D4333" s="625" t="s">
        <v>5854</v>
      </c>
      <c r="E4333" s="626"/>
      <c r="F4333" s="626"/>
      <c r="G4333" s="626"/>
      <c r="H4333" s="622" t="s">
        <v>1264</v>
      </c>
      <c r="I4333" s="627" t="s">
        <v>4486</v>
      </c>
      <c r="J4333" s="628"/>
      <c r="K4333" s="628"/>
      <c r="L4333" s="629"/>
      <c r="M4333" s="700" t="s">
        <v>5249</v>
      </c>
      <c r="N4333" s="693" t="str">
        <f>IF(AND(ISTEXT($A4333), ISERROR($A4333+0)), HYPERLINK($BF4333, "Images"), "")</f>
        <v>Images</v>
      </c>
      <c r="O4333" s="695" t="s">
        <v>5247</v>
      </c>
      <c r="P4333" s="630"/>
      <c r="Q4333" s="631"/>
      <c r="R4333" s="632"/>
      <c r="S4333" s="633"/>
      <c r="T4333" s="102">
        <f t="shared" si="3230"/>
        <v>0</v>
      </c>
      <c r="U4333" s="78" t="str">
        <f>IF(NOT(ISNUMBER(G4333)), "", VLOOKUP(A4333,'Discount Lookup'!D:E,2,FALSE)*G4333)</f>
        <v/>
      </c>
      <c r="V4333" s="78" t="str">
        <f>IF(NOT(ISNUMBER(G4333)), "", VLOOKUP(A4333,'Discount Lookup'!G:H,2,FALSE)*G4333)</f>
        <v/>
      </c>
      <c r="W4333" s="102">
        <f t="shared" si="3231"/>
        <v>0</v>
      </c>
      <c r="X4333" s="102" t="str">
        <f t="shared" si="3232"/>
        <v>White bloom, Green tinge</v>
      </c>
      <c r="Y4333" s="120" t="b">
        <f t="shared" si="3233"/>
        <v>0</v>
      </c>
      <c r="Z4333" s="117">
        <f t="shared" si="3234"/>
        <v>0</v>
      </c>
      <c r="AA4333" s="118"/>
      <c r="AB4333" s="118" t="str">
        <f t="shared" si="3235"/>
        <v/>
      </c>
      <c r="AC4333" s="712" t="str">
        <f>IF(AE4333="T2G","no charge",IF(AND(OR(PlanterYesMe="No",PlanterYesMe="N",PlanterYesMe="me"),H4333=""),"",IF(H4333="credit","NO install",IF(AND(K4333="",AE4333="me"),"EACH row",IF(AND(K4333="images",AE4333="me"),"EACH row",IF(D4333="","",IF(H4333="credit","",IF(AE4333="free","re-planting",IF(AE4333="me","   not ELP, by",IF(AND(OR(PlanterYesMe="Yes",PlanterYesMe="Y"),G4333&gt;0),(VLOOKUP(A4333,'Discount Lookup'!J:K,2)*G4333*(1-PlanterDiscount)*(1+PlanterDifficultyPercentage)),IF(AE4333="ELP",(VLOOKUP(A4333,'Discount Lookup'!J:K,2)*G4333*(1-PlanterDiscount)*(1+PlanterDifficultyPercentage)),IF(AE4333="free","re-planting",IF(G4333=0,"",IF(PlanterYesMe="",IF(AE4333="me","   not ELP, by",IF(AE4333="",IF(G4333&gt;0,(VLOOKUP(A4333,'Discount Lookup'!J:K,2)*G4333*(1-PlanterDiscount)*(1+PlanterDifficultyPercentage)),""),"")),"   not ELP, by"))))))))))))))</f>
        <v/>
      </c>
      <c r="AD4333" s="712"/>
      <c r="AE4333" s="513" t="str">
        <f t="shared" si="3236"/>
        <v/>
      </c>
      <c r="AF4333" s="713" t="str">
        <f t="shared" si="3237"/>
        <v/>
      </c>
      <c r="AG4333" s="713"/>
      <c r="AH4333" s="713"/>
      <c r="AI4333" s="112">
        <f>IF(H4333="credit",0,IF(AE4333="free",0,IF(AE4333="me",0,IF(G4333&gt;0,(VLOOKUP(A4333,'Discount Lookup'!J:K,2)*G4333),0))))</f>
        <v>0</v>
      </c>
      <c r="AJ4333" s="107" t="str">
        <f t="shared" ca="1" si="3238"/>
        <v/>
      </c>
      <c r="AK4333" s="714" t="str">
        <f t="shared" si="3239"/>
        <v/>
      </c>
      <c r="AL4333" s="714"/>
      <c r="AM4333" s="114" t="str">
        <f t="shared" si="3240"/>
        <v/>
      </c>
      <c r="AN4333" s="115"/>
      <c r="AO4333" s="116"/>
      <c r="AP4333" s="116"/>
      <c r="AQ4333" s="116"/>
      <c r="AR4333" s="116"/>
      <c r="AS4333" s="116"/>
      <c r="AT4333" s="116"/>
      <c r="AU4333" s="116"/>
      <c r="AV4333" s="78"/>
      <c r="AW4333" s="102"/>
      <c r="AX4333" s="78"/>
      <c r="AY4333" s="78"/>
      <c r="AZ4333" s="78"/>
      <c r="BA4333" s="78"/>
      <c r="BB4333" s="78"/>
      <c r="BC4333" s="78"/>
      <c r="BD4333" s="78"/>
      <c r="BE4333" s="465"/>
      <c r="BF4333" s="165" t="str">
        <f t="shared" si="3241"/>
        <v>https://www.google.com/search?tbm=isch&amp;q=Viburnum%20plicatum%20%27PIIVIB-II%27%20PP%2328958%20Opening%20Day%E2%84%A2%20Doublefile%20Viburnum</v>
      </c>
      <c r="BG4333" s="165" t="str">
        <f t="shared" si="3242"/>
        <v>V</v>
      </c>
      <c r="BH4333" s="65"/>
      <c r="BI4333" s="65"/>
      <c r="BJ4333" s="65"/>
      <c r="BK4333" s="65"/>
      <c r="BL4333" s="99"/>
      <c r="BM4333" s="99"/>
      <c r="BN4333" s="99"/>
    </row>
    <row r="4334" spans="1:66" s="51" customFormat="1" ht="15.75" x14ac:dyDescent="0.25">
      <c r="A4334" s="634">
        <v>3</v>
      </c>
      <c r="B4334" s="635" t="s">
        <v>291</v>
      </c>
      <c r="C4334" s="636" t="s">
        <v>2840</v>
      </c>
      <c r="D4334" s="637" t="s">
        <v>329</v>
      </c>
      <c r="E4334" s="638">
        <v>35.950000000000003</v>
      </c>
      <c r="F4334" s="639" t="s">
        <v>292</v>
      </c>
      <c r="G4334" s="484">
        <v>0</v>
      </c>
      <c r="H4334" s="691" t="str">
        <f>IF(G4334=0,"",IF(F4334="Buy",IF(G4334=1,"plant","plants"),IF(F4334&gt;0.01,"warranty","Error")))</f>
        <v/>
      </c>
      <c r="I4334" s="640">
        <f>IF(H4334="free",0,IF(H4334="credit",((E4334*(F4334))*G4334*-1),IF(F4334="Buy",(E4334*G4334),((E4334*(1-F4334))*G4334))))</f>
        <v>0</v>
      </c>
      <c r="J4334" s="640">
        <f>IF(H4334="warranty",0,(I4334*(_xlfn.SINGLE(SalesTaxPercentage))))</f>
        <v>0</v>
      </c>
      <c r="K4334" s="716">
        <f t="shared" ref="K4334" si="3256">I4334+J4334</f>
        <v>0</v>
      </c>
      <c r="L4334" s="716"/>
      <c r="M4334" s="689" t="str">
        <f ca="1">IF(AND(G4334&gt;0,E4334=0),"WARNING - no PRICE inserted",IF(H4334="free","FREE ~ no charge this plant",IF(H4334="credit",CONCATENATE("-$",ROUND(K4334*(1-_xlfn.SINGLE(T2GDiscount))*-1,2)," CREDIT after discount"),IF(_xlfn.SINGLE(T2GDiscount)=0,"",IF(G4334=0,"",IF(F4334="Buy",CONCATENATE("$",ROUND(K4334*(1-_xlfn.SINGLE(T2GDiscount)),2)," with ",(_xlfn.SINGLE(T2GDiscount)*100),"% discount"),CONCATENATE("$",ROUND(K4334*(1-_xlfn.SINGLE(T2GDiscount)),2)," with ",((_xlfn.SINGLE(T2GDiscount)*100+F4334*100)-(_xlfn.SINGLE(T2GDiscount)*100*F4334)),IF(F4334&gt;0,"% discounts",IF(_xlfn.SINGLE(NoWarrantyDiscount)&gt;0,"% discounts","% discount")))))))))</f>
        <v/>
      </c>
      <c r="N4334" s="690"/>
      <c r="O4334" s="486"/>
      <c r="P4334" s="486"/>
      <c r="Q4334" s="486"/>
      <c r="R4334" s="486"/>
      <c r="S4334" s="486"/>
      <c r="T4334" s="102">
        <f t="shared" si="3230"/>
        <v>0</v>
      </c>
      <c r="U4334" s="78">
        <f>IF(NOT(ISNUMBER(G4334)), "", VLOOKUP(A4334,'Discount Lookup'!D:E,2,FALSE)*G4334)</f>
        <v>0</v>
      </c>
      <c r="V4334" s="78">
        <f>IF(NOT(ISNUMBER(G4334)), "", VLOOKUP(A4334,'Discount Lookup'!G:H,2,FALSE)*G4334)</f>
        <v>0</v>
      </c>
      <c r="W4334" s="102">
        <f t="shared" si="3231"/>
        <v>0</v>
      </c>
      <c r="X4334" s="102">
        <f t="shared" si="3232"/>
        <v>0</v>
      </c>
      <c r="Y4334" s="120" t="b">
        <f t="shared" si="3233"/>
        <v>0</v>
      </c>
      <c r="Z4334" s="117">
        <f t="shared" si="3234"/>
        <v>0</v>
      </c>
      <c r="AA4334" s="118"/>
      <c r="AB4334" s="118" t="str">
        <f t="shared" si="3235"/>
        <v/>
      </c>
      <c r="AC4334" s="712" t="str">
        <f>IF(AE4334="T2G","no charge",IF(AND(OR(PlanterYesMe="No",PlanterYesMe="N",PlanterYesMe="me"),H4334=""),"",IF(H4334="credit","NO install",IF(AND(K4334="",AE4334="me"),"EACH row",IF(AND(K4334="images",AE4334="me"),"EACH row",IF(D4334="","",IF(H4334="credit","",IF(AE4334="free","re-planting",IF(AE4334="me","   not ELP, by",IF(AND(OR(PlanterYesMe="Yes",PlanterYesMe="Y"),G4334&gt;0),(VLOOKUP(A4334,'Discount Lookup'!J:K,2)*G4334*(1-PlanterDiscount)*(1+PlanterDifficultyPercentage)),IF(AE4334="ELP",(VLOOKUP(A4334,'Discount Lookup'!J:K,2)*G4334*(1-PlanterDiscount)*(1+PlanterDifficultyPercentage)),IF(AE4334="free","re-planting",IF(G4334=0,"",IF(PlanterYesMe="",IF(AE4334="me","   not ELP, by",IF(AE4334="",IF(G4334&gt;0,(VLOOKUP(A4334,'Discount Lookup'!J:K,2)*G4334*(1-PlanterDiscount)*(1+PlanterDifficultyPercentage)),""),"")),"   not ELP, by"))))))))))))))</f>
        <v/>
      </c>
      <c r="AD4334" s="712"/>
      <c r="AE4334" s="513" t="str">
        <f t="shared" si="3236"/>
        <v/>
      </c>
      <c r="AF4334" s="713" t="str">
        <f t="shared" si="3237"/>
        <v/>
      </c>
      <c r="AG4334" s="713"/>
      <c r="AH4334" s="713"/>
      <c r="AI4334" s="112">
        <f>IF(H4334="credit",0,IF(AE4334="free",0,IF(AE4334="me",0,IF(G4334&gt;0,(VLOOKUP(A4334,'Discount Lookup'!J:K,2)*G4334),0))))</f>
        <v>0</v>
      </c>
      <c r="AJ4334" s="107" t="str">
        <f t="shared" ca="1" si="3238"/>
        <v/>
      </c>
      <c r="AK4334" s="714" t="str">
        <f t="shared" si="3239"/>
        <v/>
      </c>
      <c r="AL4334" s="714"/>
      <c r="AM4334" s="114" t="str">
        <f t="shared" si="3240"/>
        <v/>
      </c>
      <c r="AN4334" s="115"/>
      <c r="AO4334" s="116"/>
      <c r="AP4334" s="116"/>
      <c r="AQ4334" s="116"/>
      <c r="AR4334" s="116"/>
      <c r="AS4334" s="116"/>
      <c r="AT4334" s="116"/>
      <c r="AU4334" s="116"/>
      <c r="AV4334" s="78"/>
      <c r="AW4334" s="102"/>
      <c r="AX4334" s="78"/>
      <c r="AY4334" s="78"/>
      <c r="AZ4334" s="78"/>
      <c r="BA4334" s="78"/>
      <c r="BB4334" s="78"/>
      <c r="BC4334" s="78"/>
      <c r="BD4334" s="78"/>
      <c r="BE4334" s="465"/>
      <c r="BF4334" s="165" t="str">
        <f t="shared" si="3241"/>
        <v>https://www.google.com/search?tbm=isch&amp;q=3%20G2</v>
      </c>
      <c r="BG4334" s="165" t="str">
        <f t="shared" si="3242"/>
        <v>V</v>
      </c>
      <c r="BH4334" s="65"/>
      <c r="BI4334" s="65"/>
      <c r="BJ4334" s="65"/>
      <c r="BK4334" s="65"/>
      <c r="BL4334" s="99"/>
      <c r="BM4334" s="99"/>
      <c r="BN4334" s="99"/>
    </row>
    <row r="4335" spans="1:66" s="51" customFormat="1" ht="17.25" thickBot="1" x14ac:dyDescent="0.3">
      <c r="A4335" s="641" t="s">
        <v>4833</v>
      </c>
      <c r="B4335" s="642"/>
      <c r="C4335" s="710"/>
      <c r="D4335" s="643"/>
      <c r="E4335" s="643"/>
      <c r="F4335" s="644"/>
      <c r="G4335" s="645"/>
      <c r="H4335" s="646"/>
      <c r="I4335" s="647"/>
      <c r="J4335" s="648"/>
      <c r="K4335" s="649"/>
      <c r="L4335" s="650"/>
      <c r="M4335" s="650"/>
      <c r="N4335" s="644"/>
      <c r="O4335" s="644"/>
      <c r="P4335" s="644"/>
      <c r="Q4335" s="644"/>
      <c r="R4335" s="644"/>
      <c r="S4335" s="701" t="s">
        <v>5272</v>
      </c>
      <c r="T4335" s="102">
        <f t="shared" si="3230"/>
        <v>0</v>
      </c>
      <c r="U4335" s="78" t="str">
        <f>IF(NOT(ISNUMBER(G4335)), "", VLOOKUP(A4335,'Discount Lookup'!D:E,2,FALSE)*G4335)</f>
        <v/>
      </c>
      <c r="V4335" s="78" t="str">
        <f>IF(NOT(ISNUMBER(G4335)), "", VLOOKUP(A4335,'Discount Lookup'!G:H,2,FALSE)*G4335)</f>
        <v/>
      </c>
      <c r="W4335" s="102">
        <f t="shared" si="3231"/>
        <v>0</v>
      </c>
      <c r="X4335" s="102">
        <f t="shared" si="3232"/>
        <v>0</v>
      </c>
      <c r="Y4335" s="120" t="b">
        <f t="shared" si="3233"/>
        <v>0</v>
      </c>
      <c r="Z4335" s="117">
        <f t="shared" si="3234"/>
        <v>0</v>
      </c>
      <c r="AA4335" s="118"/>
      <c r="AB4335" s="118" t="str">
        <f t="shared" si="3235"/>
        <v/>
      </c>
      <c r="AC4335" s="712" t="str">
        <f>IF(AE4335="T2G","no charge",IF(AND(OR(PlanterYesMe="No",PlanterYesMe="N",PlanterYesMe="me"),H4335=""),"",IF(H4335="credit","NO install",IF(AND(K4335="",AE4335="me"),"EACH row",IF(AND(K4335="images",AE4335="me"),"EACH row",IF(D4335="","",IF(H4335="credit","",IF(AE4335="free","re-planting",IF(AE4335="me","   not ELP, by",IF(AND(OR(PlanterYesMe="Yes",PlanterYesMe="Y"),G4335&gt;0),(VLOOKUP(A4335,'Discount Lookup'!J:K,2)*G4335*(1-PlanterDiscount)*(1+PlanterDifficultyPercentage)),IF(AE4335="ELP",(VLOOKUP(A4335,'Discount Lookup'!J:K,2)*G4335*(1-PlanterDiscount)*(1+PlanterDifficultyPercentage)),IF(AE4335="free","re-planting",IF(G4335=0,"",IF(PlanterYesMe="",IF(AE4335="me","   not ELP, by",IF(AE4335="",IF(G4335&gt;0,(VLOOKUP(A4335,'Discount Lookup'!J:K,2)*G4335*(1-PlanterDiscount)*(1+PlanterDifficultyPercentage)),""),"")),"   not ELP, by"))))))))))))))</f>
        <v/>
      </c>
      <c r="AD4335" s="712"/>
      <c r="AE4335" s="513" t="str">
        <f t="shared" si="3236"/>
        <v/>
      </c>
      <c r="AF4335" s="713" t="str">
        <f t="shared" si="3237"/>
        <v/>
      </c>
      <c r="AG4335" s="713"/>
      <c r="AH4335" s="713"/>
      <c r="AI4335" s="112">
        <f>IF(H4335="credit",0,IF(AE4335="free",0,IF(AE4335="me",0,IF(G4335&gt;0,(VLOOKUP(A4335,'Discount Lookup'!J:K,2)*G4335),0))))</f>
        <v>0</v>
      </c>
      <c r="AJ4335" s="107" t="str">
        <f t="shared" ca="1" si="3238"/>
        <v/>
      </c>
      <c r="AK4335" s="714" t="str">
        <f t="shared" si="3239"/>
        <v/>
      </c>
      <c r="AL4335" s="714"/>
      <c r="AM4335" s="114" t="str">
        <f t="shared" si="3240"/>
        <v/>
      </c>
      <c r="AN4335" s="115"/>
      <c r="AO4335" s="116"/>
      <c r="AP4335" s="116"/>
      <c r="AQ4335" s="116"/>
      <c r="AR4335" s="116"/>
      <c r="AS4335" s="116"/>
      <c r="AT4335" s="116"/>
      <c r="AU4335" s="116"/>
      <c r="AV4335" s="78"/>
      <c r="AW4335" s="102"/>
      <c r="AX4335" s="78"/>
      <c r="AY4335" s="78"/>
      <c r="AZ4335" s="78"/>
      <c r="BA4335" s="78"/>
      <c r="BB4335" s="78"/>
      <c r="BC4335" s="78"/>
      <c r="BD4335" s="78"/>
      <c r="BE4335" s="465"/>
      <c r="BF4335" s="165" t="str">
        <f t="shared" si="3241"/>
        <v>https://www.google.com/search?tbm=isch&amp;q=Opening%20Day%20shows%20off%20baseball-sized%20blooms%2C%20deeply%20pleated%20foliage%2C%20amd%20a%20rich%20Cabernet-Red%20fall%20color%20</v>
      </c>
      <c r="BG4335" s="165" t="str">
        <f t="shared" si="3242"/>
        <v>O</v>
      </c>
      <c r="BH4335" s="65"/>
      <c r="BI4335" s="65"/>
      <c r="BJ4335" s="65"/>
      <c r="BK4335" s="65"/>
      <c r="BL4335" s="99"/>
      <c r="BM4335" s="99"/>
      <c r="BN4335" s="99"/>
    </row>
    <row r="4336" spans="1:66" s="51" customFormat="1" ht="18" x14ac:dyDescent="0.25">
      <c r="A4336" s="623" t="s">
        <v>4487</v>
      </c>
      <c r="B4336" s="624"/>
      <c r="C4336" s="709"/>
      <c r="D4336" s="625" t="s">
        <v>4488</v>
      </c>
      <c r="E4336" s="626"/>
      <c r="F4336" s="626"/>
      <c r="G4336" s="626"/>
      <c r="H4336" s="622" t="s">
        <v>1341</v>
      </c>
      <c r="I4336" s="627" t="s">
        <v>349</v>
      </c>
      <c r="J4336" s="628"/>
      <c r="K4336" s="628"/>
      <c r="L4336" s="629"/>
      <c r="M4336" s="700" t="s">
        <v>5249</v>
      </c>
      <c r="N4336" s="693" t="str">
        <f>IF(AND(ISTEXT($A4336), ISERROR($A4336+0)), HYPERLINK($BF4336, "Images"), "")</f>
        <v>Images</v>
      </c>
      <c r="O4336" s="695" t="s">
        <v>5247</v>
      </c>
      <c r="P4336" s="630"/>
      <c r="Q4336" s="631"/>
      <c r="R4336" s="632"/>
      <c r="S4336" s="633"/>
      <c r="T4336" s="102">
        <f t="shared" si="3230"/>
        <v>0</v>
      </c>
      <c r="U4336" s="78" t="str">
        <f>IF(NOT(ISNUMBER(G4336)), "", VLOOKUP(A4336,'Discount Lookup'!D:E,2,FALSE)*G4336)</f>
        <v/>
      </c>
      <c r="V4336" s="78" t="str">
        <f>IF(NOT(ISNUMBER(G4336)), "", VLOOKUP(A4336,'Discount Lookup'!G:H,2,FALSE)*G4336)</f>
        <v/>
      </c>
      <c r="W4336" s="102">
        <f t="shared" si="3231"/>
        <v>0</v>
      </c>
      <c r="X4336" s="102" t="str">
        <f t="shared" si="3232"/>
        <v>White bloom</v>
      </c>
      <c r="Y4336" s="120" t="b">
        <f t="shared" si="3233"/>
        <v>0</v>
      </c>
      <c r="Z4336" s="117">
        <f t="shared" si="3234"/>
        <v>0</v>
      </c>
      <c r="AA4336" s="118"/>
      <c r="AB4336" s="118" t="str">
        <f t="shared" si="3235"/>
        <v/>
      </c>
      <c r="AC4336" s="712" t="str">
        <f>IF(AE4336="T2G","no charge",IF(AND(OR(PlanterYesMe="No",PlanterYesMe="N",PlanterYesMe="me"),H4336=""),"",IF(H4336="credit","NO install",IF(AND(K4336="",AE4336="me"),"EACH row",IF(AND(K4336="images",AE4336="me"),"EACH row",IF(D4336="","",IF(H4336="credit","",IF(AE4336="free","re-planting",IF(AE4336="me","   not ELP, by",IF(AND(OR(PlanterYesMe="Yes",PlanterYesMe="Y"),G4336&gt;0),(VLOOKUP(A4336,'Discount Lookup'!J:K,2)*G4336*(1-PlanterDiscount)*(1+PlanterDifficultyPercentage)),IF(AE4336="ELP",(VLOOKUP(A4336,'Discount Lookup'!J:K,2)*G4336*(1-PlanterDiscount)*(1+PlanterDifficultyPercentage)),IF(AE4336="free","re-planting",IF(G4336=0,"",IF(PlanterYesMe="",IF(AE4336="me","   not ELP, by",IF(AE4336="",IF(G4336&gt;0,(VLOOKUP(A4336,'Discount Lookup'!J:K,2)*G4336*(1-PlanterDiscount)*(1+PlanterDifficultyPercentage)),""),"")),"   not ELP, by"))))))))))))))</f>
        <v/>
      </c>
      <c r="AD4336" s="712"/>
      <c r="AE4336" s="513" t="str">
        <f t="shared" si="3236"/>
        <v/>
      </c>
      <c r="AF4336" s="713" t="str">
        <f t="shared" si="3237"/>
        <v/>
      </c>
      <c r="AG4336" s="713"/>
      <c r="AH4336" s="713"/>
      <c r="AI4336" s="112">
        <f>IF(H4336="credit",0,IF(AE4336="free",0,IF(AE4336="me",0,IF(G4336&gt;0,(VLOOKUP(A4336,'Discount Lookup'!J:K,2)*G4336),0))))</f>
        <v>0</v>
      </c>
      <c r="AJ4336" s="107" t="str">
        <f t="shared" ca="1" si="3238"/>
        <v/>
      </c>
      <c r="AK4336" s="714" t="str">
        <f t="shared" si="3239"/>
        <v/>
      </c>
      <c r="AL4336" s="714"/>
      <c r="AM4336" s="114" t="str">
        <f t="shared" si="3240"/>
        <v/>
      </c>
      <c r="AN4336" s="115"/>
      <c r="AO4336" s="116"/>
      <c r="AP4336" s="116"/>
      <c r="AQ4336" s="116"/>
      <c r="AR4336" s="116"/>
      <c r="AS4336" s="116"/>
      <c r="AT4336" s="116"/>
      <c r="AU4336" s="116"/>
      <c r="AV4336" s="78"/>
      <c r="AW4336" s="102"/>
      <c r="AX4336" s="78"/>
      <c r="AY4336" s="78"/>
      <c r="AZ4336" s="78"/>
      <c r="BA4336" s="78"/>
      <c r="BB4336" s="78"/>
      <c r="BC4336" s="78"/>
      <c r="BD4336" s="78"/>
      <c r="BE4336" s="465"/>
      <c r="BF4336" s="165" t="str">
        <f t="shared" si="3241"/>
        <v>https://www.google.com/search?tbm=isch&amp;q=Viburnum%20plicatum%20%27Shasta%27%20Shasta%20Viburnum</v>
      </c>
      <c r="BG4336" s="165" t="str">
        <f t="shared" si="3242"/>
        <v>V</v>
      </c>
      <c r="BH4336" s="65"/>
      <c r="BI4336" s="65"/>
      <c r="BJ4336" s="65"/>
      <c r="BK4336" s="65"/>
      <c r="BL4336" s="99"/>
      <c r="BM4336" s="99"/>
      <c r="BN4336" s="99"/>
    </row>
    <row r="4337" spans="1:66" s="51" customFormat="1" ht="15.75" x14ac:dyDescent="0.25">
      <c r="A4337" s="634">
        <v>3</v>
      </c>
      <c r="B4337" s="635" t="s">
        <v>291</v>
      </c>
      <c r="C4337" s="636" t="s">
        <v>517</v>
      </c>
      <c r="D4337" s="637" t="s">
        <v>309</v>
      </c>
      <c r="E4337" s="638">
        <v>22.95</v>
      </c>
      <c r="F4337" s="639" t="s">
        <v>292</v>
      </c>
      <c r="G4337" s="484">
        <v>0</v>
      </c>
      <c r="H4337" s="691" t="str">
        <f>IF(G4337=0,"",IF(F4337="Buy",IF(G4337=1,"plant","plants"),IF(F4337&gt;0.01,"warranty","Error")))</f>
        <v/>
      </c>
      <c r="I4337" s="640">
        <f>IF(H4337="free",0,IF(H4337="credit",((E4337*(F4337))*G4337*-1),IF(F4337="Buy",(E4337*G4337),((E4337*(1-F4337))*G4337))))</f>
        <v>0</v>
      </c>
      <c r="J4337" s="640">
        <f>IF(H4337="warranty",0,(I4337*(_xlfn.SINGLE(SalesTaxPercentage))))</f>
        <v>0</v>
      </c>
      <c r="K4337" s="716">
        <f t="shared" ref="K4337" si="3257">I4337+J4337</f>
        <v>0</v>
      </c>
      <c r="L4337" s="716"/>
      <c r="M4337" s="689" t="str">
        <f ca="1">IF(AND(G4337&gt;0,E4337=0),"WARNING - no PRICE inserted",IF(H4337="free","FREE ~ no charge this plant",IF(H4337="credit",CONCATENATE("-$",ROUND(K4337*(1-_xlfn.SINGLE(T2GDiscount))*-1,2)," CREDIT after discount"),IF(_xlfn.SINGLE(T2GDiscount)=0,"",IF(G4337=0,"",IF(F4337="Buy",CONCATENATE("$",ROUND(K4337*(1-_xlfn.SINGLE(T2GDiscount)),2)," with ",(_xlfn.SINGLE(T2GDiscount)*100),"% discount"),CONCATENATE("$",ROUND(K4337*(1-_xlfn.SINGLE(T2GDiscount)),2)," with ",((_xlfn.SINGLE(T2GDiscount)*100+F4337*100)-(_xlfn.SINGLE(T2GDiscount)*100*F4337)),IF(F4337&gt;0,"% discounts",IF(_xlfn.SINGLE(NoWarrantyDiscount)&gt;0,"% discounts","% discount")))))))))</f>
        <v/>
      </c>
      <c r="N4337" s="690"/>
      <c r="O4337" s="486"/>
      <c r="P4337" s="486"/>
      <c r="Q4337" s="486"/>
      <c r="R4337" s="486"/>
      <c r="S4337" s="486"/>
      <c r="T4337" s="102">
        <f t="shared" si="3230"/>
        <v>0</v>
      </c>
      <c r="U4337" s="78">
        <f>IF(NOT(ISNUMBER(G4337)), "", VLOOKUP(A4337,'Discount Lookup'!D:E,2,FALSE)*G4337)</f>
        <v>0</v>
      </c>
      <c r="V4337" s="78">
        <f>IF(NOT(ISNUMBER(G4337)), "", VLOOKUP(A4337,'Discount Lookup'!G:H,2,FALSE)*G4337)</f>
        <v>0</v>
      </c>
      <c r="W4337" s="102">
        <f t="shared" si="3231"/>
        <v>0</v>
      </c>
      <c r="X4337" s="102">
        <f t="shared" si="3232"/>
        <v>0</v>
      </c>
      <c r="Y4337" s="120" t="b">
        <f t="shared" si="3233"/>
        <v>0</v>
      </c>
      <c r="Z4337" s="117">
        <f t="shared" si="3234"/>
        <v>0</v>
      </c>
      <c r="AA4337" s="118"/>
      <c r="AB4337" s="118" t="str">
        <f t="shared" si="3235"/>
        <v/>
      </c>
      <c r="AC4337" s="712" t="str">
        <f>IF(AE4337="T2G","no charge",IF(AND(OR(PlanterYesMe="No",PlanterYesMe="N",PlanterYesMe="me"),H4337=""),"",IF(H4337="credit","NO install",IF(AND(K4337="",AE4337="me"),"EACH row",IF(AND(K4337="images",AE4337="me"),"EACH row",IF(D4337="","",IF(H4337="credit","",IF(AE4337="free","re-planting",IF(AE4337="me","   not ELP, by",IF(AND(OR(PlanterYesMe="Yes",PlanterYesMe="Y"),G4337&gt;0),(VLOOKUP(A4337,'Discount Lookup'!J:K,2)*G4337*(1-PlanterDiscount)*(1+PlanterDifficultyPercentage)),IF(AE4337="ELP",(VLOOKUP(A4337,'Discount Lookup'!J:K,2)*G4337*(1-PlanterDiscount)*(1+PlanterDifficultyPercentage)),IF(AE4337="free","re-planting",IF(G4337=0,"",IF(PlanterYesMe="",IF(AE4337="me","   not ELP, by",IF(AE4337="",IF(G4337&gt;0,(VLOOKUP(A4337,'Discount Lookup'!J:K,2)*G4337*(1-PlanterDiscount)*(1+PlanterDifficultyPercentage)),""),"")),"   not ELP, by"))))))))))))))</f>
        <v/>
      </c>
      <c r="AD4337" s="712"/>
      <c r="AE4337" s="513" t="str">
        <f t="shared" si="3236"/>
        <v/>
      </c>
      <c r="AF4337" s="713" t="str">
        <f t="shared" si="3237"/>
        <v/>
      </c>
      <c r="AG4337" s="713"/>
      <c r="AH4337" s="713"/>
      <c r="AI4337" s="112">
        <f>IF(H4337="credit",0,IF(AE4337="free",0,IF(AE4337="me",0,IF(G4337&gt;0,(VLOOKUP(A4337,'Discount Lookup'!J:K,2)*G4337),0))))</f>
        <v>0</v>
      </c>
      <c r="AJ4337" s="107" t="str">
        <f t="shared" ca="1" si="3238"/>
        <v/>
      </c>
      <c r="AK4337" s="714" t="str">
        <f t="shared" si="3239"/>
        <v/>
      </c>
      <c r="AL4337" s="714"/>
      <c r="AM4337" s="114" t="str">
        <f t="shared" si="3240"/>
        <v/>
      </c>
      <c r="AN4337" s="115"/>
      <c r="AO4337" s="116"/>
      <c r="AP4337" s="116"/>
      <c r="AQ4337" s="116"/>
      <c r="AR4337" s="116"/>
      <c r="AS4337" s="116"/>
      <c r="AT4337" s="116"/>
      <c r="AU4337" s="116"/>
      <c r="AV4337" s="78"/>
      <c r="AW4337" s="102"/>
      <c r="AX4337" s="78"/>
      <c r="AY4337" s="78"/>
      <c r="AZ4337" s="78"/>
      <c r="BA4337" s="78"/>
      <c r="BB4337" s="78"/>
      <c r="BC4337" s="78"/>
      <c r="BD4337" s="78"/>
      <c r="BE4337" s="465"/>
      <c r="BF4337" s="165" t="str">
        <f t="shared" si="3241"/>
        <v>https://www.google.com/search?tbm=isch&amp;q=3%20G3</v>
      </c>
      <c r="BG4337" s="165" t="str">
        <f t="shared" si="3242"/>
        <v>V</v>
      </c>
      <c r="BH4337" s="65"/>
      <c r="BI4337" s="65"/>
      <c r="BJ4337" s="65"/>
      <c r="BK4337" s="65"/>
      <c r="BL4337" s="99"/>
      <c r="BM4337" s="99"/>
      <c r="BN4337" s="99"/>
    </row>
    <row r="4338" spans="1:66" s="51" customFormat="1" ht="15.75" x14ac:dyDescent="0.25">
      <c r="A4338" s="634">
        <v>3</v>
      </c>
      <c r="B4338" s="635" t="s">
        <v>291</v>
      </c>
      <c r="C4338" s="636" t="s">
        <v>335</v>
      </c>
      <c r="D4338" s="637" t="s">
        <v>310</v>
      </c>
      <c r="E4338" s="638">
        <v>25.95</v>
      </c>
      <c r="F4338" s="639" t="s">
        <v>292</v>
      </c>
      <c r="G4338" s="484">
        <v>0</v>
      </c>
      <c r="H4338" s="691" t="str">
        <f>IF(G4338=0,"",IF(F4338="Buy",IF(G4338=1,"plant","plants"),IF(F4338&gt;0.01,"warranty","Error")))</f>
        <v/>
      </c>
      <c r="I4338" s="640">
        <f>IF(H4338="free",0,IF(H4338="credit",((E4338*(F4338))*G4338*-1),IF(F4338="Buy",(E4338*G4338),((E4338*(1-F4338))*G4338))))</f>
        <v>0</v>
      </c>
      <c r="J4338" s="640">
        <f>IF(H4338="warranty",0,(I4338*(_xlfn.SINGLE(SalesTaxPercentage))))</f>
        <v>0</v>
      </c>
      <c r="K4338" s="716">
        <f t="shared" ref="K4338" si="3258">I4338+J4338</f>
        <v>0</v>
      </c>
      <c r="L4338" s="716"/>
      <c r="M4338" s="689" t="str">
        <f ca="1">IF(AND(G4338&gt;0,E4338=0),"WARNING - no PRICE inserted",IF(H4338="free","FREE ~ no charge this plant",IF(H4338="credit",CONCATENATE("-$",ROUND(K4338*(1-_xlfn.SINGLE(T2GDiscount))*-1,2)," CREDIT after discount"),IF(_xlfn.SINGLE(T2GDiscount)=0,"",IF(G4338=0,"",IF(F4338="Buy",CONCATENATE("$",ROUND(K4338*(1-_xlfn.SINGLE(T2GDiscount)),2)," with ",(_xlfn.SINGLE(T2GDiscount)*100),"% discount"),CONCATENATE("$",ROUND(K4338*(1-_xlfn.SINGLE(T2GDiscount)),2)," with ",((_xlfn.SINGLE(T2GDiscount)*100+F4338*100)-(_xlfn.SINGLE(T2GDiscount)*100*F4338)),IF(F4338&gt;0,"% discounts",IF(_xlfn.SINGLE(NoWarrantyDiscount)&gt;0,"% discounts","% discount")))))))))</f>
        <v/>
      </c>
      <c r="N4338" s="690"/>
      <c r="O4338" s="486"/>
      <c r="P4338" s="486"/>
      <c r="Q4338" s="486"/>
      <c r="R4338" s="486"/>
      <c r="S4338" s="486"/>
      <c r="T4338" s="102">
        <f t="shared" si="3230"/>
        <v>0</v>
      </c>
      <c r="U4338" s="78">
        <f>IF(NOT(ISNUMBER(G4338)), "", VLOOKUP(A4338,'Discount Lookup'!D:E,2,FALSE)*G4338)</f>
        <v>0</v>
      </c>
      <c r="V4338" s="78">
        <f>IF(NOT(ISNUMBER(G4338)), "", VLOOKUP(A4338,'Discount Lookup'!G:H,2,FALSE)*G4338)</f>
        <v>0</v>
      </c>
      <c r="W4338" s="102">
        <f t="shared" si="3231"/>
        <v>0</v>
      </c>
      <c r="X4338" s="102">
        <f t="shared" si="3232"/>
        <v>0</v>
      </c>
      <c r="Y4338" s="120" t="b">
        <f t="shared" si="3233"/>
        <v>0</v>
      </c>
      <c r="Z4338" s="117">
        <f t="shared" si="3234"/>
        <v>0</v>
      </c>
      <c r="AA4338" s="118"/>
      <c r="AB4338" s="118" t="str">
        <f t="shared" si="3235"/>
        <v/>
      </c>
      <c r="AC4338" s="712" t="str">
        <f>IF(AE4338="T2G","no charge",IF(AND(OR(PlanterYesMe="No",PlanterYesMe="N",PlanterYesMe="me"),H4338=""),"",IF(H4338="credit","NO install",IF(AND(K4338="",AE4338="me"),"EACH row",IF(AND(K4338="images",AE4338="me"),"EACH row",IF(D4338="","",IF(H4338="credit","",IF(AE4338="free","re-planting",IF(AE4338="me","   not ELP, by",IF(AND(OR(PlanterYesMe="Yes",PlanterYesMe="Y"),G4338&gt;0),(VLOOKUP(A4338,'Discount Lookup'!J:K,2)*G4338*(1-PlanterDiscount)*(1+PlanterDifficultyPercentage)),IF(AE4338="ELP",(VLOOKUP(A4338,'Discount Lookup'!J:K,2)*G4338*(1-PlanterDiscount)*(1+PlanterDifficultyPercentage)),IF(AE4338="free","re-planting",IF(G4338=0,"",IF(PlanterYesMe="",IF(AE4338="me","   not ELP, by",IF(AE4338="",IF(G4338&gt;0,(VLOOKUP(A4338,'Discount Lookup'!J:K,2)*G4338*(1-PlanterDiscount)*(1+PlanterDifficultyPercentage)),""),"")),"   not ELP, by"))))))))))))))</f>
        <v/>
      </c>
      <c r="AD4338" s="712"/>
      <c r="AE4338" s="513" t="str">
        <f t="shared" si="3236"/>
        <v/>
      </c>
      <c r="AF4338" s="713" t="str">
        <f t="shared" si="3237"/>
        <v/>
      </c>
      <c r="AG4338" s="713"/>
      <c r="AH4338" s="713"/>
      <c r="AI4338" s="112">
        <f>IF(H4338="credit",0,IF(AE4338="free",0,IF(AE4338="me",0,IF(G4338&gt;0,(VLOOKUP(A4338,'Discount Lookup'!J:K,2)*G4338),0))))</f>
        <v>0</v>
      </c>
      <c r="AJ4338" s="107" t="str">
        <f t="shared" ca="1" si="3238"/>
        <v/>
      </c>
      <c r="AK4338" s="714" t="str">
        <f t="shared" si="3239"/>
        <v/>
      </c>
      <c r="AL4338" s="714"/>
      <c r="AM4338" s="114" t="str">
        <f t="shared" si="3240"/>
        <v/>
      </c>
      <c r="AN4338" s="115"/>
      <c r="AO4338" s="116"/>
      <c r="AP4338" s="116"/>
      <c r="AQ4338" s="116"/>
      <c r="AR4338" s="116"/>
      <c r="AS4338" s="116"/>
      <c r="AT4338" s="116"/>
      <c r="AU4338" s="116"/>
      <c r="AV4338" s="78"/>
      <c r="AW4338" s="102"/>
      <c r="AX4338" s="78"/>
      <c r="AY4338" s="78"/>
      <c r="AZ4338" s="78"/>
      <c r="BA4338" s="78"/>
      <c r="BB4338" s="78"/>
      <c r="BC4338" s="78"/>
      <c r="BD4338" s="78"/>
      <c r="BE4338" s="465"/>
      <c r="BF4338" s="165" t="str">
        <f t="shared" si="3241"/>
        <v>https://www.google.com/search?tbm=isch&amp;q=3%20G1</v>
      </c>
      <c r="BG4338" s="165" t="str">
        <f t="shared" si="3242"/>
        <v>V</v>
      </c>
      <c r="BH4338" s="65"/>
      <c r="BI4338" s="65"/>
      <c r="BJ4338" s="65"/>
      <c r="BK4338" s="65"/>
      <c r="BL4338" s="99"/>
      <c r="BM4338" s="99"/>
      <c r="BN4338" s="99"/>
    </row>
    <row r="4339" spans="1:66" s="51" customFormat="1" ht="15.75" x14ac:dyDescent="0.25">
      <c r="A4339" s="634">
        <v>7</v>
      </c>
      <c r="B4339" s="635" t="s">
        <v>291</v>
      </c>
      <c r="C4339" s="636" t="s">
        <v>4489</v>
      </c>
      <c r="D4339" s="637" t="s">
        <v>309</v>
      </c>
      <c r="E4339" s="638">
        <v>56.95</v>
      </c>
      <c r="F4339" s="639" t="s">
        <v>292</v>
      </c>
      <c r="G4339" s="484">
        <v>0</v>
      </c>
      <c r="H4339" s="691" t="str">
        <f>IF(G4339=0,"",IF(F4339="Buy",IF(G4339=1,"plant","plants"),IF(F4339&gt;0.01,"warranty","Error")))</f>
        <v/>
      </c>
      <c r="I4339" s="640">
        <f>IF(H4339="free",0,IF(H4339="credit",((E4339*(F4339))*G4339*-1),IF(F4339="Buy",(E4339*G4339),((E4339*(1-F4339))*G4339))))</f>
        <v>0</v>
      </c>
      <c r="J4339" s="640">
        <f>IF(H4339="warranty",0,(I4339*(_xlfn.SINGLE(SalesTaxPercentage))))</f>
        <v>0</v>
      </c>
      <c r="K4339" s="716">
        <f t="shared" ref="K4339" si="3259">I4339+J4339</f>
        <v>0</v>
      </c>
      <c r="L4339" s="716"/>
      <c r="M4339" s="689" t="str">
        <f ca="1">IF(AND(G4339&gt;0,E4339=0),"WARNING - no PRICE inserted",IF(H4339="free","FREE ~ no charge this plant",IF(H4339="credit",CONCATENATE("-$",ROUND(K4339*(1-_xlfn.SINGLE(T2GDiscount))*-1,2)," CREDIT after discount"),IF(_xlfn.SINGLE(T2GDiscount)=0,"",IF(G4339=0,"",IF(F4339="Buy",CONCATENATE("$",ROUND(K4339*(1-_xlfn.SINGLE(T2GDiscount)),2)," with ",(_xlfn.SINGLE(T2GDiscount)*100),"% discount"),CONCATENATE("$",ROUND(K4339*(1-_xlfn.SINGLE(T2GDiscount)),2)," with ",((_xlfn.SINGLE(T2GDiscount)*100+F4339*100)-(_xlfn.SINGLE(T2GDiscount)*100*F4339)),IF(F4339&gt;0,"% discounts",IF(_xlfn.SINGLE(NoWarrantyDiscount)&gt;0,"% discounts","% discount")))))))))</f>
        <v/>
      </c>
      <c r="N4339" s="690"/>
      <c r="O4339" s="486"/>
      <c r="P4339" s="486"/>
      <c r="Q4339" s="486"/>
      <c r="R4339" s="486"/>
      <c r="S4339" s="486"/>
      <c r="T4339" s="102">
        <f t="shared" si="3230"/>
        <v>0</v>
      </c>
      <c r="U4339" s="78">
        <f>IF(NOT(ISNUMBER(G4339)), "", VLOOKUP(A4339,'Discount Lookup'!D:E,2,FALSE)*G4339)</f>
        <v>0</v>
      </c>
      <c r="V4339" s="78">
        <f>IF(NOT(ISNUMBER(G4339)), "", VLOOKUP(A4339,'Discount Lookup'!G:H,2,FALSE)*G4339)</f>
        <v>0</v>
      </c>
      <c r="W4339" s="102">
        <f t="shared" si="3231"/>
        <v>0</v>
      </c>
      <c r="X4339" s="102">
        <f t="shared" si="3232"/>
        <v>0</v>
      </c>
      <c r="Y4339" s="120" t="b">
        <f t="shared" si="3233"/>
        <v>0</v>
      </c>
      <c r="Z4339" s="117">
        <f t="shared" si="3234"/>
        <v>0</v>
      </c>
      <c r="AA4339" s="118"/>
      <c r="AB4339" s="118" t="str">
        <f t="shared" si="3235"/>
        <v/>
      </c>
      <c r="AC4339" s="712" t="str">
        <f>IF(AE4339="T2G","no charge",IF(AND(OR(PlanterYesMe="No",PlanterYesMe="N",PlanterYesMe="me"),H4339=""),"",IF(H4339="credit","NO install",IF(AND(K4339="",AE4339="me"),"EACH row",IF(AND(K4339="images",AE4339="me"),"EACH row",IF(D4339="","",IF(H4339="credit","",IF(AE4339="free","re-planting",IF(AE4339="me","   not ELP, by",IF(AND(OR(PlanterYesMe="Yes",PlanterYesMe="Y"),G4339&gt;0),(VLOOKUP(A4339,'Discount Lookup'!J:K,2)*G4339*(1-PlanterDiscount)*(1+PlanterDifficultyPercentage)),IF(AE4339="ELP",(VLOOKUP(A4339,'Discount Lookup'!J:K,2)*G4339*(1-PlanterDiscount)*(1+PlanterDifficultyPercentage)),IF(AE4339="free","re-planting",IF(G4339=0,"",IF(PlanterYesMe="",IF(AE4339="me","   not ELP, by",IF(AE4339="",IF(G4339&gt;0,(VLOOKUP(A4339,'Discount Lookup'!J:K,2)*G4339*(1-PlanterDiscount)*(1+PlanterDifficultyPercentage)),""),"")),"   not ELP, by"))))))))))))))</f>
        <v/>
      </c>
      <c r="AD4339" s="712"/>
      <c r="AE4339" s="513" t="str">
        <f t="shared" si="3236"/>
        <v/>
      </c>
      <c r="AF4339" s="713" t="str">
        <f t="shared" si="3237"/>
        <v/>
      </c>
      <c r="AG4339" s="713"/>
      <c r="AH4339" s="713"/>
      <c r="AI4339" s="112">
        <f>IF(H4339="credit",0,IF(AE4339="free",0,IF(AE4339="me",0,IF(G4339&gt;0,(VLOOKUP(A4339,'Discount Lookup'!J:K,2)*G4339),0))))</f>
        <v>0</v>
      </c>
      <c r="AJ4339" s="107" t="str">
        <f t="shared" ca="1" si="3238"/>
        <v/>
      </c>
      <c r="AK4339" s="714" t="str">
        <f t="shared" si="3239"/>
        <v/>
      </c>
      <c r="AL4339" s="714"/>
      <c r="AM4339" s="114" t="str">
        <f t="shared" si="3240"/>
        <v/>
      </c>
      <c r="AN4339" s="115"/>
      <c r="AO4339" s="116"/>
      <c r="AP4339" s="116"/>
      <c r="AQ4339" s="116"/>
      <c r="AR4339" s="116"/>
      <c r="AS4339" s="116"/>
      <c r="AT4339" s="116"/>
      <c r="AU4339" s="116"/>
      <c r="AV4339" s="78"/>
      <c r="AW4339" s="102"/>
      <c r="AX4339" s="78"/>
      <c r="AY4339" s="78"/>
      <c r="AZ4339" s="78"/>
      <c r="BA4339" s="78"/>
      <c r="BB4339" s="78"/>
      <c r="BC4339" s="78"/>
      <c r="BD4339" s="78"/>
      <c r="BE4339" s="465"/>
      <c r="BF4339" s="165" t="str">
        <f t="shared" si="3241"/>
        <v>https://www.google.com/search?tbm=isch&amp;q=7%20G3</v>
      </c>
      <c r="BG4339" s="165" t="str">
        <f t="shared" si="3242"/>
        <v>V</v>
      </c>
      <c r="BH4339" s="65"/>
      <c r="BI4339" s="65"/>
      <c r="BJ4339" s="65"/>
      <c r="BK4339" s="65"/>
      <c r="BL4339" s="99"/>
      <c r="BM4339" s="99"/>
      <c r="BN4339" s="99"/>
    </row>
    <row r="4340" spans="1:66" s="51" customFormat="1" ht="15.75" x14ac:dyDescent="0.25">
      <c r="A4340" s="634">
        <v>7</v>
      </c>
      <c r="B4340" s="635" t="s">
        <v>291</v>
      </c>
      <c r="C4340" s="636" t="s">
        <v>4490</v>
      </c>
      <c r="D4340" s="637" t="s">
        <v>299</v>
      </c>
      <c r="E4340" s="638">
        <v>86.95</v>
      </c>
      <c r="F4340" s="639" t="s">
        <v>292</v>
      </c>
      <c r="G4340" s="484">
        <v>0</v>
      </c>
      <c r="H4340" s="691" t="str">
        <f>IF(G4340=0,"",IF(F4340="Buy",IF(G4340=1,"plant","plants"),IF(F4340&gt;0.01,"warranty","Error")))</f>
        <v/>
      </c>
      <c r="I4340" s="640">
        <f>IF(H4340="free",0,IF(H4340="credit",((E4340*(F4340))*G4340*-1),IF(F4340="Buy",(E4340*G4340),((E4340*(1-F4340))*G4340))))</f>
        <v>0</v>
      </c>
      <c r="J4340" s="640">
        <f>IF(H4340="warranty",0,(I4340*(_xlfn.SINGLE(SalesTaxPercentage))))</f>
        <v>0</v>
      </c>
      <c r="K4340" s="716">
        <f t="shared" ref="K4340" si="3260">I4340+J4340</f>
        <v>0</v>
      </c>
      <c r="L4340" s="716"/>
      <c r="M4340" s="689" t="str">
        <f ca="1">IF(AND(G4340&gt;0,E4340=0),"WARNING - no PRICE inserted",IF(H4340="free","FREE ~ no charge this plant",IF(H4340="credit",CONCATENATE("-$",ROUND(K4340*(1-_xlfn.SINGLE(T2GDiscount))*-1,2)," CREDIT after discount"),IF(_xlfn.SINGLE(T2GDiscount)=0,"",IF(G4340=0,"",IF(F4340="Buy",CONCATENATE("$",ROUND(K4340*(1-_xlfn.SINGLE(T2GDiscount)),2)," with ",(_xlfn.SINGLE(T2GDiscount)*100),"% discount"),CONCATENATE("$",ROUND(K4340*(1-_xlfn.SINGLE(T2GDiscount)),2)," with ",((_xlfn.SINGLE(T2GDiscount)*100+F4340*100)-(_xlfn.SINGLE(T2GDiscount)*100*F4340)),IF(F4340&gt;0,"% discounts",IF(_xlfn.SINGLE(NoWarrantyDiscount)&gt;0,"% discounts","% discount")))))))))</f>
        <v/>
      </c>
      <c r="N4340" s="690"/>
      <c r="O4340" s="486"/>
      <c r="P4340" s="486"/>
      <c r="Q4340" s="486"/>
      <c r="R4340" s="486"/>
      <c r="S4340" s="486"/>
      <c r="T4340" s="102">
        <f t="shared" si="3230"/>
        <v>0</v>
      </c>
      <c r="U4340" s="78">
        <f>IF(NOT(ISNUMBER(G4340)), "", VLOOKUP(A4340,'Discount Lookup'!D:E,2,FALSE)*G4340)</f>
        <v>0</v>
      </c>
      <c r="V4340" s="78">
        <f>IF(NOT(ISNUMBER(G4340)), "", VLOOKUP(A4340,'Discount Lookup'!G:H,2,FALSE)*G4340)</f>
        <v>0</v>
      </c>
      <c r="W4340" s="102">
        <f t="shared" si="3231"/>
        <v>0</v>
      </c>
      <c r="X4340" s="102">
        <f t="shared" si="3232"/>
        <v>0</v>
      </c>
      <c r="Y4340" s="120" t="b">
        <f t="shared" si="3233"/>
        <v>0</v>
      </c>
      <c r="Z4340" s="117">
        <f t="shared" si="3234"/>
        <v>0</v>
      </c>
      <c r="AA4340" s="118"/>
      <c r="AB4340" s="118" t="str">
        <f t="shared" si="3235"/>
        <v/>
      </c>
      <c r="AC4340" s="712" t="str">
        <f>IF(AE4340="T2G","no charge",IF(AND(OR(PlanterYesMe="No",PlanterYesMe="N",PlanterYesMe="me"),H4340=""),"",IF(H4340="credit","NO install",IF(AND(K4340="",AE4340="me"),"EACH row",IF(AND(K4340="images",AE4340="me"),"EACH row",IF(D4340="","",IF(H4340="credit","",IF(AE4340="free","re-planting",IF(AE4340="me","   not ELP, by",IF(AND(OR(PlanterYesMe="Yes",PlanterYesMe="Y"),G4340&gt;0),(VLOOKUP(A4340,'Discount Lookup'!J:K,2)*G4340*(1-PlanterDiscount)*(1+PlanterDifficultyPercentage)),IF(AE4340="ELP",(VLOOKUP(A4340,'Discount Lookup'!J:K,2)*G4340*(1-PlanterDiscount)*(1+PlanterDifficultyPercentage)),IF(AE4340="free","re-planting",IF(G4340=0,"",IF(PlanterYesMe="",IF(AE4340="me","   not ELP, by",IF(AE4340="",IF(G4340&gt;0,(VLOOKUP(A4340,'Discount Lookup'!J:K,2)*G4340*(1-PlanterDiscount)*(1+PlanterDifficultyPercentage)),""),"")),"   not ELP, by"))))))))))))))</f>
        <v/>
      </c>
      <c r="AD4340" s="712"/>
      <c r="AE4340" s="513" t="str">
        <f t="shared" si="3236"/>
        <v/>
      </c>
      <c r="AF4340" s="713" t="str">
        <f t="shared" si="3237"/>
        <v/>
      </c>
      <c r="AG4340" s="713"/>
      <c r="AH4340" s="713"/>
      <c r="AI4340" s="112">
        <f>IF(H4340="credit",0,IF(AE4340="free",0,IF(AE4340="me",0,IF(G4340&gt;0,(VLOOKUP(A4340,'Discount Lookup'!J:K,2)*G4340),0))))</f>
        <v>0</v>
      </c>
      <c r="AJ4340" s="107" t="str">
        <f t="shared" ca="1" si="3238"/>
        <v/>
      </c>
      <c r="AK4340" s="714" t="str">
        <f t="shared" si="3239"/>
        <v/>
      </c>
      <c r="AL4340" s="714"/>
      <c r="AM4340" s="114" t="str">
        <f t="shared" si="3240"/>
        <v/>
      </c>
      <c r="AN4340" s="115"/>
      <c r="AO4340" s="116"/>
      <c r="AP4340" s="116"/>
      <c r="AQ4340" s="116"/>
      <c r="AR4340" s="116"/>
      <c r="AS4340" s="116"/>
      <c r="AT4340" s="116"/>
      <c r="AU4340" s="116"/>
      <c r="AV4340" s="78"/>
      <c r="AW4340" s="102"/>
      <c r="AX4340" s="78"/>
      <c r="AY4340" s="78"/>
      <c r="AZ4340" s="78"/>
      <c r="BA4340" s="78"/>
      <c r="BB4340" s="78"/>
      <c r="BC4340" s="78"/>
      <c r="BD4340" s="78"/>
      <c r="BE4340" s="465"/>
      <c r="BF4340" s="165" t="str">
        <f t="shared" si="3241"/>
        <v>https://www.google.com/search?tbm=isch&amp;q=7%20G4</v>
      </c>
      <c r="BG4340" s="165" t="str">
        <f t="shared" si="3242"/>
        <v>V</v>
      </c>
      <c r="BH4340" s="65"/>
      <c r="BI4340" s="65"/>
      <c r="BJ4340" s="65"/>
      <c r="BK4340" s="65"/>
      <c r="BL4340" s="99"/>
      <c r="BM4340" s="99"/>
      <c r="BN4340" s="99"/>
    </row>
    <row r="4341" spans="1:66" s="51" customFormat="1" ht="15.75" x14ac:dyDescent="0.25">
      <c r="A4341" s="634">
        <v>10</v>
      </c>
      <c r="B4341" s="635" t="s">
        <v>291</v>
      </c>
      <c r="C4341" s="636" t="s">
        <v>4491</v>
      </c>
      <c r="D4341" s="637" t="s">
        <v>293</v>
      </c>
      <c r="E4341" s="638">
        <v>191.95</v>
      </c>
      <c r="F4341" s="639" t="s">
        <v>292</v>
      </c>
      <c r="G4341" s="484">
        <v>0</v>
      </c>
      <c r="H4341" s="691" t="str">
        <f>IF(G4341=0,"",IF(F4341="Buy",IF(G4341=1,"plant","plants"),IF(F4341&gt;0.01,"warranty","Error")))</f>
        <v/>
      </c>
      <c r="I4341" s="640">
        <f>IF(H4341="free",0,IF(H4341="credit",((E4341*(F4341))*G4341*-1),IF(F4341="Buy",(E4341*G4341),((E4341*(1-F4341))*G4341))))</f>
        <v>0</v>
      </c>
      <c r="J4341" s="640">
        <f>IF(H4341="warranty",0,(I4341*(_xlfn.SINGLE(SalesTaxPercentage))))</f>
        <v>0</v>
      </c>
      <c r="K4341" s="716">
        <f t="shared" ref="K4341" si="3261">I4341+J4341</f>
        <v>0</v>
      </c>
      <c r="L4341" s="716"/>
      <c r="M4341" s="689" t="str">
        <f ca="1">IF(AND(G4341&gt;0,E4341=0),"WARNING - no PRICE inserted",IF(H4341="free","FREE ~ no charge this plant",IF(H4341="credit",CONCATENATE("-$",ROUND(K4341*(1-_xlfn.SINGLE(T2GDiscount))*-1,2)," CREDIT after discount"),IF(_xlfn.SINGLE(T2GDiscount)=0,"",IF(G4341=0,"",IF(F4341="Buy",CONCATENATE("$",ROUND(K4341*(1-_xlfn.SINGLE(T2GDiscount)),2)," with ",(_xlfn.SINGLE(T2GDiscount)*100),"% discount"),CONCATENATE("$",ROUND(K4341*(1-_xlfn.SINGLE(T2GDiscount)),2)," with ",((_xlfn.SINGLE(T2GDiscount)*100+F4341*100)-(_xlfn.SINGLE(T2GDiscount)*100*F4341)),IF(F4341&gt;0,"% discounts",IF(_xlfn.SINGLE(NoWarrantyDiscount)&gt;0,"% discounts","% discount")))))))))</f>
        <v/>
      </c>
      <c r="N4341" s="690"/>
      <c r="O4341" s="486"/>
      <c r="P4341" s="486"/>
      <c r="Q4341" s="486"/>
      <c r="R4341" s="486"/>
      <c r="S4341" s="486"/>
      <c r="T4341" s="102">
        <f t="shared" si="3230"/>
        <v>0</v>
      </c>
      <c r="U4341" s="78">
        <f>IF(NOT(ISNUMBER(G4341)), "", VLOOKUP(A4341,'Discount Lookup'!D:E,2,FALSE)*G4341)</f>
        <v>0</v>
      </c>
      <c r="V4341" s="78">
        <f>IF(NOT(ISNUMBER(G4341)), "", VLOOKUP(A4341,'Discount Lookup'!G:H,2,FALSE)*G4341)</f>
        <v>0</v>
      </c>
      <c r="W4341" s="102">
        <f t="shared" si="3231"/>
        <v>0</v>
      </c>
      <c r="X4341" s="102">
        <f t="shared" si="3232"/>
        <v>0</v>
      </c>
      <c r="Y4341" s="120" t="b">
        <f t="shared" si="3233"/>
        <v>0</v>
      </c>
      <c r="Z4341" s="117">
        <f t="shared" si="3234"/>
        <v>0</v>
      </c>
      <c r="AA4341" s="118"/>
      <c r="AB4341" s="118" t="str">
        <f t="shared" si="3235"/>
        <v/>
      </c>
      <c r="AC4341" s="712" t="str">
        <f>IF(AE4341="T2G","no charge",IF(AND(OR(PlanterYesMe="No",PlanterYesMe="N",PlanterYesMe="me"),H4341=""),"",IF(H4341="credit","NO install",IF(AND(K4341="",AE4341="me"),"EACH row",IF(AND(K4341="images",AE4341="me"),"EACH row",IF(D4341="","",IF(H4341="credit","",IF(AE4341="free","re-planting",IF(AE4341="me","   not ELP, by",IF(AND(OR(PlanterYesMe="Yes",PlanterYesMe="Y"),G4341&gt;0),(VLOOKUP(A4341,'Discount Lookup'!J:K,2)*G4341*(1-PlanterDiscount)*(1+PlanterDifficultyPercentage)),IF(AE4341="ELP",(VLOOKUP(A4341,'Discount Lookup'!J:K,2)*G4341*(1-PlanterDiscount)*(1+PlanterDifficultyPercentage)),IF(AE4341="free","re-planting",IF(G4341=0,"",IF(PlanterYesMe="",IF(AE4341="me","   not ELP, by",IF(AE4341="",IF(G4341&gt;0,(VLOOKUP(A4341,'Discount Lookup'!J:K,2)*G4341*(1-PlanterDiscount)*(1+PlanterDifficultyPercentage)),""),"")),"   not ELP, by"))))))))))))))</f>
        <v/>
      </c>
      <c r="AD4341" s="712"/>
      <c r="AE4341" s="513" t="str">
        <f t="shared" si="3236"/>
        <v/>
      </c>
      <c r="AF4341" s="713" t="str">
        <f t="shared" si="3237"/>
        <v/>
      </c>
      <c r="AG4341" s="713"/>
      <c r="AH4341" s="713"/>
      <c r="AI4341" s="112">
        <f>IF(H4341="credit",0,IF(AE4341="free",0,IF(AE4341="me",0,IF(G4341&gt;0,(VLOOKUP(A4341,'Discount Lookup'!J:K,2)*G4341),0))))</f>
        <v>0</v>
      </c>
      <c r="AJ4341" s="107" t="str">
        <f t="shared" ca="1" si="3238"/>
        <v/>
      </c>
      <c r="AK4341" s="714" t="str">
        <f t="shared" si="3239"/>
        <v/>
      </c>
      <c r="AL4341" s="714"/>
      <c r="AM4341" s="114" t="str">
        <f t="shared" si="3240"/>
        <v/>
      </c>
      <c r="AN4341" s="115"/>
      <c r="AO4341" s="116"/>
      <c r="AP4341" s="116"/>
      <c r="AQ4341" s="116"/>
      <c r="AR4341" s="116"/>
      <c r="AS4341" s="116"/>
      <c r="AT4341" s="116"/>
      <c r="AU4341" s="116"/>
      <c r="AV4341" s="78"/>
      <c r="AW4341" s="102"/>
      <c r="AX4341" s="78"/>
      <c r="AY4341" s="78"/>
      <c r="AZ4341" s="78"/>
      <c r="BA4341" s="78"/>
      <c r="BB4341" s="78"/>
      <c r="BC4341" s="78"/>
      <c r="BD4341" s="78"/>
      <c r="BE4341" s="465"/>
      <c r="BF4341" s="165" t="str">
        <f t="shared" si="3241"/>
        <v>https://www.google.com/search?tbm=isch&amp;q=10%20G6</v>
      </c>
      <c r="BG4341" s="165" t="str">
        <f t="shared" si="3242"/>
        <v>V</v>
      </c>
      <c r="BH4341" s="65"/>
      <c r="BI4341" s="65"/>
      <c r="BJ4341" s="65"/>
      <c r="BK4341" s="65"/>
      <c r="BL4341" s="99"/>
      <c r="BM4341" s="99"/>
      <c r="BN4341" s="99"/>
    </row>
    <row r="4342" spans="1:66" s="51" customFormat="1" ht="17.25" thickBot="1" x14ac:dyDescent="0.3">
      <c r="A4342" s="641" t="s">
        <v>4492</v>
      </c>
      <c r="B4342" s="642"/>
      <c r="C4342" s="710"/>
      <c r="D4342" s="643"/>
      <c r="E4342" s="643"/>
      <c r="F4342" s="644"/>
      <c r="G4342" s="645"/>
      <c r="H4342" s="646"/>
      <c r="I4342" s="647"/>
      <c r="J4342" s="648"/>
      <c r="K4342" s="649"/>
      <c r="L4342" s="650"/>
      <c r="M4342" s="650"/>
      <c r="N4342" s="644"/>
      <c r="O4342" s="644"/>
      <c r="P4342" s="644"/>
      <c r="Q4342" s="644"/>
      <c r="R4342" s="644"/>
      <c r="S4342" s="701" t="s">
        <v>5262</v>
      </c>
      <c r="T4342" s="102">
        <f t="shared" si="3230"/>
        <v>0</v>
      </c>
      <c r="U4342" s="78" t="str">
        <f>IF(NOT(ISNUMBER(G4342)), "", VLOOKUP(A4342,'Discount Lookup'!D:E,2,FALSE)*G4342)</f>
        <v/>
      </c>
      <c r="V4342" s="78" t="str">
        <f>IF(NOT(ISNUMBER(G4342)), "", VLOOKUP(A4342,'Discount Lookup'!G:H,2,FALSE)*G4342)</f>
        <v/>
      </c>
      <c r="W4342" s="102">
        <f t="shared" si="3231"/>
        <v>0</v>
      </c>
      <c r="X4342" s="102">
        <f t="shared" si="3232"/>
        <v>0</v>
      </c>
      <c r="Y4342" s="120" t="b">
        <f t="shared" si="3233"/>
        <v>0</v>
      </c>
      <c r="Z4342" s="117">
        <f t="shared" si="3234"/>
        <v>0</v>
      </c>
      <c r="AA4342" s="118"/>
      <c r="AB4342" s="118" t="str">
        <f t="shared" si="3235"/>
        <v/>
      </c>
      <c r="AC4342" s="712" t="str">
        <f>IF(AE4342="T2G","no charge",IF(AND(OR(PlanterYesMe="No",PlanterYesMe="N",PlanterYesMe="me"),H4342=""),"",IF(H4342="credit","NO install",IF(AND(K4342="",AE4342="me"),"EACH row",IF(AND(K4342="images",AE4342="me"),"EACH row",IF(D4342="","",IF(H4342="credit","",IF(AE4342="free","re-planting",IF(AE4342="me","   not ELP, by",IF(AND(OR(PlanterYesMe="Yes",PlanterYesMe="Y"),G4342&gt;0),(VLOOKUP(A4342,'Discount Lookup'!J:K,2)*G4342*(1-PlanterDiscount)*(1+PlanterDifficultyPercentage)),IF(AE4342="ELP",(VLOOKUP(A4342,'Discount Lookup'!J:K,2)*G4342*(1-PlanterDiscount)*(1+PlanterDifficultyPercentage)),IF(AE4342="free","re-planting",IF(G4342=0,"",IF(PlanterYesMe="",IF(AE4342="me","   not ELP, by",IF(AE4342="",IF(G4342&gt;0,(VLOOKUP(A4342,'Discount Lookup'!J:K,2)*G4342*(1-PlanterDiscount)*(1+PlanterDifficultyPercentage)),""),"")),"   not ELP, by"))))))))))))))</f>
        <v/>
      </c>
      <c r="AD4342" s="712"/>
      <c r="AE4342" s="513" t="str">
        <f t="shared" si="3236"/>
        <v/>
      </c>
      <c r="AF4342" s="713" t="str">
        <f t="shared" si="3237"/>
        <v/>
      </c>
      <c r="AG4342" s="713"/>
      <c r="AH4342" s="713"/>
      <c r="AI4342" s="112">
        <f>IF(H4342="credit",0,IF(AE4342="free",0,IF(AE4342="me",0,IF(G4342&gt;0,(VLOOKUP(A4342,'Discount Lookup'!J:K,2)*G4342),0))))</f>
        <v>0</v>
      </c>
      <c r="AJ4342" s="107" t="str">
        <f t="shared" ca="1" si="3238"/>
        <v/>
      </c>
      <c r="AK4342" s="714" t="str">
        <f t="shared" si="3239"/>
        <v/>
      </c>
      <c r="AL4342" s="714"/>
      <c r="AM4342" s="114" t="str">
        <f t="shared" si="3240"/>
        <v/>
      </c>
      <c r="AN4342" s="115"/>
      <c r="AO4342" s="116"/>
      <c r="AP4342" s="116"/>
      <c r="AQ4342" s="116"/>
      <c r="AR4342" s="116"/>
      <c r="AS4342" s="116"/>
      <c r="AT4342" s="116"/>
      <c r="AU4342" s="116"/>
      <c r="AV4342" s="78"/>
      <c r="AW4342" s="102"/>
      <c r="AX4342" s="78"/>
      <c r="AY4342" s="78"/>
      <c r="AZ4342" s="78"/>
      <c r="BA4342" s="78"/>
      <c r="BB4342" s="78"/>
      <c r="BC4342" s="78"/>
      <c r="BD4342" s="78"/>
      <c r="BE4342" s="465"/>
      <c r="BF4342" s="165" t="str">
        <f t="shared" si="3241"/>
        <v>https://www.google.com/search?tbm=isch&amp;q=Shasta%20has%20large%20flower%20clusters%20in%20spring%2C%20followed%20by%20attractive%20red%20fruit%2C%20maturing%20to%20black%2C%20which%20birds%20love%20</v>
      </c>
      <c r="BG4342" s="165" t="str">
        <f t="shared" si="3242"/>
        <v>S</v>
      </c>
      <c r="BH4342" s="65"/>
      <c r="BI4342" s="65"/>
      <c r="BJ4342" s="65"/>
      <c r="BK4342" s="65"/>
      <c r="BL4342" s="99"/>
      <c r="BM4342" s="99"/>
      <c r="BN4342" s="99"/>
    </row>
    <row r="4343" spans="1:66" s="51" customFormat="1" ht="18" x14ac:dyDescent="0.25">
      <c r="A4343" s="623" t="s">
        <v>4493</v>
      </c>
      <c r="B4343" s="624"/>
      <c r="C4343" s="709"/>
      <c r="D4343" s="625" t="s">
        <v>5855</v>
      </c>
      <c r="E4343" s="626"/>
      <c r="F4343" s="626"/>
      <c r="G4343" s="626"/>
      <c r="H4343" s="622" t="s">
        <v>326</v>
      </c>
      <c r="I4343" s="627" t="s">
        <v>349</v>
      </c>
      <c r="J4343" s="628"/>
      <c r="K4343" s="628"/>
      <c r="L4343" s="629"/>
      <c r="M4343" s="700" t="s">
        <v>5249</v>
      </c>
      <c r="N4343" s="693" t="str">
        <f>IF(AND(ISTEXT($A4343), ISERROR($A4343+0)), HYPERLINK($BF4343, "Images"), "")</f>
        <v>Images</v>
      </c>
      <c r="O4343" s="695" t="s">
        <v>5247</v>
      </c>
      <c r="P4343" s="630"/>
      <c r="Q4343" s="631"/>
      <c r="R4343" s="632"/>
      <c r="S4343" s="633"/>
      <c r="T4343" s="102">
        <f t="shared" si="3230"/>
        <v>0</v>
      </c>
      <c r="U4343" s="78" t="str">
        <f>IF(NOT(ISNUMBER(G4343)), "", VLOOKUP(A4343,'Discount Lookup'!D:E,2,FALSE)*G4343)</f>
        <v/>
      </c>
      <c r="V4343" s="78" t="str">
        <f>IF(NOT(ISNUMBER(G4343)), "", VLOOKUP(A4343,'Discount Lookup'!G:H,2,FALSE)*G4343)</f>
        <v/>
      </c>
      <c r="W4343" s="102">
        <f t="shared" si="3231"/>
        <v>0</v>
      </c>
      <c r="X4343" s="102" t="str">
        <f t="shared" si="3232"/>
        <v>White bloom</v>
      </c>
      <c r="Y4343" s="120" t="b">
        <f t="shared" si="3233"/>
        <v>0</v>
      </c>
      <c r="Z4343" s="117">
        <f t="shared" si="3234"/>
        <v>0</v>
      </c>
      <c r="AA4343" s="118"/>
      <c r="AB4343" s="118" t="str">
        <f t="shared" si="3235"/>
        <v/>
      </c>
      <c r="AC4343" s="712" t="str">
        <f>IF(AE4343="T2G","no charge",IF(AND(OR(PlanterYesMe="No",PlanterYesMe="N",PlanterYesMe="me"),H4343=""),"",IF(H4343="credit","NO install",IF(AND(K4343="",AE4343="me"),"EACH row",IF(AND(K4343="images",AE4343="me"),"EACH row",IF(D4343="","",IF(H4343="credit","",IF(AE4343="free","re-planting",IF(AE4343="me","   not ELP, by",IF(AND(OR(PlanterYesMe="Yes",PlanterYesMe="Y"),G4343&gt;0),(VLOOKUP(A4343,'Discount Lookup'!J:K,2)*G4343*(1-PlanterDiscount)*(1+PlanterDifficultyPercentage)),IF(AE4343="ELP",(VLOOKUP(A4343,'Discount Lookup'!J:K,2)*G4343*(1-PlanterDiscount)*(1+PlanterDifficultyPercentage)),IF(AE4343="free","re-planting",IF(G4343=0,"",IF(PlanterYesMe="",IF(AE4343="me","   not ELP, by",IF(AE4343="",IF(G4343&gt;0,(VLOOKUP(A4343,'Discount Lookup'!J:K,2)*G4343*(1-PlanterDiscount)*(1+PlanterDifficultyPercentage)),""),"")),"   not ELP, by"))))))))))))))</f>
        <v/>
      </c>
      <c r="AD4343" s="712"/>
      <c r="AE4343" s="513" t="str">
        <f t="shared" si="3236"/>
        <v/>
      </c>
      <c r="AF4343" s="713" t="str">
        <f t="shared" si="3237"/>
        <v/>
      </c>
      <c r="AG4343" s="713"/>
      <c r="AH4343" s="713"/>
      <c r="AI4343" s="112">
        <f>IF(H4343="credit",0,IF(AE4343="free",0,IF(AE4343="me",0,IF(G4343&gt;0,(VLOOKUP(A4343,'Discount Lookup'!J:K,2)*G4343),0))))</f>
        <v>0</v>
      </c>
      <c r="AJ4343" s="107" t="str">
        <f t="shared" ca="1" si="3238"/>
        <v/>
      </c>
      <c r="AK4343" s="714" t="str">
        <f t="shared" si="3239"/>
        <v/>
      </c>
      <c r="AL4343" s="714"/>
      <c r="AM4343" s="114" t="str">
        <f t="shared" si="3240"/>
        <v/>
      </c>
      <c r="AN4343" s="115"/>
      <c r="AO4343" s="116"/>
      <c r="AP4343" s="116"/>
      <c r="AQ4343" s="116"/>
      <c r="AR4343" s="116"/>
      <c r="AS4343" s="116"/>
      <c r="AT4343" s="116"/>
      <c r="AU4343" s="116"/>
      <c r="AV4343" s="78"/>
      <c r="AW4343" s="102"/>
      <c r="AX4343" s="78"/>
      <c r="AY4343" s="78"/>
      <c r="AZ4343" s="78"/>
      <c r="BA4343" s="78"/>
      <c r="BB4343" s="78"/>
      <c r="BC4343" s="78"/>
      <c r="BD4343" s="78"/>
      <c r="BE4343" s="465"/>
      <c r="BF4343" s="165" t="str">
        <f t="shared" si="3241"/>
        <v>https://www.google.com/search?tbm=isch&amp;q=Viburnum%20prunifolium%20%27Dark%20Tower%27%20Dark%20Tower%E2%84%A2%20Blackhaw%20Viburnum</v>
      </c>
      <c r="BG4343" s="165" t="str">
        <f t="shared" si="3242"/>
        <v>V</v>
      </c>
      <c r="BH4343" s="65"/>
      <c r="BI4343" s="65"/>
      <c r="BJ4343" s="65"/>
      <c r="BK4343" s="65"/>
      <c r="BL4343" s="99"/>
      <c r="BM4343" s="99"/>
      <c r="BN4343" s="99"/>
    </row>
    <row r="4344" spans="1:66" s="51" customFormat="1" ht="27" x14ac:dyDescent="0.25">
      <c r="A4344" s="634">
        <v>10</v>
      </c>
      <c r="B4344" s="635" t="s">
        <v>291</v>
      </c>
      <c r="C4344" s="636" t="s">
        <v>4494</v>
      </c>
      <c r="D4344" s="637" t="s">
        <v>299</v>
      </c>
      <c r="E4344" s="638">
        <v>169.95</v>
      </c>
      <c r="F4344" s="639" t="s">
        <v>292</v>
      </c>
      <c r="G4344" s="484">
        <v>0</v>
      </c>
      <c r="H4344" s="691" t="str">
        <f>IF(G4344=0,"",IF(F4344="Buy",IF(G4344=1,"plant","plants"),IF(F4344&gt;0.01,"warranty","Error")))</f>
        <v/>
      </c>
      <c r="I4344" s="640">
        <f>IF(H4344="free",0,IF(H4344="credit",((E4344*(F4344))*G4344*-1),IF(F4344="Buy",(E4344*G4344),((E4344*(1-F4344))*G4344))))</f>
        <v>0</v>
      </c>
      <c r="J4344" s="640">
        <f>IF(H4344="warranty",0,(I4344*(_xlfn.SINGLE(SalesTaxPercentage))))</f>
        <v>0</v>
      </c>
      <c r="K4344" s="716">
        <f t="shared" ref="K4344" si="3262">I4344+J4344</f>
        <v>0</v>
      </c>
      <c r="L4344" s="716"/>
      <c r="M4344" s="689" t="str">
        <f ca="1">IF(AND(G4344&gt;0,E4344=0),"WARNING - no PRICE inserted",IF(H4344="free","FREE ~ no charge this plant",IF(H4344="credit",CONCATENATE("-$",ROUND(K4344*(1-_xlfn.SINGLE(T2GDiscount))*-1,2)," CREDIT after discount"),IF(_xlfn.SINGLE(T2GDiscount)=0,"",IF(G4344=0,"",IF(F4344="Buy",CONCATENATE("$",ROUND(K4344*(1-_xlfn.SINGLE(T2GDiscount)),2)," with ",(_xlfn.SINGLE(T2GDiscount)*100),"% discount"),CONCATENATE("$",ROUND(K4344*(1-_xlfn.SINGLE(T2GDiscount)),2)," with ",((_xlfn.SINGLE(T2GDiscount)*100+F4344*100)-(_xlfn.SINGLE(T2GDiscount)*100*F4344)),IF(F4344&gt;0,"% discounts",IF(_xlfn.SINGLE(NoWarrantyDiscount)&gt;0,"% discounts","% discount")))))))))</f>
        <v/>
      </c>
      <c r="N4344" s="690"/>
      <c r="O4344" s="486"/>
      <c r="P4344" s="486"/>
      <c r="Q4344" s="486"/>
      <c r="R4344" s="486"/>
      <c r="S4344" s="486"/>
      <c r="T4344" s="102">
        <f t="shared" si="3230"/>
        <v>0</v>
      </c>
      <c r="U4344" s="78">
        <f>IF(NOT(ISNUMBER(G4344)), "", VLOOKUP(A4344,'Discount Lookup'!D:E,2,FALSE)*G4344)</f>
        <v>0</v>
      </c>
      <c r="V4344" s="78">
        <f>IF(NOT(ISNUMBER(G4344)), "", VLOOKUP(A4344,'Discount Lookup'!G:H,2,FALSE)*G4344)</f>
        <v>0</v>
      </c>
      <c r="W4344" s="102">
        <f t="shared" si="3231"/>
        <v>0</v>
      </c>
      <c r="X4344" s="102">
        <f t="shared" si="3232"/>
        <v>0</v>
      </c>
      <c r="Y4344" s="120" t="b">
        <f t="shared" si="3233"/>
        <v>0</v>
      </c>
      <c r="Z4344" s="117">
        <f t="shared" si="3234"/>
        <v>0</v>
      </c>
      <c r="AA4344" s="118"/>
      <c r="AB4344" s="118" t="str">
        <f t="shared" si="3235"/>
        <v/>
      </c>
      <c r="AC4344" s="712" t="str">
        <f>IF(AE4344="T2G","no charge",IF(AND(OR(PlanterYesMe="No",PlanterYesMe="N",PlanterYesMe="me"),H4344=""),"",IF(H4344="credit","NO install",IF(AND(K4344="",AE4344="me"),"EACH row",IF(AND(K4344="images",AE4344="me"),"EACH row",IF(D4344="","",IF(H4344="credit","",IF(AE4344="free","re-planting",IF(AE4344="me","   not ELP, by",IF(AND(OR(PlanterYesMe="Yes",PlanterYesMe="Y"),G4344&gt;0),(VLOOKUP(A4344,'Discount Lookup'!J:K,2)*G4344*(1-PlanterDiscount)*(1+PlanterDifficultyPercentage)),IF(AE4344="ELP",(VLOOKUP(A4344,'Discount Lookup'!J:K,2)*G4344*(1-PlanterDiscount)*(1+PlanterDifficultyPercentage)),IF(AE4344="free","re-planting",IF(G4344=0,"",IF(PlanterYesMe="",IF(AE4344="me","   not ELP, by",IF(AE4344="",IF(G4344&gt;0,(VLOOKUP(A4344,'Discount Lookup'!J:K,2)*G4344*(1-PlanterDiscount)*(1+PlanterDifficultyPercentage)),""),"")),"   not ELP, by"))))))))))))))</f>
        <v/>
      </c>
      <c r="AD4344" s="712"/>
      <c r="AE4344" s="513" t="str">
        <f t="shared" si="3236"/>
        <v/>
      </c>
      <c r="AF4344" s="713" t="str">
        <f t="shared" si="3237"/>
        <v/>
      </c>
      <c r="AG4344" s="713"/>
      <c r="AH4344" s="713"/>
      <c r="AI4344" s="112">
        <f>IF(H4344="credit",0,IF(AE4344="free",0,IF(AE4344="me",0,IF(G4344&gt;0,(VLOOKUP(A4344,'Discount Lookup'!J:K,2)*G4344),0))))</f>
        <v>0</v>
      </c>
      <c r="AJ4344" s="107" t="str">
        <f t="shared" ca="1" si="3238"/>
        <v/>
      </c>
      <c r="AK4344" s="714" t="str">
        <f t="shared" si="3239"/>
        <v/>
      </c>
      <c r="AL4344" s="714"/>
      <c r="AM4344" s="114" t="str">
        <f t="shared" si="3240"/>
        <v/>
      </c>
      <c r="AN4344" s="115"/>
      <c r="AO4344" s="116"/>
      <c r="AP4344" s="116"/>
      <c r="AQ4344" s="116"/>
      <c r="AR4344" s="116"/>
      <c r="AS4344" s="116"/>
      <c r="AT4344" s="116"/>
      <c r="AU4344" s="116"/>
      <c r="AV4344" s="78"/>
      <c r="AW4344" s="102"/>
      <c r="AX4344" s="78"/>
      <c r="AY4344" s="78"/>
      <c r="AZ4344" s="78"/>
      <c r="BA4344" s="78"/>
      <c r="BB4344" s="78"/>
      <c r="BC4344" s="78"/>
      <c r="BD4344" s="78"/>
      <c r="BE4344" s="465"/>
      <c r="BF4344" s="165" t="str">
        <f t="shared" si="3241"/>
        <v>https://www.google.com/search?tbm=isch&amp;q=10%20G4</v>
      </c>
      <c r="BG4344" s="165" t="str">
        <f t="shared" si="3242"/>
        <v>V</v>
      </c>
      <c r="BH4344" s="65"/>
      <c r="BI4344" s="65"/>
      <c r="BJ4344" s="65"/>
      <c r="BK4344" s="65"/>
      <c r="BL4344" s="99"/>
      <c r="BM4344" s="99"/>
      <c r="BN4344" s="99"/>
    </row>
    <row r="4345" spans="1:66" s="51" customFormat="1" ht="17.25" thickBot="1" x14ac:dyDescent="0.3">
      <c r="A4345" s="704" t="s">
        <v>5572</v>
      </c>
      <c r="B4345" s="642"/>
      <c r="C4345" s="710"/>
      <c r="D4345" s="643"/>
      <c r="E4345" s="643"/>
      <c r="F4345" s="644"/>
      <c r="G4345" s="645"/>
      <c r="H4345" s="646"/>
      <c r="I4345" s="647"/>
      <c r="J4345" s="648"/>
      <c r="K4345" s="649"/>
      <c r="L4345" s="650"/>
      <c r="M4345" s="650"/>
      <c r="N4345" s="644"/>
      <c r="O4345" s="644"/>
      <c r="P4345" s="644"/>
      <c r="Q4345" s="644"/>
      <c r="R4345" s="644"/>
      <c r="S4345" s="701" t="s">
        <v>5262</v>
      </c>
      <c r="T4345" s="102">
        <f t="shared" si="3230"/>
        <v>0</v>
      </c>
      <c r="U4345" s="78" t="str">
        <f>IF(NOT(ISNUMBER(G4345)), "", VLOOKUP(A4345,'Discount Lookup'!D:E,2,FALSE)*G4345)</f>
        <v/>
      </c>
      <c r="V4345" s="78" t="str">
        <f>IF(NOT(ISNUMBER(G4345)), "", VLOOKUP(A4345,'Discount Lookup'!G:H,2,FALSE)*G4345)</f>
        <v/>
      </c>
      <c r="W4345" s="102">
        <f t="shared" si="3231"/>
        <v>0</v>
      </c>
      <c r="X4345" s="102">
        <f t="shared" si="3232"/>
        <v>0</v>
      </c>
      <c r="Y4345" s="120" t="b">
        <f t="shared" si="3233"/>
        <v>0</v>
      </c>
      <c r="Z4345" s="117">
        <f t="shared" si="3234"/>
        <v>0</v>
      </c>
      <c r="AA4345" s="118"/>
      <c r="AB4345" s="118" t="str">
        <f t="shared" si="3235"/>
        <v/>
      </c>
      <c r="AC4345" s="712" t="str">
        <f>IF(AE4345="T2G","no charge",IF(AND(OR(PlanterYesMe="No",PlanterYesMe="N",PlanterYesMe="me"),H4345=""),"",IF(H4345="credit","NO install",IF(AND(K4345="",AE4345="me"),"EACH row",IF(AND(K4345="images",AE4345="me"),"EACH row",IF(D4345="","",IF(H4345="credit","",IF(AE4345="free","re-planting",IF(AE4345="me","   not ELP, by",IF(AND(OR(PlanterYesMe="Yes",PlanterYesMe="Y"),G4345&gt;0),(VLOOKUP(A4345,'Discount Lookup'!J:K,2)*G4345*(1-PlanterDiscount)*(1+PlanterDifficultyPercentage)),IF(AE4345="ELP",(VLOOKUP(A4345,'Discount Lookup'!J:K,2)*G4345*(1-PlanterDiscount)*(1+PlanterDifficultyPercentage)),IF(AE4345="free","re-planting",IF(G4345=0,"",IF(PlanterYesMe="",IF(AE4345="me","   not ELP, by",IF(AE4345="",IF(G4345&gt;0,(VLOOKUP(A4345,'Discount Lookup'!J:K,2)*G4345*(1-PlanterDiscount)*(1+PlanterDifficultyPercentage)),""),"")),"   not ELP, by"))))))))))))))</f>
        <v/>
      </c>
      <c r="AD4345" s="712"/>
      <c r="AE4345" s="513" t="str">
        <f t="shared" si="3236"/>
        <v/>
      </c>
      <c r="AF4345" s="713" t="str">
        <f t="shared" si="3237"/>
        <v/>
      </c>
      <c r="AG4345" s="713"/>
      <c r="AH4345" s="713"/>
      <c r="AI4345" s="112">
        <f>IF(H4345="credit",0,IF(AE4345="free",0,IF(AE4345="me",0,IF(G4345&gt;0,(VLOOKUP(A4345,'Discount Lookup'!J:K,2)*G4345),0))))</f>
        <v>0</v>
      </c>
      <c r="AJ4345" s="107" t="str">
        <f t="shared" ca="1" si="3238"/>
        <v/>
      </c>
      <c r="AK4345" s="714" t="str">
        <f t="shared" si="3239"/>
        <v/>
      </c>
      <c r="AL4345" s="714"/>
      <c r="AM4345" s="114" t="str">
        <f t="shared" si="3240"/>
        <v/>
      </c>
      <c r="AN4345" s="115"/>
      <c r="AO4345" s="116"/>
      <c r="AP4345" s="116"/>
      <c r="AQ4345" s="116"/>
      <c r="AR4345" s="116"/>
      <c r="AS4345" s="116"/>
      <c r="AT4345" s="116"/>
      <c r="AU4345" s="116"/>
      <c r="AV4345" s="78"/>
      <c r="AW4345" s="102"/>
      <c r="AX4345" s="78"/>
      <c r="AY4345" s="78"/>
      <c r="AZ4345" s="78"/>
      <c r="BA4345" s="78"/>
      <c r="BB4345" s="78"/>
      <c r="BC4345" s="78"/>
      <c r="BD4345" s="78"/>
      <c r="BE4345" s="465"/>
      <c r="BF4345" s="165" t="str">
        <f t="shared" si="3241"/>
        <v>https://www.google.com/search?tbm=isch&amp;q=moist%20sites%F0%9F%92%A7OK%2C%20Dark%20Tower%20named%20for%20Deep%20Reddish-Purple%20foliage%20in%20upright%2C%20narrow%20form.%20Maroon%20to%20Wine-Red%20in%20fall%20</v>
      </c>
      <c r="BG4345" s="165" t="str">
        <f t="shared" si="3242"/>
        <v>m</v>
      </c>
      <c r="BH4345" s="65"/>
      <c r="BI4345" s="65"/>
      <c r="BJ4345" s="65"/>
      <c r="BK4345" s="65"/>
      <c r="BL4345" s="99"/>
      <c r="BM4345" s="99"/>
      <c r="BN4345" s="99"/>
    </row>
    <row r="4346" spans="1:66" s="51" customFormat="1" ht="18" x14ac:dyDescent="0.25">
      <c r="A4346" s="507" t="s">
        <v>4495</v>
      </c>
      <c r="B4346" s="470"/>
      <c r="C4346" s="706"/>
      <c r="D4346" s="471" t="s">
        <v>5856</v>
      </c>
      <c r="E4346" s="472"/>
      <c r="F4346" s="472"/>
      <c r="G4346" s="472"/>
      <c r="H4346" s="622" t="s">
        <v>1076</v>
      </c>
      <c r="I4346" s="473" t="s">
        <v>349</v>
      </c>
      <c r="J4346" s="472"/>
      <c r="K4346" s="472"/>
      <c r="L4346" s="561"/>
      <c r="M4346" s="698" t="s">
        <v>5246</v>
      </c>
      <c r="N4346" s="692" t="str">
        <f>IF(AND(ISTEXT($A4346), ISERROR($A4346+0)), HYPERLINK($BF4346, "Images"), "")</f>
        <v>Images</v>
      </c>
      <c r="O4346" s="694" t="s">
        <v>5247</v>
      </c>
      <c r="P4346" s="475"/>
      <c r="Q4346" s="476"/>
      <c r="R4346" s="476"/>
      <c r="S4346" s="477"/>
      <c r="T4346" s="102">
        <f t="shared" si="3230"/>
        <v>0</v>
      </c>
      <c r="U4346" s="78" t="str">
        <f>IF(NOT(ISNUMBER(G4346)), "", VLOOKUP(A4346,'Discount Lookup'!D:E,2,FALSE)*G4346)</f>
        <v/>
      </c>
      <c r="V4346" s="78" t="str">
        <f>IF(NOT(ISNUMBER(G4346)), "", VLOOKUP(A4346,'Discount Lookup'!G:H,2,FALSE)*G4346)</f>
        <v/>
      </c>
      <c r="W4346" s="102">
        <f t="shared" si="3231"/>
        <v>0</v>
      </c>
      <c r="X4346" s="102" t="str">
        <f t="shared" si="3232"/>
        <v>White bloom</v>
      </c>
      <c r="Y4346" s="120" t="b">
        <f t="shared" si="3233"/>
        <v>0</v>
      </c>
      <c r="Z4346" s="117">
        <f t="shared" si="3234"/>
        <v>0</v>
      </c>
      <c r="AA4346" s="118"/>
      <c r="AB4346" s="118" t="str">
        <f t="shared" si="3235"/>
        <v/>
      </c>
      <c r="AC4346" s="712" t="str">
        <f>IF(AE4346="T2G","no charge",IF(AND(OR(PlanterYesMe="No",PlanterYesMe="N",PlanterYesMe="me"),H4346=""),"",IF(H4346="credit","NO install",IF(AND(K4346="",AE4346="me"),"EACH row",IF(AND(K4346="images",AE4346="me"),"EACH row",IF(D4346="","",IF(H4346="credit","",IF(AE4346="free","re-planting",IF(AE4346="me","   not ELP, by",IF(AND(OR(PlanterYesMe="Yes",PlanterYesMe="Y"),G4346&gt;0),(VLOOKUP(A4346,'Discount Lookup'!J:K,2)*G4346*(1-PlanterDiscount)*(1+PlanterDifficultyPercentage)),IF(AE4346="ELP",(VLOOKUP(A4346,'Discount Lookup'!J:K,2)*G4346*(1-PlanterDiscount)*(1+PlanterDifficultyPercentage)),IF(AE4346="free","re-planting",IF(G4346=0,"",IF(PlanterYesMe="",IF(AE4346="me","   not ELP, by",IF(AE4346="",IF(G4346&gt;0,(VLOOKUP(A4346,'Discount Lookup'!J:K,2)*G4346*(1-PlanterDiscount)*(1+PlanterDifficultyPercentage)),""),"")),"   not ELP, by"))))))))))))))</f>
        <v/>
      </c>
      <c r="AD4346" s="712"/>
      <c r="AE4346" s="513" t="str">
        <f t="shared" si="3236"/>
        <v/>
      </c>
      <c r="AF4346" s="713" t="str">
        <f t="shared" si="3237"/>
        <v/>
      </c>
      <c r="AG4346" s="713"/>
      <c r="AH4346" s="713"/>
      <c r="AI4346" s="112">
        <f>IF(H4346="credit",0,IF(AE4346="free",0,IF(AE4346="me",0,IF(G4346&gt;0,(VLOOKUP(A4346,'Discount Lookup'!J:K,2)*G4346),0))))</f>
        <v>0</v>
      </c>
      <c r="AJ4346" s="107" t="str">
        <f t="shared" ca="1" si="3238"/>
        <v/>
      </c>
      <c r="AK4346" s="714" t="str">
        <f t="shared" si="3239"/>
        <v/>
      </c>
      <c r="AL4346" s="714"/>
      <c r="AM4346" s="114" t="str">
        <f t="shared" si="3240"/>
        <v/>
      </c>
      <c r="AN4346" s="115"/>
      <c r="AO4346" s="116"/>
      <c r="AP4346" s="116"/>
      <c r="AQ4346" s="116"/>
      <c r="AR4346" s="116"/>
      <c r="AS4346" s="116"/>
      <c r="AT4346" s="116"/>
      <c r="AU4346" s="116"/>
      <c r="AV4346" s="78"/>
      <c r="AW4346" s="102"/>
      <c r="AX4346" s="78"/>
      <c r="AY4346" s="78"/>
      <c r="AZ4346" s="78"/>
      <c r="BA4346" s="78"/>
      <c r="BB4346" s="78"/>
      <c r="BC4346" s="78"/>
      <c r="BD4346" s="78"/>
      <c r="BE4346" s="465"/>
      <c r="BF4346" s="165" t="str">
        <f t="shared" si="3241"/>
        <v>https://www.google.com/search?tbm=isch&amp;q=Viburnum%20%27sPg-3-024%27%20Moonlit%20Lace%C2%AE%20Viburnum</v>
      </c>
      <c r="BG4346" s="165" t="str">
        <f t="shared" si="3242"/>
        <v>V</v>
      </c>
      <c r="BH4346" s="65"/>
      <c r="BI4346" s="65"/>
      <c r="BJ4346" s="65"/>
      <c r="BK4346" s="65"/>
      <c r="BL4346" s="99"/>
      <c r="BM4346" s="99"/>
      <c r="BN4346" s="99"/>
    </row>
    <row r="4347" spans="1:66" s="51" customFormat="1" ht="15.75" x14ac:dyDescent="0.25">
      <c r="A4347" s="478">
        <v>3</v>
      </c>
      <c r="B4347" s="479" t="s">
        <v>291</v>
      </c>
      <c r="C4347" s="480" t="s">
        <v>3409</v>
      </c>
      <c r="D4347" s="481" t="s">
        <v>329</v>
      </c>
      <c r="E4347" s="482">
        <v>30.95</v>
      </c>
      <c r="F4347" s="483" t="s">
        <v>292</v>
      </c>
      <c r="G4347" s="484">
        <v>0</v>
      </c>
      <c r="H4347" s="688" t="str">
        <f>IF(G4347=0,"",IF(F4347="Buy",IF(G4347=1,"plant","plants"),IF(F4347&gt;0.01,"warranty","Error")))</f>
        <v/>
      </c>
      <c r="I4347" s="485">
        <f>IF(H4347="free",0,IF(H4347="credit",((E4347*(F4347))*G4347*-1),IF(F4347="Buy",(E4347*G4347),((E4347*(1-F4347))*G4347))))</f>
        <v>0</v>
      </c>
      <c r="J4347" s="485">
        <f>IF(H4347="warranty",0,(I4347*(_xlfn.SINGLE(SalesTaxPercentage))))</f>
        <v>0</v>
      </c>
      <c r="K4347" s="715">
        <f t="shared" ref="K4347" si="3263">I4347+J4347</f>
        <v>0</v>
      </c>
      <c r="L4347" s="715"/>
      <c r="M4347" s="689" t="str">
        <f ca="1">IF(AND(G4347&gt;0,E4347=0),"WARNING - no PRICE inserted",IF(H4347="free","FREE ~ no charge this plant",IF(H4347="credit",CONCATENATE("-$",ROUND(K4347*(1-_xlfn.SINGLE(T2GDiscount))*-1,2)," CREDIT after discount"),IF(_xlfn.SINGLE(T2GDiscount)=0,"",IF(G4347=0,"",IF(F4347="Buy",CONCATENATE("$",ROUND(K4347*(1-_xlfn.SINGLE(T2GDiscount)),2)," with ",(_xlfn.SINGLE(T2GDiscount)*100),"% discount"),CONCATENATE("$",ROUND(K4347*(1-_xlfn.SINGLE(T2GDiscount)),2)," with ",((_xlfn.SINGLE(T2GDiscount)*100+F4347*100)-(_xlfn.SINGLE(T2GDiscount)*100*F4347)),IF(F4347&gt;0,"% discounts",IF(_xlfn.SINGLE(NoWarrantyDiscount)&gt;0,"% discounts","% discount")))))))))</f>
        <v/>
      </c>
      <c r="N4347" s="690"/>
      <c r="O4347" s="486"/>
      <c r="P4347" s="486"/>
      <c r="Q4347" s="486"/>
      <c r="R4347" s="486"/>
      <c r="S4347" s="486"/>
      <c r="T4347" s="102">
        <f t="shared" si="3230"/>
        <v>0</v>
      </c>
      <c r="U4347" s="78">
        <f>IF(NOT(ISNUMBER(G4347)), "", VLOOKUP(A4347,'Discount Lookup'!D:E,2,FALSE)*G4347)</f>
        <v>0</v>
      </c>
      <c r="V4347" s="78">
        <f>IF(NOT(ISNUMBER(G4347)), "", VLOOKUP(A4347,'Discount Lookup'!G:H,2,FALSE)*G4347)</f>
        <v>0</v>
      </c>
      <c r="W4347" s="102">
        <f t="shared" si="3231"/>
        <v>0</v>
      </c>
      <c r="X4347" s="102">
        <f t="shared" si="3232"/>
        <v>0</v>
      </c>
      <c r="Y4347" s="120" t="b">
        <f t="shared" si="3233"/>
        <v>0</v>
      </c>
      <c r="Z4347" s="117">
        <f t="shared" si="3234"/>
        <v>0</v>
      </c>
      <c r="AA4347" s="118"/>
      <c r="AB4347" s="118" t="str">
        <f t="shared" si="3235"/>
        <v/>
      </c>
      <c r="AC4347" s="712" t="str">
        <f>IF(AE4347="T2G","no charge",IF(AND(OR(PlanterYesMe="No",PlanterYesMe="N",PlanterYesMe="me"),H4347=""),"",IF(H4347="credit","NO install",IF(AND(K4347="",AE4347="me"),"EACH row",IF(AND(K4347="images",AE4347="me"),"EACH row",IF(D4347="","",IF(H4347="credit","",IF(AE4347="free","re-planting",IF(AE4347="me","   not ELP, by",IF(AND(OR(PlanterYesMe="Yes",PlanterYesMe="Y"),G4347&gt;0),(VLOOKUP(A4347,'Discount Lookup'!J:K,2)*G4347*(1-PlanterDiscount)*(1+PlanterDifficultyPercentage)),IF(AE4347="ELP",(VLOOKUP(A4347,'Discount Lookup'!J:K,2)*G4347*(1-PlanterDiscount)*(1+PlanterDifficultyPercentage)),IF(AE4347="free","re-planting",IF(G4347=0,"",IF(PlanterYesMe="",IF(AE4347="me","   not ELP, by",IF(AE4347="",IF(G4347&gt;0,(VLOOKUP(A4347,'Discount Lookup'!J:K,2)*G4347*(1-PlanterDiscount)*(1+PlanterDifficultyPercentage)),""),"")),"   not ELP, by"))))))))))))))</f>
        <v/>
      </c>
      <c r="AD4347" s="712"/>
      <c r="AE4347" s="513" t="str">
        <f t="shared" si="3236"/>
        <v/>
      </c>
      <c r="AF4347" s="713" t="str">
        <f t="shared" si="3237"/>
        <v/>
      </c>
      <c r="AG4347" s="713"/>
      <c r="AH4347" s="713"/>
      <c r="AI4347" s="112">
        <f>IF(H4347="credit",0,IF(AE4347="free",0,IF(AE4347="me",0,IF(G4347&gt;0,(VLOOKUP(A4347,'Discount Lookup'!J:K,2)*G4347),0))))</f>
        <v>0</v>
      </c>
      <c r="AJ4347" s="107" t="str">
        <f t="shared" ca="1" si="3238"/>
        <v/>
      </c>
      <c r="AK4347" s="714" t="str">
        <f t="shared" si="3239"/>
        <v/>
      </c>
      <c r="AL4347" s="714"/>
      <c r="AM4347" s="114" t="str">
        <f t="shared" si="3240"/>
        <v/>
      </c>
      <c r="AN4347" s="115"/>
      <c r="AO4347" s="116"/>
      <c r="AP4347" s="116"/>
      <c r="AQ4347" s="116"/>
      <c r="AR4347" s="116"/>
      <c r="AS4347" s="116"/>
      <c r="AT4347" s="116"/>
      <c r="AU4347" s="116"/>
      <c r="AV4347" s="78"/>
      <c r="AW4347" s="102"/>
      <c r="AX4347" s="78"/>
      <c r="AY4347" s="78"/>
      <c r="AZ4347" s="78"/>
      <c r="BA4347" s="78"/>
      <c r="BB4347" s="78"/>
      <c r="BC4347" s="78"/>
      <c r="BD4347" s="78"/>
      <c r="BE4347" s="465"/>
      <c r="BF4347" s="165" t="str">
        <f t="shared" si="3241"/>
        <v>https://www.google.com/search?tbm=isch&amp;q=3%20G2</v>
      </c>
      <c r="BG4347" s="165" t="str">
        <f t="shared" si="3242"/>
        <v>V</v>
      </c>
      <c r="BH4347" s="65"/>
      <c r="BI4347" s="65"/>
      <c r="BJ4347" s="65"/>
      <c r="BK4347" s="65"/>
      <c r="BL4347" s="99"/>
      <c r="BM4347" s="99"/>
      <c r="BN4347" s="99"/>
    </row>
    <row r="4348" spans="1:66" s="51" customFormat="1" ht="15.75" x14ac:dyDescent="0.25">
      <c r="A4348" s="478">
        <v>3</v>
      </c>
      <c r="B4348" s="479" t="s">
        <v>291</v>
      </c>
      <c r="C4348" s="480" t="s">
        <v>4496</v>
      </c>
      <c r="D4348" s="481" t="s">
        <v>299</v>
      </c>
      <c r="E4348" s="482">
        <v>36.950000000000003</v>
      </c>
      <c r="F4348" s="483" t="s">
        <v>292</v>
      </c>
      <c r="G4348" s="484">
        <v>0</v>
      </c>
      <c r="H4348" s="688" t="str">
        <f>IF(G4348=0,"",IF(F4348="Buy",IF(G4348=1,"plant","plants"),IF(F4348&gt;0.01,"warranty","Error")))</f>
        <v/>
      </c>
      <c r="I4348" s="485">
        <f>IF(H4348="free",0,IF(H4348="credit",((E4348*(F4348))*G4348*-1),IF(F4348="Buy",(E4348*G4348),((E4348*(1-F4348))*G4348))))</f>
        <v>0</v>
      </c>
      <c r="J4348" s="485">
        <f>IF(H4348="warranty",0,(I4348*(_xlfn.SINGLE(SalesTaxPercentage))))</f>
        <v>0</v>
      </c>
      <c r="K4348" s="715">
        <f t="shared" ref="K4348" si="3264">I4348+J4348</f>
        <v>0</v>
      </c>
      <c r="L4348" s="715"/>
      <c r="M4348" s="689" t="str">
        <f ca="1">IF(AND(G4348&gt;0,E4348=0),"WARNING - no PRICE inserted",IF(H4348="free","FREE ~ no charge this plant",IF(H4348="credit",CONCATENATE("-$",ROUND(K4348*(1-_xlfn.SINGLE(T2GDiscount))*-1,2)," CREDIT after discount"),IF(_xlfn.SINGLE(T2GDiscount)=0,"",IF(G4348=0,"",IF(F4348="Buy",CONCATENATE("$",ROUND(K4348*(1-_xlfn.SINGLE(T2GDiscount)),2)," with ",(_xlfn.SINGLE(T2GDiscount)*100),"% discount"),CONCATENATE("$",ROUND(K4348*(1-_xlfn.SINGLE(T2GDiscount)),2)," with ",((_xlfn.SINGLE(T2GDiscount)*100+F4348*100)-(_xlfn.SINGLE(T2GDiscount)*100*F4348)),IF(F4348&gt;0,"% discounts",IF(_xlfn.SINGLE(NoWarrantyDiscount)&gt;0,"% discounts","% discount")))))))))</f>
        <v/>
      </c>
      <c r="N4348" s="690"/>
      <c r="O4348" s="486"/>
      <c r="P4348" s="486"/>
      <c r="Q4348" s="486"/>
      <c r="R4348" s="486"/>
      <c r="S4348" s="486"/>
      <c r="T4348" s="102">
        <f t="shared" si="3230"/>
        <v>0</v>
      </c>
      <c r="U4348" s="78">
        <f>IF(NOT(ISNUMBER(G4348)), "", VLOOKUP(A4348,'Discount Lookup'!D:E,2,FALSE)*G4348)</f>
        <v>0</v>
      </c>
      <c r="V4348" s="78">
        <f>IF(NOT(ISNUMBER(G4348)), "", VLOOKUP(A4348,'Discount Lookup'!G:H,2,FALSE)*G4348)</f>
        <v>0</v>
      </c>
      <c r="W4348" s="102">
        <f t="shared" si="3231"/>
        <v>0</v>
      </c>
      <c r="X4348" s="102">
        <f t="shared" si="3232"/>
        <v>0</v>
      </c>
      <c r="Y4348" s="120" t="b">
        <f t="shared" si="3233"/>
        <v>0</v>
      </c>
      <c r="Z4348" s="117">
        <f t="shared" si="3234"/>
        <v>0</v>
      </c>
      <c r="AA4348" s="118"/>
      <c r="AB4348" s="118" t="str">
        <f t="shared" si="3235"/>
        <v/>
      </c>
      <c r="AC4348" s="712" t="str">
        <f>IF(AE4348="T2G","no charge",IF(AND(OR(PlanterYesMe="No",PlanterYesMe="N",PlanterYesMe="me"),H4348=""),"",IF(H4348="credit","NO install",IF(AND(K4348="",AE4348="me"),"EACH row",IF(AND(K4348="images",AE4348="me"),"EACH row",IF(D4348="","",IF(H4348="credit","",IF(AE4348="free","re-planting",IF(AE4348="me","   not ELP, by",IF(AND(OR(PlanterYesMe="Yes",PlanterYesMe="Y"),G4348&gt;0),(VLOOKUP(A4348,'Discount Lookup'!J:K,2)*G4348*(1-PlanterDiscount)*(1+PlanterDifficultyPercentage)),IF(AE4348="ELP",(VLOOKUP(A4348,'Discount Lookup'!J:K,2)*G4348*(1-PlanterDiscount)*(1+PlanterDifficultyPercentage)),IF(AE4348="free","re-planting",IF(G4348=0,"",IF(PlanterYesMe="",IF(AE4348="me","   not ELP, by",IF(AE4348="",IF(G4348&gt;0,(VLOOKUP(A4348,'Discount Lookup'!J:K,2)*G4348*(1-PlanterDiscount)*(1+PlanterDifficultyPercentage)),""),"")),"   not ELP, by"))))))))))))))</f>
        <v/>
      </c>
      <c r="AD4348" s="712"/>
      <c r="AE4348" s="513" t="str">
        <f t="shared" si="3236"/>
        <v/>
      </c>
      <c r="AF4348" s="713" t="str">
        <f t="shared" si="3237"/>
        <v/>
      </c>
      <c r="AG4348" s="713"/>
      <c r="AH4348" s="713"/>
      <c r="AI4348" s="112">
        <f>IF(H4348="credit",0,IF(AE4348="free",0,IF(AE4348="me",0,IF(G4348&gt;0,(VLOOKUP(A4348,'Discount Lookup'!J:K,2)*G4348),0))))</f>
        <v>0</v>
      </c>
      <c r="AJ4348" s="107" t="str">
        <f t="shared" ca="1" si="3238"/>
        <v/>
      </c>
      <c r="AK4348" s="714" t="str">
        <f t="shared" si="3239"/>
        <v/>
      </c>
      <c r="AL4348" s="714"/>
      <c r="AM4348" s="114" t="str">
        <f t="shared" si="3240"/>
        <v/>
      </c>
      <c r="AN4348" s="115"/>
      <c r="AO4348" s="116"/>
      <c r="AP4348" s="116"/>
      <c r="AQ4348" s="116"/>
      <c r="AR4348" s="116"/>
      <c r="AS4348" s="116"/>
      <c r="AT4348" s="116"/>
      <c r="AU4348" s="116"/>
      <c r="AV4348" s="78"/>
      <c r="AW4348" s="102"/>
      <c r="AX4348" s="78"/>
      <c r="AY4348" s="78"/>
      <c r="AZ4348" s="78"/>
      <c r="BA4348" s="78"/>
      <c r="BB4348" s="78"/>
      <c r="BC4348" s="78"/>
      <c r="BD4348" s="78"/>
      <c r="BE4348" s="465"/>
      <c r="BF4348" s="165" t="str">
        <f t="shared" si="3241"/>
        <v>https://www.google.com/search?tbm=isch&amp;q=3%20G4</v>
      </c>
      <c r="BG4348" s="165" t="str">
        <f t="shared" si="3242"/>
        <v>V</v>
      </c>
      <c r="BH4348" s="65"/>
      <c r="BI4348" s="65"/>
      <c r="BJ4348" s="65"/>
      <c r="BK4348" s="65"/>
      <c r="BL4348" s="99"/>
      <c r="BM4348" s="99"/>
      <c r="BN4348" s="99"/>
    </row>
    <row r="4349" spans="1:66" s="51" customFormat="1" ht="15.75" x14ac:dyDescent="0.25">
      <c r="A4349" s="478">
        <v>3</v>
      </c>
      <c r="B4349" s="479" t="s">
        <v>291</v>
      </c>
      <c r="C4349" s="480" t="s">
        <v>4497</v>
      </c>
      <c r="D4349" s="481" t="s">
        <v>311</v>
      </c>
      <c r="E4349" s="482">
        <v>36.950000000000003</v>
      </c>
      <c r="F4349" s="483" t="s">
        <v>292</v>
      </c>
      <c r="G4349" s="484">
        <v>0</v>
      </c>
      <c r="H4349" s="688" t="str">
        <f>IF(G4349=0,"",IF(F4349="Buy",IF(G4349=1,"plant","plants"),IF(F4349&gt;0.01,"warranty","Error")))</f>
        <v/>
      </c>
      <c r="I4349" s="485">
        <f>IF(H4349="free",0,IF(H4349="credit",((E4349*(F4349))*G4349*-1),IF(F4349="Buy",(E4349*G4349),((E4349*(1-F4349))*G4349))))</f>
        <v>0</v>
      </c>
      <c r="J4349" s="485">
        <f>IF(H4349="warranty",0,(I4349*(_xlfn.SINGLE(SalesTaxPercentage))))</f>
        <v>0</v>
      </c>
      <c r="K4349" s="715">
        <f t="shared" ref="K4349" si="3265">I4349+J4349</f>
        <v>0</v>
      </c>
      <c r="L4349" s="715"/>
      <c r="M4349" s="689" t="str">
        <f ca="1">IF(AND(G4349&gt;0,E4349=0),"WARNING - no PRICE inserted",IF(H4349="free","FREE ~ no charge this plant",IF(H4349="credit",CONCATENATE("-$",ROUND(K4349*(1-_xlfn.SINGLE(T2GDiscount))*-1,2)," CREDIT after discount"),IF(_xlfn.SINGLE(T2GDiscount)=0,"",IF(G4349=0,"",IF(F4349="Buy",CONCATENATE("$",ROUND(K4349*(1-_xlfn.SINGLE(T2GDiscount)),2)," with ",(_xlfn.SINGLE(T2GDiscount)*100),"% discount"),CONCATENATE("$",ROUND(K4349*(1-_xlfn.SINGLE(T2GDiscount)),2)," with ",((_xlfn.SINGLE(T2GDiscount)*100+F4349*100)-(_xlfn.SINGLE(T2GDiscount)*100*F4349)),IF(F4349&gt;0,"% discounts",IF(_xlfn.SINGLE(NoWarrantyDiscount)&gt;0,"% discounts","% discount")))))))))</f>
        <v/>
      </c>
      <c r="N4349" s="690"/>
      <c r="O4349" s="486"/>
      <c r="P4349" s="486"/>
      <c r="Q4349" s="486"/>
      <c r="R4349" s="486"/>
      <c r="S4349" s="486"/>
      <c r="T4349" s="102">
        <f t="shared" si="3230"/>
        <v>0</v>
      </c>
      <c r="U4349" s="78">
        <f>IF(NOT(ISNUMBER(G4349)), "", VLOOKUP(A4349,'Discount Lookup'!D:E,2,FALSE)*G4349)</f>
        <v>0</v>
      </c>
      <c r="V4349" s="78">
        <f>IF(NOT(ISNUMBER(G4349)), "", VLOOKUP(A4349,'Discount Lookup'!G:H,2,FALSE)*G4349)</f>
        <v>0</v>
      </c>
      <c r="W4349" s="102">
        <f t="shared" si="3231"/>
        <v>0</v>
      </c>
      <c r="X4349" s="102">
        <f t="shared" si="3232"/>
        <v>0</v>
      </c>
      <c r="Y4349" s="120" t="b">
        <f t="shared" si="3233"/>
        <v>0</v>
      </c>
      <c r="Z4349" s="117">
        <f t="shared" si="3234"/>
        <v>0</v>
      </c>
      <c r="AA4349" s="118"/>
      <c r="AB4349" s="118" t="str">
        <f t="shared" si="3235"/>
        <v/>
      </c>
      <c r="AC4349" s="712" t="str">
        <f>IF(AE4349="T2G","no charge",IF(AND(OR(PlanterYesMe="No",PlanterYesMe="N",PlanterYesMe="me"),H4349=""),"",IF(H4349="credit","NO install",IF(AND(K4349="",AE4349="me"),"EACH row",IF(AND(K4349="images",AE4349="me"),"EACH row",IF(D4349="","",IF(H4349="credit","",IF(AE4349="free","re-planting",IF(AE4349="me","   not ELP, by",IF(AND(OR(PlanterYesMe="Yes",PlanterYesMe="Y"),G4349&gt;0),(VLOOKUP(A4349,'Discount Lookup'!J:K,2)*G4349*(1-PlanterDiscount)*(1+PlanterDifficultyPercentage)),IF(AE4349="ELP",(VLOOKUP(A4349,'Discount Lookup'!J:K,2)*G4349*(1-PlanterDiscount)*(1+PlanterDifficultyPercentage)),IF(AE4349="free","re-planting",IF(G4349=0,"",IF(PlanterYesMe="",IF(AE4349="me","   not ELP, by",IF(AE4349="",IF(G4349&gt;0,(VLOOKUP(A4349,'Discount Lookup'!J:K,2)*G4349*(1-PlanterDiscount)*(1+PlanterDifficultyPercentage)),""),"")),"   not ELP, by"))))))))))))))</f>
        <v/>
      </c>
      <c r="AD4349" s="712"/>
      <c r="AE4349" s="513" t="str">
        <f t="shared" si="3236"/>
        <v/>
      </c>
      <c r="AF4349" s="713" t="str">
        <f t="shared" si="3237"/>
        <v/>
      </c>
      <c r="AG4349" s="713"/>
      <c r="AH4349" s="713"/>
      <c r="AI4349" s="112">
        <f>IF(H4349="credit",0,IF(AE4349="free",0,IF(AE4349="me",0,IF(G4349&gt;0,(VLOOKUP(A4349,'Discount Lookup'!J:K,2)*G4349),0))))</f>
        <v>0</v>
      </c>
      <c r="AJ4349" s="107" t="str">
        <f t="shared" ca="1" si="3238"/>
        <v/>
      </c>
      <c r="AK4349" s="714" t="str">
        <f t="shared" si="3239"/>
        <v/>
      </c>
      <c r="AL4349" s="714"/>
      <c r="AM4349" s="114" t="str">
        <f t="shared" si="3240"/>
        <v/>
      </c>
      <c r="AN4349" s="115"/>
      <c r="AO4349" s="116"/>
      <c r="AP4349" s="116"/>
      <c r="AQ4349" s="116"/>
      <c r="AR4349" s="116"/>
      <c r="AS4349" s="116"/>
      <c r="AT4349" s="116"/>
      <c r="AU4349" s="116"/>
      <c r="AV4349" s="78"/>
      <c r="AW4349" s="102"/>
      <c r="AX4349" s="78"/>
      <c r="AY4349" s="78"/>
      <c r="AZ4349" s="78"/>
      <c r="BA4349" s="78"/>
      <c r="BB4349" s="78"/>
      <c r="BC4349" s="78"/>
      <c r="BD4349" s="78"/>
      <c r="BE4349" s="465"/>
      <c r="BF4349" s="165" t="str">
        <f t="shared" si="3241"/>
        <v>https://www.google.com/search?tbm=isch&amp;q=3%20G5</v>
      </c>
      <c r="BG4349" s="165" t="str">
        <f t="shared" si="3242"/>
        <v>V</v>
      </c>
      <c r="BH4349" s="65"/>
      <c r="BI4349" s="65"/>
      <c r="BJ4349" s="65"/>
      <c r="BK4349" s="65"/>
      <c r="BL4349" s="99"/>
      <c r="BM4349" s="99"/>
      <c r="BN4349" s="99"/>
    </row>
    <row r="4350" spans="1:66" s="51" customFormat="1" ht="15.75" x14ac:dyDescent="0.25">
      <c r="A4350" s="478">
        <v>7</v>
      </c>
      <c r="B4350" s="479" t="s">
        <v>291</v>
      </c>
      <c r="C4350" s="480" t="s">
        <v>4498</v>
      </c>
      <c r="D4350" s="481" t="s">
        <v>299</v>
      </c>
      <c r="E4350" s="482">
        <v>86.95</v>
      </c>
      <c r="F4350" s="483" t="s">
        <v>292</v>
      </c>
      <c r="G4350" s="484">
        <v>0</v>
      </c>
      <c r="H4350" s="688" t="str">
        <f>IF(G4350=0,"",IF(F4350="Buy",IF(G4350=1,"plant","plants"),IF(F4350&gt;0.01,"warranty","Error")))</f>
        <v/>
      </c>
      <c r="I4350" s="485">
        <f>IF(H4350="free",0,IF(H4350="credit",((E4350*(F4350))*G4350*-1),IF(F4350="Buy",(E4350*G4350),((E4350*(1-F4350))*G4350))))</f>
        <v>0</v>
      </c>
      <c r="J4350" s="485">
        <f>IF(H4350="warranty",0,(I4350*(_xlfn.SINGLE(SalesTaxPercentage))))</f>
        <v>0</v>
      </c>
      <c r="K4350" s="715">
        <f t="shared" ref="K4350" si="3266">I4350+J4350</f>
        <v>0</v>
      </c>
      <c r="L4350" s="715"/>
      <c r="M4350" s="689" t="str">
        <f ca="1">IF(AND(G4350&gt;0,E4350=0),"WARNING - no PRICE inserted",IF(H4350="free","FREE ~ no charge this plant",IF(H4350="credit",CONCATENATE("-$",ROUND(K4350*(1-_xlfn.SINGLE(T2GDiscount))*-1,2)," CREDIT after discount"),IF(_xlfn.SINGLE(T2GDiscount)=0,"",IF(G4350=0,"",IF(F4350="Buy",CONCATENATE("$",ROUND(K4350*(1-_xlfn.SINGLE(T2GDiscount)),2)," with ",(_xlfn.SINGLE(T2GDiscount)*100),"% discount"),CONCATENATE("$",ROUND(K4350*(1-_xlfn.SINGLE(T2GDiscount)),2)," with ",((_xlfn.SINGLE(T2GDiscount)*100+F4350*100)-(_xlfn.SINGLE(T2GDiscount)*100*F4350)),IF(F4350&gt;0,"% discounts",IF(_xlfn.SINGLE(NoWarrantyDiscount)&gt;0,"% discounts","% discount")))))))))</f>
        <v/>
      </c>
      <c r="N4350" s="690"/>
      <c r="O4350" s="486"/>
      <c r="P4350" s="486"/>
      <c r="Q4350" s="486"/>
      <c r="R4350" s="486"/>
      <c r="S4350" s="486"/>
      <c r="T4350" s="102">
        <f t="shared" si="3230"/>
        <v>0</v>
      </c>
      <c r="U4350" s="78">
        <f>IF(NOT(ISNUMBER(G4350)), "", VLOOKUP(A4350,'Discount Lookup'!D:E,2,FALSE)*G4350)</f>
        <v>0</v>
      </c>
      <c r="V4350" s="78">
        <f>IF(NOT(ISNUMBER(G4350)), "", VLOOKUP(A4350,'Discount Lookup'!G:H,2,FALSE)*G4350)</f>
        <v>0</v>
      </c>
      <c r="W4350" s="102">
        <f t="shared" si="3231"/>
        <v>0</v>
      </c>
      <c r="X4350" s="102">
        <f t="shared" si="3232"/>
        <v>0</v>
      </c>
      <c r="Y4350" s="120" t="b">
        <f t="shared" si="3233"/>
        <v>0</v>
      </c>
      <c r="Z4350" s="117">
        <f t="shared" si="3234"/>
        <v>0</v>
      </c>
      <c r="AA4350" s="118"/>
      <c r="AB4350" s="118" t="str">
        <f t="shared" si="3235"/>
        <v/>
      </c>
      <c r="AC4350" s="712" t="str">
        <f>IF(AE4350="T2G","no charge",IF(AND(OR(PlanterYesMe="No",PlanterYesMe="N",PlanterYesMe="me"),H4350=""),"",IF(H4350="credit","NO install",IF(AND(K4350="",AE4350="me"),"EACH row",IF(AND(K4350="images",AE4350="me"),"EACH row",IF(D4350="","",IF(H4350="credit","",IF(AE4350="free","re-planting",IF(AE4350="me","   not ELP, by",IF(AND(OR(PlanterYesMe="Yes",PlanterYesMe="Y"),G4350&gt;0),(VLOOKUP(A4350,'Discount Lookup'!J:K,2)*G4350*(1-PlanterDiscount)*(1+PlanterDifficultyPercentage)),IF(AE4350="ELP",(VLOOKUP(A4350,'Discount Lookup'!J:K,2)*G4350*(1-PlanterDiscount)*(1+PlanterDifficultyPercentage)),IF(AE4350="free","re-planting",IF(G4350=0,"",IF(PlanterYesMe="",IF(AE4350="me","   not ELP, by",IF(AE4350="",IF(G4350&gt;0,(VLOOKUP(A4350,'Discount Lookup'!J:K,2)*G4350*(1-PlanterDiscount)*(1+PlanterDifficultyPercentage)),""),"")),"   not ELP, by"))))))))))))))</f>
        <v/>
      </c>
      <c r="AD4350" s="712"/>
      <c r="AE4350" s="513" t="str">
        <f t="shared" si="3236"/>
        <v/>
      </c>
      <c r="AF4350" s="713" t="str">
        <f t="shared" si="3237"/>
        <v/>
      </c>
      <c r="AG4350" s="713"/>
      <c r="AH4350" s="713"/>
      <c r="AI4350" s="112">
        <f>IF(H4350="credit",0,IF(AE4350="free",0,IF(AE4350="me",0,IF(G4350&gt;0,(VLOOKUP(A4350,'Discount Lookup'!J:K,2)*G4350),0))))</f>
        <v>0</v>
      </c>
      <c r="AJ4350" s="107" t="str">
        <f t="shared" ca="1" si="3238"/>
        <v/>
      </c>
      <c r="AK4350" s="714" t="str">
        <f t="shared" si="3239"/>
        <v/>
      </c>
      <c r="AL4350" s="714"/>
      <c r="AM4350" s="114" t="str">
        <f t="shared" si="3240"/>
        <v/>
      </c>
      <c r="AN4350" s="115"/>
      <c r="AO4350" s="116"/>
      <c r="AP4350" s="116"/>
      <c r="AQ4350" s="116"/>
      <c r="AR4350" s="116"/>
      <c r="AS4350" s="116"/>
      <c r="AT4350" s="116"/>
      <c r="AU4350" s="116"/>
      <c r="AV4350" s="78"/>
      <c r="AW4350" s="102"/>
      <c r="AX4350" s="78"/>
      <c r="AY4350" s="78"/>
      <c r="AZ4350" s="78"/>
      <c r="BA4350" s="78"/>
      <c r="BB4350" s="78"/>
      <c r="BC4350" s="78"/>
      <c r="BD4350" s="78"/>
      <c r="BE4350" s="465"/>
      <c r="BF4350" s="165" t="str">
        <f t="shared" si="3241"/>
        <v>https://www.google.com/search?tbm=isch&amp;q=7%20G4</v>
      </c>
      <c r="BG4350" s="165" t="str">
        <f t="shared" si="3242"/>
        <v>V</v>
      </c>
      <c r="BH4350" s="65"/>
      <c r="BI4350" s="65"/>
      <c r="BJ4350" s="65"/>
      <c r="BK4350" s="65"/>
      <c r="BL4350" s="99"/>
      <c r="BM4350" s="99"/>
      <c r="BN4350" s="99"/>
    </row>
    <row r="4351" spans="1:66" s="51" customFormat="1" ht="17.25" thickBot="1" x14ac:dyDescent="0.3">
      <c r="A4351" s="508" t="s">
        <v>4499</v>
      </c>
      <c r="B4351" s="487"/>
      <c r="C4351" s="707"/>
      <c r="D4351" s="487"/>
      <c r="E4351" s="487"/>
      <c r="F4351" s="488"/>
      <c r="G4351" s="489"/>
      <c r="H4351" s="487"/>
      <c r="I4351" s="490"/>
      <c r="J4351" s="490"/>
      <c r="K4351" s="491"/>
      <c r="L4351" s="547"/>
      <c r="M4351" s="528"/>
      <c r="N4351" s="492"/>
      <c r="O4351" s="493"/>
      <c r="P4351" s="494"/>
      <c r="Q4351" s="492"/>
      <c r="R4351" s="492"/>
      <c r="S4351" s="699" t="s">
        <v>5275</v>
      </c>
      <c r="T4351" s="102">
        <f t="shared" si="3230"/>
        <v>0</v>
      </c>
      <c r="U4351" s="78" t="str">
        <f>IF(NOT(ISNUMBER(G4351)), "", VLOOKUP(A4351,'Discount Lookup'!D:E,2,FALSE)*G4351)</f>
        <v/>
      </c>
      <c r="V4351" s="78" t="str">
        <f>IF(NOT(ISNUMBER(G4351)), "", VLOOKUP(A4351,'Discount Lookup'!G:H,2,FALSE)*G4351)</f>
        <v/>
      </c>
      <c r="W4351" s="102">
        <f t="shared" si="3231"/>
        <v>0</v>
      </c>
      <c r="X4351" s="102">
        <f t="shared" si="3232"/>
        <v>0</v>
      </c>
      <c r="Y4351" s="120" t="b">
        <f t="shared" si="3233"/>
        <v>0</v>
      </c>
      <c r="Z4351" s="117">
        <f t="shared" si="3234"/>
        <v>0</v>
      </c>
      <c r="AA4351" s="118"/>
      <c r="AB4351" s="118" t="str">
        <f t="shared" si="3235"/>
        <v/>
      </c>
      <c r="AC4351" s="712" t="str">
        <f>IF(AE4351="T2G","no charge",IF(AND(OR(PlanterYesMe="No",PlanterYesMe="N",PlanterYesMe="me"),H4351=""),"",IF(H4351="credit","NO install",IF(AND(K4351="",AE4351="me"),"EACH row",IF(AND(K4351="images",AE4351="me"),"EACH row",IF(D4351="","",IF(H4351="credit","",IF(AE4351="free","re-planting",IF(AE4351="me","   not ELP, by",IF(AND(OR(PlanterYesMe="Yes",PlanterYesMe="Y"),G4351&gt;0),(VLOOKUP(A4351,'Discount Lookup'!J:K,2)*G4351*(1-PlanterDiscount)*(1+PlanterDifficultyPercentage)),IF(AE4351="ELP",(VLOOKUP(A4351,'Discount Lookup'!J:K,2)*G4351*(1-PlanterDiscount)*(1+PlanterDifficultyPercentage)),IF(AE4351="free","re-planting",IF(G4351=0,"",IF(PlanterYesMe="",IF(AE4351="me","   not ELP, by",IF(AE4351="",IF(G4351&gt;0,(VLOOKUP(A4351,'Discount Lookup'!J:K,2)*G4351*(1-PlanterDiscount)*(1+PlanterDifficultyPercentage)),""),"")),"   not ELP, by"))))))))))))))</f>
        <v/>
      </c>
      <c r="AD4351" s="712"/>
      <c r="AE4351" s="513" t="str">
        <f t="shared" si="3236"/>
        <v/>
      </c>
      <c r="AF4351" s="713" t="str">
        <f t="shared" si="3237"/>
        <v/>
      </c>
      <c r="AG4351" s="713"/>
      <c r="AH4351" s="713"/>
      <c r="AI4351" s="112">
        <f>IF(H4351="credit",0,IF(AE4351="free",0,IF(AE4351="me",0,IF(G4351&gt;0,(VLOOKUP(A4351,'Discount Lookup'!J:K,2)*G4351),0))))</f>
        <v>0</v>
      </c>
      <c r="AJ4351" s="107" t="str">
        <f t="shared" ca="1" si="3238"/>
        <v/>
      </c>
      <c r="AK4351" s="714" t="str">
        <f t="shared" si="3239"/>
        <v/>
      </c>
      <c r="AL4351" s="714"/>
      <c r="AM4351" s="114" t="str">
        <f t="shared" si="3240"/>
        <v/>
      </c>
      <c r="AN4351" s="115"/>
      <c r="AO4351" s="116"/>
      <c r="AP4351" s="116"/>
      <c r="AQ4351" s="116"/>
      <c r="AR4351" s="116"/>
      <c r="AS4351" s="116"/>
      <c r="AT4351" s="116"/>
      <c r="AU4351" s="116"/>
      <c r="AV4351" s="78"/>
      <c r="AW4351" s="102"/>
      <c r="AX4351" s="78"/>
      <c r="AY4351" s="78"/>
      <c r="AZ4351" s="78"/>
      <c r="BA4351" s="78"/>
      <c r="BB4351" s="78"/>
      <c r="BC4351" s="78"/>
      <c r="BD4351" s="78"/>
      <c r="BE4351" s="465"/>
      <c r="BF4351" s="165" t="str">
        <f t="shared" si="3241"/>
        <v>https://www.google.com/search?tbm=isch&amp;q=Moonlit%20Lace%20has%20fragrant%20spring%20flowers.%20Glossy%2C%20Green%20foliage%20%28on%20Burgundy%20stems%29%20turns%20Burgundy%20in%20fall%20</v>
      </c>
      <c r="BG4351" s="165" t="str">
        <f t="shared" si="3242"/>
        <v>M</v>
      </c>
      <c r="BH4351" s="65"/>
      <c r="BI4351" s="65"/>
      <c r="BJ4351" s="65"/>
      <c r="BK4351" s="65"/>
      <c r="BL4351" s="99"/>
      <c r="BM4351" s="99"/>
      <c r="BN4351" s="99"/>
    </row>
    <row r="4352" spans="1:66" s="51" customFormat="1" ht="18" x14ac:dyDescent="0.25">
      <c r="A4352" s="507" t="s">
        <v>4500</v>
      </c>
      <c r="B4352" s="470"/>
      <c r="C4352" s="706"/>
      <c r="D4352" s="471" t="s">
        <v>4501</v>
      </c>
      <c r="E4352" s="472"/>
      <c r="F4352" s="472"/>
      <c r="G4352" s="472"/>
      <c r="H4352" s="622" t="s">
        <v>1217</v>
      </c>
      <c r="I4352" s="473" t="s">
        <v>4502</v>
      </c>
      <c r="J4352" s="472"/>
      <c r="K4352" s="472"/>
      <c r="L4352" s="561"/>
      <c r="M4352" s="698" t="s">
        <v>5246</v>
      </c>
      <c r="N4352" s="692" t="str">
        <f>IF(AND(ISTEXT($A4352), ISERROR($A4352+0)), HYPERLINK($BF4352, "Images"), "")</f>
        <v>Images</v>
      </c>
      <c r="O4352" s="694" t="s">
        <v>5247</v>
      </c>
      <c r="P4352" s="475"/>
      <c r="Q4352" s="476"/>
      <c r="R4352" s="476"/>
      <c r="S4352" s="477"/>
      <c r="T4352" s="102">
        <f t="shared" si="3230"/>
        <v>0</v>
      </c>
      <c r="U4352" s="78" t="str">
        <f>IF(NOT(ISNUMBER(G4352)), "", VLOOKUP(A4352,'Discount Lookup'!D:E,2,FALSE)*G4352)</f>
        <v/>
      </c>
      <c r="V4352" s="78" t="str">
        <f>IF(NOT(ISNUMBER(G4352)), "", VLOOKUP(A4352,'Discount Lookup'!G:H,2,FALSE)*G4352)</f>
        <v/>
      </c>
      <c r="W4352" s="102">
        <f t="shared" si="3231"/>
        <v>0</v>
      </c>
      <c r="X4352" s="102" t="str">
        <f t="shared" si="3232"/>
        <v>Pink fades to White</v>
      </c>
      <c r="Y4352" s="120" t="b">
        <f t="shared" si="3233"/>
        <v>0</v>
      </c>
      <c r="Z4352" s="117">
        <f t="shared" si="3234"/>
        <v>0</v>
      </c>
      <c r="AA4352" s="118"/>
      <c r="AB4352" s="118" t="str">
        <f t="shared" si="3235"/>
        <v/>
      </c>
      <c r="AC4352" s="712" t="str">
        <f>IF(AE4352="T2G","no charge",IF(AND(OR(PlanterYesMe="No",PlanterYesMe="N",PlanterYesMe="me"),H4352=""),"",IF(H4352="credit","NO install",IF(AND(K4352="",AE4352="me"),"EACH row",IF(AND(K4352="images",AE4352="me"),"EACH row",IF(D4352="","",IF(H4352="credit","",IF(AE4352="free","re-planting",IF(AE4352="me","   not ELP, by",IF(AND(OR(PlanterYesMe="Yes",PlanterYesMe="Y"),G4352&gt;0),(VLOOKUP(A4352,'Discount Lookup'!J:K,2)*G4352*(1-PlanterDiscount)*(1+PlanterDifficultyPercentage)),IF(AE4352="ELP",(VLOOKUP(A4352,'Discount Lookup'!J:K,2)*G4352*(1-PlanterDiscount)*(1+PlanterDifficultyPercentage)),IF(AE4352="free","re-planting",IF(G4352=0,"",IF(PlanterYesMe="",IF(AE4352="me","   not ELP, by",IF(AE4352="",IF(G4352&gt;0,(VLOOKUP(A4352,'Discount Lookup'!J:K,2)*G4352*(1-PlanterDiscount)*(1+PlanterDifficultyPercentage)),""),"")),"   not ELP, by"))))))))))))))</f>
        <v/>
      </c>
      <c r="AD4352" s="712"/>
      <c r="AE4352" s="513" t="str">
        <f t="shared" si="3236"/>
        <v/>
      </c>
      <c r="AF4352" s="713" t="str">
        <f t="shared" si="3237"/>
        <v/>
      </c>
      <c r="AG4352" s="713"/>
      <c r="AH4352" s="713"/>
      <c r="AI4352" s="112">
        <f>IF(H4352="credit",0,IF(AE4352="free",0,IF(AE4352="me",0,IF(G4352&gt;0,(VLOOKUP(A4352,'Discount Lookup'!J:K,2)*G4352),0))))</f>
        <v>0</v>
      </c>
      <c r="AJ4352" s="107" t="str">
        <f t="shared" ca="1" si="3238"/>
        <v/>
      </c>
      <c r="AK4352" s="714" t="str">
        <f t="shared" si="3239"/>
        <v/>
      </c>
      <c r="AL4352" s="714"/>
      <c r="AM4352" s="114" t="str">
        <f t="shared" si="3240"/>
        <v/>
      </c>
      <c r="AN4352" s="115"/>
      <c r="AO4352" s="116"/>
      <c r="AP4352" s="116"/>
      <c r="AQ4352" s="116"/>
      <c r="AR4352" s="116"/>
      <c r="AS4352" s="116"/>
      <c r="AT4352" s="116"/>
      <c r="AU4352" s="116"/>
      <c r="AV4352" s="78"/>
      <c r="AW4352" s="102"/>
      <c r="AX4352" s="78"/>
      <c r="AY4352" s="78"/>
      <c r="AZ4352" s="78"/>
      <c r="BA4352" s="78"/>
      <c r="BB4352" s="78"/>
      <c r="BC4352" s="78"/>
      <c r="BD4352" s="78"/>
      <c r="BE4352" s="465"/>
      <c r="BF4352" s="165" t="str">
        <f t="shared" si="3241"/>
        <v>https://www.google.com/search?tbm=isch&amp;q=Viburnum%20tinus%20%27Compactum%27%20Spring%20Bouquet%20Viburnum</v>
      </c>
      <c r="BG4352" s="165" t="str">
        <f t="shared" si="3242"/>
        <v>V</v>
      </c>
      <c r="BH4352" s="65"/>
      <c r="BI4352" s="65"/>
      <c r="BJ4352" s="65"/>
      <c r="BK4352" s="65"/>
      <c r="BL4352" s="99"/>
      <c r="BM4352" s="99"/>
      <c r="BN4352" s="99"/>
    </row>
    <row r="4353" spans="1:66" s="51" customFormat="1" ht="15.75" x14ac:dyDescent="0.25">
      <c r="A4353" s="478">
        <v>3</v>
      </c>
      <c r="B4353" s="479" t="s">
        <v>291</v>
      </c>
      <c r="C4353" s="480" t="s">
        <v>10</v>
      </c>
      <c r="D4353" s="481" t="s">
        <v>310</v>
      </c>
      <c r="E4353" s="482">
        <v>25.95</v>
      </c>
      <c r="F4353" s="483" t="s">
        <v>292</v>
      </c>
      <c r="G4353" s="484">
        <v>0</v>
      </c>
      <c r="H4353" s="688" t="str">
        <f>IF(G4353=0,"",IF(F4353="Buy",IF(G4353=1,"plant","plants"),IF(F4353&gt;0.01,"warranty","Error")))</f>
        <v/>
      </c>
      <c r="I4353" s="485">
        <f>IF(H4353="free",0,IF(H4353="credit",((E4353*(F4353))*G4353*-1),IF(F4353="Buy",(E4353*G4353),((E4353*(1-F4353))*G4353))))</f>
        <v>0</v>
      </c>
      <c r="J4353" s="485">
        <f>IF(H4353="warranty",0,(I4353*(_xlfn.SINGLE(SalesTaxPercentage))))</f>
        <v>0</v>
      </c>
      <c r="K4353" s="715">
        <f t="shared" ref="K4353" si="3267">I4353+J4353</f>
        <v>0</v>
      </c>
      <c r="L4353" s="715"/>
      <c r="M4353" s="689" t="str">
        <f ca="1">IF(AND(G4353&gt;0,E4353=0),"WARNING - no PRICE inserted",IF(H4353="free","FREE ~ no charge this plant",IF(H4353="credit",CONCATENATE("-$",ROUND(K4353*(1-_xlfn.SINGLE(T2GDiscount))*-1,2)," CREDIT after discount"),IF(_xlfn.SINGLE(T2GDiscount)=0,"",IF(G4353=0,"",IF(F4353="Buy",CONCATENATE("$",ROUND(K4353*(1-_xlfn.SINGLE(T2GDiscount)),2)," with ",(_xlfn.SINGLE(T2GDiscount)*100),"% discount"),CONCATENATE("$",ROUND(K4353*(1-_xlfn.SINGLE(T2GDiscount)),2)," with ",((_xlfn.SINGLE(T2GDiscount)*100+F4353*100)-(_xlfn.SINGLE(T2GDiscount)*100*F4353)),IF(F4353&gt;0,"% discounts",IF(_xlfn.SINGLE(NoWarrantyDiscount)&gt;0,"% discounts","% discount")))))))))</f>
        <v/>
      </c>
      <c r="N4353" s="690"/>
      <c r="O4353" s="486"/>
      <c r="P4353" s="486"/>
      <c r="Q4353" s="486"/>
      <c r="R4353" s="486"/>
      <c r="S4353" s="486"/>
      <c r="T4353" s="102">
        <f t="shared" si="3230"/>
        <v>0</v>
      </c>
      <c r="U4353" s="78">
        <f>IF(NOT(ISNUMBER(G4353)), "", VLOOKUP(A4353,'Discount Lookup'!D:E,2,FALSE)*G4353)</f>
        <v>0</v>
      </c>
      <c r="V4353" s="78">
        <f>IF(NOT(ISNUMBER(G4353)), "", VLOOKUP(A4353,'Discount Lookup'!G:H,2,FALSE)*G4353)</f>
        <v>0</v>
      </c>
      <c r="W4353" s="102">
        <f t="shared" si="3231"/>
        <v>0</v>
      </c>
      <c r="X4353" s="102">
        <f t="shared" si="3232"/>
        <v>0</v>
      </c>
      <c r="Y4353" s="120" t="b">
        <f t="shared" si="3233"/>
        <v>0</v>
      </c>
      <c r="Z4353" s="117">
        <f t="shared" si="3234"/>
        <v>0</v>
      </c>
      <c r="AA4353" s="118"/>
      <c r="AB4353" s="118" t="str">
        <f t="shared" si="3235"/>
        <v/>
      </c>
      <c r="AC4353" s="712" t="str">
        <f>IF(AE4353="T2G","no charge",IF(AND(OR(PlanterYesMe="No",PlanterYesMe="N",PlanterYesMe="me"),H4353=""),"",IF(H4353="credit","NO install",IF(AND(K4353="",AE4353="me"),"EACH row",IF(AND(K4353="images",AE4353="me"),"EACH row",IF(D4353="","",IF(H4353="credit","",IF(AE4353="free","re-planting",IF(AE4353="me","   not ELP, by",IF(AND(OR(PlanterYesMe="Yes",PlanterYesMe="Y"),G4353&gt;0),(VLOOKUP(A4353,'Discount Lookup'!J:K,2)*G4353*(1-PlanterDiscount)*(1+PlanterDifficultyPercentage)),IF(AE4353="ELP",(VLOOKUP(A4353,'Discount Lookup'!J:K,2)*G4353*(1-PlanterDiscount)*(1+PlanterDifficultyPercentage)),IF(AE4353="free","re-planting",IF(G4353=0,"",IF(PlanterYesMe="",IF(AE4353="me","   not ELP, by",IF(AE4353="",IF(G4353&gt;0,(VLOOKUP(A4353,'Discount Lookup'!J:K,2)*G4353*(1-PlanterDiscount)*(1+PlanterDifficultyPercentage)),""),"")),"   not ELP, by"))))))))))))))</f>
        <v/>
      </c>
      <c r="AD4353" s="712"/>
      <c r="AE4353" s="513" t="str">
        <f t="shared" si="3236"/>
        <v/>
      </c>
      <c r="AF4353" s="713" t="str">
        <f t="shared" si="3237"/>
        <v/>
      </c>
      <c r="AG4353" s="713"/>
      <c r="AH4353" s="713"/>
      <c r="AI4353" s="112">
        <f>IF(H4353="credit",0,IF(AE4353="free",0,IF(AE4353="me",0,IF(G4353&gt;0,(VLOOKUP(A4353,'Discount Lookup'!J:K,2)*G4353),0))))</f>
        <v>0</v>
      </c>
      <c r="AJ4353" s="107" t="str">
        <f t="shared" ca="1" si="3238"/>
        <v/>
      </c>
      <c r="AK4353" s="714" t="str">
        <f t="shared" si="3239"/>
        <v/>
      </c>
      <c r="AL4353" s="714"/>
      <c r="AM4353" s="114" t="str">
        <f t="shared" si="3240"/>
        <v/>
      </c>
      <c r="AN4353" s="115"/>
      <c r="AO4353" s="116"/>
      <c r="AP4353" s="116"/>
      <c r="AQ4353" s="116"/>
      <c r="AR4353" s="116"/>
      <c r="AS4353" s="116"/>
      <c r="AT4353" s="116"/>
      <c r="AU4353" s="116"/>
      <c r="AV4353" s="78"/>
      <c r="AW4353" s="102"/>
      <c r="AX4353" s="78"/>
      <c r="AY4353" s="78"/>
      <c r="AZ4353" s="78"/>
      <c r="BA4353" s="78"/>
      <c r="BB4353" s="78"/>
      <c r="BC4353" s="78"/>
      <c r="BD4353" s="78"/>
      <c r="BE4353" s="465"/>
      <c r="BF4353" s="165" t="str">
        <f t="shared" si="3241"/>
        <v>https://www.google.com/search?tbm=isch&amp;q=3%20G1</v>
      </c>
      <c r="BG4353" s="165" t="str">
        <f t="shared" si="3242"/>
        <v>V</v>
      </c>
      <c r="BH4353" s="65"/>
      <c r="BI4353" s="65"/>
      <c r="BJ4353" s="65"/>
      <c r="BK4353" s="65"/>
      <c r="BL4353" s="99"/>
      <c r="BM4353" s="99"/>
      <c r="BN4353" s="99"/>
    </row>
    <row r="4354" spans="1:66" s="51" customFormat="1" ht="15.75" x14ac:dyDescent="0.25">
      <c r="A4354" s="478">
        <v>7</v>
      </c>
      <c r="B4354" s="479" t="s">
        <v>291</v>
      </c>
      <c r="C4354" s="480" t="s">
        <v>4503</v>
      </c>
      <c r="D4354" s="481" t="s">
        <v>293</v>
      </c>
      <c r="E4354" s="482">
        <v>98.95</v>
      </c>
      <c r="F4354" s="483" t="s">
        <v>292</v>
      </c>
      <c r="G4354" s="484">
        <v>0</v>
      </c>
      <c r="H4354" s="688" t="str">
        <f>IF(G4354=0,"",IF(F4354="Buy",IF(G4354=1,"plant","plants"),IF(F4354&gt;0.01,"warranty","Error")))</f>
        <v/>
      </c>
      <c r="I4354" s="485">
        <f>IF(H4354="free",0,IF(H4354="credit",((E4354*(F4354))*G4354*-1),IF(F4354="Buy",(E4354*G4354),((E4354*(1-F4354))*G4354))))</f>
        <v>0</v>
      </c>
      <c r="J4354" s="485">
        <f>IF(H4354="warranty",0,(I4354*(_xlfn.SINGLE(SalesTaxPercentage))))</f>
        <v>0</v>
      </c>
      <c r="K4354" s="715">
        <f t="shared" ref="K4354" si="3268">I4354+J4354</f>
        <v>0</v>
      </c>
      <c r="L4354" s="715"/>
      <c r="M4354" s="689" t="str">
        <f ca="1">IF(AND(G4354&gt;0,E4354=0),"WARNING - no PRICE inserted",IF(H4354="free","FREE ~ no charge this plant",IF(H4354="credit",CONCATENATE("-$",ROUND(K4354*(1-_xlfn.SINGLE(T2GDiscount))*-1,2)," CREDIT after discount"),IF(_xlfn.SINGLE(T2GDiscount)=0,"",IF(G4354=0,"",IF(F4354="Buy",CONCATENATE("$",ROUND(K4354*(1-_xlfn.SINGLE(T2GDiscount)),2)," with ",(_xlfn.SINGLE(T2GDiscount)*100),"% discount"),CONCATENATE("$",ROUND(K4354*(1-_xlfn.SINGLE(T2GDiscount)),2)," with ",((_xlfn.SINGLE(T2GDiscount)*100+F4354*100)-(_xlfn.SINGLE(T2GDiscount)*100*F4354)),IF(F4354&gt;0,"% discounts",IF(_xlfn.SINGLE(NoWarrantyDiscount)&gt;0,"% discounts","% discount")))))))))</f>
        <v/>
      </c>
      <c r="N4354" s="690"/>
      <c r="O4354" s="486"/>
      <c r="P4354" s="486"/>
      <c r="Q4354" s="486"/>
      <c r="R4354" s="486"/>
      <c r="S4354" s="486"/>
      <c r="T4354" s="102">
        <f t="shared" si="3230"/>
        <v>0</v>
      </c>
      <c r="U4354" s="78">
        <f>IF(NOT(ISNUMBER(G4354)), "", VLOOKUP(A4354,'Discount Lookup'!D:E,2,FALSE)*G4354)</f>
        <v>0</v>
      </c>
      <c r="V4354" s="78">
        <f>IF(NOT(ISNUMBER(G4354)), "", VLOOKUP(A4354,'Discount Lookup'!G:H,2,FALSE)*G4354)</f>
        <v>0</v>
      </c>
      <c r="W4354" s="102">
        <f t="shared" si="3231"/>
        <v>0</v>
      </c>
      <c r="X4354" s="102">
        <f t="shared" si="3232"/>
        <v>0</v>
      </c>
      <c r="Y4354" s="120" t="b">
        <f t="shared" si="3233"/>
        <v>0</v>
      </c>
      <c r="Z4354" s="117">
        <f t="shared" si="3234"/>
        <v>0</v>
      </c>
      <c r="AA4354" s="118"/>
      <c r="AB4354" s="118" t="str">
        <f t="shared" si="3235"/>
        <v/>
      </c>
      <c r="AC4354" s="712" t="str">
        <f>IF(AE4354="T2G","no charge",IF(AND(OR(PlanterYesMe="No",PlanterYesMe="N",PlanterYesMe="me"),H4354=""),"",IF(H4354="credit","NO install",IF(AND(K4354="",AE4354="me"),"EACH row",IF(AND(K4354="images",AE4354="me"),"EACH row",IF(D4354="","",IF(H4354="credit","",IF(AE4354="free","re-planting",IF(AE4354="me","   not ELP, by",IF(AND(OR(PlanterYesMe="Yes",PlanterYesMe="Y"),G4354&gt;0),(VLOOKUP(A4354,'Discount Lookup'!J:K,2)*G4354*(1-PlanterDiscount)*(1+PlanterDifficultyPercentage)),IF(AE4354="ELP",(VLOOKUP(A4354,'Discount Lookup'!J:K,2)*G4354*(1-PlanterDiscount)*(1+PlanterDifficultyPercentage)),IF(AE4354="free","re-planting",IF(G4354=0,"",IF(PlanterYesMe="",IF(AE4354="me","   not ELP, by",IF(AE4354="",IF(G4354&gt;0,(VLOOKUP(A4354,'Discount Lookup'!J:K,2)*G4354*(1-PlanterDiscount)*(1+PlanterDifficultyPercentage)),""),"")),"   not ELP, by"))))))))))))))</f>
        <v/>
      </c>
      <c r="AD4354" s="712"/>
      <c r="AE4354" s="513" t="str">
        <f t="shared" si="3236"/>
        <v/>
      </c>
      <c r="AF4354" s="713" t="str">
        <f t="shared" si="3237"/>
        <v/>
      </c>
      <c r="AG4354" s="713"/>
      <c r="AH4354" s="713"/>
      <c r="AI4354" s="112">
        <f>IF(H4354="credit",0,IF(AE4354="free",0,IF(AE4354="me",0,IF(G4354&gt;0,(VLOOKUP(A4354,'Discount Lookup'!J:K,2)*G4354),0))))</f>
        <v>0</v>
      </c>
      <c r="AJ4354" s="107" t="str">
        <f t="shared" ca="1" si="3238"/>
        <v/>
      </c>
      <c r="AK4354" s="714" t="str">
        <f t="shared" si="3239"/>
        <v/>
      </c>
      <c r="AL4354" s="714"/>
      <c r="AM4354" s="114" t="str">
        <f t="shared" si="3240"/>
        <v/>
      </c>
      <c r="AN4354" s="115"/>
      <c r="AO4354" s="116"/>
      <c r="AP4354" s="116"/>
      <c r="AQ4354" s="116"/>
      <c r="AR4354" s="116"/>
      <c r="AS4354" s="116"/>
      <c r="AT4354" s="116"/>
      <c r="AU4354" s="116"/>
      <c r="AV4354" s="78"/>
      <c r="AW4354" s="102"/>
      <c r="AX4354" s="78"/>
      <c r="AY4354" s="78"/>
      <c r="AZ4354" s="78"/>
      <c r="BA4354" s="78"/>
      <c r="BB4354" s="78"/>
      <c r="BC4354" s="78"/>
      <c r="BD4354" s="78"/>
      <c r="BE4354" s="465"/>
      <c r="BF4354" s="165" t="str">
        <f t="shared" si="3241"/>
        <v>https://www.google.com/search?tbm=isch&amp;q=7%20G6</v>
      </c>
      <c r="BG4354" s="165" t="str">
        <f t="shared" si="3242"/>
        <v>V</v>
      </c>
      <c r="BH4354" s="65"/>
      <c r="BI4354" s="65"/>
      <c r="BJ4354" s="65"/>
      <c r="BK4354" s="65"/>
      <c r="BL4354" s="99"/>
      <c r="BM4354" s="99"/>
      <c r="BN4354" s="99"/>
    </row>
    <row r="4355" spans="1:66" s="51" customFormat="1" ht="17.25" thickBot="1" x14ac:dyDescent="0.3">
      <c r="A4355" s="508" t="s">
        <v>4504</v>
      </c>
      <c r="B4355" s="487"/>
      <c r="C4355" s="707"/>
      <c r="D4355" s="487"/>
      <c r="E4355" s="487"/>
      <c r="F4355" s="488"/>
      <c r="G4355" s="489"/>
      <c r="H4355" s="487"/>
      <c r="I4355" s="490"/>
      <c r="J4355" s="490"/>
      <c r="K4355" s="491"/>
      <c r="L4355" s="547"/>
      <c r="M4355" s="528"/>
      <c r="N4355" s="492"/>
      <c r="O4355" s="493"/>
      <c r="P4355" s="494"/>
      <c r="Q4355" s="492"/>
      <c r="R4355" s="492"/>
      <c r="S4355" s="699" t="s">
        <v>5268</v>
      </c>
      <c r="T4355" s="102">
        <f t="shared" si="3230"/>
        <v>0</v>
      </c>
      <c r="U4355" s="78" t="str">
        <f>IF(NOT(ISNUMBER(G4355)), "", VLOOKUP(A4355,'Discount Lookup'!D:E,2,FALSE)*G4355)</f>
        <v/>
      </c>
      <c r="V4355" s="78" t="str">
        <f>IF(NOT(ISNUMBER(G4355)), "", VLOOKUP(A4355,'Discount Lookup'!G:H,2,FALSE)*G4355)</f>
        <v/>
      </c>
      <c r="W4355" s="102">
        <f t="shared" si="3231"/>
        <v>0</v>
      </c>
      <c r="X4355" s="102">
        <f t="shared" si="3232"/>
        <v>0</v>
      </c>
      <c r="Y4355" s="120" t="b">
        <f t="shared" si="3233"/>
        <v>0</v>
      </c>
      <c r="Z4355" s="117">
        <f t="shared" si="3234"/>
        <v>0</v>
      </c>
      <c r="AA4355" s="118"/>
      <c r="AB4355" s="118" t="str">
        <f t="shared" si="3235"/>
        <v/>
      </c>
      <c r="AC4355" s="712" t="str">
        <f>IF(AE4355="T2G","no charge",IF(AND(OR(PlanterYesMe="No",PlanterYesMe="N",PlanterYesMe="me"),H4355=""),"",IF(H4355="credit","NO install",IF(AND(K4355="",AE4355="me"),"EACH row",IF(AND(K4355="images",AE4355="me"),"EACH row",IF(D4355="","",IF(H4355="credit","",IF(AE4355="free","re-planting",IF(AE4355="me","   not ELP, by",IF(AND(OR(PlanterYesMe="Yes",PlanterYesMe="Y"),G4355&gt;0),(VLOOKUP(A4355,'Discount Lookup'!J:K,2)*G4355*(1-PlanterDiscount)*(1+PlanterDifficultyPercentage)),IF(AE4355="ELP",(VLOOKUP(A4355,'Discount Lookup'!J:K,2)*G4355*(1-PlanterDiscount)*(1+PlanterDifficultyPercentage)),IF(AE4355="free","re-planting",IF(G4355=0,"",IF(PlanterYesMe="",IF(AE4355="me","   not ELP, by",IF(AE4355="",IF(G4355&gt;0,(VLOOKUP(A4355,'Discount Lookup'!J:K,2)*G4355*(1-PlanterDiscount)*(1+PlanterDifficultyPercentage)),""),"")),"   not ELP, by"))))))))))))))</f>
        <v/>
      </c>
      <c r="AD4355" s="712"/>
      <c r="AE4355" s="513" t="str">
        <f t="shared" si="3236"/>
        <v/>
      </c>
      <c r="AF4355" s="713" t="str">
        <f t="shared" si="3237"/>
        <v/>
      </c>
      <c r="AG4355" s="713"/>
      <c r="AH4355" s="713"/>
      <c r="AI4355" s="112">
        <f>IF(H4355="credit",0,IF(AE4355="free",0,IF(AE4355="me",0,IF(G4355&gt;0,(VLOOKUP(A4355,'Discount Lookup'!J:K,2)*G4355),0))))</f>
        <v>0</v>
      </c>
      <c r="AJ4355" s="107" t="str">
        <f t="shared" ca="1" si="3238"/>
        <v/>
      </c>
      <c r="AK4355" s="714" t="str">
        <f t="shared" si="3239"/>
        <v/>
      </c>
      <c r="AL4355" s="714"/>
      <c r="AM4355" s="114" t="str">
        <f t="shared" si="3240"/>
        <v/>
      </c>
      <c r="AN4355" s="115"/>
      <c r="AO4355" s="116"/>
      <c r="AP4355" s="116"/>
      <c r="AQ4355" s="116"/>
      <c r="AR4355" s="116"/>
      <c r="AS4355" s="116"/>
      <c r="AT4355" s="116"/>
      <c r="AU4355" s="116"/>
      <c r="AV4355" s="78"/>
      <c r="AW4355" s="102"/>
      <c r="AX4355" s="78"/>
      <c r="AY4355" s="78"/>
      <c r="AZ4355" s="78"/>
      <c r="BA4355" s="78"/>
      <c r="BB4355" s="78"/>
      <c r="BC4355" s="78"/>
      <c r="BD4355" s="78"/>
      <c r="BE4355" s="465"/>
      <c r="BF4355" s="165" t="str">
        <f t="shared" si="3241"/>
        <v>https://www.google.com/search?tbm=isch&amp;q=Spring%20Bouquet%20honey-scented%20blooms%20give%20way%20to%20attractive%20Lavender%2FBlue%20berries%20</v>
      </c>
      <c r="BG4355" s="165" t="str">
        <f t="shared" si="3242"/>
        <v>S</v>
      </c>
      <c r="BH4355" s="65"/>
      <c r="BI4355" s="65"/>
      <c r="BJ4355" s="65"/>
      <c r="BK4355" s="65"/>
      <c r="BL4355" s="99"/>
      <c r="BM4355" s="99"/>
      <c r="BN4355" s="99"/>
    </row>
    <row r="4356" spans="1:66" s="51" customFormat="1" ht="18" x14ac:dyDescent="0.25">
      <c r="A4356" s="507" t="s">
        <v>4505</v>
      </c>
      <c r="B4356" s="470"/>
      <c r="C4356" s="706"/>
      <c r="D4356" s="471" t="s">
        <v>5857</v>
      </c>
      <c r="E4356" s="472"/>
      <c r="F4356" s="472"/>
      <c r="G4356" s="472"/>
      <c r="H4356" s="622" t="s">
        <v>1217</v>
      </c>
      <c r="I4356" s="473" t="s">
        <v>4506</v>
      </c>
      <c r="J4356" s="472"/>
      <c r="K4356" s="472"/>
      <c r="L4356" s="561"/>
      <c r="M4356" s="698" t="s">
        <v>5246</v>
      </c>
      <c r="N4356" s="692" t="str">
        <f>IF(AND(ISTEXT($A4356), ISERROR($A4356+0)), HYPERLINK($BF4356, "Images"), "")</f>
        <v>Images</v>
      </c>
      <c r="O4356" s="694" t="s">
        <v>5247</v>
      </c>
      <c r="P4356" s="475"/>
      <c r="Q4356" s="476"/>
      <c r="R4356" s="476"/>
      <c r="S4356" s="477"/>
      <c r="T4356" s="102">
        <f t="shared" si="3230"/>
        <v>0</v>
      </c>
      <c r="U4356" s="78" t="str">
        <f>IF(NOT(ISNUMBER(G4356)), "", VLOOKUP(A4356,'Discount Lookup'!D:E,2,FALSE)*G4356)</f>
        <v/>
      </c>
      <c r="V4356" s="78" t="str">
        <f>IF(NOT(ISNUMBER(G4356)), "", VLOOKUP(A4356,'Discount Lookup'!G:H,2,FALSE)*G4356)</f>
        <v/>
      </c>
      <c r="W4356" s="102">
        <f t="shared" si="3231"/>
        <v>0</v>
      </c>
      <c r="X4356" s="102" t="str">
        <f t="shared" si="3232"/>
        <v>Pink buds open Whiter</v>
      </c>
      <c r="Y4356" s="120" t="b">
        <f t="shared" si="3233"/>
        <v>0</v>
      </c>
      <c r="Z4356" s="117">
        <f t="shared" si="3234"/>
        <v>0</v>
      </c>
      <c r="AA4356" s="118"/>
      <c r="AB4356" s="118" t="str">
        <f t="shared" si="3235"/>
        <v/>
      </c>
      <c r="AC4356" s="712" t="str">
        <f>IF(AE4356="T2G","no charge",IF(AND(OR(PlanterYesMe="No",PlanterYesMe="N",PlanterYesMe="me"),H4356=""),"",IF(H4356="credit","NO install",IF(AND(K4356="",AE4356="me"),"EACH row",IF(AND(K4356="images",AE4356="me"),"EACH row",IF(D4356="","",IF(H4356="credit","",IF(AE4356="free","re-planting",IF(AE4356="me","   not ELP, by",IF(AND(OR(PlanterYesMe="Yes",PlanterYesMe="Y"),G4356&gt;0),(VLOOKUP(A4356,'Discount Lookup'!J:K,2)*G4356*(1-PlanterDiscount)*(1+PlanterDifficultyPercentage)),IF(AE4356="ELP",(VLOOKUP(A4356,'Discount Lookup'!J:K,2)*G4356*(1-PlanterDiscount)*(1+PlanterDifficultyPercentage)),IF(AE4356="free","re-planting",IF(G4356=0,"",IF(PlanterYesMe="",IF(AE4356="me","   not ELP, by",IF(AE4356="",IF(G4356&gt;0,(VLOOKUP(A4356,'Discount Lookup'!J:K,2)*G4356*(1-PlanterDiscount)*(1+PlanterDifficultyPercentage)),""),"")),"   not ELP, by"))))))))))))))</f>
        <v/>
      </c>
      <c r="AD4356" s="712"/>
      <c r="AE4356" s="513" t="str">
        <f t="shared" si="3236"/>
        <v/>
      </c>
      <c r="AF4356" s="713" t="str">
        <f t="shared" si="3237"/>
        <v/>
      </c>
      <c r="AG4356" s="713"/>
      <c r="AH4356" s="713"/>
      <c r="AI4356" s="112">
        <f>IF(H4356="credit",0,IF(AE4356="free",0,IF(AE4356="me",0,IF(G4356&gt;0,(VLOOKUP(A4356,'Discount Lookup'!J:K,2)*G4356),0))))</f>
        <v>0</v>
      </c>
      <c r="AJ4356" s="107" t="str">
        <f t="shared" ca="1" si="3238"/>
        <v/>
      </c>
      <c r="AK4356" s="714" t="str">
        <f t="shared" si="3239"/>
        <v/>
      </c>
      <c r="AL4356" s="714"/>
      <c r="AM4356" s="114" t="str">
        <f t="shared" si="3240"/>
        <v/>
      </c>
      <c r="AN4356" s="115"/>
      <c r="AO4356" s="116"/>
      <c r="AP4356" s="116"/>
      <c r="AQ4356" s="116"/>
      <c r="AR4356" s="116"/>
      <c r="AS4356" s="116"/>
      <c r="AT4356" s="116"/>
      <c r="AU4356" s="116"/>
      <c r="AV4356" s="78"/>
      <c r="AW4356" s="102"/>
      <c r="AX4356" s="78"/>
      <c r="AY4356" s="78"/>
      <c r="AZ4356" s="78"/>
      <c r="BA4356" s="78"/>
      <c r="BB4356" s="78"/>
      <c r="BC4356" s="78"/>
      <c r="BD4356" s="78"/>
      <c r="BE4356" s="465"/>
      <c r="BF4356" s="165" t="str">
        <f t="shared" si="3241"/>
        <v>https://www.google.com/search?tbm=isch&amp;q=Viburnum%20tinus%20%27Lisarose%27%20PP%2322816%20Shades%20of%20Pink%E2%84%A2%20Viburnum</v>
      </c>
      <c r="BG4356" s="165" t="str">
        <f t="shared" si="3242"/>
        <v>V</v>
      </c>
      <c r="BH4356" s="65"/>
      <c r="BI4356" s="65"/>
      <c r="BJ4356" s="65"/>
      <c r="BK4356" s="65"/>
      <c r="BL4356" s="99"/>
      <c r="BM4356" s="99"/>
      <c r="BN4356" s="99"/>
    </row>
    <row r="4357" spans="1:66" s="51" customFormat="1" ht="15.75" x14ac:dyDescent="0.25">
      <c r="A4357" s="478">
        <v>3</v>
      </c>
      <c r="B4357" s="479" t="s">
        <v>291</v>
      </c>
      <c r="C4357" s="480" t="s">
        <v>345</v>
      </c>
      <c r="D4357" s="481" t="s">
        <v>329</v>
      </c>
      <c r="E4357" s="482">
        <v>30.95</v>
      </c>
      <c r="F4357" s="483" t="s">
        <v>292</v>
      </c>
      <c r="G4357" s="484">
        <v>0</v>
      </c>
      <c r="H4357" s="688" t="str">
        <f>IF(G4357=0,"",IF(F4357="Buy",IF(G4357=1,"plant","plants"),IF(F4357&gt;0.01,"warranty","Error")))</f>
        <v/>
      </c>
      <c r="I4357" s="485">
        <f>IF(H4357="free",0,IF(H4357="credit",((E4357*(F4357))*G4357*-1),IF(F4357="Buy",(E4357*G4357),((E4357*(1-F4357))*G4357))))</f>
        <v>0</v>
      </c>
      <c r="J4357" s="485">
        <f>IF(H4357="warranty",0,(I4357*(_xlfn.SINGLE(SalesTaxPercentage))))</f>
        <v>0</v>
      </c>
      <c r="K4357" s="715">
        <f t="shared" ref="K4357" si="3269">I4357+J4357</f>
        <v>0</v>
      </c>
      <c r="L4357" s="715"/>
      <c r="M4357" s="689" t="str">
        <f ca="1">IF(AND(G4357&gt;0,E4357=0),"WARNING - no PRICE inserted",IF(H4357="free","FREE ~ no charge this plant",IF(H4357="credit",CONCATENATE("-$",ROUND(K4357*(1-_xlfn.SINGLE(T2GDiscount))*-1,2)," CREDIT after discount"),IF(_xlfn.SINGLE(T2GDiscount)=0,"",IF(G4357=0,"",IF(F4357="Buy",CONCATENATE("$",ROUND(K4357*(1-_xlfn.SINGLE(T2GDiscount)),2)," with ",(_xlfn.SINGLE(T2GDiscount)*100),"% discount"),CONCATENATE("$",ROUND(K4357*(1-_xlfn.SINGLE(T2GDiscount)),2)," with ",((_xlfn.SINGLE(T2GDiscount)*100+F4357*100)-(_xlfn.SINGLE(T2GDiscount)*100*F4357)),IF(F4357&gt;0,"% discounts",IF(_xlfn.SINGLE(NoWarrantyDiscount)&gt;0,"% discounts","% discount")))))))))</f>
        <v/>
      </c>
      <c r="N4357" s="690"/>
      <c r="O4357" s="486"/>
      <c r="P4357" s="486"/>
      <c r="Q4357" s="486"/>
      <c r="R4357" s="486"/>
      <c r="S4357" s="486"/>
      <c r="T4357" s="102">
        <f t="shared" si="3230"/>
        <v>0</v>
      </c>
      <c r="U4357" s="78">
        <f>IF(NOT(ISNUMBER(G4357)), "", VLOOKUP(A4357,'Discount Lookup'!D:E,2,FALSE)*G4357)</f>
        <v>0</v>
      </c>
      <c r="V4357" s="78">
        <f>IF(NOT(ISNUMBER(G4357)), "", VLOOKUP(A4357,'Discount Lookup'!G:H,2,FALSE)*G4357)</f>
        <v>0</v>
      </c>
      <c r="W4357" s="102">
        <f t="shared" si="3231"/>
        <v>0</v>
      </c>
      <c r="X4357" s="102">
        <f t="shared" si="3232"/>
        <v>0</v>
      </c>
      <c r="Y4357" s="120" t="b">
        <f t="shared" si="3233"/>
        <v>0</v>
      </c>
      <c r="Z4357" s="117">
        <f t="shared" si="3234"/>
        <v>0</v>
      </c>
      <c r="AA4357" s="118"/>
      <c r="AB4357" s="118" t="str">
        <f t="shared" si="3235"/>
        <v/>
      </c>
      <c r="AC4357" s="712" t="str">
        <f>IF(AE4357="T2G","no charge",IF(AND(OR(PlanterYesMe="No",PlanterYesMe="N",PlanterYesMe="me"),H4357=""),"",IF(H4357="credit","NO install",IF(AND(K4357="",AE4357="me"),"EACH row",IF(AND(K4357="images",AE4357="me"),"EACH row",IF(D4357="","",IF(H4357="credit","",IF(AE4357="free","re-planting",IF(AE4357="me","   not ELP, by",IF(AND(OR(PlanterYesMe="Yes",PlanterYesMe="Y"),G4357&gt;0),(VLOOKUP(A4357,'Discount Lookup'!J:K,2)*G4357*(1-PlanterDiscount)*(1+PlanterDifficultyPercentage)),IF(AE4357="ELP",(VLOOKUP(A4357,'Discount Lookup'!J:K,2)*G4357*(1-PlanterDiscount)*(1+PlanterDifficultyPercentage)),IF(AE4357="free","re-planting",IF(G4357=0,"",IF(PlanterYesMe="",IF(AE4357="me","   not ELP, by",IF(AE4357="",IF(G4357&gt;0,(VLOOKUP(A4357,'Discount Lookup'!J:K,2)*G4357*(1-PlanterDiscount)*(1+PlanterDifficultyPercentage)),""),"")),"   not ELP, by"))))))))))))))</f>
        <v/>
      </c>
      <c r="AD4357" s="712"/>
      <c r="AE4357" s="513" t="str">
        <f t="shared" si="3236"/>
        <v/>
      </c>
      <c r="AF4357" s="713" t="str">
        <f t="shared" si="3237"/>
        <v/>
      </c>
      <c r="AG4357" s="713"/>
      <c r="AH4357" s="713"/>
      <c r="AI4357" s="112">
        <f>IF(H4357="credit",0,IF(AE4357="free",0,IF(AE4357="me",0,IF(G4357&gt;0,(VLOOKUP(A4357,'Discount Lookup'!J:K,2)*G4357),0))))</f>
        <v>0</v>
      </c>
      <c r="AJ4357" s="107" t="str">
        <f t="shared" ca="1" si="3238"/>
        <v/>
      </c>
      <c r="AK4357" s="714" t="str">
        <f t="shared" si="3239"/>
        <v/>
      </c>
      <c r="AL4357" s="714"/>
      <c r="AM4357" s="114" t="str">
        <f t="shared" si="3240"/>
        <v/>
      </c>
      <c r="AN4357" s="115"/>
      <c r="AO4357" s="116"/>
      <c r="AP4357" s="116"/>
      <c r="AQ4357" s="116"/>
      <c r="AR4357" s="116"/>
      <c r="AS4357" s="116"/>
      <c r="AT4357" s="116"/>
      <c r="AU4357" s="116"/>
      <c r="AV4357" s="78"/>
      <c r="AW4357" s="102"/>
      <c r="AX4357" s="78"/>
      <c r="AY4357" s="78"/>
      <c r="AZ4357" s="78"/>
      <c r="BA4357" s="78"/>
      <c r="BB4357" s="78"/>
      <c r="BC4357" s="78"/>
      <c r="BD4357" s="78"/>
      <c r="BE4357" s="465"/>
      <c r="BF4357" s="165" t="str">
        <f t="shared" si="3241"/>
        <v>https://www.google.com/search?tbm=isch&amp;q=3%20G2</v>
      </c>
      <c r="BG4357" s="165" t="str">
        <f t="shared" si="3242"/>
        <v>V</v>
      </c>
      <c r="BH4357" s="65"/>
      <c r="BI4357" s="65"/>
      <c r="BJ4357" s="65"/>
      <c r="BK4357" s="65"/>
      <c r="BL4357" s="99"/>
      <c r="BM4357" s="99"/>
      <c r="BN4357" s="99"/>
    </row>
    <row r="4358" spans="1:66" s="51" customFormat="1" ht="15.75" x14ac:dyDescent="0.25">
      <c r="A4358" s="478">
        <v>3</v>
      </c>
      <c r="B4358" s="479" t="s">
        <v>291</v>
      </c>
      <c r="C4358" s="480" t="s">
        <v>4507</v>
      </c>
      <c r="D4358" s="481" t="s">
        <v>311</v>
      </c>
      <c r="E4358" s="482">
        <v>36.950000000000003</v>
      </c>
      <c r="F4358" s="483" t="s">
        <v>292</v>
      </c>
      <c r="G4358" s="484">
        <v>0</v>
      </c>
      <c r="H4358" s="688" t="str">
        <f>IF(G4358=0,"",IF(F4358="Buy",IF(G4358=1,"plant","plants"),IF(F4358&gt;0.01,"warranty","Error")))</f>
        <v/>
      </c>
      <c r="I4358" s="485">
        <f>IF(H4358="free",0,IF(H4358="credit",((E4358*(F4358))*G4358*-1),IF(F4358="Buy",(E4358*G4358),((E4358*(1-F4358))*G4358))))</f>
        <v>0</v>
      </c>
      <c r="J4358" s="485">
        <f>IF(H4358="warranty",0,(I4358*(_xlfn.SINGLE(SalesTaxPercentage))))</f>
        <v>0</v>
      </c>
      <c r="K4358" s="715">
        <f t="shared" ref="K4358" si="3270">I4358+J4358</f>
        <v>0</v>
      </c>
      <c r="L4358" s="715"/>
      <c r="M4358" s="689" t="str">
        <f ca="1">IF(AND(G4358&gt;0,E4358=0),"WARNING - no PRICE inserted",IF(H4358="free","FREE ~ no charge this plant",IF(H4358="credit",CONCATENATE("-$",ROUND(K4358*(1-_xlfn.SINGLE(T2GDiscount))*-1,2)," CREDIT after discount"),IF(_xlfn.SINGLE(T2GDiscount)=0,"",IF(G4358=0,"",IF(F4358="Buy",CONCATENATE("$",ROUND(K4358*(1-_xlfn.SINGLE(T2GDiscount)),2)," with ",(_xlfn.SINGLE(T2GDiscount)*100),"% discount"),CONCATENATE("$",ROUND(K4358*(1-_xlfn.SINGLE(T2GDiscount)),2)," with ",((_xlfn.SINGLE(T2GDiscount)*100+F4358*100)-(_xlfn.SINGLE(T2GDiscount)*100*F4358)),IF(F4358&gt;0,"% discounts",IF(_xlfn.SINGLE(NoWarrantyDiscount)&gt;0,"% discounts","% discount")))))))))</f>
        <v/>
      </c>
      <c r="N4358" s="690"/>
      <c r="O4358" s="486"/>
      <c r="P4358" s="486"/>
      <c r="Q4358" s="486"/>
      <c r="R4358" s="486"/>
      <c r="S4358" s="486"/>
      <c r="T4358" s="102">
        <f t="shared" si="3230"/>
        <v>0</v>
      </c>
      <c r="U4358" s="78">
        <f>IF(NOT(ISNUMBER(G4358)), "", VLOOKUP(A4358,'Discount Lookup'!D:E,2,FALSE)*G4358)</f>
        <v>0</v>
      </c>
      <c r="V4358" s="78">
        <f>IF(NOT(ISNUMBER(G4358)), "", VLOOKUP(A4358,'Discount Lookup'!G:H,2,FALSE)*G4358)</f>
        <v>0</v>
      </c>
      <c r="W4358" s="102">
        <f t="shared" si="3231"/>
        <v>0</v>
      </c>
      <c r="X4358" s="102">
        <f t="shared" si="3232"/>
        <v>0</v>
      </c>
      <c r="Y4358" s="120" t="b">
        <f t="shared" si="3233"/>
        <v>0</v>
      </c>
      <c r="Z4358" s="117">
        <f t="shared" si="3234"/>
        <v>0</v>
      </c>
      <c r="AA4358" s="118"/>
      <c r="AB4358" s="118" t="str">
        <f t="shared" si="3235"/>
        <v/>
      </c>
      <c r="AC4358" s="712" t="str">
        <f>IF(AE4358="T2G","no charge",IF(AND(OR(PlanterYesMe="No",PlanterYesMe="N",PlanterYesMe="me"),H4358=""),"",IF(H4358="credit","NO install",IF(AND(K4358="",AE4358="me"),"EACH row",IF(AND(K4358="images",AE4358="me"),"EACH row",IF(D4358="","",IF(H4358="credit","",IF(AE4358="free","re-planting",IF(AE4358="me","   not ELP, by",IF(AND(OR(PlanterYesMe="Yes",PlanterYesMe="Y"),G4358&gt;0),(VLOOKUP(A4358,'Discount Lookup'!J:K,2)*G4358*(1-PlanterDiscount)*(1+PlanterDifficultyPercentage)),IF(AE4358="ELP",(VLOOKUP(A4358,'Discount Lookup'!J:K,2)*G4358*(1-PlanterDiscount)*(1+PlanterDifficultyPercentage)),IF(AE4358="free","re-planting",IF(G4358=0,"",IF(PlanterYesMe="",IF(AE4358="me","   not ELP, by",IF(AE4358="",IF(G4358&gt;0,(VLOOKUP(A4358,'Discount Lookup'!J:K,2)*G4358*(1-PlanterDiscount)*(1+PlanterDifficultyPercentage)),""),"")),"   not ELP, by"))))))))))))))</f>
        <v/>
      </c>
      <c r="AD4358" s="712"/>
      <c r="AE4358" s="513" t="str">
        <f t="shared" si="3236"/>
        <v/>
      </c>
      <c r="AF4358" s="713" t="str">
        <f t="shared" si="3237"/>
        <v/>
      </c>
      <c r="AG4358" s="713"/>
      <c r="AH4358" s="713"/>
      <c r="AI4358" s="112">
        <f>IF(H4358="credit",0,IF(AE4358="free",0,IF(AE4358="me",0,IF(G4358&gt;0,(VLOOKUP(A4358,'Discount Lookup'!J:K,2)*G4358),0))))</f>
        <v>0</v>
      </c>
      <c r="AJ4358" s="107" t="str">
        <f t="shared" ca="1" si="3238"/>
        <v/>
      </c>
      <c r="AK4358" s="714" t="str">
        <f t="shared" si="3239"/>
        <v/>
      </c>
      <c r="AL4358" s="714"/>
      <c r="AM4358" s="114" t="str">
        <f t="shared" si="3240"/>
        <v/>
      </c>
      <c r="AN4358" s="115"/>
      <c r="AO4358" s="116"/>
      <c r="AP4358" s="116"/>
      <c r="AQ4358" s="116"/>
      <c r="AR4358" s="116"/>
      <c r="AS4358" s="116"/>
      <c r="AT4358" s="116"/>
      <c r="AU4358" s="116"/>
      <c r="AV4358" s="78"/>
      <c r="AW4358" s="102"/>
      <c r="AX4358" s="78"/>
      <c r="AY4358" s="78"/>
      <c r="AZ4358" s="78"/>
      <c r="BA4358" s="78"/>
      <c r="BB4358" s="78"/>
      <c r="BC4358" s="78"/>
      <c r="BD4358" s="78"/>
      <c r="BE4358" s="465"/>
      <c r="BF4358" s="165" t="str">
        <f t="shared" si="3241"/>
        <v>https://www.google.com/search?tbm=isch&amp;q=3%20G5</v>
      </c>
      <c r="BG4358" s="165" t="str">
        <f t="shared" si="3242"/>
        <v>V</v>
      </c>
      <c r="BH4358" s="65"/>
      <c r="BI4358" s="65"/>
      <c r="BJ4358" s="65"/>
      <c r="BK4358" s="65"/>
      <c r="BL4358" s="99"/>
      <c r="BM4358" s="99"/>
      <c r="BN4358" s="99"/>
    </row>
    <row r="4359" spans="1:66" s="51" customFormat="1" ht="15.75" x14ac:dyDescent="0.25">
      <c r="A4359" s="478">
        <v>7</v>
      </c>
      <c r="B4359" s="479" t="s">
        <v>291</v>
      </c>
      <c r="C4359" s="480" t="s">
        <v>5224</v>
      </c>
      <c r="D4359" s="481" t="s">
        <v>299</v>
      </c>
      <c r="E4359" s="482">
        <v>100.95</v>
      </c>
      <c r="F4359" s="483" t="s">
        <v>292</v>
      </c>
      <c r="G4359" s="484">
        <v>0</v>
      </c>
      <c r="H4359" s="688" t="str">
        <f>IF(G4359=0,"",IF(F4359="Buy",IF(G4359=1,"plant","plants"),IF(F4359&gt;0.01,"warranty","Error")))</f>
        <v/>
      </c>
      <c r="I4359" s="485">
        <f>IF(H4359="free",0,IF(H4359="credit",((E4359*(F4359))*G4359*-1),IF(F4359="Buy",(E4359*G4359),((E4359*(1-F4359))*G4359))))</f>
        <v>0</v>
      </c>
      <c r="J4359" s="485">
        <f>IF(H4359="warranty",0,(I4359*(_xlfn.SINGLE(SalesTaxPercentage))))</f>
        <v>0</v>
      </c>
      <c r="K4359" s="715">
        <f t="shared" ref="K4359" si="3271">I4359+J4359</f>
        <v>0</v>
      </c>
      <c r="L4359" s="715"/>
      <c r="M4359" s="689" t="str">
        <f ca="1">IF(AND(G4359&gt;0,E4359=0),"WARNING - no PRICE inserted",IF(H4359="free","FREE ~ no charge this plant",IF(H4359="credit",CONCATENATE("-$",ROUND(K4359*(1-_xlfn.SINGLE(T2GDiscount))*-1,2)," CREDIT after discount"),IF(_xlfn.SINGLE(T2GDiscount)=0,"",IF(G4359=0,"",IF(F4359="Buy",CONCATENATE("$",ROUND(K4359*(1-_xlfn.SINGLE(T2GDiscount)),2)," with ",(_xlfn.SINGLE(T2GDiscount)*100),"% discount"),CONCATENATE("$",ROUND(K4359*(1-_xlfn.SINGLE(T2GDiscount)),2)," with ",((_xlfn.SINGLE(T2GDiscount)*100+F4359*100)-(_xlfn.SINGLE(T2GDiscount)*100*F4359)),IF(F4359&gt;0,"% discounts",IF(_xlfn.SINGLE(NoWarrantyDiscount)&gt;0,"% discounts","% discount")))))))))</f>
        <v/>
      </c>
      <c r="N4359" s="690"/>
      <c r="O4359" s="486"/>
      <c r="P4359" s="486"/>
      <c r="Q4359" s="486"/>
      <c r="R4359" s="486"/>
      <c r="S4359" s="486"/>
      <c r="T4359" s="102">
        <f t="shared" si="3230"/>
        <v>0</v>
      </c>
      <c r="U4359" s="78">
        <f>IF(NOT(ISNUMBER(G4359)), "", VLOOKUP(A4359,'Discount Lookup'!D:E,2,FALSE)*G4359)</f>
        <v>0</v>
      </c>
      <c r="V4359" s="78">
        <f>IF(NOT(ISNUMBER(G4359)), "", VLOOKUP(A4359,'Discount Lookup'!G:H,2,FALSE)*G4359)</f>
        <v>0</v>
      </c>
      <c r="W4359" s="102">
        <f t="shared" si="3231"/>
        <v>0</v>
      </c>
      <c r="X4359" s="102">
        <f t="shared" si="3232"/>
        <v>0</v>
      </c>
      <c r="Y4359" s="120" t="b">
        <f t="shared" si="3233"/>
        <v>0</v>
      </c>
      <c r="Z4359" s="117">
        <f t="shared" si="3234"/>
        <v>0</v>
      </c>
      <c r="AA4359" s="118"/>
      <c r="AB4359" s="118" t="str">
        <f t="shared" si="3235"/>
        <v/>
      </c>
      <c r="AC4359" s="712" t="str">
        <f>IF(AE4359="T2G","no charge",IF(AND(OR(PlanterYesMe="No",PlanterYesMe="N",PlanterYesMe="me"),H4359=""),"",IF(H4359="credit","NO install",IF(AND(K4359="",AE4359="me"),"EACH row",IF(AND(K4359="images",AE4359="me"),"EACH row",IF(D4359="","",IF(H4359="credit","",IF(AE4359="free","re-planting",IF(AE4359="me","   not ELP, by",IF(AND(OR(PlanterYesMe="Yes",PlanterYesMe="Y"),G4359&gt;0),(VLOOKUP(A4359,'Discount Lookup'!J:K,2)*G4359*(1-PlanterDiscount)*(1+PlanterDifficultyPercentage)),IF(AE4359="ELP",(VLOOKUP(A4359,'Discount Lookup'!J:K,2)*G4359*(1-PlanterDiscount)*(1+PlanterDifficultyPercentage)),IF(AE4359="free","re-planting",IF(G4359=0,"",IF(PlanterYesMe="",IF(AE4359="me","   not ELP, by",IF(AE4359="",IF(G4359&gt;0,(VLOOKUP(A4359,'Discount Lookup'!J:K,2)*G4359*(1-PlanterDiscount)*(1+PlanterDifficultyPercentage)),""),"")),"   not ELP, by"))))))))))))))</f>
        <v/>
      </c>
      <c r="AD4359" s="712"/>
      <c r="AE4359" s="513" t="str">
        <f t="shared" si="3236"/>
        <v/>
      </c>
      <c r="AF4359" s="713" t="str">
        <f t="shared" si="3237"/>
        <v/>
      </c>
      <c r="AG4359" s="713"/>
      <c r="AH4359" s="713"/>
      <c r="AI4359" s="112">
        <f>IF(H4359="credit",0,IF(AE4359="free",0,IF(AE4359="me",0,IF(G4359&gt;0,(VLOOKUP(A4359,'Discount Lookup'!J:K,2)*G4359),0))))</f>
        <v>0</v>
      </c>
      <c r="AJ4359" s="107" t="str">
        <f t="shared" ca="1" si="3238"/>
        <v/>
      </c>
      <c r="AK4359" s="714" t="str">
        <f t="shared" si="3239"/>
        <v/>
      </c>
      <c r="AL4359" s="714"/>
      <c r="AM4359" s="114" t="str">
        <f t="shared" si="3240"/>
        <v/>
      </c>
      <c r="AN4359" s="115"/>
      <c r="AO4359" s="116"/>
      <c r="AP4359" s="116"/>
      <c r="AQ4359" s="116"/>
      <c r="AR4359" s="116"/>
      <c r="AS4359" s="116"/>
      <c r="AT4359" s="116"/>
      <c r="AU4359" s="116"/>
      <c r="AV4359" s="78"/>
      <c r="AW4359" s="102"/>
      <c r="AX4359" s="78"/>
      <c r="AY4359" s="78"/>
      <c r="AZ4359" s="78"/>
      <c r="BA4359" s="78"/>
      <c r="BB4359" s="78"/>
      <c r="BC4359" s="78"/>
      <c r="BD4359" s="78"/>
      <c r="BE4359" s="465"/>
      <c r="BF4359" s="165" t="str">
        <f t="shared" si="3241"/>
        <v>https://www.google.com/search?tbm=isch&amp;q=7%20G4</v>
      </c>
      <c r="BG4359" s="165" t="str">
        <f t="shared" si="3242"/>
        <v>V</v>
      </c>
      <c r="BH4359" s="65"/>
      <c r="BI4359" s="65"/>
      <c r="BJ4359" s="65"/>
      <c r="BK4359" s="65"/>
      <c r="BL4359" s="99"/>
      <c r="BM4359" s="99"/>
      <c r="BN4359" s="99"/>
    </row>
    <row r="4360" spans="1:66" s="51" customFormat="1" ht="15.75" x14ac:dyDescent="0.25">
      <c r="A4360" s="478">
        <v>15</v>
      </c>
      <c r="B4360" s="479" t="s">
        <v>291</v>
      </c>
      <c r="C4360" s="480" t="s">
        <v>5225</v>
      </c>
      <c r="D4360" s="481" t="s">
        <v>299</v>
      </c>
      <c r="E4360" s="482">
        <v>169.95</v>
      </c>
      <c r="F4360" s="483" t="s">
        <v>292</v>
      </c>
      <c r="G4360" s="484">
        <v>0</v>
      </c>
      <c r="H4360" s="688" t="str">
        <f>IF(G4360=0,"",IF(F4360="Buy",IF(G4360=1,"plant","plants"),IF(F4360&gt;0.01,"warranty","Error")))</f>
        <v/>
      </c>
      <c r="I4360" s="485">
        <f>IF(H4360="free",0,IF(H4360="credit",((E4360*(F4360))*G4360*-1),IF(F4360="Buy",(E4360*G4360),((E4360*(1-F4360))*G4360))))</f>
        <v>0</v>
      </c>
      <c r="J4360" s="485">
        <f>IF(H4360="warranty",0,(I4360*(_xlfn.SINGLE(SalesTaxPercentage))))</f>
        <v>0</v>
      </c>
      <c r="K4360" s="715">
        <f t="shared" ref="K4360" si="3272">I4360+J4360</f>
        <v>0</v>
      </c>
      <c r="L4360" s="715"/>
      <c r="M4360" s="689" t="str">
        <f ca="1">IF(AND(G4360&gt;0,E4360=0),"WARNING - no PRICE inserted",IF(H4360="free","FREE ~ no charge this plant",IF(H4360="credit",CONCATENATE("-$",ROUND(K4360*(1-_xlfn.SINGLE(T2GDiscount))*-1,2)," CREDIT after discount"),IF(_xlfn.SINGLE(T2GDiscount)=0,"",IF(G4360=0,"",IF(F4360="Buy",CONCATENATE("$",ROUND(K4360*(1-_xlfn.SINGLE(T2GDiscount)),2)," with ",(_xlfn.SINGLE(T2GDiscount)*100),"% discount"),CONCATENATE("$",ROUND(K4360*(1-_xlfn.SINGLE(T2GDiscount)),2)," with ",((_xlfn.SINGLE(T2GDiscount)*100+F4360*100)-(_xlfn.SINGLE(T2GDiscount)*100*F4360)),IF(F4360&gt;0,"% discounts",IF(_xlfn.SINGLE(NoWarrantyDiscount)&gt;0,"% discounts","% discount")))))))))</f>
        <v/>
      </c>
      <c r="N4360" s="690"/>
      <c r="O4360" s="486"/>
      <c r="P4360" s="486"/>
      <c r="Q4360" s="486"/>
      <c r="R4360" s="486"/>
      <c r="S4360" s="486"/>
      <c r="T4360" s="102">
        <f t="shared" si="3230"/>
        <v>0</v>
      </c>
      <c r="U4360" s="78">
        <f>IF(NOT(ISNUMBER(G4360)), "", VLOOKUP(A4360,'Discount Lookup'!D:E,2,FALSE)*G4360)</f>
        <v>0</v>
      </c>
      <c r="V4360" s="78">
        <f>IF(NOT(ISNUMBER(G4360)), "", VLOOKUP(A4360,'Discount Lookup'!G:H,2,FALSE)*G4360)</f>
        <v>0</v>
      </c>
      <c r="W4360" s="102">
        <f t="shared" si="3231"/>
        <v>0</v>
      </c>
      <c r="X4360" s="102">
        <f t="shared" si="3232"/>
        <v>0</v>
      </c>
      <c r="Y4360" s="120" t="b">
        <f t="shared" si="3233"/>
        <v>0</v>
      </c>
      <c r="Z4360" s="117">
        <f t="shared" si="3234"/>
        <v>0</v>
      </c>
      <c r="AA4360" s="118"/>
      <c r="AB4360" s="118" t="str">
        <f t="shared" si="3235"/>
        <v/>
      </c>
      <c r="AC4360" s="712" t="str">
        <f>IF(AE4360="T2G","no charge",IF(AND(OR(PlanterYesMe="No",PlanterYesMe="N",PlanterYesMe="me"),H4360=""),"",IF(H4360="credit","NO install",IF(AND(K4360="",AE4360="me"),"EACH row",IF(AND(K4360="images",AE4360="me"),"EACH row",IF(D4360="","",IF(H4360="credit","",IF(AE4360="free","re-planting",IF(AE4360="me","   not ELP, by",IF(AND(OR(PlanterYesMe="Yes",PlanterYesMe="Y"),G4360&gt;0),(VLOOKUP(A4360,'Discount Lookup'!J:K,2)*G4360*(1-PlanterDiscount)*(1+PlanterDifficultyPercentage)),IF(AE4360="ELP",(VLOOKUP(A4360,'Discount Lookup'!J:K,2)*G4360*(1-PlanterDiscount)*(1+PlanterDifficultyPercentage)),IF(AE4360="free","re-planting",IF(G4360=0,"",IF(PlanterYesMe="",IF(AE4360="me","   not ELP, by",IF(AE4360="",IF(G4360&gt;0,(VLOOKUP(A4360,'Discount Lookup'!J:K,2)*G4360*(1-PlanterDiscount)*(1+PlanterDifficultyPercentage)),""),"")),"   not ELP, by"))))))))))))))</f>
        <v/>
      </c>
      <c r="AD4360" s="712"/>
      <c r="AE4360" s="513" t="str">
        <f t="shared" si="3236"/>
        <v/>
      </c>
      <c r="AF4360" s="713" t="str">
        <f t="shared" si="3237"/>
        <v/>
      </c>
      <c r="AG4360" s="713"/>
      <c r="AH4360" s="713"/>
      <c r="AI4360" s="112">
        <f>IF(H4360="credit",0,IF(AE4360="free",0,IF(AE4360="me",0,IF(G4360&gt;0,(VLOOKUP(A4360,'Discount Lookup'!J:K,2)*G4360),0))))</f>
        <v>0</v>
      </c>
      <c r="AJ4360" s="107" t="str">
        <f t="shared" ca="1" si="3238"/>
        <v/>
      </c>
      <c r="AK4360" s="714" t="str">
        <f t="shared" si="3239"/>
        <v/>
      </c>
      <c r="AL4360" s="714"/>
      <c r="AM4360" s="114" t="str">
        <f t="shared" si="3240"/>
        <v/>
      </c>
      <c r="AN4360" s="115"/>
      <c r="AO4360" s="116"/>
      <c r="AP4360" s="116"/>
      <c r="AQ4360" s="116"/>
      <c r="AR4360" s="116"/>
      <c r="AS4360" s="116"/>
      <c r="AT4360" s="116"/>
      <c r="AU4360" s="116"/>
      <c r="AV4360" s="78"/>
      <c r="AW4360" s="102"/>
      <c r="AX4360" s="78"/>
      <c r="AY4360" s="78"/>
      <c r="AZ4360" s="78"/>
      <c r="BA4360" s="78"/>
      <c r="BB4360" s="78"/>
      <c r="BC4360" s="78"/>
      <c r="BD4360" s="78"/>
      <c r="BE4360" s="465"/>
      <c r="BF4360" s="165" t="str">
        <f t="shared" si="3241"/>
        <v>https://www.google.com/search?tbm=isch&amp;q=15%20G4</v>
      </c>
      <c r="BG4360" s="165" t="str">
        <f t="shared" si="3242"/>
        <v>V</v>
      </c>
      <c r="BH4360" s="65"/>
      <c r="BI4360" s="65"/>
      <c r="BJ4360" s="65"/>
      <c r="BK4360" s="65"/>
      <c r="BL4360" s="99"/>
      <c r="BM4360" s="99"/>
      <c r="BN4360" s="99"/>
    </row>
    <row r="4361" spans="1:66" s="51" customFormat="1" ht="17.25" thickBot="1" x14ac:dyDescent="0.3">
      <c r="A4361" s="508" t="s">
        <v>4834</v>
      </c>
      <c r="B4361" s="487"/>
      <c r="C4361" s="707"/>
      <c r="D4361" s="487"/>
      <c r="E4361" s="487"/>
      <c r="F4361" s="488"/>
      <c r="G4361" s="489"/>
      <c r="H4361" s="487"/>
      <c r="I4361" s="490"/>
      <c r="J4361" s="490"/>
      <c r="K4361" s="491"/>
      <c r="L4361" s="547"/>
      <c r="M4361" s="528"/>
      <c r="N4361" s="492"/>
      <c r="O4361" s="493"/>
      <c r="P4361" s="494"/>
      <c r="Q4361" s="492"/>
      <c r="R4361" s="492"/>
      <c r="S4361" s="699" t="s">
        <v>5268</v>
      </c>
      <c r="T4361" s="102">
        <f t="shared" si="3230"/>
        <v>0</v>
      </c>
      <c r="U4361" s="78" t="str">
        <f>IF(NOT(ISNUMBER(G4361)), "", VLOOKUP(A4361,'Discount Lookup'!D:E,2,FALSE)*G4361)</f>
        <v/>
      </c>
      <c r="V4361" s="78" t="str">
        <f>IF(NOT(ISNUMBER(G4361)), "", VLOOKUP(A4361,'Discount Lookup'!G:H,2,FALSE)*G4361)</f>
        <v/>
      </c>
      <c r="W4361" s="102">
        <f t="shared" si="3231"/>
        <v>0</v>
      </c>
      <c r="X4361" s="102">
        <f t="shared" si="3232"/>
        <v>0</v>
      </c>
      <c r="Y4361" s="120" t="b">
        <f t="shared" si="3233"/>
        <v>0</v>
      </c>
      <c r="Z4361" s="117">
        <f t="shared" si="3234"/>
        <v>0</v>
      </c>
      <c r="AA4361" s="118"/>
      <c r="AB4361" s="118" t="str">
        <f t="shared" si="3235"/>
        <v/>
      </c>
      <c r="AC4361" s="712" t="str">
        <f>IF(AE4361="T2G","no charge",IF(AND(OR(PlanterYesMe="No",PlanterYesMe="N",PlanterYesMe="me"),H4361=""),"",IF(H4361="credit","NO install",IF(AND(K4361="",AE4361="me"),"EACH row",IF(AND(K4361="images",AE4361="me"),"EACH row",IF(D4361="","",IF(H4361="credit","",IF(AE4361="free","re-planting",IF(AE4361="me","   not ELP, by",IF(AND(OR(PlanterYesMe="Yes",PlanterYesMe="Y"),G4361&gt;0),(VLOOKUP(A4361,'Discount Lookup'!J:K,2)*G4361*(1-PlanterDiscount)*(1+PlanterDifficultyPercentage)),IF(AE4361="ELP",(VLOOKUP(A4361,'Discount Lookup'!J:K,2)*G4361*(1-PlanterDiscount)*(1+PlanterDifficultyPercentage)),IF(AE4361="free","re-planting",IF(G4361=0,"",IF(PlanterYesMe="",IF(AE4361="me","   not ELP, by",IF(AE4361="",IF(G4361&gt;0,(VLOOKUP(A4361,'Discount Lookup'!J:K,2)*G4361*(1-PlanterDiscount)*(1+PlanterDifficultyPercentage)),""),"")),"   not ELP, by"))))))))))))))</f>
        <v/>
      </c>
      <c r="AD4361" s="712"/>
      <c r="AE4361" s="513" t="str">
        <f t="shared" si="3236"/>
        <v/>
      </c>
      <c r="AF4361" s="713" t="str">
        <f t="shared" si="3237"/>
        <v/>
      </c>
      <c r="AG4361" s="713"/>
      <c r="AH4361" s="713"/>
      <c r="AI4361" s="112">
        <f>IF(H4361="credit",0,IF(AE4361="free",0,IF(AE4361="me",0,IF(G4361&gt;0,(VLOOKUP(A4361,'Discount Lookup'!J:K,2)*G4361),0))))</f>
        <v>0</v>
      </c>
      <c r="AJ4361" s="107" t="str">
        <f t="shared" ca="1" si="3238"/>
        <v/>
      </c>
      <c r="AK4361" s="714" t="str">
        <f t="shared" si="3239"/>
        <v/>
      </c>
      <c r="AL4361" s="714"/>
      <c r="AM4361" s="114" t="str">
        <f t="shared" si="3240"/>
        <v/>
      </c>
      <c r="AN4361" s="115"/>
      <c r="AO4361" s="116"/>
      <c r="AP4361" s="116"/>
      <c r="AQ4361" s="116"/>
      <c r="AR4361" s="116"/>
      <c r="AS4361" s="116"/>
      <c r="AT4361" s="116"/>
      <c r="AU4361" s="116"/>
      <c r="AV4361" s="78"/>
      <c r="AW4361" s="102"/>
      <c r="AX4361" s="78"/>
      <c r="AY4361" s="78"/>
      <c r="AZ4361" s="78"/>
      <c r="BA4361" s="78"/>
      <c r="BB4361" s="78"/>
      <c r="BC4361" s="78"/>
      <c r="BD4361" s="78"/>
      <c r="BE4361" s="465"/>
      <c r="BF4361" s="165" t="str">
        <f t="shared" si="3241"/>
        <v>https://www.google.com/search?tbm=isch&amp;q=Shades%20of%20Pink%20has%20dark%20glossy%20Green%20foliage%2C%20Blush-Pink%20spring%20blooms%2C%20Red%20stems%2C%20and%20subtle%20Burgundy%20fall%20tones%20</v>
      </c>
      <c r="BG4361" s="165" t="str">
        <f t="shared" si="3242"/>
        <v>S</v>
      </c>
      <c r="BH4361" s="65"/>
      <c r="BI4361" s="65"/>
      <c r="BJ4361" s="65"/>
      <c r="BK4361" s="65"/>
      <c r="BL4361" s="99"/>
      <c r="BM4361" s="99"/>
      <c r="BN4361" s="99"/>
    </row>
    <row r="4362" spans="1:66" s="51" customFormat="1" ht="18" x14ac:dyDescent="0.25">
      <c r="A4362" s="507" t="s">
        <v>4508</v>
      </c>
      <c r="B4362" s="470"/>
      <c r="C4362" s="706"/>
      <c r="D4362" s="471" t="s">
        <v>4509</v>
      </c>
      <c r="E4362" s="472"/>
      <c r="F4362" s="472"/>
      <c r="G4362" s="472"/>
      <c r="H4362" s="622" t="s">
        <v>1880</v>
      </c>
      <c r="I4362" s="473" t="s">
        <v>4453</v>
      </c>
      <c r="J4362" s="472"/>
      <c r="K4362" s="472"/>
      <c r="L4362" s="561"/>
      <c r="M4362" s="698" t="s">
        <v>5246</v>
      </c>
      <c r="N4362" s="692" t="str">
        <f>IF(AND(ISTEXT($A4362), ISERROR($A4362+0)), HYPERLINK($BF4362, "Images"), "")</f>
        <v>Images</v>
      </c>
      <c r="O4362" s="694" t="s">
        <v>5247</v>
      </c>
      <c r="P4362" s="475"/>
      <c r="Q4362" s="476"/>
      <c r="R4362" s="476"/>
      <c r="S4362" s="477"/>
      <c r="T4362" s="102">
        <f t="shared" si="3230"/>
        <v>0</v>
      </c>
      <c r="U4362" s="78" t="str">
        <f>IF(NOT(ISNUMBER(G4362)), "", VLOOKUP(A4362,'Discount Lookup'!D:E,2,FALSE)*G4362)</f>
        <v/>
      </c>
      <c r="V4362" s="78" t="str">
        <f>IF(NOT(ISNUMBER(G4362)), "", VLOOKUP(A4362,'Discount Lookup'!G:H,2,FALSE)*G4362)</f>
        <v/>
      </c>
      <c r="W4362" s="102">
        <f t="shared" si="3231"/>
        <v>0</v>
      </c>
      <c r="X4362" s="102" t="str">
        <f t="shared" si="3232"/>
        <v>Pink buds open White</v>
      </c>
      <c r="Y4362" s="120" t="b">
        <f t="shared" si="3233"/>
        <v>0</v>
      </c>
      <c r="Z4362" s="117">
        <f t="shared" si="3234"/>
        <v>0</v>
      </c>
      <c r="AA4362" s="118"/>
      <c r="AB4362" s="118" t="str">
        <f t="shared" si="3235"/>
        <v/>
      </c>
      <c r="AC4362" s="712" t="str">
        <f>IF(AE4362="T2G","no charge",IF(AND(OR(PlanterYesMe="No",PlanterYesMe="N",PlanterYesMe="me"),H4362=""),"",IF(H4362="credit","NO install",IF(AND(K4362="",AE4362="me"),"EACH row",IF(AND(K4362="images",AE4362="me"),"EACH row",IF(D4362="","",IF(H4362="credit","",IF(AE4362="free","re-planting",IF(AE4362="me","   not ELP, by",IF(AND(OR(PlanterYesMe="Yes",PlanterYesMe="Y"),G4362&gt;0),(VLOOKUP(A4362,'Discount Lookup'!J:K,2)*G4362*(1-PlanterDiscount)*(1+PlanterDifficultyPercentage)),IF(AE4362="ELP",(VLOOKUP(A4362,'Discount Lookup'!J:K,2)*G4362*(1-PlanterDiscount)*(1+PlanterDifficultyPercentage)),IF(AE4362="free","re-planting",IF(G4362=0,"",IF(PlanterYesMe="",IF(AE4362="me","   not ELP, by",IF(AE4362="",IF(G4362&gt;0,(VLOOKUP(A4362,'Discount Lookup'!J:K,2)*G4362*(1-PlanterDiscount)*(1+PlanterDifficultyPercentage)),""),"")),"   not ELP, by"))))))))))))))</f>
        <v/>
      </c>
      <c r="AD4362" s="712"/>
      <c r="AE4362" s="513" t="str">
        <f t="shared" si="3236"/>
        <v/>
      </c>
      <c r="AF4362" s="713" t="str">
        <f t="shared" si="3237"/>
        <v/>
      </c>
      <c r="AG4362" s="713"/>
      <c r="AH4362" s="713"/>
      <c r="AI4362" s="112">
        <f>IF(H4362="credit",0,IF(AE4362="free",0,IF(AE4362="me",0,IF(G4362&gt;0,(VLOOKUP(A4362,'Discount Lookup'!J:K,2)*G4362),0))))</f>
        <v>0</v>
      </c>
      <c r="AJ4362" s="107" t="str">
        <f t="shared" ca="1" si="3238"/>
        <v/>
      </c>
      <c r="AK4362" s="714" t="str">
        <f t="shared" si="3239"/>
        <v/>
      </c>
      <c r="AL4362" s="714"/>
      <c r="AM4362" s="114" t="str">
        <f t="shared" si="3240"/>
        <v/>
      </c>
      <c r="AN4362" s="115"/>
      <c r="AO4362" s="116"/>
      <c r="AP4362" s="116"/>
      <c r="AQ4362" s="116"/>
      <c r="AR4362" s="116"/>
      <c r="AS4362" s="116"/>
      <c r="AT4362" s="116"/>
      <c r="AU4362" s="116"/>
      <c r="AV4362" s="78"/>
      <c r="AW4362" s="102"/>
      <c r="AX4362" s="78"/>
      <c r="AY4362" s="78"/>
      <c r="AZ4362" s="78"/>
      <c r="BA4362" s="78"/>
      <c r="BB4362" s="78"/>
      <c r="BC4362" s="78"/>
      <c r="BD4362" s="78"/>
      <c r="BE4362" s="465"/>
      <c r="BF4362" s="165" t="str">
        <f t="shared" si="3241"/>
        <v>https://www.google.com/search?tbm=isch&amp;q=Viburnum%20x%20burkwoodii%20Burkwood%20Viburnum</v>
      </c>
      <c r="BG4362" s="165" t="str">
        <f t="shared" si="3242"/>
        <v>V</v>
      </c>
      <c r="BH4362" s="65"/>
      <c r="BI4362" s="65"/>
      <c r="BJ4362" s="65"/>
      <c r="BK4362" s="65"/>
      <c r="BL4362" s="99"/>
      <c r="BM4362" s="99"/>
      <c r="BN4362" s="99"/>
    </row>
    <row r="4363" spans="1:66" s="51" customFormat="1" ht="15.75" x14ac:dyDescent="0.25">
      <c r="A4363" s="478">
        <v>3</v>
      </c>
      <c r="B4363" s="479" t="s">
        <v>291</v>
      </c>
      <c r="C4363" s="480" t="s">
        <v>4510</v>
      </c>
      <c r="D4363" s="481" t="s">
        <v>309</v>
      </c>
      <c r="E4363" s="482">
        <v>35.950000000000003</v>
      </c>
      <c r="F4363" s="483" t="s">
        <v>292</v>
      </c>
      <c r="G4363" s="484">
        <v>0</v>
      </c>
      <c r="H4363" s="688" t="str">
        <f>IF(G4363=0,"",IF(F4363="Buy",IF(G4363=1,"plant","plants"),IF(F4363&gt;0.01,"warranty","Error")))</f>
        <v/>
      </c>
      <c r="I4363" s="485">
        <f>IF(H4363="free",0,IF(H4363="credit",((E4363*(F4363))*G4363*-1),IF(F4363="Buy",(E4363*G4363),((E4363*(1-F4363))*G4363))))</f>
        <v>0</v>
      </c>
      <c r="J4363" s="485">
        <f>IF(H4363="warranty",0,(I4363*(_xlfn.SINGLE(SalesTaxPercentage))))</f>
        <v>0</v>
      </c>
      <c r="K4363" s="715">
        <f t="shared" ref="K4363" si="3273">I4363+J4363</f>
        <v>0</v>
      </c>
      <c r="L4363" s="715"/>
      <c r="M4363" s="689" t="str">
        <f ca="1">IF(AND(G4363&gt;0,E4363=0),"WARNING - no PRICE inserted",IF(H4363="free","FREE ~ no charge this plant",IF(H4363="credit",CONCATENATE("-$",ROUND(K4363*(1-_xlfn.SINGLE(T2GDiscount))*-1,2)," CREDIT after discount"),IF(_xlfn.SINGLE(T2GDiscount)=0,"",IF(G4363=0,"",IF(F4363="Buy",CONCATENATE("$",ROUND(K4363*(1-_xlfn.SINGLE(T2GDiscount)),2)," with ",(_xlfn.SINGLE(T2GDiscount)*100),"% discount"),CONCATENATE("$",ROUND(K4363*(1-_xlfn.SINGLE(T2GDiscount)),2)," with ",((_xlfn.SINGLE(T2GDiscount)*100+F4363*100)-(_xlfn.SINGLE(T2GDiscount)*100*F4363)),IF(F4363&gt;0,"% discounts",IF(_xlfn.SINGLE(NoWarrantyDiscount)&gt;0,"% discounts","% discount")))))))))</f>
        <v/>
      </c>
      <c r="N4363" s="690"/>
      <c r="O4363" s="486"/>
      <c r="P4363" s="486"/>
      <c r="Q4363" s="486"/>
      <c r="R4363" s="486"/>
      <c r="S4363" s="486"/>
      <c r="T4363" s="102">
        <f t="shared" si="3230"/>
        <v>0</v>
      </c>
      <c r="U4363" s="78">
        <f>IF(NOT(ISNUMBER(G4363)), "", VLOOKUP(A4363,'Discount Lookup'!D:E,2,FALSE)*G4363)</f>
        <v>0</v>
      </c>
      <c r="V4363" s="78">
        <f>IF(NOT(ISNUMBER(G4363)), "", VLOOKUP(A4363,'Discount Lookup'!G:H,2,FALSE)*G4363)</f>
        <v>0</v>
      </c>
      <c r="W4363" s="102">
        <f t="shared" si="3231"/>
        <v>0</v>
      </c>
      <c r="X4363" s="102">
        <f t="shared" si="3232"/>
        <v>0</v>
      </c>
      <c r="Y4363" s="120" t="b">
        <f t="shared" si="3233"/>
        <v>0</v>
      </c>
      <c r="Z4363" s="117">
        <f t="shared" si="3234"/>
        <v>0</v>
      </c>
      <c r="AA4363" s="118"/>
      <c r="AB4363" s="118" t="str">
        <f t="shared" si="3235"/>
        <v/>
      </c>
      <c r="AC4363" s="712" t="str">
        <f>IF(AE4363="T2G","no charge",IF(AND(OR(PlanterYesMe="No",PlanterYesMe="N",PlanterYesMe="me"),H4363=""),"",IF(H4363="credit","NO install",IF(AND(K4363="",AE4363="me"),"EACH row",IF(AND(K4363="images",AE4363="me"),"EACH row",IF(D4363="","",IF(H4363="credit","",IF(AE4363="free","re-planting",IF(AE4363="me","   not ELP, by",IF(AND(OR(PlanterYesMe="Yes",PlanterYesMe="Y"),G4363&gt;0),(VLOOKUP(A4363,'Discount Lookup'!J:K,2)*G4363*(1-PlanterDiscount)*(1+PlanterDifficultyPercentage)),IF(AE4363="ELP",(VLOOKUP(A4363,'Discount Lookup'!J:K,2)*G4363*(1-PlanterDiscount)*(1+PlanterDifficultyPercentage)),IF(AE4363="free","re-planting",IF(G4363=0,"",IF(PlanterYesMe="",IF(AE4363="me","   not ELP, by",IF(AE4363="",IF(G4363&gt;0,(VLOOKUP(A4363,'Discount Lookup'!J:K,2)*G4363*(1-PlanterDiscount)*(1+PlanterDifficultyPercentage)),""),"")),"   not ELP, by"))))))))))))))</f>
        <v/>
      </c>
      <c r="AD4363" s="712"/>
      <c r="AE4363" s="513" t="str">
        <f t="shared" si="3236"/>
        <v/>
      </c>
      <c r="AF4363" s="713" t="str">
        <f t="shared" si="3237"/>
        <v/>
      </c>
      <c r="AG4363" s="713"/>
      <c r="AH4363" s="713"/>
      <c r="AI4363" s="112">
        <f>IF(H4363="credit",0,IF(AE4363="free",0,IF(AE4363="me",0,IF(G4363&gt;0,(VLOOKUP(A4363,'Discount Lookup'!J:K,2)*G4363),0))))</f>
        <v>0</v>
      </c>
      <c r="AJ4363" s="107" t="str">
        <f t="shared" ca="1" si="3238"/>
        <v/>
      </c>
      <c r="AK4363" s="714" t="str">
        <f t="shared" si="3239"/>
        <v/>
      </c>
      <c r="AL4363" s="714"/>
      <c r="AM4363" s="114" t="str">
        <f t="shared" si="3240"/>
        <v/>
      </c>
      <c r="AN4363" s="115"/>
      <c r="AO4363" s="116"/>
      <c r="AP4363" s="116"/>
      <c r="AQ4363" s="116"/>
      <c r="AR4363" s="116"/>
      <c r="AS4363" s="116"/>
      <c r="AT4363" s="116"/>
      <c r="AU4363" s="116"/>
      <c r="AV4363" s="78"/>
      <c r="AW4363" s="102"/>
      <c r="AX4363" s="78"/>
      <c r="AY4363" s="78"/>
      <c r="AZ4363" s="78"/>
      <c r="BA4363" s="78"/>
      <c r="BB4363" s="78"/>
      <c r="BC4363" s="78"/>
      <c r="BD4363" s="78"/>
      <c r="BE4363" s="465"/>
      <c r="BF4363" s="165" t="str">
        <f t="shared" si="3241"/>
        <v>https://www.google.com/search?tbm=isch&amp;q=3%20G3</v>
      </c>
      <c r="BG4363" s="165" t="str">
        <f t="shared" si="3242"/>
        <v>V</v>
      </c>
      <c r="BH4363" s="65"/>
      <c r="BI4363" s="65"/>
      <c r="BJ4363" s="65"/>
      <c r="BK4363" s="65"/>
      <c r="BL4363" s="99"/>
      <c r="BM4363" s="99"/>
      <c r="BN4363" s="99"/>
    </row>
    <row r="4364" spans="1:66" s="51" customFormat="1" ht="16.5" x14ac:dyDescent="0.25">
      <c r="A4364" s="508" t="s">
        <v>4511</v>
      </c>
      <c r="B4364" s="487"/>
      <c r="C4364" s="707"/>
      <c r="D4364" s="487"/>
      <c r="E4364" s="487"/>
      <c r="F4364" s="488"/>
      <c r="G4364" s="489"/>
      <c r="H4364" s="487"/>
      <c r="I4364" s="490"/>
      <c r="J4364" s="490"/>
      <c r="K4364" s="491"/>
      <c r="L4364" s="547"/>
      <c r="M4364" s="528"/>
      <c r="N4364" s="492"/>
      <c r="O4364" s="493"/>
      <c r="P4364" s="494"/>
      <c r="Q4364" s="492"/>
      <c r="R4364" s="492"/>
      <c r="S4364" s="699" t="s">
        <v>5275</v>
      </c>
      <c r="T4364" s="102">
        <f t="shared" si="3230"/>
        <v>0</v>
      </c>
      <c r="U4364" s="78" t="str">
        <f>IF(NOT(ISNUMBER(G4364)), "", VLOOKUP(A4364,'Discount Lookup'!D:E,2,FALSE)*G4364)</f>
        <v/>
      </c>
      <c r="V4364" s="78" t="str">
        <f>IF(NOT(ISNUMBER(G4364)), "", VLOOKUP(A4364,'Discount Lookup'!G:H,2,FALSE)*G4364)</f>
        <v/>
      </c>
      <c r="W4364" s="102">
        <f t="shared" si="3231"/>
        <v>0</v>
      </c>
      <c r="X4364" s="102">
        <f t="shared" si="3232"/>
        <v>0</v>
      </c>
      <c r="Y4364" s="120" t="b">
        <f t="shared" si="3233"/>
        <v>0</v>
      </c>
      <c r="Z4364" s="117">
        <f t="shared" si="3234"/>
        <v>0</v>
      </c>
      <c r="AA4364" s="118"/>
      <c r="AB4364" s="118" t="str">
        <f t="shared" si="3235"/>
        <v/>
      </c>
      <c r="AC4364" s="712" t="str">
        <f>IF(AE4364="T2G","no charge",IF(AND(OR(PlanterYesMe="No",PlanterYesMe="N",PlanterYesMe="me"),H4364=""),"",IF(H4364="credit","NO install",IF(AND(K4364="",AE4364="me"),"EACH row",IF(AND(K4364="images",AE4364="me"),"EACH row",IF(D4364="","",IF(H4364="credit","",IF(AE4364="free","re-planting",IF(AE4364="me","   not ELP, by",IF(AND(OR(PlanterYesMe="Yes",PlanterYesMe="Y"),G4364&gt;0),(VLOOKUP(A4364,'Discount Lookup'!J:K,2)*G4364*(1-PlanterDiscount)*(1+PlanterDifficultyPercentage)),IF(AE4364="ELP",(VLOOKUP(A4364,'Discount Lookup'!J:K,2)*G4364*(1-PlanterDiscount)*(1+PlanterDifficultyPercentage)),IF(AE4364="free","re-planting",IF(G4364=0,"",IF(PlanterYesMe="",IF(AE4364="me","   not ELP, by",IF(AE4364="",IF(G4364&gt;0,(VLOOKUP(A4364,'Discount Lookup'!J:K,2)*G4364*(1-PlanterDiscount)*(1+PlanterDifficultyPercentage)),""),"")),"   not ELP, by"))))))))))))))</f>
        <v/>
      </c>
      <c r="AD4364" s="712"/>
      <c r="AE4364" s="513" t="str">
        <f t="shared" si="3236"/>
        <v/>
      </c>
      <c r="AF4364" s="713" t="str">
        <f t="shared" si="3237"/>
        <v/>
      </c>
      <c r="AG4364" s="713"/>
      <c r="AH4364" s="713"/>
      <c r="AI4364" s="112">
        <f>IF(H4364="credit",0,IF(AE4364="free",0,IF(AE4364="me",0,IF(G4364&gt;0,(VLOOKUP(A4364,'Discount Lookup'!J:K,2)*G4364),0))))</f>
        <v>0</v>
      </c>
      <c r="AJ4364" s="107" t="str">
        <f t="shared" ca="1" si="3238"/>
        <v/>
      </c>
      <c r="AK4364" s="714" t="str">
        <f t="shared" si="3239"/>
        <v/>
      </c>
      <c r="AL4364" s="714"/>
      <c r="AM4364" s="114" t="str">
        <f t="shared" si="3240"/>
        <v/>
      </c>
      <c r="AN4364" s="115"/>
      <c r="AO4364" s="116"/>
      <c r="AP4364" s="116"/>
      <c r="AQ4364" s="116"/>
      <c r="AR4364" s="116"/>
      <c r="AS4364" s="116"/>
      <c r="AT4364" s="116"/>
      <c r="AU4364" s="116"/>
      <c r="AV4364" s="78"/>
      <c r="AW4364" s="102"/>
      <c r="AX4364" s="78"/>
      <c r="AY4364" s="78"/>
      <c r="AZ4364" s="78"/>
      <c r="BA4364" s="78"/>
      <c r="BB4364" s="78"/>
      <c r="BC4364" s="78"/>
      <c r="BD4364" s="78"/>
      <c r="BE4364" s="465"/>
      <c r="BF4364" s="165" t="str">
        <f t="shared" si="3241"/>
        <v>https://www.google.com/search?tbm=isch&amp;q=Burkwood%20known%20for%20its%20intensely%20fragrant%20spring%20blooms%2C%20handsome%20dark%20foliage%2C%20and%20reliable%20berry%20display%20</v>
      </c>
      <c r="BG4364" s="165" t="str">
        <f t="shared" si="3242"/>
        <v>B</v>
      </c>
      <c r="BH4364" s="65"/>
      <c r="BI4364" s="65"/>
      <c r="BJ4364" s="65"/>
      <c r="BK4364" s="65"/>
      <c r="BL4364" s="99"/>
      <c r="BM4364" s="99"/>
      <c r="BN4364" s="99"/>
    </row>
    <row r="4365" spans="1:66" s="51" customFormat="1" ht="55.5" x14ac:dyDescent="0.25">
      <c r="A4365" s="520" t="s">
        <v>820</v>
      </c>
      <c r="B4365" s="501"/>
      <c r="C4365" s="502"/>
      <c r="D4365" s="502"/>
      <c r="E4365" s="502"/>
      <c r="F4365" s="502"/>
      <c r="G4365" s="502"/>
      <c r="H4365" s="502"/>
      <c r="I4365" s="502"/>
      <c r="J4365" s="502"/>
      <c r="K4365" s="509" t="s">
        <v>871</v>
      </c>
      <c r="L4365" s="503"/>
      <c r="M4365" s="563"/>
      <c r="N4365" s="504"/>
      <c r="O4365" s="504"/>
      <c r="P4365" s="504"/>
      <c r="Q4365" s="504"/>
      <c r="R4365" s="504"/>
      <c r="S4365" s="511" t="s">
        <v>1546</v>
      </c>
      <c r="T4365" s="102">
        <f t="shared" si="3230"/>
        <v>0</v>
      </c>
      <c r="U4365" s="78" t="str">
        <f>IF(NOT(ISNUMBER(G4365)), "", VLOOKUP(A4365,'Discount Lookup'!D:E,2,FALSE)*G4365)</f>
        <v/>
      </c>
      <c r="V4365" s="78" t="str">
        <f>IF(NOT(ISNUMBER(G4365)), "", VLOOKUP(A4365,'Discount Lookup'!G:H,2,FALSE)*G4365)</f>
        <v/>
      </c>
      <c r="W4365" s="102">
        <f t="shared" si="3231"/>
        <v>0</v>
      </c>
      <c r="X4365" s="102">
        <f t="shared" si="3232"/>
        <v>0</v>
      </c>
      <c r="Y4365" s="120" t="b">
        <f t="shared" si="3233"/>
        <v>0</v>
      </c>
      <c r="Z4365" s="117">
        <f t="shared" si="3234"/>
        <v>0</v>
      </c>
      <c r="AA4365" s="118"/>
      <c r="AB4365" s="118" t="str">
        <f t="shared" si="3235"/>
        <v/>
      </c>
      <c r="AC4365" s="712" t="str">
        <f>IF(AE4365="T2G","no charge",IF(AND(OR(PlanterYesMe="No",PlanterYesMe="N",PlanterYesMe="me"),H4365=""),"",IF(H4365="credit","NO install",IF(AND(K4365="",AE4365="me"),"EACH row",IF(AND(K4365="images",AE4365="me"),"EACH row",IF(D4365="","",IF(H4365="credit","",IF(AE4365="free","re-planting",IF(AE4365="me","   not ELP, by",IF(AND(OR(PlanterYesMe="Yes",PlanterYesMe="Y"),G4365&gt;0),(VLOOKUP(A4365,'Discount Lookup'!J:K,2)*G4365*(1-PlanterDiscount)*(1+PlanterDifficultyPercentage)),IF(AE4365="ELP",(VLOOKUP(A4365,'Discount Lookup'!J:K,2)*G4365*(1-PlanterDiscount)*(1+PlanterDifficultyPercentage)),IF(AE4365="free","re-planting",IF(G4365=0,"",IF(PlanterYesMe="",IF(AE4365="me","   not ELP, by",IF(AE4365="",IF(G4365&gt;0,(VLOOKUP(A4365,'Discount Lookup'!J:K,2)*G4365*(1-PlanterDiscount)*(1+PlanterDifficultyPercentage)),""),"")),"   not ELP, by"))))))))))))))</f>
        <v/>
      </c>
      <c r="AD4365" s="712"/>
      <c r="AE4365" s="513" t="str">
        <f t="shared" si="3236"/>
        <v/>
      </c>
      <c r="AF4365" s="713" t="str">
        <f t="shared" si="3237"/>
        <v/>
      </c>
      <c r="AG4365" s="713"/>
      <c r="AH4365" s="713"/>
      <c r="AI4365" s="112">
        <f>IF(H4365="credit",0,IF(AE4365="free",0,IF(AE4365="me",0,IF(G4365&gt;0,(VLOOKUP(A4365,'Discount Lookup'!J:K,2)*G4365),0))))</f>
        <v>0</v>
      </c>
      <c r="AJ4365" s="107" t="str">
        <f t="shared" ca="1" si="3238"/>
        <v/>
      </c>
      <c r="AK4365" s="714" t="str">
        <f t="shared" si="3239"/>
        <v/>
      </c>
      <c r="AL4365" s="714"/>
      <c r="AM4365" s="114" t="str">
        <f t="shared" si="3240"/>
        <v/>
      </c>
      <c r="AN4365" s="115"/>
      <c r="AO4365" s="116"/>
      <c r="AP4365" s="116"/>
      <c r="AQ4365" s="116"/>
      <c r="AR4365" s="116"/>
      <c r="AS4365" s="116"/>
      <c r="AT4365" s="116"/>
      <c r="AU4365" s="116"/>
      <c r="AV4365" s="78"/>
      <c r="AW4365" s="102"/>
      <c r="AX4365" s="78"/>
      <c r="AY4365" s="78"/>
      <c r="AZ4365" s="78"/>
      <c r="BA4365" s="78"/>
      <c r="BB4365" s="78"/>
      <c r="BC4365" s="78"/>
      <c r="BD4365" s="78"/>
      <c r="BE4365" s="465"/>
      <c r="BF4365" s="165" t="str">
        <f t="shared" si="3241"/>
        <v>https://www.google.com/search?tbm=isch&amp;q=W%20</v>
      </c>
      <c r="BG4365" s="165" t="str">
        <f t="shared" si="3242"/>
        <v>W</v>
      </c>
      <c r="BH4365" s="65"/>
      <c r="BI4365" s="65"/>
      <c r="BJ4365" s="65"/>
      <c r="BK4365" s="65"/>
      <c r="BL4365" s="99"/>
      <c r="BM4365" s="99"/>
      <c r="BN4365" s="99"/>
    </row>
    <row r="4366" spans="1:66" s="51" customFormat="1" ht="19.5" thickBot="1" x14ac:dyDescent="0.3">
      <c r="A4366" s="686" t="s">
        <v>821</v>
      </c>
      <c r="B4366" s="73"/>
      <c r="C4366" s="708"/>
      <c r="D4366" s="73"/>
      <c r="E4366" s="73"/>
      <c r="F4366" s="496"/>
      <c r="G4366" s="73"/>
      <c r="H4366" s="73"/>
      <c r="I4366" s="73"/>
      <c r="J4366" s="497" t="s">
        <v>357</v>
      </c>
      <c r="K4366" s="498"/>
      <c r="L4366" s="562"/>
      <c r="M4366" s="73"/>
      <c r="N4366"/>
      <c r="O4366"/>
      <c r="P4366"/>
      <c r="Q4366"/>
      <c r="R4366"/>
      <c r="S4366"/>
      <c r="T4366" s="102">
        <f t="shared" si="3230"/>
        <v>0</v>
      </c>
      <c r="U4366" s="78" t="str">
        <f>IF(NOT(ISNUMBER(G4366)), "", VLOOKUP(A4366,'Discount Lookup'!D:E,2,FALSE)*G4366)</f>
        <v/>
      </c>
      <c r="V4366" s="78" t="str">
        <f>IF(NOT(ISNUMBER(G4366)), "", VLOOKUP(A4366,'Discount Lookup'!G:H,2,FALSE)*G4366)</f>
        <v/>
      </c>
      <c r="W4366" s="102">
        <f t="shared" si="3231"/>
        <v>0</v>
      </c>
      <c r="X4366" s="102">
        <f t="shared" si="3232"/>
        <v>0</v>
      </c>
      <c r="Y4366" s="120" t="b">
        <f t="shared" si="3233"/>
        <v>0</v>
      </c>
      <c r="Z4366" s="117">
        <f t="shared" si="3234"/>
        <v>0</v>
      </c>
      <c r="AA4366" s="118"/>
      <c r="AB4366" s="118" t="str">
        <f t="shared" si="3235"/>
        <v/>
      </c>
      <c r="AC4366" s="712" t="str">
        <f>IF(AE4366="T2G","no charge",IF(AND(OR(PlanterYesMe="No",PlanterYesMe="N",PlanterYesMe="me"),H4366=""),"",IF(H4366="credit","NO install",IF(AND(K4366="",AE4366="me"),"EACH row",IF(AND(K4366="images",AE4366="me"),"EACH row",IF(D4366="","",IF(H4366="credit","",IF(AE4366="free","re-planting",IF(AE4366="me","   not ELP, by",IF(AND(OR(PlanterYesMe="Yes",PlanterYesMe="Y"),G4366&gt;0),(VLOOKUP(A4366,'Discount Lookup'!J:K,2)*G4366*(1-PlanterDiscount)*(1+PlanterDifficultyPercentage)),IF(AE4366="ELP",(VLOOKUP(A4366,'Discount Lookup'!J:K,2)*G4366*(1-PlanterDiscount)*(1+PlanterDifficultyPercentage)),IF(AE4366="free","re-planting",IF(G4366=0,"",IF(PlanterYesMe="",IF(AE4366="me","   not ELP, by",IF(AE4366="",IF(G4366&gt;0,(VLOOKUP(A4366,'Discount Lookup'!J:K,2)*G4366*(1-PlanterDiscount)*(1+PlanterDifficultyPercentage)),""),"")),"   not ELP, by"))))))))))))))</f>
        <v/>
      </c>
      <c r="AD4366" s="712"/>
      <c r="AE4366" s="513" t="str">
        <f t="shared" si="3236"/>
        <v/>
      </c>
      <c r="AF4366" s="713" t="str">
        <f t="shared" si="3237"/>
        <v/>
      </c>
      <c r="AG4366" s="713"/>
      <c r="AH4366" s="713"/>
      <c r="AI4366" s="112">
        <f>IF(H4366="credit",0,IF(AE4366="free",0,IF(AE4366="me",0,IF(G4366&gt;0,(VLOOKUP(A4366,'Discount Lookup'!J:K,2)*G4366),0))))</f>
        <v>0</v>
      </c>
      <c r="AJ4366" s="107" t="str">
        <f t="shared" ca="1" si="3238"/>
        <v/>
      </c>
      <c r="AK4366" s="714" t="str">
        <f t="shared" si="3239"/>
        <v/>
      </c>
      <c r="AL4366" s="714"/>
      <c r="AM4366" s="114" t="str">
        <f t="shared" si="3240"/>
        <v/>
      </c>
      <c r="AN4366" s="115"/>
      <c r="AO4366" s="116"/>
      <c r="AP4366" s="116"/>
      <c r="AQ4366" s="116"/>
      <c r="AR4366" s="116"/>
      <c r="AS4366" s="116"/>
      <c r="AT4366" s="116"/>
      <c r="AU4366" s="116"/>
      <c r="AV4366" s="78"/>
      <c r="AW4366" s="102"/>
      <c r="AX4366" s="78"/>
      <c r="AY4366" s="78"/>
      <c r="AZ4366" s="78"/>
      <c r="BA4366" s="78"/>
      <c r="BB4366" s="78"/>
      <c r="BC4366" s="78"/>
      <c r="BD4366" s="78"/>
      <c r="BE4366" s="465"/>
      <c r="BF4366" s="165" t="str">
        <f t="shared" si="3241"/>
        <v>https://www.google.com/search?tbm=isch&amp;q=Weigela%20%3D%20Weigela%20</v>
      </c>
      <c r="BG4366" s="165" t="str">
        <f t="shared" si="3242"/>
        <v>W</v>
      </c>
      <c r="BH4366" s="65"/>
      <c r="BI4366" s="65"/>
      <c r="BJ4366" s="65"/>
      <c r="BK4366" s="65"/>
      <c r="BL4366" s="99"/>
      <c r="BM4366" s="99"/>
      <c r="BN4366" s="99"/>
    </row>
    <row r="4367" spans="1:66" s="51" customFormat="1" ht="18" x14ac:dyDescent="0.25">
      <c r="A4367" s="623" t="s">
        <v>4512</v>
      </c>
      <c r="B4367" s="624"/>
      <c r="C4367" s="709"/>
      <c r="D4367" s="625" t="s">
        <v>5858</v>
      </c>
      <c r="E4367" s="626"/>
      <c r="F4367" s="626"/>
      <c r="G4367" s="626"/>
      <c r="H4367" s="622" t="s">
        <v>1088</v>
      </c>
      <c r="I4367" s="627" t="s">
        <v>4513</v>
      </c>
      <c r="J4367" s="628"/>
      <c r="K4367" s="628"/>
      <c r="L4367" s="629"/>
      <c r="M4367" s="700" t="s">
        <v>5241</v>
      </c>
      <c r="N4367" s="693" t="str">
        <f>IF(AND(ISTEXT($A4367), ISERROR($A4367+0)), HYPERLINK($BF4367, "Images"), "")</f>
        <v>Images</v>
      </c>
      <c r="O4367" s="695" t="s">
        <v>5247</v>
      </c>
      <c r="P4367" s="630"/>
      <c r="Q4367" s="631"/>
      <c r="R4367" s="632"/>
      <c r="S4367" s="633"/>
      <c r="T4367" s="102">
        <f t="shared" si="3230"/>
        <v>0</v>
      </c>
      <c r="U4367" s="78" t="str">
        <f>IF(NOT(ISNUMBER(G4367)), "", VLOOKUP(A4367,'Discount Lookup'!D:E,2,FALSE)*G4367)</f>
        <v/>
      </c>
      <c r="V4367" s="78" t="str">
        <f>IF(NOT(ISNUMBER(G4367)), "", VLOOKUP(A4367,'Discount Lookup'!G:H,2,FALSE)*G4367)</f>
        <v/>
      </c>
      <c r="W4367" s="102">
        <f t="shared" si="3231"/>
        <v>0</v>
      </c>
      <c r="X4367" s="102" t="str">
        <f t="shared" si="3232"/>
        <v>Hot Pink to Magenta bloom</v>
      </c>
      <c r="Y4367" s="120" t="b">
        <f t="shared" si="3233"/>
        <v>0</v>
      </c>
      <c r="Z4367" s="117">
        <f t="shared" si="3234"/>
        <v>0</v>
      </c>
      <c r="AA4367" s="118"/>
      <c r="AB4367" s="118" t="str">
        <f t="shared" si="3235"/>
        <v/>
      </c>
      <c r="AC4367" s="712" t="str">
        <f>IF(AE4367="T2G","no charge",IF(AND(OR(PlanterYesMe="No",PlanterYesMe="N",PlanterYesMe="me"),H4367=""),"",IF(H4367="credit","NO install",IF(AND(K4367="",AE4367="me"),"EACH row",IF(AND(K4367="images",AE4367="me"),"EACH row",IF(D4367="","",IF(H4367="credit","",IF(AE4367="free","re-planting",IF(AE4367="me","   not ELP, by",IF(AND(OR(PlanterYesMe="Yes",PlanterYesMe="Y"),G4367&gt;0),(VLOOKUP(A4367,'Discount Lookup'!J:K,2)*G4367*(1-PlanterDiscount)*(1+PlanterDifficultyPercentage)),IF(AE4367="ELP",(VLOOKUP(A4367,'Discount Lookup'!J:K,2)*G4367*(1-PlanterDiscount)*(1+PlanterDifficultyPercentage)),IF(AE4367="free","re-planting",IF(G4367=0,"",IF(PlanterYesMe="",IF(AE4367="me","   not ELP, by",IF(AE4367="",IF(G4367&gt;0,(VLOOKUP(A4367,'Discount Lookup'!J:K,2)*G4367*(1-PlanterDiscount)*(1+PlanterDifficultyPercentage)),""),"")),"   not ELP, by"))))))))))))))</f>
        <v/>
      </c>
      <c r="AD4367" s="712"/>
      <c r="AE4367" s="513" t="str">
        <f t="shared" si="3236"/>
        <v/>
      </c>
      <c r="AF4367" s="713" t="str">
        <f t="shared" si="3237"/>
        <v/>
      </c>
      <c r="AG4367" s="713"/>
      <c r="AH4367" s="713"/>
      <c r="AI4367" s="112">
        <f>IF(H4367="credit",0,IF(AE4367="free",0,IF(AE4367="me",0,IF(G4367&gt;0,(VLOOKUP(A4367,'Discount Lookup'!J:K,2)*G4367),0))))</f>
        <v>0</v>
      </c>
      <c r="AJ4367" s="107" t="str">
        <f t="shared" ca="1" si="3238"/>
        <v/>
      </c>
      <c r="AK4367" s="714" t="str">
        <f t="shared" si="3239"/>
        <v/>
      </c>
      <c r="AL4367" s="714"/>
      <c r="AM4367" s="114" t="str">
        <f t="shared" si="3240"/>
        <v/>
      </c>
      <c r="AN4367" s="115"/>
      <c r="AO4367" s="116"/>
      <c r="AP4367" s="116"/>
      <c r="AQ4367" s="116"/>
      <c r="AR4367" s="116"/>
      <c r="AS4367" s="116"/>
      <c r="AT4367" s="116"/>
      <c r="AU4367" s="116"/>
      <c r="AV4367" s="78"/>
      <c r="AW4367" s="102"/>
      <c r="AX4367" s="78"/>
      <c r="AY4367" s="78"/>
      <c r="AZ4367" s="78"/>
      <c r="BA4367" s="78"/>
      <c r="BB4367" s="78"/>
      <c r="BC4367" s="78"/>
      <c r="BD4367" s="78"/>
      <c r="BE4367" s="465"/>
      <c r="BF4367" s="165" t="str">
        <f t="shared" si="3241"/>
        <v>https://www.google.com/search?tbm=isch&amp;q=Weigela%20florida%20%27Bokraspiwi%27%20PP%2323781%20Spilled%20Wine%C2%AE%20Weigela</v>
      </c>
      <c r="BG4367" s="165" t="str">
        <f t="shared" si="3242"/>
        <v>W</v>
      </c>
      <c r="BH4367" s="65"/>
      <c r="BI4367" s="65"/>
      <c r="BJ4367" s="65"/>
      <c r="BK4367" s="65"/>
      <c r="BL4367" s="99"/>
      <c r="BM4367" s="99"/>
      <c r="BN4367" s="99"/>
    </row>
    <row r="4368" spans="1:66" s="51" customFormat="1" ht="15.75" x14ac:dyDescent="0.25">
      <c r="A4368" s="634">
        <v>3</v>
      </c>
      <c r="B4368" s="635" t="s">
        <v>291</v>
      </c>
      <c r="C4368" s="636" t="s">
        <v>1120</v>
      </c>
      <c r="D4368" s="637" t="s">
        <v>329</v>
      </c>
      <c r="E4368" s="638">
        <v>40.950000000000003</v>
      </c>
      <c r="F4368" s="639" t="s">
        <v>292</v>
      </c>
      <c r="G4368" s="484">
        <v>0</v>
      </c>
      <c r="H4368" s="691" t="str">
        <f>IF(G4368=0,"",IF(F4368="Buy",IF(G4368=1,"plant","plants"),IF(F4368&gt;0.01,"warranty","Error")))</f>
        <v/>
      </c>
      <c r="I4368" s="640">
        <f>IF(H4368="free",0,IF(H4368="credit",((E4368*(F4368))*G4368*-1),IF(F4368="Buy",(E4368*G4368),((E4368*(1-F4368))*G4368))))</f>
        <v>0</v>
      </c>
      <c r="J4368" s="640">
        <f>IF(H4368="warranty",0,(I4368*(_xlfn.SINGLE(SalesTaxPercentage))))</f>
        <v>0</v>
      </c>
      <c r="K4368" s="716">
        <f t="shared" ref="K4368" si="3274">I4368+J4368</f>
        <v>0</v>
      </c>
      <c r="L4368" s="716"/>
      <c r="M4368" s="689" t="str">
        <f ca="1">IF(AND(G4368&gt;0,E4368=0),"WARNING - no PRICE inserted",IF(H4368="free","FREE ~ no charge this plant",IF(H4368="credit",CONCATENATE("-$",ROUND(K4368*(1-_xlfn.SINGLE(T2GDiscount))*-1,2)," CREDIT after discount"),IF(_xlfn.SINGLE(T2GDiscount)=0,"",IF(G4368=0,"",IF(F4368="Buy",CONCATENATE("$",ROUND(K4368*(1-_xlfn.SINGLE(T2GDiscount)),2)," with ",(_xlfn.SINGLE(T2GDiscount)*100),"% discount"),CONCATENATE("$",ROUND(K4368*(1-_xlfn.SINGLE(T2GDiscount)),2)," with ",((_xlfn.SINGLE(T2GDiscount)*100+F4368*100)-(_xlfn.SINGLE(T2GDiscount)*100*F4368)),IF(F4368&gt;0,"% discounts",IF(_xlfn.SINGLE(NoWarrantyDiscount)&gt;0,"% discounts","% discount")))))))))</f>
        <v/>
      </c>
      <c r="N4368" s="690"/>
      <c r="O4368" s="486"/>
      <c r="P4368" s="486"/>
      <c r="Q4368" s="486"/>
      <c r="R4368" s="486"/>
      <c r="S4368" s="486"/>
      <c r="T4368" s="102">
        <f t="shared" si="3230"/>
        <v>0</v>
      </c>
      <c r="U4368" s="78">
        <f>IF(NOT(ISNUMBER(G4368)), "", VLOOKUP(A4368,'Discount Lookup'!D:E,2,FALSE)*G4368)</f>
        <v>0</v>
      </c>
      <c r="V4368" s="78">
        <f>IF(NOT(ISNUMBER(G4368)), "", VLOOKUP(A4368,'Discount Lookup'!G:H,2,FALSE)*G4368)</f>
        <v>0</v>
      </c>
      <c r="W4368" s="102">
        <f t="shared" si="3231"/>
        <v>0</v>
      </c>
      <c r="X4368" s="102">
        <f t="shared" si="3232"/>
        <v>0</v>
      </c>
      <c r="Y4368" s="120" t="b">
        <f t="shared" si="3233"/>
        <v>0</v>
      </c>
      <c r="Z4368" s="117">
        <f t="shared" si="3234"/>
        <v>0</v>
      </c>
      <c r="AA4368" s="118"/>
      <c r="AB4368" s="118" t="str">
        <f t="shared" si="3235"/>
        <v/>
      </c>
      <c r="AC4368" s="712" t="str">
        <f>IF(AE4368="T2G","no charge",IF(AND(OR(PlanterYesMe="No",PlanterYesMe="N",PlanterYesMe="me"),H4368=""),"",IF(H4368="credit","NO install",IF(AND(K4368="",AE4368="me"),"EACH row",IF(AND(K4368="images",AE4368="me"),"EACH row",IF(D4368="","",IF(H4368="credit","",IF(AE4368="free","re-planting",IF(AE4368="me","   not ELP, by",IF(AND(OR(PlanterYesMe="Yes",PlanterYesMe="Y"),G4368&gt;0),(VLOOKUP(A4368,'Discount Lookup'!J:K,2)*G4368*(1-PlanterDiscount)*(1+PlanterDifficultyPercentage)),IF(AE4368="ELP",(VLOOKUP(A4368,'Discount Lookup'!J:K,2)*G4368*(1-PlanterDiscount)*(1+PlanterDifficultyPercentage)),IF(AE4368="free","re-planting",IF(G4368=0,"",IF(PlanterYesMe="",IF(AE4368="me","   not ELP, by",IF(AE4368="",IF(G4368&gt;0,(VLOOKUP(A4368,'Discount Lookup'!J:K,2)*G4368*(1-PlanterDiscount)*(1+PlanterDifficultyPercentage)),""),"")),"   not ELP, by"))))))))))))))</f>
        <v/>
      </c>
      <c r="AD4368" s="712"/>
      <c r="AE4368" s="513" t="str">
        <f t="shared" si="3236"/>
        <v/>
      </c>
      <c r="AF4368" s="713" t="str">
        <f t="shared" si="3237"/>
        <v/>
      </c>
      <c r="AG4368" s="713"/>
      <c r="AH4368" s="713"/>
      <c r="AI4368" s="112">
        <f>IF(H4368="credit",0,IF(AE4368="free",0,IF(AE4368="me",0,IF(G4368&gt;0,(VLOOKUP(A4368,'Discount Lookup'!J:K,2)*G4368),0))))</f>
        <v>0</v>
      </c>
      <c r="AJ4368" s="107" t="str">
        <f t="shared" ca="1" si="3238"/>
        <v/>
      </c>
      <c r="AK4368" s="714" t="str">
        <f t="shared" si="3239"/>
        <v/>
      </c>
      <c r="AL4368" s="714"/>
      <c r="AM4368" s="114" t="str">
        <f t="shared" si="3240"/>
        <v/>
      </c>
      <c r="AN4368" s="115"/>
      <c r="AO4368" s="116"/>
      <c r="AP4368" s="116"/>
      <c r="AQ4368" s="116"/>
      <c r="AR4368" s="116"/>
      <c r="AS4368" s="116"/>
      <c r="AT4368" s="116"/>
      <c r="AU4368" s="116"/>
      <c r="AV4368" s="78"/>
      <c r="AW4368" s="102"/>
      <c r="AX4368" s="78"/>
      <c r="AY4368" s="78"/>
      <c r="AZ4368" s="78"/>
      <c r="BA4368" s="78"/>
      <c r="BB4368" s="78"/>
      <c r="BC4368" s="78"/>
      <c r="BD4368" s="78"/>
      <c r="BE4368" s="465"/>
      <c r="BF4368" s="165" t="str">
        <f t="shared" si="3241"/>
        <v>https://www.google.com/search?tbm=isch&amp;q=3%20G2</v>
      </c>
      <c r="BG4368" s="165" t="str">
        <f t="shared" si="3242"/>
        <v>W</v>
      </c>
      <c r="BH4368" s="65"/>
      <c r="BI4368" s="65"/>
      <c r="BJ4368" s="65"/>
      <c r="BK4368" s="65"/>
      <c r="BL4368" s="99"/>
      <c r="BM4368" s="99"/>
      <c r="BN4368" s="99"/>
    </row>
    <row r="4369" spans="1:66" s="51" customFormat="1" ht="17.25" thickBot="1" x14ac:dyDescent="0.3">
      <c r="A4369" s="641" t="s">
        <v>4857</v>
      </c>
      <c r="B4369" s="642"/>
      <c r="C4369" s="710"/>
      <c r="D4369" s="643"/>
      <c r="E4369" s="643"/>
      <c r="F4369" s="644"/>
      <c r="G4369" s="645"/>
      <c r="H4369" s="646"/>
      <c r="I4369" s="647"/>
      <c r="J4369" s="648"/>
      <c r="K4369" s="649"/>
      <c r="L4369" s="650"/>
      <c r="M4369" s="650"/>
      <c r="N4369" s="644"/>
      <c r="O4369" s="644"/>
      <c r="P4369" s="644"/>
      <c r="Q4369" s="644"/>
      <c r="R4369" s="644"/>
      <c r="S4369" s="701" t="s">
        <v>5312</v>
      </c>
      <c r="T4369" s="102">
        <f t="shared" si="3230"/>
        <v>0</v>
      </c>
      <c r="U4369" s="78" t="str">
        <f>IF(NOT(ISNUMBER(G4369)), "", VLOOKUP(A4369,'Discount Lookup'!D:E,2,FALSE)*G4369)</f>
        <v/>
      </c>
      <c r="V4369" s="78" t="str">
        <f>IF(NOT(ISNUMBER(G4369)), "", VLOOKUP(A4369,'Discount Lookup'!G:H,2,FALSE)*G4369)</f>
        <v/>
      </c>
      <c r="W4369" s="102">
        <f t="shared" si="3231"/>
        <v>0</v>
      </c>
      <c r="X4369" s="102">
        <f t="shared" si="3232"/>
        <v>0</v>
      </c>
      <c r="Y4369" s="120" t="b">
        <f t="shared" si="3233"/>
        <v>0</v>
      </c>
      <c r="Z4369" s="117">
        <f t="shared" si="3234"/>
        <v>0</v>
      </c>
      <c r="AA4369" s="118"/>
      <c r="AB4369" s="118" t="str">
        <f t="shared" si="3235"/>
        <v/>
      </c>
      <c r="AC4369" s="712" t="str">
        <f>IF(AE4369="T2G","no charge",IF(AND(OR(PlanterYesMe="No",PlanterYesMe="N",PlanterYesMe="me"),H4369=""),"",IF(H4369="credit","NO install",IF(AND(K4369="",AE4369="me"),"EACH row",IF(AND(K4369="images",AE4369="me"),"EACH row",IF(D4369="","",IF(H4369="credit","",IF(AE4369="free","re-planting",IF(AE4369="me","   not ELP, by",IF(AND(OR(PlanterYesMe="Yes",PlanterYesMe="Y"),G4369&gt;0),(VLOOKUP(A4369,'Discount Lookup'!J:K,2)*G4369*(1-PlanterDiscount)*(1+PlanterDifficultyPercentage)),IF(AE4369="ELP",(VLOOKUP(A4369,'Discount Lookup'!J:K,2)*G4369*(1-PlanterDiscount)*(1+PlanterDifficultyPercentage)),IF(AE4369="free","re-planting",IF(G4369=0,"",IF(PlanterYesMe="",IF(AE4369="me","   not ELP, by",IF(AE4369="",IF(G4369&gt;0,(VLOOKUP(A4369,'Discount Lookup'!J:K,2)*G4369*(1-PlanterDiscount)*(1+PlanterDifficultyPercentage)),""),"")),"   not ELP, by"))))))))))))))</f>
        <v/>
      </c>
      <c r="AD4369" s="712"/>
      <c r="AE4369" s="513" t="str">
        <f t="shared" si="3236"/>
        <v/>
      </c>
      <c r="AF4369" s="713" t="str">
        <f t="shared" si="3237"/>
        <v/>
      </c>
      <c r="AG4369" s="713"/>
      <c r="AH4369" s="713"/>
      <c r="AI4369" s="112">
        <f>IF(H4369="credit",0,IF(AE4369="free",0,IF(AE4369="me",0,IF(G4369&gt;0,(VLOOKUP(A4369,'Discount Lookup'!J:K,2)*G4369),0))))</f>
        <v>0</v>
      </c>
      <c r="AJ4369" s="107" t="str">
        <f t="shared" ca="1" si="3238"/>
        <v/>
      </c>
      <c r="AK4369" s="714" t="str">
        <f t="shared" si="3239"/>
        <v/>
      </c>
      <c r="AL4369" s="714"/>
      <c r="AM4369" s="114" t="str">
        <f t="shared" si="3240"/>
        <v/>
      </c>
      <c r="AN4369" s="115"/>
      <c r="AO4369" s="116"/>
      <c r="AP4369" s="116"/>
      <c r="AQ4369" s="116"/>
      <c r="AR4369" s="116"/>
      <c r="AS4369" s="116"/>
      <c r="AT4369" s="116"/>
      <c r="AU4369" s="116"/>
      <c r="AV4369" s="78"/>
      <c r="AW4369" s="102"/>
      <c r="AX4369" s="78"/>
      <c r="AY4369" s="78"/>
      <c r="AZ4369" s="78"/>
      <c r="BA4369" s="78"/>
      <c r="BB4369" s="78"/>
      <c r="BC4369" s="78"/>
      <c r="BD4369" s="78"/>
      <c r="BE4369" s="465"/>
      <c r="BF4369" s="165" t="str">
        <f t="shared" si="3241"/>
        <v>https://www.google.com/search?tbm=isch&amp;q=Spilled%20Wine%20has%20Deep%20Purple%20foliage%2C%20holding%20color%20to%20leaf%20drop.%20Trumpet-shaped%20flowers%20on%20old%20wood%E2%80%94prune%20right%20after%20spring%20bloom%20</v>
      </c>
      <c r="BG4369" s="165" t="str">
        <f t="shared" si="3242"/>
        <v>S</v>
      </c>
      <c r="BH4369" s="65"/>
      <c r="BI4369" s="65"/>
      <c r="BJ4369" s="65"/>
      <c r="BK4369" s="65"/>
      <c r="BL4369" s="99"/>
      <c r="BM4369" s="99"/>
      <c r="BN4369" s="99"/>
    </row>
    <row r="4370" spans="1:66" s="51" customFormat="1" ht="18" x14ac:dyDescent="0.25">
      <c r="A4370" s="623" t="s">
        <v>4514</v>
      </c>
      <c r="B4370" s="624"/>
      <c r="C4370" s="709"/>
      <c r="D4370" s="625" t="s">
        <v>5917</v>
      </c>
      <c r="E4370" s="626"/>
      <c r="F4370" s="626"/>
      <c r="G4370" s="626"/>
      <c r="H4370" s="622" t="s">
        <v>1124</v>
      </c>
      <c r="I4370" s="627" t="s">
        <v>4515</v>
      </c>
      <c r="J4370" s="628"/>
      <c r="K4370" s="628"/>
      <c r="L4370" s="629"/>
      <c r="M4370" s="700" t="s">
        <v>5241</v>
      </c>
      <c r="N4370" s="693" t="str">
        <f>IF(AND(ISTEXT($A4370), ISERROR($A4370+0)), HYPERLINK($BF4370, "Images"), "")</f>
        <v>Images</v>
      </c>
      <c r="O4370" s="695" t="s">
        <v>5247</v>
      </c>
      <c r="P4370" s="630"/>
      <c r="Q4370" s="631"/>
      <c r="R4370" s="632"/>
      <c r="S4370" s="633"/>
      <c r="T4370" s="102">
        <f t="shared" si="3230"/>
        <v>0</v>
      </c>
      <c r="U4370" s="78" t="str">
        <f>IF(NOT(ISNUMBER(G4370)), "", VLOOKUP(A4370,'Discount Lookup'!D:E,2,FALSE)*G4370)</f>
        <v/>
      </c>
      <c r="V4370" s="78" t="str">
        <f>IF(NOT(ISNUMBER(G4370)), "", VLOOKUP(A4370,'Discount Lookup'!G:H,2,FALSE)*G4370)</f>
        <v/>
      </c>
      <c r="W4370" s="102">
        <f t="shared" si="3231"/>
        <v>0</v>
      </c>
      <c r="X4370" s="102" t="str">
        <f t="shared" si="3232"/>
        <v>Red-Pink to Magenta bloom</v>
      </c>
      <c r="Y4370" s="120" t="b">
        <f t="shared" si="3233"/>
        <v>0</v>
      </c>
      <c r="Z4370" s="117">
        <f t="shared" si="3234"/>
        <v>0</v>
      </c>
      <c r="AA4370" s="118"/>
      <c r="AB4370" s="118" t="str">
        <f t="shared" si="3235"/>
        <v/>
      </c>
      <c r="AC4370" s="712" t="str">
        <f>IF(AE4370="T2G","no charge",IF(AND(OR(PlanterYesMe="No",PlanterYesMe="N",PlanterYesMe="me"),H4370=""),"",IF(H4370="credit","NO install",IF(AND(K4370="",AE4370="me"),"EACH row",IF(AND(K4370="images",AE4370="me"),"EACH row",IF(D4370="","",IF(H4370="credit","",IF(AE4370="free","re-planting",IF(AE4370="me","   not ELP, by",IF(AND(OR(PlanterYesMe="Yes",PlanterYesMe="Y"),G4370&gt;0),(VLOOKUP(A4370,'Discount Lookup'!J:K,2)*G4370*(1-PlanterDiscount)*(1+PlanterDifficultyPercentage)),IF(AE4370="ELP",(VLOOKUP(A4370,'Discount Lookup'!J:K,2)*G4370*(1-PlanterDiscount)*(1+PlanterDifficultyPercentage)),IF(AE4370="free","re-planting",IF(G4370=0,"",IF(PlanterYesMe="",IF(AE4370="me","   not ELP, by",IF(AE4370="",IF(G4370&gt;0,(VLOOKUP(A4370,'Discount Lookup'!J:K,2)*G4370*(1-PlanterDiscount)*(1+PlanterDifficultyPercentage)),""),"")),"   not ELP, by"))))))))))))))</f>
        <v/>
      </c>
      <c r="AD4370" s="712"/>
      <c r="AE4370" s="513" t="str">
        <f t="shared" si="3236"/>
        <v/>
      </c>
      <c r="AF4370" s="713" t="str">
        <f t="shared" si="3237"/>
        <v/>
      </c>
      <c r="AG4370" s="713"/>
      <c r="AH4370" s="713"/>
      <c r="AI4370" s="112">
        <f>IF(H4370="credit",0,IF(AE4370="free",0,IF(AE4370="me",0,IF(G4370&gt;0,(VLOOKUP(A4370,'Discount Lookup'!J:K,2)*G4370),0))))</f>
        <v>0</v>
      </c>
      <c r="AJ4370" s="107" t="str">
        <f t="shared" ca="1" si="3238"/>
        <v/>
      </c>
      <c r="AK4370" s="714" t="str">
        <f t="shared" si="3239"/>
        <v/>
      </c>
      <c r="AL4370" s="714"/>
      <c r="AM4370" s="114" t="str">
        <f t="shared" si="3240"/>
        <v/>
      </c>
      <c r="AN4370" s="115"/>
      <c r="AO4370" s="116"/>
      <c r="AP4370" s="116"/>
      <c r="AQ4370" s="116"/>
      <c r="AR4370" s="116"/>
      <c r="AS4370" s="116"/>
      <c r="AT4370" s="116"/>
      <c r="AU4370" s="116"/>
      <c r="AV4370" s="78"/>
      <c r="AW4370" s="102"/>
      <c r="AX4370" s="78"/>
      <c r="AY4370" s="78"/>
      <c r="AZ4370" s="78"/>
      <c r="BA4370" s="78"/>
      <c r="BB4370" s="78"/>
      <c r="BC4370" s="78"/>
      <c r="BD4370" s="78"/>
      <c r="BE4370" s="465"/>
      <c r="BF4370" s="165" t="str">
        <f t="shared" si="3241"/>
        <v>https://www.google.com/search?tbm=isch&amp;q=Weigela%20florida%20%27SMNWFBGV%27%20PP%2334297%20Vinho%20Verde%C2%AE%20Weigela%20%28PW%C2%AE%29</v>
      </c>
      <c r="BG4370" s="165" t="str">
        <f t="shared" si="3242"/>
        <v>W</v>
      </c>
      <c r="BH4370" s="65"/>
      <c r="BI4370" s="65"/>
      <c r="BJ4370" s="65"/>
      <c r="BK4370" s="65"/>
      <c r="BL4370" s="99"/>
      <c r="BM4370" s="99"/>
      <c r="BN4370" s="99"/>
    </row>
    <row r="4371" spans="1:66" s="51" customFormat="1" ht="15.75" x14ac:dyDescent="0.25">
      <c r="A4371" s="634">
        <v>3</v>
      </c>
      <c r="B4371" s="635" t="s">
        <v>291</v>
      </c>
      <c r="C4371" s="636" t="s">
        <v>4516</v>
      </c>
      <c r="D4371" s="637" t="s">
        <v>329</v>
      </c>
      <c r="E4371" s="638">
        <v>40.950000000000003</v>
      </c>
      <c r="F4371" s="639" t="s">
        <v>292</v>
      </c>
      <c r="G4371" s="484">
        <v>0</v>
      </c>
      <c r="H4371" s="691" t="str">
        <f>IF(G4371=0,"",IF(F4371="Buy",IF(G4371=1,"plant","plants"),IF(F4371&gt;0.01,"warranty","Error")))</f>
        <v/>
      </c>
      <c r="I4371" s="640">
        <f>IF(H4371="free",0,IF(H4371="credit",((E4371*(F4371))*G4371*-1),IF(F4371="Buy",(E4371*G4371),((E4371*(1-F4371))*G4371))))</f>
        <v>0</v>
      </c>
      <c r="J4371" s="640">
        <f>IF(H4371="warranty",0,(I4371*(_xlfn.SINGLE(SalesTaxPercentage))))</f>
        <v>0</v>
      </c>
      <c r="K4371" s="716">
        <f t="shared" ref="K4371" si="3275">I4371+J4371</f>
        <v>0</v>
      </c>
      <c r="L4371" s="716"/>
      <c r="M4371" s="689" t="str">
        <f ca="1">IF(AND(G4371&gt;0,E4371=0),"WARNING - no PRICE inserted",IF(H4371="free","FREE ~ no charge this plant",IF(H4371="credit",CONCATENATE("-$",ROUND(K4371*(1-_xlfn.SINGLE(T2GDiscount))*-1,2)," CREDIT after discount"),IF(_xlfn.SINGLE(T2GDiscount)=0,"",IF(G4371=0,"",IF(F4371="Buy",CONCATENATE("$",ROUND(K4371*(1-_xlfn.SINGLE(T2GDiscount)),2)," with ",(_xlfn.SINGLE(T2GDiscount)*100),"% discount"),CONCATENATE("$",ROUND(K4371*(1-_xlfn.SINGLE(T2GDiscount)),2)," with ",((_xlfn.SINGLE(T2GDiscount)*100+F4371*100)-(_xlfn.SINGLE(T2GDiscount)*100*F4371)),IF(F4371&gt;0,"% discounts",IF(_xlfn.SINGLE(NoWarrantyDiscount)&gt;0,"% discounts","% discount")))))))))</f>
        <v/>
      </c>
      <c r="N4371" s="690"/>
      <c r="O4371" s="486"/>
      <c r="P4371" s="486"/>
      <c r="Q4371" s="486"/>
      <c r="R4371" s="486"/>
      <c r="S4371" s="486"/>
      <c r="T4371" s="102">
        <f t="shared" si="3230"/>
        <v>0</v>
      </c>
      <c r="U4371" s="78">
        <f>IF(NOT(ISNUMBER(G4371)), "", VLOOKUP(A4371,'Discount Lookup'!D:E,2,FALSE)*G4371)</f>
        <v>0</v>
      </c>
      <c r="V4371" s="78">
        <f>IF(NOT(ISNUMBER(G4371)), "", VLOOKUP(A4371,'Discount Lookup'!G:H,2,FALSE)*G4371)</f>
        <v>0</v>
      </c>
      <c r="W4371" s="102">
        <f t="shared" si="3231"/>
        <v>0</v>
      </c>
      <c r="X4371" s="102">
        <f t="shared" si="3232"/>
        <v>0</v>
      </c>
      <c r="Y4371" s="120" t="b">
        <f t="shared" si="3233"/>
        <v>0</v>
      </c>
      <c r="Z4371" s="117">
        <f t="shared" si="3234"/>
        <v>0</v>
      </c>
      <c r="AA4371" s="118"/>
      <c r="AB4371" s="118" t="str">
        <f t="shared" si="3235"/>
        <v/>
      </c>
      <c r="AC4371" s="712" t="str">
        <f>IF(AE4371="T2G","no charge",IF(AND(OR(PlanterYesMe="No",PlanterYesMe="N",PlanterYesMe="me"),H4371=""),"",IF(H4371="credit","NO install",IF(AND(K4371="",AE4371="me"),"EACH row",IF(AND(K4371="images",AE4371="me"),"EACH row",IF(D4371="","",IF(H4371="credit","",IF(AE4371="free","re-planting",IF(AE4371="me","   not ELP, by",IF(AND(OR(PlanterYesMe="Yes",PlanterYesMe="Y"),G4371&gt;0),(VLOOKUP(A4371,'Discount Lookup'!J:K,2)*G4371*(1-PlanterDiscount)*(1+PlanterDifficultyPercentage)),IF(AE4371="ELP",(VLOOKUP(A4371,'Discount Lookup'!J:K,2)*G4371*(1-PlanterDiscount)*(1+PlanterDifficultyPercentage)),IF(AE4371="free","re-planting",IF(G4371=0,"",IF(PlanterYesMe="",IF(AE4371="me","   not ELP, by",IF(AE4371="",IF(G4371&gt;0,(VLOOKUP(A4371,'Discount Lookup'!J:K,2)*G4371*(1-PlanterDiscount)*(1+PlanterDifficultyPercentage)),""),"")),"   not ELP, by"))))))))))))))</f>
        <v/>
      </c>
      <c r="AD4371" s="712"/>
      <c r="AE4371" s="513" t="str">
        <f t="shared" si="3236"/>
        <v/>
      </c>
      <c r="AF4371" s="713" t="str">
        <f t="shared" si="3237"/>
        <v/>
      </c>
      <c r="AG4371" s="713"/>
      <c r="AH4371" s="713"/>
      <c r="AI4371" s="112">
        <f>IF(H4371="credit",0,IF(AE4371="free",0,IF(AE4371="me",0,IF(G4371&gt;0,(VLOOKUP(A4371,'Discount Lookup'!J:K,2)*G4371),0))))</f>
        <v>0</v>
      </c>
      <c r="AJ4371" s="107" t="str">
        <f t="shared" ca="1" si="3238"/>
        <v/>
      </c>
      <c r="AK4371" s="714" t="str">
        <f t="shared" si="3239"/>
        <v/>
      </c>
      <c r="AL4371" s="714"/>
      <c r="AM4371" s="114" t="str">
        <f t="shared" si="3240"/>
        <v/>
      </c>
      <c r="AN4371" s="115"/>
      <c r="AO4371" s="116"/>
      <c r="AP4371" s="116"/>
      <c r="AQ4371" s="116"/>
      <c r="AR4371" s="116"/>
      <c r="AS4371" s="116"/>
      <c r="AT4371" s="116"/>
      <c r="AU4371" s="116"/>
      <c r="AV4371" s="78"/>
      <c r="AW4371" s="102"/>
      <c r="AX4371" s="78"/>
      <c r="AY4371" s="78"/>
      <c r="AZ4371" s="78"/>
      <c r="BA4371" s="78"/>
      <c r="BB4371" s="78"/>
      <c r="BC4371" s="78"/>
      <c r="BD4371" s="78"/>
      <c r="BE4371" s="465"/>
      <c r="BF4371" s="165" t="str">
        <f t="shared" si="3241"/>
        <v>https://www.google.com/search?tbm=isch&amp;q=3%20G2</v>
      </c>
      <c r="BG4371" s="165" t="str">
        <f t="shared" si="3242"/>
        <v>W</v>
      </c>
      <c r="BH4371" s="65"/>
      <c r="BI4371" s="65"/>
      <c r="BJ4371" s="65"/>
      <c r="BK4371" s="65"/>
      <c r="BL4371" s="99"/>
      <c r="BM4371" s="99"/>
      <c r="BN4371" s="99"/>
    </row>
    <row r="4372" spans="1:66" s="51" customFormat="1" ht="17.25" thickBot="1" x14ac:dyDescent="0.3">
      <c r="A4372" s="641" t="s">
        <v>4858</v>
      </c>
      <c r="B4372" s="642"/>
      <c r="C4372" s="710"/>
      <c r="D4372" s="643"/>
      <c r="E4372" s="643"/>
      <c r="F4372" s="644"/>
      <c r="G4372" s="645"/>
      <c r="H4372" s="646"/>
      <c r="I4372" s="647"/>
      <c r="J4372" s="648"/>
      <c r="K4372" s="649"/>
      <c r="L4372" s="650"/>
      <c r="M4372" s="650"/>
      <c r="N4372" s="644"/>
      <c r="O4372" s="644"/>
      <c r="P4372" s="644"/>
      <c r="Q4372" s="644"/>
      <c r="R4372" s="644"/>
      <c r="S4372" s="701" t="s">
        <v>5312</v>
      </c>
      <c r="T4372" s="102">
        <f t="shared" ref="T4372:T4413" si="3276">E4372*G4372</f>
        <v>0</v>
      </c>
      <c r="U4372" s="78" t="str">
        <f>IF(NOT(ISNUMBER(G4372)), "", VLOOKUP(A4372,'Discount Lookup'!D:E,2,FALSE)*G4372)</f>
        <v/>
      </c>
      <c r="V4372" s="78" t="str">
        <f>IF(NOT(ISNUMBER(G4372)), "", VLOOKUP(A4372,'Discount Lookup'!G:H,2,FALSE)*G4372)</f>
        <v/>
      </c>
      <c r="W4372" s="102">
        <f t="shared" ref="W4372:W4413" si="3277">IF(H4372="credit",0,E4372*(SalesTaxPercentage)*G4372)</f>
        <v>0</v>
      </c>
      <c r="X4372" s="102">
        <f t="shared" ref="X4372:X4413" si="3278">I4372</f>
        <v>0</v>
      </c>
      <c r="Y4372" s="120" t="b">
        <f t="shared" ref="Y4372:Y4413" si="3279">IF(AE4372="T2G",0,IF(H4372="credit",0,IF(G4372&gt;0,IF(AE4372="me","",G4372))))</f>
        <v>0</v>
      </c>
      <c r="Z4372" s="117">
        <f t="shared" ref="Z4372:Z4413" si="3280">IF(H4372="credit",G4372,0)</f>
        <v>0</v>
      </c>
      <c r="AA4372" s="118"/>
      <c r="AB4372" s="118" t="str">
        <f t="shared" ref="AB4372:AB4413" si="3281">IF(AE4372="T2G","by Trees2Go",IF(H4372="credit","CREDIT only ~",IF(AND(K4372="",AE4372=OR(PlanterYesMe="No",PlanterYesMe="N",PlanterYesMe="me")),"not THIS line⇨",IF(AND(K4372="images",AE4372="me"),"not THIS line⇨",IF(H4372="credit","",IF(G4372=0,"",IF(AE4372="me","",IF(OR(PlanterYesMe="No",PlanterYesMe="N",PlanterYesMe="me"),"",IF(AE4372="free","warranty",IF(OR(PlanterYesMe="yes",PlanterYesMe="y"),"Edison install:","to install:"))))))))))</f>
        <v/>
      </c>
      <c r="AC4372" s="712" t="str">
        <f>IF(AE4372="T2G","no charge",IF(AND(OR(PlanterYesMe="No",PlanterYesMe="N",PlanterYesMe="me"),H4372=""),"",IF(H4372="credit","NO install",IF(AND(K4372="",AE4372="me"),"EACH row",IF(AND(K4372="images",AE4372="me"),"EACH row",IF(D4372="","",IF(H4372="credit","",IF(AE4372="free","re-planting",IF(AE4372="me","   not ELP, by",IF(AND(OR(PlanterYesMe="Yes",PlanterYesMe="Y"),G4372&gt;0),(VLOOKUP(A4372,'Discount Lookup'!J:K,2)*G4372*(1-PlanterDiscount)*(1+PlanterDifficultyPercentage)),IF(AE4372="ELP",(VLOOKUP(A4372,'Discount Lookup'!J:K,2)*G4372*(1-PlanterDiscount)*(1+PlanterDifficultyPercentage)),IF(AE4372="free","re-planting",IF(G4372=0,"",IF(PlanterYesMe="",IF(AE4372="me","   not ELP, by",IF(AE4372="",IF(G4372&gt;0,(VLOOKUP(A4372,'Discount Lookup'!J:K,2)*G4372*(1-PlanterDiscount)*(1+PlanterDifficultyPercentage)),""),"")),"   not ELP, by"))))))))))))))</f>
        <v/>
      </c>
      <c r="AD4372" s="712"/>
      <c r="AE4372" s="513" t="str">
        <f t="shared" ref="AE4372:AE4413" si="3282">IF(H4372="credit","",IF(G4372=0,"",IF(OR(PlanterYesMe="No",PlanterYesMe="N",PlanterYesMe="me"),"me",IF(H4372="warranty","free",IF(OR(PlanterYesMe="yes",PlanterYesMe="y"),"ELP","")))))</f>
        <v/>
      </c>
      <c r="AF4372" s="713" t="str">
        <f t="shared" ref="AF4372:AF4413" si="3283">IF(OR(PlanterYesMe="No",PlanterYesMe="N",PlanterYesMe="me"),"",IF(H4372="credit","",IF(G4372&gt;0,(CONCATENATE((G4372)," quantity, ",(A4372)," ",B4372)),"")))</f>
        <v/>
      </c>
      <c r="AG4372" s="713"/>
      <c r="AH4372" s="713"/>
      <c r="AI4372" s="112">
        <f>IF(H4372="credit",0,IF(AE4372="free",0,IF(AE4372="me",0,IF(G4372&gt;0,(VLOOKUP(A4372,'Discount Lookup'!J:K,2)*G4372),0))))</f>
        <v>0</v>
      </c>
      <c r="AJ4372" s="107" t="str">
        <f t="shared" ref="AJ4372:AJ4413" ca="1" si="3284">IF(AND(ISREF(H4372),H4372="credit"),"",IF(AND(AND(OFFSET(G4372,0,0)=0,OFFSET(G4372,1,0)&gt;0,ISNUMBER(OFFSET(AC4372,1,0)),OFFSET(AC4372,1,0)&gt;0),OR(PlanterYesMe="yes",PlanterYesMe="y")),"T2G+ELP=",IF(AND(OFFSET(G4372,0,0)=0,OFFSET(G4372,1,0)&gt;0,ISNUMBER(OFFSET(AC4372,1,0)),OFFSET(AC4372,1,0)&gt;0),"if T2G+ELP=",IF(AND(OFFSET(G4372,0,0)=0,OFFSET(G4372,1,0)&gt;0),"T2G Subtotal",IF(H4372="credit","",IF(G4372=0,"",IF(AE4372="free",(K4372*(1-T2GDiscount)),IF(OR(PlanterYesMe="No",PlanterYesMe="N",PlanterYesMe="me"),(K4372*(1-T2GDiscount)),IF(OR(AE4372="me",AE4372="T2G"),(K4372*(1-T2GDiscount)),(K4372*(1-T2GDiscount))+AC4372)))))))))</f>
        <v/>
      </c>
      <c r="AK4372" s="714" t="str">
        <f t="shared" ref="AK4372:AK4413" si="3285">IF(H4372="credit","",IF(G4372=0,"",IF(OR(AE4372="me",AE4372="T2G"),"  delivery-only",IF(OR(PlanterYesMe="No",PlanterYesMe="N",PlanterYesMe="me"),"  delivery-only",CONCATENATE(" $",ROUND(AJ4372/G4372,2)," each")))))</f>
        <v/>
      </c>
      <c r="AL4372" s="714"/>
      <c r="AM4372" s="114" t="str">
        <f t="shared" ref="AM4372:AM4413" si="3286">IF(H4372="credit","",IF(AE4372="free","      ~ discounts included, no tax or planting fee applies ~",IF(G4372=0,"",IF(OR(PlanterYesMe="No",PlanterYesMe="N",PlanterYesMe="me"),CONCATENATE(" $",ROUND(AJ4372/G4372,2)," per plant, with tax &amp; discount"),IF(OR(AE4372="me",AE4372="T2G"),CONCATENATE(" $",ROUND(AJ4372/G4372,2)," per plant, with tax &amp; discount"),CONCATENATE("= $",ROUND((K4372*(1-T2GDiscount))/G4372,2)," per plant + $",AC4372/G4372,(" per planting      ~ includes tax &amp; discounts ~")))))))</f>
        <v/>
      </c>
      <c r="AN4372" s="115"/>
      <c r="AO4372" s="116"/>
      <c r="AP4372" s="116"/>
      <c r="AQ4372" s="116"/>
      <c r="AR4372" s="116"/>
      <c r="AS4372" s="116"/>
      <c r="AT4372" s="116"/>
      <c r="AU4372" s="116"/>
      <c r="AV4372" s="78"/>
      <c r="AW4372" s="102"/>
      <c r="AX4372" s="78"/>
      <c r="AY4372" s="78"/>
      <c r="AZ4372" s="78"/>
      <c r="BA4372" s="78"/>
      <c r="BB4372" s="78"/>
      <c r="BC4372" s="78"/>
      <c r="BD4372" s="78"/>
      <c r="BE4372" s="465"/>
      <c r="BF4372" s="165" t="str">
        <f t="shared" ref="BF4372:BF4413" si="3287">"https://www.google.com/search?tbm=isch&amp;q=" &amp; _xlfn.ENCODEURL($A4372 &amp; " " &amp; $D4372)</f>
        <v>https://www.google.com/search?tbm=isch&amp;q=Vinho%20Verde%20has%20minimal%20bloom.%20Lime%20Green%20foliage%2C%20edged%20with%20Near-Black%20margins%2C%20all%20the%20way%20to%20leaf%20drop.%20Trumpet-shaped%20flowers%20on%20old%20wood%E2%80%94prune%20right%20after%20spring%20bloom%20</v>
      </c>
      <c r="BG4372" s="165" t="str">
        <f t="shared" ref="BG4372:BG4413" si="3288">IF(ISTEXT(A4372),LEFT(A4372,1),BG4371)</f>
        <v>V</v>
      </c>
      <c r="BH4372" s="65"/>
      <c r="BI4372" s="65"/>
      <c r="BJ4372" s="65"/>
      <c r="BK4372" s="65"/>
      <c r="BL4372" s="99"/>
      <c r="BM4372" s="99"/>
      <c r="BN4372" s="99"/>
    </row>
    <row r="4373" spans="1:66" s="51" customFormat="1" ht="18" x14ac:dyDescent="0.25">
      <c r="A4373" s="623" t="s">
        <v>4517</v>
      </c>
      <c r="B4373" s="624"/>
      <c r="C4373" s="709"/>
      <c r="D4373" s="625" t="s">
        <v>5918</v>
      </c>
      <c r="E4373" s="626"/>
      <c r="F4373" s="626"/>
      <c r="G4373" s="626"/>
      <c r="H4373" s="622" t="s">
        <v>4906</v>
      </c>
      <c r="I4373" s="627" t="s">
        <v>1783</v>
      </c>
      <c r="J4373" s="628"/>
      <c r="K4373" s="628"/>
      <c r="L4373" s="629"/>
      <c r="M4373" s="700" t="s">
        <v>5241</v>
      </c>
      <c r="N4373" s="693" t="str">
        <f>IF(AND(ISTEXT($A4373), ISERROR($A4373+0)), HYPERLINK($BF4373, "Images"), "")</f>
        <v>Images</v>
      </c>
      <c r="O4373" s="695" t="s">
        <v>5247</v>
      </c>
      <c r="P4373" s="630"/>
      <c r="Q4373" s="631"/>
      <c r="R4373" s="632"/>
      <c r="S4373" s="633"/>
      <c r="T4373" s="102">
        <f t="shared" si="3276"/>
        <v>0</v>
      </c>
      <c r="U4373" s="78" t="str">
        <f>IF(NOT(ISNUMBER(G4373)), "", VLOOKUP(A4373,'Discount Lookup'!D:E,2,FALSE)*G4373)</f>
        <v/>
      </c>
      <c r="V4373" s="78" t="str">
        <f>IF(NOT(ISNUMBER(G4373)), "", VLOOKUP(A4373,'Discount Lookup'!G:H,2,FALSE)*G4373)</f>
        <v/>
      </c>
      <c r="W4373" s="102">
        <f t="shared" si="3277"/>
        <v>0</v>
      </c>
      <c r="X4373" s="102" t="str">
        <f t="shared" si="3278"/>
        <v>Soft Pink bloom</v>
      </c>
      <c r="Y4373" s="120" t="b">
        <f t="shared" si="3279"/>
        <v>0</v>
      </c>
      <c r="Z4373" s="117">
        <f t="shared" si="3280"/>
        <v>0</v>
      </c>
      <c r="AA4373" s="118"/>
      <c r="AB4373" s="118" t="str">
        <f t="shared" si="3281"/>
        <v/>
      </c>
      <c r="AC4373" s="712" t="str">
        <f>IF(AE4373="T2G","no charge",IF(AND(OR(PlanterYesMe="No",PlanterYesMe="N",PlanterYesMe="me"),H4373=""),"",IF(H4373="credit","NO install",IF(AND(K4373="",AE4373="me"),"EACH row",IF(AND(K4373="images",AE4373="me"),"EACH row",IF(D4373="","",IF(H4373="credit","",IF(AE4373="free","re-planting",IF(AE4373="me","   not ELP, by",IF(AND(OR(PlanterYesMe="Yes",PlanterYesMe="Y"),G4373&gt;0),(VLOOKUP(A4373,'Discount Lookup'!J:K,2)*G4373*(1-PlanterDiscount)*(1+PlanterDifficultyPercentage)),IF(AE4373="ELP",(VLOOKUP(A4373,'Discount Lookup'!J:K,2)*G4373*(1-PlanterDiscount)*(1+PlanterDifficultyPercentage)),IF(AE4373="free","re-planting",IF(G4373=0,"",IF(PlanterYesMe="",IF(AE4373="me","   not ELP, by",IF(AE4373="",IF(G4373&gt;0,(VLOOKUP(A4373,'Discount Lookup'!J:K,2)*G4373*(1-PlanterDiscount)*(1+PlanterDifficultyPercentage)),""),"")),"   not ELP, by"))))))))))))))</f>
        <v/>
      </c>
      <c r="AD4373" s="712"/>
      <c r="AE4373" s="513" t="str">
        <f t="shared" si="3282"/>
        <v/>
      </c>
      <c r="AF4373" s="713" t="str">
        <f t="shared" si="3283"/>
        <v/>
      </c>
      <c r="AG4373" s="713"/>
      <c r="AH4373" s="713"/>
      <c r="AI4373" s="112">
        <f>IF(H4373="credit",0,IF(AE4373="free",0,IF(AE4373="me",0,IF(G4373&gt;0,(VLOOKUP(A4373,'Discount Lookup'!J:K,2)*G4373),0))))</f>
        <v>0</v>
      </c>
      <c r="AJ4373" s="107" t="str">
        <f t="shared" ca="1" si="3284"/>
        <v/>
      </c>
      <c r="AK4373" s="714" t="str">
        <f t="shared" si="3285"/>
        <v/>
      </c>
      <c r="AL4373" s="714"/>
      <c r="AM4373" s="114" t="str">
        <f t="shared" si="3286"/>
        <v/>
      </c>
      <c r="AN4373" s="115"/>
      <c r="AO4373" s="116"/>
      <c r="AP4373" s="116"/>
      <c r="AQ4373" s="116"/>
      <c r="AR4373" s="116"/>
      <c r="AS4373" s="116"/>
      <c r="AT4373" s="116"/>
      <c r="AU4373" s="116"/>
      <c r="AV4373" s="78"/>
      <c r="AW4373" s="102"/>
      <c r="AX4373" s="78"/>
      <c r="AY4373" s="78"/>
      <c r="AZ4373" s="78"/>
      <c r="BA4373" s="78"/>
      <c r="BB4373" s="78"/>
      <c r="BC4373" s="78"/>
      <c r="BD4373" s="78"/>
      <c r="BE4373" s="465"/>
      <c r="BF4373" s="165" t="str">
        <f t="shared" si="3287"/>
        <v>https://www.google.com/search?tbm=isch&amp;q=Weigela%20florida%20%27Verweig9%27%20PP%2335146%20Midnight%20Sun%E2%84%A2%20Weigela%20%28BE%C2%AE%29</v>
      </c>
      <c r="BG4373" s="165" t="str">
        <f t="shared" si="3288"/>
        <v>W</v>
      </c>
      <c r="BH4373" s="65"/>
      <c r="BI4373" s="65"/>
      <c r="BJ4373" s="65"/>
      <c r="BK4373" s="65"/>
      <c r="BL4373" s="99"/>
      <c r="BM4373" s="99"/>
      <c r="BN4373" s="99"/>
    </row>
    <row r="4374" spans="1:66" s="51" customFormat="1" ht="15.75" x14ac:dyDescent="0.25">
      <c r="A4374" s="634">
        <v>3</v>
      </c>
      <c r="B4374" s="635" t="s">
        <v>291</v>
      </c>
      <c r="C4374" s="636" t="s">
        <v>4126</v>
      </c>
      <c r="D4374" s="637" t="s">
        <v>329</v>
      </c>
      <c r="E4374" s="638">
        <v>40.950000000000003</v>
      </c>
      <c r="F4374" s="639" t="s">
        <v>292</v>
      </c>
      <c r="G4374" s="484">
        <v>0</v>
      </c>
      <c r="H4374" s="691" t="str">
        <f>IF(G4374=0,"",IF(F4374="Buy",IF(G4374=1,"plant","plants"),IF(F4374&gt;0.01,"warranty","Error")))</f>
        <v/>
      </c>
      <c r="I4374" s="640">
        <f>IF(H4374="free",0,IF(H4374="credit",((E4374*(F4374))*G4374*-1),IF(F4374="Buy",(E4374*G4374),((E4374*(1-F4374))*G4374))))</f>
        <v>0</v>
      </c>
      <c r="J4374" s="640">
        <f>IF(H4374="warranty",0,(I4374*(_xlfn.SINGLE(SalesTaxPercentage))))</f>
        <v>0</v>
      </c>
      <c r="K4374" s="716">
        <f t="shared" ref="K4374" si="3289">I4374+J4374</f>
        <v>0</v>
      </c>
      <c r="L4374" s="716"/>
      <c r="M4374" s="689" t="str">
        <f ca="1">IF(AND(G4374&gt;0,E4374=0),"WARNING - no PRICE inserted",IF(H4374="free","FREE ~ no charge this plant",IF(H4374="credit",CONCATENATE("-$",ROUND(K4374*(1-_xlfn.SINGLE(T2GDiscount))*-1,2)," CREDIT after discount"),IF(_xlfn.SINGLE(T2GDiscount)=0,"",IF(G4374=0,"",IF(F4374="Buy",CONCATENATE("$",ROUND(K4374*(1-_xlfn.SINGLE(T2GDiscount)),2)," with ",(_xlfn.SINGLE(T2GDiscount)*100),"% discount"),CONCATENATE("$",ROUND(K4374*(1-_xlfn.SINGLE(T2GDiscount)),2)," with ",((_xlfn.SINGLE(T2GDiscount)*100+F4374*100)-(_xlfn.SINGLE(T2GDiscount)*100*F4374)),IF(F4374&gt;0,"% discounts",IF(_xlfn.SINGLE(NoWarrantyDiscount)&gt;0,"% discounts","% discount")))))))))</f>
        <v/>
      </c>
      <c r="N4374" s="690"/>
      <c r="O4374" s="486"/>
      <c r="P4374" s="486"/>
      <c r="Q4374" s="486"/>
      <c r="R4374" s="486"/>
      <c r="S4374" s="486"/>
      <c r="T4374" s="102">
        <f t="shared" si="3276"/>
        <v>0</v>
      </c>
      <c r="U4374" s="78">
        <f>IF(NOT(ISNUMBER(G4374)), "", VLOOKUP(A4374,'Discount Lookup'!D:E,2,FALSE)*G4374)</f>
        <v>0</v>
      </c>
      <c r="V4374" s="78">
        <f>IF(NOT(ISNUMBER(G4374)), "", VLOOKUP(A4374,'Discount Lookup'!G:H,2,FALSE)*G4374)</f>
        <v>0</v>
      </c>
      <c r="W4374" s="102">
        <f t="shared" si="3277"/>
        <v>0</v>
      </c>
      <c r="X4374" s="102">
        <f t="shared" si="3278"/>
        <v>0</v>
      </c>
      <c r="Y4374" s="120" t="b">
        <f t="shared" si="3279"/>
        <v>0</v>
      </c>
      <c r="Z4374" s="117">
        <f t="shared" si="3280"/>
        <v>0</v>
      </c>
      <c r="AA4374" s="118"/>
      <c r="AB4374" s="118" t="str">
        <f t="shared" si="3281"/>
        <v/>
      </c>
      <c r="AC4374" s="712" t="str">
        <f>IF(AE4374="T2G","no charge",IF(AND(OR(PlanterYesMe="No",PlanterYesMe="N",PlanterYesMe="me"),H4374=""),"",IF(H4374="credit","NO install",IF(AND(K4374="",AE4374="me"),"EACH row",IF(AND(K4374="images",AE4374="me"),"EACH row",IF(D4374="","",IF(H4374="credit","",IF(AE4374="free","re-planting",IF(AE4374="me","   not ELP, by",IF(AND(OR(PlanterYesMe="Yes",PlanterYesMe="Y"),G4374&gt;0),(VLOOKUP(A4374,'Discount Lookup'!J:K,2)*G4374*(1-PlanterDiscount)*(1+PlanterDifficultyPercentage)),IF(AE4374="ELP",(VLOOKUP(A4374,'Discount Lookup'!J:K,2)*G4374*(1-PlanterDiscount)*(1+PlanterDifficultyPercentage)),IF(AE4374="free","re-planting",IF(G4374=0,"",IF(PlanterYesMe="",IF(AE4374="me","   not ELP, by",IF(AE4374="",IF(G4374&gt;0,(VLOOKUP(A4374,'Discount Lookup'!J:K,2)*G4374*(1-PlanterDiscount)*(1+PlanterDifficultyPercentage)),""),"")),"   not ELP, by"))))))))))))))</f>
        <v/>
      </c>
      <c r="AD4374" s="712"/>
      <c r="AE4374" s="513" t="str">
        <f t="shared" si="3282"/>
        <v/>
      </c>
      <c r="AF4374" s="713" t="str">
        <f t="shared" si="3283"/>
        <v/>
      </c>
      <c r="AG4374" s="713"/>
      <c r="AH4374" s="713"/>
      <c r="AI4374" s="112">
        <f>IF(H4374="credit",0,IF(AE4374="free",0,IF(AE4374="me",0,IF(G4374&gt;0,(VLOOKUP(A4374,'Discount Lookup'!J:K,2)*G4374),0))))</f>
        <v>0</v>
      </c>
      <c r="AJ4374" s="107" t="str">
        <f t="shared" ca="1" si="3284"/>
        <v/>
      </c>
      <c r="AK4374" s="714" t="str">
        <f t="shared" si="3285"/>
        <v/>
      </c>
      <c r="AL4374" s="714"/>
      <c r="AM4374" s="114" t="str">
        <f t="shared" si="3286"/>
        <v/>
      </c>
      <c r="AN4374" s="115"/>
      <c r="AO4374" s="116"/>
      <c r="AP4374" s="116"/>
      <c r="AQ4374" s="116"/>
      <c r="AR4374" s="116"/>
      <c r="AS4374" s="116"/>
      <c r="AT4374" s="116"/>
      <c r="AU4374" s="116"/>
      <c r="AV4374" s="78"/>
      <c r="AW4374" s="102"/>
      <c r="AX4374" s="78"/>
      <c r="AY4374" s="78"/>
      <c r="AZ4374" s="78"/>
      <c r="BA4374" s="78"/>
      <c r="BB4374" s="78"/>
      <c r="BC4374" s="78"/>
      <c r="BD4374" s="78"/>
      <c r="BE4374" s="465"/>
      <c r="BF4374" s="165" t="str">
        <f t="shared" si="3287"/>
        <v>https://www.google.com/search?tbm=isch&amp;q=3%20G2</v>
      </c>
      <c r="BG4374" s="165" t="str">
        <f t="shared" si="3288"/>
        <v>W</v>
      </c>
      <c r="BH4374" s="65"/>
      <c r="BI4374" s="65"/>
      <c r="BJ4374" s="65"/>
      <c r="BK4374" s="65"/>
      <c r="BL4374" s="99"/>
      <c r="BM4374" s="99"/>
      <c r="BN4374" s="99"/>
    </row>
    <row r="4375" spans="1:66" s="51" customFormat="1" ht="17.25" thickBot="1" x14ac:dyDescent="0.3">
      <c r="A4375" s="641" t="s">
        <v>4859</v>
      </c>
      <c r="B4375" s="642"/>
      <c r="C4375" s="710"/>
      <c r="D4375" s="643"/>
      <c r="E4375" s="643"/>
      <c r="F4375" s="644"/>
      <c r="G4375" s="645"/>
      <c r="H4375" s="646"/>
      <c r="I4375" s="647"/>
      <c r="J4375" s="648"/>
      <c r="K4375" s="649"/>
      <c r="L4375" s="650"/>
      <c r="M4375" s="650"/>
      <c r="N4375" s="644"/>
      <c r="O4375" s="644"/>
      <c r="P4375" s="644"/>
      <c r="Q4375" s="644"/>
      <c r="R4375" s="644"/>
      <c r="S4375" s="701" t="s">
        <v>5312</v>
      </c>
      <c r="T4375" s="102">
        <f t="shared" si="3276"/>
        <v>0</v>
      </c>
      <c r="U4375" s="78" t="str">
        <f>IF(NOT(ISNUMBER(G4375)), "", VLOOKUP(A4375,'Discount Lookup'!D:E,2,FALSE)*G4375)</f>
        <v/>
      </c>
      <c r="V4375" s="78" t="str">
        <f>IF(NOT(ISNUMBER(G4375)), "", VLOOKUP(A4375,'Discount Lookup'!G:H,2,FALSE)*G4375)</f>
        <v/>
      </c>
      <c r="W4375" s="102">
        <f t="shared" si="3277"/>
        <v>0</v>
      </c>
      <c r="X4375" s="102">
        <f t="shared" si="3278"/>
        <v>0</v>
      </c>
      <c r="Y4375" s="120" t="b">
        <f t="shared" si="3279"/>
        <v>0</v>
      </c>
      <c r="Z4375" s="117">
        <f t="shared" si="3280"/>
        <v>0</v>
      </c>
      <c r="AA4375" s="118"/>
      <c r="AB4375" s="118" t="str">
        <f t="shared" si="3281"/>
        <v/>
      </c>
      <c r="AC4375" s="712" t="str">
        <f>IF(AE4375="T2G","no charge",IF(AND(OR(PlanterYesMe="No",PlanterYesMe="N",PlanterYesMe="me"),H4375=""),"",IF(H4375="credit","NO install",IF(AND(K4375="",AE4375="me"),"EACH row",IF(AND(K4375="images",AE4375="me"),"EACH row",IF(D4375="","",IF(H4375="credit","",IF(AE4375="free","re-planting",IF(AE4375="me","   not ELP, by",IF(AND(OR(PlanterYesMe="Yes",PlanterYesMe="Y"),G4375&gt;0),(VLOOKUP(A4375,'Discount Lookup'!J:K,2)*G4375*(1-PlanterDiscount)*(1+PlanterDifficultyPercentage)),IF(AE4375="ELP",(VLOOKUP(A4375,'Discount Lookup'!J:K,2)*G4375*(1-PlanterDiscount)*(1+PlanterDifficultyPercentage)),IF(AE4375="free","re-planting",IF(G4375=0,"",IF(PlanterYesMe="",IF(AE4375="me","   not ELP, by",IF(AE4375="",IF(G4375&gt;0,(VLOOKUP(A4375,'Discount Lookup'!J:K,2)*G4375*(1-PlanterDiscount)*(1+PlanterDifficultyPercentage)),""),"")),"   not ELP, by"))))))))))))))</f>
        <v/>
      </c>
      <c r="AD4375" s="712"/>
      <c r="AE4375" s="513" t="str">
        <f t="shared" si="3282"/>
        <v/>
      </c>
      <c r="AF4375" s="713" t="str">
        <f t="shared" si="3283"/>
        <v/>
      </c>
      <c r="AG4375" s="713"/>
      <c r="AH4375" s="713"/>
      <c r="AI4375" s="112">
        <f>IF(H4375="credit",0,IF(AE4375="free",0,IF(AE4375="me",0,IF(G4375&gt;0,(VLOOKUP(A4375,'Discount Lookup'!J:K,2)*G4375),0))))</f>
        <v>0</v>
      </c>
      <c r="AJ4375" s="107" t="str">
        <f t="shared" ca="1" si="3284"/>
        <v/>
      </c>
      <c r="AK4375" s="714" t="str">
        <f t="shared" si="3285"/>
        <v/>
      </c>
      <c r="AL4375" s="714"/>
      <c r="AM4375" s="114" t="str">
        <f t="shared" si="3286"/>
        <v/>
      </c>
      <c r="AN4375" s="115"/>
      <c r="AO4375" s="116"/>
      <c r="AP4375" s="116"/>
      <c r="AQ4375" s="116"/>
      <c r="AR4375" s="116"/>
      <c r="AS4375" s="116"/>
      <c r="AT4375" s="116"/>
      <c r="AU4375" s="116"/>
      <c r="AV4375" s="78"/>
      <c r="AW4375" s="102"/>
      <c r="AX4375" s="78"/>
      <c r="AY4375" s="78"/>
      <c r="AZ4375" s="78"/>
      <c r="BA4375" s="78"/>
      <c r="BB4375" s="78"/>
      <c r="BC4375" s="78"/>
      <c r="BD4375" s="78"/>
      <c r="BE4375" s="465"/>
      <c r="BF4375" s="165" t="str">
        <f t="shared" si="3287"/>
        <v>https://www.google.com/search?tbm=isch&amp;q=Midnight%20Sun%20has%20blazing%20Orange-to-Red%20foliage%2C%20all%20the%20way%20to%20leaf%20drop.%20Trumpet-shaped%20flowers%20on%20old%20wood%E2%80%94prune%20right%20after%20spring%20bloom%20</v>
      </c>
      <c r="BG4375" s="165" t="str">
        <f t="shared" si="3288"/>
        <v>M</v>
      </c>
      <c r="BH4375" s="65"/>
      <c r="BI4375" s="65"/>
      <c r="BJ4375" s="65"/>
      <c r="BK4375" s="65"/>
      <c r="BL4375" s="99"/>
      <c r="BM4375" s="99"/>
      <c r="BN4375" s="99"/>
    </row>
    <row r="4376" spans="1:66" s="51" customFormat="1" ht="18" x14ac:dyDescent="0.25">
      <c r="A4376" s="623" t="s">
        <v>4518</v>
      </c>
      <c r="B4376" s="624"/>
      <c r="C4376" s="709"/>
      <c r="D4376" s="625" t="s">
        <v>5919</v>
      </c>
      <c r="E4376" s="626"/>
      <c r="F4376" s="626"/>
      <c r="G4376" s="626"/>
      <c r="H4376" s="622" t="s">
        <v>1270</v>
      </c>
      <c r="I4376" s="627" t="s">
        <v>4519</v>
      </c>
      <c r="J4376" s="628"/>
      <c r="K4376" s="628"/>
      <c r="L4376" s="629"/>
      <c r="M4376" s="700" t="s">
        <v>5241</v>
      </c>
      <c r="N4376" s="693" t="str">
        <f>IF(AND(ISTEXT($A4376), ISERROR($A4376+0)), HYPERLINK($BF4376, "Images"), "")</f>
        <v>Images</v>
      </c>
      <c r="O4376" s="695" t="s">
        <v>5247</v>
      </c>
      <c r="P4376" s="630"/>
      <c r="Q4376" s="631"/>
      <c r="R4376" s="632"/>
      <c r="S4376" s="633"/>
      <c r="T4376" s="102">
        <f t="shared" si="3276"/>
        <v>0</v>
      </c>
      <c r="U4376" s="78" t="str">
        <f>IF(NOT(ISNUMBER(G4376)), "", VLOOKUP(A4376,'Discount Lookup'!D:E,2,FALSE)*G4376)</f>
        <v/>
      </c>
      <c r="V4376" s="78" t="str">
        <f>IF(NOT(ISNUMBER(G4376)), "", VLOOKUP(A4376,'Discount Lookup'!G:H,2,FALSE)*G4376)</f>
        <v/>
      </c>
      <c r="W4376" s="102">
        <f t="shared" si="3277"/>
        <v>0</v>
      </c>
      <c r="X4376" s="102" t="str">
        <f t="shared" si="3278"/>
        <v>Deep Maroon-Red bloom</v>
      </c>
      <c r="Y4376" s="120" t="b">
        <f t="shared" si="3279"/>
        <v>0</v>
      </c>
      <c r="Z4376" s="117">
        <f t="shared" si="3280"/>
        <v>0</v>
      </c>
      <c r="AA4376" s="118"/>
      <c r="AB4376" s="118" t="str">
        <f t="shared" si="3281"/>
        <v/>
      </c>
      <c r="AC4376" s="712" t="str">
        <f>IF(AE4376="T2G","no charge",IF(AND(OR(PlanterYesMe="No",PlanterYesMe="N",PlanterYesMe="me"),H4376=""),"",IF(H4376="credit","NO install",IF(AND(K4376="",AE4376="me"),"EACH row",IF(AND(K4376="images",AE4376="me"),"EACH row",IF(D4376="","",IF(H4376="credit","",IF(AE4376="free","re-planting",IF(AE4376="me","   not ELP, by",IF(AND(OR(PlanterYesMe="Yes",PlanterYesMe="Y"),G4376&gt;0),(VLOOKUP(A4376,'Discount Lookup'!J:K,2)*G4376*(1-PlanterDiscount)*(1+PlanterDifficultyPercentage)),IF(AE4376="ELP",(VLOOKUP(A4376,'Discount Lookup'!J:K,2)*G4376*(1-PlanterDiscount)*(1+PlanterDifficultyPercentage)),IF(AE4376="free","re-planting",IF(G4376=0,"",IF(PlanterYesMe="",IF(AE4376="me","   not ELP, by",IF(AE4376="",IF(G4376&gt;0,(VLOOKUP(A4376,'Discount Lookup'!J:K,2)*G4376*(1-PlanterDiscount)*(1+PlanterDifficultyPercentage)),""),"")),"   not ELP, by"))))))))))))))</f>
        <v/>
      </c>
      <c r="AD4376" s="712"/>
      <c r="AE4376" s="513" t="str">
        <f t="shared" si="3282"/>
        <v/>
      </c>
      <c r="AF4376" s="713" t="str">
        <f t="shared" si="3283"/>
        <v/>
      </c>
      <c r="AG4376" s="713"/>
      <c r="AH4376" s="713"/>
      <c r="AI4376" s="112">
        <f>IF(H4376="credit",0,IF(AE4376="free",0,IF(AE4376="me",0,IF(G4376&gt;0,(VLOOKUP(A4376,'Discount Lookup'!J:K,2)*G4376),0))))</f>
        <v>0</v>
      </c>
      <c r="AJ4376" s="107" t="str">
        <f t="shared" ca="1" si="3284"/>
        <v/>
      </c>
      <c r="AK4376" s="714" t="str">
        <f t="shared" si="3285"/>
        <v/>
      </c>
      <c r="AL4376" s="714"/>
      <c r="AM4376" s="114" t="str">
        <f t="shared" si="3286"/>
        <v/>
      </c>
      <c r="AN4376" s="115"/>
      <c r="AO4376" s="116"/>
      <c r="AP4376" s="116"/>
      <c r="AQ4376" s="116"/>
      <c r="AR4376" s="116"/>
      <c r="AS4376" s="116"/>
      <c r="AT4376" s="116"/>
      <c r="AU4376" s="116"/>
      <c r="AV4376" s="78"/>
      <c r="AW4376" s="102"/>
      <c r="AX4376" s="78"/>
      <c r="AY4376" s="78"/>
      <c r="AZ4376" s="78"/>
      <c r="BA4376" s="78"/>
      <c r="BB4376" s="78"/>
      <c r="BC4376" s="78"/>
      <c r="BD4376" s="78"/>
      <c r="BE4376" s="465"/>
      <c r="BF4376" s="165" t="str">
        <f t="shared" si="3287"/>
        <v>https://www.google.com/search?tbm=isch&amp;q=Weigela%20%27Slingco%202%27%20PP%2326841%20Maroon%20Swoon%C2%AE%20Weigela%20%28BE%C2%AE%29</v>
      </c>
      <c r="BG4376" s="165" t="str">
        <f t="shared" si="3288"/>
        <v>W</v>
      </c>
      <c r="BH4376" s="65"/>
      <c r="BI4376" s="65"/>
      <c r="BJ4376" s="65"/>
      <c r="BK4376" s="65"/>
      <c r="BL4376" s="99"/>
      <c r="BM4376" s="99"/>
      <c r="BN4376" s="99"/>
    </row>
    <row r="4377" spans="1:66" s="51" customFormat="1" ht="15.75" x14ac:dyDescent="0.25">
      <c r="A4377" s="634">
        <v>1</v>
      </c>
      <c r="B4377" s="635" t="s">
        <v>291</v>
      </c>
      <c r="C4377" s="636" t="s">
        <v>4520</v>
      </c>
      <c r="D4377" s="637" t="s">
        <v>329</v>
      </c>
      <c r="E4377" s="638">
        <v>32.950000000000003</v>
      </c>
      <c r="F4377" s="639" t="s">
        <v>292</v>
      </c>
      <c r="G4377" s="484">
        <v>0</v>
      </c>
      <c r="H4377" s="691" t="str">
        <f>IF(G4377=0,"",IF(F4377="Buy",IF(G4377=1,"plant","plants"),IF(F4377&gt;0.01,"warranty","Error")))</f>
        <v/>
      </c>
      <c r="I4377" s="640">
        <f>IF(H4377="free",0,IF(H4377="credit",((E4377*(F4377))*G4377*-1),IF(F4377="Buy",(E4377*G4377),((E4377*(1-F4377))*G4377))))</f>
        <v>0</v>
      </c>
      <c r="J4377" s="640">
        <f>IF(H4377="warranty",0,(I4377*(_xlfn.SINGLE(SalesTaxPercentage))))</f>
        <v>0</v>
      </c>
      <c r="K4377" s="716">
        <f t="shared" ref="K4377" si="3290">I4377+J4377</f>
        <v>0</v>
      </c>
      <c r="L4377" s="716"/>
      <c r="M4377" s="689" t="str">
        <f ca="1">IF(AND(G4377&gt;0,E4377=0),"WARNING - no PRICE inserted",IF(H4377="free","FREE ~ no charge this plant",IF(H4377="credit",CONCATENATE("-$",ROUND(K4377*(1-_xlfn.SINGLE(T2GDiscount))*-1,2)," CREDIT after discount"),IF(_xlfn.SINGLE(T2GDiscount)=0,"",IF(G4377=0,"",IF(F4377="Buy",CONCATENATE("$",ROUND(K4377*(1-_xlfn.SINGLE(T2GDiscount)),2)," with ",(_xlfn.SINGLE(T2GDiscount)*100),"% discount"),CONCATENATE("$",ROUND(K4377*(1-_xlfn.SINGLE(T2GDiscount)),2)," with ",((_xlfn.SINGLE(T2GDiscount)*100+F4377*100)-(_xlfn.SINGLE(T2GDiscount)*100*F4377)),IF(F4377&gt;0,"% discounts",IF(_xlfn.SINGLE(NoWarrantyDiscount)&gt;0,"% discounts","% discount")))))))))</f>
        <v/>
      </c>
      <c r="N4377" s="690"/>
      <c r="O4377" s="486"/>
      <c r="P4377" s="486"/>
      <c r="Q4377" s="486"/>
      <c r="R4377" s="486"/>
      <c r="S4377" s="486"/>
      <c r="T4377" s="102">
        <f t="shared" si="3276"/>
        <v>0</v>
      </c>
      <c r="U4377" s="78">
        <f>IF(NOT(ISNUMBER(G4377)), "", VLOOKUP(A4377,'Discount Lookup'!D:E,2,FALSE)*G4377)</f>
        <v>0</v>
      </c>
      <c r="V4377" s="78">
        <f>IF(NOT(ISNUMBER(G4377)), "", VLOOKUP(A4377,'Discount Lookup'!G:H,2,FALSE)*G4377)</f>
        <v>0</v>
      </c>
      <c r="W4377" s="102">
        <f t="shared" si="3277"/>
        <v>0</v>
      </c>
      <c r="X4377" s="102">
        <f t="shared" si="3278"/>
        <v>0</v>
      </c>
      <c r="Y4377" s="120" t="b">
        <f t="shared" si="3279"/>
        <v>0</v>
      </c>
      <c r="Z4377" s="117">
        <f t="shared" si="3280"/>
        <v>0</v>
      </c>
      <c r="AA4377" s="118"/>
      <c r="AB4377" s="118" t="str">
        <f t="shared" si="3281"/>
        <v/>
      </c>
      <c r="AC4377" s="712" t="str">
        <f>IF(AE4377="T2G","no charge",IF(AND(OR(PlanterYesMe="No",PlanterYesMe="N",PlanterYesMe="me"),H4377=""),"",IF(H4377="credit","NO install",IF(AND(K4377="",AE4377="me"),"EACH row",IF(AND(K4377="images",AE4377="me"),"EACH row",IF(D4377="","",IF(H4377="credit","",IF(AE4377="free","re-planting",IF(AE4377="me","   not ELP, by",IF(AND(OR(PlanterYesMe="Yes",PlanterYesMe="Y"),G4377&gt;0),(VLOOKUP(A4377,'Discount Lookup'!J:K,2)*G4377*(1-PlanterDiscount)*(1+PlanterDifficultyPercentage)),IF(AE4377="ELP",(VLOOKUP(A4377,'Discount Lookup'!J:K,2)*G4377*(1-PlanterDiscount)*(1+PlanterDifficultyPercentage)),IF(AE4377="free","re-planting",IF(G4377=0,"",IF(PlanterYesMe="",IF(AE4377="me","   not ELP, by",IF(AE4377="",IF(G4377&gt;0,(VLOOKUP(A4377,'Discount Lookup'!J:K,2)*G4377*(1-PlanterDiscount)*(1+PlanterDifficultyPercentage)),""),"")),"   not ELP, by"))))))))))))))</f>
        <v/>
      </c>
      <c r="AD4377" s="712"/>
      <c r="AE4377" s="513" t="str">
        <f t="shared" si="3282"/>
        <v/>
      </c>
      <c r="AF4377" s="713" t="str">
        <f t="shared" si="3283"/>
        <v/>
      </c>
      <c r="AG4377" s="713"/>
      <c r="AH4377" s="713"/>
      <c r="AI4377" s="112">
        <f>IF(H4377="credit",0,IF(AE4377="free",0,IF(AE4377="me",0,IF(G4377&gt;0,(VLOOKUP(A4377,'Discount Lookup'!J:K,2)*G4377),0))))</f>
        <v>0</v>
      </c>
      <c r="AJ4377" s="107" t="str">
        <f t="shared" ca="1" si="3284"/>
        <v/>
      </c>
      <c r="AK4377" s="714" t="str">
        <f t="shared" si="3285"/>
        <v/>
      </c>
      <c r="AL4377" s="714"/>
      <c r="AM4377" s="114" t="str">
        <f t="shared" si="3286"/>
        <v/>
      </c>
      <c r="AN4377" s="115"/>
      <c r="AO4377" s="116"/>
      <c r="AP4377" s="116"/>
      <c r="AQ4377" s="116"/>
      <c r="AR4377" s="116"/>
      <c r="AS4377" s="116"/>
      <c r="AT4377" s="116"/>
      <c r="AU4377" s="116"/>
      <c r="AV4377" s="78"/>
      <c r="AW4377" s="102"/>
      <c r="AX4377" s="78"/>
      <c r="AY4377" s="78"/>
      <c r="AZ4377" s="78"/>
      <c r="BA4377" s="78"/>
      <c r="BB4377" s="78"/>
      <c r="BC4377" s="78"/>
      <c r="BD4377" s="78"/>
      <c r="BE4377" s="465"/>
      <c r="BF4377" s="165" t="str">
        <f t="shared" si="3287"/>
        <v>https://www.google.com/search?tbm=isch&amp;q=1%20G2</v>
      </c>
      <c r="BG4377" s="165" t="str">
        <f t="shared" si="3288"/>
        <v>W</v>
      </c>
      <c r="BH4377" s="65"/>
      <c r="BI4377" s="65"/>
      <c r="BJ4377" s="65"/>
      <c r="BK4377" s="65"/>
      <c r="BL4377" s="99"/>
      <c r="BM4377" s="99"/>
      <c r="BN4377" s="99"/>
    </row>
    <row r="4378" spans="1:66" s="51" customFormat="1" ht="17.25" thickBot="1" x14ac:dyDescent="0.3">
      <c r="A4378" s="641" t="s">
        <v>4860</v>
      </c>
      <c r="B4378" s="642"/>
      <c r="C4378" s="710"/>
      <c r="D4378" s="643"/>
      <c r="E4378" s="643"/>
      <c r="F4378" s="644"/>
      <c r="G4378" s="645"/>
      <c r="H4378" s="646"/>
      <c r="I4378" s="647"/>
      <c r="J4378" s="648"/>
      <c r="K4378" s="649"/>
      <c r="L4378" s="650"/>
      <c r="M4378" s="650"/>
      <c r="N4378" s="644"/>
      <c r="O4378" s="644"/>
      <c r="P4378" s="644"/>
      <c r="Q4378" s="644"/>
      <c r="R4378" s="644"/>
      <c r="S4378" s="701" t="s">
        <v>5312</v>
      </c>
      <c r="T4378" s="102">
        <f t="shared" si="3276"/>
        <v>0</v>
      </c>
      <c r="U4378" s="78" t="str">
        <f>IF(NOT(ISNUMBER(G4378)), "", VLOOKUP(A4378,'Discount Lookup'!D:E,2,FALSE)*G4378)</f>
        <v/>
      </c>
      <c r="V4378" s="78" t="str">
        <f>IF(NOT(ISNUMBER(G4378)), "", VLOOKUP(A4378,'Discount Lookup'!G:H,2,FALSE)*G4378)</f>
        <v/>
      </c>
      <c r="W4378" s="102">
        <f t="shared" si="3277"/>
        <v>0</v>
      </c>
      <c r="X4378" s="102">
        <f t="shared" si="3278"/>
        <v>0</v>
      </c>
      <c r="Y4378" s="120" t="b">
        <f t="shared" si="3279"/>
        <v>0</v>
      </c>
      <c r="Z4378" s="117">
        <f t="shared" si="3280"/>
        <v>0</v>
      </c>
      <c r="AA4378" s="118"/>
      <c r="AB4378" s="118" t="str">
        <f t="shared" si="3281"/>
        <v/>
      </c>
      <c r="AC4378" s="712" t="str">
        <f>IF(AE4378="T2G","no charge",IF(AND(OR(PlanterYesMe="No",PlanterYesMe="N",PlanterYesMe="me"),H4378=""),"",IF(H4378="credit","NO install",IF(AND(K4378="",AE4378="me"),"EACH row",IF(AND(K4378="images",AE4378="me"),"EACH row",IF(D4378="","",IF(H4378="credit","",IF(AE4378="free","re-planting",IF(AE4378="me","   not ELP, by",IF(AND(OR(PlanterYesMe="Yes",PlanterYesMe="Y"),G4378&gt;0),(VLOOKUP(A4378,'Discount Lookup'!J:K,2)*G4378*(1-PlanterDiscount)*(1+PlanterDifficultyPercentage)),IF(AE4378="ELP",(VLOOKUP(A4378,'Discount Lookup'!J:K,2)*G4378*(1-PlanterDiscount)*(1+PlanterDifficultyPercentage)),IF(AE4378="free","re-planting",IF(G4378=0,"",IF(PlanterYesMe="",IF(AE4378="me","   not ELP, by",IF(AE4378="",IF(G4378&gt;0,(VLOOKUP(A4378,'Discount Lookup'!J:K,2)*G4378*(1-PlanterDiscount)*(1+PlanterDifficultyPercentage)),""),"")),"   not ELP, by"))))))))))))))</f>
        <v/>
      </c>
      <c r="AD4378" s="712"/>
      <c r="AE4378" s="513" t="str">
        <f t="shared" si="3282"/>
        <v/>
      </c>
      <c r="AF4378" s="713" t="str">
        <f t="shared" si="3283"/>
        <v/>
      </c>
      <c r="AG4378" s="713"/>
      <c r="AH4378" s="713"/>
      <c r="AI4378" s="112">
        <f>IF(H4378="credit",0,IF(AE4378="free",0,IF(AE4378="me",0,IF(G4378&gt;0,(VLOOKUP(A4378,'Discount Lookup'!J:K,2)*G4378),0))))</f>
        <v>0</v>
      </c>
      <c r="AJ4378" s="107" t="str">
        <f t="shared" ca="1" si="3284"/>
        <v/>
      </c>
      <c r="AK4378" s="714" t="str">
        <f t="shared" si="3285"/>
        <v/>
      </c>
      <c r="AL4378" s="714"/>
      <c r="AM4378" s="114" t="str">
        <f t="shared" si="3286"/>
        <v/>
      </c>
      <c r="AN4378" s="115"/>
      <c r="AO4378" s="116"/>
      <c r="AP4378" s="116"/>
      <c r="AQ4378" s="116"/>
      <c r="AR4378" s="116"/>
      <c r="AS4378" s="116"/>
      <c r="AT4378" s="116"/>
      <c r="AU4378" s="116"/>
      <c r="AV4378" s="78"/>
      <c r="AW4378" s="102"/>
      <c r="AX4378" s="78"/>
      <c r="AY4378" s="78"/>
      <c r="AZ4378" s="78"/>
      <c r="BA4378" s="78"/>
      <c r="BB4378" s="78"/>
      <c r="BC4378" s="78"/>
      <c r="BD4378" s="78"/>
      <c r="BE4378" s="465"/>
      <c r="BF4378" s="165" t="str">
        <f t="shared" si="3287"/>
        <v>https://www.google.com/search?tbm=isch&amp;q=Maroon%20Swoon%20has%20Deep%20Green%20foliage%2C%20subtle%20Bronzing%20in%20fall.%20Trumpet-shaped%20flowers%20on%20old%20wood%E2%80%94prune%20right%20after%20spring%20bloom%20</v>
      </c>
      <c r="BG4378" s="165" t="str">
        <f t="shared" si="3288"/>
        <v>M</v>
      </c>
      <c r="BH4378" s="65"/>
      <c r="BI4378" s="65"/>
      <c r="BJ4378" s="65"/>
      <c r="BK4378" s="65"/>
      <c r="BL4378" s="99"/>
      <c r="BM4378" s="99"/>
      <c r="BN4378" s="99"/>
    </row>
    <row r="4379" spans="1:66" s="51" customFormat="1" ht="18" x14ac:dyDescent="0.25">
      <c r="A4379" s="623" t="s">
        <v>4521</v>
      </c>
      <c r="B4379" s="624"/>
      <c r="C4379" s="709"/>
      <c r="D4379" s="625" t="s">
        <v>5920</v>
      </c>
      <c r="E4379" s="626"/>
      <c r="F4379" s="626"/>
      <c r="G4379" s="626"/>
      <c r="H4379" s="622" t="s">
        <v>1124</v>
      </c>
      <c r="I4379" s="627" t="s">
        <v>2405</v>
      </c>
      <c r="J4379" s="628"/>
      <c r="K4379" s="628"/>
      <c r="L4379" s="629"/>
      <c r="M4379" s="700" t="s">
        <v>5241</v>
      </c>
      <c r="N4379" s="693" t="str">
        <f>IF(AND(ISTEXT($A4379), ISERROR($A4379+0)), HYPERLINK($BF4379, "Images"), "")</f>
        <v>Images</v>
      </c>
      <c r="O4379" s="695" t="s">
        <v>5247</v>
      </c>
      <c r="P4379" s="630"/>
      <c r="Q4379" s="631"/>
      <c r="R4379" s="632"/>
      <c r="S4379" s="633"/>
      <c r="T4379" s="102">
        <f t="shared" si="3276"/>
        <v>0</v>
      </c>
      <c r="U4379" s="78" t="str">
        <f>IF(NOT(ISNUMBER(G4379)), "", VLOOKUP(A4379,'Discount Lookup'!D:E,2,FALSE)*G4379)</f>
        <v/>
      </c>
      <c r="V4379" s="78" t="str">
        <f>IF(NOT(ISNUMBER(G4379)), "", VLOOKUP(A4379,'Discount Lookup'!G:H,2,FALSE)*G4379)</f>
        <v/>
      </c>
      <c r="W4379" s="102">
        <f t="shared" si="3277"/>
        <v>0</v>
      </c>
      <c r="X4379" s="102" t="str">
        <f t="shared" si="3278"/>
        <v>Bright Pink bloom</v>
      </c>
      <c r="Y4379" s="120" t="b">
        <f t="shared" si="3279"/>
        <v>0</v>
      </c>
      <c r="Z4379" s="117">
        <f t="shared" si="3280"/>
        <v>0</v>
      </c>
      <c r="AA4379" s="118"/>
      <c r="AB4379" s="118" t="str">
        <f t="shared" si="3281"/>
        <v/>
      </c>
      <c r="AC4379" s="712" t="str">
        <f>IF(AE4379="T2G","no charge",IF(AND(OR(PlanterYesMe="No",PlanterYesMe="N",PlanterYesMe="me"),H4379=""),"",IF(H4379="credit","NO install",IF(AND(K4379="",AE4379="me"),"EACH row",IF(AND(K4379="images",AE4379="me"),"EACH row",IF(D4379="","",IF(H4379="credit","",IF(AE4379="free","re-planting",IF(AE4379="me","   not ELP, by",IF(AND(OR(PlanterYesMe="Yes",PlanterYesMe="Y"),G4379&gt;0),(VLOOKUP(A4379,'Discount Lookup'!J:K,2)*G4379*(1-PlanterDiscount)*(1+PlanterDifficultyPercentage)),IF(AE4379="ELP",(VLOOKUP(A4379,'Discount Lookup'!J:K,2)*G4379*(1-PlanterDiscount)*(1+PlanterDifficultyPercentage)),IF(AE4379="free","re-planting",IF(G4379=0,"",IF(PlanterYesMe="",IF(AE4379="me","   not ELP, by",IF(AE4379="",IF(G4379&gt;0,(VLOOKUP(A4379,'Discount Lookup'!J:K,2)*G4379*(1-PlanterDiscount)*(1+PlanterDifficultyPercentage)),""),"")),"   not ELP, by"))))))))))))))</f>
        <v/>
      </c>
      <c r="AD4379" s="712"/>
      <c r="AE4379" s="513" t="str">
        <f t="shared" si="3282"/>
        <v/>
      </c>
      <c r="AF4379" s="713" t="str">
        <f t="shared" si="3283"/>
        <v/>
      </c>
      <c r="AG4379" s="713"/>
      <c r="AH4379" s="713"/>
      <c r="AI4379" s="112">
        <f>IF(H4379="credit",0,IF(AE4379="free",0,IF(AE4379="me",0,IF(G4379&gt;0,(VLOOKUP(A4379,'Discount Lookup'!J:K,2)*G4379),0))))</f>
        <v>0</v>
      </c>
      <c r="AJ4379" s="107" t="str">
        <f t="shared" ca="1" si="3284"/>
        <v/>
      </c>
      <c r="AK4379" s="714" t="str">
        <f t="shared" si="3285"/>
        <v/>
      </c>
      <c r="AL4379" s="714"/>
      <c r="AM4379" s="114" t="str">
        <f t="shared" si="3286"/>
        <v/>
      </c>
      <c r="AN4379" s="115"/>
      <c r="AO4379" s="116"/>
      <c r="AP4379" s="116"/>
      <c r="AQ4379" s="116"/>
      <c r="AR4379" s="116"/>
      <c r="AS4379" s="116"/>
      <c r="AT4379" s="116"/>
      <c r="AU4379" s="116"/>
      <c r="AV4379" s="78"/>
      <c r="AW4379" s="102"/>
      <c r="AX4379" s="78"/>
      <c r="AY4379" s="78"/>
      <c r="AZ4379" s="78"/>
      <c r="BA4379" s="78"/>
      <c r="BB4379" s="78"/>
      <c r="BC4379" s="78"/>
      <c r="BD4379" s="78"/>
      <c r="BE4379" s="465"/>
      <c r="BF4379" s="165" t="str">
        <f t="shared" si="3287"/>
        <v>https://www.google.com/search?tbm=isch&amp;q=Weigela%20%27Spring%202%27%20PP%2330185%20Stunner%C2%AE%20Weigela%20%28BE%C2%AE%29</v>
      </c>
      <c r="BG4379" s="165" t="str">
        <f t="shared" si="3288"/>
        <v>W</v>
      </c>
      <c r="BH4379" s="65"/>
      <c r="BI4379" s="65"/>
      <c r="BJ4379" s="65"/>
      <c r="BK4379" s="65"/>
      <c r="BL4379" s="99"/>
      <c r="BM4379" s="99"/>
      <c r="BN4379" s="99"/>
    </row>
    <row r="4380" spans="1:66" s="51" customFormat="1" ht="15.75" x14ac:dyDescent="0.25">
      <c r="A4380" s="634">
        <v>1</v>
      </c>
      <c r="B4380" s="635" t="s">
        <v>291</v>
      </c>
      <c r="C4380" s="636" t="s">
        <v>1120</v>
      </c>
      <c r="D4380" s="637" t="s">
        <v>329</v>
      </c>
      <c r="E4380" s="638">
        <v>32.950000000000003</v>
      </c>
      <c r="F4380" s="639" t="s">
        <v>292</v>
      </c>
      <c r="G4380" s="484">
        <v>0</v>
      </c>
      <c r="H4380" s="691" t="str">
        <f>IF(G4380=0,"",IF(F4380="Buy",IF(G4380=1,"plant","plants"),IF(F4380&gt;0.01,"warranty","Error")))</f>
        <v/>
      </c>
      <c r="I4380" s="640">
        <f>IF(H4380="free",0,IF(H4380="credit",((E4380*(F4380))*G4380*-1),IF(F4380="Buy",(E4380*G4380),((E4380*(1-F4380))*G4380))))</f>
        <v>0</v>
      </c>
      <c r="J4380" s="640">
        <f>IF(H4380="warranty",0,(I4380*(_xlfn.SINGLE(SalesTaxPercentage))))</f>
        <v>0</v>
      </c>
      <c r="K4380" s="716">
        <f t="shared" ref="K4380" si="3291">I4380+J4380</f>
        <v>0</v>
      </c>
      <c r="L4380" s="716"/>
      <c r="M4380" s="689" t="str">
        <f ca="1">IF(AND(G4380&gt;0,E4380=0),"WARNING - no PRICE inserted",IF(H4380="free","FREE ~ no charge this plant",IF(H4380="credit",CONCATENATE("-$",ROUND(K4380*(1-_xlfn.SINGLE(T2GDiscount))*-1,2)," CREDIT after discount"),IF(_xlfn.SINGLE(T2GDiscount)=0,"",IF(G4380=0,"",IF(F4380="Buy",CONCATENATE("$",ROUND(K4380*(1-_xlfn.SINGLE(T2GDiscount)),2)," with ",(_xlfn.SINGLE(T2GDiscount)*100),"% discount"),CONCATENATE("$",ROUND(K4380*(1-_xlfn.SINGLE(T2GDiscount)),2)," with ",((_xlfn.SINGLE(T2GDiscount)*100+F4380*100)-(_xlfn.SINGLE(T2GDiscount)*100*F4380)),IF(F4380&gt;0,"% discounts",IF(_xlfn.SINGLE(NoWarrantyDiscount)&gt;0,"% discounts","% discount")))))))))</f>
        <v/>
      </c>
      <c r="N4380" s="690"/>
      <c r="O4380" s="486"/>
      <c r="P4380" s="486"/>
      <c r="Q4380" s="486"/>
      <c r="R4380" s="486"/>
      <c r="S4380" s="486"/>
      <c r="T4380" s="102">
        <f t="shared" si="3276"/>
        <v>0</v>
      </c>
      <c r="U4380" s="78">
        <f>IF(NOT(ISNUMBER(G4380)), "", VLOOKUP(A4380,'Discount Lookup'!D:E,2,FALSE)*G4380)</f>
        <v>0</v>
      </c>
      <c r="V4380" s="78">
        <f>IF(NOT(ISNUMBER(G4380)), "", VLOOKUP(A4380,'Discount Lookup'!G:H,2,FALSE)*G4380)</f>
        <v>0</v>
      </c>
      <c r="W4380" s="102">
        <f t="shared" si="3277"/>
        <v>0</v>
      </c>
      <c r="X4380" s="102">
        <f t="shared" si="3278"/>
        <v>0</v>
      </c>
      <c r="Y4380" s="120" t="b">
        <f t="shared" si="3279"/>
        <v>0</v>
      </c>
      <c r="Z4380" s="117">
        <f t="shared" si="3280"/>
        <v>0</v>
      </c>
      <c r="AA4380" s="118"/>
      <c r="AB4380" s="118" t="str">
        <f t="shared" si="3281"/>
        <v/>
      </c>
      <c r="AC4380" s="712" t="str">
        <f>IF(AE4380="T2G","no charge",IF(AND(OR(PlanterYesMe="No",PlanterYesMe="N",PlanterYesMe="me"),H4380=""),"",IF(H4380="credit","NO install",IF(AND(K4380="",AE4380="me"),"EACH row",IF(AND(K4380="images",AE4380="me"),"EACH row",IF(D4380="","",IF(H4380="credit","",IF(AE4380="free","re-planting",IF(AE4380="me","   not ELP, by",IF(AND(OR(PlanterYesMe="Yes",PlanterYesMe="Y"),G4380&gt;0),(VLOOKUP(A4380,'Discount Lookup'!J:K,2)*G4380*(1-PlanterDiscount)*(1+PlanterDifficultyPercentage)),IF(AE4380="ELP",(VLOOKUP(A4380,'Discount Lookup'!J:K,2)*G4380*(1-PlanterDiscount)*(1+PlanterDifficultyPercentage)),IF(AE4380="free","re-planting",IF(G4380=0,"",IF(PlanterYesMe="",IF(AE4380="me","   not ELP, by",IF(AE4380="",IF(G4380&gt;0,(VLOOKUP(A4380,'Discount Lookup'!J:K,2)*G4380*(1-PlanterDiscount)*(1+PlanterDifficultyPercentage)),""),"")),"   not ELP, by"))))))))))))))</f>
        <v/>
      </c>
      <c r="AD4380" s="712"/>
      <c r="AE4380" s="513" t="str">
        <f t="shared" si="3282"/>
        <v/>
      </c>
      <c r="AF4380" s="713" t="str">
        <f t="shared" si="3283"/>
        <v/>
      </c>
      <c r="AG4380" s="713"/>
      <c r="AH4380" s="713"/>
      <c r="AI4380" s="112">
        <f>IF(H4380="credit",0,IF(AE4380="free",0,IF(AE4380="me",0,IF(G4380&gt;0,(VLOOKUP(A4380,'Discount Lookup'!J:K,2)*G4380),0))))</f>
        <v>0</v>
      </c>
      <c r="AJ4380" s="107" t="str">
        <f t="shared" ca="1" si="3284"/>
        <v/>
      </c>
      <c r="AK4380" s="714" t="str">
        <f t="shared" si="3285"/>
        <v/>
      </c>
      <c r="AL4380" s="714"/>
      <c r="AM4380" s="114" t="str">
        <f t="shared" si="3286"/>
        <v/>
      </c>
      <c r="AN4380" s="115"/>
      <c r="AO4380" s="116"/>
      <c r="AP4380" s="116"/>
      <c r="AQ4380" s="116"/>
      <c r="AR4380" s="116"/>
      <c r="AS4380" s="116"/>
      <c r="AT4380" s="116"/>
      <c r="AU4380" s="116"/>
      <c r="AV4380" s="78"/>
      <c r="AW4380" s="102"/>
      <c r="AX4380" s="78"/>
      <c r="AY4380" s="78"/>
      <c r="AZ4380" s="78"/>
      <c r="BA4380" s="78"/>
      <c r="BB4380" s="78"/>
      <c r="BC4380" s="78"/>
      <c r="BD4380" s="78"/>
      <c r="BE4380" s="465"/>
      <c r="BF4380" s="165" t="str">
        <f t="shared" si="3287"/>
        <v>https://www.google.com/search?tbm=isch&amp;q=1%20G2</v>
      </c>
      <c r="BG4380" s="165" t="str">
        <f t="shared" si="3288"/>
        <v>W</v>
      </c>
      <c r="BH4380" s="65"/>
      <c r="BI4380" s="65"/>
      <c r="BJ4380" s="65"/>
      <c r="BK4380" s="65"/>
      <c r="BL4380" s="99"/>
      <c r="BM4380" s="99"/>
      <c r="BN4380" s="99"/>
    </row>
    <row r="4381" spans="1:66" s="51" customFormat="1" ht="17.25" thickBot="1" x14ac:dyDescent="0.3">
      <c r="A4381" s="641" t="s">
        <v>4861</v>
      </c>
      <c r="B4381" s="642"/>
      <c r="C4381" s="710"/>
      <c r="D4381" s="643"/>
      <c r="E4381" s="643"/>
      <c r="F4381" s="644"/>
      <c r="G4381" s="645"/>
      <c r="H4381" s="646"/>
      <c r="I4381" s="647"/>
      <c r="J4381" s="648"/>
      <c r="K4381" s="649"/>
      <c r="L4381" s="650"/>
      <c r="M4381" s="650"/>
      <c r="N4381" s="644"/>
      <c r="O4381" s="644"/>
      <c r="P4381" s="644"/>
      <c r="Q4381" s="644"/>
      <c r="R4381" s="644"/>
      <c r="S4381" s="701" t="s">
        <v>5312</v>
      </c>
      <c r="T4381" s="102">
        <f t="shared" si="3276"/>
        <v>0</v>
      </c>
      <c r="U4381" s="78" t="str">
        <f>IF(NOT(ISNUMBER(G4381)), "", VLOOKUP(A4381,'Discount Lookup'!D:E,2,FALSE)*G4381)</f>
        <v/>
      </c>
      <c r="V4381" s="78" t="str">
        <f>IF(NOT(ISNUMBER(G4381)), "", VLOOKUP(A4381,'Discount Lookup'!G:H,2,FALSE)*G4381)</f>
        <v/>
      </c>
      <c r="W4381" s="102">
        <f t="shared" si="3277"/>
        <v>0</v>
      </c>
      <c r="X4381" s="102">
        <f t="shared" si="3278"/>
        <v>0</v>
      </c>
      <c r="Y4381" s="120" t="b">
        <f t="shared" si="3279"/>
        <v>0</v>
      </c>
      <c r="Z4381" s="117">
        <f t="shared" si="3280"/>
        <v>0</v>
      </c>
      <c r="AA4381" s="118"/>
      <c r="AB4381" s="118" t="str">
        <f t="shared" si="3281"/>
        <v/>
      </c>
      <c r="AC4381" s="712" t="str">
        <f>IF(AE4381="T2G","no charge",IF(AND(OR(PlanterYesMe="No",PlanterYesMe="N",PlanterYesMe="me"),H4381=""),"",IF(H4381="credit","NO install",IF(AND(K4381="",AE4381="me"),"EACH row",IF(AND(K4381="images",AE4381="me"),"EACH row",IF(D4381="","",IF(H4381="credit","",IF(AE4381="free","re-planting",IF(AE4381="me","   not ELP, by",IF(AND(OR(PlanterYesMe="Yes",PlanterYesMe="Y"),G4381&gt;0),(VLOOKUP(A4381,'Discount Lookup'!J:K,2)*G4381*(1-PlanterDiscount)*(1+PlanterDifficultyPercentage)),IF(AE4381="ELP",(VLOOKUP(A4381,'Discount Lookup'!J:K,2)*G4381*(1-PlanterDiscount)*(1+PlanterDifficultyPercentage)),IF(AE4381="free","re-planting",IF(G4381=0,"",IF(PlanterYesMe="",IF(AE4381="me","   not ELP, by",IF(AE4381="",IF(G4381&gt;0,(VLOOKUP(A4381,'Discount Lookup'!J:K,2)*G4381*(1-PlanterDiscount)*(1+PlanterDifficultyPercentage)),""),"")),"   not ELP, by"))))))))))))))</f>
        <v/>
      </c>
      <c r="AD4381" s="712"/>
      <c r="AE4381" s="513" t="str">
        <f t="shared" si="3282"/>
        <v/>
      </c>
      <c r="AF4381" s="713" t="str">
        <f t="shared" si="3283"/>
        <v/>
      </c>
      <c r="AG4381" s="713"/>
      <c r="AH4381" s="713"/>
      <c r="AI4381" s="112">
        <f>IF(H4381="credit",0,IF(AE4381="free",0,IF(AE4381="me",0,IF(G4381&gt;0,(VLOOKUP(A4381,'Discount Lookup'!J:K,2)*G4381),0))))</f>
        <v>0</v>
      </c>
      <c r="AJ4381" s="107" t="str">
        <f t="shared" ca="1" si="3284"/>
        <v/>
      </c>
      <c r="AK4381" s="714" t="str">
        <f t="shared" si="3285"/>
        <v/>
      </c>
      <c r="AL4381" s="714"/>
      <c r="AM4381" s="114" t="str">
        <f t="shared" si="3286"/>
        <v/>
      </c>
      <c r="AN4381" s="115"/>
      <c r="AO4381" s="116"/>
      <c r="AP4381" s="116"/>
      <c r="AQ4381" s="116"/>
      <c r="AR4381" s="116"/>
      <c r="AS4381" s="116"/>
      <c r="AT4381" s="116"/>
      <c r="AU4381" s="116"/>
      <c r="AV4381" s="78"/>
      <c r="AW4381" s="102"/>
      <c r="AX4381" s="78"/>
      <c r="AY4381" s="78"/>
      <c r="AZ4381" s="78"/>
      <c r="BA4381" s="78"/>
      <c r="BB4381" s="78"/>
      <c r="BC4381" s="78"/>
      <c r="BD4381" s="78"/>
      <c r="BE4381" s="465"/>
      <c r="BF4381" s="165" t="str">
        <f t="shared" si="3287"/>
        <v>https://www.google.com/search?tbm=isch&amp;q=Stunner%20Weigela%20has%20Dark%20Purple%20foliage%2C%20Burgundy%20hue%20in%20fall%20.%20Trumpet-shaped%20flowers%20on%20old%20wood%E2%80%94prune%20right%20after%20spring%20bloom%20</v>
      </c>
      <c r="BG4381" s="165" t="str">
        <f t="shared" si="3288"/>
        <v>S</v>
      </c>
      <c r="BH4381" s="65"/>
      <c r="BI4381" s="65"/>
      <c r="BJ4381" s="65"/>
      <c r="BK4381" s="65"/>
      <c r="BL4381" s="99"/>
      <c r="BM4381" s="99"/>
      <c r="BN4381" s="99"/>
    </row>
    <row r="4382" spans="1:66" s="51" customFormat="1" ht="18" x14ac:dyDescent="0.25">
      <c r="A4382" s="623" t="s">
        <v>4522</v>
      </c>
      <c r="B4382" s="624"/>
      <c r="C4382" s="709"/>
      <c r="D4382" s="625" t="s">
        <v>5859</v>
      </c>
      <c r="E4382" s="626"/>
      <c r="F4382" s="626"/>
      <c r="G4382" s="626"/>
      <c r="H4382" s="622" t="s">
        <v>1439</v>
      </c>
      <c r="I4382" s="627" t="s">
        <v>4523</v>
      </c>
      <c r="J4382" s="628"/>
      <c r="K4382" s="628"/>
      <c r="L4382" s="629"/>
      <c r="M4382" s="700" t="s">
        <v>5241</v>
      </c>
      <c r="N4382" s="693" t="str">
        <f>IF(AND(ISTEXT($A4382), ISERROR($A4382+0)), HYPERLINK($BF4382, "Images"), "")</f>
        <v>Images</v>
      </c>
      <c r="O4382" s="695" t="s">
        <v>5247</v>
      </c>
      <c r="P4382" s="630"/>
      <c r="Q4382" s="631"/>
      <c r="R4382" s="632"/>
      <c r="S4382" s="633"/>
      <c r="T4382" s="102">
        <f t="shared" si="3276"/>
        <v>0</v>
      </c>
      <c r="U4382" s="78" t="str">
        <f>IF(NOT(ISNUMBER(G4382)), "", VLOOKUP(A4382,'Discount Lookup'!D:E,2,FALSE)*G4382)</f>
        <v/>
      </c>
      <c r="V4382" s="78" t="str">
        <f>IF(NOT(ISNUMBER(G4382)), "", VLOOKUP(A4382,'Discount Lookup'!G:H,2,FALSE)*G4382)</f>
        <v/>
      </c>
      <c r="W4382" s="102">
        <f t="shared" si="3277"/>
        <v>0</v>
      </c>
      <c r="X4382" s="102" t="str">
        <f t="shared" si="3278"/>
        <v>True Red bloom</v>
      </c>
      <c r="Y4382" s="120" t="b">
        <f t="shared" si="3279"/>
        <v>0</v>
      </c>
      <c r="Z4382" s="117">
        <f t="shared" si="3280"/>
        <v>0</v>
      </c>
      <c r="AA4382" s="118"/>
      <c r="AB4382" s="118" t="str">
        <f t="shared" si="3281"/>
        <v/>
      </c>
      <c r="AC4382" s="712" t="str">
        <f>IF(AE4382="T2G","no charge",IF(AND(OR(PlanterYesMe="No",PlanterYesMe="N",PlanterYesMe="me"),H4382=""),"",IF(H4382="credit","NO install",IF(AND(K4382="",AE4382="me"),"EACH row",IF(AND(K4382="images",AE4382="me"),"EACH row",IF(D4382="","",IF(H4382="credit","",IF(AE4382="free","re-planting",IF(AE4382="me","   not ELP, by",IF(AND(OR(PlanterYesMe="Yes",PlanterYesMe="Y"),G4382&gt;0),(VLOOKUP(A4382,'Discount Lookup'!J:K,2)*G4382*(1-PlanterDiscount)*(1+PlanterDifficultyPercentage)),IF(AE4382="ELP",(VLOOKUP(A4382,'Discount Lookup'!J:K,2)*G4382*(1-PlanterDiscount)*(1+PlanterDifficultyPercentage)),IF(AE4382="free","re-planting",IF(G4382=0,"",IF(PlanterYesMe="",IF(AE4382="me","   not ELP, by",IF(AE4382="",IF(G4382&gt;0,(VLOOKUP(A4382,'Discount Lookup'!J:K,2)*G4382*(1-PlanterDiscount)*(1+PlanterDifficultyPercentage)),""),"")),"   not ELP, by"))))))))))))))</f>
        <v/>
      </c>
      <c r="AD4382" s="712"/>
      <c r="AE4382" s="513" t="str">
        <f t="shared" si="3282"/>
        <v/>
      </c>
      <c r="AF4382" s="713" t="str">
        <f t="shared" si="3283"/>
        <v/>
      </c>
      <c r="AG4382" s="713"/>
      <c r="AH4382" s="713"/>
      <c r="AI4382" s="112">
        <f>IF(H4382="credit",0,IF(AE4382="free",0,IF(AE4382="me",0,IF(G4382&gt;0,(VLOOKUP(A4382,'Discount Lookup'!J:K,2)*G4382),0))))</f>
        <v>0</v>
      </c>
      <c r="AJ4382" s="107" t="str">
        <f t="shared" ca="1" si="3284"/>
        <v/>
      </c>
      <c r="AK4382" s="714" t="str">
        <f t="shared" si="3285"/>
        <v/>
      </c>
      <c r="AL4382" s="714"/>
      <c r="AM4382" s="114" t="str">
        <f t="shared" si="3286"/>
        <v/>
      </c>
      <c r="AN4382" s="115"/>
      <c r="AO4382" s="116"/>
      <c r="AP4382" s="116"/>
      <c r="AQ4382" s="116"/>
      <c r="AR4382" s="116"/>
      <c r="AS4382" s="116"/>
      <c r="AT4382" s="116"/>
      <c r="AU4382" s="116"/>
      <c r="AV4382" s="78"/>
      <c r="AW4382" s="102"/>
      <c r="AX4382" s="78"/>
      <c r="AY4382" s="78"/>
      <c r="AZ4382" s="78"/>
      <c r="BA4382" s="78"/>
      <c r="BB4382" s="78"/>
      <c r="BC4382" s="78"/>
      <c r="BD4382" s="78"/>
      <c r="BE4382" s="465"/>
      <c r="BF4382" s="165" t="str">
        <f t="shared" si="3287"/>
        <v>https://www.google.com/search?tbm=isch&amp;q=Weigela%20%27ZR1%27%20PP%2330065%20Electric%20Love%C2%AE%20Weigela</v>
      </c>
      <c r="BG4382" s="165" t="str">
        <f t="shared" si="3288"/>
        <v>W</v>
      </c>
      <c r="BH4382" s="65"/>
      <c r="BI4382" s="65"/>
      <c r="BJ4382" s="65"/>
      <c r="BK4382" s="65"/>
      <c r="BL4382" s="99"/>
      <c r="BM4382" s="99"/>
      <c r="BN4382" s="99"/>
    </row>
    <row r="4383" spans="1:66" s="51" customFormat="1" ht="15.75" x14ac:dyDescent="0.25">
      <c r="A4383" s="634">
        <v>1</v>
      </c>
      <c r="B4383" s="635" t="s">
        <v>291</v>
      </c>
      <c r="C4383" s="636" t="s">
        <v>4524</v>
      </c>
      <c r="D4383" s="637" t="s">
        <v>329</v>
      </c>
      <c r="E4383" s="638">
        <v>32.950000000000003</v>
      </c>
      <c r="F4383" s="639" t="s">
        <v>292</v>
      </c>
      <c r="G4383" s="484">
        <v>0</v>
      </c>
      <c r="H4383" s="691" t="str">
        <f>IF(G4383=0,"",IF(F4383="Buy",IF(G4383=1,"plant","plants"),IF(F4383&gt;0.01,"warranty","Error")))</f>
        <v/>
      </c>
      <c r="I4383" s="640">
        <f>IF(H4383="free",0,IF(H4383="credit",((E4383*(F4383))*G4383*-1),IF(F4383="Buy",(E4383*G4383),((E4383*(1-F4383))*G4383))))</f>
        <v>0</v>
      </c>
      <c r="J4383" s="640">
        <f>IF(H4383="warranty",0,(I4383*(_xlfn.SINGLE(SalesTaxPercentage))))</f>
        <v>0</v>
      </c>
      <c r="K4383" s="716">
        <f t="shared" ref="K4383" si="3292">I4383+J4383</f>
        <v>0</v>
      </c>
      <c r="L4383" s="716"/>
      <c r="M4383" s="689" t="str">
        <f ca="1">IF(AND(G4383&gt;0,E4383=0),"WARNING - no PRICE inserted",IF(H4383="free","FREE ~ no charge this plant",IF(H4383="credit",CONCATENATE("-$",ROUND(K4383*(1-_xlfn.SINGLE(T2GDiscount))*-1,2)," CREDIT after discount"),IF(_xlfn.SINGLE(T2GDiscount)=0,"",IF(G4383=0,"",IF(F4383="Buy",CONCATENATE("$",ROUND(K4383*(1-_xlfn.SINGLE(T2GDiscount)),2)," with ",(_xlfn.SINGLE(T2GDiscount)*100),"% discount"),CONCATENATE("$",ROUND(K4383*(1-_xlfn.SINGLE(T2GDiscount)),2)," with ",((_xlfn.SINGLE(T2GDiscount)*100+F4383*100)-(_xlfn.SINGLE(T2GDiscount)*100*F4383)),IF(F4383&gt;0,"% discounts",IF(_xlfn.SINGLE(NoWarrantyDiscount)&gt;0,"% discounts","% discount")))))))))</f>
        <v/>
      </c>
      <c r="N4383" s="690"/>
      <c r="O4383" s="486"/>
      <c r="P4383" s="486"/>
      <c r="Q4383" s="486"/>
      <c r="R4383" s="486"/>
      <c r="S4383" s="486"/>
      <c r="T4383" s="102">
        <f t="shared" si="3276"/>
        <v>0</v>
      </c>
      <c r="U4383" s="78">
        <f>IF(NOT(ISNUMBER(G4383)), "", VLOOKUP(A4383,'Discount Lookup'!D:E,2,FALSE)*G4383)</f>
        <v>0</v>
      </c>
      <c r="V4383" s="78">
        <f>IF(NOT(ISNUMBER(G4383)), "", VLOOKUP(A4383,'Discount Lookup'!G:H,2,FALSE)*G4383)</f>
        <v>0</v>
      </c>
      <c r="W4383" s="102">
        <f t="shared" si="3277"/>
        <v>0</v>
      </c>
      <c r="X4383" s="102">
        <f t="shared" si="3278"/>
        <v>0</v>
      </c>
      <c r="Y4383" s="120" t="b">
        <f t="shared" si="3279"/>
        <v>0</v>
      </c>
      <c r="Z4383" s="117">
        <f t="shared" si="3280"/>
        <v>0</v>
      </c>
      <c r="AA4383" s="118"/>
      <c r="AB4383" s="118" t="str">
        <f t="shared" si="3281"/>
        <v/>
      </c>
      <c r="AC4383" s="712" t="str">
        <f>IF(AE4383="T2G","no charge",IF(AND(OR(PlanterYesMe="No",PlanterYesMe="N",PlanterYesMe="me"),H4383=""),"",IF(H4383="credit","NO install",IF(AND(K4383="",AE4383="me"),"EACH row",IF(AND(K4383="images",AE4383="me"),"EACH row",IF(D4383="","",IF(H4383="credit","",IF(AE4383="free","re-planting",IF(AE4383="me","   not ELP, by",IF(AND(OR(PlanterYesMe="Yes",PlanterYesMe="Y"),G4383&gt;0),(VLOOKUP(A4383,'Discount Lookup'!J:K,2)*G4383*(1-PlanterDiscount)*(1+PlanterDifficultyPercentage)),IF(AE4383="ELP",(VLOOKUP(A4383,'Discount Lookup'!J:K,2)*G4383*(1-PlanterDiscount)*(1+PlanterDifficultyPercentage)),IF(AE4383="free","re-planting",IF(G4383=0,"",IF(PlanterYesMe="",IF(AE4383="me","   not ELP, by",IF(AE4383="",IF(G4383&gt;0,(VLOOKUP(A4383,'Discount Lookup'!J:K,2)*G4383*(1-PlanterDiscount)*(1+PlanterDifficultyPercentage)),""),"")),"   not ELP, by"))))))))))))))</f>
        <v/>
      </c>
      <c r="AD4383" s="712"/>
      <c r="AE4383" s="513" t="str">
        <f t="shared" si="3282"/>
        <v/>
      </c>
      <c r="AF4383" s="713" t="str">
        <f t="shared" si="3283"/>
        <v/>
      </c>
      <c r="AG4383" s="713"/>
      <c r="AH4383" s="713"/>
      <c r="AI4383" s="112">
        <f>IF(H4383="credit",0,IF(AE4383="free",0,IF(AE4383="me",0,IF(G4383&gt;0,(VLOOKUP(A4383,'Discount Lookup'!J:K,2)*G4383),0))))</f>
        <v>0</v>
      </c>
      <c r="AJ4383" s="107" t="str">
        <f t="shared" ca="1" si="3284"/>
        <v/>
      </c>
      <c r="AK4383" s="714" t="str">
        <f t="shared" si="3285"/>
        <v/>
      </c>
      <c r="AL4383" s="714"/>
      <c r="AM4383" s="114" t="str">
        <f t="shared" si="3286"/>
        <v/>
      </c>
      <c r="AN4383" s="115"/>
      <c r="AO4383" s="116"/>
      <c r="AP4383" s="116"/>
      <c r="AQ4383" s="116"/>
      <c r="AR4383" s="116"/>
      <c r="AS4383" s="116"/>
      <c r="AT4383" s="116"/>
      <c r="AU4383" s="116"/>
      <c r="AV4383" s="78"/>
      <c r="AW4383" s="102"/>
      <c r="AX4383" s="78"/>
      <c r="AY4383" s="78"/>
      <c r="AZ4383" s="78"/>
      <c r="BA4383" s="78"/>
      <c r="BB4383" s="78"/>
      <c r="BC4383" s="78"/>
      <c r="BD4383" s="78"/>
      <c r="BE4383" s="465"/>
      <c r="BF4383" s="165" t="str">
        <f t="shared" si="3287"/>
        <v>https://www.google.com/search?tbm=isch&amp;q=1%20G2</v>
      </c>
      <c r="BG4383" s="165" t="str">
        <f t="shared" si="3288"/>
        <v>W</v>
      </c>
      <c r="BH4383" s="65"/>
      <c r="BI4383" s="65"/>
      <c r="BJ4383" s="65"/>
      <c r="BK4383" s="65"/>
      <c r="BL4383" s="99"/>
      <c r="BM4383" s="99"/>
      <c r="BN4383" s="99"/>
    </row>
    <row r="4384" spans="1:66" s="51" customFormat="1" ht="15.75" x14ac:dyDescent="0.25">
      <c r="A4384" s="634">
        <v>3</v>
      </c>
      <c r="B4384" s="635" t="s">
        <v>291</v>
      </c>
      <c r="C4384" s="636" t="s">
        <v>4525</v>
      </c>
      <c r="D4384" s="637" t="s">
        <v>311</v>
      </c>
      <c r="E4384" s="638">
        <v>36.950000000000003</v>
      </c>
      <c r="F4384" s="639" t="s">
        <v>292</v>
      </c>
      <c r="G4384" s="484">
        <v>0</v>
      </c>
      <c r="H4384" s="691" t="str">
        <f>IF(G4384=0,"",IF(F4384="Buy",IF(G4384=1,"plant","plants"),IF(F4384&gt;0.01,"warranty","Error")))</f>
        <v/>
      </c>
      <c r="I4384" s="640">
        <f>IF(H4384="free",0,IF(H4384="credit",((E4384*(F4384))*G4384*-1),IF(F4384="Buy",(E4384*G4384),((E4384*(1-F4384))*G4384))))</f>
        <v>0</v>
      </c>
      <c r="J4384" s="640">
        <f>IF(H4384="warranty",0,(I4384*(_xlfn.SINGLE(SalesTaxPercentage))))</f>
        <v>0</v>
      </c>
      <c r="K4384" s="716">
        <f t="shared" ref="K4384" si="3293">I4384+J4384</f>
        <v>0</v>
      </c>
      <c r="L4384" s="716"/>
      <c r="M4384" s="689" t="str">
        <f ca="1">IF(AND(G4384&gt;0,E4384=0),"WARNING - no PRICE inserted",IF(H4384="free","FREE ~ no charge this plant",IF(H4384="credit",CONCATENATE("-$",ROUND(K4384*(1-_xlfn.SINGLE(T2GDiscount))*-1,2)," CREDIT after discount"),IF(_xlfn.SINGLE(T2GDiscount)=0,"",IF(G4384=0,"",IF(F4384="Buy",CONCATENATE("$",ROUND(K4384*(1-_xlfn.SINGLE(T2GDiscount)),2)," with ",(_xlfn.SINGLE(T2GDiscount)*100),"% discount"),CONCATENATE("$",ROUND(K4384*(1-_xlfn.SINGLE(T2GDiscount)),2)," with ",((_xlfn.SINGLE(T2GDiscount)*100+F4384*100)-(_xlfn.SINGLE(T2GDiscount)*100*F4384)),IF(F4384&gt;0,"% discounts",IF(_xlfn.SINGLE(NoWarrantyDiscount)&gt;0,"% discounts","% discount")))))))))</f>
        <v/>
      </c>
      <c r="N4384" s="690"/>
      <c r="O4384" s="486"/>
      <c r="P4384" s="486"/>
      <c r="Q4384" s="486"/>
      <c r="R4384" s="486"/>
      <c r="S4384" s="486"/>
      <c r="T4384" s="102">
        <f t="shared" si="3276"/>
        <v>0</v>
      </c>
      <c r="U4384" s="78">
        <f>IF(NOT(ISNUMBER(G4384)), "", VLOOKUP(A4384,'Discount Lookup'!D:E,2,FALSE)*G4384)</f>
        <v>0</v>
      </c>
      <c r="V4384" s="78">
        <f>IF(NOT(ISNUMBER(G4384)), "", VLOOKUP(A4384,'Discount Lookup'!G:H,2,FALSE)*G4384)</f>
        <v>0</v>
      </c>
      <c r="W4384" s="102">
        <f t="shared" si="3277"/>
        <v>0</v>
      </c>
      <c r="X4384" s="102">
        <f t="shared" si="3278"/>
        <v>0</v>
      </c>
      <c r="Y4384" s="120" t="b">
        <f t="shared" si="3279"/>
        <v>0</v>
      </c>
      <c r="Z4384" s="117">
        <f t="shared" si="3280"/>
        <v>0</v>
      </c>
      <c r="AA4384" s="118"/>
      <c r="AB4384" s="118" t="str">
        <f t="shared" si="3281"/>
        <v/>
      </c>
      <c r="AC4384" s="712" t="str">
        <f>IF(AE4384="T2G","no charge",IF(AND(OR(PlanterYesMe="No",PlanterYesMe="N",PlanterYesMe="me"),H4384=""),"",IF(H4384="credit","NO install",IF(AND(K4384="",AE4384="me"),"EACH row",IF(AND(K4384="images",AE4384="me"),"EACH row",IF(D4384="","",IF(H4384="credit","",IF(AE4384="free","re-planting",IF(AE4384="me","   not ELP, by",IF(AND(OR(PlanterYesMe="Yes",PlanterYesMe="Y"),G4384&gt;0),(VLOOKUP(A4384,'Discount Lookup'!J:K,2)*G4384*(1-PlanterDiscount)*(1+PlanterDifficultyPercentage)),IF(AE4384="ELP",(VLOOKUP(A4384,'Discount Lookup'!J:K,2)*G4384*(1-PlanterDiscount)*(1+PlanterDifficultyPercentage)),IF(AE4384="free","re-planting",IF(G4384=0,"",IF(PlanterYesMe="",IF(AE4384="me","   not ELP, by",IF(AE4384="",IF(G4384&gt;0,(VLOOKUP(A4384,'Discount Lookup'!J:K,2)*G4384*(1-PlanterDiscount)*(1+PlanterDifficultyPercentage)),""),"")),"   not ELP, by"))))))))))))))</f>
        <v/>
      </c>
      <c r="AD4384" s="712"/>
      <c r="AE4384" s="513" t="str">
        <f t="shared" si="3282"/>
        <v/>
      </c>
      <c r="AF4384" s="713" t="str">
        <f t="shared" si="3283"/>
        <v/>
      </c>
      <c r="AG4384" s="713"/>
      <c r="AH4384" s="713"/>
      <c r="AI4384" s="112">
        <f>IF(H4384="credit",0,IF(AE4384="free",0,IF(AE4384="me",0,IF(G4384&gt;0,(VLOOKUP(A4384,'Discount Lookup'!J:K,2)*G4384),0))))</f>
        <v>0</v>
      </c>
      <c r="AJ4384" s="107" t="str">
        <f t="shared" ca="1" si="3284"/>
        <v/>
      </c>
      <c r="AK4384" s="714" t="str">
        <f t="shared" si="3285"/>
        <v/>
      </c>
      <c r="AL4384" s="714"/>
      <c r="AM4384" s="114" t="str">
        <f t="shared" si="3286"/>
        <v/>
      </c>
      <c r="AN4384" s="115"/>
      <c r="AO4384" s="116"/>
      <c r="AP4384" s="116"/>
      <c r="AQ4384" s="116"/>
      <c r="AR4384" s="116"/>
      <c r="AS4384" s="116"/>
      <c r="AT4384" s="116"/>
      <c r="AU4384" s="116"/>
      <c r="AV4384" s="78"/>
      <c r="AW4384" s="102"/>
      <c r="AX4384" s="78"/>
      <c r="AY4384" s="78"/>
      <c r="AZ4384" s="78"/>
      <c r="BA4384" s="78"/>
      <c r="BB4384" s="78"/>
      <c r="BC4384" s="78"/>
      <c r="BD4384" s="78"/>
      <c r="BE4384" s="465"/>
      <c r="BF4384" s="165" t="str">
        <f t="shared" si="3287"/>
        <v>https://www.google.com/search?tbm=isch&amp;q=3%20G5</v>
      </c>
      <c r="BG4384" s="165" t="str">
        <f t="shared" si="3288"/>
        <v>W</v>
      </c>
      <c r="BH4384" s="65"/>
      <c r="BI4384" s="65"/>
      <c r="BJ4384" s="65"/>
      <c r="BK4384" s="65"/>
      <c r="BL4384" s="99"/>
      <c r="BM4384" s="99"/>
      <c r="BN4384" s="99"/>
    </row>
    <row r="4385" spans="1:66" s="51" customFormat="1" ht="16.5" x14ac:dyDescent="0.25">
      <c r="A4385" s="641" t="s">
        <v>4862</v>
      </c>
      <c r="B4385" s="642"/>
      <c r="C4385" s="710"/>
      <c r="D4385" s="643"/>
      <c r="E4385" s="643"/>
      <c r="F4385" s="644"/>
      <c r="G4385" s="645"/>
      <c r="H4385" s="646"/>
      <c r="I4385" s="647"/>
      <c r="J4385" s="648"/>
      <c r="K4385" s="649"/>
      <c r="L4385" s="650"/>
      <c r="M4385" s="650"/>
      <c r="N4385" s="644"/>
      <c r="O4385" s="644"/>
      <c r="P4385" s="644"/>
      <c r="Q4385" s="644"/>
      <c r="R4385" s="644"/>
      <c r="S4385" s="701" t="s">
        <v>5312</v>
      </c>
      <c r="T4385" s="102">
        <f t="shared" si="3276"/>
        <v>0</v>
      </c>
      <c r="U4385" s="78" t="str">
        <f>IF(NOT(ISNUMBER(G4385)), "", VLOOKUP(A4385,'Discount Lookup'!D:E,2,FALSE)*G4385)</f>
        <v/>
      </c>
      <c r="V4385" s="78" t="str">
        <f>IF(NOT(ISNUMBER(G4385)), "", VLOOKUP(A4385,'Discount Lookup'!G:H,2,FALSE)*G4385)</f>
        <v/>
      </c>
      <c r="W4385" s="102">
        <f t="shared" si="3277"/>
        <v>0</v>
      </c>
      <c r="X4385" s="102">
        <f t="shared" si="3278"/>
        <v>0</v>
      </c>
      <c r="Y4385" s="120" t="b">
        <f t="shared" si="3279"/>
        <v>0</v>
      </c>
      <c r="Z4385" s="117">
        <f t="shared" si="3280"/>
        <v>0</v>
      </c>
      <c r="AA4385" s="118"/>
      <c r="AB4385" s="118" t="str">
        <f t="shared" si="3281"/>
        <v/>
      </c>
      <c r="AC4385" s="712" t="str">
        <f>IF(AE4385="T2G","no charge",IF(AND(OR(PlanterYesMe="No",PlanterYesMe="N",PlanterYesMe="me"),H4385=""),"",IF(H4385="credit","NO install",IF(AND(K4385="",AE4385="me"),"EACH row",IF(AND(K4385="images",AE4385="me"),"EACH row",IF(D4385="","",IF(H4385="credit","",IF(AE4385="free","re-planting",IF(AE4385="me","   not ELP, by",IF(AND(OR(PlanterYesMe="Yes",PlanterYesMe="Y"),G4385&gt;0),(VLOOKUP(A4385,'Discount Lookup'!J:K,2)*G4385*(1-PlanterDiscount)*(1+PlanterDifficultyPercentage)),IF(AE4385="ELP",(VLOOKUP(A4385,'Discount Lookup'!J:K,2)*G4385*(1-PlanterDiscount)*(1+PlanterDifficultyPercentage)),IF(AE4385="free","re-planting",IF(G4385=0,"",IF(PlanterYesMe="",IF(AE4385="me","   not ELP, by",IF(AE4385="",IF(G4385&gt;0,(VLOOKUP(A4385,'Discount Lookup'!J:K,2)*G4385*(1-PlanterDiscount)*(1+PlanterDifficultyPercentage)),""),"")),"   not ELP, by"))))))))))))))</f>
        <v/>
      </c>
      <c r="AD4385" s="712"/>
      <c r="AE4385" s="513" t="str">
        <f t="shared" si="3282"/>
        <v/>
      </c>
      <c r="AF4385" s="713" t="str">
        <f t="shared" si="3283"/>
        <v/>
      </c>
      <c r="AG4385" s="713"/>
      <c r="AH4385" s="713"/>
      <c r="AI4385" s="112">
        <f>IF(H4385="credit",0,IF(AE4385="free",0,IF(AE4385="me",0,IF(G4385&gt;0,(VLOOKUP(A4385,'Discount Lookup'!J:K,2)*G4385),0))))</f>
        <v>0</v>
      </c>
      <c r="AJ4385" s="107" t="str">
        <f t="shared" ca="1" si="3284"/>
        <v/>
      </c>
      <c r="AK4385" s="714" t="str">
        <f t="shared" si="3285"/>
        <v/>
      </c>
      <c r="AL4385" s="714"/>
      <c r="AM4385" s="114" t="str">
        <f t="shared" si="3286"/>
        <v/>
      </c>
      <c r="AN4385" s="115"/>
      <c r="AO4385" s="116"/>
      <c r="AP4385" s="116"/>
      <c r="AQ4385" s="116"/>
      <c r="AR4385" s="116"/>
      <c r="AS4385" s="116"/>
      <c r="AT4385" s="116"/>
      <c r="AU4385" s="116"/>
      <c r="AV4385" s="78"/>
      <c r="AW4385" s="102"/>
      <c r="AX4385" s="78"/>
      <c r="AY4385" s="78"/>
      <c r="AZ4385" s="78"/>
      <c r="BA4385" s="78"/>
      <c r="BB4385" s="78"/>
      <c r="BC4385" s="78"/>
      <c r="BD4385" s="78"/>
      <c r="BE4385" s="465"/>
      <c r="BF4385" s="165" t="str">
        <f t="shared" si="3287"/>
        <v>https://www.google.com/search?tbm=isch&amp;q=Electric%20Love%20has%20Deep%20Purple%20foliage%2C%20subtle%20Bronzing%20in%20fall.%20Trumpet-shaped%20flowers%20on%20old%20wood%E2%80%94prune%20right%20after%20spring%20bloom%20</v>
      </c>
      <c r="BG4385" s="165" t="str">
        <f t="shared" si="3288"/>
        <v>E</v>
      </c>
      <c r="BH4385" s="65"/>
      <c r="BI4385" s="65"/>
      <c r="BJ4385" s="65"/>
      <c r="BK4385" s="65"/>
      <c r="BL4385" s="99"/>
      <c r="BM4385" s="99"/>
      <c r="BN4385" s="99"/>
    </row>
    <row r="4386" spans="1:66" s="51" customFormat="1" ht="19.5" thickBot="1" x14ac:dyDescent="0.3">
      <c r="A4386" s="686" t="s">
        <v>822</v>
      </c>
      <c r="B4386" s="73"/>
      <c r="C4386" s="708"/>
      <c r="D4386" s="73"/>
      <c r="E4386" s="73"/>
      <c r="F4386" s="496"/>
      <c r="G4386" s="73"/>
      <c r="H4386" s="73"/>
      <c r="I4386" s="73"/>
      <c r="J4386" s="497" t="s">
        <v>357</v>
      </c>
      <c r="K4386" s="498"/>
      <c r="L4386" s="562"/>
      <c r="M4386" s="73"/>
      <c r="N4386"/>
      <c r="O4386"/>
      <c r="P4386"/>
      <c r="Q4386"/>
      <c r="R4386"/>
      <c r="S4386"/>
      <c r="T4386" s="102">
        <f t="shared" si="3276"/>
        <v>0</v>
      </c>
      <c r="U4386" s="78" t="str">
        <f>IF(NOT(ISNUMBER(G4386)), "", VLOOKUP(A4386,'Discount Lookup'!D:E,2,FALSE)*G4386)</f>
        <v/>
      </c>
      <c r="V4386" s="78" t="str">
        <f>IF(NOT(ISNUMBER(G4386)), "", VLOOKUP(A4386,'Discount Lookup'!G:H,2,FALSE)*G4386)</f>
        <v/>
      </c>
      <c r="W4386" s="102">
        <f t="shared" si="3277"/>
        <v>0</v>
      </c>
      <c r="X4386" s="102">
        <f t="shared" si="3278"/>
        <v>0</v>
      </c>
      <c r="Y4386" s="120" t="b">
        <f t="shared" si="3279"/>
        <v>0</v>
      </c>
      <c r="Z4386" s="117">
        <f t="shared" si="3280"/>
        <v>0</v>
      </c>
      <c r="AA4386" s="118"/>
      <c r="AB4386" s="118" t="str">
        <f t="shared" si="3281"/>
        <v/>
      </c>
      <c r="AC4386" s="712" t="str">
        <f>IF(AE4386="T2G","no charge",IF(AND(OR(PlanterYesMe="No",PlanterYesMe="N",PlanterYesMe="me"),H4386=""),"",IF(H4386="credit","NO install",IF(AND(K4386="",AE4386="me"),"EACH row",IF(AND(K4386="images",AE4386="me"),"EACH row",IF(D4386="","",IF(H4386="credit","",IF(AE4386="free","re-planting",IF(AE4386="me","   not ELP, by",IF(AND(OR(PlanterYesMe="Yes",PlanterYesMe="Y"),G4386&gt;0),(VLOOKUP(A4386,'Discount Lookup'!J:K,2)*G4386*(1-PlanterDiscount)*(1+PlanterDifficultyPercentage)),IF(AE4386="ELP",(VLOOKUP(A4386,'Discount Lookup'!J:K,2)*G4386*(1-PlanterDiscount)*(1+PlanterDifficultyPercentage)),IF(AE4386="free","re-planting",IF(G4386=0,"",IF(PlanterYesMe="",IF(AE4386="me","   not ELP, by",IF(AE4386="",IF(G4386&gt;0,(VLOOKUP(A4386,'Discount Lookup'!J:K,2)*G4386*(1-PlanterDiscount)*(1+PlanterDifficultyPercentage)),""),"")),"   not ELP, by"))))))))))))))</f>
        <v/>
      </c>
      <c r="AD4386" s="712"/>
      <c r="AE4386" s="513" t="str">
        <f t="shared" si="3282"/>
        <v/>
      </c>
      <c r="AF4386" s="713" t="str">
        <f t="shared" si="3283"/>
        <v/>
      </c>
      <c r="AG4386" s="713"/>
      <c r="AH4386" s="713"/>
      <c r="AI4386" s="112">
        <f>IF(H4386="credit",0,IF(AE4386="free",0,IF(AE4386="me",0,IF(G4386&gt;0,(VLOOKUP(A4386,'Discount Lookup'!J:K,2)*G4386),0))))</f>
        <v>0</v>
      </c>
      <c r="AJ4386" s="107" t="str">
        <f t="shared" ca="1" si="3284"/>
        <v/>
      </c>
      <c r="AK4386" s="714" t="str">
        <f t="shared" si="3285"/>
        <v/>
      </c>
      <c r="AL4386" s="714"/>
      <c r="AM4386" s="114" t="str">
        <f t="shared" si="3286"/>
        <v/>
      </c>
      <c r="AN4386" s="115"/>
      <c r="AO4386" s="116"/>
      <c r="AP4386" s="116"/>
      <c r="AQ4386" s="116"/>
      <c r="AR4386" s="116"/>
      <c r="AS4386" s="116"/>
      <c r="AT4386" s="116"/>
      <c r="AU4386" s="116"/>
      <c r="AV4386" s="78"/>
      <c r="AW4386" s="102"/>
      <c r="AX4386" s="78"/>
      <c r="AY4386" s="78"/>
      <c r="AZ4386" s="78"/>
      <c r="BA4386" s="78"/>
      <c r="BB4386" s="78"/>
      <c r="BC4386" s="78"/>
      <c r="BD4386" s="78"/>
      <c r="BE4386" s="465"/>
      <c r="BF4386" s="165" t="str">
        <f t="shared" si="3287"/>
        <v>https://www.google.com/search?tbm=isch&amp;q=Wisteria%20%3D%20Wisteria%20</v>
      </c>
      <c r="BG4386" s="165" t="str">
        <f t="shared" si="3288"/>
        <v>W</v>
      </c>
      <c r="BH4386" s="65"/>
      <c r="BI4386" s="65"/>
      <c r="BJ4386" s="65"/>
      <c r="BK4386" s="65"/>
      <c r="BL4386" s="99"/>
      <c r="BM4386" s="99"/>
      <c r="BN4386" s="99"/>
    </row>
    <row r="4387" spans="1:66" s="51" customFormat="1" ht="18" x14ac:dyDescent="0.25">
      <c r="A4387" s="623" t="s">
        <v>4526</v>
      </c>
      <c r="B4387" s="624"/>
      <c r="C4387" s="709"/>
      <c r="D4387" s="625" t="s">
        <v>4527</v>
      </c>
      <c r="E4387" s="626"/>
      <c r="F4387" s="626"/>
      <c r="G4387" s="626"/>
      <c r="H4387" s="622" t="s">
        <v>480</v>
      </c>
      <c r="I4387" s="627" t="s">
        <v>3983</v>
      </c>
      <c r="J4387" s="628"/>
      <c r="K4387" s="628"/>
      <c r="L4387" s="629"/>
      <c r="M4387" s="700" t="s">
        <v>5241</v>
      </c>
      <c r="N4387" s="693" t="str">
        <f>IF(AND(ISTEXT($A4387), ISERROR($A4387+0)), HYPERLINK($BF4387, "Images"), "")</f>
        <v>Images</v>
      </c>
      <c r="O4387" s="695" t="s">
        <v>5244</v>
      </c>
      <c r="P4387" s="630"/>
      <c r="Q4387" s="631"/>
      <c r="R4387" s="632"/>
      <c r="S4387" s="633" t="s">
        <v>294</v>
      </c>
      <c r="T4387" s="102">
        <f t="shared" si="3276"/>
        <v>0</v>
      </c>
      <c r="U4387" s="78" t="str">
        <f>IF(NOT(ISNUMBER(G4387)), "", VLOOKUP(A4387,'Discount Lookup'!D:E,2,FALSE)*G4387)</f>
        <v/>
      </c>
      <c r="V4387" s="78" t="str">
        <f>IF(NOT(ISNUMBER(G4387)), "", VLOOKUP(A4387,'Discount Lookup'!G:H,2,FALSE)*G4387)</f>
        <v/>
      </c>
      <c r="W4387" s="102">
        <f t="shared" si="3277"/>
        <v>0</v>
      </c>
      <c r="X4387" s="102" t="str">
        <f t="shared" si="3278"/>
        <v>Lavender-Purple bloom</v>
      </c>
      <c r="Y4387" s="120" t="b">
        <f t="shared" si="3279"/>
        <v>0</v>
      </c>
      <c r="Z4387" s="117">
        <f t="shared" si="3280"/>
        <v>0</v>
      </c>
      <c r="AA4387" s="118"/>
      <c r="AB4387" s="118" t="str">
        <f t="shared" si="3281"/>
        <v/>
      </c>
      <c r="AC4387" s="712" t="str">
        <f>IF(AE4387="T2G","no charge",IF(AND(OR(PlanterYesMe="No",PlanterYesMe="N",PlanterYesMe="me"),H4387=""),"",IF(H4387="credit","NO install",IF(AND(K4387="",AE4387="me"),"EACH row",IF(AND(K4387="images",AE4387="me"),"EACH row",IF(D4387="","",IF(H4387="credit","",IF(AE4387="free","re-planting",IF(AE4387="me","   not ELP, by",IF(AND(OR(PlanterYesMe="Yes",PlanterYesMe="Y"),G4387&gt;0),(VLOOKUP(A4387,'Discount Lookup'!J:K,2)*G4387*(1-PlanterDiscount)*(1+PlanterDifficultyPercentage)),IF(AE4387="ELP",(VLOOKUP(A4387,'Discount Lookup'!J:K,2)*G4387*(1-PlanterDiscount)*(1+PlanterDifficultyPercentage)),IF(AE4387="free","re-planting",IF(G4387=0,"",IF(PlanterYesMe="",IF(AE4387="me","   not ELP, by",IF(AE4387="",IF(G4387&gt;0,(VLOOKUP(A4387,'Discount Lookup'!J:K,2)*G4387*(1-PlanterDiscount)*(1+PlanterDifficultyPercentage)),""),"")),"   not ELP, by"))))))))))))))</f>
        <v/>
      </c>
      <c r="AD4387" s="712"/>
      <c r="AE4387" s="513" t="str">
        <f t="shared" si="3282"/>
        <v/>
      </c>
      <c r="AF4387" s="713" t="str">
        <f t="shared" si="3283"/>
        <v/>
      </c>
      <c r="AG4387" s="713"/>
      <c r="AH4387" s="713"/>
      <c r="AI4387" s="112">
        <f>IF(H4387="credit",0,IF(AE4387="free",0,IF(AE4387="me",0,IF(G4387&gt;0,(VLOOKUP(A4387,'Discount Lookup'!J:K,2)*G4387),0))))</f>
        <v>0</v>
      </c>
      <c r="AJ4387" s="107" t="str">
        <f t="shared" ca="1" si="3284"/>
        <v/>
      </c>
      <c r="AK4387" s="714" t="str">
        <f t="shared" si="3285"/>
        <v/>
      </c>
      <c r="AL4387" s="714"/>
      <c r="AM4387" s="114" t="str">
        <f t="shared" si="3286"/>
        <v/>
      </c>
      <c r="AN4387" s="115"/>
      <c r="AO4387" s="116"/>
      <c r="AP4387" s="116"/>
      <c r="AQ4387" s="116"/>
      <c r="AR4387" s="116"/>
      <c r="AS4387" s="116"/>
      <c r="AT4387" s="116"/>
      <c r="AU4387" s="116"/>
      <c r="AV4387" s="78"/>
      <c r="AW4387" s="102"/>
      <c r="AX4387" s="78"/>
      <c r="AY4387" s="78"/>
      <c r="AZ4387" s="78"/>
      <c r="BA4387" s="78"/>
      <c r="BB4387" s="78"/>
      <c r="BC4387" s="78"/>
      <c r="BD4387" s="78"/>
      <c r="BE4387" s="465"/>
      <c r="BF4387" s="165" t="str">
        <f t="shared" si="3287"/>
        <v>https://www.google.com/search?tbm=isch&amp;q=Wisteria%20frutescens%20%27Amethyst%20Falls%27%20Amethyst%20Falls%20Wisteria</v>
      </c>
      <c r="BG4387" s="165" t="str">
        <f t="shared" si="3288"/>
        <v>W</v>
      </c>
      <c r="BH4387" s="65"/>
      <c r="BI4387" s="65"/>
      <c r="BJ4387" s="65"/>
      <c r="BK4387" s="65"/>
      <c r="BL4387" s="99"/>
      <c r="BM4387" s="99"/>
      <c r="BN4387" s="99"/>
    </row>
    <row r="4388" spans="1:66" s="51" customFormat="1" ht="15.75" x14ac:dyDescent="0.25">
      <c r="A4388" s="634">
        <v>3</v>
      </c>
      <c r="B4388" s="635" t="s">
        <v>291</v>
      </c>
      <c r="C4388" s="636"/>
      <c r="D4388" s="637" t="s">
        <v>310</v>
      </c>
      <c r="E4388" s="638">
        <v>30.95</v>
      </c>
      <c r="F4388" s="639" t="s">
        <v>292</v>
      </c>
      <c r="G4388" s="484">
        <v>0</v>
      </c>
      <c r="H4388" s="691" t="str">
        <f>IF(G4388=0,"",IF(F4388="Buy",IF(G4388=1,"plant","plants"),IF(F4388&gt;0.01,"warranty","Error")))</f>
        <v/>
      </c>
      <c r="I4388" s="640">
        <f>IF(H4388="free",0,IF(H4388="credit",((E4388*(F4388))*G4388*-1),IF(F4388="Buy",(E4388*G4388),((E4388*(1-F4388))*G4388))))</f>
        <v>0</v>
      </c>
      <c r="J4388" s="640">
        <f>IF(H4388="warranty",0,(I4388*(_xlfn.SINGLE(SalesTaxPercentage))))</f>
        <v>0</v>
      </c>
      <c r="K4388" s="716">
        <f t="shared" ref="K4388" si="3294">I4388+J4388</f>
        <v>0</v>
      </c>
      <c r="L4388" s="716"/>
      <c r="M4388" s="689" t="str">
        <f ca="1">IF(AND(G4388&gt;0,E4388=0),"WARNING - no PRICE inserted",IF(H4388="free","FREE ~ no charge this plant",IF(H4388="credit",CONCATENATE("-$",ROUND(K4388*(1-_xlfn.SINGLE(T2GDiscount))*-1,2)," CREDIT after discount"),IF(_xlfn.SINGLE(T2GDiscount)=0,"",IF(G4388=0,"",IF(F4388="Buy",CONCATENATE("$",ROUND(K4388*(1-_xlfn.SINGLE(T2GDiscount)),2)," with ",(_xlfn.SINGLE(T2GDiscount)*100),"% discount"),CONCATENATE("$",ROUND(K4388*(1-_xlfn.SINGLE(T2GDiscount)),2)," with ",((_xlfn.SINGLE(T2GDiscount)*100+F4388*100)-(_xlfn.SINGLE(T2GDiscount)*100*F4388)),IF(F4388&gt;0,"% discounts",IF(_xlfn.SINGLE(NoWarrantyDiscount)&gt;0,"% discounts","% discount")))))))))</f>
        <v/>
      </c>
      <c r="N4388" s="690"/>
      <c r="O4388" s="486"/>
      <c r="P4388" s="486"/>
      <c r="Q4388" s="486"/>
      <c r="R4388" s="486"/>
      <c r="S4388" s="486"/>
      <c r="T4388" s="102">
        <f t="shared" si="3276"/>
        <v>0</v>
      </c>
      <c r="U4388" s="78">
        <f>IF(NOT(ISNUMBER(G4388)), "", VLOOKUP(A4388,'Discount Lookup'!D:E,2,FALSE)*G4388)</f>
        <v>0</v>
      </c>
      <c r="V4388" s="78">
        <f>IF(NOT(ISNUMBER(G4388)), "", VLOOKUP(A4388,'Discount Lookup'!G:H,2,FALSE)*G4388)</f>
        <v>0</v>
      </c>
      <c r="W4388" s="102">
        <f t="shared" si="3277"/>
        <v>0</v>
      </c>
      <c r="X4388" s="102">
        <f t="shared" si="3278"/>
        <v>0</v>
      </c>
      <c r="Y4388" s="120" t="b">
        <f t="shared" si="3279"/>
        <v>0</v>
      </c>
      <c r="Z4388" s="117">
        <f t="shared" si="3280"/>
        <v>0</v>
      </c>
      <c r="AA4388" s="118"/>
      <c r="AB4388" s="118" t="str">
        <f t="shared" si="3281"/>
        <v/>
      </c>
      <c r="AC4388" s="712" t="str">
        <f>IF(AE4388="T2G","no charge",IF(AND(OR(PlanterYesMe="No",PlanterYesMe="N",PlanterYesMe="me"),H4388=""),"",IF(H4388="credit","NO install",IF(AND(K4388="",AE4388="me"),"EACH row",IF(AND(K4388="images",AE4388="me"),"EACH row",IF(D4388="","",IF(H4388="credit","",IF(AE4388="free","re-planting",IF(AE4388="me","   not ELP, by",IF(AND(OR(PlanterYesMe="Yes",PlanterYesMe="Y"),G4388&gt;0),(VLOOKUP(A4388,'Discount Lookup'!J:K,2)*G4388*(1-PlanterDiscount)*(1+PlanterDifficultyPercentage)),IF(AE4388="ELP",(VLOOKUP(A4388,'Discount Lookup'!J:K,2)*G4388*(1-PlanterDiscount)*(1+PlanterDifficultyPercentage)),IF(AE4388="free","re-planting",IF(G4388=0,"",IF(PlanterYesMe="",IF(AE4388="me","   not ELP, by",IF(AE4388="",IF(G4388&gt;0,(VLOOKUP(A4388,'Discount Lookup'!J:K,2)*G4388*(1-PlanterDiscount)*(1+PlanterDifficultyPercentage)),""),"")),"   not ELP, by"))))))))))))))</f>
        <v/>
      </c>
      <c r="AD4388" s="712"/>
      <c r="AE4388" s="513" t="str">
        <f t="shared" si="3282"/>
        <v/>
      </c>
      <c r="AF4388" s="713" t="str">
        <f t="shared" si="3283"/>
        <v/>
      </c>
      <c r="AG4388" s="713"/>
      <c r="AH4388" s="713"/>
      <c r="AI4388" s="112">
        <f>IF(H4388="credit",0,IF(AE4388="free",0,IF(AE4388="me",0,IF(G4388&gt;0,(VLOOKUP(A4388,'Discount Lookup'!J:K,2)*G4388),0))))</f>
        <v>0</v>
      </c>
      <c r="AJ4388" s="107" t="str">
        <f t="shared" ca="1" si="3284"/>
        <v/>
      </c>
      <c r="AK4388" s="714" t="str">
        <f t="shared" si="3285"/>
        <v/>
      </c>
      <c r="AL4388" s="714"/>
      <c r="AM4388" s="114" t="str">
        <f t="shared" si="3286"/>
        <v/>
      </c>
      <c r="AN4388" s="115"/>
      <c r="AO4388" s="116"/>
      <c r="AP4388" s="116"/>
      <c r="AQ4388" s="116"/>
      <c r="AR4388" s="116"/>
      <c r="AS4388" s="116"/>
      <c r="AT4388" s="116"/>
      <c r="AU4388" s="116"/>
      <c r="AV4388" s="78"/>
      <c r="AW4388" s="102"/>
      <c r="AX4388" s="78"/>
      <c r="AY4388" s="78"/>
      <c r="AZ4388" s="78"/>
      <c r="BA4388" s="78"/>
      <c r="BB4388" s="78"/>
      <c r="BC4388" s="78"/>
      <c r="BD4388" s="78"/>
      <c r="BE4388" s="465"/>
      <c r="BF4388" s="165" t="str">
        <f t="shared" si="3287"/>
        <v>https://www.google.com/search?tbm=isch&amp;q=3%20G1</v>
      </c>
      <c r="BG4388" s="165" t="str">
        <f t="shared" si="3288"/>
        <v>W</v>
      </c>
      <c r="BH4388" s="65"/>
      <c r="BI4388" s="65"/>
      <c r="BJ4388" s="65"/>
      <c r="BK4388" s="65"/>
      <c r="BL4388" s="99"/>
      <c r="BM4388" s="99"/>
      <c r="BN4388" s="99"/>
    </row>
    <row r="4389" spans="1:66" s="51" customFormat="1" ht="16.5" x14ac:dyDescent="0.25">
      <c r="A4389" s="704" t="s">
        <v>5573</v>
      </c>
      <c r="B4389" s="642"/>
      <c r="C4389" s="710"/>
      <c r="D4389" s="643"/>
      <c r="E4389" s="643"/>
      <c r="F4389" s="644"/>
      <c r="G4389" s="645"/>
      <c r="H4389" s="646"/>
      <c r="I4389" s="647"/>
      <c r="J4389" s="648"/>
      <c r="K4389" s="649"/>
      <c r="L4389" s="650"/>
      <c r="M4389" s="650"/>
      <c r="N4389" s="644"/>
      <c r="O4389" s="644"/>
      <c r="P4389" s="644"/>
      <c r="Q4389" s="644"/>
      <c r="R4389" s="644"/>
      <c r="S4389" s="651"/>
      <c r="T4389" s="102">
        <f t="shared" si="3276"/>
        <v>0</v>
      </c>
      <c r="U4389" s="78" t="str">
        <f>IF(NOT(ISNUMBER(G4389)), "", VLOOKUP(A4389,'Discount Lookup'!D:E,2,FALSE)*G4389)</f>
        <v/>
      </c>
      <c r="V4389" s="78" t="str">
        <f>IF(NOT(ISNUMBER(G4389)), "", VLOOKUP(A4389,'Discount Lookup'!G:H,2,FALSE)*G4389)</f>
        <v/>
      </c>
      <c r="W4389" s="102">
        <f t="shared" si="3277"/>
        <v>0</v>
      </c>
      <c r="X4389" s="102">
        <f t="shared" si="3278"/>
        <v>0</v>
      </c>
      <c r="Y4389" s="120" t="b">
        <f t="shared" si="3279"/>
        <v>0</v>
      </c>
      <c r="Z4389" s="117">
        <f t="shared" si="3280"/>
        <v>0</v>
      </c>
      <c r="AA4389" s="118"/>
      <c r="AB4389" s="118" t="str">
        <f t="shared" si="3281"/>
        <v/>
      </c>
      <c r="AC4389" s="712" t="str">
        <f>IF(AE4389="T2G","no charge",IF(AND(OR(PlanterYesMe="No",PlanterYesMe="N",PlanterYesMe="me"),H4389=""),"",IF(H4389="credit","NO install",IF(AND(K4389="",AE4389="me"),"EACH row",IF(AND(K4389="images",AE4389="me"),"EACH row",IF(D4389="","",IF(H4389="credit","",IF(AE4389="free","re-planting",IF(AE4389="me","   not ELP, by",IF(AND(OR(PlanterYesMe="Yes",PlanterYesMe="Y"),G4389&gt;0),(VLOOKUP(A4389,'Discount Lookup'!J:K,2)*G4389*(1-PlanterDiscount)*(1+PlanterDifficultyPercentage)),IF(AE4389="ELP",(VLOOKUP(A4389,'Discount Lookup'!J:K,2)*G4389*(1-PlanterDiscount)*(1+PlanterDifficultyPercentage)),IF(AE4389="free","re-planting",IF(G4389=0,"",IF(PlanterYesMe="",IF(AE4389="me","   not ELP, by",IF(AE4389="",IF(G4389&gt;0,(VLOOKUP(A4389,'Discount Lookup'!J:K,2)*G4389*(1-PlanterDiscount)*(1+PlanterDifficultyPercentage)),""),"")),"   not ELP, by"))))))))))))))</f>
        <v/>
      </c>
      <c r="AD4389" s="712"/>
      <c r="AE4389" s="513" t="str">
        <f t="shared" si="3282"/>
        <v/>
      </c>
      <c r="AF4389" s="713" t="str">
        <f t="shared" si="3283"/>
        <v/>
      </c>
      <c r="AG4389" s="713"/>
      <c r="AH4389" s="713"/>
      <c r="AI4389" s="112">
        <f>IF(H4389="credit",0,IF(AE4389="free",0,IF(AE4389="me",0,IF(G4389&gt;0,(VLOOKUP(A4389,'Discount Lookup'!J:K,2)*G4389),0))))</f>
        <v>0</v>
      </c>
      <c r="AJ4389" s="107" t="str">
        <f t="shared" ca="1" si="3284"/>
        <v/>
      </c>
      <c r="AK4389" s="714" t="str">
        <f t="shared" si="3285"/>
        <v/>
      </c>
      <c r="AL4389" s="714"/>
      <c r="AM4389" s="114" t="str">
        <f t="shared" si="3286"/>
        <v/>
      </c>
      <c r="AN4389" s="115"/>
      <c r="AO4389" s="116"/>
      <c r="AP4389" s="116"/>
      <c r="AQ4389" s="116"/>
      <c r="AR4389" s="116"/>
      <c r="AS4389" s="116"/>
      <c r="AT4389" s="116"/>
      <c r="AU4389" s="116"/>
      <c r="AV4389" s="78"/>
      <c r="AW4389" s="102"/>
      <c r="AX4389" s="78"/>
      <c r="AY4389" s="78"/>
      <c r="AZ4389" s="78"/>
      <c r="BA4389" s="78"/>
      <c r="BB4389" s="78"/>
      <c r="BC4389" s="78"/>
      <c r="BD4389" s="78"/>
      <c r="BE4389" s="465"/>
      <c r="BF4389" s="165" t="str">
        <f t="shared" si="3287"/>
        <v>https://www.google.com/search?tbm=isch&amp;q=moist%20sites%F0%9F%92%A7GOOD%2C%20Amethyst%20Falls%20is%20less%20aggressive%20than%20Asian%20Wisteria.%20Flowers%202%20to%203%20years%20after%20planting.%20Fragrant%20</v>
      </c>
      <c r="BG4389" s="165" t="str">
        <f t="shared" si="3288"/>
        <v>m</v>
      </c>
      <c r="BH4389" s="65"/>
      <c r="BI4389" s="65"/>
      <c r="BJ4389" s="65"/>
      <c r="BK4389" s="65"/>
      <c r="BL4389" s="99"/>
      <c r="BM4389" s="99"/>
      <c r="BN4389" s="99"/>
    </row>
    <row r="4390" spans="1:66" s="51" customFormat="1" ht="55.5" x14ac:dyDescent="0.25">
      <c r="A4390" s="520" t="s">
        <v>823</v>
      </c>
      <c r="B4390" s="501"/>
      <c r="C4390" s="502"/>
      <c r="D4390" s="502"/>
      <c r="E4390" s="502"/>
      <c r="F4390" s="502"/>
      <c r="G4390" s="502"/>
      <c r="H4390" s="502"/>
      <c r="I4390" s="502"/>
      <c r="J4390" s="502"/>
      <c r="K4390" s="509" t="s">
        <v>871</v>
      </c>
      <c r="L4390" s="503"/>
      <c r="M4390" s="563"/>
      <c r="N4390" s="504"/>
      <c r="O4390" s="504"/>
      <c r="P4390" s="504"/>
      <c r="Q4390" s="504"/>
      <c r="R4390" s="504"/>
      <c r="S4390" s="511" t="s">
        <v>1546</v>
      </c>
      <c r="T4390" s="102">
        <f t="shared" si="3276"/>
        <v>0</v>
      </c>
      <c r="U4390" s="78" t="str">
        <f>IF(NOT(ISNUMBER(G4390)), "", VLOOKUP(A4390,'Discount Lookup'!D:E,2,FALSE)*G4390)</f>
        <v/>
      </c>
      <c r="V4390" s="78" t="str">
        <f>IF(NOT(ISNUMBER(G4390)), "", VLOOKUP(A4390,'Discount Lookup'!G:H,2,FALSE)*G4390)</f>
        <v/>
      </c>
      <c r="W4390" s="102">
        <f t="shared" si="3277"/>
        <v>0</v>
      </c>
      <c r="X4390" s="102">
        <f t="shared" si="3278"/>
        <v>0</v>
      </c>
      <c r="Y4390" s="120" t="b">
        <f t="shared" si="3279"/>
        <v>0</v>
      </c>
      <c r="Z4390" s="117">
        <f t="shared" si="3280"/>
        <v>0</v>
      </c>
      <c r="AA4390" s="118"/>
      <c r="AB4390" s="118" t="str">
        <f t="shared" si="3281"/>
        <v/>
      </c>
      <c r="AC4390" s="712" t="str">
        <f>IF(AE4390="T2G","no charge",IF(AND(OR(PlanterYesMe="No",PlanterYesMe="N",PlanterYesMe="me"),H4390=""),"",IF(H4390="credit","NO install",IF(AND(K4390="",AE4390="me"),"EACH row",IF(AND(K4390="images",AE4390="me"),"EACH row",IF(D4390="","",IF(H4390="credit","",IF(AE4390="free","re-planting",IF(AE4390="me","   not ELP, by",IF(AND(OR(PlanterYesMe="Yes",PlanterYesMe="Y"),G4390&gt;0),(VLOOKUP(A4390,'Discount Lookup'!J:K,2)*G4390*(1-PlanterDiscount)*(1+PlanterDifficultyPercentage)),IF(AE4390="ELP",(VLOOKUP(A4390,'Discount Lookup'!J:K,2)*G4390*(1-PlanterDiscount)*(1+PlanterDifficultyPercentage)),IF(AE4390="free","re-planting",IF(G4390=0,"",IF(PlanterYesMe="",IF(AE4390="me","   not ELP, by",IF(AE4390="",IF(G4390&gt;0,(VLOOKUP(A4390,'Discount Lookup'!J:K,2)*G4390*(1-PlanterDiscount)*(1+PlanterDifficultyPercentage)),""),"")),"   not ELP, by"))))))))))))))</f>
        <v/>
      </c>
      <c r="AD4390" s="712"/>
      <c r="AE4390" s="513" t="str">
        <f t="shared" si="3282"/>
        <v/>
      </c>
      <c r="AF4390" s="713" t="str">
        <f t="shared" si="3283"/>
        <v/>
      </c>
      <c r="AG4390" s="713"/>
      <c r="AH4390" s="713"/>
      <c r="AI4390" s="112">
        <f>IF(H4390="credit",0,IF(AE4390="free",0,IF(AE4390="me",0,IF(G4390&gt;0,(VLOOKUP(A4390,'Discount Lookup'!J:K,2)*G4390),0))))</f>
        <v>0</v>
      </c>
      <c r="AJ4390" s="107" t="str">
        <f t="shared" ca="1" si="3284"/>
        <v/>
      </c>
      <c r="AK4390" s="714" t="str">
        <f t="shared" si="3285"/>
        <v/>
      </c>
      <c r="AL4390" s="714"/>
      <c r="AM4390" s="114" t="str">
        <f t="shared" si="3286"/>
        <v/>
      </c>
      <c r="AN4390" s="115"/>
      <c r="AO4390" s="116"/>
      <c r="AP4390" s="116"/>
      <c r="AQ4390" s="116"/>
      <c r="AR4390" s="116"/>
      <c r="AS4390" s="116"/>
      <c r="AT4390" s="116"/>
      <c r="AU4390" s="116"/>
      <c r="AV4390" s="78"/>
      <c r="AW4390" s="102"/>
      <c r="AX4390" s="78"/>
      <c r="AY4390" s="78"/>
      <c r="AZ4390" s="78"/>
      <c r="BA4390" s="78"/>
      <c r="BB4390" s="78"/>
      <c r="BC4390" s="78"/>
      <c r="BD4390" s="78"/>
      <c r="BE4390" s="465"/>
      <c r="BF4390" s="165" t="str">
        <f t="shared" si="3287"/>
        <v>https://www.google.com/search?tbm=isch&amp;q=Y%20</v>
      </c>
      <c r="BG4390" s="165" t="str">
        <f t="shared" si="3288"/>
        <v>Y</v>
      </c>
      <c r="BH4390" s="65"/>
      <c r="BI4390" s="65"/>
      <c r="BJ4390" s="65"/>
      <c r="BK4390" s="65"/>
      <c r="BL4390" s="99"/>
      <c r="BM4390" s="99"/>
      <c r="BN4390" s="99"/>
    </row>
    <row r="4391" spans="1:66" s="51" customFormat="1" ht="19.5" thickBot="1" x14ac:dyDescent="0.3">
      <c r="A4391" s="686" t="s">
        <v>824</v>
      </c>
      <c r="B4391" s="73"/>
      <c r="C4391" s="708"/>
      <c r="D4391" s="73"/>
      <c r="E4391" s="73"/>
      <c r="F4391" s="496"/>
      <c r="G4391" s="73"/>
      <c r="H4391" s="73"/>
      <c r="I4391" s="73"/>
      <c r="J4391" s="497" t="s">
        <v>357</v>
      </c>
      <c r="K4391" s="498"/>
      <c r="L4391" s="562"/>
      <c r="M4391" s="73"/>
      <c r="N4391"/>
      <c r="O4391"/>
      <c r="P4391"/>
      <c r="Q4391"/>
      <c r="R4391"/>
      <c r="S4391"/>
      <c r="T4391" s="102">
        <f t="shared" si="3276"/>
        <v>0</v>
      </c>
      <c r="U4391" s="78" t="str">
        <f>IF(NOT(ISNUMBER(G4391)), "", VLOOKUP(A4391,'Discount Lookup'!D:E,2,FALSE)*G4391)</f>
        <v/>
      </c>
      <c r="V4391" s="78" t="str">
        <f>IF(NOT(ISNUMBER(G4391)), "", VLOOKUP(A4391,'Discount Lookup'!G:H,2,FALSE)*G4391)</f>
        <v/>
      </c>
      <c r="W4391" s="102">
        <f t="shared" si="3277"/>
        <v>0</v>
      </c>
      <c r="X4391" s="102">
        <f t="shared" si="3278"/>
        <v>0</v>
      </c>
      <c r="Y4391" s="120" t="b">
        <f t="shared" si="3279"/>
        <v>0</v>
      </c>
      <c r="Z4391" s="117">
        <f t="shared" si="3280"/>
        <v>0</v>
      </c>
      <c r="AA4391" s="118"/>
      <c r="AB4391" s="118" t="str">
        <f t="shared" si="3281"/>
        <v/>
      </c>
      <c r="AC4391" s="712" t="str">
        <f>IF(AE4391="T2G","no charge",IF(AND(OR(PlanterYesMe="No",PlanterYesMe="N",PlanterYesMe="me"),H4391=""),"",IF(H4391="credit","NO install",IF(AND(K4391="",AE4391="me"),"EACH row",IF(AND(K4391="images",AE4391="me"),"EACH row",IF(D4391="","",IF(H4391="credit","",IF(AE4391="free","re-planting",IF(AE4391="me","   not ELP, by",IF(AND(OR(PlanterYesMe="Yes",PlanterYesMe="Y"),G4391&gt;0),(VLOOKUP(A4391,'Discount Lookup'!J:K,2)*G4391*(1-PlanterDiscount)*(1+PlanterDifficultyPercentage)),IF(AE4391="ELP",(VLOOKUP(A4391,'Discount Lookup'!J:K,2)*G4391*(1-PlanterDiscount)*(1+PlanterDifficultyPercentage)),IF(AE4391="free","re-planting",IF(G4391=0,"",IF(PlanterYesMe="",IF(AE4391="me","   not ELP, by",IF(AE4391="",IF(G4391&gt;0,(VLOOKUP(A4391,'Discount Lookup'!J:K,2)*G4391*(1-PlanterDiscount)*(1+PlanterDifficultyPercentage)),""),"")),"   not ELP, by"))))))))))))))</f>
        <v/>
      </c>
      <c r="AD4391" s="712"/>
      <c r="AE4391" s="513" t="str">
        <f t="shared" si="3282"/>
        <v/>
      </c>
      <c r="AF4391" s="713" t="str">
        <f t="shared" si="3283"/>
        <v/>
      </c>
      <c r="AG4391" s="713"/>
      <c r="AH4391" s="713"/>
      <c r="AI4391" s="112">
        <f>IF(H4391="credit",0,IF(AE4391="free",0,IF(AE4391="me",0,IF(G4391&gt;0,(VLOOKUP(A4391,'Discount Lookup'!J:K,2)*G4391),0))))</f>
        <v>0</v>
      </c>
      <c r="AJ4391" s="107" t="str">
        <f t="shared" ca="1" si="3284"/>
        <v/>
      </c>
      <c r="AK4391" s="714" t="str">
        <f t="shared" si="3285"/>
        <v/>
      </c>
      <c r="AL4391" s="714"/>
      <c r="AM4391" s="114" t="str">
        <f t="shared" si="3286"/>
        <v/>
      </c>
      <c r="AN4391" s="115"/>
      <c r="AO4391" s="116"/>
      <c r="AP4391" s="116"/>
      <c r="AQ4391" s="116"/>
      <c r="AR4391" s="116"/>
      <c r="AS4391" s="116"/>
      <c r="AT4391" s="116"/>
      <c r="AU4391" s="116"/>
      <c r="AV4391" s="78"/>
      <c r="AW4391" s="102"/>
      <c r="AX4391" s="78"/>
      <c r="AY4391" s="78"/>
      <c r="AZ4391" s="78"/>
      <c r="BA4391" s="78"/>
      <c r="BB4391" s="78"/>
      <c r="BC4391" s="78"/>
      <c r="BD4391" s="78"/>
      <c r="BE4391" s="465"/>
      <c r="BF4391" s="165" t="str">
        <f t="shared" si="3287"/>
        <v>https://www.google.com/search?tbm=isch&amp;q=Yucca%20%3D%20Adam%27s%20Needle%20</v>
      </c>
      <c r="BG4391" s="165" t="str">
        <f t="shared" si="3288"/>
        <v>Y</v>
      </c>
      <c r="BH4391" s="65"/>
      <c r="BI4391" s="65"/>
      <c r="BJ4391" s="65"/>
      <c r="BK4391" s="65"/>
      <c r="BL4391" s="99"/>
      <c r="BM4391" s="99"/>
      <c r="BN4391" s="99"/>
    </row>
    <row r="4392" spans="1:66" s="51" customFormat="1" ht="18" x14ac:dyDescent="0.25">
      <c r="A4392" s="507" t="s">
        <v>4528</v>
      </c>
      <c r="B4392" s="470"/>
      <c r="C4392" s="706"/>
      <c r="D4392" s="471" t="s">
        <v>4529</v>
      </c>
      <c r="E4392" s="472"/>
      <c r="F4392" s="472"/>
      <c r="G4392" s="472"/>
      <c r="H4392" s="622" t="s">
        <v>1104</v>
      </c>
      <c r="I4392" s="473" t="s">
        <v>4530</v>
      </c>
      <c r="J4392" s="472"/>
      <c r="K4392" s="472"/>
      <c r="L4392" s="561"/>
      <c r="M4392" s="698" t="s">
        <v>5240</v>
      </c>
      <c r="N4392" s="692" t="str">
        <f>IF(AND(ISTEXT($A4392), ISERROR($A4392+0)), HYPERLINK($BF4392, "Images"), "")</f>
        <v>Images</v>
      </c>
      <c r="O4392" s="694" t="s">
        <v>5244</v>
      </c>
      <c r="P4392" s="475"/>
      <c r="Q4392" s="476"/>
      <c r="R4392" s="476"/>
      <c r="S4392" s="477"/>
      <c r="T4392" s="102">
        <f t="shared" si="3276"/>
        <v>0</v>
      </c>
      <c r="U4392" s="78" t="str">
        <f>IF(NOT(ISNUMBER(G4392)), "", VLOOKUP(A4392,'Discount Lookup'!D:E,2,FALSE)*G4392)</f>
        <v/>
      </c>
      <c r="V4392" s="78" t="str">
        <f>IF(NOT(ISNUMBER(G4392)), "", VLOOKUP(A4392,'Discount Lookup'!G:H,2,FALSE)*G4392)</f>
        <v/>
      </c>
      <c r="W4392" s="102">
        <f t="shared" si="3277"/>
        <v>0</v>
      </c>
      <c r="X4392" s="102" t="str">
        <f t="shared" si="3278"/>
        <v>Ivory bloom</v>
      </c>
      <c r="Y4392" s="120" t="b">
        <f t="shared" si="3279"/>
        <v>0</v>
      </c>
      <c r="Z4392" s="117">
        <f t="shared" si="3280"/>
        <v>0</v>
      </c>
      <c r="AA4392" s="118"/>
      <c r="AB4392" s="118" t="str">
        <f t="shared" si="3281"/>
        <v/>
      </c>
      <c r="AC4392" s="712" t="str">
        <f>IF(AE4392="T2G","no charge",IF(AND(OR(PlanterYesMe="No",PlanterYesMe="N",PlanterYesMe="me"),H4392=""),"",IF(H4392="credit","NO install",IF(AND(K4392="",AE4392="me"),"EACH row",IF(AND(K4392="images",AE4392="me"),"EACH row",IF(D4392="","",IF(H4392="credit","",IF(AE4392="free","re-planting",IF(AE4392="me","   not ELP, by",IF(AND(OR(PlanterYesMe="Yes",PlanterYesMe="Y"),G4392&gt;0),(VLOOKUP(A4392,'Discount Lookup'!J:K,2)*G4392*(1-PlanterDiscount)*(1+PlanterDifficultyPercentage)),IF(AE4392="ELP",(VLOOKUP(A4392,'Discount Lookup'!J:K,2)*G4392*(1-PlanterDiscount)*(1+PlanterDifficultyPercentage)),IF(AE4392="free","re-planting",IF(G4392=0,"",IF(PlanterYesMe="",IF(AE4392="me","   not ELP, by",IF(AE4392="",IF(G4392&gt;0,(VLOOKUP(A4392,'Discount Lookup'!J:K,2)*G4392*(1-PlanterDiscount)*(1+PlanterDifficultyPercentage)),""),"")),"   not ELP, by"))))))))))))))</f>
        <v/>
      </c>
      <c r="AD4392" s="712"/>
      <c r="AE4392" s="513" t="str">
        <f t="shared" si="3282"/>
        <v/>
      </c>
      <c r="AF4392" s="713" t="str">
        <f t="shared" si="3283"/>
        <v/>
      </c>
      <c r="AG4392" s="713"/>
      <c r="AH4392" s="713"/>
      <c r="AI4392" s="112">
        <f>IF(H4392="credit",0,IF(AE4392="free",0,IF(AE4392="me",0,IF(G4392&gt;0,(VLOOKUP(A4392,'Discount Lookup'!J:K,2)*G4392),0))))</f>
        <v>0</v>
      </c>
      <c r="AJ4392" s="107" t="str">
        <f t="shared" ca="1" si="3284"/>
        <v/>
      </c>
      <c r="AK4392" s="714" t="str">
        <f t="shared" si="3285"/>
        <v/>
      </c>
      <c r="AL4392" s="714"/>
      <c r="AM4392" s="114" t="str">
        <f t="shared" si="3286"/>
        <v/>
      </c>
      <c r="AN4392" s="115"/>
      <c r="AO4392" s="116"/>
      <c r="AP4392" s="116"/>
      <c r="AQ4392" s="116"/>
      <c r="AR4392" s="116"/>
      <c r="AS4392" s="116"/>
      <c r="AT4392" s="116"/>
      <c r="AU4392" s="116"/>
      <c r="AV4392" s="78"/>
      <c r="AW4392" s="102"/>
      <c r="AX4392" s="78"/>
      <c r="AY4392" s="78"/>
      <c r="AZ4392" s="78"/>
      <c r="BA4392" s="78"/>
      <c r="BB4392" s="78"/>
      <c r="BC4392" s="78"/>
      <c r="BD4392" s="78"/>
      <c r="BE4392" s="465"/>
      <c r="BF4392" s="165" t="str">
        <f t="shared" si="3287"/>
        <v>https://www.google.com/search?tbm=isch&amp;q=Yucca%20filamentosa%20%27Color%20Guard%27%20PP%239393Exp.%20Color%20Guard%20Yucca</v>
      </c>
      <c r="BG4392" s="165" t="str">
        <f t="shared" si="3288"/>
        <v>Y</v>
      </c>
      <c r="BH4392" s="65"/>
      <c r="BI4392" s="65"/>
      <c r="BJ4392" s="65"/>
      <c r="BK4392" s="65"/>
      <c r="BL4392" s="99"/>
      <c r="BM4392" s="99"/>
      <c r="BN4392" s="99"/>
    </row>
    <row r="4393" spans="1:66" s="51" customFormat="1" ht="15.75" x14ac:dyDescent="0.25">
      <c r="A4393" s="478">
        <v>3</v>
      </c>
      <c r="B4393" s="479" t="s">
        <v>291</v>
      </c>
      <c r="C4393" s="480" t="s">
        <v>4531</v>
      </c>
      <c r="D4393" s="481" t="s">
        <v>293</v>
      </c>
      <c r="E4393" s="482">
        <v>32.950000000000003</v>
      </c>
      <c r="F4393" s="483" t="s">
        <v>292</v>
      </c>
      <c r="G4393" s="484">
        <v>0</v>
      </c>
      <c r="H4393" s="688" t="str">
        <f>IF(G4393=0,"",IF(F4393="Buy",IF(G4393=1,"plant","plants"),IF(F4393&gt;0.01,"warranty","Error")))</f>
        <v/>
      </c>
      <c r="I4393" s="485">
        <f>IF(H4393="free",0,IF(H4393="credit",((E4393*(F4393))*G4393*-1),IF(F4393="Buy",(E4393*G4393),((E4393*(1-F4393))*G4393))))</f>
        <v>0</v>
      </c>
      <c r="J4393" s="485">
        <f>IF(H4393="warranty",0,(I4393*(_xlfn.SINGLE(SalesTaxPercentage))))</f>
        <v>0</v>
      </c>
      <c r="K4393" s="715">
        <f t="shared" ref="K4393" si="3295">I4393+J4393</f>
        <v>0</v>
      </c>
      <c r="L4393" s="715"/>
      <c r="M4393" s="689" t="str">
        <f ca="1">IF(AND(G4393&gt;0,E4393=0),"WARNING - no PRICE inserted",IF(H4393="free","FREE ~ no charge this plant",IF(H4393="credit",CONCATENATE("-$",ROUND(K4393*(1-_xlfn.SINGLE(T2GDiscount))*-1,2)," CREDIT after discount"),IF(_xlfn.SINGLE(T2GDiscount)=0,"",IF(G4393=0,"",IF(F4393="Buy",CONCATENATE("$",ROUND(K4393*(1-_xlfn.SINGLE(T2GDiscount)),2)," with ",(_xlfn.SINGLE(T2GDiscount)*100),"% discount"),CONCATENATE("$",ROUND(K4393*(1-_xlfn.SINGLE(T2GDiscount)),2)," with ",((_xlfn.SINGLE(T2GDiscount)*100+F4393*100)-(_xlfn.SINGLE(T2GDiscount)*100*F4393)),IF(F4393&gt;0,"% discounts",IF(_xlfn.SINGLE(NoWarrantyDiscount)&gt;0,"% discounts","% discount")))))))))</f>
        <v/>
      </c>
      <c r="N4393" s="690"/>
      <c r="O4393" s="486"/>
      <c r="P4393" s="486"/>
      <c r="Q4393" s="486"/>
      <c r="R4393" s="486"/>
      <c r="S4393" s="486"/>
      <c r="T4393" s="102">
        <f t="shared" si="3276"/>
        <v>0</v>
      </c>
      <c r="U4393" s="78">
        <f>IF(NOT(ISNUMBER(G4393)), "", VLOOKUP(A4393,'Discount Lookup'!D:E,2,FALSE)*G4393)</f>
        <v>0</v>
      </c>
      <c r="V4393" s="78">
        <f>IF(NOT(ISNUMBER(G4393)), "", VLOOKUP(A4393,'Discount Lookup'!G:H,2,FALSE)*G4393)</f>
        <v>0</v>
      </c>
      <c r="W4393" s="102">
        <f t="shared" si="3277"/>
        <v>0</v>
      </c>
      <c r="X4393" s="102">
        <f t="shared" si="3278"/>
        <v>0</v>
      </c>
      <c r="Y4393" s="120" t="b">
        <f t="shared" si="3279"/>
        <v>0</v>
      </c>
      <c r="Z4393" s="117">
        <f t="shared" si="3280"/>
        <v>0</v>
      </c>
      <c r="AA4393" s="118"/>
      <c r="AB4393" s="118" t="str">
        <f t="shared" si="3281"/>
        <v/>
      </c>
      <c r="AC4393" s="712" t="str">
        <f>IF(AE4393="T2G","no charge",IF(AND(OR(PlanterYesMe="No",PlanterYesMe="N",PlanterYesMe="me"),H4393=""),"",IF(H4393="credit","NO install",IF(AND(K4393="",AE4393="me"),"EACH row",IF(AND(K4393="images",AE4393="me"),"EACH row",IF(D4393="","",IF(H4393="credit","",IF(AE4393="free","re-planting",IF(AE4393="me","   not ELP, by",IF(AND(OR(PlanterYesMe="Yes",PlanterYesMe="Y"),G4393&gt;0),(VLOOKUP(A4393,'Discount Lookup'!J:K,2)*G4393*(1-PlanterDiscount)*(1+PlanterDifficultyPercentage)),IF(AE4393="ELP",(VLOOKUP(A4393,'Discount Lookup'!J:K,2)*G4393*(1-PlanterDiscount)*(1+PlanterDifficultyPercentage)),IF(AE4393="free","re-planting",IF(G4393=0,"",IF(PlanterYesMe="",IF(AE4393="me","   not ELP, by",IF(AE4393="",IF(G4393&gt;0,(VLOOKUP(A4393,'Discount Lookup'!J:K,2)*G4393*(1-PlanterDiscount)*(1+PlanterDifficultyPercentage)),""),"")),"   not ELP, by"))))))))))))))</f>
        <v/>
      </c>
      <c r="AD4393" s="712"/>
      <c r="AE4393" s="513" t="str">
        <f t="shared" si="3282"/>
        <v/>
      </c>
      <c r="AF4393" s="713" t="str">
        <f t="shared" si="3283"/>
        <v/>
      </c>
      <c r="AG4393" s="713"/>
      <c r="AH4393" s="713"/>
      <c r="AI4393" s="112">
        <f>IF(H4393="credit",0,IF(AE4393="free",0,IF(AE4393="me",0,IF(G4393&gt;0,(VLOOKUP(A4393,'Discount Lookup'!J:K,2)*G4393),0))))</f>
        <v>0</v>
      </c>
      <c r="AJ4393" s="107" t="str">
        <f t="shared" ca="1" si="3284"/>
        <v/>
      </c>
      <c r="AK4393" s="714" t="str">
        <f t="shared" si="3285"/>
        <v/>
      </c>
      <c r="AL4393" s="714"/>
      <c r="AM4393" s="114" t="str">
        <f t="shared" si="3286"/>
        <v/>
      </c>
      <c r="AN4393" s="115"/>
      <c r="AO4393" s="116"/>
      <c r="AP4393" s="116"/>
      <c r="AQ4393" s="116"/>
      <c r="AR4393" s="116"/>
      <c r="AS4393" s="116"/>
      <c r="AT4393" s="116"/>
      <c r="AU4393" s="116"/>
      <c r="AV4393" s="78"/>
      <c r="AW4393" s="102"/>
      <c r="AX4393" s="78"/>
      <c r="AY4393" s="78"/>
      <c r="AZ4393" s="78"/>
      <c r="BA4393" s="78"/>
      <c r="BB4393" s="78"/>
      <c r="BC4393" s="78"/>
      <c r="BD4393" s="78"/>
      <c r="BE4393" s="465"/>
      <c r="BF4393" s="165" t="str">
        <f t="shared" si="3287"/>
        <v>https://www.google.com/search?tbm=isch&amp;q=3%20G6</v>
      </c>
      <c r="BG4393" s="165" t="str">
        <f t="shared" si="3288"/>
        <v>Y</v>
      </c>
      <c r="BH4393" s="65"/>
      <c r="BI4393" s="65"/>
      <c r="BJ4393" s="65"/>
      <c r="BK4393" s="65"/>
      <c r="BL4393" s="99"/>
      <c r="BM4393" s="99"/>
      <c r="BN4393" s="99"/>
    </row>
    <row r="4394" spans="1:66" s="51" customFormat="1" ht="15.75" x14ac:dyDescent="0.25">
      <c r="A4394" s="478">
        <v>3</v>
      </c>
      <c r="B4394" s="479" t="s">
        <v>291</v>
      </c>
      <c r="C4394" s="480" t="s">
        <v>337</v>
      </c>
      <c r="D4394" s="481" t="s">
        <v>329</v>
      </c>
      <c r="E4394" s="482">
        <v>34.950000000000003</v>
      </c>
      <c r="F4394" s="483" t="s">
        <v>292</v>
      </c>
      <c r="G4394" s="484">
        <v>0</v>
      </c>
      <c r="H4394" s="688" t="str">
        <f>IF(G4394=0,"",IF(F4394="Buy",IF(G4394=1,"plant","plants"),IF(F4394&gt;0.01,"warranty","Error")))</f>
        <v/>
      </c>
      <c r="I4394" s="485">
        <f>IF(H4394="free",0,IF(H4394="credit",((E4394*(F4394))*G4394*-1),IF(F4394="Buy",(E4394*G4394),((E4394*(1-F4394))*G4394))))</f>
        <v>0</v>
      </c>
      <c r="J4394" s="485">
        <f>IF(H4394="warranty",0,(I4394*(_xlfn.SINGLE(SalesTaxPercentage))))</f>
        <v>0</v>
      </c>
      <c r="K4394" s="715">
        <f t="shared" ref="K4394" si="3296">I4394+J4394</f>
        <v>0</v>
      </c>
      <c r="L4394" s="715"/>
      <c r="M4394" s="689" t="str">
        <f ca="1">IF(AND(G4394&gt;0,E4394=0),"WARNING - no PRICE inserted",IF(H4394="free","FREE ~ no charge this plant",IF(H4394="credit",CONCATENATE("-$",ROUND(K4394*(1-_xlfn.SINGLE(T2GDiscount))*-1,2)," CREDIT after discount"),IF(_xlfn.SINGLE(T2GDiscount)=0,"",IF(G4394=0,"",IF(F4394="Buy",CONCATENATE("$",ROUND(K4394*(1-_xlfn.SINGLE(T2GDiscount)),2)," with ",(_xlfn.SINGLE(T2GDiscount)*100),"% discount"),CONCATENATE("$",ROUND(K4394*(1-_xlfn.SINGLE(T2GDiscount)),2)," with ",((_xlfn.SINGLE(T2GDiscount)*100+F4394*100)-(_xlfn.SINGLE(T2GDiscount)*100*F4394)),IF(F4394&gt;0,"% discounts",IF(_xlfn.SINGLE(NoWarrantyDiscount)&gt;0,"% discounts","% discount")))))))))</f>
        <v/>
      </c>
      <c r="N4394" s="690"/>
      <c r="O4394" s="486"/>
      <c r="P4394" s="486"/>
      <c r="Q4394" s="486"/>
      <c r="R4394" s="486"/>
      <c r="S4394" s="486"/>
      <c r="T4394" s="102">
        <f t="shared" si="3276"/>
        <v>0</v>
      </c>
      <c r="U4394" s="78">
        <f>IF(NOT(ISNUMBER(G4394)), "", VLOOKUP(A4394,'Discount Lookup'!D:E,2,FALSE)*G4394)</f>
        <v>0</v>
      </c>
      <c r="V4394" s="78">
        <f>IF(NOT(ISNUMBER(G4394)), "", VLOOKUP(A4394,'Discount Lookup'!G:H,2,FALSE)*G4394)</f>
        <v>0</v>
      </c>
      <c r="W4394" s="102">
        <f t="shared" si="3277"/>
        <v>0</v>
      </c>
      <c r="X4394" s="102">
        <f t="shared" si="3278"/>
        <v>0</v>
      </c>
      <c r="Y4394" s="120" t="b">
        <f t="shared" si="3279"/>
        <v>0</v>
      </c>
      <c r="Z4394" s="117">
        <f t="shared" si="3280"/>
        <v>0</v>
      </c>
      <c r="AA4394" s="118"/>
      <c r="AB4394" s="118" t="str">
        <f t="shared" si="3281"/>
        <v/>
      </c>
      <c r="AC4394" s="712" t="str">
        <f>IF(AE4394="T2G","no charge",IF(AND(OR(PlanterYesMe="No",PlanterYesMe="N",PlanterYesMe="me"),H4394=""),"",IF(H4394="credit","NO install",IF(AND(K4394="",AE4394="me"),"EACH row",IF(AND(K4394="images",AE4394="me"),"EACH row",IF(D4394="","",IF(H4394="credit","",IF(AE4394="free","re-planting",IF(AE4394="me","   not ELP, by",IF(AND(OR(PlanterYesMe="Yes",PlanterYesMe="Y"),G4394&gt;0),(VLOOKUP(A4394,'Discount Lookup'!J:K,2)*G4394*(1-PlanterDiscount)*(1+PlanterDifficultyPercentage)),IF(AE4394="ELP",(VLOOKUP(A4394,'Discount Lookup'!J:K,2)*G4394*(1-PlanterDiscount)*(1+PlanterDifficultyPercentage)),IF(AE4394="free","re-planting",IF(G4394=0,"",IF(PlanterYesMe="",IF(AE4394="me","   not ELP, by",IF(AE4394="",IF(G4394&gt;0,(VLOOKUP(A4394,'Discount Lookup'!J:K,2)*G4394*(1-PlanterDiscount)*(1+PlanterDifficultyPercentage)),""),"")),"   not ELP, by"))))))))))))))</f>
        <v/>
      </c>
      <c r="AD4394" s="712"/>
      <c r="AE4394" s="513" t="str">
        <f t="shared" si="3282"/>
        <v/>
      </c>
      <c r="AF4394" s="713" t="str">
        <f t="shared" si="3283"/>
        <v/>
      </c>
      <c r="AG4394" s="713"/>
      <c r="AH4394" s="713"/>
      <c r="AI4394" s="112">
        <f>IF(H4394="credit",0,IF(AE4394="free",0,IF(AE4394="me",0,IF(G4394&gt;0,(VLOOKUP(A4394,'Discount Lookup'!J:K,2)*G4394),0))))</f>
        <v>0</v>
      </c>
      <c r="AJ4394" s="107" t="str">
        <f t="shared" ca="1" si="3284"/>
        <v/>
      </c>
      <c r="AK4394" s="714" t="str">
        <f t="shared" si="3285"/>
        <v/>
      </c>
      <c r="AL4394" s="714"/>
      <c r="AM4394" s="114" t="str">
        <f t="shared" si="3286"/>
        <v/>
      </c>
      <c r="AN4394" s="115"/>
      <c r="AO4394" s="116"/>
      <c r="AP4394" s="116"/>
      <c r="AQ4394" s="116"/>
      <c r="AR4394" s="116"/>
      <c r="AS4394" s="116"/>
      <c r="AT4394" s="116"/>
      <c r="AU4394" s="116"/>
      <c r="AV4394" s="78"/>
      <c r="AW4394" s="102"/>
      <c r="AX4394" s="78"/>
      <c r="AY4394" s="78"/>
      <c r="AZ4394" s="78"/>
      <c r="BA4394" s="78"/>
      <c r="BB4394" s="78"/>
      <c r="BC4394" s="78"/>
      <c r="BD4394" s="78"/>
      <c r="BE4394" s="465"/>
      <c r="BF4394" s="165" t="str">
        <f t="shared" si="3287"/>
        <v>https://www.google.com/search?tbm=isch&amp;q=3%20G2</v>
      </c>
      <c r="BG4394" s="165" t="str">
        <f t="shared" si="3288"/>
        <v>Y</v>
      </c>
      <c r="BH4394" s="65"/>
      <c r="BI4394" s="65"/>
      <c r="BJ4394" s="65"/>
      <c r="BK4394" s="65"/>
      <c r="BL4394" s="99"/>
      <c r="BM4394" s="99"/>
      <c r="BN4394" s="99"/>
    </row>
    <row r="4395" spans="1:66" s="51" customFormat="1" ht="16.5" thickBot="1" x14ac:dyDescent="0.3">
      <c r="A4395" s="508" t="s">
        <v>4532</v>
      </c>
      <c r="B4395" s="487"/>
      <c r="C4395" s="707"/>
      <c r="D4395" s="487"/>
      <c r="E4395" s="487"/>
      <c r="F4395" s="488"/>
      <c r="G4395" s="489"/>
      <c r="H4395" s="487"/>
      <c r="I4395" s="490"/>
      <c r="J4395" s="490"/>
      <c r="K4395" s="491"/>
      <c r="L4395" s="547"/>
      <c r="M4395" s="528"/>
      <c r="N4395" s="492"/>
      <c r="O4395" s="493"/>
      <c r="P4395" s="494"/>
      <c r="Q4395" s="492"/>
      <c r="R4395" s="492"/>
      <c r="S4395" s="699" t="s">
        <v>5259</v>
      </c>
      <c r="T4395" s="102">
        <f t="shared" si="3276"/>
        <v>0</v>
      </c>
      <c r="U4395" s="78" t="str">
        <f>IF(NOT(ISNUMBER(G4395)), "", VLOOKUP(A4395,'Discount Lookup'!D:E,2,FALSE)*G4395)</f>
        <v/>
      </c>
      <c r="V4395" s="78" t="str">
        <f>IF(NOT(ISNUMBER(G4395)), "", VLOOKUP(A4395,'Discount Lookup'!G:H,2,FALSE)*G4395)</f>
        <v/>
      </c>
      <c r="W4395" s="102">
        <f t="shared" si="3277"/>
        <v>0</v>
      </c>
      <c r="X4395" s="102">
        <f t="shared" si="3278"/>
        <v>0</v>
      </c>
      <c r="Y4395" s="120" t="b">
        <f t="shared" si="3279"/>
        <v>0</v>
      </c>
      <c r="Z4395" s="117">
        <f t="shared" si="3280"/>
        <v>0</v>
      </c>
      <c r="AA4395" s="118"/>
      <c r="AB4395" s="118" t="str">
        <f t="shared" si="3281"/>
        <v/>
      </c>
      <c r="AC4395" s="712" t="str">
        <f>IF(AE4395="T2G","no charge",IF(AND(OR(PlanterYesMe="No",PlanterYesMe="N",PlanterYesMe="me"),H4395=""),"",IF(H4395="credit","NO install",IF(AND(K4395="",AE4395="me"),"EACH row",IF(AND(K4395="images",AE4395="me"),"EACH row",IF(D4395="","",IF(H4395="credit","",IF(AE4395="free","re-planting",IF(AE4395="me","   not ELP, by",IF(AND(OR(PlanterYesMe="Yes",PlanterYesMe="Y"),G4395&gt;0),(VLOOKUP(A4395,'Discount Lookup'!J:K,2)*G4395*(1-PlanterDiscount)*(1+PlanterDifficultyPercentage)),IF(AE4395="ELP",(VLOOKUP(A4395,'Discount Lookup'!J:K,2)*G4395*(1-PlanterDiscount)*(1+PlanterDifficultyPercentage)),IF(AE4395="free","re-planting",IF(G4395=0,"",IF(PlanterYesMe="",IF(AE4395="me","   not ELP, by",IF(AE4395="",IF(G4395&gt;0,(VLOOKUP(A4395,'Discount Lookup'!J:K,2)*G4395*(1-PlanterDiscount)*(1+PlanterDifficultyPercentage)),""),"")),"   not ELP, by"))))))))))))))</f>
        <v/>
      </c>
      <c r="AD4395" s="712"/>
      <c r="AE4395" s="513" t="str">
        <f t="shared" si="3282"/>
        <v/>
      </c>
      <c r="AF4395" s="713" t="str">
        <f t="shared" si="3283"/>
        <v/>
      </c>
      <c r="AG4395" s="713"/>
      <c r="AH4395" s="713"/>
      <c r="AI4395" s="112">
        <f>IF(H4395="credit",0,IF(AE4395="free",0,IF(AE4395="me",0,IF(G4395&gt;0,(VLOOKUP(A4395,'Discount Lookup'!J:K,2)*G4395),0))))</f>
        <v>0</v>
      </c>
      <c r="AJ4395" s="107" t="str">
        <f t="shared" ca="1" si="3284"/>
        <v/>
      </c>
      <c r="AK4395" s="714" t="str">
        <f t="shared" si="3285"/>
        <v/>
      </c>
      <c r="AL4395" s="714"/>
      <c r="AM4395" s="114" t="str">
        <f t="shared" si="3286"/>
        <v/>
      </c>
      <c r="AN4395" s="115"/>
      <c r="AO4395" s="116"/>
      <c r="AP4395" s="116"/>
      <c r="AQ4395" s="116"/>
      <c r="AR4395" s="116"/>
      <c r="AS4395" s="116"/>
      <c r="AT4395" s="116"/>
      <c r="AU4395" s="116"/>
      <c r="AV4395" s="78"/>
      <c r="AW4395" s="102"/>
      <c r="AX4395" s="78"/>
      <c r="AY4395" s="78"/>
      <c r="AZ4395" s="78"/>
      <c r="BA4395" s="78"/>
      <c r="BB4395" s="78"/>
      <c r="BC4395" s="78"/>
      <c r="BD4395" s="78"/>
      <c r="BE4395" s="465"/>
      <c r="BF4395" s="165" t="str">
        <f t="shared" si="3287"/>
        <v>https://www.google.com/search?tbm=isch&amp;q=Color%20Guard%20has%20sword-like%20leaves%20with%20Bright%20Yellow%20centers%20and%20Green%20margins.%20Tall%20summer%20flower%20spikes%20</v>
      </c>
      <c r="BG4395" s="165" t="str">
        <f t="shared" si="3288"/>
        <v>C</v>
      </c>
      <c r="BH4395" s="65"/>
      <c r="BI4395" s="65"/>
      <c r="BJ4395" s="65"/>
      <c r="BK4395" s="65"/>
      <c r="BL4395" s="99"/>
      <c r="BM4395" s="99"/>
      <c r="BN4395" s="99"/>
    </row>
    <row r="4396" spans="1:66" s="51" customFormat="1" ht="18" x14ac:dyDescent="0.25">
      <c r="A4396" s="507" t="s">
        <v>4533</v>
      </c>
      <c r="B4396" s="470"/>
      <c r="C4396" s="706"/>
      <c r="D4396" s="471" t="s">
        <v>4534</v>
      </c>
      <c r="E4396" s="472"/>
      <c r="F4396" s="472"/>
      <c r="G4396" s="472"/>
      <c r="H4396" s="622" t="s">
        <v>1088</v>
      </c>
      <c r="I4396" s="473" t="s">
        <v>350</v>
      </c>
      <c r="J4396" s="472"/>
      <c r="K4396" s="472"/>
      <c r="L4396" s="561"/>
      <c r="M4396" s="698" t="s">
        <v>5240</v>
      </c>
      <c r="N4396" s="692" t="str">
        <f>IF(AND(ISTEXT($A4396), ISERROR($A4396+0)), HYPERLINK($BF4396, "Images"), "")</f>
        <v>Images</v>
      </c>
      <c r="O4396" s="694" t="s">
        <v>5244</v>
      </c>
      <c r="P4396" s="475"/>
      <c r="Q4396" s="476"/>
      <c r="R4396" s="476"/>
      <c r="S4396" s="477"/>
      <c r="T4396" s="102">
        <f t="shared" si="3276"/>
        <v>0</v>
      </c>
      <c r="U4396" s="78" t="str">
        <f>IF(NOT(ISNUMBER(G4396)), "", VLOOKUP(A4396,'Discount Lookup'!D:E,2,FALSE)*G4396)</f>
        <v/>
      </c>
      <c r="V4396" s="78" t="str">
        <f>IF(NOT(ISNUMBER(G4396)), "", VLOOKUP(A4396,'Discount Lookup'!G:H,2,FALSE)*G4396)</f>
        <v/>
      </c>
      <c r="W4396" s="102">
        <f t="shared" si="3277"/>
        <v>0</v>
      </c>
      <c r="X4396" s="102" t="str">
        <f t="shared" si="3278"/>
        <v>Creamy White bloom</v>
      </c>
      <c r="Y4396" s="120" t="b">
        <f t="shared" si="3279"/>
        <v>0</v>
      </c>
      <c r="Z4396" s="117">
        <f t="shared" si="3280"/>
        <v>0</v>
      </c>
      <c r="AA4396" s="118"/>
      <c r="AB4396" s="118" t="str">
        <f t="shared" si="3281"/>
        <v/>
      </c>
      <c r="AC4396" s="712" t="str">
        <f>IF(AE4396="T2G","no charge",IF(AND(OR(PlanterYesMe="No",PlanterYesMe="N",PlanterYesMe="me"),H4396=""),"",IF(H4396="credit","NO install",IF(AND(K4396="",AE4396="me"),"EACH row",IF(AND(K4396="images",AE4396="me"),"EACH row",IF(D4396="","",IF(H4396="credit","",IF(AE4396="free","re-planting",IF(AE4396="me","   not ELP, by",IF(AND(OR(PlanterYesMe="Yes",PlanterYesMe="Y"),G4396&gt;0),(VLOOKUP(A4396,'Discount Lookup'!J:K,2)*G4396*(1-PlanterDiscount)*(1+PlanterDifficultyPercentage)),IF(AE4396="ELP",(VLOOKUP(A4396,'Discount Lookup'!J:K,2)*G4396*(1-PlanterDiscount)*(1+PlanterDifficultyPercentage)),IF(AE4396="free","re-planting",IF(G4396=0,"",IF(PlanterYesMe="",IF(AE4396="me","   not ELP, by",IF(AE4396="",IF(G4396&gt;0,(VLOOKUP(A4396,'Discount Lookup'!J:K,2)*G4396*(1-PlanterDiscount)*(1+PlanterDifficultyPercentage)),""),"")),"   not ELP, by"))))))))))))))</f>
        <v/>
      </c>
      <c r="AD4396" s="712"/>
      <c r="AE4396" s="513" t="str">
        <f t="shared" si="3282"/>
        <v/>
      </c>
      <c r="AF4396" s="713" t="str">
        <f t="shared" si="3283"/>
        <v/>
      </c>
      <c r="AG4396" s="713"/>
      <c r="AH4396" s="713"/>
      <c r="AI4396" s="112">
        <f>IF(H4396="credit",0,IF(AE4396="free",0,IF(AE4396="me",0,IF(G4396&gt;0,(VLOOKUP(A4396,'Discount Lookup'!J:K,2)*G4396),0))))</f>
        <v>0</v>
      </c>
      <c r="AJ4396" s="107" t="str">
        <f t="shared" ca="1" si="3284"/>
        <v/>
      </c>
      <c r="AK4396" s="714" t="str">
        <f t="shared" si="3285"/>
        <v/>
      </c>
      <c r="AL4396" s="714"/>
      <c r="AM4396" s="114" t="str">
        <f t="shared" si="3286"/>
        <v/>
      </c>
      <c r="AN4396" s="115"/>
      <c r="AO4396" s="116"/>
      <c r="AP4396" s="116"/>
      <c r="AQ4396" s="116"/>
      <c r="AR4396" s="116"/>
      <c r="AS4396" s="116"/>
      <c r="AT4396" s="116"/>
      <c r="AU4396" s="116"/>
      <c r="AV4396" s="78"/>
      <c r="AW4396" s="102"/>
      <c r="AX4396" s="78"/>
      <c r="AY4396" s="78"/>
      <c r="AZ4396" s="78"/>
      <c r="BA4396" s="78"/>
      <c r="BB4396" s="78"/>
      <c r="BC4396" s="78"/>
      <c r="BD4396" s="78"/>
      <c r="BE4396" s="465"/>
      <c r="BF4396" s="165" t="str">
        <f t="shared" si="3287"/>
        <v>https://www.google.com/search?tbm=isch&amp;q=Yucca%20filamentosa%20%27Excalibur%27%20Excalibur%20Yucca</v>
      </c>
      <c r="BG4396" s="165" t="str">
        <f t="shared" si="3288"/>
        <v>Y</v>
      </c>
      <c r="BH4396" s="65"/>
      <c r="BI4396" s="65"/>
      <c r="BJ4396" s="65"/>
      <c r="BK4396" s="65"/>
      <c r="BL4396" s="99"/>
      <c r="BM4396" s="99"/>
      <c r="BN4396" s="99"/>
    </row>
    <row r="4397" spans="1:66" s="51" customFormat="1" ht="15.75" x14ac:dyDescent="0.25">
      <c r="A4397" s="478">
        <v>3</v>
      </c>
      <c r="B4397" s="479" t="s">
        <v>291</v>
      </c>
      <c r="C4397" s="480"/>
      <c r="D4397" s="481" t="s">
        <v>329</v>
      </c>
      <c r="E4397" s="482">
        <v>34.950000000000003</v>
      </c>
      <c r="F4397" s="483" t="s">
        <v>292</v>
      </c>
      <c r="G4397" s="484">
        <v>0</v>
      </c>
      <c r="H4397" s="688" t="str">
        <f>IF(G4397=0,"",IF(F4397="Buy",IF(G4397=1,"plant","plants"),IF(F4397&gt;0.01,"warranty","Error")))</f>
        <v/>
      </c>
      <c r="I4397" s="485">
        <f>IF(H4397="free",0,IF(H4397="credit",((E4397*(F4397))*G4397*-1),IF(F4397="Buy",(E4397*G4397),((E4397*(1-F4397))*G4397))))</f>
        <v>0</v>
      </c>
      <c r="J4397" s="485">
        <f>IF(H4397="warranty",0,(I4397*(_xlfn.SINGLE(SalesTaxPercentage))))</f>
        <v>0</v>
      </c>
      <c r="K4397" s="715">
        <f t="shared" ref="K4397" si="3297">I4397+J4397</f>
        <v>0</v>
      </c>
      <c r="L4397" s="715"/>
      <c r="M4397" s="689" t="str">
        <f ca="1">IF(AND(G4397&gt;0,E4397=0),"WARNING - no PRICE inserted",IF(H4397="free","FREE ~ no charge this plant",IF(H4397="credit",CONCATENATE("-$",ROUND(K4397*(1-_xlfn.SINGLE(T2GDiscount))*-1,2)," CREDIT after discount"),IF(_xlfn.SINGLE(T2GDiscount)=0,"",IF(G4397=0,"",IF(F4397="Buy",CONCATENATE("$",ROUND(K4397*(1-_xlfn.SINGLE(T2GDiscount)),2)," with ",(_xlfn.SINGLE(T2GDiscount)*100),"% discount"),CONCATENATE("$",ROUND(K4397*(1-_xlfn.SINGLE(T2GDiscount)),2)," with ",((_xlfn.SINGLE(T2GDiscount)*100+F4397*100)-(_xlfn.SINGLE(T2GDiscount)*100*F4397)),IF(F4397&gt;0,"% discounts",IF(_xlfn.SINGLE(NoWarrantyDiscount)&gt;0,"% discounts","% discount")))))))))</f>
        <v/>
      </c>
      <c r="N4397" s="690"/>
      <c r="O4397" s="486"/>
      <c r="P4397" s="486"/>
      <c r="Q4397" s="486"/>
      <c r="R4397" s="486"/>
      <c r="S4397" s="486"/>
      <c r="T4397" s="102">
        <f t="shared" si="3276"/>
        <v>0</v>
      </c>
      <c r="U4397" s="78">
        <f>IF(NOT(ISNUMBER(G4397)), "", VLOOKUP(A4397,'Discount Lookup'!D:E,2,FALSE)*G4397)</f>
        <v>0</v>
      </c>
      <c r="V4397" s="78">
        <f>IF(NOT(ISNUMBER(G4397)), "", VLOOKUP(A4397,'Discount Lookup'!G:H,2,FALSE)*G4397)</f>
        <v>0</v>
      </c>
      <c r="W4397" s="102">
        <f t="shared" si="3277"/>
        <v>0</v>
      </c>
      <c r="X4397" s="102">
        <f t="shared" si="3278"/>
        <v>0</v>
      </c>
      <c r="Y4397" s="120" t="b">
        <f t="shared" si="3279"/>
        <v>0</v>
      </c>
      <c r="Z4397" s="117">
        <f t="shared" si="3280"/>
        <v>0</v>
      </c>
      <c r="AA4397" s="118"/>
      <c r="AB4397" s="118" t="str">
        <f t="shared" si="3281"/>
        <v/>
      </c>
      <c r="AC4397" s="712" t="str">
        <f>IF(AE4397="T2G","no charge",IF(AND(OR(PlanterYesMe="No",PlanterYesMe="N",PlanterYesMe="me"),H4397=""),"",IF(H4397="credit","NO install",IF(AND(K4397="",AE4397="me"),"EACH row",IF(AND(K4397="images",AE4397="me"),"EACH row",IF(D4397="","",IF(H4397="credit","",IF(AE4397="free","re-planting",IF(AE4397="me","   not ELP, by",IF(AND(OR(PlanterYesMe="Yes",PlanterYesMe="Y"),G4397&gt;0),(VLOOKUP(A4397,'Discount Lookup'!J:K,2)*G4397*(1-PlanterDiscount)*(1+PlanterDifficultyPercentage)),IF(AE4397="ELP",(VLOOKUP(A4397,'Discount Lookup'!J:K,2)*G4397*(1-PlanterDiscount)*(1+PlanterDifficultyPercentage)),IF(AE4397="free","re-planting",IF(G4397=0,"",IF(PlanterYesMe="",IF(AE4397="me","   not ELP, by",IF(AE4397="",IF(G4397&gt;0,(VLOOKUP(A4397,'Discount Lookup'!J:K,2)*G4397*(1-PlanterDiscount)*(1+PlanterDifficultyPercentage)),""),"")),"   not ELP, by"))))))))))))))</f>
        <v/>
      </c>
      <c r="AD4397" s="712"/>
      <c r="AE4397" s="513" t="str">
        <f t="shared" si="3282"/>
        <v/>
      </c>
      <c r="AF4397" s="713" t="str">
        <f t="shared" si="3283"/>
        <v/>
      </c>
      <c r="AG4397" s="713"/>
      <c r="AH4397" s="713"/>
      <c r="AI4397" s="112">
        <f>IF(H4397="credit",0,IF(AE4397="free",0,IF(AE4397="me",0,IF(G4397&gt;0,(VLOOKUP(A4397,'Discount Lookup'!J:K,2)*G4397),0))))</f>
        <v>0</v>
      </c>
      <c r="AJ4397" s="107" t="str">
        <f t="shared" ca="1" si="3284"/>
        <v/>
      </c>
      <c r="AK4397" s="714" t="str">
        <f t="shared" si="3285"/>
        <v/>
      </c>
      <c r="AL4397" s="714"/>
      <c r="AM4397" s="114" t="str">
        <f t="shared" si="3286"/>
        <v/>
      </c>
      <c r="AN4397" s="115"/>
      <c r="AO4397" s="116"/>
      <c r="AP4397" s="116"/>
      <c r="AQ4397" s="116"/>
      <c r="AR4397" s="116"/>
      <c r="AS4397" s="116"/>
      <c r="AT4397" s="116"/>
      <c r="AU4397" s="116"/>
      <c r="AV4397" s="78"/>
      <c r="AW4397" s="102"/>
      <c r="AX4397" s="78"/>
      <c r="AY4397" s="78"/>
      <c r="AZ4397" s="78"/>
      <c r="BA4397" s="78"/>
      <c r="BB4397" s="78"/>
      <c r="BC4397" s="78"/>
      <c r="BD4397" s="78"/>
      <c r="BE4397" s="465"/>
      <c r="BF4397" s="165" t="str">
        <f t="shared" si="3287"/>
        <v>https://www.google.com/search?tbm=isch&amp;q=3%20G2</v>
      </c>
      <c r="BG4397" s="165" t="str">
        <f t="shared" si="3288"/>
        <v>Y</v>
      </c>
      <c r="BH4397" s="65"/>
      <c r="BI4397" s="65"/>
      <c r="BJ4397" s="65"/>
      <c r="BK4397" s="65"/>
      <c r="BL4397" s="99"/>
      <c r="BM4397" s="99"/>
      <c r="BN4397" s="99"/>
    </row>
    <row r="4398" spans="1:66" s="51" customFormat="1" ht="16.5" thickBot="1" x14ac:dyDescent="0.3">
      <c r="A4398" s="508" t="s">
        <v>4535</v>
      </c>
      <c r="B4398" s="487"/>
      <c r="C4398" s="707"/>
      <c r="D4398" s="487"/>
      <c r="E4398" s="487"/>
      <c r="F4398" s="488"/>
      <c r="G4398" s="489"/>
      <c r="H4398" s="487"/>
      <c r="I4398" s="490"/>
      <c r="J4398" s="490"/>
      <c r="K4398" s="491"/>
      <c r="L4398" s="547"/>
      <c r="M4398" s="528"/>
      <c r="N4398" s="492"/>
      <c r="O4398" s="493"/>
      <c r="P4398" s="494"/>
      <c r="Q4398" s="492"/>
      <c r="R4398" s="492"/>
      <c r="S4398" s="699" t="s">
        <v>5259</v>
      </c>
      <c r="T4398" s="102">
        <f t="shared" si="3276"/>
        <v>0</v>
      </c>
      <c r="U4398" s="78" t="str">
        <f>IF(NOT(ISNUMBER(G4398)), "", VLOOKUP(A4398,'Discount Lookup'!D:E,2,FALSE)*G4398)</f>
        <v/>
      </c>
      <c r="V4398" s="78" t="str">
        <f>IF(NOT(ISNUMBER(G4398)), "", VLOOKUP(A4398,'Discount Lookup'!G:H,2,FALSE)*G4398)</f>
        <v/>
      </c>
      <c r="W4398" s="102">
        <f t="shared" si="3277"/>
        <v>0</v>
      </c>
      <c r="X4398" s="102">
        <f t="shared" si="3278"/>
        <v>0</v>
      </c>
      <c r="Y4398" s="120" t="b">
        <f t="shared" si="3279"/>
        <v>0</v>
      </c>
      <c r="Z4398" s="117">
        <f t="shared" si="3280"/>
        <v>0</v>
      </c>
      <c r="AA4398" s="118"/>
      <c r="AB4398" s="118" t="str">
        <f t="shared" si="3281"/>
        <v/>
      </c>
      <c r="AC4398" s="712" t="str">
        <f>IF(AE4398="T2G","no charge",IF(AND(OR(PlanterYesMe="No",PlanterYesMe="N",PlanterYesMe="me"),H4398=""),"",IF(H4398="credit","NO install",IF(AND(K4398="",AE4398="me"),"EACH row",IF(AND(K4398="images",AE4398="me"),"EACH row",IF(D4398="","",IF(H4398="credit","",IF(AE4398="free","re-planting",IF(AE4398="me","   not ELP, by",IF(AND(OR(PlanterYesMe="Yes",PlanterYesMe="Y"),G4398&gt;0),(VLOOKUP(A4398,'Discount Lookup'!J:K,2)*G4398*(1-PlanterDiscount)*(1+PlanterDifficultyPercentage)),IF(AE4398="ELP",(VLOOKUP(A4398,'Discount Lookup'!J:K,2)*G4398*(1-PlanterDiscount)*(1+PlanterDifficultyPercentage)),IF(AE4398="free","re-planting",IF(G4398=0,"",IF(PlanterYesMe="",IF(AE4398="me","   not ELP, by",IF(AE4398="",IF(G4398&gt;0,(VLOOKUP(A4398,'Discount Lookup'!J:K,2)*G4398*(1-PlanterDiscount)*(1+PlanterDifficultyPercentage)),""),"")),"   not ELP, by"))))))))))))))</f>
        <v/>
      </c>
      <c r="AD4398" s="712"/>
      <c r="AE4398" s="513" t="str">
        <f t="shared" si="3282"/>
        <v/>
      </c>
      <c r="AF4398" s="713" t="str">
        <f t="shared" si="3283"/>
        <v/>
      </c>
      <c r="AG4398" s="713"/>
      <c r="AH4398" s="713"/>
      <c r="AI4398" s="112">
        <f>IF(H4398="credit",0,IF(AE4398="free",0,IF(AE4398="me",0,IF(G4398&gt;0,(VLOOKUP(A4398,'Discount Lookup'!J:K,2)*G4398),0))))</f>
        <v>0</v>
      </c>
      <c r="AJ4398" s="107" t="str">
        <f t="shared" ca="1" si="3284"/>
        <v/>
      </c>
      <c r="AK4398" s="714" t="str">
        <f t="shared" si="3285"/>
        <v/>
      </c>
      <c r="AL4398" s="714"/>
      <c r="AM4398" s="114" t="str">
        <f t="shared" si="3286"/>
        <v/>
      </c>
      <c r="AN4398" s="115"/>
      <c r="AO4398" s="116"/>
      <c r="AP4398" s="116"/>
      <c r="AQ4398" s="116"/>
      <c r="AR4398" s="116"/>
      <c r="AS4398" s="116"/>
      <c r="AT4398" s="116"/>
      <c r="AU4398" s="116"/>
      <c r="AV4398" s="78"/>
      <c r="AW4398" s="102"/>
      <c r="AX4398" s="78"/>
      <c r="AY4398" s="78"/>
      <c r="AZ4398" s="78"/>
      <c r="BA4398" s="78"/>
      <c r="BB4398" s="78"/>
      <c r="BC4398" s="78"/>
      <c r="BD4398" s="78"/>
      <c r="BE4398" s="465"/>
      <c r="BF4398" s="165" t="str">
        <f t="shared" si="3287"/>
        <v>https://www.google.com/search?tbm=isch&amp;q=Excalibur%20Yucca%20has%20sword-like%2C%20Blue-Green%20foliage%20and%20tall%20spikes%20of%20bell-shaped%20flowers%20</v>
      </c>
      <c r="BG4398" s="165" t="str">
        <f t="shared" si="3288"/>
        <v>E</v>
      </c>
      <c r="BH4398" s="65"/>
      <c r="BI4398" s="65"/>
      <c r="BJ4398" s="65"/>
      <c r="BK4398" s="65"/>
      <c r="BL4398" s="99"/>
      <c r="BM4398" s="99"/>
      <c r="BN4398" s="99"/>
    </row>
    <row r="4399" spans="1:66" s="51" customFormat="1" ht="18" x14ac:dyDescent="0.25">
      <c r="A4399" s="507" t="s">
        <v>4536</v>
      </c>
      <c r="B4399" s="470"/>
      <c r="C4399" s="706"/>
      <c r="D4399" s="471" t="s">
        <v>4537</v>
      </c>
      <c r="E4399" s="472"/>
      <c r="F4399" s="472"/>
      <c r="G4399" s="472"/>
      <c r="H4399" s="622" t="s">
        <v>1071</v>
      </c>
      <c r="I4399" s="473" t="s">
        <v>349</v>
      </c>
      <c r="J4399" s="472"/>
      <c r="K4399" s="472"/>
      <c r="L4399" s="561"/>
      <c r="M4399" s="698" t="s">
        <v>5240</v>
      </c>
      <c r="N4399" s="692" t="str">
        <f>IF(AND(ISTEXT($A4399), ISERROR($A4399+0)), HYPERLINK($BF4399, "Images"), "")</f>
        <v>Images</v>
      </c>
      <c r="O4399" s="694" t="s">
        <v>5244</v>
      </c>
      <c r="P4399" s="475"/>
      <c r="Q4399" s="476"/>
      <c r="R4399" s="476"/>
      <c r="S4399" s="477"/>
      <c r="T4399" s="102">
        <f t="shared" si="3276"/>
        <v>0</v>
      </c>
      <c r="U4399" s="78" t="str">
        <f>IF(NOT(ISNUMBER(G4399)), "", VLOOKUP(A4399,'Discount Lookup'!D:E,2,FALSE)*G4399)</f>
        <v/>
      </c>
      <c r="V4399" s="78" t="str">
        <f>IF(NOT(ISNUMBER(G4399)), "", VLOOKUP(A4399,'Discount Lookup'!G:H,2,FALSE)*G4399)</f>
        <v/>
      </c>
      <c r="W4399" s="102">
        <f t="shared" si="3277"/>
        <v>0</v>
      </c>
      <c r="X4399" s="102" t="str">
        <f t="shared" si="3278"/>
        <v>White bloom</v>
      </c>
      <c r="Y4399" s="120" t="b">
        <f t="shared" si="3279"/>
        <v>0</v>
      </c>
      <c r="Z4399" s="117">
        <f t="shared" si="3280"/>
        <v>0</v>
      </c>
      <c r="AA4399" s="118"/>
      <c r="AB4399" s="118" t="str">
        <f t="shared" si="3281"/>
        <v/>
      </c>
      <c r="AC4399" s="712" t="str">
        <f>IF(AE4399="T2G","no charge",IF(AND(OR(PlanterYesMe="No",PlanterYesMe="N",PlanterYesMe="me"),H4399=""),"",IF(H4399="credit","NO install",IF(AND(K4399="",AE4399="me"),"EACH row",IF(AND(K4399="images",AE4399="me"),"EACH row",IF(D4399="","",IF(H4399="credit","",IF(AE4399="free","re-planting",IF(AE4399="me","   not ELP, by",IF(AND(OR(PlanterYesMe="Yes",PlanterYesMe="Y"),G4399&gt;0),(VLOOKUP(A4399,'Discount Lookup'!J:K,2)*G4399*(1-PlanterDiscount)*(1+PlanterDifficultyPercentage)),IF(AE4399="ELP",(VLOOKUP(A4399,'Discount Lookup'!J:K,2)*G4399*(1-PlanterDiscount)*(1+PlanterDifficultyPercentage)),IF(AE4399="free","re-planting",IF(G4399=0,"",IF(PlanterYesMe="",IF(AE4399="me","   not ELP, by",IF(AE4399="",IF(G4399&gt;0,(VLOOKUP(A4399,'Discount Lookup'!J:K,2)*G4399*(1-PlanterDiscount)*(1+PlanterDifficultyPercentage)),""),"")),"   not ELP, by"))))))))))))))</f>
        <v/>
      </c>
      <c r="AD4399" s="712"/>
      <c r="AE4399" s="513" t="str">
        <f t="shared" si="3282"/>
        <v/>
      </c>
      <c r="AF4399" s="713" t="str">
        <f t="shared" si="3283"/>
        <v/>
      </c>
      <c r="AG4399" s="713"/>
      <c r="AH4399" s="713"/>
      <c r="AI4399" s="112">
        <f>IF(H4399="credit",0,IF(AE4399="free",0,IF(AE4399="me",0,IF(G4399&gt;0,(VLOOKUP(A4399,'Discount Lookup'!J:K,2)*G4399),0))))</f>
        <v>0</v>
      </c>
      <c r="AJ4399" s="107" t="str">
        <f t="shared" ca="1" si="3284"/>
        <v/>
      </c>
      <c r="AK4399" s="714" t="str">
        <f t="shared" si="3285"/>
        <v/>
      </c>
      <c r="AL4399" s="714"/>
      <c r="AM4399" s="114" t="str">
        <f t="shared" si="3286"/>
        <v/>
      </c>
      <c r="AN4399" s="115"/>
      <c r="AO4399" s="116"/>
      <c r="AP4399" s="116"/>
      <c r="AQ4399" s="116"/>
      <c r="AR4399" s="116"/>
      <c r="AS4399" s="116"/>
      <c r="AT4399" s="116"/>
      <c r="AU4399" s="116"/>
      <c r="AV4399" s="78"/>
      <c r="AW4399" s="102"/>
      <c r="AX4399" s="78"/>
      <c r="AY4399" s="78"/>
      <c r="AZ4399" s="78"/>
      <c r="BA4399" s="78"/>
      <c r="BB4399" s="78"/>
      <c r="BC4399" s="78"/>
      <c r="BD4399" s="78"/>
      <c r="BE4399" s="465"/>
      <c r="BF4399" s="165" t="str">
        <f t="shared" si="3287"/>
        <v>https://www.google.com/search?tbm=isch&amp;q=Yucca%20gloriosa%20%27Variegata%27%20Variegated%20Yucca</v>
      </c>
      <c r="BG4399" s="165" t="str">
        <f t="shared" si="3288"/>
        <v>Y</v>
      </c>
      <c r="BH4399" s="65"/>
      <c r="BI4399" s="65"/>
      <c r="BJ4399" s="65"/>
      <c r="BK4399" s="65"/>
      <c r="BL4399" s="99"/>
      <c r="BM4399" s="99"/>
      <c r="BN4399" s="99"/>
    </row>
    <row r="4400" spans="1:66" s="51" customFormat="1" ht="15.75" x14ac:dyDescent="0.25">
      <c r="A4400" s="478">
        <v>3</v>
      </c>
      <c r="B4400" s="479" t="s">
        <v>291</v>
      </c>
      <c r="C4400" s="480"/>
      <c r="D4400" s="481" t="s">
        <v>329</v>
      </c>
      <c r="E4400" s="482">
        <v>34.950000000000003</v>
      </c>
      <c r="F4400" s="483" t="s">
        <v>292</v>
      </c>
      <c r="G4400" s="484">
        <v>0</v>
      </c>
      <c r="H4400" s="688" t="str">
        <f>IF(G4400=0,"",IF(F4400="Buy",IF(G4400=1,"plant","plants"),IF(F4400&gt;0.01,"warranty","Error")))</f>
        <v/>
      </c>
      <c r="I4400" s="485">
        <f>IF(H4400="free",0,IF(H4400="credit",((E4400*(F4400))*G4400*-1),IF(F4400="Buy",(E4400*G4400),((E4400*(1-F4400))*G4400))))</f>
        <v>0</v>
      </c>
      <c r="J4400" s="485">
        <f>IF(H4400="warranty",0,(I4400*(_xlfn.SINGLE(SalesTaxPercentage))))</f>
        <v>0</v>
      </c>
      <c r="K4400" s="715">
        <f t="shared" ref="K4400" si="3298">I4400+J4400</f>
        <v>0</v>
      </c>
      <c r="L4400" s="715"/>
      <c r="M4400" s="689" t="str">
        <f ca="1">IF(AND(G4400&gt;0,E4400=0),"WARNING - no PRICE inserted",IF(H4400="free","FREE ~ no charge this plant",IF(H4400="credit",CONCATENATE("-$",ROUND(K4400*(1-_xlfn.SINGLE(T2GDiscount))*-1,2)," CREDIT after discount"),IF(_xlfn.SINGLE(T2GDiscount)=0,"",IF(G4400=0,"",IF(F4400="Buy",CONCATENATE("$",ROUND(K4400*(1-_xlfn.SINGLE(T2GDiscount)),2)," with ",(_xlfn.SINGLE(T2GDiscount)*100),"% discount"),CONCATENATE("$",ROUND(K4400*(1-_xlfn.SINGLE(T2GDiscount)),2)," with ",((_xlfn.SINGLE(T2GDiscount)*100+F4400*100)-(_xlfn.SINGLE(T2GDiscount)*100*F4400)),IF(F4400&gt;0,"% discounts",IF(_xlfn.SINGLE(NoWarrantyDiscount)&gt;0,"% discounts","% discount")))))))))</f>
        <v/>
      </c>
      <c r="N4400" s="690"/>
      <c r="O4400" s="486"/>
      <c r="P4400" s="486"/>
      <c r="Q4400" s="486"/>
      <c r="R4400" s="486"/>
      <c r="S4400" s="486"/>
      <c r="T4400" s="102">
        <f t="shared" si="3276"/>
        <v>0</v>
      </c>
      <c r="U4400" s="78">
        <f>IF(NOT(ISNUMBER(G4400)), "", VLOOKUP(A4400,'Discount Lookup'!D:E,2,FALSE)*G4400)</f>
        <v>0</v>
      </c>
      <c r="V4400" s="78">
        <f>IF(NOT(ISNUMBER(G4400)), "", VLOOKUP(A4400,'Discount Lookup'!G:H,2,FALSE)*G4400)</f>
        <v>0</v>
      </c>
      <c r="W4400" s="102">
        <f t="shared" si="3277"/>
        <v>0</v>
      </c>
      <c r="X4400" s="102">
        <f t="shared" si="3278"/>
        <v>0</v>
      </c>
      <c r="Y4400" s="120" t="b">
        <f t="shared" si="3279"/>
        <v>0</v>
      </c>
      <c r="Z4400" s="117">
        <f t="shared" si="3280"/>
        <v>0</v>
      </c>
      <c r="AA4400" s="118"/>
      <c r="AB4400" s="118" t="str">
        <f t="shared" si="3281"/>
        <v/>
      </c>
      <c r="AC4400" s="712" t="str">
        <f>IF(AE4400="T2G","no charge",IF(AND(OR(PlanterYesMe="No",PlanterYesMe="N",PlanterYesMe="me"),H4400=""),"",IF(H4400="credit","NO install",IF(AND(K4400="",AE4400="me"),"EACH row",IF(AND(K4400="images",AE4400="me"),"EACH row",IF(D4400="","",IF(H4400="credit","",IF(AE4400="free","re-planting",IF(AE4400="me","   not ELP, by",IF(AND(OR(PlanterYesMe="Yes",PlanterYesMe="Y"),G4400&gt;0),(VLOOKUP(A4400,'Discount Lookup'!J:K,2)*G4400*(1-PlanterDiscount)*(1+PlanterDifficultyPercentage)),IF(AE4400="ELP",(VLOOKUP(A4400,'Discount Lookup'!J:K,2)*G4400*(1-PlanterDiscount)*(1+PlanterDifficultyPercentage)),IF(AE4400="free","re-planting",IF(G4400=0,"",IF(PlanterYesMe="",IF(AE4400="me","   not ELP, by",IF(AE4400="",IF(G4400&gt;0,(VLOOKUP(A4400,'Discount Lookup'!J:K,2)*G4400*(1-PlanterDiscount)*(1+PlanterDifficultyPercentage)),""),"")),"   not ELP, by"))))))))))))))</f>
        <v/>
      </c>
      <c r="AD4400" s="712"/>
      <c r="AE4400" s="513" t="str">
        <f t="shared" si="3282"/>
        <v/>
      </c>
      <c r="AF4400" s="713" t="str">
        <f t="shared" si="3283"/>
        <v/>
      </c>
      <c r="AG4400" s="713"/>
      <c r="AH4400" s="713"/>
      <c r="AI4400" s="112">
        <f>IF(H4400="credit",0,IF(AE4400="free",0,IF(AE4400="me",0,IF(G4400&gt;0,(VLOOKUP(A4400,'Discount Lookup'!J:K,2)*G4400),0))))</f>
        <v>0</v>
      </c>
      <c r="AJ4400" s="107" t="str">
        <f t="shared" ca="1" si="3284"/>
        <v/>
      </c>
      <c r="AK4400" s="714" t="str">
        <f t="shared" si="3285"/>
        <v/>
      </c>
      <c r="AL4400" s="714"/>
      <c r="AM4400" s="114" t="str">
        <f t="shared" si="3286"/>
        <v/>
      </c>
      <c r="AN4400" s="115"/>
      <c r="AO4400" s="116"/>
      <c r="AP4400" s="116"/>
      <c r="AQ4400" s="116"/>
      <c r="AR4400" s="116"/>
      <c r="AS4400" s="116"/>
      <c r="AT4400" s="116"/>
      <c r="AU4400" s="116"/>
      <c r="AV4400" s="78"/>
      <c r="AW4400" s="102"/>
      <c r="AX4400" s="78"/>
      <c r="AY4400" s="78"/>
      <c r="AZ4400" s="78"/>
      <c r="BA4400" s="78"/>
      <c r="BB4400" s="78"/>
      <c r="BC4400" s="78"/>
      <c r="BD4400" s="78"/>
      <c r="BE4400" s="465"/>
      <c r="BF4400" s="165" t="str">
        <f t="shared" si="3287"/>
        <v>https://www.google.com/search?tbm=isch&amp;q=3%20G2</v>
      </c>
      <c r="BG4400" s="165" t="str">
        <f t="shared" si="3288"/>
        <v>Y</v>
      </c>
      <c r="BH4400" s="65"/>
      <c r="BI4400" s="65"/>
      <c r="BJ4400" s="65"/>
      <c r="BK4400" s="65"/>
      <c r="BL4400" s="99"/>
      <c r="BM4400" s="99"/>
      <c r="BN4400" s="99"/>
    </row>
    <row r="4401" spans="1:66" s="51" customFormat="1" ht="15.75" x14ac:dyDescent="0.25">
      <c r="A4401" s="508" t="s">
        <v>4538</v>
      </c>
      <c r="B4401" s="487"/>
      <c r="C4401" s="707"/>
      <c r="D4401" s="487"/>
      <c r="E4401" s="487"/>
      <c r="F4401" s="488"/>
      <c r="G4401" s="489"/>
      <c r="H4401" s="487"/>
      <c r="I4401" s="490"/>
      <c r="J4401" s="490"/>
      <c r="K4401" s="491"/>
      <c r="L4401" s="547"/>
      <c r="M4401" s="528"/>
      <c r="N4401" s="492"/>
      <c r="O4401" s="493"/>
      <c r="P4401" s="494"/>
      <c r="Q4401" s="492"/>
      <c r="R4401" s="492"/>
      <c r="S4401" s="699" t="s">
        <v>5259</v>
      </c>
      <c r="T4401" s="102">
        <f t="shared" si="3276"/>
        <v>0</v>
      </c>
      <c r="U4401" s="78" t="str">
        <f>IF(NOT(ISNUMBER(G4401)), "", VLOOKUP(A4401,'Discount Lookup'!D:E,2,FALSE)*G4401)</f>
        <v/>
      </c>
      <c r="V4401" s="78" t="str">
        <f>IF(NOT(ISNUMBER(G4401)), "", VLOOKUP(A4401,'Discount Lookup'!G:H,2,FALSE)*G4401)</f>
        <v/>
      </c>
      <c r="W4401" s="102">
        <f t="shared" si="3277"/>
        <v>0</v>
      </c>
      <c r="X4401" s="102">
        <f t="shared" si="3278"/>
        <v>0</v>
      </c>
      <c r="Y4401" s="120" t="b">
        <f t="shared" si="3279"/>
        <v>0</v>
      </c>
      <c r="Z4401" s="117">
        <f t="shared" si="3280"/>
        <v>0</v>
      </c>
      <c r="AA4401" s="118"/>
      <c r="AB4401" s="118" t="str">
        <f t="shared" si="3281"/>
        <v/>
      </c>
      <c r="AC4401" s="712" t="str">
        <f>IF(AE4401="T2G","no charge",IF(AND(OR(PlanterYesMe="No",PlanterYesMe="N",PlanterYesMe="me"),H4401=""),"",IF(H4401="credit","NO install",IF(AND(K4401="",AE4401="me"),"EACH row",IF(AND(K4401="images",AE4401="me"),"EACH row",IF(D4401="","",IF(H4401="credit","",IF(AE4401="free","re-planting",IF(AE4401="me","   not ELP, by",IF(AND(OR(PlanterYesMe="Yes",PlanterYesMe="Y"),G4401&gt;0),(VLOOKUP(A4401,'Discount Lookup'!J:K,2)*G4401*(1-PlanterDiscount)*(1+PlanterDifficultyPercentage)),IF(AE4401="ELP",(VLOOKUP(A4401,'Discount Lookup'!J:K,2)*G4401*(1-PlanterDiscount)*(1+PlanterDifficultyPercentage)),IF(AE4401="free","re-planting",IF(G4401=0,"",IF(PlanterYesMe="",IF(AE4401="me","   not ELP, by",IF(AE4401="",IF(G4401&gt;0,(VLOOKUP(A4401,'Discount Lookup'!J:K,2)*G4401*(1-PlanterDiscount)*(1+PlanterDifficultyPercentage)),""),"")),"   not ELP, by"))))))))))))))</f>
        <v/>
      </c>
      <c r="AD4401" s="712"/>
      <c r="AE4401" s="513" t="str">
        <f t="shared" si="3282"/>
        <v/>
      </c>
      <c r="AF4401" s="713" t="str">
        <f t="shared" si="3283"/>
        <v/>
      </c>
      <c r="AG4401" s="713"/>
      <c r="AH4401" s="713"/>
      <c r="AI4401" s="112">
        <f>IF(H4401="credit",0,IF(AE4401="free",0,IF(AE4401="me",0,IF(G4401&gt;0,(VLOOKUP(A4401,'Discount Lookup'!J:K,2)*G4401),0))))</f>
        <v>0</v>
      </c>
      <c r="AJ4401" s="107" t="str">
        <f t="shared" ca="1" si="3284"/>
        <v/>
      </c>
      <c r="AK4401" s="714" t="str">
        <f t="shared" si="3285"/>
        <v/>
      </c>
      <c r="AL4401" s="714"/>
      <c r="AM4401" s="114" t="str">
        <f t="shared" si="3286"/>
        <v/>
      </c>
      <c r="AN4401" s="115"/>
      <c r="AO4401" s="116"/>
      <c r="AP4401" s="116"/>
      <c r="AQ4401" s="116"/>
      <c r="AR4401" s="116"/>
      <c r="AS4401" s="116"/>
      <c r="AT4401" s="116"/>
      <c r="AU4401" s="116"/>
      <c r="AV4401" s="78"/>
      <c r="AW4401" s="102"/>
      <c r="AX4401" s="78"/>
      <c r="AY4401" s="78"/>
      <c r="AZ4401" s="78"/>
      <c r="BA4401" s="78"/>
      <c r="BB4401" s="78"/>
      <c r="BC4401" s="78"/>
      <c r="BD4401" s="78"/>
      <c r="BE4401" s="465"/>
      <c r="BF4401" s="165" t="str">
        <f t="shared" si="3287"/>
        <v>https://www.google.com/search?tbm=isch&amp;q=Variegated%20Yucca%20%28AKA%20Spanish%20Dagger%29%20sword-like%20foliage%20is%20Blue-Green%2C%20with%20Creamy-Yellow%20margins.%20Tall%20blooms%20</v>
      </c>
      <c r="BG4401" s="165" t="str">
        <f t="shared" si="3288"/>
        <v>V</v>
      </c>
      <c r="BH4401" s="65"/>
      <c r="BI4401" s="65"/>
      <c r="BJ4401" s="65"/>
      <c r="BK4401" s="65"/>
      <c r="BL4401" s="99"/>
      <c r="BM4401" s="99"/>
      <c r="BN4401" s="99"/>
    </row>
    <row r="4402" spans="1:66" s="51" customFormat="1" ht="55.5" x14ac:dyDescent="0.25">
      <c r="A4402" s="520" t="s">
        <v>825</v>
      </c>
      <c r="B4402" s="501"/>
      <c r="C4402" s="502"/>
      <c r="D4402" s="502"/>
      <c r="E4402" s="502"/>
      <c r="F4402" s="502"/>
      <c r="G4402" s="502"/>
      <c r="H4402" s="502"/>
      <c r="I4402" s="502"/>
      <c r="J4402" s="502"/>
      <c r="K4402" s="509" t="s">
        <v>871</v>
      </c>
      <c r="L4402" s="503"/>
      <c r="M4402" s="563"/>
      <c r="N4402" s="504"/>
      <c r="O4402" s="504"/>
      <c r="P4402" s="504"/>
      <c r="Q4402" s="504"/>
      <c r="R4402" s="504"/>
      <c r="S4402" s="511" t="s">
        <v>1546</v>
      </c>
      <c r="T4402" s="102">
        <f t="shared" si="3276"/>
        <v>0</v>
      </c>
      <c r="U4402" s="78" t="str">
        <f>IF(NOT(ISNUMBER(G4402)), "", VLOOKUP(A4402,'Discount Lookup'!D:E,2,FALSE)*G4402)</f>
        <v/>
      </c>
      <c r="V4402" s="78" t="str">
        <f>IF(NOT(ISNUMBER(G4402)), "", VLOOKUP(A4402,'Discount Lookup'!G:H,2,FALSE)*G4402)</f>
        <v/>
      </c>
      <c r="W4402" s="102">
        <f t="shared" si="3277"/>
        <v>0</v>
      </c>
      <c r="X4402" s="102">
        <f t="shared" si="3278"/>
        <v>0</v>
      </c>
      <c r="Y4402" s="120" t="b">
        <f t="shared" si="3279"/>
        <v>0</v>
      </c>
      <c r="Z4402" s="117">
        <f t="shared" si="3280"/>
        <v>0</v>
      </c>
      <c r="AA4402" s="118"/>
      <c r="AB4402" s="118" t="str">
        <f t="shared" si="3281"/>
        <v/>
      </c>
      <c r="AC4402" s="712" t="str">
        <f>IF(AE4402="T2G","no charge",IF(AND(OR(PlanterYesMe="No",PlanterYesMe="N",PlanterYesMe="me"),H4402=""),"",IF(H4402="credit","NO install",IF(AND(K4402="",AE4402="me"),"EACH row",IF(AND(K4402="images",AE4402="me"),"EACH row",IF(D4402="","",IF(H4402="credit","",IF(AE4402="free","re-planting",IF(AE4402="me","   not ELP, by",IF(AND(OR(PlanterYesMe="Yes",PlanterYesMe="Y"),G4402&gt;0),(VLOOKUP(A4402,'Discount Lookup'!J:K,2)*G4402*(1-PlanterDiscount)*(1+PlanterDifficultyPercentage)),IF(AE4402="ELP",(VLOOKUP(A4402,'Discount Lookup'!J:K,2)*G4402*(1-PlanterDiscount)*(1+PlanterDifficultyPercentage)),IF(AE4402="free","re-planting",IF(G4402=0,"",IF(PlanterYesMe="",IF(AE4402="me","   not ELP, by",IF(AE4402="",IF(G4402&gt;0,(VLOOKUP(A4402,'Discount Lookup'!J:K,2)*G4402*(1-PlanterDiscount)*(1+PlanterDifficultyPercentage)),""),"")),"   not ELP, by"))))))))))))))</f>
        <v/>
      </c>
      <c r="AD4402" s="712"/>
      <c r="AE4402" s="513" t="str">
        <f t="shared" si="3282"/>
        <v/>
      </c>
      <c r="AF4402" s="713" t="str">
        <f t="shared" si="3283"/>
        <v/>
      </c>
      <c r="AG4402" s="713"/>
      <c r="AH4402" s="713"/>
      <c r="AI4402" s="112">
        <f>IF(H4402="credit",0,IF(AE4402="free",0,IF(AE4402="me",0,IF(G4402&gt;0,(VLOOKUP(A4402,'Discount Lookup'!J:K,2)*G4402),0))))</f>
        <v>0</v>
      </c>
      <c r="AJ4402" s="107" t="str">
        <f t="shared" ca="1" si="3284"/>
        <v/>
      </c>
      <c r="AK4402" s="714" t="str">
        <f t="shared" si="3285"/>
        <v/>
      </c>
      <c r="AL4402" s="714"/>
      <c r="AM4402" s="114" t="str">
        <f t="shared" si="3286"/>
        <v/>
      </c>
      <c r="AN4402" s="115"/>
      <c r="AO4402" s="116"/>
      <c r="AP4402" s="116"/>
      <c r="AQ4402" s="116"/>
      <c r="AR4402" s="116"/>
      <c r="AS4402" s="116"/>
      <c r="AT4402" s="116"/>
      <c r="AU4402" s="116"/>
      <c r="AV4402" s="78"/>
      <c r="AW4402" s="102"/>
      <c r="AX4402" s="78"/>
      <c r="AY4402" s="78"/>
      <c r="AZ4402" s="78"/>
      <c r="BA4402" s="78"/>
      <c r="BB4402" s="78"/>
      <c r="BC4402" s="78"/>
      <c r="BD4402" s="78"/>
      <c r="BE4402" s="465"/>
      <c r="BF4402" s="165" t="str">
        <f t="shared" si="3287"/>
        <v>https://www.google.com/search?tbm=isch&amp;q=Z%20</v>
      </c>
      <c r="BG4402" s="165" t="str">
        <f t="shared" si="3288"/>
        <v>Z</v>
      </c>
      <c r="BH4402" s="65"/>
      <c r="BI4402" s="65"/>
      <c r="BJ4402" s="65"/>
      <c r="BK4402" s="65"/>
      <c r="BL4402" s="99"/>
      <c r="BM4402" s="99"/>
      <c r="BN4402" s="99"/>
    </row>
    <row r="4403" spans="1:66" s="51" customFormat="1" ht="19.5" thickBot="1" x14ac:dyDescent="0.3">
      <c r="A4403" s="686" t="s">
        <v>826</v>
      </c>
      <c r="B4403" s="73"/>
      <c r="C4403" s="708"/>
      <c r="D4403" s="73"/>
      <c r="E4403" s="73"/>
      <c r="F4403" s="496"/>
      <c r="G4403" s="73"/>
      <c r="H4403" s="73"/>
      <c r="I4403" s="73"/>
      <c r="J4403" s="497" t="s">
        <v>357</v>
      </c>
      <c r="K4403" s="498"/>
      <c r="L4403" s="562"/>
      <c r="M4403" s="73"/>
      <c r="N4403"/>
      <c r="O4403"/>
      <c r="P4403"/>
      <c r="Q4403"/>
      <c r="R4403"/>
      <c r="S4403"/>
      <c r="T4403" s="102">
        <f t="shared" si="3276"/>
        <v>0</v>
      </c>
      <c r="U4403" s="78" t="str">
        <f>IF(NOT(ISNUMBER(G4403)), "", VLOOKUP(A4403,'Discount Lookup'!D:E,2,FALSE)*G4403)</f>
        <v/>
      </c>
      <c r="V4403" s="78" t="str">
        <f>IF(NOT(ISNUMBER(G4403)), "", VLOOKUP(A4403,'Discount Lookup'!G:H,2,FALSE)*G4403)</f>
        <v/>
      </c>
      <c r="W4403" s="102">
        <f t="shared" si="3277"/>
        <v>0</v>
      </c>
      <c r="X4403" s="102">
        <f t="shared" si="3278"/>
        <v>0</v>
      </c>
      <c r="Y4403" s="120" t="b">
        <f t="shared" si="3279"/>
        <v>0</v>
      </c>
      <c r="Z4403" s="117">
        <f t="shared" si="3280"/>
        <v>0</v>
      </c>
      <c r="AA4403" s="118"/>
      <c r="AB4403" s="118" t="str">
        <f t="shared" si="3281"/>
        <v/>
      </c>
      <c r="AC4403" s="712" t="str">
        <f>IF(AE4403="T2G","no charge",IF(AND(OR(PlanterYesMe="No",PlanterYesMe="N",PlanterYesMe="me"),H4403=""),"",IF(H4403="credit","NO install",IF(AND(K4403="",AE4403="me"),"EACH row",IF(AND(K4403="images",AE4403="me"),"EACH row",IF(D4403="","",IF(H4403="credit","",IF(AE4403="free","re-planting",IF(AE4403="me","   not ELP, by",IF(AND(OR(PlanterYesMe="Yes",PlanterYesMe="Y"),G4403&gt;0),(VLOOKUP(A4403,'Discount Lookup'!J:K,2)*G4403*(1-PlanterDiscount)*(1+PlanterDifficultyPercentage)),IF(AE4403="ELP",(VLOOKUP(A4403,'Discount Lookup'!J:K,2)*G4403*(1-PlanterDiscount)*(1+PlanterDifficultyPercentage)),IF(AE4403="free","re-planting",IF(G4403=0,"",IF(PlanterYesMe="",IF(AE4403="me","   not ELP, by",IF(AE4403="",IF(G4403&gt;0,(VLOOKUP(A4403,'Discount Lookup'!J:K,2)*G4403*(1-PlanterDiscount)*(1+PlanterDifficultyPercentage)),""),"")),"   not ELP, by"))))))))))))))</f>
        <v/>
      </c>
      <c r="AD4403" s="712"/>
      <c r="AE4403" s="513" t="str">
        <f t="shared" si="3282"/>
        <v/>
      </c>
      <c r="AF4403" s="713" t="str">
        <f t="shared" si="3283"/>
        <v/>
      </c>
      <c r="AG4403" s="713"/>
      <c r="AH4403" s="713"/>
      <c r="AI4403" s="112">
        <f>IF(H4403="credit",0,IF(AE4403="free",0,IF(AE4403="me",0,IF(G4403&gt;0,(VLOOKUP(A4403,'Discount Lookup'!J:K,2)*G4403),0))))</f>
        <v>0</v>
      </c>
      <c r="AJ4403" s="107" t="str">
        <f t="shared" ca="1" si="3284"/>
        <v/>
      </c>
      <c r="AK4403" s="714" t="str">
        <f t="shared" si="3285"/>
        <v/>
      </c>
      <c r="AL4403" s="714"/>
      <c r="AM4403" s="114" t="str">
        <f t="shared" si="3286"/>
        <v/>
      </c>
      <c r="AN4403" s="115"/>
      <c r="AO4403" s="116"/>
      <c r="AP4403" s="116"/>
      <c r="AQ4403" s="116"/>
      <c r="AR4403" s="116"/>
      <c r="AS4403" s="116"/>
      <c r="AT4403" s="116"/>
      <c r="AU4403" s="116"/>
      <c r="AV4403" s="78"/>
      <c r="AW4403" s="102"/>
      <c r="AX4403" s="78"/>
      <c r="AY4403" s="78"/>
      <c r="AZ4403" s="78"/>
      <c r="BA4403" s="78"/>
      <c r="BB4403" s="78"/>
      <c r="BC4403" s="78"/>
      <c r="BD4403" s="78"/>
      <c r="BE4403" s="465"/>
      <c r="BF4403" s="165" t="str">
        <f t="shared" si="3287"/>
        <v>https://www.google.com/search?tbm=isch&amp;q=Zelkova%20%3D%20Japanese%20Elm%20</v>
      </c>
      <c r="BG4403" s="165" t="str">
        <f t="shared" si="3288"/>
        <v>Z</v>
      </c>
      <c r="BH4403" s="65"/>
      <c r="BI4403" s="65"/>
      <c r="BJ4403" s="65"/>
      <c r="BK4403" s="65"/>
      <c r="BL4403" s="99"/>
      <c r="BM4403" s="99"/>
      <c r="BN4403" s="99"/>
    </row>
    <row r="4404" spans="1:66" s="51" customFormat="1" ht="18" x14ac:dyDescent="0.25">
      <c r="A4404" s="623" t="s">
        <v>4539</v>
      </c>
      <c r="B4404" s="624"/>
      <c r="C4404" s="709"/>
      <c r="D4404" s="625" t="s">
        <v>4540</v>
      </c>
      <c r="E4404" s="626"/>
      <c r="F4404" s="626"/>
      <c r="G4404" s="626"/>
      <c r="H4404" s="622" t="s">
        <v>302</v>
      </c>
      <c r="I4404" s="627" t="s">
        <v>432</v>
      </c>
      <c r="J4404" s="628"/>
      <c r="K4404" s="628"/>
      <c r="L4404" s="629"/>
      <c r="M4404" s="700" t="s">
        <v>5241</v>
      </c>
      <c r="N4404" s="693" t="str">
        <f>IF(AND(ISTEXT($A4404), ISERROR($A4404+0)), HYPERLINK($BF4404, "Images"), "")</f>
        <v>Images</v>
      </c>
      <c r="O4404" s="695" t="s">
        <v>5247</v>
      </c>
      <c r="P4404" s="630"/>
      <c r="Q4404" s="631"/>
      <c r="R4404" s="632"/>
      <c r="S4404" s="633"/>
      <c r="T4404" s="102">
        <f t="shared" si="3276"/>
        <v>0</v>
      </c>
      <c r="U4404" s="78" t="str">
        <f>IF(NOT(ISNUMBER(G4404)), "", VLOOKUP(A4404,'Discount Lookup'!D:E,2,FALSE)*G4404)</f>
        <v/>
      </c>
      <c r="V4404" s="78" t="str">
        <f>IF(NOT(ISNUMBER(G4404)), "", VLOOKUP(A4404,'Discount Lookup'!G:H,2,FALSE)*G4404)</f>
        <v/>
      </c>
      <c r="W4404" s="102">
        <f t="shared" si="3277"/>
        <v>0</v>
      </c>
      <c r="X4404" s="102" t="str">
        <f t="shared" si="3278"/>
        <v>Green foliage</v>
      </c>
      <c r="Y4404" s="120" t="b">
        <f t="shared" si="3279"/>
        <v>0</v>
      </c>
      <c r="Z4404" s="117">
        <f t="shared" si="3280"/>
        <v>0</v>
      </c>
      <c r="AA4404" s="118"/>
      <c r="AB4404" s="118" t="str">
        <f t="shared" si="3281"/>
        <v/>
      </c>
      <c r="AC4404" s="712" t="str">
        <f>IF(AE4404="T2G","no charge",IF(AND(OR(PlanterYesMe="No",PlanterYesMe="N",PlanterYesMe="me"),H4404=""),"",IF(H4404="credit","NO install",IF(AND(K4404="",AE4404="me"),"EACH row",IF(AND(K4404="images",AE4404="me"),"EACH row",IF(D4404="","",IF(H4404="credit","",IF(AE4404="free","re-planting",IF(AE4404="me","   not ELP, by",IF(AND(OR(PlanterYesMe="Yes",PlanterYesMe="Y"),G4404&gt;0),(VLOOKUP(A4404,'Discount Lookup'!J:K,2)*G4404*(1-PlanterDiscount)*(1+PlanterDifficultyPercentage)),IF(AE4404="ELP",(VLOOKUP(A4404,'Discount Lookup'!J:K,2)*G4404*(1-PlanterDiscount)*(1+PlanterDifficultyPercentage)),IF(AE4404="free","re-planting",IF(G4404=0,"",IF(PlanterYesMe="",IF(AE4404="me","   not ELP, by",IF(AE4404="",IF(G4404&gt;0,(VLOOKUP(A4404,'Discount Lookup'!J:K,2)*G4404*(1-PlanterDiscount)*(1+PlanterDifficultyPercentage)),""),"")),"   not ELP, by"))))))))))))))</f>
        <v/>
      </c>
      <c r="AD4404" s="712"/>
      <c r="AE4404" s="513" t="str">
        <f t="shared" si="3282"/>
        <v/>
      </c>
      <c r="AF4404" s="713" t="str">
        <f t="shared" si="3283"/>
        <v/>
      </c>
      <c r="AG4404" s="713"/>
      <c r="AH4404" s="713"/>
      <c r="AI4404" s="112">
        <f>IF(H4404="credit",0,IF(AE4404="free",0,IF(AE4404="me",0,IF(G4404&gt;0,(VLOOKUP(A4404,'Discount Lookup'!J:K,2)*G4404),0))))</f>
        <v>0</v>
      </c>
      <c r="AJ4404" s="107" t="str">
        <f t="shared" ca="1" si="3284"/>
        <v/>
      </c>
      <c r="AK4404" s="714" t="str">
        <f t="shared" si="3285"/>
        <v/>
      </c>
      <c r="AL4404" s="714"/>
      <c r="AM4404" s="114" t="str">
        <f t="shared" si="3286"/>
        <v/>
      </c>
      <c r="AN4404" s="115"/>
      <c r="AO4404" s="116"/>
      <c r="AP4404" s="116"/>
      <c r="AQ4404" s="116"/>
      <c r="AR4404" s="116"/>
      <c r="AS4404" s="116"/>
      <c r="AT4404" s="116"/>
      <c r="AU4404" s="116"/>
      <c r="AV4404" s="78"/>
      <c r="AW4404" s="102"/>
      <c r="AX4404" s="78"/>
      <c r="AY4404" s="78"/>
      <c r="AZ4404" s="78"/>
      <c r="BA4404" s="78"/>
      <c r="BB4404" s="78"/>
      <c r="BC4404" s="78"/>
      <c r="BD4404" s="78"/>
      <c r="BE4404" s="465"/>
      <c r="BF4404" s="165" t="str">
        <f t="shared" si="3287"/>
        <v>https://www.google.com/search?tbm=isch&amp;q=Zelkova%20serrata%20%27Burgundy%20Vase%27%20Burgundy%20Vase%20Zelkova</v>
      </c>
      <c r="BG4404" s="165" t="str">
        <f>IF(ISTEXT(A4404),LEFT(A4404,1),BG862)</f>
        <v>Z</v>
      </c>
      <c r="BH4404" s="65"/>
      <c r="BI4404" s="65"/>
      <c r="BJ4404" s="65"/>
      <c r="BK4404" s="65"/>
      <c r="BL4404" s="99"/>
      <c r="BM4404" s="99"/>
      <c r="BN4404" s="99"/>
    </row>
    <row r="4405" spans="1:66" s="51" customFormat="1" ht="15.75" x14ac:dyDescent="0.25">
      <c r="A4405" s="634">
        <v>15</v>
      </c>
      <c r="B4405" s="635" t="s">
        <v>291</v>
      </c>
      <c r="C4405" s="636" t="s">
        <v>4541</v>
      </c>
      <c r="D4405" s="637" t="s">
        <v>299</v>
      </c>
      <c r="E4405" s="638">
        <v>201.95</v>
      </c>
      <c r="F4405" s="639" t="s">
        <v>292</v>
      </c>
      <c r="G4405" s="484">
        <v>0</v>
      </c>
      <c r="H4405" s="691" t="str">
        <f>IF(G4405=0,"",IF(F4405="Buy",IF(G4405=1,"plant","plants"),IF(F4405&gt;0.01,"warranty","Error")))</f>
        <v/>
      </c>
      <c r="I4405" s="640">
        <f>IF(H4405="free",0,IF(H4405="credit",((E4405*(F4405))*G4405*-1),IF(F4405="Buy",(E4405*G4405),((E4405*(1-F4405))*G4405))))</f>
        <v>0</v>
      </c>
      <c r="J4405" s="640">
        <f>IF(H4405="warranty",0,(I4405*(_xlfn.SINGLE(SalesTaxPercentage))))</f>
        <v>0</v>
      </c>
      <c r="K4405" s="716">
        <f t="shared" ref="K4405" si="3299">I4405+J4405</f>
        <v>0</v>
      </c>
      <c r="L4405" s="716"/>
      <c r="M4405" s="689" t="str">
        <f ca="1">IF(AND(G4405&gt;0,E4405=0),"WARNING - no PRICE inserted",IF(H4405="free","FREE ~ no charge this plant",IF(H4405="credit",CONCATENATE("-$",ROUND(K4405*(1-_xlfn.SINGLE(T2GDiscount))*-1,2)," CREDIT after discount"),IF(_xlfn.SINGLE(T2GDiscount)=0,"",IF(G4405=0,"",IF(F4405="Buy",CONCATENATE("$",ROUND(K4405*(1-_xlfn.SINGLE(T2GDiscount)),2)," with ",(_xlfn.SINGLE(T2GDiscount)*100),"% discount"),CONCATENATE("$",ROUND(K4405*(1-_xlfn.SINGLE(T2GDiscount)),2)," with ",((_xlfn.SINGLE(T2GDiscount)*100+F4405*100)-(_xlfn.SINGLE(T2GDiscount)*100*F4405)),IF(F4405&gt;0,"% discounts",IF(_xlfn.SINGLE(NoWarrantyDiscount)&gt;0,"% discounts","% discount")))))))))</f>
        <v/>
      </c>
      <c r="N4405" s="690"/>
      <c r="O4405" s="486"/>
      <c r="P4405" s="486"/>
      <c r="Q4405" s="486"/>
      <c r="R4405" s="486"/>
      <c r="S4405" s="486"/>
      <c r="T4405" s="102">
        <f t="shared" si="3276"/>
        <v>0</v>
      </c>
      <c r="U4405" s="78">
        <f>IF(NOT(ISNUMBER(G4405)), "", VLOOKUP(A4405,'Discount Lookup'!D:E,2,FALSE)*G4405)</f>
        <v>0</v>
      </c>
      <c r="V4405" s="78">
        <f>IF(NOT(ISNUMBER(G4405)), "", VLOOKUP(A4405,'Discount Lookup'!G:H,2,FALSE)*G4405)</f>
        <v>0</v>
      </c>
      <c r="W4405" s="102">
        <f t="shared" si="3277"/>
        <v>0</v>
      </c>
      <c r="X4405" s="102">
        <f t="shared" si="3278"/>
        <v>0</v>
      </c>
      <c r="Y4405" s="120" t="b">
        <f t="shared" si="3279"/>
        <v>0</v>
      </c>
      <c r="Z4405" s="117">
        <f t="shared" si="3280"/>
        <v>0</v>
      </c>
      <c r="AA4405" s="118"/>
      <c r="AB4405" s="118" t="str">
        <f t="shared" si="3281"/>
        <v/>
      </c>
      <c r="AC4405" s="712" t="str">
        <f>IF(AE4405="T2G","no charge",IF(AND(OR(PlanterYesMe="No",PlanterYesMe="N",PlanterYesMe="me"),H4405=""),"",IF(H4405="credit","NO install",IF(AND(K4405="",AE4405="me"),"EACH row",IF(AND(K4405="images",AE4405="me"),"EACH row",IF(D4405="","",IF(H4405="credit","",IF(AE4405="free","re-planting",IF(AE4405="me","   not ELP, by",IF(AND(OR(PlanterYesMe="Yes",PlanterYesMe="Y"),G4405&gt;0),(VLOOKUP(A4405,'Discount Lookup'!J:K,2)*G4405*(1-PlanterDiscount)*(1+PlanterDifficultyPercentage)),IF(AE4405="ELP",(VLOOKUP(A4405,'Discount Lookup'!J:K,2)*G4405*(1-PlanterDiscount)*(1+PlanterDifficultyPercentage)),IF(AE4405="free","re-planting",IF(G4405=0,"",IF(PlanterYesMe="",IF(AE4405="me","   not ELP, by",IF(AE4405="",IF(G4405&gt;0,(VLOOKUP(A4405,'Discount Lookup'!J:K,2)*G4405*(1-PlanterDiscount)*(1+PlanterDifficultyPercentage)),""),"")),"   not ELP, by"))))))))))))))</f>
        <v/>
      </c>
      <c r="AD4405" s="712"/>
      <c r="AE4405" s="513" t="str">
        <f t="shared" si="3282"/>
        <v/>
      </c>
      <c r="AF4405" s="713" t="str">
        <f t="shared" si="3283"/>
        <v/>
      </c>
      <c r="AG4405" s="713"/>
      <c r="AH4405" s="713"/>
      <c r="AI4405" s="112">
        <f>IF(H4405="credit",0,IF(AE4405="free",0,IF(AE4405="me",0,IF(G4405&gt;0,(VLOOKUP(A4405,'Discount Lookup'!J:K,2)*G4405),0))))</f>
        <v>0</v>
      </c>
      <c r="AJ4405" s="107" t="str">
        <f t="shared" ca="1" si="3284"/>
        <v/>
      </c>
      <c r="AK4405" s="714" t="str">
        <f t="shared" si="3285"/>
        <v/>
      </c>
      <c r="AL4405" s="714"/>
      <c r="AM4405" s="114" t="str">
        <f t="shared" si="3286"/>
        <v/>
      </c>
      <c r="AN4405" s="115"/>
      <c r="AO4405" s="116"/>
      <c r="AP4405" s="116"/>
      <c r="AQ4405" s="116"/>
      <c r="AR4405" s="116"/>
      <c r="AS4405" s="116"/>
      <c r="AT4405" s="116"/>
      <c r="AU4405" s="116"/>
      <c r="AV4405" s="78"/>
      <c r="AW4405" s="102"/>
      <c r="AX4405" s="78"/>
      <c r="AY4405" s="78"/>
      <c r="AZ4405" s="78"/>
      <c r="BA4405" s="78"/>
      <c r="BB4405" s="78"/>
      <c r="BC4405" s="78"/>
      <c r="BD4405" s="78"/>
      <c r="BE4405" s="465"/>
      <c r="BF4405" s="165" t="str">
        <f t="shared" si="3287"/>
        <v>https://www.google.com/search?tbm=isch&amp;q=15%20G4</v>
      </c>
      <c r="BG4405" s="165" t="str">
        <f t="shared" si="3288"/>
        <v>Z</v>
      </c>
      <c r="BH4405" s="65"/>
      <c r="BI4405" s="65"/>
      <c r="BJ4405" s="65"/>
      <c r="BK4405" s="65"/>
      <c r="BL4405" s="99"/>
      <c r="BM4405" s="99"/>
      <c r="BN4405" s="99"/>
    </row>
    <row r="4406" spans="1:66" s="51" customFormat="1" ht="17.25" thickBot="1" x14ac:dyDescent="0.3">
      <c r="A4406" s="641" t="s">
        <v>4542</v>
      </c>
      <c r="B4406" s="642"/>
      <c r="C4406" s="710"/>
      <c r="D4406" s="643"/>
      <c r="E4406" s="643"/>
      <c r="F4406" s="644"/>
      <c r="G4406" s="645"/>
      <c r="H4406" s="646"/>
      <c r="I4406" s="647"/>
      <c r="J4406" s="648"/>
      <c r="K4406" s="649"/>
      <c r="L4406" s="650"/>
      <c r="M4406" s="650"/>
      <c r="N4406" s="644"/>
      <c r="O4406" s="644"/>
      <c r="P4406" s="644"/>
      <c r="Q4406" s="644"/>
      <c r="R4406" s="644"/>
      <c r="S4406" s="651"/>
      <c r="T4406" s="102">
        <f t="shared" si="3276"/>
        <v>0</v>
      </c>
      <c r="U4406" s="78" t="str">
        <f>IF(NOT(ISNUMBER(G4406)), "", VLOOKUP(A4406,'Discount Lookup'!D:E,2,FALSE)*G4406)</f>
        <v/>
      </c>
      <c r="V4406" s="78" t="str">
        <f>IF(NOT(ISNUMBER(G4406)), "", VLOOKUP(A4406,'Discount Lookup'!G:H,2,FALSE)*G4406)</f>
        <v/>
      </c>
      <c r="W4406" s="102">
        <f t="shared" si="3277"/>
        <v>0</v>
      </c>
      <c r="X4406" s="102">
        <f t="shared" si="3278"/>
        <v>0</v>
      </c>
      <c r="Y4406" s="120" t="b">
        <f t="shared" si="3279"/>
        <v>0</v>
      </c>
      <c r="Z4406" s="117">
        <f t="shared" si="3280"/>
        <v>0</v>
      </c>
      <c r="AA4406" s="118"/>
      <c r="AB4406" s="118" t="str">
        <f t="shared" si="3281"/>
        <v/>
      </c>
      <c r="AC4406" s="712" t="str">
        <f>IF(AE4406="T2G","no charge",IF(AND(OR(PlanterYesMe="No",PlanterYesMe="N",PlanterYesMe="me"),H4406=""),"",IF(H4406="credit","NO install",IF(AND(K4406="",AE4406="me"),"EACH row",IF(AND(K4406="images",AE4406="me"),"EACH row",IF(D4406="","",IF(H4406="credit","",IF(AE4406="free","re-planting",IF(AE4406="me","   not ELP, by",IF(AND(OR(PlanterYesMe="Yes",PlanterYesMe="Y"),G4406&gt;0),(VLOOKUP(A4406,'Discount Lookup'!J:K,2)*G4406*(1-PlanterDiscount)*(1+PlanterDifficultyPercentage)),IF(AE4406="ELP",(VLOOKUP(A4406,'Discount Lookup'!J:K,2)*G4406*(1-PlanterDiscount)*(1+PlanterDifficultyPercentage)),IF(AE4406="free","re-planting",IF(G4406=0,"",IF(PlanterYesMe="",IF(AE4406="me","   not ELP, by",IF(AE4406="",IF(G4406&gt;0,(VLOOKUP(A4406,'Discount Lookup'!J:K,2)*G4406*(1-PlanterDiscount)*(1+PlanterDifficultyPercentage)),""),"")),"   not ELP, by"))))))))))))))</f>
        <v/>
      </c>
      <c r="AD4406" s="712"/>
      <c r="AE4406" s="513" t="str">
        <f t="shared" si="3282"/>
        <v/>
      </c>
      <c r="AF4406" s="713" t="str">
        <f t="shared" si="3283"/>
        <v/>
      </c>
      <c r="AG4406" s="713"/>
      <c r="AH4406" s="713"/>
      <c r="AI4406" s="112">
        <f>IF(H4406="credit",0,IF(AE4406="free",0,IF(AE4406="me",0,IF(G4406&gt;0,(VLOOKUP(A4406,'Discount Lookup'!J:K,2)*G4406),0))))</f>
        <v>0</v>
      </c>
      <c r="AJ4406" s="107" t="str">
        <f t="shared" ca="1" si="3284"/>
        <v/>
      </c>
      <c r="AK4406" s="714" t="str">
        <f t="shared" si="3285"/>
        <v/>
      </c>
      <c r="AL4406" s="714"/>
      <c r="AM4406" s="114" t="str">
        <f t="shared" si="3286"/>
        <v/>
      </c>
      <c r="AN4406" s="115"/>
      <c r="AO4406" s="116"/>
      <c r="AP4406" s="116"/>
      <c r="AQ4406" s="116"/>
      <c r="AR4406" s="116"/>
      <c r="AS4406" s="116"/>
      <c r="AT4406" s="116"/>
      <c r="AU4406" s="116"/>
      <c r="AV4406" s="78"/>
      <c r="AW4406" s="102"/>
      <c r="AX4406" s="78"/>
      <c r="AY4406" s="78"/>
      <c r="AZ4406" s="78"/>
      <c r="BA4406" s="78"/>
      <c r="BB4406" s="78"/>
      <c r="BC4406" s="78"/>
      <c r="BD4406" s="78"/>
      <c r="BE4406" s="465"/>
      <c r="BF4406" s="165" t="str">
        <f t="shared" si="3287"/>
        <v>https://www.google.com/search?tbm=isch&amp;q=Burgundy%20Vase%20named%20for%20plant%20shape%2C%20and%2C%20distinctive%20fall%20color%2C%20turning%20a%20rich%20Burgundy-Red.%20Initial%20grey%20bark%20exfoliates%20to%20Orange-Brown-Grey%20</v>
      </c>
      <c r="BG4406" s="165" t="str">
        <f t="shared" si="3288"/>
        <v>B</v>
      </c>
      <c r="BH4406" s="65"/>
      <c r="BI4406" s="65"/>
      <c r="BJ4406" s="65"/>
      <c r="BK4406" s="65"/>
      <c r="BL4406" s="99"/>
      <c r="BM4406" s="99"/>
      <c r="BN4406" s="99"/>
    </row>
    <row r="4407" spans="1:66" s="51" customFormat="1" ht="18" x14ac:dyDescent="0.25">
      <c r="A4407" s="623" t="s">
        <v>4543</v>
      </c>
      <c r="B4407" s="624"/>
      <c r="C4407" s="709"/>
      <c r="D4407" s="625" t="s">
        <v>4544</v>
      </c>
      <c r="E4407" s="626"/>
      <c r="F4407" s="626"/>
      <c r="G4407" s="626"/>
      <c r="H4407" s="622" t="s">
        <v>1726</v>
      </c>
      <c r="I4407" s="627" t="s">
        <v>431</v>
      </c>
      <c r="J4407" s="628"/>
      <c r="K4407" s="628"/>
      <c r="L4407" s="629"/>
      <c r="M4407" s="700" t="s">
        <v>5241</v>
      </c>
      <c r="N4407" s="693" t="str">
        <f>IF(AND(ISTEXT($A4407), ISERROR($A4407+0)), HYPERLINK($BF4407, "Images"), "")</f>
        <v>Images</v>
      </c>
      <c r="O4407" s="695" t="s">
        <v>5247</v>
      </c>
      <c r="P4407" s="630"/>
      <c r="Q4407" s="631"/>
      <c r="R4407" s="632"/>
      <c r="S4407" s="633"/>
      <c r="T4407" s="102">
        <f t="shared" si="3276"/>
        <v>0</v>
      </c>
      <c r="U4407" s="78" t="str">
        <f>IF(NOT(ISNUMBER(G4407)), "", VLOOKUP(A4407,'Discount Lookup'!D:E,2,FALSE)*G4407)</f>
        <v/>
      </c>
      <c r="V4407" s="78" t="str">
        <f>IF(NOT(ISNUMBER(G4407)), "", VLOOKUP(A4407,'Discount Lookup'!G:H,2,FALSE)*G4407)</f>
        <v/>
      </c>
      <c r="W4407" s="102">
        <f t="shared" si="3277"/>
        <v>0</v>
      </c>
      <c r="X4407" s="102" t="str">
        <f t="shared" si="3278"/>
        <v>Dark Green foliage</v>
      </c>
      <c r="Y4407" s="120" t="b">
        <f t="shared" si="3279"/>
        <v>0</v>
      </c>
      <c r="Z4407" s="117">
        <f t="shared" si="3280"/>
        <v>0</v>
      </c>
      <c r="AA4407" s="118"/>
      <c r="AB4407" s="118" t="str">
        <f t="shared" si="3281"/>
        <v/>
      </c>
      <c r="AC4407" s="712" t="str">
        <f>IF(AE4407="T2G","no charge",IF(AND(OR(PlanterYesMe="No",PlanterYesMe="N",PlanterYesMe="me"),H4407=""),"",IF(H4407="credit","NO install",IF(AND(K4407="",AE4407="me"),"EACH row",IF(AND(K4407="images",AE4407="me"),"EACH row",IF(D4407="","",IF(H4407="credit","",IF(AE4407="free","re-planting",IF(AE4407="me","   not ELP, by",IF(AND(OR(PlanterYesMe="Yes",PlanterYesMe="Y"),G4407&gt;0),(VLOOKUP(A4407,'Discount Lookup'!J:K,2)*G4407*(1-PlanterDiscount)*(1+PlanterDifficultyPercentage)),IF(AE4407="ELP",(VLOOKUP(A4407,'Discount Lookup'!J:K,2)*G4407*(1-PlanterDiscount)*(1+PlanterDifficultyPercentage)),IF(AE4407="free","re-planting",IF(G4407=0,"",IF(PlanterYesMe="",IF(AE4407="me","   not ELP, by",IF(AE4407="",IF(G4407&gt;0,(VLOOKUP(A4407,'Discount Lookup'!J:K,2)*G4407*(1-PlanterDiscount)*(1+PlanterDifficultyPercentage)),""),"")),"   not ELP, by"))))))))))))))</f>
        <v/>
      </c>
      <c r="AD4407" s="712"/>
      <c r="AE4407" s="513" t="str">
        <f t="shared" si="3282"/>
        <v/>
      </c>
      <c r="AF4407" s="713" t="str">
        <f t="shared" si="3283"/>
        <v/>
      </c>
      <c r="AG4407" s="713"/>
      <c r="AH4407" s="713"/>
      <c r="AI4407" s="112">
        <f>IF(H4407="credit",0,IF(AE4407="free",0,IF(AE4407="me",0,IF(G4407&gt;0,(VLOOKUP(A4407,'Discount Lookup'!J:K,2)*G4407),0))))</f>
        <v>0</v>
      </c>
      <c r="AJ4407" s="107" t="str">
        <f t="shared" ca="1" si="3284"/>
        <v/>
      </c>
      <c r="AK4407" s="714" t="str">
        <f t="shared" si="3285"/>
        <v/>
      </c>
      <c r="AL4407" s="714"/>
      <c r="AM4407" s="114" t="str">
        <f t="shared" si="3286"/>
        <v/>
      </c>
      <c r="AN4407" s="115"/>
      <c r="AO4407" s="116"/>
      <c r="AP4407" s="116"/>
      <c r="AQ4407" s="116"/>
      <c r="AR4407" s="116"/>
      <c r="AS4407" s="116"/>
      <c r="AT4407" s="116"/>
      <c r="AU4407" s="116"/>
      <c r="AV4407" s="78"/>
      <c r="AW4407" s="102"/>
      <c r="AX4407" s="78"/>
      <c r="AY4407" s="78"/>
      <c r="AZ4407" s="78"/>
      <c r="BA4407" s="78"/>
      <c r="BB4407" s="78"/>
      <c r="BC4407" s="78"/>
      <c r="BD4407" s="78"/>
      <c r="BE4407" s="465"/>
      <c r="BF4407" s="165" t="str">
        <f t="shared" si="3287"/>
        <v>https://www.google.com/search?tbm=isch&amp;q=Zelkova%20serrata%20%27Goblin%27%20PP%235080Exp.%20Goblin%20Dwarf%20Zelkova</v>
      </c>
      <c r="BG4407" s="165" t="str">
        <f t="shared" si="3288"/>
        <v>Z</v>
      </c>
      <c r="BH4407" s="65"/>
      <c r="BI4407" s="65"/>
      <c r="BJ4407" s="65"/>
      <c r="BK4407" s="65"/>
      <c r="BL4407" s="99"/>
      <c r="BM4407" s="99"/>
      <c r="BN4407" s="99"/>
    </row>
    <row r="4408" spans="1:66" s="51" customFormat="1" ht="15.75" x14ac:dyDescent="0.25">
      <c r="A4408" s="634">
        <v>7</v>
      </c>
      <c r="B4408" s="635" t="s">
        <v>291</v>
      </c>
      <c r="C4408" s="636" t="s">
        <v>4545</v>
      </c>
      <c r="D4408" s="637" t="s">
        <v>299</v>
      </c>
      <c r="E4408" s="638">
        <v>148.94999999999999</v>
      </c>
      <c r="F4408" s="639" t="s">
        <v>292</v>
      </c>
      <c r="G4408" s="484">
        <v>0</v>
      </c>
      <c r="H4408" s="691" t="str">
        <f>IF(G4408=0,"",IF(F4408="Buy",IF(G4408=1,"plant","plants"),IF(F4408&gt;0.01,"warranty","Error")))</f>
        <v/>
      </c>
      <c r="I4408" s="640">
        <f>IF(H4408="free",0,IF(H4408="credit",((E4408*(F4408))*G4408*-1),IF(F4408="Buy",(E4408*G4408),((E4408*(1-F4408))*G4408))))</f>
        <v>0</v>
      </c>
      <c r="J4408" s="640">
        <f>IF(H4408="warranty",0,(I4408*(_xlfn.SINGLE(SalesTaxPercentage))))</f>
        <v>0</v>
      </c>
      <c r="K4408" s="716">
        <f t="shared" ref="K4408" si="3300">I4408+J4408</f>
        <v>0</v>
      </c>
      <c r="L4408" s="716"/>
      <c r="M4408" s="689" t="str">
        <f ca="1">IF(AND(G4408&gt;0,E4408=0),"WARNING - no PRICE inserted",IF(H4408="free","FREE ~ no charge this plant",IF(H4408="credit",CONCATENATE("-$",ROUND(K4408*(1-_xlfn.SINGLE(T2GDiscount))*-1,2)," CREDIT after discount"),IF(_xlfn.SINGLE(T2GDiscount)=0,"",IF(G4408=0,"",IF(F4408="Buy",CONCATENATE("$",ROUND(K4408*(1-_xlfn.SINGLE(T2GDiscount)),2)," with ",(_xlfn.SINGLE(T2GDiscount)*100),"% discount"),CONCATENATE("$",ROUND(K4408*(1-_xlfn.SINGLE(T2GDiscount)),2)," with ",((_xlfn.SINGLE(T2GDiscount)*100+F4408*100)-(_xlfn.SINGLE(T2GDiscount)*100*F4408)),IF(F4408&gt;0,"% discounts",IF(_xlfn.SINGLE(NoWarrantyDiscount)&gt;0,"% discounts","% discount")))))))))</f>
        <v/>
      </c>
      <c r="N4408" s="690"/>
      <c r="O4408" s="486"/>
      <c r="P4408" s="486"/>
      <c r="Q4408" s="486"/>
      <c r="R4408" s="486"/>
      <c r="S4408" s="486"/>
      <c r="T4408" s="102">
        <f t="shared" si="3276"/>
        <v>0</v>
      </c>
      <c r="U4408" s="78">
        <f>IF(NOT(ISNUMBER(G4408)), "", VLOOKUP(A4408,'Discount Lookup'!D:E,2,FALSE)*G4408)</f>
        <v>0</v>
      </c>
      <c r="V4408" s="78">
        <f>IF(NOT(ISNUMBER(G4408)), "", VLOOKUP(A4408,'Discount Lookup'!G:H,2,FALSE)*G4408)</f>
        <v>0</v>
      </c>
      <c r="W4408" s="102">
        <f t="shared" si="3277"/>
        <v>0</v>
      </c>
      <c r="X4408" s="102">
        <f t="shared" si="3278"/>
        <v>0</v>
      </c>
      <c r="Y4408" s="120" t="b">
        <f t="shared" si="3279"/>
        <v>0</v>
      </c>
      <c r="Z4408" s="117">
        <f t="shared" si="3280"/>
        <v>0</v>
      </c>
      <c r="AA4408" s="118"/>
      <c r="AB4408" s="118" t="str">
        <f t="shared" si="3281"/>
        <v/>
      </c>
      <c r="AC4408" s="712" t="str">
        <f>IF(AE4408="T2G","no charge",IF(AND(OR(PlanterYesMe="No",PlanterYesMe="N",PlanterYesMe="me"),H4408=""),"",IF(H4408="credit","NO install",IF(AND(K4408="",AE4408="me"),"EACH row",IF(AND(K4408="images",AE4408="me"),"EACH row",IF(D4408="","",IF(H4408="credit","",IF(AE4408="free","re-planting",IF(AE4408="me","   not ELP, by",IF(AND(OR(PlanterYesMe="Yes",PlanterYesMe="Y"),G4408&gt;0),(VLOOKUP(A4408,'Discount Lookup'!J:K,2)*G4408*(1-PlanterDiscount)*(1+PlanterDifficultyPercentage)),IF(AE4408="ELP",(VLOOKUP(A4408,'Discount Lookup'!J:K,2)*G4408*(1-PlanterDiscount)*(1+PlanterDifficultyPercentage)),IF(AE4408="free","re-planting",IF(G4408=0,"",IF(PlanterYesMe="",IF(AE4408="me","   not ELP, by",IF(AE4408="",IF(G4408&gt;0,(VLOOKUP(A4408,'Discount Lookup'!J:K,2)*G4408*(1-PlanterDiscount)*(1+PlanterDifficultyPercentage)),""),"")),"   not ELP, by"))))))))))))))</f>
        <v/>
      </c>
      <c r="AD4408" s="712"/>
      <c r="AE4408" s="513" t="str">
        <f t="shared" si="3282"/>
        <v/>
      </c>
      <c r="AF4408" s="713" t="str">
        <f t="shared" si="3283"/>
        <v/>
      </c>
      <c r="AG4408" s="713"/>
      <c r="AH4408" s="713"/>
      <c r="AI4408" s="112">
        <f>IF(H4408="credit",0,IF(AE4408="free",0,IF(AE4408="me",0,IF(G4408&gt;0,(VLOOKUP(A4408,'Discount Lookup'!J:K,2)*G4408),0))))</f>
        <v>0</v>
      </c>
      <c r="AJ4408" s="107" t="str">
        <f t="shared" ca="1" si="3284"/>
        <v/>
      </c>
      <c r="AK4408" s="714" t="str">
        <f t="shared" si="3285"/>
        <v/>
      </c>
      <c r="AL4408" s="714"/>
      <c r="AM4408" s="114" t="str">
        <f t="shared" si="3286"/>
        <v/>
      </c>
      <c r="AN4408" s="115"/>
      <c r="AO4408" s="116"/>
      <c r="AP4408" s="116"/>
      <c r="AQ4408" s="116"/>
      <c r="AR4408" s="116"/>
      <c r="AS4408" s="116"/>
      <c r="AT4408" s="116"/>
      <c r="AU4408" s="116"/>
      <c r="AV4408" s="78"/>
      <c r="AW4408" s="102"/>
      <c r="AX4408" s="78"/>
      <c r="AY4408" s="78"/>
      <c r="AZ4408" s="78"/>
      <c r="BA4408" s="78"/>
      <c r="BB4408" s="78"/>
      <c r="BC4408" s="78"/>
      <c r="BD4408" s="78"/>
      <c r="BE4408" s="465"/>
      <c r="BF4408" s="165" t="str">
        <f t="shared" si="3287"/>
        <v>https://www.google.com/search?tbm=isch&amp;q=7%20G4</v>
      </c>
      <c r="BG4408" s="165" t="str">
        <f t="shared" si="3288"/>
        <v>Z</v>
      </c>
      <c r="BH4408" s="65"/>
      <c r="BI4408" s="65"/>
      <c r="BJ4408" s="65"/>
      <c r="BK4408" s="65"/>
      <c r="BL4408" s="99"/>
      <c r="BM4408" s="99"/>
      <c r="BN4408" s="99"/>
    </row>
    <row r="4409" spans="1:66" s="51" customFormat="1" ht="27" x14ac:dyDescent="0.25">
      <c r="A4409" s="634">
        <v>15</v>
      </c>
      <c r="B4409" s="635" t="s">
        <v>291</v>
      </c>
      <c r="C4409" s="636" t="s">
        <v>4546</v>
      </c>
      <c r="D4409" s="637" t="s">
        <v>299</v>
      </c>
      <c r="E4409" s="638">
        <v>194.95</v>
      </c>
      <c r="F4409" s="639" t="s">
        <v>292</v>
      </c>
      <c r="G4409" s="484">
        <v>0</v>
      </c>
      <c r="H4409" s="691" t="str">
        <f>IF(G4409=0,"",IF(F4409="Buy",IF(G4409=1,"plant","plants"),IF(F4409&gt;0.01,"warranty","Error")))</f>
        <v/>
      </c>
      <c r="I4409" s="640">
        <f>IF(H4409="free",0,IF(H4409="credit",((E4409*(F4409))*G4409*-1),IF(F4409="Buy",(E4409*G4409),((E4409*(1-F4409))*G4409))))</f>
        <v>0</v>
      </c>
      <c r="J4409" s="640">
        <f>IF(H4409="warranty",0,(I4409*(_xlfn.SINGLE(SalesTaxPercentage))))</f>
        <v>0</v>
      </c>
      <c r="K4409" s="716">
        <f t="shared" ref="K4409" si="3301">I4409+J4409</f>
        <v>0</v>
      </c>
      <c r="L4409" s="716"/>
      <c r="M4409" s="689" t="str">
        <f ca="1">IF(AND(G4409&gt;0,E4409=0),"WARNING - no PRICE inserted",IF(H4409="free","FREE ~ no charge this plant",IF(H4409="credit",CONCATENATE("-$",ROUND(K4409*(1-_xlfn.SINGLE(T2GDiscount))*-1,2)," CREDIT after discount"),IF(_xlfn.SINGLE(T2GDiscount)=0,"",IF(G4409=0,"",IF(F4409="Buy",CONCATENATE("$",ROUND(K4409*(1-_xlfn.SINGLE(T2GDiscount)),2)," with ",(_xlfn.SINGLE(T2GDiscount)*100),"% discount"),CONCATENATE("$",ROUND(K4409*(1-_xlfn.SINGLE(T2GDiscount)),2)," with ",((_xlfn.SINGLE(T2GDiscount)*100+F4409*100)-(_xlfn.SINGLE(T2GDiscount)*100*F4409)),IF(F4409&gt;0,"% discounts",IF(_xlfn.SINGLE(NoWarrantyDiscount)&gt;0,"% discounts","% discount")))))))))</f>
        <v/>
      </c>
      <c r="N4409" s="690"/>
      <c r="O4409" s="486"/>
      <c r="P4409" s="486"/>
      <c r="Q4409" s="486"/>
      <c r="R4409" s="486"/>
      <c r="S4409" s="486"/>
      <c r="T4409" s="102">
        <f t="shared" si="3276"/>
        <v>0</v>
      </c>
      <c r="U4409" s="78">
        <f>IF(NOT(ISNUMBER(G4409)), "", VLOOKUP(A4409,'Discount Lookup'!D:E,2,FALSE)*G4409)</f>
        <v>0</v>
      </c>
      <c r="V4409" s="78">
        <f>IF(NOT(ISNUMBER(G4409)), "", VLOOKUP(A4409,'Discount Lookup'!G:H,2,FALSE)*G4409)</f>
        <v>0</v>
      </c>
      <c r="W4409" s="102">
        <f t="shared" si="3277"/>
        <v>0</v>
      </c>
      <c r="X4409" s="102">
        <f t="shared" si="3278"/>
        <v>0</v>
      </c>
      <c r="Y4409" s="120" t="b">
        <f t="shared" si="3279"/>
        <v>0</v>
      </c>
      <c r="Z4409" s="117">
        <f t="shared" si="3280"/>
        <v>0</v>
      </c>
      <c r="AA4409" s="118"/>
      <c r="AB4409" s="118" t="str">
        <f t="shared" si="3281"/>
        <v/>
      </c>
      <c r="AC4409" s="712" t="str">
        <f>IF(AE4409="T2G","no charge",IF(AND(OR(PlanterYesMe="No",PlanterYesMe="N",PlanterYesMe="me"),H4409=""),"",IF(H4409="credit","NO install",IF(AND(K4409="",AE4409="me"),"EACH row",IF(AND(K4409="images",AE4409="me"),"EACH row",IF(D4409="","",IF(H4409="credit","",IF(AE4409="free","re-planting",IF(AE4409="me","   not ELP, by",IF(AND(OR(PlanterYesMe="Yes",PlanterYesMe="Y"),G4409&gt;0),(VLOOKUP(A4409,'Discount Lookup'!J:K,2)*G4409*(1-PlanterDiscount)*(1+PlanterDifficultyPercentage)),IF(AE4409="ELP",(VLOOKUP(A4409,'Discount Lookup'!J:K,2)*G4409*(1-PlanterDiscount)*(1+PlanterDifficultyPercentage)),IF(AE4409="free","re-planting",IF(G4409=0,"",IF(PlanterYesMe="",IF(AE4409="me","   not ELP, by",IF(AE4409="",IF(G4409&gt;0,(VLOOKUP(A4409,'Discount Lookup'!J:K,2)*G4409*(1-PlanterDiscount)*(1+PlanterDifficultyPercentage)),""),"")),"   not ELP, by"))))))))))))))</f>
        <v/>
      </c>
      <c r="AD4409" s="712"/>
      <c r="AE4409" s="513" t="str">
        <f t="shared" si="3282"/>
        <v/>
      </c>
      <c r="AF4409" s="713" t="str">
        <f t="shared" si="3283"/>
        <v/>
      </c>
      <c r="AG4409" s="713"/>
      <c r="AH4409" s="713"/>
      <c r="AI4409" s="112">
        <f>IF(H4409="credit",0,IF(AE4409="free",0,IF(AE4409="me",0,IF(G4409&gt;0,(VLOOKUP(A4409,'Discount Lookup'!J:K,2)*G4409),0))))</f>
        <v>0</v>
      </c>
      <c r="AJ4409" s="107" t="str">
        <f t="shared" ca="1" si="3284"/>
        <v/>
      </c>
      <c r="AK4409" s="714" t="str">
        <f t="shared" si="3285"/>
        <v/>
      </c>
      <c r="AL4409" s="714"/>
      <c r="AM4409" s="114" t="str">
        <f t="shared" si="3286"/>
        <v/>
      </c>
      <c r="AN4409" s="115"/>
      <c r="AO4409" s="116"/>
      <c r="AP4409" s="116"/>
      <c r="AQ4409" s="116"/>
      <c r="AR4409" s="116"/>
      <c r="AS4409" s="116"/>
      <c r="AT4409" s="116"/>
      <c r="AU4409" s="116"/>
      <c r="AV4409" s="78"/>
      <c r="AW4409" s="102"/>
      <c r="AX4409" s="78"/>
      <c r="AY4409" s="78"/>
      <c r="AZ4409" s="78"/>
      <c r="BA4409" s="78"/>
      <c r="BB4409" s="78"/>
      <c r="BC4409" s="78"/>
      <c r="BD4409" s="78"/>
      <c r="BE4409" s="465"/>
      <c r="BF4409" s="165" t="str">
        <f t="shared" si="3287"/>
        <v>https://www.google.com/search?tbm=isch&amp;q=15%20G4</v>
      </c>
      <c r="BG4409" s="165" t="str">
        <f t="shared" si="3288"/>
        <v>Z</v>
      </c>
      <c r="BH4409" s="65"/>
      <c r="BI4409" s="65"/>
      <c r="BJ4409" s="65"/>
      <c r="BK4409" s="65"/>
      <c r="BL4409" s="99"/>
      <c r="BM4409" s="99"/>
      <c r="BN4409" s="99"/>
    </row>
    <row r="4410" spans="1:66" s="51" customFormat="1" ht="17.25" thickBot="1" x14ac:dyDescent="0.3">
      <c r="A4410" s="641" t="s">
        <v>4547</v>
      </c>
      <c r="B4410" s="642"/>
      <c r="C4410" s="710"/>
      <c r="D4410" s="643"/>
      <c r="E4410" s="643"/>
      <c r="F4410" s="644"/>
      <c r="G4410" s="645"/>
      <c r="H4410" s="646"/>
      <c r="I4410" s="647"/>
      <c r="J4410" s="648"/>
      <c r="K4410" s="649"/>
      <c r="L4410" s="650"/>
      <c r="M4410" s="650"/>
      <c r="N4410" s="644"/>
      <c r="O4410" s="644"/>
      <c r="P4410" s="644"/>
      <c r="Q4410" s="644"/>
      <c r="R4410" s="644"/>
      <c r="S4410" s="651"/>
      <c r="T4410" s="102">
        <f t="shared" si="3276"/>
        <v>0</v>
      </c>
      <c r="U4410" s="78" t="str">
        <f>IF(NOT(ISNUMBER(G4410)), "", VLOOKUP(A4410,'Discount Lookup'!D:E,2,FALSE)*G4410)</f>
        <v/>
      </c>
      <c r="V4410" s="78" t="str">
        <f>IF(NOT(ISNUMBER(G4410)), "", VLOOKUP(A4410,'Discount Lookup'!G:H,2,FALSE)*G4410)</f>
        <v/>
      </c>
      <c r="W4410" s="102">
        <f t="shared" si="3277"/>
        <v>0</v>
      </c>
      <c r="X4410" s="102">
        <f t="shared" si="3278"/>
        <v>0</v>
      </c>
      <c r="Y4410" s="120" t="b">
        <f t="shared" si="3279"/>
        <v>0</v>
      </c>
      <c r="Z4410" s="117">
        <f t="shared" si="3280"/>
        <v>0</v>
      </c>
      <c r="AA4410" s="118"/>
      <c r="AB4410" s="118" t="str">
        <f t="shared" si="3281"/>
        <v/>
      </c>
      <c r="AC4410" s="712" t="str">
        <f>IF(AE4410="T2G","no charge",IF(AND(OR(PlanterYesMe="No",PlanterYesMe="N",PlanterYesMe="me"),H4410=""),"",IF(H4410="credit","NO install",IF(AND(K4410="",AE4410="me"),"EACH row",IF(AND(K4410="images",AE4410="me"),"EACH row",IF(D4410="","",IF(H4410="credit","",IF(AE4410="free","re-planting",IF(AE4410="me","   not ELP, by",IF(AND(OR(PlanterYesMe="Yes",PlanterYesMe="Y"),G4410&gt;0),(VLOOKUP(A4410,'Discount Lookup'!J:K,2)*G4410*(1-PlanterDiscount)*(1+PlanterDifficultyPercentage)),IF(AE4410="ELP",(VLOOKUP(A4410,'Discount Lookup'!J:K,2)*G4410*(1-PlanterDiscount)*(1+PlanterDifficultyPercentage)),IF(AE4410="free","re-planting",IF(G4410=0,"",IF(PlanterYesMe="",IF(AE4410="me","   not ELP, by",IF(AE4410="",IF(G4410&gt;0,(VLOOKUP(A4410,'Discount Lookup'!J:K,2)*G4410*(1-PlanterDiscount)*(1+PlanterDifficultyPercentage)),""),"")),"   not ELP, by"))))))))))))))</f>
        <v/>
      </c>
      <c r="AD4410" s="712"/>
      <c r="AE4410" s="513" t="str">
        <f t="shared" si="3282"/>
        <v/>
      </c>
      <c r="AF4410" s="713" t="str">
        <f t="shared" si="3283"/>
        <v/>
      </c>
      <c r="AG4410" s="713"/>
      <c r="AH4410" s="713"/>
      <c r="AI4410" s="112">
        <f>IF(H4410="credit",0,IF(AE4410="free",0,IF(AE4410="me",0,IF(G4410&gt;0,(VLOOKUP(A4410,'Discount Lookup'!J:K,2)*G4410),0))))</f>
        <v>0</v>
      </c>
      <c r="AJ4410" s="107" t="str">
        <f t="shared" ca="1" si="3284"/>
        <v/>
      </c>
      <c r="AK4410" s="714" t="str">
        <f t="shared" si="3285"/>
        <v/>
      </c>
      <c r="AL4410" s="714"/>
      <c r="AM4410" s="114" t="str">
        <f t="shared" si="3286"/>
        <v/>
      </c>
      <c r="AN4410" s="115"/>
      <c r="AO4410" s="116"/>
      <c r="AP4410" s="116"/>
      <c r="AQ4410" s="116"/>
      <c r="AR4410" s="116"/>
      <c r="AS4410" s="116"/>
      <c r="AT4410" s="116"/>
      <c r="AU4410" s="116"/>
      <c r="AV4410" s="78"/>
      <c r="AW4410" s="102"/>
      <c r="AX4410" s="78"/>
      <c r="AY4410" s="78"/>
      <c r="AZ4410" s="78"/>
      <c r="BA4410" s="78"/>
      <c r="BB4410" s="78"/>
      <c r="BC4410" s="78"/>
      <c r="BD4410" s="78"/>
      <c r="BE4410" s="465"/>
      <c r="BF4410" s="165" t="str">
        <f t="shared" si="3287"/>
        <v>https://www.google.com/search?tbm=isch&amp;q=Goblin%27s%20narrow%20Green%20leaves%20turn%20Orange-Yellow%20to%20Reddish-Purple%20in%20fall.%20Bark%20exfoliates%20to%20Orange-Red%20inner%20layer%20</v>
      </c>
      <c r="BG4410" s="165" t="str">
        <f t="shared" si="3288"/>
        <v>G</v>
      </c>
      <c r="BH4410" s="65"/>
      <c r="BI4410" s="65"/>
      <c r="BJ4410" s="65"/>
      <c r="BK4410" s="65"/>
      <c r="BL4410" s="99"/>
      <c r="BM4410" s="99"/>
      <c r="BN4410" s="99"/>
    </row>
    <row r="4411" spans="1:66" s="51" customFormat="1" ht="18" x14ac:dyDescent="0.25">
      <c r="A4411" s="623" t="s">
        <v>4548</v>
      </c>
      <c r="B4411" s="624"/>
      <c r="C4411" s="709"/>
      <c r="D4411" s="625" t="s">
        <v>4549</v>
      </c>
      <c r="E4411" s="626"/>
      <c r="F4411" s="626"/>
      <c r="G4411" s="626"/>
      <c r="H4411" s="622" t="s">
        <v>344</v>
      </c>
      <c r="I4411" s="627" t="s">
        <v>431</v>
      </c>
      <c r="J4411" s="628"/>
      <c r="K4411" s="628"/>
      <c r="L4411" s="629"/>
      <c r="M4411" s="700" t="s">
        <v>5241</v>
      </c>
      <c r="N4411" s="693" t="str">
        <f>IF(AND(ISTEXT($A4411), ISERROR($A4411+0)), HYPERLINK($BF4411, "Images"), "")</f>
        <v>Images</v>
      </c>
      <c r="O4411" s="695" t="s">
        <v>5244</v>
      </c>
      <c r="P4411" s="630"/>
      <c r="Q4411" s="631"/>
      <c r="R4411" s="632"/>
      <c r="S4411" s="633"/>
      <c r="T4411" s="102">
        <f t="shared" si="3276"/>
        <v>0</v>
      </c>
      <c r="U4411" s="78" t="str">
        <f>IF(NOT(ISNUMBER(G4411)), "", VLOOKUP(A4411,'Discount Lookup'!D:E,2,FALSE)*G4411)</f>
        <v/>
      </c>
      <c r="V4411" s="78" t="str">
        <f>IF(NOT(ISNUMBER(G4411)), "", VLOOKUP(A4411,'Discount Lookup'!G:H,2,FALSE)*G4411)</f>
        <v/>
      </c>
      <c r="W4411" s="102">
        <f t="shared" si="3277"/>
        <v>0</v>
      </c>
      <c r="X4411" s="102" t="str">
        <f t="shared" si="3278"/>
        <v>Dark Green foliage</v>
      </c>
      <c r="Y4411" s="120" t="b">
        <f t="shared" si="3279"/>
        <v>0</v>
      </c>
      <c r="Z4411" s="117">
        <f t="shared" si="3280"/>
        <v>0</v>
      </c>
      <c r="AA4411" s="118"/>
      <c r="AB4411" s="118" t="str">
        <f t="shared" si="3281"/>
        <v/>
      </c>
      <c r="AC4411" s="712" t="str">
        <f>IF(AE4411="T2G","no charge",IF(AND(OR(PlanterYesMe="No",PlanterYesMe="N",PlanterYesMe="me"),H4411=""),"",IF(H4411="credit","NO install",IF(AND(K4411="",AE4411="me"),"EACH row",IF(AND(K4411="images",AE4411="me"),"EACH row",IF(D4411="","",IF(H4411="credit","",IF(AE4411="free","re-planting",IF(AE4411="me","   not ELP, by",IF(AND(OR(PlanterYesMe="Yes",PlanterYesMe="Y"),G4411&gt;0),(VLOOKUP(A4411,'Discount Lookup'!J:K,2)*G4411*(1-PlanterDiscount)*(1+PlanterDifficultyPercentage)),IF(AE4411="ELP",(VLOOKUP(A4411,'Discount Lookup'!J:K,2)*G4411*(1-PlanterDiscount)*(1+PlanterDifficultyPercentage)),IF(AE4411="free","re-planting",IF(G4411=0,"",IF(PlanterYesMe="",IF(AE4411="me","   not ELP, by",IF(AE4411="",IF(G4411&gt;0,(VLOOKUP(A4411,'Discount Lookup'!J:K,2)*G4411*(1-PlanterDiscount)*(1+PlanterDifficultyPercentage)),""),"")),"   not ELP, by"))))))))))))))</f>
        <v/>
      </c>
      <c r="AD4411" s="712"/>
      <c r="AE4411" s="513" t="str">
        <f t="shared" si="3282"/>
        <v/>
      </c>
      <c r="AF4411" s="713" t="str">
        <f t="shared" si="3283"/>
        <v/>
      </c>
      <c r="AG4411" s="713"/>
      <c r="AH4411" s="713"/>
      <c r="AI4411" s="112">
        <f>IF(H4411="credit",0,IF(AE4411="free",0,IF(AE4411="me",0,IF(G4411&gt;0,(VLOOKUP(A4411,'Discount Lookup'!J:K,2)*G4411),0))))</f>
        <v>0</v>
      </c>
      <c r="AJ4411" s="107" t="str">
        <f t="shared" ca="1" si="3284"/>
        <v/>
      </c>
      <c r="AK4411" s="714" t="str">
        <f t="shared" si="3285"/>
        <v/>
      </c>
      <c r="AL4411" s="714"/>
      <c r="AM4411" s="114" t="str">
        <f t="shared" si="3286"/>
        <v/>
      </c>
      <c r="AN4411" s="115"/>
      <c r="AO4411" s="116"/>
      <c r="AP4411" s="116"/>
      <c r="AQ4411" s="116"/>
      <c r="AR4411" s="116"/>
      <c r="AS4411" s="116"/>
      <c r="AT4411" s="116"/>
      <c r="AU4411" s="116"/>
      <c r="AV4411" s="78"/>
      <c r="AW4411" s="102"/>
      <c r="AX4411" s="78"/>
      <c r="AY4411" s="78"/>
      <c r="AZ4411" s="78"/>
      <c r="BA4411" s="78"/>
      <c r="BB4411" s="78"/>
      <c r="BC4411" s="78"/>
      <c r="BD4411" s="78"/>
      <c r="BE4411" s="465"/>
      <c r="BF4411" s="165" t="str">
        <f t="shared" si="3287"/>
        <v>https://www.google.com/search?tbm=isch&amp;q=Zelkova%20serrata%20%27Green%20Vase%27%20Green%20Vase%20Zelkova</v>
      </c>
      <c r="BG4411" s="165" t="str">
        <f t="shared" si="3288"/>
        <v>Z</v>
      </c>
      <c r="BH4411" s="65"/>
      <c r="BI4411" s="65"/>
      <c r="BJ4411" s="65"/>
      <c r="BK4411" s="65"/>
      <c r="BL4411" s="99"/>
      <c r="BM4411" s="99"/>
      <c r="BN4411" s="99"/>
    </row>
    <row r="4412" spans="1:66" s="51" customFormat="1" ht="15.75" x14ac:dyDescent="0.25">
      <c r="A4412" s="634">
        <v>25</v>
      </c>
      <c r="B4412" s="635" t="s">
        <v>291</v>
      </c>
      <c r="C4412" s="636" t="s">
        <v>4550</v>
      </c>
      <c r="D4412" s="637" t="s">
        <v>293</v>
      </c>
      <c r="E4412" s="638">
        <v>377.95</v>
      </c>
      <c r="F4412" s="639" t="s">
        <v>292</v>
      </c>
      <c r="G4412" s="484">
        <v>0</v>
      </c>
      <c r="H4412" s="691" t="str">
        <f>IF(G4412=0,"",IF(F4412="Buy",IF(G4412=1,"plant","plants"),IF(F4412&gt;0.01,"warranty","Error")))</f>
        <v/>
      </c>
      <c r="I4412" s="640">
        <f>IF(H4412="free",0,IF(H4412="credit",((E4412*(F4412))*G4412*-1),IF(F4412="Buy",(E4412*G4412),((E4412*(1-F4412))*G4412))))</f>
        <v>0</v>
      </c>
      <c r="J4412" s="640">
        <f>IF(H4412="warranty",0,(I4412*(_xlfn.SINGLE(SalesTaxPercentage))))</f>
        <v>0</v>
      </c>
      <c r="K4412" s="716">
        <f t="shared" ref="K4412" si="3302">I4412+J4412</f>
        <v>0</v>
      </c>
      <c r="L4412" s="716"/>
      <c r="M4412" s="689" t="str">
        <f ca="1">IF(AND(G4412&gt;0,E4412=0),"WARNING - no PRICE inserted",IF(H4412="free","FREE ~ no charge this plant",IF(H4412="credit",CONCATENATE("-$",ROUND(K4412*(1-_xlfn.SINGLE(T2GDiscount))*-1,2)," CREDIT after discount"),IF(_xlfn.SINGLE(T2GDiscount)=0,"",IF(G4412=0,"",IF(F4412="Buy",CONCATENATE("$",ROUND(K4412*(1-_xlfn.SINGLE(T2GDiscount)),2)," with ",(_xlfn.SINGLE(T2GDiscount)*100),"% discount"),CONCATENATE("$",ROUND(K4412*(1-_xlfn.SINGLE(T2GDiscount)),2)," with ",((_xlfn.SINGLE(T2GDiscount)*100+F4412*100)-(_xlfn.SINGLE(T2GDiscount)*100*F4412)),IF(F4412&gt;0,"% discounts",IF(_xlfn.SINGLE(NoWarrantyDiscount)&gt;0,"% discounts","% discount")))))))))</f>
        <v/>
      </c>
      <c r="N4412" s="690"/>
      <c r="O4412" s="486"/>
      <c r="P4412" s="486"/>
      <c r="Q4412" s="486"/>
      <c r="R4412" s="486"/>
      <c r="S4412" s="486"/>
      <c r="T4412" s="102">
        <f t="shared" si="3276"/>
        <v>0</v>
      </c>
      <c r="U4412" s="78">
        <f>IF(NOT(ISNUMBER(G4412)), "", VLOOKUP(A4412,'Discount Lookup'!D:E,2,FALSE)*G4412)</f>
        <v>0</v>
      </c>
      <c r="V4412" s="78">
        <f>IF(NOT(ISNUMBER(G4412)), "", VLOOKUP(A4412,'Discount Lookup'!G:H,2,FALSE)*G4412)</f>
        <v>0</v>
      </c>
      <c r="W4412" s="102">
        <f t="shared" si="3277"/>
        <v>0</v>
      </c>
      <c r="X4412" s="102">
        <f t="shared" si="3278"/>
        <v>0</v>
      </c>
      <c r="Y4412" s="120" t="b">
        <f t="shared" si="3279"/>
        <v>0</v>
      </c>
      <c r="Z4412" s="117">
        <f t="shared" si="3280"/>
        <v>0</v>
      </c>
      <c r="AA4412" s="118"/>
      <c r="AB4412" s="118" t="str">
        <f t="shared" si="3281"/>
        <v/>
      </c>
      <c r="AC4412" s="712" t="str">
        <f>IF(AE4412="T2G","no charge",IF(AND(OR(PlanterYesMe="No",PlanterYesMe="N",PlanterYesMe="me"),H4412=""),"",IF(H4412="credit","NO install",IF(AND(K4412="",AE4412="me"),"EACH row",IF(AND(K4412="images",AE4412="me"),"EACH row",IF(D4412="","",IF(H4412="credit","",IF(AE4412="free","re-planting",IF(AE4412="me","   not ELP, by",IF(AND(OR(PlanterYesMe="Yes",PlanterYesMe="Y"),G4412&gt;0),(VLOOKUP(A4412,'Discount Lookup'!J:K,2)*G4412*(1-PlanterDiscount)*(1+PlanterDifficultyPercentage)),IF(AE4412="ELP",(VLOOKUP(A4412,'Discount Lookup'!J:K,2)*G4412*(1-PlanterDiscount)*(1+PlanterDifficultyPercentage)),IF(AE4412="free","re-planting",IF(G4412=0,"",IF(PlanterYesMe="",IF(AE4412="me","   not ELP, by",IF(AE4412="",IF(G4412&gt;0,(VLOOKUP(A4412,'Discount Lookup'!J:K,2)*G4412*(1-PlanterDiscount)*(1+PlanterDifficultyPercentage)),""),"")),"   not ELP, by"))))))))))))))</f>
        <v/>
      </c>
      <c r="AD4412" s="712"/>
      <c r="AE4412" s="513" t="str">
        <f t="shared" si="3282"/>
        <v/>
      </c>
      <c r="AF4412" s="713" t="str">
        <f t="shared" si="3283"/>
        <v/>
      </c>
      <c r="AG4412" s="713"/>
      <c r="AH4412" s="713"/>
      <c r="AI4412" s="112">
        <f>IF(H4412="credit",0,IF(AE4412="free",0,IF(AE4412="me",0,IF(G4412&gt;0,(VLOOKUP(A4412,'Discount Lookup'!J:K,2)*G4412),0))))</f>
        <v>0</v>
      </c>
      <c r="AJ4412" s="107" t="str">
        <f t="shared" ca="1" si="3284"/>
        <v/>
      </c>
      <c r="AK4412" s="714" t="str">
        <f t="shared" si="3285"/>
        <v/>
      </c>
      <c r="AL4412" s="714"/>
      <c r="AM4412" s="114" t="str">
        <f t="shared" si="3286"/>
        <v/>
      </c>
      <c r="AN4412" s="115"/>
      <c r="AO4412" s="116"/>
      <c r="AP4412" s="116"/>
      <c r="AQ4412" s="116"/>
      <c r="AR4412" s="116"/>
      <c r="AS4412" s="116"/>
      <c r="AT4412" s="116"/>
      <c r="AU4412" s="116"/>
      <c r="AV4412" s="78"/>
      <c r="AW4412" s="102"/>
      <c r="AX4412" s="78"/>
      <c r="AY4412" s="78"/>
      <c r="AZ4412" s="78"/>
      <c r="BA4412" s="78"/>
      <c r="BB4412" s="78"/>
      <c r="BC4412" s="78"/>
      <c r="BD4412" s="78"/>
      <c r="BE4412" s="465"/>
      <c r="BF4412" s="165" t="str">
        <f t="shared" si="3287"/>
        <v>https://www.google.com/search?tbm=isch&amp;q=25%20G6</v>
      </c>
      <c r="BG4412" s="165" t="str">
        <f t="shared" si="3288"/>
        <v>Z</v>
      </c>
      <c r="BH4412" s="65"/>
      <c r="BI4412" s="65"/>
      <c r="BJ4412" s="65"/>
      <c r="BK4412" s="65"/>
      <c r="BL4412" s="99"/>
      <c r="BM4412" s="99"/>
      <c r="BN4412" s="99"/>
    </row>
    <row r="4413" spans="1:66" s="51" customFormat="1" ht="16.5" x14ac:dyDescent="0.25">
      <c r="A4413" s="641" t="s">
        <v>4551</v>
      </c>
      <c r="B4413" s="642"/>
      <c r="C4413" s="710"/>
      <c r="D4413" s="643"/>
      <c r="E4413" s="643"/>
      <c r="F4413" s="644"/>
      <c r="G4413" s="645"/>
      <c r="H4413" s="646"/>
      <c r="I4413" s="647"/>
      <c r="J4413" s="648"/>
      <c r="K4413" s="649"/>
      <c r="L4413" s="650"/>
      <c r="M4413" s="650"/>
      <c r="N4413" s="644"/>
      <c r="O4413" s="644"/>
      <c r="P4413" s="644"/>
      <c r="Q4413" s="644"/>
      <c r="R4413" s="644"/>
      <c r="S4413" s="651"/>
      <c r="T4413" s="102">
        <f t="shared" si="3276"/>
        <v>0</v>
      </c>
      <c r="U4413" s="78" t="str">
        <f>IF(NOT(ISNUMBER(G4413)), "", VLOOKUP(A4413,'Discount Lookup'!D:E,2,FALSE)*G4413)</f>
        <v/>
      </c>
      <c r="V4413" s="78" t="str">
        <f>IF(NOT(ISNUMBER(G4413)), "", VLOOKUP(A4413,'Discount Lookup'!G:H,2,FALSE)*G4413)</f>
        <v/>
      </c>
      <c r="W4413" s="102">
        <f t="shared" si="3277"/>
        <v>0</v>
      </c>
      <c r="X4413" s="102">
        <f t="shared" si="3278"/>
        <v>0</v>
      </c>
      <c r="Y4413" s="120" t="b">
        <f t="shared" si="3279"/>
        <v>0</v>
      </c>
      <c r="Z4413" s="117">
        <f t="shared" si="3280"/>
        <v>0</v>
      </c>
      <c r="AA4413" s="118"/>
      <c r="AB4413" s="118" t="str">
        <f t="shared" si="3281"/>
        <v/>
      </c>
      <c r="AC4413" s="712" t="str">
        <f>IF(AE4413="T2G","no charge",IF(AND(OR(PlanterYesMe="No",PlanterYesMe="N",PlanterYesMe="me"),H4413=""),"",IF(H4413="credit","NO install",IF(AND(K4413="",AE4413="me"),"EACH row",IF(AND(K4413="images",AE4413="me"),"EACH row",IF(D4413="","",IF(H4413="credit","",IF(AE4413="free","re-planting",IF(AE4413="me","   not ELP, by",IF(AND(OR(PlanterYesMe="Yes",PlanterYesMe="Y"),G4413&gt;0),(VLOOKUP(A4413,'Discount Lookup'!J:K,2)*G4413*(1-PlanterDiscount)*(1+PlanterDifficultyPercentage)),IF(AE4413="ELP",(VLOOKUP(A4413,'Discount Lookup'!J:K,2)*G4413*(1-PlanterDiscount)*(1+PlanterDifficultyPercentage)),IF(AE4413="free","re-planting",IF(G4413=0,"",IF(PlanterYesMe="",IF(AE4413="me","   not ELP, by",IF(AE4413="",IF(G4413&gt;0,(VLOOKUP(A4413,'Discount Lookup'!J:K,2)*G4413*(1-PlanterDiscount)*(1+PlanterDifficultyPercentage)),""),"")),"   not ELP, by"))))))))))))))</f>
        <v/>
      </c>
      <c r="AD4413" s="712"/>
      <c r="AE4413" s="513" t="str">
        <f t="shared" si="3282"/>
        <v/>
      </c>
      <c r="AF4413" s="713" t="str">
        <f t="shared" si="3283"/>
        <v/>
      </c>
      <c r="AG4413" s="713"/>
      <c r="AH4413" s="713"/>
      <c r="AI4413" s="112">
        <f>IF(H4413="credit",0,IF(AE4413="free",0,IF(AE4413="me",0,IF(G4413&gt;0,(VLOOKUP(A4413,'Discount Lookup'!J:K,2)*G4413),0))))</f>
        <v>0</v>
      </c>
      <c r="AJ4413" s="107" t="str">
        <f t="shared" ca="1" si="3284"/>
        <v/>
      </c>
      <c r="AK4413" s="714" t="str">
        <f t="shared" si="3285"/>
        <v/>
      </c>
      <c r="AL4413" s="714"/>
      <c r="AM4413" s="114" t="str">
        <f t="shared" si="3286"/>
        <v/>
      </c>
      <c r="AN4413" s="115"/>
      <c r="AO4413" s="116"/>
      <c r="AP4413" s="116"/>
      <c r="AQ4413" s="116"/>
      <c r="AR4413" s="116"/>
      <c r="AS4413" s="116"/>
      <c r="AT4413" s="116"/>
      <c r="AU4413" s="116"/>
      <c r="AV4413" s="78"/>
      <c r="AW4413" s="102"/>
      <c r="AX4413" s="78"/>
      <c r="AY4413" s="78"/>
      <c r="AZ4413" s="78"/>
      <c r="BA4413" s="78"/>
      <c r="BB4413" s="78"/>
      <c r="BC4413" s="78"/>
      <c r="BD4413" s="78"/>
      <c r="BE4413" s="465"/>
      <c r="BF4413" s="165" t="str">
        <f t="shared" si="3287"/>
        <v>https://www.google.com/search?tbm=isch&amp;q=Green%20Vase%20has%20a%20Narrow%20form%20and%20low%20maintenance%20%28some%20stick%20litter%29.%20Orange-Bronze%20to%20Coppery%20fall%20foliage.%20Bark%20exfoliates%20to%20Orange-Brown%20</v>
      </c>
      <c r="BG4413" s="165" t="str">
        <f t="shared" si="3288"/>
        <v>G</v>
      </c>
      <c r="BH4413" s="65"/>
      <c r="BI4413" s="65"/>
      <c r="BJ4413" s="65"/>
      <c r="BK4413" s="65"/>
      <c r="BL4413" s="99"/>
      <c r="BM4413" s="99"/>
      <c r="BN4413" s="99"/>
    </row>
    <row r="4414" spans="1:66" ht="16.5" thickBot="1" x14ac:dyDescent="0.3">
      <c r="A4414"/>
      <c r="B4414"/>
      <c r="C4414" s="711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 s="102">
        <f t="shared" ref="T4414:T4415" si="3303">E4414*G4414</f>
        <v>0</v>
      </c>
      <c r="U4414" s="78" t="str">
        <f>IF(NOT(ISNUMBER(G4414)), "", VLOOKUP(A4414,'Discount Lookup'!D:E,2,FALSE)*G4414)</f>
        <v/>
      </c>
      <c r="V4414" s="78" t="str">
        <f>IF(NOT(ISNUMBER(G4414)), "", VLOOKUP(A4414,'Discount Lookup'!G:H,2,FALSE)*G4414)</f>
        <v/>
      </c>
      <c r="W4414" s="102">
        <f t="shared" ref="W4414:W4415" si="3304">IF(H4414="credit",0,E4414*(SalesTaxPercentage)*G4414)</f>
        <v>0</v>
      </c>
      <c r="X4414" s="102">
        <f t="shared" ref="X4414:X4415" si="3305">I4414</f>
        <v>0</v>
      </c>
      <c r="Y4414" s="120" t="b">
        <f t="shared" ref="Y4414:Y4415" si="3306">IF(AE4414="T2G",0,IF(H4414="credit",0,IF(G4414&gt;0,IF(AE4414="me","",G4414))))</f>
        <v>0</v>
      </c>
      <c r="Z4414" s="117">
        <f t="shared" ref="Z4414:Z4415" si="3307">IF(H4414="credit",G4414,0)</f>
        <v>0</v>
      </c>
      <c r="AA4414" s="118"/>
      <c r="AB4414" s="118" t="str">
        <f t="shared" ref="AB4414:AB4415" si="3308">IF(AE4414="T2G","by Trees2Go",IF(H4414="credit","CREDIT only ~",IF(AND(K4414="",AE4414=OR(PlanterYesMe="No",PlanterYesMe="N",PlanterYesMe="me")),"not THIS line⇨",IF(AND(K4414="images",AE4414="me"),"not THIS line⇨",IF(H4414="credit","",IF(G4414=0,"",IF(AE4414="me","",IF(OR(PlanterYesMe="No",PlanterYesMe="N",PlanterYesMe="me"),"",IF(AE4414="free","warranty",IF(OR(PlanterYesMe="yes",PlanterYesMe="y"),"Edison install:","to install:"))))))))))</f>
        <v/>
      </c>
      <c r="AC4414" s="712" t="str">
        <f>IF(AE4414="T2G","no charge",IF(AND(OR(PlanterYesMe="No",PlanterYesMe="N",PlanterYesMe="me"),H4414=""),"",IF(H4414="credit","NO install",IF(AND(K4414="",AE4414="me"),"EACH row",IF(AND(K4414="images",AE4414="me"),"EACH row",IF(D4414="","",IF(H4414="credit","",IF(AE4414="free","re-planting",IF(AE4414="me","   not ELP, by",IF(AND(OR(PlanterYesMe="Yes",PlanterYesMe="Y"),G4414&gt;0),(VLOOKUP(A4414,'Discount Lookup'!J:K,2)*G4414*(1-PlanterDiscount)*(1+PlanterDifficultyPercentage)),IF(AE4414="ELP",(VLOOKUP(A4414,'Discount Lookup'!J:K,2)*G4414*(1-PlanterDiscount)*(1+PlanterDifficultyPercentage)),IF(AE4414="free","re-planting",IF(G4414=0,"",IF(PlanterYesMe="",IF(AE4414="me","   not ELP, by",IF(AE4414="",IF(G4414&gt;0,(VLOOKUP(A4414,'Discount Lookup'!J:K,2)*G4414*(1-PlanterDiscount)*(1+PlanterDifficultyPercentage)),""),"")),"   not ELP, by"))))))))))))))</f>
        <v/>
      </c>
      <c r="AD4414" s="712"/>
      <c r="AE4414" s="513" t="str">
        <f t="shared" ref="AE4414:AE4415" si="3309">IF(H4414="credit","",IF(G4414=0,"",IF(OR(PlanterYesMe="No",PlanterYesMe="N",PlanterYesMe="me"),"me",IF(H4414="warranty","free",IF(OR(PlanterYesMe="yes",PlanterYesMe="y"),"ELP","")))))</f>
        <v/>
      </c>
      <c r="AF4414" s="713" t="str">
        <f t="shared" ref="AF4414:AF4415" si="3310">IF(OR(PlanterYesMe="No",PlanterYesMe="N",PlanterYesMe="me"),"",IF(H4414="credit","",IF(G4414&gt;0,(CONCATENATE((G4414)," quantity, ",(A4414)," ",B4414)),"")))</f>
        <v/>
      </c>
      <c r="AG4414" s="713"/>
      <c r="AH4414" s="713"/>
      <c r="AI4414" s="112">
        <f>IF(H4414="credit",0,IF(AE4414="free",0,IF(AE4414="me",0,IF(G4414&gt;0,(VLOOKUP(A4414,'Discount Lookup'!J:K,2)*G4414),0))))</f>
        <v>0</v>
      </c>
      <c r="AJ4414" s="107" t="str">
        <f t="shared" ref="AJ4414:AJ4415" ca="1" si="3311">IF(AND(ISREF(H4414),H4414="credit"),"",IF(AND(AND(OFFSET(G4414,0,0)=0,OFFSET(G4414,1,0)&gt;0,ISNUMBER(OFFSET(AC4414,1,0)),OFFSET(AC4414,1,0)&gt;0),OR(PlanterYesMe="yes",PlanterYesMe="y")),"T2G+ELP=",IF(AND(OFFSET(G4414,0,0)=0,OFFSET(G4414,1,0)&gt;0,ISNUMBER(OFFSET(AC4414,1,0)),OFFSET(AC4414,1,0)&gt;0),"if T2G+ELP=",IF(AND(OFFSET(G4414,0,0)=0,OFFSET(G4414,1,0)&gt;0),"T2G Subtotal",IF(H4414="credit","",IF(G4414=0,"",IF(AE4414="free",(K4414*(1-T2GDiscount)),IF(OR(PlanterYesMe="No",PlanterYesMe="N",PlanterYesMe="me"),(K4414*(1-T2GDiscount)),IF(OR(AE4414="me",AE4414="T2G"),(K4414*(1-T2GDiscount)),(K4414*(1-T2GDiscount))+AC4414)))))))))</f>
        <v/>
      </c>
      <c r="AK4414" s="714" t="str">
        <f t="shared" ref="AK4414:AK4415" si="3312">IF(H4414="credit","",IF(G4414=0,"",IF(OR(AE4414="me",AE4414="T2G"),"  delivery-only",IF(OR(PlanterYesMe="No",PlanterYesMe="N",PlanterYesMe="me"),"  delivery-only",CONCATENATE(" $",ROUND(AJ4414/G4414,2)," each")))))</f>
        <v/>
      </c>
      <c r="AL4414" s="714"/>
      <c r="AM4414" s="114" t="str">
        <f t="shared" ref="AM4414:AM4415" si="3313">IF(H4414="credit","",IF(AE4414="free","      ~ discounts included, no tax or planting fee applies ~",IF(G4414=0,"",IF(OR(PlanterYesMe="No",PlanterYesMe="N",PlanterYesMe="me"),CONCATENATE(" $",ROUND(AJ4414/G4414,2)," per plant, with tax &amp; discount"),IF(OR(AE4414="me",AE4414="T2G"),CONCATENATE(" $",ROUND(AJ4414/G4414,2)," per plant, with tax &amp; discount"),CONCATENATE("= $",ROUND((K4414*(1-T2GDiscount))/G4414,2)," per plant + $",AC4414/G4414,(" per planting      ~ includes tax &amp; discounts ~")))))))</f>
        <v/>
      </c>
      <c r="AN4414" s="115"/>
      <c r="AO4414" s="116"/>
      <c r="AP4414" s="116"/>
      <c r="AQ4414" s="116"/>
      <c r="AR4414" s="116"/>
      <c r="AS4414" s="116"/>
      <c r="AT4414" s="116"/>
      <c r="AU4414" s="116"/>
      <c r="AW4414" s="102"/>
      <c r="BE4414" s="465"/>
      <c r="BF4414" s="165" t="str">
        <f t="shared" ref="BF4414:BF4415" si="3314">"https://www.google.com/search?tbm=isch&amp;q=" &amp; _xlfn.ENCODEURL($A4414 &amp; " " &amp; $D4414)</f>
        <v>https://www.google.com/search?tbm=isch&amp;q=%20</v>
      </c>
      <c r="BG4414" s="165" t="e">
        <f>IF(ISTEXT(A4414),LEFT(A4414,1),#REF!)</f>
        <v>#REF!</v>
      </c>
    </row>
    <row r="4415" spans="1:66" ht="17.25" thickTop="1" thickBot="1" x14ac:dyDescent="0.3">
      <c r="A4415" s="684">
        <f ca="1">COUNTIF($N$13:$N$4416, "Images")</f>
        <v>1005</v>
      </c>
      <c r="B4415" s="687" t="s">
        <v>4932</v>
      </c>
      <c r="C4415" s="685"/>
      <c r="D4415"/>
      <c r="E4415"/>
      <c r="F4415"/>
      <c r="G4415"/>
      <c r="H4415"/>
      <c r="I4415"/>
      <c r="J4415"/>
      <c r="K4415" s="682"/>
      <c r="L4415" s="682"/>
      <c r="M4415" s="530"/>
      <c r="N4415"/>
      <c r="O4415"/>
      <c r="P4415"/>
      <c r="Q4415"/>
      <c r="R4415"/>
      <c r="S4415"/>
      <c r="T4415" s="102">
        <f t="shared" si="3303"/>
        <v>0</v>
      </c>
      <c r="U4415" s="78" t="str">
        <f>IF(NOT(ISNUMBER(G4415)), "", VLOOKUP(A4415,'Discount Lookup'!D:E,2,FALSE)*G4415)</f>
        <v/>
      </c>
      <c r="V4415" s="78" t="str">
        <f>IF(NOT(ISNUMBER(G4415)), "", VLOOKUP(A4415,'Discount Lookup'!G:H,2,FALSE)*G4415)</f>
        <v/>
      </c>
      <c r="W4415" s="102">
        <f t="shared" si="3304"/>
        <v>0</v>
      </c>
      <c r="X4415" s="102">
        <f t="shared" si="3305"/>
        <v>0</v>
      </c>
      <c r="Y4415" s="120" t="b">
        <f t="shared" si="3306"/>
        <v>0</v>
      </c>
      <c r="Z4415" s="117">
        <f t="shared" si="3307"/>
        <v>0</v>
      </c>
      <c r="AA4415" s="118"/>
      <c r="AB4415" s="118" t="str">
        <f t="shared" si="3308"/>
        <v/>
      </c>
      <c r="AC4415" s="712" t="str">
        <f>IF(AE4415="T2G","no charge",IF(AND(OR(PlanterYesMe="No",PlanterYesMe="N",PlanterYesMe="me"),H4415=""),"",IF(H4415="credit","NO install",IF(AND(K4415="",AE4415="me"),"EACH row",IF(AND(K4415="images",AE4415="me"),"EACH row",IF(D4415="","",IF(H4415="credit","",IF(AE4415="free","re-planting",IF(AE4415="me","   not ELP, by",IF(AND(OR(PlanterYesMe="Yes",PlanterYesMe="Y"),G4415&gt;0),(VLOOKUP(A4415,'Discount Lookup'!J:K,2)*G4415*(1-PlanterDiscount)*(1+PlanterDifficultyPercentage)),IF(AE4415="ELP",(VLOOKUP(A4415,'Discount Lookup'!J:K,2)*G4415*(1-PlanterDiscount)*(1+PlanterDifficultyPercentage)),IF(AE4415="free","re-planting",IF(G4415=0,"",IF(PlanterYesMe="",IF(AE4415="me","   not ELP, by",IF(AE4415="",IF(G4415&gt;0,(VLOOKUP(A4415,'Discount Lookup'!J:K,2)*G4415*(1-PlanterDiscount)*(1+PlanterDifficultyPercentage)),""),"")),"   not ELP, by"))))))))))))))</f>
        <v/>
      </c>
      <c r="AD4415" s="712"/>
      <c r="AE4415" s="513" t="str">
        <f t="shared" si="3309"/>
        <v/>
      </c>
      <c r="AF4415" s="713" t="str">
        <f t="shared" si="3310"/>
        <v/>
      </c>
      <c r="AG4415" s="713"/>
      <c r="AH4415" s="713"/>
      <c r="AI4415" s="112">
        <f>IF(H4415="credit",0,IF(AE4415="free",0,IF(AE4415="me",0,IF(G4415&gt;0,(VLOOKUP(A4415,'Discount Lookup'!J:K,2)*G4415),0))))</f>
        <v>0</v>
      </c>
      <c r="AJ4415" s="107" t="str">
        <f t="shared" ca="1" si="3311"/>
        <v/>
      </c>
      <c r="AK4415" s="714" t="str">
        <f t="shared" si="3312"/>
        <v/>
      </c>
      <c r="AL4415" s="714"/>
      <c r="AM4415" s="114" t="str">
        <f t="shared" si="3313"/>
        <v/>
      </c>
      <c r="AN4415" s="115"/>
      <c r="AO4415" s="116"/>
      <c r="AP4415" s="116"/>
      <c r="AQ4415" s="116"/>
      <c r="AR4415" s="116"/>
      <c r="AS4415" s="116"/>
      <c r="AT4415" s="116"/>
      <c r="AU4415" s="116"/>
      <c r="AW4415" s="102"/>
      <c r="BE4415" s="465"/>
      <c r="BF4415" s="165" t="str">
        <f t="shared" ca="1" si="3314"/>
        <v>https://www.google.com/search?tbm=isch&amp;q=1005%20</v>
      </c>
      <c r="BG4415" s="165" t="e">
        <f t="shared" ref="BG4415" ca="1" si="3315">IF(ISTEXT(A4415),LEFT(A4415,1),BG4414)</f>
        <v>#REF!</v>
      </c>
    </row>
    <row r="4416" spans="1:66" ht="12.95" customHeight="1" thickTop="1" x14ac:dyDescent="0.25">
      <c r="A4416" s="683" t="s">
        <v>213</v>
      </c>
      <c r="B4416" s="683"/>
      <c r="C4416" s="600" t="s">
        <v>9</v>
      </c>
      <c r="D4416" s="66"/>
      <c r="E4416" s="67"/>
      <c r="F4416" s="68"/>
      <c r="G4416" s="68"/>
      <c r="H4416" s="69"/>
      <c r="I4416" s="68"/>
      <c r="J4416" s="68"/>
      <c r="K4416" s="68"/>
      <c r="L4416" s="548"/>
      <c r="M4416" s="463" t="str">
        <f>IF(NoWarrantyDiscount&gt;0,"After 7 days to check plants for health, NO WARRANTY APPLIES","After 7 days to check plants for health, 2-YEAR+ 50% WARRANTY")</f>
        <v>After 7 days to check plants for health, 2-YEAR+ 50% WARRANTY</v>
      </c>
      <c r="N4416" s="761" t="s">
        <v>273</v>
      </c>
      <c r="O4416" s="762"/>
      <c r="P4416" s="762"/>
      <c r="Q4416" s="762"/>
      <c r="R4416" s="762"/>
      <c r="S4416" s="762"/>
      <c r="T4416" s="762"/>
      <c r="U4416" s="762"/>
      <c r="V4416" s="762"/>
      <c r="W4416" s="762"/>
      <c r="X4416"/>
      <c r="Z4416" s="840" t="str">
        <f>IF(OR(PlanterYesMe="No",PlanterYesMe="N",PlanterYesMe="me"),"No planting requested, per 'me' at top of purple column.",IF(PlanterYesMe="","       No planting at all? Type 'me' at top of purple column.",IF(PriceitQODC="Order","T2G sent a copy of Order to Edison.",IF(PriceitQODC="Delivered","",IF(PriceitQODC="Completed","","T2G will send a copy of Order to Edison when finalized.")))))</f>
        <v xml:space="preserve">       No planting at all? Type 'me' at top of purple column.</v>
      </c>
      <c r="AA4416" s="840"/>
      <c r="AB4416" s="840"/>
      <c r="AC4416" s="840"/>
      <c r="AD4416" s="840"/>
      <c r="AE4416" s="840"/>
      <c r="AF4416" s="840"/>
      <c r="AG4416" s="840"/>
      <c r="AH4416" s="840"/>
      <c r="AJ4416" s="130">
        <f>SUM($AI9:$AI4416)+PlanterMileageNoConcatenate+PlanterPreviousAmountsPaid</f>
        <v>0</v>
      </c>
      <c r="AK4416" s="131">
        <f>SUM($AI9:$AI4416)</f>
        <v>0</v>
      </c>
      <c r="AL4416" s="132"/>
      <c r="AM4416" s="133" t="str">
        <f>IF(G4416=0,"",IF(AE4416="me",CONCATENATE(" $",ROUND(#REF!/G4416,2)," per plant")," "))</f>
        <v/>
      </c>
      <c r="AN4416" s="134"/>
      <c r="AP4416" s="97"/>
      <c r="AQ4416" s="97"/>
      <c r="AR4416" s="97"/>
      <c r="AS4416" s="97"/>
      <c r="AT4416" s="97"/>
      <c r="AU4416" s="97"/>
      <c r="BF4416" s="102" t="str">
        <f t="shared" ref="BF4416:BF4417" si="3316">"https://www.google.com/search?tbm=isch&amp;q=" &amp; _xlfn.ENCODEURL($A4416 &amp; " " &amp; $E4416)</f>
        <v>https://www.google.com/search?tbm=isch&amp;q=Quality%20is%20</v>
      </c>
    </row>
    <row r="4417" spans="1:58" ht="12.95" customHeight="1" x14ac:dyDescent="0.25">
      <c r="A4417" s="760" t="s">
        <v>283</v>
      </c>
      <c r="B4417" s="760"/>
      <c r="C4417" s="760"/>
      <c r="D4417" s="760"/>
      <c r="E4417" s="247"/>
      <c r="F4417" s="248" t="s">
        <v>137</v>
      </c>
      <c r="G4417" s="249">
        <f>SUM($G$10:$G$4416)-SumPlants</f>
        <v>0</v>
      </c>
      <c r="H4417" s="464"/>
      <c r="I4417" s="837" t="str">
        <f>IF(MSTryEO="embed","   includes Free Local Delivery",IF(NoWarrantyDiscount&gt;0,"Discount for Warranty Delete",IF(MileageFeeNoConcatenate&gt;0,"Mileage Fee applies each trip",IF(TotalPlantsG&gt;0,"   includes Free Local Delivery","   includes Free Local Delivery"))))</f>
        <v xml:space="preserve">   includes Free Local Delivery</v>
      </c>
      <c r="J4417" s="837"/>
      <c r="K4417" s="837"/>
      <c r="L4417" s="838"/>
      <c r="M4417" s="839"/>
      <c r="N4417" s="761"/>
      <c r="O4417" s="762"/>
      <c r="P4417" s="762"/>
      <c r="Q4417" s="762"/>
      <c r="R4417" s="762"/>
      <c r="S4417" s="762"/>
      <c r="T4417" s="762"/>
      <c r="U4417" s="762"/>
      <c r="V4417" s="762"/>
      <c r="W4417" s="762"/>
      <c r="X4417"/>
      <c r="Z4417" s="135"/>
      <c r="AA4417" s="136" t="s">
        <v>32</v>
      </c>
      <c r="AB4417" s="137" t="str">
        <f>IF(OR(PlanterYesMe="No",PlanterYesMe="N",PlanterYesMe="me"),"",IF(PlanterMileageNoConcatenate&gt;0,"","Planting"))</f>
        <v>Planting</v>
      </c>
      <c r="AC4417" s="138" t="str">
        <f>IF(OR(PlanterYesMe="No",PlanterYesMe="N",PlanterYesMe="me"),"",IF(ISNUMBER(PlantingIndicatorMsg),"Extra Discount for Warranty Delete",IF(PlanterMileageNoConcatenate&gt;0,"Mileage Fee applies each trip","includes 2-year 100% SERVICE WARRANTY")))</f>
        <v>includes 2-year 100% SERVICE WARRANTY</v>
      </c>
      <c r="AD4417" s="138"/>
      <c r="AE4417" s="138"/>
      <c r="AF4417" s="138"/>
      <c r="AG4417" s="138"/>
      <c r="AH4417" s="138"/>
      <c r="AJ4417" s="138"/>
      <c r="AL4417" s="132"/>
      <c r="AU4417" s="97"/>
      <c r="BF4417" s="102" t="str">
        <f t="shared" si="3316"/>
        <v>https://www.google.com/search?tbm=isch&amp;q=%20Trees2Go%20Price%20Details%20</v>
      </c>
    </row>
    <row r="4418" spans="1:58" ht="12.95" customHeight="1" thickBot="1" x14ac:dyDescent="0.3">
      <c r="A4418" s="250" t="str">
        <f>IF(MSTryEO="try","    *** THIS EMBEDDED PAGE WON'T SAVE ***","")</f>
        <v/>
      </c>
      <c r="B4418" s="251"/>
      <c r="C4418" s="252"/>
      <c r="D4418" s="253"/>
      <c r="E4418" s="254"/>
      <c r="F4418" s="255"/>
      <c r="G4418" s="256" t="str">
        <f>IF(BonusDiscount="","","Extra Discount, this order only:")</f>
        <v/>
      </c>
      <c r="H4418" s="257"/>
      <c r="I4418" s="514" t="s">
        <v>879</v>
      </c>
      <c r="J4418" s="515">
        <v>7.2499999999999995E-2</v>
      </c>
      <c r="K4418" s="516" t="s">
        <v>286</v>
      </c>
      <c r="L4418" s="549"/>
      <c r="M4418" s="531"/>
      <c r="N4418" s="761"/>
      <c r="O4418" s="762"/>
      <c r="P4418" s="762"/>
      <c r="Q4418" s="762"/>
      <c r="R4418" s="762"/>
      <c r="S4418" s="762"/>
      <c r="T4418" s="762"/>
      <c r="U4418" s="762"/>
      <c r="V4418" s="762"/>
      <c r="W4418" s="762"/>
      <c r="X4418"/>
      <c r="Y4418" s="98"/>
      <c r="Z4418" s="777" t="s">
        <v>284</v>
      </c>
      <c r="AA4418" s="777"/>
      <c r="AB4418" s="777"/>
      <c r="AC4418" s="777"/>
      <c r="AD4418" s="777"/>
      <c r="AE4418" s="777"/>
      <c r="AF4418" s="777"/>
      <c r="AG4418" s="315"/>
      <c r="AH4418" s="613" t="s">
        <v>258</v>
      </c>
      <c r="AI4418" s="614"/>
      <c r="AJ4418" s="615" t="s">
        <v>259</v>
      </c>
      <c r="AK4418" s="751" t="s">
        <v>32</v>
      </c>
      <c r="AL4418" s="751"/>
      <c r="AU4418" s="97"/>
    </row>
    <row r="4419" spans="1:58" ht="12.95" customHeight="1" thickTop="1" x14ac:dyDescent="0.25">
      <c r="A4419" s="505">
        <f ca="1">COUNTIF($N$13:$N$4434, "Images")</f>
        <v>1005</v>
      </c>
      <c r="B4419" s="779" t="str">
        <f>IF(MSTryEO="MS","click 'Enable Editing' then 'Save As'",IF(MSTryEO="EO","click 'Enable Workbook' then 'Save As'",IF(NoWarrantyDiscount&gt;0,"Warranty Delete selected",IF(OR(PriceitQODC=" Price it by Common",PriceitQODC=" Price it by Latin ",PriceitQODC=" Price it by TYPE "),"save &amp; share your picks in a copy",IF(PriceitQODC="Quote","Please choose plants as you like.",IF(PriceitQODC="Order","PLEASE RE-CHECK ALL DATA",IF(OR(PlanterYesMe="yes",PlanterYesMe="y"),"Please notify if plants fail:","planting is not a perfect science")))))))</f>
        <v>click 'Enable Editing' then 'Save As'</v>
      </c>
      <c r="C4419" s="780"/>
      <c r="D4419" s="781"/>
      <c r="E4419" s="258"/>
      <c r="F4419" s="183"/>
      <c r="G4419" s="183"/>
      <c r="H4419" s="517" t="str">
        <f>IF(NoWarrantyDiscount&gt;0,"BEFORE Discounts:","BEFORE Discount:")</f>
        <v>BEFORE Discount:</v>
      </c>
      <c r="I4419" s="259">
        <f>T2GRetailSumNoTax</f>
        <v>0</v>
      </c>
      <c r="J4419" s="259">
        <f ca="1">T2GTaxSum</f>
        <v>0</v>
      </c>
      <c r="K4419" s="771">
        <f ca="1">T2GRetailSumNoTax+BeforeDiscountTax</f>
        <v>0</v>
      </c>
      <c r="L4419" s="771"/>
      <c r="M4419" s="532"/>
      <c r="N4419" s="468"/>
      <c r="O4419" s="221"/>
      <c r="P4419" s="162"/>
      <c r="Q4419" s="162"/>
      <c r="R4419" s="162"/>
      <c r="S4419" s="162"/>
      <c r="T4419" s="243"/>
      <c r="U4419" s="244"/>
      <c r="V4419"/>
      <c r="W4419"/>
      <c r="X4419"/>
      <c r="Z4419" s="764" t="str">
        <f>IF(OR(PlanterYesMe="No",PlanterYesMe="N",PlanterYesMe="me"),"NO Edison PLANTING this project",IF(T2GPreviousAmountsPaid&gt;0,"Edison Planting service requested",IF(OR(PlanterYesMe="yes",PlanterYesMe="y"),"          PLANTING REQUESTED","SERVICE IS OPTIONAL ~ please request")))</f>
        <v>SERVICE IS OPTIONAL ~ please request</v>
      </c>
      <c r="AA4419" s="764"/>
      <c r="AB4419" s="764"/>
      <c r="AC4419" s="764"/>
      <c r="AD4419" s="764"/>
      <c r="AE4419" s="764"/>
      <c r="AF4419" s="764"/>
      <c r="AG4419" s="322"/>
      <c r="AH4419" s="330"/>
      <c r="AI4419" s="330" t="s">
        <v>35</v>
      </c>
      <c r="AJ4419" s="333">
        <v>8</v>
      </c>
      <c r="AK4419" s="751"/>
      <c r="AL4419" s="751"/>
      <c r="AU4419" s="97"/>
    </row>
    <row r="4420" spans="1:58" ht="12.95" customHeight="1" x14ac:dyDescent="0.25">
      <c r="A4420" s="251"/>
      <c r="B4420" s="765" t="str">
        <f>IF(MSTryEO="MS","copy or share your choices to:",IF(NoWarrantyDiscount&gt;0,"no Warranty applies",IF(OR(PriceitQODC=" Price it by Common",PriceitQODC=" Price it by Latin ",PriceitQODC=" Price it by TYPE "),"NOT required: OK to list in email",IF(PriceitQODC="Quote","Advise of edits, maybe copy back.",IF(PriceitQODC="Order","Errors can happen anywhere",IF(PriceitQODC="Delivered","contact Trees2Go if health issues ",IF(PriceitQODC="Completed","contact T2G if health issues ",IF(TotalPlantsG&gt;0,"Page is a Cart","Pick plants, then share or attach: "))))))))</f>
        <v>copy or share your choices to:</v>
      </c>
      <c r="C4420" s="766"/>
      <c r="D4420" s="767"/>
      <c r="E4420" s="752" t="str">
        <f>IF(NoWarrantyDiscount&gt;0,"T2G Discounts:","Trees2Go Discount:")</f>
        <v>Trees2Go Discount:</v>
      </c>
      <c r="F4420" s="753"/>
      <c r="G4420" s="753"/>
      <c r="H4420" s="261">
        <f ca="1">(+'Discount Lookup'!B3)+NoWarrantyDiscount+BonusDiscount</f>
        <v>0</v>
      </c>
      <c r="I4420" s="259">
        <f ca="1">-(BeforeDiscountBeforeTax)*(T2GDiscount)</f>
        <v>0</v>
      </c>
      <c r="J4420" s="259">
        <f ca="1">-(BeforeDiscountTax)*(T2GDiscount)</f>
        <v>0</v>
      </c>
      <c r="K4420" s="841">
        <f ca="1">-(BeforeDiscountWithTax)*(T2GDiscount)</f>
        <v>0</v>
      </c>
      <c r="L4420" s="841"/>
      <c r="M4420" s="533"/>
      <c r="N4420" s="846" t="s">
        <v>275</v>
      </c>
      <c r="O4420" s="847"/>
      <c r="P4420" s="847"/>
      <c r="Q4420" s="847"/>
      <c r="R4420" s="847"/>
      <c r="S4420" s="847"/>
      <c r="T4420" s="847"/>
      <c r="U4420" s="847"/>
      <c r="V4420" s="847"/>
      <c r="W4420" s="847"/>
      <c r="X4420"/>
      <c r="Y4420" s="141"/>
      <c r="Z4420" s="725" t="str">
        <f>IF(OR(PlanterYesMe="No",PlanterYesMe="N",PlanterYesMe="me"),"if Edison installs:",IF(OR(PlanterYesMe="yes",PlanterYesMe="y"),"Edison will install:","if Edison installs:"))</f>
        <v>if Edison installs:</v>
      </c>
      <c r="AA4420" s="725"/>
      <c r="AB4420" s="725"/>
      <c r="AC4420" s="725"/>
      <c r="AD4420" s="725"/>
      <c r="AE4420" s="726"/>
      <c r="AF4420" s="318" t="str">
        <f>IF(OR(PlanterYesMe="No",PlanterYesMe="N",PlanterYesMe="me"),"0 plants",IF(OR(PlanterYesMe="yes",PlanterYesMe="y"),CONCATENATE(SumPlantsYPlanting,IF(SumPlantsYPlanting=1," plant"," plants")),CONCATENATE(SumPlantsYPlanting,IF(SumPlantsYPlanting=1," plant"," plants"))))</f>
        <v>0 plants</v>
      </c>
      <c r="AG4420" s="323"/>
      <c r="AH4420" s="309"/>
      <c r="AI4420" s="330" t="s">
        <v>36</v>
      </c>
      <c r="AJ4420" s="333">
        <v>13</v>
      </c>
      <c r="AK4420" s="751"/>
      <c r="AL4420" s="751"/>
      <c r="AU4420" s="97"/>
    </row>
    <row r="4421" spans="1:58" ht="12.95" customHeight="1" thickBot="1" x14ac:dyDescent="0.3">
      <c r="A4421" s="251"/>
      <c r="B4421" s="768" t="str">
        <f>IF(NoWarrantyDiscount&gt;0,"Guarantee still applies",IF(MSTryEO="ms","Shop@Trees2Go.com",IF(OR(PriceitQODC=" Price it by Common",PriceitQODC=" Price it by Latin ",PriceitQODC=" Price it by TYPE "),"SHARE TO: Shop@Trees2Go.com",IF(PriceitQODC="Quote","Not final until you approve.",IF(PriceitQODC="Order","Contact if questions/concerns",IF(PlanterYesMe="yes","contact Edison if structural issues","Warranty applies for any reason"))))))</f>
        <v>Shop@Trees2Go.com</v>
      </c>
      <c r="C4421" s="769"/>
      <c r="D4421" s="770"/>
      <c r="E4421" s="258"/>
      <c r="F4421" s="183"/>
      <c r="G4421" s="183"/>
      <c r="H4421" s="517" t="str">
        <f>IF(NoWarrantyDiscount&gt;0,"AFTER Discounts:","AFTER Discount:")</f>
        <v>AFTER Discount:</v>
      </c>
      <c r="I4421" s="259">
        <f ca="1">(BeforeDiscountBeforeTax+T2GDiscountBeforeTax)</f>
        <v>0</v>
      </c>
      <c r="J4421" s="259">
        <f ca="1">(BeforeDiscountTax+T2GDiscountTax)</f>
        <v>0</v>
      </c>
      <c r="K4421" s="727">
        <f ca="1">(BeforeDiscountWithTax+T2GDiscountWithTax)</f>
        <v>0</v>
      </c>
      <c r="L4421" s="727"/>
      <c r="M4421" s="534"/>
      <c r="N4421" s="846"/>
      <c r="O4421" s="847"/>
      <c r="P4421" s="847"/>
      <c r="Q4421" s="847"/>
      <c r="R4421" s="847"/>
      <c r="S4421" s="847"/>
      <c r="T4421" s="847"/>
      <c r="U4421" s="847"/>
      <c r="V4421" s="847"/>
      <c r="W4421" s="847"/>
      <c r="X4421"/>
      <c r="Y4421" s="141"/>
      <c r="Z4421" s="721" t="s">
        <v>880</v>
      </c>
      <c r="AA4421" s="721"/>
      <c r="AB4421" s="721"/>
      <c r="AC4421" s="721"/>
      <c r="AD4421" s="721"/>
      <c r="AE4421" s="722"/>
      <c r="AF4421" s="260">
        <f>IF(PlanterYesMe="",SumPlantingFees,IF(OR(PlanterYesMe="yes",PlanterYesMe="y"),SumPlantingFees,"$0.00"))</f>
        <v>0</v>
      </c>
      <c r="AG4421" s="323"/>
      <c r="AH4421" s="309"/>
      <c r="AI4421" s="330" t="s">
        <v>37</v>
      </c>
      <c r="AJ4421" s="333">
        <v>15</v>
      </c>
      <c r="AK4421" s="751"/>
      <c r="AL4421" s="751"/>
      <c r="AU4421" s="97"/>
    </row>
    <row r="4422" spans="1:58" ht="12.95" customHeight="1" thickBot="1" x14ac:dyDescent="0.3">
      <c r="A4422" s="755" t="str">
        <f ca="1">IF(OR(PriceitQODC="Price it",PriceitQODC="Price it All!"),"",IF(PriceitQODC="Quote","",IF(PriceitQODC="Order","",IF(PriceitQODC="Completed","",IF(BeforeDiscountTax=0,"",IF(AfterDiscountTax/0.0725=AfterDiscountBeforeTax,"",CONCATENATE("$",ROUNDUP(AfterDiscountTax/0.0725,2)," or 2%: $",ROUNDUP(T2GTaxSum/0.0725,2))))))))</f>
        <v/>
      </c>
      <c r="B4422" s="755"/>
      <c r="C4422" s="756"/>
      <c r="D4422" s="263" t="str">
        <f ca="1">IF(OR(PriceitQODC="Price it",PriceitQODC="Price it All!"),"",IF(PriceitQODC="Quote","",IF(PriceitQODC="Order","",IF(PriceitQODC="Completed","",IF(BeforeDiscountTax=0,"",IF(AfterDiscountTax/0.0725=AfterDiscountBeforeTax,"","= True 'Resale'"))))))</f>
        <v/>
      </c>
      <c r="E4422" s="264"/>
      <c r="F4422" s="265"/>
      <c r="G4422" s="266"/>
      <c r="H4422" s="267" t="str">
        <f ca="1">IF(T2GDeliveryTotal=0,"",IF(PriceitQODC="Delivered","if Cash/Check/Venmo/Zelle:",IF(PriceitQODC="Completed","if Cash/Check/Venmo/Zelle:","")))</f>
        <v/>
      </c>
      <c r="I4422" s="268" t="str">
        <f ca="1">IF(T2GDeliveryTotal=0,"",IF(PriceitQODC="Delivered",AfterDiscountBeforeTax*0.98,IF(PriceitQODC="Completed",AfterDiscountBeforeTax*0.98,"")))</f>
        <v/>
      </c>
      <c r="J4422" s="268" t="str">
        <f ca="1">IF(T2GDeliveryTotal=0,"",IF(PriceitQODC="Delivered",AfterDiscountTax*0.98,IF(PriceitQODC="Completed",AfterDiscountTax*0.98,"")))</f>
        <v/>
      </c>
      <c r="K4422" s="269"/>
      <c r="L4422" s="550"/>
      <c r="M4422" s="535"/>
      <c r="N4422" s="846"/>
      <c r="O4422" s="847"/>
      <c r="P4422" s="847"/>
      <c r="Q4422" s="847"/>
      <c r="R4422" s="847"/>
      <c r="S4422" s="847"/>
      <c r="T4422" s="847"/>
      <c r="U4422" s="847"/>
      <c r="V4422" s="847"/>
      <c r="W4422" s="847"/>
      <c r="X4422"/>
      <c r="Y4422" s="141"/>
      <c r="Z4422" s="721" t="str">
        <f>IF(OR(PlanterYesMe="No",PlanterYesMe="N",PlanterYesMe="me"),"Edison Discount:",IF(PlantingIndicatorMsg="Planting","Edison Discount:",IF(PlantingIndicatorMsg="","Edison Discount:","Two Discounts:")))</f>
        <v>Edison Discount:</v>
      </c>
      <c r="AA4422" s="721"/>
      <c r="AB4422" s="721"/>
      <c r="AC4422" s="721"/>
      <c r="AD4422" s="721"/>
      <c r="AE4422" s="317">
        <f>IF(OR(PlanterYesMe="No",PlanterYesMe="N",PlanterYesMe="me"),"0%",IF(MileageFeeMessage="Mileage Fee applies each trip",(+'Discount Lookup'!N3),IF(PlantingIndicatorMsg="Planting",(+'Discount Lookup'!N3),(+'Discount Lookup'!N3)+PlantingIndicatorMsg)))</f>
        <v>0</v>
      </c>
      <c r="AF4422" s="319">
        <f>-(PlanterBeforeDiscount-PlanterTotalAfterDiscount)</f>
        <v>0</v>
      </c>
      <c r="AG4422" s="310"/>
      <c r="AH4422" s="309"/>
      <c r="AI4422" s="330" t="s">
        <v>38</v>
      </c>
      <c r="AJ4422" s="333">
        <v>16</v>
      </c>
      <c r="AK4422" s="751"/>
      <c r="AL4422" s="751"/>
      <c r="AU4422" s="97"/>
    </row>
    <row r="4423" spans="1:58" ht="12.95" customHeight="1" thickTop="1" thickBot="1" x14ac:dyDescent="0.3">
      <c r="A4423" s="599" t="s">
        <v>1035</v>
      </c>
      <c r="B4423" s="238"/>
      <c r="C4423" s="239"/>
      <c r="D4423" s="500">
        <v>0</v>
      </c>
      <c r="E4423" s="270"/>
      <c r="F4423" s="271"/>
      <c r="G4423" s="272"/>
      <c r="H4423" s="273"/>
      <c r="I4423" s="274"/>
      <c r="J4423" s="275" t="str">
        <f>IF(EnterMiles=1,"mile past edge of area @ $3.25 / mile, one way only:",IF(EnterMiles&gt;1,"miles past edge of area @$3.25 / mile, one way only:",IF(MileageFeeNoConcatenate&gt;0,"Mileage Fee (outside Eastern Triangle Area):","⇐ miles past free area                      ~ no mileage fee ~ ")))</f>
        <v xml:space="preserve">⇐ miles past free area                      ~ no mileage fee ~ </v>
      </c>
      <c r="K4423" s="854">
        <f>IF(EnterMiles="(miles)",0,IF(EnterMiles&gt;0,CONCATENATE("+$",ROUND(EnterMiles*3.25,2)),0))</f>
        <v>0</v>
      </c>
      <c r="L4423" s="854"/>
      <c r="M4423" s="536">
        <f>IF(EnterMiles="(miles)",0,IF(EnterMiles&gt;0,ROUND(EnterMiles*3.25,2),MileageFee))</f>
        <v>0</v>
      </c>
      <c r="N4423" s="846"/>
      <c r="O4423" s="847"/>
      <c r="P4423" s="847"/>
      <c r="Q4423" s="847"/>
      <c r="R4423" s="847"/>
      <c r="S4423" s="847"/>
      <c r="T4423" s="847"/>
      <c r="U4423" s="847"/>
      <c r="V4423" s="847"/>
      <c r="W4423" s="847"/>
      <c r="X4423"/>
      <c r="Y4423" s="141"/>
      <c r="Z4423" s="721" t="s">
        <v>881</v>
      </c>
      <c r="AA4423" s="721"/>
      <c r="AB4423" s="721"/>
      <c r="AC4423" s="721"/>
      <c r="AD4423" s="721"/>
      <c r="AE4423" s="722"/>
      <c r="AF4423" s="319">
        <f>PlanterBeforeDiscount-(PlanterBeforeDiscount*PlanterDiscount)</f>
        <v>0</v>
      </c>
      <c r="AG4423" s="310"/>
      <c r="AH4423" s="309"/>
      <c r="AI4423" s="330" t="s">
        <v>39</v>
      </c>
      <c r="AJ4423" s="333">
        <v>25</v>
      </c>
      <c r="AK4423" s="751"/>
      <c r="AL4423" s="751"/>
      <c r="AU4423" s="97"/>
    </row>
    <row r="4424" spans="1:58" ht="12.95" customHeight="1" thickTop="1" x14ac:dyDescent="0.25">
      <c r="A4424" s="238"/>
      <c r="B4424" s="277">
        <f>ROUNDUP(SumSoil,2)</f>
        <v>0</v>
      </c>
      <c r="C4424" s="278" t="s">
        <v>40</v>
      </c>
      <c r="D4424" s="279" t="str">
        <f ca="1">IF(OR(PriceitQODC="Price it",PriceitQODC="Price it All!"),"",IF(PriceitQODC="Quote","",IF(PriceitQODC="Order","",IF(ConsultFeeInsert&gt;0,CONCATENATE("Cash/Check/Venmo: $",(E4425)),IF(DepositCredit&lt;0,CONCATENATE("Cash/Check/Venmo: $",E4425),"")))))</f>
        <v/>
      </c>
      <c r="E4424" s="280"/>
      <c r="F4424" s="281"/>
      <c r="G4424" s="240"/>
      <c r="H4424" s="273"/>
      <c r="I4424" s="274"/>
      <c r="J4424" s="518" t="s">
        <v>890</v>
      </c>
      <c r="K4424" s="727">
        <f ca="1">AfterDiscountWithTax+MileageFeeNoConcatenate</f>
        <v>0</v>
      </c>
      <c r="L4424" s="727"/>
      <c r="M4424" s="537"/>
      <c r="N4424" s="846"/>
      <c r="O4424" s="847"/>
      <c r="P4424" s="847"/>
      <c r="Q4424" s="847"/>
      <c r="R4424" s="847"/>
      <c r="S4424" s="847"/>
      <c r="T4424" s="847"/>
      <c r="U4424" s="847"/>
      <c r="V4424" s="847"/>
      <c r="W4424" s="847"/>
      <c r="X4424"/>
      <c r="Y4424" s="141"/>
      <c r="Z4424" s="309"/>
      <c r="AA4424" s="853" t="str">
        <f>IF(PlanterDifficultyPercentage&gt;0,"+ Estimated Difficulty:","~ no difficulty fee ~ ")</f>
        <v xml:space="preserve">~ no difficulty fee ~ </v>
      </c>
      <c r="AB4424" s="853"/>
      <c r="AC4424" s="853"/>
      <c r="AD4424" s="853"/>
      <c r="AE4424" s="317">
        <v>0</v>
      </c>
      <c r="AF4424" s="319" t="str">
        <f>IF(PlanterDifficultyPercentage=0,"$0.00",CONCATENATE("+$",ROUND(PlanterTotalAfterDiscount*PlanterDifficultyPercentage,2)))</f>
        <v>$0.00</v>
      </c>
      <c r="AG4424" s="324">
        <f>PlanterTotalAfterDiscount*PlanterDifficultyPercentage</f>
        <v>0</v>
      </c>
      <c r="AH4424" s="309"/>
      <c r="AI4424" s="330" t="s">
        <v>41</v>
      </c>
      <c r="AJ4424" s="333">
        <v>38</v>
      </c>
      <c r="AK4424" s="751"/>
      <c r="AL4424" s="751"/>
      <c r="AU4424" s="97"/>
    </row>
    <row r="4425" spans="1:58" ht="12.95" customHeight="1" x14ac:dyDescent="0.25">
      <c r="A4425" s="238"/>
      <c r="B4425" s="277">
        <f>ROUNDUP(SumMulch,2)</f>
        <v>0</v>
      </c>
      <c r="C4425" s="278" t="s">
        <v>42</v>
      </c>
      <c r="D4425" s="282"/>
      <c r="E4425" s="283">
        <f ca="1">ROUND((T2GBalanceCCV-DepositCredit-ConsultFeeCredit),2)</f>
        <v>0</v>
      </c>
      <c r="F4425" s="851"/>
      <c r="G4425" s="851"/>
      <c r="H4425" s="284"/>
      <c r="I4425" s="285"/>
      <c r="J4425" s="286" t="str">
        <f>IF(ConsultFeeInsert="","~ no consultation fee ~ ",IF(T2GDeliveryTotal&lt;500,"of $200 consult fee is prorated:","applies from $200 consult fee:"))</f>
        <v xml:space="preserve">~ no consultation fee ~ </v>
      </c>
      <c r="K4425" s="727">
        <f>IF(ConsultFeeInsert="",0,IF(ConsultFeeInsert=100,IF(T2GDeliveryTotal&gt;500,-100,(T2GDeliveryTotal/500*100*(-1)))))</f>
        <v>0</v>
      </c>
      <c r="L4425" s="727"/>
      <c r="M4425" s="537"/>
      <c r="N4425" s="846"/>
      <c r="O4425" s="847"/>
      <c r="P4425" s="847"/>
      <c r="Q4425" s="847"/>
      <c r="R4425" s="847"/>
      <c r="S4425" s="847"/>
      <c r="T4425" s="847"/>
      <c r="U4425" s="847"/>
      <c r="V4425" s="847"/>
      <c r="W4425" s="847"/>
      <c r="X4425"/>
      <c r="Y4425" s="141"/>
      <c r="Z4425" s="309"/>
      <c r="AA4425" s="719" t="str">
        <f>IF(PlanterMileageNoConcatenate&gt;0,"+ Mileage Fee:","~ no mileage fee ~ ")</f>
        <v xml:space="preserve">~ no mileage fee ~ </v>
      </c>
      <c r="AB4425" s="719"/>
      <c r="AC4425" s="719"/>
      <c r="AD4425" s="719"/>
      <c r="AE4425" s="720"/>
      <c r="AF4425" s="276">
        <f>IF(SumPlantsYPlanting=0,0,IF(PlanterYesMe="",MileageFee,IF(OR(PlanterYesMe="yes",PlanterYesMe="y"),MileageFee,"$0.00")))</f>
        <v>0</v>
      </c>
      <c r="AG4425" s="325">
        <f>IF(SumPlantsYPlanting=0,0,IF(PlanterYesMe="",MileageFeeNoConcatenate,IF(OR(PlanterYesMe="yes",PlanterYesMe="y"),MileageFeeNoConcatenate,"$0.00")))</f>
        <v>0</v>
      </c>
      <c r="AH4425" s="309"/>
      <c r="AI4425" s="330" t="s">
        <v>43</v>
      </c>
      <c r="AJ4425" s="333">
        <v>55</v>
      </c>
      <c r="AK4425" s="751"/>
      <c r="AL4425" s="751"/>
      <c r="AU4425" s="97"/>
    </row>
    <row r="4426" spans="1:58" ht="12.95" customHeight="1" x14ac:dyDescent="0.25">
      <c r="A4426" s="287"/>
      <c r="B4426" s="287"/>
      <c r="C4426" s="287"/>
      <c r="D4426" s="282"/>
      <c r="E4426" s="288"/>
      <c r="F4426" s="757" t="str">
        <f ca="1">IF(T2G_Delivery_Total&lt;2000,"",IF(T2G_Delivery_Total&gt;4999.99,0.3,IF(T2G_Delivery_Total&gt;3499.99,0.2,IF(T2G_Delivery_Total&gt;1999.99,0.1,0))))</f>
        <v/>
      </c>
      <c r="G4426" s="757"/>
      <c r="H4426" s="740" t="str">
        <f ca="1">IF(T2GDeliveryTotal&gt;1999.99,"deposit needed to place order:"," ~ no deposit needed ~ ")</f>
        <v xml:space="preserve"> ~ no deposit needed ~ </v>
      </c>
      <c r="I4426" s="740"/>
      <c r="J4426" s="740"/>
      <c r="K4426" s="727">
        <f ca="1">IF(DepositInsert="",0,(DepositInsert*T2G_Delivery_Total*-1))</f>
        <v>0</v>
      </c>
      <c r="L4426" s="727"/>
      <c r="M4426" s="537"/>
      <c r="N4426" s="846"/>
      <c r="O4426" s="847"/>
      <c r="P4426" s="847"/>
      <c r="Q4426" s="847"/>
      <c r="R4426" s="847"/>
      <c r="S4426" s="847"/>
      <c r="T4426" s="847"/>
      <c r="U4426" s="847"/>
      <c r="V4426" s="847"/>
      <c r="W4426" s="847"/>
      <c r="X4426"/>
      <c r="Y4426" s="141"/>
      <c r="Z4426" s="775" t="s">
        <v>882</v>
      </c>
      <c r="AA4426" s="775"/>
      <c r="AB4426" s="775"/>
      <c r="AC4426" s="775"/>
      <c r="AD4426" s="775"/>
      <c r="AE4426" s="776"/>
      <c r="AF4426" s="319">
        <f>IF(PlanterBeforeDiscount=0,0,IF(PlanterYesMe="",SumPlantingFees-SumPlantingFees*PlanterDiscount+MileageFeeNoConcatenate+DifficultyFeeNoConcatenate,IF(OR(PlanterYesMe="yes",PlanterYesMe="y"),SumPlantingFees-SumPlantingFees*PlanterDiscount+MileageFeeNoConcatenate+DifficultyFeeNoConcatenate,"$0.00")))</f>
        <v>0</v>
      </c>
      <c r="AG4426" s="310"/>
      <c r="AH4426" s="309"/>
      <c r="AI4426" s="330" t="s">
        <v>44</v>
      </c>
      <c r="AJ4426" s="333">
        <v>75</v>
      </c>
      <c r="AK4426" s="751"/>
      <c r="AL4426" s="751"/>
      <c r="AM4426" s="133"/>
      <c r="AN4426" s="134"/>
      <c r="AP4426" s="97"/>
      <c r="AQ4426" s="97"/>
      <c r="AR4426" s="97"/>
      <c r="AS4426" s="97"/>
      <c r="AT4426" s="97"/>
      <c r="AU4426" s="97"/>
    </row>
    <row r="4427" spans="1:58" ht="12.95" customHeight="1" x14ac:dyDescent="0.25">
      <c r="A4427" s="289"/>
      <c r="B4427" s="290"/>
      <c r="C4427" s="291" t="s">
        <v>1036</v>
      </c>
      <c r="D4427" s="754">
        <v>0</v>
      </c>
      <c r="E4427" s="754"/>
      <c r="F4427" s="292"/>
      <c r="G4427" s="778" t="s">
        <v>891</v>
      </c>
      <c r="H4427" s="778"/>
      <c r="I4427" s="778"/>
      <c r="J4427" s="778"/>
      <c r="K4427" s="727">
        <f ca="1">T2GDeliveryTotal+ConsultFeeCredit+DepositCredit</f>
        <v>0</v>
      </c>
      <c r="L4427" s="727"/>
      <c r="M4427" s="537"/>
      <c r="N4427" s="846"/>
      <c r="O4427" s="847"/>
      <c r="P4427" s="847"/>
      <c r="Q4427" s="847"/>
      <c r="R4427" s="847"/>
      <c r="S4427" s="847"/>
      <c r="T4427" s="847"/>
      <c r="U4427" s="847"/>
      <c r="V4427" s="847"/>
      <c r="W4427" s="847"/>
      <c r="X4427"/>
      <c r="Y4427" s="141"/>
      <c r="Z4427" s="309"/>
      <c r="AA4427" s="719" t="str">
        <f>IF(PlanterBeforeDiscount=0,"~ deposit always required ~","deposit needed to order:")</f>
        <v>~ deposit always required ~</v>
      </c>
      <c r="AB4427" s="719"/>
      <c r="AC4427" s="719"/>
      <c r="AD4427" s="719"/>
      <c r="AE4427" s="317">
        <v>0.5</v>
      </c>
      <c r="AF4427" s="319">
        <f>PlantingTotal*PlanterDepositPercentage</f>
        <v>0</v>
      </c>
      <c r="AG4427" s="310"/>
      <c r="AH4427" s="313"/>
      <c r="AI4427" s="330" t="s">
        <v>45</v>
      </c>
      <c r="AJ4427" s="333">
        <v>100</v>
      </c>
      <c r="AK4427" s="751"/>
      <c r="AL4427" s="751"/>
      <c r="AM4427" s="133"/>
      <c r="AN4427" s="134"/>
      <c r="AP4427" s="97"/>
      <c r="AQ4427" s="97"/>
      <c r="AR4427" s="97"/>
      <c r="AS4427" s="97"/>
      <c r="AT4427" s="97"/>
      <c r="AU4427" s="97"/>
    </row>
    <row r="4428" spans="1:58" ht="12.95" customHeight="1" x14ac:dyDescent="0.25">
      <c r="A4428" s="289" t="s">
        <v>1037</v>
      </c>
      <c r="B4428" s="289"/>
      <c r="C4428" s="293"/>
      <c r="D4428" s="294"/>
      <c r="E4428" s="295"/>
      <c r="F4428" s="296"/>
      <c r="G4428" s="281"/>
      <c r="H4428" s="273"/>
      <c r="I4428" s="239"/>
      <c r="J4428" s="297" t="s">
        <v>892</v>
      </c>
      <c r="K4428" s="727">
        <f ca="1">T2GBalanceCredit*0.98+(ConsultFeeCredit*0.02)+(DepositCredit*0.02)</f>
        <v>0</v>
      </c>
      <c r="L4428" s="727"/>
      <c r="M4428" s="537"/>
      <c r="N4428" s="245"/>
      <c r="O4428" s="245"/>
      <c r="P4428" s="245"/>
      <c r="Q4428" s="245"/>
      <c r="R4428" s="245"/>
      <c r="S4428" s="245"/>
      <c r="T4428" s="246"/>
      <c r="U4428"/>
      <c r="V4428"/>
      <c r="W4428"/>
      <c r="X4428"/>
      <c r="Y4428" s="98"/>
      <c r="Z4428" s="725" t="s">
        <v>1067</v>
      </c>
      <c r="AA4428" s="725"/>
      <c r="AB4428" s="725"/>
      <c r="AC4428" s="725"/>
      <c r="AD4428" s="725"/>
      <c r="AE4428" s="725"/>
      <c r="AF4428" s="319">
        <f>PlantingTotal-PlanterDepositAmount</f>
        <v>0</v>
      </c>
      <c r="AG4428" s="315"/>
      <c r="AH4428" s="309"/>
      <c r="AI4428" s="330" t="s">
        <v>46</v>
      </c>
      <c r="AJ4428" s="333">
        <v>120</v>
      </c>
      <c r="AK4428" s="751"/>
      <c r="AL4428" s="751"/>
      <c r="AM4428" s="133"/>
      <c r="AN4428" s="134"/>
      <c r="AP4428" s="97"/>
      <c r="AQ4428" s="97"/>
      <c r="AR4428" s="97"/>
      <c r="AS4428" s="97"/>
      <c r="AT4428" s="97"/>
      <c r="AU4428" s="97"/>
    </row>
    <row r="4429" spans="1:58" ht="12.95" customHeight="1" x14ac:dyDescent="0.25">
      <c r="A4429" s="289"/>
      <c r="B4429" s="289"/>
      <c r="C4429" s="601" t="s">
        <v>1038</v>
      </c>
      <c r="D4429" s="294"/>
      <c r="E4429" s="295"/>
      <c r="F4429" s="281"/>
      <c r="G4429" s="281"/>
      <c r="H4429" s="273"/>
      <c r="I4429" s="298"/>
      <c r="J4429" s="299"/>
      <c r="K4429" s="300"/>
      <c r="L4429" s="241" t="str">
        <f ca="1">IF(PriceitQODC="Completed","",IF(T2G_Delivery_Total=0,"personal &amp; business checks great                                            ",IF(T2G_Delivery_Total=0,"","VENMO: Michael-Lamar-12 ~ verify: 1051 &amp; photo of my son+gecko ")))</f>
        <v xml:space="preserve">personal &amp; business checks great                                            </v>
      </c>
      <c r="M4429" s="301"/>
      <c r="N4429" s="723" t="s">
        <v>272</v>
      </c>
      <c r="O4429" s="724"/>
      <c r="P4429" s="724"/>
      <c r="Q4429" s="724"/>
      <c r="R4429" s="724"/>
      <c r="S4429" s="724"/>
      <c r="T4429" s="724"/>
      <c r="U4429" s="724"/>
      <c r="V4429" s="724"/>
      <c r="W4429" s="724"/>
      <c r="X4429"/>
      <c r="Z4429" s="310"/>
      <c r="AA4429" s="310"/>
      <c r="AB4429" s="736" t="s">
        <v>1068</v>
      </c>
      <c r="AC4429" s="736"/>
      <c r="AD4429" s="736"/>
      <c r="AE4429" s="736"/>
      <c r="AF4429" s="736"/>
      <c r="AG4429" s="736"/>
      <c r="AH4429" s="310"/>
      <c r="AI4429" s="330" t="s">
        <v>47</v>
      </c>
      <c r="AJ4429" s="333">
        <v>150</v>
      </c>
      <c r="AK4429" s="751"/>
      <c r="AL4429" s="751"/>
      <c r="AM4429" s="133"/>
      <c r="AN4429" s="134"/>
      <c r="AP4429" s="97"/>
      <c r="AQ4429" s="97"/>
      <c r="AR4429" s="97"/>
      <c r="AS4429" s="97"/>
      <c r="AT4429" s="97"/>
      <c r="AU4429" s="97"/>
    </row>
    <row r="4430" spans="1:58" ht="12.95" customHeight="1" x14ac:dyDescent="0.25">
      <c r="A4430" s="289"/>
      <c r="B4430" s="289"/>
      <c r="C4430" s="293" t="s">
        <v>290</v>
      </c>
      <c r="D4430" s="239"/>
      <c r="E4430" s="295"/>
      <c r="F4430" s="302"/>
      <c r="G4430" s="281"/>
      <c r="H4430" s="303"/>
      <c r="I4430" s="304"/>
      <c r="J4430" s="300"/>
      <c r="K4430" s="305"/>
      <c r="L4430" s="241" t="str">
        <f ca="1">IF(PriceitQODC="Completed","",IF(T2G_Delivery_Total=0,"",IF(OR(PriceitQODC="Price it",PriceitQODC="Price it All!",PriceitQODC=" Price it by Common",PriceitQODC=" Price it by Latin ",PriceitQODC=" Price it by TYPE "),"please DO NOT click 'Turn on for purchases'",IF(PriceitQODC="Quote","please DO NOT click 'Turn on for purchases'",IF(PriceitQODC="Order","please DO NOT click 'Turn on for purchases'","please DO NOT click 'Turn on for purchases'")))))</f>
        <v/>
      </c>
      <c r="M4430" s="301"/>
      <c r="N4430" s="723" t="s">
        <v>468</v>
      </c>
      <c r="O4430" s="724"/>
      <c r="P4430" s="724"/>
      <c r="Q4430" s="724"/>
      <c r="R4430" s="724"/>
      <c r="S4430" s="724"/>
      <c r="T4430" s="724"/>
      <c r="U4430" s="724"/>
      <c r="V4430" s="724"/>
      <c r="W4430" s="724"/>
      <c r="X4430"/>
      <c r="Z4430" s="310"/>
      <c r="AA4430" s="310"/>
      <c r="AB4430" s="736" t="s">
        <v>1069</v>
      </c>
      <c r="AC4430" s="736"/>
      <c r="AD4430" s="736"/>
      <c r="AE4430" s="736"/>
      <c r="AF4430" s="736"/>
      <c r="AG4430" s="736"/>
      <c r="AH4430" s="309"/>
      <c r="AI4430" s="330" t="s">
        <v>48</v>
      </c>
      <c r="AJ4430" s="333">
        <v>180</v>
      </c>
      <c r="AK4430" s="751"/>
      <c r="AL4430" s="751"/>
      <c r="AM4430" s="133"/>
      <c r="AN4430" s="134"/>
      <c r="AP4430" s="97"/>
      <c r="AQ4430" s="97"/>
      <c r="AR4430" s="97"/>
      <c r="AS4430" s="97"/>
      <c r="AT4430" s="97"/>
      <c r="AU4430" s="97"/>
    </row>
    <row r="4431" spans="1:58" ht="12.95" customHeight="1" x14ac:dyDescent="0.25">
      <c r="A4431" s="289"/>
      <c r="B4431" s="289"/>
      <c r="C4431" s="293" t="s">
        <v>467</v>
      </c>
      <c r="D4431" s="306"/>
      <c r="E4431" s="306"/>
      <c r="F4431" s="302"/>
      <c r="G4431" s="281"/>
      <c r="H4431" s="303"/>
      <c r="I4431" s="307"/>
      <c r="J4431" s="300"/>
      <c r="K4431" s="305"/>
      <c r="L4431" s="242" t="str">
        <f ca="1">IF(PriceitQODC="Completed","",IF(T2G_Delivery_Total=0,"","please PAY at DELIVERY"))</f>
        <v/>
      </c>
      <c r="M4431" s="308"/>
      <c r="N4431" s="723" t="s">
        <v>469</v>
      </c>
      <c r="O4431" s="724"/>
      <c r="P4431" s="724"/>
      <c r="Q4431" s="724"/>
      <c r="R4431" s="724"/>
      <c r="S4431" s="724"/>
      <c r="T4431" s="724"/>
      <c r="U4431" s="724"/>
      <c r="V4431" s="724"/>
      <c r="W4431" s="724"/>
      <c r="X4431"/>
      <c r="Z4431" s="310"/>
      <c r="AA4431" s="310"/>
      <c r="AB4431" s="314"/>
      <c r="AC4431" s="314"/>
      <c r="AD4431" s="314"/>
      <c r="AE4431" s="315"/>
      <c r="AF4431" s="315"/>
      <c r="AG4431" s="315"/>
      <c r="AH4431" s="309"/>
      <c r="AI4431" s="330" t="s">
        <v>49</v>
      </c>
      <c r="AJ4431" s="333">
        <v>200</v>
      </c>
      <c r="AK4431" s="751"/>
      <c r="AL4431" s="751"/>
      <c r="AM4431" s="133"/>
      <c r="AN4431" s="145"/>
      <c r="AO4431" s="97"/>
      <c r="AP4431" s="97"/>
      <c r="AQ4431" s="97"/>
      <c r="AR4431" s="97"/>
      <c r="AS4431" s="97"/>
      <c r="AT4431" s="97"/>
      <c r="AU4431" s="97"/>
    </row>
    <row r="4432" spans="1:58" ht="12.95" customHeight="1" x14ac:dyDescent="0.25">
      <c r="A4432" s="337"/>
      <c r="B4432" s="337"/>
      <c r="C4432" s="337"/>
      <c r="D4432" s="592"/>
      <c r="E4432" s="338"/>
      <c r="F4432" s="339"/>
      <c r="G4432" s="126"/>
      <c r="H4432" s="146"/>
      <c r="K4432" s="128"/>
      <c r="N4432" s="723" t="s">
        <v>271</v>
      </c>
      <c r="O4432" s="724"/>
      <c r="P4432" s="724"/>
      <c r="Q4432" s="724"/>
      <c r="R4432" s="724"/>
      <c r="S4432" s="724"/>
      <c r="T4432" s="724"/>
      <c r="U4432" s="724"/>
      <c r="V4432" s="724"/>
      <c r="W4432" s="724"/>
      <c r="X4432"/>
      <c r="Z4432" s="311"/>
      <c r="AA4432" s="310"/>
      <c r="AB4432" s="315"/>
      <c r="AC4432" s="315"/>
      <c r="AD4432" s="315"/>
      <c r="AE4432" s="844" t="s">
        <v>245</v>
      </c>
      <c r="AF4432" s="844"/>
      <c r="AG4432" s="326"/>
      <c r="AH4432" s="309"/>
      <c r="AI4432" s="330" t="s">
        <v>50</v>
      </c>
      <c r="AJ4432" s="333">
        <v>300</v>
      </c>
      <c r="AK4432" s="751"/>
      <c r="AL4432" s="751"/>
      <c r="AM4432" s="133"/>
      <c r="AN4432" s="145"/>
      <c r="AO4432" s="97"/>
      <c r="AP4432" s="97"/>
      <c r="AQ4432" s="97"/>
      <c r="AR4432" s="97"/>
      <c r="AS4432" s="97"/>
      <c r="AT4432" s="97"/>
      <c r="AU4432" s="97"/>
    </row>
    <row r="4433" spans="1:47" ht="12.95" customHeight="1" x14ac:dyDescent="0.25">
      <c r="A4433" s="598" t="str">
        <f>IF(OR(PriceitQODC="Price it",PriceitQODC="Price it All!"),"",IF(PriceitQODC="Quote","",IF(PriceitQODC="Order","",IF(PriceitQODC="Delivered","Thank you!",IF(PriceitQODC="Completed","Thank you!","")))))</f>
        <v/>
      </c>
      <c r="B4433" s="512"/>
      <c r="C4433" s="593"/>
      <c r="D4433" s="592"/>
      <c r="E4433" s="338"/>
      <c r="F4433" s="337"/>
      <c r="G4433" s="78"/>
      <c r="H4433" s="146"/>
      <c r="J4433" s="70"/>
      <c r="L4433" s="552"/>
      <c r="M4433" s="539"/>
      <c r="N4433"/>
      <c r="O4433"/>
      <c r="P4433"/>
      <c r="Q4433"/>
      <c r="R4433"/>
      <c r="S4433"/>
      <c r="T4433"/>
      <c r="U4433"/>
      <c r="V4433"/>
      <c r="W4433"/>
      <c r="X4433"/>
      <c r="Z4433" s="310"/>
      <c r="AA4433" s="310"/>
      <c r="AB4433" s="315"/>
      <c r="AC4433" s="315"/>
      <c r="AD4433" s="315"/>
      <c r="AE4433" s="843" t="s">
        <v>251</v>
      </c>
      <c r="AF4433" s="843"/>
      <c r="AG4433" s="323"/>
      <c r="AH4433" s="309"/>
      <c r="AI4433" s="330" t="s">
        <v>51</v>
      </c>
      <c r="AJ4433" s="333">
        <v>400</v>
      </c>
      <c r="AK4433" s="751"/>
      <c r="AL4433" s="751"/>
      <c r="AN4433" s="147"/>
      <c r="AO4433" s="148"/>
      <c r="AP4433" s="97"/>
      <c r="AQ4433" s="97"/>
      <c r="AR4433" s="97"/>
      <c r="AS4433" s="97"/>
      <c r="AT4433" s="97"/>
      <c r="AU4433" s="97"/>
    </row>
    <row r="4434" spans="1:47" ht="12.95" customHeight="1" x14ac:dyDescent="0.25">
      <c r="A4434" s="337"/>
      <c r="B4434" s="336"/>
      <c r="C4434" s="337"/>
      <c r="D4434" s="592"/>
      <c r="E4434" s="338"/>
      <c r="F4434" s="339"/>
      <c r="G4434" s="126"/>
      <c r="H4434" s="146"/>
      <c r="J4434" s="149">
        <f ca="1">SUM(J10:J4416)</f>
        <v>0</v>
      </c>
      <c r="K4434" s="150"/>
      <c r="L4434" s="552"/>
      <c r="M4434" s="539"/>
      <c r="N4434" s="123"/>
      <c r="U4434" s="144">
        <f>SUM($U$9:$U$4416)</f>
        <v>0</v>
      </c>
      <c r="V4434" s="144">
        <f>SUM($V$9:$V$4416)</f>
        <v>0</v>
      </c>
      <c r="W4434" s="102">
        <f>SUM($Z$9:$Z$4416)</f>
        <v>0</v>
      </c>
      <c r="X4434" s="102">
        <f>SUM($X$9:$X$4416)</f>
        <v>0</v>
      </c>
      <c r="Y4434" s="123">
        <f>SUM($Y$9:$Y$4416)</f>
        <v>0</v>
      </c>
      <c r="Z4434" s="310"/>
      <c r="AA4434" s="310"/>
      <c r="AB4434" s="310"/>
      <c r="AC4434" s="310"/>
      <c r="AD4434" s="310"/>
      <c r="AE4434" s="310"/>
      <c r="AF4434" s="310"/>
      <c r="AG4434" s="327"/>
      <c r="AH4434" s="309"/>
      <c r="AI4434" s="330" t="s">
        <v>52</v>
      </c>
      <c r="AJ4434" s="333">
        <v>700</v>
      </c>
      <c r="AK4434" s="751"/>
      <c r="AL4434" s="751"/>
      <c r="AN4434" s="151"/>
      <c r="AO4434" s="151"/>
      <c r="AP4434" s="97"/>
      <c r="AQ4434" s="97"/>
      <c r="AR4434" s="97"/>
      <c r="AS4434" s="97"/>
      <c r="AT4434" s="97"/>
      <c r="AU4434" s="97"/>
    </row>
    <row r="4435" spans="1:47" ht="12.95" customHeight="1" thickBot="1" x14ac:dyDescent="0.3">
      <c r="A4435" s="337"/>
      <c r="B4435" s="336"/>
      <c r="C4435" s="337"/>
      <c r="D4435" s="338"/>
      <c r="E4435" s="338"/>
      <c r="F4435" s="339"/>
      <c r="K4435" s="128"/>
      <c r="L4435" s="552"/>
      <c r="M4435" s="539"/>
      <c r="N4435" s="123"/>
      <c r="T4435" s="152"/>
      <c r="U4435" s="140"/>
      <c r="V4435" s="140"/>
      <c r="W4435" s="97"/>
      <c r="X4435" s="153"/>
      <c r="Y4435" s="98"/>
      <c r="Z4435" s="848" t="s">
        <v>260</v>
      </c>
      <c r="AA4435" s="848"/>
      <c r="AB4435" s="848"/>
      <c r="AC4435" s="848"/>
      <c r="AD4435" s="848"/>
      <c r="AE4435" s="848"/>
      <c r="AF4435" s="320">
        <v>0</v>
      </c>
      <c r="AG4435" s="328"/>
      <c r="AH4435" s="331"/>
      <c r="AI4435" s="332" t="s">
        <v>53</v>
      </c>
      <c r="AJ4435" s="334">
        <v>800</v>
      </c>
      <c r="AK4435" s="751"/>
      <c r="AL4435" s="751"/>
      <c r="AM4435" s="133"/>
      <c r="AN4435" s="842"/>
      <c r="AO4435" s="842"/>
      <c r="AP4435" s="842"/>
      <c r="AQ4435" s="97"/>
      <c r="AR4435" s="97"/>
      <c r="AS4435" s="97"/>
      <c r="AT4435" s="97"/>
      <c r="AU4435" s="97"/>
    </row>
    <row r="4436" spans="1:47" ht="12.95" customHeight="1" thickTop="1" x14ac:dyDescent="0.25">
      <c r="A4436" s="852" t="s">
        <v>183</v>
      </c>
      <c r="B4436" s="852"/>
      <c r="C4436" s="337"/>
      <c r="D4436" s="338"/>
      <c r="E4436" s="594"/>
      <c r="F4436" s="595"/>
      <c r="G4436" s="450"/>
      <c r="H4436" s="451"/>
      <c r="I4436" s="452"/>
      <c r="J4436" s="453"/>
      <c r="K4436" s="454" t="s">
        <v>1034</v>
      </c>
      <c r="L4436" s="455" t="str">
        <f>IF(TotalPlantsG&gt;0,"OPTIONAL company is summed up here ↗↗","Enter quantities to see OPTIONAL planting fees ↗↗")</f>
        <v>Enter quantities to see OPTIONAL planting fees ↗↗</v>
      </c>
      <c r="M4436" s="540"/>
      <c r="N4436" s="456"/>
      <c r="O4436" s="457"/>
      <c r="P4436" s="312"/>
      <c r="Q4436" s="458"/>
      <c r="R4436" s="459"/>
      <c r="S4436" s="459"/>
      <c r="T4436" s="459"/>
      <c r="U4436" s="460"/>
      <c r="V4436" s="460"/>
      <c r="W4436" s="461"/>
      <c r="X4436" s="458"/>
      <c r="Y4436" s="462"/>
      <c r="Z4436" s="312"/>
      <c r="AA4436" s="312"/>
      <c r="AB4436" s="312"/>
      <c r="AC4436" s="316"/>
      <c r="AD4436" s="316"/>
      <c r="AE4436" s="316"/>
      <c r="AF4436" s="321"/>
      <c r="AG4436" s="329"/>
      <c r="AH4436" s="329"/>
      <c r="AI4436" s="310"/>
      <c r="AJ4436" s="335"/>
      <c r="AK4436" s="751"/>
      <c r="AL4436" s="751"/>
      <c r="AM4436" s="133"/>
      <c r="AN4436" s="145"/>
      <c r="AO4436" s="97"/>
      <c r="AP4436" s="97"/>
      <c r="AQ4436" s="97"/>
      <c r="AR4436" s="97"/>
      <c r="AS4436" s="97"/>
      <c r="AT4436" s="97"/>
      <c r="AU4436" s="97"/>
    </row>
    <row r="4437" spans="1:47" ht="12.95" customHeight="1" x14ac:dyDescent="0.25">
      <c r="A4437" s="596" t="str">
        <f>IF(OR(PriceitQODC=" Price it by TYPE ",PriceitQODC=" Price it by Latin ",PriceitQODC=" Price it by Common")," 919-266-7939",IF(PriceitQODC="Quote","Quote is",IF(PriceitQODC="Order","",IF(PriceitQODC="Delivered","",""))))</f>
        <v xml:space="preserve"> 919-266-7939</v>
      </c>
      <c r="B4437" s="336"/>
      <c r="C4437" s="337"/>
      <c r="D4437" s="597" t="str">
        <f>IF(OR(PriceitQODC=" Price it by TYPE ",PriceitQODC=" Price it by Latin ",PriceitQODC=" Price it by Common"),"Shop@Trees2Go.com",IF(PriceitQODC="Quote","",IF(PriceitQODC="Order","",IF(PriceitQODC="Delivered","",""))))</f>
        <v>Shop@Trees2Go.com</v>
      </c>
      <c r="E4437" s="338"/>
      <c r="F4437" s="339"/>
      <c r="G4437" s="159"/>
      <c r="H4437" s="340"/>
      <c r="I4437" s="341"/>
      <c r="J4437" s="342"/>
      <c r="K4437" s="343"/>
      <c r="L4437" s="553"/>
      <c r="M4437" s="541"/>
      <c r="N4437" s="344"/>
      <c r="O4437" s="161"/>
      <c r="P4437" s="161"/>
      <c r="Q4437" s="345"/>
      <c r="R4437" s="345"/>
      <c r="S4437" s="346"/>
      <c r="T4437" s="347"/>
      <c r="U4437" s="348"/>
      <c r="V4437" s="349"/>
      <c r="W4437" s="161"/>
      <c r="X4437" s="161"/>
      <c r="Y4437" s="165"/>
      <c r="Z4437" s="161"/>
      <c r="AA4437" s="350"/>
      <c r="AB4437" s="350"/>
      <c r="AC4437" s="350"/>
      <c r="AD4437" s="350"/>
      <c r="AE4437" s="350"/>
      <c r="AF4437" s="351"/>
      <c r="AG4437" s="221"/>
      <c r="AH4437" s="350"/>
      <c r="AI4437" s="161"/>
      <c r="AK4437" s="139"/>
      <c r="AL4437" s="155"/>
      <c r="AM4437" s="133"/>
      <c r="AN4437" s="145"/>
      <c r="AO4437" s="97"/>
      <c r="AP4437" s="97"/>
      <c r="AQ4437" s="97"/>
      <c r="AR4437" s="97"/>
      <c r="AS4437" s="97"/>
      <c r="AT4437" s="97"/>
      <c r="AU4437" s="97"/>
    </row>
    <row r="4438" spans="1:47" ht="12.95" customHeight="1" x14ac:dyDescent="0.2">
      <c r="A4438" s="598" t="str">
        <f>IF(OR(PriceitQODC=" Price it by TYPE ",PriceitQODC=" Price it by Latin ",PriceitQODC=" Price it by Common"),"Questions? call or email any time",IF(PriceitQODC="Quote","good 30 days                         (as long as plants still available at sources)",IF(PriceitQODC="Order","Thank you!",IF(PriceitQODC="Delivered","Michael Lamar",IF(PriceitQODC="Completed","Michael Lamar","Please call or email if you have any questions.")))))</f>
        <v>Questions? call or email any time</v>
      </c>
      <c r="B4438" s="336"/>
      <c r="C4438" s="337"/>
      <c r="D4438" s="352"/>
      <c r="E4438" s="338"/>
      <c r="F4438" s="337"/>
      <c r="G4438" s="337"/>
      <c r="H4438" s="161"/>
      <c r="I4438" s="353"/>
      <c r="J4438" s="354"/>
      <c r="K4438" s="262"/>
      <c r="L4438" s="554"/>
      <c r="M4438" s="542"/>
      <c r="N4438" s="163"/>
      <c r="O4438" s="161"/>
      <c r="P4438" s="161"/>
      <c r="Q4438" s="345"/>
      <c r="R4438" s="345"/>
      <c r="S4438" s="346"/>
      <c r="T4438" s="347"/>
      <c r="U4438" s="348"/>
      <c r="V4438" s="349"/>
      <c r="W4438" s="161"/>
      <c r="X4438" s="161"/>
      <c r="Y4438" s="165"/>
      <c r="Z4438" s="355"/>
      <c r="AA4438" s="355"/>
      <c r="AB4438" s="355"/>
      <c r="AC4438" s="355"/>
      <c r="AD4438" s="731" t="s">
        <v>458</v>
      </c>
      <c r="AE4438" s="731"/>
      <c r="AF4438" s="731"/>
      <c r="AG4438" s="731"/>
      <c r="AH4438" s="731"/>
      <c r="AI4438" s="355"/>
      <c r="AK4438" s="751"/>
      <c r="AL4438" s="751"/>
      <c r="AM4438" s="133"/>
      <c r="AN4438" s="134"/>
      <c r="AP4438" s="97"/>
      <c r="AQ4438" s="97"/>
      <c r="AR4438" s="97"/>
      <c r="AS4438" s="97"/>
      <c r="AT4438" s="97"/>
      <c r="AU4438" s="97"/>
    </row>
    <row r="4439" spans="1:47" ht="12.95" customHeight="1" x14ac:dyDescent="0.25">
      <c r="A4439" s="356"/>
      <c r="B4439" s="357"/>
      <c r="C4439" s="357"/>
      <c r="D4439" s="357"/>
      <c r="E4439" s="358"/>
      <c r="F4439" s="339"/>
      <c r="G4439" s="359"/>
      <c r="H4439" s="360"/>
      <c r="I4439" s="354"/>
      <c r="J4439" s="354"/>
      <c r="K4439" s="730" t="s">
        <v>357</v>
      </c>
      <c r="L4439" s="730"/>
      <c r="M4439" s="543"/>
      <c r="N4439" s="163"/>
      <c r="O4439" s="161"/>
      <c r="P4439" s="161"/>
      <c r="Q4439" s="161"/>
      <c r="R4439" s="161"/>
      <c r="S4439" s="161"/>
      <c r="T4439" s="161"/>
      <c r="U4439" s="362"/>
      <c r="V4439" s="362"/>
      <c r="W4439" s="161"/>
      <c r="X4439" s="161"/>
      <c r="Y4439" s="164"/>
      <c r="Z4439" s="616" t="s">
        <v>262</v>
      </c>
      <c r="AA4439" s="363"/>
      <c r="AB4439" s="363"/>
      <c r="AC4439" s="363"/>
      <c r="AD4439" s="363"/>
      <c r="AE4439" s="363"/>
      <c r="AF4439" s="363"/>
      <c r="AG4439" s="363"/>
      <c r="AH4439" s="734"/>
      <c r="AI4439" s="735"/>
      <c r="AK4439" s="139"/>
      <c r="AL4439" s="139"/>
      <c r="AM4439" s="133"/>
      <c r="AN4439" s="134"/>
      <c r="AP4439" s="97"/>
      <c r="AQ4439" s="97"/>
      <c r="AR4439" s="97"/>
      <c r="AS4439" s="97"/>
      <c r="AT4439" s="97"/>
      <c r="AU4439" s="97"/>
    </row>
    <row r="4440" spans="1:47" ht="12.95" customHeight="1" x14ac:dyDescent="0.25">
      <c r="A4440" s="161"/>
      <c r="B4440" s="741" t="s">
        <v>190</v>
      </c>
      <c r="C4440" s="741"/>
      <c r="D4440" s="741"/>
      <c r="E4440" s="741"/>
      <c r="F4440" s="741"/>
      <c r="G4440" s="741"/>
      <c r="H4440" s="741"/>
      <c r="I4440" s="741"/>
      <c r="J4440" s="364"/>
      <c r="K4440" s="365"/>
      <c r="L4440" s="555"/>
      <c r="M4440" s="544"/>
      <c r="N4440" s="366"/>
      <c r="O4440" s="367"/>
      <c r="P4440" s="368"/>
      <c r="Q4440" s="369"/>
      <c r="R4440" s="369"/>
      <c r="S4440" s="368"/>
      <c r="T4440" s="166"/>
      <c r="U4440" s="362"/>
      <c r="V4440" s="362"/>
      <c r="W4440" s="161"/>
      <c r="X4440" s="161"/>
      <c r="Y4440" s="164"/>
      <c r="Z4440" s="738" t="s">
        <v>1059</v>
      </c>
      <c r="AA4440" s="738"/>
      <c r="AB4440" s="738"/>
      <c r="AC4440" s="738"/>
      <c r="AD4440" s="738"/>
      <c r="AE4440" s="738"/>
      <c r="AF4440" s="738"/>
      <c r="AG4440" s="738"/>
      <c r="AH4440" s="738"/>
      <c r="AI4440" s="739"/>
      <c r="AK4440" s="139"/>
      <c r="AL4440" s="156"/>
      <c r="AM4440" s="133"/>
      <c r="AN4440" s="134"/>
      <c r="AP4440" s="97"/>
      <c r="AQ4440" s="97"/>
      <c r="AR4440" s="97"/>
      <c r="AS4440" s="97"/>
      <c r="AT4440" s="97"/>
      <c r="AU4440" s="97"/>
    </row>
    <row r="4441" spans="1:47" ht="12.95" customHeight="1" x14ac:dyDescent="0.25">
      <c r="A4441" s="370"/>
      <c r="B4441" s="371" t="s">
        <v>1039</v>
      </c>
      <c r="C4441" s="602"/>
      <c r="D4441" s="238"/>
      <c r="E4441" s="372"/>
      <c r="F4441" s="183"/>
      <c r="G4441" s="183"/>
      <c r="H4441" s="373"/>
      <c r="I4441" s="374"/>
      <c r="J4441" s="374"/>
      <c r="K4441" s="375"/>
      <c r="L4441" s="555"/>
      <c r="M4441" s="544"/>
      <c r="N4441" s="366"/>
      <c r="O4441" s="367"/>
      <c r="P4441" s="368"/>
      <c r="Q4441" s="369"/>
      <c r="R4441" s="369"/>
      <c r="S4441" s="368"/>
      <c r="T4441" s="166"/>
      <c r="U4441" s="362"/>
      <c r="V4441" s="362"/>
      <c r="W4441" s="162"/>
      <c r="X4441" s="162"/>
      <c r="Y4441" s="164"/>
      <c r="Z4441" s="738" t="s">
        <v>1060</v>
      </c>
      <c r="AA4441" s="738"/>
      <c r="AB4441" s="738"/>
      <c r="AC4441" s="738"/>
      <c r="AD4441" s="738"/>
      <c r="AE4441" s="738"/>
      <c r="AF4441" s="738"/>
      <c r="AG4441" s="738"/>
      <c r="AH4441" s="738"/>
      <c r="AI4441" s="739"/>
      <c r="AK4441" s="139"/>
      <c r="AL4441" s="156"/>
      <c r="AM4441" s="133"/>
      <c r="AN4441" s="134"/>
      <c r="AP4441" s="97"/>
      <c r="AQ4441" s="97"/>
      <c r="AR4441" s="97"/>
      <c r="AS4441" s="97"/>
      <c r="AT4441" s="97"/>
      <c r="AU4441" s="97"/>
    </row>
    <row r="4442" spans="1:47" ht="12.95" customHeight="1" thickBot="1" x14ac:dyDescent="0.3">
      <c r="A4442" s="370"/>
      <c r="B4442" s="371" t="s">
        <v>1040</v>
      </c>
      <c r="C4442" s="602"/>
      <c r="D4442" s="238"/>
      <c r="E4442" s="372"/>
      <c r="F4442" s="183"/>
      <c r="G4442" s="183"/>
      <c r="H4442" s="373"/>
      <c r="I4442" s="374"/>
      <c r="J4442" s="374"/>
      <c r="K4442" s="375"/>
      <c r="L4442" s="555"/>
      <c r="M4442" s="544"/>
      <c r="N4442" s="366"/>
      <c r="O4442" s="367"/>
      <c r="P4442" s="368"/>
      <c r="Q4442" s="369"/>
      <c r="R4442" s="369"/>
      <c r="S4442" s="368"/>
      <c r="T4442" s="166"/>
      <c r="U4442" s="362"/>
      <c r="V4442" s="362"/>
      <c r="W4442" s="162"/>
      <c r="X4442" s="162"/>
      <c r="Y4442" s="164"/>
      <c r="Z4442" s="763" t="s">
        <v>1061</v>
      </c>
      <c r="AA4442" s="763"/>
      <c r="AB4442" s="763"/>
      <c r="AC4442" s="763"/>
      <c r="AD4442" s="763"/>
      <c r="AE4442" s="763"/>
      <c r="AF4442" s="763"/>
      <c r="AG4442" s="732">
        <f>PlanterBeforeDiscount+PlanterMileageNoConcatenate+PlanterPreviousAmountsPaid</f>
        <v>0</v>
      </c>
      <c r="AH4442" s="732"/>
      <c r="AI4442" s="733"/>
      <c r="AK4442" s="139"/>
      <c r="AL4442" s="156"/>
      <c r="AM4442" s="133"/>
      <c r="AN4442" s="134"/>
      <c r="AP4442" s="97"/>
      <c r="AQ4442" s="97"/>
      <c r="AR4442" s="97"/>
      <c r="AS4442" s="97"/>
      <c r="AT4442" s="97"/>
      <c r="AU4442" s="97"/>
    </row>
    <row r="4443" spans="1:47" ht="12.95" customHeight="1" thickTop="1" thickBot="1" x14ac:dyDescent="0.3">
      <c r="A4443" s="370"/>
      <c r="B4443" s="376"/>
      <c r="C4443" s="239"/>
      <c r="D4443" s="377"/>
      <c r="E4443" s="372"/>
      <c r="F4443" s="378"/>
      <c r="G4443" s="378"/>
      <c r="H4443" s="603" t="s">
        <v>1041</v>
      </c>
      <c r="I4443" s="604" t="str">
        <f ca="1">CONCATENATE("$",ROUNDUP((BeforeDiscountWithTax+T2GPreviousAmountsPaid+MileageFee),2),"")</f>
        <v>$0</v>
      </c>
      <c r="J4443" s="379" t="s">
        <v>263</v>
      </c>
      <c r="K4443" s="380">
        <f ca="1">(+'Discount Lookup'!B3)+NoWarrantyDiscount+BonusDiscount</f>
        <v>0</v>
      </c>
      <c r="L4443" s="555"/>
      <c r="M4443" s="544"/>
      <c r="N4443" s="366"/>
      <c r="O4443" s="381"/>
      <c r="P4443" s="382"/>
      <c r="Q4443" s="383"/>
      <c r="R4443" s="383"/>
      <c r="S4443" s="382"/>
      <c r="T4443" s="384"/>
      <c r="U4443" s="244"/>
      <c r="V4443" s="244"/>
      <c r="W4443" s="162"/>
      <c r="X4443" s="162"/>
      <c r="Y4443" s="164"/>
      <c r="Z4443" s="617" t="s">
        <v>267</v>
      </c>
      <c r="AA4443" s="618"/>
      <c r="AB4443" s="385"/>
      <c r="AC4443" s="385"/>
      <c r="AD4443" s="385"/>
      <c r="AE4443" s="385"/>
      <c r="AF4443" s="619" t="s">
        <v>263</v>
      </c>
      <c r="AG4443" s="737">
        <f>PlanterDiscount</f>
        <v>0</v>
      </c>
      <c r="AH4443" s="737"/>
      <c r="AI4443" s="386"/>
      <c r="AK4443" s="139"/>
      <c r="AL4443" s="156"/>
      <c r="AM4443" s="133"/>
      <c r="AN4443" s="134"/>
      <c r="AP4443" s="97"/>
      <c r="AQ4443" s="97"/>
      <c r="AR4443" s="97"/>
      <c r="AS4443" s="97"/>
      <c r="AT4443" s="97"/>
      <c r="AU4443" s="97"/>
    </row>
    <row r="4444" spans="1:47" ht="12.95" customHeight="1" thickTop="1" x14ac:dyDescent="0.25">
      <c r="A4444" s="370"/>
      <c r="B4444" s="387"/>
      <c r="C4444" s="388"/>
      <c r="D4444" s="389"/>
      <c r="E4444" s="390"/>
      <c r="F4444" s="391"/>
      <c r="G4444" s="392"/>
      <c r="H4444" s="373"/>
      <c r="I4444" s="605" t="s">
        <v>1042</v>
      </c>
      <c r="J4444" s="394"/>
      <c r="K4444" s="375"/>
      <c r="L4444" s="555"/>
      <c r="M4444" s="544"/>
      <c r="N4444" s="366"/>
      <c r="O4444" s="367"/>
      <c r="P4444" s="368"/>
      <c r="Q4444" s="369"/>
      <c r="R4444" s="383"/>
      <c r="S4444" s="382"/>
      <c r="T4444" s="384"/>
      <c r="U4444" s="244"/>
      <c r="V4444" s="244"/>
      <c r="W4444" s="162"/>
      <c r="X4444" s="162"/>
      <c r="Y4444" s="164"/>
      <c r="Z4444" s="395"/>
      <c r="AA4444" s="396"/>
      <c r="AB4444" s="396"/>
      <c r="AC4444" s="396"/>
      <c r="AD4444" s="396"/>
      <c r="AE4444" s="396"/>
      <c r="AF4444" s="396"/>
      <c r="AG4444" s="396"/>
      <c r="AH4444" s="396"/>
      <c r="AI4444" s="396"/>
      <c r="AK4444" s="139"/>
      <c r="AL4444" s="156"/>
      <c r="AM4444" s="133"/>
      <c r="AN4444" s="134"/>
      <c r="AP4444" s="97"/>
      <c r="AQ4444" s="97"/>
      <c r="AR4444" s="97"/>
      <c r="AS4444" s="97"/>
      <c r="AT4444" s="97"/>
      <c r="AU4444" s="97"/>
    </row>
    <row r="4445" spans="1:47" ht="12.95" customHeight="1" x14ac:dyDescent="0.25">
      <c r="A4445" s="370"/>
      <c r="B4445" s="387"/>
      <c r="C4445" s="397" t="s">
        <v>1043</v>
      </c>
      <c r="D4445" s="398"/>
      <c r="E4445" s="398"/>
      <c r="F4445" s="399"/>
      <c r="G4445" s="400"/>
      <c r="H4445" s="401"/>
      <c r="I4445" s="606" t="s">
        <v>1044</v>
      </c>
      <c r="J4445" s="394"/>
      <c r="K4445" s="375"/>
      <c r="L4445" s="555"/>
      <c r="M4445" s="544"/>
      <c r="N4445" s="366"/>
      <c r="O4445" s="367"/>
      <c r="P4445" s="368"/>
      <c r="Q4445" s="369"/>
      <c r="R4445" s="369"/>
      <c r="S4445" s="368"/>
      <c r="T4445" s="166"/>
      <c r="U4445" s="362"/>
      <c r="V4445" s="362"/>
      <c r="W4445" s="162"/>
      <c r="X4445" s="162"/>
      <c r="Y4445" s="164"/>
      <c r="Z4445" s="620" t="s">
        <v>265</v>
      </c>
      <c r="AA4445" s="402"/>
      <c r="AB4445" s="402"/>
      <c r="AC4445" s="402"/>
      <c r="AD4445" s="402"/>
      <c r="AE4445" s="402"/>
      <c r="AF4445" s="402"/>
      <c r="AG4445" s="402"/>
      <c r="AH4445" s="402"/>
      <c r="AI4445" s="402"/>
      <c r="AK4445" s="139"/>
      <c r="AL4445" s="156"/>
      <c r="AM4445" s="133"/>
      <c r="AN4445" s="134"/>
      <c r="AP4445" s="97"/>
      <c r="AQ4445" s="97"/>
      <c r="AR4445" s="97"/>
      <c r="AS4445" s="97"/>
      <c r="AT4445" s="97"/>
      <c r="AU4445" s="97"/>
    </row>
    <row r="4446" spans="1:47" ht="12.95" customHeight="1" x14ac:dyDescent="0.25">
      <c r="A4446" s="370"/>
      <c r="B4446" s="387"/>
      <c r="C4446" s="607" t="s">
        <v>254</v>
      </c>
      <c r="D4446" s="398"/>
      <c r="E4446" s="398"/>
      <c r="F4446" s="399"/>
      <c r="G4446" s="400"/>
      <c r="H4446" s="401"/>
      <c r="I4446" s="608" t="s">
        <v>1045</v>
      </c>
      <c r="J4446" s="394"/>
      <c r="K4446" s="772" t="s">
        <v>266</v>
      </c>
      <c r="L4446" s="772"/>
      <c r="M4446" s="772"/>
      <c r="N4446" s="772"/>
      <c r="O4446" s="367"/>
      <c r="P4446" s="368"/>
      <c r="Q4446" s="369"/>
      <c r="R4446" s="369"/>
      <c r="S4446" s="368"/>
      <c r="T4446" s="166"/>
      <c r="U4446" s="362"/>
      <c r="V4446" s="362"/>
      <c r="W4446" s="162"/>
      <c r="X4446" s="162"/>
      <c r="Y4446" s="164"/>
      <c r="Z4446" s="729" t="s">
        <v>139</v>
      </c>
      <c r="AA4446" s="729"/>
      <c r="AB4446" s="729"/>
      <c r="AC4446" s="729"/>
      <c r="AD4446" s="729"/>
      <c r="AE4446" s="729"/>
      <c r="AF4446" s="729"/>
      <c r="AG4446" s="729"/>
      <c r="AH4446" s="729"/>
      <c r="AI4446" s="729"/>
      <c r="AK4446" s="139"/>
      <c r="AL4446" s="156"/>
      <c r="AM4446" s="133"/>
      <c r="AN4446" s="134"/>
      <c r="AP4446" s="97"/>
      <c r="AQ4446" s="97"/>
      <c r="AR4446" s="97"/>
      <c r="AS4446" s="97"/>
      <c r="AT4446" s="97"/>
      <c r="AU4446" s="97"/>
    </row>
    <row r="4447" spans="1:47" ht="12.95" customHeight="1" x14ac:dyDescent="0.25">
      <c r="A4447" s="370"/>
      <c r="B4447" s="387"/>
      <c r="C4447" s="397" t="s">
        <v>1046</v>
      </c>
      <c r="D4447" s="398"/>
      <c r="E4447" s="398"/>
      <c r="F4447" s="850"/>
      <c r="G4447" s="850"/>
      <c r="H4447" s="850"/>
      <c r="I4447" s="608" t="s">
        <v>1047</v>
      </c>
      <c r="J4447" s="394"/>
      <c r="K4447" s="772"/>
      <c r="L4447" s="772"/>
      <c r="M4447" s="772"/>
      <c r="N4447" s="772"/>
      <c r="O4447" s="367"/>
      <c r="P4447" s="368"/>
      <c r="Q4447" s="369"/>
      <c r="R4447" s="369"/>
      <c r="S4447" s="368"/>
      <c r="T4447" s="166"/>
      <c r="U4447" s="362"/>
      <c r="V4447" s="362"/>
      <c r="W4447" s="162"/>
      <c r="X4447" s="162"/>
      <c r="Y4447" s="164"/>
      <c r="Z4447" s="728" t="s">
        <v>180</v>
      </c>
      <c r="AA4447" s="728"/>
      <c r="AB4447" s="728"/>
      <c r="AC4447" s="728"/>
      <c r="AD4447" s="728"/>
      <c r="AE4447" s="728"/>
      <c r="AF4447" s="728"/>
      <c r="AG4447" s="728"/>
      <c r="AH4447" s="728"/>
      <c r="AI4447" s="728"/>
      <c r="AK4447" s="139"/>
      <c r="AL4447" s="156"/>
      <c r="AM4447" s="133"/>
      <c r="AN4447" s="134"/>
      <c r="AP4447" s="97"/>
      <c r="AQ4447" s="97"/>
      <c r="AR4447" s="97"/>
      <c r="AS4447" s="97"/>
      <c r="AT4447" s="97"/>
      <c r="AU4447" s="97"/>
    </row>
    <row r="4448" spans="1:47" ht="12.95" customHeight="1" x14ac:dyDescent="0.25">
      <c r="A4448" s="370"/>
      <c r="B4448" s="387"/>
      <c r="C4448" s="397" t="s">
        <v>1048</v>
      </c>
      <c r="D4448" s="403"/>
      <c r="E4448" s="404"/>
      <c r="F4448" s="759"/>
      <c r="G4448" s="759"/>
      <c r="H4448" s="759"/>
      <c r="I4448" s="608" t="s">
        <v>1049</v>
      </c>
      <c r="J4448" s="394"/>
      <c r="K4448" s="772"/>
      <c r="L4448" s="772"/>
      <c r="M4448" s="772"/>
      <c r="N4448" s="772"/>
      <c r="O4448" s="367"/>
      <c r="P4448" s="368"/>
      <c r="Q4448" s="369"/>
      <c r="R4448" s="369"/>
      <c r="S4448" s="368"/>
      <c r="T4448" s="166"/>
      <c r="U4448" s="362"/>
      <c r="V4448" s="362"/>
      <c r="W4448" s="162"/>
      <c r="X4448" s="162"/>
      <c r="Y4448" s="164"/>
      <c r="Z4448" s="728" t="s">
        <v>179</v>
      </c>
      <c r="AA4448" s="728"/>
      <c r="AB4448" s="728"/>
      <c r="AC4448" s="728"/>
      <c r="AD4448" s="728"/>
      <c r="AE4448" s="728"/>
      <c r="AF4448" s="728"/>
      <c r="AG4448" s="728"/>
      <c r="AH4448" s="728"/>
      <c r="AI4448" s="728"/>
      <c r="AK4448" s="139"/>
      <c r="AL4448" s="156"/>
      <c r="AM4448" s="133"/>
      <c r="AN4448" s="134"/>
      <c r="AP4448" s="97"/>
      <c r="AQ4448" s="97"/>
      <c r="AR4448" s="97"/>
      <c r="AS4448" s="97"/>
      <c r="AT4448" s="97"/>
      <c r="AU4448" s="97"/>
    </row>
    <row r="4449" spans="1:47" ht="12.95" customHeight="1" x14ac:dyDescent="0.25">
      <c r="A4449" s="370"/>
      <c r="B4449" s="387"/>
      <c r="C4449" s="397" t="s">
        <v>255</v>
      </c>
      <c r="D4449" s="403"/>
      <c r="E4449" s="404"/>
      <c r="F4449" s="405"/>
      <c r="G4449" s="406"/>
      <c r="H4449" s="401"/>
      <c r="I4449" s="608" t="s">
        <v>1050</v>
      </c>
      <c r="J4449" s="394"/>
      <c r="K4449" s="772"/>
      <c r="L4449" s="772"/>
      <c r="M4449" s="772"/>
      <c r="N4449" s="772"/>
      <c r="O4449" s="367"/>
      <c r="P4449" s="368"/>
      <c r="Q4449" s="369"/>
      <c r="R4449" s="369"/>
      <c r="S4449" s="368"/>
      <c r="T4449" s="166"/>
      <c r="U4449" s="362"/>
      <c r="V4449" s="362"/>
      <c r="W4449" s="162"/>
      <c r="X4449" s="162"/>
      <c r="Y4449" s="407"/>
      <c r="Z4449" s="728" t="s">
        <v>181</v>
      </c>
      <c r="AA4449" s="728"/>
      <c r="AB4449" s="728"/>
      <c r="AC4449" s="728"/>
      <c r="AD4449" s="728"/>
      <c r="AE4449" s="728"/>
      <c r="AF4449" s="728"/>
      <c r="AG4449" s="728"/>
      <c r="AH4449" s="728"/>
      <c r="AI4449" s="728"/>
      <c r="AK4449" s="139"/>
      <c r="AL4449" s="156"/>
      <c r="AM4449" s="133"/>
      <c r="AN4449" s="134"/>
      <c r="AP4449" s="97"/>
      <c r="AQ4449" s="97"/>
      <c r="AR4449" s="97"/>
      <c r="AS4449" s="97"/>
      <c r="AT4449" s="97"/>
      <c r="AU4449" s="97"/>
    </row>
    <row r="4450" spans="1:47" ht="12.95" customHeight="1" x14ac:dyDescent="0.25">
      <c r="A4450" s="370"/>
      <c r="B4450" s="387"/>
      <c r="C4450" s="397" t="s">
        <v>1051</v>
      </c>
      <c r="D4450" s="408"/>
      <c r="E4450" s="409"/>
      <c r="F4450" s="405"/>
      <c r="G4450" s="406"/>
      <c r="H4450" s="401"/>
      <c r="I4450" s="608" t="s">
        <v>1052</v>
      </c>
      <c r="J4450" s="394"/>
      <c r="K4450" s="375"/>
      <c r="L4450" s="555"/>
      <c r="M4450" s="544"/>
      <c r="N4450" s="366"/>
      <c r="O4450" s="161"/>
      <c r="P4450" s="221"/>
      <c r="Q4450" s="162"/>
      <c r="R4450" s="162"/>
      <c r="S4450" s="162"/>
      <c r="T4450" s="162"/>
      <c r="U4450" s="243"/>
      <c r="V4450" s="244"/>
      <c r="W4450" s="162"/>
      <c r="X4450" s="162"/>
      <c r="Y4450" s="410"/>
      <c r="Z4450" s="728" t="s">
        <v>182</v>
      </c>
      <c r="AA4450" s="728"/>
      <c r="AB4450" s="728"/>
      <c r="AC4450" s="728"/>
      <c r="AD4450" s="728"/>
      <c r="AE4450" s="728"/>
      <c r="AF4450" s="728"/>
      <c r="AG4450" s="728"/>
      <c r="AH4450" s="728"/>
      <c r="AI4450" s="728"/>
      <c r="AK4450" s="139"/>
      <c r="AL4450" s="156"/>
      <c r="AM4450" s="133"/>
      <c r="AN4450" s="134"/>
      <c r="AP4450" s="97"/>
      <c r="AQ4450" s="97"/>
      <c r="AR4450" s="97"/>
      <c r="AS4450" s="97"/>
      <c r="AT4450" s="97"/>
      <c r="AU4450" s="97"/>
    </row>
    <row r="4451" spans="1:47" ht="12.95" customHeight="1" x14ac:dyDescent="0.25">
      <c r="A4451" s="370"/>
      <c r="B4451" s="387"/>
      <c r="C4451" s="397" t="s">
        <v>256</v>
      </c>
      <c r="D4451" s="411"/>
      <c r="E4451" s="404"/>
      <c r="F4451" s="412"/>
      <c r="G4451" s="406"/>
      <c r="H4451" s="401"/>
      <c r="I4451" s="608" t="s">
        <v>1053</v>
      </c>
      <c r="J4451" s="394"/>
      <c r="K4451" s="375"/>
      <c r="L4451" s="555"/>
      <c r="M4451" s="544"/>
      <c r="N4451" s="366"/>
      <c r="O4451" s="161"/>
      <c r="P4451" s="221"/>
      <c r="Q4451" s="162"/>
      <c r="R4451" s="162"/>
      <c r="S4451" s="162"/>
      <c r="T4451" s="162"/>
      <c r="U4451" s="243"/>
      <c r="V4451" s="244"/>
      <c r="W4451" s="162"/>
      <c r="X4451" s="162"/>
      <c r="Y4451" s="410"/>
      <c r="Z4451" s="728"/>
      <c r="AA4451" s="728"/>
      <c r="AB4451" s="728"/>
      <c r="AC4451" s="728"/>
      <c r="AD4451" s="728"/>
      <c r="AE4451" s="728"/>
      <c r="AF4451" s="728"/>
      <c r="AG4451" s="728"/>
      <c r="AH4451" s="728"/>
      <c r="AI4451" s="728"/>
      <c r="AK4451" s="139"/>
      <c r="AL4451" s="156"/>
      <c r="AM4451" s="133"/>
      <c r="AN4451" s="134"/>
      <c r="AP4451" s="97"/>
      <c r="AQ4451" s="97"/>
      <c r="AR4451" s="97"/>
      <c r="AS4451" s="97"/>
      <c r="AT4451" s="97"/>
      <c r="AU4451" s="97"/>
    </row>
    <row r="4452" spans="1:47" ht="12.95" customHeight="1" x14ac:dyDescent="0.25">
      <c r="A4452" s="370"/>
      <c r="B4452" s="387"/>
      <c r="C4452" s="397" t="s">
        <v>257</v>
      </c>
      <c r="D4452" s="398"/>
      <c r="E4452" s="398"/>
      <c r="F4452" s="399"/>
      <c r="G4452" s="400"/>
      <c r="H4452" s="401"/>
      <c r="I4452" s="608" t="s">
        <v>1054</v>
      </c>
      <c r="J4452" s="394"/>
      <c r="K4452" s="375"/>
      <c r="L4452" s="555"/>
      <c r="M4452" s="544"/>
      <c r="N4452" s="366"/>
      <c r="O4452" s="161"/>
      <c r="P4452" s="221"/>
      <c r="Q4452" s="162"/>
      <c r="R4452" s="162"/>
      <c r="S4452" s="162"/>
      <c r="T4452" s="162"/>
      <c r="U4452" s="243"/>
      <c r="V4452" s="244"/>
      <c r="W4452" s="162"/>
      <c r="X4452" s="162"/>
      <c r="Y4452" s="164"/>
      <c r="Z4452" s="729" t="s">
        <v>138</v>
      </c>
      <c r="AA4452" s="729"/>
      <c r="AB4452" s="729"/>
      <c r="AC4452" s="729"/>
      <c r="AD4452" s="729"/>
      <c r="AE4452" s="729"/>
      <c r="AF4452" s="729"/>
      <c r="AG4452" s="729"/>
      <c r="AH4452" s="729"/>
      <c r="AI4452" s="729"/>
      <c r="AK4452" s="139"/>
      <c r="AL4452" s="156"/>
      <c r="AM4452" s="133"/>
      <c r="AN4452" s="134"/>
      <c r="AP4452" s="97"/>
      <c r="AQ4452" s="97"/>
      <c r="AR4452" s="97"/>
      <c r="AS4452" s="97"/>
      <c r="AT4452" s="97"/>
      <c r="AU4452" s="97"/>
    </row>
    <row r="4453" spans="1:47" ht="12.95" customHeight="1" x14ac:dyDescent="0.25">
      <c r="A4453" s="370"/>
      <c r="B4453" s="387"/>
      <c r="C4453" s="388"/>
      <c r="D4453" s="389"/>
      <c r="E4453" s="390"/>
      <c r="F4453" s="391"/>
      <c r="G4453" s="392"/>
      <c r="H4453" s="373"/>
      <c r="I4453" s="608" t="s">
        <v>1055</v>
      </c>
      <c r="J4453" s="394"/>
      <c r="K4453" s="413"/>
      <c r="L4453" s="555"/>
      <c r="M4453" s="544"/>
      <c r="N4453" s="366"/>
      <c r="O4453" s="161"/>
      <c r="P4453" s="221"/>
      <c r="Q4453" s="162"/>
      <c r="R4453" s="162"/>
      <c r="S4453" s="162"/>
      <c r="T4453" s="162"/>
      <c r="U4453" s="243"/>
      <c r="V4453" s="244"/>
      <c r="W4453" s="162"/>
      <c r="X4453" s="162"/>
      <c r="Y4453" s="164"/>
      <c r="Z4453" s="728" t="s">
        <v>142</v>
      </c>
      <c r="AA4453" s="728"/>
      <c r="AB4453" s="728"/>
      <c r="AC4453" s="728"/>
      <c r="AD4453" s="728"/>
      <c r="AE4453" s="728"/>
      <c r="AF4453" s="728"/>
      <c r="AG4453" s="728"/>
      <c r="AH4453" s="728"/>
      <c r="AI4453" s="728"/>
      <c r="AK4453" s="139"/>
      <c r="AL4453" s="156"/>
      <c r="AM4453" s="133"/>
      <c r="AN4453" s="134"/>
      <c r="AP4453" s="97"/>
      <c r="AQ4453" s="97"/>
      <c r="AR4453" s="97"/>
      <c r="AS4453" s="97"/>
      <c r="AT4453" s="97"/>
      <c r="AU4453" s="97"/>
    </row>
    <row r="4454" spans="1:47" ht="12.95" customHeight="1" x14ac:dyDescent="0.2">
      <c r="A4454" s="370"/>
      <c r="B4454" s="414"/>
      <c r="C4454" s="415"/>
      <c r="D4454" s="416"/>
      <c r="E4454" s="417"/>
      <c r="F4454" s="418"/>
      <c r="G4454" s="419"/>
      <c r="H4454" s="420"/>
      <c r="I4454" s="421"/>
      <c r="J4454" s="421"/>
      <c r="K4454" s="422"/>
      <c r="L4454" s="356"/>
      <c r="M4454" s="545"/>
      <c r="N4454" s="423"/>
      <c r="O4454" s="161"/>
      <c r="P4454" s="161"/>
      <c r="Q4454" s="161"/>
      <c r="R4454" s="161"/>
      <c r="S4454" s="161"/>
      <c r="T4454" s="161"/>
      <c r="U4454" s="362"/>
      <c r="V4454" s="362"/>
      <c r="W4454" s="161"/>
      <c r="X4454" s="162"/>
      <c r="Y4454" s="164"/>
      <c r="Z4454" s="728"/>
      <c r="AA4454" s="728"/>
      <c r="AB4454" s="728"/>
      <c r="AC4454" s="728"/>
      <c r="AD4454" s="728"/>
      <c r="AE4454" s="728"/>
      <c r="AF4454" s="728"/>
      <c r="AG4454" s="728"/>
      <c r="AH4454" s="728"/>
      <c r="AI4454" s="728"/>
      <c r="AK4454" s="139"/>
      <c r="AL4454" s="139"/>
      <c r="AM4454" s="133"/>
      <c r="AN4454" s="134"/>
      <c r="AP4454" s="97"/>
      <c r="AQ4454" s="97"/>
      <c r="AR4454" s="97"/>
      <c r="AS4454" s="97"/>
      <c r="AT4454" s="97"/>
      <c r="AU4454" s="97"/>
    </row>
    <row r="4455" spans="1:47" ht="12.95" customHeight="1" x14ac:dyDescent="0.25">
      <c r="A4455" s="370"/>
      <c r="B4455" s="609" t="s">
        <v>281</v>
      </c>
      <c r="C4455" s="425"/>
      <c r="D4455" s="424"/>
      <c r="E4455" s="424"/>
      <c r="F4455" s="424"/>
      <c r="G4455" s="424"/>
      <c r="H4455" s="424"/>
      <c r="I4455" s="426"/>
      <c r="J4455" s="364"/>
      <c r="K4455" s="365"/>
      <c r="L4455" s="555"/>
      <c r="M4455" s="544"/>
      <c r="N4455" s="366"/>
      <c r="O4455" s="221"/>
      <c r="P4455" s="161"/>
      <c r="Q4455" s="161"/>
      <c r="R4455" s="161"/>
      <c r="S4455" s="161"/>
      <c r="T4455" s="161"/>
      <c r="U4455" s="362"/>
      <c r="V4455" s="362"/>
      <c r="W4455" s="161"/>
      <c r="X4455" s="162"/>
      <c r="Y4455" s="164"/>
      <c r="Z4455" s="729" t="s">
        <v>193</v>
      </c>
      <c r="AA4455" s="729"/>
      <c r="AB4455" s="729"/>
      <c r="AC4455" s="729"/>
      <c r="AD4455" s="729"/>
      <c r="AE4455" s="729"/>
      <c r="AF4455" s="729"/>
      <c r="AG4455" s="729"/>
      <c r="AH4455" s="729"/>
      <c r="AI4455" s="729"/>
      <c r="AJ4455" s="157"/>
      <c r="AK4455" s="139"/>
      <c r="AL4455" s="156"/>
      <c r="AM4455" s="133"/>
      <c r="AN4455" s="134"/>
      <c r="AP4455" s="97"/>
      <c r="AQ4455" s="97"/>
      <c r="AR4455" s="97"/>
      <c r="AS4455" s="97"/>
      <c r="AT4455" s="97"/>
      <c r="AU4455" s="97"/>
    </row>
    <row r="4456" spans="1:47" ht="12.95" customHeight="1" x14ac:dyDescent="0.25">
      <c r="A4456" s="370"/>
      <c r="B4456" s="610" t="s">
        <v>151</v>
      </c>
      <c r="C4456" s="428"/>
      <c r="D4456" s="238"/>
      <c r="E4456" s="429"/>
      <c r="F4456" s="240"/>
      <c r="G4456" s="240"/>
      <c r="H4456" s="373"/>
      <c r="I4456" s="430"/>
      <c r="J4456" s="430"/>
      <c r="K4456" s="430"/>
      <c r="L4456" s="430"/>
      <c r="M4456" s="430"/>
      <c r="O4456" s="221"/>
      <c r="P4456" s="161"/>
      <c r="Q4456" s="161"/>
      <c r="R4456" s="162"/>
      <c r="S4456" s="161"/>
      <c r="T4456" s="161"/>
      <c r="U4456" s="362"/>
      <c r="V4456" s="244"/>
      <c r="W4456" s="162"/>
      <c r="X4456" s="162"/>
      <c r="Y4456" s="410"/>
      <c r="Z4456" s="728" t="s">
        <v>276</v>
      </c>
      <c r="AA4456" s="728"/>
      <c r="AB4456" s="728"/>
      <c r="AC4456" s="728"/>
      <c r="AD4456" s="728"/>
      <c r="AE4456" s="728"/>
      <c r="AF4456" s="728"/>
      <c r="AG4456" s="728"/>
      <c r="AH4456" s="728"/>
      <c r="AI4456" s="728"/>
      <c r="AK4456" s="139"/>
      <c r="AL4456" s="156"/>
      <c r="AM4456" s="133"/>
      <c r="AN4456" s="134"/>
      <c r="AP4456" s="97"/>
      <c r="AQ4456" s="97"/>
      <c r="AR4456" s="97"/>
      <c r="AS4456" s="97"/>
      <c r="AT4456" s="97"/>
      <c r="AU4456" s="97"/>
    </row>
    <row r="4457" spans="1:47" ht="12.95" customHeight="1" x14ac:dyDescent="0.25">
      <c r="A4457" s="370"/>
      <c r="B4457" s="431" t="s">
        <v>129</v>
      </c>
      <c r="C4457" s="428"/>
      <c r="D4457" s="238"/>
      <c r="E4457" s="429"/>
      <c r="F4457" s="240"/>
      <c r="G4457" s="240"/>
      <c r="H4457" s="373"/>
      <c r="I4457" s="430"/>
      <c r="J4457" s="430"/>
      <c r="K4457" s="773" t="s">
        <v>244</v>
      </c>
      <c r="L4457" s="773"/>
      <c r="M4457" s="773"/>
      <c r="N4457" s="773"/>
      <c r="O4457" s="221"/>
      <c r="P4457" s="161"/>
      <c r="Q4457" s="161"/>
      <c r="R4457" s="161"/>
      <c r="S4457" s="161"/>
      <c r="T4457" s="161"/>
      <c r="U4457" s="362"/>
      <c r="V4457" s="244"/>
      <c r="W4457" s="162"/>
      <c r="X4457" s="162"/>
      <c r="Y4457" s="410"/>
      <c r="Z4457" s="728" t="s">
        <v>277</v>
      </c>
      <c r="AA4457" s="728"/>
      <c r="AB4457" s="728"/>
      <c r="AC4457" s="728"/>
      <c r="AD4457" s="728"/>
      <c r="AE4457" s="728"/>
      <c r="AF4457" s="728"/>
      <c r="AG4457" s="728"/>
      <c r="AH4457" s="728"/>
      <c r="AI4457" s="728"/>
      <c r="AK4457" s="139"/>
      <c r="AL4457" s="156"/>
      <c r="AM4457" s="133"/>
      <c r="AN4457" s="134"/>
      <c r="AP4457" s="97"/>
      <c r="AQ4457" s="97"/>
      <c r="AR4457" s="97"/>
      <c r="AS4457" s="97"/>
      <c r="AT4457" s="97"/>
      <c r="AU4457" s="97"/>
    </row>
    <row r="4458" spans="1:47" ht="12.95" customHeight="1" x14ac:dyDescent="0.25">
      <c r="A4458" s="370"/>
      <c r="B4458" s="239" t="s">
        <v>130</v>
      </c>
      <c r="C4458" s="428"/>
      <c r="D4458" s="238"/>
      <c r="E4458" s="429"/>
      <c r="F4458" s="240"/>
      <c r="G4458" s="240"/>
      <c r="H4458" s="373"/>
      <c r="I4458" s="430"/>
      <c r="J4458" s="430"/>
      <c r="K4458" s="773"/>
      <c r="L4458" s="773"/>
      <c r="M4458" s="773"/>
      <c r="N4458" s="773"/>
      <c r="O4458" s="221"/>
      <c r="P4458" s="161"/>
      <c r="Q4458" s="161"/>
      <c r="R4458" s="161"/>
      <c r="S4458" s="161"/>
      <c r="T4458" s="161"/>
      <c r="U4458" s="362"/>
      <c r="V4458" s="244"/>
      <c r="W4458" s="162"/>
      <c r="X4458" s="432"/>
      <c r="Y4458" s="433"/>
      <c r="Z4458" s="845" t="s">
        <v>210</v>
      </c>
      <c r="AA4458" s="845"/>
      <c r="AB4458" s="845"/>
      <c r="AC4458" s="845"/>
      <c r="AD4458" s="845"/>
      <c r="AE4458" s="845"/>
      <c r="AF4458" s="845"/>
      <c r="AG4458" s="845"/>
      <c r="AH4458" s="845"/>
      <c r="AI4458" s="845"/>
      <c r="AK4458" s="139"/>
      <c r="AL4458" s="156"/>
      <c r="AM4458" s="133"/>
      <c r="AN4458" s="134"/>
      <c r="AP4458" s="97"/>
      <c r="AQ4458" s="97"/>
      <c r="AR4458" s="97"/>
      <c r="AS4458" s="97"/>
      <c r="AT4458" s="97"/>
      <c r="AU4458" s="97"/>
    </row>
    <row r="4459" spans="1:47" ht="12.95" customHeight="1" x14ac:dyDescent="0.25">
      <c r="A4459" s="370"/>
      <c r="B4459" s="610" t="s">
        <v>1062</v>
      </c>
      <c r="C4459" s="428"/>
      <c r="D4459" s="238"/>
      <c r="E4459" s="429"/>
      <c r="F4459" s="240"/>
      <c r="G4459" s="240"/>
      <c r="H4459" s="373"/>
      <c r="I4459" s="430"/>
      <c r="J4459" s="430"/>
      <c r="K4459" s="773"/>
      <c r="L4459" s="773"/>
      <c r="M4459" s="773"/>
      <c r="N4459" s="773"/>
      <c r="O4459" s="221"/>
      <c r="P4459" s="161"/>
      <c r="Q4459" s="161"/>
      <c r="R4459" s="161"/>
      <c r="S4459" s="161"/>
      <c r="T4459" s="161"/>
      <c r="U4459" s="362"/>
      <c r="V4459" s="244"/>
      <c r="W4459" s="162"/>
      <c r="X4459" s="162"/>
      <c r="Y4459" s="164"/>
      <c r="Z4459" s="717"/>
      <c r="AA4459" s="717"/>
      <c r="AB4459" s="717"/>
      <c r="AC4459" s="717"/>
      <c r="AD4459" s="717"/>
      <c r="AE4459" s="717"/>
      <c r="AF4459" s="717"/>
      <c r="AG4459" s="717"/>
      <c r="AH4459" s="717"/>
      <c r="AI4459" s="717"/>
      <c r="AK4459" s="139"/>
      <c r="AL4459" s="156"/>
      <c r="AM4459" s="133"/>
      <c r="AN4459" s="134"/>
      <c r="AP4459" s="97"/>
      <c r="AQ4459" s="97"/>
      <c r="AR4459" s="97"/>
      <c r="AS4459" s="97"/>
      <c r="AT4459" s="97"/>
      <c r="AU4459" s="97"/>
    </row>
    <row r="4460" spans="1:47" ht="12.95" customHeight="1" x14ac:dyDescent="0.25">
      <c r="A4460" s="370"/>
      <c r="B4460" s="435" t="s">
        <v>128</v>
      </c>
      <c r="C4460" s="428"/>
      <c r="D4460" s="238"/>
      <c r="E4460" s="372"/>
      <c r="F4460" s="183"/>
      <c r="G4460" s="183"/>
      <c r="H4460" s="373"/>
      <c r="I4460" s="374"/>
      <c r="J4460" s="374"/>
      <c r="K4460" s="375"/>
      <c r="L4460" s="555"/>
      <c r="M4460" s="544"/>
      <c r="N4460" s="366"/>
      <c r="O4460" s="221"/>
      <c r="P4460" s="161"/>
      <c r="Q4460" s="161"/>
      <c r="R4460" s="161"/>
      <c r="S4460" s="161"/>
      <c r="T4460" s="161"/>
      <c r="U4460" s="362"/>
      <c r="V4460" s="244"/>
      <c r="W4460" s="162"/>
      <c r="X4460" s="162"/>
      <c r="Y4460" s="407"/>
      <c r="Z4460" s="729" t="s">
        <v>140</v>
      </c>
      <c r="AA4460" s="729"/>
      <c r="AB4460" s="729"/>
      <c r="AC4460" s="729"/>
      <c r="AD4460" s="729"/>
      <c r="AE4460" s="729"/>
      <c r="AF4460" s="729"/>
      <c r="AG4460" s="729"/>
      <c r="AH4460" s="729"/>
      <c r="AI4460" s="729"/>
      <c r="AK4460" s="139"/>
      <c r="AL4460" s="156"/>
      <c r="AM4460" s="133"/>
      <c r="AN4460" s="134"/>
      <c r="AP4460" s="97"/>
      <c r="AQ4460" s="97"/>
      <c r="AR4460" s="97"/>
      <c r="AS4460" s="97"/>
      <c r="AT4460" s="97"/>
      <c r="AU4460" s="97"/>
    </row>
    <row r="4461" spans="1:47" ht="12.95" customHeight="1" x14ac:dyDescent="0.25">
      <c r="A4461" s="370"/>
      <c r="B4461" s="621" t="s">
        <v>1063</v>
      </c>
      <c r="C4461" s="428"/>
      <c r="D4461" s="436"/>
      <c r="E4461" s="437"/>
      <c r="F4461" s="438"/>
      <c r="G4461" s="183"/>
      <c r="H4461" s="373"/>
      <c r="I4461" s="374"/>
      <c r="J4461" s="439"/>
      <c r="K4461" s="375"/>
      <c r="L4461" s="555"/>
      <c r="M4461" s="544"/>
      <c r="N4461" s="366"/>
      <c r="O4461" s="221"/>
      <c r="P4461" s="161"/>
      <c r="Q4461" s="161"/>
      <c r="R4461" s="161"/>
      <c r="S4461" s="161"/>
      <c r="T4461" s="161"/>
      <c r="U4461" s="362"/>
      <c r="V4461" s="244"/>
      <c r="W4461" s="162"/>
      <c r="X4461" s="162"/>
      <c r="Y4461" s="410"/>
      <c r="Z4461" s="728" t="s">
        <v>270</v>
      </c>
      <c r="AA4461" s="728"/>
      <c r="AB4461" s="728"/>
      <c r="AC4461" s="728"/>
      <c r="AD4461" s="728"/>
      <c r="AE4461" s="728"/>
      <c r="AF4461" s="728"/>
      <c r="AG4461" s="728"/>
      <c r="AH4461" s="728"/>
      <c r="AI4461" s="728"/>
      <c r="AK4461" s="139"/>
      <c r="AL4461" s="156"/>
    </row>
    <row r="4462" spans="1:47" ht="12.95" customHeight="1" x14ac:dyDescent="0.25">
      <c r="A4462" s="370"/>
      <c r="B4462" s="440" t="s">
        <v>200</v>
      </c>
      <c r="C4462" s="428"/>
      <c r="D4462" s="238"/>
      <c r="E4462" s="372"/>
      <c r="F4462" s="183"/>
      <c r="G4462" s="183"/>
      <c r="H4462" s="373"/>
      <c r="I4462" s="374"/>
      <c r="J4462" s="374"/>
      <c r="K4462" s="375"/>
      <c r="L4462" s="555"/>
      <c r="M4462" s="544"/>
      <c r="N4462" s="366"/>
      <c r="O4462" s="221"/>
      <c r="P4462" s="161"/>
      <c r="Q4462" s="161"/>
      <c r="R4462" s="161"/>
      <c r="S4462" s="161"/>
      <c r="T4462" s="161"/>
      <c r="U4462" s="362"/>
      <c r="V4462" s="244"/>
      <c r="W4462" s="162"/>
      <c r="X4462" s="162"/>
      <c r="Y4462" s="410"/>
      <c r="Z4462" s="728" t="s">
        <v>211</v>
      </c>
      <c r="AA4462" s="728"/>
      <c r="AB4462" s="728"/>
      <c r="AC4462" s="728"/>
      <c r="AD4462" s="728"/>
      <c r="AE4462" s="728"/>
      <c r="AF4462" s="728"/>
      <c r="AG4462" s="728"/>
      <c r="AH4462" s="728"/>
      <c r="AI4462" s="728"/>
      <c r="AK4462" s="139"/>
      <c r="AL4462" s="156"/>
      <c r="AM4462" s="133"/>
      <c r="AN4462" s="134"/>
      <c r="AP4462" s="97"/>
      <c r="AQ4462" s="97"/>
      <c r="AR4462" s="97"/>
      <c r="AS4462" s="97"/>
      <c r="AT4462" s="97"/>
      <c r="AU4462" s="97"/>
    </row>
    <row r="4463" spans="1:47" ht="12.95" customHeight="1" x14ac:dyDescent="0.25">
      <c r="A4463" s="370"/>
      <c r="B4463" s="441" t="s">
        <v>201</v>
      </c>
      <c r="C4463" s="428"/>
      <c r="D4463" s="436"/>
      <c r="E4463" s="437"/>
      <c r="F4463" s="438"/>
      <c r="G4463" s="183"/>
      <c r="H4463" s="373"/>
      <c r="I4463" s="374"/>
      <c r="J4463" s="439"/>
      <c r="K4463" s="375"/>
      <c r="L4463" s="555"/>
      <c r="M4463" s="544"/>
      <c r="N4463" s="366"/>
      <c r="O4463" s="367"/>
      <c r="P4463" s="368"/>
      <c r="Q4463" s="369"/>
      <c r="R4463" s="369"/>
      <c r="S4463" s="368"/>
      <c r="T4463" s="166"/>
      <c r="U4463" s="362"/>
      <c r="V4463" s="244"/>
      <c r="W4463" s="162"/>
      <c r="X4463" s="162"/>
      <c r="Y4463" s="164"/>
      <c r="Z4463" s="717"/>
      <c r="AA4463" s="717"/>
      <c r="AB4463" s="717"/>
      <c r="AC4463" s="717"/>
      <c r="AD4463" s="717"/>
      <c r="AE4463" s="717"/>
      <c r="AF4463" s="717"/>
      <c r="AG4463" s="717"/>
      <c r="AH4463" s="717"/>
      <c r="AI4463" s="717"/>
      <c r="AK4463" s="139"/>
      <c r="AL4463" s="156"/>
    </row>
    <row r="4464" spans="1:47" ht="12.95" customHeight="1" x14ac:dyDescent="0.25">
      <c r="A4464" s="370"/>
      <c r="B4464" s="611" t="s">
        <v>1064</v>
      </c>
      <c r="C4464" s="428"/>
      <c r="D4464" s="436"/>
      <c r="E4464" s="437"/>
      <c r="F4464" s="438"/>
      <c r="G4464" s="183"/>
      <c r="H4464" s="373"/>
      <c r="I4464" s="374"/>
      <c r="J4464" s="439"/>
      <c r="K4464" s="375"/>
      <c r="L4464" s="555"/>
      <c r="M4464" s="544"/>
      <c r="N4464" s="366"/>
      <c r="O4464" s="367"/>
      <c r="P4464" s="368"/>
      <c r="Q4464" s="369"/>
      <c r="R4464" s="369"/>
      <c r="S4464" s="368"/>
      <c r="T4464" s="166"/>
      <c r="U4464" s="362"/>
      <c r="V4464" s="244"/>
      <c r="W4464" s="162"/>
      <c r="X4464" s="162"/>
      <c r="Y4464" s="164"/>
      <c r="Z4464" s="729" t="s">
        <v>192</v>
      </c>
      <c r="AA4464" s="729"/>
      <c r="AB4464" s="729"/>
      <c r="AC4464" s="729"/>
      <c r="AD4464" s="729"/>
      <c r="AE4464" s="729"/>
      <c r="AF4464" s="729"/>
      <c r="AG4464" s="729"/>
      <c r="AH4464" s="729"/>
      <c r="AI4464" s="729"/>
      <c r="AK4464" s="139"/>
      <c r="AL4464" s="156"/>
    </row>
    <row r="4465" spans="1:38" ht="12.95" customHeight="1" x14ac:dyDescent="0.25">
      <c r="A4465" s="370"/>
      <c r="B4465" s="441" t="s">
        <v>131</v>
      </c>
      <c r="C4465" s="428"/>
      <c r="D4465" s="436"/>
      <c r="E4465" s="437"/>
      <c r="F4465" s="438"/>
      <c r="G4465" s="183"/>
      <c r="H4465" s="373"/>
      <c r="I4465" s="374"/>
      <c r="J4465" s="439"/>
      <c r="K4465" s="375"/>
      <c r="L4465" s="555"/>
      <c r="M4465" s="544"/>
      <c r="N4465" s="366"/>
      <c r="O4465" s="367"/>
      <c r="P4465" s="368"/>
      <c r="Q4465" s="369"/>
      <c r="R4465" s="369"/>
      <c r="S4465" s="368"/>
      <c r="T4465" s="166"/>
      <c r="U4465" s="362"/>
      <c r="V4465" s="244"/>
      <c r="W4465" s="162"/>
      <c r="X4465" s="162"/>
      <c r="Y4465" s="164"/>
      <c r="Z4465" s="717" t="s">
        <v>169</v>
      </c>
      <c r="AA4465" s="717"/>
      <c r="AB4465" s="717"/>
      <c r="AC4465" s="717"/>
      <c r="AD4465" s="717"/>
      <c r="AE4465" s="717"/>
      <c r="AF4465" s="717"/>
      <c r="AG4465" s="717"/>
      <c r="AH4465" s="717"/>
      <c r="AI4465" s="717"/>
      <c r="AK4465" s="139"/>
      <c r="AL4465" s="156"/>
    </row>
    <row r="4466" spans="1:38" ht="12.95" customHeight="1" x14ac:dyDescent="0.25">
      <c r="A4466" s="370"/>
      <c r="B4466" s="441" t="s">
        <v>178</v>
      </c>
      <c r="C4466" s="428"/>
      <c r="D4466" s="436"/>
      <c r="E4466" s="437"/>
      <c r="F4466" s="438"/>
      <c r="G4466" s="183"/>
      <c r="H4466" s="373"/>
      <c r="I4466" s="374"/>
      <c r="J4466" s="439"/>
      <c r="K4466" s="375"/>
      <c r="L4466" s="555"/>
      <c r="M4466" s="544"/>
      <c r="N4466" s="366"/>
      <c r="O4466" s="367"/>
      <c r="P4466" s="368"/>
      <c r="Q4466" s="369"/>
      <c r="R4466" s="369"/>
      <c r="S4466" s="368"/>
      <c r="T4466" s="166"/>
      <c r="U4466" s="362"/>
      <c r="V4466" s="244"/>
      <c r="W4466" s="162"/>
      <c r="X4466" s="162"/>
      <c r="Y4466" s="164"/>
      <c r="Z4466" s="717" t="s">
        <v>170</v>
      </c>
      <c r="AA4466" s="717"/>
      <c r="AB4466" s="717"/>
      <c r="AC4466" s="717"/>
      <c r="AD4466" s="717"/>
      <c r="AE4466" s="717"/>
      <c r="AF4466" s="717"/>
      <c r="AG4466" s="717"/>
      <c r="AH4466" s="717"/>
      <c r="AI4466" s="717"/>
      <c r="AK4466" s="139"/>
      <c r="AL4466" s="156"/>
    </row>
    <row r="4467" spans="1:38" ht="12.95" customHeight="1" x14ac:dyDescent="0.25">
      <c r="A4467" s="370"/>
      <c r="B4467" s="224"/>
      <c r="C4467" s="224"/>
      <c r="D4467" s="416"/>
      <c r="E4467" s="417"/>
      <c r="F4467" s="418"/>
      <c r="G4467" s="419"/>
      <c r="H4467" s="420"/>
      <c r="I4467" s="421"/>
      <c r="J4467" s="421"/>
      <c r="K4467" s="422"/>
      <c r="L4467" s="356"/>
      <c r="M4467" s="545"/>
      <c r="N4467" s="423"/>
      <c r="O4467" s="367"/>
      <c r="P4467" s="368"/>
      <c r="Q4467" s="369"/>
      <c r="R4467" s="369"/>
      <c r="S4467" s="368"/>
      <c r="T4467" s="166"/>
      <c r="U4467" s="362"/>
      <c r="V4467" s="244"/>
      <c r="W4467" s="162"/>
      <c r="X4467" s="162"/>
      <c r="Y4467" s="164"/>
      <c r="Z4467" s="717" t="s">
        <v>171</v>
      </c>
      <c r="AA4467" s="717"/>
      <c r="AB4467" s="717"/>
      <c r="AC4467" s="717"/>
      <c r="AD4467" s="717"/>
      <c r="AE4467" s="717"/>
      <c r="AF4467" s="717"/>
      <c r="AG4467" s="717"/>
      <c r="AH4467" s="717"/>
      <c r="AI4467" s="717"/>
      <c r="AK4467" s="139"/>
      <c r="AL4467" s="156"/>
    </row>
    <row r="4468" spans="1:38" ht="12.95" customHeight="1" x14ac:dyDescent="0.25">
      <c r="A4468" s="370"/>
      <c r="B4468" s="758" t="s">
        <v>176</v>
      </c>
      <c r="C4468" s="758"/>
      <c r="D4468" s="758"/>
      <c r="E4468" s="758"/>
      <c r="F4468" s="758"/>
      <c r="G4468" s="758"/>
      <c r="H4468" s="758"/>
      <c r="I4468" s="758"/>
      <c r="J4468" s="364"/>
      <c r="K4468" s="365"/>
      <c r="L4468" s="555"/>
      <c r="M4468" s="544"/>
      <c r="N4468" s="366"/>
      <c r="O4468" s="367"/>
      <c r="P4468" s="368"/>
      <c r="Q4468" s="369"/>
      <c r="R4468" s="369"/>
      <c r="S4468" s="368"/>
      <c r="T4468" s="166"/>
      <c r="U4468" s="362"/>
      <c r="V4468" s="244"/>
      <c r="W4468" s="162"/>
      <c r="X4468" s="162"/>
      <c r="Y4468" s="164"/>
      <c r="Z4468" s="717"/>
      <c r="AA4468" s="717"/>
      <c r="AB4468" s="717"/>
      <c r="AC4468" s="717"/>
      <c r="AD4468" s="717"/>
      <c r="AE4468" s="717"/>
      <c r="AF4468" s="717"/>
      <c r="AG4468" s="717"/>
      <c r="AH4468" s="717"/>
      <c r="AI4468" s="717"/>
      <c r="AK4468" s="139"/>
      <c r="AL4468" s="156"/>
    </row>
    <row r="4469" spans="1:38" ht="12.95" customHeight="1" x14ac:dyDescent="0.25">
      <c r="A4469" s="370"/>
      <c r="B4469" s="611" t="s">
        <v>1056</v>
      </c>
      <c r="C4469" s="375"/>
      <c r="D4469" s="442"/>
      <c r="E4469" s="443"/>
      <c r="F4469" s="444"/>
      <c r="G4469" s="442"/>
      <c r="H4469" s="445"/>
      <c r="I4469" s="446"/>
      <c r="J4469" s="430"/>
      <c r="K4469" s="365"/>
      <c r="L4469" s="555"/>
      <c r="M4469" s="544"/>
      <c r="N4469" s="366"/>
      <c r="O4469" s="367"/>
      <c r="P4469" s="368"/>
      <c r="Q4469" s="369"/>
      <c r="R4469" s="369"/>
      <c r="S4469" s="368"/>
      <c r="T4469" s="166"/>
      <c r="U4469" s="362"/>
      <c r="V4469" s="244"/>
      <c r="W4469" s="162"/>
      <c r="X4469" s="162"/>
      <c r="Y4469" s="164"/>
      <c r="Z4469" s="729" t="s">
        <v>194</v>
      </c>
      <c r="AA4469" s="729"/>
      <c r="AB4469" s="729"/>
      <c r="AC4469" s="729"/>
      <c r="AD4469" s="729"/>
      <c r="AE4469" s="729"/>
      <c r="AF4469" s="729"/>
      <c r="AG4469" s="729"/>
      <c r="AH4469" s="729"/>
      <c r="AI4469" s="729"/>
      <c r="AK4469" s="139"/>
      <c r="AL4469" s="156"/>
    </row>
    <row r="4470" spans="1:38" ht="12.95" customHeight="1" x14ac:dyDescent="0.25">
      <c r="A4470" s="370"/>
      <c r="B4470" s="440" t="s">
        <v>1057</v>
      </c>
      <c r="C4470" s="375"/>
      <c r="D4470" s="442"/>
      <c r="E4470" s="443"/>
      <c r="F4470" s="444"/>
      <c r="G4470" s="442"/>
      <c r="H4470" s="445"/>
      <c r="I4470" s="446"/>
      <c r="J4470" s="430"/>
      <c r="K4470" s="434"/>
      <c r="L4470" s="555"/>
      <c r="M4470" s="544"/>
      <c r="N4470" s="366"/>
      <c r="O4470" s="367"/>
      <c r="P4470" s="368"/>
      <c r="Q4470" s="369"/>
      <c r="R4470" s="369"/>
      <c r="S4470" s="368"/>
      <c r="T4470" s="166"/>
      <c r="U4470" s="362"/>
      <c r="V4470" s="244"/>
      <c r="W4470" s="162"/>
      <c r="X4470" s="162"/>
      <c r="Y4470" s="164"/>
      <c r="Z4470" s="717" t="s">
        <v>195</v>
      </c>
      <c r="AA4470" s="717"/>
      <c r="AB4470" s="717"/>
      <c r="AC4470" s="717"/>
      <c r="AD4470" s="717"/>
      <c r="AE4470" s="717"/>
      <c r="AF4470" s="717"/>
      <c r="AG4470" s="717"/>
      <c r="AH4470" s="717"/>
      <c r="AI4470" s="717"/>
      <c r="AK4470" s="139"/>
      <c r="AL4470" s="156"/>
    </row>
    <row r="4471" spans="1:38" ht="12.95" customHeight="1" x14ac:dyDescent="0.25">
      <c r="A4471" s="370"/>
      <c r="B4471" s="427" t="s">
        <v>1065</v>
      </c>
      <c r="C4471" s="375"/>
      <c r="D4471" s="442"/>
      <c r="E4471" s="443"/>
      <c r="F4471" s="444"/>
      <c r="G4471" s="442"/>
      <c r="H4471" s="445"/>
      <c r="I4471" s="446"/>
      <c r="J4471" s="374"/>
      <c r="K4471" s="375"/>
      <c r="L4471" s="555"/>
      <c r="M4471" s="544"/>
      <c r="N4471" s="366"/>
      <c r="O4471" s="367"/>
      <c r="P4471" s="368"/>
      <c r="Q4471" s="369"/>
      <c r="R4471" s="369"/>
      <c r="S4471" s="368"/>
      <c r="T4471" s="166"/>
      <c r="U4471" s="362"/>
      <c r="V4471" s="244"/>
      <c r="W4471" s="162"/>
      <c r="X4471" s="162"/>
      <c r="Y4471" s="164"/>
      <c r="Z4471" s="717" t="s">
        <v>197</v>
      </c>
      <c r="AA4471" s="717"/>
      <c r="AB4471" s="717"/>
      <c r="AC4471" s="717"/>
      <c r="AD4471" s="717"/>
      <c r="AE4471" s="717"/>
      <c r="AF4471" s="717"/>
      <c r="AG4471" s="717"/>
      <c r="AH4471" s="717"/>
      <c r="AI4471" s="717"/>
      <c r="AK4471" s="139"/>
      <c r="AL4471" s="156"/>
    </row>
    <row r="4472" spans="1:38" ht="12.95" customHeight="1" x14ac:dyDescent="0.25">
      <c r="A4472" s="370"/>
      <c r="B4472" s="427" t="s">
        <v>1066</v>
      </c>
      <c r="C4472" s="375"/>
      <c r="D4472" s="442"/>
      <c r="E4472" s="443"/>
      <c r="F4472" s="444"/>
      <c r="G4472" s="442"/>
      <c r="H4472" s="445"/>
      <c r="I4472" s="446"/>
      <c r="J4472" s="374"/>
      <c r="K4472" s="375"/>
      <c r="L4472" s="555"/>
      <c r="M4472" s="544"/>
      <c r="N4472" s="366"/>
      <c r="O4472" s="367"/>
      <c r="P4472" s="368"/>
      <c r="Q4472" s="369"/>
      <c r="R4472" s="369"/>
      <c r="S4472" s="368"/>
      <c r="T4472" s="166"/>
      <c r="U4472" s="362"/>
      <c r="V4472" s="244"/>
      <c r="W4472" s="162"/>
      <c r="X4472" s="162"/>
      <c r="Y4472" s="164"/>
      <c r="Z4472" s="717" t="s">
        <v>196</v>
      </c>
      <c r="AA4472" s="717"/>
      <c r="AB4472" s="717"/>
      <c r="AC4472" s="717"/>
      <c r="AD4472" s="717"/>
      <c r="AE4472" s="717"/>
      <c r="AF4472" s="717"/>
      <c r="AG4472" s="717"/>
      <c r="AH4472" s="717"/>
      <c r="AI4472" s="717"/>
      <c r="AK4472" s="139"/>
      <c r="AL4472" s="156"/>
    </row>
    <row r="4473" spans="1:38" ht="12.95" customHeight="1" x14ac:dyDescent="0.25">
      <c r="A4473" s="370"/>
      <c r="B4473" s="414"/>
      <c r="C4473" s="224"/>
      <c r="D4473" s="416"/>
      <c r="E4473" s="417"/>
      <c r="F4473" s="418"/>
      <c r="G4473" s="419"/>
      <c r="H4473" s="420"/>
      <c r="I4473" s="421"/>
      <c r="J4473" s="421"/>
      <c r="K4473" s="224"/>
      <c r="L4473" s="556"/>
      <c r="M4473" s="545"/>
      <c r="N4473" s="423"/>
      <c r="O4473" s="161"/>
      <c r="P4473" s="368"/>
      <c r="Q4473" s="161"/>
      <c r="R4473" s="161"/>
      <c r="S4473" s="161"/>
      <c r="T4473" s="161"/>
      <c r="U4473" s="362"/>
      <c r="V4473" s="244"/>
      <c r="W4473" s="162"/>
      <c r="X4473" s="162"/>
      <c r="Y4473" s="164"/>
      <c r="Z4473" s="717"/>
      <c r="AA4473" s="717"/>
      <c r="AB4473" s="717"/>
      <c r="AC4473" s="717"/>
      <c r="AD4473" s="717"/>
      <c r="AE4473" s="717"/>
      <c r="AF4473" s="717"/>
      <c r="AG4473" s="717"/>
      <c r="AH4473" s="717"/>
      <c r="AI4473" s="717"/>
      <c r="AK4473" s="139"/>
      <c r="AL4473" s="156"/>
    </row>
    <row r="4474" spans="1:38" ht="12.95" customHeight="1" x14ac:dyDescent="0.25">
      <c r="A4474" s="370"/>
      <c r="B4474" s="758" t="s">
        <v>150</v>
      </c>
      <c r="C4474" s="758"/>
      <c r="D4474" s="758"/>
      <c r="E4474" s="758"/>
      <c r="F4474" s="758"/>
      <c r="G4474" s="758"/>
      <c r="H4474" s="758"/>
      <c r="I4474" s="758"/>
      <c r="J4474" s="364"/>
      <c r="K4474" s="365"/>
      <c r="L4474" s="555"/>
      <c r="M4474" s="544"/>
      <c r="N4474" s="366"/>
      <c r="O4474" s="447"/>
      <c r="P4474" s="447"/>
      <c r="Q4474" s="447"/>
      <c r="R4474" s="447"/>
      <c r="S4474" s="447"/>
      <c r="T4474" s="447"/>
      <c r="U4474" s="447"/>
      <c r="V4474" s="448"/>
      <c r="W4474" s="162"/>
      <c r="X4474" s="162"/>
      <c r="Y4474" s="164"/>
      <c r="Z4474" s="729" t="str">
        <f>IF(Utilities="Y","Edison will contact 811 utilities locating on your behalf.",IF(Utilities="Yes","Edison will contact 811 utilities locating on your behalf.",IF(Utilities="N","Edison will NOT contact 811 for this project.",IF(Utilities="No","Edison will NOT contact 811 for this project.","Edison will contact 811 on your behalf, if needed."))))</f>
        <v>Edison will contact 811 on your behalf, if needed.</v>
      </c>
      <c r="AA4474" s="729"/>
      <c r="AB4474" s="729"/>
      <c r="AC4474" s="729"/>
      <c r="AD4474" s="729"/>
      <c r="AE4474" s="729"/>
      <c r="AF4474" s="729"/>
      <c r="AG4474" s="729"/>
      <c r="AH4474" s="729"/>
      <c r="AI4474" s="729"/>
      <c r="AK4474" s="139"/>
      <c r="AL4474" s="156"/>
    </row>
    <row r="4475" spans="1:38" ht="12.95" customHeight="1" x14ac:dyDescent="0.25">
      <c r="A4475" s="370"/>
      <c r="B4475" s="440" t="s">
        <v>184</v>
      </c>
      <c r="C4475" s="393"/>
      <c r="D4475" s="442"/>
      <c r="E4475" s="443"/>
      <c r="F4475" s="444"/>
      <c r="G4475" s="442"/>
      <c r="H4475" s="445"/>
      <c r="I4475" s="446"/>
      <c r="J4475" s="430"/>
      <c r="K4475" s="365"/>
      <c r="L4475" s="555"/>
      <c r="M4475" s="544"/>
      <c r="N4475" s="366"/>
      <c r="O4475" s="447"/>
      <c r="P4475" s="447"/>
      <c r="Q4475" s="447"/>
      <c r="R4475" s="447"/>
      <c r="S4475" s="447"/>
      <c r="T4475" s="447"/>
      <c r="U4475" s="447"/>
      <c r="V4475" s="448"/>
      <c r="W4475" s="162"/>
      <c r="X4475" s="162"/>
      <c r="Y4475" s="164"/>
      <c r="Z4475" s="717" t="str">
        <f>IF(Utilities="Y","1 to 3 people will mark utilities. Leave gates open.",IF(Utilities="Yes","1 to 3 people will mark utilities. Leave gates open.",IF(Utilities="N","~ no fee at all if you decide 811 is actually needed ~",IF(Utilities="No","~ no fee at all if you decide 811 is actually needed ~","~ let us now if needed - maybe no 811 at all? ~"))))</f>
        <v>~ let us now if needed - maybe no 811 at all? ~</v>
      </c>
      <c r="AA4475" s="717"/>
      <c r="AB4475" s="717"/>
      <c r="AC4475" s="717"/>
      <c r="AD4475" s="717"/>
      <c r="AE4475" s="717"/>
      <c r="AF4475" s="717"/>
      <c r="AG4475" s="717"/>
      <c r="AH4475" s="717"/>
      <c r="AI4475" s="717"/>
      <c r="AK4475" s="139"/>
      <c r="AL4475" s="156"/>
    </row>
    <row r="4476" spans="1:38" ht="12.95" customHeight="1" x14ac:dyDescent="0.25">
      <c r="A4476" s="370"/>
      <c r="B4476" s="440" t="s">
        <v>149</v>
      </c>
      <c r="C4476" s="393"/>
      <c r="D4476" s="442"/>
      <c r="E4476" s="443"/>
      <c r="F4476" s="444"/>
      <c r="G4476" s="442"/>
      <c r="H4476" s="445"/>
      <c r="I4476" s="446"/>
      <c r="J4476" s="430"/>
      <c r="K4476" s="365"/>
      <c r="L4476" s="555"/>
      <c r="M4476" s="544"/>
      <c r="N4476" s="366"/>
      <c r="O4476" s="447"/>
      <c r="P4476" s="447"/>
      <c r="Q4476" s="447"/>
      <c r="R4476" s="447"/>
      <c r="S4476" s="447"/>
      <c r="T4476" s="447"/>
      <c r="U4476" s="447"/>
      <c r="V4476" s="448"/>
      <c r="W4476" s="162"/>
      <c r="X4476" s="162"/>
      <c r="Y4476" s="164"/>
      <c r="Z4476" s="717"/>
      <c r="AA4476" s="717"/>
      <c r="AB4476" s="717"/>
      <c r="AC4476" s="717"/>
      <c r="AD4476" s="717"/>
      <c r="AE4476" s="717"/>
      <c r="AF4476" s="717"/>
      <c r="AG4476" s="717"/>
      <c r="AH4476" s="717"/>
      <c r="AI4476" s="717"/>
      <c r="AK4476" s="139"/>
      <c r="AL4476" s="156"/>
    </row>
    <row r="4477" spans="1:38" ht="12.95" customHeight="1" x14ac:dyDescent="0.25">
      <c r="A4477" s="370"/>
      <c r="B4477" s="440" t="s">
        <v>214</v>
      </c>
      <c r="C4477" s="393"/>
      <c r="D4477" s="442"/>
      <c r="E4477" s="443"/>
      <c r="F4477" s="444"/>
      <c r="G4477" s="442"/>
      <c r="H4477" s="445"/>
      <c r="I4477" s="446"/>
      <c r="J4477" s="430"/>
      <c r="K4477" s="365"/>
      <c r="L4477" s="555"/>
      <c r="M4477" s="544"/>
      <c r="N4477" s="366"/>
      <c r="O4477" s="447"/>
      <c r="P4477" s="447"/>
      <c r="Q4477" s="447"/>
      <c r="R4477" s="447"/>
      <c r="S4477" s="447"/>
      <c r="T4477" s="447"/>
      <c r="U4477" s="447"/>
      <c r="V4477" s="448"/>
      <c r="W4477" s="162"/>
      <c r="X4477" s="162"/>
      <c r="Y4477" s="164"/>
      <c r="Z4477" s="717" t="s">
        <v>248</v>
      </c>
      <c r="AA4477" s="717"/>
      <c r="AB4477" s="717"/>
      <c r="AC4477" s="717"/>
      <c r="AD4477" s="717"/>
      <c r="AE4477" s="717"/>
      <c r="AF4477" s="717"/>
      <c r="AG4477" s="717"/>
      <c r="AH4477" s="717"/>
      <c r="AI4477" s="717"/>
      <c r="AK4477" s="139"/>
      <c r="AL4477" s="156"/>
    </row>
    <row r="4478" spans="1:38" ht="12.95" customHeight="1" x14ac:dyDescent="0.25">
      <c r="A4478" s="370"/>
      <c r="B4478" s="440" t="s">
        <v>152</v>
      </c>
      <c r="C4478" s="393"/>
      <c r="D4478" s="442"/>
      <c r="E4478" s="443"/>
      <c r="F4478" s="444"/>
      <c r="G4478" s="442"/>
      <c r="H4478" s="445"/>
      <c r="I4478" s="446"/>
      <c r="J4478" s="430"/>
      <c r="K4478" s="434"/>
      <c r="L4478" s="555"/>
      <c r="M4478" s="544"/>
      <c r="N4478" s="366"/>
      <c r="O4478" s="447"/>
      <c r="P4478" s="447"/>
      <c r="Q4478" s="447"/>
      <c r="R4478" s="447"/>
      <c r="S4478" s="447"/>
      <c r="T4478" s="447"/>
      <c r="U4478" s="447"/>
      <c r="V4478" s="448"/>
      <c r="W4478" s="162"/>
      <c r="X4478" s="162"/>
      <c r="Y4478" s="164"/>
      <c r="Z4478" s="717" t="s">
        <v>261</v>
      </c>
      <c r="AA4478" s="717"/>
      <c r="AB4478" s="717"/>
      <c r="AC4478" s="717"/>
      <c r="AD4478" s="717"/>
      <c r="AE4478" s="717"/>
      <c r="AF4478" s="717"/>
      <c r="AG4478" s="717"/>
      <c r="AH4478" s="717"/>
      <c r="AI4478" s="717"/>
      <c r="AK4478" s="139"/>
      <c r="AL4478" s="156"/>
    </row>
    <row r="4479" spans="1:38" ht="12.95" customHeight="1" x14ac:dyDescent="0.25">
      <c r="A4479" s="370"/>
      <c r="B4479" s="414"/>
      <c r="C4479" s="224"/>
      <c r="D4479" s="416"/>
      <c r="E4479" s="417"/>
      <c r="F4479" s="418"/>
      <c r="G4479" s="419"/>
      <c r="H4479" s="420"/>
      <c r="I4479" s="421"/>
      <c r="J4479" s="421"/>
      <c r="K4479" s="730" t="s">
        <v>357</v>
      </c>
      <c r="L4479" s="730"/>
      <c r="M4479" s="543"/>
      <c r="N4479" s="423"/>
      <c r="O4479" s="447"/>
      <c r="P4479" s="447"/>
      <c r="Q4479" s="447"/>
      <c r="R4479" s="447"/>
      <c r="S4479" s="447"/>
      <c r="T4479" s="447"/>
      <c r="U4479" s="447"/>
      <c r="V4479" s="448"/>
      <c r="W4479" s="162"/>
      <c r="X4479" s="162"/>
      <c r="Y4479" s="164"/>
      <c r="Z4479" s="717"/>
      <c r="AA4479" s="717"/>
      <c r="AB4479" s="717"/>
      <c r="AC4479" s="717"/>
      <c r="AD4479" s="717"/>
      <c r="AE4479" s="717"/>
      <c r="AF4479" s="717"/>
      <c r="AG4479" s="717"/>
      <c r="AH4479" s="717"/>
      <c r="AI4479" s="717"/>
      <c r="AK4479" s="139"/>
      <c r="AL4479" s="156"/>
    </row>
    <row r="4480" spans="1:38" ht="12.95" customHeight="1" x14ac:dyDescent="0.2">
      <c r="A4480" s="370"/>
      <c r="B4480" s="758" t="s">
        <v>1058</v>
      </c>
      <c r="C4480" s="758"/>
      <c r="D4480" s="758"/>
      <c r="E4480" s="758"/>
      <c r="F4480" s="758"/>
      <c r="G4480" s="758"/>
      <c r="H4480" s="758"/>
      <c r="I4480" s="758"/>
      <c r="J4480" s="364"/>
      <c r="K4480" s="365"/>
      <c r="L4480" s="555"/>
      <c r="M4480" s="544"/>
      <c r="N4480" s="366"/>
      <c r="O4480" s="447"/>
      <c r="P4480" s="447"/>
      <c r="Q4480" s="447"/>
      <c r="R4480" s="447"/>
      <c r="S4480" s="447"/>
      <c r="T4480" s="447"/>
      <c r="U4480" s="447"/>
      <c r="V4480" s="448"/>
      <c r="W4480" s="162"/>
      <c r="X4480" s="162"/>
      <c r="Y4480" s="164"/>
      <c r="Z4480" s="355"/>
      <c r="AA4480" s="355"/>
      <c r="AB4480" s="355"/>
      <c r="AC4480" s="355"/>
      <c r="AD4480" s="731" t="s">
        <v>458</v>
      </c>
      <c r="AE4480" s="731"/>
      <c r="AF4480" s="731"/>
      <c r="AG4480" s="731"/>
      <c r="AH4480" s="731"/>
      <c r="AI4480" s="355"/>
      <c r="AK4480" s="139"/>
      <c r="AL4480" s="156"/>
    </row>
    <row r="4481" spans="1:38" ht="12.95" customHeight="1" x14ac:dyDescent="0.25">
      <c r="A4481" s="370"/>
      <c r="B4481" s="440" t="s">
        <v>153</v>
      </c>
      <c r="C4481" s="375"/>
      <c r="D4481" s="442"/>
      <c r="E4481" s="443"/>
      <c r="F4481" s="444"/>
      <c r="G4481" s="442"/>
      <c r="H4481" s="445"/>
      <c r="I4481" s="446"/>
      <c r="J4481" s="439"/>
      <c r="K4481" s="375"/>
      <c r="L4481" s="555"/>
      <c r="M4481" s="544"/>
      <c r="N4481" s="366"/>
      <c r="O4481" s="447"/>
      <c r="P4481" s="447"/>
      <c r="Q4481" s="447"/>
      <c r="R4481" s="447"/>
      <c r="S4481" s="447"/>
      <c r="T4481" s="447"/>
      <c r="U4481" s="447"/>
      <c r="V4481" s="448"/>
      <c r="W4481" s="162"/>
      <c r="X4481" s="162"/>
      <c r="Y4481" s="164"/>
      <c r="Z4481" s="836" t="s">
        <v>264</v>
      </c>
      <c r="AA4481" s="836"/>
      <c r="AB4481" s="836"/>
      <c r="AC4481" s="836"/>
      <c r="AD4481" s="836"/>
      <c r="AE4481" s="836"/>
      <c r="AF4481" s="836"/>
      <c r="AG4481" s="836"/>
      <c r="AH4481" s="836"/>
      <c r="AI4481" s="836"/>
      <c r="AK4481" s="139"/>
      <c r="AL4481" s="156"/>
    </row>
    <row r="4482" spans="1:38" ht="12.95" customHeight="1" x14ac:dyDescent="0.25">
      <c r="A4482" s="370"/>
      <c r="B4482" s="440" t="s">
        <v>154</v>
      </c>
      <c r="C4482" s="375"/>
      <c r="D4482" s="442"/>
      <c r="E4482" s="443"/>
      <c r="F4482" s="444"/>
      <c r="G4482" s="442"/>
      <c r="H4482" s="445"/>
      <c r="I4482" s="446"/>
      <c r="J4482" s="430"/>
      <c r="K4482" s="365"/>
      <c r="L4482" s="555"/>
      <c r="M4482" s="544"/>
      <c r="N4482" s="366"/>
      <c r="O4482" s="447"/>
      <c r="P4482" s="447"/>
      <c r="Q4482" s="447"/>
      <c r="R4482" s="447"/>
      <c r="S4482" s="447"/>
      <c r="T4482" s="447"/>
      <c r="U4482" s="447"/>
      <c r="V4482" s="448"/>
      <c r="W4482" s="162"/>
      <c r="X4482" s="162"/>
      <c r="Y4482" s="164"/>
      <c r="Z4482" s="729" t="s">
        <v>205</v>
      </c>
      <c r="AA4482" s="729"/>
      <c r="AB4482" s="729"/>
      <c r="AC4482" s="729"/>
      <c r="AD4482" s="729"/>
      <c r="AE4482" s="729"/>
      <c r="AF4482" s="729"/>
      <c r="AG4482" s="729"/>
      <c r="AH4482" s="729"/>
      <c r="AI4482" s="729"/>
      <c r="AK4482" s="139"/>
      <c r="AL4482" s="156"/>
    </row>
    <row r="4483" spans="1:38" ht="12.95" customHeight="1" x14ac:dyDescent="0.25">
      <c r="A4483" s="370"/>
      <c r="B4483" s="440" t="s">
        <v>155</v>
      </c>
      <c r="C4483" s="375"/>
      <c r="D4483" s="442"/>
      <c r="E4483" s="443"/>
      <c r="F4483" s="444"/>
      <c r="G4483" s="442"/>
      <c r="H4483" s="445"/>
      <c r="I4483" s="446"/>
      <c r="J4483" s="430"/>
      <c r="K4483" s="365"/>
      <c r="L4483" s="555"/>
      <c r="M4483" s="544"/>
      <c r="N4483" s="366"/>
      <c r="O4483" s="221"/>
      <c r="P4483" s="368"/>
      <c r="Q4483" s="161"/>
      <c r="R4483" s="161"/>
      <c r="S4483" s="161"/>
      <c r="T4483" s="161"/>
      <c r="U4483" s="362"/>
      <c r="V4483" s="244"/>
      <c r="W4483" s="162"/>
      <c r="X4483" s="162"/>
      <c r="Y4483" s="164"/>
      <c r="Z4483" s="728" t="s">
        <v>206</v>
      </c>
      <c r="AA4483" s="728"/>
      <c r="AB4483" s="728"/>
      <c r="AC4483" s="728"/>
      <c r="AD4483" s="728"/>
      <c r="AE4483" s="728"/>
      <c r="AF4483" s="728"/>
      <c r="AG4483" s="728"/>
      <c r="AH4483" s="728"/>
      <c r="AI4483" s="728"/>
      <c r="AK4483" s="139"/>
      <c r="AL4483" s="156"/>
    </row>
    <row r="4484" spans="1:38" ht="12.95" customHeight="1" x14ac:dyDescent="0.25">
      <c r="A4484" s="370"/>
      <c r="B4484" s="440" t="s">
        <v>156</v>
      </c>
      <c r="C4484" s="375"/>
      <c r="D4484" s="442"/>
      <c r="E4484" s="443"/>
      <c r="F4484" s="444"/>
      <c r="G4484" s="442"/>
      <c r="H4484" s="445"/>
      <c r="I4484" s="446"/>
      <c r="J4484" s="430"/>
      <c r="K4484" s="365"/>
      <c r="L4484" s="555"/>
      <c r="M4484" s="544"/>
      <c r="N4484" s="366"/>
      <c r="O4484" s="221"/>
      <c r="P4484" s="368"/>
      <c r="Q4484" s="161"/>
      <c r="R4484" s="161"/>
      <c r="S4484" s="161"/>
      <c r="T4484" s="161"/>
      <c r="U4484" s="362"/>
      <c r="V4484" s="244"/>
      <c r="W4484" s="162"/>
      <c r="X4484" s="162"/>
      <c r="Y4484" s="164"/>
      <c r="Z4484" s="728" t="s">
        <v>278</v>
      </c>
      <c r="AA4484" s="728"/>
      <c r="AB4484" s="728"/>
      <c r="AC4484" s="728"/>
      <c r="AD4484" s="728"/>
      <c r="AE4484" s="728"/>
      <c r="AF4484" s="728"/>
      <c r="AG4484" s="728"/>
      <c r="AH4484" s="728"/>
      <c r="AI4484" s="728"/>
      <c r="AK4484" s="139"/>
      <c r="AL4484" s="156"/>
    </row>
    <row r="4485" spans="1:38" ht="12.95" customHeight="1" x14ac:dyDescent="0.25">
      <c r="A4485" s="370"/>
      <c r="B4485" s="440" t="s">
        <v>157</v>
      </c>
      <c r="C4485" s="375"/>
      <c r="D4485" s="442"/>
      <c r="E4485" s="443"/>
      <c r="F4485" s="444"/>
      <c r="G4485" s="442"/>
      <c r="H4485" s="445"/>
      <c r="I4485" s="446"/>
      <c r="J4485" s="430"/>
      <c r="K4485" s="365"/>
      <c r="L4485" s="555"/>
      <c r="M4485" s="544"/>
      <c r="N4485" s="366"/>
      <c r="O4485" s="221"/>
      <c r="P4485" s="368"/>
      <c r="Q4485" s="161"/>
      <c r="R4485" s="161"/>
      <c r="S4485" s="161"/>
      <c r="T4485" s="161"/>
      <c r="U4485" s="362"/>
      <c r="V4485" s="244"/>
      <c r="W4485" s="162"/>
      <c r="X4485" s="162"/>
      <c r="Y4485" s="164"/>
      <c r="Z4485" s="774"/>
      <c r="AA4485" s="774"/>
      <c r="AB4485" s="774"/>
      <c r="AC4485" s="774"/>
      <c r="AD4485" s="774"/>
      <c r="AE4485" s="774"/>
      <c r="AF4485" s="774"/>
      <c r="AG4485" s="774"/>
      <c r="AH4485" s="774"/>
      <c r="AI4485" s="774"/>
      <c r="AK4485" s="139"/>
      <c r="AL4485" s="156"/>
    </row>
    <row r="4486" spans="1:38" ht="12.95" customHeight="1" x14ac:dyDescent="0.25">
      <c r="A4486" s="370"/>
      <c r="B4486" s="440" t="s">
        <v>158</v>
      </c>
      <c r="C4486" s="375"/>
      <c r="D4486" s="442"/>
      <c r="E4486" s="443"/>
      <c r="F4486" s="444"/>
      <c r="G4486" s="442"/>
      <c r="H4486" s="445"/>
      <c r="I4486" s="446"/>
      <c r="J4486" s="430"/>
      <c r="K4486" s="434"/>
      <c r="L4486" s="555"/>
      <c r="M4486" s="544"/>
      <c r="N4486" s="366"/>
      <c r="O4486" s="221"/>
      <c r="P4486" s="368"/>
      <c r="Q4486" s="161"/>
      <c r="R4486" s="161"/>
      <c r="S4486" s="161"/>
      <c r="T4486" s="161"/>
      <c r="U4486" s="362"/>
      <c r="V4486" s="244"/>
      <c r="W4486" s="162"/>
      <c r="X4486" s="162"/>
      <c r="Y4486" s="407"/>
      <c r="Z4486" s="729" t="s">
        <v>249</v>
      </c>
      <c r="AA4486" s="729"/>
      <c r="AB4486" s="729"/>
      <c r="AC4486" s="729"/>
      <c r="AD4486" s="729"/>
      <c r="AE4486" s="729"/>
      <c r="AF4486" s="729"/>
      <c r="AG4486" s="729"/>
      <c r="AH4486" s="729"/>
      <c r="AI4486" s="729"/>
      <c r="AK4486" s="139"/>
      <c r="AL4486" s="156"/>
    </row>
    <row r="4487" spans="1:38" ht="12.95" customHeight="1" x14ac:dyDescent="0.25">
      <c r="A4487" s="370"/>
      <c r="B4487" s="440" t="s">
        <v>159</v>
      </c>
      <c r="C4487" s="375"/>
      <c r="D4487" s="442"/>
      <c r="E4487" s="443"/>
      <c r="F4487" s="444"/>
      <c r="G4487" s="442"/>
      <c r="H4487" s="445"/>
      <c r="I4487" s="446"/>
      <c r="J4487" s="374"/>
      <c r="K4487" s="375"/>
      <c r="L4487" s="555"/>
      <c r="M4487" s="544"/>
      <c r="N4487" s="366"/>
      <c r="O4487" s="221"/>
      <c r="P4487" s="368"/>
      <c r="Q4487" s="161"/>
      <c r="R4487" s="161"/>
      <c r="S4487" s="161"/>
      <c r="T4487" s="161"/>
      <c r="U4487" s="362"/>
      <c r="V4487" s="362"/>
      <c r="W4487" s="161"/>
      <c r="X4487" s="162"/>
      <c r="Y4487" s="164"/>
      <c r="Z4487" s="728" t="s">
        <v>207</v>
      </c>
      <c r="AA4487" s="728"/>
      <c r="AB4487" s="728"/>
      <c r="AC4487" s="728"/>
      <c r="AD4487" s="728"/>
      <c r="AE4487" s="728"/>
      <c r="AF4487" s="728"/>
      <c r="AG4487" s="728"/>
      <c r="AH4487" s="728"/>
      <c r="AI4487" s="728"/>
      <c r="AK4487" s="139"/>
      <c r="AL4487" s="156"/>
    </row>
    <row r="4488" spans="1:38" ht="12.95" customHeight="1" x14ac:dyDescent="0.25">
      <c r="A4488" s="370"/>
      <c r="B4488" s="440" t="s">
        <v>160</v>
      </c>
      <c r="C4488" s="375"/>
      <c r="D4488" s="442"/>
      <c r="E4488" s="443"/>
      <c r="F4488" s="444"/>
      <c r="G4488" s="442"/>
      <c r="H4488" s="445"/>
      <c r="I4488" s="446"/>
      <c r="J4488" s="439"/>
      <c r="K4488" s="375"/>
      <c r="L4488" s="555"/>
      <c r="M4488" s="544"/>
      <c r="N4488" s="366"/>
      <c r="O4488" s="221"/>
      <c r="P4488" s="368"/>
      <c r="Q4488" s="161"/>
      <c r="R4488" s="161"/>
      <c r="S4488" s="161"/>
      <c r="T4488" s="161"/>
      <c r="U4488" s="362"/>
      <c r="V4488" s="362"/>
      <c r="W4488" s="161"/>
      <c r="X4488" s="162"/>
      <c r="Y4488" s="164"/>
      <c r="Z4488" s="728" t="s">
        <v>208</v>
      </c>
      <c r="AA4488" s="728"/>
      <c r="AB4488" s="728"/>
      <c r="AC4488" s="728"/>
      <c r="AD4488" s="728"/>
      <c r="AE4488" s="728"/>
      <c r="AF4488" s="728"/>
      <c r="AG4488" s="728"/>
      <c r="AH4488" s="728"/>
      <c r="AI4488" s="728"/>
      <c r="AK4488" s="139"/>
      <c r="AL4488" s="156"/>
    </row>
    <row r="4489" spans="1:38" ht="12.95" customHeight="1" x14ac:dyDescent="0.25">
      <c r="A4489" s="370"/>
      <c r="B4489" s="440" t="s">
        <v>161</v>
      </c>
      <c r="C4489" s="375"/>
      <c r="D4489" s="442"/>
      <c r="E4489" s="443"/>
      <c r="F4489" s="444"/>
      <c r="G4489" s="442"/>
      <c r="H4489" s="445"/>
      <c r="I4489" s="446"/>
      <c r="J4489" s="612" t="s">
        <v>177</v>
      </c>
      <c r="K4489" s="375"/>
      <c r="L4489" s="555"/>
      <c r="M4489" s="544"/>
      <c r="N4489" s="366"/>
      <c r="O4489" s="221"/>
      <c r="P4489" s="368"/>
      <c r="Q4489" s="161"/>
      <c r="R4489" s="161"/>
      <c r="S4489" s="161"/>
      <c r="T4489" s="161"/>
      <c r="U4489" s="362"/>
      <c r="V4489" s="362"/>
      <c r="W4489" s="161"/>
      <c r="X4489" s="162"/>
      <c r="Y4489" s="164"/>
      <c r="Z4489" s="728" t="s">
        <v>209</v>
      </c>
      <c r="AA4489" s="728"/>
      <c r="AB4489" s="728"/>
      <c r="AC4489" s="728"/>
      <c r="AD4489" s="728"/>
      <c r="AE4489" s="728"/>
      <c r="AF4489" s="728"/>
      <c r="AG4489" s="728"/>
      <c r="AH4489" s="728"/>
      <c r="AI4489" s="728"/>
      <c r="AK4489" s="139"/>
      <c r="AL4489" s="156"/>
    </row>
    <row r="4490" spans="1:38" ht="12.95" customHeight="1" x14ac:dyDescent="0.25">
      <c r="A4490" s="370"/>
      <c r="B4490" s="440" t="s">
        <v>162</v>
      </c>
      <c r="C4490" s="375"/>
      <c r="D4490" s="442"/>
      <c r="E4490" s="443"/>
      <c r="F4490" s="444"/>
      <c r="G4490" s="442"/>
      <c r="H4490" s="445"/>
      <c r="I4490" s="446"/>
      <c r="J4490" s="430"/>
      <c r="K4490" s="365"/>
      <c r="L4490" s="555"/>
      <c r="M4490" s="544"/>
      <c r="N4490" s="366"/>
      <c r="O4490" s="221"/>
      <c r="P4490" s="368"/>
      <c r="Q4490" s="161"/>
      <c r="R4490" s="718"/>
      <c r="S4490" s="718"/>
      <c r="T4490" s="161"/>
      <c r="U4490" s="362"/>
      <c r="V4490" s="362"/>
      <c r="W4490" s="161"/>
      <c r="X4490" s="162"/>
      <c r="Y4490" s="164"/>
      <c r="Z4490" s="849"/>
      <c r="AA4490" s="849"/>
      <c r="AB4490" s="849"/>
      <c r="AC4490" s="849"/>
      <c r="AD4490" s="849"/>
      <c r="AE4490" s="849"/>
      <c r="AF4490" s="849"/>
      <c r="AG4490" s="849"/>
      <c r="AH4490" s="849"/>
      <c r="AI4490" s="849"/>
      <c r="AK4490" s="139"/>
      <c r="AL4490" s="156"/>
    </row>
    <row r="4491" spans="1:38" ht="12.95" customHeight="1" x14ac:dyDescent="0.25">
      <c r="A4491" s="370"/>
      <c r="B4491" s="440" t="s">
        <v>163</v>
      </c>
      <c r="C4491" s="375"/>
      <c r="D4491" s="442"/>
      <c r="E4491" s="443"/>
      <c r="F4491" s="444"/>
      <c r="G4491" s="442"/>
      <c r="H4491" s="445"/>
      <c r="I4491" s="446"/>
      <c r="J4491" s="430"/>
      <c r="K4491" s="365"/>
      <c r="L4491" s="555"/>
      <c r="M4491" s="544"/>
      <c r="N4491" s="366"/>
      <c r="O4491" s="221"/>
      <c r="P4491" s="368"/>
      <c r="Q4491" s="161"/>
      <c r="R4491" s="361"/>
      <c r="S4491" s="361"/>
      <c r="T4491" s="161"/>
      <c r="U4491" s="362"/>
      <c r="V4491" s="362"/>
      <c r="W4491" s="161"/>
      <c r="X4491" s="161"/>
      <c r="Y4491" s="165"/>
      <c r="Z4491" s="235"/>
      <c r="AA4491" s="235"/>
      <c r="AB4491" s="449"/>
      <c r="AC4491" s="449"/>
      <c r="AD4491" s="235"/>
      <c r="AE4491" s="235"/>
      <c r="AF4491" s="235"/>
      <c r="AG4491" s="235"/>
      <c r="AH4491" s="235"/>
      <c r="AI4491" s="235"/>
      <c r="AK4491" s="139"/>
      <c r="AL4491" s="156"/>
    </row>
    <row r="4492" spans="1:38" customFormat="1" x14ac:dyDescent="0.25">
      <c r="L4492" s="530"/>
      <c r="M4492" s="530"/>
    </row>
    <row r="4493" spans="1:38" customFormat="1" x14ac:dyDescent="0.25">
      <c r="L4493" s="530"/>
      <c r="M4493" s="530"/>
    </row>
    <row r="4494" spans="1:38" customFormat="1" x14ac:dyDescent="0.25">
      <c r="L4494" s="530"/>
      <c r="M4494" s="530"/>
    </row>
    <row r="4495" spans="1:38" customFormat="1" x14ac:dyDescent="0.25">
      <c r="L4495" s="530"/>
      <c r="M4495" s="530"/>
    </row>
    <row r="4496" spans="1:38" customFormat="1" x14ac:dyDescent="0.25">
      <c r="L4496" s="530"/>
      <c r="M4496" s="530"/>
    </row>
    <row r="4497" spans="12:13" customFormat="1" x14ac:dyDescent="0.25">
      <c r="L4497" s="530"/>
      <c r="M4497" s="530"/>
    </row>
    <row r="4498" spans="12:13" customFormat="1" x14ac:dyDescent="0.25">
      <c r="L4498" s="530"/>
      <c r="M4498" s="530"/>
    </row>
    <row r="4499" spans="12:13" customFormat="1" x14ac:dyDescent="0.25">
      <c r="L4499" s="530"/>
      <c r="M4499" s="530"/>
    </row>
    <row r="4500" spans="12:13" customFormat="1" x14ac:dyDescent="0.25">
      <c r="L4500" s="530"/>
      <c r="M4500" s="530"/>
    </row>
    <row r="4501" spans="12:13" customFormat="1" x14ac:dyDescent="0.25">
      <c r="L4501" s="530"/>
      <c r="M4501" s="530"/>
    </row>
    <row r="4502" spans="12:13" customFormat="1" x14ac:dyDescent="0.25">
      <c r="L4502" s="530"/>
      <c r="M4502" s="530"/>
    </row>
    <row r="4503" spans="12:13" customFormat="1" x14ac:dyDescent="0.25">
      <c r="L4503" s="530"/>
      <c r="M4503" s="530"/>
    </row>
    <row r="4504" spans="12:13" customFormat="1" x14ac:dyDescent="0.25">
      <c r="L4504" s="530"/>
      <c r="M4504" s="530"/>
    </row>
    <row r="4505" spans="12:13" customFormat="1" x14ac:dyDescent="0.25">
      <c r="L4505" s="530"/>
      <c r="M4505" s="530"/>
    </row>
    <row r="4506" spans="12:13" customFormat="1" x14ac:dyDescent="0.25">
      <c r="L4506" s="530"/>
      <c r="M4506" s="530"/>
    </row>
    <row r="4507" spans="12:13" customFormat="1" x14ac:dyDescent="0.25">
      <c r="L4507" s="530"/>
      <c r="M4507" s="530"/>
    </row>
    <row r="4508" spans="12:13" customFormat="1" x14ac:dyDescent="0.25">
      <c r="L4508" s="530"/>
      <c r="M4508" s="530"/>
    </row>
    <row r="4509" spans="12:13" customFormat="1" x14ac:dyDescent="0.25">
      <c r="L4509" s="530"/>
      <c r="M4509" s="530"/>
    </row>
    <row r="4510" spans="12:13" customFormat="1" x14ac:dyDescent="0.25">
      <c r="L4510" s="530"/>
      <c r="M4510" s="530"/>
    </row>
    <row r="4511" spans="12:13" customFormat="1" x14ac:dyDescent="0.25">
      <c r="L4511" s="530"/>
      <c r="M4511" s="530"/>
    </row>
    <row r="4512" spans="12:13" customFormat="1" x14ac:dyDescent="0.25">
      <c r="L4512" s="530"/>
      <c r="M4512" s="530"/>
    </row>
    <row r="4513" spans="12:13" customFormat="1" x14ac:dyDescent="0.25">
      <c r="L4513" s="530"/>
      <c r="M4513" s="530"/>
    </row>
    <row r="4514" spans="12:13" customFormat="1" x14ac:dyDescent="0.25">
      <c r="L4514" s="530"/>
      <c r="M4514" s="530"/>
    </row>
    <row r="4515" spans="12:13" customFormat="1" x14ac:dyDescent="0.25">
      <c r="L4515" s="530"/>
      <c r="M4515" s="530"/>
    </row>
    <row r="4516" spans="12:13" customFormat="1" x14ac:dyDescent="0.25">
      <c r="L4516" s="530"/>
      <c r="M4516" s="530"/>
    </row>
    <row r="4517" spans="12:13" customFormat="1" x14ac:dyDescent="0.25">
      <c r="L4517" s="530"/>
      <c r="M4517" s="530"/>
    </row>
    <row r="4518" spans="12:13" customFormat="1" x14ac:dyDescent="0.25">
      <c r="L4518" s="530"/>
      <c r="M4518" s="530"/>
    </row>
    <row r="4519" spans="12:13" customFormat="1" x14ac:dyDescent="0.25">
      <c r="L4519" s="530"/>
      <c r="M4519" s="530"/>
    </row>
    <row r="4520" spans="12:13" customFormat="1" x14ac:dyDescent="0.25">
      <c r="L4520" s="530"/>
      <c r="M4520" s="530"/>
    </row>
    <row r="4521" spans="12:13" customFormat="1" x14ac:dyDescent="0.25">
      <c r="L4521" s="530"/>
      <c r="M4521" s="530"/>
    </row>
    <row r="4522" spans="12:13" customFormat="1" x14ac:dyDescent="0.25">
      <c r="L4522" s="530"/>
      <c r="M4522" s="530"/>
    </row>
    <row r="4523" spans="12:13" customFormat="1" x14ac:dyDescent="0.25">
      <c r="L4523" s="530"/>
      <c r="M4523" s="530"/>
    </row>
    <row r="4524" spans="12:13" customFormat="1" x14ac:dyDescent="0.25">
      <c r="L4524" s="530"/>
      <c r="M4524" s="530"/>
    </row>
    <row r="4525" spans="12:13" customFormat="1" x14ac:dyDescent="0.25">
      <c r="L4525" s="530"/>
      <c r="M4525" s="530"/>
    </row>
    <row r="4526" spans="12:13" customFormat="1" x14ac:dyDescent="0.25">
      <c r="L4526" s="530"/>
      <c r="M4526" s="530"/>
    </row>
    <row r="4527" spans="12:13" customFormat="1" x14ac:dyDescent="0.25">
      <c r="L4527" s="530"/>
      <c r="M4527" s="530"/>
    </row>
    <row r="4528" spans="12:13" customFormat="1" x14ac:dyDescent="0.25">
      <c r="L4528" s="530"/>
      <c r="M4528" s="530"/>
    </row>
    <row r="4529" spans="12:13" customFormat="1" x14ac:dyDescent="0.25">
      <c r="L4529" s="530"/>
      <c r="M4529" s="530"/>
    </row>
    <row r="4530" spans="12:13" customFormat="1" x14ac:dyDescent="0.25">
      <c r="L4530" s="530"/>
      <c r="M4530" s="530"/>
    </row>
    <row r="4531" spans="12:13" customFormat="1" x14ac:dyDescent="0.25">
      <c r="L4531" s="530"/>
      <c r="M4531" s="530"/>
    </row>
    <row r="4532" spans="12:13" customFormat="1" x14ac:dyDescent="0.25">
      <c r="L4532" s="530"/>
      <c r="M4532" s="530"/>
    </row>
    <row r="4533" spans="12:13" customFormat="1" x14ac:dyDescent="0.25">
      <c r="L4533" s="530"/>
      <c r="M4533" s="530"/>
    </row>
    <row r="4534" spans="12:13" customFormat="1" x14ac:dyDescent="0.25">
      <c r="L4534" s="530"/>
      <c r="M4534" s="530"/>
    </row>
    <row r="4535" spans="12:13" customFormat="1" x14ac:dyDescent="0.25">
      <c r="L4535" s="530"/>
      <c r="M4535" s="530"/>
    </row>
    <row r="4536" spans="12:13" customFormat="1" x14ac:dyDescent="0.25">
      <c r="L4536" s="530"/>
      <c r="M4536" s="530"/>
    </row>
    <row r="4537" spans="12:13" customFormat="1" x14ac:dyDescent="0.25">
      <c r="L4537" s="530"/>
      <c r="M4537" s="530"/>
    </row>
    <row r="4538" spans="12:13" customFormat="1" x14ac:dyDescent="0.25">
      <c r="L4538" s="530"/>
      <c r="M4538" s="530"/>
    </row>
    <row r="4539" spans="12:13" customFormat="1" x14ac:dyDescent="0.25">
      <c r="L4539" s="530"/>
      <c r="M4539" s="530"/>
    </row>
    <row r="4540" spans="12:13" customFormat="1" x14ac:dyDescent="0.25">
      <c r="L4540" s="530"/>
      <c r="M4540" s="530"/>
    </row>
    <row r="4541" spans="12:13" customFormat="1" x14ac:dyDescent="0.25">
      <c r="L4541" s="530"/>
      <c r="M4541" s="530"/>
    </row>
    <row r="4542" spans="12:13" customFormat="1" x14ac:dyDescent="0.25">
      <c r="L4542" s="530"/>
      <c r="M4542" s="530"/>
    </row>
    <row r="4543" spans="12:13" customFormat="1" x14ac:dyDescent="0.25">
      <c r="L4543" s="530"/>
      <c r="M4543" s="530"/>
    </row>
    <row r="4544" spans="12:13" customFormat="1" x14ac:dyDescent="0.25">
      <c r="L4544" s="530"/>
      <c r="M4544" s="530"/>
    </row>
    <row r="4545" spans="12:13" customFormat="1" x14ac:dyDescent="0.25">
      <c r="L4545" s="530"/>
      <c r="M4545" s="530"/>
    </row>
    <row r="4546" spans="12:13" customFormat="1" x14ac:dyDescent="0.25">
      <c r="L4546" s="530"/>
      <c r="M4546" s="530"/>
    </row>
    <row r="4547" spans="12:13" customFormat="1" x14ac:dyDescent="0.25">
      <c r="L4547" s="530"/>
      <c r="M4547" s="530"/>
    </row>
    <row r="4548" spans="12:13" customFormat="1" x14ac:dyDescent="0.25">
      <c r="L4548" s="530"/>
      <c r="M4548" s="530"/>
    </row>
    <row r="4549" spans="12:13" customFormat="1" x14ac:dyDescent="0.25">
      <c r="L4549" s="530"/>
      <c r="M4549" s="530"/>
    </row>
    <row r="4550" spans="12:13" customFormat="1" x14ac:dyDescent="0.25">
      <c r="L4550" s="530"/>
      <c r="M4550" s="530"/>
    </row>
    <row r="4551" spans="12:13" customFormat="1" x14ac:dyDescent="0.25">
      <c r="L4551" s="530"/>
      <c r="M4551" s="530"/>
    </row>
    <row r="4552" spans="12:13" customFormat="1" x14ac:dyDescent="0.25">
      <c r="L4552" s="530"/>
      <c r="M4552" s="530"/>
    </row>
    <row r="4553" spans="12:13" customFormat="1" x14ac:dyDescent="0.25">
      <c r="L4553" s="530"/>
      <c r="M4553" s="530"/>
    </row>
    <row r="4554" spans="12:13" customFormat="1" x14ac:dyDescent="0.25">
      <c r="L4554" s="530"/>
      <c r="M4554" s="530"/>
    </row>
    <row r="4555" spans="12:13" customFormat="1" x14ac:dyDescent="0.25">
      <c r="L4555" s="530"/>
      <c r="M4555" s="530"/>
    </row>
    <row r="4556" spans="12:13" customFormat="1" x14ac:dyDescent="0.25">
      <c r="L4556" s="530"/>
      <c r="M4556" s="530"/>
    </row>
    <row r="4557" spans="12:13" customFormat="1" x14ac:dyDescent="0.25">
      <c r="L4557" s="530"/>
      <c r="M4557" s="530"/>
    </row>
    <row r="4558" spans="12:13" customFormat="1" x14ac:dyDescent="0.25">
      <c r="L4558" s="530"/>
      <c r="M4558" s="530"/>
    </row>
    <row r="4559" spans="12:13" customFormat="1" x14ac:dyDescent="0.25">
      <c r="L4559" s="530"/>
      <c r="M4559" s="530"/>
    </row>
    <row r="4560" spans="12:13" customFormat="1" x14ac:dyDescent="0.25">
      <c r="L4560" s="530"/>
      <c r="M4560" s="530"/>
    </row>
    <row r="4561" spans="12:13" customFormat="1" x14ac:dyDescent="0.25">
      <c r="L4561" s="530"/>
      <c r="M4561" s="530"/>
    </row>
    <row r="4562" spans="12:13" customFormat="1" x14ac:dyDescent="0.25">
      <c r="L4562" s="530"/>
      <c r="M4562" s="530"/>
    </row>
    <row r="4563" spans="12:13" customFormat="1" x14ac:dyDescent="0.25">
      <c r="L4563" s="530"/>
      <c r="M4563" s="530"/>
    </row>
    <row r="4564" spans="12:13" customFormat="1" x14ac:dyDescent="0.25">
      <c r="L4564" s="530"/>
      <c r="M4564" s="530"/>
    </row>
    <row r="4565" spans="12:13" customFormat="1" x14ac:dyDescent="0.25">
      <c r="L4565" s="530"/>
      <c r="M4565" s="530"/>
    </row>
    <row r="4566" spans="12:13" customFormat="1" x14ac:dyDescent="0.25">
      <c r="L4566" s="530"/>
      <c r="M4566" s="530"/>
    </row>
    <row r="4567" spans="12:13" customFormat="1" x14ac:dyDescent="0.25">
      <c r="L4567" s="530"/>
      <c r="M4567" s="530"/>
    </row>
    <row r="4568" spans="12:13" customFormat="1" x14ac:dyDescent="0.25">
      <c r="L4568" s="530"/>
      <c r="M4568" s="530"/>
    </row>
    <row r="4569" spans="12:13" customFormat="1" x14ac:dyDescent="0.25">
      <c r="L4569" s="530"/>
      <c r="M4569" s="530"/>
    </row>
    <row r="4570" spans="12:13" customFormat="1" x14ac:dyDescent="0.25">
      <c r="L4570" s="530"/>
      <c r="M4570" s="530"/>
    </row>
    <row r="4571" spans="12:13" customFormat="1" x14ac:dyDescent="0.25">
      <c r="L4571" s="530"/>
      <c r="M4571" s="530"/>
    </row>
    <row r="4572" spans="12:13" customFormat="1" x14ac:dyDescent="0.25">
      <c r="L4572" s="530"/>
      <c r="M4572" s="530"/>
    </row>
    <row r="4573" spans="12:13" customFormat="1" x14ac:dyDescent="0.25">
      <c r="L4573" s="530"/>
      <c r="M4573" s="530"/>
    </row>
    <row r="4574" spans="12:13" customFormat="1" x14ac:dyDescent="0.25">
      <c r="L4574" s="530"/>
      <c r="M4574" s="530"/>
    </row>
    <row r="4575" spans="12:13" customFormat="1" x14ac:dyDescent="0.25">
      <c r="L4575" s="530"/>
      <c r="M4575" s="530"/>
    </row>
    <row r="4576" spans="12:13" customFormat="1" x14ac:dyDescent="0.25">
      <c r="L4576" s="530"/>
      <c r="M4576" s="530"/>
    </row>
    <row r="4577" spans="12:13" customFormat="1" x14ac:dyDescent="0.25">
      <c r="L4577" s="530"/>
      <c r="M4577" s="530"/>
    </row>
    <row r="4578" spans="12:13" customFormat="1" x14ac:dyDescent="0.25">
      <c r="L4578" s="530"/>
      <c r="M4578" s="530"/>
    </row>
    <row r="4579" spans="12:13" customFormat="1" x14ac:dyDescent="0.25">
      <c r="L4579" s="530"/>
      <c r="M4579" s="530"/>
    </row>
    <row r="4580" spans="12:13" customFormat="1" x14ac:dyDescent="0.25">
      <c r="L4580" s="530"/>
      <c r="M4580" s="530"/>
    </row>
    <row r="4581" spans="12:13" customFormat="1" x14ac:dyDescent="0.25">
      <c r="L4581" s="530"/>
      <c r="M4581" s="530"/>
    </row>
    <row r="4582" spans="12:13" customFormat="1" x14ac:dyDescent="0.25">
      <c r="L4582" s="530"/>
      <c r="M4582" s="530"/>
    </row>
    <row r="4583" spans="12:13" customFormat="1" x14ac:dyDescent="0.25">
      <c r="L4583" s="530"/>
      <c r="M4583" s="530"/>
    </row>
    <row r="4584" spans="12:13" customFormat="1" x14ac:dyDescent="0.25">
      <c r="L4584" s="530"/>
      <c r="M4584" s="530"/>
    </row>
    <row r="4585" spans="12:13" customFormat="1" x14ac:dyDescent="0.25">
      <c r="L4585" s="530"/>
      <c r="M4585" s="530"/>
    </row>
    <row r="4586" spans="12:13" customFormat="1" x14ac:dyDescent="0.25">
      <c r="L4586" s="530"/>
      <c r="M4586" s="530"/>
    </row>
    <row r="4587" spans="12:13" customFormat="1" x14ac:dyDescent="0.25">
      <c r="L4587" s="530"/>
      <c r="M4587" s="530"/>
    </row>
    <row r="4588" spans="12:13" customFormat="1" x14ac:dyDescent="0.25">
      <c r="L4588" s="530"/>
      <c r="M4588" s="530"/>
    </row>
    <row r="4589" spans="12:13" customFormat="1" x14ac:dyDescent="0.25">
      <c r="L4589" s="530"/>
      <c r="M4589" s="530"/>
    </row>
    <row r="4590" spans="12:13" customFormat="1" x14ac:dyDescent="0.25">
      <c r="L4590" s="530"/>
      <c r="M4590" s="530"/>
    </row>
    <row r="4591" spans="12:13" customFormat="1" x14ac:dyDescent="0.25">
      <c r="L4591" s="530"/>
      <c r="M4591" s="530"/>
    </row>
    <row r="4592" spans="12:13" customFormat="1" x14ac:dyDescent="0.25">
      <c r="L4592" s="530"/>
      <c r="M4592" s="530"/>
    </row>
    <row r="4593" spans="12:13" customFormat="1" x14ac:dyDescent="0.25">
      <c r="L4593" s="530"/>
      <c r="M4593" s="530"/>
    </row>
    <row r="4594" spans="12:13" customFormat="1" x14ac:dyDescent="0.25">
      <c r="L4594" s="530"/>
      <c r="M4594" s="530"/>
    </row>
    <row r="4595" spans="12:13" customFormat="1" x14ac:dyDescent="0.25">
      <c r="L4595" s="530"/>
      <c r="M4595" s="530"/>
    </row>
    <row r="4596" spans="12:13" customFormat="1" x14ac:dyDescent="0.25">
      <c r="L4596" s="530"/>
      <c r="M4596" s="530"/>
    </row>
    <row r="4597" spans="12:13" customFormat="1" x14ac:dyDescent="0.25">
      <c r="L4597" s="530"/>
      <c r="M4597" s="530"/>
    </row>
    <row r="4598" spans="12:13" customFormat="1" x14ac:dyDescent="0.25">
      <c r="L4598" s="530"/>
      <c r="M4598" s="530"/>
    </row>
    <row r="4599" spans="12:13" customFormat="1" x14ac:dyDescent="0.25">
      <c r="L4599" s="530"/>
      <c r="M4599" s="530"/>
    </row>
    <row r="4600" spans="12:13" customFormat="1" x14ac:dyDescent="0.25">
      <c r="L4600" s="530"/>
      <c r="M4600" s="530"/>
    </row>
    <row r="4601" spans="12:13" customFormat="1" x14ac:dyDescent="0.25">
      <c r="L4601" s="530"/>
      <c r="M4601" s="530"/>
    </row>
    <row r="4602" spans="12:13" customFormat="1" x14ac:dyDescent="0.25">
      <c r="L4602" s="530"/>
      <c r="M4602" s="530"/>
    </row>
    <row r="4603" spans="12:13" customFormat="1" x14ac:dyDescent="0.25">
      <c r="L4603" s="530"/>
      <c r="M4603" s="530"/>
    </row>
    <row r="4604" spans="12:13" customFormat="1" x14ac:dyDescent="0.25">
      <c r="L4604" s="530"/>
      <c r="M4604" s="530"/>
    </row>
    <row r="4605" spans="12:13" customFormat="1" x14ac:dyDescent="0.25">
      <c r="L4605" s="530"/>
      <c r="M4605" s="530"/>
    </row>
    <row r="4606" spans="12:13" customFormat="1" x14ac:dyDescent="0.25">
      <c r="L4606" s="530"/>
      <c r="M4606" s="530"/>
    </row>
    <row r="4607" spans="12:13" customFormat="1" x14ac:dyDescent="0.25">
      <c r="L4607" s="530"/>
      <c r="M4607" s="530"/>
    </row>
    <row r="4608" spans="12:13" customFormat="1" x14ac:dyDescent="0.25">
      <c r="L4608" s="530"/>
      <c r="M4608" s="530"/>
    </row>
    <row r="4609" spans="12:13" customFormat="1" x14ac:dyDescent="0.25">
      <c r="L4609" s="530"/>
      <c r="M4609" s="530"/>
    </row>
    <row r="4610" spans="12:13" customFormat="1" x14ac:dyDescent="0.25">
      <c r="L4610" s="530"/>
      <c r="M4610" s="530"/>
    </row>
    <row r="4611" spans="12:13" customFormat="1" x14ac:dyDescent="0.25">
      <c r="L4611" s="530"/>
      <c r="M4611" s="530"/>
    </row>
    <row r="4612" spans="12:13" customFormat="1" x14ac:dyDescent="0.25">
      <c r="L4612" s="530"/>
      <c r="M4612" s="530"/>
    </row>
    <row r="4613" spans="12:13" customFormat="1" x14ac:dyDescent="0.25">
      <c r="L4613" s="530"/>
      <c r="M4613" s="530"/>
    </row>
    <row r="4614" spans="12:13" customFormat="1" x14ac:dyDescent="0.25">
      <c r="L4614" s="530"/>
      <c r="M4614" s="530"/>
    </row>
    <row r="4615" spans="12:13" customFormat="1" x14ac:dyDescent="0.25">
      <c r="L4615" s="530"/>
      <c r="M4615" s="530"/>
    </row>
    <row r="4616" spans="12:13" customFormat="1" x14ac:dyDescent="0.25">
      <c r="L4616" s="530"/>
      <c r="M4616" s="530"/>
    </row>
    <row r="4617" spans="12:13" customFormat="1" x14ac:dyDescent="0.25">
      <c r="L4617" s="530"/>
      <c r="M4617" s="530"/>
    </row>
    <row r="4618" spans="12:13" customFormat="1" x14ac:dyDescent="0.25">
      <c r="L4618" s="530"/>
      <c r="M4618" s="530"/>
    </row>
    <row r="4619" spans="12:13" customFormat="1" x14ac:dyDescent="0.25">
      <c r="L4619" s="530"/>
      <c r="M4619" s="530"/>
    </row>
    <row r="4620" spans="12:13" customFormat="1" x14ac:dyDescent="0.25">
      <c r="L4620" s="530"/>
      <c r="M4620" s="530"/>
    </row>
    <row r="4621" spans="12:13" customFormat="1" x14ac:dyDescent="0.25">
      <c r="L4621" s="530"/>
      <c r="M4621" s="530"/>
    </row>
    <row r="4622" spans="12:13" customFormat="1" x14ac:dyDescent="0.25">
      <c r="L4622" s="530"/>
      <c r="M4622" s="530"/>
    </row>
    <row r="4623" spans="12:13" customFormat="1" x14ac:dyDescent="0.25">
      <c r="L4623" s="530"/>
      <c r="M4623" s="530"/>
    </row>
    <row r="4624" spans="12:13" customFormat="1" x14ac:dyDescent="0.25">
      <c r="L4624" s="530"/>
      <c r="M4624" s="530"/>
    </row>
    <row r="4625" spans="12:13" customFormat="1" x14ac:dyDescent="0.25">
      <c r="L4625" s="530"/>
      <c r="M4625" s="530"/>
    </row>
    <row r="4626" spans="12:13" customFormat="1" x14ac:dyDescent="0.25">
      <c r="L4626" s="530"/>
      <c r="M4626" s="530"/>
    </row>
    <row r="4627" spans="12:13" customFormat="1" x14ac:dyDescent="0.25">
      <c r="L4627" s="530"/>
      <c r="M4627" s="530"/>
    </row>
    <row r="4628" spans="12:13" customFormat="1" x14ac:dyDescent="0.25">
      <c r="L4628" s="530"/>
      <c r="M4628" s="530"/>
    </row>
    <row r="4629" spans="12:13" customFormat="1" x14ac:dyDescent="0.25">
      <c r="L4629" s="530"/>
      <c r="M4629" s="530"/>
    </row>
    <row r="4630" spans="12:13" customFormat="1" x14ac:dyDescent="0.25">
      <c r="L4630" s="530"/>
      <c r="M4630" s="530"/>
    </row>
    <row r="4631" spans="12:13" customFormat="1" x14ac:dyDescent="0.25">
      <c r="L4631" s="530"/>
      <c r="M4631" s="530"/>
    </row>
    <row r="4632" spans="12:13" customFormat="1" x14ac:dyDescent="0.25">
      <c r="L4632" s="530"/>
      <c r="M4632" s="530"/>
    </row>
    <row r="4633" spans="12:13" customFormat="1" x14ac:dyDescent="0.25">
      <c r="L4633" s="530"/>
      <c r="M4633" s="530"/>
    </row>
    <row r="4634" spans="12:13" customFormat="1" x14ac:dyDescent="0.25">
      <c r="L4634" s="530"/>
      <c r="M4634" s="530"/>
    </row>
    <row r="4635" spans="12:13" customFormat="1" x14ac:dyDescent="0.25">
      <c r="L4635" s="530"/>
      <c r="M4635" s="530"/>
    </row>
    <row r="4636" spans="12:13" customFormat="1" x14ac:dyDescent="0.25">
      <c r="L4636" s="530"/>
      <c r="M4636" s="530"/>
    </row>
    <row r="4637" spans="12:13" customFormat="1" x14ac:dyDescent="0.25">
      <c r="L4637" s="530"/>
      <c r="M4637" s="530"/>
    </row>
    <row r="4638" spans="12:13" customFormat="1" x14ac:dyDescent="0.25">
      <c r="L4638" s="530"/>
      <c r="M4638" s="530"/>
    </row>
    <row r="4639" spans="12:13" customFormat="1" x14ac:dyDescent="0.25">
      <c r="L4639" s="530"/>
      <c r="M4639" s="530"/>
    </row>
    <row r="4640" spans="12:13" customFormat="1" x14ac:dyDescent="0.25">
      <c r="L4640" s="530"/>
      <c r="M4640" s="530"/>
    </row>
    <row r="4641" spans="12:13" customFormat="1" x14ac:dyDescent="0.25">
      <c r="L4641" s="530"/>
      <c r="M4641" s="530"/>
    </row>
    <row r="4642" spans="12:13" customFormat="1" x14ac:dyDescent="0.25">
      <c r="L4642" s="530"/>
      <c r="M4642" s="530"/>
    </row>
    <row r="4643" spans="12:13" customFormat="1" x14ac:dyDescent="0.25">
      <c r="L4643" s="530"/>
      <c r="M4643" s="530"/>
    </row>
    <row r="4644" spans="12:13" customFormat="1" x14ac:dyDescent="0.25">
      <c r="L4644" s="530"/>
      <c r="M4644" s="530"/>
    </row>
    <row r="4645" spans="12:13" customFormat="1" x14ac:dyDescent="0.25">
      <c r="L4645" s="530"/>
      <c r="M4645" s="530"/>
    </row>
    <row r="4646" spans="12:13" customFormat="1" x14ac:dyDescent="0.25">
      <c r="L4646" s="530"/>
      <c r="M4646" s="530"/>
    </row>
    <row r="4647" spans="12:13" customFormat="1" x14ac:dyDescent="0.25">
      <c r="L4647" s="530"/>
      <c r="M4647" s="530"/>
    </row>
    <row r="4648" spans="12:13" customFormat="1" x14ac:dyDescent="0.25">
      <c r="L4648" s="530"/>
      <c r="M4648" s="530"/>
    </row>
    <row r="4649" spans="12:13" customFormat="1" x14ac:dyDescent="0.25">
      <c r="L4649" s="530"/>
      <c r="M4649" s="530"/>
    </row>
    <row r="4650" spans="12:13" customFormat="1" x14ac:dyDescent="0.25">
      <c r="L4650" s="530"/>
      <c r="M4650" s="530"/>
    </row>
    <row r="4651" spans="12:13" customFormat="1" x14ac:dyDescent="0.25">
      <c r="L4651" s="530"/>
      <c r="M4651" s="530"/>
    </row>
    <row r="4652" spans="12:13" customFormat="1" x14ac:dyDescent="0.25">
      <c r="L4652" s="530"/>
      <c r="M4652" s="530"/>
    </row>
    <row r="4653" spans="12:13" customFormat="1" x14ac:dyDescent="0.25">
      <c r="L4653" s="530"/>
      <c r="M4653" s="530"/>
    </row>
    <row r="4654" spans="12:13" customFormat="1" x14ac:dyDescent="0.25">
      <c r="L4654" s="530"/>
      <c r="M4654" s="530"/>
    </row>
    <row r="4655" spans="12:13" customFormat="1" x14ac:dyDescent="0.25">
      <c r="L4655" s="530"/>
      <c r="M4655" s="530"/>
    </row>
    <row r="4656" spans="12:13" customFormat="1" x14ac:dyDescent="0.25">
      <c r="L4656" s="530"/>
      <c r="M4656" s="530"/>
    </row>
    <row r="4657" spans="12:13" customFormat="1" x14ac:dyDescent="0.25">
      <c r="L4657" s="530"/>
      <c r="M4657" s="530"/>
    </row>
    <row r="4658" spans="12:13" customFormat="1" x14ac:dyDescent="0.25">
      <c r="L4658" s="530"/>
      <c r="M4658" s="530"/>
    </row>
    <row r="4659" spans="12:13" customFormat="1" x14ac:dyDescent="0.25">
      <c r="L4659" s="530"/>
      <c r="M4659" s="530"/>
    </row>
    <row r="4660" spans="12:13" customFormat="1" x14ac:dyDescent="0.25">
      <c r="L4660" s="530"/>
      <c r="M4660" s="530"/>
    </row>
    <row r="4661" spans="12:13" customFormat="1" x14ac:dyDescent="0.25">
      <c r="L4661" s="530"/>
      <c r="M4661" s="530"/>
    </row>
    <row r="4662" spans="12:13" customFormat="1" x14ac:dyDescent="0.25">
      <c r="L4662" s="530"/>
      <c r="M4662" s="530"/>
    </row>
    <row r="4663" spans="12:13" customFormat="1" x14ac:dyDescent="0.25">
      <c r="L4663" s="530"/>
      <c r="M4663" s="530"/>
    </row>
    <row r="4664" spans="12:13" customFormat="1" x14ac:dyDescent="0.25">
      <c r="L4664" s="530"/>
      <c r="M4664" s="530"/>
    </row>
    <row r="4665" spans="12:13" customFormat="1" x14ac:dyDescent="0.25">
      <c r="L4665" s="530"/>
      <c r="M4665" s="530"/>
    </row>
    <row r="4666" spans="12:13" customFormat="1" x14ac:dyDescent="0.25">
      <c r="L4666" s="530"/>
      <c r="M4666" s="530"/>
    </row>
    <row r="4667" spans="12:13" customFormat="1" x14ac:dyDescent="0.25">
      <c r="L4667" s="530"/>
      <c r="M4667" s="530"/>
    </row>
    <row r="4668" spans="12:13" customFormat="1" x14ac:dyDescent="0.25">
      <c r="L4668" s="530"/>
      <c r="M4668" s="530"/>
    </row>
    <row r="4669" spans="12:13" customFormat="1" x14ac:dyDescent="0.25">
      <c r="L4669" s="530"/>
      <c r="M4669" s="530"/>
    </row>
    <row r="4670" spans="12:13" customFormat="1" x14ac:dyDescent="0.25">
      <c r="L4670" s="530"/>
      <c r="M4670" s="530"/>
    </row>
    <row r="4671" spans="12:13" customFormat="1" x14ac:dyDescent="0.25">
      <c r="L4671" s="530"/>
      <c r="M4671" s="530"/>
    </row>
    <row r="4672" spans="12:13" customFormat="1" x14ac:dyDescent="0.25">
      <c r="L4672" s="530"/>
      <c r="M4672" s="530"/>
    </row>
    <row r="4673" spans="12:13" customFormat="1" x14ac:dyDescent="0.25">
      <c r="L4673" s="530"/>
      <c r="M4673" s="530"/>
    </row>
    <row r="4674" spans="12:13" customFormat="1" x14ac:dyDescent="0.25">
      <c r="L4674" s="530"/>
      <c r="M4674" s="530"/>
    </row>
    <row r="4675" spans="12:13" customFormat="1" x14ac:dyDescent="0.25">
      <c r="L4675" s="530"/>
      <c r="M4675" s="530"/>
    </row>
    <row r="4676" spans="12:13" customFormat="1" x14ac:dyDescent="0.25">
      <c r="L4676" s="530"/>
      <c r="M4676" s="530"/>
    </row>
    <row r="4677" spans="12:13" customFormat="1" x14ac:dyDescent="0.25">
      <c r="L4677" s="530"/>
      <c r="M4677" s="530"/>
    </row>
    <row r="4678" spans="12:13" customFormat="1" x14ac:dyDescent="0.25">
      <c r="L4678" s="530"/>
      <c r="M4678" s="530"/>
    </row>
    <row r="4679" spans="12:13" customFormat="1" x14ac:dyDescent="0.25">
      <c r="L4679" s="530"/>
      <c r="M4679" s="530"/>
    </row>
    <row r="4680" spans="12:13" customFormat="1" x14ac:dyDescent="0.25">
      <c r="L4680" s="530"/>
      <c r="M4680" s="530"/>
    </row>
    <row r="4681" spans="12:13" customFormat="1" x14ac:dyDescent="0.25">
      <c r="L4681" s="530"/>
      <c r="M4681" s="530"/>
    </row>
    <row r="4682" spans="12:13" customFormat="1" x14ac:dyDescent="0.25">
      <c r="L4682" s="530"/>
      <c r="M4682" s="530"/>
    </row>
    <row r="4683" spans="12:13" customFormat="1" x14ac:dyDescent="0.25">
      <c r="L4683" s="530"/>
      <c r="M4683" s="530"/>
    </row>
    <row r="4684" spans="12:13" customFormat="1" x14ac:dyDescent="0.25">
      <c r="L4684" s="530"/>
      <c r="M4684" s="530"/>
    </row>
    <row r="4685" spans="12:13" customFormat="1" x14ac:dyDescent="0.25">
      <c r="L4685" s="530"/>
      <c r="M4685" s="530"/>
    </row>
    <row r="4686" spans="12:13" customFormat="1" x14ac:dyDescent="0.25">
      <c r="L4686" s="530"/>
      <c r="M4686" s="530"/>
    </row>
    <row r="4687" spans="12:13" customFormat="1" x14ac:dyDescent="0.25">
      <c r="L4687" s="530"/>
      <c r="M4687" s="530"/>
    </row>
    <row r="4688" spans="12:13" customFormat="1" x14ac:dyDescent="0.25">
      <c r="L4688" s="530"/>
      <c r="M4688" s="530"/>
    </row>
    <row r="4689" spans="12:13" customFormat="1" x14ac:dyDescent="0.25">
      <c r="L4689" s="530"/>
      <c r="M4689" s="530"/>
    </row>
    <row r="4690" spans="12:13" customFormat="1" x14ac:dyDescent="0.25">
      <c r="L4690" s="530"/>
      <c r="M4690" s="530"/>
    </row>
    <row r="4691" spans="12:13" customFormat="1" x14ac:dyDescent="0.25">
      <c r="L4691" s="530"/>
      <c r="M4691" s="530"/>
    </row>
    <row r="4692" spans="12:13" customFormat="1" x14ac:dyDescent="0.25">
      <c r="L4692" s="530"/>
      <c r="M4692" s="530"/>
    </row>
    <row r="4693" spans="12:13" customFormat="1" x14ac:dyDescent="0.25">
      <c r="L4693" s="530"/>
      <c r="M4693" s="530"/>
    </row>
    <row r="4694" spans="12:13" customFormat="1" x14ac:dyDescent="0.25">
      <c r="L4694" s="530"/>
      <c r="M4694" s="530"/>
    </row>
    <row r="4695" spans="12:13" customFormat="1" x14ac:dyDescent="0.25">
      <c r="L4695" s="530"/>
      <c r="M4695" s="530"/>
    </row>
    <row r="4696" spans="12:13" customFormat="1" x14ac:dyDescent="0.25">
      <c r="L4696" s="530"/>
      <c r="M4696" s="530"/>
    </row>
    <row r="4697" spans="12:13" customFormat="1" x14ac:dyDescent="0.25">
      <c r="L4697" s="530"/>
      <c r="M4697" s="530"/>
    </row>
    <row r="4698" spans="12:13" customFormat="1" x14ac:dyDescent="0.25">
      <c r="L4698" s="530"/>
      <c r="M4698" s="530"/>
    </row>
    <row r="4699" spans="12:13" customFormat="1" x14ac:dyDescent="0.25">
      <c r="L4699" s="530"/>
      <c r="M4699" s="530"/>
    </row>
    <row r="4700" spans="12:13" customFormat="1" x14ac:dyDescent="0.25">
      <c r="L4700" s="530"/>
      <c r="M4700" s="530"/>
    </row>
    <row r="4701" spans="12:13" customFormat="1" x14ac:dyDescent="0.25">
      <c r="L4701" s="530"/>
      <c r="M4701" s="530"/>
    </row>
    <row r="4702" spans="12:13" customFormat="1" x14ac:dyDescent="0.25">
      <c r="L4702" s="530"/>
      <c r="M4702" s="530"/>
    </row>
    <row r="4703" spans="12:13" customFormat="1" x14ac:dyDescent="0.25">
      <c r="L4703" s="530"/>
      <c r="M4703" s="530"/>
    </row>
    <row r="4704" spans="12:13" customFormat="1" x14ac:dyDescent="0.25">
      <c r="L4704" s="530"/>
      <c r="M4704" s="530"/>
    </row>
    <row r="4705" spans="12:13" customFormat="1" x14ac:dyDescent="0.25">
      <c r="L4705" s="530"/>
      <c r="M4705" s="530"/>
    </row>
    <row r="4706" spans="12:13" customFormat="1" x14ac:dyDescent="0.25">
      <c r="L4706" s="530"/>
      <c r="M4706" s="530"/>
    </row>
    <row r="4707" spans="12:13" customFormat="1" x14ac:dyDescent="0.25">
      <c r="L4707" s="530"/>
      <c r="M4707" s="530"/>
    </row>
    <row r="4708" spans="12:13" customFormat="1" x14ac:dyDescent="0.25">
      <c r="L4708" s="530"/>
      <c r="M4708" s="530"/>
    </row>
    <row r="4709" spans="12:13" customFormat="1" x14ac:dyDescent="0.25">
      <c r="L4709" s="530"/>
      <c r="M4709" s="530"/>
    </row>
    <row r="4710" spans="12:13" customFormat="1" x14ac:dyDescent="0.25">
      <c r="L4710" s="530"/>
      <c r="M4710" s="530"/>
    </row>
    <row r="4711" spans="12:13" customFormat="1" x14ac:dyDescent="0.25">
      <c r="L4711" s="530"/>
      <c r="M4711" s="530"/>
    </row>
    <row r="4712" spans="12:13" customFormat="1" x14ac:dyDescent="0.25">
      <c r="L4712" s="530"/>
      <c r="M4712" s="530"/>
    </row>
    <row r="4713" spans="12:13" customFormat="1" x14ac:dyDescent="0.25">
      <c r="L4713" s="530"/>
      <c r="M4713" s="530"/>
    </row>
    <row r="4714" spans="12:13" customFormat="1" x14ac:dyDescent="0.25">
      <c r="L4714" s="530"/>
      <c r="M4714" s="530"/>
    </row>
    <row r="4715" spans="12:13" customFormat="1" x14ac:dyDescent="0.25">
      <c r="L4715" s="530"/>
      <c r="M4715" s="530"/>
    </row>
    <row r="4716" spans="12:13" customFormat="1" x14ac:dyDescent="0.25">
      <c r="L4716" s="530"/>
      <c r="M4716" s="530"/>
    </row>
    <row r="4717" spans="12:13" customFormat="1" x14ac:dyDescent="0.25">
      <c r="L4717" s="530"/>
      <c r="M4717" s="530"/>
    </row>
    <row r="4718" spans="12:13" customFormat="1" x14ac:dyDescent="0.25">
      <c r="L4718" s="530"/>
      <c r="M4718" s="530"/>
    </row>
    <row r="4719" spans="12:13" customFormat="1" x14ac:dyDescent="0.25">
      <c r="L4719" s="530"/>
      <c r="M4719" s="530"/>
    </row>
    <row r="4720" spans="12:13" customFormat="1" x14ac:dyDescent="0.25">
      <c r="L4720" s="530"/>
      <c r="M4720" s="530"/>
    </row>
    <row r="4721" spans="12:13" customFormat="1" x14ac:dyDescent="0.25">
      <c r="L4721" s="530"/>
      <c r="M4721" s="530"/>
    </row>
    <row r="4722" spans="12:13" customFormat="1" x14ac:dyDescent="0.25">
      <c r="L4722" s="530"/>
      <c r="M4722" s="530"/>
    </row>
    <row r="4723" spans="12:13" customFormat="1" x14ac:dyDescent="0.25">
      <c r="L4723" s="530"/>
      <c r="M4723" s="530"/>
    </row>
    <row r="4724" spans="12:13" customFormat="1" x14ac:dyDescent="0.25">
      <c r="L4724" s="530"/>
      <c r="M4724" s="530"/>
    </row>
    <row r="4725" spans="12:13" customFormat="1" x14ac:dyDescent="0.25">
      <c r="L4725" s="530"/>
      <c r="M4725" s="530"/>
    </row>
    <row r="4726" spans="12:13" customFormat="1" x14ac:dyDescent="0.25">
      <c r="L4726" s="530"/>
      <c r="M4726" s="530"/>
    </row>
    <row r="4727" spans="12:13" customFormat="1" x14ac:dyDescent="0.25">
      <c r="L4727" s="530"/>
      <c r="M4727" s="530"/>
    </row>
    <row r="4728" spans="12:13" customFormat="1" x14ac:dyDescent="0.25">
      <c r="L4728" s="530"/>
      <c r="M4728" s="530"/>
    </row>
    <row r="4729" spans="12:13" customFormat="1" x14ac:dyDescent="0.25">
      <c r="L4729" s="530"/>
      <c r="M4729" s="530"/>
    </row>
    <row r="4730" spans="12:13" customFormat="1" x14ac:dyDescent="0.25">
      <c r="L4730" s="530"/>
      <c r="M4730" s="530"/>
    </row>
    <row r="4731" spans="12:13" customFormat="1" x14ac:dyDescent="0.25">
      <c r="L4731" s="530"/>
      <c r="M4731" s="530"/>
    </row>
    <row r="4732" spans="12:13" customFormat="1" x14ac:dyDescent="0.25">
      <c r="L4732" s="530"/>
      <c r="M4732" s="530"/>
    </row>
    <row r="4733" spans="12:13" customFormat="1" x14ac:dyDescent="0.25">
      <c r="L4733" s="530"/>
      <c r="M4733" s="530"/>
    </row>
    <row r="4734" spans="12:13" customFormat="1" x14ac:dyDescent="0.25">
      <c r="L4734" s="530"/>
      <c r="M4734" s="530"/>
    </row>
    <row r="4735" spans="12:13" customFormat="1" x14ac:dyDescent="0.25">
      <c r="L4735" s="530"/>
      <c r="M4735" s="530"/>
    </row>
    <row r="4736" spans="12:13" customFormat="1" x14ac:dyDescent="0.25">
      <c r="L4736" s="530"/>
      <c r="M4736" s="530"/>
    </row>
    <row r="4737" spans="12:13" customFormat="1" x14ac:dyDescent="0.25">
      <c r="L4737" s="530"/>
      <c r="M4737" s="530"/>
    </row>
    <row r="4738" spans="12:13" customFormat="1" x14ac:dyDescent="0.25">
      <c r="L4738" s="530"/>
      <c r="M4738" s="530"/>
    </row>
    <row r="4739" spans="12:13" customFormat="1" x14ac:dyDescent="0.25">
      <c r="L4739" s="530"/>
      <c r="M4739" s="530"/>
    </row>
    <row r="4740" spans="12:13" customFormat="1" x14ac:dyDescent="0.25">
      <c r="L4740" s="530"/>
      <c r="M4740" s="530"/>
    </row>
    <row r="4741" spans="12:13" customFormat="1" x14ac:dyDescent="0.25">
      <c r="L4741" s="530"/>
      <c r="M4741" s="530"/>
    </row>
    <row r="4742" spans="12:13" customFormat="1" x14ac:dyDescent="0.25">
      <c r="L4742" s="530"/>
      <c r="M4742" s="530"/>
    </row>
    <row r="4743" spans="12:13" customFormat="1" x14ac:dyDescent="0.25">
      <c r="L4743" s="530"/>
      <c r="M4743" s="530"/>
    </row>
    <row r="4744" spans="12:13" customFormat="1" x14ac:dyDescent="0.25">
      <c r="L4744" s="530"/>
      <c r="M4744" s="530"/>
    </row>
    <row r="4745" spans="12:13" customFormat="1" x14ac:dyDescent="0.25">
      <c r="L4745" s="530"/>
      <c r="M4745" s="530"/>
    </row>
    <row r="4746" spans="12:13" customFormat="1" x14ac:dyDescent="0.25">
      <c r="L4746" s="530"/>
      <c r="M4746" s="530"/>
    </row>
    <row r="4747" spans="12:13" customFormat="1" x14ac:dyDescent="0.25">
      <c r="L4747" s="530"/>
      <c r="M4747" s="530"/>
    </row>
    <row r="4748" spans="12:13" customFormat="1" x14ac:dyDescent="0.25">
      <c r="L4748" s="530"/>
      <c r="M4748" s="530"/>
    </row>
    <row r="4749" spans="12:13" customFormat="1" x14ac:dyDescent="0.25">
      <c r="L4749" s="530"/>
      <c r="M4749" s="530"/>
    </row>
    <row r="4750" spans="12:13" customFormat="1" x14ac:dyDescent="0.25">
      <c r="L4750" s="530"/>
      <c r="M4750" s="530"/>
    </row>
    <row r="4751" spans="12:13" customFormat="1" x14ac:dyDescent="0.25">
      <c r="L4751" s="530"/>
      <c r="M4751" s="530"/>
    </row>
    <row r="4752" spans="12:13" customFormat="1" x14ac:dyDescent="0.25">
      <c r="L4752" s="530"/>
      <c r="M4752" s="530"/>
    </row>
    <row r="4753" spans="12:13" customFormat="1" x14ac:dyDescent="0.25">
      <c r="L4753" s="530"/>
      <c r="M4753" s="530"/>
    </row>
    <row r="4754" spans="12:13" customFormat="1" x14ac:dyDescent="0.25">
      <c r="L4754" s="530"/>
      <c r="M4754" s="530"/>
    </row>
    <row r="4755" spans="12:13" customFormat="1" x14ac:dyDescent="0.25">
      <c r="L4755" s="530"/>
      <c r="M4755" s="530"/>
    </row>
    <row r="4756" spans="12:13" customFormat="1" x14ac:dyDescent="0.25">
      <c r="L4756" s="530"/>
      <c r="M4756" s="530"/>
    </row>
    <row r="4757" spans="12:13" customFormat="1" x14ac:dyDescent="0.25">
      <c r="L4757" s="530"/>
      <c r="M4757" s="530"/>
    </row>
    <row r="4758" spans="12:13" customFormat="1" x14ac:dyDescent="0.25">
      <c r="L4758" s="530"/>
      <c r="M4758" s="530"/>
    </row>
    <row r="4759" spans="12:13" customFormat="1" x14ac:dyDescent="0.25">
      <c r="L4759" s="530"/>
      <c r="M4759" s="530"/>
    </row>
    <row r="4760" spans="12:13" customFormat="1" x14ac:dyDescent="0.25">
      <c r="L4760" s="530"/>
      <c r="M4760" s="530"/>
    </row>
    <row r="4761" spans="12:13" customFormat="1" x14ac:dyDescent="0.25">
      <c r="L4761" s="530"/>
      <c r="M4761" s="530"/>
    </row>
    <row r="4762" spans="12:13" customFormat="1" x14ac:dyDescent="0.25">
      <c r="L4762" s="530"/>
      <c r="M4762" s="530"/>
    </row>
    <row r="4763" spans="12:13" customFormat="1" x14ac:dyDescent="0.25">
      <c r="L4763" s="530"/>
      <c r="M4763" s="530"/>
    </row>
    <row r="4764" spans="12:13" customFormat="1" x14ac:dyDescent="0.25">
      <c r="L4764" s="530"/>
      <c r="M4764" s="530"/>
    </row>
    <row r="4765" spans="12:13" customFormat="1" x14ac:dyDescent="0.25">
      <c r="L4765" s="530"/>
      <c r="M4765" s="530"/>
    </row>
    <row r="4766" spans="12:13" customFormat="1" x14ac:dyDescent="0.25">
      <c r="L4766" s="530"/>
      <c r="M4766" s="530"/>
    </row>
    <row r="4767" spans="12:13" customFormat="1" x14ac:dyDescent="0.25">
      <c r="L4767" s="530"/>
      <c r="M4767" s="530"/>
    </row>
    <row r="4768" spans="12:13" customFormat="1" x14ac:dyDescent="0.25">
      <c r="L4768" s="530"/>
      <c r="M4768" s="530"/>
    </row>
    <row r="4769" spans="12:13" customFormat="1" x14ac:dyDescent="0.25">
      <c r="L4769" s="530"/>
      <c r="M4769" s="530"/>
    </row>
    <row r="4770" spans="12:13" customFormat="1" x14ac:dyDescent="0.25">
      <c r="L4770" s="530"/>
      <c r="M4770" s="530"/>
    </row>
    <row r="4771" spans="12:13" customFormat="1" x14ac:dyDescent="0.25">
      <c r="L4771" s="530"/>
      <c r="M4771" s="530"/>
    </row>
    <row r="4772" spans="12:13" customFormat="1" x14ac:dyDescent="0.25">
      <c r="L4772" s="530"/>
      <c r="M4772" s="530"/>
    </row>
    <row r="4773" spans="12:13" customFormat="1" x14ac:dyDescent="0.25">
      <c r="L4773" s="530"/>
      <c r="M4773" s="530"/>
    </row>
    <row r="4774" spans="12:13" customFormat="1" x14ac:dyDescent="0.25">
      <c r="L4774" s="530"/>
      <c r="M4774" s="530"/>
    </row>
    <row r="4775" spans="12:13" customFormat="1" x14ac:dyDescent="0.25">
      <c r="L4775" s="530"/>
      <c r="M4775" s="530"/>
    </row>
    <row r="4776" spans="12:13" customFormat="1" x14ac:dyDescent="0.25">
      <c r="L4776" s="530"/>
      <c r="M4776" s="530"/>
    </row>
    <row r="4777" spans="12:13" customFormat="1" x14ac:dyDescent="0.25">
      <c r="L4777" s="530"/>
      <c r="M4777" s="530"/>
    </row>
    <row r="4778" spans="12:13" customFormat="1" x14ac:dyDescent="0.25">
      <c r="L4778" s="530"/>
      <c r="M4778" s="530"/>
    </row>
    <row r="4779" spans="12:13" customFormat="1" x14ac:dyDescent="0.25">
      <c r="L4779" s="530"/>
      <c r="M4779" s="530"/>
    </row>
    <row r="4780" spans="12:13" customFormat="1" x14ac:dyDescent="0.25">
      <c r="L4780" s="530"/>
      <c r="M4780" s="530"/>
    </row>
    <row r="4781" spans="12:13" customFormat="1" x14ac:dyDescent="0.25">
      <c r="L4781" s="530"/>
      <c r="M4781" s="530"/>
    </row>
    <row r="4782" spans="12:13" customFormat="1" x14ac:dyDescent="0.25">
      <c r="L4782" s="530"/>
      <c r="M4782" s="530"/>
    </row>
    <row r="4783" spans="12:13" customFormat="1" x14ac:dyDescent="0.25">
      <c r="L4783" s="530"/>
      <c r="M4783" s="530"/>
    </row>
    <row r="4784" spans="12:13" customFormat="1" x14ac:dyDescent="0.25">
      <c r="L4784" s="530"/>
      <c r="M4784" s="530"/>
    </row>
    <row r="4785" spans="12:13" customFormat="1" x14ac:dyDescent="0.25">
      <c r="L4785" s="530"/>
      <c r="M4785" s="530"/>
    </row>
    <row r="4786" spans="12:13" customFormat="1" x14ac:dyDescent="0.25">
      <c r="L4786" s="530"/>
      <c r="M4786" s="530"/>
    </row>
    <row r="4787" spans="12:13" customFormat="1" x14ac:dyDescent="0.25">
      <c r="L4787" s="530"/>
      <c r="M4787" s="530"/>
    </row>
    <row r="4788" spans="12:13" customFormat="1" x14ac:dyDescent="0.25">
      <c r="L4788" s="530"/>
      <c r="M4788" s="530"/>
    </row>
    <row r="4789" spans="12:13" customFormat="1" x14ac:dyDescent="0.25">
      <c r="L4789" s="530"/>
      <c r="M4789" s="530"/>
    </row>
    <row r="4790" spans="12:13" customFormat="1" x14ac:dyDescent="0.25">
      <c r="L4790" s="530"/>
      <c r="M4790" s="530"/>
    </row>
    <row r="4791" spans="12:13" customFormat="1" x14ac:dyDescent="0.25">
      <c r="L4791" s="530"/>
      <c r="M4791" s="530"/>
    </row>
    <row r="4792" spans="12:13" customFormat="1" x14ac:dyDescent="0.25">
      <c r="L4792" s="530"/>
      <c r="M4792" s="530"/>
    </row>
    <row r="4793" spans="12:13" customFormat="1" x14ac:dyDescent="0.25">
      <c r="L4793" s="530"/>
      <c r="M4793" s="530"/>
    </row>
    <row r="4794" spans="12:13" customFormat="1" x14ac:dyDescent="0.25">
      <c r="L4794" s="530"/>
      <c r="M4794" s="530"/>
    </row>
    <row r="4795" spans="12:13" customFormat="1" x14ac:dyDescent="0.25">
      <c r="L4795" s="530"/>
      <c r="M4795" s="530"/>
    </row>
    <row r="4796" spans="12:13" customFormat="1" x14ac:dyDescent="0.25">
      <c r="L4796" s="530"/>
      <c r="M4796" s="530"/>
    </row>
    <row r="4797" spans="12:13" customFormat="1" x14ac:dyDescent="0.25">
      <c r="L4797" s="530"/>
      <c r="M4797" s="530"/>
    </row>
    <row r="4798" spans="12:13" customFormat="1" x14ac:dyDescent="0.25">
      <c r="L4798" s="530"/>
      <c r="M4798" s="530"/>
    </row>
    <row r="4799" spans="12:13" customFormat="1" x14ac:dyDescent="0.25">
      <c r="L4799" s="530"/>
      <c r="M4799" s="530"/>
    </row>
    <row r="4800" spans="12:13" customFormat="1" x14ac:dyDescent="0.25">
      <c r="L4800" s="530"/>
      <c r="M4800" s="530"/>
    </row>
    <row r="4801" spans="12:13" customFormat="1" x14ac:dyDescent="0.25">
      <c r="L4801" s="530"/>
      <c r="M4801" s="530"/>
    </row>
    <row r="4802" spans="12:13" customFormat="1" x14ac:dyDescent="0.25">
      <c r="L4802" s="530"/>
      <c r="M4802" s="530"/>
    </row>
    <row r="4803" spans="12:13" customFormat="1" x14ac:dyDescent="0.25">
      <c r="L4803" s="530"/>
      <c r="M4803" s="530"/>
    </row>
    <row r="4804" spans="12:13" customFormat="1" x14ac:dyDescent="0.25">
      <c r="L4804" s="530"/>
      <c r="M4804" s="530"/>
    </row>
    <row r="4805" spans="12:13" customFormat="1" x14ac:dyDescent="0.25">
      <c r="L4805" s="530"/>
      <c r="M4805" s="530"/>
    </row>
    <row r="4806" spans="12:13" customFormat="1" x14ac:dyDescent="0.25">
      <c r="L4806" s="530"/>
      <c r="M4806" s="530"/>
    </row>
    <row r="4807" spans="12:13" customFormat="1" x14ac:dyDescent="0.25">
      <c r="L4807" s="530"/>
      <c r="M4807" s="530"/>
    </row>
    <row r="4808" spans="12:13" customFormat="1" x14ac:dyDescent="0.25">
      <c r="L4808" s="530"/>
      <c r="M4808" s="530"/>
    </row>
    <row r="4809" spans="12:13" customFormat="1" x14ac:dyDescent="0.25">
      <c r="L4809" s="530"/>
      <c r="M4809" s="530"/>
    </row>
    <row r="4810" spans="12:13" customFormat="1" x14ac:dyDescent="0.25">
      <c r="L4810" s="530"/>
      <c r="M4810" s="530"/>
    </row>
    <row r="4811" spans="12:13" customFormat="1" x14ac:dyDescent="0.25">
      <c r="L4811" s="530"/>
      <c r="M4811" s="530"/>
    </row>
    <row r="4812" spans="12:13" customFormat="1" x14ac:dyDescent="0.25">
      <c r="L4812" s="530"/>
      <c r="M4812" s="530"/>
    </row>
    <row r="4813" spans="12:13" customFormat="1" x14ac:dyDescent="0.25">
      <c r="L4813" s="530"/>
      <c r="M4813" s="530"/>
    </row>
    <row r="4814" spans="12:13" customFormat="1" x14ac:dyDescent="0.25">
      <c r="L4814" s="530"/>
      <c r="M4814" s="530"/>
    </row>
    <row r="4815" spans="12:13" customFormat="1" x14ac:dyDescent="0.25">
      <c r="L4815" s="530"/>
      <c r="M4815" s="530"/>
    </row>
    <row r="4816" spans="12:13" customFormat="1" x14ac:dyDescent="0.25">
      <c r="L4816" s="530"/>
      <c r="M4816" s="530"/>
    </row>
    <row r="4817" spans="12:13" customFormat="1" x14ac:dyDescent="0.25">
      <c r="L4817" s="530"/>
      <c r="M4817" s="530"/>
    </row>
    <row r="4818" spans="12:13" customFormat="1" x14ac:dyDescent="0.25">
      <c r="L4818" s="530"/>
      <c r="M4818" s="530"/>
    </row>
    <row r="4819" spans="12:13" customFormat="1" x14ac:dyDescent="0.25">
      <c r="L4819" s="530"/>
      <c r="M4819" s="530"/>
    </row>
    <row r="4820" spans="12:13" customFormat="1" x14ac:dyDescent="0.25">
      <c r="L4820" s="530"/>
      <c r="M4820" s="530"/>
    </row>
    <row r="4821" spans="12:13" customFormat="1" x14ac:dyDescent="0.25">
      <c r="L4821" s="530"/>
      <c r="M4821" s="530"/>
    </row>
    <row r="4822" spans="12:13" customFormat="1" x14ac:dyDescent="0.25">
      <c r="L4822" s="530"/>
      <c r="M4822" s="530"/>
    </row>
    <row r="4823" spans="12:13" customFormat="1" x14ac:dyDescent="0.25">
      <c r="L4823" s="530"/>
      <c r="M4823" s="530"/>
    </row>
    <row r="4824" spans="12:13" customFormat="1" x14ac:dyDescent="0.25">
      <c r="L4824" s="530"/>
      <c r="M4824" s="530"/>
    </row>
    <row r="4825" spans="12:13" customFormat="1" x14ac:dyDescent="0.25">
      <c r="L4825" s="530"/>
      <c r="M4825" s="530"/>
    </row>
    <row r="4826" spans="12:13" customFormat="1" x14ac:dyDescent="0.25">
      <c r="L4826" s="530"/>
      <c r="M4826" s="530"/>
    </row>
    <row r="4827" spans="12:13" customFormat="1" x14ac:dyDescent="0.25">
      <c r="L4827" s="530"/>
      <c r="M4827" s="530"/>
    </row>
    <row r="4828" spans="12:13" customFormat="1" x14ac:dyDescent="0.25">
      <c r="L4828" s="530"/>
      <c r="M4828" s="530"/>
    </row>
    <row r="4829" spans="12:13" customFormat="1" x14ac:dyDescent="0.25">
      <c r="L4829" s="530"/>
      <c r="M4829" s="530"/>
    </row>
    <row r="4830" spans="12:13" customFormat="1" x14ac:dyDescent="0.25">
      <c r="L4830" s="530"/>
      <c r="M4830" s="530"/>
    </row>
    <row r="4831" spans="12:13" customFormat="1" x14ac:dyDescent="0.25">
      <c r="L4831" s="530"/>
      <c r="M4831" s="530"/>
    </row>
    <row r="4832" spans="12:13" customFormat="1" x14ac:dyDescent="0.25">
      <c r="L4832" s="530"/>
      <c r="M4832" s="530"/>
    </row>
    <row r="4833" spans="12:13" customFormat="1" x14ac:dyDescent="0.25">
      <c r="L4833" s="530"/>
      <c r="M4833" s="530"/>
    </row>
    <row r="4834" spans="12:13" customFormat="1" x14ac:dyDescent="0.25">
      <c r="L4834" s="530"/>
      <c r="M4834" s="530"/>
    </row>
    <row r="4835" spans="12:13" customFormat="1" x14ac:dyDescent="0.25">
      <c r="L4835" s="530"/>
      <c r="M4835" s="530"/>
    </row>
    <row r="4836" spans="12:13" customFormat="1" x14ac:dyDescent="0.25">
      <c r="L4836" s="530"/>
      <c r="M4836" s="530"/>
    </row>
    <row r="4837" spans="12:13" customFormat="1" x14ac:dyDescent="0.25">
      <c r="L4837" s="530"/>
      <c r="M4837" s="530"/>
    </row>
    <row r="4838" spans="12:13" customFormat="1" x14ac:dyDescent="0.25">
      <c r="L4838" s="530"/>
      <c r="M4838" s="530"/>
    </row>
    <row r="4839" spans="12:13" customFormat="1" x14ac:dyDescent="0.25">
      <c r="L4839" s="530"/>
      <c r="M4839" s="530"/>
    </row>
    <row r="4840" spans="12:13" customFormat="1" x14ac:dyDescent="0.25">
      <c r="L4840" s="530"/>
      <c r="M4840" s="530"/>
    </row>
    <row r="4841" spans="12:13" customFormat="1" x14ac:dyDescent="0.25">
      <c r="L4841" s="530"/>
      <c r="M4841" s="530"/>
    </row>
    <row r="4842" spans="12:13" customFormat="1" x14ac:dyDescent="0.25">
      <c r="L4842" s="530"/>
      <c r="M4842" s="530"/>
    </row>
    <row r="4843" spans="12:13" customFormat="1" x14ac:dyDescent="0.25">
      <c r="L4843" s="530"/>
      <c r="M4843" s="530"/>
    </row>
    <row r="4844" spans="12:13" customFormat="1" x14ac:dyDescent="0.25">
      <c r="L4844" s="530"/>
      <c r="M4844" s="530"/>
    </row>
    <row r="4845" spans="12:13" customFormat="1" x14ac:dyDescent="0.25">
      <c r="L4845" s="530"/>
      <c r="M4845" s="530"/>
    </row>
    <row r="4846" spans="12:13" customFormat="1" x14ac:dyDescent="0.25">
      <c r="L4846" s="530"/>
      <c r="M4846" s="530"/>
    </row>
    <row r="4847" spans="12:13" customFormat="1" x14ac:dyDescent="0.25">
      <c r="L4847" s="530"/>
      <c r="M4847" s="530"/>
    </row>
    <row r="4848" spans="12:13" customFormat="1" x14ac:dyDescent="0.25">
      <c r="L4848" s="530"/>
      <c r="M4848" s="530"/>
    </row>
    <row r="4849" spans="12:13" customFormat="1" x14ac:dyDescent="0.25">
      <c r="L4849" s="530"/>
      <c r="M4849" s="530"/>
    </row>
    <row r="4850" spans="12:13" customFormat="1" x14ac:dyDescent="0.25">
      <c r="L4850" s="530"/>
      <c r="M4850" s="530"/>
    </row>
    <row r="4851" spans="12:13" customFormat="1" x14ac:dyDescent="0.25">
      <c r="L4851" s="530"/>
      <c r="M4851" s="530"/>
    </row>
    <row r="4852" spans="12:13" customFormat="1" x14ac:dyDescent="0.25">
      <c r="L4852" s="530"/>
      <c r="M4852" s="530"/>
    </row>
    <row r="4853" spans="12:13" customFormat="1" x14ac:dyDescent="0.25">
      <c r="L4853" s="530"/>
      <c r="M4853" s="530"/>
    </row>
    <row r="4854" spans="12:13" customFormat="1" x14ac:dyDescent="0.25">
      <c r="L4854" s="530"/>
      <c r="M4854" s="530"/>
    </row>
    <row r="4855" spans="12:13" customFormat="1" x14ac:dyDescent="0.25">
      <c r="L4855" s="530"/>
      <c r="M4855" s="530"/>
    </row>
    <row r="4856" spans="12:13" customFormat="1" x14ac:dyDescent="0.25">
      <c r="L4856" s="530"/>
      <c r="M4856" s="530"/>
    </row>
    <row r="4857" spans="12:13" customFormat="1" x14ac:dyDescent="0.25">
      <c r="L4857" s="530"/>
      <c r="M4857" s="530"/>
    </row>
    <row r="4858" spans="12:13" customFormat="1" x14ac:dyDescent="0.25">
      <c r="L4858" s="530"/>
      <c r="M4858" s="530"/>
    </row>
    <row r="4859" spans="12:13" customFormat="1" x14ac:dyDescent="0.25">
      <c r="L4859" s="530"/>
      <c r="M4859" s="530"/>
    </row>
    <row r="4860" spans="12:13" customFormat="1" x14ac:dyDescent="0.25">
      <c r="L4860" s="530"/>
      <c r="M4860" s="530"/>
    </row>
    <row r="4861" spans="12:13" customFormat="1" x14ac:dyDescent="0.25">
      <c r="L4861" s="530"/>
      <c r="M4861" s="530"/>
    </row>
    <row r="4862" spans="12:13" customFormat="1" x14ac:dyDescent="0.25">
      <c r="L4862" s="530"/>
      <c r="M4862" s="530"/>
    </row>
    <row r="4863" spans="12:13" customFormat="1" x14ac:dyDescent="0.25">
      <c r="L4863" s="530"/>
      <c r="M4863" s="530"/>
    </row>
    <row r="4864" spans="12:13" customFormat="1" x14ac:dyDescent="0.25">
      <c r="L4864" s="530"/>
      <c r="M4864" s="530"/>
    </row>
    <row r="4865" spans="12:13" customFormat="1" x14ac:dyDescent="0.25">
      <c r="L4865" s="530"/>
      <c r="M4865" s="530"/>
    </row>
    <row r="4866" spans="12:13" customFormat="1" x14ac:dyDescent="0.25">
      <c r="L4866" s="530"/>
      <c r="M4866" s="530"/>
    </row>
    <row r="4867" spans="12:13" customFormat="1" x14ac:dyDescent="0.25">
      <c r="L4867" s="530"/>
      <c r="M4867" s="530"/>
    </row>
    <row r="4868" spans="12:13" customFormat="1" x14ac:dyDescent="0.25">
      <c r="L4868" s="530"/>
      <c r="M4868" s="530"/>
    </row>
    <row r="4869" spans="12:13" customFormat="1" x14ac:dyDescent="0.25">
      <c r="L4869" s="530"/>
      <c r="M4869" s="530"/>
    </row>
    <row r="4870" spans="12:13" customFormat="1" x14ac:dyDescent="0.25">
      <c r="L4870" s="530"/>
      <c r="M4870" s="530"/>
    </row>
    <row r="4871" spans="12:13" customFormat="1" x14ac:dyDescent="0.25">
      <c r="L4871" s="530"/>
      <c r="M4871" s="530"/>
    </row>
    <row r="4872" spans="12:13" customFormat="1" x14ac:dyDescent="0.25">
      <c r="L4872" s="530"/>
      <c r="M4872" s="530"/>
    </row>
    <row r="4873" spans="12:13" customFormat="1" x14ac:dyDescent="0.25">
      <c r="L4873" s="530"/>
      <c r="M4873" s="530"/>
    </row>
    <row r="4874" spans="12:13" customFormat="1" x14ac:dyDescent="0.25">
      <c r="L4874" s="530"/>
      <c r="M4874" s="530"/>
    </row>
    <row r="4875" spans="12:13" customFormat="1" x14ac:dyDescent="0.25">
      <c r="L4875" s="530"/>
      <c r="M4875" s="530"/>
    </row>
    <row r="4876" spans="12:13" customFormat="1" x14ac:dyDescent="0.25">
      <c r="L4876" s="530"/>
      <c r="M4876" s="530"/>
    </row>
    <row r="4877" spans="12:13" customFormat="1" x14ac:dyDescent="0.25">
      <c r="L4877" s="530"/>
      <c r="M4877" s="530"/>
    </row>
    <row r="4878" spans="12:13" customFormat="1" x14ac:dyDescent="0.25">
      <c r="L4878" s="530"/>
      <c r="M4878" s="530"/>
    </row>
    <row r="4879" spans="12:13" customFormat="1" x14ac:dyDescent="0.25">
      <c r="L4879" s="530"/>
      <c r="M4879" s="530"/>
    </row>
    <row r="4880" spans="12:13" customFormat="1" x14ac:dyDescent="0.25">
      <c r="L4880" s="530"/>
      <c r="M4880" s="530"/>
    </row>
    <row r="4881" spans="12:13" customFormat="1" x14ac:dyDescent="0.25">
      <c r="L4881" s="530"/>
      <c r="M4881" s="530"/>
    </row>
    <row r="4882" spans="12:13" customFormat="1" x14ac:dyDescent="0.25">
      <c r="L4882" s="530"/>
      <c r="M4882" s="530"/>
    </row>
    <row r="4883" spans="12:13" customFormat="1" x14ac:dyDescent="0.25">
      <c r="L4883" s="530"/>
      <c r="M4883" s="530"/>
    </row>
    <row r="4884" spans="12:13" customFormat="1" x14ac:dyDescent="0.25">
      <c r="L4884" s="530"/>
      <c r="M4884" s="530"/>
    </row>
    <row r="4885" spans="12:13" customFormat="1" x14ac:dyDescent="0.25">
      <c r="L4885" s="530"/>
      <c r="M4885" s="530"/>
    </row>
    <row r="4886" spans="12:13" customFormat="1" x14ac:dyDescent="0.25">
      <c r="L4886" s="530"/>
      <c r="M4886" s="530"/>
    </row>
    <row r="4887" spans="12:13" customFormat="1" x14ac:dyDescent="0.25">
      <c r="L4887" s="530"/>
      <c r="M4887" s="530"/>
    </row>
    <row r="4888" spans="12:13" customFormat="1" x14ac:dyDescent="0.25">
      <c r="L4888" s="530"/>
      <c r="M4888" s="530"/>
    </row>
    <row r="4889" spans="12:13" customFormat="1" x14ac:dyDescent="0.25">
      <c r="L4889" s="530"/>
      <c r="M4889" s="530"/>
    </row>
    <row r="4890" spans="12:13" customFormat="1" x14ac:dyDescent="0.25">
      <c r="L4890" s="530"/>
      <c r="M4890" s="530"/>
    </row>
    <row r="4891" spans="12:13" customFormat="1" x14ac:dyDescent="0.25">
      <c r="L4891" s="530"/>
      <c r="M4891" s="530"/>
    </row>
    <row r="4892" spans="12:13" customFormat="1" x14ac:dyDescent="0.25">
      <c r="L4892" s="530"/>
      <c r="M4892" s="530"/>
    </row>
    <row r="4893" spans="12:13" customFormat="1" x14ac:dyDescent="0.25">
      <c r="L4893" s="530"/>
      <c r="M4893" s="530"/>
    </row>
    <row r="4894" spans="12:13" customFormat="1" x14ac:dyDescent="0.25">
      <c r="L4894" s="530"/>
      <c r="M4894" s="530"/>
    </row>
    <row r="4895" spans="12:13" customFormat="1" x14ac:dyDescent="0.25">
      <c r="L4895" s="530"/>
      <c r="M4895" s="530"/>
    </row>
    <row r="4896" spans="12:13" customFormat="1" x14ac:dyDescent="0.25">
      <c r="L4896" s="530"/>
      <c r="M4896" s="530"/>
    </row>
    <row r="4897" spans="12:13" customFormat="1" x14ac:dyDescent="0.25">
      <c r="L4897" s="530"/>
      <c r="M4897" s="530"/>
    </row>
    <row r="4898" spans="12:13" customFormat="1" x14ac:dyDescent="0.25">
      <c r="L4898" s="530"/>
      <c r="M4898" s="530"/>
    </row>
    <row r="4899" spans="12:13" customFormat="1" x14ac:dyDescent="0.25">
      <c r="L4899" s="530"/>
      <c r="M4899" s="530"/>
    </row>
    <row r="4900" spans="12:13" customFormat="1" x14ac:dyDescent="0.25">
      <c r="L4900" s="530"/>
      <c r="M4900" s="530"/>
    </row>
    <row r="4901" spans="12:13" customFormat="1" x14ac:dyDescent="0.25">
      <c r="L4901" s="530"/>
      <c r="M4901" s="530"/>
    </row>
    <row r="4902" spans="12:13" customFormat="1" x14ac:dyDescent="0.25">
      <c r="L4902" s="530"/>
      <c r="M4902" s="530"/>
    </row>
    <row r="4903" spans="12:13" customFormat="1" x14ac:dyDescent="0.25">
      <c r="L4903" s="530"/>
      <c r="M4903" s="530"/>
    </row>
    <row r="4904" spans="12:13" customFormat="1" x14ac:dyDescent="0.25">
      <c r="L4904" s="530"/>
      <c r="M4904" s="530"/>
    </row>
    <row r="4905" spans="12:13" customFormat="1" x14ac:dyDescent="0.25">
      <c r="L4905" s="530"/>
      <c r="M4905" s="530"/>
    </row>
    <row r="4906" spans="12:13" customFormat="1" x14ac:dyDescent="0.25">
      <c r="L4906" s="530"/>
      <c r="M4906" s="530"/>
    </row>
    <row r="4907" spans="12:13" customFormat="1" x14ac:dyDescent="0.25">
      <c r="L4907" s="530"/>
      <c r="M4907" s="530"/>
    </row>
    <row r="4908" spans="12:13" customFormat="1" x14ac:dyDescent="0.25">
      <c r="L4908" s="530"/>
      <c r="M4908" s="530"/>
    </row>
    <row r="4909" spans="12:13" customFormat="1" x14ac:dyDescent="0.25">
      <c r="L4909" s="530"/>
      <c r="M4909" s="530"/>
    </row>
    <row r="4910" spans="12:13" customFormat="1" x14ac:dyDescent="0.25">
      <c r="L4910" s="530"/>
      <c r="M4910" s="530"/>
    </row>
    <row r="4911" spans="12:13" customFormat="1" x14ac:dyDescent="0.25">
      <c r="L4911" s="530"/>
      <c r="M4911" s="530"/>
    </row>
    <row r="4912" spans="12:13" customFormat="1" x14ac:dyDescent="0.25">
      <c r="L4912" s="530"/>
      <c r="M4912" s="530"/>
    </row>
    <row r="4913" spans="12:13" customFormat="1" x14ac:dyDescent="0.25">
      <c r="L4913" s="530"/>
      <c r="M4913" s="530"/>
    </row>
    <row r="4914" spans="12:13" customFormat="1" x14ac:dyDescent="0.25">
      <c r="L4914" s="530"/>
      <c r="M4914" s="530"/>
    </row>
    <row r="4915" spans="12:13" customFormat="1" x14ac:dyDescent="0.25">
      <c r="L4915" s="530"/>
      <c r="M4915" s="530"/>
    </row>
    <row r="4916" spans="12:13" customFormat="1" x14ac:dyDescent="0.25">
      <c r="L4916" s="530"/>
      <c r="M4916" s="530"/>
    </row>
    <row r="4917" spans="12:13" customFormat="1" x14ac:dyDescent="0.25">
      <c r="L4917" s="530"/>
      <c r="M4917" s="530"/>
    </row>
    <row r="4918" spans="12:13" customFormat="1" x14ac:dyDescent="0.25">
      <c r="L4918" s="530"/>
      <c r="M4918" s="530"/>
    </row>
    <row r="4919" spans="12:13" customFormat="1" x14ac:dyDescent="0.25">
      <c r="L4919" s="530"/>
      <c r="M4919" s="530"/>
    </row>
    <row r="4920" spans="12:13" customFormat="1" x14ac:dyDescent="0.25">
      <c r="L4920" s="530"/>
      <c r="M4920" s="530"/>
    </row>
    <row r="4921" spans="12:13" customFormat="1" x14ac:dyDescent="0.25">
      <c r="L4921" s="530"/>
      <c r="M4921" s="530"/>
    </row>
    <row r="4922" spans="12:13" customFormat="1" x14ac:dyDescent="0.25">
      <c r="L4922" s="530"/>
      <c r="M4922" s="530"/>
    </row>
    <row r="4923" spans="12:13" customFormat="1" x14ac:dyDescent="0.25">
      <c r="L4923" s="530"/>
      <c r="M4923" s="530"/>
    </row>
    <row r="4924" spans="12:13" customFormat="1" x14ac:dyDescent="0.25">
      <c r="L4924" s="530"/>
      <c r="M4924" s="530"/>
    </row>
    <row r="4925" spans="12:13" customFormat="1" x14ac:dyDescent="0.25">
      <c r="L4925" s="530"/>
      <c r="M4925" s="530"/>
    </row>
    <row r="4926" spans="12:13" customFormat="1" x14ac:dyDescent="0.25">
      <c r="L4926" s="530"/>
      <c r="M4926" s="530"/>
    </row>
    <row r="4927" spans="12:13" customFormat="1" x14ac:dyDescent="0.25">
      <c r="L4927" s="530"/>
      <c r="M4927" s="530"/>
    </row>
    <row r="4928" spans="12:13" customFormat="1" x14ac:dyDescent="0.25">
      <c r="L4928" s="530"/>
      <c r="M4928" s="530"/>
    </row>
    <row r="4929" spans="12:13" customFormat="1" x14ac:dyDescent="0.25">
      <c r="L4929" s="530"/>
      <c r="M4929" s="530"/>
    </row>
    <row r="4930" spans="12:13" customFormat="1" x14ac:dyDescent="0.25">
      <c r="L4930" s="530"/>
      <c r="M4930" s="530"/>
    </row>
    <row r="4931" spans="12:13" customFormat="1" x14ac:dyDescent="0.25">
      <c r="L4931" s="530"/>
      <c r="M4931" s="530"/>
    </row>
    <row r="4932" spans="12:13" customFormat="1" x14ac:dyDescent="0.25">
      <c r="L4932" s="530"/>
      <c r="M4932" s="530"/>
    </row>
    <row r="4933" spans="12:13" customFormat="1" x14ac:dyDescent="0.25">
      <c r="L4933" s="530"/>
      <c r="M4933" s="530"/>
    </row>
    <row r="4934" spans="12:13" customFormat="1" x14ac:dyDescent="0.25">
      <c r="L4934" s="530"/>
      <c r="M4934" s="530"/>
    </row>
    <row r="4935" spans="12:13" customFormat="1" x14ac:dyDescent="0.25">
      <c r="L4935" s="530"/>
      <c r="M4935" s="530"/>
    </row>
    <row r="4936" spans="12:13" customFormat="1" x14ac:dyDescent="0.25">
      <c r="L4936" s="530"/>
      <c r="M4936" s="530"/>
    </row>
    <row r="4937" spans="12:13" customFormat="1" x14ac:dyDescent="0.25">
      <c r="L4937" s="530"/>
      <c r="M4937" s="530"/>
    </row>
    <row r="4938" spans="12:13" customFormat="1" x14ac:dyDescent="0.25">
      <c r="L4938" s="530"/>
      <c r="M4938" s="530"/>
    </row>
    <row r="4939" spans="12:13" customFormat="1" x14ac:dyDescent="0.25">
      <c r="L4939" s="530"/>
      <c r="M4939" s="530"/>
    </row>
    <row r="4940" spans="12:13" customFormat="1" x14ac:dyDescent="0.25">
      <c r="L4940" s="530"/>
      <c r="M4940" s="530"/>
    </row>
    <row r="4941" spans="12:13" customFormat="1" x14ac:dyDescent="0.25">
      <c r="L4941" s="530"/>
      <c r="M4941" s="530"/>
    </row>
    <row r="4942" spans="12:13" customFormat="1" x14ac:dyDescent="0.25">
      <c r="L4942" s="530"/>
      <c r="M4942" s="530"/>
    </row>
    <row r="4943" spans="12:13" customFormat="1" x14ac:dyDescent="0.25">
      <c r="L4943" s="530"/>
      <c r="M4943" s="530"/>
    </row>
    <row r="4944" spans="12:13" customFormat="1" x14ac:dyDescent="0.25">
      <c r="L4944" s="530"/>
      <c r="M4944" s="530"/>
    </row>
    <row r="4945" spans="12:13" customFormat="1" x14ac:dyDescent="0.25">
      <c r="L4945" s="530"/>
      <c r="M4945" s="530"/>
    </row>
    <row r="4946" spans="12:13" customFormat="1" x14ac:dyDescent="0.25">
      <c r="L4946" s="530"/>
      <c r="M4946" s="530"/>
    </row>
    <row r="4947" spans="12:13" customFormat="1" x14ac:dyDescent="0.25">
      <c r="L4947" s="530"/>
      <c r="M4947" s="530"/>
    </row>
    <row r="4948" spans="12:13" customFormat="1" x14ac:dyDescent="0.25">
      <c r="L4948" s="530"/>
      <c r="M4948" s="530"/>
    </row>
    <row r="4949" spans="12:13" customFormat="1" x14ac:dyDescent="0.25">
      <c r="L4949" s="530"/>
      <c r="M4949" s="530"/>
    </row>
    <row r="4950" spans="12:13" customFormat="1" x14ac:dyDescent="0.25">
      <c r="L4950" s="530"/>
      <c r="M4950" s="530"/>
    </row>
    <row r="4951" spans="12:13" customFormat="1" x14ac:dyDescent="0.25">
      <c r="L4951" s="530"/>
      <c r="M4951" s="530"/>
    </row>
    <row r="4952" spans="12:13" customFormat="1" x14ac:dyDescent="0.25">
      <c r="L4952" s="530"/>
      <c r="M4952" s="530"/>
    </row>
    <row r="4953" spans="12:13" customFormat="1" x14ac:dyDescent="0.25">
      <c r="L4953" s="530"/>
      <c r="M4953" s="530"/>
    </row>
    <row r="4954" spans="12:13" customFormat="1" x14ac:dyDescent="0.25">
      <c r="L4954" s="530"/>
      <c r="M4954" s="530"/>
    </row>
    <row r="4955" spans="12:13" customFormat="1" x14ac:dyDescent="0.25">
      <c r="L4955" s="530"/>
      <c r="M4955" s="530"/>
    </row>
    <row r="4956" spans="12:13" customFormat="1" x14ac:dyDescent="0.25">
      <c r="L4956" s="530"/>
      <c r="M4956" s="530"/>
    </row>
    <row r="4957" spans="12:13" customFormat="1" x14ac:dyDescent="0.25">
      <c r="L4957" s="530"/>
      <c r="M4957" s="530"/>
    </row>
    <row r="4958" spans="12:13" customFormat="1" x14ac:dyDescent="0.25">
      <c r="L4958" s="530"/>
      <c r="M4958" s="530"/>
    </row>
    <row r="4959" spans="12:13" customFormat="1" x14ac:dyDescent="0.25">
      <c r="L4959" s="530"/>
      <c r="M4959" s="530"/>
    </row>
    <row r="4960" spans="12:13" customFormat="1" x14ac:dyDescent="0.25">
      <c r="L4960" s="530"/>
      <c r="M4960" s="530"/>
    </row>
    <row r="4961" spans="12:13" customFormat="1" x14ac:dyDescent="0.25">
      <c r="L4961" s="530"/>
      <c r="M4961" s="530"/>
    </row>
    <row r="4962" spans="12:13" customFormat="1" x14ac:dyDescent="0.25">
      <c r="L4962" s="530"/>
      <c r="M4962" s="530"/>
    </row>
    <row r="4963" spans="12:13" customFormat="1" x14ac:dyDescent="0.25">
      <c r="L4963" s="530"/>
      <c r="M4963" s="530"/>
    </row>
    <row r="4964" spans="12:13" customFormat="1" x14ac:dyDescent="0.25">
      <c r="L4964" s="530"/>
      <c r="M4964" s="530"/>
    </row>
    <row r="4965" spans="12:13" customFormat="1" x14ac:dyDescent="0.25">
      <c r="L4965" s="530"/>
      <c r="M4965" s="530"/>
    </row>
    <row r="4966" spans="12:13" customFormat="1" x14ac:dyDescent="0.25">
      <c r="L4966" s="530"/>
      <c r="M4966" s="530"/>
    </row>
    <row r="4967" spans="12:13" customFormat="1" x14ac:dyDescent="0.25">
      <c r="L4967" s="530"/>
      <c r="M4967" s="530"/>
    </row>
    <row r="4968" spans="12:13" customFormat="1" x14ac:dyDescent="0.25">
      <c r="L4968" s="530"/>
      <c r="M4968" s="530"/>
    </row>
    <row r="4969" spans="12:13" customFormat="1" x14ac:dyDescent="0.25">
      <c r="L4969" s="530"/>
      <c r="M4969" s="530"/>
    </row>
    <row r="4970" spans="12:13" customFormat="1" x14ac:dyDescent="0.25">
      <c r="L4970" s="530"/>
      <c r="M4970" s="530"/>
    </row>
    <row r="4971" spans="12:13" customFormat="1" x14ac:dyDescent="0.25">
      <c r="L4971" s="530"/>
      <c r="M4971" s="530"/>
    </row>
    <row r="4972" spans="12:13" customFormat="1" x14ac:dyDescent="0.25">
      <c r="L4972" s="530"/>
      <c r="M4972" s="530"/>
    </row>
    <row r="4973" spans="12:13" customFormat="1" x14ac:dyDescent="0.25">
      <c r="L4973" s="530"/>
      <c r="M4973" s="530"/>
    </row>
    <row r="4974" spans="12:13" customFormat="1" x14ac:dyDescent="0.25">
      <c r="L4974" s="530"/>
      <c r="M4974" s="530"/>
    </row>
    <row r="4975" spans="12:13" customFormat="1" x14ac:dyDescent="0.25">
      <c r="L4975" s="530"/>
      <c r="M4975" s="530"/>
    </row>
    <row r="4976" spans="12:13" customFormat="1" x14ac:dyDescent="0.25">
      <c r="L4976" s="530"/>
      <c r="M4976" s="530"/>
    </row>
    <row r="4977" spans="12:13" customFormat="1" x14ac:dyDescent="0.25">
      <c r="L4977" s="530"/>
      <c r="M4977" s="530"/>
    </row>
    <row r="4978" spans="12:13" customFormat="1" x14ac:dyDescent="0.25">
      <c r="L4978" s="530"/>
      <c r="M4978" s="530"/>
    </row>
    <row r="4979" spans="12:13" customFormat="1" x14ac:dyDescent="0.25">
      <c r="L4979" s="530"/>
      <c r="M4979" s="530"/>
    </row>
    <row r="4980" spans="12:13" customFormat="1" x14ac:dyDescent="0.25">
      <c r="L4980" s="530"/>
      <c r="M4980" s="530"/>
    </row>
    <row r="4981" spans="12:13" customFormat="1" x14ac:dyDescent="0.25">
      <c r="L4981" s="530"/>
      <c r="M4981" s="530"/>
    </row>
    <row r="4982" spans="12:13" customFormat="1" x14ac:dyDescent="0.25">
      <c r="L4982" s="530"/>
      <c r="M4982" s="530"/>
    </row>
    <row r="4983" spans="12:13" customFormat="1" x14ac:dyDescent="0.25">
      <c r="L4983" s="530"/>
      <c r="M4983" s="530"/>
    </row>
    <row r="4984" spans="12:13" customFormat="1" x14ac:dyDescent="0.25">
      <c r="L4984" s="530"/>
      <c r="M4984" s="530"/>
    </row>
    <row r="4985" spans="12:13" customFormat="1" x14ac:dyDescent="0.25">
      <c r="L4985" s="530"/>
      <c r="M4985" s="530"/>
    </row>
    <row r="4986" spans="12:13" customFormat="1" x14ac:dyDescent="0.25">
      <c r="L4986" s="530"/>
      <c r="M4986" s="530"/>
    </row>
    <row r="4987" spans="12:13" customFormat="1" x14ac:dyDescent="0.25">
      <c r="L4987" s="530"/>
      <c r="M4987" s="530"/>
    </row>
    <row r="4988" spans="12:13" customFormat="1" x14ac:dyDescent="0.25">
      <c r="L4988" s="530"/>
      <c r="M4988" s="530"/>
    </row>
    <row r="4989" spans="12:13" customFormat="1" x14ac:dyDescent="0.25">
      <c r="L4989" s="530"/>
      <c r="M4989" s="530"/>
    </row>
    <row r="4990" spans="12:13" customFormat="1" x14ac:dyDescent="0.25">
      <c r="L4990" s="530"/>
      <c r="M4990" s="530"/>
    </row>
    <row r="4991" spans="12:13" customFormat="1" x14ac:dyDescent="0.25">
      <c r="L4991" s="530"/>
      <c r="M4991" s="530"/>
    </row>
    <row r="4992" spans="12:13" customFormat="1" x14ac:dyDescent="0.25">
      <c r="L4992" s="530"/>
      <c r="M4992" s="530"/>
    </row>
    <row r="4993" spans="12:13" customFormat="1" x14ac:dyDescent="0.25">
      <c r="L4993" s="530"/>
      <c r="M4993" s="530"/>
    </row>
    <row r="4994" spans="12:13" customFormat="1" x14ac:dyDescent="0.25">
      <c r="L4994" s="530"/>
      <c r="M4994" s="530"/>
    </row>
    <row r="4995" spans="12:13" customFormat="1" x14ac:dyDescent="0.25">
      <c r="L4995" s="530"/>
      <c r="M4995" s="530"/>
    </row>
    <row r="4996" spans="12:13" customFormat="1" x14ac:dyDescent="0.25">
      <c r="L4996" s="530"/>
      <c r="M4996" s="530"/>
    </row>
    <row r="4997" spans="12:13" customFormat="1" x14ac:dyDescent="0.25">
      <c r="L4997" s="530"/>
      <c r="M4997" s="530"/>
    </row>
    <row r="4998" spans="12:13" customFormat="1" x14ac:dyDescent="0.25">
      <c r="L4998" s="530"/>
      <c r="M4998" s="530"/>
    </row>
    <row r="4999" spans="12:13" customFormat="1" x14ac:dyDescent="0.25">
      <c r="L4999" s="530"/>
      <c r="M4999" s="530"/>
    </row>
    <row r="5000" spans="12:13" customFormat="1" x14ac:dyDescent="0.25">
      <c r="L5000" s="530"/>
      <c r="M5000" s="530"/>
    </row>
    <row r="5001" spans="12:13" customFormat="1" x14ac:dyDescent="0.25">
      <c r="L5001" s="530"/>
      <c r="M5001" s="530"/>
    </row>
    <row r="5002" spans="12:13" customFormat="1" x14ac:dyDescent="0.25">
      <c r="L5002" s="530"/>
      <c r="M5002" s="530"/>
    </row>
    <row r="5003" spans="12:13" customFormat="1" x14ac:dyDescent="0.25">
      <c r="L5003" s="530"/>
      <c r="M5003" s="530"/>
    </row>
    <row r="5004" spans="12:13" customFormat="1" x14ac:dyDescent="0.25">
      <c r="L5004" s="530"/>
      <c r="M5004" s="530"/>
    </row>
    <row r="5005" spans="12:13" customFormat="1" x14ac:dyDescent="0.25">
      <c r="L5005" s="530"/>
      <c r="M5005" s="530"/>
    </row>
    <row r="5006" spans="12:13" customFormat="1" x14ac:dyDescent="0.25">
      <c r="L5006" s="530"/>
      <c r="M5006" s="530"/>
    </row>
    <row r="5007" spans="12:13" customFormat="1" x14ac:dyDescent="0.25">
      <c r="L5007" s="530"/>
      <c r="M5007" s="530"/>
    </row>
    <row r="5008" spans="12:13" customFormat="1" x14ac:dyDescent="0.25">
      <c r="L5008" s="530"/>
      <c r="M5008" s="530"/>
    </row>
    <row r="5009" spans="12:13" customFormat="1" x14ac:dyDescent="0.25">
      <c r="L5009" s="530"/>
      <c r="M5009" s="530"/>
    </row>
    <row r="5010" spans="12:13" customFormat="1" x14ac:dyDescent="0.25">
      <c r="L5010" s="530"/>
      <c r="M5010" s="530"/>
    </row>
    <row r="5011" spans="12:13" customFormat="1" x14ac:dyDescent="0.25">
      <c r="L5011" s="530"/>
      <c r="M5011" s="530"/>
    </row>
    <row r="5012" spans="12:13" customFormat="1" x14ac:dyDescent="0.25">
      <c r="L5012" s="530"/>
      <c r="M5012" s="530"/>
    </row>
    <row r="5013" spans="12:13" customFormat="1" x14ac:dyDescent="0.25">
      <c r="L5013" s="530"/>
      <c r="M5013" s="530"/>
    </row>
    <row r="5014" spans="12:13" customFormat="1" x14ac:dyDescent="0.25">
      <c r="L5014" s="530"/>
      <c r="M5014" s="530"/>
    </row>
    <row r="5015" spans="12:13" customFormat="1" x14ac:dyDescent="0.25">
      <c r="L5015" s="530"/>
      <c r="M5015" s="530"/>
    </row>
    <row r="5016" spans="12:13" customFormat="1" x14ac:dyDescent="0.25">
      <c r="L5016" s="530"/>
      <c r="M5016" s="530"/>
    </row>
    <row r="5017" spans="12:13" customFormat="1" x14ac:dyDescent="0.25">
      <c r="L5017" s="530"/>
      <c r="M5017" s="530"/>
    </row>
    <row r="5018" spans="12:13" customFormat="1" x14ac:dyDescent="0.25">
      <c r="L5018" s="530"/>
      <c r="M5018" s="530"/>
    </row>
    <row r="5019" spans="12:13" customFormat="1" x14ac:dyDescent="0.25">
      <c r="L5019" s="530"/>
      <c r="M5019" s="530"/>
    </row>
    <row r="5020" spans="12:13" customFormat="1" x14ac:dyDescent="0.25">
      <c r="L5020" s="530"/>
      <c r="M5020" s="530"/>
    </row>
    <row r="5021" spans="12:13" customFormat="1" x14ac:dyDescent="0.25">
      <c r="L5021" s="530"/>
      <c r="M5021" s="530"/>
    </row>
    <row r="5022" spans="12:13" customFormat="1" x14ac:dyDescent="0.25">
      <c r="L5022" s="530"/>
      <c r="M5022" s="530"/>
    </row>
    <row r="5023" spans="12:13" customFormat="1" x14ac:dyDescent="0.25">
      <c r="L5023" s="530"/>
      <c r="M5023" s="530"/>
    </row>
    <row r="5024" spans="12:13" customFormat="1" x14ac:dyDescent="0.25">
      <c r="L5024" s="530"/>
      <c r="M5024" s="530"/>
    </row>
    <row r="5025" spans="12:13" customFormat="1" x14ac:dyDescent="0.25">
      <c r="L5025" s="530"/>
      <c r="M5025" s="530"/>
    </row>
    <row r="5026" spans="12:13" customFormat="1" x14ac:dyDescent="0.25">
      <c r="L5026" s="530"/>
      <c r="M5026" s="530"/>
    </row>
    <row r="5027" spans="12:13" customFormat="1" x14ac:dyDescent="0.25">
      <c r="L5027" s="530"/>
      <c r="M5027" s="530"/>
    </row>
    <row r="5028" spans="12:13" customFormat="1" x14ac:dyDescent="0.25">
      <c r="L5028" s="530"/>
      <c r="M5028" s="530"/>
    </row>
    <row r="5029" spans="12:13" customFormat="1" x14ac:dyDescent="0.25">
      <c r="L5029" s="530"/>
      <c r="M5029" s="530"/>
    </row>
    <row r="5030" spans="12:13" customFormat="1" x14ac:dyDescent="0.25">
      <c r="L5030" s="530"/>
      <c r="M5030" s="530"/>
    </row>
    <row r="5031" spans="12:13" customFormat="1" x14ac:dyDescent="0.25">
      <c r="L5031" s="530"/>
      <c r="M5031" s="530"/>
    </row>
    <row r="5032" spans="12:13" customFormat="1" x14ac:dyDescent="0.25">
      <c r="L5032" s="530"/>
      <c r="M5032" s="530"/>
    </row>
    <row r="5033" spans="12:13" customFormat="1" x14ac:dyDescent="0.25">
      <c r="L5033" s="530"/>
      <c r="M5033" s="530"/>
    </row>
    <row r="5034" spans="12:13" customFormat="1" x14ac:dyDescent="0.25">
      <c r="L5034" s="530"/>
      <c r="M5034" s="530"/>
    </row>
    <row r="5035" spans="12:13" customFormat="1" x14ac:dyDescent="0.25">
      <c r="L5035" s="530"/>
      <c r="M5035" s="530"/>
    </row>
    <row r="5036" spans="12:13" customFormat="1" x14ac:dyDescent="0.25">
      <c r="L5036" s="530"/>
      <c r="M5036" s="530"/>
    </row>
    <row r="5037" spans="12:13" customFormat="1" x14ac:dyDescent="0.25">
      <c r="L5037" s="530"/>
      <c r="M5037" s="530"/>
    </row>
    <row r="5038" spans="12:13" customFormat="1" x14ac:dyDescent="0.25">
      <c r="L5038" s="530"/>
      <c r="M5038" s="530"/>
    </row>
    <row r="5039" spans="12:13" customFormat="1" x14ac:dyDescent="0.25">
      <c r="L5039" s="530"/>
      <c r="M5039" s="530"/>
    </row>
    <row r="5040" spans="12:13" customFormat="1" x14ac:dyDescent="0.25">
      <c r="L5040" s="530"/>
      <c r="M5040" s="530"/>
    </row>
    <row r="5041" spans="12:13" customFormat="1" x14ac:dyDescent="0.25">
      <c r="L5041" s="530"/>
      <c r="M5041" s="530"/>
    </row>
    <row r="5042" spans="12:13" customFormat="1" x14ac:dyDescent="0.25">
      <c r="L5042" s="530"/>
      <c r="M5042" s="530"/>
    </row>
    <row r="5043" spans="12:13" customFormat="1" x14ac:dyDescent="0.25">
      <c r="L5043" s="530"/>
      <c r="M5043" s="530"/>
    </row>
    <row r="5044" spans="12:13" customFormat="1" x14ac:dyDescent="0.25">
      <c r="L5044" s="530"/>
      <c r="M5044" s="530"/>
    </row>
    <row r="5045" spans="12:13" customFormat="1" x14ac:dyDescent="0.25">
      <c r="L5045" s="530"/>
      <c r="M5045" s="530"/>
    </row>
    <row r="5046" spans="12:13" customFormat="1" x14ac:dyDescent="0.25">
      <c r="L5046" s="530"/>
      <c r="M5046" s="530"/>
    </row>
    <row r="5047" spans="12:13" customFormat="1" x14ac:dyDescent="0.25">
      <c r="L5047" s="530"/>
      <c r="M5047" s="530"/>
    </row>
    <row r="5048" spans="12:13" customFormat="1" x14ac:dyDescent="0.25">
      <c r="L5048" s="530"/>
      <c r="M5048" s="530"/>
    </row>
    <row r="5049" spans="12:13" customFormat="1" x14ac:dyDescent="0.25">
      <c r="L5049" s="530"/>
      <c r="M5049" s="530"/>
    </row>
    <row r="5050" spans="12:13" customFormat="1" x14ac:dyDescent="0.25">
      <c r="L5050" s="530"/>
      <c r="M5050" s="530"/>
    </row>
    <row r="5051" spans="12:13" customFormat="1" x14ac:dyDescent="0.25">
      <c r="L5051" s="530"/>
      <c r="M5051" s="530"/>
    </row>
    <row r="5052" spans="12:13" customFormat="1" x14ac:dyDescent="0.25">
      <c r="L5052" s="530"/>
      <c r="M5052" s="530"/>
    </row>
    <row r="5053" spans="12:13" customFormat="1" x14ac:dyDescent="0.25">
      <c r="L5053" s="530"/>
      <c r="M5053" s="530"/>
    </row>
    <row r="5054" spans="12:13" customFormat="1" x14ac:dyDescent="0.25">
      <c r="L5054" s="530"/>
      <c r="M5054" s="530"/>
    </row>
    <row r="5055" spans="12:13" customFormat="1" x14ac:dyDescent="0.25">
      <c r="L5055" s="530"/>
      <c r="M5055" s="530"/>
    </row>
    <row r="5056" spans="12:13" customFormat="1" x14ac:dyDescent="0.25">
      <c r="L5056" s="530"/>
      <c r="M5056" s="530"/>
    </row>
    <row r="5057" spans="12:13" customFormat="1" x14ac:dyDescent="0.25">
      <c r="L5057" s="530"/>
      <c r="M5057" s="530"/>
    </row>
    <row r="5058" spans="12:13" customFormat="1" x14ac:dyDescent="0.25">
      <c r="L5058" s="530"/>
      <c r="M5058" s="530"/>
    </row>
    <row r="5059" spans="12:13" customFormat="1" x14ac:dyDescent="0.25">
      <c r="L5059" s="530"/>
      <c r="M5059" s="530"/>
    </row>
    <row r="5060" spans="12:13" customFormat="1" x14ac:dyDescent="0.25">
      <c r="L5060" s="530"/>
      <c r="M5060" s="530"/>
    </row>
    <row r="5061" spans="12:13" customFormat="1" x14ac:dyDescent="0.25">
      <c r="L5061" s="530"/>
      <c r="M5061" s="530"/>
    </row>
    <row r="5062" spans="12:13" customFormat="1" x14ac:dyDescent="0.25">
      <c r="L5062" s="530"/>
      <c r="M5062" s="530"/>
    </row>
    <row r="5063" spans="12:13" customFormat="1" x14ac:dyDescent="0.25">
      <c r="L5063" s="530"/>
      <c r="M5063" s="530"/>
    </row>
    <row r="5064" spans="12:13" customFormat="1" x14ac:dyDescent="0.25">
      <c r="L5064" s="530"/>
      <c r="M5064" s="530"/>
    </row>
    <row r="5065" spans="12:13" customFormat="1" x14ac:dyDescent="0.25">
      <c r="L5065" s="530"/>
      <c r="M5065" s="530"/>
    </row>
    <row r="5066" spans="12:13" customFormat="1" x14ac:dyDescent="0.25">
      <c r="L5066" s="530"/>
      <c r="M5066" s="530"/>
    </row>
    <row r="5067" spans="12:13" customFormat="1" x14ac:dyDescent="0.25">
      <c r="L5067" s="530"/>
      <c r="M5067" s="530"/>
    </row>
    <row r="5068" spans="12:13" customFormat="1" x14ac:dyDescent="0.25">
      <c r="L5068" s="530"/>
      <c r="M5068" s="530"/>
    </row>
    <row r="5069" spans="12:13" customFormat="1" x14ac:dyDescent="0.25">
      <c r="L5069" s="530"/>
      <c r="M5069" s="530"/>
    </row>
    <row r="5070" spans="12:13" customFormat="1" x14ac:dyDescent="0.25">
      <c r="L5070" s="530"/>
      <c r="M5070" s="530"/>
    </row>
    <row r="5071" spans="12:13" customFormat="1" x14ac:dyDescent="0.25">
      <c r="L5071" s="530"/>
      <c r="M5071" s="530"/>
    </row>
    <row r="5072" spans="12:13" customFormat="1" x14ac:dyDescent="0.25">
      <c r="L5072" s="530"/>
      <c r="M5072" s="530"/>
    </row>
    <row r="5073" spans="12:13" customFormat="1" x14ac:dyDescent="0.25">
      <c r="L5073" s="530"/>
      <c r="M5073" s="530"/>
    </row>
    <row r="5074" spans="12:13" customFormat="1" x14ac:dyDescent="0.25">
      <c r="L5074" s="530"/>
      <c r="M5074" s="530"/>
    </row>
    <row r="5075" spans="12:13" customFormat="1" x14ac:dyDescent="0.25">
      <c r="L5075" s="530"/>
      <c r="M5075" s="530"/>
    </row>
    <row r="5076" spans="12:13" customFormat="1" x14ac:dyDescent="0.25">
      <c r="L5076" s="530"/>
      <c r="M5076" s="530"/>
    </row>
    <row r="5077" spans="12:13" customFormat="1" x14ac:dyDescent="0.25">
      <c r="L5077" s="530"/>
      <c r="M5077" s="530"/>
    </row>
    <row r="5078" spans="12:13" customFormat="1" x14ac:dyDescent="0.25">
      <c r="L5078" s="530"/>
      <c r="M5078" s="530"/>
    </row>
    <row r="5079" spans="12:13" customFormat="1" x14ac:dyDescent="0.25">
      <c r="L5079" s="530"/>
      <c r="M5079" s="530"/>
    </row>
    <row r="5080" spans="12:13" customFormat="1" x14ac:dyDescent="0.25">
      <c r="L5080" s="530"/>
      <c r="M5080" s="530"/>
    </row>
    <row r="5081" spans="12:13" customFormat="1" x14ac:dyDescent="0.25">
      <c r="L5081" s="530"/>
      <c r="M5081" s="530"/>
    </row>
    <row r="5082" spans="12:13" customFormat="1" x14ac:dyDescent="0.25">
      <c r="L5082" s="530"/>
      <c r="M5082" s="530"/>
    </row>
    <row r="5083" spans="12:13" customFormat="1" x14ac:dyDescent="0.25">
      <c r="L5083" s="530"/>
      <c r="M5083" s="530"/>
    </row>
    <row r="5084" spans="12:13" customFormat="1" x14ac:dyDescent="0.25">
      <c r="L5084" s="530"/>
      <c r="M5084" s="530"/>
    </row>
    <row r="5085" spans="12:13" customFormat="1" x14ac:dyDescent="0.25">
      <c r="L5085" s="530"/>
      <c r="M5085" s="530"/>
    </row>
    <row r="5086" spans="12:13" customFormat="1" x14ac:dyDescent="0.25">
      <c r="L5086" s="530"/>
      <c r="M5086" s="530"/>
    </row>
    <row r="5087" spans="12:13" customFormat="1" x14ac:dyDescent="0.25">
      <c r="L5087" s="530"/>
      <c r="M5087" s="530"/>
    </row>
    <row r="5088" spans="12:13" customFormat="1" x14ac:dyDescent="0.25">
      <c r="L5088" s="530"/>
      <c r="M5088" s="530"/>
    </row>
    <row r="5089" spans="12:13" customFormat="1" x14ac:dyDescent="0.25">
      <c r="L5089" s="530"/>
      <c r="M5089" s="530"/>
    </row>
    <row r="5090" spans="12:13" customFormat="1" x14ac:dyDescent="0.25">
      <c r="L5090" s="530"/>
      <c r="M5090" s="530"/>
    </row>
    <row r="5091" spans="12:13" customFormat="1" x14ac:dyDescent="0.25">
      <c r="L5091" s="530"/>
      <c r="M5091" s="530"/>
    </row>
    <row r="5092" spans="12:13" customFormat="1" x14ac:dyDescent="0.25">
      <c r="L5092" s="530"/>
      <c r="M5092" s="530"/>
    </row>
    <row r="5093" spans="12:13" customFormat="1" x14ac:dyDescent="0.25">
      <c r="L5093" s="530"/>
      <c r="M5093" s="530"/>
    </row>
    <row r="5094" spans="12:13" customFormat="1" x14ac:dyDescent="0.25">
      <c r="L5094" s="530"/>
      <c r="M5094" s="530"/>
    </row>
    <row r="5095" spans="12:13" customFormat="1" x14ac:dyDescent="0.25">
      <c r="L5095" s="530"/>
      <c r="M5095" s="530"/>
    </row>
    <row r="5096" spans="12:13" customFormat="1" x14ac:dyDescent="0.25">
      <c r="L5096" s="530"/>
      <c r="M5096" s="530"/>
    </row>
    <row r="5097" spans="12:13" customFormat="1" x14ac:dyDescent="0.25">
      <c r="L5097" s="530"/>
      <c r="M5097" s="530"/>
    </row>
    <row r="5098" spans="12:13" customFormat="1" x14ac:dyDescent="0.25">
      <c r="L5098" s="530"/>
      <c r="M5098" s="530"/>
    </row>
    <row r="5099" spans="12:13" customFormat="1" x14ac:dyDescent="0.25">
      <c r="L5099" s="530"/>
      <c r="M5099" s="530"/>
    </row>
    <row r="5100" spans="12:13" customFormat="1" x14ac:dyDescent="0.25">
      <c r="L5100" s="530"/>
      <c r="M5100" s="530"/>
    </row>
    <row r="5101" spans="12:13" customFormat="1" x14ac:dyDescent="0.25">
      <c r="L5101" s="530"/>
      <c r="M5101" s="530"/>
    </row>
    <row r="5102" spans="12:13" customFormat="1" x14ac:dyDescent="0.25">
      <c r="L5102" s="530"/>
      <c r="M5102" s="530"/>
    </row>
    <row r="5103" spans="12:13" customFormat="1" x14ac:dyDescent="0.25">
      <c r="L5103" s="530"/>
      <c r="M5103" s="530"/>
    </row>
    <row r="5104" spans="12:13" customFormat="1" x14ac:dyDescent="0.25">
      <c r="L5104" s="530"/>
      <c r="M5104" s="530"/>
    </row>
    <row r="5105" spans="12:13" customFormat="1" x14ac:dyDescent="0.25">
      <c r="L5105" s="530"/>
      <c r="M5105" s="530"/>
    </row>
    <row r="5106" spans="12:13" customFormat="1" x14ac:dyDescent="0.25">
      <c r="L5106" s="530"/>
      <c r="M5106" s="530"/>
    </row>
    <row r="5107" spans="12:13" customFormat="1" x14ac:dyDescent="0.25">
      <c r="L5107" s="530"/>
      <c r="M5107" s="530"/>
    </row>
    <row r="5108" spans="12:13" customFormat="1" x14ac:dyDescent="0.25">
      <c r="L5108" s="530"/>
      <c r="M5108" s="530"/>
    </row>
    <row r="5109" spans="12:13" customFormat="1" x14ac:dyDescent="0.25">
      <c r="L5109" s="530"/>
      <c r="M5109" s="530"/>
    </row>
    <row r="5110" spans="12:13" customFormat="1" x14ac:dyDescent="0.25">
      <c r="L5110" s="530"/>
      <c r="M5110" s="530"/>
    </row>
    <row r="5111" spans="12:13" customFormat="1" x14ac:dyDescent="0.25">
      <c r="L5111" s="530"/>
      <c r="M5111" s="530"/>
    </row>
    <row r="5112" spans="12:13" customFormat="1" x14ac:dyDescent="0.25">
      <c r="L5112" s="530"/>
      <c r="M5112" s="530"/>
    </row>
    <row r="5113" spans="12:13" customFormat="1" x14ac:dyDescent="0.25">
      <c r="L5113" s="530"/>
      <c r="M5113" s="530"/>
    </row>
    <row r="5114" spans="12:13" customFormat="1" x14ac:dyDescent="0.25">
      <c r="L5114" s="530"/>
      <c r="M5114" s="530"/>
    </row>
    <row r="5115" spans="12:13" customFormat="1" x14ac:dyDescent="0.25">
      <c r="L5115" s="530"/>
      <c r="M5115" s="530"/>
    </row>
    <row r="5116" spans="12:13" customFormat="1" x14ac:dyDescent="0.25">
      <c r="L5116" s="530"/>
      <c r="M5116" s="530"/>
    </row>
    <row r="5117" spans="12:13" customFormat="1" x14ac:dyDescent="0.25">
      <c r="L5117" s="530"/>
      <c r="M5117" s="530"/>
    </row>
    <row r="5118" spans="12:13" customFormat="1" x14ac:dyDescent="0.25">
      <c r="L5118" s="530"/>
      <c r="M5118" s="530"/>
    </row>
    <row r="5119" spans="12:13" customFormat="1" x14ac:dyDescent="0.25">
      <c r="L5119" s="530"/>
      <c r="M5119" s="530"/>
    </row>
    <row r="5120" spans="12:13" customFormat="1" x14ac:dyDescent="0.25">
      <c r="L5120" s="530"/>
      <c r="M5120" s="530"/>
    </row>
    <row r="5121" spans="12:13" customFormat="1" x14ac:dyDescent="0.25">
      <c r="L5121" s="530"/>
      <c r="M5121" s="530"/>
    </row>
    <row r="5122" spans="12:13" customFormat="1" x14ac:dyDescent="0.25">
      <c r="L5122" s="530"/>
      <c r="M5122" s="530"/>
    </row>
    <row r="5123" spans="12:13" customFormat="1" x14ac:dyDescent="0.25">
      <c r="L5123" s="530"/>
      <c r="M5123" s="530"/>
    </row>
    <row r="5124" spans="12:13" customFormat="1" x14ac:dyDescent="0.25">
      <c r="L5124" s="530"/>
      <c r="M5124" s="530"/>
    </row>
    <row r="5125" spans="12:13" customFormat="1" x14ac:dyDescent="0.25">
      <c r="L5125" s="530"/>
      <c r="M5125" s="530"/>
    </row>
    <row r="5126" spans="12:13" customFormat="1" x14ac:dyDescent="0.25">
      <c r="L5126" s="530"/>
      <c r="M5126" s="530"/>
    </row>
    <row r="5127" spans="12:13" customFormat="1" x14ac:dyDescent="0.25">
      <c r="L5127" s="530"/>
      <c r="M5127" s="530"/>
    </row>
    <row r="5128" spans="12:13" customFormat="1" x14ac:dyDescent="0.25">
      <c r="L5128" s="530"/>
      <c r="M5128" s="530"/>
    </row>
    <row r="5129" spans="12:13" customFormat="1" x14ac:dyDescent="0.25">
      <c r="L5129" s="530"/>
      <c r="M5129" s="530"/>
    </row>
    <row r="5130" spans="12:13" customFormat="1" x14ac:dyDescent="0.25">
      <c r="L5130" s="530"/>
      <c r="M5130" s="530"/>
    </row>
    <row r="5131" spans="12:13" customFormat="1" x14ac:dyDescent="0.25">
      <c r="L5131" s="530"/>
      <c r="M5131" s="530"/>
    </row>
    <row r="5132" spans="12:13" customFormat="1" x14ac:dyDescent="0.25">
      <c r="L5132" s="530"/>
      <c r="M5132" s="530"/>
    </row>
    <row r="5133" spans="12:13" customFormat="1" x14ac:dyDescent="0.25">
      <c r="L5133" s="530"/>
      <c r="M5133" s="530"/>
    </row>
    <row r="5134" spans="12:13" customFormat="1" x14ac:dyDescent="0.25">
      <c r="L5134" s="530"/>
      <c r="M5134" s="530"/>
    </row>
    <row r="5135" spans="12:13" customFormat="1" x14ac:dyDescent="0.25">
      <c r="L5135" s="530"/>
      <c r="M5135" s="530"/>
    </row>
    <row r="5136" spans="12:13" customFormat="1" x14ac:dyDescent="0.25">
      <c r="L5136" s="530"/>
      <c r="M5136" s="530"/>
    </row>
    <row r="5137" spans="12:13" customFormat="1" x14ac:dyDescent="0.25">
      <c r="L5137" s="530"/>
      <c r="M5137" s="530"/>
    </row>
    <row r="5138" spans="12:13" customFormat="1" x14ac:dyDescent="0.25">
      <c r="L5138" s="530"/>
      <c r="M5138" s="530"/>
    </row>
    <row r="5139" spans="12:13" customFormat="1" x14ac:dyDescent="0.25">
      <c r="L5139" s="530"/>
      <c r="M5139" s="530"/>
    </row>
    <row r="5140" spans="12:13" customFormat="1" x14ac:dyDescent="0.25">
      <c r="L5140" s="530"/>
      <c r="M5140" s="530"/>
    </row>
    <row r="5141" spans="12:13" customFormat="1" x14ac:dyDescent="0.25">
      <c r="L5141" s="530"/>
      <c r="M5141" s="530"/>
    </row>
    <row r="5142" spans="12:13" customFormat="1" x14ac:dyDescent="0.25">
      <c r="L5142" s="530"/>
      <c r="M5142" s="530"/>
    </row>
    <row r="5143" spans="12:13" customFormat="1" x14ac:dyDescent="0.25">
      <c r="L5143" s="530"/>
      <c r="M5143" s="530"/>
    </row>
    <row r="5144" spans="12:13" customFormat="1" x14ac:dyDescent="0.25">
      <c r="L5144" s="530"/>
      <c r="M5144" s="530"/>
    </row>
    <row r="5145" spans="12:13" customFormat="1" x14ac:dyDescent="0.25">
      <c r="L5145" s="530"/>
      <c r="M5145" s="530"/>
    </row>
    <row r="5146" spans="12:13" customFormat="1" x14ac:dyDescent="0.25">
      <c r="L5146" s="530"/>
      <c r="M5146" s="530"/>
    </row>
    <row r="5147" spans="12:13" customFormat="1" x14ac:dyDescent="0.25">
      <c r="L5147" s="530"/>
      <c r="M5147" s="530"/>
    </row>
    <row r="5148" spans="12:13" customFormat="1" x14ac:dyDescent="0.25">
      <c r="L5148" s="530"/>
      <c r="M5148" s="530"/>
    </row>
    <row r="5149" spans="12:13" customFormat="1" x14ac:dyDescent="0.25">
      <c r="L5149" s="530"/>
      <c r="M5149" s="530"/>
    </row>
    <row r="5150" spans="12:13" customFormat="1" x14ac:dyDescent="0.25">
      <c r="L5150" s="530"/>
      <c r="M5150" s="530"/>
    </row>
    <row r="5151" spans="12:13" customFormat="1" x14ac:dyDescent="0.25">
      <c r="L5151" s="530"/>
      <c r="M5151" s="530"/>
    </row>
    <row r="5152" spans="12:13" customFormat="1" x14ac:dyDescent="0.25">
      <c r="L5152" s="530"/>
      <c r="M5152" s="530"/>
    </row>
    <row r="5153" spans="12:13" customFormat="1" x14ac:dyDescent="0.25">
      <c r="L5153" s="530"/>
      <c r="M5153" s="530"/>
    </row>
    <row r="5154" spans="12:13" customFormat="1" x14ac:dyDescent="0.25">
      <c r="L5154" s="530"/>
      <c r="M5154" s="530"/>
    </row>
    <row r="5155" spans="12:13" customFormat="1" x14ac:dyDescent="0.25">
      <c r="L5155" s="530"/>
      <c r="M5155" s="530"/>
    </row>
    <row r="5156" spans="12:13" customFormat="1" x14ac:dyDescent="0.25">
      <c r="L5156" s="530"/>
      <c r="M5156" s="530"/>
    </row>
    <row r="5157" spans="12:13" customFormat="1" x14ac:dyDescent="0.25">
      <c r="L5157" s="530"/>
      <c r="M5157" s="530"/>
    </row>
    <row r="5158" spans="12:13" customFormat="1" x14ac:dyDescent="0.25">
      <c r="L5158" s="530"/>
      <c r="M5158" s="530"/>
    </row>
    <row r="5159" spans="12:13" customFormat="1" x14ac:dyDescent="0.25">
      <c r="L5159" s="530"/>
      <c r="M5159" s="530"/>
    </row>
    <row r="5160" spans="12:13" customFormat="1" x14ac:dyDescent="0.25">
      <c r="L5160" s="530"/>
      <c r="M5160" s="530"/>
    </row>
    <row r="5161" spans="12:13" customFormat="1" x14ac:dyDescent="0.25">
      <c r="L5161" s="530"/>
      <c r="M5161" s="530"/>
    </row>
    <row r="5162" spans="12:13" customFormat="1" x14ac:dyDescent="0.25">
      <c r="L5162" s="530"/>
      <c r="M5162" s="530"/>
    </row>
    <row r="5163" spans="12:13" customFormat="1" x14ac:dyDescent="0.25">
      <c r="L5163" s="530"/>
      <c r="M5163" s="530"/>
    </row>
    <row r="5164" spans="12:13" customFormat="1" x14ac:dyDescent="0.25">
      <c r="L5164" s="530"/>
      <c r="M5164" s="530"/>
    </row>
    <row r="5165" spans="12:13" customFormat="1" x14ac:dyDescent="0.25">
      <c r="L5165" s="530"/>
      <c r="M5165" s="530"/>
    </row>
    <row r="5166" spans="12:13" customFormat="1" x14ac:dyDescent="0.25">
      <c r="L5166" s="530"/>
      <c r="M5166" s="530"/>
    </row>
    <row r="5167" spans="12:13" customFormat="1" x14ac:dyDescent="0.25">
      <c r="L5167" s="530"/>
      <c r="M5167" s="530"/>
    </row>
    <row r="5168" spans="12:13" customFormat="1" x14ac:dyDescent="0.25">
      <c r="L5168" s="530"/>
      <c r="M5168" s="530"/>
    </row>
    <row r="5169" spans="12:13" customFormat="1" x14ac:dyDescent="0.25">
      <c r="L5169" s="530"/>
      <c r="M5169" s="530"/>
    </row>
    <row r="5170" spans="12:13" customFormat="1" x14ac:dyDescent="0.25">
      <c r="L5170" s="530"/>
      <c r="M5170" s="530"/>
    </row>
    <row r="5171" spans="12:13" customFormat="1" x14ac:dyDescent="0.25">
      <c r="L5171" s="530"/>
      <c r="M5171" s="530"/>
    </row>
    <row r="5172" spans="12:13" customFormat="1" x14ac:dyDescent="0.25">
      <c r="L5172" s="530"/>
      <c r="M5172" s="530"/>
    </row>
    <row r="5173" spans="12:13" customFormat="1" x14ac:dyDescent="0.25">
      <c r="L5173" s="530"/>
      <c r="M5173" s="530"/>
    </row>
    <row r="5174" spans="12:13" customFormat="1" x14ac:dyDescent="0.25">
      <c r="L5174" s="530"/>
      <c r="M5174" s="530"/>
    </row>
    <row r="5175" spans="12:13" customFormat="1" x14ac:dyDescent="0.25">
      <c r="L5175" s="530"/>
      <c r="M5175" s="530"/>
    </row>
    <row r="5176" spans="12:13" customFormat="1" x14ac:dyDescent="0.25">
      <c r="L5176" s="530"/>
      <c r="M5176" s="530"/>
    </row>
    <row r="5177" spans="12:13" customFormat="1" x14ac:dyDescent="0.25">
      <c r="L5177" s="530"/>
      <c r="M5177" s="530"/>
    </row>
    <row r="5178" spans="12:13" customFormat="1" x14ac:dyDescent="0.25">
      <c r="L5178" s="530"/>
      <c r="M5178" s="530"/>
    </row>
    <row r="5179" spans="12:13" customFormat="1" x14ac:dyDescent="0.25">
      <c r="L5179" s="530"/>
      <c r="M5179" s="530"/>
    </row>
    <row r="5180" spans="12:13" customFormat="1" x14ac:dyDescent="0.25">
      <c r="L5180" s="530"/>
      <c r="M5180" s="530"/>
    </row>
    <row r="5181" spans="12:13" customFormat="1" x14ac:dyDescent="0.25">
      <c r="L5181" s="530"/>
      <c r="M5181" s="530"/>
    </row>
    <row r="5182" spans="12:13" customFormat="1" x14ac:dyDescent="0.25">
      <c r="L5182" s="530"/>
      <c r="M5182" s="530"/>
    </row>
    <row r="5183" spans="12:13" customFormat="1" x14ac:dyDescent="0.25">
      <c r="L5183" s="530"/>
      <c r="M5183" s="530"/>
    </row>
    <row r="5184" spans="12:13" customFormat="1" x14ac:dyDescent="0.25">
      <c r="L5184" s="530"/>
      <c r="M5184" s="530"/>
    </row>
    <row r="5185" spans="12:13" customFormat="1" x14ac:dyDescent="0.25">
      <c r="L5185" s="530"/>
      <c r="M5185" s="530"/>
    </row>
    <row r="5186" spans="12:13" customFormat="1" x14ac:dyDescent="0.25">
      <c r="L5186" s="530"/>
      <c r="M5186" s="530"/>
    </row>
    <row r="5187" spans="12:13" customFormat="1" x14ac:dyDescent="0.25">
      <c r="L5187" s="530"/>
      <c r="M5187" s="530"/>
    </row>
    <row r="5188" spans="12:13" customFormat="1" x14ac:dyDescent="0.25">
      <c r="L5188" s="530"/>
      <c r="M5188" s="530"/>
    </row>
    <row r="5189" spans="12:13" customFormat="1" x14ac:dyDescent="0.25">
      <c r="L5189" s="530"/>
      <c r="M5189" s="530"/>
    </row>
    <row r="5190" spans="12:13" customFormat="1" x14ac:dyDescent="0.25">
      <c r="L5190" s="530"/>
      <c r="M5190" s="530"/>
    </row>
    <row r="5191" spans="12:13" customFormat="1" x14ac:dyDescent="0.25">
      <c r="L5191" s="530"/>
      <c r="M5191" s="530"/>
    </row>
    <row r="5192" spans="12:13" customFormat="1" x14ac:dyDescent="0.25">
      <c r="L5192" s="530"/>
      <c r="M5192" s="530"/>
    </row>
    <row r="5193" spans="12:13" customFormat="1" x14ac:dyDescent="0.25">
      <c r="L5193" s="530"/>
      <c r="M5193" s="530"/>
    </row>
    <row r="5194" spans="12:13" customFormat="1" x14ac:dyDescent="0.25">
      <c r="L5194" s="530"/>
      <c r="M5194" s="530"/>
    </row>
    <row r="5195" spans="12:13" customFormat="1" x14ac:dyDescent="0.25">
      <c r="L5195" s="530"/>
      <c r="M5195" s="530"/>
    </row>
    <row r="5196" spans="12:13" customFormat="1" x14ac:dyDescent="0.25">
      <c r="L5196" s="530"/>
      <c r="M5196" s="530"/>
    </row>
    <row r="5197" spans="12:13" customFormat="1" x14ac:dyDescent="0.25">
      <c r="L5197" s="530"/>
      <c r="M5197" s="530"/>
    </row>
    <row r="5198" spans="12:13" customFormat="1" x14ac:dyDescent="0.25">
      <c r="L5198" s="530"/>
      <c r="M5198" s="530"/>
    </row>
    <row r="5199" spans="12:13" customFormat="1" x14ac:dyDescent="0.25">
      <c r="L5199" s="530"/>
      <c r="M5199" s="530"/>
    </row>
    <row r="5200" spans="12:13" customFormat="1" x14ac:dyDescent="0.25">
      <c r="L5200" s="530"/>
      <c r="M5200" s="530"/>
    </row>
    <row r="5201" spans="12:13" customFormat="1" x14ac:dyDescent="0.25">
      <c r="L5201" s="530"/>
      <c r="M5201" s="530"/>
    </row>
    <row r="5202" spans="12:13" customFormat="1" x14ac:dyDescent="0.25">
      <c r="L5202" s="530"/>
      <c r="M5202" s="530"/>
    </row>
    <row r="5203" spans="12:13" customFormat="1" x14ac:dyDescent="0.25">
      <c r="L5203" s="530"/>
      <c r="M5203" s="530"/>
    </row>
    <row r="5204" spans="12:13" customFormat="1" x14ac:dyDescent="0.25">
      <c r="L5204" s="530"/>
      <c r="M5204" s="530"/>
    </row>
    <row r="5205" spans="12:13" customFormat="1" x14ac:dyDescent="0.25">
      <c r="L5205" s="530"/>
      <c r="M5205" s="530"/>
    </row>
    <row r="5206" spans="12:13" customFormat="1" x14ac:dyDescent="0.25">
      <c r="L5206" s="530"/>
      <c r="M5206" s="530"/>
    </row>
    <row r="5207" spans="12:13" customFormat="1" x14ac:dyDescent="0.25">
      <c r="L5207" s="530"/>
      <c r="M5207" s="530"/>
    </row>
    <row r="5208" spans="12:13" customFormat="1" x14ac:dyDescent="0.25">
      <c r="L5208" s="530"/>
      <c r="M5208" s="530"/>
    </row>
    <row r="5209" spans="12:13" customFormat="1" x14ac:dyDescent="0.25">
      <c r="L5209" s="530"/>
      <c r="M5209" s="530"/>
    </row>
    <row r="5210" spans="12:13" customFormat="1" x14ac:dyDescent="0.25">
      <c r="L5210" s="530"/>
      <c r="M5210" s="530"/>
    </row>
    <row r="5211" spans="12:13" customFormat="1" x14ac:dyDescent="0.25">
      <c r="L5211" s="530"/>
      <c r="M5211" s="530"/>
    </row>
    <row r="5212" spans="12:13" customFormat="1" x14ac:dyDescent="0.25">
      <c r="L5212" s="530"/>
      <c r="M5212" s="530"/>
    </row>
    <row r="5213" spans="12:13" customFormat="1" x14ac:dyDescent="0.25">
      <c r="L5213" s="530"/>
      <c r="M5213" s="530"/>
    </row>
    <row r="5214" spans="12:13" customFormat="1" x14ac:dyDescent="0.25">
      <c r="L5214" s="530"/>
      <c r="M5214" s="530"/>
    </row>
    <row r="5215" spans="12:13" customFormat="1" x14ac:dyDescent="0.25">
      <c r="L5215" s="530"/>
      <c r="M5215" s="530"/>
    </row>
    <row r="5216" spans="12:13" customFormat="1" x14ac:dyDescent="0.25">
      <c r="L5216" s="530"/>
      <c r="M5216" s="530"/>
    </row>
    <row r="5217" spans="12:13" customFormat="1" x14ac:dyDescent="0.25">
      <c r="L5217" s="530"/>
      <c r="M5217" s="530"/>
    </row>
    <row r="5218" spans="12:13" customFormat="1" x14ac:dyDescent="0.25">
      <c r="L5218" s="530"/>
      <c r="M5218" s="530"/>
    </row>
    <row r="5219" spans="12:13" customFormat="1" x14ac:dyDescent="0.25">
      <c r="L5219" s="530"/>
      <c r="M5219" s="530"/>
    </row>
    <row r="5220" spans="12:13" customFormat="1" x14ac:dyDescent="0.25">
      <c r="L5220" s="530"/>
      <c r="M5220" s="530"/>
    </row>
    <row r="5221" spans="12:13" customFormat="1" x14ac:dyDescent="0.25">
      <c r="L5221" s="530"/>
      <c r="M5221" s="530"/>
    </row>
    <row r="5222" spans="12:13" customFormat="1" x14ac:dyDescent="0.25">
      <c r="L5222" s="530"/>
      <c r="M5222" s="530"/>
    </row>
    <row r="5223" spans="12:13" customFormat="1" x14ac:dyDescent="0.25">
      <c r="L5223" s="530"/>
      <c r="M5223" s="530"/>
    </row>
    <row r="5224" spans="12:13" customFormat="1" x14ac:dyDescent="0.25">
      <c r="L5224" s="530"/>
      <c r="M5224" s="530"/>
    </row>
    <row r="5225" spans="12:13" customFormat="1" x14ac:dyDescent="0.25">
      <c r="L5225" s="530"/>
      <c r="M5225" s="530"/>
    </row>
    <row r="5226" spans="12:13" customFormat="1" x14ac:dyDescent="0.25">
      <c r="L5226" s="530"/>
      <c r="M5226" s="530"/>
    </row>
    <row r="5227" spans="12:13" customFormat="1" x14ac:dyDescent="0.25">
      <c r="L5227" s="530"/>
      <c r="M5227" s="530"/>
    </row>
    <row r="5228" spans="12:13" customFormat="1" x14ac:dyDescent="0.25">
      <c r="L5228" s="530"/>
      <c r="M5228" s="530"/>
    </row>
    <row r="5229" spans="12:13" customFormat="1" x14ac:dyDescent="0.25">
      <c r="L5229" s="530"/>
      <c r="M5229" s="530"/>
    </row>
    <row r="5230" spans="12:13" customFormat="1" x14ac:dyDescent="0.25">
      <c r="L5230" s="530"/>
      <c r="M5230" s="530"/>
    </row>
    <row r="5231" spans="12:13" customFormat="1" x14ac:dyDescent="0.25">
      <c r="L5231" s="530"/>
      <c r="M5231" s="530"/>
    </row>
    <row r="5232" spans="12:13" customFormat="1" x14ac:dyDescent="0.25">
      <c r="L5232" s="530"/>
      <c r="M5232" s="530"/>
    </row>
    <row r="5233" spans="12:13" customFormat="1" x14ac:dyDescent="0.25">
      <c r="L5233" s="530"/>
      <c r="M5233" s="530"/>
    </row>
    <row r="5234" spans="12:13" customFormat="1" x14ac:dyDescent="0.25">
      <c r="L5234" s="530"/>
      <c r="M5234" s="530"/>
    </row>
    <row r="5235" spans="12:13" customFormat="1" x14ac:dyDescent="0.25">
      <c r="L5235" s="530"/>
      <c r="M5235" s="530"/>
    </row>
    <row r="5236" spans="12:13" customFormat="1" x14ac:dyDescent="0.25">
      <c r="L5236" s="530"/>
      <c r="M5236" s="530"/>
    </row>
    <row r="5237" spans="12:13" customFormat="1" x14ac:dyDescent="0.25">
      <c r="L5237" s="530"/>
      <c r="M5237" s="530"/>
    </row>
    <row r="5238" spans="12:13" customFormat="1" x14ac:dyDescent="0.25">
      <c r="L5238" s="530"/>
      <c r="M5238" s="530"/>
    </row>
    <row r="5239" spans="12:13" customFormat="1" x14ac:dyDescent="0.25">
      <c r="L5239" s="530"/>
      <c r="M5239" s="530"/>
    </row>
    <row r="5240" spans="12:13" customFormat="1" x14ac:dyDescent="0.25">
      <c r="L5240" s="530"/>
      <c r="M5240" s="530"/>
    </row>
    <row r="5241" spans="12:13" customFormat="1" x14ac:dyDescent="0.25">
      <c r="L5241" s="530"/>
      <c r="M5241" s="530"/>
    </row>
    <row r="5242" spans="12:13" customFormat="1" x14ac:dyDescent="0.25">
      <c r="L5242" s="530"/>
      <c r="M5242" s="530"/>
    </row>
    <row r="5243" spans="12:13" customFormat="1" x14ac:dyDescent="0.25">
      <c r="L5243" s="530"/>
      <c r="M5243" s="530"/>
    </row>
    <row r="5244" spans="12:13" customFormat="1" x14ac:dyDescent="0.25">
      <c r="L5244" s="530"/>
      <c r="M5244" s="530"/>
    </row>
    <row r="5245" spans="12:13" customFormat="1" x14ac:dyDescent="0.25">
      <c r="L5245" s="530"/>
      <c r="M5245" s="530"/>
    </row>
    <row r="5246" spans="12:13" customFormat="1" x14ac:dyDescent="0.25">
      <c r="L5246" s="530"/>
      <c r="M5246" s="530"/>
    </row>
    <row r="5247" spans="12:13" customFormat="1" x14ac:dyDescent="0.25">
      <c r="L5247" s="530"/>
      <c r="M5247" s="530"/>
    </row>
    <row r="5248" spans="12:13" customFormat="1" x14ac:dyDescent="0.25">
      <c r="L5248" s="530"/>
      <c r="M5248" s="530"/>
    </row>
    <row r="5249" spans="12:13" customFormat="1" x14ac:dyDescent="0.25">
      <c r="L5249" s="530"/>
      <c r="M5249" s="530"/>
    </row>
    <row r="5250" spans="12:13" customFormat="1" x14ac:dyDescent="0.25">
      <c r="L5250" s="530"/>
      <c r="M5250" s="530"/>
    </row>
    <row r="5251" spans="12:13" customFormat="1" x14ac:dyDescent="0.25">
      <c r="L5251" s="530"/>
      <c r="M5251" s="530"/>
    </row>
    <row r="5252" spans="12:13" customFormat="1" x14ac:dyDescent="0.25">
      <c r="L5252" s="530"/>
      <c r="M5252" s="530"/>
    </row>
    <row r="5253" spans="12:13" customFormat="1" x14ac:dyDescent="0.25">
      <c r="L5253" s="530"/>
      <c r="M5253" s="530"/>
    </row>
    <row r="5254" spans="12:13" customFormat="1" x14ac:dyDescent="0.25">
      <c r="L5254" s="530"/>
      <c r="M5254" s="530"/>
    </row>
    <row r="5255" spans="12:13" customFormat="1" x14ac:dyDescent="0.25">
      <c r="L5255" s="530"/>
      <c r="M5255" s="530"/>
    </row>
    <row r="5256" spans="12:13" customFormat="1" x14ac:dyDescent="0.25">
      <c r="L5256" s="530"/>
      <c r="M5256" s="530"/>
    </row>
    <row r="5257" spans="12:13" customFormat="1" x14ac:dyDescent="0.25">
      <c r="L5257" s="530"/>
      <c r="M5257" s="530"/>
    </row>
    <row r="5258" spans="12:13" customFormat="1" x14ac:dyDescent="0.25">
      <c r="L5258" s="530"/>
      <c r="M5258" s="530"/>
    </row>
    <row r="5259" spans="12:13" customFormat="1" x14ac:dyDescent="0.25">
      <c r="L5259" s="530"/>
      <c r="M5259" s="530"/>
    </row>
    <row r="5260" spans="12:13" customFormat="1" x14ac:dyDescent="0.25">
      <c r="L5260" s="530"/>
      <c r="M5260" s="530"/>
    </row>
    <row r="5261" spans="12:13" customFormat="1" x14ac:dyDescent="0.25">
      <c r="L5261" s="530"/>
      <c r="M5261" s="530"/>
    </row>
    <row r="5262" spans="12:13" customFormat="1" x14ac:dyDescent="0.25">
      <c r="L5262" s="530"/>
      <c r="M5262" s="530"/>
    </row>
    <row r="5263" spans="12:13" customFormat="1" x14ac:dyDescent="0.25">
      <c r="L5263" s="530"/>
      <c r="M5263" s="530"/>
    </row>
    <row r="5264" spans="12:13" customFormat="1" x14ac:dyDescent="0.25">
      <c r="L5264" s="530"/>
      <c r="M5264" s="530"/>
    </row>
    <row r="5265" spans="12:13" customFormat="1" x14ac:dyDescent="0.25">
      <c r="L5265" s="530"/>
      <c r="M5265" s="530"/>
    </row>
    <row r="5266" spans="12:13" customFormat="1" x14ac:dyDescent="0.25">
      <c r="L5266" s="530"/>
      <c r="M5266" s="530"/>
    </row>
    <row r="5267" spans="12:13" customFormat="1" x14ac:dyDescent="0.25">
      <c r="L5267" s="530"/>
      <c r="M5267" s="530"/>
    </row>
    <row r="5268" spans="12:13" customFormat="1" x14ac:dyDescent="0.25">
      <c r="L5268" s="530"/>
      <c r="M5268" s="530"/>
    </row>
    <row r="5269" spans="12:13" customFormat="1" x14ac:dyDescent="0.25">
      <c r="L5269" s="530"/>
      <c r="M5269" s="530"/>
    </row>
    <row r="5270" spans="12:13" customFormat="1" x14ac:dyDescent="0.25">
      <c r="L5270" s="530"/>
      <c r="M5270" s="530"/>
    </row>
    <row r="5271" spans="12:13" customFormat="1" x14ac:dyDescent="0.25">
      <c r="L5271" s="530"/>
      <c r="M5271" s="530"/>
    </row>
    <row r="5272" spans="12:13" customFormat="1" x14ac:dyDescent="0.25">
      <c r="L5272" s="530"/>
      <c r="M5272" s="530"/>
    </row>
    <row r="5273" spans="12:13" customFormat="1" x14ac:dyDescent="0.25">
      <c r="L5273" s="530"/>
      <c r="M5273" s="530"/>
    </row>
    <row r="5274" spans="12:13" customFormat="1" x14ac:dyDescent="0.25">
      <c r="L5274" s="530"/>
      <c r="M5274" s="530"/>
    </row>
    <row r="5275" spans="12:13" customFormat="1" x14ac:dyDescent="0.25">
      <c r="L5275" s="530"/>
      <c r="M5275" s="530"/>
    </row>
    <row r="5276" spans="12:13" customFormat="1" x14ac:dyDescent="0.25">
      <c r="L5276" s="530"/>
      <c r="M5276" s="530"/>
    </row>
    <row r="5277" spans="12:13" customFormat="1" x14ac:dyDescent="0.25">
      <c r="L5277" s="530"/>
      <c r="M5277" s="530"/>
    </row>
    <row r="5278" spans="12:13" customFormat="1" x14ac:dyDescent="0.25">
      <c r="L5278" s="530"/>
      <c r="M5278" s="530"/>
    </row>
    <row r="5279" spans="12:13" customFormat="1" x14ac:dyDescent="0.25">
      <c r="L5279" s="530"/>
      <c r="M5279" s="530"/>
    </row>
    <row r="5280" spans="12:13" customFormat="1" x14ac:dyDescent="0.25">
      <c r="L5280" s="530"/>
      <c r="M5280" s="530"/>
    </row>
    <row r="5281" spans="12:13" customFormat="1" x14ac:dyDescent="0.25">
      <c r="L5281" s="530"/>
      <c r="M5281" s="530"/>
    </row>
    <row r="5282" spans="12:13" customFormat="1" x14ac:dyDescent="0.25">
      <c r="L5282" s="530"/>
      <c r="M5282" s="530"/>
    </row>
    <row r="5283" spans="12:13" customFormat="1" x14ac:dyDescent="0.25">
      <c r="L5283" s="530"/>
      <c r="M5283" s="530"/>
    </row>
    <row r="5284" spans="12:13" customFormat="1" x14ac:dyDescent="0.25">
      <c r="L5284" s="530"/>
      <c r="M5284" s="530"/>
    </row>
    <row r="5285" spans="12:13" customFormat="1" x14ac:dyDescent="0.25">
      <c r="L5285" s="530"/>
      <c r="M5285" s="530"/>
    </row>
    <row r="5286" spans="12:13" customFormat="1" x14ac:dyDescent="0.25">
      <c r="L5286" s="530"/>
      <c r="M5286" s="530"/>
    </row>
    <row r="5287" spans="12:13" customFormat="1" x14ac:dyDescent="0.25">
      <c r="L5287" s="530"/>
      <c r="M5287" s="530"/>
    </row>
    <row r="5288" spans="12:13" customFormat="1" x14ac:dyDescent="0.25">
      <c r="L5288" s="530"/>
      <c r="M5288" s="530"/>
    </row>
    <row r="5289" spans="12:13" customFormat="1" x14ac:dyDescent="0.25">
      <c r="L5289" s="530"/>
      <c r="M5289" s="530"/>
    </row>
    <row r="5290" spans="12:13" customFormat="1" x14ac:dyDescent="0.25">
      <c r="L5290" s="530"/>
      <c r="M5290" s="530"/>
    </row>
    <row r="5291" spans="12:13" customFormat="1" x14ac:dyDescent="0.25">
      <c r="L5291" s="530"/>
      <c r="M5291" s="530"/>
    </row>
    <row r="5292" spans="12:13" customFormat="1" x14ac:dyDescent="0.25">
      <c r="L5292" s="530"/>
      <c r="M5292" s="530"/>
    </row>
    <row r="5293" spans="12:13" customFormat="1" x14ac:dyDescent="0.25">
      <c r="L5293" s="530"/>
      <c r="M5293" s="530"/>
    </row>
    <row r="5294" spans="12:13" customFormat="1" x14ac:dyDescent="0.25">
      <c r="L5294" s="530"/>
      <c r="M5294" s="530"/>
    </row>
    <row r="5295" spans="12:13" customFormat="1" x14ac:dyDescent="0.25">
      <c r="L5295" s="530"/>
      <c r="M5295" s="530"/>
    </row>
    <row r="5296" spans="12:13" customFormat="1" x14ac:dyDescent="0.25">
      <c r="L5296" s="530"/>
      <c r="M5296" s="530"/>
    </row>
    <row r="5297" spans="12:13" customFormat="1" x14ac:dyDescent="0.25">
      <c r="L5297" s="530"/>
      <c r="M5297" s="530"/>
    </row>
    <row r="5298" spans="12:13" customFormat="1" x14ac:dyDescent="0.25">
      <c r="L5298" s="530"/>
      <c r="M5298" s="530"/>
    </row>
    <row r="5299" spans="12:13" customFormat="1" x14ac:dyDescent="0.25">
      <c r="L5299" s="530"/>
      <c r="M5299" s="530"/>
    </row>
    <row r="5300" spans="12:13" customFormat="1" x14ac:dyDescent="0.25">
      <c r="L5300" s="530"/>
      <c r="M5300" s="530"/>
    </row>
    <row r="5301" spans="12:13" customFormat="1" x14ac:dyDescent="0.25">
      <c r="L5301" s="530"/>
      <c r="M5301" s="530"/>
    </row>
    <row r="5302" spans="12:13" customFormat="1" x14ac:dyDescent="0.25">
      <c r="L5302" s="530"/>
      <c r="M5302" s="530"/>
    </row>
    <row r="5303" spans="12:13" customFormat="1" x14ac:dyDescent="0.25">
      <c r="L5303" s="530"/>
      <c r="M5303" s="530"/>
    </row>
    <row r="5304" spans="12:13" customFormat="1" x14ac:dyDescent="0.25">
      <c r="L5304" s="530"/>
      <c r="M5304" s="530"/>
    </row>
    <row r="5305" spans="12:13" customFormat="1" x14ac:dyDescent="0.25">
      <c r="L5305" s="530"/>
      <c r="M5305" s="530"/>
    </row>
    <row r="5306" spans="12:13" customFormat="1" x14ac:dyDescent="0.25">
      <c r="L5306" s="530"/>
      <c r="M5306" s="530"/>
    </row>
    <row r="5307" spans="12:13" customFormat="1" x14ac:dyDescent="0.25">
      <c r="L5307" s="530"/>
      <c r="M5307" s="530"/>
    </row>
    <row r="5308" spans="12:13" customFormat="1" x14ac:dyDescent="0.25">
      <c r="L5308" s="530"/>
      <c r="M5308" s="530"/>
    </row>
    <row r="5309" spans="12:13" customFormat="1" x14ac:dyDescent="0.25">
      <c r="L5309" s="530"/>
      <c r="M5309" s="530"/>
    </row>
    <row r="5310" spans="12:13" customFormat="1" x14ac:dyDescent="0.25">
      <c r="L5310" s="530"/>
      <c r="M5310" s="530"/>
    </row>
    <row r="5311" spans="12:13" customFormat="1" x14ac:dyDescent="0.25">
      <c r="L5311" s="530"/>
      <c r="M5311" s="530"/>
    </row>
    <row r="5312" spans="12:13" customFormat="1" x14ac:dyDescent="0.25">
      <c r="L5312" s="530"/>
      <c r="M5312" s="530"/>
    </row>
    <row r="5313" spans="12:13" customFormat="1" x14ac:dyDescent="0.25">
      <c r="L5313" s="530"/>
      <c r="M5313" s="530"/>
    </row>
    <row r="5314" spans="12:13" customFormat="1" x14ac:dyDescent="0.25">
      <c r="L5314" s="530"/>
      <c r="M5314" s="530"/>
    </row>
    <row r="5315" spans="12:13" customFormat="1" x14ac:dyDescent="0.25">
      <c r="L5315" s="530"/>
      <c r="M5315" s="530"/>
    </row>
    <row r="5316" spans="12:13" customFormat="1" x14ac:dyDescent="0.25">
      <c r="L5316" s="530"/>
      <c r="M5316" s="530"/>
    </row>
    <row r="5317" spans="12:13" customFormat="1" x14ac:dyDescent="0.25">
      <c r="L5317" s="530"/>
      <c r="M5317" s="530"/>
    </row>
    <row r="5318" spans="12:13" customFormat="1" x14ac:dyDescent="0.25">
      <c r="L5318" s="530"/>
      <c r="M5318" s="530"/>
    </row>
    <row r="5319" spans="12:13" customFormat="1" x14ac:dyDescent="0.25">
      <c r="L5319" s="530"/>
      <c r="M5319" s="530"/>
    </row>
    <row r="5320" spans="12:13" customFormat="1" x14ac:dyDescent="0.25">
      <c r="L5320" s="530"/>
      <c r="M5320" s="530"/>
    </row>
    <row r="5321" spans="12:13" customFormat="1" x14ac:dyDescent="0.25">
      <c r="L5321" s="530"/>
      <c r="M5321" s="530"/>
    </row>
    <row r="5322" spans="12:13" customFormat="1" x14ac:dyDescent="0.25">
      <c r="L5322" s="530"/>
      <c r="M5322" s="530"/>
    </row>
    <row r="5323" spans="12:13" customFormat="1" x14ac:dyDescent="0.25">
      <c r="L5323" s="530"/>
      <c r="M5323" s="530"/>
    </row>
    <row r="5324" spans="12:13" customFormat="1" x14ac:dyDescent="0.25">
      <c r="L5324" s="530"/>
      <c r="M5324" s="530"/>
    </row>
    <row r="5325" spans="12:13" customFormat="1" x14ac:dyDescent="0.25">
      <c r="L5325" s="530"/>
      <c r="M5325" s="530"/>
    </row>
    <row r="5326" spans="12:13" customFormat="1" x14ac:dyDescent="0.25">
      <c r="L5326" s="530"/>
      <c r="M5326" s="530"/>
    </row>
    <row r="5327" spans="12:13" customFormat="1" x14ac:dyDescent="0.25">
      <c r="L5327" s="530"/>
      <c r="M5327" s="530"/>
    </row>
    <row r="5328" spans="12:13" customFormat="1" x14ac:dyDescent="0.25">
      <c r="L5328" s="530"/>
      <c r="M5328" s="530"/>
    </row>
    <row r="5329" spans="12:13" customFormat="1" x14ac:dyDescent="0.25">
      <c r="L5329" s="530"/>
      <c r="M5329" s="530"/>
    </row>
    <row r="5330" spans="12:13" customFormat="1" x14ac:dyDescent="0.25">
      <c r="L5330" s="530"/>
      <c r="M5330" s="530"/>
    </row>
    <row r="5331" spans="12:13" customFormat="1" x14ac:dyDescent="0.25">
      <c r="L5331" s="530"/>
      <c r="M5331" s="530"/>
    </row>
    <row r="5332" spans="12:13" customFormat="1" x14ac:dyDescent="0.25">
      <c r="L5332" s="530"/>
      <c r="M5332" s="530"/>
    </row>
    <row r="5333" spans="12:13" customFormat="1" x14ac:dyDescent="0.25">
      <c r="L5333" s="530"/>
      <c r="M5333" s="530"/>
    </row>
    <row r="5334" spans="12:13" customFormat="1" x14ac:dyDescent="0.25">
      <c r="L5334" s="530"/>
      <c r="M5334" s="530"/>
    </row>
    <row r="5335" spans="12:13" customFormat="1" x14ac:dyDescent="0.25">
      <c r="L5335" s="530"/>
      <c r="M5335" s="530"/>
    </row>
    <row r="5336" spans="12:13" customFormat="1" x14ac:dyDescent="0.25">
      <c r="L5336" s="530"/>
      <c r="M5336" s="530"/>
    </row>
    <row r="5337" spans="12:13" customFormat="1" x14ac:dyDescent="0.25">
      <c r="L5337" s="530"/>
      <c r="M5337" s="530"/>
    </row>
    <row r="5338" spans="12:13" customFormat="1" x14ac:dyDescent="0.25">
      <c r="L5338" s="530"/>
      <c r="M5338" s="530"/>
    </row>
    <row r="5339" spans="12:13" customFormat="1" x14ac:dyDescent="0.25">
      <c r="L5339" s="530"/>
      <c r="M5339" s="530"/>
    </row>
    <row r="5340" spans="12:13" customFormat="1" x14ac:dyDescent="0.25">
      <c r="L5340" s="530"/>
      <c r="M5340" s="530"/>
    </row>
    <row r="5341" spans="12:13" customFormat="1" x14ac:dyDescent="0.25">
      <c r="L5341" s="530"/>
      <c r="M5341" s="530"/>
    </row>
    <row r="5342" spans="12:13" customFormat="1" x14ac:dyDescent="0.25">
      <c r="L5342" s="530"/>
      <c r="M5342" s="530"/>
    </row>
    <row r="5343" spans="12:13" customFormat="1" x14ac:dyDescent="0.25">
      <c r="L5343" s="530"/>
      <c r="M5343" s="530"/>
    </row>
    <row r="5344" spans="12:13" customFormat="1" x14ac:dyDescent="0.25">
      <c r="L5344" s="530"/>
      <c r="M5344" s="530"/>
    </row>
    <row r="5345" spans="12:13" customFormat="1" x14ac:dyDescent="0.25">
      <c r="L5345" s="530"/>
      <c r="M5345" s="530"/>
    </row>
    <row r="5346" spans="12:13" customFormat="1" x14ac:dyDescent="0.25">
      <c r="L5346" s="530"/>
      <c r="M5346" s="530"/>
    </row>
    <row r="5347" spans="12:13" customFormat="1" x14ac:dyDescent="0.25">
      <c r="L5347" s="530"/>
      <c r="M5347" s="530"/>
    </row>
    <row r="5348" spans="12:13" customFormat="1" x14ac:dyDescent="0.25">
      <c r="L5348" s="530"/>
      <c r="M5348" s="530"/>
    </row>
    <row r="5349" spans="12:13" customFormat="1" x14ac:dyDescent="0.25">
      <c r="L5349" s="530"/>
      <c r="M5349" s="530"/>
    </row>
    <row r="5350" spans="12:13" customFormat="1" x14ac:dyDescent="0.25">
      <c r="L5350" s="530"/>
      <c r="M5350" s="530"/>
    </row>
    <row r="5351" spans="12:13" customFormat="1" x14ac:dyDescent="0.25">
      <c r="L5351" s="530"/>
      <c r="M5351" s="530"/>
    </row>
    <row r="5352" spans="12:13" customFormat="1" x14ac:dyDescent="0.25">
      <c r="L5352" s="530"/>
      <c r="M5352" s="530"/>
    </row>
    <row r="5353" spans="12:13" customFormat="1" x14ac:dyDescent="0.25">
      <c r="L5353" s="530"/>
      <c r="M5353" s="530"/>
    </row>
    <row r="5354" spans="12:13" customFormat="1" x14ac:dyDescent="0.25">
      <c r="L5354" s="530"/>
      <c r="M5354" s="530"/>
    </row>
    <row r="5355" spans="12:13" customFormat="1" x14ac:dyDescent="0.25">
      <c r="L5355" s="530"/>
      <c r="M5355" s="530"/>
    </row>
    <row r="5356" spans="12:13" customFormat="1" x14ac:dyDescent="0.25">
      <c r="L5356" s="530"/>
      <c r="M5356" s="530"/>
    </row>
    <row r="5357" spans="12:13" customFormat="1" x14ac:dyDescent="0.25">
      <c r="L5357" s="530"/>
      <c r="M5357" s="530"/>
    </row>
    <row r="5358" spans="12:13" customFormat="1" x14ac:dyDescent="0.25">
      <c r="L5358" s="530"/>
      <c r="M5358" s="530"/>
    </row>
    <row r="5359" spans="12:13" customFormat="1" x14ac:dyDescent="0.25">
      <c r="L5359" s="530"/>
      <c r="M5359" s="530"/>
    </row>
    <row r="5360" spans="12:13" customFormat="1" x14ac:dyDescent="0.25">
      <c r="L5360" s="530"/>
      <c r="M5360" s="530"/>
    </row>
    <row r="5361" spans="12:13" customFormat="1" x14ac:dyDescent="0.25">
      <c r="L5361" s="530"/>
      <c r="M5361" s="530"/>
    </row>
    <row r="5362" spans="12:13" customFormat="1" x14ac:dyDescent="0.25">
      <c r="L5362" s="530"/>
      <c r="M5362" s="530"/>
    </row>
    <row r="5363" spans="12:13" customFormat="1" x14ac:dyDescent="0.25">
      <c r="L5363" s="530"/>
      <c r="M5363" s="530"/>
    </row>
    <row r="5364" spans="12:13" customFormat="1" x14ac:dyDescent="0.25">
      <c r="L5364" s="530"/>
      <c r="M5364" s="530"/>
    </row>
    <row r="5365" spans="12:13" customFormat="1" x14ac:dyDescent="0.25">
      <c r="L5365" s="530"/>
      <c r="M5365" s="530"/>
    </row>
    <row r="5366" spans="12:13" customFormat="1" x14ac:dyDescent="0.25">
      <c r="L5366" s="530"/>
      <c r="M5366" s="530"/>
    </row>
    <row r="5367" spans="12:13" customFormat="1" x14ac:dyDescent="0.25">
      <c r="L5367" s="530"/>
      <c r="M5367" s="530"/>
    </row>
    <row r="5368" spans="12:13" customFormat="1" x14ac:dyDescent="0.25">
      <c r="L5368" s="530"/>
      <c r="M5368" s="530"/>
    </row>
    <row r="5369" spans="12:13" customFormat="1" x14ac:dyDescent="0.25">
      <c r="L5369" s="530"/>
      <c r="M5369" s="530"/>
    </row>
    <row r="5370" spans="12:13" customFormat="1" x14ac:dyDescent="0.25">
      <c r="L5370" s="530"/>
      <c r="M5370" s="530"/>
    </row>
    <row r="5371" spans="12:13" customFormat="1" x14ac:dyDescent="0.25">
      <c r="L5371" s="530"/>
      <c r="M5371" s="530"/>
    </row>
    <row r="5372" spans="12:13" customFormat="1" x14ac:dyDescent="0.25">
      <c r="L5372" s="530"/>
      <c r="M5372" s="530"/>
    </row>
    <row r="5373" spans="12:13" customFormat="1" x14ac:dyDescent="0.25">
      <c r="L5373" s="530"/>
      <c r="M5373" s="530"/>
    </row>
    <row r="5374" spans="12:13" customFormat="1" x14ac:dyDescent="0.25">
      <c r="L5374" s="530"/>
      <c r="M5374" s="530"/>
    </row>
    <row r="5375" spans="12:13" customFormat="1" x14ac:dyDescent="0.25">
      <c r="L5375" s="530"/>
      <c r="M5375" s="530"/>
    </row>
    <row r="5376" spans="12:13" customFormat="1" x14ac:dyDescent="0.25">
      <c r="L5376" s="530"/>
      <c r="M5376" s="530"/>
    </row>
    <row r="5377" spans="12:13" customFormat="1" x14ac:dyDescent="0.25">
      <c r="L5377" s="530"/>
      <c r="M5377" s="530"/>
    </row>
    <row r="5378" spans="12:13" customFormat="1" x14ac:dyDescent="0.25">
      <c r="L5378" s="530"/>
      <c r="M5378" s="530"/>
    </row>
    <row r="5379" spans="12:13" customFormat="1" x14ac:dyDescent="0.25">
      <c r="L5379" s="530"/>
      <c r="M5379" s="530"/>
    </row>
    <row r="5380" spans="12:13" customFormat="1" x14ac:dyDescent="0.25">
      <c r="L5380" s="530"/>
      <c r="M5380" s="530"/>
    </row>
    <row r="5381" spans="12:13" customFormat="1" x14ac:dyDescent="0.25">
      <c r="L5381" s="530"/>
      <c r="M5381" s="530"/>
    </row>
    <row r="5382" spans="12:13" customFormat="1" x14ac:dyDescent="0.25">
      <c r="L5382" s="530"/>
      <c r="M5382" s="530"/>
    </row>
    <row r="5383" spans="12:13" customFormat="1" x14ac:dyDescent="0.25">
      <c r="L5383" s="530"/>
      <c r="M5383" s="530"/>
    </row>
    <row r="5384" spans="12:13" customFormat="1" x14ac:dyDescent="0.25">
      <c r="L5384" s="530"/>
      <c r="M5384" s="530"/>
    </row>
    <row r="5385" spans="12:13" customFormat="1" x14ac:dyDescent="0.25">
      <c r="L5385" s="530"/>
      <c r="M5385" s="530"/>
    </row>
    <row r="5386" spans="12:13" customFormat="1" x14ac:dyDescent="0.25">
      <c r="L5386" s="530"/>
      <c r="M5386" s="530"/>
    </row>
    <row r="5387" spans="12:13" customFormat="1" x14ac:dyDescent="0.25">
      <c r="L5387" s="530"/>
      <c r="M5387" s="530"/>
    </row>
    <row r="5388" spans="12:13" customFormat="1" x14ac:dyDescent="0.25">
      <c r="L5388" s="530"/>
      <c r="M5388" s="530"/>
    </row>
    <row r="5389" spans="12:13" customFormat="1" x14ac:dyDescent="0.25">
      <c r="L5389" s="530"/>
      <c r="M5389" s="530"/>
    </row>
    <row r="5390" spans="12:13" customFormat="1" x14ac:dyDescent="0.25">
      <c r="L5390" s="530"/>
      <c r="M5390" s="530"/>
    </row>
    <row r="5391" spans="12:13" customFormat="1" x14ac:dyDescent="0.25">
      <c r="L5391" s="530"/>
      <c r="M5391" s="530"/>
    </row>
    <row r="5392" spans="12:13" customFormat="1" x14ac:dyDescent="0.25">
      <c r="L5392" s="530"/>
      <c r="M5392" s="530"/>
    </row>
    <row r="5393" spans="12:13" customFormat="1" x14ac:dyDescent="0.25">
      <c r="L5393" s="530"/>
      <c r="M5393" s="530"/>
    </row>
    <row r="5394" spans="12:13" customFormat="1" x14ac:dyDescent="0.25">
      <c r="L5394" s="530"/>
      <c r="M5394" s="530"/>
    </row>
    <row r="5395" spans="12:13" customFormat="1" x14ac:dyDescent="0.25">
      <c r="L5395" s="530"/>
      <c r="M5395" s="530"/>
    </row>
    <row r="5396" spans="12:13" customFormat="1" x14ac:dyDescent="0.25">
      <c r="L5396" s="530"/>
      <c r="M5396" s="530"/>
    </row>
    <row r="5397" spans="12:13" customFormat="1" x14ac:dyDescent="0.25">
      <c r="L5397" s="530"/>
      <c r="M5397" s="530"/>
    </row>
    <row r="5398" spans="12:13" customFormat="1" x14ac:dyDescent="0.25">
      <c r="L5398" s="530"/>
      <c r="M5398" s="530"/>
    </row>
    <row r="5399" spans="12:13" customFormat="1" x14ac:dyDescent="0.25">
      <c r="L5399" s="530"/>
      <c r="M5399" s="530"/>
    </row>
    <row r="5400" spans="12:13" customFormat="1" x14ac:dyDescent="0.25">
      <c r="L5400" s="530"/>
      <c r="M5400" s="530"/>
    </row>
    <row r="5401" spans="12:13" customFormat="1" x14ac:dyDescent="0.25">
      <c r="L5401" s="530"/>
      <c r="M5401" s="530"/>
    </row>
    <row r="5402" spans="12:13" customFormat="1" x14ac:dyDescent="0.25">
      <c r="L5402" s="530"/>
      <c r="M5402" s="530"/>
    </row>
    <row r="5403" spans="12:13" customFormat="1" x14ac:dyDescent="0.25">
      <c r="L5403" s="530"/>
      <c r="M5403" s="530"/>
    </row>
    <row r="5404" spans="12:13" customFormat="1" x14ac:dyDescent="0.25">
      <c r="L5404" s="530"/>
      <c r="M5404" s="530"/>
    </row>
    <row r="5405" spans="12:13" customFormat="1" x14ac:dyDescent="0.25">
      <c r="L5405" s="530"/>
      <c r="M5405" s="530"/>
    </row>
    <row r="5406" spans="12:13" customFormat="1" x14ac:dyDescent="0.25">
      <c r="L5406" s="530"/>
      <c r="M5406" s="530"/>
    </row>
    <row r="5407" spans="12:13" customFormat="1" x14ac:dyDescent="0.25">
      <c r="L5407" s="530"/>
      <c r="M5407" s="530"/>
    </row>
    <row r="5408" spans="12:13" customFormat="1" x14ac:dyDescent="0.25">
      <c r="L5408" s="530"/>
      <c r="M5408" s="530"/>
    </row>
    <row r="5409" spans="12:13" customFormat="1" x14ac:dyDescent="0.25">
      <c r="L5409" s="530"/>
      <c r="M5409" s="530"/>
    </row>
    <row r="5410" spans="12:13" customFormat="1" x14ac:dyDescent="0.25">
      <c r="L5410" s="530"/>
      <c r="M5410" s="530"/>
    </row>
    <row r="5411" spans="12:13" customFormat="1" x14ac:dyDescent="0.25">
      <c r="L5411" s="530"/>
      <c r="M5411" s="530"/>
    </row>
    <row r="5412" spans="12:13" customFormat="1" x14ac:dyDescent="0.25">
      <c r="L5412" s="530"/>
      <c r="M5412" s="530"/>
    </row>
    <row r="5413" spans="12:13" customFormat="1" x14ac:dyDescent="0.25">
      <c r="L5413" s="530"/>
      <c r="M5413" s="530"/>
    </row>
    <row r="5414" spans="12:13" customFormat="1" x14ac:dyDescent="0.25">
      <c r="L5414" s="530"/>
      <c r="M5414" s="530"/>
    </row>
    <row r="5415" spans="12:13" customFormat="1" x14ac:dyDescent="0.25">
      <c r="L5415" s="530"/>
      <c r="M5415" s="530"/>
    </row>
    <row r="5416" spans="12:13" customFormat="1" x14ac:dyDescent="0.25">
      <c r="L5416" s="530"/>
      <c r="M5416" s="530"/>
    </row>
    <row r="5417" spans="12:13" customFormat="1" x14ac:dyDescent="0.25">
      <c r="L5417" s="530"/>
      <c r="M5417" s="530"/>
    </row>
    <row r="5418" spans="12:13" customFormat="1" x14ac:dyDescent="0.25">
      <c r="L5418" s="530"/>
      <c r="M5418" s="530"/>
    </row>
    <row r="5419" spans="12:13" customFormat="1" x14ac:dyDescent="0.25">
      <c r="L5419" s="530"/>
      <c r="M5419" s="530"/>
    </row>
    <row r="5420" spans="12:13" customFormat="1" x14ac:dyDescent="0.25">
      <c r="L5420" s="530"/>
      <c r="M5420" s="530"/>
    </row>
    <row r="5421" spans="12:13" customFormat="1" x14ac:dyDescent="0.25">
      <c r="L5421" s="530"/>
      <c r="M5421" s="530"/>
    </row>
    <row r="5422" spans="12:13" customFormat="1" x14ac:dyDescent="0.25">
      <c r="L5422" s="530"/>
      <c r="M5422" s="530"/>
    </row>
    <row r="5423" spans="12:13" customFormat="1" x14ac:dyDescent="0.25">
      <c r="L5423" s="530"/>
      <c r="M5423" s="530"/>
    </row>
    <row r="5424" spans="12:13" customFormat="1" x14ac:dyDescent="0.25">
      <c r="L5424" s="530"/>
      <c r="M5424" s="530"/>
    </row>
    <row r="5425" spans="12:13" customFormat="1" x14ac:dyDescent="0.25">
      <c r="L5425" s="530"/>
      <c r="M5425" s="530"/>
    </row>
    <row r="5426" spans="12:13" customFormat="1" x14ac:dyDescent="0.25">
      <c r="L5426" s="530"/>
      <c r="M5426" s="530"/>
    </row>
    <row r="5427" spans="12:13" customFormat="1" x14ac:dyDescent="0.25">
      <c r="L5427" s="530"/>
      <c r="M5427" s="530"/>
    </row>
    <row r="5428" spans="12:13" customFormat="1" x14ac:dyDescent="0.25">
      <c r="L5428" s="530"/>
      <c r="M5428" s="530"/>
    </row>
    <row r="5429" spans="12:13" customFormat="1" x14ac:dyDescent="0.25">
      <c r="L5429" s="530"/>
      <c r="M5429" s="530"/>
    </row>
    <row r="5430" spans="12:13" customFormat="1" x14ac:dyDescent="0.25">
      <c r="L5430" s="530"/>
      <c r="M5430" s="530"/>
    </row>
    <row r="5431" spans="12:13" customFormat="1" x14ac:dyDescent="0.25">
      <c r="L5431" s="530"/>
      <c r="M5431" s="530"/>
    </row>
    <row r="5432" spans="12:13" customFormat="1" x14ac:dyDescent="0.25">
      <c r="L5432" s="530"/>
      <c r="M5432" s="530"/>
    </row>
    <row r="5433" spans="12:13" customFormat="1" x14ac:dyDescent="0.25">
      <c r="L5433" s="530"/>
      <c r="M5433" s="530"/>
    </row>
    <row r="5434" spans="12:13" customFormat="1" x14ac:dyDescent="0.25">
      <c r="L5434" s="530"/>
      <c r="M5434" s="530"/>
    </row>
    <row r="5435" spans="12:13" customFormat="1" x14ac:dyDescent="0.25">
      <c r="L5435" s="530"/>
      <c r="M5435" s="530"/>
    </row>
    <row r="5436" spans="12:13" customFormat="1" x14ac:dyDescent="0.25">
      <c r="L5436" s="530"/>
      <c r="M5436" s="530"/>
    </row>
    <row r="5437" spans="12:13" customFormat="1" x14ac:dyDescent="0.25">
      <c r="L5437" s="530"/>
      <c r="M5437" s="530"/>
    </row>
    <row r="5438" spans="12:13" customFormat="1" x14ac:dyDescent="0.25">
      <c r="L5438" s="530"/>
      <c r="M5438" s="530"/>
    </row>
    <row r="5439" spans="12:13" customFormat="1" x14ac:dyDescent="0.25">
      <c r="L5439" s="530"/>
      <c r="M5439" s="530"/>
    </row>
    <row r="5440" spans="12:13" customFormat="1" x14ac:dyDescent="0.25">
      <c r="L5440" s="530"/>
      <c r="M5440" s="530"/>
    </row>
    <row r="5441" spans="12:13" customFormat="1" x14ac:dyDescent="0.25">
      <c r="L5441" s="530"/>
      <c r="M5441" s="530"/>
    </row>
    <row r="5442" spans="12:13" customFormat="1" x14ac:dyDescent="0.25">
      <c r="L5442" s="530"/>
      <c r="M5442" s="530"/>
    </row>
    <row r="5443" spans="12:13" customFormat="1" x14ac:dyDescent="0.25">
      <c r="L5443" s="530"/>
      <c r="M5443" s="530"/>
    </row>
    <row r="5444" spans="12:13" customFormat="1" x14ac:dyDescent="0.25">
      <c r="L5444" s="530"/>
      <c r="M5444" s="530"/>
    </row>
    <row r="5445" spans="12:13" customFormat="1" x14ac:dyDescent="0.25">
      <c r="L5445" s="530"/>
      <c r="M5445" s="530"/>
    </row>
    <row r="5446" spans="12:13" customFormat="1" x14ac:dyDescent="0.25">
      <c r="L5446" s="530"/>
      <c r="M5446" s="530"/>
    </row>
    <row r="5447" spans="12:13" customFormat="1" x14ac:dyDescent="0.25">
      <c r="L5447" s="530"/>
      <c r="M5447" s="530"/>
    </row>
    <row r="5448" spans="12:13" customFormat="1" x14ac:dyDescent="0.25">
      <c r="L5448" s="530"/>
      <c r="M5448" s="530"/>
    </row>
    <row r="5449" spans="12:13" customFormat="1" x14ac:dyDescent="0.25">
      <c r="L5449" s="530"/>
      <c r="M5449" s="530"/>
    </row>
    <row r="5450" spans="12:13" customFormat="1" x14ac:dyDescent="0.25">
      <c r="L5450" s="530"/>
      <c r="M5450" s="530"/>
    </row>
    <row r="5451" spans="12:13" customFormat="1" x14ac:dyDescent="0.25">
      <c r="L5451" s="530"/>
      <c r="M5451" s="530"/>
    </row>
    <row r="5452" spans="12:13" customFormat="1" x14ac:dyDescent="0.25">
      <c r="L5452" s="530"/>
      <c r="M5452" s="530"/>
    </row>
    <row r="5453" spans="12:13" customFormat="1" x14ac:dyDescent="0.25">
      <c r="L5453" s="530"/>
      <c r="M5453" s="530"/>
    </row>
    <row r="5454" spans="12:13" customFormat="1" x14ac:dyDescent="0.25">
      <c r="L5454" s="530"/>
      <c r="M5454" s="530"/>
    </row>
    <row r="5455" spans="12:13" customFormat="1" x14ac:dyDescent="0.25">
      <c r="L5455" s="530"/>
      <c r="M5455" s="530"/>
    </row>
    <row r="5456" spans="12:13" customFormat="1" x14ac:dyDescent="0.25">
      <c r="L5456" s="530"/>
      <c r="M5456" s="530"/>
    </row>
    <row r="5457" spans="12:13" customFormat="1" x14ac:dyDescent="0.25">
      <c r="L5457" s="530"/>
      <c r="M5457" s="530"/>
    </row>
    <row r="5458" spans="12:13" customFormat="1" x14ac:dyDescent="0.25">
      <c r="L5458" s="530"/>
      <c r="M5458" s="530"/>
    </row>
    <row r="5459" spans="12:13" customFormat="1" x14ac:dyDescent="0.25">
      <c r="L5459" s="530"/>
      <c r="M5459" s="530"/>
    </row>
    <row r="5460" spans="12:13" customFormat="1" x14ac:dyDescent="0.25">
      <c r="L5460" s="530"/>
      <c r="M5460" s="530"/>
    </row>
    <row r="5461" spans="12:13" customFormat="1" x14ac:dyDescent="0.25">
      <c r="L5461" s="530"/>
      <c r="M5461" s="530"/>
    </row>
    <row r="5462" spans="12:13" customFormat="1" x14ac:dyDescent="0.25">
      <c r="L5462" s="530"/>
      <c r="M5462" s="530"/>
    </row>
    <row r="5463" spans="12:13" customFormat="1" x14ac:dyDescent="0.25">
      <c r="L5463" s="530"/>
      <c r="M5463" s="530"/>
    </row>
    <row r="5464" spans="12:13" customFormat="1" x14ac:dyDescent="0.25">
      <c r="L5464" s="530"/>
      <c r="M5464" s="530"/>
    </row>
    <row r="5465" spans="12:13" customFormat="1" x14ac:dyDescent="0.25">
      <c r="L5465" s="530"/>
      <c r="M5465" s="530"/>
    </row>
    <row r="5466" spans="12:13" customFormat="1" x14ac:dyDescent="0.25">
      <c r="L5466" s="530"/>
      <c r="M5466" s="530"/>
    </row>
    <row r="5467" spans="12:13" customFormat="1" x14ac:dyDescent="0.25">
      <c r="L5467" s="530"/>
      <c r="M5467" s="530"/>
    </row>
    <row r="5468" spans="12:13" customFormat="1" x14ac:dyDescent="0.25">
      <c r="L5468" s="530"/>
      <c r="M5468" s="530"/>
    </row>
    <row r="5469" spans="12:13" customFormat="1" x14ac:dyDescent="0.25">
      <c r="L5469" s="530"/>
      <c r="M5469" s="530"/>
    </row>
    <row r="5470" spans="12:13" customFormat="1" x14ac:dyDescent="0.25">
      <c r="L5470" s="530"/>
      <c r="M5470" s="530"/>
    </row>
    <row r="5471" spans="12:13" customFormat="1" x14ac:dyDescent="0.25">
      <c r="L5471" s="530"/>
      <c r="M5471" s="530"/>
    </row>
    <row r="5472" spans="12:13" customFormat="1" x14ac:dyDescent="0.25">
      <c r="L5472" s="530"/>
      <c r="M5472" s="530"/>
    </row>
    <row r="5473" spans="12:13" customFormat="1" x14ac:dyDescent="0.25">
      <c r="L5473" s="530"/>
      <c r="M5473" s="530"/>
    </row>
    <row r="5474" spans="12:13" customFormat="1" x14ac:dyDescent="0.25">
      <c r="L5474" s="530"/>
      <c r="M5474" s="530"/>
    </row>
    <row r="5475" spans="12:13" customFormat="1" x14ac:dyDescent="0.25">
      <c r="L5475" s="530"/>
      <c r="M5475" s="530"/>
    </row>
    <row r="5476" spans="12:13" customFormat="1" x14ac:dyDescent="0.25">
      <c r="L5476" s="530"/>
      <c r="M5476" s="530"/>
    </row>
    <row r="5477" spans="12:13" customFormat="1" x14ac:dyDescent="0.25">
      <c r="L5477" s="530"/>
      <c r="M5477" s="530"/>
    </row>
    <row r="5478" spans="12:13" customFormat="1" x14ac:dyDescent="0.25">
      <c r="L5478" s="530"/>
      <c r="M5478" s="530"/>
    </row>
    <row r="5479" spans="12:13" customFormat="1" x14ac:dyDescent="0.25">
      <c r="L5479" s="530"/>
      <c r="M5479" s="530"/>
    </row>
    <row r="5480" spans="12:13" customFormat="1" x14ac:dyDescent="0.25">
      <c r="L5480" s="530"/>
      <c r="M5480" s="530"/>
    </row>
    <row r="5481" spans="12:13" customFormat="1" x14ac:dyDescent="0.25">
      <c r="L5481" s="530"/>
      <c r="M5481" s="530"/>
    </row>
    <row r="5482" spans="12:13" customFormat="1" x14ac:dyDescent="0.25">
      <c r="L5482" s="530"/>
      <c r="M5482" s="530"/>
    </row>
    <row r="5483" spans="12:13" customFormat="1" x14ac:dyDescent="0.25">
      <c r="L5483" s="530"/>
      <c r="M5483" s="530"/>
    </row>
    <row r="5484" spans="12:13" customFormat="1" x14ac:dyDescent="0.25">
      <c r="L5484" s="530"/>
      <c r="M5484" s="530"/>
    </row>
    <row r="5485" spans="12:13" customFormat="1" x14ac:dyDescent="0.25">
      <c r="L5485" s="530"/>
      <c r="M5485" s="530"/>
    </row>
    <row r="5486" spans="12:13" customFormat="1" x14ac:dyDescent="0.25">
      <c r="L5486" s="530"/>
      <c r="M5486" s="530"/>
    </row>
    <row r="5487" spans="12:13" customFormat="1" x14ac:dyDescent="0.25">
      <c r="L5487" s="530"/>
      <c r="M5487" s="530"/>
    </row>
    <row r="5488" spans="12:13" customFormat="1" x14ac:dyDescent="0.25">
      <c r="L5488" s="530"/>
      <c r="M5488" s="530"/>
    </row>
    <row r="5489" spans="12:13" customFormat="1" x14ac:dyDescent="0.25">
      <c r="L5489" s="530"/>
      <c r="M5489" s="530"/>
    </row>
    <row r="5490" spans="12:13" customFormat="1" x14ac:dyDescent="0.25">
      <c r="L5490" s="530"/>
      <c r="M5490" s="530"/>
    </row>
    <row r="5491" spans="12:13" customFormat="1" x14ac:dyDescent="0.25">
      <c r="L5491" s="530"/>
      <c r="M5491" s="530"/>
    </row>
    <row r="5492" spans="12:13" customFormat="1" x14ac:dyDescent="0.25">
      <c r="L5492" s="530"/>
      <c r="M5492" s="530"/>
    </row>
    <row r="5493" spans="12:13" customFormat="1" x14ac:dyDescent="0.25">
      <c r="L5493" s="530"/>
      <c r="M5493" s="530"/>
    </row>
    <row r="5494" spans="12:13" customFormat="1" x14ac:dyDescent="0.25">
      <c r="L5494" s="530"/>
      <c r="M5494" s="530"/>
    </row>
    <row r="5495" spans="12:13" customFormat="1" x14ac:dyDescent="0.25">
      <c r="L5495" s="530"/>
      <c r="M5495" s="530"/>
    </row>
    <row r="5496" spans="12:13" customFormat="1" x14ac:dyDescent="0.25">
      <c r="L5496" s="530"/>
      <c r="M5496" s="530"/>
    </row>
    <row r="5497" spans="12:13" customFormat="1" x14ac:dyDescent="0.25">
      <c r="L5497" s="530"/>
      <c r="M5497" s="530"/>
    </row>
    <row r="5498" spans="12:13" customFormat="1" x14ac:dyDescent="0.25">
      <c r="L5498" s="530"/>
      <c r="M5498" s="530"/>
    </row>
    <row r="5499" spans="12:13" customFormat="1" x14ac:dyDescent="0.25">
      <c r="L5499" s="530"/>
      <c r="M5499" s="530"/>
    </row>
    <row r="5500" spans="12:13" customFormat="1" x14ac:dyDescent="0.25">
      <c r="L5500" s="530"/>
      <c r="M5500" s="530"/>
    </row>
    <row r="5501" spans="12:13" customFormat="1" x14ac:dyDescent="0.25">
      <c r="L5501" s="530"/>
      <c r="M5501" s="530"/>
    </row>
    <row r="5502" spans="12:13" customFormat="1" x14ac:dyDescent="0.25">
      <c r="L5502" s="530"/>
      <c r="M5502" s="530"/>
    </row>
    <row r="5503" spans="12:13" customFormat="1" x14ac:dyDescent="0.25">
      <c r="L5503" s="530"/>
      <c r="M5503" s="530"/>
    </row>
    <row r="5504" spans="12:13" customFormat="1" x14ac:dyDescent="0.25">
      <c r="L5504" s="530"/>
      <c r="M5504" s="530"/>
    </row>
    <row r="5505" spans="12:13" customFormat="1" x14ac:dyDescent="0.25">
      <c r="L5505" s="530"/>
      <c r="M5505" s="530"/>
    </row>
    <row r="5506" spans="12:13" customFormat="1" x14ac:dyDescent="0.25">
      <c r="L5506" s="530"/>
      <c r="M5506" s="530"/>
    </row>
    <row r="5507" spans="12:13" customFormat="1" x14ac:dyDescent="0.25">
      <c r="L5507" s="530"/>
      <c r="M5507" s="530"/>
    </row>
    <row r="5508" spans="12:13" customFormat="1" x14ac:dyDescent="0.25">
      <c r="L5508" s="530"/>
      <c r="M5508" s="530"/>
    </row>
    <row r="5509" spans="12:13" customFormat="1" x14ac:dyDescent="0.25">
      <c r="L5509" s="530"/>
      <c r="M5509" s="530"/>
    </row>
    <row r="5510" spans="12:13" customFormat="1" x14ac:dyDescent="0.25">
      <c r="L5510" s="530"/>
      <c r="M5510" s="530"/>
    </row>
    <row r="5511" spans="12:13" customFormat="1" x14ac:dyDescent="0.25">
      <c r="L5511" s="530"/>
      <c r="M5511" s="530"/>
    </row>
    <row r="5512" spans="12:13" customFormat="1" x14ac:dyDescent="0.25">
      <c r="L5512" s="530"/>
      <c r="M5512" s="530"/>
    </row>
    <row r="5513" spans="12:13" customFormat="1" x14ac:dyDescent="0.25">
      <c r="L5513" s="530"/>
      <c r="M5513" s="530"/>
    </row>
    <row r="5514" spans="12:13" customFormat="1" x14ac:dyDescent="0.25">
      <c r="L5514" s="530"/>
      <c r="M5514" s="530"/>
    </row>
    <row r="5515" spans="12:13" customFormat="1" x14ac:dyDescent="0.25">
      <c r="L5515" s="530"/>
      <c r="M5515" s="530"/>
    </row>
    <row r="5516" spans="12:13" customFormat="1" x14ac:dyDescent="0.25">
      <c r="L5516" s="530"/>
      <c r="M5516" s="530"/>
    </row>
    <row r="5517" spans="12:13" customFormat="1" x14ac:dyDescent="0.25">
      <c r="L5517" s="530"/>
      <c r="M5517" s="530"/>
    </row>
    <row r="5518" spans="12:13" customFormat="1" x14ac:dyDescent="0.25">
      <c r="L5518" s="530"/>
      <c r="M5518" s="530"/>
    </row>
    <row r="5519" spans="12:13" customFormat="1" x14ac:dyDescent="0.25">
      <c r="L5519" s="530"/>
      <c r="M5519" s="530"/>
    </row>
    <row r="5520" spans="12:13" customFormat="1" x14ac:dyDescent="0.25">
      <c r="L5520" s="530"/>
      <c r="M5520" s="530"/>
    </row>
    <row r="5521" spans="12:13" customFormat="1" x14ac:dyDescent="0.25">
      <c r="L5521" s="530"/>
      <c r="M5521" s="530"/>
    </row>
    <row r="5522" spans="12:13" customFormat="1" x14ac:dyDescent="0.25">
      <c r="L5522" s="530"/>
      <c r="M5522" s="530"/>
    </row>
    <row r="5523" spans="12:13" customFormat="1" x14ac:dyDescent="0.25">
      <c r="L5523" s="530"/>
      <c r="M5523" s="530"/>
    </row>
    <row r="5524" spans="12:13" customFormat="1" x14ac:dyDescent="0.25">
      <c r="L5524" s="530"/>
      <c r="M5524" s="530"/>
    </row>
    <row r="5525" spans="12:13" customFormat="1" x14ac:dyDescent="0.25">
      <c r="L5525" s="530"/>
      <c r="M5525" s="530"/>
    </row>
    <row r="5526" spans="12:13" customFormat="1" x14ac:dyDescent="0.25">
      <c r="L5526" s="530"/>
      <c r="M5526" s="530"/>
    </row>
    <row r="5527" spans="12:13" customFormat="1" x14ac:dyDescent="0.25">
      <c r="L5527" s="530"/>
      <c r="M5527" s="530"/>
    </row>
    <row r="5528" spans="12:13" customFormat="1" x14ac:dyDescent="0.25">
      <c r="L5528" s="530"/>
      <c r="M5528" s="530"/>
    </row>
    <row r="5529" spans="12:13" customFormat="1" x14ac:dyDescent="0.25">
      <c r="L5529" s="530"/>
      <c r="M5529" s="530"/>
    </row>
    <row r="5530" spans="12:13" customFormat="1" x14ac:dyDescent="0.25">
      <c r="L5530" s="530"/>
      <c r="M5530" s="530"/>
    </row>
    <row r="5531" spans="12:13" customFormat="1" x14ac:dyDescent="0.25">
      <c r="L5531" s="530"/>
      <c r="M5531" s="530"/>
    </row>
    <row r="5532" spans="12:13" customFormat="1" x14ac:dyDescent="0.25">
      <c r="L5532" s="530"/>
      <c r="M5532" s="530"/>
    </row>
    <row r="5533" spans="12:13" customFormat="1" x14ac:dyDescent="0.25">
      <c r="L5533" s="530"/>
      <c r="M5533" s="530"/>
    </row>
    <row r="5534" spans="12:13" customFormat="1" x14ac:dyDescent="0.25">
      <c r="L5534" s="530"/>
      <c r="M5534" s="530"/>
    </row>
    <row r="5535" spans="12:13" customFormat="1" x14ac:dyDescent="0.25">
      <c r="L5535" s="530"/>
      <c r="M5535" s="530"/>
    </row>
    <row r="5536" spans="12:13" customFormat="1" x14ac:dyDescent="0.25">
      <c r="L5536" s="530"/>
      <c r="M5536" s="530"/>
    </row>
    <row r="5537" spans="12:13" customFormat="1" x14ac:dyDescent="0.25">
      <c r="L5537" s="530"/>
      <c r="M5537" s="530"/>
    </row>
    <row r="5538" spans="12:13" customFormat="1" x14ac:dyDescent="0.25">
      <c r="L5538" s="530"/>
      <c r="M5538" s="530"/>
    </row>
    <row r="5539" spans="12:13" customFormat="1" x14ac:dyDescent="0.25">
      <c r="L5539" s="530"/>
      <c r="M5539" s="530"/>
    </row>
    <row r="5540" spans="12:13" customFormat="1" x14ac:dyDescent="0.25">
      <c r="L5540" s="530"/>
      <c r="M5540" s="530"/>
    </row>
    <row r="5541" spans="12:13" customFormat="1" x14ac:dyDescent="0.25">
      <c r="L5541" s="530"/>
      <c r="M5541" s="530"/>
    </row>
    <row r="5542" spans="12:13" customFormat="1" x14ac:dyDescent="0.25">
      <c r="L5542" s="530"/>
      <c r="M5542" s="530"/>
    </row>
    <row r="5543" spans="12:13" customFormat="1" x14ac:dyDescent="0.25">
      <c r="L5543" s="530"/>
      <c r="M5543" s="530"/>
    </row>
    <row r="5544" spans="12:13" customFormat="1" x14ac:dyDescent="0.25">
      <c r="L5544" s="530"/>
      <c r="M5544" s="530"/>
    </row>
    <row r="5545" spans="12:13" customFormat="1" x14ac:dyDescent="0.25">
      <c r="L5545" s="530"/>
      <c r="M5545" s="530"/>
    </row>
    <row r="5546" spans="12:13" customFormat="1" x14ac:dyDescent="0.25">
      <c r="L5546" s="530"/>
      <c r="M5546" s="530"/>
    </row>
    <row r="5547" spans="12:13" customFormat="1" x14ac:dyDescent="0.25">
      <c r="L5547" s="530"/>
      <c r="M5547" s="530"/>
    </row>
    <row r="5548" spans="12:13" customFormat="1" x14ac:dyDescent="0.25">
      <c r="L5548" s="530"/>
      <c r="M5548" s="530"/>
    </row>
    <row r="5549" spans="12:13" customFormat="1" x14ac:dyDescent="0.25">
      <c r="L5549" s="530"/>
      <c r="M5549" s="530"/>
    </row>
    <row r="5550" spans="12:13" customFormat="1" x14ac:dyDescent="0.25">
      <c r="L5550" s="530"/>
      <c r="M5550" s="530"/>
    </row>
    <row r="5551" spans="12:13" customFormat="1" x14ac:dyDescent="0.25">
      <c r="L5551" s="530"/>
      <c r="M5551" s="530"/>
    </row>
    <row r="5552" spans="12:13" customFormat="1" x14ac:dyDescent="0.25">
      <c r="L5552" s="530"/>
      <c r="M5552" s="530"/>
    </row>
    <row r="5553" spans="12:13" customFormat="1" x14ac:dyDescent="0.25">
      <c r="L5553" s="530"/>
      <c r="M5553" s="530"/>
    </row>
    <row r="5554" spans="12:13" customFormat="1" x14ac:dyDescent="0.25">
      <c r="L5554" s="530"/>
      <c r="M5554" s="530"/>
    </row>
    <row r="5555" spans="12:13" customFormat="1" x14ac:dyDescent="0.25">
      <c r="L5555" s="530"/>
      <c r="M5555" s="530"/>
    </row>
    <row r="5556" spans="12:13" customFormat="1" x14ac:dyDescent="0.25">
      <c r="L5556" s="530"/>
      <c r="M5556" s="530"/>
    </row>
    <row r="5557" spans="12:13" customFormat="1" x14ac:dyDescent="0.25">
      <c r="L5557" s="530"/>
      <c r="M5557" s="530"/>
    </row>
    <row r="5558" spans="12:13" customFormat="1" x14ac:dyDescent="0.25">
      <c r="L5558" s="530"/>
      <c r="M5558" s="530"/>
    </row>
    <row r="5559" spans="12:13" customFormat="1" x14ac:dyDescent="0.25">
      <c r="L5559" s="530"/>
      <c r="M5559" s="530"/>
    </row>
    <row r="5560" spans="12:13" customFormat="1" x14ac:dyDescent="0.25">
      <c r="L5560" s="530"/>
      <c r="M5560" s="530"/>
    </row>
    <row r="5561" spans="12:13" customFormat="1" x14ac:dyDescent="0.25">
      <c r="L5561" s="530"/>
      <c r="M5561" s="530"/>
    </row>
    <row r="5562" spans="12:13" customFormat="1" x14ac:dyDescent="0.25">
      <c r="L5562" s="530"/>
      <c r="M5562" s="530"/>
    </row>
    <row r="5563" spans="12:13" customFormat="1" x14ac:dyDescent="0.25">
      <c r="L5563" s="530"/>
      <c r="M5563" s="530"/>
    </row>
    <row r="5564" spans="12:13" customFormat="1" x14ac:dyDescent="0.25">
      <c r="L5564" s="530"/>
      <c r="M5564" s="530"/>
    </row>
    <row r="5565" spans="12:13" customFormat="1" x14ac:dyDescent="0.25">
      <c r="L5565" s="530"/>
      <c r="M5565" s="530"/>
    </row>
    <row r="5566" spans="12:13" customFormat="1" x14ac:dyDescent="0.25">
      <c r="L5566" s="530"/>
      <c r="M5566" s="530"/>
    </row>
    <row r="5567" spans="12:13" customFormat="1" x14ac:dyDescent="0.25">
      <c r="L5567" s="530"/>
      <c r="M5567" s="530"/>
    </row>
    <row r="5568" spans="12:13" customFormat="1" x14ac:dyDescent="0.25">
      <c r="L5568" s="530"/>
      <c r="M5568" s="530"/>
    </row>
    <row r="5569" spans="12:13" customFormat="1" x14ac:dyDescent="0.25">
      <c r="L5569" s="530"/>
      <c r="M5569" s="530"/>
    </row>
    <row r="5570" spans="12:13" customFormat="1" x14ac:dyDescent="0.25">
      <c r="L5570" s="530"/>
      <c r="M5570" s="530"/>
    </row>
    <row r="5571" spans="12:13" customFormat="1" x14ac:dyDescent="0.25">
      <c r="L5571" s="530"/>
      <c r="M5571" s="530"/>
    </row>
    <row r="5572" spans="12:13" customFormat="1" x14ac:dyDescent="0.25">
      <c r="L5572" s="530"/>
      <c r="M5572" s="530"/>
    </row>
    <row r="5573" spans="12:13" customFormat="1" x14ac:dyDescent="0.25">
      <c r="L5573" s="530"/>
      <c r="M5573" s="530"/>
    </row>
    <row r="5574" spans="12:13" customFormat="1" x14ac:dyDescent="0.25">
      <c r="L5574" s="530"/>
      <c r="M5574" s="530"/>
    </row>
    <row r="5575" spans="12:13" customFormat="1" x14ac:dyDescent="0.25">
      <c r="L5575" s="530"/>
      <c r="M5575" s="530"/>
    </row>
    <row r="5576" spans="12:13" customFormat="1" x14ac:dyDescent="0.25">
      <c r="L5576" s="530"/>
      <c r="M5576" s="530"/>
    </row>
    <row r="5577" spans="12:13" customFormat="1" x14ac:dyDescent="0.25">
      <c r="L5577" s="530"/>
      <c r="M5577" s="530"/>
    </row>
    <row r="5578" spans="12:13" customFormat="1" x14ac:dyDescent="0.25">
      <c r="L5578" s="530"/>
      <c r="M5578" s="530"/>
    </row>
    <row r="5579" spans="12:13" customFormat="1" x14ac:dyDescent="0.25">
      <c r="L5579" s="530"/>
      <c r="M5579" s="530"/>
    </row>
    <row r="5580" spans="12:13" customFormat="1" x14ac:dyDescent="0.25">
      <c r="L5580" s="530"/>
      <c r="M5580" s="530"/>
    </row>
    <row r="5581" spans="12:13" customFormat="1" x14ac:dyDescent="0.25">
      <c r="L5581" s="530"/>
      <c r="M5581" s="530"/>
    </row>
    <row r="5582" spans="12:13" customFormat="1" x14ac:dyDescent="0.25">
      <c r="L5582" s="530"/>
      <c r="M5582" s="530"/>
    </row>
    <row r="5583" spans="12:13" customFormat="1" x14ac:dyDescent="0.25">
      <c r="L5583" s="530"/>
      <c r="M5583" s="530"/>
    </row>
    <row r="5584" spans="12:13" customFormat="1" x14ac:dyDescent="0.25">
      <c r="L5584" s="530"/>
      <c r="M5584" s="530"/>
    </row>
    <row r="5585" spans="12:13" customFormat="1" x14ac:dyDescent="0.25">
      <c r="L5585" s="530"/>
      <c r="M5585" s="530"/>
    </row>
    <row r="5586" spans="12:13" customFormat="1" x14ac:dyDescent="0.25">
      <c r="L5586" s="530"/>
      <c r="M5586" s="530"/>
    </row>
    <row r="5587" spans="12:13" customFormat="1" x14ac:dyDescent="0.25">
      <c r="L5587" s="530"/>
      <c r="M5587" s="530"/>
    </row>
    <row r="5588" spans="12:13" customFormat="1" x14ac:dyDescent="0.25">
      <c r="L5588" s="530"/>
      <c r="M5588" s="530"/>
    </row>
    <row r="5589" spans="12:13" customFormat="1" x14ac:dyDescent="0.25">
      <c r="L5589" s="530"/>
      <c r="M5589" s="530"/>
    </row>
    <row r="5590" spans="12:13" customFormat="1" x14ac:dyDescent="0.25">
      <c r="L5590" s="530"/>
      <c r="M5590" s="530"/>
    </row>
  </sheetData>
  <sheetProtection algorithmName="SHA-512" hashValue="4t9hhZPdjUwfIRcBsHsBHChjtkjeLsLl5j30tic6i69UW5/SzOKw2ITLi11oV4rW4ifKtm4ZoL1vAdjoukzrAQ==" saltValue="/IG0OsNjrnXi1ZhwAqIp+w==" spinCount="100000" sheet="1" objects="1" scenarios="1"/>
  <protectedRanges>
    <protectedRange sqref="D11:D13 K12:K13 A11:A13" name="Range3_16_2_1"/>
    <protectedRange sqref="A1 I1" name="Range3_16_2_1_2"/>
    <protectedRange sqref="A6" name="Range3_16_2_3_1"/>
    <protectedRange sqref="A4:A5" name="Range3_32_2_1_1_1"/>
    <protectedRange sqref="A4438 A4433:A4435" name="Range3_23"/>
  </protectedRanges>
  <sortState xmlns:xlrd2="http://schemas.microsoft.com/office/spreadsheetml/2017/richdata2" ref="BB9:BB17">
    <sortCondition ref="BB9:BB17"/>
  </sortState>
  <mergeCells count="15560">
    <mergeCell ref="AC1012:AD1012"/>
    <mergeCell ref="AF1012:AH1012"/>
    <mergeCell ref="AK1012:AL1012"/>
    <mergeCell ref="AC1013:AD1013"/>
    <mergeCell ref="AF1013:AH1013"/>
    <mergeCell ref="AK1013:AL1013"/>
    <mergeCell ref="AC1014:AD1014"/>
    <mergeCell ref="AF1014:AH1014"/>
    <mergeCell ref="AK1014:AL1014"/>
    <mergeCell ref="AC1015:AD1015"/>
    <mergeCell ref="AF1015:AH1015"/>
    <mergeCell ref="AK1015:AL1015"/>
    <mergeCell ref="AC1016:AD1016"/>
    <mergeCell ref="AF1016:AH1016"/>
    <mergeCell ref="AK1016:AL1016"/>
    <mergeCell ref="AC1017:AD1017"/>
    <mergeCell ref="AF1017:AH1017"/>
    <mergeCell ref="AK1017:AL1017"/>
    <mergeCell ref="AC1018:AD1018"/>
    <mergeCell ref="AF1018:AH1018"/>
    <mergeCell ref="AK1018:AL1018"/>
    <mergeCell ref="AC1019:AD1019"/>
    <mergeCell ref="AF1019:AH1019"/>
    <mergeCell ref="AK1019:AL1019"/>
    <mergeCell ref="AC1020:AD1020"/>
    <mergeCell ref="AF1020:AH1020"/>
    <mergeCell ref="AK1020:AL1020"/>
    <mergeCell ref="AC1021:AD1021"/>
    <mergeCell ref="AF1021:AH1021"/>
    <mergeCell ref="AK1021:AL1021"/>
    <mergeCell ref="AC1001:AD1001"/>
    <mergeCell ref="AF1001:AH1001"/>
    <mergeCell ref="AK1001:AL1001"/>
    <mergeCell ref="AC1002:AD1002"/>
    <mergeCell ref="AF1002:AH1002"/>
    <mergeCell ref="AK1002:AL1002"/>
    <mergeCell ref="AC1003:AD1003"/>
    <mergeCell ref="AF1003:AH1003"/>
    <mergeCell ref="AK1003:AL1003"/>
    <mergeCell ref="AC1004:AD1004"/>
    <mergeCell ref="AF1004:AH1004"/>
    <mergeCell ref="AK1004:AL1004"/>
    <mergeCell ref="AC1005:AD1005"/>
    <mergeCell ref="AF1005:AH1005"/>
    <mergeCell ref="AK1005:AL1005"/>
    <mergeCell ref="AC1006:AD1006"/>
    <mergeCell ref="AF1006:AH1006"/>
    <mergeCell ref="AK1006:AL1006"/>
    <mergeCell ref="AC1007:AD1007"/>
    <mergeCell ref="AF1007:AH1007"/>
    <mergeCell ref="AK1007:AL1007"/>
    <mergeCell ref="AC1008:AD1008"/>
    <mergeCell ref="AF1008:AH1008"/>
    <mergeCell ref="AK1008:AL1008"/>
    <mergeCell ref="AC1009:AD1009"/>
    <mergeCell ref="AF1009:AH1009"/>
    <mergeCell ref="AK1009:AL1009"/>
    <mergeCell ref="AC1010:AD1010"/>
    <mergeCell ref="AF1010:AH1010"/>
    <mergeCell ref="AK1010:AL1010"/>
    <mergeCell ref="AC1011:AD1011"/>
    <mergeCell ref="AF1011:AH1011"/>
    <mergeCell ref="AK1011:AL1011"/>
    <mergeCell ref="AC990:AD990"/>
    <mergeCell ref="AF990:AH990"/>
    <mergeCell ref="AK990:AL990"/>
    <mergeCell ref="AC991:AD991"/>
    <mergeCell ref="AF991:AH991"/>
    <mergeCell ref="AK991:AL991"/>
    <mergeCell ref="AC992:AD992"/>
    <mergeCell ref="AF992:AH992"/>
    <mergeCell ref="AK992:AL992"/>
    <mergeCell ref="AC993:AD993"/>
    <mergeCell ref="AF993:AH993"/>
    <mergeCell ref="AK993:AL993"/>
    <mergeCell ref="AC994:AD994"/>
    <mergeCell ref="AF994:AH994"/>
    <mergeCell ref="AK994:AL994"/>
    <mergeCell ref="AC995:AD995"/>
    <mergeCell ref="AF995:AH995"/>
    <mergeCell ref="AK995:AL995"/>
    <mergeCell ref="AC996:AD996"/>
    <mergeCell ref="AF996:AH996"/>
    <mergeCell ref="AK996:AL996"/>
    <mergeCell ref="AC997:AD997"/>
    <mergeCell ref="AF997:AH997"/>
    <mergeCell ref="AK997:AL997"/>
    <mergeCell ref="AC998:AD998"/>
    <mergeCell ref="AF998:AH998"/>
    <mergeCell ref="AK998:AL998"/>
    <mergeCell ref="AC999:AD999"/>
    <mergeCell ref="AF999:AH999"/>
    <mergeCell ref="AK999:AL999"/>
    <mergeCell ref="AC1000:AD1000"/>
    <mergeCell ref="AF1000:AH1000"/>
    <mergeCell ref="AK1000:AL1000"/>
    <mergeCell ref="AC979:AD979"/>
    <mergeCell ref="AF979:AH979"/>
    <mergeCell ref="AK979:AL979"/>
    <mergeCell ref="AC980:AD980"/>
    <mergeCell ref="AF980:AH980"/>
    <mergeCell ref="AK980:AL980"/>
    <mergeCell ref="AC981:AD981"/>
    <mergeCell ref="AF981:AH981"/>
    <mergeCell ref="AK981:AL981"/>
    <mergeCell ref="AC982:AD982"/>
    <mergeCell ref="AF982:AH982"/>
    <mergeCell ref="AK982:AL982"/>
    <mergeCell ref="AC983:AD983"/>
    <mergeCell ref="AF983:AH983"/>
    <mergeCell ref="AK983:AL983"/>
    <mergeCell ref="AC984:AD984"/>
    <mergeCell ref="AF984:AH984"/>
    <mergeCell ref="AK984:AL984"/>
    <mergeCell ref="AC985:AD985"/>
    <mergeCell ref="AF985:AH985"/>
    <mergeCell ref="AK985:AL985"/>
    <mergeCell ref="AC986:AD986"/>
    <mergeCell ref="AF986:AH986"/>
    <mergeCell ref="AK986:AL986"/>
    <mergeCell ref="AC987:AD987"/>
    <mergeCell ref="AF987:AH987"/>
    <mergeCell ref="AK987:AL987"/>
    <mergeCell ref="AC988:AD988"/>
    <mergeCell ref="AF988:AH988"/>
    <mergeCell ref="AK988:AL988"/>
    <mergeCell ref="AC989:AD989"/>
    <mergeCell ref="AF989:AH989"/>
    <mergeCell ref="AK989:AL989"/>
    <mergeCell ref="AC968:AD968"/>
    <mergeCell ref="AF968:AH968"/>
    <mergeCell ref="AK968:AL968"/>
    <mergeCell ref="AC969:AD969"/>
    <mergeCell ref="AF969:AH969"/>
    <mergeCell ref="AK969:AL969"/>
    <mergeCell ref="AC970:AD970"/>
    <mergeCell ref="AF970:AH970"/>
    <mergeCell ref="AK970:AL970"/>
    <mergeCell ref="AC971:AD971"/>
    <mergeCell ref="AF971:AH971"/>
    <mergeCell ref="AK971:AL971"/>
    <mergeCell ref="AC972:AD972"/>
    <mergeCell ref="AF972:AH972"/>
    <mergeCell ref="AK972:AL972"/>
    <mergeCell ref="AC973:AD973"/>
    <mergeCell ref="AF973:AH973"/>
    <mergeCell ref="AK973:AL973"/>
    <mergeCell ref="AC974:AD974"/>
    <mergeCell ref="AF974:AH974"/>
    <mergeCell ref="AK974:AL974"/>
    <mergeCell ref="AC975:AD975"/>
    <mergeCell ref="AF975:AH975"/>
    <mergeCell ref="AK975:AL975"/>
    <mergeCell ref="AC976:AD976"/>
    <mergeCell ref="AF976:AH976"/>
    <mergeCell ref="AK976:AL976"/>
    <mergeCell ref="AC977:AD977"/>
    <mergeCell ref="AF977:AH977"/>
    <mergeCell ref="AK977:AL977"/>
    <mergeCell ref="AC978:AD978"/>
    <mergeCell ref="AF978:AH978"/>
    <mergeCell ref="AK978:AL978"/>
    <mergeCell ref="AC957:AD957"/>
    <mergeCell ref="AF957:AH957"/>
    <mergeCell ref="AK957:AL957"/>
    <mergeCell ref="AC958:AD958"/>
    <mergeCell ref="AF958:AH958"/>
    <mergeCell ref="AK958:AL958"/>
    <mergeCell ref="AC959:AD959"/>
    <mergeCell ref="AF959:AH959"/>
    <mergeCell ref="AK959:AL959"/>
    <mergeCell ref="AC960:AD960"/>
    <mergeCell ref="AF960:AH960"/>
    <mergeCell ref="AK960:AL960"/>
    <mergeCell ref="AC961:AD961"/>
    <mergeCell ref="AF961:AH961"/>
    <mergeCell ref="AK961:AL961"/>
    <mergeCell ref="AC962:AD962"/>
    <mergeCell ref="AF962:AH962"/>
    <mergeCell ref="AK962:AL962"/>
    <mergeCell ref="AC963:AD963"/>
    <mergeCell ref="AF963:AH963"/>
    <mergeCell ref="AK963:AL963"/>
    <mergeCell ref="AC964:AD964"/>
    <mergeCell ref="AF964:AH964"/>
    <mergeCell ref="AK964:AL964"/>
    <mergeCell ref="AC965:AD965"/>
    <mergeCell ref="AF965:AH965"/>
    <mergeCell ref="AK965:AL965"/>
    <mergeCell ref="AC966:AD966"/>
    <mergeCell ref="AF966:AH966"/>
    <mergeCell ref="AK966:AL966"/>
    <mergeCell ref="AC967:AD967"/>
    <mergeCell ref="AF967:AH967"/>
    <mergeCell ref="AK967:AL967"/>
    <mergeCell ref="AC946:AD946"/>
    <mergeCell ref="AF946:AH946"/>
    <mergeCell ref="AK946:AL946"/>
    <mergeCell ref="AC947:AD947"/>
    <mergeCell ref="AF947:AH947"/>
    <mergeCell ref="AK947:AL947"/>
    <mergeCell ref="AC948:AD948"/>
    <mergeCell ref="AF948:AH948"/>
    <mergeCell ref="AK948:AL948"/>
    <mergeCell ref="AC949:AD949"/>
    <mergeCell ref="AF949:AH949"/>
    <mergeCell ref="AK949:AL949"/>
    <mergeCell ref="AC950:AD950"/>
    <mergeCell ref="AF950:AH950"/>
    <mergeCell ref="AK950:AL950"/>
    <mergeCell ref="AC951:AD951"/>
    <mergeCell ref="AF951:AH951"/>
    <mergeCell ref="AK951:AL951"/>
    <mergeCell ref="AC952:AD952"/>
    <mergeCell ref="AF952:AH952"/>
    <mergeCell ref="AK952:AL952"/>
    <mergeCell ref="AC953:AD953"/>
    <mergeCell ref="AF953:AH953"/>
    <mergeCell ref="AK953:AL953"/>
    <mergeCell ref="AC954:AD954"/>
    <mergeCell ref="AF954:AH954"/>
    <mergeCell ref="AK954:AL954"/>
    <mergeCell ref="AC955:AD955"/>
    <mergeCell ref="AF955:AH955"/>
    <mergeCell ref="AK955:AL955"/>
    <mergeCell ref="AC956:AD956"/>
    <mergeCell ref="AF956:AH956"/>
    <mergeCell ref="AK956:AL956"/>
    <mergeCell ref="AC935:AD935"/>
    <mergeCell ref="AF935:AH935"/>
    <mergeCell ref="AK935:AL935"/>
    <mergeCell ref="AC936:AD936"/>
    <mergeCell ref="AF936:AH936"/>
    <mergeCell ref="AK936:AL936"/>
    <mergeCell ref="AC937:AD937"/>
    <mergeCell ref="AF937:AH937"/>
    <mergeCell ref="AK937:AL937"/>
    <mergeCell ref="AC938:AD938"/>
    <mergeCell ref="AF938:AH938"/>
    <mergeCell ref="AK938:AL938"/>
    <mergeCell ref="AC939:AD939"/>
    <mergeCell ref="AF939:AH939"/>
    <mergeCell ref="AK939:AL939"/>
    <mergeCell ref="AC940:AD940"/>
    <mergeCell ref="AF940:AH940"/>
    <mergeCell ref="AK940:AL940"/>
    <mergeCell ref="AC941:AD941"/>
    <mergeCell ref="AF941:AH941"/>
    <mergeCell ref="AK941:AL941"/>
    <mergeCell ref="AC942:AD942"/>
    <mergeCell ref="AF942:AH942"/>
    <mergeCell ref="AK942:AL942"/>
    <mergeCell ref="AC943:AD943"/>
    <mergeCell ref="AF943:AH943"/>
    <mergeCell ref="AK943:AL943"/>
    <mergeCell ref="AC944:AD944"/>
    <mergeCell ref="AF944:AH944"/>
    <mergeCell ref="AK944:AL944"/>
    <mergeCell ref="AC945:AD945"/>
    <mergeCell ref="AF945:AH945"/>
    <mergeCell ref="AK945:AL945"/>
    <mergeCell ref="AC924:AD924"/>
    <mergeCell ref="AF924:AH924"/>
    <mergeCell ref="AK924:AL924"/>
    <mergeCell ref="AC925:AD925"/>
    <mergeCell ref="AF925:AH925"/>
    <mergeCell ref="AK925:AL925"/>
    <mergeCell ref="AC926:AD926"/>
    <mergeCell ref="AF926:AH926"/>
    <mergeCell ref="AK926:AL926"/>
    <mergeCell ref="AC927:AD927"/>
    <mergeCell ref="AF927:AH927"/>
    <mergeCell ref="AK927:AL927"/>
    <mergeCell ref="AC928:AD928"/>
    <mergeCell ref="AF928:AH928"/>
    <mergeCell ref="AK928:AL928"/>
    <mergeCell ref="AC929:AD929"/>
    <mergeCell ref="AF929:AH929"/>
    <mergeCell ref="AK929:AL929"/>
    <mergeCell ref="AC930:AD930"/>
    <mergeCell ref="AF930:AH930"/>
    <mergeCell ref="AK930:AL930"/>
    <mergeCell ref="AC931:AD931"/>
    <mergeCell ref="AF931:AH931"/>
    <mergeCell ref="AK931:AL931"/>
    <mergeCell ref="AC932:AD932"/>
    <mergeCell ref="AF932:AH932"/>
    <mergeCell ref="AK932:AL932"/>
    <mergeCell ref="AC933:AD933"/>
    <mergeCell ref="AF933:AH933"/>
    <mergeCell ref="AK933:AL933"/>
    <mergeCell ref="AC934:AD934"/>
    <mergeCell ref="AF934:AH934"/>
    <mergeCell ref="AK934:AL934"/>
    <mergeCell ref="AC913:AD913"/>
    <mergeCell ref="AF913:AH913"/>
    <mergeCell ref="AK913:AL913"/>
    <mergeCell ref="AC914:AD914"/>
    <mergeCell ref="AF914:AH914"/>
    <mergeCell ref="AK914:AL914"/>
    <mergeCell ref="AC915:AD915"/>
    <mergeCell ref="AF915:AH915"/>
    <mergeCell ref="AK915:AL915"/>
    <mergeCell ref="AC916:AD916"/>
    <mergeCell ref="AF916:AH916"/>
    <mergeCell ref="AK916:AL916"/>
    <mergeCell ref="AC917:AD917"/>
    <mergeCell ref="AF917:AH917"/>
    <mergeCell ref="AK917:AL917"/>
    <mergeCell ref="AC918:AD918"/>
    <mergeCell ref="AF918:AH918"/>
    <mergeCell ref="AK918:AL918"/>
    <mergeCell ref="AC919:AD919"/>
    <mergeCell ref="AF919:AH919"/>
    <mergeCell ref="AK919:AL919"/>
    <mergeCell ref="AC920:AD920"/>
    <mergeCell ref="AF920:AH920"/>
    <mergeCell ref="AK920:AL920"/>
    <mergeCell ref="AC921:AD921"/>
    <mergeCell ref="AF921:AH921"/>
    <mergeCell ref="AK921:AL921"/>
    <mergeCell ref="AC922:AD922"/>
    <mergeCell ref="AF922:AH922"/>
    <mergeCell ref="AK922:AL922"/>
    <mergeCell ref="AC923:AD923"/>
    <mergeCell ref="AF923:AH923"/>
    <mergeCell ref="AK923:AL923"/>
    <mergeCell ref="AC902:AD902"/>
    <mergeCell ref="AF902:AH902"/>
    <mergeCell ref="AK902:AL902"/>
    <mergeCell ref="AC903:AD903"/>
    <mergeCell ref="AF903:AH903"/>
    <mergeCell ref="AK903:AL903"/>
    <mergeCell ref="AC904:AD904"/>
    <mergeCell ref="AF904:AH904"/>
    <mergeCell ref="AK904:AL904"/>
    <mergeCell ref="AC905:AD905"/>
    <mergeCell ref="AF905:AH905"/>
    <mergeCell ref="AK905:AL905"/>
    <mergeCell ref="AC906:AD906"/>
    <mergeCell ref="AF906:AH906"/>
    <mergeCell ref="AK906:AL906"/>
    <mergeCell ref="AC907:AD907"/>
    <mergeCell ref="AF907:AH907"/>
    <mergeCell ref="AK907:AL907"/>
    <mergeCell ref="AC908:AD908"/>
    <mergeCell ref="AF908:AH908"/>
    <mergeCell ref="AK908:AL908"/>
    <mergeCell ref="AC909:AD909"/>
    <mergeCell ref="AF909:AH909"/>
    <mergeCell ref="AK909:AL909"/>
    <mergeCell ref="AC910:AD910"/>
    <mergeCell ref="AF910:AH910"/>
    <mergeCell ref="AK910:AL910"/>
    <mergeCell ref="AC911:AD911"/>
    <mergeCell ref="AF911:AH911"/>
    <mergeCell ref="AK911:AL911"/>
    <mergeCell ref="AC912:AD912"/>
    <mergeCell ref="AF912:AH912"/>
    <mergeCell ref="AK912:AL912"/>
    <mergeCell ref="AC891:AD891"/>
    <mergeCell ref="AF891:AH891"/>
    <mergeCell ref="AK891:AL891"/>
    <mergeCell ref="AC892:AD892"/>
    <mergeCell ref="AF892:AH892"/>
    <mergeCell ref="AK892:AL892"/>
    <mergeCell ref="AC893:AD893"/>
    <mergeCell ref="AF893:AH893"/>
    <mergeCell ref="AK893:AL893"/>
    <mergeCell ref="AC894:AD894"/>
    <mergeCell ref="AF894:AH894"/>
    <mergeCell ref="AK894:AL894"/>
    <mergeCell ref="AC895:AD895"/>
    <mergeCell ref="AF895:AH895"/>
    <mergeCell ref="AK895:AL895"/>
    <mergeCell ref="AC896:AD896"/>
    <mergeCell ref="AF896:AH896"/>
    <mergeCell ref="AK896:AL896"/>
    <mergeCell ref="AC897:AD897"/>
    <mergeCell ref="AF897:AH897"/>
    <mergeCell ref="AK897:AL897"/>
    <mergeCell ref="AC898:AD898"/>
    <mergeCell ref="AF898:AH898"/>
    <mergeCell ref="AK898:AL898"/>
    <mergeCell ref="AC899:AD899"/>
    <mergeCell ref="AF899:AH899"/>
    <mergeCell ref="AK899:AL899"/>
    <mergeCell ref="AC900:AD900"/>
    <mergeCell ref="AF900:AH900"/>
    <mergeCell ref="AK900:AL900"/>
    <mergeCell ref="AC901:AD901"/>
    <mergeCell ref="AF901:AH901"/>
    <mergeCell ref="AK901:AL901"/>
    <mergeCell ref="AC880:AD880"/>
    <mergeCell ref="AF880:AH880"/>
    <mergeCell ref="AK880:AL880"/>
    <mergeCell ref="AC881:AD881"/>
    <mergeCell ref="AF881:AH881"/>
    <mergeCell ref="AK881:AL881"/>
    <mergeCell ref="AC882:AD882"/>
    <mergeCell ref="AF882:AH882"/>
    <mergeCell ref="AK882:AL882"/>
    <mergeCell ref="AC883:AD883"/>
    <mergeCell ref="AF883:AH883"/>
    <mergeCell ref="AK883:AL883"/>
    <mergeCell ref="AC884:AD884"/>
    <mergeCell ref="AF884:AH884"/>
    <mergeCell ref="AK884:AL884"/>
    <mergeCell ref="AC885:AD885"/>
    <mergeCell ref="AF885:AH885"/>
    <mergeCell ref="AK885:AL885"/>
    <mergeCell ref="AC886:AD886"/>
    <mergeCell ref="AF886:AH886"/>
    <mergeCell ref="AK886:AL886"/>
    <mergeCell ref="AC887:AD887"/>
    <mergeCell ref="AF887:AH887"/>
    <mergeCell ref="AK887:AL887"/>
    <mergeCell ref="AC888:AD888"/>
    <mergeCell ref="AF888:AH888"/>
    <mergeCell ref="AK888:AL888"/>
    <mergeCell ref="AC889:AD889"/>
    <mergeCell ref="AF889:AH889"/>
    <mergeCell ref="AK889:AL889"/>
    <mergeCell ref="AC890:AD890"/>
    <mergeCell ref="AF890:AH890"/>
    <mergeCell ref="AK890:AL890"/>
    <mergeCell ref="AC869:AD869"/>
    <mergeCell ref="AF869:AH869"/>
    <mergeCell ref="AK869:AL869"/>
    <mergeCell ref="AC870:AD870"/>
    <mergeCell ref="AF870:AH870"/>
    <mergeCell ref="AK870:AL870"/>
    <mergeCell ref="AC871:AD871"/>
    <mergeCell ref="AF871:AH871"/>
    <mergeCell ref="AK871:AL871"/>
    <mergeCell ref="AC872:AD872"/>
    <mergeCell ref="AF872:AH872"/>
    <mergeCell ref="AK872:AL872"/>
    <mergeCell ref="AC873:AD873"/>
    <mergeCell ref="AF873:AH873"/>
    <mergeCell ref="AK873:AL873"/>
    <mergeCell ref="AC874:AD874"/>
    <mergeCell ref="AF874:AH874"/>
    <mergeCell ref="AK874:AL874"/>
    <mergeCell ref="AC875:AD875"/>
    <mergeCell ref="AF875:AH875"/>
    <mergeCell ref="AK875:AL875"/>
    <mergeCell ref="AC876:AD876"/>
    <mergeCell ref="AF876:AH876"/>
    <mergeCell ref="AK876:AL876"/>
    <mergeCell ref="AC877:AD877"/>
    <mergeCell ref="AF877:AH877"/>
    <mergeCell ref="AK877:AL877"/>
    <mergeCell ref="AC878:AD878"/>
    <mergeCell ref="AF878:AH878"/>
    <mergeCell ref="AK878:AL878"/>
    <mergeCell ref="AC879:AD879"/>
    <mergeCell ref="AF879:AH879"/>
    <mergeCell ref="AK879:AL879"/>
    <mergeCell ref="AC855:AD855"/>
    <mergeCell ref="AF855:AH855"/>
    <mergeCell ref="AK855:AL855"/>
    <mergeCell ref="AC856:AD856"/>
    <mergeCell ref="AF856:AH856"/>
    <mergeCell ref="AK856:AL856"/>
    <mergeCell ref="AC857:AD857"/>
    <mergeCell ref="AF857:AH857"/>
    <mergeCell ref="AK857:AL857"/>
    <mergeCell ref="AC858:AD858"/>
    <mergeCell ref="AF858:AH858"/>
    <mergeCell ref="AK858:AL858"/>
    <mergeCell ref="AC859:AD859"/>
    <mergeCell ref="AF859:AH859"/>
    <mergeCell ref="AK859:AL859"/>
    <mergeCell ref="AC863:AD863"/>
    <mergeCell ref="AF863:AH863"/>
    <mergeCell ref="AK863:AL863"/>
    <mergeCell ref="AC864:AD864"/>
    <mergeCell ref="AF864:AH864"/>
    <mergeCell ref="AK864:AL864"/>
    <mergeCell ref="AC865:AD865"/>
    <mergeCell ref="AF865:AH865"/>
    <mergeCell ref="AK865:AL865"/>
    <mergeCell ref="AC866:AD866"/>
    <mergeCell ref="AF866:AH866"/>
    <mergeCell ref="AK866:AL866"/>
    <mergeCell ref="AC867:AD867"/>
    <mergeCell ref="AF867:AH867"/>
    <mergeCell ref="AK867:AL867"/>
    <mergeCell ref="AC868:AD868"/>
    <mergeCell ref="AF868:AH868"/>
    <mergeCell ref="AK868:AL868"/>
    <mergeCell ref="AC844:AD844"/>
    <mergeCell ref="AF844:AH844"/>
    <mergeCell ref="AK844:AL844"/>
    <mergeCell ref="AC845:AD845"/>
    <mergeCell ref="AF845:AH845"/>
    <mergeCell ref="AK845:AL845"/>
    <mergeCell ref="AC846:AD846"/>
    <mergeCell ref="AF846:AH846"/>
    <mergeCell ref="AK846:AL846"/>
    <mergeCell ref="AC847:AD847"/>
    <mergeCell ref="AF847:AH847"/>
    <mergeCell ref="AK847:AL847"/>
    <mergeCell ref="AC848:AD848"/>
    <mergeCell ref="AF848:AH848"/>
    <mergeCell ref="AK848:AL848"/>
    <mergeCell ref="AC849:AD849"/>
    <mergeCell ref="AF849:AH849"/>
    <mergeCell ref="AK849:AL849"/>
    <mergeCell ref="AC850:AD850"/>
    <mergeCell ref="AF850:AH850"/>
    <mergeCell ref="AK850:AL850"/>
    <mergeCell ref="AC851:AD851"/>
    <mergeCell ref="AF851:AH851"/>
    <mergeCell ref="AK851:AL851"/>
    <mergeCell ref="AC852:AD852"/>
    <mergeCell ref="AF852:AH852"/>
    <mergeCell ref="AK852:AL852"/>
    <mergeCell ref="AC853:AD853"/>
    <mergeCell ref="AF853:AH853"/>
    <mergeCell ref="AK853:AL853"/>
    <mergeCell ref="AC854:AD854"/>
    <mergeCell ref="AF854:AH854"/>
    <mergeCell ref="AK854:AL854"/>
    <mergeCell ref="AC833:AD833"/>
    <mergeCell ref="AF833:AH833"/>
    <mergeCell ref="AK833:AL833"/>
    <mergeCell ref="AC834:AD834"/>
    <mergeCell ref="AF834:AH834"/>
    <mergeCell ref="AK834:AL834"/>
    <mergeCell ref="AC835:AD835"/>
    <mergeCell ref="AF835:AH835"/>
    <mergeCell ref="AK835:AL835"/>
    <mergeCell ref="AC836:AD836"/>
    <mergeCell ref="AF836:AH836"/>
    <mergeCell ref="AK836:AL836"/>
    <mergeCell ref="AC837:AD837"/>
    <mergeCell ref="AF837:AH837"/>
    <mergeCell ref="AK837:AL837"/>
    <mergeCell ref="AC838:AD838"/>
    <mergeCell ref="AF838:AH838"/>
    <mergeCell ref="AK838:AL838"/>
    <mergeCell ref="AC839:AD839"/>
    <mergeCell ref="AF839:AH839"/>
    <mergeCell ref="AK839:AL839"/>
    <mergeCell ref="AC840:AD840"/>
    <mergeCell ref="AF840:AH840"/>
    <mergeCell ref="AK840:AL840"/>
    <mergeCell ref="AC841:AD841"/>
    <mergeCell ref="AF841:AH841"/>
    <mergeCell ref="AK841:AL841"/>
    <mergeCell ref="AC842:AD842"/>
    <mergeCell ref="AF842:AH842"/>
    <mergeCell ref="AK842:AL842"/>
    <mergeCell ref="AC843:AD843"/>
    <mergeCell ref="AF843:AH843"/>
    <mergeCell ref="AK843:AL843"/>
    <mergeCell ref="AC822:AD822"/>
    <mergeCell ref="AF822:AH822"/>
    <mergeCell ref="AK822:AL822"/>
    <mergeCell ref="AC823:AD823"/>
    <mergeCell ref="AF823:AH823"/>
    <mergeCell ref="AK823:AL823"/>
    <mergeCell ref="AC824:AD824"/>
    <mergeCell ref="AF824:AH824"/>
    <mergeCell ref="AK824:AL824"/>
    <mergeCell ref="AC825:AD825"/>
    <mergeCell ref="AF825:AH825"/>
    <mergeCell ref="AK825:AL825"/>
    <mergeCell ref="AC826:AD826"/>
    <mergeCell ref="AF826:AH826"/>
    <mergeCell ref="AK826:AL826"/>
    <mergeCell ref="AC827:AD827"/>
    <mergeCell ref="AF827:AH827"/>
    <mergeCell ref="AK827:AL827"/>
    <mergeCell ref="AC828:AD828"/>
    <mergeCell ref="AF828:AH828"/>
    <mergeCell ref="AK828:AL828"/>
    <mergeCell ref="AC829:AD829"/>
    <mergeCell ref="AF829:AH829"/>
    <mergeCell ref="AK829:AL829"/>
    <mergeCell ref="AC830:AD830"/>
    <mergeCell ref="AF830:AH830"/>
    <mergeCell ref="AK830:AL830"/>
    <mergeCell ref="AC831:AD831"/>
    <mergeCell ref="AF831:AH831"/>
    <mergeCell ref="AK831:AL831"/>
    <mergeCell ref="AC832:AD832"/>
    <mergeCell ref="AF832:AH832"/>
    <mergeCell ref="AK832:AL832"/>
    <mergeCell ref="AC811:AD811"/>
    <mergeCell ref="AF811:AH811"/>
    <mergeCell ref="AK811:AL811"/>
    <mergeCell ref="AC812:AD812"/>
    <mergeCell ref="AF812:AH812"/>
    <mergeCell ref="AK812:AL812"/>
    <mergeCell ref="AC813:AD813"/>
    <mergeCell ref="AF813:AH813"/>
    <mergeCell ref="AK813:AL813"/>
    <mergeCell ref="AC814:AD814"/>
    <mergeCell ref="AF814:AH814"/>
    <mergeCell ref="AK814:AL814"/>
    <mergeCell ref="AC815:AD815"/>
    <mergeCell ref="AF815:AH815"/>
    <mergeCell ref="AK815:AL815"/>
    <mergeCell ref="AC816:AD816"/>
    <mergeCell ref="AF816:AH816"/>
    <mergeCell ref="AK816:AL816"/>
    <mergeCell ref="AC817:AD817"/>
    <mergeCell ref="AF817:AH817"/>
    <mergeCell ref="AK817:AL817"/>
    <mergeCell ref="AC818:AD818"/>
    <mergeCell ref="AF818:AH818"/>
    <mergeCell ref="AK818:AL818"/>
    <mergeCell ref="AC819:AD819"/>
    <mergeCell ref="AF819:AH819"/>
    <mergeCell ref="AK819:AL819"/>
    <mergeCell ref="AC820:AD820"/>
    <mergeCell ref="AF820:AH820"/>
    <mergeCell ref="AK820:AL820"/>
    <mergeCell ref="AC821:AD821"/>
    <mergeCell ref="AF821:AH821"/>
    <mergeCell ref="AK821:AL821"/>
    <mergeCell ref="AC800:AD800"/>
    <mergeCell ref="AF800:AH800"/>
    <mergeCell ref="AK800:AL800"/>
    <mergeCell ref="AC801:AD801"/>
    <mergeCell ref="AF801:AH801"/>
    <mergeCell ref="AK801:AL801"/>
    <mergeCell ref="AC802:AD802"/>
    <mergeCell ref="AF802:AH802"/>
    <mergeCell ref="AK802:AL802"/>
    <mergeCell ref="AC803:AD803"/>
    <mergeCell ref="AF803:AH803"/>
    <mergeCell ref="AK803:AL803"/>
    <mergeCell ref="AC804:AD804"/>
    <mergeCell ref="AF804:AH804"/>
    <mergeCell ref="AK804:AL804"/>
    <mergeCell ref="AC805:AD805"/>
    <mergeCell ref="AF805:AH805"/>
    <mergeCell ref="AK805:AL805"/>
    <mergeCell ref="AC806:AD806"/>
    <mergeCell ref="AF806:AH806"/>
    <mergeCell ref="AK806:AL806"/>
    <mergeCell ref="AC807:AD807"/>
    <mergeCell ref="AF807:AH807"/>
    <mergeCell ref="AK807:AL807"/>
    <mergeCell ref="AC808:AD808"/>
    <mergeCell ref="AF808:AH808"/>
    <mergeCell ref="AK808:AL808"/>
    <mergeCell ref="AC809:AD809"/>
    <mergeCell ref="AF809:AH809"/>
    <mergeCell ref="AK809:AL809"/>
    <mergeCell ref="AC810:AD810"/>
    <mergeCell ref="AF810:AH810"/>
    <mergeCell ref="AK810:AL810"/>
    <mergeCell ref="AC789:AD789"/>
    <mergeCell ref="AF789:AH789"/>
    <mergeCell ref="AK789:AL789"/>
    <mergeCell ref="AC790:AD790"/>
    <mergeCell ref="AF790:AH790"/>
    <mergeCell ref="AK790:AL790"/>
    <mergeCell ref="AC791:AD791"/>
    <mergeCell ref="AF791:AH791"/>
    <mergeCell ref="AK791:AL791"/>
    <mergeCell ref="AC792:AD792"/>
    <mergeCell ref="AF792:AH792"/>
    <mergeCell ref="AK792:AL792"/>
    <mergeCell ref="AC793:AD793"/>
    <mergeCell ref="AF793:AH793"/>
    <mergeCell ref="AK793:AL793"/>
    <mergeCell ref="AC794:AD794"/>
    <mergeCell ref="AF794:AH794"/>
    <mergeCell ref="AK794:AL794"/>
    <mergeCell ref="AC795:AD795"/>
    <mergeCell ref="AF795:AH795"/>
    <mergeCell ref="AK795:AL795"/>
    <mergeCell ref="AC796:AD796"/>
    <mergeCell ref="AF796:AH796"/>
    <mergeCell ref="AK796:AL796"/>
    <mergeCell ref="AC797:AD797"/>
    <mergeCell ref="AF797:AH797"/>
    <mergeCell ref="AK797:AL797"/>
    <mergeCell ref="AC798:AD798"/>
    <mergeCell ref="AF798:AH798"/>
    <mergeCell ref="AK798:AL798"/>
    <mergeCell ref="AC799:AD799"/>
    <mergeCell ref="AF799:AH799"/>
    <mergeCell ref="AK799:AL799"/>
    <mergeCell ref="AC778:AD778"/>
    <mergeCell ref="AF778:AH778"/>
    <mergeCell ref="AK778:AL778"/>
    <mergeCell ref="AC779:AD779"/>
    <mergeCell ref="AF779:AH779"/>
    <mergeCell ref="AK779:AL779"/>
    <mergeCell ref="AC780:AD780"/>
    <mergeCell ref="AF780:AH780"/>
    <mergeCell ref="AK780:AL780"/>
    <mergeCell ref="AC781:AD781"/>
    <mergeCell ref="AF781:AH781"/>
    <mergeCell ref="AK781:AL781"/>
    <mergeCell ref="AC782:AD782"/>
    <mergeCell ref="AF782:AH782"/>
    <mergeCell ref="AK782:AL782"/>
    <mergeCell ref="AC783:AD783"/>
    <mergeCell ref="AF783:AH783"/>
    <mergeCell ref="AK783:AL783"/>
    <mergeCell ref="AC784:AD784"/>
    <mergeCell ref="AF784:AH784"/>
    <mergeCell ref="AK784:AL784"/>
    <mergeCell ref="AC785:AD785"/>
    <mergeCell ref="AF785:AH785"/>
    <mergeCell ref="AK785:AL785"/>
    <mergeCell ref="AC786:AD786"/>
    <mergeCell ref="AF786:AH786"/>
    <mergeCell ref="AK786:AL786"/>
    <mergeCell ref="AC787:AD787"/>
    <mergeCell ref="AF787:AH787"/>
    <mergeCell ref="AK787:AL787"/>
    <mergeCell ref="AC788:AD788"/>
    <mergeCell ref="AF788:AH788"/>
    <mergeCell ref="AK788:AL788"/>
    <mergeCell ref="AC767:AD767"/>
    <mergeCell ref="AF767:AH767"/>
    <mergeCell ref="AK767:AL767"/>
    <mergeCell ref="AC768:AD768"/>
    <mergeCell ref="AF768:AH768"/>
    <mergeCell ref="AK768:AL768"/>
    <mergeCell ref="AC769:AD769"/>
    <mergeCell ref="AF769:AH769"/>
    <mergeCell ref="AK769:AL769"/>
    <mergeCell ref="AC770:AD770"/>
    <mergeCell ref="AF770:AH770"/>
    <mergeCell ref="AK770:AL770"/>
    <mergeCell ref="AC771:AD771"/>
    <mergeCell ref="AF771:AH771"/>
    <mergeCell ref="AK771:AL771"/>
    <mergeCell ref="AC772:AD772"/>
    <mergeCell ref="AF772:AH772"/>
    <mergeCell ref="AK772:AL772"/>
    <mergeCell ref="AC773:AD773"/>
    <mergeCell ref="AF773:AH773"/>
    <mergeCell ref="AK773:AL773"/>
    <mergeCell ref="AC774:AD774"/>
    <mergeCell ref="AF774:AH774"/>
    <mergeCell ref="AK774:AL774"/>
    <mergeCell ref="AC775:AD775"/>
    <mergeCell ref="AF775:AH775"/>
    <mergeCell ref="AK775:AL775"/>
    <mergeCell ref="AC776:AD776"/>
    <mergeCell ref="AF776:AH776"/>
    <mergeCell ref="AK776:AL776"/>
    <mergeCell ref="AC777:AD777"/>
    <mergeCell ref="AF777:AH777"/>
    <mergeCell ref="AK777:AL777"/>
    <mergeCell ref="AC756:AD756"/>
    <mergeCell ref="AF756:AH756"/>
    <mergeCell ref="AK756:AL756"/>
    <mergeCell ref="AC757:AD757"/>
    <mergeCell ref="AF757:AH757"/>
    <mergeCell ref="AK757:AL757"/>
    <mergeCell ref="AC758:AD758"/>
    <mergeCell ref="AF758:AH758"/>
    <mergeCell ref="AK758:AL758"/>
    <mergeCell ref="AC759:AD759"/>
    <mergeCell ref="AF759:AH759"/>
    <mergeCell ref="AK759:AL759"/>
    <mergeCell ref="AC760:AD760"/>
    <mergeCell ref="AF760:AH760"/>
    <mergeCell ref="AK760:AL760"/>
    <mergeCell ref="AC761:AD761"/>
    <mergeCell ref="AF761:AH761"/>
    <mergeCell ref="AK761:AL761"/>
    <mergeCell ref="AC762:AD762"/>
    <mergeCell ref="AF762:AH762"/>
    <mergeCell ref="AK762:AL762"/>
    <mergeCell ref="AC763:AD763"/>
    <mergeCell ref="AF763:AH763"/>
    <mergeCell ref="AK763:AL763"/>
    <mergeCell ref="AC764:AD764"/>
    <mergeCell ref="AF764:AH764"/>
    <mergeCell ref="AK764:AL764"/>
    <mergeCell ref="AC765:AD765"/>
    <mergeCell ref="AF765:AH765"/>
    <mergeCell ref="AK765:AL765"/>
    <mergeCell ref="AC766:AD766"/>
    <mergeCell ref="AF766:AH766"/>
    <mergeCell ref="AK766:AL766"/>
    <mergeCell ref="AC745:AD745"/>
    <mergeCell ref="AF745:AH745"/>
    <mergeCell ref="AK745:AL745"/>
    <mergeCell ref="AC746:AD746"/>
    <mergeCell ref="AF746:AH746"/>
    <mergeCell ref="AK746:AL746"/>
    <mergeCell ref="AC747:AD747"/>
    <mergeCell ref="AF747:AH747"/>
    <mergeCell ref="AK747:AL747"/>
    <mergeCell ref="AC748:AD748"/>
    <mergeCell ref="AF748:AH748"/>
    <mergeCell ref="AK748:AL748"/>
    <mergeCell ref="AC749:AD749"/>
    <mergeCell ref="AF749:AH749"/>
    <mergeCell ref="AK749:AL749"/>
    <mergeCell ref="AC750:AD750"/>
    <mergeCell ref="AF750:AH750"/>
    <mergeCell ref="AK750:AL750"/>
    <mergeCell ref="AC751:AD751"/>
    <mergeCell ref="AF751:AH751"/>
    <mergeCell ref="AK751:AL751"/>
    <mergeCell ref="AC752:AD752"/>
    <mergeCell ref="AF752:AH752"/>
    <mergeCell ref="AK752:AL752"/>
    <mergeCell ref="AC753:AD753"/>
    <mergeCell ref="AF753:AH753"/>
    <mergeCell ref="AK753:AL753"/>
    <mergeCell ref="AC754:AD754"/>
    <mergeCell ref="AF754:AH754"/>
    <mergeCell ref="AK754:AL754"/>
    <mergeCell ref="AC755:AD755"/>
    <mergeCell ref="AF755:AH755"/>
    <mergeCell ref="AK755:AL755"/>
    <mergeCell ref="AC734:AD734"/>
    <mergeCell ref="AF734:AH734"/>
    <mergeCell ref="AK734:AL734"/>
    <mergeCell ref="AC735:AD735"/>
    <mergeCell ref="AF735:AH735"/>
    <mergeCell ref="AK735:AL735"/>
    <mergeCell ref="AC736:AD736"/>
    <mergeCell ref="AF736:AH736"/>
    <mergeCell ref="AK736:AL736"/>
    <mergeCell ref="AC737:AD737"/>
    <mergeCell ref="AF737:AH737"/>
    <mergeCell ref="AK737:AL737"/>
    <mergeCell ref="AC738:AD738"/>
    <mergeCell ref="AF738:AH738"/>
    <mergeCell ref="AK738:AL738"/>
    <mergeCell ref="AC739:AD739"/>
    <mergeCell ref="AF739:AH739"/>
    <mergeCell ref="AK739:AL739"/>
    <mergeCell ref="AC740:AD740"/>
    <mergeCell ref="AF740:AH740"/>
    <mergeCell ref="AK740:AL740"/>
    <mergeCell ref="AC741:AD741"/>
    <mergeCell ref="AF741:AH741"/>
    <mergeCell ref="AK741:AL741"/>
    <mergeCell ref="AC742:AD742"/>
    <mergeCell ref="AF742:AH742"/>
    <mergeCell ref="AK742:AL742"/>
    <mergeCell ref="AC743:AD743"/>
    <mergeCell ref="AF743:AH743"/>
    <mergeCell ref="AK743:AL743"/>
    <mergeCell ref="AC744:AD744"/>
    <mergeCell ref="AF744:AH744"/>
    <mergeCell ref="AK744:AL744"/>
    <mergeCell ref="AC723:AD723"/>
    <mergeCell ref="AF723:AH723"/>
    <mergeCell ref="AK723:AL723"/>
    <mergeCell ref="AC724:AD724"/>
    <mergeCell ref="AF724:AH724"/>
    <mergeCell ref="AK724:AL724"/>
    <mergeCell ref="AC725:AD725"/>
    <mergeCell ref="AF725:AH725"/>
    <mergeCell ref="AK725:AL725"/>
    <mergeCell ref="AC726:AD726"/>
    <mergeCell ref="AF726:AH726"/>
    <mergeCell ref="AK726:AL726"/>
    <mergeCell ref="AC727:AD727"/>
    <mergeCell ref="AF727:AH727"/>
    <mergeCell ref="AK727:AL727"/>
    <mergeCell ref="AC728:AD728"/>
    <mergeCell ref="AF728:AH728"/>
    <mergeCell ref="AK728:AL728"/>
    <mergeCell ref="AC729:AD729"/>
    <mergeCell ref="AF729:AH729"/>
    <mergeCell ref="AK729:AL729"/>
    <mergeCell ref="AC730:AD730"/>
    <mergeCell ref="AF730:AH730"/>
    <mergeCell ref="AK730:AL730"/>
    <mergeCell ref="AC731:AD731"/>
    <mergeCell ref="AF731:AH731"/>
    <mergeCell ref="AK731:AL731"/>
    <mergeCell ref="AC732:AD732"/>
    <mergeCell ref="AF732:AH732"/>
    <mergeCell ref="AK732:AL732"/>
    <mergeCell ref="AC733:AD733"/>
    <mergeCell ref="AF733:AH733"/>
    <mergeCell ref="AK733:AL733"/>
    <mergeCell ref="AC712:AD712"/>
    <mergeCell ref="AF712:AH712"/>
    <mergeCell ref="AK712:AL712"/>
    <mergeCell ref="AC713:AD713"/>
    <mergeCell ref="AF713:AH713"/>
    <mergeCell ref="AK713:AL713"/>
    <mergeCell ref="AC714:AD714"/>
    <mergeCell ref="AF714:AH714"/>
    <mergeCell ref="AK714:AL714"/>
    <mergeCell ref="AC715:AD715"/>
    <mergeCell ref="AF715:AH715"/>
    <mergeCell ref="AK715:AL715"/>
    <mergeCell ref="AC716:AD716"/>
    <mergeCell ref="AF716:AH716"/>
    <mergeCell ref="AK716:AL716"/>
    <mergeCell ref="AC717:AD717"/>
    <mergeCell ref="AF717:AH717"/>
    <mergeCell ref="AK717:AL717"/>
    <mergeCell ref="AC718:AD718"/>
    <mergeCell ref="AF718:AH718"/>
    <mergeCell ref="AK718:AL718"/>
    <mergeCell ref="AC719:AD719"/>
    <mergeCell ref="AF719:AH719"/>
    <mergeCell ref="AK719:AL719"/>
    <mergeCell ref="AC720:AD720"/>
    <mergeCell ref="AF720:AH720"/>
    <mergeCell ref="AK720:AL720"/>
    <mergeCell ref="AC721:AD721"/>
    <mergeCell ref="AF721:AH721"/>
    <mergeCell ref="AK721:AL721"/>
    <mergeCell ref="AC722:AD722"/>
    <mergeCell ref="AF722:AH722"/>
    <mergeCell ref="AK722:AL722"/>
    <mergeCell ref="AC701:AD701"/>
    <mergeCell ref="AF701:AH701"/>
    <mergeCell ref="AK701:AL701"/>
    <mergeCell ref="AC702:AD702"/>
    <mergeCell ref="AF702:AH702"/>
    <mergeCell ref="AK702:AL702"/>
    <mergeCell ref="AC703:AD703"/>
    <mergeCell ref="AF703:AH703"/>
    <mergeCell ref="AK703:AL703"/>
    <mergeCell ref="AC704:AD704"/>
    <mergeCell ref="AF704:AH704"/>
    <mergeCell ref="AK704:AL704"/>
    <mergeCell ref="AC705:AD705"/>
    <mergeCell ref="AF705:AH705"/>
    <mergeCell ref="AK705:AL705"/>
    <mergeCell ref="AC706:AD706"/>
    <mergeCell ref="AF706:AH706"/>
    <mergeCell ref="AK706:AL706"/>
    <mergeCell ref="AC707:AD707"/>
    <mergeCell ref="AF707:AH707"/>
    <mergeCell ref="AK707:AL707"/>
    <mergeCell ref="AC708:AD708"/>
    <mergeCell ref="AF708:AH708"/>
    <mergeCell ref="AK708:AL708"/>
    <mergeCell ref="AC709:AD709"/>
    <mergeCell ref="AF709:AH709"/>
    <mergeCell ref="AK709:AL709"/>
    <mergeCell ref="AC710:AD710"/>
    <mergeCell ref="AF710:AH710"/>
    <mergeCell ref="AK710:AL710"/>
    <mergeCell ref="AC711:AD711"/>
    <mergeCell ref="AF711:AH711"/>
    <mergeCell ref="AK711:AL711"/>
    <mergeCell ref="AC690:AD690"/>
    <mergeCell ref="AF690:AH690"/>
    <mergeCell ref="AK690:AL690"/>
    <mergeCell ref="AC691:AD691"/>
    <mergeCell ref="AF691:AH691"/>
    <mergeCell ref="AK691:AL691"/>
    <mergeCell ref="AC692:AD692"/>
    <mergeCell ref="AF692:AH692"/>
    <mergeCell ref="AK692:AL692"/>
    <mergeCell ref="AC693:AD693"/>
    <mergeCell ref="AF693:AH693"/>
    <mergeCell ref="AK693:AL693"/>
    <mergeCell ref="AC694:AD694"/>
    <mergeCell ref="AF694:AH694"/>
    <mergeCell ref="AK694:AL694"/>
    <mergeCell ref="AC695:AD695"/>
    <mergeCell ref="AF695:AH695"/>
    <mergeCell ref="AK695:AL695"/>
    <mergeCell ref="AC696:AD696"/>
    <mergeCell ref="AF696:AH696"/>
    <mergeCell ref="AK696:AL696"/>
    <mergeCell ref="AC697:AD697"/>
    <mergeCell ref="AF697:AH697"/>
    <mergeCell ref="AK697:AL697"/>
    <mergeCell ref="AC698:AD698"/>
    <mergeCell ref="AF698:AH698"/>
    <mergeCell ref="AK698:AL698"/>
    <mergeCell ref="AC699:AD699"/>
    <mergeCell ref="AF699:AH699"/>
    <mergeCell ref="AK699:AL699"/>
    <mergeCell ref="AC700:AD700"/>
    <mergeCell ref="AF700:AH700"/>
    <mergeCell ref="AK700:AL700"/>
    <mergeCell ref="AC679:AD679"/>
    <mergeCell ref="AF679:AH679"/>
    <mergeCell ref="AK679:AL679"/>
    <mergeCell ref="AC680:AD680"/>
    <mergeCell ref="AF680:AH680"/>
    <mergeCell ref="AK680:AL680"/>
    <mergeCell ref="AC681:AD681"/>
    <mergeCell ref="AF681:AH681"/>
    <mergeCell ref="AK681:AL681"/>
    <mergeCell ref="AC682:AD682"/>
    <mergeCell ref="AF682:AH682"/>
    <mergeCell ref="AK682:AL682"/>
    <mergeCell ref="AC683:AD683"/>
    <mergeCell ref="AF683:AH683"/>
    <mergeCell ref="AK683:AL683"/>
    <mergeCell ref="AC684:AD684"/>
    <mergeCell ref="AF684:AH684"/>
    <mergeCell ref="AK684:AL684"/>
    <mergeCell ref="AC685:AD685"/>
    <mergeCell ref="AF685:AH685"/>
    <mergeCell ref="AK685:AL685"/>
    <mergeCell ref="AC686:AD686"/>
    <mergeCell ref="AF686:AH686"/>
    <mergeCell ref="AK686:AL686"/>
    <mergeCell ref="AC687:AD687"/>
    <mergeCell ref="AF687:AH687"/>
    <mergeCell ref="AK687:AL687"/>
    <mergeCell ref="AC688:AD688"/>
    <mergeCell ref="AF688:AH688"/>
    <mergeCell ref="AK688:AL688"/>
    <mergeCell ref="AC689:AD689"/>
    <mergeCell ref="AF689:AH689"/>
    <mergeCell ref="AK689:AL689"/>
    <mergeCell ref="AC668:AD668"/>
    <mergeCell ref="AF668:AH668"/>
    <mergeCell ref="AK668:AL668"/>
    <mergeCell ref="AC669:AD669"/>
    <mergeCell ref="AF669:AH669"/>
    <mergeCell ref="AK669:AL669"/>
    <mergeCell ref="AC670:AD670"/>
    <mergeCell ref="AF670:AH670"/>
    <mergeCell ref="AK670:AL670"/>
    <mergeCell ref="AC671:AD671"/>
    <mergeCell ref="AF671:AH671"/>
    <mergeCell ref="AK671:AL671"/>
    <mergeCell ref="AC672:AD672"/>
    <mergeCell ref="AF672:AH672"/>
    <mergeCell ref="AK672:AL672"/>
    <mergeCell ref="AC673:AD673"/>
    <mergeCell ref="AF673:AH673"/>
    <mergeCell ref="AK673:AL673"/>
    <mergeCell ref="AC674:AD674"/>
    <mergeCell ref="AF674:AH674"/>
    <mergeCell ref="AK674:AL674"/>
    <mergeCell ref="AC675:AD675"/>
    <mergeCell ref="AF675:AH675"/>
    <mergeCell ref="AK675:AL675"/>
    <mergeCell ref="AC676:AD676"/>
    <mergeCell ref="AF676:AH676"/>
    <mergeCell ref="AK676:AL676"/>
    <mergeCell ref="AC677:AD677"/>
    <mergeCell ref="AF677:AH677"/>
    <mergeCell ref="AK677:AL677"/>
    <mergeCell ref="AC678:AD678"/>
    <mergeCell ref="AF678:AH678"/>
    <mergeCell ref="AK678:AL678"/>
    <mergeCell ref="AC657:AD657"/>
    <mergeCell ref="AF657:AH657"/>
    <mergeCell ref="AK657:AL657"/>
    <mergeCell ref="AC658:AD658"/>
    <mergeCell ref="AF658:AH658"/>
    <mergeCell ref="AK658:AL658"/>
    <mergeCell ref="AC659:AD659"/>
    <mergeCell ref="AF659:AH659"/>
    <mergeCell ref="AK659:AL659"/>
    <mergeCell ref="AC660:AD660"/>
    <mergeCell ref="AF660:AH660"/>
    <mergeCell ref="AK660:AL660"/>
    <mergeCell ref="AC661:AD661"/>
    <mergeCell ref="AF661:AH661"/>
    <mergeCell ref="AK661:AL661"/>
    <mergeCell ref="AC662:AD662"/>
    <mergeCell ref="AF662:AH662"/>
    <mergeCell ref="AK662:AL662"/>
    <mergeCell ref="AC663:AD663"/>
    <mergeCell ref="AF663:AH663"/>
    <mergeCell ref="AK663:AL663"/>
    <mergeCell ref="AC664:AD664"/>
    <mergeCell ref="AF664:AH664"/>
    <mergeCell ref="AK664:AL664"/>
    <mergeCell ref="AC665:AD665"/>
    <mergeCell ref="AF665:AH665"/>
    <mergeCell ref="AK665:AL665"/>
    <mergeCell ref="AC666:AD666"/>
    <mergeCell ref="AF666:AH666"/>
    <mergeCell ref="AK666:AL666"/>
    <mergeCell ref="AC667:AD667"/>
    <mergeCell ref="AF667:AH667"/>
    <mergeCell ref="AK667:AL667"/>
    <mergeCell ref="AC646:AD646"/>
    <mergeCell ref="AF646:AH646"/>
    <mergeCell ref="AK646:AL646"/>
    <mergeCell ref="AC647:AD647"/>
    <mergeCell ref="AF647:AH647"/>
    <mergeCell ref="AK647:AL647"/>
    <mergeCell ref="AC648:AD648"/>
    <mergeCell ref="AF648:AH648"/>
    <mergeCell ref="AK648:AL648"/>
    <mergeCell ref="AC649:AD649"/>
    <mergeCell ref="AF649:AH649"/>
    <mergeCell ref="AK649:AL649"/>
    <mergeCell ref="AC650:AD650"/>
    <mergeCell ref="AF650:AH650"/>
    <mergeCell ref="AK650:AL650"/>
    <mergeCell ref="AC651:AD651"/>
    <mergeCell ref="AF651:AH651"/>
    <mergeCell ref="AK651:AL651"/>
    <mergeCell ref="AC652:AD652"/>
    <mergeCell ref="AF652:AH652"/>
    <mergeCell ref="AK652:AL652"/>
    <mergeCell ref="AC653:AD653"/>
    <mergeCell ref="AF653:AH653"/>
    <mergeCell ref="AK653:AL653"/>
    <mergeCell ref="AC654:AD654"/>
    <mergeCell ref="AF654:AH654"/>
    <mergeCell ref="AK654:AL654"/>
    <mergeCell ref="AC655:AD655"/>
    <mergeCell ref="AF655:AH655"/>
    <mergeCell ref="AK655:AL655"/>
    <mergeCell ref="AC656:AD656"/>
    <mergeCell ref="AF656:AH656"/>
    <mergeCell ref="AK656:AL656"/>
    <mergeCell ref="AC635:AD635"/>
    <mergeCell ref="AF635:AH635"/>
    <mergeCell ref="AK635:AL635"/>
    <mergeCell ref="AC636:AD636"/>
    <mergeCell ref="AF636:AH636"/>
    <mergeCell ref="AK636:AL636"/>
    <mergeCell ref="AC637:AD637"/>
    <mergeCell ref="AF637:AH637"/>
    <mergeCell ref="AK637:AL637"/>
    <mergeCell ref="AC638:AD638"/>
    <mergeCell ref="AF638:AH638"/>
    <mergeCell ref="AK638:AL638"/>
    <mergeCell ref="AC639:AD639"/>
    <mergeCell ref="AF639:AH639"/>
    <mergeCell ref="AK639:AL639"/>
    <mergeCell ref="AC640:AD640"/>
    <mergeCell ref="AF640:AH640"/>
    <mergeCell ref="AK640:AL640"/>
    <mergeCell ref="AC641:AD641"/>
    <mergeCell ref="AF641:AH641"/>
    <mergeCell ref="AK641:AL641"/>
    <mergeCell ref="AC642:AD642"/>
    <mergeCell ref="AF642:AH642"/>
    <mergeCell ref="AK642:AL642"/>
    <mergeCell ref="AC643:AD643"/>
    <mergeCell ref="AF643:AH643"/>
    <mergeCell ref="AK643:AL643"/>
    <mergeCell ref="AC644:AD644"/>
    <mergeCell ref="AF644:AH644"/>
    <mergeCell ref="AK644:AL644"/>
    <mergeCell ref="AC645:AD645"/>
    <mergeCell ref="AF645:AH645"/>
    <mergeCell ref="AK645:AL645"/>
    <mergeCell ref="AC624:AD624"/>
    <mergeCell ref="AF624:AH624"/>
    <mergeCell ref="AK624:AL624"/>
    <mergeCell ref="AC625:AD625"/>
    <mergeCell ref="AF625:AH625"/>
    <mergeCell ref="AK625:AL625"/>
    <mergeCell ref="AC626:AD626"/>
    <mergeCell ref="AF626:AH626"/>
    <mergeCell ref="AK626:AL626"/>
    <mergeCell ref="AC627:AD627"/>
    <mergeCell ref="AF627:AH627"/>
    <mergeCell ref="AK627:AL627"/>
    <mergeCell ref="AC628:AD628"/>
    <mergeCell ref="AF628:AH628"/>
    <mergeCell ref="AK628:AL628"/>
    <mergeCell ref="AC629:AD629"/>
    <mergeCell ref="AF629:AH629"/>
    <mergeCell ref="AK629:AL629"/>
    <mergeCell ref="AC630:AD630"/>
    <mergeCell ref="AF630:AH630"/>
    <mergeCell ref="AK630:AL630"/>
    <mergeCell ref="AC631:AD631"/>
    <mergeCell ref="AF631:AH631"/>
    <mergeCell ref="AK631:AL631"/>
    <mergeCell ref="AC632:AD632"/>
    <mergeCell ref="AF632:AH632"/>
    <mergeCell ref="AK632:AL632"/>
    <mergeCell ref="AC633:AD633"/>
    <mergeCell ref="AF633:AH633"/>
    <mergeCell ref="AK633:AL633"/>
    <mergeCell ref="AC634:AD634"/>
    <mergeCell ref="AF634:AH634"/>
    <mergeCell ref="AK634:AL634"/>
    <mergeCell ref="AC613:AD613"/>
    <mergeCell ref="AF613:AH613"/>
    <mergeCell ref="AK613:AL613"/>
    <mergeCell ref="AC614:AD614"/>
    <mergeCell ref="AF614:AH614"/>
    <mergeCell ref="AK614:AL614"/>
    <mergeCell ref="AC615:AD615"/>
    <mergeCell ref="AF615:AH615"/>
    <mergeCell ref="AK615:AL615"/>
    <mergeCell ref="AC616:AD616"/>
    <mergeCell ref="AF616:AH616"/>
    <mergeCell ref="AK616:AL616"/>
    <mergeCell ref="AC617:AD617"/>
    <mergeCell ref="AF617:AH617"/>
    <mergeCell ref="AK617:AL617"/>
    <mergeCell ref="AC618:AD618"/>
    <mergeCell ref="AF618:AH618"/>
    <mergeCell ref="AK618:AL618"/>
    <mergeCell ref="AC619:AD619"/>
    <mergeCell ref="AF619:AH619"/>
    <mergeCell ref="AK619:AL619"/>
    <mergeCell ref="AC620:AD620"/>
    <mergeCell ref="AF620:AH620"/>
    <mergeCell ref="AK620:AL620"/>
    <mergeCell ref="AC621:AD621"/>
    <mergeCell ref="AF621:AH621"/>
    <mergeCell ref="AK621:AL621"/>
    <mergeCell ref="AC622:AD622"/>
    <mergeCell ref="AF622:AH622"/>
    <mergeCell ref="AK622:AL622"/>
    <mergeCell ref="AC623:AD623"/>
    <mergeCell ref="AF623:AH623"/>
    <mergeCell ref="AK623:AL623"/>
    <mergeCell ref="AC602:AD602"/>
    <mergeCell ref="AF602:AH602"/>
    <mergeCell ref="AK602:AL602"/>
    <mergeCell ref="AC603:AD603"/>
    <mergeCell ref="AF603:AH603"/>
    <mergeCell ref="AK603:AL603"/>
    <mergeCell ref="AC604:AD604"/>
    <mergeCell ref="AF604:AH604"/>
    <mergeCell ref="AK604:AL604"/>
    <mergeCell ref="AC605:AD605"/>
    <mergeCell ref="AF605:AH605"/>
    <mergeCell ref="AK605:AL605"/>
    <mergeCell ref="AC606:AD606"/>
    <mergeCell ref="AF606:AH606"/>
    <mergeCell ref="AK606:AL606"/>
    <mergeCell ref="AC607:AD607"/>
    <mergeCell ref="AF607:AH607"/>
    <mergeCell ref="AK607:AL607"/>
    <mergeCell ref="AC608:AD608"/>
    <mergeCell ref="AF608:AH608"/>
    <mergeCell ref="AK608:AL608"/>
    <mergeCell ref="AC609:AD609"/>
    <mergeCell ref="AF609:AH609"/>
    <mergeCell ref="AK609:AL609"/>
    <mergeCell ref="AC610:AD610"/>
    <mergeCell ref="AF610:AH610"/>
    <mergeCell ref="AK610:AL610"/>
    <mergeCell ref="AC611:AD611"/>
    <mergeCell ref="AF611:AH611"/>
    <mergeCell ref="AK611:AL611"/>
    <mergeCell ref="AC612:AD612"/>
    <mergeCell ref="AF612:AH612"/>
    <mergeCell ref="AK612:AL612"/>
    <mergeCell ref="AC591:AD591"/>
    <mergeCell ref="AF591:AH591"/>
    <mergeCell ref="AK591:AL591"/>
    <mergeCell ref="AC592:AD592"/>
    <mergeCell ref="AF592:AH592"/>
    <mergeCell ref="AK592:AL592"/>
    <mergeCell ref="AC593:AD593"/>
    <mergeCell ref="AF593:AH593"/>
    <mergeCell ref="AK593:AL593"/>
    <mergeCell ref="AC594:AD594"/>
    <mergeCell ref="AF594:AH594"/>
    <mergeCell ref="AK594:AL594"/>
    <mergeCell ref="AC595:AD595"/>
    <mergeCell ref="AF595:AH595"/>
    <mergeCell ref="AK595:AL595"/>
    <mergeCell ref="AC596:AD596"/>
    <mergeCell ref="AF596:AH596"/>
    <mergeCell ref="AK596:AL596"/>
    <mergeCell ref="AC597:AD597"/>
    <mergeCell ref="AF597:AH597"/>
    <mergeCell ref="AK597:AL597"/>
    <mergeCell ref="AC598:AD598"/>
    <mergeCell ref="AF598:AH598"/>
    <mergeCell ref="AK598:AL598"/>
    <mergeCell ref="AC599:AD599"/>
    <mergeCell ref="AF599:AH599"/>
    <mergeCell ref="AK599:AL599"/>
    <mergeCell ref="AC600:AD600"/>
    <mergeCell ref="AF600:AH600"/>
    <mergeCell ref="AK600:AL600"/>
    <mergeCell ref="AC601:AD601"/>
    <mergeCell ref="AF601:AH601"/>
    <mergeCell ref="AK601:AL601"/>
    <mergeCell ref="AC580:AD580"/>
    <mergeCell ref="AF580:AH580"/>
    <mergeCell ref="AK580:AL580"/>
    <mergeCell ref="AC581:AD581"/>
    <mergeCell ref="AF581:AH581"/>
    <mergeCell ref="AK581:AL581"/>
    <mergeCell ref="AC582:AD582"/>
    <mergeCell ref="AF582:AH582"/>
    <mergeCell ref="AK582:AL582"/>
    <mergeCell ref="AC583:AD583"/>
    <mergeCell ref="AF583:AH583"/>
    <mergeCell ref="AK583:AL583"/>
    <mergeCell ref="AC584:AD584"/>
    <mergeCell ref="AF584:AH584"/>
    <mergeCell ref="AK584:AL584"/>
    <mergeCell ref="AC585:AD585"/>
    <mergeCell ref="AF585:AH585"/>
    <mergeCell ref="AK585:AL585"/>
    <mergeCell ref="AC586:AD586"/>
    <mergeCell ref="AF586:AH586"/>
    <mergeCell ref="AK586:AL586"/>
    <mergeCell ref="AC587:AD587"/>
    <mergeCell ref="AF587:AH587"/>
    <mergeCell ref="AK587:AL587"/>
    <mergeCell ref="AC588:AD588"/>
    <mergeCell ref="AF588:AH588"/>
    <mergeCell ref="AK588:AL588"/>
    <mergeCell ref="AC589:AD589"/>
    <mergeCell ref="AF589:AH589"/>
    <mergeCell ref="AK589:AL589"/>
    <mergeCell ref="AC590:AD590"/>
    <mergeCell ref="AF590:AH590"/>
    <mergeCell ref="AK590:AL590"/>
    <mergeCell ref="AC569:AD569"/>
    <mergeCell ref="AF569:AH569"/>
    <mergeCell ref="AK569:AL569"/>
    <mergeCell ref="AC570:AD570"/>
    <mergeCell ref="AF570:AH570"/>
    <mergeCell ref="AK570:AL570"/>
    <mergeCell ref="AC571:AD571"/>
    <mergeCell ref="AF571:AH571"/>
    <mergeCell ref="AK571:AL571"/>
    <mergeCell ref="AC572:AD572"/>
    <mergeCell ref="AF572:AH572"/>
    <mergeCell ref="AK572:AL572"/>
    <mergeCell ref="AC573:AD573"/>
    <mergeCell ref="AF573:AH573"/>
    <mergeCell ref="AK573:AL573"/>
    <mergeCell ref="AC574:AD574"/>
    <mergeCell ref="AF574:AH574"/>
    <mergeCell ref="AK574:AL574"/>
    <mergeCell ref="AC575:AD575"/>
    <mergeCell ref="AF575:AH575"/>
    <mergeCell ref="AK575:AL575"/>
    <mergeCell ref="AC576:AD576"/>
    <mergeCell ref="AF576:AH576"/>
    <mergeCell ref="AK576:AL576"/>
    <mergeCell ref="AC577:AD577"/>
    <mergeCell ref="AF577:AH577"/>
    <mergeCell ref="AK577:AL577"/>
    <mergeCell ref="AC578:AD578"/>
    <mergeCell ref="AF578:AH578"/>
    <mergeCell ref="AK578:AL578"/>
    <mergeCell ref="AC579:AD579"/>
    <mergeCell ref="AF579:AH579"/>
    <mergeCell ref="AK579:AL579"/>
    <mergeCell ref="AC558:AD558"/>
    <mergeCell ref="AF558:AH558"/>
    <mergeCell ref="AK558:AL558"/>
    <mergeCell ref="AC559:AD559"/>
    <mergeCell ref="AF559:AH559"/>
    <mergeCell ref="AK559:AL559"/>
    <mergeCell ref="AC560:AD560"/>
    <mergeCell ref="AF560:AH560"/>
    <mergeCell ref="AK560:AL560"/>
    <mergeCell ref="AC561:AD561"/>
    <mergeCell ref="AF561:AH561"/>
    <mergeCell ref="AK561:AL561"/>
    <mergeCell ref="AC562:AD562"/>
    <mergeCell ref="AF562:AH562"/>
    <mergeCell ref="AK562:AL562"/>
    <mergeCell ref="AC563:AD563"/>
    <mergeCell ref="AF563:AH563"/>
    <mergeCell ref="AK563:AL563"/>
    <mergeCell ref="AC564:AD564"/>
    <mergeCell ref="AF564:AH564"/>
    <mergeCell ref="AK564:AL564"/>
    <mergeCell ref="AC565:AD565"/>
    <mergeCell ref="AF565:AH565"/>
    <mergeCell ref="AK565:AL565"/>
    <mergeCell ref="AC566:AD566"/>
    <mergeCell ref="AF566:AH566"/>
    <mergeCell ref="AK566:AL566"/>
    <mergeCell ref="AC567:AD567"/>
    <mergeCell ref="AF567:AH567"/>
    <mergeCell ref="AK567:AL567"/>
    <mergeCell ref="AC568:AD568"/>
    <mergeCell ref="AF568:AH568"/>
    <mergeCell ref="AK568:AL568"/>
    <mergeCell ref="AC547:AD547"/>
    <mergeCell ref="AF547:AH547"/>
    <mergeCell ref="AK547:AL547"/>
    <mergeCell ref="AC548:AD548"/>
    <mergeCell ref="AF548:AH548"/>
    <mergeCell ref="AK548:AL548"/>
    <mergeCell ref="AC549:AD549"/>
    <mergeCell ref="AF549:AH549"/>
    <mergeCell ref="AK549:AL549"/>
    <mergeCell ref="AC550:AD550"/>
    <mergeCell ref="AF550:AH550"/>
    <mergeCell ref="AK550:AL550"/>
    <mergeCell ref="AC551:AD551"/>
    <mergeCell ref="AF551:AH551"/>
    <mergeCell ref="AK551:AL551"/>
    <mergeCell ref="AC552:AD552"/>
    <mergeCell ref="AF552:AH552"/>
    <mergeCell ref="AK552:AL552"/>
    <mergeCell ref="AC553:AD553"/>
    <mergeCell ref="AF553:AH553"/>
    <mergeCell ref="AK553:AL553"/>
    <mergeCell ref="AC554:AD554"/>
    <mergeCell ref="AF554:AH554"/>
    <mergeCell ref="AK554:AL554"/>
    <mergeCell ref="AC555:AD555"/>
    <mergeCell ref="AF555:AH555"/>
    <mergeCell ref="AK555:AL555"/>
    <mergeCell ref="AC556:AD556"/>
    <mergeCell ref="AF556:AH556"/>
    <mergeCell ref="AK556:AL556"/>
    <mergeCell ref="AC557:AD557"/>
    <mergeCell ref="AF557:AH557"/>
    <mergeCell ref="AK557:AL557"/>
    <mergeCell ref="AC536:AD536"/>
    <mergeCell ref="AF536:AH536"/>
    <mergeCell ref="AK536:AL536"/>
    <mergeCell ref="AC537:AD537"/>
    <mergeCell ref="AF537:AH537"/>
    <mergeCell ref="AK537:AL537"/>
    <mergeCell ref="AC538:AD538"/>
    <mergeCell ref="AF538:AH538"/>
    <mergeCell ref="AK538:AL538"/>
    <mergeCell ref="AC539:AD539"/>
    <mergeCell ref="AF539:AH539"/>
    <mergeCell ref="AK539:AL539"/>
    <mergeCell ref="AC540:AD540"/>
    <mergeCell ref="AF540:AH540"/>
    <mergeCell ref="AK540:AL540"/>
    <mergeCell ref="AC541:AD541"/>
    <mergeCell ref="AF541:AH541"/>
    <mergeCell ref="AK541:AL541"/>
    <mergeCell ref="AC542:AD542"/>
    <mergeCell ref="AF542:AH542"/>
    <mergeCell ref="AK542:AL542"/>
    <mergeCell ref="AC543:AD543"/>
    <mergeCell ref="AF543:AH543"/>
    <mergeCell ref="AK543:AL543"/>
    <mergeCell ref="AC544:AD544"/>
    <mergeCell ref="AF544:AH544"/>
    <mergeCell ref="AK544:AL544"/>
    <mergeCell ref="AC545:AD545"/>
    <mergeCell ref="AF545:AH545"/>
    <mergeCell ref="AK545:AL545"/>
    <mergeCell ref="AC546:AD546"/>
    <mergeCell ref="AF546:AH546"/>
    <mergeCell ref="AK546:AL546"/>
    <mergeCell ref="AC525:AD525"/>
    <mergeCell ref="AF525:AH525"/>
    <mergeCell ref="AK525:AL525"/>
    <mergeCell ref="AC526:AD526"/>
    <mergeCell ref="AF526:AH526"/>
    <mergeCell ref="AK526:AL526"/>
    <mergeCell ref="AC527:AD527"/>
    <mergeCell ref="AF527:AH527"/>
    <mergeCell ref="AK527:AL527"/>
    <mergeCell ref="AC528:AD528"/>
    <mergeCell ref="AF528:AH528"/>
    <mergeCell ref="AK528:AL528"/>
    <mergeCell ref="AC529:AD529"/>
    <mergeCell ref="AF529:AH529"/>
    <mergeCell ref="AK529:AL529"/>
    <mergeCell ref="AC530:AD530"/>
    <mergeCell ref="AF530:AH530"/>
    <mergeCell ref="AK530:AL530"/>
    <mergeCell ref="AC531:AD531"/>
    <mergeCell ref="AF531:AH531"/>
    <mergeCell ref="AK531:AL531"/>
    <mergeCell ref="AC532:AD532"/>
    <mergeCell ref="AF532:AH532"/>
    <mergeCell ref="AK532:AL532"/>
    <mergeCell ref="AC533:AD533"/>
    <mergeCell ref="AF533:AH533"/>
    <mergeCell ref="AK533:AL533"/>
    <mergeCell ref="AC534:AD534"/>
    <mergeCell ref="AF534:AH534"/>
    <mergeCell ref="AK534:AL534"/>
    <mergeCell ref="AC535:AD535"/>
    <mergeCell ref="AF535:AH535"/>
    <mergeCell ref="AK535:AL535"/>
    <mergeCell ref="AC514:AD514"/>
    <mergeCell ref="AF514:AH514"/>
    <mergeCell ref="AK514:AL514"/>
    <mergeCell ref="AC515:AD515"/>
    <mergeCell ref="AF515:AH515"/>
    <mergeCell ref="AK515:AL515"/>
    <mergeCell ref="AC516:AD516"/>
    <mergeCell ref="AF516:AH516"/>
    <mergeCell ref="AK516:AL516"/>
    <mergeCell ref="AC517:AD517"/>
    <mergeCell ref="AF517:AH517"/>
    <mergeCell ref="AK517:AL517"/>
    <mergeCell ref="AC518:AD518"/>
    <mergeCell ref="AF518:AH518"/>
    <mergeCell ref="AK518:AL518"/>
    <mergeCell ref="AC519:AD519"/>
    <mergeCell ref="AF519:AH519"/>
    <mergeCell ref="AK519:AL519"/>
    <mergeCell ref="AC520:AD520"/>
    <mergeCell ref="AF520:AH520"/>
    <mergeCell ref="AK520:AL520"/>
    <mergeCell ref="AC521:AD521"/>
    <mergeCell ref="AF521:AH521"/>
    <mergeCell ref="AK521:AL521"/>
    <mergeCell ref="AC522:AD522"/>
    <mergeCell ref="AF522:AH522"/>
    <mergeCell ref="AK522:AL522"/>
    <mergeCell ref="AC523:AD523"/>
    <mergeCell ref="AF523:AH523"/>
    <mergeCell ref="AK523:AL523"/>
    <mergeCell ref="AC524:AD524"/>
    <mergeCell ref="AF524:AH524"/>
    <mergeCell ref="AK524:AL524"/>
    <mergeCell ref="AC503:AD503"/>
    <mergeCell ref="AF503:AH503"/>
    <mergeCell ref="AK503:AL503"/>
    <mergeCell ref="AC504:AD504"/>
    <mergeCell ref="AF504:AH504"/>
    <mergeCell ref="AK504:AL504"/>
    <mergeCell ref="AC505:AD505"/>
    <mergeCell ref="AF505:AH505"/>
    <mergeCell ref="AK505:AL505"/>
    <mergeCell ref="AC506:AD506"/>
    <mergeCell ref="AF506:AH506"/>
    <mergeCell ref="AK506:AL506"/>
    <mergeCell ref="AC507:AD507"/>
    <mergeCell ref="AF507:AH507"/>
    <mergeCell ref="AK507:AL507"/>
    <mergeCell ref="AC508:AD508"/>
    <mergeCell ref="AF508:AH508"/>
    <mergeCell ref="AK508:AL508"/>
    <mergeCell ref="AC509:AD509"/>
    <mergeCell ref="AF509:AH509"/>
    <mergeCell ref="AK509:AL509"/>
    <mergeCell ref="AC510:AD510"/>
    <mergeCell ref="AF510:AH510"/>
    <mergeCell ref="AK510:AL510"/>
    <mergeCell ref="AC511:AD511"/>
    <mergeCell ref="AF511:AH511"/>
    <mergeCell ref="AK511:AL511"/>
    <mergeCell ref="AC512:AD512"/>
    <mergeCell ref="AF512:AH512"/>
    <mergeCell ref="AK512:AL512"/>
    <mergeCell ref="AC513:AD513"/>
    <mergeCell ref="AF513:AH513"/>
    <mergeCell ref="AK513:AL513"/>
    <mergeCell ref="AC492:AD492"/>
    <mergeCell ref="AF492:AH492"/>
    <mergeCell ref="AK492:AL492"/>
    <mergeCell ref="AC493:AD493"/>
    <mergeCell ref="AF493:AH493"/>
    <mergeCell ref="AK493:AL493"/>
    <mergeCell ref="AC494:AD494"/>
    <mergeCell ref="AF494:AH494"/>
    <mergeCell ref="AK494:AL494"/>
    <mergeCell ref="AC495:AD495"/>
    <mergeCell ref="AF495:AH495"/>
    <mergeCell ref="AK495:AL495"/>
    <mergeCell ref="AC496:AD496"/>
    <mergeCell ref="AF496:AH496"/>
    <mergeCell ref="AK496:AL496"/>
    <mergeCell ref="AC497:AD497"/>
    <mergeCell ref="AF497:AH497"/>
    <mergeCell ref="AK497:AL497"/>
    <mergeCell ref="AC498:AD498"/>
    <mergeCell ref="AF498:AH498"/>
    <mergeCell ref="AK498:AL498"/>
    <mergeCell ref="AC499:AD499"/>
    <mergeCell ref="AF499:AH499"/>
    <mergeCell ref="AK499:AL499"/>
    <mergeCell ref="AC500:AD500"/>
    <mergeCell ref="AF500:AH500"/>
    <mergeCell ref="AK500:AL500"/>
    <mergeCell ref="AC501:AD501"/>
    <mergeCell ref="AF501:AH501"/>
    <mergeCell ref="AK501:AL501"/>
    <mergeCell ref="AC502:AD502"/>
    <mergeCell ref="AF502:AH502"/>
    <mergeCell ref="AK502:AL502"/>
    <mergeCell ref="AC481:AD481"/>
    <mergeCell ref="AF481:AH481"/>
    <mergeCell ref="AK481:AL481"/>
    <mergeCell ref="AC482:AD482"/>
    <mergeCell ref="AF482:AH482"/>
    <mergeCell ref="AK482:AL482"/>
    <mergeCell ref="AC483:AD483"/>
    <mergeCell ref="AF483:AH483"/>
    <mergeCell ref="AK483:AL483"/>
    <mergeCell ref="AC484:AD484"/>
    <mergeCell ref="AF484:AH484"/>
    <mergeCell ref="AK484:AL484"/>
    <mergeCell ref="AC485:AD485"/>
    <mergeCell ref="AF485:AH485"/>
    <mergeCell ref="AK485:AL485"/>
    <mergeCell ref="AC486:AD486"/>
    <mergeCell ref="AF486:AH486"/>
    <mergeCell ref="AK486:AL486"/>
    <mergeCell ref="AC487:AD487"/>
    <mergeCell ref="AF487:AH487"/>
    <mergeCell ref="AK487:AL487"/>
    <mergeCell ref="AC488:AD488"/>
    <mergeCell ref="AF488:AH488"/>
    <mergeCell ref="AK488:AL488"/>
    <mergeCell ref="AC489:AD489"/>
    <mergeCell ref="AF489:AH489"/>
    <mergeCell ref="AK489:AL489"/>
    <mergeCell ref="AC490:AD490"/>
    <mergeCell ref="AF490:AH490"/>
    <mergeCell ref="AK490:AL490"/>
    <mergeCell ref="AC491:AD491"/>
    <mergeCell ref="AF491:AH491"/>
    <mergeCell ref="AK491:AL491"/>
    <mergeCell ref="AC470:AD470"/>
    <mergeCell ref="AF470:AH470"/>
    <mergeCell ref="AK470:AL470"/>
    <mergeCell ref="AC471:AD471"/>
    <mergeCell ref="AF471:AH471"/>
    <mergeCell ref="AK471:AL471"/>
    <mergeCell ref="AC472:AD472"/>
    <mergeCell ref="AF472:AH472"/>
    <mergeCell ref="AK472:AL472"/>
    <mergeCell ref="AC473:AD473"/>
    <mergeCell ref="AF473:AH473"/>
    <mergeCell ref="AK473:AL473"/>
    <mergeCell ref="AC474:AD474"/>
    <mergeCell ref="AF474:AH474"/>
    <mergeCell ref="AK474:AL474"/>
    <mergeCell ref="AC475:AD475"/>
    <mergeCell ref="AF475:AH475"/>
    <mergeCell ref="AK475:AL475"/>
    <mergeCell ref="AC476:AD476"/>
    <mergeCell ref="AF476:AH476"/>
    <mergeCell ref="AK476:AL476"/>
    <mergeCell ref="AC477:AD477"/>
    <mergeCell ref="AF477:AH477"/>
    <mergeCell ref="AK477:AL477"/>
    <mergeCell ref="AC478:AD478"/>
    <mergeCell ref="AF478:AH478"/>
    <mergeCell ref="AK478:AL478"/>
    <mergeCell ref="AC479:AD479"/>
    <mergeCell ref="AF479:AH479"/>
    <mergeCell ref="AK479:AL479"/>
    <mergeCell ref="AC480:AD480"/>
    <mergeCell ref="AF480:AH480"/>
    <mergeCell ref="AK480:AL480"/>
    <mergeCell ref="AC459:AD459"/>
    <mergeCell ref="AF459:AH459"/>
    <mergeCell ref="AK459:AL459"/>
    <mergeCell ref="AC460:AD460"/>
    <mergeCell ref="AF460:AH460"/>
    <mergeCell ref="AK460:AL460"/>
    <mergeCell ref="AC461:AD461"/>
    <mergeCell ref="AF461:AH461"/>
    <mergeCell ref="AK461:AL461"/>
    <mergeCell ref="AC462:AD462"/>
    <mergeCell ref="AF462:AH462"/>
    <mergeCell ref="AK462:AL462"/>
    <mergeCell ref="AC463:AD463"/>
    <mergeCell ref="AF463:AH463"/>
    <mergeCell ref="AK463:AL463"/>
    <mergeCell ref="AC464:AD464"/>
    <mergeCell ref="AF464:AH464"/>
    <mergeCell ref="AK464:AL464"/>
    <mergeCell ref="AC465:AD465"/>
    <mergeCell ref="AF465:AH465"/>
    <mergeCell ref="AK465:AL465"/>
    <mergeCell ref="AC466:AD466"/>
    <mergeCell ref="AF466:AH466"/>
    <mergeCell ref="AK466:AL466"/>
    <mergeCell ref="AC467:AD467"/>
    <mergeCell ref="AF467:AH467"/>
    <mergeCell ref="AK467:AL467"/>
    <mergeCell ref="AC468:AD468"/>
    <mergeCell ref="AF468:AH468"/>
    <mergeCell ref="AK468:AL468"/>
    <mergeCell ref="AC469:AD469"/>
    <mergeCell ref="AF469:AH469"/>
    <mergeCell ref="AK469:AL469"/>
    <mergeCell ref="AC448:AD448"/>
    <mergeCell ref="AF448:AH448"/>
    <mergeCell ref="AK448:AL448"/>
    <mergeCell ref="AC449:AD449"/>
    <mergeCell ref="AF449:AH449"/>
    <mergeCell ref="AK449:AL449"/>
    <mergeCell ref="AC450:AD450"/>
    <mergeCell ref="AF450:AH450"/>
    <mergeCell ref="AK450:AL450"/>
    <mergeCell ref="AC451:AD451"/>
    <mergeCell ref="AF451:AH451"/>
    <mergeCell ref="AK451:AL451"/>
    <mergeCell ref="AC452:AD452"/>
    <mergeCell ref="AF452:AH452"/>
    <mergeCell ref="AK452:AL452"/>
    <mergeCell ref="AC453:AD453"/>
    <mergeCell ref="AF453:AH453"/>
    <mergeCell ref="AK453:AL453"/>
    <mergeCell ref="AC454:AD454"/>
    <mergeCell ref="AF454:AH454"/>
    <mergeCell ref="AK454:AL454"/>
    <mergeCell ref="AC455:AD455"/>
    <mergeCell ref="AF455:AH455"/>
    <mergeCell ref="AK455:AL455"/>
    <mergeCell ref="AC456:AD456"/>
    <mergeCell ref="AF456:AH456"/>
    <mergeCell ref="AK456:AL456"/>
    <mergeCell ref="AC457:AD457"/>
    <mergeCell ref="AF457:AH457"/>
    <mergeCell ref="AK457:AL457"/>
    <mergeCell ref="AC458:AD458"/>
    <mergeCell ref="AF458:AH458"/>
    <mergeCell ref="AK458:AL458"/>
    <mergeCell ref="AC437:AD437"/>
    <mergeCell ref="AF437:AH437"/>
    <mergeCell ref="AK437:AL437"/>
    <mergeCell ref="AC438:AD438"/>
    <mergeCell ref="AF438:AH438"/>
    <mergeCell ref="AK438:AL438"/>
    <mergeCell ref="AC439:AD439"/>
    <mergeCell ref="AF439:AH439"/>
    <mergeCell ref="AK439:AL439"/>
    <mergeCell ref="AC440:AD440"/>
    <mergeCell ref="AF440:AH440"/>
    <mergeCell ref="AK440:AL440"/>
    <mergeCell ref="AC441:AD441"/>
    <mergeCell ref="AF441:AH441"/>
    <mergeCell ref="AK441:AL441"/>
    <mergeCell ref="AC442:AD442"/>
    <mergeCell ref="AF442:AH442"/>
    <mergeCell ref="AK442:AL442"/>
    <mergeCell ref="AC443:AD443"/>
    <mergeCell ref="AF443:AH443"/>
    <mergeCell ref="AK443:AL443"/>
    <mergeCell ref="AC444:AD444"/>
    <mergeCell ref="AF444:AH444"/>
    <mergeCell ref="AK444:AL444"/>
    <mergeCell ref="AC445:AD445"/>
    <mergeCell ref="AF445:AH445"/>
    <mergeCell ref="AK445:AL445"/>
    <mergeCell ref="AC446:AD446"/>
    <mergeCell ref="AF446:AH446"/>
    <mergeCell ref="AK446:AL446"/>
    <mergeCell ref="AC447:AD447"/>
    <mergeCell ref="AF447:AH447"/>
    <mergeCell ref="AK447:AL447"/>
    <mergeCell ref="AC426:AD426"/>
    <mergeCell ref="AF426:AH426"/>
    <mergeCell ref="AK426:AL426"/>
    <mergeCell ref="AC427:AD427"/>
    <mergeCell ref="AF427:AH427"/>
    <mergeCell ref="AK427:AL427"/>
    <mergeCell ref="AC428:AD428"/>
    <mergeCell ref="AF428:AH428"/>
    <mergeCell ref="AK428:AL428"/>
    <mergeCell ref="AC429:AD429"/>
    <mergeCell ref="AF429:AH429"/>
    <mergeCell ref="AK429:AL429"/>
    <mergeCell ref="AC430:AD430"/>
    <mergeCell ref="AF430:AH430"/>
    <mergeCell ref="AK430:AL430"/>
    <mergeCell ref="AC431:AD431"/>
    <mergeCell ref="AF431:AH431"/>
    <mergeCell ref="AK431:AL431"/>
    <mergeCell ref="AC432:AD432"/>
    <mergeCell ref="AF432:AH432"/>
    <mergeCell ref="AK432:AL432"/>
    <mergeCell ref="AC433:AD433"/>
    <mergeCell ref="AF433:AH433"/>
    <mergeCell ref="AK433:AL433"/>
    <mergeCell ref="AC434:AD434"/>
    <mergeCell ref="AF434:AH434"/>
    <mergeCell ref="AK434:AL434"/>
    <mergeCell ref="AC435:AD435"/>
    <mergeCell ref="AF435:AH435"/>
    <mergeCell ref="AK435:AL435"/>
    <mergeCell ref="AC436:AD436"/>
    <mergeCell ref="AF436:AH436"/>
    <mergeCell ref="AK436:AL436"/>
    <mergeCell ref="AC415:AD415"/>
    <mergeCell ref="AF415:AH415"/>
    <mergeCell ref="AK415:AL415"/>
    <mergeCell ref="AC416:AD416"/>
    <mergeCell ref="AF416:AH416"/>
    <mergeCell ref="AK416:AL416"/>
    <mergeCell ref="AC417:AD417"/>
    <mergeCell ref="AF417:AH417"/>
    <mergeCell ref="AK417:AL417"/>
    <mergeCell ref="AC418:AD418"/>
    <mergeCell ref="AF418:AH418"/>
    <mergeCell ref="AK418:AL418"/>
    <mergeCell ref="AC419:AD419"/>
    <mergeCell ref="AF419:AH419"/>
    <mergeCell ref="AK419:AL419"/>
    <mergeCell ref="AC420:AD420"/>
    <mergeCell ref="AF420:AH420"/>
    <mergeCell ref="AK420:AL420"/>
    <mergeCell ref="AC421:AD421"/>
    <mergeCell ref="AF421:AH421"/>
    <mergeCell ref="AK421:AL421"/>
    <mergeCell ref="AC422:AD422"/>
    <mergeCell ref="AF422:AH422"/>
    <mergeCell ref="AK422:AL422"/>
    <mergeCell ref="AC423:AD423"/>
    <mergeCell ref="AF423:AH423"/>
    <mergeCell ref="AK423:AL423"/>
    <mergeCell ref="AC424:AD424"/>
    <mergeCell ref="AF424:AH424"/>
    <mergeCell ref="AK424:AL424"/>
    <mergeCell ref="AC425:AD425"/>
    <mergeCell ref="AF425:AH425"/>
    <mergeCell ref="AK425:AL425"/>
    <mergeCell ref="AC404:AD404"/>
    <mergeCell ref="AF404:AH404"/>
    <mergeCell ref="AK404:AL404"/>
    <mergeCell ref="AC405:AD405"/>
    <mergeCell ref="AF405:AH405"/>
    <mergeCell ref="AK405:AL405"/>
    <mergeCell ref="AC406:AD406"/>
    <mergeCell ref="AF406:AH406"/>
    <mergeCell ref="AK406:AL406"/>
    <mergeCell ref="AC407:AD407"/>
    <mergeCell ref="AF407:AH407"/>
    <mergeCell ref="AK407:AL407"/>
    <mergeCell ref="AC408:AD408"/>
    <mergeCell ref="AF408:AH408"/>
    <mergeCell ref="AK408:AL408"/>
    <mergeCell ref="AC409:AD409"/>
    <mergeCell ref="AF409:AH409"/>
    <mergeCell ref="AK409:AL409"/>
    <mergeCell ref="AC410:AD410"/>
    <mergeCell ref="AF410:AH410"/>
    <mergeCell ref="AK410:AL410"/>
    <mergeCell ref="AC411:AD411"/>
    <mergeCell ref="AF411:AH411"/>
    <mergeCell ref="AK411:AL411"/>
    <mergeCell ref="AC412:AD412"/>
    <mergeCell ref="AF412:AH412"/>
    <mergeCell ref="AK412:AL412"/>
    <mergeCell ref="AC413:AD413"/>
    <mergeCell ref="AF413:AH413"/>
    <mergeCell ref="AK413:AL413"/>
    <mergeCell ref="AC414:AD414"/>
    <mergeCell ref="AF414:AH414"/>
    <mergeCell ref="AK414:AL414"/>
    <mergeCell ref="AC393:AD393"/>
    <mergeCell ref="AF393:AH393"/>
    <mergeCell ref="AK393:AL393"/>
    <mergeCell ref="AC394:AD394"/>
    <mergeCell ref="AF394:AH394"/>
    <mergeCell ref="AK394:AL394"/>
    <mergeCell ref="AC395:AD395"/>
    <mergeCell ref="AF395:AH395"/>
    <mergeCell ref="AK395:AL395"/>
    <mergeCell ref="AC396:AD396"/>
    <mergeCell ref="AF396:AH396"/>
    <mergeCell ref="AK396:AL396"/>
    <mergeCell ref="AC397:AD397"/>
    <mergeCell ref="AF397:AH397"/>
    <mergeCell ref="AK397:AL397"/>
    <mergeCell ref="AC398:AD398"/>
    <mergeCell ref="AF398:AH398"/>
    <mergeCell ref="AK398:AL398"/>
    <mergeCell ref="AC399:AD399"/>
    <mergeCell ref="AF399:AH399"/>
    <mergeCell ref="AK399:AL399"/>
    <mergeCell ref="AC400:AD400"/>
    <mergeCell ref="AF400:AH400"/>
    <mergeCell ref="AK400:AL400"/>
    <mergeCell ref="AC401:AD401"/>
    <mergeCell ref="AF401:AH401"/>
    <mergeCell ref="AK401:AL401"/>
    <mergeCell ref="AC402:AD402"/>
    <mergeCell ref="AF402:AH402"/>
    <mergeCell ref="AK402:AL402"/>
    <mergeCell ref="AC403:AD403"/>
    <mergeCell ref="AF403:AH403"/>
    <mergeCell ref="AK403:AL403"/>
    <mergeCell ref="AC382:AD382"/>
    <mergeCell ref="AF382:AH382"/>
    <mergeCell ref="AK382:AL382"/>
    <mergeCell ref="AC383:AD383"/>
    <mergeCell ref="AF383:AH383"/>
    <mergeCell ref="AK383:AL383"/>
    <mergeCell ref="AC384:AD384"/>
    <mergeCell ref="AF384:AH384"/>
    <mergeCell ref="AK384:AL384"/>
    <mergeCell ref="AC385:AD385"/>
    <mergeCell ref="AF385:AH385"/>
    <mergeCell ref="AK385:AL385"/>
    <mergeCell ref="AC386:AD386"/>
    <mergeCell ref="AF386:AH386"/>
    <mergeCell ref="AK386:AL386"/>
    <mergeCell ref="AC387:AD387"/>
    <mergeCell ref="AF387:AH387"/>
    <mergeCell ref="AK387:AL387"/>
    <mergeCell ref="AC388:AD388"/>
    <mergeCell ref="AF388:AH388"/>
    <mergeCell ref="AK388:AL388"/>
    <mergeCell ref="AC389:AD389"/>
    <mergeCell ref="AF389:AH389"/>
    <mergeCell ref="AK389:AL389"/>
    <mergeCell ref="AC390:AD390"/>
    <mergeCell ref="AF390:AH390"/>
    <mergeCell ref="AK390:AL390"/>
    <mergeCell ref="AC391:AD391"/>
    <mergeCell ref="AF391:AH391"/>
    <mergeCell ref="AK391:AL391"/>
    <mergeCell ref="AC392:AD392"/>
    <mergeCell ref="AF392:AH392"/>
    <mergeCell ref="AK392:AL392"/>
    <mergeCell ref="AC371:AD371"/>
    <mergeCell ref="AF371:AH371"/>
    <mergeCell ref="AK371:AL371"/>
    <mergeCell ref="AC372:AD372"/>
    <mergeCell ref="AF372:AH372"/>
    <mergeCell ref="AK372:AL372"/>
    <mergeCell ref="AC373:AD373"/>
    <mergeCell ref="AF373:AH373"/>
    <mergeCell ref="AK373:AL373"/>
    <mergeCell ref="AC374:AD374"/>
    <mergeCell ref="AF374:AH374"/>
    <mergeCell ref="AK374:AL374"/>
    <mergeCell ref="AC375:AD375"/>
    <mergeCell ref="AF375:AH375"/>
    <mergeCell ref="AK375:AL375"/>
    <mergeCell ref="AC376:AD376"/>
    <mergeCell ref="AF376:AH376"/>
    <mergeCell ref="AK376:AL376"/>
    <mergeCell ref="AC377:AD377"/>
    <mergeCell ref="AF377:AH377"/>
    <mergeCell ref="AK377:AL377"/>
    <mergeCell ref="AC378:AD378"/>
    <mergeCell ref="AF378:AH378"/>
    <mergeCell ref="AK378:AL378"/>
    <mergeCell ref="AC379:AD379"/>
    <mergeCell ref="AF379:AH379"/>
    <mergeCell ref="AK379:AL379"/>
    <mergeCell ref="AC380:AD380"/>
    <mergeCell ref="AF380:AH380"/>
    <mergeCell ref="AK380:AL380"/>
    <mergeCell ref="AC381:AD381"/>
    <mergeCell ref="AF381:AH381"/>
    <mergeCell ref="AK381:AL381"/>
    <mergeCell ref="AC360:AD360"/>
    <mergeCell ref="AF360:AH360"/>
    <mergeCell ref="AK360:AL360"/>
    <mergeCell ref="AC361:AD361"/>
    <mergeCell ref="AF361:AH361"/>
    <mergeCell ref="AK361:AL361"/>
    <mergeCell ref="AC362:AD362"/>
    <mergeCell ref="AF362:AH362"/>
    <mergeCell ref="AK362:AL362"/>
    <mergeCell ref="AC363:AD363"/>
    <mergeCell ref="AF363:AH363"/>
    <mergeCell ref="AK363:AL363"/>
    <mergeCell ref="AC364:AD364"/>
    <mergeCell ref="AF364:AH364"/>
    <mergeCell ref="AK364:AL364"/>
    <mergeCell ref="AC365:AD365"/>
    <mergeCell ref="AF365:AH365"/>
    <mergeCell ref="AK365:AL365"/>
    <mergeCell ref="AC366:AD366"/>
    <mergeCell ref="AF366:AH366"/>
    <mergeCell ref="AK366:AL366"/>
    <mergeCell ref="AC367:AD367"/>
    <mergeCell ref="AF367:AH367"/>
    <mergeCell ref="AK367:AL367"/>
    <mergeCell ref="AC368:AD368"/>
    <mergeCell ref="AF368:AH368"/>
    <mergeCell ref="AK368:AL368"/>
    <mergeCell ref="AC369:AD369"/>
    <mergeCell ref="AF369:AH369"/>
    <mergeCell ref="AK369:AL369"/>
    <mergeCell ref="AC370:AD370"/>
    <mergeCell ref="AF370:AH370"/>
    <mergeCell ref="AK370:AL370"/>
    <mergeCell ref="AC349:AD349"/>
    <mergeCell ref="AF349:AH349"/>
    <mergeCell ref="AK349:AL349"/>
    <mergeCell ref="AC350:AD350"/>
    <mergeCell ref="AF350:AH350"/>
    <mergeCell ref="AK350:AL350"/>
    <mergeCell ref="AC351:AD351"/>
    <mergeCell ref="AF351:AH351"/>
    <mergeCell ref="AK351:AL351"/>
    <mergeCell ref="AC352:AD352"/>
    <mergeCell ref="AF352:AH352"/>
    <mergeCell ref="AK352:AL352"/>
    <mergeCell ref="AC353:AD353"/>
    <mergeCell ref="AF353:AH353"/>
    <mergeCell ref="AK353:AL353"/>
    <mergeCell ref="AC354:AD354"/>
    <mergeCell ref="AF354:AH354"/>
    <mergeCell ref="AK354:AL354"/>
    <mergeCell ref="AC355:AD355"/>
    <mergeCell ref="AF355:AH355"/>
    <mergeCell ref="AK355:AL355"/>
    <mergeCell ref="AC356:AD356"/>
    <mergeCell ref="AF356:AH356"/>
    <mergeCell ref="AK356:AL356"/>
    <mergeCell ref="AC357:AD357"/>
    <mergeCell ref="AF357:AH357"/>
    <mergeCell ref="AK357:AL357"/>
    <mergeCell ref="AC358:AD358"/>
    <mergeCell ref="AF358:AH358"/>
    <mergeCell ref="AK358:AL358"/>
    <mergeCell ref="AC359:AD359"/>
    <mergeCell ref="AF359:AH359"/>
    <mergeCell ref="AK359:AL359"/>
    <mergeCell ref="AC338:AD338"/>
    <mergeCell ref="AF338:AH338"/>
    <mergeCell ref="AK338:AL338"/>
    <mergeCell ref="AC339:AD339"/>
    <mergeCell ref="AF339:AH339"/>
    <mergeCell ref="AK339:AL339"/>
    <mergeCell ref="AC340:AD340"/>
    <mergeCell ref="AF340:AH340"/>
    <mergeCell ref="AK340:AL340"/>
    <mergeCell ref="AC341:AD341"/>
    <mergeCell ref="AF341:AH341"/>
    <mergeCell ref="AK341:AL341"/>
    <mergeCell ref="AC342:AD342"/>
    <mergeCell ref="AF342:AH342"/>
    <mergeCell ref="AK342:AL342"/>
    <mergeCell ref="AC343:AD343"/>
    <mergeCell ref="AF343:AH343"/>
    <mergeCell ref="AK343:AL343"/>
    <mergeCell ref="AC344:AD344"/>
    <mergeCell ref="AF344:AH344"/>
    <mergeCell ref="AK344:AL344"/>
    <mergeCell ref="AC345:AD345"/>
    <mergeCell ref="AF345:AH345"/>
    <mergeCell ref="AK345:AL345"/>
    <mergeCell ref="AC346:AD346"/>
    <mergeCell ref="AF346:AH346"/>
    <mergeCell ref="AK346:AL346"/>
    <mergeCell ref="AC347:AD347"/>
    <mergeCell ref="AF347:AH347"/>
    <mergeCell ref="AK347:AL347"/>
    <mergeCell ref="AC348:AD348"/>
    <mergeCell ref="AF348:AH348"/>
    <mergeCell ref="AK348:AL348"/>
    <mergeCell ref="AC327:AD327"/>
    <mergeCell ref="AF327:AH327"/>
    <mergeCell ref="AK327:AL327"/>
    <mergeCell ref="AC328:AD328"/>
    <mergeCell ref="AF328:AH328"/>
    <mergeCell ref="AK328:AL328"/>
    <mergeCell ref="AC329:AD329"/>
    <mergeCell ref="AF329:AH329"/>
    <mergeCell ref="AK329:AL329"/>
    <mergeCell ref="AC330:AD330"/>
    <mergeCell ref="AF330:AH330"/>
    <mergeCell ref="AK330:AL330"/>
    <mergeCell ref="AC331:AD331"/>
    <mergeCell ref="AF331:AH331"/>
    <mergeCell ref="AK331:AL331"/>
    <mergeCell ref="AC332:AD332"/>
    <mergeCell ref="AF332:AH332"/>
    <mergeCell ref="AK332:AL332"/>
    <mergeCell ref="AC333:AD333"/>
    <mergeCell ref="AF333:AH333"/>
    <mergeCell ref="AK333:AL333"/>
    <mergeCell ref="AC334:AD334"/>
    <mergeCell ref="AF334:AH334"/>
    <mergeCell ref="AK334:AL334"/>
    <mergeCell ref="AC335:AD335"/>
    <mergeCell ref="AF335:AH335"/>
    <mergeCell ref="AK335:AL335"/>
    <mergeCell ref="AC336:AD336"/>
    <mergeCell ref="AF336:AH336"/>
    <mergeCell ref="AK336:AL336"/>
    <mergeCell ref="AC337:AD337"/>
    <mergeCell ref="AF337:AH337"/>
    <mergeCell ref="AK337:AL337"/>
    <mergeCell ref="AC316:AD316"/>
    <mergeCell ref="AF316:AH316"/>
    <mergeCell ref="AK316:AL316"/>
    <mergeCell ref="AC317:AD317"/>
    <mergeCell ref="AF317:AH317"/>
    <mergeCell ref="AK317:AL317"/>
    <mergeCell ref="AC318:AD318"/>
    <mergeCell ref="AF318:AH318"/>
    <mergeCell ref="AK318:AL318"/>
    <mergeCell ref="AC319:AD319"/>
    <mergeCell ref="AF319:AH319"/>
    <mergeCell ref="AK319:AL319"/>
    <mergeCell ref="AC320:AD320"/>
    <mergeCell ref="AF320:AH320"/>
    <mergeCell ref="AK320:AL320"/>
    <mergeCell ref="AC321:AD321"/>
    <mergeCell ref="AF321:AH321"/>
    <mergeCell ref="AK321:AL321"/>
    <mergeCell ref="AC322:AD322"/>
    <mergeCell ref="AF322:AH322"/>
    <mergeCell ref="AK322:AL322"/>
    <mergeCell ref="AC323:AD323"/>
    <mergeCell ref="AF323:AH323"/>
    <mergeCell ref="AK323:AL323"/>
    <mergeCell ref="AC324:AD324"/>
    <mergeCell ref="AF324:AH324"/>
    <mergeCell ref="AK324:AL324"/>
    <mergeCell ref="AC325:AD325"/>
    <mergeCell ref="AF325:AH325"/>
    <mergeCell ref="AK325:AL325"/>
    <mergeCell ref="AC326:AD326"/>
    <mergeCell ref="AF326:AH326"/>
    <mergeCell ref="AK326:AL326"/>
    <mergeCell ref="AC305:AD305"/>
    <mergeCell ref="AF305:AH305"/>
    <mergeCell ref="AK305:AL305"/>
    <mergeCell ref="AC306:AD306"/>
    <mergeCell ref="AF306:AH306"/>
    <mergeCell ref="AK306:AL306"/>
    <mergeCell ref="AC307:AD307"/>
    <mergeCell ref="AF307:AH307"/>
    <mergeCell ref="AK307:AL307"/>
    <mergeCell ref="AC308:AD308"/>
    <mergeCell ref="AF308:AH308"/>
    <mergeCell ref="AK308:AL308"/>
    <mergeCell ref="AC309:AD309"/>
    <mergeCell ref="AF309:AH309"/>
    <mergeCell ref="AK309:AL309"/>
    <mergeCell ref="AC310:AD310"/>
    <mergeCell ref="AF310:AH310"/>
    <mergeCell ref="AK310:AL310"/>
    <mergeCell ref="AC311:AD311"/>
    <mergeCell ref="AF311:AH311"/>
    <mergeCell ref="AK311:AL311"/>
    <mergeCell ref="AC312:AD312"/>
    <mergeCell ref="AF312:AH312"/>
    <mergeCell ref="AK312:AL312"/>
    <mergeCell ref="AC313:AD313"/>
    <mergeCell ref="AF313:AH313"/>
    <mergeCell ref="AK313:AL313"/>
    <mergeCell ref="AC314:AD314"/>
    <mergeCell ref="AF314:AH314"/>
    <mergeCell ref="AK314:AL314"/>
    <mergeCell ref="AC315:AD315"/>
    <mergeCell ref="AF315:AH315"/>
    <mergeCell ref="AK315:AL315"/>
    <mergeCell ref="AC294:AD294"/>
    <mergeCell ref="AF294:AH294"/>
    <mergeCell ref="AK294:AL294"/>
    <mergeCell ref="AC295:AD295"/>
    <mergeCell ref="AF295:AH295"/>
    <mergeCell ref="AK295:AL295"/>
    <mergeCell ref="AC296:AD296"/>
    <mergeCell ref="AF296:AH296"/>
    <mergeCell ref="AK296:AL296"/>
    <mergeCell ref="AC297:AD297"/>
    <mergeCell ref="AF297:AH297"/>
    <mergeCell ref="AK297:AL297"/>
    <mergeCell ref="AC298:AD298"/>
    <mergeCell ref="AF298:AH298"/>
    <mergeCell ref="AK298:AL298"/>
    <mergeCell ref="AC299:AD299"/>
    <mergeCell ref="AF299:AH299"/>
    <mergeCell ref="AK299:AL299"/>
    <mergeCell ref="AC300:AD300"/>
    <mergeCell ref="AF300:AH300"/>
    <mergeCell ref="AK300:AL300"/>
    <mergeCell ref="AC301:AD301"/>
    <mergeCell ref="AF301:AH301"/>
    <mergeCell ref="AK301:AL301"/>
    <mergeCell ref="AC302:AD302"/>
    <mergeCell ref="AF302:AH302"/>
    <mergeCell ref="AK302:AL302"/>
    <mergeCell ref="AC303:AD303"/>
    <mergeCell ref="AF303:AH303"/>
    <mergeCell ref="AK303:AL303"/>
    <mergeCell ref="AC304:AD304"/>
    <mergeCell ref="AF304:AH304"/>
    <mergeCell ref="AK304:AL304"/>
    <mergeCell ref="AC283:AD283"/>
    <mergeCell ref="AF283:AH283"/>
    <mergeCell ref="AK283:AL283"/>
    <mergeCell ref="AC284:AD284"/>
    <mergeCell ref="AF284:AH284"/>
    <mergeCell ref="AK284:AL284"/>
    <mergeCell ref="AC285:AD285"/>
    <mergeCell ref="AF285:AH285"/>
    <mergeCell ref="AK285:AL285"/>
    <mergeCell ref="AC286:AD286"/>
    <mergeCell ref="AF286:AH286"/>
    <mergeCell ref="AK286:AL286"/>
    <mergeCell ref="AC287:AD287"/>
    <mergeCell ref="AF287:AH287"/>
    <mergeCell ref="AK287:AL287"/>
    <mergeCell ref="AC288:AD288"/>
    <mergeCell ref="AF288:AH288"/>
    <mergeCell ref="AK288:AL288"/>
    <mergeCell ref="AC289:AD289"/>
    <mergeCell ref="AF289:AH289"/>
    <mergeCell ref="AK289:AL289"/>
    <mergeCell ref="AC290:AD290"/>
    <mergeCell ref="AF290:AH290"/>
    <mergeCell ref="AK290:AL290"/>
    <mergeCell ref="AC291:AD291"/>
    <mergeCell ref="AF291:AH291"/>
    <mergeCell ref="AK291:AL291"/>
    <mergeCell ref="AC292:AD292"/>
    <mergeCell ref="AF292:AH292"/>
    <mergeCell ref="AK292:AL292"/>
    <mergeCell ref="AC293:AD293"/>
    <mergeCell ref="AF293:AH293"/>
    <mergeCell ref="AK293:AL293"/>
    <mergeCell ref="AC272:AD272"/>
    <mergeCell ref="AF272:AH272"/>
    <mergeCell ref="AK272:AL272"/>
    <mergeCell ref="AC273:AD273"/>
    <mergeCell ref="AF273:AH273"/>
    <mergeCell ref="AK273:AL273"/>
    <mergeCell ref="AC274:AD274"/>
    <mergeCell ref="AF274:AH274"/>
    <mergeCell ref="AK274:AL274"/>
    <mergeCell ref="AC275:AD275"/>
    <mergeCell ref="AF275:AH275"/>
    <mergeCell ref="AK275:AL275"/>
    <mergeCell ref="AC276:AD276"/>
    <mergeCell ref="AF276:AH276"/>
    <mergeCell ref="AK276:AL276"/>
    <mergeCell ref="AC277:AD277"/>
    <mergeCell ref="AF277:AH277"/>
    <mergeCell ref="AK277:AL277"/>
    <mergeCell ref="AC278:AD278"/>
    <mergeCell ref="AF278:AH278"/>
    <mergeCell ref="AK278:AL278"/>
    <mergeCell ref="AC279:AD279"/>
    <mergeCell ref="AF279:AH279"/>
    <mergeCell ref="AK279:AL279"/>
    <mergeCell ref="AC280:AD280"/>
    <mergeCell ref="AF280:AH280"/>
    <mergeCell ref="AK280:AL280"/>
    <mergeCell ref="AC281:AD281"/>
    <mergeCell ref="AF281:AH281"/>
    <mergeCell ref="AK281:AL281"/>
    <mergeCell ref="AC282:AD282"/>
    <mergeCell ref="AF282:AH282"/>
    <mergeCell ref="AK282:AL282"/>
    <mergeCell ref="AC261:AD261"/>
    <mergeCell ref="AF261:AH261"/>
    <mergeCell ref="AK261:AL261"/>
    <mergeCell ref="AC262:AD262"/>
    <mergeCell ref="AF262:AH262"/>
    <mergeCell ref="AK262:AL262"/>
    <mergeCell ref="AC263:AD263"/>
    <mergeCell ref="AF263:AH263"/>
    <mergeCell ref="AK263:AL263"/>
    <mergeCell ref="AC264:AD264"/>
    <mergeCell ref="AF264:AH264"/>
    <mergeCell ref="AK264:AL264"/>
    <mergeCell ref="AC265:AD265"/>
    <mergeCell ref="AF265:AH265"/>
    <mergeCell ref="AK265:AL265"/>
    <mergeCell ref="AC266:AD266"/>
    <mergeCell ref="AF266:AH266"/>
    <mergeCell ref="AK266:AL266"/>
    <mergeCell ref="AC267:AD267"/>
    <mergeCell ref="AF267:AH267"/>
    <mergeCell ref="AK267:AL267"/>
    <mergeCell ref="AC268:AD268"/>
    <mergeCell ref="AF268:AH268"/>
    <mergeCell ref="AK268:AL268"/>
    <mergeCell ref="AC269:AD269"/>
    <mergeCell ref="AF269:AH269"/>
    <mergeCell ref="AK269:AL269"/>
    <mergeCell ref="AC270:AD270"/>
    <mergeCell ref="AF270:AH270"/>
    <mergeCell ref="AK270:AL270"/>
    <mergeCell ref="AC271:AD271"/>
    <mergeCell ref="AF271:AH271"/>
    <mergeCell ref="AK271:AL271"/>
    <mergeCell ref="AC250:AD250"/>
    <mergeCell ref="AF250:AH250"/>
    <mergeCell ref="AK250:AL250"/>
    <mergeCell ref="AC251:AD251"/>
    <mergeCell ref="AF251:AH251"/>
    <mergeCell ref="AK251:AL251"/>
    <mergeCell ref="AC252:AD252"/>
    <mergeCell ref="AF252:AH252"/>
    <mergeCell ref="AK252:AL252"/>
    <mergeCell ref="AC253:AD253"/>
    <mergeCell ref="AF253:AH253"/>
    <mergeCell ref="AK253:AL253"/>
    <mergeCell ref="AC254:AD254"/>
    <mergeCell ref="AF254:AH254"/>
    <mergeCell ref="AK254:AL254"/>
    <mergeCell ref="AC255:AD255"/>
    <mergeCell ref="AF255:AH255"/>
    <mergeCell ref="AK255:AL255"/>
    <mergeCell ref="AC256:AD256"/>
    <mergeCell ref="AF256:AH256"/>
    <mergeCell ref="AK256:AL256"/>
    <mergeCell ref="AC257:AD257"/>
    <mergeCell ref="AF257:AH257"/>
    <mergeCell ref="AK257:AL257"/>
    <mergeCell ref="AC258:AD258"/>
    <mergeCell ref="AF258:AH258"/>
    <mergeCell ref="AK258:AL258"/>
    <mergeCell ref="AC259:AD259"/>
    <mergeCell ref="AF259:AH259"/>
    <mergeCell ref="AK259:AL259"/>
    <mergeCell ref="AC260:AD260"/>
    <mergeCell ref="AF260:AH260"/>
    <mergeCell ref="AK260:AL260"/>
    <mergeCell ref="AC239:AD239"/>
    <mergeCell ref="AF239:AH239"/>
    <mergeCell ref="AK239:AL239"/>
    <mergeCell ref="AC240:AD240"/>
    <mergeCell ref="AF240:AH240"/>
    <mergeCell ref="AK240:AL240"/>
    <mergeCell ref="AC241:AD241"/>
    <mergeCell ref="AF241:AH241"/>
    <mergeCell ref="AK241:AL241"/>
    <mergeCell ref="AC242:AD242"/>
    <mergeCell ref="AF242:AH242"/>
    <mergeCell ref="AK242:AL242"/>
    <mergeCell ref="AC243:AD243"/>
    <mergeCell ref="AF243:AH243"/>
    <mergeCell ref="AK243:AL243"/>
    <mergeCell ref="AC244:AD244"/>
    <mergeCell ref="AF244:AH244"/>
    <mergeCell ref="AK244:AL244"/>
    <mergeCell ref="AC245:AD245"/>
    <mergeCell ref="AF245:AH245"/>
    <mergeCell ref="AK245:AL245"/>
    <mergeCell ref="AC246:AD246"/>
    <mergeCell ref="AF246:AH246"/>
    <mergeCell ref="AK246:AL246"/>
    <mergeCell ref="AC247:AD247"/>
    <mergeCell ref="AF247:AH247"/>
    <mergeCell ref="AK247:AL247"/>
    <mergeCell ref="AC248:AD248"/>
    <mergeCell ref="AF248:AH248"/>
    <mergeCell ref="AK248:AL248"/>
    <mergeCell ref="AC249:AD249"/>
    <mergeCell ref="AF249:AH249"/>
    <mergeCell ref="AK249:AL249"/>
    <mergeCell ref="AC228:AD228"/>
    <mergeCell ref="AF228:AH228"/>
    <mergeCell ref="AK228:AL228"/>
    <mergeCell ref="AC229:AD229"/>
    <mergeCell ref="AF229:AH229"/>
    <mergeCell ref="AK229:AL229"/>
    <mergeCell ref="AC230:AD230"/>
    <mergeCell ref="AF230:AH230"/>
    <mergeCell ref="AK230:AL230"/>
    <mergeCell ref="AC231:AD231"/>
    <mergeCell ref="AF231:AH231"/>
    <mergeCell ref="AK231:AL231"/>
    <mergeCell ref="AC232:AD232"/>
    <mergeCell ref="AF232:AH232"/>
    <mergeCell ref="AK232:AL232"/>
    <mergeCell ref="AC233:AD233"/>
    <mergeCell ref="AF233:AH233"/>
    <mergeCell ref="AK233:AL233"/>
    <mergeCell ref="AC234:AD234"/>
    <mergeCell ref="AF234:AH234"/>
    <mergeCell ref="AK234:AL234"/>
    <mergeCell ref="AC235:AD235"/>
    <mergeCell ref="AF235:AH235"/>
    <mergeCell ref="AK235:AL235"/>
    <mergeCell ref="AC236:AD236"/>
    <mergeCell ref="AF236:AH236"/>
    <mergeCell ref="AK236:AL236"/>
    <mergeCell ref="AC237:AD237"/>
    <mergeCell ref="AF237:AH237"/>
    <mergeCell ref="AK237:AL237"/>
    <mergeCell ref="AC238:AD238"/>
    <mergeCell ref="AF238:AH238"/>
    <mergeCell ref="AK238:AL238"/>
    <mergeCell ref="AC217:AD217"/>
    <mergeCell ref="AF217:AH217"/>
    <mergeCell ref="AK217:AL217"/>
    <mergeCell ref="AC218:AD218"/>
    <mergeCell ref="AF218:AH218"/>
    <mergeCell ref="AK218:AL218"/>
    <mergeCell ref="AC219:AD219"/>
    <mergeCell ref="AF219:AH219"/>
    <mergeCell ref="AK219:AL219"/>
    <mergeCell ref="AC220:AD220"/>
    <mergeCell ref="AF220:AH220"/>
    <mergeCell ref="AK220:AL220"/>
    <mergeCell ref="AC221:AD221"/>
    <mergeCell ref="AF221:AH221"/>
    <mergeCell ref="AK221:AL221"/>
    <mergeCell ref="AC222:AD222"/>
    <mergeCell ref="AF222:AH222"/>
    <mergeCell ref="AK222:AL222"/>
    <mergeCell ref="AC223:AD223"/>
    <mergeCell ref="AF223:AH223"/>
    <mergeCell ref="AK223:AL223"/>
    <mergeCell ref="AC224:AD224"/>
    <mergeCell ref="AF224:AH224"/>
    <mergeCell ref="AK224:AL224"/>
    <mergeCell ref="AC225:AD225"/>
    <mergeCell ref="AF225:AH225"/>
    <mergeCell ref="AK225:AL225"/>
    <mergeCell ref="AC226:AD226"/>
    <mergeCell ref="AF226:AH226"/>
    <mergeCell ref="AK226:AL226"/>
    <mergeCell ref="AC227:AD227"/>
    <mergeCell ref="AF227:AH227"/>
    <mergeCell ref="AK227:AL227"/>
    <mergeCell ref="AC206:AD206"/>
    <mergeCell ref="AF206:AH206"/>
    <mergeCell ref="AK206:AL206"/>
    <mergeCell ref="AC207:AD207"/>
    <mergeCell ref="AF207:AH207"/>
    <mergeCell ref="AK207:AL207"/>
    <mergeCell ref="AC208:AD208"/>
    <mergeCell ref="AF208:AH208"/>
    <mergeCell ref="AK208:AL208"/>
    <mergeCell ref="AC209:AD209"/>
    <mergeCell ref="AF209:AH209"/>
    <mergeCell ref="AK209:AL209"/>
    <mergeCell ref="AC210:AD210"/>
    <mergeCell ref="AF210:AH210"/>
    <mergeCell ref="AK210:AL210"/>
    <mergeCell ref="AC211:AD211"/>
    <mergeCell ref="AF211:AH211"/>
    <mergeCell ref="AK211:AL211"/>
    <mergeCell ref="AC212:AD212"/>
    <mergeCell ref="AF212:AH212"/>
    <mergeCell ref="AK212:AL212"/>
    <mergeCell ref="AC213:AD213"/>
    <mergeCell ref="AF213:AH213"/>
    <mergeCell ref="AK213:AL213"/>
    <mergeCell ref="AC214:AD214"/>
    <mergeCell ref="AF214:AH214"/>
    <mergeCell ref="AK214:AL214"/>
    <mergeCell ref="AC215:AD215"/>
    <mergeCell ref="AF215:AH215"/>
    <mergeCell ref="AK215:AL215"/>
    <mergeCell ref="AC216:AD216"/>
    <mergeCell ref="AF216:AH216"/>
    <mergeCell ref="AK216:AL216"/>
    <mergeCell ref="AC195:AD195"/>
    <mergeCell ref="AF195:AH195"/>
    <mergeCell ref="AK195:AL195"/>
    <mergeCell ref="AC196:AD196"/>
    <mergeCell ref="AF196:AH196"/>
    <mergeCell ref="AK196:AL196"/>
    <mergeCell ref="AC197:AD197"/>
    <mergeCell ref="AF197:AH197"/>
    <mergeCell ref="AK197:AL197"/>
    <mergeCell ref="AC198:AD198"/>
    <mergeCell ref="AF198:AH198"/>
    <mergeCell ref="AK198:AL198"/>
    <mergeCell ref="AC199:AD199"/>
    <mergeCell ref="AF199:AH199"/>
    <mergeCell ref="AK199:AL199"/>
    <mergeCell ref="AC200:AD200"/>
    <mergeCell ref="AF200:AH200"/>
    <mergeCell ref="AK200:AL200"/>
    <mergeCell ref="AC201:AD201"/>
    <mergeCell ref="AF201:AH201"/>
    <mergeCell ref="AK201:AL201"/>
    <mergeCell ref="AC202:AD202"/>
    <mergeCell ref="AF202:AH202"/>
    <mergeCell ref="AK202:AL202"/>
    <mergeCell ref="AC203:AD203"/>
    <mergeCell ref="AF203:AH203"/>
    <mergeCell ref="AK203:AL203"/>
    <mergeCell ref="AC204:AD204"/>
    <mergeCell ref="AF204:AH204"/>
    <mergeCell ref="AK204:AL204"/>
    <mergeCell ref="AC205:AD205"/>
    <mergeCell ref="AF205:AH205"/>
    <mergeCell ref="AK205:AL205"/>
    <mergeCell ref="AC184:AD184"/>
    <mergeCell ref="AF184:AH184"/>
    <mergeCell ref="AK184:AL184"/>
    <mergeCell ref="AC185:AD185"/>
    <mergeCell ref="AF185:AH185"/>
    <mergeCell ref="AK185:AL185"/>
    <mergeCell ref="AC186:AD186"/>
    <mergeCell ref="AF186:AH186"/>
    <mergeCell ref="AK186:AL186"/>
    <mergeCell ref="AC187:AD187"/>
    <mergeCell ref="AF187:AH187"/>
    <mergeCell ref="AK187:AL187"/>
    <mergeCell ref="AC188:AD188"/>
    <mergeCell ref="AF188:AH188"/>
    <mergeCell ref="AK188:AL188"/>
    <mergeCell ref="AC189:AD189"/>
    <mergeCell ref="AF189:AH189"/>
    <mergeCell ref="AK189:AL189"/>
    <mergeCell ref="AC190:AD190"/>
    <mergeCell ref="AF190:AH190"/>
    <mergeCell ref="AK190:AL190"/>
    <mergeCell ref="AC191:AD191"/>
    <mergeCell ref="AF191:AH191"/>
    <mergeCell ref="AK191:AL191"/>
    <mergeCell ref="AC192:AD192"/>
    <mergeCell ref="AF192:AH192"/>
    <mergeCell ref="AK192:AL192"/>
    <mergeCell ref="AC193:AD193"/>
    <mergeCell ref="AF193:AH193"/>
    <mergeCell ref="AK193:AL193"/>
    <mergeCell ref="AC194:AD194"/>
    <mergeCell ref="AF194:AH194"/>
    <mergeCell ref="AK194:AL194"/>
    <mergeCell ref="AC173:AD173"/>
    <mergeCell ref="AF173:AH173"/>
    <mergeCell ref="AK173:AL173"/>
    <mergeCell ref="AC174:AD174"/>
    <mergeCell ref="AF174:AH174"/>
    <mergeCell ref="AK174:AL174"/>
    <mergeCell ref="AC175:AD175"/>
    <mergeCell ref="AF175:AH175"/>
    <mergeCell ref="AK175:AL175"/>
    <mergeCell ref="AC176:AD176"/>
    <mergeCell ref="AF176:AH176"/>
    <mergeCell ref="AK176:AL176"/>
    <mergeCell ref="AC177:AD177"/>
    <mergeCell ref="AF177:AH177"/>
    <mergeCell ref="AK177:AL177"/>
    <mergeCell ref="AC178:AD178"/>
    <mergeCell ref="AF178:AH178"/>
    <mergeCell ref="AK178:AL178"/>
    <mergeCell ref="AC179:AD179"/>
    <mergeCell ref="AF179:AH179"/>
    <mergeCell ref="AK179:AL179"/>
    <mergeCell ref="AC180:AD180"/>
    <mergeCell ref="AF180:AH180"/>
    <mergeCell ref="AK180:AL180"/>
    <mergeCell ref="AC181:AD181"/>
    <mergeCell ref="AF181:AH181"/>
    <mergeCell ref="AK181:AL181"/>
    <mergeCell ref="AC182:AD182"/>
    <mergeCell ref="AF182:AH182"/>
    <mergeCell ref="AK182:AL182"/>
    <mergeCell ref="AC183:AD183"/>
    <mergeCell ref="AF183:AH183"/>
    <mergeCell ref="AK183:AL183"/>
    <mergeCell ref="AC162:AD162"/>
    <mergeCell ref="AF162:AH162"/>
    <mergeCell ref="AK162:AL162"/>
    <mergeCell ref="AC163:AD163"/>
    <mergeCell ref="AF163:AH163"/>
    <mergeCell ref="AK163:AL163"/>
    <mergeCell ref="AC164:AD164"/>
    <mergeCell ref="AF164:AH164"/>
    <mergeCell ref="AK164:AL164"/>
    <mergeCell ref="AC165:AD165"/>
    <mergeCell ref="AF165:AH165"/>
    <mergeCell ref="AK165:AL165"/>
    <mergeCell ref="AC166:AD166"/>
    <mergeCell ref="AF166:AH166"/>
    <mergeCell ref="AK166:AL166"/>
    <mergeCell ref="AC167:AD167"/>
    <mergeCell ref="AF167:AH167"/>
    <mergeCell ref="AK167:AL167"/>
    <mergeCell ref="AC168:AD168"/>
    <mergeCell ref="AF168:AH168"/>
    <mergeCell ref="AK168:AL168"/>
    <mergeCell ref="AC169:AD169"/>
    <mergeCell ref="AF169:AH169"/>
    <mergeCell ref="AK169:AL169"/>
    <mergeCell ref="AC170:AD170"/>
    <mergeCell ref="AF170:AH170"/>
    <mergeCell ref="AK170:AL170"/>
    <mergeCell ref="AC171:AD171"/>
    <mergeCell ref="AF171:AH171"/>
    <mergeCell ref="AK171:AL171"/>
    <mergeCell ref="AC172:AD172"/>
    <mergeCell ref="AF172:AH172"/>
    <mergeCell ref="AK172:AL172"/>
    <mergeCell ref="AC151:AD151"/>
    <mergeCell ref="AF151:AH151"/>
    <mergeCell ref="AK151:AL151"/>
    <mergeCell ref="AC152:AD152"/>
    <mergeCell ref="AF152:AH152"/>
    <mergeCell ref="AK152:AL152"/>
    <mergeCell ref="AC153:AD153"/>
    <mergeCell ref="AF153:AH153"/>
    <mergeCell ref="AK153:AL153"/>
    <mergeCell ref="AC154:AD154"/>
    <mergeCell ref="AF154:AH154"/>
    <mergeCell ref="AK154:AL154"/>
    <mergeCell ref="AC155:AD155"/>
    <mergeCell ref="AF155:AH155"/>
    <mergeCell ref="AK155:AL155"/>
    <mergeCell ref="AC156:AD156"/>
    <mergeCell ref="AF156:AH156"/>
    <mergeCell ref="AK156:AL156"/>
    <mergeCell ref="AC157:AD157"/>
    <mergeCell ref="AF157:AH157"/>
    <mergeCell ref="AK157:AL157"/>
    <mergeCell ref="AC158:AD158"/>
    <mergeCell ref="AF158:AH158"/>
    <mergeCell ref="AK158:AL158"/>
    <mergeCell ref="AC159:AD159"/>
    <mergeCell ref="AF159:AH159"/>
    <mergeCell ref="AK159:AL159"/>
    <mergeCell ref="AC160:AD160"/>
    <mergeCell ref="AF160:AH160"/>
    <mergeCell ref="AK160:AL160"/>
    <mergeCell ref="AC161:AD161"/>
    <mergeCell ref="AF161:AH161"/>
    <mergeCell ref="AK161:AL161"/>
    <mergeCell ref="AC140:AD140"/>
    <mergeCell ref="AF140:AH140"/>
    <mergeCell ref="AK140:AL140"/>
    <mergeCell ref="AC141:AD141"/>
    <mergeCell ref="AF141:AH141"/>
    <mergeCell ref="AK141:AL141"/>
    <mergeCell ref="AC142:AD142"/>
    <mergeCell ref="AF142:AH142"/>
    <mergeCell ref="AK142:AL142"/>
    <mergeCell ref="AC143:AD143"/>
    <mergeCell ref="AF143:AH143"/>
    <mergeCell ref="AK143:AL143"/>
    <mergeCell ref="AC144:AD144"/>
    <mergeCell ref="AF144:AH144"/>
    <mergeCell ref="AK144:AL144"/>
    <mergeCell ref="AC145:AD145"/>
    <mergeCell ref="AF145:AH145"/>
    <mergeCell ref="AK145:AL145"/>
    <mergeCell ref="AC146:AD146"/>
    <mergeCell ref="AF146:AH146"/>
    <mergeCell ref="AK146:AL146"/>
    <mergeCell ref="AC147:AD147"/>
    <mergeCell ref="AF147:AH147"/>
    <mergeCell ref="AK147:AL147"/>
    <mergeCell ref="AC148:AD148"/>
    <mergeCell ref="AF148:AH148"/>
    <mergeCell ref="AK148:AL148"/>
    <mergeCell ref="AC149:AD149"/>
    <mergeCell ref="AF149:AH149"/>
    <mergeCell ref="AK149:AL149"/>
    <mergeCell ref="AC150:AD150"/>
    <mergeCell ref="AF150:AH150"/>
    <mergeCell ref="AK150:AL150"/>
    <mergeCell ref="AC129:AD129"/>
    <mergeCell ref="AF129:AH129"/>
    <mergeCell ref="AK129:AL129"/>
    <mergeCell ref="AC130:AD130"/>
    <mergeCell ref="AF130:AH130"/>
    <mergeCell ref="AK130:AL130"/>
    <mergeCell ref="AC131:AD131"/>
    <mergeCell ref="AF131:AH131"/>
    <mergeCell ref="AK131:AL131"/>
    <mergeCell ref="AC132:AD132"/>
    <mergeCell ref="AF132:AH132"/>
    <mergeCell ref="AK132:AL132"/>
    <mergeCell ref="AC133:AD133"/>
    <mergeCell ref="AF133:AH133"/>
    <mergeCell ref="AK133:AL133"/>
    <mergeCell ref="AC134:AD134"/>
    <mergeCell ref="AF134:AH134"/>
    <mergeCell ref="AK134:AL134"/>
    <mergeCell ref="AC135:AD135"/>
    <mergeCell ref="AF135:AH135"/>
    <mergeCell ref="AK135:AL135"/>
    <mergeCell ref="AC136:AD136"/>
    <mergeCell ref="AF136:AH136"/>
    <mergeCell ref="AK136:AL136"/>
    <mergeCell ref="AC137:AD137"/>
    <mergeCell ref="AF137:AH137"/>
    <mergeCell ref="AK137:AL137"/>
    <mergeCell ref="AC138:AD138"/>
    <mergeCell ref="AF138:AH138"/>
    <mergeCell ref="AK138:AL138"/>
    <mergeCell ref="AC139:AD139"/>
    <mergeCell ref="AF139:AH139"/>
    <mergeCell ref="AK139:AL139"/>
    <mergeCell ref="AC118:AD118"/>
    <mergeCell ref="AF118:AH118"/>
    <mergeCell ref="AK118:AL118"/>
    <mergeCell ref="AC119:AD119"/>
    <mergeCell ref="AF119:AH119"/>
    <mergeCell ref="AK119:AL119"/>
    <mergeCell ref="AC120:AD120"/>
    <mergeCell ref="AF120:AH120"/>
    <mergeCell ref="AK120:AL120"/>
    <mergeCell ref="AC121:AD121"/>
    <mergeCell ref="AF121:AH121"/>
    <mergeCell ref="AK121:AL121"/>
    <mergeCell ref="AC122:AD122"/>
    <mergeCell ref="AF122:AH122"/>
    <mergeCell ref="AK122:AL122"/>
    <mergeCell ref="AC123:AD123"/>
    <mergeCell ref="AF123:AH123"/>
    <mergeCell ref="AK123:AL123"/>
    <mergeCell ref="AC124:AD124"/>
    <mergeCell ref="AF124:AH124"/>
    <mergeCell ref="AK124:AL124"/>
    <mergeCell ref="AC125:AD125"/>
    <mergeCell ref="AF125:AH125"/>
    <mergeCell ref="AK125:AL125"/>
    <mergeCell ref="AC126:AD126"/>
    <mergeCell ref="AF126:AH126"/>
    <mergeCell ref="AK126:AL126"/>
    <mergeCell ref="AC127:AD127"/>
    <mergeCell ref="AF127:AH127"/>
    <mergeCell ref="AK127:AL127"/>
    <mergeCell ref="AC128:AD128"/>
    <mergeCell ref="AF128:AH128"/>
    <mergeCell ref="AK128:AL128"/>
    <mergeCell ref="AC107:AD107"/>
    <mergeCell ref="AF107:AH107"/>
    <mergeCell ref="AK107:AL107"/>
    <mergeCell ref="AC108:AD108"/>
    <mergeCell ref="AF108:AH108"/>
    <mergeCell ref="AK108:AL108"/>
    <mergeCell ref="AC109:AD109"/>
    <mergeCell ref="AF109:AH109"/>
    <mergeCell ref="AK109:AL109"/>
    <mergeCell ref="AC110:AD110"/>
    <mergeCell ref="AF110:AH110"/>
    <mergeCell ref="AK110:AL110"/>
    <mergeCell ref="AC111:AD111"/>
    <mergeCell ref="AF111:AH111"/>
    <mergeCell ref="AK111:AL111"/>
    <mergeCell ref="AC112:AD112"/>
    <mergeCell ref="AF112:AH112"/>
    <mergeCell ref="AK112:AL112"/>
    <mergeCell ref="AC113:AD113"/>
    <mergeCell ref="AF113:AH113"/>
    <mergeCell ref="AK113:AL113"/>
    <mergeCell ref="AC114:AD114"/>
    <mergeCell ref="AF114:AH114"/>
    <mergeCell ref="AK114:AL114"/>
    <mergeCell ref="AC115:AD115"/>
    <mergeCell ref="AF115:AH115"/>
    <mergeCell ref="AK115:AL115"/>
    <mergeCell ref="AC116:AD116"/>
    <mergeCell ref="AF116:AH116"/>
    <mergeCell ref="AK116:AL116"/>
    <mergeCell ref="AC117:AD117"/>
    <mergeCell ref="AF117:AH117"/>
    <mergeCell ref="AK117:AL117"/>
    <mergeCell ref="AC96:AD96"/>
    <mergeCell ref="AF96:AH96"/>
    <mergeCell ref="AK96:AL96"/>
    <mergeCell ref="AC97:AD97"/>
    <mergeCell ref="AF97:AH97"/>
    <mergeCell ref="AK97:AL97"/>
    <mergeCell ref="AC98:AD98"/>
    <mergeCell ref="AF98:AH98"/>
    <mergeCell ref="AK98:AL98"/>
    <mergeCell ref="AC99:AD99"/>
    <mergeCell ref="AF99:AH99"/>
    <mergeCell ref="AK99:AL99"/>
    <mergeCell ref="AC100:AD100"/>
    <mergeCell ref="AF100:AH100"/>
    <mergeCell ref="AK100:AL100"/>
    <mergeCell ref="AC101:AD101"/>
    <mergeCell ref="AF101:AH101"/>
    <mergeCell ref="AK101:AL101"/>
    <mergeCell ref="AC102:AD102"/>
    <mergeCell ref="AF102:AH102"/>
    <mergeCell ref="AK102:AL102"/>
    <mergeCell ref="AC103:AD103"/>
    <mergeCell ref="AF103:AH103"/>
    <mergeCell ref="AK103:AL103"/>
    <mergeCell ref="AC104:AD104"/>
    <mergeCell ref="AF104:AH104"/>
    <mergeCell ref="AK104:AL104"/>
    <mergeCell ref="AC105:AD105"/>
    <mergeCell ref="AF105:AH105"/>
    <mergeCell ref="AK105:AL105"/>
    <mergeCell ref="AC106:AD106"/>
    <mergeCell ref="AF106:AH106"/>
    <mergeCell ref="AK106:AL106"/>
    <mergeCell ref="AC85:AD85"/>
    <mergeCell ref="AF85:AH85"/>
    <mergeCell ref="AK85:AL85"/>
    <mergeCell ref="AC86:AD86"/>
    <mergeCell ref="AF86:AH86"/>
    <mergeCell ref="AK86:AL86"/>
    <mergeCell ref="AC87:AD87"/>
    <mergeCell ref="AF87:AH87"/>
    <mergeCell ref="AK87:AL87"/>
    <mergeCell ref="AC88:AD88"/>
    <mergeCell ref="AF88:AH88"/>
    <mergeCell ref="AK88:AL88"/>
    <mergeCell ref="AC89:AD89"/>
    <mergeCell ref="AF89:AH89"/>
    <mergeCell ref="AK89:AL89"/>
    <mergeCell ref="AC90:AD90"/>
    <mergeCell ref="AF90:AH90"/>
    <mergeCell ref="AK90:AL90"/>
    <mergeCell ref="AC91:AD91"/>
    <mergeCell ref="AF91:AH91"/>
    <mergeCell ref="AK91:AL91"/>
    <mergeCell ref="AC92:AD92"/>
    <mergeCell ref="AF92:AH92"/>
    <mergeCell ref="AK92:AL92"/>
    <mergeCell ref="AC93:AD93"/>
    <mergeCell ref="AF93:AH93"/>
    <mergeCell ref="AK93:AL93"/>
    <mergeCell ref="AC94:AD94"/>
    <mergeCell ref="AF94:AH94"/>
    <mergeCell ref="AK94:AL94"/>
    <mergeCell ref="AC95:AD95"/>
    <mergeCell ref="AF95:AH95"/>
    <mergeCell ref="AK95:AL95"/>
    <mergeCell ref="AC74:AD74"/>
    <mergeCell ref="AF74:AH74"/>
    <mergeCell ref="AK74:AL74"/>
    <mergeCell ref="AC75:AD75"/>
    <mergeCell ref="AF75:AH75"/>
    <mergeCell ref="AK75:AL75"/>
    <mergeCell ref="AC76:AD76"/>
    <mergeCell ref="AF76:AH76"/>
    <mergeCell ref="AK76:AL76"/>
    <mergeCell ref="AC77:AD77"/>
    <mergeCell ref="AF77:AH77"/>
    <mergeCell ref="AK77:AL77"/>
    <mergeCell ref="AC78:AD78"/>
    <mergeCell ref="AF78:AH78"/>
    <mergeCell ref="AK78:AL78"/>
    <mergeCell ref="AC79:AD79"/>
    <mergeCell ref="AF79:AH79"/>
    <mergeCell ref="AK79:AL79"/>
    <mergeCell ref="AC80:AD80"/>
    <mergeCell ref="AF80:AH80"/>
    <mergeCell ref="AK80:AL80"/>
    <mergeCell ref="AC81:AD81"/>
    <mergeCell ref="AF81:AH81"/>
    <mergeCell ref="AK81:AL81"/>
    <mergeCell ref="AC82:AD82"/>
    <mergeCell ref="AF82:AH82"/>
    <mergeCell ref="AK82:AL82"/>
    <mergeCell ref="AC83:AD83"/>
    <mergeCell ref="AF83:AH83"/>
    <mergeCell ref="AK83:AL83"/>
    <mergeCell ref="AC84:AD84"/>
    <mergeCell ref="AF84:AH84"/>
    <mergeCell ref="AK84:AL84"/>
    <mergeCell ref="AC63:AD63"/>
    <mergeCell ref="AF63:AH63"/>
    <mergeCell ref="AK63:AL63"/>
    <mergeCell ref="AC64:AD64"/>
    <mergeCell ref="AF64:AH64"/>
    <mergeCell ref="AK64:AL64"/>
    <mergeCell ref="AC65:AD65"/>
    <mergeCell ref="AF65:AH65"/>
    <mergeCell ref="AK65:AL65"/>
    <mergeCell ref="AC66:AD66"/>
    <mergeCell ref="AF66:AH66"/>
    <mergeCell ref="AK66:AL66"/>
    <mergeCell ref="AC67:AD67"/>
    <mergeCell ref="AF67:AH67"/>
    <mergeCell ref="AK67:AL67"/>
    <mergeCell ref="AC68:AD68"/>
    <mergeCell ref="AF68:AH68"/>
    <mergeCell ref="AK68:AL68"/>
    <mergeCell ref="AC69:AD69"/>
    <mergeCell ref="AF69:AH69"/>
    <mergeCell ref="AK69:AL69"/>
    <mergeCell ref="AC70:AD70"/>
    <mergeCell ref="AF70:AH70"/>
    <mergeCell ref="AK70:AL70"/>
    <mergeCell ref="AC71:AD71"/>
    <mergeCell ref="AF71:AH71"/>
    <mergeCell ref="AK71:AL71"/>
    <mergeCell ref="AC72:AD72"/>
    <mergeCell ref="AF72:AH72"/>
    <mergeCell ref="AK72:AL72"/>
    <mergeCell ref="AC73:AD73"/>
    <mergeCell ref="AF73:AH73"/>
    <mergeCell ref="AK73:AL73"/>
    <mergeCell ref="AC52:AD52"/>
    <mergeCell ref="AF52:AH52"/>
    <mergeCell ref="AK52:AL52"/>
    <mergeCell ref="AC53:AD53"/>
    <mergeCell ref="AF53:AH53"/>
    <mergeCell ref="AK53:AL53"/>
    <mergeCell ref="AC54:AD54"/>
    <mergeCell ref="AF54:AH54"/>
    <mergeCell ref="AK54:AL54"/>
    <mergeCell ref="AC55:AD55"/>
    <mergeCell ref="AF55:AH55"/>
    <mergeCell ref="AK55:AL55"/>
    <mergeCell ref="AC56:AD56"/>
    <mergeCell ref="AF56:AH56"/>
    <mergeCell ref="AK56:AL56"/>
    <mergeCell ref="AC57:AD57"/>
    <mergeCell ref="AF57:AH57"/>
    <mergeCell ref="AK57:AL57"/>
    <mergeCell ref="AC58:AD58"/>
    <mergeCell ref="AF58:AH58"/>
    <mergeCell ref="AK58:AL58"/>
    <mergeCell ref="AC59:AD59"/>
    <mergeCell ref="AF59:AH59"/>
    <mergeCell ref="AK59:AL59"/>
    <mergeCell ref="AC60:AD60"/>
    <mergeCell ref="AF60:AH60"/>
    <mergeCell ref="AK60:AL60"/>
    <mergeCell ref="AC61:AD61"/>
    <mergeCell ref="AF61:AH61"/>
    <mergeCell ref="AK61:AL61"/>
    <mergeCell ref="AC62:AD62"/>
    <mergeCell ref="AF62:AH62"/>
    <mergeCell ref="AK62:AL62"/>
    <mergeCell ref="AC41:AD41"/>
    <mergeCell ref="AF41:AH41"/>
    <mergeCell ref="AK41:AL41"/>
    <mergeCell ref="AC42:AD42"/>
    <mergeCell ref="AF42:AH42"/>
    <mergeCell ref="AK42:AL42"/>
    <mergeCell ref="AC43:AD43"/>
    <mergeCell ref="AF43:AH43"/>
    <mergeCell ref="AK43:AL43"/>
    <mergeCell ref="AC44:AD44"/>
    <mergeCell ref="AF44:AH44"/>
    <mergeCell ref="AK44:AL44"/>
    <mergeCell ref="AC45:AD45"/>
    <mergeCell ref="AF45:AH45"/>
    <mergeCell ref="AK45:AL45"/>
    <mergeCell ref="AC46:AD46"/>
    <mergeCell ref="AF46:AH46"/>
    <mergeCell ref="AK46:AL46"/>
    <mergeCell ref="AC47:AD47"/>
    <mergeCell ref="AF47:AH47"/>
    <mergeCell ref="AK47:AL47"/>
    <mergeCell ref="AC48:AD48"/>
    <mergeCell ref="AF48:AH48"/>
    <mergeCell ref="AK48:AL48"/>
    <mergeCell ref="AC49:AD49"/>
    <mergeCell ref="AF49:AH49"/>
    <mergeCell ref="AK49:AL49"/>
    <mergeCell ref="AC50:AD50"/>
    <mergeCell ref="AF50:AH50"/>
    <mergeCell ref="AK50:AL50"/>
    <mergeCell ref="AC51:AD51"/>
    <mergeCell ref="AF51:AH51"/>
    <mergeCell ref="AK51:AL51"/>
    <mergeCell ref="AC30:AD30"/>
    <mergeCell ref="AF30:AH30"/>
    <mergeCell ref="AK30:AL30"/>
    <mergeCell ref="AC31:AD31"/>
    <mergeCell ref="AF31:AH31"/>
    <mergeCell ref="AK31:AL31"/>
    <mergeCell ref="AC32:AD32"/>
    <mergeCell ref="AF32:AH32"/>
    <mergeCell ref="AK32:AL32"/>
    <mergeCell ref="AC33:AD33"/>
    <mergeCell ref="AF33:AH33"/>
    <mergeCell ref="AK33:AL33"/>
    <mergeCell ref="AC34:AD34"/>
    <mergeCell ref="AF34:AH34"/>
    <mergeCell ref="AK34:AL34"/>
    <mergeCell ref="AC35:AD35"/>
    <mergeCell ref="AF35:AH35"/>
    <mergeCell ref="AK35:AL35"/>
    <mergeCell ref="AC36:AD36"/>
    <mergeCell ref="AF36:AH36"/>
    <mergeCell ref="AK36:AL36"/>
    <mergeCell ref="AC37:AD37"/>
    <mergeCell ref="AF37:AH37"/>
    <mergeCell ref="AK37:AL37"/>
    <mergeCell ref="AC38:AD38"/>
    <mergeCell ref="AF38:AH38"/>
    <mergeCell ref="AK38:AL38"/>
    <mergeCell ref="AC39:AD39"/>
    <mergeCell ref="AF39:AH39"/>
    <mergeCell ref="AK39:AL39"/>
    <mergeCell ref="AC40:AD40"/>
    <mergeCell ref="AF40:AH40"/>
    <mergeCell ref="AK40:AL40"/>
    <mergeCell ref="AC19:AD19"/>
    <mergeCell ref="AF19:AH19"/>
    <mergeCell ref="AK19:AL19"/>
    <mergeCell ref="AC20:AD20"/>
    <mergeCell ref="AF20:AH20"/>
    <mergeCell ref="AK20:AL20"/>
    <mergeCell ref="AC21:AD21"/>
    <mergeCell ref="AF21:AH21"/>
    <mergeCell ref="AK21:AL21"/>
    <mergeCell ref="AC22:AD22"/>
    <mergeCell ref="AF22:AH22"/>
    <mergeCell ref="AK22:AL22"/>
    <mergeCell ref="AC23:AD23"/>
    <mergeCell ref="AF23:AH23"/>
    <mergeCell ref="AK23:AL23"/>
    <mergeCell ref="AC24:AD24"/>
    <mergeCell ref="AF24:AH24"/>
    <mergeCell ref="AK24:AL24"/>
    <mergeCell ref="AC25:AD25"/>
    <mergeCell ref="AF25:AH25"/>
    <mergeCell ref="AK25:AL25"/>
    <mergeCell ref="AC26:AD26"/>
    <mergeCell ref="AF26:AH26"/>
    <mergeCell ref="AK26:AL26"/>
    <mergeCell ref="AC27:AD27"/>
    <mergeCell ref="AF27:AH27"/>
    <mergeCell ref="AK27:AL27"/>
    <mergeCell ref="AC28:AD28"/>
    <mergeCell ref="AF28:AH28"/>
    <mergeCell ref="AK28:AL28"/>
    <mergeCell ref="AC29:AD29"/>
    <mergeCell ref="AF29:AH29"/>
    <mergeCell ref="AK29:AL29"/>
    <mergeCell ref="K4371:L4371"/>
    <mergeCell ref="K4374:L4374"/>
    <mergeCell ref="K4377:L4377"/>
    <mergeCell ref="K4380:L4380"/>
    <mergeCell ref="K4388:L4388"/>
    <mergeCell ref="K4393:L4393"/>
    <mergeCell ref="K4400:L4400"/>
    <mergeCell ref="K861:L861"/>
    <mergeCell ref="K4409:L4409"/>
    <mergeCell ref="K4412:L4412"/>
    <mergeCell ref="K4305:L4305"/>
    <mergeCell ref="K4306:L4306"/>
    <mergeCell ref="K4307:L4307"/>
    <mergeCell ref="K4308:L4308"/>
    <mergeCell ref="K4309:L4309"/>
    <mergeCell ref="K4310:L4310"/>
    <mergeCell ref="K4311:L4311"/>
    <mergeCell ref="K4312:L4312"/>
    <mergeCell ref="K4313:L4313"/>
    <mergeCell ref="K4316:L4316"/>
    <mergeCell ref="K4319:L4319"/>
    <mergeCell ref="K4320:L4320"/>
    <mergeCell ref="K4321:L4321"/>
    <mergeCell ref="K4324:L4324"/>
    <mergeCell ref="K4327:L4327"/>
    <mergeCell ref="K4328:L4328"/>
    <mergeCell ref="K4331:L4331"/>
    <mergeCell ref="K4334:L4334"/>
    <mergeCell ref="K4337:L4337"/>
    <mergeCell ref="K4338:L4338"/>
    <mergeCell ref="K4339:L4339"/>
    <mergeCell ref="K4340:L4340"/>
    <mergeCell ref="K4341:L4341"/>
    <mergeCell ref="K4344:L4344"/>
    <mergeCell ref="K4347:L4347"/>
    <mergeCell ref="K4348:L4348"/>
    <mergeCell ref="K4349:L4349"/>
    <mergeCell ref="K4350:L4350"/>
    <mergeCell ref="K4354:L4354"/>
    <mergeCell ref="K4357:L4357"/>
    <mergeCell ref="K4358:L4358"/>
    <mergeCell ref="K4363:L4363"/>
    <mergeCell ref="K4368:L4368"/>
    <mergeCell ref="K4394:L4394"/>
    <mergeCell ref="K4162:L4162"/>
    <mergeCell ref="K4165:L4165"/>
    <mergeCell ref="K4176:L4176"/>
    <mergeCell ref="K4177:L4177"/>
    <mergeCell ref="K4186:L4186"/>
    <mergeCell ref="K4189:L4189"/>
    <mergeCell ref="K4196:L4196"/>
    <mergeCell ref="K4197:L4197"/>
    <mergeCell ref="K4198:L4198"/>
    <mergeCell ref="K4202:L4202"/>
    <mergeCell ref="K4213:L4213"/>
    <mergeCell ref="K4221:L4221"/>
    <mergeCell ref="K4223:L4223"/>
    <mergeCell ref="K4224:L4224"/>
    <mergeCell ref="K4249:L4249"/>
    <mergeCell ref="K4255:L4255"/>
    <mergeCell ref="K4256:L4256"/>
    <mergeCell ref="K4268:L4268"/>
    <mergeCell ref="K4271:L4271"/>
    <mergeCell ref="K4274:L4274"/>
    <mergeCell ref="K4278:L4278"/>
    <mergeCell ref="K4282:L4282"/>
    <mergeCell ref="K4285:L4285"/>
    <mergeCell ref="K4286:L4286"/>
    <mergeCell ref="K4287:L4287"/>
    <mergeCell ref="K4288:L4288"/>
    <mergeCell ref="K4289:L4289"/>
    <mergeCell ref="K4290:L4290"/>
    <mergeCell ref="K4291:L4291"/>
    <mergeCell ref="K4293:L4293"/>
    <mergeCell ref="K4296:L4296"/>
    <mergeCell ref="K4299:L4299"/>
    <mergeCell ref="K4302:L4302"/>
    <mergeCell ref="K3935:L3935"/>
    <mergeCell ref="K3941:L3941"/>
    <mergeCell ref="K3942:L3942"/>
    <mergeCell ref="K3944:L3944"/>
    <mergeCell ref="K3945:L3945"/>
    <mergeCell ref="K3948:L3948"/>
    <mergeCell ref="K3951:L3951"/>
    <mergeCell ref="K3955:L3955"/>
    <mergeCell ref="K3970:L3970"/>
    <mergeCell ref="K3973:L3973"/>
    <mergeCell ref="K3979:L3979"/>
    <mergeCell ref="K3982:L3982"/>
    <mergeCell ref="K3983:L3983"/>
    <mergeCell ref="K3984:L3984"/>
    <mergeCell ref="K3987:L3987"/>
    <mergeCell ref="K3988:L3988"/>
    <mergeCell ref="K3996:L3996"/>
    <mergeCell ref="K4003:L4003"/>
    <mergeCell ref="K4007:L4007"/>
    <mergeCell ref="K4022:L4022"/>
    <mergeCell ref="K4023:L4023"/>
    <mergeCell ref="K4024:L4024"/>
    <mergeCell ref="K4027:L4027"/>
    <mergeCell ref="K4030:L4030"/>
    <mergeCell ref="K4031:L4031"/>
    <mergeCell ref="K4036:L4036"/>
    <mergeCell ref="K4037:L4037"/>
    <mergeCell ref="K4041:L4041"/>
    <mergeCell ref="K4044:L4044"/>
    <mergeCell ref="K4045:L4045"/>
    <mergeCell ref="K4046:L4046"/>
    <mergeCell ref="K4047:L4047"/>
    <mergeCell ref="K4050:L4050"/>
    <mergeCell ref="K3989:L3989"/>
    <mergeCell ref="K3993:L3993"/>
    <mergeCell ref="K3999:L3999"/>
    <mergeCell ref="K4000:L4000"/>
    <mergeCell ref="K3958:L3958"/>
    <mergeCell ref="K3962:L3962"/>
    <mergeCell ref="K3965:L3965"/>
    <mergeCell ref="K3968:L3968"/>
    <mergeCell ref="K3969:L3969"/>
    <mergeCell ref="K3978:L3978"/>
    <mergeCell ref="K3992:L3992"/>
    <mergeCell ref="K4011:L4011"/>
    <mergeCell ref="K4012:L4012"/>
    <mergeCell ref="K4015:L4015"/>
    <mergeCell ref="K4018:L4018"/>
    <mergeCell ref="K4032:L4032"/>
    <mergeCell ref="K4035:L4035"/>
    <mergeCell ref="K4038:L4038"/>
    <mergeCell ref="K3447:L3447"/>
    <mergeCell ref="K3475:L3475"/>
    <mergeCell ref="K3507:L3507"/>
    <mergeCell ref="K3519:L3519"/>
    <mergeCell ref="K3498:L3498"/>
    <mergeCell ref="K3525:L3525"/>
    <mergeCell ref="K3510:L3510"/>
    <mergeCell ref="K3513:L3513"/>
    <mergeCell ref="K3514:L3514"/>
    <mergeCell ref="K3540:L3540"/>
    <mergeCell ref="K3546:L3546"/>
    <mergeCell ref="K3558:L3558"/>
    <mergeCell ref="K3561:L3561"/>
    <mergeCell ref="K3570:L3570"/>
    <mergeCell ref="K3592:L3592"/>
    <mergeCell ref="K3595:L3595"/>
    <mergeCell ref="K3598:L3598"/>
    <mergeCell ref="K3811:L3811"/>
    <mergeCell ref="K3815:L3815"/>
    <mergeCell ref="K3819:L3819"/>
    <mergeCell ref="K3820:L3820"/>
    <mergeCell ref="K3828:L3828"/>
    <mergeCell ref="K3842:L3842"/>
    <mergeCell ref="K3846:L3846"/>
    <mergeCell ref="K3849:L3849"/>
    <mergeCell ref="K3853:L3853"/>
    <mergeCell ref="K3856:L3856"/>
    <mergeCell ref="K3859:L3859"/>
    <mergeCell ref="K3867:L3867"/>
    <mergeCell ref="K3868:L3868"/>
    <mergeCell ref="K3872:L3872"/>
    <mergeCell ref="K3876:L3876"/>
    <mergeCell ref="K3879:L3879"/>
    <mergeCell ref="K3456:L3456"/>
    <mergeCell ref="K3457:L3457"/>
    <mergeCell ref="K3460:L3460"/>
    <mergeCell ref="K3465:L3465"/>
    <mergeCell ref="K3466:L3466"/>
    <mergeCell ref="K3487:L3487"/>
    <mergeCell ref="K3488:L3488"/>
    <mergeCell ref="K3491:L3491"/>
    <mergeCell ref="K3501:L3501"/>
    <mergeCell ref="K3504:L3504"/>
    <mergeCell ref="K3522:L3522"/>
    <mergeCell ref="K3528:L3528"/>
    <mergeCell ref="K3531:L3531"/>
    <mergeCell ref="K3537:L3537"/>
    <mergeCell ref="K3543:L3543"/>
    <mergeCell ref="K3549:L3549"/>
    <mergeCell ref="K3552:L3552"/>
    <mergeCell ref="K3555:L3555"/>
    <mergeCell ref="K3564:L3564"/>
    <mergeCell ref="K3567:L3567"/>
    <mergeCell ref="K3573:L3573"/>
    <mergeCell ref="K3576:L3576"/>
    <mergeCell ref="K3579:L3579"/>
    <mergeCell ref="K3582:L3582"/>
    <mergeCell ref="K3585:L3585"/>
    <mergeCell ref="K3588:L3588"/>
    <mergeCell ref="K3591:L3591"/>
    <mergeCell ref="K3599:L3599"/>
    <mergeCell ref="K3602:L3602"/>
    <mergeCell ref="K3605:L3605"/>
    <mergeCell ref="K3608:L3608"/>
    <mergeCell ref="K3609:L3609"/>
    <mergeCell ref="K3450:L3450"/>
    <mergeCell ref="K3451:L3451"/>
    <mergeCell ref="K3454:L3454"/>
    <mergeCell ref="K3455:L3455"/>
    <mergeCell ref="K3464:L3464"/>
    <mergeCell ref="K3470:L3470"/>
    <mergeCell ref="K3476:L3476"/>
    <mergeCell ref="K3477:L3477"/>
    <mergeCell ref="K3480:L3480"/>
    <mergeCell ref="K3481:L3481"/>
    <mergeCell ref="K3492:L3492"/>
    <mergeCell ref="K3495:L3495"/>
    <mergeCell ref="K3499:L3499"/>
    <mergeCell ref="K3500:L3500"/>
    <mergeCell ref="K3133:L3133"/>
    <mergeCell ref="K3139:L3139"/>
    <mergeCell ref="K3140:L3140"/>
    <mergeCell ref="K3145:L3145"/>
    <mergeCell ref="K3150:L3150"/>
    <mergeCell ref="K3151:L3151"/>
    <mergeCell ref="K3155:L3155"/>
    <mergeCell ref="K3156:L3156"/>
    <mergeCell ref="K3163:L3163"/>
    <mergeCell ref="K3165:L3165"/>
    <mergeCell ref="K3166:L3166"/>
    <mergeCell ref="K3167:L3167"/>
    <mergeCell ref="K3169:L3169"/>
    <mergeCell ref="K3170:L3170"/>
    <mergeCell ref="K3171:L3171"/>
    <mergeCell ref="K3174:L3174"/>
    <mergeCell ref="K3175:L3175"/>
    <mergeCell ref="K3178:L3178"/>
    <mergeCell ref="K3179:L3179"/>
    <mergeCell ref="K3183:L3183"/>
    <mergeCell ref="K3184:L3184"/>
    <mergeCell ref="K3187:L3187"/>
    <mergeCell ref="K3191:L3191"/>
    <mergeCell ref="K3192:L3192"/>
    <mergeCell ref="K3193:L3193"/>
    <mergeCell ref="K3204:L3204"/>
    <mergeCell ref="K3216:L3216"/>
    <mergeCell ref="K3096:L3096"/>
    <mergeCell ref="K3097:L3097"/>
    <mergeCell ref="K3100:L3100"/>
    <mergeCell ref="K3111:L3111"/>
    <mergeCell ref="K3115:L3115"/>
    <mergeCell ref="K3124:L3124"/>
    <mergeCell ref="K3125:L3125"/>
    <mergeCell ref="K3128:L3128"/>
    <mergeCell ref="K3180:L3180"/>
    <mergeCell ref="K3194:L3194"/>
    <mergeCell ref="K3029:L3029"/>
    <mergeCell ref="K3033:L3033"/>
    <mergeCell ref="K3037:L3037"/>
    <mergeCell ref="K3038:L3038"/>
    <mergeCell ref="K3041:L3041"/>
    <mergeCell ref="K3049:L3049"/>
    <mergeCell ref="K3050:L3050"/>
    <mergeCell ref="K3058:L3058"/>
    <mergeCell ref="K3061:L3061"/>
    <mergeCell ref="K3062:L3062"/>
    <mergeCell ref="K3068:L3068"/>
    <mergeCell ref="K3074:L3074"/>
    <mergeCell ref="K3077:L3077"/>
    <mergeCell ref="K3078:L3078"/>
    <mergeCell ref="K3080:L3080"/>
    <mergeCell ref="K3081:L3081"/>
    <mergeCell ref="K3084:L3084"/>
    <mergeCell ref="K3086:L3086"/>
    <mergeCell ref="K3087:L3087"/>
    <mergeCell ref="K3090:L3090"/>
    <mergeCell ref="K3091:L3091"/>
    <mergeCell ref="K3092:L3092"/>
    <mergeCell ref="K3055:L3055"/>
    <mergeCell ref="K3067:L3067"/>
    <mergeCell ref="K3071:L3071"/>
    <mergeCell ref="K3079:L3079"/>
    <mergeCell ref="K3085:L3085"/>
    <mergeCell ref="K3095:L3095"/>
    <mergeCell ref="K3103:L3103"/>
    <mergeCell ref="K3104:L3104"/>
    <mergeCell ref="K3116:L3116"/>
    <mergeCell ref="K3120:L3120"/>
    <mergeCell ref="K3123:L3123"/>
    <mergeCell ref="K3107:L3107"/>
    <mergeCell ref="K2913:L2913"/>
    <mergeCell ref="K2921:L2921"/>
    <mergeCell ref="K2925:L2925"/>
    <mergeCell ref="K2926:L2926"/>
    <mergeCell ref="K2929:L2929"/>
    <mergeCell ref="K2930:L2930"/>
    <mergeCell ref="K2932:L2932"/>
    <mergeCell ref="K2933:L2933"/>
    <mergeCell ref="K2935:L2935"/>
    <mergeCell ref="K2936:L2936"/>
    <mergeCell ref="K2938:L2938"/>
    <mergeCell ref="K2939:L2939"/>
    <mergeCell ref="K2942:L2942"/>
    <mergeCell ref="K2943:L2943"/>
    <mergeCell ref="K2924:L2924"/>
    <mergeCell ref="K2927:L2927"/>
    <mergeCell ref="K2928:L2928"/>
    <mergeCell ref="K2931:L2931"/>
    <mergeCell ref="K2934:L2934"/>
    <mergeCell ref="K2937:L2937"/>
    <mergeCell ref="K2861:L2861"/>
    <mergeCell ref="K2865:L2865"/>
    <mergeCell ref="K2953:L2953"/>
    <mergeCell ref="K2965:L2965"/>
    <mergeCell ref="K2966:L2966"/>
    <mergeCell ref="K2970:L2970"/>
    <mergeCell ref="K2971:L2971"/>
    <mergeCell ref="K2996:L2996"/>
    <mergeCell ref="K3004:L3004"/>
    <mergeCell ref="K3010:L3010"/>
    <mergeCell ref="K3011:L3011"/>
    <mergeCell ref="K3015:L3015"/>
    <mergeCell ref="K3023:L3023"/>
    <mergeCell ref="K2869:L2869"/>
    <mergeCell ref="K2993:L2993"/>
    <mergeCell ref="K2603:L2603"/>
    <mergeCell ref="K2604:L2604"/>
    <mergeCell ref="K2608:L2608"/>
    <mergeCell ref="K2615:L2615"/>
    <mergeCell ref="K2621:L2621"/>
    <mergeCell ref="K2622:L2622"/>
    <mergeCell ref="K2642:L2642"/>
    <mergeCell ref="K2643:L2643"/>
    <mergeCell ref="K2647:L2647"/>
    <mergeCell ref="K2664:L2664"/>
    <mergeCell ref="K2665:L2665"/>
    <mergeCell ref="K2666:L2666"/>
    <mergeCell ref="K2668:L2668"/>
    <mergeCell ref="K2669:L2669"/>
    <mergeCell ref="K2671:L2671"/>
    <mergeCell ref="K2672:L2672"/>
    <mergeCell ref="K2674:L2674"/>
    <mergeCell ref="K2675:L2675"/>
    <mergeCell ref="K2678:L2678"/>
    <mergeCell ref="K2679:L2679"/>
    <mergeCell ref="K2680:L2680"/>
    <mergeCell ref="K2684:L2684"/>
    <mergeCell ref="K2686:L2686"/>
    <mergeCell ref="K2687:L2687"/>
    <mergeCell ref="K2688:L2688"/>
    <mergeCell ref="K2833:L2833"/>
    <mergeCell ref="K2834:L2834"/>
    <mergeCell ref="K2836:L2836"/>
    <mergeCell ref="K2837:L2837"/>
    <mergeCell ref="K2840:L2840"/>
    <mergeCell ref="K2767:L2767"/>
    <mergeCell ref="K2789:L2789"/>
    <mergeCell ref="K2634:L2634"/>
    <mergeCell ref="K2644:L2644"/>
    <mergeCell ref="K2715:L2715"/>
    <mergeCell ref="K2716:L2716"/>
    <mergeCell ref="K2721:L2721"/>
    <mergeCell ref="K2725:L2725"/>
    <mergeCell ref="K2783:L2783"/>
    <mergeCell ref="K2797:L2797"/>
    <mergeCell ref="K2798:L2798"/>
    <mergeCell ref="K2803:L2803"/>
    <mergeCell ref="K2806:L2806"/>
    <mergeCell ref="K2810:L2810"/>
    <mergeCell ref="K2811:L2811"/>
    <mergeCell ref="K2648:L2648"/>
    <mergeCell ref="K2649:L2649"/>
    <mergeCell ref="K2652:L2652"/>
    <mergeCell ref="K2655:L2655"/>
    <mergeCell ref="K2656:L2656"/>
    <mergeCell ref="K2659:L2659"/>
    <mergeCell ref="K2663:L2663"/>
    <mergeCell ref="K2667:L2667"/>
    <mergeCell ref="K2670:L2670"/>
    <mergeCell ref="K2673:L2673"/>
    <mergeCell ref="K2681:L2681"/>
    <mergeCell ref="K2707:L2707"/>
    <mergeCell ref="K2708:L2708"/>
    <mergeCell ref="K2730:L2730"/>
    <mergeCell ref="K2738:L2738"/>
    <mergeCell ref="K2739:L2739"/>
    <mergeCell ref="K2355:L2355"/>
    <mergeCell ref="K2367:L2367"/>
    <mergeCell ref="K2369:L2369"/>
    <mergeCell ref="K2373:L2373"/>
    <mergeCell ref="K2376:L2376"/>
    <mergeCell ref="K2380:L2380"/>
    <mergeCell ref="K2381:L2381"/>
    <mergeCell ref="K2386:L2386"/>
    <mergeCell ref="K2400:L2400"/>
    <mergeCell ref="K2403:L2403"/>
    <mergeCell ref="K2406:L2406"/>
    <mergeCell ref="K2407:L2407"/>
    <mergeCell ref="K2408:L2408"/>
    <mergeCell ref="K2413:L2413"/>
    <mergeCell ref="K2419:L2419"/>
    <mergeCell ref="K2422:L2422"/>
    <mergeCell ref="K2423:L2423"/>
    <mergeCell ref="K2424:L2424"/>
    <mergeCell ref="K2430:L2430"/>
    <mergeCell ref="K2431:L2431"/>
    <mergeCell ref="K2441:L2441"/>
    <mergeCell ref="K2446:L2446"/>
    <mergeCell ref="K2447:L2447"/>
    <mergeCell ref="K2449:L2449"/>
    <mergeCell ref="K2450:L2450"/>
    <mergeCell ref="K2456:L2456"/>
    <mergeCell ref="K2457:L2457"/>
    <mergeCell ref="K2463:L2463"/>
    <mergeCell ref="K2346:L2346"/>
    <mergeCell ref="K2350:L2350"/>
    <mergeCell ref="K2360:L2360"/>
    <mergeCell ref="K2361:L2361"/>
    <mergeCell ref="K2362:L2362"/>
    <mergeCell ref="K2364:L2364"/>
    <mergeCell ref="K2368:L2368"/>
    <mergeCell ref="K2396:L2396"/>
    <mergeCell ref="K2409:L2409"/>
    <mergeCell ref="K2425:L2425"/>
    <mergeCell ref="K2426:L2426"/>
    <mergeCell ref="K2429:L2429"/>
    <mergeCell ref="K2435:L2435"/>
    <mergeCell ref="K2438:L2438"/>
    <mergeCell ref="K2382:L2382"/>
    <mergeCell ref="K2383:L2383"/>
    <mergeCell ref="K2353:L2353"/>
    <mergeCell ref="K2358:L2358"/>
    <mergeCell ref="K2359:L2359"/>
    <mergeCell ref="K2354:L2354"/>
    <mergeCell ref="K2363:L2363"/>
    <mergeCell ref="K2387:L2387"/>
    <mergeCell ref="K2392:L2392"/>
    <mergeCell ref="K2397:L2397"/>
    <mergeCell ref="K2410:L2410"/>
    <mergeCell ref="K2416:L2416"/>
    <mergeCell ref="K2432:L2432"/>
    <mergeCell ref="K2460:L2460"/>
    <mergeCell ref="K2453:L2453"/>
    <mergeCell ref="K2283:L2283"/>
    <mergeCell ref="K2284:L2284"/>
    <mergeCell ref="K2286:L2286"/>
    <mergeCell ref="K2287:L2287"/>
    <mergeCell ref="K2293:L2293"/>
    <mergeCell ref="K2296:L2296"/>
    <mergeCell ref="K2297:L2297"/>
    <mergeCell ref="K2307:L2307"/>
    <mergeCell ref="K2308:L2308"/>
    <mergeCell ref="K2317:L2317"/>
    <mergeCell ref="K2318:L2318"/>
    <mergeCell ref="K2321:L2321"/>
    <mergeCell ref="K2324:L2324"/>
    <mergeCell ref="K2328:L2328"/>
    <mergeCell ref="K2331:L2331"/>
    <mergeCell ref="K2243:L2243"/>
    <mergeCell ref="K2246:L2246"/>
    <mergeCell ref="K2270:L2270"/>
    <mergeCell ref="K2273:L2273"/>
    <mergeCell ref="K2285:L2285"/>
    <mergeCell ref="K2290:L2290"/>
    <mergeCell ref="K2300:L2300"/>
    <mergeCell ref="K2303:L2303"/>
    <mergeCell ref="K2304:L2304"/>
    <mergeCell ref="K2312:L2312"/>
    <mergeCell ref="K2313:L2313"/>
    <mergeCell ref="K2325:L2325"/>
    <mergeCell ref="K2311:L2311"/>
    <mergeCell ref="K2332:L2332"/>
    <mergeCell ref="K2334:L2334"/>
    <mergeCell ref="K2335:L2335"/>
    <mergeCell ref="K2339:L2339"/>
    <mergeCell ref="K2349:L2349"/>
    <mergeCell ref="K2342:L2342"/>
    <mergeCell ref="K2345:L2345"/>
    <mergeCell ref="K2316:L2316"/>
    <mergeCell ref="K2329:L2329"/>
    <mergeCell ref="K2330:L2330"/>
    <mergeCell ref="K2333:L2333"/>
    <mergeCell ref="K1843:L1843"/>
    <mergeCell ref="K1846:L1846"/>
    <mergeCell ref="K1850:L1850"/>
    <mergeCell ref="K1857:L1857"/>
    <mergeCell ref="K1782:L1782"/>
    <mergeCell ref="K1797:L1797"/>
    <mergeCell ref="K1798:L1798"/>
    <mergeCell ref="K1804:L1804"/>
    <mergeCell ref="K1811:L1811"/>
    <mergeCell ref="K1828:L1828"/>
    <mergeCell ref="K1835:L1835"/>
    <mergeCell ref="K1817:L1817"/>
    <mergeCell ref="K1813:L1813"/>
    <mergeCell ref="K1807:L1807"/>
    <mergeCell ref="K1812:L1812"/>
    <mergeCell ref="K1953:L1953"/>
    <mergeCell ref="K1957:L1957"/>
    <mergeCell ref="K1960:L1960"/>
    <mergeCell ref="K1961:L1961"/>
    <mergeCell ref="K1966:L1966"/>
    <mergeCell ref="K1967:L1967"/>
    <mergeCell ref="K1970:L1970"/>
    <mergeCell ref="K2091:L2091"/>
    <mergeCell ref="K2092:L2092"/>
    <mergeCell ref="K2099:L2099"/>
    <mergeCell ref="K2107:L2107"/>
    <mergeCell ref="K2108:L2108"/>
    <mergeCell ref="K2113:L2113"/>
    <mergeCell ref="K2116:L2116"/>
    <mergeCell ref="K2117:L2117"/>
    <mergeCell ref="K2121:L2121"/>
    <mergeCell ref="K2123:L2123"/>
    <mergeCell ref="K2127:L2127"/>
    <mergeCell ref="K2095:L2095"/>
    <mergeCell ref="K2028:L2028"/>
    <mergeCell ref="K2031:L2031"/>
    <mergeCell ref="K2039:L2039"/>
    <mergeCell ref="K2043:L2043"/>
    <mergeCell ref="K2035:L2035"/>
    <mergeCell ref="K2037:L2037"/>
    <mergeCell ref="K2038:L2038"/>
    <mergeCell ref="K2049:L2049"/>
    <mergeCell ref="K2052:L2052"/>
    <mergeCell ref="K2020:L2020"/>
    <mergeCell ref="K1974:L1974"/>
    <mergeCell ref="K1983:L1983"/>
    <mergeCell ref="K1998:L1998"/>
    <mergeCell ref="K1999:L1999"/>
    <mergeCell ref="K2002:L2002"/>
    <mergeCell ref="K2005:L2005"/>
    <mergeCell ref="K2008:L2008"/>
    <mergeCell ref="K2011:L2011"/>
    <mergeCell ref="K2012:L2012"/>
    <mergeCell ref="K2014:L2014"/>
    <mergeCell ref="K2015:L2015"/>
    <mergeCell ref="K2017:L2017"/>
    <mergeCell ref="K2023:L2023"/>
    <mergeCell ref="K1866:L1866"/>
    <mergeCell ref="K1867:L1867"/>
    <mergeCell ref="K1870:L1870"/>
    <mergeCell ref="K1873:L1873"/>
    <mergeCell ref="K1839:L1839"/>
    <mergeCell ref="K1952:L1952"/>
    <mergeCell ref="K1956:L1956"/>
    <mergeCell ref="K1507:L1507"/>
    <mergeCell ref="K1508:L1508"/>
    <mergeCell ref="K1525:L1525"/>
    <mergeCell ref="K1526:L1526"/>
    <mergeCell ref="K1536:L1536"/>
    <mergeCell ref="K1541:L1541"/>
    <mergeCell ref="K1348:L1348"/>
    <mergeCell ref="K1359:L1359"/>
    <mergeCell ref="K1413:L1413"/>
    <mergeCell ref="K1424:L1424"/>
    <mergeCell ref="K1464:L1464"/>
    <mergeCell ref="K1467:L1467"/>
    <mergeCell ref="K1470:L1470"/>
    <mergeCell ref="K1491:L1491"/>
    <mergeCell ref="K1497:L1497"/>
    <mergeCell ref="K1409:L1409"/>
    <mergeCell ref="K1419:L1419"/>
    <mergeCell ref="K1420:L1420"/>
    <mergeCell ref="K1425:L1425"/>
    <mergeCell ref="K1450:L1450"/>
    <mergeCell ref="K1414:L1414"/>
    <mergeCell ref="K1445:L1445"/>
    <mergeCell ref="K1390:L1390"/>
    <mergeCell ref="K1494:L1494"/>
    <mergeCell ref="K1403:L1403"/>
    <mergeCell ref="K1407:L1407"/>
    <mergeCell ref="K1408:L1408"/>
    <mergeCell ref="K1417:L1417"/>
    <mergeCell ref="K1418:L1418"/>
    <mergeCell ref="K1421:L1421"/>
    <mergeCell ref="K1428:L1428"/>
    <mergeCell ref="K1432:L1432"/>
    <mergeCell ref="K1436:L1436"/>
    <mergeCell ref="K1439:L1439"/>
    <mergeCell ref="K1444:L1444"/>
    <mergeCell ref="K1449:L1449"/>
    <mergeCell ref="K1454:L1454"/>
    <mergeCell ref="K1396:L1396"/>
    <mergeCell ref="K1485:L1485"/>
    <mergeCell ref="K1488:L1488"/>
    <mergeCell ref="K1492:L1492"/>
    <mergeCell ref="K1493:L1493"/>
    <mergeCell ref="K1502:L1502"/>
    <mergeCell ref="K1532:L1532"/>
    <mergeCell ref="K1533:L1533"/>
    <mergeCell ref="K1481:L1481"/>
    <mergeCell ref="K1498:L1498"/>
    <mergeCell ref="K1499:L1499"/>
    <mergeCell ref="K1367:L1367"/>
    <mergeCell ref="K1384:L1384"/>
    <mergeCell ref="K1169:L1169"/>
    <mergeCell ref="K1160:L1160"/>
    <mergeCell ref="K1164:L1164"/>
    <mergeCell ref="K1155:L1155"/>
    <mergeCell ref="K1156:L1156"/>
    <mergeCell ref="K1101:L1101"/>
    <mergeCell ref="K1103:L1103"/>
    <mergeCell ref="K1106:L1106"/>
    <mergeCell ref="K1107:L1107"/>
    <mergeCell ref="K1110:L1110"/>
    <mergeCell ref="K1111:L1111"/>
    <mergeCell ref="K1115:L1115"/>
    <mergeCell ref="K1119:L1119"/>
    <mergeCell ref="K1120:L1120"/>
    <mergeCell ref="K1102:L1102"/>
    <mergeCell ref="K1114:L1114"/>
    <mergeCell ref="K954:L954"/>
    <mergeCell ref="K958:L958"/>
    <mergeCell ref="K962:L962"/>
    <mergeCell ref="K885:L885"/>
    <mergeCell ref="K886:L886"/>
    <mergeCell ref="K892:L892"/>
    <mergeCell ref="K918:L918"/>
    <mergeCell ref="K930:L930"/>
    <mergeCell ref="K956:L956"/>
    <mergeCell ref="K957:L957"/>
    <mergeCell ref="K967:L967"/>
    <mergeCell ref="K971:L971"/>
    <mergeCell ref="K972:L972"/>
    <mergeCell ref="K979:L979"/>
    <mergeCell ref="K980:L980"/>
    <mergeCell ref="K984:L984"/>
    <mergeCell ref="K988:L988"/>
    <mergeCell ref="K992:L992"/>
    <mergeCell ref="K999:L999"/>
    <mergeCell ref="K887:L887"/>
    <mergeCell ref="K888:L888"/>
    <mergeCell ref="K893:L893"/>
    <mergeCell ref="K911:L911"/>
    <mergeCell ref="K912:L912"/>
    <mergeCell ref="K907:L907"/>
    <mergeCell ref="K910:L910"/>
    <mergeCell ref="K1021:L1021"/>
    <mergeCell ref="K1025:L1025"/>
    <mergeCell ref="K1026:L1026"/>
    <mergeCell ref="K1028:L1028"/>
    <mergeCell ref="K966:L966"/>
    <mergeCell ref="K1032:L1032"/>
    <mergeCell ref="K1033:L1033"/>
    <mergeCell ref="K1040:L1040"/>
    <mergeCell ref="K1052:L1052"/>
    <mergeCell ref="K1072:L1072"/>
    <mergeCell ref="K1078:L1078"/>
    <mergeCell ref="K1087:L1087"/>
    <mergeCell ref="K1003:L1003"/>
    <mergeCell ref="K1048:L1048"/>
    <mergeCell ref="K1056:L1056"/>
    <mergeCell ref="K1060:L1060"/>
    <mergeCell ref="K1064:L1064"/>
    <mergeCell ref="K1073:L1073"/>
    <mergeCell ref="K1074:L1074"/>
    <mergeCell ref="K1079:L1079"/>
    <mergeCell ref="K1019:L1019"/>
    <mergeCell ref="K1024:L1024"/>
    <mergeCell ref="K270:L270"/>
    <mergeCell ref="K271:L271"/>
    <mergeCell ref="K276:L276"/>
    <mergeCell ref="K277:L277"/>
    <mergeCell ref="K327:L327"/>
    <mergeCell ref="K341:L341"/>
    <mergeCell ref="K347:L347"/>
    <mergeCell ref="K350:L350"/>
    <mergeCell ref="K365:L365"/>
    <mergeCell ref="K424:L424"/>
    <mergeCell ref="K439:L439"/>
    <mergeCell ref="K208:L208"/>
    <mergeCell ref="K213:L213"/>
    <mergeCell ref="K216:L216"/>
    <mergeCell ref="K219:L219"/>
    <mergeCell ref="K222:L222"/>
    <mergeCell ref="K227:L227"/>
    <mergeCell ref="K237:L237"/>
    <mergeCell ref="K244:L244"/>
    <mergeCell ref="K248:L248"/>
    <mergeCell ref="K251:L251"/>
    <mergeCell ref="K258:L258"/>
    <mergeCell ref="K261:L261"/>
    <mergeCell ref="K264:L264"/>
    <mergeCell ref="K269:L269"/>
    <mergeCell ref="K275:L275"/>
    <mergeCell ref="K280:L280"/>
    <mergeCell ref="K284:L284"/>
    <mergeCell ref="K288:L288"/>
    <mergeCell ref="K289:L289"/>
    <mergeCell ref="K292:L292"/>
    <mergeCell ref="K295:L295"/>
    <mergeCell ref="K300:L300"/>
    <mergeCell ref="K304:L304"/>
    <mergeCell ref="K310:L310"/>
    <mergeCell ref="K317:L317"/>
    <mergeCell ref="K324:L324"/>
    <mergeCell ref="K330:L330"/>
    <mergeCell ref="K333:L333"/>
    <mergeCell ref="K337:L337"/>
    <mergeCell ref="K338:L338"/>
    <mergeCell ref="K342:L342"/>
    <mergeCell ref="K346:L346"/>
    <mergeCell ref="K353:L353"/>
    <mergeCell ref="K356:L356"/>
    <mergeCell ref="K321:L321"/>
    <mergeCell ref="K272:L272"/>
    <mergeCell ref="K307:L307"/>
    <mergeCell ref="K223:L223"/>
    <mergeCell ref="K224:L224"/>
    <mergeCell ref="K228:L228"/>
    <mergeCell ref="K229:L229"/>
    <mergeCell ref="K230:L230"/>
    <mergeCell ref="K231:L231"/>
    <mergeCell ref="K232:L232"/>
    <mergeCell ref="K233:L233"/>
    <mergeCell ref="K234:L234"/>
    <mergeCell ref="K238:L238"/>
    <mergeCell ref="K239:L239"/>
    <mergeCell ref="K265:L265"/>
    <mergeCell ref="K266:L266"/>
    <mergeCell ref="K375:L375"/>
    <mergeCell ref="K379:L379"/>
    <mergeCell ref="K383:L383"/>
    <mergeCell ref="AK4412:AL4412"/>
    <mergeCell ref="AC4413:AD4413"/>
    <mergeCell ref="AF4413:AH4413"/>
    <mergeCell ref="AK4413:AL4413"/>
    <mergeCell ref="AC4412:AD4412"/>
    <mergeCell ref="AC4406:AD4406"/>
    <mergeCell ref="AF4412:AH4412"/>
    <mergeCell ref="K99:L99"/>
    <mergeCell ref="K104:L104"/>
    <mergeCell ref="K105:L105"/>
    <mergeCell ref="K106:L106"/>
    <mergeCell ref="K107:L107"/>
    <mergeCell ref="K108:L108"/>
    <mergeCell ref="K109:L109"/>
    <mergeCell ref="K110:L110"/>
    <mergeCell ref="K111:L111"/>
    <mergeCell ref="K114:L114"/>
    <mergeCell ref="K115:L115"/>
    <mergeCell ref="K118:L118"/>
    <mergeCell ref="K119:L119"/>
    <mergeCell ref="K120:L120"/>
    <mergeCell ref="K121:L121"/>
    <mergeCell ref="K122:L122"/>
    <mergeCell ref="K123:L123"/>
    <mergeCell ref="K124:L124"/>
    <mergeCell ref="K125:L125"/>
    <mergeCell ref="K126:L126"/>
    <mergeCell ref="K129:L129"/>
    <mergeCell ref="K130:L130"/>
    <mergeCell ref="K132:L132"/>
    <mergeCell ref="K135:L135"/>
    <mergeCell ref="K138:L138"/>
    <mergeCell ref="K141:L141"/>
    <mergeCell ref="K144:L144"/>
    <mergeCell ref="K147:L147"/>
    <mergeCell ref="K150:L150"/>
    <mergeCell ref="K151:L151"/>
    <mergeCell ref="K152:L152"/>
    <mergeCell ref="K153:L153"/>
    <mergeCell ref="K175:L175"/>
    <mergeCell ref="K156:L156"/>
    <mergeCell ref="K157:L157"/>
    <mergeCell ref="K131:L131"/>
    <mergeCell ref="K172:L172"/>
    <mergeCell ref="K160:L160"/>
    <mergeCell ref="K161:L161"/>
    <mergeCell ref="K165:L165"/>
    <mergeCell ref="K166:L166"/>
    <mergeCell ref="K164:L164"/>
    <mergeCell ref="K169:L169"/>
    <mergeCell ref="K182:L182"/>
    <mergeCell ref="K185:L185"/>
    <mergeCell ref="K188:L188"/>
    <mergeCell ref="K194:L194"/>
    <mergeCell ref="K197:L197"/>
    <mergeCell ref="K200:L200"/>
    <mergeCell ref="K204:L204"/>
    <mergeCell ref="K240:L240"/>
    <mergeCell ref="K241:L241"/>
    <mergeCell ref="K254:L254"/>
    <mergeCell ref="K255:L255"/>
    <mergeCell ref="K245:L245"/>
    <mergeCell ref="K252:L252"/>
    <mergeCell ref="K253:L253"/>
    <mergeCell ref="AK4403:AL4403"/>
    <mergeCell ref="AC860:AD860"/>
    <mergeCell ref="AF860:AH860"/>
    <mergeCell ref="AK860:AL860"/>
    <mergeCell ref="AC861:AD861"/>
    <mergeCell ref="AF861:AH861"/>
    <mergeCell ref="AK861:AL861"/>
    <mergeCell ref="AC862:AD862"/>
    <mergeCell ref="AF862:AH862"/>
    <mergeCell ref="AK862:AL862"/>
    <mergeCell ref="AC4404:AD4404"/>
    <mergeCell ref="AF4404:AH4404"/>
    <mergeCell ref="AK4404:AL4404"/>
    <mergeCell ref="AC4405:AD4405"/>
    <mergeCell ref="AF4405:AH4405"/>
    <mergeCell ref="AK4405:AL4405"/>
    <mergeCell ref="AC4403:AD4403"/>
    <mergeCell ref="AC4397:AD4397"/>
    <mergeCell ref="AF4406:AH4406"/>
    <mergeCell ref="AK4406:AL4406"/>
    <mergeCell ref="AC4407:AD4407"/>
    <mergeCell ref="AF4407:AH4407"/>
    <mergeCell ref="AK4407:AL4407"/>
    <mergeCell ref="AC4408:AD4408"/>
    <mergeCell ref="AF4408:AH4408"/>
    <mergeCell ref="AK4408:AL4408"/>
    <mergeCell ref="AC4409:AD4409"/>
    <mergeCell ref="AF4409:AH4409"/>
    <mergeCell ref="AK4409:AL4409"/>
    <mergeCell ref="AC4410:AD4410"/>
    <mergeCell ref="AF4410:AH4410"/>
    <mergeCell ref="AK4410:AL4410"/>
    <mergeCell ref="AC4411:AD4411"/>
    <mergeCell ref="AF4411:AH4411"/>
    <mergeCell ref="AK4411:AL4411"/>
    <mergeCell ref="AF4403:AH4403"/>
    <mergeCell ref="AK4391:AL4391"/>
    <mergeCell ref="AC4392:AD4392"/>
    <mergeCell ref="AF4392:AH4392"/>
    <mergeCell ref="AK4392:AL4392"/>
    <mergeCell ref="AC4393:AD4393"/>
    <mergeCell ref="AF4393:AH4393"/>
    <mergeCell ref="AK4393:AL4393"/>
    <mergeCell ref="AC4394:AD4394"/>
    <mergeCell ref="AF4394:AH4394"/>
    <mergeCell ref="AK4394:AL4394"/>
    <mergeCell ref="AC4395:AD4395"/>
    <mergeCell ref="AF4395:AH4395"/>
    <mergeCell ref="AK4395:AL4395"/>
    <mergeCell ref="AC4396:AD4396"/>
    <mergeCell ref="AF4396:AH4396"/>
    <mergeCell ref="AK4396:AL4396"/>
    <mergeCell ref="AC4391:AD4391"/>
    <mergeCell ref="AC4385:AD4385"/>
    <mergeCell ref="AF4397:AH4397"/>
    <mergeCell ref="AK4397:AL4397"/>
    <mergeCell ref="AC4398:AD4398"/>
    <mergeCell ref="AF4398:AH4398"/>
    <mergeCell ref="AK4398:AL4398"/>
    <mergeCell ref="AC4399:AD4399"/>
    <mergeCell ref="AF4399:AH4399"/>
    <mergeCell ref="AK4399:AL4399"/>
    <mergeCell ref="AC4400:AD4400"/>
    <mergeCell ref="AF4400:AH4400"/>
    <mergeCell ref="AK4400:AL4400"/>
    <mergeCell ref="AC4401:AD4401"/>
    <mergeCell ref="AF4401:AH4401"/>
    <mergeCell ref="AK4401:AL4401"/>
    <mergeCell ref="AC4402:AD4402"/>
    <mergeCell ref="AF4402:AH4402"/>
    <mergeCell ref="AK4402:AL4402"/>
    <mergeCell ref="AF4391:AH4391"/>
    <mergeCell ref="AK4379:AL4379"/>
    <mergeCell ref="AC4380:AD4380"/>
    <mergeCell ref="AF4380:AH4380"/>
    <mergeCell ref="AK4380:AL4380"/>
    <mergeCell ref="AC4381:AD4381"/>
    <mergeCell ref="AF4381:AH4381"/>
    <mergeCell ref="AK4381:AL4381"/>
    <mergeCell ref="AC4382:AD4382"/>
    <mergeCell ref="AF4382:AH4382"/>
    <mergeCell ref="AK4382:AL4382"/>
    <mergeCell ref="AC4383:AD4383"/>
    <mergeCell ref="AF4383:AH4383"/>
    <mergeCell ref="AK4383:AL4383"/>
    <mergeCell ref="AC4384:AD4384"/>
    <mergeCell ref="AF4384:AH4384"/>
    <mergeCell ref="AK4384:AL4384"/>
    <mergeCell ref="AC4379:AD4379"/>
    <mergeCell ref="AC4373:AD4373"/>
    <mergeCell ref="AF4385:AH4385"/>
    <mergeCell ref="AK4385:AL4385"/>
    <mergeCell ref="AC4386:AD4386"/>
    <mergeCell ref="AF4386:AH4386"/>
    <mergeCell ref="AK4386:AL4386"/>
    <mergeCell ref="AC4387:AD4387"/>
    <mergeCell ref="AF4387:AH4387"/>
    <mergeCell ref="AK4387:AL4387"/>
    <mergeCell ref="AC4388:AD4388"/>
    <mergeCell ref="AF4388:AH4388"/>
    <mergeCell ref="AK4388:AL4388"/>
    <mergeCell ref="AC4389:AD4389"/>
    <mergeCell ref="AF4389:AH4389"/>
    <mergeCell ref="AK4389:AL4389"/>
    <mergeCell ref="AC4390:AD4390"/>
    <mergeCell ref="AF4390:AH4390"/>
    <mergeCell ref="AK4390:AL4390"/>
    <mergeCell ref="AF4379:AH4379"/>
    <mergeCell ref="AK4367:AL4367"/>
    <mergeCell ref="AC4368:AD4368"/>
    <mergeCell ref="AF4368:AH4368"/>
    <mergeCell ref="AK4368:AL4368"/>
    <mergeCell ref="AC4369:AD4369"/>
    <mergeCell ref="AF4369:AH4369"/>
    <mergeCell ref="AK4369:AL4369"/>
    <mergeCell ref="AC4370:AD4370"/>
    <mergeCell ref="AF4370:AH4370"/>
    <mergeCell ref="AK4370:AL4370"/>
    <mergeCell ref="AC4371:AD4371"/>
    <mergeCell ref="AF4371:AH4371"/>
    <mergeCell ref="AK4371:AL4371"/>
    <mergeCell ref="AC4372:AD4372"/>
    <mergeCell ref="AF4372:AH4372"/>
    <mergeCell ref="AK4372:AL4372"/>
    <mergeCell ref="AC4367:AD4367"/>
    <mergeCell ref="AC4361:AD4361"/>
    <mergeCell ref="AF4373:AH4373"/>
    <mergeCell ref="AK4373:AL4373"/>
    <mergeCell ref="AC4374:AD4374"/>
    <mergeCell ref="AF4374:AH4374"/>
    <mergeCell ref="AK4374:AL4374"/>
    <mergeCell ref="AC4375:AD4375"/>
    <mergeCell ref="AF4375:AH4375"/>
    <mergeCell ref="AK4375:AL4375"/>
    <mergeCell ref="AC4376:AD4376"/>
    <mergeCell ref="AF4376:AH4376"/>
    <mergeCell ref="AK4376:AL4376"/>
    <mergeCell ref="AC4377:AD4377"/>
    <mergeCell ref="AF4377:AH4377"/>
    <mergeCell ref="AK4377:AL4377"/>
    <mergeCell ref="AC4378:AD4378"/>
    <mergeCell ref="AF4378:AH4378"/>
    <mergeCell ref="AK4378:AL4378"/>
    <mergeCell ref="AF4367:AH4367"/>
    <mergeCell ref="AK4355:AL4355"/>
    <mergeCell ref="AC4356:AD4356"/>
    <mergeCell ref="AF4356:AH4356"/>
    <mergeCell ref="AK4356:AL4356"/>
    <mergeCell ref="AC4357:AD4357"/>
    <mergeCell ref="AF4357:AH4357"/>
    <mergeCell ref="AK4357:AL4357"/>
    <mergeCell ref="AC4358:AD4358"/>
    <mergeCell ref="AF4358:AH4358"/>
    <mergeCell ref="AK4358:AL4358"/>
    <mergeCell ref="AC4359:AD4359"/>
    <mergeCell ref="AF4359:AH4359"/>
    <mergeCell ref="AK4359:AL4359"/>
    <mergeCell ref="AC4360:AD4360"/>
    <mergeCell ref="AF4360:AH4360"/>
    <mergeCell ref="AK4360:AL4360"/>
    <mergeCell ref="AC4355:AD4355"/>
    <mergeCell ref="AC4349:AD4349"/>
    <mergeCell ref="AF4361:AH4361"/>
    <mergeCell ref="AK4361:AL4361"/>
    <mergeCell ref="AC4362:AD4362"/>
    <mergeCell ref="AF4362:AH4362"/>
    <mergeCell ref="AK4362:AL4362"/>
    <mergeCell ref="AC4363:AD4363"/>
    <mergeCell ref="AF4363:AH4363"/>
    <mergeCell ref="AK4363:AL4363"/>
    <mergeCell ref="AC4364:AD4364"/>
    <mergeCell ref="AF4364:AH4364"/>
    <mergeCell ref="AK4364:AL4364"/>
    <mergeCell ref="AC4365:AD4365"/>
    <mergeCell ref="AF4365:AH4365"/>
    <mergeCell ref="AK4365:AL4365"/>
    <mergeCell ref="AC4366:AD4366"/>
    <mergeCell ref="AF4366:AH4366"/>
    <mergeCell ref="AK4366:AL4366"/>
    <mergeCell ref="AF4355:AH4355"/>
    <mergeCell ref="AK4343:AL4343"/>
    <mergeCell ref="AC4344:AD4344"/>
    <mergeCell ref="AF4344:AH4344"/>
    <mergeCell ref="AK4344:AL4344"/>
    <mergeCell ref="AC4345:AD4345"/>
    <mergeCell ref="AF4345:AH4345"/>
    <mergeCell ref="AK4345:AL4345"/>
    <mergeCell ref="AC4346:AD4346"/>
    <mergeCell ref="AF4346:AH4346"/>
    <mergeCell ref="AK4346:AL4346"/>
    <mergeCell ref="AC4347:AD4347"/>
    <mergeCell ref="AF4347:AH4347"/>
    <mergeCell ref="AK4347:AL4347"/>
    <mergeCell ref="AC4348:AD4348"/>
    <mergeCell ref="AF4348:AH4348"/>
    <mergeCell ref="AK4348:AL4348"/>
    <mergeCell ref="AC4343:AD4343"/>
    <mergeCell ref="AC4337:AD4337"/>
    <mergeCell ref="AF4349:AH4349"/>
    <mergeCell ref="AK4349:AL4349"/>
    <mergeCell ref="AC4350:AD4350"/>
    <mergeCell ref="AF4350:AH4350"/>
    <mergeCell ref="AK4350:AL4350"/>
    <mergeCell ref="AC4351:AD4351"/>
    <mergeCell ref="AF4351:AH4351"/>
    <mergeCell ref="AK4351:AL4351"/>
    <mergeCell ref="AC4352:AD4352"/>
    <mergeCell ref="AF4352:AH4352"/>
    <mergeCell ref="AK4352:AL4352"/>
    <mergeCell ref="AC4353:AD4353"/>
    <mergeCell ref="AF4353:AH4353"/>
    <mergeCell ref="AK4353:AL4353"/>
    <mergeCell ref="AC4354:AD4354"/>
    <mergeCell ref="AF4354:AH4354"/>
    <mergeCell ref="AK4354:AL4354"/>
    <mergeCell ref="AF4343:AH4343"/>
    <mergeCell ref="AK4331:AL4331"/>
    <mergeCell ref="AC4332:AD4332"/>
    <mergeCell ref="AF4332:AH4332"/>
    <mergeCell ref="AK4332:AL4332"/>
    <mergeCell ref="AC4333:AD4333"/>
    <mergeCell ref="AF4333:AH4333"/>
    <mergeCell ref="AK4333:AL4333"/>
    <mergeCell ref="AC4334:AD4334"/>
    <mergeCell ref="AF4334:AH4334"/>
    <mergeCell ref="AK4334:AL4334"/>
    <mergeCell ref="AC4335:AD4335"/>
    <mergeCell ref="AF4335:AH4335"/>
    <mergeCell ref="AK4335:AL4335"/>
    <mergeCell ref="AC4336:AD4336"/>
    <mergeCell ref="AF4336:AH4336"/>
    <mergeCell ref="AK4336:AL4336"/>
    <mergeCell ref="AC4331:AD4331"/>
    <mergeCell ref="AC4325:AD4325"/>
    <mergeCell ref="AF4337:AH4337"/>
    <mergeCell ref="AK4337:AL4337"/>
    <mergeCell ref="AC4338:AD4338"/>
    <mergeCell ref="AF4338:AH4338"/>
    <mergeCell ref="AK4338:AL4338"/>
    <mergeCell ref="AC4339:AD4339"/>
    <mergeCell ref="AF4339:AH4339"/>
    <mergeCell ref="AK4339:AL4339"/>
    <mergeCell ref="AC4340:AD4340"/>
    <mergeCell ref="AF4340:AH4340"/>
    <mergeCell ref="AK4340:AL4340"/>
    <mergeCell ref="AC4341:AD4341"/>
    <mergeCell ref="AF4341:AH4341"/>
    <mergeCell ref="AK4341:AL4341"/>
    <mergeCell ref="AC4342:AD4342"/>
    <mergeCell ref="AF4342:AH4342"/>
    <mergeCell ref="AK4342:AL4342"/>
    <mergeCell ref="AF4331:AH4331"/>
    <mergeCell ref="AK4319:AL4319"/>
    <mergeCell ref="AC4320:AD4320"/>
    <mergeCell ref="AF4320:AH4320"/>
    <mergeCell ref="AK4320:AL4320"/>
    <mergeCell ref="AC4321:AD4321"/>
    <mergeCell ref="AF4321:AH4321"/>
    <mergeCell ref="AK4321:AL4321"/>
    <mergeCell ref="AC4322:AD4322"/>
    <mergeCell ref="AF4322:AH4322"/>
    <mergeCell ref="AK4322:AL4322"/>
    <mergeCell ref="AC4323:AD4323"/>
    <mergeCell ref="AF4323:AH4323"/>
    <mergeCell ref="AK4323:AL4323"/>
    <mergeCell ref="AC4324:AD4324"/>
    <mergeCell ref="AF4324:AH4324"/>
    <mergeCell ref="AK4324:AL4324"/>
    <mergeCell ref="AC4319:AD4319"/>
    <mergeCell ref="AC4313:AD4313"/>
    <mergeCell ref="AF4325:AH4325"/>
    <mergeCell ref="AK4325:AL4325"/>
    <mergeCell ref="AC4326:AD4326"/>
    <mergeCell ref="AF4326:AH4326"/>
    <mergeCell ref="AK4326:AL4326"/>
    <mergeCell ref="AC4327:AD4327"/>
    <mergeCell ref="AF4327:AH4327"/>
    <mergeCell ref="AK4327:AL4327"/>
    <mergeCell ref="AC4328:AD4328"/>
    <mergeCell ref="AF4328:AH4328"/>
    <mergeCell ref="AK4328:AL4328"/>
    <mergeCell ref="AC4329:AD4329"/>
    <mergeCell ref="AF4329:AH4329"/>
    <mergeCell ref="AK4329:AL4329"/>
    <mergeCell ref="AC4330:AD4330"/>
    <mergeCell ref="AF4330:AH4330"/>
    <mergeCell ref="AK4330:AL4330"/>
    <mergeCell ref="AF4319:AH4319"/>
    <mergeCell ref="AK4307:AL4307"/>
    <mergeCell ref="AC4308:AD4308"/>
    <mergeCell ref="AF4308:AH4308"/>
    <mergeCell ref="AK4308:AL4308"/>
    <mergeCell ref="AC4309:AD4309"/>
    <mergeCell ref="AF4309:AH4309"/>
    <mergeCell ref="AK4309:AL4309"/>
    <mergeCell ref="AC4310:AD4310"/>
    <mergeCell ref="AF4310:AH4310"/>
    <mergeCell ref="AK4310:AL4310"/>
    <mergeCell ref="AC4311:AD4311"/>
    <mergeCell ref="AF4311:AH4311"/>
    <mergeCell ref="AK4311:AL4311"/>
    <mergeCell ref="AC4312:AD4312"/>
    <mergeCell ref="AF4312:AH4312"/>
    <mergeCell ref="AK4312:AL4312"/>
    <mergeCell ref="AC4307:AD4307"/>
    <mergeCell ref="AC4301:AD4301"/>
    <mergeCell ref="AF4313:AH4313"/>
    <mergeCell ref="AK4313:AL4313"/>
    <mergeCell ref="AC4314:AD4314"/>
    <mergeCell ref="AF4314:AH4314"/>
    <mergeCell ref="AK4314:AL4314"/>
    <mergeCell ref="AC4315:AD4315"/>
    <mergeCell ref="AF4315:AH4315"/>
    <mergeCell ref="AK4315:AL4315"/>
    <mergeCell ref="AC4316:AD4316"/>
    <mergeCell ref="AF4316:AH4316"/>
    <mergeCell ref="AK4316:AL4316"/>
    <mergeCell ref="AC4317:AD4317"/>
    <mergeCell ref="AF4317:AH4317"/>
    <mergeCell ref="AK4317:AL4317"/>
    <mergeCell ref="AC4318:AD4318"/>
    <mergeCell ref="AF4318:AH4318"/>
    <mergeCell ref="AK4318:AL4318"/>
    <mergeCell ref="AF4307:AH4307"/>
    <mergeCell ref="AK4295:AL4295"/>
    <mergeCell ref="AC4296:AD4296"/>
    <mergeCell ref="AF4296:AH4296"/>
    <mergeCell ref="AK4296:AL4296"/>
    <mergeCell ref="AC4297:AD4297"/>
    <mergeCell ref="AF4297:AH4297"/>
    <mergeCell ref="AK4297:AL4297"/>
    <mergeCell ref="AC4298:AD4298"/>
    <mergeCell ref="AF4298:AH4298"/>
    <mergeCell ref="AK4298:AL4298"/>
    <mergeCell ref="AC4299:AD4299"/>
    <mergeCell ref="AF4299:AH4299"/>
    <mergeCell ref="AK4299:AL4299"/>
    <mergeCell ref="AC4300:AD4300"/>
    <mergeCell ref="AF4300:AH4300"/>
    <mergeCell ref="AK4300:AL4300"/>
    <mergeCell ref="AC4295:AD4295"/>
    <mergeCell ref="AC4289:AD4289"/>
    <mergeCell ref="AF4301:AH4301"/>
    <mergeCell ref="AK4301:AL4301"/>
    <mergeCell ref="AC4302:AD4302"/>
    <mergeCell ref="AF4302:AH4302"/>
    <mergeCell ref="AK4302:AL4302"/>
    <mergeCell ref="AC4303:AD4303"/>
    <mergeCell ref="AF4303:AH4303"/>
    <mergeCell ref="AK4303:AL4303"/>
    <mergeCell ref="AC4304:AD4304"/>
    <mergeCell ref="AF4304:AH4304"/>
    <mergeCell ref="AK4304:AL4304"/>
    <mergeCell ref="AC4305:AD4305"/>
    <mergeCell ref="AF4305:AH4305"/>
    <mergeCell ref="AK4305:AL4305"/>
    <mergeCell ref="AC4306:AD4306"/>
    <mergeCell ref="AF4306:AH4306"/>
    <mergeCell ref="AK4306:AL4306"/>
    <mergeCell ref="AF4295:AH4295"/>
    <mergeCell ref="AK4283:AL4283"/>
    <mergeCell ref="AC4284:AD4284"/>
    <mergeCell ref="AF4284:AH4284"/>
    <mergeCell ref="AK4284:AL4284"/>
    <mergeCell ref="AC4285:AD4285"/>
    <mergeCell ref="AF4285:AH4285"/>
    <mergeCell ref="AK4285:AL4285"/>
    <mergeCell ref="AC4286:AD4286"/>
    <mergeCell ref="AF4286:AH4286"/>
    <mergeCell ref="AK4286:AL4286"/>
    <mergeCell ref="AC4287:AD4287"/>
    <mergeCell ref="AF4287:AH4287"/>
    <mergeCell ref="AK4287:AL4287"/>
    <mergeCell ref="AC4288:AD4288"/>
    <mergeCell ref="AF4288:AH4288"/>
    <mergeCell ref="AK4288:AL4288"/>
    <mergeCell ref="AC4283:AD4283"/>
    <mergeCell ref="AC4277:AD4277"/>
    <mergeCell ref="AF4289:AH4289"/>
    <mergeCell ref="AK4289:AL4289"/>
    <mergeCell ref="AC4290:AD4290"/>
    <mergeCell ref="AF4290:AH4290"/>
    <mergeCell ref="AK4290:AL4290"/>
    <mergeCell ref="AC4291:AD4291"/>
    <mergeCell ref="AF4291:AH4291"/>
    <mergeCell ref="AK4291:AL4291"/>
    <mergeCell ref="AC4292:AD4292"/>
    <mergeCell ref="AF4292:AH4292"/>
    <mergeCell ref="AK4292:AL4292"/>
    <mergeCell ref="AC4293:AD4293"/>
    <mergeCell ref="AF4293:AH4293"/>
    <mergeCell ref="AK4293:AL4293"/>
    <mergeCell ref="AC4294:AD4294"/>
    <mergeCell ref="AF4294:AH4294"/>
    <mergeCell ref="AK4294:AL4294"/>
    <mergeCell ref="AF4283:AH4283"/>
    <mergeCell ref="AK4271:AL4271"/>
    <mergeCell ref="AC4272:AD4272"/>
    <mergeCell ref="AF4272:AH4272"/>
    <mergeCell ref="AK4272:AL4272"/>
    <mergeCell ref="AC4273:AD4273"/>
    <mergeCell ref="AF4273:AH4273"/>
    <mergeCell ref="AK4273:AL4273"/>
    <mergeCell ref="AC4274:AD4274"/>
    <mergeCell ref="AF4274:AH4274"/>
    <mergeCell ref="AK4274:AL4274"/>
    <mergeCell ref="AC4275:AD4275"/>
    <mergeCell ref="AF4275:AH4275"/>
    <mergeCell ref="AK4275:AL4275"/>
    <mergeCell ref="AC4276:AD4276"/>
    <mergeCell ref="AF4276:AH4276"/>
    <mergeCell ref="AK4276:AL4276"/>
    <mergeCell ref="AC4271:AD4271"/>
    <mergeCell ref="AC4265:AD4265"/>
    <mergeCell ref="AF4277:AH4277"/>
    <mergeCell ref="AK4277:AL4277"/>
    <mergeCell ref="AC4278:AD4278"/>
    <mergeCell ref="AF4278:AH4278"/>
    <mergeCell ref="AK4278:AL4278"/>
    <mergeCell ref="AC4279:AD4279"/>
    <mergeCell ref="AF4279:AH4279"/>
    <mergeCell ref="AK4279:AL4279"/>
    <mergeCell ref="AC4280:AD4280"/>
    <mergeCell ref="AF4280:AH4280"/>
    <mergeCell ref="AK4280:AL4280"/>
    <mergeCell ref="AC4281:AD4281"/>
    <mergeCell ref="AF4281:AH4281"/>
    <mergeCell ref="AK4281:AL4281"/>
    <mergeCell ref="AC4282:AD4282"/>
    <mergeCell ref="AF4282:AH4282"/>
    <mergeCell ref="AK4282:AL4282"/>
    <mergeCell ref="AF4271:AH4271"/>
    <mergeCell ref="AK4259:AL4259"/>
    <mergeCell ref="AC4260:AD4260"/>
    <mergeCell ref="AF4260:AH4260"/>
    <mergeCell ref="AK4260:AL4260"/>
    <mergeCell ref="AC4261:AD4261"/>
    <mergeCell ref="AF4261:AH4261"/>
    <mergeCell ref="AK4261:AL4261"/>
    <mergeCell ref="AC4262:AD4262"/>
    <mergeCell ref="AF4262:AH4262"/>
    <mergeCell ref="AK4262:AL4262"/>
    <mergeCell ref="AC4263:AD4263"/>
    <mergeCell ref="AF4263:AH4263"/>
    <mergeCell ref="AK4263:AL4263"/>
    <mergeCell ref="AC4264:AD4264"/>
    <mergeCell ref="AF4264:AH4264"/>
    <mergeCell ref="AK4264:AL4264"/>
    <mergeCell ref="AC4259:AD4259"/>
    <mergeCell ref="AC4253:AD4253"/>
    <mergeCell ref="AF4265:AH4265"/>
    <mergeCell ref="AK4265:AL4265"/>
    <mergeCell ref="AC4266:AD4266"/>
    <mergeCell ref="AF4266:AH4266"/>
    <mergeCell ref="AK4266:AL4266"/>
    <mergeCell ref="AC4267:AD4267"/>
    <mergeCell ref="AF4267:AH4267"/>
    <mergeCell ref="AK4267:AL4267"/>
    <mergeCell ref="AC4268:AD4268"/>
    <mergeCell ref="AF4268:AH4268"/>
    <mergeCell ref="AK4268:AL4268"/>
    <mergeCell ref="AC4269:AD4269"/>
    <mergeCell ref="AF4269:AH4269"/>
    <mergeCell ref="AK4269:AL4269"/>
    <mergeCell ref="AC4270:AD4270"/>
    <mergeCell ref="AF4270:AH4270"/>
    <mergeCell ref="AK4270:AL4270"/>
    <mergeCell ref="AF4259:AH4259"/>
    <mergeCell ref="AK4247:AL4247"/>
    <mergeCell ref="AC4248:AD4248"/>
    <mergeCell ref="AF4248:AH4248"/>
    <mergeCell ref="AK4248:AL4248"/>
    <mergeCell ref="AC4249:AD4249"/>
    <mergeCell ref="AF4249:AH4249"/>
    <mergeCell ref="AK4249:AL4249"/>
    <mergeCell ref="AC4250:AD4250"/>
    <mergeCell ref="AF4250:AH4250"/>
    <mergeCell ref="AK4250:AL4250"/>
    <mergeCell ref="AC4251:AD4251"/>
    <mergeCell ref="AF4251:AH4251"/>
    <mergeCell ref="AK4251:AL4251"/>
    <mergeCell ref="AC4252:AD4252"/>
    <mergeCell ref="AF4252:AH4252"/>
    <mergeCell ref="AK4252:AL4252"/>
    <mergeCell ref="AC4247:AD4247"/>
    <mergeCell ref="AC4241:AD4241"/>
    <mergeCell ref="AF4253:AH4253"/>
    <mergeCell ref="AK4253:AL4253"/>
    <mergeCell ref="AC4254:AD4254"/>
    <mergeCell ref="AF4254:AH4254"/>
    <mergeCell ref="AK4254:AL4254"/>
    <mergeCell ref="AC4255:AD4255"/>
    <mergeCell ref="AF4255:AH4255"/>
    <mergeCell ref="AK4255:AL4255"/>
    <mergeCell ref="AC4256:AD4256"/>
    <mergeCell ref="AF4256:AH4256"/>
    <mergeCell ref="AK4256:AL4256"/>
    <mergeCell ref="AC4257:AD4257"/>
    <mergeCell ref="AF4257:AH4257"/>
    <mergeCell ref="AK4257:AL4257"/>
    <mergeCell ref="AC4258:AD4258"/>
    <mergeCell ref="AF4258:AH4258"/>
    <mergeCell ref="AK4258:AL4258"/>
    <mergeCell ref="AF4247:AH4247"/>
    <mergeCell ref="AK4235:AL4235"/>
    <mergeCell ref="AC4236:AD4236"/>
    <mergeCell ref="AF4236:AH4236"/>
    <mergeCell ref="AK4236:AL4236"/>
    <mergeCell ref="AC4237:AD4237"/>
    <mergeCell ref="AF4237:AH4237"/>
    <mergeCell ref="AK4237:AL4237"/>
    <mergeCell ref="AC4238:AD4238"/>
    <mergeCell ref="AF4238:AH4238"/>
    <mergeCell ref="AK4238:AL4238"/>
    <mergeCell ref="AC4239:AD4239"/>
    <mergeCell ref="AF4239:AH4239"/>
    <mergeCell ref="AK4239:AL4239"/>
    <mergeCell ref="AC4240:AD4240"/>
    <mergeCell ref="AF4240:AH4240"/>
    <mergeCell ref="AK4240:AL4240"/>
    <mergeCell ref="AC4235:AD4235"/>
    <mergeCell ref="AC4229:AD4229"/>
    <mergeCell ref="AF4241:AH4241"/>
    <mergeCell ref="AK4241:AL4241"/>
    <mergeCell ref="AC4242:AD4242"/>
    <mergeCell ref="AF4242:AH4242"/>
    <mergeCell ref="AK4242:AL4242"/>
    <mergeCell ref="AC4243:AD4243"/>
    <mergeCell ref="AF4243:AH4243"/>
    <mergeCell ref="AK4243:AL4243"/>
    <mergeCell ref="AC4244:AD4244"/>
    <mergeCell ref="AF4244:AH4244"/>
    <mergeCell ref="AK4244:AL4244"/>
    <mergeCell ref="AC4245:AD4245"/>
    <mergeCell ref="AF4245:AH4245"/>
    <mergeCell ref="AK4245:AL4245"/>
    <mergeCell ref="AC4246:AD4246"/>
    <mergeCell ref="AF4246:AH4246"/>
    <mergeCell ref="AK4246:AL4246"/>
    <mergeCell ref="AF4235:AH4235"/>
    <mergeCell ref="AC4224:AD4224"/>
    <mergeCell ref="AF4224:AH4224"/>
    <mergeCell ref="AK4224:AL4224"/>
    <mergeCell ref="AC4225:AD4225"/>
    <mergeCell ref="AF4225:AH4225"/>
    <mergeCell ref="AK4225:AL4225"/>
    <mergeCell ref="AC4226:AD4226"/>
    <mergeCell ref="AF4226:AH4226"/>
    <mergeCell ref="AK4226:AL4226"/>
    <mergeCell ref="AC4227:AD4227"/>
    <mergeCell ref="AF4227:AH4227"/>
    <mergeCell ref="AK4227:AL4227"/>
    <mergeCell ref="AC4228:AD4228"/>
    <mergeCell ref="AF4228:AH4228"/>
    <mergeCell ref="AK4228:AL4228"/>
    <mergeCell ref="AC4223:AD4223"/>
    <mergeCell ref="AC4217:AD4217"/>
    <mergeCell ref="AF4229:AH4229"/>
    <mergeCell ref="AK4229:AL4229"/>
    <mergeCell ref="AC4230:AD4230"/>
    <mergeCell ref="AF4230:AH4230"/>
    <mergeCell ref="AK4230:AL4230"/>
    <mergeCell ref="AC4231:AD4231"/>
    <mergeCell ref="AF4231:AH4231"/>
    <mergeCell ref="AK4231:AL4231"/>
    <mergeCell ref="AC4232:AD4232"/>
    <mergeCell ref="AF4232:AH4232"/>
    <mergeCell ref="AK4232:AL4232"/>
    <mergeCell ref="AC4233:AD4233"/>
    <mergeCell ref="AF4233:AH4233"/>
    <mergeCell ref="AK4233:AL4233"/>
    <mergeCell ref="AC4234:AD4234"/>
    <mergeCell ref="AF4234:AH4234"/>
    <mergeCell ref="AK4234:AL4234"/>
    <mergeCell ref="AC4212:AD4212"/>
    <mergeCell ref="AF4212:AH4212"/>
    <mergeCell ref="AK4212:AL4212"/>
    <mergeCell ref="AC4213:AD4213"/>
    <mergeCell ref="AF4213:AH4213"/>
    <mergeCell ref="AK4213:AL4213"/>
    <mergeCell ref="AC4214:AD4214"/>
    <mergeCell ref="AF4214:AH4214"/>
    <mergeCell ref="AK4214:AL4214"/>
    <mergeCell ref="AC4215:AD4215"/>
    <mergeCell ref="AF4215:AH4215"/>
    <mergeCell ref="AK4215:AL4215"/>
    <mergeCell ref="AC4216:AD4216"/>
    <mergeCell ref="AF4216:AH4216"/>
    <mergeCell ref="AK4216:AL4216"/>
    <mergeCell ref="AF4217:AH4217"/>
    <mergeCell ref="AK4217:AL4217"/>
    <mergeCell ref="AC4218:AD4218"/>
    <mergeCell ref="AF4218:AH4218"/>
    <mergeCell ref="AK4218:AL4218"/>
    <mergeCell ref="AC4219:AD4219"/>
    <mergeCell ref="AF4219:AH4219"/>
    <mergeCell ref="AK4219:AL4219"/>
    <mergeCell ref="AC4220:AD4220"/>
    <mergeCell ref="AF4220:AH4220"/>
    <mergeCell ref="AK4220:AL4220"/>
    <mergeCell ref="AC4221:AD4221"/>
    <mergeCell ref="AF4221:AH4221"/>
    <mergeCell ref="AK4221:AL4221"/>
    <mergeCell ref="AC4222:AD4222"/>
    <mergeCell ref="AF4222:AH4222"/>
    <mergeCell ref="AK4222:AL4222"/>
    <mergeCell ref="AK4223:AL4223"/>
    <mergeCell ref="AF4223:AH4223"/>
    <mergeCell ref="AC4200:AD4200"/>
    <mergeCell ref="AF4200:AH4200"/>
    <mergeCell ref="AK4200:AL4200"/>
    <mergeCell ref="AC4201:AD4201"/>
    <mergeCell ref="AF4201:AH4201"/>
    <mergeCell ref="AK4201:AL4201"/>
    <mergeCell ref="AC4202:AD4202"/>
    <mergeCell ref="AF4202:AH4202"/>
    <mergeCell ref="AK4202:AL4202"/>
    <mergeCell ref="AC4203:AD4203"/>
    <mergeCell ref="AF4203:AH4203"/>
    <mergeCell ref="AK4203:AL4203"/>
    <mergeCell ref="AC4204:AD4204"/>
    <mergeCell ref="AF4204:AH4204"/>
    <mergeCell ref="AK4204:AL4204"/>
    <mergeCell ref="AF4205:AH4205"/>
    <mergeCell ref="AK4205:AL4205"/>
    <mergeCell ref="AC4206:AD4206"/>
    <mergeCell ref="AF4206:AH4206"/>
    <mergeCell ref="AK4206:AL4206"/>
    <mergeCell ref="AC4207:AD4207"/>
    <mergeCell ref="AF4207:AH4207"/>
    <mergeCell ref="AK4207:AL4207"/>
    <mergeCell ref="AC4208:AD4208"/>
    <mergeCell ref="AF4208:AH4208"/>
    <mergeCell ref="AK4208:AL4208"/>
    <mergeCell ref="AC4209:AD4209"/>
    <mergeCell ref="AF4209:AH4209"/>
    <mergeCell ref="AK4209:AL4209"/>
    <mergeCell ref="AC4210:AD4210"/>
    <mergeCell ref="AF4210:AH4210"/>
    <mergeCell ref="AK4210:AL4210"/>
    <mergeCell ref="AK4211:AL4211"/>
    <mergeCell ref="AF4211:AH4211"/>
    <mergeCell ref="AC4211:AD4211"/>
    <mergeCell ref="AC4205:AD4205"/>
    <mergeCell ref="AC4188:AD4188"/>
    <mergeCell ref="AF4188:AH4188"/>
    <mergeCell ref="AK4188:AL4188"/>
    <mergeCell ref="AC4189:AD4189"/>
    <mergeCell ref="AF4189:AH4189"/>
    <mergeCell ref="AK4189:AL4189"/>
    <mergeCell ref="AC4190:AD4190"/>
    <mergeCell ref="AF4190:AH4190"/>
    <mergeCell ref="AK4190:AL4190"/>
    <mergeCell ref="AC4191:AD4191"/>
    <mergeCell ref="AF4191:AH4191"/>
    <mergeCell ref="AK4191:AL4191"/>
    <mergeCell ref="AC4192:AD4192"/>
    <mergeCell ref="AF4192:AH4192"/>
    <mergeCell ref="AK4192:AL4192"/>
    <mergeCell ref="AF4193:AH4193"/>
    <mergeCell ref="AK4193:AL4193"/>
    <mergeCell ref="AC4194:AD4194"/>
    <mergeCell ref="AF4194:AH4194"/>
    <mergeCell ref="AK4194:AL4194"/>
    <mergeCell ref="AC4195:AD4195"/>
    <mergeCell ref="AF4195:AH4195"/>
    <mergeCell ref="AK4195:AL4195"/>
    <mergeCell ref="AC4196:AD4196"/>
    <mergeCell ref="AF4196:AH4196"/>
    <mergeCell ref="AK4196:AL4196"/>
    <mergeCell ref="AC4197:AD4197"/>
    <mergeCell ref="AF4197:AH4197"/>
    <mergeCell ref="AK4197:AL4197"/>
    <mergeCell ref="AC4198:AD4198"/>
    <mergeCell ref="AF4198:AH4198"/>
    <mergeCell ref="AK4198:AL4198"/>
    <mergeCell ref="AK4199:AL4199"/>
    <mergeCell ref="AF4199:AH4199"/>
    <mergeCell ref="AC4199:AD4199"/>
    <mergeCell ref="AC4193:AD4193"/>
    <mergeCell ref="AC4176:AD4176"/>
    <mergeCell ref="AF4176:AH4176"/>
    <mergeCell ref="AK4176:AL4176"/>
    <mergeCell ref="AC4177:AD4177"/>
    <mergeCell ref="AF4177:AH4177"/>
    <mergeCell ref="AK4177:AL4177"/>
    <mergeCell ref="AC4178:AD4178"/>
    <mergeCell ref="AF4178:AH4178"/>
    <mergeCell ref="AK4178:AL4178"/>
    <mergeCell ref="AC4179:AD4179"/>
    <mergeCell ref="AF4179:AH4179"/>
    <mergeCell ref="AK4179:AL4179"/>
    <mergeCell ref="AC4180:AD4180"/>
    <mergeCell ref="AF4180:AH4180"/>
    <mergeCell ref="AK4180:AL4180"/>
    <mergeCell ref="AF4181:AH4181"/>
    <mergeCell ref="AK4181:AL4181"/>
    <mergeCell ref="AC4182:AD4182"/>
    <mergeCell ref="AF4182:AH4182"/>
    <mergeCell ref="AK4182:AL4182"/>
    <mergeCell ref="AC4183:AD4183"/>
    <mergeCell ref="AF4183:AH4183"/>
    <mergeCell ref="AK4183:AL4183"/>
    <mergeCell ref="AC4184:AD4184"/>
    <mergeCell ref="AF4184:AH4184"/>
    <mergeCell ref="AK4184:AL4184"/>
    <mergeCell ref="AC4185:AD4185"/>
    <mergeCell ref="AF4185:AH4185"/>
    <mergeCell ref="AK4185:AL4185"/>
    <mergeCell ref="AC4186:AD4186"/>
    <mergeCell ref="AF4186:AH4186"/>
    <mergeCell ref="AK4186:AL4186"/>
    <mergeCell ref="AK4187:AL4187"/>
    <mergeCell ref="AF4187:AH4187"/>
    <mergeCell ref="AC4187:AD4187"/>
    <mergeCell ref="AC4181:AD4181"/>
    <mergeCell ref="AC4164:AD4164"/>
    <mergeCell ref="AF4164:AH4164"/>
    <mergeCell ref="AK4164:AL4164"/>
    <mergeCell ref="AC4165:AD4165"/>
    <mergeCell ref="AF4165:AH4165"/>
    <mergeCell ref="AK4165:AL4165"/>
    <mergeCell ref="AC4166:AD4166"/>
    <mergeCell ref="AF4166:AH4166"/>
    <mergeCell ref="AK4166:AL4166"/>
    <mergeCell ref="AC4167:AD4167"/>
    <mergeCell ref="AF4167:AH4167"/>
    <mergeCell ref="AK4167:AL4167"/>
    <mergeCell ref="AC4168:AD4168"/>
    <mergeCell ref="AF4168:AH4168"/>
    <mergeCell ref="AK4168:AL4168"/>
    <mergeCell ref="AF4169:AH4169"/>
    <mergeCell ref="AK4169:AL4169"/>
    <mergeCell ref="AC4170:AD4170"/>
    <mergeCell ref="AF4170:AH4170"/>
    <mergeCell ref="AK4170:AL4170"/>
    <mergeCell ref="AC4171:AD4171"/>
    <mergeCell ref="AF4171:AH4171"/>
    <mergeCell ref="AK4171:AL4171"/>
    <mergeCell ref="AC4172:AD4172"/>
    <mergeCell ref="AF4172:AH4172"/>
    <mergeCell ref="AK4172:AL4172"/>
    <mergeCell ref="AC4173:AD4173"/>
    <mergeCell ref="AF4173:AH4173"/>
    <mergeCell ref="AK4173:AL4173"/>
    <mergeCell ref="AC4174:AD4174"/>
    <mergeCell ref="AF4174:AH4174"/>
    <mergeCell ref="AK4174:AL4174"/>
    <mergeCell ref="AK4175:AL4175"/>
    <mergeCell ref="AF4175:AH4175"/>
    <mergeCell ref="AC4175:AD4175"/>
    <mergeCell ref="AC4169:AD4169"/>
    <mergeCell ref="AC4152:AD4152"/>
    <mergeCell ref="AF4152:AH4152"/>
    <mergeCell ref="AK4152:AL4152"/>
    <mergeCell ref="AC4153:AD4153"/>
    <mergeCell ref="AF4153:AH4153"/>
    <mergeCell ref="AK4153:AL4153"/>
    <mergeCell ref="AC4154:AD4154"/>
    <mergeCell ref="AF4154:AH4154"/>
    <mergeCell ref="AK4154:AL4154"/>
    <mergeCell ref="AC4155:AD4155"/>
    <mergeCell ref="AF4155:AH4155"/>
    <mergeCell ref="AK4155:AL4155"/>
    <mergeCell ref="AC4156:AD4156"/>
    <mergeCell ref="AF4156:AH4156"/>
    <mergeCell ref="AK4156:AL4156"/>
    <mergeCell ref="AF4157:AH4157"/>
    <mergeCell ref="AK4157:AL4157"/>
    <mergeCell ref="AC4158:AD4158"/>
    <mergeCell ref="AF4158:AH4158"/>
    <mergeCell ref="AK4158:AL4158"/>
    <mergeCell ref="AC4159:AD4159"/>
    <mergeCell ref="AF4159:AH4159"/>
    <mergeCell ref="AK4159:AL4159"/>
    <mergeCell ref="AC4160:AD4160"/>
    <mergeCell ref="AF4160:AH4160"/>
    <mergeCell ref="AK4160:AL4160"/>
    <mergeCell ref="AC4161:AD4161"/>
    <mergeCell ref="AF4161:AH4161"/>
    <mergeCell ref="AK4161:AL4161"/>
    <mergeCell ref="AC4162:AD4162"/>
    <mergeCell ref="AF4162:AH4162"/>
    <mergeCell ref="AK4162:AL4162"/>
    <mergeCell ref="AK4163:AL4163"/>
    <mergeCell ref="AF4163:AH4163"/>
    <mergeCell ref="AC4163:AD4163"/>
    <mergeCell ref="AC4157:AD4157"/>
    <mergeCell ref="AC4140:AD4140"/>
    <mergeCell ref="AF4140:AH4140"/>
    <mergeCell ref="AK4140:AL4140"/>
    <mergeCell ref="AC4141:AD4141"/>
    <mergeCell ref="AF4141:AH4141"/>
    <mergeCell ref="AK4141:AL4141"/>
    <mergeCell ref="AC4142:AD4142"/>
    <mergeCell ref="AF4142:AH4142"/>
    <mergeCell ref="AK4142:AL4142"/>
    <mergeCell ref="AC4143:AD4143"/>
    <mergeCell ref="AF4143:AH4143"/>
    <mergeCell ref="AK4143:AL4143"/>
    <mergeCell ref="AC4144:AD4144"/>
    <mergeCell ref="AF4144:AH4144"/>
    <mergeCell ref="AK4144:AL4144"/>
    <mergeCell ref="AF4145:AH4145"/>
    <mergeCell ref="AK4145:AL4145"/>
    <mergeCell ref="AC4146:AD4146"/>
    <mergeCell ref="AF4146:AH4146"/>
    <mergeCell ref="AK4146:AL4146"/>
    <mergeCell ref="AC4147:AD4147"/>
    <mergeCell ref="AF4147:AH4147"/>
    <mergeCell ref="AK4147:AL4147"/>
    <mergeCell ref="AC4148:AD4148"/>
    <mergeCell ref="AF4148:AH4148"/>
    <mergeCell ref="AK4148:AL4148"/>
    <mergeCell ref="AC4149:AD4149"/>
    <mergeCell ref="AF4149:AH4149"/>
    <mergeCell ref="AK4149:AL4149"/>
    <mergeCell ref="AC4150:AD4150"/>
    <mergeCell ref="AF4150:AH4150"/>
    <mergeCell ref="AK4150:AL4150"/>
    <mergeCell ref="AK4151:AL4151"/>
    <mergeCell ref="AF4151:AH4151"/>
    <mergeCell ref="AC4151:AD4151"/>
    <mergeCell ref="AC4145:AD4145"/>
    <mergeCell ref="AC4128:AD4128"/>
    <mergeCell ref="AF4128:AH4128"/>
    <mergeCell ref="AK4128:AL4128"/>
    <mergeCell ref="AC4129:AD4129"/>
    <mergeCell ref="AF4129:AH4129"/>
    <mergeCell ref="AK4129:AL4129"/>
    <mergeCell ref="AC4130:AD4130"/>
    <mergeCell ref="AF4130:AH4130"/>
    <mergeCell ref="AK4130:AL4130"/>
    <mergeCell ref="AC4131:AD4131"/>
    <mergeCell ref="AF4131:AH4131"/>
    <mergeCell ref="AK4131:AL4131"/>
    <mergeCell ref="AC4132:AD4132"/>
    <mergeCell ref="AF4132:AH4132"/>
    <mergeCell ref="AK4132:AL4132"/>
    <mergeCell ref="AF4133:AH4133"/>
    <mergeCell ref="AK4133:AL4133"/>
    <mergeCell ref="AC4134:AD4134"/>
    <mergeCell ref="AF4134:AH4134"/>
    <mergeCell ref="AK4134:AL4134"/>
    <mergeCell ref="AC4135:AD4135"/>
    <mergeCell ref="AF4135:AH4135"/>
    <mergeCell ref="AK4135:AL4135"/>
    <mergeCell ref="AC4136:AD4136"/>
    <mergeCell ref="AF4136:AH4136"/>
    <mergeCell ref="AK4136:AL4136"/>
    <mergeCell ref="AC4137:AD4137"/>
    <mergeCell ref="AF4137:AH4137"/>
    <mergeCell ref="AK4137:AL4137"/>
    <mergeCell ref="AC4138:AD4138"/>
    <mergeCell ref="AF4138:AH4138"/>
    <mergeCell ref="AK4138:AL4138"/>
    <mergeCell ref="AK4139:AL4139"/>
    <mergeCell ref="AF4139:AH4139"/>
    <mergeCell ref="AC4139:AD4139"/>
    <mergeCell ref="AC4133:AD4133"/>
    <mergeCell ref="AC4116:AD4116"/>
    <mergeCell ref="AF4116:AH4116"/>
    <mergeCell ref="AK4116:AL4116"/>
    <mergeCell ref="AC4117:AD4117"/>
    <mergeCell ref="AF4117:AH4117"/>
    <mergeCell ref="AK4117:AL4117"/>
    <mergeCell ref="AC4118:AD4118"/>
    <mergeCell ref="AF4118:AH4118"/>
    <mergeCell ref="AK4118:AL4118"/>
    <mergeCell ref="AC4119:AD4119"/>
    <mergeCell ref="AF4119:AH4119"/>
    <mergeCell ref="AK4119:AL4119"/>
    <mergeCell ref="AC4120:AD4120"/>
    <mergeCell ref="AF4120:AH4120"/>
    <mergeCell ref="AK4120:AL4120"/>
    <mergeCell ref="AF4121:AH4121"/>
    <mergeCell ref="AK4121:AL4121"/>
    <mergeCell ref="AC4122:AD4122"/>
    <mergeCell ref="AF4122:AH4122"/>
    <mergeCell ref="AK4122:AL4122"/>
    <mergeCell ref="AC4123:AD4123"/>
    <mergeCell ref="AF4123:AH4123"/>
    <mergeCell ref="AK4123:AL4123"/>
    <mergeCell ref="AC4124:AD4124"/>
    <mergeCell ref="AF4124:AH4124"/>
    <mergeCell ref="AK4124:AL4124"/>
    <mergeCell ref="AC4125:AD4125"/>
    <mergeCell ref="AF4125:AH4125"/>
    <mergeCell ref="AK4125:AL4125"/>
    <mergeCell ref="AC4126:AD4126"/>
    <mergeCell ref="AF4126:AH4126"/>
    <mergeCell ref="AK4126:AL4126"/>
    <mergeCell ref="AK4127:AL4127"/>
    <mergeCell ref="AF4127:AH4127"/>
    <mergeCell ref="AC4127:AD4127"/>
    <mergeCell ref="AC4121:AD4121"/>
    <mergeCell ref="AC4104:AD4104"/>
    <mergeCell ref="AF4104:AH4104"/>
    <mergeCell ref="AK4104:AL4104"/>
    <mergeCell ref="AC4105:AD4105"/>
    <mergeCell ref="AF4105:AH4105"/>
    <mergeCell ref="AK4105:AL4105"/>
    <mergeCell ref="AC4106:AD4106"/>
    <mergeCell ref="AF4106:AH4106"/>
    <mergeCell ref="AK4106:AL4106"/>
    <mergeCell ref="AC4107:AD4107"/>
    <mergeCell ref="AF4107:AH4107"/>
    <mergeCell ref="AK4107:AL4107"/>
    <mergeCell ref="AC4108:AD4108"/>
    <mergeCell ref="AF4108:AH4108"/>
    <mergeCell ref="AK4108:AL4108"/>
    <mergeCell ref="AF4109:AH4109"/>
    <mergeCell ref="AK4109:AL4109"/>
    <mergeCell ref="AC4110:AD4110"/>
    <mergeCell ref="AF4110:AH4110"/>
    <mergeCell ref="AK4110:AL4110"/>
    <mergeCell ref="AC4111:AD4111"/>
    <mergeCell ref="AF4111:AH4111"/>
    <mergeCell ref="AK4111:AL4111"/>
    <mergeCell ref="AC4112:AD4112"/>
    <mergeCell ref="AF4112:AH4112"/>
    <mergeCell ref="AK4112:AL4112"/>
    <mergeCell ref="AC4113:AD4113"/>
    <mergeCell ref="AF4113:AH4113"/>
    <mergeCell ref="AK4113:AL4113"/>
    <mergeCell ref="AC4114:AD4114"/>
    <mergeCell ref="AF4114:AH4114"/>
    <mergeCell ref="AK4114:AL4114"/>
    <mergeCell ref="AK4115:AL4115"/>
    <mergeCell ref="AF4115:AH4115"/>
    <mergeCell ref="AC4115:AD4115"/>
    <mergeCell ref="AC4109:AD4109"/>
    <mergeCell ref="AC4092:AD4092"/>
    <mergeCell ref="AF4092:AH4092"/>
    <mergeCell ref="AK4092:AL4092"/>
    <mergeCell ref="AC4093:AD4093"/>
    <mergeCell ref="AF4093:AH4093"/>
    <mergeCell ref="AK4093:AL4093"/>
    <mergeCell ref="AC4094:AD4094"/>
    <mergeCell ref="AF4094:AH4094"/>
    <mergeCell ref="AK4094:AL4094"/>
    <mergeCell ref="AC4095:AD4095"/>
    <mergeCell ref="AF4095:AH4095"/>
    <mergeCell ref="AK4095:AL4095"/>
    <mergeCell ref="AC4096:AD4096"/>
    <mergeCell ref="AF4096:AH4096"/>
    <mergeCell ref="AK4096:AL4096"/>
    <mergeCell ref="AF4097:AH4097"/>
    <mergeCell ref="AK4097:AL4097"/>
    <mergeCell ref="AC4098:AD4098"/>
    <mergeCell ref="AF4098:AH4098"/>
    <mergeCell ref="AK4098:AL4098"/>
    <mergeCell ref="AC4099:AD4099"/>
    <mergeCell ref="AF4099:AH4099"/>
    <mergeCell ref="AK4099:AL4099"/>
    <mergeCell ref="AC4100:AD4100"/>
    <mergeCell ref="AF4100:AH4100"/>
    <mergeCell ref="AK4100:AL4100"/>
    <mergeCell ref="AC4101:AD4101"/>
    <mergeCell ref="AF4101:AH4101"/>
    <mergeCell ref="AK4101:AL4101"/>
    <mergeCell ref="AC4102:AD4102"/>
    <mergeCell ref="AF4102:AH4102"/>
    <mergeCell ref="AK4102:AL4102"/>
    <mergeCell ref="AK4103:AL4103"/>
    <mergeCell ref="AF4103:AH4103"/>
    <mergeCell ref="AC4103:AD4103"/>
    <mergeCell ref="AC4097:AD4097"/>
    <mergeCell ref="AC4080:AD4080"/>
    <mergeCell ref="AF4080:AH4080"/>
    <mergeCell ref="AK4080:AL4080"/>
    <mergeCell ref="AC4081:AD4081"/>
    <mergeCell ref="AF4081:AH4081"/>
    <mergeCell ref="AK4081:AL4081"/>
    <mergeCell ref="AC4082:AD4082"/>
    <mergeCell ref="AF4082:AH4082"/>
    <mergeCell ref="AK4082:AL4082"/>
    <mergeCell ref="AC4083:AD4083"/>
    <mergeCell ref="AF4083:AH4083"/>
    <mergeCell ref="AK4083:AL4083"/>
    <mergeCell ref="AC4084:AD4084"/>
    <mergeCell ref="AF4084:AH4084"/>
    <mergeCell ref="AK4084:AL4084"/>
    <mergeCell ref="AF4085:AH4085"/>
    <mergeCell ref="AK4085:AL4085"/>
    <mergeCell ref="AC4086:AD4086"/>
    <mergeCell ref="AF4086:AH4086"/>
    <mergeCell ref="AK4086:AL4086"/>
    <mergeCell ref="AC4087:AD4087"/>
    <mergeCell ref="AF4087:AH4087"/>
    <mergeCell ref="AK4087:AL4087"/>
    <mergeCell ref="AC4088:AD4088"/>
    <mergeCell ref="AF4088:AH4088"/>
    <mergeCell ref="AK4088:AL4088"/>
    <mergeCell ref="AC4089:AD4089"/>
    <mergeCell ref="AF4089:AH4089"/>
    <mergeCell ref="AK4089:AL4089"/>
    <mergeCell ref="AC4090:AD4090"/>
    <mergeCell ref="AF4090:AH4090"/>
    <mergeCell ref="AK4090:AL4090"/>
    <mergeCell ref="AK4091:AL4091"/>
    <mergeCell ref="AF4091:AH4091"/>
    <mergeCell ref="AC4091:AD4091"/>
    <mergeCell ref="AC4085:AD4085"/>
    <mergeCell ref="AC4068:AD4068"/>
    <mergeCell ref="AF4068:AH4068"/>
    <mergeCell ref="AK4068:AL4068"/>
    <mergeCell ref="AC4069:AD4069"/>
    <mergeCell ref="AF4069:AH4069"/>
    <mergeCell ref="AK4069:AL4069"/>
    <mergeCell ref="AC4070:AD4070"/>
    <mergeCell ref="AF4070:AH4070"/>
    <mergeCell ref="AK4070:AL4070"/>
    <mergeCell ref="AC4071:AD4071"/>
    <mergeCell ref="AF4071:AH4071"/>
    <mergeCell ref="AK4071:AL4071"/>
    <mergeCell ref="AC4072:AD4072"/>
    <mergeCell ref="AF4072:AH4072"/>
    <mergeCell ref="AK4072:AL4072"/>
    <mergeCell ref="AF4073:AH4073"/>
    <mergeCell ref="AK4073:AL4073"/>
    <mergeCell ref="AC4074:AD4074"/>
    <mergeCell ref="AF4074:AH4074"/>
    <mergeCell ref="AK4074:AL4074"/>
    <mergeCell ref="AC4075:AD4075"/>
    <mergeCell ref="AF4075:AH4075"/>
    <mergeCell ref="AK4075:AL4075"/>
    <mergeCell ref="AC4076:AD4076"/>
    <mergeCell ref="AF4076:AH4076"/>
    <mergeCell ref="AK4076:AL4076"/>
    <mergeCell ref="AC4077:AD4077"/>
    <mergeCell ref="AF4077:AH4077"/>
    <mergeCell ref="AK4077:AL4077"/>
    <mergeCell ref="AC4078:AD4078"/>
    <mergeCell ref="AF4078:AH4078"/>
    <mergeCell ref="AK4078:AL4078"/>
    <mergeCell ref="AK4079:AL4079"/>
    <mergeCell ref="AF4079:AH4079"/>
    <mergeCell ref="AC4079:AD4079"/>
    <mergeCell ref="AC4073:AD4073"/>
    <mergeCell ref="AC4056:AD4056"/>
    <mergeCell ref="AF4056:AH4056"/>
    <mergeCell ref="AK4056:AL4056"/>
    <mergeCell ref="AC4057:AD4057"/>
    <mergeCell ref="AF4057:AH4057"/>
    <mergeCell ref="AK4057:AL4057"/>
    <mergeCell ref="AC4058:AD4058"/>
    <mergeCell ref="AF4058:AH4058"/>
    <mergeCell ref="AK4058:AL4058"/>
    <mergeCell ref="AC4059:AD4059"/>
    <mergeCell ref="AF4059:AH4059"/>
    <mergeCell ref="AK4059:AL4059"/>
    <mergeCell ref="AC4060:AD4060"/>
    <mergeCell ref="AF4060:AH4060"/>
    <mergeCell ref="AK4060:AL4060"/>
    <mergeCell ref="AF4061:AH4061"/>
    <mergeCell ref="AK4061:AL4061"/>
    <mergeCell ref="AC4062:AD4062"/>
    <mergeCell ref="AF4062:AH4062"/>
    <mergeCell ref="AK4062:AL4062"/>
    <mergeCell ref="AC4063:AD4063"/>
    <mergeCell ref="AF4063:AH4063"/>
    <mergeCell ref="AK4063:AL4063"/>
    <mergeCell ref="AC4064:AD4064"/>
    <mergeCell ref="AF4064:AH4064"/>
    <mergeCell ref="AK4064:AL4064"/>
    <mergeCell ref="AC4065:AD4065"/>
    <mergeCell ref="AF4065:AH4065"/>
    <mergeCell ref="AK4065:AL4065"/>
    <mergeCell ref="AC4066:AD4066"/>
    <mergeCell ref="AF4066:AH4066"/>
    <mergeCell ref="AK4066:AL4066"/>
    <mergeCell ref="AK4067:AL4067"/>
    <mergeCell ref="AF4067:AH4067"/>
    <mergeCell ref="AC4067:AD4067"/>
    <mergeCell ref="AC4061:AD4061"/>
    <mergeCell ref="AF4051:AH4051"/>
    <mergeCell ref="AK4051:AL4051"/>
    <mergeCell ref="AC4052:AD4052"/>
    <mergeCell ref="AF4052:AH4052"/>
    <mergeCell ref="AK4052:AL4052"/>
    <mergeCell ref="AC4053:AD4053"/>
    <mergeCell ref="AF4053:AH4053"/>
    <mergeCell ref="AK4053:AL4053"/>
    <mergeCell ref="AC4054:AD4054"/>
    <mergeCell ref="AF4054:AH4054"/>
    <mergeCell ref="AK4054:AL4054"/>
    <mergeCell ref="AK4043:AL4043"/>
    <mergeCell ref="AC4044:AD4044"/>
    <mergeCell ref="AF4044:AH4044"/>
    <mergeCell ref="AK4044:AL4044"/>
    <mergeCell ref="AC4045:AD4045"/>
    <mergeCell ref="AF4045:AH4045"/>
    <mergeCell ref="AK4045:AL4045"/>
    <mergeCell ref="AC4046:AD4046"/>
    <mergeCell ref="AF4046:AH4046"/>
    <mergeCell ref="AK4046:AL4046"/>
    <mergeCell ref="AC4047:AD4047"/>
    <mergeCell ref="AF4047:AH4047"/>
    <mergeCell ref="AK4047:AL4047"/>
    <mergeCell ref="AC4048:AD4048"/>
    <mergeCell ref="AF4048:AH4048"/>
    <mergeCell ref="AK4048:AL4048"/>
    <mergeCell ref="AK4055:AL4055"/>
    <mergeCell ref="AF4043:AH4043"/>
    <mergeCell ref="AF4055:AH4055"/>
    <mergeCell ref="AC4043:AD4043"/>
    <mergeCell ref="AC4055:AD4055"/>
    <mergeCell ref="AC4049:AD4049"/>
    <mergeCell ref="AF4049:AH4049"/>
    <mergeCell ref="AC3029:AD3029"/>
    <mergeCell ref="AF3029:AH3029"/>
    <mergeCell ref="AC3030:AD3030"/>
    <mergeCell ref="AF3030:AH3030"/>
    <mergeCell ref="AC4415:AD4415"/>
    <mergeCell ref="AF4415:AH4415"/>
    <mergeCell ref="AK4415:AL4415"/>
    <mergeCell ref="K4107:L4107"/>
    <mergeCell ref="K3821:L3821"/>
    <mergeCell ref="K3822:L3822"/>
    <mergeCell ref="K3825:L3825"/>
    <mergeCell ref="K3832:L3832"/>
    <mergeCell ref="K3836:L3836"/>
    <mergeCell ref="K3839:L3839"/>
    <mergeCell ref="K3448:L3448"/>
    <mergeCell ref="K3250:L3250"/>
    <mergeCell ref="K3208:L3208"/>
    <mergeCell ref="K3152:L3152"/>
    <mergeCell ref="K3534:L3534"/>
    <mergeCell ref="K3484:L3484"/>
    <mergeCell ref="K3449:L3449"/>
    <mergeCell ref="K2598:L2598"/>
    <mergeCell ref="K2599:L2599"/>
    <mergeCell ref="AK4031:AL4031"/>
    <mergeCell ref="AC4032:AD4032"/>
    <mergeCell ref="AF4032:AH4032"/>
    <mergeCell ref="AK4032:AL4032"/>
    <mergeCell ref="AC4033:AD4033"/>
    <mergeCell ref="AF4033:AH4033"/>
    <mergeCell ref="AK4033:AL4033"/>
    <mergeCell ref="AC4034:AD4034"/>
    <mergeCell ref="AF4034:AH4034"/>
    <mergeCell ref="AK4034:AL4034"/>
    <mergeCell ref="AC4035:AD4035"/>
    <mergeCell ref="AF4035:AH4035"/>
    <mergeCell ref="AK4035:AL4035"/>
    <mergeCell ref="AC4036:AD4036"/>
    <mergeCell ref="AF4036:AH4036"/>
    <mergeCell ref="AK4036:AL4036"/>
    <mergeCell ref="AC4037:AD4037"/>
    <mergeCell ref="AF4037:AH4037"/>
    <mergeCell ref="AK4037:AL4037"/>
    <mergeCell ref="AC4038:AD4038"/>
    <mergeCell ref="AF4038:AH4038"/>
    <mergeCell ref="AK4038:AL4038"/>
    <mergeCell ref="AC4039:AD4039"/>
    <mergeCell ref="AF4039:AH4039"/>
    <mergeCell ref="AK4039:AL4039"/>
    <mergeCell ref="AC4040:AD4040"/>
    <mergeCell ref="AF4040:AH4040"/>
    <mergeCell ref="AK4040:AL4040"/>
    <mergeCell ref="AC4041:AD4041"/>
    <mergeCell ref="AF4041:AH4041"/>
    <mergeCell ref="AK4041:AL4041"/>
    <mergeCell ref="AC4042:AD4042"/>
    <mergeCell ref="AF4042:AH4042"/>
    <mergeCell ref="AK4042:AL4042"/>
    <mergeCell ref="AC4031:AD4031"/>
    <mergeCell ref="AF4031:AH4031"/>
    <mergeCell ref="AK4049:AL4049"/>
    <mergeCell ref="AC4050:AD4050"/>
    <mergeCell ref="AF4050:AH4050"/>
    <mergeCell ref="AK4050:AL4050"/>
    <mergeCell ref="AC4051:AD4051"/>
    <mergeCell ref="AC3028:AD3028"/>
    <mergeCell ref="AC1861:AD1861"/>
    <mergeCell ref="AF1861:AH1861"/>
    <mergeCell ref="AK1861:AL1861"/>
    <mergeCell ref="AC1862:AD1862"/>
    <mergeCell ref="AF1862:AH1862"/>
    <mergeCell ref="AK1862:AL1862"/>
    <mergeCell ref="K726:L726"/>
    <mergeCell ref="K729:L729"/>
    <mergeCell ref="K732:L732"/>
    <mergeCell ref="K742:L742"/>
    <mergeCell ref="K745:L745"/>
    <mergeCell ref="K750:L750"/>
    <mergeCell ref="K753:L753"/>
    <mergeCell ref="K757:L757"/>
    <mergeCell ref="K792:L792"/>
    <mergeCell ref="K795:L795"/>
    <mergeCell ref="K799:L799"/>
    <mergeCell ref="K802:L802"/>
    <mergeCell ref="K806:L806"/>
    <mergeCell ref="K809:L809"/>
    <mergeCell ref="K812:L812"/>
    <mergeCell ref="K815:L815"/>
    <mergeCell ref="K818:L818"/>
    <mergeCell ref="K822:L822"/>
    <mergeCell ref="K825:L825"/>
    <mergeCell ref="K828:L828"/>
    <mergeCell ref="K831:L831"/>
    <mergeCell ref="K834:L834"/>
    <mergeCell ref="K839:L839"/>
    <mergeCell ref="K840:L840"/>
    <mergeCell ref="K846:L846"/>
    <mergeCell ref="K847:L847"/>
    <mergeCell ref="K850:L850"/>
    <mergeCell ref="K853:L853"/>
    <mergeCell ref="K857:L857"/>
    <mergeCell ref="K864:L864"/>
    <mergeCell ref="K869:L869"/>
    <mergeCell ref="K874:L874"/>
    <mergeCell ref="K879:L879"/>
    <mergeCell ref="K866:L866"/>
    <mergeCell ref="AF3028:AH3028"/>
    <mergeCell ref="K838:L838"/>
    <mergeCell ref="K843:L843"/>
    <mergeCell ref="K789:L789"/>
    <mergeCell ref="K845:L845"/>
    <mergeCell ref="K871:L871"/>
    <mergeCell ref="K876:L876"/>
    <mergeCell ref="K1090:L1090"/>
    <mergeCell ref="K1093:L1093"/>
    <mergeCell ref="K1099:L1099"/>
    <mergeCell ref="K1094:L1094"/>
    <mergeCell ref="K1097:L1097"/>
    <mergeCell ref="K1098:L1098"/>
    <mergeCell ref="K1100:L1100"/>
    <mergeCell ref="K1116:L1116"/>
    <mergeCell ref="K1126:L1126"/>
    <mergeCell ref="K1128:L1128"/>
    <mergeCell ref="K1138:L1138"/>
    <mergeCell ref="K1145:L1145"/>
    <mergeCell ref="K1148:L1148"/>
    <mergeCell ref="K1150:L1150"/>
    <mergeCell ref="K1151:L1151"/>
    <mergeCell ref="K1163:L1163"/>
    <mergeCell ref="K27:L27"/>
    <mergeCell ref="K30:L30"/>
    <mergeCell ref="K33:L33"/>
    <mergeCell ref="K34:L34"/>
    <mergeCell ref="K37:L37"/>
    <mergeCell ref="K38:L38"/>
    <mergeCell ref="K39:L39"/>
    <mergeCell ref="K43:L43"/>
    <mergeCell ref="K44:L44"/>
    <mergeCell ref="K47:L47"/>
    <mergeCell ref="K48:L48"/>
    <mergeCell ref="K49:L49"/>
    <mergeCell ref="K52:L52"/>
    <mergeCell ref="K55:L55"/>
    <mergeCell ref="K56:L56"/>
    <mergeCell ref="K57:L57"/>
    <mergeCell ref="K58:L58"/>
    <mergeCell ref="K61:L61"/>
    <mergeCell ref="K65:L65"/>
    <mergeCell ref="K69:L69"/>
    <mergeCell ref="K70:L70"/>
    <mergeCell ref="K73:L73"/>
    <mergeCell ref="K74:L74"/>
    <mergeCell ref="K75:L75"/>
    <mergeCell ref="K76:L76"/>
    <mergeCell ref="K77:L77"/>
    <mergeCell ref="K78:L78"/>
    <mergeCell ref="K81:L81"/>
    <mergeCell ref="K93:L93"/>
    <mergeCell ref="K95:L95"/>
    <mergeCell ref="K96:L96"/>
    <mergeCell ref="K98:L98"/>
    <mergeCell ref="K90:L90"/>
    <mergeCell ref="K42:L42"/>
    <mergeCell ref="AN4435:AP4435"/>
    <mergeCell ref="AK4426:AL4426"/>
    <mergeCell ref="AK4430:AL4430"/>
    <mergeCell ref="AK4431:AL4431"/>
    <mergeCell ref="AK4434:AL4434"/>
    <mergeCell ref="AK4432:AL4432"/>
    <mergeCell ref="AK4433:AL4433"/>
    <mergeCell ref="AK4435:AL4435"/>
    <mergeCell ref="AK4429:AL4429"/>
    <mergeCell ref="AK4428:AL4428"/>
    <mergeCell ref="AK4422:AL4422"/>
    <mergeCell ref="AK4427:AL4427"/>
    <mergeCell ref="AK4425:AL4425"/>
    <mergeCell ref="AK4424:AL4424"/>
    <mergeCell ref="AK4421:AL4421"/>
    <mergeCell ref="AK4423:AL4423"/>
    <mergeCell ref="AK4420:AL4420"/>
    <mergeCell ref="AE4433:AF4433"/>
    <mergeCell ref="AE4432:AF4432"/>
    <mergeCell ref="Z4428:AE4428"/>
    <mergeCell ref="Z4423:AE4423"/>
    <mergeCell ref="R4490:S4490"/>
    <mergeCell ref="Z4479:AI4479"/>
    <mergeCell ref="Z4458:AI4458"/>
    <mergeCell ref="Z4459:AI4459"/>
    <mergeCell ref="Z4455:AI4455"/>
    <mergeCell ref="Z4467:AI4467"/>
    <mergeCell ref="Z4457:AI4457"/>
    <mergeCell ref="Z4461:AI4461"/>
    <mergeCell ref="N4420:W4427"/>
    <mergeCell ref="N4432:W4432"/>
    <mergeCell ref="AA4427:AD4427"/>
    <mergeCell ref="K4439:L4439"/>
    <mergeCell ref="Z4435:AE4435"/>
    <mergeCell ref="Z4465:AI4465"/>
    <mergeCell ref="Z4476:AI4476"/>
    <mergeCell ref="Z4490:AI4490"/>
    <mergeCell ref="F4447:H4447"/>
    <mergeCell ref="F4425:G4425"/>
    <mergeCell ref="A4436:B4436"/>
    <mergeCell ref="Z4454:AI4454"/>
    <mergeCell ref="AA4424:AD4424"/>
    <mergeCell ref="Z4450:AI4450"/>
    <mergeCell ref="Z4488:AI4488"/>
    <mergeCell ref="K4423:L4423"/>
    <mergeCell ref="Z4478:AI4478"/>
    <mergeCell ref="Z4466:AI4466"/>
    <mergeCell ref="Z4475:AI4475"/>
    <mergeCell ref="Z4470:AI4470"/>
    <mergeCell ref="Z4486:AI4486"/>
    <mergeCell ref="Z4484:AI4484"/>
    <mergeCell ref="Z4451:AI4451"/>
    <mergeCell ref="Z4469:AI4469"/>
    <mergeCell ref="AK4419:AL4419"/>
    <mergeCell ref="AK4414:AL4414"/>
    <mergeCell ref="Z4481:AI4481"/>
    <mergeCell ref="K4421:L4421"/>
    <mergeCell ref="Z4487:AI4487"/>
    <mergeCell ref="Z4453:AI4453"/>
    <mergeCell ref="AK3028:AL3028"/>
    <mergeCell ref="AK3029:AL3029"/>
    <mergeCell ref="AK3030:AL3030"/>
    <mergeCell ref="AF3031:AH3031"/>
    <mergeCell ref="AK3031:AL3031"/>
    <mergeCell ref="AC3032:AD3032"/>
    <mergeCell ref="AF3032:AH3032"/>
    <mergeCell ref="AK3032:AL3032"/>
    <mergeCell ref="AC3033:AD3033"/>
    <mergeCell ref="AF3033:AH3033"/>
    <mergeCell ref="AK3033:AL3033"/>
    <mergeCell ref="AC3034:AD3034"/>
    <mergeCell ref="AF3034:AH3034"/>
    <mergeCell ref="AK3034:AL3034"/>
    <mergeCell ref="AC3035:AD3035"/>
    <mergeCell ref="AF3035:AH3035"/>
    <mergeCell ref="AC17:AD17"/>
    <mergeCell ref="AF17:AH17"/>
    <mergeCell ref="AC18:AD18"/>
    <mergeCell ref="AF18:AH18"/>
    <mergeCell ref="I4417:M4417"/>
    <mergeCell ref="Z4416:AH4416"/>
    <mergeCell ref="K201:L201"/>
    <mergeCell ref="K205:L205"/>
    <mergeCell ref="K209:L209"/>
    <mergeCell ref="K210:L210"/>
    <mergeCell ref="K103:L103"/>
    <mergeCell ref="K82:L82"/>
    <mergeCell ref="K87:L87"/>
    <mergeCell ref="K94:L94"/>
    <mergeCell ref="K97:L97"/>
    <mergeCell ref="K83:L83"/>
    <mergeCell ref="K84:L84"/>
    <mergeCell ref="K167:L167"/>
    <mergeCell ref="K168:L168"/>
    <mergeCell ref="K296:L296"/>
    <mergeCell ref="K301:L301"/>
    <mergeCell ref="K305:L305"/>
    <mergeCell ref="K397:L397"/>
    <mergeCell ref="K1027:L1027"/>
    <mergeCell ref="K4420:L4420"/>
    <mergeCell ref="K643:L643"/>
    <mergeCell ref="K766:L766"/>
    <mergeCell ref="K767:L767"/>
    <mergeCell ref="K694:L694"/>
    <mergeCell ref="K630:L630"/>
    <mergeCell ref="K631:L631"/>
    <mergeCell ref="K632:L632"/>
    <mergeCell ref="K870:L870"/>
    <mergeCell ref="K875:L875"/>
    <mergeCell ref="K865:L865"/>
    <mergeCell ref="K1068:L1068"/>
    <mergeCell ref="K1047:L1047"/>
    <mergeCell ref="K919:L919"/>
    <mergeCell ref="K931:L931"/>
    <mergeCell ref="K942:L942"/>
    <mergeCell ref="K955:L955"/>
    <mergeCell ref="K2468:L2468"/>
    <mergeCell ref="AC3031:AD3031"/>
    <mergeCell ref="BD2:BF2"/>
    <mergeCell ref="BE3:BF3"/>
    <mergeCell ref="AW4:BE4"/>
    <mergeCell ref="AL3:AS3"/>
    <mergeCell ref="AW2:BA2"/>
    <mergeCell ref="L9:M9"/>
    <mergeCell ref="AL9:AN9"/>
    <mergeCell ref="S9:Y9"/>
    <mergeCell ref="AL4:AT4"/>
    <mergeCell ref="AL8:AN8"/>
    <mergeCell ref="N9:R9"/>
    <mergeCell ref="AL5:AT5"/>
    <mergeCell ref="I2:L2"/>
    <mergeCell ref="N8:AA8"/>
    <mergeCell ref="AQ6:AT6"/>
    <mergeCell ref="AL6:AP6"/>
    <mergeCell ref="Z6:AC6"/>
    <mergeCell ref="Z7:AH7"/>
    <mergeCell ref="AF6:AH6"/>
    <mergeCell ref="AC8:AH8"/>
    <mergeCell ref="N7:Y7"/>
    <mergeCell ref="A7:M7"/>
    <mergeCell ref="J8:L8"/>
    <mergeCell ref="G2:H2"/>
    <mergeCell ref="D2:F2"/>
    <mergeCell ref="A5:B5"/>
    <mergeCell ref="K4:L4"/>
    <mergeCell ref="K3:L3"/>
    <mergeCell ref="A12:B12"/>
    <mergeCell ref="A4:B4"/>
    <mergeCell ref="F12:H12"/>
    <mergeCell ref="K12:L12"/>
    <mergeCell ref="D13:E13"/>
    <mergeCell ref="F13:H13"/>
    <mergeCell ref="AC3:AE3"/>
    <mergeCell ref="AN11:AO11"/>
    <mergeCell ref="AE11:AH11"/>
    <mergeCell ref="Z11:AD11"/>
    <mergeCell ref="K13:L13"/>
    <mergeCell ref="AC2:AE2"/>
    <mergeCell ref="AC4:AE4"/>
    <mergeCell ref="AC5:AE5"/>
    <mergeCell ref="K366:L366"/>
    <mergeCell ref="K367:L367"/>
    <mergeCell ref="K368:L368"/>
    <mergeCell ref="K369:L369"/>
    <mergeCell ref="K370:L370"/>
    <mergeCell ref="K371:L371"/>
    <mergeCell ref="K372:L372"/>
    <mergeCell ref="K360:L360"/>
    <mergeCell ref="K364:L364"/>
    <mergeCell ref="K178:L178"/>
    <mergeCell ref="K179:L179"/>
    <mergeCell ref="K189:L189"/>
    <mergeCell ref="K190:L190"/>
    <mergeCell ref="K191:L191"/>
    <mergeCell ref="K306:L306"/>
    <mergeCell ref="K314:L314"/>
    <mergeCell ref="I9:J9"/>
    <mergeCell ref="D5:F5"/>
    <mergeCell ref="K5:L5"/>
    <mergeCell ref="AF12:AH14"/>
    <mergeCell ref="A14:B16"/>
    <mergeCell ref="A13:B13"/>
    <mergeCell ref="AF9:AH9"/>
    <mergeCell ref="F11:H11"/>
    <mergeCell ref="D11:E11"/>
    <mergeCell ref="D12:E12"/>
    <mergeCell ref="A11:B11"/>
    <mergeCell ref="B10:D10"/>
    <mergeCell ref="H3:J3"/>
    <mergeCell ref="K11:M11"/>
    <mergeCell ref="AL11:AM11"/>
    <mergeCell ref="AK12:AL12"/>
    <mergeCell ref="AC13:AD13"/>
    <mergeCell ref="AK13:AL13"/>
    <mergeCell ref="Z12:AD12"/>
    <mergeCell ref="AK4436:AL4436"/>
    <mergeCell ref="AK4438:AL4438"/>
    <mergeCell ref="Z4449:AI4449"/>
    <mergeCell ref="E4420:G4420"/>
    <mergeCell ref="D4427:E4427"/>
    <mergeCell ref="A4422:C4422"/>
    <mergeCell ref="F4426:G4426"/>
    <mergeCell ref="B4468:I4468"/>
    <mergeCell ref="B4474:I4474"/>
    <mergeCell ref="F4448:H4448"/>
    <mergeCell ref="A4417:D4417"/>
    <mergeCell ref="AC4414:AD4414"/>
    <mergeCell ref="AF4414:AH4414"/>
    <mergeCell ref="N4416:W4418"/>
    <mergeCell ref="Z4489:AI4489"/>
    <mergeCell ref="Z4442:AF4442"/>
    <mergeCell ref="B4480:I4480"/>
    <mergeCell ref="Z4419:AF4419"/>
    <mergeCell ref="Z4422:AD4422"/>
    <mergeCell ref="B4420:D4420"/>
    <mergeCell ref="AD4480:AH4480"/>
    <mergeCell ref="K4428:L4428"/>
    <mergeCell ref="B4421:D4421"/>
    <mergeCell ref="K4419:L4419"/>
    <mergeCell ref="K4446:N4449"/>
    <mergeCell ref="K4457:N4459"/>
    <mergeCell ref="Z4464:AI4464"/>
    <mergeCell ref="AB4429:AG4429"/>
    <mergeCell ref="Z4485:AI4485"/>
    <mergeCell ref="Z4426:AE4426"/>
    <mergeCell ref="K4426:L4426"/>
    <mergeCell ref="Z4460:AI4460"/>
    <mergeCell ref="Z4452:AI4452"/>
    <mergeCell ref="K4425:L4425"/>
    <mergeCell ref="N4430:W4430"/>
    <mergeCell ref="N4431:W4431"/>
    <mergeCell ref="AK4418:AL4418"/>
    <mergeCell ref="Z4418:AF4418"/>
    <mergeCell ref="G4427:J4427"/>
    <mergeCell ref="B4419:D4419"/>
    <mergeCell ref="Z4472:AI4472"/>
    <mergeCell ref="Z4477:AI4477"/>
    <mergeCell ref="AA4425:AE4425"/>
    <mergeCell ref="Z4421:AE4421"/>
    <mergeCell ref="N4429:W4429"/>
    <mergeCell ref="Z4420:AE4420"/>
    <mergeCell ref="K4424:L4424"/>
    <mergeCell ref="K4427:L4427"/>
    <mergeCell ref="Z4471:AI4471"/>
    <mergeCell ref="Z4456:AI4456"/>
    <mergeCell ref="Z4474:AI4474"/>
    <mergeCell ref="Z4462:AI4462"/>
    <mergeCell ref="K4479:L4479"/>
    <mergeCell ref="Z4473:AI4473"/>
    <mergeCell ref="Z4482:AI4482"/>
    <mergeCell ref="Z4483:AI4483"/>
    <mergeCell ref="Z4447:AI4447"/>
    <mergeCell ref="AD4438:AH4438"/>
    <mergeCell ref="AG4442:AI4442"/>
    <mergeCell ref="Z4463:AI4463"/>
    <mergeCell ref="Z4448:AI4448"/>
    <mergeCell ref="AH4439:AI4439"/>
    <mergeCell ref="Z4446:AI4446"/>
    <mergeCell ref="Z4468:AI4468"/>
    <mergeCell ref="AB4430:AG4430"/>
    <mergeCell ref="K19:L19"/>
    <mergeCell ref="K22:L22"/>
    <mergeCell ref="K23:L23"/>
    <mergeCell ref="K26:L26"/>
    <mergeCell ref="AG4443:AH4443"/>
    <mergeCell ref="AK17:AL17"/>
    <mergeCell ref="AK18:AL18"/>
    <mergeCell ref="Z4440:AI4440"/>
    <mergeCell ref="Z4441:AI4441"/>
    <mergeCell ref="K489:L489"/>
    <mergeCell ref="K499:L499"/>
    <mergeCell ref="K504:L504"/>
    <mergeCell ref="K509:L509"/>
    <mergeCell ref="K513:L513"/>
    <mergeCell ref="K538:L538"/>
    <mergeCell ref="K545:L545"/>
    <mergeCell ref="H4426:J4426"/>
    <mergeCell ref="B4440:I4440"/>
    <mergeCell ref="AK3035:AL3035"/>
    <mergeCell ref="AC3036:AD3036"/>
    <mergeCell ref="AF3036:AH3036"/>
    <mergeCell ref="AK3036:AL3036"/>
    <mergeCell ref="AC3037:AD3037"/>
    <mergeCell ref="AF3037:AH3037"/>
    <mergeCell ref="AK3037:AL3037"/>
    <mergeCell ref="AC3038:AD3038"/>
    <mergeCell ref="AF3038:AH3038"/>
    <mergeCell ref="AK3038:AL3038"/>
    <mergeCell ref="AK3045:AL3045"/>
    <mergeCell ref="AC3046:AD3046"/>
    <mergeCell ref="AF3046:AH3046"/>
    <mergeCell ref="AK3046:AL3046"/>
    <mergeCell ref="AC3047:AD3047"/>
    <mergeCell ref="AF3047:AH3047"/>
    <mergeCell ref="AK3047:AL3047"/>
    <mergeCell ref="AC3048:AD3048"/>
    <mergeCell ref="AF3048:AH3048"/>
    <mergeCell ref="AK3048:AL3048"/>
    <mergeCell ref="AC3049:AD3049"/>
    <mergeCell ref="AF3049:AH3049"/>
    <mergeCell ref="AK3049:AL3049"/>
    <mergeCell ref="AC3050:AD3050"/>
    <mergeCell ref="AF3050:AH3050"/>
    <mergeCell ref="AK3050:AL3050"/>
    <mergeCell ref="AC3051:AD3051"/>
    <mergeCell ref="AF3051:AH3051"/>
    <mergeCell ref="AK3051:AL3051"/>
    <mergeCell ref="AC3052:AD3052"/>
    <mergeCell ref="AF3052:AH3052"/>
    <mergeCell ref="AK3052:AL3052"/>
    <mergeCell ref="AC3053:AD3053"/>
    <mergeCell ref="AF3053:AH3053"/>
    <mergeCell ref="AK3053:AL3053"/>
    <mergeCell ref="AC3045:AD3045"/>
    <mergeCell ref="AF3045:AH3045"/>
    <mergeCell ref="AC3054:AD3054"/>
    <mergeCell ref="AF3054:AH3054"/>
    <mergeCell ref="AK3054:AL3054"/>
    <mergeCell ref="AC3055:AD3055"/>
    <mergeCell ref="AF3055:AH3055"/>
    <mergeCell ref="AK3055:AL3055"/>
    <mergeCell ref="AC3039:AD3039"/>
    <mergeCell ref="AF3039:AH3039"/>
    <mergeCell ref="AK3039:AL3039"/>
    <mergeCell ref="AC3040:AD3040"/>
    <mergeCell ref="AF3040:AH3040"/>
    <mergeCell ref="AK3040:AL3040"/>
    <mergeCell ref="AC3041:AD3041"/>
    <mergeCell ref="AF3041:AH3041"/>
    <mergeCell ref="AK3041:AL3041"/>
    <mergeCell ref="AC3042:AD3042"/>
    <mergeCell ref="AF3042:AH3042"/>
    <mergeCell ref="AK3042:AL3042"/>
    <mergeCell ref="AC3043:AD3043"/>
    <mergeCell ref="AF3043:AH3043"/>
    <mergeCell ref="AK3043:AL3043"/>
    <mergeCell ref="AC3044:AD3044"/>
    <mergeCell ref="AF3044:AH3044"/>
    <mergeCell ref="AK3044:AL3044"/>
    <mergeCell ref="AC3056:AD3056"/>
    <mergeCell ref="AF3056:AH3056"/>
    <mergeCell ref="AK3056:AL3056"/>
    <mergeCell ref="AC3057:AD3057"/>
    <mergeCell ref="AF3057:AH3057"/>
    <mergeCell ref="AK3057:AL3057"/>
    <mergeCell ref="AC3058:AD3058"/>
    <mergeCell ref="AF3058:AH3058"/>
    <mergeCell ref="AK3058:AL3058"/>
    <mergeCell ref="AC3059:AD3059"/>
    <mergeCell ref="AF3059:AH3059"/>
    <mergeCell ref="AK3059:AL3059"/>
    <mergeCell ref="AC3060:AD3060"/>
    <mergeCell ref="AF3060:AH3060"/>
    <mergeCell ref="AK3060:AL3060"/>
    <mergeCell ref="AC3061:AD3061"/>
    <mergeCell ref="AF3061:AH3061"/>
    <mergeCell ref="AK3061:AL3061"/>
    <mergeCell ref="AC3062:AD3062"/>
    <mergeCell ref="AF3062:AH3062"/>
    <mergeCell ref="AK3062:AL3062"/>
    <mergeCell ref="AC3063:AD3063"/>
    <mergeCell ref="AF3063:AH3063"/>
    <mergeCell ref="AK3063:AL3063"/>
    <mergeCell ref="AC3064:AD3064"/>
    <mergeCell ref="AF3064:AH3064"/>
    <mergeCell ref="AK3064:AL3064"/>
    <mergeCell ref="AC3065:AD3065"/>
    <mergeCell ref="AF3065:AH3065"/>
    <mergeCell ref="AK3065:AL3065"/>
    <mergeCell ref="AC3066:AD3066"/>
    <mergeCell ref="AF3066:AH3066"/>
    <mergeCell ref="AK3066:AL3066"/>
    <mergeCell ref="AC3067:AD3067"/>
    <mergeCell ref="AF3067:AH3067"/>
    <mergeCell ref="AK3067:AL3067"/>
    <mergeCell ref="AC3068:AD3068"/>
    <mergeCell ref="AF3068:AH3068"/>
    <mergeCell ref="AK3068:AL3068"/>
    <mergeCell ref="AC3069:AD3069"/>
    <mergeCell ref="AF3069:AH3069"/>
    <mergeCell ref="AK3069:AL3069"/>
    <mergeCell ref="AC3070:AD3070"/>
    <mergeCell ref="AF3070:AH3070"/>
    <mergeCell ref="AK3070:AL3070"/>
    <mergeCell ref="AC3071:AD3071"/>
    <mergeCell ref="AF3071:AH3071"/>
    <mergeCell ref="AK3071:AL3071"/>
    <mergeCell ref="AC3072:AD3072"/>
    <mergeCell ref="AF3072:AH3072"/>
    <mergeCell ref="AK3072:AL3072"/>
    <mergeCell ref="AC3073:AD3073"/>
    <mergeCell ref="AF3073:AH3073"/>
    <mergeCell ref="AK3073:AL3073"/>
    <mergeCell ref="AC3074:AD3074"/>
    <mergeCell ref="AF3074:AH3074"/>
    <mergeCell ref="AK3074:AL3074"/>
    <mergeCell ref="AC3075:AD3075"/>
    <mergeCell ref="AF3075:AH3075"/>
    <mergeCell ref="AK3075:AL3075"/>
    <mergeCell ref="AC3076:AD3076"/>
    <mergeCell ref="AF3076:AH3076"/>
    <mergeCell ref="AK3076:AL3076"/>
    <mergeCell ref="AC3077:AD3077"/>
    <mergeCell ref="AF3077:AH3077"/>
    <mergeCell ref="AK3077:AL3077"/>
    <mergeCell ref="AC3078:AD3078"/>
    <mergeCell ref="AF3078:AH3078"/>
    <mergeCell ref="AK3078:AL3078"/>
    <mergeCell ref="AC3079:AD3079"/>
    <mergeCell ref="AF3079:AH3079"/>
    <mergeCell ref="AK3079:AL3079"/>
    <mergeCell ref="AC3080:AD3080"/>
    <mergeCell ref="AF3080:AH3080"/>
    <mergeCell ref="AK3080:AL3080"/>
    <mergeCell ref="AC3081:AD3081"/>
    <mergeCell ref="AF3081:AH3081"/>
    <mergeCell ref="AK3081:AL3081"/>
    <mergeCell ref="AC3082:AD3082"/>
    <mergeCell ref="AF3082:AH3082"/>
    <mergeCell ref="AK3082:AL3082"/>
    <mergeCell ref="AC3083:AD3083"/>
    <mergeCell ref="AF3083:AH3083"/>
    <mergeCell ref="AK3083:AL3083"/>
    <mergeCell ref="AC3084:AD3084"/>
    <mergeCell ref="AF3084:AH3084"/>
    <mergeCell ref="AK3084:AL3084"/>
    <mergeCell ref="AC3085:AD3085"/>
    <mergeCell ref="AF3085:AH3085"/>
    <mergeCell ref="AK3085:AL3085"/>
    <mergeCell ref="AC3086:AD3086"/>
    <mergeCell ref="AF3086:AH3086"/>
    <mergeCell ref="AK3086:AL3086"/>
    <mergeCell ref="AC3087:AD3087"/>
    <mergeCell ref="AF3087:AH3087"/>
    <mergeCell ref="AK3087:AL3087"/>
    <mergeCell ref="AC3088:AD3088"/>
    <mergeCell ref="AF3088:AH3088"/>
    <mergeCell ref="AK3088:AL3088"/>
    <mergeCell ref="AC3089:AD3089"/>
    <mergeCell ref="AF3089:AH3089"/>
    <mergeCell ref="AK3089:AL3089"/>
    <mergeCell ref="AC3090:AD3090"/>
    <mergeCell ref="AF3090:AH3090"/>
    <mergeCell ref="AK3090:AL3090"/>
    <mergeCell ref="AC3091:AD3091"/>
    <mergeCell ref="AF3091:AH3091"/>
    <mergeCell ref="AK3091:AL3091"/>
    <mergeCell ref="AC3092:AD3092"/>
    <mergeCell ref="AF3092:AH3092"/>
    <mergeCell ref="AK3092:AL3092"/>
    <mergeCell ref="AC3093:AD3093"/>
    <mergeCell ref="AF3093:AH3093"/>
    <mergeCell ref="AK3093:AL3093"/>
    <mergeCell ref="AC3094:AD3094"/>
    <mergeCell ref="AF3094:AH3094"/>
    <mergeCell ref="AK3094:AL3094"/>
    <mergeCell ref="AC3095:AD3095"/>
    <mergeCell ref="AF3095:AH3095"/>
    <mergeCell ref="AK3095:AL3095"/>
    <mergeCell ref="AC3096:AD3096"/>
    <mergeCell ref="AF3096:AH3096"/>
    <mergeCell ref="AK3096:AL3096"/>
    <mergeCell ref="AC3097:AD3097"/>
    <mergeCell ref="AF3097:AH3097"/>
    <mergeCell ref="AK3097:AL3097"/>
    <mergeCell ref="AC3098:AD3098"/>
    <mergeCell ref="AF3098:AH3098"/>
    <mergeCell ref="AK3098:AL3098"/>
    <mergeCell ref="AC3099:AD3099"/>
    <mergeCell ref="AF3099:AH3099"/>
    <mergeCell ref="AK3099:AL3099"/>
    <mergeCell ref="AC3100:AD3100"/>
    <mergeCell ref="AF3100:AH3100"/>
    <mergeCell ref="AK3100:AL3100"/>
    <mergeCell ref="AC3101:AD3101"/>
    <mergeCell ref="AF3101:AH3101"/>
    <mergeCell ref="AK3101:AL3101"/>
    <mergeCell ref="AC3102:AD3102"/>
    <mergeCell ref="AF3102:AH3102"/>
    <mergeCell ref="AK3102:AL3102"/>
    <mergeCell ref="AC3103:AD3103"/>
    <mergeCell ref="AF3103:AH3103"/>
    <mergeCell ref="AK3103:AL3103"/>
    <mergeCell ref="AC3104:AD3104"/>
    <mergeCell ref="AF3104:AH3104"/>
    <mergeCell ref="AK3104:AL3104"/>
    <mergeCell ref="AC3105:AD3105"/>
    <mergeCell ref="AF3105:AH3105"/>
    <mergeCell ref="AK3105:AL3105"/>
    <mergeCell ref="AC3106:AD3106"/>
    <mergeCell ref="AF3106:AH3106"/>
    <mergeCell ref="AK3106:AL3106"/>
    <mergeCell ref="AC3107:AD3107"/>
    <mergeCell ref="AF3107:AH3107"/>
    <mergeCell ref="AK3107:AL3107"/>
    <mergeCell ref="AC3108:AD3108"/>
    <mergeCell ref="AF3108:AH3108"/>
    <mergeCell ref="AK3108:AL3108"/>
    <mergeCell ref="AC3109:AD3109"/>
    <mergeCell ref="AF3109:AH3109"/>
    <mergeCell ref="AK3109:AL3109"/>
    <mergeCell ref="AC3110:AD3110"/>
    <mergeCell ref="AF3110:AH3110"/>
    <mergeCell ref="AK3110:AL3110"/>
    <mergeCell ref="AC3111:AD3111"/>
    <mergeCell ref="AF3111:AH3111"/>
    <mergeCell ref="AK3111:AL3111"/>
    <mergeCell ref="AC3112:AD3112"/>
    <mergeCell ref="AF3112:AH3112"/>
    <mergeCell ref="AK3112:AL3112"/>
    <mergeCell ref="AC3113:AD3113"/>
    <mergeCell ref="AF3113:AH3113"/>
    <mergeCell ref="AK3113:AL3113"/>
    <mergeCell ref="AC3114:AD3114"/>
    <mergeCell ref="AF3114:AH3114"/>
    <mergeCell ref="AK3114:AL3114"/>
    <mergeCell ref="AC3115:AD3115"/>
    <mergeCell ref="AF3115:AH3115"/>
    <mergeCell ref="AK3115:AL3115"/>
    <mergeCell ref="AC3116:AD3116"/>
    <mergeCell ref="AF3116:AH3116"/>
    <mergeCell ref="AK3116:AL3116"/>
    <mergeCell ref="AC3117:AD3117"/>
    <mergeCell ref="AF3117:AH3117"/>
    <mergeCell ref="AK3117:AL3117"/>
    <mergeCell ref="AC3118:AD3118"/>
    <mergeCell ref="AF3118:AH3118"/>
    <mergeCell ref="AK3118:AL3118"/>
    <mergeCell ref="AC3119:AD3119"/>
    <mergeCell ref="AF3119:AH3119"/>
    <mergeCell ref="AK3119:AL3119"/>
    <mergeCell ref="AC3120:AD3120"/>
    <mergeCell ref="AF3120:AH3120"/>
    <mergeCell ref="AK3120:AL3120"/>
    <mergeCell ref="AC3121:AD3121"/>
    <mergeCell ref="AF3121:AH3121"/>
    <mergeCell ref="AK3121:AL3121"/>
    <mergeCell ref="AC3122:AD3122"/>
    <mergeCell ref="AF3122:AH3122"/>
    <mergeCell ref="AK3122:AL3122"/>
    <mergeCell ref="AC3123:AD3123"/>
    <mergeCell ref="AF3123:AH3123"/>
    <mergeCell ref="AK3123:AL3123"/>
    <mergeCell ref="AC3124:AD3124"/>
    <mergeCell ref="AF3124:AH3124"/>
    <mergeCell ref="AK3124:AL3124"/>
    <mergeCell ref="AC3125:AD3125"/>
    <mergeCell ref="AF3125:AH3125"/>
    <mergeCell ref="AK3125:AL3125"/>
    <mergeCell ref="AC3126:AD3126"/>
    <mergeCell ref="AF3126:AH3126"/>
    <mergeCell ref="AK3126:AL3126"/>
    <mergeCell ref="AC3127:AD3127"/>
    <mergeCell ref="AF3127:AH3127"/>
    <mergeCell ref="AK3127:AL3127"/>
    <mergeCell ref="AC3128:AD3128"/>
    <mergeCell ref="AF3128:AH3128"/>
    <mergeCell ref="AK3128:AL3128"/>
    <mergeCell ref="AC3129:AD3129"/>
    <mergeCell ref="AF3129:AH3129"/>
    <mergeCell ref="AK3129:AL3129"/>
    <mergeCell ref="AC3130:AD3130"/>
    <mergeCell ref="AF3130:AH3130"/>
    <mergeCell ref="AK3130:AL3130"/>
    <mergeCell ref="AC3131:AD3131"/>
    <mergeCell ref="AF3131:AH3131"/>
    <mergeCell ref="AK3131:AL3131"/>
    <mergeCell ref="AC3132:AD3132"/>
    <mergeCell ref="AF3132:AH3132"/>
    <mergeCell ref="AK3132:AL3132"/>
    <mergeCell ref="AC3133:AD3133"/>
    <mergeCell ref="AF3133:AH3133"/>
    <mergeCell ref="AK3133:AL3133"/>
    <mergeCell ref="AC3134:AD3134"/>
    <mergeCell ref="AF3134:AH3134"/>
    <mergeCell ref="AK3134:AL3134"/>
    <mergeCell ref="AC3135:AD3135"/>
    <mergeCell ref="AF3135:AH3135"/>
    <mergeCell ref="AK3135:AL3135"/>
    <mergeCell ref="AC3136:AD3136"/>
    <mergeCell ref="AF3136:AH3136"/>
    <mergeCell ref="AK3136:AL3136"/>
    <mergeCell ref="AC3137:AD3137"/>
    <mergeCell ref="AF3137:AH3137"/>
    <mergeCell ref="AK3137:AL3137"/>
    <mergeCell ref="AC3138:AD3138"/>
    <mergeCell ref="AF3138:AH3138"/>
    <mergeCell ref="AK3138:AL3138"/>
    <mergeCell ref="AC3139:AD3139"/>
    <mergeCell ref="AF3139:AH3139"/>
    <mergeCell ref="AK3139:AL3139"/>
    <mergeCell ref="AC3140:AD3140"/>
    <mergeCell ref="AF3140:AH3140"/>
    <mergeCell ref="AK3140:AL3140"/>
    <mergeCell ref="AC3141:AD3141"/>
    <mergeCell ref="AF3141:AH3141"/>
    <mergeCell ref="AK3141:AL3141"/>
    <mergeCell ref="AC3142:AD3142"/>
    <mergeCell ref="AF3142:AH3142"/>
    <mergeCell ref="AK3142:AL3142"/>
    <mergeCell ref="AC3143:AD3143"/>
    <mergeCell ref="AF3143:AH3143"/>
    <mergeCell ref="AK3143:AL3143"/>
    <mergeCell ref="AC3144:AD3144"/>
    <mergeCell ref="AF3144:AH3144"/>
    <mergeCell ref="AK3144:AL3144"/>
    <mergeCell ref="AC3145:AD3145"/>
    <mergeCell ref="AF3145:AH3145"/>
    <mergeCell ref="AK3145:AL3145"/>
    <mergeCell ref="AC3146:AD3146"/>
    <mergeCell ref="AF3146:AH3146"/>
    <mergeCell ref="AK3146:AL3146"/>
    <mergeCell ref="AC3147:AD3147"/>
    <mergeCell ref="AF3147:AH3147"/>
    <mergeCell ref="AK3147:AL3147"/>
    <mergeCell ref="AC3148:AD3148"/>
    <mergeCell ref="AF3148:AH3148"/>
    <mergeCell ref="AK3148:AL3148"/>
    <mergeCell ref="AC3149:AD3149"/>
    <mergeCell ref="AF3149:AH3149"/>
    <mergeCell ref="AK3149:AL3149"/>
    <mergeCell ref="AC3150:AD3150"/>
    <mergeCell ref="AF3150:AH3150"/>
    <mergeCell ref="AK3150:AL3150"/>
    <mergeCell ref="AC3151:AD3151"/>
    <mergeCell ref="AF3151:AH3151"/>
    <mergeCell ref="AK3151:AL3151"/>
    <mergeCell ref="AC3152:AD3152"/>
    <mergeCell ref="AF3152:AH3152"/>
    <mergeCell ref="AK3152:AL3152"/>
    <mergeCell ref="AC3153:AD3153"/>
    <mergeCell ref="AF3153:AH3153"/>
    <mergeCell ref="AK3153:AL3153"/>
    <mergeCell ref="AC3154:AD3154"/>
    <mergeCell ref="AF3154:AH3154"/>
    <mergeCell ref="AK3154:AL3154"/>
    <mergeCell ref="AC3155:AD3155"/>
    <mergeCell ref="AF3155:AH3155"/>
    <mergeCell ref="AK3155:AL3155"/>
    <mergeCell ref="AC3156:AD3156"/>
    <mergeCell ref="AF3156:AH3156"/>
    <mergeCell ref="AK3156:AL3156"/>
    <mergeCell ref="AC3157:AD3157"/>
    <mergeCell ref="AF3157:AH3157"/>
    <mergeCell ref="AK3157:AL3157"/>
    <mergeCell ref="AC3158:AD3158"/>
    <mergeCell ref="AF3158:AH3158"/>
    <mergeCell ref="AK3158:AL3158"/>
    <mergeCell ref="AC3159:AD3159"/>
    <mergeCell ref="AF3159:AH3159"/>
    <mergeCell ref="AK3159:AL3159"/>
    <mergeCell ref="AC3160:AD3160"/>
    <mergeCell ref="AF3160:AH3160"/>
    <mergeCell ref="AK3160:AL3160"/>
    <mergeCell ref="AC3161:AD3161"/>
    <mergeCell ref="AF3161:AH3161"/>
    <mergeCell ref="AK3161:AL3161"/>
    <mergeCell ref="AC3162:AD3162"/>
    <mergeCell ref="AF3162:AH3162"/>
    <mergeCell ref="AK3162:AL3162"/>
    <mergeCell ref="AC3163:AD3163"/>
    <mergeCell ref="AF3163:AH3163"/>
    <mergeCell ref="AK3163:AL3163"/>
    <mergeCell ref="AC3164:AD3164"/>
    <mergeCell ref="AF3164:AH3164"/>
    <mergeCell ref="AK3164:AL3164"/>
    <mergeCell ref="AC3165:AD3165"/>
    <mergeCell ref="AF3165:AH3165"/>
    <mergeCell ref="AK3165:AL3165"/>
    <mergeCell ref="AC3166:AD3166"/>
    <mergeCell ref="AF3166:AH3166"/>
    <mergeCell ref="AK3166:AL3166"/>
    <mergeCell ref="AC3167:AD3167"/>
    <mergeCell ref="AF3167:AH3167"/>
    <mergeCell ref="AK3167:AL3167"/>
    <mergeCell ref="AC3168:AD3168"/>
    <mergeCell ref="AF3168:AH3168"/>
    <mergeCell ref="AK3168:AL3168"/>
    <mergeCell ref="AC3169:AD3169"/>
    <mergeCell ref="AF3169:AH3169"/>
    <mergeCell ref="AK3169:AL3169"/>
    <mergeCell ref="AC3170:AD3170"/>
    <mergeCell ref="AF3170:AH3170"/>
    <mergeCell ref="AK3170:AL3170"/>
    <mergeCell ref="AC3171:AD3171"/>
    <mergeCell ref="AF3171:AH3171"/>
    <mergeCell ref="AK3171:AL3171"/>
    <mergeCell ref="AC3172:AD3172"/>
    <mergeCell ref="AF3172:AH3172"/>
    <mergeCell ref="AK3172:AL3172"/>
    <mergeCell ref="AC3173:AD3173"/>
    <mergeCell ref="AF3173:AH3173"/>
    <mergeCell ref="AK3173:AL3173"/>
    <mergeCell ref="AC3174:AD3174"/>
    <mergeCell ref="AF3174:AH3174"/>
    <mergeCell ref="AK3174:AL3174"/>
    <mergeCell ref="AC3175:AD3175"/>
    <mergeCell ref="AF3175:AH3175"/>
    <mergeCell ref="AK3175:AL3175"/>
    <mergeCell ref="AC3176:AD3176"/>
    <mergeCell ref="AF3176:AH3176"/>
    <mergeCell ref="AK3176:AL3176"/>
    <mergeCell ref="AC3177:AD3177"/>
    <mergeCell ref="AF3177:AH3177"/>
    <mergeCell ref="AK3177:AL3177"/>
    <mergeCell ref="AC3178:AD3178"/>
    <mergeCell ref="AF3178:AH3178"/>
    <mergeCell ref="AK3178:AL3178"/>
    <mergeCell ref="AC3179:AD3179"/>
    <mergeCell ref="AF3179:AH3179"/>
    <mergeCell ref="AK3179:AL3179"/>
    <mergeCell ref="AC3180:AD3180"/>
    <mergeCell ref="AF3180:AH3180"/>
    <mergeCell ref="AK3180:AL3180"/>
    <mergeCell ref="AC3181:AD3181"/>
    <mergeCell ref="AF3181:AH3181"/>
    <mergeCell ref="AK3181:AL3181"/>
    <mergeCell ref="AC3182:AD3182"/>
    <mergeCell ref="AF3182:AH3182"/>
    <mergeCell ref="AK3182:AL3182"/>
    <mergeCell ref="AC3183:AD3183"/>
    <mergeCell ref="AF3183:AH3183"/>
    <mergeCell ref="AK3183:AL3183"/>
    <mergeCell ref="AC3184:AD3184"/>
    <mergeCell ref="AF3184:AH3184"/>
    <mergeCell ref="AK3184:AL3184"/>
    <mergeCell ref="AC3185:AD3185"/>
    <mergeCell ref="AF3185:AH3185"/>
    <mergeCell ref="AK3185:AL3185"/>
    <mergeCell ref="AC3186:AD3186"/>
    <mergeCell ref="AF3186:AH3186"/>
    <mergeCell ref="AK3186:AL3186"/>
    <mergeCell ref="AC3187:AD3187"/>
    <mergeCell ref="AF3187:AH3187"/>
    <mergeCell ref="AK3187:AL3187"/>
    <mergeCell ref="AC3188:AD3188"/>
    <mergeCell ref="AF3188:AH3188"/>
    <mergeCell ref="AK3188:AL3188"/>
    <mergeCell ref="AC3189:AD3189"/>
    <mergeCell ref="AF3189:AH3189"/>
    <mergeCell ref="AK3189:AL3189"/>
    <mergeCell ref="AC3190:AD3190"/>
    <mergeCell ref="AF3190:AH3190"/>
    <mergeCell ref="AK3190:AL3190"/>
    <mergeCell ref="AC3191:AD3191"/>
    <mergeCell ref="AF3191:AH3191"/>
    <mergeCell ref="AK3191:AL3191"/>
    <mergeCell ref="AC3192:AD3192"/>
    <mergeCell ref="AF3192:AH3192"/>
    <mergeCell ref="AK3192:AL3192"/>
    <mergeCell ref="AC3193:AD3193"/>
    <mergeCell ref="AF3193:AH3193"/>
    <mergeCell ref="AK3193:AL3193"/>
    <mergeCell ref="AC3194:AD3194"/>
    <mergeCell ref="AF3194:AH3194"/>
    <mergeCell ref="AK3194:AL3194"/>
    <mergeCell ref="AC3195:AD3195"/>
    <mergeCell ref="AF3195:AH3195"/>
    <mergeCell ref="AK3195:AL3195"/>
    <mergeCell ref="AC3196:AD3196"/>
    <mergeCell ref="AF3196:AH3196"/>
    <mergeCell ref="AK3196:AL3196"/>
    <mergeCell ref="AC3197:AD3197"/>
    <mergeCell ref="AF3197:AH3197"/>
    <mergeCell ref="AK3197:AL3197"/>
    <mergeCell ref="AC3198:AD3198"/>
    <mergeCell ref="AF3198:AH3198"/>
    <mergeCell ref="AK3198:AL3198"/>
    <mergeCell ref="AC3199:AD3199"/>
    <mergeCell ref="AF3199:AH3199"/>
    <mergeCell ref="AK3199:AL3199"/>
    <mergeCell ref="AC3200:AD3200"/>
    <mergeCell ref="AF3200:AH3200"/>
    <mergeCell ref="AK3200:AL3200"/>
    <mergeCell ref="AC3201:AD3201"/>
    <mergeCell ref="AF3201:AH3201"/>
    <mergeCell ref="AK3201:AL3201"/>
    <mergeCell ref="AC3202:AD3202"/>
    <mergeCell ref="AF3202:AH3202"/>
    <mergeCell ref="AK3202:AL3202"/>
    <mergeCell ref="AC3203:AD3203"/>
    <mergeCell ref="AF3203:AH3203"/>
    <mergeCell ref="AK3203:AL3203"/>
    <mergeCell ref="AC3204:AD3204"/>
    <mergeCell ref="AF3204:AH3204"/>
    <mergeCell ref="AK3204:AL3204"/>
    <mergeCell ref="AC3205:AD3205"/>
    <mergeCell ref="AF3205:AH3205"/>
    <mergeCell ref="AK3205:AL3205"/>
    <mergeCell ref="AC3206:AD3206"/>
    <mergeCell ref="AF3206:AH3206"/>
    <mergeCell ref="AK3206:AL3206"/>
    <mergeCell ref="AC3207:AD3207"/>
    <mergeCell ref="AF3207:AH3207"/>
    <mergeCell ref="AK3207:AL3207"/>
    <mergeCell ref="AC3208:AD3208"/>
    <mergeCell ref="AF3208:AH3208"/>
    <mergeCell ref="AK3208:AL3208"/>
    <mergeCell ref="AC3209:AD3209"/>
    <mergeCell ref="AF3209:AH3209"/>
    <mergeCell ref="AK3209:AL3209"/>
    <mergeCell ref="AC3210:AD3210"/>
    <mergeCell ref="AF3210:AH3210"/>
    <mergeCell ref="AK3210:AL3210"/>
    <mergeCell ref="AC3211:AD3211"/>
    <mergeCell ref="AF3211:AH3211"/>
    <mergeCell ref="AK3211:AL3211"/>
    <mergeCell ref="AC3212:AD3212"/>
    <mergeCell ref="AF3212:AH3212"/>
    <mergeCell ref="AK3212:AL3212"/>
    <mergeCell ref="AC3213:AD3213"/>
    <mergeCell ref="AF3213:AH3213"/>
    <mergeCell ref="AK3213:AL3213"/>
    <mergeCell ref="AC3214:AD3214"/>
    <mergeCell ref="AF3214:AH3214"/>
    <mergeCell ref="AK3214:AL3214"/>
    <mergeCell ref="AC3215:AD3215"/>
    <mergeCell ref="AF3215:AH3215"/>
    <mergeCell ref="AK3215:AL3215"/>
    <mergeCell ref="AC3216:AD3216"/>
    <mergeCell ref="AF3216:AH3216"/>
    <mergeCell ref="AK3216:AL3216"/>
    <mergeCell ref="AC3217:AD3217"/>
    <mergeCell ref="AF3217:AH3217"/>
    <mergeCell ref="AK3217:AL3217"/>
    <mergeCell ref="AC3218:AD3218"/>
    <mergeCell ref="AF3218:AH3218"/>
    <mergeCell ref="AK3218:AL3218"/>
    <mergeCell ref="AC3219:AD3219"/>
    <mergeCell ref="AF3219:AH3219"/>
    <mergeCell ref="AK3219:AL3219"/>
    <mergeCell ref="AC3220:AD3220"/>
    <mergeCell ref="AF3220:AH3220"/>
    <mergeCell ref="AK3220:AL3220"/>
    <mergeCell ref="AC3221:AD3221"/>
    <mergeCell ref="AF3221:AH3221"/>
    <mergeCell ref="AK3221:AL3221"/>
    <mergeCell ref="AC3222:AD3222"/>
    <mergeCell ref="AF3222:AH3222"/>
    <mergeCell ref="AK3222:AL3222"/>
    <mergeCell ref="AC3223:AD3223"/>
    <mergeCell ref="AF3223:AH3223"/>
    <mergeCell ref="AK3223:AL3223"/>
    <mergeCell ref="AC3224:AD3224"/>
    <mergeCell ref="AF3224:AH3224"/>
    <mergeCell ref="AK3224:AL3224"/>
    <mergeCell ref="AC3225:AD3225"/>
    <mergeCell ref="AF3225:AH3225"/>
    <mergeCell ref="AK3225:AL3225"/>
    <mergeCell ref="AC3226:AD3226"/>
    <mergeCell ref="AF3226:AH3226"/>
    <mergeCell ref="AK3226:AL3226"/>
    <mergeCell ref="AC3227:AD3227"/>
    <mergeCell ref="AF3227:AH3227"/>
    <mergeCell ref="AK3227:AL3227"/>
    <mergeCell ref="AC3228:AD3228"/>
    <mergeCell ref="AF3228:AH3228"/>
    <mergeCell ref="AK3228:AL3228"/>
    <mergeCell ref="AC3229:AD3229"/>
    <mergeCell ref="AF3229:AH3229"/>
    <mergeCell ref="AK3229:AL3229"/>
    <mergeCell ref="AC3230:AD3230"/>
    <mergeCell ref="AF3230:AH3230"/>
    <mergeCell ref="AK3230:AL3230"/>
    <mergeCell ref="AC3231:AD3231"/>
    <mergeCell ref="AF3231:AH3231"/>
    <mergeCell ref="AK3231:AL3231"/>
    <mergeCell ref="AC3232:AD3232"/>
    <mergeCell ref="AF3232:AH3232"/>
    <mergeCell ref="AK3232:AL3232"/>
    <mergeCell ref="AC3233:AD3233"/>
    <mergeCell ref="AF3233:AH3233"/>
    <mergeCell ref="AK3233:AL3233"/>
    <mergeCell ref="AC3234:AD3234"/>
    <mergeCell ref="AF3234:AH3234"/>
    <mergeCell ref="AK3234:AL3234"/>
    <mergeCell ref="AC3235:AD3235"/>
    <mergeCell ref="AF3235:AH3235"/>
    <mergeCell ref="AK3235:AL3235"/>
    <mergeCell ref="AC3236:AD3236"/>
    <mergeCell ref="AF3236:AH3236"/>
    <mergeCell ref="AK3236:AL3236"/>
    <mergeCell ref="AC3237:AD3237"/>
    <mergeCell ref="AF3237:AH3237"/>
    <mergeCell ref="AK3237:AL3237"/>
    <mergeCell ref="AC3238:AD3238"/>
    <mergeCell ref="AF3238:AH3238"/>
    <mergeCell ref="AK3238:AL3238"/>
    <mergeCell ref="AC3239:AD3239"/>
    <mergeCell ref="AF3239:AH3239"/>
    <mergeCell ref="AK3239:AL3239"/>
    <mergeCell ref="AC3240:AD3240"/>
    <mergeCell ref="AF3240:AH3240"/>
    <mergeCell ref="AK3240:AL3240"/>
    <mergeCell ref="AC3241:AD3241"/>
    <mergeCell ref="AF3241:AH3241"/>
    <mergeCell ref="AK3241:AL3241"/>
    <mergeCell ref="AC3242:AD3242"/>
    <mergeCell ref="AF3242:AH3242"/>
    <mergeCell ref="AK3242:AL3242"/>
    <mergeCell ref="AC3243:AD3243"/>
    <mergeCell ref="AF3243:AH3243"/>
    <mergeCell ref="AK3243:AL3243"/>
    <mergeCell ref="AC3244:AD3244"/>
    <mergeCell ref="AF3244:AH3244"/>
    <mergeCell ref="AK3244:AL3244"/>
    <mergeCell ref="AC3245:AD3245"/>
    <mergeCell ref="AF3245:AH3245"/>
    <mergeCell ref="AK3245:AL3245"/>
    <mergeCell ref="AC3246:AD3246"/>
    <mergeCell ref="AF3246:AH3246"/>
    <mergeCell ref="AK3246:AL3246"/>
    <mergeCell ref="AC3247:AD3247"/>
    <mergeCell ref="AF3247:AH3247"/>
    <mergeCell ref="AK3247:AL3247"/>
    <mergeCell ref="AC3248:AD3248"/>
    <mergeCell ref="AF3248:AH3248"/>
    <mergeCell ref="AK3248:AL3248"/>
    <mergeCell ref="AC3249:AD3249"/>
    <mergeCell ref="AF3249:AH3249"/>
    <mergeCell ref="AK3249:AL3249"/>
    <mergeCell ref="AC3250:AD3250"/>
    <mergeCell ref="AF3250:AH3250"/>
    <mergeCell ref="AK3250:AL3250"/>
    <mergeCell ref="AC3251:AD3251"/>
    <mergeCell ref="AF3251:AH3251"/>
    <mergeCell ref="AK3251:AL3251"/>
    <mergeCell ref="AC3252:AD3252"/>
    <mergeCell ref="AF3252:AH3252"/>
    <mergeCell ref="AK3252:AL3252"/>
    <mergeCell ref="AC3253:AD3253"/>
    <mergeCell ref="AF3253:AH3253"/>
    <mergeCell ref="AK3253:AL3253"/>
    <mergeCell ref="AC3254:AD3254"/>
    <mergeCell ref="AF3254:AH3254"/>
    <mergeCell ref="AK3254:AL3254"/>
    <mergeCell ref="AC3255:AD3255"/>
    <mergeCell ref="AF3255:AH3255"/>
    <mergeCell ref="AK3255:AL3255"/>
    <mergeCell ref="AC3256:AD3256"/>
    <mergeCell ref="AF3256:AH3256"/>
    <mergeCell ref="AK3256:AL3256"/>
    <mergeCell ref="AC3257:AD3257"/>
    <mergeCell ref="AF3257:AH3257"/>
    <mergeCell ref="AK3257:AL3257"/>
    <mergeCell ref="AC3258:AD3258"/>
    <mergeCell ref="AF3258:AH3258"/>
    <mergeCell ref="AK3258:AL3258"/>
    <mergeCell ref="AC3259:AD3259"/>
    <mergeCell ref="AF3259:AH3259"/>
    <mergeCell ref="AK3259:AL3259"/>
    <mergeCell ref="AC3260:AD3260"/>
    <mergeCell ref="AF3260:AH3260"/>
    <mergeCell ref="AK3260:AL3260"/>
    <mergeCell ref="AC3261:AD3261"/>
    <mergeCell ref="AF3261:AH3261"/>
    <mergeCell ref="AK3261:AL3261"/>
    <mergeCell ref="AC3262:AD3262"/>
    <mergeCell ref="AF3262:AH3262"/>
    <mergeCell ref="AK3262:AL3262"/>
    <mergeCell ref="AC3263:AD3263"/>
    <mergeCell ref="AF3263:AH3263"/>
    <mergeCell ref="AK3263:AL3263"/>
    <mergeCell ref="AC3264:AD3264"/>
    <mergeCell ref="AF3264:AH3264"/>
    <mergeCell ref="AK3264:AL3264"/>
    <mergeCell ref="AC3265:AD3265"/>
    <mergeCell ref="AF3265:AH3265"/>
    <mergeCell ref="AK3265:AL3265"/>
    <mergeCell ref="AC3266:AD3266"/>
    <mergeCell ref="AF3266:AH3266"/>
    <mergeCell ref="AK3266:AL3266"/>
    <mergeCell ref="AC3267:AD3267"/>
    <mergeCell ref="AF3267:AH3267"/>
    <mergeCell ref="AK3267:AL3267"/>
    <mergeCell ref="AC3268:AD3268"/>
    <mergeCell ref="AF3268:AH3268"/>
    <mergeCell ref="AK3268:AL3268"/>
    <mergeCell ref="AC3269:AD3269"/>
    <mergeCell ref="AF3269:AH3269"/>
    <mergeCell ref="AK3269:AL3269"/>
    <mergeCell ref="AC3270:AD3270"/>
    <mergeCell ref="AF3270:AH3270"/>
    <mergeCell ref="AK3270:AL3270"/>
    <mergeCell ref="AC3271:AD3271"/>
    <mergeCell ref="AF3271:AH3271"/>
    <mergeCell ref="AK3271:AL3271"/>
    <mergeCell ref="AC3272:AD3272"/>
    <mergeCell ref="AF3272:AH3272"/>
    <mergeCell ref="AK3272:AL3272"/>
    <mergeCell ref="AC3273:AD3273"/>
    <mergeCell ref="AF3273:AH3273"/>
    <mergeCell ref="AK3273:AL3273"/>
    <mergeCell ref="AC3274:AD3274"/>
    <mergeCell ref="AF3274:AH3274"/>
    <mergeCell ref="AK3274:AL3274"/>
    <mergeCell ref="AC3275:AD3275"/>
    <mergeCell ref="AF3275:AH3275"/>
    <mergeCell ref="AK3275:AL3275"/>
    <mergeCell ref="AC3276:AD3276"/>
    <mergeCell ref="AF3276:AH3276"/>
    <mergeCell ref="AK3276:AL3276"/>
    <mergeCell ref="AC3277:AD3277"/>
    <mergeCell ref="AF3277:AH3277"/>
    <mergeCell ref="AK3277:AL3277"/>
    <mergeCell ref="AC3278:AD3278"/>
    <mergeCell ref="AF3278:AH3278"/>
    <mergeCell ref="AK3278:AL3278"/>
    <mergeCell ref="AC3279:AD3279"/>
    <mergeCell ref="AF3279:AH3279"/>
    <mergeCell ref="AK3279:AL3279"/>
    <mergeCell ref="AC3280:AD3280"/>
    <mergeCell ref="AF3280:AH3280"/>
    <mergeCell ref="AK3280:AL3280"/>
    <mergeCell ref="AC3281:AD3281"/>
    <mergeCell ref="AF3281:AH3281"/>
    <mergeCell ref="AK3281:AL3281"/>
    <mergeCell ref="AC3282:AD3282"/>
    <mergeCell ref="AF3282:AH3282"/>
    <mergeCell ref="AK3282:AL3282"/>
    <mergeCell ref="AC3283:AD3283"/>
    <mergeCell ref="AF3283:AH3283"/>
    <mergeCell ref="AK3283:AL3283"/>
    <mergeCell ref="AC3284:AD3284"/>
    <mergeCell ref="AF3284:AH3284"/>
    <mergeCell ref="AK3284:AL3284"/>
    <mergeCell ref="AC3285:AD3285"/>
    <mergeCell ref="AF3285:AH3285"/>
    <mergeCell ref="AK3285:AL3285"/>
    <mergeCell ref="AC3286:AD3286"/>
    <mergeCell ref="AF3286:AH3286"/>
    <mergeCell ref="AK3286:AL3286"/>
    <mergeCell ref="AC3287:AD3287"/>
    <mergeCell ref="AF3287:AH3287"/>
    <mergeCell ref="AK3287:AL3287"/>
    <mergeCell ref="AC3288:AD3288"/>
    <mergeCell ref="AF3288:AH3288"/>
    <mergeCell ref="AK3288:AL3288"/>
    <mergeCell ref="AC3289:AD3289"/>
    <mergeCell ref="AF3289:AH3289"/>
    <mergeCell ref="AK3289:AL3289"/>
    <mergeCell ref="AC3290:AD3290"/>
    <mergeCell ref="AF3290:AH3290"/>
    <mergeCell ref="AK3290:AL3290"/>
    <mergeCell ref="AC3291:AD3291"/>
    <mergeCell ref="AF3291:AH3291"/>
    <mergeCell ref="AK3291:AL3291"/>
    <mergeCell ref="AC3292:AD3292"/>
    <mergeCell ref="AF3292:AH3292"/>
    <mergeCell ref="AK3292:AL3292"/>
    <mergeCell ref="AC3293:AD3293"/>
    <mergeCell ref="AF3293:AH3293"/>
    <mergeCell ref="AK3293:AL3293"/>
    <mergeCell ref="AC3294:AD3294"/>
    <mergeCell ref="AF3294:AH3294"/>
    <mergeCell ref="AK3294:AL3294"/>
    <mergeCell ref="AC3295:AD3295"/>
    <mergeCell ref="AF3295:AH3295"/>
    <mergeCell ref="AK3295:AL3295"/>
    <mergeCell ref="AC3296:AD3296"/>
    <mergeCell ref="AF3296:AH3296"/>
    <mergeCell ref="AK3296:AL3296"/>
    <mergeCell ref="AC3297:AD3297"/>
    <mergeCell ref="AF3297:AH3297"/>
    <mergeCell ref="AK3297:AL3297"/>
    <mergeCell ref="AC3298:AD3298"/>
    <mergeCell ref="AF3298:AH3298"/>
    <mergeCell ref="AK3298:AL3298"/>
    <mergeCell ref="AC3299:AD3299"/>
    <mergeCell ref="AF3299:AH3299"/>
    <mergeCell ref="AK3299:AL3299"/>
    <mergeCell ref="AC3300:AD3300"/>
    <mergeCell ref="AF3300:AH3300"/>
    <mergeCell ref="AK3300:AL3300"/>
    <mergeCell ref="AC3301:AD3301"/>
    <mergeCell ref="AF3301:AH3301"/>
    <mergeCell ref="AK3301:AL3301"/>
    <mergeCell ref="AC3302:AD3302"/>
    <mergeCell ref="AF3302:AH3302"/>
    <mergeCell ref="AK3302:AL3302"/>
    <mergeCell ref="AC3303:AD3303"/>
    <mergeCell ref="AF3303:AH3303"/>
    <mergeCell ref="AK3303:AL3303"/>
    <mergeCell ref="AC3304:AD3304"/>
    <mergeCell ref="AF3304:AH3304"/>
    <mergeCell ref="AK3304:AL3304"/>
    <mergeCell ref="AC3305:AD3305"/>
    <mergeCell ref="AF3305:AH3305"/>
    <mergeCell ref="AK3305:AL3305"/>
    <mergeCell ref="AC3306:AD3306"/>
    <mergeCell ref="AF3306:AH3306"/>
    <mergeCell ref="AK3306:AL3306"/>
    <mergeCell ref="AC3307:AD3307"/>
    <mergeCell ref="AF3307:AH3307"/>
    <mergeCell ref="AK3307:AL3307"/>
    <mergeCell ref="AC3308:AD3308"/>
    <mergeCell ref="AF3308:AH3308"/>
    <mergeCell ref="AK3308:AL3308"/>
    <mergeCell ref="AC3309:AD3309"/>
    <mergeCell ref="AF3309:AH3309"/>
    <mergeCell ref="AK3309:AL3309"/>
    <mergeCell ref="AC3310:AD3310"/>
    <mergeCell ref="AF3310:AH3310"/>
    <mergeCell ref="AK3310:AL3310"/>
    <mergeCell ref="AC3311:AD3311"/>
    <mergeCell ref="AF3311:AH3311"/>
    <mergeCell ref="AK3311:AL3311"/>
    <mergeCell ref="AC3312:AD3312"/>
    <mergeCell ref="AF3312:AH3312"/>
    <mergeCell ref="AK3312:AL3312"/>
    <mergeCell ref="AC3313:AD3313"/>
    <mergeCell ref="AF3313:AH3313"/>
    <mergeCell ref="AK3313:AL3313"/>
    <mergeCell ref="AC3314:AD3314"/>
    <mergeCell ref="AF3314:AH3314"/>
    <mergeCell ref="AK3314:AL3314"/>
    <mergeCell ref="AC3315:AD3315"/>
    <mergeCell ref="AF3315:AH3315"/>
    <mergeCell ref="AK3315:AL3315"/>
    <mergeCell ref="AC3316:AD3316"/>
    <mergeCell ref="AF3316:AH3316"/>
    <mergeCell ref="AK3316:AL3316"/>
    <mergeCell ref="AC3317:AD3317"/>
    <mergeCell ref="AF3317:AH3317"/>
    <mergeCell ref="AK3317:AL3317"/>
    <mergeCell ref="AC3318:AD3318"/>
    <mergeCell ref="AF3318:AH3318"/>
    <mergeCell ref="AK3318:AL3318"/>
    <mergeCell ref="AC3319:AD3319"/>
    <mergeCell ref="AF3319:AH3319"/>
    <mergeCell ref="AK3319:AL3319"/>
    <mergeCell ref="AC3320:AD3320"/>
    <mergeCell ref="AF3320:AH3320"/>
    <mergeCell ref="AK3320:AL3320"/>
    <mergeCell ref="AC3321:AD3321"/>
    <mergeCell ref="AF3321:AH3321"/>
    <mergeCell ref="AK3321:AL3321"/>
    <mergeCell ref="AC3322:AD3322"/>
    <mergeCell ref="AF3322:AH3322"/>
    <mergeCell ref="AK3322:AL3322"/>
    <mergeCell ref="AC3323:AD3323"/>
    <mergeCell ref="AF3323:AH3323"/>
    <mergeCell ref="AK3323:AL3323"/>
    <mergeCell ref="AC3324:AD3324"/>
    <mergeCell ref="AF3324:AH3324"/>
    <mergeCell ref="AK3324:AL3324"/>
    <mergeCell ref="AC3325:AD3325"/>
    <mergeCell ref="AF3325:AH3325"/>
    <mergeCell ref="AK3325:AL3325"/>
    <mergeCell ref="AC3326:AD3326"/>
    <mergeCell ref="AF3326:AH3326"/>
    <mergeCell ref="AK3326:AL3326"/>
    <mergeCell ref="AC3327:AD3327"/>
    <mergeCell ref="AF3327:AH3327"/>
    <mergeCell ref="AK3327:AL3327"/>
    <mergeCell ref="AC3328:AD3328"/>
    <mergeCell ref="AF3328:AH3328"/>
    <mergeCell ref="AK3328:AL3328"/>
    <mergeCell ref="AC3329:AD3329"/>
    <mergeCell ref="AF3329:AH3329"/>
    <mergeCell ref="AK3329:AL3329"/>
    <mergeCell ref="AC3330:AD3330"/>
    <mergeCell ref="AF3330:AH3330"/>
    <mergeCell ref="AK3330:AL3330"/>
    <mergeCell ref="AC3331:AD3331"/>
    <mergeCell ref="AF3331:AH3331"/>
    <mergeCell ref="AK3331:AL3331"/>
    <mergeCell ref="AC3332:AD3332"/>
    <mergeCell ref="AF3332:AH3332"/>
    <mergeCell ref="AK3332:AL3332"/>
    <mergeCell ref="AC3333:AD3333"/>
    <mergeCell ref="AF3333:AH3333"/>
    <mergeCell ref="AK3333:AL3333"/>
    <mergeCell ref="AC3334:AD3334"/>
    <mergeCell ref="AF3334:AH3334"/>
    <mergeCell ref="AK3334:AL3334"/>
    <mergeCell ref="AC3335:AD3335"/>
    <mergeCell ref="AF3335:AH3335"/>
    <mergeCell ref="AK3335:AL3335"/>
    <mergeCell ref="AC3336:AD3336"/>
    <mergeCell ref="AF3336:AH3336"/>
    <mergeCell ref="AK3336:AL3336"/>
    <mergeCell ref="AC3337:AD3337"/>
    <mergeCell ref="AF3337:AH3337"/>
    <mergeCell ref="AK3337:AL3337"/>
    <mergeCell ref="AC3338:AD3338"/>
    <mergeCell ref="AF3338:AH3338"/>
    <mergeCell ref="AK3338:AL3338"/>
    <mergeCell ref="AC3339:AD3339"/>
    <mergeCell ref="AF3339:AH3339"/>
    <mergeCell ref="AK3339:AL3339"/>
    <mergeCell ref="AC3340:AD3340"/>
    <mergeCell ref="AF3340:AH3340"/>
    <mergeCell ref="AK3340:AL3340"/>
    <mergeCell ref="AC3341:AD3341"/>
    <mergeCell ref="AF3341:AH3341"/>
    <mergeCell ref="AK3341:AL3341"/>
    <mergeCell ref="AC3342:AD3342"/>
    <mergeCell ref="AF3342:AH3342"/>
    <mergeCell ref="AK3342:AL3342"/>
    <mergeCell ref="AC3343:AD3343"/>
    <mergeCell ref="AF3343:AH3343"/>
    <mergeCell ref="AK3343:AL3343"/>
    <mergeCell ref="AC3344:AD3344"/>
    <mergeCell ref="AF3344:AH3344"/>
    <mergeCell ref="AK3344:AL3344"/>
    <mergeCell ref="AC3345:AD3345"/>
    <mergeCell ref="AF3345:AH3345"/>
    <mergeCell ref="AK3345:AL3345"/>
    <mergeCell ref="AC3346:AD3346"/>
    <mergeCell ref="AF3346:AH3346"/>
    <mergeCell ref="AK3346:AL3346"/>
    <mergeCell ref="AC3347:AD3347"/>
    <mergeCell ref="AF3347:AH3347"/>
    <mergeCell ref="AK3347:AL3347"/>
    <mergeCell ref="AC3348:AD3348"/>
    <mergeCell ref="AF3348:AH3348"/>
    <mergeCell ref="AK3348:AL3348"/>
    <mergeCell ref="AC3349:AD3349"/>
    <mergeCell ref="AF3349:AH3349"/>
    <mergeCell ref="AK3349:AL3349"/>
    <mergeCell ref="AC3350:AD3350"/>
    <mergeCell ref="AF3350:AH3350"/>
    <mergeCell ref="AK3350:AL3350"/>
    <mergeCell ref="AC3351:AD3351"/>
    <mergeCell ref="AF3351:AH3351"/>
    <mergeCell ref="AK3351:AL3351"/>
    <mergeCell ref="AC3352:AD3352"/>
    <mergeCell ref="AF3352:AH3352"/>
    <mergeCell ref="AK3352:AL3352"/>
    <mergeCell ref="AC3353:AD3353"/>
    <mergeCell ref="AF3353:AH3353"/>
    <mergeCell ref="AK3353:AL3353"/>
    <mergeCell ref="AC3354:AD3354"/>
    <mergeCell ref="AF3354:AH3354"/>
    <mergeCell ref="AK3354:AL3354"/>
    <mergeCell ref="AC3355:AD3355"/>
    <mergeCell ref="AF3355:AH3355"/>
    <mergeCell ref="AK3355:AL3355"/>
    <mergeCell ref="AC3356:AD3356"/>
    <mergeCell ref="AF3356:AH3356"/>
    <mergeCell ref="AK3356:AL3356"/>
    <mergeCell ref="AC3357:AD3357"/>
    <mergeCell ref="AF3357:AH3357"/>
    <mergeCell ref="AK3357:AL3357"/>
    <mergeCell ref="AC3358:AD3358"/>
    <mergeCell ref="AF3358:AH3358"/>
    <mergeCell ref="AK3358:AL3358"/>
    <mergeCell ref="AC3359:AD3359"/>
    <mergeCell ref="AF3359:AH3359"/>
    <mergeCell ref="AK3359:AL3359"/>
    <mergeCell ref="AC3360:AD3360"/>
    <mergeCell ref="AF3360:AH3360"/>
    <mergeCell ref="AK3360:AL3360"/>
    <mergeCell ref="AC3361:AD3361"/>
    <mergeCell ref="AF3361:AH3361"/>
    <mergeCell ref="AK3361:AL3361"/>
    <mergeCell ref="AC3362:AD3362"/>
    <mergeCell ref="AF3362:AH3362"/>
    <mergeCell ref="AK3362:AL3362"/>
    <mergeCell ref="AC3363:AD3363"/>
    <mergeCell ref="AF3363:AH3363"/>
    <mergeCell ref="AK3363:AL3363"/>
    <mergeCell ref="AC3364:AD3364"/>
    <mergeCell ref="AF3364:AH3364"/>
    <mergeCell ref="AK3364:AL3364"/>
    <mergeCell ref="AC3365:AD3365"/>
    <mergeCell ref="AF3365:AH3365"/>
    <mergeCell ref="AK3365:AL3365"/>
    <mergeCell ref="AC3366:AD3366"/>
    <mergeCell ref="AF3366:AH3366"/>
    <mergeCell ref="AK3366:AL3366"/>
    <mergeCell ref="AC3367:AD3367"/>
    <mergeCell ref="AF3367:AH3367"/>
    <mergeCell ref="AK3367:AL3367"/>
    <mergeCell ref="AC3368:AD3368"/>
    <mergeCell ref="AF3368:AH3368"/>
    <mergeCell ref="AK3368:AL3368"/>
    <mergeCell ref="AC3369:AD3369"/>
    <mergeCell ref="AF3369:AH3369"/>
    <mergeCell ref="AK3369:AL3369"/>
    <mergeCell ref="AC3370:AD3370"/>
    <mergeCell ref="AF3370:AH3370"/>
    <mergeCell ref="AK3370:AL3370"/>
    <mergeCell ref="AC3371:AD3371"/>
    <mergeCell ref="AF3371:AH3371"/>
    <mergeCell ref="AK3371:AL3371"/>
    <mergeCell ref="AC3372:AD3372"/>
    <mergeCell ref="AF3372:AH3372"/>
    <mergeCell ref="AK3372:AL3372"/>
    <mergeCell ref="AC3373:AD3373"/>
    <mergeCell ref="AF3373:AH3373"/>
    <mergeCell ref="AK3373:AL3373"/>
    <mergeCell ref="AC3374:AD3374"/>
    <mergeCell ref="AF3374:AH3374"/>
    <mergeCell ref="AK3374:AL3374"/>
    <mergeCell ref="AC3375:AD3375"/>
    <mergeCell ref="AF3375:AH3375"/>
    <mergeCell ref="AK3375:AL3375"/>
    <mergeCell ref="AC3376:AD3376"/>
    <mergeCell ref="AF3376:AH3376"/>
    <mergeCell ref="AK3376:AL3376"/>
    <mergeCell ref="AC3377:AD3377"/>
    <mergeCell ref="AF3377:AH3377"/>
    <mergeCell ref="AK3377:AL3377"/>
    <mergeCell ref="AC3378:AD3378"/>
    <mergeCell ref="AF3378:AH3378"/>
    <mergeCell ref="AK3378:AL3378"/>
    <mergeCell ref="AC3379:AD3379"/>
    <mergeCell ref="AF3379:AH3379"/>
    <mergeCell ref="AK3379:AL3379"/>
    <mergeCell ref="AC3380:AD3380"/>
    <mergeCell ref="AF3380:AH3380"/>
    <mergeCell ref="AK3380:AL3380"/>
    <mergeCell ref="AC3381:AD3381"/>
    <mergeCell ref="AF3381:AH3381"/>
    <mergeCell ref="AK3381:AL3381"/>
    <mergeCell ref="AC3382:AD3382"/>
    <mergeCell ref="AF3382:AH3382"/>
    <mergeCell ref="AK3382:AL3382"/>
    <mergeCell ref="AC3383:AD3383"/>
    <mergeCell ref="AF3383:AH3383"/>
    <mergeCell ref="AK3383:AL3383"/>
    <mergeCell ref="AC3384:AD3384"/>
    <mergeCell ref="AF3384:AH3384"/>
    <mergeCell ref="AK3384:AL3384"/>
    <mergeCell ref="AC3385:AD3385"/>
    <mergeCell ref="AF3385:AH3385"/>
    <mergeCell ref="AK3385:AL3385"/>
    <mergeCell ref="AC3386:AD3386"/>
    <mergeCell ref="AF3386:AH3386"/>
    <mergeCell ref="AK3386:AL3386"/>
    <mergeCell ref="AC3387:AD3387"/>
    <mergeCell ref="AF3387:AH3387"/>
    <mergeCell ref="AK3387:AL3387"/>
    <mergeCell ref="AC3388:AD3388"/>
    <mergeCell ref="AF3388:AH3388"/>
    <mergeCell ref="AK3388:AL3388"/>
    <mergeCell ref="AC3389:AD3389"/>
    <mergeCell ref="AF3389:AH3389"/>
    <mergeCell ref="AK3389:AL3389"/>
    <mergeCell ref="AC3390:AD3390"/>
    <mergeCell ref="AF3390:AH3390"/>
    <mergeCell ref="AK3390:AL3390"/>
    <mergeCell ref="AC3391:AD3391"/>
    <mergeCell ref="AF3391:AH3391"/>
    <mergeCell ref="AK3391:AL3391"/>
    <mergeCell ref="AC3392:AD3392"/>
    <mergeCell ref="AF3392:AH3392"/>
    <mergeCell ref="AK3392:AL3392"/>
    <mergeCell ref="AC3393:AD3393"/>
    <mergeCell ref="AF3393:AH3393"/>
    <mergeCell ref="AK3393:AL3393"/>
    <mergeCell ref="AC3394:AD3394"/>
    <mergeCell ref="AF3394:AH3394"/>
    <mergeCell ref="AK3394:AL3394"/>
    <mergeCell ref="AC3395:AD3395"/>
    <mergeCell ref="AF3395:AH3395"/>
    <mergeCell ref="AK3395:AL3395"/>
    <mergeCell ref="AC3396:AD3396"/>
    <mergeCell ref="AF3396:AH3396"/>
    <mergeCell ref="AK3396:AL3396"/>
    <mergeCell ref="AC3397:AD3397"/>
    <mergeCell ref="AF3397:AH3397"/>
    <mergeCell ref="AK3397:AL3397"/>
    <mergeCell ref="AC3398:AD3398"/>
    <mergeCell ref="AF3398:AH3398"/>
    <mergeCell ref="AK3398:AL3398"/>
    <mergeCell ref="AC3399:AD3399"/>
    <mergeCell ref="AF3399:AH3399"/>
    <mergeCell ref="AK3399:AL3399"/>
    <mergeCell ref="AC3400:AD3400"/>
    <mergeCell ref="AF3400:AH3400"/>
    <mergeCell ref="AK3400:AL3400"/>
    <mergeCell ref="AC3401:AD3401"/>
    <mergeCell ref="AF3401:AH3401"/>
    <mergeCell ref="AK3401:AL3401"/>
    <mergeCell ref="AC3402:AD3402"/>
    <mergeCell ref="AF3402:AH3402"/>
    <mergeCell ref="AK3402:AL3402"/>
    <mergeCell ref="AC3403:AD3403"/>
    <mergeCell ref="AF3403:AH3403"/>
    <mergeCell ref="AK3403:AL3403"/>
    <mergeCell ref="AC3404:AD3404"/>
    <mergeCell ref="AF3404:AH3404"/>
    <mergeCell ref="AK3404:AL3404"/>
    <mergeCell ref="AC3405:AD3405"/>
    <mergeCell ref="AF3405:AH3405"/>
    <mergeCell ref="AK3405:AL3405"/>
    <mergeCell ref="AC3406:AD3406"/>
    <mergeCell ref="AF3406:AH3406"/>
    <mergeCell ref="AK3406:AL3406"/>
    <mergeCell ref="AC3407:AD3407"/>
    <mergeCell ref="AF3407:AH3407"/>
    <mergeCell ref="AK3407:AL3407"/>
    <mergeCell ref="AC3408:AD3408"/>
    <mergeCell ref="AF3408:AH3408"/>
    <mergeCell ref="AK3408:AL3408"/>
    <mergeCell ref="AC3409:AD3409"/>
    <mergeCell ref="AF3409:AH3409"/>
    <mergeCell ref="AK3409:AL3409"/>
    <mergeCell ref="AC3410:AD3410"/>
    <mergeCell ref="AF3410:AH3410"/>
    <mergeCell ref="AK3410:AL3410"/>
    <mergeCell ref="AC3411:AD3411"/>
    <mergeCell ref="AF3411:AH3411"/>
    <mergeCell ref="AK3411:AL3411"/>
    <mergeCell ref="AC3412:AD3412"/>
    <mergeCell ref="AF3412:AH3412"/>
    <mergeCell ref="AK3412:AL3412"/>
    <mergeCell ref="AC3413:AD3413"/>
    <mergeCell ref="AF3413:AH3413"/>
    <mergeCell ref="AK3413:AL3413"/>
    <mergeCell ref="AC3414:AD3414"/>
    <mergeCell ref="AF3414:AH3414"/>
    <mergeCell ref="AK3414:AL3414"/>
    <mergeCell ref="AC3415:AD3415"/>
    <mergeCell ref="AF3415:AH3415"/>
    <mergeCell ref="AK3415:AL3415"/>
    <mergeCell ref="AC3416:AD3416"/>
    <mergeCell ref="AF3416:AH3416"/>
    <mergeCell ref="AK3416:AL3416"/>
    <mergeCell ref="AC3417:AD3417"/>
    <mergeCell ref="AF3417:AH3417"/>
    <mergeCell ref="AK3417:AL3417"/>
    <mergeCell ref="AC3418:AD3418"/>
    <mergeCell ref="AF3418:AH3418"/>
    <mergeCell ref="AK3418:AL3418"/>
    <mergeCell ref="AC3419:AD3419"/>
    <mergeCell ref="AF3419:AH3419"/>
    <mergeCell ref="AK3419:AL3419"/>
    <mergeCell ref="AC3420:AD3420"/>
    <mergeCell ref="AF3420:AH3420"/>
    <mergeCell ref="AK3420:AL3420"/>
    <mergeCell ref="AC3421:AD3421"/>
    <mergeCell ref="AF3421:AH3421"/>
    <mergeCell ref="AK3421:AL3421"/>
    <mergeCell ref="AC3422:AD3422"/>
    <mergeCell ref="AF3422:AH3422"/>
    <mergeCell ref="AK3422:AL3422"/>
    <mergeCell ref="AC3423:AD3423"/>
    <mergeCell ref="AF3423:AH3423"/>
    <mergeCell ref="AK3423:AL3423"/>
    <mergeCell ref="AC3424:AD3424"/>
    <mergeCell ref="AF3424:AH3424"/>
    <mergeCell ref="AK3424:AL3424"/>
    <mergeCell ref="AC3425:AD3425"/>
    <mergeCell ref="AF3425:AH3425"/>
    <mergeCell ref="AK3425:AL3425"/>
    <mergeCell ref="AC3426:AD3426"/>
    <mergeCell ref="AF3426:AH3426"/>
    <mergeCell ref="AK3426:AL3426"/>
    <mergeCell ref="AC3427:AD3427"/>
    <mergeCell ref="AF3427:AH3427"/>
    <mergeCell ref="AK3427:AL3427"/>
    <mergeCell ref="AC3428:AD3428"/>
    <mergeCell ref="AF3428:AH3428"/>
    <mergeCell ref="AK3428:AL3428"/>
    <mergeCell ref="AC3429:AD3429"/>
    <mergeCell ref="AF3429:AH3429"/>
    <mergeCell ref="AK3429:AL3429"/>
    <mergeCell ref="AC3430:AD3430"/>
    <mergeCell ref="AF3430:AH3430"/>
    <mergeCell ref="AK3430:AL3430"/>
    <mergeCell ref="AC3431:AD3431"/>
    <mergeCell ref="AF3431:AH3431"/>
    <mergeCell ref="AK3431:AL3431"/>
    <mergeCell ref="AC3432:AD3432"/>
    <mergeCell ref="AF3432:AH3432"/>
    <mergeCell ref="AK3432:AL3432"/>
    <mergeCell ref="AC3433:AD3433"/>
    <mergeCell ref="AF3433:AH3433"/>
    <mergeCell ref="AK3433:AL3433"/>
    <mergeCell ref="AC3434:AD3434"/>
    <mergeCell ref="AF3434:AH3434"/>
    <mergeCell ref="AK3434:AL3434"/>
    <mergeCell ref="AC3435:AD3435"/>
    <mergeCell ref="AF3435:AH3435"/>
    <mergeCell ref="AK3435:AL3435"/>
    <mergeCell ref="AC3436:AD3436"/>
    <mergeCell ref="AF3436:AH3436"/>
    <mergeCell ref="AK3436:AL3436"/>
    <mergeCell ref="AC3437:AD3437"/>
    <mergeCell ref="AF3437:AH3437"/>
    <mergeCell ref="AK3437:AL3437"/>
    <mergeCell ref="AC3438:AD3438"/>
    <mergeCell ref="AF3438:AH3438"/>
    <mergeCell ref="AK3438:AL3438"/>
    <mergeCell ref="AC3439:AD3439"/>
    <mergeCell ref="AF3439:AH3439"/>
    <mergeCell ref="AK3439:AL3439"/>
    <mergeCell ref="AC3440:AD3440"/>
    <mergeCell ref="AF3440:AH3440"/>
    <mergeCell ref="AK3440:AL3440"/>
    <mergeCell ref="AC3441:AD3441"/>
    <mergeCell ref="AF3441:AH3441"/>
    <mergeCell ref="AK3441:AL3441"/>
    <mergeCell ref="AC3442:AD3442"/>
    <mergeCell ref="AF3442:AH3442"/>
    <mergeCell ref="AK3442:AL3442"/>
    <mergeCell ref="AC3443:AD3443"/>
    <mergeCell ref="AF3443:AH3443"/>
    <mergeCell ref="AK3443:AL3443"/>
    <mergeCell ref="AC3444:AD3444"/>
    <mergeCell ref="AF3444:AH3444"/>
    <mergeCell ref="AK3444:AL3444"/>
    <mergeCell ref="AC3445:AD3445"/>
    <mergeCell ref="AF3445:AH3445"/>
    <mergeCell ref="AK3445:AL3445"/>
    <mergeCell ref="AC3446:AD3446"/>
    <mergeCell ref="AF3446:AH3446"/>
    <mergeCell ref="AK3446:AL3446"/>
    <mergeCell ref="AC3447:AD3447"/>
    <mergeCell ref="AF3447:AH3447"/>
    <mergeCell ref="AK3447:AL3447"/>
    <mergeCell ref="AC3448:AD3448"/>
    <mergeCell ref="AF3448:AH3448"/>
    <mergeCell ref="AK3448:AL3448"/>
    <mergeCell ref="AC3449:AD3449"/>
    <mergeCell ref="AF3449:AH3449"/>
    <mergeCell ref="AK3449:AL3449"/>
    <mergeCell ref="AC3450:AD3450"/>
    <mergeCell ref="AF3450:AH3450"/>
    <mergeCell ref="AK3450:AL3450"/>
    <mergeCell ref="AC3451:AD3451"/>
    <mergeCell ref="AF3451:AH3451"/>
    <mergeCell ref="AK3451:AL3451"/>
    <mergeCell ref="AC3452:AD3452"/>
    <mergeCell ref="AF3452:AH3452"/>
    <mergeCell ref="AK3452:AL3452"/>
    <mergeCell ref="AC3453:AD3453"/>
    <mergeCell ref="AF3453:AH3453"/>
    <mergeCell ref="AK3453:AL3453"/>
    <mergeCell ref="AC3454:AD3454"/>
    <mergeCell ref="AF3454:AH3454"/>
    <mergeCell ref="AK3454:AL3454"/>
    <mergeCell ref="AC3455:AD3455"/>
    <mergeCell ref="AF3455:AH3455"/>
    <mergeCell ref="AK3455:AL3455"/>
    <mergeCell ref="AC3456:AD3456"/>
    <mergeCell ref="AF3456:AH3456"/>
    <mergeCell ref="AK3456:AL3456"/>
    <mergeCell ref="AC3457:AD3457"/>
    <mergeCell ref="AF3457:AH3457"/>
    <mergeCell ref="AK3457:AL3457"/>
    <mergeCell ref="AC3458:AD3458"/>
    <mergeCell ref="AF3458:AH3458"/>
    <mergeCell ref="AK3458:AL3458"/>
    <mergeCell ref="AC3459:AD3459"/>
    <mergeCell ref="AF3459:AH3459"/>
    <mergeCell ref="AK3459:AL3459"/>
    <mergeCell ref="AC3460:AD3460"/>
    <mergeCell ref="AF3460:AH3460"/>
    <mergeCell ref="AK3460:AL3460"/>
    <mergeCell ref="AC3461:AD3461"/>
    <mergeCell ref="AF3461:AH3461"/>
    <mergeCell ref="AK3461:AL3461"/>
    <mergeCell ref="AC3462:AD3462"/>
    <mergeCell ref="AF3462:AH3462"/>
    <mergeCell ref="AK3462:AL3462"/>
    <mergeCell ref="AC3463:AD3463"/>
    <mergeCell ref="AF3463:AH3463"/>
    <mergeCell ref="AK3463:AL3463"/>
    <mergeCell ref="AC3464:AD3464"/>
    <mergeCell ref="AF3464:AH3464"/>
    <mergeCell ref="AK3464:AL3464"/>
    <mergeCell ref="AC3465:AD3465"/>
    <mergeCell ref="AF3465:AH3465"/>
    <mergeCell ref="AK3465:AL3465"/>
    <mergeCell ref="AC3466:AD3466"/>
    <mergeCell ref="AF3466:AH3466"/>
    <mergeCell ref="AK3466:AL3466"/>
    <mergeCell ref="AC3467:AD3467"/>
    <mergeCell ref="AF3467:AH3467"/>
    <mergeCell ref="AK3467:AL3467"/>
    <mergeCell ref="AC3468:AD3468"/>
    <mergeCell ref="AF3468:AH3468"/>
    <mergeCell ref="AK3468:AL3468"/>
    <mergeCell ref="AC3469:AD3469"/>
    <mergeCell ref="AF3469:AH3469"/>
    <mergeCell ref="AK3469:AL3469"/>
    <mergeCell ref="AC3470:AD3470"/>
    <mergeCell ref="AF3470:AH3470"/>
    <mergeCell ref="AK3470:AL3470"/>
    <mergeCell ref="AC3471:AD3471"/>
    <mergeCell ref="AF3471:AH3471"/>
    <mergeCell ref="AK3471:AL3471"/>
    <mergeCell ref="AC3472:AD3472"/>
    <mergeCell ref="AF3472:AH3472"/>
    <mergeCell ref="AK3472:AL3472"/>
    <mergeCell ref="AC3473:AD3473"/>
    <mergeCell ref="AF3473:AH3473"/>
    <mergeCell ref="AK3473:AL3473"/>
    <mergeCell ref="AC3474:AD3474"/>
    <mergeCell ref="AF3474:AH3474"/>
    <mergeCell ref="AK3474:AL3474"/>
    <mergeCell ref="AC3475:AD3475"/>
    <mergeCell ref="AF3475:AH3475"/>
    <mergeCell ref="AK3475:AL3475"/>
    <mergeCell ref="AC3476:AD3476"/>
    <mergeCell ref="AF3476:AH3476"/>
    <mergeCell ref="AK3476:AL3476"/>
    <mergeCell ref="AC3477:AD3477"/>
    <mergeCell ref="AF3477:AH3477"/>
    <mergeCell ref="AK3477:AL3477"/>
    <mergeCell ref="AC3478:AD3478"/>
    <mergeCell ref="AF3478:AH3478"/>
    <mergeCell ref="AK3478:AL3478"/>
    <mergeCell ref="AC3479:AD3479"/>
    <mergeCell ref="AF3479:AH3479"/>
    <mergeCell ref="AK3479:AL3479"/>
    <mergeCell ref="AC3480:AD3480"/>
    <mergeCell ref="AF3480:AH3480"/>
    <mergeCell ref="AK3480:AL3480"/>
    <mergeCell ref="AC3481:AD3481"/>
    <mergeCell ref="AF3481:AH3481"/>
    <mergeCell ref="AK3481:AL3481"/>
    <mergeCell ref="AC3482:AD3482"/>
    <mergeCell ref="AF3482:AH3482"/>
    <mergeCell ref="AK3482:AL3482"/>
    <mergeCell ref="AC3483:AD3483"/>
    <mergeCell ref="AF3483:AH3483"/>
    <mergeCell ref="AK3483:AL3483"/>
    <mergeCell ref="AC3484:AD3484"/>
    <mergeCell ref="AF3484:AH3484"/>
    <mergeCell ref="AK3484:AL3484"/>
    <mergeCell ref="AC3485:AD3485"/>
    <mergeCell ref="AF3485:AH3485"/>
    <mergeCell ref="AK3485:AL3485"/>
    <mergeCell ref="AC3486:AD3486"/>
    <mergeCell ref="AF3486:AH3486"/>
    <mergeCell ref="AK3486:AL3486"/>
    <mergeCell ref="AC3487:AD3487"/>
    <mergeCell ref="AF3487:AH3487"/>
    <mergeCell ref="AK3487:AL3487"/>
    <mergeCell ref="AC3488:AD3488"/>
    <mergeCell ref="AF3488:AH3488"/>
    <mergeCell ref="AK3488:AL3488"/>
    <mergeCell ref="AC3489:AD3489"/>
    <mergeCell ref="AF3489:AH3489"/>
    <mergeCell ref="AK3489:AL3489"/>
    <mergeCell ref="AC3490:AD3490"/>
    <mergeCell ref="AF3490:AH3490"/>
    <mergeCell ref="AK3490:AL3490"/>
    <mergeCell ref="AC3491:AD3491"/>
    <mergeCell ref="AF3491:AH3491"/>
    <mergeCell ref="AK3491:AL3491"/>
    <mergeCell ref="AC3492:AD3492"/>
    <mergeCell ref="AF3492:AH3492"/>
    <mergeCell ref="AK3492:AL3492"/>
    <mergeCell ref="AC3493:AD3493"/>
    <mergeCell ref="AF3493:AH3493"/>
    <mergeCell ref="AK3493:AL3493"/>
    <mergeCell ref="AC3494:AD3494"/>
    <mergeCell ref="AF3494:AH3494"/>
    <mergeCell ref="AK3494:AL3494"/>
    <mergeCell ref="AC3495:AD3495"/>
    <mergeCell ref="AF3495:AH3495"/>
    <mergeCell ref="AK3495:AL3495"/>
    <mergeCell ref="AC3496:AD3496"/>
    <mergeCell ref="AF3496:AH3496"/>
    <mergeCell ref="AK3496:AL3496"/>
    <mergeCell ref="AC3497:AD3497"/>
    <mergeCell ref="AF3497:AH3497"/>
    <mergeCell ref="AK3497:AL3497"/>
    <mergeCell ref="AC3498:AD3498"/>
    <mergeCell ref="AF3498:AH3498"/>
    <mergeCell ref="AK3498:AL3498"/>
    <mergeCell ref="AC3499:AD3499"/>
    <mergeCell ref="AF3499:AH3499"/>
    <mergeCell ref="AK3499:AL3499"/>
    <mergeCell ref="AC3500:AD3500"/>
    <mergeCell ref="AF3500:AH3500"/>
    <mergeCell ref="AK3500:AL3500"/>
    <mergeCell ref="AC3501:AD3501"/>
    <mergeCell ref="AF3501:AH3501"/>
    <mergeCell ref="AK3501:AL3501"/>
    <mergeCell ref="AC3502:AD3502"/>
    <mergeCell ref="AF3502:AH3502"/>
    <mergeCell ref="AK3502:AL3502"/>
    <mergeCell ref="AC3503:AD3503"/>
    <mergeCell ref="AF3503:AH3503"/>
    <mergeCell ref="AK3503:AL3503"/>
    <mergeCell ref="AC3504:AD3504"/>
    <mergeCell ref="AF3504:AH3504"/>
    <mergeCell ref="AK3504:AL3504"/>
    <mergeCell ref="AC3505:AD3505"/>
    <mergeCell ref="AF3505:AH3505"/>
    <mergeCell ref="AK3505:AL3505"/>
    <mergeCell ref="AC3506:AD3506"/>
    <mergeCell ref="AF3506:AH3506"/>
    <mergeCell ref="AK3506:AL3506"/>
    <mergeCell ref="AC3507:AD3507"/>
    <mergeCell ref="AF3507:AH3507"/>
    <mergeCell ref="AK3507:AL3507"/>
    <mergeCell ref="AC3508:AD3508"/>
    <mergeCell ref="AF3508:AH3508"/>
    <mergeCell ref="AK3508:AL3508"/>
    <mergeCell ref="AC3509:AD3509"/>
    <mergeCell ref="AF3509:AH3509"/>
    <mergeCell ref="AK3509:AL3509"/>
    <mergeCell ref="AC3510:AD3510"/>
    <mergeCell ref="AF3510:AH3510"/>
    <mergeCell ref="AK3510:AL3510"/>
    <mergeCell ref="AC3511:AD3511"/>
    <mergeCell ref="AF3511:AH3511"/>
    <mergeCell ref="AK3511:AL3511"/>
    <mergeCell ref="AC3512:AD3512"/>
    <mergeCell ref="AF3512:AH3512"/>
    <mergeCell ref="AK3512:AL3512"/>
    <mergeCell ref="AC3513:AD3513"/>
    <mergeCell ref="AF3513:AH3513"/>
    <mergeCell ref="AK3513:AL3513"/>
    <mergeCell ref="AC3514:AD3514"/>
    <mergeCell ref="AF3514:AH3514"/>
    <mergeCell ref="AK3514:AL3514"/>
    <mergeCell ref="AC3515:AD3515"/>
    <mergeCell ref="AF3515:AH3515"/>
    <mergeCell ref="AK3515:AL3515"/>
    <mergeCell ref="AC3516:AD3516"/>
    <mergeCell ref="AF3516:AH3516"/>
    <mergeCell ref="AK3516:AL3516"/>
    <mergeCell ref="AC3517:AD3517"/>
    <mergeCell ref="AF3517:AH3517"/>
    <mergeCell ref="AK3517:AL3517"/>
    <mergeCell ref="AC3518:AD3518"/>
    <mergeCell ref="AF3518:AH3518"/>
    <mergeCell ref="AK3518:AL3518"/>
    <mergeCell ref="AC3519:AD3519"/>
    <mergeCell ref="AF3519:AH3519"/>
    <mergeCell ref="AK3519:AL3519"/>
    <mergeCell ref="AC3520:AD3520"/>
    <mergeCell ref="AF3520:AH3520"/>
    <mergeCell ref="AK3520:AL3520"/>
    <mergeCell ref="AC3521:AD3521"/>
    <mergeCell ref="AF3521:AH3521"/>
    <mergeCell ref="AK3521:AL3521"/>
    <mergeCell ref="AC3522:AD3522"/>
    <mergeCell ref="AF3522:AH3522"/>
    <mergeCell ref="AK3522:AL3522"/>
    <mergeCell ref="AC3523:AD3523"/>
    <mergeCell ref="AF3523:AH3523"/>
    <mergeCell ref="AK3523:AL3523"/>
    <mergeCell ref="AC3524:AD3524"/>
    <mergeCell ref="AF3524:AH3524"/>
    <mergeCell ref="AK3524:AL3524"/>
    <mergeCell ref="AC3525:AD3525"/>
    <mergeCell ref="AF3525:AH3525"/>
    <mergeCell ref="AK3525:AL3525"/>
    <mergeCell ref="AC3526:AD3526"/>
    <mergeCell ref="AF3526:AH3526"/>
    <mergeCell ref="AK3526:AL3526"/>
    <mergeCell ref="AC3527:AD3527"/>
    <mergeCell ref="AF3527:AH3527"/>
    <mergeCell ref="AK3527:AL3527"/>
    <mergeCell ref="AC3528:AD3528"/>
    <mergeCell ref="AF3528:AH3528"/>
    <mergeCell ref="AK3528:AL3528"/>
    <mergeCell ref="AC3529:AD3529"/>
    <mergeCell ref="AF3529:AH3529"/>
    <mergeCell ref="AK3529:AL3529"/>
    <mergeCell ref="AC3530:AD3530"/>
    <mergeCell ref="AF3530:AH3530"/>
    <mergeCell ref="AK3530:AL3530"/>
    <mergeCell ref="AC3531:AD3531"/>
    <mergeCell ref="AF3531:AH3531"/>
    <mergeCell ref="AK3531:AL3531"/>
    <mergeCell ref="AC3532:AD3532"/>
    <mergeCell ref="AF3532:AH3532"/>
    <mergeCell ref="AK3532:AL3532"/>
    <mergeCell ref="AC3533:AD3533"/>
    <mergeCell ref="AF3533:AH3533"/>
    <mergeCell ref="AK3533:AL3533"/>
    <mergeCell ref="AC3534:AD3534"/>
    <mergeCell ref="AF3534:AH3534"/>
    <mergeCell ref="AK3534:AL3534"/>
    <mergeCell ref="AC3535:AD3535"/>
    <mergeCell ref="AF3535:AH3535"/>
    <mergeCell ref="AK3535:AL3535"/>
    <mergeCell ref="AC3536:AD3536"/>
    <mergeCell ref="AF3536:AH3536"/>
    <mergeCell ref="AK3536:AL3536"/>
    <mergeCell ref="AC3537:AD3537"/>
    <mergeCell ref="AF3537:AH3537"/>
    <mergeCell ref="AK3537:AL3537"/>
    <mergeCell ref="AC3538:AD3538"/>
    <mergeCell ref="AF3538:AH3538"/>
    <mergeCell ref="AK3538:AL3538"/>
    <mergeCell ref="AC3539:AD3539"/>
    <mergeCell ref="AF3539:AH3539"/>
    <mergeCell ref="AK3539:AL3539"/>
    <mergeCell ref="AC3540:AD3540"/>
    <mergeCell ref="AF3540:AH3540"/>
    <mergeCell ref="AK3540:AL3540"/>
    <mergeCell ref="AC3541:AD3541"/>
    <mergeCell ref="AF3541:AH3541"/>
    <mergeCell ref="AK3541:AL3541"/>
    <mergeCell ref="AC3542:AD3542"/>
    <mergeCell ref="AF3542:AH3542"/>
    <mergeCell ref="AK3542:AL3542"/>
    <mergeCell ref="AC3543:AD3543"/>
    <mergeCell ref="AF3543:AH3543"/>
    <mergeCell ref="AK3543:AL3543"/>
    <mergeCell ref="AC3544:AD3544"/>
    <mergeCell ref="AF3544:AH3544"/>
    <mergeCell ref="AK3544:AL3544"/>
    <mergeCell ref="AC3545:AD3545"/>
    <mergeCell ref="AF3545:AH3545"/>
    <mergeCell ref="AK3545:AL3545"/>
    <mergeCell ref="AC3546:AD3546"/>
    <mergeCell ref="AF3546:AH3546"/>
    <mergeCell ref="AK3546:AL3546"/>
    <mergeCell ref="AC3547:AD3547"/>
    <mergeCell ref="AF3547:AH3547"/>
    <mergeCell ref="AK3547:AL3547"/>
    <mergeCell ref="AC3548:AD3548"/>
    <mergeCell ref="AF3548:AH3548"/>
    <mergeCell ref="AK3548:AL3548"/>
    <mergeCell ref="AC3549:AD3549"/>
    <mergeCell ref="AF3549:AH3549"/>
    <mergeCell ref="AK3549:AL3549"/>
    <mergeCell ref="AC3550:AD3550"/>
    <mergeCell ref="AF3550:AH3550"/>
    <mergeCell ref="AK3550:AL3550"/>
    <mergeCell ref="AC3551:AD3551"/>
    <mergeCell ref="AF3551:AH3551"/>
    <mergeCell ref="AK3551:AL3551"/>
    <mergeCell ref="AC3552:AD3552"/>
    <mergeCell ref="AF3552:AH3552"/>
    <mergeCell ref="AK3552:AL3552"/>
    <mergeCell ref="AC3553:AD3553"/>
    <mergeCell ref="AF3553:AH3553"/>
    <mergeCell ref="AK3553:AL3553"/>
    <mergeCell ref="AC3554:AD3554"/>
    <mergeCell ref="AF3554:AH3554"/>
    <mergeCell ref="AK3554:AL3554"/>
    <mergeCell ref="AC3555:AD3555"/>
    <mergeCell ref="AF3555:AH3555"/>
    <mergeCell ref="AK3555:AL3555"/>
    <mergeCell ref="AC3556:AD3556"/>
    <mergeCell ref="AF3556:AH3556"/>
    <mergeCell ref="AK3556:AL3556"/>
    <mergeCell ref="AC3557:AD3557"/>
    <mergeCell ref="AF3557:AH3557"/>
    <mergeCell ref="AK3557:AL3557"/>
    <mergeCell ref="AC3558:AD3558"/>
    <mergeCell ref="AF3558:AH3558"/>
    <mergeCell ref="AK3558:AL3558"/>
    <mergeCell ref="AC3559:AD3559"/>
    <mergeCell ref="AF3559:AH3559"/>
    <mergeCell ref="AK3559:AL3559"/>
    <mergeCell ref="AC3560:AD3560"/>
    <mergeCell ref="AF3560:AH3560"/>
    <mergeCell ref="AK3560:AL3560"/>
    <mergeCell ref="AC3561:AD3561"/>
    <mergeCell ref="AF3561:AH3561"/>
    <mergeCell ref="AK3561:AL3561"/>
    <mergeCell ref="AC3562:AD3562"/>
    <mergeCell ref="AF3562:AH3562"/>
    <mergeCell ref="AK3562:AL3562"/>
    <mergeCell ref="AC3563:AD3563"/>
    <mergeCell ref="AF3563:AH3563"/>
    <mergeCell ref="AK3563:AL3563"/>
    <mergeCell ref="AC3564:AD3564"/>
    <mergeCell ref="AF3564:AH3564"/>
    <mergeCell ref="AK3564:AL3564"/>
    <mergeCell ref="AC3565:AD3565"/>
    <mergeCell ref="AF3565:AH3565"/>
    <mergeCell ref="AK3565:AL3565"/>
    <mergeCell ref="AC3566:AD3566"/>
    <mergeCell ref="AF3566:AH3566"/>
    <mergeCell ref="AK3566:AL3566"/>
    <mergeCell ref="AC3567:AD3567"/>
    <mergeCell ref="AF3567:AH3567"/>
    <mergeCell ref="AK3567:AL3567"/>
    <mergeCell ref="AC3568:AD3568"/>
    <mergeCell ref="AF3568:AH3568"/>
    <mergeCell ref="AK3568:AL3568"/>
    <mergeCell ref="AC3569:AD3569"/>
    <mergeCell ref="AF3569:AH3569"/>
    <mergeCell ref="AK3569:AL3569"/>
    <mergeCell ref="AC3570:AD3570"/>
    <mergeCell ref="AF3570:AH3570"/>
    <mergeCell ref="AK3570:AL3570"/>
    <mergeCell ref="AC3571:AD3571"/>
    <mergeCell ref="AF3571:AH3571"/>
    <mergeCell ref="AK3571:AL3571"/>
    <mergeCell ref="AC3572:AD3572"/>
    <mergeCell ref="AF3572:AH3572"/>
    <mergeCell ref="AK3572:AL3572"/>
    <mergeCell ref="AC3573:AD3573"/>
    <mergeCell ref="AF3573:AH3573"/>
    <mergeCell ref="AK3573:AL3573"/>
    <mergeCell ref="AC3574:AD3574"/>
    <mergeCell ref="AF3574:AH3574"/>
    <mergeCell ref="AK3574:AL3574"/>
    <mergeCell ref="AC3575:AD3575"/>
    <mergeCell ref="AF3575:AH3575"/>
    <mergeCell ref="AK3575:AL3575"/>
    <mergeCell ref="AC3576:AD3576"/>
    <mergeCell ref="AF3576:AH3576"/>
    <mergeCell ref="AK3576:AL3576"/>
    <mergeCell ref="AC3577:AD3577"/>
    <mergeCell ref="AF3577:AH3577"/>
    <mergeCell ref="AK3577:AL3577"/>
    <mergeCell ref="AC3578:AD3578"/>
    <mergeCell ref="AF3578:AH3578"/>
    <mergeCell ref="AK3578:AL3578"/>
    <mergeCell ref="AC3579:AD3579"/>
    <mergeCell ref="AF3579:AH3579"/>
    <mergeCell ref="AK3579:AL3579"/>
    <mergeCell ref="AC3580:AD3580"/>
    <mergeCell ref="AF3580:AH3580"/>
    <mergeCell ref="AK3580:AL3580"/>
    <mergeCell ref="AC3581:AD3581"/>
    <mergeCell ref="AF3581:AH3581"/>
    <mergeCell ref="AK3581:AL3581"/>
    <mergeCell ref="AC3582:AD3582"/>
    <mergeCell ref="AF3582:AH3582"/>
    <mergeCell ref="AK3582:AL3582"/>
    <mergeCell ref="AC3583:AD3583"/>
    <mergeCell ref="AF3583:AH3583"/>
    <mergeCell ref="AK3583:AL3583"/>
    <mergeCell ref="AC3584:AD3584"/>
    <mergeCell ref="AF3584:AH3584"/>
    <mergeCell ref="AK3584:AL3584"/>
    <mergeCell ref="AC3585:AD3585"/>
    <mergeCell ref="AF3585:AH3585"/>
    <mergeCell ref="AK3585:AL3585"/>
    <mergeCell ref="AC3586:AD3586"/>
    <mergeCell ref="AF3586:AH3586"/>
    <mergeCell ref="AK3586:AL3586"/>
    <mergeCell ref="AC3587:AD3587"/>
    <mergeCell ref="AF3587:AH3587"/>
    <mergeCell ref="AK3587:AL3587"/>
    <mergeCell ref="AC3588:AD3588"/>
    <mergeCell ref="AF3588:AH3588"/>
    <mergeCell ref="AK3588:AL3588"/>
    <mergeCell ref="AC3589:AD3589"/>
    <mergeCell ref="AF3589:AH3589"/>
    <mergeCell ref="AK3589:AL3589"/>
    <mergeCell ref="AC3590:AD3590"/>
    <mergeCell ref="AF3590:AH3590"/>
    <mergeCell ref="AK3590:AL3590"/>
    <mergeCell ref="AC3591:AD3591"/>
    <mergeCell ref="AF3591:AH3591"/>
    <mergeCell ref="AK3591:AL3591"/>
    <mergeCell ref="AC3592:AD3592"/>
    <mergeCell ref="AF3592:AH3592"/>
    <mergeCell ref="AK3592:AL3592"/>
    <mergeCell ref="AC3593:AD3593"/>
    <mergeCell ref="AF3593:AH3593"/>
    <mergeCell ref="AK3593:AL3593"/>
    <mergeCell ref="AC3594:AD3594"/>
    <mergeCell ref="AF3594:AH3594"/>
    <mergeCell ref="AK3594:AL3594"/>
    <mergeCell ref="AC3595:AD3595"/>
    <mergeCell ref="AF3595:AH3595"/>
    <mergeCell ref="AK3595:AL3595"/>
    <mergeCell ref="AC3596:AD3596"/>
    <mergeCell ref="AF3596:AH3596"/>
    <mergeCell ref="AK3596:AL3596"/>
    <mergeCell ref="AC3597:AD3597"/>
    <mergeCell ref="AF3597:AH3597"/>
    <mergeCell ref="AK3597:AL3597"/>
    <mergeCell ref="AC3598:AD3598"/>
    <mergeCell ref="AF3598:AH3598"/>
    <mergeCell ref="AK3598:AL3598"/>
    <mergeCell ref="AC3599:AD3599"/>
    <mergeCell ref="AF3599:AH3599"/>
    <mergeCell ref="AK3599:AL3599"/>
    <mergeCell ref="AC3600:AD3600"/>
    <mergeCell ref="AF3600:AH3600"/>
    <mergeCell ref="AK3600:AL3600"/>
    <mergeCell ref="AC3601:AD3601"/>
    <mergeCell ref="AF3601:AH3601"/>
    <mergeCell ref="AK3601:AL3601"/>
    <mergeCell ref="AC3602:AD3602"/>
    <mergeCell ref="AF3602:AH3602"/>
    <mergeCell ref="AK3602:AL3602"/>
    <mergeCell ref="AC3603:AD3603"/>
    <mergeCell ref="AF3603:AH3603"/>
    <mergeCell ref="AK3603:AL3603"/>
    <mergeCell ref="AC3604:AD3604"/>
    <mergeCell ref="AF3604:AH3604"/>
    <mergeCell ref="AK3604:AL3604"/>
    <mergeCell ref="AC3605:AD3605"/>
    <mergeCell ref="AF3605:AH3605"/>
    <mergeCell ref="AK3605:AL3605"/>
    <mergeCell ref="AC3606:AD3606"/>
    <mergeCell ref="AF3606:AH3606"/>
    <mergeCell ref="AK3606:AL3606"/>
    <mergeCell ref="AC3607:AD3607"/>
    <mergeCell ref="AF3607:AH3607"/>
    <mergeCell ref="AK3607:AL3607"/>
    <mergeCell ref="AC3608:AD3608"/>
    <mergeCell ref="AF3608:AH3608"/>
    <mergeCell ref="AK3608:AL3608"/>
    <mergeCell ref="AC3609:AD3609"/>
    <mergeCell ref="AF3609:AH3609"/>
    <mergeCell ref="AK3609:AL3609"/>
    <mergeCell ref="AC3610:AD3610"/>
    <mergeCell ref="AF3610:AH3610"/>
    <mergeCell ref="AK3610:AL3610"/>
    <mergeCell ref="AC3611:AD3611"/>
    <mergeCell ref="AF3611:AH3611"/>
    <mergeCell ref="AK3611:AL3611"/>
    <mergeCell ref="AC3612:AD3612"/>
    <mergeCell ref="AF3612:AH3612"/>
    <mergeCell ref="AK3612:AL3612"/>
    <mergeCell ref="AC3613:AD3613"/>
    <mergeCell ref="AF3613:AH3613"/>
    <mergeCell ref="AK3613:AL3613"/>
    <mergeCell ref="AC3614:AD3614"/>
    <mergeCell ref="AF3614:AH3614"/>
    <mergeCell ref="AK3614:AL3614"/>
    <mergeCell ref="AC3615:AD3615"/>
    <mergeCell ref="AF3615:AH3615"/>
    <mergeCell ref="AK3615:AL3615"/>
    <mergeCell ref="AC3616:AD3616"/>
    <mergeCell ref="AF3616:AH3616"/>
    <mergeCell ref="AK3616:AL3616"/>
    <mergeCell ref="AC3617:AD3617"/>
    <mergeCell ref="AF3617:AH3617"/>
    <mergeCell ref="AK3617:AL3617"/>
    <mergeCell ref="AC3618:AD3618"/>
    <mergeCell ref="AF3618:AH3618"/>
    <mergeCell ref="AK3618:AL3618"/>
    <mergeCell ref="AC3619:AD3619"/>
    <mergeCell ref="AF3619:AH3619"/>
    <mergeCell ref="AK3619:AL3619"/>
    <mergeCell ref="AC3620:AD3620"/>
    <mergeCell ref="AF3620:AH3620"/>
    <mergeCell ref="AK3620:AL3620"/>
    <mergeCell ref="AC3621:AD3621"/>
    <mergeCell ref="AF3621:AH3621"/>
    <mergeCell ref="AK3621:AL3621"/>
    <mergeCell ref="AC3622:AD3622"/>
    <mergeCell ref="AF3622:AH3622"/>
    <mergeCell ref="AK3622:AL3622"/>
    <mergeCell ref="AC3623:AD3623"/>
    <mergeCell ref="AF3623:AH3623"/>
    <mergeCell ref="AK3623:AL3623"/>
    <mergeCell ref="AC3624:AD3624"/>
    <mergeCell ref="AF3624:AH3624"/>
    <mergeCell ref="AK3624:AL3624"/>
    <mergeCell ref="AC3625:AD3625"/>
    <mergeCell ref="AF3625:AH3625"/>
    <mergeCell ref="AK3625:AL3625"/>
    <mergeCell ref="AC3626:AD3626"/>
    <mergeCell ref="AF3626:AH3626"/>
    <mergeCell ref="AK3626:AL3626"/>
    <mergeCell ref="AC3627:AD3627"/>
    <mergeCell ref="AF3627:AH3627"/>
    <mergeCell ref="AK3627:AL3627"/>
    <mergeCell ref="AC3628:AD3628"/>
    <mergeCell ref="AF3628:AH3628"/>
    <mergeCell ref="AK3628:AL3628"/>
    <mergeCell ref="AC3629:AD3629"/>
    <mergeCell ref="AF3629:AH3629"/>
    <mergeCell ref="AK3629:AL3629"/>
    <mergeCell ref="AC3630:AD3630"/>
    <mergeCell ref="AF3630:AH3630"/>
    <mergeCell ref="AK3630:AL3630"/>
    <mergeCell ref="AC3631:AD3631"/>
    <mergeCell ref="AF3631:AH3631"/>
    <mergeCell ref="AK3631:AL3631"/>
    <mergeCell ref="AC3632:AD3632"/>
    <mergeCell ref="AF3632:AH3632"/>
    <mergeCell ref="AK3632:AL3632"/>
    <mergeCell ref="AC3633:AD3633"/>
    <mergeCell ref="AF3633:AH3633"/>
    <mergeCell ref="AK3633:AL3633"/>
    <mergeCell ref="AC3634:AD3634"/>
    <mergeCell ref="AF3634:AH3634"/>
    <mergeCell ref="AK3634:AL3634"/>
    <mergeCell ref="AC3635:AD3635"/>
    <mergeCell ref="AF3635:AH3635"/>
    <mergeCell ref="AK3635:AL3635"/>
    <mergeCell ref="AC3636:AD3636"/>
    <mergeCell ref="AF3636:AH3636"/>
    <mergeCell ref="AK3636:AL3636"/>
    <mergeCell ref="AC3637:AD3637"/>
    <mergeCell ref="AF3637:AH3637"/>
    <mergeCell ref="AK3637:AL3637"/>
    <mergeCell ref="AC3638:AD3638"/>
    <mergeCell ref="AF3638:AH3638"/>
    <mergeCell ref="AK3638:AL3638"/>
    <mergeCell ref="AC3639:AD3639"/>
    <mergeCell ref="AF3639:AH3639"/>
    <mergeCell ref="AK3639:AL3639"/>
    <mergeCell ref="AC3640:AD3640"/>
    <mergeCell ref="AF3640:AH3640"/>
    <mergeCell ref="AK3640:AL3640"/>
    <mergeCell ref="AC3641:AD3641"/>
    <mergeCell ref="AF3641:AH3641"/>
    <mergeCell ref="AK3641:AL3641"/>
    <mergeCell ref="AC3642:AD3642"/>
    <mergeCell ref="AF3642:AH3642"/>
    <mergeCell ref="AK3642:AL3642"/>
    <mergeCell ref="AC3643:AD3643"/>
    <mergeCell ref="AF3643:AH3643"/>
    <mergeCell ref="AK3643:AL3643"/>
    <mergeCell ref="AC3644:AD3644"/>
    <mergeCell ref="AF3644:AH3644"/>
    <mergeCell ref="AK3644:AL3644"/>
    <mergeCell ref="AC3645:AD3645"/>
    <mergeCell ref="AF3645:AH3645"/>
    <mergeCell ref="AK3645:AL3645"/>
    <mergeCell ref="AC3646:AD3646"/>
    <mergeCell ref="AF3646:AH3646"/>
    <mergeCell ref="AK3646:AL3646"/>
    <mergeCell ref="AC3647:AD3647"/>
    <mergeCell ref="AF3647:AH3647"/>
    <mergeCell ref="AK3647:AL3647"/>
    <mergeCell ref="AC3648:AD3648"/>
    <mergeCell ref="AF3648:AH3648"/>
    <mergeCell ref="AK3648:AL3648"/>
    <mergeCell ref="AC3649:AD3649"/>
    <mergeCell ref="AF3649:AH3649"/>
    <mergeCell ref="AK3649:AL3649"/>
    <mergeCell ref="AC3650:AD3650"/>
    <mergeCell ref="AF3650:AH3650"/>
    <mergeCell ref="AK3650:AL3650"/>
    <mergeCell ref="AC3651:AD3651"/>
    <mergeCell ref="AF3651:AH3651"/>
    <mergeCell ref="AK3651:AL3651"/>
    <mergeCell ref="AC3652:AD3652"/>
    <mergeCell ref="AF3652:AH3652"/>
    <mergeCell ref="AK3652:AL3652"/>
    <mergeCell ref="AC3653:AD3653"/>
    <mergeCell ref="AF3653:AH3653"/>
    <mergeCell ref="AK3653:AL3653"/>
    <mergeCell ref="AC3654:AD3654"/>
    <mergeCell ref="AF3654:AH3654"/>
    <mergeCell ref="AK3654:AL3654"/>
    <mergeCell ref="AC3655:AD3655"/>
    <mergeCell ref="AF3655:AH3655"/>
    <mergeCell ref="AK3655:AL3655"/>
    <mergeCell ref="AC3656:AD3656"/>
    <mergeCell ref="AF3656:AH3656"/>
    <mergeCell ref="AK3656:AL3656"/>
    <mergeCell ref="AC3657:AD3657"/>
    <mergeCell ref="AF3657:AH3657"/>
    <mergeCell ref="AK3657:AL3657"/>
    <mergeCell ref="AC3658:AD3658"/>
    <mergeCell ref="AF3658:AH3658"/>
    <mergeCell ref="AK3658:AL3658"/>
    <mergeCell ref="AC3659:AD3659"/>
    <mergeCell ref="AF3659:AH3659"/>
    <mergeCell ref="AK3659:AL3659"/>
    <mergeCell ref="AC3660:AD3660"/>
    <mergeCell ref="AF3660:AH3660"/>
    <mergeCell ref="AK3660:AL3660"/>
    <mergeCell ref="AC3661:AD3661"/>
    <mergeCell ref="AF3661:AH3661"/>
    <mergeCell ref="AK3661:AL3661"/>
    <mergeCell ref="AC3662:AD3662"/>
    <mergeCell ref="AF3662:AH3662"/>
    <mergeCell ref="AK3662:AL3662"/>
    <mergeCell ref="AC3663:AD3663"/>
    <mergeCell ref="AF3663:AH3663"/>
    <mergeCell ref="AK3663:AL3663"/>
    <mergeCell ref="AC3664:AD3664"/>
    <mergeCell ref="AF3664:AH3664"/>
    <mergeCell ref="AK3664:AL3664"/>
    <mergeCell ref="AC3665:AD3665"/>
    <mergeCell ref="AF3665:AH3665"/>
    <mergeCell ref="AK3665:AL3665"/>
    <mergeCell ref="AC3666:AD3666"/>
    <mergeCell ref="AF3666:AH3666"/>
    <mergeCell ref="AK3666:AL3666"/>
    <mergeCell ref="AC3667:AD3667"/>
    <mergeCell ref="AF3667:AH3667"/>
    <mergeCell ref="AK3667:AL3667"/>
    <mergeCell ref="AC3668:AD3668"/>
    <mergeCell ref="AF3668:AH3668"/>
    <mergeCell ref="AK3668:AL3668"/>
    <mergeCell ref="AC3669:AD3669"/>
    <mergeCell ref="AF3669:AH3669"/>
    <mergeCell ref="AK3669:AL3669"/>
    <mergeCell ref="AC3670:AD3670"/>
    <mergeCell ref="AF3670:AH3670"/>
    <mergeCell ref="AK3670:AL3670"/>
    <mergeCell ref="AC3671:AD3671"/>
    <mergeCell ref="AF3671:AH3671"/>
    <mergeCell ref="AK3671:AL3671"/>
    <mergeCell ref="AC3672:AD3672"/>
    <mergeCell ref="AF3672:AH3672"/>
    <mergeCell ref="AK3672:AL3672"/>
    <mergeCell ref="AC3673:AD3673"/>
    <mergeCell ref="AF3673:AH3673"/>
    <mergeCell ref="AK3673:AL3673"/>
    <mergeCell ref="AC3674:AD3674"/>
    <mergeCell ref="AF3674:AH3674"/>
    <mergeCell ref="AK3674:AL3674"/>
    <mergeCell ref="AC3675:AD3675"/>
    <mergeCell ref="AF3675:AH3675"/>
    <mergeCell ref="AK3675:AL3675"/>
    <mergeCell ref="AC3676:AD3676"/>
    <mergeCell ref="AF3676:AH3676"/>
    <mergeCell ref="AK3676:AL3676"/>
    <mergeCell ref="AC3677:AD3677"/>
    <mergeCell ref="AF3677:AH3677"/>
    <mergeCell ref="AK3677:AL3677"/>
    <mergeCell ref="AC3678:AD3678"/>
    <mergeCell ref="AF3678:AH3678"/>
    <mergeCell ref="AK3678:AL3678"/>
    <mergeCell ref="AC3679:AD3679"/>
    <mergeCell ref="AF3679:AH3679"/>
    <mergeCell ref="AK3679:AL3679"/>
    <mergeCell ref="AC3680:AD3680"/>
    <mergeCell ref="AF3680:AH3680"/>
    <mergeCell ref="AK3680:AL3680"/>
    <mergeCell ref="AC3681:AD3681"/>
    <mergeCell ref="AF3681:AH3681"/>
    <mergeCell ref="AK3681:AL3681"/>
    <mergeCell ref="AC3682:AD3682"/>
    <mergeCell ref="AF3682:AH3682"/>
    <mergeCell ref="AK3682:AL3682"/>
    <mergeCell ref="AC3683:AD3683"/>
    <mergeCell ref="AF3683:AH3683"/>
    <mergeCell ref="AK3683:AL3683"/>
    <mergeCell ref="AC3684:AD3684"/>
    <mergeCell ref="AF3684:AH3684"/>
    <mergeCell ref="AK3684:AL3684"/>
    <mergeCell ref="AC3685:AD3685"/>
    <mergeCell ref="AF3685:AH3685"/>
    <mergeCell ref="AK3685:AL3685"/>
    <mergeCell ref="AC3686:AD3686"/>
    <mergeCell ref="AF3686:AH3686"/>
    <mergeCell ref="AK3686:AL3686"/>
    <mergeCell ref="AC3687:AD3687"/>
    <mergeCell ref="AF3687:AH3687"/>
    <mergeCell ref="AK3687:AL3687"/>
    <mergeCell ref="AC3688:AD3688"/>
    <mergeCell ref="AF3688:AH3688"/>
    <mergeCell ref="AK3688:AL3688"/>
    <mergeCell ref="AC3689:AD3689"/>
    <mergeCell ref="AF3689:AH3689"/>
    <mergeCell ref="AK3689:AL3689"/>
    <mergeCell ref="AC3690:AD3690"/>
    <mergeCell ref="AF3690:AH3690"/>
    <mergeCell ref="AK3690:AL3690"/>
    <mergeCell ref="AC3691:AD3691"/>
    <mergeCell ref="AF3691:AH3691"/>
    <mergeCell ref="AK3691:AL3691"/>
    <mergeCell ref="AC3692:AD3692"/>
    <mergeCell ref="AF3692:AH3692"/>
    <mergeCell ref="AK3692:AL3692"/>
    <mergeCell ref="AC3693:AD3693"/>
    <mergeCell ref="AF3693:AH3693"/>
    <mergeCell ref="AK3693:AL3693"/>
    <mergeCell ref="AC3694:AD3694"/>
    <mergeCell ref="AF3694:AH3694"/>
    <mergeCell ref="AK3694:AL3694"/>
    <mergeCell ref="AC3695:AD3695"/>
    <mergeCell ref="AF3695:AH3695"/>
    <mergeCell ref="AK3695:AL3695"/>
    <mergeCell ref="AC3696:AD3696"/>
    <mergeCell ref="AF3696:AH3696"/>
    <mergeCell ref="AK3696:AL3696"/>
    <mergeCell ref="AC3697:AD3697"/>
    <mergeCell ref="AF3697:AH3697"/>
    <mergeCell ref="AK3697:AL3697"/>
    <mergeCell ref="AC3698:AD3698"/>
    <mergeCell ref="AF3698:AH3698"/>
    <mergeCell ref="AK3698:AL3698"/>
    <mergeCell ref="AC3699:AD3699"/>
    <mergeCell ref="AF3699:AH3699"/>
    <mergeCell ref="AK3699:AL3699"/>
    <mergeCell ref="AC3700:AD3700"/>
    <mergeCell ref="AF3700:AH3700"/>
    <mergeCell ref="AK3700:AL3700"/>
    <mergeCell ref="AC3701:AD3701"/>
    <mergeCell ref="AF3701:AH3701"/>
    <mergeCell ref="AK3701:AL3701"/>
    <mergeCell ref="AC3702:AD3702"/>
    <mergeCell ref="AF3702:AH3702"/>
    <mergeCell ref="AK3702:AL3702"/>
    <mergeCell ref="AC3703:AD3703"/>
    <mergeCell ref="AF3703:AH3703"/>
    <mergeCell ref="AK3703:AL3703"/>
    <mergeCell ref="AC3704:AD3704"/>
    <mergeCell ref="AF3704:AH3704"/>
    <mergeCell ref="AK3704:AL3704"/>
    <mergeCell ref="AC3705:AD3705"/>
    <mergeCell ref="AF3705:AH3705"/>
    <mergeCell ref="AK3705:AL3705"/>
    <mergeCell ref="AC3706:AD3706"/>
    <mergeCell ref="AF3706:AH3706"/>
    <mergeCell ref="AK3706:AL3706"/>
    <mergeCell ref="AC3707:AD3707"/>
    <mergeCell ref="AF3707:AH3707"/>
    <mergeCell ref="AK3707:AL3707"/>
    <mergeCell ref="AC3708:AD3708"/>
    <mergeCell ref="AF3708:AH3708"/>
    <mergeCell ref="AK3708:AL3708"/>
    <mergeCell ref="AC3709:AD3709"/>
    <mergeCell ref="AF3709:AH3709"/>
    <mergeCell ref="AK3709:AL3709"/>
    <mergeCell ref="AC3710:AD3710"/>
    <mergeCell ref="AF3710:AH3710"/>
    <mergeCell ref="AK3710:AL3710"/>
    <mergeCell ref="AC3711:AD3711"/>
    <mergeCell ref="AF3711:AH3711"/>
    <mergeCell ref="AK3711:AL3711"/>
    <mergeCell ref="AC3712:AD3712"/>
    <mergeCell ref="AF3712:AH3712"/>
    <mergeCell ref="AK3712:AL3712"/>
    <mergeCell ref="AC3713:AD3713"/>
    <mergeCell ref="AF3713:AH3713"/>
    <mergeCell ref="AK3713:AL3713"/>
    <mergeCell ref="AC3714:AD3714"/>
    <mergeCell ref="AF3714:AH3714"/>
    <mergeCell ref="AK3714:AL3714"/>
    <mergeCell ref="AC3715:AD3715"/>
    <mergeCell ref="AF3715:AH3715"/>
    <mergeCell ref="AK3715:AL3715"/>
    <mergeCell ref="AC3716:AD3716"/>
    <mergeCell ref="AF3716:AH3716"/>
    <mergeCell ref="AK3716:AL3716"/>
    <mergeCell ref="AC3717:AD3717"/>
    <mergeCell ref="AF3717:AH3717"/>
    <mergeCell ref="AK3717:AL3717"/>
    <mergeCell ref="AC3718:AD3718"/>
    <mergeCell ref="AF3718:AH3718"/>
    <mergeCell ref="AK3718:AL3718"/>
    <mergeCell ref="AC3719:AD3719"/>
    <mergeCell ref="AF3719:AH3719"/>
    <mergeCell ref="AK3719:AL3719"/>
    <mergeCell ref="AC3720:AD3720"/>
    <mergeCell ref="AF3720:AH3720"/>
    <mergeCell ref="AK3720:AL3720"/>
    <mergeCell ref="AC3721:AD3721"/>
    <mergeCell ref="AF3721:AH3721"/>
    <mergeCell ref="AK3721:AL3721"/>
    <mergeCell ref="AC3722:AD3722"/>
    <mergeCell ref="AF3722:AH3722"/>
    <mergeCell ref="AK3722:AL3722"/>
    <mergeCell ref="AC3723:AD3723"/>
    <mergeCell ref="AF3723:AH3723"/>
    <mergeCell ref="AK3723:AL3723"/>
    <mergeCell ref="AC3724:AD3724"/>
    <mergeCell ref="AF3724:AH3724"/>
    <mergeCell ref="AK3724:AL3724"/>
    <mergeCell ref="AC3725:AD3725"/>
    <mergeCell ref="AF3725:AH3725"/>
    <mergeCell ref="AK3725:AL3725"/>
    <mergeCell ref="AC3726:AD3726"/>
    <mergeCell ref="AF3726:AH3726"/>
    <mergeCell ref="AK3726:AL3726"/>
    <mergeCell ref="AC3727:AD3727"/>
    <mergeCell ref="AF3727:AH3727"/>
    <mergeCell ref="AK3727:AL3727"/>
    <mergeCell ref="AC3728:AD3728"/>
    <mergeCell ref="AF3728:AH3728"/>
    <mergeCell ref="AK3728:AL3728"/>
    <mergeCell ref="AC3729:AD3729"/>
    <mergeCell ref="AF3729:AH3729"/>
    <mergeCell ref="AK3729:AL3729"/>
    <mergeCell ref="AC3730:AD3730"/>
    <mergeCell ref="AF3730:AH3730"/>
    <mergeCell ref="AK3730:AL3730"/>
    <mergeCell ref="AC3731:AD3731"/>
    <mergeCell ref="AF3731:AH3731"/>
    <mergeCell ref="AK3731:AL3731"/>
    <mergeCell ref="AC3732:AD3732"/>
    <mergeCell ref="AF3732:AH3732"/>
    <mergeCell ref="AK3732:AL3732"/>
    <mergeCell ref="AC3733:AD3733"/>
    <mergeCell ref="AF3733:AH3733"/>
    <mergeCell ref="AK3733:AL3733"/>
    <mergeCell ref="AC3734:AD3734"/>
    <mergeCell ref="AF3734:AH3734"/>
    <mergeCell ref="AK3734:AL3734"/>
    <mergeCell ref="AC3735:AD3735"/>
    <mergeCell ref="AF3735:AH3735"/>
    <mergeCell ref="AK3735:AL3735"/>
    <mergeCell ref="AC3736:AD3736"/>
    <mergeCell ref="AF3736:AH3736"/>
    <mergeCell ref="AK3736:AL3736"/>
    <mergeCell ref="AC3737:AD3737"/>
    <mergeCell ref="AF3737:AH3737"/>
    <mergeCell ref="AK3737:AL3737"/>
    <mergeCell ref="AC3738:AD3738"/>
    <mergeCell ref="AF3738:AH3738"/>
    <mergeCell ref="AK3738:AL3738"/>
    <mergeCell ref="AC3739:AD3739"/>
    <mergeCell ref="AF3739:AH3739"/>
    <mergeCell ref="AK3739:AL3739"/>
    <mergeCell ref="AC3740:AD3740"/>
    <mergeCell ref="AF3740:AH3740"/>
    <mergeCell ref="AK3740:AL3740"/>
    <mergeCell ref="AC3741:AD3741"/>
    <mergeCell ref="AF3741:AH3741"/>
    <mergeCell ref="AK3741:AL3741"/>
    <mergeCell ref="AC3742:AD3742"/>
    <mergeCell ref="AF3742:AH3742"/>
    <mergeCell ref="AK3742:AL3742"/>
    <mergeCell ref="AC3743:AD3743"/>
    <mergeCell ref="AF3743:AH3743"/>
    <mergeCell ref="AK3743:AL3743"/>
    <mergeCell ref="AC3744:AD3744"/>
    <mergeCell ref="AF3744:AH3744"/>
    <mergeCell ref="AK3744:AL3744"/>
    <mergeCell ref="AC3745:AD3745"/>
    <mergeCell ref="AF3745:AH3745"/>
    <mergeCell ref="AK3745:AL3745"/>
    <mergeCell ref="AC3746:AD3746"/>
    <mergeCell ref="AF3746:AH3746"/>
    <mergeCell ref="AK3746:AL3746"/>
    <mergeCell ref="AC3747:AD3747"/>
    <mergeCell ref="AF3747:AH3747"/>
    <mergeCell ref="AK3747:AL3747"/>
    <mergeCell ref="AC3748:AD3748"/>
    <mergeCell ref="AF3748:AH3748"/>
    <mergeCell ref="AK3748:AL3748"/>
    <mergeCell ref="AC3749:AD3749"/>
    <mergeCell ref="AF3749:AH3749"/>
    <mergeCell ref="AK3749:AL3749"/>
    <mergeCell ref="AC3750:AD3750"/>
    <mergeCell ref="AF3750:AH3750"/>
    <mergeCell ref="AK3750:AL3750"/>
    <mergeCell ref="AC3751:AD3751"/>
    <mergeCell ref="AF3751:AH3751"/>
    <mergeCell ref="AK3751:AL3751"/>
    <mergeCell ref="AC3752:AD3752"/>
    <mergeCell ref="AF3752:AH3752"/>
    <mergeCell ref="AK3752:AL3752"/>
    <mergeCell ref="AC3753:AD3753"/>
    <mergeCell ref="AF3753:AH3753"/>
    <mergeCell ref="AK3753:AL3753"/>
    <mergeCell ref="AC3754:AD3754"/>
    <mergeCell ref="AF3754:AH3754"/>
    <mergeCell ref="AK3754:AL3754"/>
    <mergeCell ref="AC3755:AD3755"/>
    <mergeCell ref="AF3755:AH3755"/>
    <mergeCell ref="AK3755:AL3755"/>
    <mergeCell ref="AC3756:AD3756"/>
    <mergeCell ref="AF3756:AH3756"/>
    <mergeCell ref="AK3756:AL3756"/>
    <mergeCell ref="AC3757:AD3757"/>
    <mergeCell ref="AF3757:AH3757"/>
    <mergeCell ref="AK3757:AL3757"/>
    <mergeCell ref="AC3758:AD3758"/>
    <mergeCell ref="AF3758:AH3758"/>
    <mergeCell ref="AK3758:AL3758"/>
    <mergeCell ref="AC3759:AD3759"/>
    <mergeCell ref="AF3759:AH3759"/>
    <mergeCell ref="AK3759:AL3759"/>
    <mergeCell ref="AC3760:AD3760"/>
    <mergeCell ref="AF3760:AH3760"/>
    <mergeCell ref="AK3760:AL3760"/>
    <mergeCell ref="AC3761:AD3761"/>
    <mergeCell ref="AF3761:AH3761"/>
    <mergeCell ref="AK3761:AL3761"/>
    <mergeCell ref="AC3762:AD3762"/>
    <mergeCell ref="AF3762:AH3762"/>
    <mergeCell ref="AK3762:AL3762"/>
    <mergeCell ref="AC3763:AD3763"/>
    <mergeCell ref="AF3763:AH3763"/>
    <mergeCell ref="AK3763:AL3763"/>
    <mergeCell ref="AC3764:AD3764"/>
    <mergeCell ref="AF3764:AH3764"/>
    <mergeCell ref="AK3764:AL3764"/>
    <mergeCell ref="AC3765:AD3765"/>
    <mergeCell ref="AF3765:AH3765"/>
    <mergeCell ref="AK3765:AL3765"/>
    <mergeCell ref="AC3766:AD3766"/>
    <mergeCell ref="AF3766:AH3766"/>
    <mergeCell ref="AK3766:AL3766"/>
    <mergeCell ref="AC3767:AD3767"/>
    <mergeCell ref="AF3767:AH3767"/>
    <mergeCell ref="AK3767:AL3767"/>
    <mergeCell ref="AC3768:AD3768"/>
    <mergeCell ref="AF3768:AH3768"/>
    <mergeCell ref="AK3768:AL3768"/>
    <mergeCell ref="AC3769:AD3769"/>
    <mergeCell ref="AF3769:AH3769"/>
    <mergeCell ref="AK3769:AL3769"/>
    <mergeCell ref="AC3770:AD3770"/>
    <mergeCell ref="AF3770:AH3770"/>
    <mergeCell ref="AK3770:AL3770"/>
    <mergeCell ref="AC3771:AD3771"/>
    <mergeCell ref="AF3771:AH3771"/>
    <mergeCell ref="AK3771:AL3771"/>
    <mergeCell ref="AC3772:AD3772"/>
    <mergeCell ref="AF3772:AH3772"/>
    <mergeCell ref="AK3772:AL3772"/>
    <mergeCell ref="AC3773:AD3773"/>
    <mergeCell ref="AF3773:AH3773"/>
    <mergeCell ref="AK3773:AL3773"/>
    <mergeCell ref="AC3774:AD3774"/>
    <mergeCell ref="AF3774:AH3774"/>
    <mergeCell ref="AK3774:AL3774"/>
    <mergeCell ref="AC3775:AD3775"/>
    <mergeCell ref="AF3775:AH3775"/>
    <mergeCell ref="AK3775:AL3775"/>
    <mergeCell ref="AC3776:AD3776"/>
    <mergeCell ref="AF3776:AH3776"/>
    <mergeCell ref="AK3776:AL3776"/>
    <mergeCell ref="AC3777:AD3777"/>
    <mergeCell ref="AF3777:AH3777"/>
    <mergeCell ref="AK3777:AL3777"/>
    <mergeCell ref="AC3778:AD3778"/>
    <mergeCell ref="AF3778:AH3778"/>
    <mergeCell ref="AK3778:AL3778"/>
    <mergeCell ref="AC3779:AD3779"/>
    <mergeCell ref="AF3779:AH3779"/>
    <mergeCell ref="AK3779:AL3779"/>
    <mergeCell ref="AC3780:AD3780"/>
    <mergeCell ref="AF3780:AH3780"/>
    <mergeCell ref="AK3780:AL3780"/>
    <mergeCell ref="AC3781:AD3781"/>
    <mergeCell ref="AF3781:AH3781"/>
    <mergeCell ref="AK3781:AL3781"/>
    <mergeCell ref="AC3782:AD3782"/>
    <mergeCell ref="AF3782:AH3782"/>
    <mergeCell ref="AK3782:AL3782"/>
    <mergeCell ref="AC3783:AD3783"/>
    <mergeCell ref="AF3783:AH3783"/>
    <mergeCell ref="AK3783:AL3783"/>
    <mergeCell ref="AC3784:AD3784"/>
    <mergeCell ref="AF3784:AH3784"/>
    <mergeCell ref="AK3784:AL3784"/>
    <mergeCell ref="AC3785:AD3785"/>
    <mergeCell ref="AF3785:AH3785"/>
    <mergeCell ref="AK3785:AL3785"/>
    <mergeCell ref="AC3786:AD3786"/>
    <mergeCell ref="AF3786:AH3786"/>
    <mergeCell ref="AK3786:AL3786"/>
    <mergeCell ref="AC3787:AD3787"/>
    <mergeCell ref="AF3787:AH3787"/>
    <mergeCell ref="AK3787:AL3787"/>
    <mergeCell ref="AC3788:AD3788"/>
    <mergeCell ref="AF3788:AH3788"/>
    <mergeCell ref="AK3788:AL3788"/>
    <mergeCell ref="AC3789:AD3789"/>
    <mergeCell ref="AF3789:AH3789"/>
    <mergeCell ref="AK3789:AL3789"/>
    <mergeCell ref="AC3790:AD3790"/>
    <mergeCell ref="AF3790:AH3790"/>
    <mergeCell ref="AK3790:AL3790"/>
    <mergeCell ref="AC3791:AD3791"/>
    <mergeCell ref="AF3791:AH3791"/>
    <mergeCell ref="AK3791:AL3791"/>
    <mergeCell ref="AC3792:AD3792"/>
    <mergeCell ref="AF3792:AH3792"/>
    <mergeCell ref="AK3792:AL3792"/>
    <mergeCell ref="AC3793:AD3793"/>
    <mergeCell ref="AF3793:AH3793"/>
    <mergeCell ref="AK3793:AL3793"/>
    <mergeCell ref="AC3794:AD3794"/>
    <mergeCell ref="AF3794:AH3794"/>
    <mergeCell ref="AK3794:AL3794"/>
    <mergeCell ref="AC3795:AD3795"/>
    <mergeCell ref="AF3795:AH3795"/>
    <mergeCell ref="AK3795:AL3795"/>
    <mergeCell ref="AC3796:AD3796"/>
    <mergeCell ref="AF3796:AH3796"/>
    <mergeCell ref="AK3796:AL3796"/>
    <mergeCell ref="AC3797:AD3797"/>
    <mergeCell ref="AF3797:AH3797"/>
    <mergeCell ref="AK3797:AL3797"/>
    <mergeCell ref="AC3798:AD3798"/>
    <mergeCell ref="AF3798:AH3798"/>
    <mergeCell ref="AK3798:AL3798"/>
    <mergeCell ref="AC3799:AD3799"/>
    <mergeCell ref="AF3799:AH3799"/>
    <mergeCell ref="AK3799:AL3799"/>
    <mergeCell ref="AC3800:AD3800"/>
    <mergeCell ref="AF3800:AH3800"/>
    <mergeCell ref="AK3800:AL3800"/>
    <mergeCell ref="AC3801:AD3801"/>
    <mergeCell ref="AF3801:AH3801"/>
    <mergeCell ref="AK3801:AL3801"/>
    <mergeCell ref="AC3802:AD3802"/>
    <mergeCell ref="AF3802:AH3802"/>
    <mergeCell ref="AK3802:AL3802"/>
    <mergeCell ref="AC3803:AD3803"/>
    <mergeCell ref="AF3803:AH3803"/>
    <mergeCell ref="AK3803:AL3803"/>
    <mergeCell ref="AC3804:AD3804"/>
    <mergeCell ref="AF3804:AH3804"/>
    <mergeCell ref="AK3804:AL3804"/>
    <mergeCell ref="AC3805:AD3805"/>
    <mergeCell ref="AF3805:AH3805"/>
    <mergeCell ref="AK3805:AL3805"/>
    <mergeCell ref="AC3806:AD3806"/>
    <mergeCell ref="AF3806:AH3806"/>
    <mergeCell ref="AK3806:AL3806"/>
    <mergeCell ref="AC3807:AD3807"/>
    <mergeCell ref="AF3807:AH3807"/>
    <mergeCell ref="AK3807:AL3807"/>
    <mergeCell ref="AC3808:AD3808"/>
    <mergeCell ref="AF3808:AH3808"/>
    <mergeCell ref="AK3808:AL3808"/>
    <mergeCell ref="AC3809:AD3809"/>
    <mergeCell ref="AF3809:AH3809"/>
    <mergeCell ref="AK3809:AL3809"/>
    <mergeCell ref="AC3810:AD3810"/>
    <mergeCell ref="AF3810:AH3810"/>
    <mergeCell ref="AK3810:AL3810"/>
    <mergeCell ref="AC3811:AD3811"/>
    <mergeCell ref="AF3811:AH3811"/>
    <mergeCell ref="AK3811:AL3811"/>
    <mergeCell ref="AC3812:AD3812"/>
    <mergeCell ref="AF3812:AH3812"/>
    <mergeCell ref="AK3812:AL3812"/>
    <mergeCell ref="AC3813:AD3813"/>
    <mergeCell ref="AF3813:AH3813"/>
    <mergeCell ref="AK3813:AL3813"/>
    <mergeCell ref="AC3814:AD3814"/>
    <mergeCell ref="AF3814:AH3814"/>
    <mergeCell ref="AK3814:AL3814"/>
    <mergeCell ref="AC3815:AD3815"/>
    <mergeCell ref="AF3815:AH3815"/>
    <mergeCell ref="AK3815:AL3815"/>
    <mergeCell ref="AC3816:AD3816"/>
    <mergeCell ref="AF3816:AH3816"/>
    <mergeCell ref="AK3816:AL3816"/>
    <mergeCell ref="AC3817:AD3817"/>
    <mergeCell ref="AF3817:AH3817"/>
    <mergeCell ref="AK3817:AL3817"/>
    <mergeCell ref="AC3818:AD3818"/>
    <mergeCell ref="AF3818:AH3818"/>
    <mergeCell ref="AK3818:AL3818"/>
    <mergeCell ref="AC3819:AD3819"/>
    <mergeCell ref="AF3819:AH3819"/>
    <mergeCell ref="AK3819:AL3819"/>
    <mergeCell ref="AC3820:AD3820"/>
    <mergeCell ref="AF3820:AH3820"/>
    <mergeCell ref="AK3820:AL3820"/>
    <mergeCell ref="AC3821:AD3821"/>
    <mergeCell ref="AF3821:AH3821"/>
    <mergeCell ref="AK3821:AL3821"/>
    <mergeCell ref="AC3822:AD3822"/>
    <mergeCell ref="AF3822:AH3822"/>
    <mergeCell ref="AK3822:AL3822"/>
    <mergeCell ref="AC3823:AD3823"/>
    <mergeCell ref="AF3823:AH3823"/>
    <mergeCell ref="AK3823:AL3823"/>
    <mergeCell ref="AC3824:AD3824"/>
    <mergeCell ref="AF3824:AH3824"/>
    <mergeCell ref="AK3824:AL3824"/>
    <mergeCell ref="AC3825:AD3825"/>
    <mergeCell ref="AF3825:AH3825"/>
    <mergeCell ref="AK3825:AL3825"/>
    <mergeCell ref="AC3826:AD3826"/>
    <mergeCell ref="AF3826:AH3826"/>
    <mergeCell ref="AK3826:AL3826"/>
    <mergeCell ref="AC3827:AD3827"/>
    <mergeCell ref="AF3827:AH3827"/>
    <mergeCell ref="AK3827:AL3827"/>
    <mergeCell ref="AC3828:AD3828"/>
    <mergeCell ref="AF3828:AH3828"/>
    <mergeCell ref="AK3828:AL3828"/>
    <mergeCell ref="AC3829:AD3829"/>
    <mergeCell ref="AF3829:AH3829"/>
    <mergeCell ref="AK3829:AL3829"/>
    <mergeCell ref="AC3830:AD3830"/>
    <mergeCell ref="AF3830:AH3830"/>
    <mergeCell ref="AK3830:AL3830"/>
    <mergeCell ref="AC3831:AD3831"/>
    <mergeCell ref="AF3831:AH3831"/>
    <mergeCell ref="AK3831:AL3831"/>
    <mergeCell ref="AC3832:AD3832"/>
    <mergeCell ref="AF3832:AH3832"/>
    <mergeCell ref="AK3832:AL3832"/>
    <mergeCell ref="AC3833:AD3833"/>
    <mergeCell ref="AF3833:AH3833"/>
    <mergeCell ref="AK3833:AL3833"/>
    <mergeCell ref="AC3834:AD3834"/>
    <mergeCell ref="AF3834:AH3834"/>
    <mergeCell ref="AK3834:AL3834"/>
    <mergeCell ref="AC3835:AD3835"/>
    <mergeCell ref="AF3835:AH3835"/>
    <mergeCell ref="AK3835:AL3835"/>
    <mergeCell ref="AC3836:AD3836"/>
    <mergeCell ref="AF3836:AH3836"/>
    <mergeCell ref="AK3836:AL3836"/>
    <mergeCell ref="AC3837:AD3837"/>
    <mergeCell ref="AF3837:AH3837"/>
    <mergeCell ref="AK3837:AL3837"/>
    <mergeCell ref="AC3838:AD3838"/>
    <mergeCell ref="AF3838:AH3838"/>
    <mergeCell ref="AK3838:AL3838"/>
    <mergeCell ref="AC3839:AD3839"/>
    <mergeCell ref="AF3839:AH3839"/>
    <mergeCell ref="AK3839:AL3839"/>
    <mergeCell ref="AC3840:AD3840"/>
    <mergeCell ref="AF3840:AH3840"/>
    <mergeCell ref="AK3840:AL3840"/>
    <mergeCell ref="AC3841:AD3841"/>
    <mergeCell ref="AF3841:AH3841"/>
    <mergeCell ref="AK3841:AL3841"/>
    <mergeCell ref="AC3842:AD3842"/>
    <mergeCell ref="AF3842:AH3842"/>
    <mergeCell ref="AK3842:AL3842"/>
    <mergeCell ref="AC3843:AD3843"/>
    <mergeCell ref="AF3843:AH3843"/>
    <mergeCell ref="AK3843:AL3843"/>
    <mergeCell ref="AC3844:AD3844"/>
    <mergeCell ref="AF3844:AH3844"/>
    <mergeCell ref="AK3844:AL3844"/>
    <mergeCell ref="AC3845:AD3845"/>
    <mergeCell ref="AF3845:AH3845"/>
    <mergeCell ref="AK3845:AL3845"/>
    <mergeCell ref="AC3846:AD3846"/>
    <mergeCell ref="AF3846:AH3846"/>
    <mergeCell ref="AK3846:AL3846"/>
    <mergeCell ref="AC3847:AD3847"/>
    <mergeCell ref="AF3847:AH3847"/>
    <mergeCell ref="AK3847:AL3847"/>
    <mergeCell ref="AC3848:AD3848"/>
    <mergeCell ref="AF3848:AH3848"/>
    <mergeCell ref="AK3848:AL3848"/>
    <mergeCell ref="AC3849:AD3849"/>
    <mergeCell ref="AF3849:AH3849"/>
    <mergeCell ref="AK3849:AL3849"/>
    <mergeCell ref="AC3850:AD3850"/>
    <mergeCell ref="AF3850:AH3850"/>
    <mergeCell ref="AK3850:AL3850"/>
    <mergeCell ref="AC3851:AD3851"/>
    <mergeCell ref="AF3851:AH3851"/>
    <mergeCell ref="AK3851:AL3851"/>
    <mergeCell ref="AC3852:AD3852"/>
    <mergeCell ref="AF3852:AH3852"/>
    <mergeCell ref="AK3852:AL3852"/>
    <mergeCell ref="AC3853:AD3853"/>
    <mergeCell ref="AF3853:AH3853"/>
    <mergeCell ref="AK3853:AL3853"/>
    <mergeCell ref="AC3854:AD3854"/>
    <mergeCell ref="AF3854:AH3854"/>
    <mergeCell ref="AK3854:AL3854"/>
    <mergeCell ref="AC3855:AD3855"/>
    <mergeCell ref="AF3855:AH3855"/>
    <mergeCell ref="AK3855:AL3855"/>
    <mergeCell ref="AC3859:AD3859"/>
    <mergeCell ref="AF3859:AH3859"/>
    <mergeCell ref="AK3859:AL3859"/>
    <mergeCell ref="AC3860:AD3860"/>
    <mergeCell ref="AF3860:AH3860"/>
    <mergeCell ref="AK3860:AL3860"/>
    <mergeCell ref="AC3861:AD3861"/>
    <mergeCell ref="AF3861:AH3861"/>
    <mergeCell ref="AK3861:AL3861"/>
    <mergeCell ref="AC3862:AD3862"/>
    <mergeCell ref="AF3862:AH3862"/>
    <mergeCell ref="AK3862:AL3862"/>
    <mergeCell ref="AC3863:AD3863"/>
    <mergeCell ref="AF3863:AH3863"/>
    <mergeCell ref="AK3863:AL3863"/>
    <mergeCell ref="AC3864:AD3864"/>
    <mergeCell ref="AF3864:AH3864"/>
    <mergeCell ref="AK3864:AL3864"/>
    <mergeCell ref="AC3865:AD3865"/>
    <mergeCell ref="AF3865:AH3865"/>
    <mergeCell ref="AK3865:AL3865"/>
    <mergeCell ref="AC3866:AD3866"/>
    <mergeCell ref="AF3866:AH3866"/>
    <mergeCell ref="AK3866:AL3866"/>
    <mergeCell ref="AC3856:AD3856"/>
    <mergeCell ref="AF3856:AH3856"/>
    <mergeCell ref="AK3856:AL3856"/>
    <mergeCell ref="AC3857:AD3857"/>
    <mergeCell ref="AF3857:AH3857"/>
    <mergeCell ref="AK3857:AL3857"/>
    <mergeCell ref="AC3858:AD3858"/>
    <mergeCell ref="AF3858:AH3858"/>
    <mergeCell ref="AK3858:AL3858"/>
    <mergeCell ref="AC3867:AD3867"/>
    <mergeCell ref="AF3867:AH3867"/>
    <mergeCell ref="AK3867:AL3867"/>
    <mergeCell ref="AC3868:AD3868"/>
    <mergeCell ref="AF3868:AH3868"/>
    <mergeCell ref="AK3868:AL3868"/>
    <mergeCell ref="AC3869:AD3869"/>
    <mergeCell ref="AF3869:AH3869"/>
    <mergeCell ref="AK3869:AL3869"/>
    <mergeCell ref="AC3870:AD3870"/>
    <mergeCell ref="AF3870:AH3870"/>
    <mergeCell ref="AK3870:AL3870"/>
    <mergeCell ref="AC3871:AD3871"/>
    <mergeCell ref="AF3871:AH3871"/>
    <mergeCell ref="AK3871:AL3871"/>
    <mergeCell ref="AC3872:AD3872"/>
    <mergeCell ref="AF3872:AH3872"/>
    <mergeCell ref="AK3872:AL3872"/>
    <mergeCell ref="AC3873:AD3873"/>
    <mergeCell ref="AF3873:AH3873"/>
    <mergeCell ref="AK3873:AL3873"/>
    <mergeCell ref="AC3874:AD3874"/>
    <mergeCell ref="AF3874:AH3874"/>
    <mergeCell ref="AK3874:AL3874"/>
    <mergeCell ref="AC3875:AD3875"/>
    <mergeCell ref="AF3875:AH3875"/>
    <mergeCell ref="AK3875:AL3875"/>
    <mergeCell ref="AC3876:AD3876"/>
    <mergeCell ref="AF3876:AH3876"/>
    <mergeCell ref="AK3876:AL3876"/>
    <mergeCell ref="AC3877:AD3877"/>
    <mergeCell ref="AF3877:AH3877"/>
    <mergeCell ref="AK3877:AL3877"/>
    <mergeCell ref="AC3878:AD3878"/>
    <mergeCell ref="AF3878:AH3878"/>
    <mergeCell ref="AK3878:AL3878"/>
    <mergeCell ref="AC3879:AD3879"/>
    <mergeCell ref="AF3879:AH3879"/>
    <mergeCell ref="AK3879:AL3879"/>
    <mergeCell ref="AC3880:AD3880"/>
    <mergeCell ref="AF3880:AH3880"/>
    <mergeCell ref="AK3880:AL3880"/>
    <mergeCell ref="AC3881:AD3881"/>
    <mergeCell ref="AF3881:AH3881"/>
    <mergeCell ref="AK3881:AL3881"/>
    <mergeCell ref="AC3882:AD3882"/>
    <mergeCell ref="AF3882:AH3882"/>
    <mergeCell ref="AK3882:AL3882"/>
    <mergeCell ref="AC3883:AD3883"/>
    <mergeCell ref="AF3883:AH3883"/>
    <mergeCell ref="AK3883:AL3883"/>
    <mergeCell ref="AC3884:AD3884"/>
    <mergeCell ref="AF3884:AH3884"/>
    <mergeCell ref="AK3884:AL3884"/>
    <mergeCell ref="AC3885:AD3885"/>
    <mergeCell ref="AF3885:AH3885"/>
    <mergeCell ref="AK3885:AL3885"/>
    <mergeCell ref="AC3886:AD3886"/>
    <mergeCell ref="AF3886:AH3886"/>
    <mergeCell ref="AK3886:AL3886"/>
    <mergeCell ref="AC3887:AD3887"/>
    <mergeCell ref="AF3887:AH3887"/>
    <mergeCell ref="AK3887:AL3887"/>
    <mergeCell ref="AC3888:AD3888"/>
    <mergeCell ref="AF3888:AH3888"/>
    <mergeCell ref="AK3888:AL3888"/>
    <mergeCell ref="AC3889:AD3889"/>
    <mergeCell ref="AF3889:AH3889"/>
    <mergeCell ref="AK3889:AL3889"/>
    <mergeCell ref="AC3890:AD3890"/>
    <mergeCell ref="AF3890:AH3890"/>
    <mergeCell ref="AK3890:AL3890"/>
    <mergeCell ref="AC3891:AD3891"/>
    <mergeCell ref="AF3891:AH3891"/>
    <mergeCell ref="AK3891:AL3891"/>
    <mergeCell ref="AC3892:AD3892"/>
    <mergeCell ref="AF3892:AH3892"/>
    <mergeCell ref="AK3892:AL3892"/>
    <mergeCell ref="AC3893:AD3893"/>
    <mergeCell ref="AF3893:AH3893"/>
    <mergeCell ref="AK3893:AL3893"/>
    <mergeCell ref="AC3894:AD3894"/>
    <mergeCell ref="AF3894:AH3894"/>
    <mergeCell ref="AK3894:AL3894"/>
    <mergeCell ref="AC3895:AD3895"/>
    <mergeCell ref="AF3895:AH3895"/>
    <mergeCell ref="AK3895:AL3895"/>
    <mergeCell ref="AC3896:AD3896"/>
    <mergeCell ref="AF3896:AH3896"/>
    <mergeCell ref="AK3896:AL3896"/>
    <mergeCell ref="AC3897:AD3897"/>
    <mergeCell ref="AF3897:AH3897"/>
    <mergeCell ref="AK3897:AL3897"/>
    <mergeCell ref="AC3898:AD3898"/>
    <mergeCell ref="AF3898:AH3898"/>
    <mergeCell ref="AK3898:AL3898"/>
    <mergeCell ref="AC3899:AD3899"/>
    <mergeCell ref="AF3899:AH3899"/>
    <mergeCell ref="AK3899:AL3899"/>
    <mergeCell ref="AC3900:AD3900"/>
    <mergeCell ref="AF3900:AH3900"/>
    <mergeCell ref="AK3900:AL3900"/>
    <mergeCell ref="AC3901:AD3901"/>
    <mergeCell ref="AF3901:AH3901"/>
    <mergeCell ref="AK3901:AL3901"/>
    <mergeCell ref="AC3902:AD3902"/>
    <mergeCell ref="AF3902:AH3902"/>
    <mergeCell ref="AK3902:AL3902"/>
    <mergeCell ref="AC3903:AD3903"/>
    <mergeCell ref="AF3903:AH3903"/>
    <mergeCell ref="AK3903:AL3903"/>
    <mergeCell ref="AC3904:AD3904"/>
    <mergeCell ref="AF3904:AH3904"/>
    <mergeCell ref="AK3904:AL3904"/>
    <mergeCell ref="AC3905:AD3905"/>
    <mergeCell ref="AF3905:AH3905"/>
    <mergeCell ref="AK3905:AL3905"/>
    <mergeCell ref="AC3906:AD3906"/>
    <mergeCell ref="AF3906:AH3906"/>
    <mergeCell ref="AK3906:AL3906"/>
    <mergeCell ref="AC3907:AD3907"/>
    <mergeCell ref="AF3907:AH3907"/>
    <mergeCell ref="AK3907:AL3907"/>
    <mergeCell ref="AC3908:AD3908"/>
    <mergeCell ref="AF3908:AH3908"/>
    <mergeCell ref="AK3908:AL3908"/>
    <mergeCell ref="AC3909:AD3909"/>
    <mergeCell ref="AF3909:AH3909"/>
    <mergeCell ref="AK3909:AL3909"/>
    <mergeCell ref="AC3910:AD3910"/>
    <mergeCell ref="AF3910:AH3910"/>
    <mergeCell ref="AK3910:AL3910"/>
    <mergeCell ref="AC3911:AD3911"/>
    <mergeCell ref="AF3911:AH3911"/>
    <mergeCell ref="AK3911:AL3911"/>
    <mergeCell ref="AC3912:AD3912"/>
    <mergeCell ref="AF3912:AH3912"/>
    <mergeCell ref="AK3912:AL3912"/>
    <mergeCell ref="AC3913:AD3913"/>
    <mergeCell ref="AF3913:AH3913"/>
    <mergeCell ref="AK3913:AL3913"/>
    <mergeCell ref="AC3914:AD3914"/>
    <mergeCell ref="AF3914:AH3914"/>
    <mergeCell ref="AK3914:AL3914"/>
    <mergeCell ref="AC3915:AD3915"/>
    <mergeCell ref="AF3915:AH3915"/>
    <mergeCell ref="AK3915:AL3915"/>
    <mergeCell ref="AC3916:AD3916"/>
    <mergeCell ref="AF3916:AH3916"/>
    <mergeCell ref="AK3916:AL3916"/>
    <mergeCell ref="AC3917:AD3917"/>
    <mergeCell ref="AF3917:AH3917"/>
    <mergeCell ref="AK3917:AL3917"/>
    <mergeCell ref="AC3918:AD3918"/>
    <mergeCell ref="AF3918:AH3918"/>
    <mergeCell ref="AK3918:AL3918"/>
    <mergeCell ref="AC3919:AD3919"/>
    <mergeCell ref="AF3919:AH3919"/>
    <mergeCell ref="AK3919:AL3919"/>
    <mergeCell ref="AC3920:AD3920"/>
    <mergeCell ref="AF3920:AH3920"/>
    <mergeCell ref="AK3920:AL3920"/>
    <mergeCell ref="AC3921:AD3921"/>
    <mergeCell ref="AF3921:AH3921"/>
    <mergeCell ref="AK3921:AL3921"/>
    <mergeCell ref="AC3922:AD3922"/>
    <mergeCell ref="AF3922:AH3922"/>
    <mergeCell ref="AK3922:AL3922"/>
    <mergeCell ref="AC3923:AD3923"/>
    <mergeCell ref="AF3923:AH3923"/>
    <mergeCell ref="AK3923:AL3923"/>
    <mergeCell ref="AC3924:AD3924"/>
    <mergeCell ref="AF3924:AH3924"/>
    <mergeCell ref="AK3924:AL3924"/>
    <mergeCell ref="AC3925:AD3925"/>
    <mergeCell ref="AF3925:AH3925"/>
    <mergeCell ref="AK3925:AL3925"/>
    <mergeCell ref="AC3926:AD3926"/>
    <mergeCell ref="AF3926:AH3926"/>
    <mergeCell ref="AK3926:AL3926"/>
    <mergeCell ref="AC3927:AD3927"/>
    <mergeCell ref="AF3927:AH3927"/>
    <mergeCell ref="AK3927:AL3927"/>
    <mergeCell ref="AC3928:AD3928"/>
    <mergeCell ref="AF3928:AH3928"/>
    <mergeCell ref="AK3928:AL3928"/>
    <mergeCell ref="AC3929:AD3929"/>
    <mergeCell ref="AF3929:AH3929"/>
    <mergeCell ref="AK3929:AL3929"/>
    <mergeCell ref="AC3930:AD3930"/>
    <mergeCell ref="AF3930:AH3930"/>
    <mergeCell ref="AK3930:AL3930"/>
    <mergeCell ref="AC3931:AD3931"/>
    <mergeCell ref="AF3931:AH3931"/>
    <mergeCell ref="AK3931:AL3931"/>
    <mergeCell ref="AC3932:AD3932"/>
    <mergeCell ref="AF3932:AH3932"/>
    <mergeCell ref="AK3932:AL3932"/>
    <mergeCell ref="AC3933:AD3933"/>
    <mergeCell ref="AF3933:AH3933"/>
    <mergeCell ref="AK3933:AL3933"/>
    <mergeCell ref="AC3934:AD3934"/>
    <mergeCell ref="AF3934:AH3934"/>
    <mergeCell ref="AK3934:AL3934"/>
    <mergeCell ref="AC3935:AD3935"/>
    <mergeCell ref="AF3935:AH3935"/>
    <mergeCell ref="AK3935:AL3935"/>
    <mergeCell ref="AC3936:AD3936"/>
    <mergeCell ref="AF3936:AH3936"/>
    <mergeCell ref="AK3936:AL3936"/>
    <mergeCell ref="AC3937:AD3937"/>
    <mergeCell ref="AF3937:AH3937"/>
    <mergeCell ref="AK3937:AL3937"/>
    <mergeCell ref="AC3938:AD3938"/>
    <mergeCell ref="AF3938:AH3938"/>
    <mergeCell ref="AK3938:AL3938"/>
    <mergeCell ref="AC3939:AD3939"/>
    <mergeCell ref="AF3939:AH3939"/>
    <mergeCell ref="AK3939:AL3939"/>
    <mergeCell ref="AC3940:AD3940"/>
    <mergeCell ref="AF3940:AH3940"/>
    <mergeCell ref="AK3940:AL3940"/>
    <mergeCell ref="AC3941:AD3941"/>
    <mergeCell ref="AF3941:AH3941"/>
    <mergeCell ref="AK3941:AL3941"/>
    <mergeCell ref="AC3942:AD3942"/>
    <mergeCell ref="AF3942:AH3942"/>
    <mergeCell ref="AK3942:AL3942"/>
    <mergeCell ref="AC3943:AD3943"/>
    <mergeCell ref="AF3943:AH3943"/>
    <mergeCell ref="AK3943:AL3943"/>
    <mergeCell ref="AC3944:AD3944"/>
    <mergeCell ref="AF3944:AH3944"/>
    <mergeCell ref="AK3944:AL3944"/>
    <mergeCell ref="AC3945:AD3945"/>
    <mergeCell ref="AF3945:AH3945"/>
    <mergeCell ref="AK3945:AL3945"/>
    <mergeCell ref="AC3946:AD3946"/>
    <mergeCell ref="AF3946:AH3946"/>
    <mergeCell ref="AK3946:AL3946"/>
    <mergeCell ref="AC3947:AD3947"/>
    <mergeCell ref="AF3947:AH3947"/>
    <mergeCell ref="AK3947:AL3947"/>
    <mergeCell ref="AC3948:AD3948"/>
    <mergeCell ref="AF3948:AH3948"/>
    <mergeCell ref="AK3948:AL3948"/>
    <mergeCell ref="AC3949:AD3949"/>
    <mergeCell ref="AF3949:AH3949"/>
    <mergeCell ref="AK3949:AL3949"/>
    <mergeCell ref="AC3950:AD3950"/>
    <mergeCell ref="AF3950:AH3950"/>
    <mergeCell ref="AK3950:AL3950"/>
    <mergeCell ref="AC3951:AD3951"/>
    <mergeCell ref="AF3951:AH3951"/>
    <mergeCell ref="AK3951:AL3951"/>
    <mergeCell ref="AC3952:AD3952"/>
    <mergeCell ref="AF3952:AH3952"/>
    <mergeCell ref="AK3952:AL3952"/>
    <mergeCell ref="AC3953:AD3953"/>
    <mergeCell ref="AF3953:AH3953"/>
    <mergeCell ref="AK3953:AL3953"/>
    <mergeCell ref="AC3954:AD3954"/>
    <mergeCell ref="AF3954:AH3954"/>
    <mergeCell ref="AK3954:AL3954"/>
    <mergeCell ref="AC3955:AD3955"/>
    <mergeCell ref="AF3955:AH3955"/>
    <mergeCell ref="AK3955:AL3955"/>
    <mergeCell ref="AC3956:AD3956"/>
    <mergeCell ref="AF3956:AH3956"/>
    <mergeCell ref="AK3956:AL3956"/>
    <mergeCell ref="AC3957:AD3957"/>
    <mergeCell ref="AF3957:AH3957"/>
    <mergeCell ref="AK3957:AL3957"/>
    <mergeCell ref="AC3958:AD3958"/>
    <mergeCell ref="AF3958:AH3958"/>
    <mergeCell ref="AK3958:AL3958"/>
    <mergeCell ref="AC3959:AD3959"/>
    <mergeCell ref="AF3959:AH3959"/>
    <mergeCell ref="AK3959:AL3959"/>
    <mergeCell ref="AC3960:AD3960"/>
    <mergeCell ref="AF3960:AH3960"/>
    <mergeCell ref="AK3960:AL3960"/>
    <mergeCell ref="AC3961:AD3961"/>
    <mergeCell ref="AF3961:AH3961"/>
    <mergeCell ref="AK3961:AL3961"/>
    <mergeCell ref="AC3962:AD3962"/>
    <mergeCell ref="AF3962:AH3962"/>
    <mergeCell ref="AK3962:AL3962"/>
    <mergeCell ref="AC3963:AD3963"/>
    <mergeCell ref="AF3963:AH3963"/>
    <mergeCell ref="AK3963:AL3963"/>
    <mergeCell ref="AC3964:AD3964"/>
    <mergeCell ref="AF3964:AH3964"/>
    <mergeCell ref="AK3964:AL3964"/>
    <mergeCell ref="AC3965:AD3965"/>
    <mergeCell ref="AF3965:AH3965"/>
    <mergeCell ref="AK3965:AL3965"/>
    <mergeCell ref="AC3966:AD3966"/>
    <mergeCell ref="AF3966:AH3966"/>
    <mergeCell ref="AK3966:AL3966"/>
    <mergeCell ref="AC3967:AD3967"/>
    <mergeCell ref="AF3967:AH3967"/>
    <mergeCell ref="AK3967:AL3967"/>
    <mergeCell ref="AC3968:AD3968"/>
    <mergeCell ref="AF3968:AH3968"/>
    <mergeCell ref="AK3968:AL3968"/>
    <mergeCell ref="AC3969:AD3969"/>
    <mergeCell ref="AF3969:AH3969"/>
    <mergeCell ref="AK3969:AL3969"/>
    <mergeCell ref="AC3970:AD3970"/>
    <mergeCell ref="AF3970:AH3970"/>
    <mergeCell ref="AK3970:AL3970"/>
    <mergeCell ref="AC3971:AD3971"/>
    <mergeCell ref="AF3971:AH3971"/>
    <mergeCell ref="AK3971:AL3971"/>
    <mergeCell ref="AC3972:AD3972"/>
    <mergeCell ref="AF3972:AH3972"/>
    <mergeCell ref="AK3972:AL3972"/>
    <mergeCell ref="AC3973:AD3973"/>
    <mergeCell ref="AF3973:AH3973"/>
    <mergeCell ref="AK3973:AL3973"/>
    <mergeCell ref="AC3974:AD3974"/>
    <mergeCell ref="AF3974:AH3974"/>
    <mergeCell ref="AK3974:AL3974"/>
    <mergeCell ref="AC3975:AD3975"/>
    <mergeCell ref="AF3975:AH3975"/>
    <mergeCell ref="AK3975:AL3975"/>
    <mergeCell ref="AC3976:AD3976"/>
    <mergeCell ref="AF3976:AH3976"/>
    <mergeCell ref="AK3976:AL3976"/>
    <mergeCell ref="AC3977:AD3977"/>
    <mergeCell ref="AF3977:AH3977"/>
    <mergeCell ref="AK3977:AL3977"/>
    <mergeCell ref="AC3978:AD3978"/>
    <mergeCell ref="AF3978:AH3978"/>
    <mergeCell ref="AK3978:AL3978"/>
    <mergeCell ref="AC3979:AD3979"/>
    <mergeCell ref="AF3979:AH3979"/>
    <mergeCell ref="AK3979:AL3979"/>
    <mergeCell ref="AC3980:AD3980"/>
    <mergeCell ref="AF3980:AH3980"/>
    <mergeCell ref="AK3980:AL3980"/>
    <mergeCell ref="AK4004:AL4004"/>
    <mergeCell ref="AC4005:AD4005"/>
    <mergeCell ref="AC3981:AD3981"/>
    <mergeCell ref="AF3981:AH3981"/>
    <mergeCell ref="AK3981:AL3981"/>
    <mergeCell ref="AC3982:AD3982"/>
    <mergeCell ref="AF3982:AH3982"/>
    <mergeCell ref="AK3982:AL3982"/>
    <mergeCell ref="AC3983:AD3983"/>
    <mergeCell ref="AF3983:AH3983"/>
    <mergeCell ref="AK3983:AL3983"/>
    <mergeCell ref="AC3984:AD3984"/>
    <mergeCell ref="AF3984:AH3984"/>
    <mergeCell ref="AK3984:AL3984"/>
    <mergeCell ref="AC3985:AD3985"/>
    <mergeCell ref="AF3985:AH3985"/>
    <mergeCell ref="AK3985:AL3985"/>
    <mergeCell ref="AC3986:AD3986"/>
    <mergeCell ref="AF3986:AH3986"/>
    <mergeCell ref="AK3986:AL3986"/>
    <mergeCell ref="AC3987:AD3987"/>
    <mergeCell ref="AF3987:AH3987"/>
    <mergeCell ref="AK3987:AL3987"/>
    <mergeCell ref="AC3988:AD3988"/>
    <mergeCell ref="AF3988:AH3988"/>
    <mergeCell ref="AK3988:AL3988"/>
    <mergeCell ref="AC3989:AD3989"/>
    <mergeCell ref="AF3989:AH3989"/>
    <mergeCell ref="AK3989:AL3989"/>
    <mergeCell ref="AC3990:AD3990"/>
    <mergeCell ref="AF3990:AH3990"/>
    <mergeCell ref="AK3990:AL3990"/>
    <mergeCell ref="AC3991:AD3991"/>
    <mergeCell ref="AF3991:AH3991"/>
    <mergeCell ref="AK3991:AL3991"/>
    <mergeCell ref="AF4005:AH4005"/>
    <mergeCell ref="AK4005:AL4005"/>
    <mergeCell ref="AC4006:AD4006"/>
    <mergeCell ref="AF4006:AH4006"/>
    <mergeCell ref="AK4006:AL4006"/>
    <mergeCell ref="AC4007:AD4007"/>
    <mergeCell ref="AF4007:AH4007"/>
    <mergeCell ref="AK4007:AL4007"/>
    <mergeCell ref="AC4008:AD4008"/>
    <mergeCell ref="AF4008:AH4008"/>
    <mergeCell ref="AK4008:AL4008"/>
    <mergeCell ref="AC4009:AD4009"/>
    <mergeCell ref="AF4009:AH4009"/>
    <mergeCell ref="AK4009:AL4009"/>
    <mergeCell ref="AC4021:AD4021"/>
    <mergeCell ref="AF4021:AH4021"/>
    <mergeCell ref="AK4021:AL4021"/>
    <mergeCell ref="AC4022:AD4022"/>
    <mergeCell ref="AF4022:AH4022"/>
    <mergeCell ref="AK4022:AL4022"/>
    <mergeCell ref="AC4023:AD4023"/>
    <mergeCell ref="AF4023:AH4023"/>
    <mergeCell ref="AK4023:AL4023"/>
    <mergeCell ref="AC4024:AD4024"/>
    <mergeCell ref="AF4024:AH4024"/>
    <mergeCell ref="AK4024:AL4024"/>
    <mergeCell ref="AC3992:AD3992"/>
    <mergeCell ref="AF3992:AH3992"/>
    <mergeCell ref="AK3992:AL3992"/>
    <mergeCell ref="AC3993:AD3993"/>
    <mergeCell ref="AF3993:AH3993"/>
    <mergeCell ref="AK3993:AL3993"/>
    <mergeCell ref="AC3994:AD3994"/>
    <mergeCell ref="AF3994:AH3994"/>
    <mergeCell ref="AK3994:AL3994"/>
    <mergeCell ref="AC3995:AD3995"/>
    <mergeCell ref="AF3995:AH3995"/>
    <mergeCell ref="AK3995:AL3995"/>
    <mergeCell ref="AC3996:AD3996"/>
    <mergeCell ref="AF3996:AH3996"/>
    <mergeCell ref="AK3996:AL3996"/>
    <mergeCell ref="AC3997:AD3997"/>
    <mergeCell ref="AF3997:AH3997"/>
    <mergeCell ref="AK3997:AL3997"/>
    <mergeCell ref="AC3998:AD3998"/>
    <mergeCell ref="AF3998:AH3998"/>
    <mergeCell ref="AK3998:AL3998"/>
    <mergeCell ref="AC3999:AD3999"/>
    <mergeCell ref="AF3999:AH3999"/>
    <mergeCell ref="AK3999:AL3999"/>
    <mergeCell ref="AC4000:AD4000"/>
    <mergeCell ref="AF4000:AH4000"/>
    <mergeCell ref="AK4000:AL4000"/>
    <mergeCell ref="AC4001:AD4001"/>
    <mergeCell ref="AF4001:AH4001"/>
    <mergeCell ref="AK4001:AL4001"/>
    <mergeCell ref="AC4002:AD4002"/>
    <mergeCell ref="AF4002:AH4002"/>
    <mergeCell ref="AK4002:AL4002"/>
    <mergeCell ref="AC4003:AD4003"/>
    <mergeCell ref="AF4003:AH4003"/>
    <mergeCell ref="AK4003:AL4003"/>
    <mergeCell ref="AC4004:AD4004"/>
    <mergeCell ref="AF4004:AH4004"/>
    <mergeCell ref="AC4025:AD4025"/>
    <mergeCell ref="AF4025:AH4025"/>
    <mergeCell ref="AK4025:AL4025"/>
    <mergeCell ref="AC4026:AD4026"/>
    <mergeCell ref="AF4026:AH4026"/>
    <mergeCell ref="AK4026:AL4026"/>
    <mergeCell ref="AC4027:AD4027"/>
    <mergeCell ref="AF4027:AH4027"/>
    <mergeCell ref="AK4027:AL4027"/>
    <mergeCell ref="AC4028:AD4028"/>
    <mergeCell ref="AF4028:AH4028"/>
    <mergeCell ref="AK4028:AL4028"/>
    <mergeCell ref="AC4029:AD4029"/>
    <mergeCell ref="AF4029:AH4029"/>
    <mergeCell ref="AK4029:AL4029"/>
    <mergeCell ref="AC4030:AD4030"/>
    <mergeCell ref="AF4030:AH4030"/>
    <mergeCell ref="AK4030:AL4030"/>
    <mergeCell ref="AC4010:AD4010"/>
    <mergeCell ref="AF4010:AH4010"/>
    <mergeCell ref="AK4010:AL4010"/>
    <mergeCell ref="AC4011:AD4011"/>
    <mergeCell ref="AF4011:AH4011"/>
    <mergeCell ref="AK4011:AL4011"/>
    <mergeCell ref="AC4012:AD4012"/>
    <mergeCell ref="AF4012:AH4012"/>
    <mergeCell ref="AK4012:AL4012"/>
    <mergeCell ref="AC4013:AD4013"/>
    <mergeCell ref="AF4013:AH4013"/>
    <mergeCell ref="AK4013:AL4013"/>
    <mergeCell ref="AC4014:AD4014"/>
    <mergeCell ref="AF4014:AH4014"/>
    <mergeCell ref="AK4014:AL4014"/>
    <mergeCell ref="AC4015:AD4015"/>
    <mergeCell ref="AF4015:AH4015"/>
    <mergeCell ref="AK4015:AL4015"/>
    <mergeCell ref="AC4016:AD4016"/>
    <mergeCell ref="AF4016:AH4016"/>
    <mergeCell ref="AK4016:AL4016"/>
    <mergeCell ref="AC4017:AD4017"/>
    <mergeCell ref="AF4017:AH4017"/>
    <mergeCell ref="AK4017:AL4017"/>
    <mergeCell ref="AC4018:AD4018"/>
    <mergeCell ref="AF4018:AH4018"/>
    <mergeCell ref="AK4018:AL4018"/>
    <mergeCell ref="AC4019:AD4019"/>
    <mergeCell ref="AF4019:AH4019"/>
    <mergeCell ref="AK4019:AL4019"/>
    <mergeCell ref="AC4020:AD4020"/>
    <mergeCell ref="AF4020:AH4020"/>
    <mergeCell ref="AK4020:AL4020"/>
    <mergeCell ref="K387:L387"/>
    <mergeCell ref="K391:L391"/>
    <mergeCell ref="K394:L394"/>
    <mergeCell ref="K400:L400"/>
    <mergeCell ref="K409:L409"/>
    <mergeCell ref="K417:L417"/>
    <mergeCell ref="K427:L427"/>
    <mergeCell ref="K434:L434"/>
    <mergeCell ref="K442:L442"/>
    <mergeCell ref="K445:L445"/>
    <mergeCell ref="K446:L446"/>
    <mergeCell ref="K457:L457"/>
    <mergeCell ref="K454:L454"/>
    <mergeCell ref="K401:L401"/>
    <mergeCell ref="K402:L402"/>
    <mergeCell ref="K406:L406"/>
    <mergeCell ref="K407:L407"/>
    <mergeCell ref="K408:L408"/>
    <mergeCell ref="K413:L413"/>
    <mergeCell ref="K414:L414"/>
    <mergeCell ref="K421:L421"/>
    <mergeCell ref="K431:L431"/>
    <mergeCell ref="K435:L435"/>
    <mergeCell ref="K436:L436"/>
    <mergeCell ref="K443:L443"/>
    <mergeCell ref="K451:L451"/>
    <mergeCell ref="K550:L550"/>
    <mergeCell ref="K562:L562"/>
    <mergeCell ref="K563:L563"/>
    <mergeCell ref="K564:L564"/>
    <mergeCell ref="K465:L465"/>
    <mergeCell ref="K444:L444"/>
    <mergeCell ref="K508:L508"/>
    <mergeCell ref="K512:L512"/>
    <mergeCell ref="K516:L516"/>
    <mergeCell ref="K519:L519"/>
    <mergeCell ref="K522:L522"/>
    <mergeCell ref="K525:L525"/>
    <mergeCell ref="K528:L528"/>
    <mergeCell ref="K531:L531"/>
    <mergeCell ref="K534:L534"/>
    <mergeCell ref="K537:L537"/>
    <mergeCell ref="K541:L541"/>
    <mergeCell ref="K544:L544"/>
    <mergeCell ref="K548:L548"/>
    <mergeCell ref="K553:L553"/>
    <mergeCell ref="K557:L557"/>
    <mergeCell ref="K561:L561"/>
    <mergeCell ref="K474:L474"/>
    <mergeCell ref="K477:L477"/>
    <mergeCell ref="K554:L554"/>
    <mergeCell ref="K461:L461"/>
    <mergeCell ref="K462:L462"/>
    <mergeCell ref="K466:L466"/>
    <mergeCell ref="K470:L470"/>
    <mergeCell ref="K471:L471"/>
    <mergeCell ref="K475:L475"/>
    <mergeCell ref="K476:L476"/>
    <mergeCell ref="K481:L481"/>
    <mergeCell ref="K482:L482"/>
    <mergeCell ref="K486:L486"/>
    <mergeCell ref="K490:L490"/>
    <mergeCell ref="K500:L500"/>
    <mergeCell ref="K501:L501"/>
    <mergeCell ref="K505:L505"/>
    <mergeCell ref="K644:L644"/>
    <mergeCell ref="K701:L701"/>
    <mergeCell ref="K709:L709"/>
    <mergeCell ref="K733:L733"/>
    <mergeCell ref="K734:L734"/>
    <mergeCell ref="K736:L736"/>
    <mergeCell ref="K737:L737"/>
    <mergeCell ref="K738:L738"/>
    <mergeCell ref="K722:L722"/>
    <mergeCell ref="K735:L735"/>
    <mergeCell ref="K583:L583"/>
    <mergeCell ref="K584:L584"/>
    <mergeCell ref="K589:L589"/>
    <mergeCell ref="K590:L590"/>
    <mergeCell ref="K606:L606"/>
    <mergeCell ref="K607:L607"/>
    <mergeCell ref="K569:L569"/>
    <mergeCell ref="K572:L572"/>
    <mergeCell ref="K575:L575"/>
    <mergeCell ref="K578:L578"/>
    <mergeCell ref="K581:L581"/>
    <mergeCell ref="K587:L587"/>
    <mergeCell ref="K594:L594"/>
    <mergeCell ref="K597:L597"/>
    <mergeCell ref="K601:L601"/>
    <mergeCell ref="K844:L844"/>
    <mergeCell ref="K881:L881"/>
    <mergeCell ref="K884:L884"/>
    <mergeCell ref="K891:L891"/>
    <mergeCell ref="K896:L896"/>
    <mergeCell ref="K900:L900"/>
    <mergeCell ref="K903:L903"/>
    <mergeCell ref="K617:L617"/>
    <mergeCell ref="K549:L549"/>
    <mergeCell ref="K652:L652"/>
    <mergeCell ref="K655:L655"/>
    <mergeCell ref="K658:L658"/>
    <mergeCell ref="K661:L661"/>
    <mergeCell ref="K667:L667"/>
    <mergeCell ref="K670:L670"/>
    <mergeCell ref="K673:L673"/>
    <mergeCell ref="K679:L679"/>
    <mergeCell ref="K682:L682"/>
    <mergeCell ref="K685:L685"/>
    <mergeCell ref="K690:L690"/>
    <mergeCell ref="K693:L693"/>
    <mergeCell ref="K697:L697"/>
    <mergeCell ref="K700:L700"/>
    <mergeCell ref="K705:L705"/>
    <mergeCell ref="K708:L708"/>
    <mergeCell ref="K713:L713"/>
    <mergeCell ref="K718:L718"/>
    <mergeCell ref="K721:L721"/>
    <mergeCell ref="K640:L640"/>
    <mergeCell ref="K641:L641"/>
    <mergeCell ref="K642:L642"/>
    <mergeCell ref="K663:L663"/>
    <mergeCell ref="K664:L664"/>
    <mergeCell ref="K675:L675"/>
    <mergeCell ref="K676:L676"/>
    <mergeCell ref="K645:L645"/>
    <mergeCell ref="K662:L662"/>
    <mergeCell ref="K674:L674"/>
    <mergeCell ref="K493:L493"/>
    <mergeCell ref="K496:L496"/>
    <mergeCell ref="K613:L613"/>
    <mergeCell ref="K616:L616"/>
    <mergeCell ref="K687:L687"/>
    <mergeCell ref="K702:L702"/>
    <mergeCell ref="K710:L710"/>
    <mergeCell ref="K715:L715"/>
    <mergeCell ref="K723:L723"/>
    <mergeCell ref="K739:L739"/>
    <mergeCell ref="K747:L747"/>
    <mergeCell ref="K754:L754"/>
    <mergeCell ref="K770:L770"/>
    <mergeCell ref="K917:L917"/>
    <mergeCell ref="K565:L565"/>
    <mergeCell ref="K566:L566"/>
    <mergeCell ref="K582:L582"/>
    <mergeCell ref="K588:L588"/>
    <mergeCell ref="K591:L591"/>
    <mergeCell ref="K598:L598"/>
    <mergeCell ref="K605:L605"/>
    <mergeCell ref="K1202:L1202"/>
    <mergeCell ref="K1210:L1210"/>
    <mergeCell ref="K1214:L1214"/>
    <mergeCell ref="K1215:L1215"/>
    <mergeCell ref="K1218:L1218"/>
    <mergeCell ref="K1229:L1229"/>
    <mergeCell ref="K1230:L1230"/>
    <mergeCell ref="K1528:L1528"/>
    <mergeCell ref="K1509:L1509"/>
    <mergeCell ref="K1510:L1510"/>
    <mergeCell ref="K1516:L1516"/>
    <mergeCell ref="K1517:L1517"/>
    <mergeCell ref="K1522:L1522"/>
    <mergeCell ref="K1527:L1527"/>
    <mergeCell ref="K1503:L1503"/>
    <mergeCell ref="K1506:L1506"/>
    <mergeCell ref="K1513:L1513"/>
    <mergeCell ref="K1514:L1514"/>
    <mergeCell ref="K1515:L1515"/>
    <mergeCell ref="K1520:L1520"/>
    <mergeCell ref="K1521:L1521"/>
    <mergeCell ref="K1055:L1055"/>
    <mergeCell ref="K1059:L1059"/>
    <mergeCell ref="K777:L777"/>
    <mergeCell ref="K784:L784"/>
    <mergeCell ref="K786:L786"/>
    <mergeCell ref="K764:L764"/>
    <mergeCell ref="K765:L765"/>
    <mergeCell ref="K768:L768"/>
    <mergeCell ref="K769:L769"/>
    <mergeCell ref="K746:L746"/>
    <mergeCell ref="K714:L714"/>
    <mergeCell ref="K760:L760"/>
    <mergeCell ref="K763:L763"/>
    <mergeCell ref="K773:L773"/>
    <mergeCell ref="K776:L776"/>
    <mergeCell ref="K780:L780"/>
    <mergeCell ref="K783:L783"/>
    <mergeCell ref="K785:L785"/>
    <mergeCell ref="K604:L604"/>
    <mergeCell ref="K610:L610"/>
    <mergeCell ref="K639:L639"/>
    <mergeCell ref="K648:L648"/>
    <mergeCell ref="K880:L880"/>
    <mergeCell ref="K913:L913"/>
    <mergeCell ref="K914:L914"/>
    <mergeCell ref="K953:L953"/>
    <mergeCell ref="K961:L961"/>
    <mergeCell ref="K965:L965"/>
    <mergeCell ref="K970:L970"/>
    <mergeCell ref="K975:L975"/>
    <mergeCell ref="K978:L978"/>
    <mergeCell ref="K983:L983"/>
    <mergeCell ref="K987:L987"/>
    <mergeCell ref="K991:L991"/>
    <mergeCell ref="K995:L995"/>
    <mergeCell ref="K998:L998"/>
    <mergeCell ref="K1002:L1002"/>
    <mergeCell ref="K1007:L1007"/>
    <mergeCell ref="K1010:L1010"/>
    <mergeCell ref="K1016:L1016"/>
    <mergeCell ref="K920:L920"/>
    <mergeCell ref="K932:L932"/>
    <mergeCell ref="K943:L943"/>
    <mergeCell ref="K923:L923"/>
    <mergeCell ref="K926:L926"/>
    <mergeCell ref="K929:L929"/>
    <mergeCell ref="K935:L935"/>
    <mergeCell ref="K938:L938"/>
    <mergeCell ref="K941:L941"/>
    <mergeCell ref="K946:L946"/>
    <mergeCell ref="K949:L949"/>
    <mergeCell ref="K1004:L1004"/>
    <mergeCell ref="K1011:L1011"/>
    <mergeCell ref="K1012:L1012"/>
    <mergeCell ref="K1013:L1013"/>
    <mergeCell ref="K1020:L1020"/>
    <mergeCell ref="K1031:L1031"/>
    <mergeCell ref="K1036:L1036"/>
    <mergeCell ref="K1039:L1039"/>
    <mergeCell ref="K1043:L1043"/>
    <mergeCell ref="K1046:L1046"/>
    <mergeCell ref="K1051:L1051"/>
    <mergeCell ref="K1585:L1585"/>
    <mergeCell ref="K1316:L1316"/>
    <mergeCell ref="K1330:L1330"/>
    <mergeCell ref="K1331:L1331"/>
    <mergeCell ref="K1342:L1342"/>
    <mergeCell ref="K1354:L1354"/>
    <mergeCell ref="K1329:L1329"/>
    <mergeCell ref="K1334:L1334"/>
    <mergeCell ref="K1356:L1356"/>
    <mergeCell ref="K1360:L1360"/>
    <mergeCell ref="K1308:L1308"/>
    <mergeCell ref="K1313:L1313"/>
    <mergeCell ref="K1303:L1303"/>
    <mergeCell ref="K1317:L1317"/>
    <mergeCell ref="K1325:L1325"/>
    <mergeCell ref="K1355:L1355"/>
    <mergeCell ref="K1295:L1295"/>
    <mergeCell ref="K1271:L1271"/>
    <mergeCell ref="K1275:L1275"/>
    <mergeCell ref="K1278:L1278"/>
    <mergeCell ref="K1281:L1281"/>
    <mergeCell ref="K1284:L1284"/>
    <mergeCell ref="K1287:L1287"/>
    <mergeCell ref="K1290:L1290"/>
    <mergeCell ref="K1291:L1291"/>
    <mergeCell ref="K1298:L1298"/>
    <mergeCell ref="K1301:L1301"/>
    <mergeCell ref="K1364:L1364"/>
    <mergeCell ref="K1371:L1371"/>
    <mergeCell ref="K1374:L1374"/>
    <mergeCell ref="K1378:L1378"/>
    <mergeCell ref="K1381:L1381"/>
    <mergeCell ref="K1385:L1385"/>
    <mergeCell ref="K1389:L1389"/>
    <mergeCell ref="K1393:L1393"/>
    <mergeCell ref="K1400:L1400"/>
    <mergeCell ref="K1361:L1361"/>
    <mergeCell ref="K1302:L1302"/>
    <mergeCell ref="K1304:L1304"/>
    <mergeCell ref="K1305:L1305"/>
    <mergeCell ref="K1311:L1311"/>
    <mergeCell ref="K1312:L1312"/>
    <mergeCell ref="K1320:L1320"/>
    <mergeCell ref="K1323:L1323"/>
    <mergeCell ref="K1324:L1324"/>
    <mergeCell ref="K1326:L1326"/>
    <mergeCell ref="K1337:L1337"/>
    <mergeCell ref="K1338:L1338"/>
    <mergeCell ref="K1341:L1341"/>
    <mergeCell ref="K1345:L1345"/>
    <mergeCell ref="K1349:L1349"/>
    <mergeCell ref="K1350:L1350"/>
    <mergeCell ref="K1353:L1353"/>
    <mergeCell ref="K1458:L1458"/>
    <mergeCell ref="K1461:L1461"/>
    <mergeCell ref="K1474:L1474"/>
    <mergeCell ref="K1477:L1477"/>
    <mergeCell ref="K1563:L1563"/>
    <mergeCell ref="K1570:L1570"/>
    <mergeCell ref="K2630:L2630"/>
    <mergeCell ref="K2534:L2534"/>
    <mergeCell ref="K2502:L2502"/>
    <mergeCell ref="K2516:L2516"/>
    <mergeCell ref="K2526:L2526"/>
    <mergeCell ref="K2523:L2523"/>
    <mergeCell ref="K2530:L2530"/>
    <mergeCell ref="K2531:L2531"/>
    <mergeCell ref="K2508:L2508"/>
    <mergeCell ref="K2509:L2509"/>
    <mergeCell ref="K2512:L2512"/>
    <mergeCell ref="K2513:L2513"/>
    <mergeCell ref="K2524:L2524"/>
    <mergeCell ref="K2525:L2525"/>
    <mergeCell ref="K2529:L2529"/>
    <mergeCell ref="K1667:L1667"/>
    <mergeCell ref="K1676:L1676"/>
    <mergeCell ref="K1680:L1680"/>
    <mergeCell ref="K1681:L1681"/>
    <mergeCell ref="K1682:L1682"/>
    <mergeCell ref="K1684:L1684"/>
    <mergeCell ref="K1685:L1685"/>
    <mergeCell ref="K1688:L1688"/>
    <mergeCell ref="K1692:L1692"/>
    <mergeCell ref="K1700:L1700"/>
    <mergeCell ref="K1701:L1701"/>
    <mergeCell ref="K1704:L1704"/>
    <mergeCell ref="K1707:L1707"/>
    <mergeCell ref="K1710:L1710"/>
    <mergeCell ref="K1719:L1719"/>
    <mergeCell ref="K1722:L1722"/>
    <mergeCell ref="K1725:L1725"/>
    <mergeCell ref="K1726:L1726"/>
    <mergeCell ref="K1727:L1727"/>
    <mergeCell ref="K1731:L1731"/>
    <mergeCell ref="K1962:L1962"/>
    <mergeCell ref="K1965:L1965"/>
    <mergeCell ref="K1972:L1972"/>
    <mergeCell ref="K2076:L2076"/>
    <mergeCell ref="K2079:L2079"/>
    <mergeCell ref="K2082:L2082"/>
    <mergeCell ref="K2059:L2059"/>
    <mergeCell ref="K2036:L2036"/>
    <mergeCell ref="K1993:L1993"/>
    <mergeCell ref="K1971:L1971"/>
    <mergeCell ref="K1980:L1980"/>
    <mergeCell ref="K1973:L1973"/>
    <mergeCell ref="K1977:L1977"/>
    <mergeCell ref="K1986:L1986"/>
    <mergeCell ref="K1987:L1987"/>
    <mergeCell ref="K1990:L1990"/>
    <mergeCell ref="K1996:L1996"/>
    <mergeCell ref="K1997:L1997"/>
    <mergeCell ref="K2013:L2013"/>
    <mergeCell ref="K2016:L2016"/>
    <mergeCell ref="K2487:L2487"/>
    <mergeCell ref="K2448:L2448"/>
    <mergeCell ref="K2471:L2471"/>
    <mergeCell ref="K2442:L2442"/>
    <mergeCell ref="K2445:L2445"/>
    <mergeCell ref="K2205:L2205"/>
    <mergeCell ref="K2184:L2184"/>
    <mergeCell ref="K3260:L3260"/>
    <mergeCell ref="K3263:L3263"/>
    <mergeCell ref="K3267:L3267"/>
    <mergeCell ref="K3270:L3270"/>
    <mergeCell ref="K3266:L3266"/>
    <mergeCell ref="K3274:L3274"/>
    <mergeCell ref="K3283:L3283"/>
    <mergeCell ref="K3195:L3195"/>
    <mergeCell ref="K3200:L3200"/>
    <mergeCell ref="K3230:L3230"/>
    <mergeCell ref="K3243:L3243"/>
    <mergeCell ref="K3244:L3244"/>
    <mergeCell ref="K3247:L3247"/>
    <mergeCell ref="K3256:L3256"/>
    <mergeCell ref="K2557:L2557"/>
    <mergeCell ref="K2559:L2559"/>
    <mergeCell ref="K2560:L2560"/>
    <mergeCell ref="K2565:L2565"/>
    <mergeCell ref="K2566:L2566"/>
    <mergeCell ref="K2569:L2569"/>
    <mergeCell ref="K2573:L2573"/>
    <mergeCell ref="K2576:L2576"/>
    <mergeCell ref="K2577:L2577"/>
    <mergeCell ref="K2853:L2853"/>
    <mergeCell ref="K2890:L2890"/>
    <mergeCell ref="K2899:L2899"/>
    <mergeCell ref="K2902:L2902"/>
    <mergeCell ref="K2918:L2918"/>
    <mergeCell ref="K2827:L2827"/>
    <mergeCell ref="K2831:L2831"/>
    <mergeCell ref="K2835:L2835"/>
    <mergeCell ref="K2838:L2838"/>
    <mergeCell ref="K2839:L2839"/>
    <mergeCell ref="K2845:L2845"/>
    <mergeCell ref="K2846:L2846"/>
    <mergeCell ref="K2849:L2849"/>
    <mergeCell ref="K2854:L2854"/>
    <mergeCell ref="K2855:L2855"/>
    <mergeCell ref="K2864:L2864"/>
    <mergeCell ref="K2889:L2889"/>
    <mergeCell ref="K2917:L2917"/>
    <mergeCell ref="K2760:L2760"/>
    <mergeCell ref="K2826:L2826"/>
    <mergeCell ref="K2791:L2791"/>
    <mergeCell ref="K2909:L2909"/>
    <mergeCell ref="K2893:L2893"/>
    <mergeCell ref="K2879:L2879"/>
    <mergeCell ref="K2761:L2761"/>
    <mergeCell ref="K2764:L2764"/>
    <mergeCell ref="K2771:L2771"/>
    <mergeCell ref="K2772:L2772"/>
    <mergeCell ref="K2773:L2773"/>
    <mergeCell ref="K2776:L2776"/>
    <mergeCell ref="K2780:L2780"/>
    <mergeCell ref="K2817:L2817"/>
    <mergeCell ref="K2820:L2820"/>
    <mergeCell ref="K2821:L2821"/>
    <mergeCell ref="K2824:L2824"/>
    <mergeCell ref="K2825:L2825"/>
    <mergeCell ref="K2830:L2830"/>
    <mergeCell ref="K2832:L2832"/>
    <mergeCell ref="K2590:L2590"/>
    <mergeCell ref="K2593:L2593"/>
    <mergeCell ref="K2594:L2594"/>
    <mergeCell ref="K3220:L3220"/>
    <mergeCell ref="K3223:L3223"/>
    <mergeCell ref="K3224:L3224"/>
    <mergeCell ref="K3236:L3236"/>
    <mergeCell ref="K3239:L3239"/>
    <mergeCell ref="K3251:L3251"/>
    <mergeCell ref="K3201:L3201"/>
    <mergeCell ref="K3213:L3213"/>
    <mergeCell ref="K3227:L3227"/>
    <mergeCell ref="K3231:L3231"/>
    <mergeCell ref="K3232:L3232"/>
    <mergeCell ref="K3242:L3242"/>
    <mergeCell ref="K3255:L3255"/>
    <mergeCell ref="K3258:L3258"/>
    <mergeCell ref="K3259:L3259"/>
    <mergeCell ref="K3137:L3137"/>
    <mergeCell ref="K3138:L3138"/>
    <mergeCell ref="K3143:L3143"/>
    <mergeCell ref="K3144:L3144"/>
    <mergeCell ref="K3149:L3149"/>
    <mergeCell ref="K3153:L3153"/>
    <mergeCell ref="K3154:L3154"/>
    <mergeCell ref="K3157:L3157"/>
    <mergeCell ref="K3160:L3160"/>
    <mergeCell ref="K3164:L3164"/>
    <mergeCell ref="K3168:L3168"/>
    <mergeCell ref="K3181:L3181"/>
    <mergeCell ref="K3182:L3182"/>
    <mergeCell ref="K3190:L3190"/>
    <mergeCell ref="K3196:L3196"/>
    <mergeCell ref="K3197:L3197"/>
    <mergeCell ref="K3287:L3287"/>
    <mergeCell ref="K2814:L2814"/>
    <mergeCell ref="K2852:L2852"/>
    <mergeCell ref="K2961:L2961"/>
    <mergeCell ref="K2964:L2964"/>
    <mergeCell ref="K3008:L3008"/>
    <mergeCell ref="K3009:L3009"/>
    <mergeCell ref="K3012:L3012"/>
    <mergeCell ref="K3016:L3016"/>
    <mergeCell ref="K3039:L3039"/>
    <mergeCell ref="K3040:L3040"/>
    <mergeCell ref="K3044:L3044"/>
    <mergeCell ref="K3048:L3048"/>
    <mergeCell ref="K3054:L3054"/>
    <mergeCell ref="K2980:L2980"/>
    <mergeCell ref="K2997:L2997"/>
    <mergeCell ref="K2999:L2999"/>
    <mergeCell ref="K3000:L3000"/>
    <mergeCell ref="K3019:L3019"/>
    <mergeCell ref="K3020:L3020"/>
    <mergeCell ref="K3051:L3051"/>
    <mergeCell ref="K3053:L3053"/>
    <mergeCell ref="K3026:L3026"/>
    <mergeCell ref="K2985:L2985"/>
    <mergeCell ref="K2957:L2957"/>
    <mergeCell ref="K2989:L2989"/>
    <mergeCell ref="K2990:L2990"/>
    <mergeCell ref="K2998:L2998"/>
    <mergeCell ref="K3052:L3052"/>
    <mergeCell ref="K2972:L2972"/>
    <mergeCell ref="K2973:L2973"/>
    <mergeCell ref="K2976:L2976"/>
    <mergeCell ref="K3257:L3257"/>
    <mergeCell ref="K3273:L3273"/>
    <mergeCell ref="K3275:L3275"/>
    <mergeCell ref="K3276:L3276"/>
    <mergeCell ref="K3279:L3279"/>
    <mergeCell ref="K3290:L3290"/>
    <mergeCell ref="K3293:L3293"/>
    <mergeCell ref="K3297:L3297"/>
    <mergeCell ref="K3309:L3309"/>
    <mergeCell ref="K3317:L3317"/>
    <mergeCell ref="K3320:L3320"/>
    <mergeCell ref="K3329:L3329"/>
    <mergeCell ref="K3330:L3330"/>
    <mergeCell ref="K3333:L3333"/>
    <mergeCell ref="K3312:L3312"/>
    <mergeCell ref="K3326:L3326"/>
    <mergeCell ref="K3404:L3404"/>
    <mergeCell ref="K3429:L3429"/>
    <mergeCell ref="K3430:L3430"/>
    <mergeCell ref="K3438:L3438"/>
    <mergeCell ref="K3439:L3439"/>
    <mergeCell ref="K3443:L3443"/>
    <mergeCell ref="K3300:L3300"/>
    <mergeCell ref="K3337:L3337"/>
    <mergeCell ref="K3342:L3342"/>
    <mergeCell ref="K3346:L3346"/>
    <mergeCell ref="K3360:L3360"/>
    <mergeCell ref="K3341:L3341"/>
    <mergeCell ref="K3419:L3419"/>
    <mergeCell ref="K3422:L3422"/>
    <mergeCell ref="K3428:L3428"/>
    <mergeCell ref="K3433:L3433"/>
    <mergeCell ref="K4057:L4057"/>
    <mergeCell ref="K3437:L3437"/>
    <mergeCell ref="K3440:L3440"/>
    <mergeCell ref="K3377:L3377"/>
    <mergeCell ref="K3378:L3378"/>
    <mergeCell ref="K3380:L3380"/>
    <mergeCell ref="K3381:L3381"/>
    <mergeCell ref="K3384:L3384"/>
    <mergeCell ref="K3385:L3385"/>
    <mergeCell ref="K3388:L3388"/>
    <mergeCell ref="K3391:L3391"/>
    <mergeCell ref="K3610:L3610"/>
    <mergeCell ref="K3613:L3613"/>
    <mergeCell ref="K3616:L3616"/>
    <mergeCell ref="K3625:L3625"/>
    <mergeCell ref="K3680:L3680"/>
    <mergeCell ref="K3683:L3683"/>
    <mergeCell ref="K3687:L3687"/>
    <mergeCell ref="K3691:L3691"/>
    <mergeCell ref="K3695:L3695"/>
    <mergeCell ref="K3701:L3701"/>
    <mergeCell ref="K3708:L3708"/>
    <mergeCell ref="K3711:L3711"/>
    <mergeCell ref="K3714:L3714"/>
    <mergeCell ref="K3720:L3720"/>
    <mergeCell ref="K3721:L3721"/>
    <mergeCell ref="K3725:L3725"/>
    <mergeCell ref="K3726:L3726"/>
    <mergeCell ref="K3730:L3730"/>
    <mergeCell ref="K3649:L3649"/>
    <mergeCell ref="K3655:L3655"/>
    <mergeCell ref="K3665:L3665"/>
    <mergeCell ref="K3444:L3444"/>
    <mergeCell ref="K4175:L4175"/>
    <mergeCell ref="K4185:L4185"/>
    <mergeCell ref="K4181:L4181"/>
    <mergeCell ref="K4206:L4206"/>
    <mergeCell ref="K3863:L3863"/>
    <mergeCell ref="K3882:L3882"/>
    <mergeCell ref="K3886:L3886"/>
    <mergeCell ref="K3899:L3899"/>
    <mergeCell ref="K3924:L3924"/>
    <mergeCell ref="K3930:L3930"/>
    <mergeCell ref="K3934:L3934"/>
    <mergeCell ref="K3938:L3938"/>
    <mergeCell ref="K3943:L3943"/>
    <mergeCell ref="K4353:L4353"/>
    <mergeCell ref="K4359:L4359"/>
    <mergeCell ref="K4218:L4218"/>
    <mergeCell ref="K4222:L4222"/>
    <mergeCell ref="K4227:L4227"/>
    <mergeCell ref="K4232:L4232"/>
    <mergeCell ref="K4233:L4233"/>
    <mergeCell ref="K4243:L4243"/>
    <mergeCell ref="K4252:L4252"/>
    <mergeCell ref="K4264:L4264"/>
    <mergeCell ref="AC2025:AD2025"/>
    <mergeCell ref="AF2025:AH2025"/>
    <mergeCell ref="AK2025:AL2025"/>
    <mergeCell ref="AC2026:AD2026"/>
    <mergeCell ref="AF2026:AH2026"/>
    <mergeCell ref="AK2026:AL2026"/>
    <mergeCell ref="AC2027:AD2027"/>
    <mergeCell ref="AF2027:AH2027"/>
    <mergeCell ref="AK2027:AL2027"/>
    <mergeCell ref="AC2028:AD2028"/>
    <mergeCell ref="AF2028:AH2028"/>
    <mergeCell ref="AK2028:AL2028"/>
    <mergeCell ref="AC2029:AD2029"/>
    <mergeCell ref="AF2029:AH2029"/>
    <mergeCell ref="AK2029:AL2029"/>
    <mergeCell ref="AC2030:AD2030"/>
    <mergeCell ref="AF2030:AH2030"/>
    <mergeCell ref="AK2030:AL2030"/>
    <mergeCell ref="AC2031:AD2031"/>
    <mergeCell ref="AF2031:AH2031"/>
    <mergeCell ref="AK2031:AL2031"/>
    <mergeCell ref="AC2032:AD2032"/>
    <mergeCell ref="AF2032:AH2032"/>
    <mergeCell ref="AK2032:AL2032"/>
    <mergeCell ref="AC2033:AD2033"/>
    <mergeCell ref="AF2033:AH2033"/>
    <mergeCell ref="AK2033:AL2033"/>
    <mergeCell ref="AC2034:AD2034"/>
    <mergeCell ref="AF2034:AH2034"/>
    <mergeCell ref="AK2034:AL2034"/>
    <mergeCell ref="AC2035:AD2035"/>
    <mergeCell ref="AF2035:AH2035"/>
    <mergeCell ref="AK2035:AL2035"/>
    <mergeCell ref="AC2036:AD2036"/>
    <mergeCell ref="AF2036:AH2036"/>
    <mergeCell ref="K3628:L3628"/>
    <mergeCell ref="K3631:L3631"/>
    <mergeCell ref="K3634:L3634"/>
    <mergeCell ref="K3637:L3637"/>
    <mergeCell ref="AK2036:AL2036"/>
    <mergeCell ref="AC2037:AD2037"/>
    <mergeCell ref="AF2037:AH2037"/>
    <mergeCell ref="AK2037:AL2037"/>
    <mergeCell ref="AC2038:AD2038"/>
    <mergeCell ref="AF2038:AH2038"/>
    <mergeCell ref="AK2038:AL2038"/>
    <mergeCell ref="AC2039:AD2039"/>
    <mergeCell ref="AF2039:AH2039"/>
    <mergeCell ref="AK2039:AL2039"/>
    <mergeCell ref="AC2040:AD2040"/>
    <mergeCell ref="AF2040:AH2040"/>
    <mergeCell ref="AK2040:AL2040"/>
    <mergeCell ref="AC2041:AD2041"/>
    <mergeCell ref="AF2041:AH2041"/>
    <mergeCell ref="AK2041:AL2041"/>
    <mergeCell ref="AC2042:AD2042"/>
    <mergeCell ref="AF2042:AH2042"/>
    <mergeCell ref="AK2042:AL2042"/>
    <mergeCell ref="AC2043:AD2043"/>
    <mergeCell ref="AF2043:AH2043"/>
    <mergeCell ref="AK2043:AL2043"/>
    <mergeCell ref="AC2044:AD2044"/>
    <mergeCell ref="AF2044:AH2044"/>
    <mergeCell ref="AK2044:AL2044"/>
    <mergeCell ref="AC2045:AD2045"/>
    <mergeCell ref="AF2045:AH2045"/>
    <mergeCell ref="AK2045:AL2045"/>
    <mergeCell ref="AC2046:AD2046"/>
    <mergeCell ref="AF2046:AH2046"/>
    <mergeCell ref="AK2046:AL2046"/>
    <mergeCell ref="AC2047:AD2047"/>
    <mergeCell ref="AF2047:AH2047"/>
    <mergeCell ref="AK2047:AL2047"/>
    <mergeCell ref="AC2048:AD2048"/>
    <mergeCell ref="AF2048:AH2048"/>
    <mergeCell ref="AK2048:AL2048"/>
    <mergeCell ref="AC2049:AD2049"/>
    <mergeCell ref="AF2049:AH2049"/>
    <mergeCell ref="AK2049:AL2049"/>
    <mergeCell ref="AC2050:AD2050"/>
    <mergeCell ref="AF2050:AH2050"/>
    <mergeCell ref="AK2050:AL2050"/>
    <mergeCell ref="AC2051:AD2051"/>
    <mergeCell ref="AF2051:AH2051"/>
    <mergeCell ref="AK2051:AL2051"/>
    <mergeCell ref="AC2052:AD2052"/>
    <mergeCell ref="AF2052:AH2052"/>
    <mergeCell ref="AK2052:AL2052"/>
    <mergeCell ref="AC2053:AD2053"/>
    <mergeCell ref="AF2053:AH2053"/>
    <mergeCell ref="AK2053:AL2053"/>
    <mergeCell ref="AC2054:AD2054"/>
    <mergeCell ref="AF2054:AH2054"/>
    <mergeCell ref="AK2054:AL2054"/>
    <mergeCell ref="AC2055:AD2055"/>
    <mergeCell ref="AF2055:AH2055"/>
    <mergeCell ref="AK2055:AL2055"/>
    <mergeCell ref="AC2056:AD2056"/>
    <mergeCell ref="AF2056:AH2056"/>
    <mergeCell ref="AK2056:AL2056"/>
    <mergeCell ref="AC2057:AD2057"/>
    <mergeCell ref="AF2057:AH2057"/>
    <mergeCell ref="AK2057:AL2057"/>
    <mergeCell ref="AC2058:AD2058"/>
    <mergeCell ref="AF2058:AH2058"/>
    <mergeCell ref="AK2058:AL2058"/>
    <mergeCell ref="AC2059:AD2059"/>
    <mergeCell ref="AF2059:AH2059"/>
    <mergeCell ref="AK2059:AL2059"/>
    <mergeCell ref="AC2060:AD2060"/>
    <mergeCell ref="AF2060:AH2060"/>
    <mergeCell ref="AK2060:AL2060"/>
    <mergeCell ref="AC2061:AD2061"/>
    <mergeCell ref="AF2061:AH2061"/>
    <mergeCell ref="AK2061:AL2061"/>
    <mergeCell ref="AC2062:AD2062"/>
    <mergeCell ref="AF2062:AH2062"/>
    <mergeCell ref="AK2062:AL2062"/>
    <mergeCell ref="AC2063:AD2063"/>
    <mergeCell ref="AF2063:AH2063"/>
    <mergeCell ref="AK2063:AL2063"/>
    <mergeCell ref="AC2064:AD2064"/>
    <mergeCell ref="AF2064:AH2064"/>
    <mergeCell ref="AK2064:AL2064"/>
    <mergeCell ref="AC2065:AD2065"/>
    <mergeCell ref="AF2065:AH2065"/>
    <mergeCell ref="AK2065:AL2065"/>
    <mergeCell ref="AC2066:AD2066"/>
    <mergeCell ref="AF2066:AH2066"/>
    <mergeCell ref="AK2066:AL2066"/>
    <mergeCell ref="AC2067:AD2067"/>
    <mergeCell ref="AF2067:AH2067"/>
    <mergeCell ref="AK2067:AL2067"/>
    <mergeCell ref="AC2068:AD2068"/>
    <mergeCell ref="AF2068:AH2068"/>
    <mergeCell ref="AK2068:AL2068"/>
    <mergeCell ref="AC2069:AD2069"/>
    <mergeCell ref="AF2069:AH2069"/>
    <mergeCell ref="AK2069:AL2069"/>
    <mergeCell ref="AC2070:AD2070"/>
    <mergeCell ref="AF2070:AH2070"/>
    <mergeCell ref="AK2070:AL2070"/>
    <mergeCell ref="AC2071:AD2071"/>
    <mergeCell ref="AF2071:AH2071"/>
    <mergeCell ref="AK2071:AL2071"/>
    <mergeCell ref="AC2072:AD2072"/>
    <mergeCell ref="AF2072:AH2072"/>
    <mergeCell ref="AK2072:AL2072"/>
    <mergeCell ref="AC2073:AD2073"/>
    <mergeCell ref="AF2073:AH2073"/>
    <mergeCell ref="AK2073:AL2073"/>
    <mergeCell ref="AC2074:AD2074"/>
    <mergeCell ref="AF2074:AH2074"/>
    <mergeCell ref="AK2074:AL2074"/>
    <mergeCell ref="AC2075:AD2075"/>
    <mergeCell ref="AF2075:AH2075"/>
    <mergeCell ref="AK2075:AL2075"/>
    <mergeCell ref="AC2076:AD2076"/>
    <mergeCell ref="AF2076:AH2076"/>
    <mergeCell ref="AK2076:AL2076"/>
    <mergeCell ref="AC2077:AD2077"/>
    <mergeCell ref="AF2077:AH2077"/>
    <mergeCell ref="AK2077:AL2077"/>
    <mergeCell ref="AC2078:AD2078"/>
    <mergeCell ref="AF2078:AH2078"/>
    <mergeCell ref="AK2078:AL2078"/>
    <mergeCell ref="AC2079:AD2079"/>
    <mergeCell ref="AF2079:AH2079"/>
    <mergeCell ref="AK2079:AL2079"/>
    <mergeCell ref="AC2080:AD2080"/>
    <mergeCell ref="AF2080:AH2080"/>
    <mergeCell ref="AK2080:AL2080"/>
    <mergeCell ref="AC2081:AD2081"/>
    <mergeCell ref="AF2081:AH2081"/>
    <mergeCell ref="AK2081:AL2081"/>
    <mergeCell ref="AC2082:AD2082"/>
    <mergeCell ref="AF2082:AH2082"/>
    <mergeCell ref="AK2082:AL2082"/>
    <mergeCell ref="AC2083:AD2083"/>
    <mergeCell ref="AF2083:AH2083"/>
    <mergeCell ref="AK2083:AL2083"/>
    <mergeCell ref="AC2084:AD2084"/>
    <mergeCell ref="AF2084:AH2084"/>
    <mergeCell ref="AK2084:AL2084"/>
    <mergeCell ref="AC2085:AD2085"/>
    <mergeCell ref="AF2085:AH2085"/>
    <mergeCell ref="AK2085:AL2085"/>
    <mergeCell ref="AC2086:AD2086"/>
    <mergeCell ref="AF2086:AH2086"/>
    <mergeCell ref="AK2086:AL2086"/>
    <mergeCell ref="AC2087:AD2087"/>
    <mergeCell ref="AF2087:AH2087"/>
    <mergeCell ref="AK2087:AL2087"/>
    <mergeCell ref="AC2088:AD2088"/>
    <mergeCell ref="AF2088:AH2088"/>
    <mergeCell ref="AK2088:AL2088"/>
    <mergeCell ref="AC2089:AD2089"/>
    <mergeCell ref="AF2089:AH2089"/>
    <mergeCell ref="AK2089:AL2089"/>
    <mergeCell ref="AC2090:AD2090"/>
    <mergeCell ref="AF2090:AH2090"/>
    <mergeCell ref="AK2090:AL2090"/>
    <mergeCell ref="AC2091:AD2091"/>
    <mergeCell ref="AF2091:AH2091"/>
    <mergeCell ref="AK2091:AL2091"/>
    <mergeCell ref="AC2092:AD2092"/>
    <mergeCell ref="AF2092:AH2092"/>
    <mergeCell ref="AK2092:AL2092"/>
    <mergeCell ref="AC2093:AD2093"/>
    <mergeCell ref="AF2093:AH2093"/>
    <mergeCell ref="AK2093:AL2093"/>
    <mergeCell ref="AC2094:AD2094"/>
    <mergeCell ref="AF2094:AH2094"/>
    <mergeCell ref="AK2094:AL2094"/>
    <mergeCell ref="AC2095:AD2095"/>
    <mergeCell ref="AF2095:AH2095"/>
    <mergeCell ref="AK2095:AL2095"/>
    <mergeCell ref="AC2096:AD2096"/>
    <mergeCell ref="AF2096:AH2096"/>
    <mergeCell ref="AK2096:AL2096"/>
    <mergeCell ref="AC2097:AD2097"/>
    <mergeCell ref="AF2097:AH2097"/>
    <mergeCell ref="AK2097:AL2097"/>
    <mergeCell ref="AC2098:AD2098"/>
    <mergeCell ref="AF2098:AH2098"/>
    <mergeCell ref="AK2098:AL2098"/>
    <mergeCell ref="AC2099:AD2099"/>
    <mergeCell ref="AF2099:AH2099"/>
    <mergeCell ref="AK2099:AL2099"/>
    <mergeCell ref="AC2100:AD2100"/>
    <mergeCell ref="AF2100:AH2100"/>
    <mergeCell ref="AK2100:AL2100"/>
    <mergeCell ref="AC2101:AD2101"/>
    <mergeCell ref="AF2101:AH2101"/>
    <mergeCell ref="AK2101:AL2101"/>
    <mergeCell ref="AC2102:AD2102"/>
    <mergeCell ref="AF2102:AH2102"/>
    <mergeCell ref="AK2102:AL2102"/>
    <mergeCell ref="AC2103:AD2103"/>
    <mergeCell ref="AF2103:AH2103"/>
    <mergeCell ref="AK2103:AL2103"/>
    <mergeCell ref="AC2104:AD2104"/>
    <mergeCell ref="AF2104:AH2104"/>
    <mergeCell ref="AK2104:AL2104"/>
    <mergeCell ref="AC2105:AD2105"/>
    <mergeCell ref="AF2105:AH2105"/>
    <mergeCell ref="AK2105:AL2105"/>
    <mergeCell ref="AC2106:AD2106"/>
    <mergeCell ref="AF2106:AH2106"/>
    <mergeCell ref="AK2106:AL2106"/>
    <mergeCell ref="AC2107:AD2107"/>
    <mergeCell ref="AF2107:AH2107"/>
    <mergeCell ref="AK2107:AL2107"/>
    <mergeCell ref="AC2108:AD2108"/>
    <mergeCell ref="AF2108:AH2108"/>
    <mergeCell ref="AK2108:AL2108"/>
    <mergeCell ref="AC2109:AD2109"/>
    <mergeCell ref="AF2109:AH2109"/>
    <mergeCell ref="AK2109:AL2109"/>
    <mergeCell ref="AC2110:AD2110"/>
    <mergeCell ref="AF2110:AH2110"/>
    <mergeCell ref="AK2110:AL2110"/>
    <mergeCell ref="AC2111:AD2111"/>
    <mergeCell ref="AF2111:AH2111"/>
    <mergeCell ref="AK2111:AL2111"/>
    <mergeCell ref="AC2112:AD2112"/>
    <mergeCell ref="AF2112:AH2112"/>
    <mergeCell ref="AK2112:AL2112"/>
    <mergeCell ref="AC2113:AD2113"/>
    <mergeCell ref="AF2113:AH2113"/>
    <mergeCell ref="AK2113:AL2113"/>
    <mergeCell ref="AC2114:AD2114"/>
    <mergeCell ref="AF2114:AH2114"/>
    <mergeCell ref="AK2114:AL2114"/>
    <mergeCell ref="AC2115:AD2115"/>
    <mergeCell ref="AF2115:AH2115"/>
    <mergeCell ref="AK2115:AL2115"/>
    <mergeCell ref="AC2116:AD2116"/>
    <mergeCell ref="AF2116:AH2116"/>
    <mergeCell ref="AK2116:AL2116"/>
    <mergeCell ref="AC2117:AD2117"/>
    <mergeCell ref="AF2117:AH2117"/>
    <mergeCell ref="AK2117:AL2117"/>
    <mergeCell ref="AC2118:AD2118"/>
    <mergeCell ref="AF2118:AH2118"/>
    <mergeCell ref="AK2118:AL2118"/>
    <mergeCell ref="AC2119:AD2119"/>
    <mergeCell ref="AF2119:AH2119"/>
    <mergeCell ref="AK2119:AL2119"/>
    <mergeCell ref="AC2120:AD2120"/>
    <mergeCell ref="AF2120:AH2120"/>
    <mergeCell ref="AK2120:AL2120"/>
    <mergeCell ref="AC2121:AD2121"/>
    <mergeCell ref="AF2121:AH2121"/>
    <mergeCell ref="AK2121:AL2121"/>
    <mergeCell ref="AC2122:AD2122"/>
    <mergeCell ref="AF2122:AH2122"/>
    <mergeCell ref="AK2122:AL2122"/>
    <mergeCell ref="AC2123:AD2123"/>
    <mergeCell ref="AF2123:AH2123"/>
    <mergeCell ref="AK2123:AL2123"/>
    <mergeCell ref="AC2124:AD2124"/>
    <mergeCell ref="AF2124:AH2124"/>
    <mergeCell ref="AK2124:AL2124"/>
    <mergeCell ref="AC2125:AD2125"/>
    <mergeCell ref="AF2125:AH2125"/>
    <mergeCell ref="AK2125:AL2125"/>
    <mergeCell ref="AC2126:AD2126"/>
    <mergeCell ref="AF2126:AH2126"/>
    <mergeCell ref="AK2126:AL2126"/>
    <mergeCell ref="AC2127:AD2127"/>
    <mergeCell ref="AF2127:AH2127"/>
    <mergeCell ref="AK2127:AL2127"/>
    <mergeCell ref="AC2128:AD2128"/>
    <mergeCell ref="AF2128:AH2128"/>
    <mergeCell ref="AK2128:AL2128"/>
    <mergeCell ref="AC2129:AD2129"/>
    <mergeCell ref="AF2129:AH2129"/>
    <mergeCell ref="AK2129:AL2129"/>
    <mergeCell ref="AC2130:AD2130"/>
    <mergeCell ref="AF2130:AH2130"/>
    <mergeCell ref="AK2130:AL2130"/>
    <mergeCell ref="AC2131:AD2131"/>
    <mergeCell ref="AF2131:AH2131"/>
    <mergeCell ref="AK2131:AL2131"/>
    <mergeCell ref="AC2132:AD2132"/>
    <mergeCell ref="AF2132:AH2132"/>
    <mergeCell ref="AK2132:AL2132"/>
    <mergeCell ref="AC2133:AD2133"/>
    <mergeCell ref="AF2133:AH2133"/>
    <mergeCell ref="AK2133:AL2133"/>
    <mergeCell ref="AC2134:AD2134"/>
    <mergeCell ref="AF2134:AH2134"/>
    <mergeCell ref="AK2134:AL2134"/>
    <mergeCell ref="AC2135:AD2135"/>
    <mergeCell ref="AF2135:AH2135"/>
    <mergeCell ref="AK2135:AL2135"/>
    <mergeCell ref="AC2136:AD2136"/>
    <mergeCell ref="AF2136:AH2136"/>
    <mergeCell ref="AK2136:AL2136"/>
    <mergeCell ref="AC2137:AD2137"/>
    <mergeCell ref="AF2137:AH2137"/>
    <mergeCell ref="AK2137:AL2137"/>
    <mergeCell ref="AC2138:AD2138"/>
    <mergeCell ref="AF2138:AH2138"/>
    <mergeCell ref="AK2138:AL2138"/>
    <mergeCell ref="AC2139:AD2139"/>
    <mergeCell ref="AF2139:AH2139"/>
    <mergeCell ref="AK2139:AL2139"/>
    <mergeCell ref="AC2140:AD2140"/>
    <mergeCell ref="AF2140:AH2140"/>
    <mergeCell ref="AK2140:AL2140"/>
    <mergeCell ref="AC2141:AD2141"/>
    <mergeCell ref="AF2141:AH2141"/>
    <mergeCell ref="AK2141:AL2141"/>
    <mergeCell ref="AC2142:AD2142"/>
    <mergeCell ref="AF2142:AH2142"/>
    <mergeCell ref="AK2142:AL2142"/>
    <mergeCell ref="AC2143:AD2143"/>
    <mergeCell ref="AF2143:AH2143"/>
    <mergeCell ref="AK2143:AL2143"/>
    <mergeCell ref="AC2144:AD2144"/>
    <mergeCell ref="AF2144:AH2144"/>
    <mergeCell ref="AK2144:AL2144"/>
    <mergeCell ref="AC2145:AD2145"/>
    <mergeCell ref="AF2145:AH2145"/>
    <mergeCell ref="AK2145:AL2145"/>
    <mergeCell ref="AC2146:AD2146"/>
    <mergeCell ref="AF2146:AH2146"/>
    <mergeCell ref="AK2146:AL2146"/>
    <mergeCell ref="AC2147:AD2147"/>
    <mergeCell ref="AF2147:AH2147"/>
    <mergeCell ref="AK2147:AL2147"/>
    <mergeCell ref="AC2148:AD2148"/>
    <mergeCell ref="AF2148:AH2148"/>
    <mergeCell ref="AK2148:AL2148"/>
    <mergeCell ref="AC2149:AD2149"/>
    <mergeCell ref="AF2149:AH2149"/>
    <mergeCell ref="AK2149:AL2149"/>
    <mergeCell ref="AC2150:AD2150"/>
    <mergeCell ref="AF2150:AH2150"/>
    <mergeCell ref="AK2150:AL2150"/>
    <mergeCell ref="AC2151:AD2151"/>
    <mergeCell ref="AF2151:AH2151"/>
    <mergeCell ref="AK2151:AL2151"/>
    <mergeCell ref="AC2152:AD2152"/>
    <mergeCell ref="AF2152:AH2152"/>
    <mergeCell ref="AK2152:AL2152"/>
    <mergeCell ref="AC2153:AD2153"/>
    <mergeCell ref="AF2153:AH2153"/>
    <mergeCell ref="AK2153:AL2153"/>
    <mergeCell ref="AC2154:AD2154"/>
    <mergeCell ref="AF2154:AH2154"/>
    <mergeCell ref="AK2154:AL2154"/>
    <mergeCell ref="AC2155:AD2155"/>
    <mergeCell ref="AF2155:AH2155"/>
    <mergeCell ref="AK2155:AL2155"/>
    <mergeCell ref="AC2156:AD2156"/>
    <mergeCell ref="AF2156:AH2156"/>
    <mergeCell ref="AK2156:AL2156"/>
    <mergeCell ref="AC2157:AD2157"/>
    <mergeCell ref="AF2157:AH2157"/>
    <mergeCell ref="AK2157:AL2157"/>
    <mergeCell ref="AC2158:AD2158"/>
    <mergeCell ref="AF2158:AH2158"/>
    <mergeCell ref="AK2158:AL2158"/>
    <mergeCell ref="AC2159:AD2159"/>
    <mergeCell ref="AF2159:AH2159"/>
    <mergeCell ref="AK2159:AL2159"/>
    <mergeCell ref="AC2160:AD2160"/>
    <mergeCell ref="AF2160:AH2160"/>
    <mergeCell ref="AK2160:AL2160"/>
    <mergeCell ref="AC2161:AD2161"/>
    <mergeCell ref="AF2161:AH2161"/>
    <mergeCell ref="AK2161:AL2161"/>
    <mergeCell ref="AC2162:AD2162"/>
    <mergeCell ref="AF2162:AH2162"/>
    <mergeCell ref="AK2162:AL2162"/>
    <mergeCell ref="AC2163:AD2163"/>
    <mergeCell ref="AF2163:AH2163"/>
    <mergeCell ref="AK2163:AL2163"/>
    <mergeCell ref="AC2164:AD2164"/>
    <mergeCell ref="AF2164:AH2164"/>
    <mergeCell ref="AK2164:AL2164"/>
    <mergeCell ref="AC2165:AD2165"/>
    <mergeCell ref="AF2165:AH2165"/>
    <mergeCell ref="AK2165:AL2165"/>
    <mergeCell ref="AC2166:AD2166"/>
    <mergeCell ref="AF2166:AH2166"/>
    <mergeCell ref="AK2166:AL2166"/>
    <mergeCell ref="AC2167:AD2167"/>
    <mergeCell ref="AF2167:AH2167"/>
    <mergeCell ref="AK2167:AL2167"/>
    <mergeCell ref="AC2168:AD2168"/>
    <mergeCell ref="AF2168:AH2168"/>
    <mergeCell ref="AK2168:AL2168"/>
    <mergeCell ref="AC2169:AD2169"/>
    <mergeCell ref="AF2169:AH2169"/>
    <mergeCell ref="AK2169:AL2169"/>
    <mergeCell ref="AC2170:AD2170"/>
    <mergeCell ref="AF2170:AH2170"/>
    <mergeCell ref="AK2170:AL2170"/>
    <mergeCell ref="AC2171:AD2171"/>
    <mergeCell ref="AF2171:AH2171"/>
    <mergeCell ref="AK2171:AL2171"/>
    <mergeCell ref="AC2172:AD2172"/>
    <mergeCell ref="AF2172:AH2172"/>
    <mergeCell ref="AK2172:AL2172"/>
    <mergeCell ref="AC2173:AD2173"/>
    <mergeCell ref="AF2173:AH2173"/>
    <mergeCell ref="AK2173:AL2173"/>
    <mergeCell ref="AC2174:AD2174"/>
    <mergeCell ref="AF2174:AH2174"/>
    <mergeCell ref="AK2174:AL2174"/>
    <mergeCell ref="AC2175:AD2175"/>
    <mergeCell ref="AF2175:AH2175"/>
    <mergeCell ref="AK2175:AL2175"/>
    <mergeCell ref="AC2176:AD2176"/>
    <mergeCell ref="AF2176:AH2176"/>
    <mergeCell ref="AK2176:AL2176"/>
    <mergeCell ref="AC2177:AD2177"/>
    <mergeCell ref="AF2177:AH2177"/>
    <mergeCell ref="AK2177:AL2177"/>
    <mergeCell ref="AC2178:AD2178"/>
    <mergeCell ref="AF2178:AH2178"/>
    <mergeCell ref="AK2178:AL2178"/>
    <mergeCell ref="AC2179:AD2179"/>
    <mergeCell ref="AF2179:AH2179"/>
    <mergeCell ref="AK2179:AL2179"/>
    <mergeCell ref="AC2180:AD2180"/>
    <mergeCell ref="AF2180:AH2180"/>
    <mergeCell ref="AK2180:AL2180"/>
    <mergeCell ref="AC2181:AD2181"/>
    <mergeCell ref="AF2181:AH2181"/>
    <mergeCell ref="AK2181:AL2181"/>
    <mergeCell ref="AC2182:AD2182"/>
    <mergeCell ref="AF2182:AH2182"/>
    <mergeCell ref="AK2182:AL2182"/>
    <mergeCell ref="AC2183:AD2183"/>
    <mergeCell ref="AF2183:AH2183"/>
    <mergeCell ref="AK2183:AL2183"/>
    <mergeCell ref="AC2184:AD2184"/>
    <mergeCell ref="AF2184:AH2184"/>
    <mergeCell ref="AK2184:AL2184"/>
    <mergeCell ref="AC2185:AD2185"/>
    <mergeCell ref="AF2185:AH2185"/>
    <mergeCell ref="AK2185:AL2185"/>
    <mergeCell ref="AC2186:AD2186"/>
    <mergeCell ref="AF2186:AH2186"/>
    <mergeCell ref="AK2186:AL2186"/>
    <mergeCell ref="AC2187:AD2187"/>
    <mergeCell ref="AF2187:AH2187"/>
    <mergeCell ref="AK2187:AL2187"/>
    <mergeCell ref="AC2188:AD2188"/>
    <mergeCell ref="AF2188:AH2188"/>
    <mergeCell ref="AK2188:AL2188"/>
    <mergeCell ref="AC2189:AD2189"/>
    <mergeCell ref="AF2189:AH2189"/>
    <mergeCell ref="AK2189:AL2189"/>
    <mergeCell ref="AC2190:AD2190"/>
    <mergeCell ref="AF2190:AH2190"/>
    <mergeCell ref="AK2190:AL2190"/>
    <mergeCell ref="AC2191:AD2191"/>
    <mergeCell ref="AF2191:AH2191"/>
    <mergeCell ref="AK2191:AL2191"/>
    <mergeCell ref="AC2192:AD2192"/>
    <mergeCell ref="AF2192:AH2192"/>
    <mergeCell ref="AK2192:AL2192"/>
    <mergeCell ref="AC2193:AD2193"/>
    <mergeCell ref="AF2193:AH2193"/>
    <mergeCell ref="AK2193:AL2193"/>
    <mergeCell ref="AC2194:AD2194"/>
    <mergeCell ref="AF2194:AH2194"/>
    <mergeCell ref="AK2194:AL2194"/>
    <mergeCell ref="AC2195:AD2195"/>
    <mergeCell ref="AF2195:AH2195"/>
    <mergeCell ref="AK2195:AL2195"/>
    <mergeCell ref="AC2196:AD2196"/>
    <mergeCell ref="AF2196:AH2196"/>
    <mergeCell ref="AK2196:AL2196"/>
    <mergeCell ref="AC2197:AD2197"/>
    <mergeCell ref="AF2197:AH2197"/>
    <mergeCell ref="AK2197:AL2197"/>
    <mergeCell ref="AC2198:AD2198"/>
    <mergeCell ref="AF2198:AH2198"/>
    <mergeCell ref="AK2198:AL2198"/>
    <mergeCell ref="AC2199:AD2199"/>
    <mergeCell ref="AF2199:AH2199"/>
    <mergeCell ref="AK2199:AL2199"/>
    <mergeCell ref="AC2200:AD2200"/>
    <mergeCell ref="AF2200:AH2200"/>
    <mergeCell ref="AK2200:AL2200"/>
    <mergeCell ref="AC2201:AD2201"/>
    <mergeCell ref="AF2201:AH2201"/>
    <mergeCell ref="AK2201:AL2201"/>
    <mergeCell ref="AC2202:AD2202"/>
    <mergeCell ref="AF2202:AH2202"/>
    <mergeCell ref="AK2202:AL2202"/>
    <mergeCell ref="AC2203:AD2203"/>
    <mergeCell ref="AF2203:AH2203"/>
    <mergeCell ref="AK2203:AL2203"/>
    <mergeCell ref="AC2204:AD2204"/>
    <mergeCell ref="AF2204:AH2204"/>
    <mergeCell ref="AK2204:AL2204"/>
    <mergeCell ref="AC2205:AD2205"/>
    <mergeCell ref="AF2205:AH2205"/>
    <mergeCell ref="AK2205:AL2205"/>
    <mergeCell ref="AC2206:AD2206"/>
    <mergeCell ref="AF2206:AH2206"/>
    <mergeCell ref="AK2206:AL2206"/>
    <mergeCell ref="AC2207:AD2207"/>
    <mergeCell ref="AF2207:AH2207"/>
    <mergeCell ref="AK2207:AL2207"/>
    <mergeCell ref="AC2208:AD2208"/>
    <mergeCell ref="AF2208:AH2208"/>
    <mergeCell ref="AK2208:AL2208"/>
    <mergeCell ref="AC2209:AD2209"/>
    <mergeCell ref="AF2209:AH2209"/>
    <mergeCell ref="AK2209:AL2209"/>
    <mergeCell ref="AC2210:AD2210"/>
    <mergeCell ref="AF2210:AH2210"/>
    <mergeCell ref="AK2210:AL2210"/>
    <mergeCell ref="AC2211:AD2211"/>
    <mergeCell ref="AF2211:AH2211"/>
    <mergeCell ref="AK2211:AL2211"/>
    <mergeCell ref="AC2212:AD2212"/>
    <mergeCell ref="AF2212:AH2212"/>
    <mergeCell ref="AK2212:AL2212"/>
    <mergeCell ref="AC2213:AD2213"/>
    <mergeCell ref="AF2213:AH2213"/>
    <mergeCell ref="AK2213:AL2213"/>
    <mergeCell ref="AC2214:AD2214"/>
    <mergeCell ref="AF2214:AH2214"/>
    <mergeCell ref="AK2214:AL2214"/>
    <mergeCell ref="AC2215:AD2215"/>
    <mergeCell ref="AF2215:AH2215"/>
    <mergeCell ref="AK2215:AL2215"/>
    <mergeCell ref="AC2216:AD2216"/>
    <mergeCell ref="AF2216:AH2216"/>
    <mergeCell ref="AK2216:AL2216"/>
    <mergeCell ref="AC2217:AD2217"/>
    <mergeCell ref="AF2217:AH2217"/>
    <mergeCell ref="AK2217:AL2217"/>
    <mergeCell ref="AC2218:AD2218"/>
    <mergeCell ref="AF2218:AH2218"/>
    <mergeCell ref="AK2218:AL2218"/>
    <mergeCell ref="AC2219:AD2219"/>
    <mergeCell ref="AF2219:AH2219"/>
    <mergeCell ref="AK2219:AL2219"/>
    <mergeCell ref="AC2220:AD2220"/>
    <mergeCell ref="AF2220:AH2220"/>
    <mergeCell ref="AK2220:AL2220"/>
    <mergeCell ref="AC2221:AD2221"/>
    <mergeCell ref="AF2221:AH2221"/>
    <mergeCell ref="AK2221:AL2221"/>
    <mergeCell ref="AC2222:AD2222"/>
    <mergeCell ref="AF2222:AH2222"/>
    <mergeCell ref="AK2222:AL2222"/>
    <mergeCell ref="AC2223:AD2223"/>
    <mergeCell ref="AF2223:AH2223"/>
    <mergeCell ref="AK2223:AL2223"/>
    <mergeCell ref="AC2224:AD2224"/>
    <mergeCell ref="AF2224:AH2224"/>
    <mergeCell ref="AK2224:AL2224"/>
    <mergeCell ref="AC2225:AD2225"/>
    <mergeCell ref="AF2225:AH2225"/>
    <mergeCell ref="AK2225:AL2225"/>
    <mergeCell ref="AC2226:AD2226"/>
    <mergeCell ref="AF2226:AH2226"/>
    <mergeCell ref="AK2226:AL2226"/>
    <mergeCell ref="AC2227:AD2227"/>
    <mergeCell ref="AF2227:AH2227"/>
    <mergeCell ref="AK2227:AL2227"/>
    <mergeCell ref="AC2228:AD2228"/>
    <mergeCell ref="AF2228:AH2228"/>
    <mergeCell ref="AK2228:AL2228"/>
    <mergeCell ref="AC2229:AD2229"/>
    <mergeCell ref="AF2229:AH2229"/>
    <mergeCell ref="AK2229:AL2229"/>
    <mergeCell ref="AC2230:AD2230"/>
    <mergeCell ref="AF2230:AH2230"/>
    <mergeCell ref="AK2230:AL2230"/>
    <mergeCell ref="AC2231:AD2231"/>
    <mergeCell ref="AF2231:AH2231"/>
    <mergeCell ref="AK2231:AL2231"/>
    <mergeCell ref="AC2232:AD2232"/>
    <mergeCell ref="AF2232:AH2232"/>
    <mergeCell ref="AK2232:AL2232"/>
    <mergeCell ref="AC2233:AD2233"/>
    <mergeCell ref="AF2233:AH2233"/>
    <mergeCell ref="AK2233:AL2233"/>
    <mergeCell ref="AC2234:AD2234"/>
    <mergeCell ref="AF2234:AH2234"/>
    <mergeCell ref="AK2234:AL2234"/>
    <mergeCell ref="AC2235:AD2235"/>
    <mergeCell ref="AF2235:AH2235"/>
    <mergeCell ref="AK2235:AL2235"/>
    <mergeCell ref="AC2236:AD2236"/>
    <mergeCell ref="AF2236:AH2236"/>
    <mergeCell ref="AK2236:AL2236"/>
    <mergeCell ref="AC2237:AD2237"/>
    <mergeCell ref="AF2237:AH2237"/>
    <mergeCell ref="AK2237:AL2237"/>
    <mergeCell ref="AC2238:AD2238"/>
    <mergeCell ref="AF2238:AH2238"/>
    <mergeCell ref="AK2238:AL2238"/>
    <mergeCell ref="AC2239:AD2239"/>
    <mergeCell ref="AF2239:AH2239"/>
    <mergeCell ref="AK2239:AL2239"/>
    <mergeCell ref="AC2240:AD2240"/>
    <mergeCell ref="AF2240:AH2240"/>
    <mergeCell ref="AK2240:AL2240"/>
    <mergeCell ref="AC2241:AD2241"/>
    <mergeCell ref="AF2241:AH2241"/>
    <mergeCell ref="AK2241:AL2241"/>
    <mergeCell ref="AC2242:AD2242"/>
    <mergeCell ref="AF2242:AH2242"/>
    <mergeCell ref="AK2242:AL2242"/>
    <mergeCell ref="AC2243:AD2243"/>
    <mergeCell ref="AF2243:AH2243"/>
    <mergeCell ref="AK2243:AL2243"/>
    <mergeCell ref="AC2244:AD2244"/>
    <mergeCell ref="AF2244:AH2244"/>
    <mergeCell ref="AK2244:AL2244"/>
    <mergeCell ref="AC2245:AD2245"/>
    <mergeCell ref="AF2245:AH2245"/>
    <mergeCell ref="AK2245:AL2245"/>
    <mergeCell ref="AC2246:AD2246"/>
    <mergeCell ref="AF2246:AH2246"/>
    <mergeCell ref="AK2246:AL2246"/>
    <mergeCell ref="AC2247:AD2247"/>
    <mergeCell ref="AF2247:AH2247"/>
    <mergeCell ref="AK2247:AL2247"/>
    <mergeCell ref="AC2248:AD2248"/>
    <mergeCell ref="AF2248:AH2248"/>
    <mergeCell ref="AK2248:AL2248"/>
    <mergeCell ref="AC2249:AD2249"/>
    <mergeCell ref="AF2249:AH2249"/>
    <mergeCell ref="AK2249:AL2249"/>
    <mergeCell ref="AC2250:AD2250"/>
    <mergeCell ref="AF2250:AH2250"/>
    <mergeCell ref="AK2250:AL2250"/>
    <mergeCell ref="AC2251:AD2251"/>
    <mergeCell ref="AF2251:AH2251"/>
    <mergeCell ref="AK2251:AL2251"/>
    <mergeCell ref="AC2252:AD2252"/>
    <mergeCell ref="AF2252:AH2252"/>
    <mergeCell ref="AK2252:AL2252"/>
    <mergeCell ref="AC2253:AD2253"/>
    <mergeCell ref="AF2253:AH2253"/>
    <mergeCell ref="AK2253:AL2253"/>
    <mergeCell ref="AC2254:AD2254"/>
    <mergeCell ref="AF2254:AH2254"/>
    <mergeCell ref="AK2254:AL2254"/>
    <mergeCell ref="AC2255:AD2255"/>
    <mergeCell ref="AF2255:AH2255"/>
    <mergeCell ref="AK2255:AL2255"/>
    <mergeCell ref="AC2256:AD2256"/>
    <mergeCell ref="AF2256:AH2256"/>
    <mergeCell ref="AK2256:AL2256"/>
    <mergeCell ref="AC2257:AD2257"/>
    <mergeCell ref="AF2257:AH2257"/>
    <mergeCell ref="AK2257:AL2257"/>
    <mergeCell ref="AC2258:AD2258"/>
    <mergeCell ref="AF2258:AH2258"/>
    <mergeCell ref="AK2258:AL2258"/>
    <mergeCell ref="AC2259:AD2259"/>
    <mergeCell ref="AF2259:AH2259"/>
    <mergeCell ref="AK2259:AL2259"/>
    <mergeCell ref="AC2260:AD2260"/>
    <mergeCell ref="AF2260:AH2260"/>
    <mergeCell ref="AK2260:AL2260"/>
    <mergeCell ref="AC2261:AD2261"/>
    <mergeCell ref="AF2261:AH2261"/>
    <mergeCell ref="AK2261:AL2261"/>
    <mergeCell ref="AC2262:AD2262"/>
    <mergeCell ref="AF2262:AH2262"/>
    <mergeCell ref="AK2262:AL2262"/>
    <mergeCell ref="AC2263:AD2263"/>
    <mergeCell ref="AF2263:AH2263"/>
    <mergeCell ref="AK2263:AL2263"/>
    <mergeCell ref="AC2264:AD2264"/>
    <mergeCell ref="AF2264:AH2264"/>
    <mergeCell ref="AK2264:AL2264"/>
    <mergeCell ref="AC2265:AD2265"/>
    <mergeCell ref="AF2265:AH2265"/>
    <mergeCell ref="AK2265:AL2265"/>
    <mergeCell ref="AC2266:AD2266"/>
    <mergeCell ref="AF2266:AH2266"/>
    <mergeCell ref="AK2266:AL2266"/>
    <mergeCell ref="AC2267:AD2267"/>
    <mergeCell ref="AF2267:AH2267"/>
    <mergeCell ref="AK2267:AL2267"/>
    <mergeCell ref="AC2268:AD2268"/>
    <mergeCell ref="AF2268:AH2268"/>
    <mergeCell ref="AK2268:AL2268"/>
    <mergeCell ref="AC2269:AD2269"/>
    <mergeCell ref="AF2269:AH2269"/>
    <mergeCell ref="AK2269:AL2269"/>
    <mergeCell ref="AC2270:AD2270"/>
    <mergeCell ref="AF2270:AH2270"/>
    <mergeCell ref="AK2270:AL2270"/>
    <mergeCell ref="AC2271:AD2271"/>
    <mergeCell ref="AF2271:AH2271"/>
    <mergeCell ref="AK2271:AL2271"/>
    <mergeCell ref="AC2272:AD2272"/>
    <mergeCell ref="AF2272:AH2272"/>
    <mergeCell ref="AK2272:AL2272"/>
    <mergeCell ref="AC2273:AD2273"/>
    <mergeCell ref="AF2273:AH2273"/>
    <mergeCell ref="AK2273:AL2273"/>
    <mergeCell ref="AC2274:AD2274"/>
    <mergeCell ref="AF2274:AH2274"/>
    <mergeCell ref="AK2274:AL2274"/>
    <mergeCell ref="AC2275:AD2275"/>
    <mergeCell ref="AF2275:AH2275"/>
    <mergeCell ref="AK2275:AL2275"/>
    <mergeCell ref="AC2276:AD2276"/>
    <mergeCell ref="AF2276:AH2276"/>
    <mergeCell ref="AK2276:AL2276"/>
    <mergeCell ref="AC2277:AD2277"/>
    <mergeCell ref="AF2277:AH2277"/>
    <mergeCell ref="AK2277:AL2277"/>
    <mergeCell ref="AC2278:AD2278"/>
    <mergeCell ref="AF2278:AH2278"/>
    <mergeCell ref="AK2278:AL2278"/>
    <mergeCell ref="AC2279:AD2279"/>
    <mergeCell ref="AF2279:AH2279"/>
    <mergeCell ref="AK2279:AL2279"/>
    <mergeCell ref="AC2280:AD2280"/>
    <mergeCell ref="AF2280:AH2280"/>
    <mergeCell ref="AK2280:AL2280"/>
    <mergeCell ref="AC2281:AD2281"/>
    <mergeCell ref="AF2281:AH2281"/>
    <mergeCell ref="AK2281:AL2281"/>
    <mergeCell ref="AC2282:AD2282"/>
    <mergeCell ref="AF2282:AH2282"/>
    <mergeCell ref="AK2282:AL2282"/>
    <mergeCell ref="AC2283:AD2283"/>
    <mergeCell ref="AF2283:AH2283"/>
    <mergeCell ref="AK2283:AL2283"/>
    <mergeCell ref="AC2284:AD2284"/>
    <mergeCell ref="AF2284:AH2284"/>
    <mergeCell ref="AK2284:AL2284"/>
    <mergeCell ref="AC2285:AD2285"/>
    <mergeCell ref="AF2285:AH2285"/>
    <mergeCell ref="AK2285:AL2285"/>
    <mergeCell ref="AC2286:AD2286"/>
    <mergeCell ref="AF2286:AH2286"/>
    <mergeCell ref="AK2286:AL2286"/>
    <mergeCell ref="AC2287:AD2287"/>
    <mergeCell ref="AF2287:AH2287"/>
    <mergeCell ref="AK2287:AL2287"/>
    <mergeCell ref="AC2288:AD2288"/>
    <mergeCell ref="AF2288:AH2288"/>
    <mergeCell ref="AK2288:AL2288"/>
    <mergeCell ref="AC2289:AD2289"/>
    <mergeCell ref="AF2289:AH2289"/>
    <mergeCell ref="AK2289:AL2289"/>
    <mergeCell ref="AC2290:AD2290"/>
    <mergeCell ref="AF2290:AH2290"/>
    <mergeCell ref="AK2290:AL2290"/>
    <mergeCell ref="AC2291:AD2291"/>
    <mergeCell ref="AF2291:AH2291"/>
    <mergeCell ref="AK2291:AL2291"/>
    <mergeCell ref="AC2292:AD2292"/>
    <mergeCell ref="AF2292:AH2292"/>
    <mergeCell ref="AK2292:AL2292"/>
    <mergeCell ref="AC2293:AD2293"/>
    <mergeCell ref="AF2293:AH2293"/>
    <mergeCell ref="AK2293:AL2293"/>
    <mergeCell ref="AC2294:AD2294"/>
    <mergeCell ref="AF2294:AH2294"/>
    <mergeCell ref="AK2294:AL2294"/>
    <mergeCell ref="AC2295:AD2295"/>
    <mergeCell ref="AF2295:AH2295"/>
    <mergeCell ref="AK2295:AL2295"/>
    <mergeCell ref="AC2296:AD2296"/>
    <mergeCell ref="AF2296:AH2296"/>
    <mergeCell ref="AK2296:AL2296"/>
    <mergeCell ref="AC2297:AD2297"/>
    <mergeCell ref="AF2297:AH2297"/>
    <mergeCell ref="AK2297:AL2297"/>
    <mergeCell ref="AC2298:AD2298"/>
    <mergeCell ref="AF2298:AH2298"/>
    <mergeCell ref="AK2298:AL2298"/>
    <mergeCell ref="AC2299:AD2299"/>
    <mergeCell ref="AF2299:AH2299"/>
    <mergeCell ref="AK2299:AL2299"/>
    <mergeCell ref="AC2300:AD2300"/>
    <mergeCell ref="AF2300:AH2300"/>
    <mergeCell ref="AK2300:AL2300"/>
    <mergeCell ref="AC2301:AD2301"/>
    <mergeCell ref="AF2301:AH2301"/>
    <mergeCell ref="AK2301:AL2301"/>
    <mergeCell ref="AC2302:AD2302"/>
    <mergeCell ref="AF2302:AH2302"/>
    <mergeCell ref="AK2302:AL2302"/>
    <mergeCell ref="AC2303:AD2303"/>
    <mergeCell ref="AF2303:AH2303"/>
    <mergeCell ref="AK2303:AL2303"/>
    <mergeCell ref="AC2304:AD2304"/>
    <mergeCell ref="AF2304:AH2304"/>
    <mergeCell ref="AK2304:AL2304"/>
    <mergeCell ref="AC2305:AD2305"/>
    <mergeCell ref="AF2305:AH2305"/>
    <mergeCell ref="AK2305:AL2305"/>
    <mergeCell ref="AC2306:AD2306"/>
    <mergeCell ref="AF2306:AH2306"/>
    <mergeCell ref="AK2306:AL2306"/>
    <mergeCell ref="AC2307:AD2307"/>
    <mergeCell ref="AF2307:AH2307"/>
    <mergeCell ref="AK2307:AL2307"/>
    <mergeCell ref="AC2308:AD2308"/>
    <mergeCell ref="AF2308:AH2308"/>
    <mergeCell ref="AK2308:AL2308"/>
    <mergeCell ref="AC2309:AD2309"/>
    <mergeCell ref="AF2309:AH2309"/>
    <mergeCell ref="AK2309:AL2309"/>
    <mergeCell ref="AC2310:AD2310"/>
    <mergeCell ref="AF2310:AH2310"/>
    <mergeCell ref="AK2310:AL2310"/>
    <mergeCell ref="AC2311:AD2311"/>
    <mergeCell ref="AF2311:AH2311"/>
    <mergeCell ref="AK2311:AL2311"/>
    <mergeCell ref="AC2312:AD2312"/>
    <mergeCell ref="AF2312:AH2312"/>
    <mergeCell ref="AK2312:AL2312"/>
    <mergeCell ref="AC2313:AD2313"/>
    <mergeCell ref="AF2313:AH2313"/>
    <mergeCell ref="AK2313:AL2313"/>
    <mergeCell ref="AC2314:AD2314"/>
    <mergeCell ref="AF2314:AH2314"/>
    <mergeCell ref="AK2314:AL2314"/>
    <mergeCell ref="AC2315:AD2315"/>
    <mergeCell ref="AF2315:AH2315"/>
    <mergeCell ref="AK2315:AL2315"/>
    <mergeCell ref="AC2316:AD2316"/>
    <mergeCell ref="AF2316:AH2316"/>
    <mergeCell ref="AK2316:AL2316"/>
    <mergeCell ref="AC2317:AD2317"/>
    <mergeCell ref="AF2317:AH2317"/>
    <mergeCell ref="AK2317:AL2317"/>
    <mergeCell ref="AC2318:AD2318"/>
    <mergeCell ref="AF2318:AH2318"/>
    <mergeCell ref="AK2318:AL2318"/>
    <mergeCell ref="AC2319:AD2319"/>
    <mergeCell ref="AF2319:AH2319"/>
    <mergeCell ref="AK2319:AL2319"/>
    <mergeCell ref="AC2320:AD2320"/>
    <mergeCell ref="AF2320:AH2320"/>
    <mergeCell ref="AK2320:AL2320"/>
    <mergeCell ref="AC2321:AD2321"/>
    <mergeCell ref="AF2321:AH2321"/>
    <mergeCell ref="AK2321:AL2321"/>
    <mergeCell ref="AC2322:AD2322"/>
    <mergeCell ref="AF2322:AH2322"/>
    <mergeCell ref="AK2322:AL2322"/>
    <mergeCell ref="AC2323:AD2323"/>
    <mergeCell ref="AF2323:AH2323"/>
    <mergeCell ref="AK2323:AL2323"/>
    <mergeCell ref="AC2324:AD2324"/>
    <mergeCell ref="AF2324:AH2324"/>
    <mergeCell ref="AK2324:AL2324"/>
    <mergeCell ref="AC2325:AD2325"/>
    <mergeCell ref="AF2325:AH2325"/>
    <mergeCell ref="AK2325:AL2325"/>
    <mergeCell ref="AC2326:AD2326"/>
    <mergeCell ref="AF2326:AH2326"/>
    <mergeCell ref="AK2326:AL2326"/>
    <mergeCell ref="AC2327:AD2327"/>
    <mergeCell ref="AF2327:AH2327"/>
    <mergeCell ref="AK2327:AL2327"/>
    <mergeCell ref="AC2328:AD2328"/>
    <mergeCell ref="AF2328:AH2328"/>
    <mergeCell ref="AK2328:AL2328"/>
    <mergeCell ref="AC2329:AD2329"/>
    <mergeCell ref="AF2329:AH2329"/>
    <mergeCell ref="AK2329:AL2329"/>
    <mergeCell ref="AC2330:AD2330"/>
    <mergeCell ref="AF2330:AH2330"/>
    <mergeCell ref="AK2330:AL2330"/>
    <mergeCell ref="AC2331:AD2331"/>
    <mergeCell ref="AF2331:AH2331"/>
    <mergeCell ref="AK2331:AL2331"/>
    <mergeCell ref="AC2332:AD2332"/>
    <mergeCell ref="AF2332:AH2332"/>
    <mergeCell ref="AK2332:AL2332"/>
    <mergeCell ref="AC2333:AD2333"/>
    <mergeCell ref="AF2333:AH2333"/>
    <mergeCell ref="AK2333:AL2333"/>
    <mergeCell ref="AC2334:AD2334"/>
    <mergeCell ref="AF2334:AH2334"/>
    <mergeCell ref="AK2334:AL2334"/>
    <mergeCell ref="AC2335:AD2335"/>
    <mergeCell ref="AF2335:AH2335"/>
    <mergeCell ref="AK2335:AL2335"/>
    <mergeCell ref="AC2336:AD2336"/>
    <mergeCell ref="AF2336:AH2336"/>
    <mergeCell ref="AK2336:AL2336"/>
    <mergeCell ref="AC2337:AD2337"/>
    <mergeCell ref="AF2337:AH2337"/>
    <mergeCell ref="AK2337:AL2337"/>
    <mergeCell ref="AC2338:AD2338"/>
    <mergeCell ref="AF2338:AH2338"/>
    <mergeCell ref="AK2338:AL2338"/>
    <mergeCell ref="AC2339:AD2339"/>
    <mergeCell ref="AF2339:AH2339"/>
    <mergeCell ref="AK2339:AL2339"/>
    <mergeCell ref="AC2340:AD2340"/>
    <mergeCell ref="AF2340:AH2340"/>
    <mergeCell ref="AK2340:AL2340"/>
    <mergeCell ref="AC2341:AD2341"/>
    <mergeCell ref="AF2341:AH2341"/>
    <mergeCell ref="AK2341:AL2341"/>
    <mergeCell ref="AC2342:AD2342"/>
    <mergeCell ref="AF2342:AH2342"/>
    <mergeCell ref="AK2342:AL2342"/>
    <mergeCell ref="AC2343:AD2343"/>
    <mergeCell ref="AF2343:AH2343"/>
    <mergeCell ref="AK2343:AL2343"/>
    <mergeCell ref="AC2344:AD2344"/>
    <mergeCell ref="AF2344:AH2344"/>
    <mergeCell ref="AK2344:AL2344"/>
    <mergeCell ref="AC2345:AD2345"/>
    <mergeCell ref="AF2345:AH2345"/>
    <mergeCell ref="AK2345:AL2345"/>
    <mergeCell ref="AC2346:AD2346"/>
    <mergeCell ref="AF2346:AH2346"/>
    <mergeCell ref="AK2346:AL2346"/>
    <mergeCell ref="AC2347:AD2347"/>
    <mergeCell ref="AF2347:AH2347"/>
    <mergeCell ref="AK2347:AL2347"/>
    <mergeCell ref="AC2348:AD2348"/>
    <mergeCell ref="AF2348:AH2348"/>
    <mergeCell ref="AK2348:AL2348"/>
    <mergeCell ref="AC2349:AD2349"/>
    <mergeCell ref="AF2349:AH2349"/>
    <mergeCell ref="AK2349:AL2349"/>
    <mergeCell ref="AC2350:AD2350"/>
    <mergeCell ref="AF2350:AH2350"/>
    <mergeCell ref="AK2350:AL2350"/>
    <mergeCell ref="AC2351:AD2351"/>
    <mergeCell ref="AF2351:AH2351"/>
    <mergeCell ref="AK2351:AL2351"/>
    <mergeCell ref="AC2352:AD2352"/>
    <mergeCell ref="AF2352:AH2352"/>
    <mergeCell ref="AK2352:AL2352"/>
    <mergeCell ref="AC2353:AD2353"/>
    <mergeCell ref="AF2353:AH2353"/>
    <mergeCell ref="AK2353:AL2353"/>
    <mergeCell ref="AC2354:AD2354"/>
    <mergeCell ref="AF2354:AH2354"/>
    <mergeCell ref="AK2354:AL2354"/>
    <mergeCell ref="AC2355:AD2355"/>
    <mergeCell ref="AF2355:AH2355"/>
    <mergeCell ref="AK2355:AL2355"/>
    <mergeCell ref="AC2356:AD2356"/>
    <mergeCell ref="AF2356:AH2356"/>
    <mergeCell ref="AK2356:AL2356"/>
    <mergeCell ref="AC2357:AD2357"/>
    <mergeCell ref="AF2357:AH2357"/>
    <mergeCell ref="AK2357:AL2357"/>
    <mergeCell ref="AC2358:AD2358"/>
    <mergeCell ref="AF2358:AH2358"/>
    <mergeCell ref="AK2358:AL2358"/>
    <mergeCell ref="AC2359:AD2359"/>
    <mergeCell ref="AF2359:AH2359"/>
    <mergeCell ref="AK2359:AL2359"/>
    <mergeCell ref="AC2360:AD2360"/>
    <mergeCell ref="AF2360:AH2360"/>
    <mergeCell ref="AK2360:AL2360"/>
    <mergeCell ref="AC2361:AD2361"/>
    <mergeCell ref="AF2361:AH2361"/>
    <mergeCell ref="AK2361:AL2361"/>
    <mergeCell ref="AC2362:AD2362"/>
    <mergeCell ref="AF2362:AH2362"/>
    <mergeCell ref="AK2362:AL2362"/>
    <mergeCell ref="AC2363:AD2363"/>
    <mergeCell ref="AF2363:AH2363"/>
    <mergeCell ref="AK2363:AL2363"/>
    <mergeCell ref="AC2364:AD2364"/>
    <mergeCell ref="AF2364:AH2364"/>
    <mergeCell ref="AK2364:AL2364"/>
    <mergeCell ref="AC2365:AD2365"/>
    <mergeCell ref="AF2365:AH2365"/>
    <mergeCell ref="AK2365:AL2365"/>
    <mergeCell ref="AC2366:AD2366"/>
    <mergeCell ref="AF2366:AH2366"/>
    <mergeCell ref="AK2366:AL2366"/>
    <mergeCell ref="AC2367:AD2367"/>
    <mergeCell ref="AF2367:AH2367"/>
    <mergeCell ref="AK2367:AL2367"/>
    <mergeCell ref="AC2368:AD2368"/>
    <mergeCell ref="AF2368:AH2368"/>
    <mergeCell ref="AK2368:AL2368"/>
    <mergeCell ref="AC2369:AD2369"/>
    <mergeCell ref="AF2369:AH2369"/>
    <mergeCell ref="AK2369:AL2369"/>
    <mergeCell ref="AC2370:AD2370"/>
    <mergeCell ref="AF2370:AH2370"/>
    <mergeCell ref="AK2370:AL2370"/>
    <mergeCell ref="AC2371:AD2371"/>
    <mergeCell ref="AF2371:AH2371"/>
    <mergeCell ref="AK2371:AL2371"/>
    <mergeCell ref="AC2372:AD2372"/>
    <mergeCell ref="AF2372:AH2372"/>
    <mergeCell ref="AK2372:AL2372"/>
    <mergeCell ref="AC2373:AD2373"/>
    <mergeCell ref="AF2373:AH2373"/>
    <mergeCell ref="AK2373:AL2373"/>
    <mergeCell ref="AC2374:AD2374"/>
    <mergeCell ref="AF2374:AH2374"/>
    <mergeCell ref="AK2374:AL2374"/>
    <mergeCell ref="AC2375:AD2375"/>
    <mergeCell ref="AF2375:AH2375"/>
    <mergeCell ref="AK2375:AL2375"/>
    <mergeCell ref="AC2376:AD2376"/>
    <mergeCell ref="AF2376:AH2376"/>
    <mergeCell ref="AK2376:AL2376"/>
    <mergeCell ref="AC2377:AD2377"/>
    <mergeCell ref="AF2377:AH2377"/>
    <mergeCell ref="AK2377:AL2377"/>
    <mergeCell ref="AC2378:AD2378"/>
    <mergeCell ref="AF2378:AH2378"/>
    <mergeCell ref="AK2378:AL2378"/>
    <mergeCell ref="AC2379:AD2379"/>
    <mergeCell ref="AF2379:AH2379"/>
    <mergeCell ref="AK2379:AL2379"/>
    <mergeCell ref="AC2380:AD2380"/>
    <mergeCell ref="AF2380:AH2380"/>
    <mergeCell ref="AK2380:AL2380"/>
    <mergeCell ref="AC2381:AD2381"/>
    <mergeCell ref="AF2381:AH2381"/>
    <mergeCell ref="AK2381:AL2381"/>
    <mergeCell ref="AC2382:AD2382"/>
    <mergeCell ref="AF2382:AH2382"/>
    <mergeCell ref="AK2382:AL2382"/>
    <mergeCell ref="AC2383:AD2383"/>
    <mergeCell ref="AF2383:AH2383"/>
    <mergeCell ref="AK2383:AL2383"/>
    <mergeCell ref="AC2384:AD2384"/>
    <mergeCell ref="AF2384:AH2384"/>
    <mergeCell ref="AK2384:AL2384"/>
    <mergeCell ref="AC2385:AD2385"/>
    <mergeCell ref="AF2385:AH2385"/>
    <mergeCell ref="AK2385:AL2385"/>
    <mergeCell ref="AC2386:AD2386"/>
    <mergeCell ref="AF2386:AH2386"/>
    <mergeCell ref="AK2386:AL2386"/>
    <mergeCell ref="AC2387:AD2387"/>
    <mergeCell ref="AF2387:AH2387"/>
    <mergeCell ref="AK2387:AL2387"/>
    <mergeCell ref="AC2388:AD2388"/>
    <mergeCell ref="AF2388:AH2388"/>
    <mergeCell ref="AK2388:AL2388"/>
    <mergeCell ref="AC2389:AD2389"/>
    <mergeCell ref="AF2389:AH2389"/>
    <mergeCell ref="AK2389:AL2389"/>
    <mergeCell ref="AC2390:AD2390"/>
    <mergeCell ref="AF2390:AH2390"/>
    <mergeCell ref="AK2390:AL2390"/>
    <mergeCell ref="AC2391:AD2391"/>
    <mergeCell ref="AF2391:AH2391"/>
    <mergeCell ref="AK2391:AL2391"/>
    <mergeCell ref="AC2392:AD2392"/>
    <mergeCell ref="AF2392:AH2392"/>
    <mergeCell ref="AK2392:AL2392"/>
    <mergeCell ref="AC2393:AD2393"/>
    <mergeCell ref="AF2393:AH2393"/>
    <mergeCell ref="AK2393:AL2393"/>
    <mergeCell ref="AC2394:AD2394"/>
    <mergeCell ref="AF2394:AH2394"/>
    <mergeCell ref="AK2394:AL2394"/>
    <mergeCell ref="AC2395:AD2395"/>
    <mergeCell ref="AF2395:AH2395"/>
    <mergeCell ref="AK2395:AL2395"/>
    <mergeCell ref="AC2396:AD2396"/>
    <mergeCell ref="AF2396:AH2396"/>
    <mergeCell ref="AK2396:AL2396"/>
    <mergeCell ref="AC2397:AD2397"/>
    <mergeCell ref="AF2397:AH2397"/>
    <mergeCell ref="AK2397:AL2397"/>
    <mergeCell ref="AC2398:AD2398"/>
    <mergeCell ref="AF2398:AH2398"/>
    <mergeCell ref="AK2398:AL2398"/>
    <mergeCell ref="AC2399:AD2399"/>
    <mergeCell ref="AF2399:AH2399"/>
    <mergeCell ref="AK2399:AL2399"/>
    <mergeCell ref="AC2400:AD2400"/>
    <mergeCell ref="AF2400:AH2400"/>
    <mergeCell ref="AK2400:AL2400"/>
    <mergeCell ref="AC2401:AD2401"/>
    <mergeCell ref="AF2401:AH2401"/>
    <mergeCell ref="AK2401:AL2401"/>
    <mergeCell ref="AC2402:AD2402"/>
    <mergeCell ref="AF2402:AH2402"/>
    <mergeCell ref="AK2402:AL2402"/>
    <mergeCell ref="AC2403:AD2403"/>
    <mergeCell ref="AF2403:AH2403"/>
    <mergeCell ref="AK2403:AL2403"/>
    <mergeCell ref="AC2404:AD2404"/>
    <mergeCell ref="AF2404:AH2404"/>
    <mergeCell ref="AK2404:AL2404"/>
    <mergeCell ref="AC2405:AD2405"/>
    <mergeCell ref="AF2405:AH2405"/>
    <mergeCell ref="AK2405:AL2405"/>
    <mergeCell ref="AC2406:AD2406"/>
    <mergeCell ref="AF2406:AH2406"/>
    <mergeCell ref="AK2406:AL2406"/>
    <mergeCell ref="AC2407:AD2407"/>
    <mergeCell ref="AF2407:AH2407"/>
    <mergeCell ref="AK2407:AL2407"/>
    <mergeCell ref="AC2408:AD2408"/>
    <mergeCell ref="AF2408:AH2408"/>
    <mergeCell ref="AK2408:AL2408"/>
    <mergeCell ref="AC2409:AD2409"/>
    <mergeCell ref="AF2409:AH2409"/>
    <mergeCell ref="AK2409:AL2409"/>
    <mergeCell ref="AC2410:AD2410"/>
    <mergeCell ref="AF2410:AH2410"/>
    <mergeCell ref="AK2410:AL2410"/>
    <mergeCell ref="AC2411:AD2411"/>
    <mergeCell ref="AF2411:AH2411"/>
    <mergeCell ref="AK2411:AL2411"/>
    <mergeCell ref="AC2412:AD2412"/>
    <mergeCell ref="AF2412:AH2412"/>
    <mergeCell ref="AK2412:AL2412"/>
    <mergeCell ref="AC2413:AD2413"/>
    <mergeCell ref="AF2413:AH2413"/>
    <mergeCell ref="AK2413:AL2413"/>
    <mergeCell ref="AC2414:AD2414"/>
    <mergeCell ref="AF2414:AH2414"/>
    <mergeCell ref="AK2414:AL2414"/>
    <mergeCell ref="AC2415:AD2415"/>
    <mergeCell ref="AF2415:AH2415"/>
    <mergeCell ref="AK2415:AL2415"/>
    <mergeCell ref="AC2416:AD2416"/>
    <mergeCell ref="AF2416:AH2416"/>
    <mergeCell ref="AK2416:AL2416"/>
    <mergeCell ref="AC2417:AD2417"/>
    <mergeCell ref="AF2417:AH2417"/>
    <mergeCell ref="AK2417:AL2417"/>
    <mergeCell ref="AC2418:AD2418"/>
    <mergeCell ref="AF2418:AH2418"/>
    <mergeCell ref="AK2418:AL2418"/>
    <mergeCell ref="AC2419:AD2419"/>
    <mergeCell ref="AF2419:AH2419"/>
    <mergeCell ref="AK2419:AL2419"/>
    <mergeCell ref="AC2420:AD2420"/>
    <mergeCell ref="AF2420:AH2420"/>
    <mergeCell ref="AK2420:AL2420"/>
    <mergeCell ref="AC2421:AD2421"/>
    <mergeCell ref="AF2421:AH2421"/>
    <mergeCell ref="AK2421:AL2421"/>
    <mergeCell ref="AC2422:AD2422"/>
    <mergeCell ref="AF2422:AH2422"/>
    <mergeCell ref="AK2422:AL2422"/>
    <mergeCell ref="AC2423:AD2423"/>
    <mergeCell ref="AF2423:AH2423"/>
    <mergeCell ref="AK2423:AL2423"/>
    <mergeCell ref="AC2424:AD2424"/>
    <mergeCell ref="AF2424:AH2424"/>
    <mergeCell ref="AK2424:AL2424"/>
    <mergeCell ref="AC2425:AD2425"/>
    <mergeCell ref="AF2425:AH2425"/>
    <mergeCell ref="AK2425:AL2425"/>
    <mergeCell ref="AC2426:AD2426"/>
    <mergeCell ref="AF2426:AH2426"/>
    <mergeCell ref="AK2426:AL2426"/>
    <mergeCell ref="AC2427:AD2427"/>
    <mergeCell ref="AF2427:AH2427"/>
    <mergeCell ref="AK2427:AL2427"/>
    <mergeCell ref="AC2428:AD2428"/>
    <mergeCell ref="AF2428:AH2428"/>
    <mergeCell ref="AK2428:AL2428"/>
    <mergeCell ref="AC2429:AD2429"/>
    <mergeCell ref="AF2429:AH2429"/>
    <mergeCell ref="AK2429:AL2429"/>
    <mergeCell ref="AC2430:AD2430"/>
    <mergeCell ref="AF2430:AH2430"/>
    <mergeCell ref="AK2430:AL2430"/>
    <mergeCell ref="AC2431:AD2431"/>
    <mergeCell ref="AF2431:AH2431"/>
    <mergeCell ref="AK2431:AL2431"/>
    <mergeCell ref="AC2432:AD2432"/>
    <mergeCell ref="AF2432:AH2432"/>
    <mergeCell ref="AK2432:AL2432"/>
    <mergeCell ref="AC2433:AD2433"/>
    <mergeCell ref="AF2433:AH2433"/>
    <mergeCell ref="AK2433:AL2433"/>
    <mergeCell ref="AC2434:AD2434"/>
    <mergeCell ref="AF2434:AH2434"/>
    <mergeCell ref="AK2434:AL2434"/>
    <mergeCell ref="AC2435:AD2435"/>
    <mergeCell ref="AF2435:AH2435"/>
    <mergeCell ref="AK2435:AL2435"/>
    <mergeCell ref="AC2436:AD2436"/>
    <mergeCell ref="AF2436:AH2436"/>
    <mergeCell ref="AK2436:AL2436"/>
    <mergeCell ref="AC2437:AD2437"/>
    <mergeCell ref="AF2437:AH2437"/>
    <mergeCell ref="AK2437:AL2437"/>
    <mergeCell ref="AC2438:AD2438"/>
    <mergeCell ref="AF2438:AH2438"/>
    <mergeCell ref="AK2438:AL2438"/>
    <mergeCell ref="AC2439:AD2439"/>
    <mergeCell ref="AF2439:AH2439"/>
    <mergeCell ref="AK2439:AL2439"/>
    <mergeCell ref="AC2440:AD2440"/>
    <mergeCell ref="AF2440:AH2440"/>
    <mergeCell ref="AK2440:AL2440"/>
    <mergeCell ref="AC2441:AD2441"/>
    <mergeCell ref="AF2441:AH2441"/>
    <mergeCell ref="AK2441:AL2441"/>
    <mergeCell ref="AC2442:AD2442"/>
    <mergeCell ref="AF2442:AH2442"/>
    <mergeCell ref="AK2442:AL2442"/>
    <mergeCell ref="AC2443:AD2443"/>
    <mergeCell ref="AF2443:AH2443"/>
    <mergeCell ref="AK2443:AL2443"/>
    <mergeCell ref="AC2444:AD2444"/>
    <mergeCell ref="AF2444:AH2444"/>
    <mergeCell ref="AK2444:AL2444"/>
    <mergeCell ref="AC2445:AD2445"/>
    <mergeCell ref="AF2445:AH2445"/>
    <mergeCell ref="AK2445:AL2445"/>
    <mergeCell ref="AC2446:AD2446"/>
    <mergeCell ref="AF2446:AH2446"/>
    <mergeCell ref="AK2446:AL2446"/>
    <mergeCell ref="AC2447:AD2447"/>
    <mergeCell ref="AF2447:AH2447"/>
    <mergeCell ref="AK2447:AL2447"/>
    <mergeCell ref="AC2448:AD2448"/>
    <mergeCell ref="AF2448:AH2448"/>
    <mergeCell ref="AK2448:AL2448"/>
    <mergeCell ref="AC2449:AD2449"/>
    <mergeCell ref="AF2449:AH2449"/>
    <mergeCell ref="AK2449:AL2449"/>
    <mergeCell ref="AC2450:AD2450"/>
    <mergeCell ref="AF2450:AH2450"/>
    <mergeCell ref="AK2450:AL2450"/>
    <mergeCell ref="AC2451:AD2451"/>
    <mergeCell ref="AF2451:AH2451"/>
    <mergeCell ref="AK2451:AL2451"/>
    <mergeCell ref="AC2452:AD2452"/>
    <mergeCell ref="AF2452:AH2452"/>
    <mergeCell ref="AK2452:AL2452"/>
    <mergeCell ref="AC2453:AD2453"/>
    <mergeCell ref="AF2453:AH2453"/>
    <mergeCell ref="AK2453:AL2453"/>
    <mergeCell ref="AC2454:AD2454"/>
    <mergeCell ref="AF2454:AH2454"/>
    <mergeCell ref="AK2454:AL2454"/>
    <mergeCell ref="AC2455:AD2455"/>
    <mergeCell ref="AF2455:AH2455"/>
    <mergeCell ref="AK2455:AL2455"/>
    <mergeCell ref="AC2456:AD2456"/>
    <mergeCell ref="AF2456:AH2456"/>
    <mergeCell ref="AK2456:AL2456"/>
    <mergeCell ref="AC2457:AD2457"/>
    <mergeCell ref="AF2457:AH2457"/>
    <mergeCell ref="AK2457:AL2457"/>
    <mergeCell ref="AC2458:AD2458"/>
    <mergeCell ref="AF2458:AH2458"/>
    <mergeCell ref="AK2458:AL2458"/>
    <mergeCell ref="AC2459:AD2459"/>
    <mergeCell ref="AF2459:AH2459"/>
    <mergeCell ref="AK2459:AL2459"/>
    <mergeCell ref="AC2460:AD2460"/>
    <mergeCell ref="AF2460:AH2460"/>
    <mergeCell ref="AK2460:AL2460"/>
    <mergeCell ref="AC2461:AD2461"/>
    <mergeCell ref="AF2461:AH2461"/>
    <mergeCell ref="AK2461:AL2461"/>
    <mergeCell ref="AC2462:AD2462"/>
    <mergeCell ref="AF2462:AH2462"/>
    <mergeCell ref="AK2462:AL2462"/>
    <mergeCell ref="AC2463:AD2463"/>
    <mergeCell ref="AF2463:AH2463"/>
    <mergeCell ref="AK2463:AL2463"/>
    <mergeCell ref="AC2464:AD2464"/>
    <mergeCell ref="AF2464:AH2464"/>
    <mergeCell ref="AK2464:AL2464"/>
    <mergeCell ref="AC2465:AD2465"/>
    <mergeCell ref="AF2465:AH2465"/>
    <mergeCell ref="AK2465:AL2465"/>
    <mergeCell ref="AC2466:AD2466"/>
    <mergeCell ref="AF2466:AH2466"/>
    <mergeCell ref="AK2466:AL2466"/>
    <mergeCell ref="AC2467:AD2467"/>
    <mergeCell ref="AF2467:AH2467"/>
    <mergeCell ref="AK2467:AL2467"/>
    <mergeCell ref="AC2468:AD2468"/>
    <mergeCell ref="AF2468:AH2468"/>
    <mergeCell ref="AK2468:AL2468"/>
    <mergeCell ref="AC2469:AD2469"/>
    <mergeCell ref="AF2469:AH2469"/>
    <mergeCell ref="AK2469:AL2469"/>
    <mergeCell ref="AC2470:AD2470"/>
    <mergeCell ref="AF2470:AH2470"/>
    <mergeCell ref="AK2470:AL2470"/>
    <mergeCell ref="AC2471:AD2471"/>
    <mergeCell ref="AF2471:AH2471"/>
    <mergeCell ref="AK2471:AL2471"/>
    <mergeCell ref="AC2472:AD2472"/>
    <mergeCell ref="AF2472:AH2472"/>
    <mergeCell ref="AK2472:AL2472"/>
    <mergeCell ref="AC2473:AD2473"/>
    <mergeCell ref="AF2473:AH2473"/>
    <mergeCell ref="AK2473:AL2473"/>
    <mergeCell ref="AC2474:AD2474"/>
    <mergeCell ref="AF2474:AH2474"/>
    <mergeCell ref="AK2474:AL2474"/>
    <mergeCell ref="AC2475:AD2475"/>
    <mergeCell ref="AF2475:AH2475"/>
    <mergeCell ref="AK2475:AL2475"/>
    <mergeCell ref="AC2476:AD2476"/>
    <mergeCell ref="AF2476:AH2476"/>
    <mergeCell ref="AK2476:AL2476"/>
    <mergeCell ref="AC2477:AD2477"/>
    <mergeCell ref="AF2477:AH2477"/>
    <mergeCell ref="AK2477:AL2477"/>
    <mergeCell ref="AC2478:AD2478"/>
    <mergeCell ref="AF2478:AH2478"/>
    <mergeCell ref="AK2478:AL2478"/>
    <mergeCell ref="AC2479:AD2479"/>
    <mergeCell ref="AF2479:AH2479"/>
    <mergeCell ref="AK2479:AL2479"/>
    <mergeCell ref="AC2480:AD2480"/>
    <mergeCell ref="AF2480:AH2480"/>
    <mergeCell ref="AK2480:AL2480"/>
    <mergeCell ref="AC2481:AD2481"/>
    <mergeCell ref="AF2481:AH2481"/>
    <mergeCell ref="AK2481:AL2481"/>
    <mergeCell ref="AC2482:AD2482"/>
    <mergeCell ref="AF2482:AH2482"/>
    <mergeCell ref="AK2482:AL2482"/>
    <mergeCell ref="AC2483:AD2483"/>
    <mergeCell ref="AF2483:AH2483"/>
    <mergeCell ref="AK2483:AL2483"/>
    <mergeCell ref="AC2484:AD2484"/>
    <mergeCell ref="AF2484:AH2484"/>
    <mergeCell ref="AK2484:AL2484"/>
    <mergeCell ref="AC2485:AD2485"/>
    <mergeCell ref="AF2485:AH2485"/>
    <mergeCell ref="AK2485:AL2485"/>
    <mergeCell ref="AC2486:AD2486"/>
    <mergeCell ref="AF2486:AH2486"/>
    <mergeCell ref="AK2486:AL2486"/>
    <mergeCell ref="AC2487:AD2487"/>
    <mergeCell ref="AF2487:AH2487"/>
    <mergeCell ref="AK2487:AL2487"/>
    <mergeCell ref="AC2488:AD2488"/>
    <mergeCell ref="AF2488:AH2488"/>
    <mergeCell ref="AK2488:AL2488"/>
    <mergeCell ref="AC2489:AD2489"/>
    <mergeCell ref="AF2489:AH2489"/>
    <mergeCell ref="AK2489:AL2489"/>
    <mergeCell ref="AC2490:AD2490"/>
    <mergeCell ref="AF2490:AH2490"/>
    <mergeCell ref="AK2490:AL2490"/>
    <mergeCell ref="AC2491:AD2491"/>
    <mergeCell ref="AF2491:AH2491"/>
    <mergeCell ref="AK2491:AL2491"/>
    <mergeCell ref="AC2492:AD2492"/>
    <mergeCell ref="AF2492:AH2492"/>
    <mergeCell ref="AK2492:AL2492"/>
    <mergeCell ref="AC2493:AD2493"/>
    <mergeCell ref="AF2493:AH2493"/>
    <mergeCell ref="AK2493:AL2493"/>
    <mergeCell ref="AC2494:AD2494"/>
    <mergeCell ref="AF2494:AH2494"/>
    <mergeCell ref="AK2494:AL2494"/>
    <mergeCell ref="AC2495:AD2495"/>
    <mergeCell ref="AF2495:AH2495"/>
    <mergeCell ref="AK2495:AL2495"/>
    <mergeCell ref="AC2496:AD2496"/>
    <mergeCell ref="AF2496:AH2496"/>
    <mergeCell ref="AK2496:AL2496"/>
    <mergeCell ref="AC2497:AD2497"/>
    <mergeCell ref="AF2497:AH2497"/>
    <mergeCell ref="AK2497:AL2497"/>
    <mergeCell ref="AC2498:AD2498"/>
    <mergeCell ref="AF2498:AH2498"/>
    <mergeCell ref="AK2498:AL2498"/>
    <mergeCell ref="AC2499:AD2499"/>
    <mergeCell ref="AF2499:AH2499"/>
    <mergeCell ref="AK2499:AL2499"/>
    <mergeCell ref="AC2500:AD2500"/>
    <mergeCell ref="AF2500:AH2500"/>
    <mergeCell ref="AK2500:AL2500"/>
    <mergeCell ref="AC2501:AD2501"/>
    <mergeCell ref="AF2501:AH2501"/>
    <mergeCell ref="AK2501:AL2501"/>
    <mergeCell ref="AC2502:AD2502"/>
    <mergeCell ref="AF2502:AH2502"/>
    <mergeCell ref="AK2502:AL2502"/>
    <mergeCell ref="AC2503:AD2503"/>
    <mergeCell ref="AF2503:AH2503"/>
    <mergeCell ref="AK2503:AL2503"/>
    <mergeCell ref="AC2504:AD2504"/>
    <mergeCell ref="AF2504:AH2504"/>
    <mergeCell ref="AK2504:AL2504"/>
    <mergeCell ref="AC2505:AD2505"/>
    <mergeCell ref="AF2505:AH2505"/>
    <mergeCell ref="AK2505:AL2505"/>
    <mergeCell ref="AC2506:AD2506"/>
    <mergeCell ref="AF2506:AH2506"/>
    <mergeCell ref="AK2506:AL2506"/>
    <mergeCell ref="AC2507:AD2507"/>
    <mergeCell ref="AF2507:AH2507"/>
    <mergeCell ref="AK2507:AL2507"/>
    <mergeCell ref="AC2508:AD2508"/>
    <mergeCell ref="AF2508:AH2508"/>
    <mergeCell ref="AK2508:AL2508"/>
    <mergeCell ref="AC2509:AD2509"/>
    <mergeCell ref="AF2509:AH2509"/>
    <mergeCell ref="AK2509:AL2509"/>
    <mergeCell ref="AC2510:AD2510"/>
    <mergeCell ref="AF2510:AH2510"/>
    <mergeCell ref="AK2510:AL2510"/>
    <mergeCell ref="AC2511:AD2511"/>
    <mergeCell ref="AF2511:AH2511"/>
    <mergeCell ref="AK2511:AL2511"/>
    <mergeCell ref="AC2512:AD2512"/>
    <mergeCell ref="AF2512:AH2512"/>
    <mergeCell ref="AK2512:AL2512"/>
    <mergeCell ref="AC2513:AD2513"/>
    <mergeCell ref="AF2513:AH2513"/>
    <mergeCell ref="AK2513:AL2513"/>
    <mergeCell ref="AC2514:AD2514"/>
    <mergeCell ref="AF2514:AH2514"/>
    <mergeCell ref="AK2514:AL2514"/>
    <mergeCell ref="AC2515:AD2515"/>
    <mergeCell ref="AF2515:AH2515"/>
    <mergeCell ref="AK2515:AL2515"/>
    <mergeCell ref="AC2516:AD2516"/>
    <mergeCell ref="AF2516:AH2516"/>
    <mergeCell ref="AK2516:AL2516"/>
    <mergeCell ref="AC2517:AD2517"/>
    <mergeCell ref="AF2517:AH2517"/>
    <mergeCell ref="AK2517:AL2517"/>
    <mergeCell ref="AC2518:AD2518"/>
    <mergeCell ref="AF2518:AH2518"/>
    <mergeCell ref="AK2518:AL2518"/>
    <mergeCell ref="AC2519:AD2519"/>
    <mergeCell ref="AF2519:AH2519"/>
    <mergeCell ref="AK2519:AL2519"/>
    <mergeCell ref="AC2520:AD2520"/>
    <mergeCell ref="AF2520:AH2520"/>
    <mergeCell ref="AK2520:AL2520"/>
    <mergeCell ref="AC2521:AD2521"/>
    <mergeCell ref="AF2521:AH2521"/>
    <mergeCell ref="AK2521:AL2521"/>
    <mergeCell ref="AC2522:AD2522"/>
    <mergeCell ref="AF2522:AH2522"/>
    <mergeCell ref="AK2522:AL2522"/>
    <mergeCell ref="AC2523:AD2523"/>
    <mergeCell ref="AF2523:AH2523"/>
    <mergeCell ref="AK2523:AL2523"/>
    <mergeCell ref="AC2524:AD2524"/>
    <mergeCell ref="AF2524:AH2524"/>
    <mergeCell ref="AK2524:AL2524"/>
    <mergeCell ref="AC2525:AD2525"/>
    <mergeCell ref="AF2525:AH2525"/>
    <mergeCell ref="AK2525:AL2525"/>
    <mergeCell ref="AC2526:AD2526"/>
    <mergeCell ref="AF2526:AH2526"/>
    <mergeCell ref="AK2526:AL2526"/>
    <mergeCell ref="AC2527:AD2527"/>
    <mergeCell ref="AF2527:AH2527"/>
    <mergeCell ref="AK2527:AL2527"/>
    <mergeCell ref="AC2528:AD2528"/>
    <mergeCell ref="AF2528:AH2528"/>
    <mergeCell ref="AK2528:AL2528"/>
    <mergeCell ref="AC2529:AD2529"/>
    <mergeCell ref="AF2529:AH2529"/>
    <mergeCell ref="AK2529:AL2529"/>
    <mergeCell ref="AC2530:AD2530"/>
    <mergeCell ref="AF2530:AH2530"/>
    <mergeCell ref="AK2530:AL2530"/>
    <mergeCell ref="AC2531:AD2531"/>
    <mergeCell ref="AF2531:AH2531"/>
    <mergeCell ref="AK2531:AL2531"/>
    <mergeCell ref="AC2532:AD2532"/>
    <mergeCell ref="AF2532:AH2532"/>
    <mergeCell ref="AK2532:AL2532"/>
    <mergeCell ref="AC2533:AD2533"/>
    <mergeCell ref="AF2533:AH2533"/>
    <mergeCell ref="AK2533:AL2533"/>
    <mergeCell ref="AC2534:AD2534"/>
    <mergeCell ref="AF2534:AH2534"/>
    <mergeCell ref="AK2534:AL2534"/>
    <mergeCell ref="AC2535:AD2535"/>
    <mergeCell ref="AF2535:AH2535"/>
    <mergeCell ref="AK2535:AL2535"/>
    <mergeCell ref="AC2536:AD2536"/>
    <mergeCell ref="AF2536:AH2536"/>
    <mergeCell ref="AK2536:AL2536"/>
    <mergeCell ref="AC2537:AD2537"/>
    <mergeCell ref="AF2537:AH2537"/>
    <mergeCell ref="AK2537:AL2537"/>
    <mergeCell ref="AC2538:AD2538"/>
    <mergeCell ref="AF2538:AH2538"/>
    <mergeCell ref="AK2538:AL2538"/>
    <mergeCell ref="AC2539:AD2539"/>
    <mergeCell ref="AF2539:AH2539"/>
    <mergeCell ref="AK2539:AL2539"/>
    <mergeCell ref="AC2540:AD2540"/>
    <mergeCell ref="AF2540:AH2540"/>
    <mergeCell ref="AK2540:AL2540"/>
    <mergeCell ref="AC2541:AD2541"/>
    <mergeCell ref="AF2541:AH2541"/>
    <mergeCell ref="AK2541:AL2541"/>
    <mergeCell ref="AC2542:AD2542"/>
    <mergeCell ref="AF2542:AH2542"/>
    <mergeCell ref="AK2542:AL2542"/>
    <mergeCell ref="AC2543:AD2543"/>
    <mergeCell ref="AF2543:AH2543"/>
    <mergeCell ref="AK2543:AL2543"/>
    <mergeCell ref="AC2544:AD2544"/>
    <mergeCell ref="AF2544:AH2544"/>
    <mergeCell ref="AK2544:AL2544"/>
    <mergeCell ref="AC2545:AD2545"/>
    <mergeCell ref="AF2545:AH2545"/>
    <mergeCell ref="AK2545:AL2545"/>
    <mergeCell ref="AC2546:AD2546"/>
    <mergeCell ref="AF2546:AH2546"/>
    <mergeCell ref="AK2546:AL2546"/>
    <mergeCell ref="AC2547:AD2547"/>
    <mergeCell ref="AF2547:AH2547"/>
    <mergeCell ref="AK2547:AL2547"/>
    <mergeCell ref="AC2548:AD2548"/>
    <mergeCell ref="AF2548:AH2548"/>
    <mergeCell ref="AK2548:AL2548"/>
    <mergeCell ref="AC2549:AD2549"/>
    <mergeCell ref="AF2549:AH2549"/>
    <mergeCell ref="AK2549:AL2549"/>
    <mergeCell ref="AC2550:AD2550"/>
    <mergeCell ref="AF2550:AH2550"/>
    <mergeCell ref="AK2550:AL2550"/>
    <mergeCell ref="AC2551:AD2551"/>
    <mergeCell ref="AF2551:AH2551"/>
    <mergeCell ref="AK2551:AL2551"/>
    <mergeCell ref="AC2552:AD2552"/>
    <mergeCell ref="AF2552:AH2552"/>
    <mergeCell ref="AK2552:AL2552"/>
    <mergeCell ref="AC2553:AD2553"/>
    <mergeCell ref="AF2553:AH2553"/>
    <mergeCell ref="AK2553:AL2553"/>
    <mergeCell ref="AC2554:AD2554"/>
    <mergeCell ref="AF2554:AH2554"/>
    <mergeCell ref="AK2554:AL2554"/>
    <mergeCell ref="AC2555:AD2555"/>
    <mergeCell ref="AF2555:AH2555"/>
    <mergeCell ref="AK2555:AL2555"/>
    <mergeCell ref="AC2556:AD2556"/>
    <mergeCell ref="AF2556:AH2556"/>
    <mergeCell ref="AK2556:AL2556"/>
    <mergeCell ref="AC2557:AD2557"/>
    <mergeCell ref="AF2557:AH2557"/>
    <mergeCell ref="AK2557:AL2557"/>
    <mergeCell ref="AC2558:AD2558"/>
    <mergeCell ref="AF2558:AH2558"/>
    <mergeCell ref="AK2558:AL2558"/>
    <mergeCell ref="AC2559:AD2559"/>
    <mergeCell ref="AF2559:AH2559"/>
    <mergeCell ref="AK2559:AL2559"/>
    <mergeCell ref="AC2560:AD2560"/>
    <mergeCell ref="AF2560:AH2560"/>
    <mergeCell ref="AK2560:AL2560"/>
    <mergeCell ref="AC2561:AD2561"/>
    <mergeCell ref="AF2561:AH2561"/>
    <mergeCell ref="AK2561:AL2561"/>
    <mergeCell ref="AC2562:AD2562"/>
    <mergeCell ref="AF2562:AH2562"/>
    <mergeCell ref="AK2562:AL2562"/>
    <mergeCell ref="AC2563:AD2563"/>
    <mergeCell ref="AF2563:AH2563"/>
    <mergeCell ref="AK2563:AL2563"/>
    <mergeCell ref="AC2564:AD2564"/>
    <mergeCell ref="AF2564:AH2564"/>
    <mergeCell ref="AK2564:AL2564"/>
    <mergeCell ref="AC2565:AD2565"/>
    <mergeCell ref="AF2565:AH2565"/>
    <mergeCell ref="AK2565:AL2565"/>
    <mergeCell ref="AC2566:AD2566"/>
    <mergeCell ref="AF2566:AH2566"/>
    <mergeCell ref="AK2566:AL2566"/>
    <mergeCell ref="AC2567:AD2567"/>
    <mergeCell ref="AF2567:AH2567"/>
    <mergeCell ref="AK2567:AL2567"/>
    <mergeCell ref="AC2568:AD2568"/>
    <mergeCell ref="AF2568:AH2568"/>
    <mergeCell ref="AK2568:AL2568"/>
    <mergeCell ref="AC2569:AD2569"/>
    <mergeCell ref="AF2569:AH2569"/>
    <mergeCell ref="AK2569:AL2569"/>
    <mergeCell ref="AC2570:AD2570"/>
    <mergeCell ref="AF2570:AH2570"/>
    <mergeCell ref="AK2570:AL2570"/>
    <mergeCell ref="AC2571:AD2571"/>
    <mergeCell ref="AF2571:AH2571"/>
    <mergeCell ref="AK2571:AL2571"/>
    <mergeCell ref="AC2572:AD2572"/>
    <mergeCell ref="AF2572:AH2572"/>
    <mergeCell ref="AK2572:AL2572"/>
    <mergeCell ref="AC2573:AD2573"/>
    <mergeCell ref="AF2573:AH2573"/>
    <mergeCell ref="AK2573:AL2573"/>
    <mergeCell ref="AC2574:AD2574"/>
    <mergeCell ref="AF2574:AH2574"/>
    <mergeCell ref="AK2574:AL2574"/>
    <mergeCell ref="AC2575:AD2575"/>
    <mergeCell ref="AF2575:AH2575"/>
    <mergeCell ref="AK2575:AL2575"/>
    <mergeCell ref="AC2576:AD2576"/>
    <mergeCell ref="AF2576:AH2576"/>
    <mergeCell ref="AK2576:AL2576"/>
    <mergeCell ref="AC2577:AD2577"/>
    <mergeCell ref="AF2577:AH2577"/>
    <mergeCell ref="AK2577:AL2577"/>
    <mergeCell ref="AC2578:AD2578"/>
    <mergeCell ref="AF2578:AH2578"/>
    <mergeCell ref="AK2578:AL2578"/>
    <mergeCell ref="AC2579:AD2579"/>
    <mergeCell ref="AF2579:AH2579"/>
    <mergeCell ref="AK2579:AL2579"/>
    <mergeCell ref="AC2580:AD2580"/>
    <mergeCell ref="AF2580:AH2580"/>
    <mergeCell ref="AK2580:AL2580"/>
    <mergeCell ref="AC2581:AD2581"/>
    <mergeCell ref="AF2581:AH2581"/>
    <mergeCell ref="AK2581:AL2581"/>
    <mergeCell ref="AC2582:AD2582"/>
    <mergeCell ref="AF2582:AH2582"/>
    <mergeCell ref="AK2582:AL2582"/>
    <mergeCell ref="AC2583:AD2583"/>
    <mergeCell ref="AF2583:AH2583"/>
    <mergeCell ref="AK2583:AL2583"/>
    <mergeCell ref="AC2584:AD2584"/>
    <mergeCell ref="AF2584:AH2584"/>
    <mergeCell ref="AK2584:AL2584"/>
    <mergeCell ref="AC2585:AD2585"/>
    <mergeCell ref="AF2585:AH2585"/>
    <mergeCell ref="AK2585:AL2585"/>
    <mergeCell ref="AC2586:AD2586"/>
    <mergeCell ref="AF2586:AH2586"/>
    <mergeCell ref="AK2586:AL2586"/>
    <mergeCell ref="AC2587:AD2587"/>
    <mergeCell ref="AF2587:AH2587"/>
    <mergeCell ref="AK2587:AL2587"/>
    <mergeCell ref="AC2588:AD2588"/>
    <mergeCell ref="AF2588:AH2588"/>
    <mergeCell ref="AK2588:AL2588"/>
    <mergeCell ref="AC2589:AD2589"/>
    <mergeCell ref="AF2589:AH2589"/>
    <mergeCell ref="AK2589:AL2589"/>
    <mergeCell ref="AC2590:AD2590"/>
    <mergeCell ref="AF2590:AH2590"/>
    <mergeCell ref="AK2590:AL2590"/>
    <mergeCell ref="AC2591:AD2591"/>
    <mergeCell ref="AF2591:AH2591"/>
    <mergeCell ref="AK2591:AL2591"/>
    <mergeCell ref="AC2592:AD2592"/>
    <mergeCell ref="AF2592:AH2592"/>
    <mergeCell ref="AK2592:AL2592"/>
    <mergeCell ref="AC2593:AD2593"/>
    <mergeCell ref="AF2593:AH2593"/>
    <mergeCell ref="AK2593:AL2593"/>
    <mergeCell ref="AC2594:AD2594"/>
    <mergeCell ref="AF2594:AH2594"/>
    <mergeCell ref="AK2594:AL2594"/>
    <mergeCell ref="AC2595:AD2595"/>
    <mergeCell ref="AF2595:AH2595"/>
    <mergeCell ref="AK2595:AL2595"/>
    <mergeCell ref="AC2596:AD2596"/>
    <mergeCell ref="AF2596:AH2596"/>
    <mergeCell ref="AK2596:AL2596"/>
    <mergeCell ref="AC2597:AD2597"/>
    <mergeCell ref="AF2597:AH2597"/>
    <mergeCell ref="AK2597:AL2597"/>
    <mergeCell ref="AC2598:AD2598"/>
    <mergeCell ref="AF2598:AH2598"/>
    <mergeCell ref="AK2598:AL2598"/>
    <mergeCell ref="AC2599:AD2599"/>
    <mergeCell ref="AF2599:AH2599"/>
    <mergeCell ref="AK2599:AL2599"/>
    <mergeCell ref="AC2600:AD2600"/>
    <mergeCell ref="AF2600:AH2600"/>
    <mergeCell ref="AK2600:AL2600"/>
    <mergeCell ref="AC2601:AD2601"/>
    <mergeCell ref="AF2601:AH2601"/>
    <mergeCell ref="AK2601:AL2601"/>
    <mergeCell ref="AC2602:AD2602"/>
    <mergeCell ref="AF2602:AH2602"/>
    <mergeCell ref="AK2602:AL2602"/>
    <mergeCell ref="AC2603:AD2603"/>
    <mergeCell ref="AF2603:AH2603"/>
    <mergeCell ref="AK2603:AL2603"/>
    <mergeCell ref="AC2604:AD2604"/>
    <mergeCell ref="AF2604:AH2604"/>
    <mergeCell ref="AK2604:AL2604"/>
    <mergeCell ref="AC2605:AD2605"/>
    <mergeCell ref="AF2605:AH2605"/>
    <mergeCell ref="AK2605:AL2605"/>
    <mergeCell ref="AC2606:AD2606"/>
    <mergeCell ref="AF2606:AH2606"/>
    <mergeCell ref="AK2606:AL2606"/>
    <mergeCell ref="AC2607:AD2607"/>
    <mergeCell ref="AF2607:AH2607"/>
    <mergeCell ref="AK2607:AL2607"/>
    <mergeCell ref="AC2608:AD2608"/>
    <mergeCell ref="AF2608:AH2608"/>
    <mergeCell ref="AK2608:AL2608"/>
    <mergeCell ref="AC2609:AD2609"/>
    <mergeCell ref="AF2609:AH2609"/>
    <mergeCell ref="AK2609:AL2609"/>
    <mergeCell ref="AC2610:AD2610"/>
    <mergeCell ref="AF2610:AH2610"/>
    <mergeCell ref="AK2610:AL2610"/>
    <mergeCell ref="AC2611:AD2611"/>
    <mergeCell ref="AF2611:AH2611"/>
    <mergeCell ref="AK2611:AL2611"/>
    <mergeCell ref="AC2612:AD2612"/>
    <mergeCell ref="AF2612:AH2612"/>
    <mergeCell ref="AK2612:AL2612"/>
    <mergeCell ref="AC2613:AD2613"/>
    <mergeCell ref="AF2613:AH2613"/>
    <mergeCell ref="AK2613:AL2613"/>
    <mergeCell ref="AC2614:AD2614"/>
    <mergeCell ref="AF2614:AH2614"/>
    <mergeCell ref="AK2614:AL2614"/>
    <mergeCell ref="AC2615:AD2615"/>
    <mergeCell ref="AF2615:AH2615"/>
    <mergeCell ref="AK2615:AL2615"/>
    <mergeCell ref="AC2616:AD2616"/>
    <mergeCell ref="AF2616:AH2616"/>
    <mergeCell ref="AK2616:AL2616"/>
    <mergeCell ref="AC2617:AD2617"/>
    <mergeCell ref="AF2617:AH2617"/>
    <mergeCell ref="AK2617:AL2617"/>
    <mergeCell ref="AC2618:AD2618"/>
    <mergeCell ref="AF2618:AH2618"/>
    <mergeCell ref="AK2618:AL2618"/>
    <mergeCell ref="AC2619:AD2619"/>
    <mergeCell ref="AF2619:AH2619"/>
    <mergeCell ref="AK2619:AL2619"/>
    <mergeCell ref="AC2620:AD2620"/>
    <mergeCell ref="AF2620:AH2620"/>
    <mergeCell ref="AK2620:AL2620"/>
    <mergeCell ref="AC2621:AD2621"/>
    <mergeCell ref="AF2621:AH2621"/>
    <mergeCell ref="AK2621:AL2621"/>
    <mergeCell ref="AC2622:AD2622"/>
    <mergeCell ref="AF2622:AH2622"/>
    <mergeCell ref="AK2622:AL2622"/>
    <mergeCell ref="AC2623:AD2623"/>
    <mergeCell ref="AF2623:AH2623"/>
    <mergeCell ref="AK2623:AL2623"/>
    <mergeCell ref="AC2624:AD2624"/>
    <mergeCell ref="AF2624:AH2624"/>
    <mergeCell ref="AK2624:AL2624"/>
    <mergeCell ref="AC2625:AD2625"/>
    <mergeCell ref="AF2625:AH2625"/>
    <mergeCell ref="AK2625:AL2625"/>
    <mergeCell ref="AC2626:AD2626"/>
    <mergeCell ref="AF2626:AH2626"/>
    <mergeCell ref="AK2626:AL2626"/>
    <mergeCell ref="AC2627:AD2627"/>
    <mergeCell ref="AF2627:AH2627"/>
    <mergeCell ref="AK2627:AL2627"/>
    <mergeCell ref="AC2628:AD2628"/>
    <mergeCell ref="AF2628:AH2628"/>
    <mergeCell ref="AK2628:AL2628"/>
    <mergeCell ref="AC2629:AD2629"/>
    <mergeCell ref="AF2629:AH2629"/>
    <mergeCell ref="AK2629:AL2629"/>
    <mergeCell ref="AC2630:AD2630"/>
    <mergeCell ref="AF2630:AH2630"/>
    <mergeCell ref="AK2630:AL2630"/>
    <mergeCell ref="AC2631:AD2631"/>
    <mergeCell ref="AF2631:AH2631"/>
    <mergeCell ref="AK2631:AL2631"/>
    <mergeCell ref="AC2632:AD2632"/>
    <mergeCell ref="AF2632:AH2632"/>
    <mergeCell ref="AK2632:AL2632"/>
    <mergeCell ref="AC2633:AD2633"/>
    <mergeCell ref="AF2633:AH2633"/>
    <mergeCell ref="AK2633:AL2633"/>
    <mergeCell ref="AC2634:AD2634"/>
    <mergeCell ref="AF2634:AH2634"/>
    <mergeCell ref="AK2634:AL2634"/>
    <mergeCell ref="AC2635:AD2635"/>
    <mergeCell ref="AF2635:AH2635"/>
    <mergeCell ref="AK2635:AL2635"/>
    <mergeCell ref="AC2636:AD2636"/>
    <mergeCell ref="AF2636:AH2636"/>
    <mergeCell ref="AK2636:AL2636"/>
    <mergeCell ref="AC2637:AD2637"/>
    <mergeCell ref="AF2637:AH2637"/>
    <mergeCell ref="AK2637:AL2637"/>
    <mergeCell ref="AC2638:AD2638"/>
    <mergeCell ref="AF2638:AH2638"/>
    <mergeCell ref="AK2638:AL2638"/>
    <mergeCell ref="AC2639:AD2639"/>
    <mergeCell ref="AF2639:AH2639"/>
    <mergeCell ref="AK2639:AL2639"/>
    <mergeCell ref="AC2640:AD2640"/>
    <mergeCell ref="AF2640:AH2640"/>
    <mergeCell ref="AK2640:AL2640"/>
    <mergeCell ref="AC2641:AD2641"/>
    <mergeCell ref="AF2641:AH2641"/>
    <mergeCell ref="AK2641:AL2641"/>
    <mergeCell ref="AC2642:AD2642"/>
    <mergeCell ref="AF2642:AH2642"/>
    <mergeCell ref="AK2642:AL2642"/>
    <mergeCell ref="AC2643:AD2643"/>
    <mergeCell ref="AF2643:AH2643"/>
    <mergeCell ref="AK2643:AL2643"/>
    <mergeCell ref="AC2644:AD2644"/>
    <mergeCell ref="AF2644:AH2644"/>
    <mergeCell ref="AK2644:AL2644"/>
    <mergeCell ref="AC2645:AD2645"/>
    <mergeCell ref="AF2645:AH2645"/>
    <mergeCell ref="AK2645:AL2645"/>
    <mergeCell ref="AC2646:AD2646"/>
    <mergeCell ref="AF2646:AH2646"/>
    <mergeCell ref="AK2646:AL2646"/>
    <mergeCell ref="AC2647:AD2647"/>
    <mergeCell ref="AF2647:AH2647"/>
    <mergeCell ref="AK2647:AL2647"/>
    <mergeCell ref="AC2648:AD2648"/>
    <mergeCell ref="AF2648:AH2648"/>
    <mergeCell ref="AK2648:AL2648"/>
    <mergeCell ref="AC2649:AD2649"/>
    <mergeCell ref="AF2649:AH2649"/>
    <mergeCell ref="AK2649:AL2649"/>
    <mergeCell ref="AC2650:AD2650"/>
    <mergeCell ref="AF2650:AH2650"/>
    <mergeCell ref="AK2650:AL2650"/>
    <mergeCell ref="AC2651:AD2651"/>
    <mergeCell ref="AF2651:AH2651"/>
    <mergeCell ref="AK2651:AL2651"/>
    <mergeCell ref="AC2652:AD2652"/>
    <mergeCell ref="AF2652:AH2652"/>
    <mergeCell ref="AK2652:AL2652"/>
    <mergeCell ref="AC2653:AD2653"/>
    <mergeCell ref="AF2653:AH2653"/>
    <mergeCell ref="AK2653:AL2653"/>
    <mergeCell ref="AC2654:AD2654"/>
    <mergeCell ref="AF2654:AH2654"/>
    <mergeCell ref="AK2654:AL2654"/>
    <mergeCell ref="AC2655:AD2655"/>
    <mergeCell ref="AF2655:AH2655"/>
    <mergeCell ref="AK2655:AL2655"/>
    <mergeCell ref="AC2656:AD2656"/>
    <mergeCell ref="AF2656:AH2656"/>
    <mergeCell ref="AK2656:AL2656"/>
    <mergeCell ref="AC2657:AD2657"/>
    <mergeCell ref="AF2657:AH2657"/>
    <mergeCell ref="AK2657:AL2657"/>
    <mergeCell ref="AC2658:AD2658"/>
    <mergeCell ref="AF2658:AH2658"/>
    <mergeCell ref="AK2658:AL2658"/>
    <mergeCell ref="AC2659:AD2659"/>
    <mergeCell ref="AF2659:AH2659"/>
    <mergeCell ref="AK2659:AL2659"/>
    <mergeCell ref="AC2660:AD2660"/>
    <mergeCell ref="AF2660:AH2660"/>
    <mergeCell ref="AK2660:AL2660"/>
    <mergeCell ref="AC2661:AD2661"/>
    <mergeCell ref="AF2661:AH2661"/>
    <mergeCell ref="AK2661:AL2661"/>
    <mergeCell ref="AC2662:AD2662"/>
    <mergeCell ref="AF2662:AH2662"/>
    <mergeCell ref="AK2662:AL2662"/>
    <mergeCell ref="AC2663:AD2663"/>
    <mergeCell ref="AF2663:AH2663"/>
    <mergeCell ref="AK2663:AL2663"/>
    <mergeCell ref="AC2664:AD2664"/>
    <mergeCell ref="AF2664:AH2664"/>
    <mergeCell ref="AK2664:AL2664"/>
    <mergeCell ref="AC2665:AD2665"/>
    <mergeCell ref="AF2665:AH2665"/>
    <mergeCell ref="AK2665:AL2665"/>
    <mergeCell ref="AC2666:AD2666"/>
    <mergeCell ref="AF2666:AH2666"/>
    <mergeCell ref="AK2666:AL2666"/>
    <mergeCell ref="AC2667:AD2667"/>
    <mergeCell ref="AF2667:AH2667"/>
    <mergeCell ref="AK2667:AL2667"/>
    <mergeCell ref="AC2668:AD2668"/>
    <mergeCell ref="AF2668:AH2668"/>
    <mergeCell ref="AK2668:AL2668"/>
    <mergeCell ref="AC2669:AD2669"/>
    <mergeCell ref="AF2669:AH2669"/>
    <mergeCell ref="AK2669:AL2669"/>
    <mergeCell ref="AC2670:AD2670"/>
    <mergeCell ref="AF2670:AH2670"/>
    <mergeCell ref="AK2670:AL2670"/>
    <mergeCell ref="AC2671:AD2671"/>
    <mergeCell ref="AF2671:AH2671"/>
    <mergeCell ref="AK2671:AL2671"/>
    <mergeCell ref="AC2672:AD2672"/>
    <mergeCell ref="AF2672:AH2672"/>
    <mergeCell ref="AK2672:AL2672"/>
    <mergeCell ref="AC2673:AD2673"/>
    <mergeCell ref="AF2673:AH2673"/>
    <mergeCell ref="AK2673:AL2673"/>
    <mergeCell ref="AC2674:AD2674"/>
    <mergeCell ref="AF2674:AH2674"/>
    <mergeCell ref="AK2674:AL2674"/>
    <mergeCell ref="AC2675:AD2675"/>
    <mergeCell ref="AF2675:AH2675"/>
    <mergeCell ref="AK2675:AL2675"/>
    <mergeCell ref="AC2676:AD2676"/>
    <mergeCell ref="AF2676:AH2676"/>
    <mergeCell ref="AK2676:AL2676"/>
    <mergeCell ref="AC2677:AD2677"/>
    <mergeCell ref="AF2677:AH2677"/>
    <mergeCell ref="AK2677:AL2677"/>
    <mergeCell ref="AC2678:AD2678"/>
    <mergeCell ref="AF2678:AH2678"/>
    <mergeCell ref="AK2678:AL2678"/>
    <mergeCell ref="AC2679:AD2679"/>
    <mergeCell ref="AF2679:AH2679"/>
    <mergeCell ref="AK2679:AL2679"/>
    <mergeCell ref="AC2680:AD2680"/>
    <mergeCell ref="AF2680:AH2680"/>
    <mergeCell ref="AK2680:AL2680"/>
    <mergeCell ref="AC2681:AD2681"/>
    <mergeCell ref="AF2681:AH2681"/>
    <mergeCell ref="AK2681:AL2681"/>
    <mergeCell ref="AC2682:AD2682"/>
    <mergeCell ref="AF2682:AH2682"/>
    <mergeCell ref="AK2682:AL2682"/>
    <mergeCell ref="AC2683:AD2683"/>
    <mergeCell ref="AF2683:AH2683"/>
    <mergeCell ref="AK2683:AL2683"/>
    <mergeCell ref="AC2684:AD2684"/>
    <mergeCell ref="AF2684:AH2684"/>
    <mergeCell ref="AK2684:AL2684"/>
    <mergeCell ref="AC2685:AD2685"/>
    <mergeCell ref="AF2685:AH2685"/>
    <mergeCell ref="AK2685:AL2685"/>
    <mergeCell ref="AC2686:AD2686"/>
    <mergeCell ref="AF2686:AH2686"/>
    <mergeCell ref="AK2686:AL2686"/>
    <mergeCell ref="AC2687:AD2687"/>
    <mergeCell ref="AF2687:AH2687"/>
    <mergeCell ref="AK2687:AL2687"/>
    <mergeCell ref="AC2688:AD2688"/>
    <mergeCell ref="AF2688:AH2688"/>
    <mergeCell ref="AK2688:AL2688"/>
    <mergeCell ref="AC2689:AD2689"/>
    <mergeCell ref="AF2689:AH2689"/>
    <mergeCell ref="AK2689:AL2689"/>
    <mergeCell ref="AC2690:AD2690"/>
    <mergeCell ref="AF2690:AH2690"/>
    <mergeCell ref="AK2690:AL2690"/>
    <mergeCell ref="AC2691:AD2691"/>
    <mergeCell ref="AF2691:AH2691"/>
    <mergeCell ref="AK2691:AL2691"/>
    <mergeCell ref="AC2692:AD2692"/>
    <mergeCell ref="AF2692:AH2692"/>
    <mergeCell ref="AK2692:AL2692"/>
    <mergeCell ref="AC2693:AD2693"/>
    <mergeCell ref="AF2693:AH2693"/>
    <mergeCell ref="AK2693:AL2693"/>
    <mergeCell ref="AC2694:AD2694"/>
    <mergeCell ref="AF2694:AH2694"/>
    <mergeCell ref="AK2694:AL2694"/>
    <mergeCell ref="AC2695:AD2695"/>
    <mergeCell ref="AF2695:AH2695"/>
    <mergeCell ref="AK2695:AL2695"/>
    <mergeCell ref="AC2696:AD2696"/>
    <mergeCell ref="AF2696:AH2696"/>
    <mergeCell ref="AK2696:AL2696"/>
    <mergeCell ref="AC2697:AD2697"/>
    <mergeCell ref="AF2697:AH2697"/>
    <mergeCell ref="AK2697:AL2697"/>
    <mergeCell ref="AC2698:AD2698"/>
    <mergeCell ref="AF2698:AH2698"/>
    <mergeCell ref="AK2698:AL2698"/>
    <mergeCell ref="AC2699:AD2699"/>
    <mergeCell ref="AF2699:AH2699"/>
    <mergeCell ref="AK2699:AL2699"/>
    <mergeCell ref="AC2700:AD2700"/>
    <mergeCell ref="AF2700:AH2700"/>
    <mergeCell ref="AK2700:AL2700"/>
    <mergeCell ref="AC2701:AD2701"/>
    <mergeCell ref="AF2701:AH2701"/>
    <mergeCell ref="AK2701:AL2701"/>
    <mergeCell ref="AC2702:AD2702"/>
    <mergeCell ref="AF2702:AH2702"/>
    <mergeCell ref="AK2702:AL2702"/>
    <mergeCell ref="AC2703:AD2703"/>
    <mergeCell ref="AF2703:AH2703"/>
    <mergeCell ref="AK2703:AL2703"/>
    <mergeCell ref="AC2704:AD2704"/>
    <mergeCell ref="AF2704:AH2704"/>
    <mergeCell ref="AK2704:AL2704"/>
    <mergeCell ref="AC2705:AD2705"/>
    <mergeCell ref="AF2705:AH2705"/>
    <mergeCell ref="AK2705:AL2705"/>
    <mergeCell ref="AC2706:AD2706"/>
    <mergeCell ref="AF2706:AH2706"/>
    <mergeCell ref="AK2706:AL2706"/>
    <mergeCell ref="AC2707:AD2707"/>
    <mergeCell ref="AF2707:AH2707"/>
    <mergeCell ref="AK2707:AL2707"/>
    <mergeCell ref="AC2708:AD2708"/>
    <mergeCell ref="AF2708:AH2708"/>
    <mergeCell ref="AK2708:AL2708"/>
    <mergeCell ref="AC2709:AD2709"/>
    <mergeCell ref="AF2709:AH2709"/>
    <mergeCell ref="AK2709:AL2709"/>
    <mergeCell ref="AC2710:AD2710"/>
    <mergeCell ref="AF2710:AH2710"/>
    <mergeCell ref="AK2710:AL2710"/>
    <mergeCell ref="AC2711:AD2711"/>
    <mergeCell ref="AF2711:AH2711"/>
    <mergeCell ref="AK2711:AL2711"/>
    <mergeCell ref="AC2712:AD2712"/>
    <mergeCell ref="AF2712:AH2712"/>
    <mergeCell ref="AK2712:AL2712"/>
    <mergeCell ref="AC2713:AD2713"/>
    <mergeCell ref="AF2713:AH2713"/>
    <mergeCell ref="AK2713:AL2713"/>
    <mergeCell ref="AC2714:AD2714"/>
    <mergeCell ref="AF2714:AH2714"/>
    <mergeCell ref="AK2714:AL2714"/>
    <mergeCell ref="AC2715:AD2715"/>
    <mergeCell ref="AF2715:AH2715"/>
    <mergeCell ref="AK2715:AL2715"/>
    <mergeCell ref="AC2716:AD2716"/>
    <mergeCell ref="AF2716:AH2716"/>
    <mergeCell ref="AK2716:AL2716"/>
    <mergeCell ref="AC2717:AD2717"/>
    <mergeCell ref="AF2717:AH2717"/>
    <mergeCell ref="AK2717:AL2717"/>
    <mergeCell ref="AC2718:AD2718"/>
    <mergeCell ref="AF2718:AH2718"/>
    <mergeCell ref="AK2718:AL2718"/>
    <mergeCell ref="AC2719:AD2719"/>
    <mergeCell ref="AF2719:AH2719"/>
    <mergeCell ref="AK2719:AL2719"/>
    <mergeCell ref="AC2720:AD2720"/>
    <mergeCell ref="AF2720:AH2720"/>
    <mergeCell ref="AK2720:AL2720"/>
    <mergeCell ref="AC2721:AD2721"/>
    <mergeCell ref="AF2721:AH2721"/>
    <mergeCell ref="AK2721:AL2721"/>
    <mergeCell ref="AC2722:AD2722"/>
    <mergeCell ref="AF2722:AH2722"/>
    <mergeCell ref="AK2722:AL2722"/>
    <mergeCell ref="AC2723:AD2723"/>
    <mergeCell ref="AF2723:AH2723"/>
    <mergeCell ref="AK2723:AL2723"/>
    <mergeCell ref="AC2724:AD2724"/>
    <mergeCell ref="AF2724:AH2724"/>
    <mergeCell ref="AK2724:AL2724"/>
    <mergeCell ref="AC2725:AD2725"/>
    <mergeCell ref="AF2725:AH2725"/>
    <mergeCell ref="AK2725:AL2725"/>
    <mergeCell ref="AC2726:AD2726"/>
    <mergeCell ref="AF2726:AH2726"/>
    <mergeCell ref="AK2726:AL2726"/>
    <mergeCell ref="AC2727:AD2727"/>
    <mergeCell ref="AF2727:AH2727"/>
    <mergeCell ref="AK2727:AL2727"/>
    <mergeCell ref="AC2728:AD2728"/>
    <mergeCell ref="AF2728:AH2728"/>
    <mergeCell ref="AK2728:AL2728"/>
    <mergeCell ref="AC2729:AD2729"/>
    <mergeCell ref="AF2729:AH2729"/>
    <mergeCell ref="AK2729:AL2729"/>
    <mergeCell ref="AC2730:AD2730"/>
    <mergeCell ref="AF2730:AH2730"/>
    <mergeCell ref="AK2730:AL2730"/>
    <mergeCell ref="AC2731:AD2731"/>
    <mergeCell ref="AF2731:AH2731"/>
    <mergeCell ref="AK2731:AL2731"/>
    <mergeCell ref="AC2732:AD2732"/>
    <mergeCell ref="AF2732:AH2732"/>
    <mergeCell ref="AK2732:AL2732"/>
    <mergeCell ref="AC2733:AD2733"/>
    <mergeCell ref="AF2733:AH2733"/>
    <mergeCell ref="AK2733:AL2733"/>
    <mergeCell ref="AC2734:AD2734"/>
    <mergeCell ref="AF2734:AH2734"/>
    <mergeCell ref="AK2734:AL2734"/>
    <mergeCell ref="AC2735:AD2735"/>
    <mergeCell ref="AF2735:AH2735"/>
    <mergeCell ref="AK2735:AL2735"/>
    <mergeCell ref="AC2736:AD2736"/>
    <mergeCell ref="AF2736:AH2736"/>
    <mergeCell ref="AK2736:AL2736"/>
    <mergeCell ref="AC2737:AD2737"/>
    <mergeCell ref="AF2737:AH2737"/>
    <mergeCell ref="AK2737:AL2737"/>
    <mergeCell ref="AC2738:AD2738"/>
    <mergeCell ref="AF2738:AH2738"/>
    <mergeCell ref="AK2738:AL2738"/>
    <mergeCell ref="AC2739:AD2739"/>
    <mergeCell ref="AF2739:AH2739"/>
    <mergeCell ref="AK2739:AL2739"/>
    <mergeCell ref="AC2740:AD2740"/>
    <mergeCell ref="AF2740:AH2740"/>
    <mergeCell ref="AK2740:AL2740"/>
    <mergeCell ref="AC2741:AD2741"/>
    <mergeCell ref="AF2741:AH2741"/>
    <mergeCell ref="AK2741:AL2741"/>
    <mergeCell ref="AC2742:AD2742"/>
    <mergeCell ref="AF2742:AH2742"/>
    <mergeCell ref="AK2742:AL2742"/>
    <mergeCell ref="AC2743:AD2743"/>
    <mergeCell ref="AF2743:AH2743"/>
    <mergeCell ref="AK2743:AL2743"/>
    <mergeCell ref="AC2744:AD2744"/>
    <mergeCell ref="AF2744:AH2744"/>
    <mergeCell ref="AK2744:AL2744"/>
    <mergeCell ref="AC2745:AD2745"/>
    <mergeCell ref="AF2745:AH2745"/>
    <mergeCell ref="AK2745:AL2745"/>
    <mergeCell ref="AC2746:AD2746"/>
    <mergeCell ref="AF2746:AH2746"/>
    <mergeCell ref="AK2746:AL2746"/>
    <mergeCell ref="AC2747:AD2747"/>
    <mergeCell ref="AF2747:AH2747"/>
    <mergeCell ref="AK2747:AL2747"/>
    <mergeCell ref="AC2748:AD2748"/>
    <mergeCell ref="AF2748:AH2748"/>
    <mergeCell ref="AK2748:AL2748"/>
    <mergeCell ref="AC2749:AD2749"/>
    <mergeCell ref="AF2749:AH2749"/>
    <mergeCell ref="AK2749:AL2749"/>
    <mergeCell ref="AC2750:AD2750"/>
    <mergeCell ref="AF2750:AH2750"/>
    <mergeCell ref="AK2750:AL2750"/>
    <mergeCell ref="AC2751:AD2751"/>
    <mergeCell ref="AF2751:AH2751"/>
    <mergeCell ref="AK2751:AL2751"/>
    <mergeCell ref="AC2752:AD2752"/>
    <mergeCell ref="AF2752:AH2752"/>
    <mergeCell ref="AK2752:AL2752"/>
    <mergeCell ref="AC2753:AD2753"/>
    <mergeCell ref="AF2753:AH2753"/>
    <mergeCell ref="AK2753:AL2753"/>
    <mergeCell ref="AC2754:AD2754"/>
    <mergeCell ref="AF2754:AH2754"/>
    <mergeCell ref="AK2754:AL2754"/>
    <mergeCell ref="AC2755:AD2755"/>
    <mergeCell ref="AF2755:AH2755"/>
    <mergeCell ref="AK2755:AL2755"/>
    <mergeCell ref="AC2756:AD2756"/>
    <mergeCell ref="AF2756:AH2756"/>
    <mergeCell ref="AK2756:AL2756"/>
    <mergeCell ref="AC2757:AD2757"/>
    <mergeCell ref="AF2757:AH2757"/>
    <mergeCell ref="AK2757:AL2757"/>
    <mergeCell ref="AC2758:AD2758"/>
    <mergeCell ref="AF2758:AH2758"/>
    <mergeCell ref="AK2758:AL2758"/>
    <mergeCell ref="AC2759:AD2759"/>
    <mergeCell ref="AF2759:AH2759"/>
    <mergeCell ref="AK2759:AL2759"/>
    <mergeCell ref="AC2760:AD2760"/>
    <mergeCell ref="AF2760:AH2760"/>
    <mergeCell ref="AK2760:AL2760"/>
    <mergeCell ref="AC2761:AD2761"/>
    <mergeCell ref="AF2761:AH2761"/>
    <mergeCell ref="AK2761:AL2761"/>
    <mergeCell ref="AC2762:AD2762"/>
    <mergeCell ref="AF2762:AH2762"/>
    <mergeCell ref="AK2762:AL2762"/>
    <mergeCell ref="AC2763:AD2763"/>
    <mergeCell ref="AF2763:AH2763"/>
    <mergeCell ref="AK2763:AL2763"/>
    <mergeCell ref="AC2764:AD2764"/>
    <mergeCell ref="AF2764:AH2764"/>
    <mergeCell ref="AK2764:AL2764"/>
    <mergeCell ref="AC2765:AD2765"/>
    <mergeCell ref="AF2765:AH2765"/>
    <mergeCell ref="AK2765:AL2765"/>
    <mergeCell ref="AC2766:AD2766"/>
    <mergeCell ref="AF2766:AH2766"/>
    <mergeCell ref="AK2766:AL2766"/>
    <mergeCell ref="AC2767:AD2767"/>
    <mergeCell ref="AF2767:AH2767"/>
    <mergeCell ref="AK2767:AL2767"/>
    <mergeCell ref="AC2768:AD2768"/>
    <mergeCell ref="AF2768:AH2768"/>
    <mergeCell ref="AK2768:AL2768"/>
    <mergeCell ref="AC2769:AD2769"/>
    <mergeCell ref="AF2769:AH2769"/>
    <mergeCell ref="AK2769:AL2769"/>
    <mergeCell ref="AC2770:AD2770"/>
    <mergeCell ref="AF2770:AH2770"/>
    <mergeCell ref="AK2770:AL2770"/>
    <mergeCell ref="AC2771:AD2771"/>
    <mergeCell ref="AF2771:AH2771"/>
    <mergeCell ref="AK2771:AL2771"/>
    <mergeCell ref="AC2772:AD2772"/>
    <mergeCell ref="AF2772:AH2772"/>
    <mergeCell ref="AK2772:AL2772"/>
    <mergeCell ref="AC2773:AD2773"/>
    <mergeCell ref="AF2773:AH2773"/>
    <mergeCell ref="AK2773:AL2773"/>
    <mergeCell ref="AC2774:AD2774"/>
    <mergeCell ref="AF2774:AH2774"/>
    <mergeCell ref="AK2774:AL2774"/>
    <mergeCell ref="AC2775:AD2775"/>
    <mergeCell ref="AF2775:AH2775"/>
    <mergeCell ref="AK2775:AL2775"/>
    <mergeCell ref="AC2776:AD2776"/>
    <mergeCell ref="AF2776:AH2776"/>
    <mergeCell ref="AK2776:AL2776"/>
    <mergeCell ref="AC2777:AD2777"/>
    <mergeCell ref="AF2777:AH2777"/>
    <mergeCell ref="AK2777:AL2777"/>
    <mergeCell ref="AC2778:AD2778"/>
    <mergeCell ref="AF2778:AH2778"/>
    <mergeCell ref="AK2778:AL2778"/>
    <mergeCell ref="AC2779:AD2779"/>
    <mergeCell ref="AF2779:AH2779"/>
    <mergeCell ref="AK2779:AL2779"/>
    <mergeCell ref="AC2780:AD2780"/>
    <mergeCell ref="AF2780:AH2780"/>
    <mergeCell ref="AK2780:AL2780"/>
    <mergeCell ref="AC2781:AD2781"/>
    <mergeCell ref="AF2781:AH2781"/>
    <mergeCell ref="AK2781:AL2781"/>
    <mergeCell ref="AC2782:AD2782"/>
    <mergeCell ref="AF2782:AH2782"/>
    <mergeCell ref="AK2782:AL2782"/>
    <mergeCell ref="AC2783:AD2783"/>
    <mergeCell ref="AF2783:AH2783"/>
    <mergeCell ref="AK2783:AL2783"/>
    <mergeCell ref="AC2784:AD2784"/>
    <mergeCell ref="AF2784:AH2784"/>
    <mergeCell ref="AK2784:AL2784"/>
    <mergeCell ref="AC2785:AD2785"/>
    <mergeCell ref="AF2785:AH2785"/>
    <mergeCell ref="AK2785:AL2785"/>
    <mergeCell ref="AC2786:AD2786"/>
    <mergeCell ref="AF2786:AH2786"/>
    <mergeCell ref="AK2786:AL2786"/>
    <mergeCell ref="AC2787:AD2787"/>
    <mergeCell ref="AF2787:AH2787"/>
    <mergeCell ref="AK2787:AL2787"/>
    <mergeCell ref="AC2788:AD2788"/>
    <mergeCell ref="AF2788:AH2788"/>
    <mergeCell ref="AK2788:AL2788"/>
    <mergeCell ref="AC2789:AD2789"/>
    <mergeCell ref="AF2789:AH2789"/>
    <mergeCell ref="AK2789:AL2789"/>
    <mergeCell ref="AC2790:AD2790"/>
    <mergeCell ref="AF2790:AH2790"/>
    <mergeCell ref="AK2790:AL2790"/>
    <mergeCell ref="AC2791:AD2791"/>
    <mergeCell ref="AF2791:AH2791"/>
    <mergeCell ref="AK2791:AL2791"/>
    <mergeCell ref="AC2792:AD2792"/>
    <mergeCell ref="AF2792:AH2792"/>
    <mergeCell ref="AK2792:AL2792"/>
    <mergeCell ref="AC2793:AD2793"/>
    <mergeCell ref="AF2793:AH2793"/>
    <mergeCell ref="AK2793:AL2793"/>
    <mergeCell ref="AC2794:AD2794"/>
    <mergeCell ref="AF2794:AH2794"/>
    <mergeCell ref="AK2794:AL2794"/>
    <mergeCell ref="AC2795:AD2795"/>
    <mergeCell ref="AF2795:AH2795"/>
    <mergeCell ref="AK2795:AL2795"/>
    <mergeCell ref="AC2796:AD2796"/>
    <mergeCell ref="AF2796:AH2796"/>
    <mergeCell ref="AK2796:AL2796"/>
    <mergeCell ref="AC2797:AD2797"/>
    <mergeCell ref="AF2797:AH2797"/>
    <mergeCell ref="AK2797:AL2797"/>
    <mergeCell ref="AC2798:AD2798"/>
    <mergeCell ref="AF2798:AH2798"/>
    <mergeCell ref="AK2798:AL2798"/>
    <mergeCell ref="AC2799:AD2799"/>
    <mergeCell ref="AF2799:AH2799"/>
    <mergeCell ref="AK2799:AL2799"/>
    <mergeCell ref="AC2800:AD2800"/>
    <mergeCell ref="AF2800:AH2800"/>
    <mergeCell ref="AK2800:AL2800"/>
    <mergeCell ref="AC2801:AD2801"/>
    <mergeCell ref="AF2801:AH2801"/>
    <mergeCell ref="AK2801:AL2801"/>
    <mergeCell ref="AC2802:AD2802"/>
    <mergeCell ref="AF2802:AH2802"/>
    <mergeCell ref="AK2802:AL2802"/>
    <mergeCell ref="AC2803:AD2803"/>
    <mergeCell ref="AF2803:AH2803"/>
    <mergeCell ref="AK2803:AL2803"/>
    <mergeCell ref="AC2804:AD2804"/>
    <mergeCell ref="AF2804:AH2804"/>
    <mergeCell ref="AK2804:AL2804"/>
    <mergeCell ref="AC2805:AD2805"/>
    <mergeCell ref="AF2805:AH2805"/>
    <mergeCell ref="AK2805:AL2805"/>
    <mergeCell ref="AC2806:AD2806"/>
    <mergeCell ref="AF2806:AH2806"/>
    <mergeCell ref="AK2806:AL2806"/>
    <mergeCell ref="AC2807:AD2807"/>
    <mergeCell ref="AF2807:AH2807"/>
    <mergeCell ref="AK2807:AL2807"/>
    <mergeCell ref="AC2808:AD2808"/>
    <mergeCell ref="AF2808:AH2808"/>
    <mergeCell ref="AK2808:AL2808"/>
    <mergeCell ref="AC2809:AD2809"/>
    <mergeCell ref="AF2809:AH2809"/>
    <mergeCell ref="AK2809:AL2809"/>
    <mergeCell ref="AC2810:AD2810"/>
    <mergeCell ref="AF2810:AH2810"/>
    <mergeCell ref="AK2810:AL2810"/>
    <mergeCell ref="AC2811:AD2811"/>
    <mergeCell ref="AF2811:AH2811"/>
    <mergeCell ref="AK2811:AL2811"/>
    <mergeCell ref="AC2812:AD2812"/>
    <mergeCell ref="AF2812:AH2812"/>
    <mergeCell ref="AK2812:AL2812"/>
    <mergeCell ref="AC2813:AD2813"/>
    <mergeCell ref="AF2813:AH2813"/>
    <mergeCell ref="AK2813:AL2813"/>
    <mergeCell ref="AC2814:AD2814"/>
    <mergeCell ref="AF2814:AH2814"/>
    <mergeCell ref="AK2814:AL2814"/>
    <mergeCell ref="AC2815:AD2815"/>
    <mergeCell ref="AF2815:AH2815"/>
    <mergeCell ref="AK2815:AL2815"/>
    <mergeCell ref="AC2816:AD2816"/>
    <mergeCell ref="AF2816:AH2816"/>
    <mergeCell ref="AK2816:AL2816"/>
    <mergeCell ref="AC2817:AD2817"/>
    <mergeCell ref="AF2817:AH2817"/>
    <mergeCell ref="AK2817:AL2817"/>
    <mergeCell ref="AC2818:AD2818"/>
    <mergeCell ref="AF2818:AH2818"/>
    <mergeCell ref="AK2818:AL2818"/>
    <mergeCell ref="AC2819:AD2819"/>
    <mergeCell ref="AF2819:AH2819"/>
    <mergeCell ref="AK2819:AL2819"/>
    <mergeCell ref="AC2820:AD2820"/>
    <mergeCell ref="AF2820:AH2820"/>
    <mergeCell ref="AK2820:AL2820"/>
    <mergeCell ref="AC2821:AD2821"/>
    <mergeCell ref="AF2821:AH2821"/>
    <mergeCell ref="AK2821:AL2821"/>
    <mergeCell ref="AC2822:AD2822"/>
    <mergeCell ref="AF2822:AH2822"/>
    <mergeCell ref="AK2822:AL2822"/>
    <mergeCell ref="AC2823:AD2823"/>
    <mergeCell ref="AF2823:AH2823"/>
    <mergeCell ref="AK2823:AL2823"/>
    <mergeCell ref="AC2824:AD2824"/>
    <mergeCell ref="AF2824:AH2824"/>
    <mergeCell ref="AK2824:AL2824"/>
    <mergeCell ref="AC2825:AD2825"/>
    <mergeCell ref="AF2825:AH2825"/>
    <mergeCell ref="AK2825:AL2825"/>
    <mergeCell ref="AC2826:AD2826"/>
    <mergeCell ref="AF2826:AH2826"/>
    <mergeCell ref="AK2826:AL2826"/>
    <mergeCell ref="AC2827:AD2827"/>
    <mergeCell ref="AF2827:AH2827"/>
    <mergeCell ref="AK2827:AL2827"/>
    <mergeCell ref="AC2828:AD2828"/>
    <mergeCell ref="AF2828:AH2828"/>
    <mergeCell ref="AK2828:AL2828"/>
    <mergeCell ref="AC2829:AD2829"/>
    <mergeCell ref="AF2829:AH2829"/>
    <mergeCell ref="AK2829:AL2829"/>
    <mergeCell ref="AC2830:AD2830"/>
    <mergeCell ref="AF2830:AH2830"/>
    <mergeCell ref="AK2830:AL2830"/>
    <mergeCell ref="AC2831:AD2831"/>
    <mergeCell ref="AF2831:AH2831"/>
    <mergeCell ref="AK2831:AL2831"/>
    <mergeCell ref="AC2832:AD2832"/>
    <mergeCell ref="AF2832:AH2832"/>
    <mergeCell ref="AK2832:AL2832"/>
    <mergeCell ref="AC2833:AD2833"/>
    <mergeCell ref="AF2833:AH2833"/>
    <mergeCell ref="AK2833:AL2833"/>
    <mergeCell ref="AC2834:AD2834"/>
    <mergeCell ref="AF2834:AH2834"/>
    <mergeCell ref="AK2834:AL2834"/>
    <mergeCell ref="AC2835:AD2835"/>
    <mergeCell ref="AF2835:AH2835"/>
    <mergeCell ref="AK2835:AL2835"/>
    <mergeCell ref="AC2836:AD2836"/>
    <mergeCell ref="AF2836:AH2836"/>
    <mergeCell ref="AK2836:AL2836"/>
    <mergeCell ref="AC2837:AD2837"/>
    <mergeCell ref="AF2837:AH2837"/>
    <mergeCell ref="AK2837:AL2837"/>
    <mergeCell ref="AC2838:AD2838"/>
    <mergeCell ref="AF2838:AH2838"/>
    <mergeCell ref="AK2838:AL2838"/>
    <mergeCell ref="AC2839:AD2839"/>
    <mergeCell ref="AF2839:AH2839"/>
    <mergeCell ref="AK2839:AL2839"/>
    <mergeCell ref="AC2840:AD2840"/>
    <mergeCell ref="AF2840:AH2840"/>
    <mergeCell ref="AK2840:AL2840"/>
    <mergeCell ref="AC2841:AD2841"/>
    <mergeCell ref="AF2841:AH2841"/>
    <mergeCell ref="AK2841:AL2841"/>
    <mergeCell ref="AC2842:AD2842"/>
    <mergeCell ref="AF2842:AH2842"/>
    <mergeCell ref="AK2842:AL2842"/>
    <mergeCell ref="AC2843:AD2843"/>
    <mergeCell ref="AF2843:AH2843"/>
    <mergeCell ref="AK2843:AL2843"/>
    <mergeCell ref="AC2844:AD2844"/>
    <mergeCell ref="AF2844:AH2844"/>
    <mergeCell ref="AK2844:AL2844"/>
    <mergeCell ref="AC2845:AD2845"/>
    <mergeCell ref="AF2845:AH2845"/>
    <mergeCell ref="AK2845:AL2845"/>
    <mergeCell ref="AC2846:AD2846"/>
    <mergeCell ref="AF2846:AH2846"/>
    <mergeCell ref="AK2846:AL2846"/>
    <mergeCell ref="AC2847:AD2847"/>
    <mergeCell ref="AF2847:AH2847"/>
    <mergeCell ref="AK2847:AL2847"/>
    <mergeCell ref="AC2848:AD2848"/>
    <mergeCell ref="AF2848:AH2848"/>
    <mergeCell ref="AK2848:AL2848"/>
    <mergeCell ref="AC2849:AD2849"/>
    <mergeCell ref="AF2849:AH2849"/>
    <mergeCell ref="AK2849:AL2849"/>
    <mergeCell ref="AC2850:AD2850"/>
    <mergeCell ref="AF2850:AH2850"/>
    <mergeCell ref="AK2850:AL2850"/>
    <mergeCell ref="AC2851:AD2851"/>
    <mergeCell ref="AF2851:AH2851"/>
    <mergeCell ref="AK2851:AL2851"/>
    <mergeCell ref="AC2852:AD2852"/>
    <mergeCell ref="AF2852:AH2852"/>
    <mergeCell ref="AK2852:AL2852"/>
    <mergeCell ref="AC2853:AD2853"/>
    <mergeCell ref="AF2853:AH2853"/>
    <mergeCell ref="AK2853:AL2853"/>
    <mergeCell ref="AC2854:AD2854"/>
    <mergeCell ref="AF2854:AH2854"/>
    <mergeCell ref="AK2854:AL2854"/>
    <mergeCell ref="AC2855:AD2855"/>
    <mergeCell ref="AF2855:AH2855"/>
    <mergeCell ref="AK2855:AL2855"/>
    <mergeCell ref="AC2856:AD2856"/>
    <mergeCell ref="AF2856:AH2856"/>
    <mergeCell ref="AK2856:AL2856"/>
    <mergeCell ref="AC2857:AD2857"/>
    <mergeCell ref="AF2857:AH2857"/>
    <mergeCell ref="AK2857:AL2857"/>
    <mergeCell ref="AC2858:AD2858"/>
    <mergeCell ref="AF2858:AH2858"/>
    <mergeCell ref="AK2858:AL2858"/>
    <mergeCell ref="AC2862:AD2862"/>
    <mergeCell ref="AF2862:AH2862"/>
    <mergeCell ref="AK2862:AL2862"/>
    <mergeCell ref="AC2863:AD2863"/>
    <mergeCell ref="AF2863:AH2863"/>
    <mergeCell ref="AK2863:AL2863"/>
    <mergeCell ref="AF2860:AH2860"/>
    <mergeCell ref="AK2860:AL2860"/>
    <mergeCell ref="AC2861:AD2861"/>
    <mergeCell ref="AF2861:AH2861"/>
    <mergeCell ref="AK2861:AL2861"/>
    <mergeCell ref="AC2859:AD2859"/>
    <mergeCell ref="AF2859:AH2859"/>
    <mergeCell ref="AK2859:AL2859"/>
    <mergeCell ref="AC2860:AD2860"/>
    <mergeCell ref="AC2864:AD2864"/>
    <mergeCell ref="AF2864:AH2864"/>
    <mergeCell ref="AK2864:AL2864"/>
    <mergeCell ref="AC2865:AD2865"/>
    <mergeCell ref="AF2865:AH2865"/>
    <mergeCell ref="AK2865:AL2865"/>
    <mergeCell ref="AC2866:AD2866"/>
    <mergeCell ref="AF2866:AH2866"/>
    <mergeCell ref="AK2866:AL2866"/>
    <mergeCell ref="AC2867:AD2867"/>
    <mergeCell ref="AF2867:AH2867"/>
    <mergeCell ref="AK2867:AL2867"/>
    <mergeCell ref="AC2868:AD2868"/>
    <mergeCell ref="AF2868:AH2868"/>
    <mergeCell ref="AK2868:AL2868"/>
    <mergeCell ref="AC2869:AD2869"/>
    <mergeCell ref="AF2869:AH2869"/>
    <mergeCell ref="AK2869:AL2869"/>
    <mergeCell ref="AC2870:AD2870"/>
    <mergeCell ref="AF2870:AH2870"/>
    <mergeCell ref="AK2870:AL2870"/>
    <mergeCell ref="AC2871:AD2871"/>
    <mergeCell ref="AF2871:AH2871"/>
    <mergeCell ref="AK2871:AL2871"/>
    <mergeCell ref="AC2872:AD2872"/>
    <mergeCell ref="AF2872:AH2872"/>
    <mergeCell ref="AK2872:AL2872"/>
    <mergeCell ref="AC2873:AD2873"/>
    <mergeCell ref="AF2873:AH2873"/>
    <mergeCell ref="AK2873:AL2873"/>
    <mergeCell ref="AC2874:AD2874"/>
    <mergeCell ref="AF2874:AH2874"/>
    <mergeCell ref="AK2874:AL2874"/>
    <mergeCell ref="AC2875:AD2875"/>
    <mergeCell ref="AF2875:AH2875"/>
    <mergeCell ref="AK2875:AL2875"/>
    <mergeCell ref="AC2876:AD2876"/>
    <mergeCell ref="AF2876:AH2876"/>
    <mergeCell ref="AK2876:AL2876"/>
    <mergeCell ref="AC2877:AD2877"/>
    <mergeCell ref="AF2877:AH2877"/>
    <mergeCell ref="AK2877:AL2877"/>
    <mergeCell ref="AC2878:AD2878"/>
    <mergeCell ref="AF2878:AH2878"/>
    <mergeCell ref="AK2878:AL2878"/>
    <mergeCell ref="AC2879:AD2879"/>
    <mergeCell ref="AF2879:AH2879"/>
    <mergeCell ref="AK2879:AL2879"/>
    <mergeCell ref="AC2880:AD2880"/>
    <mergeCell ref="AF2880:AH2880"/>
    <mergeCell ref="AK2880:AL2880"/>
    <mergeCell ref="AC2881:AD2881"/>
    <mergeCell ref="AF2881:AH2881"/>
    <mergeCell ref="AK2881:AL2881"/>
    <mergeCell ref="AC2882:AD2882"/>
    <mergeCell ref="AF2882:AH2882"/>
    <mergeCell ref="AK2882:AL2882"/>
    <mergeCell ref="AC2883:AD2883"/>
    <mergeCell ref="AF2883:AH2883"/>
    <mergeCell ref="AK2883:AL2883"/>
    <mergeCell ref="AC2884:AD2884"/>
    <mergeCell ref="AF2884:AH2884"/>
    <mergeCell ref="AK2884:AL2884"/>
    <mergeCell ref="AC2885:AD2885"/>
    <mergeCell ref="AF2885:AH2885"/>
    <mergeCell ref="AK2885:AL2885"/>
    <mergeCell ref="AC2886:AD2886"/>
    <mergeCell ref="AF2886:AH2886"/>
    <mergeCell ref="AK2886:AL2886"/>
    <mergeCell ref="AC2887:AD2887"/>
    <mergeCell ref="AF2887:AH2887"/>
    <mergeCell ref="AK2887:AL2887"/>
    <mergeCell ref="AC2888:AD2888"/>
    <mergeCell ref="AF2888:AH2888"/>
    <mergeCell ref="AK2888:AL2888"/>
    <mergeCell ref="AC2889:AD2889"/>
    <mergeCell ref="AF2889:AH2889"/>
    <mergeCell ref="AK2889:AL2889"/>
    <mergeCell ref="AC2890:AD2890"/>
    <mergeCell ref="AF2890:AH2890"/>
    <mergeCell ref="AK2890:AL2890"/>
    <mergeCell ref="AC2891:AD2891"/>
    <mergeCell ref="AF2891:AH2891"/>
    <mergeCell ref="AK2891:AL2891"/>
    <mergeCell ref="AC2892:AD2892"/>
    <mergeCell ref="AF2892:AH2892"/>
    <mergeCell ref="AK2892:AL2892"/>
    <mergeCell ref="AC2893:AD2893"/>
    <mergeCell ref="AF2893:AH2893"/>
    <mergeCell ref="AK2893:AL2893"/>
    <mergeCell ref="AC2894:AD2894"/>
    <mergeCell ref="AF2894:AH2894"/>
    <mergeCell ref="AK2894:AL2894"/>
    <mergeCell ref="AC2895:AD2895"/>
    <mergeCell ref="AF2895:AH2895"/>
    <mergeCell ref="AK2895:AL2895"/>
    <mergeCell ref="AC2896:AD2896"/>
    <mergeCell ref="AF2896:AH2896"/>
    <mergeCell ref="AK2896:AL2896"/>
    <mergeCell ref="AC2897:AD2897"/>
    <mergeCell ref="AF2897:AH2897"/>
    <mergeCell ref="AK2897:AL2897"/>
    <mergeCell ref="AC2898:AD2898"/>
    <mergeCell ref="AF2898:AH2898"/>
    <mergeCell ref="AK2898:AL2898"/>
    <mergeCell ref="AC2899:AD2899"/>
    <mergeCell ref="AF2899:AH2899"/>
    <mergeCell ref="AK2899:AL2899"/>
    <mergeCell ref="AC2900:AD2900"/>
    <mergeCell ref="AF2900:AH2900"/>
    <mergeCell ref="AK2900:AL2900"/>
    <mergeCell ref="AC2901:AD2901"/>
    <mergeCell ref="AF2901:AH2901"/>
    <mergeCell ref="AK2901:AL2901"/>
    <mergeCell ref="AC2902:AD2902"/>
    <mergeCell ref="AF2902:AH2902"/>
    <mergeCell ref="AK2902:AL2902"/>
    <mergeCell ref="AC2903:AD2903"/>
    <mergeCell ref="AF2903:AH2903"/>
    <mergeCell ref="AK2903:AL2903"/>
    <mergeCell ref="AC2904:AD2904"/>
    <mergeCell ref="AF2904:AH2904"/>
    <mergeCell ref="AK2904:AL2904"/>
    <mergeCell ref="AC2905:AD2905"/>
    <mergeCell ref="AF2905:AH2905"/>
    <mergeCell ref="AK2905:AL2905"/>
    <mergeCell ref="AC2906:AD2906"/>
    <mergeCell ref="AF2906:AH2906"/>
    <mergeCell ref="AK2906:AL2906"/>
    <mergeCell ref="AC2907:AD2907"/>
    <mergeCell ref="AF2907:AH2907"/>
    <mergeCell ref="AK2907:AL2907"/>
    <mergeCell ref="AC2908:AD2908"/>
    <mergeCell ref="AF2908:AH2908"/>
    <mergeCell ref="AK2908:AL2908"/>
    <mergeCell ref="AC2909:AD2909"/>
    <mergeCell ref="AF2909:AH2909"/>
    <mergeCell ref="AK2909:AL2909"/>
    <mergeCell ref="AC2910:AD2910"/>
    <mergeCell ref="AF2910:AH2910"/>
    <mergeCell ref="AK2910:AL2910"/>
    <mergeCell ref="AC2911:AD2911"/>
    <mergeCell ref="AF2911:AH2911"/>
    <mergeCell ref="AK2911:AL2911"/>
    <mergeCell ref="AC2912:AD2912"/>
    <mergeCell ref="AF2912:AH2912"/>
    <mergeCell ref="AK2912:AL2912"/>
    <mergeCell ref="AC2913:AD2913"/>
    <mergeCell ref="AF2913:AH2913"/>
    <mergeCell ref="AK2913:AL2913"/>
    <mergeCell ref="AC2914:AD2914"/>
    <mergeCell ref="AF2914:AH2914"/>
    <mergeCell ref="AK2914:AL2914"/>
    <mergeCell ref="AC2915:AD2915"/>
    <mergeCell ref="AF2915:AH2915"/>
    <mergeCell ref="AK2915:AL2915"/>
    <mergeCell ref="AC2916:AD2916"/>
    <mergeCell ref="AF2916:AH2916"/>
    <mergeCell ref="AK2916:AL2916"/>
    <mergeCell ref="AC2917:AD2917"/>
    <mergeCell ref="AF2917:AH2917"/>
    <mergeCell ref="AK2917:AL2917"/>
    <mergeCell ref="AC2918:AD2918"/>
    <mergeCell ref="AF2918:AH2918"/>
    <mergeCell ref="AK2918:AL2918"/>
    <mergeCell ref="AC2919:AD2919"/>
    <mergeCell ref="AF2919:AH2919"/>
    <mergeCell ref="AK2919:AL2919"/>
    <mergeCell ref="AC2920:AD2920"/>
    <mergeCell ref="AF2920:AH2920"/>
    <mergeCell ref="AK2920:AL2920"/>
    <mergeCell ref="AC2921:AD2921"/>
    <mergeCell ref="AF2921:AH2921"/>
    <mergeCell ref="AK2921:AL2921"/>
    <mergeCell ref="AC2922:AD2922"/>
    <mergeCell ref="AF2922:AH2922"/>
    <mergeCell ref="AK2922:AL2922"/>
    <mergeCell ref="AC2923:AD2923"/>
    <mergeCell ref="AF2923:AH2923"/>
    <mergeCell ref="AK2923:AL2923"/>
    <mergeCell ref="AC2924:AD2924"/>
    <mergeCell ref="AF2924:AH2924"/>
    <mergeCell ref="AK2924:AL2924"/>
    <mergeCell ref="AC2925:AD2925"/>
    <mergeCell ref="AF2925:AH2925"/>
    <mergeCell ref="AK2925:AL2925"/>
    <mergeCell ref="AC2926:AD2926"/>
    <mergeCell ref="AF2926:AH2926"/>
    <mergeCell ref="AK2926:AL2926"/>
    <mergeCell ref="AC2927:AD2927"/>
    <mergeCell ref="AF2927:AH2927"/>
    <mergeCell ref="AK2927:AL2927"/>
    <mergeCell ref="AC2928:AD2928"/>
    <mergeCell ref="AF2928:AH2928"/>
    <mergeCell ref="AK2928:AL2928"/>
    <mergeCell ref="AC2929:AD2929"/>
    <mergeCell ref="AF2929:AH2929"/>
    <mergeCell ref="AK2929:AL2929"/>
    <mergeCell ref="AC2930:AD2930"/>
    <mergeCell ref="AF2930:AH2930"/>
    <mergeCell ref="AK2930:AL2930"/>
    <mergeCell ref="AC2931:AD2931"/>
    <mergeCell ref="AF2931:AH2931"/>
    <mergeCell ref="AK2931:AL2931"/>
    <mergeCell ref="AC2932:AD2932"/>
    <mergeCell ref="AF2932:AH2932"/>
    <mergeCell ref="AK2932:AL2932"/>
    <mergeCell ref="AC2933:AD2933"/>
    <mergeCell ref="AF2933:AH2933"/>
    <mergeCell ref="AK2933:AL2933"/>
    <mergeCell ref="AC2934:AD2934"/>
    <mergeCell ref="AF2934:AH2934"/>
    <mergeCell ref="AK2934:AL2934"/>
    <mergeCell ref="AC2935:AD2935"/>
    <mergeCell ref="AF2935:AH2935"/>
    <mergeCell ref="AK2935:AL2935"/>
    <mergeCell ref="AC2936:AD2936"/>
    <mergeCell ref="AF2936:AH2936"/>
    <mergeCell ref="AK2936:AL2936"/>
    <mergeCell ref="AC2937:AD2937"/>
    <mergeCell ref="AF2937:AH2937"/>
    <mergeCell ref="AK2937:AL2937"/>
    <mergeCell ref="AC2938:AD2938"/>
    <mergeCell ref="AF2938:AH2938"/>
    <mergeCell ref="AK2938:AL2938"/>
    <mergeCell ref="AC2939:AD2939"/>
    <mergeCell ref="AF2939:AH2939"/>
    <mergeCell ref="AK2939:AL2939"/>
    <mergeCell ref="AC2940:AD2940"/>
    <mergeCell ref="AF2940:AH2940"/>
    <mergeCell ref="AK2940:AL2940"/>
    <mergeCell ref="AC2941:AD2941"/>
    <mergeCell ref="AF2941:AH2941"/>
    <mergeCell ref="AK2941:AL2941"/>
    <mergeCell ref="AC2942:AD2942"/>
    <mergeCell ref="AF2942:AH2942"/>
    <mergeCell ref="AK2942:AL2942"/>
    <mergeCell ref="AC2943:AD2943"/>
    <mergeCell ref="AF2943:AH2943"/>
    <mergeCell ref="AK2943:AL2943"/>
    <mergeCell ref="AC2944:AD2944"/>
    <mergeCell ref="AF2944:AH2944"/>
    <mergeCell ref="AK2944:AL2944"/>
    <mergeCell ref="AC2945:AD2945"/>
    <mergeCell ref="AF2945:AH2945"/>
    <mergeCell ref="AK2945:AL2945"/>
    <mergeCell ref="AC2946:AD2946"/>
    <mergeCell ref="AF2946:AH2946"/>
    <mergeCell ref="AK2946:AL2946"/>
    <mergeCell ref="AC2947:AD2947"/>
    <mergeCell ref="AF2947:AH2947"/>
    <mergeCell ref="AK2947:AL2947"/>
    <mergeCell ref="AC2948:AD2948"/>
    <mergeCell ref="AF2948:AH2948"/>
    <mergeCell ref="AK2948:AL2948"/>
    <mergeCell ref="AC2949:AD2949"/>
    <mergeCell ref="AF2949:AH2949"/>
    <mergeCell ref="AK2949:AL2949"/>
    <mergeCell ref="AC2950:AD2950"/>
    <mergeCell ref="AF2950:AH2950"/>
    <mergeCell ref="AK2950:AL2950"/>
    <mergeCell ref="AC2951:AD2951"/>
    <mergeCell ref="AF2951:AH2951"/>
    <mergeCell ref="AK2951:AL2951"/>
    <mergeCell ref="AC2952:AD2952"/>
    <mergeCell ref="AF2952:AH2952"/>
    <mergeCell ref="AK2952:AL2952"/>
    <mergeCell ref="AC2953:AD2953"/>
    <mergeCell ref="AF2953:AH2953"/>
    <mergeCell ref="AK2953:AL2953"/>
    <mergeCell ref="AC2954:AD2954"/>
    <mergeCell ref="AF2954:AH2954"/>
    <mergeCell ref="AK2954:AL2954"/>
    <mergeCell ref="AC2955:AD2955"/>
    <mergeCell ref="AF2955:AH2955"/>
    <mergeCell ref="AK2955:AL2955"/>
    <mergeCell ref="AC2956:AD2956"/>
    <mergeCell ref="AF2956:AH2956"/>
    <mergeCell ref="AK2956:AL2956"/>
    <mergeCell ref="AC2957:AD2957"/>
    <mergeCell ref="AF2957:AH2957"/>
    <mergeCell ref="AK2957:AL2957"/>
    <mergeCell ref="AC2958:AD2958"/>
    <mergeCell ref="AF2958:AH2958"/>
    <mergeCell ref="AK2958:AL2958"/>
    <mergeCell ref="AC2959:AD2959"/>
    <mergeCell ref="AF2959:AH2959"/>
    <mergeCell ref="AK2959:AL2959"/>
    <mergeCell ref="AC2960:AD2960"/>
    <mergeCell ref="AF2960:AH2960"/>
    <mergeCell ref="AK2960:AL2960"/>
    <mergeCell ref="AC2961:AD2961"/>
    <mergeCell ref="AF2961:AH2961"/>
    <mergeCell ref="AK2961:AL2961"/>
    <mergeCell ref="AC2962:AD2962"/>
    <mergeCell ref="AF2962:AH2962"/>
    <mergeCell ref="AK2962:AL2962"/>
    <mergeCell ref="AC2963:AD2963"/>
    <mergeCell ref="AF2963:AH2963"/>
    <mergeCell ref="AK2963:AL2963"/>
    <mergeCell ref="AC2964:AD2964"/>
    <mergeCell ref="AF2964:AH2964"/>
    <mergeCell ref="AK2964:AL2964"/>
    <mergeCell ref="AC2965:AD2965"/>
    <mergeCell ref="AF2965:AH2965"/>
    <mergeCell ref="AK2965:AL2965"/>
    <mergeCell ref="AC2966:AD2966"/>
    <mergeCell ref="AF2966:AH2966"/>
    <mergeCell ref="AK2966:AL2966"/>
    <mergeCell ref="AC2967:AD2967"/>
    <mergeCell ref="AF2967:AH2967"/>
    <mergeCell ref="AK2967:AL2967"/>
    <mergeCell ref="AC2968:AD2968"/>
    <mergeCell ref="AF2968:AH2968"/>
    <mergeCell ref="AK2968:AL2968"/>
    <mergeCell ref="AC2969:AD2969"/>
    <mergeCell ref="AF2969:AH2969"/>
    <mergeCell ref="AK2969:AL2969"/>
    <mergeCell ref="AC2970:AD2970"/>
    <mergeCell ref="AF2970:AH2970"/>
    <mergeCell ref="AK2970:AL2970"/>
    <mergeCell ref="AC2971:AD2971"/>
    <mergeCell ref="AF2971:AH2971"/>
    <mergeCell ref="AK2971:AL2971"/>
    <mergeCell ref="AC2972:AD2972"/>
    <mergeCell ref="AF2972:AH2972"/>
    <mergeCell ref="AK2972:AL2972"/>
    <mergeCell ref="AC2973:AD2973"/>
    <mergeCell ref="AF2973:AH2973"/>
    <mergeCell ref="AK2973:AL2973"/>
    <mergeCell ref="AC2974:AD2974"/>
    <mergeCell ref="AF2974:AH2974"/>
    <mergeCell ref="AK2974:AL2974"/>
    <mergeCell ref="AC2975:AD2975"/>
    <mergeCell ref="AF2975:AH2975"/>
    <mergeCell ref="AK2975:AL2975"/>
    <mergeCell ref="AC2976:AD2976"/>
    <mergeCell ref="AF2976:AH2976"/>
    <mergeCell ref="AK2976:AL2976"/>
    <mergeCell ref="AC2977:AD2977"/>
    <mergeCell ref="AF2977:AH2977"/>
    <mergeCell ref="AK2977:AL2977"/>
    <mergeCell ref="AC2978:AD2978"/>
    <mergeCell ref="AF2978:AH2978"/>
    <mergeCell ref="AK2978:AL2978"/>
    <mergeCell ref="AC2979:AD2979"/>
    <mergeCell ref="AF2979:AH2979"/>
    <mergeCell ref="AK2979:AL2979"/>
    <mergeCell ref="AC2980:AD2980"/>
    <mergeCell ref="AF2980:AH2980"/>
    <mergeCell ref="AK2980:AL2980"/>
    <mergeCell ref="AC2981:AD2981"/>
    <mergeCell ref="AF2981:AH2981"/>
    <mergeCell ref="AK2981:AL2981"/>
    <mergeCell ref="AC2982:AD2982"/>
    <mergeCell ref="AF2982:AH2982"/>
    <mergeCell ref="AK2982:AL2982"/>
    <mergeCell ref="AC2983:AD2983"/>
    <mergeCell ref="AF2983:AH2983"/>
    <mergeCell ref="AK2983:AL2983"/>
    <mergeCell ref="AC2984:AD2984"/>
    <mergeCell ref="AF2984:AH2984"/>
    <mergeCell ref="AK2984:AL2984"/>
    <mergeCell ref="AC2985:AD2985"/>
    <mergeCell ref="AF2985:AH2985"/>
    <mergeCell ref="AK2985:AL2985"/>
    <mergeCell ref="AC2986:AD2986"/>
    <mergeCell ref="AF2986:AH2986"/>
    <mergeCell ref="AK2986:AL2986"/>
    <mergeCell ref="AC2987:AD2987"/>
    <mergeCell ref="AF2987:AH2987"/>
    <mergeCell ref="AK2987:AL2987"/>
    <mergeCell ref="AC2988:AD2988"/>
    <mergeCell ref="AF2988:AH2988"/>
    <mergeCell ref="AK2988:AL2988"/>
    <mergeCell ref="AC2989:AD2989"/>
    <mergeCell ref="AF2989:AH2989"/>
    <mergeCell ref="AK2989:AL2989"/>
    <mergeCell ref="AC2990:AD2990"/>
    <mergeCell ref="AF2990:AH2990"/>
    <mergeCell ref="AK2990:AL2990"/>
    <mergeCell ref="AC2991:AD2991"/>
    <mergeCell ref="AF2991:AH2991"/>
    <mergeCell ref="AK2991:AL2991"/>
    <mergeCell ref="AC2992:AD2992"/>
    <mergeCell ref="AF2992:AH2992"/>
    <mergeCell ref="AK2992:AL2992"/>
    <mergeCell ref="AC2993:AD2993"/>
    <mergeCell ref="AF2993:AH2993"/>
    <mergeCell ref="AK2993:AL2993"/>
    <mergeCell ref="AC2994:AD2994"/>
    <mergeCell ref="AF2994:AH2994"/>
    <mergeCell ref="AK2994:AL2994"/>
    <mergeCell ref="AC2995:AD2995"/>
    <mergeCell ref="AF2995:AH2995"/>
    <mergeCell ref="AK2995:AL2995"/>
    <mergeCell ref="AC2996:AD2996"/>
    <mergeCell ref="AF2996:AH2996"/>
    <mergeCell ref="AK2996:AL2996"/>
    <mergeCell ref="AC2997:AD2997"/>
    <mergeCell ref="AF2997:AH2997"/>
    <mergeCell ref="AK2997:AL2997"/>
    <mergeCell ref="AC2998:AD2998"/>
    <mergeCell ref="AF2998:AH2998"/>
    <mergeCell ref="AK2998:AL2998"/>
    <mergeCell ref="AC2999:AD2999"/>
    <mergeCell ref="AF2999:AH2999"/>
    <mergeCell ref="AK2999:AL2999"/>
    <mergeCell ref="AC3000:AD3000"/>
    <mergeCell ref="AF3000:AH3000"/>
    <mergeCell ref="AK3000:AL3000"/>
    <mergeCell ref="AC3001:AD3001"/>
    <mergeCell ref="AF3001:AH3001"/>
    <mergeCell ref="AK3001:AL3001"/>
    <mergeCell ref="AC3002:AD3002"/>
    <mergeCell ref="AF3002:AH3002"/>
    <mergeCell ref="AK3002:AL3002"/>
    <mergeCell ref="AC3003:AD3003"/>
    <mergeCell ref="AF3003:AH3003"/>
    <mergeCell ref="AK3003:AL3003"/>
    <mergeCell ref="AC3004:AD3004"/>
    <mergeCell ref="AF3004:AH3004"/>
    <mergeCell ref="AK3004:AL3004"/>
    <mergeCell ref="AC3005:AD3005"/>
    <mergeCell ref="AF3005:AH3005"/>
    <mergeCell ref="AK3005:AL3005"/>
    <mergeCell ref="AC3006:AD3006"/>
    <mergeCell ref="AF3006:AH3006"/>
    <mergeCell ref="AK3006:AL3006"/>
    <mergeCell ref="AC3018:AD3018"/>
    <mergeCell ref="AF3018:AH3018"/>
    <mergeCell ref="AK3018:AL3018"/>
    <mergeCell ref="AC3019:AD3019"/>
    <mergeCell ref="AF3019:AH3019"/>
    <mergeCell ref="AK3019:AL3019"/>
    <mergeCell ref="AC3020:AD3020"/>
    <mergeCell ref="AF3020:AH3020"/>
    <mergeCell ref="AK3020:AL3020"/>
    <mergeCell ref="AC3021:AD3021"/>
    <mergeCell ref="AF3021:AH3021"/>
    <mergeCell ref="AK3021:AL3021"/>
    <mergeCell ref="AC3022:AD3022"/>
    <mergeCell ref="AF3022:AH3022"/>
    <mergeCell ref="AK3022:AL3022"/>
    <mergeCell ref="AC3023:AD3023"/>
    <mergeCell ref="AF3023:AH3023"/>
    <mergeCell ref="AK3023:AL3023"/>
    <mergeCell ref="AC3024:AD3024"/>
    <mergeCell ref="AF3024:AH3024"/>
    <mergeCell ref="AK3024:AL3024"/>
    <mergeCell ref="AC3025:AD3025"/>
    <mergeCell ref="AF3025:AH3025"/>
    <mergeCell ref="AK3025:AL3025"/>
    <mergeCell ref="AC3026:AD3026"/>
    <mergeCell ref="AF3026:AH3026"/>
    <mergeCell ref="AK3026:AL3026"/>
    <mergeCell ref="AC3027:AD3027"/>
    <mergeCell ref="AF3027:AH3027"/>
    <mergeCell ref="AK3027:AL3027"/>
    <mergeCell ref="AC3007:AD3007"/>
    <mergeCell ref="AF3007:AH3007"/>
    <mergeCell ref="AK3007:AL3007"/>
    <mergeCell ref="AC3008:AD3008"/>
    <mergeCell ref="AF3008:AH3008"/>
    <mergeCell ref="AK3008:AL3008"/>
    <mergeCell ref="AC3009:AD3009"/>
    <mergeCell ref="AF3009:AH3009"/>
    <mergeCell ref="AK3009:AL3009"/>
    <mergeCell ref="AC3010:AD3010"/>
    <mergeCell ref="AF3010:AH3010"/>
    <mergeCell ref="AK3010:AL3010"/>
    <mergeCell ref="AC3011:AD3011"/>
    <mergeCell ref="AF3011:AH3011"/>
    <mergeCell ref="AK3011:AL3011"/>
    <mergeCell ref="AC3012:AD3012"/>
    <mergeCell ref="AF3012:AH3012"/>
    <mergeCell ref="AK3012:AL3012"/>
    <mergeCell ref="AC3013:AD3013"/>
    <mergeCell ref="AF3013:AH3013"/>
    <mergeCell ref="AK3013:AL3013"/>
    <mergeCell ref="AC3014:AD3014"/>
    <mergeCell ref="AF3014:AH3014"/>
    <mergeCell ref="AK3014:AL3014"/>
    <mergeCell ref="AC3015:AD3015"/>
    <mergeCell ref="AF3015:AH3015"/>
    <mergeCell ref="AK3015:AL3015"/>
    <mergeCell ref="AC3016:AD3016"/>
    <mergeCell ref="AF3016:AH3016"/>
    <mergeCell ref="AK3016:AL3016"/>
    <mergeCell ref="AC3017:AD3017"/>
    <mergeCell ref="AF3017:AH3017"/>
    <mergeCell ref="AK3017:AL3017"/>
    <mergeCell ref="K686:L686"/>
    <mergeCell ref="K620:L620"/>
    <mergeCell ref="K625:L625"/>
    <mergeCell ref="K629:L629"/>
    <mergeCell ref="K635:L635"/>
    <mergeCell ref="K1063:L1063"/>
    <mergeCell ref="K1067:L1067"/>
    <mergeCell ref="K1071:L1071"/>
    <mergeCell ref="K1077:L1077"/>
    <mergeCell ref="K1083:L1083"/>
    <mergeCell ref="K1154:L1154"/>
    <mergeCell ref="K1152:L1152"/>
    <mergeCell ref="K1153:L1153"/>
    <mergeCell ref="K1168:L1168"/>
    <mergeCell ref="K1172:L1172"/>
    <mergeCell ref="K1173:L1173"/>
    <mergeCell ref="K1178:L1178"/>
    <mergeCell ref="K1179:L1179"/>
    <mergeCell ref="K1187:L1187"/>
    <mergeCell ref="K1264:L1264"/>
    <mergeCell ref="K1267:L1267"/>
    <mergeCell ref="K1149:L1149"/>
    <mergeCell ref="K1256:L1256"/>
    <mergeCell ref="K1226:L1226"/>
    <mergeCell ref="K1131:L1131"/>
    <mergeCell ref="K1123:L1123"/>
    <mergeCell ref="K1127:L1127"/>
    <mergeCell ref="K1132:L1132"/>
    <mergeCell ref="K1135:L1135"/>
    <mergeCell ref="K1139:L1139"/>
    <mergeCell ref="K1142:L1142"/>
    <mergeCell ref="K1157:L1157"/>
    <mergeCell ref="K1174:L1174"/>
    <mergeCell ref="K1175:L1175"/>
    <mergeCell ref="K1188:L1188"/>
    <mergeCell ref="K1193:L1193"/>
    <mergeCell ref="K1194:L1194"/>
    <mergeCell ref="K1195:L1195"/>
    <mergeCell ref="K1200:L1200"/>
    <mergeCell ref="K1201:L1201"/>
    <mergeCell ref="K1209:L1209"/>
    <mergeCell ref="K1211:L1211"/>
    <mergeCell ref="K1216:L1216"/>
    <mergeCell ref="K1217:L1217"/>
    <mergeCell ref="K1224:L1224"/>
    <mergeCell ref="K1225:L1225"/>
    <mergeCell ref="K1231:L1231"/>
    <mergeCell ref="K1240:L1240"/>
    <mergeCell ref="K1180:L1180"/>
    <mergeCell ref="K1183:L1183"/>
    <mergeCell ref="K1203:L1203"/>
    <mergeCell ref="K1206:L1206"/>
    <mergeCell ref="K1219:L1219"/>
    <mergeCell ref="K1176:L1176"/>
    <mergeCell ref="K1177:L1177"/>
    <mergeCell ref="K1198:L1198"/>
    <mergeCell ref="K1199:L1199"/>
    <mergeCell ref="K1222:L1222"/>
    <mergeCell ref="K1223:L1223"/>
    <mergeCell ref="K1239:L1239"/>
    <mergeCell ref="K1235:L1235"/>
    <mergeCell ref="K1241:L1241"/>
    <mergeCell ref="K1252:L1252"/>
    <mergeCell ref="K1257:L1257"/>
    <mergeCell ref="K1263:L1263"/>
    <mergeCell ref="K1245:L1245"/>
    <mergeCell ref="K1249:L1249"/>
    <mergeCell ref="K1260:L1260"/>
    <mergeCell ref="K1192:L1192"/>
    <mergeCell ref="K1896:L1896"/>
    <mergeCell ref="K1906:L1906"/>
    <mergeCell ref="K1907:L1907"/>
    <mergeCell ref="K1910:L1910"/>
    <mergeCell ref="K1914:L1914"/>
    <mergeCell ref="K1917:L1917"/>
    <mergeCell ref="K1920:L1920"/>
    <mergeCell ref="K1923:L1923"/>
    <mergeCell ref="K1929:L1929"/>
    <mergeCell ref="K1936:L1936"/>
    <mergeCell ref="K1876:L1876"/>
    <mergeCell ref="K1877:L1877"/>
    <mergeCell ref="K1880:L1880"/>
    <mergeCell ref="K1883:L1883"/>
    <mergeCell ref="K1886:L1886"/>
    <mergeCell ref="K1889:L1889"/>
    <mergeCell ref="K1890:L1890"/>
    <mergeCell ref="K1893:L1893"/>
    <mergeCell ref="K1897:L1897"/>
    <mergeCell ref="K1900:L1900"/>
    <mergeCell ref="K1903:L1903"/>
    <mergeCell ref="K1908:L1908"/>
    <mergeCell ref="K1909:L1909"/>
    <mergeCell ref="K1915:L1915"/>
    <mergeCell ref="K1916:L1916"/>
    <mergeCell ref="K1932:L1932"/>
    <mergeCell ref="K1592:L1592"/>
    <mergeCell ref="K1601:L1601"/>
    <mergeCell ref="K1619:L1619"/>
    <mergeCell ref="K1626:L1626"/>
    <mergeCell ref="K1636:L1636"/>
    <mergeCell ref="K1645:L1645"/>
    <mergeCell ref="K1653:L1653"/>
    <mergeCell ref="K1777:L1777"/>
    <mergeCell ref="K1781:L1781"/>
    <mergeCell ref="K1689:L1689"/>
    <mergeCell ref="K1698:L1698"/>
    <mergeCell ref="K1728:L1728"/>
    <mergeCell ref="K1695:L1695"/>
    <mergeCell ref="K1699:L1699"/>
    <mergeCell ref="K1714:L1714"/>
    <mergeCell ref="K1783:L1783"/>
    <mergeCell ref="K1784:L1784"/>
    <mergeCell ref="K1787:L1787"/>
    <mergeCell ref="K1790:L1790"/>
    <mergeCell ref="K1793:L1793"/>
    <mergeCell ref="K1794:L1794"/>
    <mergeCell ref="K1802:L1802"/>
    <mergeCell ref="K1803:L1803"/>
    <mergeCell ref="K1814:L1814"/>
    <mergeCell ref="K1820:L1820"/>
    <mergeCell ref="K1823:L1823"/>
    <mergeCell ref="K1824:L1824"/>
    <mergeCell ref="K1831:L1831"/>
    <mergeCell ref="K1842:L1842"/>
    <mergeCell ref="K1847:L1847"/>
    <mergeCell ref="K1853:L1853"/>
    <mergeCell ref="K1860:L1860"/>
    <mergeCell ref="K1863:L1863"/>
    <mergeCell ref="K1926:L1926"/>
    <mergeCell ref="K1935:L1935"/>
    <mergeCell ref="K1939:L1939"/>
    <mergeCell ref="K1942:L1942"/>
    <mergeCell ref="K1945:L1945"/>
    <mergeCell ref="K1948:L1948"/>
    <mergeCell ref="K1951:L1951"/>
    <mergeCell ref="K1544:L1544"/>
    <mergeCell ref="K1547:L1547"/>
    <mergeCell ref="K1550:L1550"/>
    <mergeCell ref="K1553:L1553"/>
    <mergeCell ref="K1556:L1556"/>
    <mergeCell ref="K1559:L1559"/>
    <mergeCell ref="K1567:L1567"/>
    <mergeCell ref="K1578:L1578"/>
    <mergeCell ref="K1582:L1582"/>
    <mergeCell ref="K1590:L1590"/>
    <mergeCell ref="K1591:L1591"/>
    <mergeCell ref="K1593:L1593"/>
    <mergeCell ref="K1597:L1597"/>
    <mergeCell ref="K1605:L1605"/>
    <mergeCell ref="K1609:L1609"/>
    <mergeCell ref="K1610:L1610"/>
    <mergeCell ref="K1614:L1614"/>
    <mergeCell ref="K1616:L1616"/>
    <mergeCell ref="K1622:L1622"/>
    <mergeCell ref="K1627:L1627"/>
    <mergeCell ref="K1628:L1628"/>
    <mergeCell ref="K1635:L1635"/>
    <mergeCell ref="K1632:L1632"/>
    <mergeCell ref="K1615:L1615"/>
    <mergeCell ref="K1640:L1640"/>
    <mergeCell ref="K1641:L1641"/>
    <mergeCell ref="K1648:L1648"/>
    <mergeCell ref="K1649:L1649"/>
    <mergeCell ref="K1650:L1650"/>
    <mergeCell ref="K1654:L1654"/>
    <mergeCell ref="K1657:L1657"/>
    <mergeCell ref="K1662:L1662"/>
    <mergeCell ref="K1663:L1663"/>
    <mergeCell ref="K1734:L1734"/>
    <mergeCell ref="K1738:L1738"/>
    <mergeCell ref="K1744:L1744"/>
    <mergeCell ref="K1747:L1747"/>
    <mergeCell ref="K1661:L1661"/>
    <mergeCell ref="K1664:L1664"/>
    <mergeCell ref="K1672:L1672"/>
    <mergeCell ref="K1675:L1675"/>
    <mergeCell ref="K1683:L1683"/>
    <mergeCell ref="K1642:L1642"/>
    <mergeCell ref="K1660:L1660"/>
    <mergeCell ref="K1668:L1668"/>
    <mergeCell ref="K1741:L1741"/>
    <mergeCell ref="K1750:L1750"/>
    <mergeCell ref="K1753:L1753"/>
    <mergeCell ref="K1756:L1756"/>
    <mergeCell ref="K1759:L1759"/>
    <mergeCell ref="K1762:L1762"/>
    <mergeCell ref="K1765:L1765"/>
    <mergeCell ref="K1768:L1768"/>
    <mergeCell ref="K1771:L1771"/>
    <mergeCell ref="K1774:L1774"/>
    <mergeCell ref="K1574:L1574"/>
    <mergeCell ref="K1581:L1581"/>
    <mergeCell ref="K2026:L2026"/>
    <mergeCell ref="K2027:L2027"/>
    <mergeCell ref="K2029:L2029"/>
    <mergeCell ref="K2030:L2030"/>
    <mergeCell ref="K2032:L2032"/>
    <mergeCell ref="K2042:L2042"/>
    <mergeCell ref="K2044:L2044"/>
    <mergeCell ref="K2045:L2045"/>
    <mergeCell ref="K2048:L2048"/>
    <mergeCell ref="K2056:L2056"/>
    <mergeCell ref="K2070:L2070"/>
    <mergeCell ref="K2071:L2071"/>
    <mergeCell ref="K2074:L2074"/>
    <mergeCell ref="K2055:L2055"/>
    <mergeCell ref="K2063:L2063"/>
    <mergeCell ref="K2069:L2069"/>
    <mergeCell ref="K2085:L2085"/>
    <mergeCell ref="K2088:L2088"/>
    <mergeCell ref="K2206:L2206"/>
    <mergeCell ref="K2207:L2207"/>
    <mergeCell ref="K2060:L2060"/>
    <mergeCell ref="K2143:L2143"/>
    <mergeCell ref="K2148:L2148"/>
    <mergeCell ref="K2153:L2153"/>
    <mergeCell ref="K2068:L2068"/>
    <mergeCell ref="K2075:L2075"/>
    <mergeCell ref="K2067:L2067"/>
    <mergeCell ref="K2066:L2066"/>
    <mergeCell ref="K2159:L2159"/>
    <mergeCell ref="K2167:L2167"/>
    <mergeCell ref="K2196:L2196"/>
    <mergeCell ref="K2197:L2197"/>
    <mergeCell ref="K2199:L2199"/>
    <mergeCell ref="K2200:L2200"/>
    <mergeCell ref="K2204:L2204"/>
    <mergeCell ref="K2195:L2195"/>
    <mergeCell ref="K2198:L2198"/>
    <mergeCell ref="K2201:L2201"/>
    <mergeCell ref="K2183:L2183"/>
    <mergeCell ref="K2185:L2185"/>
    <mergeCell ref="K2178:L2178"/>
    <mergeCell ref="K2177:L2177"/>
    <mergeCell ref="K2128:L2128"/>
    <mergeCell ref="K2130:L2130"/>
    <mergeCell ref="K2131:L2131"/>
    <mergeCell ref="K2132:L2132"/>
    <mergeCell ref="K2137:L2137"/>
    <mergeCell ref="K2138:L2138"/>
    <mergeCell ref="K2146:L2146"/>
    <mergeCell ref="K2147:L2147"/>
    <mergeCell ref="K2151:L2151"/>
    <mergeCell ref="K2152:L2152"/>
    <mergeCell ref="K2160:L2160"/>
    <mergeCell ref="K2161:L2161"/>
    <mergeCell ref="K2182:L2182"/>
    <mergeCell ref="K2193:L2193"/>
    <mergeCell ref="K2194:L2194"/>
    <mergeCell ref="K2192:L2192"/>
    <mergeCell ref="K2179:L2179"/>
    <mergeCell ref="K2149:L2149"/>
    <mergeCell ref="K2150:L2150"/>
    <mergeCell ref="K2158:L2158"/>
    <mergeCell ref="K2157:L2157"/>
    <mergeCell ref="K2156:L2156"/>
    <mergeCell ref="K2213:L2213"/>
    <mergeCell ref="K2214:L2214"/>
    <mergeCell ref="K2217:L2217"/>
    <mergeCell ref="K2238:L2238"/>
    <mergeCell ref="K2164:L2164"/>
    <mergeCell ref="K2173:L2173"/>
    <mergeCell ref="K2174:L2174"/>
    <mergeCell ref="K2186:L2186"/>
    <mergeCell ref="K2189:L2189"/>
    <mergeCell ref="K2220:L2220"/>
    <mergeCell ref="K2102:L2102"/>
    <mergeCell ref="K2109:L2109"/>
    <mergeCell ref="K2112:L2112"/>
    <mergeCell ref="K2118:L2118"/>
    <mergeCell ref="K2122:L2122"/>
    <mergeCell ref="K2126:L2126"/>
    <mergeCell ref="K2129:L2129"/>
    <mergeCell ref="K2135:L2135"/>
    <mergeCell ref="K2136:L2136"/>
    <mergeCell ref="K2139:L2139"/>
    <mergeCell ref="K2140:L2140"/>
    <mergeCell ref="K2144:L2144"/>
    <mergeCell ref="K2145:L2145"/>
    <mergeCell ref="K2260:L2260"/>
    <mergeCell ref="K2263:L2263"/>
    <mergeCell ref="K2274:L2274"/>
    <mergeCell ref="K2275:L2275"/>
    <mergeCell ref="K2281:L2281"/>
    <mergeCell ref="K2282:L2282"/>
    <mergeCell ref="K2245:L2245"/>
    <mergeCell ref="K2221:L2221"/>
    <mergeCell ref="K2242:L2242"/>
    <mergeCell ref="K2244:L2244"/>
    <mergeCell ref="K2170:L2170"/>
    <mergeCell ref="K2163:L2163"/>
    <mergeCell ref="K2162:L2162"/>
    <mergeCell ref="K2222:L2222"/>
    <mergeCell ref="K2272:L2272"/>
    <mergeCell ref="K2235:L2235"/>
    <mergeCell ref="K2208:L2208"/>
    <mergeCell ref="K2209:L2209"/>
    <mergeCell ref="K2215:L2215"/>
    <mergeCell ref="K2216:L2216"/>
    <mergeCell ref="K2218:L2218"/>
    <mergeCell ref="K2219:L2219"/>
    <mergeCell ref="K2231:L2231"/>
    <mergeCell ref="K2252:L2252"/>
    <mergeCell ref="K2253:L2253"/>
    <mergeCell ref="K2256:L2256"/>
    <mergeCell ref="K2259:L2259"/>
    <mergeCell ref="K2261:L2261"/>
    <mergeCell ref="K2262:L2262"/>
    <mergeCell ref="K2266:L2266"/>
    <mergeCell ref="K2269:L2269"/>
    <mergeCell ref="K2276:L2276"/>
    <mergeCell ref="K2277:L2277"/>
    <mergeCell ref="K2280:L2280"/>
    <mergeCell ref="K2271:L2271"/>
    <mergeCell ref="K2228:L2228"/>
    <mergeCell ref="K2234:L2234"/>
    <mergeCell ref="K2241:L2241"/>
    <mergeCell ref="K2249:L2249"/>
    <mergeCell ref="K2212:L2212"/>
    <mergeCell ref="K2225:L2225"/>
    <mergeCell ref="K2464:L2464"/>
    <mergeCell ref="K2478:L2478"/>
    <mergeCell ref="K2484:L2484"/>
    <mergeCell ref="K2488:L2488"/>
    <mergeCell ref="K2500:L2500"/>
    <mergeCell ref="K2507:L2507"/>
    <mergeCell ref="K2519:L2519"/>
    <mergeCell ref="K2520:L2520"/>
    <mergeCell ref="K2501:L2501"/>
    <mergeCell ref="K2479:L2479"/>
    <mergeCell ref="K2491:L2491"/>
    <mergeCell ref="K2495:L2495"/>
    <mergeCell ref="K2465:L2465"/>
    <mergeCell ref="K2469:L2469"/>
    <mergeCell ref="K2470:L2470"/>
    <mergeCell ref="K2474:L2474"/>
    <mergeCell ref="K2475:L2475"/>
    <mergeCell ref="K2482:L2482"/>
    <mergeCell ref="K2483:L2483"/>
    <mergeCell ref="K2489:L2489"/>
    <mergeCell ref="K2490:L2490"/>
    <mergeCell ref="K2494:L2494"/>
    <mergeCell ref="K2498:L2498"/>
    <mergeCell ref="K2499:L2499"/>
    <mergeCell ref="K2618:L2618"/>
    <mergeCell ref="K2600:L2600"/>
    <mergeCell ref="K2595:L2595"/>
    <mergeCell ref="K2596:L2596"/>
    <mergeCell ref="K2614:L2614"/>
    <mergeCell ref="K2607:L2607"/>
    <mergeCell ref="K2631:L2631"/>
    <mergeCell ref="K2639:L2639"/>
    <mergeCell ref="K2587:L2587"/>
    <mergeCell ref="K2586:L2586"/>
    <mergeCell ref="K2597:L2597"/>
    <mergeCell ref="K2582:L2582"/>
    <mergeCell ref="K2626:L2626"/>
    <mergeCell ref="K2611:L2611"/>
    <mergeCell ref="K2638:L2638"/>
    <mergeCell ref="K2579:L2579"/>
    <mergeCell ref="K2558:L2558"/>
    <mergeCell ref="K2570:L2570"/>
    <mergeCell ref="K2541:L2541"/>
    <mergeCell ref="K2544:L2544"/>
    <mergeCell ref="K2545:L2545"/>
    <mergeCell ref="K2551:L2551"/>
    <mergeCell ref="K2555:L2555"/>
    <mergeCell ref="K2561:L2561"/>
    <mergeCell ref="K2564:L2564"/>
    <mergeCell ref="K2571:L2571"/>
    <mergeCell ref="K2572:L2572"/>
    <mergeCell ref="K2578:L2578"/>
    <mergeCell ref="K2537:L2537"/>
    <mergeCell ref="K2538:L2538"/>
    <mergeCell ref="K2546:L2546"/>
    <mergeCell ref="K2549:L2549"/>
    <mergeCell ref="K2550:L2550"/>
    <mergeCell ref="K2554:L2554"/>
    <mergeCell ref="K2556:L2556"/>
    <mergeCell ref="K2583:L2583"/>
    <mergeCell ref="K2584:L2584"/>
    <mergeCell ref="K2585:L2585"/>
    <mergeCell ref="K2588:L2588"/>
    <mergeCell ref="K2589:L2589"/>
    <mergeCell ref="K2733:L2733"/>
    <mergeCell ref="K2737:L2737"/>
    <mergeCell ref="K2662:L2662"/>
    <mergeCell ref="K2714:L2714"/>
    <mergeCell ref="K2717:L2717"/>
    <mergeCell ref="K2740:L2740"/>
    <mergeCell ref="K2752:L2752"/>
    <mergeCell ref="K2755:L2755"/>
    <mergeCell ref="K2756:L2756"/>
    <mergeCell ref="K2702:L2702"/>
    <mergeCell ref="K2709:L2709"/>
    <mergeCell ref="K2712:L2712"/>
    <mergeCell ref="K2713:L2713"/>
    <mergeCell ref="K2734:L2734"/>
    <mergeCell ref="K2735:L2735"/>
    <mergeCell ref="K2743:L2743"/>
    <mergeCell ref="K2744:L2744"/>
    <mergeCell ref="K2745:L2745"/>
    <mergeCell ref="K2748:L2748"/>
    <mergeCell ref="K2749:L2749"/>
    <mergeCell ref="K2759:L2759"/>
    <mergeCell ref="K2790:L2790"/>
    <mergeCell ref="K2809:L2809"/>
    <mergeCell ref="K2698:L2698"/>
    <mergeCell ref="K2703:L2703"/>
    <mergeCell ref="K2689:L2689"/>
    <mergeCell ref="K2693:L2693"/>
    <mergeCell ref="K2699:L2699"/>
    <mergeCell ref="K2685:L2685"/>
    <mergeCell ref="K2694:L2694"/>
    <mergeCell ref="K2722:L2722"/>
    <mergeCell ref="K2726:L2726"/>
    <mergeCell ref="K2736:L2736"/>
    <mergeCell ref="K2784:L2784"/>
    <mergeCell ref="K2794:L2794"/>
    <mergeCell ref="K2799:L2799"/>
    <mergeCell ref="K2800:L2800"/>
    <mergeCell ref="K2768:L2768"/>
    <mergeCell ref="K2844:L2844"/>
    <mergeCell ref="K2944:L2944"/>
    <mergeCell ref="K2945:L2945"/>
    <mergeCell ref="K2954:L2954"/>
    <mergeCell ref="K2967:L2967"/>
    <mergeCell ref="K2984:L2984"/>
    <mergeCell ref="K2988:L2988"/>
    <mergeCell ref="K2885:L2885"/>
    <mergeCell ref="K2886:L2886"/>
    <mergeCell ref="K2914:L2914"/>
    <mergeCell ref="K2946:L2946"/>
    <mergeCell ref="K2947:L2947"/>
    <mergeCell ref="K2950:L2950"/>
    <mergeCell ref="K2872:L2872"/>
    <mergeCell ref="K2876:L2876"/>
    <mergeCell ref="K2882:L2882"/>
    <mergeCell ref="K2903:L2903"/>
    <mergeCell ref="K2904:L2904"/>
    <mergeCell ref="K2843:L2843"/>
    <mergeCell ref="K2847:L2847"/>
    <mergeCell ref="K2848:L2848"/>
    <mergeCell ref="K2856:L2856"/>
    <mergeCell ref="K2859:L2859"/>
    <mergeCell ref="K2860:L2860"/>
    <mergeCell ref="K2862:L2862"/>
    <mergeCell ref="K2863:L2863"/>
    <mergeCell ref="K2868:L2868"/>
    <mergeCell ref="K2873:L2873"/>
    <mergeCell ref="K2896:L2896"/>
    <mergeCell ref="K2905:L2905"/>
    <mergeCell ref="K2906:L2906"/>
    <mergeCell ref="K2912:L2912"/>
    <mergeCell ref="K3436:L3436"/>
    <mergeCell ref="K3407:L3407"/>
    <mergeCell ref="K3411:L3411"/>
    <mergeCell ref="K3425:L3425"/>
    <mergeCell ref="K3416:L3416"/>
    <mergeCell ref="K3392:L3392"/>
    <mergeCell ref="K3394:L3394"/>
    <mergeCell ref="K3397:L3397"/>
    <mergeCell ref="K3401:L3401"/>
    <mergeCell ref="K3405:L3405"/>
    <mergeCell ref="K3406:L3406"/>
    <mergeCell ref="K3410:L3410"/>
    <mergeCell ref="K3414:L3414"/>
    <mergeCell ref="K3415:L3415"/>
    <mergeCell ref="K3379:L3379"/>
    <mergeCell ref="K3393:L3393"/>
    <mergeCell ref="K3400:L3400"/>
    <mergeCell ref="K3304:L3304"/>
    <mergeCell ref="K3305:L3305"/>
    <mergeCell ref="K3316:L3316"/>
    <mergeCell ref="K3323:L3323"/>
    <mergeCell ref="K3334:L3334"/>
    <mergeCell ref="K3338:L3338"/>
    <mergeCell ref="K3347:L3347"/>
    <mergeCell ref="K3351:L3351"/>
    <mergeCell ref="K3355:L3355"/>
    <mergeCell ref="K3356:L3356"/>
    <mergeCell ref="K3359:L3359"/>
    <mergeCell ref="K3364:L3364"/>
    <mergeCell ref="K3368:L3368"/>
    <mergeCell ref="K3369:L3369"/>
    <mergeCell ref="K3373:L3373"/>
    <mergeCell ref="K3668:L3668"/>
    <mergeCell ref="K3617:L3617"/>
    <mergeCell ref="K3618:L3618"/>
    <mergeCell ref="K3621:L3621"/>
    <mergeCell ref="K3624:L3624"/>
    <mergeCell ref="K3638:L3638"/>
    <mergeCell ref="K3641:L3641"/>
    <mergeCell ref="K3644:L3644"/>
    <mergeCell ref="K3645:L3645"/>
    <mergeCell ref="K3648:L3648"/>
    <mergeCell ref="K3650:L3650"/>
    <mergeCell ref="K3651:L3651"/>
    <mergeCell ref="K3656:L3656"/>
    <mergeCell ref="K3660:L3660"/>
    <mergeCell ref="K3664:L3664"/>
    <mergeCell ref="K3671:L3671"/>
    <mergeCell ref="K3674:L3674"/>
    <mergeCell ref="K3677:L3677"/>
    <mergeCell ref="K3690:L3690"/>
    <mergeCell ref="K3692:L3692"/>
    <mergeCell ref="K3696:L3696"/>
    <mergeCell ref="K3697:L3697"/>
    <mergeCell ref="K3738:L3738"/>
    <mergeCell ref="K3750:L3750"/>
    <mergeCell ref="K3751:L3751"/>
    <mergeCell ref="K3754:L3754"/>
    <mergeCell ref="K3758:L3758"/>
    <mergeCell ref="K3686:L3686"/>
    <mergeCell ref="K3768:L3768"/>
    <mergeCell ref="K3772:L3772"/>
    <mergeCell ref="K3773:L3773"/>
    <mergeCell ref="K3776:L3776"/>
    <mergeCell ref="K3779:L3779"/>
    <mergeCell ref="K3791:L3791"/>
    <mergeCell ref="K3792:L3792"/>
    <mergeCell ref="K3810:L3810"/>
    <mergeCell ref="K3795:L3795"/>
    <mergeCell ref="K3761:L3761"/>
    <mergeCell ref="K3807:L3807"/>
    <mergeCell ref="K3700:L3700"/>
    <mergeCell ref="K3702:L3702"/>
    <mergeCell ref="K3705:L3705"/>
    <mergeCell ref="K3717:L3717"/>
    <mergeCell ref="K3724:L3724"/>
    <mergeCell ref="K3729:L3729"/>
    <mergeCell ref="K3733:L3733"/>
    <mergeCell ref="K3736:L3736"/>
    <mergeCell ref="K3737:L3737"/>
    <mergeCell ref="K3739:L3739"/>
    <mergeCell ref="K3742:L3742"/>
    <mergeCell ref="K3743:L3743"/>
    <mergeCell ref="K3746:L3746"/>
    <mergeCell ref="K3755:L3755"/>
    <mergeCell ref="K3765:L3765"/>
    <mergeCell ref="K3771:L3771"/>
    <mergeCell ref="K3783:L3783"/>
    <mergeCell ref="K3784:L3784"/>
    <mergeCell ref="K3789:L3789"/>
    <mergeCell ref="K3790:L3790"/>
    <mergeCell ref="K3798:L3798"/>
    <mergeCell ref="K3799:L3799"/>
    <mergeCell ref="K3803:L3803"/>
    <mergeCell ref="K3806:L3806"/>
    <mergeCell ref="K4108:L4108"/>
    <mergeCell ref="K4114:L4114"/>
    <mergeCell ref="K4115:L4115"/>
    <mergeCell ref="K4052:L4052"/>
    <mergeCell ref="K3885:L3885"/>
    <mergeCell ref="K3887:L3887"/>
    <mergeCell ref="K3894:L3894"/>
    <mergeCell ref="K3897:L3897"/>
    <mergeCell ref="K3898:L3898"/>
    <mergeCell ref="K3902:L3902"/>
    <mergeCell ref="K3905:L3905"/>
    <mergeCell ref="K3908:L3908"/>
    <mergeCell ref="K3911:L3911"/>
    <mergeCell ref="K3915:L3915"/>
    <mergeCell ref="K3919:L3919"/>
    <mergeCell ref="K3922:L3922"/>
    <mergeCell ref="K3923:L3923"/>
    <mergeCell ref="K3925:L3925"/>
    <mergeCell ref="K3928:L3928"/>
    <mergeCell ref="K3929:L3929"/>
    <mergeCell ref="K3931:L3931"/>
    <mergeCell ref="K3890:L3890"/>
    <mergeCell ref="K3891:L3891"/>
    <mergeCell ref="K4125:L4125"/>
    <mergeCell ref="K4128:L4128"/>
    <mergeCell ref="K4134:L4134"/>
    <mergeCell ref="K4136:L4136"/>
    <mergeCell ref="K4140:L4140"/>
    <mergeCell ref="K4122:L4122"/>
    <mergeCell ref="K4051:L4051"/>
    <mergeCell ref="K4055:L4055"/>
    <mergeCell ref="K4056:L4056"/>
    <mergeCell ref="K4060:L4060"/>
    <mergeCell ref="K4064:L4064"/>
    <mergeCell ref="K4065:L4065"/>
    <mergeCell ref="K4072:L4072"/>
    <mergeCell ref="K4075:L4075"/>
    <mergeCell ref="K4076:L4076"/>
    <mergeCell ref="K4079:L4079"/>
    <mergeCell ref="K4083:L4083"/>
    <mergeCell ref="K4086:L4086"/>
    <mergeCell ref="K4089:L4089"/>
    <mergeCell ref="K4095:L4095"/>
    <mergeCell ref="K4096:L4096"/>
    <mergeCell ref="K4098:L4098"/>
    <mergeCell ref="K4099:L4099"/>
    <mergeCell ref="K4397:L4397"/>
    <mergeCell ref="K4164:L4164"/>
    <mergeCell ref="K4168:L4168"/>
    <mergeCell ref="K4097:L4097"/>
    <mergeCell ref="K4100:L4100"/>
    <mergeCell ref="K4102:L4102"/>
    <mergeCell ref="K4163:L4163"/>
    <mergeCell ref="K4166:L4166"/>
    <mergeCell ref="K4167:L4167"/>
    <mergeCell ref="K4053:L4053"/>
    <mergeCell ref="K4054:L4054"/>
    <mergeCell ref="K4092:L4092"/>
    <mergeCell ref="K4169:L4169"/>
    <mergeCell ref="K4172:L4172"/>
    <mergeCell ref="K4063:L4063"/>
    <mergeCell ref="K4066:L4066"/>
    <mergeCell ref="K4069:L4069"/>
    <mergeCell ref="K4082:L4082"/>
    <mergeCell ref="K4093:L4093"/>
    <mergeCell ref="K4094:L4094"/>
    <mergeCell ref="K4105:L4105"/>
    <mergeCell ref="K4383:L4383"/>
    <mergeCell ref="K4384:L4384"/>
    <mergeCell ref="K4101:L4101"/>
    <mergeCell ref="K4103:L4103"/>
    <mergeCell ref="K4104:L4104"/>
    <mergeCell ref="K4106:L4106"/>
    <mergeCell ref="K4109:L4109"/>
    <mergeCell ref="K4110:L4110"/>
    <mergeCell ref="K4111:L4111"/>
    <mergeCell ref="K4112:L4112"/>
    <mergeCell ref="K4113:L4113"/>
    <mergeCell ref="K4118:L4118"/>
    <mergeCell ref="K4119:L4119"/>
    <mergeCell ref="K4129:L4129"/>
    <mergeCell ref="K4130:L4130"/>
    <mergeCell ref="K4133:L4133"/>
    <mergeCell ref="K4135:L4135"/>
    <mergeCell ref="K4139:L4139"/>
    <mergeCell ref="K4141:L4141"/>
    <mergeCell ref="K4144:L4144"/>
    <mergeCell ref="K4145:L4145"/>
    <mergeCell ref="K4148:L4148"/>
    <mergeCell ref="K4151:L4151"/>
    <mergeCell ref="K4152:L4152"/>
    <mergeCell ref="K4155:L4155"/>
    <mergeCell ref="K4156:L4156"/>
    <mergeCell ref="K4158:L4158"/>
    <mergeCell ref="K4159:L4159"/>
    <mergeCell ref="K4160:L4160"/>
    <mergeCell ref="K4161:L4161"/>
    <mergeCell ref="K4405:L4405"/>
    <mergeCell ref="K4408:L4408"/>
    <mergeCell ref="K4146:L4146"/>
    <mergeCell ref="K4147:L4147"/>
    <mergeCell ref="K4157:L4157"/>
    <mergeCell ref="K4190:L4190"/>
    <mergeCell ref="K4193:L4193"/>
    <mergeCell ref="K4210:L4210"/>
    <mergeCell ref="K4236:L4236"/>
    <mergeCell ref="K4237:L4237"/>
    <mergeCell ref="K4240:L4240"/>
    <mergeCell ref="K4246:L4246"/>
    <mergeCell ref="K4257:L4257"/>
    <mergeCell ref="K4260:L4260"/>
    <mergeCell ref="K4292:L4292"/>
    <mergeCell ref="K4294:L4294"/>
    <mergeCell ref="K4295:L4295"/>
    <mergeCell ref="K4360:L4360"/>
    <mergeCell ref="AC1022:AD1022"/>
    <mergeCell ref="AF1022:AH1022"/>
    <mergeCell ref="AC1034:AD1034"/>
    <mergeCell ref="AF1034:AH1034"/>
    <mergeCell ref="AC1046:AD1046"/>
    <mergeCell ref="AF1046:AH1046"/>
    <mergeCell ref="AC1058:AD1058"/>
    <mergeCell ref="AF1058:AH1058"/>
    <mergeCell ref="AC1070:AD1070"/>
    <mergeCell ref="AF1070:AH1070"/>
    <mergeCell ref="AC1082:AD1082"/>
    <mergeCell ref="AF1082:AH1082"/>
    <mergeCell ref="AC1094:AD1094"/>
    <mergeCell ref="AF1094:AH1094"/>
    <mergeCell ref="AC1106:AD1106"/>
    <mergeCell ref="AF1106:AH1106"/>
    <mergeCell ref="AC1118:AD1118"/>
    <mergeCell ref="AF1118:AH1118"/>
    <mergeCell ref="AC1130:AD1130"/>
    <mergeCell ref="AF1130:AH1130"/>
    <mergeCell ref="AC1142:AD1142"/>
    <mergeCell ref="AF1142:AH1142"/>
    <mergeCell ref="AC1154:AD1154"/>
    <mergeCell ref="AF1154:AH1154"/>
    <mergeCell ref="AC1166:AD1166"/>
    <mergeCell ref="AF1166:AH1166"/>
    <mergeCell ref="AC1178:AD1178"/>
    <mergeCell ref="AF1178:AH1178"/>
    <mergeCell ref="AC1190:AD1190"/>
    <mergeCell ref="AF1190:AH1190"/>
    <mergeCell ref="AC1202:AD1202"/>
    <mergeCell ref="AF1202:AH1202"/>
    <mergeCell ref="AC1214:AD1214"/>
    <mergeCell ref="AF1214:AH1214"/>
    <mergeCell ref="AC1226:AD1226"/>
    <mergeCell ref="AF1226:AH1226"/>
    <mergeCell ref="AK1022:AL1022"/>
    <mergeCell ref="AC1023:AD1023"/>
    <mergeCell ref="AF1023:AH1023"/>
    <mergeCell ref="AK1023:AL1023"/>
    <mergeCell ref="AC1024:AD1024"/>
    <mergeCell ref="AF1024:AH1024"/>
    <mergeCell ref="AK1024:AL1024"/>
    <mergeCell ref="AC1025:AD1025"/>
    <mergeCell ref="AF1025:AH1025"/>
    <mergeCell ref="AK1025:AL1025"/>
    <mergeCell ref="AC1026:AD1026"/>
    <mergeCell ref="AF1026:AH1026"/>
    <mergeCell ref="AK1026:AL1026"/>
    <mergeCell ref="AC1027:AD1027"/>
    <mergeCell ref="AF1027:AH1027"/>
    <mergeCell ref="AK1027:AL1027"/>
    <mergeCell ref="AC1028:AD1028"/>
    <mergeCell ref="AF1028:AH1028"/>
    <mergeCell ref="AK1028:AL1028"/>
    <mergeCell ref="AC1029:AD1029"/>
    <mergeCell ref="AF1029:AH1029"/>
    <mergeCell ref="AK1029:AL1029"/>
    <mergeCell ref="AC1030:AD1030"/>
    <mergeCell ref="AF1030:AH1030"/>
    <mergeCell ref="AK1030:AL1030"/>
    <mergeCell ref="AC1031:AD1031"/>
    <mergeCell ref="AF1031:AH1031"/>
    <mergeCell ref="AK1031:AL1031"/>
    <mergeCell ref="AC1032:AD1032"/>
    <mergeCell ref="AF1032:AH1032"/>
    <mergeCell ref="AK1032:AL1032"/>
    <mergeCell ref="AC1033:AD1033"/>
    <mergeCell ref="AF1033:AH1033"/>
    <mergeCell ref="AK1033:AL1033"/>
    <mergeCell ref="AK1034:AL1034"/>
    <mergeCell ref="AC1035:AD1035"/>
    <mergeCell ref="AF1035:AH1035"/>
    <mergeCell ref="AK1035:AL1035"/>
    <mergeCell ref="AC1036:AD1036"/>
    <mergeCell ref="AF1036:AH1036"/>
    <mergeCell ref="AK1036:AL1036"/>
    <mergeCell ref="AC1037:AD1037"/>
    <mergeCell ref="AF1037:AH1037"/>
    <mergeCell ref="AK1037:AL1037"/>
    <mergeCell ref="AC1038:AD1038"/>
    <mergeCell ref="AF1038:AH1038"/>
    <mergeCell ref="AK1038:AL1038"/>
    <mergeCell ref="AC1039:AD1039"/>
    <mergeCell ref="AF1039:AH1039"/>
    <mergeCell ref="AK1039:AL1039"/>
    <mergeCell ref="AC1040:AD1040"/>
    <mergeCell ref="AF1040:AH1040"/>
    <mergeCell ref="AK1040:AL1040"/>
    <mergeCell ref="AC1041:AD1041"/>
    <mergeCell ref="AF1041:AH1041"/>
    <mergeCell ref="AK1041:AL1041"/>
    <mergeCell ref="AC1042:AD1042"/>
    <mergeCell ref="AF1042:AH1042"/>
    <mergeCell ref="AK1042:AL1042"/>
    <mergeCell ref="AC1043:AD1043"/>
    <mergeCell ref="AF1043:AH1043"/>
    <mergeCell ref="AK1043:AL1043"/>
    <mergeCell ref="AC1044:AD1044"/>
    <mergeCell ref="AF1044:AH1044"/>
    <mergeCell ref="AK1044:AL1044"/>
    <mergeCell ref="AC1045:AD1045"/>
    <mergeCell ref="AF1045:AH1045"/>
    <mergeCell ref="AK1045:AL1045"/>
    <mergeCell ref="AK1046:AL1046"/>
    <mergeCell ref="AC1047:AD1047"/>
    <mergeCell ref="AF1047:AH1047"/>
    <mergeCell ref="AK1047:AL1047"/>
    <mergeCell ref="AC1048:AD1048"/>
    <mergeCell ref="AF1048:AH1048"/>
    <mergeCell ref="AK1048:AL1048"/>
    <mergeCell ref="AC1049:AD1049"/>
    <mergeCell ref="AF1049:AH1049"/>
    <mergeCell ref="AK1049:AL1049"/>
    <mergeCell ref="AC1050:AD1050"/>
    <mergeCell ref="AF1050:AH1050"/>
    <mergeCell ref="AK1050:AL1050"/>
    <mergeCell ref="AC1051:AD1051"/>
    <mergeCell ref="AF1051:AH1051"/>
    <mergeCell ref="AK1051:AL1051"/>
    <mergeCell ref="AC1052:AD1052"/>
    <mergeCell ref="AF1052:AH1052"/>
    <mergeCell ref="AK1052:AL1052"/>
    <mergeCell ref="AC1053:AD1053"/>
    <mergeCell ref="AF1053:AH1053"/>
    <mergeCell ref="AK1053:AL1053"/>
    <mergeCell ref="AC1054:AD1054"/>
    <mergeCell ref="AF1054:AH1054"/>
    <mergeCell ref="AK1054:AL1054"/>
    <mergeCell ref="AC1055:AD1055"/>
    <mergeCell ref="AF1055:AH1055"/>
    <mergeCell ref="AK1055:AL1055"/>
    <mergeCell ref="AC1056:AD1056"/>
    <mergeCell ref="AF1056:AH1056"/>
    <mergeCell ref="AK1056:AL1056"/>
    <mergeCell ref="AC1057:AD1057"/>
    <mergeCell ref="AF1057:AH1057"/>
    <mergeCell ref="AK1057:AL1057"/>
    <mergeCell ref="AK1058:AL1058"/>
    <mergeCell ref="AC1059:AD1059"/>
    <mergeCell ref="AF1059:AH1059"/>
    <mergeCell ref="AK1059:AL1059"/>
    <mergeCell ref="AC1060:AD1060"/>
    <mergeCell ref="AF1060:AH1060"/>
    <mergeCell ref="AK1060:AL1060"/>
    <mergeCell ref="AC1061:AD1061"/>
    <mergeCell ref="AF1061:AH1061"/>
    <mergeCell ref="AK1061:AL1061"/>
    <mergeCell ref="AC1062:AD1062"/>
    <mergeCell ref="AF1062:AH1062"/>
    <mergeCell ref="AK1062:AL1062"/>
    <mergeCell ref="AC1063:AD1063"/>
    <mergeCell ref="AF1063:AH1063"/>
    <mergeCell ref="AK1063:AL1063"/>
    <mergeCell ref="AC1064:AD1064"/>
    <mergeCell ref="AF1064:AH1064"/>
    <mergeCell ref="AK1064:AL1064"/>
    <mergeCell ref="AC1065:AD1065"/>
    <mergeCell ref="AF1065:AH1065"/>
    <mergeCell ref="AK1065:AL1065"/>
    <mergeCell ref="AC1066:AD1066"/>
    <mergeCell ref="AF1066:AH1066"/>
    <mergeCell ref="AK1066:AL1066"/>
    <mergeCell ref="AC1067:AD1067"/>
    <mergeCell ref="AF1067:AH1067"/>
    <mergeCell ref="AK1067:AL1067"/>
    <mergeCell ref="AC1068:AD1068"/>
    <mergeCell ref="AF1068:AH1068"/>
    <mergeCell ref="AK1068:AL1068"/>
    <mergeCell ref="AC1069:AD1069"/>
    <mergeCell ref="AF1069:AH1069"/>
    <mergeCell ref="AK1069:AL1069"/>
    <mergeCell ref="AK1070:AL1070"/>
    <mergeCell ref="AC1071:AD1071"/>
    <mergeCell ref="AF1071:AH1071"/>
    <mergeCell ref="AK1071:AL1071"/>
    <mergeCell ref="AC1072:AD1072"/>
    <mergeCell ref="AF1072:AH1072"/>
    <mergeCell ref="AK1072:AL1072"/>
    <mergeCell ref="AC1073:AD1073"/>
    <mergeCell ref="AF1073:AH1073"/>
    <mergeCell ref="AK1073:AL1073"/>
    <mergeCell ref="AC1074:AD1074"/>
    <mergeCell ref="AF1074:AH1074"/>
    <mergeCell ref="AK1074:AL1074"/>
    <mergeCell ref="AC1075:AD1075"/>
    <mergeCell ref="AF1075:AH1075"/>
    <mergeCell ref="AK1075:AL1075"/>
    <mergeCell ref="AC1076:AD1076"/>
    <mergeCell ref="AF1076:AH1076"/>
    <mergeCell ref="AK1076:AL1076"/>
    <mergeCell ref="AC1077:AD1077"/>
    <mergeCell ref="AF1077:AH1077"/>
    <mergeCell ref="AK1077:AL1077"/>
    <mergeCell ref="AC1078:AD1078"/>
    <mergeCell ref="AF1078:AH1078"/>
    <mergeCell ref="AK1078:AL1078"/>
    <mergeCell ref="AC1079:AD1079"/>
    <mergeCell ref="AF1079:AH1079"/>
    <mergeCell ref="AK1079:AL1079"/>
    <mergeCell ref="AC1080:AD1080"/>
    <mergeCell ref="AF1080:AH1080"/>
    <mergeCell ref="AK1080:AL1080"/>
    <mergeCell ref="AC1081:AD1081"/>
    <mergeCell ref="AF1081:AH1081"/>
    <mergeCell ref="AK1081:AL1081"/>
    <mergeCell ref="AK1082:AL1082"/>
    <mergeCell ref="AC1083:AD1083"/>
    <mergeCell ref="AF1083:AH1083"/>
    <mergeCell ref="AK1083:AL1083"/>
    <mergeCell ref="AC1084:AD1084"/>
    <mergeCell ref="AF1084:AH1084"/>
    <mergeCell ref="AK1084:AL1084"/>
    <mergeCell ref="AC1085:AD1085"/>
    <mergeCell ref="AF1085:AH1085"/>
    <mergeCell ref="AK1085:AL1085"/>
    <mergeCell ref="AC1086:AD1086"/>
    <mergeCell ref="AF1086:AH1086"/>
    <mergeCell ref="AK1086:AL1086"/>
    <mergeCell ref="AC1087:AD1087"/>
    <mergeCell ref="AF1087:AH1087"/>
    <mergeCell ref="AK1087:AL1087"/>
    <mergeCell ref="AC1088:AD1088"/>
    <mergeCell ref="AF1088:AH1088"/>
    <mergeCell ref="AK1088:AL1088"/>
    <mergeCell ref="AC1089:AD1089"/>
    <mergeCell ref="AF1089:AH1089"/>
    <mergeCell ref="AK1089:AL1089"/>
    <mergeCell ref="AC1090:AD1090"/>
    <mergeCell ref="AF1090:AH1090"/>
    <mergeCell ref="AK1090:AL1090"/>
    <mergeCell ref="AC1091:AD1091"/>
    <mergeCell ref="AF1091:AH1091"/>
    <mergeCell ref="AK1091:AL1091"/>
    <mergeCell ref="AC1092:AD1092"/>
    <mergeCell ref="AF1092:AH1092"/>
    <mergeCell ref="AK1092:AL1092"/>
    <mergeCell ref="AC1093:AD1093"/>
    <mergeCell ref="AF1093:AH1093"/>
    <mergeCell ref="AK1093:AL1093"/>
    <mergeCell ref="AK1094:AL1094"/>
    <mergeCell ref="AC1095:AD1095"/>
    <mergeCell ref="AF1095:AH1095"/>
    <mergeCell ref="AK1095:AL1095"/>
    <mergeCell ref="AC1096:AD1096"/>
    <mergeCell ref="AF1096:AH1096"/>
    <mergeCell ref="AK1096:AL1096"/>
    <mergeCell ref="AC1097:AD1097"/>
    <mergeCell ref="AF1097:AH1097"/>
    <mergeCell ref="AK1097:AL1097"/>
    <mergeCell ref="AC1098:AD1098"/>
    <mergeCell ref="AF1098:AH1098"/>
    <mergeCell ref="AK1098:AL1098"/>
    <mergeCell ref="AC1099:AD1099"/>
    <mergeCell ref="AF1099:AH1099"/>
    <mergeCell ref="AK1099:AL1099"/>
    <mergeCell ref="AC1100:AD1100"/>
    <mergeCell ref="AF1100:AH1100"/>
    <mergeCell ref="AK1100:AL1100"/>
    <mergeCell ref="AC1101:AD1101"/>
    <mergeCell ref="AF1101:AH1101"/>
    <mergeCell ref="AK1101:AL1101"/>
    <mergeCell ref="AC1102:AD1102"/>
    <mergeCell ref="AF1102:AH1102"/>
    <mergeCell ref="AK1102:AL1102"/>
    <mergeCell ref="AC1103:AD1103"/>
    <mergeCell ref="AF1103:AH1103"/>
    <mergeCell ref="AK1103:AL1103"/>
    <mergeCell ref="AC1104:AD1104"/>
    <mergeCell ref="AF1104:AH1104"/>
    <mergeCell ref="AK1104:AL1104"/>
    <mergeCell ref="AC1105:AD1105"/>
    <mergeCell ref="AF1105:AH1105"/>
    <mergeCell ref="AK1105:AL1105"/>
    <mergeCell ref="AK1106:AL1106"/>
    <mergeCell ref="AC1107:AD1107"/>
    <mergeCell ref="AF1107:AH1107"/>
    <mergeCell ref="AK1107:AL1107"/>
    <mergeCell ref="AC1108:AD1108"/>
    <mergeCell ref="AF1108:AH1108"/>
    <mergeCell ref="AK1108:AL1108"/>
    <mergeCell ref="AC1109:AD1109"/>
    <mergeCell ref="AF1109:AH1109"/>
    <mergeCell ref="AK1109:AL1109"/>
    <mergeCell ref="AC1110:AD1110"/>
    <mergeCell ref="AF1110:AH1110"/>
    <mergeCell ref="AK1110:AL1110"/>
    <mergeCell ref="AC1111:AD1111"/>
    <mergeCell ref="AF1111:AH1111"/>
    <mergeCell ref="AK1111:AL1111"/>
    <mergeCell ref="AC1112:AD1112"/>
    <mergeCell ref="AF1112:AH1112"/>
    <mergeCell ref="AK1112:AL1112"/>
    <mergeCell ref="AC1113:AD1113"/>
    <mergeCell ref="AF1113:AH1113"/>
    <mergeCell ref="AK1113:AL1113"/>
    <mergeCell ref="AC1114:AD1114"/>
    <mergeCell ref="AF1114:AH1114"/>
    <mergeCell ref="AK1114:AL1114"/>
    <mergeCell ref="AC1115:AD1115"/>
    <mergeCell ref="AF1115:AH1115"/>
    <mergeCell ref="AK1115:AL1115"/>
    <mergeCell ref="AC1116:AD1116"/>
    <mergeCell ref="AF1116:AH1116"/>
    <mergeCell ref="AK1116:AL1116"/>
    <mergeCell ref="AC1117:AD1117"/>
    <mergeCell ref="AF1117:AH1117"/>
    <mergeCell ref="AK1117:AL1117"/>
    <mergeCell ref="AK1118:AL1118"/>
    <mergeCell ref="AC1119:AD1119"/>
    <mergeCell ref="AF1119:AH1119"/>
    <mergeCell ref="AK1119:AL1119"/>
    <mergeCell ref="AC1120:AD1120"/>
    <mergeCell ref="AF1120:AH1120"/>
    <mergeCell ref="AK1120:AL1120"/>
    <mergeCell ref="AC1121:AD1121"/>
    <mergeCell ref="AF1121:AH1121"/>
    <mergeCell ref="AK1121:AL1121"/>
    <mergeCell ref="AC1122:AD1122"/>
    <mergeCell ref="AF1122:AH1122"/>
    <mergeCell ref="AK1122:AL1122"/>
    <mergeCell ref="AC1123:AD1123"/>
    <mergeCell ref="AF1123:AH1123"/>
    <mergeCell ref="AK1123:AL1123"/>
    <mergeCell ref="AC1124:AD1124"/>
    <mergeCell ref="AF1124:AH1124"/>
    <mergeCell ref="AK1124:AL1124"/>
    <mergeCell ref="AC1125:AD1125"/>
    <mergeCell ref="AF1125:AH1125"/>
    <mergeCell ref="AK1125:AL1125"/>
    <mergeCell ref="AC1126:AD1126"/>
    <mergeCell ref="AF1126:AH1126"/>
    <mergeCell ref="AK1126:AL1126"/>
    <mergeCell ref="AC1127:AD1127"/>
    <mergeCell ref="AF1127:AH1127"/>
    <mergeCell ref="AK1127:AL1127"/>
    <mergeCell ref="AC1128:AD1128"/>
    <mergeCell ref="AF1128:AH1128"/>
    <mergeCell ref="AK1128:AL1128"/>
    <mergeCell ref="AC1129:AD1129"/>
    <mergeCell ref="AF1129:AH1129"/>
    <mergeCell ref="AK1129:AL1129"/>
    <mergeCell ref="AK1130:AL1130"/>
    <mergeCell ref="AC1131:AD1131"/>
    <mergeCell ref="AF1131:AH1131"/>
    <mergeCell ref="AK1131:AL1131"/>
    <mergeCell ref="AC1132:AD1132"/>
    <mergeCell ref="AF1132:AH1132"/>
    <mergeCell ref="AK1132:AL1132"/>
    <mergeCell ref="AC1133:AD1133"/>
    <mergeCell ref="AF1133:AH1133"/>
    <mergeCell ref="AK1133:AL1133"/>
    <mergeCell ref="AC1134:AD1134"/>
    <mergeCell ref="AF1134:AH1134"/>
    <mergeCell ref="AK1134:AL1134"/>
    <mergeCell ref="AC1135:AD1135"/>
    <mergeCell ref="AF1135:AH1135"/>
    <mergeCell ref="AK1135:AL1135"/>
    <mergeCell ref="AC1136:AD1136"/>
    <mergeCell ref="AF1136:AH1136"/>
    <mergeCell ref="AK1136:AL1136"/>
    <mergeCell ref="AC1137:AD1137"/>
    <mergeCell ref="AF1137:AH1137"/>
    <mergeCell ref="AK1137:AL1137"/>
    <mergeCell ref="AC1138:AD1138"/>
    <mergeCell ref="AF1138:AH1138"/>
    <mergeCell ref="AK1138:AL1138"/>
    <mergeCell ref="AC1139:AD1139"/>
    <mergeCell ref="AF1139:AH1139"/>
    <mergeCell ref="AK1139:AL1139"/>
    <mergeCell ref="AC1140:AD1140"/>
    <mergeCell ref="AF1140:AH1140"/>
    <mergeCell ref="AK1140:AL1140"/>
    <mergeCell ref="AC1141:AD1141"/>
    <mergeCell ref="AF1141:AH1141"/>
    <mergeCell ref="AK1141:AL1141"/>
    <mergeCell ref="AK1142:AL1142"/>
    <mergeCell ref="AC1143:AD1143"/>
    <mergeCell ref="AF1143:AH1143"/>
    <mergeCell ref="AK1143:AL1143"/>
    <mergeCell ref="AC1144:AD1144"/>
    <mergeCell ref="AF1144:AH1144"/>
    <mergeCell ref="AK1144:AL1144"/>
    <mergeCell ref="AC1145:AD1145"/>
    <mergeCell ref="AF1145:AH1145"/>
    <mergeCell ref="AK1145:AL1145"/>
    <mergeCell ref="AC1146:AD1146"/>
    <mergeCell ref="AF1146:AH1146"/>
    <mergeCell ref="AK1146:AL1146"/>
    <mergeCell ref="AC1147:AD1147"/>
    <mergeCell ref="AF1147:AH1147"/>
    <mergeCell ref="AK1147:AL1147"/>
    <mergeCell ref="AC1148:AD1148"/>
    <mergeCell ref="AF1148:AH1148"/>
    <mergeCell ref="AK1148:AL1148"/>
    <mergeCell ref="AC1149:AD1149"/>
    <mergeCell ref="AF1149:AH1149"/>
    <mergeCell ref="AK1149:AL1149"/>
    <mergeCell ref="AC1150:AD1150"/>
    <mergeCell ref="AF1150:AH1150"/>
    <mergeCell ref="AK1150:AL1150"/>
    <mergeCell ref="AC1151:AD1151"/>
    <mergeCell ref="AF1151:AH1151"/>
    <mergeCell ref="AK1151:AL1151"/>
    <mergeCell ref="AC1152:AD1152"/>
    <mergeCell ref="AF1152:AH1152"/>
    <mergeCell ref="AK1152:AL1152"/>
    <mergeCell ref="AC1153:AD1153"/>
    <mergeCell ref="AF1153:AH1153"/>
    <mergeCell ref="AK1153:AL1153"/>
    <mergeCell ref="AK1154:AL1154"/>
    <mergeCell ref="AC1155:AD1155"/>
    <mergeCell ref="AF1155:AH1155"/>
    <mergeCell ref="AK1155:AL1155"/>
    <mergeCell ref="AC1156:AD1156"/>
    <mergeCell ref="AF1156:AH1156"/>
    <mergeCell ref="AK1156:AL1156"/>
    <mergeCell ref="AC1157:AD1157"/>
    <mergeCell ref="AF1157:AH1157"/>
    <mergeCell ref="AK1157:AL1157"/>
    <mergeCell ref="AC1158:AD1158"/>
    <mergeCell ref="AF1158:AH1158"/>
    <mergeCell ref="AK1158:AL1158"/>
    <mergeCell ref="AC1159:AD1159"/>
    <mergeCell ref="AF1159:AH1159"/>
    <mergeCell ref="AK1159:AL1159"/>
    <mergeCell ref="AC1160:AD1160"/>
    <mergeCell ref="AF1160:AH1160"/>
    <mergeCell ref="AK1160:AL1160"/>
    <mergeCell ref="AC1161:AD1161"/>
    <mergeCell ref="AF1161:AH1161"/>
    <mergeCell ref="AK1161:AL1161"/>
    <mergeCell ref="AC1162:AD1162"/>
    <mergeCell ref="AF1162:AH1162"/>
    <mergeCell ref="AK1162:AL1162"/>
    <mergeCell ref="AC1163:AD1163"/>
    <mergeCell ref="AF1163:AH1163"/>
    <mergeCell ref="AK1163:AL1163"/>
    <mergeCell ref="AC1164:AD1164"/>
    <mergeCell ref="AF1164:AH1164"/>
    <mergeCell ref="AK1164:AL1164"/>
    <mergeCell ref="AC1165:AD1165"/>
    <mergeCell ref="AF1165:AH1165"/>
    <mergeCell ref="AK1165:AL1165"/>
    <mergeCell ref="AK1166:AL1166"/>
    <mergeCell ref="AC1167:AD1167"/>
    <mergeCell ref="AF1167:AH1167"/>
    <mergeCell ref="AK1167:AL1167"/>
    <mergeCell ref="AC1168:AD1168"/>
    <mergeCell ref="AF1168:AH1168"/>
    <mergeCell ref="AK1168:AL1168"/>
    <mergeCell ref="AC1169:AD1169"/>
    <mergeCell ref="AF1169:AH1169"/>
    <mergeCell ref="AK1169:AL1169"/>
    <mergeCell ref="AC1170:AD1170"/>
    <mergeCell ref="AF1170:AH1170"/>
    <mergeCell ref="AK1170:AL1170"/>
    <mergeCell ref="AC1171:AD1171"/>
    <mergeCell ref="AF1171:AH1171"/>
    <mergeCell ref="AK1171:AL1171"/>
    <mergeCell ref="AC1172:AD1172"/>
    <mergeCell ref="AF1172:AH1172"/>
    <mergeCell ref="AK1172:AL1172"/>
    <mergeCell ref="AC1173:AD1173"/>
    <mergeCell ref="AF1173:AH1173"/>
    <mergeCell ref="AK1173:AL1173"/>
    <mergeCell ref="AC1174:AD1174"/>
    <mergeCell ref="AF1174:AH1174"/>
    <mergeCell ref="AK1174:AL1174"/>
    <mergeCell ref="AC1175:AD1175"/>
    <mergeCell ref="AF1175:AH1175"/>
    <mergeCell ref="AK1175:AL1175"/>
    <mergeCell ref="AC1176:AD1176"/>
    <mergeCell ref="AF1176:AH1176"/>
    <mergeCell ref="AK1176:AL1176"/>
    <mergeCell ref="AC1177:AD1177"/>
    <mergeCell ref="AF1177:AH1177"/>
    <mergeCell ref="AK1177:AL1177"/>
    <mergeCell ref="AK1178:AL1178"/>
    <mergeCell ref="AC1179:AD1179"/>
    <mergeCell ref="AF1179:AH1179"/>
    <mergeCell ref="AK1179:AL1179"/>
    <mergeCell ref="AC1180:AD1180"/>
    <mergeCell ref="AF1180:AH1180"/>
    <mergeCell ref="AK1180:AL1180"/>
    <mergeCell ref="AC1181:AD1181"/>
    <mergeCell ref="AF1181:AH1181"/>
    <mergeCell ref="AK1181:AL1181"/>
    <mergeCell ref="AC1182:AD1182"/>
    <mergeCell ref="AF1182:AH1182"/>
    <mergeCell ref="AK1182:AL1182"/>
    <mergeCell ref="AC1183:AD1183"/>
    <mergeCell ref="AF1183:AH1183"/>
    <mergeCell ref="AK1183:AL1183"/>
    <mergeCell ref="AC1184:AD1184"/>
    <mergeCell ref="AF1184:AH1184"/>
    <mergeCell ref="AK1184:AL1184"/>
    <mergeCell ref="AC1185:AD1185"/>
    <mergeCell ref="AF1185:AH1185"/>
    <mergeCell ref="AK1185:AL1185"/>
    <mergeCell ref="AC1186:AD1186"/>
    <mergeCell ref="AF1186:AH1186"/>
    <mergeCell ref="AK1186:AL1186"/>
    <mergeCell ref="AC1187:AD1187"/>
    <mergeCell ref="AF1187:AH1187"/>
    <mergeCell ref="AK1187:AL1187"/>
    <mergeCell ref="AC1188:AD1188"/>
    <mergeCell ref="AF1188:AH1188"/>
    <mergeCell ref="AK1188:AL1188"/>
    <mergeCell ref="AC1189:AD1189"/>
    <mergeCell ref="AF1189:AH1189"/>
    <mergeCell ref="AK1189:AL1189"/>
    <mergeCell ref="AK1190:AL1190"/>
    <mergeCell ref="AC1191:AD1191"/>
    <mergeCell ref="AF1191:AH1191"/>
    <mergeCell ref="AK1191:AL1191"/>
    <mergeCell ref="AC1192:AD1192"/>
    <mergeCell ref="AF1192:AH1192"/>
    <mergeCell ref="AK1192:AL1192"/>
    <mergeCell ref="AC1193:AD1193"/>
    <mergeCell ref="AF1193:AH1193"/>
    <mergeCell ref="AK1193:AL1193"/>
    <mergeCell ref="AC1194:AD1194"/>
    <mergeCell ref="AF1194:AH1194"/>
    <mergeCell ref="AK1194:AL1194"/>
    <mergeCell ref="AC1195:AD1195"/>
    <mergeCell ref="AF1195:AH1195"/>
    <mergeCell ref="AK1195:AL1195"/>
    <mergeCell ref="AC1196:AD1196"/>
    <mergeCell ref="AF1196:AH1196"/>
    <mergeCell ref="AK1196:AL1196"/>
    <mergeCell ref="AC1197:AD1197"/>
    <mergeCell ref="AF1197:AH1197"/>
    <mergeCell ref="AK1197:AL1197"/>
    <mergeCell ref="AC1198:AD1198"/>
    <mergeCell ref="AF1198:AH1198"/>
    <mergeCell ref="AK1198:AL1198"/>
    <mergeCell ref="AC1199:AD1199"/>
    <mergeCell ref="AF1199:AH1199"/>
    <mergeCell ref="AK1199:AL1199"/>
    <mergeCell ref="AC1200:AD1200"/>
    <mergeCell ref="AF1200:AH1200"/>
    <mergeCell ref="AK1200:AL1200"/>
    <mergeCell ref="AC1201:AD1201"/>
    <mergeCell ref="AF1201:AH1201"/>
    <mergeCell ref="AK1201:AL1201"/>
    <mergeCell ref="AK1202:AL1202"/>
    <mergeCell ref="AC1203:AD1203"/>
    <mergeCell ref="AF1203:AH1203"/>
    <mergeCell ref="AK1203:AL1203"/>
    <mergeCell ref="AC1204:AD1204"/>
    <mergeCell ref="AF1204:AH1204"/>
    <mergeCell ref="AK1204:AL1204"/>
    <mergeCell ref="AC1205:AD1205"/>
    <mergeCell ref="AF1205:AH1205"/>
    <mergeCell ref="AK1205:AL1205"/>
    <mergeCell ref="AC1206:AD1206"/>
    <mergeCell ref="AF1206:AH1206"/>
    <mergeCell ref="AK1206:AL1206"/>
    <mergeCell ref="AC1207:AD1207"/>
    <mergeCell ref="AF1207:AH1207"/>
    <mergeCell ref="AK1207:AL1207"/>
    <mergeCell ref="AC1208:AD1208"/>
    <mergeCell ref="AF1208:AH1208"/>
    <mergeCell ref="AK1208:AL1208"/>
    <mergeCell ref="AC1209:AD1209"/>
    <mergeCell ref="AF1209:AH1209"/>
    <mergeCell ref="AK1209:AL1209"/>
    <mergeCell ref="AC1210:AD1210"/>
    <mergeCell ref="AF1210:AH1210"/>
    <mergeCell ref="AK1210:AL1210"/>
    <mergeCell ref="AC1211:AD1211"/>
    <mergeCell ref="AF1211:AH1211"/>
    <mergeCell ref="AK1211:AL1211"/>
    <mergeCell ref="AC1212:AD1212"/>
    <mergeCell ref="AF1212:AH1212"/>
    <mergeCell ref="AK1212:AL1212"/>
    <mergeCell ref="AC1213:AD1213"/>
    <mergeCell ref="AF1213:AH1213"/>
    <mergeCell ref="AK1213:AL1213"/>
    <mergeCell ref="AK1214:AL1214"/>
    <mergeCell ref="AC1215:AD1215"/>
    <mergeCell ref="AF1215:AH1215"/>
    <mergeCell ref="AK1215:AL1215"/>
    <mergeCell ref="AC1216:AD1216"/>
    <mergeCell ref="AF1216:AH1216"/>
    <mergeCell ref="AK1216:AL1216"/>
    <mergeCell ref="AC1217:AD1217"/>
    <mergeCell ref="AF1217:AH1217"/>
    <mergeCell ref="AK1217:AL1217"/>
    <mergeCell ref="AC1218:AD1218"/>
    <mergeCell ref="AF1218:AH1218"/>
    <mergeCell ref="AK1218:AL1218"/>
    <mergeCell ref="AC1219:AD1219"/>
    <mergeCell ref="AF1219:AH1219"/>
    <mergeCell ref="AK1219:AL1219"/>
    <mergeCell ref="AC1220:AD1220"/>
    <mergeCell ref="AF1220:AH1220"/>
    <mergeCell ref="AK1220:AL1220"/>
    <mergeCell ref="AC1221:AD1221"/>
    <mergeCell ref="AF1221:AH1221"/>
    <mergeCell ref="AK1221:AL1221"/>
    <mergeCell ref="AC1222:AD1222"/>
    <mergeCell ref="AF1222:AH1222"/>
    <mergeCell ref="AK1222:AL1222"/>
    <mergeCell ref="AC1223:AD1223"/>
    <mergeCell ref="AF1223:AH1223"/>
    <mergeCell ref="AK1223:AL1223"/>
    <mergeCell ref="AC1224:AD1224"/>
    <mergeCell ref="AF1224:AH1224"/>
    <mergeCell ref="AK1224:AL1224"/>
    <mergeCell ref="AC1225:AD1225"/>
    <mergeCell ref="AF1225:AH1225"/>
    <mergeCell ref="AK1225:AL1225"/>
    <mergeCell ref="AK1226:AL1226"/>
    <mergeCell ref="AC1227:AD1227"/>
    <mergeCell ref="AF1227:AH1227"/>
    <mergeCell ref="AK1227:AL1227"/>
    <mergeCell ref="AC1228:AD1228"/>
    <mergeCell ref="AF1228:AH1228"/>
    <mergeCell ref="AK1228:AL1228"/>
    <mergeCell ref="AC1229:AD1229"/>
    <mergeCell ref="AF1229:AH1229"/>
    <mergeCell ref="AK1229:AL1229"/>
    <mergeCell ref="AC1230:AD1230"/>
    <mergeCell ref="AF1230:AH1230"/>
    <mergeCell ref="AK1230:AL1230"/>
    <mergeCell ref="AC1231:AD1231"/>
    <mergeCell ref="AF1231:AH1231"/>
    <mergeCell ref="AK1231:AL1231"/>
    <mergeCell ref="AC1232:AD1232"/>
    <mergeCell ref="AF1232:AH1232"/>
    <mergeCell ref="AK1232:AL1232"/>
    <mergeCell ref="AC1233:AD1233"/>
    <mergeCell ref="AF1233:AH1233"/>
    <mergeCell ref="AK1233:AL1233"/>
    <mergeCell ref="AC1234:AD1234"/>
    <mergeCell ref="AF1234:AH1234"/>
    <mergeCell ref="AK1234:AL1234"/>
    <mergeCell ref="AC1235:AD1235"/>
    <mergeCell ref="AF1235:AH1235"/>
    <mergeCell ref="AK1235:AL1235"/>
    <mergeCell ref="AC1236:AD1236"/>
    <mergeCell ref="AF1236:AH1236"/>
    <mergeCell ref="AK1236:AL1236"/>
    <mergeCell ref="AC1237:AD1237"/>
    <mergeCell ref="AF1237:AH1237"/>
    <mergeCell ref="AK1237:AL1237"/>
    <mergeCell ref="AC1238:AD1238"/>
    <mergeCell ref="AF1238:AH1238"/>
    <mergeCell ref="AK1238:AL1238"/>
    <mergeCell ref="AC1239:AD1239"/>
    <mergeCell ref="AF1239:AH1239"/>
    <mergeCell ref="AK1239:AL1239"/>
    <mergeCell ref="AC1240:AD1240"/>
    <mergeCell ref="AF1240:AH1240"/>
    <mergeCell ref="AK1240:AL1240"/>
    <mergeCell ref="AC1241:AD1241"/>
    <mergeCell ref="AF1241:AH1241"/>
    <mergeCell ref="AK1241:AL1241"/>
    <mergeCell ref="AC1242:AD1242"/>
    <mergeCell ref="AF1242:AH1242"/>
    <mergeCell ref="AK1242:AL1242"/>
    <mergeCell ref="AC1243:AD1243"/>
    <mergeCell ref="AF1243:AH1243"/>
    <mergeCell ref="AK1243:AL1243"/>
    <mergeCell ref="AC1244:AD1244"/>
    <mergeCell ref="AF1244:AH1244"/>
    <mergeCell ref="AK1244:AL1244"/>
    <mergeCell ref="AC1245:AD1245"/>
    <mergeCell ref="AF1245:AH1245"/>
    <mergeCell ref="AK1245:AL1245"/>
    <mergeCell ref="AC1246:AD1246"/>
    <mergeCell ref="AF1246:AH1246"/>
    <mergeCell ref="AK1246:AL1246"/>
    <mergeCell ref="AC1247:AD1247"/>
    <mergeCell ref="AF1247:AH1247"/>
    <mergeCell ref="AK1247:AL1247"/>
    <mergeCell ref="AC1248:AD1248"/>
    <mergeCell ref="AF1248:AH1248"/>
    <mergeCell ref="AK1248:AL1248"/>
    <mergeCell ref="AC1249:AD1249"/>
    <mergeCell ref="AF1249:AH1249"/>
    <mergeCell ref="AK1249:AL1249"/>
    <mergeCell ref="AC1250:AD1250"/>
    <mergeCell ref="AF1250:AH1250"/>
    <mergeCell ref="AK1250:AL1250"/>
    <mergeCell ref="AC1251:AD1251"/>
    <mergeCell ref="AF1251:AH1251"/>
    <mergeCell ref="AK1251:AL1251"/>
    <mergeCell ref="AC1252:AD1252"/>
    <mergeCell ref="AF1252:AH1252"/>
    <mergeCell ref="AK1252:AL1252"/>
    <mergeCell ref="AC1253:AD1253"/>
    <mergeCell ref="AF1253:AH1253"/>
    <mergeCell ref="AK1253:AL1253"/>
    <mergeCell ref="AC1254:AD1254"/>
    <mergeCell ref="AF1254:AH1254"/>
    <mergeCell ref="AK1254:AL1254"/>
    <mergeCell ref="AC1255:AD1255"/>
    <mergeCell ref="AF1255:AH1255"/>
    <mergeCell ref="AK1255:AL1255"/>
    <mergeCell ref="AC1256:AD1256"/>
    <mergeCell ref="AF1256:AH1256"/>
    <mergeCell ref="AK1256:AL1256"/>
    <mergeCell ref="AC1257:AD1257"/>
    <mergeCell ref="AF1257:AH1257"/>
    <mergeCell ref="AK1257:AL1257"/>
    <mergeCell ref="AC1258:AD1258"/>
    <mergeCell ref="AF1258:AH1258"/>
    <mergeCell ref="AK1258:AL1258"/>
    <mergeCell ref="AC1259:AD1259"/>
    <mergeCell ref="AF1259:AH1259"/>
    <mergeCell ref="AK1259:AL1259"/>
    <mergeCell ref="AC1260:AD1260"/>
    <mergeCell ref="AF1260:AH1260"/>
    <mergeCell ref="AK1260:AL1260"/>
    <mergeCell ref="AC1261:AD1261"/>
    <mergeCell ref="AF1261:AH1261"/>
    <mergeCell ref="AK1261:AL1261"/>
    <mergeCell ref="AC1262:AD1262"/>
    <mergeCell ref="AF1262:AH1262"/>
    <mergeCell ref="AK1262:AL1262"/>
    <mergeCell ref="AC1263:AD1263"/>
    <mergeCell ref="AF1263:AH1263"/>
    <mergeCell ref="AK1263:AL1263"/>
    <mergeCell ref="AC1264:AD1264"/>
    <mergeCell ref="AF1264:AH1264"/>
    <mergeCell ref="AK1264:AL1264"/>
    <mergeCell ref="AC1265:AD1265"/>
    <mergeCell ref="AF1265:AH1265"/>
    <mergeCell ref="AK1265:AL1265"/>
    <mergeCell ref="AC1266:AD1266"/>
    <mergeCell ref="AF1266:AH1266"/>
    <mergeCell ref="AK1266:AL1266"/>
    <mergeCell ref="AC1267:AD1267"/>
    <mergeCell ref="AF1267:AH1267"/>
    <mergeCell ref="AK1267:AL1267"/>
    <mergeCell ref="AC1268:AD1268"/>
    <mergeCell ref="AF1268:AH1268"/>
    <mergeCell ref="AK1268:AL1268"/>
    <mergeCell ref="AC1269:AD1269"/>
    <mergeCell ref="AF1269:AH1269"/>
    <mergeCell ref="AK1269:AL1269"/>
    <mergeCell ref="AC1270:AD1270"/>
    <mergeCell ref="AF1270:AH1270"/>
    <mergeCell ref="AK1270:AL1270"/>
    <mergeCell ref="AC1271:AD1271"/>
    <mergeCell ref="AF1271:AH1271"/>
    <mergeCell ref="AK1271:AL1271"/>
    <mergeCell ref="AC1272:AD1272"/>
    <mergeCell ref="AF1272:AH1272"/>
    <mergeCell ref="AK1272:AL1272"/>
    <mergeCell ref="AC1273:AD1273"/>
    <mergeCell ref="AF1273:AH1273"/>
    <mergeCell ref="AK1273:AL1273"/>
    <mergeCell ref="AC1274:AD1274"/>
    <mergeCell ref="AF1274:AH1274"/>
    <mergeCell ref="AK1274:AL1274"/>
    <mergeCell ref="AC1275:AD1275"/>
    <mergeCell ref="AF1275:AH1275"/>
    <mergeCell ref="AK1275:AL1275"/>
    <mergeCell ref="AC1276:AD1276"/>
    <mergeCell ref="AF1276:AH1276"/>
    <mergeCell ref="AK1276:AL1276"/>
    <mergeCell ref="AC1277:AD1277"/>
    <mergeCell ref="AF1277:AH1277"/>
    <mergeCell ref="AK1277:AL1277"/>
    <mergeCell ref="AC1278:AD1278"/>
    <mergeCell ref="AF1278:AH1278"/>
    <mergeCell ref="AK1278:AL1278"/>
    <mergeCell ref="AC1279:AD1279"/>
    <mergeCell ref="AF1279:AH1279"/>
    <mergeCell ref="AK1279:AL1279"/>
    <mergeCell ref="AC1280:AD1280"/>
    <mergeCell ref="AF1280:AH1280"/>
    <mergeCell ref="AK1280:AL1280"/>
    <mergeCell ref="AC1281:AD1281"/>
    <mergeCell ref="AF1281:AH1281"/>
    <mergeCell ref="AK1281:AL1281"/>
    <mergeCell ref="AC1282:AD1282"/>
    <mergeCell ref="AF1282:AH1282"/>
    <mergeCell ref="AK1282:AL1282"/>
    <mergeCell ref="AC1283:AD1283"/>
    <mergeCell ref="AF1283:AH1283"/>
    <mergeCell ref="AK1283:AL1283"/>
    <mergeCell ref="AC1284:AD1284"/>
    <mergeCell ref="AF1284:AH1284"/>
    <mergeCell ref="AK1284:AL1284"/>
    <mergeCell ref="AC1285:AD1285"/>
    <mergeCell ref="AF1285:AH1285"/>
    <mergeCell ref="AK1285:AL1285"/>
    <mergeCell ref="AC1286:AD1286"/>
    <mergeCell ref="AF1286:AH1286"/>
    <mergeCell ref="AK1286:AL1286"/>
    <mergeCell ref="AC1287:AD1287"/>
    <mergeCell ref="AF1287:AH1287"/>
    <mergeCell ref="AK1287:AL1287"/>
    <mergeCell ref="AC1288:AD1288"/>
    <mergeCell ref="AF1288:AH1288"/>
    <mergeCell ref="AK1288:AL1288"/>
    <mergeCell ref="AC1289:AD1289"/>
    <mergeCell ref="AF1289:AH1289"/>
    <mergeCell ref="AK1289:AL1289"/>
    <mergeCell ref="AC1290:AD1290"/>
    <mergeCell ref="AF1290:AH1290"/>
    <mergeCell ref="AK1290:AL1290"/>
    <mergeCell ref="AC1291:AD1291"/>
    <mergeCell ref="AF1291:AH1291"/>
    <mergeCell ref="AK1291:AL1291"/>
    <mergeCell ref="AC1292:AD1292"/>
    <mergeCell ref="AF1292:AH1292"/>
    <mergeCell ref="AK1292:AL1292"/>
    <mergeCell ref="AC1293:AD1293"/>
    <mergeCell ref="AF1293:AH1293"/>
    <mergeCell ref="AK1293:AL1293"/>
    <mergeCell ref="AC1294:AD1294"/>
    <mergeCell ref="AF1294:AH1294"/>
    <mergeCell ref="AK1294:AL1294"/>
    <mergeCell ref="AC1295:AD1295"/>
    <mergeCell ref="AF1295:AH1295"/>
    <mergeCell ref="AK1295:AL1295"/>
    <mergeCell ref="AC1296:AD1296"/>
    <mergeCell ref="AF1296:AH1296"/>
    <mergeCell ref="AK1296:AL1296"/>
    <mergeCell ref="AC1297:AD1297"/>
    <mergeCell ref="AF1297:AH1297"/>
    <mergeCell ref="AK1297:AL1297"/>
    <mergeCell ref="AC1298:AD1298"/>
    <mergeCell ref="AF1298:AH1298"/>
    <mergeCell ref="AK1298:AL1298"/>
    <mergeCell ref="AC1299:AD1299"/>
    <mergeCell ref="AF1299:AH1299"/>
    <mergeCell ref="AK1299:AL1299"/>
    <mergeCell ref="AC1300:AD1300"/>
    <mergeCell ref="AF1300:AH1300"/>
    <mergeCell ref="AK1300:AL1300"/>
    <mergeCell ref="AC1301:AD1301"/>
    <mergeCell ref="AF1301:AH1301"/>
    <mergeCell ref="AK1301:AL1301"/>
    <mergeCell ref="AC1302:AD1302"/>
    <mergeCell ref="AF1302:AH1302"/>
    <mergeCell ref="AK1302:AL1302"/>
    <mergeCell ref="AC1303:AD1303"/>
    <mergeCell ref="AF1303:AH1303"/>
    <mergeCell ref="AK1303:AL1303"/>
    <mergeCell ref="AC1304:AD1304"/>
    <mergeCell ref="AF1304:AH1304"/>
    <mergeCell ref="AK1304:AL1304"/>
    <mergeCell ref="AC1305:AD1305"/>
    <mergeCell ref="AF1305:AH1305"/>
    <mergeCell ref="AK1305:AL1305"/>
    <mergeCell ref="AC1306:AD1306"/>
    <mergeCell ref="AF1306:AH1306"/>
    <mergeCell ref="AK1306:AL1306"/>
    <mergeCell ref="AC1307:AD1307"/>
    <mergeCell ref="AF1307:AH1307"/>
    <mergeCell ref="AK1307:AL1307"/>
    <mergeCell ref="AC1308:AD1308"/>
    <mergeCell ref="AF1308:AH1308"/>
    <mergeCell ref="AK1308:AL1308"/>
    <mergeCell ref="AC1309:AD1309"/>
    <mergeCell ref="AF1309:AH1309"/>
    <mergeCell ref="AK1309:AL1309"/>
    <mergeCell ref="AC1310:AD1310"/>
    <mergeCell ref="AF1310:AH1310"/>
    <mergeCell ref="AK1310:AL1310"/>
    <mergeCell ref="AC1311:AD1311"/>
    <mergeCell ref="AF1311:AH1311"/>
    <mergeCell ref="AK1311:AL1311"/>
    <mergeCell ref="AC1312:AD1312"/>
    <mergeCell ref="AF1312:AH1312"/>
    <mergeCell ref="AK1312:AL1312"/>
    <mergeCell ref="AC1313:AD1313"/>
    <mergeCell ref="AF1313:AH1313"/>
    <mergeCell ref="AK1313:AL1313"/>
    <mergeCell ref="AC1314:AD1314"/>
    <mergeCell ref="AF1314:AH1314"/>
    <mergeCell ref="AK1314:AL1314"/>
    <mergeCell ref="AC1315:AD1315"/>
    <mergeCell ref="AF1315:AH1315"/>
    <mergeCell ref="AK1315:AL1315"/>
    <mergeCell ref="AC1316:AD1316"/>
    <mergeCell ref="AF1316:AH1316"/>
    <mergeCell ref="AK1316:AL1316"/>
    <mergeCell ref="AC1317:AD1317"/>
    <mergeCell ref="AF1317:AH1317"/>
    <mergeCell ref="AK1317:AL1317"/>
    <mergeCell ref="AC1318:AD1318"/>
    <mergeCell ref="AF1318:AH1318"/>
    <mergeCell ref="AK1318:AL1318"/>
    <mergeCell ref="AC1319:AD1319"/>
    <mergeCell ref="AF1319:AH1319"/>
    <mergeCell ref="AK1319:AL1319"/>
    <mergeCell ref="AC1320:AD1320"/>
    <mergeCell ref="AF1320:AH1320"/>
    <mergeCell ref="AK1320:AL1320"/>
    <mergeCell ref="AC1321:AD1321"/>
    <mergeCell ref="AF1321:AH1321"/>
    <mergeCell ref="AK1321:AL1321"/>
    <mergeCell ref="AC1322:AD1322"/>
    <mergeCell ref="AF1322:AH1322"/>
    <mergeCell ref="AK1322:AL1322"/>
    <mergeCell ref="AC1323:AD1323"/>
    <mergeCell ref="AF1323:AH1323"/>
    <mergeCell ref="AK1323:AL1323"/>
    <mergeCell ref="AC1324:AD1324"/>
    <mergeCell ref="AF1324:AH1324"/>
    <mergeCell ref="AK1324:AL1324"/>
    <mergeCell ref="AC1325:AD1325"/>
    <mergeCell ref="AF1325:AH1325"/>
    <mergeCell ref="AK1325:AL1325"/>
    <mergeCell ref="AC1326:AD1326"/>
    <mergeCell ref="AF1326:AH1326"/>
    <mergeCell ref="AK1326:AL1326"/>
    <mergeCell ref="AC1327:AD1327"/>
    <mergeCell ref="AF1327:AH1327"/>
    <mergeCell ref="AK1327:AL1327"/>
    <mergeCell ref="AC1328:AD1328"/>
    <mergeCell ref="AF1328:AH1328"/>
    <mergeCell ref="AK1328:AL1328"/>
    <mergeCell ref="AC1329:AD1329"/>
    <mergeCell ref="AF1329:AH1329"/>
    <mergeCell ref="AK1329:AL1329"/>
    <mergeCell ref="AC1330:AD1330"/>
    <mergeCell ref="AF1330:AH1330"/>
    <mergeCell ref="AK1330:AL1330"/>
    <mergeCell ref="AC1331:AD1331"/>
    <mergeCell ref="AF1331:AH1331"/>
    <mergeCell ref="AK1331:AL1331"/>
    <mergeCell ref="AC1332:AD1332"/>
    <mergeCell ref="AF1332:AH1332"/>
    <mergeCell ref="AK1332:AL1332"/>
    <mergeCell ref="AC1333:AD1333"/>
    <mergeCell ref="AF1333:AH1333"/>
    <mergeCell ref="AK1333:AL1333"/>
    <mergeCell ref="AC1334:AD1334"/>
    <mergeCell ref="AF1334:AH1334"/>
    <mergeCell ref="AK1334:AL1334"/>
    <mergeCell ref="AC1335:AD1335"/>
    <mergeCell ref="AF1335:AH1335"/>
    <mergeCell ref="AK1335:AL1335"/>
    <mergeCell ref="AC1336:AD1336"/>
    <mergeCell ref="AF1336:AH1336"/>
    <mergeCell ref="AK1336:AL1336"/>
    <mergeCell ref="AC1337:AD1337"/>
    <mergeCell ref="AF1337:AH1337"/>
    <mergeCell ref="AK1337:AL1337"/>
    <mergeCell ref="AC1338:AD1338"/>
    <mergeCell ref="AF1338:AH1338"/>
    <mergeCell ref="AK1338:AL1338"/>
    <mergeCell ref="AC1339:AD1339"/>
    <mergeCell ref="AF1339:AH1339"/>
    <mergeCell ref="AK1339:AL1339"/>
    <mergeCell ref="AC1340:AD1340"/>
    <mergeCell ref="AF1340:AH1340"/>
    <mergeCell ref="AK1340:AL1340"/>
    <mergeCell ref="AC1341:AD1341"/>
    <mergeCell ref="AF1341:AH1341"/>
    <mergeCell ref="AK1341:AL1341"/>
    <mergeCell ref="AC1342:AD1342"/>
    <mergeCell ref="AF1342:AH1342"/>
    <mergeCell ref="AK1342:AL1342"/>
    <mergeCell ref="AC1343:AD1343"/>
    <mergeCell ref="AF1343:AH1343"/>
    <mergeCell ref="AK1343:AL1343"/>
    <mergeCell ref="AC1344:AD1344"/>
    <mergeCell ref="AF1344:AH1344"/>
    <mergeCell ref="AK1344:AL1344"/>
    <mergeCell ref="AC1345:AD1345"/>
    <mergeCell ref="AF1345:AH1345"/>
    <mergeCell ref="AK1345:AL1345"/>
    <mergeCell ref="AC1346:AD1346"/>
    <mergeCell ref="AF1346:AH1346"/>
    <mergeCell ref="AK1346:AL1346"/>
    <mergeCell ref="AC1347:AD1347"/>
    <mergeCell ref="AF1347:AH1347"/>
    <mergeCell ref="AK1347:AL1347"/>
    <mergeCell ref="AC1348:AD1348"/>
    <mergeCell ref="AF1348:AH1348"/>
    <mergeCell ref="AK1348:AL1348"/>
    <mergeCell ref="AC1349:AD1349"/>
    <mergeCell ref="AF1349:AH1349"/>
    <mergeCell ref="AK1349:AL1349"/>
    <mergeCell ref="AC1350:AD1350"/>
    <mergeCell ref="AF1350:AH1350"/>
    <mergeCell ref="AK1350:AL1350"/>
    <mergeCell ref="AC1351:AD1351"/>
    <mergeCell ref="AF1351:AH1351"/>
    <mergeCell ref="AK1351:AL1351"/>
    <mergeCell ref="AC1352:AD1352"/>
    <mergeCell ref="AF1352:AH1352"/>
    <mergeCell ref="AK1352:AL1352"/>
    <mergeCell ref="AC1353:AD1353"/>
    <mergeCell ref="AF1353:AH1353"/>
    <mergeCell ref="AK1353:AL1353"/>
    <mergeCell ref="AC1354:AD1354"/>
    <mergeCell ref="AF1354:AH1354"/>
    <mergeCell ref="AK1354:AL1354"/>
    <mergeCell ref="AC1355:AD1355"/>
    <mergeCell ref="AF1355:AH1355"/>
    <mergeCell ref="AK1355:AL1355"/>
    <mergeCell ref="AC1356:AD1356"/>
    <mergeCell ref="AF1356:AH1356"/>
    <mergeCell ref="AK1356:AL1356"/>
    <mergeCell ref="AC1357:AD1357"/>
    <mergeCell ref="AF1357:AH1357"/>
    <mergeCell ref="AK1357:AL1357"/>
    <mergeCell ref="AC1358:AD1358"/>
    <mergeCell ref="AF1358:AH1358"/>
    <mergeCell ref="AK1358:AL1358"/>
    <mergeCell ref="AC1359:AD1359"/>
    <mergeCell ref="AF1359:AH1359"/>
    <mergeCell ref="AK1359:AL1359"/>
    <mergeCell ref="AC1360:AD1360"/>
    <mergeCell ref="AF1360:AH1360"/>
    <mergeCell ref="AK1360:AL1360"/>
    <mergeCell ref="AC1361:AD1361"/>
    <mergeCell ref="AF1361:AH1361"/>
    <mergeCell ref="AK1361:AL1361"/>
    <mergeCell ref="AC1362:AD1362"/>
    <mergeCell ref="AF1362:AH1362"/>
    <mergeCell ref="AK1362:AL1362"/>
    <mergeCell ref="AC1363:AD1363"/>
    <mergeCell ref="AF1363:AH1363"/>
    <mergeCell ref="AK1363:AL1363"/>
    <mergeCell ref="AC1364:AD1364"/>
    <mergeCell ref="AF1364:AH1364"/>
    <mergeCell ref="AK1364:AL1364"/>
    <mergeCell ref="AC1365:AD1365"/>
    <mergeCell ref="AF1365:AH1365"/>
    <mergeCell ref="AK1365:AL1365"/>
    <mergeCell ref="AC1366:AD1366"/>
    <mergeCell ref="AF1366:AH1366"/>
    <mergeCell ref="AK1366:AL1366"/>
    <mergeCell ref="AC1367:AD1367"/>
    <mergeCell ref="AF1367:AH1367"/>
    <mergeCell ref="AK1367:AL1367"/>
    <mergeCell ref="AC1368:AD1368"/>
    <mergeCell ref="AF1368:AH1368"/>
    <mergeCell ref="AK1368:AL1368"/>
    <mergeCell ref="AC1369:AD1369"/>
    <mergeCell ref="AF1369:AH1369"/>
    <mergeCell ref="AK1369:AL1369"/>
    <mergeCell ref="AC1370:AD1370"/>
    <mergeCell ref="AF1370:AH1370"/>
    <mergeCell ref="AK1370:AL1370"/>
    <mergeCell ref="AC1371:AD1371"/>
    <mergeCell ref="AF1371:AH1371"/>
    <mergeCell ref="AK1371:AL1371"/>
    <mergeCell ref="AC1372:AD1372"/>
    <mergeCell ref="AF1372:AH1372"/>
    <mergeCell ref="AK1372:AL1372"/>
    <mergeCell ref="AC1373:AD1373"/>
    <mergeCell ref="AF1373:AH1373"/>
    <mergeCell ref="AK1373:AL1373"/>
    <mergeCell ref="AC1374:AD1374"/>
    <mergeCell ref="AF1374:AH1374"/>
    <mergeCell ref="AK1374:AL1374"/>
    <mergeCell ref="AC1375:AD1375"/>
    <mergeCell ref="AF1375:AH1375"/>
    <mergeCell ref="AK1375:AL1375"/>
    <mergeCell ref="AC1376:AD1376"/>
    <mergeCell ref="AF1376:AH1376"/>
    <mergeCell ref="AK1376:AL1376"/>
    <mergeCell ref="AC1377:AD1377"/>
    <mergeCell ref="AF1377:AH1377"/>
    <mergeCell ref="AK1377:AL1377"/>
    <mergeCell ref="AC1378:AD1378"/>
    <mergeCell ref="AF1378:AH1378"/>
    <mergeCell ref="AK1378:AL1378"/>
    <mergeCell ref="AC1379:AD1379"/>
    <mergeCell ref="AF1379:AH1379"/>
    <mergeCell ref="AK1379:AL1379"/>
    <mergeCell ref="AC1380:AD1380"/>
    <mergeCell ref="AF1380:AH1380"/>
    <mergeCell ref="AK1380:AL1380"/>
    <mergeCell ref="AC1381:AD1381"/>
    <mergeCell ref="AF1381:AH1381"/>
    <mergeCell ref="AK1381:AL1381"/>
    <mergeCell ref="AC1382:AD1382"/>
    <mergeCell ref="AF1382:AH1382"/>
    <mergeCell ref="AK1382:AL1382"/>
    <mergeCell ref="AC1383:AD1383"/>
    <mergeCell ref="AF1383:AH1383"/>
    <mergeCell ref="AK1383:AL1383"/>
    <mergeCell ref="AC1384:AD1384"/>
    <mergeCell ref="AF1384:AH1384"/>
    <mergeCell ref="AK1384:AL1384"/>
    <mergeCell ref="AC1385:AD1385"/>
    <mergeCell ref="AF1385:AH1385"/>
    <mergeCell ref="AK1385:AL1385"/>
    <mergeCell ref="AC1386:AD1386"/>
    <mergeCell ref="AF1386:AH1386"/>
    <mergeCell ref="AK1386:AL1386"/>
    <mergeCell ref="AC1387:AD1387"/>
    <mergeCell ref="AF1387:AH1387"/>
    <mergeCell ref="AK1387:AL1387"/>
    <mergeCell ref="AC1388:AD1388"/>
    <mergeCell ref="AF1388:AH1388"/>
    <mergeCell ref="AK1388:AL1388"/>
    <mergeCell ref="AC1389:AD1389"/>
    <mergeCell ref="AF1389:AH1389"/>
    <mergeCell ref="AK1389:AL1389"/>
    <mergeCell ref="AC1390:AD1390"/>
    <mergeCell ref="AF1390:AH1390"/>
    <mergeCell ref="AK1390:AL1390"/>
    <mergeCell ref="AC1391:AD1391"/>
    <mergeCell ref="AF1391:AH1391"/>
    <mergeCell ref="AK1391:AL1391"/>
    <mergeCell ref="AC1392:AD1392"/>
    <mergeCell ref="AF1392:AH1392"/>
    <mergeCell ref="AK1392:AL1392"/>
    <mergeCell ref="AC1393:AD1393"/>
    <mergeCell ref="AF1393:AH1393"/>
    <mergeCell ref="AK1393:AL1393"/>
    <mergeCell ref="AC1394:AD1394"/>
    <mergeCell ref="AF1394:AH1394"/>
    <mergeCell ref="AK1394:AL1394"/>
    <mergeCell ref="AC1395:AD1395"/>
    <mergeCell ref="AF1395:AH1395"/>
    <mergeCell ref="AK1395:AL1395"/>
    <mergeCell ref="AC1396:AD1396"/>
    <mergeCell ref="AF1396:AH1396"/>
    <mergeCell ref="AK1396:AL1396"/>
    <mergeCell ref="AC1397:AD1397"/>
    <mergeCell ref="AF1397:AH1397"/>
    <mergeCell ref="AK1397:AL1397"/>
    <mergeCell ref="AC1398:AD1398"/>
    <mergeCell ref="AF1398:AH1398"/>
    <mergeCell ref="AK1398:AL1398"/>
    <mergeCell ref="AC1399:AD1399"/>
    <mergeCell ref="AF1399:AH1399"/>
    <mergeCell ref="AK1399:AL1399"/>
    <mergeCell ref="AC1400:AD1400"/>
    <mergeCell ref="AF1400:AH1400"/>
    <mergeCell ref="AK1400:AL1400"/>
    <mergeCell ref="AC1401:AD1401"/>
    <mergeCell ref="AF1401:AH1401"/>
    <mergeCell ref="AK1401:AL1401"/>
    <mergeCell ref="AC1402:AD1402"/>
    <mergeCell ref="AF1402:AH1402"/>
    <mergeCell ref="AK1402:AL1402"/>
    <mergeCell ref="AC1403:AD1403"/>
    <mergeCell ref="AF1403:AH1403"/>
    <mergeCell ref="AK1403:AL1403"/>
    <mergeCell ref="AC1404:AD1404"/>
    <mergeCell ref="AF1404:AH1404"/>
    <mergeCell ref="AK1404:AL1404"/>
    <mergeCell ref="AC1405:AD1405"/>
    <mergeCell ref="AF1405:AH1405"/>
    <mergeCell ref="AK1405:AL1405"/>
    <mergeCell ref="AC1406:AD1406"/>
    <mergeCell ref="AF1406:AH1406"/>
    <mergeCell ref="AK1406:AL1406"/>
    <mergeCell ref="AC1407:AD1407"/>
    <mergeCell ref="AF1407:AH1407"/>
    <mergeCell ref="AK1407:AL1407"/>
    <mergeCell ref="AC1408:AD1408"/>
    <mergeCell ref="AF1408:AH1408"/>
    <mergeCell ref="AK1408:AL1408"/>
    <mergeCell ref="AC1409:AD1409"/>
    <mergeCell ref="AF1409:AH1409"/>
    <mergeCell ref="AK1409:AL1409"/>
    <mergeCell ref="AC1410:AD1410"/>
    <mergeCell ref="AF1410:AH1410"/>
    <mergeCell ref="AK1410:AL1410"/>
    <mergeCell ref="AC1411:AD1411"/>
    <mergeCell ref="AF1411:AH1411"/>
    <mergeCell ref="AK1411:AL1411"/>
    <mergeCell ref="AC1412:AD1412"/>
    <mergeCell ref="AF1412:AH1412"/>
    <mergeCell ref="AK1412:AL1412"/>
    <mergeCell ref="AC1413:AD1413"/>
    <mergeCell ref="AF1413:AH1413"/>
    <mergeCell ref="AK1413:AL1413"/>
    <mergeCell ref="AC1414:AD1414"/>
    <mergeCell ref="AF1414:AH1414"/>
    <mergeCell ref="AK1414:AL1414"/>
    <mergeCell ref="AC1415:AD1415"/>
    <mergeCell ref="AF1415:AH1415"/>
    <mergeCell ref="AK1415:AL1415"/>
    <mergeCell ref="AC1416:AD1416"/>
    <mergeCell ref="AF1416:AH1416"/>
    <mergeCell ref="AK1416:AL1416"/>
    <mergeCell ref="AC1417:AD1417"/>
    <mergeCell ref="AF1417:AH1417"/>
    <mergeCell ref="AK1417:AL1417"/>
    <mergeCell ref="AC1418:AD1418"/>
    <mergeCell ref="AF1418:AH1418"/>
    <mergeCell ref="AK1418:AL1418"/>
    <mergeCell ref="AC1419:AD1419"/>
    <mergeCell ref="AF1419:AH1419"/>
    <mergeCell ref="AK1419:AL1419"/>
    <mergeCell ref="AC1420:AD1420"/>
    <mergeCell ref="AF1420:AH1420"/>
    <mergeCell ref="AK1420:AL1420"/>
    <mergeCell ref="AC1421:AD1421"/>
    <mergeCell ref="AF1421:AH1421"/>
    <mergeCell ref="AK1421:AL1421"/>
    <mergeCell ref="AC1422:AD1422"/>
    <mergeCell ref="AF1422:AH1422"/>
    <mergeCell ref="AK1422:AL1422"/>
    <mergeCell ref="AC1423:AD1423"/>
    <mergeCell ref="AF1423:AH1423"/>
    <mergeCell ref="AK1423:AL1423"/>
    <mergeCell ref="AC1424:AD1424"/>
    <mergeCell ref="AF1424:AH1424"/>
    <mergeCell ref="AK1424:AL1424"/>
    <mergeCell ref="AC1425:AD1425"/>
    <mergeCell ref="AF1425:AH1425"/>
    <mergeCell ref="AK1425:AL1425"/>
    <mergeCell ref="AC1426:AD1426"/>
    <mergeCell ref="AF1426:AH1426"/>
    <mergeCell ref="AK1426:AL1426"/>
    <mergeCell ref="AC1427:AD1427"/>
    <mergeCell ref="AF1427:AH1427"/>
    <mergeCell ref="AK1427:AL1427"/>
    <mergeCell ref="AC1428:AD1428"/>
    <mergeCell ref="AF1428:AH1428"/>
    <mergeCell ref="AK1428:AL1428"/>
    <mergeCell ref="AC1429:AD1429"/>
    <mergeCell ref="AF1429:AH1429"/>
    <mergeCell ref="AK1429:AL1429"/>
    <mergeCell ref="AC1430:AD1430"/>
    <mergeCell ref="AF1430:AH1430"/>
    <mergeCell ref="AK1430:AL1430"/>
    <mergeCell ref="AC1431:AD1431"/>
    <mergeCell ref="AF1431:AH1431"/>
    <mergeCell ref="AK1431:AL1431"/>
    <mergeCell ref="AC1432:AD1432"/>
    <mergeCell ref="AF1432:AH1432"/>
    <mergeCell ref="AK1432:AL1432"/>
    <mergeCell ref="AC1433:AD1433"/>
    <mergeCell ref="AF1433:AH1433"/>
    <mergeCell ref="AK1433:AL1433"/>
    <mergeCell ref="AC1434:AD1434"/>
    <mergeCell ref="AF1434:AH1434"/>
    <mergeCell ref="AK1434:AL1434"/>
    <mergeCell ref="AC1435:AD1435"/>
    <mergeCell ref="AF1435:AH1435"/>
    <mergeCell ref="AK1435:AL1435"/>
    <mergeCell ref="AC1436:AD1436"/>
    <mergeCell ref="AF1436:AH1436"/>
    <mergeCell ref="AK1436:AL1436"/>
    <mergeCell ref="AC1437:AD1437"/>
    <mergeCell ref="AF1437:AH1437"/>
    <mergeCell ref="AK1437:AL1437"/>
    <mergeCell ref="AC1438:AD1438"/>
    <mergeCell ref="AF1438:AH1438"/>
    <mergeCell ref="AK1438:AL1438"/>
    <mergeCell ref="AC1439:AD1439"/>
    <mergeCell ref="AF1439:AH1439"/>
    <mergeCell ref="AK1439:AL1439"/>
    <mergeCell ref="AC1440:AD1440"/>
    <mergeCell ref="AF1440:AH1440"/>
    <mergeCell ref="AK1440:AL1440"/>
    <mergeCell ref="AC1441:AD1441"/>
    <mergeCell ref="AF1441:AH1441"/>
    <mergeCell ref="AK1441:AL1441"/>
    <mergeCell ref="AC1442:AD1442"/>
    <mergeCell ref="AF1442:AH1442"/>
    <mergeCell ref="AK1442:AL1442"/>
    <mergeCell ref="AC1443:AD1443"/>
    <mergeCell ref="AF1443:AH1443"/>
    <mergeCell ref="AK1443:AL1443"/>
    <mergeCell ref="AC1444:AD1444"/>
    <mergeCell ref="AF1444:AH1444"/>
    <mergeCell ref="AK1444:AL1444"/>
    <mergeCell ref="AC1445:AD1445"/>
    <mergeCell ref="AF1445:AH1445"/>
    <mergeCell ref="AK1445:AL1445"/>
    <mergeCell ref="AC1446:AD1446"/>
    <mergeCell ref="AF1446:AH1446"/>
    <mergeCell ref="AK1446:AL1446"/>
    <mergeCell ref="AC1447:AD1447"/>
    <mergeCell ref="AF1447:AH1447"/>
    <mergeCell ref="AK1447:AL1447"/>
    <mergeCell ref="AC1448:AD1448"/>
    <mergeCell ref="AF1448:AH1448"/>
    <mergeCell ref="AK1448:AL1448"/>
    <mergeCell ref="AC1449:AD1449"/>
    <mergeCell ref="AF1449:AH1449"/>
    <mergeCell ref="AK1449:AL1449"/>
    <mergeCell ref="AC1450:AD1450"/>
    <mergeCell ref="AF1450:AH1450"/>
    <mergeCell ref="AK1450:AL1450"/>
    <mergeCell ref="AC1451:AD1451"/>
    <mergeCell ref="AF1451:AH1451"/>
    <mergeCell ref="AK1451:AL1451"/>
    <mergeCell ref="AC1452:AD1452"/>
    <mergeCell ref="AF1452:AH1452"/>
    <mergeCell ref="AK1452:AL1452"/>
    <mergeCell ref="AC1453:AD1453"/>
    <mergeCell ref="AF1453:AH1453"/>
    <mergeCell ref="AK1453:AL1453"/>
    <mergeCell ref="AC1454:AD1454"/>
    <mergeCell ref="AF1454:AH1454"/>
    <mergeCell ref="AK1454:AL1454"/>
    <mergeCell ref="AC1455:AD1455"/>
    <mergeCell ref="AF1455:AH1455"/>
    <mergeCell ref="AK1455:AL1455"/>
    <mergeCell ref="AC1456:AD1456"/>
    <mergeCell ref="AF1456:AH1456"/>
    <mergeCell ref="AK1456:AL1456"/>
    <mergeCell ref="AC1457:AD1457"/>
    <mergeCell ref="AF1457:AH1457"/>
    <mergeCell ref="AK1457:AL1457"/>
    <mergeCell ref="AC1458:AD1458"/>
    <mergeCell ref="AF1458:AH1458"/>
    <mergeCell ref="AK1458:AL1458"/>
    <mergeCell ref="AC1459:AD1459"/>
    <mergeCell ref="AF1459:AH1459"/>
    <mergeCell ref="AK1459:AL1459"/>
    <mergeCell ref="AC1460:AD1460"/>
    <mergeCell ref="AF1460:AH1460"/>
    <mergeCell ref="AK1460:AL1460"/>
    <mergeCell ref="AC1461:AD1461"/>
    <mergeCell ref="AF1461:AH1461"/>
    <mergeCell ref="AK1461:AL1461"/>
    <mergeCell ref="AC1462:AD1462"/>
    <mergeCell ref="AF1462:AH1462"/>
    <mergeCell ref="AK1462:AL1462"/>
    <mergeCell ref="AC1463:AD1463"/>
    <mergeCell ref="AF1463:AH1463"/>
    <mergeCell ref="AK1463:AL1463"/>
    <mergeCell ref="AC1464:AD1464"/>
    <mergeCell ref="AF1464:AH1464"/>
    <mergeCell ref="AK1464:AL1464"/>
    <mergeCell ref="AC1465:AD1465"/>
    <mergeCell ref="AF1465:AH1465"/>
    <mergeCell ref="AK1465:AL1465"/>
    <mergeCell ref="AC1466:AD1466"/>
    <mergeCell ref="AF1466:AH1466"/>
    <mergeCell ref="AK1466:AL1466"/>
    <mergeCell ref="AC1467:AD1467"/>
    <mergeCell ref="AF1467:AH1467"/>
    <mergeCell ref="AK1467:AL1467"/>
    <mergeCell ref="AC1468:AD1468"/>
    <mergeCell ref="AF1468:AH1468"/>
    <mergeCell ref="AK1468:AL1468"/>
    <mergeCell ref="AC1469:AD1469"/>
    <mergeCell ref="AF1469:AH1469"/>
    <mergeCell ref="AK1469:AL1469"/>
    <mergeCell ref="AC1470:AD1470"/>
    <mergeCell ref="AF1470:AH1470"/>
    <mergeCell ref="AK1470:AL1470"/>
    <mergeCell ref="AC1471:AD1471"/>
    <mergeCell ref="AF1471:AH1471"/>
    <mergeCell ref="AK1471:AL1471"/>
    <mergeCell ref="AC1472:AD1472"/>
    <mergeCell ref="AF1472:AH1472"/>
    <mergeCell ref="AK1472:AL1472"/>
    <mergeCell ref="AC1473:AD1473"/>
    <mergeCell ref="AF1473:AH1473"/>
    <mergeCell ref="AK1473:AL1473"/>
    <mergeCell ref="AC1474:AD1474"/>
    <mergeCell ref="AF1474:AH1474"/>
    <mergeCell ref="AK1474:AL1474"/>
    <mergeCell ref="AC1475:AD1475"/>
    <mergeCell ref="AF1475:AH1475"/>
    <mergeCell ref="AK1475:AL1475"/>
    <mergeCell ref="AC1476:AD1476"/>
    <mergeCell ref="AF1476:AH1476"/>
    <mergeCell ref="AK1476:AL1476"/>
    <mergeCell ref="AC1477:AD1477"/>
    <mergeCell ref="AF1477:AH1477"/>
    <mergeCell ref="AK1477:AL1477"/>
    <mergeCell ref="AC1478:AD1478"/>
    <mergeCell ref="AF1478:AH1478"/>
    <mergeCell ref="AK1478:AL1478"/>
    <mergeCell ref="AC1479:AD1479"/>
    <mergeCell ref="AF1479:AH1479"/>
    <mergeCell ref="AK1479:AL1479"/>
    <mergeCell ref="AC1480:AD1480"/>
    <mergeCell ref="AF1480:AH1480"/>
    <mergeCell ref="AK1480:AL1480"/>
    <mergeCell ref="AC1481:AD1481"/>
    <mergeCell ref="AF1481:AH1481"/>
    <mergeCell ref="AK1481:AL1481"/>
    <mergeCell ref="AC1482:AD1482"/>
    <mergeCell ref="AF1482:AH1482"/>
    <mergeCell ref="AK1482:AL1482"/>
    <mergeCell ref="AC1483:AD1483"/>
    <mergeCell ref="AF1483:AH1483"/>
    <mergeCell ref="AK1483:AL1483"/>
    <mergeCell ref="AC1484:AD1484"/>
    <mergeCell ref="AF1484:AH1484"/>
    <mergeCell ref="AK1484:AL1484"/>
    <mergeCell ref="AC1485:AD1485"/>
    <mergeCell ref="AF1485:AH1485"/>
    <mergeCell ref="AK1485:AL1485"/>
    <mergeCell ref="AC1486:AD1486"/>
    <mergeCell ref="AF1486:AH1486"/>
    <mergeCell ref="AK1486:AL1486"/>
    <mergeCell ref="AC1487:AD1487"/>
    <mergeCell ref="AF1487:AH1487"/>
    <mergeCell ref="AK1487:AL1487"/>
    <mergeCell ref="AC1488:AD1488"/>
    <mergeCell ref="AF1488:AH1488"/>
    <mergeCell ref="AK1488:AL1488"/>
    <mergeCell ref="AC1489:AD1489"/>
    <mergeCell ref="AF1489:AH1489"/>
    <mergeCell ref="AK1489:AL1489"/>
    <mergeCell ref="AC1490:AD1490"/>
    <mergeCell ref="AF1490:AH1490"/>
    <mergeCell ref="AK1490:AL1490"/>
    <mergeCell ref="AC1491:AD1491"/>
    <mergeCell ref="AF1491:AH1491"/>
    <mergeCell ref="AK1491:AL1491"/>
    <mergeCell ref="AC1492:AD1492"/>
    <mergeCell ref="AF1492:AH1492"/>
    <mergeCell ref="AK1492:AL1492"/>
    <mergeCell ref="AC1493:AD1493"/>
    <mergeCell ref="AF1493:AH1493"/>
    <mergeCell ref="AK1493:AL1493"/>
    <mergeCell ref="AC1494:AD1494"/>
    <mergeCell ref="AF1494:AH1494"/>
    <mergeCell ref="AK1494:AL1494"/>
    <mergeCell ref="AC1495:AD1495"/>
    <mergeCell ref="AF1495:AH1495"/>
    <mergeCell ref="AK1495:AL1495"/>
    <mergeCell ref="AC1496:AD1496"/>
    <mergeCell ref="AF1496:AH1496"/>
    <mergeCell ref="AK1496:AL1496"/>
    <mergeCell ref="AC1497:AD1497"/>
    <mergeCell ref="AF1497:AH1497"/>
    <mergeCell ref="AK1497:AL1497"/>
    <mergeCell ref="AC1498:AD1498"/>
    <mergeCell ref="AF1498:AH1498"/>
    <mergeCell ref="AK1498:AL1498"/>
    <mergeCell ref="AC1499:AD1499"/>
    <mergeCell ref="AF1499:AH1499"/>
    <mergeCell ref="AK1499:AL1499"/>
    <mergeCell ref="AC1500:AD1500"/>
    <mergeCell ref="AF1500:AH1500"/>
    <mergeCell ref="AK1500:AL1500"/>
    <mergeCell ref="AC1501:AD1501"/>
    <mergeCell ref="AF1501:AH1501"/>
    <mergeCell ref="AK1501:AL1501"/>
    <mergeCell ref="AC1502:AD1502"/>
    <mergeCell ref="AF1502:AH1502"/>
    <mergeCell ref="AK1502:AL1502"/>
    <mergeCell ref="AC1503:AD1503"/>
    <mergeCell ref="AF1503:AH1503"/>
    <mergeCell ref="AK1503:AL1503"/>
    <mergeCell ref="AC1504:AD1504"/>
    <mergeCell ref="AF1504:AH1504"/>
    <mergeCell ref="AK1504:AL1504"/>
    <mergeCell ref="AC1505:AD1505"/>
    <mergeCell ref="AF1505:AH1505"/>
    <mergeCell ref="AK1505:AL1505"/>
    <mergeCell ref="AC1506:AD1506"/>
    <mergeCell ref="AF1506:AH1506"/>
    <mergeCell ref="AK1506:AL1506"/>
    <mergeCell ref="AC1507:AD1507"/>
    <mergeCell ref="AF1507:AH1507"/>
    <mergeCell ref="AK1507:AL1507"/>
    <mergeCell ref="AC1508:AD1508"/>
    <mergeCell ref="AF1508:AH1508"/>
    <mergeCell ref="AK1508:AL1508"/>
    <mergeCell ref="AC1509:AD1509"/>
    <mergeCell ref="AF1509:AH1509"/>
    <mergeCell ref="AK1509:AL1509"/>
    <mergeCell ref="AC1510:AD1510"/>
    <mergeCell ref="AF1510:AH1510"/>
    <mergeCell ref="AK1510:AL1510"/>
    <mergeCell ref="AC1511:AD1511"/>
    <mergeCell ref="AF1511:AH1511"/>
    <mergeCell ref="AK1511:AL1511"/>
    <mergeCell ref="AC1512:AD1512"/>
    <mergeCell ref="AF1512:AH1512"/>
    <mergeCell ref="AK1512:AL1512"/>
    <mergeCell ref="AC1513:AD1513"/>
    <mergeCell ref="AF1513:AH1513"/>
    <mergeCell ref="AK1513:AL1513"/>
    <mergeCell ref="AC1514:AD1514"/>
    <mergeCell ref="AF1514:AH1514"/>
    <mergeCell ref="AK1514:AL1514"/>
    <mergeCell ref="AC1515:AD1515"/>
    <mergeCell ref="AF1515:AH1515"/>
    <mergeCell ref="AK1515:AL1515"/>
    <mergeCell ref="AC1516:AD1516"/>
    <mergeCell ref="AF1516:AH1516"/>
    <mergeCell ref="AK1516:AL1516"/>
    <mergeCell ref="AC1517:AD1517"/>
    <mergeCell ref="AF1517:AH1517"/>
    <mergeCell ref="AK1517:AL1517"/>
    <mergeCell ref="AC1518:AD1518"/>
    <mergeCell ref="AF1518:AH1518"/>
    <mergeCell ref="AK1518:AL1518"/>
    <mergeCell ref="AC1519:AD1519"/>
    <mergeCell ref="AF1519:AH1519"/>
    <mergeCell ref="AK1519:AL1519"/>
    <mergeCell ref="AC1520:AD1520"/>
    <mergeCell ref="AF1520:AH1520"/>
    <mergeCell ref="AK1520:AL1520"/>
    <mergeCell ref="AC1521:AD1521"/>
    <mergeCell ref="AF1521:AH1521"/>
    <mergeCell ref="AK1521:AL1521"/>
    <mergeCell ref="AC1522:AD1522"/>
    <mergeCell ref="AF1522:AH1522"/>
    <mergeCell ref="AK1522:AL1522"/>
    <mergeCell ref="AC1523:AD1523"/>
    <mergeCell ref="AF1523:AH1523"/>
    <mergeCell ref="AK1523:AL1523"/>
    <mergeCell ref="AC1524:AD1524"/>
    <mergeCell ref="AF1524:AH1524"/>
    <mergeCell ref="AK1524:AL1524"/>
    <mergeCell ref="AC1525:AD1525"/>
    <mergeCell ref="AF1525:AH1525"/>
    <mergeCell ref="AK1525:AL1525"/>
    <mergeCell ref="AC1526:AD1526"/>
    <mergeCell ref="AF1526:AH1526"/>
    <mergeCell ref="AK1526:AL1526"/>
    <mergeCell ref="AC1527:AD1527"/>
    <mergeCell ref="AF1527:AH1527"/>
    <mergeCell ref="AK1527:AL1527"/>
    <mergeCell ref="AC1528:AD1528"/>
    <mergeCell ref="AF1528:AH1528"/>
    <mergeCell ref="AK1528:AL1528"/>
    <mergeCell ref="AC1529:AD1529"/>
    <mergeCell ref="AF1529:AH1529"/>
    <mergeCell ref="AK1529:AL1529"/>
    <mergeCell ref="AC1530:AD1530"/>
    <mergeCell ref="AF1530:AH1530"/>
    <mergeCell ref="AK1530:AL1530"/>
    <mergeCell ref="AC1531:AD1531"/>
    <mergeCell ref="AF1531:AH1531"/>
    <mergeCell ref="AK1531:AL1531"/>
    <mergeCell ref="AC1532:AD1532"/>
    <mergeCell ref="AF1532:AH1532"/>
    <mergeCell ref="AK1532:AL1532"/>
    <mergeCell ref="AC1533:AD1533"/>
    <mergeCell ref="AF1533:AH1533"/>
    <mergeCell ref="AK1533:AL1533"/>
    <mergeCell ref="AC1534:AD1534"/>
    <mergeCell ref="AF1534:AH1534"/>
    <mergeCell ref="AK1534:AL1534"/>
    <mergeCell ref="AC1535:AD1535"/>
    <mergeCell ref="AF1535:AH1535"/>
    <mergeCell ref="AK1535:AL1535"/>
    <mergeCell ref="AC1536:AD1536"/>
    <mergeCell ref="AF1536:AH1536"/>
    <mergeCell ref="AK1536:AL1536"/>
    <mergeCell ref="AC1537:AD1537"/>
    <mergeCell ref="AF1537:AH1537"/>
    <mergeCell ref="AK1537:AL1537"/>
    <mergeCell ref="AC1538:AD1538"/>
    <mergeCell ref="AF1538:AH1538"/>
    <mergeCell ref="AK1538:AL1538"/>
    <mergeCell ref="AC1539:AD1539"/>
    <mergeCell ref="AF1539:AH1539"/>
    <mergeCell ref="AK1539:AL1539"/>
    <mergeCell ref="AC1540:AD1540"/>
    <mergeCell ref="AF1540:AH1540"/>
    <mergeCell ref="AK1540:AL1540"/>
    <mergeCell ref="AC1541:AD1541"/>
    <mergeCell ref="AF1541:AH1541"/>
    <mergeCell ref="AK1541:AL1541"/>
    <mergeCell ref="AC1542:AD1542"/>
    <mergeCell ref="AF1542:AH1542"/>
    <mergeCell ref="AK1542:AL1542"/>
    <mergeCell ref="AC1543:AD1543"/>
    <mergeCell ref="AF1543:AH1543"/>
    <mergeCell ref="AK1543:AL1543"/>
    <mergeCell ref="AC1544:AD1544"/>
    <mergeCell ref="AF1544:AH1544"/>
    <mergeCell ref="AK1544:AL1544"/>
    <mergeCell ref="AC1545:AD1545"/>
    <mergeCell ref="AF1545:AH1545"/>
    <mergeCell ref="AK1545:AL1545"/>
    <mergeCell ref="AC1546:AD1546"/>
    <mergeCell ref="AF1546:AH1546"/>
    <mergeCell ref="AK1546:AL1546"/>
    <mergeCell ref="AC1547:AD1547"/>
    <mergeCell ref="AF1547:AH1547"/>
    <mergeCell ref="AK1547:AL1547"/>
    <mergeCell ref="AC1548:AD1548"/>
    <mergeCell ref="AF1548:AH1548"/>
    <mergeCell ref="AK1548:AL1548"/>
    <mergeCell ref="AC1549:AD1549"/>
    <mergeCell ref="AF1549:AH1549"/>
    <mergeCell ref="AK1549:AL1549"/>
    <mergeCell ref="AC1550:AD1550"/>
    <mergeCell ref="AF1550:AH1550"/>
    <mergeCell ref="AK1550:AL1550"/>
    <mergeCell ref="AC1551:AD1551"/>
    <mergeCell ref="AF1551:AH1551"/>
    <mergeCell ref="AK1551:AL1551"/>
    <mergeCell ref="AC1552:AD1552"/>
    <mergeCell ref="AF1552:AH1552"/>
    <mergeCell ref="AK1552:AL1552"/>
    <mergeCell ref="AC1553:AD1553"/>
    <mergeCell ref="AF1553:AH1553"/>
    <mergeCell ref="AK1553:AL1553"/>
    <mergeCell ref="AC1554:AD1554"/>
    <mergeCell ref="AF1554:AH1554"/>
    <mergeCell ref="AK1554:AL1554"/>
    <mergeCell ref="AC1555:AD1555"/>
    <mergeCell ref="AF1555:AH1555"/>
    <mergeCell ref="AK1555:AL1555"/>
    <mergeCell ref="AC1556:AD1556"/>
    <mergeCell ref="AF1556:AH1556"/>
    <mergeCell ref="AK1556:AL1556"/>
    <mergeCell ref="AC1557:AD1557"/>
    <mergeCell ref="AF1557:AH1557"/>
    <mergeCell ref="AK1557:AL1557"/>
    <mergeCell ref="AC1558:AD1558"/>
    <mergeCell ref="AF1558:AH1558"/>
    <mergeCell ref="AK1558:AL1558"/>
    <mergeCell ref="AC1559:AD1559"/>
    <mergeCell ref="AF1559:AH1559"/>
    <mergeCell ref="AK1559:AL1559"/>
    <mergeCell ref="AC1560:AD1560"/>
    <mergeCell ref="AF1560:AH1560"/>
    <mergeCell ref="AK1560:AL1560"/>
    <mergeCell ref="AC1561:AD1561"/>
    <mergeCell ref="AF1561:AH1561"/>
    <mergeCell ref="AK1561:AL1561"/>
    <mergeCell ref="AC1562:AD1562"/>
    <mergeCell ref="AF1562:AH1562"/>
    <mergeCell ref="AK1562:AL1562"/>
    <mergeCell ref="AC1563:AD1563"/>
    <mergeCell ref="AF1563:AH1563"/>
    <mergeCell ref="AK1563:AL1563"/>
    <mergeCell ref="AC1564:AD1564"/>
    <mergeCell ref="AF1564:AH1564"/>
    <mergeCell ref="AK1564:AL1564"/>
    <mergeCell ref="AC1565:AD1565"/>
    <mergeCell ref="AF1565:AH1565"/>
    <mergeCell ref="AK1565:AL1565"/>
    <mergeCell ref="AC1566:AD1566"/>
    <mergeCell ref="AF1566:AH1566"/>
    <mergeCell ref="AK1566:AL1566"/>
    <mergeCell ref="AC1567:AD1567"/>
    <mergeCell ref="AF1567:AH1567"/>
    <mergeCell ref="AK1567:AL1567"/>
    <mergeCell ref="AC1568:AD1568"/>
    <mergeCell ref="AF1568:AH1568"/>
    <mergeCell ref="AK1568:AL1568"/>
    <mergeCell ref="AC1569:AD1569"/>
    <mergeCell ref="AF1569:AH1569"/>
    <mergeCell ref="AK1569:AL1569"/>
    <mergeCell ref="AC1570:AD1570"/>
    <mergeCell ref="AF1570:AH1570"/>
    <mergeCell ref="AK1570:AL1570"/>
    <mergeCell ref="AC1571:AD1571"/>
    <mergeCell ref="AF1571:AH1571"/>
    <mergeCell ref="AK1571:AL1571"/>
    <mergeCell ref="AC1572:AD1572"/>
    <mergeCell ref="AF1572:AH1572"/>
    <mergeCell ref="AK1572:AL1572"/>
    <mergeCell ref="AC1573:AD1573"/>
    <mergeCell ref="AF1573:AH1573"/>
    <mergeCell ref="AK1573:AL1573"/>
    <mergeCell ref="AC1574:AD1574"/>
    <mergeCell ref="AF1574:AH1574"/>
    <mergeCell ref="AK1574:AL1574"/>
    <mergeCell ref="AC1575:AD1575"/>
    <mergeCell ref="AF1575:AH1575"/>
    <mergeCell ref="AK1575:AL1575"/>
    <mergeCell ref="AC1576:AD1576"/>
    <mergeCell ref="AF1576:AH1576"/>
    <mergeCell ref="AK1576:AL1576"/>
    <mergeCell ref="AC1577:AD1577"/>
    <mergeCell ref="AF1577:AH1577"/>
    <mergeCell ref="AK1577:AL1577"/>
    <mergeCell ref="AC1578:AD1578"/>
    <mergeCell ref="AF1578:AH1578"/>
    <mergeCell ref="AK1578:AL1578"/>
    <mergeCell ref="AC1579:AD1579"/>
    <mergeCell ref="AF1579:AH1579"/>
    <mergeCell ref="AK1579:AL1579"/>
    <mergeCell ref="AC1580:AD1580"/>
    <mergeCell ref="AF1580:AH1580"/>
    <mergeCell ref="AK1580:AL1580"/>
    <mergeCell ref="AC1581:AD1581"/>
    <mergeCell ref="AF1581:AH1581"/>
    <mergeCell ref="AK1581:AL1581"/>
    <mergeCell ref="AC1582:AD1582"/>
    <mergeCell ref="AF1582:AH1582"/>
    <mergeCell ref="AK1582:AL1582"/>
    <mergeCell ref="AC1583:AD1583"/>
    <mergeCell ref="AF1583:AH1583"/>
    <mergeCell ref="AK1583:AL1583"/>
    <mergeCell ref="AC1584:AD1584"/>
    <mergeCell ref="AF1584:AH1584"/>
    <mergeCell ref="AK1584:AL1584"/>
    <mergeCell ref="AC1585:AD1585"/>
    <mergeCell ref="AF1585:AH1585"/>
    <mergeCell ref="AK1585:AL1585"/>
    <mergeCell ref="AC1586:AD1586"/>
    <mergeCell ref="AF1586:AH1586"/>
    <mergeCell ref="AK1586:AL1586"/>
    <mergeCell ref="AC1587:AD1587"/>
    <mergeCell ref="AF1587:AH1587"/>
    <mergeCell ref="AK1587:AL1587"/>
    <mergeCell ref="AC1588:AD1588"/>
    <mergeCell ref="AF1588:AH1588"/>
    <mergeCell ref="AK1588:AL1588"/>
    <mergeCell ref="AC1589:AD1589"/>
    <mergeCell ref="AF1589:AH1589"/>
    <mergeCell ref="AK1589:AL1589"/>
    <mergeCell ref="AC1590:AD1590"/>
    <mergeCell ref="AF1590:AH1590"/>
    <mergeCell ref="AK1590:AL1590"/>
    <mergeCell ref="AC1591:AD1591"/>
    <mergeCell ref="AF1591:AH1591"/>
    <mergeCell ref="AK1591:AL1591"/>
    <mergeCell ref="AC1592:AD1592"/>
    <mergeCell ref="AF1592:AH1592"/>
    <mergeCell ref="AK1592:AL1592"/>
    <mergeCell ref="AC1593:AD1593"/>
    <mergeCell ref="AF1593:AH1593"/>
    <mergeCell ref="AK1593:AL1593"/>
    <mergeCell ref="AC1594:AD1594"/>
    <mergeCell ref="AF1594:AH1594"/>
    <mergeCell ref="AK1594:AL1594"/>
    <mergeCell ref="AC1595:AD1595"/>
    <mergeCell ref="AF1595:AH1595"/>
    <mergeCell ref="AK1595:AL1595"/>
    <mergeCell ref="AC1596:AD1596"/>
    <mergeCell ref="AF1596:AH1596"/>
    <mergeCell ref="AK1596:AL1596"/>
    <mergeCell ref="AC1597:AD1597"/>
    <mergeCell ref="AF1597:AH1597"/>
    <mergeCell ref="AK1597:AL1597"/>
    <mergeCell ref="AC1598:AD1598"/>
    <mergeCell ref="AF1598:AH1598"/>
    <mergeCell ref="AK1598:AL1598"/>
    <mergeCell ref="AC1599:AD1599"/>
    <mergeCell ref="AF1599:AH1599"/>
    <mergeCell ref="AK1599:AL1599"/>
    <mergeCell ref="AC1600:AD1600"/>
    <mergeCell ref="AF1600:AH1600"/>
    <mergeCell ref="AK1600:AL1600"/>
    <mergeCell ref="AC1601:AD1601"/>
    <mergeCell ref="AF1601:AH1601"/>
    <mergeCell ref="AK1601:AL1601"/>
    <mergeCell ref="AC1602:AD1602"/>
    <mergeCell ref="AF1602:AH1602"/>
    <mergeCell ref="AK1602:AL1602"/>
    <mergeCell ref="AC1603:AD1603"/>
    <mergeCell ref="AF1603:AH1603"/>
    <mergeCell ref="AK1603:AL1603"/>
    <mergeCell ref="AC1604:AD1604"/>
    <mergeCell ref="AF1604:AH1604"/>
    <mergeCell ref="AK1604:AL1604"/>
    <mergeCell ref="AC1605:AD1605"/>
    <mergeCell ref="AF1605:AH1605"/>
    <mergeCell ref="AK1605:AL1605"/>
    <mergeCell ref="AC1606:AD1606"/>
    <mergeCell ref="AF1606:AH1606"/>
    <mergeCell ref="AK1606:AL1606"/>
    <mergeCell ref="AC1607:AD1607"/>
    <mergeCell ref="AF1607:AH1607"/>
    <mergeCell ref="AK1607:AL1607"/>
    <mergeCell ref="AC1608:AD1608"/>
    <mergeCell ref="AF1608:AH1608"/>
    <mergeCell ref="AK1608:AL1608"/>
    <mergeCell ref="AC1609:AD1609"/>
    <mergeCell ref="AF1609:AH1609"/>
    <mergeCell ref="AK1609:AL1609"/>
    <mergeCell ref="AC1610:AD1610"/>
    <mergeCell ref="AF1610:AH1610"/>
    <mergeCell ref="AK1610:AL1610"/>
    <mergeCell ref="AC1611:AD1611"/>
    <mergeCell ref="AF1611:AH1611"/>
    <mergeCell ref="AK1611:AL1611"/>
    <mergeCell ref="AC1612:AD1612"/>
    <mergeCell ref="AF1612:AH1612"/>
    <mergeCell ref="AK1612:AL1612"/>
    <mergeCell ref="AC1613:AD1613"/>
    <mergeCell ref="AF1613:AH1613"/>
    <mergeCell ref="AK1613:AL1613"/>
    <mergeCell ref="AC1614:AD1614"/>
    <mergeCell ref="AF1614:AH1614"/>
    <mergeCell ref="AK1614:AL1614"/>
    <mergeCell ref="AC1615:AD1615"/>
    <mergeCell ref="AF1615:AH1615"/>
    <mergeCell ref="AK1615:AL1615"/>
    <mergeCell ref="AC1616:AD1616"/>
    <mergeCell ref="AF1616:AH1616"/>
    <mergeCell ref="AK1616:AL1616"/>
    <mergeCell ref="AC1617:AD1617"/>
    <mergeCell ref="AF1617:AH1617"/>
    <mergeCell ref="AK1617:AL1617"/>
    <mergeCell ref="AC1618:AD1618"/>
    <mergeCell ref="AF1618:AH1618"/>
    <mergeCell ref="AK1618:AL1618"/>
    <mergeCell ref="AC1619:AD1619"/>
    <mergeCell ref="AF1619:AH1619"/>
    <mergeCell ref="AK1619:AL1619"/>
    <mergeCell ref="AC1620:AD1620"/>
    <mergeCell ref="AF1620:AH1620"/>
    <mergeCell ref="AK1620:AL1620"/>
    <mergeCell ref="AC1621:AD1621"/>
    <mergeCell ref="AF1621:AH1621"/>
    <mergeCell ref="AK1621:AL1621"/>
    <mergeCell ref="AC1622:AD1622"/>
    <mergeCell ref="AF1622:AH1622"/>
    <mergeCell ref="AK1622:AL1622"/>
    <mergeCell ref="AC1623:AD1623"/>
    <mergeCell ref="AF1623:AH1623"/>
    <mergeCell ref="AK1623:AL1623"/>
    <mergeCell ref="AC1624:AD1624"/>
    <mergeCell ref="AF1624:AH1624"/>
    <mergeCell ref="AK1624:AL1624"/>
    <mergeCell ref="AC1625:AD1625"/>
    <mergeCell ref="AF1625:AH1625"/>
    <mergeCell ref="AK1625:AL1625"/>
    <mergeCell ref="AC1626:AD1626"/>
    <mergeCell ref="AF1626:AH1626"/>
    <mergeCell ref="AK1626:AL1626"/>
    <mergeCell ref="AC1627:AD1627"/>
    <mergeCell ref="AF1627:AH1627"/>
    <mergeCell ref="AK1627:AL1627"/>
    <mergeCell ref="AC1628:AD1628"/>
    <mergeCell ref="AF1628:AH1628"/>
    <mergeCell ref="AK1628:AL1628"/>
    <mergeCell ref="AC1629:AD1629"/>
    <mergeCell ref="AF1629:AH1629"/>
    <mergeCell ref="AK1629:AL1629"/>
    <mergeCell ref="AC1630:AD1630"/>
    <mergeCell ref="AF1630:AH1630"/>
    <mergeCell ref="AK1630:AL1630"/>
    <mergeCell ref="AC1631:AD1631"/>
    <mergeCell ref="AF1631:AH1631"/>
    <mergeCell ref="AK1631:AL1631"/>
    <mergeCell ref="AC1632:AD1632"/>
    <mergeCell ref="AF1632:AH1632"/>
    <mergeCell ref="AK1632:AL1632"/>
    <mergeCell ref="AC1633:AD1633"/>
    <mergeCell ref="AF1633:AH1633"/>
    <mergeCell ref="AK1633:AL1633"/>
    <mergeCell ref="AC1634:AD1634"/>
    <mergeCell ref="AF1634:AH1634"/>
    <mergeCell ref="AK1634:AL1634"/>
    <mergeCell ref="AC1635:AD1635"/>
    <mergeCell ref="AF1635:AH1635"/>
    <mergeCell ref="AK1635:AL1635"/>
    <mergeCell ref="AC1636:AD1636"/>
    <mergeCell ref="AF1636:AH1636"/>
    <mergeCell ref="AK1636:AL1636"/>
    <mergeCell ref="AC1637:AD1637"/>
    <mergeCell ref="AF1637:AH1637"/>
    <mergeCell ref="AK1637:AL1637"/>
    <mergeCell ref="AC1638:AD1638"/>
    <mergeCell ref="AF1638:AH1638"/>
    <mergeCell ref="AK1638:AL1638"/>
    <mergeCell ref="AC1639:AD1639"/>
    <mergeCell ref="AF1639:AH1639"/>
    <mergeCell ref="AK1639:AL1639"/>
    <mergeCell ref="AC1640:AD1640"/>
    <mergeCell ref="AF1640:AH1640"/>
    <mergeCell ref="AK1640:AL1640"/>
    <mergeCell ref="AC1641:AD1641"/>
    <mergeCell ref="AF1641:AH1641"/>
    <mergeCell ref="AK1641:AL1641"/>
    <mergeCell ref="AC1642:AD1642"/>
    <mergeCell ref="AF1642:AH1642"/>
    <mergeCell ref="AK1642:AL1642"/>
    <mergeCell ref="AC1643:AD1643"/>
    <mergeCell ref="AF1643:AH1643"/>
    <mergeCell ref="AK1643:AL1643"/>
    <mergeCell ref="AC1644:AD1644"/>
    <mergeCell ref="AF1644:AH1644"/>
    <mergeCell ref="AK1644:AL1644"/>
    <mergeCell ref="AC1645:AD1645"/>
    <mergeCell ref="AF1645:AH1645"/>
    <mergeCell ref="AK1645:AL1645"/>
    <mergeCell ref="AC1646:AD1646"/>
    <mergeCell ref="AF1646:AH1646"/>
    <mergeCell ref="AK1646:AL1646"/>
    <mergeCell ref="AC1647:AD1647"/>
    <mergeCell ref="AF1647:AH1647"/>
    <mergeCell ref="AK1647:AL1647"/>
    <mergeCell ref="AC1648:AD1648"/>
    <mergeCell ref="AF1648:AH1648"/>
    <mergeCell ref="AK1648:AL1648"/>
    <mergeCell ref="AC1649:AD1649"/>
    <mergeCell ref="AF1649:AH1649"/>
    <mergeCell ref="AK1649:AL1649"/>
    <mergeCell ref="AC1650:AD1650"/>
    <mergeCell ref="AF1650:AH1650"/>
    <mergeCell ref="AK1650:AL1650"/>
    <mergeCell ref="AC1651:AD1651"/>
    <mergeCell ref="AF1651:AH1651"/>
    <mergeCell ref="AK1651:AL1651"/>
    <mergeCell ref="AC1652:AD1652"/>
    <mergeCell ref="AF1652:AH1652"/>
    <mergeCell ref="AK1652:AL1652"/>
    <mergeCell ref="AC1653:AD1653"/>
    <mergeCell ref="AF1653:AH1653"/>
    <mergeCell ref="AK1653:AL1653"/>
    <mergeCell ref="AC1654:AD1654"/>
    <mergeCell ref="AF1654:AH1654"/>
    <mergeCell ref="AK1654:AL1654"/>
    <mergeCell ref="AC1655:AD1655"/>
    <mergeCell ref="AF1655:AH1655"/>
    <mergeCell ref="AK1655:AL1655"/>
    <mergeCell ref="AC1656:AD1656"/>
    <mergeCell ref="AF1656:AH1656"/>
    <mergeCell ref="AK1656:AL1656"/>
    <mergeCell ref="AC1657:AD1657"/>
    <mergeCell ref="AF1657:AH1657"/>
    <mergeCell ref="AK1657:AL1657"/>
    <mergeCell ref="AC1658:AD1658"/>
    <mergeCell ref="AF1658:AH1658"/>
    <mergeCell ref="AK1658:AL1658"/>
    <mergeCell ref="AC1659:AD1659"/>
    <mergeCell ref="AF1659:AH1659"/>
    <mergeCell ref="AK1659:AL1659"/>
    <mergeCell ref="AC1660:AD1660"/>
    <mergeCell ref="AF1660:AH1660"/>
    <mergeCell ref="AK1660:AL1660"/>
    <mergeCell ref="AC1661:AD1661"/>
    <mergeCell ref="AF1661:AH1661"/>
    <mergeCell ref="AK1661:AL1661"/>
    <mergeCell ref="AC1662:AD1662"/>
    <mergeCell ref="AF1662:AH1662"/>
    <mergeCell ref="AK1662:AL1662"/>
    <mergeCell ref="AC1663:AD1663"/>
    <mergeCell ref="AF1663:AH1663"/>
    <mergeCell ref="AK1663:AL1663"/>
    <mergeCell ref="AC1664:AD1664"/>
    <mergeCell ref="AF1664:AH1664"/>
    <mergeCell ref="AK1664:AL1664"/>
    <mergeCell ref="AC1665:AD1665"/>
    <mergeCell ref="AF1665:AH1665"/>
    <mergeCell ref="AK1665:AL1665"/>
    <mergeCell ref="AC1666:AD1666"/>
    <mergeCell ref="AF1666:AH1666"/>
    <mergeCell ref="AK1666:AL1666"/>
    <mergeCell ref="AC1667:AD1667"/>
    <mergeCell ref="AF1667:AH1667"/>
    <mergeCell ref="AK1667:AL1667"/>
    <mergeCell ref="AC1668:AD1668"/>
    <mergeCell ref="AF1668:AH1668"/>
    <mergeCell ref="AK1668:AL1668"/>
    <mergeCell ref="AC1669:AD1669"/>
    <mergeCell ref="AF1669:AH1669"/>
    <mergeCell ref="AK1669:AL1669"/>
    <mergeCell ref="AC1670:AD1670"/>
    <mergeCell ref="AF1670:AH1670"/>
    <mergeCell ref="AK1670:AL1670"/>
    <mergeCell ref="AC1671:AD1671"/>
    <mergeCell ref="AF1671:AH1671"/>
    <mergeCell ref="AK1671:AL1671"/>
    <mergeCell ref="AC1672:AD1672"/>
    <mergeCell ref="AF1672:AH1672"/>
    <mergeCell ref="AK1672:AL1672"/>
    <mergeCell ref="AC1673:AD1673"/>
    <mergeCell ref="AF1673:AH1673"/>
    <mergeCell ref="AK1673:AL1673"/>
    <mergeCell ref="AC1674:AD1674"/>
    <mergeCell ref="AF1674:AH1674"/>
    <mergeCell ref="AK1674:AL1674"/>
    <mergeCell ref="AC1675:AD1675"/>
    <mergeCell ref="AF1675:AH1675"/>
    <mergeCell ref="AK1675:AL1675"/>
    <mergeCell ref="AC1676:AD1676"/>
    <mergeCell ref="AF1676:AH1676"/>
    <mergeCell ref="AK1676:AL1676"/>
    <mergeCell ref="AC1677:AD1677"/>
    <mergeCell ref="AF1677:AH1677"/>
    <mergeCell ref="AK1677:AL1677"/>
    <mergeCell ref="AC1678:AD1678"/>
    <mergeCell ref="AF1678:AH1678"/>
    <mergeCell ref="AK1678:AL1678"/>
    <mergeCell ref="AC1679:AD1679"/>
    <mergeCell ref="AF1679:AH1679"/>
    <mergeCell ref="AK1679:AL1679"/>
    <mergeCell ref="AC1680:AD1680"/>
    <mergeCell ref="AF1680:AH1680"/>
    <mergeCell ref="AK1680:AL1680"/>
    <mergeCell ref="AC1681:AD1681"/>
    <mergeCell ref="AF1681:AH1681"/>
    <mergeCell ref="AK1681:AL1681"/>
    <mergeCell ref="AC1682:AD1682"/>
    <mergeCell ref="AF1682:AH1682"/>
    <mergeCell ref="AK1682:AL1682"/>
    <mergeCell ref="AC1683:AD1683"/>
    <mergeCell ref="AF1683:AH1683"/>
    <mergeCell ref="AK1683:AL1683"/>
    <mergeCell ref="AC1684:AD1684"/>
    <mergeCell ref="AF1684:AH1684"/>
    <mergeCell ref="AK1684:AL1684"/>
    <mergeCell ref="AC1685:AD1685"/>
    <mergeCell ref="AF1685:AH1685"/>
    <mergeCell ref="AK1685:AL1685"/>
    <mergeCell ref="AC1686:AD1686"/>
    <mergeCell ref="AF1686:AH1686"/>
    <mergeCell ref="AK1686:AL1686"/>
    <mergeCell ref="AC1687:AD1687"/>
    <mergeCell ref="AF1687:AH1687"/>
    <mergeCell ref="AK1687:AL1687"/>
    <mergeCell ref="AC1688:AD1688"/>
    <mergeCell ref="AF1688:AH1688"/>
    <mergeCell ref="AK1688:AL1688"/>
    <mergeCell ref="AC1689:AD1689"/>
    <mergeCell ref="AF1689:AH1689"/>
    <mergeCell ref="AK1689:AL1689"/>
    <mergeCell ref="AC1690:AD1690"/>
    <mergeCell ref="AF1690:AH1690"/>
    <mergeCell ref="AK1690:AL1690"/>
    <mergeCell ref="AC1691:AD1691"/>
    <mergeCell ref="AF1691:AH1691"/>
    <mergeCell ref="AK1691:AL1691"/>
    <mergeCell ref="AC1692:AD1692"/>
    <mergeCell ref="AF1692:AH1692"/>
    <mergeCell ref="AK1692:AL1692"/>
    <mergeCell ref="AC1693:AD1693"/>
    <mergeCell ref="AF1693:AH1693"/>
    <mergeCell ref="AK1693:AL1693"/>
    <mergeCell ref="AC1694:AD1694"/>
    <mergeCell ref="AF1694:AH1694"/>
    <mergeCell ref="AK1694:AL1694"/>
    <mergeCell ref="AC1695:AD1695"/>
    <mergeCell ref="AF1695:AH1695"/>
    <mergeCell ref="AK1695:AL1695"/>
    <mergeCell ref="AC1696:AD1696"/>
    <mergeCell ref="AF1696:AH1696"/>
    <mergeCell ref="AK1696:AL1696"/>
    <mergeCell ref="AC1697:AD1697"/>
    <mergeCell ref="AF1697:AH1697"/>
    <mergeCell ref="AK1697:AL1697"/>
    <mergeCell ref="AC1698:AD1698"/>
    <mergeCell ref="AF1698:AH1698"/>
    <mergeCell ref="AK1698:AL1698"/>
    <mergeCell ref="AC1699:AD1699"/>
    <mergeCell ref="AF1699:AH1699"/>
    <mergeCell ref="AK1699:AL1699"/>
    <mergeCell ref="AC1700:AD1700"/>
    <mergeCell ref="AF1700:AH1700"/>
    <mergeCell ref="AK1700:AL1700"/>
    <mergeCell ref="AC1701:AD1701"/>
    <mergeCell ref="AF1701:AH1701"/>
    <mergeCell ref="AK1701:AL1701"/>
    <mergeCell ref="AC1702:AD1702"/>
    <mergeCell ref="AF1702:AH1702"/>
    <mergeCell ref="AK1702:AL1702"/>
    <mergeCell ref="AC1703:AD1703"/>
    <mergeCell ref="AF1703:AH1703"/>
    <mergeCell ref="AK1703:AL1703"/>
    <mergeCell ref="AC1704:AD1704"/>
    <mergeCell ref="AF1704:AH1704"/>
    <mergeCell ref="AK1704:AL1704"/>
    <mergeCell ref="AC1705:AD1705"/>
    <mergeCell ref="AF1705:AH1705"/>
    <mergeCell ref="AK1705:AL1705"/>
    <mergeCell ref="AC1706:AD1706"/>
    <mergeCell ref="AF1706:AH1706"/>
    <mergeCell ref="AK1706:AL1706"/>
    <mergeCell ref="AC1707:AD1707"/>
    <mergeCell ref="AF1707:AH1707"/>
    <mergeCell ref="AK1707:AL1707"/>
    <mergeCell ref="AC1708:AD1708"/>
    <mergeCell ref="AF1708:AH1708"/>
    <mergeCell ref="AK1708:AL1708"/>
    <mergeCell ref="AC1709:AD1709"/>
    <mergeCell ref="AF1709:AH1709"/>
    <mergeCell ref="AK1709:AL1709"/>
    <mergeCell ref="AC1710:AD1710"/>
    <mergeCell ref="AF1710:AH1710"/>
    <mergeCell ref="AK1710:AL1710"/>
    <mergeCell ref="AC1711:AD1711"/>
    <mergeCell ref="AF1711:AH1711"/>
    <mergeCell ref="AK1711:AL1711"/>
    <mergeCell ref="AC1712:AD1712"/>
    <mergeCell ref="AF1712:AH1712"/>
    <mergeCell ref="AK1712:AL1712"/>
    <mergeCell ref="AC1713:AD1713"/>
    <mergeCell ref="AF1713:AH1713"/>
    <mergeCell ref="AK1713:AL1713"/>
    <mergeCell ref="AC1714:AD1714"/>
    <mergeCell ref="AF1714:AH1714"/>
    <mergeCell ref="AK1714:AL1714"/>
    <mergeCell ref="AC1715:AD1715"/>
    <mergeCell ref="AF1715:AH1715"/>
    <mergeCell ref="AK1715:AL1715"/>
    <mergeCell ref="AC1716:AD1716"/>
    <mergeCell ref="AF1716:AH1716"/>
    <mergeCell ref="AK1716:AL1716"/>
    <mergeCell ref="AC1717:AD1717"/>
    <mergeCell ref="AF1717:AH1717"/>
    <mergeCell ref="AK1717:AL1717"/>
    <mergeCell ref="AC1718:AD1718"/>
    <mergeCell ref="AF1718:AH1718"/>
    <mergeCell ref="AK1718:AL1718"/>
    <mergeCell ref="AC1719:AD1719"/>
    <mergeCell ref="AF1719:AH1719"/>
    <mergeCell ref="AK1719:AL1719"/>
    <mergeCell ref="AC1720:AD1720"/>
    <mergeCell ref="AF1720:AH1720"/>
    <mergeCell ref="AK1720:AL1720"/>
    <mergeCell ref="AC1721:AD1721"/>
    <mergeCell ref="AF1721:AH1721"/>
    <mergeCell ref="AK1721:AL1721"/>
    <mergeCell ref="AC1722:AD1722"/>
    <mergeCell ref="AF1722:AH1722"/>
    <mergeCell ref="AK1722:AL1722"/>
    <mergeCell ref="AC1723:AD1723"/>
    <mergeCell ref="AF1723:AH1723"/>
    <mergeCell ref="AK1723:AL1723"/>
    <mergeCell ref="AC1724:AD1724"/>
    <mergeCell ref="AF1724:AH1724"/>
    <mergeCell ref="AK1724:AL1724"/>
    <mergeCell ref="AC1725:AD1725"/>
    <mergeCell ref="AF1725:AH1725"/>
    <mergeCell ref="AK1725:AL1725"/>
    <mergeCell ref="AC1726:AD1726"/>
    <mergeCell ref="AF1726:AH1726"/>
    <mergeCell ref="AK1726:AL1726"/>
    <mergeCell ref="AC1727:AD1727"/>
    <mergeCell ref="AF1727:AH1727"/>
    <mergeCell ref="AK1727:AL1727"/>
    <mergeCell ref="AC1728:AD1728"/>
    <mergeCell ref="AF1728:AH1728"/>
    <mergeCell ref="AK1728:AL1728"/>
    <mergeCell ref="AC1729:AD1729"/>
    <mergeCell ref="AF1729:AH1729"/>
    <mergeCell ref="AK1729:AL1729"/>
    <mergeCell ref="AC1730:AD1730"/>
    <mergeCell ref="AF1730:AH1730"/>
    <mergeCell ref="AK1730:AL1730"/>
    <mergeCell ref="AC1731:AD1731"/>
    <mergeCell ref="AF1731:AH1731"/>
    <mergeCell ref="AK1731:AL1731"/>
    <mergeCell ref="AC1732:AD1732"/>
    <mergeCell ref="AF1732:AH1732"/>
    <mergeCell ref="AK1732:AL1732"/>
    <mergeCell ref="AC1733:AD1733"/>
    <mergeCell ref="AF1733:AH1733"/>
    <mergeCell ref="AK1733:AL1733"/>
    <mergeCell ref="AC1734:AD1734"/>
    <mergeCell ref="AF1734:AH1734"/>
    <mergeCell ref="AK1734:AL1734"/>
    <mergeCell ref="AC1735:AD1735"/>
    <mergeCell ref="AF1735:AH1735"/>
    <mergeCell ref="AK1735:AL1735"/>
    <mergeCell ref="AC1736:AD1736"/>
    <mergeCell ref="AF1736:AH1736"/>
    <mergeCell ref="AK1736:AL1736"/>
    <mergeCell ref="AC1737:AD1737"/>
    <mergeCell ref="AF1737:AH1737"/>
    <mergeCell ref="AK1737:AL1737"/>
    <mergeCell ref="AC1738:AD1738"/>
    <mergeCell ref="AF1738:AH1738"/>
    <mergeCell ref="AK1738:AL1738"/>
    <mergeCell ref="AC1739:AD1739"/>
    <mergeCell ref="AF1739:AH1739"/>
    <mergeCell ref="AK1739:AL1739"/>
    <mergeCell ref="AC1740:AD1740"/>
    <mergeCell ref="AF1740:AH1740"/>
    <mergeCell ref="AK1740:AL1740"/>
    <mergeCell ref="AC1741:AD1741"/>
    <mergeCell ref="AF1741:AH1741"/>
    <mergeCell ref="AK1741:AL1741"/>
    <mergeCell ref="AC1742:AD1742"/>
    <mergeCell ref="AF1742:AH1742"/>
    <mergeCell ref="AK1742:AL1742"/>
    <mergeCell ref="AC1743:AD1743"/>
    <mergeCell ref="AF1743:AH1743"/>
    <mergeCell ref="AK1743:AL1743"/>
    <mergeCell ref="AC1744:AD1744"/>
    <mergeCell ref="AF1744:AH1744"/>
    <mergeCell ref="AK1744:AL1744"/>
    <mergeCell ref="AC1745:AD1745"/>
    <mergeCell ref="AF1745:AH1745"/>
    <mergeCell ref="AK1745:AL1745"/>
    <mergeCell ref="AC1746:AD1746"/>
    <mergeCell ref="AF1746:AH1746"/>
    <mergeCell ref="AK1746:AL1746"/>
    <mergeCell ref="AC1747:AD1747"/>
    <mergeCell ref="AF1747:AH1747"/>
    <mergeCell ref="AK1747:AL1747"/>
    <mergeCell ref="AC1748:AD1748"/>
    <mergeCell ref="AF1748:AH1748"/>
    <mergeCell ref="AK1748:AL1748"/>
    <mergeCell ref="AC1749:AD1749"/>
    <mergeCell ref="AF1749:AH1749"/>
    <mergeCell ref="AK1749:AL1749"/>
    <mergeCell ref="AC1750:AD1750"/>
    <mergeCell ref="AF1750:AH1750"/>
    <mergeCell ref="AK1750:AL1750"/>
    <mergeCell ref="AC1751:AD1751"/>
    <mergeCell ref="AF1751:AH1751"/>
    <mergeCell ref="AK1751:AL1751"/>
    <mergeCell ref="AC1752:AD1752"/>
    <mergeCell ref="AF1752:AH1752"/>
    <mergeCell ref="AK1752:AL1752"/>
    <mergeCell ref="AC1753:AD1753"/>
    <mergeCell ref="AF1753:AH1753"/>
    <mergeCell ref="AK1753:AL1753"/>
    <mergeCell ref="AC1754:AD1754"/>
    <mergeCell ref="AF1754:AH1754"/>
    <mergeCell ref="AK1754:AL1754"/>
    <mergeCell ref="AC1755:AD1755"/>
    <mergeCell ref="AF1755:AH1755"/>
    <mergeCell ref="AK1755:AL1755"/>
    <mergeCell ref="AC1756:AD1756"/>
    <mergeCell ref="AF1756:AH1756"/>
    <mergeCell ref="AK1756:AL1756"/>
    <mergeCell ref="AC1757:AD1757"/>
    <mergeCell ref="AF1757:AH1757"/>
    <mergeCell ref="AK1757:AL1757"/>
    <mergeCell ref="AC1758:AD1758"/>
    <mergeCell ref="AF1758:AH1758"/>
    <mergeCell ref="AK1758:AL1758"/>
    <mergeCell ref="AC1759:AD1759"/>
    <mergeCell ref="AF1759:AH1759"/>
    <mergeCell ref="AK1759:AL1759"/>
    <mergeCell ref="AC1760:AD1760"/>
    <mergeCell ref="AF1760:AH1760"/>
    <mergeCell ref="AK1760:AL1760"/>
    <mergeCell ref="AC1761:AD1761"/>
    <mergeCell ref="AF1761:AH1761"/>
    <mergeCell ref="AK1761:AL1761"/>
    <mergeCell ref="AC1762:AD1762"/>
    <mergeCell ref="AF1762:AH1762"/>
    <mergeCell ref="AK1762:AL1762"/>
    <mergeCell ref="AC1763:AD1763"/>
    <mergeCell ref="AF1763:AH1763"/>
    <mergeCell ref="AK1763:AL1763"/>
    <mergeCell ref="AC1764:AD1764"/>
    <mergeCell ref="AF1764:AH1764"/>
    <mergeCell ref="AK1764:AL1764"/>
    <mergeCell ref="AC1765:AD1765"/>
    <mergeCell ref="AF1765:AH1765"/>
    <mergeCell ref="AK1765:AL1765"/>
    <mergeCell ref="AC1766:AD1766"/>
    <mergeCell ref="AF1766:AH1766"/>
    <mergeCell ref="AK1766:AL1766"/>
    <mergeCell ref="AC1767:AD1767"/>
    <mergeCell ref="AF1767:AH1767"/>
    <mergeCell ref="AK1767:AL1767"/>
    <mergeCell ref="AC1768:AD1768"/>
    <mergeCell ref="AF1768:AH1768"/>
    <mergeCell ref="AK1768:AL1768"/>
    <mergeCell ref="AC1769:AD1769"/>
    <mergeCell ref="AF1769:AH1769"/>
    <mergeCell ref="AK1769:AL1769"/>
    <mergeCell ref="AC1770:AD1770"/>
    <mergeCell ref="AF1770:AH1770"/>
    <mergeCell ref="AK1770:AL1770"/>
    <mergeCell ref="AC1771:AD1771"/>
    <mergeCell ref="AF1771:AH1771"/>
    <mergeCell ref="AK1771:AL1771"/>
    <mergeCell ref="AC1772:AD1772"/>
    <mergeCell ref="AF1772:AH1772"/>
    <mergeCell ref="AK1772:AL1772"/>
    <mergeCell ref="AC1773:AD1773"/>
    <mergeCell ref="AF1773:AH1773"/>
    <mergeCell ref="AK1773:AL1773"/>
    <mergeCell ref="AC1774:AD1774"/>
    <mergeCell ref="AF1774:AH1774"/>
    <mergeCell ref="AK1774:AL1774"/>
    <mergeCell ref="AC1775:AD1775"/>
    <mergeCell ref="AF1775:AH1775"/>
    <mergeCell ref="AK1775:AL1775"/>
    <mergeCell ref="AC1776:AD1776"/>
    <mergeCell ref="AF1776:AH1776"/>
    <mergeCell ref="AK1776:AL1776"/>
    <mergeCell ref="AC1777:AD1777"/>
    <mergeCell ref="AF1777:AH1777"/>
    <mergeCell ref="AK1777:AL1777"/>
    <mergeCell ref="AC1778:AD1778"/>
    <mergeCell ref="AF1778:AH1778"/>
    <mergeCell ref="AK1778:AL1778"/>
    <mergeCell ref="AC1779:AD1779"/>
    <mergeCell ref="AF1779:AH1779"/>
    <mergeCell ref="AK1779:AL1779"/>
    <mergeCell ref="AC1780:AD1780"/>
    <mergeCell ref="AF1780:AH1780"/>
    <mergeCell ref="AK1780:AL1780"/>
    <mergeCell ref="AC1781:AD1781"/>
    <mergeCell ref="AF1781:AH1781"/>
    <mergeCell ref="AK1781:AL1781"/>
    <mergeCell ref="AC1782:AD1782"/>
    <mergeCell ref="AF1782:AH1782"/>
    <mergeCell ref="AK1782:AL1782"/>
    <mergeCell ref="AC1783:AD1783"/>
    <mergeCell ref="AF1783:AH1783"/>
    <mergeCell ref="AK1783:AL1783"/>
    <mergeCell ref="AC1784:AD1784"/>
    <mergeCell ref="AF1784:AH1784"/>
    <mergeCell ref="AK1784:AL1784"/>
    <mergeCell ref="AC1785:AD1785"/>
    <mergeCell ref="AF1785:AH1785"/>
    <mergeCell ref="AK1785:AL1785"/>
    <mergeCell ref="AC1786:AD1786"/>
    <mergeCell ref="AF1786:AH1786"/>
    <mergeCell ref="AK1786:AL1786"/>
    <mergeCell ref="AC1787:AD1787"/>
    <mergeCell ref="AF1787:AH1787"/>
    <mergeCell ref="AK1787:AL1787"/>
    <mergeCell ref="AC1788:AD1788"/>
    <mergeCell ref="AF1788:AH1788"/>
    <mergeCell ref="AK1788:AL1788"/>
    <mergeCell ref="AC1789:AD1789"/>
    <mergeCell ref="AF1789:AH1789"/>
    <mergeCell ref="AK1789:AL1789"/>
    <mergeCell ref="AC1790:AD1790"/>
    <mergeCell ref="AF1790:AH1790"/>
    <mergeCell ref="AK1790:AL1790"/>
    <mergeCell ref="AC1791:AD1791"/>
    <mergeCell ref="AF1791:AH1791"/>
    <mergeCell ref="AK1791:AL1791"/>
    <mergeCell ref="AC1792:AD1792"/>
    <mergeCell ref="AF1792:AH1792"/>
    <mergeCell ref="AK1792:AL1792"/>
    <mergeCell ref="AC1793:AD1793"/>
    <mergeCell ref="AF1793:AH1793"/>
    <mergeCell ref="AK1793:AL1793"/>
    <mergeCell ref="AC1794:AD1794"/>
    <mergeCell ref="AF1794:AH1794"/>
    <mergeCell ref="AK1794:AL1794"/>
    <mergeCell ref="AC1795:AD1795"/>
    <mergeCell ref="AF1795:AH1795"/>
    <mergeCell ref="AK1795:AL1795"/>
    <mergeCell ref="AC1796:AD1796"/>
    <mergeCell ref="AF1796:AH1796"/>
    <mergeCell ref="AK1796:AL1796"/>
    <mergeCell ref="AC1797:AD1797"/>
    <mergeCell ref="AF1797:AH1797"/>
    <mergeCell ref="AK1797:AL1797"/>
    <mergeCell ref="AC1798:AD1798"/>
    <mergeCell ref="AF1798:AH1798"/>
    <mergeCell ref="AK1798:AL1798"/>
    <mergeCell ref="AC1799:AD1799"/>
    <mergeCell ref="AF1799:AH1799"/>
    <mergeCell ref="AK1799:AL1799"/>
    <mergeCell ref="AC1800:AD1800"/>
    <mergeCell ref="AF1800:AH1800"/>
    <mergeCell ref="AK1800:AL1800"/>
    <mergeCell ref="AC1801:AD1801"/>
    <mergeCell ref="AF1801:AH1801"/>
    <mergeCell ref="AK1801:AL1801"/>
    <mergeCell ref="AC1802:AD1802"/>
    <mergeCell ref="AF1802:AH1802"/>
    <mergeCell ref="AK1802:AL1802"/>
    <mergeCell ref="AC1803:AD1803"/>
    <mergeCell ref="AF1803:AH1803"/>
    <mergeCell ref="AK1803:AL1803"/>
    <mergeCell ref="AC1804:AD1804"/>
    <mergeCell ref="AF1804:AH1804"/>
    <mergeCell ref="AK1804:AL1804"/>
    <mergeCell ref="AC1805:AD1805"/>
    <mergeCell ref="AF1805:AH1805"/>
    <mergeCell ref="AK1805:AL1805"/>
    <mergeCell ref="AC1806:AD1806"/>
    <mergeCell ref="AF1806:AH1806"/>
    <mergeCell ref="AK1806:AL1806"/>
    <mergeCell ref="AC1807:AD1807"/>
    <mergeCell ref="AF1807:AH1807"/>
    <mergeCell ref="AK1807:AL1807"/>
    <mergeCell ref="AC1808:AD1808"/>
    <mergeCell ref="AF1808:AH1808"/>
    <mergeCell ref="AK1808:AL1808"/>
    <mergeCell ref="AC1809:AD1809"/>
    <mergeCell ref="AF1809:AH1809"/>
    <mergeCell ref="AK1809:AL1809"/>
    <mergeCell ref="AC1810:AD1810"/>
    <mergeCell ref="AF1810:AH1810"/>
    <mergeCell ref="AK1810:AL1810"/>
    <mergeCell ref="AC1811:AD1811"/>
    <mergeCell ref="AF1811:AH1811"/>
    <mergeCell ref="AK1811:AL1811"/>
    <mergeCell ref="AC1812:AD1812"/>
    <mergeCell ref="AF1812:AH1812"/>
    <mergeCell ref="AK1812:AL1812"/>
    <mergeCell ref="AC1813:AD1813"/>
    <mergeCell ref="AF1813:AH1813"/>
    <mergeCell ref="AK1813:AL1813"/>
    <mergeCell ref="AC1814:AD1814"/>
    <mergeCell ref="AF1814:AH1814"/>
    <mergeCell ref="AK1814:AL1814"/>
    <mergeCell ref="AC1815:AD1815"/>
    <mergeCell ref="AF1815:AH1815"/>
    <mergeCell ref="AK1815:AL1815"/>
    <mergeCell ref="AC1816:AD1816"/>
    <mergeCell ref="AF1816:AH1816"/>
    <mergeCell ref="AK1816:AL1816"/>
    <mergeCell ref="AC1817:AD1817"/>
    <mergeCell ref="AF1817:AH1817"/>
    <mergeCell ref="AK1817:AL1817"/>
    <mergeCell ref="AC1818:AD1818"/>
    <mergeCell ref="AF1818:AH1818"/>
    <mergeCell ref="AK1818:AL1818"/>
    <mergeCell ref="AC1819:AD1819"/>
    <mergeCell ref="AF1819:AH1819"/>
    <mergeCell ref="AK1819:AL1819"/>
    <mergeCell ref="AC1820:AD1820"/>
    <mergeCell ref="AF1820:AH1820"/>
    <mergeCell ref="AK1820:AL1820"/>
    <mergeCell ref="AC1821:AD1821"/>
    <mergeCell ref="AF1821:AH1821"/>
    <mergeCell ref="AK1821:AL1821"/>
    <mergeCell ref="AC1822:AD1822"/>
    <mergeCell ref="AF1822:AH1822"/>
    <mergeCell ref="AK1822:AL1822"/>
    <mergeCell ref="AC1823:AD1823"/>
    <mergeCell ref="AF1823:AH1823"/>
    <mergeCell ref="AK1823:AL1823"/>
    <mergeCell ref="AC1824:AD1824"/>
    <mergeCell ref="AF1824:AH1824"/>
    <mergeCell ref="AK1824:AL1824"/>
    <mergeCell ref="AC1825:AD1825"/>
    <mergeCell ref="AF1825:AH1825"/>
    <mergeCell ref="AK1825:AL1825"/>
    <mergeCell ref="AC1826:AD1826"/>
    <mergeCell ref="AF1826:AH1826"/>
    <mergeCell ref="AK1826:AL1826"/>
    <mergeCell ref="AC1827:AD1827"/>
    <mergeCell ref="AF1827:AH1827"/>
    <mergeCell ref="AK1827:AL1827"/>
    <mergeCell ref="AC1828:AD1828"/>
    <mergeCell ref="AF1828:AH1828"/>
    <mergeCell ref="AK1828:AL1828"/>
    <mergeCell ref="AC1829:AD1829"/>
    <mergeCell ref="AF1829:AH1829"/>
    <mergeCell ref="AK1829:AL1829"/>
    <mergeCell ref="AC1830:AD1830"/>
    <mergeCell ref="AF1830:AH1830"/>
    <mergeCell ref="AK1830:AL1830"/>
    <mergeCell ref="AC1831:AD1831"/>
    <mergeCell ref="AF1831:AH1831"/>
    <mergeCell ref="AK1831:AL1831"/>
    <mergeCell ref="AC1832:AD1832"/>
    <mergeCell ref="AF1832:AH1832"/>
    <mergeCell ref="AK1832:AL1832"/>
    <mergeCell ref="AC1833:AD1833"/>
    <mergeCell ref="AF1833:AH1833"/>
    <mergeCell ref="AK1833:AL1833"/>
    <mergeCell ref="AC1834:AD1834"/>
    <mergeCell ref="AF1834:AH1834"/>
    <mergeCell ref="AK1834:AL1834"/>
    <mergeCell ref="AC1835:AD1835"/>
    <mergeCell ref="AF1835:AH1835"/>
    <mergeCell ref="AK1835:AL1835"/>
    <mergeCell ref="AC1836:AD1836"/>
    <mergeCell ref="AF1836:AH1836"/>
    <mergeCell ref="AK1836:AL1836"/>
    <mergeCell ref="AC1837:AD1837"/>
    <mergeCell ref="AF1837:AH1837"/>
    <mergeCell ref="AK1837:AL1837"/>
    <mergeCell ref="AC1838:AD1838"/>
    <mergeCell ref="AF1838:AH1838"/>
    <mergeCell ref="AK1838:AL1838"/>
    <mergeCell ref="AC1839:AD1839"/>
    <mergeCell ref="AF1839:AH1839"/>
    <mergeCell ref="AK1839:AL1839"/>
    <mergeCell ref="AC1840:AD1840"/>
    <mergeCell ref="AF1840:AH1840"/>
    <mergeCell ref="AK1840:AL1840"/>
    <mergeCell ref="AC1841:AD1841"/>
    <mergeCell ref="AF1841:AH1841"/>
    <mergeCell ref="AK1841:AL1841"/>
    <mergeCell ref="AC1842:AD1842"/>
    <mergeCell ref="AF1842:AH1842"/>
    <mergeCell ref="AK1842:AL1842"/>
    <mergeCell ref="AC1843:AD1843"/>
    <mergeCell ref="AF1843:AH1843"/>
    <mergeCell ref="AK1843:AL1843"/>
    <mergeCell ref="AC1844:AD1844"/>
    <mergeCell ref="AF1844:AH1844"/>
    <mergeCell ref="AK1844:AL1844"/>
    <mergeCell ref="AC1845:AD1845"/>
    <mergeCell ref="AF1845:AH1845"/>
    <mergeCell ref="AK1845:AL1845"/>
    <mergeCell ref="AC1846:AD1846"/>
    <mergeCell ref="AF1846:AH1846"/>
    <mergeCell ref="AK1846:AL1846"/>
    <mergeCell ref="AC1847:AD1847"/>
    <mergeCell ref="AF1847:AH1847"/>
    <mergeCell ref="AK1847:AL1847"/>
    <mergeCell ref="AC1848:AD1848"/>
    <mergeCell ref="AF1848:AH1848"/>
    <mergeCell ref="AK1848:AL1848"/>
    <mergeCell ref="AC1849:AD1849"/>
    <mergeCell ref="AF1849:AH1849"/>
    <mergeCell ref="AK1849:AL1849"/>
    <mergeCell ref="AC1850:AD1850"/>
    <mergeCell ref="AF1850:AH1850"/>
    <mergeCell ref="AK1850:AL1850"/>
    <mergeCell ref="AC1851:AD1851"/>
    <mergeCell ref="AF1851:AH1851"/>
    <mergeCell ref="AK1851:AL1851"/>
    <mergeCell ref="AC1852:AD1852"/>
    <mergeCell ref="AF1852:AH1852"/>
    <mergeCell ref="AK1852:AL1852"/>
    <mergeCell ref="AC1853:AD1853"/>
    <mergeCell ref="AF1853:AH1853"/>
    <mergeCell ref="AK1853:AL1853"/>
    <mergeCell ref="AC1854:AD1854"/>
    <mergeCell ref="AF1854:AH1854"/>
    <mergeCell ref="AK1854:AL1854"/>
    <mergeCell ref="AC1855:AD1855"/>
    <mergeCell ref="AF1855:AH1855"/>
    <mergeCell ref="AK1855:AL1855"/>
    <mergeCell ref="AC1856:AD1856"/>
    <mergeCell ref="AF1856:AH1856"/>
    <mergeCell ref="AK1856:AL1856"/>
    <mergeCell ref="AC1857:AD1857"/>
    <mergeCell ref="AF1857:AH1857"/>
    <mergeCell ref="AK1857:AL1857"/>
    <mergeCell ref="AC1858:AD1858"/>
    <mergeCell ref="AF1858:AH1858"/>
    <mergeCell ref="AK1858:AL1858"/>
    <mergeCell ref="AC1859:AD1859"/>
    <mergeCell ref="AF1859:AH1859"/>
    <mergeCell ref="AK1859:AL1859"/>
    <mergeCell ref="AC1860:AD1860"/>
    <mergeCell ref="AF1860:AH1860"/>
    <mergeCell ref="AK1860:AL1860"/>
    <mergeCell ref="AC1864:AD1864"/>
    <mergeCell ref="AF1864:AH1864"/>
    <mergeCell ref="AK1864:AL1864"/>
    <mergeCell ref="AC1865:AD1865"/>
    <mergeCell ref="AF1865:AH1865"/>
    <mergeCell ref="AK1865:AL1865"/>
    <mergeCell ref="AC1866:AD1866"/>
    <mergeCell ref="AF1866:AH1866"/>
    <mergeCell ref="AK1866:AL1866"/>
    <mergeCell ref="AC1867:AD1867"/>
    <mergeCell ref="AF1867:AH1867"/>
    <mergeCell ref="AK1867:AL1867"/>
    <mergeCell ref="AC1868:AD1868"/>
    <mergeCell ref="AF1868:AH1868"/>
    <mergeCell ref="AK1868:AL1868"/>
    <mergeCell ref="AC1869:AD1869"/>
    <mergeCell ref="AF1869:AH1869"/>
    <mergeCell ref="AK1869:AL1869"/>
    <mergeCell ref="AC1870:AD1870"/>
    <mergeCell ref="AF1870:AH1870"/>
    <mergeCell ref="AK1870:AL1870"/>
    <mergeCell ref="AC1871:AD1871"/>
    <mergeCell ref="AF1871:AH1871"/>
    <mergeCell ref="AK1871:AL1871"/>
    <mergeCell ref="AC1863:AD1863"/>
    <mergeCell ref="AF1863:AH1863"/>
    <mergeCell ref="AK1863:AL1863"/>
    <mergeCell ref="AC1872:AD1872"/>
    <mergeCell ref="AF1872:AH1872"/>
    <mergeCell ref="AK1872:AL1872"/>
    <mergeCell ref="AC1873:AD1873"/>
    <mergeCell ref="AF1873:AH1873"/>
    <mergeCell ref="AK1873:AL1873"/>
    <mergeCell ref="AC1874:AD1874"/>
    <mergeCell ref="AF1874:AH1874"/>
    <mergeCell ref="AK1874:AL1874"/>
    <mergeCell ref="AC1875:AD1875"/>
    <mergeCell ref="AF1875:AH1875"/>
    <mergeCell ref="AK1875:AL1875"/>
    <mergeCell ref="AC1876:AD1876"/>
    <mergeCell ref="AF1876:AH1876"/>
    <mergeCell ref="AK1876:AL1876"/>
    <mergeCell ref="AC1877:AD1877"/>
    <mergeCell ref="AF1877:AH1877"/>
    <mergeCell ref="AK1877:AL1877"/>
    <mergeCell ref="AC1878:AD1878"/>
    <mergeCell ref="AF1878:AH1878"/>
    <mergeCell ref="AK1878:AL1878"/>
    <mergeCell ref="AC1879:AD1879"/>
    <mergeCell ref="AF1879:AH1879"/>
    <mergeCell ref="AK1879:AL1879"/>
    <mergeCell ref="AC1880:AD1880"/>
    <mergeCell ref="AF1880:AH1880"/>
    <mergeCell ref="AK1880:AL1880"/>
    <mergeCell ref="AC1881:AD1881"/>
    <mergeCell ref="AF1881:AH1881"/>
    <mergeCell ref="AK1881:AL1881"/>
    <mergeCell ref="AC1882:AD1882"/>
    <mergeCell ref="AF1882:AH1882"/>
    <mergeCell ref="AK1882:AL1882"/>
    <mergeCell ref="AC1883:AD1883"/>
    <mergeCell ref="AF1883:AH1883"/>
    <mergeCell ref="AK1883:AL1883"/>
    <mergeCell ref="AC1884:AD1884"/>
    <mergeCell ref="AF1884:AH1884"/>
    <mergeCell ref="AK1884:AL1884"/>
    <mergeCell ref="AC1885:AD1885"/>
    <mergeCell ref="AF1885:AH1885"/>
    <mergeCell ref="AK1885:AL1885"/>
    <mergeCell ref="AC1886:AD1886"/>
    <mergeCell ref="AF1886:AH1886"/>
    <mergeCell ref="AK1886:AL1886"/>
    <mergeCell ref="AC1887:AD1887"/>
    <mergeCell ref="AF1887:AH1887"/>
    <mergeCell ref="AK1887:AL1887"/>
    <mergeCell ref="AC1888:AD1888"/>
    <mergeCell ref="AF1888:AH1888"/>
    <mergeCell ref="AK1888:AL1888"/>
    <mergeCell ref="AC1889:AD1889"/>
    <mergeCell ref="AF1889:AH1889"/>
    <mergeCell ref="AK1889:AL1889"/>
    <mergeCell ref="AC1890:AD1890"/>
    <mergeCell ref="AF1890:AH1890"/>
    <mergeCell ref="AK1890:AL1890"/>
    <mergeCell ref="AC1891:AD1891"/>
    <mergeCell ref="AF1891:AH1891"/>
    <mergeCell ref="AK1891:AL1891"/>
    <mergeCell ref="AC1892:AD1892"/>
    <mergeCell ref="AF1892:AH1892"/>
    <mergeCell ref="AK1892:AL1892"/>
    <mergeCell ref="AC1893:AD1893"/>
    <mergeCell ref="AF1893:AH1893"/>
    <mergeCell ref="AK1893:AL1893"/>
    <mergeCell ref="AC1894:AD1894"/>
    <mergeCell ref="AF1894:AH1894"/>
    <mergeCell ref="AK1894:AL1894"/>
    <mergeCell ref="AC1895:AD1895"/>
    <mergeCell ref="AF1895:AH1895"/>
    <mergeCell ref="AK1895:AL1895"/>
    <mergeCell ref="AC1896:AD1896"/>
    <mergeCell ref="AF1896:AH1896"/>
    <mergeCell ref="AK1896:AL1896"/>
    <mergeCell ref="AC1897:AD1897"/>
    <mergeCell ref="AF1897:AH1897"/>
    <mergeCell ref="AK1897:AL1897"/>
    <mergeCell ref="AC1898:AD1898"/>
    <mergeCell ref="AF1898:AH1898"/>
    <mergeCell ref="AK1898:AL1898"/>
    <mergeCell ref="AC1899:AD1899"/>
    <mergeCell ref="AF1899:AH1899"/>
    <mergeCell ref="AK1899:AL1899"/>
    <mergeCell ref="AC1900:AD1900"/>
    <mergeCell ref="AF1900:AH1900"/>
    <mergeCell ref="AK1900:AL1900"/>
    <mergeCell ref="AC1901:AD1901"/>
    <mergeCell ref="AF1901:AH1901"/>
    <mergeCell ref="AK1901:AL1901"/>
    <mergeCell ref="AC1902:AD1902"/>
    <mergeCell ref="AF1902:AH1902"/>
    <mergeCell ref="AK1902:AL1902"/>
    <mergeCell ref="AC1903:AD1903"/>
    <mergeCell ref="AF1903:AH1903"/>
    <mergeCell ref="AK1903:AL1903"/>
    <mergeCell ref="AC1904:AD1904"/>
    <mergeCell ref="AF1904:AH1904"/>
    <mergeCell ref="AK1904:AL1904"/>
    <mergeCell ref="AC1905:AD1905"/>
    <mergeCell ref="AF1905:AH1905"/>
    <mergeCell ref="AK1905:AL1905"/>
    <mergeCell ref="AC1906:AD1906"/>
    <mergeCell ref="AF1906:AH1906"/>
    <mergeCell ref="AK1906:AL1906"/>
    <mergeCell ref="AC1907:AD1907"/>
    <mergeCell ref="AF1907:AH1907"/>
    <mergeCell ref="AK1907:AL1907"/>
    <mergeCell ref="AC1908:AD1908"/>
    <mergeCell ref="AF1908:AH1908"/>
    <mergeCell ref="AK1908:AL1908"/>
    <mergeCell ref="AC1909:AD1909"/>
    <mergeCell ref="AF1909:AH1909"/>
    <mergeCell ref="AK1909:AL1909"/>
    <mergeCell ref="AC1910:AD1910"/>
    <mergeCell ref="AF1910:AH1910"/>
    <mergeCell ref="AK1910:AL1910"/>
    <mergeCell ref="AC1911:AD1911"/>
    <mergeCell ref="AF1911:AH1911"/>
    <mergeCell ref="AK1911:AL1911"/>
    <mergeCell ref="AC1912:AD1912"/>
    <mergeCell ref="AF1912:AH1912"/>
    <mergeCell ref="AK1912:AL1912"/>
    <mergeCell ref="AC1913:AD1913"/>
    <mergeCell ref="AF1913:AH1913"/>
    <mergeCell ref="AK1913:AL1913"/>
    <mergeCell ref="AC1914:AD1914"/>
    <mergeCell ref="AF1914:AH1914"/>
    <mergeCell ref="AK1914:AL1914"/>
    <mergeCell ref="AC1915:AD1915"/>
    <mergeCell ref="AF1915:AH1915"/>
    <mergeCell ref="AK1915:AL1915"/>
    <mergeCell ref="AC1916:AD1916"/>
    <mergeCell ref="AF1916:AH1916"/>
    <mergeCell ref="AK1916:AL1916"/>
    <mergeCell ref="AC1917:AD1917"/>
    <mergeCell ref="AF1917:AH1917"/>
    <mergeCell ref="AK1917:AL1917"/>
    <mergeCell ref="AC1918:AD1918"/>
    <mergeCell ref="AF1918:AH1918"/>
    <mergeCell ref="AK1918:AL1918"/>
    <mergeCell ref="AC1919:AD1919"/>
    <mergeCell ref="AF1919:AH1919"/>
    <mergeCell ref="AK1919:AL1919"/>
    <mergeCell ref="AC1920:AD1920"/>
    <mergeCell ref="AF1920:AH1920"/>
    <mergeCell ref="AK1920:AL1920"/>
    <mergeCell ref="AC1921:AD1921"/>
    <mergeCell ref="AF1921:AH1921"/>
    <mergeCell ref="AK1921:AL1921"/>
    <mergeCell ref="AC1922:AD1922"/>
    <mergeCell ref="AF1922:AH1922"/>
    <mergeCell ref="AK1922:AL1922"/>
    <mergeCell ref="AC1923:AD1923"/>
    <mergeCell ref="AF1923:AH1923"/>
    <mergeCell ref="AK1923:AL1923"/>
    <mergeCell ref="AC1924:AD1924"/>
    <mergeCell ref="AF1924:AH1924"/>
    <mergeCell ref="AK1924:AL1924"/>
    <mergeCell ref="AC1925:AD1925"/>
    <mergeCell ref="AF1925:AH1925"/>
    <mergeCell ref="AK1925:AL1925"/>
    <mergeCell ref="AC1926:AD1926"/>
    <mergeCell ref="AF1926:AH1926"/>
    <mergeCell ref="AK1926:AL1926"/>
    <mergeCell ref="AC1927:AD1927"/>
    <mergeCell ref="AF1927:AH1927"/>
    <mergeCell ref="AK1927:AL1927"/>
    <mergeCell ref="AC1928:AD1928"/>
    <mergeCell ref="AF1928:AH1928"/>
    <mergeCell ref="AK1928:AL1928"/>
    <mergeCell ref="AC1929:AD1929"/>
    <mergeCell ref="AF1929:AH1929"/>
    <mergeCell ref="AK1929:AL1929"/>
    <mergeCell ref="AC1930:AD1930"/>
    <mergeCell ref="AF1930:AH1930"/>
    <mergeCell ref="AK1930:AL1930"/>
    <mergeCell ref="AC1931:AD1931"/>
    <mergeCell ref="AF1931:AH1931"/>
    <mergeCell ref="AK1931:AL1931"/>
    <mergeCell ref="AC1932:AD1932"/>
    <mergeCell ref="AF1932:AH1932"/>
    <mergeCell ref="AK1932:AL1932"/>
    <mergeCell ref="AC1933:AD1933"/>
    <mergeCell ref="AF1933:AH1933"/>
    <mergeCell ref="AK1933:AL1933"/>
    <mergeCell ref="AC1934:AD1934"/>
    <mergeCell ref="AF1934:AH1934"/>
    <mergeCell ref="AK1934:AL1934"/>
    <mergeCell ref="AC1935:AD1935"/>
    <mergeCell ref="AF1935:AH1935"/>
    <mergeCell ref="AK1935:AL1935"/>
    <mergeCell ref="AC1936:AD1936"/>
    <mergeCell ref="AF1936:AH1936"/>
    <mergeCell ref="AK1936:AL1936"/>
    <mergeCell ref="AC1937:AD1937"/>
    <mergeCell ref="AF1937:AH1937"/>
    <mergeCell ref="AK1937:AL1937"/>
    <mergeCell ref="AC1938:AD1938"/>
    <mergeCell ref="AF1938:AH1938"/>
    <mergeCell ref="AK1938:AL1938"/>
    <mergeCell ref="AC1939:AD1939"/>
    <mergeCell ref="AF1939:AH1939"/>
    <mergeCell ref="AK1939:AL1939"/>
    <mergeCell ref="AC1940:AD1940"/>
    <mergeCell ref="AF1940:AH1940"/>
    <mergeCell ref="AK1940:AL1940"/>
    <mergeCell ref="AC1941:AD1941"/>
    <mergeCell ref="AF1941:AH1941"/>
    <mergeCell ref="AK1941:AL1941"/>
    <mergeCell ref="AC1942:AD1942"/>
    <mergeCell ref="AF1942:AH1942"/>
    <mergeCell ref="AK1942:AL1942"/>
    <mergeCell ref="AC1943:AD1943"/>
    <mergeCell ref="AF1943:AH1943"/>
    <mergeCell ref="AK1943:AL1943"/>
    <mergeCell ref="AC1944:AD1944"/>
    <mergeCell ref="AF1944:AH1944"/>
    <mergeCell ref="AK1944:AL1944"/>
    <mergeCell ref="AC1945:AD1945"/>
    <mergeCell ref="AF1945:AH1945"/>
    <mergeCell ref="AK1945:AL1945"/>
    <mergeCell ref="AC1946:AD1946"/>
    <mergeCell ref="AF1946:AH1946"/>
    <mergeCell ref="AK1946:AL1946"/>
    <mergeCell ref="AC1947:AD1947"/>
    <mergeCell ref="AF1947:AH1947"/>
    <mergeCell ref="AK1947:AL1947"/>
    <mergeCell ref="AC1948:AD1948"/>
    <mergeCell ref="AF1948:AH1948"/>
    <mergeCell ref="AK1948:AL1948"/>
    <mergeCell ref="AC1949:AD1949"/>
    <mergeCell ref="AF1949:AH1949"/>
    <mergeCell ref="AK1949:AL1949"/>
    <mergeCell ref="AC1950:AD1950"/>
    <mergeCell ref="AF1950:AH1950"/>
    <mergeCell ref="AK1950:AL1950"/>
    <mergeCell ref="AC1951:AD1951"/>
    <mergeCell ref="AF1951:AH1951"/>
    <mergeCell ref="AK1951:AL1951"/>
    <mergeCell ref="AC1952:AD1952"/>
    <mergeCell ref="AF1952:AH1952"/>
    <mergeCell ref="AK1952:AL1952"/>
    <mergeCell ref="AC1953:AD1953"/>
    <mergeCell ref="AF1953:AH1953"/>
    <mergeCell ref="AK1953:AL1953"/>
    <mergeCell ref="AC1954:AD1954"/>
    <mergeCell ref="AF1954:AH1954"/>
    <mergeCell ref="AK1954:AL1954"/>
    <mergeCell ref="AC1955:AD1955"/>
    <mergeCell ref="AF1955:AH1955"/>
    <mergeCell ref="AK1955:AL1955"/>
    <mergeCell ref="AC1956:AD1956"/>
    <mergeCell ref="AF1956:AH1956"/>
    <mergeCell ref="AK1956:AL1956"/>
    <mergeCell ref="AC1957:AD1957"/>
    <mergeCell ref="AF1957:AH1957"/>
    <mergeCell ref="AK1957:AL1957"/>
    <mergeCell ref="AC1958:AD1958"/>
    <mergeCell ref="AF1958:AH1958"/>
    <mergeCell ref="AK1958:AL1958"/>
    <mergeCell ref="AC1959:AD1959"/>
    <mergeCell ref="AF1959:AH1959"/>
    <mergeCell ref="AK1959:AL1959"/>
    <mergeCell ref="AC1960:AD1960"/>
    <mergeCell ref="AF1960:AH1960"/>
    <mergeCell ref="AK1960:AL1960"/>
    <mergeCell ref="AC1961:AD1961"/>
    <mergeCell ref="AF1961:AH1961"/>
    <mergeCell ref="AK1961:AL1961"/>
    <mergeCell ref="AC1962:AD1962"/>
    <mergeCell ref="AF1962:AH1962"/>
    <mergeCell ref="AK1962:AL1962"/>
    <mergeCell ref="AC1963:AD1963"/>
    <mergeCell ref="AF1963:AH1963"/>
    <mergeCell ref="AK1963:AL1963"/>
    <mergeCell ref="AC1964:AD1964"/>
    <mergeCell ref="AF1964:AH1964"/>
    <mergeCell ref="AK1964:AL1964"/>
    <mergeCell ref="AC1965:AD1965"/>
    <mergeCell ref="AF1965:AH1965"/>
    <mergeCell ref="AK1965:AL1965"/>
    <mergeCell ref="AC1966:AD1966"/>
    <mergeCell ref="AF1966:AH1966"/>
    <mergeCell ref="AK1966:AL1966"/>
    <mergeCell ref="AC1967:AD1967"/>
    <mergeCell ref="AF1967:AH1967"/>
    <mergeCell ref="AK1967:AL1967"/>
    <mergeCell ref="AC1968:AD1968"/>
    <mergeCell ref="AF1968:AH1968"/>
    <mergeCell ref="AK1968:AL1968"/>
    <mergeCell ref="AC1969:AD1969"/>
    <mergeCell ref="AF1969:AH1969"/>
    <mergeCell ref="AK1969:AL1969"/>
    <mergeCell ref="AC1970:AD1970"/>
    <mergeCell ref="AF1970:AH1970"/>
    <mergeCell ref="AK1970:AL1970"/>
    <mergeCell ref="AC1971:AD1971"/>
    <mergeCell ref="AF1971:AH1971"/>
    <mergeCell ref="AK1971:AL1971"/>
    <mergeCell ref="AC1972:AD1972"/>
    <mergeCell ref="AF1972:AH1972"/>
    <mergeCell ref="AK1972:AL1972"/>
    <mergeCell ref="AC1973:AD1973"/>
    <mergeCell ref="AF1973:AH1973"/>
    <mergeCell ref="AK1973:AL1973"/>
    <mergeCell ref="AC1974:AD1974"/>
    <mergeCell ref="AF1974:AH1974"/>
    <mergeCell ref="AK1974:AL1974"/>
    <mergeCell ref="AC1975:AD1975"/>
    <mergeCell ref="AF1975:AH1975"/>
    <mergeCell ref="AK1975:AL1975"/>
    <mergeCell ref="AC1976:AD1976"/>
    <mergeCell ref="AF1976:AH1976"/>
    <mergeCell ref="AK1976:AL1976"/>
    <mergeCell ref="AC1977:AD1977"/>
    <mergeCell ref="AF1977:AH1977"/>
    <mergeCell ref="AK1977:AL1977"/>
    <mergeCell ref="AC1978:AD1978"/>
    <mergeCell ref="AF1978:AH1978"/>
    <mergeCell ref="AK1978:AL1978"/>
    <mergeCell ref="AC1979:AD1979"/>
    <mergeCell ref="AF1979:AH1979"/>
    <mergeCell ref="AK1979:AL1979"/>
    <mergeCell ref="AC1980:AD1980"/>
    <mergeCell ref="AF1980:AH1980"/>
    <mergeCell ref="AK1980:AL1980"/>
    <mergeCell ref="AC1981:AD1981"/>
    <mergeCell ref="AF1981:AH1981"/>
    <mergeCell ref="AK1981:AL1981"/>
    <mergeCell ref="AC1982:AD1982"/>
    <mergeCell ref="AF1982:AH1982"/>
    <mergeCell ref="AK1982:AL1982"/>
    <mergeCell ref="AC1983:AD1983"/>
    <mergeCell ref="AF1983:AH1983"/>
    <mergeCell ref="AK1983:AL1983"/>
    <mergeCell ref="AC1984:AD1984"/>
    <mergeCell ref="AF1984:AH1984"/>
    <mergeCell ref="AK1984:AL1984"/>
    <mergeCell ref="AC1985:AD1985"/>
    <mergeCell ref="AF1985:AH1985"/>
    <mergeCell ref="AK1985:AL1985"/>
    <mergeCell ref="AC1986:AD1986"/>
    <mergeCell ref="AF1986:AH1986"/>
    <mergeCell ref="AK1986:AL1986"/>
    <mergeCell ref="AC1987:AD1987"/>
    <mergeCell ref="AF1987:AH1987"/>
    <mergeCell ref="AK1987:AL1987"/>
    <mergeCell ref="AC1988:AD1988"/>
    <mergeCell ref="AF1988:AH1988"/>
    <mergeCell ref="AK1988:AL1988"/>
    <mergeCell ref="AC1989:AD1989"/>
    <mergeCell ref="AF1989:AH1989"/>
    <mergeCell ref="AK1989:AL1989"/>
    <mergeCell ref="AC1990:AD1990"/>
    <mergeCell ref="AF1990:AH1990"/>
    <mergeCell ref="AK1990:AL1990"/>
    <mergeCell ref="AC1991:AD1991"/>
    <mergeCell ref="AF1991:AH1991"/>
    <mergeCell ref="AK1991:AL1991"/>
    <mergeCell ref="AC1992:AD1992"/>
    <mergeCell ref="AF1992:AH1992"/>
    <mergeCell ref="AK1992:AL1992"/>
    <mergeCell ref="AC1993:AD1993"/>
    <mergeCell ref="AF1993:AH1993"/>
    <mergeCell ref="AK1993:AL1993"/>
    <mergeCell ref="AC1994:AD1994"/>
    <mergeCell ref="AF1994:AH1994"/>
    <mergeCell ref="AK1994:AL1994"/>
    <mergeCell ref="AC1995:AD1995"/>
    <mergeCell ref="AF1995:AH1995"/>
    <mergeCell ref="AK1995:AL1995"/>
    <mergeCell ref="AC1996:AD1996"/>
    <mergeCell ref="AF1996:AH1996"/>
    <mergeCell ref="AK1996:AL1996"/>
    <mergeCell ref="AC1997:AD1997"/>
    <mergeCell ref="AF1997:AH1997"/>
    <mergeCell ref="AK1997:AL1997"/>
    <mergeCell ref="AC1998:AD1998"/>
    <mergeCell ref="AF1998:AH1998"/>
    <mergeCell ref="AK1998:AL1998"/>
    <mergeCell ref="AC1999:AD1999"/>
    <mergeCell ref="AF1999:AH1999"/>
    <mergeCell ref="AK1999:AL1999"/>
    <mergeCell ref="AC2000:AD2000"/>
    <mergeCell ref="AF2000:AH2000"/>
    <mergeCell ref="AK2000:AL2000"/>
    <mergeCell ref="AC2001:AD2001"/>
    <mergeCell ref="AF2001:AH2001"/>
    <mergeCell ref="AK2001:AL2001"/>
    <mergeCell ref="AC2002:AD2002"/>
    <mergeCell ref="AF2002:AH2002"/>
    <mergeCell ref="AK2002:AL2002"/>
    <mergeCell ref="AC2003:AD2003"/>
    <mergeCell ref="AF2003:AH2003"/>
    <mergeCell ref="AK2003:AL2003"/>
    <mergeCell ref="AC2015:AD2015"/>
    <mergeCell ref="AF2015:AH2015"/>
    <mergeCell ref="AK2015:AL2015"/>
    <mergeCell ref="AC2016:AD2016"/>
    <mergeCell ref="AF2016:AH2016"/>
    <mergeCell ref="AK2016:AL2016"/>
    <mergeCell ref="AC2017:AD2017"/>
    <mergeCell ref="AF2017:AH2017"/>
    <mergeCell ref="AK2017:AL2017"/>
    <mergeCell ref="AC2018:AD2018"/>
    <mergeCell ref="AF2018:AH2018"/>
    <mergeCell ref="AK2018:AL2018"/>
    <mergeCell ref="AC2019:AD2019"/>
    <mergeCell ref="AF2019:AH2019"/>
    <mergeCell ref="AK2019:AL2019"/>
    <mergeCell ref="AC2020:AD2020"/>
    <mergeCell ref="AF2020:AH2020"/>
    <mergeCell ref="AK2020:AL2020"/>
    <mergeCell ref="AC2021:AD2021"/>
    <mergeCell ref="AF2021:AH2021"/>
    <mergeCell ref="AK2021:AL2021"/>
    <mergeCell ref="AC2022:AD2022"/>
    <mergeCell ref="AF2022:AH2022"/>
    <mergeCell ref="AK2022:AL2022"/>
    <mergeCell ref="AC2023:AD2023"/>
    <mergeCell ref="AF2023:AH2023"/>
    <mergeCell ref="AK2023:AL2023"/>
    <mergeCell ref="AC2024:AD2024"/>
    <mergeCell ref="AF2024:AH2024"/>
    <mergeCell ref="AK2024:AL2024"/>
    <mergeCell ref="AC2004:AD2004"/>
    <mergeCell ref="AF2004:AH2004"/>
    <mergeCell ref="AK2004:AL2004"/>
    <mergeCell ref="AC2005:AD2005"/>
    <mergeCell ref="AF2005:AH2005"/>
    <mergeCell ref="AK2005:AL2005"/>
    <mergeCell ref="AC2006:AD2006"/>
    <mergeCell ref="AF2006:AH2006"/>
    <mergeCell ref="AK2006:AL2006"/>
    <mergeCell ref="AC2007:AD2007"/>
    <mergeCell ref="AF2007:AH2007"/>
    <mergeCell ref="AK2007:AL2007"/>
    <mergeCell ref="AC2008:AD2008"/>
    <mergeCell ref="AF2008:AH2008"/>
    <mergeCell ref="AK2008:AL2008"/>
    <mergeCell ref="AC2009:AD2009"/>
    <mergeCell ref="AF2009:AH2009"/>
    <mergeCell ref="AK2009:AL2009"/>
    <mergeCell ref="AC2010:AD2010"/>
    <mergeCell ref="AF2010:AH2010"/>
    <mergeCell ref="AK2010:AL2010"/>
    <mergeCell ref="AC2011:AD2011"/>
    <mergeCell ref="AF2011:AH2011"/>
    <mergeCell ref="AK2011:AL2011"/>
    <mergeCell ref="AC2012:AD2012"/>
    <mergeCell ref="AF2012:AH2012"/>
    <mergeCell ref="AK2012:AL2012"/>
    <mergeCell ref="AC2013:AD2013"/>
    <mergeCell ref="AF2013:AH2013"/>
    <mergeCell ref="AK2013:AL2013"/>
    <mergeCell ref="AC2014:AD2014"/>
    <mergeCell ref="AF2014:AH2014"/>
    <mergeCell ref="AK2014:AL2014"/>
  </mergeCells>
  <phoneticPr fontId="41" type="noConversion"/>
  <conditionalFormatting sqref="E10:G10">
    <cfRule type="expression" dxfId="21" priority="4">
      <formula>OR($AE$9="", $AE$9="No",$AE$9="N",$AE$9="me")</formula>
    </cfRule>
  </conditionalFormatting>
  <conditionalFormatting sqref="F10:F4413">
    <cfRule type="expression" dxfId="20" priority="25">
      <formula>AND(OR($D$2=" Price it by Type ",$D$2=" Price it by Common",$D$2=" Price it by Latin ", $D$2="Quote", $D$2="Order"), AND(ISNUMBER(G10), G10&gt;0))</formula>
    </cfRule>
  </conditionalFormatting>
  <conditionalFormatting sqref="G10:G4413">
    <cfRule type="expression" dxfId="19" priority="24">
      <formula>AND(OR($D$2=" Price it by Type ",$D$2=" Price it by Common",$D$2=" Price it by Latin ", $D$2="Quote", $D$2="Order"), AND(ISNUMBER(G10), G10&gt;0))</formula>
    </cfRule>
  </conditionalFormatting>
  <conditionalFormatting sqref="H10:H4413">
    <cfRule type="expression" dxfId="18" priority="23">
      <formula>AND(OR($D$2=" Price it by Type ",$D$2=" Price it by Common",$D$2=" Price it by Latin ", $D$2="Quote", $D$2="Order"), AND(ISNUMBER(G10), G10&gt;0))</formula>
    </cfRule>
  </conditionalFormatting>
  <conditionalFormatting sqref="I10:I4413">
    <cfRule type="expression" dxfId="17" priority="22">
      <formula>AND(ISNUMBER(G10), G10&gt;0)</formula>
    </cfRule>
  </conditionalFormatting>
  <conditionalFormatting sqref="J10:J4413">
    <cfRule type="expression" dxfId="16" priority="21">
      <formula>AND(ISNUMBER(G10), G10&gt;0)</formula>
    </cfRule>
  </conditionalFormatting>
  <conditionalFormatting sqref="K10:K4413">
    <cfRule type="expression" dxfId="15" priority="17">
      <formula>AND(OR($D$2=" Price it by Type ",$D$2=" Price it by Common",$D$2=" Price it by Latin ", $D$2="Quote", $D$2="Order"), AND(ISNUMBER(G10), G10&gt;0, $K$4&gt;200))</formula>
    </cfRule>
    <cfRule type="expression" dxfId="14" priority="18">
      <formula>AND(OR($D$2="Delivered",$D$2="Completed"), AND(ISNUMBER(G10), G10&gt;0, $K$3&gt;0))</formula>
    </cfRule>
    <cfRule type="expression" dxfId="13" priority="19">
      <formula>AND(OR($D$2="Delivered",$D$2="Completed"), AND(ISNUMBER(G10), G10&gt;0, $K$3=0))</formula>
    </cfRule>
    <cfRule type="expression" dxfId="12" priority="20">
      <formula>AND(OR($D$2=" Price it by Type ",$D$2=" Price it by Common",$D$2=" Price it by Latin ", $D$2="Quote", $D$2="Order"), AND(ISNUMBER(G10), G10&gt;0, $K$3=0))</formula>
    </cfRule>
  </conditionalFormatting>
  <conditionalFormatting sqref="K3:L5">
    <cfRule type="expression" dxfId="11" priority="1">
      <formula>$K$4&gt;0</formula>
    </cfRule>
  </conditionalFormatting>
  <conditionalFormatting sqref="M10:M4413">
    <cfRule type="expression" dxfId="10" priority="16">
      <formula>AND(OR($D$2=" Price it by Type ",$D$2=" Price it by Common",$D$2=" Price it by Latin ", $D$2="Quote", $D$2="Order"), AND(ISNUMBER(G10), G10&gt;0, $K$3&gt;0))</formula>
    </cfRule>
  </conditionalFormatting>
  <conditionalFormatting sqref="N10:N4413">
    <cfRule type="expression" dxfId="9" priority="15">
      <formula>AND(OR($D$2=" Price it by Type ",$D$2=" Price it by Common",$D$2=" Price it by Latin ", $D$2="Quote", $D$2="Order"), AND(ISNUMBER(G10), G10&gt;0, $K$3&gt;0))</formula>
    </cfRule>
  </conditionalFormatting>
  <conditionalFormatting sqref="O10:O4413">
    <cfRule type="expression" dxfId="8" priority="14">
      <formula>AND(OR($D$2=" Price it by Type ",$D$2=" Price it by Common",$D$2=" Price it by Latin ", $D$2="Quote", $D$2="Order"), AND(ISNUMBER(G10), G10&gt;0, $K$3&gt;0))</formula>
    </cfRule>
  </conditionalFormatting>
  <conditionalFormatting sqref="P10:P4413">
    <cfRule type="expression" dxfId="7" priority="13">
      <formula>AND(OR($D$2=" Price it by Type ",$D$2=" Price it by Common",$D$2=" Price it by Latin ", $D$2="Quote", $D$2="Order"), AND(ISNUMBER(G10), G10&gt;0, $K$3&gt;0))</formula>
    </cfRule>
  </conditionalFormatting>
  <conditionalFormatting sqref="Q10:Q4413">
    <cfRule type="expression" dxfId="6" priority="12">
      <formula>AND(OR($D$2=" Price it by Type ",$D$2=" Price it by Common",$D$2=" Price it by Latin ", $D$2="Quote", $D$2="Order"), AND(ISNUMBER(G10), G10&gt;0, $K$3&gt;0))</formula>
    </cfRule>
  </conditionalFormatting>
  <conditionalFormatting sqref="R10:R4413">
    <cfRule type="expression" dxfId="5" priority="11">
      <formula>AND(OR($D$2=" Price it by Type ",$D$2=" Price it by Common",$D$2=" Price it by Latin ", $D$2="Quote", $D$2="Order"), AND(ISNUMBER(G10), G10&gt;0, $K$3&gt;0))</formula>
    </cfRule>
  </conditionalFormatting>
  <conditionalFormatting sqref="AB3">
    <cfRule type="expression" dxfId="4" priority="7">
      <formula>OR($AE$9="",PlanterYesMe="No",PlanterYesMe="N",PlanterYesMe="me")</formula>
    </cfRule>
  </conditionalFormatting>
  <conditionalFormatting sqref="AB4:AB5">
    <cfRule type="expression" dxfId="3" priority="5">
      <formula>OR($AE$9="", $AE$9="No",$AE$9="N",$AE$9="me")</formula>
    </cfRule>
  </conditionalFormatting>
  <conditionalFormatting sqref="AB10:AB4413">
    <cfRule type="expression" dxfId="2" priority="10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C10:AC4413">
    <cfRule type="expression" dxfId="1" priority="9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D10:AD4413">
    <cfRule type="expression" dxfId="0" priority="8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hyperlinks>
    <hyperlink ref="AM4433:AN4433" r:id="rId1" tooltip="open edisonscapes.com in a browser" display="EdisonLandscaping.com" xr:uid="{BC431AC0-DD90-43DE-9FE5-11ABCBFA14F2}"/>
    <hyperlink ref="AD4438" location="'Main Page'!Z9" display="go to top of Edison area" xr:uid="{7CACF6E2-6205-4EA0-8B52-6824375AB33A}"/>
    <hyperlink ref="S9:T9" r:id="rId2" tooltip="open 811 Process page in a browser" display="https://nc811.org/safe-digging-process/" xr:uid="{B10DD35C-300F-4587-96F9-6FC627A9B38A}"/>
    <hyperlink ref="AB8" location="Edison_Landscaping_Price_Summary" tooltip="go down to the schedule of planting fees in the Edison Summary near base of page" display="Edison_Landscaping_Price_Summary" xr:uid="{20749385-9C0F-44AF-8250-E2EA61FDF492}"/>
    <hyperlink ref="N8:AA8" location="Eastern_Triangle_Area" tooltip="go to Eastern Triangle Area description down below - we go up to 100 miles past edge of area for a fee" display="serving the Eastern Triangle Area+" xr:uid="{83A13835-F82C-4639-821D-13EFC202B389}"/>
    <hyperlink ref="N8:X8" location="Eastern_Triangle_Area" display=" serving the Eastern Triangle Area+" xr:uid="{C7D8F1E6-5CAD-4E46-AFFA-EFB99774F9CE}"/>
    <hyperlink ref="N8" location="Eastern_Triangle_Area" tooltip="gp tp Eastern Triangle Area description down below" display="   serving the Eastern Triangle Area+" xr:uid="{B9DC4956-7B08-42B4-84EE-46666D7B8A54}"/>
    <hyperlink ref="AQ6:AT6" location="Deciduous" tooltip="Deciduous plants lose their foliage each fall, and then grow all-new foliage around spring-time." display="Deciduous: foliage drops off every fall" xr:uid="{9B5A4510-16A1-48DC-8365-05E205D12831}"/>
    <hyperlink ref="AL6:AP6" location="Evergreen" tooltip="Evergreen plants retain their foliage year-round. Includes 'Semi-Evergreen', which lose foliage randomly, but appear Evergreen most all the time. Colder winters tend to cause more defoliation." display=" Evergreen: keeps foliage year-round" xr:uid="{AF24A847-9CEE-4AC2-9658-325137B377AD}"/>
    <hyperlink ref="BD2" r:id="rId3" location="PotSizeChart" tooltip="open Trees2Go FAQ page to the Pot Size Chart in a browser" xr:uid="{B38A5BDE-D5BC-4C79-9FE6-594756672CFF}"/>
    <hyperlink ref="BE3:BF3" location="CategoriesEvergreenTrees" tooltip="go to Categories area of this page" display="← go to categories" xr:uid="{F71212D2-60C9-4E1E-8B66-C2DA04F4236B}"/>
    <hyperlink ref="BF4" location="'Main Page'!A1" tooltip="go to far left side of this page" display="← ←  far left" xr:uid="{9C1DECED-3678-4663-86D5-89AB7FC53A3C}"/>
    <hyperlink ref="AT3" r:id="rId4" tooltip="open Our Sources page (of Trees2Go website) in a browser" xr:uid="{C65C12B9-4029-4982-90BC-EFB572B4CBD1}"/>
    <hyperlink ref="AL8:AN8" r:id="rId5" tooltip="open Edisonscapes.com in a new window" display="EdisonLandscaping.com" xr:uid="{3CD62612-59B4-4E13-800E-3C4EEDA372C5}"/>
    <hyperlink ref="AL8:AM8" r:id="rId6" tooltip="open edisonscapes.com in a browser" display="EdisonLandscaping.com" xr:uid="{6AAC8A74-2653-481A-83B8-BC4AD6765E01}"/>
    <hyperlink ref="AE4433:AF4433" r:id="rId7" tooltip="go to Edison Landscaping website in a new tab" display="Edisonscapes.com" xr:uid="{643BEFB7-AF1E-44A3-AE95-D8F1B258867A}"/>
    <hyperlink ref="B4421" r:id="rId8" display="Mike@Trees2Go.com" xr:uid="{C29422A8-97FF-49D6-955C-33BB757CA9D3}"/>
    <hyperlink ref="B4421:D4421" r:id="rId9" tooltip="send email to Shop@Trees2Go.com" display="mailto:Shop@Trees2Go.com" xr:uid="{DE2CC648-1E0C-45DF-BFAF-CADE1D7AE500}"/>
    <hyperlink ref="J8:L8" r:id="rId10" tooltip="send email to Shop@Trees2Go.com" display="mailto:Shop@Trees2Go.com" xr:uid="{08600720-BE4E-46A8-AFD8-60A41B7A02BD}"/>
    <hyperlink ref="K4439:L4439" location="TOP" tooltip="go to top of this page, to categories list" display="top of page" xr:uid="{BC69E880-1793-4EFE-8E8F-62784CBEEC0C}"/>
    <hyperlink ref="K4479:L4479" location="TOP" tooltip="go to top of this page, to categories list" display="top of page" xr:uid="{1FE056F1-1720-401F-9D85-C7973607AF83}"/>
    <hyperlink ref="AL11:AM11" location="Edison_Landscaping_Price_Summary" tooltip="go to Edison Details, near bottom" display="Edison_Landscaping_Price_Summary" xr:uid="{FDA0AA41-9900-414D-A703-4460729E42B8}"/>
    <hyperlink ref="AN11:AO11" location="Edison_General_Notes" tooltip="go to Edison Notes, near bottom" display="Edison_General_Notes" xr:uid="{5375F722-28F2-49C5-82BD-0AEC80127B0F}"/>
    <hyperlink ref="D4437" r:id="rId11" tooltip="send email to Shop@Trees2Go.com" display="mailto:Shop@Trees2Go.com" xr:uid="{713D2B08-3C5B-490E-AFD6-A4FA12E0ED41}"/>
    <hyperlink ref="A4437" r:id="rId12" tooltip="open Trees2Go FAQ page in a new tab" display="Frequently Asked Questions" xr:uid="{62A3F9D4-EA5A-4540-BD3B-EE12248E03CD}"/>
    <hyperlink ref="C4416" location="QualityGuarantee" tooltip="go to Guarantee, below" display="Guaranteed" xr:uid="{7C977431-D7D5-4E8F-A9D6-B9747EF25DA6}"/>
    <hyperlink ref="AD4480" location="'Main Page'!Z9" display="go to top of Edison area" xr:uid="{06C3C4EA-EAAD-445C-8935-4CFE514B6D3E}"/>
    <hyperlink ref="I9" location="QualityGuarantee" tooltip="scroll down to Guarantee near bottom" display="Guaranteed" xr:uid="{99EB7E01-9C0B-489F-BA6E-E2581C034340}"/>
    <hyperlink ref="I9:J9" location="QualityGuarantee" tooltip="scroll down to Guarantee near bottom" display="Guaranteed" xr:uid="{C0DB5541-4E4B-43A6-B6AC-A6027F65F854}"/>
  </hyperlinks>
  <pageMargins left="0.5" right="0.5" top="0.9" bottom="0.9" header="0.5" footer="0.5"/>
  <pageSetup orientation="portrait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M19" sqref="M19"/>
    </sheetView>
  </sheetViews>
  <sheetFormatPr defaultRowHeight="15" x14ac:dyDescent="0.25"/>
  <cols>
    <col min="1" max="1" width="1.85546875" customWidth="1"/>
    <col min="2" max="2" width="3.28515625" style="20" customWidth="1"/>
    <col min="3" max="3" width="47.5703125" customWidth="1"/>
    <col min="4" max="4" width="7.28515625" customWidth="1"/>
    <col min="7" max="7" width="12" customWidth="1"/>
  </cols>
  <sheetData>
    <row r="1" spans="2:3" x14ac:dyDescent="0.25">
      <c r="B1" s="855" t="s">
        <v>54</v>
      </c>
      <c r="C1" s="856"/>
    </row>
    <row r="17" spans="2:3" x14ac:dyDescent="0.25">
      <c r="C17" s="19" t="s">
        <v>55</v>
      </c>
    </row>
    <row r="18" spans="2:3" x14ac:dyDescent="0.25">
      <c r="C18" s="19" t="s">
        <v>56</v>
      </c>
    </row>
    <row r="19" spans="2:3" x14ac:dyDescent="0.25">
      <c r="C19" s="19"/>
    </row>
    <row r="20" spans="2:3" ht="15.75" x14ac:dyDescent="0.25">
      <c r="B20" s="21" t="s">
        <v>57</v>
      </c>
      <c r="C20" s="36" t="s">
        <v>228</v>
      </c>
    </row>
    <row r="21" spans="2:3" ht="15.75" x14ac:dyDescent="0.25">
      <c r="B21" s="21" t="s">
        <v>58</v>
      </c>
      <c r="C21" s="36" t="s">
        <v>59</v>
      </c>
    </row>
    <row r="22" spans="2:3" ht="15.75" x14ac:dyDescent="0.25">
      <c r="B22" s="21" t="s">
        <v>60</v>
      </c>
      <c r="C22" s="36" t="s">
        <v>240</v>
      </c>
    </row>
    <row r="23" spans="2:3" ht="15.75" x14ac:dyDescent="0.25">
      <c r="B23" s="21" t="s">
        <v>61</v>
      </c>
      <c r="C23" s="22" t="s">
        <v>229</v>
      </c>
    </row>
    <row r="24" spans="2:3" ht="15.75" x14ac:dyDescent="0.25">
      <c r="B24" s="21" t="s">
        <v>62</v>
      </c>
      <c r="C24" s="22" t="s">
        <v>63</v>
      </c>
    </row>
    <row r="25" spans="2:3" ht="15.75" x14ac:dyDescent="0.25">
      <c r="B25" s="21" t="s">
        <v>64</v>
      </c>
      <c r="C25" s="22" t="s">
        <v>65</v>
      </c>
    </row>
    <row r="26" spans="2:3" ht="15.75" x14ac:dyDescent="0.25">
      <c r="B26" s="21" t="s">
        <v>66</v>
      </c>
      <c r="C26" s="22" t="s">
        <v>241</v>
      </c>
    </row>
    <row r="27" spans="2:3" ht="15.75" x14ac:dyDescent="0.25">
      <c r="B27" s="21" t="s">
        <v>67</v>
      </c>
      <c r="C27" s="22" t="s">
        <v>68</v>
      </c>
    </row>
    <row r="28" spans="2:3" ht="15.75" x14ac:dyDescent="0.25">
      <c r="B28" s="21" t="s">
        <v>69</v>
      </c>
      <c r="C28" s="22" t="s">
        <v>70</v>
      </c>
    </row>
    <row r="29" spans="2:3" ht="15.75" x14ac:dyDescent="0.25">
      <c r="B29" s="21" t="s">
        <v>71</v>
      </c>
      <c r="C29" s="22" t="s">
        <v>279</v>
      </c>
    </row>
    <row r="30" spans="2:3" ht="15.75" x14ac:dyDescent="0.25">
      <c r="B30" s="21" t="s">
        <v>72</v>
      </c>
      <c r="C30" s="22" t="s">
        <v>280</v>
      </c>
    </row>
    <row r="31" spans="2:3" ht="15.75" x14ac:dyDescent="0.25">
      <c r="B31" s="21" t="s">
        <v>73</v>
      </c>
      <c r="C31" s="22" t="s">
        <v>74</v>
      </c>
    </row>
    <row r="32" spans="2:3" ht="15.75" x14ac:dyDescent="0.25">
      <c r="B32" s="21" t="s">
        <v>75</v>
      </c>
      <c r="C32" s="22" t="s">
        <v>77</v>
      </c>
    </row>
    <row r="33" spans="2:3" ht="15.75" x14ac:dyDescent="0.25">
      <c r="B33" s="21" t="s">
        <v>76</v>
      </c>
      <c r="C33" s="22" t="s">
        <v>242</v>
      </c>
    </row>
    <row r="34" spans="2:3" ht="15.75" x14ac:dyDescent="0.25">
      <c r="B34" s="37">
        <v>15</v>
      </c>
      <c r="C34" s="22" t="s">
        <v>143</v>
      </c>
    </row>
    <row r="35" spans="2:3" ht="15.75" x14ac:dyDescent="0.25">
      <c r="B35" s="37">
        <v>16</v>
      </c>
      <c r="C35" s="22" t="s">
        <v>231</v>
      </c>
    </row>
    <row r="36" spans="2:3" ht="15.75" x14ac:dyDescent="0.25">
      <c r="B36" s="37">
        <v>17</v>
      </c>
      <c r="C36" s="22" t="s">
        <v>230</v>
      </c>
    </row>
    <row r="37" spans="2:3" ht="15.75" x14ac:dyDescent="0.25">
      <c r="B37" s="37"/>
    </row>
    <row r="38" spans="2:3" ht="15.75" x14ac:dyDescent="0.25">
      <c r="B38" s="37"/>
      <c r="C38" s="22"/>
    </row>
    <row r="39" spans="2:3" x14ac:dyDescent="0.25">
      <c r="C39" s="34" t="s">
        <v>243</v>
      </c>
    </row>
  </sheetData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2"/>
  <sheetViews>
    <sheetView showGridLines="0" showRowColHeaders="0" workbookViewId="0">
      <selection activeCell="B13" sqref="B13"/>
    </sheetView>
  </sheetViews>
  <sheetFormatPr defaultRowHeight="15" x14ac:dyDescent="0.25"/>
  <cols>
    <col min="1" max="1" width="1.85546875" style="38" customWidth="1"/>
    <col min="2" max="2" width="64.28515625" style="38" customWidth="1"/>
    <col min="3" max="3" width="10" style="38" customWidth="1"/>
    <col min="4" max="4" width="13.140625" style="38" customWidth="1"/>
    <col min="5" max="16384" width="9.140625" style="38"/>
  </cols>
  <sheetData>
    <row r="1" spans="2:2" ht="15" customHeight="1" x14ac:dyDescent="0.25">
      <c r="B1" s="39" t="s">
        <v>78</v>
      </c>
    </row>
    <row r="2" spans="2:2" ht="5.0999999999999996" customHeight="1" x14ac:dyDescent="0.25">
      <c r="B2" s="39"/>
    </row>
    <row r="3" spans="2:2" ht="15" customHeight="1" x14ac:dyDescent="0.25">
      <c r="B3" s="40" t="s">
        <v>79</v>
      </c>
    </row>
    <row r="4" spans="2:2" ht="8.1" customHeight="1" x14ac:dyDescent="0.25">
      <c r="B4" s="40"/>
    </row>
    <row r="5" spans="2:2" ht="15" customHeight="1" x14ac:dyDescent="0.25">
      <c r="B5" s="41" t="s">
        <v>80</v>
      </c>
    </row>
    <row r="6" spans="2:2" ht="15" customHeight="1" x14ac:dyDescent="0.25">
      <c r="B6" s="42" t="s">
        <v>81</v>
      </c>
    </row>
    <row r="7" spans="2:2" ht="15" customHeight="1" x14ac:dyDescent="0.25">
      <c r="B7" s="42" t="s">
        <v>227</v>
      </c>
    </row>
    <row r="8" spans="2:2" ht="15" customHeight="1" x14ac:dyDescent="0.25">
      <c r="B8" s="42" t="s">
        <v>234</v>
      </c>
    </row>
    <row r="9" spans="2:2" ht="8.1" customHeight="1" x14ac:dyDescent="0.25">
      <c r="B9" s="40"/>
    </row>
    <row r="10" spans="2:2" ht="15" customHeight="1" x14ac:dyDescent="0.25">
      <c r="B10" s="42" t="s">
        <v>82</v>
      </c>
    </row>
    <row r="11" spans="2:2" ht="15" customHeight="1" x14ac:dyDescent="0.25">
      <c r="B11" s="41" t="s">
        <v>83</v>
      </c>
    </row>
    <row r="12" spans="2:2" ht="15" customHeight="1" x14ac:dyDescent="0.25">
      <c r="B12" s="42" t="s">
        <v>84</v>
      </c>
    </row>
    <row r="13" spans="2:2" ht="8.1" customHeight="1" x14ac:dyDescent="0.25"/>
    <row r="14" spans="2:2" ht="15" customHeight="1" x14ac:dyDescent="0.25">
      <c r="B14" s="43" t="s">
        <v>85</v>
      </c>
    </row>
    <row r="15" spans="2:2" ht="15" customHeight="1" x14ac:dyDescent="0.25">
      <c r="B15" s="42" t="s">
        <v>173</v>
      </c>
    </row>
    <row r="16" spans="2:2" ht="15" customHeight="1" x14ac:dyDescent="0.25">
      <c r="B16" s="42" t="s">
        <v>141</v>
      </c>
    </row>
    <row r="17" spans="2:2" ht="8.1" customHeight="1" x14ac:dyDescent="0.25">
      <c r="B17" s="40"/>
    </row>
    <row r="18" spans="2:2" ht="15" customHeight="1" x14ac:dyDescent="0.25">
      <c r="B18" s="41" t="s">
        <v>86</v>
      </c>
    </row>
    <row r="19" spans="2:2" ht="15" customHeight="1" x14ac:dyDescent="0.25">
      <c r="B19" s="42" t="s">
        <v>174</v>
      </c>
    </row>
    <row r="20" spans="2:2" ht="15" customHeight="1" x14ac:dyDescent="0.25">
      <c r="B20" s="42" t="s">
        <v>87</v>
      </c>
    </row>
    <row r="21" spans="2:2" ht="8.1" customHeight="1" x14ac:dyDescent="0.25">
      <c r="B21" s="42"/>
    </row>
    <row r="22" spans="2:2" ht="15" customHeight="1" x14ac:dyDescent="0.25">
      <c r="B22" s="41" t="s">
        <v>88</v>
      </c>
    </row>
    <row r="23" spans="2:2" ht="15" customHeight="1" x14ac:dyDescent="0.25">
      <c r="B23" s="42" t="s">
        <v>89</v>
      </c>
    </row>
    <row r="24" spans="2:2" ht="8.1" customHeight="1" x14ac:dyDescent="0.25">
      <c r="B24" s="42"/>
    </row>
    <row r="25" spans="2:2" ht="15" customHeight="1" x14ac:dyDescent="0.25">
      <c r="B25" s="41" t="s">
        <v>239</v>
      </c>
    </row>
    <row r="26" spans="2:2" ht="15" customHeight="1" x14ac:dyDescent="0.25">
      <c r="B26" s="41" t="s">
        <v>132</v>
      </c>
    </row>
    <row r="27" spans="2:2" ht="15" customHeight="1" x14ac:dyDescent="0.25">
      <c r="B27" s="42" t="s">
        <v>236</v>
      </c>
    </row>
    <row r="28" spans="2:2" x14ac:dyDescent="0.25">
      <c r="B28" s="42" t="s">
        <v>235</v>
      </c>
    </row>
    <row r="29" spans="2:2" ht="8.1" customHeight="1" x14ac:dyDescent="0.25">
      <c r="B29" s="44"/>
    </row>
    <row r="30" spans="2:2" ht="15" customHeight="1" x14ac:dyDescent="0.25">
      <c r="B30" s="41" t="s">
        <v>90</v>
      </c>
    </row>
    <row r="31" spans="2:2" ht="15" customHeight="1" x14ac:dyDescent="0.25">
      <c r="B31" s="42" t="s">
        <v>237</v>
      </c>
    </row>
    <row r="32" spans="2:2" ht="15" customHeight="1" x14ac:dyDescent="0.25">
      <c r="B32" s="42" t="s">
        <v>185</v>
      </c>
    </row>
    <row r="33" spans="2:2" ht="8.1" customHeight="1" x14ac:dyDescent="0.25">
      <c r="B33" s="44"/>
    </row>
    <row r="34" spans="2:2" ht="15" customHeight="1" x14ac:dyDescent="0.25">
      <c r="B34" s="45" t="s">
        <v>91</v>
      </c>
    </row>
    <row r="35" spans="2:2" ht="15" customHeight="1" x14ac:dyDescent="0.25">
      <c r="B35" s="42" t="s">
        <v>92</v>
      </c>
    </row>
    <row r="36" spans="2:2" ht="15" customHeight="1" x14ac:dyDescent="0.25">
      <c r="B36" s="42" t="s">
        <v>175</v>
      </c>
    </row>
    <row r="37" spans="2:2" ht="8.1" customHeight="1" x14ac:dyDescent="0.25"/>
    <row r="38" spans="2:2" ht="15" customHeight="1" x14ac:dyDescent="0.25">
      <c r="B38" s="41" t="s">
        <v>93</v>
      </c>
    </row>
    <row r="39" spans="2:2" ht="15" customHeight="1" x14ac:dyDescent="0.25">
      <c r="B39" s="42" t="s">
        <v>94</v>
      </c>
    </row>
    <row r="40" spans="2:2" ht="15" customHeight="1" x14ac:dyDescent="0.25">
      <c r="B40" s="42" t="s">
        <v>95</v>
      </c>
    </row>
    <row r="41" spans="2:2" ht="8.1" customHeight="1" x14ac:dyDescent="0.25"/>
    <row r="42" spans="2:2" ht="15" customHeight="1" x14ac:dyDescent="0.25">
      <c r="B42" s="41" t="s">
        <v>96</v>
      </c>
    </row>
    <row r="43" spans="2:2" ht="15" customHeight="1" x14ac:dyDescent="0.25">
      <c r="B43" s="42" t="s">
        <v>97</v>
      </c>
    </row>
    <row r="44" spans="2:2" ht="15" customHeight="1" x14ac:dyDescent="0.25">
      <c r="B44" s="42" t="s">
        <v>253</v>
      </c>
    </row>
    <row r="45" spans="2:2" ht="15" customHeight="1" x14ac:dyDescent="0.25">
      <c r="B45" s="42" t="s">
        <v>98</v>
      </c>
    </row>
    <row r="46" spans="2:2" ht="8.1" customHeight="1" x14ac:dyDescent="0.25"/>
    <row r="47" spans="2:2" ht="15" customHeight="1" x14ac:dyDescent="0.25">
      <c r="B47" s="41" t="s">
        <v>99</v>
      </c>
    </row>
    <row r="48" spans="2:2" ht="15" customHeight="1" x14ac:dyDescent="0.25">
      <c r="B48" s="42" t="s">
        <v>232</v>
      </c>
    </row>
    <row r="49" spans="2:2" ht="15" customHeight="1" x14ac:dyDescent="0.25">
      <c r="B49" s="42" t="s">
        <v>233</v>
      </c>
    </row>
    <row r="50" spans="2:2" ht="15" customHeight="1" x14ac:dyDescent="0.25">
      <c r="B50" s="42"/>
    </row>
    <row r="51" spans="2:2" ht="15" customHeight="1" x14ac:dyDescent="0.25">
      <c r="B51" s="46" t="s">
        <v>243</v>
      </c>
    </row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/>
    <row r="56" spans="2:2" ht="15" customHeight="1" x14ac:dyDescent="0.25"/>
    <row r="57" spans="2:2" ht="15" customHeight="1" x14ac:dyDescent="0.25"/>
    <row r="58" spans="2:2" ht="15" customHeight="1" x14ac:dyDescent="0.25"/>
    <row r="59" spans="2:2" ht="15" customHeight="1" x14ac:dyDescent="0.25"/>
    <row r="60" spans="2:2" ht="15" customHeight="1" x14ac:dyDescent="0.25"/>
    <row r="61" spans="2:2" ht="15" customHeight="1" x14ac:dyDescent="0.25"/>
    <row r="62" spans="2:2" ht="15" customHeight="1" x14ac:dyDescent="0.25"/>
    <row r="63" spans="2:2" ht="15" customHeight="1" x14ac:dyDescent="0.25"/>
    <row r="64" spans="2: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 x14ac:dyDescent="0.25"/>
  <cols>
    <col min="1" max="1" width="1.85546875" style="38" customWidth="1"/>
    <col min="2" max="2" width="31.5703125" style="38" customWidth="1"/>
    <col min="3" max="3" width="10" style="38" customWidth="1"/>
    <col min="4" max="4" width="11.140625" style="38" customWidth="1"/>
    <col min="5" max="7" width="9.140625" style="38"/>
    <col min="8" max="8" width="4.28515625" style="38" customWidth="1"/>
    <col min="9" max="9" width="4.140625" style="38" customWidth="1"/>
    <col min="10" max="16384" width="9.140625" style="38"/>
  </cols>
  <sheetData>
    <row r="1" spans="2:4" ht="15" customHeight="1" x14ac:dyDescent="0.25">
      <c r="B1" s="857" t="s">
        <v>100</v>
      </c>
      <c r="C1" s="858"/>
      <c r="D1" s="858"/>
    </row>
    <row r="2" spans="2:4" ht="8.1" customHeight="1" x14ac:dyDescent="0.25">
      <c r="B2" s="39"/>
    </row>
    <row r="3" spans="2:4" ht="15" customHeight="1" x14ac:dyDescent="0.25">
      <c r="B3" s="42" t="s">
        <v>148</v>
      </c>
    </row>
    <row r="4" spans="2:4" ht="15" customHeight="1" x14ac:dyDescent="0.25">
      <c r="B4" s="42" t="s">
        <v>145</v>
      </c>
    </row>
    <row r="5" spans="2:4" ht="15" customHeight="1" x14ac:dyDescent="0.25">
      <c r="B5" s="42" t="s">
        <v>144</v>
      </c>
    </row>
    <row r="6" spans="2:4" ht="15" customHeight="1" x14ac:dyDescent="0.25">
      <c r="B6" s="42" t="s">
        <v>147</v>
      </c>
    </row>
    <row r="7" spans="2:4" ht="15" customHeight="1" x14ac:dyDescent="0.25">
      <c r="B7" s="42" t="s">
        <v>146</v>
      </c>
    </row>
    <row r="8" spans="2:4" ht="8.1" customHeight="1" x14ac:dyDescent="0.25">
      <c r="B8" s="42"/>
    </row>
    <row r="9" spans="2:4" ht="15" customHeight="1" x14ac:dyDescent="0.25">
      <c r="B9" s="42" t="s">
        <v>101</v>
      </c>
    </row>
    <row r="10" spans="2:4" ht="8.1" customHeight="1" x14ac:dyDescent="0.25">
      <c r="B10" s="42"/>
    </row>
    <row r="11" spans="2:4" ht="15" customHeight="1" x14ac:dyDescent="0.25">
      <c r="B11" s="42" t="s">
        <v>102</v>
      </c>
    </row>
    <row r="12" spans="2:4" ht="8.1" customHeight="1" x14ac:dyDescent="0.25">
      <c r="B12" s="42"/>
    </row>
    <row r="13" spans="2:4" x14ac:dyDescent="0.25">
      <c r="B13" s="42" t="s">
        <v>103</v>
      </c>
    </row>
    <row r="14" spans="2:4" ht="8.1" customHeight="1" x14ac:dyDescent="0.25">
      <c r="B14" s="42"/>
    </row>
    <row r="15" spans="2:4" x14ac:dyDescent="0.25">
      <c r="B15" s="42" t="s">
        <v>238</v>
      </c>
    </row>
    <row r="16" spans="2:4" ht="8.1" customHeight="1" x14ac:dyDescent="0.25">
      <c r="B16" s="40"/>
    </row>
    <row r="17" spans="2:5" ht="15" customHeight="1" x14ac:dyDescent="0.25">
      <c r="B17" s="47" t="s">
        <v>136</v>
      </c>
    </row>
    <row r="18" spans="2:5" ht="15" customHeight="1" x14ac:dyDescent="0.25">
      <c r="B18" s="859" t="s">
        <v>104</v>
      </c>
      <c r="C18" s="859"/>
      <c r="D18" s="859"/>
    </row>
    <row r="19" spans="2:5" ht="15.95" customHeight="1" x14ac:dyDescent="0.25">
      <c r="B19" s="48"/>
      <c r="C19" s="48"/>
      <c r="D19" s="48"/>
    </row>
    <row r="20" spans="2:5" ht="15" customHeight="1" x14ac:dyDescent="0.25">
      <c r="B20" s="49" t="s">
        <v>105</v>
      </c>
    </row>
    <row r="21" spans="2:5" ht="8.1" customHeight="1" x14ac:dyDescent="0.25">
      <c r="B21" s="40"/>
    </row>
    <row r="22" spans="2:5" ht="15" customHeight="1" x14ac:dyDescent="0.25">
      <c r="B22" s="42" t="s">
        <v>187</v>
      </c>
    </row>
    <row r="23" spans="2:5" ht="8.1" customHeight="1" x14ac:dyDescent="0.25">
      <c r="B23" s="40"/>
    </row>
    <row r="24" spans="2:5" ht="15" customHeight="1" x14ac:dyDescent="0.25">
      <c r="B24" s="42" t="s">
        <v>188</v>
      </c>
    </row>
    <row r="25" spans="2:5" ht="8.1" customHeight="1" x14ac:dyDescent="0.25">
      <c r="B25" s="40"/>
    </row>
    <row r="26" spans="2:5" ht="15" customHeight="1" x14ac:dyDescent="0.25">
      <c r="B26" s="42" t="s">
        <v>106</v>
      </c>
      <c r="D26" s="46"/>
      <c r="E26" s="46"/>
    </row>
    <row r="27" spans="2:5" ht="8.1" customHeight="1" x14ac:dyDescent="0.25">
      <c r="C27" s="46"/>
    </row>
    <row r="28" spans="2:5" ht="15" customHeight="1" x14ac:dyDescent="0.25">
      <c r="B28" s="42" t="s">
        <v>186</v>
      </c>
    </row>
    <row r="29" spans="2:5" ht="8.1" customHeight="1" x14ac:dyDescent="0.25"/>
    <row r="30" spans="2:5" ht="15" customHeight="1" x14ac:dyDescent="0.25">
      <c r="B30" s="42" t="s">
        <v>135</v>
      </c>
    </row>
    <row r="31" spans="2:5" ht="15" customHeight="1" x14ac:dyDescent="0.25"/>
    <row r="32" spans="2:5" ht="15" customHeight="1" x14ac:dyDescent="0.25">
      <c r="B32" s="46" t="s">
        <v>243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</sheetData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5">
    <tabColor theme="7" tint="0.79998168889431442"/>
  </sheetPr>
  <dimension ref="A2:N80"/>
  <sheetViews>
    <sheetView showGridLines="0" workbookViewId="0">
      <selection activeCell="R23" sqref="R23"/>
    </sheetView>
  </sheetViews>
  <sheetFormatPr defaultColWidth="9.140625" defaultRowHeight="15" x14ac:dyDescent="0.2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 x14ac:dyDescent="0.25">
      <c r="A2" s="3" t="s">
        <v>107</v>
      </c>
      <c r="B2" s="18" t="s">
        <v>108</v>
      </c>
      <c r="C2" s="2"/>
      <c r="D2" s="860" t="s">
        <v>109</v>
      </c>
      <c r="E2" s="861"/>
      <c r="F2" s="2"/>
      <c r="G2" s="860" t="s">
        <v>110</v>
      </c>
      <c r="H2" s="861"/>
      <c r="I2" s="862" t="s">
        <v>269</v>
      </c>
      <c r="J2" s="863"/>
      <c r="K2" s="863"/>
      <c r="L2" s="863"/>
      <c r="M2" s="29" t="s">
        <v>107</v>
      </c>
      <c r="N2" s="30" t="s">
        <v>108</v>
      </c>
    </row>
    <row r="3" spans="1:14" ht="12.75" customHeight="1" x14ac:dyDescent="0.25">
      <c r="A3" s="5">
        <f ca="1">ROUNDDOWN('Main Page'!I4443,-2)</f>
        <v>0</v>
      </c>
      <c r="B3" s="6">
        <f ca="1">+IF(A3&gt;5000,0.1,VLOOKUP(A3,A4:B54,2,FALSE))</f>
        <v>0</v>
      </c>
      <c r="C3" s="2"/>
      <c r="D3" s="16" t="s">
        <v>111</v>
      </c>
      <c r="E3" s="17" t="s">
        <v>112</v>
      </c>
      <c r="F3" s="2"/>
      <c r="G3" s="16" t="s">
        <v>111</v>
      </c>
      <c r="H3" s="17" t="s">
        <v>112</v>
      </c>
      <c r="I3" s="26"/>
      <c r="J3" s="27" t="s">
        <v>33</v>
      </c>
      <c r="K3" s="28" t="s">
        <v>34</v>
      </c>
      <c r="L3" s="23"/>
      <c r="M3" s="31">
        <f>ROUNDDOWN('Main Page'!AJ4416,-2)</f>
        <v>0</v>
      </c>
      <c r="N3" s="32">
        <f>+IF(M3&gt;5000,0.1,VLOOKUP(M3,M4:N55,2,FALSE))</f>
        <v>0</v>
      </c>
    </row>
    <row r="4" spans="1:14" ht="12.75" customHeight="1" x14ac:dyDescent="0.25">
      <c r="A4" s="5">
        <v>0</v>
      </c>
      <c r="B4" s="6">
        <v>0</v>
      </c>
      <c r="C4" s="2"/>
      <c r="D4" s="4">
        <v>0</v>
      </c>
      <c r="E4" s="7">
        <v>0</v>
      </c>
      <c r="F4" s="2"/>
      <c r="G4" s="4">
        <v>0</v>
      </c>
      <c r="H4" s="7">
        <v>0</v>
      </c>
      <c r="I4" s="23"/>
      <c r="J4" s="24">
        <v>0</v>
      </c>
      <c r="K4" s="25">
        <v>0</v>
      </c>
      <c r="L4" s="23"/>
      <c r="M4" s="31">
        <v>0</v>
      </c>
      <c r="N4" s="32">
        <v>0</v>
      </c>
    </row>
    <row r="5" spans="1:14" ht="12.75" customHeight="1" x14ac:dyDescent="0.25">
      <c r="A5" s="5">
        <v>100</v>
      </c>
      <c r="B5" s="6">
        <v>0</v>
      </c>
      <c r="C5" s="2"/>
      <c r="D5" s="11" t="s">
        <v>30</v>
      </c>
      <c r="E5" s="33">
        <v>1.4999999999999999E-2</v>
      </c>
      <c r="F5" s="2"/>
      <c r="G5" s="11" t="s">
        <v>30</v>
      </c>
      <c r="H5" s="33">
        <v>2.5000000000000001E-2</v>
      </c>
      <c r="I5" s="23"/>
      <c r="J5" s="24" t="s">
        <v>31</v>
      </c>
      <c r="K5" s="25">
        <v>120</v>
      </c>
      <c r="L5" s="23"/>
      <c r="M5" s="31">
        <v>100</v>
      </c>
      <c r="N5" s="32">
        <v>0</v>
      </c>
    </row>
    <row r="6" spans="1:14" ht="12.75" customHeight="1" x14ac:dyDescent="0.25">
      <c r="A6" s="5">
        <v>200</v>
      </c>
      <c r="B6" s="6">
        <v>0.01</v>
      </c>
      <c r="C6" s="2"/>
      <c r="D6" s="8" t="s">
        <v>28</v>
      </c>
      <c r="E6" s="9">
        <v>0.02</v>
      </c>
      <c r="F6" s="2"/>
      <c r="G6" s="8" t="s">
        <v>28</v>
      </c>
      <c r="H6" s="9">
        <v>0.03</v>
      </c>
      <c r="I6" s="23"/>
      <c r="J6" s="24" t="s">
        <v>29</v>
      </c>
      <c r="K6" s="25">
        <v>144</v>
      </c>
      <c r="L6" s="23"/>
      <c r="M6" s="31">
        <v>200</v>
      </c>
      <c r="N6" s="32">
        <v>0.01</v>
      </c>
    </row>
    <row r="7" spans="1:14" ht="12.75" customHeight="1" x14ac:dyDescent="0.25">
      <c r="A7" s="5">
        <v>300</v>
      </c>
      <c r="B7" s="6">
        <v>0.02</v>
      </c>
      <c r="C7" s="2"/>
      <c r="D7" s="8">
        <v>1</v>
      </c>
      <c r="E7" s="9">
        <v>0.02</v>
      </c>
      <c r="F7" s="2"/>
      <c r="G7" s="8">
        <v>1</v>
      </c>
      <c r="H7" s="9">
        <v>0.03</v>
      </c>
      <c r="I7" s="23"/>
      <c r="J7" s="24" t="s">
        <v>191</v>
      </c>
      <c r="K7" s="25">
        <v>256</v>
      </c>
      <c r="L7" s="23"/>
      <c r="M7" s="31">
        <v>300</v>
      </c>
      <c r="N7" s="32">
        <v>0.02</v>
      </c>
    </row>
    <row r="8" spans="1:14" ht="12.75" customHeight="1" x14ac:dyDescent="0.25">
      <c r="A8" s="5">
        <v>400</v>
      </c>
      <c r="B8" s="6">
        <v>0.03</v>
      </c>
      <c r="C8" s="2"/>
      <c r="D8" s="2">
        <v>2</v>
      </c>
      <c r="E8" s="10">
        <v>0.03</v>
      </c>
      <c r="F8" s="2"/>
      <c r="G8" s="2">
        <v>2</v>
      </c>
      <c r="H8" s="10">
        <v>0.04</v>
      </c>
      <c r="I8" s="23"/>
      <c r="J8" s="24" t="s">
        <v>113</v>
      </c>
      <c r="K8" s="25">
        <v>768</v>
      </c>
      <c r="L8" s="23"/>
      <c r="M8" s="31">
        <v>400</v>
      </c>
      <c r="N8" s="32">
        <v>0.03</v>
      </c>
    </row>
    <row r="9" spans="1:14" ht="12.75" customHeight="1" x14ac:dyDescent="0.25">
      <c r="A9" s="5">
        <v>500</v>
      </c>
      <c r="B9" s="6">
        <v>0.03</v>
      </c>
      <c r="C9" s="2"/>
      <c r="D9" s="2">
        <v>3</v>
      </c>
      <c r="E9" s="10">
        <v>0.04</v>
      </c>
      <c r="F9" s="2"/>
      <c r="G9" s="2">
        <v>3</v>
      </c>
      <c r="H9" s="10">
        <v>0.05</v>
      </c>
      <c r="I9" s="23"/>
      <c r="J9" s="24">
        <v>0</v>
      </c>
      <c r="K9" s="25">
        <v>0</v>
      </c>
      <c r="L9" s="23"/>
      <c r="M9" s="31">
        <v>500</v>
      </c>
      <c r="N9" s="32">
        <v>0.03</v>
      </c>
    </row>
    <row r="10" spans="1:14" ht="12.75" customHeight="1" x14ac:dyDescent="0.25">
      <c r="A10" s="5">
        <f t="shared" ref="A10:A41" si="0">+A9+100</f>
        <v>600</v>
      </c>
      <c r="B10" s="6">
        <v>0.04</v>
      </c>
      <c r="C10" s="2"/>
      <c r="D10" s="2">
        <v>4</v>
      </c>
      <c r="E10" s="10">
        <v>1.0999999999999999E-2</v>
      </c>
      <c r="F10" s="2"/>
      <c r="G10" s="2">
        <v>4</v>
      </c>
      <c r="H10" s="10">
        <v>0.02</v>
      </c>
      <c r="I10" s="23"/>
      <c r="J10" s="24">
        <v>1</v>
      </c>
      <c r="K10" s="25">
        <v>16</v>
      </c>
      <c r="L10" s="23"/>
      <c r="M10" s="31">
        <f>+M8+100</f>
        <v>500</v>
      </c>
      <c r="N10" s="32">
        <v>0.04</v>
      </c>
    </row>
    <row r="11" spans="1:14" ht="12.75" customHeight="1" x14ac:dyDescent="0.25">
      <c r="A11" s="5">
        <f t="shared" si="0"/>
        <v>700</v>
      </c>
      <c r="B11" s="6">
        <v>0.04</v>
      </c>
      <c r="C11" s="2"/>
      <c r="D11" s="2">
        <v>5</v>
      </c>
      <c r="E11" s="10">
        <v>0.05</v>
      </c>
      <c r="F11" s="2"/>
      <c r="G11" s="2">
        <v>5</v>
      </c>
      <c r="H11" s="10">
        <v>5.5E-2</v>
      </c>
      <c r="I11" s="23"/>
      <c r="J11" s="24">
        <v>2</v>
      </c>
      <c r="K11" s="25">
        <v>25</v>
      </c>
      <c r="L11" s="23"/>
      <c r="M11" s="31">
        <f>+M9+100</f>
        <v>600</v>
      </c>
      <c r="N11" s="32">
        <v>0.04</v>
      </c>
    </row>
    <row r="12" spans="1:14" ht="12.75" customHeight="1" x14ac:dyDescent="0.25">
      <c r="A12" s="5">
        <f t="shared" si="0"/>
        <v>800</v>
      </c>
      <c r="B12" s="6">
        <v>0.05</v>
      </c>
      <c r="C12" s="2"/>
      <c r="D12" s="2">
        <v>6</v>
      </c>
      <c r="E12" s="10">
        <v>6.5000000000000002E-2</v>
      </c>
      <c r="F12" s="2"/>
      <c r="G12" s="2">
        <v>6</v>
      </c>
      <c r="H12" s="10">
        <v>0.06</v>
      </c>
      <c r="I12" s="23"/>
      <c r="J12" s="24">
        <v>3</v>
      </c>
      <c r="K12" s="25">
        <v>38</v>
      </c>
      <c r="L12" s="23"/>
      <c r="M12" s="31">
        <f t="shared" ref="M12:M40" si="1">+M11+100</f>
        <v>700</v>
      </c>
      <c r="N12" s="32">
        <v>0.04</v>
      </c>
    </row>
    <row r="13" spans="1:14" ht="12.75" customHeight="1" x14ac:dyDescent="0.25">
      <c r="A13" s="5">
        <f t="shared" si="0"/>
        <v>900</v>
      </c>
      <c r="B13" s="6">
        <v>0.05</v>
      </c>
      <c r="C13" s="2"/>
      <c r="D13" s="2">
        <v>7</v>
      </c>
      <c r="E13" s="10">
        <v>7.4999999999999997E-2</v>
      </c>
      <c r="F13" s="2"/>
      <c r="G13" s="2">
        <v>7</v>
      </c>
      <c r="H13" s="10">
        <v>6.6000000000000003E-2</v>
      </c>
      <c r="I13" s="23"/>
      <c r="J13" s="24">
        <v>4</v>
      </c>
      <c r="K13" s="25">
        <v>8</v>
      </c>
      <c r="L13" s="23"/>
      <c r="M13" s="31">
        <f t="shared" si="1"/>
        <v>800</v>
      </c>
      <c r="N13" s="32">
        <v>0.05</v>
      </c>
    </row>
    <row r="14" spans="1:14" ht="12.75" customHeight="1" x14ac:dyDescent="0.25">
      <c r="A14" s="5">
        <f t="shared" si="0"/>
        <v>1000</v>
      </c>
      <c r="B14" s="6">
        <v>0.06</v>
      </c>
      <c r="C14" s="2"/>
      <c r="D14" s="2">
        <v>10</v>
      </c>
      <c r="E14" s="10">
        <v>0.1</v>
      </c>
      <c r="F14" s="2"/>
      <c r="G14" s="2">
        <v>10</v>
      </c>
      <c r="H14" s="10">
        <v>0.11</v>
      </c>
      <c r="I14" s="23"/>
      <c r="J14" s="24">
        <v>5</v>
      </c>
      <c r="K14" s="25">
        <v>55</v>
      </c>
      <c r="L14" s="23"/>
      <c r="M14" s="31">
        <f t="shared" si="1"/>
        <v>900</v>
      </c>
      <c r="N14" s="32">
        <v>0.05</v>
      </c>
    </row>
    <row r="15" spans="1:14" ht="12.75" customHeight="1" x14ac:dyDescent="0.25">
      <c r="A15" s="5">
        <f t="shared" si="0"/>
        <v>1100</v>
      </c>
      <c r="B15" s="6">
        <v>0.06</v>
      </c>
      <c r="C15" s="2"/>
      <c r="D15" s="2">
        <v>15</v>
      </c>
      <c r="E15" s="10">
        <v>0.12</v>
      </c>
      <c r="F15" s="2"/>
      <c r="G15" s="2">
        <v>15</v>
      </c>
      <c r="H15" s="10">
        <v>0.14000000000000001</v>
      </c>
      <c r="I15" s="23"/>
      <c r="J15" s="24">
        <v>7</v>
      </c>
      <c r="K15" s="25">
        <v>75</v>
      </c>
      <c r="L15" s="23"/>
      <c r="M15" s="31">
        <f t="shared" si="1"/>
        <v>1000</v>
      </c>
      <c r="N15" s="32">
        <v>0.06</v>
      </c>
    </row>
    <row r="16" spans="1:14" ht="12.75" customHeight="1" x14ac:dyDescent="0.25">
      <c r="A16" s="5">
        <f t="shared" si="0"/>
        <v>1200</v>
      </c>
      <c r="B16" s="6">
        <v>0.06</v>
      </c>
      <c r="C16" s="2"/>
      <c r="D16" s="2">
        <v>20</v>
      </c>
      <c r="E16" s="10">
        <v>0.15</v>
      </c>
      <c r="F16" s="2"/>
      <c r="G16" s="2">
        <v>20</v>
      </c>
      <c r="H16" s="10">
        <v>0.17</v>
      </c>
      <c r="I16" s="23"/>
      <c r="J16" s="24">
        <v>10</v>
      </c>
      <c r="K16" s="25">
        <v>100</v>
      </c>
      <c r="L16" s="23"/>
      <c r="M16" s="31">
        <f t="shared" si="1"/>
        <v>1100</v>
      </c>
      <c r="N16" s="32">
        <v>0.06</v>
      </c>
    </row>
    <row r="17" spans="1:14" ht="12.75" customHeight="1" x14ac:dyDescent="0.25">
      <c r="A17" s="5">
        <f t="shared" si="0"/>
        <v>1300</v>
      </c>
      <c r="B17" s="6">
        <v>0.06</v>
      </c>
      <c r="C17" s="2"/>
      <c r="D17" s="2">
        <v>25</v>
      </c>
      <c r="E17" s="10">
        <v>0.2</v>
      </c>
      <c r="F17" s="2"/>
      <c r="G17" s="2">
        <v>25</v>
      </c>
      <c r="H17" s="10">
        <v>0.2</v>
      </c>
      <c r="I17" s="23"/>
      <c r="J17" s="24">
        <v>15</v>
      </c>
      <c r="K17" s="25">
        <v>120</v>
      </c>
      <c r="L17" s="23"/>
      <c r="M17" s="31">
        <f t="shared" si="1"/>
        <v>1200</v>
      </c>
      <c r="N17" s="32">
        <v>0.06</v>
      </c>
    </row>
    <row r="18" spans="1:14" ht="12.75" customHeight="1" x14ac:dyDescent="0.25">
      <c r="A18" s="5">
        <f t="shared" si="0"/>
        <v>1400</v>
      </c>
      <c r="B18" s="6">
        <v>0.06</v>
      </c>
      <c r="C18" s="2"/>
      <c r="D18" s="2">
        <v>30</v>
      </c>
      <c r="E18" s="10">
        <v>0.25</v>
      </c>
      <c r="F18" s="2"/>
      <c r="G18" s="2">
        <v>30</v>
      </c>
      <c r="H18" s="10">
        <v>0.3</v>
      </c>
      <c r="I18" s="23"/>
      <c r="J18" s="24">
        <v>20</v>
      </c>
      <c r="K18" s="25">
        <v>150</v>
      </c>
      <c r="L18" s="23"/>
      <c r="M18" s="31">
        <f t="shared" si="1"/>
        <v>1300</v>
      </c>
      <c r="N18" s="32">
        <v>0.06</v>
      </c>
    </row>
    <row r="19" spans="1:14" ht="12.75" customHeight="1" x14ac:dyDescent="0.25">
      <c r="A19" s="5">
        <f t="shared" si="0"/>
        <v>1500</v>
      </c>
      <c r="B19" s="6">
        <v>0.06</v>
      </c>
      <c r="C19" s="2"/>
      <c r="D19" s="2">
        <v>40</v>
      </c>
      <c r="E19" s="10">
        <v>0.3</v>
      </c>
      <c r="F19" s="2"/>
      <c r="G19" s="2">
        <v>40</v>
      </c>
      <c r="H19" s="10">
        <v>0.4</v>
      </c>
      <c r="I19" s="23"/>
      <c r="J19" s="24">
        <v>25</v>
      </c>
      <c r="K19" s="25">
        <v>180</v>
      </c>
      <c r="L19" s="23"/>
      <c r="M19" s="31">
        <f t="shared" si="1"/>
        <v>1400</v>
      </c>
      <c r="N19" s="32">
        <v>0.06</v>
      </c>
    </row>
    <row r="20" spans="1:14" ht="12.75" customHeight="1" x14ac:dyDescent="0.25">
      <c r="A20" s="5">
        <f t="shared" si="0"/>
        <v>1600</v>
      </c>
      <c r="B20" s="6">
        <v>0.06</v>
      </c>
      <c r="C20" s="2"/>
      <c r="D20" s="2">
        <v>45</v>
      </c>
      <c r="E20" s="10">
        <v>0.4</v>
      </c>
      <c r="F20" s="2"/>
      <c r="G20" s="2">
        <v>45</v>
      </c>
      <c r="H20" s="10">
        <v>0.46700000000000003</v>
      </c>
      <c r="I20" s="23"/>
      <c r="J20" s="24">
        <v>30</v>
      </c>
      <c r="K20" s="25">
        <v>200</v>
      </c>
      <c r="L20" s="23"/>
      <c r="M20" s="31">
        <f t="shared" si="1"/>
        <v>1500</v>
      </c>
      <c r="N20" s="32">
        <v>0.06</v>
      </c>
    </row>
    <row r="21" spans="1:14" ht="12.75" customHeight="1" x14ac:dyDescent="0.25">
      <c r="A21" s="5">
        <f t="shared" si="0"/>
        <v>1700</v>
      </c>
      <c r="B21" s="6">
        <v>7.0000000000000007E-2</v>
      </c>
      <c r="C21" s="2"/>
      <c r="D21" s="2">
        <v>65</v>
      </c>
      <c r="E21" s="10">
        <v>0.6</v>
      </c>
      <c r="F21" s="2"/>
      <c r="G21" s="2">
        <v>65</v>
      </c>
      <c r="H21" s="10">
        <v>0.6</v>
      </c>
      <c r="I21" s="23"/>
      <c r="J21" s="24">
        <v>45</v>
      </c>
      <c r="K21" s="25">
        <v>300</v>
      </c>
      <c r="L21" s="23"/>
      <c r="M21" s="31">
        <f t="shared" si="1"/>
        <v>1600</v>
      </c>
      <c r="N21" s="32">
        <v>0.06</v>
      </c>
    </row>
    <row r="22" spans="1:14" ht="12.75" customHeight="1" x14ac:dyDescent="0.25">
      <c r="A22" s="5">
        <f t="shared" si="0"/>
        <v>1800</v>
      </c>
      <c r="B22" s="6">
        <v>7.0000000000000007E-2</v>
      </c>
      <c r="C22" s="2"/>
      <c r="D22" s="2">
        <v>95</v>
      </c>
      <c r="E22" s="10">
        <v>0.9</v>
      </c>
      <c r="F22" s="4"/>
      <c r="G22" s="2">
        <v>95</v>
      </c>
      <c r="H22" s="10">
        <v>0.75</v>
      </c>
      <c r="I22" s="23"/>
      <c r="J22" s="24">
        <v>65</v>
      </c>
      <c r="K22" s="25">
        <v>400</v>
      </c>
      <c r="L22" s="23"/>
      <c r="M22" s="31">
        <f t="shared" si="1"/>
        <v>1700</v>
      </c>
      <c r="N22" s="32">
        <v>7.0000000000000007E-2</v>
      </c>
    </row>
    <row r="23" spans="1:14" ht="12.75" customHeight="1" x14ac:dyDescent="0.25">
      <c r="A23" s="5">
        <f t="shared" si="0"/>
        <v>1900</v>
      </c>
      <c r="B23" s="6">
        <v>7.0000000000000007E-2</v>
      </c>
      <c r="C23" s="2"/>
      <c r="D23" s="2">
        <v>100</v>
      </c>
      <c r="E23" s="10">
        <v>1</v>
      </c>
      <c r="F23" s="2"/>
      <c r="G23" s="2">
        <v>100</v>
      </c>
      <c r="H23" s="10">
        <v>0.8</v>
      </c>
      <c r="I23" s="23"/>
      <c r="J23" s="24">
        <v>95</v>
      </c>
      <c r="K23" s="25">
        <v>700</v>
      </c>
      <c r="L23" s="23"/>
      <c r="M23" s="31">
        <f t="shared" si="1"/>
        <v>1800</v>
      </c>
      <c r="N23" s="32">
        <v>7.0000000000000007E-2</v>
      </c>
    </row>
    <row r="24" spans="1:14" ht="12.75" customHeight="1" x14ac:dyDescent="0.25">
      <c r="A24" s="5">
        <f t="shared" si="0"/>
        <v>2000</v>
      </c>
      <c r="B24" s="6">
        <v>7.0000000000000007E-2</v>
      </c>
      <c r="C24" s="2"/>
      <c r="D24" s="11" t="s">
        <v>114</v>
      </c>
      <c r="E24" s="10">
        <v>0.3</v>
      </c>
      <c r="F24" s="2"/>
      <c r="G24" s="11" t="s">
        <v>114</v>
      </c>
      <c r="H24" s="10">
        <v>0.26700000000000002</v>
      </c>
      <c r="I24" s="23"/>
      <c r="J24" s="24">
        <v>100</v>
      </c>
      <c r="K24" s="25">
        <v>800</v>
      </c>
      <c r="L24" s="23"/>
      <c r="M24" s="31">
        <f t="shared" si="1"/>
        <v>1900</v>
      </c>
      <c r="N24" s="32">
        <v>7.0000000000000007E-2</v>
      </c>
    </row>
    <row r="25" spans="1:14" ht="12.75" customHeight="1" x14ac:dyDescent="0.25">
      <c r="A25" s="5">
        <f t="shared" si="0"/>
        <v>2100</v>
      </c>
      <c r="B25" s="6">
        <v>7.0000000000000007E-2</v>
      </c>
      <c r="C25" s="2"/>
      <c r="D25" s="12" t="s">
        <v>115</v>
      </c>
      <c r="E25" s="10">
        <v>0.35</v>
      </c>
      <c r="F25" s="2"/>
      <c r="G25" s="12" t="s">
        <v>115</v>
      </c>
      <c r="H25" s="10">
        <v>0.33300000000000002</v>
      </c>
      <c r="I25" s="23"/>
      <c r="J25" s="35" t="s">
        <v>28</v>
      </c>
      <c r="K25" s="25">
        <v>15</v>
      </c>
      <c r="L25" s="23"/>
      <c r="M25" s="31">
        <f t="shared" si="1"/>
        <v>2000</v>
      </c>
      <c r="N25" s="32">
        <v>7.0000000000000007E-2</v>
      </c>
    </row>
    <row r="26" spans="1:14" ht="12.75" customHeight="1" x14ac:dyDescent="0.25">
      <c r="A26" s="5">
        <f t="shared" si="0"/>
        <v>2200</v>
      </c>
      <c r="B26" s="6">
        <v>7.0000000000000007E-2</v>
      </c>
      <c r="C26" s="2"/>
      <c r="D26" s="12" t="s">
        <v>116</v>
      </c>
      <c r="E26" s="10">
        <v>0.4</v>
      </c>
      <c r="F26" s="2"/>
      <c r="G26" s="12" t="s">
        <v>116</v>
      </c>
      <c r="H26" s="10">
        <v>0.4</v>
      </c>
      <c r="I26" s="23"/>
      <c r="J26" s="35" t="s">
        <v>30</v>
      </c>
      <c r="K26" s="25">
        <v>13</v>
      </c>
      <c r="L26" s="23"/>
      <c r="M26" s="31">
        <f t="shared" si="1"/>
        <v>2100</v>
      </c>
      <c r="N26" s="32">
        <v>7.0000000000000007E-2</v>
      </c>
    </row>
    <row r="27" spans="1:14" ht="12.75" customHeight="1" x14ac:dyDescent="0.25">
      <c r="A27" s="5">
        <f t="shared" si="0"/>
        <v>2300</v>
      </c>
      <c r="B27" s="6">
        <v>7.0000000000000007E-2</v>
      </c>
      <c r="C27" s="2"/>
      <c r="D27" s="12" t="s">
        <v>27</v>
      </c>
      <c r="E27" s="10">
        <v>0.45</v>
      </c>
      <c r="F27" s="2"/>
      <c r="G27" s="12" t="s">
        <v>27</v>
      </c>
      <c r="H27" s="10">
        <v>0.4</v>
      </c>
      <c r="M27" s="31">
        <f t="shared" si="1"/>
        <v>2200</v>
      </c>
      <c r="N27" s="32">
        <v>7.0000000000000007E-2</v>
      </c>
    </row>
    <row r="28" spans="1:14" ht="12.75" customHeight="1" x14ac:dyDescent="0.25">
      <c r="A28" s="5">
        <f t="shared" si="0"/>
        <v>2400</v>
      </c>
      <c r="B28" s="6">
        <v>7.0000000000000007E-2</v>
      </c>
      <c r="C28" s="2"/>
      <c r="D28" s="12" t="s">
        <v>117</v>
      </c>
      <c r="E28" s="10">
        <v>0.5</v>
      </c>
      <c r="F28" s="2"/>
      <c r="G28" s="12" t="s">
        <v>117</v>
      </c>
      <c r="H28" s="10">
        <v>0.46700000000000003</v>
      </c>
      <c r="I28" s="1"/>
      <c r="J28" s="1"/>
      <c r="K28" s="1"/>
      <c r="L28" s="1"/>
      <c r="M28" s="31">
        <f t="shared" si="1"/>
        <v>2300</v>
      </c>
      <c r="N28" s="32">
        <v>7.0000000000000007E-2</v>
      </c>
    </row>
    <row r="29" spans="1:14" ht="12.75" customHeight="1" x14ac:dyDescent="0.25">
      <c r="A29" s="5">
        <f t="shared" si="0"/>
        <v>2500</v>
      </c>
      <c r="B29" s="6">
        <v>0.08</v>
      </c>
      <c r="C29" s="2"/>
      <c r="D29" s="12" t="s">
        <v>118</v>
      </c>
      <c r="E29" s="10">
        <v>0.6</v>
      </c>
      <c r="F29" s="2"/>
      <c r="G29" s="12" t="s">
        <v>118</v>
      </c>
      <c r="H29" s="10">
        <v>0.53300000000000003</v>
      </c>
      <c r="I29" s="1"/>
      <c r="J29" s="1"/>
      <c r="K29" s="1"/>
      <c r="L29" s="1"/>
      <c r="M29" s="31">
        <f t="shared" si="1"/>
        <v>2400</v>
      </c>
      <c r="N29" s="32">
        <v>7.0000000000000007E-2</v>
      </c>
    </row>
    <row r="30" spans="1:14" ht="12.75" customHeight="1" x14ac:dyDescent="0.25">
      <c r="A30" s="5">
        <f t="shared" si="0"/>
        <v>2600</v>
      </c>
      <c r="B30" s="6">
        <v>0.08</v>
      </c>
      <c r="C30" s="2"/>
      <c r="D30" s="12" t="s">
        <v>13</v>
      </c>
      <c r="E30" s="10">
        <v>0.25</v>
      </c>
      <c r="F30" s="2"/>
      <c r="G30" s="12" t="s">
        <v>13</v>
      </c>
      <c r="H30" s="10">
        <v>0.2</v>
      </c>
      <c r="I30" s="1"/>
      <c r="J30" s="1"/>
      <c r="K30" s="1"/>
      <c r="L30" s="1"/>
      <c r="M30" s="31">
        <f t="shared" si="1"/>
        <v>2500</v>
      </c>
      <c r="N30" s="32">
        <v>0.08</v>
      </c>
    </row>
    <row r="31" spans="1:14" ht="12.75" customHeight="1" x14ac:dyDescent="0.25">
      <c r="A31" s="5">
        <f t="shared" si="0"/>
        <v>2700</v>
      </c>
      <c r="B31" s="6">
        <v>0.08</v>
      </c>
      <c r="C31" s="2"/>
      <c r="D31" s="12" t="s">
        <v>12</v>
      </c>
      <c r="E31" s="10">
        <v>0.3</v>
      </c>
      <c r="F31" s="2"/>
      <c r="G31" s="12" t="s">
        <v>12</v>
      </c>
      <c r="H31" s="10">
        <v>0.26700000000000002</v>
      </c>
      <c r="I31" s="1"/>
      <c r="J31" s="1"/>
      <c r="K31" s="1"/>
      <c r="L31" s="1"/>
      <c r="M31" s="31">
        <f t="shared" si="1"/>
        <v>2600</v>
      </c>
      <c r="N31" s="32">
        <v>0.08</v>
      </c>
    </row>
    <row r="32" spans="1:14" ht="12.75" customHeight="1" x14ac:dyDescent="0.25">
      <c r="A32" s="5">
        <f t="shared" si="0"/>
        <v>2800</v>
      </c>
      <c r="B32" s="6">
        <v>0.08</v>
      </c>
      <c r="C32" s="2"/>
      <c r="D32" s="12" t="s">
        <v>11</v>
      </c>
      <c r="E32" s="10">
        <v>0.35</v>
      </c>
      <c r="F32" s="2"/>
      <c r="G32" s="12" t="s">
        <v>11</v>
      </c>
      <c r="H32" s="10">
        <v>0.33300000000000002</v>
      </c>
      <c r="I32" s="1"/>
      <c r="J32" s="1"/>
      <c r="K32" s="1"/>
      <c r="L32" s="1"/>
      <c r="M32" s="31">
        <f t="shared" si="1"/>
        <v>2700</v>
      </c>
      <c r="N32" s="32">
        <v>0.08</v>
      </c>
    </row>
    <row r="33" spans="1:14" ht="12.75" customHeight="1" x14ac:dyDescent="0.25">
      <c r="A33" s="5">
        <f t="shared" si="0"/>
        <v>2900</v>
      </c>
      <c r="B33" s="6">
        <v>0.08</v>
      </c>
      <c r="C33" s="2"/>
      <c r="D33" s="12" t="s">
        <v>23</v>
      </c>
      <c r="E33" s="10">
        <v>0.4</v>
      </c>
      <c r="F33" s="2"/>
      <c r="G33" s="12" t="s">
        <v>23</v>
      </c>
      <c r="H33" s="10">
        <v>0.4</v>
      </c>
      <c r="I33" s="1"/>
      <c r="J33" s="1"/>
      <c r="K33" s="1"/>
      <c r="L33" s="1"/>
      <c r="M33" s="31">
        <f t="shared" si="1"/>
        <v>2800</v>
      </c>
      <c r="N33" s="32">
        <v>0.08</v>
      </c>
    </row>
    <row r="34" spans="1:14" ht="12.75" customHeight="1" x14ac:dyDescent="0.25">
      <c r="A34" s="5">
        <f t="shared" si="0"/>
        <v>3000</v>
      </c>
      <c r="B34" s="6">
        <v>0.08</v>
      </c>
      <c r="C34" s="2"/>
      <c r="D34" s="12" t="s">
        <v>14</v>
      </c>
      <c r="E34" s="10">
        <v>0.5</v>
      </c>
      <c r="F34" s="2"/>
      <c r="G34" s="12" t="s">
        <v>14</v>
      </c>
      <c r="H34" s="10">
        <v>0.46700000000000003</v>
      </c>
      <c r="I34" s="1"/>
      <c r="J34" s="1"/>
      <c r="K34" s="1"/>
      <c r="L34" s="1"/>
      <c r="M34" s="31">
        <f t="shared" si="1"/>
        <v>2900</v>
      </c>
      <c r="N34" s="32">
        <v>0.08</v>
      </c>
    </row>
    <row r="35" spans="1:14" ht="12.75" customHeight="1" x14ac:dyDescent="0.25">
      <c r="A35" s="5">
        <f t="shared" si="0"/>
        <v>3100</v>
      </c>
      <c r="B35" s="6">
        <v>0.08</v>
      </c>
      <c r="C35" s="2"/>
      <c r="D35" s="12" t="s">
        <v>25</v>
      </c>
      <c r="E35" s="10">
        <v>0.6</v>
      </c>
      <c r="F35" s="2"/>
      <c r="G35" s="12" t="s">
        <v>25</v>
      </c>
      <c r="H35" s="10">
        <v>0.53300000000000003</v>
      </c>
      <c r="I35" s="1"/>
      <c r="J35" s="1"/>
      <c r="K35" s="1"/>
      <c r="L35" s="1"/>
      <c r="M35" s="31">
        <f t="shared" si="1"/>
        <v>3000</v>
      </c>
      <c r="N35" s="32">
        <v>0.08</v>
      </c>
    </row>
    <row r="36" spans="1:14" ht="12.75" customHeight="1" x14ac:dyDescent="0.25">
      <c r="A36" s="5">
        <f t="shared" si="0"/>
        <v>3200</v>
      </c>
      <c r="B36" s="6">
        <v>0.08</v>
      </c>
      <c r="C36" s="2"/>
      <c r="D36" s="13" t="s">
        <v>17</v>
      </c>
      <c r="E36" s="14">
        <v>0.7</v>
      </c>
      <c r="F36" s="15"/>
      <c r="G36" s="13" t="s">
        <v>17</v>
      </c>
      <c r="H36" s="14">
        <v>0.6</v>
      </c>
      <c r="I36" s="1"/>
      <c r="J36" s="1"/>
      <c r="K36" s="1"/>
      <c r="L36" s="1"/>
      <c r="M36" s="31">
        <f t="shared" si="1"/>
        <v>3100</v>
      </c>
      <c r="N36" s="32">
        <v>0.08</v>
      </c>
    </row>
    <row r="37" spans="1:14" ht="12.75" customHeight="1" x14ac:dyDescent="0.25">
      <c r="A37" s="5">
        <f t="shared" si="0"/>
        <v>3300</v>
      </c>
      <c r="B37" s="6">
        <v>0.08</v>
      </c>
      <c r="C37" s="2"/>
      <c r="D37" s="13" t="s">
        <v>119</v>
      </c>
      <c r="E37" s="14">
        <v>1</v>
      </c>
      <c r="F37" s="15"/>
      <c r="G37" s="13" t="s">
        <v>119</v>
      </c>
      <c r="H37" s="14">
        <v>0.8</v>
      </c>
      <c r="I37" s="1"/>
      <c r="J37" s="1"/>
      <c r="K37" s="1"/>
      <c r="L37" s="1"/>
      <c r="M37" s="31">
        <f t="shared" si="1"/>
        <v>3200</v>
      </c>
      <c r="N37" s="32">
        <v>0.08</v>
      </c>
    </row>
    <row r="38" spans="1:14" ht="12.75" customHeight="1" x14ac:dyDescent="0.25">
      <c r="A38" s="5">
        <f t="shared" si="0"/>
        <v>3400</v>
      </c>
      <c r="B38" s="6">
        <v>0.08</v>
      </c>
      <c r="C38" s="2"/>
      <c r="D38" s="12" t="s">
        <v>120</v>
      </c>
      <c r="E38" s="10">
        <v>0.25</v>
      </c>
      <c r="F38" s="2"/>
      <c r="G38" s="12" t="s">
        <v>120</v>
      </c>
      <c r="H38" s="10">
        <v>0.35</v>
      </c>
      <c r="I38" s="1"/>
      <c r="J38" s="1"/>
      <c r="K38" s="1"/>
      <c r="L38" s="1"/>
      <c r="M38" s="31">
        <f t="shared" si="1"/>
        <v>3300</v>
      </c>
      <c r="N38" s="32">
        <v>0.08</v>
      </c>
    </row>
    <row r="39" spans="1:14" ht="12.75" customHeight="1" x14ac:dyDescent="0.25">
      <c r="A39" s="5">
        <f t="shared" si="0"/>
        <v>3500</v>
      </c>
      <c r="B39" s="6">
        <v>0.08</v>
      </c>
      <c r="C39" s="2"/>
      <c r="D39" s="12" t="s">
        <v>121</v>
      </c>
      <c r="E39" s="10">
        <v>0.25</v>
      </c>
      <c r="F39" s="2"/>
      <c r="G39" s="12" t="s">
        <v>121</v>
      </c>
      <c r="H39" s="10">
        <v>0.35</v>
      </c>
      <c r="I39" s="1"/>
      <c r="J39" s="1"/>
      <c r="K39" s="1"/>
      <c r="L39" s="1"/>
      <c r="M39" s="31">
        <f t="shared" si="1"/>
        <v>3400</v>
      </c>
      <c r="N39" s="32">
        <v>0.08</v>
      </c>
    </row>
    <row r="40" spans="1:14" ht="12.75" customHeight="1" x14ac:dyDescent="0.25">
      <c r="A40" s="5">
        <f t="shared" si="0"/>
        <v>3600</v>
      </c>
      <c r="B40" s="6">
        <v>0.08</v>
      </c>
      <c r="C40" s="2"/>
      <c r="D40" s="12" t="s">
        <v>31</v>
      </c>
      <c r="E40" s="10">
        <v>0.21</v>
      </c>
      <c r="F40" s="2"/>
      <c r="G40" s="12" t="s">
        <v>31</v>
      </c>
      <c r="H40" s="10">
        <v>0.28999999999999998</v>
      </c>
      <c r="I40" s="1"/>
      <c r="J40" s="1"/>
      <c r="K40" s="1"/>
      <c r="L40" s="1"/>
      <c r="M40" s="31">
        <f t="shared" si="1"/>
        <v>3500</v>
      </c>
      <c r="N40" s="32">
        <v>0.08</v>
      </c>
    </row>
    <row r="41" spans="1:14" ht="12.75" customHeight="1" x14ac:dyDescent="0.25">
      <c r="A41" s="5">
        <f t="shared" si="0"/>
        <v>3700</v>
      </c>
      <c r="B41" s="6">
        <v>0.09</v>
      </c>
      <c r="C41" s="2"/>
      <c r="D41" s="12" t="s">
        <v>29</v>
      </c>
      <c r="E41" s="10">
        <v>0.25</v>
      </c>
      <c r="F41" s="2"/>
      <c r="G41" s="12" t="s">
        <v>29</v>
      </c>
      <c r="H41" s="10">
        <v>0.35</v>
      </c>
      <c r="I41" s="1"/>
      <c r="J41" s="1"/>
      <c r="K41" s="1"/>
      <c r="L41" s="1"/>
      <c r="M41" s="31">
        <f t="shared" ref="M41:M55" si="2">+M40+100</f>
        <v>3600</v>
      </c>
      <c r="N41" s="32">
        <v>0.08</v>
      </c>
    </row>
    <row r="42" spans="1:14" ht="12.75" customHeight="1" x14ac:dyDescent="0.25">
      <c r="A42" s="5">
        <f t="shared" ref="A42:A54" si="3">+A41+100</f>
        <v>3800</v>
      </c>
      <c r="B42" s="6">
        <v>0.09</v>
      </c>
      <c r="C42" s="2"/>
      <c r="D42" s="12" t="s">
        <v>191</v>
      </c>
      <c r="E42" s="10">
        <v>0.45</v>
      </c>
      <c r="F42" s="2"/>
      <c r="G42" s="12" t="s">
        <v>191</v>
      </c>
      <c r="H42" s="10">
        <v>0.62</v>
      </c>
      <c r="I42" s="1"/>
      <c r="J42" s="1"/>
      <c r="K42" s="1"/>
      <c r="L42" s="1"/>
      <c r="M42" s="31">
        <f t="shared" si="2"/>
        <v>3700</v>
      </c>
      <c r="N42" s="32">
        <v>0.09</v>
      </c>
    </row>
    <row r="43" spans="1:14" ht="12.75" customHeight="1" x14ac:dyDescent="0.25">
      <c r="A43" s="5">
        <f t="shared" si="3"/>
        <v>3900</v>
      </c>
      <c r="B43" s="6">
        <v>0.09</v>
      </c>
      <c r="C43" s="2"/>
      <c r="D43" s="12" t="s">
        <v>113</v>
      </c>
      <c r="E43" s="10">
        <v>1.34</v>
      </c>
      <c r="F43" s="2"/>
      <c r="G43" s="12" t="s">
        <v>113</v>
      </c>
      <c r="H43" s="10">
        <v>1.87</v>
      </c>
      <c r="I43" s="1"/>
      <c r="J43" s="1"/>
      <c r="K43" s="1"/>
      <c r="L43" s="1"/>
      <c r="M43" s="31">
        <f t="shared" si="2"/>
        <v>3800</v>
      </c>
      <c r="N43" s="32">
        <v>0.09</v>
      </c>
    </row>
    <row r="44" spans="1:14" ht="12.75" customHeight="1" x14ac:dyDescent="0.25">
      <c r="A44" s="5">
        <f t="shared" si="3"/>
        <v>4000</v>
      </c>
      <c r="B44" s="6">
        <v>0.09</v>
      </c>
      <c r="C44" s="2"/>
      <c r="D44" s="12" t="s">
        <v>122</v>
      </c>
      <c r="E44" s="10">
        <v>0</v>
      </c>
      <c r="F44" s="2"/>
      <c r="G44" s="12" t="s">
        <v>122</v>
      </c>
      <c r="H44" s="10">
        <v>0</v>
      </c>
      <c r="I44" s="1"/>
      <c r="J44" s="1"/>
      <c r="K44" s="1"/>
      <c r="L44" s="1"/>
      <c r="M44" s="31">
        <f t="shared" si="2"/>
        <v>3900</v>
      </c>
      <c r="N44" s="32">
        <v>0.09</v>
      </c>
    </row>
    <row r="45" spans="1:14" ht="12.75" customHeight="1" x14ac:dyDescent="0.25">
      <c r="A45" s="5">
        <f t="shared" si="3"/>
        <v>4100</v>
      </c>
      <c r="B45" s="6">
        <v>0.09</v>
      </c>
      <c r="C45" s="2"/>
      <c r="D45" s="12" t="s">
        <v>123</v>
      </c>
      <c r="E45" s="10">
        <v>0</v>
      </c>
      <c r="F45" s="2"/>
      <c r="G45" s="12" t="s">
        <v>123</v>
      </c>
      <c r="H45" s="10">
        <v>0</v>
      </c>
      <c r="I45" s="1"/>
      <c r="J45" s="1"/>
      <c r="K45" s="1"/>
      <c r="L45" s="1"/>
      <c r="M45" s="31">
        <f t="shared" si="2"/>
        <v>4000</v>
      </c>
      <c r="N45" s="32">
        <v>0.09</v>
      </c>
    </row>
    <row r="46" spans="1:14" ht="12.75" customHeight="1" x14ac:dyDescent="0.25">
      <c r="A46" s="5">
        <f t="shared" si="3"/>
        <v>4200</v>
      </c>
      <c r="B46" s="6">
        <v>0.09</v>
      </c>
      <c r="C46" s="2"/>
      <c r="D46" s="12" t="s">
        <v>124</v>
      </c>
      <c r="E46" s="10">
        <v>0</v>
      </c>
      <c r="F46" s="2"/>
      <c r="G46" s="12" t="s">
        <v>124</v>
      </c>
      <c r="H46" s="10">
        <v>0</v>
      </c>
      <c r="I46" s="1"/>
      <c r="J46" s="1"/>
      <c r="K46" s="1"/>
      <c r="L46" s="1"/>
      <c r="M46" s="31">
        <f t="shared" si="2"/>
        <v>4100</v>
      </c>
      <c r="N46" s="32">
        <v>0.09</v>
      </c>
    </row>
    <row r="47" spans="1:14" ht="12.75" customHeight="1" x14ac:dyDescent="0.25">
      <c r="A47" s="5">
        <f t="shared" si="3"/>
        <v>4300</v>
      </c>
      <c r="B47" s="6">
        <v>0.09</v>
      </c>
      <c r="C47" s="2"/>
      <c r="D47" s="12" t="s">
        <v>125</v>
      </c>
      <c r="E47" s="10">
        <v>0</v>
      </c>
      <c r="F47" s="2"/>
      <c r="G47" s="12" t="s">
        <v>125</v>
      </c>
      <c r="H47" s="10">
        <v>0</v>
      </c>
      <c r="I47" s="1"/>
      <c r="J47" s="1"/>
      <c r="K47" s="1"/>
      <c r="L47" s="1"/>
      <c r="M47" s="31">
        <f t="shared" si="2"/>
        <v>4200</v>
      </c>
      <c r="N47" s="32">
        <v>0.09</v>
      </c>
    </row>
    <row r="48" spans="1:14" ht="12.75" customHeight="1" x14ac:dyDescent="0.25">
      <c r="A48" s="5">
        <f t="shared" si="3"/>
        <v>4400</v>
      </c>
      <c r="B48" s="6">
        <v>0.09</v>
      </c>
      <c r="C48" s="2"/>
      <c r="D48" s="12" t="s">
        <v>126</v>
      </c>
      <c r="E48" s="10">
        <v>1</v>
      </c>
      <c r="F48" s="2"/>
      <c r="G48" s="12" t="s">
        <v>126</v>
      </c>
      <c r="H48" s="10">
        <v>1</v>
      </c>
      <c r="I48" s="1"/>
      <c r="J48" s="1"/>
      <c r="K48" s="1"/>
      <c r="L48" s="1"/>
      <c r="M48" s="31">
        <f t="shared" si="2"/>
        <v>4300</v>
      </c>
      <c r="N48" s="32">
        <v>0.09</v>
      </c>
    </row>
    <row r="49" spans="1:14" ht="12.75" customHeight="1" x14ac:dyDescent="0.25">
      <c r="A49" s="5">
        <f t="shared" si="3"/>
        <v>4500</v>
      </c>
      <c r="B49" s="6">
        <v>0.09</v>
      </c>
      <c r="C49" s="2"/>
      <c r="D49" s="12" t="s">
        <v>127</v>
      </c>
      <c r="E49" s="10">
        <v>0</v>
      </c>
      <c r="F49" s="2"/>
      <c r="G49" s="12" t="s">
        <v>127</v>
      </c>
      <c r="H49" s="10">
        <v>0</v>
      </c>
      <c r="I49" s="1"/>
      <c r="J49" s="1"/>
      <c r="K49" s="1"/>
      <c r="L49" s="1"/>
      <c r="M49" s="31">
        <f t="shared" si="2"/>
        <v>4400</v>
      </c>
      <c r="N49" s="32">
        <v>0.09</v>
      </c>
    </row>
    <row r="50" spans="1:14" ht="12.75" customHeight="1" x14ac:dyDescent="0.25">
      <c r="A50" s="5">
        <f t="shared" si="3"/>
        <v>4600</v>
      </c>
      <c r="B50" s="6">
        <v>0.09</v>
      </c>
      <c r="C50" s="50"/>
      <c r="D50" s="12" t="s">
        <v>203</v>
      </c>
      <c r="E50" s="10">
        <v>0.21</v>
      </c>
      <c r="F50" s="2"/>
      <c r="G50" s="12" t="s">
        <v>203</v>
      </c>
      <c r="H50" s="10">
        <v>0.21</v>
      </c>
      <c r="I50" s="1"/>
      <c r="J50" s="1"/>
      <c r="K50" s="1"/>
      <c r="L50" s="1"/>
      <c r="M50" s="31">
        <f t="shared" si="2"/>
        <v>4500</v>
      </c>
      <c r="N50" s="32">
        <v>0.09</v>
      </c>
    </row>
    <row r="51" spans="1:14" ht="12.75" customHeight="1" x14ac:dyDescent="0.25">
      <c r="A51" s="5">
        <f t="shared" si="3"/>
        <v>4700</v>
      </c>
      <c r="B51" s="6">
        <v>0.09</v>
      </c>
      <c r="C51" s="50"/>
      <c r="D51" s="12" t="s">
        <v>15</v>
      </c>
      <c r="E51" s="10">
        <v>0.22</v>
      </c>
      <c r="F51" s="2"/>
      <c r="G51" s="12" t="s">
        <v>15</v>
      </c>
      <c r="H51" s="10">
        <v>0.22</v>
      </c>
      <c r="I51" s="1"/>
      <c r="J51" s="1"/>
      <c r="K51" s="1"/>
      <c r="L51" s="1"/>
      <c r="M51" s="31">
        <f t="shared" si="2"/>
        <v>4600</v>
      </c>
      <c r="N51" s="32">
        <v>0.09</v>
      </c>
    </row>
    <row r="52" spans="1:14" ht="12.75" customHeight="1" x14ac:dyDescent="0.25">
      <c r="A52" s="5">
        <f t="shared" si="3"/>
        <v>4800</v>
      </c>
      <c r="B52" s="6">
        <v>0.09</v>
      </c>
      <c r="C52" s="50"/>
      <c r="D52" s="12" t="s">
        <v>198</v>
      </c>
      <c r="E52" s="10">
        <v>0.23</v>
      </c>
      <c r="F52" s="2"/>
      <c r="G52" s="12" t="s">
        <v>198</v>
      </c>
      <c r="H52" s="10">
        <v>0.23</v>
      </c>
      <c r="I52" s="1"/>
      <c r="J52" s="1"/>
      <c r="K52" s="1"/>
      <c r="L52" s="1"/>
      <c r="M52" s="31">
        <f t="shared" si="2"/>
        <v>4700</v>
      </c>
      <c r="N52" s="32">
        <v>0.09</v>
      </c>
    </row>
    <row r="53" spans="1:14" ht="12.75" customHeight="1" x14ac:dyDescent="0.25">
      <c r="A53" s="5">
        <f t="shared" si="3"/>
        <v>4900</v>
      </c>
      <c r="B53" s="6">
        <v>0.09</v>
      </c>
      <c r="C53" s="50"/>
      <c r="D53" s="12" t="s">
        <v>215</v>
      </c>
      <c r="E53" s="10">
        <v>0.24</v>
      </c>
      <c r="F53" s="2"/>
      <c r="G53" s="12" t="s">
        <v>215</v>
      </c>
      <c r="H53" s="10">
        <v>0.24</v>
      </c>
      <c r="I53" s="1"/>
      <c r="J53" s="1"/>
      <c r="K53" s="1"/>
      <c r="L53" s="1"/>
      <c r="M53" s="31">
        <f t="shared" si="2"/>
        <v>4800</v>
      </c>
      <c r="N53" s="32">
        <v>0.09</v>
      </c>
    </row>
    <row r="54" spans="1:14" ht="12.75" customHeight="1" x14ac:dyDescent="0.25">
      <c r="A54" s="5">
        <f t="shared" si="3"/>
        <v>5000</v>
      </c>
      <c r="B54" s="6">
        <v>0.1</v>
      </c>
      <c r="C54" s="50"/>
      <c r="D54" s="12" t="s">
        <v>204</v>
      </c>
      <c r="E54" s="10">
        <v>0.26</v>
      </c>
      <c r="F54" s="2"/>
      <c r="G54" s="12" t="s">
        <v>204</v>
      </c>
      <c r="H54" s="10">
        <v>0.26</v>
      </c>
      <c r="I54" s="1"/>
      <c r="J54" s="1"/>
      <c r="K54" s="1"/>
      <c r="L54" s="1"/>
      <c r="M54" s="31">
        <f t="shared" si="2"/>
        <v>4900</v>
      </c>
      <c r="N54" s="32">
        <v>0.09</v>
      </c>
    </row>
    <row r="55" spans="1:14" ht="12.75" customHeight="1" x14ac:dyDescent="0.25">
      <c r="C55" s="50"/>
      <c r="D55" s="12" t="s">
        <v>216</v>
      </c>
      <c r="E55" s="10">
        <v>0.27</v>
      </c>
      <c r="F55" s="2"/>
      <c r="G55" s="12" t="s">
        <v>216</v>
      </c>
      <c r="H55" s="10">
        <v>0.27</v>
      </c>
      <c r="I55" s="1"/>
      <c r="J55" s="1"/>
      <c r="K55" s="1"/>
      <c r="L55" s="1"/>
      <c r="M55" s="31">
        <f t="shared" si="2"/>
        <v>5000</v>
      </c>
      <c r="N55" s="32">
        <v>0.1</v>
      </c>
    </row>
    <row r="56" spans="1:14" x14ac:dyDescent="0.25">
      <c r="C56" s="38"/>
      <c r="D56" s="12" t="s">
        <v>10</v>
      </c>
      <c r="E56" s="10">
        <v>0.28000000000000003</v>
      </c>
      <c r="F56" s="2"/>
      <c r="G56" s="12" t="s">
        <v>10</v>
      </c>
      <c r="H56" s="10">
        <v>0.28000000000000003</v>
      </c>
      <c r="I56" s="1"/>
      <c r="J56" s="1"/>
      <c r="K56" s="1"/>
      <c r="L56" s="1"/>
    </row>
    <row r="57" spans="1:14" x14ac:dyDescent="0.25">
      <c r="D57" s="12" t="s">
        <v>217</v>
      </c>
      <c r="E57" s="10">
        <v>0.28999999999999998</v>
      </c>
      <c r="F57" s="2"/>
      <c r="G57" s="12" t="s">
        <v>217</v>
      </c>
      <c r="H57" s="10">
        <v>0.28999999999999998</v>
      </c>
    </row>
    <row r="58" spans="1:14" x14ac:dyDescent="0.25">
      <c r="D58" s="12" t="s">
        <v>20</v>
      </c>
      <c r="E58" s="10">
        <v>0.31</v>
      </c>
      <c r="F58" s="2"/>
      <c r="G58" s="12" t="s">
        <v>20</v>
      </c>
      <c r="H58" s="10">
        <v>0.31</v>
      </c>
    </row>
    <row r="59" spans="1:14" x14ac:dyDescent="0.25">
      <c r="D59" s="12" t="s">
        <v>133</v>
      </c>
      <c r="E59" s="10">
        <v>0.32</v>
      </c>
      <c r="F59" s="2"/>
      <c r="G59" s="12" t="s">
        <v>133</v>
      </c>
      <c r="H59" s="10">
        <v>0.32</v>
      </c>
    </row>
    <row r="60" spans="1:14" x14ac:dyDescent="0.25">
      <c r="D60" s="12" t="s">
        <v>212</v>
      </c>
      <c r="E60" s="10">
        <v>0.33</v>
      </c>
      <c r="F60" s="2"/>
      <c r="G60" s="12" t="s">
        <v>212</v>
      </c>
      <c r="H60" s="10">
        <v>0.33</v>
      </c>
    </row>
    <row r="61" spans="1:14" x14ac:dyDescent="0.25">
      <c r="D61" s="12" t="s">
        <v>16</v>
      </c>
      <c r="E61" s="10">
        <v>0.34</v>
      </c>
      <c r="F61" s="2"/>
      <c r="G61" s="12" t="s">
        <v>16</v>
      </c>
      <c r="H61" s="10">
        <v>0.34</v>
      </c>
    </row>
    <row r="62" spans="1:14" x14ac:dyDescent="0.25">
      <c r="D62" s="12" t="s">
        <v>26</v>
      </c>
      <c r="E62" s="10">
        <v>0.36</v>
      </c>
      <c r="F62" s="2"/>
      <c r="G62" s="12" t="s">
        <v>26</v>
      </c>
      <c r="H62" s="10">
        <v>0.36</v>
      </c>
    </row>
    <row r="63" spans="1:14" x14ac:dyDescent="0.25">
      <c r="D63" s="12" t="s">
        <v>218</v>
      </c>
      <c r="E63" s="10">
        <v>0.37</v>
      </c>
      <c r="F63" s="2"/>
      <c r="G63" s="12" t="s">
        <v>218</v>
      </c>
      <c r="H63" s="10">
        <v>0.37</v>
      </c>
    </row>
    <row r="64" spans="1:14" x14ac:dyDescent="0.25">
      <c r="D64" s="12" t="s">
        <v>19</v>
      </c>
      <c r="E64" s="10">
        <v>0.38</v>
      </c>
      <c r="F64" s="2"/>
      <c r="G64" s="12" t="s">
        <v>19</v>
      </c>
      <c r="H64" s="10">
        <v>0.38</v>
      </c>
    </row>
    <row r="65" spans="4:8" x14ac:dyDescent="0.25">
      <c r="D65" s="12" t="s">
        <v>219</v>
      </c>
      <c r="E65" s="10">
        <v>0.39</v>
      </c>
      <c r="F65" s="2"/>
      <c r="G65" s="12" t="s">
        <v>219</v>
      </c>
      <c r="H65" s="10">
        <v>0.39</v>
      </c>
    </row>
    <row r="66" spans="4:8" x14ac:dyDescent="0.25">
      <c r="D66" s="12" t="s">
        <v>220</v>
      </c>
      <c r="E66" s="10">
        <v>0.41</v>
      </c>
      <c r="F66" s="2"/>
      <c r="G66" s="12" t="s">
        <v>220</v>
      </c>
      <c r="H66" s="10">
        <v>0.41</v>
      </c>
    </row>
    <row r="67" spans="4:8" x14ac:dyDescent="0.25">
      <c r="D67" s="12" t="s">
        <v>22</v>
      </c>
      <c r="E67" s="10">
        <v>0.42</v>
      </c>
      <c r="F67" s="2"/>
      <c r="G67" s="12" t="s">
        <v>22</v>
      </c>
      <c r="H67" s="10">
        <v>0.42</v>
      </c>
    </row>
    <row r="68" spans="4:8" x14ac:dyDescent="0.25">
      <c r="D68" s="12" t="s">
        <v>221</v>
      </c>
      <c r="E68" s="10">
        <v>0.43</v>
      </c>
      <c r="F68" s="2"/>
      <c r="G68" s="12" t="s">
        <v>221</v>
      </c>
      <c r="H68" s="10">
        <v>0.43</v>
      </c>
    </row>
    <row r="69" spans="4:8" x14ac:dyDescent="0.25">
      <c r="D69" s="12" t="s">
        <v>24</v>
      </c>
      <c r="E69" s="10">
        <v>0.44</v>
      </c>
      <c r="F69" s="2"/>
      <c r="G69" s="12" t="s">
        <v>24</v>
      </c>
      <c r="H69" s="10">
        <v>0.44</v>
      </c>
    </row>
    <row r="70" spans="4:8" x14ac:dyDescent="0.25">
      <c r="D70" s="12" t="s">
        <v>18</v>
      </c>
      <c r="E70" s="10">
        <v>0.46</v>
      </c>
      <c r="F70" s="2"/>
      <c r="G70" s="12" t="s">
        <v>18</v>
      </c>
      <c r="H70" s="10">
        <v>0.46</v>
      </c>
    </row>
    <row r="71" spans="4:8" x14ac:dyDescent="0.25">
      <c r="D71" s="12" t="s">
        <v>222</v>
      </c>
      <c r="E71" s="10">
        <v>0.47</v>
      </c>
      <c r="F71" s="2"/>
      <c r="G71" s="12" t="s">
        <v>222</v>
      </c>
      <c r="H71" s="10">
        <v>0.47</v>
      </c>
    </row>
    <row r="72" spans="4:8" x14ac:dyDescent="0.25">
      <c r="D72" s="12" t="s">
        <v>21</v>
      </c>
      <c r="E72" s="10">
        <v>0.48</v>
      </c>
      <c r="F72" s="2"/>
      <c r="G72" s="12" t="s">
        <v>21</v>
      </c>
      <c r="H72" s="10">
        <v>0.48</v>
      </c>
    </row>
    <row r="73" spans="4:8" x14ac:dyDescent="0.25">
      <c r="D73" s="12" t="s">
        <v>223</v>
      </c>
      <c r="E73" s="10">
        <v>0.49</v>
      </c>
      <c r="F73" s="2"/>
      <c r="G73" s="12" t="s">
        <v>223</v>
      </c>
      <c r="H73" s="10">
        <v>0.49</v>
      </c>
    </row>
    <row r="74" spans="4:8" x14ac:dyDescent="0.25">
      <c r="D74" s="12" t="s">
        <v>224</v>
      </c>
      <c r="E74" s="10">
        <v>0.51</v>
      </c>
      <c r="F74" s="2"/>
      <c r="G74" s="12" t="s">
        <v>224</v>
      </c>
      <c r="H74" s="10">
        <v>0.51</v>
      </c>
    </row>
    <row r="75" spans="4:8" x14ac:dyDescent="0.25">
      <c r="D75" s="12" t="s">
        <v>134</v>
      </c>
      <c r="E75" s="10">
        <v>0.52</v>
      </c>
      <c r="F75" s="2"/>
      <c r="G75" s="12" t="s">
        <v>134</v>
      </c>
      <c r="H75" s="10">
        <v>0.52</v>
      </c>
    </row>
    <row r="76" spans="4:8" x14ac:dyDescent="0.25">
      <c r="D76" s="12" t="s">
        <v>225</v>
      </c>
      <c r="E76" s="10">
        <v>0.53</v>
      </c>
      <c r="F76" s="2"/>
      <c r="G76" s="12" t="s">
        <v>225</v>
      </c>
      <c r="H76" s="10">
        <v>0.53</v>
      </c>
    </row>
    <row r="77" spans="4:8" x14ac:dyDescent="0.25">
      <c r="D77" s="12" t="s">
        <v>199</v>
      </c>
      <c r="E77" s="10">
        <v>0.54</v>
      </c>
      <c r="F77" s="2"/>
      <c r="G77" s="12" t="s">
        <v>199</v>
      </c>
      <c r="H77" s="10">
        <v>0.54</v>
      </c>
    </row>
    <row r="78" spans="4:8" x14ac:dyDescent="0.25">
      <c r="D78" s="12" t="s">
        <v>167</v>
      </c>
      <c r="E78" s="10">
        <v>0.56000000000000005</v>
      </c>
      <c r="F78" s="2"/>
      <c r="G78" s="12" t="s">
        <v>167</v>
      </c>
      <c r="H78" s="10">
        <v>0.56000000000000005</v>
      </c>
    </row>
    <row r="79" spans="4:8" x14ac:dyDescent="0.25">
      <c r="D79" s="12" t="s">
        <v>226</v>
      </c>
      <c r="E79" s="10">
        <v>0.56999999999999995</v>
      </c>
      <c r="F79" s="2"/>
      <c r="G79" s="12" t="s">
        <v>226</v>
      </c>
      <c r="H79" s="10">
        <v>0.56999999999999995</v>
      </c>
    </row>
    <row r="80" spans="4:8" x14ac:dyDescent="0.25">
      <c r="D80" s="12" t="s">
        <v>202</v>
      </c>
      <c r="E80" s="10">
        <v>0.57999999999999996</v>
      </c>
      <c r="F80" s="2"/>
      <c r="G80" s="12" t="s">
        <v>202</v>
      </c>
      <c r="H80" s="10">
        <v>0.57999999999999996</v>
      </c>
    </row>
  </sheetData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100</vt:i4>
      </vt:variant>
    </vt:vector>
  </HeadingPairs>
  <TitlesOfParts>
    <vt:vector size="105" baseType="lpstr">
      <vt:lpstr>Main Page</vt:lpstr>
      <vt:lpstr>Planting Advice</vt:lpstr>
      <vt:lpstr>Watering Advice</vt:lpstr>
      <vt:lpstr>Warranty</vt:lpstr>
      <vt:lpstr>Discount Lookup</vt:lpstr>
      <vt:lpstr>AccruedDiscount</vt:lpstr>
      <vt:lpstr>AfterDiscountBeforeTax</vt:lpstr>
      <vt:lpstr>AfterDiscountTax</vt:lpstr>
      <vt:lpstr>AfterDiscountWithTax</vt:lpstr>
      <vt:lpstr>AzaleaTopLeft</vt:lpstr>
      <vt:lpstr>BeforeDiscountBeforeTax</vt:lpstr>
      <vt:lpstr>BeforeDiscountTax</vt:lpstr>
      <vt:lpstr>BeforeDiscountWithTax</vt:lpstr>
      <vt:lpstr>BonusDiscount</vt:lpstr>
      <vt:lpstr>BonusDiscountMsg</vt:lpstr>
      <vt:lpstr>ConsultFeeCredit</vt:lpstr>
      <vt:lpstr>ConsultFeeInsert</vt:lpstr>
      <vt:lpstr>Deciduous</vt:lpstr>
      <vt:lpstr>Deciduous__foliage_drops_off_every_fall</vt:lpstr>
      <vt:lpstr>DeciduousDescription</vt:lpstr>
      <vt:lpstr>DepositCredit</vt:lpstr>
      <vt:lpstr>DepositInsert</vt:lpstr>
      <vt:lpstr>DifficultyFeeNoConcatenate</vt:lpstr>
      <vt:lpstr>Eastern_Triangle_Area</vt:lpstr>
      <vt:lpstr>Eastern_Triangle_Area_of_North_Carolina</vt:lpstr>
      <vt:lpstr>EasternTriangleAreaNC</vt:lpstr>
      <vt:lpstr>Edison_General_Notes</vt:lpstr>
      <vt:lpstr>Edison_Landscaping_Price_Details</vt:lpstr>
      <vt:lpstr>Edison_Landscaping_Price_Summary</vt:lpstr>
      <vt:lpstr>EdisonTop</vt:lpstr>
      <vt:lpstr>EnterMiles</vt:lpstr>
      <vt:lpstr>Evergreen</vt:lpstr>
      <vt:lpstr>Evergreen__keeps_foliage_year_round</vt:lpstr>
      <vt:lpstr>EvergreenDescription</vt:lpstr>
      <vt:lpstr>GUARANTEE</vt:lpstr>
      <vt:lpstr>Guaranteed</vt:lpstr>
      <vt:lpstr>MileageFee</vt:lpstr>
      <vt:lpstr>MileageFeeMessage</vt:lpstr>
      <vt:lpstr>MileageFeeNoConcatenate</vt:lpstr>
      <vt:lpstr>more</vt:lpstr>
      <vt:lpstr>MORE_NOTES</vt:lpstr>
      <vt:lpstr>MSTryEO</vt:lpstr>
      <vt:lpstr>none</vt:lpstr>
      <vt:lpstr>NoWarrantyDiscount</vt:lpstr>
      <vt:lpstr>or_use_Ctrl_F_to_search</vt:lpstr>
      <vt:lpstr>Picture15</vt:lpstr>
      <vt:lpstr>PLANT_NOTES</vt:lpstr>
      <vt:lpstr>PlanterBalanceCCV</vt:lpstr>
      <vt:lpstr>PlanterBalanceCredit</vt:lpstr>
      <vt:lpstr>PlanterBeforeDiscount</vt:lpstr>
      <vt:lpstr>PlanterDepositAmount</vt:lpstr>
      <vt:lpstr>PlanterDepositPercentage</vt:lpstr>
      <vt:lpstr>PlanterDifficultyAmount</vt:lpstr>
      <vt:lpstr>PlanterDifficultyPercentage</vt:lpstr>
      <vt:lpstr>PlanterDiscount</vt:lpstr>
      <vt:lpstr>PlanterDiscountAmount</vt:lpstr>
      <vt:lpstr>PlanterDiscountHeader</vt:lpstr>
      <vt:lpstr>PlanterMileageNoConcatenate</vt:lpstr>
      <vt:lpstr>PlanterPreviousAmountsPaid</vt:lpstr>
      <vt:lpstr>PlanterTotalAfterDiscount</vt:lpstr>
      <vt:lpstr>PlanterYesMe</vt:lpstr>
      <vt:lpstr>PlantingIndicatorMsg</vt:lpstr>
      <vt:lpstr>PlantingTotal</vt:lpstr>
      <vt:lpstr>PlantingTotalHeader</vt:lpstr>
      <vt:lpstr>PlantNotes</vt:lpstr>
      <vt:lpstr>PlantsPricedHere</vt:lpstr>
      <vt:lpstr>Pot</vt:lpstr>
      <vt:lpstr>PriceitQODC</vt:lpstr>
      <vt:lpstr>'Discount Lookup'!Print_Area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SalesTaxPercentage</vt:lpstr>
      <vt:lpstr>ShowSelections</vt:lpstr>
      <vt:lpstr>SumMulch</vt:lpstr>
      <vt:lpstr>SumPlantingFees</vt:lpstr>
      <vt:lpstr>SumPlantingFeesPlusDiscounts</vt:lpstr>
      <vt:lpstr>SumPlants</vt:lpstr>
      <vt:lpstr>SumPlantsYPlanting</vt:lpstr>
      <vt:lpstr>SumSoil</vt:lpstr>
      <vt:lpstr>T2G_Delivery_Total</vt:lpstr>
      <vt:lpstr>T2GAccruedDiscount</vt:lpstr>
      <vt:lpstr>T2GAccruedDollars</vt:lpstr>
      <vt:lpstr>T2GBalanceCCV</vt:lpstr>
      <vt:lpstr>T2GBalanceCredit</vt:lpstr>
      <vt:lpstr>T2GDeliveryTotal</vt:lpstr>
      <vt:lpstr>T2GDiscount</vt:lpstr>
      <vt:lpstr>T2GDiscountBeforeTax</vt:lpstr>
      <vt:lpstr>T2GDiscountTax</vt:lpstr>
      <vt:lpstr>T2GDiscountWithTax</vt:lpstr>
      <vt:lpstr>T2GPreviousAmountsPaid</vt:lpstr>
      <vt:lpstr>T2GRetailSumNoTax</vt:lpstr>
      <vt:lpstr>T2GTaxSum</vt:lpstr>
      <vt:lpstr>TOP</vt:lpstr>
      <vt:lpstr>TotalPlantsG</vt:lpstr>
      <vt:lpstr>Trees2Go_Delivery_Total</vt:lpstr>
      <vt:lpstr>Trees2Go_Discount_Table</vt:lpstr>
      <vt:lpstr>Trees2Go_Price_Details</vt:lpstr>
      <vt:lpstr>Trees2Go_Price_Summary</vt:lpstr>
      <vt:lpstr>Trees2Go_Total</vt:lpstr>
      <vt:lpstr>TryImageFacts</vt:lpstr>
      <vt:lpstr>Utilities</vt:lpstr>
      <vt:lpstr>Warranty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Lamar</dc:creator>
  <cp:keywords/>
  <dc:description/>
  <cp:lastModifiedBy>Mike Lamar</cp:lastModifiedBy>
  <cp:revision>1</cp:revision>
  <cp:lastPrinted>2025-08-26T01:51:33Z</cp:lastPrinted>
  <dcterms:created xsi:type="dcterms:W3CDTF">2024-06-16T17:21:33Z</dcterms:created>
  <dcterms:modified xsi:type="dcterms:W3CDTF">2025-09-16T17:25:55Z</dcterms:modified>
  <cp:category/>
  <cp:contentStatus/>
</cp:coreProperties>
</file>